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" sheetId="1" state="visible" r:id="rId1"/>
    <sheet xmlns:r="http://schemas.openxmlformats.org/officeDocument/2006/relationships" name="Timeføring" sheetId="2" state="visible" r:id="rId2"/>
    <sheet xmlns:r="http://schemas.openxmlformats.org/officeDocument/2006/relationships" name="Rapport" sheetId="3" state="visible" r:id="rId3"/>
    <sheet xmlns:r="http://schemas.openxmlformats.org/officeDocument/2006/relationships" name="Oppsett" sheetId="4" state="visible" r:id="rId4"/>
    <sheet xmlns:r="http://schemas.openxmlformats.org/officeDocument/2006/relationships" name="Grunnlag" sheetId="5" state="hidden" r:id="rId5"/>
  </sheets>
  <definedNames>
    <definedName name="Teknikere">Oppsett!$B$5:$B$58</definedName>
    <definedName name="TekFra">Oppsett!$C$5:$C$58</definedName>
    <definedName name="TekTil">Oppsett!$D$5:$D$58</definedName>
    <definedName name="TekRoller">Oppsett!$E$5:$E$58</definedName>
    <definedName name="SkiftNavn">Oppsett!$H$5:$H$7</definedName>
    <definedName name="SkiftStart">Oppsett!$I$5:$I$7</definedName>
    <definedName name="FaseKode">Oppsett!$H$11:$H$13</definedName>
    <definedName name="TimerMT">Oppsett!$N$11:$N$13</definedName>
    <definedName name="TimerFr">Oppsett!$O$11:$O$13</definedName>
    <definedName name="DagK">Oppsett!$I$11</definedName>
    <definedName name="DagH">Oppsett!$I$12</definedName>
    <definedName name="DagD">Oppsett!$I$13</definedName>
    <definedName name="Syklus">Oppsett!$I$15</definedName>
    <definedName name="AutoFra">Oppsett!$I$17</definedName>
    <definedName name="Aktiviteter">Oppsett!$Q$5:$Q$15</definedName>
    <definedName name="AktKode">Oppsett!$R$5:$R$15</definedName>
    <definedName name="AktRolle">Oppsett!$S$5:$S$15</definedName>
    <definedName name="Maskiner">Oppsett!$U$5:$U$28</definedName>
    <definedName name="MaskinStatus">Oppsett!$V$5:$V$28</definedName>
    <definedName name="Arbeid">Oppsett!$X$5:$X$11</definedName>
    <definedName name="Maaneder">Oppsett!$Z$5:$Z$16</definedName>
    <definedName name="TF_Dato">Timeføring!$A$4:$A$3003</definedName>
    <definedName name="TF_Tekniker">Timeføring!$B$4:$B$3003</definedName>
    <definedName name="TF_Akt">Timeføring!$C$4:$C$3003</definedName>
    <definedName name="TF_Maskin">Timeføring!$D$4:$D$3003</definedName>
    <definedName name="TF_Arbeid">Timeføring!$E$4:$E$3003</definedName>
    <definedName name="TF_Timer">Timeføring!$F$4:$F$3003</definedName>
    <definedName name="TF_Overtid">Timeføring!$J$4:$J$3003</definedName>
    <definedName name="TF_Nokkel">Timeføring!$M$4:$M$3003</definedName>
    <definedName name="TF_AktSum">Timeføring!$N$4:$N$3003</definedName>
    <definedName name="TF_Dom">Timeføring!$O$4:$O$3003</definedName>
    <definedName name="GR_Dato">Grunnlag!$A$9:$A$1106</definedName>
    <definedName name="GR_Auto">Grunnlag!$H$9:$BI$1106</definedName>
    <definedName name="Fra">Rapport!$B$4</definedName>
    <definedName name="Til">Rapport!$B$5</definedName>
    <definedName name="_xlnm._FilterDatabase" localSheetId="1" hidden="1">'Timeføring'!$A$3:$K$3003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yyyy-mm-dd"/>
    <numFmt numFmtId="166" formatCode="hh:mm"/>
    <numFmt numFmtId="167" formatCode="0.0"/>
    <numFmt numFmtId="168" formatCode="d"/>
    <numFmt numFmtId="169" formatCode="0.0;-0.0;&quot;–&quot;"/>
  </numFmts>
  <fonts count="1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36B74"/>
      <sz val="10"/>
    </font>
    <font>
      <name val="Arial"/>
      <b val="1"/>
      <sz val="10"/>
    </font>
    <font>
      <name val="Arial"/>
      <sz val="10"/>
    </font>
    <font>
      <name val="Arial"/>
      <color rgb="00636B74"/>
      <sz val="9"/>
    </font>
    <font>
      <name val="Arial"/>
      <color rgb="001B1F24"/>
      <sz val="10"/>
    </font>
    <font>
      <name val="Arial"/>
      <color rgb="00636B74"/>
      <sz val="8"/>
    </font>
    <font>
      <name val="Arial"/>
      <b val="1"/>
      <color rgb="00636B74"/>
      <sz val="8"/>
    </font>
    <font>
      <name val="Arial"/>
      <b val="1"/>
      <color rgb="002B2F36"/>
      <sz val="8"/>
    </font>
    <font>
      <name val="Arial"/>
      <color rgb="00B25E00"/>
      <sz val="8"/>
    </font>
    <font>
      <name val="Arial"/>
      <b val="1"/>
      <sz val="8"/>
    </font>
    <font>
      <name val="Arial"/>
      <b val="1"/>
      <color rgb="00FFFFFF"/>
      <sz val="8"/>
    </font>
    <font>
      <name val="Arial"/>
      <sz val="9"/>
    </font>
    <font>
      <name val="Arial"/>
      <b val="1"/>
      <color rgb="001B1F24"/>
      <sz val="8"/>
    </font>
    <font>
      <name val="Arial"/>
      <b val="1"/>
      <color rgb="00636B74"/>
      <sz val="10"/>
    </font>
    <font>
      <name val="Arial"/>
      <b val="1"/>
      <sz val="18"/>
    </font>
    <font>
      <name val="Arial"/>
      <b val="1"/>
      <sz val="12"/>
    </font>
    <font>
      <name val="Arial"/>
      <b val="1"/>
      <color rgb="001B1F24"/>
      <sz val="10"/>
    </font>
  </fonts>
  <fills count="19">
    <fill>
      <patternFill/>
    </fill>
    <fill>
      <patternFill patternType="gray125"/>
    </fill>
    <fill>
      <patternFill patternType="solid">
        <fgColor rgb="00F7F8FA"/>
        <bgColor rgb="00F7F8FA"/>
      </patternFill>
    </fill>
    <fill>
      <patternFill patternType="solid">
        <fgColor rgb="00E8F0FB"/>
        <bgColor rgb="00E8F0FB"/>
      </patternFill>
    </fill>
    <fill>
      <patternFill patternType="solid">
        <fgColor rgb="002A6FDB"/>
        <bgColor rgb="002A6FDB"/>
      </patternFill>
    </fill>
    <fill>
      <patternFill patternType="solid">
        <fgColor rgb="005C7383"/>
        <bgColor rgb="005C7383"/>
      </patternFill>
    </fill>
    <fill>
      <patternFill patternType="solid">
        <fgColor rgb="007457C9"/>
        <bgColor rgb="007457C9"/>
      </patternFill>
    </fill>
    <fill>
      <patternFill patternType="solid">
        <fgColor rgb="008A5A44"/>
        <bgColor rgb="008A5A44"/>
      </patternFill>
    </fill>
    <fill>
      <patternFill patternType="solid">
        <fgColor rgb="00C9372C"/>
        <bgColor rgb="00C9372C"/>
      </patternFill>
    </fill>
    <fill>
      <patternFill patternType="solid">
        <fgColor rgb="0014929A"/>
        <bgColor rgb="0014929A"/>
      </patternFill>
    </fill>
    <fill>
      <patternFill patternType="solid">
        <fgColor rgb="00E0702F"/>
        <bgColor rgb="00E0702F"/>
      </patternFill>
    </fill>
    <fill>
      <patternFill patternType="solid">
        <fgColor rgb="002E9457"/>
        <bgColor rgb="002E9457"/>
      </patternFill>
    </fill>
    <fill>
      <patternFill patternType="solid">
        <fgColor rgb="0079BD8F"/>
        <bgColor rgb="0079BD8F"/>
      </patternFill>
    </fill>
    <fill>
      <patternFill patternType="solid">
        <fgColor rgb="00A0527A"/>
        <bgColor rgb="00A0527A"/>
      </patternFill>
    </fill>
    <fill>
      <patternFill patternType="solid">
        <fgColor rgb="00B08A1E"/>
        <bgColor rgb="00B08A1E"/>
      </patternFill>
    </fill>
    <fill>
      <patternFill patternType="solid">
        <fgColor rgb="00C2CCD3"/>
        <bgColor rgb="00C2CCD3"/>
      </patternFill>
    </fill>
    <fill>
      <patternFill patternType="solid">
        <fgColor rgb="00DDD5F7"/>
        <bgColor rgb="00DDD5F7"/>
      </patternFill>
    </fill>
    <fill>
      <patternFill patternType="solid">
        <fgColor rgb="00FAE0B8"/>
        <bgColor rgb="00FAE0B8"/>
      </patternFill>
    </fill>
    <fill>
      <patternFill patternType="solid">
        <fgColor rgb="00CFE4F7"/>
        <bgColor rgb="00CFE4F7"/>
      </patternFill>
    </fill>
  </fills>
  <borders count="6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  <border>
      <left/>
      <right/>
      <top style="thin">
        <color rgb="00E1E4E8"/>
      </top>
      <bottom/>
      <diagonal/>
    </border>
    <border>
      <left/>
      <right style="thin">
        <color rgb="00E1E4E8"/>
      </right>
      <top style="thin">
        <color rgb="00E1E4E8"/>
      </top>
      <bottom/>
      <diagonal/>
    </border>
    <border>
      <left/>
      <right/>
      <top style="thin">
        <color rgb="00E1E4E8"/>
      </top>
      <bottom style="thin">
        <color rgb="00E1E4E8"/>
      </bottom>
      <diagonal/>
    </border>
    <border>
      <left/>
      <right style="thin">
        <color rgb="00E1E4E8"/>
      </right>
      <top style="thin">
        <color rgb="00E1E4E8"/>
      </top>
      <bottom style="thin">
        <color rgb="00E1E4E8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3" fillId="3" borderId="1" pivotButton="0" quotePrefix="0" xfId="0"/>
    <xf numFmtId="0" fontId="4" fillId="0" borderId="4" pivotButton="0" quotePrefix="0" xfId="0"/>
    <xf numFmtId="0" fontId="4" fillId="0" borderId="5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6" fillId="0" borderId="0" pivotButton="0" quotePrefix="0" xfId="0"/>
    <xf numFmtId="0" fontId="6" fillId="0" borderId="0" pivotButton="0" quotePrefix="0" xfId="0"/>
    <xf numFmtId="167" fontId="6" fillId="0" borderId="0" pivotButton="0" quotePrefix="0" xfId="0"/>
    <xf numFmtId="0" fontId="15" fillId="0" borderId="0" pivotButton="0" quotePrefix="0" xfId="0"/>
    <xf numFmtId="164" fontId="3" fillId="3" borderId="1" pivotButton="0" quotePrefix="0" xfId="0"/>
    <xf numFmtId="164" fontId="2" fillId="0" borderId="0" pivotButton="0" quotePrefix="0" xfId="0"/>
    <xf numFmtId="169" fontId="16" fillId="0" borderId="0" applyAlignment="1" pivotButton="0" quotePrefix="0" xfId="0">
      <alignment horizontal="left"/>
    </xf>
    <xf numFmtId="9" fontId="16" fillId="0" borderId="0" applyAlignment="1" pivotButton="0" quotePrefix="0" xfId="0">
      <alignment horizontal="left"/>
    </xf>
    <xf numFmtId="0" fontId="17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169" fontId="4" fillId="0" borderId="1" pivotButton="0" quotePrefix="0" xfId="0"/>
    <xf numFmtId="9" fontId="4" fillId="0" borderId="1" pivotButton="0" quotePrefix="0" xfId="0"/>
    <xf numFmtId="0" fontId="6" fillId="0" borderId="1" pivotButton="0" quotePrefix="0" xfId="0"/>
    <xf numFmtId="169" fontId="6" fillId="0" borderId="1" pivotButton="0" quotePrefix="0" xfId="0"/>
    <xf numFmtId="169" fontId="18" fillId="0" borderId="1" pivotButton="0" quotePrefix="0" xfId="0"/>
    <xf numFmtId="0" fontId="3" fillId="2" borderId="1" pivotButton="0" quotePrefix="0" xfId="0"/>
    <xf numFmtId="169" fontId="3" fillId="2" borderId="1" pivotButton="0" quotePrefix="0" xfId="0"/>
    <xf numFmtId="9" fontId="3" fillId="2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indent="1"/>
    </xf>
    <xf numFmtId="169" fontId="3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4" fontId="4" fillId="3" borderId="0" pivotButton="0" quotePrefix="0" xfId="0"/>
    <xf numFmtId="166" fontId="4" fillId="3" borderId="1" pivotButton="0" quotePrefix="0" xfId="0"/>
    <xf numFmtId="167" fontId="4" fillId="0" borderId="1" pivotButton="0" quotePrefix="0" xfId="0"/>
    <xf numFmtId="167" fontId="4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0">
    <dxf>
      <fill>
        <patternFill patternType="solid">
          <fgColor rgb="00DDD5F7"/>
          <bgColor rgb="00DDD5F7"/>
        </patternFill>
      </fill>
    </dxf>
    <dxf>
      <fill>
        <patternFill patternType="solid">
          <fgColor rgb="00FAE0B8"/>
          <bgColor rgb="00FAE0B8"/>
        </patternFill>
      </fill>
    </dxf>
    <dxf>
      <fill>
        <patternFill patternType="solid">
          <fgColor rgb="00CFE4F7"/>
          <bgColor rgb="00CFE4F7"/>
        </patternFill>
      </fill>
    </dxf>
    <dxf>
      <font>
        <color rgb="002B2F36"/>
      </font>
      <fill>
        <patternFill patternType="solid">
          <fgColor rgb="00C2CCD3"/>
          <bgColor rgb="00C2CCD3"/>
        </patternFill>
      </fill>
    </dxf>
    <dxf>
      <font>
        <color rgb="00FFFFFF"/>
      </font>
      <fill>
        <patternFill patternType="solid">
          <fgColor rgb="002A6FDB"/>
          <bgColor rgb="002A6FDB"/>
        </patternFill>
      </fill>
    </dxf>
    <dxf>
      <font>
        <color rgb="00FFFFFF"/>
      </font>
      <fill>
        <patternFill patternType="solid">
          <fgColor rgb="005C7383"/>
          <bgColor rgb="005C7383"/>
        </patternFill>
      </fill>
    </dxf>
    <dxf>
      <font>
        <color rgb="00FFFFFF"/>
      </font>
      <fill>
        <patternFill patternType="solid">
          <fgColor rgb="007457C9"/>
          <bgColor rgb="007457C9"/>
        </patternFill>
      </fill>
    </dxf>
    <dxf>
      <font>
        <color rgb="00FFFFFF"/>
      </font>
      <fill>
        <patternFill patternType="solid">
          <fgColor rgb="008A5A44"/>
          <bgColor rgb="008A5A44"/>
        </patternFill>
      </fill>
    </dxf>
    <dxf>
      <font>
        <color rgb="00FFFFFF"/>
      </font>
      <fill>
        <patternFill patternType="solid">
          <fgColor rgb="00C9372C"/>
          <bgColor rgb="00C9372C"/>
        </patternFill>
      </fill>
    </dxf>
    <dxf>
      <font>
        <color rgb="00FFFFFF"/>
      </font>
      <fill>
        <patternFill patternType="solid">
          <fgColor rgb="0014929A"/>
          <bgColor rgb="0014929A"/>
        </patternFill>
      </fill>
    </dxf>
    <dxf>
      <font>
        <color rgb="00FFFFFF"/>
      </font>
      <fill>
        <patternFill patternType="solid">
          <fgColor rgb="00E0702F"/>
          <bgColor rgb="00E0702F"/>
        </patternFill>
      </fill>
    </dxf>
    <dxf>
      <font>
        <color rgb="00FFFFFF"/>
      </font>
      <fill>
        <patternFill patternType="solid">
          <fgColor rgb="002E9457"/>
          <bgColor rgb="002E9457"/>
        </patternFill>
      </fill>
    </dxf>
    <dxf>
      <font>
        <color rgb="001B1F24"/>
      </font>
      <fill>
        <patternFill patternType="solid">
          <fgColor rgb="0079BD8F"/>
          <bgColor rgb="0079BD8F"/>
        </patternFill>
      </fill>
    </dxf>
    <dxf>
      <font>
        <color rgb="00FFFFFF"/>
      </font>
      <fill>
        <patternFill patternType="solid">
          <fgColor rgb="00A0527A"/>
          <bgColor rgb="00A0527A"/>
        </patternFill>
      </fill>
    </dxf>
    <dxf>
      <font>
        <color rgb="00FFFFFF"/>
      </font>
      <fill>
        <patternFill patternType="solid">
          <fgColor rgb="00B08A1E"/>
          <bgColor rgb="00B08A1E"/>
        </patternFill>
      </fill>
    </dxf>
    <dxf>
      <border>
        <left style="thin">
          <color rgb="00E1E4E8"/>
        </left>
        <right style="thin">
          <color rgb="00E1E4E8"/>
        </right>
        <top style="thin">
          <color rgb="00E1E4E8"/>
        </top>
        <bottom style="thin">
          <color rgb="00E1E4E8"/>
        </bottom>
      </border>
    </dxf>
    <dxf>
      <font>
        <color rgb="00FFFFFF"/>
      </font>
      <fill>
        <patternFill patternType="solid">
          <fgColor rgb="001F5FBF"/>
          <bgColor rgb="001F5FBF"/>
        </patternFill>
      </fill>
    </dxf>
    <dxf>
      <fill>
        <patternFill patternType="solid">
          <fgColor rgb="00E1E4E8"/>
          <bgColor rgb="00E1E4E8"/>
        </patternFill>
      </fill>
    </dxf>
    <dxf>
      <font>
        <b val="1"/>
        <color rgb="00B25E00"/>
      </font>
      <fill>
        <patternFill patternType="solid">
          <fgColor rgb="00FFF4E5"/>
          <bgColor rgb="00FFF4E5"/>
        </patternFill>
      </fill>
    </dxf>
    <dxf>
      <font>
        <b val="1"/>
        <color rgb="00B25E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LMS Hours</author>
  </authors>
  <commentList>
    <comment ref="B4" authorId="0" shapeId="0">
      <text>
        <t>Skriv inn egne datoer, eller kopier fra snarveiene til høyre.</t>
      </text>
    </comment>
  </commentList>
</comments>
</file>

<file path=xl/comments/comment2.xml><?xml version="1.0" encoding="utf-8"?>
<comments xmlns="http://schemas.openxmlformats.org/spreadsheetml/2006/main">
  <authors>
    <author>LMS Hours</author>
  </authors>
  <commentList>
    <comment ref="C5" authorId="0" shapeId="0">
      <text>
        <t>Ekstra personell: fyll inn fra/til. Teknikeren er da bare aktiv i perioden.</t>
      </text>
    </comment>
    <comment ref="E5" authorId="0" shapeId="0">
      <text>
        <t>Roller skilt med komma, f.eks. «B1, Assessor». Assessor og Hot Section krever rollen.</t>
      </text>
    </comment>
    <comment ref="N14" authorId="0" shapeId="0">
      <text>
        <t>Overtid på fridag: 9 t (føres som vanlig, regnes som overtid).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5FBF"/>
    <outlinePr summaryBelow="1" summaryRight="1"/>
    <pageSetUpPr fitToPage="1"/>
  </sheetPr>
  <dimension ref="A1:AJ7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2" customWidth="1" min="34" max="34"/>
    <col width="5" customWidth="1" min="35" max="35"/>
    <col width="20" customWidth="1" min="36" max="36"/>
  </cols>
  <sheetData>
    <row r="1">
      <c r="A1" s="1" t="inlineStr">
        <is>
          <t>Kalender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>
      <c r="A2" s="3" t="inlineStr">
        <is>
          <t>År</t>
        </is>
      </c>
      <c r="B2" s="4">
        <f>YEAR(TODAY())</f>
        <v/>
      </c>
      <c r="C2" s="2" t="n"/>
      <c r="D2" s="3" t="inlineStr">
        <is>
          <t>Måned</t>
        </is>
      </c>
      <c r="E2" s="2" t="n"/>
      <c r="F2" s="2" t="n"/>
      <c r="G2" s="2" t="n"/>
      <c r="H2" s="4">
        <f>INDEX(Maaneder,MONTH(TODAY()))</f>
        <v/>
      </c>
      <c r="I2" s="5" t="n"/>
      <c r="J2" s="5" t="n"/>
      <c r="K2" s="5" t="n"/>
      <c r="L2" s="6" t="n"/>
      <c r="M2" s="2" t="n"/>
      <c r="N2" s="7" t="inlineStr">
        <is>
          <t>Velg år og måned. Føringer gjøres i Timeføring. «+» = flere aktiviteter samme dag. Lys LMS = forhåndsvisning (fremtidige dager).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>
      <c r="A4" s="2" t="n"/>
      <c r="B4" s="2" t="n"/>
      <c r="C4" s="8">
        <f>IF(C5="","",IF(OR(WEEKDAY(C5,2)=1,0=0),"Uke "&amp;_xlfn.ISOWEEKNUM(C5),""))</f>
        <v/>
      </c>
      <c r="D4" s="8">
        <f>IF(D5="","",IF(OR(WEEKDAY(D5,2)=1,1=0),"Uke "&amp;_xlfn.ISOWEEKNUM(D5),""))</f>
        <v/>
      </c>
      <c r="E4" s="8">
        <f>IF(E5="","",IF(OR(WEEKDAY(E5,2)=1,2=0),"Uke "&amp;_xlfn.ISOWEEKNUM(E5),""))</f>
        <v/>
      </c>
      <c r="F4" s="8">
        <f>IF(F5="","",IF(OR(WEEKDAY(F5,2)=1,3=0),"Uke "&amp;_xlfn.ISOWEEKNUM(F5),""))</f>
        <v/>
      </c>
      <c r="G4" s="8">
        <f>IF(G5="","",IF(OR(WEEKDAY(G5,2)=1,4=0),"Uke "&amp;_xlfn.ISOWEEKNUM(G5),""))</f>
        <v/>
      </c>
      <c r="H4" s="8">
        <f>IF(H5="","",IF(OR(WEEKDAY(H5,2)=1,5=0),"Uke "&amp;_xlfn.ISOWEEKNUM(H5),""))</f>
        <v/>
      </c>
      <c r="I4" s="8">
        <f>IF(I5="","",IF(OR(WEEKDAY(I5,2)=1,6=0),"Uke "&amp;_xlfn.ISOWEEKNUM(I5),""))</f>
        <v/>
      </c>
      <c r="J4" s="8">
        <f>IF(J5="","",IF(OR(WEEKDAY(J5,2)=1,7=0),"Uke "&amp;_xlfn.ISOWEEKNUM(J5),""))</f>
        <v/>
      </c>
      <c r="K4" s="8">
        <f>IF(K5="","",IF(OR(WEEKDAY(K5,2)=1,8=0),"Uke "&amp;_xlfn.ISOWEEKNUM(K5),""))</f>
        <v/>
      </c>
      <c r="L4" s="8">
        <f>IF(L5="","",IF(OR(WEEKDAY(L5,2)=1,9=0),"Uke "&amp;_xlfn.ISOWEEKNUM(L5),""))</f>
        <v/>
      </c>
      <c r="M4" s="8">
        <f>IF(M5="","",IF(OR(WEEKDAY(M5,2)=1,10=0),"Uke "&amp;_xlfn.ISOWEEKNUM(M5),""))</f>
        <v/>
      </c>
      <c r="N4" s="8">
        <f>IF(N5="","",IF(OR(WEEKDAY(N5,2)=1,11=0),"Uke "&amp;_xlfn.ISOWEEKNUM(N5),""))</f>
        <v/>
      </c>
      <c r="O4" s="8">
        <f>IF(O5="","",IF(OR(WEEKDAY(O5,2)=1,12=0),"Uke "&amp;_xlfn.ISOWEEKNUM(O5),""))</f>
        <v/>
      </c>
      <c r="P4" s="8">
        <f>IF(P5="","",IF(OR(WEEKDAY(P5,2)=1,13=0),"Uke "&amp;_xlfn.ISOWEEKNUM(P5),""))</f>
        <v/>
      </c>
      <c r="Q4" s="8">
        <f>IF(Q5="","",IF(OR(WEEKDAY(Q5,2)=1,14=0),"Uke "&amp;_xlfn.ISOWEEKNUM(Q5),""))</f>
        <v/>
      </c>
      <c r="R4" s="8">
        <f>IF(R5="","",IF(OR(WEEKDAY(R5,2)=1,15=0),"Uke "&amp;_xlfn.ISOWEEKNUM(R5),""))</f>
        <v/>
      </c>
      <c r="S4" s="8">
        <f>IF(S5="","",IF(OR(WEEKDAY(S5,2)=1,16=0),"Uke "&amp;_xlfn.ISOWEEKNUM(S5),""))</f>
        <v/>
      </c>
      <c r="T4" s="8">
        <f>IF(T5="","",IF(OR(WEEKDAY(T5,2)=1,17=0),"Uke "&amp;_xlfn.ISOWEEKNUM(T5),""))</f>
        <v/>
      </c>
      <c r="U4" s="8">
        <f>IF(U5="","",IF(OR(WEEKDAY(U5,2)=1,18=0),"Uke "&amp;_xlfn.ISOWEEKNUM(U5),""))</f>
        <v/>
      </c>
      <c r="V4" s="8">
        <f>IF(V5="","",IF(OR(WEEKDAY(V5,2)=1,19=0),"Uke "&amp;_xlfn.ISOWEEKNUM(V5),""))</f>
        <v/>
      </c>
      <c r="W4" s="8">
        <f>IF(W5="","",IF(OR(WEEKDAY(W5,2)=1,20=0),"Uke "&amp;_xlfn.ISOWEEKNUM(W5),""))</f>
        <v/>
      </c>
      <c r="X4" s="8">
        <f>IF(X5="","",IF(OR(WEEKDAY(X5,2)=1,21=0),"Uke "&amp;_xlfn.ISOWEEKNUM(X5),""))</f>
        <v/>
      </c>
      <c r="Y4" s="8">
        <f>IF(Y5="","",IF(OR(WEEKDAY(Y5,2)=1,22=0),"Uke "&amp;_xlfn.ISOWEEKNUM(Y5),""))</f>
        <v/>
      </c>
      <c r="Z4" s="8">
        <f>IF(Z5="","",IF(OR(WEEKDAY(Z5,2)=1,23=0),"Uke "&amp;_xlfn.ISOWEEKNUM(Z5),""))</f>
        <v/>
      </c>
      <c r="AA4" s="8">
        <f>IF(AA5="","",IF(OR(WEEKDAY(AA5,2)=1,24=0),"Uke "&amp;_xlfn.ISOWEEKNUM(AA5),""))</f>
        <v/>
      </c>
      <c r="AB4" s="8">
        <f>IF(AB5="","",IF(OR(WEEKDAY(AB5,2)=1,25=0),"Uke "&amp;_xlfn.ISOWEEKNUM(AB5),""))</f>
        <v/>
      </c>
      <c r="AC4" s="8">
        <f>IF(AC5="","",IF(OR(WEEKDAY(AC5,2)=1,26=0),"Uke "&amp;_xlfn.ISOWEEKNUM(AC5),""))</f>
        <v/>
      </c>
      <c r="AD4" s="8">
        <f>IF(AD5="","",IF(OR(WEEKDAY(AD5,2)=1,27=0),"Uke "&amp;_xlfn.ISOWEEKNUM(AD5),""))</f>
        <v/>
      </c>
      <c r="AE4" s="8">
        <f>IF(AE5="","",IF(OR(WEEKDAY(AE5,2)=1,28=0),"Uke "&amp;_xlfn.ISOWEEKNUM(AE5),""))</f>
        <v/>
      </c>
      <c r="AF4" s="8">
        <f>IF(AF5="","",IF(OR(WEEKDAY(AF5,2)=1,29=0),"Uke "&amp;_xlfn.ISOWEEKNUM(AF5),""))</f>
        <v/>
      </c>
      <c r="AG4" s="8">
        <f>IF(AG5="","",IF(OR(WEEKDAY(AG5,2)=1,30=0),"Uke "&amp;_xlfn.ISOWEEKNUM(AG5),""))</f>
        <v/>
      </c>
      <c r="AH4" s="2" t="n"/>
      <c r="AI4" s="2" t="n"/>
      <c r="AJ4" s="2" t="n"/>
    </row>
    <row r="5">
      <c r="A5" s="2" t="n"/>
      <c r="B5" s="2" t="n"/>
      <c r="C5" s="9">
        <f>IF(1&lt;=DAY(EOMONTH($A$7,0)),$A$7+0,"")</f>
        <v/>
      </c>
      <c r="D5" s="9">
        <f>IF(2&lt;=DAY(EOMONTH($A$7,0)),$A$7+1,"")</f>
        <v/>
      </c>
      <c r="E5" s="9">
        <f>IF(3&lt;=DAY(EOMONTH($A$7,0)),$A$7+2,"")</f>
        <v/>
      </c>
      <c r="F5" s="9">
        <f>IF(4&lt;=DAY(EOMONTH($A$7,0)),$A$7+3,"")</f>
        <v/>
      </c>
      <c r="G5" s="9">
        <f>IF(5&lt;=DAY(EOMONTH($A$7,0)),$A$7+4,"")</f>
        <v/>
      </c>
      <c r="H5" s="9">
        <f>IF(6&lt;=DAY(EOMONTH($A$7,0)),$A$7+5,"")</f>
        <v/>
      </c>
      <c r="I5" s="9">
        <f>IF(7&lt;=DAY(EOMONTH($A$7,0)),$A$7+6,"")</f>
        <v/>
      </c>
      <c r="J5" s="9">
        <f>IF(8&lt;=DAY(EOMONTH($A$7,0)),$A$7+7,"")</f>
        <v/>
      </c>
      <c r="K5" s="9">
        <f>IF(9&lt;=DAY(EOMONTH($A$7,0)),$A$7+8,"")</f>
        <v/>
      </c>
      <c r="L5" s="9">
        <f>IF(10&lt;=DAY(EOMONTH($A$7,0)),$A$7+9,"")</f>
        <v/>
      </c>
      <c r="M5" s="9">
        <f>IF(11&lt;=DAY(EOMONTH($A$7,0)),$A$7+10,"")</f>
        <v/>
      </c>
      <c r="N5" s="9">
        <f>IF(12&lt;=DAY(EOMONTH($A$7,0)),$A$7+11,"")</f>
        <v/>
      </c>
      <c r="O5" s="9">
        <f>IF(13&lt;=DAY(EOMONTH($A$7,0)),$A$7+12,"")</f>
        <v/>
      </c>
      <c r="P5" s="9">
        <f>IF(14&lt;=DAY(EOMONTH($A$7,0)),$A$7+13,"")</f>
        <v/>
      </c>
      <c r="Q5" s="9">
        <f>IF(15&lt;=DAY(EOMONTH($A$7,0)),$A$7+14,"")</f>
        <v/>
      </c>
      <c r="R5" s="9">
        <f>IF(16&lt;=DAY(EOMONTH($A$7,0)),$A$7+15,"")</f>
        <v/>
      </c>
      <c r="S5" s="9">
        <f>IF(17&lt;=DAY(EOMONTH($A$7,0)),$A$7+16,"")</f>
        <v/>
      </c>
      <c r="T5" s="9">
        <f>IF(18&lt;=DAY(EOMONTH($A$7,0)),$A$7+17,"")</f>
        <v/>
      </c>
      <c r="U5" s="9">
        <f>IF(19&lt;=DAY(EOMONTH($A$7,0)),$A$7+18,"")</f>
        <v/>
      </c>
      <c r="V5" s="9">
        <f>IF(20&lt;=DAY(EOMONTH($A$7,0)),$A$7+19,"")</f>
        <v/>
      </c>
      <c r="W5" s="9">
        <f>IF(21&lt;=DAY(EOMONTH($A$7,0)),$A$7+20,"")</f>
        <v/>
      </c>
      <c r="X5" s="9">
        <f>IF(22&lt;=DAY(EOMONTH($A$7,0)),$A$7+21,"")</f>
        <v/>
      </c>
      <c r="Y5" s="9">
        <f>IF(23&lt;=DAY(EOMONTH($A$7,0)),$A$7+22,"")</f>
        <v/>
      </c>
      <c r="Z5" s="9">
        <f>IF(24&lt;=DAY(EOMONTH($A$7,0)),$A$7+23,"")</f>
        <v/>
      </c>
      <c r="AA5" s="9">
        <f>IF(25&lt;=DAY(EOMONTH($A$7,0)),$A$7+24,"")</f>
        <v/>
      </c>
      <c r="AB5" s="9">
        <f>IF(26&lt;=DAY(EOMONTH($A$7,0)),$A$7+25,"")</f>
        <v/>
      </c>
      <c r="AC5" s="9">
        <f>IF(27&lt;=DAY(EOMONTH($A$7,0)),$A$7+26,"")</f>
        <v/>
      </c>
      <c r="AD5" s="9">
        <f>IF(28&lt;=DAY(EOMONTH($A$7,0)),$A$7+27,"")</f>
        <v/>
      </c>
      <c r="AE5" s="9">
        <f>IF(29&lt;=DAY(EOMONTH($A$7,0)),$A$7+28,"")</f>
        <v/>
      </c>
      <c r="AF5" s="9">
        <f>IF(30&lt;=DAY(EOMONTH($A$7,0)),$A$7+29,"")</f>
        <v/>
      </c>
      <c r="AG5" s="9">
        <f>IF(31&lt;=DAY(EOMONTH($A$7,0)),$A$7+30,"")</f>
        <v/>
      </c>
      <c r="AH5" s="2" t="n"/>
      <c r="AI5" s="2" t="n"/>
      <c r="AJ5" s="2" t="n"/>
    </row>
    <row r="6">
      <c r="A6" s="10" t="inlineStr">
        <is>
          <t>Tekniker</t>
        </is>
      </c>
      <c r="B6" s="2" t="n"/>
      <c r="C6" s="8">
        <f>IF(C5="","",CHOOSE(WEEKDAY(C5,2),"ma","ti","on","to","fr","lø","sø"))</f>
        <v/>
      </c>
      <c r="D6" s="8">
        <f>IF(D5="","",CHOOSE(WEEKDAY(D5,2),"ma","ti","on","to","fr","lø","sø"))</f>
        <v/>
      </c>
      <c r="E6" s="8">
        <f>IF(E5="","",CHOOSE(WEEKDAY(E5,2),"ma","ti","on","to","fr","lø","sø"))</f>
        <v/>
      </c>
      <c r="F6" s="8">
        <f>IF(F5="","",CHOOSE(WEEKDAY(F5,2),"ma","ti","on","to","fr","lø","sø"))</f>
        <v/>
      </c>
      <c r="G6" s="8">
        <f>IF(G5="","",CHOOSE(WEEKDAY(G5,2),"ma","ti","on","to","fr","lø","sø"))</f>
        <v/>
      </c>
      <c r="H6" s="8">
        <f>IF(H5="","",CHOOSE(WEEKDAY(H5,2),"ma","ti","on","to","fr","lø","sø"))</f>
        <v/>
      </c>
      <c r="I6" s="8">
        <f>IF(I5="","",CHOOSE(WEEKDAY(I5,2),"ma","ti","on","to","fr","lø","sø"))</f>
        <v/>
      </c>
      <c r="J6" s="8">
        <f>IF(J5="","",CHOOSE(WEEKDAY(J5,2),"ma","ti","on","to","fr","lø","sø"))</f>
        <v/>
      </c>
      <c r="K6" s="8">
        <f>IF(K5="","",CHOOSE(WEEKDAY(K5,2),"ma","ti","on","to","fr","lø","sø"))</f>
        <v/>
      </c>
      <c r="L6" s="8">
        <f>IF(L5="","",CHOOSE(WEEKDAY(L5,2),"ma","ti","on","to","fr","lø","sø"))</f>
        <v/>
      </c>
      <c r="M6" s="8">
        <f>IF(M5="","",CHOOSE(WEEKDAY(M5,2),"ma","ti","on","to","fr","lø","sø"))</f>
        <v/>
      </c>
      <c r="N6" s="8">
        <f>IF(N5="","",CHOOSE(WEEKDAY(N5,2),"ma","ti","on","to","fr","lø","sø"))</f>
        <v/>
      </c>
      <c r="O6" s="8">
        <f>IF(O5="","",CHOOSE(WEEKDAY(O5,2),"ma","ti","on","to","fr","lø","sø"))</f>
        <v/>
      </c>
      <c r="P6" s="8">
        <f>IF(P5="","",CHOOSE(WEEKDAY(P5,2),"ma","ti","on","to","fr","lø","sø"))</f>
        <v/>
      </c>
      <c r="Q6" s="8">
        <f>IF(Q5="","",CHOOSE(WEEKDAY(Q5,2),"ma","ti","on","to","fr","lø","sø"))</f>
        <v/>
      </c>
      <c r="R6" s="8">
        <f>IF(R5="","",CHOOSE(WEEKDAY(R5,2),"ma","ti","on","to","fr","lø","sø"))</f>
        <v/>
      </c>
      <c r="S6" s="8">
        <f>IF(S5="","",CHOOSE(WEEKDAY(S5,2),"ma","ti","on","to","fr","lø","sø"))</f>
        <v/>
      </c>
      <c r="T6" s="8">
        <f>IF(T5="","",CHOOSE(WEEKDAY(T5,2),"ma","ti","on","to","fr","lø","sø"))</f>
        <v/>
      </c>
      <c r="U6" s="8">
        <f>IF(U5="","",CHOOSE(WEEKDAY(U5,2),"ma","ti","on","to","fr","lø","sø"))</f>
        <v/>
      </c>
      <c r="V6" s="8">
        <f>IF(V5="","",CHOOSE(WEEKDAY(V5,2),"ma","ti","on","to","fr","lø","sø"))</f>
        <v/>
      </c>
      <c r="W6" s="8">
        <f>IF(W5="","",CHOOSE(WEEKDAY(W5,2),"ma","ti","on","to","fr","lø","sø"))</f>
        <v/>
      </c>
      <c r="X6" s="8">
        <f>IF(X5="","",CHOOSE(WEEKDAY(X5,2),"ma","ti","on","to","fr","lø","sø"))</f>
        <v/>
      </c>
      <c r="Y6" s="8">
        <f>IF(Y5="","",CHOOSE(WEEKDAY(Y5,2),"ma","ti","on","to","fr","lø","sø"))</f>
        <v/>
      </c>
      <c r="Z6" s="8">
        <f>IF(Z5="","",CHOOSE(WEEKDAY(Z5,2),"ma","ti","on","to","fr","lø","sø"))</f>
        <v/>
      </c>
      <c r="AA6" s="8">
        <f>IF(AA5="","",CHOOSE(WEEKDAY(AA5,2),"ma","ti","on","to","fr","lø","sø"))</f>
        <v/>
      </c>
      <c r="AB6" s="8">
        <f>IF(AB5="","",CHOOSE(WEEKDAY(AB5,2),"ma","ti","on","to","fr","lø","sø"))</f>
        <v/>
      </c>
      <c r="AC6" s="8">
        <f>IF(AC5="","",CHOOSE(WEEKDAY(AC5,2),"ma","ti","on","to","fr","lø","sø"))</f>
        <v/>
      </c>
      <c r="AD6" s="8">
        <f>IF(AD5="","",CHOOSE(WEEKDAY(AD5,2),"ma","ti","on","to","fr","lø","sø"))</f>
        <v/>
      </c>
      <c r="AE6" s="8">
        <f>IF(AE5="","",CHOOSE(WEEKDAY(AE5,2),"ma","ti","on","to","fr","lø","sø"))</f>
        <v/>
      </c>
      <c r="AF6" s="8">
        <f>IF(AF5="","",CHOOSE(WEEKDAY(AF5,2),"ma","ti","on","to","fr","lø","sø"))</f>
        <v/>
      </c>
      <c r="AG6" s="8">
        <f>IF(AG5="","",CHOOSE(WEEKDAY(AG5,2),"ma","ti","on","to","fr","lø","sø"))</f>
        <v/>
      </c>
      <c r="AH6" s="2" t="n"/>
      <c r="AI6" s="2" t="n"/>
      <c r="AJ6" s="2" t="n"/>
    </row>
    <row r="7" hidden="1">
      <c r="A7" s="2">
        <f>DATE($B$2,MATCH($H$2,Maaneder,0),1)</f>
        <v/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</row>
    <row r="8" hidden="1">
      <c r="A8" s="2" t="n"/>
      <c r="B8" s="2" t="n"/>
      <c r="C8" s="2">
        <f>IF(C$5="","",IF(IF(MOD(C$5-INDEX(SkiftStart,1),Syklus)&lt;DagK,"K",IF(MOD(C$5-INDEX(SkiftStart,1),Syklus)&lt;DagK+DagH,"H",IF(MOD(C$5-INDEX(SkiftStart,1),Syklus)&lt;DagK+DagH+DagD,"D","F")))="F","",IF(MOD(C$5-INDEX(SkiftStart,1),Syklus)&lt;DagK,"K",IF(MOD(C$5-INDEX(SkiftStart,1),Syklus)&lt;DagK+DagH,"H",IF(MOD(C$5-INDEX(SkiftStart,1),Syklus)&lt;DagK+DagH+DagD,"D","F")))))</f>
        <v/>
      </c>
      <c r="D8" s="2">
        <f>IF(D$5="","",IF(IF(MOD(D$5-INDEX(SkiftStart,1),Syklus)&lt;DagK,"K",IF(MOD(D$5-INDEX(SkiftStart,1),Syklus)&lt;DagK+DagH,"H",IF(MOD(D$5-INDEX(SkiftStart,1),Syklus)&lt;DagK+DagH+DagD,"D","F")))="F","",IF(MOD(D$5-INDEX(SkiftStart,1),Syklus)&lt;DagK,"K",IF(MOD(D$5-INDEX(SkiftStart,1),Syklus)&lt;DagK+DagH,"H",IF(MOD(D$5-INDEX(SkiftStart,1),Syklus)&lt;DagK+DagH+DagD,"D","F")))))</f>
        <v/>
      </c>
      <c r="E8" s="2">
        <f>IF(E$5="","",IF(IF(MOD(E$5-INDEX(SkiftStart,1),Syklus)&lt;DagK,"K",IF(MOD(E$5-INDEX(SkiftStart,1),Syklus)&lt;DagK+DagH,"H",IF(MOD(E$5-INDEX(SkiftStart,1),Syklus)&lt;DagK+DagH+DagD,"D","F")))="F","",IF(MOD(E$5-INDEX(SkiftStart,1),Syklus)&lt;DagK,"K",IF(MOD(E$5-INDEX(SkiftStart,1),Syklus)&lt;DagK+DagH,"H",IF(MOD(E$5-INDEX(SkiftStart,1),Syklus)&lt;DagK+DagH+DagD,"D","F")))))</f>
        <v/>
      </c>
      <c r="F8" s="2">
        <f>IF(F$5="","",IF(IF(MOD(F$5-INDEX(SkiftStart,1),Syklus)&lt;DagK,"K",IF(MOD(F$5-INDEX(SkiftStart,1),Syklus)&lt;DagK+DagH,"H",IF(MOD(F$5-INDEX(SkiftStart,1),Syklus)&lt;DagK+DagH+DagD,"D","F")))="F","",IF(MOD(F$5-INDEX(SkiftStart,1),Syklus)&lt;DagK,"K",IF(MOD(F$5-INDEX(SkiftStart,1),Syklus)&lt;DagK+DagH,"H",IF(MOD(F$5-INDEX(SkiftStart,1),Syklus)&lt;DagK+DagH+DagD,"D","F")))))</f>
        <v/>
      </c>
      <c r="G8" s="2">
        <f>IF(G$5="","",IF(IF(MOD(G$5-INDEX(SkiftStart,1),Syklus)&lt;DagK,"K",IF(MOD(G$5-INDEX(SkiftStart,1),Syklus)&lt;DagK+DagH,"H",IF(MOD(G$5-INDEX(SkiftStart,1),Syklus)&lt;DagK+DagH+DagD,"D","F")))="F","",IF(MOD(G$5-INDEX(SkiftStart,1),Syklus)&lt;DagK,"K",IF(MOD(G$5-INDEX(SkiftStart,1),Syklus)&lt;DagK+DagH,"H",IF(MOD(G$5-INDEX(SkiftStart,1),Syklus)&lt;DagK+DagH+DagD,"D","F")))))</f>
        <v/>
      </c>
      <c r="H8" s="2">
        <f>IF(H$5="","",IF(IF(MOD(H$5-INDEX(SkiftStart,1),Syklus)&lt;DagK,"K",IF(MOD(H$5-INDEX(SkiftStart,1),Syklus)&lt;DagK+DagH,"H",IF(MOD(H$5-INDEX(SkiftStart,1),Syklus)&lt;DagK+DagH+DagD,"D","F")))="F","",IF(MOD(H$5-INDEX(SkiftStart,1),Syklus)&lt;DagK,"K",IF(MOD(H$5-INDEX(SkiftStart,1),Syklus)&lt;DagK+DagH,"H",IF(MOD(H$5-INDEX(SkiftStart,1),Syklus)&lt;DagK+DagH+DagD,"D","F")))))</f>
        <v/>
      </c>
      <c r="I8" s="2">
        <f>IF(I$5="","",IF(IF(MOD(I$5-INDEX(SkiftStart,1),Syklus)&lt;DagK,"K",IF(MOD(I$5-INDEX(SkiftStart,1),Syklus)&lt;DagK+DagH,"H",IF(MOD(I$5-INDEX(SkiftStart,1),Syklus)&lt;DagK+DagH+DagD,"D","F")))="F","",IF(MOD(I$5-INDEX(SkiftStart,1),Syklus)&lt;DagK,"K",IF(MOD(I$5-INDEX(SkiftStart,1),Syklus)&lt;DagK+DagH,"H",IF(MOD(I$5-INDEX(SkiftStart,1),Syklus)&lt;DagK+DagH+DagD,"D","F")))))</f>
        <v/>
      </c>
      <c r="J8" s="2">
        <f>IF(J$5="","",IF(IF(MOD(J$5-INDEX(SkiftStart,1),Syklus)&lt;DagK,"K",IF(MOD(J$5-INDEX(SkiftStart,1),Syklus)&lt;DagK+DagH,"H",IF(MOD(J$5-INDEX(SkiftStart,1),Syklus)&lt;DagK+DagH+DagD,"D","F")))="F","",IF(MOD(J$5-INDEX(SkiftStart,1),Syklus)&lt;DagK,"K",IF(MOD(J$5-INDEX(SkiftStart,1),Syklus)&lt;DagK+DagH,"H",IF(MOD(J$5-INDEX(SkiftStart,1),Syklus)&lt;DagK+DagH+DagD,"D","F")))))</f>
        <v/>
      </c>
      <c r="K8" s="2">
        <f>IF(K$5="","",IF(IF(MOD(K$5-INDEX(SkiftStart,1),Syklus)&lt;DagK,"K",IF(MOD(K$5-INDEX(SkiftStart,1),Syklus)&lt;DagK+DagH,"H",IF(MOD(K$5-INDEX(SkiftStart,1),Syklus)&lt;DagK+DagH+DagD,"D","F")))="F","",IF(MOD(K$5-INDEX(SkiftStart,1),Syklus)&lt;DagK,"K",IF(MOD(K$5-INDEX(SkiftStart,1),Syklus)&lt;DagK+DagH,"H",IF(MOD(K$5-INDEX(SkiftStart,1),Syklus)&lt;DagK+DagH+DagD,"D","F")))))</f>
        <v/>
      </c>
      <c r="L8" s="2">
        <f>IF(L$5="","",IF(IF(MOD(L$5-INDEX(SkiftStart,1),Syklus)&lt;DagK,"K",IF(MOD(L$5-INDEX(SkiftStart,1),Syklus)&lt;DagK+DagH,"H",IF(MOD(L$5-INDEX(SkiftStart,1),Syklus)&lt;DagK+DagH+DagD,"D","F")))="F","",IF(MOD(L$5-INDEX(SkiftStart,1),Syklus)&lt;DagK,"K",IF(MOD(L$5-INDEX(SkiftStart,1),Syklus)&lt;DagK+DagH,"H",IF(MOD(L$5-INDEX(SkiftStart,1),Syklus)&lt;DagK+DagH+DagD,"D","F")))))</f>
        <v/>
      </c>
      <c r="M8" s="2">
        <f>IF(M$5="","",IF(IF(MOD(M$5-INDEX(SkiftStart,1),Syklus)&lt;DagK,"K",IF(MOD(M$5-INDEX(SkiftStart,1),Syklus)&lt;DagK+DagH,"H",IF(MOD(M$5-INDEX(SkiftStart,1),Syklus)&lt;DagK+DagH+DagD,"D","F")))="F","",IF(MOD(M$5-INDEX(SkiftStart,1),Syklus)&lt;DagK,"K",IF(MOD(M$5-INDEX(SkiftStart,1),Syklus)&lt;DagK+DagH,"H",IF(MOD(M$5-INDEX(SkiftStart,1),Syklus)&lt;DagK+DagH+DagD,"D","F")))))</f>
        <v/>
      </c>
      <c r="N8" s="2">
        <f>IF(N$5="","",IF(IF(MOD(N$5-INDEX(SkiftStart,1),Syklus)&lt;DagK,"K",IF(MOD(N$5-INDEX(SkiftStart,1),Syklus)&lt;DagK+DagH,"H",IF(MOD(N$5-INDEX(SkiftStart,1),Syklus)&lt;DagK+DagH+DagD,"D","F")))="F","",IF(MOD(N$5-INDEX(SkiftStart,1),Syklus)&lt;DagK,"K",IF(MOD(N$5-INDEX(SkiftStart,1),Syklus)&lt;DagK+DagH,"H",IF(MOD(N$5-INDEX(SkiftStart,1),Syklus)&lt;DagK+DagH+DagD,"D","F")))))</f>
        <v/>
      </c>
      <c r="O8" s="2">
        <f>IF(O$5="","",IF(IF(MOD(O$5-INDEX(SkiftStart,1),Syklus)&lt;DagK,"K",IF(MOD(O$5-INDEX(SkiftStart,1),Syklus)&lt;DagK+DagH,"H",IF(MOD(O$5-INDEX(SkiftStart,1),Syklus)&lt;DagK+DagH+DagD,"D","F")))="F","",IF(MOD(O$5-INDEX(SkiftStart,1),Syklus)&lt;DagK,"K",IF(MOD(O$5-INDEX(SkiftStart,1),Syklus)&lt;DagK+DagH,"H",IF(MOD(O$5-INDEX(SkiftStart,1),Syklus)&lt;DagK+DagH+DagD,"D","F")))))</f>
        <v/>
      </c>
      <c r="P8" s="2">
        <f>IF(P$5="","",IF(IF(MOD(P$5-INDEX(SkiftStart,1),Syklus)&lt;DagK,"K",IF(MOD(P$5-INDEX(SkiftStart,1),Syklus)&lt;DagK+DagH,"H",IF(MOD(P$5-INDEX(SkiftStart,1),Syklus)&lt;DagK+DagH+DagD,"D","F")))="F","",IF(MOD(P$5-INDEX(SkiftStart,1),Syklus)&lt;DagK,"K",IF(MOD(P$5-INDEX(SkiftStart,1),Syklus)&lt;DagK+DagH,"H",IF(MOD(P$5-INDEX(SkiftStart,1),Syklus)&lt;DagK+DagH+DagD,"D","F")))))</f>
        <v/>
      </c>
      <c r="Q8" s="2">
        <f>IF(Q$5="","",IF(IF(MOD(Q$5-INDEX(SkiftStart,1),Syklus)&lt;DagK,"K",IF(MOD(Q$5-INDEX(SkiftStart,1),Syklus)&lt;DagK+DagH,"H",IF(MOD(Q$5-INDEX(SkiftStart,1),Syklus)&lt;DagK+DagH+DagD,"D","F")))="F","",IF(MOD(Q$5-INDEX(SkiftStart,1),Syklus)&lt;DagK,"K",IF(MOD(Q$5-INDEX(SkiftStart,1),Syklus)&lt;DagK+DagH,"H",IF(MOD(Q$5-INDEX(SkiftStart,1),Syklus)&lt;DagK+DagH+DagD,"D","F")))))</f>
        <v/>
      </c>
      <c r="R8" s="2">
        <f>IF(R$5="","",IF(IF(MOD(R$5-INDEX(SkiftStart,1),Syklus)&lt;DagK,"K",IF(MOD(R$5-INDEX(SkiftStart,1),Syklus)&lt;DagK+DagH,"H",IF(MOD(R$5-INDEX(SkiftStart,1),Syklus)&lt;DagK+DagH+DagD,"D","F")))="F","",IF(MOD(R$5-INDEX(SkiftStart,1),Syklus)&lt;DagK,"K",IF(MOD(R$5-INDEX(SkiftStart,1),Syklus)&lt;DagK+DagH,"H",IF(MOD(R$5-INDEX(SkiftStart,1),Syklus)&lt;DagK+DagH+DagD,"D","F")))))</f>
        <v/>
      </c>
      <c r="S8" s="2">
        <f>IF(S$5="","",IF(IF(MOD(S$5-INDEX(SkiftStart,1),Syklus)&lt;DagK,"K",IF(MOD(S$5-INDEX(SkiftStart,1),Syklus)&lt;DagK+DagH,"H",IF(MOD(S$5-INDEX(SkiftStart,1),Syklus)&lt;DagK+DagH+DagD,"D","F")))="F","",IF(MOD(S$5-INDEX(SkiftStart,1),Syklus)&lt;DagK,"K",IF(MOD(S$5-INDEX(SkiftStart,1),Syklus)&lt;DagK+DagH,"H",IF(MOD(S$5-INDEX(SkiftStart,1),Syklus)&lt;DagK+DagH+DagD,"D","F")))))</f>
        <v/>
      </c>
      <c r="T8" s="2">
        <f>IF(T$5="","",IF(IF(MOD(T$5-INDEX(SkiftStart,1),Syklus)&lt;DagK,"K",IF(MOD(T$5-INDEX(SkiftStart,1),Syklus)&lt;DagK+DagH,"H",IF(MOD(T$5-INDEX(SkiftStart,1),Syklus)&lt;DagK+DagH+DagD,"D","F")))="F","",IF(MOD(T$5-INDEX(SkiftStart,1),Syklus)&lt;DagK,"K",IF(MOD(T$5-INDEX(SkiftStart,1),Syklus)&lt;DagK+DagH,"H",IF(MOD(T$5-INDEX(SkiftStart,1),Syklus)&lt;DagK+DagH+DagD,"D","F")))))</f>
        <v/>
      </c>
      <c r="U8" s="2">
        <f>IF(U$5="","",IF(IF(MOD(U$5-INDEX(SkiftStart,1),Syklus)&lt;DagK,"K",IF(MOD(U$5-INDEX(SkiftStart,1),Syklus)&lt;DagK+DagH,"H",IF(MOD(U$5-INDEX(SkiftStart,1),Syklus)&lt;DagK+DagH+DagD,"D","F")))="F","",IF(MOD(U$5-INDEX(SkiftStart,1),Syklus)&lt;DagK,"K",IF(MOD(U$5-INDEX(SkiftStart,1),Syklus)&lt;DagK+DagH,"H",IF(MOD(U$5-INDEX(SkiftStart,1),Syklus)&lt;DagK+DagH+DagD,"D","F")))))</f>
        <v/>
      </c>
      <c r="V8" s="2">
        <f>IF(V$5="","",IF(IF(MOD(V$5-INDEX(SkiftStart,1),Syklus)&lt;DagK,"K",IF(MOD(V$5-INDEX(SkiftStart,1),Syklus)&lt;DagK+DagH,"H",IF(MOD(V$5-INDEX(SkiftStart,1),Syklus)&lt;DagK+DagH+DagD,"D","F")))="F","",IF(MOD(V$5-INDEX(SkiftStart,1),Syklus)&lt;DagK,"K",IF(MOD(V$5-INDEX(SkiftStart,1),Syklus)&lt;DagK+DagH,"H",IF(MOD(V$5-INDEX(SkiftStart,1),Syklus)&lt;DagK+DagH+DagD,"D","F")))))</f>
        <v/>
      </c>
      <c r="W8" s="2">
        <f>IF(W$5="","",IF(IF(MOD(W$5-INDEX(SkiftStart,1),Syklus)&lt;DagK,"K",IF(MOD(W$5-INDEX(SkiftStart,1),Syklus)&lt;DagK+DagH,"H",IF(MOD(W$5-INDEX(SkiftStart,1),Syklus)&lt;DagK+DagH+DagD,"D","F")))="F","",IF(MOD(W$5-INDEX(SkiftStart,1),Syklus)&lt;DagK,"K",IF(MOD(W$5-INDEX(SkiftStart,1),Syklus)&lt;DagK+DagH,"H",IF(MOD(W$5-INDEX(SkiftStart,1),Syklus)&lt;DagK+DagH+DagD,"D","F")))))</f>
        <v/>
      </c>
      <c r="X8" s="2">
        <f>IF(X$5="","",IF(IF(MOD(X$5-INDEX(SkiftStart,1),Syklus)&lt;DagK,"K",IF(MOD(X$5-INDEX(SkiftStart,1),Syklus)&lt;DagK+DagH,"H",IF(MOD(X$5-INDEX(SkiftStart,1),Syklus)&lt;DagK+DagH+DagD,"D","F")))="F","",IF(MOD(X$5-INDEX(SkiftStart,1),Syklus)&lt;DagK,"K",IF(MOD(X$5-INDEX(SkiftStart,1),Syklus)&lt;DagK+DagH,"H",IF(MOD(X$5-INDEX(SkiftStart,1),Syklus)&lt;DagK+DagH+DagD,"D","F")))))</f>
        <v/>
      </c>
      <c r="Y8" s="2">
        <f>IF(Y$5="","",IF(IF(MOD(Y$5-INDEX(SkiftStart,1),Syklus)&lt;DagK,"K",IF(MOD(Y$5-INDEX(SkiftStart,1),Syklus)&lt;DagK+DagH,"H",IF(MOD(Y$5-INDEX(SkiftStart,1),Syklus)&lt;DagK+DagH+DagD,"D","F")))="F","",IF(MOD(Y$5-INDEX(SkiftStart,1),Syklus)&lt;DagK,"K",IF(MOD(Y$5-INDEX(SkiftStart,1),Syklus)&lt;DagK+DagH,"H",IF(MOD(Y$5-INDEX(SkiftStart,1),Syklus)&lt;DagK+DagH+DagD,"D","F")))))</f>
        <v/>
      </c>
      <c r="Z8" s="2">
        <f>IF(Z$5="","",IF(IF(MOD(Z$5-INDEX(SkiftStart,1),Syklus)&lt;DagK,"K",IF(MOD(Z$5-INDEX(SkiftStart,1),Syklus)&lt;DagK+DagH,"H",IF(MOD(Z$5-INDEX(SkiftStart,1),Syklus)&lt;DagK+DagH+DagD,"D","F")))="F","",IF(MOD(Z$5-INDEX(SkiftStart,1),Syklus)&lt;DagK,"K",IF(MOD(Z$5-INDEX(SkiftStart,1),Syklus)&lt;DagK+DagH,"H",IF(MOD(Z$5-INDEX(SkiftStart,1),Syklus)&lt;DagK+DagH+DagD,"D","F")))))</f>
        <v/>
      </c>
      <c r="AA8" s="2">
        <f>IF(AA$5="","",IF(IF(MOD(AA$5-INDEX(SkiftStart,1),Syklus)&lt;DagK,"K",IF(MOD(AA$5-INDEX(SkiftStart,1),Syklus)&lt;DagK+DagH,"H",IF(MOD(AA$5-INDEX(SkiftStart,1),Syklus)&lt;DagK+DagH+DagD,"D","F")))="F","",IF(MOD(AA$5-INDEX(SkiftStart,1),Syklus)&lt;DagK,"K",IF(MOD(AA$5-INDEX(SkiftStart,1),Syklus)&lt;DagK+DagH,"H",IF(MOD(AA$5-INDEX(SkiftStart,1),Syklus)&lt;DagK+DagH+DagD,"D","F")))))</f>
        <v/>
      </c>
      <c r="AB8" s="2">
        <f>IF(AB$5="","",IF(IF(MOD(AB$5-INDEX(SkiftStart,1),Syklus)&lt;DagK,"K",IF(MOD(AB$5-INDEX(SkiftStart,1),Syklus)&lt;DagK+DagH,"H",IF(MOD(AB$5-INDEX(SkiftStart,1),Syklus)&lt;DagK+DagH+DagD,"D","F")))="F","",IF(MOD(AB$5-INDEX(SkiftStart,1),Syklus)&lt;DagK,"K",IF(MOD(AB$5-INDEX(SkiftStart,1),Syklus)&lt;DagK+DagH,"H",IF(MOD(AB$5-INDEX(SkiftStart,1),Syklus)&lt;DagK+DagH+DagD,"D","F")))))</f>
        <v/>
      </c>
      <c r="AC8" s="2">
        <f>IF(AC$5="","",IF(IF(MOD(AC$5-INDEX(SkiftStart,1),Syklus)&lt;DagK,"K",IF(MOD(AC$5-INDEX(SkiftStart,1),Syklus)&lt;DagK+DagH,"H",IF(MOD(AC$5-INDEX(SkiftStart,1),Syklus)&lt;DagK+DagH+DagD,"D","F")))="F","",IF(MOD(AC$5-INDEX(SkiftStart,1),Syklus)&lt;DagK,"K",IF(MOD(AC$5-INDEX(SkiftStart,1),Syklus)&lt;DagK+DagH,"H",IF(MOD(AC$5-INDEX(SkiftStart,1),Syklus)&lt;DagK+DagH+DagD,"D","F")))))</f>
        <v/>
      </c>
      <c r="AD8" s="2">
        <f>IF(AD$5="","",IF(IF(MOD(AD$5-INDEX(SkiftStart,1),Syklus)&lt;DagK,"K",IF(MOD(AD$5-INDEX(SkiftStart,1),Syklus)&lt;DagK+DagH,"H",IF(MOD(AD$5-INDEX(SkiftStart,1),Syklus)&lt;DagK+DagH+DagD,"D","F")))="F","",IF(MOD(AD$5-INDEX(SkiftStart,1),Syklus)&lt;DagK,"K",IF(MOD(AD$5-INDEX(SkiftStart,1),Syklus)&lt;DagK+DagH,"H",IF(MOD(AD$5-INDEX(SkiftStart,1),Syklus)&lt;DagK+DagH+DagD,"D","F")))))</f>
        <v/>
      </c>
      <c r="AE8" s="2">
        <f>IF(AE$5="","",IF(IF(MOD(AE$5-INDEX(SkiftStart,1),Syklus)&lt;DagK,"K",IF(MOD(AE$5-INDEX(SkiftStart,1),Syklus)&lt;DagK+DagH,"H",IF(MOD(AE$5-INDEX(SkiftStart,1),Syklus)&lt;DagK+DagH+DagD,"D","F")))="F","",IF(MOD(AE$5-INDEX(SkiftStart,1),Syklus)&lt;DagK,"K",IF(MOD(AE$5-INDEX(SkiftStart,1),Syklus)&lt;DagK+DagH,"H",IF(MOD(AE$5-INDEX(SkiftStart,1),Syklus)&lt;DagK+DagH+DagD,"D","F")))))</f>
        <v/>
      </c>
      <c r="AF8" s="2">
        <f>IF(AF$5="","",IF(IF(MOD(AF$5-INDEX(SkiftStart,1),Syklus)&lt;DagK,"K",IF(MOD(AF$5-INDEX(SkiftStart,1),Syklus)&lt;DagK+DagH,"H",IF(MOD(AF$5-INDEX(SkiftStart,1),Syklus)&lt;DagK+DagH+DagD,"D","F")))="F","",IF(MOD(AF$5-INDEX(SkiftStart,1),Syklus)&lt;DagK,"K",IF(MOD(AF$5-INDEX(SkiftStart,1),Syklus)&lt;DagK+DagH,"H",IF(MOD(AF$5-INDEX(SkiftStart,1),Syklus)&lt;DagK+DagH+DagD,"D","F")))))</f>
        <v/>
      </c>
      <c r="AG8" s="2">
        <f>IF(AG$5="","",IF(IF(MOD(AG$5-INDEX(SkiftStart,1),Syklus)&lt;DagK,"K",IF(MOD(AG$5-INDEX(SkiftStart,1),Syklus)&lt;DagK+DagH,"H",IF(MOD(AG$5-INDEX(SkiftStart,1),Syklus)&lt;DagK+DagH+DagD,"D","F")))="F","",IF(MOD(AG$5-INDEX(SkiftStart,1),Syklus)&lt;DagK,"K",IF(MOD(AG$5-INDEX(SkiftStart,1),Syklus)&lt;DagK+DagH,"H",IF(MOD(AG$5-INDEX(SkiftStart,1),Syklus)&lt;DagK+DagH+DagD,"D","F")))))</f>
        <v/>
      </c>
      <c r="AH8" s="2" t="n"/>
      <c r="AI8" s="2" t="n"/>
      <c r="AJ8" s="2" t="n"/>
    </row>
    <row r="9" hidden="1">
      <c r="A9" s="2" t="n"/>
      <c r="B9" s="2" t="n"/>
      <c r="C9" s="2">
        <f>IF(C$5="","",IF(IF(MOD(C$5-INDEX(SkiftStart,2),Syklus)&lt;DagK,"K",IF(MOD(C$5-INDEX(SkiftStart,2),Syklus)&lt;DagK+DagH,"H",IF(MOD(C$5-INDEX(SkiftStart,2),Syklus)&lt;DagK+DagH+DagD,"D","F")))="F","",IF(MOD(C$5-INDEX(SkiftStart,2),Syklus)&lt;DagK,"K",IF(MOD(C$5-INDEX(SkiftStart,2),Syklus)&lt;DagK+DagH,"H",IF(MOD(C$5-INDEX(SkiftStart,2),Syklus)&lt;DagK+DagH+DagD,"D","F")))))</f>
        <v/>
      </c>
      <c r="D9" s="2">
        <f>IF(D$5="","",IF(IF(MOD(D$5-INDEX(SkiftStart,2),Syklus)&lt;DagK,"K",IF(MOD(D$5-INDEX(SkiftStart,2),Syklus)&lt;DagK+DagH,"H",IF(MOD(D$5-INDEX(SkiftStart,2),Syklus)&lt;DagK+DagH+DagD,"D","F")))="F","",IF(MOD(D$5-INDEX(SkiftStart,2),Syklus)&lt;DagK,"K",IF(MOD(D$5-INDEX(SkiftStart,2),Syklus)&lt;DagK+DagH,"H",IF(MOD(D$5-INDEX(SkiftStart,2),Syklus)&lt;DagK+DagH+DagD,"D","F")))))</f>
        <v/>
      </c>
      <c r="E9" s="2">
        <f>IF(E$5="","",IF(IF(MOD(E$5-INDEX(SkiftStart,2),Syklus)&lt;DagK,"K",IF(MOD(E$5-INDEX(SkiftStart,2),Syklus)&lt;DagK+DagH,"H",IF(MOD(E$5-INDEX(SkiftStart,2),Syklus)&lt;DagK+DagH+DagD,"D","F")))="F","",IF(MOD(E$5-INDEX(SkiftStart,2),Syklus)&lt;DagK,"K",IF(MOD(E$5-INDEX(SkiftStart,2),Syklus)&lt;DagK+DagH,"H",IF(MOD(E$5-INDEX(SkiftStart,2),Syklus)&lt;DagK+DagH+DagD,"D","F")))))</f>
        <v/>
      </c>
      <c r="F9" s="2">
        <f>IF(F$5="","",IF(IF(MOD(F$5-INDEX(SkiftStart,2),Syklus)&lt;DagK,"K",IF(MOD(F$5-INDEX(SkiftStart,2),Syklus)&lt;DagK+DagH,"H",IF(MOD(F$5-INDEX(SkiftStart,2),Syklus)&lt;DagK+DagH+DagD,"D","F")))="F","",IF(MOD(F$5-INDEX(SkiftStart,2),Syklus)&lt;DagK,"K",IF(MOD(F$5-INDEX(SkiftStart,2),Syklus)&lt;DagK+DagH,"H",IF(MOD(F$5-INDEX(SkiftStart,2),Syklus)&lt;DagK+DagH+DagD,"D","F")))))</f>
        <v/>
      </c>
      <c r="G9" s="2">
        <f>IF(G$5="","",IF(IF(MOD(G$5-INDEX(SkiftStart,2),Syklus)&lt;DagK,"K",IF(MOD(G$5-INDEX(SkiftStart,2),Syklus)&lt;DagK+DagH,"H",IF(MOD(G$5-INDEX(SkiftStart,2),Syklus)&lt;DagK+DagH+DagD,"D","F")))="F","",IF(MOD(G$5-INDEX(SkiftStart,2),Syklus)&lt;DagK,"K",IF(MOD(G$5-INDEX(SkiftStart,2),Syklus)&lt;DagK+DagH,"H",IF(MOD(G$5-INDEX(SkiftStart,2),Syklus)&lt;DagK+DagH+DagD,"D","F")))))</f>
        <v/>
      </c>
      <c r="H9" s="2">
        <f>IF(H$5="","",IF(IF(MOD(H$5-INDEX(SkiftStart,2),Syklus)&lt;DagK,"K",IF(MOD(H$5-INDEX(SkiftStart,2),Syklus)&lt;DagK+DagH,"H",IF(MOD(H$5-INDEX(SkiftStart,2),Syklus)&lt;DagK+DagH+DagD,"D","F")))="F","",IF(MOD(H$5-INDEX(SkiftStart,2),Syklus)&lt;DagK,"K",IF(MOD(H$5-INDEX(SkiftStart,2),Syklus)&lt;DagK+DagH,"H",IF(MOD(H$5-INDEX(SkiftStart,2),Syklus)&lt;DagK+DagH+DagD,"D","F")))))</f>
        <v/>
      </c>
      <c r="I9" s="2">
        <f>IF(I$5="","",IF(IF(MOD(I$5-INDEX(SkiftStart,2),Syklus)&lt;DagK,"K",IF(MOD(I$5-INDEX(SkiftStart,2),Syklus)&lt;DagK+DagH,"H",IF(MOD(I$5-INDEX(SkiftStart,2),Syklus)&lt;DagK+DagH+DagD,"D","F")))="F","",IF(MOD(I$5-INDEX(SkiftStart,2),Syklus)&lt;DagK,"K",IF(MOD(I$5-INDEX(SkiftStart,2),Syklus)&lt;DagK+DagH,"H",IF(MOD(I$5-INDEX(SkiftStart,2),Syklus)&lt;DagK+DagH+DagD,"D","F")))))</f>
        <v/>
      </c>
      <c r="J9" s="2">
        <f>IF(J$5="","",IF(IF(MOD(J$5-INDEX(SkiftStart,2),Syklus)&lt;DagK,"K",IF(MOD(J$5-INDEX(SkiftStart,2),Syklus)&lt;DagK+DagH,"H",IF(MOD(J$5-INDEX(SkiftStart,2),Syklus)&lt;DagK+DagH+DagD,"D","F")))="F","",IF(MOD(J$5-INDEX(SkiftStart,2),Syklus)&lt;DagK,"K",IF(MOD(J$5-INDEX(SkiftStart,2),Syklus)&lt;DagK+DagH,"H",IF(MOD(J$5-INDEX(SkiftStart,2),Syklus)&lt;DagK+DagH+DagD,"D","F")))))</f>
        <v/>
      </c>
      <c r="K9" s="2">
        <f>IF(K$5="","",IF(IF(MOD(K$5-INDEX(SkiftStart,2),Syklus)&lt;DagK,"K",IF(MOD(K$5-INDEX(SkiftStart,2),Syklus)&lt;DagK+DagH,"H",IF(MOD(K$5-INDEX(SkiftStart,2),Syklus)&lt;DagK+DagH+DagD,"D","F")))="F","",IF(MOD(K$5-INDEX(SkiftStart,2),Syklus)&lt;DagK,"K",IF(MOD(K$5-INDEX(SkiftStart,2),Syklus)&lt;DagK+DagH,"H",IF(MOD(K$5-INDEX(SkiftStart,2),Syklus)&lt;DagK+DagH+DagD,"D","F")))))</f>
        <v/>
      </c>
      <c r="L9" s="2">
        <f>IF(L$5="","",IF(IF(MOD(L$5-INDEX(SkiftStart,2),Syklus)&lt;DagK,"K",IF(MOD(L$5-INDEX(SkiftStart,2),Syklus)&lt;DagK+DagH,"H",IF(MOD(L$5-INDEX(SkiftStart,2),Syklus)&lt;DagK+DagH+DagD,"D","F")))="F","",IF(MOD(L$5-INDEX(SkiftStart,2),Syklus)&lt;DagK,"K",IF(MOD(L$5-INDEX(SkiftStart,2),Syklus)&lt;DagK+DagH,"H",IF(MOD(L$5-INDEX(SkiftStart,2),Syklus)&lt;DagK+DagH+DagD,"D","F")))))</f>
        <v/>
      </c>
      <c r="M9" s="2">
        <f>IF(M$5="","",IF(IF(MOD(M$5-INDEX(SkiftStart,2),Syklus)&lt;DagK,"K",IF(MOD(M$5-INDEX(SkiftStart,2),Syklus)&lt;DagK+DagH,"H",IF(MOD(M$5-INDEX(SkiftStart,2),Syklus)&lt;DagK+DagH+DagD,"D","F")))="F","",IF(MOD(M$5-INDEX(SkiftStart,2),Syklus)&lt;DagK,"K",IF(MOD(M$5-INDEX(SkiftStart,2),Syklus)&lt;DagK+DagH,"H",IF(MOD(M$5-INDEX(SkiftStart,2),Syklus)&lt;DagK+DagH+DagD,"D","F")))))</f>
        <v/>
      </c>
      <c r="N9" s="2">
        <f>IF(N$5="","",IF(IF(MOD(N$5-INDEX(SkiftStart,2),Syklus)&lt;DagK,"K",IF(MOD(N$5-INDEX(SkiftStart,2),Syklus)&lt;DagK+DagH,"H",IF(MOD(N$5-INDEX(SkiftStart,2),Syklus)&lt;DagK+DagH+DagD,"D","F")))="F","",IF(MOD(N$5-INDEX(SkiftStart,2),Syklus)&lt;DagK,"K",IF(MOD(N$5-INDEX(SkiftStart,2),Syklus)&lt;DagK+DagH,"H",IF(MOD(N$5-INDEX(SkiftStart,2),Syklus)&lt;DagK+DagH+DagD,"D","F")))))</f>
        <v/>
      </c>
      <c r="O9" s="2">
        <f>IF(O$5="","",IF(IF(MOD(O$5-INDEX(SkiftStart,2),Syklus)&lt;DagK,"K",IF(MOD(O$5-INDEX(SkiftStart,2),Syklus)&lt;DagK+DagH,"H",IF(MOD(O$5-INDEX(SkiftStart,2),Syklus)&lt;DagK+DagH+DagD,"D","F")))="F","",IF(MOD(O$5-INDEX(SkiftStart,2),Syklus)&lt;DagK,"K",IF(MOD(O$5-INDEX(SkiftStart,2),Syklus)&lt;DagK+DagH,"H",IF(MOD(O$5-INDEX(SkiftStart,2),Syklus)&lt;DagK+DagH+DagD,"D","F")))))</f>
        <v/>
      </c>
      <c r="P9" s="2">
        <f>IF(P$5="","",IF(IF(MOD(P$5-INDEX(SkiftStart,2),Syklus)&lt;DagK,"K",IF(MOD(P$5-INDEX(SkiftStart,2),Syklus)&lt;DagK+DagH,"H",IF(MOD(P$5-INDEX(SkiftStart,2),Syklus)&lt;DagK+DagH+DagD,"D","F")))="F","",IF(MOD(P$5-INDEX(SkiftStart,2),Syklus)&lt;DagK,"K",IF(MOD(P$5-INDEX(SkiftStart,2),Syklus)&lt;DagK+DagH,"H",IF(MOD(P$5-INDEX(SkiftStart,2),Syklus)&lt;DagK+DagH+DagD,"D","F")))))</f>
        <v/>
      </c>
      <c r="Q9" s="2">
        <f>IF(Q$5="","",IF(IF(MOD(Q$5-INDEX(SkiftStart,2),Syklus)&lt;DagK,"K",IF(MOD(Q$5-INDEX(SkiftStart,2),Syklus)&lt;DagK+DagH,"H",IF(MOD(Q$5-INDEX(SkiftStart,2),Syklus)&lt;DagK+DagH+DagD,"D","F")))="F","",IF(MOD(Q$5-INDEX(SkiftStart,2),Syklus)&lt;DagK,"K",IF(MOD(Q$5-INDEX(SkiftStart,2),Syklus)&lt;DagK+DagH,"H",IF(MOD(Q$5-INDEX(SkiftStart,2),Syklus)&lt;DagK+DagH+DagD,"D","F")))))</f>
        <v/>
      </c>
      <c r="R9" s="2">
        <f>IF(R$5="","",IF(IF(MOD(R$5-INDEX(SkiftStart,2),Syklus)&lt;DagK,"K",IF(MOD(R$5-INDEX(SkiftStart,2),Syklus)&lt;DagK+DagH,"H",IF(MOD(R$5-INDEX(SkiftStart,2),Syklus)&lt;DagK+DagH+DagD,"D","F")))="F","",IF(MOD(R$5-INDEX(SkiftStart,2),Syklus)&lt;DagK,"K",IF(MOD(R$5-INDEX(SkiftStart,2),Syklus)&lt;DagK+DagH,"H",IF(MOD(R$5-INDEX(SkiftStart,2),Syklus)&lt;DagK+DagH+DagD,"D","F")))))</f>
        <v/>
      </c>
      <c r="S9" s="2">
        <f>IF(S$5="","",IF(IF(MOD(S$5-INDEX(SkiftStart,2),Syklus)&lt;DagK,"K",IF(MOD(S$5-INDEX(SkiftStart,2),Syklus)&lt;DagK+DagH,"H",IF(MOD(S$5-INDEX(SkiftStart,2),Syklus)&lt;DagK+DagH+DagD,"D","F")))="F","",IF(MOD(S$5-INDEX(SkiftStart,2),Syklus)&lt;DagK,"K",IF(MOD(S$5-INDEX(SkiftStart,2),Syklus)&lt;DagK+DagH,"H",IF(MOD(S$5-INDEX(SkiftStart,2),Syklus)&lt;DagK+DagH+DagD,"D","F")))))</f>
        <v/>
      </c>
      <c r="T9" s="2">
        <f>IF(T$5="","",IF(IF(MOD(T$5-INDEX(SkiftStart,2),Syklus)&lt;DagK,"K",IF(MOD(T$5-INDEX(SkiftStart,2),Syklus)&lt;DagK+DagH,"H",IF(MOD(T$5-INDEX(SkiftStart,2),Syklus)&lt;DagK+DagH+DagD,"D","F")))="F","",IF(MOD(T$5-INDEX(SkiftStart,2),Syklus)&lt;DagK,"K",IF(MOD(T$5-INDEX(SkiftStart,2),Syklus)&lt;DagK+DagH,"H",IF(MOD(T$5-INDEX(SkiftStart,2),Syklus)&lt;DagK+DagH+DagD,"D","F")))))</f>
        <v/>
      </c>
      <c r="U9" s="2">
        <f>IF(U$5="","",IF(IF(MOD(U$5-INDEX(SkiftStart,2),Syklus)&lt;DagK,"K",IF(MOD(U$5-INDEX(SkiftStart,2),Syklus)&lt;DagK+DagH,"H",IF(MOD(U$5-INDEX(SkiftStart,2),Syklus)&lt;DagK+DagH+DagD,"D","F")))="F","",IF(MOD(U$5-INDEX(SkiftStart,2),Syklus)&lt;DagK,"K",IF(MOD(U$5-INDEX(SkiftStart,2),Syklus)&lt;DagK+DagH,"H",IF(MOD(U$5-INDEX(SkiftStart,2),Syklus)&lt;DagK+DagH+DagD,"D","F")))))</f>
        <v/>
      </c>
      <c r="V9" s="2">
        <f>IF(V$5="","",IF(IF(MOD(V$5-INDEX(SkiftStart,2),Syklus)&lt;DagK,"K",IF(MOD(V$5-INDEX(SkiftStart,2),Syklus)&lt;DagK+DagH,"H",IF(MOD(V$5-INDEX(SkiftStart,2),Syklus)&lt;DagK+DagH+DagD,"D","F")))="F","",IF(MOD(V$5-INDEX(SkiftStart,2),Syklus)&lt;DagK,"K",IF(MOD(V$5-INDEX(SkiftStart,2),Syklus)&lt;DagK+DagH,"H",IF(MOD(V$5-INDEX(SkiftStart,2),Syklus)&lt;DagK+DagH+DagD,"D","F")))))</f>
        <v/>
      </c>
      <c r="W9" s="2">
        <f>IF(W$5="","",IF(IF(MOD(W$5-INDEX(SkiftStart,2),Syklus)&lt;DagK,"K",IF(MOD(W$5-INDEX(SkiftStart,2),Syklus)&lt;DagK+DagH,"H",IF(MOD(W$5-INDEX(SkiftStart,2),Syklus)&lt;DagK+DagH+DagD,"D","F")))="F","",IF(MOD(W$5-INDEX(SkiftStart,2),Syklus)&lt;DagK,"K",IF(MOD(W$5-INDEX(SkiftStart,2),Syklus)&lt;DagK+DagH,"H",IF(MOD(W$5-INDEX(SkiftStart,2),Syklus)&lt;DagK+DagH+DagD,"D","F")))))</f>
        <v/>
      </c>
      <c r="X9" s="2">
        <f>IF(X$5="","",IF(IF(MOD(X$5-INDEX(SkiftStart,2),Syklus)&lt;DagK,"K",IF(MOD(X$5-INDEX(SkiftStart,2),Syklus)&lt;DagK+DagH,"H",IF(MOD(X$5-INDEX(SkiftStart,2),Syklus)&lt;DagK+DagH+DagD,"D","F")))="F","",IF(MOD(X$5-INDEX(SkiftStart,2),Syklus)&lt;DagK,"K",IF(MOD(X$5-INDEX(SkiftStart,2),Syklus)&lt;DagK+DagH,"H",IF(MOD(X$5-INDEX(SkiftStart,2),Syklus)&lt;DagK+DagH+DagD,"D","F")))))</f>
        <v/>
      </c>
      <c r="Y9" s="2">
        <f>IF(Y$5="","",IF(IF(MOD(Y$5-INDEX(SkiftStart,2),Syklus)&lt;DagK,"K",IF(MOD(Y$5-INDEX(SkiftStart,2),Syklus)&lt;DagK+DagH,"H",IF(MOD(Y$5-INDEX(SkiftStart,2),Syklus)&lt;DagK+DagH+DagD,"D","F")))="F","",IF(MOD(Y$5-INDEX(SkiftStart,2),Syklus)&lt;DagK,"K",IF(MOD(Y$5-INDEX(SkiftStart,2),Syklus)&lt;DagK+DagH,"H",IF(MOD(Y$5-INDEX(SkiftStart,2),Syklus)&lt;DagK+DagH+DagD,"D","F")))))</f>
        <v/>
      </c>
      <c r="Z9" s="2">
        <f>IF(Z$5="","",IF(IF(MOD(Z$5-INDEX(SkiftStart,2),Syklus)&lt;DagK,"K",IF(MOD(Z$5-INDEX(SkiftStart,2),Syklus)&lt;DagK+DagH,"H",IF(MOD(Z$5-INDEX(SkiftStart,2),Syklus)&lt;DagK+DagH+DagD,"D","F")))="F","",IF(MOD(Z$5-INDEX(SkiftStart,2),Syklus)&lt;DagK,"K",IF(MOD(Z$5-INDEX(SkiftStart,2),Syklus)&lt;DagK+DagH,"H",IF(MOD(Z$5-INDEX(SkiftStart,2),Syklus)&lt;DagK+DagH+DagD,"D","F")))))</f>
        <v/>
      </c>
      <c r="AA9" s="2">
        <f>IF(AA$5="","",IF(IF(MOD(AA$5-INDEX(SkiftStart,2),Syklus)&lt;DagK,"K",IF(MOD(AA$5-INDEX(SkiftStart,2),Syklus)&lt;DagK+DagH,"H",IF(MOD(AA$5-INDEX(SkiftStart,2),Syklus)&lt;DagK+DagH+DagD,"D","F")))="F","",IF(MOD(AA$5-INDEX(SkiftStart,2),Syklus)&lt;DagK,"K",IF(MOD(AA$5-INDEX(SkiftStart,2),Syklus)&lt;DagK+DagH,"H",IF(MOD(AA$5-INDEX(SkiftStart,2),Syklus)&lt;DagK+DagH+DagD,"D","F")))))</f>
        <v/>
      </c>
      <c r="AB9" s="2">
        <f>IF(AB$5="","",IF(IF(MOD(AB$5-INDEX(SkiftStart,2),Syklus)&lt;DagK,"K",IF(MOD(AB$5-INDEX(SkiftStart,2),Syklus)&lt;DagK+DagH,"H",IF(MOD(AB$5-INDEX(SkiftStart,2),Syklus)&lt;DagK+DagH+DagD,"D","F")))="F","",IF(MOD(AB$5-INDEX(SkiftStart,2),Syklus)&lt;DagK,"K",IF(MOD(AB$5-INDEX(SkiftStart,2),Syklus)&lt;DagK+DagH,"H",IF(MOD(AB$5-INDEX(SkiftStart,2),Syklus)&lt;DagK+DagH+DagD,"D","F")))))</f>
        <v/>
      </c>
      <c r="AC9" s="2">
        <f>IF(AC$5="","",IF(IF(MOD(AC$5-INDEX(SkiftStart,2),Syklus)&lt;DagK,"K",IF(MOD(AC$5-INDEX(SkiftStart,2),Syklus)&lt;DagK+DagH,"H",IF(MOD(AC$5-INDEX(SkiftStart,2),Syklus)&lt;DagK+DagH+DagD,"D","F")))="F","",IF(MOD(AC$5-INDEX(SkiftStart,2),Syklus)&lt;DagK,"K",IF(MOD(AC$5-INDEX(SkiftStart,2),Syklus)&lt;DagK+DagH,"H",IF(MOD(AC$5-INDEX(SkiftStart,2),Syklus)&lt;DagK+DagH+DagD,"D","F")))))</f>
        <v/>
      </c>
      <c r="AD9" s="2">
        <f>IF(AD$5="","",IF(IF(MOD(AD$5-INDEX(SkiftStart,2),Syklus)&lt;DagK,"K",IF(MOD(AD$5-INDEX(SkiftStart,2),Syklus)&lt;DagK+DagH,"H",IF(MOD(AD$5-INDEX(SkiftStart,2),Syklus)&lt;DagK+DagH+DagD,"D","F")))="F","",IF(MOD(AD$5-INDEX(SkiftStart,2),Syklus)&lt;DagK,"K",IF(MOD(AD$5-INDEX(SkiftStart,2),Syklus)&lt;DagK+DagH,"H",IF(MOD(AD$5-INDEX(SkiftStart,2),Syklus)&lt;DagK+DagH+DagD,"D","F")))))</f>
        <v/>
      </c>
      <c r="AE9" s="2">
        <f>IF(AE$5="","",IF(IF(MOD(AE$5-INDEX(SkiftStart,2),Syklus)&lt;DagK,"K",IF(MOD(AE$5-INDEX(SkiftStart,2),Syklus)&lt;DagK+DagH,"H",IF(MOD(AE$5-INDEX(SkiftStart,2),Syklus)&lt;DagK+DagH+DagD,"D","F")))="F","",IF(MOD(AE$5-INDEX(SkiftStart,2),Syklus)&lt;DagK,"K",IF(MOD(AE$5-INDEX(SkiftStart,2),Syklus)&lt;DagK+DagH,"H",IF(MOD(AE$5-INDEX(SkiftStart,2),Syklus)&lt;DagK+DagH+DagD,"D","F")))))</f>
        <v/>
      </c>
      <c r="AF9" s="2">
        <f>IF(AF$5="","",IF(IF(MOD(AF$5-INDEX(SkiftStart,2),Syklus)&lt;DagK,"K",IF(MOD(AF$5-INDEX(SkiftStart,2),Syklus)&lt;DagK+DagH,"H",IF(MOD(AF$5-INDEX(SkiftStart,2),Syklus)&lt;DagK+DagH+DagD,"D","F")))="F","",IF(MOD(AF$5-INDEX(SkiftStart,2),Syklus)&lt;DagK,"K",IF(MOD(AF$5-INDEX(SkiftStart,2),Syklus)&lt;DagK+DagH,"H",IF(MOD(AF$5-INDEX(SkiftStart,2),Syklus)&lt;DagK+DagH+DagD,"D","F")))))</f>
        <v/>
      </c>
      <c r="AG9" s="2">
        <f>IF(AG$5="","",IF(IF(MOD(AG$5-INDEX(SkiftStart,2),Syklus)&lt;DagK,"K",IF(MOD(AG$5-INDEX(SkiftStart,2),Syklus)&lt;DagK+DagH,"H",IF(MOD(AG$5-INDEX(SkiftStart,2),Syklus)&lt;DagK+DagH+DagD,"D","F")))="F","",IF(MOD(AG$5-INDEX(SkiftStart,2),Syklus)&lt;DagK,"K",IF(MOD(AG$5-INDEX(SkiftStart,2),Syklus)&lt;DagK+DagH,"H",IF(MOD(AG$5-INDEX(SkiftStart,2),Syklus)&lt;DagK+DagH+DagD,"D","F")))))</f>
        <v/>
      </c>
      <c r="AH9" s="2" t="n"/>
      <c r="AI9" s="2" t="n"/>
      <c r="AJ9" s="2" t="n"/>
    </row>
    <row r="10" hidden="1">
      <c r="A10" s="2" t="n"/>
      <c r="B10" s="2" t="n"/>
      <c r="C10" s="2">
        <f>IF(C$5="","",IF(IF(MOD(C$5-INDEX(SkiftStart,3),Syklus)&lt;DagK,"K",IF(MOD(C$5-INDEX(SkiftStart,3),Syklus)&lt;DagK+DagH,"H",IF(MOD(C$5-INDEX(SkiftStart,3),Syklus)&lt;DagK+DagH+DagD,"D","F")))="F","",IF(MOD(C$5-INDEX(SkiftStart,3),Syklus)&lt;DagK,"K",IF(MOD(C$5-INDEX(SkiftStart,3),Syklus)&lt;DagK+DagH,"H",IF(MOD(C$5-INDEX(SkiftStart,3),Syklus)&lt;DagK+DagH+DagD,"D","F")))))</f>
        <v/>
      </c>
      <c r="D10" s="2">
        <f>IF(D$5="","",IF(IF(MOD(D$5-INDEX(SkiftStart,3),Syklus)&lt;DagK,"K",IF(MOD(D$5-INDEX(SkiftStart,3),Syklus)&lt;DagK+DagH,"H",IF(MOD(D$5-INDEX(SkiftStart,3),Syklus)&lt;DagK+DagH+DagD,"D","F")))="F","",IF(MOD(D$5-INDEX(SkiftStart,3),Syklus)&lt;DagK,"K",IF(MOD(D$5-INDEX(SkiftStart,3),Syklus)&lt;DagK+DagH,"H",IF(MOD(D$5-INDEX(SkiftStart,3),Syklus)&lt;DagK+DagH+DagD,"D","F")))))</f>
        <v/>
      </c>
      <c r="E10" s="2">
        <f>IF(E$5="","",IF(IF(MOD(E$5-INDEX(SkiftStart,3),Syklus)&lt;DagK,"K",IF(MOD(E$5-INDEX(SkiftStart,3),Syklus)&lt;DagK+DagH,"H",IF(MOD(E$5-INDEX(SkiftStart,3),Syklus)&lt;DagK+DagH+DagD,"D","F")))="F","",IF(MOD(E$5-INDEX(SkiftStart,3),Syklus)&lt;DagK,"K",IF(MOD(E$5-INDEX(SkiftStart,3),Syklus)&lt;DagK+DagH,"H",IF(MOD(E$5-INDEX(SkiftStart,3),Syklus)&lt;DagK+DagH+DagD,"D","F")))))</f>
        <v/>
      </c>
      <c r="F10" s="2">
        <f>IF(F$5="","",IF(IF(MOD(F$5-INDEX(SkiftStart,3),Syklus)&lt;DagK,"K",IF(MOD(F$5-INDEX(SkiftStart,3),Syklus)&lt;DagK+DagH,"H",IF(MOD(F$5-INDEX(SkiftStart,3),Syklus)&lt;DagK+DagH+DagD,"D","F")))="F","",IF(MOD(F$5-INDEX(SkiftStart,3),Syklus)&lt;DagK,"K",IF(MOD(F$5-INDEX(SkiftStart,3),Syklus)&lt;DagK+DagH,"H",IF(MOD(F$5-INDEX(SkiftStart,3),Syklus)&lt;DagK+DagH+DagD,"D","F")))))</f>
        <v/>
      </c>
      <c r="G10" s="2">
        <f>IF(G$5="","",IF(IF(MOD(G$5-INDEX(SkiftStart,3),Syklus)&lt;DagK,"K",IF(MOD(G$5-INDEX(SkiftStart,3),Syklus)&lt;DagK+DagH,"H",IF(MOD(G$5-INDEX(SkiftStart,3),Syklus)&lt;DagK+DagH+DagD,"D","F")))="F","",IF(MOD(G$5-INDEX(SkiftStart,3),Syklus)&lt;DagK,"K",IF(MOD(G$5-INDEX(SkiftStart,3),Syklus)&lt;DagK+DagH,"H",IF(MOD(G$5-INDEX(SkiftStart,3),Syklus)&lt;DagK+DagH+DagD,"D","F")))))</f>
        <v/>
      </c>
      <c r="H10" s="2">
        <f>IF(H$5="","",IF(IF(MOD(H$5-INDEX(SkiftStart,3),Syklus)&lt;DagK,"K",IF(MOD(H$5-INDEX(SkiftStart,3),Syklus)&lt;DagK+DagH,"H",IF(MOD(H$5-INDEX(SkiftStart,3),Syklus)&lt;DagK+DagH+DagD,"D","F")))="F","",IF(MOD(H$5-INDEX(SkiftStart,3),Syklus)&lt;DagK,"K",IF(MOD(H$5-INDEX(SkiftStart,3),Syklus)&lt;DagK+DagH,"H",IF(MOD(H$5-INDEX(SkiftStart,3),Syklus)&lt;DagK+DagH+DagD,"D","F")))))</f>
        <v/>
      </c>
      <c r="I10" s="2">
        <f>IF(I$5="","",IF(IF(MOD(I$5-INDEX(SkiftStart,3),Syklus)&lt;DagK,"K",IF(MOD(I$5-INDEX(SkiftStart,3),Syklus)&lt;DagK+DagH,"H",IF(MOD(I$5-INDEX(SkiftStart,3),Syklus)&lt;DagK+DagH+DagD,"D","F")))="F","",IF(MOD(I$5-INDEX(SkiftStart,3),Syklus)&lt;DagK,"K",IF(MOD(I$5-INDEX(SkiftStart,3),Syklus)&lt;DagK+DagH,"H",IF(MOD(I$5-INDEX(SkiftStart,3),Syklus)&lt;DagK+DagH+DagD,"D","F")))))</f>
        <v/>
      </c>
      <c r="J10" s="2">
        <f>IF(J$5="","",IF(IF(MOD(J$5-INDEX(SkiftStart,3),Syklus)&lt;DagK,"K",IF(MOD(J$5-INDEX(SkiftStart,3),Syklus)&lt;DagK+DagH,"H",IF(MOD(J$5-INDEX(SkiftStart,3),Syklus)&lt;DagK+DagH+DagD,"D","F")))="F","",IF(MOD(J$5-INDEX(SkiftStart,3),Syklus)&lt;DagK,"K",IF(MOD(J$5-INDEX(SkiftStart,3),Syklus)&lt;DagK+DagH,"H",IF(MOD(J$5-INDEX(SkiftStart,3),Syklus)&lt;DagK+DagH+DagD,"D","F")))))</f>
        <v/>
      </c>
      <c r="K10" s="2">
        <f>IF(K$5="","",IF(IF(MOD(K$5-INDEX(SkiftStart,3),Syklus)&lt;DagK,"K",IF(MOD(K$5-INDEX(SkiftStart,3),Syklus)&lt;DagK+DagH,"H",IF(MOD(K$5-INDEX(SkiftStart,3),Syklus)&lt;DagK+DagH+DagD,"D","F")))="F","",IF(MOD(K$5-INDEX(SkiftStart,3),Syklus)&lt;DagK,"K",IF(MOD(K$5-INDEX(SkiftStart,3),Syklus)&lt;DagK+DagH,"H",IF(MOD(K$5-INDEX(SkiftStart,3),Syklus)&lt;DagK+DagH+DagD,"D","F")))))</f>
        <v/>
      </c>
      <c r="L10" s="2">
        <f>IF(L$5="","",IF(IF(MOD(L$5-INDEX(SkiftStart,3),Syklus)&lt;DagK,"K",IF(MOD(L$5-INDEX(SkiftStart,3),Syklus)&lt;DagK+DagH,"H",IF(MOD(L$5-INDEX(SkiftStart,3),Syklus)&lt;DagK+DagH+DagD,"D","F")))="F","",IF(MOD(L$5-INDEX(SkiftStart,3),Syklus)&lt;DagK,"K",IF(MOD(L$5-INDEX(SkiftStart,3),Syklus)&lt;DagK+DagH,"H",IF(MOD(L$5-INDEX(SkiftStart,3),Syklus)&lt;DagK+DagH+DagD,"D","F")))))</f>
        <v/>
      </c>
      <c r="M10" s="2">
        <f>IF(M$5="","",IF(IF(MOD(M$5-INDEX(SkiftStart,3),Syklus)&lt;DagK,"K",IF(MOD(M$5-INDEX(SkiftStart,3),Syklus)&lt;DagK+DagH,"H",IF(MOD(M$5-INDEX(SkiftStart,3),Syklus)&lt;DagK+DagH+DagD,"D","F")))="F","",IF(MOD(M$5-INDEX(SkiftStart,3),Syklus)&lt;DagK,"K",IF(MOD(M$5-INDEX(SkiftStart,3),Syklus)&lt;DagK+DagH,"H",IF(MOD(M$5-INDEX(SkiftStart,3),Syklus)&lt;DagK+DagH+DagD,"D","F")))))</f>
        <v/>
      </c>
      <c r="N10" s="2">
        <f>IF(N$5="","",IF(IF(MOD(N$5-INDEX(SkiftStart,3),Syklus)&lt;DagK,"K",IF(MOD(N$5-INDEX(SkiftStart,3),Syklus)&lt;DagK+DagH,"H",IF(MOD(N$5-INDEX(SkiftStart,3),Syklus)&lt;DagK+DagH+DagD,"D","F")))="F","",IF(MOD(N$5-INDEX(SkiftStart,3),Syklus)&lt;DagK,"K",IF(MOD(N$5-INDEX(SkiftStart,3),Syklus)&lt;DagK+DagH,"H",IF(MOD(N$5-INDEX(SkiftStart,3),Syklus)&lt;DagK+DagH+DagD,"D","F")))))</f>
        <v/>
      </c>
      <c r="O10" s="2">
        <f>IF(O$5="","",IF(IF(MOD(O$5-INDEX(SkiftStart,3),Syklus)&lt;DagK,"K",IF(MOD(O$5-INDEX(SkiftStart,3),Syklus)&lt;DagK+DagH,"H",IF(MOD(O$5-INDEX(SkiftStart,3),Syklus)&lt;DagK+DagH+DagD,"D","F")))="F","",IF(MOD(O$5-INDEX(SkiftStart,3),Syklus)&lt;DagK,"K",IF(MOD(O$5-INDEX(SkiftStart,3),Syklus)&lt;DagK+DagH,"H",IF(MOD(O$5-INDEX(SkiftStart,3),Syklus)&lt;DagK+DagH+DagD,"D","F")))))</f>
        <v/>
      </c>
      <c r="P10" s="2">
        <f>IF(P$5="","",IF(IF(MOD(P$5-INDEX(SkiftStart,3),Syklus)&lt;DagK,"K",IF(MOD(P$5-INDEX(SkiftStart,3),Syklus)&lt;DagK+DagH,"H",IF(MOD(P$5-INDEX(SkiftStart,3),Syklus)&lt;DagK+DagH+DagD,"D","F")))="F","",IF(MOD(P$5-INDEX(SkiftStart,3),Syklus)&lt;DagK,"K",IF(MOD(P$5-INDEX(SkiftStart,3),Syklus)&lt;DagK+DagH,"H",IF(MOD(P$5-INDEX(SkiftStart,3),Syklus)&lt;DagK+DagH+DagD,"D","F")))))</f>
        <v/>
      </c>
      <c r="Q10" s="2">
        <f>IF(Q$5="","",IF(IF(MOD(Q$5-INDEX(SkiftStart,3),Syklus)&lt;DagK,"K",IF(MOD(Q$5-INDEX(SkiftStart,3),Syklus)&lt;DagK+DagH,"H",IF(MOD(Q$5-INDEX(SkiftStart,3),Syklus)&lt;DagK+DagH+DagD,"D","F")))="F","",IF(MOD(Q$5-INDEX(SkiftStart,3),Syklus)&lt;DagK,"K",IF(MOD(Q$5-INDEX(SkiftStart,3),Syklus)&lt;DagK+DagH,"H",IF(MOD(Q$5-INDEX(SkiftStart,3),Syklus)&lt;DagK+DagH+DagD,"D","F")))))</f>
        <v/>
      </c>
      <c r="R10" s="2">
        <f>IF(R$5="","",IF(IF(MOD(R$5-INDEX(SkiftStart,3),Syklus)&lt;DagK,"K",IF(MOD(R$5-INDEX(SkiftStart,3),Syklus)&lt;DagK+DagH,"H",IF(MOD(R$5-INDEX(SkiftStart,3),Syklus)&lt;DagK+DagH+DagD,"D","F")))="F","",IF(MOD(R$5-INDEX(SkiftStart,3),Syklus)&lt;DagK,"K",IF(MOD(R$5-INDEX(SkiftStart,3),Syklus)&lt;DagK+DagH,"H",IF(MOD(R$5-INDEX(SkiftStart,3),Syklus)&lt;DagK+DagH+DagD,"D","F")))))</f>
        <v/>
      </c>
      <c r="S10" s="2">
        <f>IF(S$5="","",IF(IF(MOD(S$5-INDEX(SkiftStart,3),Syklus)&lt;DagK,"K",IF(MOD(S$5-INDEX(SkiftStart,3),Syklus)&lt;DagK+DagH,"H",IF(MOD(S$5-INDEX(SkiftStart,3),Syklus)&lt;DagK+DagH+DagD,"D","F")))="F","",IF(MOD(S$5-INDEX(SkiftStart,3),Syklus)&lt;DagK,"K",IF(MOD(S$5-INDEX(SkiftStart,3),Syklus)&lt;DagK+DagH,"H",IF(MOD(S$5-INDEX(SkiftStart,3),Syklus)&lt;DagK+DagH+DagD,"D","F")))))</f>
        <v/>
      </c>
      <c r="T10" s="2">
        <f>IF(T$5="","",IF(IF(MOD(T$5-INDEX(SkiftStart,3),Syklus)&lt;DagK,"K",IF(MOD(T$5-INDEX(SkiftStart,3),Syklus)&lt;DagK+DagH,"H",IF(MOD(T$5-INDEX(SkiftStart,3),Syklus)&lt;DagK+DagH+DagD,"D","F")))="F","",IF(MOD(T$5-INDEX(SkiftStart,3),Syklus)&lt;DagK,"K",IF(MOD(T$5-INDEX(SkiftStart,3),Syklus)&lt;DagK+DagH,"H",IF(MOD(T$5-INDEX(SkiftStart,3),Syklus)&lt;DagK+DagH+DagD,"D","F")))))</f>
        <v/>
      </c>
      <c r="U10" s="2">
        <f>IF(U$5="","",IF(IF(MOD(U$5-INDEX(SkiftStart,3),Syklus)&lt;DagK,"K",IF(MOD(U$5-INDEX(SkiftStart,3),Syklus)&lt;DagK+DagH,"H",IF(MOD(U$5-INDEX(SkiftStart,3),Syklus)&lt;DagK+DagH+DagD,"D","F")))="F","",IF(MOD(U$5-INDEX(SkiftStart,3),Syklus)&lt;DagK,"K",IF(MOD(U$5-INDEX(SkiftStart,3),Syklus)&lt;DagK+DagH,"H",IF(MOD(U$5-INDEX(SkiftStart,3),Syklus)&lt;DagK+DagH+DagD,"D","F")))))</f>
        <v/>
      </c>
      <c r="V10" s="2">
        <f>IF(V$5="","",IF(IF(MOD(V$5-INDEX(SkiftStart,3),Syklus)&lt;DagK,"K",IF(MOD(V$5-INDEX(SkiftStart,3),Syklus)&lt;DagK+DagH,"H",IF(MOD(V$5-INDEX(SkiftStart,3),Syklus)&lt;DagK+DagH+DagD,"D","F")))="F","",IF(MOD(V$5-INDEX(SkiftStart,3),Syklus)&lt;DagK,"K",IF(MOD(V$5-INDEX(SkiftStart,3),Syklus)&lt;DagK+DagH,"H",IF(MOD(V$5-INDEX(SkiftStart,3),Syklus)&lt;DagK+DagH+DagD,"D","F")))))</f>
        <v/>
      </c>
      <c r="W10" s="2">
        <f>IF(W$5="","",IF(IF(MOD(W$5-INDEX(SkiftStart,3),Syklus)&lt;DagK,"K",IF(MOD(W$5-INDEX(SkiftStart,3),Syklus)&lt;DagK+DagH,"H",IF(MOD(W$5-INDEX(SkiftStart,3),Syklus)&lt;DagK+DagH+DagD,"D","F")))="F","",IF(MOD(W$5-INDEX(SkiftStart,3),Syklus)&lt;DagK,"K",IF(MOD(W$5-INDEX(SkiftStart,3),Syklus)&lt;DagK+DagH,"H",IF(MOD(W$5-INDEX(SkiftStart,3),Syklus)&lt;DagK+DagH+DagD,"D","F")))))</f>
        <v/>
      </c>
      <c r="X10" s="2">
        <f>IF(X$5="","",IF(IF(MOD(X$5-INDEX(SkiftStart,3),Syklus)&lt;DagK,"K",IF(MOD(X$5-INDEX(SkiftStart,3),Syklus)&lt;DagK+DagH,"H",IF(MOD(X$5-INDEX(SkiftStart,3),Syklus)&lt;DagK+DagH+DagD,"D","F")))="F","",IF(MOD(X$5-INDEX(SkiftStart,3),Syklus)&lt;DagK,"K",IF(MOD(X$5-INDEX(SkiftStart,3),Syklus)&lt;DagK+DagH,"H",IF(MOD(X$5-INDEX(SkiftStart,3),Syklus)&lt;DagK+DagH+DagD,"D","F")))))</f>
        <v/>
      </c>
      <c r="Y10" s="2">
        <f>IF(Y$5="","",IF(IF(MOD(Y$5-INDEX(SkiftStart,3),Syklus)&lt;DagK,"K",IF(MOD(Y$5-INDEX(SkiftStart,3),Syklus)&lt;DagK+DagH,"H",IF(MOD(Y$5-INDEX(SkiftStart,3),Syklus)&lt;DagK+DagH+DagD,"D","F")))="F","",IF(MOD(Y$5-INDEX(SkiftStart,3),Syklus)&lt;DagK,"K",IF(MOD(Y$5-INDEX(SkiftStart,3),Syklus)&lt;DagK+DagH,"H",IF(MOD(Y$5-INDEX(SkiftStart,3),Syklus)&lt;DagK+DagH+DagD,"D","F")))))</f>
        <v/>
      </c>
      <c r="Z10" s="2">
        <f>IF(Z$5="","",IF(IF(MOD(Z$5-INDEX(SkiftStart,3),Syklus)&lt;DagK,"K",IF(MOD(Z$5-INDEX(SkiftStart,3),Syklus)&lt;DagK+DagH,"H",IF(MOD(Z$5-INDEX(SkiftStart,3),Syklus)&lt;DagK+DagH+DagD,"D","F")))="F","",IF(MOD(Z$5-INDEX(SkiftStart,3),Syklus)&lt;DagK,"K",IF(MOD(Z$5-INDEX(SkiftStart,3),Syklus)&lt;DagK+DagH,"H",IF(MOD(Z$5-INDEX(SkiftStart,3),Syklus)&lt;DagK+DagH+DagD,"D","F")))))</f>
        <v/>
      </c>
      <c r="AA10" s="2">
        <f>IF(AA$5="","",IF(IF(MOD(AA$5-INDEX(SkiftStart,3),Syklus)&lt;DagK,"K",IF(MOD(AA$5-INDEX(SkiftStart,3),Syklus)&lt;DagK+DagH,"H",IF(MOD(AA$5-INDEX(SkiftStart,3),Syklus)&lt;DagK+DagH+DagD,"D","F")))="F","",IF(MOD(AA$5-INDEX(SkiftStart,3),Syklus)&lt;DagK,"K",IF(MOD(AA$5-INDEX(SkiftStart,3),Syklus)&lt;DagK+DagH,"H",IF(MOD(AA$5-INDEX(SkiftStart,3),Syklus)&lt;DagK+DagH+DagD,"D","F")))))</f>
        <v/>
      </c>
      <c r="AB10" s="2">
        <f>IF(AB$5="","",IF(IF(MOD(AB$5-INDEX(SkiftStart,3),Syklus)&lt;DagK,"K",IF(MOD(AB$5-INDEX(SkiftStart,3),Syklus)&lt;DagK+DagH,"H",IF(MOD(AB$5-INDEX(SkiftStart,3),Syklus)&lt;DagK+DagH+DagD,"D","F")))="F","",IF(MOD(AB$5-INDEX(SkiftStart,3),Syklus)&lt;DagK,"K",IF(MOD(AB$5-INDEX(SkiftStart,3),Syklus)&lt;DagK+DagH,"H",IF(MOD(AB$5-INDEX(SkiftStart,3),Syklus)&lt;DagK+DagH+DagD,"D","F")))))</f>
        <v/>
      </c>
      <c r="AC10" s="2">
        <f>IF(AC$5="","",IF(IF(MOD(AC$5-INDEX(SkiftStart,3),Syklus)&lt;DagK,"K",IF(MOD(AC$5-INDEX(SkiftStart,3),Syklus)&lt;DagK+DagH,"H",IF(MOD(AC$5-INDEX(SkiftStart,3),Syklus)&lt;DagK+DagH+DagD,"D","F")))="F","",IF(MOD(AC$5-INDEX(SkiftStart,3),Syklus)&lt;DagK,"K",IF(MOD(AC$5-INDEX(SkiftStart,3),Syklus)&lt;DagK+DagH,"H",IF(MOD(AC$5-INDEX(SkiftStart,3),Syklus)&lt;DagK+DagH+DagD,"D","F")))))</f>
        <v/>
      </c>
      <c r="AD10" s="2">
        <f>IF(AD$5="","",IF(IF(MOD(AD$5-INDEX(SkiftStart,3),Syklus)&lt;DagK,"K",IF(MOD(AD$5-INDEX(SkiftStart,3),Syklus)&lt;DagK+DagH,"H",IF(MOD(AD$5-INDEX(SkiftStart,3),Syklus)&lt;DagK+DagH+DagD,"D","F")))="F","",IF(MOD(AD$5-INDEX(SkiftStart,3),Syklus)&lt;DagK,"K",IF(MOD(AD$5-INDEX(SkiftStart,3),Syklus)&lt;DagK+DagH,"H",IF(MOD(AD$5-INDEX(SkiftStart,3),Syklus)&lt;DagK+DagH+DagD,"D","F")))))</f>
        <v/>
      </c>
      <c r="AE10" s="2">
        <f>IF(AE$5="","",IF(IF(MOD(AE$5-INDEX(SkiftStart,3),Syklus)&lt;DagK,"K",IF(MOD(AE$5-INDEX(SkiftStart,3),Syklus)&lt;DagK+DagH,"H",IF(MOD(AE$5-INDEX(SkiftStart,3),Syklus)&lt;DagK+DagH+DagD,"D","F")))="F","",IF(MOD(AE$5-INDEX(SkiftStart,3),Syklus)&lt;DagK,"K",IF(MOD(AE$5-INDEX(SkiftStart,3),Syklus)&lt;DagK+DagH,"H",IF(MOD(AE$5-INDEX(SkiftStart,3),Syklus)&lt;DagK+DagH+DagD,"D","F")))))</f>
        <v/>
      </c>
      <c r="AF10" s="2">
        <f>IF(AF$5="","",IF(IF(MOD(AF$5-INDEX(SkiftStart,3),Syklus)&lt;DagK,"K",IF(MOD(AF$5-INDEX(SkiftStart,3),Syklus)&lt;DagK+DagH,"H",IF(MOD(AF$5-INDEX(SkiftStart,3),Syklus)&lt;DagK+DagH+DagD,"D","F")))="F","",IF(MOD(AF$5-INDEX(SkiftStart,3),Syklus)&lt;DagK,"K",IF(MOD(AF$5-INDEX(SkiftStart,3),Syklus)&lt;DagK+DagH,"H",IF(MOD(AF$5-INDEX(SkiftStart,3),Syklus)&lt;DagK+DagH+DagD,"D","F")))))</f>
        <v/>
      </c>
      <c r="AG10" s="2">
        <f>IF(AG$5="","",IF(IF(MOD(AG$5-INDEX(SkiftStart,3),Syklus)&lt;DagK,"K",IF(MOD(AG$5-INDEX(SkiftStart,3),Syklus)&lt;DagK+DagH,"H",IF(MOD(AG$5-INDEX(SkiftStart,3),Syklus)&lt;DagK+DagH+DagD,"D","F")))="F","",IF(MOD(AG$5-INDEX(SkiftStart,3),Syklus)&lt;DagK,"K",IF(MOD(AG$5-INDEX(SkiftStart,3),Syklus)&lt;DagK+DagH,"H",IF(MOD(AG$5-INDEX(SkiftStart,3),Syklus)&lt;DagK+DagH+DagD,"D","F")))))</f>
        <v/>
      </c>
      <c r="AH10" s="2" t="n"/>
      <c r="AI10" s="2" t="n"/>
      <c r="AJ10" s="2" t="n"/>
    </row>
    <row r="11" hidden="1">
      <c r="A11" s="2" t="n"/>
      <c r="B11" s="2" t="n"/>
      <c r="C11" s="2">
        <f>IF(C8="","",IF(WEEKDAY(C$5,2)=5,INDEX(TimerFr,MATCH(C8,FaseKode,0)),INDEX(TimerMT,MATCH(C8,FaseKode,0))))</f>
        <v/>
      </c>
      <c r="D11" s="2">
        <f>IF(D8="","",IF(WEEKDAY(D$5,2)=5,INDEX(TimerFr,MATCH(D8,FaseKode,0)),INDEX(TimerMT,MATCH(D8,FaseKode,0))))</f>
        <v/>
      </c>
      <c r="E11" s="2">
        <f>IF(E8="","",IF(WEEKDAY(E$5,2)=5,INDEX(TimerFr,MATCH(E8,FaseKode,0)),INDEX(TimerMT,MATCH(E8,FaseKode,0))))</f>
        <v/>
      </c>
      <c r="F11" s="2">
        <f>IF(F8="","",IF(WEEKDAY(F$5,2)=5,INDEX(TimerFr,MATCH(F8,FaseKode,0)),INDEX(TimerMT,MATCH(F8,FaseKode,0))))</f>
        <v/>
      </c>
      <c r="G11" s="2">
        <f>IF(G8="","",IF(WEEKDAY(G$5,2)=5,INDEX(TimerFr,MATCH(G8,FaseKode,0)),INDEX(TimerMT,MATCH(G8,FaseKode,0))))</f>
        <v/>
      </c>
      <c r="H11" s="2">
        <f>IF(H8="","",IF(WEEKDAY(H$5,2)=5,INDEX(TimerFr,MATCH(H8,FaseKode,0)),INDEX(TimerMT,MATCH(H8,FaseKode,0))))</f>
        <v/>
      </c>
      <c r="I11" s="2">
        <f>IF(I8="","",IF(WEEKDAY(I$5,2)=5,INDEX(TimerFr,MATCH(I8,FaseKode,0)),INDEX(TimerMT,MATCH(I8,FaseKode,0))))</f>
        <v/>
      </c>
      <c r="J11" s="2">
        <f>IF(J8="","",IF(WEEKDAY(J$5,2)=5,INDEX(TimerFr,MATCH(J8,FaseKode,0)),INDEX(TimerMT,MATCH(J8,FaseKode,0))))</f>
        <v/>
      </c>
      <c r="K11" s="2">
        <f>IF(K8="","",IF(WEEKDAY(K$5,2)=5,INDEX(TimerFr,MATCH(K8,FaseKode,0)),INDEX(TimerMT,MATCH(K8,FaseKode,0))))</f>
        <v/>
      </c>
      <c r="L11" s="2">
        <f>IF(L8="","",IF(WEEKDAY(L$5,2)=5,INDEX(TimerFr,MATCH(L8,FaseKode,0)),INDEX(TimerMT,MATCH(L8,FaseKode,0))))</f>
        <v/>
      </c>
      <c r="M11" s="2">
        <f>IF(M8="","",IF(WEEKDAY(M$5,2)=5,INDEX(TimerFr,MATCH(M8,FaseKode,0)),INDEX(TimerMT,MATCH(M8,FaseKode,0))))</f>
        <v/>
      </c>
      <c r="N11" s="2">
        <f>IF(N8="","",IF(WEEKDAY(N$5,2)=5,INDEX(TimerFr,MATCH(N8,FaseKode,0)),INDEX(TimerMT,MATCH(N8,FaseKode,0))))</f>
        <v/>
      </c>
      <c r="O11" s="2">
        <f>IF(O8="","",IF(WEEKDAY(O$5,2)=5,INDEX(TimerFr,MATCH(O8,FaseKode,0)),INDEX(TimerMT,MATCH(O8,FaseKode,0))))</f>
        <v/>
      </c>
      <c r="P11" s="2">
        <f>IF(P8="","",IF(WEEKDAY(P$5,2)=5,INDEX(TimerFr,MATCH(P8,FaseKode,0)),INDEX(TimerMT,MATCH(P8,FaseKode,0))))</f>
        <v/>
      </c>
      <c r="Q11" s="2">
        <f>IF(Q8="","",IF(WEEKDAY(Q$5,2)=5,INDEX(TimerFr,MATCH(Q8,FaseKode,0)),INDEX(TimerMT,MATCH(Q8,FaseKode,0))))</f>
        <v/>
      </c>
      <c r="R11" s="2">
        <f>IF(R8="","",IF(WEEKDAY(R$5,2)=5,INDEX(TimerFr,MATCH(R8,FaseKode,0)),INDEX(TimerMT,MATCH(R8,FaseKode,0))))</f>
        <v/>
      </c>
      <c r="S11" s="2">
        <f>IF(S8="","",IF(WEEKDAY(S$5,2)=5,INDEX(TimerFr,MATCH(S8,FaseKode,0)),INDEX(TimerMT,MATCH(S8,FaseKode,0))))</f>
        <v/>
      </c>
      <c r="T11" s="2">
        <f>IF(T8="","",IF(WEEKDAY(T$5,2)=5,INDEX(TimerFr,MATCH(T8,FaseKode,0)),INDEX(TimerMT,MATCH(T8,FaseKode,0))))</f>
        <v/>
      </c>
      <c r="U11" s="2">
        <f>IF(U8="","",IF(WEEKDAY(U$5,2)=5,INDEX(TimerFr,MATCH(U8,FaseKode,0)),INDEX(TimerMT,MATCH(U8,FaseKode,0))))</f>
        <v/>
      </c>
      <c r="V11" s="2">
        <f>IF(V8="","",IF(WEEKDAY(V$5,2)=5,INDEX(TimerFr,MATCH(V8,FaseKode,0)),INDEX(TimerMT,MATCH(V8,FaseKode,0))))</f>
        <v/>
      </c>
      <c r="W11" s="2">
        <f>IF(W8="","",IF(WEEKDAY(W$5,2)=5,INDEX(TimerFr,MATCH(W8,FaseKode,0)),INDEX(TimerMT,MATCH(W8,FaseKode,0))))</f>
        <v/>
      </c>
      <c r="X11" s="2">
        <f>IF(X8="","",IF(WEEKDAY(X$5,2)=5,INDEX(TimerFr,MATCH(X8,FaseKode,0)),INDEX(TimerMT,MATCH(X8,FaseKode,0))))</f>
        <v/>
      </c>
      <c r="Y11" s="2">
        <f>IF(Y8="","",IF(WEEKDAY(Y$5,2)=5,INDEX(TimerFr,MATCH(Y8,FaseKode,0)),INDEX(TimerMT,MATCH(Y8,FaseKode,0))))</f>
        <v/>
      </c>
      <c r="Z11" s="2">
        <f>IF(Z8="","",IF(WEEKDAY(Z$5,2)=5,INDEX(TimerFr,MATCH(Z8,FaseKode,0)),INDEX(TimerMT,MATCH(Z8,FaseKode,0))))</f>
        <v/>
      </c>
      <c r="AA11" s="2">
        <f>IF(AA8="","",IF(WEEKDAY(AA$5,2)=5,INDEX(TimerFr,MATCH(AA8,FaseKode,0)),INDEX(TimerMT,MATCH(AA8,FaseKode,0))))</f>
        <v/>
      </c>
      <c r="AB11" s="2">
        <f>IF(AB8="","",IF(WEEKDAY(AB$5,2)=5,INDEX(TimerFr,MATCH(AB8,FaseKode,0)),INDEX(TimerMT,MATCH(AB8,FaseKode,0))))</f>
        <v/>
      </c>
      <c r="AC11" s="2">
        <f>IF(AC8="","",IF(WEEKDAY(AC$5,2)=5,INDEX(TimerFr,MATCH(AC8,FaseKode,0)),INDEX(TimerMT,MATCH(AC8,FaseKode,0))))</f>
        <v/>
      </c>
      <c r="AD11" s="2">
        <f>IF(AD8="","",IF(WEEKDAY(AD$5,2)=5,INDEX(TimerFr,MATCH(AD8,FaseKode,0)),INDEX(TimerMT,MATCH(AD8,FaseKode,0))))</f>
        <v/>
      </c>
      <c r="AE11" s="2">
        <f>IF(AE8="","",IF(WEEKDAY(AE$5,2)=5,INDEX(TimerFr,MATCH(AE8,FaseKode,0)),INDEX(TimerMT,MATCH(AE8,FaseKode,0))))</f>
        <v/>
      </c>
      <c r="AF11" s="2">
        <f>IF(AF8="","",IF(WEEKDAY(AF$5,2)=5,INDEX(TimerFr,MATCH(AF8,FaseKode,0)),INDEX(TimerMT,MATCH(AF8,FaseKode,0))))</f>
        <v/>
      </c>
      <c r="AG11" s="2">
        <f>IF(AG8="","",IF(WEEKDAY(AG$5,2)=5,INDEX(TimerFr,MATCH(AG8,FaseKode,0)),INDEX(TimerMT,MATCH(AG8,FaseKode,0))))</f>
        <v/>
      </c>
      <c r="AH11" s="2" t="n"/>
      <c r="AI11" s="2" t="n"/>
      <c r="AJ11" s="2" t="n"/>
    </row>
    <row r="12" hidden="1">
      <c r="A12" s="2" t="n"/>
      <c r="B12" s="2" t="n"/>
      <c r="C12" s="2">
        <f>IF(C9="","",IF(WEEKDAY(C$5,2)=5,INDEX(TimerFr,MATCH(C9,FaseKode,0)),INDEX(TimerMT,MATCH(C9,FaseKode,0))))</f>
        <v/>
      </c>
      <c r="D12" s="2">
        <f>IF(D9="","",IF(WEEKDAY(D$5,2)=5,INDEX(TimerFr,MATCH(D9,FaseKode,0)),INDEX(TimerMT,MATCH(D9,FaseKode,0))))</f>
        <v/>
      </c>
      <c r="E12" s="2">
        <f>IF(E9="","",IF(WEEKDAY(E$5,2)=5,INDEX(TimerFr,MATCH(E9,FaseKode,0)),INDEX(TimerMT,MATCH(E9,FaseKode,0))))</f>
        <v/>
      </c>
      <c r="F12" s="2">
        <f>IF(F9="","",IF(WEEKDAY(F$5,2)=5,INDEX(TimerFr,MATCH(F9,FaseKode,0)),INDEX(TimerMT,MATCH(F9,FaseKode,0))))</f>
        <v/>
      </c>
      <c r="G12" s="2">
        <f>IF(G9="","",IF(WEEKDAY(G$5,2)=5,INDEX(TimerFr,MATCH(G9,FaseKode,0)),INDEX(TimerMT,MATCH(G9,FaseKode,0))))</f>
        <v/>
      </c>
      <c r="H12" s="2">
        <f>IF(H9="","",IF(WEEKDAY(H$5,2)=5,INDEX(TimerFr,MATCH(H9,FaseKode,0)),INDEX(TimerMT,MATCH(H9,FaseKode,0))))</f>
        <v/>
      </c>
      <c r="I12" s="2">
        <f>IF(I9="","",IF(WEEKDAY(I$5,2)=5,INDEX(TimerFr,MATCH(I9,FaseKode,0)),INDEX(TimerMT,MATCH(I9,FaseKode,0))))</f>
        <v/>
      </c>
      <c r="J12" s="2">
        <f>IF(J9="","",IF(WEEKDAY(J$5,2)=5,INDEX(TimerFr,MATCH(J9,FaseKode,0)),INDEX(TimerMT,MATCH(J9,FaseKode,0))))</f>
        <v/>
      </c>
      <c r="K12" s="2">
        <f>IF(K9="","",IF(WEEKDAY(K$5,2)=5,INDEX(TimerFr,MATCH(K9,FaseKode,0)),INDEX(TimerMT,MATCH(K9,FaseKode,0))))</f>
        <v/>
      </c>
      <c r="L12" s="2">
        <f>IF(L9="","",IF(WEEKDAY(L$5,2)=5,INDEX(TimerFr,MATCH(L9,FaseKode,0)),INDEX(TimerMT,MATCH(L9,FaseKode,0))))</f>
        <v/>
      </c>
      <c r="M12" s="2">
        <f>IF(M9="","",IF(WEEKDAY(M$5,2)=5,INDEX(TimerFr,MATCH(M9,FaseKode,0)),INDEX(TimerMT,MATCH(M9,FaseKode,0))))</f>
        <v/>
      </c>
      <c r="N12" s="2">
        <f>IF(N9="","",IF(WEEKDAY(N$5,2)=5,INDEX(TimerFr,MATCH(N9,FaseKode,0)),INDEX(TimerMT,MATCH(N9,FaseKode,0))))</f>
        <v/>
      </c>
      <c r="O12" s="2">
        <f>IF(O9="","",IF(WEEKDAY(O$5,2)=5,INDEX(TimerFr,MATCH(O9,FaseKode,0)),INDEX(TimerMT,MATCH(O9,FaseKode,0))))</f>
        <v/>
      </c>
      <c r="P12" s="2">
        <f>IF(P9="","",IF(WEEKDAY(P$5,2)=5,INDEX(TimerFr,MATCH(P9,FaseKode,0)),INDEX(TimerMT,MATCH(P9,FaseKode,0))))</f>
        <v/>
      </c>
      <c r="Q12" s="2">
        <f>IF(Q9="","",IF(WEEKDAY(Q$5,2)=5,INDEX(TimerFr,MATCH(Q9,FaseKode,0)),INDEX(TimerMT,MATCH(Q9,FaseKode,0))))</f>
        <v/>
      </c>
      <c r="R12" s="2">
        <f>IF(R9="","",IF(WEEKDAY(R$5,2)=5,INDEX(TimerFr,MATCH(R9,FaseKode,0)),INDEX(TimerMT,MATCH(R9,FaseKode,0))))</f>
        <v/>
      </c>
      <c r="S12" s="2">
        <f>IF(S9="","",IF(WEEKDAY(S$5,2)=5,INDEX(TimerFr,MATCH(S9,FaseKode,0)),INDEX(TimerMT,MATCH(S9,FaseKode,0))))</f>
        <v/>
      </c>
      <c r="T12" s="2">
        <f>IF(T9="","",IF(WEEKDAY(T$5,2)=5,INDEX(TimerFr,MATCH(T9,FaseKode,0)),INDEX(TimerMT,MATCH(T9,FaseKode,0))))</f>
        <v/>
      </c>
      <c r="U12" s="2">
        <f>IF(U9="","",IF(WEEKDAY(U$5,2)=5,INDEX(TimerFr,MATCH(U9,FaseKode,0)),INDEX(TimerMT,MATCH(U9,FaseKode,0))))</f>
        <v/>
      </c>
      <c r="V12" s="2">
        <f>IF(V9="","",IF(WEEKDAY(V$5,2)=5,INDEX(TimerFr,MATCH(V9,FaseKode,0)),INDEX(TimerMT,MATCH(V9,FaseKode,0))))</f>
        <v/>
      </c>
      <c r="W12" s="2">
        <f>IF(W9="","",IF(WEEKDAY(W$5,2)=5,INDEX(TimerFr,MATCH(W9,FaseKode,0)),INDEX(TimerMT,MATCH(W9,FaseKode,0))))</f>
        <v/>
      </c>
      <c r="X12" s="2">
        <f>IF(X9="","",IF(WEEKDAY(X$5,2)=5,INDEX(TimerFr,MATCH(X9,FaseKode,0)),INDEX(TimerMT,MATCH(X9,FaseKode,0))))</f>
        <v/>
      </c>
      <c r="Y12" s="2">
        <f>IF(Y9="","",IF(WEEKDAY(Y$5,2)=5,INDEX(TimerFr,MATCH(Y9,FaseKode,0)),INDEX(TimerMT,MATCH(Y9,FaseKode,0))))</f>
        <v/>
      </c>
      <c r="Z12" s="2">
        <f>IF(Z9="","",IF(WEEKDAY(Z$5,2)=5,INDEX(TimerFr,MATCH(Z9,FaseKode,0)),INDEX(TimerMT,MATCH(Z9,FaseKode,0))))</f>
        <v/>
      </c>
      <c r="AA12" s="2">
        <f>IF(AA9="","",IF(WEEKDAY(AA$5,2)=5,INDEX(TimerFr,MATCH(AA9,FaseKode,0)),INDEX(TimerMT,MATCH(AA9,FaseKode,0))))</f>
        <v/>
      </c>
      <c r="AB12" s="2">
        <f>IF(AB9="","",IF(WEEKDAY(AB$5,2)=5,INDEX(TimerFr,MATCH(AB9,FaseKode,0)),INDEX(TimerMT,MATCH(AB9,FaseKode,0))))</f>
        <v/>
      </c>
      <c r="AC12" s="2">
        <f>IF(AC9="","",IF(WEEKDAY(AC$5,2)=5,INDEX(TimerFr,MATCH(AC9,FaseKode,0)),INDEX(TimerMT,MATCH(AC9,FaseKode,0))))</f>
        <v/>
      </c>
      <c r="AD12" s="2">
        <f>IF(AD9="","",IF(WEEKDAY(AD$5,2)=5,INDEX(TimerFr,MATCH(AD9,FaseKode,0)),INDEX(TimerMT,MATCH(AD9,FaseKode,0))))</f>
        <v/>
      </c>
      <c r="AE12" s="2">
        <f>IF(AE9="","",IF(WEEKDAY(AE$5,2)=5,INDEX(TimerFr,MATCH(AE9,FaseKode,0)),INDEX(TimerMT,MATCH(AE9,FaseKode,0))))</f>
        <v/>
      </c>
      <c r="AF12" s="2">
        <f>IF(AF9="","",IF(WEEKDAY(AF$5,2)=5,INDEX(TimerFr,MATCH(AF9,FaseKode,0)),INDEX(TimerMT,MATCH(AF9,FaseKode,0))))</f>
        <v/>
      </c>
      <c r="AG12" s="2">
        <f>IF(AG9="","",IF(WEEKDAY(AG$5,2)=5,INDEX(TimerFr,MATCH(AG9,FaseKode,0)),INDEX(TimerMT,MATCH(AG9,FaseKode,0))))</f>
        <v/>
      </c>
      <c r="AH12" s="2" t="n"/>
      <c r="AI12" s="2" t="n"/>
      <c r="AJ12" s="2" t="n"/>
    </row>
    <row r="13" hidden="1">
      <c r="A13" s="2" t="n"/>
      <c r="B13" s="2" t="n"/>
      <c r="C13" s="2">
        <f>IF(C10="","",IF(WEEKDAY(C$5,2)=5,INDEX(TimerFr,MATCH(C10,FaseKode,0)),INDEX(TimerMT,MATCH(C10,FaseKode,0))))</f>
        <v/>
      </c>
      <c r="D13" s="2">
        <f>IF(D10="","",IF(WEEKDAY(D$5,2)=5,INDEX(TimerFr,MATCH(D10,FaseKode,0)),INDEX(TimerMT,MATCH(D10,FaseKode,0))))</f>
        <v/>
      </c>
      <c r="E13" s="2">
        <f>IF(E10="","",IF(WEEKDAY(E$5,2)=5,INDEX(TimerFr,MATCH(E10,FaseKode,0)),INDEX(TimerMT,MATCH(E10,FaseKode,0))))</f>
        <v/>
      </c>
      <c r="F13" s="2">
        <f>IF(F10="","",IF(WEEKDAY(F$5,2)=5,INDEX(TimerFr,MATCH(F10,FaseKode,0)),INDEX(TimerMT,MATCH(F10,FaseKode,0))))</f>
        <v/>
      </c>
      <c r="G13" s="2">
        <f>IF(G10="","",IF(WEEKDAY(G$5,2)=5,INDEX(TimerFr,MATCH(G10,FaseKode,0)),INDEX(TimerMT,MATCH(G10,FaseKode,0))))</f>
        <v/>
      </c>
      <c r="H13" s="2">
        <f>IF(H10="","",IF(WEEKDAY(H$5,2)=5,INDEX(TimerFr,MATCH(H10,FaseKode,0)),INDEX(TimerMT,MATCH(H10,FaseKode,0))))</f>
        <v/>
      </c>
      <c r="I13" s="2">
        <f>IF(I10="","",IF(WEEKDAY(I$5,2)=5,INDEX(TimerFr,MATCH(I10,FaseKode,0)),INDEX(TimerMT,MATCH(I10,FaseKode,0))))</f>
        <v/>
      </c>
      <c r="J13" s="2">
        <f>IF(J10="","",IF(WEEKDAY(J$5,2)=5,INDEX(TimerFr,MATCH(J10,FaseKode,0)),INDEX(TimerMT,MATCH(J10,FaseKode,0))))</f>
        <v/>
      </c>
      <c r="K13" s="2">
        <f>IF(K10="","",IF(WEEKDAY(K$5,2)=5,INDEX(TimerFr,MATCH(K10,FaseKode,0)),INDEX(TimerMT,MATCH(K10,FaseKode,0))))</f>
        <v/>
      </c>
      <c r="L13" s="2">
        <f>IF(L10="","",IF(WEEKDAY(L$5,2)=5,INDEX(TimerFr,MATCH(L10,FaseKode,0)),INDEX(TimerMT,MATCH(L10,FaseKode,0))))</f>
        <v/>
      </c>
      <c r="M13" s="2">
        <f>IF(M10="","",IF(WEEKDAY(M$5,2)=5,INDEX(TimerFr,MATCH(M10,FaseKode,0)),INDEX(TimerMT,MATCH(M10,FaseKode,0))))</f>
        <v/>
      </c>
      <c r="N13" s="2">
        <f>IF(N10="","",IF(WEEKDAY(N$5,2)=5,INDEX(TimerFr,MATCH(N10,FaseKode,0)),INDEX(TimerMT,MATCH(N10,FaseKode,0))))</f>
        <v/>
      </c>
      <c r="O13" s="2">
        <f>IF(O10="","",IF(WEEKDAY(O$5,2)=5,INDEX(TimerFr,MATCH(O10,FaseKode,0)),INDEX(TimerMT,MATCH(O10,FaseKode,0))))</f>
        <v/>
      </c>
      <c r="P13" s="2">
        <f>IF(P10="","",IF(WEEKDAY(P$5,2)=5,INDEX(TimerFr,MATCH(P10,FaseKode,0)),INDEX(TimerMT,MATCH(P10,FaseKode,0))))</f>
        <v/>
      </c>
      <c r="Q13" s="2">
        <f>IF(Q10="","",IF(WEEKDAY(Q$5,2)=5,INDEX(TimerFr,MATCH(Q10,FaseKode,0)),INDEX(TimerMT,MATCH(Q10,FaseKode,0))))</f>
        <v/>
      </c>
      <c r="R13" s="2">
        <f>IF(R10="","",IF(WEEKDAY(R$5,2)=5,INDEX(TimerFr,MATCH(R10,FaseKode,0)),INDEX(TimerMT,MATCH(R10,FaseKode,0))))</f>
        <v/>
      </c>
      <c r="S13" s="2">
        <f>IF(S10="","",IF(WEEKDAY(S$5,2)=5,INDEX(TimerFr,MATCH(S10,FaseKode,0)),INDEX(TimerMT,MATCH(S10,FaseKode,0))))</f>
        <v/>
      </c>
      <c r="T13" s="2">
        <f>IF(T10="","",IF(WEEKDAY(T$5,2)=5,INDEX(TimerFr,MATCH(T10,FaseKode,0)),INDEX(TimerMT,MATCH(T10,FaseKode,0))))</f>
        <v/>
      </c>
      <c r="U13" s="2">
        <f>IF(U10="","",IF(WEEKDAY(U$5,2)=5,INDEX(TimerFr,MATCH(U10,FaseKode,0)),INDEX(TimerMT,MATCH(U10,FaseKode,0))))</f>
        <v/>
      </c>
      <c r="V13" s="2">
        <f>IF(V10="","",IF(WEEKDAY(V$5,2)=5,INDEX(TimerFr,MATCH(V10,FaseKode,0)),INDEX(TimerMT,MATCH(V10,FaseKode,0))))</f>
        <v/>
      </c>
      <c r="W13" s="2">
        <f>IF(W10="","",IF(WEEKDAY(W$5,2)=5,INDEX(TimerFr,MATCH(W10,FaseKode,0)),INDEX(TimerMT,MATCH(W10,FaseKode,0))))</f>
        <v/>
      </c>
      <c r="X13" s="2">
        <f>IF(X10="","",IF(WEEKDAY(X$5,2)=5,INDEX(TimerFr,MATCH(X10,FaseKode,0)),INDEX(TimerMT,MATCH(X10,FaseKode,0))))</f>
        <v/>
      </c>
      <c r="Y13" s="2">
        <f>IF(Y10="","",IF(WEEKDAY(Y$5,2)=5,INDEX(TimerFr,MATCH(Y10,FaseKode,0)),INDEX(TimerMT,MATCH(Y10,FaseKode,0))))</f>
        <v/>
      </c>
      <c r="Z13" s="2">
        <f>IF(Z10="","",IF(WEEKDAY(Z$5,2)=5,INDEX(TimerFr,MATCH(Z10,FaseKode,0)),INDEX(TimerMT,MATCH(Z10,FaseKode,0))))</f>
        <v/>
      </c>
      <c r="AA13" s="2">
        <f>IF(AA10="","",IF(WEEKDAY(AA$5,2)=5,INDEX(TimerFr,MATCH(AA10,FaseKode,0)),INDEX(TimerMT,MATCH(AA10,FaseKode,0))))</f>
        <v/>
      </c>
      <c r="AB13" s="2">
        <f>IF(AB10="","",IF(WEEKDAY(AB$5,2)=5,INDEX(TimerFr,MATCH(AB10,FaseKode,0)),INDEX(TimerMT,MATCH(AB10,FaseKode,0))))</f>
        <v/>
      </c>
      <c r="AC13" s="2">
        <f>IF(AC10="","",IF(WEEKDAY(AC$5,2)=5,INDEX(TimerFr,MATCH(AC10,FaseKode,0)),INDEX(TimerMT,MATCH(AC10,FaseKode,0))))</f>
        <v/>
      </c>
      <c r="AD13" s="2">
        <f>IF(AD10="","",IF(WEEKDAY(AD$5,2)=5,INDEX(TimerFr,MATCH(AD10,FaseKode,0)),INDEX(TimerMT,MATCH(AD10,FaseKode,0))))</f>
        <v/>
      </c>
      <c r="AE13" s="2">
        <f>IF(AE10="","",IF(WEEKDAY(AE$5,2)=5,INDEX(TimerFr,MATCH(AE10,FaseKode,0)),INDEX(TimerMT,MATCH(AE10,FaseKode,0))))</f>
        <v/>
      </c>
      <c r="AF13" s="2">
        <f>IF(AF10="","",IF(WEEKDAY(AF$5,2)=5,INDEX(TimerFr,MATCH(AF10,FaseKode,0)),INDEX(TimerMT,MATCH(AF10,FaseKode,0))))</f>
        <v/>
      </c>
      <c r="AG13" s="2">
        <f>IF(AG10="","",IF(WEEKDAY(AG$5,2)=5,INDEX(TimerFr,MATCH(AG10,FaseKode,0)),INDEX(TimerMT,MATCH(AG10,FaseKode,0))))</f>
        <v/>
      </c>
      <c r="AH13" s="2" t="n"/>
      <c r="AI13" s="2" t="n"/>
      <c r="A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>
      <c r="A15" s="10">
        <f>INDEX(SkiftNavn,1)</f>
        <v/>
      </c>
      <c r="B15" s="2" t="n"/>
      <c r="C15" s="11">
        <f>C8</f>
        <v/>
      </c>
      <c r="D15" s="11">
        <f>D8</f>
        <v/>
      </c>
      <c r="E15" s="11">
        <f>E8</f>
        <v/>
      </c>
      <c r="F15" s="11">
        <f>F8</f>
        <v/>
      </c>
      <c r="G15" s="11">
        <f>G8</f>
        <v/>
      </c>
      <c r="H15" s="11">
        <f>H8</f>
        <v/>
      </c>
      <c r="I15" s="11">
        <f>I8</f>
        <v/>
      </c>
      <c r="J15" s="11">
        <f>J8</f>
        <v/>
      </c>
      <c r="K15" s="11">
        <f>K8</f>
        <v/>
      </c>
      <c r="L15" s="11">
        <f>L8</f>
        <v/>
      </c>
      <c r="M15" s="11">
        <f>M8</f>
        <v/>
      </c>
      <c r="N15" s="11">
        <f>N8</f>
        <v/>
      </c>
      <c r="O15" s="11">
        <f>O8</f>
        <v/>
      </c>
      <c r="P15" s="11">
        <f>P8</f>
        <v/>
      </c>
      <c r="Q15" s="11">
        <f>Q8</f>
        <v/>
      </c>
      <c r="R15" s="11">
        <f>R8</f>
        <v/>
      </c>
      <c r="S15" s="11">
        <f>S8</f>
        <v/>
      </c>
      <c r="T15" s="11">
        <f>T8</f>
        <v/>
      </c>
      <c r="U15" s="11">
        <f>U8</f>
        <v/>
      </c>
      <c r="V15" s="11">
        <f>V8</f>
        <v/>
      </c>
      <c r="W15" s="11">
        <f>W8</f>
        <v/>
      </c>
      <c r="X15" s="11">
        <f>X8</f>
        <v/>
      </c>
      <c r="Y15" s="11">
        <f>Y8</f>
        <v/>
      </c>
      <c r="Z15" s="11">
        <f>Z8</f>
        <v/>
      </c>
      <c r="AA15" s="11">
        <f>AA8</f>
        <v/>
      </c>
      <c r="AB15" s="11">
        <f>AB8</f>
        <v/>
      </c>
      <c r="AC15" s="11">
        <f>AC8</f>
        <v/>
      </c>
      <c r="AD15" s="11">
        <f>AD8</f>
        <v/>
      </c>
      <c r="AE15" s="11">
        <f>AE8</f>
        <v/>
      </c>
      <c r="AF15" s="11">
        <f>AF8</f>
        <v/>
      </c>
      <c r="AG15" s="11">
        <f>AG8</f>
        <v/>
      </c>
      <c r="AH15" s="2" t="n"/>
      <c r="AI15" s="10" t="inlineStr">
        <is>
          <t>Forklaring</t>
        </is>
      </c>
      <c r="AJ15" s="2" t="n"/>
    </row>
    <row r="16">
      <c r="A16" s="2">
        <f>INDEX(Teknikere,1)&amp;""</f>
        <v/>
      </c>
      <c r="B16" s="12">
        <f>IF(INDEX(TekFra,1)&gt;0,"ekstra","")</f>
        <v/>
      </c>
      <c r="C16" s="13">
        <f>IF(OR($A16="",C$5=""),"",IF(OR(AND(INDEX(TekFra,1)&gt;0,C$5&lt;INDEX(TekFra,1)),AND(INDEX(TekTil,1)&gt;0,C$5&gt;INDEX(TekTil,1))),"",IF(COUNTIFS(TF_Nokkel,$A16&amp;"|"&amp;C$5)=0,IF(C$8&lt;&gt;"","LMS",""),IFERROR(IF(SUMIFS(TF_Timer,TF_Nokkel,$A16&amp;"|"&amp;C$5,TF_Akt,"LMS")+IF(C$8="",0,MAX(0,ROUND((C$11-SUMIFS(TF_Timer,TF_Nokkel,$A16&amp;"|"&amp;C$5))*2,0)/2))&gt;INDEX(TF_AktSum,MATCH($A16&amp;"|"&amp;C$5,TF_Dom,0)),"LMS",INDEX(AktKode,MATCH(INDEX(TF_Akt,MATCH($A16&amp;"|"&amp;C$5,TF_Dom,0)),Aktiviteter,0)))&amp;IF(OR(COUNTIFS(TF_Nokkel,$A16&amp;"|"&amp;C$5,TF_Akt,"&lt;&gt;"&amp;INDEX(TF_Akt,MATCH($A16&amp;"|"&amp;C$5,TF_Dom,0)))&gt;0,AND(IF(C$8="",0,MAX(0,ROUND((C$11-SUMIFS(TF_Timer,TF_Nokkel,$A16&amp;"|"&amp;C$5))*2,0)/2))&gt;0,INDEX(TF_Akt,MATCH($A16&amp;"|"&amp;C$5,TF_Dom,0))&lt;&gt;"LMS")),"+",""),"?"))))</f>
        <v/>
      </c>
      <c r="D16" s="13">
        <f>IF(OR($A16="",D$5=""),"",IF(OR(AND(INDEX(TekFra,1)&gt;0,D$5&lt;INDEX(TekFra,1)),AND(INDEX(TekTil,1)&gt;0,D$5&gt;INDEX(TekTil,1))),"",IF(COUNTIFS(TF_Nokkel,$A16&amp;"|"&amp;D$5)=0,IF(D$8&lt;&gt;"","LMS",""),IFERROR(IF(SUMIFS(TF_Timer,TF_Nokkel,$A16&amp;"|"&amp;D$5,TF_Akt,"LMS")+IF(D$8="",0,MAX(0,ROUND((D$11-SUMIFS(TF_Timer,TF_Nokkel,$A16&amp;"|"&amp;D$5))*2,0)/2))&gt;INDEX(TF_AktSum,MATCH($A16&amp;"|"&amp;D$5,TF_Dom,0)),"LMS",INDEX(AktKode,MATCH(INDEX(TF_Akt,MATCH($A16&amp;"|"&amp;D$5,TF_Dom,0)),Aktiviteter,0)))&amp;IF(OR(COUNTIFS(TF_Nokkel,$A16&amp;"|"&amp;D$5,TF_Akt,"&lt;&gt;"&amp;INDEX(TF_Akt,MATCH($A16&amp;"|"&amp;D$5,TF_Dom,0)))&gt;0,AND(IF(D$8="",0,MAX(0,ROUND((D$11-SUMIFS(TF_Timer,TF_Nokkel,$A16&amp;"|"&amp;D$5))*2,0)/2))&gt;0,INDEX(TF_Akt,MATCH($A16&amp;"|"&amp;D$5,TF_Dom,0))&lt;&gt;"LMS")),"+",""),"?"))))</f>
        <v/>
      </c>
      <c r="E16" s="13">
        <f>IF(OR($A16="",E$5=""),"",IF(OR(AND(INDEX(TekFra,1)&gt;0,E$5&lt;INDEX(TekFra,1)),AND(INDEX(TekTil,1)&gt;0,E$5&gt;INDEX(TekTil,1))),"",IF(COUNTIFS(TF_Nokkel,$A16&amp;"|"&amp;E$5)=0,IF(E$8&lt;&gt;"","LMS",""),IFERROR(IF(SUMIFS(TF_Timer,TF_Nokkel,$A16&amp;"|"&amp;E$5,TF_Akt,"LMS")+IF(E$8="",0,MAX(0,ROUND((E$11-SUMIFS(TF_Timer,TF_Nokkel,$A16&amp;"|"&amp;E$5))*2,0)/2))&gt;INDEX(TF_AktSum,MATCH($A16&amp;"|"&amp;E$5,TF_Dom,0)),"LMS",INDEX(AktKode,MATCH(INDEX(TF_Akt,MATCH($A16&amp;"|"&amp;E$5,TF_Dom,0)),Aktiviteter,0)))&amp;IF(OR(COUNTIFS(TF_Nokkel,$A16&amp;"|"&amp;E$5,TF_Akt,"&lt;&gt;"&amp;INDEX(TF_Akt,MATCH($A16&amp;"|"&amp;E$5,TF_Dom,0)))&gt;0,AND(IF(E$8="",0,MAX(0,ROUND((E$11-SUMIFS(TF_Timer,TF_Nokkel,$A16&amp;"|"&amp;E$5))*2,0)/2))&gt;0,INDEX(TF_Akt,MATCH($A16&amp;"|"&amp;E$5,TF_Dom,0))&lt;&gt;"LMS")),"+",""),"?"))))</f>
        <v/>
      </c>
      <c r="F16" s="13">
        <f>IF(OR($A16="",F$5=""),"",IF(OR(AND(INDEX(TekFra,1)&gt;0,F$5&lt;INDEX(TekFra,1)),AND(INDEX(TekTil,1)&gt;0,F$5&gt;INDEX(TekTil,1))),"",IF(COUNTIFS(TF_Nokkel,$A16&amp;"|"&amp;F$5)=0,IF(F$8&lt;&gt;"","LMS",""),IFERROR(IF(SUMIFS(TF_Timer,TF_Nokkel,$A16&amp;"|"&amp;F$5,TF_Akt,"LMS")+IF(F$8="",0,MAX(0,ROUND((F$11-SUMIFS(TF_Timer,TF_Nokkel,$A16&amp;"|"&amp;F$5))*2,0)/2))&gt;INDEX(TF_AktSum,MATCH($A16&amp;"|"&amp;F$5,TF_Dom,0)),"LMS",INDEX(AktKode,MATCH(INDEX(TF_Akt,MATCH($A16&amp;"|"&amp;F$5,TF_Dom,0)),Aktiviteter,0)))&amp;IF(OR(COUNTIFS(TF_Nokkel,$A16&amp;"|"&amp;F$5,TF_Akt,"&lt;&gt;"&amp;INDEX(TF_Akt,MATCH($A16&amp;"|"&amp;F$5,TF_Dom,0)))&gt;0,AND(IF(F$8="",0,MAX(0,ROUND((F$11-SUMIFS(TF_Timer,TF_Nokkel,$A16&amp;"|"&amp;F$5))*2,0)/2))&gt;0,INDEX(TF_Akt,MATCH($A16&amp;"|"&amp;F$5,TF_Dom,0))&lt;&gt;"LMS")),"+",""),"?"))))</f>
        <v/>
      </c>
      <c r="G16" s="13">
        <f>IF(OR($A16="",G$5=""),"",IF(OR(AND(INDEX(TekFra,1)&gt;0,G$5&lt;INDEX(TekFra,1)),AND(INDEX(TekTil,1)&gt;0,G$5&gt;INDEX(TekTil,1))),"",IF(COUNTIFS(TF_Nokkel,$A16&amp;"|"&amp;G$5)=0,IF(G$8&lt;&gt;"","LMS",""),IFERROR(IF(SUMIFS(TF_Timer,TF_Nokkel,$A16&amp;"|"&amp;G$5,TF_Akt,"LMS")+IF(G$8="",0,MAX(0,ROUND((G$11-SUMIFS(TF_Timer,TF_Nokkel,$A16&amp;"|"&amp;G$5))*2,0)/2))&gt;INDEX(TF_AktSum,MATCH($A16&amp;"|"&amp;G$5,TF_Dom,0)),"LMS",INDEX(AktKode,MATCH(INDEX(TF_Akt,MATCH($A16&amp;"|"&amp;G$5,TF_Dom,0)),Aktiviteter,0)))&amp;IF(OR(COUNTIFS(TF_Nokkel,$A16&amp;"|"&amp;G$5,TF_Akt,"&lt;&gt;"&amp;INDEX(TF_Akt,MATCH($A16&amp;"|"&amp;G$5,TF_Dom,0)))&gt;0,AND(IF(G$8="",0,MAX(0,ROUND((G$11-SUMIFS(TF_Timer,TF_Nokkel,$A16&amp;"|"&amp;G$5))*2,0)/2))&gt;0,INDEX(TF_Akt,MATCH($A16&amp;"|"&amp;G$5,TF_Dom,0))&lt;&gt;"LMS")),"+",""),"?"))))</f>
        <v/>
      </c>
      <c r="H16" s="13">
        <f>IF(OR($A16="",H$5=""),"",IF(OR(AND(INDEX(TekFra,1)&gt;0,H$5&lt;INDEX(TekFra,1)),AND(INDEX(TekTil,1)&gt;0,H$5&gt;INDEX(TekTil,1))),"",IF(COUNTIFS(TF_Nokkel,$A16&amp;"|"&amp;H$5)=0,IF(H$8&lt;&gt;"","LMS",""),IFERROR(IF(SUMIFS(TF_Timer,TF_Nokkel,$A16&amp;"|"&amp;H$5,TF_Akt,"LMS")+IF(H$8="",0,MAX(0,ROUND((H$11-SUMIFS(TF_Timer,TF_Nokkel,$A16&amp;"|"&amp;H$5))*2,0)/2))&gt;INDEX(TF_AktSum,MATCH($A16&amp;"|"&amp;H$5,TF_Dom,0)),"LMS",INDEX(AktKode,MATCH(INDEX(TF_Akt,MATCH($A16&amp;"|"&amp;H$5,TF_Dom,0)),Aktiviteter,0)))&amp;IF(OR(COUNTIFS(TF_Nokkel,$A16&amp;"|"&amp;H$5,TF_Akt,"&lt;&gt;"&amp;INDEX(TF_Akt,MATCH($A16&amp;"|"&amp;H$5,TF_Dom,0)))&gt;0,AND(IF(H$8="",0,MAX(0,ROUND((H$11-SUMIFS(TF_Timer,TF_Nokkel,$A16&amp;"|"&amp;H$5))*2,0)/2))&gt;0,INDEX(TF_Akt,MATCH($A16&amp;"|"&amp;H$5,TF_Dom,0))&lt;&gt;"LMS")),"+",""),"?"))))</f>
        <v/>
      </c>
      <c r="I16" s="13">
        <f>IF(OR($A16="",I$5=""),"",IF(OR(AND(INDEX(TekFra,1)&gt;0,I$5&lt;INDEX(TekFra,1)),AND(INDEX(TekTil,1)&gt;0,I$5&gt;INDEX(TekTil,1))),"",IF(COUNTIFS(TF_Nokkel,$A16&amp;"|"&amp;I$5)=0,IF(I$8&lt;&gt;"","LMS",""),IFERROR(IF(SUMIFS(TF_Timer,TF_Nokkel,$A16&amp;"|"&amp;I$5,TF_Akt,"LMS")+IF(I$8="",0,MAX(0,ROUND((I$11-SUMIFS(TF_Timer,TF_Nokkel,$A16&amp;"|"&amp;I$5))*2,0)/2))&gt;INDEX(TF_AktSum,MATCH($A16&amp;"|"&amp;I$5,TF_Dom,0)),"LMS",INDEX(AktKode,MATCH(INDEX(TF_Akt,MATCH($A16&amp;"|"&amp;I$5,TF_Dom,0)),Aktiviteter,0)))&amp;IF(OR(COUNTIFS(TF_Nokkel,$A16&amp;"|"&amp;I$5,TF_Akt,"&lt;&gt;"&amp;INDEX(TF_Akt,MATCH($A16&amp;"|"&amp;I$5,TF_Dom,0)))&gt;0,AND(IF(I$8="",0,MAX(0,ROUND((I$11-SUMIFS(TF_Timer,TF_Nokkel,$A16&amp;"|"&amp;I$5))*2,0)/2))&gt;0,INDEX(TF_Akt,MATCH($A16&amp;"|"&amp;I$5,TF_Dom,0))&lt;&gt;"LMS")),"+",""),"?"))))</f>
        <v/>
      </c>
      <c r="J16" s="13">
        <f>IF(OR($A16="",J$5=""),"",IF(OR(AND(INDEX(TekFra,1)&gt;0,J$5&lt;INDEX(TekFra,1)),AND(INDEX(TekTil,1)&gt;0,J$5&gt;INDEX(TekTil,1))),"",IF(COUNTIFS(TF_Nokkel,$A16&amp;"|"&amp;J$5)=0,IF(J$8&lt;&gt;"","LMS",""),IFERROR(IF(SUMIFS(TF_Timer,TF_Nokkel,$A16&amp;"|"&amp;J$5,TF_Akt,"LMS")+IF(J$8="",0,MAX(0,ROUND((J$11-SUMIFS(TF_Timer,TF_Nokkel,$A16&amp;"|"&amp;J$5))*2,0)/2))&gt;INDEX(TF_AktSum,MATCH($A16&amp;"|"&amp;J$5,TF_Dom,0)),"LMS",INDEX(AktKode,MATCH(INDEX(TF_Akt,MATCH($A16&amp;"|"&amp;J$5,TF_Dom,0)),Aktiviteter,0)))&amp;IF(OR(COUNTIFS(TF_Nokkel,$A16&amp;"|"&amp;J$5,TF_Akt,"&lt;&gt;"&amp;INDEX(TF_Akt,MATCH($A16&amp;"|"&amp;J$5,TF_Dom,0)))&gt;0,AND(IF(J$8="",0,MAX(0,ROUND((J$11-SUMIFS(TF_Timer,TF_Nokkel,$A16&amp;"|"&amp;J$5))*2,0)/2))&gt;0,INDEX(TF_Akt,MATCH($A16&amp;"|"&amp;J$5,TF_Dom,0))&lt;&gt;"LMS")),"+",""),"?"))))</f>
        <v/>
      </c>
      <c r="K16" s="13">
        <f>IF(OR($A16="",K$5=""),"",IF(OR(AND(INDEX(TekFra,1)&gt;0,K$5&lt;INDEX(TekFra,1)),AND(INDEX(TekTil,1)&gt;0,K$5&gt;INDEX(TekTil,1))),"",IF(COUNTIFS(TF_Nokkel,$A16&amp;"|"&amp;K$5)=0,IF(K$8&lt;&gt;"","LMS",""),IFERROR(IF(SUMIFS(TF_Timer,TF_Nokkel,$A16&amp;"|"&amp;K$5,TF_Akt,"LMS")+IF(K$8="",0,MAX(0,ROUND((K$11-SUMIFS(TF_Timer,TF_Nokkel,$A16&amp;"|"&amp;K$5))*2,0)/2))&gt;INDEX(TF_AktSum,MATCH($A16&amp;"|"&amp;K$5,TF_Dom,0)),"LMS",INDEX(AktKode,MATCH(INDEX(TF_Akt,MATCH($A16&amp;"|"&amp;K$5,TF_Dom,0)),Aktiviteter,0)))&amp;IF(OR(COUNTIFS(TF_Nokkel,$A16&amp;"|"&amp;K$5,TF_Akt,"&lt;&gt;"&amp;INDEX(TF_Akt,MATCH($A16&amp;"|"&amp;K$5,TF_Dom,0)))&gt;0,AND(IF(K$8="",0,MAX(0,ROUND((K$11-SUMIFS(TF_Timer,TF_Nokkel,$A16&amp;"|"&amp;K$5))*2,0)/2))&gt;0,INDEX(TF_Akt,MATCH($A16&amp;"|"&amp;K$5,TF_Dom,0))&lt;&gt;"LMS")),"+",""),"?"))))</f>
        <v/>
      </c>
      <c r="L16" s="13">
        <f>IF(OR($A16="",L$5=""),"",IF(OR(AND(INDEX(TekFra,1)&gt;0,L$5&lt;INDEX(TekFra,1)),AND(INDEX(TekTil,1)&gt;0,L$5&gt;INDEX(TekTil,1))),"",IF(COUNTIFS(TF_Nokkel,$A16&amp;"|"&amp;L$5)=0,IF(L$8&lt;&gt;"","LMS",""),IFERROR(IF(SUMIFS(TF_Timer,TF_Nokkel,$A16&amp;"|"&amp;L$5,TF_Akt,"LMS")+IF(L$8="",0,MAX(0,ROUND((L$11-SUMIFS(TF_Timer,TF_Nokkel,$A16&amp;"|"&amp;L$5))*2,0)/2))&gt;INDEX(TF_AktSum,MATCH($A16&amp;"|"&amp;L$5,TF_Dom,0)),"LMS",INDEX(AktKode,MATCH(INDEX(TF_Akt,MATCH($A16&amp;"|"&amp;L$5,TF_Dom,0)),Aktiviteter,0)))&amp;IF(OR(COUNTIFS(TF_Nokkel,$A16&amp;"|"&amp;L$5,TF_Akt,"&lt;&gt;"&amp;INDEX(TF_Akt,MATCH($A16&amp;"|"&amp;L$5,TF_Dom,0)))&gt;0,AND(IF(L$8="",0,MAX(0,ROUND((L$11-SUMIFS(TF_Timer,TF_Nokkel,$A16&amp;"|"&amp;L$5))*2,0)/2))&gt;0,INDEX(TF_Akt,MATCH($A16&amp;"|"&amp;L$5,TF_Dom,0))&lt;&gt;"LMS")),"+",""),"?"))))</f>
        <v/>
      </c>
      <c r="M16" s="13">
        <f>IF(OR($A16="",M$5=""),"",IF(OR(AND(INDEX(TekFra,1)&gt;0,M$5&lt;INDEX(TekFra,1)),AND(INDEX(TekTil,1)&gt;0,M$5&gt;INDEX(TekTil,1))),"",IF(COUNTIFS(TF_Nokkel,$A16&amp;"|"&amp;M$5)=0,IF(M$8&lt;&gt;"","LMS",""),IFERROR(IF(SUMIFS(TF_Timer,TF_Nokkel,$A16&amp;"|"&amp;M$5,TF_Akt,"LMS")+IF(M$8="",0,MAX(0,ROUND((M$11-SUMIFS(TF_Timer,TF_Nokkel,$A16&amp;"|"&amp;M$5))*2,0)/2))&gt;INDEX(TF_AktSum,MATCH($A16&amp;"|"&amp;M$5,TF_Dom,0)),"LMS",INDEX(AktKode,MATCH(INDEX(TF_Akt,MATCH($A16&amp;"|"&amp;M$5,TF_Dom,0)),Aktiviteter,0)))&amp;IF(OR(COUNTIFS(TF_Nokkel,$A16&amp;"|"&amp;M$5,TF_Akt,"&lt;&gt;"&amp;INDEX(TF_Akt,MATCH($A16&amp;"|"&amp;M$5,TF_Dom,0)))&gt;0,AND(IF(M$8="",0,MAX(0,ROUND((M$11-SUMIFS(TF_Timer,TF_Nokkel,$A16&amp;"|"&amp;M$5))*2,0)/2))&gt;0,INDEX(TF_Akt,MATCH($A16&amp;"|"&amp;M$5,TF_Dom,0))&lt;&gt;"LMS")),"+",""),"?"))))</f>
        <v/>
      </c>
      <c r="N16" s="13">
        <f>IF(OR($A16="",N$5=""),"",IF(OR(AND(INDEX(TekFra,1)&gt;0,N$5&lt;INDEX(TekFra,1)),AND(INDEX(TekTil,1)&gt;0,N$5&gt;INDEX(TekTil,1))),"",IF(COUNTIFS(TF_Nokkel,$A16&amp;"|"&amp;N$5)=0,IF(N$8&lt;&gt;"","LMS",""),IFERROR(IF(SUMIFS(TF_Timer,TF_Nokkel,$A16&amp;"|"&amp;N$5,TF_Akt,"LMS")+IF(N$8="",0,MAX(0,ROUND((N$11-SUMIFS(TF_Timer,TF_Nokkel,$A16&amp;"|"&amp;N$5))*2,0)/2))&gt;INDEX(TF_AktSum,MATCH($A16&amp;"|"&amp;N$5,TF_Dom,0)),"LMS",INDEX(AktKode,MATCH(INDEX(TF_Akt,MATCH($A16&amp;"|"&amp;N$5,TF_Dom,0)),Aktiviteter,0)))&amp;IF(OR(COUNTIFS(TF_Nokkel,$A16&amp;"|"&amp;N$5,TF_Akt,"&lt;&gt;"&amp;INDEX(TF_Akt,MATCH($A16&amp;"|"&amp;N$5,TF_Dom,0)))&gt;0,AND(IF(N$8="",0,MAX(0,ROUND((N$11-SUMIFS(TF_Timer,TF_Nokkel,$A16&amp;"|"&amp;N$5))*2,0)/2))&gt;0,INDEX(TF_Akt,MATCH($A16&amp;"|"&amp;N$5,TF_Dom,0))&lt;&gt;"LMS")),"+",""),"?"))))</f>
        <v/>
      </c>
      <c r="O16" s="13">
        <f>IF(OR($A16="",O$5=""),"",IF(OR(AND(INDEX(TekFra,1)&gt;0,O$5&lt;INDEX(TekFra,1)),AND(INDEX(TekTil,1)&gt;0,O$5&gt;INDEX(TekTil,1))),"",IF(COUNTIFS(TF_Nokkel,$A16&amp;"|"&amp;O$5)=0,IF(O$8&lt;&gt;"","LMS",""),IFERROR(IF(SUMIFS(TF_Timer,TF_Nokkel,$A16&amp;"|"&amp;O$5,TF_Akt,"LMS")+IF(O$8="",0,MAX(0,ROUND((O$11-SUMIFS(TF_Timer,TF_Nokkel,$A16&amp;"|"&amp;O$5))*2,0)/2))&gt;INDEX(TF_AktSum,MATCH($A16&amp;"|"&amp;O$5,TF_Dom,0)),"LMS",INDEX(AktKode,MATCH(INDEX(TF_Akt,MATCH($A16&amp;"|"&amp;O$5,TF_Dom,0)),Aktiviteter,0)))&amp;IF(OR(COUNTIFS(TF_Nokkel,$A16&amp;"|"&amp;O$5,TF_Akt,"&lt;&gt;"&amp;INDEX(TF_Akt,MATCH($A16&amp;"|"&amp;O$5,TF_Dom,0)))&gt;0,AND(IF(O$8="",0,MAX(0,ROUND((O$11-SUMIFS(TF_Timer,TF_Nokkel,$A16&amp;"|"&amp;O$5))*2,0)/2))&gt;0,INDEX(TF_Akt,MATCH($A16&amp;"|"&amp;O$5,TF_Dom,0))&lt;&gt;"LMS")),"+",""),"?"))))</f>
        <v/>
      </c>
      <c r="P16" s="13">
        <f>IF(OR($A16="",P$5=""),"",IF(OR(AND(INDEX(TekFra,1)&gt;0,P$5&lt;INDEX(TekFra,1)),AND(INDEX(TekTil,1)&gt;0,P$5&gt;INDEX(TekTil,1))),"",IF(COUNTIFS(TF_Nokkel,$A16&amp;"|"&amp;P$5)=0,IF(P$8&lt;&gt;"","LMS",""),IFERROR(IF(SUMIFS(TF_Timer,TF_Nokkel,$A16&amp;"|"&amp;P$5,TF_Akt,"LMS")+IF(P$8="",0,MAX(0,ROUND((P$11-SUMIFS(TF_Timer,TF_Nokkel,$A16&amp;"|"&amp;P$5))*2,0)/2))&gt;INDEX(TF_AktSum,MATCH($A16&amp;"|"&amp;P$5,TF_Dom,0)),"LMS",INDEX(AktKode,MATCH(INDEX(TF_Akt,MATCH($A16&amp;"|"&amp;P$5,TF_Dom,0)),Aktiviteter,0)))&amp;IF(OR(COUNTIFS(TF_Nokkel,$A16&amp;"|"&amp;P$5,TF_Akt,"&lt;&gt;"&amp;INDEX(TF_Akt,MATCH($A16&amp;"|"&amp;P$5,TF_Dom,0)))&gt;0,AND(IF(P$8="",0,MAX(0,ROUND((P$11-SUMIFS(TF_Timer,TF_Nokkel,$A16&amp;"|"&amp;P$5))*2,0)/2))&gt;0,INDEX(TF_Akt,MATCH($A16&amp;"|"&amp;P$5,TF_Dom,0))&lt;&gt;"LMS")),"+",""),"?"))))</f>
        <v/>
      </c>
      <c r="Q16" s="13">
        <f>IF(OR($A16="",Q$5=""),"",IF(OR(AND(INDEX(TekFra,1)&gt;0,Q$5&lt;INDEX(TekFra,1)),AND(INDEX(TekTil,1)&gt;0,Q$5&gt;INDEX(TekTil,1))),"",IF(COUNTIFS(TF_Nokkel,$A16&amp;"|"&amp;Q$5)=0,IF(Q$8&lt;&gt;"","LMS",""),IFERROR(IF(SUMIFS(TF_Timer,TF_Nokkel,$A16&amp;"|"&amp;Q$5,TF_Akt,"LMS")+IF(Q$8="",0,MAX(0,ROUND((Q$11-SUMIFS(TF_Timer,TF_Nokkel,$A16&amp;"|"&amp;Q$5))*2,0)/2))&gt;INDEX(TF_AktSum,MATCH($A16&amp;"|"&amp;Q$5,TF_Dom,0)),"LMS",INDEX(AktKode,MATCH(INDEX(TF_Akt,MATCH($A16&amp;"|"&amp;Q$5,TF_Dom,0)),Aktiviteter,0)))&amp;IF(OR(COUNTIFS(TF_Nokkel,$A16&amp;"|"&amp;Q$5,TF_Akt,"&lt;&gt;"&amp;INDEX(TF_Akt,MATCH($A16&amp;"|"&amp;Q$5,TF_Dom,0)))&gt;0,AND(IF(Q$8="",0,MAX(0,ROUND((Q$11-SUMIFS(TF_Timer,TF_Nokkel,$A16&amp;"|"&amp;Q$5))*2,0)/2))&gt;0,INDEX(TF_Akt,MATCH($A16&amp;"|"&amp;Q$5,TF_Dom,0))&lt;&gt;"LMS")),"+",""),"?"))))</f>
        <v/>
      </c>
      <c r="R16" s="13">
        <f>IF(OR($A16="",R$5=""),"",IF(OR(AND(INDEX(TekFra,1)&gt;0,R$5&lt;INDEX(TekFra,1)),AND(INDEX(TekTil,1)&gt;0,R$5&gt;INDEX(TekTil,1))),"",IF(COUNTIFS(TF_Nokkel,$A16&amp;"|"&amp;R$5)=0,IF(R$8&lt;&gt;"","LMS",""),IFERROR(IF(SUMIFS(TF_Timer,TF_Nokkel,$A16&amp;"|"&amp;R$5,TF_Akt,"LMS")+IF(R$8="",0,MAX(0,ROUND((R$11-SUMIFS(TF_Timer,TF_Nokkel,$A16&amp;"|"&amp;R$5))*2,0)/2))&gt;INDEX(TF_AktSum,MATCH($A16&amp;"|"&amp;R$5,TF_Dom,0)),"LMS",INDEX(AktKode,MATCH(INDEX(TF_Akt,MATCH($A16&amp;"|"&amp;R$5,TF_Dom,0)),Aktiviteter,0)))&amp;IF(OR(COUNTIFS(TF_Nokkel,$A16&amp;"|"&amp;R$5,TF_Akt,"&lt;&gt;"&amp;INDEX(TF_Akt,MATCH($A16&amp;"|"&amp;R$5,TF_Dom,0)))&gt;0,AND(IF(R$8="",0,MAX(0,ROUND((R$11-SUMIFS(TF_Timer,TF_Nokkel,$A16&amp;"|"&amp;R$5))*2,0)/2))&gt;0,INDEX(TF_Akt,MATCH($A16&amp;"|"&amp;R$5,TF_Dom,0))&lt;&gt;"LMS")),"+",""),"?"))))</f>
        <v/>
      </c>
      <c r="S16" s="13">
        <f>IF(OR($A16="",S$5=""),"",IF(OR(AND(INDEX(TekFra,1)&gt;0,S$5&lt;INDEX(TekFra,1)),AND(INDEX(TekTil,1)&gt;0,S$5&gt;INDEX(TekTil,1))),"",IF(COUNTIFS(TF_Nokkel,$A16&amp;"|"&amp;S$5)=0,IF(S$8&lt;&gt;"","LMS",""),IFERROR(IF(SUMIFS(TF_Timer,TF_Nokkel,$A16&amp;"|"&amp;S$5,TF_Akt,"LMS")+IF(S$8="",0,MAX(0,ROUND((S$11-SUMIFS(TF_Timer,TF_Nokkel,$A16&amp;"|"&amp;S$5))*2,0)/2))&gt;INDEX(TF_AktSum,MATCH($A16&amp;"|"&amp;S$5,TF_Dom,0)),"LMS",INDEX(AktKode,MATCH(INDEX(TF_Akt,MATCH($A16&amp;"|"&amp;S$5,TF_Dom,0)),Aktiviteter,0)))&amp;IF(OR(COUNTIFS(TF_Nokkel,$A16&amp;"|"&amp;S$5,TF_Akt,"&lt;&gt;"&amp;INDEX(TF_Akt,MATCH($A16&amp;"|"&amp;S$5,TF_Dom,0)))&gt;0,AND(IF(S$8="",0,MAX(0,ROUND((S$11-SUMIFS(TF_Timer,TF_Nokkel,$A16&amp;"|"&amp;S$5))*2,0)/2))&gt;0,INDEX(TF_Akt,MATCH($A16&amp;"|"&amp;S$5,TF_Dom,0))&lt;&gt;"LMS")),"+",""),"?"))))</f>
        <v/>
      </c>
      <c r="T16" s="13">
        <f>IF(OR($A16="",T$5=""),"",IF(OR(AND(INDEX(TekFra,1)&gt;0,T$5&lt;INDEX(TekFra,1)),AND(INDEX(TekTil,1)&gt;0,T$5&gt;INDEX(TekTil,1))),"",IF(COUNTIFS(TF_Nokkel,$A16&amp;"|"&amp;T$5)=0,IF(T$8&lt;&gt;"","LMS",""),IFERROR(IF(SUMIFS(TF_Timer,TF_Nokkel,$A16&amp;"|"&amp;T$5,TF_Akt,"LMS")+IF(T$8="",0,MAX(0,ROUND((T$11-SUMIFS(TF_Timer,TF_Nokkel,$A16&amp;"|"&amp;T$5))*2,0)/2))&gt;INDEX(TF_AktSum,MATCH($A16&amp;"|"&amp;T$5,TF_Dom,0)),"LMS",INDEX(AktKode,MATCH(INDEX(TF_Akt,MATCH($A16&amp;"|"&amp;T$5,TF_Dom,0)),Aktiviteter,0)))&amp;IF(OR(COUNTIFS(TF_Nokkel,$A16&amp;"|"&amp;T$5,TF_Akt,"&lt;&gt;"&amp;INDEX(TF_Akt,MATCH($A16&amp;"|"&amp;T$5,TF_Dom,0)))&gt;0,AND(IF(T$8="",0,MAX(0,ROUND((T$11-SUMIFS(TF_Timer,TF_Nokkel,$A16&amp;"|"&amp;T$5))*2,0)/2))&gt;0,INDEX(TF_Akt,MATCH($A16&amp;"|"&amp;T$5,TF_Dom,0))&lt;&gt;"LMS")),"+",""),"?"))))</f>
        <v/>
      </c>
      <c r="U16" s="13">
        <f>IF(OR($A16="",U$5=""),"",IF(OR(AND(INDEX(TekFra,1)&gt;0,U$5&lt;INDEX(TekFra,1)),AND(INDEX(TekTil,1)&gt;0,U$5&gt;INDEX(TekTil,1))),"",IF(COUNTIFS(TF_Nokkel,$A16&amp;"|"&amp;U$5)=0,IF(U$8&lt;&gt;"","LMS",""),IFERROR(IF(SUMIFS(TF_Timer,TF_Nokkel,$A16&amp;"|"&amp;U$5,TF_Akt,"LMS")+IF(U$8="",0,MAX(0,ROUND((U$11-SUMIFS(TF_Timer,TF_Nokkel,$A16&amp;"|"&amp;U$5))*2,0)/2))&gt;INDEX(TF_AktSum,MATCH($A16&amp;"|"&amp;U$5,TF_Dom,0)),"LMS",INDEX(AktKode,MATCH(INDEX(TF_Akt,MATCH($A16&amp;"|"&amp;U$5,TF_Dom,0)),Aktiviteter,0)))&amp;IF(OR(COUNTIFS(TF_Nokkel,$A16&amp;"|"&amp;U$5,TF_Akt,"&lt;&gt;"&amp;INDEX(TF_Akt,MATCH($A16&amp;"|"&amp;U$5,TF_Dom,0)))&gt;0,AND(IF(U$8="",0,MAX(0,ROUND((U$11-SUMIFS(TF_Timer,TF_Nokkel,$A16&amp;"|"&amp;U$5))*2,0)/2))&gt;0,INDEX(TF_Akt,MATCH($A16&amp;"|"&amp;U$5,TF_Dom,0))&lt;&gt;"LMS")),"+",""),"?"))))</f>
        <v/>
      </c>
      <c r="V16" s="13">
        <f>IF(OR($A16="",V$5=""),"",IF(OR(AND(INDEX(TekFra,1)&gt;0,V$5&lt;INDEX(TekFra,1)),AND(INDEX(TekTil,1)&gt;0,V$5&gt;INDEX(TekTil,1))),"",IF(COUNTIFS(TF_Nokkel,$A16&amp;"|"&amp;V$5)=0,IF(V$8&lt;&gt;"","LMS",""),IFERROR(IF(SUMIFS(TF_Timer,TF_Nokkel,$A16&amp;"|"&amp;V$5,TF_Akt,"LMS")+IF(V$8="",0,MAX(0,ROUND((V$11-SUMIFS(TF_Timer,TF_Nokkel,$A16&amp;"|"&amp;V$5))*2,0)/2))&gt;INDEX(TF_AktSum,MATCH($A16&amp;"|"&amp;V$5,TF_Dom,0)),"LMS",INDEX(AktKode,MATCH(INDEX(TF_Akt,MATCH($A16&amp;"|"&amp;V$5,TF_Dom,0)),Aktiviteter,0)))&amp;IF(OR(COUNTIFS(TF_Nokkel,$A16&amp;"|"&amp;V$5,TF_Akt,"&lt;&gt;"&amp;INDEX(TF_Akt,MATCH($A16&amp;"|"&amp;V$5,TF_Dom,0)))&gt;0,AND(IF(V$8="",0,MAX(0,ROUND((V$11-SUMIFS(TF_Timer,TF_Nokkel,$A16&amp;"|"&amp;V$5))*2,0)/2))&gt;0,INDEX(TF_Akt,MATCH($A16&amp;"|"&amp;V$5,TF_Dom,0))&lt;&gt;"LMS")),"+",""),"?"))))</f>
        <v/>
      </c>
      <c r="W16" s="13">
        <f>IF(OR($A16="",W$5=""),"",IF(OR(AND(INDEX(TekFra,1)&gt;0,W$5&lt;INDEX(TekFra,1)),AND(INDEX(TekTil,1)&gt;0,W$5&gt;INDEX(TekTil,1))),"",IF(COUNTIFS(TF_Nokkel,$A16&amp;"|"&amp;W$5)=0,IF(W$8&lt;&gt;"","LMS",""),IFERROR(IF(SUMIFS(TF_Timer,TF_Nokkel,$A16&amp;"|"&amp;W$5,TF_Akt,"LMS")+IF(W$8="",0,MAX(0,ROUND((W$11-SUMIFS(TF_Timer,TF_Nokkel,$A16&amp;"|"&amp;W$5))*2,0)/2))&gt;INDEX(TF_AktSum,MATCH($A16&amp;"|"&amp;W$5,TF_Dom,0)),"LMS",INDEX(AktKode,MATCH(INDEX(TF_Akt,MATCH($A16&amp;"|"&amp;W$5,TF_Dom,0)),Aktiviteter,0)))&amp;IF(OR(COUNTIFS(TF_Nokkel,$A16&amp;"|"&amp;W$5,TF_Akt,"&lt;&gt;"&amp;INDEX(TF_Akt,MATCH($A16&amp;"|"&amp;W$5,TF_Dom,0)))&gt;0,AND(IF(W$8="",0,MAX(0,ROUND((W$11-SUMIFS(TF_Timer,TF_Nokkel,$A16&amp;"|"&amp;W$5))*2,0)/2))&gt;0,INDEX(TF_Akt,MATCH($A16&amp;"|"&amp;W$5,TF_Dom,0))&lt;&gt;"LMS")),"+",""),"?"))))</f>
        <v/>
      </c>
      <c r="X16" s="13">
        <f>IF(OR($A16="",X$5=""),"",IF(OR(AND(INDEX(TekFra,1)&gt;0,X$5&lt;INDEX(TekFra,1)),AND(INDEX(TekTil,1)&gt;0,X$5&gt;INDEX(TekTil,1))),"",IF(COUNTIFS(TF_Nokkel,$A16&amp;"|"&amp;X$5)=0,IF(X$8&lt;&gt;"","LMS",""),IFERROR(IF(SUMIFS(TF_Timer,TF_Nokkel,$A16&amp;"|"&amp;X$5,TF_Akt,"LMS")+IF(X$8="",0,MAX(0,ROUND((X$11-SUMIFS(TF_Timer,TF_Nokkel,$A16&amp;"|"&amp;X$5))*2,0)/2))&gt;INDEX(TF_AktSum,MATCH($A16&amp;"|"&amp;X$5,TF_Dom,0)),"LMS",INDEX(AktKode,MATCH(INDEX(TF_Akt,MATCH($A16&amp;"|"&amp;X$5,TF_Dom,0)),Aktiviteter,0)))&amp;IF(OR(COUNTIFS(TF_Nokkel,$A16&amp;"|"&amp;X$5,TF_Akt,"&lt;&gt;"&amp;INDEX(TF_Akt,MATCH($A16&amp;"|"&amp;X$5,TF_Dom,0)))&gt;0,AND(IF(X$8="",0,MAX(0,ROUND((X$11-SUMIFS(TF_Timer,TF_Nokkel,$A16&amp;"|"&amp;X$5))*2,0)/2))&gt;0,INDEX(TF_Akt,MATCH($A16&amp;"|"&amp;X$5,TF_Dom,0))&lt;&gt;"LMS")),"+",""),"?"))))</f>
        <v/>
      </c>
      <c r="Y16" s="13">
        <f>IF(OR($A16="",Y$5=""),"",IF(OR(AND(INDEX(TekFra,1)&gt;0,Y$5&lt;INDEX(TekFra,1)),AND(INDEX(TekTil,1)&gt;0,Y$5&gt;INDEX(TekTil,1))),"",IF(COUNTIFS(TF_Nokkel,$A16&amp;"|"&amp;Y$5)=0,IF(Y$8&lt;&gt;"","LMS",""),IFERROR(IF(SUMIFS(TF_Timer,TF_Nokkel,$A16&amp;"|"&amp;Y$5,TF_Akt,"LMS")+IF(Y$8="",0,MAX(0,ROUND((Y$11-SUMIFS(TF_Timer,TF_Nokkel,$A16&amp;"|"&amp;Y$5))*2,0)/2))&gt;INDEX(TF_AktSum,MATCH($A16&amp;"|"&amp;Y$5,TF_Dom,0)),"LMS",INDEX(AktKode,MATCH(INDEX(TF_Akt,MATCH($A16&amp;"|"&amp;Y$5,TF_Dom,0)),Aktiviteter,0)))&amp;IF(OR(COUNTIFS(TF_Nokkel,$A16&amp;"|"&amp;Y$5,TF_Akt,"&lt;&gt;"&amp;INDEX(TF_Akt,MATCH($A16&amp;"|"&amp;Y$5,TF_Dom,0)))&gt;0,AND(IF(Y$8="",0,MAX(0,ROUND((Y$11-SUMIFS(TF_Timer,TF_Nokkel,$A16&amp;"|"&amp;Y$5))*2,0)/2))&gt;0,INDEX(TF_Akt,MATCH($A16&amp;"|"&amp;Y$5,TF_Dom,0))&lt;&gt;"LMS")),"+",""),"?"))))</f>
        <v/>
      </c>
      <c r="Z16" s="13">
        <f>IF(OR($A16="",Z$5=""),"",IF(OR(AND(INDEX(TekFra,1)&gt;0,Z$5&lt;INDEX(TekFra,1)),AND(INDEX(TekTil,1)&gt;0,Z$5&gt;INDEX(TekTil,1))),"",IF(COUNTIFS(TF_Nokkel,$A16&amp;"|"&amp;Z$5)=0,IF(Z$8&lt;&gt;"","LMS",""),IFERROR(IF(SUMIFS(TF_Timer,TF_Nokkel,$A16&amp;"|"&amp;Z$5,TF_Akt,"LMS")+IF(Z$8="",0,MAX(0,ROUND((Z$11-SUMIFS(TF_Timer,TF_Nokkel,$A16&amp;"|"&amp;Z$5))*2,0)/2))&gt;INDEX(TF_AktSum,MATCH($A16&amp;"|"&amp;Z$5,TF_Dom,0)),"LMS",INDEX(AktKode,MATCH(INDEX(TF_Akt,MATCH($A16&amp;"|"&amp;Z$5,TF_Dom,0)),Aktiviteter,0)))&amp;IF(OR(COUNTIFS(TF_Nokkel,$A16&amp;"|"&amp;Z$5,TF_Akt,"&lt;&gt;"&amp;INDEX(TF_Akt,MATCH($A16&amp;"|"&amp;Z$5,TF_Dom,0)))&gt;0,AND(IF(Z$8="",0,MAX(0,ROUND((Z$11-SUMIFS(TF_Timer,TF_Nokkel,$A16&amp;"|"&amp;Z$5))*2,0)/2))&gt;0,INDEX(TF_Akt,MATCH($A16&amp;"|"&amp;Z$5,TF_Dom,0))&lt;&gt;"LMS")),"+",""),"?"))))</f>
        <v/>
      </c>
      <c r="AA16" s="13">
        <f>IF(OR($A16="",AA$5=""),"",IF(OR(AND(INDEX(TekFra,1)&gt;0,AA$5&lt;INDEX(TekFra,1)),AND(INDEX(TekTil,1)&gt;0,AA$5&gt;INDEX(TekTil,1))),"",IF(COUNTIFS(TF_Nokkel,$A16&amp;"|"&amp;AA$5)=0,IF(AA$8&lt;&gt;"","LMS",""),IFERROR(IF(SUMIFS(TF_Timer,TF_Nokkel,$A16&amp;"|"&amp;AA$5,TF_Akt,"LMS")+IF(AA$8="",0,MAX(0,ROUND((AA$11-SUMIFS(TF_Timer,TF_Nokkel,$A16&amp;"|"&amp;AA$5))*2,0)/2))&gt;INDEX(TF_AktSum,MATCH($A16&amp;"|"&amp;AA$5,TF_Dom,0)),"LMS",INDEX(AktKode,MATCH(INDEX(TF_Akt,MATCH($A16&amp;"|"&amp;AA$5,TF_Dom,0)),Aktiviteter,0)))&amp;IF(OR(COUNTIFS(TF_Nokkel,$A16&amp;"|"&amp;AA$5,TF_Akt,"&lt;&gt;"&amp;INDEX(TF_Akt,MATCH($A16&amp;"|"&amp;AA$5,TF_Dom,0)))&gt;0,AND(IF(AA$8="",0,MAX(0,ROUND((AA$11-SUMIFS(TF_Timer,TF_Nokkel,$A16&amp;"|"&amp;AA$5))*2,0)/2))&gt;0,INDEX(TF_Akt,MATCH($A16&amp;"|"&amp;AA$5,TF_Dom,0))&lt;&gt;"LMS")),"+",""),"?"))))</f>
        <v/>
      </c>
      <c r="AB16" s="13">
        <f>IF(OR($A16="",AB$5=""),"",IF(OR(AND(INDEX(TekFra,1)&gt;0,AB$5&lt;INDEX(TekFra,1)),AND(INDEX(TekTil,1)&gt;0,AB$5&gt;INDEX(TekTil,1))),"",IF(COUNTIFS(TF_Nokkel,$A16&amp;"|"&amp;AB$5)=0,IF(AB$8&lt;&gt;"","LMS",""),IFERROR(IF(SUMIFS(TF_Timer,TF_Nokkel,$A16&amp;"|"&amp;AB$5,TF_Akt,"LMS")+IF(AB$8="",0,MAX(0,ROUND((AB$11-SUMIFS(TF_Timer,TF_Nokkel,$A16&amp;"|"&amp;AB$5))*2,0)/2))&gt;INDEX(TF_AktSum,MATCH($A16&amp;"|"&amp;AB$5,TF_Dom,0)),"LMS",INDEX(AktKode,MATCH(INDEX(TF_Akt,MATCH($A16&amp;"|"&amp;AB$5,TF_Dom,0)),Aktiviteter,0)))&amp;IF(OR(COUNTIFS(TF_Nokkel,$A16&amp;"|"&amp;AB$5,TF_Akt,"&lt;&gt;"&amp;INDEX(TF_Akt,MATCH($A16&amp;"|"&amp;AB$5,TF_Dom,0)))&gt;0,AND(IF(AB$8="",0,MAX(0,ROUND((AB$11-SUMIFS(TF_Timer,TF_Nokkel,$A16&amp;"|"&amp;AB$5))*2,0)/2))&gt;0,INDEX(TF_Akt,MATCH($A16&amp;"|"&amp;AB$5,TF_Dom,0))&lt;&gt;"LMS")),"+",""),"?"))))</f>
        <v/>
      </c>
      <c r="AC16" s="13">
        <f>IF(OR($A16="",AC$5=""),"",IF(OR(AND(INDEX(TekFra,1)&gt;0,AC$5&lt;INDEX(TekFra,1)),AND(INDEX(TekTil,1)&gt;0,AC$5&gt;INDEX(TekTil,1))),"",IF(COUNTIFS(TF_Nokkel,$A16&amp;"|"&amp;AC$5)=0,IF(AC$8&lt;&gt;"","LMS",""),IFERROR(IF(SUMIFS(TF_Timer,TF_Nokkel,$A16&amp;"|"&amp;AC$5,TF_Akt,"LMS")+IF(AC$8="",0,MAX(0,ROUND((AC$11-SUMIFS(TF_Timer,TF_Nokkel,$A16&amp;"|"&amp;AC$5))*2,0)/2))&gt;INDEX(TF_AktSum,MATCH($A16&amp;"|"&amp;AC$5,TF_Dom,0)),"LMS",INDEX(AktKode,MATCH(INDEX(TF_Akt,MATCH($A16&amp;"|"&amp;AC$5,TF_Dom,0)),Aktiviteter,0)))&amp;IF(OR(COUNTIFS(TF_Nokkel,$A16&amp;"|"&amp;AC$5,TF_Akt,"&lt;&gt;"&amp;INDEX(TF_Akt,MATCH($A16&amp;"|"&amp;AC$5,TF_Dom,0)))&gt;0,AND(IF(AC$8="",0,MAX(0,ROUND((AC$11-SUMIFS(TF_Timer,TF_Nokkel,$A16&amp;"|"&amp;AC$5))*2,0)/2))&gt;0,INDEX(TF_Akt,MATCH($A16&amp;"|"&amp;AC$5,TF_Dom,0))&lt;&gt;"LMS")),"+",""),"?"))))</f>
        <v/>
      </c>
      <c r="AD16" s="13">
        <f>IF(OR($A16="",AD$5=""),"",IF(OR(AND(INDEX(TekFra,1)&gt;0,AD$5&lt;INDEX(TekFra,1)),AND(INDEX(TekTil,1)&gt;0,AD$5&gt;INDEX(TekTil,1))),"",IF(COUNTIFS(TF_Nokkel,$A16&amp;"|"&amp;AD$5)=0,IF(AD$8&lt;&gt;"","LMS",""),IFERROR(IF(SUMIFS(TF_Timer,TF_Nokkel,$A16&amp;"|"&amp;AD$5,TF_Akt,"LMS")+IF(AD$8="",0,MAX(0,ROUND((AD$11-SUMIFS(TF_Timer,TF_Nokkel,$A16&amp;"|"&amp;AD$5))*2,0)/2))&gt;INDEX(TF_AktSum,MATCH($A16&amp;"|"&amp;AD$5,TF_Dom,0)),"LMS",INDEX(AktKode,MATCH(INDEX(TF_Akt,MATCH($A16&amp;"|"&amp;AD$5,TF_Dom,0)),Aktiviteter,0)))&amp;IF(OR(COUNTIFS(TF_Nokkel,$A16&amp;"|"&amp;AD$5,TF_Akt,"&lt;&gt;"&amp;INDEX(TF_Akt,MATCH($A16&amp;"|"&amp;AD$5,TF_Dom,0)))&gt;0,AND(IF(AD$8="",0,MAX(0,ROUND((AD$11-SUMIFS(TF_Timer,TF_Nokkel,$A16&amp;"|"&amp;AD$5))*2,0)/2))&gt;0,INDEX(TF_Akt,MATCH($A16&amp;"|"&amp;AD$5,TF_Dom,0))&lt;&gt;"LMS")),"+",""),"?"))))</f>
        <v/>
      </c>
      <c r="AE16" s="13">
        <f>IF(OR($A16="",AE$5=""),"",IF(OR(AND(INDEX(TekFra,1)&gt;0,AE$5&lt;INDEX(TekFra,1)),AND(INDEX(TekTil,1)&gt;0,AE$5&gt;INDEX(TekTil,1))),"",IF(COUNTIFS(TF_Nokkel,$A16&amp;"|"&amp;AE$5)=0,IF(AE$8&lt;&gt;"","LMS",""),IFERROR(IF(SUMIFS(TF_Timer,TF_Nokkel,$A16&amp;"|"&amp;AE$5,TF_Akt,"LMS")+IF(AE$8="",0,MAX(0,ROUND((AE$11-SUMIFS(TF_Timer,TF_Nokkel,$A16&amp;"|"&amp;AE$5))*2,0)/2))&gt;INDEX(TF_AktSum,MATCH($A16&amp;"|"&amp;AE$5,TF_Dom,0)),"LMS",INDEX(AktKode,MATCH(INDEX(TF_Akt,MATCH($A16&amp;"|"&amp;AE$5,TF_Dom,0)),Aktiviteter,0)))&amp;IF(OR(COUNTIFS(TF_Nokkel,$A16&amp;"|"&amp;AE$5,TF_Akt,"&lt;&gt;"&amp;INDEX(TF_Akt,MATCH($A16&amp;"|"&amp;AE$5,TF_Dom,0)))&gt;0,AND(IF(AE$8="",0,MAX(0,ROUND((AE$11-SUMIFS(TF_Timer,TF_Nokkel,$A16&amp;"|"&amp;AE$5))*2,0)/2))&gt;0,INDEX(TF_Akt,MATCH($A16&amp;"|"&amp;AE$5,TF_Dom,0))&lt;&gt;"LMS")),"+",""),"?"))))</f>
        <v/>
      </c>
      <c r="AF16" s="13">
        <f>IF(OR($A16="",AF$5=""),"",IF(OR(AND(INDEX(TekFra,1)&gt;0,AF$5&lt;INDEX(TekFra,1)),AND(INDEX(TekTil,1)&gt;0,AF$5&gt;INDEX(TekTil,1))),"",IF(COUNTIFS(TF_Nokkel,$A16&amp;"|"&amp;AF$5)=0,IF(AF$8&lt;&gt;"","LMS",""),IFERROR(IF(SUMIFS(TF_Timer,TF_Nokkel,$A16&amp;"|"&amp;AF$5,TF_Akt,"LMS")+IF(AF$8="",0,MAX(0,ROUND((AF$11-SUMIFS(TF_Timer,TF_Nokkel,$A16&amp;"|"&amp;AF$5))*2,0)/2))&gt;INDEX(TF_AktSum,MATCH($A16&amp;"|"&amp;AF$5,TF_Dom,0)),"LMS",INDEX(AktKode,MATCH(INDEX(TF_Akt,MATCH($A16&amp;"|"&amp;AF$5,TF_Dom,0)),Aktiviteter,0)))&amp;IF(OR(COUNTIFS(TF_Nokkel,$A16&amp;"|"&amp;AF$5,TF_Akt,"&lt;&gt;"&amp;INDEX(TF_Akt,MATCH($A16&amp;"|"&amp;AF$5,TF_Dom,0)))&gt;0,AND(IF(AF$8="",0,MAX(0,ROUND((AF$11-SUMIFS(TF_Timer,TF_Nokkel,$A16&amp;"|"&amp;AF$5))*2,0)/2))&gt;0,INDEX(TF_Akt,MATCH($A16&amp;"|"&amp;AF$5,TF_Dom,0))&lt;&gt;"LMS")),"+",""),"?"))))</f>
        <v/>
      </c>
      <c r="AG16" s="13">
        <f>IF(OR($A16="",AG$5=""),"",IF(OR(AND(INDEX(TekFra,1)&gt;0,AG$5&lt;INDEX(TekFra,1)),AND(INDEX(TekTil,1)&gt;0,AG$5&gt;INDEX(TekTil,1))),"",IF(COUNTIFS(TF_Nokkel,$A16&amp;"|"&amp;AG$5)=0,IF(AG$8&lt;&gt;"","LMS",""),IFERROR(IF(SUMIFS(TF_Timer,TF_Nokkel,$A16&amp;"|"&amp;AG$5,TF_Akt,"LMS")+IF(AG$8="",0,MAX(0,ROUND((AG$11-SUMIFS(TF_Timer,TF_Nokkel,$A16&amp;"|"&amp;AG$5))*2,0)/2))&gt;INDEX(TF_AktSum,MATCH($A16&amp;"|"&amp;AG$5,TF_Dom,0)),"LMS",INDEX(AktKode,MATCH(INDEX(TF_Akt,MATCH($A16&amp;"|"&amp;AG$5,TF_Dom,0)),Aktiviteter,0)))&amp;IF(OR(COUNTIFS(TF_Nokkel,$A16&amp;"|"&amp;AG$5,TF_Akt,"&lt;&gt;"&amp;INDEX(TF_Akt,MATCH($A16&amp;"|"&amp;AG$5,TF_Dom,0)))&gt;0,AND(IF(AG$8="",0,MAX(0,ROUND((AG$11-SUMIFS(TF_Timer,TF_Nokkel,$A16&amp;"|"&amp;AG$5))*2,0)/2))&gt;0,INDEX(TF_Akt,MATCH($A16&amp;"|"&amp;AG$5,TF_Dom,0))&lt;&gt;"LMS")),"+",""),"?"))))</f>
        <v/>
      </c>
      <c r="AH16" s="2" t="n"/>
      <c r="AI16" s="14" t="inlineStr">
        <is>
          <t>LN</t>
        </is>
      </c>
      <c r="AJ16" s="15" t="inlineStr">
        <is>
          <t>Line</t>
        </is>
      </c>
    </row>
    <row r="17">
      <c r="A17" s="2">
        <f>INDEX(Teknikere,2)&amp;""</f>
        <v/>
      </c>
      <c r="B17" s="12">
        <f>IF(INDEX(TekFra,2)&gt;0,"ekstra","")</f>
        <v/>
      </c>
      <c r="C17" s="13">
        <f>IF(OR($A17="",C$5=""),"",IF(OR(AND(INDEX(TekFra,2)&gt;0,C$5&lt;INDEX(TekFra,2)),AND(INDEX(TekTil,2)&gt;0,C$5&gt;INDEX(TekTil,2))),"",IF(COUNTIFS(TF_Nokkel,$A17&amp;"|"&amp;C$5)=0,IF(C$8&lt;&gt;"","LMS",""),IFERROR(IF(SUMIFS(TF_Timer,TF_Nokkel,$A17&amp;"|"&amp;C$5,TF_Akt,"LMS")+IF(C$8="",0,MAX(0,ROUND((C$11-SUMIFS(TF_Timer,TF_Nokkel,$A17&amp;"|"&amp;C$5))*2,0)/2))&gt;INDEX(TF_AktSum,MATCH($A17&amp;"|"&amp;C$5,TF_Dom,0)),"LMS",INDEX(AktKode,MATCH(INDEX(TF_Akt,MATCH($A17&amp;"|"&amp;C$5,TF_Dom,0)),Aktiviteter,0)))&amp;IF(OR(COUNTIFS(TF_Nokkel,$A17&amp;"|"&amp;C$5,TF_Akt,"&lt;&gt;"&amp;INDEX(TF_Akt,MATCH($A17&amp;"|"&amp;C$5,TF_Dom,0)))&gt;0,AND(IF(C$8="",0,MAX(0,ROUND((C$11-SUMIFS(TF_Timer,TF_Nokkel,$A17&amp;"|"&amp;C$5))*2,0)/2))&gt;0,INDEX(TF_Akt,MATCH($A17&amp;"|"&amp;C$5,TF_Dom,0))&lt;&gt;"LMS")),"+",""),"?"))))</f>
        <v/>
      </c>
      <c r="D17" s="13">
        <f>IF(OR($A17="",D$5=""),"",IF(OR(AND(INDEX(TekFra,2)&gt;0,D$5&lt;INDEX(TekFra,2)),AND(INDEX(TekTil,2)&gt;0,D$5&gt;INDEX(TekTil,2))),"",IF(COUNTIFS(TF_Nokkel,$A17&amp;"|"&amp;D$5)=0,IF(D$8&lt;&gt;"","LMS",""),IFERROR(IF(SUMIFS(TF_Timer,TF_Nokkel,$A17&amp;"|"&amp;D$5,TF_Akt,"LMS")+IF(D$8="",0,MAX(0,ROUND((D$11-SUMIFS(TF_Timer,TF_Nokkel,$A17&amp;"|"&amp;D$5))*2,0)/2))&gt;INDEX(TF_AktSum,MATCH($A17&amp;"|"&amp;D$5,TF_Dom,0)),"LMS",INDEX(AktKode,MATCH(INDEX(TF_Akt,MATCH($A17&amp;"|"&amp;D$5,TF_Dom,0)),Aktiviteter,0)))&amp;IF(OR(COUNTIFS(TF_Nokkel,$A17&amp;"|"&amp;D$5,TF_Akt,"&lt;&gt;"&amp;INDEX(TF_Akt,MATCH($A17&amp;"|"&amp;D$5,TF_Dom,0)))&gt;0,AND(IF(D$8="",0,MAX(0,ROUND((D$11-SUMIFS(TF_Timer,TF_Nokkel,$A17&amp;"|"&amp;D$5))*2,0)/2))&gt;0,INDEX(TF_Akt,MATCH($A17&amp;"|"&amp;D$5,TF_Dom,0))&lt;&gt;"LMS")),"+",""),"?"))))</f>
        <v/>
      </c>
      <c r="E17" s="13">
        <f>IF(OR($A17="",E$5=""),"",IF(OR(AND(INDEX(TekFra,2)&gt;0,E$5&lt;INDEX(TekFra,2)),AND(INDEX(TekTil,2)&gt;0,E$5&gt;INDEX(TekTil,2))),"",IF(COUNTIFS(TF_Nokkel,$A17&amp;"|"&amp;E$5)=0,IF(E$8&lt;&gt;"","LMS",""),IFERROR(IF(SUMIFS(TF_Timer,TF_Nokkel,$A17&amp;"|"&amp;E$5,TF_Akt,"LMS")+IF(E$8="",0,MAX(0,ROUND((E$11-SUMIFS(TF_Timer,TF_Nokkel,$A17&amp;"|"&amp;E$5))*2,0)/2))&gt;INDEX(TF_AktSum,MATCH($A17&amp;"|"&amp;E$5,TF_Dom,0)),"LMS",INDEX(AktKode,MATCH(INDEX(TF_Akt,MATCH($A17&amp;"|"&amp;E$5,TF_Dom,0)),Aktiviteter,0)))&amp;IF(OR(COUNTIFS(TF_Nokkel,$A17&amp;"|"&amp;E$5,TF_Akt,"&lt;&gt;"&amp;INDEX(TF_Akt,MATCH($A17&amp;"|"&amp;E$5,TF_Dom,0)))&gt;0,AND(IF(E$8="",0,MAX(0,ROUND((E$11-SUMIFS(TF_Timer,TF_Nokkel,$A17&amp;"|"&amp;E$5))*2,0)/2))&gt;0,INDEX(TF_Akt,MATCH($A17&amp;"|"&amp;E$5,TF_Dom,0))&lt;&gt;"LMS")),"+",""),"?"))))</f>
        <v/>
      </c>
      <c r="F17" s="13">
        <f>IF(OR($A17="",F$5=""),"",IF(OR(AND(INDEX(TekFra,2)&gt;0,F$5&lt;INDEX(TekFra,2)),AND(INDEX(TekTil,2)&gt;0,F$5&gt;INDEX(TekTil,2))),"",IF(COUNTIFS(TF_Nokkel,$A17&amp;"|"&amp;F$5)=0,IF(F$8&lt;&gt;"","LMS",""),IFERROR(IF(SUMIFS(TF_Timer,TF_Nokkel,$A17&amp;"|"&amp;F$5,TF_Akt,"LMS")+IF(F$8="",0,MAX(0,ROUND((F$11-SUMIFS(TF_Timer,TF_Nokkel,$A17&amp;"|"&amp;F$5))*2,0)/2))&gt;INDEX(TF_AktSum,MATCH($A17&amp;"|"&amp;F$5,TF_Dom,0)),"LMS",INDEX(AktKode,MATCH(INDEX(TF_Akt,MATCH($A17&amp;"|"&amp;F$5,TF_Dom,0)),Aktiviteter,0)))&amp;IF(OR(COUNTIFS(TF_Nokkel,$A17&amp;"|"&amp;F$5,TF_Akt,"&lt;&gt;"&amp;INDEX(TF_Akt,MATCH($A17&amp;"|"&amp;F$5,TF_Dom,0)))&gt;0,AND(IF(F$8="",0,MAX(0,ROUND((F$11-SUMIFS(TF_Timer,TF_Nokkel,$A17&amp;"|"&amp;F$5))*2,0)/2))&gt;0,INDEX(TF_Akt,MATCH($A17&amp;"|"&amp;F$5,TF_Dom,0))&lt;&gt;"LMS")),"+",""),"?"))))</f>
        <v/>
      </c>
      <c r="G17" s="13">
        <f>IF(OR($A17="",G$5=""),"",IF(OR(AND(INDEX(TekFra,2)&gt;0,G$5&lt;INDEX(TekFra,2)),AND(INDEX(TekTil,2)&gt;0,G$5&gt;INDEX(TekTil,2))),"",IF(COUNTIFS(TF_Nokkel,$A17&amp;"|"&amp;G$5)=0,IF(G$8&lt;&gt;"","LMS",""),IFERROR(IF(SUMIFS(TF_Timer,TF_Nokkel,$A17&amp;"|"&amp;G$5,TF_Akt,"LMS")+IF(G$8="",0,MAX(0,ROUND((G$11-SUMIFS(TF_Timer,TF_Nokkel,$A17&amp;"|"&amp;G$5))*2,0)/2))&gt;INDEX(TF_AktSum,MATCH($A17&amp;"|"&amp;G$5,TF_Dom,0)),"LMS",INDEX(AktKode,MATCH(INDEX(TF_Akt,MATCH($A17&amp;"|"&amp;G$5,TF_Dom,0)),Aktiviteter,0)))&amp;IF(OR(COUNTIFS(TF_Nokkel,$A17&amp;"|"&amp;G$5,TF_Akt,"&lt;&gt;"&amp;INDEX(TF_Akt,MATCH($A17&amp;"|"&amp;G$5,TF_Dom,0)))&gt;0,AND(IF(G$8="",0,MAX(0,ROUND((G$11-SUMIFS(TF_Timer,TF_Nokkel,$A17&amp;"|"&amp;G$5))*2,0)/2))&gt;0,INDEX(TF_Akt,MATCH($A17&amp;"|"&amp;G$5,TF_Dom,0))&lt;&gt;"LMS")),"+",""),"?"))))</f>
        <v/>
      </c>
      <c r="H17" s="13">
        <f>IF(OR($A17="",H$5=""),"",IF(OR(AND(INDEX(TekFra,2)&gt;0,H$5&lt;INDEX(TekFra,2)),AND(INDEX(TekTil,2)&gt;0,H$5&gt;INDEX(TekTil,2))),"",IF(COUNTIFS(TF_Nokkel,$A17&amp;"|"&amp;H$5)=0,IF(H$8&lt;&gt;"","LMS",""),IFERROR(IF(SUMIFS(TF_Timer,TF_Nokkel,$A17&amp;"|"&amp;H$5,TF_Akt,"LMS")+IF(H$8="",0,MAX(0,ROUND((H$11-SUMIFS(TF_Timer,TF_Nokkel,$A17&amp;"|"&amp;H$5))*2,0)/2))&gt;INDEX(TF_AktSum,MATCH($A17&amp;"|"&amp;H$5,TF_Dom,0)),"LMS",INDEX(AktKode,MATCH(INDEX(TF_Akt,MATCH($A17&amp;"|"&amp;H$5,TF_Dom,0)),Aktiviteter,0)))&amp;IF(OR(COUNTIFS(TF_Nokkel,$A17&amp;"|"&amp;H$5,TF_Akt,"&lt;&gt;"&amp;INDEX(TF_Akt,MATCH($A17&amp;"|"&amp;H$5,TF_Dom,0)))&gt;0,AND(IF(H$8="",0,MAX(0,ROUND((H$11-SUMIFS(TF_Timer,TF_Nokkel,$A17&amp;"|"&amp;H$5))*2,0)/2))&gt;0,INDEX(TF_Akt,MATCH($A17&amp;"|"&amp;H$5,TF_Dom,0))&lt;&gt;"LMS")),"+",""),"?"))))</f>
        <v/>
      </c>
      <c r="I17" s="13">
        <f>IF(OR($A17="",I$5=""),"",IF(OR(AND(INDEX(TekFra,2)&gt;0,I$5&lt;INDEX(TekFra,2)),AND(INDEX(TekTil,2)&gt;0,I$5&gt;INDEX(TekTil,2))),"",IF(COUNTIFS(TF_Nokkel,$A17&amp;"|"&amp;I$5)=0,IF(I$8&lt;&gt;"","LMS",""),IFERROR(IF(SUMIFS(TF_Timer,TF_Nokkel,$A17&amp;"|"&amp;I$5,TF_Akt,"LMS")+IF(I$8="",0,MAX(0,ROUND((I$11-SUMIFS(TF_Timer,TF_Nokkel,$A17&amp;"|"&amp;I$5))*2,0)/2))&gt;INDEX(TF_AktSum,MATCH($A17&amp;"|"&amp;I$5,TF_Dom,0)),"LMS",INDEX(AktKode,MATCH(INDEX(TF_Akt,MATCH($A17&amp;"|"&amp;I$5,TF_Dom,0)),Aktiviteter,0)))&amp;IF(OR(COUNTIFS(TF_Nokkel,$A17&amp;"|"&amp;I$5,TF_Akt,"&lt;&gt;"&amp;INDEX(TF_Akt,MATCH($A17&amp;"|"&amp;I$5,TF_Dom,0)))&gt;0,AND(IF(I$8="",0,MAX(0,ROUND((I$11-SUMIFS(TF_Timer,TF_Nokkel,$A17&amp;"|"&amp;I$5))*2,0)/2))&gt;0,INDEX(TF_Akt,MATCH($A17&amp;"|"&amp;I$5,TF_Dom,0))&lt;&gt;"LMS")),"+",""),"?"))))</f>
        <v/>
      </c>
      <c r="J17" s="13">
        <f>IF(OR($A17="",J$5=""),"",IF(OR(AND(INDEX(TekFra,2)&gt;0,J$5&lt;INDEX(TekFra,2)),AND(INDEX(TekTil,2)&gt;0,J$5&gt;INDEX(TekTil,2))),"",IF(COUNTIFS(TF_Nokkel,$A17&amp;"|"&amp;J$5)=0,IF(J$8&lt;&gt;"","LMS",""),IFERROR(IF(SUMIFS(TF_Timer,TF_Nokkel,$A17&amp;"|"&amp;J$5,TF_Akt,"LMS")+IF(J$8="",0,MAX(0,ROUND((J$11-SUMIFS(TF_Timer,TF_Nokkel,$A17&amp;"|"&amp;J$5))*2,0)/2))&gt;INDEX(TF_AktSum,MATCH($A17&amp;"|"&amp;J$5,TF_Dom,0)),"LMS",INDEX(AktKode,MATCH(INDEX(TF_Akt,MATCH($A17&amp;"|"&amp;J$5,TF_Dom,0)),Aktiviteter,0)))&amp;IF(OR(COUNTIFS(TF_Nokkel,$A17&amp;"|"&amp;J$5,TF_Akt,"&lt;&gt;"&amp;INDEX(TF_Akt,MATCH($A17&amp;"|"&amp;J$5,TF_Dom,0)))&gt;0,AND(IF(J$8="",0,MAX(0,ROUND((J$11-SUMIFS(TF_Timer,TF_Nokkel,$A17&amp;"|"&amp;J$5))*2,0)/2))&gt;0,INDEX(TF_Akt,MATCH($A17&amp;"|"&amp;J$5,TF_Dom,0))&lt;&gt;"LMS")),"+",""),"?"))))</f>
        <v/>
      </c>
      <c r="K17" s="13">
        <f>IF(OR($A17="",K$5=""),"",IF(OR(AND(INDEX(TekFra,2)&gt;0,K$5&lt;INDEX(TekFra,2)),AND(INDEX(TekTil,2)&gt;0,K$5&gt;INDEX(TekTil,2))),"",IF(COUNTIFS(TF_Nokkel,$A17&amp;"|"&amp;K$5)=0,IF(K$8&lt;&gt;"","LMS",""),IFERROR(IF(SUMIFS(TF_Timer,TF_Nokkel,$A17&amp;"|"&amp;K$5,TF_Akt,"LMS")+IF(K$8="",0,MAX(0,ROUND((K$11-SUMIFS(TF_Timer,TF_Nokkel,$A17&amp;"|"&amp;K$5))*2,0)/2))&gt;INDEX(TF_AktSum,MATCH($A17&amp;"|"&amp;K$5,TF_Dom,0)),"LMS",INDEX(AktKode,MATCH(INDEX(TF_Akt,MATCH($A17&amp;"|"&amp;K$5,TF_Dom,0)),Aktiviteter,0)))&amp;IF(OR(COUNTIFS(TF_Nokkel,$A17&amp;"|"&amp;K$5,TF_Akt,"&lt;&gt;"&amp;INDEX(TF_Akt,MATCH($A17&amp;"|"&amp;K$5,TF_Dom,0)))&gt;0,AND(IF(K$8="",0,MAX(0,ROUND((K$11-SUMIFS(TF_Timer,TF_Nokkel,$A17&amp;"|"&amp;K$5))*2,0)/2))&gt;0,INDEX(TF_Akt,MATCH($A17&amp;"|"&amp;K$5,TF_Dom,0))&lt;&gt;"LMS")),"+",""),"?"))))</f>
        <v/>
      </c>
      <c r="L17" s="13">
        <f>IF(OR($A17="",L$5=""),"",IF(OR(AND(INDEX(TekFra,2)&gt;0,L$5&lt;INDEX(TekFra,2)),AND(INDEX(TekTil,2)&gt;0,L$5&gt;INDEX(TekTil,2))),"",IF(COUNTIFS(TF_Nokkel,$A17&amp;"|"&amp;L$5)=0,IF(L$8&lt;&gt;"","LMS",""),IFERROR(IF(SUMIFS(TF_Timer,TF_Nokkel,$A17&amp;"|"&amp;L$5,TF_Akt,"LMS")+IF(L$8="",0,MAX(0,ROUND((L$11-SUMIFS(TF_Timer,TF_Nokkel,$A17&amp;"|"&amp;L$5))*2,0)/2))&gt;INDEX(TF_AktSum,MATCH($A17&amp;"|"&amp;L$5,TF_Dom,0)),"LMS",INDEX(AktKode,MATCH(INDEX(TF_Akt,MATCH($A17&amp;"|"&amp;L$5,TF_Dom,0)),Aktiviteter,0)))&amp;IF(OR(COUNTIFS(TF_Nokkel,$A17&amp;"|"&amp;L$5,TF_Akt,"&lt;&gt;"&amp;INDEX(TF_Akt,MATCH($A17&amp;"|"&amp;L$5,TF_Dom,0)))&gt;0,AND(IF(L$8="",0,MAX(0,ROUND((L$11-SUMIFS(TF_Timer,TF_Nokkel,$A17&amp;"|"&amp;L$5))*2,0)/2))&gt;0,INDEX(TF_Akt,MATCH($A17&amp;"|"&amp;L$5,TF_Dom,0))&lt;&gt;"LMS")),"+",""),"?"))))</f>
        <v/>
      </c>
      <c r="M17" s="13">
        <f>IF(OR($A17="",M$5=""),"",IF(OR(AND(INDEX(TekFra,2)&gt;0,M$5&lt;INDEX(TekFra,2)),AND(INDEX(TekTil,2)&gt;0,M$5&gt;INDEX(TekTil,2))),"",IF(COUNTIFS(TF_Nokkel,$A17&amp;"|"&amp;M$5)=0,IF(M$8&lt;&gt;"","LMS",""),IFERROR(IF(SUMIFS(TF_Timer,TF_Nokkel,$A17&amp;"|"&amp;M$5,TF_Akt,"LMS")+IF(M$8="",0,MAX(0,ROUND((M$11-SUMIFS(TF_Timer,TF_Nokkel,$A17&amp;"|"&amp;M$5))*2,0)/2))&gt;INDEX(TF_AktSum,MATCH($A17&amp;"|"&amp;M$5,TF_Dom,0)),"LMS",INDEX(AktKode,MATCH(INDEX(TF_Akt,MATCH($A17&amp;"|"&amp;M$5,TF_Dom,0)),Aktiviteter,0)))&amp;IF(OR(COUNTIFS(TF_Nokkel,$A17&amp;"|"&amp;M$5,TF_Akt,"&lt;&gt;"&amp;INDEX(TF_Akt,MATCH($A17&amp;"|"&amp;M$5,TF_Dom,0)))&gt;0,AND(IF(M$8="",0,MAX(0,ROUND((M$11-SUMIFS(TF_Timer,TF_Nokkel,$A17&amp;"|"&amp;M$5))*2,0)/2))&gt;0,INDEX(TF_Akt,MATCH($A17&amp;"|"&amp;M$5,TF_Dom,0))&lt;&gt;"LMS")),"+",""),"?"))))</f>
        <v/>
      </c>
      <c r="N17" s="13">
        <f>IF(OR($A17="",N$5=""),"",IF(OR(AND(INDEX(TekFra,2)&gt;0,N$5&lt;INDEX(TekFra,2)),AND(INDEX(TekTil,2)&gt;0,N$5&gt;INDEX(TekTil,2))),"",IF(COUNTIFS(TF_Nokkel,$A17&amp;"|"&amp;N$5)=0,IF(N$8&lt;&gt;"","LMS",""),IFERROR(IF(SUMIFS(TF_Timer,TF_Nokkel,$A17&amp;"|"&amp;N$5,TF_Akt,"LMS")+IF(N$8="",0,MAX(0,ROUND((N$11-SUMIFS(TF_Timer,TF_Nokkel,$A17&amp;"|"&amp;N$5))*2,0)/2))&gt;INDEX(TF_AktSum,MATCH($A17&amp;"|"&amp;N$5,TF_Dom,0)),"LMS",INDEX(AktKode,MATCH(INDEX(TF_Akt,MATCH($A17&amp;"|"&amp;N$5,TF_Dom,0)),Aktiviteter,0)))&amp;IF(OR(COUNTIFS(TF_Nokkel,$A17&amp;"|"&amp;N$5,TF_Akt,"&lt;&gt;"&amp;INDEX(TF_Akt,MATCH($A17&amp;"|"&amp;N$5,TF_Dom,0)))&gt;0,AND(IF(N$8="",0,MAX(0,ROUND((N$11-SUMIFS(TF_Timer,TF_Nokkel,$A17&amp;"|"&amp;N$5))*2,0)/2))&gt;0,INDEX(TF_Akt,MATCH($A17&amp;"|"&amp;N$5,TF_Dom,0))&lt;&gt;"LMS")),"+",""),"?"))))</f>
        <v/>
      </c>
      <c r="O17" s="13">
        <f>IF(OR($A17="",O$5=""),"",IF(OR(AND(INDEX(TekFra,2)&gt;0,O$5&lt;INDEX(TekFra,2)),AND(INDEX(TekTil,2)&gt;0,O$5&gt;INDEX(TekTil,2))),"",IF(COUNTIFS(TF_Nokkel,$A17&amp;"|"&amp;O$5)=0,IF(O$8&lt;&gt;"","LMS",""),IFERROR(IF(SUMIFS(TF_Timer,TF_Nokkel,$A17&amp;"|"&amp;O$5,TF_Akt,"LMS")+IF(O$8="",0,MAX(0,ROUND((O$11-SUMIFS(TF_Timer,TF_Nokkel,$A17&amp;"|"&amp;O$5))*2,0)/2))&gt;INDEX(TF_AktSum,MATCH($A17&amp;"|"&amp;O$5,TF_Dom,0)),"LMS",INDEX(AktKode,MATCH(INDEX(TF_Akt,MATCH($A17&amp;"|"&amp;O$5,TF_Dom,0)),Aktiviteter,0)))&amp;IF(OR(COUNTIFS(TF_Nokkel,$A17&amp;"|"&amp;O$5,TF_Akt,"&lt;&gt;"&amp;INDEX(TF_Akt,MATCH($A17&amp;"|"&amp;O$5,TF_Dom,0)))&gt;0,AND(IF(O$8="",0,MAX(0,ROUND((O$11-SUMIFS(TF_Timer,TF_Nokkel,$A17&amp;"|"&amp;O$5))*2,0)/2))&gt;0,INDEX(TF_Akt,MATCH($A17&amp;"|"&amp;O$5,TF_Dom,0))&lt;&gt;"LMS")),"+",""),"?"))))</f>
        <v/>
      </c>
      <c r="P17" s="13">
        <f>IF(OR($A17="",P$5=""),"",IF(OR(AND(INDEX(TekFra,2)&gt;0,P$5&lt;INDEX(TekFra,2)),AND(INDEX(TekTil,2)&gt;0,P$5&gt;INDEX(TekTil,2))),"",IF(COUNTIFS(TF_Nokkel,$A17&amp;"|"&amp;P$5)=0,IF(P$8&lt;&gt;"","LMS",""),IFERROR(IF(SUMIFS(TF_Timer,TF_Nokkel,$A17&amp;"|"&amp;P$5,TF_Akt,"LMS")+IF(P$8="",0,MAX(0,ROUND((P$11-SUMIFS(TF_Timer,TF_Nokkel,$A17&amp;"|"&amp;P$5))*2,0)/2))&gt;INDEX(TF_AktSum,MATCH($A17&amp;"|"&amp;P$5,TF_Dom,0)),"LMS",INDEX(AktKode,MATCH(INDEX(TF_Akt,MATCH($A17&amp;"|"&amp;P$5,TF_Dom,0)),Aktiviteter,0)))&amp;IF(OR(COUNTIFS(TF_Nokkel,$A17&amp;"|"&amp;P$5,TF_Akt,"&lt;&gt;"&amp;INDEX(TF_Akt,MATCH($A17&amp;"|"&amp;P$5,TF_Dom,0)))&gt;0,AND(IF(P$8="",0,MAX(0,ROUND((P$11-SUMIFS(TF_Timer,TF_Nokkel,$A17&amp;"|"&amp;P$5))*2,0)/2))&gt;0,INDEX(TF_Akt,MATCH($A17&amp;"|"&amp;P$5,TF_Dom,0))&lt;&gt;"LMS")),"+",""),"?"))))</f>
        <v/>
      </c>
      <c r="Q17" s="13">
        <f>IF(OR($A17="",Q$5=""),"",IF(OR(AND(INDEX(TekFra,2)&gt;0,Q$5&lt;INDEX(TekFra,2)),AND(INDEX(TekTil,2)&gt;0,Q$5&gt;INDEX(TekTil,2))),"",IF(COUNTIFS(TF_Nokkel,$A17&amp;"|"&amp;Q$5)=0,IF(Q$8&lt;&gt;"","LMS",""),IFERROR(IF(SUMIFS(TF_Timer,TF_Nokkel,$A17&amp;"|"&amp;Q$5,TF_Akt,"LMS")+IF(Q$8="",0,MAX(0,ROUND((Q$11-SUMIFS(TF_Timer,TF_Nokkel,$A17&amp;"|"&amp;Q$5))*2,0)/2))&gt;INDEX(TF_AktSum,MATCH($A17&amp;"|"&amp;Q$5,TF_Dom,0)),"LMS",INDEX(AktKode,MATCH(INDEX(TF_Akt,MATCH($A17&amp;"|"&amp;Q$5,TF_Dom,0)),Aktiviteter,0)))&amp;IF(OR(COUNTIFS(TF_Nokkel,$A17&amp;"|"&amp;Q$5,TF_Akt,"&lt;&gt;"&amp;INDEX(TF_Akt,MATCH($A17&amp;"|"&amp;Q$5,TF_Dom,0)))&gt;0,AND(IF(Q$8="",0,MAX(0,ROUND((Q$11-SUMIFS(TF_Timer,TF_Nokkel,$A17&amp;"|"&amp;Q$5))*2,0)/2))&gt;0,INDEX(TF_Akt,MATCH($A17&amp;"|"&amp;Q$5,TF_Dom,0))&lt;&gt;"LMS")),"+",""),"?"))))</f>
        <v/>
      </c>
      <c r="R17" s="13">
        <f>IF(OR($A17="",R$5=""),"",IF(OR(AND(INDEX(TekFra,2)&gt;0,R$5&lt;INDEX(TekFra,2)),AND(INDEX(TekTil,2)&gt;0,R$5&gt;INDEX(TekTil,2))),"",IF(COUNTIFS(TF_Nokkel,$A17&amp;"|"&amp;R$5)=0,IF(R$8&lt;&gt;"","LMS",""),IFERROR(IF(SUMIFS(TF_Timer,TF_Nokkel,$A17&amp;"|"&amp;R$5,TF_Akt,"LMS")+IF(R$8="",0,MAX(0,ROUND((R$11-SUMIFS(TF_Timer,TF_Nokkel,$A17&amp;"|"&amp;R$5))*2,0)/2))&gt;INDEX(TF_AktSum,MATCH($A17&amp;"|"&amp;R$5,TF_Dom,0)),"LMS",INDEX(AktKode,MATCH(INDEX(TF_Akt,MATCH($A17&amp;"|"&amp;R$5,TF_Dom,0)),Aktiviteter,0)))&amp;IF(OR(COUNTIFS(TF_Nokkel,$A17&amp;"|"&amp;R$5,TF_Akt,"&lt;&gt;"&amp;INDEX(TF_Akt,MATCH($A17&amp;"|"&amp;R$5,TF_Dom,0)))&gt;0,AND(IF(R$8="",0,MAX(0,ROUND((R$11-SUMIFS(TF_Timer,TF_Nokkel,$A17&amp;"|"&amp;R$5))*2,0)/2))&gt;0,INDEX(TF_Akt,MATCH($A17&amp;"|"&amp;R$5,TF_Dom,0))&lt;&gt;"LMS")),"+",""),"?"))))</f>
        <v/>
      </c>
      <c r="S17" s="13">
        <f>IF(OR($A17="",S$5=""),"",IF(OR(AND(INDEX(TekFra,2)&gt;0,S$5&lt;INDEX(TekFra,2)),AND(INDEX(TekTil,2)&gt;0,S$5&gt;INDEX(TekTil,2))),"",IF(COUNTIFS(TF_Nokkel,$A17&amp;"|"&amp;S$5)=0,IF(S$8&lt;&gt;"","LMS",""),IFERROR(IF(SUMIFS(TF_Timer,TF_Nokkel,$A17&amp;"|"&amp;S$5,TF_Akt,"LMS")+IF(S$8="",0,MAX(0,ROUND((S$11-SUMIFS(TF_Timer,TF_Nokkel,$A17&amp;"|"&amp;S$5))*2,0)/2))&gt;INDEX(TF_AktSum,MATCH($A17&amp;"|"&amp;S$5,TF_Dom,0)),"LMS",INDEX(AktKode,MATCH(INDEX(TF_Akt,MATCH($A17&amp;"|"&amp;S$5,TF_Dom,0)),Aktiviteter,0)))&amp;IF(OR(COUNTIFS(TF_Nokkel,$A17&amp;"|"&amp;S$5,TF_Akt,"&lt;&gt;"&amp;INDEX(TF_Akt,MATCH($A17&amp;"|"&amp;S$5,TF_Dom,0)))&gt;0,AND(IF(S$8="",0,MAX(0,ROUND((S$11-SUMIFS(TF_Timer,TF_Nokkel,$A17&amp;"|"&amp;S$5))*2,0)/2))&gt;0,INDEX(TF_Akt,MATCH($A17&amp;"|"&amp;S$5,TF_Dom,0))&lt;&gt;"LMS")),"+",""),"?"))))</f>
        <v/>
      </c>
      <c r="T17" s="13">
        <f>IF(OR($A17="",T$5=""),"",IF(OR(AND(INDEX(TekFra,2)&gt;0,T$5&lt;INDEX(TekFra,2)),AND(INDEX(TekTil,2)&gt;0,T$5&gt;INDEX(TekTil,2))),"",IF(COUNTIFS(TF_Nokkel,$A17&amp;"|"&amp;T$5)=0,IF(T$8&lt;&gt;"","LMS",""),IFERROR(IF(SUMIFS(TF_Timer,TF_Nokkel,$A17&amp;"|"&amp;T$5,TF_Akt,"LMS")+IF(T$8="",0,MAX(0,ROUND((T$11-SUMIFS(TF_Timer,TF_Nokkel,$A17&amp;"|"&amp;T$5))*2,0)/2))&gt;INDEX(TF_AktSum,MATCH($A17&amp;"|"&amp;T$5,TF_Dom,0)),"LMS",INDEX(AktKode,MATCH(INDEX(TF_Akt,MATCH($A17&amp;"|"&amp;T$5,TF_Dom,0)),Aktiviteter,0)))&amp;IF(OR(COUNTIFS(TF_Nokkel,$A17&amp;"|"&amp;T$5,TF_Akt,"&lt;&gt;"&amp;INDEX(TF_Akt,MATCH($A17&amp;"|"&amp;T$5,TF_Dom,0)))&gt;0,AND(IF(T$8="",0,MAX(0,ROUND((T$11-SUMIFS(TF_Timer,TF_Nokkel,$A17&amp;"|"&amp;T$5))*2,0)/2))&gt;0,INDEX(TF_Akt,MATCH($A17&amp;"|"&amp;T$5,TF_Dom,0))&lt;&gt;"LMS")),"+",""),"?"))))</f>
        <v/>
      </c>
      <c r="U17" s="13">
        <f>IF(OR($A17="",U$5=""),"",IF(OR(AND(INDEX(TekFra,2)&gt;0,U$5&lt;INDEX(TekFra,2)),AND(INDEX(TekTil,2)&gt;0,U$5&gt;INDEX(TekTil,2))),"",IF(COUNTIFS(TF_Nokkel,$A17&amp;"|"&amp;U$5)=0,IF(U$8&lt;&gt;"","LMS",""),IFERROR(IF(SUMIFS(TF_Timer,TF_Nokkel,$A17&amp;"|"&amp;U$5,TF_Akt,"LMS")+IF(U$8="",0,MAX(0,ROUND((U$11-SUMIFS(TF_Timer,TF_Nokkel,$A17&amp;"|"&amp;U$5))*2,0)/2))&gt;INDEX(TF_AktSum,MATCH($A17&amp;"|"&amp;U$5,TF_Dom,0)),"LMS",INDEX(AktKode,MATCH(INDEX(TF_Akt,MATCH($A17&amp;"|"&amp;U$5,TF_Dom,0)),Aktiviteter,0)))&amp;IF(OR(COUNTIFS(TF_Nokkel,$A17&amp;"|"&amp;U$5,TF_Akt,"&lt;&gt;"&amp;INDEX(TF_Akt,MATCH($A17&amp;"|"&amp;U$5,TF_Dom,0)))&gt;0,AND(IF(U$8="",0,MAX(0,ROUND((U$11-SUMIFS(TF_Timer,TF_Nokkel,$A17&amp;"|"&amp;U$5))*2,0)/2))&gt;0,INDEX(TF_Akt,MATCH($A17&amp;"|"&amp;U$5,TF_Dom,0))&lt;&gt;"LMS")),"+",""),"?"))))</f>
        <v/>
      </c>
      <c r="V17" s="13">
        <f>IF(OR($A17="",V$5=""),"",IF(OR(AND(INDEX(TekFra,2)&gt;0,V$5&lt;INDEX(TekFra,2)),AND(INDEX(TekTil,2)&gt;0,V$5&gt;INDEX(TekTil,2))),"",IF(COUNTIFS(TF_Nokkel,$A17&amp;"|"&amp;V$5)=0,IF(V$8&lt;&gt;"","LMS",""),IFERROR(IF(SUMIFS(TF_Timer,TF_Nokkel,$A17&amp;"|"&amp;V$5,TF_Akt,"LMS")+IF(V$8="",0,MAX(0,ROUND((V$11-SUMIFS(TF_Timer,TF_Nokkel,$A17&amp;"|"&amp;V$5))*2,0)/2))&gt;INDEX(TF_AktSum,MATCH($A17&amp;"|"&amp;V$5,TF_Dom,0)),"LMS",INDEX(AktKode,MATCH(INDEX(TF_Akt,MATCH($A17&amp;"|"&amp;V$5,TF_Dom,0)),Aktiviteter,0)))&amp;IF(OR(COUNTIFS(TF_Nokkel,$A17&amp;"|"&amp;V$5,TF_Akt,"&lt;&gt;"&amp;INDEX(TF_Akt,MATCH($A17&amp;"|"&amp;V$5,TF_Dom,0)))&gt;0,AND(IF(V$8="",0,MAX(0,ROUND((V$11-SUMIFS(TF_Timer,TF_Nokkel,$A17&amp;"|"&amp;V$5))*2,0)/2))&gt;0,INDEX(TF_Akt,MATCH($A17&amp;"|"&amp;V$5,TF_Dom,0))&lt;&gt;"LMS")),"+",""),"?"))))</f>
        <v/>
      </c>
      <c r="W17" s="13">
        <f>IF(OR($A17="",W$5=""),"",IF(OR(AND(INDEX(TekFra,2)&gt;0,W$5&lt;INDEX(TekFra,2)),AND(INDEX(TekTil,2)&gt;0,W$5&gt;INDEX(TekTil,2))),"",IF(COUNTIFS(TF_Nokkel,$A17&amp;"|"&amp;W$5)=0,IF(W$8&lt;&gt;"","LMS",""),IFERROR(IF(SUMIFS(TF_Timer,TF_Nokkel,$A17&amp;"|"&amp;W$5,TF_Akt,"LMS")+IF(W$8="",0,MAX(0,ROUND((W$11-SUMIFS(TF_Timer,TF_Nokkel,$A17&amp;"|"&amp;W$5))*2,0)/2))&gt;INDEX(TF_AktSum,MATCH($A17&amp;"|"&amp;W$5,TF_Dom,0)),"LMS",INDEX(AktKode,MATCH(INDEX(TF_Akt,MATCH($A17&amp;"|"&amp;W$5,TF_Dom,0)),Aktiviteter,0)))&amp;IF(OR(COUNTIFS(TF_Nokkel,$A17&amp;"|"&amp;W$5,TF_Akt,"&lt;&gt;"&amp;INDEX(TF_Akt,MATCH($A17&amp;"|"&amp;W$5,TF_Dom,0)))&gt;0,AND(IF(W$8="",0,MAX(0,ROUND((W$11-SUMIFS(TF_Timer,TF_Nokkel,$A17&amp;"|"&amp;W$5))*2,0)/2))&gt;0,INDEX(TF_Akt,MATCH($A17&amp;"|"&amp;W$5,TF_Dom,0))&lt;&gt;"LMS")),"+",""),"?"))))</f>
        <v/>
      </c>
      <c r="X17" s="13">
        <f>IF(OR($A17="",X$5=""),"",IF(OR(AND(INDEX(TekFra,2)&gt;0,X$5&lt;INDEX(TekFra,2)),AND(INDEX(TekTil,2)&gt;0,X$5&gt;INDEX(TekTil,2))),"",IF(COUNTIFS(TF_Nokkel,$A17&amp;"|"&amp;X$5)=0,IF(X$8&lt;&gt;"","LMS",""),IFERROR(IF(SUMIFS(TF_Timer,TF_Nokkel,$A17&amp;"|"&amp;X$5,TF_Akt,"LMS")+IF(X$8="",0,MAX(0,ROUND((X$11-SUMIFS(TF_Timer,TF_Nokkel,$A17&amp;"|"&amp;X$5))*2,0)/2))&gt;INDEX(TF_AktSum,MATCH($A17&amp;"|"&amp;X$5,TF_Dom,0)),"LMS",INDEX(AktKode,MATCH(INDEX(TF_Akt,MATCH($A17&amp;"|"&amp;X$5,TF_Dom,0)),Aktiviteter,0)))&amp;IF(OR(COUNTIFS(TF_Nokkel,$A17&amp;"|"&amp;X$5,TF_Akt,"&lt;&gt;"&amp;INDEX(TF_Akt,MATCH($A17&amp;"|"&amp;X$5,TF_Dom,0)))&gt;0,AND(IF(X$8="",0,MAX(0,ROUND((X$11-SUMIFS(TF_Timer,TF_Nokkel,$A17&amp;"|"&amp;X$5))*2,0)/2))&gt;0,INDEX(TF_Akt,MATCH($A17&amp;"|"&amp;X$5,TF_Dom,0))&lt;&gt;"LMS")),"+",""),"?"))))</f>
        <v/>
      </c>
      <c r="Y17" s="13">
        <f>IF(OR($A17="",Y$5=""),"",IF(OR(AND(INDEX(TekFra,2)&gt;0,Y$5&lt;INDEX(TekFra,2)),AND(INDEX(TekTil,2)&gt;0,Y$5&gt;INDEX(TekTil,2))),"",IF(COUNTIFS(TF_Nokkel,$A17&amp;"|"&amp;Y$5)=0,IF(Y$8&lt;&gt;"","LMS",""),IFERROR(IF(SUMIFS(TF_Timer,TF_Nokkel,$A17&amp;"|"&amp;Y$5,TF_Akt,"LMS")+IF(Y$8="",0,MAX(0,ROUND((Y$11-SUMIFS(TF_Timer,TF_Nokkel,$A17&amp;"|"&amp;Y$5))*2,0)/2))&gt;INDEX(TF_AktSum,MATCH($A17&amp;"|"&amp;Y$5,TF_Dom,0)),"LMS",INDEX(AktKode,MATCH(INDEX(TF_Akt,MATCH($A17&amp;"|"&amp;Y$5,TF_Dom,0)),Aktiviteter,0)))&amp;IF(OR(COUNTIFS(TF_Nokkel,$A17&amp;"|"&amp;Y$5,TF_Akt,"&lt;&gt;"&amp;INDEX(TF_Akt,MATCH($A17&amp;"|"&amp;Y$5,TF_Dom,0)))&gt;0,AND(IF(Y$8="",0,MAX(0,ROUND((Y$11-SUMIFS(TF_Timer,TF_Nokkel,$A17&amp;"|"&amp;Y$5))*2,0)/2))&gt;0,INDEX(TF_Akt,MATCH($A17&amp;"|"&amp;Y$5,TF_Dom,0))&lt;&gt;"LMS")),"+",""),"?"))))</f>
        <v/>
      </c>
      <c r="Z17" s="13">
        <f>IF(OR($A17="",Z$5=""),"",IF(OR(AND(INDEX(TekFra,2)&gt;0,Z$5&lt;INDEX(TekFra,2)),AND(INDEX(TekTil,2)&gt;0,Z$5&gt;INDEX(TekTil,2))),"",IF(COUNTIFS(TF_Nokkel,$A17&amp;"|"&amp;Z$5)=0,IF(Z$8&lt;&gt;"","LMS",""),IFERROR(IF(SUMIFS(TF_Timer,TF_Nokkel,$A17&amp;"|"&amp;Z$5,TF_Akt,"LMS")+IF(Z$8="",0,MAX(0,ROUND((Z$11-SUMIFS(TF_Timer,TF_Nokkel,$A17&amp;"|"&amp;Z$5))*2,0)/2))&gt;INDEX(TF_AktSum,MATCH($A17&amp;"|"&amp;Z$5,TF_Dom,0)),"LMS",INDEX(AktKode,MATCH(INDEX(TF_Akt,MATCH($A17&amp;"|"&amp;Z$5,TF_Dom,0)),Aktiviteter,0)))&amp;IF(OR(COUNTIFS(TF_Nokkel,$A17&amp;"|"&amp;Z$5,TF_Akt,"&lt;&gt;"&amp;INDEX(TF_Akt,MATCH($A17&amp;"|"&amp;Z$5,TF_Dom,0)))&gt;0,AND(IF(Z$8="",0,MAX(0,ROUND((Z$11-SUMIFS(TF_Timer,TF_Nokkel,$A17&amp;"|"&amp;Z$5))*2,0)/2))&gt;0,INDEX(TF_Akt,MATCH($A17&amp;"|"&amp;Z$5,TF_Dom,0))&lt;&gt;"LMS")),"+",""),"?"))))</f>
        <v/>
      </c>
      <c r="AA17" s="13">
        <f>IF(OR($A17="",AA$5=""),"",IF(OR(AND(INDEX(TekFra,2)&gt;0,AA$5&lt;INDEX(TekFra,2)),AND(INDEX(TekTil,2)&gt;0,AA$5&gt;INDEX(TekTil,2))),"",IF(COUNTIFS(TF_Nokkel,$A17&amp;"|"&amp;AA$5)=0,IF(AA$8&lt;&gt;"","LMS",""),IFERROR(IF(SUMIFS(TF_Timer,TF_Nokkel,$A17&amp;"|"&amp;AA$5,TF_Akt,"LMS")+IF(AA$8="",0,MAX(0,ROUND((AA$11-SUMIFS(TF_Timer,TF_Nokkel,$A17&amp;"|"&amp;AA$5))*2,0)/2))&gt;INDEX(TF_AktSum,MATCH($A17&amp;"|"&amp;AA$5,TF_Dom,0)),"LMS",INDEX(AktKode,MATCH(INDEX(TF_Akt,MATCH($A17&amp;"|"&amp;AA$5,TF_Dom,0)),Aktiviteter,0)))&amp;IF(OR(COUNTIFS(TF_Nokkel,$A17&amp;"|"&amp;AA$5,TF_Akt,"&lt;&gt;"&amp;INDEX(TF_Akt,MATCH($A17&amp;"|"&amp;AA$5,TF_Dom,0)))&gt;0,AND(IF(AA$8="",0,MAX(0,ROUND((AA$11-SUMIFS(TF_Timer,TF_Nokkel,$A17&amp;"|"&amp;AA$5))*2,0)/2))&gt;0,INDEX(TF_Akt,MATCH($A17&amp;"|"&amp;AA$5,TF_Dom,0))&lt;&gt;"LMS")),"+",""),"?"))))</f>
        <v/>
      </c>
      <c r="AB17" s="13">
        <f>IF(OR($A17="",AB$5=""),"",IF(OR(AND(INDEX(TekFra,2)&gt;0,AB$5&lt;INDEX(TekFra,2)),AND(INDEX(TekTil,2)&gt;0,AB$5&gt;INDEX(TekTil,2))),"",IF(COUNTIFS(TF_Nokkel,$A17&amp;"|"&amp;AB$5)=0,IF(AB$8&lt;&gt;"","LMS",""),IFERROR(IF(SUMIFS(TF_Timer,TF_Nokkel,$A17&amp;"|"&amp;AB$5,TF_Akt,"LMS")+IF(AB$8="",0,MAX(0,ROUND((AB$11-SUMIFS(TF_Timer,TF_Nokkel,$A17&amp;"|"&amp;AB$5))*2,0)/2))&gt;INDEX(TF_AktSum,MATCH($A17&amp;"|"&amp;AB$5,TF_Dom,0)),"LMS",INDEX(AktKode,MATCH(INDEX(TF_Akt,MATCH($A17&amp;"|"&amp;AB$5,TF_Dom,0)),Aktiviteter,0)))&amp;IF(OR(COUNTIFS(TF_Nokkel,$A17&amp;"|"&amp;AB$5,TF_Akt,"&lt;&gt;"&amp;INDEX(TF_Akt,MATCH($A17&amp;"|"&amp;AB$5,TF_Dom,0)))&gt;0,AND(IF(AB$8="",0,MAX(0,ROUND((AB$11-SUMIFS(TF_Timer,TF_Nokkel,$A17&amp;"|"&amp;AB$5))*2,0)/2))&gt;0,INDEX(TF_Akt,MATCH($A17&amp;"|"&amp;AB$5,TF_Dom,0))&lt;&gt;"LMS")),"+",""),"?"))))</f>
        <v/>
      </c>
      <c r="AC17" s="13">
        <f>IF(OR($A17="",AC$5=""),"",IF(OR(AND(INDEX(TekFra,2)&gt;0,AC$5&lt;INDEX(TekFra,2)),AND(INDEX(TekTil,2)&gt;0,AC$5&gt;INDEX(TekTil,2))),"",IF(COUNTIFS(TF_Nokkel,$A17&amp;"|"&amp;AC$5)=0,IF(AC$8&lt;&gt;"","LMS",""),IFERROR(IF(SUMIFS(TF_Timer,TF_Nokkel,$A17&amp;"|"&amp;AC$5,TF_Akt,"LMS")+IF(AC$8="",0,MAX(0,ROUND((AC$11-SUMIFS(TF_Timer,TF_Nokkel,$A17&amp;"|"&amp;AC$5))*2,0)/2))&gt;INDEX(TF_AktSum,MATCH($A17&amp;"|"&amp;AC$5,TF_Dom,0)),"LMS",INDEX(AktKode,MATCH(INDEX(TF_Akt,MATCH($A17&amp;"|"&amp;AC$5,TF_Dom,0)),Aktiviteter,0)))&amp;IF(OR(COUNTIFS(TF_Nokkel,$A17&amp;"|"&amp;AC$5,TF_Akt,"&lt;&gt;"&amp;INDEX(TF_Akt,MATCH($A17&amp;"|"&amp;AC$5,TF_Dom,0)))&gt;0,AND(IF(AC$8="",0,MAX(0,ROUND((AC$11-SUMIFS(TF_Timer,TF_Nokkel,$A17&amp;"|"&amp;AC$5))*2,0)/2))&gt;0,INDEX(TF_Akt,MATCH($A17&amp;"|"&amp;AC$5,TF_Dom,0))&lt;&gt;"LMS")),"+",""),"?"))))</f>
        <v/>
      </c>
      <c r="AD17" s="13">
        <f>IF(OR($A17="",AD$5=""),"",IF(OR(AND(INDEX(TekFra,2)&gt;0,AD$5&lt;INDEX(TekFra,2)),AND(INDEX(TekTil,2)&gt;0,AD$5&gt;INDEX(TekTil,2))),"",IF(COUNTIFS(TF_Nokkel,$A17&amp;"|"&amp;AD$5)=0,IF(AD$8&lt;&gt;"","LMS",""),IFERROR(IF(SUMIFS(TF_Timer,TF_Nokkel,$A17&amp;"|"&amp;AD$5,TF_Akt,"LMS")+IF(AD$8="",0,MAX(0,ROUND((AD$11-SUMIFS(TF_Timer,TF_Nokkel,$A17&amp;"|"&amp;AD$5))*2,0)/2))&gt;INDEX(TF_AktSum,MATCH($A17&amp;"|"&amp;AD$5,TF_Dom,0)),"LMS",INDEX(AktKode,MATCH(INDEX(TF_Akt,MATCH($A17&amp;"|"&amp;AD$5,TF_Dom,0)),Aktiviteter,0)))&amp;IF(OR(COUNTIFS(TF_Nokkel,$A17&amp;"|"&amp;AD$5,TF_Akt,"&lt;&gt;"&amp;INDEX(TF_Akt,MATCH($A17&amp;"|"&amp;AD$5,TF_Dom,0)))&gt;0,AND(IF(AD$8="",0,MAX(0,ROUND((AD$11-SUMIFS(TF_Timer,TF_Nokkel,$A17&amp;"|"&amp;AD$5))*2,0)/2))&gt;0,INDEX(TF_Akt,MATCH($A17&amp;"|"&amp;AD$5,TF_Dom,0))&lt;&gt;"LMS")),"+",""),"?"))))</f>
        <v/>
      </c>
      <c r="AE17" s="13">
        <f>IF(OR($A17="",AE$5=""),"",IF(OR(AND(INDEX(TekFra,2)&gt;0,AE$5&lt;INDEX(TekFra,2)),AND(INDEX(TekTil,2)&gt;0,AE$5&gt;INDEX(TekTil,2))),"",IF(COUNTIFS(TF_Nokkel,$A17&amp;"|"&amp;AE$5)=0,IF(AE$8&lt;&gt;"","LMS",""),IFERROR(IF(SUMIFS(TF_Timer,TF_Nokkel,$A17&amp;"|"&amp;AE$5,TF_Akt,"LMS")+IF(AE$8="",0,MAX(0,ROUND((AE$11-SUMIFS(TF_Timer,TF_Nokkel,$A17&amp;"|"&amp;AE$5))*2,0)/2))&gt;INDEX(TF_AktSum,MATCH($A17&amp;"|"&amp;AE$5,TF_Dom,0)),"LMS",INDEX(AktKode,MATCH(INDEX(TF_Akt,MATCH($A17&amp;"|"&amp;AE$5,TF_Dom,0)),Aktiviteter,0)))&amp;IF(OR(COUNTIFS(TF_Nokkel,$A17&amp;"|"&amp;AE$5,TF_Akt,"&lt;&gt;"&amp;INDEX(TF_Akt,MATCH($A17&amp;"|"&amp;AE$5,TF_Dom,0)))&gt;0,AND(IF(AE$8="",0,MAX(0,ROUND((AE$11-SUMIFS(TF_Timer,TF_Nokkel,$A17&amp;"|"&amp;AE$5))*2,0)/2))&gt;0,INDEX(TF_Akt,MATCH($A17&amp;"|"&amp;AE$5,TF_Dom,0))&lt;&gt;"LMS")),"+",""),"?"))))</f>
        <v/>
      </c>
      <c r="AF17" s="13">
        <f>IF(OR($A17="",AF$5=""),"",IF(OR(AND(INDEX(TekFra,2)&gt;0,AF$5&lt;INDEX(TekFra,2)),AND(INDEX(TekTil,2)&gt;0,AF$5&gt;INDEX(TekTil,2))),"",IF(COUNTIFS(TF_Nokkel,$A17&amp;"|"&amp;AF$5)=0,IF(AF$8&lt;&gt;"","LMS",""),IFERROR(IF(SUMIFS(TF_Timer,TF_Nokkel,$A17&amp;"|"&amp;AF$5,TF_Akt,"LMS")+IF(AF$8="",0,MAX(0,ROUND((AF$11-SUMIFS(TF_Timer,TF_Nokkel,$A17&amp;"|"&amp;AF$5))*2,0)/2))&gt;INDEX(TF_AktSum,MATCH($A17&amp;"|"&amp;AF$5,TF_Dom,0)),"LMS",INDEX(AktKode,MATCH(INDEX(TF_Akt,MATCH($A17&amp;"|"&amp;AF$5,TF_Dom,0)),Aktiviteter,0)))&amp;IF(OR(COUNTIFS(TF_Nokkel,$A17&amp;"|"&amp;AF$5,TF_Akt,"&lt;&gt;"&amp;INDEX(TF_Akt,MATCH($A17&amp;"|"&amp;AF$5,TF_Dom,0)))&gt;0,AND(IF(AF$8="",0,MAX(0,ROUND((AF$11-SUMIFS(TF_Timer,TF_Nokkel,$A17&amp;"|"&amp;AF$5))*2,0)/2))&gt;0,INDEX(TF_Akt,MATCH($A17&amp;"|"&amp;AF$5,TF_Dom,0))&lt;&gt;"LMS")),"+",""),"?"))))</f>
        <v/>
      </c>
      <c r="AG17" s="13">
        <f>IF(OR($A17="",AG$5=""),"",IF(OR(AND(INDEX(TekFra,2)&gt;0,AG$5&lt;INDEX(TekFra,2)),AND(INDEX(TekTil,2)&gt;0,AG$5&gt;INDEX(TekTil,2))),"",IF(COUNTIFS(TF_Nokkel,$A17&amp;"|"&amp;AG$5)=0,IF(AG$8&lt;&gt;"","LMS",""),IFERROR(IF(SUMIFS(TF_Timer,TF_Nokkel,$A17&amp;"|"&amp;AG$5,TF_Akt,"LMS")+IF(AG$8="",0,MAX(0,ROUND((AG$11-SUMIFS(TF_Timer,TF_Nokkel,$A17&amp;"|"&amp;AG$5))*2,0)/2))&gt;INDEX(TF_AktSum,MATCH($A17&amp;"|"&amp;AG$5,TF_Dom,0)),"LMS",INDEX(AktKode,MATCH(INDEX(TF_Akt,MATCH($A17&amp;"|"&amp;AG$5,TF_Dom,0)),Aktiviteter,0)))&amp;IF(OR(COUNTIFS(TF_Nokkel,$A17&amp;"|"&amp;AG$5,TF_Akt,"&lt;&gt;"&amp;INDEX(TF_Akt,MATCH($A17&amp;"|"&amp;AG$5,TF_Dom,0)))&gt;0,AND(IF(AG$8="",0,MAX(0,ROUND((AG$11-SUMIFS(TF_Timer,TF_Nokkel,$A17&amp;"|"&amp;AG$5))*2,0)/2))&gt;0,INDEX(TF_Akt,MATCH($A17&amp;"|"&amp;AG$5,TF_Dom,0))&lt;&gt;"LMS")),"+",""),"?"))))</f>
        <v/>
      </c>
      <c r="AH17" s="2" t="n"/>
      <c r="AI17" s="16" t="inlineStr">
        <is>
          <t>LMS</t>
        </is>
      </c>
      <c r="AJ17" s="15" t="inlineStr">
        <is>
          <t>LMS</t>
        </is>
      </c>
    </row>
    <row r="18">
      <c r="A18" s="2">
        <f>INDEX(Teknikere,3)&amp;""</f>
        <v/>
      </c>
      <c r="B18" s="12">
        <f>IF(INDEX(TekFra,3)&gt;0,"ekstra","")</f>
        <v/>
      </c>
      <c r="C18" s="13">
        <f>IF(OR($A18="",C$5=""),"",IF(OR(AND(INDEX(TekFra,3)&gt;0,C$5&lt;INDEX(TekFra,3)),AND(INDEX(TekTil,3)&gt;0,C$5&gt;INDEX(TekTil,3))),"",IF(COUNTIFS(TF_Nokkel,$A18&amp;"|"&amp;C$5)=0,IF(C$8&lt;&gt;"","LMS",""),IFERROR(IF(SUMIFS(TF_Timer,TF_Nokkel,$A18&amp;"|"&amp;C$5,TF_Akt,"LMS")+IF(C$8="",0,MAX(0,ROUND((C$11-SUMIFS(TF_Timer,TF_Nokkel,$A18&amp;"|"&amp;C$5))*2,0)/2))&gt;INDEX(TF_AktSum,MATCH($A18&amp;"|"&amp;C$5,TF_Dom,0)),"LMS",INDEX(AktKode,MATCH(INDEX(TF_Akt,MATCH($A18&amp;"|"&amp;C$5,TF_Dom,0)),Aktiviteter,0)))&amp;IF(OR(COUNTIFS(TF_Nokkel,$A18&amp;"|"&amp;C$5,TF_Akt,"&lt;&gt;"&amp;INDEX(TF_Akt,MATCH($A18&amp;"|"&amp;C$5,TF_Dom,0)))&gt;0,AND(IF(C$8="",0,MAX(0,ROUND((C$11-SUMIFS(TF_Timer,TF_Nokkel,$A18&amp;"|"&amp;C$5))*2,0)/2))&gt;0,INDEX(TF_Akt,MATCH($A18&amp;"|"&amp;C$5,TF_Dom,0))&lt;&gt;"LMS")),"+",""),"?"))))</f>
        <v/>
      </c>
      <c r="D18" s="13">
        <f>IF(OR($A18="",D$5=""),"",IF(OR(AND(INDEX(TekFra,3)&gt;0,D$5&lt;INDEX(TekFra,3)),AND(INDEX(TekTil,3)&gt;0,D$5&gt;INDEX(TekTil,3))),"",IF(COUNTIFS(TF_Nokkel,$A18&amp;"|"&amp;D$5)=0,IF(D$8&lt;&gt;"","LMS",""),IFERROR(IF(SUMIFS(TF_Timer,TF_Nokkel,$A18&amp;"|"&amp;D$5,TF_Akt,"LMS")+IF(D$8="",0,MAX(0,ROUND((D$11-SUMIFS(TF_Timer,TF_Nokkel,$A18&amp;"|"&amp;D$5))*2,0)/2))&gt;INDEX(TF_AktSum,MATCH($A18&amp;"|"&amp;D$5,TF_Dom,0)),"LMS",INDEX(AktKode,MATCH(INDEX(TF_Akt,MATCH($A18&amp;"|"&amp;D$5,TF_Dom,0)),Aktiviteter,0)))&amp;IF(OR(COUNTIFS(TF_Nokkel,$A18&amp;"|"&amp;D$5,TF_Akt,"&lt;&gt;"&amp;INDEX(TF_Akt,MATCH($A18&amp;"|"&amp;D$5,TF_Dom,0)))&gt;0,AND(IF(D$8="",0,MAX(0,ROUND((D$11-SUMIFS(TF_Timer,TF_Nokkel,$A18&amp;"|"&amp;D$5))*2,0)/2))&gt;0,INDEX(TF_Akt,MATCH($A18&amp;"|"&amp;D$5,TF_Dom,0))&lt;&gt;"LMS")),"+",""),"?"))))</f>
        <v/>
      </c>
      <c r="E18" s="13">
        <f>IF(OR($A18="",E$5=""),"",IF(OR(AND(INDEX(TekFra,3)&gt;0,E$5&lt;INDEX(TekFra,3)),AND(INDEX(TekTil,3)&gt;0,E$5&gt;INDEX(TekTil,3))),"",IF(COUNTIFS(TF_Nokkel,$A18&amp;"|"&amp;E$5)=0,IF(E$8&lt;&gt;"","LMS",""),IFERROR(IF(SUMIFS(TF_Timer,TF_Nokkel,$A18&amp;"|"&amp;E$5,TF_Akt,"LMS")+IF(E$8="",0,MAX(0,ROUND((E$11-SUMIFS(TF_Timer,TF_Nokkel,$A18&amp;"|"&amp;E$5))*2,0)/2))&gt;INDEX(TF_AktSum,MATCH($A18&amp;"|"&amp;E$5,TF_Dom,0)),"LMS",INDEX(AktKode,MATCH(INDEX(TF_Akt,MATCH($A18&amp;"|"&amp;E$5,TF_Dom,0)),Aktiviteter,0)))&amp;IF(OR(COUNTIFS(TF_Nokkel,$A18&amp;"|"&amp;E$5,TF_Akt,"&lt;&gt;"&amp;INDEX(TF_Akt,MATCH($A18&amp;"|"&amp;E$5,TF_Dom,0)))&gt;0,AND(IF(E$8="",0,MAX(0,ROUND((E$11-SUMIFS(TF_Timer,TF_Nokkel,$A18&amp;"|"&amp;E$5))*2,0)/2))&gt;0,INDEX(TF_Akt,MATCH($A18&amp;"|"&amp;E$5,TF_Dom,0))&lt;&gt;"LMS")),"+",""),"?"))))</f>
        <v/>
      </c>
      <c r="F18" s="13">
        <f>IF(OR($A18="",F$5=""),"",IF(OR(AND(INDEX(TekFra,3)&gt;0,F$5&lt;INDEX(TekFra,3)),AND(INDEX(TekTil,3)&gt;0,F$5&gt;INDEX(TekTil,3))),"",IF(COUNTIFS(TF_Nokkel,$A18&amp;"|"&amp;F$5)=0,IF(F$8&lt;&gt;"","LMS",""),IFERROR(IF(SUMIFS(TF_Timer,TF_Nokkel,$A18&amp;"|"&amp;F$5,TF_Akt,"LMS")+IF(F$8="",0,MAX(0,ROUND((F$11-SUMIFS(TF_Timer,TF_Nokkel,$A18&amp;"|"&amp;F$5))*2,0)/2))&gt;INDEX(TF_AktSum,MATCH($A18&amp;"|"&amp;F$5,TF_Dom,0)),"LMS",INDEX(AktKode,MATCH(INDEX(TF_Akt,MATCH($A18&amp;"|"&amp;F$5,TF_Dom,0)),Aktiviteter,0)))&amp;IF(OR(COUNTIFS(TF_Nokkel,$A18&amp;"|"&amp;F$5,TF_Akt,"&lt;&gt;"&amp;INDEX(TF_Akt,MATCH($A18&amp;"|"&amp;F$5,TF_Dom,0)))&gt;0,AND(IF(F$8="",0,MAX(0,ROUND((F$11-SUMIFS(TF_Timer,TF_Nokkel,$A18&amp;"|"&amp;F$5))*2,0)/2))&gt;0,INDEX(TF_Akt,MATCH($A18&amp;"|"&amp;F$5,TF_Dom,0))&lt;&gt;"LMS")),"+",""),"?"))))</f>
        <v/>
      </c>
      <c r="G18" s="13">
        <f>IF(OR($A18="",G$5=""),"",IF(OR(AND(INDEX(TekFra,3)&gt;0,G$5&lt;INDEX(TekFra,3)),AND(INDEX(TekTil,3)&gt;0,G$5&gt;INDEX(TekTil,3))),"",IF(COUNTIFS(TF_Nokkel,$A18&amp;"|"&amp;G$5)=0,IF(G$8&lt;&gt;"","LMS",""),IFERROR(IF(SUMIFS(TF_Timer,TF_Nokkel,$A18&amp;"|"&amp;G$5,TF_Akt,"LMS")+IF(G$8="",0,MAX(0,ROUND((G$11-SUMIFS(TF_Timer,TF_Nokkel,$A18&amp;"|"&amp;G$5))*2,0)/2))&gt;INDEX(TF_AktSum,MATCH($A18&amp;"|"&amp;G$5,TF_Dom,0)),"LMS",INDEX(AktKode,MATCH(INDEX(TF_Akt,MATCH($A18&amp;"|"&amp;G$5,TF_Dom,0)),Aktiviteter,0)))&amp;IF(OR(COUNTIFS(TF_Nokkel,$A18&amp;"|"&amp;G$5,TF_Akt,"&lt;&gt;"&amp;INDEX(TF_Akt,MATCH($A18&amp;"|"&amp;G$5,TF_Dom,0)))&gt;0,AND(IF(G$8="",0,MAX(0,ROUND((G$11-SUMIFS(TF_Timer,TF_Nokkel,$A18&amp;"|"&amp;G$5))*2,0)/2))&gt;0,INDEX(TF_Akt,MATCH($A18&amp;"|"&amp;G$5,TF_Dom,0))&lt;&gt;"LMS")),"+",""),"?"))))</f>
        <v/>
      </c>
      <c r="H18" s="13">
        <f>IF(OR($A18="",H$5=""),"",IF(OR(AND(INDEX(TekFra,3)&gt;0,H$5&lt;INDEX(TekFra,3)),AND(INDEX(TekTil,3)&gt;0,H$5&gt;INDEX(TekTil,3))),"",IF(COUNTIFS(TF_Nokkel,$A18&amp;"|"&amp;H$5)=0,IF(H$8&lt;&gt;"","LMS",""),IFERROR(IF(SUMIFS(TF_Timer,TF_Nokkel,$A18&amp;"|"&amp;H$5,TF_Akt,"LMS")+IF(H$8="",0,MAX(0,ROUND((H$11-SUMIFS(TF_Timer,TF_Nokkel,$A18&amp;"|"&amp;H$5))*2,0)/2))&gt;INDEX(TF_AktSum,MATCH($A18&amp;"|"&amp;H$5,TF_Dom,0)),"LMS",INDEX(AktKode,MATCH(INDEX(TF_Akt,MATCH($A18&amp;"|"&amp;H$5,TF_Dom,0)),Aktiviteter,0)))&amp;IF(OR(COUNTIFS(TF_Nokkel,$A18&amp;"|"&amp;H$5,TF_Akt,"&lt;&gt;"&amp;INDEX(TF_Akt,MATCH($A18&amp;"|"&amp;H$5,TF_Dom,0)))&gt;0,AND(IF(H$8="",0,MAX(0,ROUND((H$11-SUMIFS(TF_Timer,TF_Nokkel,$A18&amp;"|"&amp;H$5))*2,0)/2))&gt;0,INDEX(TF_Akt,MATCH($A18&amp;"|"&amp;H$5,TF_Dom,0))&lt;&gt;"LMS")),"+",""),"?"))))</f>
        <v/>
      </c>
      <c r="I18" s="13">
        <f>IF(OR($A18="",I$5=""),"",IF(OR(AND(INDEX(TekFra,3)&gt;0,I$5&lt;INDEX(TekFra,3)),AND(INDEX(TekTil,3)&gt;0,I$5&gt;INDEX(TekTil,3))),"",IF(COUNTIFS(TF_Nokkel,$A18&amp;"|"&amp;I$5)=0,IF(I$8&lt;&gt;"","LMS",""),IFERROR(IF(SUMIFS(TF_Timer,TF_Nokkel,$A18&amp;"|"&amp;I$5,TF_Akt,"LMS")+IF(I$8="",0,MAX(0,ROUND((I$11-SUMIFS(TF_Timer,TF_Nokkel,$A18&amp;"|"&amp;I$5))*2,0)/2))&gt;INDEX(TF_AktSum,MATCH($A18&amp;"|"&amp;I$5,TF_Dom,0)),"LMS",INDEX(AktKode,MATCH(INDEX(TF_Akt,MATCH($A18&amp;"|"&amp;I$5,TF_Dom,0)),Aktiviteter,0)))&amp;IF(OR(COUNTIFS(TF_Nokkel,$A18&amp;"|"&amp;I$5,TF_Akt,"&lt;&gt;"&amp;INDEX(TF_Akt,MATCH($A18&amp;"|"&amp;I$5,TF_Dom,0)))&gt;0,AND(IF(I$8="",0,MAX(0,ROUND((I$11-SUMIFS(TF_Timer,TF_Nokkel,$A18&amp;"|"&amp;I$5))*2,0)/2))&gt;0,INDEX(TF_Akt,MATCH($A18&amp;"|"&amp;I$5,TF_Dom,0))&lt;&gt;"LMS")),"+",""),"?"))))</f>
        <v/>
      </c>
      <c r="J18" s="13">
        <f>IF(OR($A18="",J$5=""),"",IF(OR(AND(INDEX(TekFra,3)&gt;0,J$5&lt;INDEX(TekFra,3)),AND(INDEX(TekTil,3)&gt;0,J$5&gt;INDEX(TekTil,3))),"",IF(COUNTIFS(TF_Nokkel,$A18&amp;"|"&amp;J$5)=0,IF(J$8&lt;&gt;"","LMS",""),IFERROR(IF(SUMIFS(TF_Timer,TF_Nokkel,$A18&amp;"|"&amp;J$5,TF_Akt,"LMS")+IF(J$8="",0,MAX(0,ROUND((J$11-SUMIFS(TF_Timer,TF_Nokkel,$A18&amp;"|"&amp;J$5))*2,0)/2))&gt;INDEX(TF_AktSum,MATCH($A18&amp;"|"&amp;J$5,TF_Dom,0)),"LMS",INDEX(AktKode,MATCH(INDEX(TF_Akt,MATCH($A18&amp;"|"&amp;J$5,TF_Dom,0)),Aktiviteter,0)))&amp;IF(OR(COUNTIFS(TF_Nokkel,$A18&amp;"|"&amp;J$5,TF_Akt,"&lt;&gt;"&amp;INDEX(TF_Akt,MATCH($A18&amp;"|"&amp;J$5,TF_Dom,0)))&gt;0,AND(IF(J$8="",0,MAX(0,ROUND((J$11-SUMIFS(TF_Timer,TF_Nokkel,$A18&amp;"|"&amp;J$5))*2,0)/2))&gt;0,INDEX(TF_Akt,MATCH($A18&amp;"|"&amp;J$5,TF_Dom,0))&lt;&gt;"LMS")),"+",""),"?"))))</f>
        <v/>
      </c>
      <c r="K18" s="13">
        <f>IF(OR($A18="",K$5=""),"",IF(OR(AND(INDEX(TekFra,3)&gt;0,K$5&lt;INDEX(TekFra,3)),AND(INDEX(TekTil,3)&gt;0,K$5&gt;INDEX(TekTil,3))),"",IF(COUNTIFS(TF_Nokkel,$A18&amp;"|"&amp;K$5)=0,IF(K$8&lt;&gt;"","LMS",""),IFERROR(IF(SUMIFS(TF_Timer,TF_Nokkel,$A18&amp;"|"&amp;K$5,TF_Akt,"LMS")+IF(K$8="",0,MAX(0,ROUND((K$11-SUMIFS(TF_Timer,TF_Nokkel,$A18&amp;"|"&amp;K$5))*2,0)/2))&gt;INDEX(TF_AktSum,MATCH($A18&amp;"|"&amp;K$5,TF_Dom,0)),"LMS",INDEX(AktKode,MATCH(INDEX(TF_Akt,MATCH($A18&amp;"|"&amp;K$5,TF_Dom,0)),Aktiviteter,0)))&amp;IF(OR(COUNTIFS(TF_Nokkel,$A18&amp;"|"&amp;K$5,TF_Akt,"&lt;&gt;"&amp;INDEX(TF_Akt,MATCH($A18&amp;"|"&amp;K$5,TF_Dom,0)))&gt;0,AND(IF(K$8="",0,MAX(0,ROUND((K$11-SUMIFS(TF_Timer,TF_Nokkel,$A18&amp;"|"&amp;K$5))*2,0)/2))&gt;0,INDEX(TF_Akt,MATCH($A18&amp;"|"&amp;K$5,TF_Dom,0))&lt;&gt;"LMS")),"+",""),"?"))))</f>
        <v/>
      </c>
      <c r="L18" s="13">
        <f>IF(OR($A18="",L$5=""),"",IF(OR(AND(INDEX(TekFra,3)&gt;0,L$5&lt;INDEX(TekFra,3)),AND(INDEX(TekTil,3)&gt;0,L$5&gt;INDEX(TekTil,3))),"",IF(COUNTIFS(TF_Nokkel,$A18&amp;"|"&amp;L$5)=0,IF(L$8&lt;&gt;"","LMS",""),IFERROR(IF(SUMIFS(TF_Timer,TF_Nokkel,$A18&amp;"|"&amp;L$5,TF_Akt,"LMS")+IF(L$8="",0,MAX(0,ROUND((L$11-SUMIFS(TF_Timer,TF_Nokkel,$A18&amp;"|"&amp;L$5))*2,0)/2))&gt;INDEX(TF_AktSum,MATCH($A18&amp;"|"&amp;L$5,TF_Dom,0)),"LMS",INDEX(AktKode,MATCH(INDEX(TF_Akt,MATCH($A18&amp;"|"&amp;L$5,TF_Dom,0)),Aktiviteter,0)))&amp;IF(OR(COUNTIFS(TF_Nokkel,$A18&amp;"|"&amp;L$5,TF_Akt,"&lt;&gt;"&amp;INDEX(TF_Akt,MATCH($A18&amp;"|"&amp;L$5,TF_Dom,0)))&gt;0,AND(IF(L$8="",0,MAX(0,ROUND((L$11-SUMIFS(TF_Timer,TF_Nokkel,$A18&amp;"|"&amp;L$5))*2,0)/2))&gt;0,INDEX(TF_Akt,MATCH($A18&amp;"|"&amp;L$5,TF_Dom,0))&lt;&gt;"LMS")),"+",""),"?"))))</f>
        <v/>
      </c>
      <c r="M18" s="13">
        <f>IF(OR($A18="",M$5=""),"",IF(OR(AND(INDEX(TekFra,3)&gt;0,M$5&lt;INDEX(TekFra,3)),AND(INDEX(TekTil,3)&gt;0,M$5&gt;INDEX(TekTil,3))),"",IF(COUNTIFS(TF_Nokkel,$A18&amp;"|"&amp;M$5)=0,IF(M$8&lt;&gt;"","LMS",""),IFERROR(IF(SUMIFS(TF_Timer,TF_Nokkel,$A18&amp;"|"&amp;M$5,TF_Akt,"LMS")+IF(M$8="",0,MAX(0,ROUND((M$11-SUMIFS(TF_Timer,TF_Nokkel,$A18&amp;"|"&amp;M$5))*2,0)/2))&gt;INDEX(TF_AktSum,MATCH($A18&amp;"|"&amp;M$5,TF_Dom,0)),"LMS",INDEX(AktKode,MATCH(INDEX(TF_Akt,MATCH($A18&amp;"|"&amp;M$5,TF_Dom,0)),Aktiviteter,0)))&amp;IF(OR(COUNTIFS(TF_Nokkel,$A18&amp;"|"&amp;M$5,TF_Akt,"&lt;&gt;"&amp;INDEX(TF_Akt,MATCH($A18&amp;"|"&amp;M$5,TF_Dom,0)))&gt;0,AND(IF(M$8="",0,MAX(0,ROUND((M$11-SUMIFS(TF_Timer,TF_Nokkel,$A18&amp;"|"&amp;M$5))*2,0)/2))&gt;0,INDEX(TF_Akt,MATCH($A18&amp;"|"&amp;M$5,TF_Dom,0))&lt;&gt;"LMS")),"+",""),"?"))))</f>
        <v/>
      </c>
      <c r="N18" s="13">
        <f>IF(OR($A18="",N$5=""),"",IF(OR(AND(INDEX(TekFra,3)&gt;0,N$5&lt;INDEX(TekFra,3)),AND(INDEX(TekTil,3)&gt;0,N$5&gt;INDEX(TekTil,3))),"",IF(COUNTIFS(TF_Nokkel,$A18&amp;"|"&amp;N$5)=0,IF(N$8&lt;&gt;"","LMS",""),IFERROR(IF(SUMIFS(TF_Timer,TF_Nokkel,$A18&amp;"|"&amp;N$5,TF_Akt,"LMS")+IF(N$8="",0,MAX(0,ROUND((N$11-SUMIFS(TF_Timer,TF_Nokkel,$A18&amp;"|"&amp;N$5))*2,0)/2))&gt;INDEX(TF_AktSum,MATCH($A18&amp;"|"&amp;N$5,TF_Dom,0)),"LMS",INDEX(AktKode,MATCH(INDEX(TF_Akt,MATCH($A18&amp;"|"&amp;N$5,TF_Dom,0)),Aktiviteter,0)))&amp;IF(OR(COUNTIFS(TF_Nokkel,$A18&amp;"|"&amp;N$5,TF_Akt,"&lt;&gt;"&amp;INDEX(TF_Akt,MATCH($A18&amp;"|"&amp;N$5,TF_Dom,0)))&gt;0,AND(IF(N$8="",0,MAX(0,ROUND((N$11-SUMIFS(TF_Timer,TF_Nokkel,$A18&amp;"|"&amp;N$5))*2,0)/2))&gt;0,INDEX(TF_Akt,MATCH($A18&amp;"|"&amp;N$5,TF_Dom,0))&lt;&gt;"LMS")),"+",""),"?"))))</f>
        <v/>
      </c>
      <c r="O18" s="13">
        <f>IF(OR($A18="",O$5=""),"",IF(OR(AND(INDEX(TekFra,3)&gt;0,O$5&lt;INDEX(TekFra,3)),AND(INDEX(TekTil,3)&gt;0,O$5&gt;INDEX(TekTil,3))),"",IF(COUNTIFS(TF_Nokkel,$A18&amp;"|"&amp;O$5)=0,IF(O$8&lt;&gt;"","LMS",""),IFERROR(IF(SUMIFS(TF_Timer,TF_Nokkel,$A18&amp;"|"&amp;O$5,TF_Akt,"LMS")+IF(O$8="",0,MAX(0,ROUND((O$11-SUMIFS(TF_Timer,TF_Nokkel,$A18&amp;"|"&amp;O$5))*2,0)/2))&gt;INDEX(TF_AktSum,MATCH($A18&amp;"|"&amp;O$5,TF_Dom,0)),"LMS",INDEX(AktKode,MATCH(INDEX(TF_Akt,MATCH($A18&amp;"|"&amp;O$5,TF_Dom,0)),Aktiviteter,0)))&amp;IF(OR(COUNTIFS(TF_Nokkel,$A18&amp;"|"&amp;O$5,TF_Akt,"&lt;&gt;"&amp;INDEX(TF_Akt,MATCH($A18&amp;"|"&amp;O$5,TF_Dom,0)))&gt;0,AND(IF(O$8="",0,MAX(0,ROUND((O$11-SUMIFS(TF_Timer,TF_Nokkel,$A18&amp;"|"&amp;O$5))*2,0)/2))&gt;0,INDEX(TF_Akt,MATCH($A18&amp;"|"&amp;O$5,TF_Dom,0))&lt;&gt;"LMS")),"+",""),"?"))))</f>
        <v/>
      </c>
      <c r="P18" s="13">
        <f>IF(OR($A18="",P$5=""),"",IF(OR(AND(INDEX(TekFra,3)&gt;0,P$5&lt;INDEX(TekFra,3)),AND(INDEX(TekTil,3)&gt;0,P$5&gt;INDEX(TekTil,3))),"",IF(COUNTIFS(TF_Nokkel,$A18&amp;"|"&amp;P$5)=0,IF(P$8&lt;&gt;"","LMS",""),IFERROR(IF(SUMIFS(TF_Timer,TF_Nokkel,$A18&amp;"|"&amp;P$5,TF_Akt,"LMS")+IF(P$8="",0,MAX(0,ROUND((P$11-SUMIFS(TF_Timer,TF_Nokkel,$A18&amp;"|"&amp;P$5))*2,0)/2))&gt;INDEX(TF_AktSum,MATCH($A18&amp;"|"&amp;P$5,TF_Dom,0)),"LMS",INDEX(AktKode,MATCH(INDEX(TF_Akt,MATCH($A18&amp;"|"&amp;P$5,TF_Dom,0)),Aktiviteter,0)))&amp;IF(OR(COUNTIFS(TF_Nokkel,$A18&amp;"|"&amp;P$5,TF_Akt,"&lt;&gt;"&amp;INDEX(TF_Akt,MATCH($A18&amp;"|"&amp;P$5,TF_Dom,0)))&gt;0,AND(IF(P$8="",0,MAX(0,ROUND((P$11-SUMIFS(TF_Timer,TF_Nokkel,$A18&amp;"|"&amp;P$5))*2,0)/2))&gt;0,INDEX(TF_Akt,MATCH($A18&amp;"|"&amp;P$5,TF_Dom,0))&lt;&gt;"LMS")),"+",""),"?"))))</f>
        <v/>
      </c>
      <c r="Q18" s="13">
        <f>IF(OR($A18="",Q$5=""),"",IF(OR(AND(INDEX(TekFra,3)&gt;0,Q$5&lt;INDEX(TekFra,3)),AND(INDEX(TekTil,3)&gt;0,Q$5&gt;INDEX(TekTil,3))),"",IF(COUNTIFS(TF_Nokkel,$A18&amp;"|"&amp;Q$5)=0,IF(Q$8&lt;&gt;"","LMS",""),IFERROR(IF(SUMIFS(TF_Timer,TF_Nokkel,$A18&amp;"|"&amp;Q$5,TF_Akt,"LMS")+IF(Q$8="",0,MAX(0,ROUND((Q$11-SUMIFS(TF_Timer,TF_Nokkel,$A18&amp;"|"&amp;Q$5))*2,0)/2))&gt;INDEX(TF_AktSum,MATCH($A18&amp;"|"&amp;Q$5,TF_Dom,0)),"LMS",INDEX(AktKode,MATCH(INDEX(TF_Akt,MATCH($A18&amp;"|"&amp;Q$5,TF_Dom,0)),Aktiviteter,0)))&amp;IF(OR(COUNTIFS(TF_Nokkel,$A18&amp;"|"&amp;Q$5,TF_Akt,"&lt;&gt;"&amp;INDEX(TF_Akt,MATCH($A18&amp;"|"&amp;Q$5,TF_Dom,0)))&gt;0,AND(IF(Q$8="",0,MAX(0,ROUND((Q$11-SUMIFS(TF_Timer,TF_Nokkel,$A18&amp;"|"&amp;Q$5))*2,0)/2))&gt;0,INDEX(TF_Akt,MATCH($A18&amp;"|"&amp;Q$5,TF_Dom,0))&lt;&gt;"LMS")),"+",""),"?"))))</f>
        <v/>
      </c>
      <c r="R18" s="13">
        <f>IF(OR($A18="",R$5=""),"",IF(OR(AND(INDEX(TekFra,3)&gt;0,R$5&lt;INDEX(TekFra,3)),AND(INDEX(TekTil,3)&gt;0,R$5&gt;INDEX(TekTil,3))),"",IF(COUNTIFS(TF_Nokkel,$A18&amp;"|"&amp;R$5)=0,IF(R$8&lt;&gt;"","LMS",""),IFERROR(IF(SUMIFS(TF_Timer,TF_Nokkel,$A18&amp;"|"&amp;R$5,TF_Akt,"LMS")+IF(R$8="",0,MAX(0,ROUND((R$11-SUMIFS(TF_Timer,TF_Nokkel,$A18&amp;"|"&amp;R$5))*2,0)/2))&gt;INDEX(TF_AktSum,MATCH($A18&amp;"|"&amp;R$5,TF_Dom,0)),"LMS",INDEX(AktKode,MATCH(INDEX(TF_Akt,MATCH($A18&amp;"|"&amp;R$5,TF_Dom,0)),Aktiviteter,0)))&amp;IF(OR(COUNTIFS(TF_Nokkel,$A18&amp;"|"&amp;R$5,TF_Akt,"&lt;&gt;"&amp;INDEX(TF_Akt,MATCH($A18&amp;"|"&amp;R$5,TF_Dom,0)))&gt;0,AND(IF(R$8="",0,MAX(0,ROUND((R$11-SUMIFS(TF_Timer,TF_Nokkel,$A18&amp;"|"&amp;R$5))*2,0)/2))&gt;0,INDEX(TF_Akt,MATCH($A18&amp;"|"&amp;R$5,TF_Dom,0))&lt;&gt;"LMS")),"+",""),"?"))))</f>
        <v/>
      </c>
      <c r="S18" s="13">
        <f>IF(OR($A18="",S$5=""),"",IF(OR(AND(INDEX(TekFra,3)&gt;0,S$5&lt;INDEX(TekFra,3)),AND(INDEX(TekTil,3)&gt;0,S$5&gt;INDEX(TekTil,3))),"",IF(COUNTIFS(TF_Nokkel,$A18&amp;"|"&amp;S$5)=0,IF(S$8&lt;&gt;"","LMS",""),IFERROR(IF(SUMIFS(TF_Timer,TF_Nokkel,$A18&amp;"|"&amp;S$5,TF_Akt,"LMS")+IF(S$8="",0,MAX(0,ROUND((S$11-SUMIFS(TF_Timer,TF_Nokkel,$A18&amp;"|"&amp;S$5))*2,0)/2))&gt;INDEX(TF_AktSum,MATCH($A18&amp;"|"&amp;S$5,TF_Dom,0)),"LMS",INDEX(AktKode,MATCH(INDEX(TF_Akt,MATCH($A18&amp;"|"&amp;S$5,TF_Dom,0)),Aktiviteter,0)))&amp;IF(OR(COUNTIFS(TF_Nokkel,$A18&amp;"|"&amp;S$5,TF_Akt,"&lt;&gt;"&amp;INDEX(TF_Akt,MATCH($A18&amp;"|"&amp;S$5,TF_Dom,0)))&gt;0,AND(IF(S$8="",0,MAX(0,ROUND((S$11-SUMIFS(TF_Timer,TF_Nokkel,$A18&amp;"|"&amp;S$5))*2,0)/2))&gt;0,INDEX(TF_Akt,MATCH($A18&amp;"|"&amp;S$5,TF_Dom,0))&lt;&gt;"LMS")),"+",""),"?"))))</f>
        <v/>
      </c>
      <c r="T18" s="13">
        <f>IF(OR($A18="",T$5=""),"",IF(OR(AND(INDEX(TekFra,3)&gt;0,T$5&lt;INDEX(TekFra,3)),AND(INDEX(TekTil,3)&gt;0,T$5&gt;INDEX(TekTil,3))),"",IF(COUNTIFS(TF_Nokkel,$A18&amp;"|"&amp;T$5)=0,IF(T$8&lt;&gt;"","LMS",""),IFERROR(IF(SUMIFS(TF_Timer,TF_Nokkel,$A18&amp;"|"&amp;T$5,TF_Akt,"LMS")+IF(T$8="",0,MAX(0,ROUND((T$11-SUMIFS(TF_Timer,TF_Nokkel,$A18&amp;"|"&amp;T$5))*2,0)/2))&gt;INDEX(TF_AktSum,MATCH($A18&amp;"|"&amp;T$5,TF_Dom,0)),"LMS",INDEX(AktKode,MATCH(INDEX(TF_Akt,MATCH($A18&amp;"|"&amp;T$5,TF_Dom,0)),Aktiviteter,0)))&amp;IF(OR(COUNTIFS(TF_Nokkel,$A18&amp;"|"&amp;T$5,TF_Akt,"&lt;&gt;"&amp;INDEX(TF_Akt,MATCH($A18&amp;"|"&amp;T$5,TF_Dom,0)))&gt;0,AND(IF(T$8="",0,MAX(0,ROUND((T$11-SUMIFS(TF_Timer,TF_Nokkel,$A18&amp;"|"&amp;T$5))*2,0)/2))&gt;0,INDEX(TF_Akt,MATCH($A18&amp;"|"&amp;T$5,TF_Dom,0))&lt;&gt;"LMS")),"+",""),"?"))))</f>
        <v/>
      </c>
      <c r="U18" s="13">
        <f>IF(OR($A18="",U$5=""),"",IF(OR(AND(INDEX(TekFra,3)&gt;0,U$5&lt;INDEX(TekFra,3)),AND(INDEX(TekTil,3)&gt;0,U$5&gt;INDEX(TekTil,3))),"",IF(COUNTIFS(TF_Nokkel,$A18&amp;"|"&amp;U$5)=0,IF(U$8&lt;&gt;"","LMS",""),IFERROR(IF(SUMIFS(TF_Timer,TF_Nokkel,$A18&amp;"|"&amp;U$5,TF_Akt,"LMS")+IF(U$8="",0,MAX(0,ROUND((U$11-SUMIFS(TF_Timer,TF_Nokkel,$A18&amp;"|"&amp;U$5))*2,0)/2))&gt;INDEX(TF_AktSum,MATCH($A18&amp;"|"&amp;U$5,TF_Dom,0)),"LMS",INDEX(AktKode,MATCH(INDEX(TF_Akt,MATCH($A18&amp;"|"&amp;U$5,TF_Dom,0)),Aktiviteter,0)))&amp;IF(OR(COUNTIFS(TF_Nokkel,$A18&amp;"|"&amp;U$5,TF_Akt,"&lt;&gt;"&amp;INDEX(TF_Akt,MATCH($A18&amp;"|"&amp;U$5,TF_Dom,0)))&gt;0,AND(IF(U$8="",0,MAX(0,ROUND((U$11-SUMIFS(TF_Timer,TF_Nokkel,$A18&amp;"|"&amp;U$5))*2,0)/2))&gt;0,INDEX(TF_Akt,MATCH($A18&amp;"|"&amp;U$5,TF_Dom,0))&lt;&gt;"LMS")),"+",""),"?"))))</f>
        <v/>
      </c>
      <c r="V18" s="13">
        <f>IF(OR($A18="",V$5=""),"",IF(OR(AND(INDEX(TekFra,3)&gt;0,V$5&lt;INDEX(TekFra,3)),AND(INDEX(TekTil,3)&gt;0,V$5&gt;INDEX(TekTil,3))),"",IF(COUNTIFS(TF_Nokkel,$A18&amp;"|"&amp;V$5)=0,IF(V$8&lt;&gt;"","LMS",""),IFERROR(IF(SUMIFS(TF_Timer,TF_Nokkel,$A18&amp;"|"&amp;V$5,TF_Akt,"LMS")+IF(V$8="",0,MAX(0,ROUND((V$11-SUMIFS(TF_Timer,TF_Nokkel,$A18&amp;"|"&amp;V$5))*2,0)/2))&gt;INDEX(TF_AktSum,MATCH($A18&amp;"|"&amp;V$5,TF_Dom,0)),"LMS",INDEX(AktKode,MATCH(INDEX(TF_Akt,MATCH($A18&amp;"|"&amp;V$5,TF_Dom,0)),Aktiviteter,0)))&amp;IF(OR(COUNTIFS(TF_Nokkel,$A18&amp;"|"&amp;V$5,TF_Akt,"&lt;&gt;"&amp;INDEX(TF_Akt,MATCH($A18&amp;"|"&amp;V$5,TF_Dom,0)))&gt;0,AND(IF(V$8="",0,MAX(0,ROUND((V$11-SUMIFS(TF_Timer,TF_Nokkel,$A18&amp;"|"&amp;V$5))*2,0)/2))&gt;0,INDEX(TF_Akt,MATCH($A18&amp;"|"&amp;V$5,TF_Dom,0))&lt;&gt;"LMS")),"+",""),"?"))))</f>
        <v/>
      </c>
      <c r="W18" s="13">
        <f>IF(OR($A18="",W$5=""),"",IF(OR(AND(INDEX(TekFra,3)&gt;0,W$5&lt;INDEX(TekFra,3)),AND(INDEX(TekTil,3)&gt;0,W$5&gt;INDEX(TekTil,3))),"",IF(COUNTIFS(TF_Nokkel,$A18&amp;"|"&amp;W$5)=0,IF(W$8&lt;&gt;"","LMS",""),IFERROR(IF(SUMIFS(TF_Timer,TF_Nokkel,$A18&amp;"|"&amp;W$5,TF_Akt,"LMS")+IF(W$8="",0,MAX(0,ROUND((W$11-SUMIFS(TF_Timer,TF_Nokkel,$A18&amp;"|"&amp;W$5))*2,0)/2))&gt;INDEX(TF_AktSum,MATCH($A18&amp;"|"&amp;W$5,TF_Dom,0)),"LMS",INDEX(AktKode,MATCH(INDEX(TF_Akt,MATCH($A18&amp;"|"&amp;W$5,TF_Dom,0)),Aktiviteter,0)))&amp;IF(OR(COUNTIFS(TF_Nokkel,$A18&amp;"|"&amp;W$5,TF_Akt,"&lt;&gt;"&amp;INDEX(TF_Akt,MATCH($A18&amp;"|"&amp;W$5,TF_Dom,0)))&gt;0,AND(IF(W$8="",0,MAX(0,ROUND((W$11-SUMIFS(TF_Timer,TF_Nokkel,$A18&amp;"|"&amp;W$5))*2,0)/2))&gt;0,INDEX(TF_Akt,MATCH($A18&amp;"|"&amp;W$5,TF_Dom,0))&lt;&gt;"LMS")),"+",""),"?"))))</f>
        <v/>
      </c>
      <c r="X18" s="13">
        <f>IF(OR($A18="",X$5=""),"",IF(OR(AND(INDEX(TekFra,3)&gt;0,X$5&lt;INDEX(TekFra,3)),AND(INDEX(TekTil,3)&gt;0,X$5&gt;INDEX(TekTil,3))),"",IF(COUNTIFS(TF_Nokkel,$A18&amp;"|"&amp;X$5)=0,IF(X$8&lt;&gt;"","LMS",""),IFERROR(IF(SUMIFS(TF_Timer,TF_Nokkel,$A18&amp;"|"&amp;X$5,TF_Akt,"LMS")+IF(X$8="",0,MAX(0,ROUND((X$11-SUMIFS(TF_Timer,TF_Nokkel,$A18&amp;"|"&amp;X$5))*2,0)/2))&gt;INDEX(TF_AktSum,MATCH($A18&amp;"|"&amp;X$5,TF_Dom,0)),"LMS",INDEX(AktKode,MATCH(INDEX(TF_Akt,MATCH($A18&amp;"|"&amp;X$5,TF_Dom,0)),Aktiviteter,0)))&amp;IF(OR(COUNTIFS(TF_Nokkel,$A18&amp;"|"&amp;X$5,TF_Akt,"&lt;&gt;"&amp;INDEX(TF_Akt,MATCH($A18&amp;"|"&amp;X$5,TF_Dom,0)))&gt;0,AND(IF(X$8="",0,MAX(0,ROUND((X$11-SUMIFS(TF_Timer,TF_Nokkel,$A18&amp;"|"&amp;X$5))*2,0)/2))&gt;0,INDEX(TF_Akt,MATCH($A18&amp;"|"&amp;X$5,TF_Dom,0))&lt;&gt;"LMS")),"+",""),"?"))))</f>
        <v/>
      </c>
      <c r="Y18" s="13">
        <f>IF(OR($A18="",Y$5=""),"",IF(OR(AND(INDEX(TekFra,3)&gt;0,Y$5&lt;INDEX(TekFra,3)),AND(INDEX(TekTil,3)&gt;0,Y$5&gt;INDEX(TekTil,3))),"",IF(COUNTIFS(TF_Nokkel,$A18&amp;"|"&amp;Y$5)=0,IF(Y$8&lt;&gt;"","LMS",""),IFERROR(IF(SUMIFS(TF_Timer,TF_Nokkel,$A18&amp;"|"&amp;Y$5,TF_Akt,"LMS")+IF(Y$8="",0,MAX(0,ROUND((Y$11-SUMIFS(TF_Timer,TF_Nokkel,$A18&amp;"|"&amp;Y$5))*2,0)/2))&gt;INDEX(TF_AktSum,MATCH($A18&amp;"|"&amp;Y$5,TF_Dom,0)),"LMS",INDEX(AktKode,MATCH(INDEX(TF_Akt,MATCH($A18&amp;"|"&amp;Y$5,TF_Dom,0)),Aktiviteter,0)))&amp;IF(OR(COUNTIFS(TF_Nokkel,$A18&amp;"|"&amp;Y$5,TF_Akt,"&lt;&gt;"&amp;INDEX(TF_Akt,MATCH($A18&amp;"|"&amp;Y$5,TF_Dom,0)))&gt;0,AND(IF(Y$8="",0,MAX(0,ROUND((Y$11-SUMIFS(TF_Timer,TF_Nokkel,$A18&amp;"|"&amp;Y$5))*2,0)/2))&gt;0,INDEX(TF_Akt,MATCH($A18&amp;"|"&amp;Y$5,TF_Dom,0))&lt;&gt;"LMS")),"+",""),"?"))))</f>
        <v/>
      </c>
      <c r="Z18" s="13">
        <f>IF(OR($A18="",Z$5=""),"",IF(OR(AND(INDEX(TekFra,3)&gt;0,Z$5&lt;INDEX(TekFra,3)),AND(INDEX(TekTil,3)&gt;0,Z$5&gt;INDEX(TekTil,3))),"",IF(COUNTIFS(TF_Nokkel,$A18&amp;"|"&amp;Z$5)=0,IF(Z$8&lt;&gt;"","LMS",""),IFERROR(IF(SUMIFS(TF_Timer,TF_Nokkel,$A18&amp;"|"&amp;Z$5,TF_Akt,"LMS")+IF(Z$8="",0,MAX(0,ROUND((Z$11-SUMIFS(TF_Timer,TF_Nokkel,$A18&amp;"|"&amp;Z$5))*2,0)/2))&gt;INDEX(TF_AktSum,MATCH($A18&amp;"|"&amp;Z$5,TF_Dom,0)),"LMS",INDEX(AktKode,MATCH(INDEX(TF_Akt,MATCH($A18&amp;"|"&amp;Z$5,TF_Dom,0)),Aktiviteter,0)))&amp;IF(OR(COUNTIFS(TF_Nokkel,$A18&amp;"|"&amp;Z$5,TF_Akt,"&lt;&gt;"&amp;INDEX(TF_Akt,MATCH($A18&amp;"|"&amp;Z$5,TF_Dom,0)))&gt;0,AND(IF(Z$8="",0,MAX(0,ROUND((Z$11-SUMIFS(TF_Timer,TF_Nokkel,$A18&amp;"|"&amp;Z$5))*2,0)/2))&gt;0,INDEX(TF_Akt,MATCH($A18&amp;"|"&amp;Z$5,TF_Dom,0))&lt;&gt;"LMS")),"+",""),"?"))))</f>
        <v/>
      </c>
      <c r="AA18" s="13">
        <f>IF(OR($A18="",AA$5=""),"",IF(OR(AND(INDEX(TekFra,3)&gt;0,AA$5&lt;INDEX(TekFra,3)),AND(INDEX(TekTil,3)&gt;0,AA$5&gt;INDEX(TekTil,3))),"",IF(COUNTIFS(TF_Nokkel,$A18&amp;"|"&amp;AA$5)=0,IF(AA$8&lt;&gt;"","LMS",""),IFERROR(IF(SUMIFS(TF_Timer,TF_Nokkel,$A18&amp;"|"&amp;AA$5,TF_Akt,"LMS")+IF(AA$8="",0,MAX(0,ROUND((AA$11-SUMIFS(TF_Timer,TF_Nokkel,$A18&amp;"|"&amp;AA$5))*2,0)/2))&gt;INDEX(TF_AktSum,MATCH($A18&amp;"|"&amp;AA$5,TF_Dom,0)),"LMS",INDEX(AktKode,MATCH(INDEX(TF_Akt,MATCH($A18&amp;"|"&amp;AA$5,TF_Dom,0)),Aktiviteter,0)))&amp;IF(OR(COUNTIFS(TF_Nokkel,$A18&amp;"|"&amp;AA$5,TF_Akt,"&lt;&gt;"&amp;INDEX(TF_Akt,MATCH($A18&amp;"|"&amp;AA$5,TF_Dom,0)))&gt;0,AND(IF(AA$8="",0,MAX(0,ROUND((AA$11-SUMIFS(TF_Timer,TF_Nokkel,$A18&amp;"|"&amp;AA$5))*2,0)/2))&gt;0,INDEX(TF_Akt,MATCH($A18&amp;"|"&amp;AA$5,TF_Dom,0))&lt;&gt;"LMS")),"+",""),"?"))))</f>
        <v/>
      </c>
      <c r="AB18" s="13">
        <f>IF(OR($A18="",AB$5=""),"",IF(OR(AND(INDEX(TekFra,3)&gt;0,AB$5&lt;INDEX(TekFra,3)),AND(INDEX(TekTil,3)&gt;0,AB$5&gt;INDEX(TekTil,3))),"",IF(COUNTIFS(TF_Nokkel,$A18&amp;"|"&amp;AB$5)=0,IF(AB$8&lt;&gt;"","LMS",""),IFERROR(IF(SUMIFS(TF_Timer,TF_Nokkel,$A18&amp;"|"&amp;AB$5,TF_Akt,"LMS")+IF(AB$8="",0,MAX(0,ROUND((AB$11-SUMIFS(TF_Timer,TF_Nokkel,$A18&amp;"|"&amp;AB$5))*2,0)/2))&gt;INDEX(TF_AktSum,MATCH($A18&amp;"|"&amp;AB$5,TF_Dom,0)),"LMS",INDEX(AktKode,MATCH(INDEX(TF_Akt,MATCH($A18&amp;"|"&amp;AB$5,TF_Dom,0)),Aktiviteter,0)))&amp;IF(OR(COUNTIFS(TF_Nokkel,$A18&amp;"|"&amp;AB$5,TF_Akt,"&lt;&gt;"&amp;INDEX(TF_Akt,MATCH($A18&amp;"|"&amp;AB$5,TF_Dom,0)))&gt;0,AND(IF(AB$8="",0,MAX(0,ROUND((AB$11-SUMIFS(TF_Timer,TF_Nokkel,$A18&amp;"|"&amp;AB$5))*2,0)/2))&gt;0,INDEX(TF_Akt,MATCH($A18&amp;"|"&amp;AB$5,TF_Dom,0))&lt;&gt;"LMS")),"+",""),"?"))))</f>
        <v/>
      </c>
      <c r="AC18" s="13">
        <f>IF(OR($A18="",AC$5=""),"",IF(OR(AND(INDEX(TekFra,3)&gt;0,AC$5&lt;INDEX(TekFra,3)),AND(INDEX(TekTil,3)&gt;0,AC$5&gt;INDEX(TekTil,3))),"",IF(COUNTIFS(TF_Nokkel,$A18&amp;"|"&amp;AC$5)=0,IF(AC$8&lt;&gt;"","LMS",""),IFERROR(IF(SUMIFS(TF_Timer,TF_Nokkel,$A18&amp;"|"&amp;AC$5,TF_Akt,"LMS")+IF(AC$8="",0,MAX(0,ROUND((AC$11-SUMIFS(TF_Timer,TF_Nokkel,$A18&amp;"|"&amp;AC$5))*2,0)/2))&gt;INDEX(TF_AktSum,MATCH($A18&amp;"|"&amp;AC$5,TF_Dom,0)),"LMS",INDEX(AktKode,MATCH(INDEX(TF_Akt,MATCH($A18&amp;"|"&amp;AC$5,TF_Dom,0)),Aktiviteter,0)))&amp;IF(OR(COUNTIFS(TF_Nokkel,$A18&amp;"|"&amp;AC$5,TF_Akt,"&lt;&gt;"&amp;INDEX(TF_Akt,MATCH($A18&amp;"|"&amp;AC$5,TF_Dom,0)))&gt;0,AND(IF(AC$8="",0,MAX(0,ROUND((AC$11-SUMIFS(TF_Timer,TF_Nokkel,$A18&amp;"|"&amp;AC$5))*2,0)/2))&gt;0,INDEX(TF_Akt,MATCH($A18&amp;"|"&amp;AC$5,TF_Dom,0))&lt;&gt;"LMS")),"+",""),"?"))))</f>
        <v/>
      </c>
      <c r="AD18" s="13">
        <f>IF(OR($A18="",AD$5=""),"",IF(OR(AND(INDEX(TekFra,3)&gt;0,AD$5&lt;INDEX(TekFra,3)),AND(INDEX(TekTil,3)&gt;0,AD$5&gt;INDEX(TekTil,3))),"",IF(COUNTIFS(TF_Nokkel,$A18&amp;"|"&amp;AD$5)=0,IF(AD$8&lt;&gt;"","LMS",""),IFERROR(IF(SUMIFS(TF_Timer,TF_Nokkel,$A18&amp;"|"&amp;AD$5,TF_Akt,"LMS")+IF(AD$8="",0,MAX(0,ROUND((AD$11-SUMIFS(TF_Timer,TF_Nokkel,$A18&amp;"|"&amp;AD$5))*2,0)/2))&gt;INDEX(TF_AktSum,MATCH($A18&amp;"|"&amp;AD$5,TF_Dom,0)),"LMS",INDEX(AktKode,MATCH(INDEX(TF_Akt,MATCH($A18&amp;"|"&amp;AD$5,TF_Dom,0)),Aktiviteter,0)))&amp;IF(OR(COUNTIFS(TF_Nokkel,$A18&amp;"|"&amp;AD$5,TF_Akt,"&lt;&gt;"&amp;INDEX(TF_Akt,MATCH($A18&amp;"|"&amp;AD$5,TF_Dom,0)))&gt;0,AND(IF(AD$8="",0,MAX(0,ROUND((AD$11-SUMIFS(TF_Timer,TF_Nokkel,$A18&amp;"|"&amp;AD$5))*2,0)/2))&gt;0,INDEX(TF_Akt,MATCH($A18&amp;"|"&amp;AD$5,TF_Dom,0))&lt;&gt;"LMS")),"+",""),"?"))))</f>
        <v/>
      </c>
      <c r="AE18" s="13">
        <f>IF(OR($A18="",AE$5=""),"",IF(OR(AND(INDEX(TekFra,3)&gt;0,AE$5&lt;INDEX(TekFra,3)),AND(INDEX(TekTil,3)&gt;0,AE$5&gt;INDEX(TekTil,3))),"",IF(COUNTIFS(TF_Nokkel,$A18&amp;"|"&amp;AE$5)=0,IF(AE$8&lt;&gt;"","LMS",""),IFERROR(IF(SUMIFS(TF_Timer,TF_Nokkel,$A18&amp;"|"&amp;AE$5,TF_Akt,"LMS")+IF(AE$8="",0,MAX(0,ROUND((AE$11-SUMIFS(TF_Timer,TF_Nokkel,$A18&amp;"|"&amp;AE$5))*2,0)/2))&gt;INDEX(TF_AktSum,MATCH($A18&amp;"|"&amp;AE$5,TF_Dom,0)),"LMS",INDEX(AktKode,MATCH(INDEX(TF_Akt,MATCH($A18&amp;"|"&amp;AE$5,TF_Dom,0)),Aktiviteter,0)))&amp;IF(OR(COUNTIFS(TF_Nokkel,$A18&amp;"|"&amp;AE$5,TF_Akt,"&lt;&gt;"&amp;INDEX(TF_Akt,MATCH($A18&amp;"|"&amp;AE$5,TF_Dom,0)))&gt;0,AND(IF(AE$8="",0,MAX(0,ROUND((AE$11-SUMIFS(TF_Timer,TF_Nokkel,$A18&amp;"|"&amp;AE$5))*2,0)/2))&gt;0,INDEX(TF_Akt,MATCH($A18&amp;"|"&amp;AE$5,TF_Dom,0))&lt;&gt;"LMS")),"+",""),"?"))))</f>
        <v/>
      </c>
      <c r="AF18" s="13">
        <f>IF(OR($A18="",AF$5=""),"",IF(OR(AND(INDEX(TekFra,3)&gt;0,AF$5&lt;INDEX(TekFra,3)),AND(INDEX(TekTil,3)&gt;0,AF$5&gt;INDEX(TekTil,3))),"",IF(COUNTIFS(TF_Nokkel,$A18&amp;"|"&amp;AF$5)=0,IF(AF$8&lt;&gt;"","LMS",""),IFERROR(IF(SUMIFS(TF_Timer,TF_Nokkel,$A18&amp;"|"&amp;AF$5,TF_Akt,"LMS")+IF(AF$8="",0,MAX(0,ROUND((AF$11-SUMIFS(TF_Timer,TF_Nokkel,$A18&amp;"|"&amp;AF$5))*2,0)/2))&gt;INDEX(TF_AktSum,MATCH($A18&amp;"|"&amp;AF$5,TF_Dom,0)),"LMS",INDEX(AktKode,MATCH(INDEX(TF_Akt,MATCH($A18&amp;"|"&amp;AF$5,TF_Dom,0)),Aktiviteter,0)))&amp;IF(OR(COUNTIFS(TF_Nokkel,$A18&amp;"|"&amp;AF$5,TF_Akt,"&lt;&gt;"&amp;INDEX(TF_Akt,MATCH($A18&amp;"|"&amp;AF$5,TF_Dom,0)))&gt;0,AND(IF(AF$8="",0,MAX(0,ROUND((AF$11-SUMIFS(TF_Timer,TF_Nokkel,$A18&amp;"|"&amp;AF$5))*2,0)/2))&gt;0,INDEX(TF_Akt,MATCH($A18&amp;"|"&amp;AF$5,TF_Dom,0))&lt;&gt;"LMS")),"+",""),"?"))))</f>
        <v/>
      </c>
      <c r="AG18" s="13">
        <f>IF(OR($A18="",AG$5=""),"",IF(OR(AND(INDEX(TekFra,3)&gt;0,AG$5&lt;INDEX(TekFra,3)),AND(INDEX(TekTil,3)&gt;0,AG$5&gt;INDEX(TekTil,3))),"",IF(COUNTIFS(TF_Nokkel,$A18&amp;"|"&amp;AG$5)=0,IF(AG$8&lt;&gt;"","LMS",""),IFERROR(IF(SUMIFS(TF_Timer,TF_Nokkel,$A18&amp;"|"&amp;AG$5,TF_Akt,"LMS")+IF(AG$8="",0,MAX(0,ROUND((AG$11-SUMIFS(TF_Timer,TF_Nokkel,$A18&amp;"|"&amp;AG$5))*2,0)/2))&gt;INDEX(TF_AktSum,MATCH($A18&amp;"|"&amp;AG$5,TF_Dom,0)),"LMS",INDEX(AktKode,MATCH(INDEX(TF_Akt,MATCH($A18&amp;"|"&amp;AG$5,TF_Dom,0)),Aktiviteter,0)))&amp;IF(OR(COUNTIFS(TF_Nokkel,$A18&amp;"|"&amp;AG$5,TF_Akt,"&lt;&gt;"&amp;INDEX(TF_Akt,MATCH($A18&amp;"|"&amp;AG$5,TF_Dom,0)))&gt;0,AND(IF(AG$8="",0,MAX(0,ROUND((AG$11-SUMIFS(TF_Timer,TF_Nokkel,$A18&amp;"|"&amp;AG$5))*2,0)/2))&gt;0,INDEX(TF_Akt,MATCH($A18&amp;"|"&amp;AG$5,TF_Dom,0))&lt;&gt;"LMS")),"+",""),"?"))))</f>
        <v/>
      </c>
      <c r="AH18" s="2" t="n"/>
      <c r="AI18" s="17" t="inlineStr">
        <is>
          <t>A</t>
        </is>
      </c>
      <c r="AJ18" s="15" t="inlineStr">
        <is>
          <t>Assessor</t>
        </is>
      </c>
    </row>
    <row r="19">
      <c r="A19" s="2">
        <f>INDEX(Teknikere,4)&amp;""</f>
        <v/>
      </c>
      <c r="B19" s="12">
        <f>IF(INDEX(TekFra,4)&gt;0,"ekstra","")</f>
        <v/>
      </c>
      <c r="C19" s="13">
        <f>IF(OR($A19="",C$5=""),"",IF(OR(AND(INDEX(TekFra,4)&gt;0,C$5&lt;INDEX(TekFra,4)),AND(INDEX(TekTil,4)&gt;0,C$5&gt;INDEX(TekTil,4))),"",IF(COUNTIFS(TF_Nokkel,$A19&amp;"|"&amp;C$5)=0,IF(C$8&lt;&gt;"","LMS",""),IFERROR(IF(SUMIFS(TF_Timer,TF_Nokkel,$A19&amp;"|"&amp;C$5,TF_Akt,"LMS")+IF(C$8="",0,MAX(0,ROUND((C$11-SUMIFS(TF_Timer,TF_Nokkel,$A19&amp;"|"&amp;C$5))*2,0)/2))&gt;INDEX(TF_AktSum,MATCH($A19&amp;"|"&amp;C$5,TF_Dom,0)),"LMS",INDEX(AktKode,MATCH(INDEX(TF_Akt,MATCH($A19&amp;"|"&amp;C$5,TF_Dom,0)),Aktiviteter,0)))&amp;IF(OR(COUNTIFS(TF_Nokkel,$A19&amp;"|"&amp;C$5,TF_Akt,"&lt;&gt;"&amp;INDEX(TF_Akt,MATCH($A19&amp;"|"&amp;C$5,TF_Dom,0)))&gt;0,AND(IF(C$8="",0,MAX(0,ROUND((C$11-SUMIFS(TF_Timer,TF_Nokkel,$A19&amp;"|"&amp;C$5))*2,0)/2))&gt;0,INDEX(TF_Akt,MATCH($A19&amp;"|"&amp;C$5,TF_Dom,0))&lt;&gt;"LMS")),"+",""),"?"))))</f>
        <v/>
      </c>
      <c r="D19" s="13">
        <f>IF(OR($A19="",D$5=""),"",IF(OR(AND(INDEX(TekFra,4)&gt;0,D$5&lt;INDEX(TekFra,4)),AND(INDEX(TekTil,4)&gt;0,D$5&gt;INDEX(TekTil,4))),"",IF(COUNTIFS(TF_Nokkel,$A19&amp;"|"&amp;D$5)=0,IF(D$8&lt;&gt;"","LMS",""),IFERROR(IF(SUMIFS(TF_Timer,TF_Nokkel,$A19&amp;"|"&amp;D$5,TF_Akt,"LMS")+IF(D$8="",0,MAX(0,ROUND((D$11-SUMIFS(TF_Timer,TF_Nokkel,$A19&amp;"|"&amp;D$5))*2,0)/2))&gt;INDEX(TF_AktSum,MATCH($A19&amp;"|"&amp;D$5,TF_Dom,0)),"LMS",INDEX(AktKode,MATCH(INDEX(TF_Akt,MATCH($A19&amp;"|"&amp;D$5,TF_Dom,0)),Aktiviteter,0)))&amp;IF(OR(COUNTIFS(TF_Nokkel,$A19&amp;"|"&amp;D$5,TF_Akt,"&lt;&gt;"&amp;INDEX(TF_Akt,MATCH($A19&amp;"|"&amp;D$5,TF_Dom,0)))&gt;0,AND(IF(D$8="",0,MAX(0,ROUND((D$11-SUMIFS(TF_Timer,TF_Nokkel,$A19&amp;"|"&amp;D$5))*2,0)/2))&gt;0,INDEX(TF_Akt,MATCH($A19&amp;"|"&amp;D$5,TF_Dom,0))&lt;&gt;"LMS")),"+",""),"?"))))</f>
        <v/>
      </c>
      <c r="E19" s="13">
        <f>IF(OR($A19="",E$5=""),"",IF(OR(AND(INDEX(TekFra,4)&gt;0,E$5&lt;INDEX(TekFra,4)),AND(INDEX(TekTil,4)&gt;0,E$5&gt;INDEX(TekTil,4))),"",IF(COUNTIFS(TF_Nokkel,$A19&amp;"|"&amp;E$5)=0,IF(E$8&lt;&gt;"","LMS",""),IFERROR(IF(SUMIFS(TF_Timer,TF_Nokkel,$A19&amp;"|"&amp;E$5,TF_Akt,"LMS")+IF(E$8="",0,MAX(0,ROUND((E$11-SUMIFS(TF_Timer,TF_Nokkel,$A19&amp;"|"&amp;E$5))*2,0)/2))&gt;INDEX(TF_AktSum,MATCH($A19&amp;"|"&amp;E$5,TF_Dom,0)),"LMS",INDEX(AktKode,MATCH(INDEX(TF_Akt,MATCH($A19&amp;"|"&amp;E$5,TF_Dom,0)),Aktiviteter,0)))&amp;IF(OR(COUNTIFS(TF_Nokkel,$A19&amp;"|"&amp;E$5,TF_Akt,"&lt;&gt;"&amp;INDEX(TF_Akt,MATCH($A19&amp;"|"&amp;E$5,TF_Dom,0)))&gt;0,AND(IF(E$8="",0,MAX(0,ROUND((E$11-SUMIFS(TF_Timer,TF_Nokkel,$A19&amp;"|"&amp;E$5))*2,0)/2))&gt;0,INDEX(TF_Akt,MATCH($A19&amp;"|"&amp;E$5,TF_Dom,0))&lt;&gt;"LMS")),"+",""),"?"))))</f>
        <v/>
      </c>
      <c r="F19" s="13">
        <f>IF(OR($A19="",F$5=""),"",IF(OR(AND(INDEX(TekFra,4)&gt;0,F$5&lt;INDEX(TekFra,4)),AND(INDEX(TekTil,4)&gt;0,F$5&gt;INDEX(TekTil,4))),"",IF(COUNTIFS(TF_Nokkel,$A19&amp;"|"&amp;F$5)=0,IF(F$8&lt;&gt;"","LMS",""),IFERROR(IF(SUMIFS(TF_Timer,TF_Nokkel,$A19&amp;"|"&amp;F$5,TF_Akt,"LMS")+IF(F$8="",0,MAX(0,ROUND((F$11-SUMIFS(TF_Timer,TF_Nokkel,$A19&amp;"|"&amp;F$5))*2,0)/2))&gt;INDEX(TF_AktSum,MATCH($A19&amp;"|"&amp;F$5,TF_Dom,0)),"LMS",INDEX(AktKode,MATCH(INDEX(TF_Akt,MATCH($A19&amp;"|"&amp;F$5,TF_Dom,0)),Aktiviteter,0)))&amp;IF(OR(COUNTIFS(TF_Nokkel,$A19&amp;"|"&amp;F$5,TF_Akt,"&lt;&gt;"&amp;INDEX(TF_Akt,MATCH($A19&amp;"|"&amp;F$5,TF_Dom,0)))&gt;0,AND(IF(F$8="",0,MAX(0,ROUND((F$11-SUMIFS(TF_Timer,TF_Nokkel,$A19&amp;"|"&amp;F$5))*2,0)/2))&gt;0,INDEX(TF_Akt,MATCH($A19&amp;"|"&amp;F$5,TF_Dom,0))&lt;&gt;"LMS")),"+",""),"?"))))</f>
        <v/>
      </c>
      <c r="G19" s="13">
        <f>IF(OR($A19="",G$5=""),"",IF(OR(AND(INDEX(TekFra,4)&gt;0,G$5&lt;INDEX(TekFra,4)),AND(INDEX(TekTil,4)&gt;0,G$5&gt;INDEX(TekTil,4))),"",IF(COUNTIFS(TF_Nokkel,$A19&amp;"|"&amp;G$5)=0,IF(G$8&lt;&gt;"","LMS",""),IFERROR(IF(SUMIFS(TF_Timer,TF_Nokkel,$A19&amp;"|"&amp;G$5,TF_Akt,"LMS")+IF(G$8="",0,MAX(0,ROUND((G$11-SUMIFS(TF_Timer,TF_Nokkel,$A19&amp;"|"&amp;G$5))*2,0)/2))&gt;INDEX(TF_AktSum,MATCH($A19&amp;"|"&amp;G$5,TF_Dom,0)),"LMS",INDEX(AktKode,MATCH(INDEX(TF_Akt,MATCH($A19&amp;"|"&amp;G$5,TF_Dom,0)),Aktiviteter,0)))&amp;IF(OR(COUNTIFS(TF_Nokkel,$A19&amp;"|"&amp;G$5,TF_Akt,"&lt;&gt;"&amp;INDEX(TF_Akt,MATCH($A19&amp;"|"&amp;G$5,TF_Dom,0)))&gt;0,AND(IF(G$8="",0,MAX(0,ROUND((G$11-SUMIFS(TF_Timer,TF_Nokkel,$A19&amp;"|"&amp;G$5))*2,0)/2))&gt;0,INDEX(TF_Akt,MATCH($A19&amp;"|"&amp;G$5,TF_Dom,0))&lt;&gt;"LMS")),"+",""),"?"))))</f>
        <v/>
      </c>
      <c r="H19" s="13">
        <f>IF(OR($A19="",H$5=""),"",IF(OR(AND(INDEX(TekFra,4)&gt;0,H$5&lt;INDEX(TekFra,4)),AND(INDEX(TekTil,4)&gt;0,H$5&gt;INDEX(TekTil,4))),"",IF(COUNTIFS(TF_Nokkel,$A19&amp;"|"&amp;H$5)=0,IF(H$8&lt;&gt;"","LMS",""),IFERROR(IF(SUMIFS(TF_Timer,TF_Nokkel,$A19&amp;"|"&amp;H$5,TF_Akt,"LMS")+IF(H$8="",0,MAX(0,ROUND((H$11-SUMIFS(TF_Timer,TF_Nokkel,$A19&amp;"|"&amp;H$5))*2,0)/2))&gt;INDEX(TF_AktSum,MATCH($A19&amp;"|"&amp;H$5,TF_Dom,0)),"LMS",INDEX(AktKode,MATCH(INDEX(TF_Akt,MATCH($A19&amp;"|"&amp;H$5,TF_Dom,0)),Aktiviteter,0)))&amp;IF(OR(COUNTIFS(TF_Nokkel,$A19&amp;"|"&amp;H$5,TF_Akt,"&lt;&gt;"&amp;INDEX(TF_Akt,MATCH($A19&amp;"|"&amp;H$5,TF_Dom,0)))&gt;0,AND(IF(H$8="",0,MAX(0,ROUND((H$11-SUMIFS(TF_Timer,TF_Nokkel,$A19&amp;"|"&amp;H$5))*2,0)/2))&gt;0,INDEX(TF_Akt,MATCH($A19&amp;"|"&amp;H$5,TF_Dom,0))&lt;&gt;"LMS")),"+",""),"?"))))</f>
        <v/>
      </c>
      <c r="I19" s="13">
        <f>IF(OR($A19="",I$5=""),"",IF(OR(AND(INDEX(TekFra,4)&gt;0,I$5&lt;INDEX(TekFra,4)),AND(INDEX(TekTil,4)&gt;0,I$5&gt;INDEX(TekTil,4))),"",IF(COUNTIFS(TF_Nokkel,$A19&amp;"|"&amp;I$5)=0,IF(I$8&lt;&gt;"","LMS",""),IFERROR(IF(SUMIFS(TF_Timer,TF_Nokkel,$A19&amp;"|"&amp;I$5,TF_Akt,"LMS")+IF(I$8="",0,MAX(0,ROUND((I$11-SUMIFS(TF_Timer,TF_Nokkel,$A19&amp;"|"&amp;I$5))*2,0)/2))&gt;INDEX(TF_AktSum,MATCH($A19&amp;"|"&amp;I$5,TF_Dom,0)),"LMS",INDEX(AktKode,MATCH(INDEX(TF_Akt,MATCH($A19&amp;"|"&amp;I$5,TF_Dom,0)),Aktiviteter,0)))&amp;IF(OR(COUNTIFS(TF_Nokkel,$A19&amp;"|"&amp;I$5,TF_Akt,"&lt;&gt;"&amp;INDEX(TF_Akt,MATCH($A19&amp;"|"&amp;I$5,TF_Dom,0)))&gt;0,AND(IF(I$8="",0,MAX(0,ROUND((I$11-SUMIFS(TF_Timer,TF_Nokkel,$A19&amp;"|"&amp;I$5))*2,0)/2))&gt;0,INDEX(TF_Akt,MATCH($A19&amp;"|"&amp;I$5,TF_Dom,0))&lt;&gt;"LMS")),"+",""),"?"))))</f>
        <v/>
      </c>
      <c r="J19" s="13">
        <f>IF(OR($A19="",J$5=""),"",IF(OR(AND(INDEX(TekFra,4)&gt;0,J$5&lt;INDEX(TekFra,4)),AND(INDEX(TekTil,4)&gt;0,J$5&gt;INDEX(TekTil,4))),"",IF(COUNTIFS(TF_Nokkel,$A19&amp;"|"&amp;J$5)=0,IF(J$8&lt;&gt;"","LMS",""),IFERROR(IF(SUMIFS(TF_Timer,TF_Nokkel,$A19&amp;"|"&amp;J$5,TF_Akt,"LMS")+IF(J$8="",0,MAX(0,ROUND((J$11-SUMIFS(TF_Timer,TF_Nokkel,$A19&amp;"|"&amp;J$5))*2,0)/2))&gt;INDEX(TF_AktSum,MATCH($A19&amp;"|"&amp;J$5,TF_Dom,0)),"LMS",INDEX(AktKode,MATCH(INDEX(TF_Akt,MATCH($A19&amp;"|"&amp;J$5,TF_Dom,0)),Aktiviteter,0)))&amp;IF(OR(COUNTIFS(TF_Nokkel,$A19&amp;"|"&amp;J$5,TF_Akt,"&lt;&gt;"&amp;INDEX(TF_Akt,MATCH($A19&amp;"|"&amp;J$5,TF_Dom,0)))&gt;0,AND(IF(J$8="",0,MAX(0,ROUND((J$11-SUMIFS(TF_Timer,TF_Nokkel,$A19&amp;"|"&amp;J$5))*2,0)/2))&gt;0,INDEX(TF_Akt,MATCH($A19&amp;"|"&amp;J$5,TF_Dom,0))&lt;&gt;"LMS")),"+",""),"?"))))</f>
        <v/>
      </c>
      <c r="K19" s="13">
        <f>IF(OR($A19="",K$5=""),"",IF(OR(AND(INDEX(TekFra,4)&gt;0,K$5&lt;INDEX(TekFra,4)),AND(INDEX(TekTil,4)&gt;0,K$5&gt;INDEX(TekTil,4))),"",IF(COUNTIFS(TF_Nokkel,$A19&amp;"|"&amp;K$5)=0,IF(K$8&lt;&gt;"","LMS",""),IFERROR(IF(SUMIFS(TF_Timer,TF_Nokkel,$A19&amp;"|"&amp;K$5,TF_Akt,"LMS")+IF(K$8="",0,MAX(0,ROUND((K$11-SUMIFS(TF_Timer,TF_Nokkel,$A19&amp;"|"&amp;K$5))*2,0)/2))&gt;INDEX(TF_AktSum,MATCH($A19&amp;"|"&amp;K$5,TF_Dom,0)),"LMS",INDEX(AktKode,MATCH(INDEX(TF_Akt,MATCH($A19&amp;"|"&amp;K$5,TF_Dom,0)),Aktiviteter,0)))&amp;IF(OR(COUNTIFS(TF_Nokkel,$A19&amp;"|"&amp;K$5,TF_Akt,"&lt;&gt;"&amp;INDEX(TF_Akt,MATCH($A19&amp;"|"&amp;K$5,TF_Dom,0)))&gt;0,AND(IF(K$8="",0,MAX(0,ROUND((K$11-SUMIFS(TF_Timer,TF_Nokkel,$A19&amp;"|"&amp;K$5))*2,0)/2))&gt;0,INDEX(TF_Akt,MATCH($A19&amp;"|"&amp;K$5,TF_Dom,0))&lt;&gt;"LMS")),"+",""),"?"))))</f>
        <v/>
      </c>
      <c r="L19" s="13">
        <f>IF(OR($A19="",L$5=""),"",IF(OR(AND(INDEX(TekFra,4)&gt;0,L$5&lt;INDEX(TekFra,4)),AND(INDEX(TekTil,4)&gt;0,L$5&gt;INDEX(TekTil,4))),"",IF(COUNTIFS(TF_Nokkel,$A19&amp;"|"&amp;L$5)=0,IF(L$8&lt;&gt;"","LMS",""),IFERROR(IF(SUMIFS(TF_Timer,TF_Nokkel,$A19&amp;"|"&amp;L$5,TF_Akt,"LMS")+IF(L$8="",0,MAX(0,ROUND((L$11-SUMIFS(TF_Timer,TF_Nokkel,$A19&amp;"|"&amp;L$5))*2,0)/2))&gt;INDEX(TF_AktSum,MATCH($A19&amp;"|"&amp;L$5,TF_Dom,0)),"LMS",INDEX(AktKode,MATCH(INDEX(TF_Akt,MATCH($A19&amp;"|"&amp;L$5,TF_Dom,0)),Aktiviteter,0)))&amp;IF(OR(COUNTIFS(TF_Nokkel,$A19&amp;"|"&amp;L$5,TF_Akt,"&lt;&gt;"&amp;INDEX(TF_Akt,MATCH($A19&amp;"|"&amp;L$5,TF_Dom,0)))&gt;0,AND(IF(L$8="",0,MAX(0,ROUND((L$11-SUMIFS(TF_Timer,TF_Nokkel,$A19&amp;"|"&amp;L$5))*2,0)/2))&gt;0,INDEX(TF_Akt,MATCH($A19&amp;"|"&amp;L$5,TF_Dom,0))&lt;&gt;"LMS")),"+",""),"?"))))</f>
        <v/>
      </c>
      <c r="M19" s="13">
        <f>IF(OR($A19="",M$5=""),"",IF(OR(AND(INDEX(TekFra,4)&gt;0,M$5&lt;INDEX(TekFra,4)),AND(INDEX(TekTil,4)&gt;0,M$5&gt;INDEX(TekTil,4))),"",IF(COUNTIFS(TF_Nokkel,$A19&amp;"|"&amp;M$5)=0,IF(M$8&lt;&gt;"","LMS",""),IFERROR(IF(SUMIFS(TF_Timer,TF_Nokkel,$A19&amp;"|"&amp;M$5,TF_Akt,"LMS")+IF(M$8="",0,MAX(0,ROUND((M$11-SUMIFS(TF_Timer,TF_Nokkel,$A19&amp;"|"&amp;M$5))*2,0)/2))&gt;INDEX(TF_AktSum,MATCH($A19&amp;"|"&amp;M$5,TF_Dom,0)),"LMS",INDEX(AktKode,MATCH(INDEX(TF_Akt,MATCH($A19&amp;"|"&amp;M$5,TF_Dom,0)),Aktiviteter,0)))&amp;IF(OR(COUNTIFS(TF_Nokkel,$A19&amp;"|"&amp;M$5,TF_Akt,"&lt;&gt;"&amp;INDEX(TF_Akt,MATCH($A19&amp;"|"&amp;M$5,TF_Dom,0)))&gt;0,AND(IF(M$8="",0,MAX(0,ROUND((M$11-SUMIFS(TF_Timer,TF_Nokkel,$A19&amp;"|"&amp;M$5))*2,0)/2))&gt;0,INDEX(TF_Akt,MATCH($A19&amp;"|"&amp;M$5,TF_Dom,0))&lt;&gt;"LMS")),"+",""),"?"))))</f>
        <v/>
      </c>
      <c r="N19" s="13">
        <f>IF(OR($A19="",N$5=""),"",IF(OR(AND(INDEX(TekFra,4)&gt;0,N$5&lt;INDEX(TekFra,4)),AND(INDEX(TekTil,4)&gt;0,N$5&gt;INDEX(TekTil,4))),"",IF(COUNTIFS(TF_Nokkel,$A19&amp;"|"&amp;N$5)=0,IF(N$8&lt;&gt;"","LMS",""),IFERROR(IF(SUMIFS(TF_Timer,TF_Nokkel,$A19&amp;"|"&amp;N$5,TF_Akt,"LMS")+IF(N$8="",0,MAX(0,ROUND((N$11-SUMIFS(TF_Timer,TF_Nokkel,$A19&amp;"|"&amp;N$5))*2,0)/2))&gt;INDEX(TF_AktSum,MATCH($A19&amp;"|"&amp;N$5,TF_Dom,0)),"LMS",INDEX(AktKode,MATCH(INDEX(TF_Akt,MATCH($A19&amp;"|"&amp;N$5,TF_Dom,0)),Aktiviteter,0)))&amp;IF(OR(COUNTIFS(TF_Nokkel,$A19&amp;"|"&amp;N$5,TF_Akt,"&lt;&gt;"&amp;INDEX(TF_Akt,MATCH($A19&amp;"|"&amp;N$5,TF_Dom,0)))&gt;0,AND(IF(N$8="",0,MAX(0,ROUND((N$11-SUMIFS(TF_Timer,TF_Nokkel,$A19&amp;"|"&amp;N$5))*2,0)/2))&gt;0,INDEX(TF_Akt,MATCH($A19&amp;"|"&amp;N$5,TF_Dom,0))&lt;&gt;"LMS")),"+",""),"?"))))</f>
        <v/>
      </c>
      <c r="O19" s="13">
        <f>IF(OR($A19="",O$5=""),"",IF(OR(AND(INDEX(TekFra,4)&gt;0,O$5&lt;INDEX(TekFra,4)),AND(INDEX(TekTil,4)&gt;0,O$5&gt;INDEX(TekTil,4))),"",IF(COUNTIFS(TF_Nokkel,$A19&amp;"|"&amp;O$5)=0,IF(O$8&lt;&gt;"","LMS",""),IFERROR(IF(SUMIFS(TF_Timer,TF_Nokkel,$A19&amp;"|"&amp;O$5,TF_Akt,"LMS")+IF(O$8="",0,MAX(0,ROUND((O$11-SUMIFS(TF_Timer,TF_Nokkel,$A19&amp;"|"&amp;O$5))*2,0)/2))&gt;INDEX(TF_AktSum,MATCH($A19&amp;"|"&amp;O$5,TF_Dom,0)),"LMS",INDEX(AktKode,MATCH(INDEX(TF_Akt,MATCH($A19&amp;"|"&amp;O$5,TF_Dom,0)),Aktiviteter,0)))&amp;IF(OR(COUNTIFS(TF_Nokkel,$A19&amp;"|"&amp;O$5,TF_Akt,"&lt;&gt;"&amp;INDEX(TF_Akt,MATCH($A19&amp;"|"&amp;O$5,TF_Dom,0)))&gt;0,AND(IF(O$8="",0,MAX(0,ROUND((O$11-SUMIFS(TF_Timer,TF_Nokkel,$A19&amp;"|"&amp;O$5))*2,0)/2))&gt;0,INDEX(TF_Akt,MATCH($A19&amp;"|"&amp;O$5,TF_Dom,0))&lt;&gt;"LMS")),"+",""),"?"))))</f>
        <v/>
      </c>
      <c r="P19" s="13">
        <f>IF(OR($A19="",P$5=""),"",IF(OR(AND(INDEX(TekFra,4)&gt;0,P$5&lt;INDEX(TekFra,4)),AND(INDEX(TekTil,4)&gt;0,P$5&gt;INDEX(TekTil,4))),"",IF(COUNTIFS(TF_Nokkel,$A19&amp;"|"&amp;P$5)=0,IF(P$8&lt;&gt;"","LMS",""),IFERROR(IF(SUMIFS(TF_Timer,TF_Nokkel,$A19&amp;"|"&amp;P$5,TF_Akt,"LMS")+IF(P$8="",0,MAX(0,ROUND((P$11-SUMIFS(TF_Timer,TF_Nokkel,$A19&amp;"|"&amp;P$5))*2,0)/2))&gt;INDEX(TF_AktSum,MATCH($A19&amp;"|"&amp;P$5,TF_Dom,0)),"LMS",INDEX(AktKode,MATCH(INDEX(TF_Akt,MATCH($A19&amp;"|"&amp;P$5,TF_Dom,0)),Aktiviteter,0)))&amp;IF(OR(COUNTIFS(TF_Nokkel,$A19&amp;"|"&amp;P$5,TF_Akt,"&lt;&gt;"&amp;INDEX(TF_Akt,MATCH($A19&amp;"|"&amp;P$5,TF_Dom,0)))&gt;0,AND(IF(P$8="",0,MAX(0,ROUND((P$11-SUMIFS(TF_Timer,TF_Nokkel,$A19&amp;"|"&amp;P$5))*2,0)/2))&gt;0,INDEX(TF_Akt,MATCH($A19&amp;"|"&amp;P$5,TF_Dom,0))&lt;&gt;"LMS")),"+",""),"?"))))</f>
        <v/>
      </c>
      <c r="Q19" s="13">
        <f>IF(OR($A19="",Q$5=""),"",IF(OR(AND(INDEX(TekFra,4)&gt;0,Q$5&lt;INDEX(TekFra,4)),AND(INDEX(TekTil,4)&gt;0,Q$5&gt;INDEX(TekTil,4))),"",IF(COUNTIFS(TF_Nokkel,$A19&amp;"|"&amp;Q$5)=0,IF(Q$8&lt;&gt;"","LMS",""),IFERROR(IF(SUMIFS(TF_Timer,TF_Nokkel,$A19&amp;"|"&amp;Q$5,TF_Akt,"LMS")+IF(Q$8="",0,MAX(0,ROUND((Q$11-SUMIFS(TF_Timer,TF_Nokkel,$A19&amp;"|"&amp;Q$5))*2,0)/2))&gt;INDEX(TF_AktSum,MATCH($A19&amp;"|"&amp;Q$5,TF_Dom,0)),"LMS",INDEX(AktKode,MATCH(INDEX(TF_Akt,MATCH($A19&amp;"|"&amp;Q$5,TF_Dom,0)),Aktiviteter,0)))&amp;IF(OR(COUNTIFS(TF_Nokkel,$A19&amp;"|"&amp;Q$5,TF_Akt,"&lt;&gt;"&amp;INDEX(TF_Akt,MATCH($A19&amp;"|"&amp;Q$5,TF_Dom,0)))&gt;0,AND(IF(Q$8="",0,MAX(0,ROUND((Q$11-SUMIFS(TF_Timer,TF_Nokkel,$A19&amp;"|"&amp;Q$5))*2,0)/2))&gt;0,INDEX(TF_Akt,MATCH($A19&amp;"|"&amp;Q$5,TF_Dom,0))&lt;&gt;"LMS")),"+",""),"?"))))</f>
        <v/>
      </c>
      <c r="R19" s="13">
        <f>IF(OR($A19="",R$5=""),"",IF(OR(AND(INDEX(TekFra,4)&gt;0,R$5&lt;INDEX(TekFra,4)),AND(INDEX(TekTil,4)&gt;0,R$5&gt;INDEX(TekTil,4))),"",IF(COUNTIFS(TF_Nokkel,$A19&amp;"|"&amp;R$5)=0,IF(R$8&lt;&gt;"","LMS",""),IFERROR(IF(SUMIFS(TF_Timer,TF_Nokkel,$A19&amp;"|"&amp;R$5,TF_Akt,"LMS")+IF(R$8="",0,MAX(0,ROUND((R$11-SUMIFS(TF_Timer,TF_Nokkel,$A19&amp;"|"&amp;R$5))*2,0)/2))&gt;INDEX(TF_AktSum,MATCH($A19&amp;"|"&amp;R$5,TF_Dom,0)),"LMS",INDEX(AktKode,MATCH(INDEX(TF_Akt,MATCH($A19&amp;"|"&amp;R$5,TF_Dom,0)),Aktiviteter,0)))&amp;IF(OR(COUNTIFS(TF_Nokkel,$A19&amp;"|"&amp;R$5,TF_Akt,"&lt;&gt;"&amp;INDEX(TF_Akt,MATCH($A19&amp;"|"&amp;R$5,TF_Dom,0)))&gt;0,AND(IF(R$8="",0,MAX(0,ROUND((R$11-SUMIFS(TF_Timer,TF_Nokkel,$A19&amp;"|"&amp;R$5))*2,0)/2))&gt;0,INDEX(TF_Akt,MATCH($A19&amp;"|"&amp;R$5,TF_Dom,0))&lt;&gt;"LMS")),"+",""),"?"))))</f>
        <v/>
      </c>
      <c r="S19" s="13">
        <f>IF(OR($A19="",S$5=""),"",IF(OR(AND(INDEX(TekFra,4)&gt;0,S$5&lt;INDEX(TekFra,4)),AND(INDEX(TekTil,4)&gt;0,S$5&gt;INDEX(TekTil,4))),"",IF(COUNTIFS(TF_Nokkel,$A19&amp;"|"&amp;S$5)=0,IF(S$8&lt;&gt;"","LMS",""),IFERROR(IF(SUMIFS(TF_Timer,TF_Nokkel,$A19&amp;"|"&amp;S$5,TF_Akt,"LMS")+IF(S$8="",0,MAX(0,ROUND((S$11-SUMIFS(TF_Timer,TF_Nokkel,$A19&amp;"|"&amp;S$5))*2,0)/2))&gt;INDEX(TF_AktSum,MATCH($A19&amp;"|"&amp;S$5,TF_Dom,0)),"LMS",INDEX(AktKode,MATCH(INDEX(TF_Akt,MATCH($A19&amp;"|"&amp;S$5,TF_Dom,0)),Aktiviteter,0)))&amp;IF(OR(COUNTIFS(TF_Nokkel,$A19&amp;"|"&amp;S$5,TF_Akt,"&lt;&gt;"&amp;INDEX(TF_Akt,MATCH($A19&amp;"|"&amp;S$5,TF_Dom,0)))&gt;0,AND(IF(S$8="",0,MAX(0,ROUND((S$11-SUMIFS(TF_Timer,TF_Nokkel,$A19&amp;"|"&amp;S$5))*2,0)/2))&gt;0,INDEX(TF_Akt,MATCH($A19&amp;"|"&amp;S$5,TF_Dom,0))&lt;&gt;"LMS")),"+",""),"?"))))</f>
        <v/>
      </c>
      <c r="T19" s="13">
        <f>IF(OR($A19="",T$5=""),"",IF(OR(AND(INDEX(TekFra,4)&gt;0,T$5&lt;INDEX(TekFra,4)),AND(INDEX(TekTil,4)&gt;0,T$5&gt;INDEX(TekTil,4))),"",IF(COUNTIFS(TF_Nokkel,$A19&amp;"|"&amp;T$5)=0,IF(T$8&lt;&gt;"","LMS",""),IFERROR(IF(SUMIFS(TF_Timer,TF_Nokkel,$A19&amp;"|"&amp;T$5,TF_Akt,"LMS")+IF(T$8="",0,MAX(0,ROUND((T$11-SUMIFS(TF_Timer,TF_Nokkel,$A19&amp;"|"&amp;T$5))*2,0)/2))&gt;INDEX(TF_AktSum,MATCH($A19&amp;"|"&amp;T$5,TF_Dom,0)),"LMS",INDEX(AktKode,MATCH(INDEX(TF_Akt,MATCH($A19&amp;"|"&amp;T$5,TF_Dom,0)),Aktiviteter,0)))&amp;IF(OR(COUNTIFS(TF_Nokkel,$A19&amp;"|"&amp;T$5,TF_Akt,"&lt;&gt;"&amp;INDEX(TF_Akt,MATCH($A19&amp;"|"&amp;T$5,TF_Dom,0)))&gt;0,AND(IF(T$8="",0,MAX(0,ROUND((T$11-SUMIFS(TF_Timer,TF_Nokkel,$A19&amp;"|"&amp;T$5))*2,0)/2))&gt;0,INDEX(TF_Akt,MATCH($A19&amp;"|"&amp;T$5,TF_Dom,0))&lt;&gt;"LMS")),"+",""),"?"))))</f>
        <v/>
      </c>
      <c r="U19" s="13">
        <f>IF(OR($A19="",U$5=""),"",IF(OR(AND(INDEX(TekFra,4)&gt;0,U$5&lt;INDEX(TekFra,4)),AND(INDEX(TekTil,4)&gt;0,U$5&gt;INDEX(TekTil,4))),"",IF(COUNTIFS(TF_Nokkel,$A19&amp;"|"&amp;U$5)=0,IF(U$8&lt;&gt;"","LMS",""),IFERROR(IF(SUMIFS(TF_Timer,TF_Nokkel,$A19&amp;"|"&amp;U$5,TF_Akt,"LMS")+IF(U$8="",0,MAX(0,ROUND((U$11-SUMIFS(TF_Timer,TF_Nokkel,$A19&amp;"|"&amp;U$5))*2,0)/2))&gt;INDEX(TF_AktSum,MATCH($A19&amp;"|"&amp;U$5,TF_Dom,0)),"LMS",INDEX(AktKode,MATCH(INDEX(TF_Akt,MATCH($A19&amp;"|"&amp;U$5,TF_Dom,0)),Aktiviteter,0)))&amp;IF(OR(COUNTIFS(TF_Nokkel,$A19&amp;"|"&amp;U$5,TF_Akt,"&lt;&gt;"&amp;INDEX(TF_Akt,MATCH($A19&amp;"|"&amp;U$5,TF_Dom,0)))&gt;0,AND(IF(U$8="",0,MAX(0,ROUND((U$11-SUMIFS(TF_Timer,TF_Nokkel,$A19&amp;"|"&amp;U$5))*2,0)/2))&gt;0,INDEX(TF_Akt,MATCH($A19&amp;"|"&amp;U$5,TF_Dom,0))&lt;&gt;"LMS")),"+",""),"?"))))</f>
        <v/>
      </c>
      <c r="V19" s="13">
        <f>IF(OR($A19="",V$5=""),"",IF(OR(AND(INDEX(TekFra,4)&gt;0,V$5&lt;INDEX(TekFra,4)),AND(INDEX(TekTil,4)&gt;0,V$5&gt;INDEX(TekTil,4))),"",IF(COUNTIFS(TF_Nokkel,$A19&amp;"|"&amp;V$5)=0,IF(V$8&lt;&gt;"","LMS",""),IFERROR(IF(SUMIFS(TF_Timer,TF_Nokkel,$A19&amp;"|"&amp;V$5,TF_Akt,"LMS")+IF(V$8="",0,MAX(0,ROUND((V$11-SUMIFS(TF_Timer,TF_Nokkel,$A19&amp;"|"&amp;V$5))*2,0)/2))&gt;INDEX(TF_AktSum,MATCH($A19&amp;"|"&amp;V$5,TF_Dom,0)),"LMS",INDEX(AktKode,MATCH(INDEX(TF_Akt,MATCH($A19&amp;"|"&amp;V$5,TF_Dom,0)),Aktiviteter,0)))&amp;IF(OR(COUNTIFS(TF_Nokkel,$A19&amp;"|"&amp;V$5,TF_Akt,"&lt;&gt;"&amp;INDEX(TF_Akt,MATCH($A19&amp;"|"&amp;V$5,TF_Dom,0)))&gt;0,AND(IF(V$8="",0,MAX(0,ROUND((V$11-SUMIFS(TF_Timer,TF_Nokkel,$A19&amp;"|"&amp;V$5))*2,0)/2))&gt;0,INDEX(TF_Akt,MATCH($A19&amp;"|"&amp;V$5,TF_Dom,0))&lt;&gt;"LMS")),"+",""),"?"))))</f>
        <v/>
      </c>
      <c r="W19" s="13">
        <f>IF(OR($A19="",W$5=""),"",IF(OR(AND(INDEX(TekFra,4)&gt;0,W$5&lt;INDEX(TekFra,4)),AND(INDEX(TekTil,4)&gt;0,W$5&gt;INDEX(TekTil,4))),"",IF(COUNTIFS(TF_Nokkel,$A19&amp;"|"&amp;W$5)=0,IF(W$8&lt;&gt;"","LMS",""),IFERROR(IF(SUMIFS(TF_Timer,TF_Nokkel,$A19&amp;"|"&amp;W$5,TF_Akt,"LMS")+IF(W$8="",0,MAX(0,ROUND((W$11-SUMIFS(TF_Timer,TF_Nokkel,$A19&amp;"|"&amp;W$5))*2,0)/2))&gt;INDEX(TF_AktSum,MATCH($A19&amp;"|"&amp;W$5,TF_Dom,0)),"LMS",INDEX(AktKode,MATCH(INDEX(TF_Akt,MATCH($A19&amp;"|"&amp;W$5,TF_Dom,0)),Aktiviteter,0)))&amp;IF(OR(COUNTIFS(TF_Nokkel,$A19&amp;"|"&amp;W$5,TF_Akt,"&lt;&gt;"&amp;INDEX(TF_Akt,MATCH($A19&amp;"|"&amp;W$5,TF_Dom,0)))&gt;0,AND(IF(W$8="",0,MAX(0,ROUND((W$11-SUMIFS(TF_Timer,TF_Nokkel,$A19&amp;"|"&amp;W$5))*2,0)/2))&gt;0,INDEX(TF_Akt,MATCH($A19&amp;"|"&amp;W$5,TF_Dom,0))&lt;&gt;"LMS")),"+",""),"?"))))</f>
        <v/>
      </c>
      <c r="X19" s="13">
        <f>IF(OR($A19="",X$5=""),"",IF(OR(AND(INDEX(TekFra,4)&gt;0,X$5&lt;INDEX(TekFra,4)),AND(INDEX(TekTil,4)&gt;0,X$5&gt;INDEX(TekTil,4))),"",IF(COUNTIFS(TF_Nokkel,$A19&amp;"|"&amp;X$5)=0,IF(X$8&lt;&gt;"","LMS",""),IFERROR(IF(SUMIFS(TF_Timer,TF_Nokkel,$A19&amp;"|"&amp;X$5,TF_Akt,"LMS")+IF(X$8="",0,MAX(0,ROUND((X$11-SUMIFS(TF_Timer,TF_Nokkel,$A19&amp;"|"&amp;X$5))*2,0)/2))&gt;INDEX(TF_AktSum,MATCH($A19&amp;"|"&amp;X$5,TF_Dom,0)),"LMS",INDEX(AktKode,MATCH(INDEX(TF_Akt,MATCH($A19&amp;"|"&amp;X$5,TF_Dom,0)),Aktiviteter,0)))&amp;IF(OR(COUNTIFS(TF_Nokkel,$A19&amp;"|"&amp;X$5,TF_Akt,"&lt;&gt;"&amp;INDEX(TF_Akt,MATCH($A19&amp;"|"&amp;X$5,TF_Dom,0)))&gt;0,AND(IF(X$8="",0,MAX(0,ROUND((X$11-SUMIFS(TF_Timer,TF_Nokkel,$A19&amp;"|"&amp;X$5))*2,0)/2))&gt;0,INDEX(TF_Akt,MATCH($A19&amp;"|"&amp;X$5,TF_Dom,0))&lt;&gt;"LMS")),"+",""),"?"))))</f>
        <v/>
      </c>
      <c r="Y19" s="13">
        <f>IF(OR($A19="",Y$5=""),"",IF(OR(AND(INDEX(TekFra,4)&gt;0,Y$5&lt;INDEX(TekFra,4)),AND(INDEX(TekTil,4)&gt;0,Y$5&gt;INDEX(TekTil,4))),"",IF(COUNTIFS(TF_Nokkel,$A19&amp;"|"&amp;Y$5)=0,IF(Y$8&lt;&gt;"","LMS",""),IFERROR(IF(SUMIFS(TF_Timer,TF_Nokkel,$A19&amp;"|"&amp;Y$5,TF_Akt,"LMS")+IF(Y$8="",0,MAX(0,ROUND((Y$11-SUMIFS(TF_Timer,TF_Nokkel,$A19&amp;"|"&amp;Y$5))*2,0)/2))&gt;INDEX(TF_AktSum,MATCH($A19&amp;"|"&amp;Y$5,TF_Dom,0)),"LMS",INDEX(AktKode,MATCH(INDEX(TF_Akt,MATCH($A19&amp;"|"&amp;Y$5,TF_Dom,0)),Aktiviteter,0)))&amp;IF(OR(COUNTIFS(TF_Nokkel,$A19&amp;"|"&amp;Y$5,TF_Akt,"&lt;&gt;"&amp;INDEX(TF_Akt,MATCH($A19&amp;"|"&amp;Y$5,TF_Dom,0)))&gt;0,AND(IF(Y$8="",0,MAX(0,ROUND((Y$11-SUMIFS(TF_Timer,TF_Nokkel,$A19&amp;"|"&amp;Y$5))*2,0)/2))&gt;0,INDEX(TF_Akt,MATCH($A19&amp;"|"&amp;Y$5,TF_Dom,0))&lt;&gt;"LMS")),"+",""),"?"))))</f>
        <v/>
      </c>
      <c r="Z19" s="13">
        <f>IF(OR($A19="",Z$5=""),"",IF(OR(AND(INDEX(TekFra,4)&gt;0,Z$5&lt;INDEX(TekFra,4)),AND(INDEX(TekTil,4)&gt;0,Z$5&gt;INDEX(TekTil,4))),"",IF(COUNTIFS(TF_Nokkel,$A19&amp;"|"&amp;Z$5)=0,IF(Z$8&lt;&gt;"","LMS",""),IFERROR(IF(SUMIFS(TF_Timer,TF_Nokkel,$A19&amp;"|"&amp;Z$5,TF_Akt,"LMS")+IF(Z$8="",0,MAX(0,ROUND((Z$11-SUMIFS(TF_Timer,TF_Nokkel,$A19&amp;"|"&amp;Z$5))*2,0)/2))&gt;INDEX(TF_AktSum,MATCH($A19&amp;"|"&amp;Z$5,TF_Dom,0)),"LMS",INDEX(AktKode,MATCH(INDEX(TF_Akt,MATCH($A19&amp;"|"&amp;Z$5,TF_Dom,0)),Aktiviteter,0)))&amp;IF(OR(COUNTIFS(TF_Nokkel,$A19&amp;"|"&amp;Z$5,TF_Akt,"&lt;&gt;"&amp;INDEX(TF_Akt,MATCH($A19&amp;"|"&amp;Z$5,TF_Dom,0)))&gt;0,AND(IF(Z$8="",0,MAX(0,ROUND((Z$11-SUMIFS(TF_Timer,TF_Nokkel,$A19&amp;"|"&amp;Z$5))*2,0)/2))&gt;0,INDEX(TF_Akt,MATCH($A19&amp;"|"&amp;Z$5,TF_Dom,0))&lt;&gt;"LMS")),"+",""),"?"))))</f>
        <v/>
      </c>
      <c r="AA19" s="13">
        <f>IF(OR($A19="",AA$5=""),"",IF(OR(AND(INDEX(TekFra,4)&gt;0,AA$5&lt;INDEX(TekFra,4)),AND(INDEX(TekTil,4)&gt;0,AA$5&gt;INDEX(TekTil,4))),"",IF(COUNTIFS(TF_Nokkel,$A19&amp;"|"&amp;AA$5)=0,IF(AA$8&lt;&gt;"","LMS",""),IFERROR(IF(SUMIFS(TF_Timer,TF_Nokkel,$A19&amp;"|"&amp;AA$5,TF_Akt,"LMS")+IF(AA$8="",0,MAX(0,ROUND((AA$11-SUMIFS(TF_Timer,TF_Nokkel,$A19&amp;"|"&amp;AA$5))*2,0)/2))&gt;INDEX(TF_AktSum,MATCH($A19&amp;"|"&amp;AA$5,TF_Dom,0)),"LMS",INDEX(AktKode,MATCH(INDEX(TF_Akt,MATCH($A19&amp;"|"&amp;AA$5,TF_Dom,0)),Aktiviteter,0)))&amp;IF(OR(COUNTIFS(TF_Nokkel,$A19&amp;"|"&amp;AA$5,TF_Akt,"&lt;&gt;"&amp;INDEX(TF_Akt,MATCH($A19&amp;"|"&amp;AA$5,TF_Dom,0)))&gt;0,AND(IF(AA$8="",0,MAX(0,ROUND((AA$11-SUMIFS(TF_Timer,TF_Nokkel,$A19&amp;"|"&amp;AA$5))*2,0)/2))&gt;0,INDEX(TF_Akt,MATCH($A19&amp;"|"&amp;AA$5,TF_Dom,0))&lt;&gt;"LMS")),"+",""),"?"))))</f>
        <v/>
      </c>
      <c r="AB19" s="13">
        <f>IF(OR($A19="",AB$5=""),"",IF(OR(AND(INDEX(TekFra,4)&gt;0,AB$5&lt;INDEX(TekFra,4)),AND(INDEX(TekTil,4)&gt;0,AB$5&gt;INDEX(TekTil,4))),"",IF(COUNTIFS(TF_Nokkel,$A19&amp;"|"&amp;AB$5)=0,IF(AB$8&lt;&gt;"","LMS",""),IFERROR(IF(SUMIFS(TF_Timer,TF_Nokkel,$A19&amp;"|"&amp;AB$5,TF_Akt,"LMS")+IF(AB$8="",0,MAX(0,ROUND((AB$11-SUMIFS(TF_Timer,TF_Nokkel,$A19&amp;"|"&amp;AB$5))*2,0)/2))&gt;INDEX(TF_AktSum,MATCH($A19&amp;"|"&amp;AB$5,TF_Dom,0)),"LMS",INDEX(AktKode,MATCH(INDEX(TF_Akt,MATCH($A19&amp;"|"&amp;AB$5,TF_Dom,0)),Aktiviteter,0)))&amp;IF(OR(COUNTIFS(TF_Nokkel,$A19&amp;"|"&amp;AB$5,TF_Akt,"&lt;&gt;"&amp;INDEX(TF_Akt,MATCH($A19&amp;"|"&amp;AB$5,TF_Dom,0)))&gt;0,AND(IF(AB$8="",0,MAX(0,ROUND((AB$11-SUMIFS(TF_Timer,TF_Nokkel,$A19&amp;"|"&amp;AB$5))*2,0)/2))&gt;0,INDEX(TF_Akt,MATCH($A19&amp;"|"&amp;AB$5,TF_Dom,0))&lt;&gt;"LMS")),"+",""),"?"))))</f>
        <v/>
      </c>
      <c r="AC19" s="13">
        <f>IF(OR($A19="",AC$5=""),"",IF(OR(AND(INDEX(TekFra,4)&gt;0,AC$5&lt;INDEX(TekFra,4)),AND(INDEX(TekTil,4)&gt;0,AC$5&gt;INDEX(TekTil,4))),"",IF(COUNTIFS(TF_Nokkel,$A19&amp;"|"&amp;AC$5)=0,IF(AC$8&lt;&gt;"","LMS",""),IFERROR(IF(SUMIFS(TF_Timer,TF_Nokkel,$A19&amp;"|"&amp;AC$5,TF_Akt,"LMS")+IF(AC$8="",0,MAX(0,ROUND((AC$11-SUMIFS(TF_Timer,TF_Nokkel,$A19&amp;"|"&amp;AC$5))*2,0)/2))&gt;INDEX(TF_AktSum,MATCH($A19&amp;"|"&amp;AC$5,TF_Dom,0)),"LMS",INDEX(AktKode,MATCH(INDEX(TF_Akt,MATCH($A19&amp;"|"&amp;AC$5,TF_Dom,0)),Aktiviteter,0)))&amp;IF(OR(COUNTIFS(TF_Nokkel,$A19&amp;"|"&amp;AC$5,TF_Akt,"&lt;&gt;"&amp;INDEX(TF_Akt,MATCH($A19&amp;"|"&amp;AC$5,TF_Dom,0)))&gt;0,AND(IF(AC$8="",0,MAX(0,ROUND((AC$11-SUMIFS(TF_Timer,TF_Nokkel,$A19&amp;"|"&amp;AC$5))*2,0)/2))&gt;0,INDEX(TF_Akt,MATCH($A19&amp;"|"&amp;AC$5,TF_Dom,0))&lt;&gt;"LMS")),"+",""),"?"))))</f>
        <v/>
      </c>
      <c r="AD19" s="13">
        <f>IF(OR($A19="",AD$5=""),"",IF(OR(AND(INDEX(TekFra,4)&gt;0,AD$5&lt;INDEX(TekFra,4)),AND(INDEX(TekTil,4)&gt;0,AD$5&gt;INDEX(TekTil,4))),"",IF(COUNTIFS(TF_Nokkel,$A19&amp;"|"&amp;AD$5)=0,IF(AD$8&lt;&gt;"","LMS",""),IFERROR(IF(SUMIFS(TF_Timer,TF_Nokkel,$A19&amp;"|"&amp;AD$5,TF_Akt,"LMS")+IF(AD$8="",0,MAX(0,ROUND((AD$11-SUMIFS(TF_Timer,TF_Nokkel,$A19&amp;"|"&amp;AD$5))*2,0)/2))&gt;INDEX(TF_AktSum,MATCH($A19&amp;"|"&amp;AD$5,TF_Dom,0)),"LMS",INDEX(AktKode,MATCH(INDEX(TF_Akt,MATCH($A19&amp;"|"&amp;AD$5,TF_Dom,0)),Aktiviteter,0)))&amp;IF(OR(COUNTIFS(TF_Nokkel,$A19&amp;"|"&amp;AD$5,TF_Akt,"&lt;&gt;"&amp;INDEX(TF_Akt,MATCH($A19&amp;"|"&amp;AD$5,TF_Dom,0)))&gt;0,AND(IF(AD$8="",0,MAX(0,ROUND((AD$11-SUMIFS(TF_Timer,TF_Nokkel,$A19&amp;"|"&amp;AD$5))*2,0)/2))&gt;0,INDEX(TF_Akt,MATCH($A19&amp;"|"&amp;AD$5,TF_Dom,0))&lt;&gt;"LMS")),"+",""),"?"))))</f>
        <v/>
      </c>
      <c r="AE19" s="13">
        <f>IF(OR($A19="",AE$5=""),"",IF(OR(AND(INDEX(TekFra,4)&gt;0,AE$5&lt;INDEX(TekFra,4)),AND(INDEX(TekTil,4)&gt;0,AE$5&gt;INDEX(TekTil,4))),"",IF(COUNTIFS(TF_Nokkel,$A19&amp;"|"&amp;AE$5)=0,IF(AE$8&lt;&gt;"","LMS",""),IFERROR(IF(SUMIFS(TF_Timer,TF_Nokkel,$A19&amp;"|"&amp;AE$5,TF_Akt,"LMS")+IF(AE$8="",0,MAX(0,ROUND((AE$11-SUMIFS(TF_Timer,TF_Nokkel,$A19&amp;"|"&amp;AE$5))*2,0)/2))&gt;INDEX(TF_AktSum,MATCH($A19&amp;"|"&amp;AE$5,TF_Dom,0)),"LMS",INDEX(AktKode,MATCH(INDEX(TF_Akt,MATCH($A19&amp;"|"&amp;AE$5,TF_Dom,0)),Aktiviteter,0)))&amp;IF(OR(COUNTIFS(TF_Nokkel,$A19&amp;"|"&amp;AE$5,TF_Akt,"&lt;&gt;"&amp;INDEX(TF_Akt,MATCH($A19&amp;"|"&amp;AE$5,TF_Dom,0)))&gt;0,AND(IF(AE$8="",0,MAX(0,ROUND((AE$11-SUMIFS(TF_Timer,TF_Nokkel,$A19&amp;"|"&amp;AE$5))*2,0)/2))&gt;0,INDEX(TF_Akt,MATCH($A19&amp;"|"&amp;AE$5,TF_Dom,0))&lt;&gt;"LMS")),"+",""),"?"))))</f>
        <v/>
      </c>
      <c r="AF19" s="13">
        <f>IF(OR($A19="",AF$5=""),"",IF(OR(AND(INDEX(TekFra,4)&gt;0,AF$5&lt;INDEX(TekFra,4)),AND(INDEX(TekTil,4)&gt;0,AF$5&gt;INDEX(TekTil,4))),"",IF(COUNTIFS(TF_Nokkel,$A19&amp;"|"&amp;AF$5)=0,IF(AF$8&lt;&gt;"","LMS",""),IFERROR(IF(SUMIFS(TF_Timer,TF_Nokkel,$A19&amp;"|"&amp;AF$5,TF_Akt,"LMS")+IF(AF$8="",0,MAX(0,ROUND((AF$11-SUMIFS(TF_Timer,TF_Nokkel,$A19&amp;"|"&amp;AF$5))*2,0)/2))&gt;INDEX(TF_AktSum,MATCH($A19&amp;"|"&amp;AF$5,TF_Dom,0)),"LMS",INDEX(AktKode,MATCH(INDEX(TF_Akt,MATCH($A19&amp;"|"&amp;AF$5,TF_Dom,0)),Aktiviteter,0)))&amp;IF(OR(COUNTIFS(TF_Nokkel,$A19&amp;"|"&amp;AF$5,TF_Akt,"&lt;&gt;"&amp;INDEX(TF_Akt,MATCH($A19&amp;"|"&amp;AF$5,TF_Dom,0)))&gt;0,AND(IF(AF$8="",0,MAX(0,ROUND((AF$11-SUMIFS(TF_Timer,TF_Nokkel,$A19&amp;"|"&amp;AF$5))*2,0)/2))&gt;0,INDEX(TF_Akt,MATCH($A19&amp;"|"&amp;AF$5,TF_Dom,0))&lt;&gt;"LMS")),"+",""),"?"))))</f>
        <v/>
      </c>
      <c r="AG19" s="13">
        <f>IF(OR($A19="",AG$5=""),"",IF(OR(AND(INDEX(TekFra,4)&gt;0,AG$5&lt;INDEX(TekFra,4)),AND(INDEX(TekTil,4)&gt;0,AG$5&gt;INDEX(TekTil,4))),"",IF(COUNTIFS(TF_Nokkel,$A19&amp;"|"&amp;AG$5)=0,IF(AG$8&lt;&gt;"","LMS",""),IFERROR(IF(SUMIFS(TF_Timer,TF_Nokkel,$A19&amp;"|"&amp;AG$5,TF_Akt,"LMS")+IF(AG$8="",0,MAX(0,ROUND((AG$11-SUMIFS(TF_Timer,TF_Nokkel,$A19&amp;"|"&amp;AG$5))*2,0)/2))&gt;INDEX(TF_AktSum,MATCH($A19&amp;"|"&amp;AG$5,TF_Dom,0)),"LMS",INDEX(AktKode,MATCH(INDEX(TF_Akt,MATCH($A19&amp;"|"&amp;AG$5,TF_Dom,0)),Aktiviteter,0)))&amp;IF(OR(COUNTIFS(TF_Nokkel,$A19&amp;"|"&amp;AG$5,TF_Akt,"&lt;&gt;"&amp;INDEX(TF_Akt,MATCH($A19&amp;"|"&amp;AG$5,TF_Dom,0)))&gt;0,AND(IF(AG$8="",0,MAX(0,ROUND((AG$11-SUMIFS(TF_Timer,TF_Nokkel,$A19&amp;"|"&amp;AG$5))*2,0)/2))&gt;0,INDEX(TF_Akt,MATCH($A19&amp;"|"&amp;AG$5,TF_Dom,0))&lt;&gt;"LMS")),"+",""),"?"))))</f>
        <v/>
      </c>
      <c r="AH19" s="2" t="n"/>
      <c r="AI19" s="18" t="inlineStr">
        <is>
          <t>AS</t>
        </is>
      </c>
      <c r="AJ19" s="15" t="inlineStr">
        <is>
          <t>Assessment</t>
        </is>
      </c>
    </row>
    <row r="20">
      <c r="A20" s="2">
        <f>INDEX(Teknikere,5)&amp;""</f>
        <v/>
      </c>
      <c r="B20" s="12">
        <f>IF(INDEX(TekFra,5)&gt;0,"ekstra","")</f>
        <v/>
      </c>
      <c r="C20" s="13">
        <f>IF(OR($A20="",C$5=""),"",IF(OR(AND(INDEX(TekFra,5)&gt;0,C$5&lt;INDEX(TekFra,5)),AND(INDEX(TekTil,5)&gt;0,C$5&gt;INDEX(TekTil,5))),"",IF(COUNTIFS(TF_Nokkel,$A20&amp;"|"&amp;C$5)=0,IF(C$8&lt;&gt;"","LMS",""),IFERROR(IF(SUMIFS(TF_Timer,TF_Nokkel,$A20&amp;"|"&amp;C$5,TF_Akt,"LMS")+IF(C$8="",0,MAX(0,ROUND((C$11-SUMIFS(TF_Timer,TF_Nokkel,$A20&amp;"|"&amp;C$5))*2,0)/2))&gt;INDEX(TF_AktSum,MATCH($A20&amp;"|"&amp;C$5,TF_Dom,0)),"LMS",INDEX(AktKode,MATCH(INDEX(TF_Akt,MATCH($A20&amp;"|"&amp;C$5,TF_Dom,0)),Aktiviteter,0)))&amp;IF(OR(COUNTIFS(TF_Nokkel,$A20&amp;"|"&amp;C$5,TF_Akt,"&lt;&gt;"&amp;INDEX(TF_Akt,MATCH($A20&amp;"|"&amp;C$5,TF_Dom,0)))&gt;0,AND(IF(C$8="",0,MAX(0,ROUND((C$11-SUMIFS(TF_Timer,TF_Nokkel,$A20&amp;"|"&amp;C$5))*2,0)/2))&gt;0,INDEX(TF_Akt,MATCH($A20&amp;"|"&amp;C$5,TF_Dom,0))&lt;&gt;"LMS")),"+",""),"?"))))</f>
        <v/>
      </c>
      <c r="D20" s="13">
        <f>IF(OR($A20="",D$5=""),"",IF(OR(AND(INDEX(TekFra,5)&gt;0,D$5&lt;INDEX(TekFra,5)),AND(INDEX(TekTil,5)&gt;0,D$5&gt;INDEX(TekTil,5))),"",IF(COUNTIFS(TF_Nokkel,$A20&amp;"|"&amp;D$5)=0,IF(D$8&lt;&gt;"","LMS",""),IFERROR(IF(SUMIFS(TF_Timer,TF_Nokkel,$A20&amp;"|"&amp;D$5,TF_Akt,"LMS")+IF(D$8="",0,MAX(0,ROUND((D$11-SUMIFS(TF_Timer,TF_Nokkel,$A20&amp;"|"&amp;D$5))*2,0)/2))&gt;INDEX(TF_AktSum,MATCH($A20&amp;"|"&amp;D$5,TF_Dom,0)),"LMS",INDEX(AktKode,MATCH(INDEX(TF_Akt,MATCH($A20&amp;"|"&amp;D$5,TF_Dom,0)),Aktiviteter,0)))&amp;IF(OR(COUNTIFS(TF_Nokkel,$A20&amp;"|"&amp;D$5,TF_Akt,"&lt;&gt;"&amp;INDEX(TF_Akt,MATCH($A20&amp;"|"&amp;D$5,TF_Dom,0)))&gt;0,AND(IF(D$8="",0,MAX(0,ROUND((D$11-SUMIFS(TF_Timer,TF_Nokkel,$A20&amp;"|"&amp;D$5))*2,0)/2))&gt;0,INDEX(TF_Akt,MATCH($A20&amp;"|"&amp;D$5,TF_Dom,0))&lt;&gt;"LMS")),"+",""),"?"))))</f>
        <v/>
      </c>
      <c r="E20" s="13">
        <f>IF(OR($A20="",E$5=""),"",IF(OR(AND(INDEX(TekFra,5)&gt;0,E$5&lt;INDEX(TekFra,5)),AND(INDEX(TekTil,5)&gt;0,E$5&gt;INDEX(TekTil,5))),"",IF(COUNTIFS(TF_Nokkel,$A20&amp;"|"&amp;E$5)=0,IF(E$8&lt;&gt;"","LMS",""),IFERROR(IF(SUMIFS(TF_Timer,TF_Nokkel,$A20&amp;"|"&amp;E$5,TF_Akt,"LMS")+IF(E$8="",0,MAX(0,ROUND((E$11-SUMIFS(TF_Timer,TF_Nokkel,$A20&amp;"|"&amp;E$5))*2,0)/2))&gt;INDEX(TF_AktSum,MATCH($A20&amp;"|"&amp;E$5,TF_Dom,0)),"LMS",INDEX(AktKode,MATCH(INDEX(TF_Akt,MATCH($A20&amp;"|"&amp;E$5,TF_Dom,0)),Aktiviteter,0)))&amp;IF(OR(COUNTIFS(TF_Nokkel,$A20&amp;"|"&amp;E$5,TF_Akt,"&lt;&gt;"&amp;INDEX(TF_Akt,MATCH($A20&amp;"|"&amp;E$5,TF_Dom,0)))&gt;0,AND(IF(E$8="",0,MAX(0,ROUND((E$11-SUMIFS(TF_Timer,TF_Nokkel,$A20&amp;"|"&amp;E$5))*2,0)/2))&gt;0,INDEX(TF_Akt,MATCH($A20&amp;"|"&amp;E$5,TF_Dom,0))&lt;&gt;"LMS")),"+",""),"?"))))</f>
        <v/>
      </c>
      <c r="F20" s="13">
        <f>IF(OR($A20="",F$5=""),"",IF(OR(AND(INDEX(TekFra,5)&gt;0,F$5&lt;INDEX(TekFra,5)),AND(INDEX(TekTil,5)&gt;0,F$5&gt;INDEX(TekTil,5))),"",IF(COUNTIFS(TF_Nokkel,$A20&amp;"|"&amp;F$5)=0,IF(F$8&lt;&gt;"","LMS",""),IFERROR(IF(SUMIFS(TF_Timer,TF_Nokkel,$A20&amp;"|"&amp;F$5,TF_Akt,"LMS")+IF(F$8="",0,MAX(0,ROUND((F$11-SUMIFS(TF_Timer,TF_Nokkel,$A20&amp;"|"&amp;F$5))*2,0)/2))&gt;INDEX(TF_AktSum,MATCH($A20&amp;"|"&amp;F$5,TF_Dom,0)),"LMS",INDEX(AktKode,MATCH(INDEX(TF_Akt,MATCH($A20&amp;"|"&amp;F$5,TF_Dom,0)),Aktiviteter,0)))&amp;IF(OR(COUNTIFS(TF_Nokkel,$A20&amp;"|"&amp;F$5,TF_Akt,"&lt;&gt;"&amp;INDEX(TF_Akt,MATCH($A20&amp;"|"&amp;F$5,TF_Dom,0)))&gt;0,AND(IF(F$8="",0,MAX(0,ROUND((F$11-SUMIFS(TF_Timer,TF_Nokkel,$A20&amp;"|"&amp;F$5))*2,0)/2))&gt;0,INDEX(TF_Akt,MATCH($A20&amp;"|"&amp;F$5,TF_Dom,0))&lt;&gt;"LMS")),"+",""),"?"))))</f>
        <v/>
      </c>
      <c r="G20" s="13">
        <f>IF(OR($A20="",G$5=""),"",IF(OR(AND(INDEX(TekFra,5)&gt;0,G$5&lt;INDEX(TekFra,5)),AND(INDEX(TekTil,5)&gt;0,G$5&gt;INDEX(TekTil,5))),"",IF(COUNTIFS(TF_Nokkel,$A20&amp;"|"&amp;G$5)=0,IF(G$8&lt;&gt;"","LMS",""),IFERROR(IF(SUMIFS(TF_Timer,TF_Nokkel,$A20&amp;"|"&amp;G$5,TF_Akt,"LMS")+IF(G$8="",0,MAX(0,ROUND((G$11-SUMIFS(TF_Timer,TF_Nokkel,$A20&amp;"|"&amp;G$5))*2,0)/2))&gt;INDEX(TF_AktSum,MATCH($A20&amp;"|"&amp;G$5,TF_Dom,0)),"LMS",INDEX(AktKode,MATCH(INDEX(TF_Akt,MATCH($A20&amp;"|"&amp;G$5,TF_Dom,0)),Aktiviteter,0)))&amp;IF(OR(COUNTIFS(TF_Nokkel,$A20&amp;"|"&amp;G$5,TF_Akt,"&lt;&gt;"&amp;INDEX(TF_Akt,MATCH($A20&amp;"|"&amp;G$5,TF_Dom,0)))&gt;0,AND(IF(G$8="",0,MAX(0,ROUND((G$11-SUMIFS(TF_Timer,TF_Nokkel,$A20&amp;"|"&amp;G$5))*2,0)/2))&gt;0,INDEX(TF_Akt,MATCH($A20&amp;"|"&amp;G$5,TF_Dom,0))&lt;&gt;"LMS")),"+",""),"?"))))</f>
        <v/>
      </c>
      <c r="H20" s="13">
        <f>IF(OR($A20="",H$5=""),"",IF(OR(AND(INDEX(TekFra,5)&gt;0,H$5&lt;INDEX(TekFra,5)),AND(INDEX(TekTil,5)&gt;0,H$5&gt;INDEX(TekTil,5))),"",IF(COUNTIFS(TF_Nokkel,$A20&amp;"|"&amp;H$5)=0,IF(H$8&lt;&gt;"","LMS",""),IFERROR(IF(SUMIFS(TF_Timer,TF_Nokkel,$A20&amp;"|"&amp;H$5,TF_Akt,"LMS")+IF(H$8="",0,MAX(0,ROUND((H$11-SUMIFS(TF_Timer,TF_Nokkel,$A20&amp;"|"&amp;H$5))*2,0)/2))&gt;INDEX(TF_AktSum,MATCH($A20&amp;"|"&amp;H$5,TF_Dom,0)),"LMS",INDEX(AktKode,MATCH(INDEX(TF_Akt,MATCH($A20&amp;"|"&amp;H$5,TF_Dom,0)),Aktiviteter,0)))&amp;IF(OR(COUNTIFS(TF_Nokkel,$A20&amp;"|"&amp;H$5,TF_Akt,"&lt;&gt;"&amp;INDEX(TF_Akt,MATCH($A20&amp;"|"&amp;H$5,TF_Dom,0)))&gt;0,AND(IF(H$8="",0,MAX(0,ROUND((H$11-SUMIFS(TF_Timer,TF_Nokkel,$A20&amp;"|"&amp;H$5))*2,0)/2))&gt;0,INDEX(TF_Akt,MATCH($A20&amp;"|"&amp;H$5,TF_Dom,0))&lt;&gt;"LMS")),"+",""),"?"))))</f>
        <v/>
      </c>
      <c r="I20" s="13">
        <f>IF(OR($A20="",I$5=""),"",IF(OR(AND(INDEX(TekFra,5)&gt;0,I$5&lt;INDEX(TekFra,5)),AND(INDEX(TekTil,5)&gt;0,I$5&gt;INDEX(TekTil,5))),"",IF(COUNTIFS(TF_Nokkel,$A20&amp;"|"&amp;I$5)=0,IF(I$8&lt;&gt;"","LMS",""),IFERROR(IF(SUMIFS(TF_Timer,TF_Nokkel,$A20&amp;"|"&amp;I$5,TF_Akt,"LMS")+IF(I$8="",0,MAX(0,ROUND((I$11-SUMIFS(TF_Timer,TF_Nokkel,$A20&amp;"|"&amp;I$5))*2,0)/2))&gt;INDEX(TF_AktSum,MATCH($A20&amp;"|"&amp;I$5,TF_Dom,0)),"LMS",INDEX(AktKode,MATCH(INDEX(TF_Akt,MATCH($A20&amp;"|"&amp;I$5,TF_Dom,0)),Aktiviteter,0)))&amp;IF(OR(COUNTIFS(TF_Nokkel,$A20&amp;"|"&amp;I$5,TF_Akt,"&lt;&gt;"&amp;INDEX(TF_Akt,MATCH($A20&amp;"|"&amp;I$5,TF_Dom,0)))&gt;0,AND(IF(I$8="",0,MAX(0,ROUND((I$11-SUMIFS(TF_Timer,TF_Nokkel,$A20&amp;"|"&amp;I$5))*2,0)/2))&gt;0,INDEX(TF_Akt,MATCH($A20&amp;"|"&amp;I$5,TF_Dom,0))&lt;&gt;"LMS")),"+",""),"?"))))</f>
        <v/>
      </c>
      <c r="J20" s="13">
        <f>IF(OR($A20="",J$5=""),"",IF(OR(AND(INDEX(TekFra,5)&gt;0,J$5&lt;INDEX(TekFra,5)),AND(INDEX(TekTil,5)&gt;0,J$5&gt;INDEX(TekTil,5))),"",IF(COUNTIFS(TF_Nokkel,$A20&amp;"|"&amp;J$5)=0,IF(J$8&lt;&gt;"","LMS",""),IFERROR(IF(SUMIFS(TF_Timer,TF_Nokkel,$A20&amp;"|"&amp;J$5,TF_Akt,"LMS")+IF(J$8="",0,MAX(0,ROUND((J$11-SUMIFS(TF_Timer,TF_Nokkel,$A20&amp;"|"&amp;J$5))*2,0)/2))&gt;INDEX(TF_AktSum,MATCH($A20&amp;"|"&amp;J$5,TF_Dom,0)),"LMS",INDEX(AktKode,MATCH(INDEX(TF_Akt,MATCH($A20&amp;"|"&amp;J$5,TF_Dom,0)),Aktiviteter,0)))&amp;IF(OR(COUNTIFS(TF_Nokkel,$A20&amp;"|"&amp;J$5,TF_Akt,"&lt;&gt;"&amp;INDEX(TF_Akt,MATCH($A20&amp;"|"&amp;J$5,TF_Dom,0)))&gt;0,AND(IF(J$8="",0,MAX(0,ROUND((J$11-SUMIFS(TF_Timer,TF_Nokkel,$A20&amp;"|"&amp;J$5))*2,0)/2))&gt;0,INDEX(TF_Akt,MATCH($A20&amp;"|"&amp;J$5,TF_Dom,0))&lt;&gt;"LMS")),"+",""),"?"))))</f>
        <v/>
      </c>
      <c r="K20" s="13">
        <f>IF(OR($A20="",K$5=""),"",IF(OR(AND(INDEX(TekFra,5)&gt;0,K$5&lt;INDEX(TekFra,5)),AND(INDEX(TekTil,5)&gt;0,K$5&gt;INDEX(TekTil,5))),"",IF(COUNTIFS(TF_Nokkel,$A20&amp;"|"&amp;K$5)=0,IF(K$8&lt;&gt;"","LMS",""),IFERROR(IF(SUMIFS(TF_Timer,TF_Nokkel,$A20&amp;"|"&amp;K$5,TF_Akt,"LMS")+IF(K$8="",0,MAX(0,ROUND((K$11-SUMIFS(TF_Timer,TF_Nokkel,$A20&amp;"|"&amp;K$5))*2,0)/2))&gt;INDEX(TF_AktSum,MATCH($A20&amp;"|"&amp;K$5,TF_Dom,0)),"LMS",INDEX(AktKode,MATCH(INDEX(TF_Akt,MATCH($A20&amp;"|"&amp;K$5,TF_Dom,0)),Aktiviteter,0)))&amp;IF(OR(COUNTIFS(TF_Nokkel,$A20&amp;"|"&amp;K$5,TF_Akt,"&lt;&gt;"&amp;INDEX(TF_Akt,MATCH($A20&amp;"|"&amp;K$5,TF_Dom,0)))&gt;0,AND(IF(K$8="",0,MAX(0,ROUND((K$11-SUMIFS(TF_Timer,TF_Nokkel,$A20&amp;"|"&amp;K$5))*2,0)/2))&gt;0,INDEX(TF_Akt,MATCH($A20&amp;"|"&amp;K$5,TF_Dom,0))&lt;&gt;"LMS")),"+",""),"?"))))</f>
        <v/>
      </c>
      <c r="L20" s="13">
        <f>IF(OR($A20="",L$5=""),"",IF(OR(AND(INDEX(TekFra,5)&gt;0,L$5&lt;INDEX(TekFra,5)),AND(INDEX(TekTil,5)&gt;0,L$5&gt;INDEX(TekTil,5))),"",IF(COUNTIFS(TF_Nokkel,$A20&amp;"|"&amp;L$5)=0,IF(L$8&lt;&gt;"","LMS",""),IFERROR(IF(SUMIFS(TF_Timer,TF_Nokkel,$A20&amp;"|"&amp;L$5,TF_Akt,"LMS")+IF(L$8="",0,MAX(0,ROUND((L$11-SUMIFS(TF_Timer,TF_Nokkel,$A20&amp;"|"&amp;L$5))*2,0)/2))&gt;INDEX(TF_AktSum,MATCH($A20&amp;"|"&amp;L$5,TF_Dom,0)),"LMS",INDEX(AktKode,MATCH(INDEX(TF_Akt,MATCH($A20&amp;"|"&amp;L$5,TF_Dom,0)),Aktiviteter,0)))&amp;IF(OR(COUNTIFS(TF_Nokkel,$A20&amp;"|"&amp;L$5,TF_Akt,"&lt;&gt;"&amp;INDEX(TF_Akt,MATCH($A20&amp;"|"&amp;L$5,TF_Dom,0)))&gt;0,AND(IF(L$8="",0,MAX(0,ROUND((L$11-SUMIFS(TF_Timer,TF_Nokkel,$A20&amp;"|"&amp;L$5))*2,0)/2))&gt;0,INDEX(TF_Akt,MATCH($A20&amp;"|"&amp;L$5,TF_Dom,0))&lt;&gt;"LMS")),"+",""),"?"))))</f>
        <v/>
      </c>
      <c r="M20" s="13">
        <f>IF(OR($A20="",M$5=""),"",IF(OR(AND(INDEX(TekFra,5)&gt;0,M$5&lt;INDEX(TekFra,5)),AND(INDEX(TekTil,5)&gt;0,M$5&gt;INDEX(TekTil,5))),"",IF(COUNTIFS(TF_Nokkel,$A20&amp;"|"&amp;M$5)=0,IF(M$8&lt;&gt;"","LMS",""),IFERROR(IF(SUMIFS(TF_Timer,TF_Nokkel,$A20&amp;"|"&amp;M$5,TF_Akt,"LMS")+IF(M$8="",0,MAX(0,ROUND((M$11-SUMIFS(TF_Timer,TF_Nokkel,$A20&amp;"|"&amp;M$5))*2,0)/2))&gt;INDEX(TF_AktSum,MATCH($A20&amp;"|"&amp;M$5,TF_Dom,0)),"LMS",INDEX(AktKode,MATCH(INDEX(TF_Akt,MATCH($A20&amp;"|"&amp;M$5,TF_Dom,0)),Aktiviteter,0)))&amp;IF(OR(COUNTIFS(TF_Nokkel,$A20&amp;"|"&amp;M$5,TF_Akt,"&lt;&gt;"&amp;INDEX(TF_Akt,MATCH($A20&amp;"|"&amp;M$5,TF_Dom,0)))&gt;0,AND(IF(M$8="",0,MAX(0,ROUND((M$11-SUMIFS(TF_Timer,TF_Nokkel,$A20&amp;"|"&amp;M$5))*2,0)/2))&gt;0,INDEX(TF_Akt,MATCH($A20&amp;"|"&amp;M$5,TF_Dom,0))&lt;&gt;"LMS")),"+",""),"?"))))</f>
        <v/>
      </c>
      <c r="N20" s="13">
        <f>IF(OR($A20="",N$5=""),"",IF(OR(AND(INDEX(TekFra,5)&gt;0,N$5&lt;INDEX(TekFra,5)),AND(INDEX(TekTil,5)&gt;0,N$5&gt;INDEX(TekTil,5))),"",IF(COUNTIFS(TF_Nokkel,$A20&amp;"|"&amp;N$5)=0,IF(N$8&lt;&gt;"","LMS",""),IFERROR(IF(SUMIFS(TF_Timer,TF_Nokkel,$A20&amp;"|"&amp;N$5,TF_Akt,"LMS")+IF(N$8="",0,MAX(0,ROUND((N$11-SUMIFS(TF_Timer,TF_Nokkel,$A20&amp;"|"&amp;N$5))*2,0)/2))&gt;INDEX(TF_AktSum,MATCH($A20&amp;"|"&amp;N$5,TF_Dom,0)),"LMS",INDEX(AktKode,MATCH(INDEX(TF_Akt,MATCH($A20&amp;"|"&amp;N$5,TF_Dom,0)),Aktiviteter,0)))&amp;IF(OR(COUNTIFS(TF_Nokkel,$A20&amp;"|"&amp;N$5,TF_Akt,"&lt;&gt;"&amp;INDEX(TF_Akt,MATCH($A20&amp;"|"&amp;N$5,TF_Dom,0)))&gt;0,AND(IF(N$8="",0,MAX(0,ROUND((N$11-SUMIFS(TF_Timer,TF_Nokkel,$A20&amp;"|"&amp;N$5))*2,0)/2))&gt;0,INDEX(TF_Akt,MATCH($A20&amp;"|"&amp;N$5,TF_Dom,0))&lt;&gt;"LMS")),"+",""),"?"))))</f>
        <v/>
      </c>
      <c r="O20" s="13">
        <f>IF(OR($A20="",O$5=""),"",IF(OR(AND(INDEX(TekFra,5)&gt;0,O$5&lt;INDEX(TekFra,5)),AND(INDEX(TekTil,5)&gt;0,O$5&gt;INDEX(TekTil,5))),"",IF(COUNTIFS(TF_Nokkel,$A20&amp;"|"&amp;O$5)=0,IF(O$8&lt;&gt;"","LMS",""),IFERROR(IF(SUMIFS(TF_Timer,TF_Nokkel,$A20&amp;"|"&amp;O$5,TF_Akt,"LMS")+IF(O$8="",0,MAX(0,ROUND((O$11-SUMIFS(TF_Timer,TF_Nokkel,$A20&amp;"|"&amp;O$5))*2,0)/2))&gt;INDEX(TF_AktSum,MATCH($A20&amp;"|"&amp;O$5,TF_Dom,0)),"LMS",INDEX(AktKode,MATCH(INDEX(TF_Akt,MATCH($A20&amp;"|"&amp;O$5,TF_Dom,0)),Aktiviteter,0)))&amp;IF(OR(COUNTIFS(TF_Nokkel,$A20&amp;"|"&amp;O$5,TF_Akt,"&lt;&gt;"&amp;INDEX(TF_Akt,MATCH($A20&amp;"|"&amp;O$5,TF_Dom,0)))&gt;0,AND(IF(O$8="",0,MAX(0,ROUND((O$11-SUMIFS(TF_Timer,TF_Nokkel,$A20&amp;"|"&amp;O$5))*2,0)/2))&gt;0,INDEX(TF_Akt,MATCH($A20&amp;"|"&amp;O$5,TF_Dom,0))&lt;&gt;"LMS")),"+",""),"?"))))</f>
        <v/>
      </c>
      <c r="P20" s="13">
        <f>IF(OR($A20="",P$5=""),"",IF(OR(AND(INDEX(TekFra,5)&gt;0,P$5&lt;INDEX(TekFra,5)),AND(INDEX(TekTil,5)&gt;0,P$5&gt;INDEX(TekTil,5))),"",IF(COUNTIFS(TF_Nokkel,$A20&amp;"|"&amp;P$5)=0,IF(P$8&lt;&gt;"","LMS",""),IFERROR(IF(SUMIFS(TF_Timer,TF_Nokkel,$A20&amp;"|"&amp;P$5,TF_Akt,"LMS")+IF(P$8="",0,MAX(0,ROUND((P$11-SUMIFS(TF_Timer,TF_Nokkel,$A20&amp;"|"&amp;P$5))*2,0)/2))&gt;INDEX(TF_AktSum,MATCH($A20&amp;"|"&amp;P$5,TF_Dom,0)),"LMS",INDEX(AktKode,MATCH(INDEX(TF_Akt,MATCH($A20&amp;"|"&amp;P$5,TF_Dom,0)),Aktiviteter,0)))&amp;IF(OR(COUNTIFS(TF_Nokkel,$A20&amp;"|"&amp;P$5,TF_Akt,"&lt;&gt;"&amp;INDEX(TF_Akt,MATCH($A20&amp;"|"&amp;P$5,TF_Dom,0)))&gt;0,AND(IF(P$8="",0,MAX(0,ROUND((P$11-SUMIFS(TF_Timer,TF_Nokkel,$A20&amp;"|"&amp;P$5))*2,0)/2))&gt;0,INDEX(TF_Akt,MATCH($A20&amp;"|"&amp;P$5,TF_Dom,0))&lt;&gt;"LMS")),"+",""),"?"))))</f>
        <v/>
      </c>
      <c r="Q20" s="13">
        <f>IF(OR($A20="",Q$5=""),"",IF(OR(AND(INDEX(TekFra,5)&gt;0,Q$5&lt;INDEX(TekFra,5)),AND(INDEX(TekTil,5)&gt;0,Q$5&gt;INDEX(TekTil,5))),"",IF(COUNTIFS(TF_Nokkel,$A20&amp;"|"&amp;Q$5)=0,IF(Q$8&lt;&gt;"","LMS",""),IFERROR(IF(SUMIFS(TF_Timer,TF_Nokkel,$A20&amp;"|"&amp;Q$5,TF_Akt,"LMS")+IF(Q$8="",0,MAX(0,ROUND((Q$11-SUMIFS(TF_Timer,TF_Nokkel,$A20&amp;"|"&amp;Q$5))*2,0)/2))&gt;INDEX(TF_AktSum,MATCH($A20&amp;"|"&amp;Q$5,TF_Dom,0)),"LMS",INDEX(AktKode,MATCH(INDEX(TF_Akt,MATCH($A20&amp;"|"&amp;Q$5,TF_Dom,0)),Aktiviteter,0)))&amp;IF(OR(COUNTIFS(TF_Nokkel,$A20&amp;"|"&amp;Q$5,TF_Akt,"&lt;&gt;"&amp;INDEX(TF_Akt,MATCH($A20&amp;"|"&amp;Q$5,TF_Dom,0)))&gt;0,AND(IF(Q$8="",0,MAX(0,ROUND((Q$11-SUMIFS(TF_Timer,TF_Nokkel,$A20&amp;"|"&amp;Q$5))*2,0)/2))&gt;0,INDEX(TF_Akt,MATCH($A20&amp;"|"&amp;Q$5,TF_Dom,0))&lt;&gt;"LMS")),"+",""),"?"))))</f>
        <v/>
      </c>
      <c r="R20" s="13">
        <f>IF(OR($A20="",R$5=""),"",IF(OR(AND(INDEX(TekFra,5)&gt;0,R$5&lt;INDEX(TekFra,5)),AND(INDEX(TekTil,5)&gt;0,R$5&gt;INDEX(TekTil,5))),"",IF(COUNTIFS(TF_Nokkel,$A20&amp;"|"&amp;R$5)=0,IF(R$8&lt;&gt;"","LMS",""),IFERROR(IF(SUMIFS(TF_Timer,TF_Nokkel,$A20&amp;"|"&amp;R$5,TF_Akt,"LMS")+IF(R$8="",0,MAX(0,ROUND((R$11-SUMIFS(TF_Timer,TF_Nokkel,$A20&amp;"|"&amp;R$5))*2,0)/2))&gt;INDEX(TF_AktSum,MATCH($A20&amp;"|"&amp;R$5,TF_Dom,0)),"LMS",INDEX(AktKode,MATCH(INDEX(TF_Akt,MATCH($A20&amp;"|"&amp;R$5,TF_Dom,0)),Aktiviteter,0)))&amp;IF(OR(COUNTIFS(TF_Nokkel,$A20&amp;"|"&amp;R$5,TF_Akt,"&lt;&gt;"&amp;INDEX(TF_Akt,MATCH($A20&amp;"|"&amp;R$5,TF_Dom,0)))&gt;0,AND(IF(R$8="",0,MAX(0,ROUND((R$11-SUMIFS(TF_Timer,TF_Nokkel,$A20&amp;"|"&amp;R$5))*2,0)/2))&gt;0,INDEX(TF_Akt,MATCH($A20&amp;"|"&amp;R$5,TF_Dom,0))&lt;&gt;"LMS")),"+",""),"?"))))</f>
        <v/>
      </c>
      <c r="S20" s="13">
        <f>IF(OR($A20="",S$5=""),"",IF(OR(AND(INDEX(TekFra,5)&gt;0,S$5&lt;INDEX(TekFra,5)),AND(INDEX(TekTil,5)&gt;0,S$5&gt;INDEX(TekTil,5))),"",IF(COUNTIFS(TF_Nokkel,$A20&amp;"|"&amp;S$5)=0,IF(S$8&lt;&gt;"","LMS",""),IFERROR(IF(SUMIFS(TF_Timer,TF_Nokkel,$A20&amp;"|"&amp;S$5,TF_Akt,"LMS")+IF(S$8="",0,MAX(0,ROUND((S$11-SUMIFS(TF_Timer,TF_Nokkel,$A20&amp;"|"&amp;S$5))*2,0)/2))&gt;INDEX(TF_AktSum,MATCH($A20&amp;"|"&amp;S$5,TF_Dom,0)),"LMS",INDEX(AktKode,MATCH(INDEX(TF_Akt,MATCH($A20&amp;"|"&amp;S$5,TF_Dom,0)),Aktiviteter,0)))&amp;IF(OR(COUNTIFS(TF_Nokkel,$A20&amp;"|"&amp;S$5,TF_Akt,"&lt;&gt;"&amp;INDEX(TF_Akt,MATCH($A20&amp;"|"&amp;S$5,TF_Dom,0)))&gt;0,AND(IF(S$8="",0,MAX(0,ROUND((S$11-SUMIFS(TF_Timer,TF_Nokkel,$A20&amp;"|"&amp;S$5))*2,0)/2))&gt;0,INDEX(TF_Akt,MATCH($A20&amp;"|"&amp;S$5,TF_Dom,0))&lt;&gt;"LMS")),"+",""),"?"))))</f>
        <v/>
      </c>
      <c r="T20" s="13">
        <f>IF(OR($A20="",T$5=""),"",IF(OR(AND(INDEX(TekFra,5)&gt;0,T$5&lt;INDEX(TekFra,5)),AND(INDEX(TekTil,5)&gt;0,T$5&gt;INDEX(TekTil,5))),"",IF(COUNTIFS(TF_Nokkel,$A20&amp;"|"&amp;T$5)=0,IF(T$8&lt;&gt;"","LMS",""),IFERROR(IF(SUMIFS(TF_Timer,TF_Nokkel,$A20&amp;"|"&amp;T$5,TF_Akt,"LMS")+IF(T$8="",0,MAX(0,ROUND((T$11-SUMIFS(TF_Timer,TF_Nokkel,$A20&amp;"|"&amp;T$5))*2,0)/2))&gt;INDEX(TF_AktSum,MATCH($A20&amp;"|"&amp;T$5,TF_Dom,0)),"LMS",INDEX(AktKode,MATCH(INDEX(TF_Akt,MATCH($A20&amp;"|"&amp;T$5,TF_Dom,0)),Aktiviteter,0)))&amp;IF(OR(COUNTIFS(TF_Nokkel,$A20&amp;"|"&amp;T$5,TF_Akt,"&lt;&gt;"&amp;INDEX(TF_Akt,MATCH($A20&amp;"|"&amp;T$5,TF_Dom,0)))&gt;0,AND(IF(T$8="",0,MAX(0,ROUND((T$11-SUMIFS(TF_Timer,TF_Nokkel,$A20&amp;"|"&amp;T$5))*2,0)/2))&gt;0,INDEX(TF_Akt,MATCH($A20&amp;"|"&amp;T$5,TF_Dom,0))&lt;&gt;"LMS")),"+",""),"?"))))</f>
        <v/>
      </c>
      <c r="U20" s="13">
        <f>IF(OR($A20="",U$5=""),"",IF(OR(AND(INDEX(TekFra,5)&gt;0,U$5&lt;INDEX(TekFra,5)),AND(INDEX(TekTil,5)&gt;0,U$5&gt;INDEX(TekTil,5))),"",IF(COUNTIFS(TF_Nokkel,$A20&amp;"|"&amp;U$5)=0,IF(U$8&lt;&gt;"","LMS",""),IFERROR(IF(SUMIFS(TF_Timer,TF_Nokkel,$A20&amp;"|"&amp;U$5,TF_Akt,"LMS")+IF(U$8="",0,MAX(0,ROUND((U$11-SUMIFS(TF_Timer,TF_Nokkel,$A20&amp;"|"&amp;U$5))*2,0)/2))&gt;INDEX(TF_AktSum,MATCH($A20&amp;"|"&amp;U$5,TF_Dom,0)),"LMS",INDEX(AktKode,MATCH(INDEX(TF_Akt,MATCH($A20&amp;"|"&amp;U$5,TF_Dom,0)),Aktiviteter,0)))&amp;IF(OR(COUNTIFS(TF_Nokkel,$A20&amp;"|"&amp;U$5,TF_Akt,"&lt;&gt;"&amp;INDEX(TF_Akt,MATCH($A20&amp;"|"&amp;U$5,TF_Dom,0)))&gt;0,AND(IF(U$8="",0,MAX(0,ROUND((U$11-SUMIFS(TF_Timer,TF_Nokkel,$A20&amp;"|"&amp;U$5))*2,0)/2))&gt;0,INDEX(TF_Akt,MATCH($A20&amp;"|"&amp;U$5,TF_Dom,0))&lt;&gt;"LMS")),"+",""),"?"))))</f>
        <v/>
      </c>
      <c r="V20" s="13">
        <f>IF(OR($A20="",V$5=""),"",IF(OR(AND(INDEX(TekFra,5)&gt;0,V$5&lt;INDEX(TekFra,5)),AND(INDEX(TekTil,5)&gt;0,V$5&gt;INDEX(TekTil,5))),"",IF(COUNTIFS(TF_Nokkel,$A20&amp;"|"&amp;V$5)=0,IF(V$8&lt;&gt;"","LMS",""),IFERROR(IF(SUMIFS(TF_Timer,TF_Nokkel,$A20&amp;"|"&amp;V$5,TF_Akt,"LMS")+IF(V$8="",0,MAX(0,ROUND((V$11-SUMIFS(TF_Timer,TF_Nokkel,$A20&amp;"|"&amp;V$5))*2,0)/2))&gt;INDEX(TF_AktSum,MATCH($A20&amp;"|"&amp;V$5,TF_Dom,0)),"LMS",INDEX(AktKode,MATCH(INDEX(TF_Akt,MATCH($A20&amp;"|"&amp;V$5,TF_Dom,0)),Aktiviteter,0)))&amp;IF(OR(COUNTIFS(TF_Nokkel,$A20&amp;"|"&amp;V$5,TF_Akt,"&lt;&gt;"&amp;INDEX(TF_Akt,MATCH($A20&amp;"|"&amp;V$5,TF_Dom,0)))&gt;0,AND(IF(V$8="",0,MAX(0,ROUND((V$11-SUMIFS(TF_Timer,TF_Nokkel,$A20&amp;"|"&amp;V$5))*2,0)/2))&gt;0,INDEX(TF_Akt,MATCH($A20&amp;"|"&amp;V$5,TF_Dom,0))&lt;&gt;"LMS")),"+",""),"?"))))</f>
        <v/>
      </c>
      <c r="W20" s="13">
        <f>IF(OR($A20="",W$5=""),"",IF(OR(AND(INDEX(TekFra,5)&gt;0,W$5&lt;INDEX(TekFra,5)),AND(INDEX(TekTil,5)&gt;0,W$5&gt;INDEX(TekTil,5))),"",IF(COUNTIFS(TF_Nokkel,$A20&amp;"|"&amp;W$5)=0,IF(W$8&lt;&gt;"","LMS",""),IFERROR(IF(SUMIFS(TF_Timer,TF_Nokkel,$A20&amp;"|"&amp;W$5,TF_Akt,"LMS")+IF(W$8="",0,MAX(0,ROUND((W$11-SUMIFS(TF_Timer,TF_Nokkel,$A20&amp;"|"&amp;W$5))*2,0)/2))&gt;INDEX(TF_AktSum,MATCH($A20&amp;"|"&amp;W$5,TF_Dom,0)),"LMS",INDEX(AktKode,MATCH(INDEX(TF_Akt,MATCH($A20&amp;"|"&amp;W$5,TF_Dom,0)),Aktiviteter,0)))&amp;IF(OR(COUNTIFS(TF_Nokkel,$A20&amp;"|"&amp;W$5,TF_Akt,"&lt;&gt;"&amp;INDEX(TF_Akt,MATCH($A20&amp;"|"&amp;W$5,TF_Dom,0)))&gt;0,AND(IF(W$8="",0,MAX(0,ROUND((W$11-SUMIFS(TF_Timer,TF_Nokkel,$A20&amp;"|"&amp;W$5))*2,0)/2))&gt;0,INDEX(TF_Akt,MATCH($A20&amp;"|"&amp;W$5,TF_Dom,0))&lt;&gt;"LMS")),"+",""),"?"))))</f>
        <v/>
      </c>
      <c r="X20" s="13">
        <f>IF(OR($A20="",X$5=""),"",IF(OR(AND(INDEX(TekFra,5)&gt;0,X$5&lt;INDEX(TekFra,5)),AND(INDEX(TekTil,5)&gt;0,X$5&gt;INDEX(TekTil,5))),"",IF(COUNTIFS(TF_Nokkel,$A20&amp;"|"&amp;X$5)=0,IF(X$8&lt;&gt;"","LMS",""),IFERROR(IF(SUMIFS(TF_Timer,TF_Nokkel,$A20&amp;"|"&amp;X$5,TF_Akt,"LMS")+IF(X$8="",0,MAX(0,ROUND((X$11-SUMIFS(TF_Timer,TF_Nokkel,$A20&amp;"|"&amp;X$5))*2,0)/2))&gt;INDEX(TF_AktSum,MATCH($A20&amp;"|"&amp;X$5,TF_Dom,0)),"LMS",INDEX(AktKode,MATCH(INDEX(TF_Akt,MATCH($A20&amp;"|"&amp;X$5,TF_Dom,0)),Aktiviteter,0)))&amp;IF(OR(COUNTIFS(TF_Nokkel,$A20&amp;"|"&amp;X$5,TF_Akt,"&lt;&gt;"&amp;INDEX(TF_Akt,MATCH($A20&amp;"|"&amp;X$5,TF_Dom,0)))&gt;0,AND(IF(X$8="",0,MAX(0,ROUND((X$11-SUMIFS(TF_Timer,TF_Nokkel,$A20&amp;"|"&amp;X$5))*2,0)/2))&gt;0,INDEX(TF_Akt,MATCH($A20&amp;"|"&amp;X$5,TF_Dom,0))&lt;&gt;"LMS")),"+",""),"?"))))</f>
        <v/>
      </c>
      <c r="Y20" s="13">
        <f>IF(OR($A20="",Y$5=""),"",IF(OR(AND(INDEX(TekFra,5)&gt;0,Y$5&lt;INDEX(TekFra,5)),AND(INDEX(TekTil,5)&gt;0,Y$5&gt;INDEX(TekTil,5))),"",IF(COUNTIFS(TF_Nokkel,$A20&amp;"|"&amp;Y$5)=0,IF(Y$8&lt;&gt;"","LMS",""),IFERROR(IF(SUMIFS(TF_Timer,TF_Nokkel,$A20&amp;"|"&amp;Y$5,TF_Akt,"LMS")+IF(Y$8="",0,MAX(0,ROUND((Y$11-SUMIFS(TF_Timer,TF_Nokkel,$A20&amp;"|"&amp;Y$5))*2,0)/2))&gt;INDEX(TF_AktSum,MATCH($A20&amp;"|"&amp;Y$5,TF_Dom,0)),"LMS",INDEX(AktKode,MATCH(INDEX(TF_Akt,MATCH($A20&amp;"|"&amp;Y$5,TF_Dom,0)),Aktiviteter,0)))&amp;IF(OR(COUNTIFS(TF_Nokkel,$A20&amp;"|"&amp;Y$5,TF_Akt,"&lt;&gt;"&amp;INDEX(TF_Akt,MATCH($A20&amp;"|"&amp;Y$5,TF_Dom,0)))&gt;0,AND(IF(Y$8="",0,MAX(0,ROUND((Y$11-SUMIFS(TF_Timer,TF_Nokkel,$A20&amp;"|"&amp;Y$5))*2,0)/2))&gt;0,INDEX(TF_Akt,MATCH($A20&amp;"|"&amp;Y$5,TF_Dom,0))&lt;&gt;"LMS")),"+",""),"?"))))</f>
        <v/>
      </c>
      <c r="Z20" s="13">
        <f>IF(OR($A20="",Z$5=""),"",IF(OR(AND(INDEX(TekFra,5)&gt;0,Z$5&lt;INDEX(TekFra,5)),AND(INDEX(TekTil,5)&gt;0,Z$5&gt;INDEX(TekTil,5))),"",IF(COUNTIFS(TF_Nokkel,$A20&amp;"|"&amp;Z$5)=0,IF(Z$8&lt;&gt;"","LMS",""),IFERROR(IF(SUMIFS(TF_Timer,TF_Nokkel,$A20&amp;"|"&amp;Z$5,TF_Akt,"LMS")+IF(Z$8="",0,MAX(0,ROUND((Z$11-SUMIFS(TF_Timer,TF_Nokkel,$A20&amp;"|"&amp;Z$5))*2,0)/2))&gt;INDEX(TF_AktSum,MATCH($A20&amp;"|"&amp;Z$5,TF_Dom,0)),"LMS",INDEX(AktKode,MATCH(INDEX(TF_Akt,MATCH($A20&amp;"|"&amp;Z$5,TF_Dom,0)),Aktiviteter,0)))&amp;IF(OR(COUNTIFS(TF_Nokkel,$A20&amp;"|"&amp;Z$5,TF_Akt,"&lt;&gt;"&amp;INDEX(TF_Akt,MATCH($A20&amp;"|"&amp;Z$5,TF_Dom,0)))&gt;0,AND(IF(Z$8="",0,MAX(0,ROUND((Z$11-SUMIFS(TF_Timer,TF_Nokkel,$A20&amp;"|"&amp;Z$5))*2,0)/2))&gt;0,INDEX(TF_Akt,MATCH($A20&amp;"|"&amp;Z$5,TF_Dom,0))&lt;&gt;"LMS")),"+",""),"?"))))</f>
        <v/>
      </c>
      <c r="AA20" s="13">
        <f>IF(OR($A20="",AA$5=""),"",IF(OR(AND(INDEX(TekFra,5)&gt;0,AA$5&lt;INDEX(TekFra,5)),AND(INDEX(TekTil,5)&gt;0,AA$5&gt;INDEX(TekTil,5))),"",IF(COUNTIFS(TF_Nokkel,$A20&amp;"|"&amp;AA$5)=0,IF(AA$8&lt;&gt;"","LMS",""),IFERROR(IF(SUMIFS(TF_Timer,TF_Nokkel,$A20&amp;"|"&amp;AA$5,TF_Akt,"LMS")+IF(AA$8="",0,MAX(0,ROUND((AA$11-SUMIFS(TF_Timer,TF_Nokkel,$A20&amp;"|"&amp;AA$5))*2,0)/2))&gt;INDEX(TF_AktSum,MATCH($A20&amp;"|"&amp;AA$5,TF_Dom,0)),"LMS",INDEX(AktKode,MATCH(INDEX(TF_Akt,MATCH($A20&amp;"|"&amp;AA$5,TF_Dom,0)),Aktiviteter,0)))&amp;IF(OR(COUNTIFS(TF_Nokkel,$A20&amp;"|"&amp;AA$5,TF_Akt,"&lt;&gt;"&amp;INDEX(TF_Akt,MATCH($A20&amp;"|"&amp;AA$5,TF_Dom,0)))&gt;0,AND(IF(AA$8="",0,MAX(0,ROUND((AA$11-SUMIFS(TF_Timer,TF_Nokkel,$A20&amp;"|"&amp;AA$5))*2,0)/2))&gt;0,INDEX(TF_Akt,MATCH($A20&amp;"|"&amp;AA$5,TF_Dom,0))&lt;&gt;"LMS")),"+",""),"?"))))</f>
        <v/>
      </c>
      <c r="AB20" s="13">
        <f>IF(OR($A20="",AB$5=""),"",IF(OR(AND(INDEX(TekFra,5)&gt;0,AB$5&lt;INDEX(TekFra,5)),AND(INDEX(TekTil,5)&gt;0,AB$5&gt;INDEX(TekTil,5))),"",IF(COUNTIFS(TF_Nokkel,$A20&amp;"|"&amp;AB$5)=0,IF(AB$8&lt;&gt;"","LMS",""),IFERROR(IF(SUMIFS(TF_Timer,TF_Nokkel,$A20&amp;"|"&amp;AB$5,TF_Akt,"LMS")+IF(AB$8="",0,MAX(0,ROUND((AB$11-SUMIFS(TF_Timer,TF_Nokkel,$A20&amp;"|"&amp;AB$5))*2,0)/2))&gt;INDEX(TF_AktSum,MATCH($A20&amp;"|"&amp;AB$5,TF_Dom,0)),"LMS",INDEX(AktKode,MATCH(INDEX(TF_Akt,MATCH($A20&amp;"|"&amp;AB$5,TF_Dom,0)),Aktiviteter,0)))&amp;IF(OR(COUNTIFS(TF_Nokkel,$A20&amp;"|"&amp;AB$5,TF_Akt,"&lt;&gt;"&amp;INDEX(TF_Akt,MATCH($A20&amp;"|"&amp;AB$5,TF_Dom,0)))&gt;0,AND(IF(AB$8="",0,MAX(0,ROUND((AB$11-SUMIFS(TF_Timer,TF_Nokkel,$A20&amp;"|"&amp;AB$5))*2,0)/2))&gt;0,INDEX(TF_Akt,MATCH($A20&amp;"|"&amp;AB$5,TF_Dom,0))&lt;&gt;"LMS")),"+",""),"?"))))</f>
        <v/>
      </c>
      <c r="AC20" s="13">
        <f>IF(OR($A20="",AC$5=""),"",IF(OR(AND(INDEX(TekFra,5)&gt;0,AC$5&lt;INDEX(TekFra,5)),AND(INDEX(TekTil,5)&gt;0,AC$5&gt;INDEX(TekTil,5))),"",IF(COUNTIFS(TF_Nokkel,$A20&amp;"|"&amp;AC$5)=0,IF(AC$8&lt;&gt;"","LMS",""),IFERROR(IF(SUMIFS(TF_Timer,TF_Nokkel,$A20&amp;"|"&amp;AC$5,TF_Akt,"LMS")+IF(AC$8="",0,MAX(0,ROUND((AC$11-SUMIFS(TF_Timer,TF_Nokkel,$A20&amp;"|"&amp;AC$5))*2,0)/2))&gt;INDEX(TF_AktSum,MATCH($A20&amp;"|"&amp;AC$5,TF_Dom,0)),"LMS",INDEX(AktKode,MATCH(INDEX(TF_Akt,MATCH($A20&amp;"|"&amp;AC$5,TF_Dom,0)),Aktiviteter,0)))&amp;IF(OR(COUNTIFS(TF_Nokkel,$A20&amp;"|"&amp;AC$5,TF_Akt,"&lt;&gt;"&amp;INDEX(TF_Akt,MATCH($A20&amp;"|"&amp;AC$5,TF_Dom,0)))&gt;0,AND(IF(AC$8="",0,MAX(0,ROUND((AC$11-SUMIFS(TF_Timer,TF_Nokkel,$A20&amp;"|"&amp;AC$5))*2,0)/2))&gt;0,INDEX(TF_Akt,MATCH($A20&amp;"|"&amp;AC$5,TF_Dom,0))&lt;&gt;"LMS")),"+",""),"?"))))</f>
        <v/>
      </c>
      <c r="AD20" s="13">
        <f>IF(OR($A20="",AD$5=""),"",IF(OR(AND(INDEX(TekFra,5)&gt;0,AD$5&lt;INDEX(TekFra,5)),AND(INDEX(TekTil,5)&gt;0,AD$5&gt;INDEX(TekTil,5))),"",IF(COUNTIFS(TF_Nokkel,$A20&amp;"|"&amp;AD$5)=0,IF(AD$8&lt;&gt;"","LMS",""),IFERROR(IF(SUMIFS(TF_Timer,TF_Nokkel,$A20&amp;"|"&amp;AD$5,TF_Akt,"LMS")+IF(AD$8="",0,MAX(0,ROUND((AD$11-SUMIFS(TF_Timer,TF_Nokkel,$A20&amp;"|"&amp;AD$5))*2,0)/2))&gt;INDEX(TF_AktSum,MATCH($A20&amp;"|"&amp;AD$5,TF_Dom,0)),"LMS",INDEX(AktKode,MATCH(INDEX(TF_Akt,MATCH($A20&amp;"|"&amp;AD$5,TF_Dom,0)),Aktiviteter,0)))&amp;IF(OR(COUNTIFS(TF_Nokkel,$A20&amp;"|"&amp;AD$5,TF_Akt,"&lt;&gt;"&amp;INDEX(TF_Akt,MATCH($A20&amp;"|"&amp;AD$5,TF_Dom,0)))&gt;0,AND(IF(AD$8="",0,MAX(0,ROUND((AD$11-SUMIFS(TF_Timer,TF_Nokkel,$A20&amp;"|"&amp;AD$5))*2,0)/2))&gt;0,INDEX(TF_Akt,MATCH($A20&amp;"|"&amp;AD$5,TF_Dom,0))&lt;&gt;"LMS")),"+",""),"?"))))</f>
        <v/>
      </c>
      <c r="AE20" s="13">
        <f>IF(OR($A20="",AE$5=""),"",IF(OR(AND(INDEX(TekFra,5)&gt;0,AE$5&lt;INDEX(TekFra,5)),AND(INDEX(TekTil,5)&gt;0,AE$5&gt;INDEX(TekTil,5))),"",IF(COUNTIFS(TF_Nokkel,$A20&amp;"|"&amp;AE$5)=0,IF(AE$8&lt;&gt;"","LMS",""),IFERROR(IF(SUMIFS(TF_Timer,TF_Nokkel,$A20&amp;"|"&amp;AE$5,TF_Akt,"LMS")+IF(AE$8="",0,MAX(0,ROUND((AE$11-SUMIFS(TF_Timer,TF_Nokkel,$A20&amp;"|"&amp;AE$5))*2,0)/2))&gt;INDEX(TF_AktSum,MATCH($A20&amp;"|"&amp;AE$5,TF_Dom,0)),"LMS",INDEX(AktKode,MATCH(INDEX(TF_Akt,MATCH($A20&amp;"|"&amp;AE$5,TF_Dom,0)),Aktiviteter,0)))&amp;IF(OR(COUNTIFS(TF_Nokkel,$A20&amp;"|"&amp;AE$5,TF_Akt,"&lt;&gt;"&amp;INDEX(TF_Akt,MATCH($A20&amp;"|"&amp;AE$5,TF_Dom,0)))&gt;0,AND(IF(AE$8="",0,MAX(0,ROUND((AE$11-SUMIFS(TF_Timer,TF_Nokkel,$A20&amp;"|"&amp;AE$5))*2,0)/2))&gt;0,INDEX(TF_Akt,MATCH($A20&amp;"|"&amp;AE$5,TF_Dom,0))&lt;&gt;"LMS")),"+",""),"?"))))</f>
        <v/>
      </c>
      <c r="AF20" s="13">
        <f>IF(OR($A20="",AF$5=""),"",IF(OR(AND(INDEX(TekFra,5)&gt;0,AF$5&lt;INDEX(TekFra,5)),AND(INDEX(TekTil,5)&gt;0,AF$5&gt;INDEX(TekTil,5))),"",IF(COUNTIFS(TF_Nokkel,$A20&amp;"|"&amp;AF$5)=0,IF(AF$8&lt;&gt;"","LMS",""),IFERROR(IF(SUMIFS(TF_Timer,TF_Nokkel,$A20&amp;"|"&amp;AF$5,TF_Akt,"LMS")+IF(AF$8="",0,MAX(0,ROUND((AF$11-SUMIFS(TF_Timer,TF_Nokkel,$A20&amp;"|"&amp;AF$5))*2,0)/2))&gt;INDEX(TF_AktSum,MATCH($A20&amp;"|"&amp;AF$5,TF_Dom,0)),"LMS",INDEX(AktKode,MATCH(INDEX(TF_Akt,MATCH($A20&amp;"|"&amp;AF$5,TF_Dom,0)),Aktiviteter,0)))&amp;IF(OR(COUNTIFS(TF_Nokkel,$A20&amp;"|"&amp;AF$5,TF_Akt,"&lt;&gt;"&amp;INDEX(TF_Akt,MATCH($A20&amp;"|"&amp;AF$5,TF_Dom,0)))&gt;0,AND(IF(AF$8="",0,MAX(0,ROUND((AF$11-SUMIFS(TF_Timer,TF_Nokkel,$A20&amp;"|"&amp;AF$5))*2,0)/2))&gt;0,INDEX(TF_Akt,MATCH($A20&amp;"|"&amp;AF$5,TF_Dom,0))&lt;&gt;"LMS")),"+",""),"?"))))</f>
        <v/>
      </c>
      <c r="AG20" s="13">
        <f>IF(OR($A20="",AG$5=""),"",IF(OR(AND(INDEX(TekFra,5)&gt;0,AG$5&lt;INDEX(TekFra,5)),AND(INDEX(TekTil,5)&gt;0,AG$5&gt;INDEX(TekTil,5))),"",IF(COUNTIFS(TF_Nokkel,$A20&amp;"|"&amp;AG$5)=0,IF(AG$8&lt;&gt;"","LMS",""),IFERROR(IF(SUMIFS(TF_Timer,TF_Nokkel,$A20&amp;"|"&amp;AG$5,TF_Akt,"LMS")+IF(AG$8="",0,MAX(0,ROUND((AG$11-SUMIFS(TF_Timer,TF_Nokkel,$A20&amp;"|"&amp;AG$5))*2,0)/2))&gt;INDEX(TF_AktSum,MATCH($A20&amp;"|"&amp;AG$5,TF_Dom,0)),"LMS",INDEX(AktKode,MATCH(INDEX(TF_Akt,MATCH($A20&amp;"|"&amp;AG$5,TF_Dom,0)),Aktiviteter,0)))&amp;IF(OR(COUNTIFS(TF_Nokkel,$A20&amp;"|"&amp;AG$5,TF_Akt,"&lt;&gt;"&amp;INDEX(TF_Akt,MATCH($A20&amp;"|"&amp;AG$5,TF_Dom,0)))&gt;0,AND(IF(AG$8="",0,MAX(0,ROUND((AG$11-SUMIFS(TF_Timer,TF_Nokkel,$A20&amp;"|"&amp;AG$5))*2,0)/2))&gt;0,INDEX(TF_Akt,MATCH($A20&amp;"|"&amp;AG$5,TF_Dom,0))&lt;&gt;"LMS")),"+",""),"?"))))</f>
        <v/>
      </c>
      <c r="AH20" s="2" t="n"/>
      <c r="AI20" s="19" t="inlineStr">
        <is>
          <t>HS</t>
        </is>
      </c>
      <c r="AJ20" s="15" t="inlineStr">
        <is>
          <t>Hot Section</t>
        </is>
      </c>
    </row>
    <row r="21">
      <c r="A21" s="2">
        <f>INDEX(Teknikere,6)&amp;""</f>
        <v/>
      </c>
      <c r="B21" s="12">
        <f>IF(INDEX(TekFra,6)&gt;0,"ekstra","")</f>
        <v/>
      </c>
      <c r="C21" s="13">
        <f>IF(OR($A21="",C$5=""),"",IF(OR(AND(INDEX(TekFra,6)&gt;0,C$5&lt;INDEX(TekFra,6)),AND(INDEX(TekTil,6)&gt;0,C$5&gt;INDEX(TekTil,6))),"",IF(COUNTIFS(TF_Nokkel,$A21&amp;"|"&amp;C$5)=0,IF(C$8&lt;&gt;"","LMS",""),IFERROR(IF(SUMIFS(TF_Timer,TF_Nokkel,$A21&amp;"|"&amp;C$5,TF_Akt,"LMS")+IF(C$8="",0,MAX(0,ROUND((C$11-SUMIFS(TF_Timer,TF_Nokkel,$A21&amp;"|"&amp;C$5))*2,0)/2))&gt;INDEX(TF_AktSum,MATCH($A21&amp;"|"&amp;C$5,TF_Dom,0)),"LMS",INDEX(AktKode,MATCH(INDEX(TF_Akt,MATCH($A21&amp;"|"&amp;C$5,TF_Dom,0)),Aktiviteter,0)))&amp;IF(OR(COUNTIFS(TF_Nokkel,$A21&amp;"|"&amp;C$5,TF_Akt,"&lt;&gt;"&amp;INDEX(TF_Akt,MATCH($A21&amp;"|"&amp;C$5,TF_Dom,0)))&gt;0,AND(IF(C$8="",0,MAX(0,ROUND((C$11-SUMIFS(TF_Timer,TF_Nokkel,$A21&amp;"|"&amp;C$5))*2,0)/2))&gt;0,INDEX(TF_Akt,MATCH($A21&amp;"|"&amp;C$5,TF_Dom,0))&lt;&gt;"LMS")),"+",""),"?"))))</f>
        <v/>
      </c>
      <c r="D21" s="13">
        <f>IF(OR($A21="",D$5=""),"",IF(OR(AND(INDEX(TekFra,6)&gt;0,D$5&lt;INDEX(TekFra,6)),AND(INDEX(TekTil,6)&gt;0,D$5&gt;INDEX(TekTil,6))),"",IF(COUNTIFS(TF_Nokkel,$A21&amp;"|"&amp;D$5)=0,IF(D$8&lt;&gt;"","LMS",""),IFERROR(IF(SUMIFS(TF_Timer,TF_Nokkel,$A21&amp;"|"&amp;D$5,TF_Akt,"LMS")+IF(D$8="",0,MAX(0,ROUND((D$11-SUMIFS(TF_Timer,TF_Nokkel,$A21&amp;"|"&amp;D$5))*2,0)/2))&gt;INDEX(TF_AktSum,MATCH($A21&amp;"|"&amp;D$5,TF_Dom,0)),"LMS",INDEX(AktKode,MATCH(INDEX(TF_Akt,MATCH($A21&amp;"|"&amp;D$5,TF_Dom,0)),Aktiviteter,0)))&amp;IF(OR(COUNTIFS(TF_Nokkel,$A21&amp;"|"&amp;D$5,TF_Akt,"&lt;&gt;"&amp;INDEX(TF_Akt,MATCH($A21&amp;"|"&amp;D$5,TF_Dom,0)))&gt;0,AND(IF(D$8="",0,MAX(0,ROUND((D$11-SUMIFS(TF_Timer,TF_Nokkel,$A21&amp;"|"&amp;D$5))*2,0)/2))&gt;0,INDEX(TF_Akt,MATCH($A21&amp;"|"&amp;D$5,TF_Dom,0))&lt;&gt;"LMS")),"+",""),"?"))))</f>
        <v/>
      </c>
      <c r="E21" s="13">
        <f>IF(OR($A21="",E$5=""),"",IF(OR(AND(INDEX(TekFra,6)&gt;0,E$5&lt;INDEX(TekFra,6)),AND(INDEX(TekTil,6)&gt;0,E$5&gt;INDEX(TekTil,6))),"",IF(COUNTIFS(TF_Nokkel,$A21&amp;"|"&amp;E$5)=0,IF(E$8&lt;&gt;"","LMS",""),IFERROR(IF(SUMIFS(TF_Timer,TF_Nokkel,$A21&amp;"|"&amp;E$5,TF_Akt,"LMS")+IF(E$8="",0,MAX(0,ROUND((E$11-SUMIFS(TF_Timer,TF_Nokkel,$A21&amp;"|"&amp;E$5))*2,0)/2))&gt;INDEX(TF_AktSum,MATCH($A21&amp;"|"&amp;E$5,TF_Dom,0)),"LMS",INDEX(AktKode,MATCH(INDEX(TF_Akt,MATCH($A21&amp;"|"&amp;E$5,TF_Dom,0)),Aktiviteter,0)))&amp;IF(OR(COUNTIFS(TF_Nokkel,$A21&amp;"|"&amp;E$5,TF_Akt,"&lt;&gt;"&amp;INDEX(TF_Akt,MATCH($A21&amp;"|"&amp;E$5,TF_Dom,0)))&gt;0,AND(IF(E$8="",0,MAX(0,ROUND((E$11-SUMIFS(TF_Timer,TF_Nokkel,$A21&amp;"|"&amp;E$5))*2,0)/2))&gt;0,INDEX(TF_Akt,MATCH($A21&amp;"|"&amp;E$5,TF_Dom,0))&lt;&gt;"LMS")),"+",""),"?"))))</f>
        <v/>
      </c>
      <c r="F21" s="13">
        <f>IF(OR($A21="",F$5=""),"",IF(OR(AND(INDEX(TekFra,6)&gt;0,F$5&lt;INDEX(TekFra,6)),AND(INDEX(TekTil,6)&gt;0,F$5&gt;INDEX(TekTil,6))),"",IF(COUNTIFS(TF_Nokkel,$A21&amp;"|"&amp;F$5)=0,IF(F$8&lt;&gt;"","LMS",""),IFERROR(IF(SUMIFS(TF_Timer,TF_Nokkel,$A21&amp;"|"&amp;F$5,TF_Akt,"LMS")+IF(F$8="",0,MAX(0,ROUND((F$11-SUMIFS(TF_Timer,TF_Nokkel,$A21&amp;"|"&amp;F$5))*2,0)/2))&gt;INDEX(TF_AktSum,MATCH($A21&amp;"|"&amp;F$5,TF_Dom,0)),"LMS",INDEX(AktKode,MATCH(INDEX(TF_Akt,MATCH($A21&amp;"|"&amp;F$5,TF_Dom,0)),Aktiviteter,0)))&amp;IF(OR(COUNTIFS(TF_Nokkel,$A21&amp;"|"&amp;F$5,TF_Akt,"&lt;&gt;"&amp;INDEX(TF_Akt,MATCH($A21&amp;"|"&amp;F$5,TF_Dom,0)))&gt;0,AND(IF(F$8="",0,MAX(0,ROUND((F$11-SUMIFS(TF_Timer,TF_Nokkel,$A21&amp;"|"&amp;F$5))*2,0)/2))&gt;0,INDEX(TF_Akt,MATCH($A21&amp;"|"&amp;F$5,TF_Dom,0))&lt;&gt;"LMS")),"+",""),"?"))))</f>
        <v/>
      </c>
      <c r="G21" s="13">
        <f>IF(OR($A21="",G$5=""),"",IF(OR(AND(INDEX(TekFra,6)&gt;0,G$5&lt;INDEX(TekFra,6)),AND(INDEX(TekTil,6)&gt;0,G$5&gt;INDEX(TekTil,6))),"",IF(COUNTIFS(TF_Nokkel,$A21&amp;"|"&amp;G$5)=0,IF(G$8&lt;&gt;"","LMS",""),IFERROR(IF(SUMIFS(TF_Timer,TF_Nokkel,$A21&amp;"|"&amp;G$5,TF_Akt,"LMS")+IF(G$8="",0,MAX(0,ROUND((G$11-SUMIFS(TF_Timer,TF_Nokkel,$A21&amp;"|"&amp;G$5))*2,0)/2))&gt;INDEX(TF_AktSum,MATCH($A21&amp;"|"&amp;G$5,TF_Dom,0)),"LMS",INDEX(AktKode,MATCH(INDEX(TF_Akt,MATCH($A21&amp;"|"&amp;G$5,TF_Dom,0)),Aktiviteter,0)))&amp;IF(OR(COUNTIFS(TF_Nokkel,$A21&amp;"|"&amp;G$5,TF_Akt,"&lt;&gt;"&amp;INDEX(TF_Akt,MATCH($A21&amp;"|"&amp;G$5,TF_Dom,0)))&gt;0,AND(IF(G$8="",0,MAX(0,ROUND((G$11-SUMIFS(TF_Timer,TF_Nokkel,$A21&amp;"|"&amp;G$5))*2,0)/2))&gt;0,INDEX(TF_Akt,MATCH($A21&amp;"|"&amp;G$5,TF_Dom,0))&lt;&gt;"LMS")),"+",""),"?"))))</f>
        <v/>
      </c>
      <c r="H21" s="13">
        <f>IF(OR($A21="",H$5=""),"",IF(OR(AND(INDEX(TekFra,6)&gt;0,H$5&lt;INDEX(TekFra,6)),AND(INDEX(TekTil,6)&gt;0,H$5&gt;INDEX(TekTil,6))),"",IF(COUNTIFS(TF_Nokkel,$A21&amp;"|"&amp;H$5)=0,IF(H$8&lt;&gt;"","LMS",""),IFERROR(IF(SUMIFS(TF_Timer,TF_Nokkel,$A21&amp;"|"&amp;H$5,TF_Akt,"LMS")+IF(H$8="",0,MAX(0,ROUND((H$11-SUMIFS(TF_Timer,TF_Nokkel,$A21&amp;"|"&amp;H$5))*2,0)/2))&gt;INDEX(TF_AktSum,MATCH($A21&amp;"|"&amp;H$5,TF_Dom,0)),"LMS",INDEX(AktKode,MATCH(INDEX(TF_Akt,MATCH($A21&amp;"|"&amp;H$5,TF_Dom,0)),Aktiviteter,0)))&amp;IF(OR(COUNTIFS(TF_Nokkel,$A21&amp;"|"&amp;H$5,TF_Akt,"&lt;&gt;"&amp;INDEX(TF_Akt,MATCH($A21&amp;"|"&amp;H$5,TF_Dom,0)))&gt;0,AND(IF(H$8="",0,MAX(0,ROUND((H$11-SUMIFS(TF_Timer,TF_Nokkel,$A21&amp;"|"&amp;H$5))*2,0)/2))&gt;0,INDEX(TF_Akt,MATCH($A21&amp;"|"&amp;H$5,TF_Dom,0))&lt;&gt;"LMS")),"+",""),"?"))))</f>
        <v/>
      </c>
      <c r="I21" s="13">
        <f>IF(OR($A21="",I$5=""),"",IF(OR(AND(INDEX(TekFra,6)&gt;0,I$5&lt;INDEX(TekFra,6)),AND(INDEX(TekTil,6)&gt;0,I$5&gt;INDEX(TekTil,6))),"",IF(COUNTIFS(TF_Nokkel,$A21&amp;"|"&amp;I$5)=0,IF(I$8&lt;&gt;"","LMS",""),IFERROR(IF(SUMIFS(TF_Timer,TF_Nokkel,$A21&amp;"|"&amp;I$5,TF_Akt,"LMS")+IF(I$8="",0,MAX(0,ROUND((I$11-SUMIFS(TF_Timer,TF_Nokkel,$A21&amp;"|"&amp;I$5))*2,0)/2))&gt;INDEX(TF_AktSum,MATCH($A21&amp;"|"&amp;I$5,TF_Dom,0)),"LMS",INDEX(AktKode,MATCH(INDEX(TF_Akt,MATCH($A21&amp;"|"&amp;I$5,TF_Dom,0)),Aktiviteter,0)))&amp;IF(OR(COUNTIFS(TF_Nokkel,$A21&amp;"|"&amp;I$5,TF_Akt,"&lt;&gt;"&amp;INDEX(TF_Akt,MATCH($A21&amp;"|"&amp;I$5,TF_Dom,0)))&gt;0,AND(IF(I$8="",0,MAX(0,ROUND((I$11-SUMIFS(TF_Timer,TF_Nokkel,$A21&amp;"|"&amp;I$5))*2,0)/2))&gt;0,INDEX(TF_Akt,MATCH($A21&amp;"|"&amp;I$5,TF_Dom,0))&lt;&gt;"LMS")),"+",""),"?"))))</f>
        <v/>
      </c>
      <c r="J21" s="13">
        <f>IF(OR($A21="",J$5=""),"",IF(OR(AND(INDEX(TekFra,6)&gt;0,J$5&lt;INDEX(TekFra,6)),AND(INDEX(TekTil,6)&gt;0,J$5&gt;INDEX(TekTil,6))),"",IF(COUNTIFS(TF_Nokkel,$A21&amp;"|"&amp;J$5)=0,IF(J$8&lt;&gt;"","LMS",""),IFERROR(IF(SUMIFS(TF_Timer,TF_Nokkel,$A21&amp;"|"&amp;J$5,TF_Akt,"LMS")+IF(J$8="",0,MAX(0,ROUND((J$11-SUMIFS(TF_Timer,TF_Nokkel,$A21&amp;"|"&amp;J$5))*2,0)/2))&gt;INDEX(TF_AktSum,MATCH($A21&amp;"|"&amp;J$5,TF_Dom,0)),"LMS",INDEX(AktKode,MATCH(INDEX(TF_Akt,MATCH($A21&amp;"|"&amp;J$5,TF_Dom,0)),Aktiviteter,0)))&amp;IF(OR(COUNTIFS(TF_Nokkel,$A21&amp;"|"&amp;J$5,TF_Akt,"&lt;&gt;"&amp;INDEX(TF_Akt,MATCH($A21&amp;"|"&amp;J$5,TF_Dom,0)))&gt;0,AND(IF(J$8="",0,MAX(0,ROUND((J$11-SUMIFS(TF_Timer,TF_Nokkel,$A21&amp;"|"&amp;J$5))*2,0)/2))&gt;0,INDEX(TF_Akt,MATCH($A21&amp;"|"&amp;J$5,TF_Dom,0))&lt;&gt;"LMS")),"+",""),"?"))))</f>
        <v/>
      </c>
      <c r="K21" s="13">
        <f>IF(OR($A21="",K$5=""),"",IF(OR(AND(INDEX(TekFra,6)&gt;0,K$5&lt;INDEX(TekFra,6)),AND(INDEX(TekTil,6)&gt;0,K$5&gt;INDEX(TekTil,6))),"",IF(COUNTIFS(TF_Nokkel,$A21&amp;"|"&amp;K$5)=0,IF(K$8&lt;&gt;"","LMS",""),IFERROR(IF(SUMIFS(TF_Timer,TF_Nokkel,$A21&amp;"|"&amp;K$5,TF_Akt,"LMS")+IF(K$8="",0,MAX(0,ROUND((K$11-SUMIFS(TF_Timer,TF_Nokkel,$A21&amp;"|"&amp;K$5))*2,0)/2))&gt;INDEX(TF_AktSum,MATCH($A21&amp;"|"&amp;K$5,TF_Dom,0)),"LMS",INDEX(AktKode,MATCH(INDEX(TF_Akt,MATCH($A21&amp;"|"&amp;K$5,TF_Dom,0)),Aktiviteter,0)))&amp;IF(OR(COUNTIFS(TF_Nokkel,$A21&amp;"|"&amp;K$5,TF_Akt,"&lt;&gt;"&amp;INDEX(TF_Akt,MATCH($A21&amp;"|"&amp;K$5,TF_Dom,0)))&gt;0,AND(IF(K$8="",0,MAX(0,ROUND((K$11-SUMIFS(TF_Timer,TF_Nokkel,$A21&amp;"|"&amp;K$5))*2,0)/2))&gt;0,INDEX(TF_Akt,MATCH($A21&amp;"|"&amp;K$5,TF_Dom,0))&lt;&gt;"LMS")),"+",""),"?"))))</f>
        <v/>
      </c>
      <c r="L21" s="13">
        <f>IF(OR($A21="",L$5=""),"",IF(OR(AND(INDEX(TekFra,6)&gt;0,L$5&lt;INDEX(TekFra,6)),AND(INDEX(TekTil,6)&gt;0,L$5&gt;INDEX(TekTil,6))),"",IF(COUNTIFS(TF_Nokkel,$A21&amp;"|"&amp;L$5)=0,IF(L$8&lt;&gt;"","LMS",""),IFERROR(IF(SUMIFS(TF_Timer,TF_Nokkel,$A21&amp;"|"&amp;L$5,TF_Akt,"LMS")+IF(L$8="",0,MAX(0,ROUND((L$11-SUMIFS(TF_Timer,TF_Nokkel,$A21&amp;"|"&amp;L$5))*2,0)/2))&gt;INDEX(TF_AktSum,MATCH($A21&amp;"|"&amp;L$5,TF_Dom,0)),"LMS",INDEX(AktKode,MATCH(INDEX(TF_Akt,MATCH($A21&amp;"|"&amp;L$5,TF_Dom,0)),Aktiviteter,0)))&amp;IF(OR(COUNTIFS(TF_Nokkel,$A21&amp;"|"&amp;L$5,TF_Akt,"&lt;&gt;"&amp;INDEX(TF_Akt,MATCH($A21&amp;"|"&amp;L$5,TF_Dom,0)))&gt;0,AND(IF(L$8="",0,MAX(0,ROUND((L$11-SUMIFS(TF_Timer,TF_Nokkel,$A21&amp;"|"&amp;L$5))*2,0)/2))&gt;0,INDEX(TF_Akt,MATCH($A21&amp;"|"&amp;L$5,TF_Dom,0))&lt;&gt;"LMS")),"+",""),"?"))))</f>
        <v/>
      </c>
      <c r="M21" s="13">
        <f>IF(OR($A21="",M$5=""),"",IF(OR(AND(INDEX(TekFra,6)&gt;0,M$5&lt;INDEX(TekFra,6)),AND(INDEX(TekTil,6)&gt;0,M$5&gt;INDEX(TekTil,6))),"",IF(COUNTIFS(TF_Nokkel,$A21&amp;"|"&amp;M$5)=0,IF(M$8&lt;&gt;"","LMS",""),IFERROR(IF(SUMIFS(TF_Timer,TF_Nokkel,$A21&amp;"|"&amp;M$5,TF_Akt,"LMS")+IF(M$8="",0,MAX(0,ROUND((M$11-SUMIFS(TF_Timer,TF_Nokkel,$A21&amp;"|"&amp;M$5))*2,0)/2))&gt;INDEX(TF_AktSum,MATCH($A21&amp;"|"&amp;M$5,TF_Dom,0)),"LMS",INDEX(AktKode,MATCH(INDEX(TF_Akt,MATCH($A21&amp;"|"&amp;M$5,TF_Dom,0)),Aktiviteter,0)))&amp;IF(OR(COUNTIFS(TF_Nokkel,$A21&amp;"|"&amp;M$5,TF_Akt,"&lt;&gt;"&amp;INDEX(TF_Akt,MATCH($A21&amp;"|"&amp;M$5,TF_Dom,0)))&gt;0,AND(IF(M$8="",0,MAX(0,ROUND((M$11-SUMIFS(TF_Timer,TF_Nokkel,$A21&amp;"|"&amp;M$5))*2,0)/2))&gt;0,INDEX(TF_Akt,MATCH($A21&amp;"|"&amp;M$5,TF_Dom,0))&lt;&gt;"LMS")),"+",""),"?"))))</f>
        <v/>
      </c>
      <c r="N21" s="13">
        <f>IF(OR($A21="",N$5=""),"",IF(OR(AND(INDEX(TekFra,6)&gt;0,N$5&lt;INDEX(TekFra,6)),AND(INDEX(TekTil,6)&gt;0,N$5&gt;INDEX(TekTil,6))),"",IF(COUNTIFS(TF_Nokkel,$A21&amp;"|"&amp;N$5)=0,IF(N$8&lt;&gt;"","LMS",""),IFERROR(IF(SUMIFS(TF_Timer,TF_Nokkel,$A21&amp;"|"&amp;N$5,TF_Akt,"LMS")+IF(N$8="",0,MAX(0,ROUND((N$11-SUMIFS(TF_Timer,TF_Nokkel,$A21&amp;"|"&amp;N$5))*2,0)/2))&gt;INDEX(TF_AktSum,MATCH($A21&amp;"|"&amp;N$5,TF_Dom,0)),"LMS",INDEX(AktKode,MATCH(INDEX(TF_Akt,MATCH($A21&amp;"|"&amp;N$5,TF_Dom,0)),Aktiviteter,0)))&amp;IF(OR(COUNTIFS(TF_Nokkel,$A21&amp;"|"&amp;N$5,TF_Akt,"&lt;&gt;"&amp;INDEX(TF_Akt,MATCH($A21&amp;"|"&amp;N$5,TF_Dom,0)))&gt;0,AND(IF(N$8="",0,MAX(0,ROUND((N$11-SUMIFS(TF_Timer,TF_Nokkel,$A21&amp;"|"&amp;N$5))*2,0)/2))&gt;0,INDEX(TF_Akt,MATCH($A21&amp;"|"&amp;N$5,TF_Dom,0))&lt;&gt;"LMS")),"+",""),"?"))))</f>
        <v/>
      </c>
      <c r="O21" s="13">
        <f>IF(OR($A21="",O$5=""),"",IF(OR(AND(INDEX(TekFra,6)&gt;0,O$5&lt;INDEX(TekFra,6)),AND(INDEX(TekTil,6)&gt;0,O$5&gt;INDEX(TekTil,6))),"",IF(COUNTIFS(TF_Nokkel,$A21&amp;"|"&amp;O$5)=0,IF(O$8&lt;&gt;"","LMS",""),IFERROR(IF(SUMIFS(TF_Timer,TF_Nokkel,$A21&amp;"|"&amp;O$5,TF_Akt,"LMS")+IF(O$8="",0,MAX(0,ROUND((O$11-SUMIFS(TF_Timer,TF_Nokkel,$A21&amp;"|"&amp;O$5))*2,0)/2))&gt;INDEX(TF_AktSum,MATCH($A21&amp;"|"&amp;O$5,TF_Dom,0)),"LMS",INDEX(AktKode,MATCH(INDEX(TF_Akt,MATCH($A21&amp;"|"&amp;O$5,TF_Dom,0)),Aktiviteter,0)))&amp;IF(OR(COUNTIFS(TF_Nokkel,$A21&amp;"|"&amp;O$5,TF_Akt,"&lt;&gt;"&amp;INDEX(TF_Akt,MATCH($A21&amp;"|"&amp;O$5,TF_Dom,0)))&gt;0,AND(IF(O$8="",0,MAX(0,ROUND((O$11-SUMIFS(TF_Timer,TF_Nokkel,$A21&amp;"|"&amp;O$5))*2,0)/2))&gt;0,INDEX(TF_Akt,MATCH($A21&amp;"|"&amp;O$5,TF_Dom,0))&lt;&gt;"LMS")),"+",""),"?"))))</f>
        <v/>
      </c>
      <c r="P21" s="13">
        <f>IF(OR($A21="",P$5=""),"",IF(OR(AND(INDEX(TekFra,6)&gt;0,P$5&lt;INDEX(TekFra,6)),AND(INDEX(TekTil,6)&gt;0,P$5&gt;INDEX(TekTil,6))),"",IF(COUNTIFS(TF_Nokkel,$A21&amp;"|"&amp;P$5)=0,IF(P$8&lt;&gt;"","LMS",""),IFERROR(IF(SUMIFS(TF_Timer,TF_Nokkel,$A21&amp;"|"&amp;P$5,TF_Akt,"LMS")+IF(P$8="",0,MAX(0,ROUND((P$11-SUMIFS(TF_Timer,TF_Nokkel,$A21&amp;"|"&amp;P$5))*2,0)/2))&gt;INDEX(TF_AktSum,MATCH($A21&amp;"|"&amp;P$5,TF_Dom,0)),"LMS",INDEX(AktKode,MATCH(INDEX(TF_Akt,MATCH($A21&amp;"|"&amp;P$5,TF_Dom,0)),Aktiviteter,0)))&amp;IF(OR(COUNTIFS(TF_Nokkel,$A21&amp;"|"&amp;P$5,TF_Akt,"&lt;&gt;"&amp;INDEX(TF_Akt,MATCH($A21&amp;"|"&amp;P$5,TF_Dom,0)))&gt;0,AND(IF(P$8="",0,MAX(0,ROUND((P$11-SUMIFS(TF_Timer,TF_Nokkel,$A21&amp;"|"&amp;P$5))*2,0)/2))&gt;0,INDEX(TF_Akt,MATCH($A21&amp;"|"&amp;P$5,TF_Dom,0))&lt;&gt;"LMS")),"+",""),"?"))))</f>
        <v/>
      </c>
      <c r="Q21" s="13">
        <f>IF(OR($A21="",Q$5=""),"",IF(OR(AND(INDEX(TekFra,6)&gt;0,Q$5&lt;INDEX(TekFra,6)),AND(INDEX(TekTil,6)&gt;0,Q$5&gt;INDEX(TekTil,6))),"",IF(COUNTIFS(TF_Nokkel,$A21&amp;"|"&amp;Q$5)=0,IF(Q$8&lt;&gt;"","LMS",""),IFERROR(IF(SUMIFS(TF_Timer,TF_Nokkel,$A21&amp;"|"&amp;Q$5,TF_Akt,"LMS")+IF(Q$8="",0,MAX(0,ROUND((Q$11-SUMIFS(TF_Timer,TF_Nokkel,$A21&amp;"|"&amp;Q$5))*2,0)/2))&gt;INDEX(TF_AktSum,MATCH($A21&amp;"|"&amp;Q$5,TF_Dom,0)),"LMS",INDEX(AktKode,MATCH(INDEX(TF_Akt,MATCH($A21&amp;"|"&amp;Q$5,TF_Dom,0)),Aktiviteter,0)))&amp;IF(OR(COUNTIFS(TF_Nokkel,$A21&amp;"|"&amp;Q$5,TF_Akt,"&lt;&gt;"&amp;INDEX(TF_Akt,MATCH($A21&amp;"|"&amp;Q$5,TF_Dom,0)))&gt;0,AND(IF(Q$8="",0,MAX(0,ROUND((Q$11-SUMIFS(TF_Timer,TF_Nokkel,$A21&amp;"|"&amp;Q$5))*2,0)/2))&gt;0,INDEX(TF_Akt,MATCH($A21&amp;"|"&amp;Q$5,TF_Dom,0))&lt;&gt;"LMS")),"+",""),"?"))))</f>
        <v/>
      </c>
      <c r="R21" s="13">
        <f>IF(OR($A21="",R$5=""),"",IF(OR(AND(INDEX(TekFra,6)&gt;0,R$5&lt;INDEX(TekFra,6)),AND(INDEX(TekTil,6)&gt;0,R$5&gt;INDEX(TekTil,6))),"",IF(COUNTIFS(TF_Nokkel,$A21&amp;"|"&amp;R$5)=0,IF(R$8&lt;&gt;"","LMS",""),IFERROR(IF(SUMIFS(TF_Timer,TF_Nokkel,$A21&amp;"|"&amp;R$5,TF_Akt,"LMS")+IF(R$8="",0,MAX(0,ROUND((R$11-SUMIFS(TF_Timer,TF_Nokkel,$A21&amp;"|"&amp;R$5))*2,0)/2))&gt;INDEX(TF_AktSum,MATCH($A21&amp;"|"&amp;R$5,TF_Dom,0)),"LMS",INDEX(AktKode,MATCH(INDEX(TF_Akt,MATCH($A21&amp;"|"&amp;R$5,TF_Dom,0)),Aktiviteter,0)))&amp;IF(OR(COUNTIFS(TF_Nokkel,$A21&amp;"|"&amp;R$5,TF_Akt,"&lt;&gt;"&amp;INDEX(TF_Akt,MATCH($A21&amp;"|"&amp;R$5,TF_Dom,0)))&gt;0,AND(IF(R$8="",0,MAX(0,ROUND((R$11-SUMIFS(TF_Timer,TF_Nokkel,$A21&amp;"|"&amp;R$5))*2,0)/2))&gt;0,INDEX(TF_Akt,MATCH($A21&amp;"|"&amp;R$5,TF_Dom,0))&lt;&gt;"LMS")),"+",""),"?"))))</f>
        <v/>
      </c>
      <c r="S21" s="13">
        <f>IF(OR($A21="",S$5=""),"",IF(OR(AND(INDEX(TekFra,6)&gt;0,S$5&lt;INDEX(TekFra,6)),AND(INDEX(TekTil,6)&gt;0,S$5&gt;INDEX(TekTil,6))),"",IF(COUNTIFS(TF_Nokkel,$A21&amp;"|"&amp;S$5)=0,IF(S$8&lt;&gt;"","LMS",""),IFERROR(IF(SUMIFS(TF_Timer,TF_Nokkel,$A21&amp;"|"&amp;S$5,TF_Akt,"LMS")+IF(S$8="",0,MAX(0,ROUND((S$11-SUMIFS(TF_Timer,TF_Nokkel,$A21&amp;"|"&amp;S$5))*2,0)/2))&gt;INDEX(TF_AktSum,MATCH($A21&amp;"|"&amp;S$5,TF_Dom,0)),"LMS",INDEX(AktKode,MATCH(INDEX(TF_Akt,MATCH($A21&amp;"|"&amp;S$5,TF_Dom,0)),Aktiviteter,0)))&amp;IF(OR(COUNTIFS(TF_Nokkel,$A21&amp;"|"&amp;S$5,TF_Akt,"&lt;&gt;"&amp;INDEX(TF_Akt,MATCH($A21&amp;"|"&amp;S$5,TF_Dom,0)))&gt;0,AND(IF(S$8="",0,MAX(0,ROUND((S$11-SUMIFS(TF_Timer,TF_Nokkel,$A21&amp;"|"&amp;S$5))*2,0)/2))&gt;0,INDEX(TF_Akt,MATCH($A21&amp;"|"&amp;S$5,TF_Dom,0))&lt;&gt;"LMS")),"+",""),"?"))))</f>
        <v/>
      </c>
      <c r="T21" s="13">
        <f>IF(OR($A21="",T$5=""),"",IF(OR(AND(INDEX(TekFra,6)&gt;0,T$5&lt;INDEX(TekFra,6)),AND(INDEX(TekTil,6)&gt;0,T$5&gt;INDEX(TekTil,6))),"",IF(COUNTIFS(TF_Nokkel,$A21&amp;"|"&amp;T$5)=0,IF(T$8&lt;&gt;"","LMS",""),IFERROR(IF(SUMIFS(TF_Timer,TF_Nokkel,$A21&amp;"|"&amp;T$5,TF_Akt,"LMS")+IF(T$8="",0,MAX(0,ROUND((T$11-SUMIFS(TF_Timer,TF_Nokkel,$A21&amp;"|"&amp;T$5))*2,0)/2))&gt;INDEX(TF_AktSum,MATCH($A21&amp;"|"&amp;T$5,TF_Dom,0)),"LMS",INDEX(AktKode,MATCH(INDEX(TF_Akt,MATCH($A21&amp;"|"&amp;T$5,TF_Dom,0)),Aktiviteter,0)))&amp;IF(OR(COUNTIFS(TF_Nokkel,$A21&amp;"|"&amp;T$5,TF_Akt,"&lt;&gt;"&amp;INDEX(TF_Akt,MATCH($A21&amp;"|"&amp;T$5,TF_Dom,0)))&gt;0,AND(IF(T$8="",0,MAX(0,ROUND((T$11-SUMIFS(TF_Timer,TF_Nokkel,$A21&amp;"|"&amp;T$5))*2,0)/2))&gt;0,INDEX(TF_Akt,MATCH($A21&amp;"|"&amp;T$5,TF_Dom,0))&lt;&gt;"LMS")),"+",""),"?"))))</f>
        <v/>
      </c>
      <c r="U21" s="13">
        <f>IF(OR($A21="",U$5=""),"",IF(OR(AND(INDEX(TekFra,6)&gt;0,U$5&lt;INDEX(TekFra,6)),AND(INDEX(TekTil,6)&gt;0,U$5&gt;INDEX(TekTil,6))),"",IF(COUNTIFS(TF_Nokkel,$A21&amp;"|"&amp;U$5)=0,IF(U$8&lt;&gt;"","LMS",""),IFERROR(IF(SUMIFS(TF_Timer,TF_Nokkel,$A21&amp;"|"&amp;U$5,TF_Akt,"LMS")+IF(U$8="",0,MAX(0,ROUND((U$11-SUMIFS(TF_Timer,TF_Nokkel,$A21&amp;"|"&amp;U$5))*2,0)/2))&gt;INDEX(TF_AktSum,MATCH($A21&amp;"|"&amp;U$5,TF_Dom,0)),"LMS",INDEX(AktKode,MATCH(INDEX(TF_Akt,MATCH($A21&amp;"|"&amp;U$5,TF_Dom,0)),Aktiviteter,0)))&amp;IF(OR(COUNTIFS(TF_Nokkel,$A21&amp;"|"&amp;U$5,TF_Akt,"&lt;&gt;"&amp;INDEX(TF_Akt,MATCH($A21&amp;"|"&amp;U$5,TF_Dom,0)))&gt;0,AND(IF(U$8="",0,MAX(0,ROUND((U$11-SUMIFS(TF_Timer,TF_Nokkel,$A21&amp;"|"&amp;U$5))*2,0)/2))&gt;0,INDEX(TF_Akt,MATCH($A21&amp;"|"&amp;U$5,TF_Dom,0))&lt;&gt;"LMS")),"+",""),"?"))))</f>
        <v/>
      </c>
      <c r="V21" s="13">
        <f>IF(OR($A21="",V$5=""),"",IF(OR(AND(INDEX(TekFra,6)&gt;0,V$5&lt;INDEX(TekFra,6)),AND(INDEX(TekTil,6)&gt;0,V$5&gt;INDEX(TekTil,6))),"",IF(COUNTIFS(TF_Nokkel,$A21&amp;"|"&amp;V$5)=0,IF(V$8&lt;&gt;"","LMS",""),IFERROR(IF(SUMIFS(TF_Timer,TF_Nokkel,$A21&amp;"|"&amp;V$5,TF_Akt,"LMS")+IF(V$8="",0,MAX(0,ROUND((V$11-SUMIFS(TF_Timer,TF_Nokkel,$A21&amp;"|"&amp;V$5))*2,0)/2))&gt;INDEX(TF_AktSum,MATCH($A21&amp;"|"&amp;V$5,TF_Dom,0)),"LMS",INDEX(AktKode,MATCH(INDEX(TF_Akt,MATCH($A21&amp;"|"&amp;V$5,TF_Dom,0)),Aktiviteter,0)))&amp;IF(OR(COUNTIFS(TF_Nokkel,$A21&amp;"|"&amp;V$5,TF_Akt,"&lt;&gt;"&amp;INDEX(TF_Akt,MATCH($A21&amp;"|"&amp;V$5,TF_Dom,0)))&gt;0,AND(IF(V$8="",0,MAX(0,ROUND((V$11-SUMIFS(TF_Timer,TF_Nokkel,$A21&amp;"|"&amp;V$5))*2,0)/2))&gt;0,INDEX(TF_Akt,MATCH($A21&amp;"|"&amp;V$5,TF_Dom,0))&lt;&gt;"LMS")),"+",""),"?"))))</f>
        <v/>
      </c>
      <c r="W21" s="13">
        <f>IF(OR($A21="",W$5=""),"",IF(OR(AND(INDEX(TekFra,6)&gt;0,W$5&lt;INDEX(TekFra,6)),AND(INDEX(TekTil,6)&gt;0,W$5&gt;INDEX(TekTil,6))),"",IF(COUNTIFS(TF_Nokkel,$A21&amp;"|"&amp;W$5)=0,IF(W$8&lt;&gt;"","LMS",""),IFERROR(IF(SUMIFS(TF_Timer,TF_Nokkel,$A21&amp;"|"&amp;W$5,TF_Akt,"LMS")+IF(W$8="",0,MAX(0,ROUND((W$11-SUMIFS(TF_Timer,TF_Nokkel,$A21&amp;"|"&amp;W$5))*2,0)/2))&gt;INDEX(TF_AktSum,MATCH($A21&amp;"|"&amp;W$5,TF_Dom,0)),"LMS",INDEX(AktKode,MATCH(INDEX(TF_Akt,MATCH($A21&amp;"|"&amp;W$5,TF_Dom,0)),Aktiviteter,0)))&amp;IF(OR(COUNTIFS(TF_Nokkel,$A21&amp;"|"&amp;W$5,TF_Akt,"&lt;&gt;"&amp;INDEX(TF_Akt,MATCH($A21&amp;"|"&amp;W$5,TF_Dom,0)))&gt;0,AND(IF(W$8="",0,MAX(0,ROUND((W$11-SUMIFS(TF_Timer,TF_Nokkel,$A21&amp;"|"&amp;W$5))*2,0)/2))&gt;0,INDEX(TF_Akt,MATCH($A21&amp;"|"&amp;W$5,TF_Dom,0))&lt;&gt;"LMS")),"+",""),"?"))))</f>
        <v/>
      </c>
      <c r="X21" s="13">
        <f>IF(OR($A21="",X$5=""),"",IF(OR(AND(INDEX(TekFra,6)&gt;0,X$5&lt;INDEX(TekFra,6)),AND(INDEX(TekTil,6)&gt;0,X$5&gt;INDEX(TekTil,6))),"",IF(COUNTIFS(TF_Nokkel,$A21&amp;"|"&amp;X$5)=0,IF(X$8&lt;&gt;"","LMS",""),IFERROR(IF(SUMIFS(TF_Timer,TF_Nokkel,$A21&amp;"|"&amp;X$5,TF_Akt,"LMS")+IF(X$8="",0,MAX(0,ROUND((X$11-SUMIFS(TF_Timer,TF_Nokkel,$A21&amp;"|"&amp;X$5))*2,0)/2))&gt;INDEX(TF_AktSum,MATCH($A21&amp;"|"&amp;X$5,TF_Dom,0)),"LMS",INDEX(AktKode,MATCH(INDEX(TF_Akt,MATCH($A21&amp;"|"&amp;X$5,TF_Dom,0)),Aktiviteter,0)))&amp;IF(OR(COUNTIFS(TF_Nokkel,$A21&amp;"|"&amp;X$5,TF_Akt,"&lt;&gt;"&amp;INDEX(TF_Akt,MATCH($A21&amp;"|"&amp;X$5,TF_Dom,0)))&gt;0,AND(IF(X$8="",0,MAX(0,ROUND((X$11-SUMIFS(TF_Timer,TF_Nokkel,$A21&amp;"|"&amp;X$5))*2,0)/2))&gt;0,INDEX(TF_Akt,MATCH($A21&amp;"|"&amp;X$5,TF_Dom,0))&lt;&gt;"LMS")),"+",""),"?"))))</f>
        <v/>
      </c>
      <c r="Y21" s="13">
        <f>IF(OR($A21="",Y$5=""),"",IF(OR(AND(INDEX(TekFra,6)&gt;0,Y$5&lt;INDEX(TekFra,6)),AND(INDEX(TekTil,6)&gt;0,Y$5&gt;INDEX(TekTil,6))),"",IF(COUNTIFS(TF_Nokkel,$A21&amp;"|"&amp;Y$5)=0,IF(Y$8&lt;&gt;"","LMS",""),IFERROR(IF(SUMIFS(TF_Timer,TF_Nokkel,$A21&amp;"|"&amp;Y$5,TF_Akt,"LMS")+IF(Y$8="",0,MAX(0,ROUND((Y$11-SUMIFS(TF_Timer,TF_Nokkel,$A21&amp;"|"&amp;Y$5))*2,0)/2))&gt;INDEX(TF_AktSum,MATCH($A21&amp;"|"&amp;Y$5,TF_Dom,0)),"LMS",INDEX(AktKode,MATCH(INDEX(TF_Akt,MATCH($A21&amp;"|"&amp;Y$5,TF_Dom,0)),Aktiviteter,0)))&amp;IF(OR(COUNTIFS(TF_Nokkel,$A21&amp;"|"&amp;Y$5,TF_Akt,"&lt;&gt;"&amp;INDEX(TF_Akt,MATCH($A21&amp;"|"&amp;Y$5,TF_Dom,0)))&gt;0,AND(IF(Y$8="",0,MAX(0,ROUND((Y$11-SUMIFS(TF_Timer,TF_Nokkel,$A21&amp;"|"&amp;Y$5))*2,0)/2))&gt;0,INDEX(TF_Akt,MATCH($A21&amp;"|"&amp;Y$5,TF_Dom,0))&lt;&gt;"LMS")),"+",""),"?"))))</f>
        <v/>
      </c>
      <c r="Z21" s="13">
        <f>IF(OR($A21="",Z$5=""),"",IF(OR(AND(INDEX(TekFra,6)&gt;0,Z$5&lt;INDEX(TekFra,6)),AND(INDEX(TekTil,6)&gt;0,Z$5&gt;INDEX(TekTil,6))),"",IF(COUNTIFS(TF_Nokkel,$A21&amp;"|"&amp;Z$5)=0,IF(Z$8&lt;&gt;"","LMS",""),IFERROR(IF(SUMIFS(TF_Timer,TF_Nokkel,$A21&amp;"|"&amp;Z$5,TF_Akt,"LMS")+IF(Z$8="",0,MAX(0,ROUND((Z$11-SUMIFS(TF_Timer,TF_Nokkel,$A21&amp;"|"&amp;Z$5))*2,0)/2))&gt;INDEX(TF_AktSum,MATCH($A21&amp;"|"&amp;Z$5,TF_Dom,0)),"LMS",INDEX(AktKode,MATCH(INDEX(TF_Akt,MATCH($A21&amp;"|"&amp;Z$5,TF_Dom,0)),Aktiviteter,0)))&amp;IF(OR(COUNTIFS(TF_Nokkel,$A21&amp;"|"&amp;Z$5,TF_Akt,"&lt;&gt;"&amp;INDEX(TF_Akt,MATCH($A21&amp;"|"&amp;Z$5,TF_Dom,0)))&gt;0,AND(IF(Z$8="",0,MAX(0,ROUND((Z$11-SUMIFS(TF_Timer,TF_Nokkel,$A21&amp;"|"&amp;Z$5))*2,0)/2))&gt;0,INDEX(TF_Akt,MATCH($A21&amp;"|"&amp;Z$5,TF_Dom,0))&lt;&gt;"LMS")),"+",""),"?"))))</f>
        <v/>
      </c>
      <c r="AA21" s="13">
        <f>IF(OR($A21="",AA$5=""),"",IF(OR(AND(INDEX(TekFra,6)&gt;0,AA$5&lt;INDEX(TekFra,6)),AND(INDEX(TekTil,6)&gt;0,AA$5&gt;INDEX(TekTil,6))),"",IF(COUNTIFS(TF_Nokkel,$A21&amp;"|"&amp;AA$5)=0,IF(AA$8&lt;&gt;"","LMS",""),IFERROR(IF(SUMIFS(TF_Timer,TF_Nokkel,$A21&amp;"|"&amp;AA$5,TF_Akt,"LMS")+IF(AA$8="",0,MAX(0,ROUND((AA$11-SUMIFS(TF_Timer,TF_Nokkel,$A21&amp;"|"&amp;AA$5))*2,0)/2))&gt;INDEX(TF_AktSum,MATCH($A21&amp;"|"&amp;AA$5,TF_Dom,0)),"LMS",INDEX(AktKode,MATCH(INDEX(TF_Akt,MATCH($A21&amp;"|"&amp;AA$5,TF_Dom,0)),Aktiviteter,0)))&amp;IF(OR(COUNTIFS(TF_Nokkel,$A21&amp;"|"&amp;AA$5,TF_Akt,"&lt;&gt;"&amp;INDEX(TF_Akt,MATCH($A21&amp;"|"&amp;AA$5,TF_Dom,0)))&gt;0,AND(IF(AA$8="",0,MAX(0,ROUND((AA$11-SUMIFS(TF_Timer,TF_Nokkel,$A21&amp;"|"&amp;AA$5))*2,0)/2))&gt;0,INDEX(TF_Akt,MATCH($A21&amp;"|"&amp;AA$5,TF_Dom,0))&lt;&gt;"LMS")),"+",""),"?"))))</f>
        <v/>
      </c>
      <c r="AB21" s="13">
        <f>IF(OR($A21="",AB$5=""),"",IF(OR(AND(INDEX(TekFra,6)&gt;0,AB$5&lt;INDEX(TekFra,6)),AND(INDEX(TekTil,6)&gt;0,AB$5&gt;INDEX(TekTil,6))),"",IF(COUNTIFS(TF_Nokkel,$A21&amp;"|"&amp;AB$5)=0,IF(AB$8&lt;&gt;"","LMS",""),IFERROR(IF(SUMIFS(TF_Timer,TF_Nokkel,$A21&amp;"|"&amp;AB$5,TF_Akt,"LMS")+IF(AB$8="",0,MAX(0,ROUND((AB$11-SUMIFS(TF_Timer,TF_Nokkel,$A21&amp;"|"&amp;AB$5))*2,0)/2))&gt;INDEX(TF_AktSum,MATCH($A21&amp;"|"&amp;AB$5,TF_Dom,0)),"LMS",INDEX(AktKode,MATCH(INDEX(TF_Akt,MATCH($A21&amp;"|"&amp;AB$5,TF_Dom,0)),Aktiviteter,0)))&amp;IF(OR(COUNTIFS(TF_Nokkel,$A21&amp;"|"&amp;AB$5,TF_Akt,"&lt;&gt;"&amp;INDEX(TF_Akt,MATCH($A21&amp;"|"&amp;AB$5,TF_Dom,0)))&gt;0,AND(IF(AB$8="",0,MAX(0,ROUND((AB$11-SUMIFS(TF_Timer,TF_Nokkel,$A21&amp;"|"&amp;AB$5))*2,0)/2))&gt;0,INDEX(TF_Akt,MATCH($A21&amp;"|"&amp;AB$5,TF_Dom,0))&lt;&gt;"LMS")),"+",""),"?"))))</f>
        <v/>
      </c>
      <c r="AC21" s="13">
        <f>IF(OR($A21="",AC$5=""),"",IF(OR(AND(INDEX(TekFra,6)&gt;0,AC$5&lt;INDEX(TekFra,6)),AND(INDEX(TekTil,6)&gt;0,AC$5&gt;INDEX(TekTil,6))),"",IF(COUNTIFS(TF_Nokkel,$A21&amp;"|"&amp;AC$5)=0,IF(AC$8&lt;&gt;"","LMS",""),IFERROR(IF(SUMIFS(TF_Timer,TF_Nokkel,$A21&amp;"|"&amp;AC$5,TF_Akt,"LMS")+IF(AC$8="",0,MAX(0,ROUND((AC$11-SUMIFS(TF_Timer,TF_Nokkel,$A21&amp;"|"&amp;AC$5))*2,0)/2))&gt;INDEX(TF_AktSum,MATCH($A21&amp;"|"&amp;AC$5,TF_Dom,0)),"LMS",INDEX(AktKode,MATCH(INDEX(TF_Akt,MATCH($A21&amp;"|"&amp;AC$5,TF_Dom,0)),Aktiviteter,0)))&amp;IF(OR(COUNTIFS(TF_Nokkel,$A21&amp;"|"&amp;AC$5,TF_Akt,"&lt;&gt;"&amp;INDEX(TF_Akt,MATCH($A21&amp;"|"&amp;AC$5,TF_Dom,0)))&gt;0,AND(IF(AC$8="",0,MAX(0,ROUND((AC$11-SUMIFS(TF_Timer,TF_Nokkel,$A21&amp;"|"&amp;AC$5))*2,0)/2))&gt;0,INDEX(TF_Akt,MATCH($A21&amp;"|"&amp;AC$5,TF_Dom,0))&lt;&gt;"LMS")),"+",""),"?"))))</f>
        <v/>
      </c>
      <c r="AD21" s="13">
        <f>IF(OR($A21="",AD$5=""),"",IF(OR(AND(INDEX(TekFra,6)&gt;0,AD$5&lt;INDEX(TekFra,6)),AND(INDEX(TekTil,6)&gt;0,AD$5&gt;INDEX(TekTil,6))),"",IF(COUNTIFS(TF_Nokkel,$A21&amp;"|"&amp;AD$5)=0,IF(AD$8&lt;&gt;"","LMS",""),IFERROR(IF(SUMIFS(TF_Timer,TF_Nokkel,$A21&amp;"|"&amp;AD$5,TF_Akt,"LMS")+IF(AD$8="",0,MAX(0,ROUND((AD$11-SUMIFS(TF_Timer,TF_Nokkel,$A21&amp;"|"&amp;AD$5))*2,0)/2))&gt;INDEX(TF_AktSum,MATCH($A21&amp;"|"&amp;AD$5,TF_Dom,0)),"LMS",INDEX(AktKode,MATCH(INDEX(TF_Akt,MATCH($A21&amp;"|"&amp;AD$5,TF_Dom,0)),Aktiviteter,0)))&amp;IF(OR(COUNTIFS(TF_Nokkel,$A21&amp;"|"&amp;AD$5,TF_Akt,"&lt;&gt;"&amp;INDEX(TF_Akt,MATCH($A21&amp;"|"&amp;AD$5,TF_Dom,0)))&gt;0,AND(IF(AD$8="",0,MAX(0,ROUND((AD$11-SUMIFS(TF_Timer,TF_Nokkel,$A21&amp;"|"&amp;AD$5))*2,0)/2))&gt;0,INDEX(TF_Akt,MATCH($A21&amp;"|"&amp;AD$5,TF_Dom,0))&lt;&gt;"LMS")),"+",""),"?"))))</f>
        <v/>
      </c>
      <c r="AE21" s="13">
        <f>IF(OR($A21="",AE$5=""),"",IF(OR(AND(INDEX(TekFra,6)&gt;0,AE$5&lt;INDEX(TekFra,6)),AND(INDEX(TekTil,6)&gt;0,AE$5&gt;INDEX(TekTil,6))),"",IF(COUNTIFS(TF_Nokkel,$A21&amp;"|"&amp;AE$5)=0,IF(AE$8&lt;&gt;"","LMS",""),IFERROR(IF(SUMIFS(TF_Timer,TF_Nokkel,$A21&amp;"|"&amp;AE$5,TF_Akt,"LMS")+IF(AE$8="",0,MAX(0,ROUND((AE$11-SUMIFS(TF_Timer,TF_Nokkel,$A21&amp;"|"&amp;AE$5))*2,0)/2))&gt;INDEX(TF_AktSum,MATCH($A21&amp;"|"&amp;AE$5,TF_Dom,0)),"LMS",INDEX(AktKode,MATCH(INDEX(TF_Akt,MATCH($A21&amp;"|"&amp;AE$5,TF_Dom,0)),Aktiviteter,0)))&amp;IF(OR(COUNTIFS(TF_Nokkel,$A21&amp;"|"&amp;AE$5,TF_Akt,"&lt;&gt;"&amp;INDEX(TF_Akt,MATCH($A21&amp;"|"&amp;AE$5,TF_Dom,0)))&gt;0,AND(IF(AE$8="",0,MAX(0,ROUND((AE$11-SUMIFS(TF_Timer,TF_Nokkel,$A21&amp;"|"&amp;AE$5))*2,0)/2))&gt;0,INDEX(TF_Akt,MATCH($A21&amp;"|"&amp;AE$5,TF_Dom,0))&lt;&gt;"LMS")),"+",""),"?"))))</f>
        <v/>
      </c>
      <c r="AF21" s="13">
        <f>IF(OR($A21="",AF$5=""),"",IF(OR(AND(INDEX(TekFra,6)&gt;0,AF$5&lt;INDEX(TekFra,6)),AND(INDEX(TekTil,6)&gt;0,AF$5&gt;INDEX(TekTil,6))),"",IF(COUNTIFS(TF_Nokkel,$A21&amp;"|"&amp;AF$5)=0,IF(AF$8&lt;&gt;"","LMS",""),IFERROR(IF(SUMIFS(TF_Timer,TF_Nokkel,$A21&amp;"|"&amp;AF$5,TF_Akt,"LMS")+IF(AF$8="",0,MAX(0,ROUND((AF$11-SUMIFS(TF_Timer,TF_Nokkel,$A21&amp;"|"&amp;AF$5))*2,0)/2))&gt;INDEX(TF_AktSum,MATCH($A21&amp;"|"&amp;AF$5,TF_Dom,0)),"LMS",INDEX(AktKode,MATCH(INDEX(TF_Akt,MATCH($A21&amp;"|"&amp;AF$5,TF_Dom,0)),Aktiviteter,0)))&amp;IF(OR(COUNTIFS(TF_Nokkel,$A21&amp;"|"&amp;AF$5,TF_Akt,"&lt;&gt;"&amp;INDEX(TF_Akt,MATCH($A21&amp;"|"&amp;AF$5,TF_Dom,0)))&gt;0,AND(IF(AF$8="",0,MAX(0,ROUND((AF$11-SUMIFS(TF_Timer,TF_Nokkel,$A21&amp;"|"&amp;AF$5))*2,0)/2))&gt;0,INDEX(TF_Akt,MATCH($A21&amp;"|"&amp;AF$5,TF_Dom,0))&lt;&gt;"LMS")),"+",""),"?"))))</f>
        <v/>
      </c>
      <c r="AG21" s="13">
        <f>IF(OR($A21="",AG$5=""),"",IF(OR(AND(INDEX(TekFra,6)&gt;0,AG$5&lt;INDEX(TekFra,6)),AND(INDEX(TekTil,6)&gt;0,AG$5&gt;INDEX(TekTil,6))),"",IF(COUNTIFS(TF_Nokkel,$A21&amp;"|"&amp;AG$5)=0,IF(AG$8&lt;&gt;"","LMS",""),IFERROR(IF(SUMIFS(TF_Timer,TF_Nokkel,$A21&amp;"|"&amp;AG$5,TF_Akt,"LMS")+IF(AG$8="",0,MAX(0,ROUND((AG$11-SUMIFS(TF_Timer,TF_Nokkel,$A21&amp;"|"&amp;AG$5))*2,0)/2))&gt;INDEX(TF_AktSum,MATCH($A21&amp;"|"&amp;AG$5,TF_Dom,0)),"LMS",INDEX(AktKode,MATCH(INDEX(TF_Akt,MATCH($A21&amp;"|"&amp;AG$5,TF_Dom,0)),Aktiviteter,0)))&amp;IF(OR(COUNTIFS(TF_Nokkel,$A21&amp;"|"&amp;AG$5,TF_Akt,"&lt;&gt;"&amp;INDEX(TF_Akt,MATCH($A21&amp;"|"&amp;AG$5,TF_Dom,0)))&gt;0,AND(IF(AG$8="",0,MAX(0,ROUND((AG$11-SUMIFS(TF_Timer,TF_Nokkel,$A21&amp;"|"&amp;AG$5))*2,0)/2))&gt;0,INDEX(TF_Akt,MATCH($A21&amp;"|"&amp;AG$5,TF_Dom,0))&lt;&gt;"LMS")),"+",""),"?"))))</f>
        <v/>
      </c>
      <c r="AH21" s="2" t="n"/>
      <c r="AI21" s="20" t="inlineStr">
        <is>
          <t>KU</t>
        </is>
      </c>
      <c r="AJ21" s="15" t="inlineStr">
        <is>
          <t>Kurs</t>
        </is>
      </c>
    </row>
    <row r="22">
      <c r="A22" s="2">
        <f>INDEX(Teknikere,7)&amp;""</f>
        <v/>
      </c>
      <c r="B22" s="12">
        <f>IF(INDEX(TekFra,7)&gt;0,"ekstra","")</f>
        <v/>
      </c>
      <c r="C22" s="13">
        <f>IF(OR($A22="",C$5=""),"",IF(OR(AND(INDEX(TekFra,7)&gt;0,C$5&lt;INDEX(TekFra,7)),AND(INDEX(TekTil,7)&gt;0,C$5&gt;INDEX(TekTil,7))),"",IF(COUNTIFS(TF_Nokkel,$A22&amp;"|"&amp;C$5)=0,IF(C$8&lt;&gt;"","LMS",""),IFERROR(IF(SUMIFS(TF_Timer,TF_Nokkel,$A22&amp;"|"&amp;C$5,TF_Akt,"LMS")+IF(C$8="",0,MAX(0,ROUND((C$11-SUMIFS(TF_Timer,TF_Nokkel,$A22&amp;"|"&amp;C$5))*2,0)/2))&gt;INDEX(TF_AktSum,MATCH($A22&amp;"|"&amp;C$5,TF_Dom,0)),"LMS",INDEX(AktKode,MATCH(INDEX(TF_Akt,MATCH($A22&amp;"|"&amp;C$5,TF_Dom,0)),Aktiviteter,0)))&amp;IF(OR(COUNTIFS(TF_Nokkel,$A22&amp;"|"&amp;C$5,TF_Akt,"&lt;&gt;"&amp;INDEX(TF_Akt,MATCH($A22&amp;"|"&amp;C$5,TF_Dom,0)))&gt;0,AND(IF(C$8="",0,MAX(0,ROUND((C$11-SUMIFS(TF_Timer,TF_Nokkel,$A22&amp;"|"&amp;C$5))*2,0)/2))&gt;0,INDEX(TF_Akt,MATCH($A22&amp;"|"&amp;C$5,TF_Dom,0))&lt;&gt;"LMS")),"+",""),"?"))))</f>
        <v/>
      </c>
      <c r="D22" s="13">
        <f>IF(OR($A22="",D$5=""),"",IF(OR(AND(INDEX(TekFra,7)&gt;0,D$5&lt;INDEX(TekFra,7)),AND(INDEX(TekTil,7)&gt;0,D$5&gt;INDEX(TekTil,7))),"",IF(COUNTIFS(TF_Nokkel,$A22&amp;"|"&amp;D$5)=0,IF(D$8&lt;&gt;"","LMS",""),IFERROR(IF(SUMIFS(TF_Timer,TF_Nokkel,$A22&amp;"|"&amp;D$5,TF_Akt,"LMS")+IF(D$8="",0,MAX(0,ROUND((D$11-SUMIFS(TF_Timer,TF_Nokkel,$A22&amp;"|"&amp;D$5))*2,0)/2))&gt;INDEX(TF_AktSum,MATCH($A22&amp;"|"&amp;D$5,TF_Dom,0)),"LMS",INDEX(AktKode,MATCH(INDEX(TF_Akt,MATCH($A22&amp;"|"&amp;D$5,TF_Dom,0)),Aktiviteter,0)))&amp;IF(OR(COUNTIFS(TF_Nokkel,$A22&amp;"|"&amp;D$5,TF_Akt,"&lt;&gt;"&amp;INDEX(TF_Akt,MATCH($A22&amp;"|"&amp;D$5,TF_Dom,0)))&gt;0,AND(IF(D$8="",0,MAX(0,ROUND((D$11-SUMIFS(TF_Timer,TF_Nokkel,$A22&amp;"|"&amp;D$5))*2,0)/2))&gt;0,INDEX(TF_Akt,MATCH($A22&amp;"|"&amp;D$5,TF_Dom,0))&lt;&gt;"LMS")),"+",""),"?"))))</f>
        <v/>
      </c>
      <c r="E22" s="13">
        <f>IF(OR($A22="",E$5=""),"",IF(OR(AND(INDEX(TekFra,7)&gt;0,E$5&lt;INDEX(TekFra,7)),AND(INDEX(TekTil,7)&gt;0,E$5&gt;INDEX(TekTil,7))),"",IF(COUNTIFS(TF_Nokkel,$A22&amp;"|"&amp;E$5)=0,IF(E$8&lt;&gt;"","LMS",""),IFERROR(IF(SUMIFS(TF_Timer,TF_Nokkel,$A22&amp;"|"&amp;E$5,TF_Akt,"LMS")+IF(E$8="",0,MAX(0,ROUND((E$11-SUMIFS(TF_Timer,TF_Nokkel,$A22&amp;"|"&amp;E$5))*2,0)/2))&gt;INDEX(TF_AktSum,MATCH($A22&amp;"|"&amp;E$5,TF_Dom,0)),"LMS",INDEX(AktKode,MATCH(INDEX(TF_Akt,MATCH($A22&amp;"|"&amp;E$5,TF_Dom,0)),Aktiviteter,0)))&amp;IF(OR(COUNTIFS(TF_Nokkel,$A22&amp;"|"&amp;E$5,TF_Akt,"&lt;&gt;"&amp;INDEX(TF_Akt,MATCH($A22&amp;"|"&amp;E$5,TF_Dom,0)))&gt;0,AND(IF(E$8="",0,MAX(0,ROUND((E$11-SUMIFS(TF_Timer,TF_Nokkel,$A22&amp;"|"&amp;E$5))*2,0)/2))&gt;0,INDEX(TF_Akt,MATCH($A22&amp;"|"&amp;E$5,TF_Dom,0))&lt;&gt;"LMS")),"+",""),"?"))))</f>
        <v/>
      </c>
      <c r="F22" s="13">
        <f>IF(OR($A22="",F$5=""),"",IF(OR(AND(INDEX(TekFra,7)&gt;0,F$5&lt;INDEX(TekFra,7)),AND(INDEX(TekTil,7)&gt;0,F$5&gt;INDEX(TekTil,7))),"",IF(COUNTIFS(TF_Nokkel,$A22&amp;"|"&amp;F$5)=0,IF(F$8&lt;&gt;"","LMS",""),IFERROR(IF(SUMIFS(TF_Timer,TF_Nokkel,$A22&amp;"|"&amp;F$5,TF_Akt,"LMS")+IF(F$8="",0,MAX(0,ROUND((F$11-SUMIFS(TF_Timer,TF_Nokkel,$A22&amp;"|"&amp;F$5))*2,0)/2))&gt;INDEX(TF_AktSum,MATCH($A22&amp;"|"&amp;F$5,TF_Dom,0)),"LMS",INDEX(AktKode,MATCH(INDEX(TF_Akt,MATCH($A22&amp;"|"&amp;F$5,TF_Dom,0)),Aktiviteter,0)))&amp;IF(OR(COUNTIFS(TF_Nokkel,$A22&amp;"|"&amp;F$5,TF_Akt,"&lt;&gt;"&amp;INDEX(TF_Akt,MATCH($A22&amp;"|"&amp;F$5,TF_Dom,0)))&gt;0,AND(IF(F$8="",0,MAX(0,ROUND((F$11-SUMIFS(TF_Timer,TF_Nokkel,$A22&amp;"|"&amp;F$5))*2,0)/2))&gt;0,INDEX(TF_Akt,MATCH($A22&amp;"|"&amp;F$5,TF_Dom,0))&lt;&gt;"LMS")),"+",""),"?"))))</f>
        <v/>
      </c>
      <c r="G22" s="13">
        <f>IF(OR($A22="",G$5=""),"",IF(OR(AND(INDEX(TekFra,7)&gt;0,G$5&lt;INDEX(TekFra,7)),AND(INDEX(TekTil,7)&gt;0,G$5&gt;INDEX(TekTil,7))),"",IF(COUNTIFS(TF_Nokkel,$A22&amp;"|"&amp;G$5)=0,IF(G$8&lt;&gt;"","LMS",""),IFERROR(IF(SUMIFS(TF_Timer,TF_Nokkel,$A22&amp;"|"&amp;G$5,TF_Akt,"LMS")+IF(G$8="",0,MAX(0,ROUND((G$11-SUMIFS(TF_Timer,TF_Nokkel,$A22&amp;"|"&amp;G$5))*2,0)/2))&gt;INDEX(TF_AktSum,MATCH($A22&amp;"|"&amp;G$5,TF_Dom,0)),"LMS",INDEX(AktKode,MATCH(INDEX(TF_Akt,MATCH($A22&amp;"|"&amp;G$5,TF_Dom,0)),Aktiviteter,0)))&amp;IF(OR(COUNTIFS(TF_Nokkel,$A22&amp;"|"&amp;G$5,TF_Akt,"&lt;&gt;"&amp;INDEX(TF_Akt,MATCH($A22&amp;"|"&amp;G$5,TF_Dom,0)))&gt;0,AND(IF(G$8="",0,MAX(0,ROUND((G$11-SUMIFS(TF_Timer,TF_Nokkel,$A22&amp;"|"&amp;G$5))*2,0)/2))&gt;0,INDEX(TF_Akt,MATCH($A22&amp;"|"&amp;G$5,TF_Dom,0))&lt;&gt;"LMS")),"+",""),"?"))))</f>
        <v/>
      </c>
      <c r="H22" s="13">
        <f>IF(OR($A22="",H$5=""),"",IF(OR(AND(INDEX(TekFra,7)&gt;0,H$5&lt;INDEX(TekFra,7)),AND(INDEX(TekTil,7)&gt;0,H$5&gt;INDEX(TekTil,7))),"",IF(COUNTIFS(TF_Nokkel,$A22&amp;"|"&amp;H$5)=0,IF(H$8&lt;&gt;"","LMS",""),IFERROR(IF(SUMIFS(TF_Timer,TF_Nokkel,$A22&amp;"|"&amp;H$5,TF_Akt,"LMS")+IF(H$8="",0,MAX(0,ROUND((H$11-SUMIFS(TF_Timer,TF_Nokkel,$A22&amp;"|"&amp;H$5))*2,0)/2))&gt;INDEX(TF_AktSum,MATCH($A22&amp;"|"&amp;H$5,TF_Dom,0)),"LMS",INDEX(AktKode,MATCH(INDEX(TF_Akt,MATCH($A22&amp;"|"&amp;H$5,TF_Dom,0)),Aktiviteter,0)))&amp;IF(OR(COUNTIFS(TF_Nokkel,$A22&amp;"|"&amp;H$5,TF_Akt,"&lt;&gt;"&amp;INDEX(TF_Akt,MATCH($A22&amp;"|"&amp;H$5,TF_Dom,0)))&gt;0,AND(IF(H$8="",0,MAX(0,ROUND((H$11-SUMIFS(TF_Timer,TF_Nokkel,$A22&amp;"|"&amp;H$5))*2,0)/2))&gt;0,INDEX(TF_Akt,MATCH($A22&amp;"|"&amp;H$5,TF_Dom,0))&lt;&gt;"LMS")),"+",""),"?"))))</f>
        <v/>
      </c>
      <c r="I22" s="13">
        <f>IF(OR($A22="",I$5=""),"",IF(OR(AND(INDEX(TekFra,7)&gt;0,I$5&lt;INDEX(TekFra,7)),AND(INDEX(TekTil,7)&gt;0,I$5&gt;INDEX(TekTil,7))),"",IF(COUNTIFS(TF_Nokkel,$A22&amp;"|"&amp;I$5)=0,IF(I$8&lt;&gt;"","LMS",""),IFERROR(IF(SUMIFS(TF_Timer,TF_Nokkel,$A22&amp;"|"&amp;I$5,TF_Akt,"LMS")+IF(I$8="",0,MAX(0,ROUND((I$11-SUMIFS(TF_Timer,TF_Nokkel,$A22&amp;"|"&amp;I$5))*2,0)/2))&gt;INDEX(TF_AktSum,MATCH($A22&amp;"|"&amp;I$5,TF_Dom,0)),"LMS",INDEX(AktKode,MATCH(INDEX(TF_Akt,MATCH($A22&amp;"|"&amp;I$5,TF_Dom,0)),Aktiviteter,0)))&amp;IF(OR(COUNTIFS(TF_Nokkel,$A22&amp;"|"&amp;I$5,TF_Akt,"&lt;&gt;"&amp;INDEX(TF_Akt,MATCH($A22&amp;"|"&amp;I$5,TF_Dom,0)))&gt;0,AND(IF(I$8="",0,MAX(0,ROUND((I$11-SUMIFS(TF_Timer,TF_Nokkel,$A22&amp;"|"&amp;I$5))*2,0)/2))&gt;0,INDEX(TF_Akt,MATCH($A22&amp;"|"&amp;I$5,TF_Dom,0))&lt;&gt;"LMS")),"+",""),"?"))))</f>
        <v/>
      </c>
      <c r="J22" s="13">
        <f>IF(OR($A22="",J$5=""),"",IF(OR(AND(INDEX(TekFra,7)&gt;0,J$5&lt;INDEX(TekFra,7)),AND(INDEX(TekTil,7)&gt;0,J$5&gt;INDEX(TekTil,7))),"",IF(COUNTIFS(TF_Nokkel,$A22&amp;"|"&amp;J$5)=0,IF(J$8&lt;&gt;"","LMS",""),IFERROR(IF(SUMIFS(TF_Timer,TF_Nokkel,$A22&amp;"|"&amp;J$5,TF_Akt,"LMS")+IF(J$8="",0,MAX(0,ROUND((J$11-SUMIFS(TF_Timer,TF_Nokkel,$A22&amp;"|"&amp;J$5))*2,0)/2))&gt;INDEX(TF_AktSum,MATCH($A22&amp;"|"&amp;J$5,TF_Dom,0)),"LMS",INDEX(AktKode,MATCH(INDEX(TF_Akt,MATCH($A22&amp;"|"&amp;J$5,TF_Dom,0)),Aktiviteter,0)))&amp;IF(OR(COUNTIFS(TF_Nokkel,$A22&amp;"|"&amp;J$5,TF_Akt,"&lt;&gt;"&amp;INDEX(TF_Akt,MATCH($A22&amp;"|"&amp;J$5,TF_Dom,0)))&gt;0,AND(IF(J$8="",0,MAX(0,ROUND((J$11-SUMIFS(TF_Timer,TF_Nokkel,$A22&amp;"|"&amp;J$5))*2,0)/2))&gt;0,INDEX(TF_Akt,MATCH($A22&amp;"|"&amp;J$5,TF_Dom,0))&lt;&gt;"LMS")),"+",""),"?"))))</f>
        <v/>
      </c>
      <c r="K22" s="13">
        <f>IF(OR($A22="",K$5=""),"",IF(OR(AND(INDEX(TekFra,7)&gt;0,K$5&lt;INDEX(TekFra,7)),AND(INDEX(TekTil,7)&gt;0,K$5&gt;INDEX(TekTil,7))),"",IF(COUNTIFS(TF_Nokkel,$A22&amp;"|"&amp;K$5)=0,IF(K$8&lt;&gt;"","LMS",""),IFERROR(IF(SUMIFS(TF_Timer,TF_Nokkel,$A22&amp;"|"&amp;K$5,TF_Akt,"LMS")+IF(K$8="",0,MAX(0,ROUND((K$11-SUMIFS(TF_Timer,TF_Nokkel,$A22&amp;"|"&amp;K$5))*2,0)/2))&gt;INDEX(TF_AktSum,MATCH($A22&amp;"|"&amp;K$5,TF_Dom,0)),"LMS",INDEX(AktKode,MATCH(INDEX(TF_Akt,MATCH($A22&amp;"|"&amp;K$5,TF_Dom,0)),Aktiviteter,0)))&amp;IF(OR(COUNTIFS(TF_Nokkel,$A22&amp;"|"&amp;K$5,TF_Akt,"&lt;&gt;"&amp;INDEX(TF_Akt,MATCH($A22&amp;"|"&amp;K$5,TF_Dom,0)))&gt;0,AND(IF(K$8="",0,MAX(0,ROUND((K$11-SUMIFS(TF_Timer,TF_Nokkel,$A22&amp;"|"&amp;K$5))*2,0)/2))&gt;0,INDEX(TF_Akt,MATCH($A22&amp;"|"&amp;K$5,TF_Dom,0))&lt;&gt;"LMS")),"+",""),"?"))))</f>
        <v/>
      </c>
      <c r="L22" s="13">
        <f>IF(OR($A22="",L$5=""),"",IF(OR(AND(INDEX(TekFra,7)&gt;0,L$5&lt;INDEX(TekFra,7)),AND(INDEX(TekTil,7)&gt;0,L$5&gt;INDEX(TekTil,7))),"",IF(COUNTIFS(TF_Nokkel,$A22&amp;"|"&amp;L$5)=0,IF(L$8&lt;&gt;"","LMS",""),IFERROR(IF(SUMIFS(TF_Timer,TF_Nokkel,$A22&amp;"|"&amp;L$5,TF_Akt,"LMS")+IF(L$8="",0,MAX(0,ROUND((L$11-SUMIFS(TF_Timer,TF_Nokkel,$A22&amp;"|"&amp;L$5))*2,0)/2))&gt;INDEX(TF_AktSum,MATCH($A22&amp;"|"&amp;L$5,TF_Dom,0)),"LMS",INDEX(AktKode,MATCH(INDEX(TF_Akt,MATCH($A22&amp;"|"&amp;L$5,TF_Dom,0)),Aktiviteter,0)))&amp;IF(OR(COUNTIFS(TF_Nokkel,$A22&amp;"|"&amp;L$5,TF_Akt,"&lt;&gt;"&amp;INDEX(TF_Akt,MATCH($A22&amp;"|"&amp;L$5,TF_Dom,0)))&gt;0,AND(IF(L$8="",0,MAX(0,ROUND((L$11-SUMIFS(TF_Timer,TF_Nokkel,$A22&amp;"|"&amp;L$5))*2,0)/2))&gt;0,INDEX(TF_Akt,MATCH($A22&amp;"|"&amp;L$5,TF_Dom,0))&lt;&gt;"LMS")),"+",""),"?"))))</f>
        <v/>
      </c>
      <c r="M22" s="13">
        <f>IF(OR($A22="",M$5=""),"",IF(OR(AND(INDEX(TekFra,7)&gt;0,M$5&lt;INDEX(TekFra,7)),AND(INDEX(TekTil,7)&gt;0,M$5&gt;INDEX(TekTil,7))),"",IF(COUNTIFS(TF_Nokkel,$A22&amp;"|"&amp;M$5)=0,IF(M$8&lt;&gt;"","LMS",""),IFERROR(IF(SUMIFS(TF_Timer,TF_Nokkel,$A22&amp;"|"&amp;M$5,TF_Akt,"LMS")+IF(M$8="",0,MAX(0,ROUND((M$11-SUMIFS(TF_Timer,TF_Nokkel,$A22&amp;"|"&amp;M$5))*2,0)/2))&gt;INDEX(TF_AktSum,MATCH($A22&amp;"|"&amp;M$5,TF_Dom,0)),"LMS",INDEX(AktKode,MATCH(INDEX(TF_Akt,MATCH($A22&amp;"|"&amp;M$5,TF_Dom,0)),Aktiviteter,0)))&amp;IF(OR(COUNTIFS(TF_Nokkel,$A22&amp;"|"&amp;M$5,TF_Akt,"&lt;&gt;"&amp;INDEX(TF_Akt,MATCH($A22&amp;"|"&amp;M$5,TF_Dom,0)))&gt;0,AND(IF(M$8="",0,MAX(0,ROUND((M$11-SUMIFS(TF_Timer,TF_Nokkel,$A22&amp;"|"&amp;M$5))*2,0)/2))&gt;0,INDEX(TF_Akt,MATCH($A22&amp;"|"&amp;M$5,TF_Dom,0))&lt;&gt;"LMS")),"+",""),"?"))))</f>
        <v/>
      </c>
      <c r="N22" s="13">
        <f>IF(OR($A22="",N$5=""),"",IF(OR(AND(INDEX(TekFra,7)&gt;0,N$5&lt;INDEX(TekFra,7)),AND(INDEX(TekTil,7)&gt;0,N$5&gt;INDEX(TekTil,7))),"",IF(COUNTIFS(TF_Nokkel,$A22&amp;"|"&amp;N$5)=0,IF(N$8&lt;&gt;"","LMS",""),IFERROR(IF(SUMIFS(TF_Timer,TF_Nokkel,$A22&amp;"|"&amp;N$5,TF_Akt,"LMS")+IF(N$8="",0,MAX(0,ROUND((N$11-SUMIFS(TF_Timer,TF_Nokkel,$A22&amp;"|"&amp;N$5))*2,0)/2))&gt;INDEX(TF_AktSum,MATCH($A22&amp;"|"&amp;N$5,TF_Dom,0)),"LMS",INDEX(AktKode,MATCH(INDEX(TF_Akt,MATCH($A22&amp;"|"&amp;N$5,TF_Dom,0)),Aktiviteter,0)))&amp;IF(OR(COUNTIFS(TF_Nokkel,$A22&amp;"|"&amp;N$5,TF_Akt,"&lt;&gt;"&amp;INDEX(TF_Akt,MATCH($A22&amp;"|"&amp;N$5,TF_Dom,0)))&gt;0,AND(IF(N$8="",0,MAX(0,ROUND((N$11-SUMIFS(TF_Timer,TF_Nokkel,$A22&amp;"|"&amp;N$5))*2,0)/2))&gt;0,INDEX(TF_Akt,MATCH($A22&amp;"|"&amp;N$5,TF_Dom,0))&lt;&gt;"LMS")),"+",""),"?"))))</f>
        <v/>
      </c>
      <c r="O22" s="13">
        <f>IF(OR($A22="",O$5=""),"",IF(OR(AND(INDEX(TekFra,7)&gt;0,O$5&lt;INDEX(TekFra,7)),AND(INDEX(TekTil,7)&gt;0,O$5&gt;INDEX(TekTil,7))),"",IF(COUNTIFS(TF_Nokkel,$A22&amp;"|"&amp;O$5)=0,IF(O$8&lt;&gt;"","LMS",""),IFERROR(IF(SUMIFS(TF_Timer,TF_Nokkel,$A22&amp;"|"&amp;O$5,TF_Akt,"LMS")+IF(O$8="",0,MAX(0,ROUND((O$11-SUMIFS(TF_Timer,TF_Nokkel,$A22&amp;"|"&amp;O$5))*2,0)/2))&gt;INDEX(TF_AktSum,MATCH($A22&amp;"|"&amp;O$5,TF_Dom,0)),"LMS",INDEX(AktKode,MATCH(INDEX(TF_Akt,MATCH($A22&amp;"|"&amp;O$5,TF_Dom,0)),Aktiviteter,0)))&amp;IF(OR(COUNTIFS(TF_Nokkel,$A22&amp;"|"&amp;O$5,TF_Akt,"&lt;&gt;"&amp;INDEX(TF_Akt,MATCH($A22&amp;"|"&amp;O$5,TF_Dom,0)))&gt;0,AND(IF(O$8="",0,MAX(0,ROUND((O$11-SUMIFS(TF_Timer,TF_Nokkel,$A22&amp;"|"&amp;O$5))*2,0)/2))&gt;0,INDEX(TF_Akt,MATCH($A22&amp;"|"&amp;O$5,TF_Dom,0))&lt;&gt;"LMS")),"+",""),"?"))))</f>
        <v/>
      </c>
      <c r="P22" s="13">
        <f>IF(OR($A22="",P$5=""),"",IF(OR(AND(INDEX(TekFra,7)&gt;0,P$5&lt;INDEX(TekFra,7)),AND(INDEX(TekTil,7)&gt;0,P$5&gt;INDEX(TekTil,7))),"",IF(COUNTIFS(TF_Nokkel,$A22&amp;"|"&amp;P$5)=0,IF(P$8&lt;&gt;"","LMS",""),IFERROR(IF(SUMIFS(TF_Timer,TF_Nokkel,$A22&amp;"|"&amp;P$5,TF_Akt,"LMS")+IF(P$8="",0,MAX(0,ROUND((P$11-SUMIFS(TF_Timer,TF_Nokkel,$A22&amp;"|"&amp;P$5))*2,0)/2))&gt;INDEX(TF_AktSum,MATCH($A22&amp;"|"&amp;P$5,TF_Dom,0)),"LMS",INDEX(AktKode,MATCH(INDEX(TF_Akt,MATCH($A22&amp;"|"&amp;P$5,TF_Dom,0)),Aktiviteter,0)))&amp;IF(OR(COUNTIFS(TF_Nokkel,$A22&amp;"|"&amp;P$5,TF_Akt,"&lt;&gt;"&amp;INDEX(TF_Akt,MATCH($A22&amp;"|"&amp;P$5,TF_Dom,0)))&gt;0,AND(IF(P$8="",0,MAX(0,ROUND((P$11-SUMIFS(TF_Timer,TF_Nokkel,$A22&amp;"|"&amp;P$5))*2,0)/2))&gt;0,INDEX(TF_Akt,MATCH($A22&amp;"|"&amp;P$5,TF_Dom,0))&lt;&gt;"LMS")),"+",""),"?"))))</f>
        <v/>
      </c>
      <c r="Q22" s="13">
        <f>IF(OR($A22="",Q$5=""),"",IF(OR(AND(INDEX(TekFra,7)&gt;0,Q$5&lt;INDEX(TekFra,7)),AND(INDEX(TekTil,7)&gt;0,Q$5&gt;INDEX(TekTil,7))),"",IF(COUNTIFS(TF_Nokkel,$A22&amp;"|"&amp;Q$5)=0,IF(Q$8&lt;&gt;"","LMS",""),IFERROR(IF(SUMIFS(TF_Timer,TF_Nokkel,$A22&amp;"|"&amp;Q$5,TF_Akt,"LMS")+IF(Q$8="",0,MAX(0,ROUND((Q$11-SUMIFS(TF_Timer,TF_Nokkel,$A22&amp;"|"&amp;Q$5))*2,0)/2))&gt;INDEX(TF_AktSum,MATCH($A22&amp;"|"&amp;Q$5,TF_Dom,0)),"LMS",INDEX(AktKode,MATCH(INDEX(TF_Akt,MATCH($A22&amp;"|"&amp;Q$5,TF_Dom,0)),Aktiviteter,0)))&amp;IF(OR(COUNTIFS(TF_Nokkel,$A22&amp;"|"&amp;Q$5,TF_Akt,"&lt;&gt;"&amp;INDEX(TF_Akt,MATCH($A22&amp;"|"&amp;Q$5,TF_Dom,0)))&gt;0,AND(IF(Q$8="",0,MAX(0,ROUND((Q$11-SUMIFS(TF_Timer,TF_Nokkel,$A22&amp;"|"&amp;Q$5))*2,0)/2))&gt;0,INDEX(TF_Akt,MATCH($A22&amp;"|"&amp;Q$5,TF_Dom,0))&lt;&gt;"LMS")),"+",""),"?"))))</f>
        <v/>
      </c>
      <c r="R22" s="13">
        <f>IF(OR($A22="",R$5=""),"",IF(OR(AND(INDEX(TekFra,7)&gt;0,R$5&lt;INDEX(TekFra,7)),AND(INDEX(TekTil,7)&gt;0,R$5&gt;INDEX(TekTil,7))),"",IF(COUNTIFS(TF_Nokkel,$A22&amp;"|"&amp;R$5)=0,IF(R$8&lt;&gt;"","LMS",""),IFERROR(IF(SUMIFS(TF_Timer,TF_Nokkel,$A22&amp;"|"&amp;R$5,TF_Akt,"LMS")+IF(R$8="",0,MAX(0,ROUND((R$11-SUMIFS(TF_Timer,TF_Nokkel,$A22&amp;"|"&amp;R$5))*2,0)/2))&gt;INDEX(TF_AktSum,MATCH($A22&amp;"|"&amp;R$5,TF_Dom,0)),"LMS",INDEX(AktKode,MATCH(INDEX(TF_Akt,MATCH($A22&amp;"|"&amp;R$5,TF_Dom,0)),Aktiviteter,0)))&amp;IF(OR(COUNTIFS(TF_Nokkel,$A22&amp;"|"&amp;R$5,TF_Akt,"&lt;&gt;"&amp;INDEX(TF_Akt,MATCH($A22&amp;"|"&amp;R$5,TF_Dom,0)))&gt;0,AND(IF(R$8="",0,MAX(0,ROUND((R$11-SUMIFS(TF_Timer,TF_Nokkel,$A22&amp;"|"&amp;R$5))*2,0)/2))&gt;0,INDEX(TF_Akt,MATCH($A22&amp;"|"&amp;R$5,TF_Dom,0))&lt;&gt;"LMS")),"+",""),"?"))))</f>
        <v/>
      </c>
      <c r="S22" s="13">
        <f>IF(OR($A22="",S$5=""),"",IF(OR(AND(INDEX(TekFra,7)&gt;0,S$5&lt;INDEX(TekFra,7)),AND(INDEX(TekTil,7)&gt;0,S$5&gt;INDEX(TekTil,7))),"",IF(COUNTIFS(TF_Nokkel,$A22&amp;"|"&amp;S$5)=0,IF(S$8&lt;&gt;"","LMS",""),IFERROR(IF(SUMIFS(TF_Timer,TF_Nokkel,$A22&amp;"|"&amp;S$5,TF_Akt,"LMS")+IF(S$8="",0,MAX(0,ROUND((S$11-SUMIFS(TF_Timer,TF_Nokkel,$A22&amp;"|"&amp;S$5))*2,0)/2))&gt;INDEX(TF_AktSum,MATCH($A22&amp;"|"&amp;S$5,TF_Dom,0)),"LMS",INDEX(AktKode,MATCH(INDEX(TF_Akt,MATCH($A22&amp;"|"&amp;S$5,TF_Dom,0)),Aktiviteter,0)))&amp;IF(OR(COUNTIFS(TF_Nokkel,$A22&amp;"|"&amp;S$5,TF_Akt,"&lt;&gt;"&amp;INDEX(TF_Akt,MATCH($A22&amp;"|"&amp;S$5,TF_Dom,0)))&gt;0,AND(IF(S$8="",0,MAX(0,ROUND((S$11-SUMIFS(TF_Timer,TF_Nokkel,$A22&amp;"|"&amp;S$5))*2,0)/2))&gt;0,INDEX(TF_Akt,MATCH($A22&amp;"|"&amp;S$5,TF_Dom,0))&lt;&gt;"LMS")),"+",""),"?"))))</f>
        <v/>
      </c>
      <c r="T22" s="13">
        <f>IF(OR($A22="",T$5=""),"",IF(OR(AND(INDEX(TekFra,7)&gt;0,T$5&lt;INDEX(TekFra,7)),AND(INDEX(TekTil,7)&gt;0,T$5&gt;INDEX(TekTil,7))),"",IF(COUNTIFS(TF_Nokkel,$A22&amp;"|"&amp;T$5)=0,IF(T$8&lt;&gt;"","LMS",""),IFERROR(IF(SUMIFS(TF_Timer,TF_Nokkel,$A22&amp;"|"&amp;T$5,TF_Akt,"LMS")+IF(T$8="",0,MAX(0,ROUND((T$11-SUMIFS(TF_Timer,TF_Nokkel,$A22&amp;"|"&amp;T$5))*2,0)/2))&gt;INDEX(TF_AktSum,MATCH($A22&amp;"|"&amp;T$5,TF_Dom,0)),"LMS",INDEX(AktKode,MATCH(INDEX(TF_Akt,MATCH($A22&amp;"|"&amp;T$5,TF_Dom,0)),Aktiviteter,0)))&amp;IF(OR(COUNTIFS(TF_Nokkel,$A22&amp;"|"&amp;T$5,TF_Akt,"&lt;&gt;"&amp;INDEX(TF_Akt,MATCH($A22&amp;"|"&amp;T$5,TF_Dom,0)))&gt;0,AND(IF(T$8="",0,MAX(0,ROUND((T$11-SUMIFS(TF_Timer,TF_Nokkel,$A22&amp;"|"&amp;T$5))*2,0)/2))&gt;0,INDEX(TF_Akt,MATCH($A22&amp;"|"&amp;T$5,TF_Dom,0))&lt;&gt;"LMS")),"+",""),"?"))))</f>
        <v/>
      </c>
      <c r="U22" s="13">
        <f>IF(OR($A22="",U$5=""),"",IF(OR(AND(INDEX(TekFra,7)&gt;0,U$5&lt;INDEX(TekFra,7)),AND(INDEX(TekTil,7)&gt;0,U$5&gt;INDEX(TekTil,7))),"",IF(COUNTIFS(TF_Nokkel,$A22&amp;"|"&amp;U$5)=0,IF(U$8&lt;&gt;"","LMS",""),IFERROR(IF(SUMIFS(TF_Timer,TF_Nokkel,$A22&amp;"|"&amp;U$5,TF_Akt,"LMS")+IF(U$8="",0,MAX(0,ROUND((U$11-SUMIFS(TF_Timer,TF_Nokkel,$A22&amp;"|"&amp;U$5))*2,0)/2))&gt;INDEX(TF_AktSum,MATCH($A22&amp;"|"&amp;U$5,TF_Dom,0)),"LMS",INDEX(AktKode,MATCH(INDEX(TF_Akt,MATCH($A22&amp;"|"&amp;U$5,TF_Dom,0)),Aktiviteter,0)))&amp;IF(OR(COUNTIFS(TF_Nokkel,$A22&amp;"|"&amp;U$5,TF_Akt,"&lt;&gt;"&amp;INDEX(TF_Akt,MATCH($A22&amp;"|"&amp;U$5,TF_Dom,0)))&gt;0,AND(IF(U$8="",0,MAX(0,ROUND((U$11-SUMIFS(TF_Timer,TF_Nokkel,$A22&amp;"|"&amp;U$5))*2,0)/2))&gt;0,INDEX(TF_Akt,MATCH($A22&amp;"|"&amp;U$5,TF_Dom,0))&lt;&gt;"LMS")),"+",""),"?"))))</f>
        <v/>
      </c>
      <c r="V22" s="13">
        <f>IF(OR($A22="",V$5=""),"",IF(OR(AND(INDEX(TekFra,7)&gt;0,V$5&lt;INDEX(TekFra,7)),AND(INDEX(TekTil,7)&gt;0,V$5&gt;INDEX(TekTil,7))),"",IF(COUNTIFS(TF_Nokkel,$A22&amp;"|"&amp;V$5)=0,IF(V$8&lt;&gt;"","LMS",""),IFERROR(IF(SUMIFS(TF_Timer,TF_Nokkel,$A22&amp;"|"&amp;V$5,TF_Akt,"LMS")+IF(V$8="",0,MAX(0,ROUND((V$11-SUMIFS(TF_Timer,TF_Nokkel,$A22&amp;"|"&amp;V$5))*2,0)/2))&gt;INDEX(TF_AktSum,MATCH($A22&amp;"|"&amp;V$5,TF_Dom,0)),"LMS",INDEX(AktKode,MATCH(INDEX(TF_Akt,MATCH($A22&amp;"|"&amp;V$5,TF_Dom,0)),Aktiviteter,0)))&amp;IF(OR(COUNTIFS(TF_Nokkel,$A22&amp;"|"&amp;V$5,TF_Akt,"&lt;&gt;"&amp;INDEX(TF_Akt,MATCH($A22&amp;"|"&amp;V$5,TF_Dom,0)))&gt;0,AND(IF(V$8="",0,MAX(0,ROUND((V$11-SUMIFS(TF_Timer,TF_Nokkel,$A22&amp;"|"&amp;V$5))*2,0)/2))&gt;0,INDEX(TF_Akt,MATCH($A22&amp;"|"&amp;V$5,TF_Dom,0))&lt;&gt;"LMS")),"+",""),"?"))))</f>
        <v/>
      </c>
      <c r="W22" s="13">
        <f>IF(OR($A22="",W$5=""),"",IF(OR(AND(INDEX(TekFra,7)&gt;0,W$5&lt;INDEX(TekFra,7)),AND(INDEX(TekTil,7)&gt;0,W$5&gt;INDEX(TekTil,7))),"",IF(COUNTIFS(TF_Nokkel,$A22&amp;"|"&amp;W$5)=0,IF(W$8&lt;&gt;"","LMS",""),IFERROR(IF(SUMIFS(TF_Timer,TF_Nokkel,$A22&amp;"|"&amp;W$5,TF_Akt,"LMS")+IF(W$8="",0,MAX(0,ROUND((W$11-SUMIFS(TF_Timer,TF_Nokkel,$A22&amp;"|"&amp;W$5))*2,0)/2))&gt;INDEX(TF_AktSum,MATCH($A22&amp;"|"&amp;W$5,TF_Dom,0)),"LMS",INDEX(AktKode,MATCH(INDEX(TF_Akt,MATCH($A22&amp;"|"&amp;W$5,TF_Dom,0)),Aktiviteter,0)))&amp;IF(OR(COUNTIFS(TF_Nokkel,$A22&amp;"|"&amp;W$5,TF_Akt,"&lt;&gt;"&amp;INDEX(TF_Akt,MATCH($A22&amp;"|"&amp;W$5,TF_Dom,0)))&gt;0,AND(IF(W$8="",0,MAX(0,ROUND((W$11-SUMIFS(TF_Timer,TF_Nokkel,$A22&amp;"|"&amp;W$5))*2,0)/2))&gt;0,INDEX(TF_Akt,MATCH($A22&amp;"|"&amp;W$5,TF_Dom,0))&lt;&gt;"LMS")),"+",""),"?"))))</f>
        <v/>
      </c>
      <c r="X22" s="13">
        <f>IF(OR($A22="",X$5=""),"",IF(OR(AND(INDEX(TekFra,7)&gt;0,X$5&lt;INDEX(TekFra,7)),AND(INDEX(TekTil,7)&gt;0,X$5&gt;INDEX(TekTil,7))),"",IF(COUNTIFS(TF_Nokkel,$A22&amp;"|"&amp;X$5)=0,IF(X$8&lt;&gt;"","LMS",""),IFERROR(IF(SUMIFS(TF_Timer,TF_Nokkel,$A22&amp;"|"&amp;X$5,TF_Akt,"LMS")+IF(X$8="",0,MAX(0,ROUND((X$11-SUMIFS(TF_Timer,TF_Nokkel,$A22&amp;"|"&amp;X$5))*2,0)/2))&gt;INDEX(TF_AktSum,MATCH($A22&amp;"|"&amp;X$5,TF_Dom,0)),"LMS",INDEX(AktKode,MATCH(INDEX(TF_Akt,MATCH($A22&amp;"|"&amp;X$5,TF_Dom,0)),Aktiviteter,0)))&amp;IF(OR(COUNTIFS(TF_Nokkel,$A22&amp;"|"&amp;X$5,TF_Akt,"&lt;&gt;"&amp;INDEX(TF_Akt,MATCH($A22&amp;"|"&amp;X$5,TF_Dom,0)))&gt;0,AND(IF(X$8="",0,MAX(0,ROUND((X$11-SUMIFS(TF_Timer,TF_Nokkel,$A22&amp;"|"&amp;X$5))*2,0)/2))&gt;0,INDEX(TF_Akt,MATCH($A22&amp;"|"&amp;X$5,TF_Dom,0))&lt;&gt;"LMS")),"+",""),"?"))))</f>
        <v/>
      </c>
      <c r="Y22" s="13">
        <f>IF(OR($A22="",Y$5=""),"",IF(OR(AND(INDEX(TekFra,7)&gt;0,Y$5&lt;INDEX(TekFra,7)),AND(INDEX(TekTil,7)&gt;0,Y$5&gt;INDEX(TekTil,7))),"",IF(COUNTIFS(TF_Nokkel,$A22&amp;"|"&amp;Y$5)=0,IF(Y$8&lt;&gt;"","LMS",""),IFERROR(IF(SUMIFS(TF_Timer,TF_Nokkel,$A22&amp;"|"&amp;Y$5,TF_Akt,"LMS")+IF(Y$8="",0,MAX(0,ROUND((Y$11-SUMIFS(TF_Timer,TF_Nokkel,$A22&amp;"|"&amp;Y$5))*2,0)/2))&gt;INDEX(TF_AktSum,MATCH($A22&amp;"|"&amp;Y$5,TF_Dom,0)),"LMS",INDEX(AktKode,MATCH(INDEX(TF_Akt,MATCH($A22&amp;"|"&amp;Y$5,TF_Dom,0)),Aktiviteter,0)))&amp;IF(OR(COUNTIFS(TF_Nokkel,$A22&amp;"|"&amp;Y$5,TF_Akt,"&lt;&gt;"&amp;INDEX(TF_Akt,MATCH($A22&amp;"|"&amp;Y$5,TF_Dom,0)))&gt;0,AND(IF(Y$8="",0,MAX(0,ROUND((Y$11-SUMIFS(TF_Timer,TF_Nokkel,$A22&amp;"|"&amp;Y$5))*2,0)/2))&gt;0,INDEX(TF_Akt,MATCH($A22&amp;"|"&amp;Y$5,TF_Dom,0))&lt;&gt;"LMS")),"+",""),"?"))))</f>
        <v/>
      </c>
      <c r="Z22" s="13">
        <f>IF(OR($A22="",Z$5=""),"",IF(OR(AND(INDEX(TekFra,7)&gt;0,Z$5&lt;INDEX(TekFra,7)),AND(INDEX(TekTil,7)&gt;0,Z$5&gt;INDEX(TekTil,7))),"",IF(COUNTIFS(TF_Nokkel,$A22&amp;"|"&amp;Z$5)=0,IF(Z$8&lt;&gt;"","LMS",""),IFERROR(IF(SUMIFS(TF_Timer,TF_Nokkel,$A22&amp;"|"&amp;Z$5,TF_Akt,"LMS")+IF(Z$8="",0,MAX(0,ROUND((Z$11-SUMIFS(TF_Timer,TF_Nokkel,$A22&amp;"|"&amp;Z$5))*2,0)/2))&gt;INDEX(TF_AktSum,MATCH($A22&amp;"|"&amp;Z$5,TF_Dom,0)),"LMS",INDEX(AktKode,MATCH(INDEX(TF_Akt,MATCH($A22&amp;"|"&amp;Z$5,TF_Dom,0)),Aktiviteter,0)))&amp;IF(OR(COUNTIFS(TF_Nokkel,$A22&amp;"|"&amp;Z$5,TF_Akt,"&lt;&gt;"&amp;INDEX(TF_Akt,MATCH($A22&amp;"|"&amp;Z$5,TF_Dom,0)))&gt;0,AND(IF(Z$8="",0,MAX(0,ROUND((Z$11-SUMIFS(TF_Timer,TF_Nokkel,$A22&amp;"|"&amp;Z$5))*2,0)/2))&gt;0,INDEX(TF_Akt,MATCH($A22&amp;"|"&amp;Z$5,TF_Dom,0))&lt;&gt;"LMS")),"+",""),"?"))))</f>
        <v/>
      </c>
      <c r="AA22" s="13">
        <f>IF(OR($A22="",AA$5=""),"",IF(OR(AND(INDEX(TekFra,7)&gt;0,AA$5&lt;INDEX(TekFra,7)),AND(INDEX(TekTil,7)&gt;0,AA$5&gt;INDEX(TekTil,7))),"",IF(COUNTIFS(TF_Nokkel,$A22&amp;"|"&amp;AA$5)=0,IF(AA$8&lt;&gt;"","LMS",""),IFERROR(IF(SUMIFS(TF_Timer,TF_Nokkel,$A22&amp;"|"&amp;AA$5,TF_Akt,"LMS")+IF(AA$8="",0,MAX(0,ROUND((AA$11-SUMIFS(TF_Timer,TF_Nokkel,$A22&amp;"|"&amp;AA$5))*2,0)/2))&gt;INDEX(TF_AktSum,MATCH($A22&amp;"|"&amp;AA$5,TF_Dom,0)),"LMS",INDEX(AktKode,MATCH(INDEX(TF_Akt,MATCH($A22&amp;"|"&amp;AA$5,TF_Dom,0)),Aktiviteter,0)))&amp;IF(OR(COUNTIFS(TF_Nokkel,$A22&amp;"|"&amp;AA$5,TF_Akt,"&lt;&gt;"&amp;INDEX(TF_Akt,MATCH($A22&amp;"|"&amp;AA$5,TF_Dom,0)))&gt;0,AND(IF(AA$8="",0,MAX(0,ROUND((AA$11-SUMIFS(TF_Timer,TF_Nokkel,$A22&amp;"|"&amp;AA$5))*2,0)/2))&gt;0,INDEX(TF_Akt,MATCH($A22&amp;"|"&amp;AA$5,TF_Dom,0))&lt;&gt;"LMS")),"+",""),"?"))))</f>
        <v/>
      </c>
      <c r="AB22" s="13">
        <f>IF(OR($A22="",AB$5=""),"",IF(OR(AND(INDEX(TekFra,7)&gt;0,AB$5&lt;INDEX(TekFra,7)),AND(INDEX(TekTil,7)&gt;0,AB$5&gt;INDEX(TekTil,7))),"",IF(COUNTIFS(TF_Nokkel,$A22&amp;"|"&amp;AB$5)=0,IF(AB$8&lt;&gt;"","LMS",""),IFERROR(IF(SUMIFS(TF_Timer,TF_Nokkel,$A22&amp;"|"&amp;AB$5,TF_Akt,"LMS")+IF(AB$8="",0,MAX(0,ROUND((AB$11-SUMIFS(TF_Timer,TF_Nokkel,$A22&amp;"|"&amp;AB$5))*2,0)/2))&gt;INDEX(TF_AktSum,MATCH($A22&amp;"|"&amp;AB$5,TF_Dom,0)),"LMS",INDEX(AktKode,MATCH(INDEX(TF_Akt,MATCH($A22&amp;"|"&amp;AB$5,TF_Dom,0)),Aktiviteter,0)))&amp;IF(OR(COUNTIFS(TF_Nokkel,$A22&amp;"|"&amp;AB$5,TF_Akt,"&lt;&gt;"&amp;INDEX(TF_Akt,MATCH($A22&amp;"|"&amp;AB$5,TF_Dom,0)))&gt;0,AND(IF(AB$8="",0,MAX(0,ROUND((AB$11-SUMIFS(TF_Timer,TF_Nokkel,$A22&amp;"|"&amp;AB$5))*2,0)/2))&gt;0,INDEX(TF_Akt,MATCH($A22&amp;"|"&amp;AB$5,TF_Dom,0))&lt;&gt;"LMS")),"+",""),"?"))))</f>
        <v/>
      </c>
      <c r="AC22" s="13">
        <f>IF(OR($A22="",AC$5=""),"",IF(OR(AND(INDEX(TekFra,7)&gt;0,AC$5&lt;INDEX(TekFra,7)),AND(INDEX(TekTil,7)&gt;0,AC$5&gt;INDEX(TekTil,7))),"",IF(COUNTIFS(TF_Nokkel,$A22&amp;"|"&amp;AC$5)=0,IF(AC$8&lt;&gt;"","LMS",""),IFERROR(IF(SUMIFS(TF_Timer,TF_Nokkel,$A22&amp;"|"&amp;AC$5,TF_Akt,"LMS")+IF(AC$8="",0,MAX(0,ROUND((AC$11-SUMIFS(TF_Timer,TF_Nokkel,$A22&amp;"|"&amp;AC$5))*2,0)/2))&gt;INDEX(TF_AktSum,MATCH($A22&amp;"|"&amp;AC$5,TF_Dom,0)),"LMS",INDEX(AktKode,MATCH(INDEX(TF_Akt,MATCH($A22&amp;"|"&amp;AC$5,TF_Dom,0)),Aktiviteter,0)))&amp;IF(OR(COUNTIFS(TF_Nokkel,$A22&amp;"|"&amp;AC$5,TF_Akt,"&lt;&gt;"&amp;INDEX(TF_Akt,MATCH($A22&amp;"|"&amp;AC$5,TF_Dom,0)))&gt;0,AND(IF(AC$8="",0,MAX(0,ROUND((AC$11-SUMIFS(TF_Timer,TF_Nokkel,$A22&amp;"|"&amp;AC$5))*2,0)/2))&gt;0,INDEX(TF_Akt,MATCH($A22&amp;"|"&amp;AC$5,TF_Dom,0))&lt;&gt;"LMS")),"+",""),"?"))))</f>
        <v/>
      </c>
      <c r="AD22" s="13">
        <f>IF(OR($A22="",AD$5=""),"",IF(OR(AND(INDEX(TekFra,7)&gt;0,AD$5&lt;INDEX(TekFra,7)),AND(INDEX(TekTil,7)&gt;0,AD$5&gt;INDEX(TekTil,7))),"",IF(COUNTIFS(TF_Nokkel,$A22&amp;"|"&amp;AD$5)=0,IF(AD$8&lt;&gt;"","LMS",""),IFERROR(IF(SUMIFS(TF_Timer,TF_Nokkel,$A22&amp;"|"&amp;AD$5,TF_Akt,"LMS")+IF(AD$8="",0,MAX(0,ROUND((AD$11-SUMIFS(TF_Timer,TF_Nokkel,$A22&amp;"|"&amp;AD$5))*2,0)/2))&gt;INDEX(TF_AktSum,MATCH($A22&amp;"|"&amp;AD$5,TF_Dom,0)),"LMS",INDEX(AktKode,MATCH(INDEX(TF_Akt,MATCH($A22&amp;"|"&amp;AD$5,TF_Dom,0)),Aktiviteter,0)))&amp;IF(OR(COUNTIFS(TF_Nokkel,$A22&amp;"|"&amp;AD$5,TF_Akt,"&lt;&gt;"&amp;INDEX(TF_Akt,MATCH($A22&amp;"|"&amp;AD$5,TF_Dom,0)))&gt;0,AND(IF(AD$8="",0,MAX(0,ROUND((AD$11-SUMIFS(TF_Timer,TF_Nokkel,$A22&amp;"|"&amp;AD$5))*2,0)/2))&gt;0,INDEX(TF_Akt,MATCH($A22&amp;"|"&amp;AD$5,TF_Dom,0))&lt;&gt;"LMS")),"+",""),"?"))))</f>
        <v/>
      </c>
      <c r="AE22" s="13">
        <f>IF(OR($A22="",AE$5=""),"",IF(OR(AND(INDEX(TekFra,7)&gt;0,AE$5&lt;INDEX(TekFra,7)),AND(INDEX(TekTil,7)&gt;0,AE$5&gt;INDEX(TekTil,7))),"",IF(COUNTIFS(TF_Nokkel,$A22&amp;"|"&amp;AE$5)=0,IF(AE$8&lt;&gt;"","LMS",""),IFERROR(IF(SUMIFS(TF_Timer,TF_Nokkel,$A22&amp;"|"&amp;AE$5,TF_Akt,"LMS")+IF(AE$8="",0,MAX(0,ROUND((AE$11-SUMIFS(TF_Timer,TF_Nokkel,$A22&amp;"|"&amp;AE$5))*2,0)/2))&gt;INDEX(TF_AktSum,MATCH($A22&amp;"|"&amp;AE$5,TF_Dom,0)),"LMS",INDEX(AktKode,MATCH(INDEX(TF_Akt,MATCH($A22&amp;"|"&amp;AE$5,TF_Dom,0)),Aktiviteter,0)))&amp;IF(OR(COUNTIFS(TF_Nokkel,$A22&amp;"|"&amp;AE$5,TF_Akt,"&lt;&gt;"&amp;INDEX(TF_Akt,MATCH($A22&amp;"|"&amp;AE$5,TF_Dom,0)))&gt;0,AND(IF(AE$8="",0,MAX(0,ROUND((AE$11-SUMIFS(TF_Timer,TF_Nokkel,$A22&amp;"|"&amp;AE$5))*2,0)/2))&gt;0,INDEX(TF_Akt,MATCH($A22&amp;"|"&amp;AE$5,TF_Dom,0))&lt;&gt;"LMS")),"+",""),"?"))))</f>
        <v/>
      </c>
      <c r="AF22" s="13">
        <f>IF(OR($A22="",AF$5=""),"",IF(OR(AND(INDEX(TekFra,7)&gt;0,AF$5&lt;INDEX(TekFra,7)),AND(INDEX(TekTil,7)&gt;0,AF$5&gt;INDEX(TekTil,7))),"",IF(COUNTIFS(TF_Nokkel,$A22&amp;"|"&amp;AF$5)=0,IF(AF$8&lt;&gt;"","LMS",""),IFERROR(IF(SUMIFS(TF_Timer,TF_Nokkel,$A22&amp;"|"&amp;AF$5,TF_Akt,"LMS")+IF(AF$8="",0,MAX(0,ROUND((AF$11-SUMIFS(TF_Timer,TF_Nokkel,$A22&amp;"|"&amp;AF$5))*2,0)/2))&gt;INDEX(TF_AktSum,MATCH($A22&amp;"|"&amp;AF$5,TF_Dom,0)),"LMS",INDEX(AktKode,MATCH(INDEX(TF_Akt,MATCH($A22&amp;"|"&amp;AF$5,TF_Dom,0)),Aktiviteter,0)))&amp;IF(OR(COUNTIFS(TF_Nokkel,$A22&amp;"|"&amp;AF$5,TF_Akt,"&lt;&gt;"&amp;INDEX(TF_Akt,MATCH($A22&amp;"|"&amp;AF$5,TF_Dom,0)))&gt;0,AND(IF(AF$8="",0,MAX(0,ROUND((AF$11-SUMIFS(TF_Timer,TF_Nokkel,$A22&amp;"|"&amp;AF$5))*2,0)/2))&gt;0,INDEX(TF_Akt,MATCH($A22&amp;"|"&amp;AF$5,TF_Dom,0))&lt;&gt;"LMS")),"+",""),"?"))))</f>
        <v/>
      </c>
      <c r="AG22" s="13">
        <f>IF(OR($A22="",AG$5=""),"",IF(OR(AND(INDEX(TekFra,7)&gt;0,AG$5&lt;INDEX(TekFra,7)),AND(INDEX(TekTil,7)&gt;0,AG$5&gt;INDEX(TekTil,7))),"",IF(COUNTIFS(TF_Nokkel,$A22&amp;"|"&amp;AG$5)=0,IF(AG$8&lt;&gt;"","LMS",""),IFERROR(IF(SUMIFS(TF_Timer,TF_Nokkel,$A22&amp;"|"&amp;AG$5,TF_Akt,"LMS")+IF(AG$8="",0,MAX(0,ROUND((AG$11-SUMIFS(TF_Timer,TF_Nokkel,$A22&amp;"|"&amp;AG$5))*2,0)/2))&gt;INDEX(TF_AktSum,MATCH($A22&amp;"|"&amp;AG$5,TF_Dom,0)),"LMS",INDEX(AktKode,MATCH(INDEX(TF_Akt,MATCH($A22&amp;"|"&amp;AG$5,TF_Dom,0)),Aktiviteter,0)))&amp;IF(OR(COUNTIFS(TF_Nokkel,$A22&amp;"|"&amp;AG$5,TF_Akt,"&lt;&gt;"&amp;INDEX(TF_Akt,MATCH($A22&amp;"|"&amp;AG$5,TF_Dom,0)))&gt;0,AND(IF(AG$8="",0,MAX(0,ROUND((AG$11-SUMIFS(TF_Timer,TF_Nokkel,$A22&amp;"|"&amp;AG$5))*2,0)/2))&gt;0,INDEX(TF_Akt,MATCH($A22&amp;"|"&amp;AG$5,TF_Dom,0))&lt;&gt;"LMS")),"+",""),"?"))))</f>
        <v/>
      </c>
      <c r="AH22" s="2" t="n"/>
      <c r="AI22" s="21" t="inlineStr">
        <is>
          <t>M</t>
        </is>
      </c>
      <c r="AJ22" s="15" t="inlineStr">
        <is>
          <t>Mod</t>
        </is>
      </c>
    </row>
    <row r="23">
      <c r="A23" s="2">
        <f>INDEX(Teknikere,8)&amp;""</f>
        <v/>
      </c>
      <c r="B23" s="12">
        <f>IF(INDEX(TekFra,8)&gt;0,"ekstra","")</f>
        <v/>
      </c>
      <c r="C23" s="13">
        <f>IF(OR($A23="",C$5=""),"",IF(OR(AND(INDEX(TekFra,8)&gt;0,C$5&lt;INDEX(TekFra,8)),AND(INDEX(TekTil,8)&gt;0,C$5&gt;INDEX(TekTil,8))),"",IF(COUNTIFS(TF_Nokkel,$A23&amp;"|"&amp;C$5)=0,IF(C$8&lt;&gt;"","LMS",""),IFERROR(IF(SUMIFS(TF_Timer,TF_Nokkel,$A23&amp;"|"&amp;C$5,TF_Akt,"LMS")+IF(C$8="",0,MAX(0,ROUND((C$11-SUMIFS(TF_Timer,TF_Nokkel,$A23&amp;"|"&amp;C$5))*2,0)/2))&gt;INDEX(TF_AktSum,MATCH($A23&amp;"|"&amp;C$5,TF_Dom,0)),"LMS",INDEX(AktKode,MATCH(INDEX(TF_Akt,MATCH($A23&amp;"|"&amp;C$5,TF_Dom,0)),Aktiviteter,0)))&amp;IF(OR(COUNTIFS(TF_Nokkel,$A23&amp;"|"&amp;C$5,TF_Akt,"&lt;&gt;"&amp;INDEX(TF_Akt,MATCH($A23&amp;"|"&amp;C$5,TF_Dom,0)))&gt;0,AND(IF(C$8="",0,MAX(0,ROUND((C$11-SUMIFS(TF_Timer,TF_Nokkel,$A23&amp;"|"&amp;C$5))*2,0)/2))&gt;0,INDEX(TF_Akt,MATCH($A23&amp;"|"&amp;C$5,TF_Dom,0))&lt;&gt;"LMS")),"+",""),"?"))))</f>
        <v/>
      </c>
      <c r="D23" s="13">
        <f>IF(OR($A23="",D$5=""),"",IF(OR(AND(INDEX(TekFra,8)&gt;0,D$5&lt;INDEX(TekFra,8)),AND(INDEX(TekTil,8)&gt;0,D$5&gt;INDEX(TekTil,8))),"",IF(COUNTIFS(TF_Nokkel,$A23&amp;"|"&amp;D$5)=0,IF(D$8&lt;&gt;"","LMS",""),IFERROR(IF(SUMIFS(TF_Timer,TF_Nokkel,$A23&amp;"|"&amp;D$5,TF_Akt,"LMS")+IF(D$8="",0,MAX(0,ROUND((D$11-SUMIFS(TF_Timer,TF_Nokkel,$A23&amp;"|"&amp;D$5))*2,0)/2))&gt;INDEX(TF_AktSum,MATCH($A23&amp;"|"&amp;D$5,TF_Dom,0)),"LMS",INDEX(AktKode,MATCH(INDEX(TF_Akt,MATCH($A23&amp;"|"&amp;D$5,TF_Dom,0)),Aktiviteter,0)))&amp;IF(OR(COUNTIFS(TF_Nokkel,$A23&amp;"|"&amp;D$5,TF_Akt,"&lt;&gt;"&amp;INDEX(TF_Akt,MATCH($A23&amp;"|"&amp;D$5,TF_Dom,0)))&gt;0,AND(IF(D$8="",0,MAX(0,ROUND((D$11-SUMIFS(TF_Timer,TF_Nokkel,$A23&amp;"|"&amp;D$5))*2,0)/2))&gt;0,INDEX(TF_Akt,MATCH($A23&amp;"|"&amp;D$5,TF_Dom,0))&lt;&gt;"LMS")),"+",""),"?"))))</f>
        <v/>
      </c>
      <c r="E23" s="13">
        <f>IF(OR($A23="",E$5=""),"",IF(OR(AND(INDEX(TekFra,8)&gt;0,E$5&lt;INDEX(TekFra,8)),AND(INDEX(TekTil,8)&gt;0,E$5&gt;INDEX(TekTil,8))),"",IF(COUNTIFS(TF_Nokkel,$A23&amp;"|"&amp;E$5)=0,IF(E$8&lt;&gt;"","LMS",""),IFERROR(IF(SUMIFS(TF_Timer,TF_Nokkel,$A23&amp;"|"&amp;E$5,TF_Akt,"LMS")+IF(E$8="",0,MAX(0,ROUND((E$11-SUMIFS(TF_Timer,TF_Nokkel,$A23&amp;"|"&amp;E$5))*2,0)/2))&gt;INDEX(TF_AktSum,MATCH($A23&amp;"|"&amp;E$5,TF_Dom,0)),"LMS",INDEX(AktKode,MATCH(INDEX(TF_Akt,MATCH($A23&amp;"|"&amp;E$5,TF_Dom,0)),Aktiviteter,0)))&amp;IF(OR(COUNTIFS(TF_Nokkel,$A23&amp;"|"&amp;E$5,TF_Akt,"&lt;&gt;"&amp;INDEX(TF_Akt,MATCH($A23&amp;"|"&amp;E$5,TF_Dom,0)))&gt;0,AND(IF(E$8="",0,MAX(0,ROUND((E$11-SUMIFS(TF_Timer,TF_Nokkel,$A23&amp;"|"&amp;E$5))*2,0)/2))&gt;0,INDEX(TF_Akt,MATCH($A23&amp;"|"&amp;E$5,TF_Dom,0))&lt;&gt;"LMS")),"+",""),"?"))))</f>
        <v/>
      </c>
      <c r="F23" s="13">
        <f>IF(OR($A23="",F$5=""),"",IF(OR(AND(INDEX(TekFra,8)&gt;0,F$5&lt;INDEX(TekFra,8)),AND(INDEX(TekTil,8)&gt;0,F$5&gt;INDEX(TekTil,8))),"",IF(COUNTIFS(TF_Nokkel,$A23&amp;"|"&amp;F$5)=0,IF(F$8&lt;&gt;"","LMS",""),IFERROR(IF(SUMIFS(TF_Timer,TF_Nokkel,$A23&amp;"|"&amp;F$5,TF_Akt,"LMS")+IF(F$8="",0,MAX(0,ROUND((F$11-SUMIFS(TF_Timer,TF_Nokkel,$A23&amp;"|"&amp;F$5))*2,0)/2))&gt;INDEX(TF_AktSum,MATCH($A23&amp;"|"&amp;F$5,TF_Dom,0)),"LMS",INDEX(AktKode,MATCH(INDEX(TF_Akt,MATCH($A23&amp;"|"&amp;F$5,TF_Dom,0)),Aktiviteter,0)))&amp;IF(OR(COUNTIFS(TF_Nokkel,$A23&amp;"|"&amp;F$5,TF_Akt,"&lt;&gt;"&amp;INDEX(TF_Akt,MATCH($A23&amp;"|"&amp;F$5,TF_Dom,0)))&gt;0,AND(IF(F$8="",0,MAX(0,ROUND((F$11-SUMIFS(TF_Timer,TF_Nokkel,$A23&amp;"|"&amp;F$5))*2,0)/2))&gt;0,INDEX(TF_Akt,MATCH($A23&amp;"|"&amp;F$5,TF_Dom,0))&lt;&gt;"LMS")),"+",""),"?"))))</f>
        <v/>
      </c>
      <c r="G23" s="13">
        <f>IF(OR($A23="",G$5=""),"",IF(OR(AND(INDEX(TekFra,8)&gt;0,G$5&lt;INDEX(TekFra,8)),AND(INDEX(TekTil,8)&gt;0,G$5&gt;INDEX(TekTil,8))),"",IF(COUNTIFS(TF_Nokkel,$A23&amp;"|"&amp;G$5)=0,IF(G$8&lt;&gt;"","LMS",""),IFERROR(IF(SUMIFS(TF_Timer,TF_Nokkel,$A23&amp;"|"&amp;G$5,TF_Akt,"LMS")+IF(G$8="",0,MAX(0,ROUND((G$11-SUMIFS(TF_Timer,TF_Nokkel,$A23&amp;"|"&amp;G$5))*2,0)/2))&gt;INDEX(TF_AktSum,MATCH($A23&amp;"|"&amp;G$5,TF_Dom,0)),"LMS",INDEX(AktKode,MATCH(INDEX(TF_Akt,MATCH($A23&amp;"|"&amp;G$5,TF_Dom,0)),Aktiviteter,0)))&amp;IF(OR(COUNTIFS(TF_Nokkel,$A23&amp;"|"&amp;G$5,TF_Akt,"&lt;&gt;"&amp;INDEX(TF_Akt,MATCH($A23&amp;"|"&amp;G$5,TF_Dom,0)))&gt;0,AND(IF(G$8="",0,MAX(0,ROUND((G$11-SUMIFS(TF_Timer,TF_Nokkel,$A23&amp;"|"&amp;G$5))*2,0)/2))&gt;0,INDEX(TF_Akt,MATCH($A23&amp;"|"&amp;G$5,TF_Dom,0))&lt;&gt;"LMS")),"+",""),"?"))))</f>
        <v/>
      </c>
      <c r="H23" s="13">
        <f>IF(OR($A23="",H$5=""),"",IF(OR(AND(INDEX(TekFra,8)&gt;0,H$5&lt;INDEX(TekFra,8)),AND(INDEX(TekTil,8)&gt;0,H$5&gt;INDEX(TekTil,8))),"",IF(COUNTIFS(TF_Nokkel,$A23&amp;"|"&amp;H$5)=0,IF(H$8&lt;&gt;"","LMS",""),IFERROR(IF(SUMIFS(TF_Timer,TF_Nokkel,$A23&amp;"|"&amp;H$5,TF_Akt,"LMS")+IF(H$8="",0,MAX(0,ROUND((H$11-SUMIFS(TF_Timer,TF_Nokkel,$A23&amp;"|"&amp;H$5))*2,0)/2))&gt;INDEX(TF_AktSum,MATCH($A23&amp;"|"&amp;H$5,TF_Dom,0)),"LMS",INDEX(AktKode,MATCH(INDEX(TF_Akt,MATCH($A23&amp;"|"&amp;H$5,TF_Dom,0)),Aktiviteter,0)))&amp;IF(OR(COUNTIFS(TF_Nokkel,$A23&amp;"|"&amp;H$5,TF_Akt,"&lt;&gt;"&amp;INDEX(TF_Akt,MATCH($A23&amp;"|"&amp;H$5,TF_Dom,0)))&gt;0,AND(IF(H$8="",0,MAX(0,ROUND((H$11-SUMIFS(TF_Timer,TF_Nokkel,$A23&amp;"|"&amp;H$5))*2,0)/2))&gt;0,INDEX(TF_Akt,MATCH($A23&amp;"|"&amp;H$5,TF_Dom,0))&lt;&gt;"LMS")),"+",""),"?"))))</f>
        <v/>
      </c>
      <c r="I23" s="13">
        <f>IF(OR($A23="",I$5=""),"",IF(OR(AND(INDEX(TekFra,8)&gt;0,I$5&lt;INDEX(TekFra,8)),AND(INDEX(TekTil,8)&gt;0,I$5&gt;INDEX(TekTil,8))),"",IF(COUNTIFS(TF_Nokkel,$A23&amp;"|"&amp;I$5)=0,IF(I$8&lt;&gt;"","LMS",""),IFERROR(IF(SUMIFS(TF_Timer,TF_Nokkel,$A23&amp;"|"&amp;I$5,TF_Akt,"LMS")+IF(I$8="",0,MAX(0,ROUND((I$11-SUMIFS(TF_Timer,TF_Nokkel,$A23&amp;"|"&amp;I$5))*2,0)/2))&gt;INDEX(TF_AktSum,MATCH($A23&amp;"|"&amp;I$5,TF_Dom,0)),"LMS",INDEX(AktKode,MATCH(INDEX(TF_Akt,MATCH($A23&amp;"|"&amp;I$5,TF_Dom,0)),Aktiviteter,0)))&amp;IF(OR(COUNTIFS(TF_Nokkel,$A23&amp;"|"&amp;I$5,TF_Akt,"&lt;&gt;"&amp;INDEX(TF_Akt,MATCH($A23&amp;"|"&amp;I$5,TF_Dom,0)))&gt;0,AND(IF(I$8="",0,MAX(0,ROUND((I$11-SUMIFS(TF_Timer,TF_Nokkel,$A23&amp;"|"&amp;I$5))*2,0)/2))&gt;0,INDEX(TF_Akt,MATCH($A23&amp;"|"&amp;I$5,TF_Dom,0))&lt;&gt;"LMS")),"+",""),"?"))))</f>
        <v/>
      </c>
      <c r="J23" s="13">
        <f>IF(OR($A23="",J$5=""),"",IF(OR(AND(INDEX(TekFra,8)&gt;0,J$5&lt;INDEX(TekFra,8)),AND(INDEX(TekTil,8)&gt;0,J$5&gt;INDEX(TekTil,8))),"",IF(COUNTIFS(TF_Nokkel,$A23&amp;"|"&amp;J$5)=0,IF(J$8&lt;&gt;"","LMS",""),IFERROR(IF(SUMIFS(TF_Timer,TF_Nokkel,$A23&amp;"|"&amp;J$5,TF_Akt,"LMS")+IF(J$8="",0,MAX(0,ROUND((J$11-SUMIFS(TF_Timer,TF_Nokkel,$A23&amp;"|"&amp;J$5))*2,0)/2))&gt;INDEX(TF_AktSum,MATCH($A23&amp;"|"&amp;J$5,TF_Dom,0)),"LMS",INDEX(AktKode,MATCH(INDEX(TF_Akt,MATCH($A23&amp;"|"&amp;J$5,TF_Dom,0)),Aktiviteter,0)))&amp;IF(OR(COUNTIFS(TF_Nokkel,$A23&amp;"|"&amp;J$5,TF_Akt,"&lt;&gt;"&amp;INDEX(TF_Akt,MATCH($A23&amp;"|"&amp;J$5,TF_Dom,0)))&gt;0,AND(IF(J$8="",0,MAX(0,ROUND((J$11-SUMIFS(TF_Timer,TF_Nokkel,$A23&amp;"|"&amp;J$5))*2,0)/2))&gt;0,INDEX(TF_Akt,MATCH($A23&amp;"|"&amp;J$5,TF_Dom,0))&lt;&gt;"LMS")),"+",""),"?"))))</f>
        <v/>
      </c>
      <c r="K23" s="13">
        <f>IF(OR($A23="",K$5=""),"",IF(OR(AND(INDEX(TekFra,8)&gt;0,K$5&lt;INDEX(TekFra,8)),AND(INDEX(TekTil,8)&gt;0,K$5&gt;INDEX(TekTil,8))),"",IF(COUNTIFS(TF_Nokkel,$A23&amp;"|"&amp;K$5)=0,IF(K$8&lt;&gt;"","LMS",""),IFERROR(IF(SUMIFS(TF_Timer,TF_Nokkel,$A23&amp;"|"&amp;K$5,TF_Akt,"LMS")+IF(K$8="",0,MAX(0,ROUND((K$11-SUMIFS(TF_Timer,TF_Nokkel,$A23&amp;"|"&amp;K$5))*2,0)/2))&gt;INDEX(TF_AktSum,MATCH($A23&amp;"|"&amp;K$5,TF_Dom,0)),"LMS",INDEX(AktKode,MATCH(INDEX(TF_Akt,MATCH($A23&amp;"|"&amp;K$5,TF_Dom,0)),Aktiviteter,0)))&amp;IF(OR(COUNTIFS(TF_Nokkel,$A23&amp;"|"&amp;K$5,TF_Akt,"&lt;&gt;"&amp;INDEX(TF_Akt,MATCH($A23&amp;"|"&amp;K$5,TF_Dom,0)))&gt;0,AND(IF(K$8="",0,MAX(0,ROUND((K$11-SUMIFS(TF_Timer,TF_Nokkel,$A23&amp;"|"&amp;K$5))*2,0)/2))&gt;0,INDEX(TF_Akt,MATCH($A23&amp;"|"&amp;K$5,TF_Dom,0))&lt;&gt;"LMS")),"+",""),"?"))))</f>
        <v/>
      </c>
      <c r="L23" s="13">
        <f>IF(OR($A23="",L$5=""),"",IF(OR(AND(INDEX(TekFra,8)&gt;0,L$5&lt;INDEX(TekFra,8)),AND(INDEX(TekTil,8)&gt;0,L$5&gt;INDEX(TekTil,8))),"",IF(COUNTIFS(TF_Nokkel,$A23&amp;"|"&amp;L$5)=0,IF(L$8&lt;&gt;"","LMS",""),IFERROR(IF(SUMIFS(TF_Timer,TF_Nokkel,$A23&amp;"|"&amp;L$5,TF_Akt,"LMS")+IF(L$8="",0,MAX(0,ROUND((L$11-SUMIFS(TF_Timer,TF_Nokkel,$A23&amp;"|"&amp;L$5))*2,0)/2))&gt;INDEX(TF_AktSum,MATCH($A23&amp;"|"&amp;L$5,TF_Dom,0)),"LMS",INDEX(AktKode,MATCH(INDEX(TF_Akt,MATCH($A23&amp;"|"&amp;L$5,TF_Dom,0)),Aktiviteter,0)))&amp;IF(OR(COUNTIFS(TF_Nokkel,$A23&amp;"|"&amp;L$5,TF_Akt,"&lt;&gt;"&amp;INDEX(TF_Akt,MATCH($A23&amp;"|"&amp;L$5,TF_Dom,0)))&gt;0,AND(IF(L$8="",0,MAX(0,ROUND((L$11-SUMIFS(TF_Timer,TF_Nokkel,$A23&amp;"|"&amp;L$5))*2,0)/2))&gt;0,INDEX(TF_Akt,MATCH($A23&amp;"|"&amp;L$5,TF_Dom,0))&lt;&gt;"LMS")),"+",""),"?"))))</f>
        <v/>
      </c>
      <c r="M23" s="13">
        <f>IF(OR($A23="",M$5=""),"",IF(OR(AND(INDEX(TekFra,8)&gt;0,M$5&lt;INDEX(TekFra,8)),AND(INDEX(TekTil,8)&gt;0,M$5&gt;INDEX(TekTil,8))),"",IF(COUNTIFS(TF_Nokkel,$A23&amp;"|"&amp;M$5)=0,IF(M$8&lt;&gt;"","LMS",""),IFERROR(IF(SUMIFS(TF_Timer,TF_Nokkel,$A23&amp;"|"&amp;M$5,TF_Akt,"LMS")+IF(M$8="",0,MAX(0,ROUND((M$11-SUMIFS(TF_Timer,TF_Nokkel,$A23&amp;"|"&amp;M$5))*2,0)/2))&gt;INDEX(TF_AktSum,MATCH($A23&amp;"|"&amp;M$5,TF_Dom,0)),"LMS",INDEX(AktKode,MATCH(INDEX(TF_Akt,MATCH($A23&amp;"|"&amp;M$5,TF_Dom,0)),Aktiviteter,0)))&amp;IF(OR(COUNTIFS(TF_Nokkel,$A23&amp;"|"&amp;M$5,TF_Akt,"&lt;&gt;"&amp;INDEX(TF_Akt,MATCH($A23&amp;"|"&amp;M$5,TF_Dom,0)))&gt;0,AND(IF(M$8="",0,MAX(0,ROUND((M$11-SUMIFS(TF_Timer,TF_Nokkel,$A23&amp;"|"&amp;M$5))*2,0)/2))&gt;0,INDEX(TF_Akt,MATCH($A23&amp;"|"&amp;M$5,TF_Dom,0))&lt;&gt;"LMS")),"+",""),"?"))))</f>
        <v/>
      </c>
      <c r="N23" s="13">
        <f>IF(OR($A23="",N$5=""),"",IF(OR(AND(INDEX(TekFra,8)&gt;0,N$5&lt;INDEX(TekFra,8)),AND(INDEX(TekTil,8)&gt;0,N$5&gt;INDEX(TekTil,8))),"",IF(COUNTIFS(TF_Nokkel,$A23&amp;"|"&amp;N$5)=0,IF(N$8&lt;&gt;"","LMS",""),IFERROR(IF(SUMIFS(TF_Timer,TF_Nokkel,$A23&amp;"|"&amp;N$5,TF_Akt,"LMS")+IF(N$8="",0,MAX(0,ROUND((N$11-SUMIFS(TF_Timer,TF_Nokkel,$A23&amp;"|"&amp;N$5))*2,0)/2))&gt;INDEX(TF_AktSum,MATCH($A23&amp;"|"&amp;N$5,TF_Dom,0)),"LMS",INDEX(AktKode,MATCH(INDEX(TF_Akt,MATCH($A23&amp;"|"&amp;N$5,TF_Dom,0)),Aktiviteter,0)))&amp;IF(OR(COUNTIFS(TF_Nokkel,$A23&amp;"|"&amp;N$5,TF_Akt,"&lt;&gt;"&amp;INDEX(TF_Akt,MATCH($A23&amp;"|"&amp;N$5,TF_Dom,0)))&gt;0,AND(IF(N$8="",0,MAX(0,ROUND((N$11-SUMIFS(TF_Timer,TF_Nokkel,$A23&amp;"|"&amp;N$5))*2,0)/2))&gt;0,INDEX(TF_Akt,MATCH($A23&amp;"|"&amp;N$5,TF_Dom,0))&lt;&gt;"LMS")),"+",""),"?"))))</f>
        <v/>
      </c>
      <c r="O23" s="13">
        <f>IF(OR($A23="",O$5=""),"",IF(OR(AND(INDEX(TekFra,8)&gt;0,O$5&lt;INDEX(TekFra,8)),AND(INDEX(TekTil,8)&gt;0,O$5&gt;INDEX(TekTil,8))),"",IF(COUNTIFS(TF_Nokkel,$A23&amp;"|"&amp;O$5)=0,IF(O$8&lt;&gt;"","LMS",""),IFERROR(IF(SUMIFS(TF_Timer,TF_Nokkel,$A23&amp;"|"&amp;O$5,TF_Akt,"LMS")+IF(O$8="",0,MAX(0,ROUND((O$11-SUMIFS(TF_Timer,TF_Nokkel,$A23&amp;"|"&amp;O$5))*2,0)/2))&gt;INDEX(TF_AktSum,MATCH($A23&amp;"|"&amp;O$5,TF_Dom,0)),"LMS",INDEX(AktKode,MATCH(INDEX(TF_Akt,MATCH($A23&amp;"|"&amp;O$5,TF_Dom,0)),Aktiviteter,0)))&amp;IF(OR(COUNTIFS(TF_Nokkel,$A23&amp;"|"&amp;O$5,TF_Akt,"&lt;&gt;"&amp;INDEX(TF_Akt,MATCH($A23&amp;"|"&amp;O$5,TF_Dom,0)))&gt;0,AND(IF(O$8="",0,MAX(0,ROUND((O$11-SUMIFS(TF_Timer,TF_Nokkel,$A23&amp;"|"&amp;O$5))*2,0)/2))&gt;0,INDEX(TF_Akt,MATCH($A23&amp;"|"&amp;O$5,TF_Dom,0))&lt;&gt;"LMS")),"+",""),"?"))))</f>
        <v/>
      </c>
      <c r="P23" s="13">
        <f>IF(OR($A23="",P$5=""),"",IF(OR(AND(INDEX(TekFra,8)&gt;0,P$5&lt;INDEX(TekFra,8)),AND(INDEX(TekTil,8)&gt;0,P$5&gt;INDEX(TekTil,8))),"",IF(COUNTIFS(TF_Nokkel,$A23&amp;"|"&amp;P$5)=0,IF(P$8&lt;&gt;"","LMS",""),IFERROR(IF(SUMIFS(TF_Timer,TF_Nokkel,$A23&amp;"|"&amp;P$5,TF_Akt,"LMS")+IF(P$8="",0,MAX(0,ROUND((P$11-SUMIFS(TF_Timer,TF_Nokkel,$A23&amp;"|"&amp;P$5))*2,0)/2))&gt;INDEX(TF_AktSum,MATCH($A23&amp;"|"&amp;P$5,TF_Dom,0)),"LMS",INDEX(AktKode,MATCH(INDEX(TF_Akt,MATCH($A23&amp;"|"&amp;P$5,TF_Dom,0)),Aktiviteter,0)))&amp;IF(OR(COUNTIFS(TF_Nokkel,$A23&amp;"|"&amp;P$5,TF_Akt,"&lt;&gt;"&amp;INDEX(TF_Akt,MATCH($A23&amp;"|"&amp;P$5,TF_Dom,0)))&gt;0,AND(IF(P$8="",0,MAX(0,ROUND((P$11-SUMIFS(TF_Timer,TF_Nokkel,$A23&amp;"|"&amp;P$5))*2,0)/2))&gt;0,INDEX(TF_Akt,MATCH($A23&amp;"|"&amp;P$5,TF_Dom,0))&lt;&gt;"LMS")),"+",""),"?"))))</f>
        <v/>
      </c>
      <c r="Q23" s="13">
        <f>IF(OR($A23="",Q$5=""),"",IF(OR(AND(INDEX(TekFra,8)&gt;0,Q$5&lt;INDEX(TekFra,8)),AND(INDEX(TekTil,8)&gt;0,Q$5&gt;INDEX(TekTil,8))),"",IF(COUNTIFS(TF_Nokkel,$A23&amp;"|"&amp;Q$5)=0,IF(Q$8&lt;&gt;"","LMS",""),IFERROR(IF(SUMIFS(TF_Timer,TF_Nokkel,$A23&amp;"|"&amp;Q$5,TF_Akt,"LMS")+IF(Q$8="",0,MAX(0,ROUND((Q$11-SUMIFS(TF_Timer,TF_Nokkel,$A23&amp;"|"&amp;Q$5))*2,0)/2))&gt;INDEX(TF_AktSum,MATCH($A23&amp;"|"&amp;Q$5,TF_Dom,0)),"LMS",INDEX(AktKode,MATCH(INDEX(TF_Akt,MATCH($A23&amp;"|"&amp;Q$5,TF_Dom,0)),Aktiviteter,0)))&amp;IF(OR(COUNTIFS(TF_Nokkel,$A23&amp;"|"&amp;Q$5,TF_Akt,"&lt;&gt;"&amp;INDEX(TF_Akt,MATCH($A23&amp;"|"&amp;Q$5,TF_Dom,0)))&gt;0,AND(IF(Q$8="",0,MAX(0,ROUND((Q$11-SUMIFS(TF_Timer,TF_Nokkel,$A23&amp;"|"&amp;Q$5))*2,0)/2))&gt;0,INDEX(TF_Akt,MATCH($A23&amp;"|"&amp;Q$5,TF_Dom,0))&lt;&gt;"LMS")),"+",""),"?"))))</f>
        <v/>
      </c>
      <c r="R23" s="13">
        <f>IF(OR($A23="",R$5=""),"",IF(OR(AND(INDEX(TekFra,8)&gt;0,R$5&lt;INDEX(TekFra,8)),AND(INDEX(TekTil,8)&gt;0,R$5&gt;INDEX(TekTil,8))),"",IF(COUNTIFS(TF_Nokkel,$A23&amp;"|"&amp;R$5)=0,IF(R$8&lt;&gt;"","LMS",""),IFERROR(IF(SUMIFS(TF_Timer,TF_Nokkel,$A23&amp;"|"&amp;R$5,TF_Akt,"LMS")+IF(R$8="",0,MAX(0,ROUND((R$11-SUMIFS(TF_Timer,TF_Nokkel,$A23&amp;"|"&amp;R$5))*2,0)/2))&gt;INDEX(TF_AktSum,MATCH($A23&amp;"|"&amp;R$5,TF_Dom,0)),"LMS",INDEX(AktKode,MATCH(INDEX(TF_Akt,MATCH($A23&amp;"|"&amp;R$5,TF_Dom,0)),Aktiviteter,0)))&amp;IF(OR(COUNTIFS(TF_Nokkel,$A23&amp;"|"&amp;R$5,TF_Akt,"&lt;&gt;"&amp;INDEX(TF_Akt,MATCH($A23&amp;"|"&amp;R$5,TF_Dom,0)))&gt;0,AND(IF(R$8="",0,MAX(0,ROUND((R$11-SUMIFS(TF_Timer,TF_Nokkel,$A23&amp;"|"&amp;R$5))*2,0)/2))&gt;0,INDEX(TF_Akt,MATCH($A23&amp;"|"&amp;R$5,TF_Dom,0))&lt;&gt;"LMS")),"+",""),"?"))))</f>
        <v/>
      </c>
      <c r="S23" s="13">
        <f>IF(OR($A23="",S$5=""),"",IF(OR(AND(INDEX(TekFra,8)&gt;0,S$5&lt;INDEX(TekFra,8)),AND(INDEX(TekTil,8)&gt;0,S$5&gt;INDEX(TekTil,8))),"",IF(COUNTIFS(TF_Nokkel,$A23&amp;"|"&amp;S$5)=0,IF(S$8&lt;&gt;"","LMS",""),IFERROR(IF(SUMIFS(TF_Timer,TF_Nokkel,$A23&amp;"|"&amp;S$5,TF_Akt,"LMS")+IF(S$8="",0,MAX(0,ROUND((S$11-SUMIFS(TF_Timer,TF_Nokkel,$A23&amp;"|"&amp;S$5))*2,0)/2))&gt;INDEX(TF_AktSum,MATCH($A23&amp;"|"&amp;S$5,TF_Dom,0)),"LMS",INDEX(AktKode,MATCH(INDEX(TF_Akt,MATCH($A23&amp;"|"&amp;S$5,TF_Dom,0)),Aktiviteter,0)))&amp;IF(OR(COUNTIFS(TF_Nokkel,$A23&amp;"|"&amp;S$5,TF_Akt,"&lt;&gt;"&amp;INDEX(TF_Akt,MATCH($A23&amp;"|"&amp;S$5,TF_Dom,0)))&gt;0,AND(IF(S$8="",0,MAX(0,ROUND((S$11-SUMIFS(TF_Timer,TF_Nokkel,$A23&amp;"|"&amp;S$5))*2,0)/2))&gt;0,INDEX(TF_Akt,MATCH($A23&amp;"|"&amp;S$5,TF_Dom,0))&lt;&gt;"LMS")),"+",""),"?"))))</f>
        <v/>
      </c>
      <c r="T23" s="13">
        <f>IF(OR($A23="",T$5=""),"",IF(OR(AND(INDEX(TekFra,8)&gt;0,T$5&lt;INDEX(TekFra,8)),AND(INDEX(TekTil,8)&gt;0,T$5&gt;INDEX(TekTil,8))),"",IF(COUNTIFS(TF_Nokkel,$A23&amp;"|"&amp;T$5)=0,IF(T$8&lt;&gt;"","LMS",""),IFERROR(IF(SUMIFS(TF_Timer,TF_Nokkel,$A23&amp;"|"&amp;T$5,TF_Akt,"LMS")+IF(T$8="",0,MAX(0,ROUND((T$11-SUMIFS(TF_Timer,TF_Nokkel,$A23&amp;"|"&amp;T$5))*2,0)/2))&gt;INDEX(TF_AktSum,MATCH($A23&amp;"|"&amp;T$5,TF_Dom,0)),"LMS",INDEX(AktKode,MATCH(INDEX(TF_Akt,MATCH($A23&amp;"|"&amp;T$5,TF_Dom,0)),Aktiviteter,0)))&amp;IF(OR(COUNTIFS(TF_Nokkel,$A23&amp;"|"&amp;T$5,TF_Akt,"&lt;&gt;"&amp;INDEX(TF_Akt,MATCH($A23&amp;"|"&amp;T$5,TF_Dom,0)))&gt;0,AND(IF(T$8="",0,MAX(0,ROUND((T$11-SUMIFS(TF_Timer,TF_Nokkel,$A23&amp;"|"&amp;T$5))*2,0)/2))&gt;0,INDEX(TF_Akt,MATCH($A23&amp;"|"&amp;T$5,TF_Dom,0))&lt;&gt;"LMS")),"+",""),"?"))))</f>
        <v/>
      </c>
      <c r="U23" s="13">
        <f>IF(OR($A23="",U$5=""),"",IF(OR(AND(INDEX(TekFra,8)&gt;0,U$5&lt;INDEX(TekFra,8)),AND(INDEX(TekTil,8)&gt;0,U$5&gt;INDEX(TekTil,8))),"",IF(COUNTIFS(TF_Nokkel,$A23&amp;"|"&amp;U$5)=0,IF(U$8&lt;&gt;"","LMS",""),IFERROR(IF(SUMIFS(TF_Timer,TF_Nokkel,$A23&amp;"|"&amp;U$5,TF_Akt,"LMS")+IF(U$8="",0,MAX(0,ROUND((U$11-SUMIFS(TF_Timer,TF_Nokkel,$A23&amp;"|"&amp;U$5))*2,0)/2))&gt;INDEX(TF_AktSum,MATCH($A23&amp;"|"&amp;U$5,TF_Dom,0)),"LMS",INDEX(AktKode,MATCH(INDEX(TF_Akt,MATCH($A23&amp;"|"&amp;U$5,TF_Dom,0)),Aktiviteter,0)))&amp;IF(OR(COUNTIFS(TF_Nokkel,$A23&amp;"|"&amp;U$5,TF_Akt,"&lt;&gt;"&amp;INDEX(TF_Akt,MATCH($A23&amp;"|"&amp;U$5,TF_Dom,0)))&gt;0,AND(IF(U$8="",0,MAX(0,ROUND((U$11-SUMIFS(TF_Timer,TF_Nokkel,$A23&amp;"|"&amp;U$5))*2,0)/2))&gt;0,INDEX(TF_Akt,MATCH($A23&amp;"|"&amp;U$5,TF_Dom,0))&lt;&gt;"LMS")),"+",""),"?"))))</f>
        <v/>
      </c>
      <c r="V23" s="13">
        <f>IF(OR($A23="",V$5=""),"",IF(OR(AND(INDEX(TekFra,8)&gt;0,V$5&lt;INDEX(TekFra,8)),AND(INDEX(TekTil,8)&gt;0,V$5&gt;INDEX(TekTil,8))),"",IF(COUNTIFS(TF_Nokkel,$A23&amp;"|"&amp;V$5)=0,IF(V$8&lt;&gt;"","LMS",""),IFERROR(IF(SUMIFS(TF_Timer,TF_Nokkel,$A23&amp;"|"&amp;V$5,TF_Akt,"LMS")+IF(V$8="",0,MAX(0,ROUND((V$11-SUMIFS(TF_Timer,TF_Nokkel,$A23&amp;"|"&amp;V$5))*2,0)/2))&gt;INDEX(TF_AktSum,MATCH($A23&amp;"|"&amp;V$5,TF_Dom,0)),"LMS",INDEX(AktKode,MATCH(INDEX(TF_Akt,MATCH($A23&amp;"|"&amp;V$5,TF_Dom,0)),Aktiviteter,0)))&amp;IF(OR(COUNTIFS(TF_Nokkel,$A23&amp;"|"&amp;V$5,TF_Akt,"&lt;&gt;"&amp;INDEX(TF_Akt,MATCH($A23&amp;"|"&amp;V$5,TF_Dom,0)))&gt;0,AND(IF(V$8="",0,MAX(0,ROUND((V$11-SUMIFS(TF_Timer,TF_Nokkel,$A23&amp;"|"&amp;V$5))*2,0)/2))&gt;0,INDEX(TF_Akt,MATCH($A23&amp;"|"&amp;V$5,TF_Dom,0))&lt;&gt;"LMS")),"+",""),"?"))))</f>
        <v/>
      </c>
      <c r="W23" s="13">
        <f>IF(OR($A23="",W$5=""),"",IF(OR(AND(INDEX(TekFra,8)&gt;0,W$5&lt;INDEX(TekFra,8)),AND(INDEX(TekTil,8)&gt;0,W$5&gt;INDEX(TekTil,8))),"",IF(COUNTIFS(TF_Nokkel,$A23&amp;"|"&amp;W$5)=0,IF(W$8&lt;&gt;"","LMS",""),IFERROR(IF(SUMIFS(TF_Timer,TF_Nokkel,$A23&amp;"|"&amp;W$5,TF_Akt,"LMS")+IF(W$8="",0,MAX(0,ROUND((W$11-SUMIFS(TF_Timer,TF_Nokkel,$A23&amp;"|"&amp;W$5))*2,0)/2))&gt;INDEX(TF_AktSum,MATCH($A23&amp;"|"&amp;W$5,TF_Dom,0)),"LMS",INDEX(AktKode,MATCH(INDEX(TF_Akt,MATCH($A23&amp;"|"&amp;W$5,TF_Dom,0)),Aktiviteter,0)))&amp;IF(OR(COUNTIFS(TF_Nokkel,$A23&amp;"|"&amp;W$5,TF_Akt,"&lt;&gt;"&amp;INDEX(TF_Akt,MATCH($A23&amp;"|"&amp;W$5,TF_Dom,0)))&gt;0,AND(IF(W$8="",0,MAX(0,ROUND((W$11-SUMIFS(TF_Timer,TF_Nokkel,$A23&amp;"|"&amp;W$5))*2,0)/2))&gt;0,INDEX(TF_Akt,MATCH($A23&amp;"|"&amp;W$5,TF_Dom,0))&lt;&gt;"LMS")),"+",""),"?"))))</f>
        <v/>
      </c>
      <c r="X23" s="13">
        <f>IF(OR($A23="",X$5=""),"",IF(OR(AND(INDEX(TekFra,8)&gt;0,X$5&lt;INDEX(TekFra,8)),AND(INDEX(TekTil,8)&gt;0,X$5&gt;INDEX(TekTil,8))),"",IF(COUNTIFS(TF_Nokkel,$A23&amp;"|"&amp;X$5)=0,IF(X$8&lt;&gt;"","LMS",""),IFERROR(IF(SUMIFS(TF_Timer,TF_Nokkel,$A23&amp;"|"&amp;X$5,TF_Akt,"LMS")+IF(X$8="",0,MAX(0,ROUND((X$11-SUMIFS(TF_Timer,TF_Nokkel,$A23&amp;"|"&amp;X$5))*2,0)/2))&gt;INDEX(TF_AktSum,MATCH($A23&amp;"|"&amp;X$5,TF_Dom,0)),"LMS",INDEX(AktKode,MATCH(INDEX(TF_Akt,MATCH($A23&amp;"|"&amp;X$5,TF_Dom,0)),Aktiviteter,0)))&amp;IF(OR(COUNTIFS(TF_Nokkel,$A23&amp;"|"&amp;X$5,TF_Akt,"&lt;&gt;"&amp;INDEX(TF_Akt,MATCH($A23&amp;"|"&amp;X$5,TF_Dom,0)))&gt;0,AND(IF(X$8="",0,MAX(0,ROUND((X$11-SUMIFS(TF_Timer,TF_Nokkel,$A23&amp;"|"&amp;X$5))*2,0)/2))&gt;0,INDEX(TF_Akt,MATCH($A23&amp;"|"&amp;X$5,TF_Dom,0))&lt;&gt;"LMS")),"+",""),"?"))))</f>
        <v/>
      </c>
      <c r="Y23" s="13">
        <f>IF(OR($A23="",Y$5=""),"",IF(OR(AND(INDEX(TekFra,8)&gt;0,Y$5&lt;INDEX(TekFra,8)),AND(INDEX(TekTil,8)&gt;0,Y$5&gt;INDEX(TekTil,8))),"",IF(COUNTIFS(TF_Nokkel,$A23&amp;"|"&amp;Y$5)=0,IF(Y$8&lt;&gt;"","LMS",""),IFERROR(IF(SUMIFS(TF_Timer,TF_Nokkel,$A23&amp;"|"&amp;Y$5,TF_Akt,"LMS")+IF(Y$8="",0,MAX(0,ROUND((Y$11-SUMIFS(TF_Timer,TF_Nokkel,$A23&amp;"|"&amp;Y$5))*2,0)/2))&gt;INDEX(TF_AktSum,MATCH($A23&amp;"|"&amp;Y$5,TF_Dom,0)),"LMS",INDEX(AktKode,MATCH(INDEX(TF_Akt,MATCH($A23&amp;"|"&amp;Y$5,TF_Dom,0)),Aktiviteter,0)))&amp;IF(OR(COUNTIFS(TF_Nokkel,$A23&amp;"|"&amp;Y$5,TF_Akt,"&lt;&gt;"&amp;INDEX(TF_Akt,MATCH($A23&amp;"|"&amp;Y$5,TF_Dom,0)))&gt;0,AND(IF(Y$8="",0,MAX(0,ROUND((Y$11-SUMIFS(TF_Timer,TF_Nokkel,$A23&amp;"|"&amp;Y$5))*2,0)/2))&gt;0,INDEX(TF_Akt,MATCH($A23&amp;"|"&amp;Y$5,TF_Dom,0))&lt;&gt;"LMS")),"+",""),"?"))))</f>
        <v/>
      </c>
      <c r="Z23" s="13">
        <f>IF(OR($A23="",Z$5=""),"",IF(OR(AND(INDEX(TekFra,8)&gt;0,Z$5&lt;INDEX(TekFra,8)),AND(INDEX(TekTil,8)&gt;0,Z$5&gt;INDEX(TekTil,8))),"",IF(COUNTIFS(TF_Nokkel,$A23&amp;"|"&amp;Z$5)=0,IF(Z$8&lt;&gt;"","LMS",""),IFERROR(IF(SUMIFS(TF_Timer,TF_Nokkel,$A23&amp;"|"&amp;Z$5,TF_Akt,"LMS")+IF(Z$8="",0,MAX(0,ROUND((Z$11-SUMIFS(TF_Timer,TF_Nokkel,$A23&amp;"|"&amp;Z$5))*2,0)/2))&gt;INDEX(TF_AktSum,MATCH($A23&amp;"|"&amp;Z$5,TF_Dom,0)),"LMS",INDEX(AktKode,MATCH(INDEX(TF_Akt,MATCH($A23&amp;"|"&amp;Z$5,TF_Dom,0)),Aktiviteter,0)))&amp;IF(OR(COUNTIFS(TF_Nokkel,$A23&amp;"|"&amp;Z$5,TF_Akt,"&lt;&gt;"&amp;INDEX(TF_Akt,MATCH($A23&amp;"|"&amp;Z$5,TF_Dom,0)))&gt;0,AND(IF(Z$8="",0,MAX(0,ROUND((Z$11-SUMIFS(TF_Timer,TF_Nokkel,$A23&amp;"|"&amp;Z$5))*2,0)/2))&gt;0,INDEX(TF_Akt,MATCH($A23&amp;"|"&amp;Z$5,TF_Dom,0))&lt;&gt;"LMS")),"+",""),"?"))))</f>
        <v/>
      </c>
      <c r="AA23" s="13">
        <f>IF(OR($A23="",AA$5=""),"",IF(OR(AND(INDEX(TekFra,8)&gt;0,AA$5&lt;INDEX(TekFra,8)),AND(INDEX(TekTil,8)&gt;0,AA$5&gt;INDEX(TekTil,8))),"",IF(COUNTIFS(TF_Nokkel,$A23&amp;"|"&amp;AA$5)=0,IF(AA$8&lt;&gt;"","LMS",""),IFERROR(IF(SUMIFS(TF_Timer,TF_Nokkel,$A23&amp;"|"&amp;AA$5,TF_Akt,"LMS")+IF(AA$8="",0,MAX(0,ROUND((AA$11-SUMIFS(TF_Timer,TF_Nokkel,$A23&amp;"|"&amp;AA$5))*2,0)/2))&gt;INDEX(TF_AktSum,MATCH($A23&amp;"|"&amp;AA$5,TF_Dom,0)),"LMS",INDEX(AktKode,MATCH(INDEX(TF_Akt,MATCH($A23&amp;"|"&amp;AA$5,TF_Dom,0)),Aktiviteter,0)))&amp;IF(OR(COUNTIFS(TF_Nokkel,$A23&amp;"|"&amp;AA$5,TF_Akt,"&lt;&gt;"&amp;INDEX(TF_Akt,MATCH($A23&amp;"|"&amp;AA$5,TF_Dom,0)))&gt;0,AND(IF(AA$8="",0,MAX(0,ROUND((AA$11-SUMIFS(TF_Timer,TF_Nokkel,$A23&amp;"|"&amp;AA$5))*2,0)/2))&gt;0,INDEX(TF_Akt,MATCH($A23&amp;"|"&amp;AA$5,TF_Dom,0))&lt;&gt;"LMS")),"+",""),"?"))))</f>
        <v/>
      </c>
      <c r="AB23" s="13">
        <f>IF(OR($A23="",AB$5=""),"",IF(OR(AND(INDEX(TekFra,8)&gt;0,AB$5&lt;INDEX(TekFra,8)),AND(INDEX(TekTil,8)&gt;0,AB$5&gt;INDEX(TekTil,8))),"",IF(COUNTIFS(TF_Nokkel,$A23&amp;"|"&amp;AB$5)=0,IF(AB$8&lt;&gt;"","LMS",""),IFERROR(IF(SUMIFS(TF_Timer,TF_Nokkel,$A23&amp;"|"&amp;AB$5,TF_Akt,"LMS")+IF(AB$8="",0,MAX(0,ROUND((AB$11-SUMIFS(TF_Timer,TF_Nokkel,$A23&amp;"|"&amp;AB$5))*2,0)/2))&gt;INDEX(TF_AktSum,MATCH($A23&amp;"|"&amp;AB$5,TF_Dom,0)),"LMS",INDEX(AktKode,MATCH(INDEX(TF_Akt,MATCH($A23&amp;"|"&amp;AB$5,TF_Dom,0)),Aktiviteter,0)))&amp;IF(OR(COUNTIFS(TF_Nokkel,$A23&amp;"|"&amp;AB$5,TF_Akt,"&lt;&gt;"&amp;INDEX(TF_Akt,MATCH($A23&amp;"|"&amp;AB$5,TF_Dom,0)))&gt;0,AND(IF(AB$8="",0,MAX(0,ROUND((AB$11-SUMIFS(TF_Timer,TF_Nokkel,$A23&amp;"|"&amp;AB$5))*2,0)/2))&gt;0,INDEX(TF_Akt,MATCH($A23&amp;"|"&amp;AB$5,TF_Dom,0))&lt;&gt;"LMS")),"+",""),"?"))))</f>
        <v/>
      </c>
      <c r="AC23" s="13">
        <f>IF(OR($A23="",AC$5=""),"",IF(OR(AND(INDEX(TekFra,8)&gt;0,AC$5&lt;INDEX(TekFra,8)),AND(INDEX(TekTil,8)&gt;0,AC$5&gt;INDEX(TekTil,8))),"",IF(COUNTIFS(TF_Nokkel,$A23&amp;"|"&amp;AC$5)=0,IF(AC$8&lt;&gt;"","LMS",""),IFERROR(IF(SUMIFS(TF_Timer,TF_Nokkel,$A23&amp;"|"&amp;AC$5,TF_Akt,"LMS")+IF(AC$8="",0,MAX(0,ROUND((AC$11-SUMIFS(TF_Timer,TF_Nokkel,$A23&amp;"|"&amp;AC$5))*2,0)/2))&gt;INDEX(TF_AktSum,MATCH($A23&amp;"|"&amp;AC$5,TF_Dom,0)),"LMS",INDEX(AktKode,MATCH(INDEX(TF_Akt,MATCH($A23&amp;"|"&amp;AC$5,TF_Dom,0)),Aktiviteter,0)))&amp;IF(OR(COUNTIFS(TF_Nokkel,$A23&amp;"|"&amp;AC$5,TF_Akt,"&lt;&gt;"&amp;INDEX(TF_Akt,MATCH($A23&amp;"|"&amp;AC$5,TF_Dom,0)))&gt;0,AND(IF(AC$8="",0,MAX(0,ROUND((AC$11-SUMIFS(TF_Timer,TF_Nokkel,$A23&amp;"|"&amp;AC$5))*2,0)/2))&gt;0,INDEX(TF_Akt,MATCH($A23&amp;"|"&amp;AC$5,TF_Dom,0))&lt;&gt;"LMS")),"+",""),"?"))))</f>
        <v/>
      </c>
      <c r="AD23" s="13">
        <f>IF(OR($A23="",AD$5=""),"",IF(OR(AND(INDEX(TekFra,8)&gt;0,AD$5&lt;INDEX(TekFra,8)),AND(INDEX(TekTil,8)&gt;0,AD$5&gt;INDEX(TekTil,8))),"",IF(COUNTIFS(TF_Nokkel,$A23&amp;"|"&amp;AD$5)=0,IF(AD$8&lt;&gt;"","LMS",""),IFERROR(IF(SUMIFS(TF_Timer,TF_Nokkel,$A23&amp;"|"&amp;AD$5,TF_Akt,"LMS")+IF(AD$8="",0,MAX(0,ROUND((AD$11-SUMIFS(TF_Timer,TF_Nokkel,$A23&amp;"|"&amp;AD$5))*2,0)/2))&gt;INDEX(TF_AktSum,MATCH($A23&amp;"|"&amp;AD$5,TF_Dom,0)),"LMS",INDEX(AktKode,MATCH(INDEX(TF_Akt,MATCH($A23&amp;"|"&amp;AD$5,TF_Dom,0)),Aktiviteter,0)))&amp;IF(OR(COUNTIFS(TF_Nokkel,$A23&amp;"|"&amp;AD$5,TF_Akt,"&lt;&gt;"&amp;INDEX(TF_Akt,MATCH($A23&amp;"|"&amp;AD$5,TF_Dom,0)))&gt;0,AND(IF(AD$8="",0,MAX(0,ROUND((AD$11-SUMIFS(TF_Timer,TF_Nokkel,$A23&amp;"|"&amp;AD$5))*2,0)/2))&gt;0,INDEX(TF_Akt,MATCH($A23&amp;"|"&amp;AD$5,TF_Dom,0))&lt;&gt;"LMS")),"+",""),"?"))))</f>
        <v/>
      </c>
      <c r="AE23" s="13">
        <f>IF(OR($A23="",AE$5=""),"",IF(OR(AND(INDEX(TekFra,8)&gt;0,AE$5&lt;INDEX(TekFra,8)),AND(INDEX(TekTil,8)&gt;0,AE$5&gt;INDEX(TekTil,8))),"",IF(COUNTIFS(TF_Nokkel,$A23&amp;"|"&amp;AE$5)=0,IF(AE$8&lt;&gt;"","LMS",""),IFERROR(IF(SUMIFS(TF_Timer,TF_Nokkel,$A23&amp;"|"&amp;AE$5,TF_Akt,"LMS")+IF(AE$8="",0,MAX(0,ROUND((AE$11-SUMIFS(TF_Timer,TF_Nokkel,$A23&amp;"|"&amp;AE$5))*2,0)/2))&gt;INDEX(TF_AktSum,MATCH($A23&amp;"|"&amp;AE$5,TF_Dom,0)),"LMS",INDEX(AktKode,MATCH(INDEX(TF_Akt,MATCH($A23&amp;"|"&amp;AE$5,TF_Dom,0)),Aktiviteter,0)))&amp;IF(OR(COUNTIFS(TF_Nokkel,$A23&amp;"|"&amp;AE$5,TF_Akt,"&lt;&gt;"&amp;INDEX(TF_Akt,MATCH($A23&amp;"|"&amp;AE$5,TF_Dom,0)))&gt;0,AND(IF(AE$8="",0,MAX(0,ROUND((AE$11-SUMIFS(TF_Timer,TF_Nokkel,$A23&amp;"|"&amp;AE$5))*2,0)/2))&gt;0,INDEX(TF_Akt,MATCH($A23&amp;"|"&amp;AE$5,TF_Dom,0))&lt;&gt;"LMS")),"+",""),"?"))))</f>
        <v/>
      </c>
      <c r="AF23" s="13">
        <f>IF(OR($A23="",AF$5=""),"",IF(OR(AND(INDEX(TekFra,8)&gt;0,AF$5&lt;INDEX(TekFra,8)),AND(INDEX(TekTil,8)&gt;0,AF$5&gt;INDEX(TekTil,8))),"",IF(COUNTIFS(TF_Nokkel,$A23&amp;"|"&amp;AF$5)=0,IF(AF$8&lt;&gt;"","LMS",""),IFERROR(IF(SUMIFS(TF_Timer,TF_Nokkel,$A23&amp;"|"&amp;AF$5,TF_Akt,"LMS")+IF(AF$8="",0,MAX(0,ROUND((AF$11-SUMIFS(TF_Timer,TF_Nokkel,$A23&amp;"|"&amp;AF$5))*2,0)/2))&gt;INDEX(TF_AktSum,MATCH($A23&amp;"|"&amp;AF$5,TF_Dom,0)),"LMS",INDEX(AktKode,MATCH(INDEX(TF_Akt,MATCH($A23&amp;"|"&amp;AF$5,TF_Dom,0)),Aktiviteter,0)))&amp;IF(OR(COUNTIFS(TF_Nokkel,$A23&amp;"|"&amp;AF$5,TF_Akt,"&lt;&gt;"&amp;INDEX(TF_Akt,MATCH($A23&amp;"|"&amp;AF$5,TF_Dom,0)))&gt;0,AND(IF(AF$8="",0,MAX(0,ROUND((AF$11-SUMIFS(TF_Timer,TF_Nokkel,$A23&amp;"|"&amp;AF$5))*2,0)/2))&gt;0,INDEX(TF_Akt,MATCH($A23&amp;"|"&amp;AF$5,TF_Dom,0))&lt;&gt;"LMS")),"+",""),"?"))))</f>
        <v/>
      </c>
      <c r="AG23" s="13">
        <f>IF(OR($A23="",AG$5=""),"",IF(OR(AND(INDEX(TekFra,8)&gt;0,AG$5&lt;INDEX(TekFra,8)),AND(INDEX(TekTil,8)&gt;0,AG$5&gt;INDEX(TekTil,8))),"",IF(COUNTIFS(TF_Nokkel,$A23&amp;"|"&amp;AG$5)=0,IF(AG$8&lt;&gt;"","LMS",""),IFERROR(IF(SUMIFS(TF_Timer,TF_Nokkel,$A23&amp;"|"&amp;AG$5,TF_Akt,"LMS")+IF(AG$8="",0,MAX(0,ROUND((AG$11-SUMIFS(TF_Timer,TF_Nokkel,$A23&amp;"|"&amp;AG$5))*2,0)/2))&gt;INDEX(TF_AktSum,MATCH($A23&amp;"|"&amp;AG$5,TF_Dom,0)),"LMS",INDEX(AktKode,MATCH(INDEX(TF_Akt,MATCH($A23&amp;"|"&amp;AG$5,TF_Dom,0)),Aktiviteter,0)))&amp;IF(OR(COUNTIFS(TF_Nokkel,$A23&amp;"|"&amp;AG$5,TF_Akt,"&lt;&gt;"&amp;INDEX(TF_Akt,MATCH($A23&amp;"|"&amp;AG$5,TF_Dom,0)))&gt;0,AND(IF(AG$8="",0,MAX(0,ROUND((AG$11-SUMIFS(TF_Timer,TF_Nokkel,$A23&amp;"|"&amp;AG$5))*2,0)/2))&gt;0,INDEX(TF_Akt,MATCH($A23&amp;"|"&amp;AG$5,TF_Dom,0))&lt;&gt;"LMS")),"+",""),"?"))))</f>
        <v/>
      </c>
      <c r="AH23" s="2" t="n"/>
      <c r="AI23" s="22" t="inlineStr">
        <is>
          <t>FE</t>
        </is>
      </c>
      <c r="AJ23" s="15" t="inlineStr">
        <is>
          <t>Ferie</t>
        </is>
      </c>
    </row>
    <row r="24">
      <c r="A24" s="2">
        <f>INDEX(Teknikere,9)&amp;""</f>
        <v/>
      </c>
      <c r="B24" s="12">
        <f>IF(INDEX(TekFra,9)&gt;0,"ekstra","")</f>
        <v/>
      </c>
      <c r="C24" s="13">
        <f>IF(OR($A24="",C$5=""),"",IF(OR(AND(INDEX(TekFra,9)&gt;0,C$5&lt;INDEX(TekFra,9)),AND(INDEX(TekTil,9)&gt;0,C$5&gt;INDEX(TekTil,9))),"",IF(COUNTIFS(TF_Nokkel,$A24&amp;"|"&amp;C$5)=0,IF(C$8&lt;&gt;"","LMS",""),IFERROR(IF(SUMIFS(TF_Timer,TF_Nokkel,$A24&amp;"|"&amp;C$5,TF_Akt,"LMS")+IF(C$8="",0,MAX(0,ROUND((C$11-SUMIFS(TF_Timer,TF_Nokkel,$A24&amp;"|"&amp;C$5))*2,0)/2))&gt;INDEX(TF_AktSum,MATCH($A24&amp;"|"&amp;C$5,TF_Dom,0)),"LMS",INDEX(AktKode,MATCH(INDEX(TF_Akt,MATCH($A24&amp;"|"&amp;C$5,TF_Dom,0)),Aktiviteter,0)))&amp;IF(OR(COUNTIFS(TF_Nokkel,$A24&amp;"|"&amp;C$5,TF_Akt,"&lt;&gt;"&amp;INDEX(TF_Akt,MATCH($A24&amp;"|"&amp;C$5,TF_Dom,0)))&gt;0,AND(IF(C$8="",0,MAX(0,ROUND((C$11-SUMIFS(TF_Timer,TF_Nokkel,$A24&amp;"|"&amp;C$5))*2,0)/2))&gt;0,INDEX(TF_Akt,MATCH($A24&amp;"|"&amp;C$5,TF_Dom,0))&lt;&gt;"LMS")),"+",""),"?"))))</f>
        <v/>
      </c>
      <c r="D24" s="13">
        <f>IF(OR($A24="",D$5=""),"",IF(OR(AND(INDEX(TekFra,9)&gt;0,D$5&lt;INDEX(TekFra,9)),AND(INDEX(TekTil,9)&gt;0,D$5&gt;INDEX(TekTil,9))),"",IF(COUNTIFS(TF_Nokkel,$A24&amp;"|"&amp;D$5)=0,IF(D$8&lt;&gt;"","LMS",""),IFERROR(IF(SUMIFS(TF_Timer,TF_Nokkel,$A24&amp;"|"&amp;D$5,TF_Akt,"LMS")+IF(D$8="",0,MAX(0,ROUND((D$11-SUMIFS(TF_Timer,TF_Nokkel,$A24&amp;"|"&amp;D$5))*2,0)/2))&gt;INDEX(TF_AktSum,MATCH($A24&amp;"|"&amp;D$5,TF_Dom,0)),"LMS",INDEX(AktKode,MATCH(INDEX(TF_Akt,MATCH($A24&amp;"|"&amp;D$5,TF_Dom,0)),Aktiviteter,0)))&amp;IF(OR(COUNTIFS(TF_Nokkel,$A24&amp;"|"&amp;D$5,TF_Akt,"&lt;&gt;"&amp;INDEX(TF_Akt,MATCH($A24&amp;"|"&amp;D$5,TF_Dom,0)))&gt;0,AND(IF(D$8="",0,MAX(0,ROUND((D$11-SUMIFS(TF_Timer,TF_Nokkel,$A24&amp;"|"&amp;D$5))*2,0)/2))&gt;0,INDEX(TF_Akt,MATCH($A24&amp;"|"&amp;D$5,TF_Dom,0))&lt;&gt;"LMS")),"+",""),"?"))))</f>
        <v/>
      </c>
      <c r="E24" s="13">
        <f>IF(OR($A24="",E$5=""),"",IF(OR(AND(INDEX(TekFra,9)&gt;0,E$5&lt;INDEX(TekFra,9)),AND(INDEX(TekTil,9)&gt;0,E$5&gt;INDEX(TekTil,9))),"",IF(COUNTIFS(TF_Nokkel,$A24&amp;"|"&amp;E$5)=0,IF(E$8&lt;&gt;"","LMS",""),IFERROR(IF(SUMIFS(TF_Timer,TF_Nokkel,$A24&amp;"|"&amp;E$5,TF_Akt,"LMS")+IF(E$8="",0,MAX(0,ROUND((E$11-SUMIFS(TF_Timer,TF_Nokkel,$A24&amp;"|"&amp;E$5))*2,0)/2))&gt;INDEX(TF_AktSum,MATCH($A24&amp;"|"&amp;E$5,TF_Dom,0)),"LMS",INDEX(AktKode,MATCH(INDEX(TF_Akt,MATCH($A24&amp;"|"&amp;E$5,TF_Dom,0)),Aktiviteter,0)))&amp;IF(OR(COUNTIFS(TF_Nokkel,$A24&amp;"|"&amp;E$5,TF_Akt,"&lt;&gt;"&amp;INDEX(TF_Akt,MATCH($A24&amp;"|"&amp;E$5,TF_Dom,0)))&gt;0,AND(IF(E$8="",0,MAX(0,ROUND((E$11-SUMIFS(TF_Timer,TF_Nokkel,$A24&amp;"|"&amp;E$5))*2,0)/2))&gt;0,INDEX(TF_Akt,MATCH($A24&amp;"|"&amp;E$5,TF_Dom,0))&lt;&gt;"LMS")),"+",""),"?"))))</f>
        <v/>
      </c>
      <c r="F24" s="13">
        <f>IF(OR($A24="",F$5=""),"",IF(OR(AND(INDEX(TekFra,9)&gt;0,F$5&lt;INDEX(TekFra,9)),AND(INDEX(TekTil,9)&gt;0,F$5&gt;INDEX(TekTil,9))),"",IF(COUNTIFS(TF_Nokkel,$A24&amp;"|"&amp;F$5)=0,IF(F$8&lt;&gt;"","LMS",""),IFERROR(IF(SUMIFS(TF_Timer,TF_Nokkel,$A24&amp;"|"&amp;F$5,TF_Akt,"LMS")+IF(F$8="",0,MAX(0,ROUND((F$11-SUMIFS(TF_Timer,TF_Nokkel,$A24&amp;"|"&amp;F$5))*2,0)/2))&gt;INDEX(TF_AktSum,MATCH($A24&amp;"|"&amp;F$5,TF_Dom,0)),"LMS",INDEX(AktKode,MATCH(INDEX(TF_Akt,MATCH($A24&amp;"|"&amp;F$5,TF_Dom,0)),Aktiviteter,0)))&amp;IF(OR(COUNTIFS(TF_Nokkel,$A24&amp;"|"&amp;F$5,TF_Akt,"&lt;&gt;"&amp;INDEX(TF_Akt,MATCH($A24&amp;"|"&amp;F$5,TF_Dom,0)))&gt;0,AND(IF(F$8="",0,MAX(0,ROUND((F$11-SUMIFS(TF_Timer,TF_Nokkel,$A24&amp;"|"&amp;F$5))*2,0)/2))&gt;0,INDEX(TF_Akt,MATCH($A24&amp;"|"&amp;F$5,TF_Dom,0))&lt;&gt;"LMS")),"+",""),"?"))))</f>
        <v/>
      </c>
      <c r="G24" s="13">
        <f>IF(OR($A24="",G$5=""),"",IF(OR(AND(INDEX(TekFra,9)&gt;0,G$5&lt;INDEX(TekFra,9)),AND(INDEX(TekTil,9)&gt;0,G$5&gt;INDEX(TekTil,9))),"",IF(COUNTIFS(TF_Nokkel,$A24&amp;"|"&amp;G$5)=0,IF(G$8&lt;&gt;"","LMS",""),IFERROR(IF(SUMIFS(TF_Timer,TF_Nokkel,$A24&amp;"|"&amp;G$5,TF_Akt,"LMS")+IF(G$8="",0,MAX(0,ROUND((G$11-SUMIFS(TF_Timer,TF_Nokkel,$A24&amp;"|"&amp;G$5))*2,0)/2))&gt;INDEX(TF_AktSum,MATCH($A24&amp;"|"&amp;G$5,TF_Dom,0)),"LMS",INDEX(AktKode,MATCH(INDEX(TF_Akt,MATCH($A24&amp;"|"&amp;G$5,TF_Dom,0)),Aktiviteter,0)))&amp;IF(OR(COUNTIFS(TF_Nokkel,$A24&amp;"|"&amp;G$5,TF_Akt,"&lt;&gt;"&amp;INDEX(TF_Akt,MATCH($A24&amp;"|"&amp;G$5,TF_Dom,0)))&gt;0,AND(IF(G$8="",0,MAX(0,ROUND((G$11-SUMIFS(TF_Timer,TF_Nokkel,$A24&amp;"|"&amp;G$5))*2,0)/2))&gt;0,INDEX(TF_Akt,MATCH($A24&amp;"|"&amp;G$5,TF_Dom,0))&lt;&gt;"LMS")),"+",""),"?"))))</f>
        <v/>
      </c>
      <c r="H24" s="13">
        <f>IF(OR($A24="",H$5=""),"",IF(OR(AND(INDEX(TekFra,9)&gt;0,H$5&lt;INDEX(TekFra,9)),AND(INDEX(TekTil,9)&gt;0,H$5&gt;INDEX(TekTil,9))),"",IF(COUNTIFS(TF_Nokkel,$A24&amp;"|"&amp;H$5)=0,IF(H$8&lt;&gt;"","LMS",""),IFERROR(IF(SUMIFS(TF_Timer,TF_Nokkel,$A24&amp;"|"&amp;H$5,TF_Akt,"LMS")+IF(H$8="",0,MAX(0,ROUND((H$11-SUMIFS(TF_Timer,TF_Nokkel,$A24&amp;"|"&amp;H$5))*2,0)/2))&gt;INDEX(TF_AktSum,MATCH($A24&amp;"|"&amp;H$5,TF_Dom,0)),"LMS",INDEX(AktKode,MATCH(INDEX(TF_Akt,MATCH($A24&amp;"|"&amp;H$5,TF_Dom,0)),Aktiviteter,0)))&amp;IF(OR(COUNTIFS(TF_Nokkel,$A24&amp;"|"&amp;H$5,TF_Akt,"&lt;&gt;"&amp;INDEX(TF_Akt,MATCH($A24&amp;"|"&amp;H$5,TF_Dom,0)))&gt;0,AND(IF(H$8="",0,MAX(0,ROUND((H$11-SUMIFS(TF_Timer,TF_Nokkel,$A24&amp;"|"&amp;H$5))*2,0)/2))&gt;0,INDEX(TF_Akt,MATCH($A24&amp;"|"&amp;H$5,TF_Dom,0))&lt;&gt;"LMS")),"+",""),"?"))))</f>
        <v/>
      </c>
      <c r="I24" s="13">
        <f>IF(OR($A24="",I$5=""),"",IF(OR(AND(INDEX(TekFra,9)&gt;0,I$5&lt;INDEX(TekFra,9)),AND(INDEX(TekTil,9)&gt;0,I$5&gt;INDEX(TekTil,9))),"",IF(COUNTIFS(TF_Nokkel,$A24&amp;"|"&amp;I$5)=0,IF(I$8&lt;&gt;"","LMS",""),IFERROR(IF(SUMIFS(TF_Timer,TF_Nokkel,$A24&amp;"|"&amp;I$5,TF_Akt,"LMS")+IF(I$8="",0,MAX(0,ROUND((I$11-SUMIFS(TF_Timer,TF_Nokkel,$A24&amp;"|"&amp;I$5))*2,0)/2))&gt;INDEX(TF_AktSum,MATCH($A24&amp;"|"&amp;I$5,TF_Dom,0)),"LMS",INDEX(AktKode,MATCH(INDEX(TF_Akt,MATCH($A24&amp;"|"&amp;I$5,TF_Dom,0)),Aktiviteter,0)))&amp;IF(OR(COUNTIFS(TF_Nokkel,$A24&amp;"|"&amp;I$5,TF_Akt,"&lt;&gt;"&amp;INDEX(TF_Akt,MATCH($A24&amp;"|"&amp;I$5,TF_Dom,0)))&gt;0,AND(IF(I$8="",0,MAX(0,ROUND((I$11-SUMIFS(TF_Timer,TF_Nokkel,$A24&amp;"|"&amp;I$5))*2,0)/2))&gt;0,INDEX(TF_Akt,MATCH($A24&amp;"|"&amp;I$5,TF_Dom,0))&lt;&gt;"LMS")),"+",""),"?"))))</f>
        <v/>
      </c>
      <c r="J24" s="13">
        <f>IF(OR($A24="",J$5=""),"",IF(OR(AND(INDEX(TekFra,9)&gt;0,J$5&lt;INDEX(TekFra,9)),AND(INDEX(TekTil,9)&gt;0,J$5&gt;INDEX(TekTil,9))),"",IF(COUNTIFS(TF_Nokkel,$A24&amp;"|"&amp;J$5)=0,IF(J$8&lt;&gt;"","LMS",""),IFERROR(IF(SUMIFS(TF_Timer,TF_Nokkel,$A24&amp;"|"&amp;J$5,TF_Akt,"LMS")+IF(J$8="",0,MAX(0,ROUND((J$11-SUMIFS(TF_Timer,TF_Nokkel,$A24&amp;"|"&amp;J$5))*2,0)/2))&gt;INDEX(TF_AktSum,MATCH($A24&amp;"|"&amp;J$5,TF_Dom,0)),"LMS",INDEX(AktKode,MATCH(INDEX(TF_Akt,MATCH($A24&amp;"|"&amp;J$5,TF_Dom,0)),Aktiviteter,0)))&amp;IF(OR(COUNTIFS(TF_Nokkel,$A24&amp;"|"&amp;J$5,TF_Akt,"&lt;&gt;"&amp;INDEX(TF_Akt,MATCH($A24&amp;"|"&amp;J$5,TF_Dom,0)))&gt;0,AND(IF(J$8="",0,MAX(0,ROUND((J$11-SUMIFS(TF_Timer,TF_Nokkel,$A24&amp;"|"&amp;J$5))*2,0)/2))&gt;0,INDEX(TF_Akt,MATCH($A24&amp;"|"&amp;J$5,TF_Dom,0))&lt;&gt;"LMS")),"+",""),"?"))))</f>
        <v/>
      </c>
      <c r="K24" s="13">
        <f>IF(OR($A24="",K$5=""),"",IF(OR(AND(INDEX(TekFra,9)&gt;0,K$5&lt;INDEX(TekFra,9)),AND(INDEX(TekTil,9)&gt;0,K$5&gt;INDEX(TekTil,9))),"",IF(COUNTIFS(TF_Nokkel,$A24&amp;"|"&amp;K$5)=0,IF(K$8&lt;&gt;"","LMS",""),IFERROR(IF(SUMIFS(TF_Timer,TF_Nokkel,$A24&amp;"|"&amp;K$5,TF_Akt,"LMS")+IF(K$8="",0,MAX(0,ROUND((K$11-SUMIFS(TF_Timer,TF_Nokkel,$A24&amp;"|"&amp;K$5))*2,0)/2))&gt;INDEX(TF_AktSum,MATCH($A24&amp;"|"&amp;K$5,TF_Dom,0)),"LMS",INDEX(AktKode,MATCH(INDEX(TF_Akt,MATCH($A24&amp;"|"&amp;K$5,TF_Dom,0)),Aktiviteter,0)))&amp;IF(OR(COUNTIFS(TF_Nokkel,$A24&amp;"|"&amp;K$5,TF_Akt,"&lt;&gt;"&amp;INDEX(TF_Akt,MATCH($A24&amp;"|"&amp;K$5,TF_Dom,0)))&gt;0,AND(IF(K$8="",0,MAX(0,ROUND((K$11-SUMIFS(TF_Timer,TF_Nokkel,$A24&amp;"|"&amp;K$5))*2,0)/2))&gt;0,INDEX(TF_Akt,MATCH($A24&amp;"|"&amp;K$5,TF_Dom,0))&lt;&gt;"LMS")),"+",""),"?"))))</f>
        <v/>
      </c>
      <c r="L24" s="13">
        <f>IF(OR($A24="",L$5=""),"",IF(OR(AND(INDEX(TekFra,9)&gt;0,L$5&lt;INDEX(TekFra,9)),AND(INDEX(TekTil,9)&gt;0,L$5&gt;INDEX(TekTil,9))),"",IF(COUNTIFS(TF_Nokkel,$A24&amp;"|"&amp;L$5)=0,IF(L$8&lt;&gt;"","LMS",""),IFERROR(IF(SUMIFS(TF_Timer,TF_Nokkel,$A24&amp;"|"&amp;L$5,TF_Akt,"LMS")+IF(L$8="",0,MAX(0,ROUND((L$11-SUMIFS(TF_Timer,TF_Nokkel,$A24&amp;"|"&amp;L$5))*2,0)/2))&gt;INDEX(TF_AktSum,MATCH($A24&amp;"|"&amp;L$5,TF_Dom,0)),"LMS",INDEX(AktKode,MATCH(INDEX(TF_Akt,MATCH($A24&amp;"|"&amp;L$5,TF_Dom,0)),Aktiviteter,0)))&amp;IF(OR(COUNTIFS(TF_Nokkel,$A24&amp;"|"&amp;L$5,TF_Akt,"&lt;&gt;"&amp;INDEX(TF_Akt,MATCH($A24&amp;"|"&amp;L$5,TF_Dom,0)))&gt;0,AND(IF(L$8="",0,MAX(0,ROUND((L$11-SUMIFS(TF_Timer,TF_Nokkel,$A24&amp;"|"&amp;L$5))*2,0)/2))&gt;0,INDEX(TF_Akt,MATCH($A24&amp;"|"&amp;L$5,TF_Dom,0))&lt;&gt;"LMS")),"+",""),"?"))))</f>
        <v/>
      </c>
      <c r="M24" s="13">
        <f>IF(OR($A24="",M$5=""),"",IF(OR(AND(INDEX(TekFra,9)&gt;0,M$5&lt;INDEX(TekFra,9)),AND(INDEX(TekTil,9)&gt;0,M$5&gt;INDEX(TekTil,9))),"",IF(COUNTIFS(TF_Nokkel,$A24&amp;"|"&amp;M$5)=0,IF(M$8&lt;&gt;"","LMS",""),IFERROR(IF(SUMIFS(TF_Timer,TF_Nokkel,$A24&amp;"|"&amp;M$5,TF_Akt,"LMS")+IF(M$8="",0,MAX(0,ROUND((M$11-SUMIFS(TF_Timer,TF_Nokkel,$A24&amp;"|"&amp;M$5))*2,0)/2))&gt;INDEX(TF_AktSum,MATCH($A24&amp;"|"&amp;M$5,TF_Dom,0)),"LMS",INDEX(AktKode,MATCH(INDEX(TF_Akt,MATCH($A24&amp;"|"&amp;M$5,TF_Dom,0)),Aktiviteter,0)))&amp;IF(OR(COUNTIFS(TF_Nokkel,$A24&amp;"|"&amp;M$5,TF_Akt,"&lt;&gt;"&amp;INDEX(TF_Akt,MATCH($A24&amp;"|"&amp;M$5,TF_Dom,0)))&gt;0,AND(IF(M$8="",0,MAX(0,ROUND((M$11-SUMIFS(TF_Timer,TF_Nokkel,$A24&amp;"|"&amp;M$5))*2,0)/2))&gt;0,INDEX(TF_Akt,MATCH($A24&amp;"|"&amp;M$5,TF_Dom,0))&lt;&gt;"LMS")),"+",""),"?"))))</f>
        <v/>
      </c>
      <c r="N24" s="13">
        <f>IF(OR($A24="",N$5=""),"",IF(OR(AND(INDEX(TekFra,9)&gt;0,N$5&lt;INDEX(TekFra,9)),AND(INDEX(TekTil,9)&gt;0,N$5&gt;INDEX(TekTil,9))),"",IF(COUNTIFS(TF_Nokkel,$A24&amp;"|"&amp;N$5)=0,IF(N$8&lt;&gt;"","LMS",""),IFERROR(IF(SUMIFS(TF_Timer,TF_Nokkel,$A24&amp;"|"&amp;N$5,TF_Akt,"LMS")+IF(N$8="",0,MAX(0,ROUND((N$11-SUMIFS(TF_Timer,TF_Nokkel,$A24&amp;"|"&amp;N$5))*2,0)/2))&gt;INDEX(TF_AktSum,MATCH($A24&amp;"|"&amp;N$5,TF_Dom,0)),"LMS",INDEX(AktKode,MATCH(INDEX(TF_Akt,MATCH($A24&amp;"|"&amp;N$5,TF_Dom,0)),Aktiviteter,0)))&amp;IF(OR(COUNTIFS(TF_Nokkel,$A24&amp;"|"&amp;N$5,TF_Akt,"&lt;&gt;"&amp;INDEX(TF_Akt,MATCH($A24&amp;"|"&amp;N$5,TF_Dom,0)))&gt;0,AND(IF(N$8="",0,MAX(0,ROUND((N$11-SUMIFS(TF_Timer,TF_Nokkel,$A24&amp;"|"&amp;N$5))*2,0)/2))&gt;0,INDEX(TF_Akt,MATCH($A24&amp;"|"&amp;N$5,TF_Dom,0))&lt;&gt;"LMS")),"+",""),"?"))))</f>
        <v/>
      </c>
      <c r="O24" s="13">
        <f>IF(OR($A24="",O$5=""),"",IF(OR(AND(INDEX(TekFra,9)&gt;0,O$5&lt;INDEX(TekFra,9)),AND(INDEX(TekTil,9)&gt;0,O$5&gt;INDEX(TekTil,9))),"",IF(COUNTIFS(TF_Nokkel,$A24&amp;"|"&amp;O$5)=0,IF(O$8&lt;&gt;"","LMS",""),IFERROR(IF(SUMIFS(TF_Timer,TF_Nokkel,$A24&amp;"|"&amp;O$5,TF_Akt,"LMS")+IF(O$8="",0,MAX(0,ROUND((O$11-SUMIFS(TF_Timer,TF_Nokkel,$A24&amp;"|"&amp;O$5))*2,0)/2))&gt;INDEX(TF_AktSum,MATCH($A24&amp;"|"&amp;O$5,TF_Dom,0)),"LMS",INDEX(AktKode,MATCH(INDEX(TF_Akt,MATCH($A24&amp;"|"&amp;O$5,TF_Dom,0)),Aktiviteter,0)))&amp;IF(OR(COUNTIFS(TF_Nokkel,$A24&amp;"|"&amp;O$5,TF_Akt,"&lt;&gt;"&amp;INDEX(TF_Akt,MATCH($A24&amp;"|"&amp;O$5,TF_Dom,0)))&gt;0,AND(IF(O$8="",0,MAX(0,ROUND((O$11-SUMIFS(TF_Timer,TF_Nokkel,$A24&amp;"|"&amp;O$5))*2,0)/2))&gt;0,INDEX(TF_Akt,MATCH($A24&amp;"|"&amp;O$5,TF_Dom,0))&lt;&gt;"LMS")),"+",""),"?"))))</f>
        <v/>
      </c>
      <c r="P24" s="13">
        <f>IF(OR($A24="",P$5=""),"",IF(OR(AND(INDEX(TekFra,9)&gt;0,P$5&lt;INDEX(TekFra,9)),AND(INDEX(TekTil,9)&gt;0,P$5&gt;INDEX(TekTil,9))),"",IF(COUNTIFS(TF_Nokkel,$A24&amp;"|"&amp;P$5)=0,IF(P$8&lt;&gt;"","LMS",""),IFERROR(IF(SUMIFS(TF_Timer,TF_Nokkel,$A24&amp;"|"&amp;P$5,TF_Akt,"LMS")+IF(P$8="",0,MAX(0,ROUND((P$11-SUMIFS(TF_Timer,TF_Nokkel,$A24&amp;"|"&amp;P$5))*2,0)/2))&gt;INDEX(TF_AktSum,MATCH($A24&amp;"|"&amp;P$5,TF_Dom,0)),"LMS",INDEX(AktKode,MATCH(INDEX(TF_Akt,MATCH($A24&amp;"|"&amp;P$5,TF_Dom,0)),Aktiviteter,0)))&amp;IF(OR(COUNTIFS(TF_Nokkel,$A24&amp;"|"&amp;P$5,TF_Akt,"&lt;&gt;"&amp;INDEX(TF_Akt,MATCH($A24&amp;"|"&amp;P$5,TF_Dom,0)))&gt;0,AND(IF(P$8="",0,MAX(0,ROUND((P$11-SUMIFS(TF_Timer,TF_Nokkel,$A24&amp;"|"&amp;P$5))*2,0)/2))&gt;0,INDEX(TF_Akt,MATCH($A24&amp;"|"&amp;P$5,TF_Dom,0))&lt;&gt;"LMS")),"+",""),"?"))))</f>
        <v/>
      </c>
      <c r="Q24" s="13">
        <f>IF(OR($A24="",Q$5=""),"",IF(OR(AND(INDEX(TekFra,9)&gt;0,Q$5&lt;INDEX(TekFra,9)),AND(INDEX(TekTil,9)&gt;0,Q$5&gt;INDEX(TekTil,9))),"",IF(COUNTIFS(TF_Nokkel,$A24&amp;"|"&amp;Q$5)=0,IF(Q$8&lt;&gt;"","LMS",""),IFERROR(IF(SUMIFS(TF_Timer,TF_Nokkel,$A24&amp;"|"&amp;Q$5,TF_Akt,"LMS")+IF(Q$8="",0,MAX(0,ROUND((Q$11-SUMIFS(TF_Timer,TF_Nokkel,$A24&amp;"|"&amp;Q$5))*2,0)/2))&gt;INDEX(TF_AktSum,MATCH($A24&amp;"|"&amp;Q$5,TF_Dom,0)),"LMS",INDEX(AktKode,MATCH(INDEX(TF_Akt,MATCH($A24&amp;"|"&amp;Q$5,TF_Dom,0)),Aktiviteter,0)))&amp;IF(OR(COUNTIFS(TF_Nokkel,$A24&amp;"|"&amp;Q$5,TF_Akt,"&lt;&gt;"&amp;INDEX(TF_Akt,MATCH($A24&amp;"|"&amp;Q$5,TF_Dom,0)))&gt;0,AND(IF(Q$8="",0,MAX(0,ROUND((Q$11-SUMIFS(TF_Timer,TF_Nokkel,$A24&amp;"|"&amp;Q$5))*2,0)/2))&gt;0,INDEX(TF_Akt,MATCH($A24&amp;"|"&amp;Q$5,TF_Dom,0))&lt;&gt;"LMS")),"+",""),"?"))))</f>
        <v/>
      </c>
      <c r="R24" s="13">
        <f>IF(OR($A24="",R$5=""),"",IF(OR(AND(INDEX(TekFra,9)&gt;0,R$5&lt;INDEX(TekFra,9)),AND(INDEX(TekTil,9)&gt;0,R$5&gt;INDEX(TekTil,9))),"",IF(COUNTIFS(TF_Nokkel,$A24&amp;"|"&amp;R$5)=0,IF(R$8&lt;&gt;"","LMS",""),IFERROR(IF(SUMIFS(TF_Timer,TF_Nokkel,$A24&amp;"|"&amp;R$5,TF_Akt,"LMS")+IF(R$8="",0,MAX(0,ROUND((R$11-SUMIFS(TF_Timer,TF_Nokkel,$A24&amp;"|"&amp;R$5))*2,0)/2))&gt;INDEX(TF_AktSum,MATCH($A24&amp;"|"&amp;R$5,TF_Dom,0)),"LMS",INDEX(AktKode,MATCH(INDEX(TF_Akt,MATCH($A24&amp;"|"&amp;R$5,TF_Dom,0)),Aktiviteter,0)))&amp;IF(OR(COUNTIFS(TF_Nokkel,$A24&amp;"|"&amp;R$5,TF_Akt,"&lt;&gt;"&amp;INDEX(TF_Akt,MATCH($A24&amp;"|"&amp;R$5,TF_Dom,0)))&gt;0,AND(IF(R$8="",0,MAX(0,ROUND((R$11-SUMIFS(TF_Timer,TF_Nokkel,$A24&amp;"|"&amp;R$5))*2,0)/2))&gt;0,INDEX(TF_Akt,MATCH($A24&amp;"|"&amp;R$5,TF_Dom,0))&lt;&gt;"LMS")),"+",""),"?"))))</f>
        <v/>
      </c>
      <c r="S24" s="13">
        <f>IF(OR($A24="",S$5=""),"",IF(OR(AND(INDEX(TekFra,9)&gt;0,S$5&lt;INDEX(TekFra,9)),AND(INDEX(TekTil,9)&gt;0,S$5&gt;INDEX(TekTil,9))),"",IF(COUNTIFS(TF_Nokkel,$A24&amp;"|"&amp;S$5)=0,IF(S$8&lt;&gt;"","LMS",""),IFERROR(IF(SUMIFS(TF_Timer,TF_Nokkel,$A24&amp;"|"&amp;S$5,TF_Akt,"LMS")+IF(S$8="",0,MAX(0,ROUND((S$11-SUMIFS(TF_Timer,TF_Nokkel,$A24&amp;"|"&amp;S$5))*2,0)/2))&gt;INDEX(TF_AktSum,MATCH($A24&amp;"|"&amp;S$5,TF_Dom,0)),"LMS",INDEX(AktKode,MATCH(INDEX(TF_Akt,MATCH($A24&amp;"|"&amp;S$5,TF_Dom,0)),Aktiviteter,0)))&amp;IF(OR(COUNTIFS(TF_Nokkel,$A24&amp;"|"&amp;S$5,TF_Akt,"&lt;&gt;"&amp;INDEX(TF_Akt,MATCH($A24&amp;"|"&amp;S$5,TF_Dom,0)))&gt;0,AND(IF(S$8="",0,MAX(0,ROUND((S$11-SUMIFS(TF_Timer,TF_Nokkel,$A24&amp;"|"&amp;S$5))*2,0)/2))&gt;0,INDEX(TF_Akt,MATCH($A24&amp;"|"&amp;S$5,TF_Dom,0))&lt;&gt;"LMS")),"+",""),"?"))))</f>
        <v/>
      </c>
      <c r="T24" s="13">
        <f>IF(OR($A24="",T$5=""),"",IF(OR(AND(INDEX(TekFra,9)&gt;0,T$5&lt;INDEX(TekFra,9)),AND(INDEX(TekTil,9)&gt;0,T$5&gt;INDEX(TekTil,9))),"",IF(COUNTIFS(TF_Nokkel,$A24&amp;"|"&amp;T$5)=0,IF(T$8&lt;&gt;"","LMS",""),IFERROR(IF(SUMIFS(TF_Timer,TF_Nokkel,$A24&amp;"|"&amp;T$5,TF_Akt,"LMS")+IF(T$8="",0,MAX(0,ROUND((T$11-SUMIFS(TF_Timer,TF_Nokkel,$A24&amp;"|"&amp;T$5))*2,0)/2))&gt;INDEX(TF_AktSum,MATCH($A24&amp;"|"&amp;T$5,TF_Dom,0)),"LMS",INDEX(AktKode,MATCH(INDEX(TF_Akt,MATCH($A24&amp;"|"&amp;T$5,TF_Dom,0)),Aktiviteter,0)))&amp;IF(OR(COUNTIFS(TF_Nokkel,$A24&amp;"|"&amp;T$5,TF_Akt,"&lt;&gt;"&amp;INDEX(TF_Akt,MATCH($A24&amp;"|"&amp;T$5,TF_Dom,0)))&gt;0,AND(IF(T$8="",0,MAX(0,ROUND((T$11-SUMIFS(TF_Timer,TF_Nokkel,$A24&amp;"|"&amp;T$5))*2,0)/2))&gt;0,INDEX(TF_Akt,MATCH($A24&amp;"|"&amp;T$5,TF_Dom,0))&lt;&gt;"LMS")),"+",""),"?"))))</f>
        <v/>
      </c>
      <c r="U24" s="13">
        <f>IF(OR($A24="",U$5=""),"",IF(OR(AND(INDEX(TekFra,9)&gt;0,U$5&lt;INDEX(TekFra,9)),AND(INDEX(TekTil,9)&gt;0,U$5&gt;INDEX(TekTil,9))),"",IF(COUNTIFS(TF_Nokkel,$A24&amp;"|"&amp;U$5)=0,IF(U$8&lt;&gt;"","LMS",""),IFERROR(IF(SUMIFS(TF_Timer,TF_Nokkel,$A24&amp;"|"&amp;U$5,TF_Akt,"LMS")+IF(U$8="",0,MAX(0,ROUND((U$11-SUMIFS(TF_Timer,TF_Nokkel,$A24&amp;"|"&amp;U$5))*2,0)/2))&gt;INDEX(TF_AktSum,MATCH($A24&amp;"|"&amp;U$5,TF_Dom,0)),"LMS",INDEX(AktKode,MATCH(INDEX(TF_Akt,MATCH($A24&amp;"|"&amp;U$5,TF_Dom,0)),Aktiviteter,0)))&amp;IF(OR(COUNTIFS(TF_Nokkel,$A24&amp;"|"&amp;U$5,TF_Akt,"&lt;&gt;"&amp;INDEX(TF_Akt,MATCH($A24&amp;"|"&amp;U$5,TF_Dom,0)))&gt;0,AND(IF(U$8="",0,MAX(0,ROUND((U$11-SUMIFS(TF_Timer,TF_Nokkel,$A24&amp;"|"&amp;U$5))*2,0)/2))&gt;0,INDEX(TF_Akt,MATCH($A24&amp;"|"&amp;U$5,TF_Dom,0))&lt;&gt;"LMS")),"+",""),"?"))))</f>
        <v/>
      </c>
      <c r="V24" s="13">
        <f>IF(OR($A24="",V$5=""),"",IF(OR(AND(INDEX(TekFra,9)&gt;0,V$5&lt;INDEX(TekFra,9)),AND(INDEX(TekTil,9)&gt;0,V$5&gt;INDEX(TekTil,9))),"",IF(COUNTIFS(TF_Nokkel,$A24&amp;"|"&amp;V$5)=0,IF(V$8&lt;&gt;"","LMS",""),IFERROR(IF(SUMIFS(TF_Timer,TF_Nokkel,$A24&amp;"|"&amp;V$5,TF_Akt,"LMS")+IF(V$8="",0,MAX(0,ROUND((V$11-SUMIFS(TF_Timer,TF_Nokkel,$A24&amp;"|"&amp;V$5))*2,0)/2))&gt;INDEX(TF_AktSum,MATCH($A24&amp;"|"&amp;V$5,TF_Dom,0)),"LMS",INDEX(AktKode,MATCH(INDEX(TF_Akt,MATCH($A24&amp;"|"&amp;V$5,TF_Dom,0)),Aktiviteter,0)))&amp;IF(OR(COUNTIFS(TF_Nokkel,$A24&amp;"|"&amp;V$5,TF_Akt,"&lt;&gt;"&amp;INDEX(TF_Akt,MATCH($A24&amp;"|"&amp;V$5,TF_Dom,0)))&gt;0,AND(IF(V$8="",0,MAX(0,ROUND((V$11-SUMIFS(TF_Timer,TF_Nokkel,$A24&amp;"|"&amp;V$5))*2,0)/2))&gt;0,INDEX(TF_Akt,MATCH($A24&amp;"|"&amp;V$5,TF_Dom,0))&lt;&gt;"LMS")),"+",""),"?"))))</f>
        <v/>
      </c>
      <c r="W24" s="13">
        <f>IF(OR($A24="",W$5=""),"",IF(OR(AND(INDEX(TekFra,9)&gt;0,W$5&lt;INDEX(TekFra,9)),AND(INDEX(TekTil,9)&gt;0,W$5&gt;INDEX(TekTil,9))),"",IF(COUNTIFS(TF_Nokkel,$A24&amp;"|"&amp;W$5)=0,IF(W$8&lt;&gt;"","LMS",""),IFERROR(IF(SUMIFS(TF_Timer,TF_Nokkel,$A24&amp;"|"&amp;W$5,TF_Akt,"LMS")+IF(W$8="",0,MAX(0,ROUND((W$11-SUMIFS(TF_Timer,TF_Nokkel,$A24&amp;"|"&amp;W$5))*2,0)/2))&gt;INDEX(TF_AktSum,MATCH($A24&amp;"|"&amp;W$5,TF_Dom,0)),"LMS",INDEX(AktKode,MATCH(INDEX(TF_Akt,MATCH($A24&amp;"|"&amp;W$5,TF_Dom,0)),Aktiviteter,0)))&amp;IF(OR(COUNTIFS(TF_Nokkel,$A24&amp;"|"&amp;W$5,TF_Akt,"&lt;&gt;"&amp;INDEX(TF_Akt,MATCH($A24&amp;"|"&amp;W$5,TF_Dom,0)))&gt;0,AND(IF(W$8="",0,MAX(0,ROUND((W$11-SUMIFS(TF_Timer,TF_Nokkel,$A24&amp;"|"&amp;W$5))*2,0)/2))&gt;0,INDEX(TF_Akt,MATCH($A24&amp;"|"&amp;W$5,TF_Dom,0))&lt;&gt;"LMS")),"+",""),"?"))))</f>
        <v/>
      </c>
      <c r="X24" s="13">
        <f>IF(OR($A24="",X$5=""),"",IF(OR(AND(INDEX(TekFra,9)&gt;0,X$5&lt;INDEX(TekFra,9)),AND(INDEX(TekTil,9)&gt;0,X$5&gt;INDEX(TekTil,9))),"",IF(COUNTIFS(TF_Nokkel,$A24&amp;"|"&amp;X$5)=0,IF(X$8&lt;&gt;"","LMS",""),IFERROR(IF(SUMIFS(TF_Timer,TF_Nokkel,$A24&amp;"|"&amp;X$5,TF_Akt,"LMS")+IF(X$8="",0,MAX(0,ROUND((X$11-SUMIFS(TF_Timer,TF_Nokkel,$A24&amp;"|"&amp;X$5))*2,0)/2))&gt;INDEX(TF_AktSum,MATCH($A24&amp;"|"&amp;X$5,TF_Dom,0)),"LMS",INDEX(AktKode,MATCH(INDEX(TF_Akt,MATCH($A24&amp;"|"&amp;X$5,TF_Dom,0)),Aktiviteter,0)))&amp;IF(OR(COUNTIFS(TF_Nokkel,$A24&amp;"|"&amp;X$5,TF_Akt,"&lt;&gt;"&amp;INDEX(TF_Akt,MATCH($A24&amp;"|"&amp;X$5,TF_Dom,0)))&gt;0,AND(IF(X$8="",0,MAX(0,ROUND((X$11-SUMIFS(TF_Timer,TF_Nokkel,$A24&amp;"|"&amp;X$5))*2,0)/2))&gt;0,INDEX(TF_Akt,MATCH($A24&amp;"|"&amp;X$5,TF_Dom,0))&lt;&gt;"LMS")),"+",""),"?"))))</f>
        <v/>
      </c>
      <c r="Y24" s="13">
        <f>IF(OR($A24="",Y$5=""),"",IF(OR(AND(INDEX(TekFra,9)&gt;0,Y$5&lt;INDEX(TekFra,9)),AND(INDEX(TekTil,9)&gt;0,Y$5&gt;INDEX(TekTil,9))),"",IF(COUNTIFS(TF_Nokkel,$A24&amp;"|"&amp;Y$5)=0,IF(Y$8&lt;&gt;"","LMS",""),IFERROR(IF(SUMIFS(TF_Timer,TF_Nokkel,$A24&amp;"|"&amp;Y$5,TF_Akt,"LMS")+IF(Y$8="",0,MAX(0,ROUND((Y$11-SUMIFS(TF_Timer,TF_Nokkel,$A24&amp;"|"&amp;Y$5))*2,0)/2))&gt;INDEX(TF_AktSum,MATCH($A24&amp;"|"&amp;Y$5,TF_Dom,0)),"LMS",INDEX(AktKode,MATCH(INDEX(TF_Akt,MATCH($A24&amp;"|"&amp;Y$5,TF_Dom,0)),Aktiviteter,0)))&amp;IF(OR(COUNTIFS(TF_Nokkel,$A24&amp;"|"&amp;Y$5,TF_Akt,"&lt;&gt;"&amp;INDEX(TF_Akt,MATCH($A24&amp;"|"&amp;Y$5,TF_Dom,0)))&gt;0,AND(IF(Y$8="",0,MAX(0,ROUND((Y$11-SUMIFS(TF_Timer,TF_Nokkel,$A24&amp;"|"&amp;Y$5))*2,0)/2))&gt;0,INDEX(TF_Akt,MATCH($A24&amp;"|"&amp;Y$5,TF_Dom,0))&lt;&gt;"LMS")),"+",""),"?"))))</f>
        <v/>
      </c>
      <c r="Z24" s="13">
        <f>IF(OR($A24="",Z$5=""),"",IF(OR(AND(INDEX(TekFra,9)&gt;0,Z$5&lt;INDEX(TekFra,9)),AND(INDEX(TekTil,9)&gt;0,Z$5&gt;INDEX(TekTil,9))),"",IF(COUNTIFS(TF_Nokkel,$A24&amp;"|"&amp;Z$5)=0,IF(Z$8&lt;&gt;"","LMS",""),IFERROR(IF(SUMIFS(TF_Timer,TF_Nokkel,$A24&amp;"|"&amp;Z$5,TF_Akt,"LMS")+IF(Z$8="",0,MAX(0,ROUND((Z$11-SUMIFS(TF_Timer,TF_Nokkel,$A24&amp;"|"&amp;Z$5))*2,0)/2))&gt;INDEX(TF_AktSum,MATCH($A24&amp;"|"&amp;Z$5,TF_Dom,0)),"LMS",INDEX(AktKode,MATCH(INDEX(TF_Akt,MATCH($A24&amp;"|"&amp;Z$5,TF_Dom,0)),Aktiviteter,0)))&amp;IF(OR(COUNTIFS(TF_Nokkel,$A24&amp;"|"&amp;Z$5,TF_Akt,"&lt;&gt;"&amp;INDEX(TF_Akt,MATCH($A24&amp;"|"&amp;Z$5,TF_Dom,0)))&gt;0,AND(IF(Z$8="",0,MAX(0,ROUND((Z$11-SUMIFS(TF_Timer,TF_Nokkel,$A24&amp;"|"&amp;Z$5))*2,0)/2))&gt;0,INDEX(TF_Akt,MATCH($A24&amp;"|"&amp;Z$5,TF_Dom,0))&lt;&gt;"LMS")),"+",""),"?"))))</f>
        <v/>
      </c>
      <c r="AA24" s="13">
        <f>IF(OR($A24="",AA$5=""),"",IF(OR(AND(INDEX(TekFra,9)&gt;0,AA$5&lt;INDEX(TekFra,9)),AND(INDEX(TekTil,9)&gt;0,AA$5&gt;INDEX(TekTil,9))),"",IF(COUNTIFS(TF_Nokkel,$A24&amp;"|"&amp;AA$5)=0,IF(AA$8&lt;&gt;"","LMS",""),IFERROR(IF(SUMIFS(TF_Timer,TF_Nokkel,$A24&amp;"|"&amp;AA$5,TF_Akt,"LMS")+IF(AA$8="",0,MAX(0,ROUND((AA$11-SUMIFS(TF_Timer,TF_Nokkel,$A24&amp;"|"&amp;AA$5))*2,0)/2))&gt;INDEX(TF_AktSum,MATCH($A24&amp;"|"&amp;AA$5,TF_Dom,0)),"LMS",INDEX(AktKode,MATCH(INDEX(TF_Akt,MATCH($A24&amp;"|"&amp;AA$5,TF_Dom,0)),Aktiviteter,0)))&amp;IF(OR(COUNTIFS(TF_Nokkel,$A24&amp;"|"&amp;AA$5,TF_Akt,"&lt;&gt;"&amp;INDEX(TF_Akt,MATCH($A24&amp;"|"&amp;AA$5,TF_Dom,0)))&gt;0,AND(IF(AA$8="",0,MAX(0,ROUND((AA$11-SUMIFS(TF_Timer,TF_Nokkel,$A24&amp;"|"&amp;AA$5))*2,0)/2))&gt;0,INDEX(TF_Akt,MATCH($A24&amp;"|"&amp;AA$5,TF_Dom,0))&lt;&gt;"LMS")),"+",""),"?"))))</f>
        <v/>
      </c>
      <c r="AB24" s="13">
        <f>IF(OR($A24="",AB$5=""),"",IF(OR(AND(INDEX(TekFra,9)&gt;0,AB$5&lt;INDEX(TekFra,9)),AND(INDEX(TekTil,9)&gt;0,AB$5&gt;INDEX(TekTil,9))),"",IF(COUNTIFS(TF_Nokkel,$A24&amp;"|"&amp;AB$5)=0,IF(AB$8&lt;&gt;"","LMS",""),IFERROR(IF(SUMIFS(TF_Timer,TF_Nokkel,$A24&amp;"|"&amp;AB$5,TF_Akt,"LMS")+IF(AB$8="",0,MAX(0,ROUND((AB$11-SUMIFS(TF_Timer,TF_Nokkel,$A24&amp;"|"&amp;AB$5))*2,0)/2))&gt;INDEX(TF_AktSum,MATCH($A24&amp;"|"&amp;AB$5,TF_Dom,0)),"LMS",INDEX(AktKode,MATCH(INDEX(TF_Akt,MATCH($A24&amp;"|"&amp;AB$5,TF_Dom,0)),Aktiviteter,0)))&amp;IF(OR(COUNTIFS(TF_Nokkel,$A24&amp;"|"&amp;AB$5,TF_Akt,"&lt;&gt;"&amp;INDEX(TF_Akt,MATCH($A24&amp;"|"&amp;AB$5,TF_Dom,0)))&gt;0,AND(IF(AB$8="",0,MAX(0,ROUND((AB$11-SUMIFS(TF_Timer,TF_Nokkel,$A24&amp;"|"&amp;AB$5))*2,0)/2))&gt;0,INDEX(TF_Akt,MATCH($A24&amp;"|"&amp;AB$5,TF_Dom,0))&lt;&gt;"LMS")),"+",""),"?"))))</f>
        <v/>
      </c>
      <c r="AC24" s="13">
        <f>IF(OR($A24="",AC$5=""),"",IF(OR(AND(INDEX(TekFra,9)&gt;0,AC$5&lt;INDEX(TekFra,9)),AND(INDEX(TekTil,9)&gt;0,AC$5&gt;INDEX(TekTil,9))),"",IF(COUNTIFS(TF_Nokkel,$A24&amp;"|"&amp;AC$5)=0,IF(AC$8&lt;&gt;"","LMS",""),IFERROR(IF(SUMIFS(TF_Timer,TF_Nokkel,$A24&amp;"|"&amp;AC$5,TF_Akt,"LMS")+IF(AC$8="",0,MAX(0,ROUND((AC$11-SUMIFS(TF_Timer,TF_Nokkel,$A24&amp;"|"&amp;AC$5))*2,0)/2))&gt;INDEX(TF_AktSum,MATCH($A24&amp;"|"&amp;AC$5,TF_Dom,0)),"LMS",INDEX(AktKode,MATCH(INDEX(TF_Akt,MATCH($A24&amp;"|"&amp;AC$5,TF_Dom,0)),Aktiviteter,0)))&amp;IF(OR(COUNTIFS(TF_Nokkel,$A24&amp;"|"&amp;AC$5,TF_Akt,"&lt;&gt;"&amp;INDEX(TF_Akt,MATCH($A24&amp;"|"&amp;AC$5,TF_Dom,0)))&gt;0,AND(IF(AC$8="",0,MAX(0,ROUND((AC$11-SUMIFS(TF_Timer,TF_Nokkel,$A24&amp;"|"&amp;AC$5))*2,0)/2))&gt;0,INDEX(TF_Akt,MATCH($A24&amp;"|"&amp;AC$5,TF_Dom,0))&lt;&gt;"LMS")),"+",""),"?"))))</f>
        <v/>
      </c>
      <c r="AD24" s="13">
        <f>IF(OR($A24="",AD$5=""),"",IF(OR(AND(INDEX(TekFra,9)&gt;0,AD$5&lt;INDEX(TekFra,9)),AND(INDEX(TekTil,9)&gt;0,AD$5&gt;INDEX(TekTil,9))),"",IF(COUNTIFS(TF_Nokkel,$A24&amp;"|"&amp;AD$5)=0,IF(AD$8&lt;&gt;"","LMS",""),IFERROR(IF(SUMIFS(TF_Timer,TF_Nokkel,$A24&amp;"|"&amp;AD$5,TF_Akt,"LMS")+IF(AD$8="",0,MAX(0,ROUND((AD$11-SUMIFS(TF_Timer,TF_Nokkel,$A24&amp;"|"&amp;AD$5))*2,0)/2))&gt;INDEX(TF_AktSum,MATCH($A24&amp;"|"&amp;AD$5,TF_Dom,0)),"LMS",INDEX(AktKode,MATCH(INDEX(TF_Akt,MATCH($A24&amp;"|"&amp;AD$5,TF_Dom,0)),Aktiviteter,0)))&amp;IF(OR(COUNTIFS(TF_Nokkel,$A24&amp;"|"&amp;AD$5,TF_Akt,"&lt;&gt;"&amp;INDEX(TF_Akt,MATCH($A24&amp;"|"&amp;AD$5,TF_Dom,0)))&gt;0,AND(IF(AD$8="",0,MAX(0,ROUND((AD$11-SUMIFS(TF_Timer,TF_Nokkel,$A24&amp;"|"&amp;AD$5))*2,0)/2))&gt;0,INDEX(TF_Akt,MATCH($A24&amp;"|"&amp;AD$5,TF_Dom,0))&lt;&gt;"LMS")),"+",""),"?"))))</f>
        <v/>
      </c>
      <c r="AE24" s="13">
        <f>IF(OR($A24="",AE$5=""),"",IF(OR(AND(INDEX(TekFra,9)&gt;0,AE$5&lt;INDEX(TekFra,9)),AND(INDEX(TekTil,9)&gt;0,AE$5&gt;INDEX(TekTil,9))),"",IF(COUNTIFS(TF_Nokkel,$A24&amp;"|"&amp;AE$5)=0,IF(AE$8&lt;&gt;"","LMS",""),IFERROR(IF(SUMIFS(TF_Timer,TF_Nokkel,$A24&amp;"|"&amp;AE$5,TF_Akt,"LMS")+IF(AE$8="",0,MAX(0,ROUND((AE$11-SUMIFS(TF_Timer,TF_Nokkel,$A24&amp;"|"&amp;AE$5))*2,0)/2))&gt;INDEX(TF_AktSum,MATCH($A24&amp;"|"&amp;AE$5,TF_Dom,0)),"LMS",INDEX(AktKode,MATCH(INDEX(TF_Akt,MATCH($A24&amp;"|"&amp;AE$5,TF_Dom,0)),Aktiviteter,0)))&amp;IF(OR(COUNTIFS(TF_Nokkel,$A24&amp;"|"&amp;AE$5,TF_Akt,"&lt;&gt;"&amp;INDEX(TF_Akt,MATCH($A24&amp;"|"&amp;AE$5,TF_Dom,0)))&gt;0,AND(IF(AE$8="",0,MAX(0,ROUND((AE$11-SUMIFS(TF_Timer,TF_Nokkel,$A24&amp;"|"&amp;AE$5))*2,0)/2))&gt;0,INDEX(TF_Akt,MATCH($A24&amp;"|"&amp;AE$5,TF_Dom,0))&lt;&gt;"LMS")),"+",""),"?"))))</f>
        <v/>
      </c>
      <c r="AF24" s="13">
        <f>IF(OR($A24="",AF$5=""),"",IF(OR(AND(INDEX(TekFra,9)&gt;0,AF$5&lt;INDEX(TekFra,9)),AND(INDEX(TekTil,9)&gt;0,AF$5&gt;INDEX(TekTil,9))),"",IF(COUNTIFS(TF_Nokkel,$A24&amp;"|"&amp;AF$5)=0,IF(AF$8&lt;&gt;"","LMS",""),IFERROR(IF(SUMIFS(TF_Timer,TF_Nokkel,$A24&amp;"|"&amp;AF$5,TF_Akt,"LMS")+IF(AF$8="",0,MAX(0,ROUND((AF$11-SUMIFS(TF_Timer,TF_Nokkel,$A24&amp;"|"&amp;AF$5))*2,0)/2))&gt;INDEX(TF_AktSum,MATCH($A24&amp;"|"&amp;AF$5,TF_Dom,0)),"LMS",INDEX(AktKode,MATCH(INDEX(TF_Akt,MATCH($A24&amp;"|"&amp;AF$5,TF_Dom,0)),Aktiviteter,0)))&amp;IF(OR(COUNTIFS(TF_Nokkel,$A24&amp;"|"&amp;AF$5,TF_Akt,"&lt;&gt;"&amp;INDEX(TF_Akt,MATCH($A24&amp;"|"&amp;AF$5,TF_Dom,0)))&gt;0,AND(IF(AF$8="",0,MAX(0,ROUND((AF$11-SUMIFS(TF_Timer,TF_Nokkel,$A24&amp;"|"&amp;AF$5))*2,0)/2))&gt;0,INDEX(TF_Akt,MATCH($A24&amp;"|"&amp;AF$5,TF_Dom,0))&lt;&gt;"LMS")),"+",""),"?"))))</f>
        <v/>
      </c>
      <c r="AG24" s="13">
        <f>IF(OR($A24="",AG$5=""),"",IF(OR(AND(INDEX(TekFra,9)&gt;0,AG$5&lt;INDEX(TekFra,9)),AND(INDEX(TekTil,9)&gt;0,AG$5&gt;INDEX(TekTil,9))),"",IF(COUNTIFS(TF_Nokkel,$A24&amp;"|"&amp;AG$5)=0,IF(AG$8&lt;&gt;"","LMS",""),IFERROR(IF(SUMIFS(TF_Timer,TF_Nokkel,$A24&amp;"|"&amp;AG$5,TF_Akt,"LMS")+IF(AG$8="",0,MAX(0,ROUND((AG$11-SUMIFS(TF_Timer,TF_Nokkel,$A24&amp;"|"&amp;AG$5))*2,0)/2))&gt;INDEX(TF_AktSum,MATCH($A24&amp;"|"&amp;AG$5,TF_Dom,0)),"LMS",INDEX(AktKode,MATCH(INDEX(TF_Akt,MATCH($A24&amp;"|"&amp;AG$5,TF_Dom,0)),Aktiviteter,0)))&amp;IF(OR(COUNTIFS(TF_Nokkel,$A24&amp;"|"&amp;AG$5,TF_Akt,"&lt;&gt;"&amp;INDEX(TF_Akt,MATCH($A24&amp;"|"&amp;AG$5,TF_Dom,0)))&gt;0,AND(IF(AG$8="",0,MAX(0,ROUND((AG$11-SUMIFS(TF_Timer,TF_Nokkel,$A24&amp;"|"&amp;AG$5))*2,0)/2))&gt;0,INDEX(TF_Akt,MATCH($A24&amp;"|"&amp;AG$5,TF_Dom,0))&lt;&gt;"LMS")),"+",""),"?"))))</f>
        <v/>
      </c>
      <c r="AH24" s="2" t="n"/>
      <c r="AI24" s="23" t="inlineStr">
        <is>
          <t>AV</t>
        </is>
      </c>
      <c r="AJ24" s="15" t="inlineStr">
        <is>
          <t>Avspasering</t>
        </is>
      </c>
    </row>
    <row r="25">
      <c r="A25" s="2">
        <f>INDEX(Teknikere,10)&amp;""</f>
        <v/>
      </c>
      <c r="B25" s="12">
        <f>IF(INDEX(TekFra,10)&gt;0,"ekstra","")</f>
        <v/>
      </c>
      <c r="C25" s="13">
        <f>IF(OR($A25="",C$5=""),"",IF(OR(AND(INDEX(TekFra,10)&gt;0,C$5&lt;INDEX(TekFra,10)),AND(INDEX(TekTil,10)&gt;0,C$5&gt;INDEX(TekTil,10))),"",IF(COUNTIFS(TF_Nokkel,$A25&amp;"|"&amp;C$5)=0,IF(C$8&lt;&gt;"","LMS",""),IFERROR(IF(SUMIFS(TF_Timer,TF_Nokkel,$A25&amp;"|"&amp;C$5,TF_Akt,"LMS")+IF(C$8="",0,MAX(0,ROUND((C$11-SUMIFS(TF_Timer,TF_Nokkel,$A25&amp;"|"&amp;C$5))*2,0)/2))&gt;INDEX(TF_AktSum,MATCH($A25&amp;"|"&amp;C$5,TF_Dom,0)),"LMS",INDEX(AktKode,MATCH(INDEX(TF_Akt,MATCH($A25&amp;"|"&amp;C$5,TF_Dom,0)),Aktiviteter,0)))&amp;IF(OR(COUNTIFS(TF_Nokkel,$A25&amp;"|"&amp;C$5,TF_Akt,"&lt;&gt;"&amp;INDEX(TF_Akt,MATCH($A25&amp;"|"&amp;C$5,TF_Dom,0)))&gt;0,AND(IF(C$8="",0,MAX(0,ROUND((C$11-SUMIFS(TF_Timer,TF_Nokkel,$A25&amp;"|"&amp;C$5))*2,0)/2))&gt;0,INDEX(TF_Akt,MATCH($A25&amp;"|"&amp;C$5,TF_Dom,0))&lt;&gt;"LMS")),"+",""),"?"))))</f>
        <v/>
      </c>
      <c r="D25" s="13">
        <f>IF(OR($A25="",D$5=""),"",IF(OR(AND(INDEX(TekFra,10)&gt;0,D$5&lt;INDEX(TekFra,10)),AND(INDEX(TekTil,10)&gt;0,D$5&gt;INDEX(TekTil,10))),"",IF(COUNTIFS(TF_Nokkel,$A25&amp;"|"&amp;D$5)=0,IF(D$8&lt;&gt;"","LMS",""),IFERROR(IF(SUMIFS(TF_Timer,TF_Nokkel,$A25&amp;"|"&amp;D$5,TF_Akt,"LMS")+IF(D$8="",0,MAX(0,ROUND((D$11-SUMIFS(TF_Timer,TF_Nokkel,$A25&amp;"|"&amp;D$5))*2,0)/2))&gt;INDEX(TF_AktSum,MATCH($A25&amp;"|"&amp;D$5,TF_Dom,0)),"LMS",INDEX(AktKode,MATCH(INDEX(TF_Akt,MATCH($A25&amp;"|"&amp;D$5,TF_Dom,0)),Aktiviteter,0)))&amp;IF(OR(COUNTIFS(TF_Nokkel,$A25&amp;"|"&amp;D$5,TF_Akt,"&lt;&gt;"&amp;INDEX(TF_Akt,MATCH($A25&amp;"|"&amp;D$5,TF_Dom,0)))&gt;0,AND(IF(D$8="",0,MAX(0,ROUND((D$11-SUMIFS(TF_Timer,TF_Nokkel,$A25&amp;"|"&amp;D$5))*2,0)/2))&gt;0,INDEX(TF_Akt,MATCH($A25&amp;"|"&amp;D$5,TF_Dom,0))&lt;&gt;"LMS")),"+",""),"?"))))</f>
        <v/>
      </c>
      <c r="E25" s="13">
        <f>IF(OR($A25="",E$5=""),"",IF(OR(AND(INDEX(TekFra,10)&gt;0,E$5&lt;INDEX(TekFra,10)),AND(INDEX(TekTil,10)&gt;0,E$5&gt;INDEX(TekTil,10))),"",IF(COUNTIFS(TF_Nokkel,$A25&amp;"|"&amp;E$5)=0,IF(E$8&lt;&gt;"","LMS",""),IFERROR(IF(SUMIFS(TF_Timer,TF_Nokkel,$A25&amp;"|"&amp;E$5,TF_Akt,"LMS")+IF(E$8="",0,MAX(0,ROUND((E$11-SUMIFS(TF_Timer,TF_Nokkel,$A25&amp;"|"&amp;E$5))*2,0)/2))&gt;INDEX(TF_AktSum,MATCH($A25&amp;"|"&amp;E$5,TF_Dom,0)),"LMS",INDEX(AktKode,MATCH(INDEX(TF_Akt,MATCH($A25&amp;"|"&amp;E$5,TF_Dom,0)),Aktiviteter,0)))&amp;IF(OR(COUNTIFS(TF_Nokkel,$A25&amp;"|"&amp;E$5,TF_Akt,"&lt;&gt;"&amp;INDEX(TF_Akt,MATCH($A25&amp;"|"&amp;E$5,TF_Dom,0)))&gt;0,AND(IF(E$8="",0,MAX(0,ROUND((E$11-SUMIFS(TF_Timer,TF_Nokkel,$A25&amp;"|"&amp;E$5))*2,0)/2))&gt;0,INDEX(TF_Akt,MATCH($A25&amp;"|"&amp;E$5,TF_Dom,0))&lt;&gt;"LMS")),"+",""),"?"))))</f>
        <v/>
      </c>
      <c r="F25" s="13">
        <f>IF(OR($A25="",F$5=""),"",IF(OR(AND(INDEX(TekFra,10)&gt;0,F$5&lt;INDEX(TekFra,10)),AND(INDEX(TekTil,10)&gt;0,F$5&gt;INDEX(TekTil,10))),"",IF(COUNTIFS(TF_Nokkel,$A25&amp;"|"&amp;F$5)=0,IF(F$8&lt;&gt;"","LMS",""),IFERROR(IF(SUMIFS(TF_Timer,TF_Nokkel,$A25&amp;"|"&amp;F$5,TF_Akt,"LMS")+IF(F$8="",0,MAX(0,ROUND((F$11-SUMIFS(TF_Timer,TF_Nokkel,$A25&amp;"|"&amp;F$5))*2,0)/2))&gt;INDEX(TF_AktSum,MATCH($A25&amp;"|"&amp;F$5,TF_Dom,0)),"LMS",INDEX(AktKode,MATCH(INDEX(TF_Akt,MATCH($A25&amp;"|"&amp;F$5,TF_Dom,0)),Aktiviteter,0)))&amp;IF(OR(COUNTIFS(TF_Nokkel,$A25&amp;"|"&amp;F$5,TF_Akt,"&lt;&gt;"&amp;INDEX(TF_Akt,MATCH($A25&amp;"|"&amp;F$5,TF_Dom,0)))&gt;0,AND(IF(F$8="",0,MAX(0,ROUND((F$11-SUMIFS(TF_Timer,TF_Nokkel,$A25&amp;"|"&amp;F$5))*2,0)/2))&gt;0,INDEX(TF_Akt,MATCH($A25&amp;"|"&amp;F$5,TF_Dom,0))&lt;&gt;"LMS")),"+",""),"?"))))</f>
        <v/>
      </c>
      <c r="G25" s="13">
        <f>IF(OR($A25="",G$5=""),"",IF(OR(AND(INDEX(TekFra,10)&gt;0,G$5&lt;INDEX(TekFra,10)),AND(INDEX(TekTil,10)&gt;0,G$5&gt;INDEX(TekTil,10))),"",IF(COUNTIFS(TF_Nokkel,$A25&amp;"|"&amp;G$5)=0,IF(G$8&lt;&gt;"","LMS",""),IFERROR(IF(SUMIFS(TF_Timer,TF_Nokkel,$A25&amp;"|"&amp;G$5,TF_Akt,"LMS")+IF(G$8="",0,MAX(0,ROUND((G$11-SUMIFS(TF_Timer,TF_Nokkel,$A25&amp;"|"&amp;G$5))*2,0)/2))&gt;INDEX(TF_AktSum,MATCH($A25&amp;"|"&amp;G$5,TF_Dom,0)),"LMS",INDEX(AktKode,MATCH(INDEX(TF_Akt,MATCH($A25&amp;"|"&amp;G$5,TF_Dom,0)),Aktiviteter,0)))&amp;IF(OR(COUNTIFS(TF_Nokkel,$A25&amp;"|"&amp;G$5,TF_Akt,"&lt;&gt;"&amp;INDEX(TF_Akt,MATCH($A25&amp;"|"&amp;G$5,TF_Dom,0)))&gt;0,AND(IF(G$8="",0,MAX(0,ROUND((G$11-SUMIFS(TF_Timer,TF_Nokkel,$A25&amp;"|"&amp;G$5))*2,0)/2))&gt;0,INDEX(TF_Akt,MATCH($A25&amp;"|"&amp;G$5,TF_Dom,0))&lt;&gt;"LMS")),"+",""),"?"))))</f>
        <v/>
      </c>
      <c r="H25" s="13">
        <f>IF(OR($A25="",H$5=""),"",IF(OR(AND(INDEX(TekFra,10)&gt;0,H$5&lt;INDEX(TekFra,10)),AND(INDEX(TekTil,10)&gt;0,H$5&gt;INDEX(TekTil,10))),"",IF(COUNTIFS(TF_Nokkel,$A25&amp;"|"&amp;H$5)=0,IF(H$8&lt;&gt;"","LMS",""),IFERROR(IF(SUMIFS(TF_Timer,TF_Nokkel,$A25&amp;"|"&amp;H$5,TF_Akt,"LMS")+IF(H$8="",0,MAX(0,ROUND((H$11-SUMIFS(TF_Timer,TF_Nokkel,$A25&amp;"|"&amp;H$5))*2,0)/2))&gt;INDEX(TF_AktSum,MATCH($A25&amp;"|"&amp;H$5,TF_Dom,0)),"LMS",INDEX(AktKode,MATCH(INDEX(TF_Akt,MATCH($A25&amp;"|"&amp;H$5,TF_Dom,0)),Aktiviteter,0)))&amp;IF(OR(COUNTIFS(TF_Nokkel,$A25&amp;"|"&amp;H$5,TF_Akt,"&lt;&gt;"&amp;INDEX(TF_Akt,MATCH($A25&amp;"|"&amp;H$5,TF_Dom,0)))&gt;0,AND(IF(H$8="",0,MAX(0,ROUND((H$11-SUMIFS(TF_Timer,TF_Nokkel,$A25&amp;"|"&amp;H$5))*2,0)/2))&gt;0,INDEX(TF_Akt,MATCH($A25&amp;"|"&amp;H$5,TF_Dom,0))&lt;&gt;"LMS")),"+",""),"?"))))</f>
        <v/>
      </c>
      <c r="I25" s="13">
        <f>IF(OR($A25="",I$5=""),"",IF(OR(AND(INDEX(TekFra,10)&gt;0,I$5&lt;INDEX(TekFra,10)),AND(INDEX(TekTil,10)&gt;0,I$5&gt;INDEX(TekTil,10))),"",IF(COUNTIFS(TF_Nokkel,$A25&amp;"|"&amp;I$5)=0,IF(I$8&lt;&gt;"","LMS",""),IFERROR(IF(SUMIFS(TF_Timer,TF_Nokkel,$A25&amp;"|"&amp;I$5,TF_Akt,"LMS")+IF(I$8="",0,MAX(0,ROUND((I$11-SUMIFS(TF_Timer,TF_Nokkel,$A25&amp;"|"&amp;I$5))*2,0)/2))&gt;INDEX(TF_AktSum,MATCH($A25&amp;"|"&amp;I$5,TF_Dom,0)),"LMS",INDEX(AktKode,MATCH(INDEX(TF_Akt,MATCH($A25&amp;"|"&amp;I$5,TF_Dom,0)),Aktiviteter,0)))&amp;IF(OR(COUNTIFS(TF_Nokkel,$A25&amp;"|"&amp;I$5,TF_Akt,"&lt;&gt;"&amp;INDEX(TF_Akt,MATCH($A25&amp;"|"&amp;I$5,TF_Dom,0)))&gt;0,AND(IF(I$8="",0,MAX(0,ROUND((I$11-SUMIFS(TF_Timer,TF_Nokkel,$A25&amp;"|"&amp;I$5))*2,0)/2))&gt;0,INDEX(TF_Akt,MATCH($A25&amp;"|"&amp;I$5,TF_Dom,0))&lt;&gt;"LMS")),"+",""),"?"))))</f>
        <v/>
      </c>
      <c r="J25" s="13">
        <f>IF(OR($A25="",J$5=""),"",IF(OR(AND(INDEX(TekFra,10)&gt;0,J$5&lt;INDEX(TekFra,10)),AND(INDEX(TekTil,10)&gt;0,J$5&gt;INDEX(TekTil,10))),"",IF(COUNTIFS(TF_Nokkel,$A25&amp;"|"&amp;J$5)=0,IF(J$8&lt;&gt;"","LMS",""),IFERROR(IF(SUMIFS(TF_Timer,TF_Nokkel,$A25&amp;"|"&amp;J$5,TF_Akt,"LMS")+IF(J$8="",0,MAX(0,ROUND((J$11-SUMIFS(TF_Timer,TF_Nokkel,$A25&amp;"|"&amp;J$5))*2,0)/2))&gt;INDEX(TF_AktSum,MATCH($A25&amp;"|"&amp;J$5,TF_Dom,0)),"LMS",INDEX(AktKode,MATCH(INDEX(TF_Akt,MATCH($A25&amp;"|"&amp;J$5,TF_Dom,0)),Aktiviteter,0)))&amp;IF(OR(COUNTIFS(TF_Nokkel,$A25&amp;"|"&amp;J$5,TF_Akt,"&lt;&gt;"&amp;INDEX(TF_Akt,MATCH($A25&amp;"|"&amp;J$5,TF_Dom,0)))&gt;0,AND(IF(J$8="",0,MAX(0,ROUND((J$11-SUMIFS(TF_Timer,TF_Nokkel,$A25&amp;"|"&amp;J$5))*2,0)/2))&gt;0,INDEX(TF_Akt,MATCH($A25&amp;"|"&amp;J$5,TF_Dom,0))&lt;&gt;"LMS")),"+",""),"?"))))</f>
        <v/>
      </c>
      <c r="K25" s="13">
        <f>IF(OR($A25="",K$5=""),"",IF(OR(AND(INDEX(TekFra,10)&gt;0,K$5&lt;INDEX(TekFra,10)),AND(INDEX(TekTil,10)&gt;0,K$5&gt;INDEX(TekTil,10))),"",IF(COUNTIFS(TF_Nokkel,$A25&amp;"|"&amp;K$5)=0,IF(K$8&lt;&gt;"","LMS",""),IFERROR(IF(SUMIFS(TF_Timer,TF_Nokkel,$A25&amp;"|"&amp;K$5,TF_Akt,"LMS")+IF(K$8="",0,MAX(0,ROUND((K$11-SUMIFS(TF_Timer,TF_Nokkel,$A25&amp;"|"&amp;K$5))*2,0)/2))&gt;INDEX(TF_AktSum,MATCH($A25&amp;"|"&amp;K$5,TF_Dom,0)),"LMS",INDEX(AktKode,MATCH(INDEX(TF_Akt,MATCH($A25&amp;"|"&amp;K$5,TF_Dom,0)),Aktiviteter,0)))&amp;IF(OR(COUNTIFS(TF_Nokkel,$A25&amp;"|"&amp;K$5,TF_Akt,"&lt;&gt;"&amp;INDEX(TF_Akt,MATCH($A25&amp;"|"&amp;K$5,TF_Dom,0)))&gt;0,AND(IF(K$8="",0,MAX(0,ROUND((K$11-SUMIFS(TF_Timer,TF_Nokkel,$A25&amp;"|"&amp;K$5))*2,0)/2))&gt;0,INDEX(TF_Akt,MATCH($A25&amp;"|"&amp;K$5,TF_Dom,0))&lt;&gt;"LMS")),"+",""),"?"))))</f>
        <v/>
      </c>
      <c r="L25" s="13">
        <f>IF(OR($A25="",L$5=""),"",IF(OR(AND(INDEX(TekFra,10)&gt;0,L$5&lt;INDEX(TekFra,10)),AND(INDEX(TekTil,10)&gt;0,L$5&gt;INDEX(TekTil,10))),"",IF(COUNTIFS(TF_Nokkel,$A25&amp;"|"&amp;L$5)=0,IF(L$8&lt;&gt;"","LMS",""),IFERROR(IF(SUMIFS(TF_Timer,TF_Nokkel,$A25&amp;"|"&amp;L$5,TF_Akt,"LMS")+IF(L$8="",0,MAX(0,ROUND((L$11-SUMIFS(TF_Timer,TF_Nokkel,$A25&amp;"|"&amp;L$5))*2,0)/2))&gt;INDEX(TF_AktSum,MATCH($A25&amp;"|"&amp;L$5,TF_Dom,0)),"LMS",INDEX(AktKode,MATCH(INDEX(TF_Akt,MATCH($A25&amp;"|"&amp;L$5,TF_Dom,0)),Aktiviteter,0)))&amp;IF(OR(COUNTIFS(TF_Nokkel,$A25&amp;"|"&amp;L$5,TF_Akt,"&lt;&gt;"&amp;INDEX(TF_Akt,MATCH($A25&amp;"|"&amp;L$5,TF_Dom,0)))&gt;0,AND(IF(L$8="",0,MAX(0,ROUND((L$11-SUMIFS(TF_Timer,TF_Nokkel,$A25&amp;"|"&amp;L$5))*2,0)/2))&gt;0,INDEX(TF_Akt,MATCH($A25&amp;"|"&amp;L$5,TF_Dom,0))&lt;&gt;"LMS")),"+",""),"?"))))</f>
        <v/>
      </c>
      <c r="M25" s="13">
        <f>IF(OR($A25="",M$5=""),"",IF(OR(AND(INDEX(TekFra,10)&gt;0,M$5&lt;INDEX(TekFra,10)),AND(INDEX(TekTil,10)&gt;0,M$5&gt;INDEX(TekTil,10))),"",IF(COUNTIFS(TF_Nokkel,$A25&amp;"|"&amp;M$5)=0,IF(M$8&lt;&gt;"","LMS",""),IFERROR(IF(SUMIFS(TF_Timer,TF_Nokkel,$A25&amp;"|"&amp;M$5,TF_Akt,"LMS")+IF(M$8="",0,MAX(0,ROUND((M$11-SUMIFS(TF_Timer,TF_Nokkel,$A25&amp;"|"&amp;M$5))*2,0)/2))&gt;INDEX(TF_AktSum,MATCH($A25&amp;"|"&amp;M$5,TF_Dom,0)),"LMS",INDEX(AktKode,MATCH(INDEX(TF_Akt,MATCH($A25&amp;"|"&amp;M$5,TF_Dom,0)),Aktiviteter,0)))&amp;IF(OR(COUNTIFS(TF_Nokkel,$A25&amp;"|"&amp;M$5,TF_Akt,"&lt;&gt;"&amp;INDEX(TF_Akt,MATCH($A25&amp;"|"&amp;M$5,TF_Dom,0)))&gt;0,AND(IF(M$8="",0,MAX(0,ROUND((M$11-SUMIFS(TF_Timer,TF_Nokkel,$A25&amp;"|"&amp;M$5))*2,0)/2))&gt;0,INDEX(TF_Akt,MATCH($A25&amp;"|"&amp;M$5,TF_Dom,0))&lt;&gt;"LMS")),"+",""),"?"))))</f>
        <v/>
      </c>
      <c r="N25" s="13">
        <f>IF(OR($A25="",N$5=""),"",IF(OR(AND(INDEX(TekFra,10)&gt;0,N$5&lt;INDEX(TekFra,10)),AND(INDEX(TekTil,10)&gt;0,N$5&gt;INDEX(TekTil,10))),"",IF(COUNTIFS(TF_Nokkel,$A25&amp;"|"&amp;N$5)=0,IF(N$8&lt;&gt;"","LMS",""),IFERROR(IF(SUMIFS(TF_Timer,TF_Nokkel,$A25&amp;"|"&amp;N$5,TF_Akt,"LMS")+IF(N$8="",0,MAX(0,ROUND((N$11-SUMIFS(TF_Timer,TF_Nokkel,$A25&amp;"|"&amp;N$5))*2,0)/2))&gt;INDEX(TF_AktSum,MATCH($A25&amp;"|"&amp;N$5,TF_Dom,0)),"LMS",INDEX(AktKode,MATCH(INDEX(TF_Akt,MATCH($A25&amp;"|"&amp;N$5,TF_Dom,0)),Aktiviteter,0)))&amp;IF(OR(COUNTIFS(TF_Nokkel,$A25&amp;"|"&amp;N$5,TF_Akt,"&lt;&gt;"&amp;INDEX(TF_Akt,MATCH($A25&amp;"|"&amp;N$5,TF_Dom,0)))&gt;0,AND(IF(N$8="",0,MAX(0,ROUND((N$11-SUMIFS(TF_Timer,TF_Nokkel,$A25&amp;"|"&amp;N$5))*2,0)/2))&gt;0,INDEX(TF_Akt,MATCH($A25&amp;"|"&amp;N$5,TF_Dom,0))&lt;&gt;"LMS")),"+",""),"?"))))</f>
        <v/>
      </c>
      <c r="O25" s="13">
        <f>IF(OR($A25="",O$5=""),"",IF(OR(AND(INDEX(TekFra,10)&gt;0,O$5&lt;INDEX(TekFra,10)),AND(INDEX(TekTil,10)&gt;0,O$5&gt;INDEX(TekTil,10))),"",IF(COUNTIFS(TF_Nokkel,$A25&amp;"|"&amp;O$5)=0,IF(O$8&lt;&gt;"","LMS",""),IFERROR(IF(SUMIFS(TF_Timer,TF_Nokkel,$A25&amp;"|"&amp;O$5,TF_Akt,"LMS")+IF(O$8="",0,MAX(0,ROUND((O$11-SUMIFS(TF_Timer,TF_Nokkel,$A25&amp;"|"&amp;O$5))*2,0)/2))&gt;INDEX(TF_AktSum,MATCH($A25&amp;"|"&amp;O$5,TF_Dom,0)),"LMS",INDEX(AktKode,MATCH(INDEX(TF_Akt,MATCH($A25&amp;"|"&amp;O$5,TF_Dom,0)),Aktiviteter,0)))&amp;IF(OR(COUNTIFS(TF_Nokkel,$A25&amp;"|"&amp;O$5,TF_Akt,"&lt;&gt;"&amp;INDEX(TF_Akt,MATCH($A25&amp;"|"&amp;O$5,TF_Dom,0)))&gt;0,AND(IF(O$8="",0,MAX(0,ROUND((O$11-SUMIFS(TF_Timer,TF_Nokkel,$A25&amp;"|"&amp;O$5))*2,0)/2))&gt;0,INDEX(TF_Akt,MATCH($A25&amp;"|"&amp;O$5,TF_Dom,0))&lt;&gt;"LMS")),"+",""),"?"))))</f>
        <v/>
      </c>
      <c r="P25" s="13">
        <f>IF(OR($A25="",P$5=""),"",IF(OR(AND(INDEX(TekFra,10)&gt;0,P$5&lt;INDEX(TekFra,10)),AND(INDEX(TekTil,10)&gt;0,P$5&gt;INDEX(TekTil,10))),"",IF(COUNTIFS(TF_Nokkel,$A25&amp;"|"&amp;P$5)=0,IF(P$8&lt;&gt;"","LMS",""),IFERROR(IF(SUMIFS(TF_Timer,TF_Nokkel,$A25&amp;"|"&amp;P$5,TF_Akt,"LMS")+IF(P$8="",0,MAX(0,ROUND((P$11-SUMIFS(TF_Timer,TF_Nokkel,$A25&amp;"|"&amp;P$5))*2,0)/2))&gt;INDEX(TF_AktSum,MATCH($A25&amp;"|"&amp;P$5,TF_Dom,0)),"LMS",INDEX(AktKode,MATCH(INDEX(TF_Akt,MATCH($A25&amp;"|"&amp;P$5,TF_Dom,0)),Aktiviteter,0)))&amp;IF(OR(COUNTIFS(TF_Nokkel,$A25&amp;"|"&amp;P$5,TF_Akt,"&lt;&gt;"&amp;INDEX(TF_Akt,MATCH($A25&amp;"|"&amp;P$5,TF_Dom,0)))&gt;0,AND(IF(P$8="",0,MAX(0,ROUND((P$11-SUMIFS(TF_Timer,TF_Nokkel,$A25&amp;"|"&amp;P$5))*2,0)/2))&gt;0,INDEX(TF_Akt,MATCH($A25&amp;"|"&amp;P$5,TF_Dom,0))&lt;&gt;"LMS")),"+",""),"?"))))</f>
        <v/>
      </c>
      <c r="Q25" s="13">
        <f>IF(OR($A25="",Q$5=""),"",IF(OR(AND(INDEX(TekFra,10)&gt;0,Q$5&lt;INDEX(TekFra,10)),AND(INDEX(TekTil,10)&gt;0,Q$5&gt;INDEX(TekTil,10))),"",IF(COUNTIFS(TF_Nokkel,$A25&amp;"|"&amp;Q$5)=0,IF(Q$8&lt;&gt;"","LMS",""),IFERROR(IF(SUMIFS(TF_Timer,TF_Nokkel,$A25&amp;"|"&amp;Q$5,TF_Akt,"LMS")+IF(Q$8="",0,MAX(0,ROUND((Q$11-SUMIFS(TF_Timer,TF_Nokkel,$A25&amp;"|"&amp;Q$5))*2,0)/2))&gt;INDEX(TF_AktSum,MATCH($A25&amp;"|"&amp;Q$5,TF_Dom,0)),"LMS",INDEX(AktKode,MATCH(INDEX(TF_Akt,MATCH($A25&amp;"|"&amp;Q$5,TF_Dom,0)),Aktiviteter,0)))&amp;IF(OR(COUNTIFS(TF_Nokkel,$A25&amp;"|"&amp;Q$5,TF_Akt,"&lt;&gt;"&amp;INDEX(TF_Akt,MATCH($A25&amp;"|"&amp;Q$5,TF_Dom,0)))&gt;0,AND(IF(Q$8="",0,MAX(0,ROUND((Q$11-SUMIFS(TF_Timer,TF_Nokkel,$A25&amp;"|"&amp;Q$5))*2,0)/2))&gt;0,INDEX(TF_Akt,MATCH($A25&amp;"|"&amp;Q$5,TF_Dom,0))&lt;&gt;"LMS")),"+",""),"?"))))</f>
        <v/>
      </c>
      <c r="R25" s="13">
        <f>IF(OR($A25="",R$5=""),"",IF(OR(AND(INDEX(TekFra,10)&gt;0,R$5&lt;INDEX(TekFra,10)),AND(INDEX(TekTil,10)&gt;0,R$5&gt;INDEX(TekTil,10))),"",IF(COUNTIFS(TF_Nokkel,$A25&amp;"|"&amp;R$5)=0,IF(R$8&lt;&gt;"","LMS",""),IFERROR(IF(SUMIFS(TF_Timer,TF_Nokkel,$A25&amp;"|"&amp;R$5,TF_Akt,"LMS")+IF(R$8="",0,MAX(0,ROUND((R$11-SUMIFS(TF_Timer,TF_Nokkel,$A25&amp;"|"&amp;R$5))*2,0)/2))&gt;INDEX(TF_AktSum,MATCH($A25&amp;"|"&amp;R$5,TF_Dom,0)),"LMS",INDEX(AktKode,MATCH(INDEX(TF_Akt,MATCH($A25&amp;"|"&amp;R$5,TF_Dom,0)),Aktiviteter,0)))&amp;IF(OR(COUNTIFS(TF_Nokkel,$A25&amp;"|"&amp;R$5,TF_Akt,"&lt;&gt;"&amp;INDEX(TF_Akt,MATCH($A25&amp;"|"&amp;R$5,TF_Dom,0)))&gt;0,AND(IF(R$8="",0,MAX(0,ROUND((R$11-SUMIFS(TF_Timer,TF_Nokkel,$A25&amp;"|"&amp;R$5))*2,0)/2))&gt;0,INDEX(TF_Akt,MATCH($A25&amp;"|"&amp;R$5,TF_Dom,0))&lt;&gt;"LMS")),"+",""),"?"))))</f>
        <v/>
      </c>
      <c r="S25" s="13">
        <f>IF(OR($A25="",S$5=""),"",IF(OR(AND(INDEX(TekFra,10)&gt;0,S$5&lt;INDEX(TekFra,10)),AND(INDEX(TekTil,10)&gt;0,S$5&gt;INDEX(TekTil,10))),"",IF(COUNTIFS(TF_Nokkel,$A25&amp;"|"&amp;S$5)=0,IF(S$8&lt;&gt;"","LMS",""),IFERROR(IF(SUMIFS(TF_Timer,TF_Nokkel,$A25&amp;"|"&amp;S$5,TF_Akt,"LMS")+IF(S$8="",0,MAX(0,ROUND((S$11-SUMIFS(TF_Timer,TF_Nokkel,$A25&amp;"|"&amp;S$5))*2,0)/2))&gt;INDEX(TF_AktSum,MATCH($A25&amp;"|"&amp;S$5,TF_Dom,0)),"LMS",INDEX(AktKode,MATCH(INDEX(TF_Akt,MATCH($A25&amp;"|"&amp;S$5,TF_Dom,0)),Aktiviteter,0)))&amp;IF(OR(COUNTIFS(TF_Nokkel,$A25&amp;"|"&amp;S$5,TF_Akt,"&lt;&gt;"&amp;INDEX(TF_Akt,MATCH($A25&amp;"|"&amp;S$5,TF_Dom,0)))&gt;0,AND(IF(S$8="",0,MAX(0,ROUND((S$11-SUMIFS(TF_Timer,TF_Nokkel,$A25&amp;"|"&amp;S$5))*2,0)/2))&gt;0,INDEX(TF_Akt,MATCH($A25&amp;"|"&amp;S$5,TF_Dom,0))&lt;&gt;"LMS")),"+",""),"?"))))</f>
        <v/>
      </c>
      <c r="T25" s="13">
        <f>IF(OR($A25="",T$5=""),"",IF(OR(AND(INDEX(TekFra,10)&gt;0,T$5&lt;INDEX(TekFra,10)),AND(INDEX(TekTil,10)&gt;0,T$5&gt;INDEX(TekTil,10))),"",IF(COUNTIFS(TF_Nokkel,$A25&amp;"|"&amp;T$5)=0,IF(T$8&lt;&gt;"","LMS",""),IFERROR(IF(SUMIFS(TF_Timer,TF_Nokkel,$A25&amp;"|"&amp;T$5,TF_Akt,"LMS")+IF(T$8="",0,MAX(0,ROUND((T$11-SUMIFS(TF_Timer,TF_Nokkel,$A25&amp;"|"&amp;T$5))*2,0)/2))&gt;INDEX(TF_AktSum,MATCH($A25&amp;"|"&amp;T$5,TF_Dom,0)),"LMS",INDEX(AktKode,MATCH(INDEX(TF_Akt,MATCH($A25&amp;"|"&amp;T$5,TF_Dom,0)),Aktiviteter,0)))&amp;IF(OR(COUNTIFS(TF_Nokkel,$A25&amp;"|"&amp;T$5,TF_Akt,"&lt;&gt;"&amp;INDEX(TF_Akt,MATCH($A25&amp;"|"&amp;T$5,TF_Dom,0)))&gt;0,AND(IF(T$8="",0,MAX(0,ROUND((T$11-SUMIFS(TF_Timer,TF_Nokkel,$A25&amp;"|"&amp;T$5))*2,0)/2))&gt;0,INDEX(TF_Akt,MATCH($A25&amp;"|"&amp;T$5,TF_Dom,0))&lt;&gt;"LMS")),"+",""),"?"))))</f>
        <v/>
      </c>
      <c r="U25" s="13">
        <f>IF(OR($A25="",U$5=""),"",IF(OR(AND(INDEX(TekFra,10)&gt;0,U$5&lt;INDEX(TekFra,10)),AND(INDEX(TekTil,10)&gt;0,U$5&gt;INDEX(TekTil,10))),"",IF(COUNTIFS(TF_Nokkel,$A25&amp;"|"&amp;U$5)=0,IF(U$8&lt;&gt;"","LMS",""),IFERROR(IF(SUMIFS(TF_Timer,TF_Nokkel,$A25&amp;"|"&amp;U$5,TF_Akt,"LMS")+IF(U$8="",0,MAX(0,ROUND((U$11-SUMIFS(TF_Timer,TF_Nokkel,$A25&amp;"|"&amp;U$5))*2,0)/2))&gt;INDEX(TF_AktSum,MATCH($A25&amp;"|"&amp;U$5,TF_Dom,0)),"LMS",INDEX(AktKode,MATCH(INDEX(TF_Akt,MATCH($A25&amp;"|"&amp;U$5,TF_Dom,0)),Aktiviteter,0)))&amp;IF(OR(COUNTIFS(TF_Nokkel,$A25&amp;"|"&amp;U$5,TF_Akt,"&lt;&gt;"&amp;INDEX(TF_Akt,MATCH($A25&amp;"|"&amp;U$5,TF_Dom,0)))&gt;0,AND(IF(U$8="",0,MAX(0,ROUND((U$11-SUMIFS(TF_Timer,TF_Nokkel,$A25&amp;"|"&amp;U$5))*2,0)/2))&gt;0,INDEX(TF_Akt,MATCH($A25&amp;"|"&amp;U$5,TF_Dom,0))&lt;&gt;"LMS")),"+",""),"?"))))</f>
        <v/>
      </c>
      <c r="V25" s="13">
        <f>IF(OR($A25="",V$5=""),"",IF(OR(AND(INDEX(TekFra,10)&gt;0,V$5&lt;INDEX(TekFra,10)),AND(INDEX(TekTil,10)&gt;0,V$5&gt;INDEX(TekTil,10))),"",IF(COUNTIFS(TF_Nokkel,$A25&amp;"|"&amp;V$5)=0,IF(V$8&lt;&gt;"","LMS",""),IFERROR(IF(SUMIFS(TF_Timer,TF_Nokkel,$A25&amp;"|"&amp;V$5,TF_Akt,"LMS")+IF(V$8="",0,MAX(0,ROUND((V$11-SUMIFS(TF_Timer,TF_Nokkel,$A25&amp;"|"&amp;V$5))*2,0)/2))&gt;INDEX(TF_AktSum,MATCH($A25&amp;"|"&amp;V$5,TF_Dom,0)),"LMS",INDEX(AktKode,MATCH(INDEX(TF_Akt,MATCH($A25&amp;"|"&amp;V$5,TF_Dom,0)),Aktiviteter,0)))&amp;IF(OR(COUNTIFS(TF_Nokkel,$A25&amp;"|"&amp;V$5,TF_Akt,"&lt;&gt;"&amp;INDEX(TF_Akt,MATCH($A25&amp;"|"&amp;V$5,TF_Dom,0)))&gt;0,AND(IF(V$8="",0,MAX(0,ROUND((V$11-SUMIFS(TF_Timer,TF_Nokkel,$A25&amp;"|"&amp;V$5))*2,0)/2))&gt;0,INDEX(TF_Akt,MATCH($A25&amp;"|"&amp;V$5,TF_Dom,0))&lt;&gt;"LMS")),"+",""),"?"))))</f>
        <v/>
      </c>
      <c r="W25" s="13">
        <f>IF(OR($A25="",W$5=""),"",IF(OR(AND(INDEX(TekFra,10)&gt;0,W$5&lt;INDEX(TekFra,10)),AND(INDEX(TekTil,10)&gt;0,W$5&gt;INDEX(TekTil,10))),"",IF(COUNTIFS(TF_Nokkel,$A25&amp;"|"&amp;W$5)=0,IF(W$8&lt;&gt;"","LMS",""),IFERROR(IF(SUMIFS(TF_Timer,TF_Nokkel,$A25&amp;"|"&amp;W$5,TF_Akt,"LMS")+IF(W$8="",0,MAX(0,ROUND((W$11-SUMIFS(TF_Timer,TF_Nokkel,$A25&amp;"|"&amp;W$5))*2,0)/2))&gt;INDEX(TF_AktSum,MATCH($A25&amp;"|"&amp;W$5,TF_Dom,0)),"LMS",INDEX(AktKode,MATCH(INDEX(TF_Akt,MATCH($A25&amp;"|"&amp;W$5,TF_Dom,0)),Aktiviteter,0)))&amp;IF(OR(COUNTIFS(TF_Nokkel,$A25&amp;"|"&amp;W$5,TF_Akt,"&lt;&gt;"&amp;INDEX(TF_Akt,MATCH($A25&amp;"|"&amp;W$5,TF_Dom,0)))&gt;0,AND(IF(W$8="",0,MAX(0,ROUND((W$11-SUMIFS(TF_Timer,TF_Nokkel,$A25&amp;"|"&amp;W$5))*2,0)/2))&gt;0,INDEX(TF_Akt,MATCH($A25&amp;"|"&amp;W$5,TF_Dom,0))&lt;&gt;"LMS")),"+",""),"?"))))</f>
        <v/>
      </c>
      <c r="X25" s="13">
        <f>IF(OR($A25="",X$5=""),"",IF(OR(AND(INDEX(TekFra,10)&gt;0,X$5&lt;INDEX(TekFra,10)),AND(INDEX(TekTil,10)&gt;0,X$5&gt;INDEX(TekTil,10))),"",IF(COUNTIFS(TF_Nokkel,$A25&amp;"|"&amp;X$5)=0,IF(X$8&lt;&gt;"","LMS",""),IFERROR(IF(SUMIFS(TF_Timer,TF_Nokkel,$A25&amp;"|"&amp;X$5,TF_Akt,"LMS")+IF(X$8="",0,MAX(0,ROUND((X$11-SUMIFS(TF_Timer,TF_Nokkel,$A25&amp;"|"&amp;X$5))*2,0)/2))&gt;INDEX(TF_AktSum,MATCH($A25&amp;"|"&amp;X$5,TF_Dom,0)),"LMS",INDEX(AktKode,MATCH(INDEX(TF_Akt,MATCH($A25&amp;"|"&amp;X$5,TF_Dom,0)),Aktiviteter,0)))&amp;IF(OR(COUNTIFS(TF_Nokkel,$A25&amp;"|"&amp;X$5,TF_Akt,"&lt;&gt;"&amp;INDEX(TF_Akt,MATCH($A25&amp;"|"&amp;X$5,TF_Dom,0)))&gt;0,AND(IF(X$8="",0,MAX(0,ROUND((X$11-SUMIFS(TF_Timer,TF_Nokkel,$A25&amp;"|"&amp;X$5))*2,0)/2))&gt;0,INDEX(TF_Akt,MATCH($A25&amp;"|"&amp;X$5,TF_Dom,0))&lt;&gt;"LMS")),"+",""),"?"))))</f>
        <v/>
      </c>
      <c r="Y25" s="13">
        <f>IF(OR($A25="",Y$5=""),"",IF(OR(AND(INDEX(TekFra,10)&gt;0,Y$5&lt;INDEX(TekFra,10)),AND(INDEX(TekTil,10)&gt;0,Y$5&gt;INDEX(TekTil,10))),"",IF(COUNTIFS(TF_Nokkel,$A25&amp;"|"&amp;Y$5)=0,IF(Y$8&lt;&gt;"","LMS",""),IFERROR(IF(SUMIFS(TF_Timer,TF_Nokkel,$A25&amp;"|"&amp;Y$5,TF_Akt,"LMS")+IF(Y$8="",0,MAX(0,ROUND((Y$11-SUMIFS(TF_Timer,TF_Nokkel,$A25&amp;"|"&amp;Y$5))*2,0)/2))&gt;INDEX(TF_AktSum,MATCH($A25&amp;"|"&amp;Y$5,TF_Dom,0)),"LMS",INDEX(AktKode,MATCH(INDEX(TF_Akt,MATCH($A25&amp;"|"&amp;Y$5,TF_Dom,0)),Aktiviteter,0)))&amp;IF(OR(COUNTIFS(TF_Nokkel,$A25&amp;"|"&amp;Y$5,TF_Akt,"&lt;&gt;"&amp;INDEX(TF_Akt,MATCH($A25&amp;"|"&amp;Y$5,TF_Dom,0)))&gt;0,AND(IF(Y$8="",0,MAX(0,ROUND((Y$11-SUMIFS(TF_Timer,TF_Nokkel,$A25&amp;"|"&amp;Y$5))*2,0)/2))&gt;0,INDEX(TF_Akt,MATCH($A25&amp;"|"&amp;Y$5,TF_Dom,0))&lt;&gt;"LMS")),"+",""),"?"))))</f>
        <v/>
      </c>
      <c r="Z25" s="13">
        <f>IF(OR($A25="",Z$5=""),"",IF(OR(AND(INDEX(TekFra,10)&gt;0,Z$5&lt;INDEX(TekFra,10)),AND(INDEX(TekTil,10)&gt;0,Z$5&gt;INDEX(TekTil,10))),"",IF(COUNTIFS(TF_Nokkel,$A25&amp;"|"&amp;Z$5)=0,IF(Z$8&lt;&gt;"","LMS",""),IFERROR(IF(SUMIFS(TF_Timer,TF_Nokkel,$A25&amp;"|"&amp;Z$5,TF_Akt,"LMS")+IF(Z$8="",0,MAX(0,ROUND((Z$11-SUMIFS(TF_Timer,TF_Nokkel,$A25&amp;"|"&amp;Z$5))*2,0)/2))&gt;INDEX(TF_AktSum,MATCH($A25&amp;"|"&amp;Z$5,TF_Dom,0)),"LMS",INDEX(AktKode,MATCH(INDEX(TF_Akt,MATCH($A25&amp;"|"&amp;Z$5,TF_Dom,0)),Aktiviteter,0)))&amp;IF(OR(COUNTIFS(TF_Nokkel,$A25&amp;"|"&amp;Z$5,TF_Akt,"&lt;&gt;"&amp;INDEX(TF_Akt,MATCH($A25&amp;"|"&amp;Z$5,TF_Dom,0)))&gt;0,AND(IF(Z$8="",0,MAX(0,ROUND((Z$11-SUMIFS(TF_Timer,TF_Nokkel,$A25&amp;"|"&amp;Z$5))*2,0)/2))&gt;0,INDEX(TF_Akt,MATCH($A25&amp;"|"&amp;Z$5,TF_Dom,0))&lt;&gt;"LMS")),"+",""),"?"))))</f>
        <v/>
      </c>
      <c r="AA25" s="13">
        <f>IF(OR($A25="",AA$5=""),"",IF(OR(AND(INDEX(TekFra,10)&gt;0,AA$5&lt;INDEX(TekFra,10)),AND(INDEX(TekTil,10)&gt;0,AA$5&gt;INDEX(TekTil,10))),"",IF(COUNTIFS(TF_Nokkel,$A25&amp;"|"&amp;AA$5)=0,IF(AA$8&lt;&gt;"","LMS",""),IFERROR(IF(SUMIFS(TF_Timer,TF_Nokkel,$A25&amp;"|"&amp;AA$5,TF_Akt,"LMS")+IF(AA$8="",0,MAX(0,ROUND((AA$11-SUMIFS(TF_Timer,TF_Nokkel,$A25&amp;"|"&amp;AA$5))*2,0)/2))&gt;INDEX(TF_AktSum,MATCH($A25&amp;"|"&amp;AA$5,TF_Dom,0)),"LMS",INDEX(AktKode,MATCH(INDEX(TF_Akt,MATCH($A25&amp;"|"&amp;AA$5,TF_Dom,0)),Aktiviteter,0)))&amp;IF(OR(COUNTIFS(TF_Nokkel,$A25&amp;"|"&amp;AA$5,TF_Akt,"&lt;&gt;"&amp;INDEX(TF_Akt,MATCH($A25&amp;"|"&amp;AA$5,TF_Dom,0)))&gt;0,AND(IF(AA$8="",0,MAX(0,ROUND((AA$11-SUMIFS(TF_Timer,TF_Nokkel,$A25&amp;"|"&amp;AA$5))*2,0)/2))&gt;0,INDEX(TF_Akt,MATCH($A25&amp;"|"&amp;AA$5,TF_Dom,0))&lt;&gt;"LMS")),"+",""),"?"))))</f>
        <v/>
      </c>
      <c r="AB25" s="13">
        <f>IF(OR($A25="",AB$5=""),"",IF(OR(AND(INDEX(TekFra,10)&gt;0,AB$5&lt;INDEX(TekFra,10)),AND(INDEX(TekTil,10)&gt;0,AB$5&gt;INDEX(TekTil,10))),"",IF(COUNTIFS(TF_Nokkel,$A25&amp;"|"&amp;AB$5)=0,IF(AB$8&lt;&gt;"","LMS",""),IFERROR(IF(SUMIFS(TF_Timer,TF_Nokkel,$A25&amp;"|"&amp;AB$5,TF_Akt,"LMS")+IF(AB$8="",0,MAX(0,ROUND((AB$11-SUMIFS(TF_Timer,TF_Nokkel,$A25&amp;"|"&amp;AB$5))*2,0)/2))&gt;INDEX(TF_AktSum,MATCH($A25&amp;"|"&amp;AB$5,TF_Dom,0)),"LMS",INDEX(AktKode,MATCH(INDEX(TF_Akt,MATCH($A25&amp;"|"&amp;AB$5,TF_Dom,0)),Aktiviteter,0)))&amp;IF(OR(COUNTIFS(TF_Nokkel,$A25&amp;"|"&amp;AB$5,TF_Akt,"&lt;&gt;"&amp;INDEX(TF_Akt,MATCH($A25&amp;"|"&amp;AB$5,TF_Dom,0)))&gt;0,AND(IF(AB$8="",0,MAX(0,ROUND((AB$11-SUMIFS(TF_Timer,TF_Nokkel,$A25&amp;"|"&amp;AB$5))*2,0)/2))&gt;0,INDEX(TF_Akt,MATCH($A25&amp;"|"&amp;AB$5,TF_Dom,0))&lt;&gt;"LMS")),"+",""),"?"))))</f>
        <v/>
      </c>
      <c r="AC25" s="13">
        <f>IF(OR($A25="",AC$5=""),"",IF(OR(AND(INDEX(TekFra,10)&gt;0,AC$5&lt;INDEX(TekFra,10)),AND(INDEX(TekTil,10)&gt;0,AC$5&gt;INDEX(TekTil,10))),"",IF(COUNTIFS(TF_Nokkel,$A25&amp;"|"&amp;AC$5)=0,IF(AC$8&lt;&gt;"","LMS",""),IFERROR(IF(SUMIFS(TF_Timer,TF_Nokkel,$A25&amp;"|"&amp;AC$5,TF_Akt,"LMS")+IF(AC$8="",0,MAX(0,ROUND((AC$11-SUMIFS(TF_Timer,TF_Nokkel,$A25&amp;"|"&amp;AC$5))*2,0)/2))&gt;INDEX(TF_AktSum,MATCH($A25&amp;"|"&amp;AC$5,TF_Dom,0)),"LMS",INDEX(AktKode,MATCH(INDEX(TF_Akt,MATCH($A25&amp;"|"&amp;AC$5,TF_Dom,0)),Aktiviteter,0)))&amp;IF(OR(COUNTIFS(TF_Nokkel,$A25&amp;"|"&amp;AC$5,TF_Akt,"&lt;&gt;"&amp;INDEX(TF_Akt,MATCH($A25&amp;"|"&amp;AC$5,TF_Dom,0)))&gt;0,AND(IF(AC$8="",0,MAX(0,ROUND((AC$11-SUMIFS(TF_Timer,TF_Nokkel,$A25&amp;"|"&amp;AC$5))*2,0)/2))&gt;0,INDEX(TF_Akt,MATCH($A25&amp;"|"&amp;AC$5,TF_Dom,0))&lt;&gt;"LMS")),"+",""),"?"))))</f>
        <v/>
      </c>
      <c r="AD25" s="13">
        <f>IF(OR($A25="",AD$5=""),"",IF(OR(AND(INDEX(TekFra,10)&gt;0,AD$5&lt;INDEX(TekFra,10)),AND(INDEX(TekTil,10)&gt;0,AD$5&gt;INDEX(TekTil,10))),"",IF(COUNTIFS(TF_Nokkel,$A25&amp;"|"&amp;AD$5)=0,IF(AD$8&lt;&gt;"","LMS",""),IFERROR(IF(SUMIFS(TF_Timer,TF_Nokkel,$A25&amp;"|"&amp;AD$5,TF_Akt,"LMS")+IF(AD$8="",0,MAX(0,ROUND((AD$11-SUMIFS(TF_Timer,TF_Nokkel,$A25&amp;"|"&amp;AD$5))*2,0)/2))&gt;INDEX(TF_AktSum,MATCH($A25&amp;"|"&amp;AD$5,TF_Dom,0)),"LMS",INDEX(AktKode,MATCH(INDEX(TF_Akt,MATCH($A25&amp;"|"&amp;AD$5,TF_Dom,0)),Aktiviteter,0)))&amp;IF(OR(COUNTIFS(TF_Nokkel,$A25&amp;"|"&amp;AD$5,TF_Akt,"&lt;&gt;"&amp;INDEX(TF_Akt,MATCH($A25&amp;"|"&amp;AD$5,TF_Dom,0)))&gt;0,AND(IF(AD$8="",0,MAX(0,ROUND((AD$11-SUMIFS(TF_Timer,TF_Nokkel,$A25&amp;"|"&amp;AD$5))*2,0)/2))&gt;0,INDEX(TF_Akt,MATCH($A25&amp;"|"&amp;AD$5,TF_Dom,0))&lt;&gt;"LMS")),"+",""),"?"))))</f>
        <v/>
      </c>
      <c r="AE25" s="13">
        <f>IF(OR($A25="",AE$5=""),"",IF(OR(AND(INDEX(TekFra,10)&gt;0,AE$5&lt;INDEX(TekFra,10)),AND(INDEX(TekTil,10)&gt;0,AE$5&gt;INDEX(TekTil,10))),"",IF(COUNTIFS(TF_Nokkel,$A25&amp;"|"&amp;AE$5)=0,IF(AE$8&lt;&gt;"","LMS",""),IFERROR(IF(SUMIFS(TF_Timer,TF_Nokkel,$A25&amp;"|"&amp;AE$5,TF_Akt,"LMS")+IF(AE$8="",0,MAX(0,ROUND((AE$11-SUMIFS(TF_Timer,TF_Nokkel,$A25&amp;"|"&amp;AE$5))*2,0)/2))&gt;INDEX(TF_AktSum,MATCH($A25&amp;"|"&amp;AE$5,TF_Dom,0)),"LMS",INDEX(AktKode,MATCH(INDEX(TF_Akt,MATCH($A25&amp;"|"&amp;AE$5,TF_Dom,0)),Aktiviteter,0)))&amp;IF(OR(COUNTIFS(TF_Nokkel,$A25&amp;"|"&amp;AE$5,TF_Akt,"&lt;&gt;"&amp;INDEX(TF_Akt,MATCH($A25&amp;"|"&amp;AE$5,TF_Dom,0)))&gt;0,AND(IF(AE$8="",0,MAX(0,ROUND((AE$11-SUMIFS(TF_Timer,TF_Nokkel,$A25&amp;"|"&amp;AE$5))*2,0)/2))&gt;0,INDEX(TF_Akt,MATCH($A25&amp;"|"&amp;AE$5,TF_Dom,0))&lt;&gt;"LMS")),"+",""),"?"))))</f>
        <v/>
      </c>
      <c r="AF25" s="13">
        <f>IF(OR($A25="",AF$5=""),"",IF(OR(AND(INDEX(TekFra,10)&gt;0,AF$5&lt;INDEX(TekFra,10)),AND(INDEX(TekTil,10)&gt;0,AF$5&gt;INDEX(TekTil,10))),"",IF(COUNTIFS(TF_Nokkel,$A25&amp;"|"&amp;AF$5)=0,IF(AF$8&lt;&gt;"","LMS",""),IFERROR(IF(SUMIFS(TF_Timer,TF_Nokkel,$A25&amp;"|"&amp;AF$5,TF_Akt,"LMS")+IF(AF$8="",0,MAX(0,ROUND((AF$11-SUMIFS(TF_Timer,TF_Nokkel,$A25&amp;"|"&amp;AF$5))*2,0)/2))&gt;INDEX(TF_AktSum,MATCH($A25&amp;"|"&amp;AF$5,TF_Dom,0)),"LMS",INDEX(AktKode,MATCH(INDEX(TF_Akt,MATCH($A25&amp;"|"&amp;AF$5,TF_Dom,0)),Aktiviteter,0)))&amp;IF(OR(COUNTIFS(TF_Nokkel,$A25&amp;"|"&amp;AF$5,TF_Akt,"&lt;&gt;"&amp;INDEX(TF_Akt,MATCH($A25&amp;"|"&amp;AF$5,TF_Dom,0)))&gt;0,AND(IF(AF$8="",0,MAX(0,ROUND((AF$11-SUMIFS(TF_Timer,TF_Nokkel,$A25&amp;"|"&amp;AF$5))*2,0)/2))&gt;0,INDEX(TF_Akt,MATCH($A25&amp;"|"&amp;AF$5,TF_Dom,0))&lt;&gt;"LMS")),"+",""),"?"))))</f>
        <v/>
      </c>
      <c r="AG25" s="13">
        <f>IF(OR($A25="",AG$5=""),"",IF(OR(AND(INDEX(TekFra,10)&gt;0,AG$5&lt;INDEX(TekFra,10)),AND(INDEX(TekTil,10)&gt;0,AG$5&gt;INDEX(TekTil,10))),"",IF(COUNTIFS(TF_Nokkel,$A25&amp;"|"&amp;AG$5)=0,IF(AG$8&lt;&gt;"","LMS",""),IFERROR(IF(SUMIFS(TF_Timer,TF_Nokkel,$A25&amp;"|"&amp;AG$5,TF_Akt,"LMS")+IF(AG$8="",0,MAX(0,ROUND((AG$11-SUMIFS(TF_Timer,TF_Nokkel,$A25&amp;"|"&amp;AG$5))*2,0)/2))&gt;INDEX(TF_AktSum,MATCH($A25&amp;"|"&amp;AG$5,TF_Dom,0)),"LMS",INDEX(AktKode,MATCH(INDEX(TF_Akt,MATCH($A25&amp;"|"&amp;AG$5,TF_Dom,0)),Aktiviteter,0)))&amp;IF(OR(COUNTIFS(TF_Nokkel,$A25&amp;"|"&amp;AG$5,TF_Akt,"&lt;&gt;"&amp;INDEX(TF_Akt,MATCH($A25&amp;"|"&amp;AG$5,TF_Dom,0)))&gt;0,AND(IF(AG$8="",0,MAX(0,ROUND((AG$11-SUMIFS(TF_Timer,TF_Nokkel,$A25&amp;"|"&amp;AG$5))*2,0)/2))&gt;0,INDEX(TF_Akt,MATCH($A25&amp;"|"&amp;AG$5,TF_Dom,0))&lt;&gt;"LMS")),"+",""),"?"))))</f>
        <v/>
      </c>
      <c r="AH25" s="2" t="n"/>
      <c r="AI25" s="24" t="inlineStr">
        <is>
          <t>FR</t>
        </is>
      </c>
      <c r="AJ25" s="15" t="inlineStr">
        <is>
          <t>Fravær</t>
        </is>
      </c>
    </row>
    <row r="26">
      <c r="A26" s="2">
        <f>INDEX(Teknikere,11)&amp;""</f>
        <v/>
      </c>
      <c r="B26" s="12">
        <f>IF(INDEX(TekFra,11)&gt;0,"ekstra","")</f>
        <v/>
      </c>
      <c r="C26" s="13">
        <f>IF(OR($A26="",C$5=""),"",IF(OR(AND(INDEX(TekFra,11)&gt;0,C$5&lt;INDEX(TekFra,11)),AND(INDEX(TekTil,11)&gt;0,C$5&gt;INDEX(TekTil,11))),"",IF(COUNTIFS(TF_Nokkel,$A26&amp;"|"&amp;C$5)=0,IF(C$8&lt;&gt;"","LMS",""),IFERROR(IF(SUMIFS(TF_Timer,TF_Nokkel,$A26&amp;"|"&amp;C$5,TF_Akt,"LMS")+IF(C$8="",0,MAX(0,ROUND((C$11-SUMIFS(TF_Timer,TF_Nokkel,$A26&amp;"|"&amp;C$5))*2,0)/2))&gt;INDEX(TF_AktSum,MATCH($A26&amp;"|"&amp;C$5,TF_Dom,0)),"LMS",INDEX(AktKode,MATCH(INDEX(TF_Akt,MATCH($A26&amp;"|"&amp;C$5,TF_Dom,0)),Aktiviteter,0)))&amp;IF(OR(COUNTIFS(TF_Nokkel,$A26&amp;"|"&amp;C$5,TF_Akt,"&lt;&gt;"&amp;INDEX(TF_Akt,MATCH($A26&amp;"|"&amp;C$5,TF_Dom,0)))&gt;0,AND(IF(C$8="",0,MAX(0,ROUND((C$11-SUMIFS(TF_Timer,TF_Nokkel,$A26&amp;"|"&amp;C$5))*2,0)/2))&gt;0,INDEX(TF_Akt,MATCH($A26&amp;"|"&amp;C$5,TF_Dom,0))&lt;&gt;"LMS")),"+",""),"?"))))</f>
        <v/>
      </c>
      <c r="D26" s="13">
        <f>IF(OR($A26="",D$5=""),"",IF(OR(AND(INDEX(TekFra,11)&gt;0,D$5&lt;INDEX(TekFra,11)),AND(INDEX(TekTil,11)&gt;0,D$5&gt;INDEX(TekTil,11))),"",IF(COUNTIFS(TF_Nokkel,$A26&amp;"|"&amp;D$5)=0,IF(D$8&lt;&gt;"","LMS",""),IFERROR(IF(SUMIFS(TF_Timer,TF_Nokkel,$A26&amp;"|"&amp;D$5,TF_Akt,"LMS")+IF(D$8="",0,MAX(0,ROUND((D$11-SUMIFS(TF_Timer,TF_Nokkel,$A26&amp;"|"&amp;D$5))*2,0)/2))&gt;INDEX(TF_AktSum,MATCH($A26&amp;"|"&amp;D$5,TF_Dom,0)),"LMS",INDEX(AktKode,MATCH(INDEX(TF_Akt,MATCH($A26&amp;"|"&amp;D$5,TF_Dom,0)),Aktiviteter,0)))&amp;IF(OR(COUNTIFS(TF_Nokkel,$A26&amp;"|"&amp;D$5,TF_Akt,"&lt;&gt;"&amp;INDEX(TF_Akt,MATCH($A26&amp;"|"&amp;D$5,TF_Dom,0)))&gt;0,AND(IF(D$8="",0,MAX(0,ROUND((D$11-SUMIFS(TF_Timer,TF_Nokkel,$A26&amp;"|"&amp;D$5))*2,0)/2))&gt;0,INDEX(TF_Akt,MATCH($A26&amp;"|"&amp;D$5,TF_Dom,0))&lt;&gt;"LMS")),"+",""),"?"))))</f>
        <v/>
      </c>
      <c r="E26" s="13">
        <f>IF(OR($A26="",E$5=""),"",IF(OR(AND(INDEX(TekFra,11)&gt;0,E$5&lt;INDEX(TekFra,11)),AND(INDEX(TekTil,11)&gt;0,E$5&gt;INDEX(TekTil,11))),"",IF(COUNTIFS(TF_Nokkel,$A26&amp;"|"&amp;E$5)=0,IF(E$8&lt;&gt;"","LMS",""),IFERROR(IF(SUMIFS(TF_Timer,TF_Nokkel,$A26&amp;"|"&amp;E$5,TF_Akt,"LMS")+IF(E$8="",0,MAX(0,ROUND((E$11-SUMIFS(TF_Timer,TF_Nokkel,$A26&amp;"|"&amp;E$5))*2,0)/2))&gt;INDEX(TF_AktSum,MATCH($A26&amp;"|"&amp;E$5,TF_Dom,0)),"LMS",INDEX(AktKode,MATCH(INDEX(TF_Akt,MATCH($A26&amp;"|"&amp;E$5,TF_Dom,0)),Aktiviteter,0)))&amp;IF(OR(COUNTIFS(TF_Nokkel,$A26&amp;"|"&amp;E$5,TF_Akt,"&lt;&gt;"&amp;INDEX(TF_Akt,MATCH($A26&amp;"|"&amp;E$5,TF_Dom,0)))&gt;0,AND(IF(E$8="",0,MAX(0,ROUND((E$11-SUMIFS(TF_Timer,TF_Nokkel,$A26&amp;"|"&amp;E$5))*2,0)/2))&gt;0,INDEX(TF_Akt,MATCH($A26&amp;"|"&amp;E$5,TF_Dom,0))&lt;&gt;"LMS")),"+",""),"?"))))</f>
        <v/>
      </c>
      <c r="F26" s="13">
        <f>IF(OR($A26="",F$5=""),"",IF(OR(AND(INDEX(TekFra,11)&gt;0,F$5&lt;INDEX(TekFra,11)),AND(INDEX(TekTil,11)&gt;0,F$5&gt;INDEX(TekTil,11))),"",IF(COUNTIFS(TF_Nokkel,$A26&amp;"|"&amp;F$5)=0,IF(F$8&lt;&gt;"","LMS",""),IFERROR(IF(SUMIFS(TF_Timer,TF_Nokkel,$A26&amp;"|"&amp;F$5,TF_Akt,"LMS")+IF(F$8="",0,MAX(0,ROUND((F$11-SUMIFS(TF_Timer,TF_Nokkel,$A26&amp;"|"&amp;F$5))*2,0)/2))&gt;INDEX(TF_AktSum,MATCH($A26&amp;"|"&amp;F$5,TF_Dom,0)),"LMS",INDEX(AktKode,MATCH(INDEX(TF_Akt,MATCH($A26&amp;"|"&amp;F$5,TF_Dom,0)),Aktiviteter,0)))&amp;IF(OR(COUNTIFS(TF_Nokkel,$A26&amp;"|"&amp;F$5,TF_Akt,"&lt;&gt;"&amp;INDEX(TF_Akt,MATCH($A26&amp;"|"&amp;F$5,TF_Dom,0)))&gt;0,AND(IF(F$8="",0,MAX(0,ROUND((F$11-SUMIFS(TF_Timer,TF_Nokkel,$A26&amp;"|"&amp;F$5))*2,0)/2))&gt;0,INDEX(TF_Akt,MATCH($A26&amp;"|"&amp;F$5,TF_Dom,0))&lt;&gt;"LMS")),"+",""),"?"))))</f>
        <v/>
      </c>
      <c r="G26" s="13">
        <f>IF(OR($A26="",G$5=""),"",IF(OR(AND(INDEX(TekFra,11)&gt;0,G$5&lt;INDEX(TekFra,11)),AND(INDEX(TekTil,11)&gt;0,G$5&gt;INDEX(TekTil,11))),"",IF(COUNTIFS(TF_Nokkel,$A26&amp;"|"&amp;G$5)=0,IF(G$8&lt;&gt;"","LMS",""),IFERROR(IF(SUMIFS(TF_Timer,TF_Nokkel,$A26&amp;"|"&amp;G$5,TF_Akt,"LMS")+IF(G$8="",0,MAX(0,ROUND((G$11-SUMIFS(TF_Timer,TF_Nokkel,$A26&amp;"|"&amp;G$5))*2,0)/2))&gt;INDEX(TF_AktSum,MATCH($A26&amp;"|"&amp;G$5,TF_Dom,0)),"LMS",INDEX(AktKode,MATCH(INDEX(TF_Akt,MATCH($A26&amp;"|"&amp;G$5,TF_Dom,0)),Aktiviteter,0)))&amp;IF(OR(COUNTIFS(TF_Nokkel,$A26&amp;"|"&amp;G$5,TF_Akt,"&lt;&gt;"&amp;INDEX(TF_Akt,MATCH($A26&amp;"|"&amp;G$5,TF_Dom,0)))&gt;0,AND(IF(G$8="",0,MAX(0,ROUND((G$11-SUMIFS(TF_Timer,TF_Nokkel,$A26&amp;"|"&amp;G$5))*2,0)/2))&gt;0,INDEX(TF_Akt,MATCH($A26&amp;"|"&amp;G$5,TF_Dom,0))&lt;&gt;"LMS")),"+",""),"?"))))</f>
        <v/>
      </c>
      <c r="H26" s="13">
        <f>IF(OR($A26="",H$5=""),"",IF(OR(AND(INDEX(TekFra,11)&gt;0,H$5&lt;INDEX(TekFra,11)),AND(INDEX(TekTil,11)&gt;0,H$5&gt;INDEX(TekTil,11))),"",IF(COUNTIFS(TF_Nokkel,$A26&amp;"|"&amp;H$5)=0,IF(H$8&lt;&gt;"","LMS",""),IFERROR(IF(SUMIFS(TF_Timer,TF_Nokkel,$A26&amp;"|"&amp;H$5,TF_Akt,"LMS")+IF(H$8="",0,MAX(0,ROUND((H$11-SUMIFS(TF_Timer,TF_Nokkel,$A26&amp;"|"&amp;H$5))*2,0)/2))&gt;INDEX(TF_AktSum,MATCH($A26&amp;"|"&amp;H$5,TF_Dom,0)),"LMS",INDEX(AktKode,MATCH(INDEX(TF_Akt,MATCH($A26&amp;"|"&amp;H$5,TF_Dom,0)),Aktiviteter,0)))&amp;IF(OR(COUNTIFS(TF_Nokkel,$A26&amp;"|"&amp;H$5,TF_Akt,"&lt;&gt;"&amp;INDEX(TF_Akt,MATCH($A26&amp;"|"&amp;H$5,TF_Dom,0)))&gt;0,AND(IF(H$8="",0,MAX(0,ROUND((H$11-SUMIFS(TF_Timer,TF_Nokkel,$A26&amp;"|"&amp;H$5))*2,0)/2))&gt;0,INDEX(TF_Akt,MATCH($A26&amp;"|"&amp;H$5,TF_Dom,0))&lt;&gt;"LMS")),"+",""),"?"))))</f>
        <v/>
      </c>
      <c r="I26" s="13">
        <f>IF(OR($A26="",I$5=""),"",IF(OR(AND(INDEX(TekFra,11)&gt;0,I$5&lt;INDEX(TekFra,11)),AND(INDEX(TekTil,11)&gt;0,I$5&gt;INDEX(TekTil,11))),"",IF(COUNTIFS(TF_Nokkel,$A26&amp;"|"&amp;I$5)=0,IF(I$8&lt;&gt;"","LMS",""),IFERROR(IF(SUMIFS(TF_Timer,TF_Nokkel,$A26&amp;"|"&amp;I$5,TF_Akt,"LMS")+IF(I$8="",0,MAX(0,ROUND((I$11-SUMIFS(TF_Timer,TF_Nokkel,$A26&amp;"|"&amp;I$5))*2,0)/2))&gt;INDEX(TF_AktSum,MATCH($A26&amp;"|"&amp;I$5,TF_Dom,0)),"LMS",INDEX(AktKode,MATCH(INDEX(TF_Akt,MATCH($A26&amp;"|"&amp;I$5,TF_Dom,0)),Aktiviteter,0)))&amp;IF(OR(COUNTIFS(TF_Nokkel,$A26&amp;"|"&amp;I$5,TF_Akt,"&lt;&gt;"&amp;INDEX(TF_Akt,MATCH($A26&amp;"|"&amp;I$5,TF_Dom,0)))&gt;0,AND(IF(I$8="",0,MAX(0,ROUND((I$11-SUMIFS(TF_Timer,TF_Nokkel,$A26&amp;"|"&amp;I$5))*2,0)/2))&gt;0,INDEX(TF_Akt,MATCH($A26&amp;"|"&amp;I$5,TF_Dom,0))&lt;&gt;"LMS")),"+",""),"?"))))</f>
        <v/>
      </c>
      <c r="J26" s="13">
        <f>IF(OR($A26="",J$5=""),"",IF(OR(AND(INDEX(TekFra,11)&gt;0,J$5&lt;INDEX(TekFra,11)),AND(INDEX(TekTil,11)&gt;0,J$5&gt;INDEX(TekTil,11))),"",IF(COUNTIFS(TF_Nokkel,$A26&amp;"|"&amp;J$5)=0,IF(J$8&lt;&gt;"","LMS",""),IFERROR(IF(SUMIFS(TF_Timer,TF_Nokkel,$A26&amp;"|"&amp;J$5,TF_Akt,"LMS")+IF(J$8="",0,MAX(0,ROUND((J$11-SUMIFS(TF_Timer,TF_Nokkel,$A26&amp;"|"&amp;J$5))*2,0)/2))&gt;INDEX(TF_AktSum,MATCH($A26&amp;"|"&amp;J$5,TF_Dom,0)),"LMS",INDEX(AktKode,MATCH(INDEX(TF_Akt,MATCH($A26&amp;"|"&amp;J$5,TF_Dom,0)),Aktiviteter,0)))&amp;IF(OR(COUNTIFS(TF_Nokkel,$A26&amp;"|"&amp;J$5,TF_Akt,"&lt;&gt;"&amp;INDEX(TF_Akt,MATCH($A26&amp;"|"&amp;J$5,TF_Dom,0)))&gt;0,AND(IF(J$8="",0,MAX(0,ROUND((J$11-SUMIFS(TF_Timer,TF_Nokkel,$A26&amp;"|"&amp;J$5))*2,0)/2))&gt;0,INDEX(TF_Akt,MATCH($A26&amp;"|"&amp;J$5,TF_Dom,0))&lt;&gt;"LMS")),"+",""),"?"))))</f>
        <v/>
      </c>
      <c r="K26" s="13">
        <f>IF(OR($A26="",K$5=""),"",IF(OR(AND(INDEX(TekFra,11)&gt;0,K$5&lt;INDEX(TekFra,11)),AND(INDEX(TekTil,11)&gt;0,K$5&gt;INDEX(TekTil,11))),"",IF(COUNTIFS(TF_Nokkel,$A26&amp;"|"&amp;K$5)=0,IF(K$8&lt;&gt;"","LMS",""),IFERROR(IF(SUMIFS(TF_Timer,TF_Nokkel,$A26&amp;"|"&amp;K$5,TF_Akt,"LMS")+IF(K$8="",0,MAX(0,ROUND((K$11-SUMIFS(TF_Timer,TF_Nokkel,$A26&amp;"|"&amp;K$5))*2,0)/2))&gt;INDEX(TF_AktSum,MATCH($A26&amp;"|"&amp;K$5,TF_Dom,0)),"LMS",INDEX(AktKode,MATCH(INDEX(TF_Akt,MATCH($A26&amp;"|"&amp;K$5,TF_Dom,0)),Aktiviteter,0)))&amp;IF(OR(COUNTIFS(TF_Nokkel,$A26&amp;"|"&amp;K$5,TF_Akt,"&lt;&gt;"&amp;INDEX(TF_Akt,MATCH($A26&amp;"|"&amp;K$5,TF_Dom,0)))&gt;0,AND(IF(K$8="",0,MAX(0,ROUND((K$11-SUMIFS(TF_Timer,TF_Nokkel,$A26&amp;"|"&amp;K$5))*2,0)/2))&gt;0,INDEX(TF_Akt,MATCH($A26&amp;"|"&amp;K$5,TF_Dom,0))&lt;&gt;"LMS")),"+",""),"?"))))</f>
        <v/>
      </c>
      <c r="L26" s="13">
        <f>IF(OR($A26="",L$5=""),"",IF(OR(AND(INDEX(TekFra,11)&gt;0,L$5&lt;INDEX(TekFra,11)),AND(INDEX(TekTil,11)&gt;0,L$5&gt;INDEX(TekTil,11))),"",IF(COUNTIFS(TF_Nokkel,$A26&amp;"|"&amp;L$5)=0,IF(L$8&lt;&gt;"","LMS",""),IFERROR(IF(SUMIFS(TF_Timer,TF_Nokkel,$A26&amp;"|"&amp;L$5,TF_Akt,"LMS")+IF(L$8="",0,MAX(0,ROUND((L$11-SUMIFS(TF_Timer,TF_Nokkel,$A26&amp;"|"&amp;L$5))*2,0)/2))&gt;INDEX(TF_AktSum,MATCH($A26&amp;"|"&amp;L$5,TF_Dom,0)),"LMS",INDEX(AktKode,MATCH(INDEX(TF_Akt,MATCH($A26&amp;"|"&amp;L$5,TF_Dom,0)),Aktiviteter,0)))&amp;IF(OR(COUNTIFS(TF_Nokkel,$A26&amp;"|"&amp;L$5,TF_Akt,"&lt;&gt;"&amp;INDEX(TF_Akt,MATCH($A26&amp;"|"&amp;L$5,TF_Dom,0)))&gt;0,AND(IF(L$8="",0,MAX(0,ROUND((L$11-SUMIFS(TF_Timer,TF_Nokkel,$A26&amp;"|"&amp;L$5))*2,0)/2))&gt;0,INDEX(TF_Akt,MATCH($A26&amp;"|"&amp;L$5,TF_Dom,0))&lt;&gt;"LMS")),"+",""),"?"))))</f>
        <v/>
      </c>
      <c r="M26" s="13">
        <f>IF(OR($A26="",M$5=""),"",IF(OR(AND(INDEX(TekFra,11)&gt;0,M$5&lt;INDEX(TekFra,11)),AND(INDEX(TekTil,11)&gt;0,M$5&gt;INDEX(TekTil,11))),"",IF(COUNTIFS(TF_Nokkel,$A26&amp;"|"&amp;M$5)=0,IF(M$8&lt;&gt;"","LMS",""),IFERROR(IF(SUMIFS(TF_Timer,TF_Nokkel,$A26&amp;"|"&amp;M$5,TF_Akt,"LMS")+IF(M$8="",0,MAX(0,ROUND((M$11-SUMIFS(TF_Timer,TF_Nokkel,$A26&amp;"|"&amp;M$5))*2,0)/2))&gt;INDEX(TF_AktSum,MATCH($A26&amp;"|"&amp;M$5,TF_Dom,0)),"LMS",INDEX(AktKode,MATCH(INDEX(TF_Akt,MATCH($A26&amp;"|"&amp;M$5,TF_Dom,0)),Aktiviteter,0)))&amp;IF(OR(COUNTIFS(TF_Nokkel,$A26&amp;"|"&amp;M$5,TF_Akt,"&lt;&gt;"&amp;INDEX(TF_Akt,MATCH($A26&amp;"|"&amp;M$5,TF_Dom,0)))&gt;0,AND(IF(M$8="",0,MAX(0,ROUND((M$11-SUMIFS(TF_Timer,TF_Nokkel,$A26&amp;"|"&amp;M$5))*2,0)/2))&gt;0,INDEX(TF_Akt,MATCH($A26&amp;"|"&amp;M$5,TF_Dom,0))&lt;&gt;"LMS")),"+",""),"?"))))</f>
        <v/>
      </c>
      <c r="N26" s="13">
        <f>IF(OR($A26="",N$5=""),"",IF(OR(AND(INDEX(TekFra,11)&gt;0,N$5&lt;INDEX(TekFra,11)),AND(INDEX(TekTil,11)&gt;0,N$5&gt;INDEX(TekTil,11))),"",IF(COUNTIFS(TF_Nokkel,$A26&amp;"|"&amp;N$5)=0,IF(N$8&lt;&gt;"","LMS",""),IFERROR(IF(SUMIFS(TF_Timer,TF_Nokkel,$A26&amp;"|"&amp;N$5,TF_Akt,"LMS")+IF(N$8="",0,MAX(0,ROUND((N$11-SUMIFS(TF_Timer,TF_Nokkel,$A26&amp;"|"&amp;N$5))*2,0)/2))&gt;INDEX(TF_AktSum,MATCH($A26&amp;"|"&amp;N$5,TF_Dom,0)),"LMS",INDEX(AktKode,MATCH(INDEX(TF_Akt,MATCH($A26&amp;"|"&amp;N$5,TF_Dom,0)),Aktiviteter,0)))&amp;IF(OR(COUNTIFS(TF_Nokkel,$A26&amp;"|"&amp;N$5,TF_Akt,"&lt;&gt;"&amp;INDEX(TF_Akt,MATCH($A26&amp;"|"&amp;N$5,TF_Dom,0)))&gt;0,AND(IF(N$8="",0,MAX(0,ROUND((N$11-SUMIFS(TF_Timer,TF_Nokkel,$A26&amp;"|"&amp;N$5))*2,0)/2))&gt;0,INDEX(TF_Akt,MATCH($A26&amp;"|"&amp;N$5,TF_Dom,0))&lt;&gt;"LMS")),"+",""),"?"))))</f>
        <v/>
      </c>
      <c r="O26" s="13">
        <f>IF(OR($A26="",O$5=""),"",IF(OR(AND(INDEX(TekFra,11)&gt;0,O$5&lt;INDEX(TekFra,11)),AND(INDEX(TekTil,11)&gt;0,O$5&gt;INDEX(TekTil,11))),"",IF(COUNTIFS(TF_Nokkel,$A26&amp;"|"&amp;O$5)=0,IF(O$8&lt;&gt;"","LMS",""),IFERROR(IF(SUMIFS(TF_Timer,TF_Nokkel,$A26&amp;"|"&amp;O$5,TF_Akt,"LMS")+IF(O$8="",0,MAX(0,ROUND((O$11-SUMIFS(TF_Timer,TF_Nokkel,$A26&amp;"|"&amp;O$5))*2,0)/2))&gt;INDEX(TF_AktSum,MATCH($A26&amp;"|"&amp;O$5,TF_Dom,0)),"LMS",INDEX(AktKode,MATCH(INDEX(TF_Akt,MATCH($A26&amp;"|"&amp;O$5,TF_Dom,0)),Aktiviteter,0)))&amp;IF(OR(COUNTIFS(TF_Nokkel,$A26&amp;"|"&amp;O$5,TF_Akt,"&lt;&gt;"&amp;INDEX(TF_Akt,MATCH($A26&amp;"|"&amp;O$5,TF_Dom,0)))&gt;0,AND(IF(O$8="",0,MAX(0,ROUND((O$11-SUMIFS(TF_Timer,TF_Nokkel,$A26&amp;"|"&amp;O$5))*2,0)/2))&gt;0,INDEX(TF_Akt,MATCH($A26&amp;"|"&amp;O$5,TF_Dom,0))&lt;&gt;"LMS")),"+",""),"?"))))</f>
        <v/>
      </c>
      <c r="P26" s="13">
        <f>IF(OR($A26="",P$5=""),"",IF(OR(AND(INDEX(TekFra,11)&gt;0,P$5&lt;INDEX(TekFra,11)),AND(INDEX(TekTil,11)&gt;0,P$5&gt;INDEX(TekTil,11))),"",IF(COUNTIFS(TF_Nokkel,$A26&amp;"|"&amp;P$5)=0,IF(P$8&lt;&gt;"","LMS",""),IFERROR(IF(SUMIFS(TF_Timer,TF_Nokkel,$A26&amp;"|"&amp;P$5,TF_Akt,"LMS")+IF(P$8="",0,MAX(0,ROUND((P$11-SUMIFS(TF_Timer,TF_Nokkel,$A26&amp;"|"&amp;P$5))*2,0)/2))&gt;INDEX(TF_AktSum,MATCH($A26&amp;"|"&amp;P$5,TF_Dom,0)),"LMS",INDEX(AktKode,MATCH(INDEX(TF_Akt,MATCH($A26&amp;"|"&amp;P$5,TF_Dom,0)),Aktiviteter,0)))&amp;IF(OR(COUNTIFS(TF_Nokkel,$A26&amp;"|"&amp;P$5,TF_Akt,"&lt;&gt;"&amp;INDEX(TF_Akt,MATCH($A26&amp;"|"&amp;P$5,TF_Dom,0)))&gt;0,AND(IF(P$8="",0,MAX(0,ROUND((P$11-SUMIFS(TF_Timer,TF_Nokkel,$A26&amp;"|"&amp;P$5))*2,0)/2))&gt;0,INDEX(TF_Akt,MATCH($A26&amp;"|"&amp;P$5,TF_Dom,0))&lt;&gt;"LMS")),"+",""),"?"))))</f>
        <v/>
      </c>
      <c r="Q26" s="13">
        <f>IF(OR($A26="",Q$5=""),"",IF(OR(AND(INDEX(TekFra,11)&gt;0,Q$5&lt;INDEX(TekFra,11)),AND(INDEX(TekTil,11)&gt;0,Q$5&gt;INDEX(TekTil,11))),"",IF(COUNTIFS(TF_Nokkel,$A26&amp;"|"&amp;Q$5)=0,IF(Q$8&lt;&gt;"","LMS",""),IFERROR(IF(SUMIFS(TF_Timer,TF_Nokkel,$A26&amp;"|"&amp;Q$5,TF_Akt,"LMS")+IF(Q$8="",0,MAX(0,ROUND((Q$11-SUMIFS(TF_Timer,TF_Nokkel,$A26&amp;"|"&amp;Q$5))*2,0)/2))&gt;INDEX(TF_AktSum,MATCH($A26&amp;"|"&amp;Q$5,TF_Dom,0)),"LMS",INDEX(AktKode,MATCH(INDEX(TF_Akt,MATCH($A26&amp;"|"&amp;Q$5,TF_Dom,0)),Aktiviteter,0)))&amp;IF(OR(COUNTIFS(TF_Nokkel,$A26&amp;"|"&amp;Q$5,TF_Akt,"&lt;&gt;"&amp;INDEX(TF_Akt,MATCH($A26&amp;"|"&amp;Q$5,TF_Dom,0)))&gt;0,AND(IF(Q$8="",0,MAX(0,ROUND((Q$11-SUMIFS(TF_Timer,TF_Nokkel,$A26&amp;"|"&amp;Q$5))*2,0)/2))&gt;0,INDEX(TF_Akt,MATCH($A26&amp;"|"&amp;Q$5,TF_Dom,0))&lt;&gt;"LMS")),"+",""),"?"))))</f>
        <v/>
      </c>
      <c r="R26" s="13">
        <f>IF(OR($A26="",R$5=""),"",IF(OR(AND(INDEX(TekFra,11)&gt;0,R$5&lt;INDEX(TekFra,11)),AND(INDEX(TekTil,11)&gt;0,R$5&gt;INDEX(TekTil,11))),"",IF(COUNTIFS(TF_Nokkel,$A26&amp;"|"&amp;R$5)=0,IF(R$8&lt;&gt;"","LMS",""),IFERROR(IF(SUMIFS(TF_Timer,TF_Nokkel,$A26&amp;"|"&amp;R$5,TF_Akt,"LMS")+IF(R$8="",0,MAX(0,ROUND((R$11-SUMIFS(TF_Timer,TF_Nokkel,$A26&amp;"|"&amp;R$5))*2,0)/2))&gt;INDEX(TF_AktSum,MATCH($A26&amp;"|"&amp;R$5,TF_Dom,0)),"LMS",INDEX(AktKode,MATCH(INDEX(TF_Akt,MATCH($A26&amp;"|"&amp;R$5,TF_Dom,0)),Aktiviteter,0)))&amp;IF(OR(COUNTIFS(TF_Nokkel,$A26&amp;"|"&amp;R$5,TF_Akt,"&lt;&gt;"&amp;INDEX(TF_Akt,MATCH($A26&amp;"|"&amp;R$5,TF_Dom,0)))&gt;0,AND(IF(R$8="",0,MAX(0,ROUND((R$11-SUMIFS(TF_Timer,TF_Nokkel,$A26&amp;"|"&amp;R$5))*2,0)/2))&gt;0,INDEX(TF_Akt,MATCH($A26&amp;"|"&amp;R$5,TF_Dom,0))&lt;&gt;"LMS")),"+",""),"?"))))</f>
        <v/>
      </c>
      <c r="S26" s="13">
        <f>IF(OR($A26="",S$5=""),"",IF(OR(AND(INDEX(TekFra,11)&gt;0,S$5&lt;INDEX(TekFra,11)),AND(INDEX(TekTil,11)&gt;0,S$5&gt;INDEX(TekTil,11))),"",IF(COUNTIFS(TF_Nokkel,$A26&amp;"|"&amp;S$5)=0,IF(S$8&lt;&gt;"","LMS",""),IFERROR(IF(SUMIFS(TF_Timer,TF_Nokkel,$A26&amp;"|"&amp;S$5,TF_Akt,"LMS")+IF(S$8="",0,MAX(0,ROUND((S$11-SUMIFS(TF_Timer,TF_Nokkel,$A26&amp;"|"&amp;S$5))*2,0)/2))&gt;INDEX(TF_AktSum,MATCH($A26&amp;"|"&amp;S$5,TF_Dom,0)),"LMS",INDEX(AktKode,MATCH(INDEX(TF_Akt,MATCH($A26&amp;"|"&amp;S$5,TF_Dom,0)),Aktiviteter,0)))&amp;IF(OR(COUNTIFS(TF_Nokkel,$A26&amp;"|"&amp;S$5,TF_Akt,"&lt;&gt;"&amp;INDEX(TF_Akt,MATCH($A26&amp;"|"&amp;S$5,TF_Dom,0)))&gt;0,AND(IF(S$8="",0,MAX(0,ROUND((S$11-SUMIFS(TF_Timer,TF_Nokkel,$A26&amp;"|"&amp;S$5))*2,0)/2))&gt;0,INDEX(TF_Akt,MATCH($A26&amp;"|"&amp;S$5,TF_Dom,0))&lt;&gt;"LMS")),"+",""),"?"))))</f>
        <v/>
      </c>
      <c r="T26" s="13">
        <f>IF(OR($A26="",T$5=""),"",IF(OR(AND(INDEX(TekFra,11)&gt;0,T$5&lt;INDEX(TekFra,11)),AND(INDEX(TekTil,11)&gt;0,T$5&gt;INDEX(TekTil,11))),"",IF(COUNTIFS(TF_Nokkel,$A26&amp;"|"&amp;T$5)=0,IF(T$8&lt;&gt;"","LMS",""),IFERROR(IF(SUMIFS(TF_Timer,TF_Nokkel,$A26&amp;"|"&amp;T$5,TF_Akt,"LMS")+IF(T$8="",0,MAX(0,ROUND((T$11-SUMIFS(TF_Timer,TF_Nokkel,$A26&amp;"|"&amp;T$5))*2,0)/2))&gt;INDEX(TF_AktSum,MATCH($A26&amp;"|"&amp;T$5,TF_Dom,0)),"LMS",INDEX(AktKode,MATCH(INDEX(TF_Akt,MATCH($A26&amp;"|"&amp;T$5,TF_Dom,0)),Aktiviteter,0)))&amp;IF(OR(COUNTIFS(TF_Nokkel,$A26&amp;"|"&amp;T$5,TF_Akt,"&lt;&gt;"&amp;INDEX(TF_Akt,MATCH($A26&amp;"|"&amp;T$5,TF_Dom,0)))&gt;0,AND(IF(T$8="",0,MAX(0,ROUND((T$11-SUMIFS(TF_Timer,TF_Nokkel,$A26&amp;"|"&amp;T$5))*2,0)/2))&gt;0,INDEX(TF_Akt,MATCH($A26&amp;"|"&amp;T$5,TF_Dom,0))&lt;&gt;"LMS")),"+",""),"?"))))</f>
        <v/>
      </c>
      <c r="U26" s="13">
        <f>IF(OR($A26="",U$5=""),"",IF(OR(AND(INDEX(TekFra,11)&gt;0,U$5&lt;INDEX(TekFra,11)),AND(INDEX(TekTil,11)&gt;0,U$5&gt;INDEX(TekTil,11))),"",IF(COUNTIFS(TF_Nokkel,$A26&amp;"|"&amp;U$5)=0,IF(U$8&lt;&gt;"","LMS",""),IFERROR(IF(SUMIFS(TF_Timer,TF_Nokkel,$A26&amp;"|"&amp;U$5,TF_Akt,"LMS")+IF(U$8="",0,MAX(0,ROUND((U$11-SUMIFS(TF_Timer,TF_Nokkel,$A26&amp;"|"&amp;U$5))*2,0)/2))&gt;INDEX(TF_AktSum,MATCH($A26&amp;"|"&amp;U$5,TF_Dom,0)),"LMS",INDEX(AktKode,MATCH(INDEX(TF_Akt,MATCH($A26&amp;"|"&amp;U$5,TF_Dom,0)),Aktiviteter,0)))&amp;IF(OR(COUNTIFS(TF_Nokkel,$A26&amp;"|"&amp;U$5,TF_Akt,"&lt;&gt;"&amp;INDEX(TF_Akt,MATCH($A26&amp;"|"&amp;U$5,TF_Dom,0)))&gt;0,AND(IF(U$8="",0,MAX(0,ROUND((U$11-SUMIFS(TF_Timer,TF_Nokkel,$A26&amp;"|"&amp;U$5))*2,0)/2))&gt;0,INDEX(TF_Akt,MATCH($A26&amp;"|"&amp;U$5,TF_Dom,0))&lt;&gt;"LMS")),"+",""),"?"))))</f>
        <v/>
      </c>
      <c r="V26" s="13">
        <f>IF(OR($A26="",V$5=""),"",IF(OR(AND(INDEX(TekFra,11)&gt;0,V$5&lt;INDEX(TekFra,11)),AND(INDEX(TekTil,11)&gt;0,V$5&gt;INDEX(TekTil,11))),"",IF(COUNTIFS(TF_Nokkel,$A26&amp;"|"&amp;V$5)=0,IF(V$8&lt;&gt;"","LMS",""),IFERROR(IF(SUMIFS(TF_Timer,TF_Nokkel,$A26&amp;"|"&amp;V$5,TF_Akt,"LMS")+IF(V$8="",0,MAX(0,ROUND((V$11-SUMIFS(TF_Timer,TF_Nokkel,$A26&amp;"|"&amp;V$5))*2,0)/2))&gt;INDEX(TF_AktSum,MATCH($A26&amp;"|"&amp;V$5,TF_Dom,0)),"LMS",INDEX(AktKode,MATCH(INDEX(TF_Akt,MATCH($A26&amp;"|"&amp;V$5,TF_Dom,0)),Aktiviteter,0)))&amp;IF(OR(COUNTIFS(TF_Nokkel,$A26&amp;"|"&amp;V$5,TF_Akt,"&lt;&gt;"&amp;INDEX(TF_Akt,MATCH($A26&amp;"|"&amp;V$5,TF_Dom,0)))&gt;0,AND(IF(V$8="",0,MAX(0,ROUND((V$11-SUMIFS(TF_Timer,TF_Nokkel,$A26&amp;"|"&amp;V$5))*2,0)/2))&gt;0,INDEX(TF_Akt,MATCH($A26&amp;"|"&amp;V$5,TF_Dom,0))&lt;&gt;"LMS")),"+",""),"?"))))</f>
        <v/>
      </c>
      <c r="W26" s="13">
        <f>IF(OR($A26="",W$5=""),"",IF(OR(AND(INDEX(TekFra,11)&gt;0,W$5&lt;INDEX(TekFra,11)),AND(INDEX(TekTil,11)&gt;0,W$5&gt;INDEX(TekTil,11))),"",IF(COUNTIFS(TF_Nokkel,$A26&amp;"|"&amp;W$5)=0,IF(W$8&lt;&gt;"","LMS",""),IFERROR(IF(SUMIFS(TF_Timer,TF_Nokkel,$A26&amp;"|"&amp;W$5,TF_Akt,"LMS")+IF(W$8="",0,MAX(0,ROUND((W$11-SUMIFS(TF_Timer,TF_Nokkel,$A26&amp;"|"&amp;W$5))*2,0)/2))&gt;INDEX(TF_AktSum,MATCH($A26&amp;"|"&amp;W$5,TF_Dom,0)),"LMS",INDEX(AktKode,MATCH(INDEX(TF_Akt,MATCH($A26&amp;"|"&amp;W$5,TF_Dom,0)),Aktiviteter,0)))&amp;IF(OR(COUNTIFS(TF_Nokkel,$A26&amp;"|"&amp;W$5,TF_Akt,"&lt;&gt;"&amp;INDEX(TF_Akt,MATCH($A26&amp;"|"&amp;W$5,TF_Dom,0)))&gt;0,AND(IF(W$8="",0,MAX(0,ROUND((W$11-SUMIFS(TF_Timer,TF_Nokkel,$A26&amp;"|"&amp;W$5))*2,0)/2))&gt;0,INDEX(TF_Akt,MATCH($A26&amp;"|"&amp;W$5,TF_Dom,0))&lt;&gt;"LMS")),"+",""),"?"))))</f>
        <v/>
      </c>
      <c r="X26" s="13">
        <f>IF(OR($A26="",X$5=""),"",IF(OR(AND(INDEX(TekFra,11)&gt;0,X$5&lt;INDEX(TekFra,11)),AND(INDEX(TekTil,11)&gt;0,X$5&gt;INDEX(TekTil,11))),"",IF(COUNTIFS(TF_Nokkel,$A26&amp;"|"&amp;X$5)=0,IF(X$8&lt;&gt;"","LMS",""),IFERROR(IF(SUMIFS(TF_Timer,TF_Nokkel,$A26&amp;"|"&amp;X$5,TF_Akt,"LMS")+IF(X$8="",0,MAX(0,ROUND((X$11-SUMIFS(TF_Timer,TF_Nokkel,$A26&amp;"|"&amp;X$5))*2,0)/2))&gt;INDEX(TF_AktSum,MATCH($A26&amp;"|"&amp;X$5,TF_Dom,0)),"LMS",INDEX(AktKode,MATCH(INDEX(TF_Akt,MATCH($A26&amp;"|"&amp;X$5,TF_Dom,0)),Aktiviteter,0)))&amp;IF(OR(COUNTIFS(TF_Nokkel,$A26&amp;"|"&amp;X$5,TF_Akt,"&lt;&gt;"&amp;INDEX(TF_Akt,MATCH($A26&amp;"|"&amp;X$5,TF_Dom,0)))&gt;0,AND(IF(X$8="",0,MAX(0,ROUND((X$11-SUMIFS(TF_Timer,TF_Nokkel,$A26&amp;"|"&amp;X$5))*2,0)/2))&gt;0,INDEX(TF_Akt,MATCH($A26&amp;"|"&amp;X$5,TF_Dom,0))&lt;&gt;"LMS")),"+",""),"?"))))</f>
        <v/>
      </c>
      <c r="Y26" s="13">
        <f>IF(OR($A26="",Y$5=""),"",IF(OR(AND(INDEX(TekFra,11)&gt;0,Y$5&lt;INDEX(TekFra,11)),AND(INDEX(TekTil,11)&gt;0,Y$5&gt;INDEX(TekTil,11))),"",IF(COUNTIFS(TF_Nokkel,$A26&amp;"|"&amp;Y$5)=0,IF(Y$8&lt;&gt;"","LMS",""),IFERROR(IF(SUMIFS(TF_Timer,TF_Nokkel,$A26&amp;"|"&amp;Y$5,TF_Akt,"LMS")+IF(Y$8="",0,MAX(0,ROUND((Y$11-SUMIFS(TF_Timer,TF_Nokkel,$A26&amp;"|"&amp;Y$5))*2,0)/2))&gt;INDEX(TF_AktSum,MATCH($A26&amp;"|"&amp;Y$5,TF_Dom,0)),"LMS",INDEX(AktKode,MATCH(INDEX(TF_Akt,MATCH($A26&amp;"|"&amp;Y$5,TF_Dom,0)),Aktiviteter,0)))&amp;IF(OR(COUNTIFS(TF_Nokkel,$A26&amp;"|"&amp;Y$5,TF_Akt,"&lt;&gt;"&amp;INDEX(TF_Akt,MATCH($A26&amp;"|"&amp;Y$5,TF_Dom,0)))&gt;0,AND(IF(Y$8="",0,MAX(0,ROUND((Y$11-SUMIFS(TF_Timer,TF_Nokkel,$A26&amp;"|"&amp;Y$5))*2,0)/2))&gt;0,INDEX(TF_Akt,MATCH($A26&amp;"|"&amp;Y$5,TF_Dom,0))&lt;&gt;"LMS")),"+",""),"?"))))</f>
        <v/>
      </c>
      <c r="Z26" s="13">
        <f>IF(OR($A26="",Z$5=""),"",IF(OR(AND(INDEX(TekFra,11)&gt;0,Z$5&lt;INDEX(TekFra,11)),AND(INDEX(TekTil,11)&gt;0,Z$5&gt;INDEX(TekTil,11))),"",IF(COUNTIFS(TF_Nokkel,$A26&amp;"|"&amp;Z$5)=0,IF(Z$8&lt;&gt;"","LMS",""),IFERROR(IF(SUMIFS(TF_Timer,TF_Nokkel,$A26&amp;"|"&amp;Z$5,TF_Akt,"LMS")+IF(Z$8="",0,MAX(0,ROUND((Z$11-SUMIFS(TF_Timer,TF_Nokkel,$A26&amp;"|"&amp;Z$5))*2,0)/2))&gt;INDEX(TF_AktSum,MATCH($A26&amp;"|"&amp;Z$5,TF_Dom,0)),"LMS",INDEX(AktKode,MATCH(INDEX(TF_Akt,MATCH($A26&amp;"|"&amp;Z$5,TF_Dom,0)),Aktiviteter,0)))&amp;IF(OR(COUNTIFS(TF_Nokkel,$A26&amp;"|"&amp;Z$5,TF_Akt,"&lt;&gt;"&amp;INDEX(TF_Akt,MATCH($A26&amp;"|"&amp;Z$5,TF_Dom,0)))&gt;0,AND(IF(Z$8="",0,MAX(0,ROUND((Z$11-SUMIFS(TF_Timer,TF_Nokkel,$A26&amp;"|"&amp;Z$5))*2,0)/2))&gt;0,INDEX(TF_Akt,MATCH($A26&amp;"|"&amp;Z$5,TF_Dom,0))&lt;&gt;"LMS")),"+",""),"?"))))</f>
        <v/>
      </c>
      <c r="AA26" s="13">
        <f>IF(OR($A26="",AA$5=""),"",IF(OR(AND(INDEX(TekFra,11)&gt;0,AA$5&lt;INDEX(TekFra,11)),AND(INDEX(TekTil,11)&gt;0,AA$5&gt;INDEX(TekTil,11))),"",IF(COUNTIFS(TF_Nokkel,$A26&amp;"|"&amp;AA$5)=0,IF(AA$8&lt;&gt;"","LMS",""),IFERROR(IF(SUMIFS(TF_Timer,TF_Nokkel,$A26&amp;"|"&amp;AA$5,TF_Akt,"LMS")+IF(AA$8="",0,MAX(0,ROUND((AA$11-SUMIFS(TF_Timer,TF_Nokkel,$A26&amp;"|"&amp;AA$5))*2,0)/2))&gt;INDEX(TF_AktSum,MATCH($A26&amp;"|"&amp;AA$5,TF_Dom,0)),"LMS",INDEX(AktKode,MATCH(INDEX(TF_Akt,MATCH($A26&amp;"|"&amp;AA$5,TF_Dom,0)),Aktiviteter,0)))&amp;IF(OR(COUNTIFS(TF_Nokkel,$A26&amp;"|"&amp;AA$5,TF_Akt,"&lt;&gt;"&amp;INDEX(TF_Akt,MATCH($A26&amp;"|"&amp;AA$5,TF_Dom,0)))&gt;0,AND(IF(AA$8="",0,MAX(0,ROUND((AA$11-SUMIFS(TF_Timer,TF_Nokkel,$A26&amp;"|"&amp;AA$5))*2,0)/2))&gt;0,INDEX(TF_Akt,MATCH($A26&amp;"|"&amp;AA$5,TF_Dom,0))&lt;&gt;"LMS")),"+",""),"?"))))</f>
        <v/>
      </c>
      <c r="AB26" s="13">
        <f>IF(OR($A26="",AB$5=""),"",IF(OR(AND(INDEX(TekFra,11)&gt;0,AB$5&lt;INDEX(TekFra,11)),AND(INDEX(TekTil,11)&gt;0,AB$5&gt;INDEX(TekTil,11))),"",IF(COUNTIFS(TF_Nokkel,$A26&amp;"|"&amp;AB$5)=0,IF(AB$8&lt;&gt;"","LMS",""),IFERROR(IF(SUMIFS(TF_Timer,TF_Nokkel,$A26&amp;"|"&amp;AB$5,TF_Akt,"LMS")+IF(AB$8="",0,MAX(0,ROUND((AB$11-SUMIFS(TF_Timer,TF_Nokkel,$A26&amp;"|"&amp;AB$5))*2,0)/2))&gt;INDEX(TF_AktSum,MATCH($A26&amp;"|"&amp;AB$5,TF_Dom,0)),"LMS",INDEX(AktKode,MATCH(INDEX(TF_Akt,MATCH($A26&amp;"|"&amp;AB$5,TF_Dom,0)),Aktiviteter,0)))&amp;IF(OR(COUNTIFS(TF_Nokkel,$A26&amp;"|"&amp;AB$5,TF_Akt,"&lt;&gt;"&amp;INDEX(TF_Akt,MATCH($A26&amp;"|"&amp;AB$5,TF_Dom,0)))&gt;0,AND(IF(AB$8="",0,MAX(0,ROUND((AB$11-SUMIFS(TF_Timer,TF_Nokkel,$A26&amp;"|"&amp;AB$5))*2,0)/2))&gt;0,INDEX(TF_Akt,MATCH($A26&amp;"|"&amp;AB$5,TF_Dom,0))&lt;&gt;"LMS")),"+",""),"?"))))</f>
        <v/>
      </c>
      <c r="AC26" s="13">
        <f>IF(OR($A26="",AC$5=""),"",IF(OR(AND(INDEX(TekFra,11)&gt;0,AC$5&lt;INDEX(TekFra,11)),AND(INDEX(TekTil,11)&gt;0,AC$5&gt;INDEX(TekTil,11))),"",IF(COUNTIFS(TF_Nokkel,$A26&amp;"|"&amp;AC$5)=0,IF(AC$8&lt;&gt;"","LMS",""),IFERROR(IF(SUMIFS(TF_Timer,TF_Nokkel,$A26&amp;"|"&amp;AC$5,TF_Akt,"LMS")+IF(AC$8="",0,MAX(0,ROUND((AC$11-SUMIFS(TF_Timer,TF_Nokkel,$A26&amp;"|"&amp;AC$5))*2,0)/2))&gt;INDEX(TF_AktSum,MATCH($A26&amp;"|"&amp;AC$5,TF_Dom,0)),"LMS",INDEX(AktKode,MATCH(INDEX(TF_Akt,MATCH($A26&amp;"|"&amp;AC$5,TF_Dom,0)),Aktiviteter,0)))&amp;IF(OR(COUNTIFS(TF_Nokkel,$A26&amp;"|"&amp;AC$5,TF_Akt,"&lt;&gt;"&amp;INDEX(TF_Akt,MATCH($A26&amp;"|"&amp;AC$5,TF_Dom,0)))&gt;0,AND(IF(AC$8="",0,MAX(0,ROUND((AC$11-SUMIFS(TF_Timer,TF_Nokkel,$A26&amp;"|"&amp;AC$5))*2,0)/2))&gt;0,INDEX(TF_Akt,MATCH($A26&amp;"|"&amp;AC$5,TF_Dom,0))&lt;&gt;"LMS")),"+",""),"?"))))</f>
        <v/>
      </c>
      <c r="AD26" s="13">
        <f>IF(OR($A26="",AD$5=""),"",IF(OR(AND(INDEX(TekFra,11)&gt;0,AD$5&lt;INDEX(TekFra,11)),AND(INDEX(TekTil,11)&gt;0,AD$5&gt;INDEX(TekTil,11))),"",IF(COUNTIFS(TF_Nokkel,$A26&amp;"|"&amp;AD$5)=0,IF(AD$8&lt;&gt;"","LMS",""),IFERROR(IF(SUMIFS(TF_Timer,TF_Nokkel,$A26&amp;"|"&amp;AD$5,TF_Akt,"LMS")+IF(AD$8="",0,MAX(0,ROUND((AD$11-SUMIFS(TF_Timer,TF_Nokkel,$A26&amp;"|"&amp;AD$5))*2,0)/2))&gt;INDEX(TF_AktSum,MATCH($A26&amp;"|"&amp;AD$5,TF_Dom,0)),"LMS",INDEX(AktKode,MATCH(INDEX(TF_Akt,MATCH($A26&amp;"|"&amp;AD$5,TF_Dom,0)),Aktiviteter,0)))&amp;IF(OR(COUNTIFS(TF_Nokkel,$A26&amp;"|"&amp;AD$5,TF_Akt,"&lt;&gt;"&amp;INDEX(TF_Akt,MATCH($A26&amp;"|"&amp;AD$5,TF_Dom,0)))&gt;0,AND(IF(AD$8="",0,MAX(0,ROUND((AD$11-SUMIFS(TF_Timer,TF_Nokkel,$A26&amp;"|"&amp;AD$5))*2,0)/2))&gt;0,INDEX(TF_Akt,MATCH($A26&amp;"|"&amp;AD$5,TF_Dom,0))&lt;&gt;"LMS")),"+",""),"?"))))</f>
        <v/>
      </c>
      <c r="AE26" s="13">
        <f>IF(OR($A26="",AE$5=""),"",IF(OR(AND(INDEX(TekFra,11)&gt;0,AE$5&lt;INDEX(TekFra,11)),AND(INDEX(TekTil,11)&gt;0,AE$5&gt;INDEX(TekTil,11))),"",IF(COUNTIFS(TF_Nokkel,$A26&amp;"|"&amp;AE$5)=0,IF(AE$8&lt;&gt;"","LMS",""),IFERROR(IF(SUMIFS(TF_Timer,TF_Nokkel,$A26&amp;"|"&amp;AE$5,TF_Akt,"LMS")+IF(AE$8="",0,MAX(0,ROUND((AE$11-SUMIFS(TF_Timer,TF_Nokkel,$A26&amp;"|"&amp;AE$5))*2,0)/2))&gt;INDEX(TF_AktSum,MATCH($A26&amp;"|"&amp;AE$5,TF_Dom,0)),"LMS",INDEX(AktKode,MATCH(INDEX(TF_Akt,MATCH($A26&amp;"|"&amp;AE$5,TF_Dom,0)),Aktiviteter,0)))&amp;IF(OR(COUNTIFS(TF_Nokkel,$A26&amp;"|"&amp;AE$5,TF_Akt,"&lt;&gt;"&amp;INDEX(TF_Akt,MATCH($A26&amp;"|"&amp;AE$5,TF_Dom,0)))&gt;0,AND(IF(AE$8="",0,MAX(0,ROUND((AE$11-SUMIFS(TF_Timer,TF_Nokkel,$A26&amp;"|"&amp;AE$5))*2,0)/2))&gt;0,INDEX(TF_Akt,MATCH($A26&amp;"|"&amp;AE$5,TF_Dom,0))&lt;&gt;"LMS")),"+",""),"?"))))</f>
        <v/>
      </c>
      <c r="AF26" s="13">
        <f>IF(OR($A26="",AF$5=""),"",IF(OR(AND(INDEX(TekFra,11)&gt;0,AF$5&lt;INDEX(TekFra,11)),AND(INDEX(TekTil,11)&gt;0,AF$5&gt;INDEX(TekTil,11))),"",IF(COUNTIFS(TF_Nokkel,$A26&amp;"|"&amp;AF$5)=0,IF(AF$8&lt;&gt;"","LMS",""),IFERROR(IF(SUMIFS(TF_Timer,TF_Nokkel,$A26&amp;"|"&amp;AF$5,TF_Akt,"LMS")+IF(AF$8="",0,MAX(0,ROUND((AF$11-SUMIFS(TF_Timer,TF_Nokkel,$A26&amp;"|"&amp;AF$5))*2,0)/2))&gt;INDEX(TF_AktSum,MATCH($A26&amp;"|"&amp;AF$5,TF_Dom,0)),"LMS",INDEX(AktKode,MATCH(INDEX(TF_Akt,MATCH($A26&amp;"|"&amp;AF$5,TF_Dom,0)),Aktiviteter,0)))&amp;IF(OR(COUNTIFS(TF_Nokkel,$A26&amp;"|"&amp;AF$5,TF_Akt,"&lt;&gt;"&amp;INDEX(TF_Akt,MATCH($A26&amp;"|"&amp;AF$5,TF_Dom,0)))&gt;0,AND(IF(AF$8="",0,MAX(0,ROUND((AF$11-SUMIFS(TF_Timer,TF_Nokkel,$A26&amp;"|"&amp;AF$5))*2,0)/2))&gt;0,INDEX(TF_Akt,MATCH($A26&amp;"|"&amp;AF$5,TF_Dom,0))&lt;&gt;"LMS")),"+",""),"?"))))</f>
        <v/>
      </c>
      <c r="AG26" s="13">
        <f>IF(OR($A26="",AG$5=""),"",IF(OR(AND(INDEX(TekFra,11)&gt;0,AG$5&lt;INDEX(TekFra,11)),AND(INDEX(TekTil,11)&gt;0,AG$5&gt;INDEX(TekTil,11))),"",IF(COUNTIFS(TF_Nokkel,$A26&amp;"|"&amp;AG$5)=0,IF(AG$8&lt;&gt;"","LMS",""),IFERROR(IF(SUMIFS(TF_Timer,TF_Nokkel,$A26&amp;"|"&amp;AG$5,TF_Akt,"LMS")+IF(AG$8="",0,MAX(0,ROUND((AG$11-SUMIFS(TF_Timer,TF_Nokkel,$A26&amp;"|"&amp;AG$5))*2,0)/2))&gt;INDEX(TF_AktSum,MATCH($A26&amp;"|"&amp;AG$5,TF_Dom,0)),"LMS",INDEX(AktKode,MATCH(INDEX(TF_Akt,MATCH($A26&amp;"|"&amp;AG$5,TF_Dom,0)),Aktiviteter,0)))&amp;IF(OR(COUNTIFS(TF_Nokkel,$A26&amp;"|"&amp;AG$5,TF_Akt,"&lt;&gt;"&amp;INDEX(TF_Akt,MATCH($A26&amp;"|"&amp;AG$5,TF_Dom,0)))&gt;0,AND(IF(AG$8="",0,MAX(0,ROUND((AG$11-SUMIFS(TF_Timer,TF_Nokkel,$A26&amp;"|"&amp;AG$5))*2,0)/2))&gt;0,INDEX(TF_Akt,MATCH($A26&amp;"|"&amp;AG$5,TF_Dom,0))&lt;&gt;"LMS")),"+",""),"?"))))</f>
        <v/>
      </c>
      <c r="AH26" s="2" t="n"/>
      <c r="AI26" s="25" t="inlineStr">
        <is>
          <t>AN</t>
        </is>
      </c>
      <c r="AJ26" s="15" t="inlineStr">
        <is>
          <t>Annet</t>
        </is>
      </c>
    </row>
    <row r="27">
      <c r="A27" s="2">
        <f>INDEX(Teknikere,12)&amp;""</f>
        <v/>
      </c>
      <c r="B27" s="12">
        <f>IF(INDEX(TekFra,12)&gt;0,"ekstra","")</f>
        <v/>
      </c>
      <c r="C27" s="13">
        <f>IF(OR($A27="",C$5=""),"",IF(OR(AND(INDEX(TekFra,12)&gt;0,C$5&lt;INDEX(TekFra,12)),AND(INDEX(TekTil,12)&gt;0,C$5&gt;INDEX(TekTil,12))),"",IF(COUNTIFS(TF_Nokkel,$A27&amp;"|"&amp;C$5)=0,IF(C$8&lt;&gt;"","LMS",""),IFERROR(IF(SUMIFS(TF_Timer,TF_Nokkel,$A27&amp;"|"&amp;C$5,TF_Akt,"LMS")+IF(C$8="",0,MAX(0,ROUND((C$11-SUMIFS(TF_Timer,TF_Nokkel,$A27&amp;"|"&amp;C$5))*2,0)/2))&gt;INDEX(TF_AktSum,MATCH($A27&amp;"|"&amp;C$5,TF_Dom,0)),"LMS",INDEX(AktKode,MATCH(INDEX(TF_Akt,MATCH($A27&amp;"|"&amp;C$5,TF_Dom,0)),Aktiviteter,0)))&amp;IF(OR(COUNTIFS(TF_Nokkel,$A27&amp;"|"&amp;C$5,TF_Akt,"&lt;&gt;"&amp;INDEX(TF_Akt,MATCH($A27&amp;"|"&amp;C$5,TF_Dom,0)))&gt;0,AND(IF(C$8="",0,MAX(0,ROUND((C$11-SUMIFS(TF_Timer,TF_Nokkel,$A27&amp;"|"&amp;C$5))*2,0)/2))&gt;0,INDEX(TF_Akt,MATCH($A27&amp;"|"&amp;C$5,TF_Dom,0))&lt;&gt;"LMS")),"+",""),"?"))))</f>
        <v/>
      </c>
      <c r="D27" s="13">
        <f>IF(OR($A27="",D$5=""),"",IF(OR(AND(INDEX(TekFra,12)&gt;0,D$5&lt;INDEX(TekFra,12)),AND(INDEX(TekTil,12)&gt;0,D$5&gt;INDEX(TekTil,12))),"",IF(COUNTIFS(TF_Nokkel,$A27&amp;"|"&amp;D$5)=0,IF(D$8&lt;&gt;"","LMS",""),IFERROR(IF(SUMIFS(TF_Timer,TF_Nokkel,$A27&amp;"|"&amp;D$5,TF_Akt,"LMS")+IF(D$8="",0,MAX(0,ROUND((D$11-SUMIFS(TF_Timer,TF_Nokkel,$A27&amp;"|"&amp;D$5))*2,0)/2))&gt;INDEX(TF_AktSum,MATCH($A27&amp;"|"&amp;D$5,TF_Dom,0)),"LMS",INDEX(AktKode,MATCH(INDEX(TF_Akt,MATCH($A27&amp;"|"&amp;D$5,TF_Dom,0)),Aktiviteter,0)))&amp;IF(OR(COUNTIFS(TF_Nokkel,$A27&amp;"|"&amp;D$5,TF_Akt,"&lt;&gt;"&amp;INDEX(TF_Akt,MATCH($A27&amp;"|"&amp;D$5,TF_Dom,0)))&gt;0,AND(IF(D$8="",0,MAX(0,ROUND((D$11-SUMIFS(TF_Timer,TF_Nokkel,$A27&amp;"|"&amp;D$5))*2,0)/2))&gt;0,INDEX(TF_Akt,MATCH($A27&amp;"|"&amp;D$5,TF_Dom,0))&lt;&gt;"LMS")),"+",""),"?"))))</f>
        <v/>
      </c>
      <c r="E27" s="13">
        <f>IF(OR($A27="",E$5=""),"",IF(OR(AND(INDEX(TekFra,12)&gt;0,E$5&lt;INDEX(TekFra,12)),AND(INDEX(TekTil,12)&gt;0,E$5&gt;INDEX(TekTil,12))),"",IF(COUNTIFS(TF_Nokkel,$A27&amp;"|"&amp;E$5)=0,IF(E$8&lt;&gt;"","LMS",""),IFERROR(IF(SUMIFS(TF_Timer,TF_Nokkel,$A27&amp;"|"&amp;E$5,TF_Akt,"LMS")+IF(E$8="",0,MAX(0,ROUND((E$11-SUMIFS(TF_Timer,TF_Nokkel,$A27&amp;"|"&amp;E$5))*2,0)/2))&gt;INDEX(TF_AktSum,MATCH($A27&amp;"|"&amp;E$5,TF_Dom,0)),"LMS",INDEX(AktKode,MATCH(INDEX(TF_Akt,MATCH($A27&amp;"|"&amp;E$5,TF_Dom,0)),Aktiviteter,0)))&amp;IF(OR(COUNTIFS(TF_Nokkel,$A27&amp;"|"&amp;E$5,TF_Akt,"&lt;&gt;"&amp;INDEX(TF_Akt,MATCH($A27&amp;"|"&amp;E$5,TF_Dom,0)))&gt;0,AND(IF(E$8="",0,MAX(0,ROUND((E$11-SUMIFS(TF_Timer,TF_Nokkel,$A27&amp;"|"&amp;E$5))*2,0)/2))&gt;0,INDEX(TF_Akt,MATCH($A27&amp;"|"&amp;E$5,TF_Dom,0))&lt;&gt;"LMS")),"+",""),"?"))))</f>
        <v/>
      </c>
      <c r="F27" s="13">
        <f>IF(OR($A27="",F$5=""),"",IF(OR(AND(INDEX(TekFra,12)&gt;0,F$5&lt;INDEX(TekFra,12)),AND(INDEX(TekTil,12)&gt;0,F$5&gt;INDEX(TekTil,12))),"",IF(COUNTIFS(TF_Nokkel,$A27&amp;"|"&amp;F$5)=0,IF(F$8&lt;&gt;"","LMS",""),IFERROR(IF(SUMIFS(TF_Timer,TF_Nokkel,$A27&amp;"|"&amp;F$5,TF_Akt,"LMS")+IF(F$8="",0,MAX(0,ROUND((F$11-SUMIFS(TF_Timer,TF_Nokkel,$A27&amp;"|"&amp;F$5))*2,0)/2))&gt;INDEX(TF_AktSum,MATCH($A27&amp;"|"&amp;F$5,TF_Dom,0)),"LMS",INDEX(AktKode,MATCH(INDEX(TF_Akt,MATCH($A27&amp;"|"&amp;F$5,TF_Dom,0)),Aktiviteter,0)))&amp;IF(OR(COUNTIFS(TF_Nokkel,$A27&amp;"|"&amp;F$5,TF_Akt,"&lt;&gt;"&amp;INDEX(TF_Akt,MATCH($A27&amp;"|"&amp;F$5,TF_Dom,0)))&gt;0,AND(IF(F$8="",0,MAX(0,ROUND((F$11-SUMIFS(TF_Timer,TF_Nokkel,$A27&amp;"|"&amp;F$5))*2,0)/2))&gt;0,INDEX(TF_Akt,MATCH($A27&amp;"|"&amp;F$5,TF_Dom,0))&lt;&gt;"LMS")),"+",""),"?"))))</f>
        <v/>
      </c>
      <c r="G27" s="13">
        <f>IF(OR($A27="",G$5=""),"",IF(OR(AND(INDEX(TekFra,12)&gt;0,G$5&lt;INDEX(TekFra,12)),AND(INDEX(TekTil,12)&gt;0,G$5&gt;INDEX(TekTil,12))),"",IF(COUNTIFS(TF_Nokkel,$A27&amp;"|"&amp;G$5)=0,IF(G$8&lt;&gt;"","LMS",""),IFERROR(IF(SUMIFS(TF_Timer,TF_Nokkel,$A27&amp;"|"&amp;G$5,TF_Akt,"LMS")+IF(G$8="",0,MAX(0,ROUND((G$11-SUMIFS(TF_Timer,TF_Nokkel,$A27&amp;"|"&amp;G$5))*2,0)/2))&gt;INDEX(TF_AktSum,MATCH($A27&amp;"|"&amp;G$5,TF_Dom,0)),"LMS",INDEX(AktKode,MATCH(INDEX(TF_Akt,MATCH($A27&amp;"|"&amp;G$5,TF_Dom,0)),Aktiviteter,0)))&amp;IF(OR(COUNTIFS(TF_Nokkel,$A27&amp;"|"&amp;G$5,TF_Akt,"&lt;&gt;"&amp;INDEX(TF_Akt,MATCH($A27&amp;"|"&amp;G$5,TF_Dom,0)))&gt;0,AND(IF(G$8="",0,MAX(0,ROUND((G$11-SUMIFS(TF_Timer,TF_Nokkel,$A27&amp;"|"&amp;G$5))*2,0)/2))&gt;0,INDEX(TF_Akt,MATCH($A27&amp;"|"&amp;G$5,TF_Dom,0))&lt;&gt;"LMS")),"+",""),"?"))))</f>
        <v/>
      </c>
      <c r="H27" s="13">
        <f>IF(OR($A27="",H$5=""),"",IF(OR(AND(INDEX(TekFra,12)&gt;0,H$5&lt;INDEX(TekFra,12)),AND(INDEX(TekTil,12)&gt;0,H$5&gt;INDEX(TekTil,12))),"",IF(COUNTIFS(TF_Nokkel,$A27&amp;"|"&amp;H$5)=0,IF(H$8&lt;&gt;"","LMS",""),IFERROR(IF(SUMIFS(TF_Timer,TF_Nokkel,$A27&amp;"|"&amp;H$5,TF_Akt,"LMS")+IF(H$8="",0,MAX(0,ROUND((H$11-SUMIFS(TF_Timer,TF_Nokkel,$A27&amp;"|"&amp;H$5))*2,0)/2))&gt;INDEX(TF_AktSum,MATCH($A27&amp;"|"&amp;H$5,TF_Dom,0)),"LMS",INDEX(AktKode,MATCH(INDEX(TF_Akt,MATCH($A27&amp;"|"&amp;H$5,TF_Dom,0)),Aktiviteter,0)))&amp;IF(OR(COUNTIFS(TF_Nokkel,$A27&amp;"|"&amp;H$5,TF_Akt,"&lt;&gt;"&amp;INDEX(TF_Akt,MATCH($A27&amp;"|"&amp;H$5,TF_Dom,0)))&gt;0,AND(IF(H$8="",0,MAX(0,ROUND((H$11-SUMIFS(TF_Timer,TF_Nokkel,$A27&amp;"|"&amp;H$5))*2,0)/2))&gt;0,INDEX(TF_Akt,MATCH($A27&amp;"|"&amp;H$5,TF_Dom,0))&lt;&gt;"LMS")),"+",""),"?"))))</f>
        <v/>
      </c>
      <c r="I27" s="13">
        <f>IF(OR($A27="",I$5=""),"",IF(OR(AND(INDEX(TekFra,12)&gt;0,I$5&lt;INDEX(TekFra,12)),AND(INDEX(TekTil,12)&gt;0,I$5&gt;INDEX(TekTil,12))),"",IF(COUNTIFS(TF_Nokkel,$A27&amp;"|"&amp;I$5)=0,IF(I$8&lt;&gt;"","LMS",""),IFERROR(IF(SUMIFS(TF_Timer,TF_Nokkel,$A27&amp;"|"&amp;I$5,TF_Akt,"LMS")+IF(I$8="",0,MAX(0,ROUND((I$11-SUMIFS(TF_Timer,TF_Nokkel,$A27&amp;"|"&amp;I$5))*2,0)/2))&gt;INDEX(TF_AktSum,MATCH($A27&amp;"|"&amp;I$5,TF_Dom,0)),"LMS",INDEX(AktKode,MATCH(INDEX(TF_Akt,MATCH($A27&amp;"|"&amp;I$5,TF_Dom,0)),Aktiviteter,0)))&amp;IF(OR(COUNTIFS(TF_Nokkel,$A27&amp;"|"&amp;I$5,TF_Akt,"&lt;&gt;"&amp;INDEX(TF_Akt,MATCH($A27&amp;"|"&amp;I$5,TF_Dom,0)))&gt;0,AND(IF(I$8="",0,MAX(0,ROUND((I$11-SUMIFS(TF_Timer,TF_Nokkel,$A27&amp;"|"&amp;I$5))*2,0)/2))&gt;0,INDEX(TF_Akt,MATCH($A27&amp;"|"&amp;I$5,TF_Dom,0))&lt;&gt;"LMS")),"+",""),"?"))))</f>
        <v/>
      </c>
      <c r="J27" s="13">
        <f>IF(OR($A27="",J$5=""),"",IF(OR(AND(INDEX(TekFra,12)&gt;0,J$5&lt;INDEX(TekFra,12)),AND(INDEX(TekTil,12)&gt;0,J$5&gt;INDEX(TekTil,12))),"",IF(COUNTIFS(TF_Nokkel,$A27&amp;"|"&amp;J$5)=0,IF(J$8&lt;&gt;"","LMS",""),IFERROR(IF(SUMIFS(TF_Timer,TF_Nokkel,$A27&amp;"|"&amp;J$5,TF_Akt,"LMS")+IF(J$8="",0,MAX(0,ROUND((J$11-SUMIFS(TF_Timer,TF_Nokkel,$A27&amp;"|"&amp;J$5))*2,0)/2))&gt;INDEX(TF_AktSum,MATCH($A27&amp;"|"&amp;J$5,TF_Dom,0)),"LMS",INDEX(AktKode,MATCH(INDEX(TF_Akt,MATCH($A27&amp;"|"&amp;J$5,TF_Dom,0)),Aktiviteter,0)))&amp;IF(OR(COUNTIFS(TF_Nokkel,$A27&amp;"|"&amp;J$5,TF_Akt,"&lt;&gt;"&amp;INDEX(TF_Akt,MATCH($A27&amp;"|"&amp;J$5,TF_Dom,0)))&gt;0,AND(IF(J$8="",0,MAX(0,ROUND((J$11-SUMIFS(TF_Timer,TF_Nokkel,$A27&amp;"|"&amp;J$5))*2,0)/2))&gt;0,INDEX(TF_Akt,MATCH($A27&amp;"|"&amp;J$5,TF_Dom,0))&lt;&gt;"LMS")),"+",""),"?"))))</f>
        <v/>
      </c>
      <c r="K27" s="13">
        <f>IF(OR($A27="",K$5=""),"",IF(OR(AND(INDEX(TekFra,12)&gt;0,K$5&lt;INDEX(TekFra,12)),AND(INDEX(TekTil,12)&gt;0,K$5&gt;INDEX(TekTil,12))),"",IF(COUNTIFS(TF_Nokkel,$A27&amp;"|"&amp;K$5)=0,IF(K$8&lt;&gt;"","LMS",""),IFERROR(IF(SUMIFS(TF_Timer,TF_Nokkel,$A27&amp;"|"&amp;K$5,TF_Akt,"LMS")+IF(K$8="",0,MAX(0,ROUND((K$11-SUMIFS(TF_Timer,TF_Nokkel,$A27&amp;"|"&amp;K$5))*2,0)/2))&gt;INDEX(TF_AktSum,MATCH($A27&amp;"|"&amp;K$5,TF_Dom,0)),"LMS",INDEX(AktKode,MATCH(INDEX(TF_Akt,MATCH($A27&amp;"|"&amp;K$5,TF_Dom,0)),Aktiviteter,0)))&amp;IF(OR(COUNTIFS(TF_Nokkel,$A27&amp;"|"&amp;K$5,TF_Akt,"&lt;&gt;"&amp;INDEX(TF_Akt,MATCH($A27&amp;"|"&amp;K$5,TF_Dom,0)))&gt;0,AND(IF(K$8="",0,MAX(0,ROUND((K$11-SUMIFS(TF_Timer,TF_Nokkel,$A27&amp;"|"&amp;K$5))*2,0)/2))&gt;0,INDEX(TF_Akt,MATCH($A27&amp;"|"&amp;K$5,TF_Dom,0))&lt;&gt;"LMS")),"+",""),"?"))))</f>
        <v/>
      </c>
      <c r="L27" s="13">
        <f>IF(OR($A27="",L$5=""),"",IF(OR(AND(INDEX(TekFra,12)&gt;0,L$5&lt;INDEX(TekFra,12)),AND(INDEX(TekTil,12)&gt;0,L$5&gt;INDEX(TekTil,12))),"",IF(COUNTIFS(TF_Nokkel,$A27&amp;"|"&amp;L$5)=0,IF(L$8&lt;&gt;"","LMS",""),IFERROR(IF(SUMIFS(TF_Timer,TF_Nokkel,$A27&amp;"|"&amp;L$5,TF_Akt,"LMS")+IF(L$8="",0,MAX(0,ROUND((L$11-SUMIFS(TF_Timer,TF_Nokkel,$A27&amp;"|"&amp;L$5))*2,0)/2))&gt;INDEX(TF_AktSum,MATCH($A27&amp;"|"&amp;L$5,TF_Dom,0)),"LMS",INDEX(AktKode,MATCH(INDEX(TF_Akt,MATCH($A27&amp;"|"&amp;L$5,TF_Dom,0)),Aktiviteter,0)))&amp;IF(OR(COUNTIFS(TF_Nokkel,$A27&amp;"|"&amp;L$5,TF_Akt,"&lt;&gt;"&amp;INDEX(TF_Akt,MATCH($A27&amp;"|"&amp;L$5,TF_Dom,0)))&gt;0,AND(IF(L$8="",0,MAX(0,ROUND((L$11-SUMIFS(TF_Timer,TF_Nokkel,$A27&amp;"|"&amp;L$5))*2,0)/2))&gt;0,INDEX(TF_Akt,MATCH($A27&amp;"|"&amp;L$5,TF_Dom,0))&lt;&gt;"LMS")),"+",""),"?"))))</f>
        <v/>
      </c>
      <c r="M27" s="13">
        <f>IF(OR($A27="",M$5=""),"",IF(OR(AND(INDEX(TekFra,12)&gt;0,M$5&lt;INDEX(TekFra,12)),AND(INDEX(TekTil,12)&gt;0,M$5&gt;INDEX(TekTil,12))),"",IF(COUNTIFS(TF_Nokkel,$A27&amp;"|"&amp;M$5)=0,IF(M$8&lt;&gt;"","LMS",""),IFERROR(IF(SUMIFS(TF_Timer,TF_Nokkel,$A27&amp;"|"&amp;M$5,TF_Akt,"LMS")+IF(M$8="",0,MAX(0,ROUND((M$11-SUMIFS(TF_Timer,TF_Nokkel,$A27&amp;"|"&amp;M$5))*2,0)/2))&gt;INDEX(TF_AktSum,MATCH($A27&amp;"|"&amp;M$5,TF_Dom,0)),"LMS",INDEX(AktKode,MATCH(INDEX(TF_Akt,MATCH($A27&amp;"|"&amp;M$5,TF_Dom,0)),Aktiviteter,0)))&amp;IF(OR(COUNTIFS(TF_Nokkel,$A27&amp;"|"&amp;M$5,TF_Akt,"&lt;&gt;"&amp;INDEX(TF_Akt,MATCH($A27&amp;"|"&amp;M$5,TF_Dom,0)))&gt;0,AND(IF(M$8="",0,MAX(0,ROUND((M$11-SUMIFS(TF_Timer,TF_Nokkel,$A27&amp;"|"&amp;M$5))*2,0)/2))&gt;0,INDEX(TF_Akt,MATCH($A27&amp;"|"&amp;M$5,TF_Dom,0))&lt;&gt;"LMS")),"+",""),"?"))))</f>
        <v/>
      </c>
      <c r="N27" s="13">
        <f>IF(OR($A27="",N$5=""),"",IF(OR(AND(INDEX(TekFra,12)&gt;0,N$5&lt;INDEX(TekFra,12)),AND(INDEX(TekTil,12)&gt;0,N$5&gt;INDEX(TekTil,12))),"",IF(COUNTIFS(TF_Nokkel,$A27&amp;"|"&amp;N$5)=0,IF(N$8&lt;&gt;"","LMS",""),IFERROR(IF(SUMIFS(TF_Timer,TF_Nokkel,$A27&amp;"|"&amp;N$5,TF_Akt,"LMS")+IF(N$8="",0,MAX(0,ROUND((N$11-SUMIFS(TF_Timer,TF_Nokkel,$A27&amp;"|"&amp;N$5))*2,0)/2))&gt;INDEX(TF_AktSum,MATCH($A27&amp;"|"&amp;N$5,TF_Dom,0)),"LMS",INDEX(AktKode,MATCH(INDEX(TF_Akt,MATCH($A27&amp;"|"&amp;N$5,TF_Dom,0)),Aktiviteter,0)))&amp;IF(OR(COUNTIFS(TF_Nokkel,$A27&amp;"|"&amp;N$5,TF_Akt,"&lt;&gt;"&amp;INDEX(TF_Akt,MATCH($A27&amp;"|"&amp;N$5,TF_Dom,0)))&gt;0,AND(IF(N$8="",0,MAX(0,ROUND((N$11-SUMIFS(TF_Timer,TF_Nokkel,$A27&amp;"|"&amp;N$5))*2,0)/2))&gt;0,INDEX(TF_Akt,MATCH($A27&amp;"|"&amp;N$5,TF_Dom,0))&lt;&gt;"LMS")),"+",""),"?"))))</f>
        <v/>
      </c>
      <c r="O27" s="13">
        <f>IF(OR($A27="",O$5=""),"",IF(OR(AND(INDEX(TekFra,12)&gt;0,O$5&lt;INDEX(TekFra,12)),AND(INDEX(TekTil,12)&gt;0,O$5&gt;INDEX(TekTil,12))),"",IF(COUNTIFS(TF_Nokkel,$A27&amp;"|"&amp;O$5)=0,IF(O$8&lt;&gt;"","LMS",""),IFERROR(IF(SUMIFS(TF_Timer,TF_Nokkel,$A27&amp;"|"&amp;O$5,TF_Akt,"LMS")+IF(O$8="",0,MAX(0,ROUND((O$11-SUMIFS(TF_Timer,TF_Nokkel,$A27&amp;"|"&amp;O$5))*2,0)/2))&gt;INDEX(TF_AktSum,MATCH($A27&amp;"|"&amp;O$5,TF_Dom,0)),"LMS",INDEX(AktKode,MATCH(INDEX(TF_Akt,MATCH($A27&amp;"|"&amp;O$5,TF_Dom,0)),Aktiviteter,0)))&amp;IF(OR(COUNTIFS(TF_Nokkel,$A27&amp;"|"&amp;O$5,TF_Akt,"&lt;&gt;"&amp;INDEX(TF_Akt,MATCH($A27&amp;"|"&amp;O$5,TF_Dom,0)))&gt;0,AND(IF(O$8="",0,MAX(0,ROUND((O$11-SUMIFS(TF_Timer,TF_Nokkel,$A27&amp;"|"&amp;O$5))*2,0)/2))&gt;0,INDEX(TF_Akt,MATCH($A27&amp;"|"&amp;O$5,TF_Dom,0))&lt;&gt;"LMS")),"+",""),"?"))))</f>
        <v/>
      </c>
      <c r="P27" s="13">
        <f>IF(OR($A27="",P$5=""),"",IF(OR(AND(INDEX(TekFra,12)&gt;0,P$5&lt;INDEX(TekFra,12)),AND(INDEX(TekTil,12)&gt;0,P$5&gt;INDEX(TekTil,12))),"",IF(COUNTIFS(TF_Nokkel,$A27&amp;"|"&amp;P$5)=0,IF(P$8&lt;&gt;"","LMS",""),IFERROR(IF(SUMIFS(TF_Timer,TF_Nokkel,$A27&amp;"|"&amp;P$5,TF_Akt,"LMS")+IF(P$8="",0,MAX(0,ROUND((P$11-SUMIFS(TF_Timer,TF_Nokkel,$A27&amp;"|"&amp;P$5))*2,0)/2))&gt;INDEX(TF_AktSum,MATCH($A27&amp;"|"&amp;P$5,TF_Dom,0)),"LMS",INDEX(AktKode,MATCH(INDEX(TF_Akt,MATCH($A27&amp;"|"&amp;P$5,TF_Dom,0)),Aktiviteter,0)))&amp;IF(OR(COUNTIFS(TF_Nokkel,$A27&amp;"|"&amp;P$5,TF_Akt,"&lt;&gt;"&amp;INDEX(TF_Akt,MATCH($A27&amp;"|"&amp;P$5,TF_Dom,0)))&gt;0,AND(IF(P$8="",0,MAX(0,ROUND((P$11-SUMIFS(TF_Timer,TF_Nokkel,$A27&amp;"|"&amp;P$5))*2,0)/2))&gt;0,INDEX(TF_Akt,MATCH($A27&amp;"|"&amp;P$5,TF_Dom,0))&lt;&gt;"LMS")),"+",""),"?"))))</f>
        <v/>
      </c>
      <c r="Q27" s="13">
        <f>IF(OR($A27="",Q$5=""),"",IF(OR(AND(INDEX(TekFra,12)&gt;0,Q$5&lt;INDEX(TekFra,12)),AND(INDEX(TekTil,12)&gt;0,Q$5&gt;INDEX(TekTil,12))),"",IF(COUNTIFS(TF_Nokkel,$A27&amp;"|"&amp;Q$5)=0,IF(Q$8&lt;&gt;"","LMS",""),IFERROR(IF(SUMIFS(TF_Timer,TF_Nokkel,$A27&amp;"|"&amp;Q$5,TF_Akt,"LMS")+IF(Q$8="",0,MAX(0,ROUND((Q$11-SUMIFS(TF_Timer,TF_Nokkel,$A27&amp;"|"&amp;Q$5))*2,0)/2))&gt;INDEX(TF_AktSum,MATCH($A27&amp;"|"&amp;Q$5,TF_Dom,0)),"LMS",INDEX(AktKode,MATCH(INDEX(TF_Akt,MATCH($A27&amp;"|"&amp;Q$5,TF_Dom,0)),Aktiviteter,0)))&amp;IF(OR(COUNTIFS(TF_Nokkel,$A27&amp;"|"&amp;Q$5,TF_Akt,"&lt;&gt;"&amp;INDEX(TF_Akt,MATCH($A27&amp;"|"&amp;Q$5,TF_Dom,0)))&gt;0,AND(IF(Q$8="",0,MAX(0,ROUND((Q$11-SUMIFS(TF_Timer,TF_Nokkel,$A27&amp;"|"&amp;Q$5))*2,0)/2))&gt;0,INDEX(TF_Akt,MATCH($A27&amp;"|"&amp;Q$5,TF_Dom,0))&lt;&gt;"LMS")),"+",""),"?"))))</f>
        <v/>
      </c>
      <c r="R27" s="13">
        <f>IF(OR($A27="",R$5=""),"",IF(OR(AND(INDEX(TekFra,12)&gt;0,R$5&lt;INDEX(TekFra,12)),AND(INDEX(TekTil,12)&gt;0,R$5&gt;INDEX(TekTil,12))),"",IF(COUNTIFS(TF_Nokkel,$A27&amp;"|"&amp;R$5)=0,IF(R$8&lt;&gt;"","LMS",""),IFERROR(IF(SUMIFS(TF_Timer,TF_Nokkel,$A27&amp;"|"&amp;R$5,TF_Akt,"LMS")+IF(R$8="",0,MAX(0,ROUND((R$11-SUMIFS(TF_Timer,TF_Nokkel,$A27&amp;"|"&amp;R$5))*2,0)/2))&gt;INDEX(TF_AktSum,MATCH($A27&amp;"|"&amp;R$5,TF_Dom,0)),"LMS",INDEX(AktKode,MATCH(INDEX(TF_Akt,MATCH($A27&amp;"|"&amp;R$5,TF_Dom,0)),Aktiviteter,0)))&amp;IF(OR(COUNTIFS(TF_Nokkel,$A27&amp;"|"&amp;R$5,TF_Akt,"&lt;&gt;"&amp;INDEX(TF_Akt,MATCH($A27&amp;"|"&amp;R$5,TF_Dom,0)))&gt;0,AND(IF(R$8="",0,MAX(0,ROUND((R$11-SUMIFS(TF_Timer,TF_Nokkel,$A27&amp;"|"&amp;R$5))*2,0)/2))&gt;0,INDEX(TF_Akt,MATCH($A27&amp;"|"&amp;R$5,TF_Dom,0))&lt;&gt;"LMS")),"+",""),"?"))))</f>
        <v/>
      </c>
      <c r="S27" s="13">
        <f>IF(OR($A27="",S$5=""),"",IF(OR(AND(INDEX(TekFra,12)&gt;0,S$5&lt;INDEX(TekFra,12)),AND(INDEX(TekTil,12)&gt;0,S$5&gt;INDEX(TekTil,12))),"",IF(COUNTIFS(TF_Nokkel,$A27&amp;"|"&amp;S$5)=0,IF(S$8&lt;&gt;"","LMS",""),IFERROR(IF(SUMIFS(TF_Timer,TF_Nokkel,$A27&amp;"|"&amp;S$5,TF_Akt,"LMS")+IF(S$8="",0,MAX(0,ROUND((S$11-SUMIFS(TF_Timer,TF_Nokkel,$A27&amp;"|"&amp;S$5))*2,0)/2))&gt;INDEX(TF_AktSum,MATCH($A27&amp;"|"&amp;S$5,TF_Dom,0)),"LMS",INDEX(AktKode,MATCH(INDEX(TF_Akt,MATCH($A27&amp;"|"&amp;S$5,TF_Dom,0)),Aktiviteter,0)))&amp;IF(OR(COUNTIFS(TF_Nokkel,$A27&amp;"|"&amp;S$5,TF_Akt,"&lt;&gt;"&amp;INDEX(TF_Akt,MATCH($A27&amp;"|"&amp;S$5,TF_Dom,0)))&gt;0,AND(IF(S$8="",0,MAX(0,ROUND((S$11-SUMIFS(TF_Timer,TF_Nokkel,$A27&amp;"|"&amp;S$5))*2,0)/2))&gt;0,INDEX(TF_Akt,MATCH($A27&amp;"|"&amp;S$5,TF_Dom,0))&lt;&gt;"LMS")),"+",""),"?"))))</f>
        <v/>
      </c>
      <c r="T27" s="13">
        <f>IF(OR($A27="",T$5=""),"",IF(OR(AND(INDEX(TekFra,12)&gt;0,T$5&lt;INDEX(TekFra,12)),AND(INDEX(TekTil,12)&gt;0,T$5&gt;INDEX(TekTil,12))),"",IF(COUNTIFS(TF_Nokkel,$A27&amp;"|"&amp;T$5)=0,IF(T$8&lt;&gt;"","LMS",""),IFERROR(IF(SUMIFS(TF_Timer,TF_Nokkel,$A27&amp;"|"&amp;T$5,TF_Akt,"LMS")+IF(T$8="",0,MAX(0,ROUND((T$11-SUMIFS(TF_Timer,TF_Nokkel,$A27&amp;"|"&amp;T$5))*2,0)/2))&gt;INDEX(TF_AktSum,MATCH($A27&amp;"|"&amp;T$5,TF_Dom,0)),"LMS",INDEX(AktKode,MATCH(INDEX(TF_Akt,MATCH($A27&amp;"|"&amp;T$5,TF_Dom,0)),Aktiviteter,0)))&amp;IF(OR(COUNTIFS(TF_Nokkel,$A27&amp;"|"&amp;T$5,TF_Akt,"&lt;&gt;"&amp;INDEX(TF_Akt,MATCH($A27&amp;"|"&amp;T$5,TF_Dom,0)))&gt;0,AND(IF(T$8="",0,MAX(0,ROUND((T$11-SUMIFS(TF_Timer,TF_Nokkel,$A27&amp;"|"&amp;T$5))*2,0)/2))&gt;0,INDEX(TF_Akt,MATCH($A27&amp;"|"&amp;T$5,TF_Dom,0))&lt;&gt;"LMS")),"+",""),"?"))))</f>
        <v/>
      </c>
      <c r="U27" s="13">
        <f>IF(OR($A27="",U$5=""),"",IF(OR(AND(INDEX(TekFra,12)&gt;0,U$5&lt;INDEX(TekFra,12)),AND(INDEX(TekTil,12)&gt;0,U$5&gt;INDEX(TekTil,12))),"",IF(COUNTIFS(TF_Nokkel,$A27&amp;"|"&amp;U$5)=0,IF(U$8&lt;&gt;"","LMS",""),IFERROR(IF(SUMIFS(TF_Timer,TF_Nokkel,$A27&amp;"|"&amp;U$5,TF_Akt,"LMS")+IF(U$8="",0,MAX(0,ROUND((U$11-SUMIFS(TF_Timer,TF_Nokkel,$A27&amp;"|"&amp;U$5))*2,0)/2))&gt;INDEX(TF_AktSum,MATCH($A27&amp;"|"&amp;U$5,TF_Dom,0)),"LMS",INDEX(AktKode,MATCH(INDEX(TF_Akt,MATCH($A27&amp;"|"&amp;U$5,TF_Dom,0)),Aktiviteter,0)))&amp;IF(OR(COUNTIFS(TF_Nokkel,$A27&amp;"|"&amp;U$5,TF_Akt,"&lt;&gt;"&amp;INDEX(TF_Akt,MATCH($A27&amp;"|"&amp;U$5,TF_Dom,0)))&gt;0,AND(IF(U$8="",0,MAX(0,ROUND((U$11-SUMIFS(TF_Timer,TF_Nokkel,$A27&amp;"|"&amp;U$5))*2,0)/2))&gt;0,INDEX(TF_Akt,MATCH($A27&amp;"|"&amp;U$5,TF_Dom,0))&lt;&gt;"LMS")),"+",""),"?"))))</f>
        <v/>
      </c>
      <c r="V27" s="13">
        <f>IF(OR($A27="",V$5=""),"",IF(OR(AND(INDEX(TekFra,12)&gt;0,V$5&lt;INDEX(TekFra,12)),AND(INDEX(TekTil,12)&gt;0,V$5&gt;INDEX(TekTil,12))),"",IF(COUNTIFS(TF_Nokkel,$A27&amp;"|"&amp;V$5)=0,IF(V$8&lt;&gt;"","LMS",""),IFERROR(IF(SUMIFS(TF_Timer,TF_Nokkel,$A27&amp;"|"&amp;V$5,TF_Akt,"LMS")+IF(V$8="",0,MAX(0,ROUND((V$11-SUMIFS(TF_Timer,TF_Nokkel,$A27&amp;"|"&amp;V$5))*2,0)/2))&gt;INDEX(TF_AktSum,MATCH($A27&amp;"|"&amp;V$5,TF_Dom,0)),"LMS",INDEX(AktKode,MATCH(INDEX(TF_Akt,MATCH($A27&amp;"|"&amp;V$5,TF_Dom,0)),Aktiviteter,0)))&amp;IF(OR(COUNTIFS(TF_Nokkel,$A27&amp;"|"&amp;V$5,TF_Akt,"&lt;&gt;"&amp;INDEX(TF_Akt,MATCH($A27&amp;"|"&amp;V$5,TF_Dom,0)))&gt;0,AND(IF(V$8="",0,MAX(0,ROUND((V$11-SUMIFS(TF_Timer,TF_Nokkel,$A27&amp;"|"&amp;V$5))*2,0)/2))&gt;0,INDEX(TF_Akt,MATCH($A27&amp;"|"&amp;V$5,TF_Dom,0))&lt;&gt;"LMS")),"+",""),"?"))))</f>
        <v/>
      </c>
      <c r="W27" s="13">
        <f>IF(OR($A27="",W$5=""),"",IF(OR(AND(INDEX(TekFra,12)&gt;0,W$5&lt;INDEX(TekFra,12)),AND(INDEX(TekTil,12)&gt;0,W$5&gt;INDEX(TekTil,12))),"",IF(COUNTIFS(TF_Nokkel,$A27&amp;"|"&amp;W$5)=0,IF(W$8&lt;&gt;"","LMS",""),IFERROR(IF(SUMIFS(TF_Timer,TF_Nokkel,$A27&amp;"|"&amp;W$5,TF_Akt,"LMS")+IF(W$8="",0,MAX(0,ROUND((W$11-SUMIFS(TF_Timer,TF_Nokkel,$A27&amp;"|"&amp;W$5))*2,0)/2))&gt;INDEX(TF_AktSum,MATCH($A27&amp;"|"&amp;W$5,TF_Dom,0)),"LMS",INDEX(AktKode,MATCH(INDEX(TF_Akt,MATCH($A27&amp;"|"&amp;W$5,TF_Dom,0)),Aktiviteter,0)))&amp;IF(OR(COUNTIFS(TF_Nokkel,$A27&amp;"|"&amp;W$5,TF_Akt,"&lt;&gt;"&amp;INDEX(TF_Akt,MATCH($A27&amp;"|"&amp;W$5,TF_Dom,0)))&gt;0,AND(IF(W$8="",0,MAX(0,ROUND((W$11-SUMIFS(TF_Timer,TF_Nokkel,$A27&amp;"|"&amp;W$5))*2,0)/2))&gt;0,INDEX(TF_Akt,MATCH($A27&amp;"|"&amp;W$5,TF_Dom,0))&lt;&gt;"LMS")),"+",""),"?"))))</f>
        <v/>
      </c>
      <c r="X27" s="13">
        <f>IF(OR($A27="",X$5=""),"",IF(OR(AND(INDEX(TekFra,12)&gt;0,X$5&lt;INDEX(TekFra,12)),AND(INDEX(TekTil,12)&gt;0,X$5&gt;INDEX(TekTil,12))),"",IF(COUNTIFS(TF_Nokkel,$A27&amp;"|"&amp;X$5)=0,IF(X$8&lt;&gt;"","LMS",""),IFERROR(IF(SUMIFS(TF_Timer,TF_Nokkel,$A27&amp;"|"&amp;X$5,TF_Akt,"LMS")+IF(X$8="",0,MAX(0,ROUND((X$11-SUMIFS(TF_Timer,TF_Nokkel,$A27&amp;"|"&amp;X$5))*2,0)/2))&gt;INDEX(TF_AktSum,MATCH($A27&amp;"|"&amp;X$5,TF_Dom,0)),"LMS",INDEX(AktKode,MATCH(INDEX(TF_Akt,MATCH($A27&amp;"|"&amp;X$5,TF_Dom,0)),Aktiviteter,0)))&amp;IF(OR(COUNTIFS(TF_Nokkel,$A27&amp;"|"&amp;X$5,TF_Akt,"&lt;&gt;"&amp;INDEX(TF_Akt,MATCH($A27&amp;"|"&amp;X$5,TF_Dom,0)))&gt;0,AND(IF(X$8="",0,MAX(0,ROUND((X$11-SUMIFS(TF_Timer,TF_Nokkel,$A27&amp;"|"&amp;X$5))*2,0)/2))&gt;0,INDEX(TF_Akt,MATCH($A27&amp;"|"&amp;X$5,TF_Dom,0))&lt;&gt;"LMS")),"+",""),"?"))))</f>
        <v/>
      </c>
      <c r="Y27" s="13">
        <f>IF(OR($A27="",Y$5=""),"",IF(OR(AND(INDEX(TekFra,12)&gt;0,Y$5&lt;INDEX(TekFra,12)),AND(INDEX(TekTil,12)&gt;0,Y$5&gt;INDEX(TekTil,12))),"",IF(COUNTIFS(TF_Nokkel,$A27&amp;"|"&amp;Y$5)=0,IF(Y$8&lt;&gt;"","LMS",""),IFERROR(IF(SUMIFS(TF_Timer,TF_Nokkel,$A27&amp;"|"&amp;Y$5,TF_Akt,"LMS")+IF(Y$8="",0,MAX(0,ROUND((Y$11-SUMIFS(TF_Timer,TF_Nokkel,$A27&amp;"|"&amp;Y$5))*2,0)/2))&gt;INDEX(TF_AktSum,MATCH($A27&amp;"|"&amp;Y$5,TF_Dom,0)),"LMS",INDEX(AktKode,MATCH(INDEX(TF_Akt,MATCH($A27&amp;"|"&amp;Y$5,TF_Dom,0)),Aktiviteter,0)))&amp;IF(OR(COUNTIFS(TF_Nokkel,$A27&amp;"|"&amp;Y$5,TF_Akt,"&lt;&gt;"&amp;INDEX(TF_Akt,MATCH($A27&amp;"|"&amp;Y$5,TF_Dom,0)))&gt;0,AND(IF(Y$8="",0,MAX(0,ROUND((Y$11-SUMIFS(TF_Timer,TF_Nokkel,$A27&amp;"|"&amp;Y$5))*2,0)/2))&gt;0,INDEX(TF_Akt,MATCH($A27&amp;"|"&amp;Y$5,TF_Dom,0))&lt;&gt;"LMS")),"+",""),"?"))))</f>
        <v/>
      </c>
      <c r="Z27" s="13">
        <f>IF(OR($A27="",Z$5=""),"",IF(OR(AND(INDEX(TekFra,12)&gt;0,Z$5&lt;INDEX(TekFra,12)),AND(INDEX(TekTil,12)&gt;0,Z$5&gt;INDEX(TekTil,12))),"",IF(COUNTIFS(TF_Nokkel,$A27&amp;"|"&amp;Z$5)=0,IF(Z$8&lt;&gt;"","LMS",""),IFERROR(IF(SUMIFS(TF_Timer,TF_Nokkel,$A27&amp;"|"&amp;Z$5,TF_Akt,"LMS")+IF(Z$8="",0,MAX(0,ROUND((Z$11-SUMIFS(TF_Timer,TF_Nokkel,$A27&amp;"|"&amp;Z$5))*2,0)/2))&gt;INDEX(TF_AktSum,MATCH($A27&amp;"|"&amp;Z$5,TF_Dom,0)),"LMS",INDEX(AktKode,MATCH(INDEX(TF_Akt,MATCH($A27&amp;"|"&amp;Z$5,TF_Dom,0)),Aktiviteter,0)))&amp;IF(OR(COUNTIFS(TF_Nokkel,$A27&amp;"|"&amp;Z$5,TF_Akt,"&lt;&gt;"&amp;INDEX(TF_Akt,MATCH($A27&amp;"|"&amp;Z$5,TF_Dom,0)))&gt;0,AND(IF(Z$8="",0,MAX(0,ROUND((Z$11-SUMIFS(TF_Timer,TF_Nokkel,$A27&amp;"|"&amp;Z$5))*2,0)/2))&gt;0,INDEX(TF_Akt,MATCH($A27&amp;"|"&amp;Z$5,TF_Dom,0))&lt;&gt;"LMS")),"+",""),"?"))))</f>
        <v/>
      </c>
      <c r="AA27" s="13">
        <f>IF(OR($A27="",AA$5=""),"",IF(OR(AND(INDEX(TekFra,12)&gt;0,AA$5&lt;INDEX(TekFra,12)),AND(INDEX(TekTil,12)&gt;0,AA$5&gt;INDEX(TekTil,12))),"",IF(COUNTIFS(TF_Nokkel,$A27&amp;"|"&amp;AA$5)=0,IF(AA$8&lt;&gt;"","LMS",""),IFERROR(IF(SUMIFS(TF_Timer,TF_Nokkel,$A27&amp;"|"&amp;AA$5,TF_Akt,"LMS")+IF(AA$8="",0,MAX(0,ROUND((AA$11-SUMIFS(TF_Timer,TF_Nokkel,$A27&amp;"|"&amp;AA$5))*2,0)/2))&gt;INDEX(TF_AktSum,MATCH($A27&amp;"|"&amp;AA$5,TF_Dom,0)),"LMS",INDEX(AktKode,MATCH(INDEX(TF_Akt,MATCH($A27&amp;"|"&amp;AA$5,TF_Dom,0)),Aktiviteter,0)))&amp;IF(OR(COUNTIFS(TF_Nokkel,$A27&amp;"|"&amp;AA$5,TF_Akt,"&lt;&gt;"&amp;INDEX(TF_Akt,MATCH($A27&amp;"|"&amp;AA$5,TF_Dom,0)))&gt;0,AND(IF(AA$8="",0,MAX(0,ROUND((AA$11-SUMIFS(TF_Timer,TF_Nokkel,$A27&amp;"|"&amp;AA$5))*2,0)/2))&gt;0,INDEX(TF_Akt,MATCH($A27&amp;"|"&amp;AA$5,TF_Dom,0))&lt;&gt;"LMS")),"+",""),"?"))))</f>
        <v/>
      </c>
      <c r="AB27" s="13">
        <f>IF(OR($A27="",AB$5=""),"",IF(OR(AND(INDEX(TekFra,12)&gt;0,AB$5&lt;INDEX(TekFra,12)),AND(INDEX(TekTil,12)&gt;0,AB$5&gt;INDEX(TekTil,12))),"",IF(COUNTIFS(TF_Nokkel,$A27&amp;"|"&amp;AB$5)=0,IF(AB$8&lt;&gt;"","LMS",""),IFERROR(IF(SUMIFS(TF_Timer,TF_Nokkel,$A27&amp;"|"&amp;AB$5,TF_Akt,"LMS")+IF(AB$8="",0,MAX(0,ROUND((AB$11-SUMIFS(TF_Timer,TF_Nokkel,$A27&amp;"|"&amp;AB$5))*2,0)/2))&gt;INDEX(TF_AktSum,MATCH($A27&amp;"|"&amp;AB$5,TF_Dom,0)),"LMS",INDEX(AktKode,MATCH(INDEX(TF_Akt,MATCH($A27&amp;"|"&amp;AB$5,TF_Dom,0)),Aktiviteter,0)))&amp;IF(OR(COUNTIFS(TF_Nokkel,$A27&amp;"|"&amp;AB$5,TF_Akt,"&lt;&gt;"&amp;INDEX(TF_Akt,MATCH($A27&amp;"|"&amp;AB$5,TF_Dom,0)))&gt;0,AND(IF(AB$8="",0,MAX(0,ROUND((AB$11-SUMIFS(TF_Timer,TF_Nokkel,$A27&amp;"|"&amp;AB$5))*2,0)/2))&gt;0,INDEX(TF_Akt,MATCH($A27&amp;"|"&amp;AB$5,TF_Dom,0))&lt;&gt;"LMS")),"+",""),"?"))))</f>
        <v/>
      </c>
      <c r="AC27" s="13">
        <f>IF(OR($A27="",AC$5=""),"",IF(OR(AND(INDEX(TekFra,12)&gt;0,AC$5&lt;INDEX(TekFra,12)),AND(INDEX(TekTil,12)&gt;0,AC$5&gt;INDEX(TekTil,12))),"",IF(COUNTIFS(TF_Nokkel,$A27&amp;"|"&amp;AC$5)=0,IF(AC$8&lt;&gt;"","LMS",""),IFERROR(IF(SUMIFS(TF_Timer,TF_Nokkel,$A27&amp;"|"&amp;AC$5,TF_Akt,"LMS")+IF(AC$8="",0,MAX(0,ROUND((AC$11-SUMIFS(TF_Timer,TF_Nokkel,$A27&amp;"|"&amp;AC$5))*2,0)/2))&gt;INDEX(TF_AktSum,MATCH($A27&amp;"|"&amp;AC$5,TF_Dom,0)),"LMS",INDEX(AktKode,MATCH(INDEX(TF_Akt,MATCH($A27&amp;"|"&amp;AC$5,TF_Dom,0)),Aktiviteter,0)))&amp;IF(OR(COUNTIFS(TF_Nokkel,$A27&amp;"|"&amp;AC$5,TF_Akt,"&lt;&gt;"&amp;INDEX(TF_Akt,MATCH($A27&amp;"|"&amp;AC$5,TF_Dom,0)))&gt;0,AND(IF(AC$8="",0,MAX(0,ROUND((AC$11-SUMIFS(TF_Timer,TF_Nokkel,$A27&amp;"|"&amp;AC$5))*2,0)/2))&gt;0,INDEX(TF_Akt,MATCH($A27&amp;"|"&amp;AC$5,TF_Dom,0))&lt;&gt;"LMS")),"+",""),"?"))))</f>
        <v/>
      </c>
      <c r="AD27" s="13">
        <f>IF(OR($A27="",AD$5=""),"",IF(OR(AND(INDEX(TekFra,12)&gt;0,AD$5&lt;INDEX(TekFra,12)),AND(INDEX(TekTil,12)&gt;0,AD$5&gt;INDEX(TekTil,12))),"",IF(COUNTIFS(TF_Nokkel,$A27&amp;"|"&amp;AD$5)=0,IF(AD$8&lt;&gt;"","LMS",""),IFERROR(IF(SUMIFS(TF_Timer,TF_Nokkel,$A27&amp;"|"&amp;AD$5,TF_Akt,"LMS")+IF(AD$8="",0,MAX(0,ROUND((AD$11-SUMIFS(TF_Timer,TF_Nokkel,$A27&amp;"|"&amp;AD$5))*2,0)/2))&gt;INDEX(TF_AktSum,MATCH($A27&amp;"|"&amp;AD$5,TF_Dom,0)),"LMS",INDEX(AktKode,MATCH(INDEX(TF_Akt,MATCH($A27&amp;"|"&amp;AD$5,TF_Dom,0)),Aktiviteter,0)))&amp;IF(OR(COUNTIFS(TF_Nokkel,$A27&amp;"|"&amp;AD$5,TF_Akt,"&lt;&gt;"&amp;INDEX(TF_Akt,MATCH($A27&amp;"|"&amp;AD$5,TF_Dom,0)))&gt;0,AND(IF(AD$8="",0,MAX(0,ROUND((AD$11-SUMIFS(TF_Timer,TF_Nokkel,$A27&amp;"|"&amp;AD$5))*2,0)/2))&gt;0,INDEX(TF_Akt,MATCH($A27&amp;"|"&amp;AD$5,TF_Dom,0))&lt;&gt;"LMS")),"+",""),"?"))))</f>
        <v/>
      </c>
      <c r="AE27" s="13">
        <f>IF(OR($A27="",AE$5=""),"",IF(OR(AND(INDEX(TekFra,12)&gt;0,AE$5&lt;INDEX(TekFra,12)),AND(INDEX(TekTil,12)&gt;0,AE$5&gt;INDEX(TekTil,12))),"",IF(COUNTIFS(TF_Nokkel,$A27&amp;"|"&amp;AE$5)=0,IF(AE$8&lt;&gt;"","LMS",""),IFERROR(IF(SUMIFS(TF_Timer,TF_Nokkel,$A27&amp;"|"&amp;AE$5,TF_Akt,"LMS")+IF(AE$8="",0,MAX(0,ROUND((AE$11-SUMIFS(TF_Timer,TF_Nokkel,$A27&amp;"|"&amp;AE$5))*2,0)/2))&gt;INDEX(TF_AktSum,MATCH($A27&amp;"|"&amp;AE$5,TF_Dom,0)),"LMS",INDEX(AktKode,MATCH(INDEX(TF_Akt,MATCH($A27&amp;"|"&amp;AE$5,TF_Dom,0)),Aktiviteter,0)))&amp;IF(OR(COUNTIFS(TF_Nokkel,$A27&amp;"|"&amp;AE$5,TF_Akt,"&lt;&gt;"&amp;INDEX(TF_Akt,MATCH($A27&amp;"|"&amp;AE$5,TF_Dom,0)))&gt;0,AND(IF(AE$8="",0,MAX(0,ROUND((AE$11-SUMIFS(TF_Timer,TF_Nokkel,$A27&amp;"|"&amp;AE$5))*2,0)/2))&gt;0,INDEX(TF_Akt,MATCH($A27&amp;"|"&amp;AE$5,TF_Dom,0))&lt;&gt;"LMS")),"+",""),"?"))))</f>
        <v/>
      </c>
      <c r="AF27" s="13">
        <f>IF(OR($A27="",AF$5=""),"",IF(OR(AND(INDEX(TekFra,12)&gt;0,AF$5&lt;INDEX(TekFra,12)),AND(INDEX(TekTil,12)&gt;0,AF$5&gt;INDEX(TekTil,12))),"",IF(COUNTIFS(TF_Nokkel,$A27&amp;"|"&amp;AF$5)=0,IF(AF$8&lt;&gt;"","LMS",""),IFERROR(IF(SUMIFS(TF_Timer,TF_Nokkel,$A27&amp;"|"&amp;AF$5,TF_Akt,"LMS")+IF(AF$8="",0,MAX(0,ROUND((AF$11-SUMIFS(TF_Timer,TF_Nokkel,$A27&amp;"|"&amp;AF$5))*2,0)/2))&gt;INDEX(TF_AktSum,MATCH($A27&amp;"|"&amp;AF$5,TF_Dom,0)),"LMS",INDEX(AktKode,MATCH(INDEX(TF_Akt,MATCH($A27&amp;"|"&amp;AF$5,TF_Dom,0)),Aktiviteter,0)))&amp;IF(OR(COUNTIFS(TF_Nokkel,$A27&amp;"|"&amp;AF$5,TF_Akt,"&lt;&gt;"&amp;INDEX(TF_Akt,MATCH($A27&amp;"|"&amp;AF$5,TF_Dom,0)))&gt;0,AND(IF(AF$8="",0,MAX(0,ROUND((AF$11-SUMIFS(TF_Timer,TF_Nokkel,$A27&amp;"|"&amp;AF$5))*2,0)/2))&gt;0,INDEX(TF_Akt,MATCH($A27&amp;"|"&amp;AF$5,TF_Dom,0))&lt;&gt;"LMS")),"+",""),"?"))))</f>
        <v/>
      </c>
      <c r="AG27" s="13">
        <f>IF(OR($A27="",AG$5=""),"",IF(OR(AND(INDEX(TekFra,12)&gt;0,AG$5&lt;INDEX(TekFra,12)),AND(INDEX(TekTil,12)&gt;0,AG$5&gt;INDEX(TekTil,12))),"",IF(COUNTIFS(TF_Nokkel,$A27&amp;"|"&amp;AG$5)=0,IF(AG$8&lt;&gt;"","LMS",""),IFERROR(IF(SUMIFS(TF_Timer,TF_Nokkel,$A27&amp;"|"&amp;AG$5,TF_Akt,"LMS")+IF(AG$8="",0,MAX(0,ROUND((AG$11-SUMIFS(TF_Timer,TF_Nokkel,$A27&amp;"|"&amp;AG$5))*2,0)/2))&gt;INDEX(TF_AktSum,MATCH($A27&amp;"|"&amp;AG$5,TF_Dom,0)),"LMS",INDEX(AktKode,MATCH(INDEX(TF_Akt,MATCH($A27&amp;"|"&amp;AG$5,TF_Dom,0)),Aktiviteter,0)))&amp;IF(OR(COUNTIFS(TF_Nokkel,$A27&amp;"|"&amp;AG$5,TF_Akt,"&lt;&gt;"&amp;INDEX(TF_Akt,MATCH($A27&amp;"|"&amp;AG$5,TF_Dom,0)))&gt;0,AND(IF(AG$8="",0,MAX(0,ROUND((AG$11-SUMIFS(TF_Timer,TF_Nokkel,$A27&amp;"|"&amp;AG$5))*2,0)/2))&gt;0,INDEX(TF_Akt,MATCH($A27&amp;"|"&amp;AG$5,TF_Dom,0))&lt;&gt;"LMS")),"+",""),"?"))))</f>
        <v/>
      </c>
      <c r="AH27" s="2" t="n"/>
      <c r="AI27" s="26" t="inlineStr">
        <is>
          <t>LMS</t>
        </is>
      </c>
      <c r="AJ27" s="15" t="inlineStr">
        <is>
          <t>LMS (forhåndsvisning)</t>
        </is>
      </c>
    </row>
    <row r="28">
      <c r="A28" s="2">
        <f>INDEX(Teknikere,13)&amp;""</f>
        <v/>
      </c>
      <c r="B28" s="12">
        <f>IF(INDEX(TekFra,13)&gt;0,"ekstra","")</f>
        <v/>
      </c>
      <c r="C28" s="13">
        <f>IF(OR($A28="",C$5=""),"",IF(OR(AND(INDEX(TekFra,13)&gt;0,C$5&lt;INDEX(TekFra,13)),AND(INDEX(TekTil,13)&gt;0,C$5&gt;INDEX(TekTil,13))),"",IF(COUNTIFS(TF_Nokkel,$A28&amp;"|"&amp;C$5)=0,IF(C$8&lt;&gt;"","LMS",""),IFERROR(IF(SUMIFS(TF_Timer,TF_Nokkel,$A28&amp;"|"&amp;C$5,TF_Akt,"LMS")+IF(C$8="",0,MAX(0,ROUND((C$11-SUMIFS(TF_Timer,TF_Nokkel,$A28&amp;"|"&amp;C$5))*2,0)/2))&gt;INDEX(TF_AktSum,MATCH($A28&amp;"|"&amp;C$5,TF_Dom,0)),"LMS",INDEX(AktKode,MATCH(INDEX(TF_Akt,MATCH($A28&amp;"|"&amp;C$5,TF_Dom,0)),Aktiviteter,0)))&amp;IF(OR(COUNTIFS(TF_Nokkel,$A28&amp;"|"&amp;C$5,TF_Akt,"&lt;&gt;"&amp;INDEX(TF_Akt,MATCH($A28&amp;"|"&amp;C$5,TF_Dom,0)))&gt;0,AND(IF(C$8="",0,MAX(0,ROUND((C$11-SUMIFS(TF_Timer,TF_Nokkel,$A28&amp;"|"&amp;C$5))*2,0)/2))&gt;0,INDEX(TF_Akt,MATCH($A28&amp;"|"&amp;C$5,TF_Dom,0))&lt;&gt;"LMS")),"+",""),"?"))))</f>
        <v/>
      </c>
      <c r="D28" s="13">
        <f>IF(OR($A28="",D$5=""),"",IF(OR(AND(INDEX(TekFra,13)&gt;0,D$5&lt;INDEX(TekFra,13)),AND(INDEX(TekTil,13)&gt;0,D$5&gt;INDEX(TekTil,13))),"",IF(COUNTIFS(TF_Nokkel,$A28&amp;"|"&amp;D$5)=0,IF(D$8&lt;&gt;"","LMS",""),IFERROR(IF(SUMIFS(TF_Timer,TF_Nokkel,$A28&amp;"|"&amp;D$5,TF_Akt,"LMS")+IF(D$8="",0,MAX(0,ROUND((D$11-SUMIFS(TF_Timer,TF_Nokkel,$A28&amp;"|"&amp;D$5))*2,0)/2))&gt;INDEX(TF_AktSum,MATCH($A28&amp;"|"&amp;D$5,TF_Dom,0)),"LMS",INDEX(AktKode,MATCH(INDEX(TF_Akt,MATCH($A28&amp;"|"&amp;D$5,TF_Dom,0)),Aktiviteter,0)))&amp;IF(OR(COUNTIFS(TF_Nokkel,$A28&amp;"|"&amp;D$5,TF_Akt,"&lt;&gt;"&amp;INDEX(TF_Akt,MATCH($A28&amp;"|"&amp;D$5,TF_Dom,0)))&gt;0,AND(IF(D$8="",0,MAX(0,ROUND((D$11-SUMIFS(TF_Timer,TF_Nokkel,$A28&amp;"|"&amp;D$5))*2,0)/2))&gt;0,INDEX(TF_Akt,MATCH($A28&amp;"|"&amp;D$5,TF_Dom,0))&lt;&gt;"LMS")),"+",""),"?"))))</f>
        <v/>
      </c>
      <c r="E28" s="13">
        <f>IF(OR($A28="",E$5=""),"",IF(OR(AND(INDEX(TekFra,13)&gt;0,E$5&lt;INDEX(TekFra,13)),AND(INDEX(TekTil,13)&gt;0,E$5&gt;INDEX(TekTil,13))),"",IF(COUNTIFS(TF_Nokkel,$A28&amp;"|"&amp;E$5)=0,IF(E$8&lt;&gt;"","LMS",""),IFERROR(IF(SUMIFS(TF_Timer,TF_Nokkel,$A28&amp;"|"&amp;E$5,TF_Akt,"LMS")+IF(E$8="",0,MAX(0,ROUND((E$11-SUMIFS(TF_Timer,TF_Nokkel,$A28&amp;"|"&amp;E$5))*2,0)/2))&gt;INDEX(TF_AktSum,MATCH($A28&amp;"|"&amp;E$5,TF_Dom,0)),"LMS",INDEX(AktKode,MATCH(INDEX(TF_Akt,MATCH($A28&amp;"|"&amp;E$5,TF_Dom,0)),Aktiviteter,0)))&amp;IF(OR(COUNTIFS(TF_Nokkel,$A28&amp;"|"&amp;E$5,TF_Akt,"&lt;&gt;"&amp;INDEX(TF_Akt,MATCH($A28&amp;"|"&amp;E$5,TF_Dom,0)))&gt;0,AND(IF(E$8="",0,MAX(0,ROUND((E$11-SUMIFS(TF_Timer,TF_Nokkel,$A28&amp;"|"&amp;E$5))*2,0)/2))&gt;0,INDEX(TF_Akt,MATCH($A28&amp;"|"&amp;E$5,TF_Dom,0))&lt;&gt;"LMS")),"+",""),"?"))))</f>
        <v/>
      </c>
      <c r="F28" s="13">
        <f>IF(OR($A28="",F$5=""),"",IF(OR(AND(INDEX(TekFra,13)&gt;0,F$5&lt;INDEX(TekFra,13)),AND(INDEX(TekTil,13)&gt;0,F$5&gt;INDEX(TekTil,13))),"",IF(COUNTIFS(TF_Nokkel,$A28&amp;"|"&amp;F$5)=0,IF(F$8&lt;&gt;"","LMS",""),IFERROR(IF(SUMIFS(TF_Timer,TF_Nokkel,$A28&amp;"|"&amp;F$5,TF_Akt,"LMS")+IF(F$8="",0,MAX(0,ROUND((F$11-SUMIFS(TF_Timer,TF_Nokkel,$A28&amp;"|"&amp;F$5))*2,0)/2))&gt;INDEX(TF_AktSum,MATCH($A28&amp;"|"&amp;F$5,TF_Dom,0)),"LMS",INDEX(AktKode,MATCH(INDEX(TF_Akt,MATCH($A28&amp;"|"&amp;F$5,TF_Dom,0)),Aktiviteter,0)))&amp;IF(OR(COUNTIFS(TF_Nokkel,$A28&amp;"|"&amp;F$5,TF_Akt,"&lt;&gt;"&amp;INDEX(TF_Akt,MATCH($A28&amp;"|"&amp;F$5,TF_Dom,0)))&gt;0,AND(IF(F$8="",0,MAX(0,ROUND((F$11-SUMIFS(TF_Timer,TF_Nokkel,$A28&amp;"|"&amp;F$5))*2,0)/2))&gt;0,INDEX(TF_Akt,MATCH($A28&amp;"|"&amp;F$5,TF_Dom,0))&lt;&gt;"LMS")),"+",""),"?"))))</f>
        <v/>
      </c>
      <c r="G28" s="13">
        <f>IF(OR($A28="",G$5=""),"",IF(OR(AND(INDEX(TekFra,13)&gt;0,G$5&lt;INDEX(TekFra,13)),AND(INDEX(TekTil,13)&gt;0,G$5&gt;INDEX(TekTil,13))),"",IF(COUNTIFS(TF_Nokkel,$A28&amp;"|"&amp;G$5)=0,IF(G$8&lt;&gt;"","LMS",""),IFERROR(IF(SUMIFS(TF_Timer,TF_Nokkel,$A28&amp;"|"&amp;G$5,TF_Akt,"LMS")+IF(G$8="",0,MAX(0,ROUND((G$11-SUMIFS(TF_Timer,TF_Nokkel,$A28&amp;"|"&amp;G$5))*2,0)/2))&gt;INDEX(TF_AktSum,MATCH($A28&amp;"|"&amp;G$5,TF_Dom,0)),"LMS",INDEX(AktKode,MATCH(INDEX(TF_Akt,MATCH($A28&amp;"|"&amp;G$5,TF_Dom,0)),Aktiviteter,0)))&amp;IF(OR(COUNTIFS(TF_Nokkel,$A28&amp;"|"&amp;G$5,TF_Akt,"&lt;&gt;"&amp;INDEX(TF_Akt,MATCH($A28&amp;"|"&amp;G$5,TF_Dom,0)))&gt;0,AND(IF(G$8="",0,MAX(0,ROUND((G$11-SUMIFS(TF_Timer,TF_Nokkel,$A28&amp;"|"&amp;G$5))*2,0)/2))&gt;0,INDEX(TF_Akt,MATCH($A28&amp;"|"&amp;G$5,TF_Dom,0))&lt;&gt;"LMS")),"+",""),"?"))))</f>
        <v/>
      </c>
      <c r="H28" s="13">
        <f>IF(OR($A28="",H$5=""),"",IF(OR(AND(INDEX(TekFra,13)&gt;0,H$5&lt;INDEX(TekFra,13)),AND(INDEX(TekTil,13)&gt;0,H$5&gt;INDEX(TekTil,13))),"",IF(COUNTIFS(TF_Nokkel,$A28&amp;"|"&amp;H$5)=0,IF(H$8&lt;&gt;"","LMS",""),IFERROR(IF(SUMIFS(TF_Timer,TF_Nokkel,$A28&amp;"|"&amp;H$5,TF_Akt,"LMS")+IF(H$8="",0,MAX(0,ROUND((H$11-SUMIFS(TF_Timer,TF_Nokkel,$A28&amp;"|"&amp;H$5))*2,0)/2))&gt;INDEX(TF_AktSum,MATCH($A28&amp;"|"&amp;H$5,TF_Dom,0)),"LMS",INDEX(AktKode,MATCH(INDEX(TF_Akt,MATCH($A28&amp;"|"&amp;H$5,TF_Dom,0)),Aktiviteter,0)))&amp;IF(OR(COUNTIFS(TF_Nokkel,$A28&amp;"|"&amp;H$5,TF_Akt,"&lt;&gt;"&amp;INDEX(TF_Akt,MATCH($A28&amp;"|"&amp;H$5,TF_Dom,0)))&gt;0,AND(IF(H$8="",0,MAX(0,ROUND((H$11-SUMIFS(TF_Timer,TF_Nokkel,$A28&amp;"|"&amp;H$5))*2,0)/2))&gt;0,INDEX(TF_Akt,MATCH($A28&amp;"|"&amp;H$5,TF_Dom,0))&lt;&gt;"LMS")),"+",""),"?"))))</f>
        <v/>
      </c>
      <c r="I28" s="13">
        <f>IF(OR($A28="",I$5=""),"",IF(OR(AND(INDEX(TekFra,13)&gt;0,I$5&lt;INDEX(TekFra,13)),AND(INDEX(TekTil,13)&gt;0,I$5&gt;INDEX(TekTil,13))),"",IF(COUNTIFS(TF_Nokkel,$A28&amp;"|"&amp;I$5)=0,IF(I$8&lt;&gt;"","LMS",""),IFERROR(IF(SUMIFS(TF_Timer,TF_Nokkel,$A28&amp;"|"&amp;I$5,TF_Akt,"LMS")+IF(I$8="",0,MAX(0,ROUND((I$11-SUMIFS(TF_Timer,TF_Nokkel,$A28&amp;"|"&amp;I$5))*2,0)/2))&gt;INDEX(TF_AktSum,MATCH($A28&amp;"|"&amp;I$5,TF_Dom,0)),"LMS",INDEX(AktKode,MATCH(INDEX(TF_Akt,MATCH($A28&amp;"|"&amp;I$5,TF_Dom,0)),Aktiviteter,0)))&amp;IF(OR(COUNTIFS(TF_Nokkel,$A28&amp;"|"&amp;I$5,TF_Akt,"&lt;&gt;"&amp;INDEX(TF_Akt,MATCH($A28&amp;"|"&amp;I$5,TF_Dom,0)))&gt;0,AND(IF(I$8="",0,MAX(0,ROUND((I$11-SUMIFS(TF_Timer,TF_Nokkel,$A28&amp;"|"&amp;I$5))*2,0)/2))&gt;0,INDEX(TF_Akt,MATCH($A28&amp;"|"&amp;I$5,TF_Dom,0))&lt;&gt;"LMS")),"+",""),"?"))))</f>
        <v/>
      </c>
      <c r="J28" s="13">
        <f>IF(OR($A28="",J$5=""),"",IF(OR(AND(INDEX(TekFra,13)&gt;0,J$5&lt;INDEX(TekFra,13)),AND(INDEX(TekTil,13)&gt;0,J$5&gt;INDEX(TekTil,13))),"",IF(COUNTIFS(TF_Nokkel,$A28&amp;"|"&amp;J$5)=0,IF(J$8&lt;&gt;"","LMS",""),IFERROR(IF(SUMIFS(TF_Timer,TF_Nokkel,$A28&amp;"|"&amp;J$5,TF_Akt,"LMS")+IF(J$8="",0,MAX(0,ROUND((J$11-SUMIFS(TF_Timer,TF_Nokkel,$A28&amp;"|"&amp;J$5))*2,0)/2))&gt;INDEX(TF_AktSum,MATCH($A28&amp;"|"&amp;J$5,TF_Dom,0)),"LMS",INDEX(AktKode,MATCH(INDEX(TF_Akt,MATCH($A28&amp;"|"&amp;J$5,TF_Dom,0)),Aktiviteter,0)))&amp;IF(OR(COUNTIFS(TF_Nokkel,$A28&amp;"|"&amp;J$5,TF_Akt,"&lt;&gt;"&amp;INDEX(TF_Akt,MATCH($A28&amp;"|"&amp;J$5,TF_Dom,0)))&gt;0,AND(IF(J$8="",0,MAX(0,ROUND((J$11-SUMIFS(TF_Timer,TF_Nokkel,$A28&amp;"|"&amp;J$5))*2,0)/2))&gt;0,INDEX(TF_Akt,MATCH($A28&amp;"|"&amp;J$5,TF_Dom,0))&lt;&gt;"LMS")),"+",""),"?"))))</f>
        <v/>
      </c>
      <c r="K28" s="13">
        <f>IF(OR($A28="",K$5=""),"",IF(OR(AND(INDEX(TekFra,13)&gt;0,K$5&lt;INDEX(TekFra,13)),AND(INDEX(TekTil,13)&gt;0,K$5&gt;INDEX(TekTil,13))),"",IF(COUNTIFS(TF_Nokkel,$A28&amp;"|"&amp;K$5)=0,IF(K$8&lt;&gt;"","LMS",""),IFERROR(IF(SUMIFS(TF_Timer,TF_Nokkel,$A28&amp;"|"&amp;K$5,TF_Akt,"LMS")+IF(K$8="",0,MAX(0,ROUND((K$11-SUMIFS(TF_Timer,TF_Nokkel,$A28&amp;"|"&amp;K$5))*2,0)/2))&gt;INDEX(TF_AktSum,MATCH($A28&amp;"|"&amp;K$5,TF_Dom,0)),"LMS",INDEX(AktKode,MATCH(INDEX(TF_Akt,MATCH($A28&amp;"|"&amp;K$5,TF_Dom,0)),Aktiviteter,0)))&amp;IF(OR(COUNTIFS(TF_Nokkel,$A28&amp;"|"&amp;K$5,TF_Akt,"&lt;&gt;"&amp;INDEX(TF_Akt,MATCH($A28&amp;"|"&amp;K$5,TF_Dom,0)))&gt;0,AND(IF(K$8="",0,MAX(0,ROUND((K$11-SUMIFS(TF_Timer,TF_Nokkel,$A28&amp;"|"&amp;K$5))*2,0)/2))&gt;0,INDEX(TF_Akt,MATCH($A28&amp;"|"&amp;K$5,TF_Dom,0))&lt;&gt;"LMS")),"+",""),"?"))))</f>
        <v/>
      </c>
      <c r="L28" s="13">
        <f>IF(OR($A28="",L$5=""),"",IF(OR(AND(INDEX(TekFra,13)&gt;0,L$5&lt;INDEX(TekFra,13)),AND(INDEX(TekTil,13)&gt;0,L$5&gt;INDEX(TekTil,13))),"",IF(COUNTIFS(TF_Nokkel,$A28&amp;"|"&amp;L$5)=0,IF(L$8&lt;&gt;"","LMS",""),IFERROR(IF(SUMIFS(TF_Timer,TF_Nokkel,$A28&amp;"|"&amp;L$5,TF_Akt,"LMS")+IF(L$8="",0,MAX(0,ROUND((L$11-SUMIFS(TF_Timer,TF_Nokkel,$A28&amp;"|"&amp;L$5))*2,0)/2))&gt;INDEX(TF_AktSum,MATCH($A28&amp;"|"&amp;L$5,TF_Dom,0)),"LMS",INDEX(AktKode,MATCH(INDEX(TF_Akt,MATCH($A28&amp;"|"&amp;L$5,TF_Dom,0)),Aktiviteter,0)))&amp;IF(OR(COUNTIFS(TF_Nokkel,$A28&amp;"|"&amp;L$5,TF_Akt,"&lt;&gt;"&amp;INDEX(TF_Akt,MATCH($A28&amp;"|"&amp;L$5,TF_Dom,0)))&gt;0,AND(IF(L$8="",0,MAX(0,ROUND((L$11-SUMIFS(TF_Timer,TF_Nokkel,$A28&amp;"|"&amp;L$5))*2,0)/2))&gt;0,INDEX(TF_Akt,MATCH($A28&amp;"|"&amp;L$5,TF_Dom,0))&lt;&gt;"LMS")),"+",""),"?"))))</f>
        <v/>
      </c>
      <c r="M28" s="13">
        <f>IF(OR($A28="",M$5=""),"",IF(OR(AND(INDEX(TekFra,13)&gt;0,M$5&lt;INDEX(TekFra,13)),AND(INDEX(TekTil,13)&gt;0,M$5&gt;INDEX(TekTil,13))),"",IF(COUNTIFS(TF_Nokkel,$A28&amp;"|"&amp;M$5)=0,IF(M$8&lt;&gt;"","LMS",""),IFERROR(IF(SUMIFS(TF_Timer,TF_Nokkel,$A28&amp;"|"&amp;M$5,TF_Akt,"LMS")+IF(M$8="",0,MAX(0,ROUND((M$11-SUMIFS(TF_Timer,TF_Nokkel,$A28&amp;"|"&amp;M$5))*2,0)/2))&gt;INDEX(TF_AktSum,MATCH($A28&amp;"|"&amp;M$5,TF_Dom,0)),"LMS",INDEX(AktKode,MATCH(INDEX(TF_Akt,MATCH($A28&amp;"|"&amp;M$5,TF_Dom,0)),Aktiviteter,0)))&amp;IF(OR(COUNTIFS(TF_Nokkel,$A28&amp;"|"&amp;M$5,TF_Akt,"&lt;&gt;"&amp;INDEX(TF_Akt,MATCH($A28&amp;"|"&amp;M$5,TF_Dom,0)))&gt;0,AND(IF(M$8="",0,MAX(0,ROUND((M$11-SUMIFS(TF_Timer,TF_Nokkel,$A28&amp;"|"&amp;M$5))*2,0)/2))&gt;0,INDEX(TF_Akt,MATCH($A28&amp;"|"&amp;M$5,TF_Dom,0))&lt;&gt;"LMS")),"+",""),"?"))))</f>
        <v/>
      </c>
      <c r="N28" s="13">
        <f>IF(OR($A28="",N$5=""),"",IF(OR(AND(INDEX(TekFra,13)&gt;0,N$5&lt;INDEX(TekFra,13)),AND(INDEX(TekTil,13)&gt;0,N$5&gt;INDEX(TekTil,13))),"",IF(COUNTIFS(TF_Nokkel,$A28&amp;"|"&amp;N$5)=0,IF(N$8&lt;&gt;"","LMS",""),IFERROR(IF(SUMIFS(TF_Timer,TF_Nokkel,$A28&amp;"|"&amp;N$5,TF_Akt,"LMS")+IF(N$8="",0,MAX(0,ROUND((N$11-SUMIFS(TF_Timer,TF_Nokkel,$A28&amp;"|"&amp;N$5))*2,0)/2))&gt;INDEX(TF_AktSum,MATCH($A28&amp;"|"&amp;N$5,TF_Dom,0)),"LMS",INDEX(AktKode,MATCH(INDEX(TF_Akt,MATCH($A28&amp;"|"&amp;N$5,TF_Dom,0)),Aktiviteter,0)))&amp;IF(OR(COUNTIFS(TF_Nokkel,$A28&amp;"|"&amp;N$5,TF_Akt,"&lt;&gt;"&amp;INDEX(TF_Akt,MATCH($A28&amp;"|"&amp;N$5,TF_Dom,0)))&gt;0,AND(IF(N$8="",0,MAX(0,ROUND((N$11-SUMIFS(TF_Timer,TF_Nokkel,$A28&amp;"|"&amp;N$5))*2,0)/2))&gt;0,INDEX(TF_Akt,MATCH($A28&amp;"|"&amp;N$5,TF_Dom,0))&lt;&gt;"LMS")),"+",""),"?"))))</f>
        <v/>
      </c>
      <c r="O28" s="13">
        <f>IF(OR($A28="",O$5=""),"",IF(OR(AND(INDEX(TekFra,13)&gt;0,O$5&lt;INDEX(TekFra,13)),AND(INDEX(TekTil,13)&gt;0,O$5&gt;INDEX(TekTil,13))),"",IF(COUNTIFS(TF_Nokkel,$A28&amp;"|"&amp;O$5)=0,IF(O$8&lt;&gt;"","LMS",""),IFERROR(IF(SUMIFS(TF_Timer,TF_Nokkel,$A28&amp;"|"&amp;O$5,TF_Akt,"LMS")+IF(O$8="",0,MAX(0,ROUND((O$11-SUMIFS(TF_Timer,TF_Nokkel,$A28&amp;"|"&amp;O$5))*2,0)/2))&gt;INDEX(TF_AktSum,MATCH($A28&amp;"|"&amp;O$5,TF_Dom,0)),"LMS",INDEX(AktKode,MATCH(INDEX(TF_Akt,MATCH($A28&amp;"|"&amp;O$5,TF_Dom,0)),Aktiviteter,0)))&amp;IF(OR(COUNTIFS(TF_Nokkel,$A28&amp;"|"&amp;O$5,TF_Akt,"&lt;&gt;"&amp;INDEX(TF_Akt,MATCH($A28&amp;"|"&amp;O$5,TF_Dom,0)))&gt;0,AND(IF(O$8="",0,MAX(0,ROUND((O$11-SUMIFS(TF_Timer,TF_Nokkel,$A28&amp;"|"&amp;O$5))*2,0)/2))&gt;0,INDEX(TF_Akt,MATCH($A28&amp;"|"&amp;O$5,TF_Dom,0))&lt;&gt;"LMS")),"+",""),"?"))))</f>
        <v/>
      </c>
      <c r="P28" s="13">
        <f>IF(OR($A28="",P$5=""),"",IF(OR(AND(INDEX(TekFra,13)&gt;0,P$5&lt;INDEX(TekFra,13)),AND(INDEX(TekTil,13)&gt;0,P$5&gt;INDEX(TekTil,13))),"",IF(COUNTIFS(TF_Nokkel,$A28&amp;"|"&amp;P$5)=0,IF(P$8&lt;&gt;"","LMS",""),IFERROR(IF(SUMIFS(TF_Timer,TF_Nokkel,$A28&amp;"|"&amp;P$5,TF_Akt,"LMS")+IF(P$8="",0,MAX(0,ROUND((P$11-SUMIFS(TF_Timer,TF_Nokkel,$A28&amp;"|"&amp;P$5))*2,0)/2))&gt;INDEX(TF_AktSum,MATCH($A28&amp;"|"&amp;P$5,TF_Dom,0)),"LMS",INDEX(AktKode,MATCH(INDEX(TF_Akt,MATCH($A28&amp;"|"&amp;P$5,TF_Dom,0)),Aktiviteter,0)))&amp;IF(OR(COUNTIFS(TF_Nokkel,$A28&amp;"|"&amp;P$5,TF_Akt,"&lt;&gt;"&amp;INDEX(TF_Akt,MATCH($A28&amp;"|"&amp;P$5,TF_Dom,0)))&gt;0,AND(IF(P$8="",0,MAX(0,ROUND((P$11-SUMIFS(TF_Timer,TF_Nokkel,$A28&amp;"|"&amp;P$5))*2,0)/2))&gt;0,INDEX(TF_Akt,MATCH($A28&amp;"|"&amp;P$5,TF_Dom,0))&lt;&gt;"LMS")),"+",""),"?"))))</f>
        <v/>
      </c>
      <c r="Q28" s="13">
        <f>IF(OR($A28="",Q$5=""),"",IF(OR(AND(INDEX(TekFra,13)&gt;0,Q$5&lt;INDEX(TekFra,13)),AND(INDEX(TekTil,13)&gt;0,Q$5&gt;INDEX(TekTil,13))),"",IF(COUNTIFS(TF_Nokkel,$A28&amp;"|"&amp;Q$5)=0,IF(Q$8&lt;&gt;"","LMS",""),IFERROR(IF(SUMIFS(TF_Timer,TF_Nokkel,$A28&amp;"|"&amp;Q$5,TF_Akt,"LMS")+IF(Q$8="",0,MAX(0,ROUND((Q$11-SUMIFS(TF_Timer,TF_Nokkel,$A28&amp;"|"&amp;Q$5))*2,0)/2))&gt;INDEX(TF_AktSum,MATCH($A28&amp;"|"&amp;Q$5,TF_Dom,0)),"LMS",INDEX(AktKode,MATCH(INDEX(TF_Akt,MATCH($A28&amp;"|"&amp;Q$5,TF_Dom,0)),Aktiviteter,0)))&amp;IF(OR(COUNTIFS(TF_Nokkel,$A28&amp;"|"&amp;Q$5,TF_Akt,"&lt;&gt;"&amp;INDEX(TF_Akt,MATCH($A28&amp;"|"&amp;Q$5,TF_Dom,0)))&gt;0,AND(IF(Q$8="",0,MAX(0,ROUND((Q$11-SUMIFS(TF_Timer,TF_Nokkel,$A28&amp;"|"&amp;Q$5))*2,0)/2))&gt;0,INDEX(TF_Akt,MATCH($A28&amp;"|"&amp;Q$5,TF_Dom,0))&lt;&gt;"LMS")),"+",""),"?"))))</f>
        <v/>
      </c>
      <c r="R28" s="13">
        <f>IF(OR($A28="",R$5=""),"",IF(OR(AND(INDEX(TekFra,13)&gt;0,R$5&lt;INDEX(TekFra,13)),AND(INDEX(TekTil,13)&gt;0,R$5&gt;INDEX(TekTil,13))),"",IF(COUNTIFS(TF_Nokkel,$A28&amp;"|"&amp;R$5)=0,IF(R$8&lt;&gt;"","LMS",""),IFERROR(IF(SUMIFS(TF_Timer,TF_Nokkel,$A28&amp;"|"&amp;R$5,TF_Akt,"LMS")+IF(R$8="",0,MAX(0,ROUND((R$11-SUMIFS(TF_Timer,TF_Nokkel,$A28&amp;"|"&amp;R$5))*2,0)/2))&gt;INDEX(TF_AktSum,MATCH($A28&amp;"|"&amp;R$5,TF_Dom,0)),"LMS",INDEX(AktKode,MATCH(INDEX(TF_Akt,MATCH($A28&amp;"|"&amp;R$5,TF_Dom,0)),Aktiviteter,0)))&amp;IF(OR(COUNTIFS(TF_Nokkel,$A28&amp;"|"&amp;R$5,TF_Akt,"&lt;&gt;"&amp;INDEX(TF_Akt,MATCH($A28&amp;"|"&amp;R$5,TF_Dom,0)))&gt;0,AND(IF(R$8="",0,MAX(0,ROUND((R$11-SUMIFS(TF_Timer,TF_Nokkel,$A28&amp;"|"&amp;R$5))*2,0)/2))&gt;0,INDEX(TF_Akt,MATCH($A28&amp;"|"&amp;R$5,TF_Dom,0))&lt;&gt;"LMS")),"+",""),"?"))))</f>
        <v/>
      </c>
      <c r="S28" s="13">
        <f>IF(OR($A28="",S$5=""),"",IF(OR(AND(INDEX(TekFra,13)&gt;0,S$5&lt;INDEX(TekFra,13)),AND(INDEX(TekTil,13)&gt;0,S$5&gt;INDEX(TekTil,13))),"",IF(COUNTIFS(TF_Nokkel,$A28&amp;"|"&amp;S$5)=0,IF(S$8&lt;&gt;"","LMS",""),IFERROR(IF(SUMIFS(TF_Timer,TF_Nokkel,$A28&amp;"|"&amp;S$5,TF_Akt,"LMS")+IF(S$8="",0,MAX(0,ROUND((S$11-SUMIFS(TF_Timer,TF_Nokkel,$A28&amp;"|"&amp;S$5))*2,0)/2))&gt;INDEX(TF_AktSum,MATCH($A28&amp;"|"&amp;S$5,TF_Dom,0)),"LMS",INDEX(AktKode,MATCH(INDEX(TF_Akt,MATCH($A28&amp;"|"&amp;S$5,TF_Dom,0)),Aktiviteter,0)))&amp;IF(OR(COUNTIFS(TF_Nokkel,$A28&amp;"|"&amp;S$5,TF_Akt,"&lt;&gt;"&amp;INDEX(TF_Akt,MATCH($A28&amp;"|"&amp;S$5,TF_Dom,0)))&gt;0,AND(IF(S$8="",0,MAX(0,ROUND((S$11-SUMIFS(TF_Timer,TF_Nokkel,$A28&amp;"|"&amp;S$5))*2,0)/2))&gt;0,INDEX(TF_Akt,MATCH($A28&amp;"|"&amp;S$5,TF_Dom,0))&lt;&gt;"LMS")),"+",""),"?"))))</f>
        <v/>
      </c>
      <c r="T28" s="13">
        <f>IF(OR($A28="",T$5=""),"",IF(OR(AND(INDEX(TekFra,13)&gt;0,T$5&lt;INDEX(TekFra,13)),AND(INDEX(TekTil,13)&gt;0,T$5&gt;INDEX(TekTil,13))),"",IF(COUNTIFS(TF_Nokkel,$A28&amp;"|"&amp;T$5)=0,IF(T$8&lt;&gt;"","LMS",""),IFERROR(IF(SUMIFS(TF_Timer,TF_Nokkel,$A28&amp;"|"&amp;T$5,TF_Akt,"LMS")+IF(T$8="",0,MAX(0,ROUND((T$11-SUMIFS(TF_Timer,TF_Nokkel,$A28&amp;"|"&amp;T$5))*2,0)/2))&gt;INDEX(TF_AktSum,MATCH($A28&amp;"|"&amp;T$5,TF_Dom,0)),"LMS",INDEX(AktKode,MATCH(INDEX(TF_Akt,MATCH($A28&amp;"|"&amp;T$5,TF_Dom,0)),Aktiviteter,0)))&amp;IF(OR(COUNTIFS(TF_Nokkel,$A28&amp;"|"&amp;T$5,TF_Akt,"&lt;&gt;"&amp;INDEX(TF_Akt,MATCH($A28&amp;"|"&amp;T$5,TF_Dom,0)))&gt;0,AND(IF(T$8="",0,MAX(0,ROUND((T$11-SUMIFS(TF_Timer,TF_Nokkel,$A28&amp;"|"&amp;T$5))*2,0)/2))&gt;0,INDEX(TF_Akt,MATCH($A28&amp;"|"&amp;T$5,TF_Dom,0))&lt;&gt;"LMS")),"+",""),"?"))))</f>
        <v/>
      </c>
      <c r="U28" s="13">
        <f>IF(OR($A28="",U$5=""),"",IF(OR(AND(INDEX(TekFra,13)&gt;0,U$5&lt;INDEX(TekFra,13)),AND(INDEX(TekTil,13)&gt;0,U$5&gt;INDEX(TekTil,13))),"",IF(COUNTIFS(TF_Nokkel,$A28&amp;"|"&amp;U$5)=0,IF(U$8&lt;&gt;"","LMS",""),IFERROR(IF(SUMIFS(TF_Timer,TF_Nokkel,$A28&amp;"|"&amp;U$5,TF_Akt,"LMS")+IF(U$8="",0,MAX(0,ROUND((U$11-SUMIFS(TF_Timer,TF_Nokkel,$A28&amp;"|"&amp;U$5))*2,0)/2))&gt;INDEX(TF_AktSum,MATCH($A28&amp;"|"&amp;U$5,TF_Dom,0)),"LMS",INDEX(AktKode,MATCH(INDEX(TF_Akt,MATCH($A28&amp;"|"&amp;U$5,TF_Dom,0)),Aktiviteter,0)))&amp;IF(OR(COUNTIFS(TF_Nokkel,$A28&amp;"|"&amp;U$5,TF_Akt,"&lt;&gt;"&amp;INDEX(TF_Akt,MATCH($A28&amp;"|"&amp;U$5,TF_Dom,0)))&gt;0,AND(IF(U$8="",0,MAX(0,ROUND((U$11-SUMIFS(TF_Timer,TF_Nokkel,$A28&amp;"|"&amp;U$5))*2,0)/2))&gt;0,INDEX(TF_Akt,MATCH($A28&amp;"|"&amp;U$5,TF_Dom,0))&lt;&gt;"LMS")),"+",""),"?"))))</f>
        <v/>
      </c>
      <c r="V28" s="13">
        <f>IF(OR($A28="",V$5=""),"",IF(OR(AND(INDEX(TekFra,13)&gt;0,V$5&lt;INDEX(TekFra,13)),AND(INDEX(TekTil,13)&gt;0,V$5&gt;INDEX(TekTil,13))),"",IF(COUNTIFS(TF_Nokkel,$A28&amp;"|"&amp;V$5)=0,IF(V$8&lt;&gt;"","LMS",""),IFERROR(IF(SUMIFS(TF_Timer,TF_Nokkel,$A28&amp;"|"&amp;V$5,TF_Akt,"LMS")+IF(V$8="",0,MAX(0,ROUND((V$11-SUMIFS(TF_Timer,TF_Nokkel,$A28&amp;"|"&amp;V$5))*2,0)/2))&gt;INDEX(TF_AktSum,MATCH($A28&amp;"|"&amp;V$5,TF_Dom,0)),"LMS",INDEX(AktKode,MATCH(INDEX(TF_Akt,MATCH($A28&amp;"|"&amp;V$5,TF_Dom,0)),Aktiviteter,0)))&amp;IF(OR(COUNTIFS(TF_Nokkel,$A28&amp;"|"&amp;V$5,TF_Akt,"&lt;&gt;"&amp;INDEX(TF_Akt,MATCH($A28&amp;"|"&amp;V$5,TF_Dom,0)))&gt;0,AND(IF(V$8="",0,MAX(0,ROUND((V$11-SUMIFS(TF_Timer,TF_Nokkel,$A28&amp;"|"&amp;V$5))*2,0)/2))&gt;0,INDEX(TF_Akt,MATCH($A28&amp;"|"&amp;V$5,TF_Dom,0))&lt;&gt;"LMS")),"+",""),"?"))))</f>
        <v/>
      </c>
      <c r="W28" s="13">
        <f>IF(OR($A28="",W$5=""),"",IF(OR(AND(INDEX(TekFra,13)&gt;0,W$5&lt;INDEX(TekFra,13)),AND(INDEX(TekTil,13)&gt;0,W$5&gt;INDEX(TekTil,13))),"",IF(COUNTIFS(TF_Nokkel,$A28&amp;"|"&amp;W$5)=0,IF(W$8&lt;&gt;"","LMS",""),IFERROR(IF(SUMIFS(TF_Timer,TF_Nokkel,$A28&amp;"|"&amp;W$5,TF_Akt,"LMS")+IF(W$8="",0,MAX(0,ROUND((W$11-SUMIFS(TF_Timer,TF_Nokkel,$A28&amp;"|"&amp;W$5))*2,0)/2))&gt;INDEX(TF_AktSum,MATCH($A28&amp;"|"&amp;W$5,TF_Dom,0)),"LMS",INDEX(AktKode,MATCH(INDEX(TF_Akt,MATCH($A28&amp;"|"&amp;W$5,TF_Dom,0)),Aktiviteter,0)))&amp;IF(OR(COUNTIFS(TF_Nokkel,$A28&amp;"|"&amp;W$5,TF_Akt,"&lt;&gt;"&amp;INDEX(TF_Akt,MATCH($A28&amp;"|"&amp;W$5,TF_Dom,0)))&gt;0,AND(IF(W$8="",0,MAX(0,ROUND((W$11-SUMIFS(TF_Timer,TF_Nokkel,$A28&amp;"|"&amp;W$5))*2,0)/2))&gt;0,INDEX(TF_Akt,MATCH($A28&amp;"|"&amp;W$5,TF_Dom,0))&lt;&gt;"LMS")),"+",""),"?"))))</f>
        <v/>
      </c>
      <c r="X28" s="13">
        <f>IF(OR($A28="",X$5=""),"",IF(OR(AND(INDEX(TekFra,13)&gt;0,X$5&lt;INDEX(TekFra,13)),AND(INDEX(TekTil,13)&gt;0,X$5&gt;INDEX(TekTil,13))),"",IF(COUNTIFS(TF_Nokkel,$A28&amp;"|"&amp;X$5)=0,IF(X$8&lt;&gt;"","LMS",""),IFERROR(IF(SUMIFS(TF_Timer,TF_Nokkel,$A28&amp;"|"&amp;X$5,TF_Akt,"LMS")+IF(X$8="",0,MAX(0,ROUND((X$11-SUMIFS(TF_Timer,TF_Nokkel,$A28&amp;"|"&amp;X$5))*2,0)/2))&gt;INDEX(TF_AktSum,MATCH($A28&amp;"|"&amp;X$5,TF_Dom,0)),"LMS",INDEX(AktKode,MATCH(INDEX(TF_Akt,MATCH($A28&amp;"|"&amp;X$5,TF_Dom,0)),Aktiviteter,0)))&amp;IF(OR(COUNTIFS(TF_Nokkel,$A28&amp;"|"&amp;X$5,TF_Akt,"&lt;&gt;"&amp;INDEX(TF_Akt,MATCH($A28&amp;"|"&amp;X$5,TF_Dom,0)))&gt;0,AND(IF(X$8="",0,MAX(0,ROUND((X$11-SUMIFS(TF_Timer,TF_Nokkel,$A28&amp;"|"&amp;X$5))*2,0)/2))&gt;0,INDEX(TF_Akt,MATCH($A28&amp;"|"&amp;X$5,TF_Dom,0))&lt;&gt;"LMS")),"+",""),"?"))))</f>
        <v/>
      </c>
      <c r="Y28" s="13">
        <f>IF(OR($A28="",Y$5=""),"",IF(OR(AND(INDEX(TekFra,13)&gt;0,Y$5&lt;INDEX(TekFra,13)),AND(INDEX(TekTil,13)&gt;0,Y$5&gt;INDEX(TekTil,13))),"",IF(COUNTIFS(TF_Nokkel,$A28&amp;"|"&amp;Y$5)=0,IF(Y$8&lt;&gt;"","LMS",""),IFERROR(IF(SUMIFS(TF_Timer,TF_Nokkel,$A28&amp;"|"&amp;Y$5,TF_Akt,"LMS")+IF(Y$8="",0,MAX(0,ROUND((Y$11-SUMIFS(TF_Timer,TF_Nokkel,$A28&amp;"|"&amp;Y$5))*2,0)/2))&gt;INDEX(TF_AktSum,MATCH($A28&amp;"|"&amp;Y$5,TF_Dom,0)),"LMS",INDEX(AktKode,MATCH(INDEX(TF_Akt,MATCH($A28&amp;"|"&amp;Y$5,TF_Dom,0)),Aktiviteter,0)))&amp;IF(OR(COUNTIFS(TF_Nokkel,$A28&amp;"|"&amp;Y$5,TF_Akt,"&lt;&gt;"&amp;INDEX(TF_Akt,MATCH($A28&amp;"|"&amp;Y$5,TF_Dom,0)))&gt;0,AND(IF(Y$8="",0,MAX(0,ROUND((Y$11-SUMIFS(TF_Timer,TF_Nokkel,$A28&amp;"|"&amp;Y$5))*2,0)/2))&gt;0,INDEX(TF_Akt,MATCH($A28&amp;"|"&amp;Y$5,TF_Dom,0))&lt;&gt;"LMS")),"+",""),"?"))))</f>
        <v/>
      </c>
      <c r="Z28" s="13">
        <f>IF(OR($A28="",Z$5=""),"",IF(OR(AND(INDEX(TekFra,13)&gt;0,Z$5&lt;INDEX(TekFra,13)),AND(INDEX(TekTil,13)&gt;0,Z$5&gt;INDEX(TekTil,13))),"",IF(COUNTIFS(TF_Nokkel,$A28&amp;"|"&amp;Z$5)=0,IF(Z$8&lt;&gt;"","LMS",""),IFERROR(IF(SUMIFS(TF_Timer,TF_Nokkel,$A28&amp;"|"&amp;Z$5,TF_Akt,"LMS")+IF(Z$8="",0,MAX(0,ROUND((Z$11-SUMIFS(TF_Timer,TF_Nokkel,$A28&amp;"|"&amp;Z$5))*2,0)/2))&gt;INDEX(TF_AktSum,MATCH($A28&amp;"|"&amp;Z$5,TF_Dom,0)),"LMS",INDEX(AktKode,MATCH(INDEX(TF_Akt,MATCH($A28&amp;"|"&amp;Z$5,TF_Dom,0)),Aktiviteter,0)))&amp;IF(OR(COUNTIFS(TF_Nokkel,$A28&amp;"|"&amp;Z$5,TF_Akt,"&lt;&gt;"&amp;INDEX(TF_Akt,MATCH($A28&amp;"|"&amp;Z$5,TF_Dom,0)))&gt;0,AND(IF(Z$8="",0,MAX(0,ROUND((Z$11-SUMIFS(TF_Timer,TF_Nokkel,$A28&amp;"|"&amp;Z$5))*2,0)/2))&gt;0,INDEX(TF_Akt,MATCH($A28&amp;"|"&amp;Z$5,TF_Dom,0))&lt;&gt;"LMS")),"+",""),"?"))))</f>
        <v/>
      </c>
      <c r="AA28" s="13">
        <f>IF(OR($A28="",AA$5=""),"",IF(OR(AND(INDEX(TekFra,13)&gt;0,AA$5&lt;INDEX(TekFra,13)),AND(INDEX(TekTil,13)&gt;0,AA$5&gt;INDEX(TekTil,13))),"",IF(COUNTIFS(TF_Nokkel,$A28&amp;"|"&amp;AA$5)=0,IF(AA$8&lt;&gt;"","LMS",""),IFERROR(IF(SUMIFS(TF_Timer,TF_Nokkel,$A28&amp;"|"&amp;AA$5,TF_Akt,"LMS")+IF(AA$8="",0,MAX(0,ROUND((AA$11-SUMIFS(TF_Timer,TF_Nokkel,$A28&amp;"|"&amp;AA$5))*2,0)/2))&gt;INDEX(TF_AktSum,MATCH($A28&amp;"|"&amp;AA$5,TF_Dom,0)),"LMS",INDEX(AktKode,MATCH(INDEX(TF_Akt,MATCH($A28&amp;"|"&amp;AA$5,TF_Dom,0)),Aktiviteter,0)))&amp;IF(OR(COUNTIFS(TF_Nokkel,$A28&amp;"|"&amp;AA$5,TF_Akt,"&lt;&gt;"&amp;INDEX(TF_Akt,MATCH($A28&amp;"|"&amp;AA$5,TF_Dom,0)))&gt;0,AND(IF(AA$8="",0,MAX(0,ROUND((AA$11-SUMIFS(TF_Timer,TF_Nokkel,$A28&amp;"|"&amp;AA$5))*2,0)/2))&gt;0,INDEX(TF_Akt,MATCH($A28&amp;"|"&amp;AA$5,TF_Dom,0))&lt;&gt;"LMS")),"+",""),"?"))))</f>
        <v/>
      </c>
      <c r="AB28" s="13">
        <f>IF(OR($A28="",AB$5=""),"",IF(OR(AND(INDEX(TekFra,13)&gt;0,AB$5&lt;INDEX(TekFra,13)),AND(INDEX(TekTil,13)&gt;0,AB$5&gt;INDEX(TekTil,13))),"",IF(COUNTIFS(TF_Nokkel,$A28&amp;"|"&amp;AB$5)=0,IF(AB$8&lt;&gt;"","LMS",""),IFERROR(IF(SUMIFS(TF_Timer,TF_Nokkel,$A28&amp;"|"&amp;AB$5,TF_Akt,"LMS")+IF(AB$8="",0,MAX(0,ROUND((AB$11-SUMIFS(TF_Timer,TF_Nokkel,$A28&amp;"|"&amp;AB$5))*2,0)/2))&gt;INDEX(TF_AktSum,MATCH($A28&amp;"|"&amp;AB$5,TF_Dom,0)),"LMS",INDEX(AktKode,MATCH(INDEX(TF_Akt,MATCH($A28&amp;"|"&amp;AB$5,TF_Dom,0)),Aktiviteter,0)))&amp;IF(OR(COUNTIFS(TF_Nokkel,$A28&amp;"|"&amp;AB$5,TF_Akt,"&lt;&gt;"&amp;INDEX(TF_Akt,MATCH($A28&amp;"|"&amp;AB$5,TF_Dom,0)))&gt;0,AND(IF(AB$8="",0,MAX(0,ROUND((AB$11-SUMIFS(TF_Timer,TF_Nokkel,$A28&amp;"|"&amp;AB$5))*2,0)/2))&gt;0,INDEX(TF_Akt,MATCH($A28&amp;"|"&amp;AB$5,TF_Dom,0))&lt;&gt;"LMS")),"+",""),"?"))))</f>
        <v/>
      </c>
      <c r="AC28" s="13">
        <f>IF(OR($A28="",AC$5=""),"",IF(OR(AND(INDEX(TekFra,13)&gt;0,AC$5&lt;INDEX(TekFra,13)),AND(INDEX(TekTil,13)&gt;0,AC$5&gt;INDEX(TekTil,13))),"",IF(COUNTIFS(TF_Nokkel,$A28&amp;"|"&amp;AC$5)=0,IF(AC$8&lt;&gt;"","LMS",""),IFERROR(IF(SUMIFS(TF_Timer,TF_Nokkel,$A28&amp;"|"&amp;AC$5,TF_Akt,"LMS")+IF(AC$8="",0,MAX(0,ROUND((AC$11-SUMIFS(TF_Timer,TF_Nokkel,$A28&amp;"|"&amp;AC$5))*2,0)/2))&gt;INDEX(TF_AktSum,MATCH($A28&amp;"|"&amp;AC$5,TF_Dom,0)),"LMS",INDEX(AktKode,MATCH(INDEX(TF_Akt,MATCH($A28&amp;"|"&amp;AC$5,TF_Dom,0)),Aktiviteter,0)))&amp;IF(OR(COUNTIFS(TF_Nokkel,$A28&amp;"|"&amp;AC$5,TF_Akt,"&lt;&gt;"&amp;INDEX(TF_Akt,MATCH($A28&amp;"|"&amp;AC$5,TF_Dom,0)))&gt;0,AND(IF(AC$8="",0,MAX(0,ROUND((AC$11-SUMIFS(TF_Timer,TF_Nokkel,$A28&amp;"|"&amp;AC$5))*2,0)/2))&gt;0,INDEX(TF_Akt,MATCH($A28&amp;"|"&amp;AC$5,TF_Dom,0))&lt;&gt;"LMS")),"+",""),"?"))))</f>
        <v/>
      </c>
      <c r="AD28" s="13">
        <f>IF(OR($A28="",AD$5=""),"",IF(OR(AND(INDEX(TekFra,13)&gt;0,AD$5&lt;INDEX(TekFra,13)),AND(INDEX(TekTil,13)&gt;0,AD$5&gt;INDEX(TekTil,13))),"",IF(COUNTIFS(TF_Nokkel,$A28&amp;"|"&amp;AD$5)=0,IF(AD$8&lt;&gt;"","LMS",""),IFERROR(IF(SUMIFS(TF_Timer,TF_Nokkel,$A28&amp;"|"&amp;AD$5,TF_Akt,"LMS")+IF(AD$8="",0,MAX(0,ROUND((AD$11-SUMIFS(TF_Timer,TF_Nokkel,$A28&amp;"|"&amp;AD$5))*2,0)/2))&gt;INDEX(TF_AktSum,MATCH($A28&amp;"|"&amp;AD$5,TF_Dom,0)),"LMS",INDEX(AktKode,MATCH(INDEX(TF_Akt,MATCH($A28&amp;"|"&amp;AD$5,TF_Dom,0)),Aktiviteter,0)))&amp;IF(OR(COUNTIFS(TF_Nokkel,$A28&amp;"|"&amp;AD$5,TF_Akt,"&lt;&gt;"&amp;INDEX(TF_Akt,MATCH($A28&amp;"|"&amp;AD$5,TF_Dom,0)))&gt;0,AND(IF(AD$8="",0,MAX(0,ROUND((AD$11-SUMIFS(TF_Timer,TF_Nokkel,$A28&amp;"|"&amp;AD$5))*2,0)/2))&gt;0,INDEX(TF_Akt,MATCH($A28&amp;"|"&amp;AD$5,TF_Dom,0))&lt;&gt;"LMS")),"+",""),"?"))))</f>
        <v/>
      </c>
      <c r="AE28" s="13">
        <f>IF(OR($A28="",AE$5=""),"",IF(OR(AND(INDEX(TekFra,13)&gt;0,AE$5&lt;INDEX(TekFra,13)),AND(INDEX(TekTil,13)&gt;0,AE$5&gt;INDEX(TekTil,13))),"",IF(COUNTIFS(TF_Nokkel,$A28&amp;"|"&amp;AE$5)=0,IF(AE$8&lt;&gt;"","LMS",""),IFERROR(IF(SUMIFS(TF_Timer,TF_Nokkel,$A28&amp;"|"&amp;AE$5,TF_Akt,"LMS")+IF(AE$8="",0,MAX(0,ROUND((AE$11-SUMIFS(TF_Timer,TF_Nokkel,$A28&amp;"|"&amp;AE$5))*2,0)/2))&gt;INDEX(TF_AktSum,MATCH($A28&amp;"|"&amp;AE$5,TF_Dom,0)),"LMS",INDEX(AktKode,MATCH(INDEX(TF_Akt,MATCH($A28&amp;"|"&amp;AE$5,TF_Dom,0)),Aktiviteter,0)))&amp;IF(OR(COUNTIFS(TF_Nokkel,$A28&amp;"|"&amp;AE$5,TF_Akt,"&lt;&gt;"&amp;INDEX(TF_Akt,MATCH($A28&amp;"|"&amp;AE$5,TF_Dom,0)))&gt;0,AND(IF(AE$8="",0,MAX(0,ROUND((AE$11-SUMIFS(TF_Timer,TF_Nokkel,$A28&amp;"|"&amp;AE$5))*2,0)/2))&gt;0,INDEX(TF_Akt,MATCH($A28&amp;"|"&amp;AE$5,TF_Dom,0))&lt;&gt;"LMS")),"+",""),"?"))))</f>
        <v/>
      </c>
      <c r="AF28" s="13">
        <f>IF(OR($A28="",AF$5=""),"",IF(OR(AND(INDEX(TekFra,13)&gt;0,AF$5&lt;INDEX(TekFra,13)),AND(INDEX(TekTil,13)&gt;0,AF$5&gt;INDEX(TekTil,13))),"",IF(COUNTIFS(TF_Nokkel,$A28&amp;"|"&amp;AF$5)=0,IF(AF$8&lt;&gt;"","LMS",""),IFERROR(IF(SUMIFS(TF_Timer,TF_Nokkel,$A28&amp;"|"&amp;AF$5,TF_Akt,"LMS")+IF(AF$8="",0,MAX(0,ROUND((AF$11-SUMIFS(TF_Timer,TF_Nokkel,$A28&amp;"|"&amp;AF$5))*2,0)/2))&gt;INDEX(TF_AktSum,MATCH($A28&amp;"|"&amp;AF$5,TF_Dom,0)),"LMS",INDEX(AktKode,MATCH(INDEX(TF_Akt,MATCH($A28&amp;"|"&amp;AF$5,TF_Dom,0)),Aktiviteter,0)))&amp;IF(OR(COUNTIFS(TF_Nokkel,$A28&amp;"|"&amp;AF$5,TF_Akt,"&lt;&gt;"&amp;INDEX(TF_Akt,MATCH($A28&amp;"|"&amp;AF$5,TF_Dom,0)))&gt;0,AND(IF(AF$8="",0,MAX(0,ROUND((AF$11-SUMIFS(TF_Timer,TF_Nokkel,$A28&amp;"|"&amp;AF$5))*2,0)/2))&gt;0,INDEX(TF_Akt,MATCH($A28&amp;"|"&amp;AF$5,TF_Dom,0))&lt;&gt;"LMS")),"+",""),"?"))))</f>
        <v/>
      </c>
      <c r="AG28" s="13">
        <f>IF(OR($A28="",AG$5=""),"",IF(OR(AND(INDEX(TekFra,13)&gt;0,AG$5&lt;INDEX(TekFra,13)),AND(INDEX(TekTil,13)&gt;0,AG$5&gt;INDEX(TekTil,13))),"",IF(COUNTIFS(TF_Nokkel,$A28&amp;"|"&amp;AG$5)=0,IF(AG$8&lt;&gt;"","LMS",""),IFERROR(IF(SUMIFS(TF_Timer,TF_Nokkel,$A28&amp;"|"&amp;AG$5,TF_Akt,"LMS")+IF(AG$8="",0,MAX(0,ROUND((AG$11-SUMIFS(TF_Timer,TF_Nokkel,$A28&amp;"|"&amp;AG$5))*2,0)/2))&gt;INDEX(TF_AktSum,MATCH($A28&amp;"|"&amp;AG$5,TF_Dom,0)),"LMS",INDEX(AktKode,MATCH(INDEX(TF_Akt,MATCH($A28&amp;"|"&amp;AG$5,TF_Dom,0)),Aktiviteter,0)))&amp;IF(OR(COUNTIFS(TF_Nokkel,$A28&amp;"|"&amp;AG$5,TF_Akt,"&lt;&gt;"&amp;INDEX(TF_Akt,MATCH($A28&amp;"|"&amp;AG$5,TF_Dom,0)))&gt;0,AND(IF(AG$8="",0,MAX(0,ROUND((AG$11-SUMIFS(TF_Timer,TF_Nokkel,$A28&amp;"|"&amp;AG$5))*2,0)/2))&gt;0,INDEX(TF_Akt,MATCH($A28&amp;"|"&amp;AG$5,TF_Dom,0))&lt;&gt;"LMS")),"+",""),"?"))))</f>
        <v/>
      </c>
      <c r="AH28" s="2" t="n"/>
      <c r="AI28" s="2" t="n"/>
      <c r="AJ28" s="2" t="n"/>
    </row>
    <row r="29">
      <c r="A29" s="2">
        <f>INDEX(Teknikere,14)&amp;""</f>
        <v/>
      </c>
      <c r="B29" s="12">
        <f>IF(INDEX(TekFra,14)&gt;0,"ekstra","")</f>
        <v/>
      </c>
      <c r="C29" s="13">
        <f>IF(OR($A29="",C$5=""),"",IF(OR(AND(INDEX(TekFra,14)&gt;0,C$5&lt;INDEX(TekFra,14)),AND(INDEX(TekTil,14)&gt;0,C$5&gt;INDEX(TekTil,14))),"",IF(COUNTIFS(TF_Nokkel,$A29&amp;"|"&amp;C$5)=0,IF(C$8&lt;&gt;"","LMS",""),IFERROR(IF(SUMIFS(TF_Timer,TF_Nokkel,$A29&amp;"|"&amp;C$5,TF_Akt,"LMS")+IF(C$8="",0,MAX(0,ROUND((C$11-SUMIFS(TF_Timer,TF_Nokkel,$A29&amp;"|"&amp;C$5))*2,0)/2))&gt;INDEX(TF_AktSum,MATCH($A29&amp;"|"&amp;C$5,TF_Dom,0)),"LMS",INDEX(AktKode,MATCH(INDEX(TF_Akt,MATCH($A29&amp;"|"&amp;C$5,TF_Dom,0)),Aktiviteter,0)))&amp;IF(OR(COUNTIFS(TF_Nokkel,$A29&amp;"|"&amp;C$5,TF_Akt,"&lt;&gt;"&amp;INDEX(TF_Akt,MATCH($A29&amp;"|"&amp;C$5,TF_Dom,0)))&gt;0,AND(IF(C$8="",0,MAX(0,ROUND((C$11-SUMIFS(TF_Timer,TF_Nokkel,$A29&amp;"|"&amp;C$5))*2,0)/2))&gt;0,INDEX(TF_Akt,MATCH($A29&amp;"|"&amp;C$5,TF_Dom,0))&lt;&gt;"LMS")),"+",""),"?"))))</f>
        <v/>
      </c>
      <c r="D29" s="13">
        <f>IF(OR($A29="",D$5=""),"",IF(OR(AND(INDEX(TekFra,14)&gt;0,D$5&lt;INDEX(TekFra,14)),AND(INDEX(TekTil,14)&gt;0,D$5&gt;INDEX(TekTil,14))),"",IF(COUNTIFS(TF_Nokkel,$A29&amp;"|"&amp;D$5)=0,IF(D$8&lt;&gt;"","LMS",""),IFERROR(IF(SUMIFS(TF_Timer,TF_Nokkel,$A29&amp;"|"&amp;D$5,TF_Akt,"LMS")+IF(D$8="",0,MAX(0,ROUND((D$11-SUMIFS(TF_Timer,TF_Nokkel,$A29&amp;"|"&amp;D$5))*2,0)/2))&gt;INDEX(TF_AktSum,MATCH($A29&amp;"|"&amp;D$5,TF_Dom,0)),"LMS",INDEX(AktKode,MATCH(INDEX(TF_Akt,MATCH($A29&amp;"|"&amp;D$5,TF_Dom,0)),Aktiviteter,0)))&amp;IF(OR(COUNTIFS(TF_Nokkel,$A29&amp;"|"&amp;D$5,TF_Akt,"&lt;&gt;"&amp;INDEX(TF_Akt,MATCH($A29&amp;"|"&amp;D$5,TF_Dom,0)))&gt;0,AND(IF(D$8="",0,MAX(0,ROUND((D$11-SUMIFS(TF_Timer,TF_Nokkel,$A29&amp;"|"&amp;D$5))*2,0)/2))&gt;0,INDEX(TF_Akt,MATCH($A29&amp;"|"&amp;D$5,TF_Dom,0))&lt;&gt;"LMS")),"+",""),"?"))))</f>
        <v/>
      </c>
      <c r="E29" s="13">
        <f>IF(OR($A29="",E$5=""),"",IF(OR(AND(INDEX(TekFra,14)&gt;0,E$5&lt;INDEX(TekFra,14)),AND(INDEX(TekTil,14)&gt;0,E$5&gt;INDEX(TekTil,14))),"",IF(COUNTIFS(TF_Nokkel,$A29&amp;"|"&amp;E$5)=0,IF(E$8&lt;&gt;"","LMS",""),IFERROR(IF(SUMIFS(TF_Timer,TF_Nokkel,$A29&amp;"|"&amp;E$5,TF_Akt,"LMS")+IF(E$8="",0,MAX(0,ROUND((E$11-SUMIFS(TF_Timer,TF_Nokkel,$A29&amp;"|"&amp;E$5))*2,0)/2))&gt;INDEX(TF_AktSum,MATCH($A29&amp;"|"&amp;E$5,TF_Dom,0)),"LMS",INDEX(AktKode,MATCH(INDEX(TF_Akt,MATCH($A29&amp;"|"&amp;E$5,TF_Dom,0)),Aktiviteter,0)))&amp;IF(OR(COUNTIFS(TF_Nokkel,$A29&amp;"|"&amp;E$5,TF_Akt,"&lt;&gt;"&amp;INDEX(TF_Akt,MATCH($A29&amp;"|"&amp;E$5,TF_Dom,0)))&gt;0,AND(IF(E$8="",0,MAX(0,ROUND((E$11-SUMIFS(TF_Timer,TF_Nokkel,$A29&amp;"|"&amp;E$5))*2,0)/2))&gt;0,INDEX(TF_Akt,MATCH($A29&amp;"|"&amp;E$5,TF_Dom,0))&lt;&gt;"LMS")),"+",""),"?"))))</f>
        <v/>
      </c>
      <c r="F29" s="13">
        <f>IF(OR($A29="",F$5=""),"",IF(OR(AND(INDEX(TekFra,14)&gt;0,F$5&lt;INDEX(TekFra,14)),AND(INDEX(TekTil,14)&gt;0,F$5&gt;INDEX(TekTil,14))),"",IF(COUNTIFS(TF_Nokkel,$A29&amp;"|"&amp;F$5)=0,IF(F$8&lt;&gt;"","LMS",""),IFERROR(IF(SUMIFS(TF_Timer,TF_Nokkel,$A29&amp;"|"&amp;F$5,TF_Akt,"LMS")+IF(F$8="",0,MAX(0,ROUND((F$11-SUMIFS(TF_Timer,TF_Nokkel,$A29&amp;"|"&amp;F$5))*2,0)/2))&gt;INDEX(TF_AktSum,MATCH($A29&amp;"|"&amp;F$5,TF_Dom,0)),"LMS",INDEX(AktKode,MATCH(INDEX(TF_Akt,MATCH($A29&amp;"|"&amp;F$5,TF_Dom,0)),Aktiviteter,0)))&amp;IF(OR(COUNTIFS(TF_Nokkel,$A29&amp;"|"&amp;F$5,TF_Akt,"&lt;&gt;"&amp;INDEX(TF_Akt,MATCH($A29&amp;"|"&amp;F$5,TF_Dom,0)))&gt;0,AND(IF(F$8="",0,MAX(0,ROUND((F$11-SUMIFS(TF_Timer,TF_Nokkel,$A29&amp;"|"&amp;F$5))*2,0)/2))&gt;0,INDEX(TF_Akt,MATCH($A29&amp;"|"&amp;F$5,TF_Dom,0))&lt;&gt;"LMS")),"+",""),"?"))))</f>
        <v/>
      </c>
      <c r="G29" s="13">
        <f>IF(OR($A29="",G$5=""),"",IF(OR(AND(INDEX(TekFra,14)&gt;0,G$5&lt;INDEX(TekFra,14)),AND(INDEX(TekTil,14)&gt;0,G$5&gt;INDEX(TekTil,14))),"",IF(COUNTIFS(TF_Nokkel,$A29&amp;"|"&amp;G$5)=0,IF(G$8&lt;&gt;"","LMS",""),IFERROR(IF(SUMIFS(TF_Timer,TF_Nokkel,$A29&amp;"|"&amp;G$5,TF_Akt,"LMS")+IF(G$8="",0,MAX(0,ROUND((G$11-SUMIFS(TF_Timer,TF_Nokkel,$A29&amp;"|"&amp;G$5))*2,0)/2))&gt;INDEX(TF_AktSum,MATCH($A29&amp;"|"&amp;G$5,TF_Dom,0)),"LMS",INDEX(AktKode,MATCH(INDEX(TF_Akt,MATCH($A29&amp;"|"&amp;G$5,TF_Dom,0)),Aktiviteter,0)))&amp;IF(OR(COUNTIFS(TF_Nokkel,$A29&amp;"|"&amp;G$5,TF_Akt,"&lt;&gt;"&amp;INDEX(TF_Akt,MATCH($A29&amp;"|"&amp;G$5,TF_Dom,0)))&gt;0,AND(IF(G$8="",0,MAX(0,ROUND((G$11-SUMIFS(TF_Timer,TF_Nokkel,$A29&amp;"|"&amp;G$5))*2,0)/2))&gt;0,INDEX(TF_Akt,MATCH($A29&amp;"|"&amp;G$5,TF_Dom,0))&lt;&gt;"LMS")),"+",""),"?"))))</f>
        <v/>
      </c>
      <c r="H29" s="13">
        <f>IF(OR($A29="",H$5=""),"",IF(OR(AND(INDEX(TekFra,14)&gt;0,H$5&lt;INDEX(TekFra,14)),AND(INDEX(TekTil,14)&gt;0,H$5&gt;INDEX(TekTil,14))),"",IF(COUNTIFS(TF_Nokkel,$A29&amp;"|"&amp;H$5)=0,IF(H$8&lt;&gt;"","LMS",""),IFERROR(IF(SUMIFS(TF_Timer,TF_Nokkel,$A29&amp;"|"&amp;H$5,TF_Akt,"LMS")+IF(H$8="",0,MAX(0,ROUND((H$11-SUMIFS(TF_Timer,TF_Nokkel,$A29&amp;"|"&amp;H$5))*2,0)/2))&gt;INDEX(TF_AktSum,MATCH($A29&amp;"|"&amp;H$5,TF_Dom,0)),"LMS",INDEX(AktKode,MATCH(INDEX(TF_Akt,MATCH($A29&amp;"|"&amp;H$5,TF_Dom,0)),Aktiviteter,0)))&amp;IF(OR(COUNTIFS(TF_Nokkel,$A29&amp;"|"&amp;H$5,TF_Akt,"&lt;&gt;"&amp;INDEX(TF_Akt,MATCH($A29&amp;"|"&amp;H$5,TF_Dom,0)))&gt;0,AND(IF(H$8="",0,MAX(0,ROUND((H$11-SUMIFS(TF_Timer,TF_Nokkel,$A29&amp;"|"&amp;H$5))*2,0)/2))&gt;0,INDEX(TF_Akt,MATCH($A29&amp;"|"&amp;H$5,TF_Dom,0))&lt;&gt;"LMS")),"+",""),"?"))))</f>
        <v/>
      </c>
      <c r="I29" s="13">
        <f>IF(OR($A29="",I$5=""),"",IF(OR(AND(INDEX(TekFra,14)&gt;0,I$5&lt;INDEX(TekFra,14)),AND(INDEX(TekTil,14)&gt;0,I$5&gt;INDEX(TekTil,14))),"",IF(COUNTIFS(TF_Nokkel,$A29&amp;"|"&amp;I$5)=0,IF(I$8&lt;&gt;"","LMS",""),IFERROR(IF(SUMIFS(TF_Timer,TF_Nokkel,$A29&amp;"|"&amp;I$5,TF_Akt,"LMS")+IF(I$8="",0,MAX(0,ROUND((I$11-SUMIFS(TF_Timer,TF_Nokkel,$A29&amp;"|"&amp;I$5))*2,0)/2))&gt;INDEX(TF_AktSum,MATCH($A29&amp;"|"&amp;I$5,TF_Dom,0)),"LMS",INDEX(AktKode,MATCH(INDEX(TF_Akt,MATCH($A29&amp;"|"&amp;I$5,TF_Dom,0)),Aktiviteter,0)))&amp;IF(OR(COUNTIFS(TF_Nokkel,$A29&amp;"|"&amp;I$5,TF_Akt,"&lt;&gt;"&amp;INDEX(TF_Akt,MATCH($A29&amp;"|"&amp;I$5,TF_Dom,0)))&gt;0,AND(IF(I$8="",0,MAX(0,ROUND((I$11-SUMIFS(TF_Timer,TF_Nokkel,$A29&amp;"|"&amp;I$5))*2,0)/2))&gt;0,INDEX(TF_Akt,MATCH($A29&amp;"|"&amp;I$5,TF_Dom,0))&lt;&gt;"LMS")),"+",""),"?"))))</f>
        <v/>
      </c>
      <c r="J29" s="13">
        <f>IF(OR($A29="",J$5=""),"",IF(OR(AND(INDEX(TekFra,14)&gt;0,J$5&lt;INDEX(TekFra,14)),AND(INDEX(TekTil,14)&gt;0,J$5&gt;INDEX(TekTil,14))),"",IF(COUNTIFS(TF_Nokkel,$A29&amp;"|"&amp;J$5)=0,IF(J$8&lt;&gt;"","LMS",""),IFERROR(IF(SUMIFS(TF_Timer,TF_Nokkel,$A29&amp;"|"&amp;J$5,TF_Akt,"LMS")+IF(J$8="",0,MAX(0,ROUND((J$11-SUMIFS(TF_Timer,TF_Nokkel,$A29&amp;"|"&amp;J$5))*2,0)/2))&gt;INDEX(TF_AktSum,MATCH($A29&amp;"|"&amp;J$5,TF_Dom,0)),"LMS",INDEX(AktKode,MATCH(INDEX(TF_Akt,MATCH($A29&amp;"|"&amp;J$5,TF_Dom,0)),Aktiviteter,0)))&amp;IF(OR(COUNTIFS(TF_Nokkel,$A29&amp;"|"&amp;J$5,TF_Akt,"&lt;&gt;"&amp;INDEX(TF_Akt,MATCH($A29&amp;"|"&amp;J$5,TF_Dom,0)))&gt;0,AND(IF(J$8="",0,MAX(0,ROUND((J$11-SUMIFS(TF_Timer,TF_Nokkel,$A29&amp;"|"&amp;J$5))*2,0)/2))&gt;0,INDEX(TF_Akt,MATCH($A29&amp;"|"&amp;J$5,TF_Dom,0))&lt;&gt;"LMS")),"+",""),"?"))))</f>
        <v/>
      </c>
      <c r="K29" s="13">
        <f>IF(OR($A29="",K$5=""),"",IF(OR(AND(INDEX(TekFra,14)&gt;0,K$5&lt;INDEX(TekFra,14)),AND(INDEX(TekTil,14)&gt;0,K$5&gt;INDEX(TekTil,14))),"",IF(COUNTIFS(TF_Nokkel,$A29&amp;"|"&amp;K$5)=0,IF(K$8&lt;&gt;"","LMS",""),IFERROR(IF(SUMIFS(TF_Timer,TF_Nokkel,$A29&amp;"|"&amp;K$5,TF_Akt,"LMS")+IF(K$8="",0,MAX(0,ROUND((K$11-SUMIFS(TF_Timer,TF_Nokkel,$A29&amp;"|"&amp;K$5))*2,0)/2))&gt;INDEX(TF_AktSum,MATCH($A29&amp;"|"&amp;K$5,TF_Dom,0)),"LMS",INDEX(AktKode,MATCH(INDEX(TF_Akt,MATCH($A29&amp;"|"&amp;K$5,TF_Dom,0)),Aktiviteter,0)))&amp;IF(OR(COUNTIFS(TF_Nokkel,$A29&amp;"|"&amp;K$5,TF_Akt,"&lt;&gt;"&amp;INDEX(TF_Akt,MATCH($A29&amp;"|"&amp;K$5,TF_Dom,0)))&gt;0,AND(IF(K$8="",0,MAX(0,ROUND((K$11-SUMIFS(TF_Timer,TF_Nokkel,$A29&amp;"|"&amp;K$5))*2,0)/2))&gt;0,INDEX(TF_Akt,MATCH($A29&amp;"|"&amp;K$5,TF_Dom,0))&lt;&gt;"LMS")),"+",""),"?"))))</f>
        <v/>
      </c>
      <c r="L29" s="13">
        <f>IF(OR($A29="",L$5=""),"",IF(OR(AND(INDEX(TekFra,14)&gt;0,L$5&lt;INDEX(TekFra,14)),AND(INDEX(TekTil,14)&gt;0,L$5&gt;INDEX(TekTil,14))),"",IF(COUNTIFS(TF_Nokkel,$A29&amp;"|"&amp;L$5)=0,IF(L$8&lt;&gt;"","LMS",""),IFERROR(IF(SUMIFS(TF_Timer,TF_Nokkel,$A29&amp;"|"&amp;L$5,TF_Akt,"LMS")+IF(L$8="",0,MAX(0,ROUND((L$11-SUMIFS(TF_Timer,TF_Nokkel,$A29&amp;"|"&amp;L$5))*2,0)/2))&gt;INDEX(TF_AktSum,MATCH($A29&amp;"|"&amp;L$5,TF_Dom,0)),"LMS",INDEX(AktKode,MATCH(INDEX(TF_Akt,MATCH($A29&amp;"|"&amp;L$5,TF_Dom,0)),Aktiviteter,0)))&amp;IF(OR(COUNTIFS(TF_Nokkel,$A29&amp;"|"&amp;L$5,TF_Akt,"&lt;&gt;"&amp;INDEX(TF_Akt,MATCH($A29&amp;"|"&amp;L$5,TF_Dom,0)))&gt;0,AND(IF(L$8="",0,MAX(0,ROUND((L$11-SUMIFS(TF_Timer,TF_Nokkel,$A29&amp;"|"&amp;L$5))*2,0)/2))&gt;0,INDEX(TF_Akt,MATCH($A29&amp;"|"&amp;L$5,TF_Dom,0))&lt;&gt;"LMS")),"+",""),"?"))))</f>
        <v/>
      </c>
      <c r="M29" s="13">
        <f>IF(OR($A29="",M$5=""),"",IF(OR(AND(INDEX(TekFra,14)&gt;0,M$5&lt;INDEX(TekFra,14)),AND(INDEX(TekTil,14)&gt;0,M$5&gt;INDEX(TekTil,14))),"",IF(COUNTIFS(TF_Nokkel,$A29&amp;"|"&amp;M$5)=0,IF(M$8&lt;&gt;"","LMS",""),IFERROR(IF(SUMIFS(TF_Timer,TF_Nokkel,$A29&amp;"|"&amp;M$5,TF_Akt,"LMS")+IF(M$8="",0,MAX(0,ROUND((M$11-SUMIFS(TF_Timer,TF_Nokkel,$A29&amp;"|"&amp;M$5))*2,0)/2))&gt;INDEX(TF_AktSum,MATCH($A29&amp;"|"&amp;M$5,TF_Dom,0)),"LMS",INDEX(AktKode,MATCH(INDEX(TF_Akt,MATCH($A29&amp;"|"&amp;M$5,TF_Dom,0)),Aktiviteter,0)))&amp;IF(OR(COUNTIFS(TF_Nokkel,$A29&amp;"|"&amp;M$5,TF_Akt,"&lt;&gt;"&amp;INDEX(TF_Akt,MATCH($A29&amp;"|"&amp;M$5,TF_Dom,0)))&gt;0,AND(IF(M$8="",0,MAX(0,ROUND((M$11-SUMIFS(TF_Timer,TF_Nokkel,$A29&amp;"|"&amp;M$5))*2,0)/2))&gt;0,INDEX(TF_Akt,MATCH($A29&amp;"|"&amp;M$5,TF_Dom,0))&lt;&gt;"LMS")),"+",""),"?"))))</f>
        <v/>
      </c>
      <c r="N29" s="13">
        <f>IF(OR($A29="",N$5=""),"",IF(OR(AND(INDEX(TekFra,14)&gt;0,N$5&lt;INDEX(TekFra,14)),AND(INDEX(TekTil,14)&gt;0,N$5&gt;INDEX(TekTil,14))),"",IF(COUNTIFS(TF_Nokkel,$A29&amp;"|"&amp;N$5)=0,IF(N$8&lt;&gt;"","LMS",""),IFERROR(IF(SUMIFS(TF_Timer,TF_Nokkel,$A29&amp;"|"&amp;N$5,TF_Akt,"LMS")+IF(N$8="",0,MAX(0,ROUND((N$11-SUMIFS(TF_Timer,TF_Nokkel,$A29&amp;"|"&amp;N$5))*2,0)/2))&gt;INDEX(TF_AktSum,MATCH($A29&amp;"|"&amp;N$5,TF_Dom,0)),"LMS",INDEX(AktKode,MATCH(INDEX(TF_Akt,MATCH($A29&amp;"|"&amp;N$5,TF_Dom,0)),Aktiviteter,0)))&amp;IF(OR(COUNTIFS(TF_Nokkel,$A29&amp;"|"&amp;N$5,TF_Akt,"&lt;&gt;"&amp;INDEX(TF_Akt,MATCH($A29&amp;"|"&amp;N$5,TF_Dom,0)))&gt;0,AND(IF(N$8="",0,MAX(0,ROUND((N$11-SUMIFS(TF_Timer,TF_Nokkel,$A29&amp;"|"&amp;N$5))*2,0)/2))&gt;0,INDEX(TF_Akt,MATCH($A29&amp;"|"&amp;N$5,TF_Dom,0))&lt;&gt;"LMS")),"+",""),"?"))))</f>
        <v/>
      </c>
      <c r="O29" s="13">
        <f>IF(OR($A29="",O$5=""),"",IF(OR(AND(INDEX(TekFra,14)&gt;0,O$5&lt;INDEX(TekFra,14)),AND(INDEX(TekTil,14)&gt;0,O$5&gt;INDEX(TekTil,14))),"",IF(COUNTIFS(TF_Nokkel,$A29&amp;"|"&amp;O$5)=0,IF(O$8&lt;&gt;"","LMS",""),IFERROR(IF(SUMIFS(TF_Timer,TF_Nokkel,$A29&amp;"|"&amp;O$5,TF_Akt,"LMS")+IF(O$8="",0,MAX(0,ROUND((O$11-SUMIFS(TF_Timer,TF_Nokkel,$A29&amp;"|"&amp;O$5))*2,0)/2))&gt;INDEX(TF_AktSum,MATCH($A29&amp;"|"&amp;O$5,TF_Dom,0)),"LMS",INDEX(AktKode,MATCH(INDEX(TF_Akt,MATCH($A29&amp;"|"&amp;O$5,TF_Dom,0)),Aktiviteter,0)))&amp;IF(OR(COUNTIFS(TF_Nokkel,$A29&amp;"|"&amp;O$5,TF_Akt,"&lt;&gt;"&amp;INDEX(TF_Akt,MATCH($A29&amp;"|"&amp;O$5,TF_Dom,0)))&gt;0,AND(IF(O$8="",0,MAX(0,ROUND((O$11-SUMIFS(TF_Timer,TF_Nokkel,$A29&amp;"|"&amp;O$5))*2,0)/2))&gt;0,INDEX(TF_Akt,MATCH($A29&amp;"|"&amp;O$5,TF_Dom,0))&lt;&gt;"LMS")),"+",""),"?"))))</f>
        <v/>
      </c>
      <c r="P29" s="13">
        <f>IF(OR($A29="",P$5=""),"",IF(OR(AND(INDEX(TekFra,14)&gt;0,P$5&lt;INDEX(TekFra,14)),AND(INDEX(TekTil,14)&gt;0,P$5&gt;INDEX(TekTil,14))),"",IF(COUNTIFS(TF_Nokkel,$A29&amp;"|"&amp;P$5)=0,IF(P$8&lt;&gt;"","LMS",""),IFERROR(IF(SUMIFS(TF_Timer,TF_Nokkel,$A29&amp;"|"&amp;P$5,TF_Akt,"LMS")+IF(P$8="",0,MAX(0,ROUND((P$11-SUMIFS(TF_Timer,TF_Nokkel,$A29&amp;"|"&amp;P$5))*2,0)/2))&gt;INDEX(TF_AktSum,MATCH($A29&amp;"|"&amp;P$5,TF_Dom,0)),"LMS",INDEX(AktKode,MATCH(INDEX(TF_Akt,MATCH($A29&amp;"|"&amp;P$5,TF_Dom,0)),Aktiviteter,0)))&amp;IF(OR(COUNTIFS(TF_Nokkel,$A29&amp;"|"&amp;P$5,TF_Akt,"&lt;&gt;"&amp;INDEX(TF_Akt,MATCH($A29&amp;"|"&amp;P$5,TF_Dom,0)))&gt;0,AND(IF(P$8="",0,MAX(0,ROUND((P$11-SUMIFS(TF_Timer,TF_Nokkel,$A29&amp;"|"&amp;P$5))*2,0)/2))&gt;0,INDEX(TF_Akt,MATCH($A29&amp;"|"&amp;P$5,TF_Dom,0))&lt;&gt;"LMS")),"+",""),"?"))))</f>
        <v/>
      </c>
      <c r="Q29" s="13">
        <f>IF(OR($A29="",Q$5=""),"",IF(OR(AND(INDEX(TekFra,14)&gt;0,Q$5&lt;INDEX(TekFra,14)),AND(INDEX(TekTil,14)&gt;0,Q$5&gt;INDEX(TekTil,14))),"",IF(COUNTIFS(TF_Nokkel,$A29&amp;"|"&amp;Q$5)=0,IF(Q$8&lt;&gt;"","LMS",""),IFERROR(IF(SUMIFS(TF_Timer,TF_Nokkel,$A29&amp;"|"&amp;Q$5,TF_Akt,"LMS")+IF(Q$8="",0,MAX(0,ROUND((Q$11-SUMIFS(TF_Timer,TF_Nokkel,$A29&amp;"|"&amp;Q$5))*2,0)/2))&gt;INDEX(TF_AktSum,MATCH($A29&amp;"|"&amp;Q$5,TF_Dom,0)),"LMS",INDEX(AktKode,MATCH(INDEX(TF_Akt,MATCH($A29&amp;"|"&amp;Q$5,TF_Dom,0)),Aktiviteter,0)))&amp;IF(OR(COUNTIFS(TF_Nokkel,$A29&amp;"|"&amp;Q$5,TF_Akt,"&lt;&gt;"&amp;INDEX(TF_Akt,MATCH($A29&amp;"|"&amp;Q$5,TF_Dom,0)))&gt;0,AND(IF(Q$8="",0,MAX(0,ROUND((Q$11-SUMIFS(TF_Timer,TF_Nokkel,$A29&amp;"|"&amp;Q$5))*2,0)/2))&gt;0,INDEX(TF_Akt,MATCH($A29&amp;"|"&amp;Q$5,TF_Dom,0))&lt;&gt;"LMS")),"+",""),"?"))))</f>
        <v/>
      </c>
      <c r="R29" s="13">
        <f>IF(OR($A29="",R$5=""),"",IF(OR(AND(INDEX(TekFra,14)&gt;0,R$5&lt;INDEX(TekFra,14)),AND(INDEX(TekTil,14)&gt;0,R$5&gt;INDEX(TekTil,14))),"",IF(COUNTIFS(TF_Nokkel,$A29&amp;"|"&amp;R$5)=0,IF(R$8&lt;&gt;"","LMS",""),IFERROR(IF(SUMIFS(TF_Timer,TF_Nokkel,$A29&amp;"|"&amp;R$5,TF_Akt,"LMS")+IF(R$8="",0,MAX(0,ROUND((R$11-SUMIFS(TF_Timer,TF_Nokkel,$A29&amp;"|"&amp;R$5))*2,0)/2))&gt;INDEX(TF_AktSum,MATCH($A29&amp;"|"&amp;R$5,TF_Dom,0)),"LMS",INDEX(AktKode,MATCH(INDEX(TF_Akt,MATCH($A29&amp;"|"&amp;R$5,TF_Dom,0)),Aktiviteter,0)))&amp;IF(OR(COUNTIFS(TF_Nokkel,$A29&amp;"|"&amp;R$5,TF_Akt,"&lt;&gt;"&amp;INDEX(TF_Akt,MATCH($A29&amp;"|"&amp;R$5,TF_Dom,0)))&gt;0,AND(IF(R$8="",0,MAX(0,ROUND((R$11-SUMIFS(TF_Timer,TF_Nokkel,$A29&amp;"|"&amp;R$5))*2,0)/2))&gt;0,INDEX(TF_Akt,MATCH($A29&amp;"|"&amp;R$5,TF_Dom,0))&lt;&gt;"LMS")),"+",""),"?"))))</f>
        <v/>
      </c>
      <c r="S29" s="13">
        <f>IF(OR($A29="",S$5=""),"",IF(OR(AND(INDEX(TekFra,14)&gt;0,S$5&lt;INDEX(TekFra,14)),AND(INDEX(TekTil,14)&gt;0,S$5&gt;INDEX(TekTil,14))),"",IF(COUNTIFS(TF_Nokkel,$A29&amp;"|"&amp;S$5)=0,IF(S$8&lt;&gt;"","LMS",""),IFERROR(IF(SUMIFS(TF_Timer,TF_Nokkel,$A29&amp;"|"&amp;S$5,TF_Akt,"LMS")+IF(S$8="",0,MAX(0,ROUND((S$11-SUMIFS(TF_Timer,TF_Nokkel,$A29&amp;"|"&amp;S$5))*2,0)/2))&gt;INDEX(TF_AktSum,MATCH($A29&amp;"|"&amp;S$5,TF_Dom,0)),"LMS",INDEX(AktKode,MATCH(INDEX(TF_Akt,MATCH($A29&amp;"|"&amp;S$5,TF_Dom,0)),Aktiviteter,0)))&amp;IF(OR(COUNTIFS(TF_Nokkel,$A29&amp;"|"&amp;S$5,TF_Akt,"&lt;&gt;"&amp;INDEX(TF_Akt,MATCH($A29&amp;"|"&amp;S$5,TF_Dom,0)))&gt;0,AND(IF(S$8="",0,MAX(0,ROUND((S$11-SUMIFS(TF_Timer,TF_Nokkel,$A29&amp;"|"&amp;S$5))*2,0)/2))&gt;0,INDEX(TF_Akt,MATCH($A29&amp;"|"&amp;S$5,TF_Dom,0))&lt;&gt;"LMS")),"+",""),"?"))))</f>
        <v/>
      </c>
      <c r="T29" s="13">
        <f>IF(OR($A29="",T$5=""),"",IF(OR(AND(INDEX(TekFra,14)&gt;0,T$5&lt;INDEX(TekFra,14)),AND(INDEX(TekTil,14)&gt;0,T$5&gt;INDEX(TekTil,14))),"",IF(COUNTIFS(TF_Nokkel,$A29&amp;"|"&amp;T$5)=0,IF(T$8&lt;&gt;"","LMS",""),IFERROR(IF(SUMIFS(TF_Timer,TF_Nokkel,$A29&amp;"|"&amp;T$5,TF_Akt,"LMS")+IF(T$8="",0,MAX(0,ROUND((T$11-SUMIFS(TF_Timer,TF_Nokkel,$A29&amp;"|"&amp;T$5))*2,0)/2))&gt;INDEX(TF_AktSum,MATCH($A29&amp;"|"&amp;T$5,TF_Dom,0)),"LMS",INDEX(AktKode,MATCH(INDEX(TF_Akt,MATCH($A29&amp;"|"&amp;T$5,TF_Dom,0)),Aktiviteter,0)))&amp;IF(OR(COUNTIFS(TF_Nokkel,$A29&amp;"|"&amp;T$5,TF_Akt,"&lt;&gt;"&amp;INDEX(TF_Akt,MATCH($A29&amp;"|"&amp;T$5,TF_Dom,0)))&gt;0,AND(IF(T$8="",0,MAX(0,ROUND((T$11-SUMIFS(TF_Timer,TF_Nokkel,$A29&amp;"|"&amp;T$5))*2,0)/2))&gt;0,INDEX(TF_Akt,MATCH($A29&amp;"|"&amp;T$5,TF_Dom,0))&lt;&gt;"LMS")),"+",""),"?"))))</f>
        <v/>
      </c>
      <c r="U29" s="13">
        <f>IF(OR($A29="",U$5=""),"",IF(OR(AND(INDEX(TekFra,14)&gt;0,U$5&lt;INDEX(TekFra,14)),AND(INDEX(TekTil,14)&gt;0,U$5&gt;INDEX(TekTil,14))),"",IF(COUNTIFS(TF_Nokkel,$A29&amp;"|"&amp;U$5)=0,IF(U$8&lt;&gt;"","LMS",""),IFERROR(IF(SUMIFS(TF_Timer,TF_Nokkel,$A29&amp;"|"&amp;U$5,TF_Akt,"LMS")+IF(U$8="",0,MAX(0,ROUND((U$11-SUMIFS(TF_Timer,TF_Nokkel,$A29&amp;"|"&amp;U$5))*2,0)/2))&gt;INDEX(TF_AktSum,MATCH($A29&amp;"|"&amp;U$5,TF_Dom,0)),"LMS",INDEX(AktKode,MATCH(INDEX(TF_Akt,MATCH($A29&amp;"|"&amp;U$5,TF_Dom,0)),Aktiviteter,0)))&amp;IF(OR(COUNTIFS(TF_Nokkel,$A29&amp;"|"&amp;U$5,TF_Akt,"&lt;&gt;"&amp;INDEX(TF_Akt,MATCH($A29&amp;"|"&amp;U$5,TF_Dom,0)))&gt;0,AND(IF(U$8="",0,MAX(0,ROUND((U$11-SUMIFS(TF_Timer,TF_Nokkel,$A29&amp;"|"&amp;U$5))*2,0)/2))&gt;0,INDEX(TF_Akt,MATCH($A29&amp;"|"&amp;U$5,TF_Dom,0))&lt;&gt;"LMS")),"+",""),"?"))))</f>
        <v/>
      </c>
      <c r="V29" s="13">
        <f>IF(OR($A29="",V$5=""),"",IF(OR(AND(INDEX(TekFra,14)&gt;0,V$5&lt;INDEX(TekFra,14)),AND(INDEX(TekTil,14)&gt;0,V$5&gt;INDEX(TekTil,14))),"",IF(COUNTIFS(TF_Nokkel,$A29&amp;"|"&amp;V$5)=0,IF(V$8&lt;&gt;"","LMS",""),IFERROR(IF(SUMIFS(TF_Timer,TF_Nokkel,$A29&amp;"|"&amp;V$5,TF_Akt,"LMS")+IF(V$8="",0,MAX(0,ROUND((V$11-SUMIFS(TF_Timer,TF_Nokkel,$A29&amp;"|"&amp;V$5))*2,0)/2))&gt;INDEX(TF_AktSum,MATCH($A29&amp;"|"&amp;V$5,TF_Dom,0)),"LMS",INDEX(AktKode,MATCH(INDEX(TF_Akt,MATCH($A29&amp;"|"&amp;V$5,TF_Dom,0)),Aktiviteter,0)))&amp;IF(OR(COUNTIFS(TF_Nokkel,$A29&amp;"|"&amp;V$5,TF_Akt,"&lt;&gt;"&amp;INDEX(TF_Akt,MATCH($A29&amp;"|"&amp;V$5,TF_Dom,0)))&gt;0,AND(IF(V$8="",0,MAX(0,ROUND((V$11-SUMIFS(TF_Timer,TF_Nokkel,$A29&amp;"|"&amp;V$5))*2,0)/2))&gt;0,INDEX(TF_Akt,MATCH($A29&amp;"|"&amp;V$5,TF_Dom,0))&lt;&gt;"LMS")),"+",""),"?"))))</f>
        <v/>
      </c>
      <c r="W29" s="13">
        <f>IF(OR($A29="",W$5=""),"",IF(OR(AND(INDEX(TekFra,14)&gt;0,W$5&lt;INDEX(TekFra,14)),AND(INDEX(TekTil,14)&gt;0,W$5&gt;INDEX(TekTil,14))),"",IF(COUNTIFS(TF_Nokkel,$A29&amp;"|"&amp;W$5)=0,IF(W$8&lt;&gt;"","LMS",""),IFERROR(IF(SUMIFS(TF_Timer,TF_Nokkel,$A29&amp;"|"&amp;W$5,TF_Akt,"LMS")+IF(W$8="",0,MAX(0,ROUND((W$11-SUMIFS(TF_Timer,TF_Nokkel,$A29&amp;"|"&amp;W$5))*2,0)/2))&gt;INDEX(TF_AktSum,MATCH($A29&amp;"|"&amp;W$5,TF_Dom,0)),"LMS",INDEX(AktKode,MATCH(INDEX(TF_Akt,MATCH($A29&amp;"|"&amp;W$5,TF_Dom,0)),Aktiviteter,0)))&amp;IF(OR(COUNTIFS(TF_Nokkel,$A29&amp;"|"&amp;W$5,TF_Akt,"&lt;&gt;"&amp;INDEX(TF_Akt,MATCH($A29&amp;"|"&amp;W$5,TF_Dom,0)))&gt;0,AND(IF(W$8="",0,MAX(0,ROUND((W$11-SUMIFS(TF_Timer,TF_Nokkel,$A29&amp;"|"&amp;W$5))*2,0)/2))&gt;0,INDEX(TF_Akt,MATCH($A29&amp;"|"&amp;W$5,TF_Dom,0))&lt;&gt;"LMS")),"+",""),"?"))))</f>
        <v/>
      </c>
      <c r="X29" s="13">
        <f>IF(OR($A29="",X$5=""),"",IF(OR(AND(INDEX(TekFra,14)&gt;0,X$5&lt;INDEX(TekFra,14)),AND(INDEX(TekTil,14)&gt;0,X$5&gt;INDEX(TekTil,14))),"",IF(COUNTIFS(TF_Nokkel,$A29&amp;"|"&amp;X$5)=0,IF(X$8&lt;&gt;"","LMS",""),IFERROR(IF(SUMIFS(TF_Timer,TF_Nokkel,$A29&amp;"|"&amp;X$5,TF_Akt,"LMS")+IF(X$8="",0,MAX(0,ROUND((X$11-SUMIFS(TF_Timer,TF_Nokkel,$A29&amp;"|"&amp;X$5))*2,0)/2))&gt;INDEX(TF_AktSum,MATCH($A29&amp;"|"&amp;X$5,TF_Dom,0)),"LMS",INDEX(AktKode,MATCH(INDEX(TF_Akt,MATCH($A29&amp;"|"&amp;X$5,TF_Dom,0)),Aktiviteter,0)))&amp;IF(OR(COUNTIFS(TF_Nokkel,$A29&amp;"|"&amp;X$5,TF_Akt,"&lt;&gt;"&amp;INDEX(TF_Akt,MATCH($A29&amp;"|"&amp;X$5,TF_Dom,0)))&gt;0,AND(IF(X$8="",0,MAX(0,ROUND((X$11-SUMIFS(TF_Timer,TF_Nokkel,$A29&amp;"|"&amp;X$5))*2,0)/2))&gt;0,INDEX(TF_Akt,MATCH($A29&amp;"|"&amp;X$5,TF_Dom,0))&lt;&gt;"LMS")),"+",""),"?"))))</f>
        <v/>
      </c>
      <c r="Y29" s="13">
        <f>IF(OR($A29="",Y$5=""),"",IF(OR(AND(INDEX(TekFra,14)&gt;0,Y$5&lt;INDEX(TekFra,14)),AND(INDEX(TekTil,14)&gt;0,Y$5&gt;INDEX(TekTil,14))),"",IF(COUNTIFS(TF_Nokkel,$A29&amp;"|"&amp;Y$5)=0,IF(Y$8&lt;&gt;"","LMS",""),IFERROR(IF(SUMIFS(TF_Timer,TF_Nokkel,$A29&amp;"|"&amp;Y$5,TF_Akt,"LMS")+IF(Y$8="",0,MAX(0,ROUND((Y$11-SUMIFS(TF_Timer,TF_Nokkel,$A29&amp;"|"&amp;Y$5))*2,0)/2))&gt;INDEX(TF_AktSum,MATCH($A29&amp;"|"&amp;Y$5,TF_Dom,0)),"LMS",INDEX(AktKode,MATCH(INDEX(TF_Akt,MATCH($A29&amp;"|"&amp;Y$5,TF_Dom,0)),Aktiviteter,0)))&amp;IF(OR(COUNTIFS(TF_Nokkel,$A29&amp;"|"&amp;Y$5,TF_Akt,"&lt;&gt;"&amp;INDEX(TF_Akt,MATCH($A29&amp;"|"&amp;Y$5,TF_Dom,0)))&gt;0,AND(IF(Y$8="",0,MAX(0,ROUND((Y$11-SUMIFS(TF_Timer,TF_Nokkel,$A29&amp;"|"&amp;Y$5))*2,0)/2))&gt;0,INDEX(TF_Akt,MATCH($A29&amp;"|"&amp;Y$5,TF_Dom,0))&lt;&gt;"LMS")),"+",""),"?"))))</f>
        <v/>
      </c>
      <c r="Z29" s="13">
        <f>IF(OR($A29="",Z$5=""),"",IF(OR(AND(INDEX(TekFra,14)&gt;0,Z$5&lt;INDEX(TekFra,14)),AND(INDEX(TekTil,14)&gt;0,Z$5&gt;INDEX(TekTil,14))),"",IF(COUNTIFS(TF_Nokkel,$A29&amp;"|"&amp;Z$5)=0,IF(Z$8&lt;&gt;"","LMS",""),IFERROR(IF(SUMIFS(TF_Timer,TF_Nokkel,$A29&amp;"|"&amp;Z$5,TF_Akt,"LMS")+IF(Z$8="",0,MAX(0,ROUND((Z$11-SUMIFS(TF_Timer,TF_Nokkel,$A29&amp;"|"&amp;Z$5))*2,0)/2))&gt;INDEX(TF_AktSum,MATCH($A29&amp;"|"&amp;Z$5,TF_Dom,0)),"LMS",INDEX(AktKode,MATCH(INDEX(TF_Akt,MATCH($A29&amp;"|"&amp;Z$5,TF_Dom,0)),Aktiviteter,0)))&amp;IF(OR(COUNTIFS(TF_Nokkel,$A29&amp;"|"&amp;Z$5,TF_Akt,"&lt;&gt;"&amp;INDEX(TF_Akt,MATCH($A29&amp;"|"&amp;Z$5,TF_Dom,0)))&gt;0,AND(IF(Z$8="",0,MAX(0,ROUND((Z$11-SUMIFS(TF_Timer,TF_Nokkel,$A29&amp;"|"&amp;Z$5))*2,0)/2))&gt;0,INDEX(TF_Akt,MATCH($A29&amp;"|"&amp;Z$5,TF_Dom,0))&lt;&gt;"LMS")),"+",""),"?"))))</f>
        <v/>
      </c>
      <c r="AA29" s="13">
        <f>IF(OR($A29="",AA$5=""),"",IF(OR(AND(INDEX(TekFra,14)&gt;0,AA$5&lt;INDEX(TekFra,14)),AND(INDEX(TekTil,14)&gt;0,AA$5&gt;INDEX(TekTil,14))),"",IF(COUNTIFS(TF_Nokkel,$A29&amp;"|"&amp;AA$5)=0,IF(AA$8&lt;&gt;"","LMS",""),IFERROR(IF(SUMIFS(TF_Timer,TF_Nokkel,$A29&amp;"|"&amp;AA$5,TF_Akt,"LMS")+IF(AA$8="",0,MAX(0,ROUND((AA$11-SUMIFS(TF_Timer,TF_Nokkel,$A29&amp;"|"&amp;AA$5))*2,0)/2))&gt;INDEX(TF_AktSum,MATCH($A29&amp;"|"&amp;AA$5,TF_Dom,0)),"LMS",INDEX(AktKode,MATCH(INDEX(TF_Akt,MATCH($A29&amp;"|"&amp;AA$5,TF_Dom,0)),Aktiviteter,0)))&amp;IF(OR(COUNTIFS(TF_Nokkel,$A29&amp;"|"&amp;AA$5,TF_Akt,"&lt;&gt;"&amp;INDEX(TF_Akt,MATCH($A29&amp;"|"&amp;AA$5,TF_Dom,0)))&gt;0,AND(IF(AA$8="",0,MAX(0,ROUND((AA$11-SUMIFS(TF_Timer,TF_Nokkel,$A29&amp;"|"&amp;AA$5))*2,0)/2))&gt;0,INDEX(TF_Akt,MATCH($A29&amp;"|"&amp;AA$5,TF_Dom,0))&lt;&gt;"LMS")),"+",""),"?"))))</f>
        <v/>
      </c>
      <c r="AB29" s="13">
        <f>IF(OR($A29="",AB$5=""),"",IF(OR(AND(INDEX(TekFra,14)&gt;0,AB$5&lt;INDEX(TekFra,14)),AND(INDEX(TekTil,14)&gt;0,AB$5&gt;INDEX(TekTil,14))),"",IF(COUNTIFS(TF_Nokkel,$A29&amp;"|"&amp;AB$5)=0,IF(AB$8&lt;&gt;"","LMS",""),IFERROR(IF(SUMIFS(TF_Timer,TF_Nokkel,$A29&amp;"|"&amp;AB$5,TF_Akt,"LMS")+IF(AB$8="",0,MAX(0,ROUND((AB$11-SUMIFS(TF_Timer,TF_Nokkel,$A29&amp;"|"&amp;AB$5))*2,0)/2))&gt;INDEX(TF_AktSum,MATCH($A29&amp;"|"&amp;AB$5,TF_Dom,0)),"LMS",INDEX(AktKode,MATCH(INDEX(TF_Akt,MATCH($A29&amp;"|"&amp;AB$5,TF_Dom,0)),Aktiviteter,0)))&amp;IF(OR(COUNTIFS(TF_Nokkel,$A29&amp;"|"&amp;AB$5,TF_Akt,"&lt;&gt;"&amp;INDEX(TF_Akt,MATCH($A29&amp;"|"&amp;AB$5,TF_Dom,0)))&gt;0,AND(IF(AB$8="",0,MAX(0,ROUND((AB$11-SUMIFS(TF_Timer,TF_Nokkel,$A29&amp;"|"&amp;AB$5))*2,0)/2))&gt;0,INDEX(TF_Akt,MATCH($A29&amp;"|"&amp;AB$5,TF_Dom,0))&lt;&gt;"LMS")),"+",""),"?"))))</f>
        <v/>
      </c>
      <c r="AC29" s="13">
        <f>IF(OR($A29="",AC$5=""),"",IF(OR(AND(INDEX(TekFra,14)&gt;0,AC$5&lt;INDEX(TekFra,14)),AND(INDEX(TekTil,14)&gt;0,AC$5&gt;INDEX(TekTil,14))),"",IF(COUNTIFS(TF_Nokkel,$A29&amp;"|"&amp;AC$5)=0,IF(AC$8&lt;&gt;"","LMS",""),IFERROR(IF(SUMIFS(TF_Timer,TF_Nokkel,$A29&amp;"|"&amp;AC$5,TF_Akt,"LMS")+IF(AC$8="",0,MAX(0,ROUND((AC$11-SUMIFS(TF_Timer,TF_Nokkel,$A29&amp;"|"&amp;AC$5))*2,0)/2))&gt;INDEX(TF_AktSum,MATCH($A29&amp;"|"&amp;AC$5,TF_Dom,0)),"LMS",INDEX(AktKode,MATCH(INDEX(TF_Akt,MATCH($A29&amp;"|"&amp;AC$5,TF_Dom,0)),Aktiviteter,0)))&amp;IF(OR(COUNTIFS(TF_Nokkel,$A29&amp;"|"&amp;AC$5,TF_Akt,"&lt;&gt;"&amp;INDEX(TF_Akt,MATCH($A29&amp;"|"&amp;AC$5,TF_Dom,0)))&gt;0,AND(IF(AC$8="",0,MAX(0,ROUND((AC$11-SUMIFS(TF_Timer,TF_Nokkel,$A29&amp;"|"&amp;AC$5))*2,0)/2))&gt;0,INDEX(TF_Akt,MATCH($A29&amp;"|"&amp;AC$5,TF_Dom,0))&lt;&gt;"LMS")),"+",""),"?"))))</f>
        <v/>
      </c>
      <c r="AD29" s="13">
        <f>IF(OR($A29="",AD$5=""),"",IF(OR(AND(INDEX(TekFra,14)&gt;0,AD$5&lt;INDEX(TekFra,14)),AND(INDEX(TekTil,14)&gt;0,AD$5&gt;INDEX(TekTil,14))),"",IF(COUNTIFS(TF_Nokkel,$A29&amp;"|"&amp;AD$5)=0,IF(AD$8&lt;&gt;"","LMS",""),IFERROR(IF(SUMIFS(TF_Timer,TF_Nokkel,$A29&amp;"|"&amp;AD$5,TF_Akt,"LMS")+IF(AD$8="",0,MAX(0,ROUND((AD$11-SUMIFS(TF_Timer,TF_Nokkel,$A29&amp;"|"&amp;AD$5))*2,0)/2))&gt;INDEX(TF_AktSum,MATCH($A29&amp;"|"&amp;AD$5,TF_Dom,0)),"LMS",INDEX(AktKode,MATCH(INDEX(TF_Akt,MATCH($A29&amp;"|"&amp;AD$5,TF_Dom,0)),Aktiviteter,0)))&amp;IF(OR(COUNTIFS(TF_Nokkel,$A29&amp;"|"&amp;AD$5,TF_Akt,"&lt;&gt;"&amp;INDEX(TF_Akt,MATCH($A29&amp;"|"&amp;AD$5,TF_Dom,0)))&gt;0,AND(IF(AD$8="",0,MAX(0,ROUND((AD$11-SUMIFS(TF_Timer,TF_Nokkel,$A29&amp;"|"&amp;AD$5))*2,0)/2))&gt;0,INDEX(TF_Akt,MATCH($A29&amp;"|"&amp;AD$5,TF_Dom,0))&lt;&gt;"LMS")),"+",""),"?"))))</f>
        <v/>
      </c>
      <c r="AE29" s="13">
        <f>IF(OR($A29="",AE$5=""),"",IF(OR(AND(INDEX(TekFra,14)&gt;0,AE$5&lt;INDEX(TekFra,14)),AND(INDEX(TekTil,14)&gt;0,AE$5&gt;INDEX(TekTil,14))),"",IF(COUNTIFS(TF_Nokkel,$A29&amp;"|"&amp;AE$5)=0,IF(AE$8&lt;&gt;"","LMS",""),IFERROR(IF(SUMIFS(TF_Timer,TF_Nokkel,$A29&amp;"|"&amp;AE$5,TF_Akt,"LMS")+IF(AE$8="",0,MAX(0,ROUND((AE$11-SUMIFS(TF_Timer,TF_Nokkel,$A29&amp;"|"&amp;AE$5))*2,0)/2))&gt;INDEX(TF_AktSum,MATCH($A29&amp;"|"&amp;AE$5,TF_Dom,0)),"LMS",INDEX(AktKode,MATCH(INDEX(TF_Akt,MATCH($A29&amp;"|"&amp;AE$5,TF_Dom,0)),Aktiviteter,0)))&amp;IF(OR(COUNTIFS(TF_Nokkel,$A29&amp;"|"&amp;AE$5,TF_Akt,"&lt;&gt;"&amp;INDEX(TF_Akt,MATCH($A29&amp;"|"&amp;AE$5,TF_Dom,0)))&gt;0,AND(IF(AE$8="",0,MAX(0,ROUND((AE$11-SUMIFS(TF_Timer,TF_Nokkel,$A29&amp;"|"&amp;AE$5))*2,0)/2))&gt;0,INDEX(TF_Akt,MATCH($A29&amp;"|"&amp;AE$5,TF_Dom,0))&lt;&gt;"LMS")),"+",""),"?"))))</f>
        <v/>
      </c>
      <c r="AF29" s="13">
        <f>IF(OR($A29="",AF$5=""),"",IF(OR(AND(INDEX(TekFra,14)&gt;0,AF$5&lt;INDEX(TekFra,14)),AND(INDEX(TekTil,14)&gt;0,AF$5&gt;INDEX(TekTil,14))),"",IF(COUNTIFS(TF_Nokkel,$A29&amp;"|"&amp;AF$5)=0,IF(AF$8&lt;&gt;"","LMS",""),IFERROR(IF(SUMIFS(TF_Timer,TF_Nokkel,$A29&amp;"|"&amp;AF$5,TF_Akt,"LMS")+IF(AF$8="",0,MAX(0,ROUND((AF$11-SUMIFS(TF_Timer,TF_Nokkel,$A29&amp;"|"&amp;AF$5))*2,0)/2))&gt;INDEX(TF_AktSum,MATCH($A29&amp;"|"&amp;AF$5,TF_Dom,0)),"LMS",INDEX(AktKode,MATCH(INDEX(TF_Akt,MATCH($A29&amp;"|"&amp;AF$5,TF_Dom,0)),Aktiviteter,0)))&amp;IF(OR(COUNTIFS(TF_Nokkel,$A29&amp;"|"&amp;AF$5,TF_Akt,"&lt;&gt;"&amp;INDEX(TF_Akt,MATCH($A29&amp;"|"&amp;AF$5,TF_Dom,0)))&gt;0,AND(IF(AF$8="",0,MAX(0,ROUND((AF$11-SUMIFS(TF_Timer,TF_Nokkel,$A29&amp;"|"&amp;AF$5))*2,0)/2))&gt;0,INDEX(TF_Akt,MATCH($A29&amp;"|"&amp;AF$5,TF_Dom,0))&lt;&gt;"LMS")),"+",""),"?"))))</f>
        <v/>
      </c>
      <c r="AG29" s="13">
        <f>IF(OR($A29="",AG$5=""),"",IF(OR(AND(INDEX(TekFra,14)&gt;0,AG$5&lt;INDEX(TekFra,14)),AND(INDEX(TekTil,14)&gt;0,AG$5&gt;INDEX(TekTil,14))),"",IF(COUNTIFS(TF_Nokkel,$A29&amp;"|"&amp;AG$5)=0,IF(AG$8&lt;&gt;"","LMS",""),IFERROR(IF(SUMIFS(TF_Timer,TF_Nokkel,$A29&amp;"|"&amp;AG$5,TF_Akt,"LMS")+IF(AG$8="",0,MAX(0,ROUND((AG$11-SUMIFS(TF_Timer,TF_Nokkel,$A29&amp;"|"&amp;AG$5))*2,0)/2))&gt;INDEX(TF_AktSum,MATCH($A29&amp;"|"&amp;AG$5,TF_Dom,0)),"LMS",INDEX(AktKode,MATCH(INDEX(TF_Akt,MATCH($A29&amp;"|"&amp;AG$5,TF_Dom,0)),Aktiviteter,0)))&amp;IF(OR(COUNTIFS(TF_Nokkel,$A29&amp;"|"&amp;AG$5,TF_Akt,"&lt;&gt;"&amp;INDEX(TF_Akt,MATCH($A29&amp;"|"&amp;AG$5,TF_Dom,0)))&gt;0,AND(IF(AG$8="",0,MAX(0,ROUND((AG$11-SUMIFS(TF_Timer,TF_Nokkel,$A29&amp;"|"&amp;AG$5))*2,0)/2))&gt;0,INDEX(TF_Akt,MATCH($A29&amp;"|"&amp;AG$5,TF_Dom,0))&lt;&gt;"LMS")),"+",""),"?"))))</f>
        <v/>
      </c>
      <c r="AH29" s="2" t="n"/>
      <c r="AI29" s="27" t="inlineStr">
        <is>
          <t>K</t>
        </is>
      </c>
      <c r="AJ29" s="15" t="inlineStr">
        <is>
          <t>Kveld</t>
        </is>
      </c>
    </row>
    <row r="30">
      <c r="A30" s="2">
        <f>INDEX(Teknikere,15)&amp;""</f>
        <v/>
      </c>
      <c r="B30" s="12">
        <f>IF(INDEX(TekFra,15)&gt;0,"ekstra","")</f>
        <v/>
      </c>
      <c r="C30" s="13">
        <f>IF(OR($A30="",C$5=""),"",IF(OR(AND(INDEX(TekFra,15)&gt;0,C$5&lt;INDEX(TekFra,15)),AND(INDEX(TekTil,15)&gt;0,C$5&gt;INDEX(TekTil,15))),"",IF(COUNTIFS(TF_Nokkel,$A30&amp;"|"&amp;C$5)=0,IF(C$8&lt;&gt;"","LMS",""),IFERROR(IF(SUMIFS(TF_Timer,TF_Nokkel,$A30&amp;"|"&amp;C$5,TF_Akt,"LMS")+IF(C$8="",0,MAX(0,ROUND((C$11-SUMIFS(TF_Timer,TF_Nokkel,$A30&amp;"|"&amp;C$5))*2,0)/2))&gt;INDEX(TF_AktSum,MATCH($A30&amp;"|"&amp;C$5,TF_Dom,0)),"LMS",INDEX(AktKode,MATCH(INDEX(TF_Akt,MATCH($A30&amp;"|"&amp;C$5,TF_Dom,0)),Aktiviteter,0)))&amp;IF(OR(COUNTIFS(TF_Nokkel,$A30&amp;"|"&amp;C$5,TF_Akt,"&lt;&gt;"&amp;INDEX(TF_Akt,MATCH($A30&amp;"|"&amp;C$5,TF_Dom,0)))&gt;0,AND(IF(C$8="",0,MAX(0,ROUND((C$11-SUMIFS(TF_Timer,TF_Nokkel,$A30&amp;"|"&amp;C$5))*2,0)/2))&gt;0,INDEX(TF_Akt,MATCH($A30&amp;"|"&amp;C$5,TF_Dom,0))&lt;&gt;"LMS")),"+",""),"?"))))</f>
        <v/>
      </c>
      <c r="D30" s="13">
        <f>IF(OR($A30="",D$5=""),"",IF(OR(AND(INDEX(TekFra,15)&gt;0,D$5&lt;INDEX(TekFra,15)),AND(INDEX(TekTil,15)&gt;0,D$5&gt;INDEX(TekTil,15))),"",IF(COUNTIFS(TF_Nokkel,$A30&amp;"|"&amp;D$5)=0,IF(D$8&lt;&gt;"","LMS",""),IFERROR(IF(SUMIFS(TF_Timer,TF_Nokkel,$A30&amp;"|"&amp;D$5,TF_Akt,"LMS")+IF(D$8="",0,MAX(0,ROUND((D$11-SUMIFS(TF_Timer,TF_Nokkel,$A30&amp;"|"&amp;D$5))*2,0)/2))&gt;INDEX(TF_AktSum,MATCH($A30&amp;"|"&amp;D$5,TF_Dom,0)),"LMS",INDEX(AktKode,MATCH(INDEX(TF_Akt,MATCH($A30&amp;"|"&amp;D$5,TF_Dom,0)),Aktiviteter,0)))&amp;IF(OR(COUNTIFS(TF_Nokkel,$A30&amp;"|"&amp;D$5,TF_Akt,"&lt;&gt;"&amp;INDEX(TF_Akt,MATCH($A30&amp;"|"&amp;D$5,TF_Dom,0)))&gt;0,AND(IF(D$8="",0,MAX(0,ROUND((D$11-SUMIFS(TF_Timer,TF_Nokkel,$A30&amp;"|"&amp;D$5))*2,0)/2))&gt;0,INDEX(TF_Akt,MATCH($A30&amp;"|"&amp;D$5,TF_Dom,0))&lt;&gt;"LMS")),"+",""),"?"))))</f>
        <v/>
      </c>
      <c r="E30" s="13">
        <f>IF(OR($A30="",E$5=""),"",IF(OR(AND(INDEX(TekFra,15)&gt;0,E$5&lt;INDEX(TekFra,15)),AND(INDEX(TekTil,15)&gt;0,E$5&gt;INDEX(TekTil,15))),"",IF(COUNTIFS(TF_Nokkel,$A30&amp;"|"&amp;E$5)=0,IF(E$8&lt;&gt;"","LMS",""),IFERROR(IF(SUMIFS(TF_Timer,TF_Nokkel,$A30&amp;"|"&amp;E$5,TF_Akt,"LMS")+IF(E$8="",0,MAX(0,ROUND((E$11-SUMIFS(TF_Timer,TF_Nokkel,$A30&amp;"|"&amp;E$5))*2,0)/2))&gt;INDEX(TF_AktSum,MATCH($A30&amp;"|"&amp;E$5,TF_Dom,0)),"LMS",INDEX(AktKode,MATCH(INDEX(TF_Akt,MATCH($A30&amp;"|"&amp;E$5,TF_Dom,0)),Aktiviteter,0)))&amp;IF(OR(COUNTIFS(TF_Nokkel,$A30&amp;"|"&amp;E$5,TF_Akt,"&lt;&gt;"&amp;INDEX(TF_Akt,MATCH($A30&amp;"|"&amp;E$5,TF_Dom,0)))&gt;0,AND(IF(E$8="",0,MAX(0,ROUND((E$11-SUMIFS(TF_Timer,TF_Nokkel,$A30&amp;"|"&amp;E$5))*2,0)/2))&gt;0,INDEX(TF_Akt,MATCH($A30&amp;"|"&amp;E$5,TF_Dom,0))&lt;&gt;"LMS")),"+",""),"?"))))</f>
        <v/>
      </c>
      <c r="F30" s="13">
        <f>IF(OR($A30="",F$5=""),"",IF(OR(AND(INDEX(TekFra,15)&gt;0,F$5&lt;INDEX(TekFra,15)),AND(INDEX(TekTil,15)&gt;0,F$5&gt;INDEX(TekTil,15))),"",IF(COUNTIFS(TF_Nokkel,$A30&amp;"|"&amp;F$5)=0,IF(F$8&lt;&gt;"","LMS",""),IFERROR(IF(SUMIFS(TF_Timer,TF_Nokkel,$A30&amp;"|"&amp;F$5,TF_Akt,"LMS")+IF(F$8="",0,MAX(0,ROUND((F$11-SUMIFS(TF_Timer,TF_Nokkel,$A30&amp;"|"&amp;F$5))*2,0)/2))&gt;INDEX(TF_AktSum,MATCH($A30&amp;"|"&amp;F$5,TF_Dom,0)),"LMS",INDEX(AktKode,MATCH(INDEX(TF_Akt,MATCH($A30&amp;"|"&amp;F$5,TF_Dom,0)),Aktiviteter,0)))&amp;IF(OR(COUNTIFS(TF_Nokkel,$A30&amp;"|"&amp;F$5,TF_Akt,"&lt;&gt;"&amp;INDEX(TF_Akt,MATCH($A30&amp;"|"&amp;F$5,TF_Dom,0)))&gt;0,AND(IF(F$8="",0,MAX(0,ROUND((F$11-SUMIFS(TF_Timer,TF_Nokkel,$A30&amp;"|"&amp;F$5))*2,0)/2))&gt;0,INDEX(TF_Akt,MATCH($A30&amp;"|"&amp;F$5,TF_Dom,0))&lt;&gt;"LMS")),"+",""),"?"))))</f>
        <v/>
      </c>
      <c r="G30" s="13">
        <f>IF(OR($A30="",G$5=""),"",IF(OR(AND(INDEX(TekFra,15)&gt;0,G$5&lt;INDEX(TekFra,15)),AND(INDEX(TekTil,15)&gt;0,G$5&gt;INDEX(TekTil,15))),"",IF(COUNTIFS(TF_Nokkel,$A30&amp;"|"&amp;G$5)=0,IF(G$8&lt;&gt;"","LMS",""),IFERROR(IF(SUMIFS(TF_Timer,TF_Nokkel,$A30&amp;"|"&amp;G$5,TF_Akt,"LMS")+IF(G$8="",0,MAX(0,ROUND((G$11-SUMIFS(TF_Timer,TF_Nokkel,$A30&amp;"|"&amp;G$5))*2,0)/2))&gt;INDEX(TF_AktSum,MATCH($A30&amp;"|"&amp;G$5,TF_Dom,0)),"LMS",INDEX(AktKode,MATCH(INDEX(TF_Akt,MATCH($A30&amp;"|"&amp;G$5,TF_Dom,0)),Aktiviteter,0)))&amp;IF(OR(COUNTIFS(TF_Nokkel,$A30&amp;"|"&amp;G$5,TF_Akt,"&lt;&gt;"&amp;INDEX(TF_Akt,MATCH($A30&amp;"|"&amp;G$5,TF_Dom,0)))&gt;0,AND(IF(G$8="",0,MAX(0,ROUND((G$11-SUMIFS(TF_Timer,TF_Nokkel,$A30&amp;"|"&amp;G$5))*2,0)/2))&gt;0,INDEX(TF_Akt,MATCH($A30&amp;"|"&amp;G$5,TF_Dom,0))&lt;&gt;"LMS")),"+",""),"?"))))</f>
        <v/>
      </c>
      <c r="H30" s="13">
        <f>IF(OR($A30="",H$5=""),"",IF(OR(AND(INDEX(TekFra,15)&gt;0,H$5&lt;INDEX(TekFra,15)),AND(INDEX(TekTil,15)&gt;0,H$5&gt;INDEX(TekTil,15))),"",IF(COUNTIFS(TF_Nokkel,$A30&amp;"|"&amp;H$5)=0,IF(H$8&lt;&gt;"","LMS",""),IFERROR(IF(SUMIFS(TF_Timer,TF_Nokkel,$A30&amp;"|"&amp;H$5,TF_Akt,"LMS")+IF(H$8="",0,MAX(0,ROUND((H$11-SUMIFS(TF_Timer,TF_Nokkel,$A30&amp;"|"&amp;H$5))*2,0)/2))&gt;INDEX(TF_AktSum,MATCH($A30&amp;"|"&amp;H$5,TF_Dom,0)),"LMS",INDEX(AktKode,MATCH(INDEX(TF_Akt,MATCH($A30&amp;"|"&amp;H$5,TF_Dom,0)),Aktiviteter,0)))&amp;IF(OR(COUNTIFS(TF_Nokkel,$A30&amp;"|"&amp;H$5,TF_Akt,"&lt;&gt;"&amp;INDEX(TF_Akt,MATCH($A30&amp;"|"&amp;H$5,TF_Dom,0)))&gt;0,AND(IF(H$8="",0,MAX(0,ROUND((H$11-SUMIFS(TF_Timer,TF_Nokkel,$A30&amp;"|"&amp;H$5))*2,0)/2))&gt;0,INDEX(TF_Akt,MATCH($A30&amp;"|"&amp;H$5,TF_Dom,0))&lt;&gt;"LMS")),"+",""),"?"))))</f>
        <v/>
      </c>
      <c r="I30" s="13">
        <f>IF(OR($A30="",I$5=""),"",IF(OR(AND(INDEX(TekFra,15)&gt;0,I$5&lt;INDEX(TekFra,15)),AND(INDEX(TekTil,15)&gt;0,I$5&gt;INDEX(TekTil,15))),"",IF(COUNTIFS(TF_Nokkel,$A30&amp;"|"&amp;I$5)=0,IF(I$8&lt;&gt;"","LMS",""),IFERROR(IF(SUMIFS(TF_Timer,TF_Nokkel,$A30&amp;"|"&amp;I$5,TF_Akt,"LMS")+IF(I$8="",0,MAX(0,ROUND((I$11-SUMIFS(TF_Timer,TF_Nokkel,$A30&amp;"|"&amp;I$5))*2,0)/2))&gt;INDEX(TF_AktSum,MATCH($A30&amp;"|"&amp;I$5,TF_Dom,0)),"LMS",INDEX(AktKode,MATCH(INDEX(TF_Akt,MATCH($A30&amp;"|"&amp;I$5,TF_Dom,0)),Aktiviteter,0)))&amp;IF(OR(COUNTIFS(TF_Nokkel,$A30&amp;"|"&amp;I$5,TF_Akt,"&lt;&gt;"&amp;INDEX(TF_Akt,MATCH($A30&amp;"|"&amp;I$5,TF_Dom,0)))&gt;0,AND(IF(I$8="",0,MAX(0,ROUND((I$11-SUMIFS(TF_Timer,TF_Nokkel,$A30&amp;"|"&amp;I$5))*2,0)/2))&gt;0,INDEX(TF_Akt,MATCH($A30&amp;"|"&amp;I$5,TF_Dom,0))&lt;&gt;"LMS")),"+",""),"?"))))</f>
        <v/>
      </c>
      <c r="J30" s="13">
        <f>IF(OR($A30="",J$5=""),"",IF(OR(AND(INDEX(TekFra,15)&gt;0,J$5&lt;INDEX(TekFra,15)),AND(INDEX(TekTil,15)&gt;0,J$5&gt;INDEX(TekTil,15))),"",IF(COUNTIFS(TF_Nokkel,$A30&amp;"|"&amp;J$5)=0,IF(J$8&lt;&gt;"","LMS",""),IFERROR(IF(SUMIFS(TF_Timer,TF_Nokkel,$A30&amp;"|"&amp;J$5,TF_Akt,"LMS")+IF(J$8="",0,MAX(0,ROUND((J$11-SUMIFS(TF_Timer,TF_Nokkel,$A30&amp;"|"&amp;J$5))*2,0)/2))&gt;INDEX(TF_AktSum,MATCH($A30&amp;"|"&amp;J$5,TF_Dom,0)),"LMS",INDEX(AktKode,MATCH(INDEX(TF_Akt,MATCH($A30&amp;"|"&amp;J$5,TF_Dom,0)),Aktiviteter,0)))&amp;IF(OR(COUNTIFS(TF_Nokkel,$A30&amp;"|"&amp;J$5,TF_Akt,"&lt;&gt;"&amp;INDEX(TF_Akt,MATCH($A30&amp;"|"&amp;J$5,TF_Dom,0)))&gt;0,AND(IF(J$8="",0,MAX(0,ROUND((J$11-SUMIFS(TF_Timer,TF_Nokkel,$A30&amp;"|"&amp;J$5))*2,0)/2))&gt;0,INDEX(TF_Akt,MATCH($A30&amp;"|"&amp;J$5,TF_Dom,0))&lt;&gt;"LMS")),"+",""),"?"))))</f>
        <v/>
      </c>
      <c r="K30" s="13">
        <f>IF(OR($A30="",K$5=""),"",IF(OR(AND(INDEX(TekFra,15)&gt;0,K$5&lt;INDEX(TekFra,15)),AND(INDEX(TekTil,15)&gt;0,K$5&gt;INDEX(TekTil,15))),"",IF(COUNTIFS(TF_Nokkel,$A30&amp;"|"&amp;K$5)=0,IF(K$8&lt;&gt;"","LMS",""),IFERROR(IF(SUMIFS(TF_Timer,TF_Nokkel,$A30&amp;"|"&amp;K$5,TF_Akt,"LMS")+IF(K$8="",0,MAX(0,ROUND((K$11-SUMIFS(TF_Timer,TF_Nokkel,$A30&amp;"|"&amp;K$5))*2,0)/2))&gt;INDEX(TF_AktSum,MATCH($A30&amp;"|"&amp;K$5,TF_Dom,0)),"LMS",INDEX(AktKode,MATCH(INDEX(TF_Akt,MATCH($A30&amp;"|"&amp;K$5,TF_Dom,0)),Aktiviteter,0)))&amp;IF(OR(COUNTIFS(TF_Nokkel,$A30&amp;"|"&amp;K$5,TF_Akt,"&lt;&gt;"&amp;INDEX(TF_Akt,MATCH($A30&amp;"|"&amp;K$5,TF_Dom,0)))&gt;0,AND(IF(K$8="",0,MAX(0,ROUND((K$11-SUMIFS(TF_Timer,TF_Nokkel,$A30&amp;"|"&amp;K$5))*2,0)/2))&gt;0,INDEX(TF_Akt,MATCH($A30&amp;"|"&amp;K$5,TF_Dom,0))&lt;&gt;"LMS")),"+",""),"?"))))</f>
        <v/>
      </c>
      <c r="L30" s="13">
        <f>IF(OR($A30="",L$5=""),"",IF(OR(AND(INDEX(TekFra,15)&gt;0,L$5&lt;INDEX(TekFra,15)),AND(INDEX(TekTil,15)&gt;0,L$5&gt;INDEX(TekTil,15))),"",IF(COUNTIFS(TF_Nokkel,$A30&amp;"|"&amp;L$5)=0,IF(L$8&lt;&gt;"","LMS",""),IFERROR(IF(SUMIFS(TF_Timer,TF_Nokkel,$A30&amp;"|"&amp;L$5,TF_Akt,"LMS")+IF(L$8="",0,MAX(0,ROUND((L$11-SUMIFS(TF_Timer,TF_Nokkel,$A30&amp;"|"&amp;L$5))*2,0)/2))&gt;INDEX(TF_AktSum,MATCH($A30&amp;"|"&amp;L$5,TF_Dom,0)),"LMS",INDEX(AktKode,MATCH(INDEX(TF_Akt,MATCH($A30&amp;"|"&amp;L$5,TF_Dom,0)),Aktiviteter,0)))&amp;IF(OR(COUNTIFS(TF_Nokkel,$A30&amp;"|"&amp;L$5,TF_Akt,"&lt;&gt;"&amp;INDEX(TF_Akt,MATCH($A30&amp;"|"&amp;L$5,TF_Dom,0)))&gt;0,AND(IF(L$8="",0,MAX(0,ROUND((L$11-SUMIFS(TF_Timer,TF_Nokkel,$A30&amp;"|"&amp;L$5))*2,0)/2))&gt;0,INDEX(TF_Akt,MATCH($A30&amp;"|"&amp;L$5,TF_Dom,0))&lt;&gt;"LMS")),"+",""),"?"))))</f>
        <v/>
      </c>
      <c r="M30" s="13">
        <f>IF(OR($A30="",M$5=""),"",IF(OR(AND(INDEX(TekFra,15)&gt;0,M$5&lt;INDEX(TekFra,15)),AND(INDEX(TekTil,15)&gt;0,M$5&gt;INDEX(TekTil,15))),"",IF(COUNTIFS(TF_Nokkel,$A30&amp;"|"&amp;M$5)=0,IF(M$8&lt;&gt;"","LMS",""),IFERROR(IF(SUMIFS(TF_Timer,TF_Nokkel,$A30&amp;"|"&amp;M$5,TF_Akt,"LMS")+IF(M$8="",0,MAX(0,ROUND((M$11-SUMIFS(TF_Timer,TF_Nokkel,$A30&amp;"|"&amp;M$5))*2,0)/2))&gt;INDEX(TF_AktSum,MATCH($A30&amp;"|"&amp;M$5,TF_Dom,0)),"LMS",INDEX(AktKode,MATCH(INDEX(TF_Akt,MATCH($A30&amp;"|"&amp;M$5,TF_Dom,0)),Aktiviteter,0)))&amp;IF(OR(COUNTIFS(TF_Nokkel,$A30&amp;"|"&amp;M$5,TF_Akt,"&lt;&gt;"&amp;INDEX(TF_Akt,MATCH($A30&amp;"|"&amp;M$5,TF_Dom,0)))&gt;0,AND(IF(M$8="",0,MAX(0,ROUND((M$11-SUMIFS(TF_Timer,TF_Nokkel,$A30&amp;"|"&amp;M$5))*2,0)/2))&gt;0,INDEX(TF_Akt,MATCH($A30&amp;"|"&amp;M$5,TF_Dom,0))&lt;&gt;"LMS")),"+",""),"?"))))</f>
        <v/>
      </c>
      <c r="N30" s="13">
        <f>IF(OR($A30="",N$5=""),"",IF(OR(AND(INDEX(TekFra,15)&gt;0,N$5&lt;INDEX(TekFra,15)),AND(INDEX(TekTil,15)&gt;0,N$5&gt;INDEX(TekTil,15))),"",IF(COUNTIFS(TF_Nokkel,$A30&amp;"|"&amp;N$5)=0,IF(N$8&lt;&gt;"","LMS",""),IFERROR(IF(SUMIFS(TF_Timer,TF_Nokkel,$A30&amp;"|"&amp;N$5,TF_Akt,"LMS")+IF(N$8="",0,MAX(0,ROUND((N$11-SUMIFS(TF_Timer,TF_Nokkel,$A30&amp;"|"&amp;N$5))*2,0)/2))&gt;INDEX(TF_AktSum,MATCH($A30&amp;"|"&amp;N$5,TF_Dom,0)),"LMS",INDEX(AktKode,MATCH(INDEX(TF_Akt,MATCH($A30&amp;"|"&amp;N$5,TF_Dom,0)),Aktiviteter,0)))&amp;IF(OR(COUNTIFS(TF_Nokkel,$A30&amp;"|"&amp;N$5,TF_Akt,"&lt;&gt;"&amp;INDEX(TF_Akt,MATCH($A30&amp;"|"&amp;N$5,TF_Dom,0)))&gt;0,AND(IF(N$8="",0,MAX(0,ROUND((N$11-SUMIFS(TF_Timer,TF_Nokkel,$A30&amp;"|"&amp;N$5))*2,0)/2))&gt;0,INDEX(TF_Akt,MATCH($A30&amp;"|"&amp;N$5,TF_Dom,0))&lt;&gt;"LMS")),"+",""),"?"))))</f>
        <v/>
      </c>
      <c r="O30" s="13">
        <f>IF(OR($A30="",O$5=""),"",IF(OR(AND(INDEX(TekFra,15)&gt;0,O$5&lt;INDEX(TekFra,15)),AND(INDEX(TekTil,15)&gt;0,O$5&gt;INDEX(TekTil,15))),"",IF(COUNTIFS(TF_Nokkel,$A30&amp;"|"&amp;O$5)=0,IF(O$8&lt;&gt;"","LMS",""),IFERROR(IF(SUMIFS(TF_Timer,TF_Nokkel,$A30&amp;"|"&amp;O$5,TF_Akt,"LMS")+IF(O$8="",0,MAX(0,ROUND((O$11-SUMIFS(TF_Timer,TF_Nokkel,$A30&amp;"|"&amp;O$5))*2,0)/2))&gt;INDEX(TF_AktSum,MATCH($A30&amp;"|"&amp;O$5,TF_Dom,0)),"LMS",INDEX(AktKode,MATCH(INDEX(TF_Akt,MATCH($A30&amp;"|"&amp;O$5,TF_Dom,0)),Aktiviteter,0)))&amp;IF(OR(COUNTIFS(TF_Nokkel,$A30&amp;"|"&amp;O$5,TF_Akt,"&lt;&gt;"&amp;INDEX(TF_Akt,MATCH($A30&amp;"|"&amp;O$5,TF_Dom,0)))&gt;0,AND(IF(O$8="",0,MAX(0,ROUND((O$11-SUMIFS(TF_Timer,TF_Nokkel,$A30&amp;"|"&amp;O$5))*2,0)/2))&gt;0,INDEX(TF_Akt,MATCH($A30&amp;"|"&amp;O$5,TF_Dom,0))&lt;&gt;"LMS")),"+",""),"?"))))</f>
        <v/>
      </c>
      <c r="P30" s="13">
        <f>IF(OR($A30="",P$5=""),"",IF(OR(AND(INDEX(TekFra,15)&gt;0,P$5&lt;INDEX(TekFra,15)),AND(INDEX(TekTil,15)&gt;0,P$5&gt;INDEX(TekTil,15))),"",IF(COUNTIFS(TF_Nokkel,$A30&amp;"|"&amp;P$5)=0,IF(P$8&lt;&gt;"","LMS",""),IFERROR(IF(SUMIFS(TF_Timer,TF_Nokkel,$A30&amp;"|"&amp;P$5,TF_Akt,"LMS")+IF(P$8="",0,MAX(0,ROUND((P$11-SUMIFS(TF_Timer,TF_Nokkel,$A30&amp;"|"&amp;P$5))*2,0)/2))&gt;INDEX(TF_AktSum,MATCH($A30&amp;"|"&amp;P$5,TF_Dom,0)),"LMS",INDEX(AktKode,MATCH(INDEX(TF_Akt,MATCH($A30&amp;"|"&amp;P$5,TF_Dom,0)),Aktiviteter,0)))&amp;IF(OR(COUNTIFS(TF_Nokkel,$A30&amp;"|"&amp;P$5,TF_Akt,"&lt;&gt;"&amp;INDEX(TF_Akt,MATCH($A30&amp;"|"&amp;P$5,TF_Dom,0)))&gt;0,AND(IF(P$8="",0,MAX(0,ROUND((P$11-SUMIFS(TF_Timer,TF_Nokkel,$A30&amp;"|"&amp;P$5))*2,0)/2))&gt;0,INDEX(TF_Akt,MATCH($A30&amp;"|"&amp;P$5,TF_Dom,0))&lt;&gt;"LMS")),"+",""),"?"))))</f>
        <v/>
      </c>
      <c r="Q30" s="13">
        <f>IF(OR($A30="",Q$5=""),"",IF(OR(AND(INDEX(TekFra,15)&gt;0,Q$5&lt;INDEX(TekFra,15)),AND(INDEX(TekTil,15)&gt;0,Q$5&gt;INDEX(TekTil,15))),"",IF(COUNTIFS(TF_Nokkel,$A30&amp;"|"&amp;Q$5)=0,IF(Q$8&lt;&gt;"","LMS",""),IFERROR(IF(SUMIFS(TF_Timer,TF_Nokkel,$A30&amp;"|"&amp;Q$5,TF_Akt,"LMS")+IF(Q$8="",0,MAX(0,ROUND((Q$11-SUMIFS(TF_Timer,TF_Nokkel,$A30&amp;"|"&amp;Q$5))*2,0)/2))&gt;INDEX(TF_AktSum,MATCH($A30&amp;"|"&amp;Q$5,TF_Dom,0)),"LMS",INDEX(AktKode,MATCH(INDEX(TF_Akt,MATCH($A30&amp;"|"&amp;Q$5,TF_Dom,0)),Aktiviteter,0)))&amp;IF(OR(COUNTIFS(TF_Nokkel,$A30&amp;"|"&amp;Q$5,TF_Akt,"&lt;&gt;"&amp;INDEX(TF_Akt,MATCH($A30&amp;"|"&amp;Q$5,TF_Dom,0)))&gt;0,AND(IF(Q$8="",0,MAX(0,ROUND((Q$11-SUMIFS(TF_Timer,TF_Nokkel,$A30&amp;"|"&amp;Q$5))*2,0)/2))&gt;0,INDEX(TF_Akt,MATCH($A30&amp;"|"&amp;Q$5,TF_Dom,0))&lt;&gt;"LMS")),"+",""),"?"))))</f>
        <v/>
      </c>
      <c r="R30" s="13">
        <f>IF(OR($A30="",R$5=""),"",IF(OR(AND(INDEX(TekFra,15)&gt;0,R$5&lt;INDEX(TekFra,15)),AND(INDEX(TekTil,15)&gt;0,R$5&gt;INDEX(TekTil,15))),"",IF(COUNTIFS(TF_Nokkel,$A30&amp;"|"&amp;R$5)=0,IF(R$8&lt;&gt;"","LMS",""),IFERROR(IF(SUMIFS(TF_Timer,TF_Nokkel,$A30&amp;"|"&amp;R$5,TF_Akt,"LMS")+IF(R$8="",0,MAX(0,ROUND((R$11-SUMIFS(TF_Timer,TF_Nokkel,$A30&amp;"|"&amp;R$5))*2,0)/2))&gt;INDEX(TF_AktSum,MATCH($A30&amp;"|"&amp;R$5,TF_Dom,0)),"LMS",INDEX(AktKode,MATCH(INDEX(TF_Akt,MATCH($A30&amp;"|"&amp;R$5,TF_Dom,0)),Aktiviteter,0)))&amp;IF(OR(COUNTIFS(TF_Nokkel,$A30&amp;"|"&amp;R$5,TF_Akt,"&lt;&gt;"&amp;INDEX(TF_Akt,MATCH($A30&amp;"|"&amp;R$5,TF_Dom,0)))&gt;0,AND(IF(R$8="",0,MAX(0,ROUND((R$11-SUMIFS(TF_Timer,TF_Nokkel,$A30&amp;"|"&amp;R$5))*2,0)/2))&gt;0,INDEX(TF_Akt,MATCH($A30&amp;"|"&amp;R$5,TF_Dom,0))&lt;&gt;"LMS")),"+",""),"?"))))</f>
        <v/>
      </c>
      <c r="S30" s="13">
        <f>IF(OR($A30="",S$5=""),"",IF(OR(AND(INDEX(TekFra,15)&gt;0,S$5&lt;INDEX(TekFra,15)),AND(INDEX(TekTil,15)&gt;0,S$5&gt;INDEX(TekTil,15))),"",IF(COUNTIFS(TF_Nokkel,$A30&amp;"|"&amp;S$5)=0,IF(S$8&lt;&gt;"","LMS",""),IFERROR(IF(SUMIFS(TF_Timer,TF_Nokkel,$A30&amp;"|"&amp;S$5,TF_Akt,"LMS")+IF(S$8="",0,MAX(0,ROUND((S$11-SUMIFS(TF_Timer,TF_Nokkel,$A30&amp;"|"&amp;S$5))*2,0)/2))&gt;INDEX(TF_AktSum,MATCH($A30&amp;"|"&amp;S$5,TF_Dom,0)),"LMS",INDEX(AktKode,MATCH(INDEX(TF_Akt,MATCH($A30&amp;"|"&amp;S$5,TF_Dom,0)),Aktiviteter,0)))&amp;IF(OR(COUNTIFS(TF_Nokkel,$A30&amp;"|"&amp;S$5,TF_Akt,"&lt;&gt;"&amp;INDEX(TF_Akt,MATCH($A30&amp;"|"&amp;S$5,TF_Dom,0)))&gt;0,AND(IF(S$8="",0,MAX(0,ROUND((S$11-SUMIFS(TF_Timer,TF_Nokkel,$A30&amp;"|"&amp;S$5))*2,0)/2))&gt;0,INDEX(TF_Akt,MATCH($A30&amp;"|"&amp;S$5,TF_Dom,0))&lt;&gt;"LMS")),"+",""),"?"))))</f>
        <v/>
      </c>
      <c r="T30" s="13">
        <f>IF(OR($A30="",T$5=""),"",IF(OR(AND(INDEX(TekFra,15)&gt;0,T$5&lt;INDEX(TekFra,15)),AND(INDEX(TekTil,15)&gt;0,T$5&gt;INDEX(TekTil,15))),"",IF(COUNTIFS(TF_Nokkel,$A30&amp;"|"&amp;T$5)=0,IF(T$8&lt;&gt;"","LMS",""),IFERROR(IF(SUMIFS(TF_Timer,TF_Nokkel,$A30&amp;"|"&amp;T$5,TF_Akt,"LMS")+IF(T$8="",0,MAX(0,ROUND((T$11-SUMIFS(TF_Timer,TF_Nokkel,$A30&amp;"|"&amp;T$5))*2,0)/2))&gt;INDEX(TF_AktSum,MATCH($A30&amp;"|"&amp;T$5,TF_Dom,0)),"LMS",INDEX(AktKode,MATCH(INDEX(TF_Akt,MATCH($A30&amp;"|"&amp;T$5,TF_Dom,0)),Aktiviteter,0)))&amp;IF(OR(COUNTIFS(TF_Nokkel,$A30&amp;"|"&amp;T$5,TF_Akt,"&lt;&gt;"&amp;INDEX(TF_Akt,MATCH($A30&amp;"|"&amp;T$5,TF_Dom,0)))&gt;0,AND(IF(T$8="",0,MAX(0,ROUND((T$11-SUMIFS(TF_Timer,TF_Nokkel,$A30&amp;"|"&amp;T$5))*2,0)/2))&gt;0,INDEX(TF_Akt,MATCH($A30&amp;"|"&amp;T$5,TF_Dom,0))&lt;&gt;"LMS")),"+",""),"?"))))</f>
        <v/>
      </c>
      <c r="U30" s="13">
        <f>IF(OR($A30="",U$5=""),"",IF(OR(AND(INDEX(TekFra,15)&gt;0,U$5&lt;INDEX(TekFra,15)),AND(INDEX(TekTil,15)&gt;0,U$5&gt;INDEX(TekTil,15))),"",IF(COUNTIFS(TF_Nokkel,$A30&amp;"|"&amp;U$5)=0,IF(U$8&lt;&gt;"","LMS",""),IFERROR(IF(SUMIFS(TF_Timer,TF_Nokkel,$A30&amp;"|"&amp;U$5,TF_Akt,"LMS")+IF(U$8="",0,MAX(0,ROUND((U$11-SUMIFS(TF_Timer,TF_Nokkel,$A30&amp;"|"&amp;U$5))*2,0)/2))&gt;INDEX(TF_AktSum,MATCH($A30&amp;"|"&amp;U$5,TF_Dom,0)),"LMS",INDEX(AktKode,MATCH(INDEX(TF_Akt,MATCH($A30&amp;"|"&amp;U$5,TF_Dom,0)),Aktiviteter,0)))&amp;IF(OR(COUNTIFS(TF_Nokkel,$A30&amp;"|"&amp;U$5,TF_Akt,"&lt;&gt;"&amp;INDEX(TF_Akt,MATCH($A30&amp;"|"&amp;U$5,TF_Dom,0)))&gt;0,AND(IF(U$8="",0,MAX(0,ROUND((U$11-SUMIFS(TF_Timer,TF_Nokkel,$A30&amp;"|"&amp;U$5))*2,0)/2))&gt;0,INDEX(TF_Akt,MATCH($A30&amp;"|"&amp;U$5,TF_Dom,0))&lt;&gt;"LMS")),"+",""),"?"))))</f>
        <v/>
      </c>
      <c r="V30" s="13">
        <f>IF(OR($A30="",V$5=""),"",IF(OR(AND(INDEX(TekFra,15)&gt;0,V$5&lt;INDEX(TekFra,15)),AND(INDEX(TekTil,15)&gt;0,V$5&gt;INDEX(TekTil,15))),"",IF(COUNTIFS(TF_Nokkel,$A30&amp;"|"&amp;V$5)=0,IF(V$8&lt;&gt;"","LMS",""),IFERROR(IF(SUMIFS(TF_Timer,TF_Nokkel,$A30&amp;"|"&amp;V$5,TF_Akt,"LMS")+IF(V$8="",0,MAX(0,ROUND((V$11-SUMIFS(TF_Timer,TF_Nokkel,$A30&amp;"|"&amp;V$5))*2,0)/2))&gt;INDEX(TF_AktSum,MATCH($A30&amp;"|"&amp;V$5,TF_Dom,0)),"LMS",INDEX(AktKode,MATCH(INDEX(TF_Akt,MATCH($A30&amp;"|"&amp;V$5,TF_Dom,0)),Aktiviteter,0)))&amp;IF(OR(COUNTIFS(TF_Nokkel,$A30&amp;"|"&amp;V$5,TF_Akt,"&lt;&gt;"&amp;INDEX(TF_Akt,MATCH($A30&amp;"|"&amp;V$5,TF_Dom,0)))&gt;0,AND(IF(V$8="",0,MAX(0,ROUND((V$11-SUMIFS(TF_Timer,TF_Nokkel,$A30&amp;"|"&amp;V$5))*2,0)/2))&gt;0,INDEX(TF_Akt,MATCH($A30&amp;"|"&amp;V$5,TF_Dom,0))&lt;&gt;"LMS")),"+",""),"?"))))</f>
        <v/>
      </c>
      <c r="W30" s="13">
        <f>IF(OR($A30="",W$5=""),"",IF(OR(AND(INDEX(TekFra,15)&gt;0,W$5&lt;INDEX(TekFra,15)),AND(INDEX(TekTil,15)&gt;0,W$5&gt;INDEX(TekTil,15))),"",IF(COUNTIFS(TF_Nokkel,$A30&amp;"|"&amp;W$5)=0,IF(W$8&lt;&gt;"","LMS",""),IFERROR(IF(SUMIFS(TF_Timer,TF_Nokkel,$A30&amp;"|"&amp;W$5,TF_Akt,"LMS")+IF(W$8="",0,MAX(0,ROUND((W$11-SUMIFS(TF_Timer,TF_Nokkel,$A30&amp;"|"&amp;W$5))*2,0)/2))&gt;INDEX(TF_AktSum,MATCH($A30&amp;"|"&amp;W$5,TF_Dom,0)),"LMS",INDEX(AktKode,MATCH(INDEX(TF_Akt,MATCH($A30&amp;"|"&amp;W$5,TF_Dom,0)),Aktiviteter,0)))&amp;IF(OR(COUNTIFS(TF_Nokkel,$A30&amp;"|"&amp;W$5,TF_Akt,"&lt;&gt;"&amp;INDEX(TF_Akt,MATCH($A30&amp;"|"&amp;W$5,TF_Dom,0)))&gt;0,AND(IF(W$8="",0,MAX(0,ROUND((W$11-SUMIFS(TF_Timer,TF_Nokkel,$A30&amp;"|"&amp;W$5))*2,0)/2))&gt;0,INDEX(TF_Akt,MATCH($A30&amp;"|"&amp;W$5,TF_Dom,0))&lt;&gt;"LMS")),"+",""),"?"))))</f>
        <v/>
      </c>
      <c r="X30" s="13">
        <f>IF(OR($A30="",X$5=""),"",IF(OR(AND(INDEX(TekFra,15)&gt;0,X$5&lt;INDEX(TekFra,15)),AND(INDEX(TekTil,15)&gt;0,X$5&gt;INDEX(TekTil,15))),"",IF(COUNTIFS(TF_Nokkel,$A30&amp;"|"&amp;X$5)=0,IF(X$8&lt;&gt;"","LMS",""),IFERROR(IF(SUMIFS(TF_Timer,TF_Nokkel,$A30&amp;"|"&amp;X$5,TF_Akt,"LMS")+IF(X$8="",0,MAX(0,ROUND((X$11-SUMIFS(TF_Timer,TF_Nokkel,$A30&amp;"|"&amp;X$5))*2,0)/2))&gt;INDEX(TF_AktSum,MATCH($A30&amp;"|"&amp;X$5,TF_Dom,0)),"LMS",INDEX(AktKode,MATCH(INDEX(TF_Akt,MATCH($A30&amp;"|"&amp;X$5,TF_Dom,0)),Aktiviteter,0)))&amp;IF(OR(COUNTIFS(TF_Nokkel,$A30&amp;"|"&amp;X$5,TF_Akt,"&lt;&gt;"&amp;INDEX(TF_Akt,MATCH($A30&amp;"|"&amp;X$5,TF_Dom,0)))&gt;0,AND(IF(X$8="",0,MAX(0,ROUND((X$11-SUMIFS(TF_Timer,TF_Nokkel,$A30&amp;"|"&amp;X$5))*2,0)/2))&gt;0,INDEX(TF_Akt,MATCH($A30&amp;"|"&amp;X$5,TF_Dom,0))&lt;&gt;"LMS")),"+",""),"?"))))</f>
        <v/>
      </c>
      <c r="Y30" s="13">
        <f>IF(OR($A30="",Y$5=""),"",IF(OR(AND(INDEX(TekFra,15)&gt;0,Y$5&lt;INDEX(TekFra,15)),AND(INDEX(TekTil,15)&gt;0,Y$5&gt;INDEX(TekTil,15))),"",IF(COUNTIFS(TF_Nokkel,$A30&amp;"|"&amp;Y$5)=0,IF(Y$8&lt;&gt;"","LMS",""),IFERROR(IF(SUMIFS(TF_Timer,TF_Nokkel,$A30&amp;"|"&amp;Y$5,TF_Akt,"LMS")+IF(Y$8="",0,MAX(0,ROUND((Y$11-SUMIFS(TF_Timer,TF_Nokkel,$A30&amp;"|"&amp;Y$5))*2,0)/2))&gt;INDEX(TF_AktSum,MATCH($A30&amp;"|"&amp;Y$5,TF_Dom,0)),"LMS",INDEX(AktKode,MATCH(INDEX(TF_Akt,MATCH($A30&amp;"|"&amp;Y$5,TF_Dom,0)),Aktiviteter,0)))&amp;IF(OR(COUNTIFS(TF_Nokkel,$A30&amp;"|"&amp;Y$5,TF_Akt,"&lt;&gt;"&amp;INDEX(TF_Akt,MATCH($A30&amp;"|"&amp;Y$5,TF_Dom,0)))&gt;0,AND(IF(Y$8="",0,MAX(0,ROUND((Y$11-SUMIFS(TF_Timer,TF_Nokkel,$A30&amp;"|"&amp;Y$5))*2,0)/2))&gt;0,INDEX(TF_Akt,MATCH($A30&amp;"|"&amp;Y$5,TF_Dom,0))&lt;&gt;"LMS")),"+",""),"?"))))</f>
        <v/>
      </c>
      <c r="Z30" s="13">
        <f>IF(OR($A30="",Z$5=""),"",IF(OR(AND(INDEX(TekFra,15)&gt;0,Z$5&lt;INDEX(TekFra,15)),AND(INDEX(TekTil,15)&gt;0,Z$5&gt;INDEX(TekTil,15))),"",IF(COUNTIFS(TF_Nokkel,$A30&amp;"|"&amp;Z$5)=0,IF(Z$8&lt;&gt;"","LMS",""),IFERROR(IF(SUMIFS(TF_Timer,TF_Nokkel,$A30&amp;"|"&amp;Z$5,TF_Akt,"LMS")+IF(Z$8="",0,MAX(0,ROUND((Z$11-SUMIFS(TF_Timer,TF_Nokkel,$A30&amp;"|"&amp;Z$5))*2,0)/2))&gt;INDEX(TF_AktSum,MATCH($A30&amp;"|"&amp;Z$5,TF_Dom,0)),"LMS",INDEX(AktKode,MATCH(INDEX(TF_Akt,MATCH($A30&amp;"|"&amp;Z$5,TF_Dom,0)),Aktiviteter,0)))&amp;IF(OR(COUNTIFS(TF_Nokkel,$A30&amp;"|"&amp;Z$5,TF_Akt,"&lt;&gt;"&amp;INDEX(TF_Akt,MATCH($A30&amp;"|"&amp;Z$5,TF_Dom,0)))&gt;0,AND(IF(Z$8="",0,MAX(0,ROUND((Z$11-SUMIFS(TF_Timer,TF_Nokkel,$A30&amp;"|"&amp;Z$5))*2,0)/2))&gt;0,INDEX(TF_Akt,MATCH($A30&amp;"|"&amp;Z$5,TF_Dom,0))&lt;&gt;"LMS")),"+",""),"?"))))</f>
        <v/>
      </c>
      <c r="AA30" s="13">
        <f>IF(OR($A30="",AA$5=""),"",IF(OR(AND(INDEX(TekFra,15)&gt;0,AA$5&lt;INDEX(TekFra,15)),AND(INDEX(TekTil,15)&gt;0,AA$5&gt;INDEX(TekTil,15))),"",IF(COUNTIFS(TF_Nokkel,$A30&amp;"|"&amp;AA$5)=0,IF(AA$8&lt;&gt;"","LMS",""),IFERROR(IF(SUMIFS(TF_Timer,TF_Nokkel,$A30&amp;"|"&amp;AA$5,TF_Akt,"LMS")+IF(AA$8="",0,MAX(0,ROUND((AA$11-SUMIFS(TF_Timer,TF_Nokkel,$A30&amp;"|"&amp;AA$5))*2,0)/2))&gt;INDEX(TF_AktSum,MATCH($A30&amp;"|"&amp;AA$5,TF_Dom,0)),"LMS",INDEX(AktKode,MATCH(INDEX(TF_Akt,MATCH($A30&amp;"|"&amp;AA$5,TF_Dom,0)),Aktiviteter,0)))&amp;IF(OR(COUNTIFS(TF_Nokkel,$A30&amp;"|"&amp;AA$5,TF_Akt,"&lt;&gt;"&amp;INDEX(TF_Akt,MATCH($A30&amp;"|"&amp;AA$5,TF_Dom,0)))&gt;0,AND(IF(AA$8="",0,MAX(0,ROUND((AA$11-SUMIFS(TF_Timer,TF_Nokkel,$A30&amp;"|"&amp;AA$5))*2,0)/2))&gt;0,INDEX(TF_Akt,MATCH($A30&amp;"|"&amp;AA$5,TF_Dom,0))&lt;&gt;"LMS")),"+",""),"?"))))</f>
        <v/>
      </c>
      <c r="AB30" s="13">
        <f>IF(OR($A30="",AB$5=""),"",IF(OR(AND(INDEX(TekFra,15)&gt;0,AB$5&lt;INDEX(TekFra,15)),AND(INDEX(TekTil,15)&gt;0,AB$5&gt;INDEX(TekTil,15))),"",IF(COUNTIFS(TF_Nokkel,$A30&amp;"|"&amp;AB$5)=0,IF(AB$8&lt;&gt;"","LMS",""),IFERROR(IF(SUMIFS(TF_Timer,TF_Nokkel,$A30&amp;"|"&amp;AB$5,TF_Akt,"LMS")+IF(AB$8="",0,MAX(0,ROUND((AB$11-SUMIFS(TF_Timer,TF_Nokkel,$A30&amp;"|"&amp;AB$5))*2,0)/2))&gt;INDEX(TF_AktSum,MATCH($A30&amp;"|"&amp;AB$5,TF_Dom,0)),"LMS",INDEX(AktKode,MATCH(INDEX(TF_Akt,MATCH($A30&amp;"|"&amp;AB$5,TF_Dom,0)),Aktiviteter,0)))&amp;IF(OR(COUNTIFS(TF_Nokkel,$A30&amp;"|"&amp;AB$5,TF_Akt,"&lt;&gt;"&amp;INDEX(TF_Akt,MATCH($A30&amp;"|"&amp;AB$5,TF_Dom,0)))&gt;0,AND(IF(AB$8="",0,MAX(0,ROUND((AB$11-SUMIFS(TF_Timer,TF_Nokkel,$A30&amp;"|"&amp;AB$5))*2,0)/2))&gt;0,INDEX(TF_Akt,MATCH($A30&amp;"|"&amp;AB$5,TF_Dom,0))&lt;&gt;"LMS")),"+",""),"?"))))</f>
        <v/>
      </c>
      <c r="AC30" s="13">
        <f>IF(OR($A30="",AC$5=""),"",IF(OR(AND(INDEX(TekFra,15)&gt;0,AC$5&lt;INDEX(TekFra,15)),AND(INDEX(TekTil,15)&gt;0,AC$5&gt;INDEX(TekTil,15))),"",IF(COUNTIFS(TF_Nokkel,$A30&amp;"|"&amp;AC$5)=0,IF(AC$8&lt;&gt;"","LMS",""),IFERROR(IF(SUMIFS(TF_Timer,TF_Nokkel,$A30&amp;"|"&amp;AC$5,TF_Akt,"LMS")+IF(AC$8="",0,MAX(0,ROUND((AC$11-SUMIFS(TF_Timer,TF_Nokkel,$A30&amp;"|"&amp;AC$5))*2,0)/2))&gt;INDEX(TF_AktSum,MATCH($A30&amp;"|"&amp;AC$5,TF_Dom,0)),"LMS",INDEX(AktKode,MATCH(INDEX(TF_Akt,MATCH($A30&amp;"|"&amp;AC$5,TF_Dom,0)),Aktiviteter,0)))&amp;IF(OR(COUNTIFS(TF_Nokkel,$A30&amp;"|"&amp;AC$5,TF_Akt,"&lt;&gt;"&amp;INDEX(TF_Akt,MATCH($A30&amp;"|"&amp;AC$5,TF_Dom,0)))&gt;0,AND(IF(AC$8="",0,MAX(0,ROUND((AC$11-SUMIFS(TF_Timer,TF_Nokkel,$A30&amp;"|"&amp;AC$5))*2,0)/2))&gt;0,INDEX(TF_Akt,MATCH($A30&amp;"|"&amp;AC$5,TF_Dom,0))&lt;&gt;"LMS")),"+",""),"?"))))</f>
        <v/>
      </c>
      <c r="AD30" s="13">
        <f>IF(OR($A30="",AD$5=""),"",IF(OR(AND(INDEX(TekFra,15)&gt;0,AD$5&lt;INDEX(TekFra,15)),AND(INDEX(TekTil,15)&gt;0,AD$5&gt;INDEX(TekTil,15))),"",IF(COUNTIFS(TF_Nokkel,$A30&amp;"|"&amp;AD$5)=0,IF(AD$8&lt;&gt;"","LMS",""),IFERROR(IF(SUMIFS(TF_Timer,TF_Nokkel,$A30&amp;"|"&amp;AD$5,TF_Akt,"LMS")+IF(AD$8="",0,MAX(0,ROUND((AD$11-SUMIFS(TF_Timer,TF_Nokkel,$A30&amp;"|"&amp;AD$5))*2,0)/2))&gt;INDEX(TF_AktSum,MATCH($A30&amp;"|"&amp;AD$5,TF_Dom,0)),"LMS",INDEX(AktKode,MATCH(INDEX(TF_Akt,MATCH($A30&amp;"|"&amp;AD$5,TF_Dom,0)),Aktiviteter,0)))&amp;IF(OR(COUNTIFS(TF_Nokkel,$A30&amp;"|"&amp;AD$5,TF_Akt,"&lt;&gt;"&amp;INDEX(TF_Akt,MATCH($A30&amp;"|"&amp;AD$5,TF_Dom,0)))&gt;0,AND(IF(AD$8="",0,MAX(0,ROUND((AD$11-SUMIFS(TF_Timer,TF_Nokkel,$A30&amp;"|"&amp;AD$5))*2,0)/2))&gt;0,INDEX(TF_Akt,MATCH($A30&amp;"|"&amp;AD$5,TF_Dom,0))&lt;&gt;"LMS")),"+",""),"?"))))</f>
        <v/>
      </c>
      <c r="AE30" s="13">
        <f>IF(OR($A30="",AE$5=""),"",IF(OR(AND(INDEX(TekFra,15)&gt;0,AE$5&lt;INDEX(TekFra,15)),AND(INDEX(TekTil,15)&gt;0,AE$5&gt;INDEX(TekTil,15))),"",IF(COUNTIFS(TF_Nokkel,$A30&amp;"|"&amp;AE$5)=0,IF(AE$8&lt;&gt;"","LMS",""),IFERROR(IF(SUMIFS(TF_Timer,TF_Nokkel,$A30&amp;"|"&amp;AE$5,TF_Akt,"LMS")+IF(AE$8="",0,MAX(0,ROUND((AE$11-SUMIFS(TF_Timer,TF_Nokkel,$A30&amp;"|"&amp;AE$5))*2,0)/2))&gt;INDEX(TF_AktSum,MATCH($A30&amp;"|"&amp;AE$5,TF_Dom,0)),"LMS",INDEX(AktKode,MATCH(INDEX(TF_Akt,MATCH($A30&amp;"|"&amp;AE$5,TF_Dom,0)),Aktiviteter,0)))&amp;IF(OR(COUNTIFS(TF_Nokkel,$A30&amp;"|"&amp;AE$5,TF_Akt,"&lt;&gt;"&amp;INDEX(TF_Akt,MATCH($A30&amp;"|"&amp;AE$5,TF_Dom,0)))&gt;0,AND(IF(AE$8="",0,MAX(0,ROUND((AE$11-SUMIFS(TF_Timer,TF_Nokkel,$A30&amp;"|"&amp;AE$5))*2,0)/2))&gt;0,INDEX(TF_Akt,MATCH($A30&amp;"|"&amp;AE$5,TF_Dom,0))&lt;&gt;"LMS")),"+",""),"?"))))</f>
        <v/>
      </c>
      <c r="AF30" s="13">
        <f>IF(OR($A30="",AF$5=""),"",IF(OR(AND(INDEX(TekFra,15)&gt;0,AF$5&lt;INDEX(TekFra,15)),AND(INDEX(TekTil,15)&gt;0,AF$5&gt;INDEX(TekTil,15))),"",IF(COUNTIFS(TF_Nokkel,$A30&amp;"|"&amp;AF$5)=0,IF(AF$8&lt;&gt;"","LMS",""),IFERROR(IF(SUMIFS(TF_Timer,TF_Nokkel,$A30&amp;"|"&amp;AF$5,TF_Akt,"LMS")+IF(AF$8="",0,MAX(0,ROUND((AF$11-SUMIFS(TF_Timer,TF_Nokkel,$A30&amp;"|"&amp;AF$5))*2,0)/2))&gt;INDEX(TF_AktSum,MATCH($A30&amp;"|"&amp;AF$5,TF_Dom,0)),"LMS",INDEX(AktKode,MATCH(INDEX(TF_Akt,MATCH($A30&amp;"|"&amp;AF$5,TF_Dom,0)),Aktiviteter,0)))&amp;IF(OR(COUNTIFS(TF_Nokkel,$A30&amp;"|"&amp;AF$5,TF_Akt,"&lt;&gt;"&amp;INDEX(TF_Akt,MATCH($A30&amp;"|"&amp;AF$5,TF_Dom,0)))&gt;0,AND(IF(AF$8="",0,MAX(0,ROUND((AF$11-SUMIFS(TF_Timer,TF_Nokkel,$A30&amp;"|"&amp;AF$5))*2,0)/2))&gt;0,INDEX(TF_Akt,MATCH($A30&amp;"|"&amp;AF$5,TF_Dom,0))&lt;&gt;"LMS")),"+",""),"?"))))</f>
        <v/>
      </c>
      <c r="AG30" s="13">
        <f>IF(OR($A30="",AG$5=""),"",IF(OR(AND(INDEX(TekFra,15)&gt;0,AG$5&lt;INDEX(TekFra,15)),AND(INDEX(TekTil,15)&gt;0,AG$5&gt;INDEX(TekTil,15))),"",IF(COUNTIFS(TF_Nokkel,$A30&amp;"|"&amp;AG$5)=0,IF(AG$8&lt;&gt;"","LMS",""),IFERROR(IF(SUMIFS(TF_Timer,TF_Nokkel,$A30&amp;"|"&amp;AG$5,TF_Akt,"LMS")+IF(AG$8="",0,MAX(0,ROUND((AG$11-SUMIFS(TF_Timer,TF_Nokkel,$A30&amp;"|"&amp;AG$5))*2,0)/2))&gt;INDEX(TF_AktSum,MATCH($A30&amp;"|"&amp;AG$5,TF_Dom,0)),"LMS",INDEX(AktKode,MATCH(INDEX(TF_Akt,MATCH($A30&amp;"|"&amp;AG$5,TF_Dom,0)),Aktiviteter,0)))&amp;IF(OR(COUNTIFS(TF_Nokkel,$A30&amp;"|"&amp;AG$5,TF_Akt,"&lt;&gt;"&amp;INDEX(TF_Akt,MATCH($A30&amp;"|"&amp;AG$5,TF_Dom,0)))&gt;0,AND(IF(AG$8="",0,MAX(0,ROUND((AG$11-SUMIFS(TF_Timer,TF_Nokkel,$A30&amp;"|"&amp;AG$5))*2,0)/2))&gt;0,INDEX(TF_Akt,MATCH($A30&amp;"|"&amp;AG$5,TF_Dom,0))&lt;&gt;"LMS")),"+",""),"?"))))</f>
        <v/>
      </c>
      <c r="AH30" s="2" t="n"/>
      <c r="AI30" s="28" t="inlineStr">
        <is>
          <t>H</t>
        </is>
      </c>
      <c r="AJ30" s="15" t="inlineStr">
        <is>
          <t>Helg</t>
        </is>
      </c>
    </row>
    <row r="31">
      <c r="A31" s="2">
        <f>INDEX(Teknikere,16)&amp;""</f>
        <v/>
      </c>
      <c r="B31" s="12">
        <f>IF(INDEX(TekFra,16)&gt;0,"ekstra","")</f>
        <v/>
      </c>
      <c r="C31" s="13">
        <f>IF(OR($A31="",C$5=""),"",IF(OR(AND(INDEX(TekFra,16)&gt;0,C$5&lt;INDEX(TekFra,16)),AND(INDEX(TekTil,16)&gt;0,C$5&gt;INDEX(TekTil,16))),"",IF(COUNTIFS(TF_Nokkel,$A31&amp;"|"&amp;C$5)=0,IF(C$8&lt;&gt;"","LMS",""),IFERROR(IF(SUMIFS(TF_Timer,TF_Nokkel,$A31&amp;"|"&amp;C$5,TF_Akt,"LMS")+IF(C$8="",0,MAX(0,ROUND((C$11-SUMIFS(TF_Timer,TF_Nokkel,$A31&amp;"|"&amp;C$5))*2,0)/2))&gt;INDEX(TF_AktSum,MATCH($A31&amp;"|"&amp;C$5,TF_Dom,0)),"LMS",INDEX(AktKode,MATCH(INDEX(TF_Akt,MATCH($A31&amp;"|"&amp;C$5,TF_Dom,0)),Aktiviteter,0)))&amp;IF(OR(COUNTIFS(TF_Nokkel,$A31&amp;"|"&amp;C$5,TF_Akt,"&lt;&gt;"&amp;INDEX(TF_Akt,MATCH($A31&amp;"|"&amp;C$5,TF_Dom,0)))&gt;0,AND(IF(C$8="",0,MAX(0,ROUND((C$11-SUMIFS(TF_Timer,TF_Nokkel,$A31&amp;"|"&amp;C$5))*2,0)/2))&gt;0,INDEX(TF_Akt,MATCH($A31&amp;"|"&amp;C$5,TF_Dom,0))&lt;&gt;"LMS")),"+",""),"?"))))</f>
        <v/>
      </c>
      <c r="D31" s="13">
        <f>IF(OR($A31="",D$5=""),"",IF(OR(AND(INDEX(TekFra,16)&gt;0,D$5&lt;INDEX(TekFra,16)),AND(INDEX(TekTil,16)&gt;0,D$5&gt;INDEX(TekTil,16))),"",IF(COUNTIFS(TF_Nokkel,$A31&amp;"|"&amp;D$5)=0,IF(D$8&lt;&gt;"","LMS",""),IFERROR(IF(SUMIFS(TF_Timer,TF_Nokkel,$A31&amp;"|"&amp;D$5,TF_Akt,"LMS")+IF(D$8="",0,MAX(0,ROUND((D$11-SUMIFS(TF_Timer,TF_Nokkel,$A31&amp;"|"&amp;D$5))*2,0)/2))&gt;INDEX(TF_AktSum,MATCH($A31&amp;"|"&amp;D$5,TF_Dom,0)),"LMS",INDEX(AktKode,MATCH(INDEX(TF_Akt,MATCH($A31&amp;"|"&amp;D$5,TF_Dom,0)),Aktiviteter,0)))&amp;IF(OR(COUNTIFS(TF_Nokkel,$A31&amp;"|"&amp;D$5,TF_Akt,"&lt;&gt;"&amp;INDEX(TF_Akt,MATCH($A31&amp;"|"&amp;D$5,TF_Dom,0)))&gt;0,AND(IF(D$8="",0,MAX(0,ROUND((D$11-SUMIFS(TF_Timer,TF_Nokkel,$A31&amp;"|"&amp;D$5))*2,0)/2))&gt;0,INDEX(TF_Akt,MATCH($A31&amp;"|"&amp;D$5,TF_Dom,0))&lt;&gt;"LMS")),"+",""),"?"))))</f>
        <v/>
      </c>
      <c r="E31" s="13">
        <f>IF(OR($A31="",E$5=""),"",IF(OR(AND(INDEX(TekFra,16)&gt;0,E$5&lt;INDEX(TekFra,16)),AND(INDEX(TekTil,16)&gt;0,E$5&gt;INDEX(TekTil,16))),"",IF(COUNTIFS(TF_Nokkel,$A31&amp;"|"&amp;E$5)=0,IF(E$8&lt;&gt;"","LMS",""),IFERROR(IF(SUMIFS(TF_Timer,TF_Nokkel,$A31&amp;"|"&amp;E$5,TF_Akt,"LMS")+IF(E$8="",0,MAX(0,ROUND((E$11-SUMIFS(TF_Timer,TF_Nokkel,$A31&amp;"|"&amp;E$5))*2,0)/2))&gt;INDEX(TF_AktSum,MATCH($A31&amp;"|"&amp;E$5,TF_Dom,0)),"LMS",INDEX(AktKode,MATCH(INDEX(TF_Akt,MATCH($A31&amp;"|"&amp;E$5,TF_Dom,0)),Aktiviteter,0)))&amp;IF(OR(COUNTIFS(TF_Nokkel,$A31&amp;"|"&amp;E$5,TF_Akt,"&lt;&gt;"&amp;INDEX(TF_Akt,MATCH($A31&amp;"|"&amp;E$5,TF_Dom,0)))&gt;0,AND(IF(E$8="",0,MAX(0,ROUND((E$11-SUMIFS(TF_Timer,TF_Nokkel,$A31&amp;"|"&amp;E$5))*2,0)/2))&gt;0,INDEX(TF_Akt,MATCH($A31&amp;"|"&amp;E$5,TF_Dom,0))&lt;&gt;"LMS")),"+",""),"?"))))</f>
        <v/>
      </c>
      <c r="F31" s="13">
        <f>IF(OR($A31="",F$5=""),"",IF(OR(AND(INDEX(TekFra,16)&gt;0,F$5&lt;INDEX(TekFra,16)),AND(INDEX(TekTil,16)&gt;0,F$5&gt;INDEX(TekTil,16))),"",IF(COUNTIFS(TF_Nokkel,$A31&amp;"|"&amp;F$5)=0,IF(F$8&lt;&gt;"","LMS",""),IFERROR(IF(SUMIFS(TF_Timer,TF_Nokkel,$A31&amp;"|"&amp;F$5,TF_Akt,"LMS")+IF(F$8="",0,MAX(0,ROUND((F$11-SUMIFS(TF_Timer,TF_Nokkel,$A31&amp;"|"&amp;F$5))*2,0)/2))&gt;INDEX(TF_AktSum,MATCH($A31&amp;"|"&amp;F$5,TF_Dom,0)),"LMS",INDEX(AktKode,MATCH(INDEX(TF_Akt,MATCH($A31&amp;"|"&amp;F$5,TF_Dom,0)),Aktiviteter,0)))&amp;IF(OR(COUNTIFS(TF_Nokkel,$A31&amp;"|"&amp;F$5,TF_Akt,"&lt;&gt;"&amp;INDEX(TF_Akt,MATCH($A31&amp;"|"&amp;F$5,TF_Dom,0)))&gt;0,AND(IF(F$8="",0,MAX(0,ROUND((F$11-SUMIFS(TF_Timer,TF_Nokkel,$A31&amp;"|"&amp;F$5))*2,0)/2))&gt;0,INDEX(TF_Akt,MATCH($A31&amp;"|"&amp;F$5,TF_Dom,0))&lt;&gt;"LMS")),"+",""),"?"))))</f>
        <v/>
      </c>
      <c r="G31" s="13">
        <f>IF(OR($A31="",G$5=""),"",IF(OR(AND(INDEX(TekFra,16)&gt;0,G$5&lt;INDEX(TekFra,16)),AND(INDEX(TekTil,16)&gt;0,G$5&gt;INDEX(TekTil,16))),"",IF(COUNTIFS(TF_Nokkel,$A31&amp;"|"&amp;G$5)=0,IF(G$8&lt;&gt;"","LMS",""),IFERROR(IF(SUMIFS(TF_Timer,TF_Nokkel,$A31&amp;"|"&amp;G$5,TF_Akt,"LMS")+IF(G$8="",0,MAX(0,ROUND((G$11-SUMIFS(TF_Timer,TF_Nokkel,$A31&amp;"|"&amp;G$5))*2,0)/2))&gt;INDEX(TF_AktSum,MATCH($A31&amp;"|"&amp;G$5,TF_Dom,0)),"LMS",INDEX(AktKode,MATCH(INDEX(TF_Akt,MATCH($A31&amp;"|"&amp;G$5,TF_Dom,0)),Aktiviteter,0)))&amp;IF(OR(COUNTIFS(TF_Nokkel,$A31&amp;"|"&amp;G$5,TF_Akt,"&lt;&gt;"&amp;INDEX(TF_Akt,MATCH($A31&amp;"|"&amp;G$5,TF_Dom,0)))&gt;0,AND(IF(G$8="",0,MAX(0,ROUND((G$11-SUMIFS(TF_Timer,TF_Nokkel,$A31&amp;"|"&amp;G$5))*2,0)/2))&gt;0,INDEX(TF_Akt,MATCH($A31&amp;"|"&amp;G$5,TF_Dom,0))&lt;&gt;"LMS")),"+",""),"?"))))</f>
        <v/>
      </c>
      <c r="H31" s="13">
        <f>IF(OR($A31="",H$5=""),"",IF(OR(AND(INDEX(TekFra,16)&gt;0,H$5&lt;INDEX(TekFra,16)),AND(INDEX(TekTil,16)&gt;0,H$5&gt;INDEX(TekTil,16))),"",IF(COUNTIFS(TF_Nokkel,$A31&amp;"|"&amp;H$5)=0,IF(H$8&lt;&gt;"","LMS",""),IFERROR(IF(SUMIFS(TF_Timer,TF_Nokkel,$A31&amp;"|"&amp;H$5,TF_Akt,"LMS")+IF(H$8="",0,MAX(0,ROUND((H$11-SUMIFS(TF_Timer,TF_Nokkel,$A31&amp;"|"&amp;H$5))*2,0)/2))&gt;INDEX(TF_AktSum,MATCH($A31&amp;"|"&amp;H$5,TF_Dom,0)),"LMS",INDEX(AktKode,MATCH(INDEX(TF_Akt,MATCH($A31&amp;"|"&amp;H$5,TF_Dom,0)),Aktiviteter,0)))&amp;IF(OR(COUNTIFS(TF_Nokkel,$A31&amp;"|"&amp;H$5,TF_Akt,"&lt;&gt;"&amp;INDEX(TF_Akt,MATCH($A31&amp;"|"&amp;H$5,TF_Dom,0)))&gt;0,AND(IF(H$8="",0,MAX(0,ROUND((H$11-SUMIFS(TF_Timer,TF_Nokkel,$A31&amp;"|"&amp;H$5))*2,0)/2))&gt;0,INDEX(TF_Akt,MATCH($A31&amp;"|"&amp;H$5,TF_Dom,0))&lt;&gt;"LMS")),"+",""),"?"))))</f>
        <v/>
      </c>
      <c r="I31" s="13">
        <f>IF(OR($A31="",I$5=""),"",IF(OR(AND(INDEX(TekFra,16)&gt;0,I$5&lt;INDEX(TekFra,16)),AND(INDEX(TekTil,16)&gt;0,I$5&gt;INDEX(TekTil,16))),"",IF(COUNTIFS(TF_Nokkel,$A31&amp;"|"&amp;I$5)=0,IF(I$8&lt;&gt;"","LMS",""),IFERROR(IF(SUMIFS(TF_Timer,TF_Nokkel,$A31&amp;"|"&amp;I$5,TF_Akt,"LMS")+IF(I$8="",0,MAX(0,ROUND((I$11-SUMIFS(TF_Timer,TF_Nokkel,$A31&amp;"|"&amp;I$5))*2,0)/2))&gt;INDEX(TF_AktSum,MATCH($A31&amp;"|"&amp;I$5,TF_Dom,0)),"LMS",INDEX(AktKode,MATCH(INDEX(TF_Akt,MATCH($A31&amp;"|"&amp;I$5,TF_Dom,0)),Aktiviteter,0)))&amp;IF(OR(COUNTIFS(TF_Nokkel,$A31&amp;"|"&amp;I$5,TF_Akt,"&lt;&gt;"&amp;INDEX(TF_Akt,MATCH($A31&amp;"|"&amp;I$5,TF_Dom,0)))&gt;0,AND(IF(I$8="",0,MAX(0,ROUND((I$11-SUMIFS(TF_Timer,TF_Nokkel,$A31&amp;"|"&amp;I$5))*2,0)/2))&gt;0,INDEX(TF_Akt,MATCH($A31&amp;"|"&amp;I$5,TF_Dom,0))&lt;&gt;"LMS")),"+",""),"?"))))</f>
        <v/>
      </c>
      <c r="J31" s="13">
        <f>IF(OR($A31="",J$5=""),"",IF(OR(AND(INDEX(TekFra,16)&gt;0,J$5&lt;INDEX(TekFra,16)),AND(INDEX(TekTil,16)&gt;0,J$5&gt;INDEX(TekTil,16))),"",IF(COUNTIFS(TF_Nokkel,$A31&amp;"|"&amp;J$5)=0,IF(J$8&lt;&gt;"","LMS",""),IFERROR(IF(SUMIFS(TF_Timer,TF_Nokkel,$A31&amp;"|"&amp;J$5,TF_Akt,"LMS")+IF(J$8="",0,MAX(0,ROUND((J$11-SUMIFS(TF_Timer,TF_Nokkel,$A31&amp;"|"&amp;J$5))*2,0)/2))&gt;INDEX(TF_AktSum,MATCH($A31&amp;"|"&amp;J$5,TF_Dom,0)),"LMS",INDEX(AktKode,MATCH(INDEX(TF_Akt,MATCH($A31&amp;"|"&amp;J$5,TF_Dom,0)),Aktiviteter,0)))&amp;IF(OR(COUNTIFS(TF_Nokkel,$A31&amp;"|"&amp;J$5,TF_Akt,"&lt;&gt;"&amp;INDEX(TF_Akt,MATCH($A31&amp;"|"&amp;J$5,TF_Dom,0)))&gt;0,AND(IF(J$8="",0,MAX(0,ROUND((J$11-SUMIFS(TF_Timer,TF_Nokkel,$A31&amp;"|"&amp;J$5))*2,0)/2))&gt;0,INDEX(TF_Akt,MATCH($A31&amp;"|"&amp;J$5,TF_Dom,0))&lt;&gt;"LMS")),"+",""),"?"))))</f>
        <v/>
      </c>
      <c r="K31" s="13">
        <f>IF(OR($A31="",K$5=""),"",IF(OR(AND(INDEX(TekFra,16)&gt;0,K$5&lt;INDEX(TekFra,16)),AND(INDEX(TekTil,16)&gt;0,K$5&gt;INDEX(TekTil,16))),"",IF(COUNTIFS(TF_Nokkel,$A31&amp;"|"&amp;K$5)=0,IF(K$8&lt;&gt;"","LMS",""),IFERROR(IF(SUMIFS(TF_Timer,TF_Nokkel,$A31&amp;"|"&amp;K$5,TF_Akt,"LMS")+IF(K$8="",0,MAX(0,ROUND((K$11-SUMIFS(TF_Timer,TF_Nokkel,$A31&amp;"|"&amp;K$5))*2,0)/2))&gt;INDEX(TF_AktSum,MATCH($A31&amp;"|"&amp;K$5,TF_Dom,0)),"LMS",INDEX(AktKode,MATCH(INDEX(TF_Akt,MATCH($A31&amp;"|"&amp;K$5,TF_Dom,0)),Aktiviteter,0)))&amp;IF(OR(COUNTIFS(TF_Nokkel,$A31&amp;"|"&amp;K$5,TF_Akt,"&lt;&gt;"&amp;INDEX(TF_Akt,MATCH($A31&amp;"|"&amp;K$5,TF_Dom,0)))&gt;0,AND(IF(K$8="",0,MAX(0,ROUND((K$11-SUMIFS(TF_Timer,TF_Nokkel,$A31&amp;"|"&amp;K$5))*2,0)/2))&gt;0,INDEX(TF_Akt,MATCH($A31&amp;"|"&amp;K$5,TF_Dom,0))&lt;&gt;"LMS")),"+",""),"?"))))</f>
        <v/>
      </c>
      <c r="L31" s="13">
        <f>IF(OR($A31="",L$5=""),"",IF(OR(AND(INDEX(TekFra,16)&gt;0,L$5&lt;INDEX(TekFra,16)),AND(INDEX(TekTil,16)&gt;0,L$5&gt;INDEX(TekTil,16))),"",IF(COUNTIFS(TF_Nokkel,$A31&amp;"|"&amp;L$5)=0,IF(L$8&lt;&gt;"","LMS",""),IFERROR(IF(SUMIFS(TF_Timer,TF_Nokkel,$A31&amp;"|"&amp;L$5,TF_Akt,"LMS")+IF(L$8="",0,MAX(0,ROUND((L$11-SUMIFS(TF_Timer,TF_Nokkel,$A31&amp;"|"&amp;L$5))*2,0)/2))&gt;INDEX(TF_AktSum,MATCH($A31&amp;"|"&amp;L$5,TF_Dom,0)),"LMS",INDEX(AktKode,MATCH(INDEX(TF_Akt,MATCH($A31&amp;"|"&amp;L$5,TF_Dom,0)),Aktiviteter,0)))&amp;IF(OR(COUNTIFS(TF_Nokkel,$A31&amp;"|"&amp;L$5,TF_Akt,"&lt;&gt;"&amp;INDEX(TF_Akt,MATCH($A31&amp;"|"&amp;L$5,TF_Dom,0)))&gt;0,AND(IF(L$8="",0,MAX(0,ROUND((L$11-SUMIFS(TF_Timer,TF_Nokkel,$A31&amp;"|"&amp;L$5))*2,0)/2))&gt;0,INDEX(TF_Akt,MATCH($A31&amp;"|"&amp;L$5,TF_Dom,0))&lt;&gt;"LMS")),"+",""),"?"))))</f>
        <v/>
      </c>
      <c r="M31" s="13">
        <f>IF(OR($A31="",M$5=""),"",IF(OR(AND(INDEX(TekFra,16)&gt;0,M$5&lt;INDEX(TekFra,16)),AND(INDEX(TekTil,16)&gt;0,M$5&gt;INDEX(TekTil,16))),"",IF(COUNTIFS(TF_Nokkel,$A31&amp;"|"&amp;M$5)=0,IF(M$8&lt;&gt;"","LMS",""),IFERROR(IF(SUMIFS(TF_Timer,TF_Nokkel,$A31&amp;"|"&amp;M$5,TF_Akt,"LMS")+IF(M$8="",0,MAX(0,ROUND((M$11-SUMIFS(TF_Timer,TF_Nokkel,$A31&amp;"|"&amp;M$5))*2,0)/2))&gt;INDEX(TF_AktSum,MATCH($A31&amp;"|"&amp;M$5,TF_Dom,0)),"LMS",INDEX(AktKode,MATCH(INDEX(TF_Akt,MATCH($A31&amp;"|"&amp;M$5,TF_Dom,0)),Aktiviteter,0)))&amp;IF(OR(COUNTIFS(TF_Nokkel,$A31&amp;"|"&amp;M$5,TF_Akt,"&lt;&gt;"&amp;INDEX(TF_Akt,MATCH($A31&amp;"|"&amp;M$5,TF_Dom,0)))&gt;0,AND(IF(M$8="",0,MAX(0,ROUND((M$11-SUMIFS(TF_Timer,TF_Nokkel,$A31&amp;"|"&amp;M$5))*2,0)/2))&gt;0,INDEX(TF_Akt,MATCH($A31&amp;"|"&amp;M$5,TF_Dom,0))&lt;&gt;"LMS")),"+",""),"?"))))</f>
        <v/>
      </c>
      <c r="N31" s="13">
        <f>IF(OR($A31="",N$5=""),"",IF(OR(AND(INDEX(TekFra,16)&gt;0,N$5&lt;INDEX(TekFra,16)),AND(INDEX(TekTil,16)&gt;0,N$5&gt;INDEX(TekTil,16))),"",IF(COUNTIFS(TF_Nokkel,$A31&amp;"|"&amp;N$5)=0,IF(N$8&lt;&gt;"","LMS",""),IFERROR(IF(SUMIFS(TF_Timer,TF_Nokkel,$A31&amp;"|"&amp;N$5,TF_Akt,"LMS")+IF(N$8="",0,MAX(0,ROUND((N$11-SUMIFS(TF_Timer,TF_Nokkel,$A31&amp;"|"&amp;N$5))*2,0)/2))&gt;INDEX(TF_AktSum,MATCH($A31&amp;"|"&amp;N$5,TF_Dom,0)),"LMS",INDEX(AktKode,MATCH(INDEX(TF_Akt,MATCH($A31&amp;"|"&amp;N$5,TF_Dom,0)),Aktiviteter,0)))&amp;IF(OR(COUNTIFS(TF_Nokkel,$A31&amp;"|"&amp;N$5,TF_Akt,"&lt;&gt;"&amp;INDEX(TF_Akt,MATCH($A31&amp;"|"&amp;N$5,TF_Dom,0)))&gt;0,AND(IF(N$8="",0,MAX(0,ROUND((N$11-SUMIFS(TF_Timer,TF_Nokkel,$A31&amp;"|"&amp;N$5))*2,0)/2))&gt;0,INDEX(TF_Akt,MATCH($A31&amp;"|"&amp;N$5,TF_Dom,0))&lt;&gt;"LMS")),"+",""),"?"))))</f>
        <v/>
      </c>
      <c r="O31" s="13">
        <f>IF(OR($A31="",O$5=""),"",IF(OR(AND(INDEX(TekFra,16)&gt;0,O$5&lt;INDEX(TekFra,16)),AND(INDEX(TekTil,16)&gt;0,O$5&gt;INDEX(TekTil,16))),"",IF(COUNTIFS(TF_Nokkel,$A31&amp;"|"&amp;O$5)=0,IF(O$8&lt;&gt;"","LMS",""),IFERROR(IF(SUMIFS(TF_Timer,TF_Nokkel,$A31&amp;"|"&amp;O$5,TF_Akt,"LMS")+IF(O$8="",0,MAX(0,ROUND((O$11-SUMIFS(TF_Timer,TF_Nokkel,$A31&amp;"|"&amp;O$5))*2,0)/2))&gt;INDEX(TF_AktSum,MATCH($A31&amp;"|"&amp;O$5,TF_Dom,0)),"LMS",INDEX(AktKode,MATCH(INDEX(TF_Akt,MATCH($A31&amp;"|"&amp;O$5,TF_Dom,0)),Aktiviteter,0)))&amp;IF(OR(COUNTIFS(TF_Nokkel,$A31&amp;"|"&amp;O$5,TF_Akt,"&lt;&gt;"&amp;INDEX(TF_Akt,MATCH($A31&amp;"|"&amp;O$5,TF_Dom,0)))&gt;0,AND(IF(O$8="",0,MAX(0,ROUND((O$11-SUMIFS(TF_Timer,TF_Nokkel,$A31&amp;"|"&amp;O$5))*2,0)/2))&gt;0,INDEX(TF_Akt,MATCH($A31&amp;"|"&amp;O$5,TF_Dom,0))&lt;&gt;"LMS")),"+",""),"?"))))</f>
        <v/>
      </c>
      <c r="P31" s="13">
        <f>IF(OR($A31="",P$5=""),"",IF(OR(AND(INDEX(TekFra,16)&gt;0,P$5&lt;INDEX(TekFra,16)),AND(INDEX(TekTil,16)&gt;0,P$5&gt;INDEX(TekTil,16))),"",IF(COUNTIFS(TF_Nokkel,$A31&amp;"|"&amp;P$5)=0,IF(P$8&lt;&gt;"","LMS",""),IFERROR(IF(SUMIFS(TF_Timer,TF_Nokkel,$A31&amp;"|"&amp;P$5,TF_Akt,"LMS")+IF(P$8="",0,MAX(0,ROUND((P$11-SUMIFS(TF_Timer,TF_Nokkel,$A31&amp;"|"&amp;P$5))*2,0)/2))&gt;INDEX(TF_AktSum,MATCH($A31&amp;"|"&amp;P$5,TF_Dom,0)),"LMS",INDEX(AktKode,MATCH(INDEX(TF_Akt,MATCH($A31&amp;"|"&amp;P$5,TF_Dom,0)),Aktiviteter,0)))&amp;IF(OR(COUNTIFS(TF_Nokkel,$A31&amp;"|"&amp;P$5,TF_Akt,"&lt;&gt;"&amp;INDEX(TF_Akt,MATCH($A31&amp;"|"&amp;P$5,TF_Dom,0)))&gt;0,AND(IF(P$8="",0,MAX(0,ROUND((P$11-SUMIFS(TF_Timer,TF_Nokkel,$A31&amp;"|"&amp;P$5))*2,0)/2))&gt;0,INDEX(TF_Akt,MATCH($A31&amp;"|"&amp;P$5,TF_Dom,0))&lt;&gt;"LMS")),"+",""),"?"))))</f>
        <v/>
      </c>
      <c r="Q31" s="13">
        <f>IF(OR($A31="",Q$5=""),"",IF(OR(AND(INDEX(TekFra,16)&gt;0,Q$5&lt;INDEX(TekFra,16)),AND(INDEX(TekTil,16)&gt;0,Q$5&gt;INDEX(TekTil,16))),"",IF(COUNTIFS(TF_Nokkel,$A31&amp;"|"&amp;Q$5)=0,IF(Q$8&lt;&gt;"","LMS",""),IFERROR(IF(SUMIFS(TF_Timer,TF_Nokkel,$A31&amp;"|"&amp;Q$5,TF_Akt,"LMS")+IF(Q$8="",0,MAX(0,ROUND((Q$11-SUMIFS(TF_Timer,TF_Nokkel,$A31&amp;"|"&amp;Q$5))*2,0)/2))&gt;INDEX(TF_AktSum,MATCH($A31&amp;"|"&amp;Q$5,TF_Dom,0)),"LMS",INDEX(AktKode,MATCH(INDEX(TF_Akt,MATCH($A31&amp;"|"&amp;Q$5,TF_Dom,0)),Aktiviteter,0)))&amp;IF(OR(COUNTIFS(TF_Nokkel,$A31&amp;"|"&amp;Q$5,TF_Akt,"&lt;&gt;"&amp;INDEX(TF_Akt,MATCH($A31&amp;"|"&amp;Q$5,TF_Dom,0)))&gt;0,AND(IF(Q$8="",0,MAX(0,ROUND((Q$11-SUMIFS(TF_Timer,TF_Nokkel,$A31&amp;"|"&amp;Q$5))*2,0)/2))&gt;0,INDEX(TF_Akt,MATCH($A31&amp;"|"&amp;Q$5,TF_Dom,0))&lt;&gt;"LMS")),"+",""),"?"))))</f>
        <v/>
      </c>
      <c r="R31" s="13">
        <f>IF(OR($A31="",R$5=""),"",IF(OR(AND(INDEX(TekFra,16)&gt;0,R$5&lt;INDEX(TekFra,16)),AND(INDEX(TekTil,16)&gt;0,R$5&gt;INDEX(TekTil,16))),"",IF(COUNTIFS(TF_Nokkel,$A31&amp;"|"&amp;R$5)=0,IF(R$8&lt;&gt;"","LMS",""),IFERROR(IF(SUMIFS(TF_Timer,TF_Nokkel,$A31&amp;"|"&amp;R$5,TF_Akt,"LMS")+IF(R$8="",0,MAX(0,ROUND((R$11-SUMIFS(TF_Timer,TF_Nokkel,$A31&amp;"|"&amp;R$5))*2,0)/2))&gt;INDEX(TF_AktSum,MATCH($A31&amp;"|"&amp;R$5,TF_Dom,0)),"LMS",INDEX(AktKode,MATCH(INDEX(TF_Akt,MATCH($A31&amp;"|"&amp;R$5,TF_Dom,0)),Aktiviteter,0)))&amp;IF(OR(COUNTIFS(TF_Nokkel,$A31&amp;"|"&amp;R$5,TF_Akt,"&lt;&gt;"&amp;INDEX(TF_Akt,MATCH($A31&amp;"|"&amp;R$5,TF_Dom,0)))&gt;0,AND(IF(R$8="",0,MAX(0,ROUND((R$11-SUMIFS(TF_Timer,TF_Nokkel,$A31&amp;"|"&amp;R$5))*2,0)/2))&gt;0,INDEX(TF_Akt,MATCH($A31&amp;"|"&amp;R$5,TF_Dom,0))&lt;&gt;"LMS")),"+",""),"?"))))</f>
        <v/>
      </c>
      <c r="S31" s="13">
        <f>IF(OR($A31="",S$5=""),"",IF(OR(AND(INDEX(TekFra,16)&gt;0,S$5&lt;INDEX(TekFra,16)),AND(INDEX(TekTil,16)&gt;0,S$5&gt;INDEX(TekTil,16))),"",IF(COUNTIFS(TF_Nokkel,$A31&amp;"|"&amp;S$5)=0,IF(S$8&lt;&gt;"","LMS",""),IFERROR(IF(SUMIFS(TF_Timer,TF_Nokkel,$A31&amp;"|"&amp;S$5,TF_Akt,"LMS")+IF(S$8="",0,MAX(0,ROUND((S$11-SUMIFS(TF_Timer,TF_Nokkel,$A31&amp;"|"&amp;S$5))*2,0)/2))&gt;INDEX(TF_AktSum,MATCH($A31&amp;"|"&amp;S$5,TF_Dom,0)),"LMS",INDEX(AktKode,MATCH(INDEX(TF_Akt,MATCH($A31&amp;"|"&amp;S$5,TF_Dom,0)),Aktiviteter,0)))&amp;IF(OR(COUNTIFS(TF_Nokkel,$A31&amp;"|"&amp;S$5,TF_Akt,"&lt;&gt;"&amp;INDEX(TF_Akt,MATCH($A31&amp;"|"&amp;S$5,TF_Dom,0)))&gt;0,AND(IF(S$8="",0,MAX(0,ROUND((S$11-SUMIFS(TF_Timer,TF_Nokkel,$A31&amp;"|"&amp;S$5))*2,0)/2))&gt;0,INDEX(TF_Akt,MATCH($A31&amp;"|"&amp;S$5,TF_Dom,0))&lt;&gt;"LMS")),"+",""),"?"))))</f>
        <v/>
      </c>
      <c r="T31" s="13">
        <f>IF(OR($A31="",T$5=""),"",IF(OR(AND(INDEX(TekFra,16)&gt;0,T$5&lt;INDEX(TekFra,16)),AND(INDEX(TekTil,16)&gt;0,T$5&gt;INDEX(TekTil,16))),"",IF(COUNTIFS(TF_Nokkel,$A31&amp;"|"&amp;T$5)=0,IF(T$8&lt;&gt;"","LMS",""),IFERROR(IF(SUMIFS(TF_Timer,TF_Nokkel,$A31&amp;"|"&amp;T$5,TF_Akt,"LMS")+IF(T$8="",0,MAX(0,ROUND((T$11-SUMIFS(TF_Timer,TF_Nokkel,$A31&amp;"|"&amp;T$5))*2,0)/2))&gt;INDEX(TF_AktSum,MATCH($A31&amp;"|"&amp;T$5,TF_Dom,0)),"LMS",INDEX(AktKode,MATCH(INDEX(TF_Akt,MATCH($A31&amp;"|"&amp;T$5,TF_Dom,0)),Aktiviteter,0)))&amp;IF(OR(COUNTIFS(TF_Nokkel,$A31&amp;"|"&amp;T$5,TF_Akt,"&lt;&gt;"&amp;INDEX(TF_Akt,MATCH($A31&amp;"|"&amp;T$5,TF_Dom,0)))&gt;0,AND(IF(T$8="",0,MAX(0,ROUND((T$11-SUMIFS(TF_Timer,TF_Nokkel,$A31&amp;"|"&amp;T$5))*2,0)/2))&gt;0,INDEX(TF_Akt,MATCH($A31&amp;"|"&amp;T$5,TF_Dom,0))&lt;&gt;"LMS")),"+",""),"?"))))</f>
        <v/>
      </c>
      <c r="U31" s="13">
        <f>IF(OR($A31="",U$5=""),"",IF(OR(AND(INDEX(TekFra,16)&gt;0,U$5&lt;INDEX(TekFra,16)),AND(INDEX(TekTil,16)&gt;0,U$5&gt;INDEX(TekTil,16))),"",IF(COUNTIFS(TF_Nokkel,$A31&amp;"|"&amp;U$5)=0,IF(U$8&lt;&gt;"","LMS",""),IFERROR(IF(SUMIFS(TF_Timer,TF_Nokkel,$A31&amp;"|"&amp;U$5,TF_Akt,"LMS")+IF(U$8="",0,MAX(0,ROUND((U$11-SUMIFS(TF_Timer,TF_Nokkel,$A31&amp;"|"&amp;U$5))*2,0)/2))&gt;INDEX(TF_AktSum,MATCH($A31&amp;"|"&amp;U$5,TF_Dom,0)),"LMS",INDEX(AktKode,MATCH(INDEX(TF_Akt,MATCH($A31&amp;"|"&amp;U$5,TF_Dom,0)),Aktiviteter,0)))&amp;IF(OR(COUNTIFS(TF_Nokkel,$A31&amp;"|"&amp;U$5,TF_Akt,"&lt;&gt;"&amp;INDEX(TF_Akt,MATCH($A31&amp;"|"&amp;U$5,TF_Dom,0)))&gt;0,AND(IF(U$8="",0,MAX(0,ROUND((U$11-SUMIFS(TF_Timer,TF_Nokkel,$A31&amp;"|"&amp;U$5))*2,0)/2))&gt;0,INDEX(TF_Akt,MATCH($A31&amp;"|"&amp;U$5,TF_Dom,0))&lt;&gt;"LMS")),"+",""),"?"))))</f>
        <v/>
      </c>
      <c r="V31" s="13">
        <f>IF(OR($A31="",V$5=""),"",IF(OR(AND(INDEX(TekFra,16)&gt;0,V$5&lt;INDEX(TekFra,16)),AND(INDEX(TekTil,16)&gt;0,V$5&gt;INDEX(TekTil,16))),"",IF(COUNTIFS(TF_Nokkel,$A31&amp;"|"&amp;V$5)=0,IF(V$8&lt;&gt;"","LMS",""),IFERROR(IF(SUMIFS(TF_Timer,TF_Nokkel,$A31&amp;"|"&amp;V$5,TF_Akt,"LMS")+IF(V$8="",0,MAX(0,ROUND((V$11-SUMIFS(TF_Timer,TF_Nokkel,$A31&amp;"|"&amp;V$5))*2,0)/2))&gt;INDEX(TF_AktSum,MATCH($A31&amp;"|"&amp;V$5,TF_Dom,0)),"LMS",INDEX(AktKode,MATCH(INDEX(TF_Akt,MATCH($A31&amp;"|"&amp;V$5,TF_Dom,0)),Aktiviteter,0)))&amp;IF(OR(COUNTIFS(TF_Nokkel,$A31&amp;"|"&amp;V$5,TF_Akt,"&lt;&gt;"&amp;INDEX(TF_Akt,MATCH($A31&amp;"|"&amp;V$5,TF_Dom,0)))&gt;0,AND(IF(V$8="",0,MAX(0,ROUND((V$11-SUMIFS(TF_Timer,TF_Nokkel,$A31&amp;"|"&amp;V$5))*2,0)/2))&gt;0,INDEX(TF_Akt,MATCH($A31&amp;"|"&amp;V$5,TF_Dom,0))&lt;&gt;"LMS")),"+",""),"?"))))</f>
        <v/>
      </c>
      <c r="W31" s="13">
        <f>IF(OR($A31="",W$5=""),"",IF(OR(AND(INDEX(TekFra,16)&gt;0,W$5&lt;INDEX(TekFra,16)),AND(INDEX(TekTil,16)&gt;0,W$5&gt;INDEX(TekTil,16))),"",IF(COUNTIFS(TF_Nokkel,$A31&amp;"|"&amp;W$5)=0,IF(W$8&lt;&gt;"","LMS",""),IFERROR(IF(SUMIFS(TF_Timer,TF_Nokkel,$A31&amp;"|"&amp;W$5,TF_Akt,"LMS")+IF(W$8="",0,MAX(0,ROUND((W$11-SUMIFS(TF_Timer,TF_Nokkel,$A31&amp;"|"&amp;W$5))*2,0)/2))&gt;INDEX(TF_AktSum,MATCH($A31&amp;"|"&amp;W$5,TF_Dom,0)),"LMS",INDEX(AktKode,MATCH(INDEX(TF_Akt,MATCH($A31&amp;"|"&amp;W$5,TF_Dom,0)),Aktiviteter,0)))&amp;IF(OR(COUNTIFS(TF_Nokkel,$A31&amp;"|"&amp;W$5,TF_Akt,"&lt;&gt;"&amp;INDEX(TF_Akt,MATCH($A31&amp;"|"&amp;W$5,TF_Dom,0)))&gt;0,AND(IF(W$8="",0,MAX(0,ROUND((W$11-SUMIFS(TF_Timer,TF_Nokkel,$A31&amp;"|"&amp;W$5))*2,0)/2))&gt;0,INDEX(TF_Akt,MATCH($A31&amp;"|"&amp;W$5,TF_Dom,0))&lt;&gt;"LMS")),"+",""),"?"))))</f>
        <v/>
      </c>
      <c r="X31" s="13">
        <f>IF(OR($A31="",X$5=""),"",IF(OR(AND(INDEX(TekFra,16)&gt;0,X$5&lt;INDEX(TekFra,16)),AND(INDEX(TekTil,16)&gt;0,X$5&gt;INDEX(TekTil,16))),"",IF(COUNTIFS(TF_Nokkel,$A31&amp;"|"&amp;X$5)=0,IF(X$8&lt;&gt;"","LMS",""),IFERROR(IF(SUMIFS(TF_Timer,TF_Nokkel,$A31&amp;"|"&amp;X$5,TF_Akt,"LMS")+IF(X$8="",0,MAX(0,ROUND((X$11-SUMIFS(TF_Timer,TF_Nokkel,$A31&amp;"|"&amp;X$5))*2,0)/2))&gt;INDEX(TF_AktSum,MATCH($A31&amp;"|"&amp;X$5,TF_Dom,0)),"LMS",INDEX(AktKode,MATCH(INDEX(TF_Akt,MATCH($A31&amp;"|"&amp;X$5,TF_Dom,0)),Aktiviteter,0)))&amp;IF(OR(COUNTIFS(TF_Nokkel,$A31&amp;"|"&amp;X$5,TF_Akt,"&lt;&gt;"&amp;INDEX(TF_Akt,MATCH($A31&amp;"|"&amp;X$5,TF_Dom,0)))&gt;0,AND(IF(X$8="",0,MAX(0,ROUND((X$11-SUMIFS(TF_Timer,TF_Nokkel,$A31&amp;"|"&amp;X$5))*2,0)/2))&gt;0,INDEX(TF_Akt,MATCH($A31&amp;"|"&amp;X$5,TF_Dom,0))&lt;&gt;"LMS")),"+",""),"?"))))</f>
        <v/>
      </c>
      <c r="Y31" s="13">
        <f>IF(OR($A31="",Y$5=""),"",IF(OR(AND(INDEX(TekFra,16)&gt;0,Y$5&lt;INDEX(TekFra,16)),AND(INDEX(TekTil,16)&gt;0,Y$5&gt;INDEX(TekTil,16))),"",IF(COUNTIFS(TF_Nokkel,$A31&amp;"|"&amp;Y$5)=0,IF(Y$8&lt;&gt;"","LMS",""),IFERROR(IF(SUMIFS(TF_Timer,TF_Nokkel,$A31&amp;"|"&amp;Y$5,TF_Akt,"LMS")+IF(Y$8="",0,MAX(0,ROUND((Y$11-SUMIFS(TF_Timer,TF_Nokkel,$A31&amp;"|"&amp;Y$5))*2,0)/2))&gt;INDEX(TF_AktSum,MATCH($A31&amp;"|"&amp;Y$5,TF_Dom,0)),"LMS",INDEX(AktKode,MATCH(INDEX(TF_Akt,MATCH($A31&amp;"|"&amp;Y$5,TF_Dom,0)),Aktiviteter,0)))&amp;IF(OR(COUNTIFS(TF_Nokkel,$A31&amp;"|"&amp;Y$5,TF_Akt,"&lt;&gt;"&amp;INDEX(TF_Akt,MATCH($A31&amp;"|"&amp;Y$5,TF_Dom,0)))&gt;0,AND(IF(Y$8="",0,MAX(0,ROUND((Y$11-SUMIFS(TF_Timer,TF_Nokkel,$A31&amp;"|"&amp;Y$5))*2,0)/2))&gt;0,INDEX(TF_Akt,MATCH($A31&amp;"|"&amp;Y$5,TF_Dom,0))&lt;&gt;"LMS")),"+",""),"?"))))</f>
        <v/>
      </c>
      <c r="Z31" s="13">
        <f>IF(OR($A31="",Z$5=""),"",IF(OR(AND(INDEX(TekFra,16)&gt;0,Z$5&lt;INDEX(TekFra,16)),AND(INDEX(TekTil,16)&gt;0,Z$5&gt;INDEX(TekTil,16))),"",IF(COUNTIFS(TF_Nokkel,$A31&amp;"|"&amp;Z$5)=0,IF(Z$8&lt;&gt;"","LMS",""),IFERROR(IF(SUMIFS(TF_Timer,TF_Nokkel,$A31&amp;"|"&amp;Z$5,TF_Akt,"LMS")+IF(Z$8="",0,MAX(0,ROUND((Z$11-SUMIFS(TF_Timer,TF_Nokkel,$A31&amp;"|"&amp;Z$5))*2,0)/2))&gt;INDEX(TF_AktSum,MATCH($A31&amp;"|"&amp;Z$5,TF_Dom,0)),"LMS",INDEX(AktKode,MATCH(INDEX(TF_Akt,MATCH($A31&amp;"|"&amp;Z$5,TF_Dom,0)),Aktiviteter,0)))&amp;IF(OR(COUNTIFS(TF_Nokkel,$A31&amp;"|"&amp;Z$5,TF_Akt,"&lt;&gt;"&amp;INDEX(TF_Akt,MATCH($A31&amp;"|"&amp;Z$5,TF_Dom,0)))&gt;0,AND(IF(Z$8="",0,MAX(0,ROUND((Z$11-SUMIFS(TF_Timer,TF_Nokkel,$A31&amp;"|"&amp;Z$5))*2,0)/2))&gt;0,INDEX(TF_Akt,MATCH($A31&amp;"|"&amp;Z$5,TF_Dom,0))&lt;&gt;"LMS")),"+",""),"?"))))</f>
        <v/>
      </c>
      <c r="AA31" s="13">
        <f>IF(OR($A31="",AA$5=""),"",IF(OR(AND(INDEX(TekFra,16)&gt;0,AA$5&lt;INDEX(TekFra,16)),AND(INDEX(TekTil,16)&gt;0,AA$5&gt;INDEX(TekTil,16))),"",IF(COUNTIFS(TF_Nokkel,$A31&amp;"|"&amp;AA$5)=0,IF(AA$8&lt;&gt;"","LMS",""),IFERROR(IF(SUMIFS(TF_Timer,TF_Nokkel,$A31&amp;"|"&amp;AA$5,TF_Akt,"LMS")+IF(AA$8="",0,MAX(0,ROUND((AA$11-SUMIFS(TF_Timer,TF_Nokkel,$A31&amp;"|"&amp;AA$5))*2,0)/2))&gt;INDEX(TF_AktSum,MATCH($A31&amp;"|"&amp;AA$5,TF_Dom,0)),"LMS",INDEX(AktKode,MATCH(INDEX(TF_Akt,MATCH($A31&amp;"|"&amp;AA$5,TF_Dom,0)),Aktiviteter,0)))&amp;IF(OR(COUNTIFS(TF_Nokkel,$A31&amp;"|"&amp;AA$5,TF_Akt,"&lt;&gt;"&amp;INDEX(TF_Akt,MATCH($A31&amp;"|"&amp;AA$5,TF_Dom,0)))&gt;0,AND(IF(AA$8="",0,MAX(0,ROUND((AA$11-SUMIFS(TF_Timer,TF_Nokkel,$A31&amp;"|"&amp;AA$5))*2,0)/2))&gt;0,INDEX(TF_Akt,MATCH($A31&amp;"|"&amp;AA$5,TF_Dom,0))&lt;&gt;"LMS")),"+",""),"?"))))</f>
        <v/>
      </c>
      <c r="AB31" s="13">
        <f>IF(OR($A31="",AB$5=""),"",IF(OR(AND(INDEX(TekFra,16)&gt;0,AB$5&lt;INDEX(TekFra,16)),AND(INDEX(TekTil,16)&gt;0,AB$5&gt;INDEX(TekTil,16))),"",IF(COUNTIFS(TF_Nokkel,$A31&amp;"|"&amp;AB$5)=0,IF(AB$8&lt;&gt;"","LMS",""),IFERROR(IF(SUMIFS(TF_Timer,TF_Nokkel,$A31&amp;"|"&amp;AB$5,TF_Akt,"LMS")+IF(AB$8="",0,MAX(0,ROUND((AB$11-SUMIFS(TF_Timer,TF_Nokkel,$A31&amp;"|"&amp;AB$5))*2,0)/2))&gt;INDEX(TF_AktSum,MATCH($A31&amp;"|"&amp;AB$5,TF_Dom,0)),"LMS",INDEX(AktKode,MATCH(INDEX(TF_Akt,MATCH($A31&amp;"|"&amp;AB$5,TF_Dom,0)),Aktiviteter,0)))&amp;IF(OR(COUNTIFS(TF_Nokkel,$A31&amp;"|"&amp;AB$5,TF_Akt,"&lt;&gt;"&amp;INDEX(TF_Akt,MATCH($A31&amp;"|"&amp;AB$5,TF_Dom,0)))&gt;0,AND(IF(AB$8="",0,MAX(0,ROUND((AB$11-SUMIFS(TF_Timer,TF_Nokkel,$A31&amp;"|"&amp;AB$5))*2,0)/2))&gt;0,INDEX(TF_Akt,MATCH($A31&amp;"|"&amp;AB$5,TF_Dom,0))&lt;&gt;"LMS")),"+",""),"?"))))</f>
        <v/>
      </c>
      <c r="AC31" s="13">
        <f>IF(OR($A31="",AC$5=""),"",IF(OR(AND(INDEX(TekFra,16)&gt;0,AC$5&lt;INDEX(TekFra,16)),AND(INDEX(TekTil,16)&gt;0,AC$5&gt;INDEX(TekTil,16))),"",IF(COUNTIFS(TF_Nokkel,$A31&amp;"|"&amp;AC$5)=0,IF(AC$8&lt;&gt;"","LMS",""),IFERROR(IF(SUMIFS(TF_Timer,TF_Nokkel,$A31&amp;"|"&amp;AC$5,TF_Akt,"LMS")+IF(AC$8="",0,MAX(0,ROUND((AC$11-SUMIFS(TF_Timer,TF_Nokkel,$A31&amp;"|"&amp;AC$5))*2,0)/2))&gt;INDEX(TF_AktSum,MATCH($A31&amp;"|"&amp;AC$5,TF_Dom,0)),"LMS",INDEX(AktKode,MATCH(INDEX(TF_Akt,MATCH($A31&amp;"|"&amp;AC$5,TF_Dom,0)),Aktiviteter,0)))&amp;IF(OR(COUNTIFS(TF_Nokkel,$A31&amp;"|"&amp;AC$5,TF_Akt,"&lt;&gt;"&amp;INDEX(TF_Akt,MATCH($A31&amp;"|"&amp;AC$5,TF_Dom,0)))&gt;0,AND(IF(AC$8="",0,MAX(0,ROUND((AC$11-SUMIFS(TF_Timer,TF_Nokkel,$A31&amp;"|"&amp;AC$5))*2,0)/2))&gt;0,INDEX(TF_Akt,MATCH($A31&amp;"|"&amp;AC$5,TF_Dom,0))&lt;&gt;"LMS")),"+",""),"?"))))</f>
        <v/>
      </c>
      <c r="AD31" s="13">
        <f>IF(OR($A31="",AD$5=""),"",IF(OR(AND(INDEX(TekFra,16)&gt;0,AD$5&lt;INDEX(TekFra,16)),AND(INDEX(TekTil,16)&gt;0,AD$5&gt;INDEX(TekTil,16))),"",IF(COUNTIFS(TF_Nokkel,$A31&amp;"|"&amp;AD$5)=0,IF(AD$8&lt;&gt;"","LMS",""),IFERROR(IF(SUMIFS(TF_Timer,TF_Nokkel,$A31&amp;"|"&amp;AD$5,TF_Akt,"LMS")+IF(AD$8="",0,MAX(0,ROUND((AD$11-SUMIFS(TF_Timer,TF_Nokkel,$A31&amp;"|"&amp;AD$5))*2,0)/2))&gt;INDEX(TF_AktSum,MATCH($A31&amp;"|"&amp;AD$5,TF_Dom,0)),"LMS",INDEX(AktKode,MATCH(INDEX(TF_Akt,MATCH($A31&amp;"|"&amp;AD$5,TF_Dom,0)),Aktiviteter,0)))&amp;IF(OR(COUNTIFS(TF_Nokkel,$A31&amp;"|"&amp;AD$5,TF_Akt,"&lt;&gt;"&amp;INDEX(TF_Akt,MATCH($A31&amp;"|"&amp;AD$5,TF_Dom,0)))&gt;0,AND(IF(AD$8="",0,MAX(0,ROUND((AD$11-SUMIFS(TF_Timer,TF_Nokkel,$A31&amp;"|"&amp;AD$5))*2,0)/2))&gt;0,INDEX(TF_Akt,MATCH($A31&amp;"|"&amp;AD$5,TF_Dom,0))&lt;&gt;"LMS")),"+",""),"?"))))</f>
        <v/>
      </c>
      <c r="AE31" s="13">
        <f>IF(OR($A31="",AE$5=""),"",IF(OR(AND(INDEX(TekFra,16)&gt;0,AE$5&lt;INDEX(TekFra,16)),AND(INDEX(TekTil,16)&gt;0,AE$5&gt;INDEX(TekTil,16))),"",IF(COUNTIFS(TF_Nokkel,$A31&amp;"|"&amp;AE$5)=0,IF(AE$8&lt;&gt;"","LMS",""),IFERROR(IF(SUMIFS(TF_Timer,TF_Nokkel,$A31&amp;"|"&amp;AE$5,TF_Akt,"LMS")+IF(AE$8="",0,MAX(0,ROUND((AE$11-SUMIFS(TF_Timer,TF_Nokkel,$A31&amp;"|"&amp;AE$5))*2,0)/2))&gt;INDEX(TF_AktSum,MATCH($A31&amp;"|"&amp;AE$5,TF_Dom,0)),"LMS",INDEX(AktKode,MATCH(INDEX(TF_Akt,MATCH($A31&amp;"|"&amp;AE$5,TF_Dom,0)),Aktiviteter,0)))&amp;IF(OR(COUNTIFS(TF_Nokkel,$A31&amp;"|"&amp;AE$5,TF_Akt,"&lt;&gt;"&amp;INDEX(TF_Akt,MATCH($A31&amp;"|"&amp;AE$5,TF_Dom,0)))&gt;0,AND(IF(AE$8="",0,MAX(0,ROUND((AE$11-SUMIFS(TF_Timer,TF_Nokkel,$A31&amp;"|"&amp;AE$5))*2,0)/2))&gt;0,INDEX(TF_Akt,MATCH($A31&amp;"|"&amp;AE$5,TF_Dom,0))&lt;&gt;"LMS")),"+",""),"?"))))</f>
        <v/>
      </c>
      <c r="AF31" s="13">
        <f>IF(OR($A31="",AF$5=""),"",IF(OR(AND(INDEX(TekFra,16)&gt;0,AF$5&lt;INDEX(TekFra,16)),AND(INDEX(TekTil,16)&gt;0,AF$5&gt;INDEX(TekTil,16))),"",IF(COUNTIFS(TF_Nokkel,$A31&amp;"|"&amp;AF$5)=0,IF(AF$8&lt;&gt;"","LMS",""),IFERROR(IF(SUMIFS(TF_Timer,TF_Nokkel,$A31&amp;"|"&amp;AF$5,TF_Akt,"LMS")+IF(AF$8="",0,MAX(0,ROUND((AF$11-SUMIFS(TF_Timer,TF_Nokkel,$A31&amp;"|"&amp;AF$5))*2,0)/2))&gt;INDEX(TF_AktSum,MATCH($A31&amp;"|"&amp;AF$5,TF_Dom,0)),"LMS",INDEX(AktKode,MATCH(INDEX(TF_Akt,MATCH($A31&amp;"|"&amp;AF$5,TF_Dom,0)),Aktiviteter,0)))&amp;IF(OR(COUNTIFS(TF_Nokkel,$A31&amp;"|"&amp;AF$5,TF_Akt,"&lt;&gt;"&amp;INDEX(TF_Akt,MATCH($A31&amp;"|"&amp;AF$5,TF_Dom,0)))&gt;0,AND(IF(AF$8="",0,MAX(0,ROUND((AF$11-SUMIFS(TF_Timer,TF_Nokkel,$A31&amp;"|"&amp;AF$5))*2,0)/2))&gt;0,INDEX(TF_Akt,MATCH($A31&amp;"|"&amp;AF$5,TF_Dom,0))&lt;&gt;"LMS")),"+",""),"?"))))</f>
        <v/>
      </c>
      <c r="AG31" s="13">
        <f>IF(OR($A31="",AG$5=""),"",IF(OR(AND(INDEX(TekFra,16)&gt;0,AG$5&lt;INDEX(TekFra,16)),AND(INDEX(TekTil,16)&gt;0,AG$5&gt;INDEX(TekTil,16))),"",IF(COUNTIFS(TF_Nokkel,$A31&amp;"|"&amp;AG$5)=0,IF(AG$8&lt;&gt;"","LMS",""),IFERROR(IF(SUMIFS(TF_Timer,TF_Nokkel,$A31&amp;"|"&amp;AG$5,TF_Akt,"LMS")+IF(AG$8="",0,MAX(0,ROUND((AG$11-SUMIFS(TF_Timer,TF_Nokkel,$A31&amp;"|"&amp;AG$5))*2,0)/2))&gt;INDEX(TF_AktSum,MATCH($A31&amp;"|"&amp;AG$5,TF_Dom,0)),"LMS",INDEX(AktKode,MATCH(INDEX(TF_Akt,MATCH($A31&amp;"|"&amp;AG$5,TF_Dom,0)),Aktiviteter,0)))&amp;IF(OR(COUNTIFS(TF_Nokkel,$A31&amp;"|"&amp;AG$5,TF_Akt,"&lt;&gt;"&amp;INDEX(TF_Akt,MATCH($A31&amp;"|"&amp;AG$5,TF_Dom,0)))&gt;0,AND(IF(AG$8="",0,MAX(0,ROUND((AG$11-SUMIFS(TF_Timer,TF_Nokkel,$A31&amp;"|"&amp;AG$5))*2,0)/2))&gt;0,INDEX(TF_Akt,MATCH($A31&amp;"|"&amp;AG$5,TF_Dom,0))&lt;&gt;"LMS")),"+",""),"?"))))</f>
        <v/>
      </c>
      <c r="AH31" s="2" t="n"/>
      <c r="AI31" s="29" t="inlineStr">
        <is>
          <t>D</t>
        </is>
      </c>
      <c r="AJ31" s="15" t="inlineStr">
        <is>
          <t>Dag</t>
        </is>
      </c>
    </row>
    <row r="32">
      <c r="A32" s="2">
        <f>INDEX(Teknikere,17)&amp;""</f>
        <v/>
      </c>
      <c r="B32" s="12">
        <f>IF(INDEX(TekFra,17)&gt;0,"ekstra","")</f>
        <v/>
      </c>
      <c r="C32" s="13">
        <f>IF(OR($A32="",C$5=""),"",IF(OR(AND(INDEX(TekFra,17)&gt;0,C$5&lt;INDEX(TekFra,17)),AND(INDEX(TekTil,17)&gt;0,C$5&gt;INDEX(TekTil,17))),"",IF(COUNTIFS(TF_Nokkel,$A32&amp;"|"&amp;C$5)=0,IF(C$8&lt;&gt;"","LMS",""),IFERROR(IF(SUMIFS(TF_Timer,TF_Nokkel,$A32&amp;"|"&amp;C$5,TF_Akt,"LMS")+IF(C$8="",0,MAX(0,ROUND((C$11-SUMIFS(TF_Timer,TF_Nokkel,$A32&amp;"|"&amp;C$5))*2,0)/2))&gt;INDEX(TF_AktSum,MATCH($A32&amp;"|"&amp;C$5,TF_Dom,0)),"LMS",INDEX(AktKode,MATCH(INDEX(TF_Akt,MATCH($A32&amp;"|"&amp;C$5,TF_Dom,0)),Aktiviteter,0)))&amp;IF(OR(COUNTIFS(TF_Nokkel,$A32&amp;"|"&amp;C$5,TF_Akt,"&lt;&gt;"&amp;INDEX(TF_Akt,MATCH($A32&amp;"|"&amp;C$5,TF_Dom,0)))&gt;0,AND(IF(C$8="",0,MAX(0,ROUND((C$11-SUMIFS(TF_Timer,TF_Nokkel,$A32&amp;"|"&amp;C$5))*2,0)/2))&gt;0,INDEX(TF_Akt,MATCH($A32&amp;"|"&amp;C$5,TF_Dom,0))&lt;&gt;"LMS")),"+",""),"?"))))</f>
        <v/>
      </c>
      <c r="D32" s="13">
        <f>IF(OR($A32="",D$5=""),"",IF(OR(AND(INDEX(TekFra,17)&gt;0,D$5&lt;INDEX(TekFra,17)),AND(INDEX(TekTil,17)&gt;0,D$5&gt;INDEX(TekTil,17))),"",IF(COUNTIFS(TF_Nokkel,$A32&amp;"|"&amp;D$5)=0,IF(D$8&lt;&gt;"","LMS",""),IFERROR(IF(SUMIFS(TF_Timer,TF_Nokkel,$A32&amp;"|"&amp;D$5,TF_Akt,"LMS")+IF(D$8="",0,MAX(0,ROUND((D$11-SUMIFS(TF_Timer,TF_Nokkel,$A32&amp;"|"&amp;D$5))*2,0)/2))&gt;INDEX(TF_AktSum,MATCH($A32&amp;"|"&amp;D$5,TF_Dom,0)),"LMS",INDEX(AktKode,MATCH(INDEX(TF_Akt,MATCH($A32&amp;"|"&amp;D$5,TF_Dom,0)),Aktiviteter,0)))&amp;IF(OR(COUNTIFS(TF_Nokkel,$A32&amp;"|"&amp;D$5,TF_Akt,"&lt;&gt;"&amp;INDEX(TF_Akt,MATCH($A32&amp;"|"&amp;D$5,TF_Dom,0)))&gt;0,AND(IF(D$8="",0,MAX(0,ROUND((D$11-SUMIFS(TF_Timer,TF_Nokkel,$A32&amp;"|"&amp;D$5))*2,0)/2))&gt;0,INDEX(TF_Akt,MATCH($A32&amp;"|"&amp;D$5,TF_Dom,0))&lt;&gt;"LMS")),"+",""),"?"))))</f>
        <v/>
      </c>
      <c r="E32" s="13">
        <f>IF(OR($A32="",E$5=""),"",IF(OR(AND(INDEX(TekFra,17)&gt;0,E$5&lt;INDEX(TekFra,17)),AND(INDEX(TekTil,17)&gt;0,E$5&gt;INDEX(TekTil,17))),"",IF(COUNTIFS(TF_Nokkel,$A32&amp;"|"&amp;E$5)=0,IF(E$8&lt;&gt;"","LMS",""),IFERROR(IF(SUMIFS(TF_Timer,TF_Nokkel,$A32&amp;"|"&amp;E$5,TF_Akt,"LMS")+IF(E$8="",0,MAX(0,ROUND((E$11-SUMIFS(TF_Timer,TF_Nokkel,$A32&amp;"|"&amp;E$5))*2,0)/2))&gt;INDEX(TF_AktSum,MATCH($A32&amp;"|"&amp;E$5,TF_Dom,0)),"LMS",INDEX(AktKode,MATCH(INDEX(TF_Akt,MATCH($A32&amp;"|"&amp;E$5,TF_Dom,0)),Aktiviteter,0)))&amp;IF(OR(COUNTIFS(TF_Nokkel,$A32&amp;"|"&amp;E$5,TF_Akt,"&lt;&gt;"&amp;INDEX(TF_Akt,MATCH($A32&amp;"|"&amp;E$5,TF_Dom,0)))&gt;0,AND(IF(E$8="",0,MAX(0,ROUND((E$11-SUMIFS(TF_Timer,TF_Nokkel,$A32&amp;"|"&amp;E$5))*2,0)/2))&gt;0,INDEX(TF_Akt,MATCH($A32&amp;"|"&amp;E$5,TF_Dom,0))&lt;&gt;"LMS")),"+",""),"?"))))</f>
        <v/>
      </c>
      <c r="F32" s="13">
        <f>IF(OR($A32="",F$5=""),"",IF(OR(AND(INDEX(TekFra,17)&gt;0,F$5&lt;INDEX(TekFra,17)),AND(INDEX(TekTil,17)&gt;0,F$5&gt;INDEX(TekTil,17))),"",IF(COUNTIFS(TF_Nokkel,$A32&amp;"|"&amp;F$5)=0,IF(F$8&lt;&gt;"","LMS",""),IFERROR(IF(SUMIFS(TF_Timer,TF_Nokkel,$A32&amp;"|"&amp;F$5,TF_Akt,"LMS")+IF(F$8="",0,MAX(0,ROUND((F$11-SUMIFS(TF_Timer,TF_Nokkel,$A32&amp;"|"&amp;F$5))*2,0)/2))&gt;INDEX(TF_AktSum,MATCH($A32&amp;"|"&amp;F$5,TF_Dom,0)),"LMS",INDEX(AktKode,MATCH(INDEX(TF_Akt,MATCH($A32&amp;"|"&amp;F$5,TF_Dom,0)),Aktiviteter,0)))&amp;IF(OR(COUNTIFS(TF_Nokkel,$A32&amp;"|"&amp;F$5,TF_Akt,"&lt;&gt;"&amp;INDEX(TF_Akt,MATCH($A32&amp;"|"&amp;F$5,TF_Dom,0)))&gt;0,AND(IF(F$8="",0,MAX(0,ROUND((F$11-SUMIFS(TF_Timer,TF_Nokkel,$A32&amp;"|"&amp;F$5))*2,0)/2))&gt;0,INDEX(TF_Akt,MATCH($A32&amp;"|"&amp;F$5,TF_Dom,0))&lt;&gt;"LMS")),"+",""),"?"))))</f>
        <v/>
      </c>
      <c r="G32" s="13">
        <f>IF(OR($A32="",G$5=""),"",IF(OR(AND(INDEX(TekFra,17)&gt;0,G$5&lt;INDEX(TekFra,17)),AND(INDEX(TekTil,17)&gt;0,G$5&gt;INDEX(TekTil,17))),"",IF(COUNTIFS(TF_Nokkel,$A32&amp;"|"&amp;G$5)=0,IF(G$8&lt;&gt;"","LMS",""),IFERROR(IF(SUMIFS(TF_Timer,TF_Nokkel,$A32&amp;"|"&amp;G$5,TF_Akt,"LMS")+IF(G$8="",0,MAX(0,ROUND((G$11-SUMIFS(TF_Timer,TF_Nokkel,$A32&amp;"|"&amp;G$5))*2,0)/2))&gt;INDEX(TF_AktSum,MATCH($A32&amp;"|"&amp;G$5,TF_Dom,0)),"LMS",INDEX(AktKode,MATCH(INDEX(TF_Akt,MATCH($A32&amp;"|"&amp;G$5,TF_Dom,0)),Aktiviteter,0)))&amp;IF(OR(COUNTIFS(TF_Nokkel,$A32&amp;"|"&amp;G$5,TF_Akt,"&lt;&gt;"&amp;INDEX(TF_Akt,MATCH($A32&amp;"|"&amp;G$5,TF_Dom,0)))&gt;0,AND(IF(G$8="",0,MAX(0,ROUND((G$11-SUMIFS(TF_Timer,TF_Nokkel,$A32&amp;"|"&amp;G$5))*2,0)/2))&gt;0,INDEX(TF_Akt,MATCH($A32&amp;"|"&amp;G$5,TF_Dom,0))&lt;&gt;"LMS")),"+",""),"?"))))</f>
        <v/>
      </c>
      <c r="H32" s="13">
        <f>IF(OR($A32="",H$5=""),"",IF(OR(AND(INDEX(TekFra,17)&gt;0,H$5&lt;INDEX(TekFra,17)),AND(INDEX(TekTil,17)&gt;0,H$5&gt;INDEX(TekTil,17))),"",IF(COUNTIFS(TF_Nokkel,$A32&amp;"|"&amp;H$5)=0,IF(H$8&lt;&gt;"","LMS",""),IFERROR(IF(SUMIFS(TF_Timer,TF_Nokkel,$A32&amp;"|"&amp;H$5,TF_Akt,"LMS")+IF(H$8="",0,MAX(0,ROUND((H$11-SUMIFS(TF_Timer,TF_Nokkel,$A32&amp;"|"&amp;H$5))*2,0)/2))&gt;INDEX(TF_AktSum,MATCH($A32&amp;"|"&amp;H$5,TF_Dom,0)),"LMS",INDEX(AktKode,MATCH(INDEX(TF_Akt,MATCH($A32&amp;"|"&amp;H$5,TF_Dom,0)),Aktiviteter,0)))&amp;IF(OR(COUNTIFS(TF_Nokkel,$A32&amp;"|"&amp;H$5,TF_Akt,"&lt;&gt;"&amp;INDEX(TF_Akt,MATCH($A32&amp;"|"&amp;H$5,TF_Dom,0)))&gt;0,AND(IF(H$8="",0,MAX(0,ROUND((H$11-SUMIFS(TF_Timer,TF_Nokkel,$A32&amp;"|"&amp;H$5))*2,0)/2))&gt;0,INDEX(TF_Akt,MATCH($A32&amp;"|"&amp;H$5,TF_Dom,0))&lt;&gt;"LMS")),"+",""),"?"))))</f>
        <v/>
      </c>
      <c r="I32" s="13">
        <f>IF(OR($A32="",I$5=""),"",IF(OR(AND(INDEX(TekFra,17)&gt;0,I$5&lt;INDEX(TekFra,17)),AND(INDEX(TekTil,17)&gt;0,I$5&gt;INDEX(TekTil,17))),"",IF(COUNTIFS(TF_Nokkel,$A32&amp;"|"&amp;I$5)=0,IF(I$8&lt;&gt;"","LMS",""),IFERROR(IF(SUMIFS(TF_Timer,TF_Nokkel,$A32&amp;"|"&amp;I$5,TF_Akt,"LMS")+IF(I$8="",0,MAX(0,ROUND((I$11-SUMIFS(TF_Timer,TF_Nokkel,$A32&amp;"|"&amp;I$5))*2,0)/2))&gt;INDEX(TF_AktSum,MATCH($A32&amp;"|"&amp;I$5,TF_Dom,0)),"LMS",INDEX(AktKode,MATCH(INDEX(TF_Akt,MATCH($A32&amp;"|"&amp;I$5,TF_Dom,0)),Aktiviteter,0)))&amp;IF(OR(COUNTIFS(TF_Nokkel,$A32&amp;"|"&amp;I$5,TF_Akt,"&lt;&gt;"&amp;INDEX(TF_Akt,MATCH($A32&amp;"|"&amp;I$5,TF_Dom,0)))&gt;0,AND(IF(I$8="",0,MAX(0,ROUND((I$11-SUMIFS(TF_Timer,TF_Nokkel,$A32&amp;"|"&amp;I$5))*2,0)/2))&gt;0,INDEX(TF_Akt,MATCH($A32&amp;"|"&amp;I$5,TF_Dom,0))&lt;&gt;"LMS")),"+",""),"?"))))</f>
        <v/>
      </c>
      <c r="J32" s="13">
        <f>IF(OR($A32="",J$5=""),"",IF(OR(AND(INDEX(TekFra,17)&gt;0,J$5&lt;INDEX(TekFra,17)),AND(INDEX(TekTil,17)&gt;0,J$5&gt;INDEX(TekTil,17))),"",IF(COUNTIFS(TF_Nokkel,$A32&amp;"|"&amp;J$5)=0,IF(J$8&lt;&gt;"","LMS",""),IFERROR(IF(SUMIFS(TF_Timer,TF_Nokkel,$A32&amp;"|"&amp;J$5,TF_Akt,"LMS")+IF(J$8="",0,MAX(0,ROUND((J$11-SUMIFS(TF_Timer,TF_Nokkel,$A32&amp;"|"&amp;J$5))*2,0)/2))&gt;INDEX(TF_AktSum,MATCH($A32&amp;"|"&amp;J$5,TF_Dom,0)),"LMS",INDEX(AktKode,MATCH(INDEX(TF_Akt,MATCH($A32&amp;"|"&amp;J$5,TF_Dom,0)),Aktiviteter,0)))&amp;IF(OR(COUNTIFS(TF_Nokkel,$A32&amp;"|"&amp;J$5,TF_Akt,"&lt;&gt;"&amp;INDEX(TF_Akt,MATCH($A32&amp;"|"&amp;J$5,TF_Dom,0)))&gt;0,AND(IF(J$8="",0,MAX(0,ROUND((J$11-SUMIFS(TF_Timer,TF_Nokkel,$A32&amp;"|"&amp;J$5))*2,0)/2))&gt;0,INDEX(TF_Akt,MATCH($A32&amp;"|"&amp;J$5,TF_Dom,0))&lt;&gt;"LMS")),"+",""),"?"))))</f>
        <v/>
      </c>
      <c r="K32" s="13">
        <f>IF(OR($A32="",K$5=""),"",IF(OR(AND(INDEX(TekFra,17)&gt;0,K$5&lt;INDEX(TekFra,17)),AND(INDEX(TekTil,17)&gt;0,K$5&gt;INDEX(TekTil,17))),"",IF(COUNTIFS(TF_Nokkel,$A32&amp;"|"&amp;K$5)=0,IF(K$8&lt;&gt;"","LMS",""),IFERROR(IF(SUMIFS(TF_Timer,TF_Nokkel,$A32&amp;"|"&amp;K$5,TF_Akt,"LMS")+IF(K$8="",0,MAX(0,ROUND((K$11-SUMIFS(TF_Timer,TF_Nokkel,$A32&amp;"|"&amp;K$5))*2,0)/2))&gt;INDEX(TF_AktSum,MATCH($A32&amp;"|"&amp;K$5,TF_Dom,0)),"LMS",INDEX(AktKode,MATCH(INDEX(TF_Akt,MATCH($A32&amp;"|"&amp;K$5,TF_Dom,0)),Aktiviteter,0)))&amp;IF(OR(COUNTIFS(TF_Nokkel,$A32&amp;"|"&amp;K$5,TF_Akt,"&lt;&gt;"&amp;INDEX(TF_Akt,MATCH($A32&amp;"|"&amp;K$5,TF_Dom,0)))&gt;0,AND(IF(K$8="",0,MAX(0,ROUND((K$11-SUMIFS(TF_Timer,TF_Nokkel,$A32&amp;"|"&amp;K$5))*2,0)/2))&gt;0,INDEX(TF_Akt,MATCH($A32&amp;"|"&amp;K$5,TF_Dom,0))&lt;&gt;"LMS")),"+",""),"?"))))</f>
        <v/>
      </c>
      <c r="L32" s="13">
        <f>IF(OR($A32="",L$5=""),"",IF(OR(AND(INDEX(TekFra,17)&gt;0,L$5&lt;INDEX(TekFra,17)),AND(INDEX(TekTil,17)&gt;0,L$5&gt;INDEX(TekTil,17))),"",IF(COUNTIFS(TF_Nokkel,$A32&amp;"|"&amp;L$5)=0,IF(L$8&lt;&gt;"","LMS",""),IFERROR(IF(SUMIFS(TF_Timer,TF_Nokkel,$A32&amp;"|"&amp;L$5,TF_Akt,"LMS")+IF(L$8="",0,MAX(0,ROUND((L$11-SUMIFS(TF_Timer,TF_Nokkel,$A32&amp;"|"&amp;L$5))*2,0)/2))&gt;INDEX(TF_AktSum,MATCH($A32&amp;"|"&amp;L$5,TF_Dom,0)),"LMS",INDEX(AktKode,MATCH(INDEX(TF_Akt,MATCH($A32&amp;"|"&amp;L$5,TF_Dom,0)),Aktiviteter,0)))&amp;IF(OR(COUNTIFS(TF_Nokkel,$A32&amp;"|"&amp;L$5,TF_Akt,"&lt;&gt;"&amp;INDEX(TF_Akt,MATCH($A32&amp;"|"&amp;L$5,TF_Dom,0)))&gt;0,AND(IF(L$8="",0,MAX(0,ROUND((L$11-SUMIFS(TF_Timer,TF_Nokkel,$A32&amp;"|"&amp;L$5))*2,0)/2))&gt;0,INDEX(TF_Akt,MATCH($A32&amp;"|"&amp;L$5,TF_Dom,0))&lt;&gt;"LMS")),"+",""),"?"))))</f>
        <v/>
      </c>
      <c r="M32" s="13">
        <f>IF(OR($A32="",M$5=""),"",IF(OR(AND(INDEX(TekFra,17)&gt;0,M$5&lt;INDEX(TekFra,17)),AND(INDEX(TekTil,17)&gt;0,M$5&gt;INDEX(TekTil,17))),"",IF(COUNTIFS(TF_Nokkel,$A32&amp;"|"&amp;M$5)=0,IF(M$8&lt;&gt;"","LMS",""),IFERROR(IF(SUMIFS(TF_Timer,TF_Nokkel,$A32&amp;"|"&amp;M$5,TF_Akt,"LMS")+IF(M$8="",0,MAX(0,ROUND((M$11-SUMIFS(TF_Timer,TF_Nokkel,$A32&amp;"|"&amp;M$5))*2,0)/2))&gt;INDEX(TF_AktSum,MATCH($A32&amp;"|"&amp;M$5,TF_Dom,0)),"LMS",INDEX(AktKode,MATCH(INDEX(TF_Akt,MATCH($A32&amp;"|"&amp;M$5,TF_Dom,0)),Aktiviteter,0)))&amp;IF(OR(COUNTIFS(TF_Nokkel,$A32&amp;"|"&amp;M$5,TF_Akt,"&lt;&gt;"&amp;INDEX(TF_Akt,MATCH($A32&amp;"|"&amp;M$5,TF_Dom,0)))&gt;0,AND(IF(M$8="",0,MAX(0,ROUND((M$11-SUMIFS(TF_Timer,TF_Nokkel,$A32&amp;"|"&amp;M$5))*2,0)/2))&gt;0,INDEX(TF_Akt,MATCH($A32&amp;"|"&amp;M$5,TF_Dom,0))&lt;&gt;"LMS")),"+",""),"?"))))</f>
        <v/>
      </c>
      <c r="N32" s="13">
        <f>IF(OR($A32="",N$5=""),"",IF(OR(AND(INDEX(TekFra,17)&gt;0,N$5&lt;INDEX(TekFra,17)),AND(INDEX(TekTil,17)&gt;0,N$5&gt;INDEX(TekTil,17))),"",IF(COUNTIFS(TF_Nokkel,$A32&amp;"|"&amp;N$5)=0,IF(N$8&lt;&gt;"","LMS",""),IFERROR(IF(SUMIFS(TF_Timer,TF_Nokkel,$A32&amp;"|"&amp;N$5,TF_Akt,"LMS")+IF(N$8="",0,MAX(0,ROUND((N$11-SUMIFS(TF_Timer,TF_Nokkel,$A32&amp;"|"&amp;N$5))*2,0)/2))&gt;INDEX(TF_AktSum,MATCH($A32&amp;"|"&amp;N$5,TF_Dom,0)),"LMS",INDEX(AktKode,MATCH(INDEX(TF_Akt,MATCH($A32&amp;"|"&amp;N$5,TF_Dom,0)),Aktiviteter,0)))&amp;IF(OR(COUNTIFS(TF_Nokkel,$A32&amp;"|"&amp;N$5,TF_Akt,"&lt;&gt;"&amp;INDEX(TF_Akt,MATCH($A32&amp;"|"&amp;N$5,TF_Dom,0)))&gt;0,AND(IF(N$8="",0,MAX(0,ROUND((N$11-SUMIFS(TF_Timer,TF_Nokkel,$A32&amp;"|"&amp;N$5))*2,0)/2))&gt;0,INDEX(TF_Akt,MATCH($A32&amp;"|"&amp;N$5,TF_Dom,0))&lt;&gt;"LMS")),"+",""),"?"))))</f>
        <v/>
      </c>
      <c r="O32" s="13">
        <f>IF(OR($A32="",O$5=""),"",IF(OR(AND(INDEX(TekFra,17)&gt;0,O$5&lt;INDEX(TekFra,17)),AND(INDEX(TekTil,17)&gt;0,O$5&gt;INDEX(TekTil,17))),"",IF(COUNTIFS(TF_Nokkel,$A32&amp;"|"&amp;O$5)=0,IF(O$8&lt;&gt;"","LMS",""),IFERROR(IF(SUMIFS(TF_Timer,TF_Nokkel,$A32&amp;"|"&amp;O$5,TF_Akt,"LMS")+IF(O$8="",0,MAX(0,ROUND((O$11-SUMIFS(TF_Timer,TF_Nokkel,$A32&amp;"|"&amp;O$5))*2,0)/2))&gt;INDEX(TF_AktSum,MATCH($A32&amp;"|"&amp;O$5,TF_Dom,0)),"LMS",INDEX(AktKode,MATCH(INDEX(TF_Akt,MATCH($A32&amp;"|"&amp;O$5,TF_Dom,0)),Aktiviteter,0)))&amp;IF(OR(COUNTIFS(TF_Nokkel,$A32&amp;"|"&amp;O$5,TF_Akt,"&lt;&gt;"&amp;INDEX(TF_Akt,MATCH($A32&amp;"|"&amp;O$5,TF_Dom,0)))&gt;0,AND(IF(O$8="",0,MAX(0,ROUND((O$11-SUMIFS(TF_Timer,TF_Nokkel,$A32&amp;"|"&amp;O$5))*2,0)/2))&gt;0,INDEX(TF_Akt,MATCH($A32&amp;"|"&amp;O$5,TF_Dom,0))&lt;&gt;"LMS")),"+",""),"?"))))</f>
        <v/>
      </c>
      <c r="P32" s="13">
        <f>IF(OR($A32="",P$5=""),"",IF(OR(AND(INDEX(TekFra,17)&gt;0,P$5&lt;INDEX(TekFra,17)),AND(INDEX(TekTil,17)&gt;0,P$5&gt;INDEX(TekTil,17))),"",IF(COUNTIFS(TF_Nokkel,$A32&amp;"|"&amp;P$5)=0,IF(P$8&lt;&gt;"","LMS",""),IFERROR(IF(SUMIFS(TF_Timer,TF_Nokkel,$A32&amp;"|"&amp;P$5,TF_Akt,"LMS")+IF(P$8="",0,MAX(0,ROUND((P$11-SUMIFS(TF_Timer,TF_Nokkel,$A32&amp;"|"&amp;P$5))*2,0)/2))&gt;INDEX(TF_AktSum,MATCH($A32&amp;"|"&amp;P$5,TF_Dom,0)),"LMS",INDEX(AktKode,MATCH(INDEX(TF_Akt,MATCH($A32&amp;"|"&amp;P$5,TF_Dom,0)),Aktiviteter,0)))&amp;IF(OR(COUNTIFS(TF_Nokkel,$A32&amp;"|"&amp;P$5,TF_Akt,"&lt;&gt;"&amp;INDEX(TF_Akt,MATCH($A32&amp;"|"&amp;P$5,TF_Dom,0)))&gt;0,AND(IF(P$8="",0,MAX(0,ROUND((P$11-SUMIFS(TF_Timer,TF_Nokkel,$A32&amp;"|"&amp;P$5))*2,0)/2))&gt;0,INDEX(TF_Akt,MATCH($A32&amp;"|"&amp;P$5,TF_Dom,0))&lt;&gt;"LMS")),"+",""),"?"))))</f>
        <v/>
      </c>
      <c r="Q32" s="13">
        <f>IF(OR($A32="",Q$5=""),"",IF(OR(AND(INDEX(TekFra,17)&gt;0,Q$5&lt;INDEX(TekFra,17)),AND(INDEX(TekTil,17)&gt;0,Q$5&gt;INDEX(TekTil,17))),"",IF(COUNTIFS(TF_Nokkel,$A32&amp;"|"&amp;Q$5)=0,IF(Q$8&lt;&gt;"","LMS",""),IFERROR(IF(SUMIFS(TF_Timer,TF_Nokkel,$A32&amp;"|"&amp;Q$5,TF_Akt,"LMS")+IF(Q$8="",0,MAX(0,ROUND((Q$11-SUMIFS(TF_Timer,TF_Nokkel,$A32&amp;"|"&amp;Q$5))*2,0)/2))&gt;INDEX(TF_AktSum,MATCH($A32&amp;"|"&amp;Q$5,TF_Dom,0)),"LMS",INDEX(AktKode,MATCH(INDEX(TF_Akt,MATCH($A32&amp;"|"&amp;Q$5,TF_Dom,0)),Aktiviteter,0)))&amp;IF(OR(COUNTIFS(TF_Nokkel,$A32&amp;"|"&amp;Q$5,TF_Akt,"&lt;&gt;"&amp;INDEX(TF_Akt,MATCH($A32&amp;"|"&amp;Q$5,TF_Dom,0)))&gt;0,AND(IF(Q$8="",0,MAX(0,ROUND((Q$11-SUMIFS(TF_Timer,TF_Nokkel,$A32&amp;"|"&amp;Q$5))*2,0)/2))&gt;0,INDEX(TF_Akt,MATCH($A32&amp;"|"&amp;Q$5,TF_Dom,0))&lt;&gt;"LMS")),"+",""),"?"))))</f>
        <v/>
      </c>
      <c r="R32" s="13">
        <f>IF(OR($A32="",R$5=""),"",IF(OR(AND(INDEX(TekFra,17)&gt;0,R$5&lt;INDEX(TekFra,17)),AND(INDEX(TekTil,17)&gt;0,R$5&gt;INDEX(TekTil,17))),"",IF(COUNTIFS(TF_Nokkel,$A32&amp;"|"&amp;R$5)=0,IF(R$8&lt;&gt;"","LMS",""),IFERROR(IF(SUMIFS(TF_Timer,TF_Nokkel,$A32&amp;"|"&amp;R$5,TF_Akt,"LMS")+IF(R$8="",0,MAX(0,ROUND((R$11-SUMIFS(TF_Timer,TF_Nokkel,$A32&amp;"|"&amp;R$5))*2,0)/2))&gt;INDEX(TF_AktSum,MATCH($A32&amp;"|"&amp;R$5,TF_Dom,0)),"LMS",INDEX(AktKode,MATCH(INDEX(TF_Akt,MATCH($A32&amp;"|"&amp;R$5,TF_Dom,0)),Aktiviteter,0)))&amp;IF(OR(COUNTIFS(TF_Nokkel,$A32&amp;"|"&amp;R$5,TF_Akt,"&lt;&gt;"&amp;INDEX(TF_Akt,MATCH($A32&amp;"|"&amp;R$5,TF_Dom,0)))&gt;0,AND(IF(R$8="",0,MAX(0,ROUND((R$11-SUMIFS(TF_Timer,TF_Nokkel,$A32&amp;"|"&amp;R$5))*2,0)/2))&gt;0,INDEX(TF_Akt,MATCH($A32&amp;"|"&amp;R$5,TF_Dom,0))&lt;&gt;"LMS")),"+",""),"?"))))</f>
        <v/>
      </c>
      <c r="S32" s="13">
        <f>IF(OR($A32="",S$5=""),"",IF(OR(AND(INDEX(TekFra,17)&gt;0,S$5&lt;INDEX(TekFra,17)),AND(INDEX(TekTil,17)&gt;0,S$5&gt;INDEX(TekTil,17))),"",IF(COUNTIFS(TF_Nokkel,$A32&amp;"|"&amp;S$5)=0,IF(S$8&lt;&gt;"","LMS",""),IFERROR(IF(SUMIFS(TF_Timer,TF_Nokkel,$A32&amp;"|"&amp;S$5,TF_Akt,"LMS")+IF(S$8="",0,MAX(0,ROUND((S$11-SUMIFS(TF_Timer,TF_Nokkel,$A32&amp;"|"&amp;S$5))*2,0)/2))&gt;INDEX(TF_AktSum,MATCH($A32&amp;"|"&amp;S$5,TF_Dom,0)),"LMS",INDEX(AktKode,MATCH(INDEX(TF_Akt,MATCH($A32&amp;"|"&amp;S$5,TF_Dom,0)),Aktiviteter,0)))&amp;IF(OR(COUNTIFS(TF_Nokkel,$A32&amp;"|"&amp;S$5,TF_Akt,"&lt;&gt;"&amp;INDEX(TF_Akt,MATCH($A32&amp;"|"&amp;S$5,TF_Dom,0)))&gt;0,AND(IF(S$8="",0,MAX(0,ROUND((S$11-SUMIFS(TF_Timer,TF_Nokkel,$A32&amp;"|"&amp;S$5))*2,0)/2))&gt;0,INDEX(TF_Akt,MATCH($A32&amp;"|"&amp;S$5,TF_Dom,0))&lt;&gt;"LMS")),"+",""),"?"))))</f>
        <v/>
      </c>
      <c r="T32" s="13">
        <f>IF(OR($A32="",T$5=""),"",IF(OR(AND(INDEX(TekFra,17)&gt;0,T$5&lt;INDEX(TekFra,17)),AND(INDEX(TekTil,17)&gt;0,T$5&gt;INDEX(TekTil,17))),"",IF(COUNTIFS(TF_Nokkel,$A32&amp;"|"&amp;T$5)=0,IF(T$8&lt;&gt;"","LMS",""),IFERROR(IF(SUMIFS(TF_Timer,TF_Nokkel,$A32&amp;"|"&amp;T$5,TF_Akt,"LMS")+IF(T$8="",0,MAX(0,ROUND((T$11-SUMIFS(TF_Timer,TF_Nokkel,$A32&amp;"|"&amp;T$5))*2,0)/2))&gt;INDEX(TF_AktSum,MATCH($A32&amp;"|"&amp;T$5,TF_Dom,0)),"LMS",INDEX(AktKode,MATCH(INDEX(TF_Akt,MATCH($A32&amp;"|"&amp;T$5,TF_Dom,0)),Aktiviteter,0)))&amp;IF(OR(COUNTIFS(TF_Nokkel,$A32&amp;"|"&amp;T$5,TF_Akt,"&lt;&gt;"&amp;INDEX(TF_Akt,MATCH($A32&amp;"|"&amp;T$5,TF_Dom,0)))&gt;0,AND(IF(T$8="",0,MAX(0,ROUND((T$11-SUMIFS(TF_Timer,TF_Nokkel,$A32&amp;"|"&amp;T$5))*2,0)/2))&gt;0,INDEX(TF_Akt,MATCH($A32&amp;"|"&amp;T$5,TF_Dom,0))&lt;&gt;"LMS")),"+",""),"?"))))</f>
        <v/>
      </c>
      <c r="U32" s="13">
        <f>IF(OR($A32="",U$5=""),"",IF(OR(AND(INDEX(TekFra,17)&gt;0,U$5&lt;INDEX(TekFra,17)),AND(INDEX(TekTil,17)&gt;0,U$5&gt;INDEX(TekTil,17))),"",IF(COUNTIFS(TF_Nokkel,$A32&amp;"|"&amp;U$5)=0,IF(U$8&lt;&gt;"","LMS",""),IFERROR(IF(SUMIFS(TF_Timer,TF_Nokkel,$A32&amp;"|"&amp;U$5,TF_Akt,"LMS")+IF(U$8="",0,MAX(0,ROUND((U$11-SUMIFS(TF_Timer,TF_Nokkel,$A32&amp;"|"&amp;U$5))*2,0)/2))&gt;INDEX(TF_AktSum,MATCH($A32&amp;"|"&amp;U$5,TF_Dom,0)),"LMS",INDEX(AktKode,MATCH(INDEX(TF_Akt,MATCH($A32&amp;"|"&amp;U$5,TF_Dom,0)),Aktiviteter,0)))&amp;IF(OR(COUNTIFS(TF_Nokkel,$A32&amp;"|"&amp;U$5,TF_Akt,"&lt;&gt;"&amp;INDEX(TF_Akt,MATCH($A32&amp;"|"&amp;U$5,TF_Dom,0)))&gt;0,AND(IF(U$8="",0,MAX(0,ROUND((U$11-SUMIFS(TF_Timer,TF_Nokkel,$A32&amp;"|"&amp;U$5))*2,0)/2))&gt;0,INDEX(TF_Akt,MATCH($A32&amp;"|"&amp;U$5,TF_Dom,0))&lt;&gt;"LMS")),"+",""),"?"))))</f>
        <v/>
      </c>
      <c r="V32" s="13">
        <f>IF(OR($A32="",V$5=""),"",IF(OR(AND(INDEX(TekFra,17)&gt;0,V$5&lt;INDEX(TekFra,17)),AND(INDEX(TekTil,17)&gt;0,V$5&gt;INDEX(TekTil,17))),"",IF(COUNTIFS(TF_Nokkel,$A32&amp;"|"&amp;V$5)=0,IF(V$8&lt;&gt;"","LMS",""),IFERROR(IF(SUMIFS(TF_Timer,TF_Nokkel,$A32&amp;"|"&amp;V$5,TF_Akt,"LMS")+IF(V$8="",0,MAX(0,ROUND((V$11-SUMIFS(TF_Timer,TF_Nokkel,$A32&amp;"|"&amp;V$5))*2,0)/2))&gt;INDEX(TF_AktSum,MATCH($A32&amp;"|"&amp;V$5,TF_Dom,0)),"LMS",INDEX(AktKode,MATCH(INDEX(TF_Akt,MATCH($A32&amp;"|"&amp;V$5,TF_Dom,0)),Aktiviteter,0)))&amp;IF(OR(COUNTIFS(TF_Nokkel,$A32&amp;"|"&amp;V$5,TF_Akt,"&lt;&gt;"&amp;INDEX(TF_Akt,MATCH($A32&amp;"|"&amp;V$5,TF_Dom,0)))&gt;0,AND(IF(V$8="",0,MAX(0,ROUND((V$11-SUMIFS(TF_Timer,TF_Nokkel,$A32&amp;"|"&amp;V$5))*2,0)/2))&gt;0,INDEX(TF_Akt,MATCH($A32&amp;"|"&amp;V$5,TF_Dom,0))&lt;&gt;"LMS")),"+",""),"?"))))</f>
        <v/>
      </c>
      <c r="W32" s="13">
        <f>IF(OR($A32="",W$5=""),"",IF(OR(AND(INDEX(TekFra,17)&gt;0,W$5&lt;INDEX(TekFra,17)),AND(INDEX(TekTil,17)&gt;0,W$5&gt;INDEX(TekTil,17))),"",IF(COUNTIFS(TF_Nokkel,$A32&amp;"|"&amp;W$5)=0,IF(W$8&lt;&gt;"","LMS",""),IFERROR(IF(SUMIFS(TF_Timer,TF_Nokkel,$A32&amp;"|"&amp;W$5,TF_Akt,"LMS")+IF(W$8="",0,MAX(0,ROUND((W$11-SUMIFS(TF_Timer,TF_Nokkel,$A32&amp;"|"&amp;W$5))*2,0)/2))&gt;INDEX(TF_AktSum,MATCH($A32&amp;"|"&amp;W$5,TF_Dom,0)),"LMS",INDEX(AktKode,MATCH(INDEX(TF_Akt,MATCH($A32&amp;"|"&amp;W$5,TF_Dom,0)),Aktiviteter,0)))&amp;IF(OR(COUNTIFS(TF_Nokkel,$A32&amp;"|"&amp;W$5,TF_Akt,"&lt;&gt;"&amp;INDEX(TF_Akt,MATCH($A32&amp;"|"&amp;W$5,TF_Dom,0)))&gt;0,AND(IF(W$8="",0,MAX(0,ROUND((W$11-SUMIFS(TF_Timer,TF_Nokkel,$A32&amp;"|"&amp;W$5))*2,0)/2))&gt;0,INDEX(TF_Akt,MATCH($A32&amp;"|"&amp;W$5,TF_Dom,0))&lt;&gt;"LMS")),"+",""),"?"))))</f>
        <v/>
      </c>
      <c r="X32" s="13">
        <f>IF(OR($A32="",X$5=""),"",IF(OR(AND(INDEX(TekFra,17)&gt;0,X$5&lt;INDEX(TekFra,17)),AND(INDEX(TekTil,17)&gt;0,X$5&gt;INDEX(TekTil,17))),"",IF(COUNTIFS(TF_Nokkel,$A32&amp;"|"&amp;X$5)=0,IF(X$8&lt;&gt;"","LMS",""),IFERROR(IF(SUMIFS(TF_Timer,TF_Nokkel,$A32&amp;"|"&amp;X$5,TF_Akt,"LMS")+IF(X$8="",0,MAX(0,ROUND((X$11-SUMIFS(TF_Timer,TF_Nokkel,$A32&amp;"|"&amp;X$5))*2,0)/2))&gt;INDEX(TF_AktSum,MATCH($A32&amp;"|"&amp;X$5,TF_Dom,0)),"LMS",INDEX(AktKode,MATCH(INDEX(TF_Akt,MATCH($A32&amp;"|"&amp;X$5,TF_Dom,0)),Aktiviteter,0)))&amp;IF(OR(COUNTIFS(TF_Nokkel,$A32&amp;"|"&amp;X$5,TF_Akt,"&lt;&gt;"&amp;INDEX(TF_Akt,MATCH($A32&amp;"|"&amp;X$5,TF_Dom,0)))&gt;0,AND(IF(X$8="",0,MAX(0,ROUND((X$11-SUMIFS(TF_Timer,TF_Nokkel,$A32&amp;"|"&amp;X$5))*2,0)/2))&gt;0,INDEX(TF_Akt,MATCH($A32&amp;"|"&amp;X$5,TF_Dom,0))&lt;&gt;"LMS")),"+",""),"?"))))</f>
        <v/>
      </c>
      <c r="Y32" s="13">
        <f>IF(OR($A32="",Y$5=""),"",IF(OR(AND(INDEX(TekFra,17)&gt;0,Y$5&lt;INDEX(TekFra,17)),AND(INDEX(TekTil,17)&gt;0,Y$5&gt;INDEX(TekTil,17))),"",IF(COUNTIFS(TF_Nokkel,$A32&amp;"|"&amp;Y$5)=0,IF(Y$8&lt;&gt;"","LMS",""),IFERROR(IF(SUMIFS(TF_Timer,TF_Nokkel,$A32&amp;"|"&amp;Y$5,TF_Akt,"LMS")+IF(Y$8="",0,MAX(0,ROUND((Y$11-SUMIFS(TF_Timer,TF_Nokkel,$A32&amp;"|"&amp;Y$5))*2,0)/2))&gt;INDEX(TF_AktSum,MATCH($A32&amp;"|"&amp;Y$5,TF_Dom,0)),"LMS",INDEX(AktKode,MATCH(INDEX(TF_Akt,MATCH($A32&amp;"|"&amp;Y$5,TF_Dom,0)),Aktiviteter,0)))&amp;IF(OR(COUNTIFS(TF_Nokkel,$A32&amp;"|"&amp;Y$5,TF_Akt,"&lt;&gt;"&amp;INDEX(TF_Akt,MATCH($A32&amp;"|"&amp;Y$5,TF_Dom,0)))&gt;0,AND(IF(Y$8="",0,MAX(0,ROUND((Y$11-SUMIFS(TF_Timer,TF_Nokkel,$A32&amp;"|"&amp;Y$5))*2,0)/2))&gt;0,INDEX(TF_Akt,MATCH($A32&amp;"|"&amp;Y$5,TF_Dom,0))&lt;&gt;"LMS")),"+",""),"?"))))</f>
        <v/>
      </c>
      <c r="Z32" s="13">
        <f>IF(OR($A32="",Z$5=""),"",IF(OR(AND(INDEX(TekFra,17)&gt;0,Z$5&lt;INDEX(TekFra,17)),AND(INDEX(TekTil,17)&gt;0,Z$5&gt;INDEX(TekTil,17))),"",IF(COUNTIFS(TF_Nokkel,$A32&amp;"|"&amp;Z$5)=0,IF(Z$8&lt;&gt;"","LMS",""),IFERROR(IF(SUMIFS(TF_Timer,TF_Nokkel,$A32&amp;"|"&amp;Z$5,TF_Akt,"LMS")+IF(Z$8="",0,MAX(0,ROUND((Z$11-SUMIFS(TF_Timer,TF_Nokkel,$A32&amp;"|"&amp;Z$5))*2,0)/2))&gt;INDEX(TF_AktSum,MATCH($A32&amp;"|"&amp;Z$5,TF_Dom,0)),"LMS",INDEX(AktKode,MATCH(INDEX(TF_Akt,MATCH($A32&amp;"|"&amp;Z$5,TF_Dom,0)),Aktiviteter,0)))&amp;IF(OR(COUNTIFS(TF_Nokkel,$A32&amp;"|"&amp;Z$5,TF_Akt,"&lt;&gt;"&amp;INDEX(TF_Akt,MATCH($A32&amp;"|"&amp;Z$5,TF_Dom,0)))&gt;0,AND(IF(Z$8="",0,MAX(0,ROUND((Z$11-SUMIFS(TF_Timer,TF_Nokkel,$A32&amp;"|"&amp;Z$5))*2,0)/2))&gt;0,INDEX(TF_Akt,MATCH($A32&amp;"|"&amp;Z$5,TF_Dom,0))&lt;&gt;"LMS")),"+",""),"?"))))</f>
        <v/>
      </c>
      <c r="AA32" s="13">
        <f>IF(OR($A32="",AA$5=""),"",IF(OR(AND(INDEX(TekFra,17)&gt;0,AA$5&lt;INDEX(TekFra,17)),AND(INDEX(TekTil,17)&gt;0,AA$5&gt;INDEX(TekTil,17))),"",IF(COUNTIFS(TF_Nokkel,$A32&amp;"|"&amp;AA$5)=0,IF(AA$8&lt;&gt;"","LMS",""),IFERROR(IF(SUMIFS(TF_Timer,TF_Nokkel,$A32&amp;"|"&amp;AA$5,TF_Akt,"LMS")+IF(AA$8="",0,MAX(0,ROUND((AA$11-SUMIFS(TF_Timer,TF_Nokkel,$A32&amp;"|"&amp;AA$5))*2,0)/2))&gt;INDEX(TF_AktSum,MATCH($A32&amp;"|"&amp;AA$5,TF_Dom,0)),"LMS",INDEX(AktKode,MATCH(INDEX(TF_Akt,MATCH($A32&amp;"|"&amp;AA$5,TF_Dom,0)),Aktiviteter,0)))&amp;IF(OR(COUNTIFS(TF_Nokkel,$A32&amp;"|"&amp;AA$5,TF_Akt,"&lt;&gt;"&amp;INDEX(TF_Akt,MATCH($A32&amp;"|"&amp;AA$5,TF_Dom,0)))&gt;0,AND(IF(AA$8="",0,MAX(0,ROUND((AA$11-SUMIFS(TF_Timer,TF_Nokkel,$A32&amp;"|"&amp;AA$5))*2,0)/2))&gt;0,INDEX(TF_Akt,MATCH($A32&amp;"|"&amp;AA$5,TF_Dom,0))&lt;&gt;"LMS")),"+",""),"?"))))</f>
        <v/>
      </c>
      <c r="AB32" s="13">
        <f>IF(OR($A32="",AB$5=""),"",IF(OR(AND(INDEX(TekFra,17)&gt;0,AB$5&lt;INDEX(TekFra,17)),AND(INDEX(TekTil,17)&gt;0,AB$5&gt;INDEX(TekTil,17))),"",IF(COUNTIFS(TF_Nokkel,$A32&amp;"|"&amp;AB$5)=0,IF(AB$8&lt;&gt;"","LMS",""),IFERROR(IF(SUMIFS(TF_Timer,TF_Nokkel,$A32&amp;"|"&amp;AB$5,TF_Akt,"LMS")+IF(AB$8="",0,MAX(0,ROUND((AB$11-SUMIFS(TF_Timer,TF_Nokkel,$A32&amp;"|"&amp;AB$5))*2,0)/2))&gt;INDEX(TF_AktSum,MATCH($A32&amp;"|"&amp;AB$5,TF_Dom,0)),"LMS",INDEX(AktKode,MATCH(INDEX(TF_Akt,MATCH($A32&amp;"|"&amp;AB$5,TF_Dom,0)),Aktiviteter,0)))&amp;IF(OR(COUNTIFS(TF_Nokkel,$A32&amp;"|"&amp;AB$5,TF_Akt,"&lt;&gt;"&amp;INDEX(TF_Akt,MATCH($A32&amp;"|"&amp;AB$5,TF_Dom,0)))&gt;0,AND(IF(AB$8="",0,MAX(0,ROUND((AB$11-SUMIFS(TF_Timer,TF_Nokkel,$A32&amp;"|"&amp;AB$5))*2,0)/2))&gt;0,INDEX(TF_Akt,MATCH($A32&amp;"|"&amp;AB$5,TF_Dom,0))&lt;&gt;"LMS")),"+",""),"?"))))</f>
        <v/>
      </c>
      <c r="AC32" s="13">
        <f>IF(OR($A32="",AC$5=""),"",IF(OR(AND(INDEX(TekFra,17)&gt;0,AC$5&lt;INDEX(TekFra,17)),AND(INDEX(TekTil,17)&gt;0,AC$5&gt;INDEX(TekTil,17))),"",IF(COUNTIFS(TF_Nokkel,$A32&amp;"|"&amp;AC$5)=0,IF(AC$8&lt;&gt;"","LMS",""),IFERROR(IF(SUMIFS(TF_Timer,TF_Nokkel,$A32&amp;"|"&amp;AC$5,TF_Akt,"LMS")+IF(AC$8="",0,MAX(0,ROUND((AC$11-SUMIFS(TF_Timer,TF_Nokkel,$A32&amp;"|"&amp;AC$5))*2,0)/2))&gt;INDEX(TF_AktSum,MATCH($A32&amp;"|"&amp;AC$5,TF_Dom,0)),"LMS",INDEX(AktKode,MATCH(INDEX(TF_Akt,MATCH($A32&amp;"|"&amp;AC$5,TF_Dom,0)),Aktiviteter,0)))&amp;IF(OR(COUNTIFS(TF_Nokkel,$A32&amp;"|"&amp;AC$5,TF_Akt,"&lt;&gt;"&amp;INDEX(TF_Akt,MATCH($A32&amp;"|"&amp;AC$5,TF_Dom,0)))&gt;0,AND(IF(AC$8="",0,MAX(0,ROUND((AC$11-SUMIFS(TF_Timer,TF_Nokkel,$A32&amp;"|"&amp;AC$5))*2,0)/2))&gt;0,INDEX(TF_Akt,MATCH($A32&amp;"|"&amp;AC$5,TF_Dom,0))&lt;&gt;"LMS")),"+",""),"?"))))</f>
        <v/>
      </c>
      <c r="AD32" s="13">
        <f>IF(OR($A32="",AD$5=""),"",IF(OR(AND(INDEX(TekFra,17)&gt;0,AD$5&lt;INDEX(TekFra,17)),AND(INDEX(TekTil,17)&gt;0,AD$5&gt;INDEX(TekTil,17))),"",IF(COUNTIFS(TF_Nokkel,$A32&amp;"|"&amp;AD$5)=0,IF(AD$8&lt;&gt;"","LMS",""),IFERROR(IF(SUMIFS(TF_Timer,TF_Nokkel,$A32&amp;"|"&amp;AD$5,TF_Akt,"LMS")+IF(AD$8="",0,MAX(0,ROUND((AD$11-SUMIFS(TF_Timer,TF_Nokkel,$A32&amp;"|"&amp;AD$5))*2,0)/2))&gt;INDEX(TF_AktSum,MATCH($A32&amp;"|"&amp;AD$5,TF_Dom,0)),"LMS",INDEX(AktKode,MATCH(INDEX(TF_Akt,MATCH($A32&amp;"|"&amp;AD$5,TF_Dom,0)),Aktiviteter,0)))&amp;IF(OR(COUNTIFS(TF_Nokkel,$A32&amp;"|"&amp;AD$5,TF_Akt,"&lt;&gt;"&amp;INDEX(TF_Akt,MATCH($A32&amp;"|"&amp;AD$5,TF_Dom,0)))&gt;0,AND(IF(AD$8="",0,MAX(0,ROUND((AD$11-SUMIFS(TF_Timer,TF_Nokkel,$A32&amp;"|"&amp;AD$5))*2,0)/2))&gt;0,INDEX(TF_Akt,MATCH($A32&amp;"|"&amp;AD$5,TF_Dom,0))&lt;&gt;"LMS")),"+",""),"?"))))</f>
        <v/>
      </c>
      <c r="AE32" s="13">
        <f>IF(OR($A32="",AE$5=""),"",IF(OR(AND(INDEX(TekFra,17)&gt;0,AE$5&lt;INDEX(TekFra,17)),AND(INDEX(TekTil,17)&gt;0,AE$5&gt;INDEX(TekTil,17))),"",IF(COUNTIFS(TF_Nokkel,$A32&amp;"|"&amp;AE$5)=0,IF(AE$8&lt;&gt;"","LMS",""),IFERROR(IF(SUMIFS(TF_Timer,TF_Nokkel,$A32&amp;"|"&amp;AE$5,TF_Akt,"LMS")+IF(AE$8="",0,MAX(0,ROUND((AE$11-SUMIFS(TF_Timer,TF_Nokkel,$A32&amp;"|"&amp;AE$5))*2,0)/2))&gt;INDEX(TF_AktSum,MATCH($A32&amp;"|"&amp;AE$5,TF_Dom,0)),"LMS",INDEX(AktKode,MATCH(INDEX(TF_Akt,MATCH($A32&amp;"|"&amp;AE$5,TF_Dom,0)),Aktiviteter,0)))&amp;IF(OR(COUNTIFS(TF_Nokkel,$A32&amp;"|"&amp;AE$5,TF_Akt,"&lt;&gt;"&amp;INDEX(TF_Akt,MATCH($A32&amp;"|"&amp;AE$5,TF_Dom,0)))&gt;0,AND(IF(AE$8="",0,MAX(0,ROUND((AE$11-SUMIFS(TF_Timer,TF_Nokkel,$A32&amp;"|"&amp;AE$5))*2,0)/2))&gt;0,INDEX(TF_Akt,MATCH($A32&amp;"|"&amp;AE$5,TF_Dom,0))&lt;&gt;"LMS")),"+",""),"?"))))</f>
        <v/>
      </c>
      <c r="AF32" s="13">
        <f>IF(OR($A32="",AF$5=""),"",IF(OR(AND(INDEX(TekFra,17)&gt;0,AF$5&lt;INDEX(TekFra,17)),AND(INDEX(TekTil,17)&gt;0,AF$5&gt;INDEX(TekTil,17))),"",IF(COUNTIFS(TF_Nokkel,$A32&amp;"|"&amp;AF$5)=0,IF(AF$8&lt;&gt;"","LMS",""),IFERROR(IF(SUMIFS(TF_Timer,TF_Nokkel,$A32&amp;"|"&amp;AF$5,TF_Akt,"LMS")+IF(AF$8="",0,MAX(0,ROUND((AF$11-SUMIFS(TF_Timer,TF_Nokkel,$A32&amp;"|"&amp;AF$5))*2,0)/2))&gt;INDEX(TF_AktSum,MATCH($A32&amp;"|"&amp;AF$5,TF_Dom,0)),"LMS",INDEX(AktKode,MATCH(INDEX(TF_Akt,MATCH($A32&amp;"|"&amp;AF$5,TF_Dom,0)),Aktiviteter,0)))&amp;IF(OR(COUNTIFS(TF_Nokkel,$A32&amp;"|"&amp;AF$5,TF_Akt,"&lt;&gt;"&amp;INDEX(TF_Akt,MATCH($A32&amp;"|"&amp;AF$5,TF_Dom,0)))&gt;0,AND(IF(AF$8="",0,MAX(0,ROUND((AF$11-SUMIFS(TF_Timer,TF_Nokkel,$A32&amp;"|"&amp;AF$5))*2,0)/2))&gt;0,INDEX(TF_Akt,MATCH($A32&amp;"|"&amp;AF$5,TF_Dom,0))&lt;&gt;"LMS")),"+",""),"?"))))</f>
        <v/>
      </c>
      <c r="AG32" s="13">
        <f>IF(OR($A32="",AG$5=""),"",IF(OR(AND(INDEX(TekFra,17)&gt;0,AG$5&lt;INDEX(TekFra,17)),AND(INDEX(TekTil,17)&gt;0,AG$5&gt;INDEX(TekTil,17))),"",IF(COUNTIFS(TF_Nokkel,$A32&amp;"|"&amp;AG$5)=0,IF(AG$8&lt;&gt;"","LMS",""),IFERROR(IF(SUMIFS(TF_Timer,TF_Nokkel,$A32&amp;"|"&amp;AG$5,TF_Akt,"LMS")+IF(AG$8="",0,MAX(0,ROUND((AG$11-SUMIFS(TF_Timer,TF_Nokkel,$A32&amp;"|"&amp;AG$5))*2,0)/2))&gt;INDEX(TF_AktSum,MATCH($A32&amp;"|"&amp;AG$5,TF_Dom,0)),"LMS",INDEX(AktKode,MATCH(INDEX(TF_Akt,MATCH($A32&amp;"|"&amp;AG$5,TF_Dom,0)),Aktiviteter,0)))&amp;IF(OR(COUNTIFS(TF_Nokkel,$A32&amp;"|"&amp;AG$5,TF_Akt,"&lt;&gt;"&amp;INDEX(TF_Akt,MATCH($A32&amp;"|"&amp;AG$5,TF_Dom,0)))&gt;0,AND(IF(AG$8="",0,MAX(0,ROUND((AG$11-SUMIFS(TF_Timer,TF_Nokkel,$A32&amp;"|"&amp;AG$5))*2,0)/2))&gt;0,INDEX(TF_Akt,MATCH($A32&amp;"|"&amp;AG$5,TF_Dom,0))&lt;&gt;"LMS")),"+",""),"?"))))</f>
        <v/>
      </c>
      <c r="AH32" s="2" t="n"/>
      <c r="AI32" s="2" t="n"/>
      <c r="AJ32" s="2" t="n"/>
    </row>
    <row r="33">
      <c r="A33" s="2">
        <f>INDEX(Teknikere,18)&amp;""</f>
        <v/>
      </c>
      <c r="B33" s="12">
        <f>IF(INDEX(TekFra,18)&gt;0,"ekstra","")</f>
        <v/>
      </c>
      <c r="C33" s="13">
        <f>IF(OR($A33="",C$5=""),"",IF(OR(AND(INDEX(TekFra,18)&gt;0,C$5&lt;INDEX(TekFra,18)),AND(INDEX(TekTil,18)&gt;0,C$5&gt;INDEX(TekTil,18))),"",IF(COUNTIFS(TF_Nokkel,$A33&amp;"|"&amp;C$5)=0,IF(C$8&lt;&gt;"","LMS",""),IFERROR(IF(SUMIFS(TF_Timer,TF_Nokkel,$A33&amp;"|"&amp;C$5,TF_Akt,"LMS")+IF(C$8="",0,MAX(0,ROUND((C$11-SUMIFS(TF_Timer,TF_Nokkel,$A33&amp;"|"&amp;C$5))*2,0)/2))&gt;INDEX(TF_AktSum,MATCH($A33&amp;"|"&amp;C$5,TF_Dom,0)),"LMS",INDEX(AktKode,MATCH(INDEX(TF_Akt,MATCH($A33&amp;"|"&amp;C$5,TF_Dom,0)),Aktiviteter,0)))&amp;IF(OR(COUNTIFS(TF_Nokkel,$A33&amp;"|"&amp;C$5,TF_Akt,"&lt;&gt;"&amp;INDEX(TF_Akt,MATCH($A33&amp;"|"&amp;C$5,TF_Dom,0)))&gt;0,AND(IF(C$8="",0,MAX(0,ROUND((C$11-SUMIFS(TF_Timer,TF_Nokkel,$A33&amp;"|"&amp;C$5))*2,0)/2))&gt;0,INDEX(TF_Akt,MATCH($A33&amp;"|"&amp;C$5,TF_Dom,0))&lt;&gt;"LMS")),"+",""),"?"))))</f>
        <v/>
      </c>
      <c r="D33" s="13">
        <f>IF(OR($A33="",D$5=""),"",IF(OR(AND(INDEX(TekFra,18)&gt;0,D$5&lt;INDEX(TekFra,18)),AND(INDEX(TekTil,18)&gt;0,D$5&gt;INDEX(TekTil,18))),"",IF(COUNTIFS(TF_Nokkel,$A33&amp;"|"&amp;D$5)=0,IF(D$8&lt;&gt;"","LMS",""),IFERROR(IF(SUMIFS(TF_Timer,TF_Nokkel,$A33&amp;"|"&amp;D$5,TF_Akt,"LMS")+IF(D$8="",0,MAX(0,ROUND((D$11-SUMIFS(TF_Timer,TF_Nokkel,$A33&amp;"|"&amp;D$5))*2,0)/2))&gt;INDEX(TF_AktSum,MATCH($A33&amp;"|"&amp;D$5,TF_Dom,0)),"LMS",INDEX(AktKode,MATCH(INDEX(TF_Akt,MATCH($A33&amp;"|"&amp;D$5,TF_Dom,0)),Aktiviteter,0)))&amp;IF(OR(COUNTIFS(TF_Nokkel,$A33&amp;"|"&amp;D$5,TF_Akt,"&lt;&gt;"&amp;INDEX(TF_Akt,MATCH($A33&amp;"|"&amp;D$5,TF_Dom,0)))&gt;0,AND(IF(D$8="",0,MAX(0,ROUND((D$11-SUMIFS(TF_Timer,TF_Nokkel,$A33&amp;"|"&amp;D$5))*2,0)/2))&gt;0,INDEX(TF_Akt,MATCH($A33&amp;"|"&amp;D$5,TF_Dom,0))&lt;&gt;"LMS")),"+",""),"?"))))</f>
        <v/>
      </c>
      <c r="E33" s="13">
        <f>IF(OR($A33="",E$5=""),"",IF(OR(AND(INDEX(TekFra,18)&gt;0,E$5&lt;INDEX(TekFra,18)),AND(INDEX(TekTil,18)&gt;0,E$5&gt;INDEX(TekTil,18))),"",IF(COUNTIFS(TF_Nokkel,$A33&amp;"|"&amp;E$5)=0,IF(E$8&lt;&gt;"","LMS",""),IFERROR(IF(SUMIFS(TF_Timer,TF_Nokkel,$A33&amp;"|"&amp;E$5,TF_Akt,"LMS")+IF(E$8="",0,MAX(0,ROUND((E$11-SUMIFS(TF_Timer,TF_Nokkel,$A33&amp;"|"&amp;E$5))*2,0)/2))&gt;INDEX(TF_AktSum,MATCH($A33&amp;"|"&amp;E$5,TF_Dom,0)),"LMS",INDEX(AktKode,MATCH(INDEX(TF_Akt,MATCH($A33&amp;"|"&amp;E$5,TF_Dom,0)),Aktiviteter,0)))&amp;IF(OR(COUNTIFS(TF_Nokkel,$A33&amp;"|"&amp;E$5,TF_Akt,"&lt;&gt;"&amp;INDEX(TF_Akt,MATCH($A33&amp;"|"&amp;E$5,TF_Dom,0)))&gt;0,AND(IF(E$8="",0,MAX(0,ROUND((E$11-SUMIFS(TF_Timer,TF_Nokkel,$A33&amp;"|"&amp;E$5))*2,0)/2))&gt;0,INDEX(TF_Akt,MATCH($A33&amp;"|"&amp;E$5,TF_Dom,0))&lt;&gt;"LMS")),"+",""),"?"))))</f>
        <v/>
      </c>
      <c r="F33" s="13">
        <f>IF(OR($A33="",F$5=""),"",IF(OR(AND(INDEX(TekFra,18)&gt;0,F$5&lt;INDEX(TekFra,18)),AND(INDEX(TekTil,18)&gt;0,F$5&gt;INDEX(TekTil,18))),"",IF(COUNTIFS(TF_Nokkel,$A33&amp;"|"&amp;F$5)=0,IF(F$8&lt;&gt;"","LMS",""),IFERROR(IF(SUMIFS(TF_Timer,TF_Nokkel,$A33&amp;"|"&amp;F$5,TF_Akt,"LMS")+IF(F$8="",0,MAX(0,ROUND((F$11-SUMIFS(TF_Timer,TF_Nokkel,$A33&amp;"|"&amp;F$5))*2,0)/2))&gt;INDEX(TF_AktSum,MATCH($A33&amp;"|"&amp;F$5,TF_Dom,0)),"LMS",INDEX(AktKode,MATCH(INDEX(TF_Akt,MATCH($A33&amp;"|"&amp;F$5,TF_Dom,0)),Aktiviteter,0)))&amp;IF(OR(COUNTIFS(TF_Nokkel,$A33&amp;"|"&amp;F$5,TF_Akt,"&lt;&gt;"&amp;INDEX(TF_Akt,MATCH($A33&amp;"|"&amp;F$5,TF_Dom,0)))&gt;0,AND(IF(F$8="",0,MAX(0,ROUND((F$11-SUMIFS(TF_Timer,TF_Nokkel,$A33&amp;"|"&amp;F$5))*2,0)/2))&gt;0,INDEX(TF_Akt,MATCH($A33&amp;"|"&amp;F$5,TF_Dom,0))&lt;&gt;"LMS")),"+",""),"?"))))</f>
        <v/>
      </c>
      <c r="G33" s="13">
        <f>IF(OR($A33="",G$5=""),"",IF(OR(AND(INDEX(TekFra,18)&gt;0,G$5&lt;INDEX(TekFra,18)),AND(INDEX(TekTil,18)&gt;0,G$5&gt;INDEX(TekTil,18))),"",IF(COUNTIFS(TF_Nokkel,$A33&amp;"|"&amp;G$5)=0,IF(G$8&lt;&gt;"","LMS",""),IFERROR(IF(SUMIFS(TF_Timer,TF_Nokkel,$A33&amp;"|"&amp;G$5,TF_Akt,"LMS")+IF(G$8="",0,MAX(0,ROUND((G$11-SUMIFS(TF_Timer,TF_Nokkel,$A33&amp;"|"&amp;G$5))*2,0)/2))&gt;INDEX(TF_AktSum,MATCH($A33&amp;"|"&amp;G$5,TF_Dom,0)),"LMS",INDEX(AktKode,MATCH(INDEX(TF_Akt,MATCH($A33&amp;"|"&amp;G$5,TF_Dom,0)),Aktiviteter,0)))&amp;IF(OR(COUNTIFS(TF_Nokkel,$A33&amp;"|"&amp;G$5,TF_Akt,"&lt;&gt;"&amp;INDEX(TF_Akt,MATCH($A33&amp;"|"&amp;G$5,TF_Dom,0)))&gt;0,AND(IF(G$8="",0,MAX(0,ROUND((G$11-SUMIFS(TF_Timer,TF_Nokkel,$A33&amp;"|"&amp;G$5))*2,0)/2))&gt;0,INDEX(TF_Akt,MATCH($A33&amp;"|"&amp;G$5,TF_Dom,0))&lt;&gt;"LMS")),"+",""),"?"))))</f>
        <v/>
      </c>
      <c r="H33" s="13">
        <f>IF(OR($A33="",H$5=""),"",IF(OR(AND(INDEX(TekFra,18)&gt;0,H$5&lt;INDEX(TekFra,18)),AND(INDEX(TekTil,18)&gt;0,H$5&gt;INDEX(TekTil,18))),"",IF(COUNTIFS(TF_Nokkel,$A33&amp;"|"&amp;H$5)=0,IF(H$8&lt;&gt;"","LMS",""),IFERROR(IF(SUMIFS(TF_Timer,TF_Nokkel,$A33&amp;"|"&amp;H$5,TF_Akt,"LMS")+IF(H$8="",0,MAX(0,ROUND((H$11-SUMIFS(TF_Timer,TF_Nokkel,$A33&amp;"|"&amp;H$5))*2,0)/2))&gt;INDEX(TF_AktSum,MATCH($A33&amp;"|"&amp;H$5,TF_Dom,0)),"LMS",INDEX(AktKode,MATCH(INDEX(TF_Akt,MATCH($A33&amp;"|"&amp;H$5,TF_Dom,0)),Aktiviteter,0)))&amp;IF(OR(COUNTIFS(TF_Nokkel,$A33&amp;"|"&amp;H$5,TF_Akt,"&lt;&gt;"&amp;INDEX(TF_Akt,MATCH($A33&amp;"|"&amp;H$5,TF_Dom,0)))&gt;0,AND(IF(H$8="",0,MAX(0,ROUND((H$11-SUMIFS(TF_Timer,TF_Nokkel,$A33&amp;"|"&amp;H$5))*2,0)/2))&gt;0,INDEX(TF_Akt,MATCH($A33&amp;"|"&amp;H$5,TF_Dom,0))&lt;&gt;"LMS")),"+",""),"?"))))</f>
        <v/>
      </c>
      <c r="I33" s="13">
        <f>IF(OR($A33="",I$5=""),"",IF(OR(AND(INDEX(TekFra,18)&gt;0,I$5&lt;INDEX(TekFra,18)),AND(INDEX(TekTil,18)&gt;0,I$5&gt;INDEX(TekTil,18))),"",IF(COUNTIFS(TF_Nokkel,$A33&amp;"|"&amp;I$5)=0,IF(I$8&lt;&gt;"","LMS",""),IFERROR(IF(SUMIFS(TF_Timer,TF_Nokkel,$A33&amp;"|"&amp;I$5,TF_Akt,"LMS")+IF(I$8="",0,MAX(0,ROUND((I$11-SUMIFS(TF_Timer,TF_Nokkel,$A33&amp;"|"&amp;I$5))*2,0)/2))&gt;INDEX(TF_AktSum,MATCH($A33&amp;"|"&amp;I$5,TF_Dom,0)),"LMS",INDEX(AktKode,MATCH(INDEX(TF_Akt,MATCH($A33&amp;"|"&amp;I$5,TF_Dom,0)),Aktiviteter,0)))&amp;IF(OR(COUNTIFS(TF_Nokkel,$A33&amp;"|"&amp;I$5,TF_Akt,"&lt;&gt;"&amp;INDEX(TF_Akt,MATCH($A33&amp;"|"&amp;I$5,TF_Dom,0)))&gt;0,AND(IF(I$8="",0,MAX(0,ROUND((I$11-SUMIFS(TF_Timer,TF_Nokkel,$A33&amp;"|"&amp;I$5))*2,0)/2))&gt;0,INDEX(TF_Akt,MATCH($A33&amp;"|"&amp;I$5,TF_Dom,0))&lt;&gt;"LMS")),"+",""),"?"))))</f>
        <v/>
      </c>
      <c r="J33" s="13">
        <f>IF(OR($A33="",J$5=""),"",IF(OR(AND(INDEX(TekFra,18)&gt;0,J$5&lt;INDEX(TekFra,18)),AND(INDEX(TekTil,18)&gt;0,J$5&gt;INDEX(TekTil,18))),"",IF(COUNTIFS(TF_Nokkel,$A33&amp;"|"&amp;J$5)=0,IF(J$8&lt;&gt;"","LMS",""),IFERROR(IF(SUMIFS(TF_Timer,TF_Nokkel,$A33&amp;"|"&amp;J$5,TF_Akt,"LMS")+IF(J$8="",0,MAX(0,ROUND((J$11-SUMIFS(TF_Timer,TF_Nokkel,$A33&amp;"|"&amp;J$5))*2,0)/2))&gt;INDEX(TF_AktSum,MATCH($A33&amp;"|"&amp;J$5,TF_Dom,0)),"LMS",INDEX(AktKode,MATCH(INDEX(TF_Akt,MATCH($A33&amp;"|"&amp;J$5,TF_Dom,0)),Aktiviteter,0)))&amp;IF(OR(COUNTIFS(TF_Nokkel,$A33&amp;"|"&amp;J$5,TF_Akt,"&lt;&gt;"&amp;INDEX(TF_Akt,MATCH($A33&amp;"|"&amp;J$5,TF_Dom,0)))&gt;0,AND(IF(J$8="",0,MAX(0,ROUND((J$11-SUMIFS(TF_Timer,TF_Nokkel,$A33&amp;"|"&amp;J$5))*2,0)/2))&gt;0,INDEX(TF_Akt,MATCH($A33&amp;"|"&amp;J$5,TF_Dom,0))&lt;&gt;"LMS")),"+",""),"?"))))</f>
        <v/>
      </c>
      <c r="K33" s="13">
        <f>IF(OR($A33="",K$5=""),"",IF(OR(AND(INDEX(TekFra,18)&gt;0,K$5&lt;INDEX(TekFra,18)),AND(INDEX(TekTil,18)&gt;0,K$5&gt;INDEX(TekTil,18))),"",IF(COUNTIFS(TF_Nokkel,$A33&amp;"|"&amp;K$5)=0,IF(K$8&lt;&gt;"","LMS",""),IFERROR(IF(SUMIFS(TF_Timer,TF_Nokkel,$A33&amp;"|"&amp;K$5,TF_Akt,"LMS")+IF(K$8="",0,MAX(0,ROUND((K$11-SUMIFS(TF_Timer,TF_Nokkel,$A33&amp;"|"&amp;K$5))*2,0)/2))&gt;INDEX(TF_AktSum,MATCH($A33&amp;"|"&amp;K$5,TF_Dom,0)),"LMS",INDEX(AktKode,MATCH(INDEX(TF_Akt,MATCH($A33&amp;"|"&amp;K$5,TF_Dom,0)),Aktiviteter,0)))&amp;IF(OR(COUNTIFS(TF_Nokkel,$A33&amp;"|"&amp;K$5,TF_Akt,"&lt;&gt;"&amp;INDEX(TF_Akt,MATCH($A33&amp;"|"&amp;K$5,TF_Dom,0)))&gt;0,AND(IF(K$8="",0,MAX(0,ROUND((K$11-SUMIFS(TF_Timer,TF_Nokkel,$A33&amp;"|"&amp;K$5))*2,0)/2))&gt;0,INDEX(TF_Akt,MATCH($A33&amp;"|"&amp;K$5,TF_Dom,0))&lt;&gt;"LMS")),"+",""),"?"))))</f>
        <v/>
      </c>
      <c r="L33" s="13">
        <f>IF(OR($A33="",L$5=""),"",IF(OR(AND(INDEX(TekFra,18)&gt;0,L$5&lt;INDEX(TekFra,18)),AND(INDEX(TekTil,18)&gt;0,L$5&gt;INDEX(TekTil,18))),"",IF(COUNTIFS(TF_Nokkel,$A33&amp;"|"&amp;L$5)=0,IF(L$8&lt;&gt;"","LMS",""),IFERROR(IF(SUMIFS(TF_Timer,TF_Nokkel,$A33&amp;"|"&amp;L$5,TF_Akt,"LMS")+IF(L$8="",0,MAX(0,ROUND((L$11-SUMIFS(TF_Timer,TF_Nokkel,$A33&amp;"|"&amp;L$5))*2,0)/2))&gt;INDEX(TF_AktSum,MATCH($A33&amp;"|"&amp;L$5,TF_Dom,0)),"LMS",INDEX(AktKode,MATCH(INDEX(TF_Akt,MATCH($A33&amp;"|"&amp;L$5,TF_Dom,0)),Aktiviteter,0)))&amp;IF(OR(COUNTIFS(TF_Nokkel,$A33&amp;"|"&amp;L$5,TF_Akt,"&lt;&gt;"&amp;INDEX(TF_Akt,MATCH($A33&amp;"|"&amp;L$5,TF_Dom,0)))&gt;0,AND(IF(L$8="",0,MAX(0,ROUND((L$11-SUMIFS(TF_Timer,TF_Nokkel,$A33&amp;"|"&amp;L$5))*2,0)/2))&gt;0,INDEX(TF_Akt,MATCH($A33&amp;"|"&amp;L$5,TF_Dom,0))&lt;&gt;"LMS")),"+",""),"?"))))</f>
        <v/>
      </c>
      <c r="M33" s="13">
        <f>IF(OR($A33="",M$5=""),"",IF(OR(AND(INDEX(TekFra,18)&gt;0,M$5&lt;INDEX(TekFra,18)),AND(INDEX(TekTil,18)&gt;0,M$5&gt;INDEX(TekTil,18))),"",IF(COUNTIFS(TF_Nokkel,$A33&amp;"|"&amp;M$5)=0,IF(M$8&lt;&gt;"","LMS",""),IFERROR(IF(SUMIFS(TF_Timer,TF_Nokkel,$A33&amp;"|"&amp;M$5,TF_Akt,"LMS")+IF(M$8="",0,MAX(0,ROUND((M$11-SUMIFS(TF_Timer,TF_Nokkel,$A33&amp;"|"&amp;M$5))*2,0)/2))&gt;INDEX(TF_AktSum,MATCH($A33&amp;"|"&amp;M$5,TF_Dom,0)),"LMS",INDEX(AktKode,MATCH(INDEX(TF_Akt,MATCH($A33&amp;"|"&amp;M$5,TF_Dom,0)),Aktiviteter,0)))&amp;IF(OR(COUNTIFS(TF_Nokkel,$A33&amp;"|"&amp;M$5,TF_Akt,"&lt;&gt;"&amp;INDEX(TF_Akt,MATCH($A33&amp;"|"&amp;M$5,TF_Dom,0)))&gt;0,AND(IF(M$8="",0,MAX(0,ROUND((M$11-SUMIFS(TF_Timer,TF_Nokkel,$A33&amp;"|"&amp;M$5))*2,0)/2))&gt;0,INDEX(TF_Akt,MATCH($A33&amp;"|"&amp;M$5,TF_Dom,0))&lt;&gt;"LMS")),"+",""),"?"))))</f>
        <v/>
      </c>
      <c r="N33" s="13">
        <f>IF(OR($A33="",N$5=""),"",IF(OR(AND(INDEX(TekFra,18)&gt;0,N$5&lt;INDEX(TekFra,18)),AND(INDEX(TekTil,18)&gt;0,N$5&gt;INDEX(TekTil,18))),"",IF(COUNTIFS(TF_Nokkel,$A33&amp;"|"&amp;N$5)=0,IF(N$8&lt;&gt;"","LMS",""),IFERROR(IF(SUMIFS(TF_Timer,TF_Nokkel,$A33&amp;"|"&amp;N$5,TF_Akt,"LMS")+IF(N$8="",0,MAX(0,ROUND((N$11-SUMIFS(TF_Timer,TF_Nokkel,$A33&amp;"|"&amp;N$5))*2,0)/2))&gt;INDEX(TF_AktSum,MATCH($A33&amp;"|"&amp;N$5,TF_Dom,0)),"LMS",INDEX(AktKode,MATCH(INDEX(TF_Akt,MATCH($A33&amp;"|"&amp;N$5,TF_Dom,0)),Aktiviteter,0)))&amp;IF(OR(COUNTIFS(TF_Nokkel,$A33&amp;"|"&amp;N$5,TF_Akt,"&lt;&gt;"&amp;INDEX(TF_Akt,MATCH($A33&amp;"|"&amp;N$5,TF_Dom,0)))&gt;0,AND(IF(N$8="",0,MAX(0,ROUND((N$11-SUMIFS(TF_Timer,TF_Nokkel,$A33&amp;"|"&amp;N$5))*2,0)/2))&gt;0,INDEX(TF_Akt,MATCH($A33&amp;"|"&amp;N$5,TF_Dom,0))&lt;&gt;"LMS")),"+",""),"?"))))</f>
        <v/>
      </c>
      <c r="O33" s="13">
        <f>IF(OR($A33="",O$5=""),"",IF(OR(AND(INDEX(TekFra,18)&gt;0,O$5&lt;INDEX(TekFra,18)),AND(INDEX(TekTil,18)&gt;0,O$5&gt;INDEX(TekTil,18))),"",IF(COUNTIFS(TF_Nokkel,$A33&amp;"|"&amp;O$5)=0,IF(O$8&lt;&gt;"","LMS",""),IFERROR(IF(SUMIFS(TF_Timer,TF_Nokkel,$A33&amp;"|"&amp;O$5,TF_Akt,"LMS")+IF(O$8="",0,MAX(0,ROUND((O$11-SUMIFS(TF_Timer,TF_Nokkel,$A33&amp;"|"&amp;O$5))*2,0)/2))&gt;INDEX(TF_AktSum,MATCH($A33&amp;"|"&amp;O$5,TF_Dom,0)),"LMS",INDEX(AktKode,MATCH(INDEX(TF_Akt,MATCH($A33&amp;"|"&amp;O$5,TF_Dom,0)),Aktiviteter,0)))&amp;IF(OR(COUNTIFS(TF_Nokkel,$A33&amp;"|"&amp;O$5,TF_Akt,"&lt;&gt;"&amp;INDEX(TF_Akt,MATCH($A33&amp;"|"&amp;O$5,TF_Dom,0)))&gt;0,AND(IF(O$8="",0,MAX(0,ROUND((O$11-SUMIFS(TF_Timer,TF_Nokkel,$A33&amp;"|"&amp;O$5))*2,0)/2))&gt;0,INDEX(TF_Akt,MATCH($A33&amp;"|"&amp;O$5,TF_Dom,0))&lt;&gt;"LMS")),"+",""),"?"))))</f>
        <v/>
      </c>
      <c r="P33" s="13">
        <f>IF(OR($A33="",P$5=""),"",IF(OR(AND(INDEX(TekFra,18)&gt;0,P$5&lt;INDEX(TekFra,18)),AND(INDEX(TekTil,18)&gt;0,P$5&gt;INDEX(TekTil,18))),"",IF(COUNTIFS(TF_Nokkel,$A33&amp;"|"&amp;P$5)=0,IF(P$8&lt;&gt;"","LMS",""),IFERROR(IF(SUMIFS(TF_Timer,TF_Nokkel,$A33&amp;"|"&amp;P$5,TF_Akt,"LMS")+IF(P$8="",0,MAX(0,ROUND((P$11-SUMIFS(TF_Timer,TF_Nokkel,$A33&amp;"|"&amp;P$5))*2,0)/2))&gt;INDEX(TF_AktSum,MATCH($A33&amp;"|"&amp;P$5,TF_Dom,0)),"LMS",INDEX(AktKode,MATCH(INDEX(TF_Akt,MATCH($A33&amp;"|"&amp;P$5,TF_Dom,0)),Aktiviteter,0)))&amp;IF(OR(COUNTIFS(TF_Nokkel,$A33&amp;"|"&amp;P$5,TF_Akt,"&lt;&gt;"&amp;INDEX(TF_Akt,MATCH($A33&amp;"|"&amp;P$5,TF_Dom,0)))&gt;0,AND(IF(P$8="",0,MAX(0,ROUND((P$11-SUMIFS(TF_Timer,TF_Nokkel,$A33&amp;"|"&amp;P$5))*2,0)/2))&gt;0,INDEX(TF_Akt,MATCH($A33&amp;"|"&amp;P$5,TF_Dom,0))&lt;&gt;"LMS")),"+",""),"?"))))</f>
        <v/>
      </c>
      <c r="Q33" s="13">
        <f>IF(OR($A33="",Q$5=""),"",IF(OR(AND(INDEX(TekFra,18)&gt;0,Q$5&lt;INDEX(TekFra,18)),AND(INDEX(TekTil,18)&gt;0,Q$5&gt;INDEX(TekTil,18))),"",IF(COUNTIFS(TF_Nokkel,$A33&amp;"|"&amp;Q$5)=0,IF(Q$8&lt;&gt;"","LMS",""),IFERROR(IF(SUMIFS(TF_Timer,TF_Nokkel,$A33&amp;"|"&amp;Q$5,TF_Akt,"LMS")+IF(Q$8="",0,MAX(0,ROUND((Q$11-SUMIFS(TF_Timer,TF_Nokkel,$A33&amp;"|"&amp;Q$5))*2,0)/2))&gt;INDEX(TF_AktSum,MATCH($A33&amp;"|"&amp;Q$5,TF_Dom,0)),"LMS",INDEX(AktKode,MATCH(INDEX(TF_Akt,MATCH($A33&amp;"|"&amp;Q$5,TF_Dom,0)),Aktiviteter,0)))&amp;IF(OR(COUNTIFS(TF_Nokkel,$A33&amp;"|"&amp;Q$5,TF_Akt,"&lt;&gt;"&amp;INDEX(TF_Akt,MATCH($A33&amp;"|"&amp;Q$5,TF_Dom,0)))&gt;0,AND(IF(Q$8="",0,MAX(0,ROUND((Q$11-SUMIFS(TF_Timer,TF_Nokkel,$A33&amp;"|"&amp;Q$5))*2,0)/2))&gt;0,INDEX(TF_Akt,MATCH($A33&amp;"|"&amp;Q$5,TF_Dom,0))&lt;&gt;"LMS")),"+",""),"?"))))</f>
        <v/>
      </c>
      <c r="R33" s="13">
        <f>IF(OR($A33="",R$5=""),"",IF(OR(AND(INDEX(TekFra,18)&gt;0,R$5&lt;INDEX(TekFra,18)),AND(INDEX(TekTil,18)&gt;0,R$5&gt;INDEX(TekTil,18))),"",IF(COUNTIFS(TF_Nokkel,$A33&amp;"|"&amp;R$5)=0,IF(R$8&lt;&gt;"","LMS",""),IFERROR(IF(SUMIFS(TF_Timer,TF_Nokkel,$A33&amp;"|"&amp;R$5,TF_Akt,"LMS")+IF(R$8="",0,MAX(0,ROUND((R$11-SUMIFS(TF_Timer,TF_Nokkel,$A33&amp;"|"&amp;R$5))*2,0)/2))&gt;INDEX(TF_AktSum,MATCH($A33&amp;"|"&amp;R$5,TF_Dom,0)),"LMS",INDEX(AktKode,MATCH(INDEX(TF_Akt,MATCH($A33&amp;"|"&amp;R$5,TF_Dom,0)),Aktiviteter,0)))&amp;IF(OR(COUNTIFS(TF_Nokkel,$A33&amp;"|"&amp;R$5,TF_Akt,"&lt;&gt;"&amp;INDEX(TF_Akt,MATCH($A33&amp;"|"&amp;R$5,TF_Dom,0)))&gt;0,AND(IF(R$8="",0,MAX(0,ROUND((R$11-SUMIFS(TF_Timer,TF_Nokkel,$A33&amp;"|"&amp;R$5))*2,0)/2))&gt;0,INDEX(TF_Akt,MATCH($A33&amp;"|"&amp;R$5,TF_Dom,0))&lt;&gt;"LMS")),"+",""),"?"))))</f>
        <v/>
      </c>
      <c r="S33" s="13">
        <f>IF(OR($A33="",S$5=""),"",IF(OR(AND(INDEX(TekFra,18)&gt;0,S$5&lt;INDEX(TekFra,18)),AND(INDEX(TekTil,18)&gt;0,S$5&gt;INDEX(TekTil,18))),"",IF(COUNTIFS(TF_Nokkel,$A33&amp;"|"&amp;S$5)=0,IF(S$8&lt;&gt;"","LMS",""),IFERROR(IF(SUMIFS(TF_Timer,TF_Nokkel,$A33&amp;"|"&amp;S$5,TF_Akt,"LMS")+IF(S$8="",0,MAX(0,ROUND((S$11-SUMIFS(TF_Timer,TF_Nokkel,$A33&amp;"|"&amp;S$5))*2,0)/2))&gt;INDEX(TF_AktSum,MATCH($A33&amp;"|"&amp;S$5,TF_Dom,0)),"LMS",INDEX(AktKode,MATCH(INDEX(TF_Akt,MATCH($A33&amp;"|"&amp;S$5,TF_Dom,0)),Aktiviteter,0)))&amp;IF(OR(COUNTIFS(TF_Nokkel,$A33&amp;"|"&amp;S$5,TF_Akt,"&lt;&gt;"&amp;INDEX(TF_Akt,MATCH($A33&amp;"|"&amp;S$5,TF_Dom,0)))&gt;0,AND(IF(S$8="",0,MAX(0,ROUND((S$11-SUMIFS(TF_Timer,TF_Nokkel,$A33&amp;"|"&amp;S$5))*2,0)/2))&gt;0,INDEX(TF_Akt,MATCH($A33&amp;"|"&amp;S$5,TF_Dom,0))&lt;&gt;"LMS")),"+",""),"?"))))</f>
        <v/>
      </c>
      <c r="T33" s="13">
        <f>IF(OR($A33="",T$5=""),"",IF(OR(AND(INDEX(TekFra,18)&gt;0,T$5&lt;INDEX(TekFra,18)),AND(INDEX(TekTil,18)&gt;0,T$5&gt;INDEX(TekTil,18))),"",IF(COUNTIFS(TF_Nokkel,$A33&amp;"|"&amp;T$5)=0,IF(T$8&lt;&gt;"","LMS",""),IFERROR(IF(SUMIFS(TF_Timer,TF_Nokkel,$A33&amp;"|"&amp;T$5,TF_Akt,"LMS")+IF(T$8="",0,MAX(0,ROUND((T$11-SUMIFS(TF_Timer,TF_Nokkel,$A33&amp;"|"&amp;T$5))*2,0)/2))&gt;INDEX(TF_AktSum,MATCH($A33&amp;"|"&amp;T$5,TF_Dom,0)),"LMS",INDEX(AktKode,MATCH(INDEX(TF_Akt,MATCH($A33&amp;"|"&amp;T$5,TF_Dom,0)),Aktiviteter,0)))&amp;IF(OR(COUNTIFS(TF_Nokkel,$A33&amp;"|"&amp;T$5,TF_Akt,"&lt;&gt;"&amp;INDEX(TF_Akt,MATCH($A33&amp;"|"&amp;T$5,TF_Dom,0)))&gt;0,AND(IF(T$8="",0,MAX(0,ROUND((T$11-SUMIFS(TF_Timer,TF_Nokkel,$A33&amp;"|"&amp;T$5))*2,0)/2))&gt;0,INDEX(TF_Akt,MATCH($A33&amp;"|"&amp;T$5,TF_Dom,0))&lt;&gt;"LMS")),"+",""),"?"))))</f>
        <v/>
      </c>
      <c r="U33" s="13">
        <f>IF(OR($A33="",U$5=""),"",IF(OR(AND(INDEX(TekFra,18)&gt;0,U$5&lt;INDEX(TekFra,18)),AND(INDEX(TekTil,18)&gt;0,U$5&gt;INDEX(TekTil,18))),"",IF(COUNTIFS(TF_Nokkel,$A33&amp;"|"&amp;U$5)=0,IF(U$8&lt;&gt;"","LMS",""),IFERROR(IF(SUMIFS(TF_Timer,TF_Nokkel,$A33&amp;"|"&amp;U$5,TF_Akt,"LMS")+IF(U$8="",0,MAX(0,ROUND((U$11-SUMIFS(TF_Timer,TF_Nokkel,$A33&amp;"|"&amp;U$5))*2,0)/2))&gt;INDEX(TF_AktSum,MATCH($A33&amp;"|"&amp;U$5,TF_Dom,0)),"LMS",INDEX(AktKode,MATCH(INDEX(TF_Akt,MATCH($A33&amp;"|"&amp;U$5,TF_Dom,0)),Aktiviteter,0)))&amp;IF(OR(COUNTIFS(TF_Nokkel,$A33&amp;"|"&amp;U$5,TF_Akt,"&lt;&gt;"&amp;INDEX(TF_Akt,MATCH($A33&amp;"|"&amp;U$5,TF_Dom,0)))&gt;0,AND(IF(U$8="",0,MAX(0,ROUND((U$11-SUMIFS(TF_Timer,TF_Nokkel,$A33&amp;"|"&amp;U$5))*2,0)/2))&gt;0,INDEX(TF_Akt,MATCH($A33&amp;"|"&amp;U$5,TF_Dom,0))&lt;&gt;"LMS")),"+",""),"?"))))</f>
        <v/>
      </c>
      <c r="V33" s="13">
        <f>IF(OR($A33="",V$5=""),"",IF(OR(AND(INDEX(TekFra,18)&gt;0,V$5&lt;INDEX(TekFra,18)),AND(INDEX(TekTil,18)&gt;0,V$5&gt;INDEX(TekTil,18))),"",IF(COUNTIFS(TF_Nokkel,$A33&amp;"|"&amp;V$5)=0,IF(V$8&lt;&gt;"","LMS",""),IFERROR(IF(SUMIFS(TF_Timer,TF_Nokkel,$A33&amp;"|"&amp;V$5,TF_Akt,"LMS")+IF(V$8="",0,MAX(0,ROUND((V$11-SUMIFS(TF_Timer,TF_Nokkel,$A33&amp;"|"&amp;V$5))*2,0)/2))&gt;INDEX(TF_AktSum,MATCH($A33&amp;"|"&amp;V$5,TF_Dom,0)),"LMS",INDEX(AktKode,MATCH(INDEX(TF_Akt,MATCH($A33&amp;"|"&amp;V$5,TF_Dom,0)),Aktiviteter,0)))&amp;IF(OR(COUNTIFS(TF_Nokkel,$A33&amp;"|"&amp;V$5,TF_Akt,"&lt;&gt;"&amp;INDEX(TF_Akt,MATCH($A33&amp;"|"&amp;V$5,TF_Dom,0)))&gt;0,AND(IF(V$8="",0,MAX(0,ROUND((V$11-SUMIFS(TF_Timer,TF_Nokkel,$A33&amp;"|"&amp;V$5))*2,0)/2))&gt;0,INDEX(TF_Akt,MATCH($A33&amp;"|"&amp;V$5,TF_Dom,0))&lt;&gt;"LMS")),"+",""),"?"))))</f>
        <v/>
      </c>
      <c r="W33" s="13">
        <f>IF(OR($A33="",W$5=""),"",IF(OR(AND(INDEX(TekFra,18)&gt;0,W$5&lt;INDEX(TekFra,18)),AND(INDEX(TekTil,18)&gt;0,W$5&gt;INDEX(TekTil,18))),"",IF(COUNTIFS(TF_Nokkel,$A33&amp;"|"&amp;W$5)=0,IF(W$8&lt;&gt;"","LMS",""),IFERROR(IF(SUMIFS(TF_Timer,TF_Nokkel,$A33&amp;"|"&amp;W$5,TF_Akt,"LMS")+IF(W$8="",0,MAX(0,ROUND((W$11-SUMIFS(TF_Timer,TF_Nokkel,$A33&amp;"|"&amp;W$5))*2,0)/2))&gt;INDEX(TF_AktSum,MATCH($A33&amp;"|"&amp;W$5,TF_Dom,0)),"LMS",INDEX(AktKode,MATCH(INDEX(TF_Akt,MATCH($A33&amp;"|"&amp;W$5,TF_Dom,0)),Aktiviteter,0)))&amp;IF(OR(COUNTIFS(TF_Nokkel,$A33&amp;"|"&amp;W$5,TF_Akt,"&lt;&gt;"&amp;INDEX(TF_Akt,MATCH($A33&amp;"|"&amp;W$5,TF_Dom,0)))&gt;0,AND(IF(W$8="",0,MAX(0,ROUND((W$11-SUMIFS(TF_Timer,TF_Nokkel,$A33&amp;"|"&amp;W$5))*2,0)/2))&gt;0,INDEX(TF_Akt,MATCH($A33&amp;"|"&amp;W$5,TF_Dom,0))&lt;&gt;"LMS")),"+",""),"?"))))</f>
        <v/>
      </c>
      <c r="X33" s="13">
        <f>IF(OR($A33="",X$5=""),"",IF(OR(AND(INDEX(TekFra,18)&gt;0,X$5&lt;INDEX(TekFra,18)),AND(INDEX(TekTil,18)&gt;0,X$5&gt;INDEX(TekTil,18))),"",IF(COUNTIFS(TF_Nokkel,$A33&amp;"|"&amp;X$5)=0,IF(X$8&lt;&gt;"","LMS",""),IFERROR(IF(SUMIFS(TF_Timer,TF_Nokkel,$A33&amp;"|"&amp;X$5,TF_Akt,"LMS")+IF(X$8="",0,MAX(0,ROUND((X$11-SUMIFS(TF_Timer,TF_Nokkel,$A33&amp;"|"&amp;X$5))*2,0)/2))&gt;INDEX(TF_AktSum,MATCH($A33&amp;"|"&amp;X$5,TF_Dom,0)),"LMS",INDEX(AktKode,MATCH(INDEX(TF_Akt,MATCH($A33&amp;"|"&amp;X$5,TF_Dom,0)),Aktiviteter,0)))&amp;IF(OR(COUNTIFS(TF_Nokkel,$A33&amp;"|"&amp;X$5,TF_Akt,"&lt;&gt;"&amp;INDEX(TF_Akt,MATCH($A33&amp;"|"&amp;X$5,TF_Dom,0)))&gt;0,AND(IF(X$8="",0,MAX(0,ROUND((X$11-SUMIFS(TF_Timer,TF_Nokkel,$A33&amp;"|"&amp;X$5))*2,0)/2))&gt;0,INDEX(TF_Akt,MATCH($A33&amp;"|"&amp;X$5,TF_Dom,0))&lt;&gt;"LMS")),"+",""),"?"))))</f>
        <v/>
      </c>
      <c r="Y33" s="13">
        <f>IF(OR($A33="",Y$5=""),"",IF(OR(AND(INDEX(TekFra,18)&gt;0,Y$5&lt;INDEX(TekFra,18)),AND(INDEX(TekTil,18)&gt;0,Y$5&gt;INDEX(TekTil,18))),"",IF(COUNTIFS(TF_Nokkel,$A33&amp;"|"&amp;Y$5)=0,IF(Y$8&lt;&gt;"","LMS",""),IFERROR(IF(SUMIFS(TF_Timer,TF_Nokkel,$A33&amp;"|"&amp;Y$5,TF_Akt,"LMS")+IF(Y$8="",0,MAX(0,ROUND((Y$11-SUMIFS(TF_Timer,TF_Nokkel,$A33&amp;"|"&amp;Y$5))*2,0)/2))&gt;INDEX(TF_AktSum,MATCH($A33&amp;"|"&amp;Y$5,TF_Dom,0)),"LMS",INDEX(AktKode,MATCH(INDEX(TF_Akt,MATCH($A33&amp;"|"&amp;Y$5,TF_Dom,0)),Aktiviteter,0)))&amp;IF(OR(COUNTIFS(TF_Nokkel,$A33&amp;"|"&amp;Y$5,TF_Akt,"&lt;&gt;"&amp;INDEX(TF_Akt,MATCH($A33&amp;"|"&amp;Y$5,TF_Dom,0)))&gt;0,AND(IF(Y$8="",0,MAX(0,ROUND((Y$11-SUMIFS(TF_Timer,TF_Nokkel,$A33&amp;"|"&amp;Y$5))*2,0)/2))&gt;0,INDEX(TF_Akt,MATCH($A33&amp;"|"&amp;Y$5,TF_Dom,0))&lt;&gt;"LMS")),"+",""),"?"))))</f>
        <v/>
      </c>
      <c r="Z33" s="13">
        <f>IF(OR($A33="",Z$5=""),"",IF(OR(AND(INDEX(TekFra,18)&gt;0,Z$5&lt;INDEX(TekFra,18)),AND(INDEX(TekTil,18)&gt;0,Z$5&gt;INDEX(TekTil,18))),"",IF(COUNTIFS(TF_Nokkel,$A33&amp;"|"&amp;Z$5)=0,IF(Z$8&lt;&gt;"","LMS",""),IFERROR(IF(SUMIFS(TF_Timer,TF_Nokkel,$A33&amp;"|"&amp;Z$5,TF_Akt,"LMS")+IF(Z$8="",0,MAX(0,ROUND((Z$11-SUMIFS(TF_Timer,TF_Nokkel,$A33&amp;"|"&amp;Z$5))*2,0)/2))&gt;INDEX(TF_AktSum,MATCH($A33&amp;"|"&amp;Z$5,TF_Dom,0)),"LMS",INDEX(AktKode,MATCH(INDEX(TF_Akt,MATCH($A33&amp;"|"&amp;Z$5,TF_Dom,0)),Aktiviteter,0)))&amp;IF(OR(COUNTIFS(TF_Nokkel,$A33&amp;"|"&amp;Z$5,TF_Akt,"&lt;&gt;"&amp;INDEX(TF_Akt,MATCH($A33&amp;"|"&amp;Z$5,TF_Dom,0)))&gt;0,AND(IF(Z$8="",0,MAX(0,ROUND((Z$11-SUMIFS(TF_Timer,TF_Nokkel,$A33&amp;"|"&amp;Z$5))*2,0)/2))&gt;0,INDEX(TF_Akt,MATCH($A33&amp;"|"&amp;Z$5,TF_Dom,0))&lt;&gt;"LMS")),"+",""),"?"))))</f>
        <v/>
      </c>
      <c r="AA33" s="13">
        <f>IF(OR($A33="",AA$5=""),"",IF(OR(AND(INDEX(TekFra,18)&gt;0,AA$5&lt;INDEX(TekFra,18)),AND(INDEX(TekTil,18)&gt;0,AA$5&gt;INDEX(TekTil,18))),"",IF(COUNTIFS(TF_Nokkel,$A33&amp;"|"&amp;AA$5)=0,IF(AA$8&lt;&gt;"","LMS",""),IFERROR(IF(SUMIFS(TF_Timer,TF_Nokkel,$A33&amp;"|"&amp;AA$5,TF_Akt,"LMS")+IF(AA$8="",0,MAX(0,ROUND((AA$11-SUMIFS(TF_Timer,TF_Nokkel,$A33&amp;"|"&amp;AA$5))*2,0)/2))&gt;INDEX(TF_AktSum,MATCH($A33&amp;"|"&amp;AA$5,TF_Dom,0)),"LMS",INDEX(AktKode,MATCH(INDEX(TF_Akt,MATCH($A33&amp;"|"&amp;AA$5,TF_Dom,0)),Aktiviteter,0)))&amp;IF(OR(COUNTIFS(TF_Nokkel,$A33&amp;"|"&amp;AA$5,TF_Akt,"&lt;&gt;"&amp;INDEX(TF_Akt,MATCH($A33&amp;"|"&amp;AA$5,TF_Dom,0)))&gt;0,AND(IF(AA$8="",0,MAX(0,ROUND((AA$11-SUMIFS(TF_Timer,TF_Nokkel,$A33&amp;"|"&amp;AA$5))*2,0)/2))&gt;0,INDEX(TF_Akt,MATCH($A33&amp;"|"&amp;AA$5,TF_Dom,0))&lt;&gt;"LMS")),"+",""),"?"))))</f>
        <v/>
      </c>
      <c r="AB33" s="13">
        <f>IF(OR($A33="",AB$5=""),"",IF(OR(AND(INDEX(TekFra,18)&gt;0,AB$5&lt;INDEX(TekFra,18)),AND(INDEX(TekTil,18)&gt;0,AB$5&gt;INDEX(TekTil,18))),"",IF(COUNTIFS(TF_Nokkel,$A33&amp;"|"&amp;AB$5)=0,IF(AB$8&lt;&gt;"","LMS",""),IFERROR(IF(SUMIFS(TF_Timer,TF_Nokkel,$A33&amp;"|"&amp;AB$5,TF_Akt,"LMS")+IF(AB$8="",0,MAX(0,ROUND((AB$11-SUMIFS(TF_Timer,TF_Nokkel,$A33&amp;"|"&amp;AB$5))*2,0)/2))&gt;INDEX(TF_AktSum,MATCH($A33&amp;"|"&amp;AB$5,TF_Dom,0)),"LMS",INDEX(AktKode,MATCH(INDEX(TF_Akt,MATCH($A33&amp;"|"&amp;AB$5,TF_Dom,0)),Aktiviteter,0)))&amp;IF(OR(COUNTIFS(TF_Nokkel,$A33&amp;"|"&amp;AB$5,TF_Akt,"&lt;&gt;"&amp;INDEX(TF_Akt,MATCH($A33&amp;"|"&amp;AB$5,TF_Dom,0)))&gt;0,AND(IF(AB$8="",0,MAX(0,ROUND((AB$11-SUMIFS(TF_Timer,TF_Nokkel,$A33&amp;"|"&amp;AB$5))*2,0)/2))&gt;0,INDEX(TF_Akt,MATCH($A33&amp;"|"&amp;AB$5,TF_Dom,0))&lt;&gt;"LMS")),"+",""),"?"))))</f>
        <v/>
      </c>
      <c r="AC33" s="13">
        <f>IF(OR($A33="",AC$5=""),"",IF(OR(AND(INDEX(TekFra,18)&gt;0,AC$5&lt;INDEX(TekFra,18)),AND(INDEX(TekTil,18)&gt;0,AC$5&gt;INDEX(TekTil,18))),"",IF(COUNTIFS(TF_Nokkel,$A33&amp;"|"&amp;AC$5)=0,IF(AC$8&lt;&gt;"","LMS",""),IFERROR(IF(SUMIFS(TF_Timer,TF_Nokkel,$A33&amp;"|"&amp;AC$5,TF_Akt,"LMS")+IF(AC$8="",0,MAX(0,ROUND((AC$11-SUMIFS(TF_Timer,TF_Nokkel,$A33&amp;"|"&amp;AC$5))*2,0)/2))&gt;INDEX(TF_AktSum,MATCH($A33&amp;"|"&amp;AC$5,TF_Dom,0)),"LMS",INDEX(AktKode,MATCH(INDEX(TF_Akt,MATCH($A33&amp;"|"&amp;AC$5,TF_Dom,0)),Aktiviteter,0)))&amp;IF(OR(COUNTIFS(TF_Nokkel,$A33&amp;"|"&amp;AC$5,TF_Akt,"&lt;&gt;"&amp;INDEX(TF_Akt,MATCH($A33&amp;"|"&amp;AC$5,TF_Dom,0)))&gt;0,AND(IF(AC$8="",0,MAX(0,ROUND((AC$11-SUMIFS(TF_Timer,TF_Nokkel,$A33&amp;"|"&amp;AC$5))*2,0)/2))&gt;0,INDEX(TF_Akt,MATCH($A33&amp;"|"&amp;AC$5,TF_Dom,0))&lt;&gt;"LMS")),"+",""),"?"))))</f>
        <v/>
      </c>
      <c r="AD33" s="13">
        <f>IF(OR($A33="",AD$5=""),"",IF(OR(AND(INDEX(TekFra,18)&gt;0,AD$5&lt;INDEX(TekFra,18)),AND(INDEX(TekTil,18)&gt;0,AD$5&gt;INDEX(TekTil,18))),"",IF(COUNTIFS(TF_Nokkel,$A33&amp;"|"&amp;AD$5)=0,IF(AD$8&lt;&gt;"","LMS",""),IFERROR(IF(SUMIFS(TF_Timer,TF_Nokkel,$A33&amp;"|"&amp;AD$5,TF_Akt,"LMS")+IF(AD$8="",0,MAX(0,ROUND((AD$11-SUMIFS(TF_Timer,TF_Nokkel,$A33&amp;"|"&amp;AD$5))*2,0)/2))&gt;INDEX(TF_AktSum,MATCH($A33&amp;"|"&amp;AD$5,TF_Dom,0)),"LMS",INDEX(AktKode,MATCH(INDEX(TF_Akt,MATCH($A33&amp;"|"&amp;AD$5,TF_Dom,0)),Aktiviteter,0)))&amp;IF(OR(COUNTIFS(TF_Nokkel,$A33&amp;"|"&amp;AD$5,TF_Akt,"&lt;&gt;"&amp;INDEX(TF_Akt,MATCH($A33&amp;"|"&amp;AD$5,TF_Dom,0)))&gt;0,AND(IF(AD$8="",0,MAX(0,ROUND((AD$11-SUMIFS(TF_Timer,TF_Nokkel,$A33&amp;"|"&amp;AD$5))*2,0)/2))&gt;0,INDEX(TF_Akt,MATCH($A33&amp;"|"&amp;AD$5,TF_Dom,0))&lt;&gt;"LMS")),"+",""),"?"))))</f>
        <v/>
      </c>
      <c r="AE33" s="13">
        <f>IF(OR($A33="",AE$5=""),"",IF(OR(AND(INDEX(TekFra,18)&gt;0,AE$5&lt;INDEX(TekFra,18)),AND(INDEX(TekTil,18)&gt;0,AE$5&gt;INDEX(TekTil,18))),"",IF(COUNTIFS(TF_Nokkel,$A33&amp;"|"&amp;AE$5)=0,IF(AE$8&lt;&gt;"","LMS",""),IFERROR(IF(SUMIFS(TF_Timer,TF_Nokkel,$A33&amp;"|"&amp;AE$5,TF_Akt,"LMS")+IF(AE$8="",0,MAX(0,ROUND((AE$11-SUMIFS(TF_Timer,TF_Nokkel,$A33&amp;"|"&amp;AE$5))*2,0)/2))&gt;INDEX(TF_AktSum,MATCH($A33&amp;"|"&amp;AE$5,TF_Dom,0)),"LMS",INDEX(AktKode,MATCH(INDEX(TF_Akt,MATCH($A33&amp;"|"&amp;AE$5,TF_Dom,0)),Aktiviteter,0)))&amp;IF(OR(COUNTIFS(TF_Nokkel,$A33&amp;"|"&amp;AE$5,TF_Akt,"&lt;&gt;"&amp;INDEX(TF_Akt,MATCH($A33&amp;"|"&amp;AE$5,TF_Dom,0)))&gt;0,AND(IF(AE$8="",0,MAX(0,ROUND((AE$11-SUMIFS(TF_Timer,TF_Nokkel,$A33&amp;"|"&amp;AE$5))*2,0)/2))&gt;0,INDEX(TF_Akt,MATCH($A33&amp;"|"&amp;AE$5,TF_Dom,0))&lt;&gt;"LMS")),"+",""),"?"))))</f>
        <v/>
      </c>
      <c r="AF33" s="13">
        <f>IF(OR($A33="",AF$5=""),"",IF(OR(AND(INDEX(TekFra,18)&gt;0,AF$5&lt;INDEX(TekFra,18)),AND(INDEX(TekTil,18)&gt;0,AF$5&gt;INDEX(TekTil,18))),"",IF(COUNTIFS(TF_Nokkel,$A33&amp;"|"&amp;AF$5)=0,IF(AF$8&lt;&gt;"","LMS",""),IFERROR(IF(SUMIFS(TF_Timer,TF_Nokkel,$A33&amp;"|"&amp;AF$5,TF_Akt,"LMS")+IF(AF$8="",0,MAX(0,ROUND((AF$11-SUMIFS(TF_Timer,TF_Nokkel,$A33&amp;"|"&amp;AF$5))*2,0)/2))&gt;INDEX(TF_AktSum,MATCH($A33&amp;"|"&amp;AF$5,TF_Dom,0)),"LMS",INDEX(AktKode,MATCH(INDEX(TF_Akt,MATCH($A33&amp;"|"&amp;AF$5,TF_Dom,0)),Aktiviteter,0)))&amp;IF(OR(COUNTIFS(TF_Nokkel,$A33&amp;"|"&amp;AF$5,TF_Akt,"&lt;&gt;"&amp;INDEX(TF_Akt,MATCH($A33&amp;"|"&amp;AF$5,TF_Dom,0)))&gt;0,AND(IF(AF$8="",0,MAX(0,ROUND((AF$11-SUMIFS(TF_Timer,TF_Nokkel,$A33&amp;"|"&amp;AF$5))*2,0)/2))&gt;0,INDEX(TF_Akt,MATCH($A33&amp;"|"&amp;AF$5,TF_Dom,0))&lt;&gt;"LMS")),"+",""),"?"))))</f>
        <v/>
      </c>
      <c r="AG33" s="13">
        <f>IF(OR($A33="",AG$5=""),"",IF(OR(AND(INDEX(TekFra,18)&gt;0,AG$5&lt;INDEX(TekFra,18)),AND(INDEX(TekTil,18)&gt;0,AG$5&gt;INDEX(TekTil,18))),"",IF(COUNTIFS(TF_Nokkel,$A33&amp;"|"&amp;AG$5)=0,IF(AG$8&lt;&gt;"","LMS",""),IFERROR(IF(SUMIFS(TF_Timer,TF_Nokkel,$A33&amp;"|"&amp;AG$5,TF_Akt,"LMS")+IF(AG$8="",0,MAX(0,ROUND((AG$11-SUMIFS(TF_Timer,TF_Nokkel,$A33&amp;"|"&amp;AG$5))*2,0)/2))&gt;INDEX(TF_AktSum,MATCH($A33&amp;"|"&amp;AG$5,TF_Dom,0)),"LMS",INDEX(AktKode,MATCH(INDEX(TF_Akt,MATCH($A33&amp;"|"&amp;AG$5,TF_Dom,0)),Aktiviteter,0)))&amp;IF(OR(COUNTIFS(TF_Nokkel,$A33&amp;"|"&amp;AG$5,TF_Akt,"&lt;&gt;"&amp;INDEX(TF_Akt,MATCH($A33&amp;"|"&amp;AG$5,TF_Dom,0)))&gt;0,AND(IF(AG$8="",0,MAX(0,ROUND((AG$11-SUMIFS(TF_Timer,TF_Nokkel,$A33&amp;"|"&amp;AG$5))*2,0)/2))&gt;0,INDEX(TF_Akt,MATCH($A33&amp;"|"&amp;AG$5,TF_Dom,0))&lt;&gt;"LMS")),"+",""),"?"))))</f>
        <v/>
      </c>
      <c r="AH33" s="2" t="n"/>
      <c r="AI33" s="2" t="n"/>
      <c r="A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>
      <c r="A35" s="10">
        <f>INDEX(SkiftNavn,2)</f>
        <v/>
      </c>
      <c r="B35" s="2" t="n"/>
      <c r="C35" s="11">
        <f>C9</f>
        <v/>
      </c>
      <c r="D35" s="11">
        <f>D9</f>
        <v/>
      </c>
      <c r="E35" s="11">
        <f>E9</f>
        <v/>
      </c>
      <c r="F35" s="11">
        <f>F9</f>
        <v/>
      </c>
      <c r="G35" s="11">
        <f>G9</f>
        <v/>
      </c>
      <c r="H35" s="11">
        <f>H9</f>
        <v/>
      </c>
      <c r="I35" s="11">
        <f>I9</f>
        <v/>
      </c>
      <c r="J35" s="11">
        <f>J9</f>
        <v/>
      </c>
      <c r="K35" s="11">
        <f>K9</f>
        <v/>
      </c>
      <c r="L35" s="11">
        <f>L9</f>
        <v/>
      </c>
      <c r="M35" s="11">
        <f>M9</f>
        <v/>
      </c>
      <c r="N35" s="11">
        <f>N9</f>
        <v/>
      </c>
      <c r="O35" s="11">
        <f>O9</f>
        <v/>
      </c>
      <c r="P35" s="11">
        <f>P9</f>
        <v/>
      </c>
      <c r="Q35" s="11">
        <f>Q9</f>
        <v/>
      </c>
      <c r="R35" s="11">
        <f>R9</f>
        <v/>
      </c>
      <c r="S35" s="11">
        <f>S9</f>
        <v/>
      </c>
      <c r="T35" s="11">
        <f>T9</f>
        <v/>
      </c>
      <c r="U35" s="11">
        <f>U9</f>
        <v/>
      </c>
      <c r="V35" s="11">
        <f>V9</f>
        <v/>
      </c>
      <c r="W35" s="11">
        <f>W9</f>
        <v/>
      </c>
      <c r="X35" s="11">
        <f>X9</f>
        <v/>
      </c>
      <c r="Y35" s="11">
        <f>Y9</f>
        <v/>
      </c>
      <c r="Z35" s="11">
        <f>Z9</f>
        <v/>
      </c>
      <c r="AA35" s="11">
        <f>AA9</f>
        <v/>
      </c>
      <c r="AB35" s="11">
        <f>AB9</f>
        <v/>
      </c>
      <c r="AC35" s="11">
        <f>AC9</f>
        <v/>
      </c>
      <c r="AD35" s="11">
        <f>AD9</f>
        <v/>
      </c>
      <c r="AE35" s="11">
        <f>AE9</f>
        <v/>
      </c>
      <c r="AF35" s="11">
        <f>AF9</f>
        <v/>
      </c>
      <c r="AG35" s="11">
        <f>AG9</f>
        <v/>
      </c>
      <c r="AH35" s="2" t="n"/>
      <c r="AI35" s="2" t="n"/>
      <c r="AJ35" s="2" t="n"/>
    </row>
    <row r="36">
      <c r="A36" s="2">
        <f>INDEX(Teknikere,19)&amp;""</f>
        <v/>
      </c>
      <c r="B36" s="12">
        <f>IF(INDEX(TekFra,19)&gt;0,"ekstra","")</f>
        <v/>
      </c>
      <c r="C36" s="13">
        <f>IF(OR($A36="",C$5=""),"",IF(OR(AND(INDEX(TekFra,19)&gt;0,C$5&lt;INDEX(TekFra,19)),AND(INDEX(TekTil,19)&gt;0,C$5&gt;INDEX(TekTil,19))),"",IF(COUNTIFS(TF_Nokkel,$A36&amp;"|"&amp;C$5)=0,IF(C$9&lt;&gt;"","LMS",""),IFERROR(IF(SUMIFS(TF_Timer,TF_Nokkel,$A36&amp;"|"&amp;C$5,TF_Akt,"LMS")+IF(C$9="",0,MAX(0,ROUND((C$12-SUMIFS(TF_Timer,TF_Nokkel,$A36&amp;"|"&amp;C$5))*2,0)/2))&gt;INDEX(TF_AktSum,MATCH($A36&amp;"|"&amp;C$5,TF_Dom,0)),"LMS",INDEX(AktKode,MATCH(INDEX(TF_Akt,MATCH($A36&amp;"|"&amp;C$5,TF_Dom,0)),Aktiviteter,0)))&amp;IF(OR(COUNTIFS(TF_Nokkel,$A36&amp;"|"&amp;C$5,TF_Akt,"&lt;&gt;"&amp;INDEX(TF_Akt,MATCH($A36&amp;"|"&amp;C$5,TF_Dom,0)))&gt;0,AND(IF(C$9="",0,MAX(0,ROUND((C$12-SUMIFS(TF_Timer,TF_Nokkel,$A36&amp;"|"&amp;C$5))*2,0)/2))&gt;0,INDEX(TF_Akt,MATCH($A36&amp;"|"&amp;C$5,TF_Dom,0))&lt;&gt;"LMS")),"+",""),"?"))))</f>
        <v/>
      </c>
      <c r="D36" s="13">
        <f>IF(OR($A36="",D$5=""),"",IF(OR(AND(INDEX(TekFra,19)&gt;0,D$5&lt;INDEX(TekFra,19)),AND(INDEX(TekTil,19)&gt;0,D$5&gt;INDEX(TekTil,19))),"",IF(COUNTIFS(TF_Nokkel,$A36&amp;"|"&amp;D$5)=0,IF(D$9&lt;&gt;"","LMS",""),IFERROR(IF(SUMIFS(TF_Timer,TF_Nokkel,$A36&amp;"|"&amp;D$5,TF_Akt,"LMS")+IF(D$9="",0,MAX(0,ROUND((D$12-SUMIFS(TF_Timer,TF_Nokkel,$A36&amp;"|"&amp;D$5))*2,0)/2))&gt;INDEX(TF_AktSum,MATCH($A36&amp;"|"&amp;D$5,TF_Dom,0)),"LMS",INDEX(AktKode,MATCH(INDEX(TF_Akt,MATCH($A36&amp;"|"&amp;D$5,TF_Dom,0)),Aktiviteter,0)))&amp;IF(OR(COUNTIFS(TF_Nokkel,$A36&amp;"|"&amp;D$5,TF_Akt,"&lt;&gt;"&amp;INDEX(TF_Akt,MATCH($A36&amp;"|"&amp;D$5,TF_Dom,0)))&gt;0,AND(IF(D$9="",0,MAX(0,ROUND((D$12-SUMIFS(TF_Timer,TF_Nokkel,$A36&amp;"|"&amp;D$5))*2,0)/2))&gt;0,INDEX(TF_Akt,MATCH($A36&amp;"|"&amp;D$5,TF_Dom,0))&lt;&gt;"LMS")),"+",""),"?"))))</f>
        <v/>
      </c>
      <c r="E36" s="13">
        <f>IF(OR($A36="",E$5=""),"",IF(OR(AND(INDEX(TekFra,19)&gt;0,E$5&lt;INDEX(TekFra,19)),AND(INDEX(TekTil,19)&gt;0,E$5&gt;INDEX(TekTil,19))),"",IF(COUNTIFS(TF_Nokkel,$A36&amp;"|"&amp;E$5)=0,IF(E$9&lt;&gt;"","LMS",""),IFERROR(IF(SUMIFS(TF_Timer,TF_Nokkel,$A36&amp;"|"&amp;E$5,TF_Akt,"LMS")+IF(E$9="",0,MAX(0,ROUND((E$12-SUMIFS(TF_Timer,TF_Nokkel,$A36&amp;"|"&amp;E$5))*2,0)/2))&gt;INDEX(TF_AktSum,MATCH($A36&amp;"|"&amp;E$5,TF_Dom,0)),"LMS",INDEX(AktKode,MATCH(INDEX(TF_Akt,MATCH($A36&amp;"|"&amp;E$5,TF_Dom,0)),Aktiviteter,0)))&amp;IF(OR(COUNTIFS(TF_Nokkel,$A36&amp;"|"&amp;E$5,TF_Akt,"&lt;&gt;"&amp;INDEX(TF_Akt,MATCH($A36&amp;"|"&amp;E$5,TF_Dom,0)))&gt;0,AND(IF(E$9="",0,MAX(0,ROUND((E$12-SUMIFS(TF_Timer,TF_Nokkel,$A36&amp;"|"&amp;E$5))*2,0)/2))&gt;0,INDEX(TF_Akt,MATCH($A36&amp;"|"&amp;E$5,TF_Dom,0))&lt;&gt;"LMS")),"+",""),"?"))))</f>
        <v/>
      </c>
      <c r="F36" s="13">
        <f>IF(OR($A36="",F$5=""),"",IF(OR(AND(INDEX(TekFra,19)&gt;0,F$5&lt;INDEX(TekFra,19)),AND(INDEX(TekTil,19)&gt;0,F$5&gt;INDEX(TekTil,19))),"",IF(COUNTIFS(TF_Nokkel,$A36&amp;"|"&amp;F$5)=0,IF(F$9&lt;&gt;"","LMS",""),IFERROR(IF(SUMIFS(TF_Timer,TF_Nokkel,$A36&amp;"|"&amp;F$5,TF_Akt,"LMS")+IF(F$9="",0,MAX(0,ROUND((F$12-SUMIFS(TF_Timer,TF_Nokkel,$A36&amp;"|"&amp;F$5))*2,0)/2))&gt;INDEX(TF_AktSum,MATCH($A36&amp;"|"&amp;F$5,TF_Dom,0)),"LMS",INDEX(AktKode,MATCH(INDEX(TF_Akt,MATCH($A36&amp;"|"&amp;F$5,TF_Dom,0)),Aktiviteter,0)))&amp;IF(OR(COUNTIFS(TF_Nokkel,$A36&amp;"|"&amp;F$5,TF_Akt,"&lt;&gt;"&amp;INDEX(TF_Akt,MATCH($A36&amp;"|"&amp;F$5,TF_Dom,0)))&gt;0,AND(IF(F$9="",0,MAX(0,ROUND((F$12-SUMIFS(TF_Timer,TF_Nokkel,$A36&amp;"|"&amp;F$5))*2,0)/2))&gt;0,INDEX(TF_Akt,MATCH($A36&amp;"|"&amp;F$5,TF_Dom,0))&lt;&gt;"LMS")),"+",""),"?"))))</f>
        <v/>
      </c>
      <c r="G36" s="13">
        <f>IF(OR($A36="",G$5=""),"",IF(OR(AND(INDEX(TekFra,19)&gt;0,G$5&lt;INDEX(TekFra,19)),AND(INDEX(TekTil,19)&gt;0,G$5&gt;INDEX(TekTil,19))),"",IF(COUNTIFS(TF_Nokkel,$A36&amp;"|"&amp;G$5)=0,IF(G$9&lt;&gt;"","LMS",""),IFERROR(IF(SUMIFS(TF_Timer,TF_Nokkel,$A36&amp;"|"&amp;G$5,TF_Akt,"LMS")+IF(G$9="",0,MAX(0,ROUND((G$12-SUMIFS(TF_Timer,TF_Nokkel,$A36&amp;"|"&amp;G$5))*2,0)/2))&gt;INDEX(TF_AktSum,MATCH($A36&amp;"|"&amp;G$5,TF_Dom,0)),"LMS",INDEX(AktKode,MATCH(INDEX(TF_Akt,MATCH($A36&amp;"|"&amp;G$5,TF_Dom,0)),Aktiviteter,0)))&amp;IF(OR(COUNTIFS(TF_Nokkel,$A36&amp;"|"&amp;G$5,TF_Akt,"&lt;&gt;"&amp;INDEX(TF_Akt,MATCH($A36&amp;"|"&amp;G$5,TF_Dom,0)))&gt;0,AND(IF(G$9="",0,MAX(0,ROUND((G$12-SUMIFS(TF_Timer,TF_Nokkel,$A36&amp;"|"&amp;G$5))*2,0)/2))&gt;0,INDEX(TF_Akt,MATCH($A36&amp;"|"&amp;G$5,TF_Dom,0))&lt;&gt;"LMS")),"+",""),"?"))))</f>
        <v/>
      </c>
      <c r="H36" s="13">
        <f>IF(OR($A36="",H$5=""),"",IF(OR(AND(INDEX(TekFra,19)&gt;0,H$5&lt;INDEX(TekFra,19)),AND(INDEX(TekTil,19)&gt;0,H$5&gt;INDEX(TekTil,19))),"",IF(COUNTIFS(TF_Nokkel,$A36&amp;"|"&amp;H$5)=0,IF(H$9&lt;&gt;"","LMS",""),IFERROR(IF(SUMIFS(TF_Timer,TF_Nokkel,$A36&amp;"|"&amp;H$5,TF_Akt,"LMS")+IF(H$9="",0,MAX(0,ROUND((H$12-SUMIFS(TF_Timer,TF_Nokkel,$A36&amp;"|"&amp;H$5))*2,0)/2))&gt;INDEX(TF_AktSum,MATCH($A36&amp;"|"&amp;H$5,TF_Dom,0)),"LMS",INDEX(AktKode,MATCH(INDEX(TF_Akt,MATCH($A36&amp;"|"&amp;H$5,TF_Dom,0)),Aktiviteter,0)))&amp;IF(OR(COUNTIFS(TF_Nokkel,$A36&amp;"|"&amp;H$5,TF_Akt,"&lt;&gt;"&amp;INDEX(TF_Akt,MATCH($A36&amp;"|"&amp;H$5,TF_Dom,0)))&gt;0,AND(IF(H$9="",0,MAX(0,ROUND((H$12-SUMIFS(TF_Timer,TF_Nokkel,$A36&amp;"|"&amp;H$5))*2,0)/2))&gt;0,INDEX(TF_Akt,MATCH($A36&amp;"|"&amp;H$5,TF_Dom,0))&lt;&gt;"LMS")),"+",""),"?"))))</f>
        <v/>
      </c>
      <c r="I36" s="13">
        <f>IF(OR($A36="",I$5=""),"",IF(OR(AND(INDEX(TekFra,19)&gt;0,I$5&lt;INDEX(TekFra,19)),AND(INDEX(TekTil,19)&gt;0,I$5&gt;INDEX(TekTil,19))),"",IF(COUNTIFS(TF_Nokkel,$A36&amp;"|"&amp;I$5)=0,IF(I$9&lt;&gt;"","LMS",""),IFERROR(IF(SUMIFS(TF_Timer,TF_Nokkel,$A36&amp;"|"&amp;I$5,TF_Akt,"LMS")+IF(I$9="",0,MAX(0,ROUND((I$12-SUMIFS(TF_Timer,TF_Nokkel,$A36&amp;"|"&amp;I$5))*2,0)/2))&gt;INDEX(TF_AktSum,MATCH($A36&amp;"|"&amp;I$5,TF_Dom,0)),"LMS",INDEX(AktKode,MATCH(INDEX(TF_Akt,MATCH($A36&amp;"|"&amp;I$5,TF_Dom,0)),Aktiviteter,0)))&amp;IF(OR(COUNTIFS(TF_Nokkel,$A36&amp;"|"&amp;I$5,TF_Akt,"&lt;&gt;"&amp;INDEX(TF_Akt,MATCH($A36&amp;"|"&amp;I$5,TF_Dom,0)))&gt;0,AND(IF(I$9="",0,MAX(0,ROUND((I$12-SUMIFS(TF_Timer,TF_Nokkel,$A36&amp;"|"&amp;I$5))*2,0)/2))&gt;0,INDEX(TF_Akt,MATCH($A36&amp;"|"&amp;I$5,TF_Dom,0))&lt;&gt;"LMS")),"+",""),"?"))))</f>
        <v/>
      </c>
      <c r="J36" s="13">
        <f>IF(OR($A36="",J$5=""),"",IF(OR(AND(INDEX(TekFra,19)&gt;0,J$5&lt;INDEX(TekFra,19)),AND(INDEX(TekTil,19)&gt;0,J$5&gt;INDEX(TekTil,19))),"",IF(COUNTIFS(TF_Nokkel,$A36&amp;"|"&amp;J$5)=0,IF(J$9&lt;&gt;"","LMS",""),IFERROR(IF(SUMIFS(TF_Timer,TF_Nokkel,$A36&amp;"|"&amp;J$5,TF_Akt,"LMS")+IF(J$9="",0,MAX(0,ROUND((J$12-SUMIFS(TF_Timer,TF_Nokkel,$A36&amp;"|"&amp;J$5))*2,0)/2))&gt;INDEX(TF_AktSum,MATCH($A36&amp;"|"&amp;J$5,TF_Dom,0)),"LMS",INDEX(AktKode,MATCH(INDEX(TF_Akt,MATCH($A36&amp;"|"&amp;J$5,TF_Dom,0)),Aktiviteter,0)))&amp;IF(OR(COUNTIFS(TF_Nokkel,$A36&amp;"|"&amp;J$5,TF_Akt,"&lt;&gt;"&amp;INDEX(TF_Akt,MATCH($A36&amp;"|"&amp;J$5,TF_Dom,0)))&gt;0,AND(IF(J$9="",0,MAX(0,ROUND((J$12-SUMIFS(TF_Timer,TF_Nokkel,$A36&amp;"|"&amp;J$5))*2,0)/2))&gt;0,INDEX(TF_Akt,MATCH($A36&amp;"|"&amp;J$5,TF_Dom,0))&lt;&gt;"LMS")),"+",""),"?"))))</f>
        <v/>
      </c>
      <c r="K36" s="13">
        <f>IF(OR($A36="",K$5=""),"",IF(OR(AND(INDEX(TekFra,19)&gt;0,K$5&lt;INDEX(TekFra,19)),AND(INDEX(TekTil,19)&gt;0,K$5&gt;INDEX(TekTil,19))),"",IF(COUNTIFS(TF_Nokkel,$A36&amp;"|"&amp;K$5)=0,IF(K$9&lt;&gt;"","LMS",""),IFERROR(IF(SUMIFS(TF_Timer,TF_Nokkel,$A36&amp;"|"&amp;K$5,TF_Akt,"LMS")+IF(K$9="",0,MAX(0,ROUND((K$12-SUMIFS(TF_Timer,TF_Nokkel,$A36&amp;"|"&amp;K$5))*2,0)/2))&gt;INDEX(TF_AktSum,MATCH($A36&amp;"|"&amp;K$5,TF_Dom,0)),"LMS",INDEX(AktKode,MATCH(INDEX(TF_Akt,MATCH($A36&amp;"|"&amp;K$5,TF_Dom,0)),Aktiviteter,0)))&amp;IF(OR(COUNTIFS(TF_Nokkel,$A36&amp;"|"&amp;K$5,TF_Akt,"&lt;&gt;"&amp;INDEX(TF_Akt,MATCH($A36&amp;"|"&amp;K$5,TF_Dom,0)))&gt;0,AND(IF(K$9="",0,MAX(0,ROUND((K$12-SUMIFS(TF_Timer,TF_Nokkel,$A36&amp;"|"&amp;K$5))*2,0)/2))&gt;0,INDEX(TF_Akt,MATCH($A36&amp;"|"&amp;K$5,TF_Dom,0))&lt;&gt;"LMS")),"+",""),"?"))))</f>
        <v/>
      </c>
      <c r="L36" s="13">
        <f>IF(OR($A36="",L$5=""),"",IF(OR(AND(INDEX(TekFra,19)&gt;0,L$5&lt;INDEX(TekFra,19)),AND(INDEX(TekTil,19)&gt;0,L$5&gt;INDEX(TekTil,19))),"",IF(COUNTIFS(TF_Nokkel,$A36&amp;"|"&amp;L$5)=0,IF(L$9&lt;&gt;"","LMS",""),IFERROR(IF(SUMIFS(TF_Timer,TF_Nokkel,$A36&amp;"|"&amp;L$5,TF_Akt,"LMS")+IF(L$9="",0,MAX(0,ROUND((L$12-SUMIFS(TF_Timer,TF_Nokkel,$A36&amp;"|"&amp;L$5))*2,0)/2))&gt;INDEX(TF_AktSum,MATCH($A36&amp;"|"&amp;L$5,TF_Dom,0)),"LMS",INDEX(AktKode,MATCH(INDEX(TF_Akt,MATCH($A36&amp;"|"&amp;L$5,TF_Dom,0)),Aktiviteter,0)))&amp;IF(OR(COUNTIFS(TF_Nokkel,$A36&amp;"|"&amp;L$5,TF_Akt,"&lt;&gt;"&amp;INDEX(TF_Akt,MATCH($A36&amp;"|"&amp;L$5,TF_Dom,0)))&gt;0,AND(IF(L$9="",0,MAX(0,ROUND((L$12-SUMIFS(TF_Timer,TF_Nokkel,$A36&amp;"|"&amp;L$5))*2,0)/2))&gt;0,INDEX(TF_Akt,MATCH($A36&amp;"|"&amp;L$5,TF_Dom,0))&lt;&gt;"LMS")),"+",""),"?"))))</f>
        <v/>
      </c>
      <c r="M36" s="13">
        <f>IF(OR($A36="",M$5=""),"",IF(OR(AND(INDEX(TekFra,19)&gt;0,M$5&lt;INDEX(TekFra,19)),AND(INDEX(TekTil,19)&gt;0,M$5&gt;INDEX(TekTil,19))),"",IF(COUNTIFS(TF_Nokkel,$A36&amp;"|"&amp;M$5)=0,IF(M$9&lt;&gt;"","LMS",""),IFERROR(IF(SUMIFS(TF_Timer,TF_Nokkel,$A36&amp;"|"&amp;M$5,TF_Akt,"LMS")+IF(M$9="",0,MAX(0,ROUND((M$12-SUMIFS(TF_Timer,TF_Nokkel,$A36&amp;"|"&amp;M$5))*2,0)/2))&gt;INDEX(TF_AktSum,MATCH($A36&amp;"|"&amp;M$5,TF_Dom,0)),"LMS",INDEX(AktKode,MATCH(INDEX(TF_Akt,MATCH($A36&amp;"|"&amp;M$5,TF_Dom,0)),Aktiviteter,0)))&amp;IF(OR(COUNTIFS(TF_Nokkel,$A36&amp;"|"&amp;M$5,TF_Akt,"&lt;&gt;"&amp;INDEX(TF_Akt,MATCH($A36&amp;"|"&amp;M$5,TF_Dom,0)))&gt;0,AND(IF(M$9="",0,MAX(0,ROUND((M$12-SUMIFS(TF_Timer,TF_Nokkel,$A36&amp;"|"&amp;M$5))*2,0)/2))&gt;0,INDEX(TF_Akt,MATCH($A36&amp;"|"&amp;M$5,TF_Dom,0))&lt;&gt;"LMS")),"+",""),"?"))))</f>
        <v/>
      </c>
      <c r="N36" s="13">
        <f>IF(OR($A36="",N$5=""),"",IF(OR(AND(INDEX(TekFra,19)&gt;0,N$5&lt;INDEX(TekFra,19)),AND(INDEX(TekTil,19)&gt;0,N$5&gt;INDEX(TekTil,19))),"",IF(COUNTIFS(TF_Nokkel,$A36&amp;"|"&amp;N$5)=0,IF(N$9&lt;&gt;"","LMS",""),IFERROR(IF(SUMIFS(TF_Timer,TF_Nokkel,$A36&amp;"|"&amp;N$5,TF_Akt,"LMS")+IF(N$9="",0,MAX(0,ROUND((N$12-SUMIFS(TF_Timer,TF_Nokkel,$A36&amp;"|"&amp;N$5))*2,0)/2))&gt;INDEX(TF_AktSum,MATCH($A36&amp;"|"&amp;N$5,TF_Dom,0)),"LMS",INDEX(AktKode,MATCH(INDEX(TF_Akt,MATCH($A36&amp;"|"&amp;N$5,TF_Dom,0)),Aktiviteter,0)))&amp;IF(OR(COUNTIFS(TF_Nokkel,$A36&amp;"|"&amp;N$5,TF_Akt,"&lt;&gt;"&amp;INDEX(TF_Akt,MATCH($A36&amp;"|"&amp;N$5,TF_Dom,0)))&gt;0,AND(IF(N$9="",0,MAX(0,ROUND((N$12-SUMIFS(TF_Timer,TF_Nokkel,$A36&amp;"|"&amp;N$5))*2,0)/2))&gt;0,INDEX(TF_Akt,MATCH($A36&amp;"|"&amp;N$5,TF_Dom,0))&lt;&gt;"LMS")),"+",""),"?"))))</f>
        <v/>
      </c>
      <c r="O36" s="13">
        <f>IF(OR($A36="",O$5=""),"",IF(OR(AND(INDEX(TekFra,19)&gt;0,O$5&lt;INDEX(TekFra,19)),AND(INDEX(TekTil,19)&gt;0,O$5&gt;INDEX(TekTil,19))),"",IF(COUNTIFS(TF_Nokkel,$A36&amp;"|"&amp;O$5)=0,IF(O$9&lt;&gt;"","LMS",""),IFERROR(IF(SUMIFS(TF_Timer,TF_Nokkel,$A36&amp;"|"&amp;O$5,TF_Akt,"LMS")+IF(O$9="",0,MAX(0,ROUND((O$12-SUMIFS(TF_Timer,TF_Nokkel,$A36&amp;"|"&amp;O$5))*2,0)/2))&gt;INDEX(TF_AktSum,MATCH($A36&amp;"|"&amp;O$5,TF_Dom,0)),"LMS",INDEX(AktKode,MATCH(INDEX(TF_Akt,MATCH($A36&amp;"|"&amp;O$5,TF_Dom,0)),Aktiviteter,0)))&amp;IF(OR(COUNTIFS(TF_Nokkel,$A36&amp;"|"&amp;O$5,TF_Akt,"&lt;&gt;"&amp;INDEX(TF_Akt,MATCH($A36&amp;"|"&amp;O$5,TF_Dom,0)))&gt;0,AND(IF(O$9="",0,MAX(0,ROUND((O$12-SUMIFS(TF_Timer,TF_Nokkel,$A36&amp;"|"&amp;O$5))*2,0)/2))&gt;0,INDEX(TF_Akt,MATCH($A36&amp;"|"&amp;O$5,TF_Dom,0))&lt;&gt;"LMS")),"+",""),"?"))))</f>
        <v/>
      </c>
      <c r="P36" s="13">
        <f>IF(OR($A36="",P$5=""),"",IF(OR(AND(INDEX(TekFra,19)&gt;0,P$5&lt;INDEX(TekFra,19)),AND(INDEX(TekTil,19)&gt;0,P$5&gt;INDEX(TekTil,19))),"",IF(COUNTIFS(TF_Nokkel,$A36&amp;"|"&amp;P$5)=0,IF(P$9&lt;&gt;"","LMS",""),IFERROR(IF(SUMIFS(TF_Timer,TF_Nokkel,$A36&amp;"|"&amp;P$5,TF_Akt,"LMS")+IF(P$9="",0,MAX(0,ROUND((P$12-SUMIFS(TF_Timer,TF_Nokkel,$A36&amp;"|"&amp;P$5))*2,0)/2))&gt;INDEX(TF_AktSum,MATCH($A36&amp;"|"&amp;P$5,TF_Dom,0)),"LMS",INDEX(AktKode,MATCH(INDEX(TF_Akt,MATCH($A36&amp;"|"&amp;P$5,TF_Dom,0)),Aktiviteter,0)))&amp;IF(OR(COUNTIFS(TF_Nokkel,$A36&amp;"|"&amp;P$5,TF_Akt,"&lt;&gt;"&amp;INDEX(TF_Akt,MATCH($A36&amp;"|"&amp;P$5,TF_Dom,0)))&gt;0,AND(IF(P$9="",0,MAX(0,ROUND((P$12-SUMIFS(TF_Timer,TF_Nokkel,$A36&amp;"|"&amp;P$5))*2,0)/2))&gt;0,INDEX(TF_Akt,MATCH($A36&amp;"|"&amp;P$5,TF_Dom,0))&lt;&gt;"LMS")),"+",""),"?"))))</f>
        <v/>
      </c>
      <c r="Q36" s="13">
        <f>IF(OR($A36="",Q$5=""),"",IF(OR(AND(INDEX(TekFra,19)&gt;0,Q$5&lt;INDEX(TekFra,19)),AND(INDEX(TekTil,19)&gt;0,Q$5&gt;INDEX(TekTil,19))),"",IF(COUNTIFS(TF_Nokkel,$A36&amp;"|"&amp;Q$5)=0,IF(Q$9&lt;&gt;"","LMS",""),IFERROR(IF(SUMIFS(TF_Timer,TF_Nokkel,$A36&amp;"|"&amp;Q$5,TF_Akt,"LMS")+IF(Q$9="",0,MAX(0,ROUND((Q$12-SUMIFS(TF_Timer,TF_Nokkel,$A36&amp;"|"&amp;Q$5))*2,0)/2))&gt;INDEX(TF_AktSum,MATCH($A36&amp;"|"&amp;Q$5,TF_Dom,0)),"LMS",INDEX(AktKode,MATCH(INDEX(TF_Akt,MATCH($A36&amp;"|"&amp;Q$5,TF_Dom,0)),Aktiviteter,0)))&amp;IF(OR(COUNTIFS(TF_Nokkel,$A36&amp;"|"&amp;Q$5,TF_Akt,"&lt;&gt;"&amp;INDEX(TF_Akt,MATCH($A36&amp;"|"&amp;Q$5,TF_Dom,0)))&gt;0,AND(IF(Q$9="",0,MAX(0,ROUND((Q$12-SUMIFS(TF_Timer,TF_Nokkel,$A36&amp;"|"&amp;Q$5))*2,0)/2))&gt;0,INDEX(TF_Akt,MATCH($A36&amp;"|"&amp;Q$5,TF_Dom,0))&lt;&gt;"LMS")),"+",""),"?"))))</f>
        <v/>
      </c>
      <c r="R36" s="13">
        <f>IF(OR($A36="",R$5=""),"",IF(OR(AND(INDEX(TekFra,19)&gt;0,R$5&lt;INDEX(TekFra,19)),AND(INDEX(TekTil,19)&gt;0,R$5&gt;INDEX(TekTil,19))),"",IF(COUNTIFS(TF_Nokkel,$A36&amp;"|"&amp;R$5)=0,IF(R$9&lt;&gt;"","LMS",""),IFERROR(IF(SUMIFS(TF_Timer,TF_Nokkel,$A36&amp;"|"&amp;R$5,TF_Akt,"LMS")+IF(R$9="",0,MAX(0,ROUND((R$12-SUMIFS(TF_Timer,TF_Nokkel,$A36&amp;"|"&amp;R$5))*2,0)/2))&gt;INDEX(TF_AktSum,MATCH($A36&amp;"|"&amp;R$5,TF_Dom,0)),"LMS",INDEX(AktKode,MATCH(INDEX(TF_Akt,MATCH($A36&amp;"|"&amp;R$5,TF_Dom,0)),Aktiviteter,0)))&amp;IF(OR(COUNTIFS(TF_Nokkel,$A36&amp;"|"&amp;R$5,TF_Akt,"&lt;&gt;"&amp;INDEX(TF_Akt,MATCH($A36&amp;"|"&amp;R$5,TF_Dom,0)))&gt;0,AND(IF(R$9="",0,MAX(0,ROUND((R$12-SUMIFS(TF_Timer,TF_Nokkel,$A36&amp;"|"&amp;R$5))*2,0)/2))&gt;0,INDEX(TF_Akt,MATCH($A36&amp;"|"&amp;R$5,TF_Dom,0))&lt;&gt;"LMS")),"+",""),"?"))))</f>
        <v/>
      </c>
      <c r="S36" s="13">
        <f>IF(OR($A36="",S$5=""),"",IF(OR(AND(INDEX(TekFra,19)&gt;0,S$5&lt;INDEX(TekFra,19)),AND(INDEX(TekTil,19)&gt;0,S$5&gt;INDEX(TekTil,19))),"",IF(COUNTIFS(TF_Nokkel,$A36&amp;"|"&amp;S$5)=0,IF(S$9&lt;&gt;"","LMS",""),IFERROR(IF(SUMIFS(TF_Timer,TF_Nokkel,$A36&amp;"|"&amp;S$5,TF_Akt,"LMS")+IF(S$9="",0,MAX(0,ROUND((S$12-SUMIFS(TF_Timer,TF_Nokkel,$A36&amp;"|"&amp;S$5))*2,0)/2))&gt;INDEX(TF_AktSum,MATCH($A36&amp;"|"&amp;S$5,TF_Dom,0)),"LMS",INDEX(AktKode,MATCH(INDEX(TF_Akt,MATCH($A36&amp;"|"&amp;S$5,TF_Dom,0)),Aktiviteter,0)))&amp;IF(OR(COUNTIFS(TF_Nokkel,$A36&amp;"|"&amp;S$5,TF_Akt,"&lt;&gt;"&amp;INDEX(TF_Akt,MATCH($A36&amp;"|"&amp;S$5,TF_Dom,0)))&gt;0,AND(IF(S$9="",0,MAX(0,ROUND((S$12-SUMIFS(TF_Timer,TF_Nokkel,$A36&amp;"|"&amp;S$5))*2,0)/2))&gt;0,INDEX(TF_Akt,MATCH($A36&amp;"|"&amp;S$5,TF_Dom,0))&lt;&gt;"LMS")),"+",""),"?"))))</f>
        <v/>
      </c>
      <c r="T36" s="13">
        <f>IF(OR($A36="",T$5=""),"",IF(OR(AND(INDEX(TekFra,19)&gt;0,T$5&lt;INDEX(TekFra,19)),AND(INDEX(TekTil,19)&gt;0,T$5&gt;INDEX(TekTil,19))),"",IF(COUNTIFS(TF_Nokkel,$A36&amp;"|"&amp;T$5)=0,IF(T$9&lt;&gt;"","LMS",""),IFERROR(IF(SUMIFS(TF_Timer,TF_Nokkel,$A36&amp;"|"&amp;T$5,TF_Akt,"LMS")+IF(T$9="",0,MAX(0,ROUND((T$12-SUMIFS(TF_Timer,TF_Nokkel,$A36&amp;"|"&amp;T$5))*2,0)/2))&gt;INDEX(TF_AktSum,MATCH($A36&amp;"|"&amp;T$5,TF_Dom,0)),"LMS",INDEX(AktKode,MATCH(INDEX(TF_Akt,MATCH($A36&amp;"|"&amp;T$5,TF_Dom,0)),Aktiviteter,0)))&amp;IF(OR(COUNTIFS(TF_Nokkel,$A36&amp;"|"&amp;T$5,TF_Akt,"&lt;&gt;"&amp;INDEX(TF_Akt,MATCH($A36&amp;"|"&amp;T$5,TF_Dom,0)))&gt;0,AND(IF(T$9="",0,MAX(0,ROUND((T$12-SUMIFS(TF_Timer,TF_Nokkel,$A36&amp;"|"&amp;T$5))*2,0)/2))&gt;0,INDEX(TF_Akt,MATCH($A36&amp;"|"&amp;T$5,TF_Dom,0))&lt;&gt;"LMS")),"+",""),"?"))))</f>
        <v/>
      </c>
      <c r="U36" s="13">
        <f>IF(OR($A36="",U$5=""),"",IF(OR(AND(INDEX(TekFra,19)&gt;0,U$5&lt;INDEX(TekFra,19)),AND(INDEX(TekTil,19)&gt;0,U$5&gt;INDEX(TekTil,19))),"",IF(COUNTIFS(TF_Nokkel,$A36&amp;"|"&amp;U$5)=0,IF(U$9&lt;&gt;"","LMS",""),IFERROR(IF(SUMIFS(TF_Timer,TF_Nokkel,$A36&amp;"|"&amp;U$5,TF_Akt,"LMS")+IF(U$9="",0,MAX(0,ROUND((U$12-SUMIFS(TF_Timer,TF_Nokkel,$A36&amp;"|"&amp;U$5))*2,0)/2))&gt;INDEX(TF_AktSum,MATCH($A36&amp;"|"&amp;U$5,TF_Dom,0)),"LMS",INDEX(AktKode,MATCH(INDEX(TF_Akt,MATCH($A36&amp;"|"&amp;U$5,TF_Dom,0)),Aktiviteter,0)))&amp;IF(OR(COUNTIFS(TF_Nokkel,$A36&amp;"|"&amp;U$5,TF_Akt,"&lt;&gt;"&amp;INDEX(TF_Akt,MATCH($A36&amp;"|"&amp;U$5,TF_Dom,0)))&gt;0,AND(IF(U$9="",0,MAX(0,ROUND((U$12-SUMIFS(TF_Timer,TF_Nokkel,$A36&amp;"|"&amp;U$5))*2,0)/2))&gt;0,INDEX(TF_Akt,MATCH($A36&amp;"|"&amp;U$5,TF_Dom,0))&lt;&gt;"LMS")),"+",""),"?"))))</f>
        <v/>
      </c>
      <c r="V36" s="13">
        <f>IF(OR($A36="",V$5=""),"",IF(OR(AND(INDEX(TekFra,19)&gt;0,V$5&lt;INDEX(TekFra,19)),AND(INDEX(TekTil,19)&gt;0,V$5&gt;INDEX(TekTil,19))),"",IF(COUNTIFS(TF_Nokkel,$A36&amp;"|"&amp;V$5)=0,IF(V$9&lt;&gt;"","LMS",""),IFERROR(IF(SUMIFS(TF_Timer,TF_Nokkel,$A36&amp;"|"&amp;V$5,TF_Akt,"LMS")+IF(V$9="",0,MAX(0,ROUND((V$12-SUMIFS(TF_Timer,TF_Nokkel,$A36&amp;"|"&amp;V$5))*2,0)/2))&gt;INDEX(TF_AktSum,MATCH($A36&amp;"|"&amp;V$5,TF_Dom,0)),"LMS",INDEX(AktKode,MATCH(INDEX(TF_Akt,MATCH($A36&amp;"|"&amp;V$5,TF_Dom,0)),Aktiviteter,0)))&amp;IF(OR(COUNTIFS(TF_Nokkel,$A36&amp;"|"&amp;V$5,TF_Akt,"&lt;&gt;"&amp;INDEX(TF_Akt,MATCH($A36&amp;"|"&amp;V$5,TF_Dom,0)))&gt;0,AND(IF(V$9="",0,MAX(0,ROUND((V$12-SUMIFS(TF_Timer,TF_Nokkel,$A36&amp;"|"&amp;V$5))*2,0)/2))&gt;0,INDEX(TF_Akt,MATCH($A36&amp;"|"&amp;V$5,TF_Dom,0))&lt;&gt;"LMS")),"+",""),"?"))))</f>
        <v/>
      </c>
      <c r="W36" s="13">
        <f>IF(OR($A36="",W$5=""),"",IF(OR(AND(INDEX(TekFra,19)&gt;0,W$5&lt;INDEX(TekFra,19)),AND(INDEX(TekTil,19)&gt;0,W$5&gt;INDEX(TekTil,19))),"",IF(COUNTIFS(TF_Nokkel,$A36&amp;"|"&amp;W$5)=0,IF(W$9&lt;&gt;"","LMS",""),IFERROR(IF(SUMIFS(TF_Timer,TF_Nokkel,$A36&amp;"|"&amp;W$5,TF_Akt,"LMS")+IF(W$9="",0,MAX(0,ROUND((W$12-SUMIFS(TF_Timer,TF_Nokkel,$A36&amp;"|"&amp;W$5))*2,0)/2))&gt;INDEX(TF_AktSum,MATCH($A36&amp;"|"&amp;W$5,TF_Dom,0)),"LMS",INDEX(AktKode,MATCH(INDEX(TF_Akt,MATCH($A36&amp;"|"&amp;W$5,TF_Dom,0)),Aktiviteter,0)))&amp;IF(OR(COUNTIFS(TF_Nokkel,$A36&amp;"|"&amp;W$5,TF_Akt,"&lt;&gt;"&amp;INDEX(TF_Akt,MATCH($A36&amp;"|"&amp;W$5,TF_Dom,0)))&gt;0,AND(IF(W$9="",0,MAX(0,ROUND((W$12-SUMIFS(TF_Timer,TF_Nokkel,$A36&amp;"|"&amp;W$5))*2,0)/2))&gt;0,INDEX(TF_Akt,MATCH($A36&amp;"|"&amp;W$5,TF_Dom,0))&lt;&gt;"LMS")),"+",""),"?"))))</f>
        <v/>
      </c>
      <c r="X36" s="13">
        <f>IF(OR($A36="",X$5=""),"",IF(OR(AND(INDEX(TekFra,19)&gt;0,X$5&lt;INDEX(TekFra,19)),AND(INDEX(TekTil,19)&gt;0,X$5&gt;INDEX(TekTil,19))),"",IF(COUNTIFS(TF_Nokkel,$A36&amp;"|"&amp;X$5)=0,IF(X$9&lt;&gt;"","LMS",""),IFERROR(IF(SUMIFS(TF_Timer,TF_Nokkel,$A36&amp;"|"&amp;X$5,TF_Akt,"LMS")+IF(X$9="",0,MAX(0,ROUND((X$12-SUMIFS(TF_Timer,TF_Nokkel,$A36&amp;"|"&amp;X$5))*2,0)/2))&gt;INDEX(TF_AktSum,MATCH($A36&amp;"|"&amp;X$5,TF_Dom,0)),"LMS",INDEX(AktKode,MATCH(INDEX(TF_Akt,MATCH($A36&amp;"|"&amp;X$5,TF_Dom,0)),Aktiviteter,0)))&amp;IF(OR(COUNTIFS(TF_Nokkel,$A36&amp;"|"&amp;X$5,TF_Akt,"&lt;&gt;"&amp;INDEX(TF_Akt,MATCH($A36&amp;"|"&amp;X$5,TF_Dom,0)))&gt;0,AND(IF(X$9="",0,MAX(0,ROUND((X$12-SUMIFS(TF_Timer,TF_Nokkel,$A36&amp;"|"&amp;X$5))*2,0)/2))&gt;0,INDEX(TF_Akt,MATCH($A36&amp;"|"&amp;X$5,TF_Dom,0))&lt;&gt;"LMS")),"+",""),"?"))))</f>
        <v/>
      </c>
      <c r="Y36" s="13">
        <f>IF(OR($A36="",Y$5=""),"",IF(OR(AND(INDEX(TekFra,19)&gt;0,Y$5&lt;INDEX(TekFra,19)),AND(INDEX(TekTil,19)&gt;0,Y$5&gt;INDEX(TekTil,19))),"",IF(COUNTIFS(TF_Nokkel,$A36&amp;"|"&amp;Y$5)=0,IF(Y$9&lt;&gt;"","LMS",""),IFERROR(IF(SUMIFS(TF_Timer,TF_Nokkel,$A36&amp;"|"&amp;Y$5,TF_Akt,"LMS")+IF(Y$9="",0,MAX(0,ROUND((Y$12-SUMIFS(TF_Timer,TF_Nokkel,$A36&amp;"|"&amp;Y$5))*2,0)/2))&gt;INDEX(TF_AktSum,MATCH($A36&amp;"|"&amp;Y$5,TF_Dom,0)),"LMS",INDEX(AktKode,MATCH(INDEX(TF_Akt,MATCH($A36&amp;"|"&amp;Y$5,TF_Dom,0)),Aktiviteter,0)))&amp;IF(OR(COUNTIFS(TF_Nokkel,$A36&amp;"|"&amp;Y$5,TF_Akt,"&lt;&gt;"&amp;INDEX(TF_Akt,MATCH($A36&amp;"|"&amp;Y$5,TF_Dom,0)))&gt;0,AND(IF(Y$9="",0,MAX(0,ROUND((Y$12-SUMIFS(TF_Timer,TF_Nokkel,$A36&amp;"|"&amp;Y$5))*2,0)/2))&gt;0,INDEX(TF_Akt,MATCH($A36&amp;"|"&amp;Y$5,TF_Dom,0))&lt;&gt;"LMS")),"+",""),"?"))))</f>
        <v/>
      </c>
      <c r="Z36" s="13">
        <f>IF(OR($A36="",Z$5=""),"",IF(OR(AND(INDEX(TekFra,19)&gt;0,Z$5&lt;INDEX(TekFra,19)),AND(INDEX(TekTil,19)&gt;0,Z$5&gt;INDEX(TekTil,19))),"",IF(COUNTIFS(TF_Nokkel,$A36&amp;"|"&amp;Z$5)=0,IF(Z$9&lt;&gt;"","LMS",""),IFERROR(IF(SUMIFS(TF_Timer,TF_Nokkel,$A36&amp;"|"&amp;Z$5,TF_Akt,"LMS")+IF(Z$9="",0,MAX(0,ROUND((Z$12-SUMIFS(TF_Timer,TF_Nokkel,$A36&amp;"|"&amp;Z$5))*2,0)/2))&gt;INDEX(TF_AktSum,MATCH($A36&amp;"|"&amp;Z$5,TF_Dom,0)),"LMS",INDEX(AktKode,MATCH(INDEX(TF_Akt,MATCH($A36&amp;"|"&amp;Z$5,TF_Dom,0)),Aktiviteter,0)))&amp;IF(OR(COUNTIFS(TF_Nokkel,$A36&amp;"|"&amp;Z$5,TF_Akt,"&lt;&gt;"&amp;INDEX(TF_Akt,MATCH($A36&amp;"|"&amp;Z$5,TF_Dom,0)))&gt;0,AND(IF(Z$9="",0,MAX(0,ROUND((Z$12-SUMIFS(TF_Timer,TF_Nokkel,$A36&amp;"|"&amp;Z$5))*2,0)/2))&gt;0,INDEX(TF_Akt,MATCH($A36&amp;"|"&amp;Z$5,TF_Dom,0))&lt;&gt;"LMS")),"+",""),"?"))))</f>
        <v/>
      </c>
      <c r="AA36" s="13">
        <f>IF(OR($A36="",AA$5=""),"",IF(OR(AND(INDEX(TekFra,19)&gt;0,AA$5&lt;INDEX(TekFra,19)),AND(INDEX(TekTil,19)&gt;0,AA$5&gt;INDEX(TekTil,19))),"",IF(COUNTIFS(TF_Nokkel,$A36&amp;"|"&amp;AA$5)=0,IF(AA$9&lt;&gt;"","LMS",""),IFERROR(IF(SUMIFS(TF_Timer,TF_Nokkel,$A36&amp;"|"&amp;AA$5,TF_Akt,"LMS")+IF(AA$9="",0,MAX(0,ROUND((AA$12-SUMIFS(TF_Timer,TF_Nokkel,$A36&amp;"|"&amp;AA$5))*2,0)/2))&gt;INDEX(TF_AktSum,MATCH($A36&amp;"|"&amp;AA$5,TF_Dom,0)),"LMS",INDEX(AktKode,MATCH(INDEX(TF_Akt,MATCH($A36&amp;"|"&amp;AA$5,TF_Dom,0)),Aktiviteter,0)))&amp;IF(OR(COUNTIFS(TF_Nokkel,$A36&amp;"|"&amp;AA$5,TF_Akt,"&lt;&gt;"&amp;INDEX(TF_Akt,MATCH($A36&amp;"|"&amp;AA$5,TF_Dom,0)))&gt;0,AND(IF(AA$9="",0,MAX(0,ROUND((AA$12-SUMIFS(TF_Timer,TF_Nokkel,$A36&amp;"|"&amp;AA$5))*2,0)/2))&gt;0,INDEX(TF_Akt,MATCH($A36&amp;"|"&amp;AA$5,TF_Dom,0))&lt;&gt;"LMS")),"+",""),"?"))))</f>
        <v/>
      </c>
      <c r="AB36" s="13">
        <f>IF(OR($A36="",AB$5=""),"",IF(OR(AND(INDEX(TekFra,19)&gt;0,AB$5&lt;INDEX(TekFra,19)),AND(INDEX(TekTil,19)&gt;0,AB$5&gt;INDEX(TekTil,19))),"",IF(COUNTIFS(TF_Nokkel,$A36&amp;"|"&amp;AB$5)=0,IF(AB$9&lt;&gt;"","LMS",""),IFERROR(IF(SUMIFS(TF_Timer,TF_Nokkel,$A36&amp;"|"&amp;AB$5,TF_Akt,"LMS")+IF(AB$9="",0,MAX(0,ROUND((AB$12-SUMIFS(TF_Timer,TF_Nokkel,$A36&amp;"|"&amp;AB$5))*2,0)/2))&gt;INDEX(TF_AktSum,MATCH($A36&amp;"|"&amp;AB$5,TF_Dom,0)),"LMS",INDEX(AktKode,MATCH(INDEX(TF_Akt,MATCH($A36&amp;"|"&amp;AB$5,TF_Dom,0)),Aktiviteter,0)))&amp;IF(OR(COUNTIFS(TF_Nokkel,$A36&amp;"|"&amp;AB$5,TF_Akt,"&lt;&gt;"&amp;INDEX(TF_Akt,MATCH($A36&amp;"|"&amp;AB$5,TF_Dom,0)))&gt;0,AND(IF(AB$9="",0,MAX(0,ROUND((AB$12-SUMIFS(TF_Timer,TF_Nokkel,$A36&amp;"|"&amp;AB$5))*2,0)/2))&gt;0,INDEX(TF_Akt,MATCH($A36&amp;"|"&amp;AB$5,TF_Dom,0))&lt;&gt;"LMS")),"+",""),"?"))))</f>
        <v/>
      </c>
      <c r="AC36" s="13">
        <f>IF(OR($A36="",AC$5=""),"",IF(OR(AND(INDEX(TekFra,19)&gt;0,AC$5&lt;INDEX(TekFra,19)),AND(INDEX(TekTil,19)&gt;0,AC$5&gt;INDEX(TekTil,19))),"",IF(COUNTIFS(TF_Nokkel,$A36&amp;"|"&amp;AC$5)=0,IF(AC$9&lt;&gt;"","LMS",""),IFERROR(IF(SUMIFS(TF_Timer,TF_Nokkel,$A36&amp;"|"&amp;AC$5,TF_Akt,"LMS")+IF(AC$9="",0,MAX(0,ROUND((AC$12-SUMIFS(TF_Timer,TF_Nokkel,$A36&amp;"|"&amp;AC$5))*2,0)/2))&gt;INDEX(TF_AktSum,MATCH($A36&amp;"|"&amp;AC$5,TF_Dom,0)),"LMS",INDEX(AktKode,MATCH(INDEX(TF_Akt,MATCH($A36&amp;"|"&amp;AC$5,TF_Dom,0)),Aktiviteter,0)))&amp;IF(OR(COUNTIFS(TF_Nokkel,$A36&amp;"|"&amp;AC$5,TF_Akt,"&lt;&gt;"&amp;INDEX(TF_Akt,MATCH($A36&amp;"|"&amp;AC$5,TF_Dom,0)))&gt;0,AND(IF(AC$9="",0,MAX(0,ROUND((AC$12-SUMIFS(TF_Timer,TF_Nokkel,$A36&amp;"|"&amp;AC$5))*2,0)/2))&gt;0,INDEX(TF_Akt,MATCH($A36&amp;"|"&amp;AC$5,TF_Dom,0))&lt;&gt;"LMS")),"+",""),"?"))))</f>
        <v/>
      </c>
      <c r="AD36" s="13">
        <f>IF(OR($A36="",AD$5=""),"",IF(OR(AND(INDEX(TekFra,19)&gt;0,AD$5&lt;INDEX(TekFra,19)),AND(INDEX(TekTil,19)&gt;0,AD$5&gt;INDEX(TekTil,19))),"",IF(COUNTIFS(TF_Nokkel,$A36&amp;"|"&amp;AD$5)=0,IF(AD$9&lt;&gt;"","LMS",""),IFERROR(IF(SUMIFS(TF_Timer,TF_Nokkel,$A36&amp;"|"&amp;AD$5,TF_Akt,"LMS")+IF(AD$9="",0,MAX(0,ROUND((AD$12-SUMIFS(TF_Timer,TF_Nokkel,$A36&amp;"|"&amp;AD$5))*2,0)/2))&gt;INDEX(TF_AktSum,MATCH($A36&amp;"|"&amp;AD$5,TF_Dom,0)),"LMS",INDEX(AktKode,MATCH(INDEX(TF_Akt,MATCH($A36&amp;"|"&amp;AD$5,TF_Dom,0)),Aktiviteter,0)))&amp;IF(OR(COUNTIFS(TF_Nokkel,$A36&amp;"|"&amp;AD$5,TF_Akt,"&lt;&gt;"&amp;INDEX(TF_Akt,MATCH($A36&amp;"|"&amp;AD$5,TF_Dom,0)))&gt;0,AND(IF(AD$9="",0,MAX(0,ROUND((AD$12-SUMIFS(TF_Timer,TF_Nokkel,$A36&amp;"|"&amp;AD$5))*2,0)/2))&gt;0,INDEX(TF_Akt,MATCH($A36&amp;"|"&amp;AD$5,TF_Dom,0))&lt;&gt;"LMS")),"+",""),"?"))))</f>
        <v/>
      </c>
      <c r="AE36" s="13">
        <f>IF(OR($A36="",AE$5=""),"",IF(OR(AND(INDEX(TekFra,19)&gt;0,AE$5&lt;INDEX(TekFra,19)),AND(INDEX(TekTil,19)&gt;0,AE$5&gt;INDEX(TekTil,19))),"",IF(COUNTIFS(TF_Nokkel,$A36&amp;"|"&amp;AE$5)=0,IF(AE$9&lt;&gt;"","LMS",""),IFERROR(IF(SUMIFS(TF_Timer,TF_Nokkel,$A36&amp;"|"&amp;AE$5,TF_Akt,"LMS")+IF(AE$9="",0,MAX(0,ROUND((AE$12-SUMIFS(TF_Timer,TF_Nokkel,$A36&amp;"|"&amp;AE$5))*2,0)/2))&gt;INDEX(TF_AktSum,MATCH($A36&amp;"|"&amp;AE$5,TF_Dom,0)),"LMS",INDEX(AktKode,MATCH(INDEX(TF_Akt,MATCH($A36&amp;"|"&amp;AE$5,TF_Dom,0)),Aktiviteter,0)))&amp;IF(OR(COUNTIFS(TF_Nokkel,$A36&amp;"|"&amp;AE$5,TF_Akt,"&lt;&gt;"&amp;INDEX(TF_Akt,MATCH($A36&amp;"|"&amp;AE$5,TF_Dom,0)))&gt;0,AND(IF(AE$9="",0,MAX(0,ROUND((AE$12-SUMIFS(TF_Timer,TF_Nokkel,$A36&amp;"|"&amp;AE$5))*2,0)/2))&gt;0,INDEX(TF_Akt,MATCH($A36&amp;"|"&amp;AE$5,TF_Dom,0))&lt;&gt;"LMS")),"+",""),"?"))))</f>
        <v/>
      </c>
      <c r="AF36" s="13">
        <f>IF(OR($A36="",AF$5=""),"",IF(OR(AND(INDEX(TekFra,19)&gt;0,AF$5&lt;INDEX(TekFra,19)),AND(INDEX(TekTil,19)&gt;0,AF$5&gt;INDEX(TekTil,19))),"",IF(COUNTIFS(TF_Nokkel,$A36&amp;"|"&amp;AF$5)=0,IF(AF$9&lt;&gt;"","LMS",""),IFERROR(IF(SUMIFS(TF_Timer,TF_Nokkel,$A36&amp;"|"&amp;AF$5,TF_Akt,"LMS")+IF(AF$9="",0,MAX(0,ROUND((AF$12-SUMIFS(TF_Timer,TF_Nokkel,$A36&amp;"|"&amp;AF$5))*2,0)/2))&gt;INDEX(TF_AktSum,MATCH($A36&amp;"|"&amp;AF$5,TF_Dom,0)),"LMS",INDEX(AktKode,MATCH(INDEX(TF_Akt,MATCH($A36&amp;"|"&amp;AF$5,TF_Dom,0)),Aktiviteter,0)))&amp;IF(OR(COUNTIFS(TF_Nokkel,$A36&amp;"|"&amp;AF$5,TF_Akt,"&lt;&gt;"&amp;INDEX(TF_Akt,MATCH($A36&amp;"|"&amp;AF$5,TF_Dom,0)))&gt;0,AND(IF(AF$9="",0,MAX(0,ROUND((AF$12-SUMIFS(TF_Timer,TF_Nokkel,$A36&amp;"|"&amp;AF$5))*2,0)/2))&gt;0,INDEX(TF_Akt,MATCH($A36&amp;"|"&amp;AF$5,TF_Dom,0))&lt;&gt;"LMS")),"+",""),"?"))))</f>
        <v/>
      </c>
      <c r="AG36" s="13">
        <f>IF(OR($A36="",AG$5=""),"",IF(OR(AND(INDEX(TekFra,19)&gt;0,AG$5&lt;INDEX(TekFra,19)),AND(INDEX(TekTil,19)&gt;0,AG$5&gt;INDEX(TekTil,19))),"",IF(COUNTIFS(TF_Nokkel,$A36&amp;"|"&amp;AG$5)=0,IF(AG$9&lt;&gt;"","LMS",""),IFERROR(IF(SUMIFS(TF_Timer,TF_Nokkel,$A36&amp;"|"&amp;AG$5,TF_Akt,"LMS")+IF(AG$9="",0,MAX(0,ROUND((AG$12-SUMIFS(TF_Timer,TF_Nokkel,$A36&amp;"|"&amp;AG$5))*2,0)/2))&gt;INDEX(TF_AktSum,MATCH($A36&amp;"|"&amp;AG$5,TF_Dom,0)),"LMS",INDEX(AktKode,MATCH(INDEX(TF_Akt,MATCH($A36&amp;"|"&amp;AG$5,TF_Dom,0)),Aktiviteter,0)))&amp;IF(OR(COUNTIFS(TF_Nokkel,$A36&amp;"|"&amp;AG$5,TF_Akt,"&lt;&gt;"&amp;INDEX(TF_Akt,MATCH($A36&amp;"|"&amp;AG$5,TF_Dom,0)))&gt;0,AND(IF(AG$9="",0,MAX(0,ROUND((AG$12-SUMIFS(TF_Timer,TF_Nokkel,$A36&amp;"|"&amp;AG$5))*2,0)/2))&gt;0,INDEX(TF_Akt,MATCH($A36&amp;"|"&amp;AG$5,TF_Dom,0))&lt;&gt;"LMS")),"+",""),"?"))))</f>
        <v/>
      </c>
      <c r="AH36" s="2" t="n"/>
      <c r="AI36" s="2" t="n"/>
      <c r="AJ36" s="2" t="n"/>
    </row>
    <row r="37">
      <c r="A37" s="2">
        <f>INDEX(Teknikere,20)&amp;""</f>
        <v/>
      </c>
      <c r="B37" s="12">
        <f>IF(INDEX(TekFra,20)&gt;0,"ekstra","")</f>
        <v/>
      </c>
      <c r="C37" s="13">
        <f>IF(OR($A37="",C$5=""),"",IF(OR(AND(INDEX(TekFra,20)&gt;0,C$5&lt;INDEX(TekFra,20)),AND(INDEX(TekTil,20)&gt;0,C$5&gt;INDEX(TekTil,20))),"",IF(COUNTIFS(TF_Nokkel,$A37&amp;"|"&amp;C$5)=0,IF(C$9&lt;&gt;"","LMS",""),IFERROR(IF(SUMIFS(TF_Timer,TF_Nokkel,$A37&amp;"|"&amp;C$5,TF_Akt,"LMS")+IF(C$9="",0,MAX(0,ROUND((C$12-SUMIFS(TF_Timer,TF_Nokkel,$A37&amp;"|"&amp;C$5))*2,0)/2))&gt;INDEX(TF_AktSum,MATCH($A37&amp;"|"&amp;C$5,TF_Dom,0)),"LMS",INDEX(AktKode,MATCH(INDEX(TF_Akt,MATCH($A37&amp;"|"&amp;C$5,TF_Dom,0)),Aktiviteter,0)))&amp;IF(OR(COUNTIFS(TF_Nokkel,$A37&amp;"|"&amp;C$5,TF_Akt,"&lt;&gt;"&amp;INDEX(TF_Akt,MATCH($A37&amp;"|"&amp;C$5,TF_Dom,0)))&gt;0,AND(IF(C$9="",0,MAX(0,ROUND((C$12-SUMIFS(TF_Timer,TF_Nokkel,$A37&amp;"|"&amp;C$5))*2,0)/2))&gt;0,INDEX(TF_Akt,MATCH($A37&amp;"|"&amp;C$5,TF_Dom,0))&lt;&gt;"LMS")),"+",""),"?"))))</f>
        <v/>
      </c>
      <c r="D37" s="13">
        <f>IF(OR($A37="",D$5=""),"",IF(OR(AND(INDEX(TekFra,20)&gt;0,D$5&lt;INDEX(TekFra,20)),AND(INDEX(TekTil,20)&gt;0,D$5&gt;INDEX(TekTil,20))),"",IF(COUNTIFS(TF_Nokkel,$A37&amp;"|"&amp;D$5)=0,IF(D$9&lt;&gt;"","LMS",""),IFERROR(IF(SUMIFS(TF_Timer,TF_Nokkel,$A37&amp;"|"&amp;D$5,TF_Akt,"LMS")+IF(D$9="",0,MAX(0,ROUND((D$12-SUMIFS(TF_Timer,TF_Nokkel,$A37&amp;"|"&amp;D$5))*2,0)/2))&gt;INDEX(TF_AktSum,MATCH($A37&amp;"|"&amp;D$5,TF_Dom,0)),"LMS",INDEX(AktKode,MATCH(INDEX(TF_Akt,MATCH($A37&amp;"|"&amp;D$5,TF_Dom,0)),Aktiviteter,0)))&amp;IF(OR(COUNTIFS(TF_Nokkel,$A37&amp;"|"&amp;D$5,TF_Akt,"&lt;&gt;"&amp;INDEX(TF_Akt,MATCH($A37&amp;"|"&amp;D$5,TF_Dom,0)))&gt;0,AND(IF(D$9="",0,MAX(0,ROUND((D$12-SUMIFS(TF_Timer,TF_Nokkel,$A37&amp;"|"&amp;D$5))*2,0)/2))&gt;0,INDEX(TF_Akt,MATCH($A37&amp;"|"&amp;D$5,TF_Dom,0))&lt;&gt;"LMS")),"+",""),"?"))))</f>
        <v/>
      </c>
      <c r="E37" s="13">
        <f>IF(OR($A37="",E$5=""),"",IF(OR(AND(INDEX(TekFra,20)&gt;0,E$5&lt;INDEX(TekFra,20)),AND(INDEX(TekTil,20)&gt;0,E$5&gt;INDEX(TekTil,20))),"",IF(COUNTIFS(TF_Nokkel,$A37&amp;"|"&amp;E$5)=0,IF(E$9&lt;&gt;"","LMS",""),IFERROR(IF(SUMIFS(TF_Timer,TF_Nokkel,$A37&amp;"|"&amp;E$5,TF_Akt,"LMS")+IF(E$9="",0,MAX(0,ROUND((E$12-SUMIFS(TF_Timer,TF_Nokkel,$A37&amp;"|"&amp;E$5))*2,0)/2))&gt;INDEX(TF_AktSum,MATCH($A37&amp;"|"&amp;E$5,TF_Dom,0)),"LMS",INDEX(AktKode,MATCH(INDEX(TF_Akt,MATCH($A37&amp;"|"&amp;E$5,TF_Dom,0)),Aktiviteter,0)))&amp;IF(OR(COUNTIFS(TF_Nokkel,$A37&amp;"|"&amp;E$5,TF_Akt,"&lt;&gt;"&amp;INDEX(TF_Akt,MATCH($A37&amp;"|"&amp;E$5,TF_Dom,0)))&gt;0,AND(IF(E$9="",0,MAX(0,ROUND((E$12-SUMIFS(TF_Timer,TF_Nokkel,$A37&amp;"|"&amp;E$5))*2,0)/2))&gt;0,INDEX(TF_Akt,MATCH($A37&amp;"|"&amp;E$5,TF_Dom,0))&lt;&gt;"LMS")),"+",""),"?"))))</f>
        <v/>
      </c>
      <c r="F37" s="13">
        <f>IF(OR($A37="",F$5=""),"",IF(OR(AND(INDEX(TekFra,20)&gt;0,F$5&lt;INDEX(TekFra,20)),AND(INDEX(TekTil,20)&gt;0,F$5&gt;INDEX(TekTil,20))),"",IF(COUNTIFS(TF_Nokkel,$A37&amp;"|"&amp;F$5)=0,IF(F$9&lt;&gt;"","LMS",""),IFERROR(IF(SUMIFS(TF_Timer,TF_Nokkel,$A37&amp;"|"&amp;F$5,TF_Akt,"LMS")+IF(F$9="",0,MAX(0,ROUND((F$12-SUMIFS(TF_Timer,TF_Nokkel,$A37&amp;"|"&amp;F$5))*2,0)/2))&gt;INDEX(TF_AktSum,MATCH($A37&amp;"|"&amp;F$5,TF_Dom,0)),"LMS",INDEX(AktKode,MATCH(INDEX(TF_Akt,MATCH($A37&amp;"|"&amp;F$5,TF_Dom,0)),Aktiviteter,0)))&amp;IF(OR(COUNTIFS(TF_Nokkel,$A37&amp;"|"&amp;F$5,TF_Akt,"&lt;&gt;"&amp;INDEX(TF_Akt,MATCH($A37&amp;"|"&amp;F$5,TF_Dom,0)))&gt;0,AND(IF(F$9="",0,MAX(0,ROUND((F$12-SUMIFS(TF_Timer,TF_Nokkel,$A37&amp;"|"&amp;F$5))*2,0)/2))&gt;0,INDEX(TF_Akt,MATCH($A37&amp;"|"&amp;F$5,TF_Dom,0))&lt;&gt;"LMS")),"+",""),"?"))))</f>
        <v/>
      </c>
      <c r="G37" s="13">
        <f>IF(OR($A37="",G$5=""),"",IF(OR(AND(INDEX(TekFra,20)&gt;0,G$5&lt;INDEX(TekFra,20)),AND(INDEX(TekTil,20)&gt;0,G$5&gt;INDEX(TekTil,20))),"",IF(COUNTIFS(TF_Nokkel,$A37&amp;"|"&amp;G$5)=0,IF(G$9&lt;&gt;"","LMS",""),IFERROR(IF(SUMIFS(TF_Timer,TF_Nokkel,$A37&amp;"|"&amp;G$5,TF_Akt,"LMS")+IF(G$9="",0,MAX(0,ROUND((G$12-SUMIFS(TF_Timer,TF_Nokkel,$A37&amp;"|"&amp;G$5))*2,0)/2))&gt;INDEX(TF_AktSum,MATCH($A37&amp;"|"&amp;G$5,TF_Dom,0)),"LMS",INDEX(AktKode,MATCH(INDEX(TF_Akt,MATCH($A37&amp;"|"&amp;G$5,TF_Dom,0)),Aktiviteter,0)))&amp;IF(OR(COUNTIFS(TF_Nokkel,$A37&amp;"|"&amp;G$5,TF_Akt,"&lt;&gt;"&amp;INDEX(TF_Akt,MATCH($A37&amp;"|"&amp;G$5,TF_Dom,0)))&gt;0,AND(IF(G$9="",0,MAX(0,ROUND((G$12-SUMIFS(TF_Timer,TF_Nokkel,$A37&amp;"|"&amp;G$5))*2,0)/2))&gt;0,INDEX(TF_Akt,MATCH($A37&amp;"|"&amp;G$5,TF_Dom,0))&lt;&gt;"LMS")),"+",""),"?"))))</f>
        <v/>
      </c>
      <c r="H37" s="13">
        <f>IF(OR($A37="",H$5=""),"",IF(OR(AND(INDEX(TekFra,20)&gt;0,H$5&lt;INDEX(TekFra,20)),AND(INDEX(TekTil,20)&gt;0,H$5&gt;INDEX(TekTil,20))),"",IF(COUNTIFS(TF_Nokkel,$A37&amp;"|"&amp;H$5)=0,IF(H$9&lt;&gt;"","LMS",""),IFERROR(IF(SUMIFS(TF_Timer,TF_Nokkel,$A37&amp;"|"&amp;H$5,TF_Akt,"LMS")+IF(H$9="",0,MAX(0,ROUND((H$12-SUMIFS(TF_Timer,TF_Nokkel,$A37&amp;"|"&amp;H$5))*2,0)/2))&gt;INDEX(TF_AktSum,MATCH($A37&amp;"|"&amp;H$5,TF_Dom,0)),"LMS",INDEX(AktKode,MATCH(INDEX(TF_Akt,MATCH($A37&amp;"|"&amp;H$5,TF_Dom,0)),Aktiviteter,0)))&amp;IF(OR(COUNTIFS(TF_Nokkel,$A37&amp;"|"&amp;H$5,TF_Akt,"&lt;&gt;"&amp;INDEX(TF_Akt,MATCH($A37&amp;"|"&amp;H$5,TF_Dom,0)))&gt;0,AND(IF(H$9="",0,MAX(0,ROUND((H$12-SUMIFS(TF_Timer,TF_Nokkel,$A37&amp;"|"&amp;H$5))*2,0)/2))&gt;0,INDEX(TF_Akt,MATCH($A37&amp;"|"&amp;H$5,TF_Dom,0))&lt;&gt;"LMS")),"+",""),"?"))))</f>
        <v/>
      </c>
      <c r="I37" s="13">
        <f>IF(OR($A37="",I$5=""),"",IF(OR(AND(INDEX(TekFra,20)&gt;0,I$5&lt;INDEX(TekFra,20)),AND(INDEX(TekTil,20)&gt;0,I$5&gt;INDEX(TekTil,20))),"",IF(COUNTIFS(TF_Nokkel,$A37&amp;"|"&amp;I$5)=0,IF(I$9&lt;&gt;"","LMS",""),IFERROR(IF(SUMIFS(TF_Timer,TF_Nokkel,$A37&amp;"|"&amp;I$5,TF_Akt,"LMS")+IF(I$9="",0,MAX(0,ROUND((I$12-SUMIFS(TF_Timer,TF_Nokkel,$A37&amp;"|"&amp;I$5))*2,0)/2))&gt;INDEX(TF_AktSum,MATCH($A37&amp;"|"&amp;I$5,TF_Dom,0)),"LMS",INDEX(AktKode,MATCH(INDEX(TF_Akt,MATCH($A37&amp;"|"&amp;I$5,TF_Dom,0)),Aktiviteter,0)))&amp;IF(OR(COUNTIFS(TF_Nokkel,$A37&amp;"|"&amp;I$5,TF_Akt,"&lt;&gt;"&amp;INDEX(TF_Akt,MATCH($A37&amp;"|"&amp;I$5,TF_Dom,0)))&gt;0,AND(IF(I$9="",0,MAX(0,ROUND((I$12-SUMIFS(TF_Timer,TF_Nokkel,$A37&amp;"|"&amp;I$5))*2,0)/2))&gt;0,INDEX(TF_Akt,MATCH($A37&amp;"|"&amp;I$5,TF_Dom,0))&lt;&gt;"LMS")),"+",""),"?"))))</f>
        <v/>
      </c>
      <c r="J37" s="13">
        <f>IF(OR($A37="",J$5=""),"",IF(OR(AND(INDEX(TekFra,20)&gt;0,J$5&lt;INDEX(TekFra,20)),AND(INDEX(TekTil,20)&gt;0,J$5&gt;INDEX(TekTil,20))),"",IF(COUNTIFS(TF_Nokkel,$A37&amp;"|"&amp;J$5)=0,IF(J$9&lt;&gt;"","LMS",""),IFERROR(IF(SUMIFS(TF_Timer,TF_Nokkel,$A37&amp;"|"&amp;J$5,TF_Akt,"LMS")+IF(J$9="",0,MAX(0,ROUND((J$12-SUMIFS(TF_Timer,TF_Nokkel,$A37&amp;"|"&amp;J$5))*2,0)/2))&gt;INDEX(TF_AktSum,MATCH($A37&amp;"|"&amp;J$5,TF_Dom,0)),"LMS",INDEX(AktKode,MATCH(INDEX(TF_Akt,MATCH($A37&amp;"|"&amp;J$5,TF_Dom,0)),Aktiviteter,0)))&amp;IF(OR(COUNTIFS(TF_Nokkel,$A37&amp;"|"&amp;J$5,TF_Akt,"&lt;&gt;"&amp;INDEX(TF_Akt,MATCH($A37&amp;"|"&amp;J$5,TF_Dom,0)))&gt;0,AND(IF(J$9="",0,MAX(0,ROUND((J$12-SUMIFS(TF_Timer,TF_Nokkel,$A37&amp;"|"&amp;J$5))*2,0)/2))&gt;0,INDEX(TF_Akt,MATCH($A37&amp;"|"&amp;J$5,TF_Dom,0))&lt;&gt;"LMS")),"+",""),"?"))))</f>
        <v/>
      </c>
      <c r="K37" s="13">
        <f>IF(OR($A37="",K$5=""),"",IF(OR(AND(INDEX(TekFra,20)&gt;0,K$5&lt;INDEX(TekFra,20)),AND(INDEX(TekTil,20)&gt;0,K$5&gt;INDEX(TekTil,20))),"",IF(COUNTIFS(TF_Nokkel,$A37&amp;"|"&amp;K$5)=0,IF(K$9&lt;&gt;"","LMS",""),IFERROR(IF(SUMIFS(TF_Timer,TF_Nokkel,$A37&amp;"|"&amp;K$5,TF_Akt,"LMS")+IF(K$9="",0,MAX(0,ROUND((K$12-SUMIFS(TF_Timer,TF_Nokkel,$A37&amp;"|"&amp;K$5))*2,0)/2))&gt;INDEX(TF_AktSum,MATCH($A37&amp;"|"&amp;K$5,TF_Dom,0)),"LMS",INDEX(AktKode,MATCH(INDEX(TF_Akt,MATCH($A37&amp;"|"&amp;K$5,TF_Dom,0)),Aktiviteter,0)))&amp;IF(OR(COUNTIFS(TF_Nokkel,$A37&amp;"|"&amp;K$5,TF_Akt,"&lt;&gt;"&amp;INDEX(TF_Akt,MATCH($A37&amp;"|"&amp;K$5,TF_Dom,0)))&gt;0,AND(IF(K$9="",0,MAX(0,ROUND((K$12-SUMIFS(TF_Timer,TF_Nokkel,$A37&amp;"|"&amp;K$5))*2,0)/2))&gt;0,INDEX(TF_Akt,MATCH($A37&amp;"|"&amp;K$5,TF_Dom,0))&lt;&gt;"LMS")),"+",""),"?"))))</f>
        <v/>
      </c>
      <c r="L37" s="13">
        <f>IF(OR($A37="",L$5=""),"",IF(OR(AND(INDEX(TekFra,20)&gt;0,L$5&lt;INDEX(TekFra,20)),AND(INDEX(TekTil,20)&gt;0,L$5&gt;INDEX(TekTil,20))),"",IF(COUNTIFS(TF_Nokkel,$A37&amp;"|"&amp;L$5)=0,IF(L$9&lt;&gt;"","LMS",""),IFERROR(IF(SUMIFS(TF_Timer,TF_Nokkel,$A37&amp;"|"&amp;L$5,TF_Akt,"LMS")+IF(L$9="",0,MAX(0,ROUND((L$12-SUMIFS(TF_Timer,TF_Nokkel,$A37&amp;"|"&amp;L$5))*2,0)/2))&gt;INDEX(TF_AktSum,MATCH($A37&amp;"|"&amp;L$5,TF_Dom,0)),"LMS",INDEX(AktKode,MATCH(INDEX(TF_Akt,MATCH($A37&amp;"|"&amp;L$5,TF_Dom,0)),Aktiviteter,0)))&amp;IF(OR(COUNTIFS(TF_Nokkel,$A37&amp;"|"&amp;L$5,TF_Akt,"&lt;&gt;"&amp;INDEX(TF_Akt,MATCH($A37&amp;"|"&amp;L$5,TF_Dom,0)))&gt;0,AND(IF(L$9="",0,MAX(0,ROUND((L$12-SUMIFS(TF_Timer,TF_Nokkel,$A37&amp;"|"&amp;L$5))*2,0)/2))&gt;0,INDEX(TF_Akt,MATCH($A37&amp;"|"&amp;L$5,TF_Dom,0))&lt;&gt;"LMS")),"+",""),"?"))))</f>
        <v/>
      </c>
      <c r="M37" s="13">
        <f>IF(OR($A37="",M$5=""),"",IF(OR(AND(INDEX(TekFra,20)&gt;0,M$5&lt;INDEX(TekFra,20)),AND(INDEX(TekTil,20)&gt;0,M$5&gt;INDEX(TekTil,20))),"",IF(COUNTIFS(TF_Nokkel,$A37&amp;"|"&amp;M$5)=0,IF(M$9&lt;&gt;"","LMS",""),IFERROR(IF(SUMIFS(TF_Timer,TF_Nokkel,$A37&amp;"|"&amp;M$5,TF_Akt,"LMS")+IF(M$9="",0,MAX(0,ROUND((M$12-SUMIFS(TF_Timer,TF_Nokkel,$A37&amp;"|"&amp;M$5))*2,0)/2))&gt;INDEX(TF_AktSum,MATCH($A37&amp;"|"&amp;M$5,TF_Dom,0)),"LMS",INDEX(AktKode,MATCH(INDEX(TF_Akt,MATCH($A37&amp;"|"&amp;M$5,TF_Dom,0)),Aktiviteter,0)))&amp;IF(OR(COUNTIFS(TF_Nokkel,$A37&amp;"|"&amp;M$5,TF_Akt,"&lt;&gt;"&amp;INDEX(TF_Akt,MATCH($A37&amp;"|"&amp;M$5,TF_Dom,0)))&gt;0,AND(IF(M$9="",0,MAX(0,ROUND((M$12-SUMIFS(TF_Timer,TF_Nokkel,$A37&amp;"|"&amp;M$5))*2,0)/2))&gt;0,INDEX(TF_Akt,MATCH($A37&amp;"|"&amp;M$5,TF_Dom,0))&lt;&gt;"LMS")),"+",""),"?"))))</f>
        <v/>
      </c>
      <c r="N37" s="13">
        <f>IF(OR($A37="",N$5=""),"",IF(OR(AND(INDEX(TekFra,20)&gt;0,N$5&lt;INDEX(TekFra,20)),AND(INDEX(TekTil,20)&gt;0,N$5&gt;INDEX(TekTil,20))),"",IF(COUNTIFS(TF_Nokkel,$A37&amp;"|"&amp;N$5)=0,IF(N$9&lt;&gt;"","LMS",""),IFERROR(IF(SUMIFS(TF_Timer,TF_Nokkel,$A37&amp;"|"&amp;N$5,TF_Akt,"LMS")+IF(N$9="",0,MAX(0,ROUND((N$12-SUMIFS(TF_Timer,TF_Nokkel,$A37&amp;"|"&amp;N$5))*2,0)/2))&gt;INDEX(TF_AktSum,MATCH($A37&amp;"|"&amp;N$5,TF_Dom,0)),"LMS",INDEX(AktKode,MATCH(INDEX(TF_Akt,MATCH($A37&amp;"|"&amp;N$5,TF_Dom,0)),Aktiviteter,0)))&amp;IF(OR(COUNTIFS(TF_Nokkel,$A37&amp;"|"&amp;N$5,TF_Akt,"&lt;&gt;"&amp;INDEX(TF_Akt,MATCH($A37&amp;"|"&amp;N$5,TF_Dom,0)))&gt;0,AND(IF(N$9="",0,MAX(0,ROUND((N$12-SUMIFS(TF_Timer,TF_Nokkel,$A37&amp;"|"&amp;N$5))*2,0)/2))&gt;0,INDEX(TF_Akt,MATCH($A37&amp;"|"&amp;N$5,TF_Dom,0))&lt;&gt;"LMS")),"+",""),"?"))))</f>
        <v/>
      </c>
      <c r="O37" s="13">
        <f>IF(OR($A37="",O$5=""),"",IF(OR(AND(INDEX(TekFra,20)&gt;0,O$5&lt;INDEX(TekFra,20)),AND(INDEX(TekTil,20)&gt;0,O$5&gt;INDEX(TekTil,20))),"",IF(COUNTIFS(TF_Nokkel,$A37&amp;"|"&amp;O$5)=0,IF(O$9&lt;&gt;"","LMS",""),IFERROR(IF(SUMIFS(TF_Timer,TF_Nokkel,$A37&amp;"|"&amp;O$5,TF_Akt,"LMS")+IF(O$9="",0,MAX(0,ROUND((O$12-SUMIFS(TF_Timer,TF_Nokkel,$A37&amp;"|"&amp;O$5))*2,0)/2))&gt;INDEX(TF_AktSum,MATCH($A37&amp;"|"&amp;O$5,TF_Dom,0)),"LMS",INDEX(AktKode,MATCH(INDEX(TF_Akt,MATCH($A37&amp;"|"&amp;O$5,TF_Dom,0)),Aktiviteter,0)))&amp;IF(OR(COUNTIFS(TF_Nokkel,$A37&amp;"|"&amp;O$5,TF_Akt,"&lt;&gt;"&amp;INDEX(TF_Akt,MATCH($A37&amp;"|"&amp;O$5,TF_Dom,0)))&gt;0,AND(IF(O$9="",0,MAX(0,ROUND((O$12-SUMIFS(TF_Timer,TF_Nokkel,$A37&amp;"|"&amp;O$5))*2,0)/2))&gt;0,INDEX(TF_Akt,MATCH($A37&amp;"|"&amp;O$5,TF_Dom,0))&lt;&gt;"LMS")),"+",""),"?"))))</f>
        <v/>
      </c>
      <c r="P37" s="13">
        <f>IF(OR($A37="",P$5=""),"",IF(OR(AND(INDEX(TekFra,20)&gt;0,P$5&lt;INDEX(TekFra,20)),AND(INDEX(TekTil,20)&gt;0,P$5&gt;INDEX(TekTil,20))),"",IF(COUNTIFS(TF_Nokkel,$A37&amp;"|"&amp;P$5)=0,IF(P$9&lt;&gt;"","LMS",""),IFERROR(IF(SUMIFS(TF_Timer,TF_Nokkel,$A37&amp;"|"&amp;P$5,TF_Akt,"LMS")+IF(P$9="",0,MAX(0,ROUND((P$12-SUMIFS(TF_Timer,TF_Nokkel,$A37&amp;"|"&amp;P$5))*2,0)/2))&gt;INDEX(TF_AktSum,MATCH($A37&amp;"|"&amp;P$5,TF_Dom,0)),"LMS",INDEX(AktKode,MATCH(INDEX(TF_Akt,MATCH($A37&amp;"|"&amp;P$5,TF_Dom,0)),Aktiviteter,0)))&amp;IF(OR(COUNTIFS(TF_Nokkel,$A37&amp;"|"&amp;P$5,TF_Akt,"&lt;&gt;"&amp;INDEX(TF_Akt,MATCH($A37&amp;"|"&amp;P$5,TF_Dom,0)))&gt;0,AND(IF(P$9="",0,MAX(0,ROUND((P$12-SUMIFS(TF_Timer,TF_Nokkel,$A37&amp;"|"&amp;P$5))*2,0)/2))&gt;0,INDEX(TF_Akt,MATCH($A37&amp;"|"&amp;P$5,TF_Dom,0))&lt;&gt;"LMS")),"+",""),"?"))))</f>
        <v/>
      </c>
      <c r="Q37" s="13">
        <f>IF(OR($A37="",Q$5=""),"",IF(OR(AND(INDEX(TekFra,20)&gt;0,Q$5&lt;INDEX(TekFra,20)),AND(INDEX(TekTil,20)&gt;0,Q$5&gt;INDEX(TekTil,20))),"",IF(COUNTIFS(TF_Nokkel,$A37&amp;"|"&amp;Q$5)=0,IF(Q$9&lt;&gt;"","LMS",""),IFERROR(IF(SUMIFS(TF_Timer,TF_Nokkel,$A37&amp;"|"&amp;Q$5,TF_Akt,"LMS")+IF(Q$9="",0,MAX(0,ROUND((Q$12-SUMIFS(TF_Timer,TF_Nokkel,$A37&amp;"|"&amp;Q$5))*2,0)/2))&gt;INDEX(TF_AktSum,MATCH($A37&amp;"|"&amp;Q$5,TF_Dom,0)),"LMS",INDEX(AktKode,MATCH(INDEX(TF_Akt,MATCH($A37&amp;"|"&amp;Q$5,TF_Dom,0)),Aktiviteter,0)))&amp;IF(OR(COUNTIFS(TF_Nokkel,$A37&amp;"|"&amp;Q$5,TF_Akt,"&lt;&gt;"&amp;INDEX(TF_Akt,MATCH($A37&amp;"|"&amp;Q$5,TF_Dom,0)))&gt;0,AND(IF(Q$9="",0,MAX(0,ROUND((Q$12-SUMIFS(TF_Timer,TF_Nokkel,$A37&amp;"|"&amp;Q$5))*2,0)/2))&gt;0,INDEX(TF_Akt,MATCH($A37&amp;"|"&amp;Q$5,TF_Dom,0))&lt;&gt;"LMS")),"+",""),"?"))))</f>
        <v/>
      </c>
      <c r="R37" s="13">
        <f>IF(OR($A37="",R$5=""),"",IF(OR(AND(INDEX(TekFra,20)&gt;0,R$5&lt;INDEX(TekFra,20)),AND(INDEX(TekTil,20)&gt;0,R$5&gt;INDEX(TekTil,20))),"",IF(COUNTIFS(TF_Nokkel,$A37&amp;"|"&amp;R$5)=0,IF(R$9&lt;&gt;"","LMS",""),IFERROR(IF(SUMIFS(TF_Timer,TF_Nokkel,$A37&amp;"|"&amp;R$5,TF_Akt,"LMS")+IF(R$9="",0,MAX(0,ROUND((R$12-SUMIFS(TF_Timer,TF_Nokkel,$A37&amp;"|"&amp;R$5))*2,0)/2))&gt;INDEX(TF_AktSum,MATCH($A37&amp;"|"&amp;R$5,TF_Dom,0)),"LMS",INDEX(AktKode,MATCH(INDEX(TF_Akt,MATCH($A37&amp;"|"&amp;R$5,TF_Dom,0)),Aktiviteter,0)))&amp;IF(OR(COUNTIFS(TF_Nokkel,$A37&amp;"|"&amp;R$5,TF_Akt,"&lt;&gt;"&amp;INDEX(TF_Akt,MATCH($A37&amp;"|"&amp;R$5,TF_Dom,0)))&gt;0,AND(IF(R$9="",0,MAX(0,ROUND((R$12-SUMIFS(TF_Timer,TF_Nokkel,$A37&amp;"|"&amp;R$5))*2,0)/2))&gt;0,INDEX(TF_Akt,MATCH($A37&amp;"|"&amp;R$5,TF_Dom,0))&lt;&gt;"LMS")),"+",""),"?"))))</f>
        <v/>
      </c>
      <c r="S37" s="13">
        <f>IF(OR($A37="",S$5=""),"",IF(OR(AND(INDEX(TekFra,20)&gt;0,S$5&lt;INDEX(TekFra,20)),AND(INDEX(TekTil,20)&gt;0,S$5&gt;INDEX(TekTil,20))),"",IF(COUNTIFS(TF_Nokkel,$A37&amp;"|"&amp;S$5)=0,IF(S$9&lt;&gt;"","LMS",""),IFERROR(IF(SUMIFS(TF_Timer,TF_Nokkel,$A37&amp;"|"&amp;S$5,TF_Akt,"LMS")+IF(S$9="",0,MAX(0,ROUND((S$12-SUMIFS(TF_Timer,TF_Nokkel,$A37&amp;"|"&amp;S$5))*2,0)/2))&gt;INDEX(TF_AktSum,MATCH($A37&amp;"|"&amp;S$5,TF_Dom,0)),"LMS",INDEX(AktKode,MATCH(INDEX(TF_Akt,MATCH($A37&amp;"|"&amp;S$5,TF_Dom,0)),Aktiviteter,0)))&amp;IF(OR(COUNTIFS(TF_Nokkel,$A37&amp;"|"&amp;S$5,TF_Akt,"&lt;&gt;"&amp;INDEX(TF_Akt,MATCH($A37&amp;"|"&amp;S$5,TF_Dom,0)))&gt;0,AND(IF(S$9="",0,MAX(0,ROUND((S$12-SUMIFS(TF_Timer,TF_Nokkel,$A37&amp;"|"&amp;S$5))*2,0)/2))&gt;0,INDEX(TF_Akt,MATCH($A37&amp;"|"&amp;S$5,TF_Dom,0))&lt;&gt;"LMS")),"+",""),"?"))))</f>
        <v/>
      </c>
      <c r="T37" s="13">
        <f>IF(OR($A37="",T$5=""),"",IF(OR(AND(INDEX(TekFra,20)&gt;0,T$5&lt;INDEX(TekFra,20)),AND(INDEX(TekTil,20)&gt;0,T$5&gt;INDEX(TekTil,20))),"",IF(COUNTIFS(TF_Nokkel,$A37&amp;"|"&amp;T$5)=0,IF(T$9&lt;&gt;"","LMS",""),IFERROR(IF(SUMIFS(TF_Timer,TF_Nokkel,$A37&amp;"|"&amp;T$5,TF_Akt,"LMS")+IF(T$9="",0,MAX(0,ROUND((T$12-SUMIFS(TF_Timer,TF_Nokkel,$A37&amp;"|"&amp;T$5))*2,0)/2))&gt;INDEX(TF_AktSum,MATCH($A37&amp;"|"&amp;T$5,TF_Dom,0)),"LMS",INDEX(AktKode,MATCH(INDEX(TF_Akt,MATCH($A37&amp;"|"&amp;T$5,TF_Dom,0)),Aktiviteter,0)))&amp;IF(OR(COUNTIFS(TF_Nokkel,$A37&amp;"|"&amp;T$5,TF_Akt,"&lt;&gt;"&amp;INDEX(TF_Akt,MATCH($A37&amp;"|"&amp;T$5,TF_Dom,0)))&gt;0,AND(IF(T$9="",0,MAX(0,ROUND((T$12-SUMIFS(TF_Timer,TF_Nokkel,$A37&amp;"|"&amp;T$5))*2,0)/2))&gt;0,INDEX(TF_Akt,MATCH($A37&amp;"|"&amp;T$5,TF_Dom,0))&lt;&gt;"LMS")),"+",""),"?"))))</f>
        <v/>
      </c>
      <c r="U37" s="13">
        <f>IF(OR($A37="",U$5=""),"",IF(OR(AND(INDEX(TekFra,20)&gt;0,U$5&lt;INDEX(TekFra,20)),AND(INDEX(TekTil,20)&gt;0,U$5&gt;INDEX(TekTil,20))),"",IF(COUNTIFS(TF_Nokkel,$A37&amp;"|"&amp;U$5)=0,IF(U$9&lt;&gt;"","LMS",""),IFERROR(IF(SUMIFS(TF_Timer,TF_Nokkel,$A37&amp;"|"&amp;U$5,TF_Akt,"LMS")+IF(U$9="",0,MAX(0,ROUND((U$12-SUMIFS(TF_Timer,TF_Nokkel,$A37&amp;"|"&amp;U$5))*2,0)/2))&gt;INDEX(TF_AktSum,MATCH($A37&amp;"|"&amp;U$5,TF_Dom,0)),"LMS",INDEX(AktKode,MATCH(INDEX(TF_Akt,MATCH($A37&amp;"|"&amp;U$5,TF_Dom,0)),Aktiviteter,0)))&amp;IF(OR(COUNTIFS(TF_Nokkel,$A37&amp;"|"&amp;U$5,TF_Akt,"&lt;&gt;"&amp;INDEX(TF_Akt,MATCH($A37&amp;"|"&amp;U$5,TF_Dom,0)))&gt;0,AND(IF(U$9="",0,MAX(0,ROUND((U$12-SUMIFS(TF_Timer,TF_Nokkel,$A37&amp;"|"&amp;U$5))*2,0)/2))&gt;0,INDEX(TF_Akt,MATCH($A37&amp;"|"&amp;U$5,TF_Dom,0))&lt;&gt;"LMS")),"+",""),"?"))))</f>
        <v/>
      </c>
      <c r="V37" s="13">
        <f>IF(OR($A37="",V$5=""),"",IF(OR(AND(INDEX(TekFra,20)&gt;0,V$5&lt;INDEX(TekFra,20)),AND(INDEX(TekTil,20)&gt;0,V$5&gt;INDEX(TekTil,20))),"",IF(COUNTIFS(TF_Nokkel,$A37&amp;"|"&amp;V$5)=0,IF(V$9&lt;&gt;"","LMS",""),IFERROR(IF(SUMIFS(TF_Timer,TF_Nokkel,$A37&amp;"|"&amp;V$5,TF_Akt,"LMS")+IF(V$9="",0,MAX(0,ROUND((V$12-SUMIFS(TF_Timer,TF_Nokkel,$A37&amp;"|"&amp;V$5))*2,0)/2))&gt;INDEX(TF_AktSum,MATCH($A37&amp;"|"&amp;V$5,TF_Dom,0)),"LMS",INDEX(AktKode,MATCH(INDEX(TF_Akt,MATCH($A37&amp;"|"&amp;V$5,TF_Dom,0)),Aktiviteter,0)))&amp;IF(OR(COUNTIFS(TF_Nokkel,$A37&amp;"|"&amp;V$5,TF_Akt,"&lt;&gt;"&amp;INDEX(TF_Akt,MATCH($A37&amp;"|"&amp;V$5,TF_Dom,0)))&gt;0,AND(IF(V$9="",0,MAX(0,ROUND((V$12-SUMIFS(TF_Timer,TF_Nokkel,$A37&amp;"|"&amp;V$5))*2,0)/2))&gt;0,INDEX(TF_Akt,MATCH($A37&amp;"|"&amp;V$5,TF_Dom,0))&lt;&gt;"LMS")),"+",""),"?"))))</f>
        <v/>
      </c>
      <c r="W37" s="13">
        <f>IF(OR($A37="",W$5=""),"",IF(OR(AND(INDEX(TekFra,20)&gt;0,W$5&lt;INDEX(TekFra,20)),AND(INDEX(TekTil,20)&gt;0,W$5&gt;INDEX(TekTil,20))),"",IF(COUNTIFS(TF_Nokkel,$A37&amp;"|"&amp;W$5)=0,IF(W$9&lt;&gt;"","LMS",""),IFERROR(IF(SUMIFS(TF_Timer,TF_Nokkel,$A37&amp;"|"&amp;W$5,TF_Akt,"LMS")+IF(W$9="",0,MAX(0,ROUND((W$12-SUMIFS(TF_Timer,TF_Nokkel,$A37&amp;"|"&amp;W$5))*2,0)/2))&gt;INDEX(TF_AktSum,MATCH($A37&amp;"|"&amp;W$5,TF_Dom,0)),"LMS",INDEX(AktKode,MATCH(INDEX(TF_Akt,MATCH($A37&amp;"|"&amp;W$5,TF_Dom,0)),Aktiviteter,0)))&amp;IF(OR(COUNTIFS(TF_Nokkel,$A37&amp;"|"&amp;W$5,TF_Akt,"&lt;&gt;"&amp;INDEX(TF_Akt,MATCH($A37&amp;"|"&amp;W$5,TF_Dom,0)))&gt;0,AND(IF(W$9="",0,MAX(0,ROUND((W$12-SUMIFS(TF_Timer,TF_Nokkel,$A37&amp;"|"&amp;W$5))*2,0)/2))&gt;0,INDEX(TF_Akt,MATCH($A37&amp;"|"&amp;W$5,TF_Dom,0))&lt;&gt;"LMS")),"+",""),"?"))))</f>
        <v/>
      </c>
      <c r="X37" s="13">
        <f>IF(OR($A37="",X$5=""),"",IF(OR(AND(INDEX(TekFra,20)&gt;0,X$5&lt;INDEX(TekFra,20)),AND(INDEX(TekTil,20)&gt;0,X$5&gt;INDEX(TekTil,20))),"",IF(COUNTIFS(TF_Nokkel,$A37&amp;"|"&amp;X$5)=0,IF(X$9&lt;&gt;"","LMS",""),IFERROR(IF(SUMIFS(TF_Timer,TF_Nokkel,$A37&amp;"|"&amp;X$5,TF_Akt,"LMS")+IF(X$9="",0,MAX(0,ROUND((X$12-SUMIFS(TF_Timer,TF_Nokkel,$A37&amp;"|"&amp;X$5))*2,0)/2))&gt;INDEX(TF_AktSum,MATCH($A37&amp;"|"&amp;X$5,TF_Dom,0)),"LMS",INDEX(AktKode,MATCH(INDEX(TF_Akt,MATCH($A37&amp;"|"&amp;X$5,TF_Dom,0)),Aktiviteter,0)))&amp;IF(OR(COUNTIFS(TF_Nokkel,$A37&amp;"|"&amp;X$5,TF_Akt,"&lt;&gt;"&amp;INDEX(TF_Akt,MATCH($A37&amp;"|"&amp;X$5,TF_Dom,0)))&gt;0,AND(IF(X$9="",0,MAX(0,ROUND((X$12-SUMIFS(TF_Timer,TF_Nokkel,$A37&amp;"|"&amp;X$5))*2,0)/2))&gt;0,INDEX(TF_Akt,MATCH($A37&amp;"|"&amp;X$5,TF_Dom,0))&lt;&gt;"LMS")),"+",""),"?"))))</f>
        <v/>
      </c>
      <c r="Y37" s="13">
        <f>IF(OR($A37="",Y$5=""),"",IF(OR(AND(INDEX(TekFra,20)&gt;0,Y$5&lt;INDEX(TekFra,20)),AND(INDEX(TekTil,20)&gt;0,Y$5&gt;INDEX(TekTil,20))),"",IF(COUNTIFS(TF_Nokkel,$A37&amp;"|"&amp;Y$5)=0,IF(Y$9&lt;&gt;"","LMS",""),IFERROR(IF(SUMIFS(TF_Timer,TF_Nokkel,$A37&amp;"|"&amp;Y$5,TF_Akt,"LMS")+IF(Y$9="",0,MAX(0,ROUND((Y$12-SUMIFS(TF_Timer,TF_Nokkel,$A37&amp;"|"&amp;Y$5))*2,0)/2))&gt;INDEX(TF_AktSum,MATCH($A37&amp;"|"&amp;Y$5,TF_Dom,0)),"LMS",INDEX(AktKode,MATCH(INDEX(TF_Akt,MATCH($A37&amp;"|"&amp;Y$5,TF_Dom,0)),Aktiviteter,0)))&amp;IF(OR(COUNTIFS(TF_Nokkel,$A37&amp;"|"&amp;Y$5,TF_Akt,"&lt;&gt;"&amp;INDEX(TF_Akt,MATCH($A37&amp;"|"&amp;Y$5,TF_Dom,0)))&gt;0,AND(IF(Y$9="",0,MAX(0,ROUND((Y$12-SUMIFS(TF_Timer,TF_Nokkel,$A37&amp;"|"&amp;Y$5))*2,0)/2))&gt;0,INDEX(TF_Akt,MATCH($A37&amp;"|"&amp;Y$5,TF_Dom,0))&lt;&gt;"LMS")),"+",""),"?"))))</f>
        <v/>
      </c>
      <c r="Z37" s="13">
        <f>IF(OR($A37="",Z$5=""),"",IF(OR(AND(INDEX(TekFra,20)&gt;0,Z$5&lt;INDEX(TekFra,20)),AND(INDEX(TekTil,20)&gt;0,Z$5&gt;INDEX(TekTil,20))),"",IF(COUNTIFS(TF_Nokkel,$A37&amp;"|"&amp;Z$5)=0,IF(Z$9&lt;&gt;"","LMS",""),IFERROR(IF(SUMIFS(TF_Timer,TF_Nokkel,$A37&amp;"|"&amp;Z$5,TF_Akt,"LMS")+IF(Z$9="",0,MAX(0,ROUND((Z$12-SUMIFS(TF_Timer,TF_Nokkel,$A37&amp;"|"&amp;Z$5))*2,0)/2))&gt;INDEX(TF_AktSum,MATCH($A37&amp;"|"&amp;Z$5,TF_Dom,0)),"LMS",INDEX(AktKode,MATCH(INDEX(TF_Akt,MATCH($A37&amp;"|"&amp;Z$5,TF_Dom,0)),Aktiviteter,0)))&amp;IF(OR(COUNTIFS(TF_Nokkel,$A37&amp;"|"&amp;Z$5,TF_Akt,"&lt;&gt;"&amp;INDEX(TF_Akt,MATCH($A37&amp;"|"&amp;Z$5,TF_Dom,0)))&gt;0,AND(IF(Z$9="",0,MAX(0,ROUND((Z$12-SUMIFS(TF_Timer,TF_Nokkel,$A37&amp;"|"&amp;Z$5))*2,0)/2))&gt;0,INDEX(TF_Akt,MATCH($A37&amp;"|"&amp;Z$5,TF_Dom,0))&lt;&gt;"LMS")),"+",""),"?"))))</f>
        <v/>
      </c>
      <c r="AA37" s="13">
        <f>IF(OR($A37="",AA$5=""),"",IF(OR(AND(INDEX(TekFra,20)&gt;0,AA$5&lt;INDEX(TekFra,20)),AND(INDEX(TekTil,20)&gt;0,AA$5&gt;INDEX(TekTil,20))),"",IF(COUNTIFS(TF_Nokkel,$A37&amp;"|"&amp;AA$5)=0,IF(AA$9&lt;&gt;"","LMS",""),IFERROR(IF(SUMIFS(TF_Timer,TF_Nokkel,$A37&amp;"|"&amp;AA$5,TF_Akt,"LMS")+IF(AA$9="",0,MAX(0,ROUND((AA$12-SUMIFS(TF_Timer,TF_Nokkel,$A37&amp;"|"&amp;AA$5))*2,0)/2))&gt;INDEX(TF_AktSum,MATCH($A37&amp;"|"&amp;AA$5,TF_Dom,0)),"LMS",INDEX(AktKode,MATCH(INDEX(TF_Akt,MATCH($A37&amp;"|"&amp;AA$5,TF_Dom,0)),Aktiviteter,0)))&amp;IF(OR(COUNTIFS(TF_Nokkel,$A37&amp;"|"&amp;AA$5,TF_Akt,"&lt;&gt;"&amp;INDEX(TF_Akt,MATCH($A37&amp;"|"&amp;AA$5,TF_Dom,0)))&gt;0,AND(IF(AA$9="",0,MAX(0,ROUND((AA$12-SUMIFS(TF_Timer,TF_Nokkel,$A37&amp;"|"&amp;AA$5))*2,0)/2))&gt;0,INDEX(TF_Akt,MATCH($A37&amp;"|"&amp;AA$5,TF_Dom,0))&lt;&gt;"LMS")),"+",""),"?"))))</f>
        <v/>
      </c>
      <c r="AB37" s="13">
        <f>IF(OR($A37="",AB$5=""),"",IF(OR(AND(INDEX(TekFra,20)&gt;0,AB$5&lt;INDEX(TekFra,20)),AND(INDEX(TekTil,20)&gt;0,AB$5&gt;INDEX(TekTil,20))),"",IF(COUNTIFS(TF_Nokkel,$A37&amp;"|"&amp;AB$5)=0,IF(AB$9&lt;&gt;"","LMS",""),IFERROR(IF(SUMIFS(TF_Timer,TF_Nokkel,$A37&amp;"|"&amp;AB$5,TF_Akt,"LMS")+IF(AB$9="",0,MAX(0,ROUND((AB$12-SUMIFS(TF_Timer,TF_Nokkel,$A37&amp;"|"&amp;AB$5))*2,0)/2))&gt;INDEX(TF_AktSum,MATCH($A37&amp;"|"&amp;AB$5,TF_Dom,0)),"LMS",INDEX(AktKode,MATCH(INDEX(TF_Akt,MATCH($A37&amp;"|"&amp;AB$5,TF_Dom,0)),Aktiviteter,0)))&amp;IF(OR(COUNTIFS(TF_Nokkel,$A37&amp;"|"&amp;AB$5,TF_Akt,"&lt;&gt;"&amp;INDEX(TF_Akt,MATCH($A37&amp;"|"&amp;AB$5,TF_Dom,0)))&gt;0,AND(IF(AB$9="",0,MAX(0,ROUND((AB$12-SUMIFS(TF_Timer,TF_Nokkel,$A37&amp;"|"&amp;AB$5))*2,0)/2))&gt;0,INDEX(TF_Akt,MATCH($A37&amp;"|"&amp;AB$5,TF_Dom,0))&lt;&gt;"LMS")),"+",""),"?"))))</f>
        <v/>
      </c>
      <c r="AC37" s="13">
        <f>IF(OR($A37="",AC$5=""),"",IF(OR(AND(INDEX(TekFra,20)&gt;0,AC$5&lt;INDEX(TekFra,20)),AND(INDEX(TekTil,20)&gt;0,AC$5&gt;INDEX(TekTil,20))),"",IF(COUNTIFS(TF_Nokkel,$A37&amp;"|"&amp;AC$5)=0,IF(AC$9&lt;&gt;"","LMS",""),IFERROR(IF(SUMIFS(TF_Timer,TF_Nokkel,$A37&amp;"|"&amp;AC$5,TF_Akt,"LMS")+IF(AC$9="",0,MAX(0,ROUND((AC$12-SUMIFS(TF_Timer,TF_Nokkel,$A37&amp;"|"&amp;AC$5))*2,0)/2))&gt;INDEX(TF_AktSum,MATCH($A37&amp;"|"&amp;AC$5,TF_Dom,0)),"LMS",INDEX(AktKode,MATCH(INDEX(TF_Akt,MATCH($A37&amp;"|"&amp;AC$5,TF_Dom,0)),Aktiviteter,0)))&amp;IF(OR(COUNTIFS(TF_Nokkel,$A37&amp;"|"&amp;AC$5,TF_Akt,"&lt;&gt;"&amp;INDEX(TF_Akt,MATCH($A37&amp;"|"&amp;AC$5,TF_Dom,0)))&gt;0,AND(IF(AC$9="",0,MAX(0,ROUND((AC$12-SUMIFS(TF_Timer,TF_Nokkel,$A37&amp;"|"&amp;AC$5))*2,0)/2))&gt;0,INDEX(TF_Akt,MATCH($A37&amp;"|"&amp;AC$5,TF_Dom,0))&lt;&gt;"LMS")),"+",""),"?"))))</f>
        <v/>
      </c>
      <c r="AD37" s="13">
        <f>IF(OR($A37="",AD$5=""),"",IF(OR(AND(INDEX(TekFra,20)&gt;0,AD$5&lt;INDEX(TekFra,20)),AND(INDEX(TekTil,20)&gt;0,AD$5&gt;INDEX(TekTil,20))),"",IF(COUNTIFS(TF_Nokkel,$A37&amp;"|"&amp;AD$5)=0,IF(AD$9&lt;&gt;"","LMS",""),IFERROR(IF(SUMIFS(TF_Timer,TF_Nokkel,$A37&amp;"|"&amp;AD$5,TF_Akt,"LMS")+IF(AD$9="",0,MAX(0,ROUND((AD$12-SUMIFS(TF_Timer,TF_Nokkel,$A37&amp;"|"&amp;AD$5))*2,0)/2))&gt;INDEX(TF_AktSum,MATCH($A37&amp;"|"&amp;AD$5,TF_Dom,0)),"LMS",INDEX(AktKode,MATCH(INDEX(TF_Akt,MATCH($A37&amp;"|"&amp;AD$5,TF_Dom,0)),Aktiviteter,0)))&amp;IF(OR(COUNTIFS(TF_Nokkel,$A37&amp;"|"&amp;AD$5,TF_Akt,"&lt;&gt;"&amp;INDEX(TF_Akt,MATCH($A37&amp;"|"&amp;AD$5,TF_Dom,0)))&gt;0,AND(IF(AD$9="",0,MAX(0,ROUND((AD$12-SUMIFS(TF_Timer,TF_Nokkel,$A37&amp;"|"&amp;AD$5))*2,0)/2))&gt;0,INDEX(TF_Akt,MATCH($A37&amp;"|"&amp;AD$5,TF_Dom,0))&lt;&gt;"LMS")),"+",""),"?"))))</f>
        <v/>
      </c>
      <c r="AE37" s="13">
        <f>IF(OR($A37="",AE$5=""),"",IF(OR(AND(INDEX(TekFra,20)&gt;0,AE$5&lt;INDEX(TekFra,20)),AND(INDEX(TekTil,20)&gt;0,AE$5&gt;INDEX(TekTil,20))),"",IF(COUNTIFS(TF_Nokkel,$A37&amp;"|"&amp;AE$5)=0,IF(AE$9&lt;&gt;"","LMS",""),IFERROR(IF(SUMIFS(TF_Timer,TF_Nokkel,$A37&amp;"|"&amp;AE$5,TF_Akt,"LMS")+IF(AE$9="",0,MAX(0,ROUND((AE$12-SUMIFS(TF_Timer,TF_Nokkel,$A37&amp;"|"&amp;AE$5))*2,0)/2))&gt;INDEX(TF_AktSum,MATCH($A37&amp;"|"&amp;AE$5,TF_Dom,0)),"LMS",INDEX(AktKode,MATCH(INDEX(TF_Akt,MATCH($A37&amp;"|"&amp;AE$5,TF_Dom,0)),Aktiviteter,0)))&amp;IF(OR(COUNTIFS(TF_Nokkel,$A37&amp;"|"&amp;AE$5,TF_Akt,"&lt;&gt;"&amp;INDEX(TF_Akt,MATCH($A37&amp;"|"&amp;AE$5,TF_Dom,0)))&gt;0,AND(IF(AE$9="",0,MAX(0,ROUND((AE$12-SUMIFS(TF_Timer,TF_Nokkel,$A37&amp;"|"&amp;AE$5))*2,0)/2))&gt;0,INDEX(TF_Akt,MATCH($A37&amp;"|"&amp;AE$5,TF_Dom,0))&lt;&gt;"LMS")),"+",""),"?"))))</f>
        <v/>
      </c>
      <c r="AF37" s="13">
        <f>IF(OR($A37="",AF$5=""),"",IF(OR(AND(INDEX(TekFra,20)&gt;0,AF$5&lt;INDEX(TekFra,20)),AND(INDEX(TekTil,20)&gt;0,AF$5&gt;INDEX(TekTil,20))),"",IF(COUNTIFS(TF_Nokkel,$A37&amp;"|"&amp;AF$5)=0,IF(AF$9&lt;&gt;"","LMS",""),IFERROR(IF(SUMIFS(TF_Timer,TF_Nokkel,$A37&amp;"|"&amp;AF$5,TF_Akt,"LMS")+IF(AF$9="",0,MAX(0,ROUND((AF$12-SUMIFS(TF_Timer,TF_Nokkel,$A37&amp;"|"&amp;AF$5))*2,0)/2))&gt;INDEX(TF_AktSum,MATCH($A37&amp;"|"&amp;AF$5,TF_Dom,0)),"LMS",INDEX(AktKode,MATCH(INDEX(TF_Akt,MATCH($A37&amp;"|"&amp;AF$5,TF_Dom,0)),Aktiviteter,0)))&amp;IF(OR(COUNTIFS(TF_Nokkel,$A37&amp;"|"&amp;AF$5,TF_Akt,"&lt;&gt;"&amp;INDEX(TF_Akt,MATCH($A37&amp;"|"&amp;AF$5,TF_Dom,0)))&gt;0,AND(IF(AF$9="",0,MAX(0,ROUND((AF$12-SUMIFS(TF_Timer,TF_Nokkel,$A37&amp;"|"&amp;AF$5))*2,0)/2))&gt;0,INDEX(TF_Akt,MATCH($A37&amp;"|"&amp;AF$5,TF_Dom,0))&lt;&gt;"LMS")),"+",""),"?"))))</f>
        <v/>
      </c>
      <c r="AG37" s="13">
        <f>IF(OR($A37="",AG$5=""),"",IF(OR(AND(INDEX(TekFra,20)&gt;0,AG$5&lt;INDEX(TekFra,20)),AND(INDEX(TekTil,20)&gt;0,AG$5&gt;INDEX(TekTil,20))),"",IF(COUNTIFS(TF_Nokkel,$A37&amp;"|"&amp;AG$5)=0,IF(AG$9&lt;&gt;"","LMS",""),IFERROR(IF(SUMIFS(TF_Timer,TF_Nokkel,$A37&amp;"|"&amp;AG$5,TF_Akt,"LMS")+IF(AG$9="",0,MAX(0,ROUND((AG$12-SUMIFS(TF_Timer,TF_Nokkel,$A37&amp;"|"&amp;AG$5))*2,0)/2))&gt;INDEX(TF_AktSum,MATCH($A37&amp;"|"&amp;AG$5,TF_Dom,0)),"LMS",INDEX(AktKode,MATCH(INDEX(TF_Akt,MATCH($A37&amp;"|"&amp;AG$5,TF_Dom,0)),Aktiviteter,0)))&amp;IF(OR(COUNTIFS(TF_Nokkel,$A37&amp;"|"&amp;AG$5,TF_Akt,"&lt;&gt;"&amp;INDEX(TF_Akt,MATCH($A37&amp;"|"&amp;AG$5,TF_Dom,0)))&gt;0,AND(IF(AG$9="",0,MAX(0,ROUND((AG$12-SUMIFS(TF_Timer,TF_Nokkel,$A37&amp;"|"&amp;AG$5))*2,0)/2))&gt;0,INDEX(TF_Akt,MATCH($A37&amp;"|"&amp;AG$5,TF_Dom,0))&lt;&gt;"LMS")),"+",""),"?"))))</f>
        <v/>
      </c>
      <c r="AH37" s="2" t="n"/>
      <c r="AI37" s="2" t="n"/>
      <c r="AJ37" s="2" t="n"/>
    </row>
    <row r="38">
      <c r="A38" s="2">
        <f>INDEX(Teknikere,21)&amp;""</f>
        <v/>
      </c>
      <c r="B38" s="12">
        <f>IF(INDEX(TekFra,21)&gt;0,"ekstra","")</f>
        <v/>
      </c>
      <c r="C38" s="13">
        <f>IF(OR($A38="",C$5=""),"",IF(OR(AND(INDEX(TekFra,21)&gt;0,C$5&lt;INDEX(TekFra,21)),AND(INDEX(TekTil,21)&gt;0,C$5&gt;INDEX(TekTil,21))),"",IF(COUNTIFS(TF_Nokkel,$A38&amp;"|"&amp;C$5)=0,IF(C$9&lt;&gt;"","LMS",""),IFERROR(IF(SUMIFS(TF_Timer,TF_Nokkel,$A38&amp;"|"&amp;C$5,TF_Akt,"LMS")+IF(C$9="",0,MAX(0,ROUND((C$12-SUMIFS(TF_Timer,TF_Nokkel,$A38&amp;"|"&amp;C$5))*2,0)/2))&gt;INDEX(TF_AktSum,MATCH($A38&amp;"|"&amp;C$5,TF_Dom,0)),"LMS",INDEX(AktKode,MATCH(INDEX(TF_Akt,MATCH($A38&amp;"|"&amp;C$5,TF_Dom,0)),Aktiviteter,0)))&amp;IF(OR(COUNTIFS(TF_Nokkel,$A38&amp;"|"&amp;C$5,TF_Akt,"&lt;&gt;"&amp;INDEX(TF_Akt,MATCH($A38&amp;"|"&amp;C$5,TF_Dom,0)))&gt;0,AND(IF(C$9="",0,MAX(0,ROUND((C$12-SUMIFS(TF_Timer,TF_Nokkel,$A38&amp;"|"&amp;C$5))*2,0)/2))&gt;0,INDEX(TF_Akt,MATCH($A38&amp;"|"&amp;C$5,TF_Dom,0))&lt;&gt;"LMS")),"+",""),"?"))))</f>
        <v/>
      </c>
      <c r="D38" s="13">
        <f>IF(OR($A38="",D$5=""),"",IF(OR(AND(INDEX(TekFra,21)&gt;0,D$5&lt;INDEX(TekFra,21)),AND(INDEX(TekTil,21)&gt;0,D$5&gt;INDEX(TekTil,21))),"",IF(COUNTIFS(TF_Nokkel,$A38&amp;"|"&amp;D$5)=0,IF(D$9&lt;&gt;"","LMS",""),IFERROR(IF(SUMIFS(TF_Timer,TF_Nokkel,$A38&amp;"|"&amp;D$5,TF_Akt,"LMS")+IF(D$9="",0,MAX(0,ROUND((D$12-SUMIFS(TF_Timer,TF_Nokkel,$A38&amp;"|"&amp;D$5))*2,0)/2))&gt;INDEX(TF_AktSum,MATCH($A38&amp;"|"&amp;D$5,TF_Dom,0)),"LMS",INDEX(AktKode,MATCH(INDEX(TF_Akt,MATCH($A38&amp;"|"&amp;D$5,TF_Dom,0)),Aktiviteter,0)))&amp;IF(OR(COUNTIFS(TF_Nokkel,$A38&amp;"|"&amp;D$5,TF_Akt,"&lt;&gt;"&amp;INDEX(TF_Akt,MATCH($A38&amp;"|"&amp;D$5,TF_Dom,0)))&gt;0,AND(IF(D$9="",0,MAX(0,ROUND((D$12-SUMIFS(TF_Timer,TF_Nokkel,$A38&amp;"|"&amp;D$5))*2,0)/2))&gt;0,INDEX(TF_Akt,MATCH($A38&amp;"|"&amp;D$5,TF_Dom,0))&lt;&gt;"LMS")),"+",""),"?"))))</f>
        <v/>
      </c>
      <c r="E38" s="13">
        <f>IF(OR($A38="",E$5=""),"",IF(OR(AND(INDEX(TekFra,21)&gt;0,E$5&lt;INDEX(TekFra,21)),AND(INDEX(TekTil,21)&gt;0,E$5&gt;INDEX(TekTil,21))),"",IF(COUNTIFS(TF_Nokkel,$A38&amp;"|"&amp;E$5)=0,IF(E$9&lt;&gt;"","LMS",""),IFERROR(IF(SUMIFS(TF_Timer,TF_Nokkel,$A38&amp;"|"&amp;E$5,TF_Akt,"LMS")+IF(E$9="",0,MAX(0,ROUND((E$12-SUMIFS(TF_Timer,TF_Nokkel,$A38&amp;"|"&amp;E$5))*2,0)/2))&gt;INDEX(TF_AktSum,MATCH($A38&amp;"|"&amp;E$5,TF_Dom,0)),"LMS",INDEX(AktKode,MATCH(INDEX(TF_Akt,MATCH($A38&amp;"|"&amp;E$5,TF_Dom,0)),Aktiviteter,0)))&amp;IF(OR(COUNTIFS(TF_Nokkel,$A38&amp;"|"&amp;E$5,TF_Akt,"&lt;&gt;"&amp;INDEX(TF_Akt,MATCH($A38&amp;"|"&amp;E$5,TF_Dom,0)))&gt;0,AND(IF(E$9="",0,MAX(0,ROUND((E$12-SUMIFS(TF_Timer,TF_Nokkel,$A38&amp;"|"&amp;E$5))*2,0)/2))&gt;0,INDEX(TF_Akt,MATCH($A38&amp;"|"&amp;E$5,TF_Dom,0))&lt;&gt;"LMS")),"+",""),"?"))))</f>
        <v/>
      </c>
      <c r="F38" s="13">
        <f>IF(OR($A38="",F$5=""),"",IF(OR(AND(INDEX(TekFra,21)&gt;0,F$5&lt;INDEX(TekFra,21)),AND(INDEX(TekTil,21)&gt;0,F$5&gt;INDEX(TekTil,21))),"",IF(COUNTIFS(TF_Nokkel,$A38&amp;"|"&amp;F$5)=0,IF(F$9&lt;&gt;"","LMS",""),IFERROR(IF(SUMIFS(TF_Timer,TF_Nokkel,$A38&amp;"|"&amp;F$5,TF_Akt,"LMS")+IF(F$9="",0,MAX(0,ROUND((F$12-SUMIFS(TF_Timer,TF_Nokkel,$A38&amp;"|"&amp;F$5))*2,0)/2))&gt;INDEX(TF_AktSum,MATCH($A38&amp;"|"&amp;F$5,TF_Dom,0)),"LMS",INDEX(AktKode,MATCH(INDEX(TF_Akt,MATCH($A38&amp;"|"&amp;F$5,TF_Dom,0)),Aktiviteter,0)))&amp;IF(OR(COUNTIFS(TF_Nokkel,$A38&amp;"|"&amp;F$5,TF_Akt,"&lt;&gt;"&amp;INDEX(TF_Akt,MATCH($A38&amp;"|"&amp;F$5,TF_Dom,0)))&gt;0,AND(IF(F$9="",0,MAX(0,ROUND((F$12-SUMIFS(TF_Timer,TF_Nokkel,$A38&amp;"|"&amp;F$5))*2,0)/2))&gt;0,INDEX(TF_Akt,MATCH($A38&amp;"|"&amp;F$5,TF_Dom,0))&lt;&gt;"LMS")),"+",""),"?"))))</f>
        <v/>
      </c>
      <c r="G38" s="13">
        <f>IF(OR($A38="",G$5=""),"",IF(OR(AND(INDEX(TekFra,21)&gt;0,G$5&lt;INDEX(TekFra,21)),AND(INDEX(TekTil,21)&gt;0,G$5&gt;INDEX(TekTil,21))),"",IF(COUNTIFS(TF_Nokkel,$A38&amp;"|"&amp;G$5)=0,IF(G$9&lt;&gt;"","LMS",""),IFERROR(IF(SUMIFS(TF_Timer,TF_Nokkel,$A38&amp;"|"&amp;G$5,TF_Akt,"LMS")+IF(G$9="",0,MAX(0,ROUND((G$12-SUMIFS(TF_Timer,TF_Nokkel,$A38&amp;"|"&amp;G$5))*2,0)/2))&gt;INDEX(TF_AktSum,MATCH($A38&amp;"|"&amp;G$5,TF_Dom,0)),"LMS",INDEX(AktKode,MATCH(INDEX(TF_Akt,MATCH($A38&amp;"|"&amp;G$5,TF_Dom,0)),Aktiviteter,0)))&amp;IF(OR(COUNTIFS(TF_Nokkel,$A38&amp;"|"&amp;G$5,TF_Akt,"&lt;&gt;"&amp;INDEX(TF_Akt,MATCH($A38&amp;"|"&amp;G$5,TF_Dom,0)))&gt;0,AND(IF(G$9="",0,MAX(0,ROUND((G$12-SUMIFS(TF_Timer,TF_Nokkel,$A38&amp;"|"&amp;G$5))*2,0)/2))&gt;0,INDEX(TF_Akt,MATCH($A38&amp;"|"&amp;G$5,TF_Dom,0))&lt;&gt;"LMS")),"+",""),"?"))))</f>
        <v/>
      </c>
      <c r="H38" s="13">
        <f>IF(OR($A38="",H$5=""),"",IF(OR(AND(INDEX(TekFra,21)&gt;0,H$5&lt;INDEX(TekFra,21)),AND(INDEX(TekTil,21)&gt;0,H$5&gt;INDEX(TekTil,21))),"",IF(COUNTIFS(TF_Nokkel,$A38&amp;"|"&amp;H$5)=0,IF(H$9&lt;&gt;"","LMS",""),IFERROR(IF(SUMIFS(TF_Timer,TF_Nokkel,$A38&amp;"|"&amp;H$5,TF_Akt,"LMS")+IF(H$9="",0,MAX(0,ROUND((H$12-SUMIFS(TF_Timer,TF_Nokkel,$A38&amp;"|"&amp;H$5))*2,0)/2))&gt;INDEX(TF_AktSum,MATCH($A38&amp;"|"&amp;H$5,TF_Dom,0)),"LMS",INDEX(AktKode,MATCH(INDEX(TF_Akt,MATCH($A38&amp;"|"&amp;H$5,TF_Dom,0)),Aktiviteter,0)))&amp;IF(OR(COUNTIFS(TF_Nokkel,$A38&amp;"|"&amp;H$5,TF_Akt,"&lt;&gt;"&amp;INDEX(TF_Akt,MATCH($A38&amp;"|"&amp;H$5,TF_Dom,0)))&gt;0,AND(IF(H$9="",0,MAX(0,ROUND((H$12-SUMIFS(TF_Timer,TF_Nokkel,$A38&amp;"|"&amp;H$5))*2,0)/2))&gt;0,INDEX(TF_Akt,MATCH($A38&amp;"|"&amp;H$5,TF_Dom,0))&lt;&gt;"LMS")),"+",""),"?"))))</f>
        <v/>
      </c>
      <c r="I38" s="13">
        <f>IF(OR($A38="",I$5=""),"",IF(OR(AND(INDEX(TekFra,21)&gt;0,I$5&lt;INDEX(TekFra,21)),AND(INDEX(TekTil,21)&gt;0,I$5&gt;INDEX(TekTil,21))),"",IF(COUNTIFS(TF_Nokkel,$A38&amp;"|"&amp;I$5)=0,IF(I$9&lt;&gt;"","LMS",""),IFERROR(IF(SUMIFS(TF_Timer,TF_Nokkel,$A38&amp;"|"&amp;I$5,TF_Akt,"LMS")+IF(I$9="",0,MAX(0,ROUND((I$12-SUMIFS(TF_Timer,TF_Nokkel,$A38&amp;"|"&amp;I$5))*2,0)/2))&gt;INDEX(TF_AktSum,MATCH($A38&amp;"|"&amp;I$5,TF_Dom,0)),"LMS",INDEX(AktKode,MATCH(INDEX(TF_Akt,MATCH($A38&amp;"|"&amp;I$5,TF_Dom,0)),Aktiviteter,0)))&amp;IF(OR(COUNTIFS(TF_Nokkel,$A38&amp;"|"&amp;I$5,TF_Akt,"&lt;&gt;"&amp;INDEX(TF_Akt,MATCH($A38&amp;"|"&amp;I$5,TF_Dom,0)))&gt;0,AND(IF(I$9="",0,MAX(0,ROUND((I$12-SUMIFS(TF_Timer,TF_Nokkel,$A38&amp;"|"&amp;I$5))*2,0)/2))&gt;0,INDEX(TF_Akt,MATCH($A38&amp;"|"&amp;I$5,TF_Dom,0))&lt;&gt;"LMS")),"+",""),"?"))))</f>
        <v/>
      </c>
      <c r="J38" s="13">
        <f>IF(OR($A38="",J$5=""),"",IF(OR(AND(INDEX(TekFra,21)&gt;0,J$5&lt;INDEX(TekFra,21)),AND(INDEX(TekTil,21)&gt;0,J$5&gt;INDEX(TekTil,21))),"",IF(COUNTIFS(TF_Nokkel,$A38&amp;"|"&amp;J$5)=0,IF(J$9&lt;&gt;"","LMS",""),IFERROR(IF(SUMIFS(TF_Timer,TF_Nokkel,$A38&amp;"|"&amp;J$5,TF_Akt,"LMS")+IF(J$9="",0,MAX(0,ROUND((J$12-SUMIFS(TF_Timer,TF_Nokkel,$A38&amp;"|"&amp;J$5))*2,0)/2))&gt;INDEX(TF_AktSum,MATCH($A38&amp;"|"&amp;J$5,TF_Dom,0)),"LMS",INDEX(AktKode,MATCH(INDEX(TF_Akt,MATCH($A38&amp;"|"&amp;J$5,TF_Dom,0)),Aktiviteter,0)))&amp;IF(OR(COUNTIFS(TF_Nokkel,$A38&amp;"|"&amp;J$5,TF_Akt,"&lt;&gt;"&amp;INDEX(TF_Akt,MATCH($A38&amp;"|"&amp;J$5,TF_Dom,0)))&gt;0,AND(IF(J$9="",0,MAX(0,ROUND((J$12-SUMIFS(TF_Timer,TF_Nokkel,$A38&amp;"|"&amp;J$5))*2,0)/2))&gt;0,INDEX(TF_Akt,MATCH($A38&amp;"|"&amp;J$5,TF_Dom,0))&lt;&gt;"LMS")),"+",""),"?"))))</f>
        <v/>
      </c>
      <c r="K38" s="13">
        <f>IF(OR($A38="",K$5=""),"",IF(OR(AND(INDEX(TekFra,21)&gt;0,K$5&lt;INDEX(TekFra,21)),AND(INDEX(TekTil,21)&gt;0,K$5&gt;INDEX(TekTil,21))),"",IF(COUNTIFS(TF_Nokkel,$A38&amp;"|"&amp;K$5)=0,IF(K$9&lt;&gt;"","LMS",""),IFERROR(IF(SUMIFS(TF_Timer,TF_Nokkel,$A38&amp;"|"&amp;K$5,TF_Akt,"LMS")+IF(K$9="",0,MAX(0,ROUND((K$12-SUMIFS(TF_Timer,TF_Nokkel,$A38&amp;"|"&amp;K$5))*2,0)/2))&gt;INDEX(TF_AktSum,MATCH($A38&amp;"|"&amp;K$5,TF_Dom,0)),"LMS",INDEX(AktKode,MATCH(INDEX(TF_Akt,MATCH($A38&amp;"|"&amp;K$5,TF_Dom,0)),Aktiviteter,0)))&amp;IF(OR(COUNTIFS(TF_Nokkel,$A38&amp;"|"&amp;K$5,TF_Akt,"&lt;&gt;"&amp;INDEX(TF_Akt,MATCH($A38&amp;"|"&amp;K$5,TF_Dom,0)))&gt;0,AND(IF(K$9="",0,MAX(0,ROUND((K$12-SUMIFS(TF_Timer,TF_Nokkel,$A38&amp;"|"&amp;K$5))*2,0)/2))&gt;0,INDEX(TF_Akt,MATCH($A38&amp;"|"&amp;K$5,TF_Dom,0))&lt;&gt;"LMS")),"+",""),"?"))))</f>
        <v/>
      </c>
      <c r="L38" s="13">
        <f>IF(OR($A38="",L$5=""),"",IF(OR(AND(INDEX(TekFra,21)&gt;0,L$5&lt;INDEX(TekFra,21)),AND(INDEX(TekTil,21)&gt;0,L$5&gt;INDEX(TekTil,21))),"",IF(COUNTIFS(TF_Nokkel,$A38&amp;"|"&amp;L$5)=0,IF(L$9&lt;&gt;"","LMS",""),IFERROR(IF(SUMIFS(TF_Timer,TF_Nokkel,$A38&amp;"|"&amp;L$5,TF_Akt,"LMS")+IF(L$9="",0,MAX(0,ROUND((L$12-SUMIFS(TF_Timer,TF_Nokkel,$A38&amp;"|"&amp;L$5))*2,0)/2))&gt;INDEX(TF_AktSum,MATCH($A38&amp;"|"&amp;L$5,TF_Dom,0)),"LMS",INDEX(AktKode,MATCH(INDEX(TF_Akt,MATCH($A38&amp;"|"&amp;L$5,TF_Dom,0)),Aktiviteter,0)))&amp;IF(OR(COUNTIFS(TF_Nokkel,$A38&amp;"|"&amp;L$5,TF_Akt,"&lt;&gt;"&amp;INDEX(TF_Akt,MATCH($A38&amp;"|"&amp;L$5,TF_Dom,0)))&gt;0,AND(IF(L$9="",0,MAX(0,ROUND((L$12-SUMIFS(TF_Timer,TF_Nokkel,$A38&amp;"|"&amp;L$5))*2,0)/2))&gt;0,INDEX(TF_Akt,MATCH($A38&amp;"|"&amp;L$5,TF_Dom,0))&lt;&gt;"LMS")),"+",""),"?"))))</f>
        <v/>
      </c>
      <c r="M38" s="13">
        <f>IF(OR($A38="",M$5=""),"",IF(OR(AND(INDEX(TekFra,21)&gt;0,M$5&lt;INDEX(TekFra,21)),AND(INDEX(TekTil,21)&gt;0,M$5&gt;INDEX(TekTil,21))),"",IF(COUNTIFS(TF_Nokkel,$A38&amp;"|"&amp;M$5)=0,IF(M$9&lt;&gt;"","LMS",""),IFERROR(IF(SUMIFS(TF_Timer,TF_Nokkel,$A38&amp;"|"&amp;M$5,TF_Akt,"LMS")+IF(M$9="",0,MAX(0,ROUND((M$12-SUMIFS(TF_Timer,TF_Nokkel,$A38&amp;"|"&amp;M$5))*2,0)/2))&gt;INDEX(TF_AktSum,MATCH($A38&amp;"|"&amp;M$5,TF_Dom,0)),"LMS",INDEX(AktKode,MATCH(INDEX(TF_Akt,MATCH($A38&amp;"|"&amp;M$5,TF_Dom,0)),Aktiviteter,0)))&amp;IF(OR(COUNTIFS(TF_Nokkel,$A38&amp;"|"&amp;M$5,TF_Akt,"&lt;&gt;"&amp;INDEX(TF_Akt,MATCH($A38&amp;"|"&amp;M$5,TF_Dom,0)))&gt;0,AND(IF(M$9="",0,MAX(0,ROUND((M$12-SUMIFS(TF_Timer,TF_Nokkel,$A38&amp;"|"&amp;M$5))*2,0)/2))&gt;0,INDEX(TF_Akt,MATCH($A38&amp;"|"&amp;M$5,TF_Dom,0))&lt;&gt;"LMS")),"+",""),"?"))))</f>
        <v/>
      </c>
      <c r="N38" s="13">
        <f>IF(OR($A38="",N$5=""),"",IF(OR(AND(INDEX(TekFra,21)&gt;0,N$5&lt;INDEX(TekFra,21)),AND(INDEX(TekTil,21)&gt;0,N$5&gt;INDEX(TekTil,21))),"",IF(COUNTIFS(TF_Nokkel,$A38&amp;"|"&amp;N$5)=0,IF(N$9&lt;&gt;"","LMS",""),IFERROR(IF(SUMIFS(TF_Timer,TF_Nokkel,$A38&amp;"|"&amp;N$5,TF_Akt,"LMS")+IF(N$9="",0,MAX(0,ROUND((N$12-SUMIFS(TF_Timer,TF_Nokkel,$A38&amp;"|"&amp;N$5))*2,0)/2))&gt;INDEX(TF_AktSum,MATCH($A38&amp;"|"&amp;N$5,TF_Dom,0)),"LMS",INDEX(AktKode,MATCH(INDEX(TF_Akt,MATCH($A38&amp;"|"&amp;N$5,TF_Dom,0)),Aktiviteter,0)))&amp;IF(OR(COUNTIFS(TF_Nokkel,$A38&amp;"|"&amp;N$5,TF_Akt,"&lt;&gt;"&amp;INDEX(TF_Akt,MATCH($A38&amp;"|"&amp;N$5,TF_Dom,0)))&gt;0,AND(IF(N$9="",0,MAX(0,ROUND((N$12-SUMIFS(TF_Timer,TF_Nokkel,$A38&amp;"|"&amp;N$5))*2,0)/2))&gt;0,INDEX(TF_Akt,MATCH($A38&amp;"|"&amp;N$5,TF_Dom,0))&lt;&gt;"LMS")),"+",""),"?"))))</f>
        <v/>
      </c>
      <c r="O38" s="13">
        <f>IF(OR($A38="",O$5=""),"",IF(OR(AND(INDEX(TekFra,21)&gt;0,O$5&lt;INDEX(TekFra,21)),AND(INDEX(TekTil,21)&gt;0,O$5&gt;INDEX(TekTil,21))),"",IF(COUNTIFS(TF_Nokkel,$A38&amp;"|"&amp;O$5)=0,IF(O$9&lt;&gt;"","LMS",""),IFERROR(IF(SUMIFS(TF_Timer,TF_Nokkel,$A38&amp;"|"&amp;O$5,TF_Akt,"LMS")+IF(O$9="",0,MAX(0,ROUND((O$12-SUMIFS(TF_Timer,TF_Nokkel,$A38&amp;"|"&amp;O$5))*2,0)/2))&gt;INDEX(TF_AktSum,MATCH($A38&amp;"|"&amp;O$5,TF_Dom,0)),"LMS",INDEX(AktKode,MATCH(INDEX(TF_Akt,MATCH($A38&amp;"|"&amp;O$5,TF_Dom,0)),Aktiviteter,0)))&amp;IF(OR(COUNTIFS(TF_Nokkel,$A38&amp;"|"&amp;O$5,TF_Akt,"&lt;&gt;"&amp;INDEX(TF_Akt,MATCH($A38&amp;"|"&amp;O$5,TF_Dom,0)))&gt;0,AND(IF(O$9="",0,MAX(0,ROUND((O$12-SUMIFS(TF_Timer,TF_Nokkel,$A38&amp;"|"&amp;O$5))*2,0)/2))&gt;0,INDEX(TF_Akt,MATCH($A38&amp;"|"&amp;O$5,TF_Dom,0))&lt;&gt;"LMS")),"+",""),"?"))))</f>
        <v/>
      </c>
      <c r="P38" s="13">
        <f>IF(OR($A38="",P$5=""),"",IF(OR(AND(INDEX(TekFra,21)&gt;0,P$5&lt;INDEX(TekFra,21)),AND(INDEX(TekTil,21)&gt;0,P$5&gt;INDEX(TekTil,21))),"",IF(COUNTIFS(TF_Nokkel,$A38&amp;"|"&amp;P$5)=0,IF(P$9&lt;&gt;"","LMS",""),IFERROR(IF(SUMIFS(TF_Timer,TF_Nokkel,$A38&amp;"|"&amp;P$5,TF_Akt,"LMS")+IF(P$9="",0,MAX(0,ROUND((P$12-SUMIFS(TF_Timer,TF_Nokkel,$A38&amp;"|"&amp;P$5))*2,0)/2))&gt;INDEX(TF_AktSum,MATCH($A38&amp;"|"&amp;P$5,TF_Dom,0)),"LMS",INDEX(AktKode,MATCH(INDEX(TF_Akt,MATCH($A38&amp;"|"&amp;P$5,TF_Dom,0)),Aktiviteter,0)))&amp;IF(OR(COUNTIFS(TF_Nokkel,$A38&amp;"|"&amp;P$5,TF_Akt,"&lt;&gt;"&amp;INDEX(TF_Akt,MATCH($A38&amp;"|"&amp;P$5,TF_Dom,0)))&gt;0,AND(IF(P$9="",0,MAX(0,ROUND((P$12-SUMIFS(TF_Timer,TF_Nokkel,$A38&amp;"|"&amp;P$5))*2,0)/2))&gt;0,INDEX(TF_Akt,MATCH($A38&amp;"|"&amp;P$5,TF_Dom,0))&lt;&gt;"LMS")),"+",""),"?"))))</f>
        <v/>
      </c>
      <c r="Q38" s="13">
        <f>IF(OR($A38="",Q$5=""),"",IF(OR(AND(INDEX(TekFra,21)&gt;0,Q$5&lt;INDEX(TekFra,21)),AND(INDEX(TekTil,21)&gt;0,Q$5&gt;INDEX(TekTil,21))),"",IF(COUNTIFS(TF_Nokkel,$A38&amp;"|"&amp;Q$5)=0,IF(Q$9&lt;&gt;"","LMS",""),IFERROR(IF(SUMIFS(TF_Timer,TF_Nokkel,$A38&amp;"|"&amp;Q$5,TF_Akt,"LMS")+IF(Q$9="",0,MAX(0,ROUND((Q$12-SUMIFS(TF_Timer,TF_Nokkel,$A38&amp;"|"&amp;Q$5))*2,0)/2))&gt;INDEX(TF_AktSum,MATCH($A38&amp;"|"&amp;Q$5,TF_Dom,0)),"LMS",INDEX(AktKode,MATCH(INDEX(TF_Akt,MATCH($A38&amp;"|"&amp;Q$5,TF_Dom,0)),Aktiviteter,0)))&amp;IF(OR(COUNTIFS(TF_Nokkel,$A38&amp;"|"&amp;Q$5,TF_Akt,"&lt;&gt;"&amp;INDEX(TF_Akt,MATCH($A38&amp;"|"&amp;Q$5,TF_Dom,0)))&gt;0,AND(IF(Q$9="",0,MAX(0,ROUND((Q$12-SUMIFS(TF_Timer,TF_Nokkel,$A38&amp;"|"&amp;Q$5))*2,0)/2))&gt;0,INDEX(TF_Akt,MATCH($A38&amp;"|"&amp;Q$5,TF_Dom,0))&lt;&gt;"LMS")),"+",""),"?"))))</f>
        <v/>
      </c>
      <c r="R38" s="13">
        <f>IF(OR($A38="",R$5=""),"",IF(OR(AND(INDEX(TekFra,21)&gt;0,R$5&lt;INDEX(TekFra,21)),AND(INDEX(TekTil,21)&gt;0,R$5&gt;INDEX(TekTil,21))),"",IF(COUNTIFS(TF_Nokkel,$A38&amp;"|"&amp;R$5)=0,IF(R$9&lt;&gt;"","LMS",""),IFERROR(IF(SUMIFS(TF_Timer,TF_Nokkel,$A38&amp;"|"&amp;R$5,TF_Akt,"LMS")+IF(R$9="",0,MAX(0,ROUND((R$12-SUMIFS(TF_Timer,TF_Nokkel,$A38&amp;"|"&amp;R$5))*2,0)/2))&gt;INDEX(TF_AktSum,MATCH($A38&amp;"|"&amp;R$5,TF_Dom,0)),"LMS",INDEX(AktKode,MATCH(INDEX(TF_Akt,MATCH($A38&amp;"|"&amp;R$5,TF_Dom,0)),Aktiviteter,0)))&amp;IF(OR(COUNTIFS(TF_Nokkel,$A38&amp;"|"&amp;R$5,TF_Akt,"&lt;&gt;"&amp;INDEX(TF_Akt,MATCH($A38&amp;"|"&amp;R$5,TF_Dom,0)))&gt;0,AND(IF(R$9="",0,MAX(0,ROUND((R$12-SUMIFS(TF_Timer,TF_Nokkel,$A38&amp;"|"&amp;R$5))*2,0)/2))&gt;0,INDEX(TF_Akt,MATCH($A38&amp;"|"&amp;R$5,TF_Dom,0))&lt;&gt;"LMS")),"+",""),"?"))))</f>
        <v/>
      </c>
      <c r="S38" s="13">
        <f>IF(OR($A38="",S$5=""),"",IF(OR(AND(INDEX(TekFra,21)&gt;0,S$5&lt;INDEX(TekFra,21)),AND(INDEX(TekTil,21)&gt;0,S$5&gt;INDEX(TekTil,21))),"",IF(COUNTIFS(TF_Nokkel,$A38&amp;"|"&amp;S$5)=0,IF(S$9&lt;&gt;"","LMS",""),IFERROR(IF(SUMIFS(TF_Timer,TF_Nokkel,$A38&amp;"|"&amp;S$5,TF_Akt,"LMS")+IF(S$9="",0,MAX(0,ROUND((S$12-SUMIFS(TF_Timer,TF_Nokkel,$A38&amp;"|"&amp;S$5))*2,0)/2))&gt;INDEX(TF_AktSum,MATCH($A38&amp;"|"&amp;S$5,TF_Dom,0)),"LMS",INDEX(AktKode,MATCH(INDEX(TF_Akt,MATCH($A38&amp;"|"&amp;S$5,TF_Dom,0)),Aktiviteter,0)))&amp;IF(OR(COUNTIFS(TF_Nokkel,$A38&amp;"|"&amp;S$5,TF_Akt,"&lt;&gt;"&amp;INDEX(TF_Akt,MATCH($A38&amp;"|"&amp;S$5,TF_Dom,0)))&gt;0,AND(IF(S$9="",0,MAX(0,ROUND((S$12-SUMIFS(TF_Timer,TF_Nokkel,$A38&amp;"|"&amp;S$5))*2,0)/2))&gt;0,INDEX(TF_Akt,MATCH($A38&amp;"|"&amp;S$5,TF_Dom,0))&lt;&gt;"LMS")),"+",""),"?"))))</f>
        <v/>
      </c>
      <c r="T38" s="13">
        <f>IF(OR($A38="",T$5=""),"",IF(OR(AND(INDEX(TekFra,21)&gt;0,T$5&lt;INDEX(TekFra,21)),AND(INDEX(TekTil,21)&gt;0,T$5&gt;INDEX(TekTil,21))),"",IF(COUNTIFS(TF_Nokkel,$A38&amp;"|"&amp;T$5)=0,IF(T$9&lt;&gt;"","LMS",""),IFERROR(IF(SUMIFS(TF_Timer,TF_Nokkel,$A38&amp;"|"&amp;T$5,TF_Akt,"LMS")+IF(T$9="",0,MAX(0,ROUND((T$12-SUMIFS(TF_Timer,TF_Nokkel,$A38&amp;"|"&amp;T$5))*2,0)/2))&gt;INDEX(TF_AktSum,MATCH($A38&amp;"|"&amp;T$5,TF_Dom,0)),"LMS",INDEX(AktKode,MATCH(INDEX(TF_Akt,MATCH($A38&amp;"|"&amp;T$5,TF_Dom,0)),Aktiviteter,0)))&amp;IF(OR(COUNTIFS(TF_Nokkel,$A38&amp;"|"&amp;T$5,TF_Akt,"&lt;&gt;"&amp;INDEX(TF_Akt,MATCH($A38&amp;"|"&amp;T$5,TF_Dom,0)))&gt;0,AND(IF(T$9="",0,MAX(0,ROUND((T$12-SUMIFS(TF_Timer,TF_Nokkel,$A38&amp;"|"&amp;T$5))*2,0)/2))&gt;0,INDEX(TF_Akt,MATCH($A38&amp;"|"&amp;T$5,TF_Dom,0))&lt;&gt;"LMS")),"+",""),"?"))))</f>
        <v/>
      </c>
      <c r="U38" s="13">
        <f>IF(OR($A38="",U$5=""),"",IF(OR(AND(INDEX(TekFra,21)&gt;0,U$5&lt;INDEX(TekFra,21)),AND(INDEX(TekTil,21)&gt;0,U$5&gt;INDEX(TekTil,21))),"",IF(COUNTIFS(TF_Nokkel,$A38&amp;"|"&amp;U$5)=0,IF(U$9&lt;&gt;"","LMS",""),IFERROR(IF(SUMIFS(TF_Timer,TF_Nokkel,$A38&amp;"|"&amp;U$5,TF_Akt,"LMS")+IF(U$9="",0,MAX(0,ROUND((U$12-SUMIFS(TF_Timer,TF_Nokkel,$A38&amp;"|"&amp;U$5))*2,0)/2))&gt;INDEX(TF_AktSum,MATCH($A38&amp;"|"&amp;U$5,TF_Dom,0)),"LMS",INDEX(AktKode,MATCH(INDEX(TF_Akt,MATCH($A38&amp;"|"&amp;U$5,TF_Dom,0)),Aktiviteter,0)))&amp;IF(OR(COUNTIFS(TF_Nokkel,$A38&amp;"|"&amp;U$5,TF_Akt,"&lt;&gt;"&amp;INDEX(TF_Akt,MATCH($A38&amp;"|"&amp;U$5,TF_Dom,0)))&gt;0,AND(IF(U$9="",0,MAX(0,ROUND((U$12-SUMIFS(TF_Timer,TF_Nokkel,$A38&amp;"|"&amp;U$5))*2,0)/2))&gt;0,INDEX(TF_Akt,MATCH($A38&amp;"|"&amp;U$5,TF_Dom,0))&lt;&gt;"LMS")),"+",""),"?"))))</f>
        <v/>
      </c>
      <c r="V38" s="13">
        <f>IF(OR($A38="",V$5=""),"",IF(OR(AND(INDEX(TekFra,21)&gt;0,V$5&lt;INDEX(TekFra,21)),AND(INDEX(TekTil,21)&gt;0,V$5&gt;INDEX(TekTil,21))),"",IF(COUNTIFS(TF_Nokkel,$A38&amp;"|"&amp;V$5)=0,IF(V$9&lt;&gt;"","LMS",""),IFERROR(IF(SUMIFS(TF_Timer,TF_Nokkel,$A38&amp;"|"&amp;V$5,TF_Akt,"LMS")+IF(V$9="",0,MAX(0,ROUND((V$12-SUMIFS(TF_Timer,TF_Nokkel,$A38&amp;"|"&amp;V$5))*2,0)/2))&gt;INDEX(TF_AktSum,MATCH($A38&amp;"|"&amp;V$5,TF_Dom,0)),"LMS",INDEX(AktKode,MATCH(INDEX(TF_Akt,MATCH($A38&amp;"|"&amp;V$5,TF_Dom,0)),Aktiviteter,0)))&amp;IF(OR(COUNTIFS(TF_Nokkel,$A38&amp;"|"&amp;V$5,TF_Akt,"&lt;&gt;"&amp;INDEX(TF_Akt,MATCH($A38&amp;"|"&amp;V$5,TF_Dom,0)))&gt;0,AND(IF(V$9="",0,MAX(0,ROUND((V$12-SUMIFS(TF_Timer,TF_Nokkel,$A38&amp;"|"&amp;V$5))*2,0)/2))&gt;0,INDEX(TF_Akt,MATCH($A38&amp;"|"&amp;V$5,TF_Dom,0))&lt;&gt;"LMS")),"+",""),"?"))))</f>
        <v/>
      </c>
      <c r="W38" s="13">
        <f>IF(OR($A38="",W$5=""),"",IF(OR(AND(INDEX(TekFra,21)&gt;0,W$5&lt;INDEX(TekFra,21)),AND(INDEX(TekTil,21)&gt;0,W$5&gt;INDEX(TekTil,21))),"",IF(COUNTIFS(TF_Nokkel,$A38&amp;"|"&amp;W$5)=0,IF(W$9&lt;&gt;"","LMS",""),IFERROR(IF(SUMIFS(TF_Timer,TF_Nokkel,$A38&amp;"|"&amp;W$5,TF_Akt,"LMS")+IF(W$9="",0,MAX(0,ROUND((W$12-SUMIFS(TF_Timer,TF_Nokkel,$A38&amp;"|"&amp;W$5))*2,0)/2))&gt;INDEX(TF_AktSum,MATCH($A38&amp;"|"&amp;W$5,TF_Dom,0)),"LMS",INDEX(AktKode,MATCH(INDEX(TF_Akt,MATCH($A38&amp;"|"&amp;W$5,TF_Dom,0)),Aktiviteter,0)))&amp;IF(OR(COUNTIFS(TF_Nokkel,$A38&amp;"|"&amp;W$5,TF_Akt,"&lt;&gt;"&amp;INDEX(TF_Akt,MATCH($A38&amp;"|"&amp;W$5,TF_Dom,0)))&gt;0,AND(IF(W$9="",0,MAX(0,ROUND((W$12-SUMIFS(TF_Timer,TF_Nokkel,$A38&amp;"|"&amp;W$5))*2,0)/2))&gt;0,INDEX(TF_Akt,MATCH($A38&amp;"|"&amp;W$5,TF_Dom,0))&lt;&gt;"LMS")),"+",""),"?"))))</f>
        <v/>
      </c>
      <c r="X38" s="13">
        <f>IF(OR($A38="",X$5=""),"",IF(OR(AND(INDEX(TekFra,21)&gt;0,X$5&lt;INDEX(TekFra,21)),AND(INDEX(TekTil,21)&gt;0,X$5&gt;INDEX(TekTil,21))),"",IF(COUNTIFS(TF_Nokkel,$A38&amp;"|"&amp;X$5)=0,IF(X$9&lt;&gt;"","LMS",""),IFERROR(IF(SUMIFS(TF_Timer,TF_Nokkel,$A38&amp;"|"&amp;X$5,TF_Akt,"LMS")+IF(X$9="",0,MAX(0,ROUND((X$12-SUMIFS(TF_Timer,TF_Nokkel,$A38&amp;"|"&amp;X$5))*2,0)/2))&gt;INDEX(TF_AktSum,MATCH($A38&amp;"|"&amp;X$5,TF_Dom,0)),"LMS",INDEX(AktKode,MATCH(INDEX(TF_Akt,MATCH($A38&amp;"|"&amp;X$5,TF_Dom,0)),Aktiviteter,0)))&amp;IF(OR(COUNTIFS(TF_Nokkel,$A38&amp;"|"&amp;X$5,TF_Akt,"&lt;&gt;"&amp;INDEX(TF_Akt,MATCH($A38&amp;"|"&amp;X$5,TF_Dom,0)))&gt;0,AND(IF(X$9="",0,MAX(0,ROUND((X$12-SUMIFS(TF_Timer,TF_Nokkel,$A38&amp;"|"&amp;X$5))*2,0)/2))&gt;0,INDEX(TF_Akt,MATCH($A38&amp;"|"&amp;X$5,TF_Dom,0))&lt;&gt;"LMS")),"+",""),"?"))))</f>
        <v/>
      </c>
      <c r="Y38" s="13">
        <f>IF(OR($A38="",Y$5=""),"",IF(OR(AND(INDEX(TekFra,21)&gt;0,Y$5&lt;INDEX(TekFra,21)),AND(INDEX(TekTil,21)&gt;0,Y$5&gt;INDEX(TekTil,21))),"",IF(COUNTIFS(TF_Nokkel,$A38&amp;"|"&amp;Y$5)=0,IF(Y$9&lt;&gt;"","LMS",""),IFERROR(IF(SUMIFS(TF_Timer,TF_Nokkel,$A38&amp;"|"&amp;Y$5,TF_Akt,"LMS")+IF(Y$9="",0,MAX(0,ROUND((Y$12-SUMIFS(TF_Timer,TF_Nokkel,$A38&amp;"|"&amp;Y$5))*2,0)/2))&gt;INDEX(TF_AktSum,MATCH($A38&amp;"|"&amp;Y$5,TF_Dom,0)),"LMS",INDEX(AktKode,MATCH(INDEX(TF_Akt,MATCH($A38&amp;"|"&amp;Y$5,TF_Dom,0)),Aktiviteter,0)))&amp;IF(OR(COUNTIFS(TF_Nokkel,$A38&amp;"|"&amp;Y$5,TF_Akt,"&lt;&gt;"&amp;INDEX(TF_Akt,MATCH($A38&amp;"|"&amp;Y$5,TF_Dom,0)))&gt;0,AND(IF(Y$9="",0,MAX(0,ROUND((Y$12-SUMIFS(TF_Timer,TF_Nokkel,$A38&amp;"|"&amp;Y$5))*2,0)/2))&gt;0,INDEX(TF_Akt,MATCH($A38&amp;"|"&amp;Y$5,TF_Dom,0))&lt;&gt;"LMS")),"+",""),"?"))))</f>
        <v/>
      </c>
      <c r="Z38" s="13">
        <f>IF(OR($A38="",Z$5=""),"",IF(OR(AND(INDEX(TekFra,21)&gt;0,Z$5&lt;INDEX(TekFra,21)),AND(INDEX(TekTil,21)&gt;0,Z$5&gt;INDEX(TekTil,21))),"",IF(COUNTIFS(TF_Nokkel,$A38&amp;"|"&amp;Z$5)=0,IF(Z$9&lt;&gt;"","LMS",""),IFERROR(IF(SUMIFS(TF_Timer,TF_Nokkel,$A38&amp;"|"&amp;Z$5,TF_Akt,"LMS")+IF(Z$9="",0,MAX(0,ROUND((Z$12-SUMIFS(TF_Timer,TF_Nokkel,$A38&amp;"|"&amp;Z$5))*2,0)/2))&gt;INDEX(TF_AktSum,MATCH($A38&amp;"|"&amp;Z$5,TF_Dom,0)),"LMS",INDEX(AktKode,MATCH(INDEX(TF_Akt,MATCH($A38&amp;"|"&amp;Z$5,TF_Dom,0)),Aktiviteter,0)))&amp;IF(OR(COUNTIFS(TF_Nokkel,$A38&amp;"|"&amp;Z$5,TF_Akt,"&lt;&gt;"&amp;INDEX(TF_Akt,MATCH($A38&amp;"|"&amp;Z$5,TF_Dom,0)))&gt;0,AND(IF(Z$9="",0,MAX(0,ROUND((Z$12-SUMIFS(TF_Timer,TF_Nokkel,$A38&amp;"|"&amp;Z$5))*2,0)/2))&gt;0,INDEX(TF_Akt,MATCH($A38&amp;"|"&amp;Z$5,TF_Dom,0))&lt;&gt;"LMS")),"+",""),"?"))))</f>
        <v/>
      </c>
      <c r="AA38" s="13">
        <f>IF(OR($A38="",AA$5=""),"",IF(OR(AND(INDEX(TekFra,21)&gt;0,AA$5&lt;INDEX(TekFra,21)),AND(INDEX(TekTil,21)&gt;0,AA$5&gt;INDEX(TekTil,21))),"",IF(COUNTIFS(TF_Nokkel,$A38&amp;"|"&amp;AA$5)=0,IF(AA$9&lt;&gt;"","LMS",""),IFERROR(IF(SUMIFS(TF_Timer,TF_Nokkel,$A38&amp;"|"&amp;AA$5,TF_Akt,"LMS")+IF(AA$9="",0,MAX(0,ROUND((AA$12-SUMIFS(TF_Timer,TF_Nokkel,$A38&amp;"|"&amp;AA$5))*2,0)/2))&gt;INDEX(TF_AktSum,MATCH($A38&amp;"|"&amp;AA$5,TF_Dom,0)),"LMS",INDEX(AktKode,MATCH(INDEX(TF_Akt,MATCH($A38&amp;"|"&amp;AA$5,TF_Dom,0)),Aktiviteter,0)))&amp;IF(OR(COUNTIFS(TF_Nokkel,$A38&amp;"|"&amp;AA$5,TF_Akt,"&lt;&gt;"&amp;INDEX(TF_Akt,MATCH($A38&amp;"|"&amp;AA$5,TF_Dom,0)))&gt;0,AND(IF(AA$9="",0,MAX(0,ROUND((AA$12-SUMIFS(TF_Timer,TF_Nokkel,$A38&amp;"|"&amp;AA$5))*2,0)/2))&gt;0,INDEX(TF_Akt,MATCH($A38&amp;"|"&amp;AA$5,TF_Dom,0))&lt;&gt;"LMS")),"+",""),"?"))))</f>
        <v/>
      </c>
      <c r="AB38" s="13">
        <f>IF(OR($A38="",AB$5=""),"",IF(OR(AND(INDEX(TekFra,21)&gt;0,AB$5&lt;INDEX(TekFra,21)),AND(INDEX(TekTil,21)&gt;0,AB$5&gt;INDEX(TekTil,21))),"",IF(COUNTIFS(TF_Nokkel,$A38&amp;"|"&amp;AB$5)=0,IF(AB$9&lt;&gt;"","LMS",""),IFERROR(IF(SUMIFS(TF_Timer,TF_Nokkel,$A38&amp;"|"&amp;AB$5,TF_Akt,"LMS")+IF(AB$9="",0,MAX(0,ROUND((AB$12-SUMIFS(TF_Timer,TF_Nokkel,$A38&amp;"|"&amp;AB$5))*2,0)/2))&gt;INDEX(TF_AktSum,MATCH($A38&amp;"|"&amp;AB$5,TF_Dom,0)),"LMS",INDEX(AktKode,MATCH(INDEX(TF_Akt,MATCH($A38&amp;"|"&amp;AB$5,TF_Dom,0)),Aktiviteter,0)))&amp;IF(OR(COUNTIFS(TF_Nokkel,$A38&amp;"|"&amp;AB$5,TF_Akt,"&lt;&gt;"&amp;INDEX(TF_Akt,MATCH($A38&amp;"|"&amp;AB$5,TF_Dom,0)))&gt;0,AND(IF(AB$9="",0,MAX(0,ROUND((AB$12-SUMIFS(TF_Timer,TF_Nokkel,$A38&amp;"|"&amp;AB$5))*2,0)/2))&gt;0,INDEX(TF_Akt,MATCH($A38&amp;"|"&amp;AB$5,TF_Dom,0))&lt;&gt;"LMS")),"+",""),"?"))))</f>
        <v/>
      </c>
      <c r="AC38" s="13">
        <f>IF(OR($A38="",AC$5=""),"",IF(OR(AND(INDEX(TekFra,21)&gt;0,AC$5&lt;INDEX(TekFra,21)),AND(INDEX(TekTil,21)&gt;0,AC$5&gt;INDEX(TekTil,21))),"",IF(COUNTIFS(TF_Nokkel,$A38&amp;"|"&amp;AC$5)=0,IF(AC$9&lt;&gt;"","LMS",""),IFERROR(IF(SUMIFS(TF_Timer,TF_Nokkel,$A38&amp;"|"&amp;AC$5,TF_Akt,"LMS")+IF(AC$9="",0,MAX(0,ROUND((AC$12-SUMIFS(TF_Timer,TF_Nokkel,$A38&amp;"|"&amp;AC$5))*2,0)/2))&gt;INDEX(TF_AktSum,MATCH($A38&amp;"|"&amp;AC$5,TF_Dom,0)),"LMS",INDEX(AktKode,MATCH(INDEX(TF_Akt,MATCH($A38&amp;"|"&amp;AC$5,TF_Dom,0)),Aktiviteter,0)))&amp;IF(OR(COUNTIFS(TF_Nokkel,$A38&amp;"|"&amp;AC$5,TF_Akt,"&lt;&gt;"&amp;INDEX(TF_Akt,MATCH($A38&amp;"|"&amp;AC$5,TF_Dom,0)))&gt;0,AND(IF(AC$9="",0,MAX(0,ROUND((AC$12-SUMIFS(TF_Timer,TF_Nokkel,$A38&amp;"|"&amp;AC$5))*2,0)/2))&gt;0,INDEX(TF_Akt,MATCH($A38&amp;"|"&amp;AC$5,TF_Dom,0))&lt;&gt;"LMS")),"+",""),"?"))))</f>
        <v/>
      </c>
      <c r="AD38" s="13">
        <f>IF(OR($A38="",AD$5=""),"",IF(OR(AND(INDEX(TekFra,21)&gt;0,AD$5&lt;INDEX(TekFra,21)),AND(INDEX(TekTil,21)&gt;0,AD$5&gt;INDEX(TekTil,21))),"",IF(COUNTIFS(TF_Nokkel,$A38&amp;"|"&amp;AD$5)=0,IF(AD$9&lt;&gt;"","LMS",""),IFERROR(IF(SUMIFS(TF_Timer,TF_Nokkel,$A38&amp;"|"&amp;AD$5,TF_Akt,"LMS")+IF(AD$9="",0,MAX(0,ROUND((AD$12-SUMIFS(TF_Timer,TF_Nokkel,$A38&amp;"|"&amp;AD$5))*2,0)/2))&gt;INDEX(TF_AktSum,MATCH($A38&amp;"|"&amp;AD$5,TF_Dom,0)),"LMS",INDEX(AktKode,MATCH(INDEX(TF_Akt,MATCH($A38&amp;"|"&amp;AD$5,TF_Dom,0)),Aktiviteter,0)))&amp;IF(OR(COUNTIFS(TF_Nokkel,$A38&amp;"|"&amp;AD$5,TF_Akt,"&lt;&gt;"&amp;INDEX(TF_Akt,MATCH($A38&amp;"|"&amp;AD$5,TF_Dom,0)))&gt;0,AND(IF(AD$9="",0,MAX(0,ROUND((AD$12-SUMIFS(TF_Timer,TF_Nokkel,$A38&amp;"|"&amp;AD$5))*2,0)/2))&gt;0,INDEX(TF_Akt,MATCH($A38&amp;"|"&amp;AD$5,TF_Dom,0))&lt;&gt;"LMS")),"+",""),"?"))))</f>
        <v/>
      </c>
      <c r="AE38" s="13">
        <f>IF(OR($A38="",AE$5=""),"",IF(OR(AND(INDEX(TekFra,21)&gt;0,AE$5&lt;INDEX(TekFra,21)),AND(INDEX(TekTil,21)&gt;0,AE$5&gt;INDEX(TekTil,21))),"",IF(COUNTIFS(TF_Nokkel,$A38&amp;"|"&amp;AE$5)=0,IF(AE$9&lt;&gt;"","LMS",""),IFERROR(IF(SUMIFS(TF_Timer,TF_Nokkel,$A38&amp;"|"&amp;AE$5,TF_Akt,"LMS")+IF(AE$9="",0,MAX(0,ROUND((AE$12-SUMIFS(TF_Timer,TF_Nokkel,$A38&amp;"|"&amp;AE$5))*2,0)/2))&gt;INDEX(TF_AktSum,MATCH($A38&amp;"|"&amp;AE$5,TF_Dom,0)),"LMS",INDEX(AktKode,MATCH(INDEX(TF_Akt,MATCH($A38&amp;"|"&amp;AE$5,TF_Dom,0)),Aktiviteter,0)))&amp;IF(OR(COUNTIFS(TF_Nokkel,$A38&amp;"|"&amp;AE$5,TF_Akt,"&lt;&gt;"&amp;INDEX(TF_Akt,MATCH($A38&amp;"|"&amp;AE$5,TF_Dom,0)))&gt;0,AND(IF(AE$9="",0,MAX(0,ROUND((AE$12-SUMIFS(TF_Timer,TF_Nokkel,$A38&amp;"|"&amp;AE$5))*2,0)/2))&gt;0,INDEX(TF_Akt,MATCH($A38&amp;"|"&amp;AE$5,TF_Dom,0))&lt;&gt;"LMS")),"+",""),"?"))))</f>
        <v/>
      </c>
      <c r="AF38" s="13">
        <f>IF(OR($A38="",AF$5=""),"",IF(OR(AND(INDEX(TekFra,21)&gt;0,AF$5&lt;INDEX(TekFra,21)),AND(INDEX(TekTil,21)&gt;0,AF$5&gt;INDEX(TekTil,21))),"",IF(COUNTIFS(TF_Nokkel,$A38&amp;"|"&amp;AF$5)=0,IF(AF$9&lt;&gt;"","LMS",""),IFERROR(IF(SUMIFS(TF_Timer,TF_Nokkel,$A38&amp;"|"&amp;AF$5,TF_Akt,"LMS")+IF(AF$9="",0,MAX(0,ROUND((AF$12-SUMIFS(TF_Timer,TF_Nokkel,$A38&amp;"|"&amp;AF$5))*2,0)/2))&gt;INDEX(TF_AktSum,MATCH($A38&amp;"|"&amp;AF$5,TF_Dom,0)),"LMS",INDEX(AktKode,MATCH(INDEX(TF_Akt,MATCH($A38&amp;"|"&amp;AF$5,TF_Dom,0)),Aktiviteter,0)))&amp;IF(OR(COUNTIFS(TF_Nokkel,$A38&amp;"|"&amp;AF$5,TF_Akt,"&lt;&gt;"&amp;INDEX(TF_Akt,MATCH($A38&amp;"|"&amp;AF$5,TF_Dom,0)))&gt;0,AND(IF(AF$9="",0,MAX(0,ROUND((AF$12-SUMIFS(TF_Timer,TF_Nokkel,$A38&amp;"|"&amp;AF$5))*2,0)/2))&gt;0,INDEX(TF_Akt,MATCH($A38&amp;"|"&amp;AF$5,TF_Dom,0))&lt;&gt;"LMS")),"+",""),"?"))))</f>
        <v/>
      </c>
      <c r="AG38" s="13">
        <f>IF(OR($A38="",AG$5=""),"",IF(OR(AND(INDEX(TekFra,21)&gt;0,AG$5&lt;INDEX(TekFra,21)),AND(INDEX(TekTil,21)&gt;0,AG$5&gt;INDEX(TekTil,21))),"",IF(COUNTIFS(TF_Nokkel,$A38&amp;"|"&amp;AG$5)=0,IF(AG$9&lt;&gt;"","LMS",""),IFERROR(IF(SUMIFS(TF_Timer,TF_Nokkel,$A38&amp;"|"&amp;AG$5,TF_Akt,"LMS")+IF(AG$9="",0,MAX(0,ROUND((AG$12-SUMIFS(TF_Timer,TF_Nokkel,$A38&amp;"|"&amp;AG$5))*2,0)/2))&gt;INDEX(TF_AktSum,MATCH($A38&amp;"|"&amp;AG$5,TF_Dom,0)),"LMS",INDEX(AktKode,MATCH(INDEX(TF_Akt,MATCH($A38&amp;"|"&amp;AG$5,TF_Dom,0)),Aktiviteter,0)))&amp;IF(OR(COUNTIFS(TF_Nokkel,$A38&amp;"|"&amp;AG$5,TF_Akt,"&lt;&gt;"&amp;INDEX(TF_Akt,MATCH($A38&amp;"|"&amp;AG$5,TF_Dom,0)))&gt;0,AND(IF(AG$9="",0,MAX(0,ROUND((AG$12-SUMIFS(TF_Timer,TF_Nokkel,$A38&amp;"|"&amp;AG$5))*2,0)/2))&gt;0,INDEX(TF_Akt,MATCH($A38&amp;"|"&amp;AG$5,TF_Dom,0))&lt;&gt;"LMS")),"+",""),"?"))))</f>
        <v/>
      </c>
      <c r="AH38" s="2" t="n"/>
      <c r="AI38" s="2" t="n"/>
      <c r="AJ38" s="2" t="n"/>
    </row>
    <row r="39">
      <c r="A39" s="2">
        <f>INDEX(Teknikere,22)&amp;""</f>
        <v/>
      </c>
      <c r="B39" s="12">
        <f>IF(INDEX(TekFra,22)&gt;0,"ekstra","")</f>
        <v/>
      </c>
      <c r="C39" s="13">
        <f>IF(OR($A39="",C$5=""),"",IF(OR(AND(INDEX(TekFra,22)&gt;0,C$5&lt;INDEX(TekFra,22)),AND(INDEX(TekTil,22)&gt;0,C$5&gt;INDEX(TekTil,22))),"",IF(COUNTIFS(TF_Nokkel,$A39&amp;"|"&amp;C$5)=0,IF(C$9&lt;&gt;"","LMS",""),IFERROR(IF(SUMIFS(TF_Timer,TF_Nokkel,$A39&amp;"|"&amp;C$5,TF_Akt,"LMS")+IF(C$9="",0,MAX(0,ROUND((C$12-SUMIFS(TF_Timer,TF_Nokkel,$A39&amp;"|"&amp;C$5))*2,0)/2))&gt;INDEX(TF_AktSum,MATCH($A39&amp;"|"&amp;C$5,TF_Dom,0)),"LMS",INDEX(AktKode,MATCH(INDEX(TF_Akt,MATCH($A39&amp;"|"&amp;C$5,TF_Dom,0)),Aktiviteter,0)))&amp;IF(OR(COUNTIFS(TF_Nokkel,$A39&amp;"|"&amp;C$5,TF_Akt,"&lt;&gt;"&amp;INDEX(TF_Akt,MATCH($A39&amp;"|"&amp;C$5,TF_Dom,0)))&gt;0,AND(IF(C$9="",0,MAX(0,ROUND((C$12-SUMIFS(TF_Timer,TF_Nokkel,$A39&amp;"|"&amp;C$5))*2,0)/2))&gt;0,INDEX(TF_Akt,MATCH($A39&amp;"|"&amp;C$5,TF_Dom,0))&lt;&gt;"LMS")),"+",""),"?"))))</f>
        <v/>
      </c>
      <c r="D39" s="13">
        <f>IF(OR($A39="",D$5=""),"",IF(OR(AND(INDEX(TekFra,22)&gt;0,D$5&lt;INDEX(TekFra,22)),AND(INDEX(TekTil,22)&gt;0,D$5&gt;INDEX(TekTil,22))),"",IF(COUNTIFS(TF_Nokkel,$A39&amp;"|"&amp;D$5)=0,IF(D$9&lt;&gt;"","LMS",""),IFERROR(IF(SUMIFS(TF_Timer,TF_Nokkel,$A39&amp;"|"&amp;D$5,TF_Akt,"LMS")+IF(D$9="",0,MAX(0,ROUND((D$12-SUMIFS(TF_Timer,TF_Nokkel,$A39&amp;"|"&amp;D$5))*2,0)/2))&gt;INDEX(TF_AktSum,MATCH($A39&amp;"|"&amp;D$5,TF_Dom,0)),"LMS",INDEX(AktKode,MATCH(INDEX(TF_Akt,MATCH($A39&amp;"|"&amp;D$5,TF_Dom,0)),Aktiviteter,0)))&amp;IF(OR(COUNTIFS(TF_Nokkel,$A39&amp;"|"&amp;D$5,TF_Akt,"&lt;&gt;"&amp;INDEX(TF_Akt,MATCH($A39&amp;"|"&amp;D$5,TF_Dom,0)))&gt;0,AND(IF(D$9="",0,MAX(0,ROUND((D$12-SUMIFS(TF_Timer,TF_Nokkel,$A39&amp;"|"&amp;D$5))*2,0)/2))&gt;0,INDEX(TF_Akt,MATCH($A39&amp;"|"&amp;D$5,TF_Dom,0))&lt;&gt;"LMS")),"+",""),"?"))))</f>
        <v/>
      </c>
      <c r="E39" s="13">
        <f>IF(OR($A39="",E$5=""),"",IF(OR(AND(INDEX(TekFra,22)&gt;0,E$5&lt;INDEX(TekFra,22)),AND(INDEX(TekTil,22)&gt;0,E$5&gt;INDEX(TekTil,22))),"",IF(COUNTIFS(TF_Nokkel,$A39&amp;"|"&amp;E$5)=0,IF(E$9&lt;&gt;"","LMS",""),IFERROR(IF(SUMIFS(TF_Timer,TF_Nokkel,$A39&amp;"|"&amp;E$5,TF_Akt,"LMS")+IF(E$9="",0,MAX(0,ROUND((E$12-SUMIFS(TF_Timer,TF_Nokkel,$A39&amp;"|"&amp;E$5))*2,0)/2))&gt;INDEX(TF_AktSum,MATCH($A39&amp;"|"&amp;E$5,TF_Dom,0)),"LMS",INDEX(AktKode,MATCH(INDEX(TF_Akt,MATCH($A39&amp;"|"&amp;E$5,TF_Dom,0)),Aktiviteter,0)))&amp;IF(OR(COUNTIFS(TF_Nokkel,$A39&amp;"|"&amp;E$5,TF_Akt,"&lt;&gt;"&amp;INDEX(TF_Akt,MATCH($A39&amp;"|"&amp;E$5,TF_Dom,0)))&gt;0,AND(IF(E$9="",0,MAX(0,ROUND((E$12-SUMIFS(TF_Timer,TF_Nokkel,$A39&amp;"|"&amp;E$5))*2,0)/2))&gt;0,INDEX(TF_Akt,MATCH($A39&amp;"|"&amp;E$5,TF_Dom,0))&lt;&gt;"LMS")),"+",""),"?"))))</f>
        <v/>
      </c>
      <c r="F39" s="13">
        <f>IF(OR($A39="",F$5=""),"",IF(OR(AND(INDEX(TekFra,22)&gt;0,F$5&lt;INDEX(TekFra,22)),AND(INDEX(TekTil,22)&gt;0,F$5&gt;INDEX(TekTil,22))),"",IF(COUNTIFS(TF_Nokkel,$A39&amp;"|"&amp;F$5)=0,IF(F$9&lt;&gt;"","LMS",""),IFERROR(IF(SUMIFS(TF_Timer,TF_Nokkel,$A39&amp;"|"&amp;F$5,TF_Akt,"LMS")+IF(F$9="",0,MAX(0,ROUND((F$12-SUMIFS(TF_Timer,TF_Nokkel,$A39&amp;"|"&amp;F$5))*2,0)/2))&gt;INDEX(TF_AktSum,MATCH($A39&amp;"|"&amp;F$5,TF_Dom,0)),"LMS",INDEX(AktKode,MATCH(INDEX(TF_Akt,MATCH($A39&amp;"|"&amp;F$5,TF_Dom,0)),Aktiviteter,0)))&amp;IF(OR(COUNTIFS(TF_Nokkel,$A39&amp;"|"&amp;F$5,TF_Akt,"&lt;&gt;"&amp;INDEX(TF_Akt,MATCH($A39&amp;"|"&amp;F$5,TF_Dom,0)))&gt;0,AND(IF(F$9="",0,MAX(0,ROUND((F$12-SUMIFS(TF_Timer,TF_Nokkel,$A39&amp;"|"&amp;F$5))*2,0)/2))&gt;0,INDEX(TF_Akt,MATCH($A39&amp;"|"&amp;F$5,TF_Dom,0))&lt;&gt;"LMS")),"+",""),"?"))))</f>
        <v/>
      </c>
      <c r="G39" s="13">
        <f>IF(OR($A39="",G$5=""),"",IF(OR(AND(INDEX(TekFra,22)&gt;0,G$5&lt;INDEX(TekFra,22)),AND(INDEX(TekTil,22)&gt;0,G$5&gt;INDEX(TekTil,22))),"",IF(COUNTIFS(TF_Nokkel,$A39&amp;"|"&amp;G$5)=0,IF(G$9&lt;&gt;"","LMS",""),IFERROR(IF(SUMIFS(TF_Timer,TF_Nokkel,$A39&amp;"|"&amp;G$5,TF_Akt,"LMS")+IF(G$9="",0,MAX(0,ROUND((G$12-SUMIFS(TF_Timer,TF_Nokkel,$A39&amp;"|"&amp;G$5))*2,0)/2))&gt;INDEX(TF_AktSum,MATCH($A39&amp;"|"&amp;G$5,TF_Dom,0)),"LMS",INDEX(AktKode,MATCH(INDEX(TF_Akt,MATCH($A39&amp;"|"&amp;G$5,TF_Dom,0)),Aktiviteter,0)))&amp;IF(OR(COUNTIFS(TF_Nokkel,$A39&amp;"|"&amp;G$5,TF_Akt,"&lt;&gt;"&amp;INDEX(TF_Akt,MATCH($A39&amp;"|"&amp;G$5,TF_Dom,0)))&gt;0,AND(IF(G$9="",0,MAX(0,ROUND((G$12-SUMIFS(TF_Timer,TF_Nokkel,$A39&amp;"|"&amp;G$5))*2,0)/2))&gt;0,INDEX(TF_Akt,MATCH($A39&amp;"|"&amp;G$5,TF_Dom,0))&lt;&gt;"LMS")),"+",""),"?"))))</f>
        <v/>
      </c>
      <c r="H39" s="13">
        <f>IF(OR($A39="",H$5=""),"",IF(OR(AND(INDEX(TekFra,22)&gt;0,H$5&lt;INDEX(TekFra,22)),AND(INDEX(TekTil,22)&gt;0,H$5&gt;INDEX(TekTil,22))),"",IF(COUNTIFS(TF_Nokkel,$A39&amp;"|"&amp;H$5)=0,IF(H$9&lt;&gt;"","LMS",""),IFERROR(IF(SUMIFS(TF_Timer,TF_Nokkel,$A39&amp;"|"&amp;H$5,TF_Akt,"LMS")+IF(H$9="",0,MAX(0,ROUND((H$12-SUMIFS(TF_Timer,TF_Nokkel,$A39&amp;"|"&amp;H$5))*2,0)/2))&gt;INDEX(TF_AktSum,MATCH($A39&amp;"|"&amp;H$5,TF_Dom,0)),"LMS",INDEX(AktKode,MATCH(INDEX(TF_Akt,MATCH($A39&amp;"|"&amp;H$5,TF_Dom,0)),Aktiviteter,0)))&amp;IF(OR(COUNTIFS(TF_Nokkel,$A39&amp;"|"&amp;H$5,TF_Akt,"&lt;&gt;"&amp;INDEX(TF_Akt,MATCH($A39&amp;"|"&amp;H$5,TF_Dom,0)))&gt;0,AND(IF(H$9="",0,MAX(0,ROUND((H$12-SUMIFS(TF_Timer,TF_Nokkel,$A39&amp;"|"&amp;H$5))*2,0)/2))&gt;0,INDEX(TF_Akt,MATCH($A39&amp;"|"&amp;H$5,TF_Dom,0))&lt;&gt;"LMS")),"+",""),"?"))))</f>
        <v/>
      </c>
      <c r="I39" s="13">
        <f>IF(OR($A39="",I$5=""),"",IF(OR(AND(INDEX(TekFra,22)&gt;0,I$5&lt;INDEX(TekFra,22)),AND(INDEX(TekTil,22)&gt;0,I$5&gt;INDEX(TekTil,22))),"",IF(COUNTIFS(TF_Nokkel,$A39&amp;"|"&amp;I$5)=0,IF(I$9&lt;&gt;"","LMS",""),IFERROR(IF(SUMIFS(TF_Timer,TF_Nokkel,$A39&amp;"|"&amp;I$5,TF_Akt,"LMS")+IF(I$9="",0,MAX(0,ROUND((I$12-SUMIFS(TF_Timer,TF_Nokkel,$A39&amp;"|"&amp;I$5))*2,0)/2))&gt;INDEX(TF_AktSum,MATCH($A39&amp;"|"&amp;I$5,TF_Dom,0)),"LMS",INDEX(AktKode,MATCH(INDEX(TF_Akt,MATCH($A39&amp;"|"&amp;I$5,TF_Dom,0)),Aktiviteter,0)))&amp;IF(OR(COUNTIFS(TF_Nokkel,$A39&amp;"|"&amp;I$5,TF_Akt,"&lt;&gt;"&amp;INDEX(TF_Akt,MATCH($A39&amp;"|"&amp;I$5,TF_Dom,0)))&gt;0,AND(IF(I$9="",0,MAX(0,ROUND((I$12-SUMIFS(TF_Timer,TF_Nokkel,$A39&amp;"|"&amp;I$5))*2,0)/2))&gt;0,INDEX(TF_Akt,MATCH($A39&amp;"|"&amp;I$5,TF_Dom,0))&lt;&gt;"LMS")),"+",""),"?"))))</f>
        <v/>
      </c>
      <c r="J39" s="13">
        <f>IF(OR($A39="",J$5=""),"",IF(OR(AND(INDEX(TekFra,22)&gt;0,J$5&lt;INDEX(TekFra,22)),AND(INDEX(TekTil,22)&gt;0,J$5&gt;INDEX(TekTil,22))),"",IF(COUNTIFS(TF_Nokkel,$A39&amp;"|"&amp;J$5)=0,IF(J$9&lt;&gt;"","LMS",""),IFERROR(IF(SUMIFS(TF_Timer,TF_Nokkel,$A39&amp;"|"&amp;J$5,TF_Akt,"LMS")+IF(J$9="",0,MAX(0,ROUND((J$12-SUMIFS(TF_Timer,TF_Nokkel,$A39&amp;"|"&amp;J$5))*2,0)/2))&gt;INDEX(TF_AktSum,MATCH($A39&amp;"|"&amp;J$5,TF_Dom,0)),"LMS",INDEX(AktKode,MATCH(INDEX(TF_Akt,MATCH($A39&amp;"|"&amp;J$5,TF_Dom,0)),Aktiviteter,0)))&amp;IF(OR(COUNTIFS(TF_Nokkel,$A39&amp;"|"&amp;J$5,TF_Akt,"&lt;&gt;"&amp;INDEX(TF_Akt,MATCH($A39&amp;"|"&amp;J$5,TF_Dom,0)))&gt;0,AND(IF(J$9="",0,MAX(0,ROUND((J$12-SUMIFS(TF_Timer,TF_Nokkel,$A39&amp;"|"&amp;J$5))*2,0)/2))&gt;0,INDEX(TF_Akt,MATCH($A39&amp;"|"&amp;J$5,TF_Dom,0))&lt;&gt;"LMS")),"+",""),"?"))))</f>
        <v/>
      </c>
      <c r="K39" s="13">
        <f>IF(OR($A39="",K$5=""),"",IF(OR(AND(INDEX(TekFra,22)&gt;0,K$5&lt;INDEX(TekFra,22)),AND(INDEX(TekTil,22)&gt;0,K$5&gt;INDEX(TekTil,22))),"",IF(COUNTIFS(TF_Nokkel,$A39&amp;"|"&amp;K$5)=0,IF(K$9&lt;&gt;"","LMS",""),IFERROR(IF(SUMIFS(TF_Timer,TF_Nokkel,$A39&amp;"|"&amp;K$5,TF_Akt,"LMS")+IF(K$9="",0,MAX(0,ROUND((K$12-SUMIFS(TF_Timer,TF_Nokkel,$A39&amp;"|"&amp;K$5))*2,0)/2))&gt;INDEX(TF_AktSum,MATCH($A39&amp;"|"&amp;K$5,TF_Dom,0)),"LMS",INDEX(AktKode,MATCH(INDEX(TF_Akt,MATCH($A39&amp;"|"&amp;K$5,TF_Dom,0)),Aktiviteter,0)))&amp;IF(OR(COUNTIFS(TF_Nokkel,$A39&amp;"|"&amp;K$5,TF_Akt,"&lt;&gt;"&amp;INDEX(TF_Akt,MATCH($A39&amp;"|"&amp;K$5,TF_Dom,0)))&gt;0,AND(IF(K$9="",0,MAX(0,ROUND((K$12-SUMIFS(TF_Timer,TF_Nokkel,$A39&amp;"|"&amp;K$5))*2,0)/2))&gt;0,INDEX(TF_Akt,MATCH($A39&amp;"|"&amp;K$5,TF_Dom,0))&lt;&gt;"LMS")),"+",""),"?"))))</f>
        <v/>
      </c>
      <c r="L39" s="13">
        <f>IF(OR($A39="",L$5=""),"",IF(OR(AND(INDEX(TekFra,22)&gt;0,L$5&lt;INDEX(TekFra,22)),AND(INDEX(TekTil,22)&gt;0,L$5&gt;INDEX(TekTil,22))),"",IF(COUNTIFS(TF_Nokkel,$A39&amp;"|"&amp;L$5)=0,IF(L$9&lt;&gt;"","LMS",""),IFERROR(IF(SUMIFS(TF_Timer,TF_Nokkel,$A39&amp;"|"&amp;L$5,TF_Akt,"LMS")+IF(L$9="",0,MAX(0,ROUND((L$12-SUMIFS(TF_Timer,TF_Nokkel,$A39&amp;"|"&amp;L$5))*2,0)/2))&gt;INDEX(TF_AktSum,MATCH($A39&amp;"|"&amp;L$5,TF_Dom,0)),"LMS",INDEX(AktKode,MATCH(INDEX(TF_Akt,MATCH($A39&amp;"|"&amp;L$5,TF_Dom,0)),Aktiviteter,0)))&amp;IF(OR(COUNTIFS(TF_Nokkel,$A39&amp;"|"&amp;L$5,TF_Akt,"&lt;&gt;"&amp;INDEX(TF_Akt,MATCH($A39&amp;"|"&amp;L$5,TF_Dom,0)))&gt;0,AND(IF(L$9="",0,MAX(0,ROUND((L$12-SUMIFS(TF_Timer,TF_Nokkel,$A39&amp;"|"&amp;L$5))*2,0)/2))&gt;0,INDEX(TF_Akt,MATCH($A39&amp;"|"&amp;L$5,TF_Dom,0))&lt;&gt;"LMS")),"+",""),"?"))))</f>
        <v/>
      </c>
      <c r="M39" s="13">
        <f>IF(OR($A39="",M$5=""),"",IF(OR(AND(INDEX(TekFra,22)&gt;0,M$5&lt;INDEX(TekFra,22)),AND(INDEX(TekTil,22)&gt;0,M$5&gt;INDEX(TekTil,22))),"",IF(COUNTIFS(TF_Nokkel,$A39&amp;"|"&amp;M$5)=0,IF(M$9&lt;&gt;"","LMS",""),IFERROR(IF(SUMIFS(TF_Timer,TF_Nokkel,$A39&amp;"|"&amp;M$5,TF_Akt,"LMS")+IF(M$9="",0,MAX(0,ROUND((M$12-SUMIFS(TF_Timer,TF_Nokkel,$A39&amp;"|"&amp;M$5))*2,0)/2))&gt;INDEX(TF_AktSum,MATCH($A39&amp;"|"&amp;M$5,TF_Dom,0)),"LMS",INDEX(AktKode,MATCH(INDEX(TF_Akt,MATCH($A39&amp;"|"&amp;M$5,TF_Dom,0)),Aktiviteter,0)))&amp;IF(OR(COUNTIFS(TF_Nokkel,$A39&amp;"|"&amp;M$5,TF_Akt,"&lt;&gt;"&amp;INDEX(TF_Akt,MATCH($A39&amp;"|"&amp;M$5,TF_Dom,0)))&gt;0,AND(IF(M$9="",0,MAX(0,ROUND((M$12-SUMIFS(TF_Timer,TF_Nokkel,$A39&amp;"|"&amp;M$5))*2,0)/2))&gt;0,INDEX(TF_Akt,MATCH($A39&amp;"|"&amp;M$5,TF_Dom,0))&lt;&gt;"LMS")),"+",""),"?"))))</f>
        <v/>
      </c>
      <c r="N39" s="13">
        <f>IF(OR($A39="",N$5=""),"",IF(OR(AND(INDEX(TekFra,22)&gt;0,N$5&lt;INDEX(TekFra,22)),AND(INDEX(TekTil,22)&gt;0,N$5&gt;INDEX(TekTil,22))),"",IF(COUNTIFS(TF_Nokkel,$A39&amp;"|"&amp;N$5)=0,IF(N$9&lt;&gt;"","LMS",""),IFERROR(IF(SUMIFS(TF_Timer,TF_Nokkel,$A39&amp;"|"&amp;N$5,TF_Akt,"LMS")+IF(N$9="",0,MAX(0,ROUND((N$12-SUMIFS(TF_Timer,TF_Nokkel,$A39&amp;"|"&amp;N$5))*2,0)/2))&gt;INDEX(TF_AktSum,MATCH($A39&amp;"|"&amp;N$5,TF_Dom,0)),"LMS",INDEX(AktKode,MATCH(INDEX(TF_Akt,MATCH($A39&amp;"|"&amp;N$5,TF_Dom,0)),Aktiviteter,0)))&amp;IF(OR(COUNTIFS(TF_Nokkel,$A39&amp;"|"&amp;N$5,TF_Akt,"&lt;&gt;"&amp;INDEX(TF_Akt,MATCH($A39&amp;"|"&amp;N$5,TF_Dom,0)))&gt;0,AND(IF(N$9="",0,MAX(0,ROUND((N$12-SUMIFS(TF_Timer,TF_Nokkel,$A39&amp;"|"&amp;N$5))*2,0)/2))&gt;0,INDEX(TF_Akt,MATCH($A39&amp;"|"&amp;N$5,TF_Dom,0))&lt;&gt;"LMS")),"+",""),"?"))))</f>
        <v/>
      </c>
      <c r="O39" s="13">
        <f>IF(OR($A39="",O$5=""),"",IF(OR(AND(INDEX(TekFra,22)&gt;0,O$5&lt;INDEX(TekFra,22)),AND(INDEX(TekTil,22)&gt;0,O$5&gt;INDEX(TekTil,22))),"",IF(COUNTIFS(TF_Nokkel,$A39&amp;"|"&amp;O$5)=0,IF(O$9&lt;&gt;"","LMS",""),IFERROR(IF(SUMIFS(TF_Timer,TF_Nokkel,$A39&amp;"|"&amp;O$5,TF_Akt,"LMS")+IF(O$9="",0,MAX(0,ROUND((O$12-SUMIFS(TF_Timer,TF_Nokkel,$A39&amp;"|"&amp;O$5))*2,0)/2))&gt;INDEX(TF_AktSum,MATCH($A39&amp;"|"&amp;O$5,TF_Dom,0)),"LMS",INDEX(AktKode,MATCH(INDEX(TF_Akt,MATCH($A39&amp;"|"&amp;O$5,TF_Dom,0)),Aktiviteter,0)))&amp;IF(OR(COUNTIFS(TF_Nokkel,$A39&amp;"|"&amp;O$5,TF_Akt,"&lt;&gt;"&amp;INDEX(TF_Akt,MATCH($A39&amp;"|"&amp;O$5,TF_Dom,0)))&gt;0,AND(IF(O$9="",0,MAX(0,ROUND((O$12-SUMIFS(TF_Timer,TF_Nokkel,$A39&amp;"|"&amp;O$5))*2,0)/2))&gt;0,INDEX(TF_Akt,MATCH($A39&amp;"|"&amp;O$5,TF_Dom,0))&lt;&gt;"LMS")),"+",""),"?"))))</f>
        <v/>
      </c>
      <c r="P39" s="13">
        <f>IF(OR($A39="",P$5=""),"",IF(OR(AND(INDEX(TekFra,22)&gt;0,P$5&lt;INDEX(TekFra,22)),AND(INDEX(TekTil,22)&gt;0,P$5&gt;INDEX(TekTil,22))),"",IF(COUNTIFS(TF_Nokkel,$A39&amp;"|"&amp;P$5)=0,IF(P$9&lt;&gt;"","LMS",""),IFERROR(IF(SUMIFS(TF_Timer,TF_Nokkel,$A39&amp;"|"&amp;P$5,TF_Akt,"LMS")+IF(P$9="",0,MAX(0,ROUND((P$12-SUMIFS(TF_Timer,TF_Nokkel,$A39&amp;"|"&amp;P$5))*2,0)/2))&gt;INDEX(TF_AktSum,MATCH($A39&amp;"|"&amp;P$5,TF_Dom,0)),"LMS",INDEX(AktKode,MATCH(INDEX(TF_Akt,MATCH($A39&amp;"|"&amp;P$5,TF_Dom,0)),Aktiviteter,0)))&amp;IF(OR(COUNTIFS(TF_Nokkel,$A39&amp;"|"&amp;P$5,TF_Akt,"&lt;&gt;"&amp;INDEX(TF_Akt,MATCH($A39&amp;"|"&amp;P$5,TF_Dom,0)))&gt;0,AND(IF(P$9="",0,MAX(0,ROUND((P$12-SUMIFS(TF_Timer,TF_Nokkel,$A39&amp;"|"&amp;P$5))*2,0)/2))&gt;0,INDEX(TF_Akt,MATCH($A39&amp;"|"&amp;P$5,TF_Dom,0))&lt;&gt;"LMS")),"+",""),"?"))))</f>
        <v/>
      </c>
      <c r="Q39" s="13">
        <f>IF(OR($A39="",Q$5=""),"",IF(OR(AND(INDEX(TekFra,22)&gt;0,Q$5&lt;INDEX(TekFra,22)),AND(INDEX(TekTil,22)&gt;0,Q$5&gt;INDEX(TekTil,22))),"",IF(COUNTIFS(TF_Nokkel,$A39&amp;"|"&amp;Q$5)=0,IF(Q$9&lt;&gt;"","LMS",""),IFERROR(IF(SUMIFS(TF_Timer,TF_Nokkel,$A39&amp;"|"&amp;Q$5,TF_Akt,"LMS")+IF(Q$9="",0,MAX(0,ROUND((Q$12-SUMIFS(TF_Timer,TF_Nokkel,$A39&amp;"|"&amp;Q$5))*2,0)/2))&gt;INDEX(TF_AktSum,MATCH($A39&amp;"|"&amp;Q$5,TF_Dom,0)),"LMS",INDEX(AktKode,MATCH(INDEX(TF_Akt,MATCH($A39&amp;"|"&amp;Q$5,TF_Dom,0)),Aktiviteter,0)))&amp;IF(OR(COUNTIFS(TF_Nokkel,$A39&amp;"|"&amp;Q$5,TF_Akt,"&lt;&gt;"&amp;INDEX(TF_Akt,MATCH($A39&amp;"|"&amp;Q$5,TF_Dom,0)))&gt;0,AND(IF(Q$9="",0,MAX(0,ROUND((Q$12-SUMIFS(TF_Timer,TF_Nokkel,$A39&amp;"|"&amp;Q$5))*2,0)/2))&gt;0,INDEX(TF_Akt,MATCH($A39&amp;"|"&amp;Q$5,TF_Dom,0))&lt;&gt;"LMS")),"+",""),"?"))))</f>
        <v/>
      </c>
      <c r="R39" s="13">
        <f>IF(OR($A39="",R$5=""),"",IF(OR(AND(INDEX(TekFra,22)&gt;0,R$5&lt;INDEX(TekFra,22)),AND(INDEX(TekTil,22)&gt;0,R$5&gt;INDEX(TekTil,22))),"",IF(COUNTIFS(TF_Nokkel,$A39&amp;"|"&amp;R$5)=0,IF(R$9&lt;&gt;"","LMS",""),IFERROR(IF(SUMIFS(TF_Timer,TF_Nokkel,$A39&amp;"|"&amp;R$5,TF_Akt,"LMS")+IF(R$9="",0,MAX(0,ROUND((R$12-SUMIFS(TF_Timer,TF_Nokkel,$A39&amp;"|"&amp;R$5))*2,0)/2))&gt;INDEX(TF_AktSum,MATCH($A39&amp;"|"&amp;R$5,TF_Dom,0)),"LMS",INDEX(AktKode,MATCH(INDEX(TF_Akt,MATCH($A39&amp;"|"&amp;R$5,TF_Dom,0)),Aktiviteter,0)))&amp;IF(OR(COUNTIFS(TF_Nokkel,$A39&amp;"|"&amp;R$5,TF_Akt,"&lt;&gt;"&amp;INDEX(TF_Akt,MATCH($A39&amp;"|"&amp;R$5,TF_Dom,0)))&gt;0,AND(IF(R$9="",0,MAX(0,ROUND((R$12-SUMIFS(TF_Timer,TF_Nokkel,$A39&amp;"|"&amp;R$5))*2,0)/2))&gt;0,INDEX(TF_Akt,MATCH($A39&amp;"|"&amp;R$5,TF_Dom,0))&lt;&gt;"LMS")),"+",""),"?"))))</f>
        <v/>
      </c>
      <c r="S39" s="13">
        <f>IF(OR($A39="",S$5=""),"",IF(OR(AND(INDEX(TekFra,22)&gt;0,S$5&lt;INDEX(TekFra,22)),AND(INDEX(TekTil,22)&gt;0,S$5&gt;INDEX(TekTil,22))),"",IF(COUNTIFS(TF_Nokkel,$A39&amp;"|"&amp;S$5)=0,IF(S$9&lt;&gt;"","LMS",""),IFERROR(IF(SUMIFS(TF_Timer,TF_Nokkel,$A39&amp;"|"&amp;S$5,TF_Akt,"LMS")+IF(S$9="",0,MAX(0,ROUND((S$12-SUMIFS(TF_Timer,TF_Nokkel,$A39&amp;"|"&amp;S$5))*2,0)/2))&gt;INDEX(TF_AktSum,MATCH($A39&amp;"|"&amp;S$5,TF_Dom,0)),"LMS",INDEX(AktKode,MATCH(INDEX(TF_Akt,MATCH($A39&amp;"|"&amp;S$5,TF_Dom,0)),Aktiviteter,0)))&amp;IF(OR(COUNTIFS(TF_Nokkel,$A39&amp;"|"&amp;S$5,TF_Akt,"&lt;&gt;"&amp;INDEX(TF_Akt,MATCH($A39&amp;"|"&amp;S$5,TF_Dom,0)))&gt;0,AND(IF(S$9="",0,MAX(0,ROUND((S$12-SUMIFS(TF_Timer,TF_Nokkel,$A39&amp;"|"&amp;S$5))*2,0)/2))&gt;0,INDEX(TF_Akt,MATCH($A39&amp;"|"&amp;S$5,TF_Dom,0))&lt;&gt;"LMS")),"+",""),"?"))))</f>
        <v/>
      </c>
      <c r="T39" s="13">
        <f>IF(OR($A39="",T$5=""),"",IF(OR(AND(INDEX(TekFra,22)&gt;0,T$5&lt;INDEX(TekFra,22)),AND(INDEX(TekTil,22)&gt;0,T$5&gt;INDEX(TekTil,22))),"",IF(COUNTIFS(TF_Nokkel,$A39&amp;"|"&amp;T$5)=0,IF(T$9&lt;&gt;"","LMS",""),IFERROR(IF(SUMIFS(TF_Timer,TF_Nokkel,$A39&amp;"|"&amp;T$5,TF_Akt,"LMS")+IF(T$9="",0,MAX(0,ROUND((T$12-SUMIFS(TF_Timer,TF_Nokkel,$A39&amp;"|"&amp;T$5))*2,0)/2))&gt;INDEX(TF_AktSum,MATCH($A39&amp;"|"&amp;T$5,TF_Dom,0)),"LMS",INDEX(AktKode,MATCH(INDEX(TF_Akt,MATCH($A39&amp;"|"&amp;T$5,TF_Dom,0)),Aktiviteter,0)))&amp;IF(OR(COUNTIFS(TF_Nokkel,$A39&amp;"|"&amp;T$5,TF_Akt,"&lt;&gt;"&amp;INDEX(TF_Akt,MATCH($A39&amp;"|"&amp;T$5,TF_Dom,0)))&gt;0,AND(IF(T$9="",0,MAX(0,ROUND((T$12-SUMIFS(TF_Timer,TF_Nokkel,$A39&amp;"|"&amp;T$5))*2,0)/2))&gt;0,INDEX(TF_Akt,MATCH($A39&amp;"|"&amp;T$5,TF_Dom,0))&lt;&gt;"LMS")),"+",""),"?"))))</f>
        <v/>
      </c>
      <c r="U39" s="13">
        <f>IF(OR($A39="",U$5=""),"",IF(OR(AND(INDEX(TekFra,22)&gt;0,U$5&lt;INDEX(TekFra,22)),AND(INDEX(TekTil,22)&gt;0,U$5&gt;INDEX(TekTil,22))),"",IF(COUNTIFS(TF_Nokkel,$A39&amp;"|"&amp;U$5)=0,IF(U$9&lt;&gt;"","LMS",""),IFERROR(IF(SUMIFS(TF_Timer,TF_Nokkel,$A39&amp;"|"&amp;U$5,TF_Akt,"LMS")+IF(U$9="",0,MAX(0,ROUND((U$12-SUMIFS(TF_Timer,TF_Nokkel,$A39&amp;"|"&amp;U$5))*2,0)/2))&gt;INDEX(TF_AktSum,MATCH($A39&amp;"|"&amp;U$5,TF_Dom,0)),"LMS",INDEX(AktKode,MATCH(INDEX(TF_Akt,MATCH($A39&amp;"|"&amp;U$5,TF_Dom,0)),Aktiviteter,0)))&amp;IF(OR(COUNTIFS(TF_Nokkel,$A39&amp;"|"&amp;U$5,TF_Akt,"&lt;&gt;"&amp;INDEX(TF_Akt,MATCH($A39&amp;"|"&amp;U$5,TF_Dom,0)))&gt;0,AND(IF(U$9="",0,MAX(0,ROUND((U$12-SUMIFS(TF_Timer,TF_Nokkel,$A39&amp;"|"&amp;U$5))*2,0)/2))&gt;0,INDEX(TF_Akt,MATCH($A39&amp;"|"&amp;U$5,TF_Dom,0))&lt;&gt;"LMS")),"+",""),"?"))))</f>
        <v/>
      </c>
      <c r="V39" s="13">
        <f>IF(OR($A39="",V$5=""),"",IF(OR(AND(INDEX(TekFra,22)&gt;0,V$5&lt;INDEX(TekFra,22)),AND(INDEX(TekTil,22)&gt;0,V$5&gt;INDEX(TekTil,22))),"",IF(COUNTIFS(TF_Nokkel,$A39&amp;"|"&amp;V$5)=0,IF(V$9&lt;&gt;"","LMS",""),IFERROR(IF(SUMIFS(TF_Timer,TF_Nokkel,$A39&amp;"|"&amp;V$5,TF_Akt,"LMS")+IF(V$9="",0,MAX(0,ROUND((V$12-SUMIFS(TF_Timer,TF_Nokkel,$A39&amp;"|"&amp;V$5))*2,0)/2))&gt;INDEX(TF_AktSum,MATCH($A39&amp;"|"&amp;V$5,TF_Dom,0)),"LMS",INDEX(AktKode,MATCH(INDEX(TF_Akt,MATCH($A39&amp;"|"&amp;V$5,TF_Dom,0)),Aktiviteter,0)))&amp;IF(OR(COUNTIFS(TF_Nokkel,$A39&amp;"|"&amp;V$5,TF_Akt,"&lt;&gt;"&amp;INDEX(TF_Akt,MATCH($A39&amp;"|"&amp;V$5,TF_Dom,0)))&gt;0,AND(IF(V$9="",0,MAX(0,ROUND((V$12-SUMIFS(TF_Timer,TF_Nokkel,$A39&amp;"|"&amp;V$5))*2,0)/2))&gt;0,INDEX(TF_Akt,MATCH($A39&amp;"|"&amp;V$5,TF_Dom,0))&lt;&gt;"LMS")),"+",""),"?"))))</f>
        <v/>
      </c>
      <c r="W39" s="13">
        <f>IF(OR($A39="",W$5=""),"",IF(OR(AND(INDEX(TekFra,22)&gt;0,W$5&lt;INDEX(TekFra,22)),AND(INDEX(TekTil,22)&gt;0,W$5&gt;INDEX(TekTil,22))),"",IF(COUNTIFS(TF_Nokkel,$A39&amp;"|"&amp;W$5)=0,IF(W$9&lt;&gt;"","LMS",""),IFERROR(IF(SUMIFS(TF_Timer,TF_Nokkel,$A39&amp;"|"&amp;W$5,TF_Akt,"LMS")+IF(W$9="",0,MAX(0,ROUND((W$12-SUMIFS(TF_Timer,TF_Nokkel,$A39&amp;"|"&amp;W$5))*2,0)/2))&gt;INDEX(TF_AktSum,MATCH($A39&amp;"|"&amp;W$5,TF_Dom,0)),"LMS",INDEX(AktKode,MATCH(INDEX(TF_Akt,MATCH($A39&amp;"|"&amp;W$5,TF_Dom,0)),Aktiviteter,0)))&amp;IF(OR(COUNTIFS(TF_Nokkel,$A39&amp;"|"&amp;W$5,TF_Akt,"&lt;&gt;"&amp;INDEX(TF_Akt,MATCH($A39&amp;"|"&amp;W$5,TF_Dom,0)))&gt;0,AND(IF(W$9="",0,MAX(0,ROUND((W$12-SUMIFS(TF_Timer,TF_Nokkel,$A39&amp;"|"&amp;W$5))*2,0)/2))&gt;0,INDEX(TF_Akt,MATCH($A39&amp;"|"&amp;W$5,TF_Dom,0))&lt;&gt;"LMS")),"+",""),"?"))))</f>
        <v/>
      </c>
      <c r="X39" s="13">
        <f>IF(OR($A39="",X$5=""),"",IF(OR(AND(INDEX(TekFra,22)&gt;0,X$5&lt;INDEX(TekFra,22)),AND(INDEX(TekTil,22)&gt;0,X$5&gt;INDEX(TekTil,22))),"",IF(COUNTIFS(TF_Nokkel,$A39&amp;"|"&amp;X$5)=0,IF(X$9&lt;&gt;"","LMS",""),IFERROR(IF(SUMIFS(TF_Timer,TF_Nokkel,$A39&amp;"|"&amp;X$5,TF_Akt,"LMS")+IF(X$9="",0,MAX(0,ROUND((X$12-SUMIFS(TF_Timer,TF_Nokkel,$A39&amp;"|"&amp;X$5))*2,0)/2))&gt;INDEX(TF_AktSum,MATCH($A39&amp;"|"&amp;X$5,TF_Dom,0)),"LMS",INDEX(AktKode,MATCH(INDEX(TF_Akt,MATCH($A39&amp;"|"&amp;X$5,TF_Dom,0)),Aktiviteter,0)))&amp;IF(OR(COUNTIFS(TF_Nokkel,$A39&amp;"|"&amp;X$5,TF_Akt,"&lt;&gt;"&amp;INDEX(TF_Akt,MATCH($A39&amp;"|"&amp;X$5,TF_Dom,0)))&gt;0,AND(IF(X$9="",0,MAX(0,ROUND((X$12-SUMIFS(TF_Timer,TF_Nokkel,$A39&amp;"|"&amp;X$5))*2,0)/2))&gt;0,INDEX(TF_Akt,MATCH($A39&amp;"|"&amp;X$5,TF_Dom,0))&lt;&gt;"LMS")),"+",""),"?"))))</f>
        <v/>
      </c>
      <c r="Y39" s="13">
        <f>IF(OR($A39="",Y$5=""),"",IF(OR(AND(INDEX(TekFra,22)&gt;0,Y$5&lt;INDEX(TekFra,22)),AND(INDEX(TekTil,22)&gt;0,Y$5&gt;INDEX(TekTil,22))),"",IF(COUNTIFS(TF_Nokkel,$A39&amp;"|"&amp;Y$5)=0,IF(Y$9&lt;&gt;"","LMS",""),IFERROR(IF(SUMIFS(TF_Timer,TF_Nokkel,$A39&amp;"|"&amp;Y$5,TF_Akt,"LMS")+IF(Y$9="",0,MAX(0,ROUND((Y$12-SUMIFS(TF_Timer,TF_Nokkel,$A39&amp;"|"&amp;Y$5))*2,0)/2))&gt;INDEX(TF_AktSum,MATCH($A39&amp;"|"&amp;Y$5,TF_Dom,0)),"LMS",INDEX(AktKode,MATCH(INDEX(TF_Akt,MATCH($A39&amp;"|"&amp;Y$5,TF_Dom,0)),Aktiviteter,0)))&amp;IF(OR(COUNTIFS(TF_Nokkel,$A39&amp;"|"&amp;Y$5,TF_Akt,"&lt;&gt;"&amp;INDEX(TF_Akt,MATCH($A39&amp;"|"&amp;Y$5,TF_Dom,0)))&gt;0,AND(IF(Y$9="",0,MAX(0,ROUND((Y$12-SUMIFS(TF_Timer,TF_Nokkel,$A39&amp;"|"&amp;Y$5))*2,0)/2))&gt;0,INDEX(TF_Akt,MATCH($A39&amp;"|"&amp;Y$5,TF_Dom,0))&lt;&gt;"LMS")),"+",""),"?"))))</f>
        <v/>
      </c>
      <c r="Z39" s="13">
        <f>IF(OR($A39="",Z$5=""),"",IF(OR(AND(INDEX(TekFra,22)&gt;0,Z$5&lt;INDEX(TekFra,22)),AND(INDEX(TekTil,22)&gt;0,Z$5&gt;INDEX(TekTil,22))),"",IF(COUNTIFS(TF_Nokkel,$A39&amp;"|"&amp;Z$5)=0,IF(Z$9&lt;&gt;"","LMS",""),IFERROR(IF(SUMIFS(TF_Timer,TF_Nokkel,$A39&amp;"|"&amp;Z$5,TF_Akt,"LMS")+IF(Z$9="",0,MAX(0,ROUND((Z$12-SUMIFS(TF_Timer,TF_Nokkel,$A39&amp;"|"&amp;Z$5))*2,0)/2))&gt;INDEX(TF_AktSum,MATCH($A39&amp;"|"&amp;Z$5,TF_Dom,0)),"LMS",INDEX(AktKode,MATCH(INDEX(TF_Akt,MATCH($A39&amp;"|"&amp;Z$5,TF_Dom,0)),Aktiviteter,0)))&amp;IF(OR(COUNTIFS(TF_Nokkel,$A39&amp;"|"&amp;Z$5,TF_Akt,"&lt;&gt;"&amp;INDEX(TF_Akt,MATCH($A39&amp;"|"&amp;Z$5,TF_Dom,0)))&gt;0,AND(IF(Z$9="",0,MAX(0,ROUND((Z$12-SUMIFS(TF_Timer,TF_Nokkel,$A39&amp;"|"&amp;Z$5))*2,0)/2))&gt;0,INDEX(TF_Akt,MATCH($A39&amp;"|"&amp;Z$5,TF_Dom,0))&lt;&gt;"LMS")),"+",""),"?"))))</f>
        <v/>
      </c>
      <c r="AA39" s="13">
        <f>IF(OR($A39="",AA$5=""),"",IF(OR(AND(INDEX(TekFra,22)&gt;0,AA$5&lt;INDEX(TekFra,22)),AND(INDEX(TekTil,22)&gt;0,AA$5&gt;INDEX(TekTil,22))),"",IF(COUNTIFS(TF_Nokkel,$A39&amp;"|"&amp;AA$5)=0,IF(AA$9&lt;&gt;"","LMS",""),IFERROR(IF(SUMIFS(TF_Timer,TF_Nokkel,$A39&amp;"|"&amp;AA$5,TF_Akt,"LMS")+IF(AA$9="",0,MAX(0,ROUND((AA$12-SUMIFS(TF_Timer,TF_Nokkel,$A39&amp;"|"&amp;AA$5))*2,0)/2))&gt;INDEX(TF_AktSum,MATCH($A39&amp;"|"&amp;AA$5,TF_Dom,0)),"LMS",INDEX(AktKode,MATCH(INDEX(TF_Akt,MATCH($A39&amp;"|"&amp;AA$5,TF_Dom,0)),Aktiviteter,0)))&amp;IF(OR(COUNTIFS(TF_Nokkel,$A39&amp;"|"&amp;AA$5,TF_Akt,"&lt;&gt;"&amp;INDEX(TF_Akt,MATCH($A39&amp;"|"&amp;AA$5,TF_Dom,0)))&gt;0,AND(IF(AA$9="",0,MAX(0,ROUND((AA$12-SUMIFS(TF_Timer,TF_Nokkel,$A39&amp;"|"&amp;AA$5))*2,0)/2))&gt;0,INDEX(TF_Akt,MATCH($A39&amp;"|"&amp;AA$5,TF_Dom,0))&lt;&gt;"LMS")),"+",""),"?"))))</f>
        <v/>
      </c>
      <c r="AB39" s="13">
        <f>IF(OR($A39="",AB$5=""),"",IF(OR(AND(INDEX(TekFra,22)&gt;0,AB$5&lt;INDEX(TekFra,22)),AND(INDEX(TekTil,22)&gt;0,AB$5&gt;INDEX(TekTil,22))),"",IF(COUNTIFS(TF_Nokkel,$A39&amp;"|"&amp;AB$5)=0,IF(AB$9&lt;&gt;"","LMS",""),IFERROR(IF(SUMIFS(TF_Timer,TF_Nokkel,$A39&amp;"|"&amp;AB$5,TF_Akt,"LMS")+IF(AB$9="",0,MAX(0,ROUND((AB$12-SUMIFS(TF_Timer,TF_Nokkel,$A39&amp;"|"&amp;AB$5))*2,0)/2))&gt;INDEX(TF_AktSum,MATCH($A39&amp;"|"&amp;AB$5,TF_Dom,0)),"LMS",INDEX(AktKode,MATCH(INDEX(TF_Akt,MATCH($A39&amp;"|"&amp;AB$5,TF_Dom,0)),Aktiviteter,0)))&amp;IF(OR(COUNTIFS(TF_Nokkel,$A39&amp;"|"&amp;AB$5,TF_Akt,"&lt;&gt;"&amp;INDEX(TF_Akt,MATCH($A39&amp;"|"&amp;AB$5,TF_Dom,0)))&gt;0,AND(IF(AB$9="",0,MAX(0,ROUND((AB$12-SUMIFS(TF_Timer,TF_Nokkel,$A39&amp;"|"&amp;AB$5))*2,0)/2))&gt;0,INDEX(TF_Akt,MATCH($A39&amp;"|"&amp;AB$5,TF_Dom,0))&lt;&gt;"LMS")),"+",""),"?"))))</f>
        <v/>
      </c>
      <c r="AC39" s="13">
        <f>IF(OR($A39="",AC$5=""),"",IF(OR(AND(INDEX(TekFra,22)&gt;0,AC$5&lt;INDEX(TekFra,22)),AND(INDEX(TekTil,22)&gt;0,AC$5&gt;INDEX(TekTil,22))),"",IF(COUNTIFS(TF_Nokkel,$A39&amp;"|"&amp;AC$5)=0,IF(AC$9&lt;&gt;"","LMS",""),IFERROR(IF(SUMIFS(TF_Timer,TF_Nokkel,$A39&amp;"|"&amp;AC$5,TF_Akt,"LMS")+IF(AC$9="",0,MAX(0,ROUND((AC$12-SUMIFS(TF_Timer,TF_Nokkel,$A39&amp;"|"&amp;AC$5))*2,0)/2))&gt;INDEX(TF_AktSum,MATCH($A39&amp;"|"&amp;AC$5,TF_Dom,0)),"LMS",INDEX(AktKode,MATCH(INDEX(TF_Akt,MATCH($A39&amp;"|"&amp;AC$5,TF_Dom,0)),Aktiviteter,0)))&amp;IF(OR(COUNTIFS(TF_Nokkel,$A39&amp;"|"&amp;AC$5,TF_Akt,"&lt;&gt;"&amp;INDEX(TF_Akt,MATCH($A39&amp;"|"&amp;AC$5,TF_Dom,0)))&gt;0,AND(IF(AC$9="",0,MAX(0,ROUND((AC$12-SUMIFS(TF_Timer,TF_Nokkel,$A39&amp;"|"&amp;AC$5))*2,0)/2))&gt;0,INDEX(TF_Akt,MATCH($A39&amp;"|"&amp;AC$5,TF_Dom,0))&lt;&gt;"LMS")),"+",""),"?"))))</f>
        <v/>
      </c>
      <c r="AD39" s="13">
        <f>IF(OR($A39="",AD$5=""),"",IF(OR(AND(INDEX(TekFra,22)&gt;0,AD$5&lt;INDEX(TekFra,22)),AND(INDEX(TekTil,22)&gt;0,AD$5&gt;INDEX(TekTil,22))),"",IF(COUNTIFS(TF_Nokkel,$A39&amp;"|"&amp;AD$5)=0,IF(AD$9&lt;&gt;"","LMS",""),IFERROR(IF(SUMIFS(TF_Timer,TF_Nokkel,$A39&amp;"|"&amp;AD$5,TF_Akt,"LMS")+IF(AD$9="",0,MAX(0,ROUND((AD$12-SUMIFS(TF_Timer,TF_Nokkel,$A39&amp;"|"&amp;AD$5))*2,0)/2))&gt;INDEX(TF_AktSum,MATCH($A39&amp;"|"&amp;AD$5,TF_Dom,0)),"LMS",INDEX(AktKode,MATCH(INDEX(TF_Akt,MATCH($A39&amp;"|"&amp;AD$5,TF_Dom,0)),Aktiviteter,0)))&amp;IF(OR(COUNTIFS(TF_Nokkel,$A39&amp;"|"&amp;AD$5,TF_Akt,"&lt;&gt;"&amp;INDEX(TF_Akt,MATCH($A39&amp;"|"&amp;AD$5,TF_Dom,0)))&gt;0,AND(IF(AD$9="",0,MAX(0,ROUND((AD$12-SUMIFS(TF_Timer,TF_Nokkel,$A39&amp;"|"&amp;AD$5))*2,0)/2))&gt;0,INDEX(TF_Akt,MATCH($A39&amp;"|"&amp;AD$5,TF_Dom,0))&lt;&gt;"LMS")),"+",""),"?"))))</f>
        <v/>
      </c>
      <c r="AE39" s="13">
        <f>IF(OR($A39="",AE$5=""),"",IF(OR(AND(INDEX(TekFra,22)&gt;0,AE$5&lt;INDEX(TekFra,22)),AND(INDEX(TekTil,22)&gt;0,AE$5&gt;INDEX(TekTil,22))),"",IF(COUNTIFS(TF_Nokkel,$A39&amp;"|"&amp;AE$5)=0,IF(AE$9&lt;&gt;"","LMS",""),IFERROR(IF(SUMIFS(TF_Timer,TF_Nokkel,$A39&amp;"|"&amp;AE$5,TF_Akt,"LMS")+IF(AE$9="",0,MAX(0,ROUND((AE$12-SUMIFS(TF_Timer,TF_Nokkel,$A39&amp;"|"&amp;AE$5))*2,0)/2))&gt;INDEX(TF_AktSum,MATCH($A39&amp;"|"&amp;AE$5,TF_Dom,0)),"LMS",INDEX(AktKode,MATCH(INDEX(TF_Akt,MATCH($A39&amp;"|"&amp;AE$5,TF_Dom,0)),Aktiviteter,0)))&amp;IF(OR(COUNTIFS(TF_Nokkel,$A39&amp;"|"&amp;AE$5,TF_Akt,"&lt;&gt;"&amp;INDEX(TF_Akt,MATCH($A39&amp;"|"&amp;AE$5,TF_Dom,0)))&gt;0,AND(IF(AE$9="",0,MAX(0,ROUND((AE$12-SUMIFS(TF_Timer,TF_Nokkel,$A39&amp;"|"&amp;AE$5))*2,0)/2))&gt;0,INDEX(TF_Akt,MATCH($A39&amp;"|"&amp;AE$5,TF_Dom,0))&lt;&gt;"LMS")),"+",""),"?"))))</f>
        <v/>
      </c>
      <c r="AF39" s="13">
        <f>IF(OR($A39="",AF$5=""),"",IF(OR(AND(INDEX(TekFra,22)&gt;0,AF$5&lt;INDEX(TekFra,22)),AND(INDEX(TekTil,22)&gt;0,AF$5&gt;INDEX(TekTil,22))),"",IF(COUNTIFS(TF_Nokkel,$A39&amp;"|"&amp;AF$5)=0,IF(AF$9&lt;&gt;"","LMS",""),IFERROR(IF(SUMIFS(TF_Timer,TF_Nokkel,$A39&amp;"|"&amp;AF$5,TF_Akt,"LMS")+IF(AF$9="",0,MAX(0,ROUND((AF$12-SUMIFS(TF_Timer,TF_Nokkel,$A39&amp;"|"&amp;AF$5))*2,0)/2))&gt;INDEX(TF_AktSum,MATCH($A39&amp;"|"&amp;AF$5,TF_Dom,0)),"LMS",INDEX(AktKode,MATCH(INDEX(TF_Akt,MATCH($A39&amp;"|"&amp;AF$5,TF_Dom,0)),Aktiviteter,0)))&amp;IF(OR(COUNTIFS(TF_Nokkel,$A39&amp;"|"&amp;AF$5,TF_Akt,"&lt;&gt;"&amp;INDEX(TF_Akt,MATCH($A39&amp;"|"&amp;AF$5,TF_Dom,0)))&gt;0,AND(IF(AF$9="",0,MAX(0,ROUND((AF$12-SUMIFS(TF_Timer,TF_Nokkel,$A39&amp;"|"&amp;AF$5))*2,0)/2))&gt;0,INDEX(TF_Akt,MATCH($A39&amp;"|"&amp;AF$5,TF_Dom,0))&lt;&gt;"LMS")),"+",""),"?"))))</f>
        <v/>
      </c>
      <c r="AG39" s="13">
        <f>IF(OR($A39="",AG$5=""),"",IF(OR(AND(INDEX(TekFra,22)&gt;0,AG$5&lt;INDEX(TekFra,22)),AND(INDEX(TekTil,22)&gt;0,AG$5&gt;INDEX(TekTil,22))),"",IF(COUNTIFS(TF_Nokkel,$A39&amp;"|"&amp;AG$5)=0,IF(AG$9&lt;&gt;"","LMS",""),IFERROR(IF(SUMIFS(TF_Timer,TF_Nokkel,$A39&amp;"|"&amp;AG$5,TF_Akt,"LMS")+IF(AG$9="",0,MAX(0,ROUND((AG$12-SUMIFS(TF_Timer,TF_Nokkel,$A39&amp;"|"&amp;AG$5))*2,0)/2))&gt;INDEX(TF_AktSum,MATCH($A39&amp;"|"&amp;AG$5,TF_Dom,0)),"LMS",INDEX(AktKode,MATCH(INDEX(TF_Akt,MATCH($A39&amp;"|"&amp;AG$5,TF_Dom,0)),Aktiviteter,0)))&amp;IF(OR(COUNTIFS(TF_Nokkel,$A39&amp;"|"&amp;AG$5,TF_Akt,"&lt;&gt;"&amp;INDEX(TF_Akt,MATCH($A39&amp;"|"&amp;AG$5,TF_Dom,0)))&gt;0,AND(IF(AG$9="",0,MAX(0,ROUND((AG$12-SUMIFS(TF_Timer,TF_Nokkel,$A39&amp;"|"&amp;AG$5))*2,0)/2))&gt;0,INDEX(TF_Akt,MATCH($A39&amp;"|"&amp;AG$5,TF_Dom,0))&lt;&gt;"LMS")),"+",""),"?"))))</f>
        <v/>
      </c>
      <c r="AH39" s="2" t="n"/>
      <c r="AI39" s="2" t="n"/>
      <c r="AJ39" s="2" t="n"/>
    </row>
    <row r="40">
      <c r="A40" s="2">
        <f>INDEX(Teknikere,23)&amp;""</f>
        <v/>
      </c>
      <c r="B40" s="12">
        <f>IF(INDEX(TekFra,23)&gt;0,"ekstra","")</f>
        <v/>
      </c>
      <c r="C40" s="13">
        <f>IF(OR($A40="",C$5=""),"",IF(OR(AND(INDEX(TekFra,23)&gt;0,C$5&lt;INDEX(TekFra,23)),AND(INDEX(TekTil,23)&gt;0,C$5&gt;INDEX(TekTil,23))),"",IF(COUNTIFS(TF_Nokkel,$A40&amp;"|"&amp;C$5)=0,IF(C$9&lt;&gt;"","LMS",""),IFERROR(IF(SUMIFS(TF_Timer,TF_Nokkel,$A40&amp;"|"&amp;C$5,TF_Akt,"LMS")+IF(C$9="",0,MAX(0,ROUND((C$12-SUMIFS(TF_Timer,TF_Nokkel,$A40&amp;"|"&amp;C$5))*2,0)/2))&gt;INDEX(TF_AktSum,MATCH($A40&amp;"|"&amp;C$5,TF_Dom,0)),"LMS",INDEX(AktKode,MATCH(INDEX(TF_Akt,MATCH($A40&amp;"|"&amp;C$5,TF_Dom,0)),Aktiviteter,0)))&amp;IF(OR(COUNTIFS(TF_Nokkel,$A40&amp;"|"&amp;C$5,TF_Akt,"&lt;&gt;"&amp;INDEX(TF_Akt,MATCH($A40&amp;"|"&amp;C$5,TF_Dom,0)))&gt;0,AND(IF(C$9="",0,MAX(0,ROUND((C$12-SUMIFS(TF_Timer,TF_Nokkel,$A40&amp;"|"&amp;C$5))*2,0)/2))&gt;0,INDEX(TF_Akt,MATCH($A40&amp;"|"&amp;C$5,TF_Dom,0))&lt;&gt;"LMS")),"+",""),"?"))))</f>
        <v/>
      </c>
      <c r="D40" s="13">
        <f>IF(OR($A40="",D$5=""),"",IF(OR(AND(INDEX(TekFra,23)&gt;0,D$5&lt;INDEX(TekFra,23)),AND(INDEX(TekTil,23)&gt;0,D$5&gt;INDEX(TekTil,23))),"",IF(COUNTIFS(TF_Nokkel,$A40&amp;"|"&amp;D$5)=0,IF(D$9&lt;&gt;"","LMS",""),IFERROR(IF(SUMIFS(TF_Timer,TF_Nokkel,$A40&amp;"|"&amp;D$5,TF_Akt,"LMS")+IF(D$9="",0,MAX(0,ROUND((D$12-SUMIFS(TF_Timer,TF_Nokkel,$A40&amp;"|"&amp;D$5))*2,0)/2))&gt;INDEX(TF_AktSum,MATCH($A40&amp;"|"&amp;D$5,TF_Dom,0)),"LMS",INDEX(AktKode,MATCH(INDEX(TF_Akt,MATCH($A40&amp;"|"&amp;D$5,TF_Dom,0)),Aktiviteter,0)))&amp;IF(OR(COUNTIFS(TF_Nokkel,$A40&amp;"|"&amp;D$5,TF_Akt,"&lt;&gt;"&amp;INDEX(TF_Akt,MATCH($A40&amp;"|"&amp;D$5,TF_Dom,0)))&gt;0,AND(IF(D$9="",0,MAX(0,ROUND((D$12-SUMIFS(TF_Timer,TF_Nokkel,$A40&amp;"|"&amp;D$5))*2,0)/2))&gt;0,INDEX(TF_Akt,MATCH($A40&amp;"|"&amp;D$5,TF_Dom,0))&lt;&gt;"LMS")),"+",""),"?"))))</f>
        <v/>
      </c>
      <c r="E40" s="13">
        <f>IF(OR($A40="",E$5=""),"",IF(OR(AND(INDEX(TekFra,23)&gt;0,E$5&lt;INDEX(TekFra,23)),AND(INDEX(TekTil,23)&gt;0,E$5&gt;INDEX(TekTil,23))),"",IF(COUNTIFS(TF_Nokkel,$A40&amp;"|"&amp;E$5)=0,IF(E$9&lt;&gt;"","LMS",""),IFERROR(IF(SUMIFS(TF_Timer,TF_Nokkel,$A40&amp;"|"&amp;E$5,TF_Akt,"LMS")+IF(E$9="",0,MAX(0,ROUND((E$12-SUMIFS(TF_Timer,TF_Nokkel,$A40&amp;"|"&amp;E$5))*2,0)/2))&gt;INDEX(TF_AktSum,MATCH($A40&amp;"|"&amp;E$5,TF_Dom,0)),"LMS",INDEX(AktKode,MATCH(INDEX(TF_Akt,MATCH($A40&amp;"|"&amp;E$5,TF_Dom,0)),Aktiviteter,0)))&amp;IF(OR(COUNTIFS(TF_Nokkel,$A40&amp;"|"&amp;E$5,TF_Akt,"&lt;&gt;"&amp;INDEX(TF_Akt,MATCH($A40&amp;"|"&amp;E$5,TF_Dom,0)))&gt;0,AND(IF(E$9="",0,MAX(0,ROUND((E$12-SUMIFS(TF_Timer,TF_Nokkel,$A40&amp;"|"&amp;E$5))*2,0)/2))&gt;0,INDEX(TF_Akt,MATCH($A40&amp;"|"&amp;E$5,TF_Dom,0))&lt;&gt;"LMS")),"+",""),"?"))))</f>
        <v/>
      </c>
      <c r="F40" s="13">
        <f>IF(OR($A40="",F$5=""),"",IF(OR(AND(INDEX(TekFra,23)&gt;0,F$5&lt;INDEX(TekFra,23)),AND(INDEX(TekTil,23)&gt;0,F$5&gt;INDEX(TekTil,23))),"",IF(COUNTIFS(TF_Nokkel,$A40&amp;"|"&amp;F$5)=0,IF(F$9&lt;&gt;"","LMS",""),IFERROR(IF(SUMIFS(TF_Timer,TF_Nokkel,$A40&amp;"|"&amp;F$5,TF_Akt,"LMS")+IF(F$9="",0,MAX(0,ROUND((F$12-SUMIFS(TF_Timer,TF_Nokkel,$A40&amp;"|"&amp;F$5))*2,0)/2))&gt;INDEX(TF_AktSum,MATCH($A40&amp;"|"&amp;F$5,TF_Dom,0)),"LMS",INDEX(AktKode,MATCH(INDEX(TF_Akt,MATCH($A40&amp;"|"&amp;F$5,TF_Dom,0)),Aktiviteter,0)))&amp;IF(OR(COUNTIFS(TF_Nokkel,$A40&amp;"|"&amp;F$5,TF_Akt,"&lt;&gt;"&amp;INDEX(TF_Akt,MATCH($A40&amp;"|"&amp;F$5,TF_Dom,0)))&gt;0,AND(IF(F$9="",0,MAX(0,ROUND((F$12-SUMIFS(TF_Timer,TF_Nokkel,$A40&amp;"|"&amp;F$5))*2,0)/2))&gt;0,INDEX(TF_Akt,MATCH($A40&amp;"|"&amp;F$5,TF_Dom,0))&lt;&gt;"LMS")),"+",""),"?"))))</f>
        <v/>
      </c>
      <c r="G40" s="13">
        <f>IF(OR($A40="",G$5=""),"",IF(OR(AND(INDEX(TekFra,23)&gt;0,G$5&lt;INDEX(TekFra,23)),AND(INDEX(TekTil,23)&gt;0,G$5&gt;INDEX(TekTil,23))),"",IF(COUNTIFS(TF_Nokkel,$A40&amp;"|"&amp;G$5)=0,IF(G$9&lt;&gt;"","LMS",""),IFERROR(IF(SUMIFS(TF_Timer,TF_Nokkel,$A40&amp;"|"&amp;G$5,TF_Akt,"LMS")+IF(G$9="",0,MAX(0,ROUND((G$12-SUMIFS(TF_Timer,TF_Nokkel,$A40&amp;"|"&amp;G$5))*2,0)/2))&gt;INDEX(TF_AktSum,MATCH($A40&amp;"|"&amp;G$5,TF_Dom,0)),"LMS",INDEX(AktKode,MATCH(INDEX(TF_Akt,MATCH($A40&amp;"|"&amp;G$5,TF_Dom,0)),Aktiviteter,0)))&amp;IF(OR(COUNTIFS(TF_Nokkel,$A40&amp;"|"&amp;G$5,TF_Akt,"&lt;&gt;"&amp;INDEX(TF_Akt,MATCH($A40&amp;"|"&amp;G$5,TF_Dom,0)))&gt;0,AND(IF(G$9="",0,MAX(0,ROUND((G$12-SUMIFS(TF_Timer,TF_Nokkel,$A40&amp;"|"&amp;G$5))*2,0)/2))&gt;0,INDEX(TF_Akt,MATCH($A40&amp;"|"&amp;G$5,TF_Dom,0))&lt;&gt;"LMS")),"+",""),"?"))))</f>
        <v/>
      </c>
      <c r="H40" s="13">
        <f>IF(OR($A40="",H$5=""),"",IF(OR(AND(INDEX(TekFra,23)&gt;0,H$5&lt;INDEX(TekFra,23)),AND(INDEX(TekTil,23)&gt;0,H$5&gt;INDEX(TekTil,23))),"",IF(COUNTIFS(TF_Nokkel,$A40&amp;"|"&amp;H$5)=0,IF(H$9&lt;&gt;"","LMS",""),IFERROR(IF(SUMIFS(TF_Timer,TF_Nokkel,$A40&amp;"|"&amp;H$5,TF_Akt,"LMS")+IF(H$9="",0,MAX(0,ROUND((H$12-SUMIFS(TF_Timer,TF_Nokkel,$A40&amp;"|"&amp;H$5))*2,0)/2))&gt;INDEX(TF_AktSum,MATCH($A40&amp;"|"&amp;H$5,TF_Dom,0)),"LMS",INDEX(AktKode,MATCH(INDEX(TF_Akt,MATCH($A40&amp;"|"&amp;H$5,TF_Dom,0)),Aktiviteter,0)))&amp;IF(OR(COUNTIFS(TF_Nokkel,$A40&amp;"|"&amp;H$5,TF_Akt,"&lt;&gt;"&amp;INDEX(TF_Akt,MATCH($A40&amp;"|"&amp;H$5,TF_Dom,0)))&gt;0,AND(IF(H$9="",0,MAX(0,ROUND((H$12-SUMIFS(TF_Timer,TF_Nokkel,$A40&amp;"|"&amp;H$5))*2,0)/2))&gt;0,INDEX(TF_Akt,MATCH($A40&amp;"|"&amp;H$5,TF_Dom,0))&lt;&gt;"LMS")),"+",""),"?"))))</f>
        <v/>
      </c>
      <c r="I40" s="13">
        <f>IF(OR($A40="",I$5=""),"",IF(OR(AND(INDEX(TekFra,23)&gt;0,I$5&lt;INDEX(TekFra,23)),AND(INDEX(TekTil,23)&gt;0,I$5&gt;INDEX(TekTil,23))),"",IF(COUNTIFS(TF_Nokkel,$A40&amp;"|"&amp;I$5)=0,IF(I$9&lt;&gt;"","LMS",""),IFERROR(IF(SUMIFS(TF_Timer,TF_Nokkel,$A40&amp;"|"&amp;I$5,TF_Akt,"LMS")+IF(I$9="",0,MAX(0,ROUND((I$12-SUMIFS(TF_Timer,TF_Nokkel,$A40&amp;"|"&amp;I$5))*2,0)/2))&gt;INDEX(TF_AktSum,MATCH($A40&amp;"|"&amp;I$5,TF_Dom,0)),"LMS",INDEX(AktKode,MATCH(INDEX(TF_Akt,MATCH($A40&amp;"|"&amp;I$5,TF_Dom,0)),Aktiviteter,0)))&amp;IF(OR(COUNTIFS(TF_Nokkel,$A40&amp;"|"&amp;I$5,TF_Akt,"&lt;&gt;"&amp;INDEX(TF_Akt,MATCH($A40&amp;"|"&amp;I$5,TF_Dom,0)))&gt;0,AND(IF(I$9="",0,MAX(0,ROUND((I$12-SUMIFS(TF_Timer,TF_Nokkel,$A40&amp;"|"&amp;I$5))*2,0)/2))&gt;0,INDEX(TF_Akt,MATCH($A40&amp;"|"&amp;I$5,TF_Dom,0))&lt;&gt;"LMS")),"+",""),"?"))))</f>
        <v/>
      </c>
      <c r="J40" s="13">
        <f>IF(OR($A40="",J$5=""),"",IF(OR(AND(INDEX(TekFra,23)&gt;0,J$5&lt;INDEX(TekFra,23)),AND(INDEX(TekTil,23)&gt;0,J$5&gt;INDEX(TekTil,23))),"",IF(COUNTIFS(TF_Nokkel,$A40&amp;"|"&amp;J$5)=0,IF(J$9&lt;&gt;"","LMS",""),IFERROR(IF(SUMIFS(TF_Timer,TF_Nokkel,$A40&amp;"|"&amp;J$5,TF_Akt,"LMS")+IF(J$9="",0,MAX(0,ROUND((J$12-SUMIFS(TF_Timer,TF_Nokkel,$A40&amp;"|"&amp;J$5))*2,0)/2))&gt;INDEX(TF_AktSum,MATCH($A40&amp;"|"&amp;J$5,TF_Dom,0)),"LMS",INDEX(AktKode,MATCH(INDEX(TF_Akt,MATCH($A40&amp;"|"&amp;J$5,TF_Dom,0)),Aktiviteter,0)))&amp;IF(OR(COUNTIFS(TF_Nokkel,$A40&amp;"|"&amp;J$5,TF_Akt,"&lt;&gt;"&amp;INDEX(TF_Akt,MATCH($A40&amp;"|"&amp;J$5,TF_Dom,0)))&gt;0,AND(IF(J$9="",0,MAX(0,ROUND((J$12-SUMIFS(TF_Timer,TF_Nokkel,$A40&amp;"|"&amp;J$5))*2,0)/2))&gt;0,INDEX(TF_Akt,MATCH($A40&amp;"|"&amp;J$5,TF_Dom,0))&lt;&gt;"LMS")),"+",""),"?"))))</f>
        <v/>
      </c>
      <c r="K40" s="13">
        <f>IF(OR($A40="",K$5=""),"",IF(OR(AND(INDEX(TekFra,23)&gt;0,K$5&lt;INDEX(TekFra,23)),AND(INDEX(TekTil,23)&gt;0,K$5&gt;INDEX(TekTil,23))),"",IF(COUNTIFS(TF_Nokkel,$A40&amp;"|"&amp;K$5)=0,IF(K$9&lt;&gt;"","LMS",""),IFERROR(IF(SUMIFS(TF_Timer,TF_Nokkel,$A40&amp;"|"&amp;K$5,TF_Akt,"LMS")+IF(K$9="",0,MAX(0,ROUND((K$12-SUMIFS(TF_Timer,TF_Nokkel,$A40&amp;"|"&amp;K$5))*2,0)/2))&gt;INDEX(TF_AktSum,MATCH($A40&amp;"|"&amp;K$5,TF_Dom,0)),"LMS",INDEX(AktKode,MATCH(INDEX(TF_Akt,MATCH($A40&amp;"|"&amp;K$5,TF_Dom,0)),Aktiviteter,0)))&amp;IF(OR(COUNTIFS(TF_Nokkel,$A40&amp;"|"&amp;K$5,TF_Akt,"&lt;&gt;"&amp;INDEX(TF_Akt,MATCH($A40&amp;"|"&amp;K$5,TF_Dom,0)))&gt;0,AND(IF(K$9="",0,MAX(0,ROUND((K$12-SUMIFS(TF_Timer,TF_Nokkel,$A40&amp;"|"&amp;K$5))*2,0)/2))&gt;0,INDEX(TF_Akt,MATCH($A40&amp;"|"&amp;K$5,TF_Dom,0))&lt;&gt;"LMS")),"+",""),"?"))))</f>
        <v/>
      </c>
      <c r="L40" s="13">
        <f>IF(OR($A40="",L$5=""),"",IF(OR(AND(INDEX(TekFra,23)&gt;0,L$5&lt;INDEX(TekFra,23)),AND(INDEX(TekTil,23)&gt;0,L$5&gt;INDEX(TekTil,23))),"",IF(COUNTIFS(TF_Nokkel,$A40&amp;"|"&amp;L$5)=0,IF(L$9&lt;&gt;"","LMS",""),IFERROR(IF(SUMIFS(TF_Timer,TF_Nokkel,$A40&amp;"|"&amp;L$5,TF_Akt,"LMS")+IF(L$9="",0,MAX(0,ROUND((L$12-SUMIFS(TF_Timer,TF_Nokkel,$A40&amp;"|"&amp;L$5))*2,0)/2))&gt;INDEX(TF_AktSum,MATCH($A40&amp;"|"&amp;L$5,TF_Dom,0)),"LMS",INDEX(AktKode,MATCH(INDEX(TF_Akt,MATCH($A40&amp;"|"&amp;L$5,TF_Dom,0)),Aktiviteter,0)))&amp;IF(OR(COUNTIFS(TF_Nokkel,$A40&amp;"|"&amp;L$5,TF_Akt,"&lt;&gt;"&amp;INDEX(TF_Akt,MATCH($A40&amp;"|"&amp;L$5,TF_Dom,0)))&gt;0,AND(IF(L$9="",0,MAX(0,ROUND((L$12-SUMIFS(TF_Timer,TF_Nokkel,$A40&amp;"|"&amp;L$5))*2,0)/2))&gt;0,INDEX(TF_Akt,MATCH($A40&amp;"|"&amp;L$5,TF_Dom,0))&lt;&gt;"LMS")),"+",""),"?"))))</f>
        <v/>
      </c>
      <c r="M40" s="13">
        <f>IF(OR($A40="",M$5=""),"",IF(OR(AND(INDEX(TekFra,23)&gt;0,M$5&lt;INDEX(TekFra,23)),AND(INDEX(TekTil,23)&gt;0,M$5&gt;INDEX(TekTil,23))),"",IF(COUNTIFS(TF_Nokkel,$A40&amp;"|"&amp;M$5)=0,IF(M$9&lt;&gt;"","LMS",""),IFERROR(IF(SUMIFS(TF_Timer,TF_Nokkel,$A40&amp;"|"&amp;M$5,TF_Akt,"LMS")+IF(M$9="",0,MAX(0,ROUND((M$12-SUMIFS(TF_Timer,TF_Nokkel,$A40&amp;"|"&amp;M$5))*2,0)/2))&gt;INDEX(TF_AktSum,MATCH($A40&amp;"|"&amp;M$5,TF_Dom,0)),"LMS",INDEX(AktKode,MATCH(INDEX(TF_Akt,MATCH($A40&amp;"|"&amp;M$5,TF_Dom,0)),Aktiviteter,0)))&amp;IF(OR(COUNTIFS(TF_Nokkel,$A40&amp;"|"&amp;M$5,TF_Akt,"&lt;&gt;"&amp;INDEX(TF_Akt,MATCH($A40&amp;"|"&amp;M$5,TF_Dom,0)))&gt;0,AND(IF(M$9="",0,MAX(0,ROUND((M$12-SUMIFS(TF_Timer,TF_Nokkel,$A40&amp;"|"&amp;M$5))*2,0)/2))&gt;0,INDEX(TF_Akt,MATCH($A40&amp;"|"&amp;M$5,TF_Dom,0))&lt;&gt;"LMS")),"+",""),"?"))))</f>
        <v/>
      </c>
      <c r="N40" s="13">
        <f>IF(OR($A40="",N$5=""),"",IF(OR(AND(INDEX(TekFra,23)&gt;0,N$5&lt;INDEX(TekFra,23)),AND(INDEX(TekTil,23)&gt;0,N$5&gt;INDEX(TekTil,23))),"",IF(COUNTIFS(TF_Nokkel,$A40&amp;"|"&amp;N$5)=0,IF(N$9&lt;&gt;"","LMS",""),IFERROR(IF(SUMIFS(TF_Timer,TF_Nokkel,$A40&amp;"|"&amp;N$5,TF_Akt,"LMS")+IF(N$9="",0,MAX(0,ROUND((N$12-SUMIFS(TF_Timer,TF_Nokkel,$A40&amp;"|"&amp;N$5))*2,0)/2))&gt;INDEX(TF_AktSum,MATCH($A40&amp;"|"&amp;N$5,TF_Dom,0)),"LMS",INDEX(AktKode,MATCH(INDEX(TF_Akt,MATCH($A40&amp;"|"&amp;N$5,TF_Dom,0)),Aktiviteter,0)))&amp;IF(OR(COUNTIFS(TF_Nokkel,$A40&amp;"|"&amp;N$5,TF_Akt,"&lt;&gt;"&amp;INDEX(TF_Akt,MATCH($A40&amp;"|"&amp;N$5,TF_Dom,0)))&gt;0,AND(IF(N$9="",0,MAX(0,ROUND((N$12-SUMIFS(TF_Timer,TF_Nokkel,$A40&amp;"|"&amp;N$5))*2,0)/2))&gt;0,INDEX(TF_Akt,MATCH($A40&amp;"|"&amp;N$5,TF_Dom,0))&lt;&gt;"LMS")),"+",""),"?"))))</f>
        <v/>
      </c>
      <c r="O40" s="13">
        <f>IF(OR($A40="",O$5=""),"",IF(OR(AND(INDEX(TekFra,23)&gt;0,O$5&lt;INDEX(TekFra,23)),AND(INDEX(TekTil,23)&gt;0,O$5&gt;INDEX(TekTil,23))),"",IF(COUNTIFS(TF_Nokkel,$A40&amp;"|"&amp;O$5)=0,IF(O$9&lt;&gt;"","LMS",""),IFERROR(IF(SUMIFS(TF_Timer,TF_Nokkel,$A40&amp;"|"&amp;O$5,TF_Akt,"LMS")+IF(O$9="",0,MAX(0,ROUND((O$12-SUMIFS(TF_Timer,TF_Nokkel,$A40&amp;"|"&amp;O$5))*2,0)/2))&gt;INDEX(TF_AktSum,MATCH($A40&amp;"|"&amp;O$5,TF_Dom,0)),"LMS",INDEX(AktKode,MATCH(INDEX(TF_Akt,MATCH($A40&amp;"|"&amp;O$5,TF_Dom,0)),Aktiviteter,0)))&amp;IF(OR(COUNTIFS(TF_Nokkel,$A40&amp;"|"&amp;O$5,TF_Akt,"&lt;&gt;"&amp;INDEX(TF_Akt,MATCH($A40&amp;"|"&amp;O$5,TF_Dom,0)))&gt;0,AND(IF(O$9="",0,MAX(0,ROUND((O$12-SUMIFS(TF_Timer,TF_Nokkel,$A40&amp;"|"&amp;O$5))*2,0)/2))&gt;0,INDEX(TF_Akt,MATCH($A40&amp;"|"&amp;O$5,TF_Dom,0))&lt;&gt;"LMS")),"+",""),"?"))))</f>
        <v/>
      </c>
      <c r="P40" s="13">
        <f>IF(OR($A40="",P$5=""),"",IF(OR(AND(INDEX(TekFra,23)&gt;0,P$5&lt;INDEX(TekFra,23)),AND(INDEX(TekTil,23)&gt;0,P$5&gt;INDEX(TekTil,23))),"",IF(COUNTIFS(TF_Nokkel,$A40&amp;"|"&amp;P$5)=0,IF(P$9&lt;&gt;"","LMS",""),IFERROR(IF(SUMIFS(TF_Timer,TF_Nokkel,$A40&amp;"|"&amp;P$5,TF_Akt,"LMS")+IF(P$9="",0,MAX(0,ROUND((P$12-SUMIFS(TF_Timer,TF_Nokkel,$A40&amp;"|"&amp;P$5))*2,0)/2))&gt;INDEX(TF_AktSum,MATCH($A40&amp;"|"&amp;P$5,TF_Dom,0)),"LMS",INDEX(AktKode,MATCH(INDEX(TF_Akt,MATCH($A40&amp;"|"&amp;P$5,TF_Dom,0)),Aktiviteter,0)))&amp;IF(OR(COUNTIFS(TF_Nokkel,$A40&amp;"|"&amp;P$5,TF_Akt,"&lt;&gt;"&amp;INDEX(TF_Akt,MATCH($A40&amp;"|"&amp;P$5,TF_Dom,0)))&gt;0,AND(IF(P$9="",0,MAX(0,ROUND((P$12-SUMIFS(TF_Timer,TF_Nokkel,$A40&amp;"|"&amp;P$5))*2,0)/2))&gt;0,INDEX(TF_Akt,MATCH($A40&amp;"|"&amp;P$5,TF_Dom,0))&lt;&gt;"LMS")),"+",""),"?"))))</f>
        <v/>
      </c>
      <c r="Q40" s="13">
        <f>IF(OR($A40="",Q$5=""),"",IF(OR(AND(INDEX(TekFra,23)&gt;0,Q$5&lt;INDEX(TekFra,23)),AND(INDEX(TekTil,23)&gt;0,Q$5&gt;INDEX(TekTil,23))),"",IF(COUNTIFS(TF_Nokkel,$A40&amp;"|"&amp;Q$5)=0,IF(Q$9&lt;&gt;"","LMS",""),IFERROR(IF(SUMIFS(TF_Timer,TF_Nokkel,$A40&amp;"|"&amp;Q$5,TF_Akt,"LMS")+IF(Q$9="",0,MAX(0,ROUND((Q$12-SUMIFS(TF_Timer,TF_Nokkel,$A40&amp;"|"&amp;Q$5))*2,0)/2))&gt;INDEX(TF_AktSum,MATCH($A40&amp;"|"&amp;Q$5,TF_Dom,0)),"LMS",INDEX(AktKode,MATCH(INDEX(TF_Akt,MATCH($A40&amp;"|"&amp;Q$5,TF_Dom,0)),Aktiviteter,0)))&amp;IF(OR(COUNTIFS(TF_Nokkel,$A40&amp;"|"&amp;Q$5,TF_Akt,"&lt;&gt;"&amp;INDEX(TF_Akt,MATCH($A40&amp;"|"&amp;Q$5,TF_Dom,0)))&gt;0,AND(IF(Q$9="",0,MAX(0,ROUND((Q$12-SUMIFS(TF_Timer,TF_Nokkel,$A40&amp;"|"&amp;Q$5))*2,0)/2))&gt;0,INDEX(TF_Akt,MATCH($A40&amp;"|"&amp;Q$5,TF_Dom,0))&lt;&gt;"LMS")),"+",""),"?"))))</f>
        <v/>
      </c>
      <c r="R40" s="13">
        <f>IF(OR($A40="",R$5=""),"",IF(OR(AND(INDEX(TekFra,23)&gt;0,R$5&lt;INDEX(TekFra,23)),AND(INDEX(TekTil,23)&gt;0,R$5&gt;INDEX(TekTil,23))),"",IF(COUNTIFS(TF_Nokkel,$A40&amp;"|"&amp;R$5)=0,IF(R$9&lt;&gt;"","LMS",""),IFERROR(IF(SUMIFS(TF_Timer,TF_Nokkel,$A40&amp;"|"&amp;R$5,TF_Akt,"LMS")+IF(R$9="",0,MAX(0,ROUND((R$12-SUMIFS(TF_Timer,TF_Nokkel,$A40&amp;"|"&amp;R$5))*2,0)/2))&gt;INDEX(TF_AktSum,MATCH($A40&amp;"|"&amp;R$5,TF_Dom,0)),"LMS",INDEX(AktKode,MATCH(INDEX(TF_Akt,MATCH($A40&amp;"|"&amp;R$5,TF_Dom,0)),Aktiviteter,0)))&amp;IF(OR(COUNTIFS(TF_Nokkel,$A40&amp;"|"&amp;R$5,TF_Akt,"&lt;&gt;"&amp;INDEX(TF_Akt,MATCH($A40&amp;"|"&amp;R$5,TF_Dom,0)))&gt;0,AND(IF(R$9="",0,MAX(0,ROUND((R$12-SUMIFS(TF_Timer,TF_Nokkel,$A40&amp;"|"&amp;R$5))*2,0)/2))&gt;0,INDEX(TF_Akt,MATCH($A40&amp;"|"&amp;R$5,TF_Dom,0))&lt;&gt;"LMS")),"+",""),"?"))))</f>
        <v/>
      </c>
      <c r="S40" s="13">
        <f>IF(OR($A40="",S$5=""),"",IF(OR(AND(INDEX(TekFra,23)&gt;0,S$5&lt;INDEX(TekFra,23)),AND(INDEX(TekTil,23)&gt;0,S$5&gt;INDEX(TekTil,23))),"",IF(COUNTIFS(TF_Nokkel,$A40&amp;"|"&amp;S$5)=0,IF(S$9&lt;&gt;"","LMS",""),IFERROR(IF(SUMIFS(TF_Timer,TF_Nokkel,$A40&amp;"|"&amp;S$5,TF_Akt,"LMS")+IF(S$9="",0,MAX(0,ROUND((S$12-SUMIFS(TF_Timer,TF_Nokkel,$A40&amp;"|"&amp;S$5))*2,0)/2))&gt;INDEX(TF_AktSum,MATCH($A40&amp;"|"&amp;S$5,TF_Dom,0)),"LMS",INDEX(AktKode,MATCH(INDEX(TF_Akt,MATCH($A40&amp;"|"&amp;S$5,TF_Dom,0)),Aktiviteter,0)))&amp;IF(OR(COUNTIFS(TF_Nokkel,$A40&amp;"|"&amp;S$5,TF_Akt,"&lt;&gt;"&amp;INDEX(TF_Akt,MATCH($A40&amp;"|"&amp;S$5,TF_Dom,0)))&gt;0,AND(IF(S$9="",0,MAX(0,ROUND((S$12-SUMIFS(TF_Timer,TF_Nokkel,$A40&amp;"|"&amp;S$5))*2,0)/2))&gt;0,INDEX(TF_Akt,MATCH($A40&amp;"|"&amp;S$5,TF_Dom,0))&lt;&gt;"LMS")),"+",""),"?"))))</f>
        <v/>
      </c>
      <c r="T40" s="13">
        <f>IF(OR($A40="",T$5=""),"",IF(OR(AND(INDEX(TekFra,23)&gt;0,T$5&lt;INDEX(TekFra,23)),AND(INDEX(TekTil,23)&gt;0,T$5&gt;INDEX(TekTil,23))),"",IF(COUNTIFS(TF_Nokkel,$A40&amp;"|"&amp;T$5)=0,IF(T$9&lt;&gt;"","LMS",""),IFERROR(IF(SUMIFS(TF_Timer,TF_Nokkel,$A40&amp;"|"&amp;T$5,TF_Akt,"LMS")+IF(T$9="",0,MAX(0,ROUND((T$12-SUMIFS(TF_Timer,TF_Nokkel,$A40&amp;"|"&amp;T$5))*2,0)/2))&gt;INDEX(TF_AktSum,MATCH($A40&amp;"|"&amp;T$5,TF_Dom,0)),"LMS",INDEX(AktKode,MATCH(INDEX(TF_Akt,MATCH($A40&amp;"|"&amp;T$5,TF_Dom,0)),Aktiviteter,0)))&amp;IF(OR(COUNTIFS(TF_Nokkel,$A40&amp;"|"&amp;T$5,TF_Akt,"&lt;&gt;"&amp;INDEX(TF_Akt,MATCH($A40&amp;"|"&amp;T$5,TF_Dom,0)))&gt;0,AND(IF(T$9="",0,MAX(0,ROUND((T$12-SUMIFS(TF_Timer,TF_Nokkel,$A40&amp;"|"&amp;T$5))*2,0)/2))&gt;0,INDEX(TF_Akt,MATCH($A40&amp;"|"&amp;T$5,TF_Dom,0))&lt;&gt;"LMS")),"+",""),"?"))))</f>
        <v/>
      </c>
      <c r="U40" s="13">
        <f>IF(OR($A40="",U$5=""),"",IF(OR(AND(INDEX(TekFra,23)&gt;0,U$5&lt;INDEX(TekFra,23)),AND(INDEX(TekTil,23)&gt;0,U$5&gt;INDEX(TekTil,23))),"",IF(COUNTIFS(TF_Nokkel,$A40&amp;"|"&amp;U$5)=0,IF(U$9&lt;&gt;"","LMS",""),IFERROR(IF(SUMIFS(TF_Timer,TF_Nokkel,$A40&amp;"|"&amp;U$5,TF_Akt,"LMS")+IF(U$9="",0,MAX(0,ROUND((U$12-SUMIFS(TF_Timer,TF_Nokkel,$A40&amp;"|"&amp;U$5))*2,0)/2))&gt;INDEX(TF_AktSum,MATCH($A40&amp;"|"&amp;U$5,TF_Dom,0)),"LMS",INDEX(AktKode,MATCH(INDEX(TF_Akt,MATCH($A40&amp;"|"&amp;U$5,TF_Dom,0)),Aktiviteter,0)))&amp;IF(OR(COUNTIFS(TF_Nokkel,$A40&amp;"|"&amp;U$5,TF_Akt,"&lt;&gt;"&amp;INDEX(TF_Akt,MATCH($A40&amp;"|"&amp;U$5,TF_Dom,0)))&gt;0,AND(IF(U$9="",0,MAX(0,ROUND((U$12-SUMIFS(TF_Timer,TF_Nokkel,$A40&amp;"|"&amp;U$5))*2,0)/2))&gt;0,INDEX(TF_Akt,MATCH($A40&amp;"|"&amp;U$5,TF_Dom,0))&lt;&gt;"LMS")),"+",""),"?"))))</f>
        <v/>
      </c>
      <c r="V40" s="13">
        <f>IF(OR($A40="",V$5=""),"",IF(OR(AND(INDEX(TekFra,23)&gt;0,V$5&lt;INDEX(TekFra,23)),AND(INDEX(TekTil,23)&gt;0,V$5&gt;INDEX(TekTil,23))),"",IF(COUNTIFS(TF_Nokkel,$A40&amp;"|"&amp;V$5)=0,IF(V$9&lt;&gt;"","LMS",""),IFERROR(IF(SUMIFS(TF_Timer,TF_Nokkel,$A40&amp;"|"&amp;V$5,TF_Akt,"LMS")+IF(V$9="",0,MAX(0,ROUND((V$12-SUMIFS(TF_Timer,TF_Nokkel,$A40&amp;"|"&amp;V$5))*2,0)/2))&gt;INDEX(TF_AktSum,MATCH($A40&amp;"|"&amp;V$5,TF_Dom,0)),"LMS",INDEX(AktKode,MATCH(INDEX(TF_Akt,MATCH($A40&amp;"|"&amp;V$5,TF_Dom,0)),Aktiviteter,0)))&amp;IF(OR(COUNTIFS(TF_Nokkel,$A40&amp;"|"&amp;V$5,TF_Akt,"&lt;&gt;"&amp;INDEX(TF_Akt,MATCH($A40&amp;"|"&amp;V$5,TF_Dom,0)))&gt;0,AND(IF(V$9="",0,MAX(0,ROUND((V$12-SUMIFS(TF_Timer,TF_Nokkel,$A40&amp;"|"&amp;V$5))*2,0)/2))&gt;0,INDEX(TF_Akt,MATCH($A40&amp;"|"&amp;V$5,TF_Dom,0))&lt;&gt;"LMS")),"+",""),"?"))))</f>
        <v/>
      </c>
      <c r="W40" s="13">
        <f>IF(OR($A40="",W$5=""),"",IF(OR(AND(INDEX(TekFra,23)&gt;0,W$5&lt;INDEX(TekFra,23)),AND(INDEX(TekTil,23)&gt;0,W$5&gt;INDEX(TekTil,23))),"",IF(COUNTIFS(TF_Nokkel,$A40&amp;"|"&amp;W$5)=0,IF(W$9&lt;&gt;"","LMS",""),IFERROR(IF(SUMIFS(TF_Timer,TF_Nokkel,$A40&amp;"|"&amp;W$5,TF_Akt,"LMS")+IF(W$9="",0,MAX(0,ROUND((W$12-SUMIFS(TF_Timer,TF_Nokkel,$A40&amp;"|"&amp;W$5))*2,0)/2))&gt;INDEX(TF_AktSum,MATCH($A40&amp;"|"&amp;W$5,TF_Dom,0)),"LMS",INDEX(AktKode,MATCH(INDEX(TF_Akt,MATCH($A40&amp;"|"&amp;W$5,TF_Dom,0)),Aktiviteter,0)))&amp;IF(OR(COUNTIFS(TF_Nokkel,$A40&amp;"|"&amp;W$5,TF_Akt,"&lt;&gt;"&amp;INDEX(TF_Akt,MATCH($A40&amp;"|"&amp;W$5,TF_Dom,0)))&gt;0,AND(IF(W$9="",0,MAX(0,ROUND((W$12-SUMIFS(TF_Timer,TF_Nokkel,$A40&amp;"|"&amp;W$5))*2,0)/2))&gt;0,INDEX(TF_Akt,MATCH($A40&amp;"|"&amp;W$5,TF_Dom,0))&lt;&gt;"LMS")),"+",""),"?"))))</f>
        <v/>
      </c>
      <c r="X40" s="13">
        <f>IF(OR($A40="",X$5=""),"",IF(OR(AND(INDEX(TekFra,23)&gt;0,X$5&lt;INDEX(TekFra,23)),AND(INDEX(TekTil,23)&gt;0,X$5&gt;INDEX(TekTil,23))),"",IF(COUNTIFS(TF_Nokkel,$A40&amp;"|"&amp;X$5)=0,IF(X$9&lt;&gt;"","LMS",""),IFERROR(IF(SUMIFS(TF_Timer,TF_Nokkel,$A40&amp;"|"&amp;X$5,TF_Akt,"LMS")+IF(X$9="",0,MAX(0,ROUND((X$12-SUMIFS(TF_Timer,TF_Nokkel,$A40&amp;"|"&amp;X$5))*2,0)/2))&gt;INDEX(TF_AktSum,MATCH($A40&amp;"|"&amp;X$5,TF_Dom,0)),"LMS",INDEX(AktKode,MATCH(INDEX(TF_Akt,MATCH($A40&amp;"|"&amp;X$5,TF_Dom,0)),Aktiviteter,0)))&amp;IF(OR(COUNTIFS(TF_Nokkel,$A40&amp;"|"&amp;X$5,TF_Akt,"&lt;&gt;"&amp;INDEX(TF_Akt,MATCH($A40&amp;"|"&amp;X$5,TF_Dom,0)))&gt;0,AND(IF(X$9="",0,MAX(0,ROUND((X$12-SUMIFS(TF_Timer,TF_Nokkel,$A40&amp;"|"&amp;X$5))*2,0)/2))&gt;0,INDEX(TF_Akt,MATCH($A40&amp;"|"&amp;X$5,TF_Dom,0))&lt;&gt;"LMS")),"+",""),"?"))))</f>
        <v/>
      </c>
      <c r="Y40" s="13">
        <f>IF(OR($A40="",Y$5=""),"",IF(OR(AND(INDEX(TekFra,23)&gt;0,Y$5&lt;INDEX(TekFra,23)),AND(INDEX(TekTil,23)&gt;0,Y$5&gt;INDEX(TekTil,23))),"",IF(COUNTIFS(TF_Nokkel,$A40&amp;"|"&amp;Y$5)=0,IF(Y$9&lt;&gt;"","LMS",""),IFERROR(IF(SUMIFS(TF_Timer,TF_Nokkel,$A40&amp;"|"&amp;Y$5,TF_Akt,"LMS")+IF(Y$9="",0,MAX(0,ROUND((Y$12-SUMIFS(TF_Timer,TF_Nokkel,$A40&amp;"|"&amp;Y$5))*2,0)/2))&gt;INDEX(TF_AktSum,MATCH($A40&amp;"|"&amp;Y$5,TF_Dom,0)),"LMS",INDEX(AktKode,MATCH(INDEX(TF_Akt,MATCH($A40&amp;"|"&amp;Y$5,TF_Dom,0)),Aktiviteter,0)))&amp;IF(OR(COUNTIFS(TF_Nokkel,$A40&amp;"|"&amp;Y$5,TF_Akt,"&lt;&gt;"&amp;INDEX(TF_Akt,MATCH($A40&amp;"|"&amp;Y$5,TF_Dom,0)))&gt;0,AND(IF(Y$9="",0,MAX(0,ROUND((Y$12-SUMIFS(TF_Timer,TF_Nokkel,$A40&amp;"|"&amp;Y$5))*2,0)/2))&gt;0,INDEX(TF_Akt,MATCH($A40&amp;"|"&amp;Y$5,TF_Dom,0))&lt;&gt;"LMS")),"+",""),"?"))))</f>
        <v/>
      </c>
      <c r="Z40" s="13">
        <f>IF(OR($A40="",Z$5=""),"",IF(OR(AND(INDEX(TekFra,23)&gt;0,Z$5&lt;INDEX(TekFra,23)),AND(INDEX(TekTil,23)&gt;0,Z$5&gt;INDEX(TekTil,23))),"",IF(COUNTIFS(TF_Nokkel,$A40&amp;"|"&amp;Z$5)=0,IF(Z$9&lt;&gt;"","LMS",""),IFERROR(IF(SUMIFS(TF_Timer,TF_Nokkel,$A40&amp;"|"&amp;Z$5,TF_Akt,"LMS")+IF(Z$9="",0,MAX(0,ROUND((Z$12-SUMIFS(TF_Timer,TF_Nokkel,$A40&amp;"|"&amp;Z$5))*2,0)/2))&gt;INDEX(TF_AktSum,MATCH($A40&amp;"|"&amp;Z$5,TF_Dom,0)),"LMS",INDEX(AktKode,MATCH(INDEX(TF_Akt,MATCH($A40&amp;"|"&amp;Z$5,TF_Dom,0)),Aktiviteter,0)))&amp;IF(OR(COUNTIFS(TF_Nokkel,$A40&amp;"|"&amp;Z$5,TF_Akt,"&lt;&gt;"&amp;INDEX(TF_Akt,MATCH($A40&amp;"|"&amp;Z$5,TF_Dom,0)))&gt;0,AND(IF(Z$9="",0,MAX(0,ROUND((Z$12-SUMIFS(TF_Timer,TF_Nokkel,$A40&amp;"|"&amp;Z$5))*2,0)/2))&gt;0,INDEX(TF_Akt,MATCH($A40&amp;"|"&amp;Z$5,TF_Dom,0))&lt;&gt;"LMS")),"+",""),"?"))))</f>
        <v/>
      </c>
      <c r="AA40" s="13">
        <f>IF(OR($A40="",AA$5=""),"",IF(OR(AND(INDEX(TekFra,23)&gt;0,AA$5&lt;INDEX(TekFra,23)),AND(INDEX(TekTil,23)&gt;0,AA$5&gt;INDEX(TekTil,23))),"",IF(COUNTIFS(TF_Nokkel,$A40&amp;"|"&amp;AA$5)=0,IF(AA$9&lt;&gt;"","LMS",""),IFERROR(IF(SUMIFS(TF_Timer,TF_Nokkel,$A40&amp;"|"&amp;AA$5,TF_Akt,"LMS")+IF(AA$9="",0,MAX(0,ROUND((AA$12-SUMIFS(TF_Timer,TF_Nokkel,$A40&amp;"|"&amp;AA$5))*2,0)/2))&gt;INDEX(TF_AktSum,MATCH($A40&amp;"|"&amp;AA$5,TF_Dom,0)),"LMS",INDEX(AktKode,MATCH(INDEX(TF_Akt,MATCH($A40&amp;"|"&amp;AA$5,TF_Dom,0)),Aktiviteter,0)))&amp;IF(OR(COUNTIFS(TF_Nokkel,$A40&amp;"|"&amp;AA$5,TF_Akt,"&lt;&gt;"&amp;INDEX(TF_Akt,MATCH($A40&amp;"|"&amp;AA$5,TF_Dom,0)))&gt;0,AND(IF(AA$9="",0,MAX(0,ROUND((AA$12-SUMIFS(TF_Timer,TF_Nokkel,$A40&amp;"|"&amp;AA$5))*2,0)/2))&gt;0,INDEX(TF_Akt,MATCH($A40&amp;"|"&amp;AA$5,TF_Dom,0))&lt;&gt;"LMS")),"+",""),"?"))))</f>
        <v/>
      </c>
      <c r="AB40" s="13">
        <f>IF(OR($A40="",AB$5=""),"",IF(OR(AND(INDEX(TekFra,23)&gt;0,AB$5&lt;INDEX(TekFra,23)),AND(INDEX(TekTil,23)&gt;0,AB$5&gt;INDEX(TekTil,23))),"",IF(COUNTIFS(TF_Nokkel,$A40&amp;"|"&amp;AB$5)=0,IF(AB$9&lt;&gt;"","LMS",""),IFERROR(IF(SUMIFS(TF_Timer,TF_Nokkel,$A40&amp;"|"&amp;AB$5,TF_Akt,"LMS")+IF(AB$9="",0,MAX(0,ROUND((AB$12-SUMIFS(TF_Timer,TF_Nokkel,$A40&amp;"|"&amp;AB$5))*2,0)/2))&gt;INDEX(TF_AktSum,MATCH($A40&amp;"|"&amp;AB$5,TF_Dom,0)),"LMS",INDEX(AktKode,MATCH(INDEX(TF_Akt,MATCH($A40&amp;"|"&amp;AB$5,TF_Dom,0)),Aktiviteter,0)))&amp;IF(OR(COUNTIFS(TF_Nokkel,$A40&amp;"|"&amp;AB$5,TF_Akt,"&lt;&gt;"&amp;INDEX(TF_Akt,MATCH($A40&amp;"|"&amp;AB$5,TF_Dom,0)))&gt;0,AND(IF(AB$9="",0,MAX(0,ROUND((AB$12-SUMIFS(TF_Timer,TF_Nokkel,$A40&amp;"|"&amp;AB$5))*2,0)/2))&gt;0,INDEX(TF_Akt,MATCH($A40&amp;"|"&amp;AB$5,TF_Dom,0))&lt;&gt;"LMS")),"+",""),"?"))))</f>
        <v/>
      </c>
      <c r="AC40" s="13">
        <f>IF(OR($A40="",AC$5=""),"",IF(OR(AND(INDEX(TekFra,23)&gt;0,AC$5&lt;INDEX(TekFra,23)),AND(INDEX(TekTil,23)&gt;0,AC$5&gt;INDEX(TekTil,23))),"",IF(COUNTIFS(TF_Nokkel,$A40&amp;"|"&amp;AC$5)=0,IF(AC$9&lt;&gt;"","LMS",""),IFERROR(IF(SUMIFS(TF_Timer,TF_Nokkel,$A40&amp;"|"&amp;AC$5,TF_Akt,"LMS")+IF(AC$9="",0,MAX(0,ROUND((AC$12-SUMIFS(TF_Timer,TF_Nokkel,$A40&amp;"|"&amp;AC$5))*2,0)/2))&gt;INDEX(TF_AktSum,MATCH($A40&amp;"|"&amp;AC$5,TF_Dom,0)),"LMS",INDEX(AktKode,MATCH(INDEX(TF_Akt,MATCH($A40&amp;"|"&amp;AC$5,TF_Dom,0)),Aktiviteter,0)))&amp;IF(OR(COUNTIFS(TF_Nokkel,$A40&amp;"|"&amp;AC$5,TF_Akt,"&lt;&gt;"&amp;INDEX(TF_Akt,MATCH($A40&amp;"|"&amp;AC$5,TF_Dom,0)))&gt;0,AND(IF(AC$9="",0,MAX(0,ROUND((AC$12-SUMIFS(TF_Timer,TF_Nokkel,$A40&amp;"|"&amp;AC$5))*2,0)/2))&gt;0,INDEX(TF_Akt,MATCH($A40&amp;"|"&amp;AC$5,TF_Dom,0))&lt;&gt;"LMS")),"+",""),"?"))))</f>
        <v/>
      </c>
      <c r="AD40" s="13">
        <f>IF(OR($A40="",AD$5=""),"",IF(OR(AND(INDEX(TekFra,23)&gt;0,AD$5&lt;INDEX(TekFra,23)),AND(INDEX(TekTil,23)&gt;0,AD$5&gt;INDEX(TekTil,23))),"",IF(COUNTIFS(TF_Nokkel,$A40&amp;"|"&amp;AD$5)=0,IF(AD$9&lt;&gt;"","LMS",""),IFERROR(IF(SUMIFS(TF_Timer,TF_Nokkel,$A40&amp;"|"&amp;AD$5,TF_Akt,"LMS")+IF(AD$9="",0,MAX(0,ROUND((AD$12-SUMIFS(TF_Timer,TF_Nokkel,$A40&amp;"|"&amp;AD$5))*2,0)/2))&gt;INDEX(TF_AktSum,MATCH($A40&amp;"|"&amp;AD$5,TF_Dom,0)),"LMS",INDEX(AktKode,MATCH(INDEX(TF_Akt,MATCH($A40&amp;"|"&amp;AD$5,TF_Dom,0)),Aktiviteter,0)))&amp;IF(OR(COUNTIFS(TF_Nokkel,$A40&amp;"|"&amp;AD$5,TF_Akt,"&lt;&gt;"&amp;INDEX(TF_Akt,MATCH($A40&amp;"|"&amp;AD$5,TF_Dom,0)))&gt;0,AND(IF(AD$9="",0,MAX(0,ROUND((AD$12-SUMIFS(TF_Timer,TF_Nokkel,$A40&amp;"|"&amp;AD$5))*2,0)/2))&gt;0,INDEX(TF_Akt,MATCH($A40&amp;"|"&amp;AD$5,TF_Dom,0))&lt;&gt;"LMS")),"+",""),"?"))))</f>
        <v/>
      </c>
      <c r="AE40" s="13">
        <f>IF(OR($A40="",AE$5=""),"",IF(OR(AND(INDEX(TekFra,23)&gt;0,AE$5&lt;INDEX(TekFra,23)),AND(INDEX(TekTil,23)&gt;0,AE$5&gt;INDEX(TekTil,23))),"",IF(COUNTIFS(TF_Nokkel,$A40&amp;"|"&amp;AE$5)=0,IF(AE$9&lt;&gt;"","LMS",""),IFERROR(IF(SUMIFS(TF_Timer,TF_Nokkel,$A40&amp;"|"&amp;AE$5,TF_Akt,"LMS")+IF(AE$9="",0,MAX(0,ROUND((AE$12-SUMIFS(TF_Timer,TF_Nokkel,$A40&amp;"|"&amp;AE$5))*2,0)/2))&gt;INDEX(TF_AktSum,MATCH($A40&amp;"|"&amp;AE$5,TF_Dom,0)),"LMS",INDEX(AktKode,MATCH(INDEX(TF_Akt,MATCH($A40&amp;"|"&amp;AE$5,TF_Dom,0)),Aktiviteter,0)))&amp;IF(OR(COUNTIFS(TF_Nokkel,$A40&amp;"|"&amp;AE$5,TF_Akt,"&lt;&gt;"&amp;INDEX(TF_Akt,MATCH($A40&amp;"|"&amp;AE$5,TF_Dom,0)))&gt;0,AND(IF(AE$9="",0,MAX(0,ROUND((AE$12-SUMIFS(TF_Timer,TF_Nokkel,$A40&amp;"|"&amp;AE$5))*2,0)/2))&gt;0,INDEX(TF_Akt,MATCH($A40&amp;"|"&amp;AE$5,TF_Dom,0))&lt;&gt;"LMS")),"+",""),"?"))))</f>
        <v/>
      </c>
      <c r="AF40" s="13">
        <f>IF(OR($A40="",AF$5=""),"",IF(OR(AND(INDEX(TekFra,23)&gt;0,AF$5&lt;INDEX(TekFra,23)),AND(INDEX(TekTil,23)&gt;0,AF$5&gt;INDEX(TekTil,23))),"",IF(COUNTIFS(TF_Nokkel,$A40&amp;"|"&amp;AF$5)=0,IF(AF$9&lt;&gt;"","LMS",""),IFERROR(IF(SUMIFS(TF_Timer,TF_Nokkel,$A40&amp;"|"&amp;AF$5,TF_Akt,"LMS")+IF(AF$9="",0,MAX(0,ROUND((AF$12-SUMIFS(TF_Timer,TF_Nokkel,$A40&amp;"|"&amp;AF$5))*2,0)/2))&gt;INDEX(TF_AktSum,MATCH($A40&amp;"|"&amp;AF$5,TF_Dom,0)),"LMS",INDEX(AktKode,MATCH(INDEX(TF_Akt,MATCH($A40&amp;"|"&amp;AF$5,TF_Dom,0)),Aktiviteter,0)))&amp;IF(OR(COUNTIFS(TF_Nokkel,$A40&amp;"|"&amp;AF$5,TF_Akt,"&lt;&gt;"&amp;INDEX(TF_Akt,MATCH($A40&amp;"|"&amp;AF$5,TF_Dom,0)))&gt;0,AND(IF(AF$9="",0,MAX(0,ROUND((AF$12-SUMIFS(TF_Timer,TF_Nokkel,$A40&amp;"|"&amp;AF$5))*2,0)/2))&gt;0,INDEX(TF_Akt,MATCH($A40&amp;"|"&amp;AF$5,TF_Dom,0))&lt;&gt;"LMS")),"+",""),"?"))))</f>
        <v/>
      </c>
      <c r="AG40" s="13">
        <f>IF(OR($A40="",AG$5=""),"",IF(OR(AND(INDEX(TekFra,23)&gt;0,AG$5&lt;INDEX(TekFra,23)),AND(INDEX(TekTil,23)&gt;0,AG$5&gt;INDEX(TekTil,23))),"",IF(COUNTIFS(TF_Nokkel,$A40&amp;"|"&amp;AG$5)=0,IF(AG$9&lt;&gt;"","LMS",""),IFERROR(IF(SUMIFS(TF_Timer,TF_Nokkel,$A40&amp;"|"&amp;AG$5,TF_Akt,"LMS")+IF(AG$9="",0,MAX(0,ROUND((AG$12-SUMIFS(TF_Timer,TF_Nokkel,$A40&amp;"|"&amp;AG$5))*2,0)/2))&gt;INDEX(TF_AktSum,MATCH($A40&amp;"|"&amp;AG$5,TF_Dom,0)),"LMS",INDEX(AktKode,MATCH(INDEX(TF_Akt,MATCH($A40&amp;"|"&amp;AG$5,TF_Dom,0)),Aktiviteter,0)))&amp;IF(OR(COUNTIFS(TF_Nokkel,$A40&amp;"|"&amp;AG$5,TF_Akt,"&lt;&gt;"&amp;INDEX(TF_Akt,MATCH($A40&amp;"|"&amp;AG$5,TF_Dom,0)))&gt;0,AND(IF(AG$9="",0,MAX(0,ROUND((AG$12-SUMIFS(TF_Timer,TF_Nokkel,$A40&amp;"|"&amp;AG$5))*2,0)/2))&gt;0,INDEX(TF_Akt,MATCH($A40&amp;"|"&amp;AG$5,TF_Dom,0))&lt;&gt;"LMS")),"+",""),"?"))))</f>
        <v/>
      </c>
      <c r="AH40" s="2" t="n"/>
      <c r="AI40" s="2" t="n"/>
      <c r="AJ40" s="2" t="n"/>
    </row>
    <row r="41">
      <c r="A41" s="2">
        <f>INDEX(Teknikere,24)&amp;""</f>
        <v/>
      </c>
      <c r="B41" s="12">
        <f>IF(INDEX(TekFra,24)&gt;0,"ekstra","")</f>
        <v/>
      </c>
      <c r="C41" s="13">
        <f>IF(OR($A41="",C$5=""),"",IF(OR(AND(INDEX(TekFra,24)&gt;0,C$5&lt;INDEX(TekFra,24)),AND(INDEX(TekTil,24)&gt;0,C$5&gt;INDEX(TekTil,24))),"",IF(COUNTIFS(TF_Nokkel,$A41&amp;"|"&amp;C$5)=0,IF(C$9&lt;&gt;"","LMS",""),IFERROR(IF(SUMIFS(TF_Timer,TF_Nokkel,$A41&amp;"|"&amp;C$5,TF_Akt,"LMS")+IF(C$9="",0,MAX(0,ROUND((C$12-SUMIFS(TF_Timer,TF_Nokkel,$A41&amp;"|"&amp;C$5))*2,0)/2))&gt;INDEX(TF_AktSum,MATCH($A41&amp;"|"&amp;C$5,TF_Dom,0)),"LMS",INDEX(AktKode,MATCH(INDEX(TF_Akt,MATCH($A41&amp;"|"&amp;C$5,TF_Dom,0)),Aktiviteter,0)))&amp;IF(OR(COUNTIFS(TF_Nokkel,$A41&amp;"|"&amp;C$5,TF_Akt,"&lt;&gt;"&amp;INDEX(TF_Akt,MATCH($A41&amp;"|"&amp;C$5,TF_Dom,0)))&gt;0,AND(IF(C$9="",0,MAX(0,ROUND((C$12-SUMIFS(TF_Timer,TF_Nokkel,$A41&amp;"|"&amp;C$5))*2,0)/2))&gt;0,INDEX(TF_Akt,MATCH($A41&amp;"|"&amp;C$5,TF_Dom,0))&lt;&gt;"LMS")),"+",""),"?"))))</f>
        <v/>
      </c>
      <c r="D41" s="13">
        <f>IF(OR($A41="",D$5=""),"",IF(OR(AND(INDEX(TekFra,24)&gt;0,D$5&lt;INDEX(TekFra,24)),AND(INDEX(TekTil,24)&gt;0,D$5&gt;INDEX(TekTil,24))),"",IF(COUNTIFS(TF_Nokkel,$A41&amp;"|"&amp;D$5)=0,IF(D$9&lt;&gt;"","LMS",""),IFERROR(IF(SUMIFS(TF_Timer,TF_Nokkel,$A41&amp;"|"&amp;D$5,TF_Akt,"LMS")+IF(D$9="",0,MAX(0,ROUND((D$12-SUMIFS(TF_Timer,TF_Nokkel,$A41&amp;"|"&amp;D$5))*2,0)/2))&gt;INDEX(TF_AktSum,MATCH($A41&amp;"|"&amp;D$5,TF_Dom,0)),"LMS",INDEX(AktKode,MATCH(INDEX(TF_Akt,MATCH($A41&amp;"|"&amp;D$5,TF_Dom,0)),Aktiviteter,0)))&amp;IF(OR(COUNTIFS(TF_Nokkel,$A41&amp;"|"&amp;D$5,TF_Akt,"&lt;&gt;"&amp;INDEX(TF_Akt,MATCH($A41&amp;"|"&amp;D$5,TF_Dom,0)))&gt;0,AND(IF(D$9="",0,MAX(0,ROUND((D$12-SUMIFS(TF_Timer,TF_Nokkel,$A41&amp;"|"&amp;D$5))*2,0)/2))&gt;0,INDEX(TF_Akt,MATCH($A41&amp;"|"&amp;D$5,TF_Dom,0))&lt;&gt;"LMS")),"+",""),"?"))))</f>
        <v/>
      </c>
      <c r="E41" s="13">
        <f>IF(OR($A41="",E$5=""),"",IF(OR(AND(INDEX(TekFra,24)&gt;0,E$5&lt;INDEX(TekFra,24)),AND(INDEX(TekTil,24)&gt;0,E$5&gt;INDEX(TekTil,24))),"",IF(COUNTIFS(TF_Nokkel,$A41&amp;"|"&amp;E$5)=0,IF(E$9&lt;&gt;"","LMS",""),IFERROR(IF(SUMIFS(TF_Timer,TF_Nokkel,$A41&amp;"|"&amp;E$5,TF_Akt,"LMS")+IF(E$9="",0,MAX(0,ROUND((E$12-SUMIFS(TF_Timer,TF_Nokkel,$A41&amp;"|"&amp;E$5))*2,0)/2))&gt;INDEX(TF_AktSum,MATCH($A41&amp;"|"&amp;E$5,TF_Dom,0)),"LMS",INDEX(AktKode,MATCH(INDEX(TF_Akt,MATCH($A41&amp;"|"&amp;E$5,TF_Dom,0)),Aktiviteter,0)))&amp;IF(OR(COUNTIFS(TF_Nokkel,$A41&amp;"|"&amp;E$5,TF_Akt,"&lt;&gt;"&amp;INDEX(TF_Akt,MATCH($A41&amp;"|"&amp;E$5,TF_Dom,0)))&gt;0,AND(IF(E$9="",0,MAX(0,ROUND((E$12-SUMIFS(TF_Timer,TF_Nokkel,$A41&amp;"|"&amp;E$5))*2,0)/2))&gt;0,INDEX(TF_Akt,MATCH($A41&amp;"|"&amp;E$5,TF_Dom,0))&lt;&gt;"LMS")),"+",""),"?"))))</f>
        <v/>
      </c>
      <c r="F41" s="13">
        <f>IF(OR($A41="",F$5=""),"",IF(OR(AND(INDEX(TekFra,24)&gt;0,F$5&lt;INDEX(TekFra,24)),AND(INDEX(TekTil,24)&gt;0,F$5&gt;INDEX(TekTil,24))),"",IF(COUNTIFS(TF_Nokkel,$A41&amp;"|"&amp;F$5)=0,IF(F$9&lt;&gt;"","LMS",""),IFERROR(IF(SUMIFS(TF_Timer,TF_Nokkel,$A41&amp;"|"&amp;F$5,TF_Akt,"LMS")+IF(F$9="",0,MAX(0,ROUND((F$12-SUMIFS(TF_Timer,TF_Nokkel,$A41&amp;"|"&amp;F$5))*2,0)/2))&gt;INDEX(TF_AktSum,MATCH($A41&amp;"|"&amp;F$5,TF_Dom,0)),"LMS",INDEX(AktKode,MATCH(INDEX(TF_Akt,MATCH($A41&amp;"|"&amp;F$5,TF_Dom,0)),Aktiviteter,0)))&amp;IF(OR(COUNTIFS(TF_Nokkel,$A41&amp;"|"&amp;F$5,TF_Akt,"&lt;&gt;"&amp;INDEX(TF_Akt,MATCH($A41&amp;"|"&amp;F$5,TF_Dom,0)))&gt;0,AND(IF(F$9="",0,MAX(0,ROUND((F$12-SUMIFS(TF_Timer,TF_Nokkel,$A41&amp;"|"&amp;F$5))*2,0)/2))&gt;0,INDEX(TF_Akt,MATCH($A41&amp;"|"&amp;F$5,TF_Dom,0))&lt;&gt;"LMS")),"+",""),"?"))))</f>
        <v/>
      </c>
      <c r="G41" s="13">
        <f>IF(OR($A41="",G$5=""),"",IF(OR(AND(INDEX(TekFra,24)&gt;0,G$5&lt;INDEX(TekFra,24)),AND(INDEX(TekTil,24)&gt;0,G$5&gt;INDEX(TekTil,24))),"",IF(COUNTIFS(TF_Nokkel,$A41&amp;"|"&amp;G$5)=0,IF(G$9&lt;&gt;"","LMS",""),IFERROR(IF(SUMIFS(TF_Timer,TF_Nokkel,$A41&amp;"|"&amp;G$5,TF_Akt,"LMS")+IF(G$9="",0,MAX(0,ROUND((G$12-SUMIFS(TF_Timer,TF_Nokkel,$A41&amp;"|"&amp;G$5))*2,0)/2))&gt;INDEX(TF_AktSum,MATCH($A41&amp;"|"&amp;G$5,TF_Dom,0)),"LMS",INDEX(AktKode,MATCH(INDEX(TF_Akt,MATCH($A41&amp;"|"&amp;G$5,TF_Dom,0)),Aktiviteter,0)))&amp;IF(OR(COUNTIFS(TF_Nokkel,$A41&amp;"|"&amp;G$5,TF_Akt,"&lt;&gt;"&amp;INDEX(TF_Akt,MATCH($A41&amp;"|"&amp;G$5,TF_Dom,0)))&gt;0,AND(IF(G$9="",0,MAX(0,ROUND((G$12-SUMIFS(TF_Timer,TF_Nokkel,$A41&amp;"|"&amp;G$5))*2,0)/2))&gt;0,INDEX(TF_Akt,MATCH($A41&amp;"|"&amp;G$5,TF_Dom,0))&lt;&gt;"LMS")),"+",""),"?"))))</f>
        <v/>
      </c>
      <c r="H41" s="13">
        <f>IF(OR($A41="",H$5=""),"",IF(OR(AND(INDEX(TekFra,24)&gt;0,H$5&lt;INDEX(TekFra,24)),AND(INDEX(TekTil,24)&gt;0,H$5&gt;INDEX(TekTil,24))),"",IF(COUNTIFS(TF_Nokkel,$A41&amp;"|"&amp;H$5)=0,IF(H$9&lt;&gt;"","LMS",""),IFERROR(IF(SUMIFS(TF_Timer,TF_Nokkel,$A41&amp;"|"&amp;H$5,TF_Akt,"LMS")+IF(H$9="",0,MAX(0,ROUND((H$12-SUMIFS(TF_Timer,TF_Nokkel,$A41&amp;"|"&amp;H$5))*2,0)/2))&gt;INDEX(TF_AktSum,MATCH($A41&amp;"|"&amp;H$5,TF_Dom,0)),"LMS",INDEX(AktKode,MATCH(INDEX(TF_Akt,MATCH($A41&amp;"|"&amp;H$5,TF_Dom,0)),Aktiviteter,0)))&amp;IF(OR(COUNTIFS(TF_Nokkel,$A41&amp;"|"&amp;H$5,TF_Akt,"&lt;&gt;"&amp;INDEX(TF_Akt,MATCH($A41&amp;"|"&amp;H$5,TF_Dom,0)))&gt;0,AND(IF(H$9="",0,MAX(0,ROUND((H$12-SUMIFS(TF_Timer,TF_Nokkel,$A41&amp;"|"&amp;H$5))*2,0)/2))&gt;0,INDEX(TF_Akt,MATCH($A41&amp;"|"&amp;H$5,TF_Dom,0))&lt;&gt;"LMS")),"+",""),"?"))))</f>
        <v/>
      </c>
      <c r="I41" s="13">
        <f>IF(OR($A41="",I$5=""),"",IF(OR(AND(INDEX(TekFra,24)&gt;0,I$5&lt;INDEX(TekFra,24)),AND(INDEX(TekTil,24)&gt;0,I$5&gt;INDEX(TekTil,24))),"",IF(COUNTIFS(TF_Nokkel,$A41&amp;"|"&amp;I$5)=0,IF(I$9&lt;&gt;"","LMS",""),IFERROR(IF(SUMIFS(TF_Timer,TF_Nokkel,$A41&amp;"|"&amp;I$5,TF_Akt,"LMS")+IF(I$9="",0,MAX(0,ROUND((I$12-SUMIFS(TF_Timer,TF_Nokkel,$A41&amp;"|"&amp;I$5))*2,0)/2))&gt;INDEX(TF_AktSum,MATCH($A41&amp;"|"&amp;I$5,TF_Dom,0)),"LMS",INDEX(AktKode,MATCH(INDEX(TF_Akt,MATCH($A41&amp;"|"&amp;I$5,TF_Dom,0)),Aktiviteter,0)))&amp;IF(OR(COUNTIFS(TF_Nokkel,$A41&amp;"|"&amp;I$5,TF_Akt,"&lt;&gt;"&amp;INDEX(TF_Akt,MATCH($A41&amp;"|"&amp;I$5,TF_Dom,0)))&gt;0,AND(IF(I$9="",0,MAX(0,ROUND((I$12-SUMIFS(TF_Timer,TF_Nokkel,$A41&amp;"|"&amp;I$5))*2,0)/2))&gt;0,INDEX(TF_Akt,MATCH($A41&amp;"|"&amp;I$5,TF_Dom,0))&lt;&gt;"LMS")),"+",""),"?"))))</f>
        <v/>
      </c>
      <c r="J41" s="13">
        <f>IF(OR($A41="",J$5=""),"",IF(OR(AND(INDEX(TekFra,24)&gt;0,J$5&lt;INDEX(TekFra,24)),AND(INDEX(TekTil,24)&gt;0,J$5&gt;INDEX(TekTil,24))),"",IF(COUNTIFS(TF_Nokkel,$A41&amp;"|"&amp;J$5)=0,IF(J$9&lt;&gt;"","LMS",""),IFERROR(IF(SUMIFS(TF_Timer,TF_Nokkel,$A41&amp;"|"&amp;J$5,TF_Akt,"LMS")+IF(J$9="",0,MAX(0,ROUND((J$12-SUMIFS(TF_Timer,TF_Nokkel,$A41&amp;"|"&amp;J$5))*2,0)/2))&gt;INDEX(TF_AktSum,MATCH($A41&amp;"|"&amp;J$5,TF_Dom,0)),"LMS",INDEX(AktKode,MATCH(INDEX(TF_Akt,MATCH($A41&amp;"|"&amp;J$5,TF_Dom,0)),Aktiviteter,0)))&amp;IF(OR(COUNTIFS(TF_Nokkel,$A41&amp;"|"&amp;J$5,TF_Akt,"&lt;&gt;"&amp;INDEX(TF_Akt,MATCH($A41&amp;"|"&amp;J$5,TF_Dom,0)))&gt;0,AND(IF(J$9="",0,MAX(0,ROUND((J$12-SUMIFS(TF_Timer,TF_Nokkel,$A41&amp;"|"&amp;J$5))*2,0)/2))&gt;0,INDEX(TF_Akt,MATCH($A41&amp;"|"&amp;J$5,TF_Dom,0))&lt;&gt;"LMS")),"+",""),"?"))))</f>
        <v/>
      </c>
      <c r="K41" s="13">
        <f>IF(OR($A41="",K$5=""),"",IF(OR(AND(INDEX(TekFra,24)&gt;0,K$5&lt;INDEX(TekFra,24)),AND(INDEX(TekTil,24)&gt;0,K$5&gt;INDEX(TekTil,24))),"",IF(COUNTIFS(TF_Nokkel,$A41&amp;"|"&amp;K$5)=0,IF(K$9&lt;&gt;"","LMS",""),IFERROR(IF(SUMIFS(TF_Timer,TF_Nokkel,$A41&amp;"|"&amp;K$5,TF_Akt,"LMS")+IF(K$9="",0,MAX(0,ROUND((K$12-SUMIFS(TF_Timer,TF_Nokkel,$A41&amp;"|"&amp;K$5))*2,0)/2))&gt;INDEX(TF_AktSum,MATCH($A41&amp;"|"&amp;K$5,TF_Dom,0)),"LMS",INDEX(AktKode,MATCH(INDEX(TF_Akt,MATCH($A41&amp;"|"&amp;K$5,TF_Dom,0)),Aktiviteter,0)))&amp;IF(OR(COUNTIFS(TF_Nokkel,$A41&amp;"|"&amp;K$5,TF_Akt,"&lt;&gt;"&amp;INDEX(TF_Akt,MATCH($A41&amp;"|"&amp;K$5,TF_Dom,0)))&gt;0,AND(IF(K$9="",0,MAX(0,ROUND((K$12-SUMIFS(TF_Timer,TF_Nokkel,$A41&amp;"|"&amp;K$5))*2,0)/2))&gt;0,INDEX(TF_Akt,MATCH($A41&amp;"|"&amp;K$5,TF_Dom,0))&lt;&gt;"LMS")),"+",""),"?"))))</f>
        <v/>
      </c>
      <c r="L41" s="13">
        <f>IF(OR($A41="",L$5=""),"",IF(OR(AND(INDEX(TekFra,24)&gt;0,L$5&lt;INDEX(TekFra,24)),AND(INDEX(TekTil,24)&gt;0,L$5&gt;INDEX(TekTil,24))),"",IF(COUNTIFS(TF_Nokkel,$A41&amp;"|"&amp;L$5)=0,IF(L$9&lt;&gt;"","LMS",""),IFERROR(IF(SUMIFS(TF_Timer,TF_Nokkel,$A41&amp;"|"&amp;L$5,TF_Akt,"LMS")+IF(L$9="",0,MAX(0,ROUND((L$12-SUMIFS(TF_Timer,TF_Nokkel,$A41&amp;"|"&amp;L$5))*2,0)/2))&gt;INDEX(TF_AktSum,MATCH($A41&amp;"|"&amp;L$5,TF_Dom,0)),"LMS",INDEX(AktKode,MATCH(INDEX(TF_Akt,MATCH($A41&amp;"|"&amp;L$5,TF_Dom,0)),Aktiviteter,0)))&amp;IF(OR(COUNTIFS(TF_Nokkel,$A41&amp;"|"&amp;L$5,TF_Akt,"&lt;&gt;"&amp;INDEX(TF_Akt,MATCH($A41&amp;"|"&amp;L$5,TF_Dom,0)))&gt;0,AND(IF(L$9="",0,MAX(0,ROUND((L$12-SUMIFS(TF_Timer,TF_Nokkel,$A41&amp;"|"&amp;L$5))*2,0)/2))&gt;0,INDEX(TF_Akt,MATCH($A41&amp;"|"&amp;L$5,TF_Dom,0))&lt;&gt;"LMS")),"+",""),"?"))))</f>
        <v/>
      </c>
      <c r="M41" s="13">
        <f>IF(OR($A41="",M$5=""),"",IF(OR(AND(INDEX(TekFra,24)&gt;0,M$5&lt;INDEX(TekFra,24)),AND(INDEX(TekTil,24)&gt;0,M$5&gt;INDEX(TekTil,24))),"",IF(COUNTIFS(TF_Nokkel,$A41&amp;"|"&amp;M$5)=0,IF(M$9&lt;&gt;"","LMS",""),IFERROR(IF(SUMIFS(TF_Timer,TF_Nokkel,$A41&amp;"|"&amp;M$5,TF_Akt,"LMS")+IF(M$9="",0,MAX(0,ROUND((M$12-SUMIFS(TF_Timer,TF_Nokkel,$A41&amp;"|"&amp;M$5))*2,0)/2))&gt;INDEX(TF_AktSum,MATCH($A41&amp;"|"&amp;M$5,TF_Dom,0)),"LMS",INDEX(AktKode,MATCH(INDEX(TF_Akt,MATCH($A41&amp;"|"&amp;M$5,TF_Dom,0)),Aktiviteter,0)))&amp;IF(OR(COUNTIFS(TF_Nokkel,$A41&amp;"|"&amp;M$5,TF_Akt,"&lt;&gt;"&amp;INDEX(TF_Akt,MATCH($A41&amp;"|"&amp;M$5,TF_Dom,0)))&gt;0,AND(IF(M$9="",0,MAX(0,ROUND((M$12-SUMIFS(TF_Timer,TF_Nokkel,$A41&amp;"|"&amp;M$5))*2,0)/2))&gt;0,INDEX(TF_Akt,MATCH($A41&amp;"|"&amp;M$5,TF_Dom,0))&lt;&gt;"LMS")),"+",""),"?"))))</f>
        <v/>
      </c>
      <c r="N41" s="13">
        <f>IF(OR($A41="",N$5=""),"",IF(OR(AND(INDEX(TekFra,24)&gt;0,N$5&lt;INDEX(TekFra,24)),AND(INDEX(TekTil,24)&gt;0,N$5&gt;INDEX(TekTil,24))),"",IF(COUNTIFS(TF_Nokkel,$A41&amp;"|"&amp;N$5)=0,IF(N$9&lt;&gt;"","LMS",""),IFERROR(IF(SUMIFS(TF_Timer,TF_Nokkel,$A41&amp;"|"&amp;N$5,TF_Akt,"LMS")+IF(N$9="",0,MAX(0,ROUND((N$12-SUMIFS(TF_Timer,TF_Nokkel,$A41&amp;"|"&amp;N$5))*2,0)/2))&gt;INDEX(TF_AktSum,MATCH($A41&amp;"|"&amp;N$5,TF_Dom,0)),"LMS",INDEX(AktKode,MATCH(INDEX(TF_Akt,MATCH($A41&amp;"|"&amp;N$5,TF_Dom,0)),Aktiviteter,0)))&amp;IF(OR(COUNTIFS(TF_Nokkel,$A41&amp;"|"&amp;N$5,TF_Akt,"&lt;&gt;"&amp;INDEX(TF_Akt,MATCH($A41&amp;"|"&amp;N$5,TF_Dom,0)))&gt;0,AND(IF(N$9="",0,MAX(0,ROUND((N$12-SUMIFS(TF_Timer,TF_Nokkel,$A41&amp;"|"&amp;N$5))*2,0)/2))&gt;0,INDEX(TF_Akt,MATCH($A41&amp;"|"&amp;N$5,TF_Dom,0))&lt;&gt;"LMS")),"+",""),"?"))))</f>
        <v/>
      </c>
      <c r="O41" s="13">
        <f>IF(OR($A41="",O$5=""),"",IF(OR(AND(INDEX(TekFra,24)&gt;0,O$5&lt;INDEX(TekFra,24)),AND(INDEX(TekTil,24)&gt;0,O$5&gt;INDEX(TekTil,24))),"",IF(COUNTIFS(TF_Nokkel,$A41&amp;"|"&amp;O$5)=0,IF(O$9&lt;&gt;"","LMS",""),IFERROR(IF(SUMIFS(TF_Timer,TF_Nokkel,$A41&amp;"|"&amp;O$5,TF_Akt,"LMS")+IF(O$9="",0,MAX(0,ROUND((O$12-SUMIFS(TF_Timer,TF_Nokkel,$A41&amp;"|"&amp;O$5))*2,0)/2))&gt;INDEX(TF_AktSum,MATCH($A41&amp;"|"&amp;O$5,TF_Dom,0)),"LMS",INDEX(AktKode,MATCH(INDEX(TF_Akt,MATCH($A41&amp;"|"&amp;O$5,TF_Dom,0)),Aktiviteter,0)))&amp;IF(OR(COUNTIFS(TF_Nokkel,$A41&amp;"|"&amp;O$5,TF_Akt,"&lt;&gt;"&amp;INDEX(TF_Akt,MATCH($A41&amp;"|"&amp;O$5,TF_Dom,0)))&gt;0,AND(IF(O$9="",0,MAX(0,ROUND((O$12-SUMIFS(TF_Timer,TF_Nokkel,$A41&amp;"|"&amp;O$5))*2,0)/2))&gt;0,INDEX(TF_Akt,MATCH($A41&amp;"|"&amp;O$5,TF_Dom,0))&lt;&gt;"LMS")),"+",""),"?"))))</f>
        <v/>
      </c>
      <c r="P41" s="13">
        <f>IF(OR($A41="",P$5=""),"",IF(OR(AND(INDEX(TekFra,24)&gt;0,P$5&lt;INDEX(TekFra,24)),AND(INDEX(TekTil,24)&gt;0,P$5&gt;INDEX(TekTil,24))),"",IF(COUNTIFS(TF_Nokkel,$A41&amp;"|"&amp;P$5)=0,IF(P$9&lt;&gt;"","LMS",""),IFERROR(IF(SUMIFS(TF_Timer,TF_Nokkel,$A41&amp;"|"&amp;P$5,TF_Akt,"LMS")+IF(P$9="",0,MAX(0,ROUND((P$12-SUMIFS(TF_Timer,TF_Nokkel,$A41&amp;"|"&amp;P$5))*2,0)/2))&gt;INDEX(TF_AktSum,MATCH($A41&amp;"|"&amp;P$5,TF_Dom,0)),"LMS",INDEX(AktKode,MATCH(INDEX(TF_Akt,MATCH($A41&amp;"|"&amp;P$5,TF_Dom,0)),Aktiviteter,0)))&amp;IF(OR(COUNTIFS(TF_Nokkel,$A41&amp;"|"&amp;P$5,TF_Akt,"&lt;&gt;"&amp;INDEX(TF_Akt,MATCH($A41&amp;"|"&amp;P$5,TF_Dom,0)))&gt;0,AND(IF(P$9="",0,MAX(0,ROUND((P$12-SUMIFS(TF_Timer,TF_Nokkel,$A41&amp;"|"&amp;P$5))*2,0)/2))&gt;0,INDEX(TF_Akt,MATCH($A41&amp;"|"&amp;P$5,TF_Dom,0))&lt;&gt;"LMS")),"+",""),"?"))))</f>
        <v/>
      </c>
      <c r="Q41" s="13">
        <f>IF(OR($A41="",Q$5=""),"",IF(OR(AND(INDEX(TekFra,24)&gt;0,Q$5&lt;INDEX(TekFra,24)),AND(INDEX(TekTil,24)&gt;0,Q$5&gt;INDEX(TekTil,24))),"",IF(COUNTIFS(TF_Nokkel,$A41&amp;"|"&amp;Q$5)=0,IF(Q$9&lt;&gt;"","LMS",""),IFERROR(IF(SUMIFS(TF_Timer,TF_Nokkel,$A41&amp;"|"&amp;Q$5,TF_Akt,"LMS")+IF(Q$9="",0,MAX(0,ROUND((Q$12-SUMIFS(TF_Timer,TF_Nokkel,$A41&amp;"|"&amp;Q$5))*2,0)/2))&gt;INDEX(TF_AktSum,MATCH($A41&amp;"|"&amp;Q$5,TF_Dom,0)),"LMS",INDEX(AktKode,MATCH(INDEX(TF_Akt,MATCH($A41&amp;"|"&amp;Q$5,TF_Dom,0)),Aktiviteter,0)))&amp;IF(OR(COUNTIFS(TF_Nokkel,$A41&amp;"|"&amp;Q$5,TF_Akt,"&lt;&gt;"&amp;INDEX(TF_Akt,MATCH($A41&amp;"|"&amp;Q$5,TF_Dom,0)))&gt;0,AND(IF(Q$9="",0,MAX(0,ROUND((Q$12-SUMIFS(TF_Timer,TF_Nokkel,$A41&amp;"|"&amp;Q$5))*2,0)/2))&gt;0,INDEX(TF_Akt,MATCH($A41&amp;"|"&amp;Q$5,TF_Dom,0))&lt;&gt;"LMS")),"+",""),"?"))))</f>
        <v/>
      </c>
      <c r="R41" s="13">
        <f>IF(OR($A41="",R$5=""),"",IF(OR(AND(INDEX(TekFra,24)&gt;0,R$5&lt;INDEX(TekFra,24)),AND(INDEX(TekTil,24)&gt;0,R$5&gt;INDEX(TekTil,24))),"",IF(COUNTIFS(TF_Nokkel,$A41&amp;"|"&amp;R$5)=0,IF(R$9&lt;&gt;"","LMS",""),IFERROR(IF(SUMIFS(TF_Timer,TF_Nokkel,$A41&amp;"|"&amp;R$5,TF_Akt,"LMS")+IF(R$9="",0,MAX(0,ROUND((R$12-SUMIFS(TF_Timer,TF_Nokkel,$A41&amp;"|"&amp;R$5))*2,0)/2))&gt;INDEX(TF_AktSum,MATCH($A41&amp;"|"&amp;R$5,TF_Dom,0)),"LMS",INDEX(AktKode,MATCH(INDEX(TF_Akt,MATCH($A41&amp;"|"&amp;R$5,TF_Dom,0)),Aktiviteter,0)))&amp;IF(OR(COUNTIFS(TF_Nokkel,$A41&amp;"|"&amp;R$5,TF_Akt,"&lt;&gt;"&amp;INDEX(TF_Akt,MATCH($A41&amp;"|"&amp;R$5,TF_Dom,0)))&gt;0,AND(IF(R$9="",0,MAX(0,ROUND((R$12-SUMIFS(TF_Timer,TF_Nokkel,$A41&amp;"|"&amp;R$5))*2,0)/2))&gt;0,INDEX(TF_Akt,MATCH($A41&amp;"|"&amp;R$5,TF_Dom,0))&lt;&gt;"LMS")),"+",""),"?"))))</f>
        <v/>
      </c>
      <c r="S41" s="13">
        <f>IF(OR($A41="",S$5=""),"",IF(OR(AND(INDEX(TekFra,24)&gt;0,S$5&lt;INDEX(TekFra,24)),AND(INDEX(TekTil,24)&gt;0,S$5&gt;INDEX(TekTil,24))),"",IF(COUNTIFS(TF_Nokkel,$A41&amp;"|"&amp;S$5)=0,IF(S$9&lt;&gt;"","LMS",""),IFERROR(IF(SUMIFS(TF_Timer,TF_Nokkel,$A41&amp;"|"&amp;S$5,TF_Akt,"LMS")+IF(S$9="",0,MAX(0,ROUND((S$12-SUMIFS(TF_Timer,TF_Nokkel,$A41&amp;"|"&amp;S$5))*2,0)/2))&gt;INDEX(TF_AktSum,MATCH($A41&amp;"|"&amp;S$5,TF_Dom,0)),"LMS",INDEX(AktKode,MATCH(INDEX(TF_Akt,MATCH($A41&amp;"|"&amp;S$5,TF_Dom,0)),Aktiviteter,0)))&amp;IF(OR(COUNTIFS(TF_Nokkel,$A41&amp;"|"&amp;S$5,TF_Akt,"&lt;&gt;"&amp;INDEX(TF_Akt,MATCH($A41&amp;"|"&amp;S$5,TF_Dom,0)))&gt;0,AND(IF(S$9="",0,MAX(0,ROUND((S$12-SUMIFS(TF_Timer,TF_Nokkel,$A41&amp;"|"&amp;S$5))*2,0)/2))&gt;0,INDEX(TF_Akt,MATCH($A41&amp;"|"&amp;S$5,TF_Dom,0))&lt;&gt;"LMS")),"+",""),"?"))))</f>
        <v/>
      </c>
      <c r="T41" s="13">
        <f>IF(OR($A41="",T$5=""),"",IF(OR(AND(INDEX(TekFra,24)&gt;0,T$5&lt;INDEX(TekFra,24)),AND(INDEX(TekTil,24)&gt;0,T$5&gt;INDEX(TekTil,24))),"",IF(COUNTIFS(TF_Nokkel,$A41&amp;"|"&amp;T$5)=0,IF(T$9&lt;&gt;"","LMS",""),IFERROR(IF(SUMIFS(TF_Timer,TF_Nokkel,$A41&amp;"|"&amp;T$5,TF_Akt,"LMS")+IF(T$9="",0,MAX(0,ROUND((T$12-SUMIFS(TF_Timer,TF_Nokkel,$A41&amp;"|"&amp;T$5))*2,0)/2))&gt;INDEX(TF_AktSum,MATCH($A41&amp;"|"&amp;T$5,TF_Dom,0)),"LMS",INDEX(AktKode,MATCH(INDEX(TF_Akt,MATCH($A41&amp;"|"&amp;T$5,TF_Dom,0)),Aktiviteter,0)))&amp;IF(OR(COUNTIFS(TF_Nokkel,$A41&amp;"|"&amp;T$5,TF_Akt,"&lt;&gt;"&amp;INDEX(TF_Akt,MATCH($A41&amp;"|"&amp;T$5,TF_Dom,0)))&gt;0,AND(IF(T$9="",0,MAX(0,ROUND((T$12-SUMIFS(TF_Timer,TF_Nokkel,$A41&amp;"|"&amp;T$5))*2,0)/2))&gt;0,INDEX(TF_Akt,MATCH($A41&amp;"|"&amp;T$5,TF_Dom,0))&lt;&gt;"LMS")),"+",""),"?"))))</f>
        <v/>
      </c>
      <c r="U41" s="13">
        <f>IF(OR($A41="",U$5=""),"",IF(OR(AND(INDEX(TekFra,24)&gt;0,U$5&lt;INDEX(TekFra,24)),AND(INDEX(TekTil,24)&gt;0,U$5&gt;INDEX(TekTil,24))),"",IF(COUNTIFS(TF_Nokkel,$A41&amp;"|"&amp;U$5)=0,IF(U$9&lt;&gt;"","LMS",""),IFERROR(IF(SUMIFS(TF_Timer,TF_Nokkel,$A41&amp;"|"&amp;U$5,TF_Akt,"LMS")+IF(U$9="",0,MAX(0,ROUND((U$12-SUMIFS(TF_Timer,TF_Nokkel,$A41&amp;"|"&amp;U$5))*2,0)/2))&gt;INDEX(TF_AktSum,MATCH($A41&amp;"|"&amp;U$5,TF_Dom,0)),"LMS",INDEX(AktKode,MATCH(INDEX(TF_Akt,MATCH($A41&amp;"|"&amp;U$5,TF_Dom,0)),Aktiviteter,0)))&amp;IF(OR(COUNTIFS(TF_Nokkel,$A41&amp;"|"&amp;U$5,TF_Akt,"&lt;&gt;"&amp;INDEX(TF_Akt,MATCH($A41&amp;"|"&amp;U$5,TF_Dom,0)))&gt;0,AND(IF(U$9="",0,MAX(0,ROUND((U$12-SUMIFS(TF_Timer,TF_Nokkel,$A41&amp;"|"&amp;U$5))*2,0)/2))&gt;0,INDEX(TF_Akt,MATCH($A41&amp;"|"&amp;U$5,TF_Dom,0))&lt;&gt;"LMS")),"+",""),"?"))))</f>
        <v/>
      </c>
      <c r="V41" s="13">
        <f>IF(OR($A41="",V$5=""),"",IF(OR(AND(INDEX(TekFra,24)&gt;0,V$5&lt;INDEX(TekFra,24)),AND(INDEX(TekTil,24)&gt;0,V$5&gt;INDEX(TekTil,24))),"",IF(COUNTIFS(TF_Nokkel,$A41&amp;"|"&amp;V$5)=0,IF(V$9&lt;&gt;"","LMS",""),IFERROR(IF(SUMIFS(TF_Timer,TF_Nokkel,$A41&amp;"|"&amp;V$5,TF_Akt,"LMS")+IF(V$9="",0,MAX(0,ROUND((V$12-SUMIFS(TF_Timer,TF_Nokkel,$A41&amp;"|"&amp;V$5))*2,0)/2))&gt;INDEX(TF_AktSum,MATCH($A41&amp;"|"&amp;V$5,TF_Dom,0)),"LMS",INDEX(AktKode,MATCH(INDEX(TF_Akt,MATCH($A41&amp;"|"&amp;V$5,TF_Dom,0)),Aktiviteter,0)))&amp;IF(OR(COUNTIFS(TF_Nokkel,$A41&amp;"|"&amp;V$5,TF_Akt,"&lt;&gt;"&amp;INDEX(TF_Akt,MATCH($A41&amp;"|"&amp;V$5,TF_Dom,0)))&gt;0,AND(IF(V$9="",0,MAX(0,ROUND((V$12-SUMIFS(TF_Timer,TF_Nokkel,$A41&amp;"|"&amp;V$5))*2,0)/2))&gt;0,INDEX(TF_Akt,MATCH($A41&amp;"|"&amp;V$5,TF_Dom,0))&lt;&gt;"LMS")),"+",""),"?"))))</f>
        <v/>
      </c>
      <c r="W41" s="13">
        <f>IF(OR($A41="",W$5=""),"",IF(OR(AND(INDEX(TekFra,24)&gt;0,W$5&lt;INDEX(TekFra,24)),AND(INDEX(TekTil,24)&gt;0,W$5&gt;INDEX(TekTil,24))),"",IF(COUNTIFS(TF_Nokkel,$A41&amp;"|"&amp;W$5)=0,IF(W$9&lt;&gt;"","LMS",""),IFERROR(IF(SUMIFS(TF_Timer,TF_Nokkel,$A41&amp;"|"&amp;W$5,TF_Akt,"LMS")+IF(W$9="",0,MAX(0,ROUND((W$12-SUMIFS(TF_Timer,TF_Nokkel,$A41&amp;"|"&amp;W$5))*2,0)/2))&gt;INDEX(TF_AktSum,MATCH($A41&amp;"|"&amp;W$5,TF_Dom,0)),"LMS",INDEX(AktKode,MATCH(INDEX(TF_Akt,MATCH($A41&amp;"|"&amp;W$5,TF_Dom,0)),Aktiviteter,0)))&amp;IF(OR(COUNTIFS(TF_Nokkel,$A41&amp;"|"&amp;W$5,TF_Akt,"&lt;&gt;"&amp;INDEX(TF_Akt,MATCH($A41&amp;"|"&amp;W$5,TF_Dom,0)))&gt;0,AND(IF(W$9="",0,MAX(0,ROUND((W$12-SUMIFS(TF_Timer,TF_Nokkel,$A41&amp;"|"&amp;W$5))*2,0)/2))&gt;0,INDEX(TF_Akt,MATCH($A41&amp;"|"&amp;W$5,TF_Dom,0))&lt;&gt;"LMS")),"+",""),"?"))))</f>
        <v/>
      </c>
      <c r="X41" s="13">
        <f>IF(OR($A41="",X$5=""),"",IF(OR(AND(INDEX(TekFra,24)&gt;0,X$5&lt;INDEX(TekFra,24)),AND(INDEX(TekTil,24)&gt;0,X$5&gt;INDEX(TekTil,24))),"",IF(COUNTIFS(TF_Nokkel,$A41&amp;"|"&amp;X$5)=0,IF(X$9&lt;&gt;"","LMS",""),IFERROR(IF(SUMIFS(TF_Timer,TF_Nokkel,$A41&amp;"|"&amp;X$5,TF_Akt,"LMS")+IF(X$9="",0,MAX(0,ROUND((X$12-SUMIFS(TF_Timer,TF_Nokkel,$A41&amp;"|"&amp;X$5))*2,0)/2))&gt;INDEX(TF_AktSum,MATCH($A41&amp;"|"&amp;X$5,TF_Dom,0)),"LMS",INDEX(AktKode,MATCH(INDEX(TF_Akt,MATCH($A41&amp;"|"&amp;X$5,TF_Dom,0)),Aktiviteter,0)))&amp;IF(OR(COUNTIFS(TF_Nokkel,$A41&amp;"|"&amp;X$5,TF_Akt,"&lt;&gt;"&amp;INDEX(TF_Akt,MATCH($A41&amp;"|"&amp;X$5,TF_Dom,0)))&gt;0,AND(IF(X$9="",0,MAX(0,ROUND((X$12-SUMIFS(TF_Timer,TF_Nokkel,$A41&amp;"|"&amp;X$5))*2,0)/2))&gt;0,INDEX(TF_Akt,MATCH($A41&amp;"|"&amp;X$5,TF_Dom,0))&lt;&gt;"LMS")),"+",""),"?"))))</f>
        <v/>
      </c>
      <c r="Y41" s="13">
        <f>IF(OR($A41="",Y$5=""),"",IF(OR(AND(INDEX(TekFra,24)&gt;0,Y$5&lt;INDEX(TekFra,24)),AND(INDEX(TekTil,24)&gt;0,Y$5&gt;INDEX(TekTil,24))),"",IF(COUNTIFS(TF_Nokkel,$A41&amp;"|"&amp;Y$5)=0,IF(Y$9&lt;&gt;"","LMS",""),IFERROR(IF(SUMIFS(TF_Timer,TF_Nokkel,$A41&amp;"|"&amp;Y$5,TF_Akt,"LMS")+IF(Y$9="",0,MAX(0,ROUND((Y$12-SUMIFS(TF_Timer,TF_Nokkel,$A41&amp;"|"&amp;Y$5))*2,0)/2))&gt;INDEX(TF_AktSum,MATCH($A41&amp;"|"&amp;Y$5,TF_Dom,0)),"LMS",INDEX(AktKode,MATCH(INDEX(TF_Akt,MATCH($A41&amp;"|"&amp;Y$5,TF_Dom,0)),Aktiviteter,0)))&amp;IF(OR(COUNTIFS(TF_Nokkel,$A41&amp;"|"&amp;Y$5,TF_Akt,"&lt;&gt;"&amp;INDEX(TF_Akt,MATCH($A41&amp;"|"&amp;Y$5,TF_Dom,0)))&gt;0,AND(IF(Y$9="",0,MAX(0,ROUND((Y$12-SUMIFS(TF_Timer,TF_Nokkel,$A41&amp;"|"&amp;Y$5))*2,0)/2))&gt;0,INDEX(TF_Akt,MATCH($A41&amp;"|"&amp;Y$5,TF_Dom,0))&lt;&gt;"LMS")),"+",""),"?"))))</f>
        <v/>
      </c>
      <c r="Z41" s="13">
        <f>IF(OR($A41="",Z$5=""),"",IF(OR(AND(INDEX(TekFra,24)&gt;0,Z$5&lt;INDEX(TekFra,24)),AND(INDEX(TekTil,24)&gt;0,Z$5&gt;INDEX(TekTil,24))),"",IF(COUNTIFS(TF_Nokkel,$A41&amp;"|"&amp;Z$5)=0,IF(Z$9&lt;&gt;"","LMS",""),IFERROR(IF(SUMIFS(TF_Timer,TF_Nokkel,$A41&amp;"|"&amp;Z$5,TF_Akt,"LMS")+IF(Z$9="",0,MAX(0,ROUND((Z$12-SUMIFS(TF_Timer,TF_Nokkel,$A41&amp;"|"&amp;Z$5))*2,0)/2))&gt;INDEX(TF_AktSum,MATCH($A41&amp;"|"&amp;Z$5,TF_Dom,0)),"LMS",INDEX(AktKode,MATCH(INDEX(TF_Akt,MATCH($A41&amp;"|"&amp;Z$5,TF_Dom,0)),Aktiviteter,0)))&amp;IF(OR(COUNTIFS(TF_Nokkel,$A41&amp;"|"&amp;Z$5,TF_Akt,"&lt;&gt;"&amp;INDEX(TF_Akt,MATCH($A41&amp;"|"&amp;Z$5,TF_Dom,0)))&gt;0,AND(IF(Z$9="",0,MAX(0,ROUND((Z$12-SUMIFS(TF_Timer,TF_Nokkel,$A41&amp;"|"&amp;Z$5))*2,0)/2))&gt;0,INDEX(TF_Akt,MATCH($A41&amp;"|"&amp;Z$5,TF_Dom,0))&lt;&gt;"LMS")),"+",""),"?"))))</f>
        <v/>
      </c>
      <c r="AA41" s="13">
        <f>IF(OR($A41="",AA$5=""),"",IF(OR(AND(INDEX(TekFra,24)&gt;0,AA$5&lt;INDEX(TekFra,24)),AND(INDEX(TekTil,24)&gt;0,AA$5&gt;INDEX(TekTil,24))),"",IF(COUNTIFS(TF_Nokkel,$A41&amp;"|"&amp;AA$5)=0,IF(AA$9&lt;&gt;"","LMS",""),IFERROR(IF(SUMIFS(TF_Timer,TF_Nokkel,$A41&amp;"|"&amp;AA$5,TF_Akt,"LMS")+IF(AA$9="",0,MAX(0,ROUND((AA$12-SUMIFS(TF_Timer,TF_Nokkel,$A41&amp;"|"&amp;AA$5))*2,0)/2))&gt;INDEX(TF_AktSum,MATCH($A41&amp;"|"&amp;AA$5,TF_Dom,0)),"LMS",INDEX(AktKode,MATCH(INDEX(TF_Akt,MATCH($A41&amp;"|"&amp;AA$5,TF_Dom,0)),Aktiviteter,0)))&amp;IF(OR(COUNTIFS(TF_Nokkel,$A41&amp;"|"&amp;AA$5,TF_Akt,"&lt;&gt;"&amp;INDEX(TF_Akt,MATCH($A41&amp;"|"&amp;AA$5,TF_Dom,0)))&gt;0,AND(IF(AA$9="",0,MAX(0,ROUND((AA$12-SUMIFS(TF_Timer,TF_Nokkel,$A41&amp;"|"&amp;AA$5))*2,0)/2))&gt;0,INDEX(TF_Akt,MATCH($A41&amp;"|"&amp;AA$5,TF_Dom,0))&lt;&gt;"LMS")),"+",""),"?"))))</f>
        <v/>
      </c>
      <c r="AB41" s="13">
        <f>IF(OR($A41="",AB$5=""),"",IF(OR(AND(INDEX(TekFra,24)&gt;0,AB$5&lt;INDEX(TekFra,24)),AND(INDEX(TekTil,24)&gt;0,AB$5&gt;INDEX(TekTil,24))),"",IF(COUNTIFS(TF_Nokkel,$A41&amp;"|"&amp;AB$5)=0,IF(AB$9&lt;&gt;"","LMS",""),IFERROR(IF(SUMIFS(TF_Timer,TF_Nokkel,$A41&amp;"|"&amp;AB$5,TF_Akt,"LMS")+IF(AB$9="",0,MAX(0,ROUND((AB$12-SUMIFS(TF_Timer,TF_Nokkel,$A41&amp;"|"&amp;AB$5))*2,0)/2))&gt;INDEX(TF_AktSum,MATCH($A41&amp;"|"&amp;AB$5,TF_Dom,0)),"LMS",INDEX(AktKode,MATCH(INDEX(TF_Akt,MATCH($A41&amp;"|"&amp;AB$5,TF_Dom,0)),Aktiviteter,0)))&amp;IF(OR(COUNTIFS(TF_Nokkel,$A41&amp;"|"&amp;AB$5,TF_Akt,"&lt;&gt;"&amp;INDEX(TF_Akt,MATCH($A41&amp;"|"&amp;AB$5,TF_Dom,0)))&gt;0,AND(IF(AB$9="",0,MAX(0,ROUND((AB$12-SUMIFS(TF_Timer,TF_Nokkel,$A41&amp;"|"&amp;AB$5))*2,0)/2))&gt;0,INDEX(TF_Akt,MATCH($A41&amp;"|"&amp;AB$5,TF_Dom,0))&lt;&gt;"LMS")),"+",""),"?"))))</f>
        <v/>
      </c>
      <c r="AC41" s="13">
        <f>IF(OR($A41="",AC$5=""),"",IF(OR(AND(INDEX(TekFra,24)&gt;0,AC$5&lt;INDEX(TekFra,24)),AND(INDEX(TekTil,24)&gt;0,AC$5&gt;INDEX(TekTil,24))),"",IF(COUNTIFS(TF_Nokkel,$A41&amp;"|"&amp;AC$5)=0,IF(AC$9&lt;&gt;"","LMS",""),IFERROR(IF(SUMIFS(TF_Timer,TF_Nokkel,$A41&amp;"|"&amp;AC$5,TF_Akt,"LMS")+IF(AC$9="",0,MAX(0,ROUND((AC$12-SUMIFS(TF_Timer,TF_Nokkel,$A41&amp;"|"&amp;AC$5))*2,0)/2))&gt;INDEX(TF_AktSum,MATCH($A41&amp;"|"&amp;AC$5,TF_Dom,0)),"LMS",INDEX(AktKode,MATCH(INDEX(TF_Akt,MATCH($A41&amp;"|"&amp;AC$5,TF_Dom,0)),Aktiviteter,0)))&amp;IF(OR(COUNTIFS(TF_Nokkel,$A41&amp;"|"&amp;AC$5,TF_Akt,"&lt;&gt;"&amp;INDEX(TF_Akt,MATCH($A41&amp;"|"&amp;AC$5,TF_Dom,0)))&gt;0,AND(IF(AC$9="",0,MAX(0,ROUND((AC$12-SUMIFS(TF_Timer,TF_Nokkel,$A41&amp;"|"&amp;AC$5))*2,0)/2))&gt;0,INDEX(TF_Akt,MATCH($A41&amp;"|"&amp;AC$5,TF_Dom,0))&lt;&gt;"LMS")),"+",""),"?"))))</f>
        <v/>
      </c>
      <c r="AD41" s="13">
        <f>IF(OR($A41="",AD$5=""),"",IF(OR(AND(INDEX(TekFra,24)&gt;0,AD$5&lt;INDEX(TekFra,24)),AND(INDEX(TekTil,24)&gt;0,AD$5&gt;INDEX(TekTil,24))),"",IF(COUNTIFS(TF_Nokkel,$A41&amp;"|"&amp;AD$5)=0,IF(AD$9&lt;&gt;"","LMS",""),IFERROR(IF(SUMIFS(TF_Timer,TF_Nokkel,$A41&amp;"|"&amp;AD$5,TF_Akt,"LMS")+IF(AD$9="",0,MAX(0,ROUND((AD$12-SUMIFS(TF_Timer,TF_Nokkel,$A41&amp;"|"&amp;AD$5))*2,0)/2))&gt;INDEX(TF_AktSum,MATCH($A41&amp;"|"&amp;AD$5,TF_Dom,0)),"LMS",INDEX(AktKode,MATCH(INDEX(TF_Akt,MATCH($A41&amp;"|"&amp;AD$5,TF_Dom,0)),Aktiviteter,0)))&amp;IF(OR(COUNTIFS(TF_Nokkel,$A41&amp;"|"&amp;AD$5,TF_Akt,"&lt;&gt;"&amp;INDEX(TF_Akt,MATCH($A41&amp;"|"&amp;AD$5,TF_Dom,0)))&gt;0,AND(IF(AD$9="",0,MAX(0,ROUND((AD$12-SUMIFS(TF_Timer,TF_Nokkel,$A41&amp;"|"&amp;AD$5))*2,0)/2))&gt;0,INDEX(TF_Akt,MATCH($A41&amp;"|"&amp;AD$5,TF_Dom,0))&lt;&gt;"LMS")),"+",""),"?"))))</f>
        <v/>
      </c>
      <c r="AE41" s="13">
        <f>IF(OR($A41="",AE$5=""),"",IF(OR(AND(INDEX(TekFra,24)&gt;0,AE$5&lt;INDEX(TekFra,24)),AND(INDEX(TekTil,24)&gt;0,AE$5&gt;INDEX(TekTil,24))),"",IF(COUNTIFS(TF_Nokkel,$A41&amp;"|"&amp;AE$5)=0,IF(AE$9&lt;&gt;"","LMS",""),IFERROR(IF(SUMIFS(TF_Timer,TF_Nokkel,$A41&amp;"|"&amp;AE$5,TF_Akt,"LMS")+IF(AE$9="",0,MAX(0,ROUND((AE$12-SUMIFS(TF_Timer,TF_Nokkel,$A41&amp;"|"&amp;AE$5))*2,0)/2))&gt;INDEX(TF_AktSum,MATCH($A41&amp;"|"&amp;AE$5,TF_Dom,0)),"LMS",INDEX(AktKode,MATCH(INDEX(TF_Akt,MATCH($A41&amp;"|"&amp;AE$5,TF_Dom,0)),Aktiviteter,0)))&amp;IF(OR(COUNTIFS(TF_Nokkel,$A41&amp;"|"&amp;AE$5,TF_Akt,"&lt;&gt;"&amp;INDEX(TF_Akt,MATCH($A41&amp;"|"&amp;AE$5,TF_Dom,0)))&gt;0,AND(IF(AE$9="",0,MAX(0,ROUND((AE$12-SUMIFS(TF_Timer,TF_Nokkel,$A41&amp;"|"&amp;AE$5))*2,0)/2))&gt;0,INDEX(TF_Akt,MATCH($A41&amp;"|"&amp;AE$5,TF_Dom,0))&lt;&gt;"LMS")),"+",""),"?"))))</f>
        <v/>
      </c>
      <c r="AF41" s="13">
        <f>IF(OR($A41="",AF$5=""),"",IF(OR(AND(INDEX(TekFra,24)&gt;0,AF$5&lt;INDEX(TekFra,24)),AND(INDEX(TekTil,24)&gt;0,AF$5&gt;INDEX(TekTil,24))),"",IF(COUNTIFS(TF_Nokkel,$A41&amp;"|"&amp;AF$5)=0,IF(AF$9&lt;&gt;"","LMS",""),IFERROR(IF(SUMIFS(TF_Timer,TF_Nokkel,$A41&amp;"|"&amp;AF$5,TF_Akt,"LMS")+IF(AF$9="",0,MAX(0,ROUND((AF$12-SUMIFS(TF_Timer,TF_Nokkel,$A41&amp;"|"&amp;AF$5))*2,0)/2))&gt;INDEX(TF_AktSum,MATCH($A41&amp;"|"&amp;AF$5,TF_Dom,0)),"LMS",INDEX(AktKode,MATCH(INDEX(TF_Akt,MATCH($A41&amp;"|"&amp;AF$5,TF_Dom,0)),Aktiviteter,0)))&amp;IF(OR(COUNTIFS(TF_Nokkel,$A41&amp;"|"&amp;AF$5,TF_Akt,"&lt;&gt;"&amp;INDEX(TF_Akt,MATCH($A41&amp;"|"&amp;AF$5,TF_Dom,0)))&gt;0,AND(IF(AF$9="",0,MAX(0,ROUND((AF$12-SUMIFS(TF_Timer,TF_Nokkel,$A41&amp;"|"&amp;AF$5))*2,0)/2))&gt;0,INDEX(TF_Akt,MATCH($A41&amp;"|"&amp;AF$5,TF_Dom,0))&lt;&gt;"LMS")),"+",""),"?"))))</f>
        <v/>
      </c>
      <c r="AG41" s="13">
        <f>IF(OR($A41="",AG$5=""),"",IF(OR(AND(INDEX(TekFra,24)&gt;0,AG$5&lt;INDEX(TekFra,24)),AND(INDEX(TekTil,24)&gt;0,AG$5&gt;INDEX(TekTil,24))),"",IF(COUNTIFS(TF_Nokkel,$A41&amp;"|"&amp;AG$5)=0,IF(AG$9&lt;&gt;"","LMS",""),IFERROR(IF(SUMIFS(TF_Timer,TF_Nokkel,$A41&amp;"|"&amp;AG$5,TF_Akt,"LMS")+IF(AG$9="",0,MAX(0,ROUND((AG$12-SUMIFS(TF_Timer,TF_Nokkel,$A41&amp;"|"&amp;AG$5))*2,0)/2))&gt;INDEX(TF_AktSum,MATCH($A41&amp;"|"&amp;AG$5,TF_Dom,0)),"LMS",INDEX(AktKode,MATCH(INDEX(TF_Akt,MATCH($A41&amp;"|"&amp;AG$5,TF_Dom,0)),Aktiviteter,0)))&amp;IF(OR(COUNTIFS(TF_Nokkel,$A41&amp;"|"&amp;AG$5,TF_Akt,"&lt;&gt;"&amp;INDEX(TF_Akt,MATCH($A41&amp;"|"&amp;AG$5,TF_Dom,0)))&gt;0,AND(IF(AG$9="",0,MAX(0,ROUND((AG$12-SUMIFS(TF_Timer,TF_Nokkel,$A41&amp;"|"&amp;AG$5))*2,0)/2))&gt;0,INDEX(TF_Akt,MATCH($A41&amp;"|"&amp;AG$5,TF_Dom,0))&lt;&gt;"LMS")),"+",""),"?"))))</f>
        <v/>
      </c>
      <c r="AH41" s="2" t="n"/>
      <c r="AI41" s="2" t="n"/>
      <c r="AJ41" s="2" t="n"/>
    </row>
    <row r="42">
      <c r="A42" s="2">
        <f>INDEX(Teknikere,25)&amp;""</f>
        <v/>
      </c>
      <c r="B42" s="12">
        <f>IF(INDEX(TekFra,25)&gt;0,"ekstra","")</f>
        <v/>
      </c>
      <c r="C42" s="13">
        <f>IF(OR($A42="",C$5=""),"",IF(OR(AND(INDEX(TekFra,25)&gt;0,C$5&lt;INDEX(TekFra,25)),AND(INDEX(TekTil,25)&gt;0,C$5&gt;INDEX(TekTil,25))),"",IF(COUNTIFS(TF_Nokkel,$A42&amp;"|"&amp;C$5)=0,IF(C$9&lt;&gt;"","LMS",""),IFERROR(IF(SUMIFS(TF_Timer,TF_Nokkel,$A42&amp;"|"&amp;C$5,TF_Akt,"LMS")+IF(C$9="",0,MAX(0,ROUND((C$12-SUMIFS(TF_Timer,TF_Nokkel,$A42&amp;"|"&amp;C$5))*2,0)/2))&gt;INDEX(TF_AktSum,MATCH($A42&amp;"|"&amp;C$5,TF_Dom,0)),"LMS",INDEX(AktKode,MATCH(INDEX(TF_Akt,MATCH($A42&amp;"|"&amp;C$5,TF_Dom,0)),Aktiviteter,0)))&amp;IF(OR(COUNTIFS(TF_Nokkel,$A42&amp;"|"&amp;C$5,TF_Akt,"&lt;&gt;"&amp;INDEX(TF_Akt,MATCH($A42&amp;"|"&amp;C$5,TF_Dom,0)))&gt;0,AND(IF(C$9="",0,MAX(0,ROUND((C$12-SUMIFS(TF_Timer,TF_Nokkel,$A42&amp;"|"&amp;C$5))*2,0)/2))&gt;0,INDEX(TF_Akt,MATCH($A42&amp;"|"&amp;C$5,TF_Dom,0))&lt;&gt;"LMS")),"+",""),"?"))))</f>
        <v/>
      </c>
      <c r="D42" s="13">
        <f>IF(OR($A42="",D$5=""),"",IF(OR(AND(INDEX(TekFra,25)&gt;0,D$5&lt;INDEX(TekFra,25)),AND(INDEX(TekTil,25)&gt;0,D$5&gt;INDEX(TekTil,25))),"",IF(COUNTIFS(TF_Nokkel,$A42&amp;"|"&amp;D$5)=0,IF(D$9&lt;&gt;"","LMS",""),IFERROR(IF(SUMIFS(TF_Timer,TF_Nokkel,$A42&amp;"|"&amp;D$5,TF_Akt,"LMS")+IF(D$9="",0,MAX(0,ROUND((D$12-SUMIFS(TF_Timer,TF_Nokkel,$A42&amp;"|"&amp;D$5))*2,0)/2))&gt;INDEX(TF_AktSum,MATCH($A42&amp;"|"&amp;D$5,TF_Dom,0)),"LMS",INDEX(AktKode,MATCH(INDEX(TF_Akt,MATCH($A42&amp;"|"&amp;D$5,TF_Dom,0)),Aktiviteter,0)))&amp;IF(OR(COUNTIFS(TF_Nokkel,$A42&amp;"|"&amp;D$5,TF_Akt,"&lt;&gt;"&amp;INDEX(TF_Akt,MATCH($A42&amp;"|"&amp;D$5,TF_Dom,0)))&gt;0,AND(IF(D$9="",0,MAX(0,ROUND((D$12-SUMIFS(TF_Timer,TF_Nokkel,$A42&amp;"|"&amp;D$5))*2,0)/2))&gt;0,INDEX(TF_Akt,MATCH($A42&amp;"|"&amp;D$5,TF_Dom,0))&lt;&gt;"LMS")),"+",""),"?"))))</f>
        <v/>
      </c>
      <c r="E42" s="13">
        <f>IF(OR($A42="",E$5=""),"",IF(OR(AND(INDEX(TekFra,25)&gt;0,E$5&lt;INDEX(TekFra,25)),AND(INDEX(TekTil,25)&gt;0,E$5&gt;INDEX(TekTil,25))),"",IF(COUNTIFS(TF_Nokkel,$A42&amp;"|"&amp;E$5)=0,IF(E$9&lt;&gt;"","LMS",""),IFERROR(IF(SUMIFS(TF_Timer,TF_Nokkel,$A42&amp;"|"&amp;E$5,TF_Akt,"LMS")+IF(E$9="",0,MAX(0,ROUND((E$12-SUMIFS(TF_Timer,TF_Nokkel,$A42&amp;"|"&amp;E$5))*2,0)/2))&gt;INDEX(TF_AktSum,MATCH($A42&amp;"|"&amp;E$5,TF_Dom,0)),"LMS",INDEX(AktKode,MATCH(INDEX(TF_Akt,MATCH($A42&amp;"|"&amp;E$5,TF_Dom,0)),Aktiviteter,0)))&amp;IF(OR(COUNTIFS(TF_Nokkel,$A42&amp;"|"&amp;E$5,TF_Akt,"&lt;&gt;"&amp;INDEX(TF_Akt,MATCH($A42&amp;"|"&amp;E$5,TF_Dom,0)))&gt;0,AND(IF(E$9="",0,MAX(0,ROUND((E$12-SUMIFS(TF_Timer,TF_Nokkel,$A42&amp;"|"&amp;E$5))*2,0)/2))&gt;0,INDEX(TF_Akt,MATCH($A42&amp;"|"&amp;E$5,TF_Dom,0))&lt;&gt;"LMS")),"+",""),"?"))))</f>
        <v/>
      </c>
      <c r="F42" s="13">
        <f>IF(OR($A42="",F$5=""),"",IF(OR(AND(INDEX(TekFra,25)&gt;0,F$5&lt;INDEX(TekFra,25)),AND(INDEX(TekTil,25)&gt;0,F$5&gt;INDEX(TekTil,25))),"",IF(COUNTIFS(TF_Nokkel,$A42&amp;"|"&amp;F$5)=0,IF(F$9&lt;&gt;"","LMS",""),IFERROR(IF(SUMIFS(TF_Timer,TF_Nokkel,$A42&amp;"|"&amp;F$5,TF_Akt,"LMS")+IF(F$9="",0,MAX(0,ROUND((F$12-SUMIFS(TF_Timer,TF_Nokkel,$A42&amp;"|"&amp;F$5))*2,0)/2))&gt;INDEX(TF_AktSum,MATCH($A42&amp;"|"&amp;F$5,TF_Dom,0)),"LMS",INDEX(AktKode,MATCH(INDEX(TF_Akt,MATCH($A42&amp;"|"&amp;F$5,TF_Dom,0)),Aktiviteter,0)))&amp;IF(OR(COUNTIFS(TF_Nokkel,$A42&amp;"|"&amp;F$5,TF_Akt,"&lt;&gt;"&amp;INDEX(TF_Akt,MATCH($A42&amp;"|"&amp;F$5,TF_Dom,0)))&gt;0,AND(IF(F$9="",0,MAX(0,ROUND((F$12-SUMIFS(TF_Timer,TF_Nokkel,$A42&amp;"|"&amp;F$5))*2,0)/2))&gt;0,INDEX(TF_Akt,MATCH($A42&amp;"|"&amp;F$5,TF_Dom,0))&lt;&gt;"LMS")),"+",""),"?"))))</f>
        <v/>
      </c>
      <c r="G42" s="13">
        <f>IF(OR($A42="",G$5=""),"",IF(OR(AND(INDEX(TekFra,25)&gt;0,G$5&lt;INDEX(TekFra,25)),AND(INDEX(TekTil,25)&gt;0,G$5&gt;INDEX(TekTil,25))),"",IF(COUNTIFS(TF_Nokkel,$A42&amp;"|"&amp;G$5)=0,IF(G$9&lt;&gt;"","LMS",""),IFERROR(IF(SUMIFS(TF_Timer,TF_Nokkel,$A42&amp;"|"&amp;G$5,TF_Akt,"LMS")+IF(G$9="",0,MAX(0,ROUND((G$12-SUMIFS(TF_Timer,TF_Nokkel,$A42&amp;"|"&amp;G$5))*2,0)/2))&gt;INDEX(TF_AktSum,MATCH($A42&amp;"|"&amp;G$5,TF_Dom,0)),"LMS",INDEX(AktKode,MATCH(INDEX(TF_Akt,MATCH($A42&amp;"|"&amp;G$5,TF_Dom,0)),Aktiviteter,0)))&amp;IF(OR(COUNTIFS(TF_Nokkel,$A42&amp;"|"&amp;G$5,TF_Akt,"&lt;&gt;"&amp;INDEX(TF_Akt,MATCH($A42&amp;"|"&amp;G$5,TF_Dom,0)))&gt;0,AND(IF(G$9="",0,MAX(0,ROUND((G$12-SUMIFS(TF_Timer,TF_Nokkel,$A42&amp;"|"&amp;G$5))*2,0)/2))&gt;0,INDEX(TF_Akt,MATCH($A42&amp;"|"&amp;G$5,TF_Dom,0))&lt;&gt;"LMS")),"+",""),"?"))))</f>
        <v/>
      </c>
      <c r="H42" s="13">
        <f>IF(OR($A42="",H$5=""),"",IF(OR(AND(INDEX(TekFra,25)&gt;0,H$5&lt;INDEX(TekFra,25)),AND(INDEX(TekTil,25)&gt;0,H$5&gt;INDEX(TekTil,25))),"",IF(COUNTIFS(TF_Nokkel,$A42&amp;"|"&amp;H$5)=0,IF(H$9&lt;&gt;"","LMS",""),IFERROR(IF(SUMIFS(TF_Timer,TF_Nokkel,$A42&amp;"|"&amp;H$5,TF_Akt,"LMS")+IF(H$9="",0,MAX(0,ROUND((H$12-SUMIFS(TF_Timer,TF_Nokkel,$A42&amp;"|"&amp;H$5))*2,0)/2))&gt;INDEX(TF_AktSum,MATCH($A42&amp;"|"&amp;H$5,TF_Dom,0)),"LMS",INDEX(AktKode,MATCH(INDEX(TF_Akt,MATCH($A42&amp;"|"&amp;H$5,TF_Dom,0)),Aktiviteter,0)))&amp;IF(OR(COUNTIFS(TF_Nokkel,$A42&amp;"|"&amp;H$5,TF_Akt,"&lt;&gt;"&amp;INDEX(TF_Akt,MATCH($A42&amp;"|"&amp;H$5,TF_Dom,0)))&gt;0,AND(IF(H$9="",0,MAX(0,ROUND((H$12-SUMIFS(TF_Timer,TF_Nokkel,$A42&amp;"|"&amp;H$5))*2,0)/2))&gt;0,INDEX(TF_Akt,MATCH($A42&amp;"|"&amp;H$5,TF_Dom,0))&lt;&gt;"LMS")),"+",""),"?"))))</f>
        <v/>
      </c>
      <c r="I42" s="13">
        <f>IF(OR($A42="",I$5=""),"",IF(OR(AND(INDEX(TekFra,25)&gt;0,I$5&lt;INDEX(TekFra,25)),AND(INDEX(TekTil,25)&gt;0,I$5&gt;INDEX(TekTil,25))),"",IF(COUNTIFS(TF_Nokkel,$A42&amp;"|"&amp;I$5)=0,IF(I$9&lt;&gt;"","LMS",""),IFERROR(IF(SUMIFS(TF_Timer,TF_Nokkel,$A42&amp;"|"&amp;I$5,TF_Akt,"LMS")+IF(I$9="",0,MAX(0,ROUND((I$12-SUMIFS(TF_Timer,TF_Nokkel,$A42&amp;"|"&amp;I$5))*2,0)/2))&gt;INDEX(TF_AktSum,MATCH($A42&amp;"|"&amp;I$5,TF_Dom,0)),"LMS",INDEX(AktKode,MATCH(INDEX(TF_Akt,MATCH($A42&amp;"|"&amp;I$5,TF_Dom,0)),Aktiviteter,0)))&amp;IF(OR(COUNTIFS(TF_Nokkel,$A42&amp;"|"&amp;I$5,TF_Akt,"&lt;&gt;"&amp;INDEX(TF_Akt,MATCH($A42&amp;"|"&amp;I$5,TF_Dom,0)))&gt;0,AND(IF(I$9="",0,MAX(0,ROUND((I$12-SUMIFS(TF_Timer,TF_Nokkel,$A42&amp;"|"&amp;I$5))*2,0)/2))&gt;0,INDEX(TF_Akt,MATCH($A42&amp;"|"&amp;I$5,TF_Dom,0))&lt;&gt;"LMS")),"+",""),"?"))))</f>
        <v/>
      </c>
      <c r="J42" s="13">
        <f>IF(OR($A42="",J$5=""),"",IF(OR(AND(INDEX(TekFra,25)&gt;0,J$5&lt;INDEX(TekFra,25)),AND(INDEX(TekTil,25)&gt;0,J$5&gt;INDEX(TekTil,25))),"",IF(COUNTIFS(TF_Nokkel,$A42&amp;"|"&amp;J$5)=0,IF(J$9&lt;&gt;"","LMS",""),IFERROR(IF(SUMIFS(TF_Timer,TF_Nokkel,$A42&amp;"|"&amp;J$5,TF_Akt,"LMS")+IF(J$9="",0,MAX(0,ROUND((J$12-SUMIFS(TF_Timer,TF_Nokkel,$A42&amp;"|"&amp;J$5))*2,0)/2))&gt;INDEX(TF_AktSum,MATCH($A42&amp;"|"&amp;J$5,TF_Dom,0)),"LMS",INDEX(AktKode,MATCH(INDEX(TF_Akt,MATCH($A42&amp;"|"&amp;J$5,TF_Dom,0)),Aktiviteter,0)))&amp;IF(OR(COUNTIFS(TF_Nokkel,$A42&amp;"|"&amp;J$5,TF_Akt,"&lt;&gt;"&amp;INDEX(TF_Akt,MATCH($A42&amp;"|"&amp;J$5,TF_Dom,0)))&gt;0,AND(IF(J$9="",0,MAX(0,ROUND((J$12-SUMIFS(TF_Timer,TF_Nokkel,$A42&amp;"|"&amp;J$5))*2,0)/2))&gt;0,INDEX(TF_Akt,MATCH($A42&amp;"|"&amp;J$5,TF_Dom,0))&lt;&gt;"LMS")),"+",""),"?"))))</f>
        <v/>
      </c>
      <c r="K42" s="13">
        <f>IF(OR($A42="",K$5=""),"",IF(OR(AND(INDEX(TekFra,25)&gt;0,K$5&lt;INDEX(TekFra,25)),AND(INDEX(TekTil,25)&gt;0,K$5&gt;INDEX(TekTil,25))),"",IF(COUNTIFS(TF_Nokkel,$A42&amp;"|"&amp;K$5)=0,IF(K$9&lt;&gt;"","LMS",""),IFERROR(IF(SUMIFS(TF_Timer,TF_Nokkel,$A42&amp;"|"&amp;K$5,TF_Akt,"LMS")+IF(K$9="",0,MAX(0,ROUND((K$12-SUMIFS(TF_Timer,TF_Nokkel,$A42&amp;"|"&amp;K$5))*2,0)/2))&gt;INDEX(TF_AktSum,MATCH($A42&amp;"|"&amp;K$5,TF_Dom,0)),"LMS",INDEX(AktKode,MATCH(INDEX(TF_Akt,MATCH($A42&amp;"|"&amp;K$5,TF_Dom,0)),Aktiviteter,0)))&amp;IF(OR(COUNTIFS(TF_Nokkel,$A42&amp;"|"&amp;K$5,TF_Akt,"&lt;&gt;"&amp;INDEX(TF_Akt,MATCH($A42&amp;"|"&amp;K$5,TF_Dom,0)))&gt;0,AND(IF(K$9="",0,MAX(0,ROUND((K$12-SUMIFS(TF_Timer,TF_Nokkel,$A42&amp;"|"&amp;K$5))*2,0)/2))&gt;0,INDEX(TF_Akt,MATCH($A42&amp;"|"&amp;K$5,TF_Dom,0))&lt;&gt;"LMS")),"+",""),"?"))))</f>
        <v/>
      </c>
      <c r="L42" s="13">
        <f>IF(OR($A42="",L$5=""),"",IF(OR(AND(INDEX(TekFra,25)&gt;0,L$5&lt;INDEX(TekFra,25)),AND(INDEX(TekTil,25)&gt;0,L$5&gt;INDEX(TekTil,25))),"",IF(COUNTIFS(TF_Nokkel,$A42&amp;"|"&amp;L$5)=0,IF(L$9&lt;&gt;"","LMS",""),IFERROR(IF(SUMIFS(TF_Timer,TF_Nokkel,$A42&amp;"|"&amp;L$5,TF_Akt,"LMS")+IF(L$9="",0,MAX(0,ROUND((L$12-SUMIFS(TF_Timer,TF_Nokkel,$A42&amp;"|"&amp;L$5))*2,0)/2))&gt;INDEX(TF_AktSum,MATCH($A42&amp;"|"&amp;L$5,TF_Dom,0)),"LMS",INDEX(AktKode,MATCH(INDEX(TF_Akt,MATCH($A42&amp;"|"&amp;L$5,TF_Dom,0)),Aktiviteter,0)))&amp;IF(OR(COUNTIFS(TF_Nokkel,$A42&amp;"|"&amp;L$5,TF_Akt,"&lt;&gt;"&amp;INDEX(TF_Akt,MATCH($A42&amp;"|"&amp;L$5,TF_Dom,0)))&gt;0,AND(IF(L$9="",0,MAX(0,ROUND((L$12-SUMIFS(TF_Timer,TF_Nokkel,$A42&amp;"|"&amp;L$5))*2,0)/2))&gt;0,INDEX(TF_Akt,MATCH($A42&amp;"|"&amp;L$5,TF_Dom,0))&lt;&gt;"LMS")),"+",""),"?"))))</f>
        <v/>
      </c>
      <c r="M42" s="13">
        <f>IF(OR($A42="",M$5=""),"",IF(OR(AND(INDEX(TekFra,25)&gt;0,M$5&lt;INDEX(TekFra,25)),AND(INDEX(TekTil,25)&gt;0,M$5&gt;INDEX(TekTil,25))),"",IF(COUNTIFS(TF_Nokkel,$A42&amp;"|"&amp;M$5)=0,IF(M$9&lt;&gt;"","LMS",""),IFERROR(IF(SUMIFS(TF_Timer,TF_Nokkel,$A42&amp;"|"&amp;M$5,TF_Akt,"LMS")+IF(M$9="",0,MAX(0,ROUND((M$12-SUMIFS(TF_Timer,TF_Nokkel,$A42&amp;"|"&amp;M$5))*2,0)/2))&gt;INDEX(TF_AktSum,MATCH($A42&amp;"|"&amp;M$5,TF_Dom,0)),"LMS",INDEX(AktKode,MATCH(INDEX(TF_Akt,MATCH($A42&amp;"|"&amp;M$5,TF_Dom,0)),Aktiviteter,0)))&amp;IF(OR(COUNTIFS(TF_Nokkel,$A42&amp;"|"&amp;M$5,TF_Akt,"&lt;&gt;"&amp;INDEX(TF_Akt,MATCH($A42&amp;"|"&amp;M$5,TF_Dom,0)))&gt;0,AND(IF(M$9="",0,MAX(0,ROUND((M$12-SUMIFS(TF_Timer,TF_Nokkel,$A42&amp;"|"&amp;M$5))*2,0)/2))&gt;0,INDEX(TF_Akt,MATCH($A42&amp;"|"&amp;M$5,TF_Dom,0))&lt;&gt;"LMS")),"+",""),"?"))))</f>
        <v/>
      </c>
      <c r="N42" s="13">
        <f>IF(OR($A42="",N$5=""),"",IF(OR(AND(INDEX(TekFra,25)&gt;0,N$5&lt;INDEX(TekFra,25)),AND(INDEX(TekTil,25)&gt;0,N$5&gt;INDEX(TekTil,25))),"",IF(COUNTIFS(TF_Nokkel,$A42&amp;"|"&amp;N$5)=0,IF(N$9&lt;&gt;"","LMS",""),IFERROR(IF(SUMIFS(TF_Timer,TF_Nokkel,$A42&amp;"|"&amp;N$5,TF_Akt,"LMS")+IF(N$9="",0,MAX(0,ROUND((N$12-SUMIFS(TF_Timer,TF_Nokkel,$A42&amp;"|"&amp;N$5))*2,0)/2))&gt;INDEX(TF_AktSum,MATCH($A42&amp;"|"&amp;N$5,TF_Dom,0)),"LMS",INDEX(AktKode,MATCH(INDEX(TF_Akt,MATCH($A42&amp;"|"&amp;N$5,TF_Dom,0)),Aktiviteter,0)))&amp;IF(OR(COUNTIFS(TF_Nokkel,$A42&amp;"|"&amp;N$5,TF_Akt,"&lt;&gt;"&amp;INDEX(TF_Akt,MATCH($A42&amp;"|"&amp;N$5,TF_Dom,0)))&gt;0,AND(IF(N$9="",0,MAX(0,ROUND((N$12-SUMIFS(TF_Timer,TF_Nokkel,$A42&amp;"|"&amp;N$5))*2,0)/2))&gt;0,INDEX(TF_Akt,MATCH($A42&amp;"|"&amp;N$5,TF_Dom,0))&lt;&gt;"LMS")),"+",""),"?"))))</f>
        <v/>
      </c>
      <c r="O42" s="13">
        <f>IF(OR($A42="",O$5=""),"",IF(OR(AND(INDEX(TekFra,25)&gt;0,O$5&lt;INDEX(TekFra,25)),AND(INDEX(TekTil,25)&gt;0,O$5&gt;INDEX(TekTil,25))),"",IF(COUNTIFS(TF_Nokkel,$A42&amp;"|"&amp;O$5)=0,IF(O$9&lt;&gt;"","LMS",""),IFERROR(IF(SUMIFS(TF_Timer,TF_Nokkel,$A42&amp;"|"&amp;O$5,TF_Akt,"LMS")+IF(O$9="",0,MAX(0,ROUND((O$12-SUMIFS(TF_Timer,TF_Nokkel,$A42&amp;"|"&amp;O$5))*2,0)/2))&gt;INDEX(TF_AktSum,MATCH($A42&amp;"|"&amp;O$5,TF_Dom,0)),"LMS",INDEX(AktKode,MATCH(INDEX(TF_Akt,MATCH($A42&amp;"|"&amp;O$5,TF_Dom,0)),Aktiviteter,0)))&amp;IF(OR(COUNTIFS(TF_Nokkel,$A42&amp;"|"&amp;O$5,TF_Akt,"&lt;&gt;"&amp;INDEX(TF_Akt,MATCH($A42&amp;"|"&amp;O$5,TF_Dom,0)))&gt;0,AND(IF(O$9="",0,MAX(0,ROUND((O$12-SUMIFS(TF_Timer,TF_Nokkel,$A42&amp;"|"&amp;O$5))*2,0)/2))&gt;0,INDEX(TF_Akt,MATCH($A42&amp;"|"&amp;O$5,TF_Dom,0))&lt;&gt;"LMS")),"+",""),"?"))))</f>
        <v/>
      </c>
      <c r="P42" s="13">
        <f>IF(OR($A42="",P$5=""),"",IF(OR(AND(INDEX(TekFra,25)&gt;0,P$5&lt;INDEX(TekFra,25)),AND(INDEX(TekTil,25)&gt;0,P$5&gt;INDEX(TekTil,25))),"",IF(COUNTIFS(TF_Nokkel,$A42&amp;"|"&amp;P$5)=0,IF(P$9&lt;&gt;"","LMS",""),IFERROR(IF(SUMIFS(TF_Timer,TF_Nokkel,$A42&amp;"|"&amp;P$5,TF_Akt,"LMS")+IF(P$9="",0,MAX(0,ROUND((P$12-SUMIFS(TF_Timer,TF_Nokkel,$A42&amp;"|"&amp;P$5))*2,0)/2))&gt;INDEX(TF_AktSum,MATCH($A42&amp;"|"&amp;P$5,TF_Dom,0)),"LMS",INDEX(AktKode,MATCH(INDEX(TF_Akt,MATCH($A42&amp;"|"&amp;P$5,TF_Dom,0)),Aktiviteter,0)))&amp;IF(OR(COUNTIFS(TF_Nokkel,$A42&amp;"|"&amp;P$5,TF_Akt,"&lt;&gt;"&amp;INDEX(TF_Akt,MATCH($A42&amp;"|"&amp;P$5,TF_Dom,0)))&gt;0,AND(IF(P$9="",0,MAX(0,ROUND((P$12-SUMIFS(TF_Timer,TF_Nokkel,$A42&amp;"|"&amp;P$5))*2,0)/2))&gt;0,INDEX(TF_Akt,MATCH($A42&amp;"|"&amp;P$5,TF_Dom,0))&lt;&gt;"LMS")),"+",""),"?"))))</f>
        <v/>
      </c>
      <c r="Q42" s="13">
        <f>IF(OR($A42="",Q$5=""),"",IF(OR(AND(INDEX(TekFra,25)&gt;0,Q$5&lt;INDEX(TekFra,25)),AND(INDEX(TekTil,25)&gt;0,Q$5&gt;INDEX(TekTil,25))),"",IF(COUNTIFS(TF_Nokkel,$A42&amp;"|"&amp;Q$5)=0,IF(Q$9&lt;&gt;"","LMS",""),IFERROR(IF(SUMIFS(TF_Timer,TF_Nokkel,$A42&amp;"|"&amp;Q$5,TF_Akt,"LMS")+IF(Q$9="",0,MAX(0,ROUND((Q$12-SUMIFS(TF_Timer,TF_Nokkel,$A42&amp;"|"&amp;Q$5))*2,0)/2))&gt;INDEX(TF_AktSum,MATCH($A42&amp;"|"&amp;Q$5,TF_Dom,0)),"LMS",INDEX(AktKode,MATCH(INDEX(TF_Akt,MATCH($A42&amp;"|"&amp;Q$5,TF_Dom,0)),Aktiviteter,0)))&amp;IF(OR(COUNTIFS(TF_Nokkel,$A42&amp;"|"&amp;Q$5,TF_Akt,"&lt;&gt;"&amp;INDEX(TF_Akt,MATCH($A42&amp;"|"&amp;Q$5,TF_Dom,0)))&gt;0,AND(IF(Q$9="",0,MAX(0,ROUND((Q$12-SUMIFS(TF_Timer,TF_Nokkel,$A42&amp;"|"&amp;Q$5))*2,0)/2))&gt;0,INDEX(TF_Akt,MATCH($A42&amp;"|"&amp;Q$5,TF_Dom,0))&lt;&gt;"LMS")),"+",""),"?"))))</f>
        <v/>
      </c>
      <c r="R42" s="13">
        <f>IF(OR($A42="",R$5=""),"",IF(OR(AND(INDEX(TekFra,25)&gt;0,R$5&lt;INDEX(TekFra,25)),AND(INDEX(TekTil,25)&gt;0,R$5&gt;INDEX(TekTil,25))),"",IF(COUNTIFS(TF_Nokkel,$A42&amp;"|"&amp;R$5)=0,IF(R$9&lt;&gt;"","LMS",""),IFERROR(IF(SUMIFS(TF_Timer,TF_Nokkel,$A42&amp;"|"&amp;R$5,TF_Akt,"LMS")+IF(R$9="",0,MAX(0,ROUND((R$12-SUMIFS(TF_Timer,TF_Nokkel,$A42&amp;"|"&amp;R$5))*2,0)/2))&gt;INDEX(TF_AktSum,MATCH($A42&amp;"|"&amp;R$5,TF_Dom,0)),"LMS",INDEX(AktKode,MATCH(INDEX(TF_Akt,MATCH($A42&amp;"|"&amp;R$5,TF_Dom,0)),Aktiviteter,0)))&amp;IF(OR(COUNTIFS(TF_Nokkel,$A42&amp;"|"&amp;R$5,TF_Akt,"&lt;&gt;"&amp;INDEX(TF_Akt,MATCH($A42&amp;"|"&amp;R$5,TF_Dom,0)))&gt;0,AND(IF(R$9="",0,MAX(0,ROUND((R$12-SUMIFS(TF_Timer,TF_Nokkel,$A42&amp;"|"&amp;R$5))*2,0)/2))&gt;0,INDEX(TF_Akt,MATCH($A42&amp;"|"&amp;R$5,TF_Dom,0))&lt;&gt;"LMS")),"+",""),"?"))))</f>
        <v/>
      </c>
      <c r="S42" s="13">
        <f>IF(OR($A42="",S$5=""),"",IF(OR(AND(INDEX(TekFra,25)&gt;0,S$5&lt;INDEX(TekFra,25)),AND(INDEX(TekTil,25)&gt;0,S$5&gt;INDEX(TekTil,25))),"",IF(COUNTIFS(TF_Nokkel,$A42&amp;"|"&amp;S$5)=0,IF(S$9&lt;&gt;"","LMS",""),IFERROR(IF(SUMIFS(TF_Timer,TF_Nokkel,$A42&amp;"|"&amp;S$5,TF_Akt,"LMS")+IF(S$9="",0,MAX(0,ROUND((S$12-SUMIFS(TF_Timer,TF_Nokkel,$A42&amp;"|"&amp;S$5))*2,0)/2))&gt;INDEX(TF_AktSum,MATCH($A42&amp;"|"&amp;S$5,TF_Dom,0)),"LMS",INDEX(AktKode,MATCH(INDEX(TF_Akt,MATCH($A42&amp;"|"&amp;S$5,TF_Dom,0)),Aktiviteter,0)))&amp;IF(OR(COUNTIFS(TF_Nokkel,$A42&amp;"|"&amp;S$5,TF_Akt,"&lt;&gt;"&amp;INDEX(TF_Akt,MATCH($A42&amp;"|"&amp;S$5,TF_Dom,0)))&gt;0,AND(IF(S$9="",0,MAX(0,ROUND((S$12-SUMIFS(TF_Timer,TF_Nokkel,$A42&amp;"|"&amp;S$5))*2,0)/2))&gt;0,INDEX(TF_Akt,MATCH($A42&amp;"|"&amp;S$5,TF_Dom,0))&lt;&gt;"LMS")),"+",""),"?"))))</f>
        <v/>
      </c>
      <c r="T42" s="13">
        <f>IF(OR($A42="",T$5=""),"",IF(OR(AND(INDEX(TekFra,25)&gt;0,T$5&lt;INDEX(TekFra,25)),AND(INDEX(TekTil,25)&gt;0,T$5&gt;INDEX(TekTil,25))),"",IF(COUNTIFS(TF_Nokkel,$A42&amp;"|"&amp;T$5)=0,IF(T$9&lt;&gt;"","LMS",""),IFERROR(IF(SUMIFS(TF_Timer,TF_Nokkel,$A42&amp;"|"&amp;T$5,TF_Akt,"LMS")+IF(T$9="",0,MAX(0,ROUND((T$12-SUMIFS(TF_Timer,TF_Nokkel,$A42&amp;"|"&amp;T$5))*2,0)/2))&gt;INDEX(TF_AktSum,MATCH($A42&amp;"|"&amp;T$5,TF_Dom,0)),"LMS",INDEX(AktKode,MATCH(INDEX(TF_Akt,MATCH($A42&amp;"|"&amp;T$5,TF_Dom,0)),Aktiviteter,0)))&amp;IF(OR(COUNTIFS(TF_Nokkel,$A42&amp;"|"&amp;T$5,TF_Akt,"&lt;&gt;"&amp;INDEX(TF_Akt,MATCH($A42&amp;"|"&amp;T$5,TF_Dom,0)))&gt;0,AND(IF(T$9="",0,MAX(0,ROUND((T$12-SUMIFS(TF_Timer,TF_Nokkel,$A42&amp;"|"&amp;T$5))*2,0)/2))&gt;0,INDEX(TF_Akt,MATCH($A42&amp;"|"&amp;T$5,TF_Dom,0))&lt;&gt;"LMS")),"+",""),"?"))))</f>
        <v/>
      </c>
      <c r="U42" s="13">
        <f>IF(OR($A42="",U$5=""),"",IF(OR(AND(INDEX(TekFra,25)&gt;0,U$5&lt;INDEX(TekFra,25)),AND(INDEX(TekTil,25)&gt;0,U$5&gt;INDEX(TekTil,25))),"",IF(COUNTIFS(TF_Nokkel,$A42&amp;"|"&amp;U$5)=0,IF(U$9&lt;&gt;"","LMS",""),IFERROR(IF(SUMIFS(TF_Timer,TF_Nokkel,$A42&amp;"|"&amp;U$5,TF_Akt,"LMS")+IF(U$9="",0,MAX(0,ROUND((U$12-SUMIFS(TF_Timer,TF_Nokkel,$A42&amp;"|"&amp;U$5))*2,0)/2))&gt;INDEX(TF_AktSum,MATCH($A42&amp;"|"&amp;U$5,TF_Dom,0)),"LMS",INDEX(AktKode,MATCH(INDEX(TF_Akt,MATCH($A42&amp;"|"&amp;U$5,TF_Dom,0)),Aktiviteter,0)))&amp;IF(OR(COUNTIFS(TF_Nokkel,$A42&amp;"|"&amp;U$5,TF_Akt,"&lt;&gt;"&amp;INDEX(TF_Akt,MATCH($A42&amp;"|"&amp;U$5,TF_Dom,0)))&gt;0,AND(IF(U$9="",0,MAX(0,ROUND((U$12-SUMIFS(TF_Timer,TF_Nokkel,$A42&amp;"|"&amp;U$5))*2,0)/2))&gt;0,INDEX(TF_Akt,MATCH($A42&amp;"|"&amp;U$5,TF_Dom,0))&lt;&gt;"LMS")),"+",""),"?"))))</f>
        <v/>
      </c>
      <c r="V42" s="13">
        <f>IF(OR($A42="",V$5=""),"",IF(OR(AND(INDEX(TekFra,25)&gt;0,V$5&lt;INDEX(TekFra,25)),AND(INDEX(TekTil,25)&gt;0,V$5&gt;INDEX(TekTil,25))),"",IF(COUNTIFS(TF_Nokkel,$A42&amp;"|"&amp;V$5)=0,IF(V$9&lt;&gt;"","LMS",""),IFERROR(IF(SUMIFS(TF_Timer,TF_Nokkel,$A42&amp;"|"&amp;V$5,TF_Akt,"LMS")+IF(V$9="",0,MAX(0,ROUND((V$12-SUMIFS(TF_Timer,TF_Nokkel,$A42&amp;"|"&amp;V$5))*2,0)/2))&gt;INDEX(TF_AktSum,MATCH($A42&amp;"|"&amp;V$5,TF_Dom,0)),"LMS",INDEX(AktKode,MATCH(INDEX(TF_Akt,MATCH($A42&amp;"|"&amp;V$5,TF_Dom,0)),Aktiviteter,0)))&amp;IF(OR(COUNTIFS(TF_Nokkel,$A42&amp;"|"&amp;V$5,TF_Akt,"&lt;&gt;"&amp;INDEX(TF_Akt,MATCH($A42&amp;"|"&amp;V$5,TF_Dom,0)))&gt;0,AND(IF(V$9="",0,MAX(0,ROUND((V$12-SUMIFS(TF_Timer,TF_Nokkel,$A42&amp;"|"&amp;V$5))*2,0)/2))&gt;0,INDEX(TF_Akt,MATCH($A42&amp;"|"&amp;V$5,TF_Dom,0))&lt;&gt;"LMS")),"+",""),"?"))))</f>
        <v/>
      </c>
      <c r="W42" s="13">
        <f>IF(OR($A42="",W$5=""),"",IF(OR(AND(INDEX(TekFra,25)&gt;0,W$5&lt;INDEX(TekFra,25)),AND(INDEX(TekTil,25)&gt;0,W$5&gt;INDEX(TekTil,25))),"",IF(COUNTIFS(TF_Nokkel,$A42&amp;"|"&amp;W$5)=0,IF(W$9&lt;&gt;"","LMS",""),IFERROR(IF(SUMIFS(TF_Timer,TF_Nokkel,$A42&amp;"|"&amp;W$5,TF_Akt,"LMS")+IF(W$9="",0,MAX(0,ROUND((W$12-SUMIFS(TF_Timer,TF_Nokkel,$A42&amp;"|"&amp;W$5))*2,0)/2))&gt;INDEX(TF_AktSum,MATCH($A42&amp;"|"&amp;W$5,TF_Dom,0)),"LMS",INDEX(AktKode,MATCH(INDEX(TF_Akt,MATCH($A42&amp;"|"&amp;W$5,TF_Dom,0)),Aktiviteter,0)))&amp;IF(OR(COUNTIFS(TF_Nokkel,$A42&amp;"|"&amp;W$5,TF_Akt,"&lt;&gt;"&amp;INDEX(TF_Akt,MATCH($A42&amp;"|"&amp;W$5,TF_Dom,0)))&gt;0,AND(IF(W$9="",0,MAX(0,ROUND((W$12-SUMIFS(TF_Timer,TF_Nokkel,$A42&amp;"|"&amp;W$5))*2,0)/2))&gt;0,INDEX(TF_Akt,MATCH($A42&amp;"|"&amp;W$5,TF_Dom,0))&lt;&gt;"LMS")),"+",""),"?"))))</f>
        <v/>
      </c>
      <c r="X42" s="13">
        <f>IF(OR($A42="",X$5=""),"",IF(OR(AND(INDEX(TekFra,25)&gt;0,X$5&lt;INDEX(TekFra,25)),AND(INDEX(TekTil,25)&gt;0,X$5&gt;INDEX(TekTil,25))),"",IF(COUNTIFS(TF_Nokkel,$A42&amp;"|"&amp;X$5)=0,IF(X$9&lt;&gt;"","LMS",""),IFERROR(IF(SUMIFS(TF_Timer,TF_Nokkel,$A42&amp;"|"&amp;X$5,TF_Akt,"LMS")+IF(X$9="",0,MAX(0,ROUND((X$12-SUMIFS(TF_Timer,TF_Nokkel,$A42&amp;"|"&amp;X$5))*2,0)/2))&gt;INDEX(TF_AktSum,MATCH($A42&amp;"|"&amp;X$5,TF_Dom,0)),"LMS",INDEX(AktKode,MATCH(INDEX(TF_Akt,MATCH($A42&amp;"|"&amp;X$5,TF_Dom,0)),Aktiviteter,0)))&amp;IF(OR(COUNTIFS(TF_Nokkel,$A42&amp;"|"&amp;X$5,TF_Akt,"&lt;&gt;"&amp;INDEX(TF_Akt,MATCH($A42&amp;"|"&amp;X$5,TF_Dom,0)))&gt;0,AND(IF(X$9="",0,MAX(0,ROUND((X$12-SUMIFS(TF_Timer,TF_Nokkel,$A42&amp;"|"&amp;X$5))*2,0)/2))&gt;0,INDEX(TF_Akt,MATCH($A42&amp;"|"&amp;X$5,TF_Dom,0))&lt;&gt;"LMS")),"+",""),"?"))))</f>
        <v/>
      </c>
      <c r="Y42" s="13">
        <f>IF(OR($A42="",Y$5=""),"",IF(OR(AND(INDEX(TekFra,25)&gt;0,Y$5&lt;INDEX(TekFra,25)),AND(INDEX(TekTil,25)&gt;0,Y$5&gt;INDEX(TekTil,25))),"",IF(COUNTIFS(TF_Nokkel,$A42&amp;"|"&amp;Y$5)=0,IF(Y$9&lt;&gt;"","LMS",""),IFERROR(IF(SUMIFS(TF_Timer,TF_Nokkel,$A42&amp;"|"&amp;Y$5,TF_Akt,"LMS")+IF(Y$9="",0,MAX(0,ROUND((Y$12-SUMIFS(TF_Timer,TF_Nokkel,$A42&amp;"|"&amp;Y$5))*2,0)/2))&gt;INDEX(TF_AktSum,MATCH($A42&amp;"|"&amp;Y$5,TF_Dom,0)),"LMS",INDEX(AktKode,MATCH(INDEX(TF_Akt,MATCH($A42&amp;"|"&amp;Y$5,TF_Dom,0)),Aktiviteter,0)))&amp;IF(OR(COUNTIFS(TF_Nokkel,$A42&amp;"|"&amp;Y$5,TF_Akt,"&lt;&gt;"&amp;INDEX(TF_Akt,MATCH($A42&amp;"|"&amp;Y$5,TF_Dom,0)))&gt;0,AND(IF(Y$9="",0,MAX(0,ROUND((Y$12-SUMIFS(TF_Timer,TF_Nokkel,$A42&amp;"|"&amp;Y$5))*2,0)/2))&gt;0,INDEX(TF_Akt,MATCH($A42&amp;"|"&amp;Y$5,TF_Dom,0))&lt;&gt;"LMS")),"+",""),"?"))))</f>
        <v/>
      </c>
      <c r="Z42" s="13">
        <f>IF(OR($A42="",Z$5=""),"",IF(OR(AND(INDEX(TekFra,25)&gt;0,Z$5&lt;INDEX(TekFra,25)),AND(INDEX(TekTil,25)&gt;0,Z$5&gt;INDEX(TekTil,25))),"",IF(COUNTIFS(TF_Nokkel,$A42&amp;"|"&amp;Z$5)=0,IF(Z$9&lt;&gt;"","LMS",""),IFERROR(IF(SUMIFS(TF_Timer,TF_Nokkel,$A42&amp;"|"&amp;Z$5,TF_Akt,"LMS")+IF(Z$9="",0,MAX(0,ROUND((Z$12-SUMIFS(TF_Timer,TF_Nokkel,$A42&amp;"|"&amp;Z$5))*2,0)/2))&gt;INDEX(TF_AktSum,MATCH($A42&amp;"|"&amp;Z$5,TF_Dom,0)),"LMS",INDEX(AktKode,MATCH(INDEX(TF_Akt,MATCH($A42&amp;"|"&amp;Z$5,TF_Dom,0)),Aktiviteter,0)))&amp;IF(OR(COUNTIFS(TF_Nokkel,$A42&amp;"|"&amp;Z$5,TF_Akt,"&lt;&gt;"&amp;INDEX(TF_Akt,MATCH($A42&amp;"|"&amp;Z$5,TF_Dom,0)))&gt;0,AND(IF(Z$9="",0,MAX(0,ROUND((Z$12-SUMIFS(TF_Timer,TF_Nokkel,$A42&amp;"|"&amp;Z$5))*2,0)/2))&gt;0,INDEX(TF_Akt,MATCH($A42&amp;"|"&amp;Z$5,TF_Dom,0))&lt;&gt;"LMS")),"+",""),"?"))))</f>
        <v/>
      </c>
      <c r="AA42" s="13">
        <f>IF(OR($A42="",AA$5=""),"",IF(OR(AND(INDEX(TekFra,25)&gt;0,AA$5&lt;INDEX(TekFra,25)),AND(INDEX(TekTil,25)&gt;0,AA$5&gt;INDEX(TekTil,25))),"",IF(COUNTIFS(TF_Nokkel,$A42&amp;"|"&amp;AA$5)=0,IF(AA$9&lt;&gt;"","LMS",""),IFERROR(IF(SUMIFS(TF_Timer,TF_Nokkel,$A42&amp;"|"&amp;AA$5,TF_Akt,"LMS")+IF(AA$9="",0,MAX(0,ROUND((AA$12-SUMIFS(TF_Timer,TF_Nokkel,$A42&amp;"|"&amp;AA$5))*2,0)/2))&gt;INDEX(TF_AktSum,MATCH($A42&amp;"|"&amp;AA$5,TF_Dom,0)),"LMS",INDEX(AktKode,MATCH(INDEX(TF_Akt,MATCH($A42&amp;"|"&amp;AA$5,TF_Dom,0)),Aktiviteter,0)))&amp;IF(OR(COUNTIFS(TF_Nokkel,$A42&amp;"|"&amp;AA$5,TF_Akt,"&lt;&gt;"&amp;INDEX(TF_Akt,MATCH($A42&amp;"|"&amp;AA$5,TF_Dom,0)))&gt;0,AND(IF(AA$9="",0,MAX(0,ROUND((AA$12-SUMIFS(TF_Timer,TF_Nokkel,$A42&amp;"|"&amp;AA$5))*2,0)/2))&gt;0,INDEX(TF_Akt,MATCH($A42&amp;"|"&amp;AA$5,TF_Dom,0))&lt;&gt;"LMS")),"+",""),"?"))))</f>
        <v/>
      </c>
      <c r="AB42" s="13">
        <f>IF(OR($A42="",AB$5=""),"",IF(OR(AND(INDEX(TekFra,25)&gt;0,AB$5&lt;INDEX(TekFra,25)),AND(INDEX(TekTil,25)&gt;0,AB$5&gt;INDEX(TekTil,25))),"",IF(COUNTIFS(TF_Nokkel,$A42&amp;"|"&amp;AB$5)=0,IF(AB$9&lt;&gt;"","LMS",""),IFERROR(IF(SUMIFS(TF_Timer,TF_Nokkel,$A42&amp;"|"&amp;AB$5,TF_Akt,"LMS")+IF(AB$9="",0,MAX(0,ROUND((AB$12-SUMIFS(TF_Timer,TF_Nokkel,$A42&amp;"|"&amp;AB$5))*2,0)/2))&gt;INDEX(TF_AktSum,MATCH($A42&amp;"|"&amp;AB$5,TF_Dom,0)),"LMS",INDEX(AktKode,MATCH(INDEX(TF_Akt,MATCH($A42&amp;"|"&amp;AB$5,TF_Dom,0)),Aktiviteter,0)))&amp;IF(OR(COUNTIFS(TF_Nokkel,$A42&amp;"|"&amp;AB$5,TF_Akt,"&lt;&gt;"&amp;INDEX(TF_Akt,MATCH($A42&amp;"|"&amp;AB$5,TF_Dom,0)))&gt;0,AND(IF(AB$9="",0,MAX(0,ROUND((AB$12-SUMIFS(TF_Timer,TF_Nokkel,$A42&amp;"|"&amp;AB$5))*2,0)/2))&gt;0,INDEX(TF_Akt,MATCH($A42&amp;"|"&amp;AB$5,TF_Dom,0))&lt;&gt;"LMS")),"+",""),"?"))))</f>
        <v/>
      </c>
      <c r="AC42" s="13">
        <f>IF(OR($A42="",AC$5=""),"",IF(OR(AND(INDEX(TekFra,25)&gt;0,AC$5&lt;INDEX(TekFra,25)),AND(INDEX(TekTil,25)&gt;0,AC$5&gt;INDEX(TekTil,25))),"",IF(COUNTIFS(TF_Nokkel,$A42&amp;"|"&amp;AC$5)=0,IF(AC$9&lt;&gt;"","LMS",""),IFERROR(IF(SUMIFS(TF_Timer,TF_Nokkel,$A42&amp;"|"&amp;AC$5,TF_Akt,"LMS")+IF(AC$9="",0,MAX(0,ROUND((AC$12-SUMIFS(TF_Timer,TF_Nokkel,$A42&amp;"|"&amp;AC$5))*2,0)/2))&gt;INDEX(TF_AktSum,MATCH($A42&amp;"|"&amp;AC$5,TF_Dom,0)),"LMS",INDEX(AktKode,MATCH(INDEX(TF_Akt,MATCH($A42&amp;"|"&amp;AC$5,TF_Dom,0)),Aktiviteter,0)))&amp;IF(OR(COUNTIFS(TF_Nokkel,$A42&amp;"|"&amp;AC$5,TF_Akt,"&lt;&gt;"&amp;INDEX(TF_Akt,MATCH($A42&amp;"|"&amp;AC$5,TF_Dom,0)))&gt;0,AND(IF(AC$9="",0,MAX(0,ROUND((AC$12-SUMIFS(TF_Timer,TF_Nokkel,$A42&amp;"|"&amp;AC$5))*2,0)/2))&gt;0,INDEX(TF_Akt,MATCH($A42&amp;"|"&amp;AC$5,TF_Dom,0))&lt;&gt;"LMS")),"+",""),"?"))))</f>
        <v/>
      </c>
      <c r="AD42" s="13">
        <f>IF(OR($A42="",AD$5=""),"",IF(OR(AND(INDEX(TekFra,25)&gt;0,AD$5&lt;INDEX(TekFra,25)),AND(INDEX(TekTil,25)&gt;0,AD$5&gt;INDEX(TekTil,25))),"",IF(COUNTIFS(TF_Nokkel,$A42&amp;"|"&amp;AD$5)=0,IF(AD$9&lt;&gt;"","LMS",""),IFERROR(IF(SUMIFS(TF_Timer,TF_Nokkel,$A42&amp;"|"&amp;AD$5,TF_Akt,"LMS")+IF(AD$9="",0,MAX(0,ROUND((AD$12-SUMIFS(TF_Timer,TF_Nokkel,$A42&amp;"|"&amp;AD$5))*2,0)/2))&gt;INDEX(TF_AktSum,MATCH($A42&amp;"|"&amp;AD$5,TF_Dom,0)),"LMS",INDEX(AktKode,MATCH(INDEX(TF_Akt,MATCH($A42&amp;"|"&amp;AD$5,TF_Dom,0)),Aktiviteter,0)))&amp;IF(OR(COUNTIFS(TF_Nokkel,$A42&amp;"|"&amp;AD$5,TF_Akt,"&lt;&gt;"&amp;INDEX(TF_Akt,MATCH($A42&amp;"|"&amp;AD$5,TF_Dom,0)))&gt;0,AND(IF(AD$9="",0,MAX(0,ROUND((AD$12-SUMIFS(TF_Timer,TF_Nokkel,$A42&amp;"|"&amp;AD$5))*2,0)/2))&gt;0,INDEX(TF_Akt,MATCH($A42&amp;"|"&amp;AD$5,TF_Dom,0))&lt;&gt;"LMS")),"+",""),"?"))))</f>
        <v/>
      </c>
      <c r="AE42" s="13">
        <f>IF(OR($A42="",AE$5=""),"",IF(OR(AND(INDEX(TekFra,25)&gt;0,AE$5&lt;INDEX(TekFra,25)),AND(INDEX(TekTil,25)&gt;0,AE$5&gt;INDEX(TekTil,25))),"",IF(COUNTIFS(TF_Nokkel,$A42&amp;"|"&amp;AE$5)=0,IF(AE$9&lt;&gt;"","LMS",""),IFERROR(IF(SUMIFS(TF_Timer,TF_Nokkel,$A42&amp;"|"&amp;AE$5,TF_Akt,"LMS")+IF(AE$9="",0,MAX(0,ROUND((AE$12-SUMIFS(TF_Timer,TF_Nokkel,$A42&amp;"|"&amp;AE$5))*2,0)/2))&gt;INDEX(TF_AktSum,MATCH($A42&amp;"|"&amp;AE$5,TF_Dom,0)),"LMS",INDEX(AktKode,MATCH(INDEX(TF_Akt,MATCH($A42&amp;"|"&amp;AE$5,TF_Dom,0)),Aktiviteter,0)))&amp;IF(OR(COUNTIFS(TF_Nokkel,$A42&amp;"|"&amp;AE$5,TF_Akt,"&lt;&gt;"&amp;INDEX(TF_Akt,MATCH($A42&amp;"|"&amp;AE$5,TF_Dom,0)))&gt;0,AND(IF(AE$9="",0,MAX(0,ROUND((AE$12-SUMIFS(TF_Timer,TF_Nokkel,$A42&amp;"|"&amp;AE$5))*2,0)/2))&gt;0,INDEX(TF_Akt,MATCH($A42&amp;"|"&amp;AE$5,TF_Dom,0))&lt;&gt;"LMS")),"+",""),"?"))))</f>
        <v/>
      </c>
      <c r="AF42" s="13">
        <f>IF(OR($A42="",AF$5=""),"",IF(OR(AND(INDEX(TekFra,25)&gt;0,AF$5&lt;INDEX(TekFra,25)),AND(INDEX(TekTil,25)&gt;0,AF$5&gt;INDEX(TekTil,25))),"",IF(COUNTIFS(TF_Nokkel,$A42&amp;"|"&amp;AF$5)=0,IF(AF$9&lt;&gt;"","LMS",""),IFERROR(IF(SUMIFS(TF_Timer,TF_Nokkel,$A42&amp;"|"&amp;AF$5,TF_Akt,"LMS")+IF(AF$9="",0,MAX(0,ROUND((AF$12-SUMIFS(TF_Timer,TF_Nokkel,$A42&amp;"|"&amp;AF$5))*2,0)/2))&gt;INDEX(TF_AktSum,MATCH($A42&amp;"|"&amp;AF$5,TF_Dom,0)),"LMS",INDEX(AktKode,MATCH(INDEX(TF_Akt,MATCH($A42&amp;"|"&amp;AF$5,TF_Dom,0)),Aktiviteter,0)))&amp;IF(OR(COUNTIFS(TF_Nokkel,$A42&amp;"|"&amp;AF$5,TF_Akt,"&lt;&gt;"&amp;INDEX(TF_Akt,MATCH($A42&amp;"|"&amp;AF$5,TF_Dom,0)))&gt;0,AND(IF(AF$9="",0,MAX(0,ROUND((AF$12-SUMIFS(TF_Timer,TF_Nokkel,$A42&amp;"|"&amp;AF$5))*2,0)/2))&gt;0,INDEX(TF_Akt,MATCH($A42&amp;"|"&amp;AF$5,TF_Dom,0))&lt;&gt;"LMS")),"+",""),"?"))))</f>
        <v/>
      </c>
      <c r="AG42" s="13">
        <f>IF(OR($A42="",AG$5=""),"",IF(OR(AND(INDEX(TekFra,25)&gt;0,AG$5&lt;INDEX(TekFra,25)),AND(INDEX(TekTil,25)&gt;0,AG$5&gt;INDEX(TekTil,25))),"",IF(COUNTIFS(TF_Nokkel,$A42&amp;"|"&amp;AG$5)=0,IF(AG$9&lt;&gt;"","LMS",""),IFERROR(IF(SUMIFS(TF_Timer,TF_Nokkel,$A42&amp;"|"&amp;AG$5,TF_Akt,"LMS")+IF(AG$9="",0,MAX(0,ROUND((AG$12-SUMIFS(TF_Timer,TF_Nokkel,$A42&amp;"|"&amp;AG$5))*2,0)/2))&gt;INDEX(TF_AktSum,MATCH($A42&amp;"|"&amp;AG$5,TF_Dom,0)),"LMS",INDEX(AktKode,MATCH(INDEX(TF_Akt,MATCH($A42&amp;"|"&amp;AG$5,TF_Dom,0)),Aktiviteter,0)))&amp;IF(OR(COUNTIFS(TF_Nokkel,$A42&amp;"|"&amp;AG$5,TF_Akt,"&lt;&gt;"&amp;INDEX(TF_Akt,MATCH($A42&amp;"|"&amp;AG$5,TF_Dom,0)))&gt;0,AND(IF(AG$9="",0,MAX(0,ROUND((AG$12-SUMIFS(TF_Timer,TF_Nokkel,$A42&amp;"|"&amp;AG$5))*2,0)/2))&gt;0,INDEX(TF_Akt,MATCH($A42&amp;"|"&amp;AG$5,TF_Dom,0))&lt;&gt;"LMS")),"+",""),"?"))))</f>
        <v/>
      </c>
      <c r="AH42" s="2" t="n"/>
      <c r="AI42" s="2" t="n"/>
      <c r="AJ42" s="2" t="n"/>
    </row>
    <row r="43">
      <c r="A43" s="2">
        <f>INDEX(Teknikere,26)&amp;""</f>
        <v/>
      </c>
      <c r="B43" s="12">
        <f>IF(INDEX(TekFra,26)&gt;0,"ekstra","")</f>
        <v/>
      </c>
      <c r="C43" s="13">
        <f>IF(OR($A43="",C$5=""),"",IF(OR(AND(INDEX(TekFra,26)&gt;0,C$5&lt;INDEX(TekFra,26)),AND(INDEX(TekTil,26)&gt;0,C$5&gt;INDEX(TekTil,26))),"",IF(COUNTIFS(TF_Nokkel,$A43&amp;"|"&amp;C$5)=0,IF(C$9&lt;&gt;"","LMS",""),IFERROR(IF(SUMIFS(TF_Timer,TF_Nokkel,$A43&amp;"|"&amp;C$5,TF_Akt,"LMS")+IF(C$9="",0,MAX(0,ROUND((C$12-SUMIFS(TF_Timer,TF_Nokkel,$A43&amp;"|"&amp;C$5))*2,0)/2))&gt;INDEX(TF_AktSum,MATCH($A43&amp;"|"&amp;C$5,TF_Dom,0)),"LMS",INDEX(AktKode,MATCH(INDEX(TF_Akt,MATCH($A43&amp;"|"&amp;C$5,TF_Dom,0)),Aktiviteter,0)))&amp;IF(OR(COUNTIFS(TF_Nokkel,$A43&amp;"|"&amp;C$5,TF_Akt,"&lt;&gt;"&amp;INDEX(TF_Akt,MATCH($A43&amp;"|"&amp;C$5,TF_Dom,0)))&gt;0,AND(IF(C$9="",0,MAX(0,ROUND((C$12-SUMIFS(TF_Timer,TF_Nokkel,$A43&amp;"|"&amp;C$5))*2,0)/2))&gt;0,INDEX(TF_Akt,MATCH($A43&amp;"|"&amp;C$5,TF_Dom,0))&lt;&gt;"LMS")),"+",""),"?"))))</f>
        <v/>
      </c>
      <c r="D43" s="13">
        <f>IF(OR($A43="",D$5=""),"",IF(OR(AND(INDEX(TekFra,26)&gt;0,D$5&lt;INDEX(TekFra,26)),AND(INDEX(TekTil,26)&gt;0,D$5&gt;INDEX(TekTil,26))),"",IF(COUNTIFS(TF_Nokkel,$A43&amp;"|"&amp;D$5)=0,IF(D$9&lt;&gt;"","LMS",""),IFERROR(IF(SUMIFS(TF_Timer,TF_Nokkel,$A43&amp;"|"&amp;D$5,TF_Akt,"LMS")+IF(D$9="",0,MAX(0,ROUND((D$12-SUMIFS(TF_Timer,TF_Nokkel,$A43&amp;"|"&amp;D$5))*2,0)/2))&gt;INDEX(TF_AktSum,MATCH($A43&amp;"|"&amp;D$5,TF_Dom,0)),"LMS",INDEX(AktKode,MATCH(INDEX(TF_Akt,MATCH($A43&amp;"|"&amp;D$5,TF_Dom,0)),Aktiviteter,0)))&amp;IF(OR(COUNTIFS(TF_Nokkel,$A43&amp;"|"&amp;D$5,TF_Akt,"&lt;&gt;"&amp;INDEX(TF_Akt,MATCH($A43&amp;"|"&amp;D$5,TF_Dom,0)))&gt;0,AND(IF(D$9="",0,MAX(0,ROUND((D$12-SUMIFS(TF_Timer,TF_Nokkel,$A43&amp;"|"&amp;D$5))*2,0)/2))&gt;0,INDEX(TF_Akt,MATCH($A43&amp;"|"&amp;D$5,TF_Dom,0))&lt;&gt;"LMS")),"+",""),"?"))))</f>
        <v/>
      </c>
      <c r="E43" s="13">
        <f>IF(OR($A43="",E$5=""),"",IF(OR(AND(INDEX(TekFra,26)&gt;0,E$5&lt;INDEX(TekFra,26)),AND(INDEX(TekTil,26)&gt;0,E$5&gt;INDEX(TekTil,26))),"",IF(COUNTIFS(TF_Nokkel,$A43&amp;"|"&amp;E$5)=0,IF(E$9&lt;&gt;"","LMS",""),IFERROR(IF(SUMIFS(TF_Timer,TF_Nokkel,$A43&amp;"|"&amp;E$5,TF_Akt,"LMS")+IF(E$9="",0,MAX(0,ROUND((E$12-SUMIFS(TF_Timer,TF_Nokkel,$A43&amp;"|"&amp;E$5))*2,0)/2))&gt;INDEX(TF_AktSum,MATCH($A43&amp;"|"&amp;E$5,TF_Dom,0)),"LMS",INDEX(AktKode,MATCH(INDEX(TF_Akt,MATCH($A43&amp;"|"&amp;E$5,TF_Dom,0)),Aktiviteter,0)))&amp;IF(OR(COUNTIFS(TF_Nokkel,$A43&amp;"|"&amp;E$5,TF_Akt,"&lt;&gt;"&amp;INDEX(TF_Akt,MATCH($A43&amp;"|"&amp;E$5,TF_Dom,0)))&gt;0,AND(IF(E$9="",0,MAX(0,ROUND((E$12-SUMIFS(TF_Timer,TF_Nokkel,$A43&amp;"|"&amp;E$5))*2,0)/2))&gt;0,INDEX(TF_Akt,MATCH($A43&amp;"|"&amp;E$5,TF_Dom,0))&lt;&gt;"LMS")),"+",""),"?"))))</f>
        <v/>
      </c>
      <c r="F43" s="13">
        <f>IF(OR($A43="",F$5=""),"",IF(OR(AND(INDEX(TekFra,26)&gt;0,F$5&lt;INDEX(TekFra,26)),AND(INDEX(TekTil,26)&gt;0,F$5&gt;INDEX(TekTil,26))),"",IF(COUNTIFS(TF_Nokkel,$A43&amp;"|"&amp;F$5)=0,IF(F$9&lt;&gt;"","LMS",""),IFERROR(IF(SUMIFS(TF_Timer,TF_Nokkel,$A43&amp;"|"&amp;F$5,TF_Akt,"LMS")+IF(F$9="",0,MAX(0,ROUND((F$12-SUMIFS(TF_Timer,TF_Nokkel,$A43&amp;"|"&amp;F$5))*2,0)/2))&gt;INDEX(TF_AktSum,MATCH($A43&amp;"|"&amp;F$5,TF_Dom,0)),"LMS",INDEX(AktKode,MATCH(INDEX(TF_Akt,MATCH($A43&amp;"|"&amp;F$5,TF_Dom,0)),Aktiviteter,0)))&amp;IF(OR(COUNTIFS(TF_Nokkel,$A43&amp;"|"&amp;F$5,TF_Akt,"&lt;&gt;"&amp;INDEX(TF_Akt,MATCH($A43&amp;"|"&amp;F$5,TF_Dom,0)))&gt;0,AND(IF(F$9="",0,MAX(0,ROUND((F$12-SUMIFS(TF_Timer,TF_Nokkel,$A43&amp;"|"&amp;F$5))*2,0)/2))&gt;0,INDEX(TF_Akt,MATCH($A43&amp;"|"&amp;F$5,TF_Dom,0))&lt;&gt;"LMS")),"+",""),"?"))))</f>
        <v/>
      </c>
      <c r="G43" s="13">
        <f>IF(OR($A43="",G$5=""),"",IF(OR(AND(INDEX(TekFra,26)&gt;0,G$5&lt;INDEX(TekFra,26)),AND(INDEX(TekTil,26)&gt;0,G$5&gt;INDEX(TekTil,26))),"",IF(COUNTIFS(TF_Nokkel,$A43&amp;"|"&amp;G$5)=0,IF(G$9&lt;&gt;"","LMS",""),IFERROR(IF(SUMIFS(TF_Timer,TF_Nokkel,$A43&amp;"|"&amp;G$5,TF_Akt,"LMS")+IF(G$9="",0,MAX(0,ROUND((G$12-SUMIFS(TF_Timer,TF_Nokkel,$A43&amp;"|"&amp;G$5))*2,0)/2))&gt;INDEX(TF_AktSum,MATCH($A43&amp;"|"&amp;G$5,TF_Dom,0)),"LMS",INDEX(AktKode,MATCH(INDEX(TF_Akt,MATCH($A43&amp;"|"&amp;G$5,TF_Dom,0)),Aktiviteter,0)))&amp;IF(OR(COUNTIFS(TF_Nokkel,$A43&amp;"|"&amp;G$5,TF_Akt,"&lt;&gt;"&amp;INDEX(TF_Akt,MATCH($A43&amp;"|"&amp;G$5,TF_Dom,0)))&gt;0,AND(IF(G$9="",0,MAX(0,ROUND((G$12-SUMIFS(TF_Timer,TF_Nokkel,$A43&amp;"|"&amp;G$5))*2,0)/2))&gt;0,INDEX(TF_Akt,MATCH($A43&amp;"|"&amp;G$5,TF_Dom,0))&lt;&gt;"LMS")),"+",""),"?"))))</f>
        <v/>
      </c>
      <c r="H43" s="13">
        <f>IF(OR($A43="",H$5=""),"",IF(OR(AND(INDEX(TekFra,26)&gt;0,H$5&lt;INDEX(TekFra,26)),AND(INDEX(TekTil,26)&gt;0,H$5&gt;INDEX(TekTil,26))),"",IF(COUNTIFS(TF_Nokkel,$A43&amp;"|"&amp;H$5)=0,IF(H$9&lt;&gt;"","LMS",""),IFERROR(IF(SUMIFS(TF_Timer,TF_Nokkel,$A43&amp;"|"&amp;H$5,TF_Akt,"LMS")+IF(H$9="",0,MAX(0,ROUND((H$12-SUMIFS(TF_Timer,TF_Nokkel,$A43&amp;"|"&amp;H$5))*2,0)/2))&gt;INDEX(TF_AktSum,MATCH($A43&amp;"|"&amp;H$5,TF_Dom,0)),"LMS",INDEX(AktKode,MATCH(INDEX(TF_Akt,MATCH($A43&amp;"|"&amp;H$5,TF_Dom,0)),Aktiviteter,0)))&amp;IF(OR(COUNTIFS(TF_Nokkel,$A43&amp;"|"&amp;H$5,TF_Akt,"&lt;&gt;"&amp;INDEX(TF_Akt,MATCH($A43&amp;"|"&amp;H$5,TF_Dom,0)))&gt;0,AND(IF(H$9="",0,MAX(0,ROUND((H$12-SUMIFS(TF_Timer,TF_Nokkel,$A43&amp;"|"&amp;H$5))*2,0)/2))&gt;0,INDEX(TF_Akt,MATCH($A43&amp;"|"&amp;H$5,TF_Dom,0))&lt;&gt;"LMS")),"+",""),"?"))))</f>
        <v/>
      </c>
      <c r="I43" s="13">
        <f>IF(OR($A43="",I$5=""),"",IF(OR(AND(INDEX(TekFra,26)&gt;0,I$5&lt;INDEX(TekFra,26)),AND(INDEX(TekTil,26)&gt;0,I$5&gt;INDEX(TekTil,26))),"",IF(COUNTIFS(TF_Nokkel,$A43&amp;"|"&amp;I$5)=0,IF(I$9&lt;&gt;"","LMS",""),IFERROR(IF(SUMIFS(TF_Timer,TF_Nokkel,$A43&amp;"|"&amp;I$5,TF_Akt,"LMS")+IF(I$9="",0,MAX(0,ROUND((I$12-SUMIFS(TF_Timer,TF_Nokkel,$A43&amp;"|"&amp;I$5))*2,0)/2))&gt;INDEX(TF_AktSum,MATCH($A43&amp;"|"&amp;I$5,TF_Dom,0)),"LMS",INDEX(AktKode,MATCH(INDEX(TF_Akt,MATCH($A43&amp;"|"&amp;I$5,TF_Dom,0)),Aktiviteter,0)))&amp;IF(OR(COUNTIFS(TF_Nokkel,$A43&amp;"|"&amp;I$5,TF_Akt,"&lt;&gt;"&amp;INDEX(TF_Akt,MATCH($A43&amp;"|"&amp;I$5,TF_Dom,0)))&gt;0,AND(IF(I$9="",0,MAX(0,ROUND((I$12-SUMIFS(TF_Timer,TF_Nokkel,$A43&amp;"|"&amp;I$5))*2,0)/2))&gt;0,INDEX(TF_Akt,MATCH($A43&amp;"|"&amp;I$5,TF_Dom,0))&lt;&gt;"LMS")),"+",""),"?"))))</f>
        <v/>
      </c>
      <c r="J43" s="13">
        <f>IF(OR($A43="",J$5=""),"",IF(OR(AND(INDEX(TekFra,26)&gt;0,J$5&lt;INDEX(TekFra,26)),AND(INDEX(TekTil,26)&gt;0,J$5&gt;INDEX(TekTil,26))),"",IF(COUNTIFS(TF_Nokkel,$A43&amp;"|"&amp;J$5)=0,IF(J$9&lt;&gt;"","LMS",""),IFERROR(IF(SUMIFS(TF_Timer,TF_Nokkel,$A43&amp;"|"&amp;J$5,TF_Akt,"LMS")+IF(J$9="",0,MAX(0,ROUND((J$12-SUMIFS(TF_Timer,TF_Nokkel,$A43&amp;"|"&amp;J$5))*2,0)/2))&gt;INDEX(TF_AktSum,MATCH($A43&amp;"|"&amp;J$5,TF_Dom,0)),"LMS",INDEX(AktKode,MATCH(INDEX(TF_Akt,MATCH($A43&amp;"|"&amp;J$5,TF_Dom,0)),Aktiviteter,0)))&amp;IF(OR(COUNTIFS(TF_Nokkel,$A43&amp;"|"&amp;J$5,TF_Akt,"&lt;&gt;"&amp;INDEX(TF_Akt,MATCH($A43&amp;"|"&amp;J$5,TF_Dom,0)))&gt;0,AND(IF(J$9="",0,MAX(0,ROUND((J$12-SUMIFS(TF_Timer,TF_Nokkel,$A43&amp;"|"&amp;J$5))*2,0)/2))&gt;0,INDEX(TF_Akt,MATCH($A43&amp;"|"&amp;J$5,TF_Dom,0))&lt;&gt;"LMS")),"+",""),"?"))))</f>
        <v/>
      </c>
      <c r="K43" s="13">
        <f>IF(OR($A43="",K$5=""),"",IF(OR(AND(INDEX(TekFra,26)&gt;0,K$5&lt;INDEX(TekFra,26)),AND(INDEX(TekTil,26)&gt;0,K$5&gt;INDEX(TekTil,26))),"",IF(COUNTIFS(TF_Nokkel,$A43&amp;"|"&amp;K$5)=0,IF(K$9&lt;&gt;"","LMS",""),IFERROR(IF(SUMIFS(TF_Timer,TF_Nokkel,$A43&amp;"|"&amp;K$5,TF_Akt,"LMS")+IF(K$9="",0,MAX(0,ROUND((K$12-SUMIFS(TF_Timer,TF_Nokkel,$A43&amp;"|"&amp;K$5))*2,0)/2))&gt;INDEX(TF_AktSum,MATCH($A43&amp;"|"&amp;K$5,TF_Dom,0)),"LMS",INDEX(AktKode,MATCH(INDEX(TF_Akt,MATCH($A43&amp;"|"&amp;K$5,TF_Dom,0)),Aktiviteter,0)))&amp;IF(OR(COUNTIFS(TF_Nokkel,$A43&amp;"|"&amp;K$5,TF_Akt,"&lt;&gt;"&amp;INDEX(TF_Akt,MATCH($A43&amp;"|"&amp;K$5,TF_Dom,0)))&gt;0,AND(IF(K$9="",0,MAX(0,ROUND((K$12-SUMIFS(TF_Timer,TF_Nokkel,$A43&amp;"|"&amp;K$5))*2,0)/2))&gt;0,INDEX(TF_Akt,MATCH($A43&amp;"|"&amp;K$5,TF_Dom,0))&lt;&gt;"LMS")),"+",""),"?"))))</f>
        <v/>
      </c>
      <c r="L43" s="13">
        <f>IF(OR($A43="",L$5=""),"",IF(OR(AND(INDEX(TekFra,26)&gt;0,L$5&lt;INDEX(TekFra,26)),AND(INDEX(TekTil,26)&gt;0,L$5&gt;INDEX(TekTil,26))),"",IF(COUNTIFS(TF_Nokkel,$A43&amp;"|"&amp;L$5)=0,IF(L$9&lt;&gt;"","LMS",""),IFERROR(IF(SUMIFS(TF_Timer,TF_Nokkel,$A43&amp;"|"&amp;L$5,TF_Akt,"LMS")+IF(L$9="",0,MAX(0,ROUND((L$12-SUMIFS(TF_Timer,TF_Nokkel,$A43&amp;"|"&amp;L$5))*2,0)/2))&gt;INDEX(TF_AktSum,MATCH($A43&amp;"|"&amp;L$5,TF_Dom,0)),"LMS",INDEX(AktKode,MATCH(INDEX(TF_Akt,MATCH($A43&amp;"|"&amp;L$5,TF_Dom,0)),Aktiviteter,0)))&amp;IF(OR(COUNTIFS(TF_Nokkel,$A43&amp;"|"&amp;L$5,TF_Akt,"&lt;&gt;"&amp;INDEX(TF_Akt,MATCH($A43&amp;"|"&amp;L$5,TF_Dom,0)))&gt;0,AND(IF(L$9="",0,MAX(0,ROUND((L$12-SUMIFS(TF_Timer,TF_Nokkel,$A43&amp;"|"&amp;L$5))*2,0)/2))&gt;0,INDEX(TF_Akt,MATCH($A43&amp;"|"&amp;L$5,TF_Dom,0))&lt;&gt;"LMS")),"+",""),"?"))))</f>
        <v/>
      </c>
      <c r="M43" s="13">
        <f>IF(OR($A43="",M$5=""),"",IF(OR(AND(INDEX(TekFra,26)&gt;0,M$5&lt;INDEX(TekFra,26)),AND(INDEX(TekTil,26)&gt;0,M$5&gt;INDEX(TekTil,26))),"",IF(COUNTIFS(TF_Nokkel,$A43&amp;"|"&amp;M$5)=0,IF(M$9&lt;&gt;"","LMS",""),IFERROR(IF(SUMIFS(TF_Timer,TF_Nokkel,$A43&amp;"|"&amp;M$5,TF_Akt,"LMS")+IF(M$9="",0,MAX(0,ROUND((M$12-SUMIFS(TF_Timer,TF_Nokkel,$A43&amp;"|"&amp;M$5))*2,0)/2))&gt;INDEX(TF_AktSum,MATCH($A43&amp;"|"&amp;M$5,TF_Dom,0)),"LMS",INDEX(AktKode,MATCH(INDEX(TF_Akt,MATCH($A43&amp;"|"&amp;M$5,TF_Dom,0)),Aktiviteter,0)))&amp;IF(OR(COUNTIFS(TF_Nokkel,$A43&amp;"|"&amp;M$5,TF_Akt,"&lt;&gt;"&amp;INDEX(TF_Akt,MATCH($A43&amp;"|"&amp;M$5,TF_Dom,0)))&gt;0,AND(IF(M$9="",0,MAX(0,ROUND((M$12-SUMIFS(TF_Timer,TF_Nokkel,$A43&amp;"|"&amp;M$5))*2,0)/2))&gt;0,INDEX(TF_Akt,MATCH($A43&amp;"|"&amp;M$5,TF_Dom,0))&lt;&gt;"LMS")),"+",""),"?"))))</f>
        <v/>
      </c>
      <c r="N43" s="13">
        <f>IF(OR($A43="",N$5=""),"",IF(OR(AND(INDEX(TekFra,26)&gt;0,N$5&lt;INDEX(TekFra,26)),AND(INDEX(TekTil,26)&gt;0,N$5&gt;INDEX(TekTil,26))),"",IF(COUNTIFS(TF_Nokkel,$A43&amp;"|"&amp;N$5)=0,IF(N$9&lt;&gt;"","LMS",""),IFERROR(IF(SUMIFS(TF_Timer,TF_Nokkel,$A43&amp;"|"&amp;N$5,TF_Akt,"LMS")+IF(N$9="",0,MAX(0,ROUND((N$12-SUMIFS(TF_Timer,TF_Nokkel,$A43&amp;"|"&amp;N$5))*2,0)/2))&gt;INDEX(TF_AktSum,MATCH($A43&amp;"|"&amp;N$5,TF_Dom,0)),"LMS",INDEX(AktKode,MATCH(INDEX(TF_Akt,MATCH($A43&amp;"|"&amp;N$5,TF_Dom,0)),Aktiviteter,0)))&amp;IF(OR(COUNTIFS(TF_Nokkel,$A43&amp;"|"&amp;N$5,TF_Akt,"&lt;&gt;"&amp;INDEX(TF_Akt,MATCH($A43&amp;"|"&amp;N$5,TF_Dom,0)))&gt;0,AND(IF(N$9="",0,MAX(0,ROUND((N$12-SUMIFS(TF_Timer,TF_Nokkel,$A43&amp;"|"&amp;N$5))*2,0)/2))&gt;0,INDEX(TF_Akt,MATCH($A43&amp;"|"&amp;N$5,TF_Dom,0))&lt;&gt;"LMS")),"+",""),"?"))))</f>
        <v/>
      </c>
      <c r="O43" s="13">
        <f>IF(OR($A43="",O$5=""),"",IF(OR(AND(INDEX(TekFra,26)&gt;0,O$5&lt;INDEX(TekFra,26)),AND(INDEX(TekTil,26)&gt;0,O$5&gt;INDEX(TekTil,26))),"",IF(COUNTIFS(TF_Nokkel,$A43&amp;"|"&amp;O$5)=0,IF(O$9&lt;&gt;"","LMS",""),IFERROR(IF(SUMIFS(TF_Timer,TF_Nokkel,$A43&amp;"|"&amp;O$5,TF_Akt,"LMS")+IF(O$9="",0,MAX(0,ROUND((O$12-SUMIFS(TF_Timer,TF_Nokkel,$A43&amp;"|"&amp;O$5))*2,0)/2))&gt;INDEX(TF_AktSum,MATCH($A43&amp;"|"&amp;O$5,TF_Dom,0)),"LMS",INDEX(AktKode,MATCH(INDEX(TF_Akt,MATCH($A43&amp;"|"&amp;O$5,TF_Dom,0)),Aktiviteter,0)))&amp;IF(OR(COUNTIFS(TF_Nokkel,$A43&amp;"|"&amp;O$5,TF_Akt,"&lt;&gt;"&amp;INDEX(TF_Akt,MATCH($A43&amp;"|"&amp;O$5,TF_Dom,0)))&gt;0,AND(IF(O$9="",0,MAX(0,ROUND((O$12-SUMIFS(TF_Timer,TF_Nokkel,$A43&amp;"|"&amp;O$5))*2,0)/2))&gt;0,INDEX(TF_Akt,MATCH($A43&amp;"|"&amp;O$5,TF_Dom,0))&lt;&gt;"LMS")),"+",""),"?"))))</f>
        <v/>
      </c>
      <c r="P43" s="13">
        <f>IF(OR($A43="",P$5=""),"",IF(OR(AND(INDEX(TekFra,26)&gt;0,P$5&lt;INDEX(TekFra,26)),AND(INDEX(TekTil,26)&gt;0,P$5&gt;INDEX(TekTil,26))),"",IF(COUNTIFS(TF_Nokkel,$A43&amp;"|"&amp;P$5)=0,IF(P$9&lt;&gt;"","LMS",""),IFERROR(IF(SUMIFS(TF_Timer,TF_Nokkel,$A43&amp;"|"&amp;P$5,TF_Akt,"LMS")+IF(P$9="",0,MAX(0,ROUND((P$12-SUMIFS(TF_Timer,TF_Nokkel,$A43&amp;"|"&amp;P$5))*2,0)/2))&gt;INDEX(TF_AktSum,MATCH($A43&amp;"|"&amp;P$5,TF_Dom,0)),"LMS",INDEX(AktKode,MATCH(INDEX(TF_Akt,MATCH($A43&amp;"|"&amp;P$5,TF_Dom,0)),Aktiviteter,0)))&amp;IF(OR(COUNTIFS(TF_Nokkel,$A43&amp;"|"&amp;P$5,TF_Akt,"&lt;&gt;"&amp;INDEX(TF_Akt,MATCH($A43&amp;"|"&amp;P$5,TF_Dom,0)))&gt;0,AND(IF(P$9="",0,MAX(0,ROUND((P$12-SUMIFS(TF_Timer,TF_Nokkel,$A43&amp;"|"&amp;P$5))*2,0)/2))&gt;0,INDEX(TF_Akt,MATCH($A43&amp;"|"&amp;P$5,TF_Dom,0))&lt;&gt;"LMS")),"+",""),"?"))))</f>
        <v/>
      </c>
      <c r="Q43" s="13">
        <f>IF(OR($A43="",Q$5=""),"",IF(OR(AND(INDEX(TekFra,26)&gt;0,Q$5&lt;INDEX(TekFra,26)),AND(INDEX(TekTil,26)&gt;0,Q$5&gt;INDEX(TekTil,26))),"",IF(COUNTIFS(TF_Nokkel,$A43&amp;"|"&amp;Q$5)=0,IF(Q$9&lt;&gt;"","LMS",""),IFERROR(IF(SUMIFS(TF_Timer,TF_Nokkel,$A43&amp;"|"&amp;Q$5,TF_Akt,"LMS")+IF(Q$9="",0,MAX(0,ROUND((Q$12-SUMIFS(TF_Timer,TF_Nokkel,$A43&amp;"|"&amp;Q$5))*2,0)/2))&gt;INDEX(TF_AktSum,MATCH($A43&amp;"|"&amp;Q$5,TF_Dom,0)),"LMS",INDEX(AktKode,MATCH(INDEX(TF_Akt,MATCH($A43&amp;"|"&amp;Q$5,TF_Dom,0)),Aktiviteter,0)))&amp;IF(OR(COUNTIFS(TF_Nokkel,$A43&amp;"|"&amp;Q$5,TF_Akt,"&lt;&gt;"&amp;INDEX(TF_Akt,MATCH($A43&amp;"|"&amp;Q$5,TF_Dom,0)))&gt;0,AND(IF(Q$9="",0,MAX(0,ROUND((Q$12-SUMIFS(TF_Timer,TF_Nokkel,$A43&amp;"|"&amp;Q$5))*2,0)/2))&gt;0,INDEX(TF_Akt,MATCH($A43&amp;"|"&amp;Q$5,TF_Dom,0))&lt;&gt;"LMS")),"+",""),"?"))))</f>
        <v/>
      </c>
      <c r="R43" s="13">
        <f>IF(OR($A43="",R$5=""),"",IF(OR(AND(INDEX(TekFra,26)&gt;0,R$5&lt;INDEX(TekFra,26)),AND(INDEX(TekTil,26)&gt;0,R$5&gt;INDEX(TekTil,26))),"",IF(COUNTIFS(TF_Nokkel,$A43&amp;"|"&amp;R$5)=0,IF(R$9&lt;&gt;"","LMS",""),IFERROR(IF(SUMIFS(TF_Timer,TF_Nokkel,$A43&amp;"|"&amp;R$5,TF_Akt,"LMS")+IF(R$9="",0,MAX(0,ROUND((R$12-SUMIFS(TF_Timer,TF_Nokkel,$A43&amp;"|"&amp;R$5))*2,0)/2))&gt;INDEX(TF_AktSum,MATCH($A43&amp;"|"&amp;R$5,TF_Dom,0)),"LMS",INDEX(AktKode,MATCH(INDEX(TF_Akt,MATCH($A43&amp;"|"&amp;R$5,TF_Dom,0)),Aktiviteter,0)))&amp;IF(OR(COUNTIFS(TF_Nokkel,$A43&amp;"|"&amp;R$5,TF_Akt,"&lt;&gt;"&amp;INDEX(TF_Akt,MATCH($A43&amp;"|"&amp;R$5,TF_Dom,0)))&gt;0,AND(IF(R$9="",0,MAX(0,ROUND((R$12-SUMIFS(TF_Timer,TF_Nokkel,$A43&amp;"|"&amp;R$5))*2,0)/2))&gt;0,INDEX(TF_Akt,MATCH($A43&amp;"|"&amp;R$5,TF_Dom,0))&lt;&gt;"LMS")),"+",""),"?"))))</f>
        <v/>
      </c>
      <c r="S43" s="13">
        <f>IF(OR($A43="",S$5=""),"",IF(OR(AND(INDEX(TekFra,26)&gt;0,S$5&lt;INDEX(TekFra,26)),AND(INDEX(TekTil,26)&gt;0,S$5&gt;INDEX(TekTil,26))),"",IF(COUNTIFS(TF_Nokkel,$A43&amp;"|"&amp;S$5)=0,IF(S$9&lt;&gt;"","LMS",""),IFERROR(IF(SUMIFS(TF_Timer,TF_Nokkel,$A43&amp;"|"&amp;S$5,TF_Akt,"LMS")+IF(S$9="",0,MAX(0,ROUND((S$12-SUMIFS(TF_Timer,TF_Nokkel,$A43&amp;"|"&amp;S$5))*2,0)/2))&gt;INDEX(TF_AktSum,MATCH($A43&amp;"|"&amp;S$5,TF_Dom,0)),"LMS",INDEX(AktKode,MATCH(INDEX(TF_Akt,MATCH($A43&amp;"|"&amp;S$5,TF_Dom,0)),Aktiviteter,0)))&amp;IF(OR(COUNTIFS(TF_Nokkel,$A43&amp;"|"&amp;S$5,TF_Akt,"&lt;&gt;"&amp;INDEX(TF_Akt,MATCH($A43&amp;"|"&amp;S$5,TF_Dom,0)))&gt;0,AND(IF(S$9="",0,MAX(0,ROUND((S$12-SUMIFS(TF_Timer,TF_Nokkel,$A43&amp;"|"&amp;S$5))*2,0)/2))&gt;0,INDEX(TF_Akt,MATCH($A43&amp;"|"&amp;S$5,TF_Dom,0))&lt;&gt;"LMS")),"+",""),"?"))))</f>
        <v/>
      </c>
      <c r="T43" s="13">
        <f>IF(OR($A43="",T$5=""),"",IF(OR(AND(INDEX(TekFra,26)&gt;0,T$5&lt;INDEX(TekFra,26)),AND(INDEX(TekTil,26)&gt;0,T$5&gt;INDEX(TekTil,26))),"",IF(COUNTIFS(TF_Nokkel,$A43&amp;"|"&amp;T$5)=0,IF(T$9&lt;&gt;"","LMS",""),IFERROR(IF(SUMIFS(TF_Timer,TF_Nokkel,$A43&amp;"|"&amp;T$5,TF_Akt,"LMS")+IF(T$9="",0,MAX(0,ROUND((T$12-SUMIFS(TF_Timer,TF_Nokkel,$A43&amp;"|"&amp;T$5))*2,0)/2))&gt;INDEX(TF_AktSum,MATCH($A43&amp;"|"&amp;T$5,TF_Dom,0)),"LMS",INDEX(AktKode,MATCH(INDEX(TF_Akt,MATCH($A43&amp;"|"&amp;T$5,TF_Dom,0)),Aktiviteter,0)))&amp;IF(OR(COUNTIFS(TF_Nokkel,$A43&amp;"|"&amp;T$5,TF_Akt,"&lt;&gt;"&amp;INDEX(TF_Akt,MATCH($A43&amp;"|"&amp;T$5,TF_Dom,0)))&gt;0,AND(IF(T$9="",0,MAX(0,ROUND((T$12-SUMIFS(TF_Timer,TF_Nokkel,$A43&amp;"|"&amp;T$5))*2,0)/2))&gt;0,INDEX(TF_Akt,MATCH($A43&amp;"|"&amp;T$5,TF_Dom,0))&lt;&gt;"LMS")),"+",""),"?"))))</f>
        <v/>
      </c>
      <c r="U43" s="13">
        <f>IF(OR($A43="",U$5=""),"",IF(OR(AND(INDEX(TekFra,26)&gt;0,U$5&lt;INDEX(TekFra,26)),AND(INDEX(TekTil,26)&gt;0,U$5&gt;INDEX(TekTil,26))),"",IF(COUNTIFS(TF_Nokkel,$A43&amp;"|"&amp;U$5)=0,IF(U$9&lt;&gt;"","LMS",""),IFERROR(IF(SUMIFS(TF_Timer,TF_Nokkel,$A43&amp;"|"&amp;U$5,TF_Akt,"LMS")+IF(U$9="",0,MAX(0,ROUND((U$12-SUMIFS(TF_Timer,TF_Nokkel,$A43&amp;"|"&amp;U$5))*2,0)/2))&gt;INDEX(TF_AktSum,MATCH($A43&amp;"|"&amp;U$5,TF_Dom,0)),"LMS",INDEX(AktKode,MATCH(INDEX(TF_Akt,MATCH($A43&amp;"|"&amp;U$5,TF_Dom,0)),Aktiviteter,0)))&amp;IF(OR(COUNTIFS(TF_Nokkel,$A43&amp;"|"&amp;U$5,TF_Akt,"&lt;&gt;"&amp;INDEX(TF_Akt,MATCH($A43&amp;"|"&amp;U$5,TF_Dom,0)))&gt;0,AND(IF(U$9="",0,MAX(0,ROUND((U$12-SUMIFS(TF_Timer,TF_Nokkel,$A43&amp;"|"&amp;U$5))*2,0)/2))&gt;0,INDEX(TF_Akt,MATCH($A43&amp;"|"&amp;U$5,TF_Dom,0))&lt;&gt;"LMS")),"+",""),"?"))))</f>
        <v/>
      </c>
      <c r="V43" s="13">
        <f>IF(OR($A43="",V$5=""),"",IF(OR(AND(INDEX(TekFra,26)&gt;0,V$5&lt;INDEX(TekFra,26)),AND(INDEX(TekTil,26)&gt;0,V$5&gt;INDEX(TekTil,26))),"",IF(COUNTIFS(TF_Nokkel,$A43&amp;"|"&amp;V$5)=0,IF(V$9&lt;&gt;"","LMS",""),IFERROR(IF(SUMIFS(TF_Timer,TF_Nokkel,$A43&amp;"|"&amp;V$5,TF_Akt,"LMS")+IF(V$9="",0,MAX(0,ROUND((V$12-SUMIFS(TF_Timer,TF_Nokkel,$A43&amp;"|"&amp;V$5))*2,0)/2))&gt;INDEX(TF_AktSum,MATCH($A43&amp;"|"&amp;V$5,TF_Dom,0)),"LMS",INDEX(AktKode,MATCH(INDEX(TF_Akt,MATCH($A43&amp;"|"&amp;V$5,TF_Dom,0)),Aktiviteter,0)))&amp;IF(OR(COUNTIFS(TF_Nokkel,$A43&amp;"|"&amp;V$5,TF_Akt,"&lt;&gt;"&amp;INDEX(TF_Akt,MATCH($A43&amp;"|"&amp;V$5,TF_Dom,0)))&gt;0,AND(IF(V$9="",0,MAX(0,ROUND((V$12-SUMIFS(TF_Timer,TF_Nokkel,$A43&amp;"|"&amp;V$5))*2,0)/2))&gt;0,INDEX(TF_Akt,MATCH($A43&amp;"|"&amp;V$5,TF_Dom,0))&lt;&gt;"LMS")),"+",""),"?"))))</f>
        <v/>
      </c>
      <c r="W43" s="13">
        <f>IF(OR($A43="",W$5=""),"",IF(OR(AND(INDEX(TekFra,26)&gt;0,W$5&lt;INDEX(TekFra,26)),AND(INDEX(TekTil,26)&gt;0,W$5&gt;INDEX(TekTil,26))),"",IF(COUNTIFS(TF_Nokkel,$A43&amp;"|"&amp;W$5)=0,IF(W$9&lt;&gt;"","LMS",""),IFERROR(IF(SUMIFS(TF_Timer,TF_Nokkel,$A43&amp;"|"&amp;W$5,TF_Akt,"LMS")+IF(W$9="",0,MAX(0,ROUND((W$12-SUMIFS(TF_Timer,TF_Nokkel,$A43&amp;"|"&amp;W$5))*2,0)/2))&gt;INDEX(TF_AktSum,MATCH($A43&amp;"|"&amp;W$5,TF_Dom,0)),"LMS",INDEX(AktKode,MATCH(INDEX(TF_Akt,MATCH($A43&amp;"|"&amp;W$5,TF_Dom,0)),Aktiviteter,0)))&amp;IF(OR(COUNTIFS(TF_Nokkel,$A43&amp;"|"&amp;W$5,TF_Akt,"&lt;&gt;"&amp;INDEX(TF_Akt,MATCH($A43&amp;"|"&amp;W$5,TF_Dom,0)))&gt;0,AND(IF(W$9="",0,MAX(0,ROUND((W$12-SUMIFS(TF_Timer,TF_Nokkel,$A43&amp;"|"&amp;W$5))*2,0)/2))&gt;0,INDEX(TF_Akt,MATCH($A43&amp;"|"&amp;W$5,TF_Dom,0))&lt;&gt;"LMS")),"+",""),"?"))))</f>
        <v/>
      </c>
      <c r="X43" s="13">
        <f>IF(OR($A43="",X$5=""),"",IF(OR(AND(INDEX(TekFra,26)&gt;0,X$5&lt;INDEX(TekFra,26)),AND(INDEX(TekTil,26)&gt;0,X$5&gt;INDEX(TekTil,26))),"",IF(COUNTIFS(TF_Nokkel,$A43&amp;"|"&amp;X$5)=0,IF(X$9&lt;&gt;"","LMS",""),IFERROR(IF(SUMIFS(TF_Timer,TF_Nokkel,$A43&amp;"|"&amp;X$5,TF_Akt,"LMS")+IF(X$9="",0,MAX(0,ROUND((X$12-SUMIFS(TF_Timer,TF_Nokkel,$A43&amp;"|"&amp;X$5))*2,0)/2))&gt;INDEX(TF_AktSum,MATCH($A43&amp;"|"&amp;X$5,TF_Dom,0)),"LMS",INDEX(AktKode,MATCH(INDEX(TF_Akt,MATCH($A43&amp;"|"&amp;X$5,TF_Dom,0)),Aktiviteter,0)))&amp;IF(OR(COUNTIFS(TF_Nokkel,$A43&amp;"|"&amp;X$5,TF_Akt,"&lt;&gt;"&amp;INDEX(TF_Akt,MATCH($A43&amp;"|"&amp;X$5,TF_Dom,0)))&gt;0,AND(IF(X$9="",0,MAX(0,ROUND((X$12-SUMIFS(TF_Timer,TF_Nokkel,$A43&amp;"|"&amp;X$5))*2,0)/2))&gt;0,INDEX(TF_Akt,MATCH($A43&amp;"|"&amp;X$5,TF_Dom,0))&lt;&gt;"LMS")),"+",""),"?"))))</f>
        <v/>
      </c>
      <c r="Y43" s="13">
        <f>IF(OR($A43="",Y$5=""),"",IF(OR(AND(INDEX(TekFra,26)&gt;0,Y$5&lt;INDEX(TekFra,26)),AND(INDEX(TekTil,26)&gt;0,Y$5&gt;INDEX(TekTil,26))),"",IF(COUNTIFS(TF_Nokkel,$A43&amp;"|"&amp;Y$5)=0,IF(Y$9&lt;&gt;"","LMS",""),IFERROR(IF(SUMIFS(TF_Timer,TF_Nokkel,$A43&amp;"|"&amp;Y$5,TF_Akt,"LMS")+IF(Y$9="",0,MAX(0,ROUND((Y$12-SUMIFS(TF_Timer,TF_Nokkel,$A43&amp;"|"&amp;Y$5))*2,0)/2))&gt;INDEX(TF_AktSum,MATCH($A43&amp;"|"&amp;Y$5,TF_Dom,0)),"LMS",INDEX(AktKode,MATCH(INDEX(TF_Akt,MATCH($A43&amp;"|"&amp;Y$5,TF_Dom,0)),Aktiviteter,0)))&amp;IF(OR(COUNTIFS(TF_Nokkel,$A43&amp;"|"&amp;Y$5,TF_Akt,"&lt;&gt;"&amp;INDEX(TF_Akt,MATCH($A43&amp;"|"&amp;Y$5,TF_Dom,0)))&gt;0,AND(IF(Y$9="",0,MAX(0,ROUND((Y$12-SUMIFS(TF_Timer,TF_Nokkel,$A43&amp;"|"&amp;Y$5))*2,0)/2))&gt;0,INDEX(TF_Akt,MATCH($A43&amp;"|"&amp;Y$5,TF_Dom,0))&lt;&gt;"LMS")),"+",""),"?"))))</f>
        <v/>
      </c>
      <c r="Z43" s="13">
        <f>IF(OR($A43="",Z$5=""),"",IF(OR(AND(INDEX(TekFra,26)&gt;0,Z$5&lt;INDEX(TekFra,26)),AND(INDEX(TekTil,26)&gt;0,Z$5&gt;INDEX(TekTil,26))),"",IF(COUNTIFS(TF_Nokkel,$A43&amp;"|"&amp;Z$5)=0,IF(Z$9&lt;&gt;"","LMS",""),IFERROR(IF(SUMIFS(TF_Timer,TF_Nokkel,$A43&amp;"|"&amp;Z$5,TF_Akt,"LMS")+IF(Z$9="",0,MAX(0,ROUND((Z$12-SUMIFS(TF_Timer,TF_Nokkel,$A43&amp;"|"&amp;Z$5))*2,0)/2))&gt;INDEX(TF_AktSum,MATCH($A43&amp;"|"&amp;Z$5,TF_Dom,0)),"LMS",INDEX(AktKode,MATCH(INDEX(TF_Akt,MATCH($A43&amp;"|"&amp;Z$5,TF_Dom,0)),Aktiviteter,0)))&amp;IF(OR(COUNTIFS(TF_Nokkel,$A43&amp;"|"&amp;Z$5,TF_Akt,"&lt;&gt;"&amp;INDEX(TF_Akt,MATCH($A43&amp;"|"&amp;Z$5,TF_Dom,0)))&gt;0,AND(IF(Z$9="",0,MAX(0,ROUND((Z$12-SUMIFS(TF_Timer,TF_Nokkel,$A43&amp;"|"&amp;Z$5))*2,0)/2))&gt;0,INDEX(TF_Akt,MATCH($A43&amp;"|"&amp;Z$5,TF_Dom,0))&lt;&gt;"LMS")),"+",""),"?"))))</f>
        <v/>
      </c>
      <c r="AA43" s="13">
        <f>IF(OR($A43="",AA$5=""),"",IF(OR(AND(INDEX(TekFra,26)&gt;0,AA$5&lt;INDEX(TekFra,26)),AND(INDEX(TekTil,26)&gt;0,AA$5&gt;INDEX(TekTil,26))),"",IF(COUNTIFS(TF_Nokkel,$A43&amp;"|"&amp;AA$5)=0,IF(AA$9&lt;&gt;"","LMS",""),IFERROR(IF(SUMIFS(TF_Timer,TF_Nokkel,$A43&amp;"|"&amp;AA$5,TF_Akt,"LMS")+IF(AA$9="",0,MAX(0,ROUND((AA$12-SUMIFS(TF_Timer,TF_Nokkel,$A43&amp;"|"&amp;AA$5))*2,0)/2))&gt;INDEX(TF_AktSum,MATCH($A43&amp;"|"&amp;AA$5,TF_Dom,0)),"LMS",INDEX(AktKode,MATCH(INDEX(TF_Akt,MATCH($A43&amp;"|"&amp;AA$5,TF_Dom,0)),Aktiviteter,0)))&amp;IF(OR(COUNTIFS(TF_Nokkel,$A43&amp;"|"&amp;AA$5,TF_Akt,"&lt;&gt;"&amp;INDEX(TF_Akt,MATCH($A43&amp;"|"&amp;AA$5,TF_Dom,0)))&gt;0,AND(IF(AA$9="",0,MAX(0,ROUND((AA$12-SUMIFS(TF_Timer,TF_Nokkel,$A43&amp;"|"&amp;AA$5))*2,0)/2))&gt;0,INDEX(TF_Akt,MATCH($A43&amp;"|"&amp;AA$5,TF_Dom,0))&lt;&gt;"LMS")),"+",""),"?"))))</f>
        <v/>
      </c>
      <c r="AB43" s="13">
        <f>IF(OR($A43="",AB$5=""),"",IF(OR(AND(INDEX(TekFra,26)&gt;0,AB$5&lt;INDEX(TekFra,26)),AND(INDEX(TekTil,26)&gt;0,AB$5&gt;INDEX(TekTil,26))),"",IF(COUNTIFS(TF_Nokkel,$A43&amp;"|"&amp;AB$5)=0,IF(AB$9&lt;&gt;"","LMS",""),IFERROR(IF(SUMIFS(TF_Timer,TF_Nokkel,$A43&amp;"|"&amp;AB$5,TF_Akt,"LMS")+IF(AB$9="",0,MAX(0,ROUND((AB$12-SUMIFS(TF_Timer,TF_Nokkel,$A43&amp;"|"&amp;AB$5))*2,0)/2))&gt;INDEX(TF_AktSum,MATCH($A43&amp;"|"&amp;AB$5,TF_Dom,0)),"LMS",INDEX(AktKode,MATCH(INDEX(TF_Akt,MATCH($A43&amp;"|"&amp;AB$5,TF_Dom,0)),Aktiviteter,0)))&amp;IF(OR(COUNTIFS(TF_Nokkel,$A43&amp;"|"&amp;AB$5,TF_Akt,"&lt;&gt;"&amp;INDEX(TF_Akt,MATCH($A43&amp;"|"&amp;AB$5,TF_Dom,0)))&gt;0,AND(IF(AB$9="",0,MAX(0,ROUND((AB$12-SUMIFS(TF_Timer,TF_Nokkel,$A43&amp;"|"&amp;AB$5))*2,0)/2))&gt;0,INDEX(TF_Akt,MATCH($A43&amp;"|"&amp;AB$5,TF_Dom,0))&lt;&gt;"LMS")),"+",""),"?"))))</f>
        <v/>
      </c>
      <c r="AC43" s="13">
        <f>IF(OR($A43="",AC$5=""),"",IF(OR(AND(INDEX(TekFra,26)&gt;0,AC$5&lt;INDEX(TekFra,26)),AND(INDEX(TekTil,26)&gt;0,AC$5&gt;INDEX(TekTil,26))),"",IF(COUNTIFS(TF_Nokkel,$A43&amp;"|"&amp;AC$5)=0,IF(AC$9&lt;&gt;"","LMS",""),IFERROR(IF(SUMIFS(TF_Timer,TF_Nokkel,$A43&amp;"|"&amp;AC$5,TF_Akt,"LMS")+IF(AC$9="",0,MAX(0,ROUND((AC$12-SUMIFS(TF_Timer,TF_Nokkel,$A43&amp;"|"&amp;AC$5))*2,0)/2))&gt;INDEX(TF_AktSum,MATCH($A43&amp;"|"&amp;AC$5,TF_Dom,0)),"LMS",INDEX(AktKode,MATCH(INDEX(TF_Akt,MATCH($A43&amp;"|"&amp;AC$5,TF_Dom,0)),Aktiviteter,0)))&amp;IF(OR(COUNTIFS(TF_Nokkel,$A43&amp;"|"&amp;AC$5,TF_Akt,"&lt;&gt;"&amp;INDEX(TF_Akt,MATCH($A43&amp;"|"&amp;AC$5,TF_Dom,0)))&gt;0,AND(IF(AC$9="",0,MAX(0,ROUND((AC$12-SUMIFS(TF_Timer,TF_Nokkel,$A43&amp;"|"&amp;AC$5))*2,0)/2))&gt;0,INDEX(TF_Akt,MATCH($A43&amp;"|"&amp;AC$5,TF_Dom,0))&lt;&gt;"LMS")),"+",""),"?"))))</f>
        <v/>
      </c>
      <c r="AD43" s="13">
        <f>IF(OR($A43="",AD$5=""),"",IF(OR(AND(INDEX(TekFra,26)&gt;0,AD$5&lt;INDEX(TekFra,26)),AND(INDEX(TekTil,26)&gt;0,AD$5&gt;INDEX(TekTil,26))),"",IF(COUNTIFS(TF_Nokkel,$A43&amp;"|"&amp;AD$5)=0,IF(AD$9&lt;&gt;"","LMS",""),IFERROR(IF(SUMIFS(TF_Timer,TF_Nokkel,$A43&amp;"|"&amp;AD$5,TF_Akt,"LMS")+IF(AD$9="",0,MAX(0,ROUND((AD$12-SUMIFS(TF_Timer,TF_Nokkel,$A43&amp;"|"&amp;AD$5))*2,0)/2))&gt;INDEX(TF_AktSum,MATCH($A43&amp;"|"&amp;AD$5,TF_Dom,0)),"LMS",INDEX(AktKode,MATCH(INDEX(TF_Akt,MATCH($A43&amp;"|"&amp;AD$5,TF_Dom,0)),Aktiviteter,0)))&amp;IF(OR(COUNTIFS(TF_Nokkel,$A43&amp;"|"&amp;AD$5,TF_Akt,"&lt;&gt;"&amp;INDEX(TF_Akt,MATCH($A43&amp;"|"&amp;AD$5,TF_Dom,0)))&gt;0,AND(IF(AD$9="",0,MAX(0,ROUND((AD$12-SUMIFS(TF_Timer,TF_Nokkel,$A43&amp;"|"&amp;AD$5))*2,0)/2))&gt;0,INDEX(TF_Akt,MATCH($A43&amp;"|"&amp;AD$5,TF_Dom,0))&lt;&gt;"LMS")),"+",""),"?"))))</f>
        <v/>
      </c>
      <c r="AE43" s="13">
        <f>IF(OR($A43="",AE$5=""),"",IF(OR(AND(INDEX(TekFra,26)&gt;0,AE$5&lt;INDEX(TekFra,26)),AND(INDEX(TekTil,26)&gt;0,AE$5&gt;INDEX(TekTil,26))),"",IF(COUNTIFS(TF_Nokkel,$A43&amp;"|"&amp;AE$5)=0,IF(AE$9&lt;&gt;"","LMS",""),IFERROR(IF(SUMIFS(TF_Timer,TF_Nokkel,$A43&amp;"|"&amp;AE$5,TF_Akt,"LMS")+IF(AE$9="",0,MAX(0,ROUND((AE$12-SUMIFS(TF_Timer,TF_Nokkel,$A43&amp;"|"&amp;AE$5))*2,0)/2))&gt;INDEX(TF_AktSum,MATCH($A43&amp;"|"&amp;AE$5,TF_Dom,0)),"LMS",INDEX(AktKode,MATCH(INDEX(TF_Akt,MATCH($A43&amp;"|"&amp;AE$5,TF_Dom,0)),Aktiviteter,0)))&amp;IF(OR(COUNTIFS(TF_Nokkel,$A43&amp;"|"&amp;AE$5,TF_Akt,"&lt;&gt;"&amp;INDEX(TF_Akt,MATCH($A43&amp;"|"&amp;AE$5,TF_Dom,0)))&gt;0,AND(IF(AE$9="",0,MAX(0,ROUND((AE$12-SUMIFS(TF_Timer,TF_Nokkel,$A43&amp;"|"&amp;AE$5))*2,0)/2))&gt;0,INDEX(TF_Akt,MATCH($A43&amp;"|"&amp;AE$5,TF_Dom,0))&lt;&gt;"LMS")),"+",""),"?"))))</f>
        <v/>
      </c>
      <c r="AF43" s="13">
        <f>IF(OR($A43="",AF$5=""),"",IF(OR(AND(INDEX(TekFra,26)&gt;0,AF$5&lt;INDEX(TekFra,26)),AND(INDEX(TekTil,26)&gt;0,AF$5&gt;INDEX(TekTil,26))),"",IF(COUNTIFS(TF_Nokkel,$A43&amp;"|"&amp;AF$5)=0,IF(AF$9&lt;&gt;"","LMS",""),IFERROR(IF(SUMIFS(TF_Timer,TF_Nokkel,$A43&amp;"|"&amp;AF$5,TF_Akt,"LMS")+IF(AF$9="",0,MAX(0,ROUND((AF$12-SUMIFS(TF_Timer,TF_Nokkel,$A43&amp;"|"&amp;AF$5))*2,0)/2))&gt;INDEX(TF_AktSum,MATCH($A43&amp;"|"&amp;AF$5,TF_Dom,0)),"LMS",INDEX(AktKode,MATCH(INDEX(TF_Akt,MATCH($A43&amp;"|"&amp;AF$5,TF_Dom,0)),Aktiviteter,0)))&amp;IF(OR(COUNTIFS(TF_Nokkel,$A43&amp;"|"&amp;AF$5,TF_Akt,"&lt;&gt;"&amp;INDEX(TF_Akt,MATCH($A43&amp;"|"&amp;AF$5,TF_Dom,0)))&gt;0,AND(IF(AF$9="",0,MAX(0,ROUND((AF$12-SUMIFS(TF_Timer,TF_Nokkel,$A43&amp;"|"&amp;AF$5))*2,0)/2))&gt;0,INDEX(TF_Akt,MATCH($A43&amp;"|"&amp;AF$5,TF_Dom,0))&lt;&gt;"LMS")),"+",""),"?"))))</f>
        <v/>
      </c>
      <c r="AG43" s="13">
        <f>IF(OR($A43="",AG$5=""),"",IF(OR(AND(INDEX(TekFra,26)&gt;0,AG$5&lt;INDEX(TekFra,26)),AND(INDEX(TekTil,26)&gt;0,AG$5&gt;INDEX(TekTil,26))),"",IF(COUNTIFS(TF_Nokkel,$A43&amp;"|"&amp;AG$5)=0,IF(AG$9&lt;&gt;"","LMS",""),IFERROR(IF(SUMIFS(TF_Timer,TF_Nokkel,$A43&amp;"|"&amp;AG$5,TF_Akt,"LMS")+IF(AG$9="",0,MAX(0,ROUND((AG$12-SUMIFS(TF_Timer,TF_Nokkel,$A43&amp;"|"&amp;AG$5))*2,0)/2))&gt;INDEX(TF_AktSum,MATCH($A43&amp;"|"&amp;AG$5,TF_Dom,0)),"LMS",INDEX(AktKode,MATCH(INDEX(TF_Akt,MATCH($A43&amp;"|"&amp;AG$5,TF_Dom,0)),Aktiviteter,0)))&amp;IF(OR(COUNTIFS(TF_Nokkel,$A43&amp;"|"&amp;AG$5,TF_Akt,"&lt;&gt;"&amp;INDEX(TF_Akt,MATCH($A43&amp;"|"&amp;AG$5,TF_Dom,0)))&gt;0,AND(IF(AG$9="",0,MAX(0,ROUND((AG$12-SUMIFS(TF_Timer,TF_Nokkel,$A43&amp;"|"&amp;AG$5))*2,0)/2))&gt;0,INDEX(TF_Akt,MATCH($A43&amp;"|"&amp;AG$5,TF_Dom,0))&lt;&gt;"LMS")),"+",""),"?"))))</f>
        <v/>
      </c>
      <c r="AH43" s="2" t="n"/>
      <c r="AI43" s="2" t="n"/>
      <c r="AJ43" s="2" t="n"/>
    </row>
    <row r="44">
      <c r="A44" s="2">
        <f>INDEX(Teknikere,27)&amp;""</f>
        <v/>
      </c>
      <c r="B44" s="12">
        <f>IF(INDEX(TekFra,27)&gt;0,"ekstra","")</f>
        <v/>
      </c>
      <c r="C44" s="13">
        <f>IF(OR($A44="",C$5=""),"",IF(OR(AND(INDEX(TekFra,27)&gt;0,C$5&lt;INDEX(TekFra,27)),AND(INDEX(TekTil,27)&gt;0,C$5&gt;INDEX(TekTil,27))),"",IF(COUNTIFS(TF_Nokkel,$A44&amp;"|"&amp;C$5)=0,IF(C$9&lt;&gt;"","LMS",""),IFERROR(IF(SUMIFS(TF_Timer,TF_Nokkel,$A44&amp;"|"&amp;C$5,TF_Akt,"LMS")+IF(C$9="",0,MAX(0,ROUND((C$12-SUMIFS(TF_Timer,TF_Nokkel,$A44&amp;"|"&amp;C$5))*2,0)/2))&gt;INDEX(TF_AktSum,MATCH($A44&amp;"|"&amp;C$5,TF_Dom,0)),"LMS",INDEX(AktKode,MATCH(INDEX(TF_Akt,MATCH($A44&amp;"|"&amp;C$5,TF_Dom,0)),Aktiviteter,0)))&amp;IF(OR(COUNTIFS(TF_Nokkel,$A44&amp;"|"&amp;C$5,TF_Akt,"&lt;&gt;"&amp;INDEX(TF_Akt,MATCH($A44&amp;"|"&amp;C$5,TF_Dom,0)))&gt;0,AND(IF(C$9="",0,MAX(0,ROUND((C$12-SUMIFS(TF_Timer,TF_Nokkel,$A44&amp;"|"&amp;C$5))*2,0)/2))&gt;0,INDEX(TF_Akt,MATCH($A44&amp;"|"&amp;C$5,TF_Dom,0))&lt;&gt;"LMS")),"+",""),"?"))))</f>
        <v/>
      </c>
      <c r="D44" s="13">
        <f>IF(OR($A44="",D$5=""),"",IF(OR(AND(INDEX(TekFra,27)&gt;0,D$5&lt;INDEX(TekFra,27)),AND(INDEX(TekTil,27)&gt;0,D$5&gt;INDEX(TekTil,27))),"",IF(COUNTIFS(TF_Nokkel,$A44&amp;"|"&amp;D$5)=0,IF(D$9&lt;&gt;"","LMS",""),IFERROR(IF(SUMIFS(TF_Timer,TF_Nokkel,$A44&amp;"|"&amp;D$5,TF_Akt,"LMS")+IF(D$9="",0,MAX(0,ROUND((D$12-SUMIFS(TF_Timer,TF_Nokkel,$A44&amp;"|"&amp;D$5))*2,0)/2))&gt;INDEX(TF_AktSum,MATCH($A44&amp;"|"&amp;D$5,TF_Dom,0)),"LMS",INDEX(AktKode,MATCH(INDEX(TF_Akt,MATCH($A44&amp;"|"&amp;D$5,TF_Dom,0)),Aktiviteter,0)))&amp;IF(OR(COUNTIFS(TF_Nokkel,$A44&amp;"|"&amp;D$5,TF_Akt,"&lt;&gt;"&amp;INDEX(TF_Akt,MATCH($A44&amp;"|"&amp;D$5,TF_Dom,0)))&gt;0,AND(IF(D$9="",0,MAX(0,ROUND((D$12-SUMIFS(TF_Timer,TF_Nokkel,$A44&amp;"|"&amp;D$5))*2,0)/2))&gt;0,INDEX(TF_Akt,MATCH($A44&amp;"|"&amp;D$5,TF_Dom,0))&lt;&gt;"LMS")),"+",""),"?"))))</f>
        <v/>
      </c>
      <c r="E44" s="13">
        <f>IF(OR($A44="",E$5=""),"",IF(OR(AND(INDEX(TekFra,27)&gt;0,E$5&lt;INDEX(TekFra,27)),AND(INDEX(TekTil,27)&gt;0,E$5&gt;INDEX(TekTil,27))),"",IF(COUNTIFS(TF_Nokkel,$A44&amp;"|"&amp;E$5)=0,IF(E$9&lt;&gt;"","LMS",""),IFERROR(IF(SUMIFS(TF_Timer,TF_Nokkel,$A44&amp;"|"&amp;E$5,TF_Akt,"LMS")+IF(E$9="",0,MAX(0,ROUND((E$12-SUMIFS(TF_Timer,TF_Nokkel,$A44&amp;"|"&amp;E$5))*2,0)/2))&gt;INDEX(TF_AktSum,MATCH($A44&amp;"|"&amp;E$5,TF_Dom,0)),"LMS",INDEX(AktKode,MATCH(INDEX(TF_Akt,MATCH($A44&amp;"|"&amp;E$5,TF_Dom,0)),Aktiviteter,0)))&amp;IF(OR(COUNTIFS(TF_Nokkel,$A44&amp;"|"&amp;E$5,TF_Akt,"&lt;&gt;"&amp;INDEX(TF_Akt,MATCH($A44&amp;"|"&amp;E$5,TF_Dom,0)))&gt;0,AND(IF(E$9="",0,MAX(0,ROUND((E$12-SUMIFS(TF_Timer,TF_Nokkel,$A44&amp;"|"&amp;E$5))*2,0)/2))&gt;0,INDEX(TF_Akt,MATCH($A44&amp;"|"&amp;E$5,TF_Dom,0))&lt;&gt;"LMS")),"+",""),"?"))))</f>
        <v/>
      </c>
      <c r="F44" s="13">
        <f>IF(OR($A44="",F$5=""),"",IF(OR(AND(INDEX(TekFra,27)&gt;0,F$5&lt;INDEX(TekFra,27)),AND(INDEX(TekTil,27)&gt;0,F$5&gt;INDEX(TekTil,27))),"",IF(COUNTIFS(TF_Nokkel,$A44&amp;"|"&amp;F$5)=0,IF(F$9&lt;&gt;"","LMS",""),IFERROR(IF(SUMIFS(TF_Timer,TF_Nokkel,$A44&amp;"|"&amp;F$5,TF_Akt,"LMS")+IF(F$9="",0,MAX(0,ROUND((F$12-SUMIFS(TF_Timer,TF_Nokkel,$A44&amp;"|"&amp;F$5))*2,0)/2))&gt;INDEX(TF_AktSum,MATCH($A44&amp;"|"&amp;F$5,TF_Dom,0)),"LMS",INDEX(AktKode,MATCH(INDEX(TF_Akt,MATCH($A44&amp;"|"&amp;F$5,TF_Dom,0)),Aktiviteter,0)))&amp;IF(OR(COUNTIFS(TF_Nokkel,$A44&amp;"|"&amp;F$5,TF_Akt,"&lt;&gt;"&amp;INDEX(TF_Akt,MATCH($A44&amp;"|"&amp;F$5,TF_Dom,0)))&gt;0,AND(IF(F$9="",0,MAX(0,ROUND((F$12-SUMIFS(TF_Timer,TF_Nokkel,$A44&amp;"|"&amp;F$5))*2,0)/2))&gt;0,INDEX(TF_Akt,MATCH($A44&amp;"|"&amp;F$5,TF_Dom,0))&lt;&gt;"LMS")),"+",""),"?"))))</f>
        <v/>
      </c>
      <c r="G44" s="13">
        <f>IF(OR($A44="",G$5=""),"",IF(OR(AND(INDEX(TekFra,27)&gt;0,G$5&lt;INDEX(TekFra,27)),AND(INDEX(TekTil,27)&gt;0,G$5&gt;INDEX(TekTil,27))),"",IF(COUNTIFS(TF_Nokkel,$A44&amp;"|"&amp;G$5)=0,IF(G$9&lt;&gt;"","LMS",""),IFERROR(IF(SUMIFS(TF_Timer,TF_Nokkel,$A44&amp;"|"&amp;G$5,TF_Akt,"LMS")+IF(G$9="",0,MAX(0,ROUND((G$12-SUMIFS(TF_Timer,TF_Nokkel,$A44&amp;"|"&amp;G$5))*2,0)/2))&gt;INDEX(TF_AktSum,MATCH($A44&amp;"|"&amp;G$5,TF_Dom,0)),"LMS",INDEX(AktKode,MATCH(INDEX(TF_Akt,MATCH($A44&amp;"|"&amp;G$5,TF_Dom,0)),Aktiviteter,0)))&amp;IF(OR(COUNTIFS(TF_Nokkel,$A44&amp;"|"&amp;G$5,TF_Akt,"&lt;&gt;"&amp;INDEX(TF_Akt,MATCH($A44&amp;"|"&amp;G$5,TF_Dom,0)))&gt;0,AND(IF(G$9="",0,MAX(0,ROUND((G$12-SUMIFS(TF_Timer,TF_Nokkel,$A44&amp;"|"&amp;G$5))*2,0)/2))&gt;0,INDEX(TF_Akt,MATCH($A44&amp;"|"&amp;G$5,TF_Dom,0))&lt;&gt;"LMS")),"+",""),"?"))))</f>
        <v/>
      </c>
      <c r="H44" s="13">
        <f>IF(OR($A44="",H$5=""),"",IF(OR(AND(INDEX(TekFra,27)&gt;0,H$5&lt;INDEX(TekFra,27)),AND(INDEX(TekTil,27)&gt;0,H$5&gt;INDEX(TekTil,27))),"",IF(COUNTIFS(TF_Nokkel,$A44&amp;"|"&amp;H$5)=0,IF(H$9&lt;&gt;"","LMS",""),IFERROR(IF(SUMIFS(TF_Timer,TF_Nokkel,$A44&amp;"|"&amp;H$5,TF_Akt,"LMS")+IF(H$9="",0,MAX(0,ROUND((H$12-SUMIFS(TF_Timer,TF_Nokkel,$A44&amp;"|"&amp;H$5))*2,0)/2))&gt;INDEX(TF_AktSum,MATCH($A44&amp;"|"&amp;H$5,TF_Dom,0)),"LMS",INDEX(AktKode,MATCH(INDEX(TF_Akt,MATCH($A44&amp;"|"&amp;H$5,TF_Dom,0)),Aktiviteter,0)))&amp;IF(OR(COUNTIFS(TF_Nokkel,$A44&amp;"|"&amp;H$5,TF_Akt,"&lt;&gt;"&amp;INDEX(TF_Akt,MATCH($A44&amp;"|"&amp;H$5,TF_Dom,0)))&gt;0,AND(IF(H$9="",0,MAX(0,ROUND((H$12-SUMIFS(TF_Timer,TF_Nokkel,$A44&amp;"|"&amp;H$5))*2,0)/2))&gt;0,INDEX(TF_Akt,MATCH($A44&amp;"|"&amp;H$5,TF_Dom,0))&lt;&gt;"LMS")),"+",""),"?"))))</f>
        <v/>
      </c>
      <c r="I44" s="13">
        <f>IF(OR($A44="",I$5=""),"",IF(OR(AND(INDEX(TekFra,27)&gt;0,I$5&lt;INDEX(TekFra,27)),AND(INDEX(TekTil,27)&gt;0,I$5&gt;INDEX(TekTil,27))),"",IF(COUNTIFS(TF_Nokkel,$A44&amp;"|"&amp;I$5)=0,IF(I$9&lt;&gt;"","LMS",""),IFERROR(IF(SUMIFS(TF_Timer,TF_Nokkel,$A44&amp;"|"&amp;I$5,TF_Akt,"LMS")+IF(I$9="",0,MAX(0,ROUND((I$12-SUMIFS(TF_Timer,TF_Nokkel,$A44&amp;"|"&amp;I$5))*2,0)/2))&gt;INDEX(TF_AktSum,MATCH($A44&amp;"|"&amp;I$5,TF_Dom,0)),"LMS",INDEX(AktKode,MATCH(INDEX(TF_Akt,MATCH($A44&amp;"|"&amp;I$5,TF_Dom,0)),Aktiviteter,0)))&amp;IF(OR(COUNTIFS(TF_Nokkel,$A44&amp;"|"&amp;I$5,TF_Akt,"&lt;&gt;"&amp;INDEX(TF_Akt,MATCH($A44&amp;"|"&amp;I$5,TF_Dom,0)))&gt;0,AND(IF(I$9="",0,MAX(0,ROUND((I$12-SUMIFS(TF_Timer,TF_Nokkel,$A44&amp;"|"&amp;I$5))*2,0)/2))&gt;0,INDEX(TF_Akt,MATCH($A44&amp;"|"&amp;I$5,TF_Dom,0))&lt;&gt;"LMS")),"+",""),"?"))))</f>
        <v/>
      </c>
      <c r="J44" s="13">
        <f>IF(OR($A44="",J$5=""),"",IF(OR(AND(INDEX(TekFra,27)&gt;0,J$5&lt;INDEX(TekFra,27)),AND(INDEX(TekTil,27)&gt;0,J$5&gt;INDEX(TekTil,27))),"",IF(COUNTIFS(TF_Nokkel,$A44&amp;"|"&amp;J$5)=0,IF(J$9&lt;&gt;"","LMS",""),IFERROR(IF(SUMIFS(TF_Timer,TF_Nokkel,$A44&amp;"|"&amp;J$5,TF_Akt,"LMS")+IF(J$9="",0,MAX(0,ROUND((J$12-SUMIFS(TF_Timer,TF_Nokkel,$A44&amp;"|"&amp;J$5))*2,0)/2))&gt;INDEX(TF_AktSum,MATCH($A44&amp;"|"&amp;J$5,TF_Dom,0)),"LMS",INDEX(AktKode,MATCH(INDEX(TF_Akt,MATCH($A44&amp;"|"&amp;J$5,TF_Dom,0)),Aktiviteter,0)))&amp;IF(OR(COUNTIFS(TF_Nokkel,$A44&amp;"|"&amp;J$5,TF_Akt,"&lt;&gt;"&amp;INDEX(TF_Akt,MATCH($A44&amp;"|"&amp;J$5,TF_Dom,0)))&gt;0,AND(IF(J$9="",0,MAX(0,ROUND((J$12-SUMIFS(TF_Timer,TF_Nokkel,$A44&amp;"|"&amp;J$5))*2,0)/2))&gt;0,INDEX(TF_Akt,MATCH($A44&amp;"|"&amp;J$5,TF_Dom,0))&lt;&gt;"LMS")),"+",""),"?"))))</f>
        <v/>
      </c>
      <c r="K44" s="13">
        <f>IF(OR($A44="",K$5=""),"",IF(OR(AND(INDEX(TekFra,27)&gt;0,K$5&lt;INDEX(TekFra,27)),AND(INDEX(TekTil,27)&gt;0,K$5&gt;INDEX(TekTil,27))),"",IF(COUNTIFS(TF_Nokkel,$A44&amp;"|"&amp;K$5)=0,IF(K$9&lt;&gt;"","LMS",""),IFERROR(IF(SUMIFS(TF_Timer,TF_Nokkel,$A44&amp;"|"&amp;K$5,TF_Akt,"LMS")+IF(K$9="",0,MAX(0,ROUND((K$12-SUMIFS(TF_Timer,TF_Nokkel,$A44&amp;"|"&amp;K$5))*2,0)/2))&gt;INDEX(TF_AktSum,MATCH($A44&amp;"|"&amp;K$5,TF_Dom,0)),"LMS",INDEX(AktKode,MATCH(INDEX(TF_Akt,MATCH($A44&amp;"|"&amp;K$5,TF_Dom,0)),Aktiviteter,0)))&amp;IF(OR(COUNTIFS(TF_Nokkel,$A44&amp;"|"&amp;K$5,TF_Akt,"&lt;&gt;"&amp;INDEX(TF_Akt,MATCH($A44&amp;"|"&amp;K$5,TF_Dom,0)))&gt;0,AND(IF(K$9="",0,MAX(0,ROUND((K$12-SUMIFS(TF_Timer,TF_Nokkel,$A44&amp;"|"&amp;K$5))*2,0)/2))&gt;0,INDEX(TF_Akt,MATCH($A44&amp;"|"&amp;K$5,TF_Dom,0))&lt;&gt;"LMS")),"+",""),"?"))))</f>
        <v/>
      </c>
      <c r="L44" s="13">
        <f>IF(OR($A44="",L$5=""),"",IF(OR(AND(INDEX(TekFra,27)&gt;0,L$5&lt;INDEX(TekFra,27)),AND(INDEX(TekTil,27)&gt;0,L$5&gt;INDEX(TekTil,27))),"",IF(COUNTIFS(TF_Nokkel,$A44&amp;"|"&amp;L$5)=0,IF(L$9&lt;&gt;"","LMS",""),IFERROR(IF(SUMIFS(TF_Timer,TF_Nokkel,$A44&amp;"|"&amp;L$5,TF_Akt,"LMS")+IF(L$9="",0,MAX(0,ROUND((L$12-SUMIFS(TF_Timer,TF_Nokkel,$A44&amp;"|"&amp;L$5))*2,0)/2))&gt;INDEX(TF_AktSum,MATCH($A44&amp;"|"&amp;L$5,TF_Dom,0)),"LMS",INDEX(AktKode,MATCH(INDEX(TF_Akt,MATCH($A44&amp;"|"&amp;L$5,TF_Dom,0)),Aktiviteter,0)))&amp;IF(OR(COUNTIFS(TF_Nokkel,$A44&amp;"|"&amp;L$5,TF_Akt,"&lt;&gt;"&amp;INDEX(TF_Akt,MATCH($A44&amp;"|"&amp;L$5,TF_Dom,0)))&gt;0,AND(IF(L$9="",0,MAX(0,ROUND((L$12-SUMIFS(TF_Timer,TF_Nokkel,$A44&amp;"|"&amp;L$5))*2,0)/2))&gt;0,INDEX(TF_Akt,MATCH($A44&amp;"|"&amp;L$5,TF_Dom,0))&lt;&gt;"LMS")),"+",""),"?"))))</f>
        <v/>
      </c>
      <c r="M44" s="13">
        <f>IF(OR($A44="",M$5=""),"",IF(OR(AND(INDEX(TekFra,27)&gt;0,M$5&lt;INDEX(TekFra,27)),AND(INDEX(TekTil,27)&gt;0,M$5&gt;INDEX(TekTil,27))),"",IF(COUNTIFS(TF_Nokkel,$A44&amp;"|"&amp;M$5)=0,IF(M$9&lt;&gt;"","LMS",""),IFERROR(IF(SUMIFS(TF_Timer,TF_Nokkel,$A44&amp;"|"&amp;M$5,TF_Akt,"LMS")+IF(M$9="",0,MAX(0,ROUND((M$12-SUMIFS(TF_Timer,TF_Nokkel,$A44&amp;"|"&amp;M$5))*2,0)/2))&gt;INDEX(TF_AktSum,MATCH($A44&amp;"|"&amp;M$5,TF_Dom,0)),"LMS",INDEX(AktKode,MATCH(INDEX(TF_Akt,MATCH($A44&amp;"|"&amp;M$5,TF_Dom,0)),Aktiviteter,0)))&amp;IF(OR(COUNTIFS(TF_Nokkel,$A44&amp;"|"&amp;M$5,TF_Akt,"&lt;&gt;"&amp;INDEX(TF_Akt,MATCH($A44&amp;"|"&amp;M$5,TF_Dom,0)))&gt;0,AND(IF(M$9="",0,MAX(0,ROUND((M$12-SUMIFS(TF_Timer,TF_Nokkel,$A44&amp;"|"&amp;M$5))*2,0)/2))&gt;0,INDEX(TF_Akt,MATCH($A44&amp;"|"&amp;M$5,TF_Dom,0))&lt;&gt;"LMS")),"+",""),"?"))))</f>
        <v/>
      </c>
      <c r="N44" s="13">
        <f>IF(OR($A44="",N$5=""),"",IF(OR(AND(INDEX(TekFra,27)&gt;0,N$5&lt;INDEX(TekFra,27)),AND(INDEX(TekTil,27)&gt;0,N$5&gt;INDEX(TekTil,27))),"",IF(COUNTIFS(TF_Nokkel,$A44&amp;"|"&amp;N$5)=0,IF(N$9&lt;&gt;"","LMS",""),IFERROR(IF(SUMIFS(TF_Timer,TF_Nokkel,$A44&amp;"|"&amp;N$5,TF_Akt,"LMS")+IF(N$9="",0,MAX(0,ROUND((N$12-SUMIFS(TF_Timer,TF_Nokkel,$A44&amp;"|"&amp;N$5))*2,0)/2))&gt;INDEX(TF_AktSum,MATCH($A44&amp;"|"&amp;N$5,TF_Dom,0)),"LMS",INDEX(AktKode,MATCH(INDEX(TF_Akt,MATCH($A44&amp;"|"&amp;N$5,TF_Dom,0)),Aktiviteter,0)))&amp;IF(OR(COUNTIFS(TF_Nokkel,$A44&amp;"|"&amp;N$5,TF_Akt,"&lt;&gt;"&amp;INDEX(TF_Akt,MATCH($A44&amp;"|"&amp;N$5,TF_Dom,0)))&gt;0,AND(IF(N$9="",0,MAX(0,ROUND((N$12-SUMIFS(TF_Timer,TF_Nokkel,$A44&amp;"|"&amp;N$5))*2,0)/2))&gt;0,INDEX(TF_Akt,MATCH($A44&amp;"|"&amp;N$5,TF_Dom,0))&lt;&gt;"LMS")),"+",""),"?"))))</f>
        <v/>
      </c>
      <c r="O44" s="13">
        <f>IF(OR($A44="",O$5=""),"",IF(OR(AND(INDEX(TekFra,27)&gt;0,O$5&lt;INDEX(TekFra,27)),AND(INDEX(TekTil,27)&gt;0,O$5&gt;INDEX(TekTil,27))),"",IF(COUNTIFS(TF_Nokkel,$A44&amp;"|"&amp;O$5)=0,IF(O$9&lt;&gt;"","LMS",""),IFERROR(IF(SUMIFS(TF_Timer,TF_Nokkel,$A44&amp;"|"&amp;O$5,TF_Akt,"LMS")+IF(O$9="",0,MAX(0,ROUND((O$12-SUMIFS(TF_Timer,TF_Nokkel,$A44&amp;"|"&amp;O$5))*2,0)/2))&gt;INDEX(TF_AktSum,MATCH($A44&amp;"|"&amp;O$5,TF_Dom,0)),"LMS",INDEX(AktKode,MATCH(INDEX(TF_Akt,MATCH($A44&amp;"|"&amp;O$5,TF_Dom,0)),Aktiviteter,0)))&amp;IF(OR(COUNTIFS(TF_Nokkel,$A44&amp;"|"&amp;O$5,TF_Akt,"&lt;&gt;"&amp;INDEX(TF_Akt,MATCH($A44&amp;"|"&amp;O$5,TF_Dom,0)))&gt;0,AND(IF(O$9="",0,MAX(0,ROUND((O$12-SUMIFS(TF_Timer,TF_Nokkel,$A44&amp;"|"&amp;O$5))*2,0)/2))&gt;0,INDEX(TF_Akt,MATCH($A44&amp;"|"&amp;O$5,TF_Dom,0))&lt;&gt;"LMS")),"+",""),"?"))))</f>
        <v/>
      </c>
      <c r="P44" s="13">
        <f>IF(OR($A44="",P$5=""),"",IF(OR(AND(INDEX(TekFra,27)&gt;0,P$5&lt;INDEX(TekFra,27)),AND(INDEX(TekTil,27)&gt;0,P$5&gt;INDEX(TekTil,27))),"",IF(COUNTIFS(TF_Nokkel,$A44&amp;"|"&amp;P$5)=0,IF(P$9&lt;&gt;"","LMS",""),IFERROR(IF(SUMIFS(TF_Timer,TF_Nokkel,$A44&amp;"|"&amp;P$5,TF_Akt,"LMS")+IF(P$9="",0,MAX(0,ROUND((P$12-SUMIFS(TF_Timer,TF_Nokkel,$A44&amp;"|"&amp;P$5))*2,0)/2))&gt;INDEX(TF_AktSum,MATCH($A44&amp;"|"&amp;P$5,TF_Dom,0)),"LMS",INDEX(AktKode,MATCH(INDEX(TF_Akt,MATCH($A44&amp;"|"&amp;P$5,TF_Dom,0)),Aktiviteter,0)))&amp;IF(OR(COUNTIFS(TF_Nokkel,$A44&amp;"|"&amp;P$5,TF_Akt,"&lt;&gt;"&amp;INDEX(TF_Akt,MATCH($A44&amp;"|"&amp;P$5,TF_Dom,0)))&gt;0,AND(IF(P$9="",0,MAX(0,ROUND((P$12-SUMIFS(TF_Timer,TF_Nokkel,$A44&amp;"|"&amp;P$5))*2,0)/2))&gt;0,INDEX(TF_Akt,MATCH($A44&amp;"|"&amp;P$5,TF_Dom,0))&lt;&gt;"LMS")),"+",""),"?"))))</f>
        <v/>
      </c>
      <c r="Q44" s="13">
        <f>IF(OR($A44="",Q$5=""),"",IF(OR(AND(INDEX(TekFra,27)&gt;0,Q$5&lt;INDEX(TekFra,27)),AND(INDEX(TekTil,27)&gt;0,Q$5&gt;INDEX(TekTil,27))),"",IF(COUNTIFS(TF_Nokkel,$A44&amp;"|"&amp;Q$5)=0,IF(Q$9&lt;&gt;"","LMS",""),IFERROR(IF(SUMIFS(TF_Timer,TF_Nokkel,$A44&amp;"|"&amp;Q$5,TF_Akt,"LMS")+IF(Q$9="",0,MAX(0,ROUND((Q$12-SUMIFS(TF_Timer,TF_Nokkel,$A44&amp;"|"&amp;Q$5))*2,0)/2))&gt;INDEX(TF_AktSum,MATCH($A44&amp;"|"&amp;Q$5,TF_Dom,0)),"LMS",INDEX(AktKode,MATCH(INDEX(TF_Akt,MATCH($A44&amp;"|"&amp;Q$5,TF_Dom,0)),Aktiviteter,0)))&amp;IF(OR(COUNTIFS(TF_Nokkel,$A44&amp;"|"&amp;Q$5,TF_Akt,"&lt;&gt;"&amp;INDEX(TF_Akt,MATCH($A44&amp;"|"&amp;Q$5,TF_Dom,0)))&gt;0,AND(IF(Q$9="",0,MAX(0,ROUND((Q$12-SUMIFS(TF_Timer,TF_Nokkel,$A44&amp;"|"&amp;Q$5))*2,0)/2))&gt;0,INDEX(TF_Akt,MATCH($A44&amp;"|"&amp;Q$5,TF_Dom,0))&lt;&gt;"LMS")),"+",""),"?"))))</f>
        <v/>
      </c>
      <c r="R44" s="13">
        <f>IF(OR($A44="",R$5=""),"",IF(OR(AND(INDEX(TekFra,27)&gt;0,R$5&lt;INDEX(TekFra,27)),AND(INDEX(TekTil,27)&gt;0,R$5&gt;INDEX(TekTil,27))),"",IF(COUNTIFS(TF_Nokkel,$A44&amp;"|"&amp;R$5)=0,IF(R$9&lt;&gt;"","LMS",""),IFERROR(IF(SUMIFS(TF_Timer,TF_Nokkel,$A44&amp;"|"&amp;R$5,TF_Akt,"LMS")+IF(R$9="",0,MAX(0,ROUND((R$12-SUMIFS(TF_Timer,TF_Nokkel,$A44&amp;"|"&amp;R$5))*2,0)/2))&gt;INDEX(TF_AktSum,MATCH($A44&amp;"|"&amp;R$5,TF_Dom,0)),"LMS",INDEX(AktKode,MATCH(INDEX(TF_Akt,MATCH($A44&amp;"|"&amp;R$5,TF_Dom,0)),Aktiviteter,0)))&amp;IF(OR(COUNTIFS(TF_Nokkel,$A44&amp;"|"&amp;R$5,TF_Akt,"&lt;&gt;"&amp;INDEX(TF_Akt,MATCH($A44&amp;"|"&amp;R$5,TF_Dom,0)))&gt;0,AND(IF(R$9="",0,MAX(0,ROUND((R$12-SUMIFS(TF_Timer,TF_Nokkel,$A44&amp;"|"&amp;R$5))*2,0)/2))&gt;0,INDEX(TF_Akt,MATCH($A44&amp;"|"&amp;R$5,TF_Dom,0))&lt;&gt;"LMS")),"+",""),"?"))))</f>
        <v/>
      </c>
      <c r="S44" s="13">
        <f>IF(OR($A44="",S$5=""),"",IF(OR(AND(INDEX(TekFra,27)&gt;0,S$5&lt;INDEX(TekFra,27)),AND(INDEX(TekTil,27)&gt;0,S$5&gt;INDEX(TekTil,27))),"",IF(COUNTIFS(TF_Nokkel,$A44&amp;"|"&amp;S$5)=0,IF(S$9&lt;&gt;"","LMS",""),IFERROR(IF(SUMIFS(TF_Timer,TF_Nokkel,$A44&amp;"|"&amp;S$5,TF_Akt,"LMS")+IF(S$9="",0,MAX(0,ROUND((S$12-SUMIFS(TF_Timer,TF_Nokkel,$A44&amp;"|"&amp;S$5))*2,0)/2))&gt;INDEX(TF_AktSum,MATCH($A44&amp;"|"&amp;S$5,TF_Dom,0)),"LMS",INDEX(AktKode,MATCH(INDEX(TF_Akt,MATCH($A44&amp;"|"&amp;S$5,TF_Dom,0)),Aktiviteter,0)))&amp;IF(OR(COUNTIFS(TF_Nokkel,$A44&amp;"|"&amp;S$5,TF_Akt,"&lt;&gt;"&amp;INDEX(TF_Akt,MATCH($A44&amp;"|"&amp;S$5,TF_Dom,0)))&gt;0,AND(IF(S$9="",0,MAX(0,ROUND((S$12-SUMIFS(TF_Timer,TF_Nokkel,$A44&amp;"|"&amp;S$5))*2,0)/2))&gt;0,INDEX(TF_Akt,MATCH($A44&amp;"|"&amp;S$5,TF_Dom,0))&lt;&gt;"LMS")),"+",""),"?"))))</f>
        <v/>
      </c>
      <c r="T44" s="13">
        <f>IF(OR($A44="",T$5=""),"",IF(OR(AND(INDEX(TekFra,27)&gt;0,T$5&lt;INDEX(TekFra,27)),AND(INDEX(TekTil,27)&gt;0,T$5&gt;INDEX(TekTil,27))),"",IF(COUNTIFS(TF_Nokkel,$A44&amp;"|"&amp;T$5)=0,IF(T$9&lt;&gt;"","LMS",""),IFERROR(IF(SUMIFS(TF_Timer,TF_Nokkel,$A44&amp;"|"&amp;T$5,TF_Akt,"LMS")+IF(T$9="",0,MAX(0,ROUND((T$12-SUMIFS(TF_Timer,TF_Nokkel,$A44&amp;"|"&amp;T$5))*2,0)/2))&gt;INDEX(TF_AktSum,MATCH($A44&amp;"|"&amp;T$5,TF_Dom,0)),"LMS",INDEX(AktKode,MATCH(INDEX(TF_Akt,MATCH($A44&amp;"|"&amp;T$5,TF_Dom,0)),Aktiviteter,0)))&amp;IF(OR(COUNTIFS(TF_Nokkel,$A44&amp;"|"&amp;T$5,TF_Akt,"&lt;&gt;"&amp;INDEX(TF_Akt,MATCH($A44&amp;"|"&amp;T$5,TF_Dom,0)))&gt;0,AND(IF(T$9="",0,MAX(0,ROUND((T$12-SUMIFS(TF_Timer,TF_Nokkel,$A44&amp;"|"&amp;T$5))*2,0)/2))&gt;0,INDEX(TF_Akt,MATCH($A44&amp;"|"&amp;T$5,TF_Dom,0))&lt;&gt;"LMS")),"+",""),"?"))))</f>
        <v/>
      </c>
      <c r="U44" s="13">
        <f>IF(OR($A44="",U$5=""),"",IF(OR(AND(INDEX(TekFra,27)&gt;0,U$5&lt;INDEX(TekFra,27)),AND(INDEX(TekTil,27)&gt;0,U$5&gt;INDEX(TekTil,27))),"",IF(COUNTIFS(TF_Nokkel,$A44&amp;"|"&amp;U$5)=0,IF(U$9&lt;&gt;"","LMS",""),IFERROR(IF(SUMIFS(TF_Timer,TF_Nokkel,$A44&amp;"|"&amp;U$5,TF_Akt,"LMS")+IF(U$9="",0,MAX(0,ROUND((U$12-SUMIFS(TF_Timer,TF_Nokkel,$A44&amp;"|"&amp;U$5))*2,0)/2))&gt;INDEX(TF_AktSum,MATCH($A44&amp;"|"&amp;U$5,TF_Dom,0)),"LMS",INDEX(AktKode,MATCH(INDEX(TF_Akt,MATCH($A44&amp;"|"&amp;U$5,TF_Dom,0)),Aktiviteter,0)))&amp;IF(OR(COUNTIFS(TF_Nokkel,$A44&amp;"|"&amp;U$5,TF_Akt,"&lt;&gt;"&amp;INDEX(TF_Akt,MATCH($A44&amp;"|"&amp;U$5,TF_Dom,0)))&gt;0,AND(IF(U$9="",0,MAX(0,ROUND((U$12-SUMIFS(TF_Timer,TF_Nokkel,$A44&amp;"|"&amp;U$5))*2,0)/2))&gt;0,INDEX(TF_Akt,MATCH($A44&amp;"|"&amp;U$5,TF_Dom,0))&lt;&gt;"LMS")),"+",""),"?"))))</f>
        <v/>
      </c>
      <c r="V44" s="13">
        <f>IF(OR($A44="",V$5=""),"",IF(OR(AND(INDEX(TekFra,27)&gt;0,V$5&lt;INDEX(TekFra,27)),AND(INDEX(TekTil,27)&gt;0,V$5&gt;INDEX(TekTil,27))),"",IF(COUNTIFS(TF_Nokkel,$A44&amp;"|"&amp;V$5)=0,IF(V$9&lt;&gt;"","LMS",""),IFERROR(IF(SUMIFS(TF_Timer,TF_Nokkel,$A44&amp;"|"&amp;V$5,TF_Akt,"LMS")+IF(V$9="",0,MAX(0,ROUND((V$12-SUMIFS(TF_Timer,TF_Nokkel,$A44&amp;"|"&amp;V$5))*2,0)/2))&gt;INDEX(TF_AktSum,MATCH($A44&amp;"|"&amp;V$5,TF_Dom,0)),"LMS",INDEX(AktKode,MATCH(INDEX(TF_Akt,MATCH($A44&amp;"|"&amp;V$5,TF_Dom,0)),Aktiviteter,0)))&amp;IF(OR(COUNTIFS(TF_Nokkel,$A44&amp;"|"&amp;V$5,TF_Akt,"&lt;&gt;"&amp;INDEX(TF_Akt,MATCH($A44&amp;"|"&amp;V$5,TF_Dom,0)))&gt;0,AND(IF(V$9="",0,MAX(0,ROUND((V$12-SUMIFS(TF_Timer,TF_Nokkel,$A44&amp;"|"&amp;V$5))*2,0)/2))&gt;0,INDEX(TF_Akt,MATCH($A44&amp;"|"&amp;V$5,TF_Dom,0))&lt;&gt;"LMS")),"+",""),"?"))))</f>
        <v/>
      </c>
      <c r="W44" s="13">
        <f>IF(OR($A44="",W$5=""),"",IF(OR(AND(INDEX(TekFra,27)&gt;0,W$5&lt;INDEX(TekFra,27)),AND(INDEX(TekTil,27)&gt;0,W$5&gt;INDEX(TekTil,27))),"",IF(COUNTIFS(TF_Nokkel,$A44&amp;"|"&amp;W$5)=0,IF(W$9&lt;&gt;"","LMS",""),IFERROR(IF(SUMIFS(TF_Timer,TF_Nokkel,$A44&amp;"|"&amp;W$5,TF_Akt,"LMS")+IF(W$9="",0,MAX(0,ROUND((W$12-SUMIFS(TF_Timer,TF_Nokkel,$A44&amp;"|"&amp;W$5))*2,0)/2))&gt;INDEX(TF_AktSum,MATCH($A44&amp;"|"&amp;W$5,TF_Dom,0)),"LMS",INDEX(AktKode,MATCH(INDEX(TF_Akt,MATCH($A44&amp;"|"&amp;W$5,TF_Dom,0)),Aktiviteter,0)))&amp;IF(OR(COUNTIFS(TF_Nokkel,$A44&amp;"|"&amp;W$5,TF_Akt,"&lt;&gt;"&amp;INDEX(TF_Akt,MATCH($A44&amp;"|"&amp;W$5,TF_Dom,0)))&gt;0,AND(IF(W$9="",0,MAX(0,ROUND((W$12-SUMIFS(TF_Timer,TF_Nokkel,$A44&amp;"|"&amp;W$5))*2,0)/2))&gt;0,INDEX(TF_Akt,MATCH($A44&amp;"|"&amp;W$5,TF_Dom,0))&lt;&gt;"LMS")),"+",""),"?"))))</f>
        <v/>
      </c>
      <c r="X44" s="13">
        <f>IF(OR($A44="",X$5=""),"",IF(OR(AND(INDEX(TekFra,27)&gt;0,X$5&lt;INDEX(TekFra,27)),AND(INDEX(TekTil,27)&gt;0,X$5&gt;INDEX(TekTil,27))),"",IF(COUNTIFS(TF_Nokkel,$A44&amp;"|"&amp;X$5)=0,IF(X$9&lt;&gt;"","LMS",""),IFERROR(IF(SUMIFS(TF_Timer,TF_Nokkel,$A44&amp;"|"&amp;X$5,TF_Akt,"LMS")+IF(X$9="",0,MAX(0,ROUND((X$12-SUMIFS(TF_Timer,TF_Nokkel,$A44&amp;"|"&amp;X$5))*2,0)/2))&gt;INDEX(TF_AktSum,MATCH($A44&amp;"|"&amp;X$5,TF_Dom,0)),"LMS",INDEX(AktKode,MATCH(INDEX(TF_Akt,MATCH($A44&amp;"|"&amp;X$5,TF_Dom,0)),Aktiviteter,0)))&amp;IF(OR(COUNTIFS(TF_Nokkel,$A44&amp;"|"&amp;X$5,TF_Akt,"&lt;&gt;"&amp;INDEX(TF_Akt,MATCH($A44&amp;"|"&amp;X$5,TF_Dom,0)))&gt;0,AND(IF(X$9="",0,MAX(0,ROUND((X$12-SUMIFS(TF_Timer,TF_Nokkel,$A44&amp;"|"&amp;X$5))*2,0)/2))&gt;0,INDEX(TF_Akt,MATCH($A44&amp;"|"&amp;X$5,TF_Dom,0))&lt;&gt;"LMS")),"+",""),"?"))))</f>
        <v/>
      </c>
      <c r="Y44" s="13">
        <f>IF(OR($A44="",Y$5=""),"",IF(OR(AND(INDEX(TekFra,27)&gt;0,Y$5&lt;INDEX(TekFra,27)),AND(INDEX(TekTil,27)&gt;0,Y$5&gt;INDEX(TekTil,27))),"",IF(COUNTIFS(TF_Nokkel,$A44&amp;"|"&amp;Y$5)=0,IF(Y$9&lt;&gt;"","LMS",""),IFERROR(IF(SUMIFS(TF_Timer,TF_Nokkel,$A44&amp;"|"&amp;Y$5,TF_Akt,"LMS")+IF(Y$9="",0,MAX(0,ROUND((Y$12-SUMIFS(TF_Timer,TF_Nokkel,$A44&amp;"|"&amp;Y$5))*2,0)/2))&gt;INDEX(TF_AktSum,MATCH($A44&amp;"|"&amp;Y$5,TF_Dom,0)),"LMS",INDEX(AktKode,MATCH(INDEX(TF_Akt,MATCH($A44&amp;"|"&amp;Y$5,TF_Dom,0)),Aktiviteter,0)))&amp;IF(OR(COUNTIFS(TF_Nokkel,$A44&amp;"|"&amp;Y$5,TF_Akt,"&lt;&gt;"&amp;INDEX(TF_Akt,MATCH($A44&amp;"|"&amp;Y$5,TF_Dom,0)))&gt;0,AND(IF(Y$9="",0,MAX(0,ROUND((Y$12-SUMIFS(TF_Timer,TF_Nokkel,$A44&amp;"|"&amp;Y$5))*2,0)/2))&gt;0,INDEX(TF_Akt,MATCH($A44&amp;"|"&amp;Y$5,TF_Dom,0))&lt;&gt;"LMS")),"+",""),"?"))))</f>
        <v/>
      </c>
      <c r="Z44" s="13">
        <f>IF(OR($A44="",Z$5=""),"",IF(OR(AND(INDEX(TekFra,27)&gt;0,Z$5&lt;INDEX(TekFra,27)),AND(INDEX(TekTil,27)&gt;0,Z$5&gt;INDEX(TekTil,27))),"",IF(COUNTIFS(TF_Nokkel,$A44&amp;"|"&amp;Z$5)=0,IF(Z$9&lt;&gt;"","LMS",""),IFERROR(IF(SUMIFS(TF_Timer,TF_Nokkel,$A44&amp;"|"&amp;Z$5,TF_Akt,"LMS")+IF(Z$9="",0,MAX(0,ROUND((Z$12-SUMIFS(TF_Timer,TF_Nokkel,$A44&amp;"|"&amp;Z$5))*2,0)/2))&gt;INDEX(TF_AktSum,MATCH($A44&amp;"|"&amp;Z$5,TF_Dom,0)),"LMS",INDEX(AktKode,MATCH(INDEX(TF_Akt,MATCH($A44&amp;"|"&amp;Z$5,TF_Dom,0)),Aktiviteter,0)))&amp;IF(OR(COUNTIFS(TF_Nokkel,$A44&amp;"|"&amp;Z$5,TF_Akt,"&lt;&gt;"&amp;INDEX(TF_Akt,MATCH($A44&amp;"|"&amp;Z$5,TF_Dom,0)))&gt;0,AND(IF(Z$9="",0,MAX(0,ROUND((Z$12-SUMIFS(TF_Timer,TF_Nokkel,$A44&amp;"|"&amp;Z$5))*2,0)/2))&gt;0,INDEX(TF_Akt,MATCH($A44&amp;"|"&amp;Z$5,TF_Dom,0))&lt;&gt;"LMS")),"+",""),"?"))))</f>
        <v/>
      </c>
      <c r="AA44" s="13">
        <f>IF(OR($A44="",AA$5=""),"",IF(OR(AND(INDEX(TekFra,27)&gt;0,AA$5&lt;INDEX(TekFra,27)),AND(INDEX(TekTil,27)&gt;0,AA$5&gt;INDEX(TekTil,27))),"",IF(COUNTIFS(TF_Nokkel,$A44&amp;"|"&amp;AA$5)=0,IF(AA$9&lt;&gt;"","LMS",""),IFERROR(IF(SUMIFS(TF_Timer,TF_Nokkel,$A44&amp;"|"&amp;AA$5,TF_Akt,"LMS")+IF(AA$9="",0,MAX(0,ROUND((AA$12-SUMIFS(TF_Timer,TF_Nokkel,$A44&amp;"|"&amp;AA$5))*2,0)/2))&gt;INDEX(TF_AktSum,MATCH($A44&amp;"|"&amp;AA$5,TF_Dom,0)),"LMS",INDEX(AktKode,MATCH(INDEX(TF_Akt,MATCH($A44&amp;"|"&amp;AA$5,TF_Dom,0)),Aktiviteter,0)))&amp;IF(OR(COUNTIFS(TF_Nokkel,$A44&amp;"|"&amp;AA$5,TF_Akt,"&lt;&gt;"&amp;INDEX(TF_Akt,MATCH($A44&amp;"|"&amp;AA$5,TF_Dom,0)))&gt;0,AND(IF(AA$9="",0,MAX(0,ROUND((AA$12-SUMIFS(TF_Timer,TF_Nokkel,$A44&amp;"|"&amp;AA$5))*2,0)/2))&gt;0,INDEX(TF_Akt,MATCH($A44&amp;"|"&amp;AA$5,TF_Dom,0))&lt;&gt;"LMS")),"+",""),"?"))))</f>
        <v/>
      </c>
      <c r="AB44" s="13">
        <f>IF(OR($A44="",AB$5=""),"",IF(OR(AND(INDEX(TekFra,27)&gt;0,AB$5&lt;INDEX(TekFra,27)),AND(INDEX(TekTil,27)&gt;0,AB$5&gt;INDEX(TekTil,27))),"",IF(COUNTIFS(TF_Nokkel,$A44&amp;"|"&amp;AB$5)=0,IF(AB$9&lt;&gt;"","LMS",""),IFERROR(IF(SUMIFS(TF_Timer,TF_Nokkel,$A44&amp;"|"&amp;AB$5,TF_Akt,"LMS")+IF(AB$9="",0,MAX(0,ROUND((AB$12-SUMIFS(TF_Timer,TF_Nokkel,$A44&amp;"|"&amp;AB$5))*2,0)/2))&gt;INDEX(TF_AktSum,MATCH($A44&amp;"|"&amp;AB$5,TF_Dom,0)),"LMS",INDEX(AktKode,MATCH(INDEX(TF_Akt,MATCH($A44&amp;"|"&amp;AB$5,TF_Dom,0)),Aktiviteter,0)))&amp;IF(OR(COUNTIFS(TF_Nokkel,$A44&amp;"|"&amp;AB$5,TF_Akt,"&lt;&gt;"&amp;INDEX(TF_Akt,MATCH($A44&amp;"|"&amp;AB$5,TF_Dom,0)))&gt;0,AND(IF(AB$9="",0,MAX(0,ROUND((AB$12-SUMIFS(TF_Timer,TF_Nokkel,$A44&amp;"|"&amp;AB$5))*2,0)/2))&gt;0,INDEX(TF_Akt,MATCH($A44&amp;"|"&amp;AB$5,TF_Dom,0))&lt;&gt;"LMS")),"+",""),"?"))))</f>
        <v/>
      </c>
      <c r="AC44" s="13">
        <f>IF(OR($A44="",AC$5=""),"",IF(OR(AND(INDEX(TekFra,27)&gt;0,AC$5&lt;INDEX(TekFra,27)),AND(INDEX(TekTil,27)&gt;0,AC$5&gt;INDEX(TekTil,27))),"",IF(COUNTIFS(TF_Nokkel,$A44&amp;"|"&amp;AC$5)=0,IF(AC$9&lt;&gt;"","LMS",""),IFERROR(IF(SUMIFS(TF_Timer,TF_Nokkel,$A44&amp;"|"&amp;AC$5,TF_Akt,"LMS")+IF(AC$9="",0,MAX(0,ROUND((AC$12-SUMIFS(TF_Timer,TF_Nokkel,$A44&amp;"|"&amp;AC$5))*2,0)/2))&gt;INDEX(TF_AktSum,MATCH($A44&amp;"|"&amp;AC$5,TF_Dom,0)),"LMS",INDEX(AktKode,MATCH(INDEX(TF_Akt,MATCH($A44&amp;"|"&amp;AC$5,TF_Dom,0)),Aktiviteter,0)))&amp;IF(OR(COUNTIFS(TF_Nokkel,$A44&amp;"|"&amp;AC$5,TF_Akt,"&lt;&gt;"&amp;INDEX(TF_Akt,MATCH($A44&amp;"|"&amp;AC$5,TF_Dom,0)))&gt;0,AND(IF(AC$9="",0,MAX(0,ROUND((AC$12-SUMIFS(TF_Timer,TF_Nokkel,$A44&amp;"|"&amp;AC$5))*2,0)/2))&gt;0,INDEX(TF_Akt,MATCH($A44&amp;"|"&amp;AC$5,TF_Dom,0))&lt;&gt;"LMS")),"+",""),"?"))))</f>
        <v/>
      </c>
      <c r="AD44" s="13">
        <f>IF(OR($A44="",AD$5=""),"",IF(OR(AND(INDEX(TekFra,27)&gt;0,AD$5&lt;INDEX(TekFra,27)),AND(INDEX(TekTil,27)&gt;0,AD$5&gt;INDEX(TekTil,27))),"",IF(COUNTIFS(TF_Nokkel,$A44&amp;"|"&amp;AD$5)=0,IF(AD$9&lt;&gt;"","LMS",""),IFERROR(IF(SUMIFS(TF_Timer,TF_Nokkel,$A44&amp;"|"&amp;AD$5,TF_Akt,"LMS")+IF(AD$9="",0,MAX(0,ROUND((AD$12-SUMIFS(TF_Timer,TF_Nokkel,$A44&amp;"|"&amp;AD$5))*2,0)/2))&gt;INDEX(TF_AktSum,MATCH($A44&amp;"|"&amp;AD$5,TF_Dom,0)),"LMS",INDEX(AktKode,MATCH(INDEX(TF_Akt,MATCH($A44&amp;"|"&amp;AD$5,TF_Dom,0)),Aktiviteter,0)))&amp;IF(OR(COUNTIFS(TF_Nokkel,$A44&amp;"|"&amp;AD$5,TF_Akt,"&lt;&gt;"&amp;INDEX(TF_Akt,MATCH($A44&amp;"|"&amp;AD$5,TF_Dom,0)))&gt;0,AND(IF(AD$9="",0,MAX(0,ROUND((AD$12-SUMIFS(TF_Timer,TF_Nokkel,$A44&amp;"|"&amp;AD$5))*2,0)/2))&gt;0,INDEX(TF_Akt,MATCH($A44&amp;"|"&amp;AD$5,TF_Dom,0))&lt;&gt;"LMS")),"+",""),"?"))))</f>
        <v/>
      </c>
      <c r="AE44" s="13">
        <f>IF(OR($A44="",AE$5=""),"",IF(OR(AND(INDEX(TekFra,27)&gt;0,AE$5&lt;INDEX(TekFra,27)),AND(INDEX(TekTil,27)&gt;0,AE$5&gt;INDEX(TekTil,27))),"",IF(COUNTIFS(TF_Nokkel,$A44&amp;"|"&amp;AE$5)=0,IF(AE$9&lt;&gt;"","LMS",""),IFERROR(IF(SUMIFS(TF_Timer,TF_Nokkel,$A44&amp;"|"&amp;AE$5,TF_Akt,"LMS")+IF(AE$9="",0,MAX(0,ROUND((AE$12-SUMIFS(TF_Timer,TF_Nokkel,$A44&amp;"|"&amp;AE$5))*2,0)/2))&gt;INDEX(TF_AktSum,MATCH($A44&amp;"|"&amp;AE$5,TF_Dom,0)),"LMS",INDEX(AktKode,MATCH(INDEX(TF_Akt,MATCH($A44&amp;"|"&amp;AE$5,TF_Dom,0)),Aktiviteter,0)))&amp;IF(OR(COUNTIFS(TF_Nokkel,$A44&amp;"|"&amp;AE$5,TF_Akt,"&lt;&gt;"&amp;INDEX(TF_Akt,MATCH($A44&amp;"|"&amp;AE$5,TF_Dom,0)))&gt;0,AND(IF(AE$9="",0,MAX(0,ROUND((AE$12-SUMIFS(TF_Timer,TF_Nokkel,$A44&amp;"|"&amp;AE$5))*2,0)/2))&gt;0,INDEX(TF_Akt,MATCH($A44&amp;"|"&amp;AE$5,TF_Dom,0))&lt;&gt;"LMS")),"+",""),"?"))))</f>
        <v/>
      </c>
      <c r="AF44" s="13">
        <f>IF(OR($A44="",AF$5=""),"",IF(OR(AND(INDEX(TekFra,27)&gt;0,AF$5&lt;INDEX(TekFra,27)),AND(INDEX(TekTil,27)&gt;0,AF$5&gt;INDEX(TekTil,27))),"",IF(COUNTIFS(TF_Nokkel,$A44&amp;"|"&amp;AF$5)=0,IF(AF$9&lt;&gt;"","LMS",""),IFERROR(IF(SUMIFS(TF_Timer,TF_Nokkel,$A44&amp;"|"&amp;AF$5,TF_Akt,"LMS")+IF(AF$9="",0,MAX(0,ROUND((AF$12-SUMIFS(TF_Timer,TF_Nokkel,$A44&amp;"|"&amp;AF$5))*2,0)/2))&gt;INDEX(TF_AktSum,MATCH($A44&amp;"|"&amp;AF$5,TF_Dom,0)),"LMS",INDEX(AktKode,MATCH(INDEX(TF_Akt,MATCH($A44&amp;"|"&amp;AF$5,TF_Dom,0)),Aktiviteter,0)))&amp;IF(OR(COUNTIFS(TF_Nokkel,$A44&amp;"|"&amp;AF$5,TF_Akt,"&lt;&gt;"&amp;INDEX(TF_Akt,MATCH($A44&amp;"|"&amp;AF$5,TF_Dom,0)))&gt;0,AND(IF(AF$9="",0,MAX(0,ROUND((AF$12-SUMIFS(TF_Timer,TF_Nokkel,$A44&amp;"|"&amp;AF$5))*2,0)/2))&gt;0,INDEX(TF_Akt,MATCH($A44&amp;"|"&amp;AF$5,TF_Dom,0))&lt;&gt;"LMS")),"+",""),"?"))))</f>
        <v/>
      </c>
      <c r="AG44" s="13">
        <f>IF(OR($A44="",AG$5=""),"",IF(OR(AND(INDEX(TekFra,27)&gt;0,AG$5&lt;INDEX(TekFra,27)),AND(INDEX(TekTil,27)&gt;0,AG$5&gt;INDEX(TekTil,27))),"",IF(COUNTIFS(TF_Nokkel,$A44&amp;"|"&amp;AG$5)=0,IF(AG$9&lt;&gt;"","LMS",""),IFERROR(IF(SUMIFS(TF_Timer,TF_Nokkel,$A44&amp;"|"&amp;AG$5,TF_Akt,"LMS")+IF(AG$9="",0,MAX(0,ROUND((AG$12-SUMIFS(TF_Timer,TF_Nokkel,$A44&amp;"|"&amp;AG$5))*2,0)/2))&gt;INDEX(TF_AktSum,MATCH($A44&amp;"|"&amp;AG$5,TF_Dom,0)),"LMS",INDEX(AktKode,MATCH(INDEX(TF_Akt,MATCH($A44&amp;"|"&amp;AG$5,TF_Dom,0)),Aktiviteter,0)))&amp;IF(OR(COUNTIFS(TF_Nokkel,$A44&amp;"|"&amp;AG$5,TF_Akt,"&lt;&gt;"&amp;INDEX(TF_Akt,MATCH($A44&amp;"|"&amp;AG$5,TF_Dom,0)))&gt;0,AND(IF(AG$9="",0,MAX(0,ROUND((AG$12-SUMIFS(TF_Timer,TF_Nokkel,$A44&amp;"|"&amp;AG$5))*2,0)/2))&gt;0,INDEX(TF_Akt,MATCH($A44&amp;"|"&amp;AG$5,TF_Dom,0))&lt;&gt;"LMS")),"+",""),"?"))))</f>
        <v/>
      </c>
      <c r="AH44" s="2" t="n"/>
      <c r="AI44" s="2" t="n"/>
      <c r="AJ44" s="2" t="n"/>
    </row>
    <row r="45">
      <c r="A45" s="2">
        <f>INDEX(Teknikere,28)&amp;""</f>
        <v/>
      </c>
      <c r="B45" s="12">
        <f>IF(INDEX(TekFra,28)&gt;0,"ekstra","")</f>
        <v/>
      </c>
      <c r="C45" s="13">
        <f>IF(OR($A45="",C$5=""),"",IF(OR(AND(INDEX(TekFra,28)&gt;0,C$5&lt;INDEX(TekFra,28)),AND(INDEX(TekTil,28)&gt;0,C$5&gt;INDEX(TekTil,28))),"",IF(COUNTIFS(TF_Nokkel,$A45&amp;"|"&amp;C$5)=0,IF(C$9&lt;&gt;"","LMS",""),IFERROR(IF(SUMIFS(TF_Timer,TF_Nokkel,$A45&amp;"|"&amp;C$5,TF_Akt,"LMS")+IF(C$9="",0,MAX(0,ROUND((C$12-SUMIFS(TF_Timer,TF_Nokkel,$A45&amp;"|"&amp;C$5))*2,0)/2))&gt;INDEX(TF_AktSum,MATCH($A45&amp;"|"&amp;C$5,TF_Dom,0)),"LMS",INDEX(AktKode,MATCH(INDEX(TF_Akt,MATCH($A45&amp;"|"&amp;C$5,TF_Dom,0)),Aktiviteter,0)))&amp;IF(OR(COUNTIFS(TF_Nokkel,$A45&amp;"|"&amp;C$5,TF_Akt,"&lt;&gt;"&amp;INDEX(TF_Akt,MATCH($A45&amp;"|"&amp;C$5,TF_Dom,0)))&gt;0,AND(IF(C$9="",0,MAX(0,ROUND((C$12-SUMIFS(TF_Timer,TF_Nokkel,$A45&amp;"|"&amp;C$5))*2,0)/2))&gt;0,INDEX(TF_Akt,MATCH($A45&amp;"|"&amp;C$5,TF_Dom,0))&lt;&gt;"LMS")),"+",""),"?"))))</f>
        <v/>
      </c>
      <c r="D45" s="13">
        <f>IF(OR($A45="",D$5=""),"",IF(OR(AND(INDEX(TekFra,28)&gt;0,D$5&lt;INDEX(TekFra,28)),AND(INDEX(TekTil,28)&gt;0,D$5&gt;INDEX(TekTil,28))),"",IF(COUNTIFS(TF_Nokkel,$A45&amp;"|"&amp;D$5)=0,IF(D$9&lt;&gt;"","LMS",""),IFERROR(IF(SUMIFS(TF_Timer,TF_Nokkel,$A45&amp;"|"&amp;D$5,TF_Akt,"LMS")+IF(D$9="",0,MAX(0,ROUND((D$12-SUMIFS(TF_Timer,TF_Nokkel,$A45&amp;"|"&amp;D$5))*2,0)/2))&gt;INDEX(TF_AktSum,MATCH($A45&amp;"|"&amp;D$5,TF_Dom,0)),"LMS",INDEX(AktKode,MATCH(INDEX(TF_Akt,MATCH($A45&amp;"|"&amp;D$5,TF_Dom,0)),Aktiviteter,0)))&amp;IF(OR(COUNTIFS(TF_Nokkel,$A45&amp;"|"&amp;D$5,TF_Akt,"&lt;&gt;"&amp;INDEX(TF_Akt,MATCH($A45&amp;"|"&amp;D$5,TF_Dom,0)))&gt;0,AND(IF(D$9="",0,MAX(0,ROUND((D$12-SUMIFS(TF_Timer,TF_Nokkel,$A45&amp;"|"&amp;D$5))*2,0)/2))&gt;0,INDEX(TF_Akt,MATCH($A45&amp;"|"&amp;D$5,TF_Dom,0))&lt;&gt;"LMS")),"+",""),"?"))))</f>
        <v/>
      </c>
      <c r="E45" s="13">
        <f>IF(OR($A45="",E$5=""),"",IF(OR(AND(INDEX(TekFra,28)&gt;0,E$5&lt;INDEX(TekFra,28)),AND(INDEX(TekTil,28)&gt;0,E$5&gt;INDEX(TekTil,28))),"",IF(COUNTIFS(TF_Nokkel,$A45&amp;"|"&amp;E$5)=0,IF(E$9&lt;&gt;"","LMS",""),IFERROR(IF(SUMIFS(TF_Timer,TF_Nokkel,$A45&amp;"|"&amp;E$5,TF_Akt,"LMS")+IF(E$9="",0,MAX(0,ROUND((E$12-SUMIFS(TF_Timer,TF_Nokkel,$A45&amp;"|"&amp;E$5))*2,0)/2))&gt;INDEX(TF_AktSum,MATCH($A45&amp;"|"&amp;E$5,TF_Dom,0)),"LMS",INDEX(AktKode,MATCH(INDEX(TF_Akt,MATCH($A45&amp;"|"&amp;E$5,TF_Dom,0)),Aktiviteter,0)))&amp;IF(OR(COUNTIFS(TF_Nokkel,$A45&amp;"|"&amp;E$5,TF_Akt,"&lt;&gt;"&amp;INDEX(TF_Akt,MATCH($A45&amp;"|"&amp;E$5,TF_Dom,0)))&gt;0,AND(IF(E$9="",0,MAX(0,ROUND((E$12-SUMIFS(TF_Timer,TF_Nokkel,$A45&amp;"|"&amp;E$5))*2,0)/2))&gt;0,INDEX(TF_Akt,MATCH($A45&amp;"|"&amp;E$5,TF_Dom,0))&lt;&gt;"LMS")),"+",""),"?"))))</f>
        <v/>
      </c>
      <c r="F45" s="13">
        <f>IF(OR($A45="",F$5=""),"",IF(OR(AND(INDEX(TekFra,28)&gt;0,F$5&lt;INDEX(TekFra,28)),AND(INDEX(TekTil,28)&gt;0,F$5&gt;INDEX(TekTil,28))),"",IF(COUNTIFS(TF_Nokkel,$A45&amp;"|"&amp;F$5)=0,IF(F$9&lt;&gt;"","LMS",""),IFERROR(IF(SUMIFS(TF_Timer,TF_Nokkel,$A45&amp;"|"&amp;F$5,TF_Akt,"LMS")+IF(F$9="",0,MAX(0,ROUND((F$12-SUMIFS(TF_Timer,TF_Nokkel,$A45&amp;"|"&amp;F$5))*2,0)/2))&gt;INDEX(TF_AktSum,MATCH($A45&amp;"|"&amp;F$5,TF_Dom,0)),"LMS",INDEX(AktKode,MATCH(INDEX(TF_Akt,MATCH($A45&amp;"|"&amp;F$5,TF_Dom,0)),Aktiviteter,0)))&amp;IF(OR(COUNTIFS(TF_Nokkel,$A45&amp;"|"&amp;F$5,TF_Akt,"&lt;&gt;"&amp;INDEX(TF_Akt,MATCH($A45&amp;"|"&amp;F$5,TF_Dom,0)))&gt;0,AND(IF(F$9="",0,MAX(0,ROUND((F$12-SUMIFS(TF_Timer,TF_Nokkel,$A45&amp;"|"&amp;F$5))*2,0)/2))&gt;0,INDEX(TF_Akt,MATCH($A45&amp;"|"&amp;F$5,TF_Dom,0))&lt;&gt;"LMS")),"+",""),"?"))))</f>
        <v/>
      </c>
      <c r="G45" s="13">
        <f>IF(OR($A45="",G$5=""),"",IF(OR(AND(INDEX(TekFra,28)&gt;0,G$5&lt;INDEX(TekFra,28)),AND(INDEX(TekTil,28)&gt;0,G$5&gt;INDEX(TekTil,28))),"",IF(COUNTIFS(TF_Nokkel,$A45&amp;"|"&amp;G$5)=0,IF(G$9&lt;&gt;"","LMS",""),IFERROR(IF(SUMIFS(TF_Timer,TF_Nokkel,$A45&amp;"|"&amp;G$5,TF_Akt,"LMS")+IF(G$9="",0,MAX(0,ROUND((G$12-SUMIFS(TF_Timer,TF_Nokkel,$A45&amp;"|"&amp;G$5))*2,0)/2))&gt;INDEX(TF_AktSum,MATCH($A45&amp;"|"&amp;G$5,TF_Dom,0)),"LMS",INDEX(AktKode,MATCH(INDEX(TF_Akt,MATCH($A45&amp;"|"&amp;G$5,TF_Dom,0)),Aktiviteter,0)))&amp;IF(OR(COUNTIFS(TF_Nokkel,$A45&amp;"|"&amp;G$5,TF_Akt,"&lt;&gt;"&amp;INDEX(TF_Akt,MATCH($A45&amp;"|"&amp;G$5,TF_Dom,0)))&gt;0,AND(IF(G$9="",0,MAX(0,ROUND((G$12-SUMIFS(TF_Timer,TF_Nokkel,$A45&amp;"|"&amp;G$5))*2,0)/2))&gt;0,INDEX(TF_Akt,MATCH($A45&amp;"|"&amp;G$5,TF_Dom,0))&lt;&gt;"LMS")),"+",""),"?"))))</f>
        <v/>
      </c>
      <c r="H45" s="13">
        <f>IF(OR($A45="",H$5=""),"",IF(OR(AND(INDEX(TekFra,28)&gt;0,H$5&lt;INDEX(TekFra,28)),AND(INDEX(TekTil,28)&gt;0,H$5&gt;INDEX(TekTil,28))),"",IF(COUNTIFS(TF_Nokkel,$A45&amp;"|"&amp;H$5)=0,IF(H$9&lt;&gt;"","LMS",""),IFERROR(IF(SUMIFS(TF_Timer,TF_Nokkel,$A45&amp;"|"&amp;H$5,TF_Akt,"LMS")+IF(H$9="",0,MAX(0,ROUND((H$12-SUMIFS(TF_Timer,TF_Nokkel,$A45&amp;"|"&amp;H$5))*2,0)/2))&gt;INDEX(TF_AktSum,MATCH($A45&amp;"|"&amp;H$5,TF_Dom,0)),"LMS",INDEX(AktKode,MATCH(INDEX(TF_Akt,MATCH($A45&amp;"|"&amp;H$5,TF_Dom,0)),Aktiviteter,0)))&amp;IF(OR(COUNTIFS(TF_Nokkel,$A45&amp;"|"&amp;H$5,TF_Akt,"&lt;&gt;"&amp;INDEX(TF_Akt,MATCH($A45&amp;"|"&amp;H$5,TF_Dom,0)))&gt;0,AND(IF(H$9="",0,MAX(0,ROUND((H$12-SUMIFS(TF_Timer,TF_Nokkel,$A45&amp;"|"&amp;H$5))*2,0)/2))&gt;0,INDEX(TF_Akt,MATCH($A45&amp;"|"&amp;H$5,TF_Dom,0))&lt;&gt;"LMS")),"+",""),"?"))))</f>
        <v/>
      </c>
      <c r="I45" s="13">
        <f>IF(OR($A45="",I$5=""),"",IF(OR(AND(INDEX(TekFra,28)&gt;0,I$5&lt;INDEX(TekFra,28)),AND(INDEX(TekTil,28)&gt;0,I$5&gt;INDEX(TekTil,28))),"",IF(COUNTIFS(TF_Nokkel,$A45&amp;"|"&amp;I$5)=0,IF(I$9&lt;&gt;"","LMS",""),IFERROR(IF(SUMIFS(TF_Timer,TF_Nokkel,$A45&amp;"|"&amp;I$5,TF_Akt,"LMS")+IF(I$9="",0,MAX(0,ROUND((I$12-SUMIFS(TF_Timer,TF_Nokkel,$A45&amp;"|"&amp;I$5))*2,0)/2))&gt;INDEX(TF_AktSum,MATCH($A45&amp;"|"&amp;I$5,TF_Dom,0)),"LMS",INDEX(AktKode,MATCH(INDEX(TF_Akt,MATCH($A45&amp;"|"&amp;I$5,TF_Dom,0)),Aktiviteter,0)))&amp;IF(OR(COUNTIFS(TF_Nokkel,$A45&amp;"|"&amp;I$5,TF_Akt,"&lt;&gt;"&amp;INDEX(TF_Akt,MATCH($A45&amp;"|"&amp;I$5,TF_Dom,0)))&gt;0,AND(IF(I$9="",0,MAX(0,ROUND((I$12-SUMIFS(TF_Timer,TF_Nokkel,$A45&amp;"|"&amp;I$5))*2,0)/2))&gt;0,INDEX(TF_Akt,MATCH($A45&amp;"|"&amp;I$5,TF_Dom,0))&lt;&gt;"LMS")),"+",""),"?"))))</f>
        <v/>
      </c>
      <c r="J45" s="13">
        <f>IF(OR($A45="",J$5=""),"",IF(OR(AND(INDEX(TekFra,28)&gt;0,J$5&lt;INDEX(TekFra,28)),AND(INDEX(TekTil,28)&gt;0,J$5&gt;INDEX(TekTil,28))),"",IF(COUNTIFS(TF_Nokkel,$A45&amp;"|"&amp;J$5)=0,IF(J$9&lt;&gt;"","LMS",""),IFERROR(IF(SUMIFS(TF_Timer,TF_Nokkel,$A45&amp;"|"&amp;J$5,TF_Akt,"LMS")+IF(J$9="",0,MAX(0,ROUND((J$12-SUMIFS(TF_Timer,TF_Nokkel,$A45&amp;"|"&amp;J$5))*2,0)/2))&gt;INDEX(TF_AktSum,MATCH($A45&amp;"|"&amp;J$5,TF_Dom,0)),"LMS",INDEX(AktKode,MATCH(INDEX(TF_Akt,MATCH($A45&amp;"|"&amp;J$5,TF_Dom,0)),Aktiviteter,0)))&amp;IF(OR(COUNTIFS(TF_Nokkel,$A45&amp;"|"&amp;J$5,TF_Akt,"&lt;&gt;"&amp;INDEX(TF_Akt,MATCH($A45&amp;"|"&amp;J$5,TF_Dom,0)))&gt;0,AND(IF(J$9="",0,MAX(0,ROUND((J$12-SUMIFS(TF_Timer,TF_Nokkel,$A45&amp;"|"&amp;J$5))*2,0)/2))&gt;0,INDEX(TF_Akt,MATCH($A45&amp;"|"&amp;J$5,TF_Dom,0))&lt;&gt;"LMS")),"+",""),"?"))))</f>
        <v/>
      </c>
      <c r="K45" s="13">
        <f>IF(OR($A45="",K$5=""),"",IF(OR(AND(INDEX(TekFra,28)&gt;0,K$5&lt;INDEX(TekFra,28)),AND(INDEX(TekTil,28)&gt;0,K$5&gt;INDEX(TekTil,28))),"",IF(COUNTIFS(TF_Nokkel,$A45&amp;"|"&amp;K$5)=0,IF(K$9&lt;&gt;"","LMS",""),IFERROR(IF(SUMIFS(TF_Timer,TF_Nokkel,$A45&amp;"|"&amp;K$5,TF_Akt,"LMS")+IF(K$9="",0,MAX(0,ROUND((K$12-SUMIFS(TF_Timer,TF_Nokkel,$A45&amp;"|"&amp;K$5))*2,0)/2))&gt;INDEX(TF_AktSum,MATCH($A45&amp;"|"&amp;K$5,TF_Dom,0)),"LMS",INDEX(AktKode,MATCH(INDEX(TF_Akt,MATCH($A45&amp;"|"&amp;K$5,TF_Dom,0)),Aktiviteter,0)))&amp;IF(OR(COUNTIFS(TF_Nokkel,$A45&amp;"|"&amp;K$5,TF_Akt,"&lt;&gt;"&amp;INDEX(TF_Akt,MATCH($A45&amp;"|"&amp;K$5,TF_Dom,0)))&gt;0,AND(IF(K$9="",0,MAX(0,ROUND((K$12-SUMIFS(TF_Timer,TF_Nokkel,$A45&amp;"|"&amp;K$5))*2,0)/2))&gt;0,INDEX(TF_Akt,MATCH($A45&amp;"|"&amp;K$5,TF_Dom,0))&lt;&gt;"LMS")),"+",""),"?"))))</f>
        <v/>
      </c>
      <c r="L45" s="13">
        <f>IF(OR($A45="",L$5=""),"",IF(OR(AND(INDEX(TekFra,28)&gt;0,L$5&lt;INDEX(TekFra,28)),AND(INDEX(TekTil,28)&gt;0,L$5&gt;INDEX(TekTil,28))),"",IF(COUNTIFS(TF_Nokkel,$A45&amp;"|"&amp;L$5)=0,IF(L$9&lt;&gt;"","LMS",""),IFERROR(IF(SUMIFS(TF_Timer,TF_Nokkel,$A45&amp;"|"&amp;L$5,TF_Akt,"LMS")+IF(L$9="",0,MAX(0,ROUND((L$12-SUMIFS(TF_Timer,TF_Nokkel,$A45&amp;"|"&amp;L$5))*2,0)/2))&gt;INDEX(TF_AktSum,MATCH($A45&amp;"|"&amp;L$5,TF_Dom,0)),"LMS",INDEX(AktKode,MATCH(INDEX(TF_Akt,MATCH($A45&amp;"|"&amp;L$5,TF_Dom,0)),Aktiviteter,0)))&amp;IF(OR(COUNTIFS(TF_Nokkel,$A45&amp;"|"&amp;L$5,TF_Akt,"&lt;&gt;"&amp;INDEX(TF_Akt,MATCH($A45&amp;"|"&amp;L$5,TF_Dom,0)))&gt;0,AND(IF(L$9="",0,MAX(0,ROUND((L$12-SUMIFS(TF_Timer,TF_Nokkel,$A45&amp;"|"&amp;L$5))*2,0)/2))&gt;0,INDEX(TF_Akt,MATCH($A45&amp;"|"&amp;L$5,TF_Dom,0))&lt;&gt;"LMS")),"+",""),"?"))))</f>
        <v/>
      </c>
      <c r="M45" s="13">
        <f>IF(OR($A45="",M$5=""),"",IF(OR(AND(INDEX(TekFra,28)&gt;0,M$5&lt;INDEX(TekFra,28)),AND(INDEX(TekTil,28)&gt;0,M$5&gt;INDEX(TekTil,28))),"",IF(COUNTIFS(TF_Nokkel,$A45&amp;"|"&amp;M$5)=0,IF(M$9&lt;&gt;"","LMS",""),IFERROR(IF(SUMIFS(TF_Timer,TF_Nokkel,$A45&amp;"|"&amp;M$5,TF_Akt,"LMS")+IF(M$9="",0,MAX(0,ROUND((M$12-SUMIFS(TF_Timer,TF_Nokkel,$A45&amp;"|"&amp;M$5))*2,0)/2))&gt;INDEX(TF_AktSum,MATCH($A45&amp;"|"&amp;M$5,TF_Dom,0)),"LMS",INDEX(AktKode,MATCH(INDEX(TF_Akt,MATCH($A45&amp;"|"&amp;M$5,TF_Dom,0)),Aktiviteter,0)))&amp;IF(OR(COUNTIFS(TF_Nokkel,$A45&amp;"|"&amp;M$5,TF_Akt,"&lt;&gt;"&amp;INDEX(TF_Akt,MATCH($A45&amp;"|"&amp;M$5,TF_Dom,0)))&gt;0,AND(IF(M$9="",0,MAX(0,ROUND((M$12-SUMIFS(TF_Timer,TF_Nokkel,$A45&amp;"|"&amp;M$5))*2,0)/2))&gt;0,INDEX(TF_Akt,MATCH($A45&amp;"|"&amp;M$5,TF_Dom,0))&lt;&gt;"LMS")),"+",""),"?"))))</f>
        <v/>
      </c>
      <c r="N45" s="13">
        <f>IF(OR($A45="",N$5=""),"",IF(OR(AND(INDEX(TekFra,28)&gt;0,N$5&lt;INDEX(TekFra,28)),AND(INDEX(TekTil,28)&gt;0,N$5&gt;INDEX(TekTil,28))),"",IF(COUNTIFS(TF_Nokkel,$A45&amp;"|"&amp;N$5)=0,IF(N$9&lt;&gt;"","LMS",""),IFERROR(IF(SUMIFS(TF_Timer,TF_Nokkel,$A45&amp;"|"&amp;N$5,TF_Akt,"LMS")+IF(N$9="",0,MAX(0,ROUND((N$12-SUMIFS(TF_Timer,TF_Nokkel,$A45&amp;"|"&amp;N$5))*2,0)/2))&gt;INDEX(TF_AktSum,MATCH($A45&amp;"|"&amp;N$5,TF_Dom,0)),"LMS",INDEX(AktKode,MATCH(INDEX(TF_Akt,MATCH($A45&amp;"|"&amp;N$5,TF_Dom,0)),Aktiviteter,0)))&amp;IF(OR(COUNTIFS(TF_Nokkel,$A45&amp;"|"&amp;N$5,TF_Akt,"&lt;&gt;"&amp;INDEX(TF_Akt,MATCH($A45&amp;"|"&amp;N$5,TF_Dom,0)))&gt;0,AND(IF(N$9="",0,MAX(0,ROUND((N$12-SUMIFS(TF_Timer,TF_Nokkel,$A45&amp;"|"&amp;N$5))*2,0)/2))&gt;0,INDEX(TF_Akt,MATCH($A45&amp;"|"&amp;N$5,TF_Dom,0))&lt;&gt;"LMS")),"+",""),"?"))))</f>
        <v/>
      </c>
      <c r="O45" s="13">
        <f>IF(OR($A45="",O$5=""),"",IF(OR(AND(INDEX(TekFra,28)&gt;0,O$5&lt;INDEX(TekFra,28)),AND(INDEX(TekTil,28)&gt;0,O$5&gt;INDEX(TekTil,28))),"",IF(COUNTIFS(TF_Nokkel,$A45&amp;"|"&amp;O$5)=0,IF(O$9&lt;&gt;"","LMS",""),IFERROR(IF(SUMIFS(TF_Timer,TF_Nokkel,$A45&amp;"|"&amp;O$5,TF_Akt,"LMS")+IF(O$9="",0,MAX(0,ROUND((O$12-SUMIFS(TF_Timer,TF_Nokkel,$A45&amp;"|"&amp;O$5))*2,0)/2))&gt;INDEX(TF_AktSum,MATCH($A45&amp;"|"&amp;O$5,TF_Dom,0)),"LMS",INDEX(AktKode,MATCH(INDEX(TF_Akt,MATCH($A45&amp;"|"&amp;O$5,TF_Dom,0)),Aktiviteter,0)))&amp;IF(OR(COUNTIFS(TF_Nokkel,$A45&amp;"|"&amp;O$5,TF_Akt,"&lt;&gt;"&amp;INDEX(TF_Akt,MATCH($A45&amp;"|"&amp;O$5,TF_Dom,0)))&gt;0,AND(IF(O$9="",0,MAX(0,ROUND((O$12-SUMIFS(TF_Timer,TF_Nokkel,$A45&amp;"|"&amp;O$5))*2,0)/2))&gt;0,INDEX(TF_Akt,MATCH($A45&amp;"|"&amp;O$5,TF_Dom,0))&lt;&gt;"LMS")),"+",""),"?"))))</f>
        <v/>
      </c>
      <c r="P45" s="13">
        <f>IF(OR($A45="",P$5=""),"",IF(OR(AND(INDEX(TekFra,28)&gt;0,P$5&lt;INDEX(TekFra,28)),AND(INDEX(TekTil,28)&gt;0,P$5&gt;INDEX(TekTil,28))),"",IF(COUNTIFS(TF_Nokkel,$A45&amp;"|"&amp;P$5)=0,IF(P$9&lt;&gt;"","LMS",""),IFERROR(IF(SUMIFS(TF_Timer,TF_Nokkel,$A45&amp;"|"&amp;P$5,TF_Akt,"LMS")+IF(P$9="",0,MAX(0,ROUND((P$12-SUMIFS(TF_Timer,TF_Nokkel,$A45&amp;"|"&amp;P$5))*2,0)/2))&gt;INDEX(TF_AktSum,MATCH($A45&amp;"|"&amp;P$5,TF_Dom,0)),"LMS",INDEX(AktKode,MATCH(INDEX(TF_Akt,MATCH($A45&amp;"|"&amp;P$5,TF_Dom,0)),Aktiviteter,0)))&amp;IF(OR(COUNTIFS(TF_Nokkel,$A45&amp;"|"&amp;P$5,TF_Akt,"&lt;&gt;"&amp;INDEX(TF_Akt,MATCH($A45&amp;"|"&amp;P$5,TF_Dom,0)))&gt;0,AND(IF(P$9="",0,MAX(0,ROUND((P$12-SUMIFS(TF_Timer,TF_Nokkel,$A45&amp;"|"&amp;P$5))*2,0)/2))&gt;0,INDEX(TF_Akt,MATCH($A45&amp;"|"&amp;P$5,TF_Dom,0))&lt;&gt;"LMS")),"+",""),"?"))))</f>
        <v/>
      </c>
      <c r="Q45" s="13">
        <f>IF(OR($A45="",Q$5=""),"",IF(OR(AND(INDEX(TekFra,28)&gt;0,Q$5&lt;INDEX(TekFra,28)),AND(INDEX(TekTil,28)&gt;0,Q$5&gt;INDEX(TekTil,28))),"",IF(COUNTIFS(TF_Nokkel,$A45&amp;"|"&amp;Q$5)=0,IF(Q$9&lt;&gt;"","LMS",""),IFERROR(IF(SUMIFS(TF_Timer,TF_Nokkel,$A45&amp;"|"&amp;Q$5,TF_Akt,"LMS")+IF(Q$9="",0,MAX(0,ROUND((Q$12-SUMIFS(TF_Timer,TF_Nokkel,$A45&amp;"|"&amp;Q$5))*2,0)/2))&gt;INDEX(TF_AktSum,MATCH($A45&amp;"|"&amp;Q$5,TF_Dom,0)),"LMS",INDEX(AktKode,MATCH(INDEX(TF_Akt,MATCH($A45&amp;"|"&amp;Q$5,TF_Dom,0)),Aktiviteter,0)))&amp;IF(OR(COUNTIFS(TF_Nokkel,$A45&amp;"|"&amp;Q$5,TF_Akt,"&lt;&gt;"&amp;INDEX(TF_Akt,MATCH($A45&amp;"|"&amp;Q$5,TF_Dom,0)))&gt;0,AND(IF(Q$9="",0,MAX(0,ROUND((Q$12-SUMIFS(TF_Timer,TF_Nokkel,$A45&amp;"|"&amp;Q$5))*2,0)/2))&gt;0,INDEX(TF_Akt,MATCH($A45&amp;"|"&amp;Q$5,TF_Dom,0))&lt;&gt;"LMS")),"+",""),"?"))))</f>
        <v/>
      </c>
      <c r="R45" s="13">
        <f>IF(OR($A45="",R$5=""),"",IF(OR(AND(INDEX(TekFra,28)&gt;0,R$5&lt;INDEX(TekFra,28)),AND(INDEX(TekTil,28)&gt;0,R$5&gt;INDEX(TekTil,28))),"",IF(COUNTIFS(TF_Nokkel,$A45&amp;"|"&amp;R$5)=0,IF(R$9&lt;&gt;"","LMS",""),IFERROR(IF(SUMIFS(TF_Timer,TF_Nokkel,$A45&amp;"|"&amp;R$5,TF_Akt,"LMS")+IF(R$9="",0,MAX(0,ROUND((R$12-SUMIFS(TF_Timer,TF_Nokkel,$A45&amp;"|"&amp;R$5))*2,0)/2))&gt;INDEX(TF_AktSum,MATCH($A45&amp;"|"&amp;R$5,TF_Dom,0)),"LMS",INDEX(AktKode,MATCH(INDEX(TF_Akt,MATCH($A45&amp;"|"&amp;R$5,TF_Dom,0)),Aktiviteter,0)))&amp;IF(OR(COUNTIFS(TF_Nokkel,$A45&amp;"|"&amp;R$5,TF_Akt,"&lt;&gt;"&amp;INDEX(TF_Akt,MATCH($A45&amp;"|"&amp;R$5,TF_Dom,0)))&gt;0,AND(IF(R$9="",0,MAX(0,ROUND((R$12-SUMIFS(TF_Timer,TF_Nokkel,$A45&amp;"|"&amp;R$5))*2,0)/2))&gt;0,INDEX(TF_Akt,MATCH($A45&amp;"|"&amp;R$5,TF_Dom,0))&lt;&gt;"LMS")),"+",""),"?"))))</f>
        <v/>
      </c>
      <c r="S45" s="13">
        <f>IF(OR($A45="",S$5=""),"",IF(OR(AND(INDEX(TekFra,28)&gt;0,S$5&lt;INDEX(TekFra,28)),AND(INDEX(TekTil,28)&gt;0,S$5&gt;INDEX(TekTil,28))),"",IF(COUNTIFS(TF_Nokkel,$A45&amp;"|"&amp;S$5)=0,IF(S$9&lt;&gt;"","LMS",""),IFERROR(IF(SUMIFS(TF_Timer,TF_Nokkel,$A45&amp;"|"&amp;S$5,TF_Akt,"LMS")+IF(S$9="",0,MAX(0,ROUND((S$12-SUMIFS(TF_Timer,TF_Nokkel,$A45&amp;"|"&amp;S$5))*2,0)/2))&gt;INDEX(TF_AktSum,MATCH($A45&amp;"|"&amp;S$5,TF_Dom,0)),"LMS",INDEX(AktKode,MATCH(INDEX(TF_Akt,MATCH($A45&amp;"|"&amp;S$5,TF_Dom,0)),Aktiviteter,0)))&amp;IF(OR(COUNTIFS(TF_Nokkel,$A45&amp;"|"&amp;S$5,TF_Akt,"&lt;&gt;"&amp;INDEX(TF_Akt,MATCH($A45&amp;"|"&amp;S$5,TF_Dom,0)))&gt;0,AND(IF(S$9="",0,MAX(0,ROUND((S$12-SUMIFS(TF_Timer,TF_Nokkel,$A45&amp;"|"&amp;S$5))*2,0)/2))&gt;0,INDEX(TF_Akt,MATCH($A45&amp;"|"&amp;S$5,TF_Dom,0))&lt;&gt;"LMS")),"+",""),"?"))))</f>
        <v/>
      </c>
      <c r="T45" s="13">
        <f>IF(OR($A45="",T$5=""),"",IF(OR(AND(INDEX(TekFra,28)&gt;0,T$5&lt;INDEX(TekFra,28)),AND(INDEX(TekTil,28)&gt;0,T$5&gt;INDEX(TekTil,28))),"",IF(COUNTIFS(TF_Nokkel,$A45&amp;"|"&amp;T$5)=0,IF(T$9&lt;&gt;"","LMS",""),IFERROR(IF(SUMIFS(TF_Timer,TF_Nokkel,$A45&amp;"|"&amp;T$5,TF_Akt,"LMS")+IF(T$9="",0,MAX(0,ROUND((T$12-SUMIFS(TF_Timer,TF_Nokkel,$A45&amp;"|"&amp;T$5))*2,0)/2))&gt;INDEX(TF_AktSum,MATCH($A45&amp;"|"&amp;T$5,TF_Dom,0)),"LMS",INDEX(AktKode,MATCH(INDEX(TF_Akt,MATCH($A45&amp;"|"&amp;T$5,TF_Dom,0)),Aktiviteter,0)))&amp;IF(OR(COUNTIFS(TF_Nokkel,$A45&amp;"|"&amp;T$5,TF_Akt,"&lt;&gt;"&amp;INDEX(TF_Akt,MATCH($A45&amp;"|"&amp;T$5,TF_Dom,0)))&gt;0,AND(IF(T$9="",0,MAX(0,ROUND((T$12-SUMIFS(TF_Timer,TF_Nokkel,$A45&amp;"|"&amp;T$5))*2,0)/2))&gt;0,INDEX(TF_Akt,MATCH($A45&amp;"|"&amp;T$5,TF_Dom,0))&lt;&gt;"LMS")),"+",""),"?"))))</f>
        <v/>
      </c>
      <c r="U45" s="13">
        <f>IF(OR($A45="",U$5=""),"",IF(OR(AND(INDEX(TekFra,28)&gt;0,U$5&lt;INDEX(TekFra,28)),AND(INDEX(TekTil,28)&gt;0,U$5&gt;INDEX(TekTil,28))),"",IF(COUNTIFS(TF_Nokkel,$A45&amp;"|"&amp;U$5)=0,IF(U$9&lt;&gt;"","LMS",""),IFERROR(IF(SUMIFS(TF_Timer,TF_Nokkel,$A45&amp;"|"&amp;U$5,TF_Akt,"LMS")+IF(U$9="",0,MAX(0,ROUND((U$12-SUMIFS(TF_Timer,TF_Nokkel,$A45&amp;"|"&amp;U$5))*2,0)/2))&gt;INDEX(TF_AktSum,MATCH($A45&amp;"|"&amp;U$5,TF_Dom,0)),"LMS",INDEX(AktKode,MATCH(INDEX(TF_Akt,MATCH($A45&amp;"|"&amp;U$5,TF_Dom,0)),Aktiviteter,0)))&amp;IF(OR(COUNTIFS(TF_Nokkel,$A45&amp;"|"&amp;U$5,TF_Akt,"&lt;&gt;"&amp;INDEX(TF_Akt,MATCH($A45&amp;"|"&amp;U$5,TF_Dom,0)))&gt;0,AND(IF(U$9="",0,MAX(0,ROUND((U$12-SUMIFS(TF_Timer,TF_Nokkel,$A45&amp;"|"&amp;U$5))*2,0)/2))&gt;0,INDEX(TF_Akt,MATCH($A45&amp;"|"&amp;U$5,TF_Dom,0))&lt;&gt;"LMS")),"+",""),"?"))))</f>
        <v/>
      </c>
      <c r="V45" s="13">
        <f>IF(OR($A45="",V$5=""),"",IF(OR(AND(INDEX(TekFra,28)&gt;0,V$5&lt;INDEX(TekFra,28)),AND(INDEX(TekTil,28)&gt;0,V$5&gt;INDEX(TekTil,28))),"",IF(COUNTIFS(TF_Nokkel,$A45&amp;"|"&amp;V$5)=0,IF(V$9&lt;&gt;"","LMS",""),IFERROR(IF(SUMIFS(TF_Timer,TF_Nokkel,$A45&amp;"|"&amp;V$5,TF_Akt,"LMS")+IF(V$9="",0,MAX(0,ROUND((V$12-SUMIFS(TF_Timer,TF_Nokkel,$A45&amp;"|"&amp;V$5))*2,0)/2))&gt;INDEX(TF_AktSum,MATCH($A45&amp;"|"&amp;V$5,TF_Dom,0)),"LMS",INDEX(AktKode,MATCH(INDEX(TF_Akt,MATCH($A45&amp;"|"&amp;V$5,TF_Dom,0)),Aktiviteter,0)))&amp;IF(OR(COUNTIFS(TF_Nokkel,$A45&amp;"|"&amp;V$5,TF_Akt,"&lt;&gt;"&amp;INDEX(TF_Akt,MATCH($A45&amp;"|"&amp;V$5,TF_Dom,0)))&gt;0,AND(IF(V$9="",0,MAX(0,ROUND((V$12-SUMIFS(TF_Timer,TF_Nokkel,$A45&amp;"|"&amp;V$5))*2,0)/2))&gt;0,INDEX(TF_Akt,MATCH($A45&amp;"|"&amp;V$5,TF_Dom,0))&lt;&gt;"LMS")),"+",""),"?"))))</f>
        <v/>
      </c>
      <c r="W45" s="13">
        <f>IF(OR($A45="",W$5=""),"",IF(OR(AND(INDEX(TekFra,28)&gt;0,W$5&lt;INDEX(TekFra,28)),AND(INDEX(TekTil,28)&gt;0,W$5&gt;INDEX(TekTil,28))),"",IF(COUNTIFS(TF_Nokkel,$A45&amp;"|"&amp;W$5)=0,IF(W$9&lt;&gt;"","LMS",""),IFERROR(IF(SUMIFS(TF_Timer,TF_Nokkel,$A45&amp;"|"&amp;W$5,TF_Akt,"LMS")+IF(W$9="",0,MAX(0,ROUND((W$12-SUMIFS(TF_Timer,TF_Nokkel,$A45&amp;"|"&amp;W$5))*2,0)/2))&gt;INDEX(TF_AktSum,MATCH($A45&amp;"|"&amp;W$5,TF_Dom,0)),"LMS",INDEX(AktKode,MATCH(INDEX(TF_Akt,MATCH($A45&amp;"|"&amp;W$5,TF_Dom,0)),Aktiviteter,0)))&amp;IF(OR(COUNTIFS(TF_Nokkel,$A45&amp;"|"&amp;W$5,TF_Akt,"&lt;&gt;"&amp;INDEX(TF_Akt,MATCH($A45&amp;"|"&amp;W$5,TF_Dom,0)))&gt;0,AND(IF(W$9="",0,MAX(0,ROUND((W$12-SUMIFS(TF_Timer,TF_Nokkel,$A45&amp;"|"&amp;W$5))*2,0)/2))&gt;0,INDEX(TF_Akt,MATCH($A45&amp;"|"&amp;W$5,TF_Dom,0))&lt;&gt;"LMS")),"+",""),"?"))))</f>
        <v/>
      </c>
      <c r="X45" s="13">
        <f>IF(OR($A45="",X$5=""),"",IF(OR(AND(INDEX(TekFra,28)&gt;0,X$5&lt;INDEX(TekFra,28)),AND(INDEX(TekTil,28)&gt;0,X$5&gt;INDEX(TekTil,28))),"",IF(COUNTIFS(TF_Nokkel,$A45&amp;"|"&amp;X$5)=0,IF(X$9&lt;&gt;"","LMS",""),IFERROR(IF(SUMIFS(TF_Timer,TF_Nokkel,$A45&amp;"|"&amp;X$5,TF_Akt,"LMS")+IF(X$9="",0,MAX(0,ROUND((X$12-SUMIFS(TF_Timer,TF_Nokkel,$A45&amp;"|"&amp;X$5))*2,0)/2))&gt;INDEX(TF_AktSum,MATCH($A45&amp;"|"&amp;X$5,TF_Dom,0)),"LMS",INDEX(AktKode,MATCH(INDEX(TF_Akt,MATCH($A45&amp;"|"&amp;X$5,TF_Dom,0)),Aktiviteter,0)))&amp;IF(OR(COUNTIFS(TF_Nokkel,$A45&amp;"|"&amp;X$5,TF_Akt,"&lt;&gt;"&amp;INDEX(TF_Akt,MATCH($A45&amp;"|"&amp;X$5,TF_Dom,0)))&gt;0,AND(IF(X$9="",0,MAX(0,ROUND((X$12-SUMIFS(TF_Timer,TF_Nokkel,$A45&amp;"|"&amp;X$5))*2,0)/2))&gt;0,INDEX(TF_Akt,MATCH($A45&amp;"|"&amp;X$5,TF_Dom,0))&lt;&gt;"LMS")),"+",""),"?"))))</f>
        <v/>
      </c>
      <c r="Y45" s="13">
        <f>IF(OR($A45="",Y$5=""),"",IF(OR(AND(INDEX(TekFra,28)&gt;0,Y$5&lt;INDEX(TekFra,28)),AND(INDEX(TekTil,28)&gt;0,Y$5&gt;INDEX(TekTil,28))),"",IF(COUNTIFS(TF_Nokkel,$A45&amp;"|"&amp;Y$5)=0,IF(Y$9&lt;&gt;"","LMS",""),IFERROR(IF(SUMIFS(TF_Timer,TF_Nokkel,$A45&amp;"|"&amp;Y$5,TF_Akt,"LMS")+IF(Y$9="",0,MAX(0,ROUND((Y$12-SUMIFS(TF_Timer,TF_Nokkel,$A45&amp;"|"&amp;Y$5))*2,0)/2))&gt;INDEX(TF_AktSum,MATCH($A45&amp;"|"&amp;Y$5,TF_Dom,0)),"LMS",INDEX(AktKode,MATCH(INDEX(TF_Akt,MATCH($A45&amp;"|"&amp;Y$5,TF_Dom,0)),Aktiviteter,0)))&amp;IF(OR(COUNTIFS(TF_Nokkel,$A45&amp;"|"&amp;Y$5,TF_Akt,"&lt;&gt;"&amp;INDEX(TF_Akt,MATCH($A45&amp;"|"&amp;Y$5,TF_Dom,0)))&gt;0,AND(IF(Y$9="",0,MAX(0,ROUND((Y$12-SUMIFS(TF_Timer,TF_Nokkel,$A45&amp;"|"&amp;Y$5))*2,0)/2))&gt;0,INDEX(TF_Akt,MATCH($A45&amp;"|"&amp;Y$5,TF_Dom,0))&lt;&gt;"LMS")),"+",""),"?"))))</f>
        <v/>
      </c>
      <c r="Z45" s="13">
        <f>IF(OR($A45="",Z$5=""),"",IF(OR(AND(INDEX(TekFra,28)&gt;0,Z$5&lt;INDEX(TekFra,28)),AND(INDEX(TekTil,28)&gt;0,Z$5&gt;INDEX(TekTil,28))),"",IF(COUNTIFS(TF_Nokkel,$A45&amp;"|"&amp;Z$5)=0,IF(Z$9&lt;&gt;"","LMS",""),IFERROR(IF(SUMIFS(TF_Timer,TF_Nokkel,$A45&amp;"|"&amp;Z$5,TF_Akt,"LMS")+IF(Z$9="",0,MAX(0,ROUND((Z$12-SUMIFS(TF_Timer,TF_Nokkel,$A45&amp;"|"&amp;Z$5))*2,0)/2))&gt;INDEX(TF_AktSum,MATCH($A45&amp;"|"&amp;Z$5,TF_Dom,0)),"LMS",INDEX(AktKode,MATCH(INDEX(TF_Akt,MATCH($A45&amp;"|"&amp;Z$5,TF_Dom,0)),Aktiviteter,0)))&amp;IF(OR(COUNTIFS(TF_Nokkel,$A45&amp;"|"&amp;Z$5,TF_Akt,"&lt;&gt;"&amp;INDEX(TF_Akt,MATCH($A45&amp;"|"&amp;Z$5,TF_Dom,0)))&gt;0,AND(IF(Z$9="",0,MAX(0,ROUND((Z$12-SUMIFS(TF_Timer,TF_Nokkel,$A45&amp;"|"&amp;Z$5))*2,0)/2))&gt;0,INDEX(TF_Akt,MATCH($A45&amp;"|"&amp;Z$5,TF_Dom,0))&lt;&gt;"LMS")),"+",""),"?"))))</f>
        <v/>
      </c>
      <c r="AA45" s="13">
        <f>IF(OR($A45="",AA$5=""),"",IF(OR(AND(INDEX(TekFra,28)&gt;0,AA$5&lt;INDEX(TekFra,28)),AND(INDEX(TekTil,28)&gt;0,AA$5&gt;INDEX(TekTil,28))),"",IF(COUNTIFS(TF_Nokkel,$A45&amp;"|"&amp;AA$5)=0,IF(AA$9&lt;&gt;"","LMS",""),IFERROR(IF(SUMIFS(TF_Timer,TF_Nokkel,$A45&amp;"|"&amp;AA$5,TF_Akt,"LMS")+IF(AA$9="",0,MAX(0,ROUND((AA$12-SUMIFS(TF_Timer,TF_Nokkel,$A45&amp;"|"&amp;AA$5))*2,0)/2))&gt;INDEX(TF_AktSum,MATCH($A45&amp;"|"&amp;AA$5,TF_Dom,0)),"LMS",INDEX(AktKode,MATCH(INDEX(TF_Akt,MATCH($A45&amp;"|"&amp;AA$5,TF_Dom,0)),Aktiviteter,0)))&amp;IF(OR(COUNTIFS(TF_Nokkel,$A45&amp;"|"&amp;AA$5,TF_Akt,"&lt;&gt;"&amp;INDEX(TF_Akt,MATCH($A45&amp;"|"&amp;AA$5,TF_Dom,0)))&gt;0,AND(IF(AA$9="",0,MAX(0,ROUND((AA$12-SUMIFS(TF_Timer,TF_Nokkel,$A45&amp;"|"&amp;AA$5))*2,0)/2))&gt;0,INDEX(TF_Akt,MATCH($A45&amp;"|"&amp;AA$5,TF_Dom,0))&lt;&gt;"LMS")),"+",""),"?"))))</f>
        <v/>
      </c>
      <c r="AB45" s="13">
        <f>IF(OR($A45="",AB$5=""),"",IF(OR(AND(INDEX(TekFra,28)&gt;0,AB$5&lt;INDEX(TekFra,28)),AND(INDEX(TekTil,28)&gt;0,AB$5&gt;INDEX(TekTil,28))),"",IF(COUNTIFS(TF_Nokkel,$A45&amp;"|"&amp;AB$5)=0,IF(AB$9&lt;&gt;"","LMS",""),IFERROR(IF(SUMIFS(TF_Timer,TF_Nokkel,$A45&amp;"|"&amp;AB$5,TF_Akt,"LMS")+IF(AB$9="",0,MAX(0,ROUND((AB$12-SUMIFS(TF_Timer,TF_Nokkel,$A45&amp;"|"&amp;AB$5))*2,0)/2))&gt;INDEX(TF_AktSum,MATCH($A45&amp;"|"&amp;AB$5,TF_Dom,0)),"LMS",INDEX(AktKode,MATCH(INDEX(TF_Akt,MATCH($A45&amp;"|"&amp;AB$5,TF_Dom,0)),Aktiviteter,0)))&amp;IF(OR(COUNTIFS(TF_Nokkel,$A45&amp;"|"&amp;AB$5,TF_Akt,"&lt;&gt;"&amp;INDEX(TF_Akt,MATCH($A45&amp;"|"&amp;AB$5,TF_Dom,0)))&gt;0,AND(IF(AB$9="",0,MAX(0,ROUND((AB$12-SUMIFS(TF_Timer,TF_Nokkel,$A45&amp;"|"&amp;AB$5))*2,0)/2))&gt;0,INDEX(TF_Akt,MATCH($A45&amp;"|"&amp;AB$5,TF_Dom,0))&lt;&gt;"LMS")),"+",""),"?"))))</f>
        <v/>
      </c>
      <c r="AC45" s="13">
        <f>IF(OR($A45="",AC$5=""),"",IF(OR(AND(INDEX(TekFra,28)&gt;0,AC$5&lt;INDEX(TekFra,28)),AND(INDEX(TekTil,28)&gt;0,AC$5&gt;INDEX(TekTil,28))),"",IF(COUNTIFS(TF_Nokkel,$A45&amp;"|"&amp;AC$5)=0,IF(AC$9&lt;&gt;"","LMS",""),IFERROR(IF(SUMIFS(TF_Timer,TF_Nokkel,$A45&amp;"|"&amp;AC$5,TF_Akt,"LMS")+IF(AC$9="",0,MAX(0,ROUND((AC$12-SUMIFS(TF_Timer,TF_Nokkel,$A45&amp;"|"&amp;AC$5))*2,0)/2))&gt;INDEX(TF_AktSum,MATCH($A45&amp;"|"&amp;AC$5,TF_Dom,0)),"LMS",INDEX(AktKode,MATCH(INDEX(TF_Akt,MATCH($A45&amp;"|"&amp;AC$5,TF_Dom,0)),Aktiviteter,0)))&amp;IF(OR(COUNTIFS(TF_Nokkel,$A45&amp;"|"&amp;AC$5,TF_Akt,"&lt;&gt;"&amp;INDEX(TF_Akt,MATCH($A45&amp;"|"&amp;AC$5,TF_Dom,0)))&gt;0,AND(IF(AC$9="",0,MAX(0,ROUND((AC$12-SUMIFS(TF_Timer,TF_Nokkel,$A45&amp;"|"&amp;AC$5))*2,0)/2))&gt;0,INDEX(TF_Akt,MATCH($A45&amp;"|"&amp;AC$5,TF_Dom,0))&lt;&gt;"LMS")),"+",""),"?"))))</f>
        <v/>
      </c>
      <c r="AD45" s="13">
        <f>IF(OR($A45="",AD$5=""),"",IF(OR(AND(INDEX(TekFra,28)&gt;0,AD$5&lt;INDEX(TekFra,28)),AND(INDEX(TekTil,28)&gt;0,AD$5&gt;INDEX(TekTil,28))),"",IF(COUNTIFS(TF_Nokkel,$A45&amp;"|"&amp;AD$5)=0,IF(AD$9&lt;&gt;"","LMS",""),IFERROR(IF(SUMIFS(TF_Timer,TF_Nokkel,$A45&amp;"|"&amp;AD$5,TF_Akt,"LMS")+IF(AD$9="",0,MAX(0,ROUND((AD$12-SUMIFS(TF_Timer,TF_Nokkel,$A45&amp;"|"&amp;AD$5))*2,0)/2))&gt;INDEX(TF_AktSum,MATCH($A45&amp;"|"&amp;AD$5,TF_Dom,0)),"LMS",INDEX(AktKode,MATCH(INDEX(TF_Akt,MATCH($A45&amp;"|"&amp;AD$5,TF_Dom,0)),Aktiviteter,0)))&amp;IF(OR(COUNTIFS(TF_Nokkel,$A45&amp;"|"&amp;AD$5,TF_Akt,"&lt;&gt;"&amp;INDEX(TF_Akt,MATCH($A45&amp;"|"&amp;AD$5,TF_Dom,0)))&gt;0,AND(IF(AD$9="",0,MAX(0,ROUND((AD$12-SUMIFS(TF_Timer,TF_Nokkel,$A45&amp;"|"&amp;AD$5))*2,0)/2))&gt;0,INDEX(TF_Akt,MATCH($A45&amp;"|"&amp;AD$5,TF_Dom,0))&lt;&gt;"LMS")),"+",""),"?"))))</f>
        <v/>
      </c>
      <c r="AE45" s="13">
        <f>IF(OR($A45="",AE$5=""),"",IF(OR(AND(INDEX(TekFra,28)&gt;0,AE$5&lt;INDEX(TekFra,28)),AND(INDEX(TekTil,28)&gt;0,AE$5&gt;INDEX(TekTil,28))),"",IF(COUNTIFS(TF_Nokkel,$A45&amp;"|"&amp;AE$5)=0,IF(AE$9&lt;&gt;"","LMS",""),IFERROR(IF(SUMIFS(TF_Timer,TF_Nokkel,$A45&amp;"|"&amp;AE$5,TF_Akt,"LMS")+IF(AE$9="",0,MAX(0,ROUND((AE$12-SUMIFS(TF_Timer,TF_Nokkel,$A45&amp;"|"&amp;AE$5))*2,0)/2))&gt;INDEX(TF_AktSum,MATCH($A45&amp;"|"&amp;AE$5,TF_Dom,0)),"LMS",INDEX(AktKode,MATCH(INDEX(TF_Akt,MATCH($A45&amp;"|"&amp;AE$5,TF_Dom,0)),Aktiviteter,0)))&amp;IF(OR(COUNTIFS(TF_Nokkel,$A45&amp;"|"&amp;AE$5,TF_Akt,"&lt;&gt;"&amp;INDEX(TF_Akt,MATCH($A45&amp;"|"&amp;AE$5,TF_Dom,0)))&gt;0,AND(IF(AE$9="",0,MAX(0,ROUND((AE$12-SUMIFS(TF_Timer,TF_Nokkel,$A45&amp;"|"&amp;AE$5))*2,0)/2))&gt;0,INDEX(TF_Akt,MATCH($A45&amp;"|"&amp;AE$5,TF_Dom,0))&lt;&gt;"LMS")),"+",""),"?"))))</f>
        <v/>
      </c>
      <c r="AF45" s="13">
        <f>IF(OR($A45="",AF$5=""),"",IF(OR(AND(INDEX(TekFra,28)&gt;0,AF$5&lt;INDEX(TekFra,28)),AND(INDEX(TekTil,28)&gt;0,AF$5&gt;INDEX(TekTil,28))),"",IF(COUNTIFS(TF_Nokkel,$A45&amp;"|"&amp;AF$5)=0,IF(AF$9&lt;&gt;"","LMS",""),IFERROR(IF(SUMIFS(TF_Timer,TF_Nokkel,$A45&amp;"|"&amp;AF$5,TF_Akt,"LMS")+IF(AF$9="",0,MAX(0,ROUND((AF$12-SUMIFS(TF_Timer,TF_Nokkel,$A45&amp;"|"&amp;AF$5))*2,0)/2))&gt;INDEX(TF_AktSum,MATCH($A45&amp;"|"&amp;AF$5,TF_Dom,0)),"LMS",INDEX(AktKode,MATCH(INDEX(TF_Akt,MATCH($A45&amp;"|"&amp;AF$5,TF_Dom,0)),Aktiviteter,0)))&amp;IF(OR(COUNTIFS(TF_Nokkel,$A45&amp;"|"&amp;AF$5,TF_Akt,"&lt;&gt;"&amp;INDEX(TF_Akt,MATCH($A45&amp;"|"&amp;AF$5,TF_Dom,0)))&gt;0,AND(IF(AF$9="",0,MAX(0,ROUND((AF$12-SUMIFS(TF_Timer,TF_Nokkel,$A45&amp;"|"&amp;AF$5))*2,0)/2))&gt;0,INDEX(TF_Akt,MATCH($A45&amp;"|"&amp;AF$5,TF_Dom,0))&lt;&gt;"LMS")),"+",""),"?"))))</f>
        <v/>
      </c>
      <c r="AG45" s="13">
        <f>IF(OR($A45="",AG$5=""),"",IF(OR(AND(INDEX(TekFra,28)&gt;0,AG$5&lt;INDEX(TekFra,28)),AND(INDEX(TekTil,28)&gt;0,AG$5&gt;INDEX(TekTil,28))),"",IF(COUNTIFS(TF_Nokkel,$A45&amp;"|"&amp;AG$5)=0,IF(AG$9&lt;&gt;"","LMS",""),IFERROR(IF(SUMIFS(TF_Timer,TF_Nokkel,$A45&amp;"|"&amp;AG$5,TF_Akt,"LMS")+IF(AG$9="",0,MAX(0,ROUND((AG$12-SUMIFS(TF_Timer,TF_Nokkel,$A45&amp;"|"&amp;AG$5))*2,0)/2))&gt;INDEX(TF_AktSum,MATCH($A45&amp;"|"&amp;AG$5,TF_Dom,0)),"LMS",INDEX(AktKode,MATCH(INDEX(TF_Akt,MATCH($A45&amp;"|"&amp;AG$5,TF_Dom,0)),Aktiviteter,0)))&amp;IF(OR(COUNTIFS(TF_Nokkel,$A45&amp;"|"&amp;AG$5,TF_Akt,"&lt;&gt;"&amp;INDEX(TF_Akt,MATCH($A45&amp;"|"&amp;AG$5,TF_Dom,0)))&gt;0,AND(IF(AG$9="",0,MAX(0,ROUND((AG$12-SUMIFS(TF_Timer,TF_Nokkel,$A45&amp;"|"&amp;AG$5))*2,0)/2))&gt;0,INDEX(TF_Akt,MATCH($A45&amp;"|"&amp;AG$5,TF_Dom,0))&lt;&gt;"LMS")),"+",""),"?"))))</f>
        <v/>
      </c>
      <c r="AH45" s="2" t="n"/>
      <c r="AI45" s="2" t="n"/>
      <c r="AJ45" s="2" t="n"/>
    </row>
    <row r="46">
      <c r="A46" s="2">
        <f>INDEX(Teknikere,29)&amp;""</f>
        <v/>
      </c>
      <c r="B46" s="12">
        <f>IF(INDEX(TekFra,29)&gt;0,"ekstra","")</f>
        <v/>
      </c>
      <c r="C46" s="13">
        <f>IF(OR($A46="",C$5=""),"",IF(OR(AND(INDEX(TekFra,29)&gt;0,C$5&lt;INDEX(TekFra,29)),AND(INDEX(TekTil,29)&gt;0,C$5&gt;INDEX(TekTil,29))),"",IF(COUNTIFS(TF_Nokkel,$A46&amp;"|"&amp;C$5)=0,IF(C$9&lt;&gt;"","LMS",""),IFERROR(IF(SUMIFS(TF_Timer,TF_Nokkel,$A46&amp;"|"&amp;C$5,TF_Akt,"LMS")+IF(C$9="",0,MAX(0,ROUND((C$12-SUMIFS(TF_Timer,TF_Nokkel,$A46&amp;"|"&amp;C$5))*2,0)/2))&gt;INDEX(TF_AktSum,MATCH($A46&amp;"|"&amp;C$5,TF_Dom,0)),"LMS",INDEX(AktKode,MATCH(INDEX(TF_Akt,MATCH($A46&amp;"|"&amp;C$5,TF_Dom,0)),Aktiviteter,0)))&amp;IF(OR(COUNTIFS(TF_Nokkel,$A46&amp;"|"&amp;C$5,TF_Akt,"&lt;&gt;"&amp;INDEX(TF_Akt,MATCH($A46&amp;"|"&amp;C$5,TF_Dom,0)))&gt;0,AND(IF(C$9="",0,MAX(0,ROUND((C$12-SUMIFS(TF_Timer,TF_Nokkel,$A46&amp;"|"&amp;C$5))*2,0)/2))&gt;0,INDEX(TF_Akt,MATCH($A46&amp;"|"&amp;C$5,TF_Dom,0))&lt;&gt;"LMS")),"+",""),"?"))))</f>
        <v/>
      </c>
      <c r="D46" s="13">
        <f>IF(OR($A46="",D$5=""),"",IF(OR(AND(INDEX(TekFra,29)&gt;0,D$5&lt;INDEX(TekFra,29)),AND(INDEX(TekTil,29)&gt;0,D$5&gt;INDEX(TekTil,29))),"",IF(COUNTIFS(TF_Nokkel,$A46&amp;"|"&amp;D$5)=0,IF(D$9&lt;&gt;"","LMS",""),IFERROR(IF(SUMIFS(TF_Timer,TF_Nokkel,$A46&amp;"|"&amp;D$5,TF_Akt,"LMS")+IF(D$9="",0,MAX(0,ROUND((D$12-SUMIFS(TF_Timer,TF_Nokkel,$A46&amp;"|"&amp;D$5))*2,0)/2))&gt;INDEX(TF_AktSum,MATCH($A46&amp;"|"&amp;D$5,TF_Dom,0)),"LMS",INDEX(AktKode,MATCH(INDEX(TF_Akt,MATCH($A46&amp;"|"&amp;D$5,TF_Dom,0)),Aktiviteter,0)))&amp;IF(OR(COUNTIFS(TF_Nokkel,$A46&amp;"|"&amp;D$5,TF_Akt,"&lt;&gt;"&amp;INDEX(TF_Akt,MATCH($A46&amp;"|"&amp;D$5,TF_Dom,0)))&gt;0,AND(IF(D$9="",0,MAX(0,ROUND((D$12-SUMIFS(TF_Timer,TF_Nokkel,$A46&amp;"|"&amp;D$5))*2,0)/2))&gt;0,INDEX(TF_Akt,MATCH($A46&amp;"|"&amp;D$5,TF_Dom,0))&lt;&gt;"LMS")),"+",""),"?"))))</f>
        <v/>
      </c>
      <c r="E46" s="13">
        <f>IF(OR($A46="",E$5=""),"",IF(OR(AND(INDEX(TekFra,29)&gt;0,E$5&lt;INDEX(TekFra,29)),AND(INDEX(TekTil,29)&gt;0,E$5&gt;INDEX(TekTil,29))),"",IF(COUNTIFS(TF_Nokkel,$A46&amp;"|"&amp;E$5)=0,IF(E$9&lt;&gt;"","LMS",""),IFERROR(IF(SUMIFS(TF_Timer,TF_Nokkel,$A46&amp;"|"&amp;E$5,TF_Akt,"LMS")+IF(E$9="",0,MAX(0,ROUND((E$12-SUMIFS(TF_Timer,TF_Nokkel,$A46&amp;"|"&amp;E$5))*2,0)/2))&gt;INDEX(TF_AktSum,MATCH($A46&amp;"|"&amp;E$5,TF_Dom,0)),"LMS",INDEX(AktKode,MATCH(INDEX(TF_Akt,MATCH($A46&amp;"|"&amp;E$5,TF_Dom,0)),Aktiviteter,0)))&amp;IF(OR(COUNTIFS(TF_Nokkel,$A46&amp;"|"&amp;E$5,TF_Akt,"&lt;&gt;"&amp;INDEX(TF_Akt,MATCH($A46&amp;"|"&amp;E$5,TF_Dom,0)))&gt;0,AND(IF(E$9="",0,MAX(0,ROUND((E$12-SUMIFS(TF_Timer,TF_Nokkel,$A46&amp;"|"&amp;E$5))*2,0)/2))&gt;0,INDEX(TF_Akt,MATCH($A46&amp;"|"&amp;E$5,TF_Dom,0))&lt;&gt;"LMS")),"+",""),"?"))))</f>
        <v/>
      </c>
      <c r="F46" s="13">
        <f>IF(OR($A46="",F$5=""),"",IF(OR(AND(INDEX(TekFra,29)&gt;0,F$5&lt;INDEX(TekFra,29)),AND(INDEX(TekTil,29)&gt;0,F$5&gt;INDEX(TekTil,29))),"",IF(COUNTIFS(TF_Nokkel,$A46&amp;"|"&amp;F$5)=0,IF(F$9&lt;&gt;"","LMS",""),IFERROR(IF(SUMIFS(TF_Timer,TF_Nokkel,$A46&amp;"|"&amp;F$5,TF_Akt,"LMS")+IF(F$9="",0,MAX(0,ROUND((F$12-SUMIFS(TF_Timer,TF_Nokkel,$A46&amp;"|"&amp;F$5))*2,0)/2))&gt;INDEX(TF_AktSum,MATCH($A46&amp;"|"&amp;F$5,TF_Dom,0)),"LMS",INDEX(AktKode,MATCH(INDEX(TF_Akt,MATCH($A46&amp;"|"&amp;F$5,TF_Dom,0)),Aktiviteter,0)))&amp;IF(OR(COUNTIFS(TF_Nokkel,$A46&amp;"|"&amp;F$5,TF_Akt,"&lt;&gt;"&amp;INDEX(TF_Akt,MATCH($A46&amp;"|"&amp;F$5,TF_Dom,0)))&gt;0,AND(IF(F$9="",0,MAX(0,ROUND((F$12-SUMIFS(TF_Timer,TF_Nokkel,$A46&amp;"|"&amp;F$5))*2,0)/2))&gt;0,INDEX(TF_Akt,MATCH($A46&amp;"|"&amp;F$5,TF_Dom,0))&lt;&gt;"LMS")),"+",""),"?"))))</f>
        <v/>
      </c>
      <c r="G46" s="13">
        <f>IF(OR($A46="",G$5=""),"",IF(OR(AND(INDEX(TekFra,29)&gt;0,G$5&lt;INDEX(TekFra,29)),AND(INDEX(TekTil,29)&gt;0,G$5&gt;INDEX(TekTil,29))),"",IF(COUNTIFS(TF_Nokkel,$A46&amp;"|"&amp;G$5)=0,IF(G$9&lt;&gt;"","LMS",""),IFERROR(IF(SUMIFS(TF_Timer,TF_Nokkel,$A46&amp;"|"&amp;G$5,TF_Akt,"LMS")+IF(G$9="",0,MAX(0,ROUND((G$12-SUMIFS(TF_Timer,TF_Nokkel,$A46&amp;"|"&amp;G$5))*2,0)/2))&gt;INDEX(TF_AktSum,MATCH($A46&amp;"|"&amp;G$5,TF_Dom,0)),"LMS",INDEX(AktKode,MATCH(INDEX(TF_Akt,MATCH($A46&amp;"|"&amp;G$5,TF_Dom,0)),Aktiviteter,0)))&amp;IF(OR(COUNTIFS(TF_Nokkel,$A46&amp;"|"&amp;G$5,TF_Akt,"&lt;&gt;"&amp;INDEX(TF_Akt,MATCH($A46&amp;"|"&amp;G$5,TF_Dom,0)))&gt;0,AND(IF(G$9="",0,MAX(0,ROUND((G$12-SUMIFS(TF_Timer,TF_Nokkel,$A46&amp;"|"&amp;G$5))*2,0)/2))&gt;0,INDEX(TF_Akt,MATCH($A46&amp;"|"&amp;G$5,TF_Dom,0))&lt;&gt;"LMS")),"+",""),"?"))))</f>
        <v/>
      </c>
      <c r="H46" s="13">
        <f>IF(OR($A46="",H$5=""),"",IF(OR(AND(INDEX(TekFra,29)&gt;0,H$5&lt;INDEX(TekFra,29)),AND(INDEX(TekTil,29)&gt;0,H$5&gt;INDEX(TekTil,29))),"",IF(COUNTIFS(TF_Nokkel,$A46&amp;"|"&amp;H$5)=0,IF(H$9&lt;&gt;"","LMS",""),IFERROR(IF(SUMIFS(TF_Timer,TF_Nokkel,$A46&amp;"|"&amp;H$5,TF_Akt,"LMS")+IF(H$9="",0,MAX(0,ROUND((H$12-SUMIFS(TF_Timer,TF_Nokkel,$A46&amp;"|"&amp;H$5))*2,0)/2))&gt;INDEX(TF_AktSum,MATCH($A46&amp;"|"&amp;H$5,TF_Dom,0)),"LMS",INDEX(AktKode,MATCH(INDEX(TF_Akt,MATCH($A46&amp;"|"&amp;H$5,TF_Dom,0)),Aktiviteter,0)))&amp;IF(OR(COUNTIFS(TF_Nokkel,$A46&amp;"|"&amp;H$5,TF_Akt,"&lt;&gt;"&amp;INDEX(TF_Akt,MATCH($A46&amp;"|"&amp;H$5,TF_Dom,0)))&gt;0,AND(IF(H$9="",0,MAX(0,ROUND((H$12-SUMIFS(TF_Timer,TF_Nokkel,$A46&amp;"|"&amp;H$5))*2,0)/2))&gt;0,INDEX(TF_Akt,MATCH($A46&amp;"|"&amp;H$5,TF_Dom,0))&lt;&gt;"LMS")),"+",""),"?"))))</f>
        <v/>
      </c>
      <c r="I46" s="13">
        <f>IF(OR($A46="",I$5=""),"",IF(OR(AND(INDEX(TekFra,29)&gt;0,I$5&lt;INDEX(TekFra,29)),AND(INDEX(TekTil,29)&gt;0,I$5&gt;INDEX(TekTil,29))),"",IF(COUNTIFS(TF_Nokkel,$A46&amp;"|"&amp;I$5)=0,IF(I$9&lt;&gt;"","LMS",""),IFERROR(IF(SUMIFS(TF_Timer,TF_Nokkel,$A46&amp;"|"&amp;I$5,TF_Akt,"LMS")+IF(I$9="",0,MAX(0,ROUND((I$12-SUMIFS(TF_Timer,TF_Nokkel,$A46&amp;"|"&amp;I$5))*2,0)/2))&gt;INDEX(TF_AktSum,MATCH($A46&amp;"|"&amp;I$5,TF_Dom,0)),"LMS",INDEX(AktKode,MATCH(INDEX(TF_Akt,MATCH($A46&amp;"|"&amp;I$5,TF_Dom,0)),Aktiviteter,0)))&amp;IF(OR(COUNTIFS(TF_Nokkel,$A46&amp;"|"&amp;I$5,TF_Akt,"&lt;&gt;"&amp;INDEX(TF_Akt,MATCH($A46&amp;"|"&amp;I$5,TF_Dom,0)))&gt;0,AND(IF(I$9="",0,MAX(0,ROUND((I$12-SUMIFS(TF_Timer,TF_Nokkel,$A46&amp;"|"&amp;I$5))*2,0)/2))&gt;0,INDEX(TF_Akt,MATCH($A46&amp;"|"&amp;I$5,TF_Dom,0))&lt;&gt;"LMS")),"+",""),"?"))))</f>
        <v/>
      </c>
      <c r="J46" s="13">
        <f>IF(OR($A46="",J$5=""),"",IF(OR(AND(INDEX(TekFra,29)&gt;0,J$5&lt;INDEX(TekFra,29)),AND(INDEX(TekTil,29)&gt;0,J$5&gt;INDEX(TekTil,29))),"",IF(COUNTIFS(TF_Nokkel,$A46&amp;"|"&amp;J$5)=0,IF(J$9&lt;&gt;"","LMS",""),IFERROR(IF(SUMIFS(TF_Timer,TF_Nokkel,$A46&amp;"|"&amp;J$5,TF_Akt,"LMS")+IF(J$9="",0,MAX(0,ROUND((J$12-SUMIFS(TF_Timer,TF_Nokkel,$A46&amp;"|"&amp;J$5))*2,0)/2))&gt;INDEX(TF_AktSum,MATCH($A46&amp;"|"&amp;J$5,TF_Dom,0)),"LMS",INDEX(AktKode,MATCH(INDEX(TF_Akt,MATCH($A46&amp;"|"&amp;J$5,TF_Dom,0)),Aktiviteter,0)))&amp;IF(OR(COUNTIFS(TF_Nokkel,$A46&amp;"|"&amp;J$5,TF_Akt,"&lt;&gt;"&amp;INDEX(TF_Akt,MATCH($A46&amp;"|"&amp;J$5,TF_Dom,0)))&gt;0,AND(IF(J$9="",0,MAX(0,ROUND((J$12-SUMIFS(TF_Timer,TF_Nokkel,$A46&amp;"|"&amp;J$5))*2,0)/2))&gt;0,INDEX(TF_Akt,MATCH($A46&amp;"|"&amp;J$5,TF_Dom,0))&lt;&gt;"LMS")),"+",""),"?"))))</f>
        <v/>
      </c>
      <c r="K46" s="13">
        <f>IF(OR($A46="",K$5=""),"",IF(OR(AND(INDEX(TekFra,29)&gt;0,K$5&lt;INDEX(TekFra,29)),AND(INDEX(TekTil,29)&gt;0,K$5&gt;INDEX(TekTil,29))),"",IF(COUNTIFS(TF_Nokkel,$A46&amp;"|"&amp;K$5)=0,IF(K$9&lt;&gt;"","LMS",""),IFERROR(IF(SUMIFS(TF_Timer,TF_Nokkel,$A46&amp;"|"&amp;K$5,TF_Akt,"LMS")+IF(K$9="",0,MAX(0,ROUND((K$12-SUMIFS(TF_Timer,TF_Nokkel,$A46&amp;"|"&amp;K$5))*2,0)/2))&gt;INDEX(TF_AktSum,MATCH($A46&amp;"|"&amp;K$5,TF_Dom,0)),"LMS",INDEX(AktKode,MATCH(INDEX(TF_Akt,MATCH($A46&amp;"|"&amp;K$5,TF_Dom,0)),Aktiviteter,0)))&amp;IF(OR(COUNTIFS(TF_Nokkel,$A46&amp;"|"&amp;K$5,TF_Akt,"&lt;&gt;"&amp;INDEX(TF_Akt,MATCH($A46&amp;"|"&amp;K$5,TF_Dom,0)))&gt;0,AND(IF(K$9="",0,MAX(0,ROUND((K$12-SUMIFS(TF_Timer,TF_Nokkel,$A46&amp;"|"&amp;K$5))*2,0)/2))&gt;0,INDEX(TF_Akt,MATCH($A46&amp;"|"&amp;K$5,TF_Dom,0))&lt;&gt;"LMS")),"+",""),"?"))))</f>
        <v/>
      </c>
      <c r="L46" s="13">
        <f>IF(OR($A46="",L$5=""),"",IF(OR(AND(INDEX(TekFra,29)&gt;0,L$5&lt;INDEX(TekFra,29)),AND(INDEX(TekTil,29)&gt;0,L$5&gt;INDEX(TekTil,29))),"",IF(COUNTIFS(TF_Nokkel,$A46&amp;"|"&amp;L$5)=0,IF(L$9&lt;&gt;"","LMS",""),IFERROR(IF(SUMIFS(TF_Timer,TF_Nokkel,$A46&amp;"|"&amp;L$5,TF_Akt,"LMS")+IF(L$9="",0,MAX(0,ROUND((L$12-SUMIFS(TF_Timer,TF_Nokkel,$A46&amp;"|"&amp;L$5))*2,0)/2))&gt;INDEX(TF_AktSum,MATCH($A46&amp;"|"&amp;L$5,TF_Dom,0)),"LMS",INDEX(AktKode,MATCH(INDEX(TF_Akt,MATCH($A46&amp;"|"&amp;L$5,TF_Dom,0)),Aktiviteter,0)))&amp;IF(OR(COUNTIFS(TF_Nokkel,$A46&amp;"|"&amp;L$5,TF_Akt,"&lt;&gt;"&amp;INDEX(TF_Akt,MATCH($A46&amp;"|"&amp;L$5,TF_Dom,0)))&gt;0,AND(IF(L$9="",0,MAX(0,ROUND((L$12-SUMIFS(TF_Timer,TF_Nokkel,$A46&amp;"|"&amp;L$5))*2,0)/2))&gt;0,INDEX(TF_Akt,MATCH($A46&amp;"|"&amp;L$5,TF_Dom,0))&lt;&gt;"LMS")),"+",""),"?"))))</f>
        <v/>
      </c>
      <c r="M46" s="13">
        <f>IF(OR($A46="",M$5=""),"",IF(OR(AND(INDEX(TekFra,29)&gt;0,M$5&lt;INDEX(TekFra,29)),AND(INDEX(TekTil,29)&gt;0,M$5&gt;INDEX(TekTil,29))),"",IF(COUNTIFS(TF_Nokkel,$A46&amp;"|"&amp;M$5)=0,IF(M$9&lt;&gt;"","LMS",""),IFERROR(IF(SUMIFS(TF_Timer,TF_Nokkel,$A46&amp;"|"&amp;M$5,TF_Akt,"LMS")+IF(M$9="",0,MAX(0,ROUND((M$12-SUMIFS(TF_Timer,TF_Nokkel,$A46&amp;"|"&amp;M$5))*2,0)/2))&gt;INDEX(TF_AktSum,MATCH($A46&amp;"|"&amp;M$5,TF_Dom,0)),"LMS",INDEX(AktKode,MATCH(INDEX(TF_Akt,MATCH($A46&amp;"|"&amp;M$5,TF_Dom,0)),Aktiviteter,0)))&amp;IF(OR(COUNTIFS(TF_Nokkel,$A46&amp;"|"&amp;M$5,TF_Akt,"&lt;&gt;"&amp;INDEX(TF_Akt,MATCH($A46&amp;"|"&amp;M$5,TF_Dom,0)))&gt;0,AND(IF(M$9="",0,MAX(0,ROUND((M$12-SUMIFS(TF_Timer,TF_Nokkel,$A46&amp;"|"&amp;M$5))*2,0)/2))&gt;0,INDEX(TF_Akt,MATCH($A46&amp;"|"&amp;M$5,TF_Dom,0))&lt;&gt;"LMS")),"+",""),"?"))))</f>
        <v/>
      </c>
      <c r="N46" s="13">
        <f>IF(OR($A46="",N$5=""),"",IF(OR(AND(INDEX(TekFra,29)&gt;0,N$5&lt;INDEX(TekFra,29)),AND(INDEX(TekTil,29)&gt;0,N$5&gt;INDEX(TekTil,29))),"",IF(COUNTIFS(TF_Nokkel,$A46&amp;"|"&amp;N$5)=0,IF(N$9&lt;&gt;"","LMS",""),IFERROR(IF(SUMIFS(TF_Timer,TF_Nokkel,$A46&amp;"|"&amp;N$5,TF_Akt,"LMS")+IF(N$9="",0,MAX(0,ROUND((N$12-SUMIFS(TF_Timer,TF_Nokkel,$A46&amp;"|"&amp;N$5))*2,0)/2))&gt;INDEX(TF_AktSum,MATCH($A46&amp;"|"&amp;N$5,TF_Dom,0)),"LMS",INDEX(AktKode,MATCH(INDEX(TF_Akt,MATCH($A46&amp;"|"&amp;N$5,TF_Dom,0)),Aktiviteter,0)))&amp;IF(OR(COUNTIFS(TF_Nokkel,$A46&amp;"|"&amp;N$5,TF_Akt,"&lt;&gt;"&amp;INDEX(TF_Akt,MATCH($A46&amp;"|"&amp;N$5,TF_Dom,0)))&gt;0,AND(IF(N$9="",0,MAX(0,ROUND((N$12-SUMIFS(TF_Timer,TF_Nokkel,$A46&amp;"|"&amp;N$5))*2,0)/2))&gt;0,INDEX(TF_Akt,MATCH($A46&amp;"|"&amp;N$5,TF_Dom,0))&lt;&gt;"LMS")),"+",""),"?"))))</f>
        <v/>
      </c>
      <c r="O46" s="13">
        <f>IF(OR($A46="",O$5=""),"",IF(OR(AND(INDEX(TekFra,29)&gt;0,O$5&lt;INDEX(TekFra,29)),AND(INDEX(TekTil,29)&gt;0,O$5&gt;INDEX(TekTil,29))),"",IF(COUNTIFS(TF_Nokkel,$A46&amp;"|"&amp;O$5)=0,IF(O$9&lt;&gt;"","LMS",""),IFERROR(IF(SUMIFS(TF_Timer,TF_Nokkel,$A46&amp;"|"&amp;O$5,TF_Akt,"LMS")+IF(O$9="",0,MAX(0,ROUND((O$12-SUMIFS(TF_Timer,TF_Nokkel,$A46&amp;"|"&amp;O$5))*2,0)/2))&gt;INDEX(TF_AktSum,MATCH($A46&amp;"|"&amp;O$5,TF_Dom,0)),"LMS",INDEX(AktKode,MATCH(INDEX(TF_Akt,MATCH($A46&amp;"|"&amp;O$5,TF_Dom,0)),Aktiviteter,0)))&amp;IF(OR(COUNTIFS(TF_Nokkel,$A46&amp;"|"&amp;O$5,TF_Akt,"&lt;&gt;"&amp;INDEX(TF_Akt,MATCH($A46&amp;"|"&amp;O$5,TF_Dom,0)))&gt;0,AND(IF(O$9="",0,MAX(0,ROUND((O$12-SUMIFS(TF_Timer,TF_Nokkel,$A46&amp;"|"&amp;O$5))*2,0)/2))&gt;0,INDEX(TF_Akt,MATCH($A46&amp;"|"&amp;O$5,TF_Dom,0))&lt;&gt;"LMS")),"+",""),"?"))))</f>
        <v/>
      </c>
      <c r="P46" s="13">
        <f>IF(OR($A46="",P$5=""),"",IF(OR(AND(INDEX(TekFra,29)&gt;0,P$5&lt;INDEX(TekFra,29)),AND(INDEX(TekTil,29)&gt;0,P$5&gt;INDEX(TekTil,29))),"",IF(COUNTIFS(TF_Nokkel,$A46&amp;"|"&amp;P$5)=0,IF(P$9&lt;&gt;"","LMS",""),IFERROR(IF(SUMIFS(TF_Timer,TF_Nokkel,$A46&amp;"|"&amp;P$5,TF_Akt,"LMS")+IF(P$9="",0,MAX(0,ROUND((P$12-SUMIFS(TF_Timer,TF_Nokkel,$A46&amp;"|"&amp;P$5))*2,0)/2))&gt;INDEX(TF_AktSum,MATCH($A46&amp;"|"&amp;P$5,TF_Dom,0)),"LMS",INDEX(AktKode,MATCH(INDEX(TF_Akt,MATCH($A46&amp;"|"&amp;P$5,TF_Dom,0)),Aktiviteter,0)))&amp;IF(OR(COUNTIFS(TF_Nokkel,$A46&amp;"|"&amp;P$5,TF_Akt,"&lt;&gt;"&amp;INDEX(TF_Akt,MATCH($A46&amp;"|"&amp;P$5,TF_Dom,0)))&gt;0,AND(IF(P$9="",0,MAX(0,ROUND((P$12-SUMIFS(TF_Timer,TF_Nokkel,$A46&amp;"|"&amp;P$5))*2,0)/2))&gt;0,INDEX(TF_Akt,MATCH($A46&amp;"|"&amp;P$5,TF_Dom,0))&lt;&gt;"LMS")),"+",""),"?"))))</f>
        <v/>
      </c>
      <c r="Q46" s="13">
        <f>IF(OR($A46="",Q$5=""),"",IF(OR(AND(INDEX(TekFra,29)&gt;0,Q$5&lt;INDEX(TekFra,29)),AND(INDEX(TekTil,29)&gt;0,Q$5&gt;INDEX(TekTil,29))),"",IF(COUNTIFS(TF_Nokkel,$A46&amp;"|"&amp;Q$5)=0,IF(Q$9&lt;&gt;"","LMS",""),IFERROR(IF(SUMIFS(TF_Timer,TF_Nokkel,$A46&amp;"|"&amp;Q$5,TF_Akt,"LMS")+IF(Q$9="",0,MAX(0,ROUND((Q$12-SUMIFS(TF_Timer,TF_Nokkel,$A46&amp;"|"&amp;Q$5))*2,0)/2))&gt;INDEX(TF_AktSum,MATCH($A46&amp;"|"&amp;Q$5,TF_Dom,0)),"LMS",INDEX(AktKode,MATCH(INDEX(TF_Akt,MATCH($A46&amp;"|"&amp;Q$5,TF_Dom,0)),Aktiviteter,0)))&amp;IF(OR(COUNTIFS(TF_Nokkel,$A46&amp;"|"&amp;Q$5,TF_Akt,"&lt;&gt;"&amp;INDEX(TF_Akt,MATCH($A46&amp;"|"&amp;Q$5,TF_Dom,0)))&gt;0,AND(IF(Q$9="",0,MAX(0,ROUND((Q$12-SUMIFS(TF_Timer,TF_Nokkel,$A46&amp;"|"&amp;Q$5))*2,0)/2))&gt;0,INDEX(TF_Akt,MATCH($A46&amp;"|"&amp;Q$5,TF_Dom,0))&lt;&gt;"LMS")),"+",""),"?"))))</f>
        <v/>
      </c>
      <c r="R46" s="13">
        <f>IF(OR($A46="",R$5=""),"",IF(OR(AND(INDEX(TekFra,29)&gt;0,R$5&lt;INDEX(TekFra,29)),AND(INDEX(TekTil,29)&gt;0,R$5&gt;INDEX(TekTil,29))),"",IF(COUNTIFS(TF_Nokkel,$A46&amp;"|"&amp;R$5)=0,IF(R$9&lt;&gt;"","LMS",""),IFERROR(IF(SUMIFS(TF_Timer,TF_Nokkel,$A46&amp;"|"&amp;R$5,TF_Akt,"LMS")+IF(R$9="",0,MAX(0,ROUND((R$12-SUMIFS(TF_Timer,TF_Nokkel,$A46&amp;"|"&amp;R$5))*2,0)/2))&gt;INDEX(TF_AktSum,MATCH($A46&amp;"|"&amp;R$5,TF_Dom,0)),"LMS",INDEX(AktKode,MATCH(INDEX(TF_Akt,MATCH($A46&amp;"|"&amp;R$5,TF_Dom,0)),Aktiviteter,0)))&amp;IF(OR(COUNTIFS(TF_Nokkel,$A46&amp;"|"&amp;R$5,TF_Akt,"&lt;&gt;"&amp;INDEX(TF_Akt,MATCH($A46&amp;"|"&amp;R$5,TF_Dom,0)))&gt;0,AND(IF(R$9="",0,MAX(0,ROUND((R$12-SUMIFS(TF_Timer,TF_Nokkel,$A46&amp;"|"&amp;R$5))*2,0)/2))&gt;0,INDEX(TF_Akt,MATCH($A46&amp;"|"&amp;R$5,TF_Dom,0))&lt;&gt;"LMS")),"+",""),"?"))))</f>
        <v/>
      </c>
      <c r="S46" s="13">
        <f>IF(OR($A46="",S$5=""),"",IF(OR(AND(INDEX(TekFra,29)&gt;0,S$5&lt;INDEX(TekFra,29)),AND(INDEX(TekTil,29)&gt;0,S$5&gt;INDEX(TekTil,29))),"",IF(COUNTIFS(TF_Nokkel,$A46&amp;"|"&amp;S$5)=0,IF(S$9&lt;&gt;"","LMS",""),IFERROR(IF(SUMIFS(TF_Timer,TF_Nokkel,$A46&amp;"|"&amp;S$5,TF_Akt,"LMS")+IF(S$9="",0,MAX(0,ROUND((S$12-SUMIFS(TF_Timer,TF_Nokkel,$A46&amp;"|"&amp;S$5))*2,0)/2))&gt;INDEX(TF_AktSum,MATCH($A46&amp;"|"&amp;S$5,TF_Dom,0)),"LMS",INDEX(AktKode,MATCH(INDEX(TF_Akt,MATCH($A46&amp;"|"&amp;S$5,TF_Dom,0)),Aktiviteter,0)))&amp;IF(OR(COUNTIFS(TF_Nokkel,$A46&amp;"|"&amp;S$5,TF_Akt,"&lt;&gt;"&amp;INDEX(TF_Akt,MATCH($A46&amp;"|"&amp;S$5,TF_Dom,0)))&gt;0,AND(IF(S$9="",0,MAX(0,ROUND((S$12-SUMIFS(TF_Timer,TF_Nokkel,$A46&amp;"|"&amp;S$5))*2,0)/2))&gt;0,INDEX(TF_Akt,MATCH($A46&amp;"|"&amp;S$5,TF_Dom,0))&lt;&gt;"LMS")),"+",""),"?"))))</f>
        <v/>
      </c>
      <c r="T46" s="13">
        <f>IF(OR($A46="",T$5=""),"",IF(OR(AND(INDEX(TekFra,29)&gt;0,T$5&lt;INDEX(TekFra,29)),AND(INDEX(TekTil,29)&gt;0,T$5&gt;INDEX(TekTil,29))),"",IF(COUNTIFS(TF_Nokkel,$A46&amp;"|"&amp;T$5)=0,IF(T$9&lt;&gt;"","LMS",""),IFERROR(IF(SUMIFS(TF_Timer,TF_Nokkel,$A46&amp;"|"&amp;T$5,TF_Akt,"LMS")+IF(T$9="",0,MAX(0,ROUND((T$12-SUMIFS(TF_Timer,TF_Nokkel,$A46&amp;"|"&amp;T$5))*2,0)/2))&gt;INDEX(TF_AktSum,MATCH($A46&amp;"|"&amp;T$5,TF_Dom,0)),"LMS",INDEX(AktKode,MATCH(INDEX(TF_Akt,MATCH($A46&amp;"|"&amp;T$5,TF_Dom,0)),Aktiviteter,0)))&amp;IF(OR(COUNTIFS(TF_Nokkel,$A46&amp;"|"&amp;T$5,TF_Akt,"&lt;&gt;"&amp;INDEX(TF_Akt,MATCH($A46&amp;"|"&amp;T$5,TF_Dom,0)))&gt;0,AND(IF(T$9="",0,MAX(0,ROUND((T$12-SUMIFS(TF_Timer,TF_Nokkel,$A46&amp;"|"&amp;T$5))*2,0)/2))&gt;0,INDEX(TF_Akt,MATCH($A46&amp;"|"&amp;T$5,TF_Dom,0))&lt;&gt;"LMS")),"+",""),"?"))))</f>
        <v/>
      </c>
      <c r="U46" s="13">
        <f>IF(OR($A46="",U$5=""),"",IF(OR(AND(INDEX(TekFra,29)&gt;0,U$5&lt;INDEX(TekFra,29)),AND(INDEX(TekTil,29)&gt;0,U$5&gt;INDEX(TekTil,29))),"",IF(COUNTIFS(TF_Nokkel,$A46&amp;"|"&amp;U$5)=0,IF(U$9&lt;&gt;"","LMS",""),IFERROR(IF(SUMIFS(TF_Timer,TF_Nokkel,$A46&amp;"|"&amp;U$5,TF_Akt,"LMS")+IF(U$9="",0,MAX(0,ROUND((U$12-SUMIFS(TF_Timer,TF_Nokkel,$A46&amp;"|"&amp;U$5))*2,0)/2))&gt;INDEX(TF_AktSum,MATCH($A46&amp;"|"&amp;U$5,TF_Dom,0)),"LMS",INDEX(AktKode,MATCH(INDEX(TF_Akt,MATCH($A46&amp;"|"&amp;U$5,TF_Dom,0)),Aktiviteter,0)))&amp;IF(OR(COUNTIFS(TF_Nokkel,$A46&amp;"|"&amp;U$5,TF_Akt,"&lt;&gt;"&amp;INDEX(TF_Akt,MATCH($A46&amp;"|"&amp;U$5,TF_Dom,0)))&gt;0,AND(IF(U$9="",0,MAX(0,ROUND((U$12-SUMIFS(TF_Timer,TF_Nokkel,$A46&amp;"|"&amp;U$5))*2,0)/2))&gt;0,INDEX(TF_Akt,MATCH($A46&amp;"|"&amp;U$5,TF_Dom,0))&lt;&gt;"LMS")),"+",""),"?"))))</f>
        <v/>
      </c>
      <c r="V46" s="13">
        <f>IF(OR($A46="",V$5=""),"",IF(OR(AND(INDEX(TekFra,29)&gt;0,V$5&lt;INDEX(TekFra,29)),AND(INDEX(TekTil,29)&gt;0,V$5&gt;INDEX(TekTil,29))),"",IF(COUNTIFS(TF_Nokkel,$A46&amp;"|"&amp;V$5)=0,IF(V$9&lt;&gt;"","LMS",""),IFERROR(IF(SUMIFS(TF_Timer,TF_Nokkel,$A46&amp;"|"&amp;V$5,TF_Akt,"LMS")+IF(V$9="",0,MAX(0,ROUND((V$12-SUMIFS(TF_Timer,TF_Nokkel,$A46&amp;"|"&amp;V$5))*2,0)/2))&gt;INDEX(TF_AktSum,MATCH($A46&amp;"|"&amp;V$5,TF_Dom,0)),"LMS",INDEX(AktKode,MATCH(INDEX(TF_Akt,MATCH($A46&amp;"|"&amp;V$5,TF_Dom,0)),Aktiviteter,0)))&amp;IF(OR(COUNTIFS(TF_Nokkel,$A46&amp;"|"&amp;V$5,TF_Akt,"&lt;&gt;"&amp;INDEX(TF_Akt,MATCH($A46&amp;"|"&amp;V$5,TF_Dom,0)))&gt;0,AND(IF(V$9="",0,MAX(0,ROUND((V$12-SUMIFS(TF_Timer,TF_Nokkel,$A46&amp;"|"&amp;V$5))*2,0)/2))&gt;0,INDEX(TF_Akt,MATCH($A46&amp;"|"&amp;V$5,TF_Dom,0))&lt;&gt;"LMS")),"+",""),"?"))))</f>
        <v/>
      </c>
      <c r="W46" s="13">
        <f>IF(OR($A46="",W$5=""),"",IF(OR(AND(INDEX(TekFra,29)&gt;0,W$5&lt;INDEX(TekFra,29)),AND(INDEX(TekTil,29)&gt;0,W$5&gt;INDEX(TekTil,29))),"",IF(COUNTIFS(TF_Nokkel,$A46&amp;"|"&amp;W$5)=0,IF(W$9&lt;&gt;"","LMS",""),IFERROR(IF(SUMIFS(TF_Timer,TF_Nokkel,$A46&amp;"|"&amp;W$5,TF_Akt,"LMS")+IF(W$9="",0,MAX(0,ROUND((W$12-SUMIFS(TF_Timer,TF_Nokkel,$A46&amp;"|"&amp;W$5))*2,0)/2))&gt;INDEX(TF_AktSum,MATCH($A46&amp;"|"&amp;W$5,TF_Dom,0)),"LMS",INDEX(AktKode,MATCH(INDEX(TF_Akt,MATCH($A46&amp;"|"&amp;W$5,TF_Dom,0)),Aktiviteter,0)))&amp;IF(OR(COUNTIFS(TF_Nokkel,$A46&amp;"|"&amp;W$5,TF_Akt,"&lt;&gt;"&amp;INDEX(TF_Akt,MATCH($A46&amp;"|"&amp;W$5,TF_Dom,0)))&gt;0,AND(IF(W$9="",0,MAX(0,ROUND((W$12-SUMIFS(TF_Timer,TF_Nokkel,$A46&amp;"|"&amp;W$5))*2,0)/2))&gt;0,INDEX(TF_Akt,MATCH($A46&amp;"|"&amp;W$5,TF_Dom,0))&lt;&gt;"LMS")),"+",""),"?"))))</f>
        <v/>
      </c>
      <c r="X46" s="13">
        <f>IF(OR($A46="",X$5=""),"",IF(OR(AND(INDEX(TekFra,29)&gt;0,X$5&lt;INDEX(TekFra,29)),AND(INDEX(TekTil,29)&gt;0,X$5&gt;INDEX(TekTil,29))),"",IF(COUNTIFS(TF_Nokkel,$A46&amp;"|"&amp;X$5)=0,IF(X$9&lt;&gt;"","LMS",""),IFERROR(IF(SUMIFS(TF_Timer,TF_Nokkel,$A46&amp;"|"&amp;X$5,TF_Akt,"LMS")+IF(X$9="",0,MAX(0,ROUND((X$12-SUMIFS(TF_Timer,TF_Nokkel,$A46&amp;"|"&amp;X$5))*2,0)/2))&gt;INDEX(TF_AktSum,MATCH($A46&amp;"|"&amp;X$5,TF_Dom,0)),"LMS",INDEX(AktKode,MATCH(INDEX(TF_Akt,MATCH($A46&amp;"|"&amp;X$5,TF_Dom,0)),Aktiviteter,0)))&amp;IF(OR(COUNTIFS(TF_Nokkel,$A46&amp;"|"&amp;X$5,TF_Akt,"&lt;&gt;"&amp;INDEX(TF_Akt,MATCH($A46&amp;"|"&amp;X$5,TF_Dom,0)))&gt;0,AND(IF(X$9="",0,MAX(0,ROUND((X$12-SUMIFS(TF_Timer,TF_Nokkel,$A46&amp;"|"&amp;X$5))*2,0)/2))&gt;0,INDEX(TF_Akt,MATCH($A46&amp;"|"&amp;X$5,TF_Dom,0))&lt;&gt;"LMS")),"+",""),"?"))))</f>
        <v/>
      </c>
      <c r="Y46" s="13">
        <f>IF(OR($A46="",Y$5=""),"",IF(OR(AND(INDEX(TekFra,29)&gt;0,Y$5&lt;INDEX(TekFra,29)),AND(INDEX(TekTil,29)&gt;0,Y$5&gt;INDEX(TekTil,29))),"",IF(COUNTIFS(TF_Nokkel,$A46&amp;"|"&amp;Y$5)=0,IF(Y$9&lt;&gt;"","LMS",""),IFERROR(IF(SUMIFS(TF_Timer,TF_Nokkel,$A46&amp;"|"&amp;Y$5,TF_Akt,"LMS")+IF(Y$9="",0,MAX(0,ROUND((Y$12-SUMIFS(TF_Timer,TF_Nokkel,$A46&amp;"|"&amp;Y$5))*2,0)/2))&gt;INDEX(TF_AktSum,MATCH($A46&amp;"|"&amp;Y$5,TF_Dom,0)),"LMS",INDEX(AktKode,MATCH(INDEX(TF_Akt,MATCH($A46&amp;"|"&amp;Y$5,TF_Dom,0)),Aktiviteter,0)))&amp;IF(OR(COUNTIFS(TF_Nokkel,$A46&amp;"|"&amp;Y$5,TF_Akt,"&lt;&gt;"&amp;INDEX(TF_Akt,MATCH($A46&amp;"|"&amp;Y$5,TF_Dom,0)))&gt;0,AND(IF(Y$9="",0,MAX(0,ROUND((Y$12-SUMIFS(TF_Timer,TF_Nokkel,$A46&amp;"|"&amp;Y$5))*2,0)/2))&gt;0,INDEX(TF_Akt,MATCH($A46&amp;"|"&amp;Y$5,TF_Dom,0))&lt;&gt;"LMS")),"+",""),"?"))))</f>
        <v/>
      </c>
      <c r="Z46" s="13">
        <f>IF(OR($A46="",Z$5=""),"",IF(OR(AND(INDEX(TekFra,29)&gt;0,Z$5&lt;INDEX(TekFra,29)),AND(INDEX(TekTil,29)&gt;0,Z$5&gt;INDEX(TekTil,29))),"",IF(COUNTIFS(TF_Nokkel,$A46&amp;"|"&amp;Z$5)=0,IF(Z$9&lt;&gt;"","LMS",""),IFERROR(IF(SUMIFS(TF_Timer,TF_Nokkel,$A46&amp;"|"&amp;Z$5,TF_Akt,"LMS")+IF(Z$9="",0,MAX(0,ROUND((Z$12-SUMIFS(TF_Timer,TF_Nokkel,$A46&amp;"|"&amp;Z$5))*2,0)/2))&gt;INDEX(TF_AktSum,MATCH($A46&amp;"|"&amp;Z$5,TF_Dom,0)),"LMS",INDEX(AktKode,MATCH(INDEX(TF_Akt,MATCH($A46&amp;"|"&amp;Z$5,TF_Dom,0)),Aktiviteter,0)))&amp;IF(OR(COUNTIFS(TF_Nokkel,$A46&amp;"|"&amp;Z$5,TF_Akt,"&lt;&gt;"&amp;INDEX(TF_Akt,MATCH($A46&amp;"|"&amp;Z$5,TF_Dom,0)))&gt;0,AND(IF(Z$9="",0,MAX(0,ROUND((Z$12-SUMIFS(TF_Timer,TF_Nokkel,$A46&amp;"|"&amp;Z$5))*2,0)/2))&gt;0,INDEX(TF_Akt,MATCH($A46&amp;"|"&amp;Z$5,TF_Dom,0))&lt;&gt;"LMS")),"+",""),"?"))))</f>
        <v/>
      </c>
      <c r="AA46" s="13">
        <f>IF(OR($A46="",AA$5=""),"",IF(OR(AND(INDEX(TekFra,29)&gt;0,AA$5&lt;INDEX(TekFra,29)),AND(INDEX(TekTil,29)&gt;0,AA$5&gt;INDEX(TekTil,29))),"",IF(COUNTIFS(TF_Nokkel,$A46&amp;"|"&amp;AA$5)=0,IF(AA$9&lt;&gt;"","LMS",""),IFERROR(IF(SUMIFS(TF_Timer,TF_Nokkel,$A46&amp;"|"&amp;AA$5,TF_Akt,"LMS")+IF(AA$9="",0,MAX(0,ROUND((AA$12-SUMIFS(TF_Timer,TF_Nokkel,$A46&amp;"|"&amp;AA$5))*2,0)/2))&gt;INDEX(TF_AktSum,MATCH($A46&amp;"|"&amp;AA$5,TF_Dom,0)),"LMS",INDEX(AktKode,MATCH(INDEX(TF_Akt,MATCH($A46&amp;"|"&amp;AA$5,TF_Dom,0)),Aktiviteter,0)))&amp;IF(OR(COUNTIFS(TF_Nokkel,$A46&amp;"|"&amp;AA$5,TF_Akt,"&lt;&gt;"&amp;INDEX(TF_Akt,MATCH($A46&amp;"|"&amp;AA$5,TF_Dom,0)))&gt;0,AND(IF(AA$9="",0,MAX(0,ROUND((AA$12-SUMIFS(TF_Timer,TF_Nokkel,$A46&amp;"|"&amp;AA$5))*2,0)/2))&gt;0,INDEX(TF_Akt,MATCH($A46&amp;"|"&amp;AA$5,TF_Dom,0))&lt;&gt;"LMS")),"+",""),"?"))))</f>
        <v/>
      </c>
      <c r="AB46" s="13">
        <f>IF(OR($A46="",AB$5=""),"",IF(OR(AND(INDEX(TekFra,29)&gt;0,AB$5&lt;INDEX(TekFra,29)),AND(INDEX(TekTil,29)&gt;0,AB$5&gt;INDEX(TekTil,29))),"",IF(COUNTIFS(TF_Nokkel,$A46&amp;"|"&amp;AB$5)=0,IF(AB$9&lt;&gt;"","LMS",""),IFERROR(IF(SUMIFS(TF_Timer,TF_Nokkel,$A46&amp;"|"&amp;AB$5,TF_Akt,"LMS")+IF(AB$9="",0,MAX(0,ROUND((AB$12-SUMIFS(TF_Timer,TF_Nokkel,$A46&amp;"|"&amp;AB$5))*2,0)/2))&gt;INDEX(TF_AktSum,MATCH($A46&amp;"|"&amp;AB$5,TF_Dom,0)),"LMS",INDEX(AktKode,MATCH(INDEX(TF_Akt,MATCH($A46&amp;"|"&amp;AB$5,TF_Dom,0)),Aktiviteter,0)))&amp;IF(OR(COUNTIFS(TF_Nokkel,$A46&amp;"|"&amp;AB$5,TF_Akt,"&lt;&gt;"&amp;INDEX(TF_Akt,MATCH($A46&amp;"|"&amp;AB$5,TF_Dom,0)))&gt;0,AND(IF(AB$9="",0,MAX(0,ROUND((AB$12-SUMIFS(TF_Timer,TF_Nokkel,$A46&amp;"|"&amp;AB$5))*2,0)/2))&gt;0,INDEX(TF_Akt,MATCH($A46&amp;"|"&amp;AB$5,TF_Dom,0))&lt;&gt;"LMS")),"+",""),"?"))))</f>
        <v/>
      </c>
      <c r="AC46" s="13">
        <f>IF(OR($A46="",AC$5=""),"",IF(OR(AND(INDEX(TekFra,29)&gt;0,AC$5&lt;INDEX(TekFra,29)),AND(INDEX(TekTil,29)&gt;0,AC$5&gt;INDEX(TekTil,29))),"",IF(COUNTIFS(TF_Nokkel,$A46&amp;"|"&amp;AC$5)=0,IF(AC$9&lt;&gt;"","LMS",""),IFERROR(IF(SUMIFS(TF_Timer,TF_Nokkel,$A46&amp;"|"&amp;AC$5,TF_Akt,"LMS")+IF(AC$9="",0,MAX(0,ROUND((AC$12-SUMIFS(TF_Timer,TF_Nokkel,$A46&amp;"|"&amp;AC$5))*2,0)/2))&gt;INDEX(TF_AktSum,MATCH($A46&amp;"|"&amp;AC$5,TF_Dom,0)),"LMS",INDEX(AktKode,MATCH(INDEX(TF_Akt,MATCH($A46&amp;"|"&amp;AC$5,TF_Dom,0)),Aktiviteter,0)))&amp;IF(OR(COUNTIFS(TF_Nokkel,$A46&amp;"|"&amp;AC$5,TF_Akt,"&lt;&gt;"&amp;INDEX(TF_Akt,MATCH($A46&amp;"|"&amp;AC$5,TF_Dom,0)))&gt;0,AND(IF(AC$9="",0,MAX(0,ROUND((AC$12-SUMIFS(TF_Timer,TF_Nokkel,$A46&amp;"|"&amp;AC$5))*2,0)/2))&gt;0,INDEX(TF_Akt,MATCH($A46&amp;"|"&amp;AC$5,TF_Dom,0))&lt;&gt;"LMS")),"+",""),"?"))))</f>
        <v/>
      </c>
      <c r="AD46" s="13">
        <f>IF(OR($A46="",AD$5=""),"",IF(OR(AND(INDEX(TekFra,29)&gt;0,AD$5&lt;INDEX(TekFra,29)),AND(INDEX(TekTil,29)&gt;0,AD$5&gt;INDEX(TekTil,29))),"",IF(COUNTIFS(TF_Nokkel,$A46&amp;"|"&amp;AD$5)=0,IF(AD$9&lt;&gt;"","LMS",""),IFERROR(IF(SUMIFS(TF_Timer,TF_Nokkel,$A46&amp;"|"&amp;AD$5,TF_Akt,"LMS")+IF(AD$9="",0,MAX(0,ROUND((AD$12-SUMIFS(TF_Timer,TF_Nokkel,$A46&amp;"|"&amp;AD$5))*2,0)/2))&gt;INDEX(TF_AktSum,MATCH($A46&amp;"|"&amp;AD$5,TF_Dom,0)),"LMS",INDEX(AktKode,MATCH(INDEX(TF_Akt,MATCH($A46&amp;"|"&amp;AD$5,TF_Dom,0)),Aktiviteter,0)))&amp;IF(OR(COUNTIFS(TF_Nokkel,$A46&amp;"|"&amp;AD$5,TF_Akt,"&lt;&gt;"&amp;INDEX(TF_Akt,MATCH($A46&amp;"|"&amp;AD$5,TF_Dom,0)))&gt;0,AND(IF(AD$9="",0,MAX(0,ROUND((AD$12-SUMIFS(TF_Timer,TF_Nokkel,$A46&amp;"|"&amp;AD$5))*2,0)/2))&gt;0,INDEX(TF_Akt,MATCH($A46&amp;"|"&amp;AD$5,TF_Dom,0))&lt;&gt;"LMS")),"+",""),"?"))))</f>
        <v/>
      </c>
      <c r="AE46" s="13">
        <f>IF(OR($A46="",AE$5=""),"",IF(OR(AND(INDEX(TekFra,29)&gt;0,AE$5&lt;INDEX(TekFra,29)),AND(INDEX(TekTil,29)&gt;0,AE$5&gt;INDEX(TekTil,29))),"",IF(COUNTIFS(TF_Nokkel,$A46&amp;"|"&amp;AE$5)=0,IF(AE$9&lt;&gt;"","LMS",""),IFERROR(IF(SUMIFS(TF_Timer,TF_Nokkel,$A46&amp;"|"&amp;AE$5,TF_Akt,"LMS")+IF(AE$9="",0,MAX(0,ROUND((AE$12-SUMIFS(TF_Timer,TF_Nokkel,$A46&amp;"|"&amp;AE$5))*2,0)/2))&gt;INDEX(TF_AktSum,MATCH($A46&amp;"|"&amp;AE$5,TF_Dom,0)),"LMS",INDEX(AktKode,MATCH(INDEX(TF_Akt,MATCH($A46&amp;"|"&amp;AE$5,TF_Dom,0)),Aktiviteter,0)))&amp;IF(OR(COUNTIFS(TF_Nokkel,$A46&amp;"|"&amp;AE$5,TF_Akt,"&lt;&gt;"&amp;INDEX(TF_Akt,MATCH($A46&amp;"|"&amp;AE$5,TF_Dom,0)))&gt;0,AND(IF(AE$9="",0,MAX(0,ROUND((AE$12-SUMIFS(TF_Timer,TF_Nokkel,$A46&amp;"|"&amp;AE$5))*2,0)/2))&gt;0,INDEX(TF_Akt,MATCH($A46&amp;"|"&amp;AE$5,TF_Dom,0))&lt;&gt;"LMS")),"+",""),"?"))))</f>
        <v/>
      </c>
      <c r="AF46" s="13">
        <f>IF(OR($A46="",AF$5=""),"",IF(OR(AND(INDEX(TekFra,29)&gt;0,AF$5&lt;INDEX(TekFra,29)),AND(INDEX(TekTil,29)&gt;0,AF$5&gt;INDEX(TekTil,29))),"",IF(COUNTIFS(TF_Nokkel,$A46&amp;"|"&amp;AF$5)=0,IF(AF$9&lt;&gt;"","LMS",""),IFERROR(IF(SUMIFS(TF_Timer,TF_Nokkel,$A46&amp;"|"&amp;AF$5,TF_Akt,"LMS")+IF(AF$9="",0,MAX(0,ROUND((AF$12-SUMIFS(TF_Timer,TF_Nokkel,$A46&amp;"|"&amp;AF$5))*2,0)/2))&gt;INDEX(TF_AktSum,MATCH($A46&amp;"|"&amp;AF$5,TF_Dom,0)),"LMS",INDEX(AktKode,MATCH(INDEX(TF_Akt,MATCH($A46&amp;"|"&amp;AF$5,TF_Dom,0)),Aktiviteter,0)))&amp;IF(OR(COUNTIFS(TF_Nokkel,$A46&amp;"|"&amp;AF$5,TF_Akt,"&lt;&gt;"&amp;INDEX(TF_Akt,MATCH($A46&amp;"|"&amp;AF$5,TF_Dom,0)))&gt;0,AND(IF(AF$9="",0,MAX(0,ROUND((AF$12-SUMIFS(TF_Timer,TF_Nokkel,$A46&amp;"|"&amp;AF$5))*2,0)/2))&gt;0,INDEX(TF_Akt,MATCH($A46&amp;"|"&amp;AF$5,TF_Dom,0))&lt;&gt;"LMS")),"+",""),"?"))))</f>
        <v/>
      </c>
      <c r="AG46" s="13">
        <f>IF(OR($A46="",AG$5=""),"",IF(OR(AND(INDEX(TekFra,29)&gt;0,AG$5&lt;INDEX(TekFra,29)),AND(INDEX(TekTil,29)&gt;0,AG$5&gt;INDEX(TekTil,29))),"",IF(COUNTIFS(TF_Nokkel,$A46&amp;"|"&amp;AG$5)=0,IF(AG$9&lt;&gt;"","LMS",""),IFERROR(IF(SUMIFS(TF_Timer,TF_Nokkel,$A46&amp;"|"&amp;AG$5,TF_Akt,"LMS")+IF(AG$9="",0,MAX(0,ROUND((AG$12-SUMIFS(TF_Timer,TF_Nokkel,$A46&amp;"|"&amp;AG$5))*2,0)/2))&gt;INDEX(TF_AktSum,MATCH($A46&amp;"|"&amp;AG$5,TF_Dom,0)),"LMS",INDEX(AktKode,MATCH(INDEX(TF_Akt,MATCH($A46&amp;"|"&amp;AG$5,TF_Dom,0)),Aktiviteter,0)))&amp;IF(OR(COUNTIFS(TF_Nokkel,$A46&amp;"|"&amp;AG$5,TF_Akt,"&lt;&gt;"&amp;INDEX(TF_Akt,MATCH($A46&amp;"|"&amp;AG$5,TF_Dom,0)))&gt;0,AND(IF(AG$9="",0,MAX(0,ROUND((AG$12-SUMIFS(TF_Timer,TF_Nokkel,$A46&amp;"|"&amp;AG$5))*2,0)/2))&gt;0,INDEX(TF_Akt,MATCH($A46&amp;"|"&amp;AG$5,TF_Dom,0))&lt;&gt;"LMS")),"+",""),"?"))))</f>
        <v/>
      </c>
      <c r="AH46" s="2" t="n"/>
      <c r="AI46" s="2" t="n"/>
      <c r="AJ46" s="2" t="n"/>
    </row>
    <row r="47">
      <c r="A47" s="2">
        <f>INDEX(Teknikere,30)&amp;""</f>
        <v/>
      </c>
      <c r="B47" s="12">
        <f>IF(INDEX(TekFra,30)&gt;0,"ekstra","")</f>
        <v/>
      </c>
      <c r="C47" s="13">
        <f>IF(OR($A47="",C$5=""),"",IF(OR(AND(INDEX(TekFra,30)&gt;0,C$5&lt;INDEX(TekFra,30)),AND(INDEX(TekTil,30)&gt;0,C$5&gt;INDEX(TekTil,30))),"",IF(COUNTIFS(TF_Nokkel,$A47&amp;"|"&amp;C$5)=0,IF(C$9&lt;&gt;"","LMS",""),IFERROR(IF(SUMIFS(TF_Timer,TF_Nokkel,$A47&amp;"|"&amp;C$5,TF_Akt,"LMS")+IF(C$9="",0,MAX(0,ROUND((C$12-SUMIFS(TF_Timer,TF_Nokkel,$A47&amp;"|"&amp;C$5))*2,0)/2))&gt;INDEX(TF_AktSum,MATCH($A47&amp;"|"&amp;C$5,TF_Dom,0)),"LMS",INDEX(AktKode,MATCH(INDEX(TF_Akt,MATCH($A47&amp;"|"&amp;C$5,TF_Dom,0)),Aktiviteter,0)))&amp;IF(OR(COUNTIFS(TF_Nokkel,$A47&amp;"|"&amp;C$5,TF_Akt,"&lt;&gt;"&amp;INDEX(TF_Akt,MATCH($A47&amp;"|"&amp;C$5,TF_Dom,0)))&gt;0,AND(IF(C$9="",0,MAX(0,ROUND((C$12-SUMIFS(TF_Timer,TF_Nokkel,$A47&amp;"|"&amp;C$5))*2,0)/2))&gt;0,INDEX(TF_Akt,MATCH($A47&amp;"|"&amp;C$5,TF_Dom,0))&lt;&gt;"LMS")),"+",""),"?"))))</f>
        <v/>
      </c>
      <c r="D47" s="13">
        <f>IF(OR($A47="",D$5=""),"",IF(OR(AND(INDEX(TekFra,30)&gt;0,D$5&lt;INDEX(TekFra,30)),AND(INDEX(TekTil,30)&gt;0,D$5&gt;INDEX(TekTil,30))),"",IF(COUNTIFS(TF_Nokkel,$A47&amp;"|"&amp;D$5)=0,IF(D$9&lt;&gt;"","LMS",""),IFERROR(IF(SUMIFS(TF_Timer,TF_Nokkel,$A47&amp;"|"&amp;D$5,TF_Akt,"LMS")+IF(D$9="",0,MAX(0,ROUND((D$12-SUMIFS(TF_Timer,TF_Nokkel,$A47&amp;"|"&amp;D$5))*2,0)/2))&gt;INDEX(TF_AktSum,MATCH($A47&amp;"|"&amp;D$5,TF_Dom,0)),"LMS",INDEX(AktKode,MATCH(INDEX(TF_Akt,MATCH($A47&amp;"|"&amp;D$5,TF_Dom,0)),Aktiviteter,0)))&amp;IF(OR(COUNTIFS(TF_Nokkel,$A47&amp;"|"&amp;D$5,TF_Akt,"&lt;&gt;"&amp;INDEX(TF_Akt,MATCH($A47&amp;"|"&amp;D$5,TF_Dom,0)))&gt;0,AND(IF(D$9="",0,MAX(0,ROUND((D$12-SUMIFS(TF_Timer,TF_Nokkel,$A47&amp;"|"&amp;D$5))*2,0)/2))&gt;0,INDEX(TF_Akt,MATCH($A47&amp;"|"&amp;D$5,TF_Dom,0))&lt;&gt;"LMS")),"+",""),"?"))))</f>
        <v/>
      </c>
      <c r="E47" s="13">
        <f>IF(OR($A47="",E$5=""),"",IF(OR(AND(INDEX(TekFra,30)&gt;0,E$5&lt;INDEX(TekFra,30)),AND(INDEX(TekTil,30)&gt;0,E$5&gt;INDEX(TekTil,30))),"",IF(COUNTIFS(TF_Nokkel,$A47&amp;"|"&amp;E$5)=0,IF(E$9&lt;&gt;"","LMS",""),IFERROR(IF(SUMIFS(TF_Timer,TF_Nokkel,$A47&amp;"|"&amp;E$5,TF_Akt,"LMS")+IF(E$9="",0,MAX(0,ROUND((E$12-SUMIFS(TF_Timer,TF_Nokkel,$A47&amp;"|"&amp;E$5))*2,0)/2))&gt;INDEX(TF_AktSum,MATCH($A47&amp;"|"&amp;E$5,TF_Dom,0)),"LMS",INDEX(AktKode,MATCH(INDEX(TF_Akt,MATCH($A47&amp;"|"&amp;E$5,TF_Dom,0)),Aktiviteter,0)))&amp;IF(OR(COUNTIFS(TF_Nokkel,$A47&amp;"|"&amp;E$5,TF_Akt,"&lt;&gt;"&amp;INDEX(TF_Akt,MATCH($A47&amp;"|"&amp;E$5,TF_Dom,0)))&gt;0,AND(IF(E$9="",0,MAX(0,ROUND((E$12-SUMIFS(TF_Timer,TF_Nokkel,$A47&amp;"|"&amp;E$5))*2,0)/2))&gt;0,INDEX(TF_Akt,MATCH($A47&amp;"|"&amp;E$5,TF_Dom,0))&lt;&gt;"LMS")),"+",""),"?"))))</f>
        <v/>
      </c>
      <c r="F47" s="13">
        <f>IF(OR($A47="",F$5=""),"",IF(OR(AND(INDEX(TekFra,30)&gt;0,F$5&lt;INDEX(TekFra,30)),AND(INDEX(TekTil,30)&gt;0,F$5&gt;INDEX(TekTil,30))),"",IF(COUNTIFS(TF_Nokkel,$A47&amp;"|"&amp;F$5)=0,IF(F$9&lt;&gt;"","LMS",""),IFERROR(IF(SUMIFS(TF_Timer,TF_Nokkel,$A47&amp;"|"&amp;F$5,TF_Akt,"LMS")+IF(F$9="",0,MAX(0,ROUND((F$12-SUMIFS(TF_Timer,TF_Nokkel,$A47&amp;"|"&amp;F$5))*2,0)/2))&gt;INDEX(TF_AktSum,MATCH($A47&amp;"|"&amp;F$5,TF_Dom,0)),"LMS",INDEX(AktKode,MATCH(INDEX(TF_Akt,MATCH($A47&amp;"|"&amp;F$5,TF_Dom,0)),Aktiviteter,0)))&amp;IF(OR(COUNTIFS(TF_Nokkel,$A47&amp;"|"&amp;F$5,TF_Akt,"&lt;&gt;"&amp;INDEX(TF_Akt,MATCH($A47&amp;"|"&amp;F$5,TF_Dom,0)))&gt;0,AND(IF(F$9="",0,MAX(0,ROUND((F$12-SUMIFS(TF_Timer,TF_Nokkel,$A47&amp;"|"&amp;F$5))*2,0)/2))&gt;0,INDEX(TF_Akt,MATCH($A47&amp;"|"&amp;F$5,TF_Dom,0))&lt;&gt;"LMS")),"+",""),"?"))))</f>
        <v/>
      </c>
      <c r="G47" s="13">
        <f>IF(OR($A47="",G$5=""),"",IF(OR(AND(INDEX(TekFra,30)&gt;0,G$5&lt;INDEX(TekFra,30)),AND(INDEX(TekTil,30)&gt;0,G$5&gt;INDEX(TekTil,30))),"",IF(COUNTIFS(TF_Nokkel,$A47&amp;"|"&amp;G$5)=0,IF(G$9&lt;&gt;"","LMS",""),IFERROR(IF(SUMIFS(TF_Timer,TF_Nokkel,$A47&amp;"|"&amp;G$5,TF_Akt,"LMS")+IF(G$9="",0,MAX(0,ROUND((G$12-SUMIFS(TF_Timer,TF_Nokkel,$A47&amp;"|"&amp;G$5))*2,0)/2))&gt;INDEX(TF_AktSum,MATCH($A47&amp;"|"&amp;G$5,TF_Dom,0)),"LMS",INDEX(AktKode,MATCH(INDEX(TF_Akt,MATCH($A47&amp;"|"&amp;G$5,TF_Dom,0)),Aktiviteter,0)))&amp;IF(OR(COUNTIFS(TF_Nokkel,$A47&amp;"|"&amp;G$5,TF_Akt,"&lt;&gt;"&amp;INDEX(TF_Akt,MATCH($A47&amp;"|"&amp;G$5,TF_Dom,0)))&gt;0,AND(IF(G$9="",0,MAX(0,ROUND((G$12-SUMIFS(TF_Timer,TF_Nokkel,$A47&amp;"|"&amp;G$5))*2,0)/2))&gt;0,INDEX(TF_Akt,MATCH($A47&amp;"|"&amp;G$5,TF_Dom,0))&lt;&gt;"LMS")),"+",""),"?"))))</f>
        <v/>
      </c>
      <c r="H47" s="13">
        <f>IF(OR($A47="",H$5=""),"",IF(OR(AND(INDEX(TekFra,30)&gt;0,H$5&lt;INDEX(TekFra,30)),AND(INDEX(TekTil,30)&gt;0,H$5&gt;INDEX(TekTil,30))),"",IF(COUNTIFS(TF_Nokkel,$A47&amp;"|"&amp;H$5)=0,IF(H$9&lt;&gt;"","LMS",""),IFERROR(IF(SUMIFS(TF_Timer,TF_Nokkel,$A47&amp;"|"&amp;H$5,TF_Akt,"LMS")+IF(H$9="",0,MAX(0,ROUND((H$12-SUMIFS(TF_Timer,TF_Nokkel,$A47&amp;"|"&amp;H$5))*2,0)/2))&gt;INDEX(TF_AktSum,MATCH($A47&amp;"|"&amp;H$5,TF_Dom,0)),"LMS",INDEX(AktKode,MATCH(INDEX(TF_Akt,MATCH($A47&amp;"|"&amp;H$5,TF_Dom,0)),Aktiviteter,0)))&amp;IF(OR(COUNTIFS(TF_Nokkel,$A47&amp;"|"&amp;H$5,TF_Akt,"&lt;&gt;"&amp;INDEX(TF_Akt,MATCH($A47&amp;"|"&amp;H$5,TF_Dom,0)))&gt;0,AND(IF(H$9="",0,MAX(0,ROUND((H$12-SUMIFS(TF_Timer,TF_Nokkel,$A47&amp;"|"&amp;H$5))*2,0)/2))&gt;0,INDEX(TF_Akt,MATCH($A47&amp;"|"&amp;H$5,TF_Dom,0))&lt;&gt;"LMS")),"+",""),"?"))))</f>
        <v/>
      </c>
      <c r="I47" s="13">
        <f>IF(OR($A47="",I$5=""),"",IF(OR(AND(INDEX(TekFra,30)&gt;0,I$5&lt;INDEX(TekFra,30)),AND(INDEX(TekTil,30)&gt;0,I$5&gt;INDEX(TekTil,30))),"",IF(COUNTIFS(TF_Nokkel,$A47&amp;"|"&amp;I$5)=0,IF(I$9&lt;&gt;"","LMS",""),IFERROR(IF(SUMIFS(TF_Timer,TF_Nokkel,$A47&amp;"|"&amp;I$5,TF_Akt,"LMS")+IF(I$9="",0,MAX(0,ROUND((I$12-SUMIFS(TF_Timer,TF_Nokkel,$A47&amp;"|"&amp;I$5))*2,0)/2))&gt;INDEX(TF_AktSum,MATCH($A47&amp;"|"&amp;I$5,TF_Dom,0)),"LMS",INDEX(AktKode,MATCH(INDEX(TF_Akt,MATCH($A47&amp;"|"&amp;I$5,TF_Dom,0)),Aktiviteter,0)))&amp;IF(OR(COUNTIFS(TF_Nokkel,$A47&amp;"|"&amp;I$5,TF_Akt,"&lt;&gt;"&amp;INDEX(TF_Akt,MATCH($A47&amp;"|"&amp;I$5,TF_Dom,0)))&gt;0,AND(IF(I$9="",0,MAX(0,ROUND((I$12-SUMIFS(TF_Timer,TF_Nokkel,$A47&amp;"|"&amp;I$5))*2,0)/2))&gt;0,INDEX(TF_Akt,MATCH($A47&amp;"|"&amp;I$5,TF_Dom,0))&lt;&gt;"LMS")),"+",""),"?"))))</f>
        <v/>
      </c>
      <c r="J47" s="13">
        <f>IF(OR($A47="",J$5=""),"",IF(OR(AND(INDEX(TekFra,30)&gt;0,J$5&lt;INDEX(TekFra,30)),AND(INDEX(TekTil,30)&gt;0,J$5&gt;INDEX(TekTil,30))),"",IF(COUNTIFS(TF_Nokkel,$A47&amp;"|"&amp;J$5)=0,IF(J$9&lt;&gt;"","LMS",""),IFERROR(IF(SUMIFS(TF_Timer,TF_Nokkel,$A47&amp;"|"&amp;J$5,TF_Akt,"LMS")+IF(J$9="",0,MAX(0,ROUND((J$12-SUMIFS(TF_Timer,TF_Nokkel,$A47&amp;"|"&amp;J$5))*2,0)/2))&gt;INDEX(TF_AktSum,MATCH($A47&amp;"|"&amp;J$5,TF_Dom,0)),"LMS",INDEX(AktKode,MATCH(INDEX(TF_Akt,MATCH($A47&amp;"|"&amp;J$5,TF_Dom,0)),Aktiviteter,0)))&amp;IF(OR(COUNTIFS(TF_Nokkel,$A47&amp;"|"&amp;J$5,TF_Akt,"&lt;&gt;"&amp;INDEX(TF_Akt,MATCH($A47&amp;"|"&amp;J$5,TF_Dom,0)))&gt;0,AND(IF(J$9="",0,MAX(0,ROUND((J$12-SUMIFS(TF_Timer,TF_Nokkel,$A47&amp;"|"&amp;J$5))*2,0)/2))&gt;0,INDEX(TF_Akt,MATCH($A47&amp;"|"&amp;J$5,TF_Dom,0))&lt;&gt;"LMS")),"+",""),"?"))))</f>
        <v/>
      </c>
      <c r="K47" s="13">
        <f>IF(OR($A47="",K$5=""),"",IF(OR(AND(INDEX(TekFra,30)&gt;0,K$5&lt;INDEX(TekFra,30)),AND(INDEX(TekTil,30)&gt;0,K$5&gt;INDEX(TekTil,30))),"",IF(COUNTIFS(TF_Nokkel,$A47&amp;"|"&amp;K$5)=0,IF(K$9&lt;&gt;"","LMS",""),IFERROR(IF(SUMIFS(TF_Timer,TF_Nokkel,$A47&amp;"|"&amp;K$5,TF_Akt,"LMS")+IF(K$9="",0,MAX(0,ROUND((K$12-SUMIFS(TF_Timer,TF_Nokkel,$A47&amp;"|"&amp;K$5))*2,0)/2))&gt;INDEX(TF_AktSum,MATCH($A47&amp;"|"&amp;K$5,TF_Dom,0)),"LMS",INDEX(AktKode,MATCH(INDEX(TF_Akt,MATCH($A47&amp;"|"&amp;K$5,TF_Dom,0)),Aktiviteter,0)))&amp;IF(OR(COUNTIFS(TF_Nokkel,$A47&amp;"|"&amp;K$5,TF_Akt,"&lt;&gt;"&amp;INDEX(TF_Akt,MATCH($A47&amp;"|"&amp;K$5,TF_Dom,0)))&gt;0,AND(IF(K$9="",0,MAX(0,ROUND((K$12-SUMIFS(TF_Timer,TF_Nokkel,$A47&amp;"|"&amp;K$5))*2,0)/2))&gt;0,INDEX(TF_Akt,MATCH($A47&amp;"|"&amp;K$5,TF_Dom,0))&lt;&gt;"LMS")),"+",""),"?"))))</f>
        <v/>
      </c>
      <c r="L47" s="13">
        <f>IF(OR($A47="",L$5=""),"",IF(OR(AND(INDEX(TekFra,30)&gt;0,L$5&lt;INDEX(TekFra,30)),AND(INDEX(TekTil,30)&gt;0,L$5&gt;INDEX(TekTil,30))),"",IF(COUNTIFS(TF_Nokkel,$A47&amp;"|"&amp;L$5)=0,IF(L$9&lt;&gt;"","LMS",""),IFERROR(IF(SUMIFS(TF_Timer,TF_Nokkel,$A47&amp;"|"&amp;L$5,TF_Akt,"LMS")+IF(L$9="",0,MAX(0,ROUND((L$12-SUMIFS(TF_Timer,TF_Nokkel,$A47&amp;"|"&amp;L$5))*2,0)/2))&gt;INDEX(TF_AktSum,MATCH($A47&amp;"|"&amp;L$5,TF_Dom,0)),"LMS",INDEX(AktKode,MATCH(INDEX(TF_Akt,MATCH($A47&amp;"|"&amp;L$5,TF_Dom,0)),Aktiviteter,0)))&amp;IF(OR(COUNTIFS(TF_Nokkel,$A47&amp;"|"&amp;L$5,TF_Akt,"&lt;&gt;"&amp;INDEX(TF_Akt,MATCH($A47&amp;"|"&amp;L$5,TF_Dom,0)))&gt;0,AND(IF(L$9="",0,MAX(0,ROUND((L$12-SUMIFS(TF_Timer,TF_Nokkel,$A47&amp;"|"&amp;L$5))*2,0)/2))&gt;0,INDEX(TF_Akt,MATCH($A47&amp;"|"&amp;L$5,TF_Dom,0))&lt;&gt;"LMS")),"+",""),"?"))))</f>
        <v/>
      </c>
      <c r="M47" s="13">
        <f>IF(OR($A47="",M$5=""),"",IF(OR(AND(INDEX(TekFra,30)&gt;0,M$5&lt;INDEX(TekFra,30)),AND(INDEX(TekTil,30)&gt;0,M$5&gt;INDEX(TekTil,30))),"",IF(COUNTIFS(TF_Nokkel,$A47&amp;"|"&amp;M$5)=0,IF(M$9&lt;&gt;"","LMS",""),IFERROR(IF(SUMIFS(TF_Timer,TF_Nokkel,$A47&amp;"|"&amp;M$5,TF_Akt,"LMS")+IF(M$9="",0,MAX(0,ROUND((M$12-SUMIFS(TF_Timer,TF_Nokkel,$A47&amp;"|"&amp;M$5))*2,0)/2))&gt;INDEX(TF_AktSum,MATCH($A47&amp;"|"&amp;M$5,TF_Dom,0)),"LMS",INDEX(AktKode,MATCH(INDEX(TF_Akt,MATCH($A47&amp;"|"&amp;M$5,TF_Dom,0)),Aktiviteter,0)))&amp;IF(OR(COUNTIFS(TF_Nokkel,$A47&amp;"|"&amp;M$5,TF_Akt,"&lt;&gt;"&amp;INDEX(TF_Akt,MATCH($A47&amp;"|"&amp;M$5,TF_Dom,0)))&gt;0,AND(IF(M$9="",0,MAX(0,ROUND((M$12-SUMIFS(TF_Timer,TF_Nokkel,$A47&amp;"|"&amp;M$5))*2,0)/2))&gt;0,INDEX(TF_Akt,MATCH($A47&amp;"|"&amp;M$5,TF_Dom,0))&lt;&gt;"LMS")),"+",""),"?"))))</f>
        <v/>
      </c>
      <c r="N47" s="13">
        <f>IF(OR($A47="",N$5=""),"",IF(OR(AND(INDEX(TekFra,30)&gt;0,N$5&lt;INDEX(TekFra,30)),AND(INDEX(TekTil,30)&gt;0,N$5&gt;INDEX(TekTil,30))),"",IF(COUNTIFS(TF_Nokkel,$A47&amp;"|"&amp;N$5)=0,IF(N$9&lt;&gt;"","LMS",""),IFERROR(IF(SUMIFS(TF_Timer,TF_Nokkel,$A47&amp;"|"&amp;N$5,TF_Akt,"LMS")+IF(N$9="",0,MAX(0,ROUND((N$12-SUMIFS(TF_Timer,TF_Nokkel,$A47&amp;"|"&amp;N$5))*2,0)/2))&gt;INDEX(TF_AktSum,MATCH($A47&amp;"|"&amp;N$5,TF_Dom,0)),"LMS",INDEX(AktKode,MATCH(INDEX(TF_Akt,MATCH($A47&amp;"|"&amp;N$5,TF_Dom,0)),Aktiviteter,0)))&amp;IF(OR(COUNTIFS(TF_Nokkel,$A47&amp;"|"&amp;N$5,TF_Akt,"&lt;&gt;"&amp;INDEX(TF_Akt,MATCH($A47&amp;"|"&amp;N$5,TF_Dom,0)))&gt;0,AND(IF(N$9="",0,MAX(0,ROUND((N$12-SUMIFS(TF_Timer,TF_Nokkel,$A47&amp;"|"&amp;N$5))*2,0)/2))&gt;0,INDEX(TF_Akt,MATCH($A47&amp;"|"&amp;N$5,TF_Dom,0))&lt;&gt;"LMS")),"+",""),"?"))))</f>
        <v/>
      </c>
      <c r="O47" s="13">
        <f>IF(OR($A47="",O$5=""),"",IF(OR(AND(INDEX(TekFra,30)&gt;0,O$5&lt;INDEX(TekFra,30)),AND(INDEX(TekTil,30)&gt;0,O$5&gt;INDEX(TekTil,30))),"",IF(COUNTIFS(TF_Nokkel,$A47&amp;"|"&amp;O$5)=0,IF(O$9&lt;&gt;"","LMS",""),IFERROR(IF(SUMIFS(TF_Timer,TF_Nokkel,$A47&amp;"|"&amp;O$5,TF_Akt,"LMS")+IF(O$9="",0,MAX(0,ROUND((O$12-SUMIFS(TF_Timer,TF_Nokkel,$A47&amp;"|"&amp;O$5))*2,0)/2))&gt;INDEX(TF_AktSum,MATCH($A47&amp;"|"&amp;O$5,TF_Dom,0)),"LMS",INDEX(AktKode,MATCH(INDEX(TF_Akt,MATCH($A47&amp;"|"&amp;O$5,TF_Dom,0)),Aktiviteter,0)))&amp;IF(OR(COUNTIFS(TF_Nokkel,$A47&amp;"|"&amp;O$5,TF_Akt,"&lt;&gt;"&amp;INDEX(TF_Akt,MATCH($A47&amp;"|"&amp;O$5,TF_Dom,0)))&gt;0,AND(IF(O$9="",0,MAX(0,ROUND((O$12-SUMIFS(TF_Timer,TF_Nokkel,$A47&amp;"|"&amp;O$5))*2,0)/2))&gt;0,INDEX(TF_Akt,MATCH($A47&amp;"|"&amp;O$5,TF_Dom,0))&lt;&gt;"LMS")),"+",""),"?"))))</f>
        <v/>
      </c>
      <c r="P47" s="13">
        <f>IF(OR($A47="",P$5=""),"",IF(OR(AND(INDEX(TekFra,30)&gt;0,P$5&lt;INDEX(TekFra,30)),AND(INDEX(TekTil,30)&gt;0,P$5&gt;INDEX(TekTil,30))),"",IF(COUNTIFS(TF_Nokkel,$A47&amp;"|"&amp;P$5)=0,IF(P$9&lt;&gt;"","LMS",""),IFERROR(IF(SUMIFS(TF_Timer,TF_Nokkel,$A47&amp;"|"&amp;P$5,TF_Akt,"LMS")+IF(P$9="",0,MAX(0,ROUND((P$12-SUMIFS(TF_Timer,TF_Nokkel,$A47&amp;"|"&amp;P$5))*2,0)/2))&gt;INDEX(TF_AktSum,MATCH($A47&amp;"|"&amp;P$5,TF_Dom,0)),"LMS",INDEX(AktKode,MATCH(INDEX(TF_Akt,MATCH($A47&amp;"|"&amp;P$5,TF_Dom,0)),Aktiviteter,0)))&amp;IF(OR(COUNTIFS(TF_Nokkel,$A47&amp;"|"&amp;P$5,TF_Akt,"&lt;&gt;"&amp;INDEX(TF_Akt,MATCH($A47&amp;"|"&amp;P$5,TF_Dom,0)))&gt;0,AND(IF(P$9="",0,MAX(0,ROUND((P$12-SUMIFS(TF_Timer,TF_Nokkel,$A47&amp;"|"&amp;P$5))*2,0)/2))&gt;0,INDEX(TF_Akt,MATCH($A47&amp;"|"&amp;P$5,TF_Dom,0))&lt;&gt;"LMS")),"+",""),"?"))))</f>
        <v/>
      </c>
      <c r="Q47" s="13">
        <f>IF(OR($A47="",Q$5=""),"",IF(OR(AND(INDEX(TekFra,30)&gt;0,Q$5&lt;INDEX(TekFra,30)),AND(INDEX(TekTil,30)&gt;0,Q$5&gt;INDEX(TekTil,30))),"",IF(COUNTIFS(TF_Nokkel,$A47&amp;"|"&amp;Q$5)=0,IF(Q$9&lt;&gt;"","LMS",""),IFERROR(IF(SUMIFS(TF_Timer,TF_Nokkel,$A47&amp;"|"&amp;Q$5,TF_Akt,"LMS")+IF(Q$9="",0,MAX(0,ROUND((Q$12-SUMIFS(TF_Timer,TF_Nokkel,$A47&amp;"|"&amp;Q$5))*2,0)/2))&gt;INDEX(TF_AktSum,MATCH($A47&amp;"|"&amp;Q$5,TF_Dom,0)),"LMS",INDEX(AktKode,MATCH(INDEX(TF_Akt,MATCH($A47&amp;"|"&amp;Q$5,TF_Dom,0)),Aktiviteter,0)))&amp;IF(OR(COUNTIFS(TF_Nokkel,$A47&amp;"|"&amp;Q$5,TF_Akt,"&lt;&gt;"&amp;INDEX(TF_Akt,MATCH($A47&amp;"|"&amp;Q$5,TF_Dom,0)))&gt;0,AND(IF(Q$9="",0,MAX(0,ROUND((Q$12-SUMIFS(TF_Timer,TF_Nokkel,$A47&amp;"|"&amp;Q$5))*2,0)/2))&gt;0,INDEX(TF_Akt,MATCH($A47&amp;"|"&amp;Q$5,TF_Dom,0))&lt;&gt;"LMS")),"+",""),"?"))))</f>
        <v/>
      </c>
      <c r="R47" s="13">
        <f>IF(OR($A47="",R$5=""),"",IF(OR(AND(INDEX(TekFra,30)&gt;0,R$5&lt;INDEX(TekFra,30)),AND(INDEX(TekTil,30)&gt;0,R$5&gt;INDEX(TekTil,30))),"",IF(COUNTIFS(TF_Nokkel,$A47&amp;"|"&amp;R$5)=0,IF(R$9&lt;&gt;"","LMS",""),IFERROR(IF(SUMIFS(TF_Timer,TF_Nokkel,$A47&amp;"|"&amp;R$5,TF_Akt,"LMS")+IF(R$9="",0,MAX(0,ROUND((R$12-SUMIFS(TF_Timer,TF_Nokkel,$A47&amp;"|"&amp;R$5))*2,0)/2))&gt;INDEX(TF_AktSum,MATCH($A47&amp;"|"&amp;R$5,TF_Dom,0)),"LMS",INDEX(AktKode,MATCH(INDEX(TF_Akt,MATCH($A47&amp;"|"&amp;R$5,TF_Dom,0)),Aktiviteter,0)))&amp;IF(OR(COUNTIFS(TF_Nokkel,$A47&amp;"|"&amp;R$5,TF_Akt,"&lt;&gt;"&amp;INDEX(TF_Akt,MATCH($A47&amp;"|"&amp;R$5,TF_Dom,0)))&gt;0,AND(IF(R$9="",0,MAX(0,ROUND((R$12-SUMIFS(TF_Timer,TF_Nokkel,$A47&amp;"|"&amp;R$5))*2,0)/2))&gt;0,INDEX(TF_Akt,MATCH($A47&amp;"|"&amp;R$5,TF_Dom,0))&lt;&gt;"LMS")),"+",""),"?"))))</f>
        <v/>
      </c>
      <c r="S47" s="13">
        <f>IF(OR($A47="",S$5=""),"",IF(OR(AND(INDEX(TekFra,30)&gt;0,S$5&lt;INDEX(TekFra,30)),AND(INDEX(TekTil,30)&gt;0,S$5&gt;INDEX(TekTil,30))),"",IF(COUNTIFS(TF_Nokkel,$A47&amp;"|"&amp;S$5)=0,IF(S$9&lt;&gt;"","LMS",""),IFERROR(IF(SUMIFS(TF_Timer,TF_Nokkel,$A47&amp;"|"&amp;S$5,TF_Akt,"LMS")+IF(S$9="",0,MAX(0,ROUND((S$12-SUMIFS(TF_Timer,TF_Nokkel,$A47&amp;"|"&amp;S$5))*2,0)/2))&gt;INDEX(TF_AktSum,MATCH($A47&amp;"|"&amp;S$5,TF_Dom,0)),"LMS",INDEX(AktKode,MATCH(INDEX(TF_Akt,MATCH($A47&amp;"|"&amp;S$5,TF_Dom,0)),Aktiviteter,0)))&amp;IF(OR(COUNTIFS(TF_Nokkel,$A47&amp;"|"&amp;S$5,TF_Akt,"&lt;&gt;"&amp;INDEX(TF_Akt,MATCH($A47&amp;"|"&amp;S$5,TF_Dom,0)))&gt;0,AND(IF(S$9="",0,MAX(0,ROUND((S$12-SUMIFS(TF_Timer,TF_Nokkel,$A47&amp;"|"&amp;S$5))*2,0)/2))&gt;0,INDEX(TF_Akt,MATCH($A47&amp;"|"&amp;S$5,TF_Dom,0))&lt;&gt;"LMS")),"+",""),"?"))))</f>
        <v/>
      </c>
      <c r="T47" s="13">
        <f>IF(OR($A47="",T$5=""),"",IF(OR(AND(INDEX(TekFra,30)&gt;0,T$5&lt;INDEX(TekFra,30)),AND(INDEX(TekTil,30)&gt;0,T$5&gt;INDEX(TekTil,30))),"",IF(COUNTIFS(TF_Nokkel,$A47&amp;"|"&amp;T$5)=0,IF(T$9&lt;&gt;"","LMS",""),IFERROR(IF(SUMIFS(TF_Timer,TF_Nokkel,$A47&amp;"|"&amp;T$5,TF_Akt,"LMS")+IF(T$9="",0,MAX(0,ROUND((T$12-SUMIFS(TF_Timer,TF_Nokkel,$A47&amp;"|"&amp;T$5))*2,0)/2))&gt;INDEX(TF_AktSum,MATCH($A47&amp;"|"&amp;T$5,TF_Dom,0)),"LMS",INDEX(AktKode,MATCH(INDEX(TF_Akt,MATCH($A47&amp;"|"&amp;T$5,TF_Dom,0)),Aktiviteter,0)))&amp;IF(OR(COUNTIFS(TF_Nokkel,$A47&amp;"|"&amp;T$5,TF_Akt,"&lt;&gt;"&amp;INDEX(TF_Akt,MATCH($A47&amp;"|"&amp;T$5,TF_Dom,0)))&gt;0,AND(IF(T$9="",0,MAX(0,ROUND((T$12-SUMIFS(TF_Timer,TF_Nokkel,$A47&amp;"|"&amp;T$5))*2,0)/2))&gt;0,INDEX(TF_Akt,MATCH($A47&amp;"|"&amp;T$5,TF_Dom,0))&lt;&gt;"LMS")),"+",""),"?"))))</f>
        <v/>
      </c>
      <c r="U47" s="13">
        <f>IF(OR($A47="",U$5=""),"",IF(OR(AND(INDEX(TekFra,30)&gt;0,U$5&lt;INDEX(TekFra,30)),AND(INDEX(TekTil,30)&gt;0,U$5&gt;INDEX(TekTil,30))),"",IF(COUNTIFS(TF_Nokkel,$A47&amp;"|"&amp;U$5)=0,IF(U$9&lt;&gt;"","LMS",""),IFERROR(IF(SUMIFS(TF_Timer,TF_Nokkel,$A47&amp;"|"&amp;U$5,TF_Akt,"LMS")+IF(U$9="",0,MAX(0,ROUND((U$12-SUMIFS(TF_Timer,TF_Nokkel,$A47&amp;"|"&amp;U$5))*2,0)/2))&gt;INDEX(TF_AktSum,MATCH($A47&amp;"|"&amp;U$5,TF_Dom,0)),"LMS",INDEX(AktKode,MATCH(INDEX(TF_Akt,MATCH($A47&amp;"|"&amp;U$5,TF_Dom,0)),Aktiviteter,0)))&amp;IF(OR(COUNTIFS(TF_Nokkel,$A47&amp;"|"&amp;U$5,TF_Akt,"&lt;&gt;"&amp;INDEX(TF_Akt,MATCH($A47&amp;"|"&amp;U$5,TF_Dom,0)))&gt;0,AND(IF(U$9="",0,MAX(0,ROUND((U$12-SUMIFS(TF_Timer,TF_Nokkel,$A47&amp;"|"&amp;U$5))*2,0)/2))&gt;0,INDEX(TF_Akt,MATCH($A47&amp;"|"&amp;U$5,TF_Dom,0))&lt;&gt;"LMS")),"+",""),"?"))))</f>
        <v/>
      </c>
      <c r="V47" s="13">
        <f>IF(OR($A47="",V$5=""),"",IF(OR(AND(INDEX(TekFra,30)&gt;0,V$5&lt;INDEX(TekFra,30)),AND(INDEX(TekTil,30)&gt;0,V$5&gt;INDEX(TekTil,30))),"",IF(COUNTIFS(TF_Nokkel,$A47&amp;"|"&amp;V$5)=0,IF(V$9&lt;&gt;"","LMS",""),IFERROR(IF(SUMIFS(TF_Timer,TF_Nokkel,$A47&amp;"|"&amp;V$5,TF_Akt,"LMS")+IF(V$9="",0,MAX(0,ROUND((V$12-SUMIFS(TF_Timer,TF_Nokkel,$A47&amp;"|"&amp;V$5))*2,0)/2))&gt;INDEX(TF_AktSum,MATCH($A47&amp;"|"&amp;V$5,TF_Dom,0)),"LMS",INDEX(AktKode,MATCH(INDEX(TF_Akt,MATCH($A47&amp;"|"&amp;V$5,TF_Dom,0)),Aktiviteter,0)))&amp;IF(OR(COUNTIFS(TF_Nokkel,$A47&amp;"|"&amp;V$5,TF_Akt,"&lt;&gt;"&amp;INDEX(TF_Akt,MATCH($A47&amp;"|"&amp;V$5,TF_Dom,0)))&gt;0,AND(IF(V$9="",0,MAX(0,ROUND((V$12-SUMIFS(TF_Timer,TF_Nokkel,$A47&amp;"|"&amp;V$5))*2,0)/2))&gt;0,INDEX(TF_Akt,MATCH($A47&amp;"|"&amp;V$5,TF_Dom,0))&lt;&gt;"LMS")),"+",""),"?"))))</f>
        <v/>
      </c>
      <c r="W47" s="13">
        <f>IF(OR($A47="",W$5=""),"",IF(OR(AND(INDEX(TekFra,30)&gt;0,W$5&lt;INDEX(TekFra,30)),AND(INDEX(TekTil,30)&gt;0,W$5&gt;INDEX(TekTil,30))),"",IF(COUNTIFS(TF_Nokkel,$A47&amp;"|"&amp;W$5)=0,IF(W$9&lt;&gt;"","LMS",""),IFERROR(IF(SUMIFS(TF_Timer,TF_Nokkel,$A47&amp;"|"&amp;W$5,TF_Akt,"LMS")+IF(W$9="",0,MAX(0,ROUND((W$12-SUMIFS(TF_Timer,TF_Nokkel,$A47&amp;"|"&amp;W$5))*2,0)/2))&gt;INDEX(TF_AktSum,MATCH($A47&amp;"|"&amp;W$5,TF_Dom,0)),"LMS",INDEX(AktKode,MATCH(INDEX(TF_Akt,MATCH($A47&amp;"|"&amp;W$5,TF_Dom,0)),Aktiviteter,0)))&amp;IF(OR(COUNTIFS(TF_Nokkel,$A47&amp;"|"&amp;W$5,TF_Akt,"&lt;&gt;"&amp;INDEX(TF_Akt,MATCH($A47&amp;"|"&amp;W$5,TF_Dom,0)))&gt;0,AND(IF(W$9="",0,MAX(0,ROUND((W$12-SUMIFS(TF_Timer,TF_Nokkel,$A47&amp;"|"&amp;W$5))*2,0)/2))&gt;0,INDEX(TF_Akt,MATCH($A47&amp;"|"&amp;W$5,TF_Dom,0))&lt;&gt;"LMS")),"+",""),"?"))))</f>
        <v/>
      </c>
      <c r="X47" s="13">
        <f>IF(OR($A47="",X$5=""),"",IF(OR(AND(INDEX(TekFra,30)&gt;0,X$5&lt;INDEX(TekFra,30)),AND(INDEX(TekTil,30)&gt;0,X$5&gt;INDEX(TekTil,30))),"",IF(COUNTIFS(TF_Nokkel,$A47&amp;"|"&amp;X$5)=0,IF(X$9&lt;&gt;"","LMS",""),IFERROR(IF(SUMIFS(TF_Timer,TF_Nokkel,$A47&amp;"|"&amp;X$5,TF_Akt,"LMS")+IF(X$9="",0,MAX(0,ROUND((X$12-SUMIFS(TF_Timer,TF_Nokkel,$A47&amp;"|"&amp;X$5))*2,0)/2))&gt;INDEX(TF_AktSum,MATCH($A47&amp;"|"&amp;X$5,TF_Dom,0)),"LMS",INDEX(AktKode,MATCH(INDEX(TF_Akt,MATCH($A47&amp;"|"&amp;X$5,TF_Dom,0)),Aktiviteter,0)))&amp;IF(OR(COUNTIFS(TF_Nokkel,$A47&amp;"|"&amp;X$5,TF_Akt,"&lt;&gt;"&amp;INDEX(TF_Akt,MATCH($A47&amp;"|"&amp;X$5,TF_Dom,0)))&gt;0,AND(IF(X$9="",0,MAX(0,ROUND((X$12-SUMIFS(TF_Timer,TF_Nokkel,$A47&amp;"|"&amp;X$5))*2,0)/2))&gt;0,INDEX(TF_Akt,MATCH($A47&amp;"|"&amp;X$5,TF_Dom,0))&lt;&gt;"LMS")),"+",""),"?"))))</f>
        <v/>
      </c>
      <c r="Y47" s="13">
        <f>IF(OR($A47="",Y$5=""),"",IF(OR(AND(INDEX(TekFra,30)&gt;0,Y$5&lt;INDEX(TekFra,30)),AND(INDEX(TekTil,30)&gt;0,Y$5&gt;INDEX(TekTil,30))),"",IF(COUNTIFS(TF_Nokkel,$A47&amp;"|"&amp;Y$5)=0,IF(Y$9&lt;&gt;"","LMS",""),IFERROR(IF(SUMIFS(TF_Timer,TF_Nokkel,$A47&amp;"|"&amp;Y$5,TF_Akt,"LMS")+IF(Y$9="",0,MAX(0,ROUND((Y$12-SUMIFS(TF_Timer,TF_Nokkel,$A47&amp;"|"&amp;Y$5))*2,0)/2))&gt;INDEX(TF_AktSum,MATCH($A47&amp;"|"&amp;Y$5,TF_Dom,0)),"LMS",INDEX(AktKode,MATCH(INDEX(TF_Akt,MATCH($A47&amp;"|"&amp;Y$5,TF_Dom,0)),Aktiviteter,0)))&amp;IF(OR(COUNTIFS(TF_Nokkel,$A47&amp;"|"&amp;Y$5,TF_Akt,"&lt;&gt;"&amp;INDEX(TF_Akt,MATCH($A47&amp;"|"&amp;Y$5,TF_Dom,0)))&gt;0,AND(IF(Y$9="",0,MAX(0,ROUND((Y$12-SUMIFS(TF_Timer,TF_Nokkel,$A47&amp;"|"&amp;Y$5))*2,0)/2))&gt;0,INDEX(TF_Akt,MATCH($A47&amp;"|"&amp;Y$5,TF_Dom,0))&lt;&gt;"LMS")),"+",""),"?"))))</f>
        <v/>
      </c>
      <c r="Z47" s="13">
        <f>IF(OR($A47="",Z$5=""),"",IF(OR(AND(INDEX(TekFra,30)&gt;0,Z$5&lt;INDEX(TekFra,30)),AND(INDEX(TekTil,30)&gt;0,Z$5&gt;INDEX(TekTil,30))),"",IF(COUNTIFS(TF_Nokkel,$A47&amp;"|"&amp;Z$5)=0,IF(Z$9&lt;&gt;"","LMS",""),IFERROR(IF(SUMIFS(TF_Timer,TF_Nokkel,$A47&amp;"|"&amp;Z$5,TF_Akt,"LMS")+IF(Z$9="",0,MAX(0,ROUND((Z$12-SUMIFS(TF_Timer,TF_Nokkel,$A47&amp;"|"&amp;Z$5))*2,0)/2))&gt;INDEX(TF_AktSum,MATCH($A47&amp;"|"&amp;Z$5,TF_Dom,0)),"LMS",INDEX(AktKode,MATCH(INDEX(TF_Akt,MATCH($A47&amp;"|"&amp;Z$5,TF_Dom,0)),Aktiviteter,0)))&amp;IF(OR(COUNTIFS(TF_Nokkel,$A47&amp;"|"&amp;Z$5,TF_Akt,"&lt;&gt;"&amp;INDEX(TF_Akt,MATCH($A47&amp;"|"&amp;Z$5,TF_Dom,0)))&gt;0,AND(IF(Z$9="",0,MAX(0,ROUND((Z$12-SUMIFS(TF_Timer,TF_Nokkel,$A47&amp;"|"&amp;Z$5))*2,0)/2))&gt;0,INDEX(TF_Akt,MATCH($A47&amp;"|"&amp;Z$5,TF_Dom,0))&lt;&gt;"LMS")),"+",""),"?"))))</f>
        <v/>
      </c>
      <c r="AA47" s="13">
        <f>IF(OR($A47="",AA$5=""),"",IF(OR(AND(INDEX(TekFra,30)&gt;0,AA$5&lt;INDEX(TekFra,30)),AND(INDEX(TekTil,30)&gt;0,AA$5&gt;INDEX(TekTil,30))),"",IF(COUNTIFS(TF_Nokkel,$A47&amp;"|"&amp;AA$5)=0,IF(AA$9&lt;&gt;"","LMS",""),IFERROR(IF(SUMIFS(TF_Timer,TF_Nokkel,$A47&amp;"|"&amp;AA$5,TF_Akt,"LMS")+IF(AA$9="",0,MAX(0,ROUND((AA$12-SUMIFS(TF_Timer,TF_Nokkel,$A47&amp;"|"&amp;AA$5))*2,0)/2))&gt;INDEX(TF_AktSum,MATCH($A47&amp;"|"&amp;AA$5,TF_Dom,0)),"LMS",INDEX(AktKode,MATCH(INDEX(TF_Akt,MATCH($A47&amp;"|"&amp;AA$5,TF_Dom,0)),Aktiviteter,0)))&amp;IF(OR(COUNTIFS(TF_Nokkel,$A47&amp;"|"&amp;AA$5,TF_Akt,"&lt;&gt;"&amp;INDEX(TF_Akt,MATCH($A47&amp;"|"&amp;AA$5,TF_Dom,0)))&gt;0,AND(IF(AA$9="",0,MAX(0,ROUND((AA$12-SUMIFS(TF_Timer,TF_Nokkel,$A47&amp;"|"&amp;AA$5))*2,0)/2))&gt;0,INDEX(TF_Akt,MATCH($A47&amp;"|"&amp;AA$5,TF_Dom,0))&lt;&gt;"LMS")),"+",""),"?"))))</f>
        <v/>
      </c>
      <c r="AB47" s="13">
        <f>IF(OR($A47="",AB$5=""),"",IF(OR(AND(INDEX(TekFra,30)&gt;0,AB$5&lt;INDEX(TekFra,30)),AND(INDEX(TekTil,30)&gt;0,AB$5&gt;INDEX(TekTil,30))),"",IF(COUNTIFS(TF_Nokkel,$A47&amp;"|"&amp;AB$5)=0,IF(AB$9&lt;&gt;"","LMS",""),IFERROR(IF(SUMIFS(TF_Timer,TF_Nokkel,$A47&amp;"|"&amp;AB$5,TF_Akt,"LMS")+IF(AB$9="",0,MAX(0,ROUND((AB$12-SUMIFS(TF_Timer,TF_Nokkel,$A47&amp;"|"&amp;AB$5))*2,0)/2))&gt;INDEX(TF_AktSum,MATCH($A47&amp;"|"&amp;AB$5,TF_Dom,0)),"LMS",INDEX(AktKode,MATCH(INDEX(TF_Akt,MATCH($A47&amp;"|"&amp;AB$5,TF_Dom,0)),Aktiviteter,0)))&amp;IF(OR(COUNTIFS(TF_Nokkel,$A47&amp;"|"&amp;AB$5,TF_Akt,"&lt;&gt;"&amp;INDEX(TF_Akt,MATCH($A47&amp;"|"&amp;AB$5,TF_Dom,0)))&gt;0,AND(IF(AB$9="",0,MAX(0,ROUND((AB$12-SUMIFS(TF_Timer,TF_Nokkel,$A47&amp;"|"&amp;AB$5))*2,0)/2))&gt;0,INDEX(TF_Akt,MATCH($A47&amp;"|"&amp;AB$5,TF_Dom,0))&lt;&gt;"LMS")),"+",""),"?"))))</f>
        <v/>
      </c>
      <c r="AC47" s="13">
        <f>IF(OR($A47="",AC$5=""),"",IF(OR(AND(INDEX(TekFra,30)&gt;0,AC$5&lt;INDEX(TekFra,30)),AND(INDEX(TekTil,30)&gt;0,AC$5&gt;INDEX(TekTil,30))),"",IF(COUNTIFS(TF_Nokkel,$A47&amp;"|"&amp;AC$5)=0,IF(AC$9&lt;&gt;"","LMS",""),IFERROR(IF(SUMIFS(TF_Timer,TF_Nokkel,$A47&amp;"|"&amp;AC$5,TF_Akt,"LMS")+IF(AC$9="",0,MAX(0,ROUND((AC$12-SUMIFS(TF_Timer,TF_Nokkel,$A47&amp;"|"&amp;AC$5))*2,0)/2))&gt;INDEX(TF_AktSum,MATCH($A47&amp;"|"&amp;AC$5,TF_Dom,0)),"LMS",INDEX(AktKode,MATCH(INDEX(TF_Akt,MATCH($A47&amp;"|"&amp;AC$5,TF_Dom,0)),Aktiviteter,0)))&amp;IF(OR(COUNTIFS(TF_Nokkel,$A47&amp;"|"&amp;AC$5,TF_Akt,"&lt;&gt;"&amp;INDEX(TF_Akt,MATCH($A47&amp;"|"&amp;AC$5,TF_Dom,0)))&gt;0,AND(IF(AC$9="",0,MAX(0,ROUND((AC$12-SUMIFS(TF_Timer,TF_Nokkel,$A47&amp;"|"&amp;AC$5))*2,0)/2))&gt;0,INDEX(TF_Akt,MATCH($A47&amp;"|"&amp;AC$5,TF_Dom,0))&lt;&gt;"LMS")),"+",""),"?"))))</f>
        <v/>
      </c>
      <c r="AD47" s="13">
        <f>IF(OR($A47="",AD$5=""),"",IF(OR(AND(INDEX(TekFra,30)&gt;0,AD$5&lt;INDEX(TekFra,30)),AND(INDEX(TekTil,30)&gt;0,AD$5&gt;INDEX(TekTil,30))),"",IF(COUNTIFS(TF_Nokkel,$A47&amp;"|"&amp;AD$5)=0,IF(AD$9&lt;&gt;"","LMS",""),IFERROR(IF(SUMIFS(TF_Timer,TF_Nokkel,$A47&amp;"|"&amp;AD$5,TF_Akt,"LMS")+IF(AD$9="",0,MAX(0,ROUND((AD$12-SUMIFS(TF_Timer,TF_Nokkel,$A47&amp;"|"&amp;AD$5))*2,0)/2))&gt;INDEX(TF_AktSum,MATCH($A47&amp;"|"&amp;AD$5,TF_Dom,0)),"LMS",INDEX(AktKode,MATCH(INDEX(TF_Akt,MATCH($A47&amp;"|"&amp;AD$5,TF_Dom,0)),Aktiviteter,0)))&amp;IF(OR(COUNTIFS(TF_Nokkel,$A47&amp;"|"&amp;AD$5,TF_Akt,"&lt;&gt;"&amp;INDEX(TF_Akt,MATCH($A47&amp;"|"&amp;AD$5,TF_Dom,0)))&gt;0,AND(IF(AD$9="",0,MAX(0,ROUND((AD$12-SUMIFS(TF_Timer,TF_Nokkel,$A47&amp;"|"&amp;AD$5))*2,0)/2))&gt;0,INDEX(TF_Akt,MATCH($A47&amp;"|"&amp;AD$5,TF_Dom,0))&lt;&gt;"LMS")),"+",""),"?"))))</f>
        <v/>
      </c>
      <c r="AE47" s="13">
        <f>IF(OR($A47="",AE$5=""),"",IF(OR(AND(INDEX(TekFra,30)&gt;0,AE$5&lt;INDEX(TekFra,30)),AND(INDEX(TekTil,30)&gt;0,AE$5&gt;INDEX(TekTil,30))),"",IF(COUNTIFS(TF_Nokkel,$A47&amp;"|"&amp;AE$5)=0,IF(AE$9&lt;&gt;"","LMS",""),IFERROR(IF(SUMIFS(TF_Timer,TF_Nokkel,$A47&amp;"|"&amp;AE$5,TF_Akt,"LMS")+IF(AE$9="",0,MAX(0,ROUND((AE$12-SUMIFS(TF_Timer,TF_Nokkel,$A47&amp;"|"&amp;AE$5))*2,0)/2))&gt;INDEX(TF_AktSum,MATCH($A47&amp;"|"&amp;AE$5,TF_Dom,0)),"LMS",INDEX(AktKode,MATCH(INDEX(TF_Akt,MATCH($A47&amp;"|"&amp;AE$5,TF_Dom,0)),Aktiviteter,0)))&amp;IF(OR(COUNTIFS(TF_Nokkel,$A47&amp;"|"&amp;AE$5,TF_Akt,"&lt;&gt;"&amp;INDEX(TF_Akt,MATCH($A47&amp;"|"&amp;AE$5,TF_Dom,0)))&gt;0,AND(IF(AE$9="",0,MAX(0,ROUND((AE$12-SUMIFS(TF_Timer,TF_Nokkel,$A47&amp;"|"&amp;AE$5))*2,0)/2))&gt;0,INDEX(TF_Akt,MATCH($A47&amp;"|"&amp;AE$5,TF_Dom,0))&lt;&gt;"LMS")),"+",""),"?"))))</f>
        <v/>
      </c>
      <c r="AF47" s="13">
        <f>IF(OR($A47="",AF$5=""),"",IF(OR(AND(INDEX(TekFra,30)&gt;0,AF$5&lt;INDEX(TekFra,30)),AND(INDEX(TekTil,30)&gt;0,AF$5&gt;INDEX(TekTil,30))),"",IF(COUNTIFS(TF_Nokkel,$A47&amp;"|"&amp;AF$5)=0,IF(AF$9&lt;&gt;"","LMS",""),IFERROR(IF(SUMIFS(TF_Timer,TF_Nokkel,$A47&amp;"|"&amp;AF$5,TF_Akt,"LMS")+IF(AF$9="",0,MAX(0,ROUND((AF$12-SUMIFS(TF_Timer,TF_Nokkel,$A47&amp;"|"&amp;AF$5))*2,0)/2))&gt;INDEX(TF_AktSum,MATCH($A47&amp;"|"&amp;AF$5,TF_Dom,0)),"LMS",INDEX(AktKode,MATCH(INDEX(TF_Akt,MATCH($A47&amp;"|"&amp;AF$5,TF_Dom,0)),Aktiviteter,0)))&amp;IF(OR(COUNTIFS(TF_Nokkel,$A47&amp;"|"&amp;AF$5,TF_Akt,"&lt;&gt;"&amp;INDEX(TF_Akt,MATCH($A47&amp;"|"&amp;AF$5,TF_Dom,0)))&gt;0,AND(IF(AF$9="",0,MAX(0,ROUND((AF$12-SUMIFS(TF_Timer,TF_Nokkel,$A47&amp;"|"&amp;AF$5))*2,0)/2))&gt;0,INDEX(TF_Akt,MATCH($A47&amp;"|"&amp;AF$5,TF_Dom,0))&lt;&gt;"LMS")),"+",""),"?"))))</f>
        <v/>
      </c>
      <c r="AG47" s="13">
        <f>IF(OR($A47="",AG$5=""),"",IF(OR(AND(INDEX(TekFra,30)&gt;0,AG$5&lt;INDEX(TekFra,30)),AND(INDEX(TekTil,30)&gt;0,AG$5&gt;INDEX(TekTil,30))),"",IF(COUNTIFS(TF_Nokkel,$A47&amp;"|"&amp;AG$5)=0,IF(AG$9&lt;&gt;"","LMS",""),IFERROR(IF(SUMIFS(TF_Timer,TF_Nokkel,$A47&amp;"|"&amp;AG$5,TF_Akt,"LMS")+IF(AG$9="",0,MAX(0,ROUND((AG$12-SUMIFS(TF_Timer,TF_Nokkel,$A47&amp;"|"&amp;AG$5))*2,0)/2))&gt;INDEX(TF_AktSum,MATCH($A47&amp;"|"&amp;AG$5,TF_Dom,0)),"LMS",INDEX(AktKode,MATCH(INDEX(TF_Akt,MATCH($A47&amp;"|"&amp;AG$5,TF_Dom,0)),Aktiviteter,0)))&amp;IF(OR(COUNTIFS(TF_Nokkel,$A47&amp;"|"&amp;AG$5,TF_Akt,"&lt;&gt;"&amp;INDEX(TF_Akt,MATCH($A47&amp;"|"&amp;AG$5,TF_Dom,0)))&gt;0,AND(IF(AG$9="",0,MAX(0,ROUND((AG$12-SUMIFS(TF_Timer,TF_Nokkel,$A47&amp;"|"&amp;AG$5))*2,0)/2))&gt;0,INDEX(TF_Akt,MATCH($A47&amp;"|"&amp;AG$5,TF_Dom,0))&lt;&gt;"LMS")),"+",""),"?"))))</f>
        <v/>
      </c>
      <c r="AH47" s="2" t="n"/>
      <c r="AI47" s="2" t="n"/>
      <c r="AJ47" s="2" t="n"/>
    </row>
    <row r="48">
      <c r="A48" s="2">
        <f>INDEX(Teknikere,31)&amp;""</f>
        <v/>
      </c>
      <c r="B48" s="12">
        <f>IF(INDEX(TekFra,31)&gt;0,"ekstra","")</f>
        <v/>
      </c>
      <c r="C48" s="13">
        <f>IF(OR($A48="",C$5=""),"",IF(OR(AND(INDEX(TekFra,31)&gt;0,C$5&lt;INDEX(TekFra,31)),AND(INDEX(TekTil,31)&gt;0,C$5&gt;INDEX(TekTil,31))),"",IF(COUNTIFS(TF_Nokkel,$A48&amp;"|"&amp;C$5)=0,IF(C$9&lt;&gt;"","LMS",""),IFERROR(IF(SUMIFS(TF_Timer,TF_Nokkel,$A48&amp;"|"&amp;C$5,TF_Akt,"LMS")+IF(C$9="",0,MAX(0,ROUND((C$12-SUMIFS(TF_Timer,TF_Nokkel,$A48&amp;"|"&amp;C$5))*2,0)/2))&gt;INDEX(TF_AktSum,MATCH($A48&amp;"|"&amp;C$5,TF_Dom,0)),"LMS",INDEX(AktKode,MATCH(INDEX(TF_Akt,MATCH($A48&amp;"|"&amp;C$5,TF_Dom,0)),Aktiviteter,0)))&amp;IF(OR(COUNTIFS(TF_Nokkel,$A48&amp;"|"&amp;C$5,TF_Akt,"&lt;&gt;"&amp;INDEX(TF_Akt,MATCH($A48&amp;"|"&amp;C$5,TF_Dom,0)))&gt;0,AND(IF(C$9="",0,MAX(0,ROUND((C$12-SUMIFS(TF_Timer,TF_Nokkel,$A48&amp;"|"&amp;C$5))*2,0)/2))&gt;0,INDEX(TF_Akt,MATCH($A48&amp;"|"&amp;C$5,TF_Dom,0))&lt;&gt;"LMS")),"+",""),"?"))))</f>
        <v/>
      </c>
      <c r="D48" s="13">
        <f>IF(OR($A48="",D$5=""),"",IF(OR(AND(INDEX(TekFra,31)&gt;0,D$5&lt;INDEX(TekFra,31)),AND(INDEX(TekTil,31)&gt;0,D$5&gt;INDEX(TekTil,31))),"",IF(COUNTIFS(TF_Nokkel,$A48&amp;"|"&amp;D$5)=0,IF(D$9&lt;&gt;"","LMS",""),IFERROR(IF(SUMIFS(TF_Timer,TF_Nokkel,$A48&amp;"|"&amp;D$5,TF_Akt,"LMS")+IF(D$9="",0,MAX(0,ROUND((D$12-SUMIFS(TF_Timer,TF_Nokkel,$A48&amp;"|"&amp;D$5))*2,0)/2))&gt;INDEX(TF_AktSum,MATCH($A48&amp;"|"&amp;D$5,TF_Dom,0)),"LMS",INDEX(AktKode,MATCH(INDEX(TF_Akt,MATCH($A48&amp;"|"&amp;D$5,TF_Dom,0)),Aktiviteter,0)))&amp;IF(OR(COUNTIFS(TF_Nokkel,$A48&amp;"|"&amp;D$5,TF_Akt,"&lt;&gt;"&amp;INDEX(TF_Akt,MATCH($A48&amp;"|"&amp;D$5,TF_Dom,0)))&gt;0,AND(IF(D$9="",0,MAX(0,ROUND((D$12-SUMIFS(TF_Timer,TF_Nokkel,$A48&amp;"|"&amp;D$5))*2,0)/2))&gt;0,INDEX(TF_Akt,MATCH($A48&amp;"|"&amp;D$5,TF_Dom,0))&lt;&gt;"LMS")),"+",""),"?"))))</f>
        <v/>
      </c>
      <c r="E48" s="13">
        <f>IF(OR($A48="",E$5=""),"",IF(OR(AND(INDEX(TekFra,31)&gt;0,E$5&lt;INDEX(TekFra,31)),AND(INDEX(TekTil,31)&gt;0,E$5&gt;INDEX(TekTil,31))),"",IF(COUNTIFS(TF_Nokkel,$A48&amp;"|"&amp;E$5)=0,IF(E$9&lt;&gt;"","LMS",""),IFERROR(IF(SUMIFS(TF_Timer,TF_Nokkel,$A48&amp;"|"&amp;E$5,TF_Akt,"LMS")+IF(E$9="",0,MAX(0,ROUND((E$12-SUMIFS(TF_Timer,TF_Nokkel,$A48&amp;"|"&amp;E$5))*2,0)/2))&gt;INDEX(TF_AktSum,MATCH($A48&amp;"|"&amp;E$5,TF_Dom,0)),"LMS",INDEX(AktKode,MATCH(INDEX(TF_Akt,MATCH($A48&amp;"|"&amp;E$5,TF_Dom,0)),Aktiviteter,0)))&amp;IF(OR(COUNTIFS(TF_Nokkel,$A48&amp;"|"&amp;E$5,TF_Akt,"&lt;&gt;"&amp;INDEX(TF_Akt,MATCH($A48&amp;"|"&amp;E$5,TF_Dom,0)))&gt;0,AND(IF(E$9="",0,MAX(0,ROUND((E$12-SUMIFS(TF_Timer,TF_Nokkel,$A48&amp;"|"&amp;E$5))*2,0)/2))&gt;0,INDEX(TF_Akt,MATCH($A48&amp;"|"&amp;E$5,TF_Dom,0))&lt;&gt;"LMS")),"+",""),"?"))))</f>
        <v/>
      </c>
      <c r="F48" s="13">
        <f>IF(OR($A48="",F$5=""),"",IF(OR(AND(INDEX(TekFra,31)&gt;0,F$5&lt;INDEX(TekFra,31)),AND(INDEX(TekTil,31)&gt;0,F$5&gt;INDEX(TekTil,31))),"",IF(COUNTIFS(TF_Nokkel,$A48&amp;"|"&amp;F$5)=0,IF(F$9&lt;&gt;"","LMS",""),IFERROR(IF(SUMIFS(TF_Timer,TF_Nokkel,$A48&amp;"|"&amp;F$5,TF_Akt,"LMS")+IF(F$9="",0,MAX(0,ROUND((F$12-SUMIFS(TF_Timer,TF_Nokkel,$A48&amp;"|"&amp;F$5))*2,0)/2))&gt;INDEX(TF_AktSum,MATCH($A48&amp;"|"&amp;F$5,TF_Dom,0)),"LMS",INDEX(AktKode,MATCH(INDEX(TF_Akt,MATCH($A48&amp;"|"&amp;F$5,TF_Dom,0)),Aktiviteter,0)))&amp;IF(OR(COUNTIFS(TF_Nokkel,$A48&amp;"|"&amp;F$5,TF_Akt,"&lt;&gt;"&amp;INDEX(TF_Akt,MATCH($A48&amp;"|"&amp;F$5,TF_Dom,0)))&gt;0,AND(IF(F$9="",0,MAX(0,ROUND((F$12-SUMIFS(TF_Timer,TF_Nokkel,$A48&amp;"|"&amp;F$5))*2,0)/2))&gt;0,INDEX(TF_Akt,MATCH($A48&amp;"|"&amp;F$5,TF_Dom,0))&lt;&gt;"LMS")),"+",""),"?"))))</f>
        <v/>
      </c>
      <c r="G48" s="13">
        <f>IF(OR($A48="",G$5=""),"",IF(OR(AND(INDEX(TekFra,31)&gt;0,G$5&lt;INDEX(TekFra,31)),AND(INDEX(TekTil,31)&gt;0,G$5&gt;INDEX(TekTil,31))),"",IF(COUNTIFS(TF_Nokkel,$A48&amp;"|"&amp;G$5)=0,IF(G$9&lt;&gt;"","LMS",""),IFERROR(IF(SUMIFS(TF_Timer,TF_Nokkel,$A48&amp;"|"&amp;G$5,TF_Akt,"LMS")+IF(G$9="",0,MAX(0,ROUND((G$12-SUMIFS(TF_Timer,TF_Nokkel,$A48&amp;"|"&amp;G$5))*2,0)/2))&gt;INDEX(TF_AktSum,MATCH($A48&amp;"|"&amp;G$5,TF_Dom,0)),"LMS",INDEX(AktKode,MATCH(INDEX(TF_Akt,MATCH($A48&amp;"|"&amp;G$5,TF_Dom,0)),Aktiviteter,0)))&amp;IF(OR(COUNTIFS(TF_Nokkel,$A48&amp;"|"&amp;G$5,TF_Akt,"&lt;&gt;"&amp;INDEX(TF_Akt,MATCH($A48&amp;"|"&amp;G$5,TF_Dom,0)))&gt;0,AND(IF(G$9="",0,MAX(0,ROUND((G$12-SUMIFS(TF_Timer,TF_Nokkel,$A48&amp;"|"&amp;G$5))*2,0)/2))&gt;0,INDEX(TF_Akt,MATCH($A48&amp;"|"&amp;G$5,TF_Dom,0))&lt;&gt;"LMS")),"+",""),"?"))))</f>
        <v/>
      </c>
      <c r="H48" s="13">
        <f>IF(OR($A48="",H$5=""),"",IF(OR(AND(INDEX(TekFra,31)&gt;0,H$5&lt;INDEX(TekFra,31)),AND(INDEX(TekTil,31)&gt;0,H$5&gt;INDEX(TekTil,31))),"",IF(COUNTIFS(TF_Nokkel,$A48&amp;"|"&amp;H$5)=0,IF(H$9&lt;&gt;"","LMS",""),IFERROR(IF(SUMIFS(TF_Timer,TF_Nokkel,$A48&amp;"|"&amp;H$5,TF_Akt,"LMS")+IF(H$9="",0,MAX(0,ROUND((H$12-SUMIFS(TF_Timer,TF_Nokkel,$A48&amp;"|"&amp;H$5))*2,0)/2))&gt;INDEX(TF_AktSum,MATCH($A48&amp;"|"&amp;H$5,TF_Dom,0)),"LMS",INDEX(AktKode,MATCH(INDEX(TF_Akt,MATCH($A48&amp;"|"&amp;H$5,TF_Dom,0)),Aktiviteter,0)))&amp;IF(OR(COUNTIFS(TF_Nokkel,$A48&amp;"|"&amp;H$5,TF_Akt,"&lt;&gt;"&amp;INDEX(TF_Akt,MATCH($A48&amp;"|"&amp;H$5,TF_Dom,0)))&gt;0,AND(IF(H$9="",0,MAX(0,ROUND((H$12-SUMIFS(TF_Timer,TF_Nokkel,$A48&amp;"|"&amp;H$5))*2,0)/2))&gt;0,INDEX(TF_Akt,MATCH($A48&amp;"|"&amp;H$5,TF_Dom,0))&lt;&gt;"LMS")),"+",""),"?"))))</f>
        <v/>
      </c>
      <c r="I48" s="13">
        <f>IF(OR($A48="",I$5=""),"",IF(OR(AND(INDEX(TekFra,31)&gt;0,I$5&lt;INDEX(TekFra,31)),AND(INDEX(TekTil,31)&gt;0,I$5&gt;INDEX(TekTil,31))),"",IF(COUNTIFS(TF_Nokkel,$A48&amp;"|"&amp;I$5)=0,IF(I$9&lt;&gt;"","LMS",""),IFERROR(IF(SUMIFS(TF_Timer,TF_Nokkel,$A48&amp;"|"&amp;I$5,TF_Akt,"LMS")+IF(I$9="",0,MAX(0,ROUND((I$12-SUMIFS(TF_Timer,TF_Nokkel,$A48&amp;"|"&amp;I$5))*2,0)/2))&gt;INDEX(TF_AktSum,MATCH($A48&amp;"|"&amp;I$5,TF_Dom,0)),"LMS",INDEX(AktKode,MATCH(INDEX(TF_Akt,MATCH($A48&amp;"|"&amp;I$5,TF_Dom,0)),Aktiviteter,0)))&amp;IF(OR(COUNTIFS(TF_Nokkel,$A48&amp;"|"&amp;I$5,TF_Akt,"&lt;&gt;"&amp;INDEX(TF_Akt,MATCH($A48&amp;"|"&amp;I$5,TF_Dom,0)))&gt;0,AND(IF(I$9="",0,MAX(0,ROUND((I$12-SUMIFS(TF_Timer,TF_Nokkel,$A48&amp;"|"&amp;I$5))*2,0)/2))&gt;0,INDEX(TF_Akt,MATCH($A48&amp;"|"&amp;I$5,TF_Dom,0))&lt;&gt;"LMS")),"+",""),"?"))))</f>
        <v/>
      </c>
      <c r="J48" s="13">
        <f>IF(OR($A48="",J$5=""),"",IF(OR(AND(INDEX(TekFra,31)&gt;0,J$5&lt;INDEX(TekFra,31)),AND(INDEX(TekTil,31)&gt;0,J$5&gt;INDEX(TekTil,31))),"",IF(COUNTIFS(TF_Nokkel,$A48&amp;"|"&amp;J$5)=0,IF(J$9&lt;&gt;"","LMS",""),IFERROR(IF(SUMIFS(TF_Timer,TF_Nokkel,$A48&amp;"|"&amp;J$5,TF_Akt,"LMS")+IF(J$9="",0,MAX(0,ROUND((J$12-SUMIFS(TF_Timer,TF_Nokkel,$A48&amp;"|"&amp;J$5))*2,0)/2))&gt;INDEX(TF_AktSum,MATCH($A48&amp;"|"&amp;J$5,TF_Dom,0)),"LMS",INDEX(AktKode,MATCH(INDEX(TF_Akt,MATCH($A48&amp;"|"&amp;J$5,TF_Dom,0)),Aktiviteter,0)))&amp;IF(OR(COUNTIFS(TF_Nokkel,$A48&amp;"|"&amp;J$5,TF_Akt,"&lt;&gt;"&amp;INDEX(TF_Akt,MATCH($A48&amp;"|"&amp;J$5,TF_Dom,0)))&gt;0,AND(IF(J$9="",0,MAX(0,ROUND((J$12-SUMIFS(TF_Timer,TF_Nokkel,$A48&amp;"|"&amp;J$5))*2,0)/2))&gt;0,INDEX(TF_Akt,MATCH($A48&amp;"|"&amp;J$5,TF_Dom,0))&lt;&gt;"LMS")),"+",""),"?"))))</f>
        <v/>
      </c>
      <c r="K48" s="13">
        <f>IF(OR($A48="",K$5=""),"",IF(OR(AND(INDEX(TekFra,31)&gt;0,K$5&lt;INDEX(TekFra,31)),AND(INDEX(TekTil,31)&gt;0,K$5&gt;INDEX(TekTil,31))),"",IF(COUNTIFS(TF_Nokkel,$A48&amp;"|"&amp;K$5)=0,IF(K$9&lt;&gt;"","LMS",""),IFERROR(IF(SUMIFS(TF_Timer,TF_Nokkel,$A48&amp;"|"&amp;K$5,TF_Akt,"LMS")+IF(K$9="",0,MAX(0,ROUND((K$12-SUMIFS(TF_Timer,TF_Nokkel,$A48&amp;"|"&amp;K$5))*2,0)/2))&gt;INDEX(TF_AktSum,MATCH($A48&amp;"|"&amp;K$5,TF_Dom,0)),"LMS",INDEX(AktKode,MATCH(INDEX(TF_Akt,MATCH($A48&amp;"|"&amp;K$5,TF_Dom,0)),Aktiviteter,0)))&amp;IF(OR(COUNTIFS(TF_Nokkel,$A48&amp;"|"&amp;K$5,TF_Akt,"&lt;&gt;"&amp;INDEX(TF_Akt,MATCH($A48&amp;"|"&amp;K$5,TF_Dom,0)))&gt;0,AND(IF(K$9="",0,MAX(0,ROUND((K$12-SUMIFS(TF_Timer,TF_Nokkel,$A48&amp;"|"&amp;K$5))*2,0)/2))&gt;0,INDEX(TF_Akt,MATCH($A48&amp;"|"&amp;K$5,TF_Dom,0))&lt;&gt;"LMS")),"+",""),"?"))))</f>
        <v/>
      </c>
      <c r="L48" s="13">
        <f>IF(OR($A48="",L$5=""),"",IF(OR(AND(INDEX(TekFra,31)&gt;0,L$5&lt;INDEX(TekFra,31)),AND(INDEX(TekTil,31)&gt;0,L$5&gt;INDEX(TekTil,31))),"",IF(COUNTIFS(TF_Nokkel,$A48&amp;"|"&amp;L$5)=0,IF(L$9&lt;&gt;"","LMS",""),IFERROR(IF(SUMIFS(TF_Timer,TF_Nokkel,$A48&amp;"|"&amp;L$5,TF_Akt,"LMS")+IF(L$9="",0,MAX(0,ROUND((L$12-SUMIFS(TF_Timer,TF_Nokkel,$A48&amp;"|"&amp;L$5))*2,0)/2))&gt;INDEX(TF_AktSum,MATCH($A48&amp;"|"&amp;L$5,TF_Dom,0)),"LMS",INDEX(AktKode,MATCH(INDEX(TF_Akt,MATCH($A48&amp;"|"&amp;L$5,TF_Dom,0)),Aktiviteter,0)))&amp;IF(OR(COUNTIFS(TF_Nokkel,$A48&amp;"|"&amp;L$5,TF_Akt,"&lt;&gt;"&amp;INDEX(TF_Akt,MATCH($A48&amp;"|"&amp;L$5,TF_Dom,0)))&gt;0,AND(IF(L$9="",0,MAX(0,ROUND((L$12-SUMIFS(TF_Timer,TF_Nokkel,$A48&amp;"|"&amp;L$5))*2,0)/2))&gt;0,INDEX(TF_Akt,MATCH($A48&amp;"|"&amp;L$5,TF_Dom,0))&lt;&gt;"LMS")),"+",""),"?"))))</f>
        <v/>
      </c>
      <c r="M48" s="13">
        <f>IF(OR($A48="",M$5=""),"",IF(OR(AND(INDEX(TekFra,31)&gt;0,M$5&lt;INDEX(TekFra,31)),AND(INDEX(TekTil,31)&gt;0,M$5&gt;INDEX(TekTil,31))),"",IF(COUNTIFS(TF_Nokkel,$A48&amp;"|"&amp;M$5)=0,IF(M$9&lt;&gt;"","LMS",""),IFERROR(IF(SUMIFS(TF_Timer,TF_Nokkel,$A48&amp;"|"&amp;M$5,TF_Akt,"LMS")+IF(M$9="",0,MAX(0,ROUND((M$12-SUMIFS(TF_Timer,TF_Nokkel,$A48&amp;"|"&amp;M$5))*2,0)/2))&gt;INDEX(TF_AktSum,MATCH($A48&amp;"|"&amp;M$5,TF_Dom,0)),"LMS",INDEX(AktKode,MATCH(INDEX(TF_Akt,MATCH($A48&amp;"|"&amp;M$5,TF_Dom,0)),Aktiviteter,0)))&amp;IF(OR(COUNTIFS(TF_Nokkel,$A48&amp;"|"&amp;M$5,TF_Akt,"&lt;&gt;"&amp;INDEX(TF_Akt,MATCH($A48&amp;"|"&amp;M$5,TF_Dom,0)))&gt;0,AND(IF(M$9="",0,MAX(0,ROUND((M$12-SUMIFS(TF_Timer,TF_Nokkel,$A48&amp;"|"&amp;M$5))*2,0)/2))&gt;0,INDEX(TF_Akt,MATCH($A48&amp;"|"&amp;M$5,TF_Dom,0))&lt;&gt;"LMS")),"+",""),"?"))))</f>
        <v/>
      </c>
      <c r="N48" s="13">
        <f>IF(OR($A48="",N$5=""),"",IF(OR(AND(INDEX(TekFra,31)&gt;0,N$5&lt;INDEX(TekFra,31)),AND(INDEX(TekTil,31)&gt;0,N$5&gt;INDEX(TekTil,31))),"",IF(COUNTIFS(TF_Nokkel,$A48&amp;"|"&amp;N$5)=0,IF(N$9&lt;&gt;"","LMS",""),IFERROR(IF(SUMIFS(TF_Timer,TF_Nokkel,$A48&amp;"|"&amp;N$5,TF_Akt,"LMS")+IF(N$9="",0,MAX(0,ROUND((N$12-SUMIFS(TF_Timer,TF_Nokkel,$A48&amp;"|"&amp;N$5))*2,0)/2))&gt;INDEX(TF_AktSum,MATCH($A48&amp;"|"&amp;N$5,TF_Dom,0)),"LMS",INDEX(AktKode,MATCH(INDEX(TF_Akt,MATCH($A48&amp;"|"&amp;N$5,TF_Dom,0)),Aktiviteter,0)))&amp;IF(OR(COUNTIFS(TF_Nokkel,$A48&amp;"|"&amp;N$5,TF_Akt,"&lt;&gt;"&amp;INDEX(TF_Akt,MATCH($A48&amp;"|"&amp;N$5,TF_Dom,0)))&gt;0,AND(IF(N$9="",0,MAX(0,ROUND((N$12-SUMIFS(TF_Timer,TF_Nokkel,$A48&amp;"|"&amp;N$5))*2,0)/2))&gt;0,INDEX(TF_Akt,MATCH($A48&amp;"|"&amp;N$5,TF_Dom,0))&lt;&gt;"LMS")),"+",""),"?"))))</f>
        <v/>
      </c>
      <c r="O48" s="13">
        <f>IF(OR($A48="",O$5=""),"",IF(OR(AND(INDEX(TekFra,31)&gt;0,O$5&lt;INDEX(TekFra,31)),AND(INDEX(TekTil,31)&gt;0,O$5&gt;INDEX(TekTil,31))),"",IF(COUNTIFS(TF_Nokkel,$A48&amp;"|"&amp;O$5)=0,IF(O$9&lt;&gt;"","LMS",""),IFERROR(IF(SUMIFS(TF_Timer,TF_Nokkel,$A48&amp;"|"&amp;O$5,TF_Akt,"LMS")+IF(O$9="",0,MAX(0,ROUND((O$12-SUMIFS(TF_Timer,TF_Nokkel,$A48&amp;"|"&amp;O$5))*2,0)/2))&gt;INDEX(TF_AktSum,MATCH($A48&amp;"|"&amp;O$5,TF_Dom,0)),"LMS",INDEX(AktKode,MATCH(INDEX(TF_Akt,MATCH($A48&amp;"|"&amp;O$5,TF_Dom,0)),Aktiviteter,0)))&amp;IF(OR(COUNTIFS(TF_Nokkel,$A48&amp;"|"&amp;O$5,TF_Akt,"&lt;&gt;"&amp;INDEX(TF_Akt,MATCH($A48&amp;"|"&amp;O$5,TF_Dom,0)))&gt;0,AND(IF(O$9="",0,MAX(0,ROUND((O$12-SUMIFS(TF_Timer,TF_Nokkel,$A48&amp;"|"&amp;O$5))*2,0)/2))&gt;0,INDEX(TF_Akt,MATCH($A48&amp;"|"&amp;O$5,TF_Dom,0))&lt;&gt;"LMS")),"+",""),"?"))))</f>
        <v/>
      </c>
      <c r="P48" s="13">
        <f>IF(OR($A48="",P$5=""),"",IF(OR(AND(INDEX(TekFra,31)&gt;0,P$5&lt;INDEX(TekFra,31)),AND(INDEX(TekTil,31)&gt;0,P$5&gt;INDEX(TekTil,31))),"",IF(COUNTIFS(TF_Nokkel,$A48&amp;"|"&amp;P$5)=0,IF(P$9&lt;&gt;"","LMS",""),IFERROR(IF(SUMIFS(TF_Timer,TF_Nokkel,$A48&amp;"|"&amp;P$5,TF_Akt,"LMS")+IF(P$9="",0,MAX(0,ROUND((P$12-SUMIFS(TF_Timer,TF_Nokkel,$A48&amp;"|"&amp;P$5))*2,0)/2))&gt;INDEX(TF_AktSum,MATCH($A48&amp;"|"&amp;P$5,TF_Dom,0)),"LMS",INDEX(AktKode,MATCH(INDEX(TF_Akt,MATCH($A48&amp;"|"&amp;P$5,TF_Dom,0)),Aktiviteter,0)))&amp;IF(OR(COUNTIFS(TF_Nokkel,$A48&amp;"|"&amp;P$5,TF_Akt,"&lt;&gt;"&amp;INDEX(TF_Akt,MATCH($A48&amp;"|"&amp;P$5,TF_Dom,0)))&gt;0,AND(IF(P$9="",0,MAX(0,ROUND((P$12-SUMIFS(TF_Timer,TF_Nokkel,$A48&amp;"|"&amp;P$5))*2,0)/2))&gt;0,INDEX(TF_Akt,MATCH($A48&amp;"|"&amp;P$5,TF_Dom,0))&lt;&gt;"LMS")),"+",""),"?"))))</f>
        <v/>
      </c>
      <c r="Q48" s="13">
        <f>IF(OR($A48="",Q$5=""),"",IF(OR(AND(INDEX(TekFra,31)&gt;0,Q$5&lt;INDEX(TekFra,31)),AND(INDEX(TekTil,31)&gt;0,Q$5&gt;INDEX(TekTil,31))),"",IF(COUNTIFS(TF_Nokkel,$A48&amp;"|"&amp;Q$5)=0,IF(Q$9&lt;&gt;"","LMS",""),IFERROR(IF(SUMIFS(TF_Timer,TF_Nokkel,$A48&amp;"|"&amp;Q$5,TF_Akt,"LMS")+IF(Q$9="",0,MAX(0,ROUND((Q$12-SUMIFS(TF_Timer,TF_Nokkel,$A48&amp;"|"&amp;Q$5))*2,0)/2))&gt;INDEX(TF_AktSum,MATCH($A48&amp;"|"&amp;Q$5,TF_Dom,0)),"LMS",INDEX(AktKode,MATCH(INDEX(TF_Akt,MATCH($A48&amp;"|"&amp;Q$5,TF_Dom,0)),Aktiviteter,0)))&amp;IF(OR(COUNTIFS(TF_Nokkel,$A48&amp;"|"&amp;Q$5,TF_Akt,"&lt;&gt;"&amp;INDEX(TF_Akt,MATCH($A48&amp;"|"&amp;Q$5,TF_Dom,0)))&gt;0,AND(IF(Q$9="",0,MAX(0,ROUND((Q$12-SUMIFS(TF_Timer,TF_Nokkel,$A48&amp;"|"&amp;Q$5))*2,0)/2))&gt;0,INDEX(TF_Akt,MATCH($A48&amp;"|"&amp;Q$5,TF_Dom,0))&lt;&gt;"LMS")),"+",""),"?"))))</f>
        <v/>
      </c>
      <c r="R48" s="13">
        <f>IF(OR($A48="",R$5=""),"",IF(OR(AND(INDEX(TekFra,31)&gt;0,R$5&lt;INDEX(TekFra,31)),AND(INDEX(TekTil,31)&gt;0,R$5&gt;INDEX(TekTil,31))),"",IF(COUNTIFS(TF_Nokkel,$A48&amp;"|"&amp;R$5)=0,IF(R$9&lt;&gt;"","LMS",""),IFERROR(IF(SUMIFS(TF_Timer,TF_Nokkel,$A48&amp;"|"&amp;R$5,TF_Akt,"LMS")+IF(R$9="",0,MAX(0,ROUND((R$12-SUMIFS(TF_Timer,TF_Nokkel,$A48&amp;"|"&amp;R$5))*2,0)/2))&gt;INDEX(TF_AktSum,MATCH($A48&amp;"|"&amp;R$5,TF_Dom,0)),"LMS",INDEX(AktKode,MATCH(INDEX(TF_Akt,MATCH($A48&amp;"|"&amp;R$5,TF_Dom,0)),Aktiviteter,0)))&amp;IF(OR(COUNTIFS(TF_Nokkel,$A48&amp;"|"&amp;R$5,TF_Akt,"&lt;&gt;"&amp;INDEX(TF_Akt,MATCH($A48&amp;"|"&amp;R$5,TF_Dom,0)))&gt;0,AND(IF(R$9="",0,MAX(0,ROUND((R$12-SUMIFS(TF_Timer,TF_Nokkel,$A48&amp;"|"&amp;R$5))*2,0)/2))&gt;0,INDEX(TF_Akt,MATCH($A48&amp;"|"&amp;R$5,TF_Dom,0))&lt;&gt;"LMS")),"+",""),"?"))))</f>
        <v/>
      </c>
      <c r="S48" s="13">
        <f>IF(OR($A48="",S$5=""),"",IF(OR(AND(INDEX(TekFra,31)&gt;0,S$5&lt;INDEX(TekFra,31)),AND(INDEX(TekTil,31)&gt;0,S$5&gt;INDEX(TekTil,31))),"",IF(COUNTIFS(TF_Nokkel,$A48&amp;"|"&amp;S$5)=0,IF(S$9&lt;&gt;"","LMS",""),IFERROR(IF(SUMIFS(TF_Timer,TF_Nokkel,$A48&amp;"|"&amp;S$5,TF_Akt,"LMS")+IF(S$9="",0,MAX(0,ROUND((S$12-SUMIFS(TF_Timer,TF_Nokkel,$A48&amp;"|"&amp;S$5))*2,0)/2))&gt;INDEX(TF_AktSum,MATCH($A48&amp;"|"&amp;S$5,TF_Dom,0)),"LMS",INDEX(AktKode,MATCH(INDEX(TF_Akt,MATCH($A48&amp;"|"&amp;S$5,TF_Dom,0)),Aktiviteter,0)))&amp;IF(OR(COUNTIFS(TF_Nokkel,$A48&amp;"|"&amp;S$5,TF_Akt,"&lt;&gt;"&amp;INDEX(TF_Akt,MATCH($A48&amp;"|"&amp;S$5,TF_Dom,0)))&gt;0,AND(IF(S$9="",0,MAX(0,ROUND((S$12-SUMIFS(TF_Timer,TF_Nokkel,$A48&amp;"|"&amp;S$5))*2,0)/2))&gt;0,INDEX(TF_Akt,MATCH($A48&amp;"|"&amp;S$5,TF_Dom,0))&lt;&gt;"LMS")),"+",""),"?"))))</f>
        <v/>
      </c>
      <c r="T48" s="13">
        <f>IF(OR($A48="",T$5=""),"",IF(OR(AND(INDEX(TekFra,31)&gt;0,T$5&lt;INDEX(TekFra,31)),AND(INDEX(TekTil,31)&gt;0,T$5&gt;INDEX(TekTil,31))),"",IF(COUNTIFS(TF_Nokkel,$A48&amp;"|"&amp;T$5)=0,IF(T$9&lt;&gt;"","LMS",""),IFERROR(IF(SUMIFS(TF_Timer,TF_Nokkel,$A48&amp;"|"&amp;T$5,TF_Akt,"LMS")+IF(T$9="",0,MAX(0,ROUND((T$12-SUMIFS(TF_Timer,TF_Nokkel,$A48&amp;"|"&amp;T$5))*2,0)/2))&gt;INDEX(TF_AktSum,MATCH($A48&amp;"|"&amp;T$5,TF_Dom,0)),"LMS",INDEX(AktKode,MATCH(INDEX(TF_Akt,MATCH($A48&amp;"|"&amp;T$5,TF_Dom,0)),Aktiviteter,0)))&amp;IF(OR(COUNTIFS(TF_Nokkel,$A48&amp;"|"&amp;T$5,TF_Akt,"&lt;&gt;"&amp;INDEX(TF_Akt,MATCH($A48&amp;"|"&amp;T$5,TF_Dom,0)))&gt;0,AND(IF(T$9="",0,MAX(0,ROUND((T$12-SUMIFS(TF_Timer,TF_Nokkel,$A48&amp;"|"&amp;T$5))*2,0)/2))&gt;0,INDEX(TF_Akt,MATCH($A48&amp;"|"&amp;T$5,TF_Dom,0))&lt;&gt;"LMS")),"+",""),"?"))))</f>
        <v/>
      </c>
      <c r="U48" s="13">
        <f>IF(OR($A48="",U$5=""),"",IF(OR(AND(INDEX(TekFra,31)&gt;0,U$5&lt;INDEX(TekFra,31)),AND(INDEX(TekTil,31)&gt;0,U$5&gt;INDEX(TekTil,31))),"",IF(COUNTIFS(TF_Nokkel,$A48&amp;"|"&amp;U$5)=0,IF(U$9&lt;&gt;"","LMS",""),IFERROR(IF(SUMIFS(TF_Timer,TF_Nokkel,$A48&amp;"|"&amp;U$5,TF_Akt,"LMS")+IF(U$9="",0,MAX(0,ROUND((U$12-SUMIFS(TF_Timer,TF_Nokkel,$A48&amp;"|"&amp;U$5))*2,0)/2))&gt;INDEX(TF_AktSum,MATCH($A48&amp;"|"&amp;U$5,TF_Dom,0)),"LMS",INDEX(AktKode,MATCH(INDEX(TF_Akt,MATCH($A48&amp;"|"&amp;U$5,TF_Dom,0)),Aktiviteter,0)))&amp;IF(OR(COUNTIFS(TF_Nokkel,$A48&amp;"|"&amp;U$5,TF_Akt,"&lt;&gt;"&amp;INDEX(TF_Akt,MATCH($A48&amp;"|"&amp;U$5,TF_Dom,0)))&gt;0,AND(IF(U$9="",0,MAX(0,ROUND((U$12-SUMIFS(TF_Timer,TF_Nokkel,$A48&amp;"|"&amp;U$5))*2,0)/2))&gt;0,INDEX(TF_Akt,MATCH($A48&amp;"|"&amp;U$5,TF_Dom,0))&lt;&gt;"LMS")),"+",""),"?"))))</f>
        <v/>
      </c>
      <c r="V48" s="13">
        <f>IF(OR($A48="",V$5=""),"",IF(OR(AND(INDEX(TekFra,31)&gt;0,V$5&lt;INDEX(TekFra,31)),AND(INDEX(TekTil,31)&gt;0,V$5&gt;INDEX(TekTil,31))),"",IF(COUNTIFS(TF_Nokkel,$A48&amp;"|"&amp;V$5)=0,IF(V$9&lt;&gt;"","LMS",""),IFERROR(IF(SUMIFS(TF_Timer,TF_Nokkel,$A48&amp;"|"&amp;V$5,TF_Akt,"LMS")+IF(V$9="",0,MAX(0,ROUND((V$12-SUMIFS(TF_Timer,TF_Nokkel,$A48&amp;"|"&amp;V$5))*2,0)/2))&gt;INDEX(TF_AktSum,MATCH($A48&amp;"|"&amp;V$5,TF_Dom,0)),"LMS",INDEX(AktKode,MATCH(INDEX(TF_Akt,MATCH($A48&amp;"|"&amp;V$5,TF_Dom,0)),Aktiviteter,0)))&amp;IF(OR(COUNTIFS(TF_Nokkel,$A48&amp;"|"&amp;V$5,TF_Akt,"&lt;&gt;"&amp;INDEX(TF_Akt,MATCH($A48&amp;"|"&amp;V$5,TF_Dom,0)))&gt;0,AND(IF(V$9="",0,MAX(0,ROUND((V$12-SUMIFS(TF_Timer,TF_Nokkel,$A48&amp;"|"&amp;V$5))*2,0)/2))&gt;0,INDEX(TF_Akt,MATCH($A48&amp;"|"&amp;V$5,TF_Dom,0))&lt;&gt;"LMS")),"+",""),"?"))))</f>
        <v/>
      </c>
      <c r="W48" s="13">
        <f>IF(OR($A48="",W$5=""),"",IF(OR(AND(INDEX(TekFra,31)&gt;0,W$5&lt;INDEX(TekFra,31)),AND(INDEX(TekTil,31)&gt;0,W$5&gt;INDEX(TekTil,31))),"",IF(COUNTIFS(TF_Nokkel,$A48&amp;"|"&amp;W$5)=0,IF(W$9&lt;&gt;"","LMS",""),IFERROR(IF(SUMIFS(TF_Timer,TF_Nokkel,$A48&amp;"|"&amp;W$5,TF_Akt,"LMS")+IF(W$9="",0,MAX(0,ROUND((W$12-SUMIFS(TF_Timer,TF_Nokkel,$A48&amp;"|"&amp;W$5))*2,0)/2))&gt;INDEX(TF_AktSum,MATCH($A48&amp;"|"&amp;W$5,TF_Dom,0)),"LMS",INDEX(AktKode,MATCH(INDEX(TF_Akt,MATCH($A48&amp;"|"&amp;W$5,TF_Dom,0)),Aktiviteter,0)))&amp;IF(OR(COUNTIFS(TF_Nokkel,$A48&amp;"|"&amp;W$5,TF_Akt,"&lt;&gt;"&amp;INDEX(TF_Akt,MATCH($A48&amp;"|"&amp;W$5,TF_Dom,0)))&gt;0,AND(IF(W$9="",0,MAX(0,ROUND((W$12-SUMIFS(TF_Timer,TF_Nokkel,$A48&amp;"|"&amp;W$5))*2,0)/2))&gt;0,INDEX(TF_Akt,MATCH($A48&amp;"|"&amp;W$5,TF_Dom,0))&lt;&gt;"LMS")),"+",""),"?"))))</f>
        <v/>
      </c>
      <c r="X48" s="13">
        <f>IF(OR($A48="",X$5=""),"",IF(OR(AND(INDEX(TekFra,31)&gt;0,X$5&lt;INDEX(TekFra,31)),AND(INDEX(TekTil,31)&gt;0,X$5&gt;INDEX(TekTil,31))),"",IF(COUNTIFS(TF_Nokkel,$A48&amp;"|"&amp;X$5)=0,IF(X$9&lt;&gt;"","LMS",""),IFERROR(IF(SUMIFS(TF_Timer,TF_Nokkel,$A48&amp;"|"&amp;X$5,TF_Akt,"LMS")+IF(X$9="",0,MAX(0,ROUND((X$12-SUMIFS(TF_Timer,TF_Nokkel,$A48&amp;"|"&amp;X$5))*2,0)/2))&gt;INDEX(TF_AktSum,MATCH($A48&amp;"|"&amp;X$5,TF_Dom,0)),"LMS",INDEX(AktKode,MATCH(INDEX(TF_Akt,MATCH($A48&amp;"|"&amp;X$5,TF_Dom,0)),Aktiviteter,0)))&amp;IF(OR(COUNTIFS(TF_Nokkel,$A48&amp;"|"&amp;X$5,TF_Akt,"&lt;&gt;"&amp;INDEX(TF_Akt,MATCH($A48&amp;"|"&amp;X$5,TF_Dom,0)))&gt;0,AND(IF(X$9="",0,MAX(0,ROUND((X$12-SUMIFS(TF_Timer,TF_Nokkel,$A48&amp;"|"&amp;X$5))*2,0)/2))&gt;0,INDEX(TF_Akt,MATCH($A48&amp;"|"&amp;X$5,TF_Dom,0))&lt;&gt;"LMS")),"+",""),"?"))))</f>
        <v/>
      </c>
      <c r="Y48" s="13">
        <f>IF(OR($A48="",Y$5=""),"",IF(OR(AND(INDEX(TekFra,31)&gt;0,Y$5&lt;INDEX(TekFra,31)),AND(INDEX(TekTil,31)&gt;0,Y$5&gt;INDEX(TekTil,31))),"",IF(COUNTIFS(TF_Nokkel,$A48&amp;"|"&amp;Y$5)=0,IF(Y$9&lt;&gt;"","LMS",""),IFERROR(IF(SUMIFS(TF_Timer,TF_Nokkel,$A48&amp;"|"&amp;Y$5,TF_Akt,"LMS")+IF(Y$9="",0,MAX(0,ROUND((Y$12-SUMIFS(TF_Timer,TF_Nokkel,$A48&amp;"|"&amp;Y$5))*2,0)/2))&gt;INDEX(TF_AktSum,MATCH($A48&amp;"|"&amp;Y$5,TF_Dom,0)),"LMS",INDEX(AktKode,MATCH(INDEX(TF_Akt,MATCH($A48&amp;"|"&amp;Y$5,TF_Dom,0)),Aktiviteter,0)))&amp;IF(OR(COUNTIFS(TF_Nokkel,$A48&amp;"|"&amp;Y$5,TF_Akt,"&lt;&gt;"&amp;INDEX(TF_Akt,MATCH($A48&amp;"|"&amp;Y$5,TF_Dom,0)))&gt;0,AND(IF(Y$9="",0,MAX(0,ROUND((Y$12-SUMIFS(TF_Timer,TF_Nokkel,$A48&amp;"|"&amp;Y$5))*2,0)/2))&gt;0,INDEX(TF_Akt,MATCH($A48&amp;"|"&amp;Y$5,TF_Dom,0))&lt;&gt;"LMS")),"+",""),"?"))))</f>
        <v/>
      </c>
      <c r="Z48" s="13">
        <f>IF(OR($A48="",Z$5=""),"",IF(OR(AND(INDEX(TekFra,31)&gt;0,Z$5&lt;INDEX(TekFra,31)),AND(INDEX(TekTil,31)&gt;0,Z$5&gt;INDEX(TekTil,31))),"",IF(COUNTIFS(TF_Nokkel,$A48&amp;"|"&amp;Z$5)=0,IF(Z$9&lt;&gt;"","LMS",""),IFERROR(IF(SUMIFS(TF_Timer,TF_Nokkel,$A48&amp;"|"&amp;Z$5,TF_Akt,"LMS")+IF(Z$9="",0,MAX(0,ROUND((Z$12-SUMIFS(TF_Timer,TF_Nokkel,$A48&amp;"|"&amp;Z$5))*2,0)/2))&gt;INDEX(TF_AktSum,MATCH($A48&amp;"|"&amp;Z$5,TF_Dom,0)),"LMS",INDEX(AktKode,MATCH(INDEX(TF_Akt,MATCH($A48&amp;"|"&amp;Z$5,TF_Dom,0)),Aktiviteter,0)))&amp;IF(OR(COUNTIFS(TF_Nokkel,$A48&amp;"|"&amp;Z$5,TF_Akt,"&lt;&gt;"&amp;INDEX(TF_Akt,MATCH($A48&amp;"|"&amp;Z$5,TF_Dom,0)))&gt;0,AND(IF(Z$9="",0,MAX(0,ROUND((Z$12-SUMIFS(TF_Timer,TF_Nokkel,$A48&amp;"|"&amp;Z$5))*2,0)/2))&gt;0,INDEX(TF_Akt,MATCH($A48&amp;"|"&amp;Z$5,TF_Dom,0))&lt;&gt;"LMS")),"+",""),"?"))))</f>
        <v/>
      </c>
      <c r="AA48" s="13">
        <f>IF(OR($A48="",AA$5=""),"",IF(OR(AND(INDEX(TekFra,31)&gt;0,AA$5&lt;INDEX(TekFra,31)),AND(INDEX(TekTil,31)&gt;0,AA$5&gt;INDEX(TekTil,31))),"",IF(COUNTIFS(TF_Nokkel,$A48&amp;"|"&amp;AA$5)=0,IF(AA$9&lt;&gt;"","LMS",""),IFERROR(IF(SUMIFS(TF_Timer,TF_Nokkel,$A48&amp;"|"&amp;AA$5,TF_Akt,"LMS")+IF(AA$9="",0,MAX(0,ROUND((AA$12-SUMIFS(TF_Timer,TF_Nokkel,$A48&amp;"|"&amp;AA$5))*2,0)/2))&gt;INDEX(TF_AktSum,MATCH($A48&amp;"|"&amp;AA$5,TF_Dom,0)),"LMS",INDEX(AktKode,MATCH(INDEX(TF_Akt,MATCH($A48&amp;"|"&amp;AA$5,TF_Dom,0)),Aktiviteter,0)))&amp;IF(OR(COUNTIFS(TF_Nokkel,$A48&amp;"|"&amp;AA$5,TF_Akt,"&lt;&gt;"&amp;INDEX(TF_Akt,MATCH($A48&amp;"|"&amp;AA$5,TF_Dom,0)))&gt;0,AND(IF(AA$9="",0,MAX(0,ROUND((AA$12-SUMIFS(TF_Timer,TF_Nokkel,$A48&amp;"|"&amp;AA$5))*2,0)/2))&gt;0,INDEX(TF_Akt,MATCH($A48&amp;"|"&amp;AA$5,TF_Dom,0))&lt;&gt;"LMS")),"+",""),"?"))))</f>
        <v/>
      </c>
      <c r="AB48" s="13">
        <f>IF(OR($A48="",AB$5=""),"",IF(OR(AND(INDEX(TekFra,31)&gt;0,AB$5&lt;INDEX(TekFra,31)),AND(INDEX(TekTil,31)&gt;0,AB$5&gt;INDEX(TekTil,31))),"",IF(COUNTIFS(TF_Nokkel,$A48&amp;"|"&amp;AB$5)=0,IF(AB$9&lt;&gt;"","LMS",""),IFERROR(IF(SUMIFS(TF_Timer,TF_Nokkel,$A48&amp;"|"&amp;AB$5,TF_Akt,"LMS")+IF(AB$9="",0,MAX(0,ROUND((AB$12-SUMIFS(TF_Timer,TF_Nokkel,$A48&amp;"|"&amp;AB$5))*2,0)/2))&gt;INDEX(TF_AktSum,MATCH($A48&amp;"|"&amp;AB$5,TF_Dom,0)),"LMS",INDEX(AktKode,MATCH(INDEX(TF_Akt,MATCH($A48&amp;"|"&amp;AB$5,TF_Dom,0)),Aktiviteter,0)))&amp;IF(OR(COUNTIFS(TF_Nokkel,$A48&amp;"|"&amp;AB$5,TF_Akt,"&lt;&gt;"&amp;INDEX(TF_Akt,MATCH($A48&amp;"|"&amp;AB$5,TF_Dom,0)))&gt;0,AND(IF(AB$9="",0,MAX(0,ROUND((AB$12-SUMIFS(TF_Timer,TF_Nokkel,$A48&amp;"|"&amp;AB$5))*2,0)/2))&gt;0,INDEX(TF_Akt,MATCH($A48&amp;"|"&amp;AB$5,TF_Dom,0))&lt;&gt;"LMS")),"+",""),"?"))))</f>
        <v/>
      </c>
      <c r="AC48" s="13">
        <f>IF(OR($A48="",AC$5=""),"",IF(OR(AND(INDEX(TekFra,31)&gt;0,AC$5&lt;INDEX(TekFra,31)),AND(INDEX(TekTil,31)&gt;0,AC$5&gt;INDEX(TekTil,31))),"",IF(COUNTIFS(TF_Nokkel,$A48&amp;"|"&amp;AC$5)=0,IF(AC$9&lt;&gt;"","LMS",""),IFERROR(IF(SUMIFS(TF_Timer,TF_Nokkel,$A48&amp;"|"&amp;AC$5,TF_Akt,"LMS")+IF(AC$9="",0,MAX(0,ROUND((AC$12-SUMIFS(TF_Timer,TF_Nokkel,$A48&amp;"|"&amp;AC$5))*2,0)/2))&gt;INDEX(TF_AktSum,MATCH($A48&amp;"|"&amp;AC$5,TF_Dom,0)),"LMS",INDEX(AktKode,MATCH(INDEX(TF_Akt,MATCH($A48&amp;"|"&amp;AC$5,TF_Dom,0)),Aktiviteter,0)))&amp;IF(OR(COUNTIFS(TF_Nokkel,$A48&amp;"|"&amp;AC$5,TF_Akt,"&lt;&gt;"&amp;INDEX(TF_Akt,MATCH($A48&amp;"|"&amp;AC$5,TF_Dom,0)))&gt;0,AND(IF(AC$9="",0,MAX(0,ROUND((AC$12-SUMIFS(TF_Timer,TF_Nokkel,$A48&amp;"|"&amp;AC$5))*2,0)/2))&gt;0,INDEX(TF_Akt,MATCH($A48&amp;"|"&amp;AC$5,TF_Dom,0))&lt;&gt;"LMS")),"+",""),"?"))))</f>
        <v/>
      </c>
      <c r="AD48" s="13">
        <f>IF(OR($A48="",AD$5=""),"",IF(OR(AND(INDEX(TekFra,31)&gt;0,AD$5&lt;INDEX(TekFra,31)),AND(INDEX(TekTil,31)&gt;0,AD$5&gt;INDEX(TekTil,31))),"",IF(COUNTIFS(TF_Nokkel,$A48&amp;"|"&amp;AD$5)=0,IF(AD$9&lt;&gt;"","LMS",""),IFERROR(IF(SUMIFS(TF_Timer,TF_Nokkel,$A48&amp;"|"&amp;AD$5,TF_Akt,"LMS")+IF(AD$9="",0,MAX(0,ROUND((AD$12-SUMIFS(TF_Timer,TF_Nokkel,$A48&amp;"|"&amp;AD$5))*2,0)/2))&gt;INDEX(TF_AktSum,MATCH($A48&amp;"|"&amp;AD$5,TF_Dom,0)),"LMS",INDEX(AktKode,MATCH(INDEX(TF_Akt,MATCH($A48&amp;"|"&amp;AD$5,TF_Dom,0)),Aktiviteter,0)))&amp;IF(OR(COUNTIFS(TF_Nokkel,$A48&amp;"|"&amp;AD$5,TF_Akt,"&lt;&gt;"&amp;INDEX(TF_Akt,MATCH($A48&amp;"|"&amp;AD$5,TF_Dom,0)))&gt;0,AND(IF(AD$9="",0,MAX(0,ROUND((AD$12-SUMIFS(TF_Timer,TF_Nokkel,$A48&amp;"|"&amp;AD$5))*2,0)/2))&gt;0,INDEX(TF_Akt,MATCH($A48&amp;"|"&amp;AD$5,TF_Dom,0))&lt;&gt;"LMS")),"+",""),"?"))))</f>
        <v/>
      </c>
      <c r="AE48" s="13">
        <f>IF(OR($A48="",AE$5=""),"",IF(OR(AND(INDEX(TekFra,31)&gt;0,AE$5&lt;INDEX(TekFra,31)),AND(INDEX(TekTil,31)&gt;0,AE$5&gt;INDEX(TekTil,31))),"",IF(COUNTIFS(TF_Nokkel,$A48&amp;"|"&amp;AE$5)=0,IF(AE$9&lt;&gt;"","LMS",""),IFERROR(IF(SUMIFS(TF_Timer,TF_Nokkel,$A48&amp;"|"&amp;AE$5,TF_Akt,"LMS")+IF(AE$9="",0,MAX(0,ROUND((AE$12-SUMIFS(TF_Timer,TF_Nokkel,$A48&amp;"|"&amp;AE$5))*2,0)/2))&gt;INDEX(TF_AktSum,MATCH($A48&amp;"|"&amp;AE$5,TF_Dom,0)),"LMS",INDEX(AktKode,MATCH(INDEX(TF_Akt,MATCH($A48&amp;"|"&amp;AE$5,TF_Dom,0)),Aktiviteter,0)))&amp;IF(OR(COUNTIFS(TF_Nokkel,$A48&amp;"|"&amp;AE$5,TF_Akt,"&lt;&gt;"&amp;INDEX(TF_Akt,MATCH($A48&amp;"|"&amp;AE$5,TF_Dom,0)))&gt;0,AND(IF(AE$9="",0,MAX(0,ROUND((AE$12-SUMIFS(TF_Timer,TF_Nokkel,$A48&amp;"|"&amp;AE$5))*2,0)/2))&gt;0,INDEX(TF_Akt,MATCH($A48&amp;"|"&amp;AE$5,TF_Dom,0))&lt;&gt;"LMS")),"+",""),"?"))))</f>
        <v/>
      </c>
      <c r="AF48" s="13">
        <f>IF(OR($A48="",AF$5=""),"",IF(OR(AND(INDEX(TekFra,31)&gt;0,AF$5&lt;INDEX(TekFra,31)),AND(INDEX(TekTil,31)&gt;0,AF$5&gt;INDEX(TekTil,31))),"",IF(COUNTIFS(TF_Nokkel,$A48&amp;"|"&amp;AF$5)=0,IF(AF$9&lt;&gt;"","LMS",""),IFERROR(IF(SUMIFS(TF_Timer,TF_Nokkel,$A48&amp;"|"&amp;AF$5,TF_Akt,"LMS")+IF(AF$9="",0,MAX(0,ROUND((AF$12-SUMIFS(TF_Timer,TF_Nokkel,$A48&amp;"|"&amp;AF$5))*2,0)/2))&gt;INDEX(TF_AktSum,MATCH($A48&amp;"|"&amp;AF$5,TF_Dom,0)),"LMS",INDEX(AktKode,MATCH(INDEX(TF_Akt,MATCH($A48&amp;"|"&amp;AF$5,TF_Dom,0)),Aktiviteter,0)))&amp;IF(OR(COUNTIFS(TF_Nokkel,$A48&amp;"|"&amp;AF$5,TF_Akt,"&lt;&gt;"&amp;INDEX(TF_Akt,MATCH($A48&amp;"|"&amp;AF$5,TF_Dom,0)))&gt;0,AND(IF(AF$9="",0,MAX(0,ROUND((AF$12-SUMIFS(TF_Timer,TF_Nokkel,$A48&amp;"|"&amp;AF$5))*2,0)/2))&gt;0,INDEX(TF_Akt,MATCH($A48&amp;"|"&amp;AF$5,TF_Dom,0))&lt;&gt;"LMS")),"+",""),"?"))))</f>
        <v/>
      </c>
      <c r="AG48" s="13">
        <f>IF(OR($A48="",AG$5=""),"",IF(OR(AND(INDEX(TekFra,31)&gt;0,AG$5&lt;INDEX(TekFra,31)),AND(INDEX(TekTil,31)&gt;0,AG$5&gt;INDEX(TekTil,31))),"",IF(COUNTIFS(TF_Nokkel,$A48&amp;"|"&amp;AG$5)=0,IF(AG$9&lt;&gt;"","LMS",""),IFERROR(IF(SUMIFS(TF_Timer,TF_Nokkel,$A48&amp;"|"&amp;AG$5,TF_Akt,"LMS")+IF(AG$9="",0,MAX(0,ROUND((AG$12-SUMIFS(TF_Timer,TF_Nokkel,$A48&amp;"|"&amp;AG$5))*2,0)/2))&gt;INDEX(TF_AktSum,MATCH($A48&amp;"|"&amp;AG$5,TF_Dom,0)),"LMS",INDEX(AktKode,MATCH(INDEX(TF_Akt,MATCH($A48&amp;"|"&amp;AG$5,TF_Dom,0)),Aktiviteter,0)))&amp;IF(OR(COUNTIFS(TF_Nokkel,$A48&amp;"|"&amp;AG$5,TF_Akt,"&lt;&gt;"&amp;INDEX(TF_Akt,MATCH($A48&amp;"|"&amp;AG$5,TF_Dom,0)))&gt;0,AND(IF(AG$9="",0,MAX(0,ROUND((AG$12-SUMIFS(TF_Timer,TF_Nokkel,$A48&amp;"|"&amp;AG$5))*2,0)/2))&gt;0,INDEX(TF_Akt,MATCH($A48&amp;"|"&amp;AG$5,TF_Dom,0))&lt;&gt;"LMS")),"+",""),"?"))))</f>
        <v/>
      </c>
      <c r="AH48" s="2" t="n"/>
      <c r="AI48" s="2" t="n"/>
      <c r="AJ48" s="2" t="n"/>
    </row>
    <row r="49">
      <c r="A49" s="2">
        <f>INDEX(Teknikere,32)&amp;""</f>
        <v/>
      </c>
      <c r="B49" s="12">
        <f>IF(INDEX(TekFra,32)&gt;0,"ekstra","")</f>
        <v/>
      </c>
      <c r="C49" s="13">
        <f>IF(OR($A49="",C$5=""),"",IF(OR(AND(INDEX(TekFra,32)&gt;0,C$5&lt;INDEX(TekFra,32)),AND(INDEX(TekTil,32)&gt;0,C$5&gt;INDEX(TekTil,32))),"",IF(COUNTIFS(TF_Nokkel,$A49&amp;"|"&amp;C$5)=0,IF(C$9&lt;&gt;"","LMS",""),IFERROR(IF(SUMIFS(TF_Timer,TF_Nokkel,$A49&amp;"|"&amp;C$5,TF_Akt,"LMS")+IF(C$9="",0,MAX(0,ROUND((C$12-SUMIFS(TF_Timer,TF_Nokkel,$A49&amp;"|"&amp;C$5))*2,0)/2))&gt;INDEX(TF_AktSum,MATCH($A49&amp;"|"&amp;C$5,TF_Dom,0)),"LMS",INDEX(AktKode,MATCH(INDEX(TF_Akt,MATCH($A49&amp;"|"&amp;C$5,TF_Dom,0)),Aktiviteter,0)))&amp;IF(OR(COUNTIFS(TF_Nokkel,$A49&amp;"|"&amp;C$5,TF_Akt,"&lt;&gt;"&amp;INDEX(TF_Akt,MATCH($A49&amp;"|"&amp;C$5,TF_Dom,0)))&gt;0,AND(IF(C$9="",0,MAX(0,ROUND((C$12-SUMIFS(TF_Timer,TF_Nokkel,$A49&amp;"|"&amp;C$5))*2,0)/2))&gt;0,INDEX(TF_Akt,MATCH($A49&amp;"|"&amp;C$5,TF_Dom,0))&lt;&gt;"LMS")),"+",""),"?"))))</f>
        <v/>
      </c>
      <c r="D49" s="13">
        <f>IF(OR($A49="",D$5=""),"",IF(OR(AND(INDEX(TekFra,32)&gt;0,D$5&lt;INDEX(TekFra,32)),AND(INDEX(TekTil,32)&gt;0,D$5&gt;INDEX(TekTil,32))),"",IF(COUNTIFS(TF_Nokkel,$A49&amp;"|"&amp;D$5)=0,IF(D$9&lt;&gt;"","LMS",""),IFERROR(IF(SUMIFS(TF_Timer,TF_Nokkel,$A49&amp;"|"&amp;D$5,TF_Akt,"LMS")+IF(D$9="",0,MAX(0,ROUND((D$12-SUMIFS(TF_Timer,TF_Nokkel,$A49&amp;"|"&amp;D$5))*2,0)/2))&gt;INDEX(TF_AktSum,MATCH($A49&amp;"|"&amp;D$5,TF_Dom,0)),"LMS",INDEX(AktKode,MATCH(INDEX(TF_Akt,MATCH($A49&amp;"|"&amp;D$5,TF_Dom,0)),Aktiviteter,0)))&amp;IF(OR(COUNTIFS(TF_Nokkel,$A49&amp;"|"&amp;D$5,TF_Akt,"&lt;&gt;"&amp;INDEX(TF_Akt,MATCH($A49&amp;"|"&amp;D$5,TF_Dom,0)))&gt;0,AND(IF(D$9="",0,MAX(0,ROUND((D$12-SUMIFS(TF_Timer,TF_Nokkel,$A49&amp;"|"&amp;D$5))*2,0)/2))&gt;0,INDEX(TF_Akt,MATCH($A49&amp;"|"&amp;D$5,TF_Dom,0))&lt;&gt;"LMS")),"+",""),"?"))))</f>
        <v/>
      </c>
      <c r="E49" s="13">
        <f>IF(OR($A49="",E$5=""),"",IF(OR(AND(INDEX(TekFra,32)&gt;0,E$5&lt;INDEX(TekFra,32)),AND(INDEX(TekTil,32)&gt;0,E$5&gt;INDEX(TekTil,32))),"",IF(COUNTIFS(TF_Nokkel,$A49&amp;"|"&amp;E$5)=0,IF(E$9&lt;&gt;"","LMS",""),IFERROR(IF(SUMIFS(TF_Timer,TF_Nokkel,$A49&amp;"|"&amp;E$5,TF_Akt,"LMS")+IF(E$9="",0,MAX(0,ROUND((E$12-SUMIFS(TF_Timer,TF_Nokkel,$A49&amp;"|"&amp;E$5))*2,0)/2))&gt;INDEX(TF_AktSum,MATCH($A49&amp;"|"&amp;E$5,TF_Dom,0)),"LMS",INDEX(AktKode,MATCH(INDEX(TF_Akt,MATCH($A49&amp;"|"&amp;E$5,TF_Dom,0)),Aktiviteter,0)))&amp;IF(OR(COUNTIFS(TF_Nokkel,$A49&amp;"|"&amp;E$5,TF_Akt,"&lt;&gt;"&amp;INDEX(TF_Akt,MATCH($A49&amp;"|"&amp;E$5,TF_Dom,0)))&gt;0,AND(IF(E$9="",0,MAX(0,ROUND((E$12-SUMIFS(TF_Timer,TF_Nokkel,$A49&amp;"|"&amp;E$5))*2,0)/2))&gt;0,INDEX(TF_Akt,MATCH($A49&amp;"|"&amp;E$5,TF_Dom,0))&lt;&gt;"LMS")),"+",""),"?"))))</f>
        <v/>
      </c>
      <c r="F49" s="13">
        <f>IF(OR($A49="",F$5=""),"",IF(OR(AND(INDEX(TekFra,32)&gt;0,F$5&lt;INDEX(TekFra,32)),AND(INDEX(TekTil,32)&gt;0,F$5&gt;INDEX(TekTil,32))),"",IF(COUNTIFS(TF_Nokkel,$A49&amp;"|"&amp;F$5)=0,IF(F$9&lt;&gt;"","LMS",""),IFERROR(IF(SUMIFS(TF_Timer,TF_Nokkel,$A49&amp;"|"&amp;F$5,TF_Akt,"LMS")+IF(F$9="",0,MAX(0,ROUND((F$12-SUMIFS(TF_Timer,TF_Nokkel,$A49&amp;"|"&amp;F$5))*2,0)/2))&gt;INDEX(TF_AktSum,MATCH($A49&amp;"|"&amp;F$5,TF_Dom,0)),"LMS",INDEX(AktKode,MATCH(INDEX(TF_Akt,MATCH($A49&amp;"|"&amp;F$5,TF_Dom,0)),Aktiviteter,0)))&amp;IF(OR(COUNTIFS(TF_Nokkel,$A49&amp;"|"&amp;F$5,TF_Akt,"&lt;&gt;"&amp;INDEX(TF_Akt,MATCH($A49&amp;"|"&amp;F$5,TF_Dom,0)))&gt;0,AND(IF(F$9="",0,MAX(0,ROUND((F$12-SUMIFS(TF_Timer,TF_Nokkel,$A49&amp;"|"&amp;F$5))*2,0)/2))&gt;0,INDEX(TF_Akt,MATCH($A49&amp;"|"&amp;F$5,TF_Dom,0))&lt;&gt;"LMS")),"+",""),"?"))))</f>
        <v/>
      </c>
      <c r="G49" s="13">
        <f>IF(OR($A49="",G$5=""),"",IF(OR(AND(INDEX(TekFra,32)&gt;0,G$5&lt;INDEX(TekFra,32)),AND(INDEX(TekTil,32)&gt;0,G$5&gt;INDEX(TekTil,32))),"",IF(COUNTIFS(TF_Nokkel,$A49&amp;"|"&amp;G$5)=0,IF(G$9&lt;&gt;"","LMS",""),IFERROR(IF(SUMIFS(TF_Timer,TF_Nokkel,$A49&amp;"|"&amp;G$5,TF_Akt,"LMS")+IF(G$9="",0,MAX(0,ROUND((G$12-SUMIFS(TF_Timer,TF_Nokkel,$A49&amp;"|"&amp;G$5))*2,0)/2))&gt;INDEX(TF_AktSum,MATCH($A49&amp;"|"&amp;G$5,TF_Dom,0)),"LMS",INDEX(AktKode,MATCH(INDEX(TF_Akt,MATCH($A49&amp;"|"&amp;G$5,TF_Dom,0)),Aktiviteter,0)))&amp;IF(OR(COUNTIFS(TF_Nokkel,$A49&amp;"|"&amp;G$5,TF_Akt,"&lt;&gt;"&amp;INDEX(TF_Akt,MATCH($A49&amp;"|"&amp;G$5,TF_Dom,0)))&gt;0,AND(IF(G$9="",0,MAX(0,ROUND((G$12-SUMIFS(TF_Timer,TF_Nokkel,$A49&amp;"|"&amp;G$5))*2,0)/2))&gt;0,INDEX(TF_Akt,MATCH($A49&amp;"|"&amp;G$5,TF_Dom,0))&lt;&gt;"LMS")),"+",""),"?"))))</f>
        <v/>
      </c>
      <c r="H49" s="13">
        <f>IF(OR($A49="",H$5=""),"",IF(OR(AND(INDEX(TekFra,32)&gt;0,H$5&lt;INDEX(TekFra,32)),AND(INDEX(TekTil,32)&gt;0,H$5&gt;INDEX(TekTil,32))),"",IF(COUNTIFS(TF_Nokkel,$A49&amp;"|"&amp;H$5)=0,IF(H$9&lt;&gt;"","LMS",""),IFERROR(IF(SUMIFS(TF_Timer,TF_Nokkel,$A49&amp;"|"&amp;H$5,TF_Akt,"LMS")+IF(H$9="",0,MAX(0,ROUND((H$12-SUMIFS(TF_Timer,TF_Nokkel,$A49&amp;"|"&amp;H$5))*2,0)/2))&gt;INDEX(TF_AktSum,MATCH($A49&amp;"|"&amp;H$5,TF_Dom,0)),"LMS",INDEX(AktKode,MATCH(INDEX(TF_Akt,MATCH($A49&amp;"|"&amp;H$5,TF_Dom,0)),Aktiviteter,0)))&amp;IF(OR(COUNTIFS(TF_Nokkel,$A49&amp;"|"&amp;H$5,TF_Akt,"&lt;&gt;"&amp;INDEX(TF_Akt,MATCH($A49&amp;"|"&amp;H$5,TF_Dom,0)))&gt;0,AND(IF(H$9="",0,MAX(0,ROUND((H$12-SUMIFS(TF_Timer,TF_Nokkel,$A49&amp;"|"&amp;H$5))*2,0)/2))&gt;0,INDEX(TF_Akt,MATCH($A49&amp;"|"&amp;H$5,TF_Dom,0))&lt;&gt;"LMS")),"+",""),"?"))))</f>
        <v/>
      </c>
      <c r="I49" s="13">
        <f>IF(OR($A49="",I$5=""),"",IF(OR(AND(INDEX(TekFra,32)&gt;0,I$5&lt;INDEX(TekFra,32)),AND(INDEX(TekTil,32)&gt;0,I$5&gt;INDEX(TekTil,32))),"",IF(COUNTIFS(TF_Nokkel,$A49&amp;"|"&amp;I$5)=0,IF(I$9&lt;&gt;"","LMS",""),IFERROR(IF(SUMIFS(TF_Timer,TF_Nokkel,$A49&amp;"|"&amp;I$5,TF_Akt,"LMS")+IF(I$9="",0,MAX(0,ROUND((I$12-SUMIFS(TF_Timer,TF_Nokkel,$A49&amp;"|"&amp;I$5))*2,0)/2))&gt;INDEX(TF_AktSum,MATCH($A49&amp;"|"&amp;I$5,TF_Dom,0)),"LMS",INDEX(AktKode,MATCH(INDEX(TF_Akt,MATCH($A49&amp;"|"&amp;I$5,TF_Dom,0)),Aktiviteter,0)))&amp;IF(OR(COUNTIFS(TF_Nokkel,$A49&amp;"|"&amp;I$5,TF_Akt,"&lt;&gt;"&amp;INDEX(TF_Akt,MATCH($A49&amp;"|"&amp;I$5,TF_Dom,0)))&gt;0,AND(IF(I$9="",0,MAX(0,ROUND((I$12-SUMIFS(TF_Timer,TF_Nokkel,$A49&amp;"|"&amp;I$5))*2,0)/2))&gt;0,INDEX(TF_Akt,MATCH($A49&amp;"|"&amp;I$5,TF_Dom,0))&lt;&gt;"LMS")),"+",""),"?"))))</f>
        <v/>
      </c>
      <c r="J49" s="13">
        <f>IF(OR($A49="",J$5=""),"",IF(OR(AND(INDEX(TekFra,32)&gt;0,J$5&lt;INDEX(TekFra,32)),AND(INDEX(TekTil,32)&gt;0,J$5&gt;INDEX(TekTil,32))),"",IF(COUNTIFS(TF_Nokkel,$A49&amp;"|"&amp;J$5)=0,IF(J$9&lt;&gt;"","LMS",""),IFERROR(IF(SUMIFS(TF_Timer,TF_Nokkel,$A49&amp;"|"&amp;J$5,TF_Akt,"LMS")+IF(J$9="",0,MAX(0,ROUND((J$12-SUMIFS(TF_Timer,TF_Nokkel,$A49&amp;"|"&amp;J$5))*2,0)/2))&gt;INDEX(TF_AktSum,MATCH($A49&amp;"|"&amp;J$5,TF_Dom,0)),"LMS",INDEX(AktKode,MATCH(INDEX(TF_Akt,MATCH($A49&amp;"|"&amp;J$5,TF_Dom,0)),Aktiviteter,0)))&amp;IF(OR(COUNTIFS(TF_Nokkel,$A49&amp;"|"&amp;J$5,TF_Akt,"&lt;&gt;"&amp;INDEX(TF_Akt,MATCH($A49&amp;"|"&amp;J$5,TF_Dom,0)))&gt;0,AND(IF(J$9="",0,MAX(0,ROUND((J$12-SUMIFS(TF_Timer,TF_Nokkel,$A49&amp;"|"&amp;J$5))*2,0)/2))&gt;0,INDEX(TF_Akt,MATCH($A49&amp;"|"&amp;J$5,TF_Dom,0))&lt;&gt;"LMS")),"+",""),"?"))))</f>
        <v/>
      </c>
      <c r="K49" s="13">
        <f>IF(OR($A49="",K$5=""),"",IF(OR(AND(INDEX(TekFra,32)&gt;0,K$5&lt;INDEX(TekFra,32)),AND(INDEX(TekTil,32)&gt;0,K$5&gt;INDEX(TekTil,32))),"",IF(COUNTIFS(TF_Nokkel,$A49&amp;"|"&amp;K$5)=0,IF(K$9&lt;&gt;"","LMS",""),IFERROR(IF(SUMIFS(TF_Timer,TF_Nokkel,$A49&amp;"|"&amp;K$5,TF_Akt,"LMS")+IF(K$9="",0,MAX(0,ROUND((K$12-SUMIFS(TF_Timer,TF_Nokkel,$A49&amp;"|"&amp;K$5))*2,0)/2))&gt;INDEX(TF_AktSum,MATCH($A49&amp;"|"&amp;K$5,TF_Dom,0)),"LMS",INDEX(AktKode,MATCH(INDEX(TF_Akt,MATCH($A49&amp;"|"&amp;K$5,TF_Dom,0)),Aktiviteter,0)))&amp;IF(OR(COUNTIFS(TF_Nokkel,$A49&amp;"|"&amp;K$5,TF_Akt,"&lt;&gt;"&amp;INDEX(TF_Akt,MATCH($A49&amp;"|"&amp;K$5,TF_Dom,0)))&gt;0,AND(IF(K$9="",0,MAX(0,ROUND((K$12-SUMIFS(TF_Timer,TF_Nokkel,$A49&amp;"|"&amp;K$5))*2,0)/2))&gt;0,INDEX(TF_Akt,MATCH($A49&amp;"|"&amp;K$5,TF_Dom,0))&lt;&gt;"LMS")),"+",""),"?"))))</f>
        <v/>
      </c>
      <c r="L49" s="13">
        <f>IF(OR($A49="",L$5=""),"",IF(OR(AND(INDEX(TekFra,32)&gt;0,L$5&lt;INDEX(TekFra,32)),AND(INDEX(TekTil,32)&gt;0,L$5&gt;INDEX(TekTil,32))),"",IF(COUNTIFS(TF_Nokkel,$A49&amp;"|"&amp;L$5)=0,IF(L$9&lt;&gt;"","LMS",""),IFERROR(IF(SUMIFS(TF_Timer,TF_Nokkel,$A49&amp;"|"&amp;L$5,TF_Akt,"LMS")+IF(L$9="",0,MAX(0,ROUND((L$12-SUMIFS(TF_Timer,TF_Nokkel,$A49&amp;"|"&amp;L$5))*2,0)/2))&gt;INDEX(TF_AktSum,MATCH($A49&amp;"|"&amp;L$5,TF_Dom,0)),"LMS",INDEX(AktKode,MATCH(INDEX(TF_Akt,MATCH($A49&amp;"|"&amp;L$5,TF_Dom,0)),Aktiviteter,0)))&amp;IF(OR(COUNTIFS(TF_Nokkel,$A49&amp;"|"&amp;L$5,TF_Akt,"&lt;&gt;"&amp;INDEX(TF_Akt,MATCH($A49&amp;"|"&amp;L$5,TF_Dom,0)))&gt;0,AND(IF(L$9="",0,MAX(0,ROUND((L$12-SUMIFS(TF_Timer,TF_Nokkel,$A49&amp;"|"&amp;L$5))*2,0)/2))&gt;0,INDEX(TF_Akt,MATCH($A49&amp;"|"&amp;L$5,TF_Dom,0))&lt;&gt;"LMS")),"+",""),"?"))))</f>
        <v/>
      </c>
      <c r="M49" s="13">
        <f>IF(OR($A49="",M$5=""),"",IF(OR(AND(INDEX(TekFra,32)&gt;0,M$5&lt;INDEX(TekFra,32)),AND(INDEX(TekTil,32)&gt;0,M$5&gt;INDEX(TekTil,32))),"",IF(COUNTIFS(TF_Nokkel,$A49&amp;"|"&amp;M$5)=0,IF(M$9&lt;&gt;"","LMS",""),IFERROR(IF(SUMIFS(TF_Timer,TF_Nokkel,$A49&amp;"|"&amp;M$5,TF_Akt,"LMS")+IF(M$9="",0,MAX(0,ROUND((M$12-SUMIFS(TF_Timer,TF_Nokkel,$A49&amp;"|"&amp;M$5))*2,0)/2))&gt;INDEX(TF_AktSum,MATCH($A49&amp;"|"&amp;M$5,TF_Dom,0)),"LMS",INDEX(AktKode,MATCH(INDEX(TF_Akt,MATCH($A49&amp;"|"&amp;M$5,TF_Dom,0)),Aktiviteter,0)))&amp;IF(OR(COUNTIFS(TF_Nokkel,$A49&amp;"|"&amp;M$5,TF_Akt,"&lt;&gt;"&amp;INDEX(TF_Akt,MATCH($A49&amp;"|"&amp;M$5,TF_Dom,0)))&gt;0,AND(IF(M$9="",0,MAX(0,ROUND((M$12-SUMIFS(TF_Timer,TF_Nokkel,$A49&amp;"|"&amp;M$5))*2,0)/2))&gt;0,INDEX(TF_Akt,MATCH($A49&amp;"|"&amp;M$5,TF_Dom,0))&lt;&gt;"LMS")),"+",""),"?"))))</f>
        <v/>
      </c>
      <c r="N49" s="13">
        <f>IF(OR($A49="",N$5=""),"",IF(OR(AND(INDEX(TekFra,32)&gt;0,N$5&lt;INDEX(TekFra,32)),AND(INDEX(TekTil,32)&gt;0,N$5&gt;INDEX(TekTil,32))),"",IF(COUNTIFS(TF_Nokkel,$A49&amp;"|"&amp;N$5)=0,IF(N$9&lt;&gt;"","LMS",""),IFERROR(IF(SUMIFS(TF_Timer,TF_Nokkel,$A49&amp;"|"&amp;N$5,TF_Akt,"LMS")+IF(N$9="",0,MAX(0,ROUND((N$12-SUMIFS(TF_Timer,TF_Nokkel,$A49&amp;"|"&amp;N$5))*2,0)/2))&gt;INDEX(TF_AktSum,MATCH($A49&amp;"|"&amp;N$5,TF_Dom,0)),"LMS",INDEX(AktKode,MATCH(INDEX(TF_Akt,MATCH($A49&amp;"|"&amp;N$5,TF_Dom,0)),Aktiviteter,0)))&amp;IF(OR(COUNTIFS(TF_Nokkel,$A49&amp;"|"&amp;N$5,TF_Akt,"&lt;&gt;"&amp;INDEX(TF_Akt,MATCH($A49&amp;"|"&amp;N$5,TF_Dom,0)))&gt;0,AND(IF(N$9="",0,MAX(0,ROUND((N$12-SUMIFS(TF_Timer,TF_Nokkel,$A49&amp;"|"&amp;N$5))*2,0)/2))&gt;0,INDEX(TF_Akt,MATCH($A49&amp;"|"&amp;N$5,TF_Dom,0))&lt;&gt;"LMS")),"+",""),"?"))))</f>
        <v/>
      </c>
      <c r="O49" s="13">
        <f>IF(OR($A49="",O$5=""),"",IF(OR(AND(INDEX(TekFra,32)&gt;0,O$5&lt;INDEX(TekFra,32)),AND(INDEX(TekTil,32)&gt;0,O$5&gt;INDEX(TekTil,32))),"",IF(COUNTIFS(TF_Nokkel,$A49&amp;"|"&amp;O$5)=0,IF(O$9&lt;&gt;"","LMS",""),IFERROR(IF(SUMIFS(TF_Timer,TF_Nokkel,$A49&amp;"|"&amp;O$5,TF_Akt,"LMS")+IF(O$9="",0,MAX(0,ROUND((O$12-SUMIFS(TF_Timer,TF_Nokkel,$A49&amp;"|"&amp;O$5))*2,0)/2))&gt;INDEX(TF_AktSum,MATCH($A49&amp;"|"&amp;O$5,TF_Dom,0)),"LMS",INDEX(AktKode,MATCH(INDEX(TF_Akt,MATCH($A49&amp;"|"&amp;O$5,TF_Dom,0)),Aktiviteter,0)))&amp;IF(OR(COUNTIFS(TF_Nokkel,$A49&amp;"|"&amp;O$5,TF_Akt,"&lt;&gt;"&amp;INDEX(TF_Akt,MATCH($A49&amp;"|"&amp;O$5,TF_Dom,0)))&gt;0,AND(IF(O$9="",0,MAX(0,ROUND((O$12-SUMIFS(TF_Timer,TF_Nokkel,$A49&amp;"|"&amp;O$5))*2,0)/2))&gt;0,INDEX(TF_Akt,MATCH($A49&amp;"|"&amp;O$5,TF_Dom,0))&lt;&gt;"LMS")),"+",""),"?"))))</f>
        <v/>
      </c>
      <c r="P49" s="13">
        <f>IF(OR($A49="",P$5=""),"",IF(OR(AND(INDEX(TekFra,32)&gt;0,P$5&lt;INDEX(TekFra,32)),AND(INDEX(TekTil,32)&gt;0,P$5&gt;INDEX(TekTil,32))),"",IF(COUNTIFS(TF_Nokkel,$A49&amp;"|"&amp;P$5)=0,IF(P$9&lt;&gt;"","LMS",""),IFERROR(IF(SUMIFS(TF_Timer,TF_Nokkel,$A49&amp;"|"&amp;P$5,TF_Akt,"LMS")+IF(P$9="",0,MAX(0,ROUND((P$12-SUMIFS(TF_Timer,TF_Nokkel,$A49&amp;"|"&amp;P$5))*2,0)/2))&gt;INDEX(TF_AktSum,MATCH($A49&amp;"|"&amp;P$5,TF_Dom,0)),"LMS",INDEX(AktKode,MATCH(INDEX(TF_Akt,MATCH($A49&amp;"|"&amp;P$5,TF_Dom,0)),Aktiviteter,0)))&amp;IF(OR(COUNTIFS(TF_Nokkel,$A49&amp;"|"&amp;P$5,TF_Akt,"&lt;&gt;"&amp;INDEX(TF_Akt,MATCH($A49&amp;"|"&amp;P$5,TF_Dom,0)))&gt;0,AND(IF(P$9="",0,MAX(0,ROUND((P$12-SUMIFS(TF_Timer,TF_Nokkel,$A49&amp;"|"&amp;P$5))*2,0)/2))&gt;0,INDEX(TF_Akt,MATCH($A49&amp;"|"&amp;P$5,TF_Dom,0))&lt;&gt;"LMS")),"+",""),"?"))))</f>
        <v/>
      </c>
      <c r="Q49" s="13">
        <f>IF(OR($A49="",Q$5=""),"",IF(OR(AND(INDEX(TekFra,32)&gt;0,Q$5&lt;INDEX(TekFra,32)),AND(INDEX(TekTil,32)&gt;0,Q$5&gt;INDEX(TekTil,32))),"",IF(COUNTIFS(TF_Nokkel,$A49&amp;"|"&amp;Q$5)=0,IF(Q$9&lt;&gt;"","LMS",""),IFERROR(IF(SUMIFS(TF_Timer,TF_Nokkel,$A49&amp;"|"&amp;Q$5,TF_Akt,"LMS")+IF(Q$9="",0,MAX(0,ROUND((Q$12-SUMIFS(TF_Timer,TF_Nokkel,$A49&amp;"|"&amp;Q$5))*2,0)/2))&gt;INDEX(TF_AktSum,MATCH($A49&amp;"|"&amp;Q$5,TF_Dom,0)),"LMS",INDEX(AktKode,MATCH(INDEX(TF_Akt,MATCH($A49&amp;"|"&amp;Q$5,TF_Dom,0)),Aktiviteter,0)))&amp;IF(OR(COUNTIFS(TF_Nokkel,$A49&amp;"|"&amp;Q$5,TF_Akt,"&lt;&gt;"&amp;INDEX(TF_Akt,MATCH($A49&amp;"|"&amp;Q$5,TF_Dom,0)))&gt;0,AND(IF(Q$9="",0,MAX(0,ROUND((Q$12-SUMIFS(TF_Timer,TF_Nokkel,$A49&amp;"|"&amp;Q$5))*2,0)/2))&gt;0,INDEX(TF_Akt,MATCH($A49&amp;"|"&amp;Q$5,TF_Dom,0))&lt;&gt;"LMS")),"+",""),"?"))))</f>
        <v/>
      </c>
      <c r="R49" s="13">
        <f>IF(OR($A49="",R$5=""),"",IF(OR(AND(INDEX(TekFra,32)&gt;0,R$5&lt;INDEX(TekFra,32)),AND(INDEX(TekTil,32)&gt;0,R$5&gt;INDEX(TekTil,32))),"",IF(COUNTIFS(TF_Nokkel,$A49&amp;"|"&amp;R$5)=0,IF(R$9&lt;&gt;"","LMS",""),IFERROR(IF(SUMIFS(TF_Timer,TF_Nokkel,$A49&amp;"|"&amp;R$5,TF_Akt,"LMS")+IF(R$9="",0,MAX(0,ROUND((R$12-SUMIFS(TF_Timer,TF_Nokkel,$A49&amp;"|"&amp;R$5))*2,0)/2))&gt;INDEX(TF_AktSum,MATCH($A49&amp;"|"&amp;R$5,TF_Dom,0)),"LMS",INDEX(AktKode,MATCH(INDEX(TF_Akt,MATCH($A49&amp;"|"&amp;R$5,TF_Dom,0)),Aktiviteter,0)))&amp;IF(OR(COUNTIFS(TF_Nokkel,$A49&amp;"|"&amp;R$5,TF_Akt,"&lt;&gt;"&amp;INDEX(TF_Akt,MATCH($A49&amp;"|"&amp;R$5,TF_Dom,0)))&gt;0,AND(IF(R$9="",0,MAX(0,ROUND((R$12-SUMIFS(TF_Timer,TF_Nokkel,$A49&amp;"|"&amp;R$5))*2,0)/2))&gt;0,INDEX(TF_Akt,MATCH($A49&amp;"|"&amp;R$5,TF_Dom,0))&lt;&gt;"LMS")),"+",""),"?"))))</f>
        <v/>
      </c>
      <c r="S49" s="13">
        <f>IF(OR($A49="",S$5=""),"",IF(OR(AND(INDEX(TekFra,32)&gt;0,S$5&lt;INDEX(TekFra,32)),AND(INDEX(TekTil,32)&gt;0,S$5&gt;INDEX(TekTil,32))),"",IF(COUNTIFS(TF_Nokkel,$A49&amp;"|"&amp;S$5)=0,IF(S$9&lt;&gt;"","LMS",""),IFERROR(IF(SUMIFS(TF_Timer,TF_Nokkel,$A49&amp;"|"&amp;S$5,TF_Akt,"LMS")+IF(S$9="",0,MAX(0,ROUND((S$12-SUMIFS(TF_Timer,TF_Nokkel,$A49&amp;"|"&amp;S$5))*2,0)/2))&gt;INDEX(TF_AktSum,MATCH($A49&amp;"|"&amp;S$5,TF_Dom,0)),"LMS",INDEX(AktKode,MATCH(INDEX(TF_Akt,MATCH($A49&amp;"|"&amp;S$5,TF_Dom,0)),Aktiviteter,0)))&amp;IF(OR(COUNTIFS(TF_Nokkel,$A49&amp;"|"&amp;S$5,TF_Akt,"&lt;&gt;"&amp;INDEX(TF_Akt,MATCH($A49&amp;"|"&amp;S$5,TF_Dom,0)))&gt;0,AND(IF(S$9="",0,MAX(0,ROUND((S$12-SUMIFS(TF_Timer,TF_Nokkel,$A49&amp;"|"&amp;S$5))*2,0)/2))&gt;0,INDEX(TF_Akt,MATCH($A49&amp;"|"&amp;S$5,TF_Dom,0))&lt;&gt;"LMS")),"+",""),"?"))))</f>
        <v/>
      </c>
      <c r="T49" s="13">
        <f>IF(OR($A49="",T$5=""),"",IF(OR(AND(INDEX(TekFra,32)&gt;0,T$5&lt;INDEX(TekFra,32)),AND(INDEX(TekTil,32)&gt;0,T$5&gt;INDEX(TekTil,32))),"",IF(COUNTIFS(TF_Nokkel,$A49&amp;"|"&amp;T$5)=0,IF(T$9&lt;&gt;"","LMS",""),IFERROR(IF(SUMIFS(TF_Timer,TF_Nokkel,$A49&amp;"|"&amp;T$5,TF_Akt,"LMS")+IF(T$9="",0,MAX(0,ROUND((T$12-SUMIFS(TF_Timer,TF_Nokkel,$A49&amp;"|"&amp;T$5))*2,0)/2))&gt;INDEX(TF_AktSum,MATCH($A49&amp;"|"&amp;T$5,TF_Dom,0)),"LMS",INDEX(AktKode,MATCH(INDEX(TF_Akt,MATCH($A49&amp;"|"&amp;T$5,TF_Dom,0)),Aktiviteter,0)))&amp;IF(OR(COUNTIFS(TF_Nokkel,$A49&amp;"|"&amp;T$5,TF_Akt,"&lt;&gt;"&amp;INDEX(TF_Akt,MATCH($A49&amp;"|"&amp;T$5,TF_Dom,0)))&gt;0,AND(IF(T$9="",0,MAX(0,ROUND((T$12-SUMIFS(TF_Timer,TF_Nokkel,$A49&amp;"|"&amp;T$5))*2,0)/2))&gt;0,INDEX(TF_Akt,MATCH($A49&amp;"|"&amp;T$5,TF_Dom,0))&lt;&gt;"LMS")),"+",""),"?"))))</f>
        <v/>
      </c>
      <c r="U49" s="13">
        <f>IF(OR($A49="",U$5=""),"",IF(OR(AND(INDEX(TekFra,32)&gt;0,U$5&lt;INDEX(TekFra,32)),AND(INDEX(TekTil,32)&gt;0,U$5&gt;INDEX(TekTil,32))),"",IF(COUNTIFS(TF_Nokkel,$A49&amp;"|"&amp;U$5)=0,IF(U$9&lt;&gt;"","LMS",""),IFERROR(IF(SUMIFS(TF_Timer,TF_Nokkel,$A49&amp;"|"&amp;U$5,TF_Akt,"LMS")+IF(U$9="",0,MAX(0,ROUND((U$12-SUMIFS(TF_Timer,TF_Nokkel,$A49&amp;"|"&amp;U$5))*2,0)/2))&gt;INDEX(TF_AktSum,MATCH($A49&amp;"|"&amp;U$5,TF_Dom,0)),"LMS",INDEX(AktKode,MATCH(INDEX(TF_Akt,MATCH($A49&amp;"|"&amp;U$5,TF_Dom,0)),Aktiviteter,0)))&amp;IF(OR(COUNTIFS(TF_Nokkel,$A49&amp;"|"&amp;U$5,TF_Akt,"&lt;&gt;"&amp;INDEX(TF_Akt,MATCH($A49&amp;"|"&amp;U$5,TF_Dom,0)))&gt;0,AND(IF(U$9="",0,MAX(0,ROUND((U$12-SUMIFS(TF_Timer,TF_Nokkel,$A49&amp;"|"&amp;U$5))*2,0)/2))&gt;0,INDEX(TF_Akt,MATCH($A49&amp;"|"&amp;U$5,TF_Dom,0))&lt;&gt;"LMS")),"+",""),"?"))))</f>
        <v/>
      </c>
      <c r="V49" s="13">
        <f>IF(OR($A49="",V$5=""),"",IF(OR(AND(INDEX(TekFra,32)&gt;0,V$5&lt;INDEX(TekFra,32)),AND(INDEX(TekTil,32)&gt;0,V$5&gt;INDEX(TekTil,32))),"",IF(COUNTIFS(TF_Nokkel,$A49&amp;"|"&amp;V$5)=0,IF(V$9&lt;&gt;"","LMS",""),IFERROR(IF(SUMIFS(TF_Timer,TF_Nokkel,$A49&amp;"|"&amp;V$5,TF_Akt,"LMS")+IF(V$9="",0,MAX(0,ROUND((V$12-SUMIFS(TF_Timer,TF_Nokkel,$A49&amp;"|"&amp;V$5))*2,0)/2))&gt;INDEX(TF_AktSum,MATCH($A49&amp;"|"&amp;V$5,TF_Dom,0)),"LMS",INDEX(AktKode,MATCH(INDEX(TF_Akt,MATCH($A49&amp;"|"&amp;V$5,TF_Dom,0)),Aktiviteter,0)))&amp;IF(OR(COUNTIFS(TF_Nokkel,$A49&amp;"|"&amp;V$5,TF_Akt,"&lt;&gt;"&amp;INDEX(TF_Akt,MATCH($A49&amp;"|"&amp;V$5,TF_Dom,0)))&gt;0,AND(IF(V$9="",0,MAX(0,ROUND((V$12-SUMIFS(TF_Timer,TF_Nokkel,$A49&amp;"|"&amp;V$5))*2,0)/2))&gt;0,INDEX(TF_Akt,MATCH($A49&amp;"|"&amp;V$5,TF_Dom,0))&lt;&gt;"LMS")),"+",""),"?"))))</f>
        <v/>
      </c>
      <c r="W49" s="13">
        <f>IF(OR($A49="",W$5=""),"",IF(OR(AND(INDEX(TekFra,32)&gt;0,W$5&lt;INDEX(TekFra,32)),AND(INDEX(TekTil,32)&gt;0,W$5&gt;INDEX(TekTil,32))),"",IF(COUNTIFS(TF_Nokkel,$A49&amp;"|"&amp;W$5)=0,IF(W$9&lt;&gt;"","LMS",""),IFERROR(IF(SUMIFS(TF_Timer,TF_Nokkel,$A49&amp;"|"&amp;W$5,TF_Akt,"LMS")+IF(W$9="",0,MAX(0,ROUND((W$12-SUMIFS(TF_Timer,TF_Nokkel,$A49&amp;"|"&amp;W$5))*2,0)/2))&gt;INDEX(TF_AktSum,MATCH($A49&amp;"|"&amp;W$5,TF_Dom,0)),"LMS",INDEX(AktKode,MATCH(INDEX(TF_Akt,MATCH($A49&amp;"|"&amp;W$5,TF_Dom,0)),Aktiviteter,0)))&amp;IF(OR(COUNTIFS(TF_Nokkel,$A49&amp;"|"&amp;W$5,TF_Akt,"&lt;&gt;"&amp;INDEX(TF_Akt,MATCH($A49&amp;"|"&amp;W$5,TF_Dom,0)))&gt;0,AND(IF(W$9="",0,MAX(0,ROUND((W$12-SUMIFS(TF_Timer,TF_Nokkel,$A49&amp;"|"&amp;W$5))*2,0)/2))&gt;0,INDEX(TF_Akt,MATCH($A49&amp;"|"&amp;W$5,TF_Dom,0))&lt;&gt;"LMS")),"+",""),"?"))))</f>
        <v/>
      </c>
      <c r="X49" s="13">
        <f>IF(OR($A49="",X$5=""),"",IF(OR(AND(INDEX(TekFra,32)&gt;0,X$5&lt;INDEX(TekFra,32)),AND(INDEX(TekTil,32)&gt;0,X$5&gt;INDEX(TekTil,32))),"",IF(COUNTIFS(TF_Nokkel,$A49&amp;"|"&amp;X$5)=0,IF(X$9&lt;&gt;"","LMS",""),IFERROR(IF(SUMIFS(TF_Timer,TF_Nokkel,$A49&amp;"|"&amp;X$5,TF_Akt,"LMS")+IF(X$9="",0,MAX(0,ROUND((X$12-SUMIFS(TF_Timer,TF_Nokkel,$A49&amp;"|"&amp;X$5))*2,0)/2))&gt;INDEX(TF_AktSum,MATCH($A49&amp;"|"&amp;X$5,TF_Dom,0)),"LMS",INDEX(AktKode,MATCH(INDEX(TF_Akt,MATCH($A49&amp;"|"&amp;X$5,TF_Dom,0)),Aktiviteter,0)))&amp;IF(OR(COUNTIFS(TF_Nokkel,$A49&amp;"|"&amp;X$5,TF_Akt,"&lt;&gt;"&amp;INDEX(TF_Akt,MATCH($A49&amp;"|"&amp;X$5,TF_Dom,0)))&gt;0,AND(IF(X$9="",0,MAX(0,ROUND((X$12-SUMIFS(TF_Timer,TF_Nokkel,$A49&amp;"|"&amp;X$5))*2,0)/2))&gt;0,INDEX(TF_Akt,MATCH($A49&amp;"|"&amp;X$5,TF_Dom,0))&lt;&gt;"LMS")),"+",""),"?"))))</f>
        <v/>
      </c>
      <c r="Y49" s="13">
        <f>IF(OR($A49="",Y$5=""),"",IF(OR(AND(INDEX(TekFra,32)&gt;0,Y$5&lt;INDEX(TekFra,32)),AND(INDEX(TekTil,32)&gt;0,Y$5&gt;INDEX(TekTil,32))),"",IF(COUNTIFS(TF_Nokkel,$A49&amp;"|"&amp;Y$5)=0,IF(Y$9&lt;&gt;"","LMS",""),IFERROR(IF(SUMIFS(TF_Timer,TF_Nokkel,$A49&amp;"|"&amp;Y$5,TF_Akt,"LMS")+IF(Y$9="",0,MAX(0,ROUND((Y$12-SUMIFS(TF_Timer,TF_Nokkel,$A49&amp;"|"&amp;Y$5))*2,0)/2))&gt;INDEX(TF_AktSum,MATCH($A49&amp;"|"&amp;Y$5,TF_Dom,0)),"LMS",INDEX(AktKode,MATCH(INDEX(TF_Akt,MATCH($A49&amp;"|"&amp;Y$5,TF_Dom,0)),Aktiviteter,0)))&amp;IF(OR(COUNTIFS(TF_Nokkel,$A49&amp;"|"&amp;Y$5,TF_Akt,"&lt;&gt;"&amp;INDEX(TF_Akt,MATCH($A49&amp;"|"&amp;Y$5,TF_Dom,0)))&gt;0,AND(IF(Y$9="",0,MAX(0,ROUND((Y$12-SUMIFS(TF_Timer,TF_Nokkel,$A49&amp;"|"&amp;Y$5))*2,0)/2))&gt;0,INDEX(TF_Akt,MATCH($A49&amp;"|"&amp;Y$5,TF_Dom,0))&lt;&gt;"LMS")),"+",""),"?"))))</f>
        <v/>
      </c>
      <c r="Z49" s="13">
        <f>IF(OR($A49="",Z$5=""),"",IF(OR(AND(INDEX(TekFra,32)&gt;0,Z$5&lt;INDEX(TekFra,32)),AND(INDEX(TekTil,32)&gt;0,Z$5&gt;INDEX(TekTil,32))),"",IF(COUNTIFS(TF_Nokkel,$A49&amp;"|"&amp;Z$5)=0,IF(Z$9&lt;&gt;"","LMS",""),IFERROR(IF(SUMIFS(TF_Timer,TF_Nokkel,$A49&amp;"|"&amp;Z$5,TF_Akt,"LMS")+IF(Z$9="",0,MAX(0,ROUND((Z$12-SUMIFS(TF_Timer,TF_Nokkel,$A49&amp;"|"&amp;Z$5))*2,0)/2))&gt;INDEX(TF_AktSum,MATCH($A49&amp;"|"&amp;Z$5,TF_Dom,0)),"LMS",INDEX(AktKode,MATCH(INDEX(TF_Akt,MATCH($A49&amp;"|"&amp;Z$5,TF_Dom,0)),Aktiviteter,0)))&amp;IF(OR(COUNTIFS(TF_Nokkel,$A49&amp;"|"&amp;Z$5,TF_Akt,"&lt;&gt;"&amp;INDEX(TF_Akt,MATCH($A49&amp;"|"&amp;Z$5,TF_Dom,0)))&gt;0,AND(IF(Z$9="",0,MAX(0,ROUND((Z$12-SUMIFS(TF_Timer,TF_Nokkel,$A49&amp;"|"&amp;Z$5))*2,0)/2))&gt;0,INDEX(TF_Akt,MATCH($A49&amp;"|"&amp;Z$5,TF_Dom,0))&lt;&gt;"LMS")),"+",""),"?"))))</f>
        <v/>
      </c>
      <c r="AA49" s="13">
        <f>IF(OR($A49="",AA$5=""),"",IF(OR(AND(INDEX(TekFra,32)&gt;0,AA$5&lt;INDEX(TekFra,32)),AND(INDEX(TekTil,32)&gt;0,AA$5&gt;INDEX(TekTil,32))),"",IF(COUNTIFS(TF_Nokkel,$A49&amp;"|"&amp;AA$5)=0,IF(AA$9&lt;&gt;"","LMS",""),IFERROR(IF(SUMIFS(TF_Timer,TF_Nokkel,$A49&amp;"|"&amp;AA$5,TF_Akt,"LMS")+IF(AA$9="",0,MAX(0,ROUND((AA$12-SUMIFS(TF_Timer,TF_Nokkel,$A49&amp;"|"&amp;AA$5))*2,0)/2))&gt;INDEX(TF_AktSum,MATCH($A49&amp;"|"&amp;AA$5,TF_Dom,0)),"LMS",INDEX(AktKode,MATCH(INDEX(TF_Akt,MATCH($A49&amp;"|"&amp;AA$5,TF_Dom,0)),Aktiviteter,0)))&amp;IF(OR(COUNTIFS(TF_Nokkel,$A49&amp;"|"&amp;AA$5,TF_Akt,"&lt;&gt;"&amp;INDEX(TF_Akt,MATCH($A49&amp;"|"&amp;AA$5,TF_Dom,0)))&gt;0,AND(IF(AA$9="",0,MAX(0,ROUND((AA$12-SUMIFS(TF_Timer,TF_Nokkel,$A49&amp;"|"&amp;AA$5))*2,0)/2))&gt;0,INDEX(TF_Akt,MATCH($A49&amp;"|"&amp;AA$5,TF_Dom,0))&lt;&gt;"LMS")),"+",""),"?"))))</f>
        <v/>
      </c>
      <c r="AB49" s="13">
        <f>IF(OR($A49="",AB$5=""),"",IF(OR(AND(INDEX(TekFra,32)&gt;0,AB$5&lt;INDEX(TekFra,32)),AND(INDEX(TekTil,32)&gt;0,AB$5&gt;INDEX(TekTil,32))),"",IF(COUNTIFS(TF_Nokkel,$A49&amp;"|"&amp;AB$5)=0,IF(AB$9&lt;&gt;"","LMS",""),IFERROR(IF(SUMIFS(TF_Timer,TF_Nokkel,$A49&amp;"|"&amp;AB$5,TF_Akt,"LMS")+IF(AB$9="",0,MAX(0,ROUND((AB$12-SUMIFS(TF_Timer,TF_Nokkel,$A49&amp;"|"&amp;AB$5))*2,0)/2))&gt;INDEX(TF_AktSum,MATCH($A49&amp;"|"&amp;AB$5,TF_Dom,0)),"LMS",INDEX(AktKode,MATCH(INDEX(TF_Akt,MATCH($A49&amp;"|"&amp;AB$5,TF_Dom,0)),Aktiviteter,0)))&amp;IF(OR(COUNTIFS(TF_Nokkel,$A49&amp;"|"&amp;AB$5,TF_Akt,"&lt;&gt;"&amp;INDEX(TF_Akt,MATCH($A49&amp;"|"&amp;AB$5,TF_Dom,0)))&gt;0,AND(IF(AB$9="",0,MAX(0,ROUND((AB$12-SUMIFS(TF_Timer,TF_Nokkel,$A49&amp;"|"&amp;AB$5))*2,0)/2))&gt;0,INDEX(TF_Akt,MATCH($A49&amp;"|"&amp;AB$5,TF_Dom,0))&lt;&gt;"LMS")),"+",""),"?"))))</f>
        <v/>
      </c>
      <c r="AC49" s="13">
        <f>IF(OR($A49="",AC$5=""),"",IF(OR(AND(INDEX(TekFra,32)&gt;0,AC$5&lt;INDEX(TekFra,32)),AND(INDEX(TekTil,32)&gt;0,AC$5&gt;INDEX(TekTil,32))),"",IF(COUNTIFS(TF_Nokkel,$A49&amp;"|"&amp;AC$5)=0,IF(AC$9&lt;&gt;"","LMS",""),IFERROR(IF(SUMIFS(TF_Timer,TF_Nokkel,$A49&amp;"|"&amp;AC$5,TF_Akt,"LMS")+IF(AC$9="",0,MAX(0,ROUND((AC$12-SUMIFS(TF_Timer,TF_Nokkel,$A49&amp;"|"&amp;AC$5))*2,0)/2))&gt;INDEX(TF_AktSum,MATCH($A49&amp;"|"&amp;AC$5,TF_Dom,0)),"LMS",INDEX(AktKode,MATCH(INDEX(TF_Akt,MATCH($A49&amp;"|"&amp;AC$5,TF_Dom,0)),Aktiviteter,0)))&amp;IF(OR(COUNTIFS(TF_Nokkel,$A49&amp;"|"&amp;AC$5,TF_Akt,"&lt;&gt;"&amp;INDEX(TF_Akt,MATCH($A49&amp;"|"&amp;AC$5,TF_Dom,0)))&gt;0,AND(IF(AC$9="",0,MAX(0,ROUND((AC$12-SUMIFS(TF_Timer,TF_Nokkel,$A49&amp;"|"&amp;AC$5))*2,0)/2))&gt;0,INDEX(TF_Akt,MATCH($A49&amp;"|"&amp;AC$5,TF_Dom,0))&lt;&gt;"LMS")),"+",""),"?"))))</f>
        <v/>
      </c>
      <c r="AD49" s="13">
        <f>IF(OR($A49="",AD$5=""),"",IF(OR(AND(INDEX(TekFra,32)&gt;0,AD$5&lt;INDEX(TekFra,32)),AND(INDEX(TekTil,32)&gt;0,AD$5&gt;INDEX(TekTil,32))),"",IF(COUNTIFS(TF_Nokkel,$A49&amp;"|"&amp;AD$5)=0,IF(AD$9&lt;&gt;"","LMS",""),IFERROR(IF(SUMIFS(TF_Timer,TF_Nokkel,$A49&amp;"|"&amp;AD$5,TF_Akt,"LMS")+IF(AD$9="",0,MAX(0,ROUND((AD$12-SUMIFS(TF_Timer,TF_Nokkel,$A49&amp;"|"&amp;AD$5))*2,0)/2))&gt;INDEX(TF_AktSum,MATCH($A49&amp;"|"&amp;AD$5,TF_Dom,0)),"LMS",INDEX(AktKode,MATCH(INDEX(TF_Akt,MATCH($A49&amp;"|"&amp;AD$5,TF_Dom,0)),Aktiviteter,0)))&amp;IF(OR(COUNTIFS(TF_Nokkel,$A49&amp;"|"&amp;AD$5,TF_Akt,"&lt;&gt;"&amp;INDEX(TF_Akt,MATCH($A49&amp;"|"&amp;AD$5,TF_Dom,0)))&gt;0,AND(IF(AD$9="",0,MAX(0,ROUND((AD$12-SUMIFS(TF_Timer,TF_Nokkel,$A49&amp;"|"&amp;AD$5))*2,0)/2))&gt;0,INDEX(TF_Akt,MATCH($A49&amp;"|"&amp;AD$5,TF_Dom,0))&lt;&gt;"LMS")),"+",""),"?"))))</f>
        <v/>
      </c>
      <c r="AE49" s="13">
        <f>IF(OR($A49="",AE$5=""),"",IF(OR(AND(INDEX(TekFra,32)&gt;0,AE$5&lt;INDEX(TekFra,32)),AND(INDEX(TekTil,32)&gt;0,AE$5&gt;INDEX(TekTil,32))),"",IF(COUNTIFS(TF_Nokkel,$A49&amp;"|"&amp;AE$5)=0,IF(AE$9&lt;&gt;"","LMS",""),IFERROR(IF(SUMIFS(TF_Timer,TF_Nokkel,$A49&amp;"|"&amp;AE$5,TF_Akt,"LMS")+IF(AE$9="",0,MAX(0,ROUND((AE$12-SUMIFS(TF_Timer,TF_Nokkel,$A49&amp;"|"&amp;AE$5))*2,0)/2))&gt;INDEX(TF_AktSum,MATCH($A49&amp;"|"&amp;AE$5,TF_Dom,0)),"LMS",INDEX(AktKode,MATCH(INDEX(TF_Akt,MATCH($A49&amp;"|"&amp;AE$5,TF_Dom,0)),Aktiviteter,0)))&amp;IF(OR(COUNTIFS(TF_Nokkel,$A49&amp;"|"&amp;AE$5,TF_Akt,"&lt;&gt;"&amp;INDEX(TF_Akt,MATCH($A49&amp;"|"&amp;AE$5,TF_Dom,0)))&gt;0,AND(IF(AE$9="",0,MAX(0,ROUND((AE$12-SUMIFS(TF_Timer,TF_Nokkel,$A49&amp;"|"&amp;AE$5))*2,0)/2))&gt;0,INDEX(TF_Akt,MATCH($A49&amp;"|"&amp;AE$5,TF_Dom,0))&lt;&gt;"LMS")),"+",""),"?"))))</f>
        <v/>
      </c>
      <c r="AF49" s="13">
        <f>IF(OR($A49="",AF$5=""),"",IF(OR(AND(INDEX(TekFra,32)&gt;0,AF$5&lt;INDEX(TekFra,32)),AND(INDEX(TekTil,32)&gt;0,AF$5&gt;INDEX(TekTil,32))),"",IF(COUNTIFS(TF_Nokkel,$A49&amp;"|"&amp;AF$5)=0,IF(AF$9&lt;&gt;"","LMS",""),IFERROR(IF(SUMIFS(TF_Timer,TF_Nokkel,$A49&amp;"|"&amp;AF$5,TF_Akt,"LMS")+IF(AF$9="",0,MAX(0,ROUND((AF$12-SUMIFS(TF_Timer,TF_Nokkel,$A49&amp;"|"&amp;AF$5))*2,0)/2))&gt;INDEX(TF_AktSum,MATCH($A49&amp;"|"&amp;AF$5,TF_Dom,0)),"LMS",INDEX(AktKode,MATCH(INDEX(TF_Akt,MATCH($A49&amp;"|"&amp;AF$5,TF_Dom,0)),Aktiviteter,0)))&amp;IF(OR(COUNTIFS(TF_Nokkel,$A49&amp;"|"&amp;AF$5,TF_Akt,"&lt;&gt;"&amp;INDEX(TF_Akt,MATCH($A49&amp;"|"&amp;AF$5,TF_Dom,0)))&gt;0,AND(IF(AF$9="",0,MAX(0,ROUND((AF$12-SUMIFS(TF_Timer,TF_Nokkel,$A49&amp;"|"&amp;AF$5))*2,0)/2))&gt;0,INDEX(TF_Akt,MATCH($A49&amp;"|"&amp;AF$5,TF_Dom,0))&lt;&gt;"LMS")),"+",""),"?"))))</f>
        <v/>
      </c>
      <c r="AG49" s="13">
        <f>IF(OR($A49="",AG$5=""),"",IF(OR(AND(INDEX(TekFra,32)&gt;0,AG$5&lt;INDEX(TekFra,32)),AND(INDEX(TekTil,32)&gt;0,AG$5&gt;INDEX(TekTil,32))),"",IF(COUNTIFS(TF_Nokkel,$A49&amp;"|"&amp;AG$5)=0,IF(AG$9&lt;&gt;"","LMS",""),IFERROR(IF(SUMIFS(TF_Timer,TF_Nokkel,$A49&amp;"|"&amp;AG$5,TF_Akt,"LMS")+IF(AG$9="",0,MAX(0,ROUND((AG$12-SUMIFS(TF_Timer,TF_Nokkel,$A49&amp;"|"&amp;AG$5))*2,0)/2))&gt;INDEX(TF_AktSum,MATCH($A49&amp;"|"&amp;AG$5,TF_Dom,0)),"LMS",INDEX(AktKode,MATCH(INDEX(TF_Akt,MATCH($A49&amp;"|"&amp;AG$5,TF_Dom,0)),Aktiviteter,0)))&amp;IF(OR(COUNTIFS(TF_Nokkel,$A49&amp;"|"&amp;AG$5,TF_Akt,"&lt;&gt;"&amp;INDEX(TF_Akt,MATCH($A49&amp;"|"&amp;AG$5,TF_Dom,0)))&gt;0,AND(IF(AG$9="",0,MAX(0,ROUND((AG$12-SUMIFS(TF_Timer,TF_Nokkel,$A49&amp;"|"&amp;AG$5))*2,0)/2))&gt;0,INDEX(TF_Akt,MATCH($A49&amp;"|"&amp;AG$5,TF_Dom,0))&lt;&gt;"LMS")),"+",""),"?"))))</f>
        <v/>
      </c>
      <c r="AH49" s="2" t="n"/>
      <c r="AI49" s="2" t="n"/>
      <c r="AJ49" s="2" t="n"/>
    </row>
    <row r="50">
      <c r="A50" s="2">
        <f>INDEX(Teknikere,33)&amp;""</f>
        <v/>
      </c>
      <c r="B50" s="12">
        <f>IF(INDEX(TekFra,33)&gt;0,"ekstra","")</f>
        <v/>
      </c>
      <c r="C50" s="13">
        <f>IF(OR($A50="",C$5=""),"",IF(OR(AND(INDEX(TekFra,33)&gt;0,C$5&lt;INDEX(TekFra,33)),AND(INDEX(TekTil,33)&gt;0,C$5&gt;INDEX(TekTil,33))),"",IF(COUNTIFS(TF_Nokkel,$A50&amp;"|"&amp;C$5)=0,IF(C$9&lt;&gt;"","LMS",""),IFERROR(IF(SUMIFS(TF_Timer,TF_Nokkel,$A50&amp;"|"&amp;C$5,TF_Akt,"LMS")+IF(C$9="",0,MAX(0,ROUND((C$12-SUMIFS(TF_Timer,TF_Nokkel,$A50&amp;"|"&amp;C$5))*2,0)/2))&gt;INDEX(TF_AktSum,MATCH($A50&amp;"|"&amp;C$5,TF_Dom,0)),"LMS",INDEX(AktKode,MATCH(INDEX(TF_Akt,MATCH($A50&amp;"|"&amp;C$5,TF_Dom,0)),Aktiviteter,0)))&amp;IF(OR(COUNTIFS(TF_Nokkel,$A50&amp;"|"&amp;C$5,TF_Akt,"&lt;&gt;"&amp;INDEX(TF_Akt,MATCH($A50&amp;"|"&amp;C$5,TF_Dom,0)))&gt;0,AND(IF(C$9="",0,MAX(0,ROUND((C$12-SUMIFS(TF_Timer,TF_Nokkel,$A50&amp;"|"&amp;C$5))*2,0)/2))&gt;0,INDEX(TF_Akt,MATCH($A50&amp;"|"&amp;C$5,TF_Dom,0))&lt;&gt;"LMS")),"+",""),"?"))))</f>
        <v/>
      </c>
      <c r="D50" s="13">
        <f>IF(OR($A50="",D$5=""),"",IF(OR(AND(INDEX(TekFra,33)&gt;0,D$5&lt;INDEX(TekFra,33)),AND(INDEX(TekTil,33)&gt;0,D$5&gt;INDEX(TekTil,33))),"",IF(COUNTIFS(TF_Nokkel,$A50&amp;"|"&amp;D$5)=0,IF(D$9&lt;&gt;"","LMS",""),IFERROR(IF(SUMIFS(TF_Timer,TF_Nokkel,$A50&amp;"|"&amp;D$5,TF_Akt,"LMS")+IF(D$9="",0,MAX(0,ROUND((D$12-SUMIFS(TF_Timer,TF_Nokkel,$A50&amp;"|"&amp;D$5))*2,0)/2))&gt;INDEX(TF_AktSum,MATCH($A50&amp;"|"&amp;D$5,TF_Dom,0)),"LMS",INDEX(AktKode,MATCH(INDEX(TF_Akt,MATCH($A50&amp;"|"&amp;D$5,TF_Dom,0)),Aktiviteter,0)))&amp;IF(OR(COUNTIFS(TF_Nokkel,$A50&amp;"|"&amp;D$5,TF_Akt,"&lt;&gt;"&amp;INDEX(TF_Akt,MATCH($A50&amp;"|"&amp;D$5,TF_Dom,0)))&gt;0,AND(IF(D$9="",0,MAX(0,ROUND((D$12-SUMIFS(TF_Timer,TF_Nokkel,$A50&amp;"|"&amp;D$5))*2,0)/2))&gt;0,INDEX(TF_Akt,MATCH($A50&amp;"|"&amp;D$5,TF_Dom,0))&lt;&gt;"LMS")),"+",""),"?"))))</f>
        <v/>
      </c>
      <c r="E50" s="13">
        <f>IF(OR($A50="",E$5=""),"",IF(OR(AND(INDEX(TekFra,33)&gt;0,E$5&lt;INDEX(TekFra,33)),AND(INDEX(TekTil,33)&gt;0,E$5&gt;INDEX(TekTil,33))),"",IF(COUNTIFS(TF_Nokkel,$A50&amp;"|"&amp;E$5)=0,IF(E$9&lt;&gt;"","LMS",""),IFERROR(IF(SUMIFS(TF_Timer,TF_Nokkel,$A50&amp;"|"&amp;E$5,TF_Akt,"LMS")+IF(E$9="",0,MAX(0,ROUND((E$12-SUMIFS(TF_Timer,TF_Nokkel,$A50&amp;"|"&amp;E$5))*2,0)/2))&gt;INDEX(TF_AktSum,MATCH($A50&amp;"|"&amp;E$5,TF_Dom,0)),"LMS",INDEX(AktKode,MATCH(INDEX(TF_Akt,MATCH($A50&amp;"|"&amp;E$5,TF_Dom,0)),Aktiviteter,0)))&amp;IF(OR(COUNTIFS(TF_Nokkel,$A50&amp;"|"&amp;E$5,TF_Akt,"&lt;&gt;"&amp;INDEX(TF_Akt,MATCH($A50&amp;"|"&amp;E$5,TF_Dom,0)))&gt;0,AND(IF(E$9="",0,MAX(0,ROUND((E$12-SUMIFS(TF_Timer,TF_Nokkel,$A50&amp;"|"&amp;E$5))*2,0)/2))&gt;0,INDEX(TF_Akt,MATCH($A50&amp;"|"&amp;E$5,TF_Dom,0))&lt;&gt;"LMS")),"+",""),"?"))))</f>
        <v/>
      </c>
      <c r="F50" s="13">
        <f>IF(OR($A50="",F$5=""),"",IF(OR(AND(INDEX(TekFra,33)&gt;0,F$5&lt;INDEX(TekFra,33)),AND(INDEX(TekTil,33)&gt;0,F$5&gt;INDEX(TekTil,33))),"",IF(COUNTIFS(TF_Nokkel,$A50&amp;"|"&amp;F$5)=0,IF(F$9&lt;&gt;"","LMS",""),IFERROR(IF(SUMIFS(TF_Timer,TF_Nokkel,$A50&amp;"|"&amp;F$5,TF_Akt,"LMS")+IF(F$9="",0,MAX(0,ROUND((F$12-SUMIFS(TF_Timer,TF_Nokkel,$A50&amp;"|"&amp;F$5))*2,0)/2))&gt;INDEX(TF_AktSum,MATCH($A50&amp;"|"&amp;F$5,TF_Dom,0)),"LMS",INDEX(AktKode,MATCH(INDEX(TF_Akt,MATCH($A50&amp;"|"&amp;F$5,TF_Dom,0)),Aktiviteter,0)))&amp;IF(OR(COUNTIFS(TF_Nokkel,$A50&amp;"|"&amp;F$5,TF_Akt,"&lt;&gt;"&amp;INDEX(TF_Akt,MATCH($A50&amp;"|"&amp;F$5,TF_Dom,0)))&gt;0,AND(IF(F$9="",0,MAX(0,ROUND((F$12-SUMIFS(TF_Timer,TF_Nokkel,$A50&amp;"|"&amp;F$5))*2,0)/2))&gt;0,INDEX(TF_Akt,MATCH($A50&amp;"|"&amp;F$5,TF_Dom,0))&lt;&gt;"LMS")),"+",""),"?"))))</f>
        <v/>
      </c>
      <c r="G50" s="13">
        <f>IF(OR($A50="",G$5=""),"",IF(OR(AND(INDEX(TekFra,33)&gt;0,G$5&lt;INDEX(TekFra,33)),AND(INDEX(TekTil,33)&gt;0,G$5&gt;INDEX(TekTil,33))),"",IF(COUNTIFS(TF_Nokkel,$A50&amp;"|"&amp;G$5)=0,IF(G$9&lt;&gt;"","LMS",""),IFERROR(IF(SUMIFS(TF_Timer,TF_Nokkel,$A50&amp;"|"&amp;G$5,TF_Akt,"LMS")+IF(G$9="",0,MAX(0,ROUND((G$12-SUMIFS(TF_Timer,TF_Nokkel,$A50&amp;"|"&amp;G$5))*2,0)/2))&gt;INDEX(TF_AktSum,MATCH($A50&amp;"|"&amp;G$5,TF_Dom,0)),"LMS",INDEX(AktKode,MATCH(INDEX(TF_Akt,MATCH($A50&amp;"|"&amp;G$5,TF_Dom,0)),Aktiviteter,0)))&amp;IF(OR(COUNTIFS(TF_Nokkel,$A50&amp;"|"&amp;G$5,TF_Akt,"&lt;&gt;"&amp;INDEX(TF_Akt,MATCH($A50&amp;"|"&amp;G$5,TF_Dom,0)))&gt;0,AND(IF(G$9="",0,MAX(0,ROUND((G$12-SUMIFS(TF_Timer,TF_Nokkel,$A50&amp;"|"&amp;G$5))*2,0)/2))&gt;0,INDEX(TF_Akt,MATCH($A50&amp;"|"&amp;G$5,TF_Dom,0))&lt;&gt;"LMS")),"+",""),"?"))))</f>
        <v/>
      </c>
      <c r="H50" s="13">
        <f>IF(OR($A50="",H$5=""),"",IF(OR(AND(INDEX(TekFra,33)&gt;0,H$5&lt;INDEX(TekFra,33)),AND(INDEX(TekTil,33)&gt;0,H$5&gt;INDEX(TekTil,33))),"",IF(COUNTIFS(TF_Nokkel,$A50&amp;"|"&amp;H$5)=0,IF(H$9&lt;&gt;"","LMS",""),IFERROR(IF(SUMIFS(TF_Timer,TF_Nokkel,$A50&amp;"|"&amp;H$5,TF_Akt,"LMS")+IF(H$9="",0,MAX(0,ROUND((H$12-SUMIFS(TF_Timer,TF_Nokkel,$A50&amp;"|"&amp;H$5))*2,0)/2))&gt;INDEX(TF_AktSum,MATCH($A50&amp;"|"&amp;H$5,TF_Dom,0)),"LMS",INDEX(AktKode,MATCH(INDEX(TF_Akt,MATCH($A50&amp;"|"&amp;H$5,TF_Dom,0)),Aktiviteter,0)))&amp;IF(OR(COUNTIFS(TF_Nokkel,$A50&amp;"|"&amp;H$5,TF_Akt,"&lt;&gt;"&amp;INDEX(TF_Akt,MATCH($A50&amp;"|"&amp;H$5,TF_Dom,0)))&gt;0,AND(IF(H$9="",0,MAX(0,ROUND((H$12-SUMIFS(TF_Timer,TF_Nokkel,$A50&amp;"|"&amp;H$5))*2,0)/2))&gt;0,INDEX(TF_Akt,MATCH($A50&amp;"|"&amp;H$5,TF_Dom,0))&lt;&gt;"LMS")),"+",""),"?"))))</f>
        <v/>
      </c>
      <c r="I50" s="13">
        <f>IF(OR($A50="",I$5=""),"",IF(OR(AND(INDEX(TekFra,33)&gt;0,I$5&lt;INDEX(TekFra,33)),AND(INDEX(TekTil,33)&gt;0,I$5&gt;INDEX(TekTil,33))),"",IF(COUNTIFS(TF_Nokkel,$A50&amp;"|"&amp;I$5)=0,IF(I$9&lt;&gt;"","LMS",""),IFERROR(IF(SUMIFS(TF_Timer,TF_Nokkel,$A50&amp;"|"&amp;I$5,TF_Akt,"LMS")+IF(I$9="",0,MAX(0,ROUND((I$12-SUMIFS(TF_Timer,TF_Nokkel,$A50&amp;"|"&amp;I$5))*2,0)/2))&gt;INDEX(TF_AktSum,MATCH($A50&amp;"|"&amp;I$5,TF_Dom,0)),"LMS",INDEX(AktKode,MATCH(INDEX(TF_Akt,MATCH($A50&amp;"|"&amp;I$5,TF_Dom,0)),Aktiviteter,0)))&amp;IF(OR(COUNTIFS(TF_Nokkel,$A50&amp;"|"&amp;I$5,TF_Akt,"&lt;&gt;"&amp;INDEX(TF_Akt,MATCH($A50&amp;"|"&amp;I$5,TF_Dom,0)))&gt;0,AND(IF(I$9="",0,MAX(0,ROUND((I$12-SUMIFS(TF_Timer,TF_Nokkel,$A50&amp;"|"&amp;I$5))*2,0)/2))&gt;0,INDEX(TF_Akt,MATCH($A50&amp;"|"&amp;I$5,TF_Dom,0))&lt;&gt;"LMS")),"+",""),"?"))))</f>
        <v/>
      </c>
      <c r="J50" s="13">
        <f>IF(OR($A50="",J$5=""),"",IF(OR(AND(INDEX(TekFra,33)&gt;0,J$5&lt;INDEX(TekFra,33)),AND(INDEX(TekTil,33)&gt;0,J$5&gt;INDEX(TekTil,33))),"",IF(COUNTIFS(TF_Nokkel,$A50&amp;"|"&amp;J$5)=0,IF(J$9&lt;&gt;"","LMS",""),IFERROR(IF(SUMIFS(TF_Timer,TF_Nokkel,$A50&amp;"|"&amp;J$5,TF_Akt,"LMS")+IF(J$9="",0,MAX(0,ROUND((J$12-SUMIFS(TF_Timer,TF_Nokkel,$A50&amp;"|"&amp;J$5))*2,0)/2))&gt;INDEX(TF_AktSum,MATCH($A50&amp;"|"&amp;J$5,TF_Dom,0)),"LMS",INDEX(AktKode,MATCH(INDEX(TF_Akt,MATCH($A50&amp;"|"&amp;J$5,TF_Dom,0)),Aktiviteter,0)))&amp;IF(OR(COUNTIFS(TF_Nokkel,$A50&amp;"|"&amp;J$5,TF_Akt,"&lt;&gt;"&amp;INDEX(TF_Akt,MATCH($A50&amp;"|"&amp;J$5,TF_Dom,0)))&gt;0,AND(IF(J$9="",0,MAX(0,ROUND((J$12-SUMIFS(TF_Timer,TF_Nokkel,$A50&amp;"|"&amp;J$5))*2,0)/2))&gt;0,INDEX(TF_Akt,MATCH($A50&amp;"|"&amp;J$5,TF_Dom,0))&lt;&gt;"LMS")),"+",""),"?"))))</f>
        <v/>
      </c>
      <c r="K50" s="13">
        <f>IF(OR($A50="",K$5=""),"",IF(OR(AND(INDEX(TekFra,33)&gt;0,K$5&lt;INDEX(TekFra,33)),AND(INDEX(TekTil,33)&gt;0,K$5&gt;INDEX(TekTil,33))),"",IF(COUNTIFS(TF_Nokkel,$A50&amp;"|"&amp;K$5)=0,IF(K$9&lt;&gt;"","LMS",""),IFERROR(IF(SUMIFS(TF_Timer,TF_Nokkel,$A50&amp;"|"&amp;K$5,TF_Akt,"LMS")+IF(K$9="",0,MAX(0,ROUND((K$12-SUMIFS(TF_Timer,TF_Nokkel,$A50&amp;"|"&amp;K$5))*2,0)/2))&gt;INDEX(TF_AktSum,MATCH($A50&amp;"|"&amp;K$5,TF_Dom,0)),"LMS",INDEX(AktKode,MATCH(INDEX(TF_Akt,MATCH($A50&amp;"|"&amp;K$5,TF_Dom,0)),Aktiviteter,0)))&amp;IF(OR(COUNTIFS(TF_Nokkel,$A50&amp;"|"&amp;K$5,TF_Akt,"&lt;&gt;"&amp;INDEX(TF_Akt,MATCH($A50&amp;"|"&amp;K$5,TF_Dom,0)))&gt;0,AND(IF(K$9="",0,MAX(0,ROUND((K$12-SUMIFS(TF_Timer,TF_Nokkel,$A50&amp;"|"&amp;K$5))*2,0)/2))&gt;0,INDEX(TF_Akt,MATCH($A50&amp;"|"&amp;K$5,TF_Dom,0))&lt;&gt;"LMS")),"+",""),"?"))))</f>
        <v/>
      </c>
      <c r="L50" s="13">
        <f>IF(OR($A50="",L$5=""),"",IF(OR(AND(INDEX(TekFra,33)&gt;0,L$5&lt;INDEX(TekFra,33)),AND(INDEX(TekTil,33)&gt;0,L$5&gt;INDEX(TekTil,33))),"",IF(COUNTIFS(TF_Nokkel,$A50&amp;"|"&amp;L$5)=0,IF(L$9&lt;&gt;"","LMS",""),IFERROR(IF(SUMIFS(TF_Timer,TF_Nokkel,$A50&amp;"|"&amp;L$5,TF_Akt,"LMS")+IF(L$9="",0,MAX(0,ROUND((L$12-SUMIFS(TF_Timer,TF_Nokkel,$A50&amp;"|"&amp;L$5))*2,0)/2))&gt;INDEX(TF_AktSum,MATCH($A50&amp;"|"&amp;L$5,TF_Dom,0)),"LMS",INDEX(AktKode,MATCH(INDEX(TF_Akt,MATCH($A50&amp;"|"&amp;L$5,TF_Dom,0)),Aktiviteter,0)))&amp;IF(OR(COUNTIFS(TF_Nokkel,$A50&amp;"|"&amp;L$5,TF_Akt,"&lt;&gt;"&amp;INDEX(TF_Akt,MATCH($A50&amp;"|"&amp;L$5,TF_Dom,0)))&gt;0,AND(IF(L$9="",0,MAX(0,ROUND((L$12-SUMIFS(TF_Timer,TF_Nokkel,$A50&amp;"|"&amp;L$5))*2,0)/2))&gt;0,INDEX(TF_Akt,MATCH($A50&amp;"|"&amp;L$5,TF_Dom,0))&lt;&gt;"LMS")),"+",""),"?"))))</f>
        <v/>
      </c>
      <c r="M50" s="13">
        <f>IF(OR($A50="",M$5=""),"",IF(OR(AND(INDEX(TekFra,33)&gt;0,M$5&lt;INDEX(TekFra,33)),AND(INDEX(TekTil,33)&gt;0,M$5&gt;INDEX(TekTil,33))),"",IF(COUNTIFS(TF_Nokkel,$A50&amp;"|"&amp;M$5)=0,IF(M$9&lt;&gt;"","LMS",""),IFERROR(IF(SUMIFS(TF_Timer,TF_Nokkel,$A50&amp;"|"&amp;M$5,TF_Akt,"LMS")+IF(M$9="",0,MAX(0,ROUND((M$12-SUMIFS(TF_Timer,TF_Nokkel,$A50&amp;"|"&amp;M$5))*2,0)/2))&gt;INDEX(TF_AktSum,MATCH($A50&amp;"|"&amp;M$5,TF_Dom,0)),"LMS",INDEX(AktKode,MATCH(INDEX(TF_Akt,MATCH($A50&amp;"|"&amp;M$5,TF_Dom,0)),Aktiviteter,0)))&amp;IF(OR(COUNTIFS(TF_Nokkel,$A50&amp;"|"&amp;M$5,TF_Akt,"&lt;&gt;"&amp;INDEX(TF_Akt,MATCH($A50&amp;"|"&amp;M$5,TF_Dom,0)))&gt;0,AND(IF(M$9="",0,MAX(0,ROUND((M$12-SUMIFS(TF_Timer,TF_Nokkel,$A50&amp;"|"&amp;M$5))*2,0)/2))&gt;0,INDEX(TF_Akt,MATCH($A50&amp;"|"&amp;M$5,TF_Dom,0))&lt;&gt;"LMS")),"+",""),"?"))))</f>
        <v/>
      </c>
      <c r="N50" s="13">
        <f>IF(OR($A50="",N$5=""),"",IF(OR(AND(INDEX(TekFra,33)&gt;0,N$5&lt;INDEX(TekFra,33)),AND(INDEX(TekTil,33)&gt;0,N$5&gt;INDEX(TekTil,33))),"",IF(COUNTIFS(TF_Nokkel,$A50&amp;"|"&amp;N$5)=0,IF(N$9&lt;&gt;"","LMS",""),IFERROR(IF(SUMIFS(TF_Timer,TF_Nokkel,$A50&amp;"|"&amp;N$5,TF_Akt,"LMS")+IF(N$9="",0,MAX(0,ROUND((N$12-SUMIFS(TF_Timer,TF_Nokkel,$A50&amp;"|"&amp;N$5))*2,0)/2))&gt;INDEX(TF_AktSum,MATCH($A50&amp;"|"&amp;N$5,TF_Dom,0)),"LMS",INDEX(AktKode,MATCH(INDEX(TF_Akt,MATCH($A50&amp;"|"&amp;N$5,TF_Dom,0)),Aktiviteter,0)))&amp;IF(OR(COUNTIFS(TF_Nokkel,$A50&amp;"|"&amp;N$5,TF_Akt,"&lt;&gt;"&amp;INDEX(TF_Akt,MATCH($A50&amp;"|"&amp;N$5,TF_Dom,0)))&gt;0,AND(IF(N$9="",0,MAX(0,ROUND((N$12-SUMIFS(TF_Timer,TF_Nokkel,$A50&amp;"|"&amp;N$5))*2,0)/2))&gt;0,INDEX(TF_Akt,MATCH($A50&amp;"|"&amp;N$5,TF_Dom,0))&lt;&gt;"LMS")),"+",""),"?"))))</f>
        <v/>
      </c>
      <c r="O50" s="13">
        <f>IF(OR($A50="",O$5=""),"",IF(OR(AND(INDEX(TekFra,33)&gt;0,O$5&lt;INDEX(TekFra,33)),AND(INDEX(TekTil,33)&gt;0,O$5&gt;INDEX(TekTil,33))),"",IF(COUNTIFS(TF_Nokkel,$A50&amp;"|"&amp;O$5)=0,IF(O$9&lt;&gt;"","LMS",""),IFERROR(IF(SUMIFS(TF_Timer,TF_Nokkel,$A50&amp;"|"&amp;O$5,TF_Akt,"LMS")+IF(O$9="",0,MAX(0,ROUND((O$12-SUMIFS(TF_Timer,TF_Nokkel,$A50&amp;"|"&amp;O$5))*2,0)/2))&gt;INDEX(TF_AktSum,MATCH($A50&amp;"|"&amp;O$5,TF_Dom,0)),"LMS",INDEX(AktKode,MATCH(INDEX(TF_Akt,MATCH($A50&amp;"|"&amp;O$5,TF_Dom,0)),Aktiviteter,0)))&amp;IF(OR(COUNTIFS(TF_Nokkel,$A50&amp;"|"&amp;O$5,TF_Akt,"&lt;&gt;"&amp;INDEX(TF_Akt,MATCH($A50&amp;"|"&amp;O$5,TF_Dom,0)))&gt;0,AND(IF(O$9="",0,MAX(0,ROUND((O$12-SUMIFS(TF_Timer,TF_Nokkel,$A50&amp;"|"&amp;O$5))*2,0)/2))&gt;0,INDEX(TF_Akt,MATCH($A50&amp;"|"&amp;O$5,TF_Dom,0))&lt;&gt;"LMS")),"+",""),"?"))))</f>
        <v/>
      </c>
      <c r="P50" s="13">
        <f>IF(OR($A50="",P$5=""),"",IF(OR(AND(INDEX(TekFra,33)&gt;0,P$5&lt;INDEX(TekFra,33)),AND(INDEX(TekTil,33)&gt;0,P$5&gt;INDEX(TekTil,33))),"",IF(COUNTIFS(TF_Nokkel,$A50&amp;"|"&amp;P$5)=0,IF(P$9&lt;&gt;"","LMS",""),IFERROR(IF(SUMIFS(TF_Timer,TF_Nokkel,$A50&amp;"|"&amp;P$5,TF_Akt,"LMS")+IF(P$9="",0,MAX(0,ROUND((P$12-SUMIFS(TF_Timer,TF_Nokkel,$A50&amp;"|"&amp;P$5))*2,0)/2))&gt;INDEX(TF_AktSum,MATCH($A50&amp;"|"&amp;P$5,TF_Dom,0)),"LMS",INDEX(AktKode,MATCH(INDEX(TF_Akt,MATCH($A50&amp;"|"&amp;P$5,TF_Dom,0)),Aktiviteter,0)))&amp;IF(OR(COUNTIFS(TF_Nokkel,$A50&amp;"|"&amp;P$5,TF_Akt,"&lt;&gt;"&amp;INDEX(TF_Akt,MATCH($A50&amp;"|"&amp;P$5,TF_Dom,0)))&gt;0,AND(IF(P$9="",0,MAX(0,ROUND((P$12-SUMIFS(TF_Timer,TF_Nokkel,$A50&amp;"|"&amp;P$5))*2,0)/2))&gt;0,INDEX(TF_Akt,MATCH($A50&amp;"|"&amp;P$5,TF_Dom,0))&lt;&gt;"LMS")),"+",""),"?"))))</f>
        <v/>
      </c>
      <c r="Q50" s="13">
        <f>IF(OR($A50="",Q$5=""),"",IF(OR(AND(INDEX(TekFra,33)&gt;0,Q$5&lt;INDEX(TekFra,33)),AND(INDEX(TekTil,33)&gt;0,Q$5&gt;INDEX(TekTil,33))),"",IF(COUNTIFS(TF_Nokkel,$A50&amp;"|"&amp;Q$5)=0,IF(Q$9&lt;&gt;"","LMS",""),IFERROR(IF(SUMIFS(TF_Timer,TF_Nokkel,$A50&amp;"|"&amp;Q$5,TF_Akt,"LMS")+IF(Q$9="",0,MAX(0,ROUND((Q$12-SUMIFS(TF_Timer,TF_Nokkel,$A50&amp;"|"&amp;Q$5))*2,0)/2))&gt;INDEX(TF_AktSum,MATCH($A50&amp;"|"&amp;Q$5,TF_Dom,0)),"LMS",INDEX(AktKode,MATCH(INDEX(TF_Akt,MATCH($A50&amp;"|"&amp;Q$5,TF_Dom,0)),Aktiviteter,0)))&amp;IF(OR(COUNTIFS(TF_Nokkel,$A50&amp;"|"&amp;Q$5,TF_Akt,"&lt;&gt;"&amp;INDEX(TF_Akt,MATCH($A50&amp;"|"&amp;Q$5,TF_Dom,0)))&gt;0,AND(IF(Q$9="",0,MAX(0,ROUND((Q$12-SUMIFS(TF_Timer,TF_Nokkel,$A50&amp;"|"&amp;Q$5))*2,0)/2))&gt;0,INDEX(TF_Akt,MATCH($A50&amp;"|"&amp;Q$5,TF_Dom,0))&lt;&gt;"LMS")),"+",""),"?"))))</f>
        <v/>
      </c>
      <c r="R50" s="13">
        <f>IF(OR($A50="",R$5=""),"",IF(OR(AND(INDEX(TekFra,33)&gt;0,R$5&lt;INDEX(TekFra,33)),AND(INDEX(TekTil,33)&gt;0,R$5&gt;INDEX(TekTil,33))),"",IF(COUNTIFS(TF_Nokkel,$A50&amp;"|"&amp;R$5)=0,IF(R$9&lt;&gt;"","LMS",""),IFERROR(IF(SUMIFS(TF_Timer,TF_Nokkel,$A50&amp;"|"&amp;R$5,TF_Akt,"LMS")+IF(R$9="",0,MAX(0,ROUND((R$12-SUMIFS(TF_Timer,TF_Nokkel,$A50&amp;"|"&amp;R$5))*2,0)/2))&gt;INDEX(TF_AktSum,MATCH($A50&amp;"|"&amp;R$5,TF_Dom,0)),"LMS",INDEX(AktKode,MATCH(INDEX(TF_Akt,MATCH($A50&amp;"|"&amp;R$5,TF_Dom,0)),Aktiviteter,0)))&amp;IF(OR(COUNTIFS(TF_Nokkel,$A50&amp;"|"&amp;R$5,TF_Akt,"&lt;&gt;"&amp;INDEX(TF_Akt,MATCH($A50&amp;"|"&amp;R$5,TF_Dom,0)))&gt;0,AND(IF(R$9="",0,MAX(0,ROUND((R$12-SUMIFS(TF_Timer,TF_Nokkel,$A50&amp;"|"&amp;R$5))*2,0)/2))&gt;0,INDEX(TF_Akt,MATCH($A50&amp;"|"&amp;R$5,TF_Dom,0))&lt;&gt;"LMS")),"+",""),"?"))))</f>
        <v/>
      </c>
      <c r="S50" s="13">
        <f>IF(OR($A50="",S$5=""),"",IF(OR(AND(INDEX(TekFra,33)&gt;0,S$5&lt;INDEX(TekFra,33)),AND(INDEX(TekTil,33)&gt;0,S$5&gt;INDEX(TekTil,33))),"",IF(COUNTIFS(TF_Nokkel,$A50&amp;"|"&amp;S$5)=0,IF(S$9&lt;&gt;"","LMS",""),IFERROR(IF(SUMIFS(TF_Timer,TF_Nokkel,$A50&amp;"|"&amp;S$5,TF_Akt,"LMS")+IF(S$9="",0,MAX(0,ROUND((S$12-SUMIFS(TF_Timer,TF_Nokkel,$A50&amp;"|"&amp;S$5))*2,0)/2))&gt;INDEX(TF_AktSum,MATCH($A50&amp;"|"&amp;S$5,TF_Dom,0)),"LMS",INDEX(AktKode,MATCH(INDEX(TF_Akt,MATCH($A50&amp;"|"&amp;S$5,TF_Dom,0)),Aktiviteter,0)))&amp;IF(OR(COUNTIFS(TF_Nokkel,$A50&amp;"|"&amp;S$5,TF_Akt,"&lt;&gt;"&amp;INDEX(TF_Akt,MATCH($A50&amp;"|"&amp;S$5,TF_Dom,0)))&gt;0,AND(IF(S$9="",0,MAX(0,ROUND((S$12-SUMIFS(TF_Timer,TF_Nokkel,$A50&amp;"|"&amp;S$5))*2,0)/2))&gt;0,INDEX(TF_Akt,MATCH($A50&amp;"|"&amp;S$5,TF_Dom,0))&lt;&gt;"LMS")),"+",""),"?"))))</f>
        <v/>
      </c>
      <c r="T50" s="13">
        <f>IF(OR($A50="",T$5=""),"",IF(OR(AND(INDEX(TekFra,33)&gt;0,T$5&lt;INDEX(TekFra,33)),AND(INDEX(TekTil,33)&gt;0,T$5&gt;INDEX(TekTil,33))),"",IF(COUNTIFS(TF_Nokkel,$A50&amp;"|"&amp;T$5)=0,IF(T$9&lt;&gt;"","LMS",""),IFERROR(IF(SUMIFS(TF_Timer,TF_Nokkel,$A50&amp;"|"&amp;T$5,TF_Akt,"LMS")+IF(T$9="",0,MAX(0,ROUND((T$12-SUMIFS(TF_Timer,TF_Nokkel,$A50&amp;"|"&amp;T$5))*2,0)/2))&gt;INDEX(TF_AktSum,MATCH($A50&amp;"|"&amp;T$5,TF_Dom,0)),"LMS",INDEX(AktKode,MATCH(INDEX(TF_Akt,MATCH($A50&amp;"|"&amp;T$5,TF_Dom,0)),Aktiviteter,0)))&amp;IF(OR(COUNTIFS(TF_Nokkel,$A50&amp;"|"&amp;T$5,TF_Akt,"&lt;&gt;"&amp;INDEX(TF_Akt,MATCH($A50&amp;"|"&amp;T$5,TF_Dom,0)))&gt;0,AND(IF(T$9="",0,MAX(0,ROUND((T$12-SUMIFS(TF_Timer,TF_Nokkel,$A50&amp;"|"&amp;T$5))*2,0)/2))&gt;0,INDEX(TF_Akt,MATCH($A50&amp;"|"&amp;T$5,TF_Dom,0))&lt;&gt;"LMS")),"+",""),"?"))))</f>
        <v/>
      </c>
      <c r="U50" s="13">
        <f>IF(OR($A50="",U$5=""),"",IF(OR(AND(INDEX(TekFra,33)&gt;0,U$5&lt;INDEX(TekFra,33)),AND(INDEX(TekTil,33)&gt;0,U$5&gt;INDEX(TekTil,33))),"",IF(COUNTIFS(TF_Nokkel,$A50&amp;"|"&amp;U$5)=0,IF(U$9&lt;&gt;"","LMS",""),IFERROR(IF(SUMIFS(TF_Timer,TF_Nokkel,$A50&amp;"|"&amp;U$5,TF_Akt,"LMS")+IF(U$9="",0,MAX(0,ROUND((U$12-SUMIFS(TF_Timer,TF_Nokkel,$A50&amp;"|"&amp;U$5))*2,0)/2))&gt;INDEX(TF_AktSum,MATCH($A50&amp;"|"&amp;U$5,TF_Dom,0)),"LMS",INDEX(AktKode,MATCH(INDEX(TF_Akt,MATCH($A50&amp;"|"&amp;U$5,TF_Dom,0)),Aktiviteter,0)))&amp;IF(OR(COUNTIFS(TF_Nokkel,$A50&amp;"|"&amp;U$5,TF_Akt,"&lt;&gt;"&amp;INDEX(TF_Akt,MATCH($A50&amp;"|"&amp;U$5,TF_Dom,0)))&gt;0,AND(IF(U$9="",0,MAX(0,ROUND((U$12-SUMIFS(TF_Timer,TF_Nokkel,$A50&amp;"|"&amp;U$5))*2,0)/2))&gt;0,INDEX(TF_Akt,MATCH($A50&amp;"|"&amp;U$5,TF_Dom,0))&lt;&gt;"LMS")),"+",""),"?"))))</f>
        <v/>
      </c>
      <c r="V50" s="13">
        <f>IF(OR($A50="",V$5=""),"",IF(OR(AND(INDEX(TekFra,33)&gt;0,V$5&lt;INDEX(TekFra,33)),AND(INDEX(TekTil,33)&gt;0,V$5&gt;INDEX(TekTil,33))),"",IF(COUNTIFS(TF_Nokkel,$A50&amp;"|"&amp;V$5)=0,IF(V$9&lt;&gt;"","LMS",""),IFERROR(IF(SUMIFS(TF_Timer,TF_Nokkel,$A50&amp;"|"&amp;V$5,TF_Akt,"LMS")+IF(V$9="",0,MAX(0,ROUND((V$12-SUMIFS(TF_Timer,TF_Nokkel,$A50&amp;"|"&amp;V$5))*2,0)/2))&gt;INDEX(TF_AktSum,MATCH($A50&amp;"|"&amp;V$5,TF_Dom,0)),"LMS",INDEX(AktKode,MATCH(INDEX(TF_Akt,MATCH($A50&amp;"|"&amp;V$5,TF_Dom,0)),Aktiviteter,0)))&amp;IF(OR(COUNTIFS(TF_Nokkel,$A50&amp;"|"&amp;V$5,TF_Akt,"&lt;&gt;"&amp;INDEX(TF_Akt,MATCH($A50&amp;"|"&amp;V$5,TF_Dom,0)))&gt;0,AND(IF(V$9="",0,MAX(0,ROUND((V$12-SUMIFS(TF_Timer,TF_Nokkel,$A50&amp;"|"&amp;V$5))*2,0)/2))&gt;0,INDEX(TF_Akt,MATCH($A50&amp;"|"&amp;V$5,TF_Dom,0))&lt;&gt;"LMS")),"+",""),"?"))))</f>
        <v/>
      </c>
      <c r="W50" s="13">
        <f>IF(OR($A50="",W$5=""),"",IF(OR(AND(INDEX(TekFra,33)&gt;0,W$5&lt;INDEX(TekFra,33)),AND(INDEX(TekTil,33)&gt;0,W$5&gt;INDEX(TekTil,33))),"",IF(COUNTIFS(TF_Nokkel,$A50&amp;"|"&amp;W$5)=0,IF(W$9&lt;&gt;"","LMS",""),IFERROR(IF(SUMIFS(TF_Timer,TF_Nokkel,$A50&amp;"|"&amp;W$5,TF_Akt,"LMS")+IF(W$9="",0,MAX(0,ROUND((W$12-SUMIFS(TF_Timer,TF_Nokkel,$A50&amp;"|"&amp;W$5))*2,0)/2))&gt;INDEX(TF_AktSum,MATCH($A50&amp;"|"&amp;W$5,TF_Dom,0)),"LMS",INDEX(AktKode,MATCH(INDEX(TF_Akt,MATCH($A50&amp;"|"&amp;W$5,TF_Dom,0)),Aktiviteter,0)))&amp;IF(OR(COUNTIFS(TF_Nokkel,$A50&amp;"|"&amp;W$5,TF_Akt,"&lt;&gt;"&amp;INDEX(TF_Akt,MATCH($A50&amp;"|"&amp;W$5,TF_Dom,0)))&gt;0,AND(IF(W$9="",0,MAX(0,ROUND((W$12-SUMIFS(TF_Timer,TF_Nokkel,$A50&amp;"|"&amp;W$5))*2,0)/2))&gt;0,INDEX(TF_Akt,MATCH($A50&amp;"|"&amp;W$5,TF_Dom,0))&lt;&gt;"LMS")),"+",""),"?"))))</f>
        <v/>
      </c>
      <c r="X50" s="13">
        <f>IF(OR($A50="",X$5=""),"",IF(OR(AND(INDEX(TekFra,33)&gt;0,X$5&lt;INDEX(TekFra,33)),AND(INDEX(TekTil,33)&gt;0,X$5&gt;INDEX(TekTil,33))),"",IF(COUNTIFS(TF_Nokkel,$A50&amp;"|"&amp;X$5)=0,IF(X$9&lt;&gt;"","LMS",""),IFERROR(IF(SUMIFS(TF_Timer,TF_Nokkel,$A50&amp;"|"&amp;X$5,TF_Akt,"LMS")+IF(X$9="",0,MAX(0,ROUND((X$12-SUMIFS(TF_Timer,TF_Nokkel,$A50&amp;"|"&amp;X$5))*2,0)/2))&gt;INDEX(TF_AktSum,MATCH($A50&amp;"|"&amp;X$5,TF_Dom,0)),"LMS",INDEX(AktKode,MATCH(INDEX(TF_Akt,MATCH($A50&amp;"|"&amp;X$5,TF_Dom,0)),Aktiviteter,0)))&amp;IF(OR(COUNTIFS(TF_Nokkel,$A50&amp;"|"&amp;X$5,TF_Akt,"&lt;&gt;"&amp;INDEX(TF_Akt,MATCH($A50&amp;"|"&amp;X$5,TF_Dom,0)))&gt;0,AND(IF(X$9="",0,MAX(0,ROUND((X$12-SUMIFS(TF_Timer,TF_Nokkel,$A50&amp;"|"&amp;X$5))*2,0)/2))&gt;0,INDEX(TF_Akt,MATCH($A50&amp;"|"&amp;X$5,TF_Dom,0))&lt;&gt;"LMS")),"+",""),"?"))))</f>
        <v/>
      </c>
      <c r="Y50" s="13">
        <f>IF(OR($A50="",Y$5=""),"",IF(OR(AND(INDEX(TekFra,33)&gt;0,Y$5&lt;INDEX(TekFra,33)),AND(INDEX(TekTil,33)&gt;0,Y$5&gt;INDEX(TekTil,33))),"",IF(COUNTIFS(TF_Nokkel,$A50&amp;"|"&amp;Y$5)=0,IF(Y$9&lt;&gt;"","LMS",""),IFERROR(IF(SUMIFS(TF_Timer,TF_Nokkel,$A50&amp;"|"&amp;Y$5,TF_Akt,"LMS")+IF(Y$9="",0,MAX(0,ROUND((Y$12-SUMIFS(TF_Timer,TF_Nokkel,$A50&amp;"|"&amp;Y$5))*2,0)/2))&gt;INDEX(TF_AktSum,MATCH($A50&amp;"|"&amp;Y$5,TF_Dom,0)),"LMS",INDEX(AktKode,MATCH(INDEX(TF_Akt,MATCH($A50&amp;"|"&amp;Y$5,TF_Dom,0)),Aktiviteter,0)))&amp;IF(OR(COUNTIFS(TF_Nokkel,$A50&amp;"|"&amp;Y$5,TF_Akt,"&lt;&gt;"&amp;INDEX(TF_Akt,MATCH($A50&amp;"|"&amp;Y$5,TF_Dom,0)))&gt;0,AND(IF(Y$9="",0,MAX(0,ROUND((Y$12-SUMIFS(TF_Timer,TF_Nokkel,$A50&amp;"|"&amp;Y$5))*2,0)/2))&gt;0,INDEX(TF_Akt,MATCH($A50&amp;"|"&amp;Y$5,TF_Dom,0))&lt;&gt;"LMS")),"+",""),"?"))))</f>
        <v/>
      </c>
      <c r="Z50" s="13">
        <f>IF(OR($A50="",Z$5=""),"",IF(OR(AND(INDEX(TekFra,33)&gt;0,Z$5&lt;INDEX(TekFra,33)),AND(INDEX(TekTil,33)&gt;0,Z$5&gt;INDEX(TekTil,33))),"",IF(COUNTIFS(TF_Nokkel,$A50&amp;"|"&amp;Z$5)=0,IF(Z$9&lt;&gt;"","LMS",""),IFERROR(IF(SUMIFS(TF_Timer,TF_Nokkel,$A50&amp;"|"&amp;Z$5,TF_Akt,"LMS")+IF(Z$9="",0,MAX(0,ROUND((Z$12-SUMIFS(TF_Timer,TF_Nokkel,$A50&amp;"|"&amp;Z$5))*2,0)/2))&gt;INDEX(TF_AktSum,MATCH($A50&amp;"|"&amp;Z$5,TF_Dom,0)),"LMS",INDEX(AktKode,MATCH(INDEX(TF_Akt,MATCH($A50&amp;"|"&amp;Z$5,TF_Dom,0)),Aktiviteter,0)))&amp;IF(OR(COUNTIFS(TF_Nokkel,$A50&amp;"|"&amp;Z$5,TF_Akt,"&lt;&gt;"&amp;INDEX(TF_Akt,MATCH($A50&amp;"|"&amp;Z$5,TF_Dom,0)))&gt;0,AND(IF(Z$9="",0,MAX(0,ROUND((Z$12-SUMIFS(TF_Timer,TF_Nokkel,$A50&amp;"|"&amp;Z$5))*2,0)/2))&gt;0,INDEX(TF_Akt,MATCH($A50&amp;"|"&amp;Z$5,TF_Dom,0))&lt;&gt;"LMS")),"+",""),"?"))))</f>
        <v/>
      </c>
      <c r="AA50" s="13">
        <f>IF(OR($A50="",AA$5=""),"",IF(OR(AND(INDEX(TekFra,33)&gt;0,AA$5&lt;INDEX(TekFra,33)),AND(INDEX(TekTil,33)&gt;0,AA$5&gt;INDEX(TekTil,33))),"",IF(COUNTIFS(TF_Nokkel,$A50&amp;"|"&amp;AA$5)=0,IF(AA$9&lt;&gt;"","LMS",""),IFERROR(IF(SUMIFS(TF_Timer,TF_Nokkel,$A50&amp;"|"&amp;AA$5,TF_Akt,"LMS")+IF(AA$9="",0,MAX(0,ROUND((AA$12-SUMIFS(TF_Timer,TF_Nokkel,$A50&amp;"|"&amp;AA$5))*2,0)/2))&gt;INDEX(TF_AktSum,MATCH($A50&amp;"|"&amp;AA$5,TF_Dom,0)),"LMS",INDEX(AktKode,MATCH(INDEX(TF_Akt,MATCH($A50&amp;"|"&amp;AA$5,TF_Dom,0)),Aktiviteter,0)))&amp;IF(OR(COUNTIFS(TF_Nokkel,$A50&amp;"|"&amp;AA$5,TF_Akt,"&lt;&gt;"&amp;INDEX(TF_Akt,MATCH($A50&amp;"|"&amp;AA$5,TF_Dom,0)))&gt;0,AND(IF(AA$9="",0,MAX(0,ROUND((AA$12-SUMIFS(TF_Timer,TF_Nokkel,$A50&amp;"|"&amp;AA$5))*2,0)/2))&gt;0,INDEX(TF_Akt,MATCH($A50&amp;"|"&amp;AA$5,TF_Dom,0))&lt;&gt;"LMS")),"+",""),"?"))))</f>
        <v/>
      </c>
      <c r="AB50" s="13">
        <f>IF(OR($A50="",AB$5=""),"",IF(OR(AND(INDEX(TekFra,33)&gt;0,AB$5&lt;INDEX(TekFra,33)),AND(INDEX(TekTil,33)&gt;0,AB$5&gt;INDEX(TekTil,33))),"",IF(COUNTIFS(TF_Nokkel,$A50&amp;"|"&amp;AB$5)=0,IF(AB$9&lt;&gt;"","LMS",""),IFERROR(IF(SUMIFS(TF_Timer,TF_Nokkel,$A50&amp;"|"&amp;AB$5,TF_Akt,"LMS")+IF(AB$9="",0,MAX(0,ROUND((AB$12-SUMIFS(TF_Timer,TF_Nokkel,$A50&amp;"|"&amp;AB$5))*2,0)/2))&gt;INDEX(TF_AktSum,MATCH($A50&amp;"|"&amp;AB$5,TF_Dom,0)),"LMS",INDEX(AktKode,MATCH(INDEX(TF_Akt,MATCH($A50&amp;"|"&amp;AB$5,TF_Dom,0)),Aktiviteter,0)))&amp;IF(OR(COUNTIFS(TF_Nokkel,$A50&amp;"|"&amp;AB$5,TF_Akt,"&lt;&gt;"&amp;INDEX(TF_Akt,MATCH($A50&amp;"|"&amp;AB$5,TF_Dom,0)))&gt;0,AND(IF(AB$9="",0,MAX(0,ROUND((AB$12-SUMIFS(TF_Timer,TF_Nokkel,$A50&amp;"|"&amp;AB$5))*2,0)/2))&gt;0,INDEX(TF_Akt,MATCH($A50&amp;"|"&amp;AB$5,TF_Dom,0))&lt;&gt;"LMS")),"+",""),"?"))))</f>
        <v/>
      </c>
      <c r="AC50" s="13">
        <f>IF(OR($A50="",AC$5=""),"",IF(OR(AND(INDEX(TekFra,33)&gt;0,AC$5&lt;INDEX(TekFra,33)),AND(INDEX(TekTil,33)&gt;0,AC$5&gt;INDEX(TekTil,33))),"",IF(COUNTIFS(TF_Nokkel,$A50&amp;"|"&amp;AC$5)=0,IF(AC$9&lt;&gt;"","LMS",""),IFERROR(IF(SUMIFS(TF_Timer,TF_Nokkel,$A50&amp;"|"&amp;AC$5,TF_Akt,"LMS")+IF(AC$9="",0,MAX(0,ROUND((AC$12-SUMIFS(TF_Timer,TF_Nokkel,$A50&amp;"|"&amp;AC$5))*2,0)/2))&gt;INDEX(TF_AktSum,MATCH($A50&amp;"|"&amp;AC$5,TF_Dom,0)),"LMS",INDEX(AktKode,MATCH(INDEX(TF_Akt,MATCH($A50&amp;"|"&amp;AC$5,TF_Dom,0)),Aktiviteter,0)))&amp;IF(OR(COUNTIFS(TF_Nokkel,$A50&amp;"|"&amp;AC$5,TF_Akt,"&lt;&gt;"&amp;INDEX(TF_Akt,MATCH($A50&amp;"|"&amp;AC$5,TF_Dom,0)))&gt;0,AND(IF(AC$9="",0,MAX(0,ROUND((AC$12-SUMIFS(TF_Timer,TF_Nokkel,$A50&amp;"|"&amp;AC$5))*2,0)/2))&gt;0,INDEX(TF_Akt,MATCH($A50&amp;"|"&amp;AC$5,TF_Dom,0))&lt;&gt;"LMS")),"+",""),"?"))))</f>
        <v/>
      </c>
      <c r="AD50" s="13">
        <f>IF(OR($A50="",AD$5=""),"",IF(OR(AND(INDEX(TekFra,33)&gt;0,AD$5&lt;INDEX(TekFra,33)),AND(INDEX(TekTil,33)&gt;0,AD$5&gt;INDEX(TekTil,33))),"",IF(COUNTIFS(TF_Nokkel,$A50&amp;"|"&amp;AD$5)=0,IF(AD$9&lt;&gt;"","LMS",""),IFERROR(IF(SUMIFS(TF_Timer,TF_Nokkel,$A50&amp;"|"&amp;AD$5,TF_Akt,"LMS")+IF(AD$9="",0,MAX(0,ROUND((AD$12-SUMIFS(TF_Timer,TF_Nokkel,$A50&amp;"|"&amp;AD$5))*2,0)/2))&gt;INDEX(TF_AktSum,MATCH($A50&amp;"|"&amp;AD$5,TF_Dom,0)),"LMS",INDEX(AktKode,MATCH(INDEX(TF_Akt,MATCH($A50&amp;"|"&amp;AD$5,TF_Dom,0)),Aktiviteter,0)))&amp;IF(OR(COUNTIFS(TF_Nokkel,$A50&amp;"|"&amp;AD$5,TF_Akt,"&lt;&gt;"&amp;INDEX(TF_Akt,MATCH($A50&amp;"|"&amp;AD$5,TF_Dom,0)))&gt;0,AND(IF(AD$9="",0,MAX(0,ROUND((AD$12-SUMIFS(TF_Timer,TF_Nokkel,$A50&amp;"|"&amp;AD$5))*2,0)/2))&gt;0,INDEX(TF_Akt,MATCH($A50&amp;"|"&amp;AD$5,TF_Dom,0))&lt;&gt;"LMS")),"+",""),"?"))))</f>
        <v/>
      </c>
      <c r="AE50" s="13">
        <f>IF(OR($A50="",AE$5=""),"",IF(OR(AND(INDEX(TekFra,33)&gt;0,AE$5&lt;INDEX(TekFra,33)),AND(INDEX(TekTil,33)&gt;0,AE$5&gt;INDEX(TekTil,33))),"",IF(COUNTIFS(TF_Nokkel,$A50&amp;"|"&amp;AE$5)=0,IF(AE$9&lt;&gt;"","LMS",""),IFERROR(IF(SUMIFS(TF_Timer,TF_Nokkel,$A50&amp;"|"&amp;AE$5,TF_Akt,"LMS")+IF(AE$9="",0,MAX(0,ROUND((AE$12-SUMIFS(TF_Timer,TF_Nokkel,$A50&amp;"|"&amp;AE$5))*2,0)/2))&gt;INDEX(TF_AktSum,MATCH($A50&amp;"|"&amp;AE$5,TF_Dom,0)),"LMS",INDEX(AktKode,MATCH(INDEX(TF_Akt,MATCH($A50&amp;"|"&amp;AE$5,TF_Dom,0)),Aktiviteter,0)))&amp;IF(OR(COUNTIFS(TF_Nokkel,$A50&amp;"|"&amp;AE$5,TF_Akt,"&lt;&gt;"&amp;INDEX(TF_Akt,MATCH($A50&amp;"|"&amp;AE$5,TF_Dom,0)))&gt;0,AND(IF(AE$9="",0,MAX(0,ROUND((AE$12-SUMIFS(TF_Timer,TF_Nokkel,$A50&amp;"|"&amp;AE$5))*2,0)/2))&gt;0,INDEX(TF_Akt,MATCH($A50&amp;"|"&amp;AE$5,TF_Dom,0))&lt;&gt;"LMS")),"+",""),"?"))))</f>
        <v/>
      </c>
      <c r="AF50" s="13">
        <f>IF(OR($A50="",AF$5=""),"",IF(OR(AND(INDEX(TekFra,33)&gt;0,AF$5&lt;INDEX(TekFra,33)),AND(INDEX(TekTil,33)&gt;0,AF$5&gt;INDEX(TekTil,33))),"",IF(COUNTIFS(TF_Nokkel,$A50&amp;"|"&amp;AF$5)=0,IF(AF$9&lt;&gt;"","LMS",""),IFERROR(IF(SUMIFS(TF_Timer,TF_Nokkel,$A50&amp;"|"&amp;AF$5,TF_Akt,"LMS")+IF(AF$9="",0,MAX(0,ROUND((AF$12-SUMIFS(TF_Timer,TF_Nokkel,$A50&amp;"|"&amp;AF$5))*2,0)/2))&gt;INDEX(TF_AktSum,MATCH($A50&amp;"|"&amp;AF$5,TF_Dom,0)),"LMS",INDEX(AktKode,MATCH(INDEX(TF_Akt,MATCH($A50&amp;"|"&amp;AF$5,TF_Dom,0)),Aktiviteter,0)))&amp;IF(OR(COUNTIFS(TF_Nokkel,$A50&amp;"|"&amp;AF$5,TF_Akt,"&lt;&gt;"&amp;INDEX(TF_Akt,MATCH($A50&amp;"|"&amp;AF$5,TF_Dom,0)))&gt;0,AND(IF(AF$9="",0,MAX(0,ROUND((AF$12-SUMIFS(TF_Timer,TF_Nokkel,$A50&amp;"|"&amp;AF$5))*2,0)/2))&gt;0,INDEX(TF_Akt,MATCH($A50&amp;"|"&amp;AF$5,TF_Dom,0))&lt;&gt;"LMS")),"+",""),"?"))))</f>
        <v/>
      </c>
      <c r="AG50" s="13">
        <f>IF(OR($A50="",AG$5=""),"",IF(OR(AND(INDEX(TekFra,33)&gt;0,AG$5&lt;INDEX(TekFra,33)),AND(INDEX(TekTil,33)&gt;0,AG$5&gt;INDEX(TekTil,33))),"",IF(COUNTIFS(TF_Nokkel,$A50&amp;"|"&amp;AG$5)=0,IF(AG$9&lt;&gt;"","LMS",""),IFERROR(IF(SUMIFS(TF_Timer,TF_Nokkel,$A50&amp;"|"&amp;AG$5,TF_Akt,"LMS")+IF(AG$9="",0,MAX(0,ROUND((AG$12-SUMIFS(TF_Timer,TF_Nokkel,$A50&amp;"|"&amp;AG$5))*2,0)/2))&gt;INDEX(TF_AktSum,MATCH($A50&amp;"|"&amp;AG$5,TF_Dom,0)),"LMS",INDEX(AktKode,MATCH(INDEX(TF_Akt,MATCH($A50&amp;"|"&amp;AG$5,TF_Dom,0)),Aktiviteter,0)))&amp;IF(OR(COUNTIFS(TF_Nokkel,$A50&amp;"|"&amp;AG$5,TF_Akt,"&lt;&gt;"&amp;INDEX(TF_Akt,MATCH($A50&amp;"|"&amp;AG$5,TF_Dom,0)))&gt;0,AND(IF(AG$9="",0,MAX(0,ROUND((AG$12-SUMIFS(TF_Timer,TF_Nokkel,$A50&amp;"|"&amp;AG$5))*2,0)/2))&gt;0,INDEX(TF_Akt,MATCH($A50&amp;"|"&amp;AG$5,TF_Dom,0))&lt;&gt;"LMS")),"+",""),"?"))))</f>
        <v/>
      </c>
      <c r="AH50" s="2" t="n"/>
      <c r="AI50" s="2" t="n"/>
      <c r="AJ50" s="2" t="n"/>
    </row>
    <row r="51">
      <c r="A51" s="2">
        <f>INDEX(Teknikere,34)&amp;""</f>
        <v/>
      </c>
      <c r="B51" s="12">
        <f>IF(INDEX(TekFra,34)&gt;0,"ekstra","")</f>
        <v/>
      </c>
      <c r="C51" s="13">
        <f>IF(OR($A51="",C$5=""),"",IF(OR(AND(INDEX(TekFra,34)&gt;0,C$5&lt;INDEX(TekFra,34)),AND(INDEX(TekTil,34)&gt;0,C$5&gt;INDEX(TekTil,34))),"",IF(COUNTIFS(TF_Nokkel,$A51&amp;"|"&amp;C$5)=0,IF(C$9&lt;&gt;"","LMS",""),IFERROR(IF(SUMIFS(TF_Timer,TF_Nokkel,$A51&amp;"|"&amp;C$5,TF_Akt,"LMS")+IF(C$9="",0,MAX(0,ROUND((C$12-SUMIFS(TF_Timer,TF_Nokkel,$A51&amp;"|"&amp;C$5))*2,0)/2))&gt;INDEX(TF_AktSum,MATCH($A51&amp;"|"&amp;C$5,TF_Dom,0)),"LMS",INDEX(AktKode,MATCH(INDEX(TF_Akt,MATCH($A51&amp;"|"&amp;C$5,TF_Dom,0)),Aktiviteter,0)))&amp;IF(OR(COUNTIFS(TF_Nokkel,$A51&amp;"|"&amp;C$5,TF_Akt,"&lt;&gt;"&amp;INDEX(TF_Akt,MATCH($A51&amp;"|"&amp;C$5,TF_Dom,0)))&gt;0,AND(IF(C$9="",0,MAX(0,ROUND((C$12-SUMIFS(TF_Timer,TF_Nokkel,$A51&amp;"|"&amp;C$5))*2,0)/2))&gt;0,INDEX(TF_Akt,MATCH($A51&amp;"|"&amp;C$5,TF_Dom,0))&lt;&gt;"LMS")),"+",""),"?"))))</f>
        <v/>
      </c>
      <c r="D51" s="13">
        <f>IF(OR($A51="",D$5=""),"",IF(OR(AND(INDEX(TekFra,34)&gt;0,D$5&lt;INDEX(TekFra,34)),AND(INDEX(TekTil,34)&gt;0,D$5&gt;INDEX(TekTil,34))),"",IF(COUNTIFS(TF_Nokkel,$A51&amp;"|"&amp;D$5)=0,IF(D$9&lt;&gt;"","LMS",""),IFERROR(IF(SUMIFS(TF_Timer,TF_Nokkel,$A51&amp;"|"&amp;D$5,TF_Akt,"LMS")+IF(D$9="",0,MAX(0,ROUND((D$12-SUMIFS(TF_Timer,TF_Nokkel,$A51&amp;"|"&amp;D$5))*2,0)/2))&gt;INDEX(TF_AktSum,MATCH($A51&amp;"|"&amp;D$5,TF_Dom,0)),"LMS",INDEX(AktKode,MATCH(INDEX(TF_Akt,MATCH($A51&amp;"|"&amp;D$5,TF_Dom,0)),Aktiviteter,0)))&amp;IF(OR(COUNTIFS(TF_Nokkel,$A51&amp;"|"&amp;D$5,TF_Akt,"&lt;&gt;"&amp;INDEX(TF_Akt,MATCH($A51&amp;"|"&amp;D$5,TF_Dom,0)))&gt;0,AND(IF(D$9="",0,MAX(0,ROUND((D$12-SUMIFS(TF_Timer,TF_Nokkel,$A51&amp;"|"&amp;D$5))*2,0)/2))&gt;0,INDEX(TF_Akt,MATCH($A51&amp;"|"&amp;D$5,TF_Dom,0))&lt;&gt;"LMS")),"+",""),"?"))))</f>
        <v/>
      </c>
      <c r="E51" s="13">
        <f>IF(OR($A51="",E$5=""),"",IF(OR(AND(INDEX(TekFra,34)&gt;0,E$5&lt;INDEX(TekFra,34)),AND(INDEX(TekTil,34)&gt;0,E$5&gt;INDEX(TekTil,34))),"",IF(COUNTIFS(TF_Nokkel,$A51&amp;"|"&amp;E$5)=0,IF(E$9&lt;&gt;"","LMS",""),IFERROR(IF(SUMIFS(TF_Timer,TF_Nokkel,$A51&amp;"|"&amp;E$5,TF_Akt,"LMS")+IF(E$9="",0,MAX(0,ROUND((E$12-SUMIFS(TF_Timer,TF_Nokkel,$A51&amp;"|"&amp;E$5))*2,0)/2))&gt;INDEX(TF_AktSum,MATCH($A51&amp;"|"&amp;E$5,TF_Dom,0)),"LMS",INDEX(AktKode,MATCH(INDEX(TF_Akt,MATCH($A51&amp;"|"&amp;E$5,TF_Dom,0)),Aktiviteter,0)))&amp;IF(OR(COUNTIFS(TF_Nokkel,$A51&amp;"|"&amp;E$5,TF_Akt,"&lt;&gt;"&amp;INDEX(TF_Akt,MATCH($A51&amp;"|"&amp;E$5,TF_Dom,0)))&gt;0,AND(IF(E$9="",0,MAX(0,ROUND((E$12-SUMIFS(TF_Timer,TF_Nokkel,$A51&amp;"|"&amp;E$5))*2,0)/2))&gt;0,INDEX(TF_Akt,MATCH($A51&amp;"|"&amp;E$5,TF_Dom,0))&lt;&gt;"LMS")),"+",""),"?"))))</f>
        <v/>
      </c>
      <c r="F51" s="13">
        <f>IF(OR($A51="",F$5=""),"",IF(OR(AND(INDEX(TekFra,34)&gt;0,F$5&lt;INDEX(TekFra,34)),AND(INDEX(TekTil,34)&gt;0,F$5&gt;INDEX(TekTil,34))),"",IF(COUNTIFS(TF_Nokkel,$A51&amp;"|"&amp;F$5)=0,IF(F$9&lt;&gt;"","LMS",""),IFERROR(IF(SUMIFS(TF_Timer,TF_Nokkel,$A51&amp;"|"&amp;F$5,TF_Akt,"LMS")+IF(F$9="",0,MAX(0,ROUND((F$12-SUMIFS(TF_Timer,TF_Nokkel,$A51&amp;"|"&amp;F$5))*2,0)/2))&gt;INDEX(TF_AktSum,MATCH($A51&amp;"|"&amp;F$5,TF_Dom,0)),"LMS",INDEX(AktKode,MATCH(INDEX(TF_Akt,MATCH($A51&amp;"|"&amp;F$5,TF_Dom,0)),Aktiviteter,0)))&amp;IF(OR(COUNTIFS(TF_Nokkel,$A51&amp;"|"&amp;F$5,TF_Akt,"&lt;&gt;"&amp;INDEX(TF_Akt,MATCH($A51&amp;"|"&amp;F$5,TF_Dom,0)))&gt;0,AND(IF(F$9="",0,MAX(0,ROUND((F$12-SUMIFS(TF_Timer,TF_Nokkel,$A51&amp;"|"&amp;F$5))*2,0)/2))&gt;0,INDEX(TF_Akt,MATCH($A51&amp;"|"&amp;F$5,TF_Dom,0))&lt;&gt;"LMS")),"+",""),"?"))))</f>
        <v/>
      </c>
      <c r="G51" s="13">
        <f>IF(OR($A51="",G$5=""),"",IF(OR(AND(INDEX(TekFra,34)&gt;0,G$5&lt;INDEX(TekFra,34)),AND(INDEX(TekTil,34)&gt;0,G$5&gt;INDEX(TekTil,34))),"",IF(COUNTIFS(TF_Nokkel,$A51&amp;"|"&amp;G$5)=0,IF(G$9&lt;&gt;"","LMS",""),IFERROR(IF(SUMIFS(TF_Timer,TF_Nokkel,$A51&amp;"|"&amp;G$5,TF_Akt,"LMS")+IF(G$9="",0,MAX(0,ROUND((G$12-SUMIFS(TF_Timer,TF_Nokkel,$A51&amp;"|"&amp;G$5))*2,0)/2))&gt;INDEX(TF_AktSum,MATCH($A51&amp;"|"&amp;G$5,TF_Dom,0)),"LMS",INDEX(AktKode,MATCH(INDEX(TF_Akt,MATCH($A51&amp;"|"&amp;G$5,TF_Dom,0)),Aktiviteter,0)))&amp;IF(OR(COUNTIFS(TF_Nokkel,$A51&amp;"|"&amp;G$5,TF_Akt,"&lt;&gt;"&amp;INDEX(TF_Akt,MATCH($A51&amp;"|"&amp;G$5,TF_Dom,0)))&gt;0,AND(IF(G$9="",0,MAX(0,ROUND((G$12-SUMIFS(TF_Timer,TF_Nokkel,$A51&amp;"|"&amp;G$5))*2,0)/2))&gt;0,INDEX(TF_Akt,MATCH($A51&amp;"|"&amp;G$5,TF_Dom,0))&lt;&gt;"LMS")),"+",""),"?"))))</f>
        <v/>
      </c>
      <c r="H51" s="13">
        <f>IF(OR($A51="",H$5=""),"",IF(OR(AND(INDEX(TekFra,34)&gt;0,H$5&lt;INDEX(TekFra,34)),AND(INDEX(TekTil,34)&gt;0,H$5&gt;INDEX(TekTil,34))),"",IF(COUNTIFS(TF_Nokkel,$A51&amp;"|"&amp;H$5)=0,IF(H$9&lt;&gt;"","LMS",""),IFERROR(IF(SUMIFS(TF_Timer,TF_Nokkel,$A51&amp;"|"&amp;H$5,TF_Akt,"LMS")+IF(H$9="",0,MAX(0,ROUND((H$12-SUMIFS(TF_Timer,TF_Nokkel,$A51&amp;"|"&amp;H$5))*2,0)/2))&gt;INDEX(TF_AktSum,MATCH($A51&amp;"|"&amp;H$5,TF_Dom,0)),"LMS",INDEX(AktKode,MATCH(INDEX(TF_Akt,MATCH($A51&amp;"|"&amp;H$5,TF_Dom,0)),Aktiviteter,0)))&amp;IF(OR(COUNTIFS(TF_Nokkel,$A51&amp;"|"&amp;H$5,TF_Akt,"&lt;&gt;"&amp;INDEX(TF_Akt,MATCH($A51&amp;"|"&amp;H$5,TF_Dom,0)))&gt;0,AND(IF(H$9="",0,MAX(0,ROUND((H$12-SUMIFS(TF_Timer,TF_Nokkel,$A51&amp;"|"&amp;H$5))*2,0)/2))&gt;0,INDEX(TF_Akt,MATCH($A51&amp;"|"&amp;H$5,TF_Dom,0))&lt;&gt;"LMS")),"+",""),"?"))))</f>
        <v/>
      </c>
      <c r="I51" s="13">
        <f>IF(OR($A51="",I$5=""),"",IF(OR(AND(INDEX(TekFra,34)&gt;0,I$5&lt;INDEX(TekFra,34)),AND(INDEX(TekTil,34)&gt;0,I$5&gt;INDEX(TekTil,34))),"",IF(COUNTIFS(TF_Nokkel,$A51&amp;"|"&amp;I$5)=0,IF(I$9&lt;&gt;"","LMS",""),IFERROR(IF(SUMIFS(TF_Timer,TF_Nokkel,$A51&amp;"|"&amp;I$5,TF_Akt,"LMS")+IF(I$9="",0,MAX(0,ROUND((I$12-SUMIFS(TF_Timer,TF_Nokkel,$A51&amp;"|"&amp;I$5))*2,0)/2))&gt;INDEX(TF_AktSum,MATCH($A51&amp;"|"&amp;I$5,TF_Dom,0)),"LMS",INDEX(AktKode,MATCH(INDEX(TF_Akt,MATCH($A51&amp;"|"&amp;I$5,TF_Dom,0)),Aktiviteter,0)))&amp;IF(OR(COUNTIFS(TF_Nokkel,$A51&amp;"|"&amp;I$5,TF_Akt,"&lt;&gt;"&amp;INDEX(TF_Akt,MATCH($A51&amp;"|"&amp;I$5,TF_Dom,0)))&gt;0,AND(IF(I$9="",0,MAX(0,ROUND((I$12-SUMIFS(TF_Timer,TF_Nokkel,$A51&amp;"|"&amp;I$5))*2,0)/2))&gt;0,INDEX(TF_Akt,MATCH($A51&amp;"|"&amp;I$5,TF_Dom,0))&lt;&gt;"LMS")),"+",""),"?"))))</f>
        <v/>
      </c>
      <c r="J51" s="13">
        <f>IF(OR($A51="",J$5=""),"",IF(OR(AND(INDEX(TekFra,34)&gt;0,J$5&lt;INDEX(TekFra,34)),AND(INDEX(TekTil,34)&gt;0,J$5&gt;INDEX(TekTil,34))),"",IF(COUNTIFS(TF_Nokkel,$A51&amp;"|"&amp;J$5)=0,IF(J$9&lt;&gt;"","LMS",""),IFERROR(IF(SUMIFS(TF_Timer,TF_Nokkel,$A51&amp;"|"&amp;J$5,TF_Akt,"LMS")+IF(J$9="",0,MAX(0,ROUND((J$12-SUMIFS(TF_Timer,TF_Nokkel,$A51&amp;"|"&amp;J$5))*2,0)/2))&gt;INDEX(TF_AktSum,MATCH($A51&amp;"|"&amp;J$5,TF_Dom,0)),"LMS",INDEX(AktKode,MATCH(INDEX(TF_Akt,MATCH($A51&amp;"|"&amp;J$5,TF_Dom,0)),Aktiviteter,0)))&amp;IF(OR(COUNTIFS(TF_Nokkel,$A51&amp;"|"&amp;J$5,TF_Akt,"&lt;&gt;"&amp;INDEX(TF_Akt,MATCH($A51&amp;"|"&amp;J$5,TF_Dom,0)))&gt;0,AND(IF(J$9="",0,MAX(0,ROUND((J$12-SUMIFS(TF_Timer,TF_Nokkel,$A51&amp;"|"&amp;J$5))*2,0)/2))&gt;0,INDEX(TF_Akt,MATCH($A51&amp;"|"&amp;J$5,TF_Dom,0))&lt;&gt;"LMS")),"+",""),"?"))))</f>
        <v/>
      </c>
      <c r="K51" s="13">
        <f>IF(OR($A51="",K$5=""),"",IF(OR(AND(INDEX(TekFra,34)&gt;0,K$5&lt;INDEX(TekFra,34)),AND(INDEX(TekTil,34)&gt;0,K$5&gt;INDEX(TekTil,34))),"",IF(COUNTIFS(TF_Nokkel,$A51&amp;"|"&amp;K$5)=0,IF(K$9&lt;&gt;"","LMS",""),IFERROR(IF(SUMIFS(TF_Timer,TF_Nokkel,$A51&amp;"|"&amp;K$5,TF_Akt,"LMS")+IF(K$9="",0,MAX(0,ROUND((K$12-SUMIFS(TF_Timer,TF_Nokkel,$A51&amp;"|"&amp;K$5))*2,0)/2))&gt;INDEX(TF_AktSum,MATCH($A51&amp;"|"&amp;K$5,TF_Dom,0)),"LMS",INDEX(AktKode,MATCH(INDEX(TF_Akt,MATCH($A51&amp;"|"&amp;K$5,TF_Dom,0)),Aktiviteter,0)))&amp;IF(OR(COUNTIFS(TF_Nokkel,$A51&amp;"|"&amp;K$5,TF_Akt,"&lt;&gt;"&amp;INDEX(TF_Akt,MATCH($A51&amp;"|"&amp;K$5,TF_Dom,0)))&gt;0,AND(IF(K$9="",0,MAX(0,ROUND((K$12-SUMIFS(TF_Timer,TF_Nokkel,$A51&amp;"|"&amp;K$5))*2,0)/2))&gt;0,INDEX(TF_Akt,MATCH($A51&amp;"|"&amp;K$5,TF_Dom,0))&lt;&gt;"LMS")),"+",""),"?"))))</f>
        <v/>
      </c>
      <c r="L51" s="13">
        <f>IF(OR($A51="",L$5=""),"",IF(OR(AND(INDEX(TekFra,34)&gt;0,L$5&lt;INDEX(TekFra,34)),AND(INDEX(TekTil,34)&gt;0,L$5&gt;INDEX(TekTil,34))),"",IF(COUNTIFS(TF_Nokkel,$A51&amp;"|"&amp;L$5)=0,IF(L$9&lt;&gt;"","LMS",""),IFERROR(IF(SUMIFS(TF_Timer,TF_Nokkel,$A51&amp;"|"&amp;L$5,TF_Akt,"LMS")+IF(L$9="",0,MAX(0,ROUND((L$12-SUMIFS(TF_Timer,TF_Nokkel,$A51&amp;"|"&amp;L$5))*2,0)/2))&gt;INDEX(TF_AktSum,MATCH($A51&amp;"|"&amp;L$5,TF_Dom,0)),"LMS",INDEX(AktKode,MATCH(INDEX(TF_Akt,MATCH($A51&amp;"|"&amp;L$5,TF_Dom,0)),Aktiviteter,0)))&amp;IF(OR(COUNTIFS(TF_Nokkel,$A51&amp;"|"&amp;L$5,TF_Akt,"&lt;&gt;"&amp;INDEX(TF_Akt,MATCH($A51&amp;"|"&amp;L$5,TF_Dom,0)))&gt;0,AND(IF(L$9="",0,MAX(0,ROUND((L$12-SUMIFS(TF_Timer,TF_Nokkel,$A51&amp;"|"&amp;L$5))*2,0)/2))&gt;0,INDEX(TF_Akt,MATCH($A51&amp;"|"&amp;L$5,TF_Dom,0))&lt;&gt;"LMS")),"+",""),"?"))))</f>
        <v/>
      </c>
      <c r="M51" s="13">
        <f>IF(OR($A51="",M$5=""),"",IF(OR(AND(INDEX(TekFra,34)&gt;0,M$5&lt;INDEX(TekFra,34)),AND(INDEX(TekTil,34)&gt;0,M$5&gt;INDEX(TekTil,34))),"",IF(COUNTIFS(TF_Nokkel,$A51&amp;"|"&amp;M$5)=0,IF(M$9&lt;&gt;"","LMS",""),IFERROR(IF(SUMIFS(TF_Timer,TF_Nokkel,$A51&amp;"|"&amp;M$5,TF_Akt,"LMS")+IF(M$9="",0,MAX(0,ROUND((M$12-SUMIFS(TF_Timer,TF_Nokkel,$A51&amp;"|"&amp;M$5))*2,0)/2))&gt;INDEX(TF_AktSum,MATCH($A51&amp;"|"&amp;M$5,TF_Dom,0)),"LMS",INDEX(AktKode,MATCH(INDEX(TF_Akt,MATCH($A51&amp;"|"&amp;M$5,TF_Dom,0)),Aktiviteter,0)))&amp;IF(OR(COUNTIFS(TF_Nokkel,$A51&amp;"|"&amp;M$5,TF_Akt,"&lt;&gt;"&amp;INDEX(TF_Akt,MATCH($A51&amp;"|"&amp;M$5,TF_Dom,0)))&gt;0,AND(IF(M$9="",0,MAX(0,ROUND((M$12-SUMIFS(TF_Timer,TF_Nokkel,$A51&amp;"|"&amp;M$5))*2,0)/2))&gt;0,INDEX(TF_Akt,MATCH($A51&amp;"|"&amp;M$5,TF_Dom,0))&lt;&gt;"LMS")),"+",""),"?"))))</f>
        <v/>
      </c>
      <c r="N51" s="13">
        <f>IF(OR($A51="",N$5=""),"",IF(OR(AND(INDEX(TekFra,34)&gt;0,N$5&lt;INDEX(TekFra,34)),AND(INDEX(TekTil,34)&gt;0,N$5&gt;INDEX(TekTil,34))),"",IF(COUNTIFS(TF_Nokkel,$A51&amp;"|"&amp;N$5)=0,IF(N$9&lt;&gt;"","LMS",""),IFERROR(IF(SUMIFS(TF_Timer,TF_Nokkel,$A51&amp;"|"&amp;N$5,TF_Akt,"LMS")+IF(N$9="",0,MAX(0,ROUND((N$12-SUMIFS(TF_Timer,TF_Nokkel,$A51&amp;"|"&amp;N$5))*2,0)/2))&gt;INDEX(TF_AktSum,MATCH($A51&amp;"|"&amp;N$5,TF_Dom,0)),"LMS",INDEX(AktKode,MATCH(INDEX(TF_Akt,MATCH($A51&amp;"|"&amp;N$5,TF_Dom,0)),Aktiviteter,0)))&amp;IF(OR(COUNTIFS(TF_Nokkel,$A51&amp;"|"&amp;N$5,TF_Akt,"&lt;&gt;"&amp;INDEX(TF_Akt,MATCH($A51&amp;"|"&amp;N$5,TF_Dom,0)))&gt;0,AND(IF(N$9="",0,MAX(0,ROUND((N$12-SUMIFS(TF_Timer,TF_Nokkel,$A51&amp;"|"&amp;N$5))*2,0)/2))&gt;0,INDEX(TF_Akt,MATCH($A51&amp;"|"&amp;N$5,TF_Dom,0))&lt;&gt;"LMS")),"+",""),"?"))))</f>
        <v/>
      </c>
      <c r="O51" s="13">
        <f>IF(OR($A51="",O$5=""),"",IF(OR(AND(INDEX(TekFra,34)&gt;0,O$5&lt;INDEX(TekFra,34)),AND(INDEX(TekTil,34)&gt;0,O$5&gt;INDEX(TekTil,34))),"",IF(COUNTIFS(TF_Nokkel,$A51&amp;"|"&amp;O$5)=0,IF(O$9&lt;&gt;"","LMS",""),IFERROR(IF(SUMIFS(TF_Timer,TF_Nokkel,$A51&amp;"|"&amp;O$5,TF_Akt,"LMS")+IF(O$9="",0,MAX(0,ROUND((O$12-SUMIFS(TF_Timer,TF_Nokkel,$A51&amp;"|"&amp;O$5))*2,0)/2))&gt;INDEX(TF_AktSum,MATCH($A51&amp;"|"&amp;O$5,TF_Dom,0)),"LMS",INDEX(AktKode,MATCH(INDEX(TF_Akt,MATCH($A51&amp;"|"&amp;O$5,TF_Dom,0)),Aktiviteter,0)))&amp;IF(OR(COUNTIFS(TF_Nokkel,$A51&amp;"|"&amp;O$5,TF_Akt,"&lt;&gt;"&amp;INDEX(TF_Akt,MATCH($A51&amp;"|"&amp;O$5,TF_Dom,0)))&gt;0,AND(IF(O$9="",0,MAX(0,ROUND((O$12-SUMIFS(TF_Timer,TF_Nokkel,$A51&amp;"|"&amp;O$5))*2,0)/2))&gt;0,INDEX(TF_Akt,MATCH($A51&amp;"|"&amp;O$5,TF_Dom,0))&lt;&gt;"LMS")),"+",""),"?"))))</f>
        <v/>
      </c>
      <c r="P51" s="13">
        <f>IF(OR($A51="",P$5=""),"",IF(OR(AND(INDEX(TekFra,34)&gt;0,P$5&lt;INDEX(TekFra,34)),AND(INDEX(TekTil,34)&gt;0,P$5&gt;INDEX(TekTil,34))),"",IF(COUNTIFS(TF_Nokkel,$A51&amp;"|"&amp;P$5)=0,IF(P$9&lt;&gt;"","LMS",""),IFERROR(IF(SUMIFS(TF_Timer,TF_Nokkel,$A51&amp;"|"&amp;P$5,TF_Akt,"LMS")+IF(P$9="",0,MAX(0,ROUND((P$12-SUMIFS(TF_Timer,TF_Nokkel,$A51&amp;"|"&amp;P$5))*2,0)/2))&gt;INDEX(TF_AktSum,MATCH($A51&amp;"|"&amp;P$5,TF_Dom,0)),"LMS",INDEX(AktKode,MATCH(INDEX(TF_Akt,MATCH($A51&amp;"|"&amp;P$5,TF_Dom,0)),Aktiviteter,0)))&amp;IF(OR(COUNTIFS(TF_Nokkel,$A51&amp;"|"&amp;P$5,TF_Akt,"&lt;&gt;"&amp;INDEX(TF_Akt,MATCH($A51&amp;"|"&amp;P$5,TF_Dom,0)))&gt;0,AND(IF(P$9="",0,MAX(0,ROUND((P$12-SUMIFS(TF_Timer,TF_Nokkel,$A51&amp;"|"&amp;P$5))*2,0)/2))&gt;0,INDEX(TF_Akt,MATCH($A51&amp;"|"&amp;P$5,TF_Dom,0))&lt;&gt;"LMS")),"+",""),"?"))))</f>
        <v/>
      </c>
      <c r="Q51" s="13">
        <f>IF(OR($A51="",Q$5=""),"",IF(OR(AND(INDEX(TekFra,34)&gt;0,Q$5&lt;INDEX(TekFra,34)),AND(INDEX(TekTil,34)&gt;0,Q$5&gt;INDEX(TekTil,34))),"",IF(COUNTIFS(TF_Nokkel,$A51&amp;"|"&amp;Q$5)=0,IF(Q$9&lt;&gt;"","LMS",""),IFERROR(IF(SUMIFS(TF_Timer,TF_Nokkel,$A51&amp;"|"&amp;Q$5,TF_Akt,"LMS")+IF(Q$9="",0,MAX(0,ROUND((Q$12-SUMIFS(TF_Timer,TF_Nokkel,$A51&amp;"|"&amp;Q$5))*2,0)/2))&gt;INDEX(TF_AktSum,MATCH($A51&amp;"|"&amp;Q$5,TF_Dom,0)),"LMS",INDEX(AktKode,MATCH(INDEX(TF_Akt,MATCH($A51&amp;"|"&amp;Q$5,TF_Dom,0)),Aktiviteter,0)))&amp;IF(OR(COUNTIFS(TF_Nokkel,$A51&amp;"|"&amp;Q$5,TF_Akt,"&lt;&gt;"&amp;INDEX(TF_Akt,MATCH($A51&amp;"|"&amp;Q$5,TF_Dom,0)))&gt;0,AND(IF(Q$9="",0,MAX(0,ROUND((Q$12-SUMIFS(TF_Timer,TF_Nokkel,$A51&amp;"|"&amp;Q$5))*2,0)/2))&gt;0,INDEX(TF_Akt,MATCH($A51&amp;"|"&amp;Q$5,TF_Dom,0))&lt;&gt;"LMS")),"+",""),"?"))))</f>
        <v/>
      </c>
      <c r="R51" s="13">
        <f>IF(OR($A51="",R$5=""),"",IF(OR(AND(INDEX(TekFra,34)&gt;0,R$5&lt;INDEX(TekFra,34)),AND(INDEX(TekTil,34)&gt;0,R$5&gt;INDEX(TekTil,34))),"",IF(COUNTIFS(TF_Nokkel,$A51&amp;"|"&amp;R$5)=0,IF(R$9&lt;&gt;"","LMS",""),IFERROR(IF(SUMIFS(TF_Timer,TF_Nokkel,$A51&amp;"|"&amp;R$5,TF_Akt,"LMS")+IF(R$9="",0,MAX(0,ROUND((R$12-SUMIFS(TF_Timer,TF_Nokkel,$A51&amp;"|"&amp;R$5))*2,0)/2))&gt;INDEX(TF_AktSum,MATCH($A51&amp;"|"&amp;R$5,TF_Dom,0)),"LMS",INDEX(AktKode,MATCH(INDEX(TF_Akt,MATCH($A51&amp;"|"&amp;R$5,TF_Dom,0)),Aktiviteter,0)))&amp;IF(OR(COUNTIFS(TF_Nokkel,$A51&amp;"|"&amp;R$5,TF_Akt,"&lt;&gt;"&amp;INDEX(TF_Akt,MATCH($A51&amp;"|"&amp;R$5,TF_Dom,0)))&gt;0,AND(IF(R$9="",0,MAX(0,ROUND((R$12-SUMIFS(TF_Timer,TF_Nokkel,$A51&amp;"|"&amp;R$5))*2,0)/2))&gt;0,INDEX(TF_Akt,MATCH($A51&amp;"|"&amp;R$5,TF_Dom,0))&lt;&gt;"LMS")),"+",""),"?"))))</f>
        <v/>
      </c>
      <c r="S51" s="13">
        <f>IF(OR($A51="",S$5=""),"",IF(OR(AND(INDEX(TekFra,34)&gt;0,S$5&lt;INDEX(TekFra,34)),AND(INDEX(TekTil,34)&gt;0,S$5&gt;INDEX(TekTil,34))),"",IF(COUNTIFS(TF_Nokkel,$A51&amp;"|"&amp;S$5)=0,IF(S$9&lt;&gt;"","LMS",""),IFERROR(IF(SUMIFS(TF_Timer,TF_Nokkel,$A51&amp;"|"&amp;S$5,TF_Akt,"LMS")+IF(S$9="",0,MAX(0,ROUND((S$12-SUMIFS(TF_Timer,TF_Nokkel,$A51&amp;"|"&amp;S$5))*2,0)/2))&gt;INDEX(TF_AktSum,MATCH($A51&amp;"|"&amp;S$5,TF_Dom,0)),"LMS",INDEX(AktKode,MATCH(INDEX(TF_Akt,MATCH($A51&amp;"|"&amp;S$5,TF_Dom,0)),Aktiviteter,0)))&amp;IF(OR(COUNTIFS(TF_Nokkel,$A51&amp;"|"&amp;S$5,TF_Akt,"&lt;&gt;"&amp;INDEX(TF_Akt,MATCH($A51&amp;"|"&amp;S$5,TF_Dom,0)))&gt;0,AND(IF(S$9="",0,MAX(0,ROUND((S$12-SUMIFS(TF_Timer,TF_Nokkel,$A51&amp;"|"&amp;S$5))*2,0)/2))&gt;0,INDEX(TF_Akt,MATCH($A51&amp;"|"&amp;S$5,TF_Dom,0))&lt;&gt;"LMS")),"+",""),"?"))))</f>
        <v/>
      </c>
      <c r="T51" s="13">
        <f>IF(OR($A51="",T$5=""),"",IF(OR(AND(INDEX(TekFra,34)&gt;0,T$5&lt;INDEX(TekFra,34)),AND(INDEX(TekTil,34)&gt;0,T$5&gt;INDEX(TekTil,34))),"",IF(COUNTIFS(TF_Nokkel,$A51&amp;"|"&amp;T$5)=0,IF(T$9&lt;&gt;"","LMS",""),IFERROR(IF(SUMIFS(TF_Timer,TF_Nokkel,$A51&amp;"|"&amp;T$5,TF_Akt,"LMS")+IF(T$9="",0,MAX(0,ROUND((T$12-SUMIFS(TF_Timer,TF_Nokkel,$A51&amp;"|"&amp;T$5))*2,0)/2))&gt;INDEX(TF_AktSum,MATCH($A51&amp;"|"&amp;T$5,TF_Dom,0)),"LMS",INDEX(AktKode,MATCH(INDEX(TF_Akt,MATCH($A51&amp;"|"&amp;T$5,TF_Dom,0)),Aktiviteter,0)))&amp;IF(OR(COUNTIFS(TF_Nokkel,$A51&amp;"|"&amp;T$5,TF_Akt,"&lt;&gt;"&amp;INDEX(TF_Akt,MATCH($A51&amp;"|"&amp;T$5,TF_Dom,0)))&gt;0,AND(IF(T$9="",0,MAX(0,ROUND((T$12-SUMIFS(TF_Timer,TF_Nokkel,$A51&amp;"|"&amp;T$5))*2,0)/2))&gt;0,INDEX(TF_Akt,MATCH($A51&amp;"|"&amp;T$5,TF_Dom,0))&lt;&gt;"LMS")),"+",""),"?"))))</f>
        <v/>
      </c>
      <c r="U51" s="13">
        <f>IF(OR($A51="",U$5=""),"",IF(OR(AND(INDEX(TekFra,34)&gt;0,U$5&lt;INDEX(TekFra,34)),AND(INDEX(TekTil,34)&gt;0,U$5&gt;INDEX(TekTil,34))),"",IF(COUNTIFS(TF_Nokkel,$A51&amp;"|"&amp;U$5)=0,IF(U$9&lt;&gt;"","LMS",""),IFERROR(IF(SUMIFS(TF_Timer,TF_Nokkel,$A51&amp;"|"&amp;U$5,TF_Akt,"LMS")+IF(U$9="",0,MAX(0,ROUND((U$12-SUMIFS(TF_Timer,TF_Nokkel,$A51&amp;"|"&amp;U$5))*2,0)/2))&gt;INDEX(TF_AktSum,MATCH($A51&amp;"|"&amp;U$5,TF_Dom,0)),"LMS",INDEX(AktKode,MATCH(INDEX(TF_Akt,MATCH($A51&amp;"|"&amp;U$5,TF_Dom,0)),Aktiviteter,0)))&amp;IF(OR(COUNTIFS(TF_Nokkel,$A51&amp;"|"&amp;U$5,TF_Akt,"&lt;&gt;"&amp;INDEX(TF_Akt,MATCH($A51&amp;"|"&amp;U$5,TF_Dom,0)))&gt;0,AND(IF(U$9="",0,MAX(0,ROUND((U$12-SUMIFS(TF_Timer,TF_Nokkel,$A51&amp;"|"&amp;U$5))*2,0)/2))&gt;0,INDEX(TF_Akt,MATCH($A51&amp;"|"&amp;U$5,TF_Dom,0))&lt;&gt;"LMS")),"+",""),"?"))))</f>
        <v/>
      </c>
      <c r="V51" s="13">
        <f>IF(OR($A51="",V$5=""),"",IF(OR(AND(INDEX(TekFra,34)&gt;0,V$5&lt;INDEX(TekFra,34)),AND(INDEX(TekTil,34)&gt;0,V$5&gt;INDEX(TekTil,34))),"",IF(COUNTIFS(TF_Nokkel,$A51&amp;"|"&amp;V$5)=0,IF(V$9&lt;&gt;"","LMS",""),IFERROR(IF(SUMIFS(TF_Timer,TF_Nokkel,$A51&amp;"|"&amp;V$5,TF_Akt,"LMS")+IF(V$9="",0,MAX(0,ROUND((V$12-SUMIFS(TF_Timer,TF_Nokkel,$A51&amp;"|"&amp;V$5))*2,0)/2))&gt;INDEX(TF_AktSum,MATCH($A51&amp;"|"&amp;V$5,TF_Dom,0)),"LMS",INDEX(AktKode,MATCH(INDEX(TF_Akt,MATCH($A51&amp;"|"&amp;V$5,TF_Dom,0)),Aktiviteter,0)))&amp;IF(OR(COUNTIFS(TF_Nokkel,$A51&amp;"|"&amp;V$5,TF_Akt,"&lt;&gt;"&amp;INDEX(TF_Akt,MATCH($A51&amp;"|"&amp;V$5,TF_Dom,0)))&gt;0,AND(IF(V$9="",0,MAX(0,ROUND((V$12-SUMIFS(TF_Timer,TF_Nokkel,$A51&amp;"|"&amp;V$5))*2,0)/2))&gt;0,INDEX(TF_Akt,MATCH($A51&amp;"|"&amp;V$5,TF_Dom,0))&lt;&gt;"LMS")),"+",""),"?"))))</f>
        <v/>
      </c>
      <c r="W51" s="13">
        <f>IF(OR($A51="",W$5=""),"",IF(OR(AND(INDEX(TekFra,34)&gt;0,W$5&lt;INDEX(TekFra,34)),AND(INDEX(TekTil,34)&gt;0,W$5&gt;INDEX(TekTil,34))),"",IF(COUNTIFS(TF_Nokkel,$A51&amp;"|"&amp;W$5)=0,IF(W$9&lt;&gt;"","LMS",""),IFERROR(IF(SUMIFS(TF_Timer,TF_Nokkel,$A51&amp;"|"&amp;W$5,TF_Akt,"LMS")+IF(W$9="",0,MAX(0,ROUND((W$12-SUMIFS(TF_Timer,TF_Nokkel,$A51&amp;"|"&amp;W$5))*2,0)/2))&gt;INDEX(TF_AktSum,MATCH($A51&amp;"|"&amp;W$5,TF_Dom,0)),"LMS",INDEX(AktKode,MATCH(INDEX(TF_Akt,MATCH($A51&amp;"|"&amp;W$5,TF_Dom,0)),Aktiviteter,0)))&amp;IF(OR(COUNTIFS(TF_Nokkel,$A51&amp;"|"&amp;W$5,TF_Akt,"&lt;&gt;"&amp;INDEX(TF_Akt,MATCH($A51&amp;"|"&amp;W$5,TF_Dom,0)))&gt;0,AND(IF(W$9="",0,MAX(0,ROUND((W$12-SUMIFS(TF_Timer,TF_Nokkel,$A51&amp;"|"&amp;W$5))*2,0)/2))&gt;0,INDEX(TF_Akt,MATCH($A51&amp;"|"&amp;W$5,TF_Dom,0))&lt;&gt;"LMS")),"+",""),"?"))))</f>
        <v/>
      </c>
      <c r="X51" s="13">
        <f>IF(OR($A51="",X$5=""),"",IF(OR(AND(INDEX(TekFra,34)&gt;0,X$5&lt;INDEX(TekFra,34)),AND(INDEX(TekTil,34)&gt;0,X$5&gt;INDEX(TekTil,34))),"",IF(COUNTIFS(TF_Nokkel,$A51&amp;"|"&amp;X$5)=0,IF(X$9&lt;&gt;"","LMS",""),IFERROR(IF(SUMIFS(TF_Timer,TF_Nokkel,$A51&amp;"|"&amp;X$5,TF_Akt,"LMS")+IF(X$9="",0,MAX(0,ROUND((X$12-SUMIFS(TF_Timer,TF_Nokkel,$A51&amp;"|"&amp;X$5))*2,0)/2))&gt;INDEX(TF_AktSum,MATCH($A51&amp;"|"&amp;X$5,TF_Dom,0)),"LMS",INDEX(AktKode,MATCH(INDEX(TF_Akt,MATCH($A51&amp;"|"&amp;X$5,TF_Dom,0)),Aktiviteter,0)))&amp;IF(OR(COUNTIFS(TF_Nokkel,$A51&amp;"|"&amp;X$5,TF_Akt,"&lt;&gt;"&amp;INDEX(TF_Akt,MATCH($A51&amp;"|"&amp;X$5,TF_Dom,0)))&gt;0,AND(IF(X$9="",0,MAX(0,ROUND((X$12-SUMIFS(TF_Timer,TF_Nokkel,$A51&amp;"|"&amp;X$5))*2,0)/2))&gt;0,INDEX(TF_Akt,MATCH($A51&amp;"|"&amp;X$5,TF_Dom,0))&lt;&gt;"LMS")),"+",""),"?"))))</f>
        <v/>
      </c>
      <c r="Y51" s="13">
        <f>IF(OR($A51="",Y$5=""),"",IF(OR(AND(INDEX(TekFra,34)&gt;0,Y$5&lt;INDEX(TekFra,34)),AND(INDEX(TekTil,34)&gt;0,Y$5&gt;INDEX(TekTil,34))),"",IF(COUNTIFS(TF_Nokkel,$A51&amp;"|"&amp;Y$5)=0,IF(Y$9&lt;&gt;"","LMS",""),IFERROR(IF(SUMIFS(TF_Timer,TF_Nokkel,$A51&amp;"|"&amp;Y$5,TF_Akt,"LMS")+IF(Y$9="",0,MAX(0,ROUND((Y$12-SUMIFS(TF_Timer,TF_Nokkel,$A51&amp;"|"&amp;Y$5))*2,0)/2))&gt;INDEX(TF_AktSum,MATCH($A51&amp;"|"&amp;Y$5,TF_Dom,0)),"LMS",INDEX(AktKode,MATCH(INDEX(TF_Akt,MATCH($A51&amp;"|"&amp;Y$5,TF_Dom,0)),Aktiviteter,0)))&amp;IF(OR(COUNTIFS(TF_Nokkel,$A51&amp;"|"&amp;Y$5,TF_Akt,"&lt;&gt;"&amp;INDEX(TF_Akt,MATCH($A51&amp;"|"&amp;Y$5,TF_Dom,0)))&gt;0,AND(IF(Y$9="",0,MAX(0,ROUND((Y$12-SUMIFS(TF_Timer,TF_Nokkel,$A51&amp;"|"&amp;Y$5))*2,0)/2))&gt;0,INDEX(TF_Akt,MATCH($A51&amp;"|"&amp;Y$5,TF_Dom,0))&lt;&gt;"LMS")),"+",""),"?"))))</f>
        <v/>
      </c>
      <c r="Z51" s="13">
        <f>IF(OR($A51="",Z$5=""),"",IF(OR(AND(INDEX(TekFra,34)&gt;0,Z$5&lt;INDEX(TekFra,34)),AND(INDEX(TekTil,34)&gt;0,Z$5&gt;INDEX(TekTil,34))),"",IF(COUNTIFS(TF_Nokkel,$A51&amp;"|"&amp;Z$5)=0,IF(Z$9&lt;&gt;"","LMS",""),IFERROR(IF(SUMIFS(TF_Timer,TF_Nokkel,$A51&amp;"|"&amp;Z$5,TF_Akt,"LMS")+IF(Z$9="",0,MAX(0,ROUND((Z$12-SUMIFS(TF_Timer,TF_Nokkel,$A51&amp;"|"&amp;Z$5))*2,0)/2))&gt;INDEX(TF_AktSum,MATCH($A51&amp;"|"&amp;Z$5,TF_Dom,0)),"LMS",INDEX(AktKode,MATCH(INDEX(TF_Akt,MATCH($A51&amp;"|"&amp;Z$5,TF_Dom,0)),Aktiviteter,0)))&amp;IF(OR(COUNTIFS(TF_Nokkel,$A51&amp;"|"&amp;Z$5,TF_Akt,"&lt;&gt;"&amp;INDEX(TF_Akt,MATCH($A51&amp;"|"&amp;Z$5,TF_Dom,0)))&gt;0,AND(IF(Z$9="",0,MAX(0,ROUND((Z$12-SUMIFS(TF_Timer,TF_Nokkel,$A51&amp;"|"&amp;Z$5))*2,0)/2))&gt;0,INDEX(TF_Akt,MATCH($A51&amp;"|"&amp;Z$5,TF_Dom,0))&lt;&gt;"LMS")),"+",""),"?"))))</f>
        <v/>
      </c>
      <c r="AA51" s="13">
        <f>IF(OR($A51="",AA$5=""),"",IF(OR(AND(INDEX(TekFra,34)&gt;0,AA$5&lt;INDEX(TekFra,34)),AND(INDEX(TekTil,34)&gt;0,AA$5&gt;INDEX(TekTil,34))),"",IF(COUNTIFS(TF_Nokkel,$A51&amp;"|"&amp;AA$5)=0,IF(AA$9&lt;&gt;"","LMS",""),IFERROR(IF(SUMIFS(TF_Timer,TF_Nokkel,$A51&amp;"|"&amp;AA$5,TF_Akt,"LMS")+IF(AA$9="",0,MAX(0,ROUND((AA$12-SUMIFS(TF_Timer,TF_Nokkel,$A51&amp;"|"&amp;AA$5))*2,0)/2))&gt;INDEX(TF_AktSum,MATCH($A51&amp;"|"&amp;AA$5,TF_Dom,0)),"LMS",INDEX(AktKode,MATCH(INDEX(TF_Akt,MATCH($A51&amp;"|"&amp;AA$5,TF_Dom,0)),Aktiviteter,0)))&amp;IF(OR(COUNTIFS(TF_Nokkel,$A51&amp;"|"&amp;AA$5,TF_Akt,"&lt;&gt;"&amp;INDEX(TF_Akt,MATCH($A51&amp;"|"&amp;AA$5,TF_Dom,0)))&gt;0,AND(IF(AA$9="",0,MAX(0,ROUND((AA$12-SUMIFS(TF_Timer,TF_Nokkel,$A51&amp;"|"&amp;AA$5))*2,0)/2))&gt;0,INDEX(TF_Akt,MATCH($A51&amp;"|"&amp;AA$5,TF_Dom,0))&lt;&gt;"LMS")),"+",""),"?"))))</f>
        <v/>
      </c>
      <c r="AB51" s="13">
        <f>IF(OR($A51="",AB$5=""),"",IF(OR(AND(INDEX(TekFra,34)&gt;0,AB$5&lt;INDEX(TekFra,34)),AND(INDEX(TekTil,34)&gt;0,AB$5&gt;INDEX(TekTil,34))),"",IF(COUNTIFS(TF_Nokkel,$A51&amp;"|"&amp;AB$5)=0,IF(AB$9&lt;&gt;"","LMS",""),IFERROR(IF(SUMIFS(TF_Timer,TF_Nokkel,$A51&amp;"|"&amp;AB$5,TF_Akt,"LMS")+IF(AB$9="",0,MAX(0,ROUND((AB$12-SUMIFS(TF_Timer,TF_Nokkel,$A51&amp;"|"&amp;AB$5))*2,0)/2))&gt;INDEX(TF_AktSum,MATCH($A51&amp;"|"&amp;AB$5,TF_Dom,0)),"LMS",INDEX(AktKode,MATCH(INDEX(TF_Akt,MATCH($A51&amp;"|"&amp;AB$5,TF_Dom,0)),Aktiviteter,0)))&amp;IF(OR(COUNTIFS(TF_Nokkel,$A51&amp;"|"&amp;AB$5,TF_Akt,"&lt;&gt;"&amp;INDEX(TF_Akt,MATCH($A51&amp;"|"&amp;AB$5,TF_Dom,0)))&gt;0,AND(IF(AB$9="",0,MAX(0,ROUND((AB$12-SUMIFS(TF_Timer,TF_Nokkel,$A51&amp;"|"&amp;AB$5))*2,0)/2))&gt;0,INDEX(TF_Akt,MATCH($A51&amp;"|"&amp;AB$5,TF_Dom,0))&lt;&gt;"LMS")),"+",""),"?"))))</f>
        <v/>
      </c>
      <c r="AC51" s="13">
        <f>IF(OR($A51="",AC$5=""),"",IF(OR(AND(INDEX(TekFra,34)&gt;0,AC$5&lt;INDEX(TekFra,34)),AND(INDEX(TekTil,34)&gt;0,AC$5&gt;INDEX(TekTil,34))),"",IF(COUNTIFS(TF_Nokkel,$A51&amp;"|"&amp;AC$5)=0,IF(AC$9&lt;&gt;"","LMS",""),IFERROR(IF(SUMIFS(TF_Timer,TF_Nokkel,$A51&amp;"|"&amp;AC$5,TF_Akt,"LMS")+IF(AC$9="",0,MAX(0,ROUND((AC$12-SUMIFS(TF_Timer,TF_Nokkel,$A51&amp;"|"&amp;AC$5))*2,0)/2))&gt;INDEX(TF_AktSum,MATCH($A51&amp;"|"&amp;AC$5,TF_Dom,0)),"LMS",INDEX(AktKode,MATCH(INDEX(TF_Akt,MATCH($A51&amp;"|"&amp;AC$5,TF_Dom,0)),Aktiviteter,0)))&amp;IF(OR(COUNTIFS(TF_Nokkel,$A51&amp;"|"&amp;AC$5,TF_Akt,"&lt;&gt;"&amp;INDEX(TF_Akt,MATCH($A51&amp;"|"&amp;AC$5,TF_Dom,0)))&gt;0,AND(IF(AC$9="",0,MAX(0,ROUND((AC$12-SUMIFS(TF_Timer,TF_Nokkel,$A51&amp;"|"&amp;AC$5))*2,0)/2))&gt;0,INDEX(TF_Akt,MATCH($A51&amp;"|"&amp;AC$5,TF_Dom,0))&lt;&gt;"LMS")),"+",""),"?"))))</f>
        <v/>
      </c>
      <c r="AD51" s="13">
        <f>IF(OR($A51="",AD$5=""),"",IF(OR(AND(INDEX(TekFra,34)&gt;0,AD$5&lt;INDEX(TekFra,34)),AND(INDEX(TekTil,34)&gt;0,AD$5&gt;INDEX(TekTil,34))),"",IF(COUNTIFS(TF_Nokkel,$A51&amp;"|"&amp;AD$5)=0,IF(AD$9&lt;&gt;"","LMS",""),IFERROR(IF(SUMIFS(TF_Timer,TF_Nokkel,$A51&amp;"|"&amp;AD$5,TF_Akt,"LMS")+IF(AD$9="",0,MAX(0,ROUND((AD$12-SUMIFS(TF_Timer,TF_Nokkel,$A51&amp;"|"&amp;AD$5))*2,0)/2))&gt;INDEX(TF_AktSum,MATCH($A51&amp;"|"&amp;AD$5,TF_Dom,0)),"LMS",INDEX(AktKode,MATCH(INDEX(TF_Akt,MATCH($A51&amp;"|"&amp;AD$5,TF_Dom,0)),Aktiviteter,0)))&amp;IF(OR(COUNTIFS(TF_Nokkel,$A51&amp;"|"&amp;AD$5,TF_Akt,"&lt;&gt;"&amp;INDEX(TF_Akt,MATCH($A51&amp;"|"&amp;AD$5,TF_Dom,0)))&gt;0,AND(IF(AD$9="",0,MAX(0,ROUND((AD$12-SUMIFS(TF_Timer,TF_Nokkel,$A51&amp;"|"&amp;AD$5))*2,0)/2))&gt;0,INDEX(TF_Akt,MATCH($A51&amp;"|"&amp;AD$5,TF_Dom,0))&lt;&gt;"LMS")),"+",""),"?"))))</f>
        <v/>
      </c>
      <c r="AE51" s="13">
        <f>IF(OR($A51="",AE$5=""),"",IF(OR(AND(INDEX(TekFra,34)&gt;0,AE$5&lt;INDEX(TekFra,34)),AND(INDEX(TekTil,34)&gt;0,AE$5&gt;INDEX(TekTil,34))),"",IF(COUNTIFS(TF_Nokkel,$A51&amp;"|"&amp;AE$5)=0,IF(AE$9&lt;&gt;"","LMS",""),IFERROR(IF(SUMIFS(TF_Timer,TF_Nokkel,$A51&amp;"|"&amp;AE$5,TF_Akt,"LMS")+IF(AE$9="",0,MAX(0,ROUND((AE$12-SUMIFS(TF_Timer,TF_Nokkel,$A51&amp;"|"&amp;AE$5))*2,0)/2))&gt;INDEX(TF_AktSum,MATCH($A51&amp;"|"&amp;AE$5,TF_Dom,0)),"LMS",INDEX(AktKode,MATCH(INDEX(TF_Akt,MATCH($A51&amp;"|"&amp;AE$5,TF_Dom,0)),Aktiviteter,0)))&amp;IF(OR(COUNTIFS(TF_Nokkel,$A51&amp;"|"&amp;AE$5,TF_Akt,"&lt;&gt;"&amp;INDEX(TF_Akt,MATCH($A51&amp;"|"&amp;AE$5,TF_Dom,0)))&gt;0,AND(IF(AE$9="",0,MAX(0,ROUND((AE$12-SUMIFS(TF_Timer,TF_Nokkel,$A51&amp;"|"&amp;AE$5))*2,0)/2))&gt;0,INDEX(TF_Akt,MATCH($A51&amp;"|"&amp;AE$5,TF_Dom,0))&lt;&gt;"LMS")),"+",""),"?"))))</f>
        <v/>
      </c>
      <c r="AF51" s="13">
        <f>IF(OR($A51="",AF$5=""),"",IF(OR(AND(INDEX(TekFra,34)&gt;0,AF$5&lt;INDEX(TekFra,34)),AND(INDEX(TekTil,34)&gt;0,AF$5&gt;INDEX(TekTil,34))),"",IF(COUNTIFS(TF_Nokkel,$A51&amp;"|"&amp;AF$5)=0,IF(AF$9&lt;&gt;"","LMS",""),IFERROR(IF(SUMIFS(TF_Timer,TF_Nokkel,$A51&amp;"|"&amp;AF$5,TF_Akt,"LMS")+IF(AF$9="",0,MAX(0,ROUND((AF$12-SUMIFS(TF_Timer,TF_Nokkel,$A51&amp;"|"&amp;AF$5))*2,0)/2))&gt;INDEX(TF_AktSum,MATCH($A51&amp;"|"&amp;AF$5,TF_Dom,0)),"LMS",INDEX(AktKode,MATCH(INDEX(TF_Akt,MATCH($A51&amp;"|"&amp;AF$5,TF_Dom,0)),Aktiviteter,0)))&amp;IF(OR(COUNTIFS(TF_Nokkel,$A51&amp;"|"&amp;AF$5,TF_Akt,"&lt;&gt;"&amp;INDEX(TF_Akt,MATCH($A51&amp;"|"&amp;AF$5,TF_Dom,0)))&gt;0,AND(IF(AF$9="",0,MAX(0,ROUND((AF$12-SUMIFS(TF_Timer,TF_Nokkel,$A51&amp;"|"&amp;AF$5))*2,0)/2))&gt;0,INDEX(TF_Akt,MATCH($A51&amp;"|"&amp;AF$5,TF_Dom,0))&lt;&gt;"LMS")),"+",""),"?"))))</f>
        <v/>
      </c>
      <c r="AG51" s="13">
        <f>IF(OR($A51="",AG$5=""),"",IF(OR(AND(INDEX(TekFra,34)&gt;0,AG$5&lt;INDEX(TekFra,34)),AND(INDEX(TekTil,34)&gt;0,AG$5&gt;INDEX(TekTil,34))),"",IF(COUNTIFS(TF_Nokkel,$A51&amp;"|"&amp;AG$5)=0,IF(AG$9&lt;&gt;"","LMS",""),IFERROR(IF(SUMIFS(TF_Timer,TF_Nokkel,$A51&amp;"|"&amp;AG$5,TF_Akt,"LMS")+IF(AG$9="",0,MAX(0,ROUND((AG$12-SUMIFS(TF_Timer,TF_Nokkel,$A51&amp;"|"&amp;AG$5))*2,0)/2))&gt;INDEX(TF_AktSum,MATCH($A51&amp;"|"&amp;AG$5,TF_Dom,0)),"LMS",INDEX(AktKode,MATCH(INDEX(TF_Akt,MATCH($A51&amp;"|"&amp;AG$5,TF_Dom,0)),Aktiviteter,0)))&amp;IF(OR(COUNTIFS(TF_Nokkel,$A51&amp;"|"&amp;AG$5,TF_Akt,"&lt;&gt;"&amp;INDEX(TF_Akt,MATCH($A51&amp;"|"&amp;AG$5,TF_Dom,0)))&gt;0,AND(IF(AG$9="",0,MAX(0,ROUND((AG$12-SUMIFS(TF_Timer,TF_Nokkel,$A51&amp;"|"&amp;AG$5))*2,0)/2))&gt;0,INDEX(TF_Akt,MATCH($A51&amp;"|"&amp;AG$5,TF_Dom,0))&lt;&gt;"LMS")),"+",""),"?"))))</f>
        <v/>
      </c>
      <c r="AH51" s="2" t="n"/>
      <c r="AI51" s="2" t="n"/>
      <c r="AJ51" s="2" t="n"/>
    </row>
    <row r="52">
      <c r="A52" s="2">
        <f>INDEX(Teknikere,35)&amp;""</f>
        <v/>
      </c>
      <c r="B52" s="12">
        <f>IF(INDEX(TekFra,35)&gt;0,"ekstra","")</f>
        <v/>
      </c>
      <c r="C52" s="13">
        <f>IF(OR($A52="",C$5=""),"",IF(OR(AND(INDEX(TekFra,35)&gt;0,C$5&lt;INDEX(TekFra,35)),AND(INDEX(TekTil,35)&gt;0,C$5&gt;INDEX(TekTil,35))),"",IF(COUNTIFS(TF_Nokkel,$A52&amp;"|"&amp;C$5)=0,IF(C$9&lt;&gt;"","LMS",""),IFERROR(IF(SUMIFS(TF_Timer,TF_Nokkel,$A52&amp;"|"&amp;C$5,TF_Akt,"LMS")+IF(C$9="",0,MAX(0,ROUND((C$12-SUMIFS(TF_Timer,TF_Nokkel,$A52&amp;"|"&amp;C$5))*2,0)/2))&gt;INDEX(TF_AktSum,MATCH($A52&amp;"|"&amp;C$5,TF_Dom,0)),"LMS",INDEX(AktKode,MATCH(INDEX(TF_Akt,MATCH($A52&amp;"|"&amp;C$5,TF_Dom,0)),Aktiviteter,0)))&amp;IF(OR(COUNTIFS(TF_Nokkel,$A52&amp;"|"&amp;C$5,TF_Akt,"&lt;&gt;"&amp;INDEX(TF_Akt,MATCH($A52&amp;"|"&amp;C$5,TF_Dom,0)))&gt;0,AND(IF(C$9="",0,MAX(0,ROUND((C$12-SUMIFS(TF_Timer,TF_Nokkel,$A52&amp;"|"&amp;C$5))*2,0)/2))&gt;0,INDEX(TF_Akt,MATCH($A52&amp;"|"&amp;C$5,TF_Dom,0))&lt;&gt;"LMS")),"+",""),"?"))))</f>
        <v/>
      </c>
      <c r="D52" s="13">
        <f>IF(OR($A52="",D$5=""),"",IF(OR(AND(INDEX(TekFra,35)&gt;0,D$5&lt;INDEX(TekFra,35)),AND(INDEX(TekTil,35)&gt;0,D$5&gt;INDEX(TekTil,35))),"",IF(COUNTIFS(TF_Nokkel,$A52&amp;"|"&amp;D$5)=0,IF(D$9&lt;&gt;"","LMS",""),IFERROR(IF(SUMIFS(TF_Timer,TF_Nokkel,$A52&amp;"|"&amp;D$5,TF_Akt,"LMS")+IF(D$9="",0,MAX(0,ROUND((D$12-SUMIFS(TF_Timer,TF_Nokkel,$A52&amp;"|"&amp;D$5))*2,0)/2))&gt;INDEX(TF_AktSum,MATCH($A52&amp;"|"&amp;D$5,TF_Dom,0)),"LMS",INDEX(AktKode,MATCH(INDEX(TF_Akt,MATCH($A52&amp;"|"&amp;D$5,TF_Dom,0)),Aktiviteter,0)))&amp;IF(OR(COUNTIFS(TF_Nokkel,$A52&amp;"|"&amp;D$5,TF_Akt,"&lt;&gt;"&amp;INDEX(TF_Akt,MATCH($A52&amp;"|"&amp;D$5,TF_Dom,0)))&gt;0,AND(IF(D$9="",0,MAX(0,ROUND((D$12-SUMIFS(TF_Timer,TF_Nokkel,$A52&amp;"|"&amp;D$5))*2,0)/2))&gt;0,INDEX(TF_Akt,MATCH($A52&amp;"|"&amp;D$5,TF_Dom,0))&lt;&gt;"LMS")),"+",""),"?"))))</f>
        <v/>
      </c>
      <c r="E52" s="13">
        <f>IF(OR($A52="",E$5=""),"",IF(OR(AND(INDEX(TekFra,35)&gt;0,E$5&lt;INDEX(TekFra,35)),AND(INDEX(TekTil,35)&gt;0,E$5&gt;INDEX(TekTil,35))),"",IF(COUNTIFS(TF_Nokkel,$A52&amp;"|"&amp;E$5)=0,IF(E$9&lt;&gt;"","LMS",""),IFERROR(IF(SUMIFS(TF_Timer,TF_Nokkel,$A52&amp;"|"&amp;E$5,TF_Akt,"LMS")+IF(E$9="",0,MAX(0,ROUND((E$12-SUMIFS(TF_Timer,TF_Nokkel,$A52&amp;"|"&amp;E$5))*2,0)/2))&gt;INDEX(TF_AktSum,MATCH($A52&amp;"|"&amp;E$5,TF_Dom,0)),"LMS",INDEX(AktKode,MATCH(INDEX(TF_Akt,MATCH($A52&amp;"|"&amp;E$5,TF_Dom,0)),Aktiviteter,0)))&amp;IF(OR(COUNTIFS(TF_Nokkel,$A52&amp;"|"&amp;E$5,TF_Akt,"&lt;&gt;"&amp;INDEX(TF_Akt,MATCH($A52&amp;"|"&amp;E$5,TF_Dom,0)))&gt;0,AND(IF(E$9="",0,MAX(0,ROUND((E$12-SUMIFS(TF_Timer,TF_Nokkel,$A52&amp;"|"&amp;E$5))*2,0)/2))&gt;0,INDEX(TF_Akt,MATCH($A52&amp;"|"&amp;E$5,TF_Dom,0))&lt;&gt;"LMS")),"+",""),"?"))))</f>
        <v/>
      </c>
      <c r="F52" s="13">
        <f>IF(OR($A52="",F$5=""),"",IF(OR(AND(INDEX(TekFra,35)&gt;0,F$5&lt;INDEX(TekFra,35)),AND(INDEX(TekTil,35)&gt;0,F$5&gt;INDEX(TekTil,35))),"",IF(COUNTIFS(TF_Nokkel,$A52&amp;"|"&amp;F$5)=0,IF(F$9&lt;&gt;"","LMS",""),IFERROR(IF(SUMIFS(TF_Timer,TF_Nokkel,$A52&amp;"|"&amp;F$5,TF_Akt,"LMS")+IF(F$9="",0,MAX(0,ROUND((F$12-SUMIFS(TF_Timer,TF_Nokkel,$A52&amp;"|"&amp;F$5))*2,0)/2))&gt;INDEX(TF_AktSum,MATCH($A52&amp;"|"&amp;F$5,TF_Dom,0)),"LMS",INDEX(AktKode,MATCH(INDEX(TF_Akt,MATCH($A52&amp;"|"&amp;F$5,TF_Dom,0)),Aktiviteter,0)))&amp;IF(OR(COUNTIFS(TF_Nokkel,$A52&amp;"|"&amp;F$5,TF_Akt,"&lt;&gt;"&amp;INDEX(TF_Akt,MATCH($A52&amp;"|"&amp;F$5,TF_Dom,0)))&gt;0,AND(IF(F$9="",0,MAX(0,ROUND((F$12-SUMIFS(TF_Timer,TF_Nokkel,$A52&amp;"|"&amp;F$5))*2,0)/2))&gt;0,INDEX(TF_Akt,MATCH($A52&amp;"|"&amp;F$5,TF_Dom,0))&lt;&gt;"LMS")),"+",""),"?"))))</f>
        <v/>
      </c>
      <c r="G52" s="13">
        <f>IF(OR($A52="",G$5=""),"",IF(OR(AND(INDEX(TekFra,35)&gt;0,G$5&lt;INDEX(TekFra,35)),AND(INDEX(TekTil,35)&gt;0,G$5&gt;INDEX(TekTil,35))),"",IF(COUNTIFS(TF_Nokkel,$A52&amp;"|"&amp;G$5)=0,IF(G$9&lt;&gt;"","LMS",""),IFERROR(IF(SUMIFS(TF_Timer,TF_Nokkel,$A52&amp;"|"&amp;G$5,TF_Akt,"LMS")+IF(G$9="",0,MAX(0,ROUND((G$12-SUMIFS(TF_Timer,TF_Nokkel,$A52&amp;"|"&amp;G$5))*2,0)/2))&gt;INDEX(TF_AktSum,MATCH($A52&amp;"|"&amp;G$5,TF_Dom,0)),"LMS",INDEX(AktKode,MATCH(INDEX(TF_Akt,MATCH($A52&amp;"|"&amp;G$5,TF_Dom,0)),Aktiviteter,0)))&amp;IF(OR(COUNTIFS(TF_Nokkel,$A52&amp;"|"&amp;G$5,TF_Akt,"&lt;&gt;"&amp;INDEX(TF_Akt,MATCH($A52&amp;"|"&amp;G$5,TF_Dom,0)))&gt;0,AND(IF(G$9="",0,MAX(0,ROUND((G$12-SUMIFS(TF_Timer,TF_Nokkel,$A52&amp;"|"&amp;G$5))*2,0)/2))&gt;0,INDEX(TF_Akt,MATCH($A52&amp;"|"&amp;G$5,TF_Dom,0))&lt;&gt;"LMS")),"+",""),"?"))))</f>
        <v/>
      </c>
      <c r="H52" s="13">
        <f>IF(OR($A52="",H$5=""),"",IF(OR(AND(INDEX(TekFra,35)&gt;0,H$5&lt;INDEX(TekFra,35)),AND(INDEX(TekTil,35)&gt;0,H$5&gt;INDEX(TekTil,35))),"",IF(COUNTIFS(TF_Nokkel,$A52&amp;"|"&amp;H$5)=0,IF(H$9&lt;&gt;"","LMS",""),IFERROR(IF(SUMIFS(TF_Timer,TF_Nokkel,$A52&amp;"|"&amp;H$5,TF_Akt,"LMS")+IF(H$9="",0,MAX(0,ROUND((H$12-SUMIFS(TF_Timer,TF_Nokkel,$A52&amp;"|"&amp;H$5))*2,0)/2))&gt;INDEX(TF_AktSum,MATCH($A52&amp;"|"&amp;H$5,TF_Dom,0)),"LMS",INDEX(AktKode,MATCH(INDEX(TF_Akt,MATCH($A52&amp;"|"&amp;H$5,TF_Dom,0)),Aktiviteter,0)))&amp;IF(OR(COUNTIFS(TF_Nokkel,$A52&amp;"|"&amp;H$5,TF_Akt,"&lt;&gt;"&amp;INDEX(TF_Akt,MATCH($A52&amp;"|"&amp;H$5,TF_Dom,0)))&gt;0,AND(IF(H$9="",0,MAX(0,ROUND((H$12-SUMIFS(TF_Timer,TF_Nokkel,$A52&amp;"|"&amp;H$5))*2,0)/2))&gt;0,INDEX(TF_Akt,MATCH($A52&amp;"|"&amp;H$5,TF_Dom,0))&lt;&gt;"LMS")),"+",""),"?"))))</f>
        <v/>
      </c>
      <c r="I52" s="13">
        <f>IF(OR($A52="",I$5=""),"",IF(OR(AND(INDEX(TekFra,35)&gt;0,I$5&lt;INDEX(TekFra,35)),AND(INDEX(TekTil,35)&gt;0,I$5&gt;INDEX(TekTil,35))),"",IF(COUNTIFS(TF_Nokkel,$A52&amp;"|"&amp;I$5)=0,IF(I$9&lt;&gt;"","LMS",""),IFERROR(IF(SUMIFS(TF_Timer,TF_Nokkel,$A52&amp;"|"&amp;I$5,TF_Akt,"LMS")+IF(I$9="",0,MAX(0,ROUND((I$12-SUMIFS(TF_Timer,TF_Nokkel,$A52&amp;"|"&amp;I$5))*2,0)/2))&gt;INDEX(TF_AktSum,MATCH($A52&amp;"|"&amp;I$5,TF_Dom,0)),"LMS",INDEX(AktKode,MATCH(INDEX(TF_Akt,MATCH($A52&amp;"|"&amp;I$5,TF_Dom,0)),Aktiviteter,0)))&amp;IF(OR(COUNTIFS(TF_Nokkel,$A52&amp;"|"&amp;I$5,TF_Akt,"&lt;&gt;"&amp;INDEX(TF_Akt,MATCH($A52&amp;"|"&amp;I$5,TF_Dom,0)))&gt;0,AND(IF(I$9="",0,MAX(0,ROUND((I$12-SUMIFS(TF_Timer,TF_Nokkel,$A52&amp;"|"&amp;I$5))*2,0)/2))&gt;0,INDEX(TF_Akt,MATCH($A52&amp;"|"&amp;I$5,TF_Dom,0))&lt;&gt;"LMS")),"+",""),"?"))))</f>
        <v/>
      </c>
      <c r="J52" s="13">
        <f>IF(OR($A52="",J$5=""),"",IF(OR(AND(INDEX(TekFra,35)&gt;0,J$5&lt;INDEX(TekFra,35)),AND(INDEX(TekTil,35)&gt;0,J$5&gt;INDEX(TekTil,35))),"",IF(COUNTIFS(TF_Nokkel,$A52&amp;"|"&amp;J$5)=0,IF(J$9&lt;&gt;"","LMS",""),IFERROR(IF(SUMIFS(TF_Timer,TF_Nokkel,$A52&amp;"|"&amp;J$5,TF_Akt,"LMS")+IF(J$9="",0,MAX(0,ROUND((J$12-SUMIFS(TF_Timer,TF_Nokkel,$A52&amp;"|"&amp;J$5))*2,0)/2))&gt;INDEX(TF_AktSum,MATCH($A52&amp;"|"&amp;J$5,TF_Dom,0)),"LMS",INDEX(AktKode,MATCH(INDEX(TF_Akt,MATCH($A52&amp;"|"&amp;J$5,TF_Dom,0)),Aktiviteter,0)))&amp;IF(OR(COUNTIFS(TF_Nokkel,$A52&amp;"|"&amp;J$5,TF_Akt,"&lt;&gt;"&amp;INDEX(TF_Akt,MATCH($A52&amp;"|"&amp;J$5,TF_Dom,0)))&gt;0,AND(IF(J$9="",0,MAX(0,ROUND((J$12-SUMIFS(TF_Timer,TF_Nokkel,$A52&amp;"|"&amp;J$5))*2,0)/2))&gt;0,INDEX(TF_Akt,MATCH($A52&amp;"|"&amp;J$5,TF_Dom,0))&lt;&gt;"LMS")),"+",""),"?"))))</f>
        <v/>
      </c>
      <c r="K52" s="13">
        <f>IF(OR($A52="",K$5=""),"",IF(OR(AND(INDEX(TekFra,35)&gt;0,K$5&lt;INDEX(TekFra,35)),AND(INDEX(TekTil,35)&gt;0,K$5&gt;INDEX(TekTil,35))),"",IF(COUNTIFS(TF_Nokkel,$A52&amp;"|"&amp;K$5)=0,IF(K$9&lt;&gt;"","LMS",""),IFERROR(IF(SUMIFS(TF_Timer,TF_Nokkel,$A52&amp;"|"&amp;K$5,TF_Akt,"LMS")+IF(K$9="",0,MAX(0,ROUND((K$12-SUMIFS(TF_Timer,TF_Nokkel,$A52&amp;"|"&amp;K$5))*2,0)/2))&gt;INDEX(TF_AktSum,MATCH($A52&amp;"|"&amp;K$5,TF_Dom,0)),"LMS",INDEX(AktKode,MATCH(INDEX(TF_Akt,MATCH($A52&amp;"|"&amp;K$5,TF_Dom,0)),Aktiviteter,0)))&amp;IF(OR(COUNTIFS(TF_Nokkel,$A52&amp;"|"&amp;K$5,TF_Akt,"&lt;&gt;"&amp;INDEX(TF_Akt,MATCH($A52&amp;"|"&amp;K$5,TF_Dom,0)))&gt;0,AND(IF(K$9="",0,MAX(0,ROUND((K$12-SUMIFS(TF_Timer,TF_Nokkel,$A52&amp;"|"&amp;K$5))*2,0)/2))&gt;0,INDEX(TF_Akt,MATCH($A52&amp;"|"&amp;K$5,TF_Dom,0))&lt;&gt;"LMS")),"+",""),"?"))))</f>
        <v/>
      </c>
      <c r="L52" s="13">
        <f>IF(OR($A52="",L$5=""),"",IF(OR(AND(INDEX(TekFra,35)&gt;0,L$5&lt;INDEX(TekFra,35)),AND(INDEX(TekTil,35)&gt;0,L$5&gt;INDEX(TekTil,35))),"",IF(COUNTIFS(TF_Nokkel,$A52&amp;"|"&amp;L$5)=0,IF(L$9&lt;&gt;"","LMS",""),IFERROR(IF(SUMIFS(TF_Timer,TF_Nokkel,$A52&amp;"|"&amp;L$5,TF_Akt,"LMS")+IF(L$9="",0,MAX(0,ROUND((L$12-SUMIFS(TF_Timer,TF_Nokkel,$A52&amp;"|"&amp;L$5))*2,0)/2))&gt;INDEX(TF_AktSum,MATCH($A52&amp;"|"&amp;L$5,TF_Dom,0)),"LMS",INDEX(AktKode,MATCH(INDEX(TF_Akt,MATCH($A52&amp;"|"&amp;L$5,TF_Dom,0)),Aktiviteter,0)))&amp;IF(OR(COUNTIFS(TF_Nokkel,$A52&amp;"|"&amp;L$5,TF_Akt,"&lt;&gt;"&amp;INDEX(TF_Akt,MATCH($A52&amp;"|"&amp;L$5,TF_Dom,0)))&gt;0,AND(IF(L$9="",0,MAX(0,ROUND((L$12-SUMIFS(TF_Timer,TF_Nokkel,$A52&amp;"|"&amp;L$5))*2,0)/2))&gt;0,INDEX(TF_Akt,MATCH($A52&amp;"|"&amp;L$5,TF_Dom,0))&lt;&gt;"LMS")),"+",""),"?"))))</f>
        <v/>
      </c>
      <c r="M52" s="13">
        <f>IF(OR($A52="",M$5=""),"",IF(OR(AND(INDEX(TekFra,35)&gt;0,M$5&lt;INDEX(TekFra,35)),AND(INDEX(TekTil,35)&gt;0,M$5&gt;INDEX(TekTil,35))),"",IF(COUNTIFS(TF_Nokkel,$A52&amp;"|"&amp;M$5)=0,IF(M$9&lt;&gt;"","LMS",""),IFERROR(IF(SUMIFS(TF_Timer,TF_Nokkel,$A52&amp;"|"&amp;M$5,TF_Akt,"LMS")+IF(M$9="",0,MAX(0,ROUND((M$12-SUMIFS(TF_Timer,TF_Nokkel,$A52&amp;"|"&amp;M$5))*2,0)/2))&gt;INDEX(TF_AktSum,MATCH($A52&amp;"|"&amp;M$5,TF_Dom,0)),"LMS",INDEX(AktKode,MATCH(INDEX(TF_Akt,MATCH($A52&amp;"|"&amp;M$5,TF_Dom,0)),Aktiviteter,0)))&amp;IF(OR(COUNTIFS(TF_Nokkel,$A52&amp;"|"&amp;M$5,TF_Akt,"&lt;&gt;"&amp;INDEX(TF_Akt,MATCH($A52&amp;"|"&amp;M$5,TF_Dom,0)))&gt;0,AND(IF(M$9="",0,MAX(0,ROUND((M$12-SUMIFS(TF_Timer,TF_Nokkel,$A52&amp;"|"&amp;M$5))*2,0)/2))&gt;0,INDEX(TF_Akt,MATCH($A52&amp;"|"&amp;M$5,TF_Dom,0))&lt;&gt;"LMS")),"+",""),"?"))))</f>
        <v/>
      </c>
      <c r="N52" s="13">
        <f>IF(OR($A52="",N$5=""),"",IF(OR(AND(INDEX(TekFra,35)&gt;0,N$5&lt;INDEX(TekFra,35)),AND(INDEX(TekTil,35)&gt;0,N$5&gt;INDEX(TekTil,35))),"",IF(COUNTIFS(TF_Nokkel,$A52&amp;"|"&amp;N$5)=0,IF(N$9&lt;&gt;"","LMS",""),IFERROR(IF(SUMIFS(TF_Timer,TF_Nokkel,$A52&amp;"|"&amp;N$5,TF_Akt,"LMS")+IF(N$9="",0,MAX(0,ROUND((N$12-SUMIFS(TF_Timer,TF_Nokkel,$A52&amp;"|"&amp;N$5))*2,0)/2))&gt;INDEX(TF_AktSum,MATCH($A52&amp;"|"&amp;N$5,TF_Dom,0)),"LMS",INDEX(AktKode,MATCH(INDEX(TF_Akt,MATCH($A52&amp;"|"&amp;N$5,TF_Dom,0)),Aktiviteter,0)))&amp;IF(OR(COUNTIFS(TF_Nokkel,$A52&amp;"|"&amp;N$5,TF_Akt,"&lt;&gt;"&amp;INDEX(TF_Akt,MATCH($A52&amp;"|"&amp;N$5,TF_Dom,0)))&gt;0,AND(IF(N$9="",0,MAX(0,ROUND((N$12-SUMIFS(TF_Timer,TF_Nokkel,$A52&amp;"|"&amp;N$5))*2,0)/2))&gt;0,INDEX(TF_Akt,MATCH($A52&amp;"|"&amp;N$5,TF_Dom,0))&lt;&gt;"LMS")),"+",""),"?"))))</f>
        <v/>
      </c>
      <c r="O52" s="13">
        <f>IF(OR($A52="",O$5=""),"",IF(OR(AND(INDEX(TekFra,35)&gt;0,O$5&lt;INDEX(TekFra,35)),AND(INDEX(TekTil,35)&gt;0,O$5&gt;INDEX(TekTil,35))),"",IF(COUNTIFS(TF_Nokkel,$A52&amp;"|"&amp;O$5)=0,IF(O$9&lt;&gt;"","LMS",""),IFERROR(IF(SUMIFS(TF_Timer,TF_Nokkel,$A52&amp;"|"&amp;O$5,TF_Akt,"LMS")+IF(O$9="",0,MAX(0,ROUND((O$12-SUMIFS(TF_Timer,TF_Nokkel,$A52&amp;"|"&amp;O$5))*2,0)/2))&gt;INDEX(TF_AktSum,MATCH($A52&amp;"|"&amp;O$5,TF_Dom,0)),"LMS",INDEX(AktKode,MATCH(INDEX(TF_Akt,MATCH($A52&amp;"|"&amp;O$5,TF_Dom,0)),Aktiviteter,0)))&amp;IF(OR(COUNTIFS(TF_Nokkel,$A52&amp;"|"&amp;O$5,TF_Akt,"&lt;&gt;"&amp;INDEX(TF_Akt,MATCH($A52&amp;"|"&amp;O$5,TF_Dom,0)))&gt;0,AND(IF(O$9="",0,MAX(0,ROUND((O$12-SUMIFS(TF_Timer,TF_Nokkel,$A52&amp;"|"&amp;O$5))*2,0)/2))&gt;0,INDEX(TF_Akt,MATCH($A52&amp;"|"&amp;O$5,TF_Dom,0))&lt;&gt;"LMS")),"+",""),"?"))))</f>
        <v/>
      </c>
      <c r="P52" s="13">
        <f>IF(OR($A52="",P$5=""),"",IF(OR(AND(INDEX(TekFra,35)&gt;0,P$5&lt;INDEX(TekFra,35)),AND(INDEX(TekTil,35)&gt;0,P$5&gt;INDEX(TekTil,35))),"",IF(COUNTIFS(TF_Nokkel,$A52&amp;"|"&amp;P$5)=0,IF(P$9&lt;&gt;"","LMS",""),IFERROR(IF(SUMIFS(TF_Timer,TF_Nokkel,$A52&amp;"|"&amp;P$5,TF_Akt,"LMS")+IF(P$9="",0,MAX(0,ROUND((P$12-SUMIFS(TF_Timer,TF_Nokkel,$A52&amp;"|"&amp;P$5))*2,0)/2))&gt;INDEX(TF_AktSum,MATCH($A52&amp;"|"&amp;P$5,TF_Dom,0)),"LMS",INDEX(AktKode,MATCH(INDEX(TF_Akt,MATCH($A52&amp;"|"&amp;P$5,TF_Dom,0)),Aktiviteter,0)))&amp;IF(OR(COUNTIFS(TF_Nokkel,$A52&amp;"|"&amp;P$5,TF_Akt,"&lt;&gt;"&amp;INDEX(TF_Akt,MATCH($A52&amp;"|"&amp;P$5,TF_Dom,0)))&gt;0,AND(IF(P$9="",0,MAX(0,ROUND((P$12-SUMIFS(TF_Timer,TF_Nokkel,$A52&amp;"|"&amp;P$5))*2,0)/2))&gt;0,INDEX(TF_Akt,MATCH($A52&amp;"|"&amp;P$5,TF_Dom,0))&lt;&gt;"LMS")),"+",""),"?"))))</f>
        <v/>
      </c>
      <c r="Q52" s="13">
        <f>IF(OR($A52="",Q$5=""),"",IF(OR(AND(INDEX(TekFra,35)&gt;0,Q$5&lt;INDEX(TekFra,35)),AND(INDEX(TekTil,35)&gt;0,Q$5&gt;INDEX(TekTil,35))),"",IF(COUNTIFS(TF_Nokkel,$A52&amp;"|"&amp;Q$5)=0,IF(Q$9&lt;&gt;"","LMS",""),IFERROR(IF(SUMIFS(TF_Timer,TF_Nokkel,$A52&amp;"|"&amp;Q$5,TF_Akt,"LMS")+IF(Q$9="",0,MAX(0,ROUND((Q$12-SUMIFS(TF_Timer,TF_Nokkel,$A52&amp;"|"&amp;Q$5))*2,0)/2))&gt;INDEX(TF_AktSum,MATCH($A52&amp;"|"&amp;Q$5,TF_Dom,0)),"LMS",INDEX(AktKode,MATCH(INDEX(TF_Akt,MATCH($A52&amp;"|"&amp;Q$5,TF_Dom,0)),Aktiviteter,0)))&amp;IF(OR(COUNTIFS(TF_Nokkel,$A52&amp;"|"&amp;Q$5,TF_Akt,"&lt;&gt;"&amp;INDEX(TF_Akt,MATCH($A52&amp;"|"&amp;Q$5,TF_Dom,0)))&gt;0,AND(IF(Q$9="",0,MAX(0,ROUND((Q$12-SUMIFS(TF_Timer,TF_Nokkel,$A52&amp;"|"&amp;Q$5))*2,0)/2))&gt;0,INDEX(TF_Akt,MATCH($A52&amp;"|"&amp;Q$5,TF_Dom,0))&lt;&gt;"LMS")),"+",""),"?"))))</f>
        <v/>
      </c>
      <c r="R52" s="13">
        <f>IF(OR($A52="",R$5=""),"",IF(OR(AND(INDEX(TekFra,35)&gt;0,R$5&lt;INDEX(TekFra,35)),AND(INDEX(TekTil,35)&gt;0,R$5&gt;INDEX(TekTil,35))),"",IF(COUNTIFS(TF_Nokkel,$A52&amp;"|"&amp;R$5)=0,IF(R$9&lt;&gt;"","LMS",""),IFERROR(IF(SUMIFS(TF_Timer,TF_Nokkel,$A52&amp;"|"&amp;R$5,TF_Akt,"LMS")+IF(R$9="",0,MAX(0,ROUND((R$12-SUMIFS(TF_Timer,TF_Nokkel,$A52&amp;"|"&amp;R$5))*2,0)/2))&gt;INDEX(TF_AktSum,MATCH($A52&amp;"|"&amp;R$5,TF_Dom,0)),"LMS",INDEX(AktKode,MATCH(INDEX(TF_Akt,MATCH($A52&amp;"|"&amp;R$5,TF_Dom,0)),Aktiviteter,0)))&amp;IF(OR(COUNTIFS(TF_Nokkel,$A52&amp;"|"&amp;R$5,TF_Akt,"&lt;&gt;"&amp;INDEX(TF_Akt,MATCH($A52&amp;"|"&amp;R$5,TF_Dom,0)))&gt;0,AND(IF(R$9="",0,MAX(0,ROUND((R$12-SUMIFS(TF_Timer,TF_Nokkel,$A52&amp;"|"&amp;R$5))*2,0)/2))&gt;0,INDEX(TF_Akt,MATCH($A52&amp;"|"&amp;R$5,TF_Dom,0))&lt;&gt;"LMS")),"+",""),"?"))))</f>
        <v/>
      </c>
      <c r="S52" s="13">
        <f>IF(OR($A52="",S$5=""),"",IF(OR(AND(INDEX(TekFra,35)&gt;0,S$5&lt;INDEX(TekFra,35)),AND(INDEX(TekTil,35)&gt;0,S$5&gt;INDEX(TekTil,35))),"",IF(COUNTIFS(TF_Nokkel,$A52&amp;"|"&amp;S$5)=0,IF(S$9&lt;&gt;"","LMS",""),IFERROR(IF(SUMIFS(TF_Timer,TF_Nokkel,$A52&amp;"|"&amp;S$5,TF_Akt,"LMS")+IF(S$9="",0,MAX(0,ROUND((S$12-SUMIFS(TF_Timer,TF_Nokkel,$A52&amp;"|"&amp;S$5))*2,0)/2))&gt;INDEX(TF_AktSum,MATCH($A52&amp;"|"&amp;S$5,TF_Dom,0)),"LMS",INDEX(AktKode,MATCH(INDEX(TF_Akt,MATCH($A52&amp;"|"&amp;S$5,TF_Dom,0)),Aktiviteter,0)))&amp;IF(OR(COUNTIFS(TF_Nokkel,$A52&amp;"|"&amp;S$5,TF_Akt,"&lt;&gt;"&amp;INDEX(TF_Akt,MATCH($A52&amp;"|"&amp;S$5,TF_Dom,0)))&gt;0,AND(IF(S$9="",0,MAX(0,ROUND((S$12-SUMIFS(TF_Timer,TF_Nokkel,$A52&amp;"|"&amp;S$5))*2,0)/2))&gt;0,INDEX(TF_Akt,MATCH($A52&amp;"|"&amp;S$5,TF_Dom,0))&lt;&gt;"LMS")),"+",""),"?"))))</f>
        <v/>
      </c>
      <c r="T52" s="13">
        <f>IF(OR($A52="",T$5=""),"",IF(OR(AND(INDEX(TekFra,35)&gt;0,T$5&lt;INDEX(TekFra,35)),AND(INDEX(TekTil,35)&gt;0,T$5&gt;INDEX(TekTil,35))),"",IF(COUNTIFS(TF_Nokkel,$A52&amp;"|"&amp;T$5)=0,IF(T$9&lt;&gt;"","LMS",""),IFERROR(IF(SUMIFS(TF_Timer,TF_Nokkel,$A52&amp;"|"&amp;T$5,TF_Akt,"LMS")+IF(T$9="",0,MAX(0,ROUND((T$12-SUMIFS(TF_Timer,TF_Nokkel,$A52&amp;"|"&amp;T$5))*2,0)/2))&gt;INDEX(TF_AktSum,MATCH($A52&amp;"|"&amp;T$5,TF_Dom,0)),"LMS",INDEX(AktKode,MATCH(INDEX(TF_Akt,MATCH($A52&amp;"|"&amp;T$5,TF_Dom,0)),Aktiviteter,0)))&amp;IF(OR(COUNTIFS(TF_Nokkel,$A52&amp;"|"&amp;T$5,TF_Akt,"&lt;&gt;"&amp;INDEX(TF_Akt,MATCH($A52&amp;"|"&amp;T$5,TF_Dom,0)))&gt;0,AND(IF(T$9="",0,MAX(0,ROUND((T$12-SUMIFS(TF_Timer,TF_Nokkel,$A52&amp;"|"&amp;T$5))*2,0)/2))&gt;0,INDEX(TF_Akt,MATCH($A52&amp;"|"&amp;T$5,TF_Dom,0))&lt;&gt;"LMS")),"+",""),"?"))))</f>
        <v/>
      </c>
      <c r="U52" s="13">
        <f>IF(OR($A52="",U$5=""),"",IF(OR(AND(INDEX(TekFra,35)&gt;0,U$5&lt;INDEX(TekFra,35)),AND(INDEX(TekTil,35)&gt;0,U$5&gt;INDEX(TekTil,35))),"",IF(COUNTIFS(TF_Nokkel,$A52&amp;"|"&amp;U$5)=0,IF(U$9&lt;&gt;"","LMS",""),IFERROR(IF(SUMIFS(TF_Timer,TF_Nokkel,$A52&amp;"|"&amp;U$5,TF_Akt,"LMS")+IF(U$9="",0,MAX(0,ROUND((U$12-SUMIFS(TF_Timer,TF_Nokkel,$A52&amp;"|"&amp;U$5))*2,0)/2))&gt;INDEX(TF_AktSum,MATCH($A52&amp;"|"&amp;U$5,TF_Dom,0)),"LMS",INDEX(AktKode,MATCH(INDEX(TF_Akt,MATCH($A52&amp;"|"&amp;U$5,TF_Dom,0)),Aktiviteter,0)))&amp;IF(OR(COUNTIFS(TF_Nokkel,$A52&amp;"|"&amp;U$5,TF_Akt,"&lt;&gt;"&amp;INDEX(TF_Akt,MATCH($A52&amp;"|"&amp;U$5,TF_Dom,0)))&gt;0,AND(IF(U$9="",0,MAX(0,ROUND((U$12-SUMIFS(TF_Timer,TF_Nokkel,$A52&amp;"|"&amp;U$5))*2,0)/2))&gt;0,INDEX(TF_Akt,MATCH($A52&amp;"|"&amp;U$5,TF_Dom,0))&lt;&gt;"LMS")),"+",""),"?"))))</f>
        <v/>
      </c>
      <c r="V52" s="13">
        <f>IF(OR($A52="",V$5=""),"",IF(OR(AND(INDEX(TekFra,35)&gt;0,V$5&lt;INDEX(TekFra,35)),AND(INDEX(TekTil,35)&gt;0,V$5&gt;INDEX(TekTil,35))),"",IF(COUNTIFS(TF_Nokkel,$A52&amp;"|"&amp;V$5)=0,IF(V$9&lt;&gt;"","LMS",""),IFERROR(IF(SUMIFS(TF_Timer,TF_Nokkel,$A52&amp;"|"&amp;V$5,TF_Akt,"LMS")+IF(V$9="",0,MAX(0,ROUND((V$12-SUMIFS(TF_Timer,TF_Nokkel,$A52&amp;"|"&amp;V$5))*2,0)/2))&gt;INDEX(TF_AktSum,MATCH($A52&amp;"|"&amp;V$5,TF_Dom,0)),"LMS",INDEX(AktKode,MATCH(INDEX(TF_Akt,MATCH($A52&amp;"|"&amp;V$5,TF_Dom,0)),Aktiviteter,0)))&amp;IF(OR(COUNTIFS(TF_Nokkel,$A52&amp;"|"&amp;V$5,TF_Akt,"&lt;&gt;"&amp;INDEX(TF_Akt,MATCH($A52&amp;"|"&amp;V$5,TF_Dom,0)))&gt;0,AND(IF(V$9="",0,MAX(0,ROUND((V$12-SUMIFS(TF_Timer,TF_Nokkel,$A52&amp;"|"&amp;V$5))*2,0)/2))&gt;0,INDEX(TF_Akt,MATCH($A52&amp;"|"&amp;V$5,TF_Dom,0))&lt;&gt;"LMS")),"+",""),"?"))))</f>
        <v/>
      </c>
      <c r="W52" s="13">
        <f>IF(OR($A52="",W$5=""),"",IF(OR(AND(INDEX(TekFra,35)&gt;0,W$5&lt;INDEX(TekFra,35)),AND(INDEX(TekTil,35)&gt;0,W$5&gt;INDEX(TekTil,35))),"",IF(COUNTIFS(TF_Nokkel,$A52&amp;"|"&amp;W$5)=0,IF(W$9&lt;&gt;"","LMS",""),IFERROR(IF(SUMIFS(TF_Timer,TF_Nokkel,$A52&amp;"|"&amp;W$5,TF_Akt,"LMS")+IF(W$9="",0,MAX(0,ROUND((W$12-SUMIFS(TF_Timer,TF_Nokkel,$A52&amp;"|"&amp;W$5))*2,0)/2))&gt;INDEX(TF_AktSum,MATCH($A52&amp;"|"&amp;W$5,TF_Dom,0)),"LMS",INDEX(AktKode,MATCH(INDEX(TF_Akt,MATCH($A52&amp;"|"&amp;W$5,TF_Dom,0)),Aktiviteter,0)))&amp;IF(OR(COUNTIFS(TF_Nokkel,$A52&amp;"|"&amp;W$5,TF_Akt,"&lt;&gt;"&amp;INDEX(TF_Akt,MATCH($A52&amp;"|"&amp;W$5,TF_Dom,0)))&gt;0,AND(IF(W$9="",0,MAX(0,ROUND((W$12-SUMIFS(TF_Timer,TF_Nokkel,$A52&amp;"|"&amp;W$5))*2,0)/2))&gt;0,INDEX(TF_Akt,MATCH($A52&amp;"|"&amp;W$5,TF_Dom,0))&lt;&gt;"LMS")),"+",""),"?"))))</f>
        <v/>
      </c>
      <c r="X52" s="13">
        <f>IF(OR($A52="",X$5=""),"",IF(OR(AND(INDEX(TekFra,35)&gt;0,X$5&lt;INDEX(TekFra,35)),AND(INDEX(TekTil,35)&gt;0,X$5&gt;INDEX(TekTil,35))),"",IF(COUNTIFS(TF_Nokkel,$A52&amp;"|"&amp;X$5)=0,IF(X$9&lt;&gt;"","LMS",""),IFERROR(IF(SUMIFS(TF_Timer,TF_Nokkel,$A52&amp;"|"&amp;X$5,TF_Akt,"LMS")+IF(X$9="",0,MAX(0,ROUND((X$12-SUMIFS(TF_Timer,TF_Nokkel,$A52&amp;"|"&amp;X$5))*2,0)/2))&gt;INDEX(TF_AktSum,MATCH($A52&amp;"|"&amp;X$5,TF_Dom,0)),"LMS",INDEX(AktKode,MATCH(INDEX(TF_Akt,MATCH($A52&amp;"|"&amp;X$5,TF_Dom,0)),Aktiviteter,0)))&amp;IF(OR(COUNTIFS(TF_Nokkel,$A52&amp;"|"&amp;X$5,TF_Akt,"&lt;&gt;"&amp;INDEX(TF_Akt,MATCH($A52&amp;"|"&amp;X$5,TF_Dom,0)))&gt;0,AND(IF(X$9="",0,MAX(0,ROUND((X$12-SUMIFS(TF_Timer,TF_Nokkel,$A52&amp;"|"&amp;X$5))*2,0)/2))&gt;0,INDEX(TF_Akt,MATCH($A52&amp;"|"&amp;X$5,TF_Dom,0))&lt;&gt;"LMS")),"+",""),"?"))))</f>
        <v/>
      </c>
      <c r="Y52" s="13">
        <f>IF(OR($A52="",Y$5=""),"",IF(OR(AND(INDEX(TekFra,35)&gt;0,Y$5&lt;INDEX(TekFra,35)),AND(INDEX(TekTil,35)&gt;0,Y$5&gt;INDEX(TekTil,35))),"",IF(COUNTIFS(TF_Nokkel,$A52&amp;"|"&amp;Y$5)=0,IF(Y$9&lt;&gt;"","LMS",""),IFERROR(IF(SUMIFS(TF_Timer,TF_Nokkel,$A52&amp;"|"&amp;Y$5,TF_Akt,"LMS")+IF(Y$9="",0,MAX(0,ROUND((Y$12-SUMIFS(TF_Timer,TF_Nokkel,$A52&amp;"|"&amp;Y$5))*2,0)/2))&gt;INDEX(TF_AktSum,MATCH($A52&amp;"|"&amp;Y$5,TF_Dom,0)),"LMS",INDEX(AktKode,MATCH(INDEX(TF_Akt,MATCH($A52&amp;"|"&amp;Y$5,TF_Dom,0)),Aktiviteter,0)))&amp;IF(OR(COUNTIFS(TF_Nokkel,$A52&amp;"|"&amp;Y$5,TF_Akt,"&lt;&gt;"&amp;INDEX(TF_Akt,MATCH($A52&amp;"|"&amp;Y$5,TF_Dom,0)))&gt;0,AND(IF(Y$9="",0,MAX(0,ROUND((Y$12-SUMIFS(TF_Timer,TF_Nokkel,$A52&amp;"|"&amp;Y$5))*2,0)/2))&gt;0,INDEX(TF_Akt,MATCH($A52&amp;"|"&amp;Y$5,TF_Dom,0))&lt;&gt;"LMS")),"+",""),"?"))))</f>
        <v/>
      </c>
      <c r="Z52" s="13">
        <f>IF(OR($A52="",Z$5=""),"",IF(OR(AND(INDEX(TekFra,35)&gt;0,Z$5&lt;INDEX(TekFra,35)),AND(INDEX(TekTil,35)&gt;0,Z$5&gt;INDEX(TekTil,35))),"",IF(COUNTIFS(TF_Nokkel,$A52&amp;"|"&amp;Z$5)=0,IF(Z$9&lt;&gt;"","LMS",""),IFERROR(IF(SUMIFS(TF_Timer,TF_Nokkel,$A52&amp;"|"&amp;Z$5,TF_Akt,"LMS")+IF(Z$9="",0,MAX(0,ROUND((Z$12-SUMIFS(TF_Timer,TF_Nokkel,$A52&amp;"|"&amp;Z$5))*2,0)/2))&gt;INDEX(TF_AktSum,MATCH($A52&amp;"|"&amp;Z$5,TF_Dom,0)),"LMS",INDEX(AktKode,MATCH(INDEX(TF_Akt,MATCH($A52&amp;"|"&amp;Z$5,TF_Dom,0)),Aktiviteter,0)))&amp;IF(OR(COUNTIFS(TF_Nokkel,$A52&amp;"|"&amp;Z$5,TF_Akt,"&lt;&gt;"&amp;INDEX(TF_Akt,MATCH($A52&amp;"|"&amp;Z$5,TF_Dom,0)))&gt;0,AND(IF(Z$9="",0,MAX(0,ROUND((Z$12-SUMIFS(TF_Timer,TF_Nokkel,$A52&amp;"|"&amp;Z$5))*2,0)/2))&gt;0,INDEX(TF_Akt,MATCH($A52&amp;"|"&amp;Z$5,TF_Dom,0))&lt;&gt;"LMS")),"+",""),"?"))))</f>
        <v/>
      </c>
      <c r="AA52" s="13">
        <f>IF(OR($A52="",AA$5=""),"",IF(OR(AND(INDEX(TekFra,35)&gt;0,AA$5&lt;INDEX(TekFra,35)),AND(INDEX(TekTil,35)&gt;0,AA$5&gt;INDEX(TekTil,35))),"",IF(COUNTIFS(TF_Nokkel,$A52&amp;"|"&amp;AA$5)=0,IF(AA$9&lt;&gt;"","LMS",""),IFERROR(IF(SUMIFS(TF_Timer,TF_Nokkel,$A52&amp;"|"&amp;AA$5,TF_Akt,"LMS")+IF(AA$9="",0,MAX(0,ROUND((AA$12-SUMIFS(TF_Timer,TF_Nokkel,$A52&amp;"|"&amp;AA$5))*2,0)/2))&gt;INDEX(TF_AktSum,MATCH($A52&amp;"|"&amp;AA$5,TF_Dom,0)),"LMS",INDEX(AktKode,MATCH(INDEX(TF_Akt,MATCH($A52&amp;"|"&amp;AA$5,TF_Dom,0)),Aktiviteter,0)))&amp;IF(OR(COUNTIFS(TF_Nokkel,$A52&amp;"|"&amp;AA$5,TF_Akt,"&lt;&gt;"&amp;INDEX(TF_Akt,MATCH($A52&amp;"|"&amp;AA$5,TF_Dom,0)))&gt;0,AND(IF(AA$9="",0,MAX(0,ROUND((AA$12-SUMIFS(TF_Timer,TF_Nokkel,$A52&amp;"|"&amp;AA$5))*2,0)/2))&gt;0,INDEX(TF_Akt,MATCH($A52&amp;"|"&amp;AA$5,TF_Dom,0))&lt;&gt;"LMS")),"+",""),"?"))))</f>
        <v/>
      </c>
      <c r="AB52" s="13">
        <f>IF(OR($A52="",AB$5=""),"",IF(OR(AND(INDEX(TekFra,35)&gt;0,AB$5&lt;INDEX(TekFra,35)),AND(INDEX(TekTil,35)&gt;0,AB$5&gt;INDEX(TekTil,35))),"",IF(COUNTIFS(TF_Nokkel,$A52&amp;"|"&amp;AB$5)=0,IF(AB$9&lt;&gt;"","LMS",""),IFERROR(IF(SUMIFS(TF_Timer,TF_Nokkel,$A52&amp;"|"&amp;AB$5,TF_Akt,"LMS")+IF(AB$9="",0,MAX(0,ROUND((AB$12-SUMIFS(TF_Timer,TF_Nokkel,$A52&amp;"|"&amp;AB$5))*2,0)/2))&gt;INDEX(TF_AktSum,MATCH($A52&amp;"|"&amp;AB$5,TF_Dom,0)),"LMS",INDEX(AktKode,MATCH(INDEX(TF_Akt,MATCH($A52&amp;"|"&amp;AB$5,TF_Dom,0)),Aktiviteter,0)))&amp;IF(OR(COUNTIFS(TF_Nokkel,$A52&amp;"|"&amp;AB$5,TF_Akt,"&lt;&gt;"&amp;INDEX(TF_Akt,MATCH($A52&amp;"|"&amp;AB$5,TF_Dom,0)))&gt;0,AND(IF(AB$9="",0,MAX(0,ROUND((AB$12-SUMIFS(TF_Timer,TF_Nokkel,$A52&amp;"|"&amp;AB$5))*2,0)/2))&gt;0,INDEX(TF_Akt,MATCH($A52&amp;"|"&amp;AB$5,TF_Dom,0))&lt;&gt;"LMS")),"+",""),"?"))))</f>
        <v/>
      </c>
      <c r="AC52" s="13">
        <f>IF(OR($A52="",AC$5=""),"",IF(OR(AND(INDEX(TekFra,35)&gt;0,AC$5&lt;INDEX(TekFra,35)),AND(INDEX(TekTil,35)&gt;0,AC$5&gt;INDEX(TekTil,35))),"",IF(COUNTIFS(TF_Nokkel,$A52&amp;"|"&amp;AC$5)=0,IF(AC$9&lt;&gt;"","LMS",""),IFERROR(IF(SUMIFS(TF_Timer,TF_Nokkel,$A52&amp;"|"&amp;AC$5,TF_Akt,"LMS")+IF(AC$9="",0,MAX(0,ROUND((AC$12-SUMIFS(TF_Timer,TF_Nokkel,$A52&amp;"|"&amp;AC$5))*2,0)/2))&gt;INDEX(TF_AktSum,MATCH($A52&amp;"|"&amp;AC$5,TF_Dom,0)),"LMS",INDEX(AktKode,MATCH(INDEX(TF_Akt,MATCH($A52&amp;"|"&amp;AC$5,TF_Dom,0)),Aktiviteter,0)))&amp;IF(OR(COUNTIFS(TF_Nokkel,$A52&amp;"|"&amp;AC$5,TF_Akt,"&lt;&gt;"&amp;INDEX(TF_Akt,MATCH($A52&amp;"|"&amp;AC$5,TF_Dom,0)))&gt;0,AND(IF(AC$9="",0,MAX(0,ROUND((AC$12-SUMIFS(TF_Timer,TF_Nokkel,$A52&amp;"|"&amp;AC$5))*2,0)/2))&gt;0,INDEX(TF_Akt,MATCH($A52&amp;"|"&amp;AC$5,TF_Dom,0))&lt;&gt;"LMS")),"+",""),"?"))))</f>
        <v/>
      </c>
      <c r="AD52" s="13">
        <f>IF(OR($A52="",AD$5=""),"",IF(OR(AND(INDEX(TekFra,35)&gt;0,AD$5&lt;INDEX(TekFra,35)),AND(INDEX(TekTil,35)&gt;0,AD$5&gt;INDEX(TekTil,35))),"",IF(COUNTIFS(TF_Nokkel,$A52&amp;"|"&amp;AD$5)=0,IF(AD$9&lt;&gt;"","LMS",""),IFERROR(IF(SUMIFS(TF_Timer,TF_Nokkel,$A52&amp;"|"&amp;AD$5,TF_Akt,"LMS")+IF(AD$9="",0,MAX(0,ROUND((AD$12-SUMIFS(TF_Timer,TF_Nokkel,$A52&amp;"|"&amp;AD$5))*2,0)/2))&gt;INDEX(TF_AktSum,MATCH($A52&amp;"|"&amp;AD$5,TF_Dom,0)),"LMS",INDEX(AktKode,MATCH(INDEX(TF_Akt,MATCH($A52&amp;"|"&amp;AD$5,TF_Dom,0)),Aktiviteter,0)))&amp;IF(OR(COUNTIFS(TF_Nokkel,$A52&amp;"|"&amp;AD$5,TF_Akt,"&lt;&gt;"&amp;INDEX(TF_Akt,MATCH($A52&amp;"|"&amp;AD$5,TF_Dom,0)))&gt;0,AND(IF(AD$9="",0,MAX(0,ROUND((AD$12-SUMIFS(TF_Timer,TF_Nokkel,$A52&amp;"|"&amp;AD$5))*2,0)/2))&gt;0,INDEX(TF_Akt,MATCH($A52&amp;"|"&amp;AD$5,TF_Dom,0))&lt;&gt;"LMS")),"+",""),"?"))))</f>
        <v/>
      </c>
      <c r="AE52" s="13">
        <f>IF(OR($A52="",AE$5=""),"",IF(OR(AND(INDEX(TekFra,35)&gt;0,AE$5&lt;INDEX(TekFra,35)),AND(INDEX(TekTil,35)&gt;0,AE$5&gt;INDEX(TekTil,35))),"",IF(COUNTIFS(TF_Nokkel,$A52&amp;"|"&amp;AE$5)=0,IF(AE$9&lt;&gt;"","LMS",""),IFERROR(IF(SUMIFS(TF_Timer,TF_Nokkel,$A52&amp;"|"&amp;AE$5,TF_Akt,"LMS")+IF(AE$9="",0,MAX(0,ROUND((AE$12-SUMIFS(TF_Timer,TF_Nokkel,$A52&amp;"|"&amp;AE$5))*2,0)/2))&gt;INDEX(TF_AktSum,MATCH($A52&amp;"|"&amp;AE$5,TF_Dom,0)),"LMS",INDEX(AktKode,MATCH(INDEX(TF_Akt,MATCH($A52&amp;"|"&amp;AE$5,TF_Dom,0)),Aktiviteter,0)))&amp;IF(OR(COUNTIFS(TF_Nokkel,$A52&amp;"|"&amp;AE$5,TF_Akt,"&lt;&gt;"&amp;INDEX(TF_Akt,MATCH($A52&amp;"|"&amp;AE$5,TF_Dom,0)))&gt;0,AND(IF(AE$9="",0,MAX(0,ROUND((AE$12-SUMIFS(TF_Timer,TF_Nokkel,$A52&amp;"|"&amp;AE$5))*2,0)/2))&gt;0,INDEX(TF_Akt,MATCH($A52&amp;"|"&amp;AE$5,TF_Dom,0))&lt;&gt;"LMS")),"+",""),"?"))))</f>
        <v/>
      </c>
      <c r="AF52" s="13">
        <f>IF(OR($A52="",AF$5=""),"",IF(OR(AND(INDEX(TekFra,35)&gt;0,AF$5&lt;INDEX(TekFra,35)),AND(INDEX(TekTil,35)&gt;0,AF$5&gt;INDEX(TekTil,35))),"",IF(COUNTIFS(TF_Nokkel,$A52&amp;"|"&amp;AF$5)=0,IF(AF$9&lt;&gt;"","LMS",""),IFERROR(IF(SUMIFS(TF_Timer,TF_Nokkel,$A52&amp;"|"&amp;AF$5,TF_Akt,"LMS")+IF(AF$9="",0,MAX(0,ROUND((AF$12-SUMIFS(TF_Timer,TF_Nokkel,$A52&amp;"|"&amp;AF$5))*2,0)/2))&gt;INDEX(TF_AktSum,MATCH($A52&amp;"|"&amp;AF$5,TF_Dom,0)),"LMS",INDEX(AktKode,MATCH(INDEX(TF_Akt,MATCH($A52&amp;"|"&amp;AF$5,TF_Dom,0)),Aktiviteter,0)))&amp;IF(OR(COUNTIFS(TF_Nokkel,$A52&amp;"|"&amp;AF$5,TF_Akt,"&lt;&gt;"&amp;INDEX(TF_Akt,MATCH($A52&amp;"|"&amp;AF$5,TF_Dom,0)))&gt;0,AND(IF(AF$9="",0,MAX(0,ROUND((AF$12-SUMIFS(TF_Timer,TF_Nokkel,$A52&amp;"|"&amp;AF$5))*2,0)/2))&gt;0,INDEX(TF_Akt,MATCH($A52&amp;"|"&amp;AF$5,TF_Dom,0))&lt;&gt;"LMS")),"+",""),"?"))))</f>
        <v/>
      </c>
      <c r="AG52" s="13">
        <f>IF(OR($A52="",AG$5=""),"",IF(OR(AND(INDEX(TekFra,35)&gt;0,AG$5&lt;INDEX(TekFra,35)),AND(INDEX(TekTil,35)&gt;0,AG$5&gt;INDEX(TekTil,35))),"",IF(COUNTIFS(TF_Nokkel,$A52&amp;"|"&amp;AG$5)=0,IF(AG$9&lt;&gt;"","LMS",""),IFERROR(IF(SUMIFS(TF_Timer,TF_Nokkel,$A52&amp;"|"&amp;AG$5,TF_Akt,"LMS")+IF(AG$9="",0,MAX(0,ROUND((AG$12-SUMIFS(TF_Timer,TF_Nokkel,$A52&amp;"|"&amp;AG$5))*2,0)/2))&gt;INDEX(TF_AktSum,MATCH($A52&amp;"|"&amp;AG$5,TF_Dom,0)),"LMS",INDEX(AktKode,MATCH(INDEX(TF_Akt,MATCH($A52&amp;"|"&amp;AG$5,TF_Dom,0)),Aktiviteter,0)))&amp;IF(OR(COUNTIFS(TF_Nokkel,$A52&amp;"|"&amp;AG$5,TF_Akt,"&lt;&gt;"&amp;INDEX(TF_Akt,MATCH($A52&amp;"|"&amp;AG$5,TF_Dom,0)))&gt;0,AND(IF(AG$9="",0,MAX(0,ROUND((AG$12-SUMIFS(TF_Timer,TF_Nokkel,$A52&amp;"|"&amp;AG$5))*2,0)/2))&gt;0,INDEX(TF_Akt,MATCH($A52&amp;"|"&amp;AG$5,TF_Dom,0))&lt;&gt;"LMS")),"+",""),"?"))))</f>
        <v/>
      </c>
      <c r="AH52" s="2" t="n"/>
      <c r="AI52" s="2" t="n"/>
      <c r="AJ52" s="2" t="n"/>
    </row>
    <row r="53">
      <c r="A53" s="2">
        <f>INDEX(Teknikere,36)&amp;""</f>
        <v/>
      </c>
      <c r="B53" s="12">
        <f>IF(INDEX(TekFra,36)&gt;0,"ekstra","")</f>
        <v/>
      </c>
      <c r="C53" s="13">
        <f>IF(OR($A53="",C$5=""),"",IF(OR(AND(INDEX(TekFra,36)&gt;0,C$5&lt;INDEX(TekFra,36)),AND(INDEX(TekTil,36)&gt;0,C$5&gt;INDEX(TekTil,36))),"",IF(COUNTIFS(TF_Nokkel,$A53&amp;"|"&amp;C$5)=0,IF(C$9&lt;&gt;"","LMS",""),IFERROR(IF(SUMIFS(TF_Timer,TF_Nokkel,$A53&amp;"|"&amp;C$5,TF_Akt,"LMS")+IF(C$9="",0,MAX(0,ROUND((C$12-SUMIFS(TF_Timer,TF_Nokkel,$A53&amp;"|"&amp;C$5))*2,0)/2))&gt;INDEX(TF_AktSum,MATCH($A53&amp;"|"&amp;C$5,TF_Dom,0)),"LMS",INDEX(AktKode,MATCH(INDEX(TF_Akt,MATCH($A53&amp;"|"&amp;C$5,TF_Dom,0)),Aktiviteter,0)))&amp;IF(OR(COUNTIFS(TF_Nokkel,$A53&amp;"|"&amp;C$5,TF_Akt,"&lt;&gt;"&amp;INDEX(TF_Akt,MATCH($A53&amp;"|"&amp;C$5,TF_Dom,0)))&gt;0,AND(IF(C$9="",0,MAX(0,ROUND((C$12-SUMIFS(TF_Timer,TF_Nokkel,$A53&amp;"|"&amp;C$5))*2,0)/2))&gt;0,INDEX(TF_Akt,MATCH($A53&amp;"|"&amp;C$5,TF_Dom,0))&lt;&gt;"LMS")),"+",""),"?"))))</f>
        <v/>
      </c>
      <c r="D53" s="13">
        <f>IF(OR($A53="",D$5=""),"",IF(OR(AND(INDEX(TekFra,36)&gt;0,D$5&lt;INDEX(TekFra,36)),AND(INDEX(TekTil,36)&gt;0,D$5&gt;INDEX(TekTil,36))),"",IF(COUNTIFS(TF_Nokkel,$A53&amp;"|"&amp;D$5)=0,IF(D$9&lt;&gt;"","LMS",""),IFERROR(IF(SUMIFS(TF_Timer,TF_Nokkel,$A53&amp;"|"&amp;D$5,TF_Akt,"LMS")+IF(D$9="",0,MAX(0,ROUND((D$12-SUMIFS(TF_Timer,TF_Nokkel,$A53&amp;"|"&amp;D$5))*2,0)/2))&gt;INDEX(TF_AktSum,MATCH($A53&amp;"|"&amp;D$5,TF_Dom,0)),"LMS",INDEX(AktKode,MATCH(INDEX(TF_Akt,MATCH($A53&amp;"|"&amp;D$5,TF_Dom,0)),Aktiviteter,0)))&amp;IF(OR(COUNTIFS(TF_Nokkel,$A53&amp;"|"&amp;D$5,TF_Akt,"&lt;&gt;"&amp;INDEX(TF_Akt,MATCH($A53&amp;"|"&amp;D$5,TF_Dom,0)))&gt;0,AND(IF(D$9="",0,MAX(0,ROUND((D$12-SUMIFS(TF_Timer,TF_Nokkel,$A53&amp;"|"&amp;D$5))*2,0)/2))&gt;0,INDEX(TF_Akt,MATCH($A53&amp;"|"&amp;D$5,TF_Dom,0))&lt;&gt;"LMS")),"+",""),"?"))))</f>
        <v/>
      </c>
      <c r="E53" s="13">
        <f>IF(OR($A53="",E$5=""),"",IF(OR(AND(INDEX(TekFra,36)&gt;0,E$5&lt;INDEX(TekFra,36)),AND(INDEX(TekTil,36)&gt;0,E$5&gt;INDEX(TekTil,36))),"",IF(COUNTIFS(TF_Nokkel,$A53&amp;"|"&amp;E$5)=0,IF(E$9&lt;&gt;"","LMS",""),IFERROR(IF(SUMIFS(TF_Timer,TF_Nokkel,$A53&amp;"|"&amp;E$5,TF_Akt,"LMS")+IF(E$9="",0,MAX(0,ROUND((E$12-SUMIFS(TF_Timer,TF_Nokkel,$A53&amp;"|"&amp;E$5))*2,0)/2))&gt;INDEX(TF_AktSum,MATCH($A53&amp;"|"&amp;E$5,TF_Dom,0)),"LMS",INDEX(AktKode,MATCH(INDEX(TF_Akt,MATCH($A53&amp;"|"&amp;E$5,TF_Dom,0)),Aktiviteter,0)))&amp;IF(OR(COUNTIFS(TF_Nokkel,$A53&amp;"|"&amp;E$5,TF_Akt,"&lt;&gt;"&amp;INDEX(TF_Akt,MATCH($A53&amp;"|"&amp;E$5,TF_Dom,0)))&gt;0,AND(IF(E$9="",0,MAX(0,ROUND((E$12-SUMIFS(TF_Timer,TF_Nokkel,$A53&amp;"|"&amp;E$5))*2,0)/2))&gt;0,INDEX(TF_Akt,MATCH($A53&amp;"|"&amp;E$5,TF_Dom,0))&lt;&gt;"LMS")),"+",""),"?"))))</f>
        <v/>
      </c>
      <c r="F53" s="13">
        <f>IF(OR($A53="",F$5=""),"",IF(OR(AND(INDEX(TekFra,36)&gt;0,F$5&lt;INDEX(TekFra,36)),AND(INDEX(TekTil,36)&gt;0,F$5&gt;INDEX(TekTil,36))),"",IF(COUNTIFS(TF_Nokkel,$A53&amp;"|"&amp;F$5)=0,IF(F$9&lt;&gt;"","LMS",""),IFERROR(IF(SUMIFS(TF_Timer,TF_Nokkel,$A53&amp;"|"&amp;F$5,TF_Akt,"LMS")+IF(F$9="",0,MAX(0,ROUND((F$12-SUMIFS(TF_Timer,TF_Nokkel,$A53&amp;"|"&amp;F$5))*2,0)/2))&gt;INDEX(TF_AktSum,MATCH($A53&amp;"|"&amp;F$5,TF_Dom,0)),"LMS",INDEX(AktKode,MATCH(INDEX(TF_Akt,MATCH($A53&amp;"|"&amp;F$5,TF_Dom,0)),Aktiviteter,0)))&amp;IF(OR(COUNTIFS(TF_Nokkel,$A53&amp;"|"&amp;F$5,TF_Akt,"&lt;&gt;"&amp;INDEX(TF_Akt,MATCH($A53&amp;"|"&amp;F$5,TF_Dom,0)))&gt;0,AND(IF(F$9="",0,MAX(0,ROUND((F$12-SUMIFS(TF_Timer,TF_Nokkel,$A53&amp;"|"&amp;F$5))*2,0)/2))&gt;0,INDEX(TF_Akt,MATCH($A53&amp;"|"&amp;F$5,TF_Dom,0))&lt;&gt;"LMS")),"+",""),"?"))))</f>
        <v/>
      </c>
      <c r="G53" s="13">
        <f>IF(OR($A53="",G$5=""),"",IF(OR(AND(INDEX(TekFra,36)&gt;0,G$5&lt;INDEX(TekFra,36)),AND(INDEX(TekTil,36)&gt;0,G$5&gt;INDEX(TekTil,36))),"",IF(COUNTIFS(TF_Nokkel,$A53&amp;"|"&amp;G$5)=0,IF(G$9&lt;&gt;"","LMS",""),IFERROR(IF(SUMIFS(TF_Timer,TF_Nokkel,$A53&amp;"|"&amp;G$5,TF_Akt,"LMS")+IF(G$9="",0,MAX(0,ROUND((G$12-SUMIFS(TF_Timer,TF_Nokkel,$A53&amp;"|"&amp;G$5))*2,0)/2))&gt;INDEX(TF_AktSum,MATCH($A53&amp;"|"&amp;G$5,TF_Dom,0)),"LMS",INDEX(AktKode,MATCH(INDEX(TF_Akt,MATCH($A53&amp;"|"&amp;G$5,TF_Dom,0)),Aktiviteter,0)))&amp;IF(OR(COUNTIFS(TF_Nokkel,$A53&amp;"|"&amp;G$5,TF_Akt,"&lt;&gt;"&amp;INDEX(TF_Akt,MATCH($A53&amp;"|"&amp;G$5,TF_Dom,0)))&gt;0,AND(IF(G$9="",0,MAX(0,ROUND((G$12-SUMIFS(TF_Timer,TF_Nokkel,$A53&amp;"|"&amp;G$5))*2,0)/2))&gt;0,INDEX(TF_Akt,MATCH($A53&amp;"|"&amp;G$5,TF_Dom,0))&lt;&gt;"LMS")),"+",""),"?"))))</f>
        <v/>
      </c>
      <c r="H53" s="13">
        <f>IF(OR($A53="",H$5=""),"",IF(OR(AND(INDEX(TekFra,36)&gt;0,H$5&lt;INDEX(TekFra,36)),AND(INDEX(TekTil,36)&gt;0,H$5&gt;INDEX(TekTil,36))),"",IF(COUNTIFS(TF_Nokkel,$A53&amp;"|"&amp;H$5)=0,IF(H$9&lt;&gt;"","LMS",""),IFERROR(IF(SUMIFS(TF_Timer,TF_Nokkel,$A53&amp;"|"&amp;H$5,TF_Akt,"LMS")+IF(H$9="",0,MAX(0,ROUND((H$12-SUMIFS(TF_Timer,TF_Nokkel,$A53&amp;"|"&amp;H$5))*2,0)/2))&gt;INDEX(TF_AktSum,MATCH($A53&amp;"|"&amp;H$5,TF_Dom,0)),"LMS",INDEX(AktKode,MATCH(INDEX(TF_Akt,MATCH($A53&amp;"|"&amp;H$5,TF_Dom,0)),Aktiviteter,0)))&amp;IF(OR(COUNTIFS(TF_Nokkel,$A53&amp;"|"&amp;H$5,TF_Akt,"&lt;&gt;"&amp;INDEX(TF_Akt,MATCH($A53&amp;"|"&amp;H$5,TF_Dom,0)))&gt;0,AND(IF(H$9="",0,MAX(0,ROUND((H$12-SUMIFS(TF_Timer,TF_Nokkel,$A53&amp;"|"&amp;H$5))*2,0)/2))&gt;0,INDEX(TF_Akt,MATCH($A53&amp;"|"&amp;H$5,TF_Dom,0))&lt;&gt;"LMS")),"+",""),"?"))))</f>
        <v/>
      </c>
      <c r="I53" s="13">
        <f>IF(OR($A53="",I$5=""),"",IF(OR(AND(INDEX(TekFra,36)&gt;0,I$5&lt;INDEX(TekFra,36)),AND(INDEX(TekTil,36)&gt;0,I$5&gt;INDEX(TekTil,36))),"",IF(COUNTIFS(TF_Nokkel,$A53&amp;"|"&amp;I$5)=0,IF(I$9&lt;&gt;"","LMS",""),IFERROR(IF(SUMIFS(TF_Timer,TF_Nokkel,$A53&amp;"|"&amp;I$5,TF_Akt,"LMS")+IF(I$9="",0,MAX(0,ROUND((I$12-SUMIFS(TF_Timer,TF_Nokkel,$A53&amp;"|"&amp;I$5))*2,0)/2))&gt;INDEX(TF_AktSum,MATCH($A53&amp;"|"&amp;I$5,TF_Dom,0)),"LMS",INDEX(AktKode,MATCH(INDEX(TF_Akt,MATCH($A53&amp;"|"&amp;I$5,TF_Dom,0)),Aktiviteter,0)))&amp;IF(OR(COUNTIFS(TF_Nokkel,$A53&amp;"|"&amp;I$5,TF_Akt,"&lt;&gt;"&amp;INDEX(TF_Akt,MATCH($A53&amp;"|"&amp;I$5,TF_Dom,0)))&gt;0,AND(IF(I$9="",0,MAX(0,ROUND((I$12-SUMIFS(TF_Timer,TF_Nokkel,$A53&amp;"|"&amp;I$5))*2,0)/2))&gt;0,INDEX(TF_Akt,MATCH($A53&amp;"|"&amp;I$5,TF_Dom,0))&lt;&gt;"LMS")),"+",""),"?"))))</f>
        <v/>
      </c>
      <c r="J53" s="13">
        <f>IF(OR($A53="",J$5=""),"",IF(OR(AND(INDEX(TekFra,36)&gt;0,J$5&lt;INDEX(TekFra,36)),AND(INDEX(TekTil,36)&gt;0,J$5&gt;INDEX(TekTil,36))),"",IF(COUNTIFS(TF_Nokkel,$A53&amp;"|"&amp;J$5)=0,IF(J$9&lt;&gt;"","LMS",""),IFERROR(IF(SUMIFS(TF_Timer,TF_Nokkel,$A53&amp;"|"&amp;J$5,TF_Akt,"LMS")+IF(J$9="",0,MAX(0,ROUND((J$12-SUMIFS(TF_Timer,TF_Nokkel,$A53&amp;"|"&amp;J$5))*2,0)/2))&gt;INDEX(TF_AktSum,MATCH($A53&amp;"|"&amp;J$5,TF_Dom,0)),"LMS",INDEX(AktKode,MATCH(INDEX(TF_Akt,MATCH($A53&amp;"|"&amp;J$5,TF_Dom,0)),Aktiviteter,0)))&amp;IF(OR(COUNTIFS(TF_Nokkel,$A53&amp;"|"&amp;J$5,TF_Akt,"&lt;&gt;"&amp;INDEX(TF_Akt,MATCH($A53&amp;"|"&amp;J$5,TF_Dom,0)))&gt;0,AND(IF(J$9="",0,MAX(0,ROUND((J$12-SUMIFS(TF_Timer,TF_Nokkel,$A53&amp;"|"&amp;J$5))*2,0)/2))&gt;0,INDEX(TF_Akt,MATCH($A53&amp;"|"&amp;J$5,TF_Dom,0))&lt;&gt;"LMS")),"+",""),"?"))))</f>
        <v/>
      </c>
      <c r="K53" s="13">
        <f>IF(OR($A53="",K$5=""),"",IF(OR(AND(INDEX(TekFra,36)&gt;0,K$5&lt;INDEX(TekFra,36)),AND(INDEX(TekTil,36)&gt;0,K$5&gt;INDEX(TekTil,36))),"",IF(COUNTIFS(TF_Nokkel,$A53&amp;"|"&amp;K$5)=0,IF(K$9&lt;&gt;"","LMS",""),IFERROR(IF(SUMIFS(TF_Timer,TF_Nokkel,$A53&amp;"|"&amp;K$5,TF_Akt,"LMS")+IF(K$9="",0,MAX(0,ROUND((K$12-SUMIFS(TF_Timer,TF_Nokkel,$A53&amp;"|"&amp;K$5))*2,0)/2))&gt;INDEX(TF_AktSum,MATCH($A53&amp;"|"&amp;K$5,TF_Dom,0)),"LMS",INDEX(AktKode,MATCH(INDEX(TF_Akt,MATCH($A53&amp;"|"&amp;K$5,TF_Dom,0)),Aktiviteter,0)))&amp;IF(OR(COUNTIFS(TF_Nokkel,$A53&amp;"|"&amp;K$5,TF_Akt,"&lt;&gt;"&amp;INDEX(TF_Akt,MATCH($A53&amp;"|"&amp;K$5,TF_Dom,0)))&gt;0,AND(IF(K$9="",0,MAX(0,ROUND((K$12-SUMIFS(TF_Timer,TF_Nokkel,$A53&amp;"|"&amp;K$5))*2,0)/2))&gt;0,INDEX(TF_Akt,MATCH($A53&amp;"|"&amp;K$5,TF_Dom,0))&lt;&gt;"LMS")),"+",""),"?"))))</f>
        <v/>
      </c>
      <c r="L53" s="13">
        <f>IF(OR($A53="",L$5=""),"",IF(OR(AND(INDEX(TekFra,36)&gt;0,L$5&lt;INDEX(TekFra,36)),AND(INDEX(TekTil,36)&gt;0,L$5&gt;INDEX(TekTil,36))),"",IF(COUNTIFS(TF_Nokkel,$A53&amp;"|"&amp;L$5)=0,IF(L$9&lt;&gt;"","LMS",""),IFERROR(IF(SUMIFS(TF_Timer,TF_Nokkel,$A53&amp;"|"&amp;L$5,TF_Akt,"LMS")+IF(L$9="",0,MAX(0,ROUND((L$12-SUMIFS(TF_Timer,TF_Nokkel,$A53&amp;"|"&amp;L$5))*2,0)/2))&gt;INDEX(TF_AktSum,MATCH($A53&amp;"|"&amp;L$5,TF_Dom,0)),"LMS",INDEX(AktKode,MATCH(INDEX(TF_Akt,MATCH($A53&amp;"|"&amp;L$5,TF_Dom,0)),Aktiviteter,0)))&amp;IF(OR(COUNTIFS(TF_Nokkel,$A53&amp;"|"&amp;L$5,TF_Akt,"&lt;&gt;"&amp;INDEX(TF_Akt,MATCH($A53&amp;"|"&amp;L$5,TF_Dom,0)))&gt;0,AND(IF(L$9="",0,MAX(0,ROUND((L$12-SUMIFS(TF_Timer,TF_Nokkel,$A53&amp;"|"&amp;L$5))*2,0)/2))&gt;0,INDEX(TF_Akt,MATCH($A53&amp;"|"&amp;L$5,TF_Dom,0))&lt;&gt;"LMS")),"+",""),"?"))))</f>
        <v/>
      </c>
      <c r="M53" s="13">
        <f>IF(OR($A53="",M$5=""),"",IF(OR(AND(INDEX(TekFra,36)&gt;0,M$5&lt;INDEX(TekFra,36)),AND(INDEX(TekTil,36)&gt;0,M$5&gt;INDEX(TekTil,36))),"",IF(COUNTIFS(TF_Nokkel,$A53&amp;"|"&amp;M$5)=0,IF(M$9&lt;&gt;"","LMS",""),IFERROR(IF(SUMIFS(TF_Timer,TF_Nokkel,$A53&amp;"|"&amp;M$5,TF_Akt,"LMS")+IF(M$9="",0,MAX(0,ROUND((M$12-SUMIFS(TF_Timer,TF_Nokkel,$A53&amp;"|"&amp;M$5))*2,0)/2))&gt;INDEX(TF_AktSum,MATCH($A53&amp;"|"&amp;M$5,TF_Dom,0)),"LMS",INDEX(AktKode,MATCH(INDEX(TF_Akt,MATCH($A53&amp;"|"&amp;M$5,TF_Dom,0)),Aktiviteter,0)))&amp;IF(OR(COUNTIFS(TF_Nokkel,$A53&amp;"|"&amp;M$5,TF_Akt,"&lt;&gt;"&amp;INDEX(TF_Akt,MATCH($A53&amp;"|"&amp;M$5,TF_Dom,0)))&gt;0,AND(IF(M$9="",0,MAX(0,ROUND((M$12-SUMIFS(TF_Timer,TF_Nokkel,$A53&amp;"|"&amp;M$5))*2,0)/2))&gt;0,INDEX(TF_Akt,MATCH($A53&amp;"|"&amp;M$5,TF_Dom,0))&lt;&gt;"LMS")),"+",""),"?"))))</f>
        <v/>
      </c>
      <c r="N53" s="13">
        <f>IF(OR($A53="",N$5=""),"",IF(OR(AND(INDEX(TekFra,36)&gt;0,N$5&lt;INDEX(TekFra,36)),AND(INDEX(TekTil,36)&gt;0,N$5&gt;INDEX(TekTil,36))),"",IF(COUNTIFS(TF_Nokkel,$A53&amp;"|"&amp;N$5)=0,IF(N$9&lt;&gt;"","LMS",""),IFERROR(IF(SUMIFS(TF_Timer,TF_Nokkel,$A53&amp;"|"&amp;N$5,TF_Akt,"LMS")+IF(N$9="",0,MAX(0,ROUND((N$12-SUMIFS(TF_Timer,TF_Nokkel,$A53&amp;"|"&amp;N$5))*2,0)/2))&gt;INDEX(TF_AktSum,MATCH($A53&amp;"|"&amp;N$5,TF_Dom,0)),"LMS",INDEX(AktKode,MATCH(INDEX(TF_Akt,MATCH($A53&amp;"|"&amp;N$5,TF_Dom,0)),Aktiviteter,0)))&amp;IF(OR(COUNTIFS(TF_Nokkel,$A53&amp;"|"&amp;N$5,TF_Akt,"&lt;&gt;"&amp;INDEX(TF_Akt,MATCH($A53&amp;"|"&amp;N$5,TF_Dom,0)))&gt;0,AND(IF(N$9="",0,MAX(0,ROUND((N$12-SUMIFS(TF_Timer,TF_Nokkel,$A53&amp;"|"&amp;N$5))*2,0)/2))&gt;0,INDEX(TF_Akt,MATCH($A53&amp;"|"&amp;N$5,TF_Dom,0))&lt;&gt;"LMS")),"+",""),"?"))))</f>
        <v/>
      </c>
      <c r="O53" s="13">
        <f>IF(OR($A53="",O$5=""),"",IF(OR(AND(INDEX(TekFra,36)&gt;0,O$5&lt;INDEX(TekFra,36)),AND(INDEX(TekTil,36)&gt;0,O$5&gt;INDEX(TekTil,36))),"",IF(COUNTIFS(TF_Nokkel,$A53&amp;"|"&amp;O$5)=0,IF(O$9&lt;&gt;"","LMS",""),IFERROR(IF(SUMIFS(TF_Timer,TF_Nokkel,$A53&amp;"|"&amp;O$5,TF_Akt,"LMS")+IF(O$9="",0,MAX(0,ROUND((O$12-SUMIFS(TF_Timer,TF_Nokkel,$A53&amp;"|"&amp;O$5))*2,0)/2))&gt;INDEX(TF_AktSum,MATCH($A53&amp;"|"&amp;O$5,TF_Dom,0)),"LMS",INDEX(AktKode,MATCH(INDEX(TF_Akt,MATCH($A53&amp;"|"&amp;O$5,TF_Dom,0)),Aktiviteter,0)))&amp;IF(OR(COUNTIFS(TF_Nokkel,$A53&amp;"|"&amp;O$5,TF_Akt,"&lt;&gt;"&amp;INDEX(TF_Akt,MATCH($A53&amp;"|"&amp;O$5,TF_Dom,0)))&gt;0,AND(IF(O$9="",0,MAX(0,ROUND((O$12-SUMIFS(TF_Timer,TF_Nokkel,$A53&amp;"|"&amp;O$5))*2,0)/2))&gt;0,INDEX(TF_Akt,MATCH($A53&amp;"|"&amp;O$5,TF_Dom,0))&lt;&gt;"LMS")),"+",""),"?"))))</f>
        <v/>
      </c>
      <c r="P53" s="13">
        <f>IF(OR($A53="",P$5=""),"",IF(OR(AND(INDEX(TekFra,36)&gt;0,P$5&lt;INDEX(TekFra,36)),AND(INDEX(TekTil,36)&gt;0,P$5&gt;INDEX(TekTil,36))),"",IF(COUNTIFS(TF_Nokkel,$A53&amp;"|"&amp;P$5)=0,IF(P$9&lt;&gt;"","LMS",""),IFERROR(IF(SUMIFS(TF_Timer,TF_Nokkel,$A53&amp;"|"&amp;P$5,TF_Akt,"LMS")+IF(P$9="",0,MAX(0,ROUND((P$12-SUMIFS(TF_Timer,TF_Nokkel,$A53&amp;"|"&amp;P$5))*2,0)/2))&gt;INDEX(TF_AktSum,MATCH($A53&amp;"|"&amp;P$5,TF_Dom,0)),"LMS",INDEX(AktKode,MATCH(INDEX(TF_Akt,MATCH($A53&amp;"|"&amp;P$5,TF_Dom,0)),Aktiviteter,0)))&amp;IF(OR(COUNTIFS(TF_Nokkel,$A53&amp;"|"&amp;P$5,TF_Akt,"&lt;&gt;"&amp;INDEX(TF_Akt,MATCH($A53&amp;"|"&amp;P$5,TF_Dom,0)))&gt;0,AND(IF(P$9="",0,MAX(0,ROUND((P$12-SUMIFS(TF_Timer,TF_Nokkel,$A53&amp;"|"&amp;P$5))*2,0)/2))&gt;0,INDEX(TF_Akt,MATCH($A53&amp;"|"&amp;P$5,TF_Dom,0))&lt;&gt;"LMS")),"+",""),"?"))))</f>
        <v/>
      </c>
      <c r="Q53" s="13">
        <f>IF(OR($A53="",Q$5=""),"",IF(OR(AND(INDEX(TekFra,36)&gt;0,Q$5&lt;INDEX(TekFra,36)),AND(INDEX(TekTil,36)&gt;0,Q$5&gt;INDEX(TekTil,36))),"",IF(COUNTIFS(TF_Nokkel,$A53&amp;"|"&amp;Q$5)=0,IF(Q$9&lt;&gt;"","LMS",""),IFERROR(IF(SUMIFS(TF_Timer,TF_Nokkel,$A53&amp;"|"&amp;Q$5,TF_Akt,"LMS")+IF(Q$9="",0,MAX(0,ROUND((Q$12-SUMIFS(TF_Timer,TF_Nokkel,$A53&amp;"|"&amp;Q$5))*2,0)/2))&gt;INDEX(TF_AktSum,MATCH($A53&amp;"|"&amp;Q$5,TF_Dom,0)),"LMS",INDEX(AktKode,MATCH(INDEX(TF_Akt,MATCH($A53&amp;"|"&amp;Q$5,TF_Dom,0)),Aktiviteter,0)))&amp;IF(OR(COUNTIFS(TF_Nokkel,$A53&amp;"|"&amp;Q$5,TF_Akt,"&lt;&gt;"&amp;INDEX(TF_Akt,MATCH($A53&amp;"|"&amp;Q$5,TF_Dom,0)))&gt;0,AND(IF(Q$9="",0,MAX(0,ROUND((Q$12-SUMIFS(TF_Timer,TF_Nokkel,$A53&amp;"|"&amp;Q$5))*2,0)/2))&gt;0,INDEX(TF_Akt,MATCH($A53&amp;"|"&amp;Q$5,TF_Dom,0))&lt;&gt;"LMS")),"+",""),"?"))))</f>
        <v/>
      </c>
      <c r="R53" s="13">
        <f>IF(OR($A53="",R$5=""),"",IF(OR(AND(INDEX(TekFra,36)&gt;0,R$5&lt;INDEX(TekFra,36)),AND(INDEX(TekTil,36)&gt;0,R$5&gt;INDEX(TekTil,36))),"",IF(COUNTIFS(TF_Nokkel,$A53&amp;"|"&amp;R$5)=0,IF(R$9&lt;&gt;"","LMS",""),IFERROR(IF(SUMIFS(TF_Timer,TF_Nokkel,$A53&amp;"|"&amp;R$5,TF_Akt,"LMS")+IF(R$9="",0,MAX(0,ROUND((R$12-SUMIFS(TF_Timer,TF_Nokkel,$A53&amp;"|"&amp;R$5))*2,0)/2))&gt;INDEX(TF_AktSum,MATCH($A53&amp;"|"&amp;R$5,TF_Dom,0)),"LMS",INDEX(AktKode,MATCH(INDEX(TF_Akt,MATCH($A53&amp;"|"&amp;R$5,TF_Dom,0)),Aktiviteter,0)))&amp;IF(OR(COUNTIFS(TF_Nokkel,$A53&amp;"|"&amp;R$5,TF_Akt,"&lt;&gt;"&amp;INDEX(TF_Akt,MATCH($A53&amp;"|"&amp;R$5,TF_Dom,0)))&gt;0,AND(IF(R$9="",0,MAX(0,ROUND((R$12-SUMIFS(TF_Timer,TF_Nokkel,$A53&amp;"|"&amp;R$5))*2,0)/2))&gt;0,INDEX(TF_Akt,MATCH($A53&amp;"|"&amp;R$5,TF_Dom,0))&lt;&gt;"LMS")),"+",""),"?"))))</f>
        <v/>
      </c>
      <c r="S53" s="13">
        <f>IF(OR($A53="",S$5=""),"",IF(OR(AND(INDEX(TekFra,36)&gt;0,S$5&lt;INDEX(TekFra,36)),AND(INDEX(TekTil,36)&gt;0,S$5&gt;INDEX(TekTil,36))),"",IF(COUNTIFS(TF_Nokkel,$A53&amp;"|"&amp;S$5)=0,IF(S$9&lt;&gt;"","LMS",""),IFERROR(IF(SUMIFS(TF_Timer,TF_Nokkel,$A53&amp;"|"&amp;S$5,TF_Akt,"LMS")+IF(S$9="",0,MAX(0,ROUND((S$12-SUMIFS(TF_Timer,TF_Nokkel,$A53&amp;"|"&amp;S$5))*2,0)/2))&gt;INDEX(TF_AktSum,MATCH($A53&amp;"|"&amp;S$5,TF_Dom,0)),"LMS",INDEX(AktKode,MATCH(INDEX(TF_Akt,MATCH($A53&amp;"|"&amp;S$5,TF_Dom,0)),Aktiviteter,0)))&amp;IF(OR(COUNTIFS(TF_Nokkel,$A53&amp;"|"&amp;S$5,TF_Akt,"&lt;&gt;"&amp;INDEX(TF_Akt,MATCH($A53&amp;"|"&amp;S$5,TF_Dom,0)))&gt;0,AND(IF(S$9="",0,MAX(0,ROUND((S$12-SUMIFS(TF_Timer,TF_Nokkel,$A53&amp;"|"&amp;S$5))*2,0)/2))&gt;0,INDEX(TF_Akt,MATCH($A53&amp;"|"&amp;S$5,TF_Dom,0))&lt;&gt;"LMS")),"+",""),"?"))))</f>
        <v/>
      </c>
      <c r="T53" s="13">
        <f>IF(OR($A53="",T$5=""),"",IF(OR(AND(INDEX(TekFra,36)&gt;0,T$5&lt;INDEX(TekFra,36)),AND(INDEX(TekTil,36)&gt;0,T$5&gt;INDEX(TekTil,36))),"",IF(COUNTIFS(TF_Nokkel,$A53&amp;"|"&amp;T$5)=0,IF(T$9&lt;&gt;"","LMS",""),IFERROR(IF(SUMIFS(TF_Timer,TF_Nokkel,$A53&amp;"|"&amp;T$5,TF_Akt,"LMS")+IF(T$9="",0,MAX(0,ROUND((T$12-SUMIFS(TF_Timer,TF_Nokkel,$A53&amp;"|"&amp;T$5))*2,0)/2))&gt;INDEX(TF_AktSum,MATCH($A53&amp;"|"&amp;T$5,TF_Dom,0)),"LMS",INDEX(AktKode,MATCH(INDEX(TF_Akt,MATCH($A53&amp;"|"&amp;T$5,TF_Dom,0)),Aktiviteter,0)))&amp;IF(OR(COUNTIFS(TF_Nokkel,$A53&amp;"|"&amp;T$5,TF_Akt,"&lt;&gt;"&amp;INDEX(TF_Akt,MATCH($A53&amp;"|"&amp;T$5,TF_Dom,0)))&gt;0,AND(IF(T$9="",0,MAX(0,ROUND((T$12-SUMIFS(TF_Timer,TF_Nokkel,$A53&amp;"|"&amp;T$5))*2,0)/2))&gt;0,INDEX(TF_Akt,MATCH($A53&amp;"|"&amp;T$5,TF_Dom,0))&lt;&gt;"LMS")),"+",""),"?"))))</f>
        <v/>
      </c>
      <c r="U53" s="13">
        <f>IF(OR($A53="",U$5=""),"",IF(OR(AND(INDEX(TekFra,36)&gt;0,U$5&lt;INDEX(TekFra,36)),AND(INDEX(TekTil,36)&gt;0,U$5&gt;INDEX(TekTil,36))),"",IF(COUNTIFS(TF_Nokkel,$A53&amp;"|"&amp;U$5)=0,IF(U$9&lt;&gt;"","LMS",""),IFERROR(IF(SUMIFS(TF_Timer,TF_Nokkel,$A53&amp;"|"&amp;U$5,TF_Akt,"LMS")+IF(U$9="",0,MAX(0,ROUND((U$12-SUMIFS(TF_Timer,TF_Nokkel,$A53&amp;"|"&amp;U$5))*2,0)/2))&gt;INDEX(TF_AktSum,MATCH($A53&amp;"|"&amp;U$5,TF_Dom,0)),"LMS",INDEX(AktKode,MATCH(INDEX(TF_Akt,MATCH($A53&amp;"|"&amp;U$5,TF_Dom,0)),Aktiviteter,0)))&amp;IF(OR(COUNTIFS(TF_Nokkel,$A53&amp;"|"&amp;U$5,TF_Akt,"&lt;&gt;"&amp;INDEX(TF_Akt,MATCH($A53&amp;"|"&amp;U$5,TF_Dom,0)))&gt;0,AND(IF(U$9="",0,MAX(0,ROUND((U$12-SUMIFS(TF_Timer,TF_Nokkel,$A53&amp;"|"&amp;U$5))*2,0)/2))&gt;0,INDEX(TF_Akt,MATCH($A53&amp;"|"&amp;U$5,TF_Dom,0))&lt;&gt;"LMS")),"+",""),"?"))))</f>
        <v/>
      </c>
      <c r="V53" s="13">
        <f>IF(OR($A53="",V$5=""),"",IF(OR(AND(INDEX(TekFra,36)&gt;0,V$5&lt;INDEX(TekFra,36)),AND(INDEX(TekTil,36)&gt;0,V$5&gt;INDEX(TekTil,36))),"",IF(COUNTIFS(TF_Nokkel,$A53&amp;"|"&amp;V$5)=0,IF(V$9&lt;&gt;"","LMS",""),IFERROR(IF(SUMIFS(TF_Timer,TF_Nokkel,$A53&amp;"|"&amp;V$5,TF_Akt,"LMS")+IF(V$9="",0,MAX(0,ROUND((V$12-SUMIFS(TF_Timer,TF_Nokkel,$A53&amp;"|"&amp;V$5))*2,0)/2))&gt;INDEX(TF_AktSum,MATCH($A53&amp;"|"&amp;V$5,TF_Dom,0)),"LMS",INDEX(AktKode,MATCH(INDEX(TF_Akt,MATCH($A53&amp;"|"&amp;V$5,TF_Dom,0)),Aktiviteter,0)))&amp;IF(OR(COUNTIFS(TF_Nokkel,$A53&amp;"|"&amp;V$5,TF_Akt,"&lt;&gt;"&amp;INDEX(TF_Akt,MATCH($A53&amp;"|"&amp;V$5,TF_Dom,0)))&gt;0,AND(IF(V$9="",0,MAX(0,ROUND((V$12-SUMIFS(TF_Timer,TF_Nokkel,$A53&amp;"|"&amp;V$5))*2,0)/2))&gt;0,INDEX(TF_Akt,MATCH($A53&amp;"|"&amp;V$5,TF_Dom,0))&lt;&gt;"LMS")),"+",""),"?"))))</f>
        <v/>
      </c>
      <c r="W53" s="13">
        <f>IF(OR($A53="",W$5=""),"",IF(OR(AND(INDEX(TekFra,36)&gt;0,W$5&lt;INDEX(TekFra,36)),AND(INDEX(TekTil,36)&gt;0,W$5&gt;INDEX(TekTil,36))),"",IF(COUNTIFS(TF_Nokkel,$A53&amp;"|"&amp;W$5)=0,IF(W$9&lt;&gt;"","LMS",""),IFERROR(IF(SUMIFS(TF_Timer,TF_Nokkel,$A53&amp;"|"&amp;W$5,TF_Akt,"LMS")+IF(W$9="",0,MAX(0,ROUND((W$12-SUMIFS(TF_Timer,TF_Nokkel,$A53&amp;"|"&amp;W$5))*2,0)/2))&gt;INDEX(TF_AktSum,MATCH($A53&amp;"|"&amp;W$5,TF_Dom,0)),"LMS",INDEX(AktKode,MATCH(INDEX(TF_Akt,MATCH($A53&amp;"|"&amp;W$5,TF_Dom,0)),Aktiviteter,0)))&amp;IF(OR(COUNTIFS(TF_Nokkel,$A53&amp;"|"&amp;W$5,TF_Akt,"&lt;&gt;"&amp;INDEX(TF_Akt,MATCH($A53&amp;"|"&amp;W$5,TF_Dom,0)))&gt;0,AND(IF(W$9="",0,MAX(0,ROUND((W$12-SUMIFS(TF_Timer,TF_Nokkel,$A53&amp;"|"&amp;W$5))*2,0)/2))&gt;0,INDEX(TF_Akt,MATCH($A53&amp;"|"&amp;W$5,TF_Dom,0))&lt;&gt;"LMS")),"+",""),"?"))))</f>
        <v/>
      </c>
      <c r="X53" s="13">
        <f>IF(OR($A53="",X$5=""),"",IF(OR(AND(INDEX(TekFra,36)&gt;0,X$5&lt;INDEX(TekFra,36)),AND(INDEX(TekTil,36)&gt;0,X$5&gt;INDEX(TekTil,36))),"",IF(COUNTIFS(TF_Nokkel,$A53&amp;"|"&amp;X$5)=0,IF(X$9&lt;&gt;"","LMS",""),IFERROR(IF(SUMIFS(TF_Timer,TF_Nokkel,$A53&amp;"|"&amp;X$5,TF_Akt,"LMS")+IF(X$9="",0,MAX(0,ROUND((X$12-SUMIFS(TF_Timer,TF_Nokkel,$A53&amp;"|"&amp;X$5))*2,0)/2))&gt;INDEX(TF_AktSum,MATCH($A53&amp;"|"&amp;X$5,TF_Dom,0)),"LMS",INDEX(AktKode,MATCH(INDEX(TF_Akt,MATCH($A53&amp;"|"&amp;X$5,TF_Dom,0)),Aktiviteter,0)))&amp;IF(OR(COUNTIFS(TF_Nokkel,$A53&amp;"|"&amp;X$5,TF_Akt,"&lt;&gt;"&amp;INDEX(TF_Akt,MATCH($A53&amp;"|"&amp;X$5,TF_Dom,0)))&gt;0,AND(IF(X$9="",0,MAX(0,ROUND((X$12-SUMIFS(TF_Timer,TF_Nokkel,$A53&amp;"|"&amp;X$5))*2,0)/2))&gt;0,INDEX(TF_Akt,MATCH($A53&amp;"|"&amp;X$5,TF_Dom,0))&lt;&gt;"LMS")),"+",""),"?"))))</f>
        <v/>
      </c>
      <c r="Y53" s="13">
        <f>IF(OR($A53="",Y$5=""),"",IF(OR(AND(INDEX(TekFra,36)&gt;0,Y$5&lt;INDEX(TekFra,36)),AND(INDEX(TekTil,36)&gt;0,Y$5&gt;INDEX(TekTil,36))),"",IF(COUNTIFS(TF_Nokkel,$A53&amp;"|"&amp;Y$5)=0,IF(Y$9&lt;&gt;"","LMS",""),IFERROR(IF(SUMIFS(TF_Timer,TF_Nokkel,$A53&amp;"|"&amp;Y$5,TF_Akt,"LMS")+IF(Y$9="",0,MAX(0,ROUND((Y$12-SUMIFS(TF_Timer,TF_Nokkel,$A53&amp;"|"&amp;Y$5))*2,0)/2))&gt;INDEX(TF_AktSum,MATCH($A53&amp;"|"&amp;Y$5,TF_Dom,0)),"LMS",INDEX(AktKode,MATCH(INDEX(TF_Akt,MATCH($A53&amp;"|"&amp;Y$5,TF_Dom,0)),Aktiviteter,0)))&amp;IF(OR(COUNTIFS(TF_Nokkel,$A53&amp;"|"&amp;Y$5,TF_Akt,"&lt;&gt;"&amp;INDEX(TF_Akt,MATCH($A53&amp;"|"&amp;Y$5,TF_Dom,0)))&gt;0,AND(IF(Y$9="",0,MAX(0,ROUND((Y$12-SUMIFS(TF_Timer,TF_Nokkel,$A53&amp;"|"&amp;Y$5))*2,0)/2))&gt;0,INDEX(TF_Akt,MATCH($A53&amp;"|"&amp;Y$5,TF_Dom,0))&lt;&gt;"LMS")),"+",""),"?"))))</f>
        <v/>
      </c>
      <c r="Z53" s="13">
        <f>IF(OR($A53="",Z$5=""),"",IF(OR(AND(INDEX(TekFra,36)&gt;0,Z$5&lt;INDEX(TekFra,36)),AND(INDEX(TekTil,36)&gt;0,Z$5&gt;INDEX(TekTil,36))),"",IF(COUNTIFS(TF_Nokkel,$A53&amp;"|"&amp;Z$5)=0,IF(Z$9&lt;&gt;"","LMS",""),IFERROR(IF(SUMIFS(TF_Timer,TF_Nokkel,$A53&amp;"|"&amp;Z$5,TF_Akt,"LMS")+IF(Z$9="",0,MAX(0,ROUND((Z$12-SUMIFS(TF_Timer,TF_Nokkel,$A53&amp;"|"&amp;Z$5))*2,0)/2))&gt;INDEX(TF_AktSum,MATCH($A53&amp;"|"&amp;Z$5,TF_Dom,0)),"LMS",INDEX(AktKode,MATCH(INDEX(TF_Akt,MATCH($A53&amp;"|"&amp;Z$5,TF_Dom,0)),Aktiviteter,0)))&amp;IF(OR(COUNTIFS(TF_Nokkel,$A53&amp;"|"&amp;Z$5,TF_Akt,"&lt;&gt;"&amp;INDEX(TF_Akt,MATCH($A53&amp;"|"&amp;Z$5,TF_Dom,0)))&gt;0,AND(IF(Z$9="",0,MAX(0,ROUND((Z$12-SUMIFS(TF_Timer,TF_Nokkel,$A53&amp;"|"&amp;Z$5))*2,0)/2))&gt;0,INDEX(TF_Akt,MATCH($A53&amp;"|"&amp;Z$5,TF_Dom,0))&lt;&gt;"LMS")),"+",""),"?"))))</f>
        <v/>
      </c>
      <c r="AA53" s="13">
        <f>IF(OR($A53="",AA$5=""),"",IF(OR(AND(INDEX(TekFra,36)&gt;0,AA$5&lt;INDEX(TekFra,36)),AND(INDEX(TekTil,36)&gt;0,AA$5&gt;INDEX(TekTil,36))),"",IF(COUNTIFS(TF_Nokkel,$A53&amp;"|"&amp;AA$5)=0,IF(AA$9&lt;&gt;"","LMS",""),IFERROR(IF(SUMIFS(TF_Timer,TF_Nokkel,$A53&amp;"|"&amp;AA$5,TF_Akt,"LMS")+IF(AA$9="",0,MAX(0,ROUND((AA$12-SUMIFS(TF_Timer,TF_Nokkel,$A53&amp;"|"&amp;AA$5))*2,0)/2))&gt;INDEX(TF_AktSum,MATCH($A53&amp;"|"&amp;AA$5,TF_Dom,0)),"LMS",INDEX(AktKode,MATCH(INDEX(TF_Akt,MATCH($A53&amp;"|"&amp;AA$5,TF_Dom,0)),Aktiviteter,0)))&amp;IF(OR(COUNTIFS(TF_Nokkel,$A53&amp;"|"&amp;AA$5,TF_Akt,"&lt;&gt;"&amp;INDEX(TF_Akt,MATCH($A53&amp;"|"&amp;AA$5,TF_Dom,0)))&gt;0,AND(IF(AA$9="",0,MAX(0,ROUND((AA$12-SUMIFS(TF_Timer,TF_Nokkel,$A53&amp;"|"&amp;AA$5))*2,0)/2))&gt;0,INDEX(TF_Akt,MATCH($A53&amp;"|"&amp;AA$5,TF_Dom,0))&lt;&gt;"LMS")),"+",""),"?"))))</f>
        <v/>
      </c>
      <c r="AB53" s="13">
        <f>IF(OR($A53="",AB$5=""),"",IF(OR(AND(INDEX(TekFra,36)&gt;0,AB$5&lt;INDEX(TekFra,36)),AND(INDEX(TekTil,36)&gt;0,AB$5&gt;INDEX(TekTil,36))),"",IF(COUNTIFS(TF_Nokkel,$A53&amp;"|"&amp;AB$5)=0,IF(AB$9&lt;&gt;"","LMS",""),IFERROR(IF(SUMIFS(TF_Timer,TF_Nokkel,$A53&amp;"|"&amp;AB$5,TF_Akt,"LMS")+IF(AB$9="",0,MAX(0,ROUND((AB$12-SUMIFS(TF_Timer,TF_Nokkel,$A53&amp;"|"&amp;AB$5))*2,0)/2))&gt;INDEX(TF_AktSum,MATCH($A53&amp;"|"&amp;AB$5,TF_Dom,0)),"LMS",INDEX(AktKode,MATCH(INDEX(TF_Akt,MATCH($A53&amp;"|"&amp;AB$5,TF_Dom,0)),Aktiviteter,0)))&amp;IF(OR(COUNTIFS(TF_Nokkel,$A53&amp;"|"&amp;AB$5,TF_Akt,"&lt;&gt;"&amp;INDEX(TF_Akt,MATCH($A53&amp;"|"&amp;AB$5,TF_Dom,0)))&gt;0,AND(IF(AB$9="",0,MAX(0,ROUND((AB$12-SUMIFS(TF_Timer,TF_Nokkel,$A53&amp;"|"&amp;AB$5))*2,0)/2))&gt;0,INDEX(TF_Akt,MATCH($A53&amp;"|"&amp;AB$5,TF_Dom,0))&lt;&gt;"LMS")),"+",""),"?"))))</f>
        <v/>
      </c>
      <c r="AC53" s="13">
        <f>IF(OR($A53="",AC$5=""),"",IF(OR(AND(INDEX(TekFra,36)&gt;0,AC$5&lt;INDEX(TekFra,36)),AND(INDEX(TekTil,36)&gt;0,AC$5&gt;INDEX(TekTil,36))),"",IF(COUNTIFS(TF_Nokkel,$A53&amp;"|"&amp;AC$5)=0,IF(AC$9&lt;&gt;"","LMS",""),IFERROR(IF(SUMIFS(TF_Timer,TF_Nokkel,$A53&amp;"|"&amp;AC$5,TF_Akt,"LMS")+IF(AC$9="",0,MAX(0,ROUND((AC$12-SUMIFS(TF_Timer,TF_Nokkel,$A53&amp;"|"&amp;AC$5))*2,0)/2))&gt;INDEX(TF_AktSum,MATCH($A53&amp;"|"&amp;AC$5,TF_Dom,0)),"LMS",INDEX(AktKode,MATCH(INDEX(TF_Akt,MATCH($A53&amp;"|"&amp;AC$5,TF_Dom,0)),Aktiviteter,0)))&amp;IF(OR(COUNTIFS(TF_Nokkel,$A53&amp;"|"&amp;AC$5,TF_Akt,"&lt;&gt;"&amp;INDEX(TF_Akt,MATCH($A53&amp;"|"&amp;AC$5,TF_Dom,0)))&gt;0,AND(IF(AC$9="",0,MAX(0,ROUND((AC$12-SUMIFS(TF_Timer,TF_Nokkel,$A53&amp;"|"&amp;AC$5))*2,0)/2))&gt;0,INDEX(TF_Akt,MATCH($A53&amp;"|"&amp;AC$5,TF_Dom,0))&lt;&gt;"LMS")),"+",""),"?"))))</f>
        <v/>
      </c>
      <c r="AD53" s="13">
        <f>IF(OR($A53="",AD$5=""),"",IF(OR(AND(INDEX(TekFra,36)&gt;0,AD$5&lt;INDEX(TekFra,36)),AND(INDEX(TekTil,36)&gt;0,AD$5&gt;INDEX(TekTil,36))),"",IF(COUNTIFS(TF_Nokkel,$A53&amp;"|"&amp;AD$5)=0,IF(AD$9&lt;&gt;"","LMS",""),IFERROR(IF(SUMIFS(TF_Timer,TF_Nokkel,$A53&amp;"|"&amp;AD$5,TF_Akt,"LMS")+IF(AD$9="",0,MAX(0,ROUND((AD$12-SUMIFS(TF_Timer,TF_Nokkel,$A53&amp;"|"&amp;AD$5))*2,0)/2))&gt;INDEX(TF_AktSum,MATCH($A53&amp;"|"&amp;AD$5,TF_Dom,0)),"LMS",INDEX(AktKode,MATCH(INDEX(TF_Akt,MATCH($A53&amp;"|"&amp;AD$5,TF_Dom,0)),Aktiviteter,0)))&amp;IF(OR(COUNTIFS(TF_Nokkel,$A53&amp;"|"&amp;AD$5,TF_Akt,"&lt;&gt;"&amp;INDEX(TF_Akt,MATCH($A53&amp;"|"&amp;AD$5,TF_Dom,0)))&gt;0,AND(IF(AD$9="",0,MAX(0,ROUND((AD$12-SUMIFS(TF_Timer,TF_Nokkel,$A53&amp;"|"&amp;AD$5))*2,0)/2))&gt;0,INDEX(TF_Akt,MATCH($A53&amp;"|"&amp;AD$5,TF_Dom,0))&lt;&gt;"LMS")),"+",""),"?"))))</f>
        <v/>
      </c>
      <c r="AE53" s="13">
        <f>IF(OR($A53="",AE$5=""),"",IF(OR(AND(INDEX(TekFra,36)&gt;0,AE$5&lt;INDEX(TekFra,36)),AND(INDEX(TekTil,36)&gt;0,AE$5&gt;INDEX(TekTil,36))),"",IF(COUNTIFS(TF_Nokkel,$A53&amp;"|"&amp;AE$5)=0,IF(AE$9&lt;&gt;"","LMS",""),IFERROR(IF(SUMIFS(TF_Timer,TF_Nokkel,$A53&amp;"|"&amp;AE$5,TF_Akt,"LMS")+IF(AE$9="",0,MAX(0,ROUND((AE$12-SUMIFS(TF_Timer,TF_Nokkel,$A53&amp;"|"&amp;AE$5))*2,0)/2))&gt;INDEX(TF_AktSum,MATCH($A53&amp;"|"&amp;AE$5,TF_Dom,0)),"LMS",INDEX(AktKode,MATCH(INDEX(TF_Akt,MATCH($A53&amp;"|"&amp;AE$5,TF_Dom,0)),Aktiviteter,0)))&amp;IF(OR(COUNTIFS(TF_Nokkel,$A53&amp;"|"&amp;AE$5,TF_Akt,"&lt;&gt;"&amp;INDEX(TF_Akt,MATCH($A53&amp;"|"&amp;AE$5,TF_Dom,0)))&gt;0,AND(IF(AE$9="",0,MAX(0,ROUND((AE$12-SUMIFS(TF_Timer,TF_Nokkel,$A53&amp;"|"&amp;AE$5))*2,0)/2))&gt;0,INDEX(TF_Akt,MATCH($A53&amp;"|"&amp;AE$5,TF_Dom,0))&lt;&gt;"LMS")),"+",""),"?"))))</f>
        <v/>
      </c>
      <c r="AF53" s="13">
        <f>IF(OR($A53="",AF$5=""),"",IF(OR(AND(INDEX(TekFra,36)&gt;0,AF$5&lt;INDEX(TekFra,36)),AND(INDEX(TekTil,36)&gt;0,AF$5&gt;INDEX(TekTil,36))),"",IF(COUNTIFS(TF_Nokkel,$A53&amp;"|"&amp;AF$5)=0,IF(AF$9&lt;&gt;"","LMS",""),IFERROR(IF(SUMIFS(TF_Timer,TF_Nokkel,$A53&amp;"|"&amp;AF$5,TF_Akt,"LMS")+IF(AF$9="",0,MAX(0,ROUND((AF$12-SUMIFS(TF_Timer,TF_Nokkel,$A53&amp;"|"&amp;AF$5))*2,0)/2))&gt;INDEX(TF_AktSum,MATCH($A53&amp;"|"&amp;AF$5,TF_Dom,0)),"LMS",INDEX(AktKode,MATCH(INDEX(TF_Akt,MATCH($A53&amp;"|"&amp;AF$5,TF_Dom,0)),Aktiviteter,0)))&amp;IF(OR(COUNTIFS(TF_Nokkel,$A53&amp;"|"&amp;AF$5,TF_Akt,"&lt;&gt;"&amp;INDEX(TF_Akt,MATCH($A53&amp;"|"&amp;AF$5,TF_Dom,0)))&gt;0,AND(IF(AF$9="",0,MAX(0,ROUND((AF$12-SUMIFS(TF_Timer,TF_Nokkel,$A53&amp;"|"&amp;AF$5))*2,0)/2))&gt;0,INDEX(TF_Akt,MATCH($A53&amp;"|"&amp;AF$5,TF_Dom,0))&lt;&gt;"LMS")),"+",""),"?"))))</f>
        <v/>
      </c>
      <c r="AG53" s="13">
        <f>IF(OR($A53="",AG$5=""),"",IF(OR(AND(INDEX(TekFra,36)&gt;0,AG$5&lt;INDEX(TekFra,36)),AND(INDEX(TekTil,36)&gt;0,AG$5&gt;INDEX(TekTil,36))),"",IF(COUNTIFS(TF_Nokkel,$A53&amp;"|"&amp;AG$5)=0,IF(AG$9&lt;&gt;"","LMS",""),IFERROR(IF(SUMIFS(TF_Timer,TF_Nokkel,$A53&amp;"|"&amp;AG$5,TF_Akt,"LMS")+IF(AG$9="",0,MAX(0,ROUND((AG$12-SUMIFS(TF_Timer,TF_Nokkel,$A53&amp;"|"&amp;AG$5))*2,0)/2))&gt;INDEX(TF_AktSum,MATCH($A53&amp;"|"&amp;AG$5,TF_Dom,0)),"LMS",INDEX(AktKode,MATCH(INDEX(TF_Akt,MATCH($A53&amp;"|"&amp;AG$5,TF_Dom,0)),Aktiviteter,0)))&amp;IF(OR(COUNTIFS(TF_Nokkel,$A53&amp;"|"&amp;AG$5,TF_Akt,"&lt;&gt;"&amp;INDEX(TF_Akt,MATCH($A53&amp;"|"&amp;AG$5,TF_Dom,0)))&gt;0,AND(IF(AG$9="",0,MAX(0,ROUND((AG$12-SUMIFS(TF_Timer,TF_Nokkel,$A53&amp;"|"&amp;AG$5))*2,0)/2))&gt;0,INDEX(TF_Akt,MATCH($A53&amp;"|"&amp;AG$5,TF_Dom,0))&lt;&gt;"LMS")),"+",""),"?"))))</f>
        <v/>
      </c>
      <c r="AH53" s="2" t="n"/>
      <c r="AI53" s="2" t="n"/>
      <c r="A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</row>
    <row r="55">
      <c r="A55" s="10">
        <f>INDEX(SkiftNavn,3)</f>
        <v/>
      </c>
      <c r="B55" s="2" t="n"/>
      <c r="C55" s="11">
        <f>C10</f>
        <v/>
      </c>
      <c r="D55" s="11">
        <f>D10</f>
        <v/>
      </c>
      <c r="E55" s="11">
        <f>E10</f>
        <v/>
      </c>
      <c r="F55" s="11">
        <f>F10</f>
        <v/>
      </c>
      <c r="G55" s="11">
        <f>G10</f>
        <v/>
      </c>
      <c r="H55" s="11">
        <f>H10</f>
        <v/>
      </c>
      <c r="I55" s="11">
        <f>I10</f>
        <v/>
      </c>
      <c r="J55" s="11">
        <f>J10</f>
        <v/>
      </c>
      <c r="K55" s="11">
        <f>K10</f>
        <v/>
      </c>
      <c r="L55" s="11">
        <f>L10</f>
        <v/>
      </c>
      <c r="M55" s="11">
        <f>M10</f>
        <v/>
      </c>
      <c r="N55" s="11">
        <f>N10</f>
        <v/>
      </c>
      <c r="O55" s="11">
        <f>O10</f>
        <v/>
      </c>
      <c r="P55" s="11">
        <f>P10</f>
        <v/>
      </c>
      <c r="Q55" s="11">
        <f>Q10</f>
        <v/>
      </c>
      <c r="R55" s="11">
        <f>R10</f>
        <v/>
      </c>
      <c r="S55" s="11">
        <f>S10</f>
        <v/>
      </c>
      <c r="T55" s="11">
        <f>T10</f>
        <v/>
      </c>
      <c r="U55" s="11">
        <f>U10</f>
        <v/>
      </c>
      <c r="V55" s="11">
        <f>V10</f>
        <v/>
      </c>
      <c r="W55" s="11">
        <f>W10</f>
        <v/>
      </c>
      <c r="X55" s="11">
        <f>X10</f>
        <v/>
      </c>
      <c r="Y55" s="11">
        <f>Y10</f>
        <v/>
      </c>
      <c r="Z55" s="11">
        <f>Z10</f>
        <v/>
      </c>
      <c r="AA55" s="11">
        <f>AA10</f>
        <v/>
      </c>
      <c r="AB55" s="11">
        <f>AB10</f>
        <v/>
      </c>
      <c r="AC55" s="11">
        <f>AC10</f>
        <v/>
      </c>
      <c r="AD55" s="11">
        <f>AD10</f>
        <v/>
      </c>
      <c r="AE55" s="11">
        <f>AE10</f>
        <v/>
      </c>
      <c r="AF55" s="11">
        <f>AF10</f>
        <v/>
      </c>
      <c r="AG55" s="11">
        <f>AG10</f>
        <v/>
      </c>
      <c r="AH55" s="2" t="n"/>
      <c r="AI55" s="2" t="n"/>
      <c r="AJ55" s="2" t="n"/>
    </row>
    <row r="56">
      <c r="A56" s="2">
        <f>INDEX(Teknikere,37)&amp;""</f>
        <v/>
      </c>
      <c r="B56" s="12">
        <f>IF(INDEX(TekFra,37)&gt;0,"ekstra","")</f>
        <v/>
      </c>
      <c r="C56" s="13">
        <f>IF(OR($A56="",C$5=""),"",IF(OR(AND(INDEX(TekFra,37)&gt;0,C$5&lt;INDEX(TekFra,37)),AND(INDEX(TekTil,37)&gt;0,C$5&gt;INDEX(TekTil,37))),"",IF(COUNTIFS(TF_Nokkel,$A56&amp;"|"&amp;C$5)=0,IF(C$10&lt;&gt;"","LMS",""),IFERROR(IF(SUMIFS(TF_Timer,TF_Nokkel,$A56&amp;"|"&amp;C$5,TF_Akt,"LMS")+IF(C$10="",0,MAX(0,ROUND((C$13-SUMIFS(TF_Timer,TF_Nokkel,$A56&amp;"|"&amp;C$5))*2,0)/2))&gt;INDEX(TF_AktSum,MATCH($A56&amp;"|"&amp;C$5,TF_Dom,0)),"LMS",INDEX(AktKode,MATCH(INDEX(TF_Akt,MATCH($A56&amp;"|"&amp;C$5,TF_Dom,0)),Aktiviteter,0)))&amp;IF(OR(COUNTIFS(TF_Nokkel,$A56&amp;"|"&amp;C$5,TF_Akt,"&lt;&gt;"&amp;INDEX(TF_Akt,MATCH($A56&amp;"|"&amp;C$5,TF_Dom,0)))&gt;0,AND(IF(C$10="",0,MAX(0,ROUND((C$13-SUMIFS(TF_Timer,TF_Nokkel,$A56&amp;"|"&amp;C$5))*2,0)/2))&gt;0,INDEX(TF_Akt,MATCH($A56&amp;"|"&amp;C$5,TF_Dom,0))&lt;&gt;"LMS")),"+",""),"?"))))</f>
        <v/>
      </c>
      <c r="D56" s="13">
        <f>IF(OR($A56="",D$5=""),"",IF(OR(AND(INDEX(TekFra,37)&gt;0,D$5&lt;INDEX(TekFra,37)),AND(INDEX(TekTil,37)&gt;0,D$5&gt;INDEX(TekTil,37))),"",IF(COUNTIFS(TF_Nokkel,$A56&amp;"|"&amp;D$5)=0,IF(D$10&lt;&gt;"","LMS",""),IFERROR(IF(SUMIFS(TF_Timer,TF_Nokkel,$A56&amp;"|"&amp;D$5,TF_Akt,"LMS")+IF(D$10="",0,MAX(0,ROUND((D$13-SUMIFS(TF_Timer,TF_Nokkel,$A56&amp;"|"&amp;D$5))*2,0)/2))&gt;INDEX(TF_AktSum,MATCH($A56&amp;"|"&amp;D$5,TF_Dom,0)),"LMS",INDEX(AktKode,MATCH(INDEX(TF_Akt,MATCH($A56&amp;"|"&amp;D$5,TF_Dom,0)),Aktiviteter,0)))&amp;IF(OR(COUNTIFS(TF_Nokkel,$A56&amp;"|"&amp;D$5,TF_Akt,"&lt;&gt;"&amp;INDEX(TF_Akt,MATCH($A56&amp;"|"&amp;D$5,TF_Dom,0)))&gt;0,AND(IF(D$10="",0,MAX(0,ROUND((D$13-SUMIFS(TF_Timer,TF_Nokkel,$A56&amp;"|"&amp;D$5))*2,0)/2))&gt;0,INDEX(TF_Akt,MATCH($A56&amp;"|"&amp;D$5,TF_Dom,0))&lt;&gt;"LMS")),"+",""),"?"))))</f>
        <v/>
      </c>
      <c r="E56" s="13">
        <f>IF(OR($A56="",E$5=""),"",IF(OR(AND(INDEX(TekFra,37)&gt;0,E$5&lt;INDEX(TekFra,37)),AND(INDEX(TekTil,37)&gt;0,E$5&gt;INDEX(TekTil,37))),"",IF(COUNTIFS(TF_Nokkel,$A56&amp;"|"&amp;E$5)=0,IF(E$10&lt;&gt;"","LMS",""),IFERROR(IF(SUMIFS(TF_Timer,TF_Nokkel,$A56&amp;"|"&amp;E$5,TF_Akt,"LMS")+IF(E$10="",0,MAX(0,ROUND((E$13-SUMIFS(TF_Timer,TF_Nokkel,$A56&amp;"|"&amp;E$5))*2,0)/2))&gt;INDEX(TF_AktSum,MATCH($A56&amp;"|"&amp;E$5,TF_Dom,0)),"LMS",INDEX(AktKode,MATCH(INDEX(TF_Akt,MATCH($A56&amp;"|"&amp;E$5,TF_Dom,0)),Aktiviteter,0)))&amp;IF(OR(COUNTIFS(TF_Nokkel,$A56&amp;"|"&amp;E$5,TF_Akt,"&lt;&gt;"&amp;INDEX(TF_Akt,MATCH($A56&amp;"|"&amp;E$5,TF_Dom,0)))&gt;0,AND(IF(E$10="",0,MAX(0,ROUND((E$13-SUMIFS(TF_Timer,TF_Nokkel,$A56&amp;"|"&amp;E$5))*2,0)/2))&gt;0,INDEX(TF_Akt,MATCH($A56&amp;"|"&amp;E$5,TF_Dom,0))&lt;&gt;"LMS")),"+",""),"?"))))</f>
        <v/>
      </c>
      <c r="F56" s="13">
        <f>IF(OR($A56="",F$5=""),"",IF(OR(AND(INDEX(TekFra,37)&gt;0,F$5&lt;INDEX(TekFra,37)),AND(INDEX(TekTil,37)&gt;0,F$5&gt;INDEX(TekTil,37))),"",IF(COUNTIFS(TF_Nokkel,$A56&amp;"|"&amp;F$5)=0,IF(F$10&lt;&gt;"","LMS",""),IFERROR(IF(SUMIFS(TF_Timer,TF_Nokkel,$A56&amp;"|"&amp;F$5,TF_Akt,"LMS")+IF(F$10="",0,MAX(0,ROUND((F$13-SUMIFS(TF_Timer,TF_Nokkel,$A56&amp;"|"&amp;F$5))*2,0)/2))&gt;INDEX(TF_AktSum,MATCH($A56&amp;"|"&amp;F$5,TF_Dom,0)),"LMS",INDEX(AktKode,MATCH(INDEX(TF_Akt,MATCH($A56&amp;"|"&amp;F$5,TF_Dom,0)),Aktiviteter,0)))&amp;IF(OR(COUNTIFS(TF_Nokkel,$A56&amp;"|"&amp;F$5,TF_Akt,"&lt;&gt;"&amp;INDEX(TF_Akt,MATCH($A56&amp;"|"&amp;F$5,TF_Dom,0)))&gt;0,AND(IF(F$10="",0,MAX(0,ROUND((F$13-SUMIFS(TF_Timer,TF_Nokkel,$A56&amp;"|"&amp;F$5))*2,0)/2))&gt;0,INDEX(TF_Akt,MATCH($A56&amp;"|"&amp;F$5,TF_Dom,0))&lt;&gt;"LMS")),"+",""),"?"))))</f>
        <v/>
      </c>
      <c r="G56" s="13">
        <f>IF(OR($A56="",G$5=""),"",IF(OR(AND(INDEX(TekFra,37)&gt;0,G$5&lt;INDEX(TekFra,37)),AND(INDEX(TekTil,37)&gt;0,G$5&gt;INDEX(TekTil,37))),"",IF(COUNTIFS(TF_Nokkel,$A56&amp;"|"&amp;G$5)=0,IF(G$10&lt;&gt;"","LMS",""),IFERROR(IF(SUMIFS(TF_Timer,TF_Nokkel,$A56&amp;"|"&amp;G$5,TF_Akt,"LMS")+IF(G$10="",0,MAX(0,ROUND((G$13-SUMIFS(TF_Timer,TF_Nokkel,$A56&amp;"|"&amp;G$5))*2,0)/2))&gt;INDEX(TF_AktSum,MATCH($A56&amp;"|"&amp;G$5,TF_Dom,0)),"LMS",INDEX(AktKode,MATCH(INDEX(TF_Akt,MATCH($A56&amp;"|"&amp;G$5,TF_Dom,0)),Aktiviteter,0)))&amp;IF(OR(COUNTIFS(TF_Nokkel,$A56&amp;"|"&amp;G$5,TF_Akt,"&lt;&gt;"&amp;INDEX(TF_Akt,MATCH($A56&amp;"|"&amp;G$5,TF_Dom,0)))&gt;0,AND(IF(G$10="",0,MAX(0,ROUND((G$13-SUMIFS(TF_Timer,TF_Nokkel,$A56&amp;"|"&amp;G$5))*2,0)/2))&gt;0,INDEX(TF_Akt,MATCH($A56&amp;"|"&amp;G$5,TF_Dom,0))&lt;&gt;"LMS")),"+",""),"?"))))</f>
        <v/>
      </c>
      <c r="H56" s="13">
        <f>IF(OR($A56="",H$5=""),"",IF(OR(AND(INDEX(TekFra,37)&gt;0,H$5&lt;INDEX(TekFra,37)),AND(INDEX(TekTil,37)&gt;0,H$5&gt;INDEX(TekTil,37))),"",IF(COUNTIFS(TF_Nokkel,$A56&amp;"|"&amp;H$5)=0,IF(H$10&lt;&gt;"","LMS",""),IFERROR(IF(SUMIFS(TF_Timer,TF_Nokkel,$A56&amp;"|"&amp;H$5,TF_Akt,"LMS")+IF(H$10="",0,MAX(0,ROUND((H$13-SUMIFS(TF_Timer,TF_Nokkel,$A56&amp;"|"&amp;H$5))*2,0)/2))&gt;INDEX(TF_AktSum,MATCH($A56&amp;"|"&amp;H$5,TF_Dom,0)),"LMS",INDEX(AktKode,MATCH(INDEX(TF_Akt,MATCH($A56&amp;"|"&amp;H$5,TF_Dom,0)),Aktiviteter,0)))&amp;IF(OR(COUNTIFS(TF_Nokkel,$A56&amp;"|"&amp;H$5,TF_Akt,"&lt;&gt;"&amp;INDEX(TF_Akt,MATCH($A56&amp;"|"&amp;H$5,TF_Dom,0)))&gt;0,AND(IF(H$10="",0,MAX(0,ROUND((H$13-SUMIFS(TF_Timer,TF_Nokkel,$A56&amp;"|"&amp;H$5))*2,0)/2))&gt;0,INDEX(TF_Akt,MATCH($A56&amp;"|"&amp;H$5,TF_Dom,0))&lt;&gt;"LMS")),"+",""),"?"))))</f>
        <v/>
      </c>
      <c r="I56" s="13">
        <f>IF(OR($A56="",I$5=""),"",IF(OR(AND(INDEX(TekFra,37)&gt;0,I$5&lt;INDEX(TekFra,37)),AND(INDEX(TekTil,37)&gt;0,I$5&gt;INDEX(TekTil,37))),"",IF(COUNTIFS(TF_Nokkel,$A56&amp;"|"&amp;I$5)=0,IF(I$10&lt;&gt;"","LMS",""),IFERROR(IF(SUMIFS(TF_Timer,TF_Nokkel,$A56&amp;"|"&amp;I$5,TF_Akt,"LMS")+IF(I$10="",0,MAX(0,ROUND((I$13-SUMIFS(TF_Timer,TF_Nokkel,$A56&amp;"|"&amp;I$5))*2,0)/2))&gt;INDEX(TF_AktSum,MATCH($A56&amp;"|"&amp;I$5,TF_Dom,0)),"LMS",INDEX(AktKode,MATCH(INDEX(TF_Akt,MATCH($A56&amp;"|"&amp;I$5,TF_Dom,0)),Aktiviteter,0)))&amp;IF(OR(COUNTIFS(TF_Nokkel,$A56&amp;"|"&amp;I$5,TF_Akt,"&lt;&gt;"&amp;INDEX(TF_Akt,MATCH($A56&amp;"|"&amp;I$5,TF_Dom,0)))&gt;0,AND(IF(I$10="",0,MAX(0,ROUND((I$13-SUMIFS(TF_Timer,TF_Nokkel,$A56&amp;"|"&amp;I$5))*2,0)/2))&gt;0,INDEX(TF_Akt,MATCH($A56&amp;"|"&amp;I$5,TF_Dom,0))&lt;&gt;"LMS")),"+",""),"?"))))</f>
        <v/>
      </c>
      <c r="J56" s="13">
        <f>IF(OR($A56="",J$5=""),"",IF(OR(AND(INDEX(TekFra,37)&gt;0,J$5&lt;INDEX(TekFra,37)),AND(INDEX(TekTil,37)&gt;0,J$5&gt;INDEX(TekTil,37))),"",IF(COUNTIFS(TF_Nokkel,$A56&amp;"|"&amp;J$5)=0,IF(J$10&lt;&gt;"","LMS",""),IFERROR(IF(SUMIFS(TF_Timer,TF_Nokkel,$A56&amp;"|"&amp;J$5,TF_Akt,"LMS")+IF(J$10="",0,MAX(0,ROUND((J$13-SUMIFS(TF_Timer,TF_Nokkel,$A56&amp;"|"&amp;J$5))*2,0)/2))&gt;INDEX(TF_AktSum,MATCH($A56&amp;"|"&amp;J$5,TF_Dom,0)),"LMS",INDEX(AktKode,MATCH(INDEX(TF_Akt,MATCH($A56&amp;"|"&amp;J$5,TF_Dom,0)),Aktiviteter,0)))&amp;IF(OR(COUNTIFS(TF_Nokkel,$A56&amp;"|"&amp;J$5,TF_Akt,"&lt;&gt;"&amp;INDEX(TF_Akt,MATCH($A56&amp;"|"&amp;J$5,TF_Dom,0)))&gt;0,AND(IF(J$10="",0,MAX(0,ROUND((J$13-SUMIFS(TF_Timer,TF_Nokkel,$A56&amp;"|"&amp;J$5))*2,0)/2))&gt;0,INDEX(TF_Akt,MATCH($A56&amp;"|"&amp;J$5,TF_Dom,0))&lt;&gt;"LMS")),"+",""),"?"))))</f>
        <v/>
      </c>
      <c r="K56" s="13">
        <f>IF(OR($A56="",K$5=""),"",IF(OR(AND(INDEX(TekFra,37)&gt;0,K$5&lt;INDEX(TekFra,37)),AND(INDEX(TekTil,37)&gt;0,K$5&gt;INDEX(TekTil,37))),"",IF(COUNTIFS(TF_Nokkel,$A56&amp;"|"&amp;K$5)=0,IF(K$10&lt;&gt;"","LMS",""),IFERROR(IF(SUMIFS(TF_Timer,TF_Nokkel,$A56&amp;"|"&amp;K$5,TF_Akt,"LMS")+IF(K$10="",0,MAX(0,ROUND((K$13-SUMIFS(TF_Timer,TF_Nokkel,$A56&amp;"|"&amp;K$5))*2,0)/2))&gt;INDEX(TF_AktSum,MATCH($A56&amp;"|"&amp;K$5,TF_Dom,0)),"LMS",INDEX(AktKode,MATCH(INDEX(TF_Akt,MATCH($A56&amp;"|"&amp;K$5,TF_Dom,0)),Aktiviteter,0)))&amp;IF(OR(COUNTIFS(TF_Nokkel,$A56&amp;"|"&amp;K$5,TF_Akt,"&lt;&gt;"&amp;INDEX(TF_Akt,MATCH($A56&amp;"|"&amp;K$5,TF_Dom,0)))&gt;0,AND(IF(K$10="",0,MAX(0,ROUND((K$13-SUMIFS(TF_Timer,TF_Nokkel,$A56&amp;"|"&amp;K$5))*2,0)/2))&gt;0,INDEX(TF_Akt,MATCH($A56&amp;"|"&amp;K$5,TF_Dom,0))&lt;&gt;"LMS")),"+",""),"?"))))</f>
        <v/>
      </c>
      <c r="L56" s="13">
        <f>IF(OR($A56="",L$5=""),"",IF(OR(AND(INDEX(TekFra,37)&gt;0,L$5&lt;INDEX(TekFra,37)),AND(INDEX(TekTil,37)&gt;0,L$5&gt;INDEX(TekTil,37))),"",IF(COUNTIFS(TF_Nokkel,$A56&amp;"|"&amp;L$5)=0,IF(L$10&lt;&gt;"","LMS",""),IFERROR(IF(SUMIFS(TF_Timer,TF_Nokkel,$A56&amp;"|"&amp;L$5,TF_Akt,"LMS")+IF(L$10="",0,MAX(0,ROUND((L$13-SUMIFS(TF_Timer,TF_Nokkel,$A56&amp;"|"&amp;L$5))*2,0)/2))&gt;INDEX(TF_AktSum,MATCH($A56&amp;"|"&amp;L$5,TF_Dom,0)),"LMS",INDEX(AktKode,MATCH(INDEX(TF_Akt,MATCH($A56&amp;"|"&amp;L$5,TF_Dom,0)),Aktiviteter,0)))&amp;IF(OR(COUNTIFS(TF_Nokkel,$A56&amp;"|"&amp;L$5,TF_Akt,"&lt;&gt;"&amp;INDEX(TF_Akt,MATCH($A56&amp;"|"&amp;L$5,TF_Dom,0)))&gt;0,AND(IF(L$10="",0,MAX(0,ROUND((L$13-SUMIFS(TF_Timer,TF_Nokkel,$A56&amp;"|"&amp;L$5))*2,0)/2))&gt;0,INDEX(TF_Akt,MATCH($A56&amp;"|"&amp;L$5,TF_Dom,0))&lt;&gt;"LMS")),"+",""),"?"))))</f>
        <v/>
      </c>
      <c r="M56" s="13">
        <f>IF(OR($A56="",M$5=""),"",IF(OR(AND(INDEX(TekFra,37)&gt;0,M$5&lt;INDEX(TekFra,37)),AND(INDEX(TekTil,37)&gt;0,M$5&gt;INDEX(TekTil,37))),"",IF(COUNTIFS(TF_Nokkel,$A56&amp;"|"&amp;M$5)=0,IF(M$10&lt;&gt;"","LMS",""),IFERROR(IF(SUMIFS(TF_Timer,TF_Nokkel,$A56&amp;"|"&amp;M$5,TF_Akt,"LMS")+IF(M$10="",0,MAX(0,ROUND((M$13-SUMIFS(TF_Timer,TF_Nokkel,$A56&amp;"|"&amp;M$5))*2,0)/2))&gt;INDEX(TF_AktSum,MATCH($A56&amp;"|"&amp;M$5,TF_Dom,0)),"LMS",INDEX(AktKode,MATCH(INDEX(TF_Akt,MATCH($A56&amp;"|"&amp;M$5,TF_Dom,0)),Aktiviteter,0)))&amp;IF(OR(COUNTIFS(TF_Nokkel,$A56&amp;"|"&amp;M$5,TF_Akt,"&lt;&gt;"&amp;INDEX(TF_Akt,MATCH($A56&amp;"|"&amp;M$5,TF_Dom,0)))&gt;0,AND(IF(M$10="",0,MAX(0,ROUND((M$13-SUMIFS(TF_Timer,TF_Nokkel,$A56&amp;"|"&amp;M$5))*2,0)/2))&gt;0,INDEX(TF_Akt,MATCH($A56&amp;"|"&amp;M$5,TF_Dom,0))&lt;&gt;"LMS")),"+",""),"?"))))</f>
        <v/>
      </c>
      <c r="N56" s="13">
        <f>IF(OR($A56="",N$5=""),"",IF(OR(AND(INDEX(TekFra,37)&gt;0,N$5&lt;INDEX(TekFra,37)),AND(INDEX(TekTil,37)&gt;0,N$5&gt;INDEX(TekTil,37))),"",IF(COUNTIFS(TF_Nokkel,$A56&amp;"|"&amp;N$5)=0,IF(N$10&lt;&gt;"","LMS",""),IFERROR(IF(SUMIFS(TF_Timer,TF_Nokkel,$A56&amp;"|"&amp;N$5,TF_Akt,"LMS")+IF(N$10="",0,MAX(0,ROUND((N$13-SUMIFS(TF_Timer,TF_Nokkel,$A56&amp;"|"&amp;N$5))*2,0)/2))&gt;INDEX(TF_AktSum,MATCH($A56&amp;"|"&amp;N$5,TF_Dom,0)),"LMS",INDEX(AktKode,MATCH(INDEX(TF_Akt,MATCH($A56&amp;"|"&amp;N$5,TF_Dom,0)),Aktiviteter,0)))&amp;IF(OR(COUNTIFS(TF_Nokkel,$A56&amp;"|"&amp;N$5,TF_Akt,"&lt;&gt;"&amp;INDEX(TF_Akt,MATCH($A56&amp;"|"&amp;N$5,TF_Dom,0)))&gt;0,AND(IF(N$10="",0,MAX(0,ROUND((N$13-SUMIFS(TF_Timer,TF_Nokkel,$A56&amp;"|"&amp;N$5))*2,0)/2))&gt;0,INDEX(TF_Akt,MATCH($A56&amp;"|"&amp;N$5,TF_Dom,0))&lt;&gt;"LMS")),"+",""),"?"))))</f>
        <v/>
      </c>
      <c r="O56" s="13">
        <f>IF(OR($A56="",O$5=""),"",IF(OR(AND(INDEX(TekFra,37)&gt;0,O$5&lt;INDEX(TekFra,37)),AND(INDEX(TekTil,37)&gt;0,O$5&gt;INDEX(TekTil,37))),"",IF(COUNTIFS(TF_Nokkel,$A56&amp;"|"&amp;O$5)=0,IF(O$10&lt;&gt;"","LMS",""),IFERROR(IF(SUMIFS(TF_Timer,TF_Nokkel,$A56&amp;"|"&amp;O$5,TF_Akt,"LMS")+IF(O$10="",0,MAX(0,ROUND((O$13-SUMIFS(TF_Timer,TF_Nokkel,$A56&amp;"|"&amp;O$5))*2,0)/2))&gt;INDEX(TF_AktSum,MATCH($A56&amp;"|"&amp;O$5,TF_Dom,0)),"LMS",INDEX(AktKode,MATCH(INDEX(TF_Akt,MATCH($A56&amp;"|"&amp;O$5,TF_Dom,0)),Aktiviteter,0)))&amp;IF(OR(COUNTIFS(TF_Nokkel,$A56&amp;"|"&amp;O$5,TF_Akt,"&lt;&gt;"&amp;INDEX(TF_Akt,MATCH($A56&amp;"|"&amp;O$5,TF_Dom,0)))&gt;0,AND(IF(O$10="",0,MAX(0,ROUND((O$13-SUMIFS(TF_Timer,TF_Nokkel,$A56&amp;"|"&amp;O$5))*2,0)/2))&gt;0,INDEX(TF_Akt,MATCH($A56&amp;"|"&amp;O$5,TF_Dom,0))&lt;&gt;"LMS")),"+",""),"?"))))</f>
        <v/>
      </c>
      <c r="P56" s="13">
        <f>IF(OR($A56="",P$5=""),"",IF(OR(AND(INDEX(TekFra,37)&gt;0,P$5&lt;INDEX(TekFra,37)),AND(INDEX(TekTil,37)&gt;0,P$5&gt;INDEX(TekTil,37))),"",IF(COUNTIFS(TF_Nokkel,$A56&amp;"|"&amp;P$5)=0,IF(P$10&lt;&gt;"","LMS",""),IFERROR(IF(SUMIFS(TF_Timer,TF_Nokkel,$A56&amp;"|"&amp;P$5,TF_Akt,"LMS")+IF(P$10="",0,MAX(0,ROUND((P$13-SUMIFS(TF_Timer,TF_Nokkel,$A56&amp;"|"&amp;P$5))*2,0)/2))&gt;INDEX(TF_AktSum,MATCH($A56&amp;"|"&amp;P$5,TF_Dom,0)),"LMS",INDEX(AktKode,MATCH(INDEX(TF_Akt,MATCH($A56&amp;"|"&amp;P$5,TF_Dom,0)),Aktiviteter,0)))&amp;IF(OR(COUNTIFS(TF_Nokkel,$A56&amp;"|"&amp;P$5,TF_Akt,"&lt;&gt;"&amp;INDEX(TF_Akt,MATCH($A56&amp;"|"&amp;P$5,TF_Dom,0)))&gt;0,AND(IF(P$10="",0,MAX(0,ROUND((P$13-SUMIFS(TF_Timer,TF_Nokkel,$A56&amp;"|"&amp;P$5))*2,0)/2))&gt;0,INDEX(TF_Akt,MATCH($A56&amp;"|"&amp;P$5,TF_Dom,0))&lt;&gt;"LMS")),"+",""),"?"))))</f>
        <v/>
      </c>
      <c r="Q56" s="13">
        <f>IF(OR($A56="",Q$5=""),"",IF(OR(AND(INDEX(TekFra,37)&gt;0,Q$5&lt;INDEX(TekFra,37)),AND(INDEX(TekTil,37)&gt;0,Q$5&gt;INDEX(TekTil,37))),"",IF(COUNTIFS(TF_Nokkel,$A56&amp;"|"&amp;Q$5)=0,IF(Q$10&lt;&gt;"","LMS",""),IFERROR(IF(SUMIFS(TF_Timer,TF_Nokkel,$A56&amp;"|"&amp;Q$5,TF_Akt,"LMS")+IF(Q$10="",0,MAX(0,ROUND((Q$13-SUMIFS(TF_Timer,TF_Nokkel,$A56&amp;"|"&amp;Q$5))*2,0)/2))&gt;INDEX(TF_AktSum,MATCH($A56&amp;"|"&amp;Q$5,TF_Dom,0)),"LMS",INDEX(AktKode,MATCH(INDEX(TF_Akt,MATCH($A56&amp;"|"&amp;Q$5,TF_Dom,0)),Aktiviteter,0)))&amp;IF(OR(COUNTIFS(TF_Nokkel,$A56&amp;"|"&amp;Q$5,TF_Akt,"&lt;&gt;"&amp;INDEX(TF_Akt,MATCH($A56&amp;"|"&amp;Q$5,TF_Dom,0)))&gt;0,AND(IF(Q$10="",0,MAX(0,ROUND((Q$13-SUMIFS(TF_Timer,TF_Nokkel,$A56&amp;"|"&amp;Q$5))*2,0)/2))&gt;0,INDEX(TF_Akt,MATCH($A56&amp;"|"&amp;Q$5,TF_Dom,0))&lt;&gt;"LMS")),"+",""),"?"))))</f>
        <v/>
      </c>
      <c r="R56" s="13">
        <f>IF(OR($A56="",R$5=""),"",IF(OR(AND(INDEX(TekFra,37)&gt;0,R$5&lt;INDEX(TekFra,37)),AND(INDEX(TekTil,37)&gt;0,R$5&gt;INDEX(TekTil,37))),"",IF(COUNTIFS(TF_Nokkel,$A56&amp;"|"&amp;R$5)=0,IF(R$10&lt;&gt;"","LMS",""),IFERROR(IF(SUMIFS(TF_Timer,TF_Nokkel,$A56&amp;"|"&amp;R$5,TF_Akt,"LMS")+IF(R$10="",0,MAX(0,ROUND((R$13-SUMIFS(TF_Timer,TF_Nokkel,$A56&amp;"|"&amp;R$5))*2,0)/2))&gt;INDEX(TF_AktSum,MATCH($A56&amp;"|"&amp;R$5,TF_Dom,0)),"LMS",INDEX(AktKode,MATCH(INDEX(TF_Akt,MATCH($A56&amp;"|"&amp;R$5,TF_Dom,0)),Aktiviteter,0)))&amp;IF(OR(COUNTIFS(TF_Nokkel,$A56&amp;"|"&amp;R$5,TF_Akt,"&lt;&gt;"&amp;INDEX(TF_Akt,MATCH($A56&amp;"|"&amp;R$5,TF_Dom,0)))&gt;0,AND(IF(R$10="",0,MAX(0,ROUND((R$13-SUMIFS(TF_Timer,TF_Nokkel,$A56&amp;"|"&amp;R$5))*2,0)/2))&gt;0,INDEX(TF_Akt,MATCH($A56&amp;"|"&amp;R$5,TF_Dom,0))&lt;&gt;"LMS")),"+",""),"?"))))</f>
        <v/>
      </c>
      <c r="S56" s="13">
        <f>IF(OR($A56="",S$5=""),"",IF(OR(AND(INDEX(TekFra,37)&gt;0,S$5&lt;INDEX(TekFra,37)),AND(INDEX(TekTil,37)&gt;0,S$5&gt;INDEX(TekTil,37))),"",IF(COUNTIFS(TF_Nokkel,$A56&amp;"|"&amp;S$5)=0,IF(S$10&lt;&gt;"","LMS",""),IFERROR(IF(SUMIFS(TF_Timer,TF_Nokkel,$A56&amp;"|"&amp;S$5,TF_Akt,"LMS")+IF(S$10="",0,MAX(0,ROUND((S$13-SUMIFS(TF_Timer,TF_Nokkel,$A56&amp;"|"&amp;S$5))*2,0)/2))&gt;INDEX(TF_AktSum,MATCH($A56&amp;"|"&amp;S$5,TF_Dom,0)),"LMS",INDEX(AktKode,MATCH(INDEX(TF_Akt,MATCH($A56&amp;"|"&amp;S$5,TF_Dom,0)),Aktiviteter,0)))&amp;IF(OR(COUNTIFS(TF_Nokkel,$A56&amp;"|"&amp;S$5,TF_Akt,"&lt;&gt;"&amp;INDEX(TF_Akt,MATCH($A56&amp;"|"&amp;S$5,TF_Dom,0)))&gt;0,AND(IF(S$10="",0,MAX(0,ROUND((S$13-SUMIFS(TF_Timer,TF_Nokkel,$A56&amp;"|"&amp;S$5))*2,0)/2))&gt;0,INDEX(TF_Akt,MATCH($A56&amp;"|"&amp;S$5,TF_Dom,0))&lt;&gt;"LMS")),"+",""),"?"))))</f>
        <v/>
      </c>
      <c r="T56" s="13">
        <f>IF(OR($A56="",T$5=""),"",IF(OR(AND(INDEX(TekFra,37)&gt;0,T$5&lt;INDEX(TekFra,37)),AND(INDEX(TekTil,37)&gt;0,T$5&gt;INDEX(TekTil,37))),"",IF(COUNTIFS(TF_Nokkel,$A56&amp;"|"&amp;T$5)=0,IF(T$10&lt;&gt;"","LMS",""),IFERROR(IF(SUMIFS(TF_Timer,TF_Nokkel,$A56&amp;"|"&amp;T$5,TF_Akt,"LMS")+IF(T$10="",0,MAX(0,ROUND((T$13-SUMIFS(TF_Timer,TF_Nokkel,$A56&amp;"|"&amp;T$5))*2,0)/2))&gt;INDEX(TF_AktSum,MATCH($A56&amp;"|"&amp;T$5,TF_Dom,0)),"LMS",INDEX(AktKode,MATCH(INDEX(TF_Akt,MATCH($A56&amp;"|"&amp;T$5,TF_Dom,0)),Aktiviteter,0)))&amp;IF(OR(COUNTIFS(TF_Nokkel,$A56&amp;"|"&amp;T$5,TF_Akt,"&lt;&gt;"&amp;INDEX(TF_Akt,MATCH($A56&amp;"|"&amp;T$5,TF_Dom,0)))&gt;0,AND(IF(T$10="",0,MAX(0,ROUND((T$13-SUMIFS(TF_Timer,TF_Nokkel,$A56&amp;"|"&amp;T$5))*2,0)/2))&gt;0,INDEX(TF_Akt,MATCH($A56&amp;"|"&amp;T$5,TF_Dom,0))&lt;&gt;"LMS")),"+",""),"?"))))</f>
        <v/>
      </c>
      <c r="U56" s="13">
        <f>IF(OR($A56="",U$5=""),"",IF(OR(AND(INDEX(TekFra,37)&gt;0,U$5&lt;INDEX(TekFra,37)),AND(INDEX(TekTil,37)&gt;0,U$5&gt;INDEX(TekTil,37))),"",IF(COUNTIFS(TF_Nokkel,$A56&amp;"|"&amp;U$5)=0,IF(U$10&lt;&gt;"","LMS",""),IFERROR(IF(SUMIFS(TF_Timer,TF_Nokkel,$A56&amp;"|"&amp;U$5,TF_Akt,"LMS")+IF(U$10="",0,MAX(0,ROUND((U$13-SUMIFS(TF_Timer,TF_Nokkel,$A56&amp;"|"&amp;U$5))*2,0)/2))&gt;INDEX(TF_AktSum,MATCH($A56&amp;"|"&amp;U$5,TF_Dom,0)),"LMS",INDEX(AktKode,MATCH(INDEX(TF_Akt,MATCH($A56&amp;"|"&amp;U$5,TF_Dom,0)),Aktiviteter,0)))&amp;IF(OR(COUNTIFS(TF_Nokkel,$A56&amp;"|"&amp;U$5,TF_Akt,"&lt;&gt;"&amp;INDEX(TF_Akt,MATCH($A56&amp;"|"&amp;U$5,TF_Dom,0)))&gt;0,AND(IF(U$10="",0,MAX(0,ROUND((U$13-SUMIFS(TF_Timer,TF_Nokkel,$A56&amp;"|"&amp;U$5))*2,0)/2))&gt;0,INDEX(TF_Akt,MATCH($A56&amp;"|"&amp;U$5,TF_Dom,0))&lt;&gt;"LMS")),"+",""),"?"))))</f>
        <v/>
      </c>
      <c r="V56" s="13">
        <f>IF(OR($A56="",V$5=""),"",IF(OR(AND(INDEX(TekFra,37)&gt;0,V$5&lt;INDEX(TekFra,37)),AND(INDEX(TekTil,37)&gt;0,V$5&gt;INDEX(TekTil,37))),"",IF(COUNTIFS(TF_Nokkel,$A56&amp;"|"&amp;V$5)=0,IF(V$10&lt;&gt;"","LMS",""),IFERROR(IF(SUMIFS(TF_Timer,TF_Nokkel,$A56&amp;"|"&amp;V$5,TF_Akt,"LMS")+IF(V$10="",0,MAX(0,ROUND((V$13-SUMIFS(TF_Timer,TF_Nokkel,$A56&amp;"|"&amp;V$5))*2,0)/2))&gt;INDEX(TF_AktSum,MATCH($A56&amp;"|"&amp;V$5,TF_Dom,0)),"LMS",INDEX(AktKode,MATCH(INDEX(TF_Akt,MATCH($A56&amp;"|"&amp;V$5,TF_Dom,0)),Aktiviteter,0)))&amp;IF(OR(COUNTIFS(TF_Nokkel,$A56&amp;"|"&amp;V$5,TF_Akt,"&lt;&gt;"&amp;INDEX(TF_Akt,MATCH($A56&amp;"|"&amp;V$5,TF_Dom,0)))&gt;0,AND(IF(V$10="",0,MAX(0,ROUND((V$13-SUMIFS(TF_Timer,TF_Nokkel,$A56&amp;"|"&amp;V$5))*2,0)/2))&gt;0,INDEX(TF_Akt,MATCH($A56&amp;"|"&amp;V$5,TF_Dom,0))&lt;&gt;"LMS")),"+",""),"?"))))</f>
        <v/>
      </c>
      <c r="W56" s="13">
        <f>IF(OR($A56="",W$5=""),"",IF(OR(AND(INDEX(TekFra,37)&gt;0,W$5&lt;INDEX(TekFra,37)),AND(INDEX(TekTil,37)&gt;0,W$5&gt;INDEX(TekTil,37))),"",IF(COUNTIFS(TF_Nokkel,$A56&amp;"|"&amp;W$5)=0,IF(W$10&lt;&gt;"","LMS",""),IFERROR(IF(SUMIFS(TF_Timer,TF_Nokkel,$A56&amp;"|"&amp;W$5,TF_Akt,"LMS")+IF(W$10="",0,MAX(0,ROUND((W$13-SUMIFS(TF_Timer,TF_Nokkel,$A56&amp;"|"&amp;W$5))*2,0)/2))&gt;INDEX(TF_AktSum,MATCH($A56&amp;"|"&amp;W$5,TF_Dom,0)),"LMS",INDEX(AktKode,MATCH(INDEX(TF_Akt,MATCH($A56&amp;"|"&amp;W$5,TF_Dom,0)),Aktiviteter,0)))&amp;IF(OR(COUNTIFS(TF_Nokkel,$A56&amp;"|"&amp;W$5,TF_Akt,"&lt;&gt;"&amp;INDEX(TF_Akt,MATCH($A56&amp;"|"&amp;W$5,TF_Dom,0)))&gt;0,AND(IF(W$10="",0,MAX(0,ROUND((W$13-SUMIFS(TF_Timer,TF_Nokkel,$A56&amp;"|"&amp;W$5))*2,0)/2))&gt;0,INDEX(TF_Akt,MATCH($A56&amp;"|"&amp;W$5,TF_Dom,0))&lt;&gt;"LMS")),"+",""),"?"))))</f>
        <v/>
      </c>
      <c r="X56" s="13">
        <f>IF(OR($A56="",X$5=""),"",IF(OR(AND(INDEX(TekFra,37)&gt;0,X$5&lt;INDEX(TekFra,37)),AND(INDEX(TekTil,37)&gt;0,X$5&gt;INDEX(TekTil,37))),"",IF(COUNTIFS(TF_Nokkel,$A56&amp;"|"&amp;X$5)=0,IF(X$10&lt;&gt;"","LMS",""),IFERROR(IF(SUMIFS(TF_Timer,TF_Nokkel,$A56&amp;"|"&amp;X$5,TF_Akt,"LMS")+IF(X$10="",0,MAX(0,ROUND((X$13-SUMIFS(TF_Timer,TF_Nokkel,$A56&amp;"|"&amp;X$5))*2,0)/2))&gt;INDEX(TF_AktSum,MATCH($A56&amp;"|"&amp;X$5,TF_Dom,0)),"LMS",INDEX(AktKode,MATCH(INDEX(TF_Akt,MATCH($A56&amp;"|"&amp;X$5,TF_Dom,0)),Aktiviteter,0)))&amp;IF(OR(COUNTIFS(TF_Nokkel,$A56&amp;"|"&amp;X$5,TF_Akt,"&lt;&gt;"&amp;INDEX(TF_Akt,MATCH($A56&amp;"|"&amp;X$5,TF_Dom,0)))&gt;0,AND(IF(X$10="",0,MAX(0,ROUND((X$13-SUMIFS(TF_Timer,TF_Nokkel,$A56&amp;"|"&amp;X$5))*2,0)/2))&gt;0,INDEX(TF_Akt,MATCH($A56&amp;"|"&amp;X$5,TF_Dom,0))&lt;&gt;"LMS")),"+",""),"?"))))</f>
        <v/>
      </c>
      <c r="Y56" s="13">
        <f>IF(OR($A56="",Y$5=""),"",IF(OR(AND(INDEX(TekFra,37)&gt;0,Y$5&lt;INDEX(TekFra,37)),AND(INDEX(TekTil,37)&gt;0,Y$5&gt;INDEX(TekTil,37))),"",IF(COUNTIFS(TF_Nokkel,$A56&amp;"|"&amp;Y$5)=0,IF(Y$10&lt;&gt;"","LMS",""),IFERROR(IF(SUMIFS(TF_Timer,TF_Nokkel,$A56&amp;"|"&amp;Y$5,TF_Akt,"LMS")+IF(Y$10="",0,MAX(0,ROUND((Y$13-SUMIFS(TF_Timer,TF_Nokkel,$A56&amp;"|"&amp;Y$5))*2,0)/2))&gt;INDEX(TF_AktSum,MATCH($A56&amp;"|"&amp;Y$5,TF_Dom,0)),"LMS",INDEX(AktKode,MATCH(INDEX(TF_Akt,MATCH($A56&amp;"|"&amp;Y$5,TF_Dom,0)),Aktiviteter,0)))&amp;IF(OR(COUNTIFS(TF_Nokkel,$A56&amp;"|"&amp;Y$5,TF_Akt,"&lt;&gt;"&amp;INDEX(TF_Akt,MATCH($A56&amp;"|"&amp;Y$5,TF_Dom,0)))&gt;0,AND(IF(Y$10="",0,MAX(0,ROUND((Y$13-SUMIFS(TF_Timer,TF_Nokkel,$A56&amp;"|"&amp;Y$5))*2,0)/2))&gt;0,INDEX(TF_Akt,MATCH($A56&amp;"|"&amp;Y$5,TF_Dom,0))&lt;&gt;"LMS")),"+",""),"?"))))</f>
        <v/>
      </c>
      <c r="Z56" s="13">
        <f>IF(OR($A56="",Z$5=""),"",IF(OR(AND(INDEX(TekFra,37)&gt;0,Z$5&lt;INDEX(TekFra,37)),AND(INDEX(TekTil,37)&gt;0,Z$5&gt;INDEX(TekTil,37))),"",IF(COUNTIFS(TF_Nokkel,$A56&amp;"|"&amp;Z$5)=0,IF(Z$10&lt;&gt;"","LMS",""),IFERROR(IF(SUMIFS(TF_Timer,TF_Nokkel,$A56&amp;"|"&amp;Z$5,TF_Akt,"LMS")+IF(Z$10="",0,MAX(0,ROUND((Z$13-SUMIFS(TF_Timer,TF_Nokkel,$A56&amp;"|"&amp;Z$5))*2,0)/2))&gt;INDEX(TF_AktSum,MATCH($A56&amp;"|"&amp;Z$5,TF_Dom,0)),"LMS",INDEX(AktKode,MATCH(INDEX(TF_Akt,MATCH($A56&amp;"|"&amp;Z$5,TF_Dom,0)),Aktiviteter,0)))&amp;IF(OR(COUNTIFS(TF_Nokkel,$A56&amp;"|"&amp;Z$5,TF_Akt,"&lt;&gt;"&amp;INDEX(TF_Akt,MATCH($A56&amp;"|"&amp;Z$5,TF_Dom,0)))&gt;0,AND(IF(Z$10="",0,MAX(0,ROUND((Z$13-SUMIFS(TF_Timer,TF_Nokkel,$A56&amp;"|"&amp;Z$5))*2,0)/2))&gt;0,INDEX(TF_Akt,MATCH($A56&amp;"|"&amp;Z$5,TF_Dom,0))&lt;&gt;"LMS")),"+",""),"?"))))</f>
        <v/>
      </c>
      <c r="AA56" s="13">
        <f>IF(OR($A56="",AA$5=""),"",IF(OR(AND(INDEX(TekFra,37)&gt;0,AA$5&lt;INDEX(TekFra,37)),AND(INDEX(TekTil,37)&gt;0,AA$5&gt;INDEX(TekTil,37))),"",IF(COUNTIFS(TF_Nokkel,$A56&amp;"|"&amp;AA$5)=0,IF(AA$10&lt;&gt;"","LMS",""),IFERROR(IF(SUMIFS(TF_Timer,TF_Nokkel,$A56&amp;"|"&amp;AA$5,TF_Akt,"LMS")+IF(AA$10="",0,MAX(0,ROUND((AA$13-SUMIFS(TF_Timer,TF_Nokkel,$A56&amp;"|"&amp;AA$5))*2,0)/2))&gt;INDEX(TF_AktSum,MATCH($A56&amp;"|"&amp;AA$5,TF_Dom,0)),"LMS",INDEX(AktKode,MATCH(INDEX(TF_Akt,MATCH($A56&amp;"|"&amp;AA$5,TF_Dom,0)),Aktiviteter,0)))&amp;IF(OR(COUNTIFS(TF_Nokkel,$A56&amp;"|"&amp;AA$5,TF_Akt,"&lt;&gt;"&amp;INDEX(TF_Akt,MATCH($A56&amp;"|"&amp;AA$5,TF_Dom,0)))&gt;0,AND(IF(AA$10="",0,MAX(0,ROUND((AA$13-SUMIFS(TF_Timer,TF_Nokkel,$A56&amp;"|"&amp;AA$5))*2,0)/2))&gt;0,INDEX(TF_Akt,MATCH($A56&amp;"|"&amp;AA$5,TF_Dom,0))&lt;&gt;"LMS")),"+",""),"?"))))</f>
        <v/>
      </c>
      <c r="AB56" s="13">
        <f>IF(OR($A56="",AB$5=""),"",IF(OR(AND(INDEX(TekFra,37)&gt;0,AB$5&lt;INDEX(TekFra,37)),AND(INDEX(TekTil,37)&gt;0,AB$5&gt;INDEX(TekTil,37))),"",IF(COUNTIFS(TF_Nokkel,$A56&amp;"|"&amp;AB$5)=0,IF(AB$10&lt;&gt;"","LMS",""),IFERROR(IF(SUMIFS(TF_Timer,TF_Nokkel,$A56&amp;"|"&amp;AB$5,TF_Akt,"LMS")+IF(AB$10="",0,MAX(0,ROUND((AB$13-SUMIFS(TF_Timer,TF_Nokkel,$A56&amp;"|"&amp;AB$5))*2,0)/2))&gt;INDEX(TF_AktSum,MATCH($A56&amp;"|"&amp;AB$5,TF_Dom,0)),"LMS",INDEX(AktKode,MATCH(INDEX(TF_Akt,MATCH($A56&amp;"|"&amp;AB$5,TF_Dom,0)),Aktiviteter,0)))&amp;IF(OR(COUNTIFS(TF_Nokkel,$A56&amp;"|"&amp;AB$5,TF_Akt,"&lt;&gt;"&amp;INDEX(TF_Akt,MATCH($A56&amp;"|"&amp;AB$5,TF_Dom,0)))&gt;0,AND(IF(AB$10="",0,MAX(0,ROUND((AB$13-SUMIFS(TF_Timer,TF_Nokkel,$A56&amp;"|"&amp;AB$5))*2,0)/2))&gt;0,INDEX(TF_Akt,MATCH($A56&amp;"|"&amp;AB$5,TF_Dom,0))&lt;&gt;"LMS")),"+",""),"?"))))</f>
        <v/>
      </c>
      <c r="AC56" s="13">
        <f>IF(OR($A56="",AC$5=""),"",IF(OR(AND(INDEX(TekFra,37)&gt;0,AC$5&lt;INDEX(TekFra,37)),AND(INDEX(TekTil,37)&gt;0,AC$5&gt;INDEX(TekTil,37))),"",IF(COUNTIFS(TF_Nokkel,$A56&amp;"|"&amp;AC$5)=0,IF(AC$10&lt;&gt;"","LMS",""),IFERROR(IF(SUMIFS(TF_Timer,TF_Nokkel,$A56&amp;"|"&amp;AC$5,TF_Akt,"LMS")+IF(AC$10="",0,MAX(0,ROUND((AC$13-SUMIFS(TF_Timer,TF_Nokkel,$A56&amp;"|"&amp;AC$5))*2,0)/2))&gt;INDEX(TF_AktSum,MATCH($A56&amp;"|"&amp;AC$5,TF_Dom,0)),"LMS",INDEX(AktKode,MATCH(INDEX(TF_Akt,MATCH($A56&amp;"|"&amp;AC$5,TF_Dom,0)),Aktiviteter,0)))&amp;IF(OR(COUNTIFS(TF_Nokkel,$A56&amp;"|"&amp;AC$5,TF_Akt,"&lt;&gt;"&amp;INDEX(TF_Akt,MATCH($A56&amp;"|"&amp;AC$5,TF_Dom,0)))&gt;0,AND(IF(AC$10="",0,MAX(0,ROUND((AC$13-SUMIFS(TF_Timer,TF_Nokkel,$A56&amp;"|"&amp;AC$5))*2,0)/2))&gt;0,INDEX(TF_Akt,MATCH($A56&amp;"|"&amp;AC$5,TF_Dom,0))&lt;&gt;"LMS")),"+",""),"?"))))</f>
        <v/>
      </c>
      <c r="AD56" s="13">
        <f>IF(OR($A56="",AD$5=""),"",IF(OR(AND(INDEX(TekFra,37)&gt;0,AD$5&lt;INDEX(TekFra,37)),AND(INDEX(TekTil,37)&gt;0,AD$5&gt;INDEX(TekTil,37))),"",IF(COUNTIFS(TF_Nokkel,$A56&amp;"|"&amp;AD$5)=0,IF(AD$10&lt;&gt;"","LMS",""),IFERROR(IF(SUMIFS(TF_Timer,TF_Nokkel,$A56&amp;"|"&amp;AD$5,TF_Akt,"LMS")+IF(AD$10="",0,MAX(0,ROUND((AD$13-SUMIFS(TF_Timer,TF_Nokkel,$A56&amp;"|"&amp;AD$5))*2,0)/2))&gt;INDEX(TF_AktSum,MATCH($A56&amp;"|"&amp;AD$5,TF_Dom,0)),"LMS",INDEX(AktKode,MATCH(INDEX(TF_Akt,MATCH($A56&amp;"|"&amp;AD$5,TF_Dom,0)),Aktiviteter,0)))&amp;IF(OR(COUNTIFS(TF_Nokkel,$A56&amp;"|"&amp;AD$5,TF_Akt,"&lt;&gt;"&amp;INDEX(TF_Akt,MATCH($A56&amp;"|"&amp;AD$5,TF_Dom,0)))&gt;0,AND(IF(AD$10="",0,MAX(0,ROUND((AD$13-SUMIFS(TF_Timer,TF_Nokkel,$A56&amp;"|"&amp;AD$5))*2,0)/2))&gt;0,INDEX(TF_Akt,MATCH($A56&amp;"|"&amp;AD$5,TF_Dom,0))&lt;&gt;"LMS")),"+",""),"?"))))</f>
        <v/>
      </c>
      <c r="AE56" s="13">
        <f>IF(OR($A56="",AE$5=""),"",IF(OR(AND(INDEX(TekFra,37)&gt;0,AE$5&lt;INDEX(TekFra,37)),AND(INDEX(TekTil,37)&gt;0,AE$5&gt;INDEX(TekTil,37))),"",IF(COUNTIFS(TF_Nokkel,$A56&amp;"|"&amp;AE$5)=0,IF(AE$10&lt;&gt;"","LMS",""),IFERROR(IF(SUMIFS(TF_Timer,TF_Nokkel,$A56&amp;"|"&amp;AE$5,TF_Akt,"LMS")+IF(AE$10="",0,MAX(0,ROUND((AE$13-SUMIFS(TF_Timer,TF_Nokkel,$A56&amp;"|"&amp;AE$5))*2,0)/2))&gt;INDEX(TF_AktSum,MATCH($A56&amp;"|"&amp;AE$5,TF_Dom,0)),"LMS",INDEX(AktKode,MATCH(INDEX(TF_Akt,MATCH($A56&amp;"|"&amp;AE$5,TF_Dom,0)),Aktiviteter,0)))&amp;IF(OR(COUNTIFS(TF_Nokkel,$A56&amp;"|"&amp;AE$5,TF_Akt,"&lt;&gt;"&amp;INDEX(TF_Akt,MATCH($A56&amp;"|"&amp;AE$5,TF_Dom,0)))&gt;0,AND(IF(AE$10="",0,MAX(0,ROUND((AE$13-SUMIFS(TF_Timer,TF_Nokkel,$A56&amp;"|"&amp;AE$5))*2,0)/2))&gt;0,INDEX(TF_Akt,MATCH($A56&amp;"|"&amp;AE$5,TF_Dom,0))&lt;&gt;"LMS")),"+",""),"?"))))</f>
        <v/>
      </c>
      <c r="AF56" s="13">
        <f>IF(OR($A56="",AF$5=""),"",IF(OR(AND(INDEX(TekFra,37)&gt;0,AF$5&lt;INDEX(TekFra,37)),AND(INDEX(TekTil,37)&gt;0,AF$5&gt;INDEX(TekTil,37))),"",IF(COUNTIFS(TF_Nokkel,$A56&amp;"|"&amp;AF$5)=0,IF(AF$10&lt;&gt;"","LMS",""),IFERROR(IF(SUMIFS(TF_Timer,TF_Nokkel,$A56&amp;"|"&amp;AF$5,TF_Akt,"LMS")+IF(AF$10="",0,MAX(0,ROUND((AF$13-SUMIFS(TF_Timer,TF_Nokkel,$A56&amp;"|"&amp;AF$5))*2,0)/2))&gt;INDEX(TF_AktSum,MATCH($A56&amp;"|"&amp;AF$5,TF_Dom,0)),"LMS",INDEX(AktKode,MATCH(INDEX(TF_Akt,MATCH($A56&amp;"|"&amp;AF$5,TF_Dom,0)),Aktiviteter,0)))&amp;IF(OR(COUNTIFS(TF_Nokkel,$A56&amp;"|"&amp;AF$5,TF_Akt,"&lt;&gt;"&amp;INDEX(TF_Akt,MATCH($A56&amp;"|"&amp;AF$5,TF_Dom,0)))&gt;0,AND(IF(AF$10="",0,MAX(0,ROUND((AF$13-SUMIFS(TF_Timer,TF_Nokkel,$A56&amp;"|"&amp;AF$5))*2,0)/2))&gt;0,INDEX(TF_Akt,MATCH($A56&amp;"|"&amp;AF$5,TF_Dom,0))&lt;&gt;"LMS")),"+",""),"?"))))</f>
        <v/>
      </c>
      <c r="AG56" s="13">
        <f>IF(OR($A56="",AG$5=""),"",IF(OR(AND(INDEX(TekFra,37)&gt;0,AG$5&lt;INDEX(TekFra,37)),AND(INDEX(TekTil,37)&gt;0,AG$5&gt;INDEX(TekTil,37))),"",IF(COUNTIFS(TF_Nokkel,$A56&amp;"|"&amp;AG$5)=0,IF(AG$10&lt;&gt;"","LMS",""),IFERROR(IF(SUMIFS(TF_Timer,TF_Nokkel,$A56&amp;"|"&amp;AG$5,TF_Akt,"LMS")+IF(AG$10="",0,MAX(0,ROUND((AG$13-SUMIFS(TF_Timer,TF_Nokkel,$A56&amp;"|"&amp;AG$5))*2,0)/2))&gt;INDEX(TF_AktSum,MATCH($A56&amp;"|"&amp;AG$5,TF_Dom,0)),"LMS",INDEX(AktKode,MATCH(INDEX(TF_Akt,MATCH($A56&amp;"|"&amp;AG$5,TF_Dom,0)),Aktiviteter,0)))&amp;IF(OR(COUNTIFS(TF_Nokkel,$A56&amp;"|"&amp;AG$5,TF_Akt,"&lt;&gt;"&amp;INDEX(TF_Akt,MATCH($A56&amp;"|"&amp;AG$5,TF_Dom,0)))&gt;0,AND(IF(AG$10="",0,MAX(0,ROUND((AG$13-SUMIFS(TF_Timer,TF_Nokkel,$A56&amp;"|"&amp;AG$5))*2,0)/2))&gt;0,INDEX(TF_Akt,MATCH($A56&amp;"|"&amp;AG$5,TF_Dom,0))&lt;&gt;"LMS")),"+",""),"?"))))</f>
        <v/>
      </c>
      <c r="AH56" s="2" t="n"/>
      <c r="AI56" s="2" t="n"/>
      <c r="AJ56" s="2" t="n"/>
    </row>
    <row r="57">
      <c r="A57" s="2">
        <f>INDEX(Teknikere,38)&amp;""</f>
        <v/>
      </c>
      <c r="B57" s="12">
        <f>IF(INDEX(TekFra,38)&gt;0,"ekstra","")</f>
        <v/>
      </c>
      <c r="C57" s="13">
        <f>IF(OR($A57="",C$5=""),"",IF(OR(AND(INDEX(TekFra,38)&gt;0,C$5&lt;INDEX(TekFra,38)),AND(INDEX(TekTil,38)&gt;0,C$5&gt;INDEX(TekTil,38))),"",IF(COUNTIFS(TF_Nokkel,$A57&amp;"|"&amp;C$5)=0,IF(C$10&lt;&gt;"","LMS",""),IFERROR(IF(SUMIFS(TF_Timer,TF_Nokkel,$A57&amp;"|"&amp;C$5,TF_Akt,"LMS")+IF(C$10="",0,MAX(0,ROUND((C$13-SUMIFS(TF_Timer,TF_Nokkel,$A57&amp;"|"&amp;C$5))*2,0)/2))&gt;INDEX(TF_AktSum,MATCH($A57&amp;"|"&amp;C$5,TF_Dom,0)),"LMS",INDEX(AktKode,MATCH(INDEX(TF_Akt,MATCH($A57&amp;"|"&amp;C$5,TF_Dom,0)),Aktiviteter,0)))&amp;IF(OR(COUNTIFS(TF_Nokkel,$A57&amp;"|"&amp;C$5,TF_Akt,"&lt;&gt;"&amp;INDEX(TF_Akt,MATCH($A57&amp;"|"&amp;C$5,TF_Dom,0)))&gt;0,AND(IF(C$10="",0,MAX(0,ROUND((C$13-SUMIFS(TF_Timer,TF_Nokkel,$A57&amp;"|"&amp;C$5))*2,0)/2))&gt;0,INDEX(TF_Akt,MATCH($A57&amp;"|"&amp;C$5,TF_Dom,0))&lt;&gt;"LMS")),"+",""),"?"))))</f>
        <v/>
      </c>
      <c r="D57" s="13">
        <f>IF(OR($A57="",D$5=""),"",IF(OR(AND(INDEX(TekFra,38)&gt;0,D$5&lt;INDEX(TekFra,38)),AND(INDEX(TekTil,38)&gt;0,D$5&gt;INDEX(TekTil,38))),"",IF(COUNTIFS(TF_Nokkel,$A57&amp;"|"&amp;D$5)=0,IF(D$10&lt;&gt;"","LMS",""),IFERROR(IF(SUMIFS(TF_Timer,TF_Nokkel,$A57&amp;"|"&amp;D$5,TF_Akt,"LMS")+IF(D$10="",0,MAX(0,ROUND((D$13-SUMIFS(TF_Timer,TF_Nokkel,$A57&amp;"|"&amp;D$5))*2,0)/2))&gt;INDEX(TF_AktSum,MATCH($A57&amp;"|"&amp;D$5,TF_Dom,0)),"LMS",INDEX(AktKode,MATCH(INDEX(TF_Akt,MATCH($A57&amp;"|"&amp;D$5,TF_Dom,0)),Aktiviteter,0)))&amp;IF(OR(COUNTIFS(TF_Nokkel,$A57&amp;"|"&amp;D$5,TF_Akt,"&lt;&gt;"&amp;INDEX(TF_Akt,MATCH($A57&amp;"|"&amp;D$5,TF_Dom,0)))&gt;0,AND(IF(D$10="",0,MAX(0,ROUND((D$13-SUMIFS(TF_Timer,TF_Nokkel,$A57&amp;"|"&amp;D$5))*2,0)/2))&gt;0,INDEX(TF_Akt,MATCH($A57&amp;"|"&amp;D$5,TF_Dom,0))&lt;&gt;"LMS")),"+",""),"?"))))</f>
        <v/>
      </c>
      <c r="E57" s="13">
        <f>IF(OR($A57="",E$5=""),"",IF(OR(AND(INDEX(TekFra,38)&gt;0,E$5&lt;INDEX(TekFra,38)),AND(INDEX(TekTil,38)&gt;0,E$5&gt;INDEX(TekTil,38))),"",IF(COUNTIFS(TF_Nokkel,$A57&amp;"|"&amp;E$5)=0,IF(E$10&lt;&gt;"","LMS",""),IFERROR(IF(SUMIFS(TF_Timer,TF_Nokkel,$A57&amp;"|"&amp;E$5,TF_Akt,"LMS")+IF(E$10="",0,MAX(0,ROUND((E$13-SUMIFS(TF_Timer,TF_Nokkel,$A57&amp;"|"&amp;E$5))*2,0)/2))&gt;INDEX(TF_AktSum,MATCH($A57&amp;"|"&amp;E$5,TF_Dom,0)),"LMS",INDEX(AktKode,MATCH(INDEX(TF_Akt,MATCH($A57&amp;"|"&amp;E$5,TF_Dom,0)),Aktiviteter,0)))&amp;IF(OR(COUNTIFS(TF_Nokkel,$A57&amp;"|"&amp;E$5,TF_Akt,"&lt;&gt;"&amp;INDEX(TF_Akt,MATCH($A57&amp;"|"&amp;E$5,TF_Dom,0)))&gt;0,AND(IF(E$10="",0,MAX(0,ROUND((E$13-SUMIFS(TF_Timer,TF_Nokkel,$A57&amp;"|"&amp;E$5))*2,0)/2))&gt;0,INDEX(TF_Akt,MATCH($A57&amp;"|"&amp;E$5,TF_Dom,0))&lt;&gt;"LMS")),"+",""),"?"))))</f>
        <v/>
      </c>
      <c r="F57" s="13">
        <f>IF(OR($A57="",F$5=""),"",IF(OR(AND(INDEX(TekFra,38)&gt;0,F$5&lt;INDEX(TekFra,38)),AND(INDEX(TekTil,38)&gt;0,F$5&gt;INDEX(TekTil,38))),"",IF(COUNTIFS(TF_Nokkel,$A57&amp;"|"&amp;F$5)=0,IF(F$10&lt;&gt;"","LMS",""),IFERROR(IF(SUMIFS(TF_Timer,TF_Nokkel,$A57&amp;"|"&amp;F$5,TF_Akt,"LMS")+IF(F$10="",0,MAX(0,ROUND((F$13-SUMIFS(TF_Timer,TF_Nokkel,$A57&amp;"|"&amp;F$5))*2,0)/2))&gt;INDEX(TF_AktSum,MATCH($A57&amp;"|"&amp;F$5,TF_Dom,0)),"LMS",INDEX(AktKode,MATCH(INDEX(TF_Akt,MATCH($A57&amp;"|"&amp;F$5,TF_Dom,0)),Aktiviteter,0)))&amp;IF(OR(COUNTIFS(TF_Nokkel,$A57&amp;"|"&amp;F$5,TF_Akt,"&lt;&gt;"&amp;INDEX(TF_Akt,MATCH($A57&amp;"|"&amp;F$5,TF_Dom,0)))&gt;0,AND(IF(F$10="",0,MAX(0,ROUND((F$13-SUMIFS(TF_Timer,TF_Nokkel,$A57&amp;"|"&amp;F$5))*2,0)/2))&gt;0,INDEX(TF_Akt,MATCH($A57&amp;"|"&amp;F$5,TF_Dom,0))&lt;&gt;"LMS")),"+",""),"?"))))</f>
        <v/>
      </c>
      <c r="G57" s="13">
        <f>IF(OR($A57="",G$5=""),"",IF(OR(AND(INDEX(TekFra,38)&gt;0,G$5&lt;INDEX(TekFra,38)),AND(INDEX(TekTil,38)&gt;0,G$5&gt;INDEX(TekTil,38))),"",IF(COUNTIFS(TF_Nokkel,$A57&amp;"|"&amp;G$5)=0,IF(G$10&lt;&gt;"","LMS",""),IFERROR(IF(SUMIFS(TF_Timer,TF_Nokkel,$A57&amp;"|"&amp;G$5,TF_Akt,"LMS")+IF(G$10="",0,MAX(0,ROUND((G$13-SUMIFS(TF_Timer,TF_Nokkel,$A57&amp;"|"&amp;G$5))*2,0)/2))&gt;INDEX(TF_AktSum,MATCH($A57&amp;"|"&amp;G$5,TF_Dom,0)),"LMS",INDEX(AktKode,MATCH(INDEX(TF_Akt,MATCH($A57&amp;"|"&amp;G$5,TF_Dom,0)),Aktiviteter,0)))&amp;IF(OR(COUNTIFS(TF_Nokkel,$A57&amp;"|"&amp;G$5,TF_Akt,"&lt;&gt;"&amp;INDEX(TF_Akt,MATCH($A57&amp;"|"&amp;G$5,TF_Dom,0)))&gt;0,AND(IF(G$10="",0,MAX(0,ROUND((G$13-SUMIFS(TF_Timer,TF_Nokkel,$A57&amp;"|"&amp;G$5))*2,0)/2))&gt;0,INDEX(TF_Akt,MATCH($A57&amp;"|"&amp;G$5,TF_Dom,0))&lt;&gt;"LMS")),"+",""),"?"))))</f>
        <v/>
      </c>
      <c r="H57" s="13">
        <f>IF(OR($A57="",H$5=""),"",IF(OR(AND(INDEX(TekFra,38)&gt;0,H$5&lt;INDEX(TekFra,38)),AND(INDEX(TekTil,38)&gt;0,H$5&gt;INDEX(TekTil,38))),"",IF(COUNTIFS(TF_Nokkel,$A57&amp;"|"&amp;H$5)=0,IF(H$10&lt;&gt;"","LMS",""),IFERROR(IF(SUMIFS(TF_Timer,TF_Nokkel,$A57&amp;"|"&amp;H$5,TF_Akt,"LMS")+IF(H$10="",0,MAX(0,ROUND((H$13-SUMIFS(TF_Timer,TF_Nokkel,$A57&amp;"|"&amp;H$5))*2,0)/2))&gt;INDEX(TF_AktSum,MATCH($A57&amp;"|"&amp;H$5,TF_Dom,0)),"LMS",INDEX(AktKode,MATCH(INDEX(TF_Akt,MATCH($A57&amp;"|"&amp;H$5,TF_Dom,0)),Aktiviteter,0)))&amp;IF(OR(COUNTIFS(TF_Nokkel,$A57&amp;"|"&amp;H$5,TF_Akt,"&lt;&gt;"&amp;INDEX(TF_Akt,MATCH($A57&amp;"|"&amp;H$5,TF_Dom,0)))&gt;0,AND(IF(H$10="",0,MAX(0,ROUND((H$13-SUMIFS(TF_Timer,TF_Nokkel,$A57&amp;"|"&amp;H$5))*2,0)/2))&gt;0,INDEX(TF_Akt,MATCH($A57&amp;"|"&amp;H$5,TF_Dom,0))&lt;&gt;"LMS")),"+",""),"?"))))</f>
        <v/>
      </c>
      <c r="I57" s="13">
        <f>IF(OR($A57="",I$5=""),"",IF(OR(AND(INDEX(TekFra,38)&gt;0,I$5&lt;INDEX(TekFra,38)),AND(INDEX(TekTil,38)&gt;0,I$5&gt;INDEX(TekTil,38))),"",IF(COUNTIFS(TF_Nokkel,$A57&amp;"|"&amp;I$5)=0,IF(I$10&lt;&gt;"","LMS",""),IFERROR(IF(SUMIFS(TF_Timer,TF_Nokkel,$A57&amp;"|"&amp;I$5,TF_Akt,"LMS")+IF(I$10="",0,MAX(0,ROUND((I$13-SUMIFS(TF_Timer,TF_Nokkel,$A57&amp;"|"&amp;I$5))*2,0)/2))&gt;INDEX(TF_AktSum,MATCH($A57&amp;"|"&amp;I$5,TF_Dom,0)),"LMS",INDEX(AktKode,MATCH(INDEX(TF_Akt,MATCH($A57&amp;"|"&amp;I$5,TF_Dom,0)),Aktiviteter,0)))&amp;IF(OR(COUNTIFS(TF_Nokkel,$A57&amp;"|"&amp;I$5,TF_Akt,"&lt;&gt;"&amp;INDEX(TF_Akt,MATCH($A57&amp;"|"&amp;I$5,TF_Dom,0)))&gt;0,AND(IF(I$10="",0,MAX(0,ROUND((I$13-SUMIFS(TF_Timer,TF_Nokkel,$A57&amp;"|"&amp;I$5))*2,0)/2))&gt;0,INDEX(TF_Akt,MATCH($A57&amp;"|"&amp;I$5,TF_Dom,0))&lt;&gt;"LMS")),"+",""),"?"))))</f>
        <v/>
      </c>
      <c r="J57" s="13">
        <f>IF(OR($A57="",J$5=""),"",IF(OR(AND(INDEX(TekFra,38)&gt;0,J$5&lt;INDEX(TekFra,38)),AND(INDEX(TekTil,38)&gt;0,J$5&gt;INDEX(TekTil,38))),"",IF(COUNTIFS(TF_Nokkel,$A57&amp;"|"&amp;J$5)=0,IF(J$10&lt;&gt;"","LMS",""),IFERROR(IF(SUMIFS(TF_Timer,TF_Nokkel,$A57&amp;"|"&amp;J$5,TF_Akt,"LMS")+IF(J$10="",0,MAX(0,ROUND((J$13-SUMIFS(TF_Timer,TF_Nokkel,$A57&amp;"|"&amp;J$5))*2,0)/2))&gt;INDEX(TF_AktSum,MATCH($A57&amp;"|"&amp;J$5,TF_Dom,0)),"LMS",INDEX(AktKode,MATCH(INDEX(TF_Akt,MATCH($A57&amp;"|"&amp;J$5,TF_Dom,0)),Aktiviteter,0)))&amp;IF(OR(COUNTIFS(TF_Nokkel,$A57&amp;"|"&amp;J$5,TF_Akt,"&lt;&gt;"&amp;INDEX(TF_Akt,MATCH($A57&amp;"|"&amp;J$5,TF_Dom,0)))&gt;0,AND(IF(J$10="",0,MAX(0,ROUND((J$13-SUMIFS(TF_Timer,TF_Nokkel,$A57&amp;"|"&amp;J$5))*2,0)/2))&gt;0,INDEX(TF_Akt,MATCH($A57&amp;"|"&amp;J$5,TF_Dom,0))&lt;&gt;"LMS")),"+",""),"?"))))</f>
        <v/>
      </c>
      <c r="K57" s="13">
        <f>IF(OR($A57="",K$5=""),"",IF(OR(AND(INDEX(TekFra,38)&gt;0,K$5&lt;INDEX(TekFra,38)),AND(INDEX(TekTil,38)&gt;0,K$5&gt;INDEX(TekTil,38))),"",IF(COUNTIFS(TF_Nokkel,$A57&amp;"|"&amp;K$5)=0,IF(K$10&lt;&gt;"","LMS",""),IFERROR(IF(SUMIFS(TF_Timer,TF_Nokkel,$A57&amp;"|"&amp;K$5,TF_Akt,"LMS")+IF(K$10="",0,MAX(0,ROUND((K$13-SUMIFS(TF_Timer,TF_Nokkel,$A57&amp;"|"&amp;K$5))*2,0)/2))&gt;INDEX(TF_AktSum,MATCH($A57&amp;"|"&amp;K$5,TF_Dom,0)),"LMS",INDEX(AktKode,MATCH(INDEX(TF_Akt,MATCH($A57&amp;"|"&amp;K$5,TF_Dom,0)),Aktiviteter,0)))&amp;IF(OR(COUNTIFS(TF_Nokkel,$A57&amp;"|"&amp;K$5,TF_Akt,"&lt;&gt;"&amp;INDEX(TF_Akt,MATCH($A57&amp;"|"&amp;K$5,TF_Dom,0)))&gt;0,AND(IF(K$10="",0,MAX(0,ROUND((K$13-SUMIFS(TF_Timer,TF_Nokkel,$A57&amp;"|"&amp;K$5))*2,0)/2))&gt;0,INDEX(TF_Akt,MATCH($A57&amp;"|"&amp;K$5,TF_Dom,0))&lt;&gt;"LMS")),"+",""),"?"))))</f>
        <v/>
      </c>
      <c r="L57" s="13">
        <f>IF(OR($A57="",L$5=""),"",IF(OR(AND(INDEX(TekFra,38)&gt;0,L$5&lt;INDEX(TekFra,38)),AND(INDEX(TekTil,38)&gt;0,L$5&gt;INDEX(TekTil,38))),"",IF(COUNTIFS(TF_Nokkel,$A57&amp;"|"&amp;L$5)=0,IF(L$10&lt;&gt;"","LMS",""),IFERROR(IF(SUMIFS(TF_Timer,TF_Nokkel,$A57&amp;"|"&amp;L$5,TF_Akt,"LMS")+IF(L$10="",0,MAX(0,ROUND((L$13-SUMIFS(TF_Timer,TF_Nokkel,$A57&amp;"|"&amp;L$5))*2,0)/2))&gt;INDEX(TF_AktSum,MATCH($A57&amp;"|"&amp;L$5,TF_Dom,0)),"LMS",INDEX(AktKode,MATCH(INDEX(TF_Akt,MATCH($A57&amp;"|"&amp;L$5,TF_Dom,0)),Aktiviteter,0)))&amp;IF(OR(COUNTIFS(TF_Nokkel,$A57&amp;"|"&amp;L$5,TF_Akt,"&lt;&gt;"&amp;INDEX(TF_Akt,MATCH($A57&amp;"|"&amp;L$5,TF_Dom,0)))&gt;0,AND(IF(L$10="",0,MAX(0,ROUND((L$13-SUMIFS(TF_Timer,TF_Nokkel,$A57&amp;"|"&amp;L$5))*2,0)/2))&gt;0,INDEX(TF_Akt,MATCH($A57&amp;"|"&amp;L$5,TF_Dom,0))&lt;&gt;"LMS")),"+",""),"?"))))</f>
        <v/>
      </c>
      <c r="M57" s="13">
        <f>IF(OR($A57="",M$5=""),"",IF(OR(AND(INDEX(TekFra,38)&gt;0,M$5&lt;INDEX(TekFra,38)),AND(INDEX(TekTil,38)&gt;0,M$5&gt;INDEX(TekTil,38))),"",IF(COUNTIFS(TF_Nokkel,$A57&amp;"|"&amp;M$5)=0,IF(M$10&lt;&gt;"","LMS",""),IFERROR(IF(SUMIFS(TF_Timer,TF_Nokkel,$A57&amp;"|"&amp;M$5,TF_Akt,"LMS")+IF(M$10="",0,MAX(0,ROUND((M$13-SUMIFS(TF_Timer,TF_Nokkel,$A57&amp;"|"&amp;M$5))*2,0)/2))&gt;INDEX(TF_AktSum,MATCH($A57&amp;"|"&amp;M$5,TF_Dom,0)),"LMS",INDEX(AktKode,MATCH(INDEX(TF_Akt,MATCH($A57&amp;"|"&amp;M$5,TF_Dom,0)),Aktiviteter,0)))&amp;IF(OR(COUNTIFS(TF_Nokkel,$A57&amp;"|"&amp;M$5,TF_Akt,"&lt;&gt;"&amp;INDEX(TF_Akt,MATCH($A57&amp;"|"&amp;M$5,TF_Dom,0)))&gt;0,AND(IF(M$10="",0,MAX(0,ROUND((M$13-SUMIFS(TF_Timer,TF_Nokkel,$A57&amp;"|"&amp;M$5))*2,0)/2))&gt;0,INDEX(TF_Akt,MATCH($A57&amp;"|"&amp;M$5,TF_Dom,0))&lt;&gt;"LMS")),"+",""),"?"))))</f>
        <v/>
      </c>
      <c r="N57" s="13">
        <f>IF(OR($A57="",N$5=""),"",IF(OR(AND(INDEX(TekFra,38)&gt;0,N$5&lt;INDEX(TekFra,38)),AND(INDEX(TekTil,38)&gt;0,N$5&gt;INDEX(TekTil,38))),"",IF(COUNTIFS(TF_Nokkel,$A57&amp;"|"&amp;N$5)=0,IF(N$10&lt;&gt;"","LMS",""),IFERROR(IF(SUMIFS(TF_Timer,TF_Nokkel,$A57&amp;"|"&amp;N$5,TF_Akt,"LMS")+IF(N$10="",0,MAX(0,ROUND((N$13-SUMIFS(TF_Timer,TF_Nokkel,$A57&amp;"|"&amp;N$5))*2,0)/2))&gt;INDEX(TF_AktSum,MATCH($A57&amp;"|"&amp;N$5,TF_Dom,0)),"LMS",INDEX(AktKode,MATCH(INDEX(TF_Akt,MATCH($A57&amp;"|"&amp;N$5,TF_Dom,0)),Aktiviteter,0)))&amp;IF(OR(COUNTIFS(TF_Nokkel,$A57&amp;"|"&amp;N$5,TF_Akt,"&lt;&gt;"&amp;INDEX(TF_Akt,MATCH($A57&amp;"|"&amp;N$5,TF_Dom,0)))&gt;0,AND(IF(N$10="",0,MAX(0,ROUND((N$13-SUMIFS(TF_Timer,TF_Nokkel,$A57&amp;"|"&amp;N$5))*2,0)/2))&gt;0,INDEX(TF_Akt,MATCH($A57&amp;"|"&amp;N$5,TF_Dom,0))&lt;&gt;"LMS")),"+",""),"?"))))</f>
        <v/>
      </c>
      <c r="O57" s="13">
        <f>IF(OR($A57="",O$5=""),"",IF(OR(AND(INDEX(TekFra,38)&gt;0,O$5&lt;INDEX(TekFra,38)),AND(INDEX(TekTil,38)&gt;0,O$5&gt;INDEX(TekTil,38))),"",IF(COUNTIFS(TF_Nokkel,$A57&amp;"|"&amp;O$5)=0,IF(O$10&lt;&gt;"","LMS",""),IFERROR(IF(SUMIFS(TF_Timer,TF_Nokkel,$A57&amp;"|"&amp;O$5,TF_Akt,"LMS")+IF(O$10="",0,MAX(0,ROUND((O$13-SUMIFS(TF_Timer,TF_Nokkel,$A57&amp;"|"&amp;O$5))*2,0)/2))&gt;INDEX(TF_AktSum,MATCH($A57&amp;"|"&amp;O$5,TF_Dom,0)),"LMS",INDEX(AktKode,MATCH(INDEX(TF_Akt,MATCH($A57&amp;"|"&amp;O$5,TF_Dom,0)),Aktiviteter,0)))&amp;IF(OR(COUNTIFS(TF_Nokkel,$A57&amp;"|"&amp;O$5,TF_Akt,"&lt;&gt;"&amp;INDEX(TF_Akt,MATCH($A57&amp;"|"&amp;O$5,TF_Dom,0)))&gt;0,AND(IF(O$10="",0,MAX(0,ROUND((O$13-SUMIFS(TF_Timer,TF_Nokkel,$A57&amp;"|"&amp;O$5))*2,0)/2))&gt;0,INDEX(TF_Akt,MATCH($A57&amp;"|"&amp;O$5,TF_Dom,0))&lt;&gt;"LMS")),"+",""),"?"))))</f>
        <v/>
      </c>
      <c r="P57" s="13">
        <f>IF(OR($A57="",P$5=""),"",IF(OR(AND(INDEX(TekFra,38)&gt;0,P$5&lt;INDEX(TekFra,38)),AND(INDEX(TekTil,38)&gt;0,P$5&gt;INDEX(TekTil,38))),"",IF(COUNTIFS(TF_Nokkel,$A57&amp;"|"&amp;P$5)=0,IF(P$10&lt;&gt;"","LMS",""),IFERROR(IF(SUMIFS(TF_Timer,TF_Nokkel,$A57&amp;"|"&amp;P$5,TF_Akt,"LMS")+IF(P$10="",0,MAX(0,ROUND((P$13-SUMIFS(TF_Timer,TF_Nokkel,$A57&amp;"|"&amp;P$5))*2,0)/2))&gt;INDEX(TF_AktSum,MATCH($A57&amp;"|"&amp;P$5,TF_Dom,0)),"LMS",INDEX(AktKode,MATCH(INDEX(TF_Akt,MATCH($A57&amp;"|"&amp;P$5,TF_Dom,0)),Aktiviteter,0)))&amp;IF(OR(COUNTIFS(TF_Nokkel,$A57&amp;"|"&amp;P$5,TF_Akt,"&lt;&gt;"&amp;INDEX(TF_Akt,MATCH($A57&amp;"|"&amp;P$5,TF_Dom,0)))&gt;0,AND(IF(P$10="",0,MAX(0,ROUND((P$13-SUMIFS(TF_Timer,TF_Nokkel,$A57&amp;"|"&amp;P$5))*2,0)/2))&gt;0,INDEX(TF_Akt,MATCH($A57&amp;"|"&amp;P$5,TF_Dom,0))&lt;&gt;"LMS")),"+",""),"?"))))</f>
        <v/>
      </c>
      <c r="Q57" s="13">
        <f>IF(OR($A57="",Q$5=""),"",IF(OR(AND(INDEX(TekFra,38)&gt;0,Q$5&lt;INDEX(TekFra,38)),AND(INDEX(TekTil,38)&gt;0,Q$5&gt;INDEX(TekTil,38))),"",IF(COUNTIFS(TF_Nokkel,$A57&amp;"|"&amp;Q$5)=0,IF(Q$10&lt;&gt;"","LMS",""),IFERROR(IF(SUMIFS(TF_Timer,TF_Nokkel,$A57&amp;"|"&amp;Q$5,TF_Akt,"LMS")+IF(Q$10="",0,MAX(0,ROUND((Q$13-SUMIFS(TF_Timer,TF_Nokkel,$A57&amp;"|"&amp;Q$5))*2,0)/2))&gt;INDEX(TF_AktSum,MATCH($A57&amp;"|"&amp;Q$5,TF_Dom,0)),"LMS",INDEX(AktKode,MATCH(INDEX(TF_Akt,MATCH($A57&amp;"|"&amp;Q$5,TF_Dom,0)),Aktiviteter,0)))&amp;IF(OR(COUNTIFS(TF_Nokkel,$A57&amp;"|"&amp;Q$5,TF_Akt,"&lt;&gt;"&amp;INDEX(TF_Akt,MATCH($A57&amp;"|"&amp;Q$5,TF_Dom,0)))&gt;0,AND(IF(Q$10="",0,MAX(0,ROUND((Q$13-SUMIFS(TF_Timer,TF_Nokkel,$A57&amp;"|"&amp;Q$5))*2,0)/2))&gt;0,INDEX(TF_Akt,MATCH($A57&amp;"|"&amp;Q$5,TF_Dom,0))&lt;&gt;"LMS")),"+",""),"?"))))</f>
        <v/>
      </c>
      <c r="R57" s="13">
        <f>IF(OR($A57="",R$5=""),"",IF(OR(AND(INDEX(TekFra,38)&gt;0,R$5&lt;INDEX(TekFra,38)),AND(INDEX(TekTil,38)&gt;0,R$5&gt;INDEX(TekTil,38))),"",IF(COUNTIFS(TF_Nokkel,$A57&amp;"|"&amp;R$5)=0,IF(R$10&lt;&gt;"","LMS",""),IFERROR(IF(SUMIFS(TF_Timer,TF_Nokkel,$A57&amp;"|"&amp;R$5,TF_Akt,"LMS")+IF(R$10="",0,MAX(0,ROUND((R$13-SUMIFS(TF_Timer,TF_Nokkel,$A57&amp;"|"&amp;R$5))*2,0)/2))&gt;INDEX(TF_AktSum,MATCH($A57&amp;"|"&amp;R$5,TF_Dom,0)),"LMS",INDEX(AktKode,MATCH(INDEX(TF_Akt,MATCH($A57&amp;"|"&amp;R$5,TF_Dom,0)),Aktiviteter,0)))&amp;IF(OR(COUNTIFS(TF_Nokkel,$A57&amp;"|"&amp;R$5,TF_Akt,"&lt;&gt;"&amp;INDEX(TF_Akt,MATCH($A57&amp;"|"&amp;R$5,TF_Dom,0)))&gt;0,AND(IF(R$10="",0,MAX(0,ROUND((R$13-SUMIFS(TF_Timer,TF_Nokkel,$A57&amp;"|"&amp;R$5))*2,0)/2))&gt;0,INDEX(TF_Akt,MATCH($A57&amp;"|"&amp;R$5,TF_Dom,0))&lt;&gt;"LMS")),"+",""),"?"))))</f>
        <v/>
      </c>
      <c r="S57" s="13">
        <f>IF(OR($A57="",S$5=""),"",IF(OR(AND(INDEX(TekFra,38)&gt;0,S$5&lt;INDEX(TekFra,38)),AND(INDEX(TekTil,38)&gt;0,S$5&gt;INDEX(TekTil,38))),"",IF(COUNTIFS(TF_Nokkel,$A57&amp;"|"&amp;S$5)=0,IF(S$10&lt;&gt;"","LMS",""),IFERROR(IF(SUMIFS(TF_Timer,TF_Nokkel,$A57&amp;"|"&amp;S$5,TF_Akt,"LMS")+IF(S$10="",0,MAX(0,ROUND((S$13-SUMIFS(TF_Timer,TF_Nokkel,$A57&amp;"|"&amp;S$5))*2,0)/2))&gt;INDEX(TF_AktSum,MATCH($A57&amp;"|"&amp;S$5,TF_Dom,0)),"LMS",INDEX(AktKode,MATCH(INDEX(TF_Akt,MATCH($A57&amp;"|"&amp;S$5,TF_Dom,0)),Aktiviteter,0)))&amp;IF(OR(COUNTIFS(TF_Nokkel,$A57&amp;"|"&amp;S$5,TF_Akt,"&lt;&gt;"&amp;INDEX(TF_Akt,MATCH($A57&amp;"|"&amp;S$5,TF_Dom,0)))&gt;0,AND(IF(S$10="",0,MAX(0,ROUND((S$13-SUMIFS(TF_Timer,TF_Nokkel,$A57&amp;"|"&amp;S$5))*2,0)/2))&gt;0,INDEX(TF_Akt,MATCH($A57&amp;"|"&amp;S$5,TF_Dom,0))&lt;&gt;"LMS")),"+",""),"?"))))</f>
        <v/>
      </c>
      <c r="T57" s="13">
        <f>IF(OR($A57="",T$5=""),"",IF(OR(AND(INDEX(TekFra,38)&gt;0,T$5&lt;INDEX(TekFra,38)),AND(INDEX(TekTil,38)&gt;0,T$5&gt;INDEX(TekTil,38))),"",IF(COUNTIFS(TF_Nokkel,$A57&amp;"|"&amp;T$5)=0,IF(T$10&lt;&gt;"","LMS",""),IFERROR(IF(SUMIFS(TF_Timer,TF_Nokkel,$A57&amp;"|"&amp;T$5,TF_Akt,"LMS")+IF(T$10="",0,MAX(0,ROUND((T$13-SUMIFS(TF_Timer,TF_Nokkel,$A57&amp;"|"&amp;T$5))*2,0)/2))&gt;INDEX(TF_AktSum,MATCH($A57&amp;"|"&amp;T$5,TF_Dom,0)),"LMS",INDEX(AktKode,MATCH(INDEX(TF_Akt,MATCH($A57&amp;"|"&amp;T$5,TF_Dom,0)),Aktiviteter,0)))&amp;IF(OR(COUNTIFS(TF_Nokkel,$A57&amp;"|"&amp;T$5,TF_Akt,"&lt;&gt;"&amp;INDEX(TF_Akt,MATCH($A57&amp;"|"&amp;T$5,TF_Dom,0)))&gt;0,AND(IF(T$10="",0,MAX(0,ROUND((T$13-SUMIFS(TF_Timer,TF_Nokkel,$A57&amp;"|"&amp;T$5))*2,0)/2))&gt;0,INDEX(TF_Akt,MATCH($A57&amp;"|"&amp;T$5,TF_Dom,0))&lt;&gt;"LMS")),"+",""),"?"))))</f>
        <v/>
      </c>
      <c r="U57" s="13">
        <f>IF(OR($A57="",U$5=""),"",IF(OR(AND(INDEX(TekFra,38)&gt;0,U$5&lt;INDEX(TekFra,38)),AND(INDEX(TekTil,38)&gt;0,U$5&gt;INDEX(TekTil,38))),"",IF(COUNTIFS(TF_Nokkel,$A57&amp;"|"&amp;U$5)=0,IF(U$10&lt;&gt;"","LMS",""),IFERROR(IF(SUMIFS(TF_Timer,TF_Nokkel,$A57&amp;"|"&amp;U$5,TF_Akt,"LMS")+IF(U$10="",0,MAX(0,ROUND((U$13-SUMIFS(TF_Timer,TF_Nokkel,$A57&amp;"|"&amp;U$5))*2,0)/2))&gt;INDEX(TF_AktSum,MATCH($A57&amp;"|"&amp;U$5,TF_Dom,0)),"LMS",INDEX(AktKode,MATCH(INDEX(TF_Akt,MATCH($A57&amp;"|"&amp;U$5,TF_Dom,0)),Aktiviteter,0)))&amp;IF(OR(COUNTIFS(TF_Nokkel,$A57&amp;"|"&amp;U$5,TF_Akt,"&lt;&gt;"&amp;INDEX(TF_Akt,MATCH($A57&amp;"|"&amp;U$5,TF_Dom,0)))&gt;0,AND(IF(U$10="",0,MAX(0,ROUND((U$13-SUMIFS(TF_Timer,TF_Nokkel,$A57&amp;"|"&amp;U$5))*2,0)/2))&gt;0,INDEX(TF_Akt,MATCH($A57&amp;"|"&amp;U$5,TF_Dom,0))&lt;&gt;"LMS")),"+",""),"?"))))</f>
        <v/>
      </c>
      <c r="V57" s="13">
        <f>IF(OR($A57="",V$5=""),"",IF(OR(AND(INDEX(TekFra,38)&gt;0,V$5&lt;INDEX(TekFra,38)),AND(INDEX(TekTil,38)&gt;0,V$5&gt;INDEX(TekTil,38))),"",IF(COUNTIFS(TF_Nokkel,$A57&amp;"|"&amp;V$5)=0,IF(V$10&lt;&gt;"","LMS",""),IFERROR(IF(SUMIFS(TF_Timer,TF_Nokkel,$A57&amp;"|"&amp;V$5,TF_Akt,"LMS")+IF(V$10="",0,MAX(0,ROUND((V$13-SUMIFS(TF_Timer,TF_Nokkel,$A57&amp;"|"&amp;V$5))*2,0)/2))&gt;INDEX(TF_AktSum,MATCH($A57&amp;"|"&amp;V$5,TF_Dom,0)),"LMS",INDEX(AktKode,MATCH(INDEX(TF_Akt,MATCH($A57&amp;"|"&amp;V$5,TF_Dom,0)),Aktiviteter,0)))&amp;IF(OR(COUNTIFS(TF_Nokkel,$A57&amp;"|"&amp;V$5,TF_Akt,"&lt;&gt;"&amp;INDEX(TF_Akt,MATCH($A57&amp;"|"&amp;V$5,TF_Dom,0)))&gt;0,AND(IF(V$10="",0,MAX(0,ROUND((V$13-SUMIFS(TF_Timer,TF_Nokkel,$A57&amp;"|"&amp;V$5))*2,0)/2))&gt;0,INDEX(TF_Akt,MATCH($A57&amp;"|"&amp;V$5,TF_Dom,0))&lt;&gt;"LMS")),"+",""),"?"))))</f>
        <v/>
      </c>
      <c r="W57" s="13">
        <f>IF(OR($A57="",W$5=""),"",IF(OR(AND(INDEX(TekFra,38)&gt;0,W$5&lt;INDEX(TekFra,38)),AND(INDEX(TekTil,38)&gt;0,W$5&gt;INDEX(TekTil,38))),"",IF(COUNTIFS(TF_Nokkel,$A57&amp;"|"&amp;W$5)=0,IF(W$10&lt;&gt;"","LMS",""),IFERROR(IF(SUMIFS(TF_Timer,TF_Nokkel,$A57&amp;"|"&amp;W$5,TF_Akt,"LMS")+IF(W$10="",0,MAX(0,ROUND((W$13-SUMIFS(TF_Timer,TF_Nokkel,$A57&amp;"|"&amp;W$5))*2,0)/2))&gt;INDEX(TF_AktSum,MATCH($A57&amp;"|"&amp;W$5,TF_Dom,0)),"LMS",INDEX(AktKode,MATCH(INDEX(TF_Akt,MATCH($A57&amp;"|"&amp;W$5,TF_Dom,0)),Aktiviteter,0)))&amp;IF(OR(COUNTIFS(TF_Nokkel,$A57&amp;"|"&amp;W$5,TF_Akt,"&lt;&gt;"&amp;INDEX(TF_Akt,MATCH($A57&amp;"|"&amp;W$5,TF_Dom,0)))&gt;0,AND(IF(W$10="",0,MAX(0,ROUND((W$13-SUMIFS(TF_Timer,TF_Nokkel,$A57&amp;"|"&amp;W$5))*2,0)/2))&gt;0,INDEX(TF_Akt,MATCH($A57&amp;"|"&amp;W$5,TF_Dom,0))&lt;&gt;"LMS")),"+",""),"?"))))</f>
        <v/>
      </c>
      <c r="X57" s="13">
        <f>IF(OR($A57="",X$5=""),"",IF(OR(AND(INDEX(TekFra,38)&gt;0,X$5&lt;INDEX(TekFra,38)),AND(INDEX(TekTil,38)&gt;0,X$5&gt;INDEX(TekTil,38))),"",IF(COUNTIFS(TF_Nokkel,$A57&amp;"|"&amp;X$5)=0,IF(X$10&lt;&gt;"","LMS",""),IFERROR(IF(SUMIFS(TF_Timer,TF_Nokkel,$A57&amp;"|"&amp;X$5,TF_Akt,"LMS")+IF(X$10="",0,MAX(0,ROUND((X$13-SUMIFS(TF_Timer,TF_Nokkel,$A57&amp;"|"&amp;X$5))*2,0)/2))&gt;INDEX(TF_AktSum,MATCH($A57&amp;"|"&amp;X$5,TF_Dom,0)),"LMS",INDEX(AktKode,MATCH(INDEX(TF_Akt,MATCH($A57&amp;"|"&amp;X$5,TF_Dom,0)),Aktiviteter,0)))&amp;IF(OR(COUNTIFS(TF_Nokkel,$A57&amp;"|"&amp;X$5,TF_Akt,"&lt;&gt;"&amp;INDEX(TF_Akt,MATCH($A57&amp;"|"&amp;X$5,TF_Dom,0)))&gt;0,AND(IF(X$10="",0,MAX(0,ROUND((X$13-SUMIFS(TF_Timer,TF_Nokkel,$A57&amp;"|"&amp;X$5))*2,0)/2))&gt;0,INDEX(TF_Akt,MATCH($A57&amp;"|"&amp;X$5,TF_Dom,0))&lt;&gt;"LMS")),"+",""),"?"))))</f>
        <v/>
      </c>
      <c r="Y57" s="13">
        <f>IF(OR($A57="",Y$5=""),"",IF(OR(AND(INDEX(TekFra,38)&gt;0,Y$5&lt;INDEX(TekFra,38)),AND(INDEX(TekTil,38)&gt;0,Y$5&gt;INDEX(TekTil,38))),"",IF(COUNTIFS(TF_Nokkel,$A57&amp;"|"&amp;Y$5)=0,IF(Y$10&lt;&gt;"","LMS",""),IFERROR(IF(SUMIFS(TF_Timer,TF_Nokkel,$A57&amp;"|"&amp;Y$5,TF_Akt,"LMS")+IF(Y$10="",0,MAX(0,ROUND((Y$13-SUMIFS(TF_Timer,TF_Nokkel,$A57&amp;"|"&amp;Y$5))*2,0)/2))&gt;INDEX(TF_AktSum,MATCH($A57&amp;"|"&amp;Y$5,TF_Dom,0)),"LMS",INDEX(AktKode,MATCH(INDEX(TF_Akt,MATCH($A57&amp;"|"&amp;Y$5,TF_Dom,0)),Aktiviteter,0)))&amp;IF(OR(COUNTIFS(TF_Nokkel,$A57&amp;"|"&amp;Y$5,TF_Akt,"&lt;&gt;"&amp;INDEX(TF_Akt,MATCH($A57&amp;"|"&amp;Y$5,TF_Dom,0)))&gt;0,AND(IF(Y$10="",0,MAX(0,ROUND((Y$13-SUMIFS(TF_Timer,TF_Nokkel,$A57&amp;"|"&amp;Y$5))*2,0)/2))&gt;0,INDEX(TF_Akt,MATCH($A57&amp;"|"&amp;Y$5,TF_Dom,0))&lt;&gt;"LMS")),"+",""),"?"))))</f>
        <v/>
      </c>
      <c r="Z57" s="13">
        <f>IF(OR($A57="",Z$5=""),"",IF(OR(AND(INDEX(TekFra,38)&gt;0,Z$5&lt;INDEX(TekFra,38)),AND(INDEX(TekTil,38)&gt;0,Z$5&gt;INDEX(TekTil,38))),"",IF(COUNTIFS(TF_Nokkel,$A57&amp;"|"&amp;Z$5)=0,IF(Z$10&lt;&gt;"","LMS",""),IFERROR(IF(SUMIFS(TF_Timer,TF_Nokkel,$A57&amp;"|"&amp;Z$5,TF_Akt,"LMS")+IF(Z$10="",0,MAX(0,ROUND((Z$13-SUMIFS(TF_Timer,TF_Nokkel,$A57&amp;"|"&amp;Z$5))*2,0)/2))&gt;INDEX(TF_AktSum,MATCH($A57&amp;"|"&amp;Z$5,TF_Dom,0)),"LMS",INDEX(AktKode,MATCH(INDEX(TF_Akt,MATCH($A57&amp;"|"&amp;Z$5,TF_Dom,0)),Aktiviteter,0)))&amp;IF(OR(COUNTIFS(TF_Nokkel,$A57&amp;"|"&amp;Z$5,TF_Akt,"&lt;&gt;"&amp;INDEX(TF_Akt,MATCH($A57&amp;"|"&amp;Z$5,TF_Dom,0)))&gt;0,AND(IF(Z$10="",0,MAX(0,ROUND((Z$13-SUMIFS(TF_Timer,TF_Nokkel,$A57&amp;"|"&amp;Z$5))*2,0)/2))&gt;0,INDEX(TF_Akt,MATCH($A57&amp;"|"&amp;Z$5,TF_Dom,0))&lt;&gt;"LMS")),"+",""),"?"))))</f>
        <v/>
      </c>
      <c r="AA57" s="13">
        <f>IF(OR($A57="",AA$5=""),"",IF(OR(AND(INDEX(TekFra,38)&gt;0,AA$5&lt;INDEX(TekFra,38)),AND(INDEX(TekTil,38)&gt;0,AA$5&gt;INDEX(TekTil,38))),"",IF(COUNTIFS(TF_Nokkel,$A57&amp;"|"&amp;AA$5)=0,IF(AA$10&lt;&gt;"","LMS",""),IFERROR(IF(SUMIFS(TF_Timer,TF_Nokkel,$A57&amp;"|"&amp;AA$5,TF_Akt,"LMS")+IF(AA$10="",0,MAX(0,ROUND((AA$13-SUMIFS(TF_Timer,TF_Nokkel,$A57&amp;"|"&amp;AA$5))*2,0)/2))&gt;INDEX(TF_AktSum,MATCH($A57&amp;"|"&amp;AA$5,TF_Dom,0)),"LMS",INDEX(AktKode,MATCH(INDEX(TF_Akt,MATCH($A57&amp;"|"&amp;AA$5,TF_Dom,0)),Aktiviteter,0)))&amp;IF(OR(COUNTIFS(TF_Nokkel,$A57&amp;"|"&amp;AA$5,TF_Akt,"&lt;&gt;"&amp;INDEX(TF_Akt,MATCH($A57&amp;"|"&amp;AA$5,TF_Dom,0)))&gt;0,AND(IF(AA$10="",0,MAX(0,ROUND((AA$13-SUMIFS(TF_Timer,TF_Nokkel,$A57&amp;"|"&amp;AA$5))*2,0)/2))&gt;0,INDEX(TF_Akt,MATCH($A57&amp;"|"&amp;AA$5,TF_Dom,0))&lt;&gt;"LMS")),"+",""),"?"))))</f>
        <v/>
      </c>
      <c r="AB57" s="13">
        <f>IF(OR($A57="",AB$5=""),"",IF(OR(AND(INDEX(TekFra,38)&gt;0,AB$5&lt;INDEX(TekFra,38)),AND(INDEX(TekTil,38)&gt;0,AB$5&gt;INDEX(TekTil,38))),"",IF(COUNTIFS(TF_Nokkel,$A57&amp;"|"&amp;AB$5)=0,IF(AB$10&lt;&gt;"","LMS",""),IFERROR(IF(SUMIFS(TF_Timer,TF_Nokkel,$A57&amp;"|"&amp;AB$5,TF_Akt,"LMS")+IF(AB$10="",0,MAX(0,ROUND((AB$13-SUMIFS(TF_Timer,TF_Nokkel,$A57&amp;"|"&amp;AB$5))*2,0)/2))&gt;INDEX(TF_AktSum,MATCH($A57&amp;"|"&amp;AB$5,TF_Dom,0)),"LMS",INDEX(AktKode,MATCH(INDEX(TF_Akt,MATCH($A57&amp;"|"&amp;AB$5,TF_Dom,0)),Aktiviteter,0)))&amp;IF(OR(COUNTIFS(TF_Nokkel,$A57&amp;"|"&amp;AB$5,TF_Akt,"&lt;&gt;"&amp;INDEX(TF_Akt,MATCH($A57&amp;"|"&amp;AB$5,TF_Dom,0)))&gt;0,AND(IF(AB$10="",0,MAX(0,ROUND((AB$13-SUMIFS(TF_Timer,TF_Nokkel,$A57&amp;"|"&amp;AB$5))*2,0)/2))&gt;0,INDEX(TF_Akt,MATCH($A57&amp;"|"&amp;AB$5,TF_Dom,0))&lt;&gt;"LMS")),"+",""),"?"))))</f>
        <v/>
      </c>
      <c r="AC57" s="13">
        <f>IF(OR($A57="",AC$5=""),"",IF(OR(AND(INDEX(TekFra,38)&gt;0,AC$5&lt;INDEX(TekFra,38)),AND(INDEX(TekTil,38)&gt;0,AC$5&gt;INDEX(TekTil,38))),"",IF(COUNTIFS(TF_Nokkel,$A57&amp;"|"&amp;AC$5)=0,IF(AC$10&lt;&gt;"","LMS",""),IFERROR(IF(SUMIFS(TF_Timer,TF_Nokkel,$A57&amp;"|"&amp;AC$5,TF_Akt,"LMS")+IF(AC$10="",0,MAX(0,ROUND((AC$13-SUMIFS(TF_Timer,TF_Nokkel,$A57&amp;"|"&amp;AC$5))*2,0)/2))&gt;INDEX(TF_AktSum,MATCH($A57&amp;"|"&amp;AC$5,TF_Dom,0)),"LMS",INDEX(AktKode,MATCH(INDEX(TF_Akt,MATCH($A57&amp;"|"&amp;AC$5,TF_Dom,0)),Aktiviteter,0)))&amp;IF(OR(COUNTIFS(TF_Nokkel,$A57&amp;"|"&amp;AC$5,TF_Akt,"&lt;&gt;"&amp;INDEX(TF_Akt,MATCH($A57&amp;"|"&amp;AC$5,TF_Dom,0)))&gt;0,AND(IF(AC$10="",0,MAX(0,ROUND((AC$13-SUMIFS(TF_Timer,TF_Nokkel,$A57&amp;"|"&amp;AC$5))*2,0)/2))&gt;0,INDEX(TF_Akt,MATCH($A57&amp;"|"&amp;AC$5,TF_Dom,0))&lt;&gt;"LMS")),"+",""),"?"))))</f>
        <v/>
      </c>
      <c r="AD57" s="13">
        <f>IF(OR($A57="",AD$5=""),"",IF(OR(AND(INDEX(TekFra,38)&gt;0,AD$5&lt;INDEX(TekFra,38)),AND(INDEX(TekTil,38)&gt;0,AD$5&gt;INDEX(TekTil,38))),"",IF(COUNTIFS(TF_Nokkel,$A57&amp;"|"&amp;AD$5)=0,IF(AD$10&lt;&gt;"","LMS",""),IFERROR(IF(SUMIFS(TF_Timer,TF_Nokkel,$A57&amp;"|"&amp;AD$5,TF_Akt,"LMS")+IF(AD$10="",0,MAX(0,ROUND((AD$13-SUMIFS(TF_Timer,TF_Nokkel,$A57&amp;"|"&amp;AD$5))*2,0)/2))&gt;INDEX(TF_AktSum,MATCH($A57&amp;"|"&amp;AD$5,TF_Dom,0)),"LMS",INDEX(AktKode,MATCH(INDEX(TF_Akt,MATCH($A57&amp;"|"&amp;AD$5,TF_Dom,0)),Aktiviteter,0)))&amp;IF(OR(COUNTIFS(TF_Nokkel,$A57&amp;"|"&amp;AD$5,TF_Akt,"&lt;&gt;"&amp;INDEX(TF_Akt,MATCH($A57&amp;"|"&amp;AD$5,TF_Dom,0)))&gt;0,AND(IF(AD$10="",0,MAX(0,ROUND((AD$13-SUMIFS(TF_Timer,TF_Nokkel,$A57&amp;"|"&amp;AD$5))*2,0)/2))&gt;0,INDEX(TF_Akt,MATCH($A57&amp;"|"&amp;AD$5,TF_Dom,0))&lt;&gt;"LMS")),"+",""),"?"))))</f>
        <v/>
      </c>
      <c r="AE57" s="13">
        <f>IF(OR($A57="",AE$5=""),"",IF(OR(AND(INDEX(TekFra,38)&gt;0,AE$5&lt;INDEX(TekFra,38)),AND(INDEX(TekTil,38)&gt;0,AE$5&gt;INDEX(TekTil,38))),"",IF(COUNTIFS(TF_Nokkel,$A57&amp;"|"&amp;AE$5)=0,IF(AE$10&lt;&gt;"","LMS",""),IFERROR(IF(SUMIFS(TF_Timer,TF_Nokkel,$A57&amp;"|"&amp;AE$5,TF_Akt,"LMS")+IF(AE$10="",0,MAX(0,ROUND((AE$13-SUMIFS(TF_Timer,TF_Nokkel,$A57&amp;"|"&amp;AE$5))*2,0)/2))&gt;INDEX(TF_AktSum,MATCH($A57&amp;"|"&amp;AE$5,TF_Dom,0)),"LMS",INDEX(AktKode,MATCH(INDEX(TF_Akt,MATCH($A57&amp;"|"&amp;AE$5,TF_Dom,0)),Aktiviteter,0)))&amp;IF(OR(COUNTIFS(TF_Nokkel,$A57&amp;"|"&amp;AE$5,TF_Akt,"&lt;&gt;"&amp;INDEX(TF_Akt,MATCH($A57&amp;"|"&amp;AE$5,TF_Dom,0)))&gt;0,AND(IF(AE$10="",0,MAX(0,ROUND((AE$13-SUMIFS(TF_Timer,TF_Nokkel,$A57&amp;"|"&amp;AE$5))*2,0)/2))&gt;0,INDEX(TF_Akt,MATCH($A57&amp;"|"&amp;AE$5,TF_Dom,0))&lt;&gt;"LMS")),"+",""),"?"))))</f>
        <v/>
      </c>
      <c r="AF57" s="13">
        <f>IF(OR($A57="",AF$5=""),"",IF(OR(AND(INDEX(TekFra,38)&gt;0,AF$5&lt;INDEX(TekFra,38)),AND(INDEX(TekTil,38)&gt;0,AF$5&gt;INDEX(TekTil,38))),"",IF(COUNTIFS(TF_Nokkel,$A57&amp;"|"&amp;AF$5)=0,IF(AF$10&lt;&gt;"","LMS",""),IFERROR(IF(SUMIFS(TF_Timer,TF_Nokkel,$A57&amp;"|"&amp;AF$5,TF_Akt,"LMS")+IF(AF$10="",0,MAX(0,ROUND((AF$13-SUMIFS(TF_Timer,TF_Nokkel,$A57&amp;"|"&amp;AF$5))*2,0)/2))&gt;INDEX(TF_AktSum,MATCH($A57&amp;"|"&amp;AF$5,TF_Dom,0)),"LMS",INDEX(AktKode,MATCH(INDEX(TF_Akt,MATCH($A57&amp;"|"&amp;AF$5,TF_Dom,0)),Aktiviteter,0)))&amp;IF(OR(COUNTIFS(TF_Nokkel,$A57&amp;"|"&amp;AF$5,TF_Akt,"&lt;&gt;"&amp;INDEX(TF_Akt,MATCH($A57&amp;"|"&amp;AF$5,TF_Dom,0)))&gt;0,AND(IF(AF$10="",0,MAX(0,ROUND((AF$13-SUMIFS(TF_Timer,TF_Nokkel,$A57&amp;"|"&amp;AF$5))*2,0)/2))&gt;0,INDEX(TF_Akt,MATCH($A57&amp;"|"&amp;AF$5,TF_Dom,0))&lt;&gt;"LMS")),"+",""),"?"))))</f>
        <v/>
      </c>
      <c r="AG57" s="13">
        <f>IF(OR($A57="",AG$5=""),"",IF(OR(AND(INDEX(TekFra,38)&gt;0,AG$5&lt;INDEX(TekFra,38)),AND(INDEX(TekTil,38)&gt;0,AG$5&gt;INDEX(TekTil,38))),"",IF(COUNTIFS(TF_Nokkel,$A57&amp;"|"&amp;AG$5)=0,IF(AG$10&lt;&gt;"","LMS",""),IFERROR(IF(SUMIFS(TF_Timer,TF_Nokkel,$A57&amp;"|"&amp;AG$5,TF_Akt,"LMS")+IF(AG$10="",0,MAX(0,ROUND((AG$13-SUMIFS(TF_Timer,TF_Nokkel,$A57&amp;"|"&amp;AG$5))*2,0)/2))&gt;INDEX(TF_AktSum,MATCH($A57&amp;"|"&amp;AG$5,TF_Dom,0)),"LMS",INDEX(AktKode,MATCH(INDEX(TF_Akt,MATCH($A57&amp;"|"&amp;AG$5,TF_Dom,0)),Aktiviteter,0)))&amp;IF(OR(COUNTIFS(TF_Nokkel,$A57&amp;"|"&amp;AG$5,TF_Akt,"&lt;&gt;"&amp;INDEX(TF_Akt,MATCH($A57&amp;"|"&amp;AG$5,TF_Dom,0)))&gt;0,AND(IF(AG$10="",0,MAX(0,ROUND((AG$13-SUMIFS(TF_Timer,TF_Nokkel,$A57&amp;"|"&amp;AG$5))*2,0)/2))&gt;0,INDEX(TF_Akt,MATCH($A57&amp;"|"&amp;AG$5,TF_Dom,0))&lt;&gt;"LMS")),"+",""),"?"))))</f>
        <v/>
      </c>
      <c r="AH57" s="2" t="n"/>
      <c r="AI57" s="2" t="n"/>
      <c r="AJ57" s="2" t="n"/>
    </row>
    <row r="58">
      <c r="A58" s="2">
        <f>INDEX(Teknikere,39)&amp;""</f>
        <v/>
      </c>
      <c r="B58" s="12">
        <f>IF(INDEX(TekFra,39)&gt;0,"ekstra","")</f>
        <v/>
      </c>
      <c r="C58" s="13">
        <f>IF(OR($A58="",C$5=""),"",IF(OR(AND(INDEX(TekFra,39)&gt;0,C$5&lt;INDEX(TekFra,39)),AND(INDEX(TekTil,39)&gt;0,C$5&gt;INDEX(TekTil,39))),"",IF(COUNTIFS(TF_Nokkel,$A58&amp;"|"&amp;C$5)=0,IF(C$10&lt;&gt;"","LMS",""),IFERROR(IF(SUMIFS(TF_Timer,TF_Nokkel,$A58&amp;"|"&amp;C$5,TF_Akt,"LMS")+IF(C$10="",0,MAX(0,ROUND((C$13-SUMIFS(TF_Timer,TF_Nokkel,$A58&amp;"|"&amp;C$5))*2,0)/2))&gt;INDEX(TF_AktSum,MATCH($A58&amp;"|"&amp;C$5,TF_Dom,0)),"LMS",INDEX(AktKode,MATCH(INDEX(TF_Akt,MATCH($A58&amp;"|"&amp;C$5,TF_Dom,0)),Aktiviteter,0)))&amp;IF(OR(COUNTIFS(TF_Nokkel,$A58&amp;"|"&amp;C$5,TF_Akt,"&lt;&gt;"&amp;INDEX(TF_Akt,MATCH($A58&amp;"|"&amp;C$5,TF_Dom,0)))&gt;0,AND(IF(C$10="",0,MAX(0,ROUND((C$13-SUMIFS(TF_Timer,TF_Nokkel,$A58&amp;"|"&amp;C$5))*2,0)/2))&gt;0,INDEX(TF_Akt,MATCH($A58&amp;"|"&amp;C$5,TF_Dom,0))&lt;&gt;"LMS")),"+",""),"?"))))</f>
        <v/>
      </c>
      <c r="D58" s="13">
        <f>IF(OR($A58="",D$5=""),"",IF(OR(AND(INDEX(TekFra,39)&gt;0,D$5&lt;INDEX(TekFra,39)),AND(INDEX(TekTil,39)&gt;0,D$5&gt;INDEX(TekTil,39))),"",IF(COUNTIFS(TF_Nokkel,$A58&amp;"|"&amp;D$5)=0,IF(D$10&lt;&gt;"","LMS",""),IFERROR(IF(SUMIFS(TF_Timer,TF_Nokkel,$A58&amp;"|"&amp;D$5,TF_Akt,"LMS")+IF(D$10="",0,MAX(0,ROUND((D$13-SUMIFS(TF_Timer,TF_Nokkel,$A58&amp;"|"&amp;D$5))*2,0)/2))&gt;INDEX(TF_AktSum,MATCH($A58&amp;"|"&amp;D$5,TF_Dom,0)),"LMS",INDEX(AktKode,MATCH(INDEX(TF_Akt,MATCH($A58&amp;"|"&amp;D$5,TF_Dom,0)),Aktiviteter,0)))&amp;IF(OR(COUNTIFS(TF_Nokkel,$A58&amp;"|"&amp;D$5,TF_Akt,"&lt;&gt;"&amp;INDEX(TF_Akt,MATCH($A58&amp;"|"&amp;D$5,TF_Dom,0)))&gt;0,AND(IF(D$10="",0,MAX(0,ROUND((D$13-SUMIFS(TF_Timer,TF_Nokkel,$A58&amp;"|"&amp;D$5))*2,0)/2))&gt;0,INDEX(TF_Akt,MATCH($A58&amp;"|"&amp;D$5,TF_Dom,0))&lt;&gt;"LMS")),"+",""),"?"))))</f>
        <v/>
      </c>
      <c r="E58" s="13">
        <f>IF(OR($A58="",E$5=""),"",IF(OR(AND(INDEX(TekFra,39)&gt;0,E$5&lt;INDEX(TekFra,39)),AND(INDEX(TekTil,39)&gt;0,E$5&gt;INDEX(TekTil,39))),"",IF(COUNTIFS(TF_Nokkel,$A58&amp;"|"&amp;E$5)=0,IF(E$10&lt;&gt;"","LMS",""),IFERROR(IF(SUMIFS(TF_Timer,TF_Nokkel,$A58&amp;"|"&amp;E$5,TF_Akt,"LMS")+IF(E$10="",0,MAX(0,ROUND((E$13-SUMIFS(TF_Timer,TF_Nokkel,$A58&amp;"|"&amp;E$5))*2,0)/2))&gt;INDEX(TF_AktSum,MATCH($A58&amp;"|"&amp;E$5,TF_Dom,0)),"LMS",INDEX(AktKode,MATCH(INDEX(TF_Akt,MATCH($A58&amp;"|"&amp;E$5,TF_Dom,0)),Aktiviteter,0)))&amp;IF(OR(COUNTIFS(TF_Nokkel,$A58&amp;"|"&amp;E$5,TF_Akt,"&lt;&gt;"&amp;INDEX(TF_Akt,MATCH($A58&amp;"|"&amp;E$5,TF_Dom,0)))&gt;0,AND(IF(E$10="",0,MAX(0,ROUND((E$13-SUMIFS(TF_Timer,TF_Nokkel,$A58&amp;"|"&amp;E$5))*2,0)/2))&gt;0,INDEX(TF_Akt,MATCH($A58&amp;"|"&amp;E$5,TF_Dom,0))&lt;&gt;"LMS")),"+",""),"?"))))</f>
        <v/>
      </c>
      <c r="F58" s="13">
        <f>IF(OR($A58="",F$5=""),"",IF(OR(AND(INDEX(TekFra,39)&gt;0,F$5&lt;INDEX(TekFra,39)),AND(INDEX(TekTil,39)&gt;0,F$5&gt;INDEX(TekTil,39))),"",IF(COUNTIFS(TF_Nokkel,$A58&amp;"|"&amp;F$5)=0,IF(F$10&lt;&gt;"","LMS",""),IFERROR(IF(SUMIFS(TF_Timer,TF_Nokkel,$A58&amp;"|"&amp;F$5,TF_Akt,"LMS")+IF(F$10="",0,MAX(0,ROUND((F$13-SUMIFS(TF_Timer,TF_Nokkel,$A58&amp;"|"&amp;F$5))*2,0)/2))&gt;INDEX(TF_AktSum,MATCH($A58&amp;"|"&amp;F$5,TF_Dom,0)),"LMS",INDEX(AktKode,MATCH(INDEX(TF_Akt,MATCH($A58&amp;"|"&amp;F$5,TF_Dom,0)),Aktiviteter,0)))&amp;IF(OR(COUNTIFS(TF_Nokkel,$A58&amp;"|"&amp;F$5,TF_Akt,"&lt;&gt;"&amp;INDEX(TF_Akt,MATCH($A58&amp;"|"&amp;F$5,TF_Dom,0)))&gt;0,AND(IF(F$10="",0,MAX(0,ROUND((F$13-SUMIFS(TF_Timer,TF_Nokkel,$A58&amp;"|"&amp;F$5))*2,0)/2))&gt;0,INDEX(TF_Akt,MATCH($A58&amp;"|"&amp;F$5,TF_Dom,0))&lt;&gt;"LMS")),"+",""),"?"))))</f>
        <v/>
      </c>
      <c r="G58" s="13">
        <f>IF(OR($A58="",G$5=""),"",IF(OR(AND(INDEX(TekFra,39)&gt;0,G$5&lt;INDEX(TekFra,39)),AND(INDEX(TekTil,39)&gt;0,G$5&gt;INDEX(TekTil,39))),"",IF(COUNTIFS(TF_Nokkel,$A58&amp;"|"&amp;G$5)=0,IF(G$10&lt;&gt;"","LMS",""),IFERROR(IF(SUMIFS(TF_Timer,TF_Nokkel,$A58&amp;"|"&amp;G$5,TF_Akt,"LMS")+IF(G$10="",0,MAX(0,ROUND((G$13-SUMIFS(TF_Timer,TF_Nokkel,$A58&amp;"|"&amp;G$5))*2,0)/2))&gt;INDEX(TF_AktSum,MATCH($A58&amp;"|"&amp;G$5,TF_Dom,0)),"LMS",INDEX(AktKode,MATCH(INDEX(TF_Akt,MATCH($A58&amp;"|"&amp;G$5,TF_Dom,0)),Aktiviteter,0)))&amp;IF(OR(COUNTIFS(TF_Nokkel,$A58&amp;"|"&amp;G$5,TF_Akt,"&lt;&gt;"&amp;INDEX(TF_Akt,MATCH($A58&amp;"|"&amp;G$5,TF_Dom,0)))&gt;0,AND(IF(G$10="",0,MAX(0,ROUND((G$13-SUMIFS(TF_Timer,TF_Nokkel,$A58&amp;"|"&amp;G$5))*2,0)/2))&gt;0,INDEX(TF_Akt,MATCH($A58&amp;"|"&amp;G$5,TF_Dom,0))&lt;&gt;"LMS")),"+",""),"?"))))</f>
        <v/>
      </c>
      <c r="H58" s="13">
        <f>IF(OR($A58="",H$5=""),"",IF(OR(AND(INDEX(TekFra,39)&gt;0,H$5&lt;INDEX(TekFra,39)),AND(INDEX(TekTil,39)&gt;0,H$5&gt;INDEX(TekTil,39))),"",IF(COUNTIFS(TF_Nokkel,$A58&amp;"|"&amp;H$5)=0,IF(H$10&lt;&gt;"","LMS",""),IFERROR(IF(SUMIFS(TF_Timer,TF_Nokkel,$A58&amp;"|"&amp;H$5,TF_Akt,"LMS")+IF(H$10="",0,MAX(0,ROUND((H$13-SUMIFS(TF_Timer,TF_Nokkel,$A58&amp;"|"&amp;H$5))*2,0)/2))&gt;INDEX(TF_AktSum,MATCH($A58&amp;"|"&amp;H$5,TF_Dom,0)),"LMS",INDEX(AktKode,MATCH(INDEX(TF_Akt,MATCH($A58&amp;"|"&amp;H$5,TF_Dom,0)),Aktiviteter,0)))&amp;IF(OR(COUNTIFS(TF_Nokkel,$A58&amp;"|"&amp;H$5,TF_Akt,"&lt;&gt;"&amp;INDEX(TF_Akt,MATCH($A58&amp;"|"&amp;H$5,TF_Dom,0)))&gt;0,AND(IF(H$10="",0,MAX(0,ROUND((H$13-SUMIFS(TF_Timer,TF_Nokkel,$A58&amp;"|"&amp;H$5))*2,0)/2))&gt;0,INDEX(TF_Akt,MATCH($A58&amp;"|"&amp;H$5,TF_Dom,0))&lt;&gt;"LMS")),"+",""),"?"))))</f>
        <v/>
      </c>
      <c r="I58" s="13">
        <f>IF(OR($A58="",I$5=""),"",IF(OR(AND(INDEX(TekFra,39)&gt;0,I$5&lt;INDEX(TekFra,39)),AND(INDEX(TekTil,39)&gt;0,I$5&gt;INDEX(TekTil,39))),"",IF(COUNTIFS(TF_Nokkel,$A58&amp;"|"&amp;I$5)=0,IF(I$10&lt;&gt;"","LMS",""),IFERROR(IF(SUMIFS(TF_Timer,TF_Nokkel,$A58&amp;"|"&amp;I$5,TF_Akt,"LMS")+IF(I$10="",0,MAX(0,ROUND((I$13-SUMIFS(TF_Timer,TF_Nokkel,$A58&amp;"|"&amp;I$5))*2,0)/2))&gt;INDEX(TF_AktSum,MATCH($A58&amp;"|"&amp;I$5,TF_Dom,0)),"LMS",INDEX(AktKode,MATCH(INDEX(TF_Akt,MATCH($A58&amp;"|"&amp;I$5,TF_Dom,0)),Aktiviteter,0)))&amp;IF(OR(COUNTIFS(TF_Nokkel,$A58&amp;"|"&amp;I$5,TF_Akt,"&lt;&gt;"&amp;INDEX(TF_Akt,MATCH($A58&amp;"|"&amp;I$5,TF_Dom,0)))&gt;0,AND(IF(I$10="",0,MAX(0,ROUND((I$13-SUMIFS(TF_Timer,TF_Nokkel,$A58&amp;"|"&amp;I$5))*2,0)/2))&gt;0,INDEX(TF_Akt,MATCH($A58&amp;"|"&amp;I$5,TF_Dom,0))&lt;&gt;"LMS")),"+",""),"?"))))</f>
        <v/>
      </c>
      <c r="J58" s="13">
        <f>IF(OR($A58="",J$5=""),"",IF(OR(AND(INDEX(TekFra,39)&gt;0,J$5&lt;INDEX(TekFra,39)),AND(INDEX(TekTil,39)&gt;0,J$5&gt;INDEX(TekTil,39))),"",IF(COUNTIFS(TF_Nokkel,$A58&amp;"|"&amp;J$5)=0,IF(J$10&lt;&gt;"","LMS",""),IFERROR(IF(SUMIFS(TF_Timer,TF_Nokkel,$A58&amp;"|"&amp;J$5,TF_Akt,"LMS")+IF(J$10="",0,MAX(0,ROUND((J$13-SUMIFS(TF_Timer,TF_Nokkel,$A58&amp;"|"&amp;J$5))*2,0)/2))&gt;INDEX(TF_AktSum,MATCH($A58&amp;"|"&amp;J$5,TF_Dom,0)),"LMS",INDEX(AktKode,MATCH(INDEX(TF_Akt,MATCH($A58&amp;"|"&amp;J$5,TF_Dom,0)),Aktiviteter,0)))&amp;IF(OR(COUNTIFS(TF_Nokkel,$A58&amp;"|"&amp;J$5,TF_Akt,"&lt;&gt;"&amp;INDEX(TF_Akt,MATCH($A58&amp;"|"&amp;J$5,TF_Dom,0)))&gt;0,AND(IF(J$10="",0,MAX(0,ROUND((J$13-SUMIFS(TF_Timer,TF_Nokkel,$A58&amp;"|"&amp;J$5))*2,0)/2))&gt;0,INDEX(TF_Akt,MATCH($A58&amp;"|"&amp;J$5,TF_Dom,0))&lt;&gt;"LMS")),"+",""),"?"))))</f>
        <v/>
      </c>
      <c r="K58" s="13">
        <f>IF(OR($A58="",K$5=""),"",IF(OR(AND(INDEX(TekFra,39)&gt;0,K$5&lt;INDEX(TekFra,39)),AND(INDEX(TekTil,39)&gt;0,K$5&gt;INDEX(TekTil,39))),"",IF(COUNTIFS(TF_Nokkel,$A58&amp;"|"&amp;K$5)=0,IF(K$10&lt;&gt;"","LMS",""),IFERROR(IF(SUMIFS(TF_Timer,TF_Nokkel,$A58&amp;"|"&amp;K$5,TF_Akt,"LMS")+IF(K$10="",0,MAX(0,ROUND((K$13-SUMIFS(TF_Timer,TF_Nokkel,$A58&amp;"|"&amp;K$5))*2,0)/2))&gt;INDEX(TF_AktSum,MATCH($A58&amp;"|"&amp;K$5,TF_Dom,0)),"LMS",INDEX(AktKode,MATCH(INDEX(TF_Akt,MATCH($A58&amp;"|"&amp;K$5,TF_Dom,0)),Aktiviteter,0)))&amp;IF(OR(COUNTIFS(TF_Nokkel,$A58&amp;"|"&amp;K$5,TF_Akt,"&lt;&gt;"&amp;INDEX(TF_Akt,MATCH($A58&amp;"|"&amp;K$5,TF_Dom,0)))&gt;0,AND(IF(K$10="",0,MAX(0,ROUND((K$13-SUMIFS(TF_Timer,TF_Nokkel,$A58&amp;"|"&amp;K$5))*2,0)/2))&gt;0,INDEX(TF_Akt,MATCH($A58&amp;"|"&amp;K$5,TF_Dom,0))&lt;&gt;"LMS")),"+",""),"?"))))</f>
        <v/>
      </c>
      <c r="L58" s="13">
        <f>IF(OR($A58="",L$5=""),"",IF(OR(AND(INDEX(TekFra,39)&gt;0,L$5&lt;INDEX(TekFra,39)),AND(INDEX(TekTil,39)&gt;0,L$5&gt;INDEX(TekTil,39))),"",IF(COUNTIFS(TF_Nokkel,$A58&amp;"|"&amp;L$5)=0,IF(L$10&lt;&gt;"","LMS",""),IFERROR(IF(SUMIFS(TF_Timer,TF_Nokkel,$A58&amp;"|"&amp;L$5,TF_Akt,"LMS")+IF(L$10="",0,MAX(0,ROUND((L$13-SUMIFS(TF_Timer,TF_Nokkel,$A58&amp;"|"&amp;L$5))*2,0)/2))&gt;INDEX(TF_AktSum,MATCH($A58&amp;"|"&amp;L$5,TF_Dom,0)),"LMS",INDEX(AktKode,MATCH(INDEX(TF_Akt,MATCH($A58&amp;"|"&amp;L$5,TF_Dom,0)),Aktiviteter,0)))&amp;IF(OR(COUNTIFS(TF_Nokkel,$A58&amp;"|"&amp;L$5,TF_Akt,"&lt;&gt;"&amp;INDEX(TF_Akt,MATCH($A58&amp;"|"&amp;L$5,TF_Dom,0)))&gt;0,AND(IF(L$10="",0,MAX(0,ROUND((L$13-SUMIFS(TF_Timer,TF_Nokkel,$A58&amp;"|"&amp;L$5))*2,0)/2))&gt;0,INDEX(TF_Akt,MATCH($A58&amp;"|"&amp;L$5,TF_Dom,0))&lt;&gt;"LMS")),"+",""),"?"))))</f>
        <v/>
      </c>
      <c r="M58" s="13">
        <f>IF(OR($A58="",M$5=""),"",IF(OR(AND(INDEX(TekFra,39)&gt;0,M$5&lt;INDEX(TekFra,39)),AND(INDEX(TekTil,39)&gt;0,M$5&gt;INDEX(TekTil,39))),"",IF(COUNTIFS(TF_Nokkel,$A58&amp;"|"&amp;M$5)=0,IF(M$10&lt;&gt;"","LMS",""),IFERROR(IF(SUMIFS(TF_Timer,TF_Nokkel,$A58&amp;"|"&amp;M$5,TF_Akt,"LMS")+IF(M$10="",0,MAX(0,ROUND((M$13-SUMIFS(TF_Timer,TF_Nokkel,$A58&amp;"|"&amp;M$5))*2,0)/2))&gt;INDEX(TF_AktSum,MATCH($A58&amp;"|"&amp;M$5,TF_Dom,0)),"LMS",INDEX(AktKode,MATCH(INDEX(TF_Akt,MATCH($A58&amp;"|"&amp;M$5,TF_Dom,0)),Aktiviteter,0)))&amp;IF(OR(COUNTIFS(TF_Nokkel,$A58&amp;"|"&amp;M$5,TF_Akt,"&lt;&gt;"&amp;INDEX(TF_Akt,MATCH($A58&amp;"|"&amp;M$5,TF_Dom,0)))&gt;0,AND(IF(M$10="",0,MAX(0,ROUND((M$13-SUMIFS(TF_Timer,TF_Nokkel,$A58&amp;"|"&amp;M$5))*2,0)/2))&gt;0,INDEX(TF_Akt,MATCH($A58&amp;"|"&amp;M$5,TF_Dom,0))&lt;&gt;"LMS")),"+",""),"?"))))</f>
        <v/>
      </c>
      <c r="N58" s="13">
        <f>IF(OR($A58="",N$5=""),"",IF(OR(AND(INDEX(TekFra,39)&gt;0,N$5&lt;INDEX(TekFra,39)),AND(INDEX(TekTil,39)&gt;0,N$5&gt;INDEX(TekTil,39))),"",IF(COUNTIFS(TF_Nokkel,$A58&amp;"|"&amp;N$5)=0,IF(N$10&lt;&gt;"","LMS",""),IFERROR(IF(SUMIFS(TF_Timer,TF_Nokkel,$A58&amp;"|"&amp;N$5,TF_Akt,"LMS")+IF(N$10="",0,MAX(0,ROUND((N$13-SUMIFS(TF_Timer,TF_Nokkel,$A58&amp;"|"&amp;N$5))*2,0)/2))&gt;INDEX(TF_AktSum,MATCH($A58&amp;"|"&amp;N$5,TF_Dom,0)),"LMS",INDEX(AktKode,MATCH(INDEX(TF_Akt,MATCH($A58&amp;"|"&amp;N$5,TF_Dom,0)),Aktiviteter,0)))&amp;IF(OR(COUNTIFS(TF_Nokkel,$A58&amp;"|"&amp;N$5,TF_Akt,"&lt;&gt;"&amp;INDEX(TF_Akt,MATCH($A58&amp;"|"&amp;N$5,TF_Dom,0)))&gt;0,AND(IF(N$10="",0,MAX(0,ROUND((N$13-SUMIFS(TF_Timer,TF_Nokkel,$A58&amp;"|"&amp;N$5))*2,0)/2))&gt;0,INDEX(TF_Akt,MATCH($A58&amp;"|"&amp;N$5,TF_Dom,0))&lt;&gt;"LMS")),"+",""),"?"))))</f>
        <v/>
      </c>
      <c r="O58" s="13">
        <f>IF(OR($A58="",O$5=""),"",IF(OR(AND(INDEX(TekFra,39)&gt;0,O$5&lt;INDEX(TekFra,39)),AND(INDEX(TekTil,39)&gt;0,O$5&gt;INDEX(TekTil,39))),"",IF(COUNTIFS(TF_Nokkel,$A58&amp;"|"&amp;O$5)=0,IF(O$10&lt;&gt;"","LMS",""),IFERROR(IF(SUMIFS(TF_Timer,TF_Nokkel,$A58&amp;"|"&amp;O$5,TF_Akt,"LMS")+IF(O$10="",0,MAX(0,ROUND((O$13-SUMIFS(TF_Timer,TF_Nokkel,$A58&amp;"|"&amp;O$5))*2,0)/2))&gt;INDEX(TF_AktSum,MATCH($A58&amp;"|"&amp;O$5,TF_Dom,0)),"LMS",INDEX(AktKode,MATCH(INDEX(TF_Akt,MATCH($A58&amp;"|"&amp;O$5,TF_Dom,0)),Aktiviteter,0)))&amp;IF(OR(COUNTIFS(TF_Nokkel,$A58&amp;"|"&amp;O$5,TF_Akt,"&lt;&gt;"&amp;INDEX(TF_Akt,MATCH($A58&amp;"|"&amp;O$5,TF_Dom,0)))&gt;0,AND(IF(O$10="",0,MAX(0,ROUND((O$13-SUMIFS(TF_Timer,TF_Nokkel,$A58&amp;"|"&amp;O$5))*2,0)/2))&gt;0,INDEX(TF_Akt,MATCH($A58&amp;"|"&amp;O$5,TF_Dom,0))&lt;&gt;"LMS")),"+",""),"?"))))</f>
        <v/>
      </c>
      <c r="P58" s="13">
        <f>IF(OR($A58="",P$5=""),"",IF(OR(AND(INDEX(TekFra,39)&gt;0,P$5&lt;INDEX(TekFra,39)),AND(INDEX(TekTil,39)&gt;0,P$5&gt;INDEX(TekTil,39))),"",IF(COUNTIFS(TF_Nokkel,$A58&amp;"|"&amp;P$5)=0,IF(P$10&lt;&gt;"","LMS",""),IFERROR(IF(SUMIFS(TF_Timer,TF_Nokkel,$A58&amp;"|"&amp;P$5,TF_Akt,"LMS")+IF(P$10="",0,MAX(0,ROUND((P$13-SUMIFS(TF_Timer,TF_Nokkel,$A58&amp;"|"&amp;P$5))*2,0)/2))&gt;INDEX(TF_AktSum,MATCH($A58&amp;"|"&amp;P$5,TF_Dom,0)),"LMS",INDEX(AktKode,MATCH(INDEX(TF_Akt,MATCH($A58&amp;"|"&amp;P$5,TF_Dom,0)),Aktiviteter,0)))&amp;IF(OR(COUNTIFS(TF_Nokkel,$A58&amp;"|"&amp;P$5,TF_Akt,"&lt;&gt;"&amp;INDEX(TF_Akt,MATCH($A58&amp;"|"&amp;P$5,TF_Dom,0)))&gt;0,AND(IF(P$10="",0,MAX(0,ROUND((P$13-SUMIFS(TF_Timer,TF_Nokkel,$A58&amp;"|"&amp;P$5))*2,0)/2))&gt;0,INDEX(TF_Akt,MATCH($A58&amp;"|"&amp;P$5,TF_Dom,0))&lt;&gt;"LMS")),"+",""),"?"))))</f>
        <v/>
      </c>
      <c r="Q58" s="13">
        <f>IF(OR($A58="",Q$5=""),"",IF(OR(AND(INDEX(TekFra,39)&gt;0,Q$5&lt;INDEX(TekFra,39)),AND(INDEX(TekTil,39)&gt;0,Q$5&gt;INDEX(TekTil,39))),"",IF(COUNTIFS(TF_Nokkel,$A58&amp;"|"&amp;Q$5)=0,IF(Q$10&lt;&gt;"","LMS",""),IFERROR(IF(SUMIFS(TF_Timer,TF_Nokkel,$A58&amp;"|"&amp;Q$5,TF_Akt,"LMS")+IF(Q$10="",0,MAX(0,ROUND((Q$13-SUMIFS(TF_Timer,TF_Nokkel,$A58&amp;"|"&amp;Q$5))*2,0)/2))&gt;INDEX(TF_AktSum,MATCH($A58&amp;"|"&amp;Q$5,TF_Dom,0)),"LMS",INDEX(AktKode,MATCH(INDEX(TF_Akt,MATCH($A58&amp;"|"&amp;Q$5,TF_Dom,0)),Aktiviteter,0)))&amp;IF(OR(COUNTIFS(TF_Nokkel,$A58&amp;"|"&amp;Q$5,TF_Akt,"&lt;&gt;"&amp;INDEX(TF_Akt,MATCH($A58&amp;"|"&amp;Q$5,TF_Dom,0)))&gt;0,AND(IF(Q$10="",0,MAX(0,ROUND((Q$13-SUMIFS(TF_Timer,TF_Nokkel,$A58&amp;"|"&amp;Q$5))*2,0)/2))&gt;0,INDEX(TF_Akt,MATCH($A58&amp;"|"&amp;Q$5,TF_Dom,0))&lt;&gt;"LMS")),"+",""),"?"))))</f>
        <v/>
      </c>
      <c r="R58" s="13">
        <f>IF(OR($A58="",R$5=""),"",IF(OR(AND(INDEX(TekFra,39)&gt;0,R$5&lt;INDEX(TekFra,39)),AND(INDEX(TekTil,39)&gt;0,R$5&gt;INDEX(TekTil,39))),"",IF(COUNTIFS(TF_Nokkel,$A58&amp;"|"&amp;R$5)=0,IF(R$10&lt;&gt;"","LMS",""),IFERROR(IF(SUMIFS(TF_Timer,TF_Nokkel,$A58&amp;"|"&amp;R$5,TF_Akt,"LMS")+IF(R$10="",0,MAX(0,ROUND((R$13-SUMIFS(TF_Timer,TF_Nokkel,$A58&amp;"|"&amp;R$5))*2,0)/2))&gt;INDEX(TF_AktSum,MATCH($A58&amp;"|"&amp;R$5,TF_Dom,0)),"LMS",INDEX(AktKode,MATCH(INDEX(TF_Akt,MATCH($A58&amp;"|"&amp;R$5,TF_Dom,0)),Aktiviteter,0)))&amp;IF(OR(COUNTIFS(TF_Nokkel,$A58&amp;"|"&amp;R$5,TF_Akt,"&lt;&gt;"&amp;INDEX(TF_Akt,MATCH($A58&amp;"|"&amp;R$5,TF_Dom,0)))&gt;0,AND(IF(R$10="",0,MAX(0,ROUND((R$13-SUMIFS(TF_Timer,TF_Nokkel,$A58&amp;"|"&amp;R$5))*2,0)/2))&gt;0,INDEX(TF_Akt,MATCH($A58&amp;"|"&amp;R$5,TF_Dom,0))&lt;&gt;"LMS")),"+",""),"?"))))</f>
        <v/>
      </c>
      <c r="S58" s="13">
        <f>IF(OR($A58="",S$5=""),"",IF(OR(AND(INDEX(TekFra,39)&gt;0,S$5&lt;INDEX(TekFra,39)),AND(INDEX(TekTil,39)&gt;0,S$5&gt;INDEX(TekTil,39))),"",IF(COUNTIFS(TF_Nokkel,$A58&amp;"|"&amp;S$5)=0,IF(S$10&lt;&gt;"","LMS",""),IFERROR(IF(SUMIFS(TF_Timer,TF_Nokkel,$A58&amp;"|"&amp;S$5,TF_Akt,"LMS")+IF(S$10="",0,MAX(0,ROUND((S$13-SUMIFS(TF_Timer,TF_Nokkel,$A58&amp;"|"&amp;S$5))*2,0)/2))&gt;INDEX(TF_AktSum,MATCH($A58&amp;"|"&amp;S$5,TF_Dom,0)),"LMS",INDEX(AktKode,MATCH(INDEX(TF_Akt,MATCH($A58&amp;"|"&amp;S$5,TF_Dom,0)),Aktiviteter,0)))&amp;IF(OR(COUNTIFS(TF_Nokkel,$A58&amp;"|"&amp;S$5,TF_Akt,"&lt;&gt;"&amp;INDEX(TF_Akt,MATCH($A58&amp;"|"&amp;S$5,TF_Dom,0)))&gt;0,AND(IF(S$10="",0,MAX(0,ROUND((S$13-SUMIFS(TF_Timer,TF_Nokkel,$A58&amp;"|"&amp;S$5))*2,0)/2))&gt;0,INDEX(TF_Akt,MATCH($A58&amp;"|"&amp;S$5,TF_Dom,0))&lt;&gt;"LMS")),"+",""),"?"))))</f>
        <v/>
      </c>
      <c r="T58" s="13">
        <f>IF(OR($A58="",T$5=""),"",IF(OR(AND(INDEX(TekFra,39)&gt;0,T$5&lt;INDEX(TekFra,39)),AND(INDEX(TekTil,39)&gt;0,T$5&gt;INDEX(TekTil,39))),"",IF(COUNTIFS(TF_Nokkel,$A58&amp;"|"&amp;T$5)=0,IF(T$10&lt;&gt;"","LMS",""),IFERROR(IF(SUMIFS(TF_Timer,TF_Nokkel,$A58&amp;"|"&amp;T$5,TF_Akt,"LMS")+IF(T$10="",0,MAX(0,ROUND((T$13-SUMIFS(TF_Timer,TF_Nokkel,$A58&amp;"|"&amp;T$5))*2,0)/2))&gt;INDEX(TF_AktSum,MATCH($A58&amp;"|"&amp;T$5,TF_Dom,0)),"LMS",INDEX(AktKode,MATCH(INDEX(TF_Akt,MATCH($A58&amp;"|"&amp;T$5,TF_Dom,0)),Aktiviteter,0)))&amp;IF(OR(COUNTIFS(TF_Nokkel,$A58&amp;"|"&amp;T$5,TF_Akt,"&lt;&gt;"&amp;INDEX(TF_Akt,MATCH($A58&amp;"|"&amp;T$5,TF_Dom,0)))&gt;0,AND(IF(T$10="",0,MAX(0,ROUND((T$13-SUMIFS(TF_Timer,TF_Nokkel,$A58&amp;"|"&amp;T$5))*2,0)/2))&gt;0,INDEX(TF_Akt,MATCH($A58&amp;"|"&amp;T$5,TF_Dom,0))&lt;&gt;"LMS")),"+",""),"?"))))</f>
        <v/>
      </c>
      <c r="U58" s="13">
        <f>IF(OR($A58="",U$5=""),"",IF(OR(AND(INDEX(TekFra,39)&gt;0,U$5&lt;INDEX(TekFra,39)),AND(INDEX(TekTil,39)&gt;0,U$5&gt;INDEX(TekTil,39))),"",IF(COUNTIFS(TF_Nokkel,$A58&amp;"|"&amp;U$5)=0,IF(U$10&lt;&gt;"","LMS",""),IFERROR(IF(SUMIFS(TF_Timer,TF_Nokkel,$A58&amp;"|"&amp;U$5,TF_Akt,"LMS")+IF(U$10="",0,MAX(0,ROUND((U$13-SUMIFS(TF_Timer,TF_Nokkel,$A58&amp;"|"&amp;U$5))*2,0)/2))&gt;INDEX(TF_AktSum,MATCH($A58&amp;"|"&amp;U$5,TF_Dom,0)),"LMS",INDEX(AktKode,MATCH(INDEX(TF_Akt,MATCH($A58&amp;"|"&amp;U$5,TF_Dom,0)),Aktiviteter,0)))&amp;IF(OR(COUNTIFS(TF_Nokkel,$A58&amp;"|"&amp;U$5,TF_Akt,"&lt;&gt;"&amp;INDEX(TF_Akt,MATCH($A58&amp;"|"&amp;U$5,TF_Dom,0)))&gt;0,AND(IF(U$10="",0,MAX(0,ROUND((U$13-SUMIFS(TF_Timer,TF_Nokkel,$A58&amp;"|"&amp;U$5))*2,0)/2))&gt;0,INDEX(TF_Akt,MATCH($A58&amp;"|"&amp;U$5,TF_Dom,0))&lt;&gt;"LMS")),"+",""),"?"))))</f>
        <v/>
      </c>
      <c r="V58" s="13">
        <f>IF(OR($A58="",V$5=""),"",IF(OR(AND(INDEX(TekFra,39)&gt;0,V$5&lt;INDEX(TekFra,39)),AND(INDEX(TekTil,39)&gt;0,V$5&gt;INDEX(TekTil,39))),"",IF(COUNTIFS(TF_Nokkel,$A58&amp;"|"&amp;V$5)=0,IF(V$10&lt;&gt;"","LMS",""),IFERROR(IF(SUMIFS(TF_Timer,TF_Nokkel,$A58&amp;"|"&amp;V$5,TF_Akt,"LMS")+IF(V$10="",0,MAX(0,ROUND((V$13-SUMIFS(TF_Timer,TF_Nokkel,$A58&amp;"|"&amp;V$5))*2,0)/2))&gt;INDEX(TF_AktSum,MATCH($A58&amp;"|"&amp;V$5,TF_Dom,0)),"LMS",INDEX(AktKode,MATCH(INDEX(TF_Akt,MATCH($A58&amp;"|"&amp;V$5,TF_Dom,0)),Aktiviteter,0)))&amp;IF(OR(COUNTIFS(TF_Nokkel,$A58&amp;"|"&amp;V$5,TF_Akt,"&lt;&gt;"&amp;INDEX(TF_Akt,MATCH($A58&amp;"|"&amp;V$5,TF_Dom,0)))&gt;0,AND(IF(V$10="",0,MAX(0,ROUND((V$13-SUMIFS(TF_Timer,TF_Nokkel,$A58&amp;"|"&amp;V$5))*2,0)/2))&gt;0,INDEX(TF_Akt,MATCH($A58&amp;"|"&amp;V$5,TF_Dom,0))&lt;&gt;"LMS")),"+",""),"?"))))</f>
        <v/>
      </c>
      <c r="W58" s="13">
        <f>IF(OR($A58="",W$5=""),"",IF(OR(AND(INDEX(TekFra,39)&gt;0,W$5&lt;INDEX(TekFra,39)),AND(INDEX(TekTil,39)&gt;0,W$5&gt;INDEX(TekTil,39))),"",IF(COUNTIFS(TF_Nokkel,$A58&amp;"|"&amp;W$5)=0,IF(W$10&lt;&gt;"","LMS",""),IFERROR(IF(SUMIFS(TF_Timer,TF_Nokkel,$A58&amp;"|"&amp;W$5,TF_Akt,"LMS")+IF(W$10="",0,MAX(0,ROUND((W$13-SUMIFS(TF_Timer,TF_Nokkel,$A58&amp;"|"&amp;W$5))*2,0)/2))&gt;INDEX(TF_AktSum,MATCH($A58&amp;"|"&amp;W$5,TF_Dom,0)),"LMS",INDEX(AktKode,MATCH(INDEX(TF_Akt,MATCH($A58&amp;"|"&amp;W$5,TF_Dom,0)),Aktiviteter,0)))&amp;IF(OR(COUNTIFS(TF_Nokkel,$A58&amp;"|"&amp;W$5,TF_Akt,"&lt;&gt;"&amp;INDEX(TF_Akt,MATCH($A58&amp;"|"&amp;W$5,TF_Dom,0)))&gt;0,AND(IF(W$10="",0,MAX(0,ROUND((W$13-SUMIFS(TF_Timer,TF_Nokkel,$A58&amp;"|"&amp;W$5))*2,0)/2))&gt;0,INDEX(TF_Akt,MATCH($A58&amp;"|"&amp;W$5,TF_Dom,0))&lt;&gt;"LMS")),"+",""),"?"))))</f>
        <v/>
      </c>
      <c r="X58" s="13">
        <f>IF(OR($A58="",X$5=""),"",IF(OR(AND(INDEX(TekFra,39)&gt;0,X$5&lt;INDEX(TekFra,39)),AND(INDEX(TekTil,39)&gt;0,X$5&gt;INDEX(TekTil,39))),"",IF(COUNTIFS(TF_Nokkel,$A58&amp;"|"&amp;X$5)=0,IF(X$10&lt;&gt;"","LMS",""),IFERROR(IF(SUMIFS(TF_Timer,TF_Nokkel,$A58&amp;"|"&amp;X$5,TF_Akt,"LMS")+IF(X$10="",0,MAX(0,ROUND((X$13-SUMIFS(TF_Timer,TF_Nokkel,$A58&amp;"|"&amp;X$5))*2,0)/2))&gt;INDEX(TF_AktSum,MATCH($A58&amp;"|"&amp;X$5,TF_Dom,0)),"LMS",INDEX(AktKode,MATCH(INDEX(TF_Akt,MATCH($A58&amp;"|"&amp;X$5,TF_Dom,0)),Aktiviteter,0)))&amp;IF(OR(COUNTIFS(TF_Nokkel,$A58&amp;"|"&amp;X$5,TF_Akt,"&lt;&gt;"&amp;INDEX(TF_Akt,MATCH($A58&amp;"|"&amp;X$5,TF_Dom,0)))&gt;0,AND(IF(X$10="",0,MAX(0,ROUND((X$13-SUMIFS(TF_Timer,TF_Nokkel,$A58&amp;"|"&amp;X$5))*2,0)/2))&gt;0,INDEX(TF_Akt,MATCH($A58&amp;"|"&amp;X$5,TF_Dom,0))&lt;&gt;"LMS")),"+",""),"?"))))</f>
        <v/>
      </c>
      <c r="Y58" s="13">
        <f>IF(OR($A58="",Y$5=""),"",IF(OR(AND(INDEX(TekFra,39)&gt;0,Y$5&lt;INDEX(TekFra,39)),AND(INDEX(TekTil,39)&gt;0,Y$5&gt;INDEX(TekTil,39))),"",IF(COUNTIFS(TF_Nokkel,$A58&amp;"|"&amp;Y$5)=0,IF(Y$10&lt;&gt;"","LMS",""),IFERROR(IF(SUMIFS(TF_Timer,TF_Nokkel,$A58&amp;"|"&amp;Y$5,TF_Akt,"LMS")+IF(Y$10="",0,MAX(0,ROUND((Y$13-SUMIFS(TF_Timer,TF_Nokkel,$A58&amp;"|"&amp;Y$5))*2,0)/2))&gt;INDEX(TF_AktSum,MATCH($A58&amp;"|"&amp;Y$5,TF_Dom,0)),"LMS",INDEX(AktKode,MATCH(INDEX(TF_Akt,MATCH($A58&amp;"|"&amp;Y$5,TF_Dom,0)),Aktiviteter,0)))&amp;IF(OR(COUNTIFS(TF_Nokkel,$A58&amp;"|"&amp;Y$5,TF_Akt,"&lt;&gt;"&amp;INDEX(TF_Akt,MATCH($A58&amp;"|"&amp;Y$5,TF_Dom,0)))&gt;0,AND(IF(Y$10="",0,MAX(0,ROUND((Y$13-SUMIFS(TF_Timer,TF_Nokkel,$A58&amp;"|"&amp;Y$5))*2,0)/2))&gt;0,INDEX(TF_Akt,MATCH($A58&amp;"|"&amp;Y$5,TF_Dom,0))&lt;&gt;"LMS")),"+",""),"?"))))</f>
        <v/>
      </c>
      <c r="Z58" s="13">
        <f>IF(OR($A58="",Z$5=""),"",IF(OR(AND(INDEX(TekFra,39)&gt;0,Z$5&lt;INDEX(TekFra,39)),AND(INDEX(TekTil,39)&gt;0,Z$5&gt;INDEX(TekTil,39))),"",IF(COUNTIFS(TF_Nokkel,$A58&amp;"|"&amp;Z$5)=0,IF(Z$10&lt;&gt;"","LMS",""),IFERROR(IF(SUMIFS(TF_Timer,TF_Nokkel,$A58&amp;"|"&amp;Z$5,TF_Akt,"LMS")+IF(Z$10="",0,MAX(0,ROUND((Z$13-SUMIFS(TF_Timer,TF_Nokkel,$A58&amp;"|"&amp;Z$5))*2,0)/2))&gt;INDEX(TF_AktSum,MATCH($A58&amp;"|"&amp;Z$5,TF_Dom,0)),"LMS",INDEX(AktKode,MATCH(INDEX(TF_Akt,MATCH($A58&amp;"|"&amp;Z$5,TF_Dom,0)),Aktiviteter,0)))&amp;IF(OR(COUNTIFS(TF_Nokkel,$A58&amp;"|"&amp;Z$5,TF_Akt,"&lt;&gt;"&amp;INDEX(TF_Akt,MATCH($A58&amp;"|"&amp;Z$5,TF_Dom,0)))&gt;0,AND(IF(Z$10="",0,MAX(0,ROUND((Z$13-SUMIFS(TF_Timer,TF_Nokkel,$A58&amp;"|"&amp;Z$5))*2,0)/2))&gt;0,INDEX(TF_Akt,MATCH($A58&amp;"|"&amp;Z$5,TF_Dom,0))&lt;&gt;"LMS")),"+",""),"?"))))</f>
        <v/>
      </c>
      <c r="AA58" s="13">
        <f>IF(OR($A58="",AA$5=""),"",IF(OR(AND(INDEX(TekFra,39)&gt;0,AA$5&lt;INDEX(TekFra,39)),AND(INDEX(TekTil,39)&gt;0,AA$5&gt;INDEX(TekTil,39))),"",IF(COUNTIFS(TF_Nokkel,$A58&amp;"|"&amp;AA$5)=0,IF(AA$10&lt;&gt;"","LMS",""),IFERROR(IF(SUMIFS(TF_Timer,TF_Nokkel,$A58&amp;"|"&amp;AA$5,TF_Akt,"LMS")+IF(AA$10="",0,MAX(0,ROUND((AA$13-SUMIFS(TF_Timer,TF_Nokkel,$A58&amp;"|"&amp;AA$5))*2,0)/2))&gt;INDEX(TF_AktSum,MATCH($A58&amp;"|"&amp;AA$5,TF_Dom,0)),"LMS",INDEX(AktKode,MATCH(INDEX(TF_Akt,MATCH($A58&amp;"|"&amp;AA$5,TF_Dom,0)),Aktiviteter,0)))&amp;IF(OR(COUNTIFS(TF_Nokkel,$A58&amp;"|"&amp;AA$5,TF_Akt,"&lt;&gt;"&amp;INDEX(TF_Akt,MATCH($A58&amp;"|"&amp;AA$5,TF_Dom,0)))&gt;0,AND(IF(AA$10="",0,MAX(0,ROUND((AA$13-SUMIFS(TF_Timer,TF_Nokkel,$A58&amp;"|"&amp;AA$5))*2,0)/2))&gt;0,INDEX(TF_Akt,MATCH($A58&amp;"|"&amp;AA$5,TF_Dom,0))&lt;&gt;"LMS")),"+",""),"?"))))</f>
        <v/>
      </c>
      <c r="AB58" s="13">
        <f>IF(OR($A58="",AB$5=""),"",IF(OR(AND(INDEX(TekFra,39)&gt;0,AB$5&lt;INDEX(TekFra,39)),AND(INDEX(TekTil,39)&gt;0,AB$5&gt;INDEX(TekTil,39))),"",IF(COUNTIFS(TF_Nokkel,$A58&amp;"|"&amp;AB$5)=0,IF(AB$10&lt;&gt;"","LMS",""),IFERROR(IF(SUMIFS(TF_Timer,TF_Nokkel,$A58&amp;"|"&amp;AB$5,TF_Akt,"LMS")+IF(AB$10="",0,MAX(0,ROUND((AB$13-SUMIFS(TF_Timer,TF_Nokkel,$A58&amp;"|"&amp;AB$5))*2,0)/2))&gt;INDEX(TF_AktSum,MATCH($A58&amp;"|"&amp;AB$5,TF_Dom,0)),"LMS",INDEX(AktKode,MATCH(INDEX(TF_Akt,MATCH($A58&amp;"|"&amp;AB$5,TF_Dom,0)),Aktiviteter,0)))&amp;IF(OR(COUNTIFS(TF_Nokkel,$A58&amp;"|"&amp;AB$5,TF_Akt,"&lt;&gt;"&amp;INDEX(TF_Akt,MATCH($A58&amp;"|"&amp;AB$5,TF_Dom,0)))&gt;0,AND(IF(AB$10="",0,MAX(0,ROUND((AB$13-SUMIFS(TF_Timer,TF_Nokkel,$A58&amp;"|"&amp;AB$5))*2,0)/2))&gt;0,INDEX(TF_Akt,MATCH($A58&amp;"|"&amp;AB$5,TF_Dom,0))&lt;&gt;"LMS")),"+",""),"?"))))</f>
        <v/>
      </c>
      <c r="AC58" s="13">
        <f>IF(OR($A58="",AC$5=""),"",IF(OR(AND(INDEX(TekFra,39)&gt;0,AC$5&lt;INDEX(TekFra,39)),AND(INDEX(TekTil,39)&gt;0,AC$5&gt;INDEX(TekTil,39))),"",IF(COUNTIFS(TF_Nokkel,$A58&amp;"|"&amp;AC$5)=0,IF(AC$10&lt;&gt;"","LMS",""),IFERROR(IF(SUMIFS(TF_Timer,TF_Nokkel,$A58&amp;"|"&amp;AC$5,TF_Akt,"LMS")+IF(AC$10="",0,MAX(0,ROUND((AC$13-SUMIFS(TF_Timer,TF_Nokkel,$A58&amp;"|"&amp;AC$5))*2,0)/2))&gt;INDEX(TF_AktSum,MATCH($A58&amp;"|"&amp;AC$5,TF_Dom,0)),"LMS",INDEX(AktKode,MATCH(INDEX(TF_Akt,MATCH($A58&amp;"|"&amp;AC$5,TF_Dom,0)),Aktiviteter,0)))&amp;IF(OR(COUNTIFS(TF_Nokkel,$A58&amp;"|"&amp;AC$5,TF_Akt,"&lt;&gt;"&amp;INDEX(TF_Akt,MATCH($A58&amp;"|"&amp;AC$5,TF_Dom,0)))&gt;0,AND(IF(AC$10="",0,MAX(0,ROUND((AC$13-SUMIFS(TF_Timer,TF_Nokkel,$A58&amp;"|"&amp;AC$5))*2,0)/2))&gt;0,INDEX(TF_Akt,MATCH($A58&amp;"|"&amp;AC$5,TF_Dom,0))&lt;&gt;"LMS")),"+",""),"?"))))</f>
        <v/>
      </c>
      <c r="AD58" s="13">
        <f>IF(OR($A58="",AD$5=""),"",IF(OR(AND(INDEX(TekFra,39)&gt;0,AD$5&lt;INDEX(TekFra,39)),AND(INDEX(TekTil,39)&gt;0,AD$5&gt;INDEX(TekTil,39))),"",IF(COUNTIFS(TF_Nokkel,$A58&amp;"|"&amp;AD$5)=0,IF(AD$10&lt;&gt;"","LMS",""),IFERROR(IF(SUMIFS(TF_Timer,TF_Nokkel,$A58&amp;"|"&amp;AD$5,TF_Akt,"LMS")+IF(AD$10="",0,MAX(0,ROUND((AD$13-SUMIFS(TF_Timer,TF_Nokkel,$A58&amp;"|"&amp;AD$5))*2,0)/2))&gt;INDEX(TF_AktSum,MATCH($A58&amp;"|"&amp;AD$5,TF_Dom,0)),"LMS",INDEX(AktKode,MATCH(INDEX(TF_Akt,MATCH($A58&amp;"|"&amp;AD$5,TF_Dom,0)),Aktiviteter,0)))&amp;IF(OR(COUNTIFS(TF_Nokkel,$A58&amp;"|"&amp;AD$5,TF_Akt,"&lt;&gt;"&amp;INDEX(TF_Akt,MATCH($A58&amp;"|"&amp;AD$5,TF_Dom,0)))&gt;0,AND(IF(AD$10="",0,MAX(0,ROUND((AD$13-SUMIFS(TF_Timer,TF_Nokkel,$A58&amp;"|"&amp;AD$5))*2,0)/2))&gt;0,INDEX(TF_Akt,MATCH($A58&amp;"|"&amp;AD$5,TF_Dom,0))&lt;&gt;"LMS")),"+",""),"?"))))</f>
        <v/>
      </c>
      <c r="AE58" s="13">
        <f>IF(OR($A58="",AE$5=""),"",IF(OR(AND(INDEX(TekFra,39)&gt;0,AE$5&lt;INDEX(TekFra,39)),AND(INDEX(TekTil,39)&gt;0,AE$5&gt;INDEX(TekTil,39))),"",IF(COUNTIFS(TF_Nokkel,$A58&amp;"|"&amp;AE$5)=0,IF(AE$10&lt;&gt;"","LMS",""),IFERROR(IF(SUMIFS(TF_Timer,TF_Nokkel,$A58&amp;"|"&amp;AE$5,TF_Akt,"LMS")+IF(AE$10="",0,MAX(0,ROUND((AE$13-SUMIFS(TF_Timer,TF_Nokkel,$A58&amp;"|"&amp;AE$5))*2,0)/2))&gt;INDEX(TF_AktSum,MATCH($A58&amp;"|"&amp;AE$5,TF_Dom,0)),"LMS",INDEX(AktKode,MATCH(INDEX(TF_Akt,MATCH($A58&amp;"|"&amp;AE$5,TF_Dom,0)),Aktiviteter,0)))&amp;IF(OR(COUNTIFS(TF_Nokkel,$A58&amp;"|"&amp;AE$5,TF_Akt,"&lt;&gt;"&amp;INDEX(TF_Akt,MATCH($A58&amp;"|"&amp;AE$5,TF_Dom,0)))&gt;0,AND(IF(AE$10="",0,MAX(0,ROUND((AE$13-SUMIFS(TF_Timer,TF_Nokkel,$A58&amp;"|"&amp;AE$5))*2,0)/2))&gt;0,INDEX(TF_Akt,MATCH($A58&amp;"|"&amp;AE$5,TF_Dom,0))&lt;&gt;"LMS")),"+",""),"?"))))</f>
        <v/>
      </c>
      <c r="AF58" s="13">
        <f>IF(OR($A58="",AF$5=""),"",IF(OR(AND(INDEX(TekFra,39)&gt;0,AF$5&lt;INDEX(TekFra,39)),AND(INDEX(TekTil,39)&gt;0,AF$5&gt;INDEX(TekTil,39))),"",IF(COUNTIFS(TF_Nokkel,$A58&amp;"|"&amp;AF$5)=0,IF(AF$10&lt;&gt;"","LMS",""),IFERROR(IF(SUMIFS(TF_Timer,TF_Nokkel,$A58&amp;"|"&amp;AF$5,TF_Akt,"LMS")+IF(AF$10="",0,MAX(0,ROUND((AF$13-SUMIFS(TF_Timer,TF_Nokkel,$A58&amp;"|"&amp;AF$5))*2,0)/2))&gt;INDEX(TF_AktSum,MATCH($A58&amp;"|"&amp;AF$5,TF_Dom,0)),"LMS",INDEX(AktKode,MATCH(INDEX(TF_Akt,MATCH($A58&amp;"|"&amp;AF$5,TF_Dom,0)),Aktiviteter,0)))&amp;IF(OR(COUNTIFS(TF_Nokkel,$A58&amp;"|"&amp;AF$5,TF_Akt,"&lt;&gt;"&amp;INDEX(TF_Akt,MATCH($A58&amp;"|"&amp;AF$5,TF_Dom,0)))&gt;0,AND(IF(AF$10="",0,MAX(0,ROUND((AF$13-SUMIFS(TF_Timer,TF_Nokkel,$A58&amp;"|"&amp;AF$5))*2,0)/2))&gt;0,INDEX(TF_Akt,MATCH($A58&amp;"|"&amp;AF$5,TF_Dom,0))&lt;&gt;"LMS")),"+",""),"?"))))</f>
        <v/>
      </c>
      <c r="AG58" s="13">
        <f>IF(OR($A58="",AG$5=""),"",IF(OR(AND(INDEX(TekFra,39)&gt;0,AG$5&lt;INDEX(TekFra,39)),AND(INDEX(TekTil,39)&gt;0,AG$5&gt;INDEX(TekTil,39))),"",IF(COUNTIFS(TF_Nokkel,$A58&amp;"|"&amp;AG$5)=0,IF(AG$10&lt;&gt;"","LMS",""),IFERROR(IF(SUMIFS(TF_Timer,TF_Nokkel,$A58&amp;"|"&amp;AG$5,TF_Akt,"LMS")+IF(AG$10="",0,MAX(0,ROUND((AG$13-SUMIFS(TF_Timer,TF_Nokkel,$A58&amp;"|"&amp;AG$5))*2,0)/2))&gt;INDEX(TF_AktSum,MATCH($A58&amp;"|"&amp;AG$5,TF_Dom,0)),"LMS",INDEX(AktKode,MATCH(INDEX(TF_Akt,MATCH($A58&amp;"|"&amp;AG$5,TF_Dom,0)),Aktiviteter,0)))&amp;IF(OR(COUNTIFS(TF_Nokkel,$A58&amp;"|"&amp;AG$5,TF_Akt,"&lt;&gt;"&amp;INDEX(TF_Akt,MATCH($A58&amp;"|"&amp;AG$5,TF_Dom,0)))&gt;0,AND(IF(AG$10="",0,MAX(0,ROUND((AG$13-SUMIFS(TF_Timer,TF_Nokkel,$A58&amp;"|"&amp;AG$5))*2,0)/2))&gt;0,INDEX(TF_Akt,MATCH($A58&amp;"|"&amp;AG$5,TF_Dom,0))&lt;&gt;"LMS")),"+",""),"?"))))</f>
        <v/>
      </c>
      <c r="AH58" s="2" t="n"/>
      <c r="AI58" s="2" t="n"/>
      <c r="AJ58" s="2" t="n"/>
    </row>
    <row r="59">
      <c r="A59" s="2">
        <f>INDEX(Teknikere,40)&amp;""</f>
        <v/>
      </c>
      <c r="B59" s="12">
        <f>IF(INDEX(TekFra,40)&gt;0,"ekstra","")</f>
        <v/>
      </c>
      <c r="C59" s="13">
        <f>IF(OR($A59="",C$5=""),"",IF(OR(AND(INDEX(TekFra,40)&gt;0,C$5&lt;INDEX(TekFra,40)),AND(INDEX(TekTil,40)&gt;0,C$5&gt;INDEX(TekTil,40))),"",IF(COUNTIFS(TF_Nokkel,$A59&amp;"|"&amp;C$5)=0,IF(C$10&lt;&gt;"","LMS",""),IFERROR(IF(SUMIFS(TF_Timer,TF_Nokkel,$A59&amp;"|"&amp;C$5,TF_Akt,"LMS")+IF(C$10="",0,MAX(0,ROUND((C$13-SUMIFS(TF_Timer,TF_Nokkel,$A59&amp;"|"&amp;C$5))*2,0)/2))&gt;INDEX(TF_AktSum,MATCH($A59&amp;"|"&amp;C$5,TF_Dom,0)),"LMS",INDEX(AktKode,MATCH(INDEX(TF_Akt,MATCH($A59&amp;"|"&amp;C$5,TF_Dom,0)),Aktiviteter,0)))&amp;IF(OR(COUNTIFS(TF_Nokkel,$A59&amp;"|"&amp;C$5,TF_Akt,"&lt;&gt;"&amp;INDEX(TF_Akt,MATCH($A59&amp;"|"&amp;C$5,TF_Dom,0)))&gt;0,AND(IF(C$10="",0,MAX(0,ROUND((C$13-SUMIFS(TF_Timer,TF_Nokkel,$A59&amp;"|"&amp;C$5))*2,0)/2))&gt;0,INDEX(TF_Akt,MATCH($A59&amp;"|"&amp;C$5,TF_Dom,0))&lt;&gt;"LMS")),"+",""),"?"))))</f>
        <v/>
      </c>
      <c r="D59" s="13">
        <f>IF(OR($A59="",D$5=""),"",IF(OR(AND(INDEX(TekFra,40)&gt;0,D$5&lt;INDEX(TekFra,40)),AND(INDEX(TekTil,40)&gt;0,D$5&gt;INDEX(TekTil,40))),"",IF(COUNTIFS(TF_Nokkel,$A59&amp;"|"&amp;D$5)=0,IF(D$10&lt;&gt;"","LMS",""),IFERROR(IF(SUMIFS(TF_Timer,TF_Nokkel,$A59&amp;"|"&amp;D$5,TF_Akt,"LMS")+IF(D$10="",0,MAX(0,ROUND((D$13-SUMIFS(TF_Timer,TF_Nokkel,$A59&amp;"|"&amp;D$5))*2,0)/2))&gt;INDEX(TF_AktSum,MATCH($A59&amp;"|"&amp;D$5,TF_Dom,0)),"LMS",INDEX(AktKode,MATCH(INDEX(TF_Akt,MATCH($A59&amp;"|"&amp;D$5,TF_Dom,0)),Aktiviteter,0)))&amp;IF(OR(COUNTIFS(TF_Nokkel,$A59&amp;"|"&amp;D$5,TF_Akt,"&lt;&gt;"&amp;INDEX(TF_Akt,MATCH($A59&amp;"|"&amp;D$5,TF_Dom,0)))&gt;0,AND(IF(D$10="",0,MAX(0,ROUND((D$13-SUMIFS(TF_Timer,TF_Nokkel,$A59&amp;"|"&amp;D$5))*2,0)/2))&gt;0,INDEX(TF_Akt,MATCH($A59&amp;"|"&amp;D$5,TF_Dom,0))&lt;&gt;"LMS")),"+",""),"?"))))</f>
        <v/>
      </c>
      <c r="E59" s="13">
        <f>IF(OR($A59="",E$5=""),"",IF(OR(AND(INDEX(TekFra,40)&gt;0,E$5&lt;INDEX(TekFra,40)),AND(INDEX(TekTil,40)&gt;0,E$5&gt;INDEX(TekTil,40))),"",IF(COUNTIFS(TF_Nokkel,$A59&amp;"|"&amp;E$5)=0,IF(E$10&lt;&gt;"","LMS",""),IFERROR(IF(SUMIFS(TF_Timer,TF_Nokkel,$A59&amp;"|"&amp;E$5,TF_Akt,"LMS")+IF(E$10="",0,MAX(0,ROUND((E$13-SUMIFS(TF_Timer,TF_Nokkel,$A59&amp;"|"&amp;E$5))*2,0)/2))&gt;INDEX(TF_AktSum,MATCH($A59&amp;"|"&amp;E$5,TF_Dom,0)),"LMS",INDEX(AktKode,MATCH(INDEX(TF_Akt,MATCH($A59&amp;"|"&amp;E$5,TF_Dom,0)),Aktiviteter,0)))&amp;IF(OR(COUNTIFS(TF_Nokkel,$A59&amp;"|"&amp;E$5,TF_Akt,"&lt;&gt;"&amp;INDEX(TF_Akt,MATCH($A59&amp;"|"&amp;E$5,TF_Dom,0)))&gt;0,AND(IF(E$10="",0,MAX(0,ROUND((E$13-SUMIFS(TF_Timer,TF_Nokkel,$A59&amp;"|"&amp;E$5))*2,0)/2))&gt;0,INDEX(TF_Akt,MATCH($A59&amp;"|"&amp;E$5,TF_Dom,0))&lt;&gt;"LMS")),"+",""),"?"))))</f>
        <v/>
      </c>
      <c r="F59" s="13">
        <f>IF(OR($A59="",F$5=""),"",IF(OR(AND(INDEX(TekFra,40)&gt;0,F$5&lt;INDEX(TekFra,40)),AND(INDEX(TekTil,40)&gt;0,F$5&gt;INDEX(TekTil,40))),"",IF(COUNTIFS(TF_Nokkel,$A59&amp;"|"&amp;F$5)=0,IF(F$10&lt;&gt;"","LMS",""),IFERROR(IF(SUMIFS(TF_Timer,TF_Nokkel,$A59&amp;"|"&amp;F$5,TF_Akt,"LMS")+IF(F$10="",0,MAX(0,ROUND((F$13-SUMIFS(TF_Timer,TF_Nokkel,$A59&amp;"|"&amp;F$5))*2,0)/2))&gt;INDEX(TF_AktSum,MATCH($A59&amp;"|"&amp;F$5,TF_Dom,0)),"LMS",INDEX(AktKode,MATCH(INDEX(TF_Akt,MATCH($A59&amp;"|"&amp;F$5,TF_Dom,0)),Aktiviteter,0)))&amp;IF(OR(COUNTIFS(TF_Nokkel,$A59&amp;"|"&amp;F$5,TF_Akt,"&lt;&gt;"&amp;INDEX(TF_Akt,MATCH($A59&amp;"|"&amp;F$5,TF_Dom,0)))&gt;0,AND(IF(F$10="",0,MAX(0,ROUND((F$13-SUMIFS(TF_Timer,TF_Nokkel,$A59&amp;"|"&amp;F$5))*2,0)/2))&gt;0,INDEX(TF_Akt,MATCH($A59&amp;"|"&amp;F$5,TF_Dom,0))&lt;&gt;"LMS")),"+",""),"?"))))</f>
        <v/>
      </c>
      <c r="G59" s="13">
        <f>IF(OR($A59="",G$5=""),"",IF(OR(AND(INDEX(TekFra,40)&gt;0,G$5&lt;INDEX(TekFra,40)),AND(INDEX(TekTil,40)&gt;0,G$5&gt;INDEX(TekTil,40))),"",IF(COUNTIFS(TF_Nokkel,$A59&amp;"|"&amp;G$5)=0,IF(G$10&lt;&gt;"","LMS",""),IFERROR(IF(SUMIFS(TF_Timer,TF_Nokkel,$A59&amp;"|"&amp;G$5,TF_Akt,"LMS")+IF(G$10="",0,MAX(0,ROUND((G$13-SUMIFS(TF_Timer,TF_Nokkel,$A59&amp;"|"&amp;G$5))*2,0)/2))&gt;INDEX(TF_AktSum,MATCH($A59&amp;"|"&amp;G$5,TF_Dom,0)),"LMS",INDEX(AktKode,MATCH(INDEX(TF_Akt,MATCH($A59&amp;"|"&amp;G$5,TF_Dom,0)),Aktiviteter,0)))&amp;IF(OR(COUNTIFS(TF_Nokkel,$A59&amp;"|"&amp;G$5,TF_Akt,"&lt;&gt;"&amp;INDEX(TF_Akt,MATCH($A59&amp;"|"&amp;G$5,TF_Dom,0)))&gt;0,AND(IF(G$10="",0,MAX(0,ROUND((G$13-SUMIFS(TF_Timer,TF_Nokkel,$A59&amp;"|"&amp;G$5))*2,0)/2))&gt;0,INDEX(TF_Akt,MATCH($A59&amp;"|"&amp;G$5,TF_Dom,0))&lt;&gt;"LMS")),"+",""),"?"))))</f>
        <v/>
      </c>
      <c r="H59" s="13">
        <f>IF(OR($A59="",H$5=""),"",IF(OR(AND(INDEX(TekFra,40)&gt;0,H$5&lt;INDEX(TekFra,40)),AND(INDEX(TekTil,40)&gt;0,H$5&gt;INDEX(TekTil,40))),"",IF(COUNTIFS(TF_Nokkel,$A59&amp;"|"&amp;H$5)=0,IF(H$10&lt;&gt;"","LMS",""),IFERROR(IF(SUMIFS(TF_Timer,TF_Nokkel,$A59&amp;"|"&amp;H$5,TF_Akt,"LMS")+IF(H$10="",0,MAX(0,ROUND((H$13-SUMIFS(TF_Timer,TF_Nokkel,$A59&amp;"|"&amp;H$5))*2,0)/2))&gt;INDEX(TF_AktSum,MATCH($A59&amp;"|"&amp;H$5,TF_Dom,0)),"LMS",INDEX(AktKode,MATCH(INDEX(TF_Akt,MATCH($A59&amp;"|"&amp;H$5,TF_Dom,0)),Aktiviteter,0)))&amp;IF(OR(COUNTIFS(TF_Nokkel,$A59&amp;"|"&amp;H$5,TF_Akt,"&lt;&gt;"&amp;INDEX(TF_Akt,MATCH($A59&amp;"|"&amp;H$5,TF_Dom,0)))&gt;0,AND(IF(H$10="",0,MAX(0,ROUND((H$13-SUMIFS(TF_Timer,TF_Nokkel,$A59&amp;"|"&amp;H$5))*2,0)/2))&gt;0,INDEX(TF_Akt,MATCH($A59&amp;"|"&amp;H$5,TF_Dom,0))&lt;&gt;"LMS")),"+",""),"?"))))</f>
        <v/>
      </c>
      <c r="I59" s="13">
        <f>IF(OR($A59="",I$5=""),"",IF(OR(AND(INDEX(TekFra,40)&gt;0,I$5&lt;INDEX(TekFra,40)),AND(INDEX(TekTil,40)&gt;0,I$5&gt;INDEX(TekTil,40))),"",IF(COUNTIFS(TF_Nokkel,$A59&amp;"|"&amp;I$5)=0,IF(I$10&lt;&gt;"","LMS",""),IFERROR(IF(SUMIFS(TF_Timer,TF_Nokkel,$A59&amp;"|"&amp;I$5,TF_Akt,"LMS")+IF(I$10="",0,MAX(0,ROUND((I$13-SUMIFS(TF_Timer,TF_Nokkel,$A59&amp;"|"&amp;I$5))*2,0)/2))&gt;INDEX(TF_AktSum,MATCH($A59&amp;"|"&amp;I$5,TF_Dom,0)),"LMS",INDEX(AktKode,MATCH(INDEX(TF_Akt,MATCH($A59&amp;"|"&amp;I$5,TF_Dom,0)),Aktiviteter,0)))&amp;IF(OR(COUNTIFS(TF_Nokkel,$A59&amp;"|"&amp;I$5,TF_Akt,"&lt;&gt;"&amp;INDEX(TF_Akt,MATCH($A59&amp;"|"&amp;I$5,TF_Dom,0)))&gt;0,AND(IF(I$10="",0,MAX(0,ROUND((I$13-SUMIFS(TF_Timer,TF_Nokkel,$A59&amp;"|"&amp;I$5))*2,0)/2))&gt;0,INDEX(TF_Akt,MATCH($A59&amp;"|"&amp;I$5,TF_Dom,0))&lt;&gt;"LMS")),"+",""),"?"))))</f>
        <v/>
      </c>
      <c r="J59" s="13">
        <f>IF(OR($A59="",J$5=""),"",IF(OR(AND(INDEX(TekFra,40)&gt;0,J$5&lt;INDEX(TekFra,40)),AND(INDEX(TekTil,40)&gt;0,J$5&gt;INDEX(TekTil,40))),"",IF(COUNTIFS(TF_Nokkel,$A59&amp;"|"&amp;J$5)=0,IF(J$10&lt;&gt;"","LMS",""),IFERROR(IF(SUMIFS(TF_Timer,TF_Nokkel,$A59&amp;"|"&amp;J$5,TF_Akt,"LMS")+IF(J$10="",0,MAX(0,ROUND((J$13-SUMIFS(TF_Timer,TF_Nokkel,$A59&amp;"|"&amp;J$5))*2,0)/2))&gt;INDEX(TF_AktSum,MATCH($A59&amp;"|"&amp;J$5,TF_Dom,0)),"LMS",INDEX(AktKode,MATCH(INDEX(TF_Akt,MATCH($A59&amp;"|"&amp;J$5,TF_Dom,0)),Aktiviteter,0)))&amp;IF(OR(COUNTIFS(TF_Nokkel,$A59&amp;"|"&amp;J$5,TF_Akt,"&lt;&gt;"&amp;INDEX(TF_Akt,MATCH($A59&amp;"|"&amp;J$5,TF_Dom,0)))&gt;0,AND(IF(J$10="",0,MAX(0,ROUND((J$13-SUMIFS(TF_Timer,TF_Nokkel,$A59&amp;"|"&amp;J$5))*2,0)/2))&gt;0,INDEX(TF_Akt,MATCH($A59&amp;"|"&amp;J$5,TF_Dom,0))&lt;&gt;"LMS")),"+",""),"?"))))</f>
        <v/>
      </c>
      <c r="K59" s="13">
        <f>IF(OR($A59="",K$5=""),"",IF(OR(AND(INDEX(TekFra,40)&gt;0,K$5&lt;INDEX(TekFra,40)),AND(INDEX(TekTil,40)&gt;0,K$5&gt;INDEX(TekTil,40))),"",IF(COUNTIFS(TF_Nokkel,$A59&amp;"|"&amp;K$5)=0,IF(K$10&lt;&gt;"","LMS",""),IFERROR(IF(SUMIFS(TF_Timer,TF_Nokkel,$A59&amp;"|"&amp;K$5,TF_Akt,"LMS")+IF(K$10="",0,MAX(0,ROUND((K$13-SUMIFS(TF_Timer,TF_Nokkel,$A59&amp;"|"&amp;K$5))*2,0)/2))&gt;INDEX(TF_AktSum,MATCH($A59&amp;"|"&amp;K$5,TF_Dom,0)),"LMS",INDEX(AktKode,MATCH(INDEX(TF_Akt,MATCH($A59&amp;"|"&amp;K$5,TF_Dom,0)),Aktiviteter,0)))&amp;IF(OR(COUNTIFS(TF_Nokkel,$A59&amp;"|"&amp;K$5,TF_Akt,"&lt;&gt;"&amp;INDEX(TF_Akt,MATCH($A59&amp;"|"&amp;K$5,TF_Dom,0)))&gt;0,AND(IF(K$10="",0,MAX(0,ROUND((K$13-SUMIFS(TF_Timer,TF_Nokkel,$A59&amp;"|"&amp;K$5))*2,0)/2))&gt;0,INDEX(TF_Akt,MATCH($A59&amp;"|"&amp;K$5,TF_Dom,0))&lt;&gt;"LMS")),"+",""),"?"))))</f>
        <v/>
      </c>
      <c r="L59" s="13">
        <f>IF(OR($A59="",L$5=""),"",IF(OR(AND(INDEX(TekFra,40)&gt;0,L$5&lt;INDEX(TekFra,40)),AND(INDEX(TekTil,40)&gt;0,L$5&gt;INDEX(TekTil,40))),"",IF(COUNTIFS(TF_Nokkel,$A59&amp;"|"&amp;L$5)=0,IF(L$10&lt;&gt;"","LMS",""),IFERROR(IF(SUMIFS(TF_Timer,TF_Nokkel,$A59&amp;"|"&amp;L$5,TF_Akt,"LMS")+IF(L$10="",0,MAX(0,ROUND((L$13-SUMIFS(TF_Timer,TF_Nokkel,$A59&amp;"|"&amp;L$5))*2,0)/2))&gt;INDEX(TF_AktSum,MATCH($A59&amp;"|"&amp;L$5,TF_Dom,0)),"LMS",INDEX(AktKode,MATCH(INDEX(TF_Akt,MATCH($A59&amp;"|"&amp;L$5,TF_Dom,0)),Aktiviteter,0)))&amp;IF(OR(COUNTIFS(TF_Nokkel,$A59&amp;"|"&amp;L$5,TF_Akt,"&lt;&gt;"&amp;INDEX(TF_Akt,MATCH($A59&amp;"|"&amp;L$5,TF_Dom,0)))&gt;0,AND(IF(L$10="",0,MAX(0,ROUND((L$13-SUMIFS(TF_Timer,TF_Nokkel,$A59&amp;"|"&amp;L$5))*2,0)/2))&gt;0,INDEX(TF_Akt,MATCH($A59&amp;"|"&amp;L$5,TF_Dom,0))&lt;&gt;"LMS")),"+",""),"?"))))</f>
        <v/>
      </c>
      <c r="M59" s="13">
        <f>IF(OR($A59="",M$5=""),"",IF(OR(AND(INDEX(TekFra,40)&gt;0,M$5&lt;INDEX(TekFra,40)),AND(INDEX(TekTil,40)&gt;0,M$5&gt;INDEX(TekTil,40))),"",IF(COUNTIFS(TF_Nokkel,$A59&amp;"|"&amp;M$5)=0,IF(M$10&lt;&gt;"","LMS",""),IFERROR(IF(SUMIFS(TF_Timer,TF_Nokkel,$A59&amp;"|"&amp;M$5,TF_Akt,"LMS")+IF(M$10="",0,MAX(0,ROUND((M$13-SUMIFS(TF_Timer,TF_Nokkel,$A59&amp;"|"&amp;M$5))*2,0)/2))&gt;INDEX(TF_AktSum,MATCH($A59&amp;"|"&amp;M$5,TF_Dom,0)),"LMS",INDEX(AktKode,MATCH(INDEX(TF_Akt,MATCH($A59&amp;"|"&amp;M$5,TF_Dom,0)),Aktiviteter,0)))&amp;IF(OR(COUNTIFS(TF_Nokkel,$A59&amp;"|"&amp;M$5,TF_Akt,"&lt;&gt;"&amp;INDEX(TF_Akt,MATCH($A59&amp;"|"&amp;M$5,TF_Dom,0)))&gt;0,AND(IF(M$10="",0,MAX(0,ROUND((M$13-SUMIFS(TF_Timer,TF_Nokkel,$A59&amp;"|"&amp;M$5))*2,0)/2))&gt;0,INDEX(TF_Akt,MATCH($A59&amp;"|"&amp;M$5,TF_Dom,0))&lt;&gt;"LMS")),"+",""),"?"))))</f>
        <v/>
      </c>
      <c r="N59" s="13">
        <f>IF(OR($A59="",N$5=""),"",IF(OR(AND(INDEX(TekFra,40)&gt;0,N$5&lt;INDEX(TekFra,40)),AND(INDEX(TekTil,40)&gt;0,N$5&gt;INDEX(TekTil,40))),"",IF(COUNTIFS(TF_Nokkel,$A59&amp;"|"&amp;N$5)=0,IF(N$10&lt;&gt;"","LMS",""),IFERROR(IF(SUMIFS(TF_Timer,TF_Nokkel,$A59&amp;"|"&amp;N$5,TF_Akt,"LMS")+IF(N$10="",0,MAX(0,ROUND((N$13-SUMIFS(TF_Timer,TF_Nokkel,$A59&amp;"|"&amp;N$5))*2,0)/2))&gt;INDEX(TF_AktSum,MATCH($A59&amp;"|"&amp;N$5,TF_Dom,0)),"LMS",INDEX(AktKode,MATCH(INDEX(TF_Akt,MATCH($A59&amp;"|"&amp;N$5,TF_Dom,0)),Aktiviteter,0)))&amp;IF(OR(COUNTIFS(TF_Nokkel,$A59&amp;"|"&amp;N$5,TF_Akt,"&lt;&gt;"&amp;INDEX(TF_Akt,MATCH($A59&amp;"|"&amp;N$5,TF_Dom,0)))&gt;0,AND(IF(N$10="",0,MAX(0,ROUND((N$13-SUMIFS(TF_Timer,TF_Nokkel,$A59&amp;"|"&amp;N$5))*2,0)/2))&gt;0,INDEX(TF_Akt,MATCH($A59&amp;"|"&amp;N$5,TF_Dom,0))&lt;&gt;"LMS")),"+",""),"?"))))</f>
        <v/>
      </c>
      <c r="O59" s="13">
        <f>IF(OR($A59="",O$5=""),"",IF(OR(AND(INDEX(TekFra,40)&gt;0,O$5&lt;INDEX(TekFra,40)),AND(INDEX(TekTil,40)&gt;0,O$5&gt;INDEX(TekTil,40))),"",IF(COUNTIFS(TF_Nokkel,$A59&amp;"|"&amp;O$5)=0,IF(O$10&lt;&gt;"","LMS",""),IFERROR(IF(SUMIFS(TF_Timer,TF_Nokkel,$A59&amp;"|"&amp;O$5,TF_Akt,"LMS")+IF(O$10="",0,MAX(0,ROUND((O$13-SUMIFS(TF_Timer,TF_Nokkel,$A59&amp;"|"&amp;O$5))*2,0)/2))&gt;INDEX(TF_AktSum,MATCH($A59&amp;"|"&amp;O$5,TF_Dom,0)),"LMS",INDEX(AktKode,MATCH(INDEX(TF_Akt,MATCH($A59&amp;"|"&amp;O$5,TF_Dom,0)),Aktiviteter,0)))&amp;IF(OR(COUNTIFS(TF_Nokkel,$A59&amp;"|"&amp;O$5,TF_Akt,"&lt;&gt;"&amp;INDEX(TF_Akt,MATCH($A59&amp;"|"&amp;O$5,TF_Dom,0)))&gt;0,AND(IF(O$10="",0,MAX(0,ROUND((O$13-SUMIFS(TF_Timer,TF_Nokkel,$A59&amp;"|"&amp;O$5))*2,0)/2))&gt;0,INDEX(TF_Akt,MATCH($A59&amp;"|"&amp;O$5,TF_Dom,0))&lt;&gt;"LMS")),"+",""),"?"))))</f>
        <v/>
      </c>
      <c r="P59" s="13">
        <f>IF(OR($A59="",P$5=""),"",IF(OR(AND(INDEX(TekFra,40)&gt;0,P$5&lt;INDEX(TekFra,40)),AND(INDEX(TekTil,40)&gt;0,P$5&gt;INDEX(TekTil,40))),"",IF(COUNTIFS(TF_Nokkel,$A59&amp;"|"&amp;P$5)=0,IF(P$10&lt;&gt;"","LMS",""),IFERROR(IF(SUMIFS(TF_Timer,TF_Nokkel,$A59&amp;"|"&amp;P$5,TF_Akt,"LMS")+IF(P$10="",0,MAX(0,ROUND((P$13-SUMIFS(TF_Timer,TF_Nokkel,$A59&amp;"|"&amp;P$5))*2,0)/2))&gt;INDEX(TF_AktSum,MATCH($A59&amp;"|"&amp;P$5,TF_Dom,0)),"LMS",INDEX(AktKode,MATCH(INDEX(TF_Akt,MATCH($A59&amp;"|"&amp;P$5,TF_Dom,0)),Aktiviteter,0)))&amp;IF(OR(COUNTIFS(TF_Nokkel,$A59&amp;"|"&amp;P$5,TF_Akt,"&lt;&gt;"&amp;INDEX(TF_Akt,MATCH($A59&amp;"|"&amp;P$5,TF_Dom,0)))&gt;0,AND(IF(P$10="",0,MAX(0,ROUND((P$13-SUMIFS(TF_Timer,TF_Nokkel,$A59&amp;"|"&amp;P$5))*2,0)/2))&gt;0,INDEX(TF_Akt,MATCH($A59&amp;"|"&amp;P$5,TF_Dom,0))&lt;&gt;"LMS")),"+",""),"?"))))</f>
        <v/>
      </c>
      <c r="Q59" s="13">
        <f>IF(OR($A59="",Q$5=""),"",IF(OR(AND(INDEX(TekFra,40)&gt;0,Q$5&lt;INDEX(TekFra,40)),AND(INDEX(TekTil,40)&gt;0,Q$5&gt;INDEX(TekTil,40))),"",IF(COUNTIFS(TF_Nokkel,$A59&amp;"|"&amp;Q$5)=0,IF(Q$10&lt;&gt;"","LMS",""),IFERROR(IF(SUMIFS(TF_Timer,TF_Nokkel,$A59&amp;"|"&amp;Q$5,TF_Akt,"LMS")+IF(Q$10="",0,MAX(0,ROUND((Q$13-SUMIFS(TF_Timer,TF_Nokkel,$A59&amp;"|"&amp;Q$5))*2,0)/2))&gt;INDEX(TF_AktSum,MATCH($A59&amp;"|"&amp;Q$5,TF_Dom,0)),"LMS",INDEX(AktKode,MATCH(INDEX(TF_Akt,MATCH($A59&amp;"|"&amp;Q$5,TF_Dom,0)),Aktiviteter,0)))&amp;IF(OR(COUNTIFS(TF_Nokkel,$A59&amp;"|"&amp;Q$5,TF_Akt,"&lt;&gt;"&amp;INDEX(TF_Akt,MATCH($A59&amp;"|"&amp;Q$5,TF_Dom,0)))&gt;0,AND(IF(Q$10="",0,MAX(0,ROUND((Q$13-SUMIFS(TF_Timer,TF_Nokkel,$A59&amp;"|"&amp;Q$5))*2,0)/2))&gt;0,INDEX(TF_Akt,MATCH($A59&amp;"|"&amp;Q$5,TF_Dom,0))&lt;&gt;"LMS")),"+",""),"?"))))</f>
        <v/>
      </c>
      <c r="R59" s="13">
        <f>IF(OR($A59="",R$5=""),"",IF(OR(AND(INDEX(TekFra,40)&gt;0,R$5&lt;INDEX(TekFra,40)),AND(INDEX(TekTil,40)&gt;0,R$5&gt;INDEX(TekTil,40))),"",IF(COUNTIFS(TF_Nokkel,$A59&amp;"|"&amp;R$5)=0,IF(R$10&lt;&gt;"","LMS",""),IFERROR(IF(SUMIFS(TF_Timer,TF_Nokkel,$A59&amp;"|"&amp;R$5,TF_Akt,"LMS")+IF(R$10="",0,MAX(0,ROUND((R$13-SUMIFS(TF_Timer,TF_Nokkel,$A59&amp;"|"&amp;R$5))*2,0)/2))&gt;INDEX(TF_AktSum,MATCH($A59&amp;"|"&amp;R$5,TF_Dom,0)),"LMS",INDEX(AktKode,MATCH(INDEX(TF_Akt,MATCH($A59&amp;"|"&amp;R$5,TF_Dom,0)),Aktiviteter,0)))&amp;IF(OR(COUNTIFS(TF_Nokkel,$A59&amp;"|"&amp;R$5,TF_Akt,"&lt;&gt;"&amp;INDEX(TF_Akt,MATCH($A59&amp;"|"&amp;R$5,TF_Dom,0)))&gt;0,AND(IF(R$10="",0,MAX(0,ROUND((R$13-SUMIFS(TF_Timer,TF_Nokkel,$A59&amp;"|"&amp;R$5))*2,0)/2))&gt;0,INDEX(TF_Akt,MATCH($A59&amp;"|"&amp;R$5,TF_Dom,0))&lt;&gt;"LMS")),"+",""),"?"))))</f>
        <v/>
      </c>
      <c r="S59" s="13">
        <f>IF(OR($A59="",S$5=""),"",IF(OR(AND(INDEX(TekFra,40)&gt;0,S$5&lt;INDEX(TekFra,40)),AND(INDEX(TekTil,40)&gt;0,S$5&gt;INDEX(TekTil,40))),"",IF(COUNTIFS(TF_Nokkel,$A59&amp;"|"&amp;S$5)=0,IF(S$10&lt;&gt;"","LMS",""),IFERROR(IF(SUMIFS(TF_Timer,TF_Nokkel,$A59&amp;"|"&amp;S$5,TF_Akt,"LMS")+IF(S$10="",0,MAX(0,ROUND((S$13-SUMIFS(TF_Timer,TF_Nokkel,$A59&amp;"|"&amp;S$5))*2,0)/2))&gt;INDEX(TF_AktSum,MATCH($A59&amp;"|"&amp;S$5,TF_Dom,0)),"LMS",INDEX(AktKode,MATCH(INDEX(TF_Akt,MATCH($A59&amp;"|"&amp;S$5,TF_Dom,0)),Aktiviteter,0)))&amp;IF(OR(COUNTIFS(TF_Nokkel,$A59&amp;"|"&amp;S$5,TF_Akt,"&lt;&gt;"&amp;INDEX(TF_Akt,MATCH($A59&amp;"|"&amp;S$5,TF_Dom,0)))&gt;0,AND(IF(S$10="",0,MAX(0,ROUND((S$13-SUMIFS(TF_Timer,TF_Nokkel,$A59&amp;"|"&amp;S$5))*2,0)/2))&gt;0,INDEX(TF_Akt,MATCH($A59&amp;"|"&amp;S$5,TF_Dom,0))&lt;&gt;"LMS")),"+",""),"?"))))</f>
        <v/>
      </c>
      <c r="T59" s="13">
        <f>IF(OR($A59="",T$5=""),"",IF(OR(AND(INDEX(TekFra,40)&gt;0,T$5&lt;INDEX(TekFra,40)),AND(INDEX(TekTil,40)&gt;0,T$5&gt;INDEX(TekTil,40))),"",IF(COUNTIFS(TF_Nokkel,$A59&amp;"|"&amp;T$5)=0,IF(T$10&lt;&gt;"","LMS",""),IFERROR(IF(SUMIFS(TF_Timer,TF_Nokkel,$A59&amp;"|"&amp;T$5,TF_Akt,"LMS")+IF(T$10="",0,MAX(0,ROUND((T$13-SUMIFS(TF_Timer,TF_Nokkel,$A59&amp;"|"&amp;T$5))*2,0)/2))&gt;INDEX(TF_AktSum,MATCH($A59&amp;"|"&amp;T$5,TF_Dom,0)),"LMS",INDEX(AktKode,MATCH(INDEX(TF_Akt,MATCH($A59&amp;"|"&amp;T$5,TF_Dom,0)),Aktiviteter,0)))&amp;IF(OR(COUNTIFS(TF_Nokkel,$A59&amp;"|"&amp;T$5,TF_Akt,"&lt;&gt;"&amp;INDEX(TF_Akt,MATCH($A59&amp;"|"&amp;T$5,TF_Dom,0)))&gt;0,AND(IF(T$10="",0,MAX(0,ROUND((T$13-SUMIFS(TF_Timer,TF_Nokkel,$A59&amp;"|"&amp;T$5))*2,0)/2))&gt;0,INDEX(TF_Akt,MATCH($A59&amp;"|"&amp;T$5,TF_Dom,0))&lt;&gt;"LMS")),"+",""),"?"))))</f>
        <v/>
      </c>
      <c r="U59" s="13">
        <f>IF(OR($A59="",U$5=""),"",IF(OR(AND(INDEX(TekFra,40)&gt;0,U$5&lt;INDEX(TekFra,40)),AND(INDEX(TekTil,40)&gt;0,U$5&gt;INDEX(TekTil,40))),"",IF(COUNTIFS(TF_Nokkel,$A59&amp;"|"&amp;U$5)=0,IF(U$10&lt;&gt;"","LMS",""),IFERROR(IF(SUMIFS(TF_Timer,TF_Nokkel,$A59&amp;"|"&amp;U$5,TF_Akt,"LMS")+IF(U$10="",0,MAX(0,ROUND((U$13-SUMIFS(TF_Timer,TF_Nokkel,$A59&amp;"|"&amp;U$5))*2,0)/2))&gt;INDEX(TF_AktSum,MATCH($A59&amp;"|"&amp;U$5,TF_Dom,0)),"LMS",INDEX(AktKode,MATCH(INDEX(TF_Akt,MATCH($A59&amp;"|"&amp;U$5,TF_Dom,0)),Aktiviteter,0)))&amp;IF(OR(COUNTIFS(TF_Nokkel,$A59&amp;"|"&amp;U$5,TF_Akt,"&lt;&gt;"&amp;INDEX(TF_Akt,MATCH($A59&amp;"|"&amp;U$5,TF_Dom,0)))&gt;0,AND(IF(U$10="",0,MAX(0,ROUND((U$13-SUMIFS(TF_Timer,TF_Nokkel,$A59&amp;"|"&amp;U$5))*2,0)/2))&gt;0,INDEX(TF_Akt,MATCH($A59&amp;"|"&amp;U$5,TF_Dom,0))&lt;&gt;"LMS")),"+",""),"?"))))</f>
        <v/>
      </c>
      <c r="V59" s="13">
        <f>IF(OR($A59="",V$5=""),"",IF(OR(AND(INDEX(TekFra,40)&gt;0,V$5&lt;INDEX(TekFra,40)),AND(INDEX(TekTil,40)&gt;0,V$5&gt;INDEX(TekTil,40))),"",IF(COUNTIFS(TF_Nokkel,$A59&amp;"|"&amp;V$5)=0,IF(V$10&lt;&gt;"","LMS",""),IFERROR(IF(SUMIFS(TF_Timer,TF_Nokkel,$A59&amp;"|"&amp;V$5,TF_Akt,"LMS")+IF(V$10="",0,MAX(0,ROUND((V$13-SUMIFS(TF_Timer,TF_Nokkel,$A59&amp;"|"&amp;V$5))*2,0)/2))&gt;INDEX(TF_AktSum,MATCH($A59&amp;"|"&amp;V$5,TF_Dom,0)),"LMS",INDEX(AktKode,MATCH(INDEX(TF_Akt,MATCH($A59&amp;"|"&amp;V$5,TF_Dom,0)),Aktiviteter,0)))&amp;IF(OR(COUNTIFS(TF_Nokkel,$A59&amp;"|"&amp;V$5,TF_Akt,"&lt;&gt;"&amp;INDEX(TF_Akt,MATCH($A59&amp;"|"&amp;V$5,TF_Dom,0)))&gt;0,AND(IF(V$10="",0,MAX(0,ROUND((V$13-SUMIFS(TF_Timer,TF_Nokkel,$A59&amp;"|"&amp;V$5))*2,0)/2))&gt;0,INDEX(TF_Akt,MATCH($A59&amp;"|"&amp;V$5,TF_Dom,0))&lt;&gt;"LMS")),"+",""),"?"))))</f>
        <v/>
      </c>
      <c r="W59" s="13">
        <f>IF(OR($A59="",W$5=""),"",IF(OR(AND(INDEX(TekFra,40)&gt;0,W$5&lt;INDEX(TekFra,40)),AND(INDEX(TekTil,40)&gt;0,W$5&gt;INDEX(TekTil,40))),"",IF(COUNTIFS(TF_Nokkel,$A59&amp;"|"&amp;W$5)=0,IF(W$10&lt;&gt;"","LMS",""),IFERROR(IF(SUMIFS(TF_Timer,TF_Nokkel,$A59&amp;"|"&amp;W$5,TF_Akt,"LMS")+IF(W$10="",0,MAX(0,ROUND((W$13-SUMIFS(TF_Timer,TF_Nokkel,$A59&amp;"|"&amp;W$5))*2,0)/2))&gt;INDEX(TF_AktSum,MATCH($A59&amp;"|"&amp;W$5,TF_Dom,0)),"LMS",INDEX(AktKode,MATCH(INDEX(TF_Akt,MATCH($A59&amp;"|"&amp;W$5,TF_Dom,0)),Aktiviteter,0)))&amp;IF(OR(COUNTIFS(TF_Nokkel,$A59&amp;"|"&amp;W$5,TF_Akt,"&lt;&gt;"&amp;INDEX(TF_Akt,MATCH($A59&amp;"|"&amp;W$5,TF_Dom,0)))&gt;0,AND(IF(W$10="",0,MAX(0,ROUND((W$13-SUMIFS(TF_Timer,TF_Nokkel,$A59&amp;"|"&amp;W$5))*2,0)/2))&gt;0,INDEX(TF_Akt,MATCH($A59&amp;"|"&amp;W$5,TF_Dom,0))&lt;&gt;"LMS")),"+",""),"?"))))</f>
        <v/>
      </c>
      <c r="X59" s="13">
        <f>IF(OR($A59="",X$5=""),"",IF(OR(AND(INDEX(TekFra,40)&gt;0,X$5&lt;INDEX(TekFra,40)),AND(INDEX(TekTil,40)&gt;0,X$5&gt;INDEX(TekTil,40))),"",IF(COUNTIFS(TF_Nokkel,$A59&amp;"|"&amp;X$5)=0,IF(X$10&lt;&gt;"","LMS",""),IFERROR(IF(SUMIFS(TF_Timer,TF_Nokkel,$A59&amp;"|"&amp;X$5,TF_Akt,"LMS")+IF(X$10="",0,MAX(0,ROUND((X$13-SUMIFS(TF_Timer,TF_Nokkel,$A59&amp;"|"&amp;X$5))*2,0)/2))&gt;INDEX(TF_AktSum,MATCH($A59&amp;"|"&amp;X$5,TF_Dom,0)),"LMS",INDEX(AktKode,MATCH(INDEX(TF_Akt,MATCH($A59&amp;"|"&amp;X$5,TF_Dom,0)),Aktiviteter,0)))&amp;IF(OR(COUNTIFS(TF_Nokkel,$A59&amp;"|"&amp;X$5,TF_Akt,"&lt;&gt;"&amp;INDEX(TF_Akt,MATCH($A59&amp;"|"&amp;X$5,TF_Dom,0)))&gt;0,AND(IF(X$10="",0,MAX(0,ROUND((X$13-SUMIFS(TF_Timer,TF_Nokkel,$A59&amp;"|"&amp;X$5))*2,0)/2))&gt;0,INDEX(TF_Akt,MATCH($A59&amp;"|"&amp;X$5,TF_Dom,0))&lt;&gt;"LMS")),"+",""),"?"))))</f>
        <v/>
      </c>
      <c r="Y59" s="13">
        <f>IF(OR($A59="",Y$5=""),"",IF(OR(AND(INDEX(TekFra,40)&gt;0,Y$5&lt;INDEX(TekFra,40)),AND(INDEX(TekTil,40)&gt;0,Y$5&gt;INDEX(TekTil,40))),"",IF(COUNTIFS(TF_Nokkel,$A59&amp;"|"&amp;Y$5)=0,IF(Y$10&lt;&gt;"","LMS",""),IFERROR(IF(SUMIFS(TF_Timer,TF_Nokkel,$A59&amp;"|"&amp;Y$5,TF_Akt,"LMS")+IF(Y$10="",0,MAX(0,ROUND((Y$13-SUMIFS(TF_Timer,TF_Nokkel,$A59&amp;"|"&amp;Y$5))*2,0)/2))&gt;INDEX(TF_AktSum,MATCH($A59&amp;"|"&amp;Y$5,TF_Dom,0)),"LMS",INDEX(AktKode,MATCH(INDEX(TF_Akt,MATCH($A59&amp;"|"&amp;Y$5,TF_Dom,0)),Aktiviteter,0)))&amp;IF(OR(COUNTIFS(TF_Nokkel,$A59&amp;"|"&amp;Y$5,TF_Akt,"&lt;&gt;"&amp;INDEX(TF_Akt,MATCH($A59&amp;"|"&amp;Y$5,TF_Dom,0)))&gt;0,AND(IF(Y$10="",0,MAX(0,ROUND((Y$13-SUMIFS(TF_Timer,TF_Nokkel,$A59&amp;"|"&amp;Y$5))*2,0)/2))&gt;0,INDEX(TF_Akt,MATCH($A59&amp;"|"&amp;Y$5,TF_Dom,0))&lt;&gt;"LMS")),"+",""),"?"))))</f>
        <v/>
      </c>
      <c r="Z59" s="13">
        <f>IF(OR($A59="",Z$5=""),"",IF(OR(AND(INDEX(TekFra,40)&gt;0,Z$5&lt;INDEX(TekFra,40)),AND(INDEX(TekTil,40)&gt;0,Z$5&gt;INDEX(TekTil,40))),"",IF(COUNTIFS(TF_Nokkel,$A59&amp;"|"&amp;Z$5)=0,IF(Z$10&lt;&gt;"","LMS",""),IFERROR(IF(SUMIFS(TF_Timer,TF_Nokkel,$A59&amp;"|"&amp;Z$5,TF_Akt,"LMS")+IF(Z$10="",0,MAX(0,ROUND((Z$13-SUMIFS(TF_Timer,TF_Nokkel,$A59&amp;"|"&amp;Z$5))*2,0)/2))&gt;INDEX(TF_AktSum,MATCH($A59&amp;"|"&amp;Z$5,TF_Dom,0)),"LMS",INDEX(AktKode,MATCH(INDEX(TF_Akt,MATCH($A59&amp;"|"&amp;Z$5,TF_Dom,0)),Aktiviteter,0)))&amp;IF(OR(COUNTIFS(TF_Nokkel,$A59&amp;"|"&amp;Z$5,TF_Akt,"&lt;&gt;"&amp;INDEX(TF_Akt,MATCH($A59&amp;"|"&amp;Z$5,TF_Dom,0)))&gt;0,AND(IF(Z$10="",0,MAX(0,ROUND((Z$13-SUMIFS(TF_Timer,TF_Nokkel,$A59&amp;"|"&amp;Z$5))*2,0)/2))&gt;0,INDEX(TF_Akt,MATCH($A59&amp;"|"&amp;Z$5,TF_Dom,0))&lt;&gt;"LMS")),"+",""),"?"))))</f>
        <v/>
      </c>
      <c r="AA59" s="13">
        <f>IF(OR($A59="",AA$5=""),"",IF(OR(AND(INDEX(TekFra,40)&gt;0,AA$5&lt;INDEX(TekFra,40)),AND(INDEX(TekTil,40)&gt;0,AA$5&gt;INDEX(TekTil,40))),"",IF(COUNTIFS(TF_Nokkel,$A59&amp;"|"&amp;AA$5)=0,IF(AA$10&lt;&gt;"","LMS",""),IFERROR(IF(SUMIFS(TF_Timer,TF_Nokkel,$A59&amp;"|"&amp;AA$5,TF_Akt,"LMS")+IF(AA$10="",0,MAX(0,ROUND((AA$13-SUMIFS(TF_Timer,TF_Nokkel,$A59&amp;"|"&amp;AA$5))*2,0)/2))&gt;INDEX(TF_AktSum,MATCH($A59&amp;"|"&amp;AA$5,TF_Dom,0)),"LMS",INDEX(AktKode,MATCH(INDEX(TF_Akt,MATCH($A59&amp;"|"&amp;AA$5,TF_Dom,0)),Aktiviteter,0)))&amp;IF(OR(COUNTIFS(TF_Nokkel,$A59&amp;"|"&amp;AA$5,TF_Akt,"&lt;&gt;"&amp;INDEX(TF_Akt,MATCH($A59&amp;"|"&amp;AA$5,TF_Dom,0)))&gt;0,AND(IF(AA$10="",0,MAX(0,ROUND((AA$13-SUMIFS(TF_Timer,TF_Nokkel,$A59&amp;"|"&amp;AA$5))*2,0)/2))&gt;0,INDEX(TF_Akt,MATCH($A59&amp;"|"&amp;AA$5,TF_Dom,0))&lt;&gt;"LMS")),"+",""),"?"))))</f>
        <v/>
      </c>
      <c r="AB59" s="13">
        <f>IF(OR($A59="",AB$5=""),"",IF(OR(AND(INDEX(TekFra,40)&gt;0,AB$5&lt;INDEX(TekFra,40)),AND(INDEX(TekTil,40)&gt;0,AB$5&gt;INDEX(TekTil,40))),"",IF(COUNTIFS(TF_Nokkel,$A59&amp;"|"&amp;AB$5)=0,IF(AB$10&lt;&gt;"","LMS",""),IFERROR(IF(SUMIFS(TF_Timer,TF_Nokkel,$A59&amp;"|"&amp;AB$5,TF_Akt,"LMS")+IF(AB$10="",0,MAX(0,ROUND((AB$13-SUMIFS(TF_Timer,TF_Nokkel,$A59&amp;"|"&amp;AB$5))*2,0)/2))&gt;INDEX(TF_AktSum,MATCH($A59&amp;"|"&amp;AB$5,TF_Dom,0)),"LMS",INDEX(AktKode,MATCH(INDEX(TF_Akt,MATCH($A59&amp;"|"&amp;AB$5,TF_Dom,0)),Aktiviteter,0)))&amp;IF(OR(COUNTIFS(TF_Nokkel,$A59&amp;"|"&amp;AB$5,TF_Akt,"&lt;&gt;"&amp;INDEX(TF_Akt,MATCH($A59&amp;"|"&amp;AB$5,TF_Dom,0)))&gt;0,AND(IF(AB$10="",0,MAX(0,ROUND((AB$13-SUMIFS(TF_Timer,TF_Nokkel,$A59&amp;"|"&amp;AB$5))*2,0)/2))&gt;0,INDEX(TF_Akt,MATCH($A59&amp;"|"&amp;AB$5,TF_Dom,0))&lt;&gt;"LMS")),"+",""),"?"))))</f>
        <v/>
      </c>
      <c r="AC59" s="13">
        <f>IF(OR($A59="",AC$5=""),"",IF(OR(AND(INDEX(TekFra,40)&gt;0,AC$5&lt;INDEX(TekFra,40)),AND(INDEX(TekTil,40)&gt;0,AC$5&gt;INDEX(TekTil,40))),"",IF(COUNTIFS(TF_Nokkel,$A59&amp;"|"&amp;AC$5)=0,IF(AC$10&lt;&gt;"","LMS",""),IFERROR(IF(SUMIFS(TF_Timer,TF_Nokkel,$A59&amp;"|"&amp;AC$5,TF_Akt,"LMS")+IF(AC$10="",0,MAX(0,ROUND((AC$13-SUMIFS(TF_Timer,TF_Nokkel,$A59&amp;"|"&amp;AC$5))*2,0)/2))&gt;INDEX(TF_AktSum,MATCH($A59&amp;"|"&amp;AC$5,TF_Dom,0)),"LMS",INDEX(AktKode,MATCH(INDEX(TF_Akt,MATCH($A59&amp;"|"&amp;AC$5,TF_Dom,0)),Aktiviteter,0)))&amp;IF(OR(COUNTIFS(TF_Nokkel,$A59&amp;"|"&amp;AC$5,TF_Akt,"&lt;&gt;"&amp;INDEX(TF_Akt,MATCH($A59&amp;"|"&amp;AC$5,TF_Dom,0)))&gt;0,AND(IF(AC$10="",0,MAX(0,ROUND((AC$13-SUMIFS(TF_Timer,TF_Nokkel,$A59&amp;"|"&amp;AC$5))*2,0)/2))&gt;0,INDEX(TF_Akt,MATCH($A59&amp;"|"&amp;AC$5,TF_Dom,0))&lt;&gt;"LMS")),"+",""),"?"))))</f>
        <v/>
      </c>
      <c r="AD59" s="13">
        <f>IF(OR($A59="",AD$5=""),"",IF(OR(AND(INDEX(TekFra,40)&gt;0,AD$5&lt;INDEX(TekFra,40)),AND(INDEX(TekTil,40)&gt;0,AD$5&gt;INDEX(TekTil,40))),"",IF(COUNTIFS(TF_Nokkel,$A59&amp;"|"&amp;AD$5)=0,IF(AD$10&lt;&gt;"","LMS",""),IFERROR(IF(SUMIFS(TF_Timer,TF_Nokkel,$A59&amp;"|"&amp;AD$5,TF_Akt,"LMS")+IF(AD$10="",0,MAX(0,ROUND((AD$13-SUMIFS(TF_Timer,TF_Nokkel,$A59&amp;"|"&amp;AD$5))*2,0)/2))&gt;INDEX(TF_AktSum,MATCH($A59&amp;"|"&amp;AD$5,TF_Dom,0)),"LMS",INDEX(AktKode,MATCH(INDEX(TF_Akt,MATCH($A59&amp;"|"&amp;AD$5,TF_Dom,0)),Aktiviteter,0)))&amp;IF(OR(COUNTIFS(TF_Nokkel,$A59&amp;"|"&amp;AD$5,TF_Akt,"&lt;&gt;"&amp;INDEX(TF_Akt,MATCH($A59&amp;"|"&amp;AD$5,TF_Dom,0)))&gt;0,AND(IF(AD$10="",0,MAX(0,ROUND((AD$13-SUMIFS(TF_Timer,TF_Nokkel,$A59&amp;"|"&amp;AD$5))*2,0)/2))&gt;0,INDEX(TF_Akt,MATCH($A59&amp;"|"&amp;AD$5,TF_Dom,0))&lt;&gt;"LMS")),"+",""),"?"))))</f>
        <v/>
      </c>
      <c r="AE59" s="13">
        <f>IF(OR($A59="",AE$5=""),"",IF(OR(AND(INDEX(TekFra,40)&gt;0,AE$5&lt;INDEX(TekFra,40)),AND(INDEX(TekTil,40)&gt;0,AE$5&gt;INDEX(TekTil,40))),"",IF(COUNTIFS(TF_Nokkel,$A59&amp;"|"&amp;AE$5)=0,IF(AE$10&lt;&gt;"","LMS",""),IFERROR(IF(SUMIFS(TF_Timer,TF_Nokkel,$A59&amp;"|"&amp;AE$5,TF_Akt,"LMS")+IF(AE$10="",0,MAX(0,ROUND((AE$13-SUMIFS(TF_Timer,TF_Nokkel,$A59&amp;"|"&amp;AE$5))*2,0)/2))&gt;INDEX(TF_AktSum,MATCH($A59&amp;"|"&amp;AE$5,TF_Dom,0)),"LMS",INDEX(AktKode,MATCH(INDEX(TF_Akt,MATCH($A59&amp;"|"&amp;AE$5,TF_Dom,0)),Aktiviteter,0)))&amp;IF(OR(COUNTIFS(TF_Nokkel,$A59&amp;"|"&amp;AE$5,TF_Akt,"&lt;&gt;"&amp;INDEX(TF_Akt,MATCH($A59&amp;"|"&amp;AE$5,TF_Dom,0)))&gt;0,AND(IF(AE$10="",0,MAX(0,ROUND((AE$13-SUMIFS(TF_Timer,TF_Nokkel,$A59&amp;"|"&amp;AE$5))*2,0)/2))&gt;0,INDEX(TF_Akt,MATCH($A59&amp;"|"&amp;AE$5,TF_Dom,0))&lt;&gt;"LMS")),"+",""),"?"))))</f>
        <v/>
      </c>
      <c r="AF59" s="13">
        <f>IF(OR($A59="",AF$5=""),"",IF(OR(AND(INDEX(TekFra,40)&gt;0,AF$5&lt;INDEX(TekFra,40)),AND(INDEX(TekTil,40)&gt;0,AF$5&gt;INDEX(TekTil,40))),"",IF(COUNTIFS(TF_Nokkel,$A59&amp;"|"&amp;AF$5)=0,IF(AF$10&lt;&gt;"","LMS",""),IFERROR(IF(SUMIFS(TF_Timer,TF_Nokkel,$A59&amp;"|"&amp;AF$5,TF_Akt,"LMS")+IF(AF$10="",0,MAX(0,ROUND((AF$13-SUMIFS(TF_Timer,TF_Nokkel,$A59&amp;"|"&amp;AF$5))*2,0)/2))&gt;INDEX(TF_AktSum,MATCH($A59&amp;"|"&amp;AF$5,TF_Dom,0)),"LMS",INDEX(AktKode,MATCH(INDEX(TF_Akt,MATCH($A59&amp;"|"&amp;AF$5,TF_Dom,0)),Aktiviteter,0)))&amp;IF(OR(COUNTIFS(TF_Nokkel,$A59&amp;"|"&amp;AF$5,TF_Akt,"&lt;&gt;"&amp;INDEX(TF_Akt,MATCH($A59&amp;"|"&amp;AF$5,TF_Dom,0)))&gt;0,AND(IF(AF$10="",0,MAX(0,ROUND((AF$13-SUMIFS(TF_Timer,TF_Nokkel,$A59&amp;"|"&amp;AF$5))*2,0)/2))&gt;0,INDEX(TF_Akt,MATCH($A59&amp;"|"&amp;AF$5,TF_Dom,0))&lt;&gt;"LMS")),"+",""),"?"))))</f>
        <v/>
      </c>
      <c r="AG59" s="13">
        <f>IF(OR($A59="",AG$5=""),"",IF(OR(AND(INDEX(TekFra,40)&gt;0,AG$5&lt;INDEX(TekFra,40)),AND(INDEX(TekTil,40)&gt;0,AG$5&gt;INDEX(TekTil,40))),"",IF(COUNTIFS(TF_Nokkel,$A59&amp;"|"&amp;AG$5)=0,IF(AG$10&lt;&gt;"","LMS",""),IFERROR(IF(SUMIFS(TF_Timer,TF_Nokkel,$A59&amp;"|"&amp;AG$5,TF_Akt,"LMS")+IF(AG$10="",0,MAX(0,ROUND((AG$13-SUMIFS(TF_Timer,TF_Nokkel,$A59&amp;"|"&amp;AG$5))*2,0)/2))&gt;INDEX(TF_AktSum,MATCH($A59&amp;"|"&amp;AG$5,TF_Dom,0)),"LMS",INDEX(AktKode,MATCH(INDEX(TF_Akt,MATCH($A59&amp;"|"&amp;AG$5,TF_Dom,0)),Aktiviteter,0)))&amp;IF(OR(COUNTIFS(TF_Nokkel,$A59&amp;"|"&amp;AG$5,TF_Akt,"&lt;&gt;"&amp;INDEX(TF_Akt,MATCH($A59&amp;"|"&amp;AG$5,TF_Dom,0)))&gt;0,AND(IF(AG$10="",0,MAX(0,ROUND((AG$13-SUMIFS(TF_Timer,TF_Nokkel,$A59&amp;"|"&amp;AG$5))*2,0)/2))&gt;0,INDEX(TF_Akt,MATCH($A59&amp;"|"&amp;AG$5,TF_Dom,0))&lt;&gt;"LMS")),"+",""),"?"))))</f>
        <v/>
      </c>
      <c r="AH59" s="2" t="n"/>
      <c r="AI59" s="2" t="n"/>
      <c r="AJ59" s="2" t="n"/>
    </row>
    <row r="60">
      <c r="A60" s="2">
        <f>INDEX(Teknikere,41)&amp;""</f>
        <v/>
      </c>
      <c r="B60" s="12">
        <f>IF(INDEX(TekFra,41)&gt;0,"ekstra","")</f>
        <v/>
      </c>
      <c r="C60" s="13">
        <f>IF(OR($A60="",C$5=""),"",IF(OR(AND(INDEX(TekFra,41)&gt;0,C$5&lt;INDEX(TekFra,41)),AND(INDEX(TekTil,41)&gt;0,C$5&gt;INDEX(TekTil,41))),"",IF(COUNTIFS(TF_Nokkel,$A60&amp;"|"&amp;C$5)=0,IF(C$10&lt;&gt;"","LMS",""),IFERROR(IF(SUMIFS(TF_Timer,TF_Nokkel,$A60&amp;"|"&amp;C$5,TF_Akt,"LMS")+IF(C$10="",0,MAX(0,ROUND((C$13-SUMIFS(TF_Timer,TF_Nokkel,$A60&amp;"|"&amp;C$5))*2,0)/2))&gt;INDEX(TF_AktSum,MATCH($A60&amp;"|"&amp;C$5,TF_Dom,0)),"LMS",INDEX(AktKode,MATCH(INDEX(TF_Akt,MATCH($A60&amp;"|"&amp;C$5,TF_Dom,0)),Aktiviteter,0)))&amp;IF(OR(COUNTIFS(TF_Nokkel,$A60&amp;"|"&amp;C$5,TF_Akt,"&lt;&gt;"&amp;INDEX(TF_Akt,MATCH($A60&amp;"|"&amp;C$5,TF_Dom,0)))&gt;0,AND(IF(C$10="",0,MAX(0,ROUND((C$13-SUMIFS(TF_Timer,TF_Nokkel,$A60&amp;"|"&amp;C$5))*2,0)/2))&gt;0,INDEX(TF_Akt,MATCH($A60&amp;"|"&amp;C$5,TF_Dom,0))&lt;&gt;"LMS")),"+",""),"?"))))</f>
        <v/>
      </c>
      <c r="D60" s="13">
        <f>IF(OR($A60="",D$5=""),"",IF(OR(AND(INDEX(TekFra,41)&gt;0,D$5&lt;INDEX(TekFra,41)),AND(INDEX(TekTil,41)&gt;0,D$5&gt;INDEX(TekTil,41))),"",IF(COUNTIFS(TF_Nokkel,$A60&amp;"|"&amp;D$5)=0,IF(D$10&lt;&gt;"","LMS",""),IFERROR(IF(SUMIFS(TF_Timer,TF_Nokkel,$A60&amp;"|"&amp;D$5,TF_Akt,"LMS")+IF(D$10="",0,MAX(0,ROUND((D$13-SUMIFS(TF_Timer,TF_Nokkel,$A60&amp;"|"&amp;D$5))*2,0)/2))&gt;INDEX(TF_AktSum,MATCH($A60&amp;"|"&amp;D$5,TF_Dom,0)),"LMS",INDEX(AktKode,MATCH(INDEX(TF_Akt,MATCH($A60&amp;"|"&amp;D$5,TF_Dom,0)),Aktiviteter,0)))&amp;IF(OR(COUNTIFS(TF_Nokkel,$A60&amp;"|"&amp;D$5,TF_Akt,"&lt;&gt;"&amp;INDEX(TF_Akt,MATCH($A60&amp;"|"&amp;D$5,TF_Dom,0)))&gt;0,AND(IF(D$10="",0,MAX(0,ROUND((D$13-SUMIFS(TF_Timer,TF_Nokkel,$A60&amp;"|"&amp;D$5))*2,0)/2))&gt;0,INDEX(TF_Akt,MATCH($A60&amp;"|"&amp;D$5,TF_Dom,0))&lt;&gt;"LMS")),"+",""),"?"))))</f>
        <v/>
      </c>
      <c r="E60" s="13">
        <f>IF(OR($A60="",E$5=""),"",IF(OR(AND(INDEX(TekFra,41)&gt;0,E$5&lt;INDEX(TekFra,41)),AND(INDEX(TekTil,41)&gt;0,E$5&gt;INDEX(TekTil,41))),"",IF(COUNTIFS(TF_Nokkel,$A60&amp;"|"&amp;E$5)=0,IF(E$10&lt;&gt;"","LMS",""),IFERROR(IF(SUMIFS(TF_Timer,TF_Nokkel,$A60&amp;"|"&amp;E$5,TF_Akt,"LMS")+IF(E$10="",0,MAX(0,ROUND((E$13-SUMIFS(TF_Timer,TF_Nokkel,$A60&amp;"|"&amp;E$5))*2,0)/2))&gt;INDEX(TF_AktSum,MATCH($A60&amp;"|"&amp;E$5,TF_Dom,0)),"LMS",INDEX(AktKode,MATCH(INDEX(TF_Akt,MATCH($A60&amp;"|"&amp;E$5,TF_Dom,0)),Aktiviteter,0)))&amp;IF(OR(COUNTIFS(TF_Nokkel,$A60&amp;"|"&amp;E$5,TF_Akt,"&lt;&gt;"&amp;INDEX(TF_Akt,MATCH($A60&amp;"|"&amp;E$5,TF_Dom,0)))&gt;0,AND(IF(E$10="",0,MAX(0,ROUND((E$13-SUMIFS(TF_Timer,TF_Nokkel,$A60&amp;"|"&amp;E$5))*2,0)/2))&gt;0,INDEX(TF_Akt,MATCH($A60&amp;"|"&amp;E$5,TF_Dom,0))&lt;&gt;"LMS")),"+",""),"?"))))</f>
        <v/>
      </c>
      <c r="F60" s="13">
        <f>IF(OR($A60="",F$5=""),"",IF(OR(AND(INDEX(TekFra,41)&gt;0,F$5&lt;INDEX(TekFra,41)),AND(INDEX(TekTil,41)&gt;0,F$5&gt;INDEX(TekTil,41))),"",IF(COUNTIFS(TF_Nokkel,$A60&amp;"|"&amp;F$5)=0,IF(F$10&lt;&gt;"","LMS",""),IFERROR(IF(SUMIFS(TF_Timer,TF_Nokkel,$A60&amp;"|"&amp;F$5,TF_Akt,"LMS")+IF(F$10="",0,MAX(0,ROUND((F$13-SUMIFS(TF_Timer,TF_Nokkel,$A60&amp;"|"&amp;F$5))*2,0)/2))&gt;INDEX(TF_AktSum,MATCH($A60&amp;"|"&amp;F$5,TF_Dom,0)),"LMS",INDEX(AktKode,MATCH(INDEX(TF_Akt,MATCH($A60&amp;"|"&amp;F$5,TF_Dom,0)),Aktiviteter,0)))&amp;IF(OR(COUNTIFS(TF_Nokkel,$A60&amp;"|"&amp;F$5,TF_Akt,"&lt;&gt;"&amp;INDEX(TF_Akt,MATCH($A60&amp;"|"&amp;F$5,TF_Dom,0)))&gt;0,AND(IF(F$10="",0,MAX(0,ROUND((F$13-SUMIFS(TF_Timer,TF_Nokkel,$A60&amp;"|"&amp;F$5))*2,0)/2))&gt;0,INDEX(TF_Akt,MATCH($A60&amp;"|"&amp;F$5,TF_Dom,0))&lt;&gt;"LMS")),"+",""),"?"))))</f>
        <v/>
      </c>
      <c r="G60" s="13">
        <f>IF(OR($A60="",G$5=""),"",IF(OR(AND(INDEX(TekFra,41)&gt;0,G$5&lt;INDEX(TekFra,41)),AND(INDEX(TekTil,41)&gt;0,G$5&gt;INDEX(TekTil,41))),"",IF(COUNTIFS(TF_Nokkel,$A60&amp;"|"&amp;G$5)=0,IF(G$10&lt;&gt;"","LMS",""),IFERROR(IF(SUMIFS(TF_Timer,TF_Nokkel,$A60&amp;"|"&amp;G$5,TF_Akt,"LMS")+IF(G$10="",0,MAX(0,ROUND((G$13-SUMIFS(TF_Timer,TF_Nokkel,$A60&amp;"|"&amp;G$5))*2,0)/2))&gt;INDEX(TF_AktSum,MATCH($A60&amp;"|"&amp;G$5,TF_Dom,0)),"LMS",INDEX(AktKode,MATCH(INDEX(TF_Akt,MATCH($A60&amp;"|"&amp;G$5,TF_Dom,0)),Aktiviteter,0)))&amp;IF(OR(COUNTIFS(TF_Nokkel,$A60&amp;"|"&amp;G$5,TF_Akt,"&lt;&gt;"&amp;INDEX(TF_Akt,MATCH($A60&amp;"|"&amp;G$5,TF_Dom,0)))&gt;0,AND(IF(G$10="",0,MAX(0,ROUND((G$13-SUMIFS(TF_Timer,TF_Nokkel,$A60&amp;"|"&amp;G$5))*2,0)/2))&gt;0,INDEX(TF_Akt,MATCH($A60&amp;"|"&amp;G$5,TF_Dom,0))&lt;&gt;"LMS")),"+",""),"?"))))</f>
        <v/>
      </c>
      <c r="H60" s="13">
        <f>IF(OR($A60="",H$5=""),"",IF(OR(AND(INDEX(TekFra,41)&gt;0,H$5&lt;INDEX(TekFra,41)),AND(INDEX(TekTil,41)&gt;0,H$5&gt;INDEX(TekTil,41))),"",IF(COUNTIFS(TF_Nokkel,$A60&amp;"|"&amp;H$5)=0,IF(H$10&lt;&gt;"","LMS",""),IFERROR(IF(SUMIFS(TF_Timer,TF_Nokkel,$A60&amp;"|"&amp;H$5,TF_Akt,"LMS")+IF(H$10="",0,MAX(0,ROUND((H$13-SUMIFS(TF_Timer,TF_Nokkel,$A60&amp;"|"&amp;H$5))*2,0)/2))&gt;INDEX(TF_AktSum,MATCH($A60&amp;"|"&amp;H$5,TF_Dom,0)),"LMS",INDEX(AktKode,MATCH(INDEX(TF_Akt,MATCH($A60&amp;"|"&amp;H$5,TF_Dom,0)),Aktiviteter,0)))&amp;IF(OR(COUNTIFS(TF_Nokkel,$A60&amp;"|"&amp;H$5,TF_Akt,"&lt;&gt;"&amp;INDEX(TF_Akt,MATCH($A60&amp;"|"&amp;H$5,TF_Dom,0)))&gt;0,AND(IF(H$10="",0,MAX(0,ROUND((H$13-SUMIFS(TF_Timer,TF_Nokkel,$A60&amp;"|"&amp;H$5))*2,0)/2))&gt;0,INDEX(TF_Akt,MATCH($A60&amp;"|"&amp;H$5,TF_Dom,0))&lt;&gt;"LMS")),"+",""),"?"))))</f>
        <v/>
      </c>
      <c r="I60" s="13">
        <f>IF(OR($A60="",I$5=""),"",IF(OR(AND(INDEX(TekFra,41)&gt;0,I$5&lt;INDEX(TekFra,41)),AND(INDEX(TekTil,41)&gt;0,I$5&gt;INDEX(TekTil,41))),"",IF(COUNTIFS(TF_Nokkel,$A60&amp;"|"&amp;I$5)=0,IF(I$10&lt;&gt;"","LMS",""),IFERROR(IF(SUMIFS(TF_Timer,TF_Nokkel,$A60&amp;"|"&amp;I$5,TF_Akt,"LMS")+IF(I$10="",0,MAX(0,ROUND((I$13-SUMIFS(TF_Timer,TF_Nokkel,$A60&amp;"|"&amp;I$5))*2,0)/2))&gt;INDEX(TF_AktSum,MATCH($A60&amp;"|"&amp;I$5,TF_Dom,0)),"LMS",INDEX(AktKode,MATCH(INDEX(TF_Akt,MATCH($A60&amp;"|"&amp;I$5,TF_Dom,0)),Aktiviteter,0)))&amp;IF(OR(COUNTIFS(TF_Nokkel,$A60&amp;"|"&amp;I$5,TF_Akt,"&lt;&gt;"&amp;INDEX(TF_Akt,MATCH($A60&amp;"|"&amp;I$5,TF_Dom,0)))&gt;0,AND(IF(I$10="",0,MAX(0,ROUND((I$13-SUMIFS(TF_Timer,TF_Nokkel,$A60&amp;"|"&amp;I$5))*2,0)/2))&gt;0,INDEX(TF_Akt,MATCH($A60&amp;"|"&amp;I$5,TF_Dom,0))&lt;&gt;"LMS")),"+",""),"?"))))</f>
        <v/>
      </c>
      <c r="J60" s="13">
        <f>IF(OR($A60="",J$5=""),"",IF(OR(AND(INDEX(TekFra,41)&gt;0,J$5&lt;INDEX(TekFra,41)),AND(INDEX(TekTil,41)&gt;0,J$5&gt;INDEX(TekTil,41))),"",IF(COUNTIFS(TF_Nokkel,$A60&amp;"|"&amp;J$5)=0,IF(J$10&lt;&gt;"","LMS",""),IFERROR(IF(SUMIFS(TF_Timer,TF_Nokkel,$A60&amp;"|"&amp;J$5,TF_Akt,"LMS")+IF(J$10="",0,MAX(0,ROUND((J$13-SUMIFS(TF_Timer,TF_Nokkel,$A60&amp;"|"&amp;J$5))*2,0)/2))&gt;INDEX(TF_AktSum,MATCH($A60&amp;"|"&amp;J$5,TF_Dom,0)),"LMS",INDEX(AktKode,MATCH(INDEX(TF_Akt,MATCH($A60&amp;"|"&amp;J$5,TF_Dom,0)),Aktiviteter,0)))&amp;IF(OR(COUNTIFS(TF_Nokkel,$A60&amp;"|"&amp;J$5,TF_Akt,"&lt;&gt;"&amp;INDEX(TF_Akt,MATCH($A60&amp;"|"&amp;J$5,TF_Dom,0)))&gt;0,AND(IF(J$10="",0,MAX(0,ROUND((J$13-SUMIFS(TF_Timer,TF_Nokkel,$A60&amp;"|"&amp;J$5))*2,0)/2))&gt;0,INDEX(TF_Akt,MATCH($A60&amp;"|"&amp;J$5,TF_Dom,0))&lt;&gt;"LMS")),"+",""),"?"))))</f>
        <v/>
      </c>
      <c r="K60" s="13">
        <f>IF(OR($A60="",K$5=""),"",IF(OR(AND(INDEX(TekFra,41)&gt;0,K$5&lt;INDEX(TekFra,41)),AND(INDEX(TekTil,41)&gt;0,K$5&gt;INDEX(TekTil,41))),"",IF(COUNTIFS(TF_Nokkel,$A60&amp;"|"&amp;K$5)=0,IF(K$10&lt;&gt;"","LMS",""),IFERROR(IF(SUMIFS(TF_Timer,TF_Nokkel,$A60&amp;"|"&amp;K$5,TF_Akt,"LMS")+IF(K$10="",0,MAX(0,ROUND((K$13-SUMIFS(TF_Timer,TF_Nokkel,$A60&amp;"|"&amp;K$5))*2,0)/2))&gt;INDEX(TF_AktSum,MATCH($A60&amp;"|"&amp;K$5,TF_Dom,0)),"LMS",INDEX(AktKode,MATCH(INDEX(TF_Akt,MATCH($A60&amp;"|"&amp;K$5,TF_Dom,0)),Aktiviteter,0)))&amp;IF(OR(COUNTIFS(TF_Nokkel,$A60&amp;"|"&amp;K$5,TF_Akt,"&lt;&gt;"&amp;INDEX(TF_Akt,MATCH($A60&amp;"|"&amp;K$5,TF_Dom,0)))&gt;0,AND(IF(K$10="",0,MAX(0,ROUND((K$13-SUMIFS(TF_Timer,TF_Nokkel,$A60&amp;"|"&amp;K$5))*2,0)/2))&gt;0,INDEX(TF_Akt,MATCH($A60&amp;"|"&amp;K$5,TF_Dom,0))&lt;&gt;"LMS")),"+",""),"?"))))</f>
        <v/>
      </c>
      <c r="L60" s="13">
        <f>IF(OR($A60="",L$5=""),"",IF(OR(AND(INDEX(TekFra,41)&gt;0,L$5&lt;INDEX(TekFra,41)),AND(INDEX(TekTil,41)&gt;0,L$5&gt;INDEX(TekTil,41))),"",IF(COUNTIFS(TF_Nokkel,$A60&amp;"|"&amp;L$5)=0,IF(L$10&lt;&gt;"","LMS",""),IFERROR(IF(SUMIFS(TF_Timer,TF_Nokkel,$A60&amp;"|"&amp;L$5,TF_Akt,"LMS")+IF(L$10="",0,MAX(0,ROUND((L$13-SUMIFS(TF_Timer,TF_Nokkel,$A60&amp;"|"&amp;L$5))*2,0)/2))&gt;INDEX(TF_AktSum,MATCH($A60&amp;"|"&amp;L$5,TF_Dom,0)),"LMS",INDEX(AktKode,MATCH(INDEX(TF_Akt,MATCH($A60&amp;"|"&amp;L$5,TF_Dom,0)),Aktiviteter,0)))&amp;IF(OR(COUNTIFS(TF_Nokkel,$A60&amp;"|"&amp;L$5,TF_Akt,"&lt;&gt;"&amp;INDEX(TF_Akt,MATCH($A60&amp;"|"&amp;L$5,TF_Dom,0)))&gt;0,AND(IF(L$10="",0,MAX(0,ROUND((L$13-SUMIFS(TF_Timer,TF_Nokkel,$A60&amp;"|"&amp;L$5))*2,0)/2))&gt;0,INDEX(TF_Akt,MATCH($A60&amp;"|"&amp;L$5,TF_Dom,0))&lt;&gt;"LMS")),"+",""),"?"))))</f>
        <v/>
      </c>
      <c r="M60" s="13">
        <f>IF(OR($A60="",M$5=""),"",IF(OR(AND(INDEX(TekFra,41)&gt;0,M$5&lt;INDEX(TekFra,41)),AND(INDEX(TekTil,41)&gt;0,M$5&gt;INDEX(TekTil,41))),"",IF(COUNTIFS(TF_Nokkel,$A60&amp;"|"&amp;M$5)=0,IF(M$10&lt;&gt;"","LMS",""),IFERROR(IF(SUMIFS(TF_Timer,TF_Nokkel,$A60&amp;"|"&amp;M$5,TF_Akt,"LMS")+IF(M$10="",0,MAX(0,ROUND((M$13-SUMIFS(TF_Timer,TF_Nokkel,$A60&amp;"|"&amp;M$5))*2,0)/2))&gt;INDEX(TF_AktSum,MATCH($A60&amp;"|"&amp;M$5,TF_Dom,0)),"LMS",INDEX(AktKode,MATCH(INDEX(TF_Akt,MATCH($A60&amp;"|"&amp;M$5,TF_Dom,0)),Aktiviteter,0)))&amp;IF(OR(COUNTIFS(TF_Nokkel,$A60&amp;"|"&amp;M$5,TF_Akt,"&lt;&gt;"&amp;INDEX(TF_Akt,MATCH($A60&amp;"|"&amp;M$5,TF_Dom,0)))&gt;0,AND(IF(M$10="",0,MAX(0,ROUND((M$13-SUMIFS(TF_Timer,TF_Nokkel,$A60&amp;"|"&amp;M$5))*2,0)/2))&gt;0,INDEX(TF_Akt,MATCH($A60&amp;"|"&amp;M$5,TF_Dom,0))&lt;&gt;"LMS")),"+",""),"?"))))</f>
        <v/>
      </c>
      <c r="N60" s="13">
        <f>IF(OR($A60="",N$5=""),"",IF(OR(AND(INDEX(TekFra,41)&gt;0,N$5&lt;INDEX(TekFra,41)),AND(INDEX(TekTil,41)&gt;0,N$5&gt;INDEX(TekTil,41))),"",IF(COUNTIFS(TF_Nokkel,$A60&amp;"|"&amp;N$5)=0,IF(N$10&lt;&gt;"","LMS",""),IFERROR(IF(SUMIFS(TF_Timer,TF_Nokkel,$A60&amp;"|"&amp;N$5,TF_Akt,"LMS")+IF(N$10="",0,MAX(0,ROUND((N$13-SUMIFS(TF_Timer,TF_Nokkel,$A60&amp;"|"&amp;N$5))*2,0)/2))&gt;INDEX(TF_AktSum,MATCH($A60&amp;"|"&amp;N$5,TF_Dom,0)),"LMS",INDEX(AktKode,MATCH(INDEX(TF_Akt,MATCH($A60&amp;"|"&amp;N$5,TF_Dom,0)),Aktiviteter,0)))&amp;IF(OR(COUNTIFS(TF_Nokkel,$A60&amp;"|"&amp;N$5,TF_Akt,"&lt;&gt;"&amp;INDEX(TF_Akt,MATCH($A60&amp;"|"&amp;N$5,TF_Dom,0)))&gt;0,AND(IF(N$10="",0,MAX(0,ROUND((N$13-SUMIFS(TF_Timer,TF_Nokkel,$A60&amp;"|"&amp;N$5))*2,0)/2))&gt;0,INDEX(TF_Akt,MATCH($A60&amp;"|"&amp;N$5,TF_Dom,0))&lt;&gt;"LMS")),"+",""),"?"))))</f>
        <v/>
      </c>
      <c r="O60" s="13">
        <f>IF(OR($A60="",O$5=""),"",IF(OR(AND(INDEX(TekFra,41)&gt;0,O$5&lt;INDEX(TekFra,41)),AND(INDEX(TekTil,41)&gt;0,O$5&gt;INDEX(TekTil,41))),"",IF(COUNTIFS(TF_Nokkel,$A60&amp;"|"&amp;O$5)=0,IF(O$10&lt;&gt;"","LMS",""),IFERROR(IF(SUMIFS(TF_Timer,TF_Nokkel,$A60&amp;"|"&amp;O$5,TF_Akt,"LMS")+IF(O$10="",0,MAX(0,ROUND((O$13-SUMIFS(TF_Timer,TF_Nokkel,$A60&amp;"|"&amp;O$5))*2,0)/2))&gt;INDEX(TF_AktSum,MATCH($A60&amp;"|"&amp;O$5,TF_Dom,0)),"LMS",INDEX(AktKode,MATCH(INDEX(TF_Akt,MATCH($A60&amp;"|"&amp;O$5,TF_Dom,0)),Aktiviteter,0)))&amp;IF(OR(COUNTIFS(TF_Nokkel,$A60&amp;"|"&amp;O$5,TF_Akt,"&lt;&gt;"&amp;INDEX(TF_Akt,MATCH($A60&amp;"|"&amp;O$5,TF_Dom,0)))&gt;0,AND(IF(O$10="",0,MAX(0,ROUND((O$13-SUMIFS(TF_Timer,TF_Nokkel,$A60&amp;"|"&amp;O$5))*2,0)/2))&gt;0,INDEX(TF_Akt,MATCH($A60&amp;"|"&amp;O$5,TF_Dom,0))&lt;&gt;"LMS")),"+",""),"?"))))</f>
        <v/>
      </c>
      <c r="P60" s="13">
        <f>IF(OR($A60="",P$5=""),"",IF(OR(AND(INDEX(TekFra,41)&gt;0,P$5&lt;INDEX(TekFra,41)),AND(INDEX(TekTil,41)&gt;0,P$5&gt;INDEX(TekTil,41))),"",IF(COUNTIFS(TF_Nokkel,$A60&amp;"|"&amp;P$5)=0,IF(P$10&lt;&gt;"","LMS",""),IFERROR(IF(SUMIFS(TF_Timer,TF_Nokkel,$A60&amp;"|"&amp;P$5,TF_Akt,"LMS")+IF(P$10="",0,MAX(0,ROUND((P$13-SUMIFS(TF_Timer,TF_Nokkel,$A60&amp;"|"&amp;P$5))*2,0)/2))&gt;INDEX(TF_AktSum,MATCH($A60&amp;"|"&amp;P$5,TF_Dom,0)),"LMS",INDEX(AktKode,MATCH(INDEX(TF_Akt,MATCH($A60&amp;"|"&amp;P$5,TF_Dom,0)),Aktiviteter,0)))&amp;IF(OR(COUNTIFS(TF_Nokkel,$A60&amp;"|"&amp;P$5,TF_Akt,"&lt;&gt;"&amp;INDEX(TF_Akt,MATCH($A60&amp;"|"&amp;P$5,TF_Dom,0)))&gt;0,AND(IF(P$10="",0,MAX(0,ROUND((P$13-SUMIFS(TF_Timer,TF_Nokkel,$A60&amp;"|"&amp;P$5))*2,0)/2))&gt;0,INDEX(TF_Akt,MATCH($A60&amp;"|"&amp;P$5,TF_Dom,0))&lt;&gt;"LMS")),"+",""),"?"))))</f>
        <v/>
      </c>
      <c r="Q60" s="13">
        <f>IF(OR($A60="",Q$5=""),"",IF(OR(AND(INDEX(TekFra,41)&gt;0,Q$5&lt;INDEX(TekFra,41)),AND(INDEX(TekTil,41)&gt;0,Q$5&gt;INDEX(TekTil,41))),"",IF(COUNTIFS(TF_Nokkel,$A60&amp;"|"&amp;Q$5)=0,IF(Q$10&lt;&gt;"","LMS",""),IFERROR(IF(SUMIFS(TF_Timer,TF_Nokkel,$A60&amp;"|"&amp;Q$5,TF_Akt,"LMS")+IF(Q$10="",0,MAX(0,ROUND((Q$13-SUMIFS(TF_Timer,TF_Nokkel,$A60&amp;"|"&amp;Q$5))*2,0)/2))&gt;INDEX(TF_AktSum,MATCH($A60&amp;"|"&amp;Q$5,TF_Dom,0)),"LMS",INDEX(AktKode,MATCH(INDEX(TF_Akt,MATCH($A60&amp;"|"&amp;Q$5,TF_Dom,0)),Aktiviteter,0)))&amp;IF(OR(COUNTIFS(TF_Nokkel,$A60&amp;"|"&amp;Q$5,TF_Akt,"&lt;&gt;"&amp;INDEX(TF_Akt,MATCH($A60&amp;"|"&amp;Q$5,TF_Dom,0)))&gt;0,AND(IF(Q$10="",0,MAX(0,ROUND((Q$13-SUMIFS(TF_Timer,TF_Nokkel,$A60&amp;"|"&amp;Q$5))*2,0)/2))&gt;0,INDEX(TF_Akt,MATCH($A60&amp;"|"&amp;Q$5,TF_Dom,0))&lt;&gt;"LMS")),"+",""),"?"))))</f>
        <v/>
      </c>
      <c r="R60" s="13">
        <f>IF(OR($A60="",R$5=""),"",IF(OR(AND(INDEX(TekFra,41)&gt;0,R$5&lt;INDEX(TekFra,41)),AND(INDEX(TekTil,41)&gt;0,R$5&gt;INDEX(TekTil,41))),"",IF(COUNTIFS(TF_Nokkel,$A60&amp;"|"&amp;R$5)=0,IF(R$10&lt;&gt;"","LMS",""),IFERROR(IF(SUMIFS(TF_Timer,TF_Nokkel,$A60&amp;"|"&amp;R$5,TF_Akt,"LMS")+IF(R$10="",0,MAX(0,ROUND((R$13-SUMIFS(TF_Timer,TF_Nokkel,$A60&amp;"|"&amp;R$5))*2,0)/2))&gt;INDEX(TF_AktSum,MATCH($A60&amp;"|"&amp;R$5,TF_Dom,0)),"LMS",INDEX(AktKode,MATCH(INDEX(TF_Akt,MATCH($A60&amp;"|"&amp;R$5,TF_Dom,0)),Aktiviteter,0)))&amp;IF(OR(COUNTIFS(TF_Nokkel,$A60&amp;"|"&amp;R$5,TF_Akt,"&lt;&gt;"&amp;INDEX(TF_Akt,MATCH($A60&amp;"|"&amp;R$5,TF_Dom,0)))&gt;0,AND(IF(R$10="",0,MAX(0,ROUND((R$13-SUMIFS(TF_Timer,TF_Nokkel,$A60&amp;"|"&amp;R$5))*2,0)/2))&gt;0,INDEX(TF_Akt,MATCH($A60&amp;"|"&amp;R$5,TF_Dom,0))&lt;&gt;"LMS")),"+",""),"?"))))</f>
        <v/>
      </c>
      <c r="S60" s="13">
        <f>IF(OR($A60="",S$5=""),"",IF(OR(AND(INDEX(TekFra,41)&gt;0,S$5&lt;INDEX(TekFra,41)),AND(INDEX(TekTil,41)&gt;0,S$5&gt;INDEX(TekTil,41))),"",IF(COUNTIFS(TF_Nokkel,$A60&amp;"|"&amp;S$5)=0,IF(S$10&lt;&gt;"","LMS",""),IFERROR(IF(SUMIFS(TF_Timer,TF_Nokkel,$A60&amp;"|"&amp;S$5,TF_Akt,"LMS")+IF(S$10="",0,MAX(0,ROUND((S$13-SUMIFS(TF_Timer,TF_Nokkel,$A60&amp;"|"&amp;S$5))*2,0)/2))&gt;INDEX(TF_AktSum,MATCH($A60&amp;"|"&amp;S$5,TF_Dom,0)),"LMS",INDEX(AktKode,MATCH(INDEX(TF_Akt,MATCH($A60&amp;"|"&amp;S$5,TF_Dom,0)),Aktiviteter,0)))&amp;IF(OR(COUNTIFS(TF_Nokkel,$A60&amp;"|"&amp;S$5,TF_Akt,"&lt;&gt;"&amp;INDEX(TF_Akt,MATCH($A60&amp;"|"&amp;S$5,TF_Dom,0)))&gt;0,AND(IF(S$10="",0,MAX(0,ROUND((S$13-SUMIFS(TF_Timer,TF_Nokkel,$A60&amp;"|"&amp;S$5))*2,0)/2))&gt;0,INDEX(TF_Akt,MATCH($A60&amp;"|"&amp;S$5,TF_Dom,0))&lt;&gt;"LMS")),"+",""),"?"))))</f>
        <v/>
      </c>
      <c r="T60" s="13">
        <f>IF(OR($A60="",T$5=""),"",IF(OR(AND(INDEX(TekFra,41)&gt;0,T$5&lt;INDEX(TekFra,41)),AND(INDEX(TekTil,41)&gt;0,T$5&gt;INDEX(TekTil,41))),"",IF(COUNTIFS(TF_Nokkel,$A60&amp;"|"&amp;T$5)=0,IF(T$10&lt;&gt;"","LMS",""),IFERROR(IF(SUMIFS(TF_Timer,TF_Nokkel,$A60&amp;"|"&amp;T$5,TF_Akt,"LMS")+IF(T$10="",0,MAX(0,ROUND((T$13-SUMIFS(TF_Timer,TF_Nokkel,$A60&amp;"|"&amp;T$5))*2,0)/2))&gt;INDEX(TF_AktSum,MATCH($A60&amp;"|"&amp;T$5,TF_Dom,0)),"LMS",INDEX(AktKode,MATCH(INDEX(TF_Akt,MATCH($A60&amp;"|"&amp;T$5,TF_Dom,0)),Aktiviteter,0)))&amp;IF(OR(COUNTIFS(TF_Nokkel,$A60&amp;"|"&amp;T$5,TF_Akt,"&lt;&gt;"&amp;INDEX(TF_Akt,MATCH($A60&amp;"|"&amp;T$5,TF_Dom,0)))&gt;0,AND(IF(T$10="",0,MAX(0,ROUND((T$13-SUMIFS(TF_Timer,TF_Nokkel,$A60&amp;"|"&amp;T$5))*2,0)/2))&gt;0,INDEX(TF_Akt,MATCH($A60&amp;"|"&amp;T$5,TF_Dom,0))&lt;&gt;"LMS")),"+",""),"?"))))</f>
        <v/>
      </c>
      <c r="U60" s="13">
        <f>IF(OR($A60="",U$5=""),"",IF(OR(AND(INDEX(TekFra,41)&gt;0,U$5&lt;INDEX(TekFra,41)),AND(INDEX(TekTil,41)&gt;0,U$5&gt;INDEX(TekTil,41))),"",IF(COUNTIFS(TF_Nokkel,$A60&amp;"|"&amp;U$5)=0,IF(U$10&lt;&gt;"","LMS",""),IFERROR(IF(SUMIFS(TF_Timer,TF_Nokkel,$A60&amp;"|"&amp;U$5,TF_Akt,"LMS")+IF(U$10="",0,MAX(0,ROUND((U$13-SUMIFS(TF_Timer,TF_Nokkel,$A60&amp;"|"&amp;U$5))*2,0)/2))&gt;INDEX(TF_AktSum,MATCH($A60&amp;"|"&amp;U$5,TF_Dom,0)),"LMS",INDEX(AktKode,MATCH(INDEX(TF_Akt,MATCH($A60&amp;"|"&amp;U$5,TF_Dom,0)),Aktiviteter,0)))&amp;IF(OR(COUNTIFS(TF_Nokkel,$A60&amp;"|"&amp;U$5,TF_Akt,"&lt;&gt;"&amp;INDEX(TF_Akt,MATCH($A60&amp;"|"&amp;U$5,TF_Dom,0)))&gt;0,AND(IF(U$10="",0,MAX(0,ROUND((U$13-SUMIFS(TF_Timer,TF_Nokkel,$A60&amp;"|"&amp;U$5))*2,0)/2))&gt;0,INDEX(TF_Akt,MATCH($A60&amp;"|"&amp;U$5,TF_Dom,0))&lt;&gt;"LMS")),"+",""),"?"))))</f>
        <v/>
      </c>
      <c r="V60" s="13">
        <f>IF(OR($A60="",V$5=""),"",IF(OR(AND(INDEX(TekFra,41)&gt;0,V$5&lt;INDEX(TekFra,41)),AND(INDEX(TekTil,41)&gt;0,V$5&gt;INDEX(TekTil,41))),"",IF(COUNTIFS(TF_Nokkel,$A60&amp;"|"&amp;V$5)=0,IF(V$10&lt;&gt;"","LMS",""),IFERROR(IF(SUMIFS(TF_Timer,TF_Nokkel,$A60&amp;"|"&amp;V$5,TF_Akt,"LMS")+IF(V$10="",0,MAX(0,ROUND((V$13-SUMIFS(TF_Timer,TF_Nokkel,$A60&amp;"|"&amp;V$5))*2,0)/2))&gt;INDEX(TF_AktSum,MATCH($A60&amp;"|"&amp;V$5,TF_Dom,0)),"LMS",INDEX(AktKode,MATCH(INDEX(TF_Akt,MATCH($A60&amp;"|"&amp;V$5,TF_Dom,0)),Aktiviteter,0)))&amp;IF(OR(COUNTIFS(TF_Nokkel,$A60&amp;"|"&amp;V$5,TF_Akt,"&lt;&gt;"&amp;INDEX(TF_Akt,MATCH($A60&amp;"|"&amp;V$5,TF_Dom,0)))&gt;0,AND(IF(V$10="",0,MAX(0,ROUND((V$13-SUMIFS(TF_Timer,TF_Nokkel,$A60&amp;"|"&amp;V$5))*2,0)/2))&gt;0,INDEX(TF_Akt,MATCH($A60&amp;"|"&amp;V$5,TF_Dom,0))&lt;&gt;"LMS")),"+",""),"?"))))</f>
        <v/>
      </c>
      <c r="W60" s="13">
        <f>IF(OR($A60="",W$5=""),"",IF(OR(AND(INDEX(TekFra,41)&gt;0,W$5&lt;INDEX(TekFra,41)),AND(INDEX(TekTil,41)&gt;0,W$5&gt;INDEX(TekTil,41))),"",IF(COUNTIFS(TF_Nokkel,$A60&amp;"|"&amp;W$5)=0,IF(W$10&lt;&gt;"","LMS",""),IFERROR(IF(SUMIFS(TF_Timer,TF_Nokkel,$A60&amp;"|"&amp;W$5,TF_Akt,"LMS")+IF(W$10="",0,MAX(0,ROUND((W$13-SUMIFS(TF_Timer,TF_Nokkel,$A60&amp;"|"&amp;W$5))*2,0)/2))&gt;INDEX(TF_AktSum,MATCH($A60&amp;"|"&amp;W$5,TF_Dom,0)),"LMS",INDEX(AktKode,MATCH(INDEX(TF_Akt,MATCH($A60&amp;"|"&amp;W$5,TF_Dom,0)),Aktiviteter,0)))&amp;IF(OR(COUNTIFS(TF_Nokkel,$A60&amp;"|"&amp;W$5,TF_Akt,"&lt;&gt;"&amp;INDEX(TF_Akt,MATCH($A60&amp;"|"&amp;W$5,TF_Dom,0)))&gt;0,AND(IF(W$10="",0,MAX(0,ROUND((W$13-SUMIFS(TF_Timer,TF_Nokkel,$A60&amp;"|"&amp;W$5))*2,0)/2))&gt;0,INDEX(TF_Akt,MATCH($A60&amp;"|"&amp;W$5,TF_Dom,0))&lt;&gt;"LMS")),"+",""),"?"))))</f>
        <v/>
      </c>
      <c r="X60" s="13">
        <f>IF(OR($A60="",X$5=""),"",IF(OR(AND(INDEX(TekFra,41)&gt;0,X$5&lt;INDEX(TekFra,41)),AND(INDEX(TekTil,41)&gt;0,X$5&gt;INDEX(TekTil,41))),"",IF(COUNTIFS(TF_Nokkel,$A60&amp;"|"&amp;X$5)=0,IF(X$10&lt;&gt;"","LMS",""),IFERROR(IF(SUMIFS(TF_Timer,TF_Nokkel,$A60&amp;"|"&amp;X$5,TF_Akt,"LMS")+IF(X$10="",0,MAX(0,ROUND((X$13-SUMIFS(TF_Timer,TF_Nokkel,$A60&amp;"|"&amp;X$5))*2,0)/2))&gt;INDEX(TF_AktSum,MATCH($A60&amp;"|"&amp;X$5,TF_Dom,0)),"LMS",INDEX(AktKode,MATCH(INDEX(TF_Akt,MATCH($A60&amp;"|"&amp;X$5,TF_Dom,0)),Aktiviteter,0)))&amp;IF(OR(COUNTIFS(TF_Nokkel,$A60&amp;"|"&amp;X$5,TF_Akt,"&lt;&gt;"&amp;INDEX(TF_Akt,MATCH($A60&amp;"|"&amp;X$5,TF_Dom,0)))&gt;0,AND(IF(X$10="",0,MAX(0,ROUND((X$13-SUMIFS(TF_Timer,TF_Nokkel,$A60&amp;"|"&amp;X$5))*2,0)/2))&gt;0,INDEX(TF_Akt,MATCH($A60&amp;"|"&amp;X$5,TF_Dom,0))&lt;&gt;"LMS")),"+",""),"?"))))</f>
        <v/>
      </c>
      <c r="Y60" s="13">
        <f>IF(OR($A60="",Y$5=""),"",IF(OR(AND(INDEX(TekFra,41)&gt;0,Y$5&lt;INDEX(TekFra,41)),AND(INDEX(TekTil,41)&gt;0,Y$5&gt;INDEX(TekTil,41))),"",IF(COUNTIFS(TF_Nokkel,$A60&amp;"|"&amp;Y$5)=0,IF(Y$10&lt;&gt;"","LMS",""),IFERROR(IF(SUMIFS(TF_Timer,TF_Nokkel,$A60&amp;"|"&amp;Y$5,TF_Akt,"LMS")+IF(Y$10="",0,MAX(0,ROUND((Y$13-SUMIFS(TF_Timer,TF_Nokkel,$A60&amp;"|"&amp;Y$5))*2,0)/2))&gt;INDEX(TF_AktSum,MATCH($A60&amp;"|"&amp;Y$5,TF_Dom,0)),"LMS",INDEX(AktKode,MATCH(INDEX(TF_Akt,MATCH($A60&amp;"|"&amp;Y$5,TF_Dom,0)),Aktiviteter,0)))&amp;IF(OR(COUNTIFS(TF_Nokkel,$A60&amp;"|"&amp;Y$5,TF_Akt,"&lt;&gt;"&amp;INDEX(TF_Akt,MATCH($A60&amp;"|"&amp;Y$5,TF_Dom,0)))&gt;0,AND(IF(Y$10="",0,MAX(0,ROUND((Y$13-SUMIFS(TF_Timer,TF_Nokkel,$A60&amp;"|"&amp;Y$5))*2,0)/2))&gt;0,INDEX(TF_Akt,MATCH($A60&amp;"|"&amp;Y$5,TF_Dom,0))&lt;&gt;"LMS")),"+",""),"?"))))</f>
        <v/>
      </c>
      <c r="Z60" s="13">
        <f>IF(OR($A60="",Z$5=""),"",IF(OR(AND(INDEX(TekFra,41)&gt;0,Z$5&lt;INDEX(TekFra,41)),AND(INDEX(TekTil,41)&gt;0,Z$5&gt;INDEX(TekTil,41))),"",IF(COUNTIFS(TF_Nokkel,$A60&amp;"|"&amp;Z$5)=0,IF(Z$10&lt;&gt;"","LMS",""),IFERROR(IF(SUMIFS(TF_Timer,TF_Nokkel,$A60&amp;"|"&amp;Z$5,TF_Akt,"LMS")+IF(Z$10="",0,MAX(0,ROUND((Z$13-SUMIFS(TF_Timer,TF_Nokkel,$A60&amp;"|"&amp;Z$5))*2,0)/2))&gt;INDEX(TF_AktSum,MATCH($A60&amp;"|"&amp;Z$5,TF_Dom,0)),"LMS",INDEX(AktKode,MATCH(INDEX(TF_Akt,MATCH($A60&amp;"|"&amp;Z$5,TF_Dom,0)),Aktiviteter,0)))&amp;IF(OR(COUNTIFS(TF_Nokkel,$A60&amp;"|"&amp;Z$5,TF_Akt,"&lt;&gt;"&amp;INDEX(TF_Akt,MATCH($A60&amp;"|"&amp;Z$5,TF_Dom,0)))&gt;0,AND(IF(Z$10="",0,MAX(0,ROUND((Z$13-SUMIFS(TF_Timer,TF_Nokkel,$A60&amp;"|"&amp;Z$5))*2,0)/2))&gt;0,INDEX(TF_Akt,MATCH($A60&amp;"|"&amp;Z$5,TF_Dom,0))&lt;&gt;"LMS")),"+",""),"?"))))</f>
        <v/>
      </c>
      <c r="AA60" s="13">
        <f>IF(OR($A60="",AA$5=""),"",IF(OR(AND(INDEX(TekFra,41)&gt;0,AA$5&lt;INDEX(TekFra,41)),AND(INDEX(TekTil,41)&gt;0,AA$5&gt;INDEX(TekTil,41))),"",IF(COUNTIFS(TF_Nokkel,$A60&amp;"|"&amp;AA$5)=0,IF(AA$10&lt;&gt;"","LMS",""),IFERROR(IF(SUMIFS(TF_Timer,TF_Nokkel,$A60&amp;"|"&amp;AA$5,TF_Akt,"LMS")+IF(AA$10="",0,MAX(0,ROUND((AA$13-SUMIFS(TF_Timer,TF_Nokkel,$A60&amp;"|"&amp;AA$5))*2,0)/2))&gt;INDEX(TF_AktSum,MATCH($A60&amp;"|"&amp;AA$5,TF_Dom,0)),"LMS",INDEX(AktKode,MATCH(INDEX(TF_Akt,MATCH($A60&amp;"|"&amp;AA$5,TF_Dom,0)),Aktiviteter,0)))&amp;IF(OR(COUNTIFS(TF_Nokkel,$A60&amp;"|"&amp;AA$5,TF_Akt,"&lt;&gt;"&amp;INDEX(TF_Akt,MATCH($A60&amp;"|"&amp;AA$5,TF_Dom,0)))&gt;0,AND(IF(AA$10="",0,MAX(0,ROUND((AA$13-SUMIFS(TF_Timer,TF_Nokkel,$A60&amp;"|"&amp;AA$5))*2,0)/2))&gt;0,INDEX(TF_Akt,MATCH($A60&amp;"|"&amp;AA$5,TF_Dom,0))&lt;&gt;"LMS")),"+",""),"?"))))</f>
        <v/>
      </c>
      <c r="AB60" s="13">
        <f>IF(OR($A60="",AB$5=""),"",IF(OR(AND(INDEX(TekFra,41)&gt;0,AB$5&lt;INDEX(TekFra,41)),AND(INDEX(TekTil,41)&gt;0,AB$5&gt;INDEX(TekTil,41))),"",IF(COUNTIFS(TF_Nokkel,$A60&amp;"|"&amp;AB$5)=0,IF(AB$10&lt;&gt;"","LMS",""),IFERROR(IF(SUMIFS(TF_Timer,TF_Nokkel,$A60&amp;"|"&amp;AB$5,TF_Akt,"LMS")+IF(AB$10="",0,MAX(0,ROUND((AB$13-SUMIFS(TF_Timer,TF_Nokkel,$A60&amp;"|"&amp;AB$5))*2,0)/2))&gt;INDEX(TF_AktSum,MATCH($A60&amp;"|"&amp;AB$5,TF_Dom,0)),"LMS",INDEX(AktKode,MATCH(INDEX(TF_Akt,MATCH($A60&amp;"|"&amp;AB$5,TF_Dom,0)),Aktiviteter,0)))&amp;IF(OR(COUNTIFS(TF_Nokkel,$A60&amp;"|"&amp;AB$5,TF_Akt,"&lt;&gt;"&amp;INDEX(TF_Akt,MATCH($A60&amp;"|"&amp;AB$5,TF_Dom,0)))&gt;0,AND(IF(AB$10="",0,MAX(0,ROUND((AB$13-SUMIFS(TF_Timer,TF_Nokkel,$A60&amp;"|"&amp;AB$5))*2,0)/2))&gt;0,INDEX(TF_Akt,MATCH($A60&amp;"|"&amp;AB$5,TF_Dom,0))&lt;&gt;"LMS")),"+",""),"?"))))</f>
        <v/>
      </c>
      <c r="AC60" s="13">
        <f>IF(OR($A60="",AC$5=""),"",IF(OR(AND(INDEX(TekFra,41)&gt;0,AC$5&lt;INDEX(TekFra,41)),AND(INDEX(TekTil,41)&gt;0,AC$5&gt;INDEX(TekTil,41))),"",IF(COUNTIFS(TF_Nokkel,$A60&amp;"|"&amp;AC$5)=0,IF(AC$10&lt;&gt;"","LMS",""),IFERROR(IF(SUMIFS(TF_Timer,TF_Nokkel,$A60&amp;"|"&amp;AC$5,TF_Akt,"LMS")+IF(AC$10="",0,MAX(0,ROUND((AC$13-SUMIFS(TF_Timer,TF_Nokkel,$A60&amp;"|"&amp;AC$5))*2,0)/2))&gt;INDEX(TF_AktSum,MATCH($A60&amp;"|"&amp;AC$5,TF_Dom,0)),"LMS",INDEX(AktKode,MATCH(INDEX(TF_Akt,MATCH($A60&amp;"|"&amp;AC$5,TF_Dom,0)),Aktiviteter,0)))&amp;IF(OR(COUNTIFS(TF_Nokkel,$A60&amp;"|"&amp;AC$5,TF_Akt,"&lt;&gt;"&amp;INDEX(TF_Akt,MATCH($A60&amp;"|"&amp;AC$5,TF_Dom,0)))&gt;0,AND(IF(AC$10="",0,MAX(0,ROUND((AC$13-SUMIFS(TF_Timer,TF_Nokkel,$A60&amp;"|"&amp;AC$5))*2,0)/2))&gt;0,INDEX(TF_Akt,MATCH($A60&amp;"|"&amp;AC$5,TF_Dom,0))&lt;&gt;"LMS")),"+",""),"?"))))</f>
        <v/>
      </c>
      <c r="AD60" s="13">
        <f>IF(OR($A60="",AD$5=""),"",IF(OR(AND(INDEX(TekFra,41)&gt;0,AD$5&lt;INDEX(TekFra,41)),AND(INDEX(TekTil,41)&gt;0,AD$5&gt;INDEX(TekTil,41))),"",IF(COUNTIFS(TF_Nokkel,$A60&amp;"|"&amp;AD$5)=0,IF(AD$10&lt;&gt;"","LMS",""),IFERROR(IF(SUMIFS(TF_Timer,TF_Nokkel,$A60&amp;"|"&amp;AD$5,TF_Akt,"LMS")+IF(AD$10="",0,MAX(0,ROUND((AD$13-SUMIFS(TF_Timer,TF_Nokkel,$A60&amp;"|"&amp;AD$5))*2,0)/2))&gt;INDEX(TF_AktSum,MATCH($A60&amp;"|"&amp;AD$5,TF_Dom,0)),"LMS",INDEX(AktKode,MATCH(INDEX(TF_Akt,MATCH($A60&amp;"|"&amp;AD$5,TF_Dom,0)),Aktiviteter,0)))&amp;IF(OR(COUNTIFS(TF_Nokkel,$A60&amp;"|"&amp;AD$5,TF_Akt,"&lt;&gt;"&amp;INDEX(TF_Akt,MATCH($A60&amp;"|"&amp;AD$5,TF_Dom,0)))&gt;0,AND(IF(AD$10="",0,MAX(0,ROUND((AD$13-SUMIFS(TF_Timer,TF_Nokkel,$A60&amp;"|"&amp;AD$5))*2,0)/2))&gt;0,INDEX(TF_Akt,MATCH($A60&amp;"|"&amp;AD$5,TF_Dom,0))&lt;&gt;"LMS")),"+",""),"?"))))</f>
        <v/>
      </c>
      <c r="AE60" s="13">
        <f>IF(OR($A60="",AE$5=""),"",IF(OR(AND(INDEX(TekFra,41)&gt;0,AE$5&lt;INDEX(TekFra,41)),AND(INDEX(TekTil,41)&gt;0,AE$5&gt;INDEX(TekTil,41))),"",IF(COUNTIFS(TF_Nokkel,$A60&amp;"|"&amp;AE$5)=0,IF(AE$10&lt;&gt;"","LMS",""),IFERROR(IF(SUMIFS(TF_Timer,TF_Nokkel,$A60&amp;"|"&amp;AE$5,TF_Akt,"LMS")+IF(AE$10="",0,MAX(0,ROUND((AE$13-SUMIFS(TF_Timer,TF_Nokkel,$A60&amp;"|"&amp;AE$5))*2,0)/2))&gt;INDEX(TF_AktSum,MATCH($A60&amp;"|"&amp;AE$5,TF_Dom,0)),"LMS",INDEX(AktKode,MATCH(INDEX(TF_Akt,MATCH($A60&amp;"|"&amp;AE$5,TF_Dom,0)),Aktiviteter,0)))&amp;IF(OR(COUNTIFS(TF_Nokkel,$A60&amp;"|"&amp;AE$5,TF_Akt,"&lt;&gt;"&amp;INDEX(TF_Akt,MATCH($A60&amp;"|"&amp;AE$5,TF_Dom,0)))&gt;0,AND(IF(AE$10="",0,MAX(0,ROUND((AE$13-SUMIFS(TF_Timer,TF_Nokkel,$A60&amp;"|"&amp;AE$5))*2,0)/2))&gt;0,INDEX(TF_Akt,MATCH($A60&amp;"|"&amp;AE$5,TF_Dom,0))&lt;&gt;"LMS")),"+",""),"?"))))</f>
        <v/>
      </c>
      <c r="AF60" s="13">
        <f>IF(OR($A60="",AF$5=""),"",IF(OR(AND(INDEX(TekFra,41)&gt;0,AF$5&lt;INDEX(TekFra,41)),AND(INDEX(TekTil,41)&gt;0,AF$5&gt;INDEX(TekTil,41))),"",IF(COUNTIFS(TF_Nokkel,$A60&amp;"|"&amp;AF$5)=0,IF(AF$10&lt;&gt;"","LMS",""),IFERROR(IF(SUMIFS(TF_Timer,TF_Nokkel,$A60&amp;"|"&amp;AF$5,TF_Akt,"LMS")+IF(AF$10="",0,MAX(0,ROUND((AF$13-SUMIFS(TF_Timer,TF_Nokkel,$A60&amp;"|"&amp;AF$5))*2,0)/2))&gt;INDEX(TF_AktSum,MATCH($A60&amp;"|"&amp;AF$5,TF_Dom,0)),"LMS",INDEX(AktKode,MATCH(INDEX(TF_Akt,MATCH($A60&amp;"|"&amp;AF$5,TF_Dom,0)),Aktiviteter,0)))&amp;IF(OR(COUNTIFS(TF_Nokkel,$A60&amp;"|"&amp;AF$5,TF_Akt,"&lt;&gt;"&amp;INDEX(TF_Akt,MATCH($A60&amp;"|"&amp;AF$5,TF_Dom,0)))&gt;0,AND(IF(AF$10="",0,MAX(0,ROUND((AF$13-SUMIFS(TF_Timer,TF_Nokkel,$A60&amp;"|"&amp;AF$5))*2,0)/2))&gt;0,INDEX(TF_Akt,MATCH($A60&amp;"|"&amp;AF$5,TF_Dom,0))&lt;&gt;"LMS")),"+",""),"?"))))</f>
        <v/>
      </c>
      <c r="AG60" s="13">
        <f>IF(OR($A60="",AG$5=""),"",IF(OR(AND(INDEX(TekFra,41)&gt;0,AG$5&lt;INDEX(TekFra,41)),AND(INDEX(TekTil,41)&gt;0,AG$5&gt;INDEX(TekTil,41))),"",IF(COUNTIFS(TF_Nokkel,$A60&amp;"|"&amp;AG$5)=0,IF(AG$10&lt;&gt;"","LMS",""),IFERROR(IF(SUMIFS(TF_Timer,TF_Nokkel,$A60&amp;"|"&amp;AG$5,TF_Akt,"LMS")+IF(AG$10="",0,MAX(0,ROUND((AG$13-SUMIFS(TF_Timer,TF_Nokkel,$A60&amp;"|"&amp;AG$5))*2,0)/2))&gt;INDEX(TF_AktSum,MATCH($A60&amp;"|"&amp;AG$5,TF_Dom,0)),"LMS",INDEX(AktKode,MATCH(INDEX(TF_Akt,MATCH($A60&amp;"|"&amp;AG$5,TF_Dom,0)),Aktiviteter,0)))&amp;IF(OR(COUNTIFS(TF_Nokkel,$A60&amp;"|"&amp;AG$5,TF_Akt,"&lt;&gt;"&amp;INDEX(TF_Akt,MATCH($A60&amp;"|"&amp;AG$5,TF_Dom,0)))&gt;0,AND(IF(AG$10="",0,MAX(0,ROUND((AG$13-SUMIFS(TF_Timer,TF_Nokkel,$A60&amp;"|"&amp;AG$5))*2,0)/2))&gt;0,INDEX(TF_Akt,MATCH($A60&amp;"|"&amp;AG$5,TF_Dom,0))&lt;&gt;"LMS")),"+",""),"?"))))</f>
        <v/>
      </c>
      <c r="AH60" s="2" t="n"/>
      <c r="AI60" s="2" t="n"/>
      <c r="AJ60" s="2" t="n"/>
    </row>
    <row r="61">
      <c r="A61" s="2">
        <f>INDEX(Teknikere,42)&amp;""</f>
        <v/>
      </c>
      <c r="B61" s="12">
        <f>IF(INDEX(TekFra,42)&gt;0,"ekstra","")</f>
        <v/>
      </c>
      <c r="C61" s="13">
        <f>IF(OR($A61="",C$5=""),"",IF(OR(AND(INDEX(TekFra,42)&gt;0,C$5&lt;INDEX(TekFra,42)),AND(INDEX(TekTil,42)&gt;0,C$5&gt;INDEX(TekTil,42))),"",IF(COUNTIFS(TF_Nokkel,$A61&amp;"|"&amp;C$5)=0,IF(C$10&lt;&gt;"","LMS",""),IFERROR(IF(SUMIFS(TF_Timer,TF_Nokkel,$A61&amp;"|"&amp;C$5,TF_Akt,"LMS")+IF(C$10="",0,MAX(0,ROUND((C$13-SUMIFS(TF_Timer,TF_Nokkel,$A61&amp;"|"&amp;C$5))*2,0)/2))&gt;INDEX(TF_AktSum,MATCH($A61&amp;"|"&amp;C$5,TF_Dom,0)),"LMS",INDEX(AktKode,MATCH(INDEX(TF_Akt,MATCH($A61&amp;"|"&amp;C$5,TF_Dom,0)),Aktiviteter,0)))&amp;IF(OR(COUNTIFS(TF_Nokkel,$A61&amp;"|"&amp;C$5,TF_Akt,"&lt;&gt;"&amp;INDEX(TF_Akt,MATCH($A61&amp;"|"&amp;C$5,TF_Dom,0)))&gt;0,AND(IF(C$10="",0,MAX(0,ROUND((C$13-SUMIFS(TF_Timer,TF_Nokkel,$A61&amp;"|"&amp;C$5))*2,0)/2))&gt;0,INDEX(TF_Akt,MATCH($A61&amp;"|"&amp;C$5,TF_Dom,0))&lt;&gt;"LMS")),"+",""),"?"))))</f>
        <v/>
      </c>
      <c r="D61" s="13">
        <f>IF(OR($A61="",D$5=""),"",IF(OR(AND(INDEX(TekFra,42)&gt;0,D$5&lt;INDEX(TekFra,42)),AND(INDEX(TekTil,42)&gt;0,D$5&gt;INDEX(TekTil,42))),"",IF(COUNTIFS(TF_Nokkel,$A61&amp;"|"&amp;D$5)=0,IF(D$10&lt;&gt;"","LMS",""),IFERROR(IF(SUMIFS(TF_Timer,TF_Nokkel,$A61&amp;"|"&amp;D$5,TF_Akt,"LMS")+IF(D$10="",0,MAX(0,ROUND((D$13-SUMIFS(TF_Timer,TF_Nokkel,$A61&amp;"|"&amp;D$5))*2,0)/2))&gt;INDEX(TF_AktSum,MATCH($A61&amp;"|"&amp;D$5,TF_Dom,0)),"LMS",INDEX(AktKode,MATCH(INDEX(TF_Akt,MATCH($A61&amp;"|"&amp;D$5,TF_Dom,0)),Aktiviteter,0)))&amp;IF(OR(COUNTIFS(TF_Nokkel,$A61&amp;"|"&amp;D$5,TF_Akt,"&lt;&gt;"&amp;INDEX(TF_Akt,MATCH($A61&amp;"|"&amp;D$5,TF_Dom,0)))&gt;0,AND(IF(D$10="",0,MAX(0,ROUND((D$13-SUMIFS(TF_Timer,TF_Nokkel,$A61&amp;"|"&amp;D$5))*2,0)/2))&gt;0,INDEX(TF_Akt,MATCH($A61&amp;"|"&amp;D$5,TF_Dom,0))&lt;&gt;"LMS")),"+",""),"?"))))</f>
        <v/>
      </c>
      <c r="E61" s="13">
        <f>IF(OR($A61="",E$5=""),"",IF(OR(AND(INDEX(TekFra,42)&gt;0,E$5&lt;INDEX(TekFra,42)),AND(INDEX(TekTil,42)&gt;0,E$5&gt;INDEX(TekTil,42))),"",IF(COUNTIFS(TF_Nokkel,$A61&amp;"|"&amp;E$5)=0,IF(E$10&lt;&gt;"","LMS",""),IFERROR(IF(SUMIFS(TF_Timer,TF_Nokkel,$A61&amp;"|"&amp;E$5,TF_Akt,"LMS")+IF(E$10="",0,MAX(0,ROUND((E$13-SUMIFS(TF_Timer,TF_Nokkel,$A61&amp;"|"&amp;E$5))*2,0)/2))&gt;INDEX(TF_AktSum,MATCH($A61&amp;"|"&amp;E$5,TF_Dom,0)),"LMS",INDEX(AktKode,MATCH(INDEX(TF_Akt,MATCH($A61&amp;"|"&amp;E$5,TF_Dom,0)),Aktiviteter,0)))&amp;IF(OR(COUNTIFS(TF_Nokkel,$A61&amp;"|"&amp;E$5,TF_Akt,"&lt;&gt;"&amp;INDEX(TF_Akt,MATCH($A61&amp;"|"&amp;E$5,TF_Dom,0)))&gt;0,AND(IF(E$10="",0,MAX(0,ROUND((E$13-SUMIFS(TF_Timer,TF_Nokkel,$A61&amp;"|"&amp;E$5))*2,0)/2))&gt;0,INDEX(TF_Akt,MATCH($A61&amp;"|"&amp;E$5,TF_Dom,0))&lt;&gt;"LMS")),"+",""),"?"))))</f>
        <v/>
      </c>
      <c r="F61" s="13">
        <f>IF(OR($A61="",F$5=""),"",IF(OR(AND(INDEX(TekFra,42)&gt;0,F$5&lt;INDEX(TekFra,42)),AND(INDEX(TekTil,42)&gt;0,F$5&gt;INDEX(TekTil,42))),"",IF(COUNTIFS(TF_Nokkel,$A61&amp;"|"&amp;F$5)=0,IF(F$10&lt;&gt;"","LMS",""),IFERROR(IF(SUMIFS(TF_Timer,TF_Nokkel,$A61&amp;"|"&amp;F$5,TF_Akt,"LMS")+IF(F$10="",0,MAX(0,ROUND((F$13-SUMIFS(TF_Timer,TF_Nokkel,$A61&amp;"|"&amp;F$5))*2,0)/2))&gt;INDEX(TF_AktSum,MATCH($A61&amp;"|"&amp;F$5,TF_Dom,0)),"LMS",INDEX(AktKode,MATCH(INDEX(TF_Akt,MATCH($A61&amp;"|"&amp;F$5,TF_Dom,0)),Aktiviteter,0)))&amp;IF(OR(COUNTIFS(TF_Nokkel,$A61&amp;"|"&amp;F$5,TF_Akt,"&lt;&gt;"&amp;INDEX(TF_Akt,MATCH($A61&amp;"|"&amp;F$5,TF_Dom,0)))&gt;0,AND(IF(F$10="",0,MAX(0,ROUND((F$13-SUMIFS(TF_Timer,TF_Nokkel,$A61&amp;"|"&amp;F$5))*2,0)/2))&gt;0,INDEX(TF_Akt,MATCH($A61&amp;"|"&amp;F$5,TF_Dom,0))&lt;&gt;"LMS")),"+",""),"?"))))</f>
        <v/>
      </c>
      <c r="G61" s="13">
        <f>IF(OR($A61="",G$5=""),"",IF(OR(AND(INDEX(TekFra,42)&gt;0,G$5&lt;INDEX(TekFra,42)),AND(INDEX(TekTil,42)&gt;0,G$5&gt;INDEX(TekTil,42))),"",IF(COUNTIFS(TF_Nokkel,$A61&amp;"|"&amp;G$5)=0,IF(G$10&lt;&gt;"","LMS",""),IFERROR(IF(SUMIFS(TF_Timer,TF_Nokkel,$A61&amp;"|"&amp;G$5,TF_Akt,"LMS")+IF(G$10="",0,MAX(0,ROUND((G$13-SUMIFS(TF_Timer,TF_Nokkel,$A61&amp;"|"&amp;G$5))*2,0)/2))&gt;INDEX(TF_AktSum,MATCH($A61&amp;"|"&amp;G$5,TF_Dom,0)),"LMS",INDEX(AktKode,MATCH(INDEX(TF_Akt,MATCH($A61&amp;"|"&amp;G$5,TF_Dom,0)),Aktiviteter,0)))&amp;IF(OR(COUNTIFS(TF_Nokkel,$A61&amp;"|"&amp;G$5,TF_Akt,"&lt;&gt;"&amp;INDEX(TF_Akt,MATCH($A61&amp;"|"&amp;G$5,TF_Dom,0)))&gt;0,AND(IF(G$10="",0,MAX(0,ROUND((G$13-SUMIFS(TF_Timer,TF_Nokkel,$A61&amp;"|"&amp;G$5))*2,0)/2))&gt;0,INDEX(TF_Akt,MATCH($A61&amp;"|"&amp;G$5,TF_Dom,0))&lt;&gt;"LMS")),"+",""),"?"))))</f>
        <v/>
      </c>
      <c r="H61" s="13">
        <f>IF(OR($A61="",H$5=""),"",IF(OR(AND(INDEX(TekFra,42)&gt;0,H$5&lt;INDEX(TekFra,42)),AND(INDEX(TekTil,42)&gt;0,H$5&gt;INDEX(TekTil,42))),"",IF(COUNTIFS(TF_Nokkel,$A61&amp;"|"&amp;H$5)=0,IF(H$10&lt;&gt;"","LMS",""),IFERROR(IF(SUMIFS(TF_Timer,TF_Nokkel,$A61&amp;"|"&amp;H$5,TF_Akt,"LMS")+IF(H$10="",0,MAX(0,ROUND((H$13-SUMIFS(TF_Timer,TF_Nokkel,$A61&amp;"|"&amp;H$5))*2,0)/2))&gt;INDEX(TF_AktSum,MATCH($A61&amp;"|"&amp;H$5,TF_Dom,0)),"LMS",INDEX(AktKode,MATCH(INDEX(TF_Akt,MATCH($A61&amp;"|"&amp;H$5,TF_Dom,0)),Aktiviteter,0)))&amp;IF(OR(COUNTIFS(TF_Nokkel,$A61&amp;"|"&amp;H$5,TF_Akt,"&lt;&gt;"&amp;INDEX(TF_Akt,MATCH($A61&amp;"|"&amp;H$5,TF_Dom,0)))&gt;0,AND(IF(H$10="",0,MAX(0,ROUND((H$13-SUMIFS(TF_Timer,TF_Nokkel,$A61&amp;"|"&amp;H$5))*2,0)/2))&gt;0,INDEX(TF_Akt,MATCH($A61&amp;"|"&amp;H$5,TF_Dom,0))&lt;&gt;"LMS")),"+",""),"?"))))</f>
        <v/>
      </c>
      <c r="I61" s="13">
        <f>IF(OR($A61="",I$5=""),"",IF(OR(AND(INDEX(TekFra,42)&gt;0,I$5&lt;INDEX(TekFra,42)),AND(INDEX(TekTil,42)&gt;0,I$5&gt;INDEX(TekTil,42))),"",IF(COUNTIFS(TF_Nokkel,$A61&amp;"|"&amp;I$5)=0,IF(I$10&lt;&gt;"","LMS",""),IFERROR(IF(SUMIFS(TF_Timer,TF_Nokkel,$A61&amp;"|"&amp;I$5,TF_Akt,"LMS")+IF(I$10="",0,MAX(0,ROUND((I$13-SUMIFS(TF_Timer,TF_Nokkel,$A61&amp;"|"&amp;I$5))*2,0)/2))&gt;INDEX(TF_AktSum,MATCH($A61&amp;"|"&amp;I$5,TF_Dom,0)),"LMS",INDEX(AktKode,MATCH(INDEX(TF_Akt,MATCH($A61&amp;"|"&amp;I$5,TF_Dom,0)),Aktiviteter,0)))&amp;IF(OR(COUNTIFS(TF_Nokkel,$A61&amp;"|"&amp;I$5,TF_Akt,"&lt;&gt;"&amp;INDEX(TF_Akt,MATCH($A61&amp;"|"&amp;I$5,TF_Dom,0)))&gt;0,AND(IF(I$10="",0,MAX(0,ROUND((I$13-SUMIFS(TF_Timer,TF_Nokkel,$A61&amp;"|"&amp;I$5))*2,0)/2))&gt;0,INDEX(TF_Akt,MATCH($A61&amp;"|"&amp;I$5,TF_Dom,0))&lt;&gt;"LMS")),"+",""),"?"))))</f>
        <v/>
      </c>
      <c r="J61" s="13">
        <f>IF(OR($A61="",J$5=""),"",IF(OR(AND(INDEX(TekFra,42)&gt;0,J$5&lt;INDEX(TekFra,42)),AND(INDEX(TekTil,42)&gt;0,J$5&gt;INDEX(TekTil,42))),"",IF(COUNTIFS(TF_Nokkel,$A61&amp;"|"&amp;J$5)=0,IF(J$10&lt;&gt;"","LMS",""),IFERROR(IF(SUMIFS(TF_Timer,TF_Nokkel,$A61&amp;"|"&amp;J$5,TF_Akt,"LMS")+IF(J$10="",0,MAX(0,ROUND((J$13-SUMIFS(TF_Timer,TF_Nokkel,$A61&amp;"|"&amp;J$5))*2,0)/2))&gt;INDEX(TF_AktSum,MATCH($A61&amp;"|"&amp;J$5,TF_Dom,0)),"LMS",INDEX(AktKode,MATCH(INDEX(TF_Akt,MATCH($A61&amp;"|"&amp;J$5,TF_Dom,0)),Aktiviteter,0)))&amp;IF(OR(COUNTIFS(TF_Nokkel,$A61&amp;"|"&amp;J$5,TF_Akt,"&lt;&gt;"&amp;INDEX(TF_Akt,MATCH($A61&amp;"|"&amp;J$5,TF_Dom,0)))&gt;0,AND(IF(J$10="",0,MAX(0,ROUND((J$13-SUMIFS(TF_Timer,TF_Nokkel,$A61&amp;"|"&amp;J$5))*2,0)/2))&gt;0,INDEX(TF_Akt,MATCH($A61&amp;"|"&amp;J$5,TF_Dom,0))&lt;&gt;"LMS")),"+",""),"?"))))</f>
        <v/>
      </c>
      <c r="K61" s="13">
        <f>IF(OR($A61="",K$5=""),"",IF(OR(AND(INDEX(TekFra,42)&gt;0,K$5&lt;INDEX(TekFra,42)),AND(INDEX(TekTil,42)&gt;0,K$5&gt;INDEX(TekTil,42))),"",IF(COUNTIFS(TF_Nokkel,$A61&amp;"|"&amp;K$5)=0,IF(K$10&lt;&gt;"","LMS",""),IFERROR(IF(SUMIFS(TF_Timer,TF_Nokkel,$A61&amp;"|"&amp;K$5,TF_Akt,"LMS")+IF(K$10="",0,MAX(0,ROUND((K$13-SUMIFS(TF_Timer,TF_Nokkel,$A61&amp;"|"&amp;K$5))*2,0)/2))&gt;INDEX(TF_AktSum,MATCH($A61&amp;"|"&amp;K$5,TF_Dom,0)),"LMS",INDEX(AktKode,MATCH(INDEX(TF_Akt,MATCH($A61&amp;"|"&amp;K$5,TF_Dom,0)),Aktiviteter,0)))&amp;IF(OR(COUNTIFS(TF_Nokkel,$A61&amp;"|"&amp;K$5,TF_Akt,"&lt;&gt;"&amp;INDEX(TF_Akt,MATCH($A61&amp;"|"&amp;K$5,TF_Dom,0)))&gt;0,AND(IF(K$10="",0,MAX(0,ROUND((K$13-SUMIFS(TF_Timer,TF_Nokkel,$A61&amp;"|"&amp;K$5))*2,0)/2))&gt;0,INDEX(TF_Akt,MATCH($A61&amp;"|"&amp;K$5,TF_Dom,0))&lt;&gt;"LMS")),"+",""),"?"))))</f>
        <v/>
      </c>
      <c r="L61" s="13">
        <f>IF(OR($A61="",L$5=""),"",IF(OR(AND(INDEX(TekFra,42)&gt;0,L$5&lt;INDEX(TekFra,42)),AND(INDEX(TekTil,42)&gt;0,L$5&gt;INDEX(TekTil,42))),"",IF(COUNTIFS(TF_Nokkel,$A61&amp;"|"&amp;L$5)=0,IF(L$10&lt;&gt;"","LMS",""),IFERROR(IF(SUMIFS(TF_Timer,TF_Nokkel,$A61&amp;"|"&amp;L$5,TF_Akt,"LMS")+IF(L$10="",0,MAX(0,ROUND((L$13-SUMIFS(TF_Timer,TF_Nokkel,$A61&amp;"|"&amp;L$5))*2,0)/2))&gt;INDEX(TF_AktSum,MATCH($A61&amp;"|"&amp;L$5,TF_Dom,0)),"LMS",INDEX(AktKode,MATCH(INDEX(TF_Akt,MATCH($A61&amp;"|"&amp;L$5,TF_Dom,0)),Aktiviteter,0)))&amp;IF(OR(COUNTIFS(TF_Nokkel,$A61&amp;"|"&amp;L$5,TF_Akt,"&lt;&gt;"&amp;INDEX(TF_Akt,MATCH($A61&amp;"|"&amp;L$5,TF_Dom,0)))&gt;0,AND(IF(L$10="",0,MAX(0,ROUND((L$13-SUMIFS(TF_Timer,TF_Nokkel,$A61&amp;"|"&amp;L$5))*2,0)/2))&gt;0,INDEX(TF_Akt,MATCH($A61&amp;"|"&amp;L$5,TF_Dom,0))&lt;&gt;"LMS")),"+",""),"?"))))</f>
        <v/>
      </c>
      <c r="M61" s="13">
        <f>IF(OR($A61="",M$5=""),"",IF(OR(AND(INDEX(TekFra,42)&gt;0,M$5&lt;INDEX(TekFra,42)),AND(INDEX(TekTil,42)&gt;0,M$5&gt;INDEX(TekTil,42))),"",IF(COUNTIFS(TF_Nokkel,$A61&amp;"|"&amp;M$5)=0,IF(M$10&lt;&gt;"","LMS",""),IFERROR(IF(SUMIFS(TF_Timer,TF_Nokkel,$A61&amp;"|"&amp;M$5,TF_Akt,"LMS")+IF(M$10="",0,MAX(0,ROUND((M$13-SUMIFS(TF_Timer,TF_Nokkel,$A61&amp;"|"&amp;M$5))*2,0)/2))&gt;INDEX(TF_AktSum,MATCH($A61&amp;"|"&amp;M$5,TF_Dom,0)),"LMS",INDEX(AktKode,MATCH(INDEX(TF_Akt,MATCH($A61&amp;"|"&amp;M$5,TF_Dom,0)),Aktiviteter,0)))&amp;IF(OR(COUNTIFS(TF_Nokkel,$A61&amp;"|"&amp;M$5,TF_Akt,"&lt;&gt;"&amp;INDEX(TF_Akt,MATCH($A61&amp;"|"&amp;M$5,TF_Dom,0)))&gt;0,AND(IF(M$10="",0,MAX(0,ROUND((M$13-SUMIFS(TF_Timer,TF_Nokkel,$A61&amp;"|"&amp;M$5))*2,0)/2))&gt;0,INDEX(TF_Akt,MATCH($A61&amp;"|"&amp;M$5,TF_Dom,0))&lt;&gt;"LMS")),"+",""),"?"))))</f>
        <v/>
      </c>
      <c r="N61" s="13">
        <f>IF(OR($A61="",N$5=""),"",IF(OR(AND(INDEX(TekFra,42)&gt;0,N$5&lt;INDEX(TekFra,42)),AND(INDEX(TekTil,42)&gt;0,N$5&gt;INDEX(TekTil,42))),"",IF(COUNTIFS(TF_Nokkel,$A61&amp;"|"&amp;N$5)=0,IF(N$10&lt;&gt;"","LMS",""),IFERROR(IF(SUMIFS(TF_Timer,TF_Nokkel,$A61&amp;"|"&amp;N$5,TF_Akt,"LMS")+IF(N$10="",0,MAX(0,ROUND((N$13-SUMIFS(TF_Timer,TF_Nokkel,$A61&amp;"|"&amp;N$5))*2,0)/2))&gt;INDEX(TF_AktSum,MATCH($A61&amp;"|"&amp;N$5,TF_Dom,0)),"LMS",INDEX(AktKode,MATCH(INDEX(TF_Akt,MATCH($A61&amp;"|"&amp;N$5,TF_Dom,0)),Aktiviteter,0)))&amp;IF(OR(COUNTIFS(TF_Nokkel,$A61&amp;"|"&amp;N$5,TF_Akt,"&lt;&gt;"&amp;INDEX(TF_Akt,MATCH($A61&amp;"|"&amp;N$5,TF_Dom,0)))&gt;0,AND(IF(N$10="",0,MAX(0,ROUND((N$13-SUMIFS(TF_Timer,TF_Nokkel,$A61&amp;"|"&amp;N$5))*2,0)/2))&gt;0,INDEX(TF_Akt,MATCH($A61&amp;"|"&amp;N$5,TF_Dom,0))&lt;&gt;"LMS")),"+",""),"?"))))</f>
        <v/>
      </c>
      <c r="O61" s="13">
        <f>IF(OR($A61="",O$5=""),"",IF(OR(AND(INDEX(TekFra,42)&gt;0,O$5&lt;INDEX(TekFra,42)),AND(INDEX(TekTil,42)&gt;0,O$5&gt;INDEX(TekTil,42))),"",IF(COUNTIFS(TF_Nokkel,$A61&amp;"|"&amp;O$5)=0,IF(O$10&lt;&gt;"","LMS",""),IFERROR(IF(SUMIFS(TF_Timer,TF_Nokkel,$A61&amp;"|"&amp;O$5,TF_Akt,"LMS")+IF(O$10="",0,MAX(0,ROUND((O$13-SUMIFS(TF_Timer,TF_Nokkel,$A61&amp;"|"&amp;O$5))*2,0)/2))&gt;INDEX(TF_AktSum,MATCH($A61&amp;"|"&amp;O$5,TF_Dom,0)),"LMS",INDEX(AktKode,MATCH(INDEX(TF_Akt,MATCH($A61&amp;"|"&amp;O$5,TF_Dom,0)),Aktiviteter,0)))&amp;IF(OR(COUNTIFS(TF_Nokkel,$A61&amp;"|"&amp;O$5,TF_Akt,"&lt;&gt;"&amp;INDEX(TF_Akt,MATCH($A61&amp;"|"&amp;O$5,TF_Dom,0)))&gt;0,AND(IF(O$10="",0,MAX(0,ROUND((O$13-SUMIFS(TF_Timer,TF_Nokkel,$A61&amp;"|"&amp;O$5))*2,0)/2))&gt;0,INDEX(TF_Akt,MATCH($A61&amp;"|"&amp;O$5,TF_Dom,0))&lt;&gt;"LMS")),"+",""),"?"))))</f>
        <v/>
      </c>
      <c r="P61" s="13">
        <f>IF(OR($A61="",P$5=""),"",IF(OR(AND(INDEX(TekFra,42)&gt;0,P$5&lt;INDEX(TekFra,42)),AND(INDEX(TekTil,42)&gt;0,P$5&gt;INDEX(TekTil,42))),"",IF(COUNTIFS(TF_Nokkel,$A61&amp;"|"&amp;P$5)=0,IF(P$10&lt;&gt;"","LMS",""),IFERROR(IF(SUMIFS(TF_Timer,TF_Nokkel,$A61&amp;"|"&amp;P$5,TF_Akt,"LMS")+IF(P$10="",0,MAX(0,ROUND((P$13-SUMIFS(TF_Timer,TF_Nokkel,$A61&amp;"|"&amp;P$5))*2,0)/2))&gt;INDEX(TF_AktSum,MATCH($A61&amp;"|"&amp;P$5,TF_Dom,0)),"LMS",INDEX(AktKode,MATCH(INDEX(TF_Akt,MATCH($A61&amp;"|"&amp;P$5,TF_Dom,0)),Aktiviteter,0)))&amp;IF(OR(COUNTIFS(TF_Nokkel,$A61&amp;"|"&amp;P$5,TF_Akt,"&lt;&gt;"&amp;INDEX(TF_Akt,MATCH($A61&amp;"|"&amp;P$5,TF_Dom,0)))&gt;0,AND(IF(P$10="",0,MAX(0,ROUND((P$13-SUMIFS(TF_Timer,TF_Nokkel,$A61&amp;"|"&amp;P$5))*2,0)/2))&gt;0,INDEX(TF_Akt,MATCH($A61&amp;"|"&amp;P$5,TF_Dom,0))&lt;&gt;"LMS")),"+",""),"?"))))</f>
        <v/>
      </c>
      <c r="Q61" s="13">
        <f>IF(OR($A61="",Q$5=""),"",IF(OR(AND(INDEX(TekFra,42)&gt;0,Q$5&lt;INDEX(TekFra,42)),AND(INDEX(TekTil,42)&gt;0,Q$5&gt;INDEX(TekTil,42))),"",IF(COUNTIFS(TF_Nokkel,$A61&amp;"|"&amp;Q$5)=0,IF(Q$10&lt;&gt;"","LMS",""),IFERROR(IF(SUMIFS(TF_Timer,TF_Nokkel,$A61&amp;"|"&amp;Q$5,TF_Akt,"LMS")+IF(Q$10="",0,MAX(0,ROUND((Q$13-SUMIFS(TF_Timer,TF_Nokkel,$A61&amp;"|"&amp;Q$5))*2,0)/2))&gt;INDEX(TF_AktSum,MATCH($A61&amp;"|"&amp;Q$5,TF_Dom,0)),"LMS",INDEX(AktKode,MATCH(INDEX(TF_Akt,MATCH($A61&amp;"|"&amp;Q$5,TF_Dom,0)),Aktiviteter,0)))&amp;IF(OR(COUNTIFS(TF_Nokkel,$A61&amp;"|"&amp;Q$5,TF_Akt,"&lt;&gt;"&amp;INDEX(TF_Akt,MATCH($A61&amp;"|"&amp;Q$5,TF_Dom,0)))&gt;0,AND(IF(Q$10="",0,MAX(0,ROUND((Q$13-SUMIFS(TF_Timer,TF_Nokkel,$A61&amp;"|"&amp;Q$5))*2,0)/2))&gt;0,INDEX(TF_Akt,MATCH($A61&amp;"|"&amp;Q$5,TF_Dom,0))&lt;&gt;"LMS")),"+",""),"?"))))</f>
        <v/>
      </c>
      <c r="R61" s="13">
        <f>IF(OR($A61="",R$5=""),"",IF(OR(AND(INDEX(TekFra,42)&gt;0,R$5&lt;INDEX(TekFra,42)),AND(INDEX(TekTil,42)&gt;0,R$5&gt;INDEX(TekTil,42))),"",IF(COUNTIFS(TF_Nokkel,$A61&amp;"|"&amp;R$5)=0,IF(R$10&lt;&gt;"","LMS",""),IFERROR(IF(SUMIFS(TF_Timer,TF_Nokkel,$A61&amp;"|"&amp;R$5,TF_Akt,"LMS")+IF(R$10="",0,MAX(0,ROUND((R$13-SUMIFS(TF_Timer,TF_Nokkel,$A61&amp;"|"&amp;R$5))*2,0)/2))&gt;INDEX(TF_AktSum,MATCH($A61&amp;"|"&amp;R$5,TF_Dom,0)),"LMS",INDEX(AktKode,MATCH(INDEX(TF_Akt,MATCH($A61&amp;"|"&amp;R$5,TF_Dom,0)),Aktiviteter,0)))&amp;IF(OR(COUNTIFS(TF_Nokkel,$A61&amp;"|"&amp;R$5,TF_Akt,"&lt;&gt;"&amp;INDEX(TF_Akt,MATCH($A61&amp;"|"&amp;R$5,TF_Dom,0)))&gt;0,AND(IF(R$10="",0,MAX(0,ROUND((R$13-SUMIFS(TF_Timer,TF_Nokkel,$A61&amp;"|"&amp;R$5))*2,0)/2))&gt;0,INDEX(TF_Akt,MATCH($A61&amp;"|"&amp;R$5,TF_Dom,0))&lt;&gt;"LMS")),"+",""),"?"))))</f>
        <v/>
      </c>
      <c r="S61" s="13">
        <f>IF(OR($A61="",S$5=""),"",IF(OR(AND(INDEX(TekFra,42)&gt;0,S$5&lt;INDEX(TekFra,42)),AND(INDEX(TekTil,42)&gt;0,S$5&gt;INDEX(TekTil,42))),"",IF(COUNTIFS(TF_Nokkel,$A61&amp;"|"&amp;S$5)=0,IF(S$10&lt;&gt;"","LMS",""),IFERROR(IF(SUMIFS(TF_Timer,TF_Nokkel,$A61&amp;"|"&amp;S$5,TF_Akt,"LMS")+IF(S$10="",0,MAX(0,ROUND((S$13-SUMIFS(TF_Timer,TF_Nokkel,$A61&amp;"|"&amp;S$5))*2,0)/2))&gt;INDEX(TF_AktSum,MATCH($A61&amp;"|"&amp;S$5,TF_Dom,0)),"LMS",INDEX(AktKode,MATCH(INDEX(TF_Akt,MATCH($A61&amp;"|"&amp;S$5,TF_Dom,0)),Aktiviteter,0)))&amp;IF(OR(COUNTIFS(TF_Nokkel,$A61&amp;"|"&amp;S$5,TF_Akt,"&lt;&gt;"&amp;INDEX(TF_Akt,MATCH($A61&amp;"|"&amp;S$5,TF_Dom,0)))&gt;0,AND(IF(S$10="",0,MAX(0,ROUND((S$13-SUMIFS(TF_Timer,TF_Nokkel,$A61&amp;"|"&amp;S$5))*2,0)/2))&gt;0,INDEX(TF_Akt,MATCH($A61&amp;"|"&amp;S$5,TF_Dom,0))&lt;&gt;"LMS")),"+",""),"?"))))</f>
        <v/>
      </c>
      <c r="T61" s="13">
        <f>IF(OR($A61="",T$5=""),"",IF(OR(AND(INDEX(TekFra,42)&gt;0,T$5&lt;INDEX(TekFra,42)),AND(INDEX(TekTil,42)&gt;0,T$5&gt;INDEX(TekTil,42))),"",IF(COUNTIFS(TF_Nokkel,$A61&amp;"|"&amp;T$5)=0,IF(T$10&lt;&gt;"","LMS",""),IFERROR(IF(SUMIFS(TF_Timer,TF_Nokkel,$A61&amp;"|"&amp;T$5,TF_Akt,"LMS")+IF(T$10="",0,MAX(0,ROUND((T$13-SUMIFS(TF_Timer,TF_Nokkel,$A61&amp;"|"&amp;T$5))*2,0)/2))&gt;INDEX(TF_AktSum,MATCH($A61&amp;"|"&amp;T$5,TF_Dom,0)),"LMS",INDEX(AktKode,MATCH(INDEX(TF_Akt,MATCH($A61&amp;"|"&amp;T$5,TF_Dom,0)),Aktiviteter,0)))&amp;IF(OR(COUNTIFS(TF_Nokkel,$A61&amp;"|"&amp;T$5,TF_Akt,"&lt;&gt;"&amp;INDEX(TF_Akt,MATCH($A61&amp;"|"&amp;T$5,TF_Dom,0)))&gt;0,AND(IF(T$10="",0,MAX(0,ROUND((T$13-SUMIFS(TF_Timer,TF_Nokkel,$A61&amp;"|"&amp;T$5))*2,0)/2))&gt;0,INDEX(TF_Akt,MATCH($A61&amp;"|"&amp;T$5,TF_Dom,0))&lt;&gt;"LMS")),"+",""),"?"))))</f>
        <v/>
      </c>
      <c r="U61" s="13">
        <f>IF(OR($A61="",U$5=""),"",IF(OR(AND(INDEX(TekFra,42)&gt;0,U$5&lt;INDEX(TekFra,42)),AND(INDEX(TekTil,42)&gt;0,U$5&gt;INDEX(TekTil,42))),"",IF(COUNTIFS(TF_Nokkel,$A61&amp;"|"&amp;U$5)=0,IF(U$10&lt;&gt;"","LMS",""),IFERROR(IF(SUMIFS(TF_Timer,TF_Nokkel,$A61&amp;"|"&amp;U$5,TF_Akt,"LMS")+IF(U$10="",0,MAX(0,ROUND((U$13-SUMIFS(TF_Timer,TF_Nokkel,$A61&amp;"|"&amp;U$5))*2,0)/2))&gt;INDEX(TF_AktSum,MATCH($A61&amp;"|"&amp;U$5,TF_Dom,0)),"LMS",INDEX(AktKode,MATCH(INDEX(TF_Akt,MATCH($A61&amp;"|"&amp;U$5,TF_Dom,0)),Aktiviteter,0)))&amp;IF(OR(COUNTIFS(TF_Nokkel,$A61&amp;"|"&amp;U$5,TF_Akt,"&lt;&gt;"&amp;INDEX(TF_Akt,MATCH($A61&amp;"|"&amp;U$5,TF_Dom,0)))&gt;0,AND(IF(U$10="",0,MAX(0,ROUND((U$13-SUMIFS(TF_Timer,TF_Nokkel,$A61&amp;"|"&amp;U$5))*2,0)/2))&gt;0,INDEX(TF_Akt,MATCH($A61&amp;"|"&amp;U$5,TF_Dom,0))&lt;&gt;"LMS")),"+",""),"?"))))</f>
        <v/>
      </c>
      <c r="V61" s="13">
        <f>IF(OR($A61="",V$5=""),"",IF(OR(AND(INDEX(TekFra,42)&gt;0,V$5&lt;INDEX(TekFra,42)),AND(INDEX(TekTil,42)&gt;0,V$5&gt;INDEX(TekTil,42))),"",IF(COUNTIFS(TF_Nokkel,$A61&amp;"|"&amp;V$5)=0,IF(V$10&lt;&gt;"","LMS",""),IFERROR(IF(SUMIFS(TF_Timer,TF_Nokkel,$A61&amp;"|"&amp;V$5,TF_Akt,"LMS")+IF(V$10="",0,MAX(0,ROUND((V$13-SUMIFS(TF_Timer,TF_Nokkel,$A61&amp;"|"&amp;V$5))*2,0)/2))&gt;INDEX(TF_AktSum,MATCH($A61&amp;"|"&amp;V$5,TF_Dom,0)),"LMS",INDEX(AktKode,MATCH(INDEX(TF_Akt,MATCH($A61&amp;"|"&amp;V$5,TF_Dom,0)),Aktiviteter,0)))&amp;IF(OR(COUNTIFS(TF_Nokkel,$A61&amp;"|"&amp;V$5,TF_Akt,"&lt;&gt;"&amp;INDEX(TF_Akt,MATCH($A61&amp;"|"&amp;V$5,TF_Dom,0)))&gt;0,AND(IF(V$10="",0,MAX(0,ROUND((V$13-SUMIFS(TF_Timer,TF_Nokkel,$A61&amp;"|"&amp;V$5))*2,0)/2))&gt;0,INDEX(TF_Akt,MATCH($A61&amp;"|"&amp;V$5,TF_Dom,0))&lt;&gt;"LMS")),"+",""),"?"))))</f>
        <v/>
      </c>
      <c r="W61" s="13">
        <f>IF(OR($A61="",W$5=""),"",IF(OR(AND(INDEX(TekFra,42)&gt;0,W$5&lt;INDEX(TekFra,42)),AND(INDEX(TekTil,42)&gt;0,W$5&gt;INDEX(TekTil,42))),"",IF(COUNTIFS(TF_Nokkel,$A61&amp;"|"&amp;W$5)=0,IF(W$10&lt;&gt;"","LMS",""),IFERROR(IF(SUMIFS(TF_Timer,TF_Nokkel,$A61&amp;"|"&amp;W$5,TF_Akt,"LMS")+IF(W$10="",0,MAX(0,ROUND((W$13-SUMIFS(TF_Timer,TF_Nokkel,$A61&amp;"|"&amp;W$5))*2,0)/2))&gt;INDEX(TF_AktSum,MATCH($A61&amp;"|"&amp;W$5,TF_Dom,0)),"LMS",INDEX(AktKode,MATCH(INDEX(TF_Akt,MATCH($A61&amp;"|"&amp;W$5,TF_Dom,0)),Aktiviteter,0)))&amp;IF(OR(COUNTIFS(TF_Nokkel,$A61&amp;"|"&amp;W$5,TF_Akt,"&lt;&gt;"&amp;INDEX(TF_Akt,MATCH($A61&amp;"|"&amp;W$5,TF_Dom,0)))&gt;0,AND(IF(W$10="",0,MAX(0,ROUND((W$13-SUMIFS(TF_Timer,TF_Nokkel,$A61&amp;"|"&amp;W$5))*2,0)/2))&gt;0,INDEX(TF_Akt,MATCH($A61&amp;"|"&amp;W$5,TF_Dom,0))&lt;&gt;"LMS")),"+",""),"?"))))</f>
        <v/>
      </c>
      <c r="X61" s="13">
        <f>IF(OR($A61="",X$5=""),"",IF(OR(AND(INDEX(TekFra,42)&gt;0,X$5&lt;INDEX(TekFra,42)),AND(INDEX(TekTil,42)&gt;0,X$5&gt;INDEX(TekTil,42))),"",IF(COUNTIFS(TF_Nokkel,$A61&amp;"|"&amp;X$5)=0,IF(X$10&lt;&gt;"","LMS",""),IFERROR(IF(SUMIFS(TF_Timer,TF_Nokkel,$A61&amp;"|"&amp;X$5,TF_Akt,"LMS")+IF(X$10="",0,MAX(0,ROUND((X$13-SUMIFS(TF_Timer,TF_Nokkel,$A61&amp;"|"&amp;X$5))*2,0)/2))&gt;INDEX(TF_AktSum,MATCH($A61&amp;"|"&amp;X$5,TF_Dom,0)),"LMS",INDEX(AktKode,MATCH(INDEX(TF_Akt,MATCH($A61&amp;"|"&amp;X$5,TF_Dom,0)),Aktiviteter,0)))&amp;IF(OR(COUNTIFS(TF_Nokkel,$A61&amp;"|"&amp;X$5,TF_Akt,"&lt;&gt;"&amp;INDEX(TF_Akt,MATCH($A61&amp;"|"&amp;X$5,TF_Dom,0)))&gt;0,AND(IF(X$10="",0,MAX(0,ROUND((X$13-SUMIFS(TF_Timer,TF_Nokkel,$A61&amp;"|"&amp;X$5))*2,0)/2))&gt;0,INDEX(TF_Akt,MATCH($A61&amp;"|"&amp;X$5,TF_Dom,0))&lt;&gt;"LMS")),"+",""),"?"))))</f>
        <v/>
      </c>
      <c r="Y61" s="13">
        <f>IF(OR($A61="",Y$5=""),"",IF(OR(AND(INDEX(TekFra,42)&gt;0,Y$5&lt;INDEX(TekFra,42)),AND(INDEX(TekTil,42)&gt;0,Y$5&gt;INDEX(TekTil,42))),"",IF(COUNTIFS(TF_Nokkel,$A61&amp;"|"&amp;Y$5)=0,IF(Y$10&lt;&gt;"","LMS",""),IFERROR(IF(SUMIFS(TF_Timer,TF_Nokkel,$A61&amp;"|"&amp;Y$5,TF_Akt,"LMS")+IF(Y$10="",0,MAX(0,ROUND((Y$13-SUMIFS(TF_Timer,TF_Nokkel,$A61&amp;"|"&amp;Y$5))*2,0)/2))&gt;INDEX(TF_AktSum,MATCH($A61&amp;"|"&amp;Y$5,TF_Dom,0)),"LMS",INDEX(AktKode,MATCH(INDEX(TF_Akt,MATCH($A61&amp;"|"&amp;Y$5,TF_Dom,0)),Aktiviteter,0)))&amp;IF(OR(COUNTIFS(TF_Nokkel,$A61&amp;"|"&amp;Y$5,TF_Akt,"&lt;&gt;"&amp;INDEX(TF_Akt,MATCH($A61&amp;"|"&amp;Y$5,TF_Dom,0)))&gt;0,AND(IF(Y$10="",0,MAX(0,ROUND((Y$13-SUMIFS(TF_Timer,TF_Nokkel,$A61&amp;"|"&amp;Y$5))*2,0)/2))&gt;0,INDEX(TF_Akt,MATCH($A61&amp;"|"&amp;Y$5,TF_Dom,0))&lt;&gt;"LMS")),"+",""),"?"))))</f>
        <v/>
      </c>
      <c r="Z61" s="13">
        <f>IF(OR($A61="",Z$5=""),"",IF(OR(AND(INDEX(TekFra,42)&gt;0,Z$5&lt;INDEX(TekFra,42)),AND(INDEX(TekTil,42)&gt;0,Z$5&gt;INDEX(TekTil,42))),"",IF(COUNTIFS(TF_Nokkel,$A61&amp;"|"&amp;Z$5)=0,IF(Z$10&lt;&gt;"","LMS",""),IFERROR(IF(SUMIFS(TF_Timer,TF_Nokkel,$A61&amp;"|"&amp;Z$5,TF_Akt,"LMS")+IF(Z$10="",0,MAX(0,ROUND((Z$13-SUMIFS(TF_Timer,TF_Nokkel,$A61&amp;"|"&amp;Z$5))*2,0)/2))&gt;INDEX(TF_AktSum,MATCH($A61&amp;"|"&amp;Z$5,TF_Dom,0)),"LMS",INDEX(AktKode,MATCH(INDEX(TF_Akt,MATCH($A61&amp;"|"&amp;Z$5,TF_Dom,0)),Aktiviteter,0)))&amp;IF(OR(COUNTIFS(TF_Nokkel,$A61&amp;"|"&amp;Z$5,TF_Akt,"&lt;&gt;"&amp;INDEX(TF_Akt,MATCH($A61&amp;"|"&amp;Z$5,TF_Dom,0)))&gt;0,AND(IF(Z$10="",0,MAX(0,ROUND((Z$13-SUMIFS(TF_Timer,TF_Nokkel,$A61&amp;"|"&amp;Z$5))*2,0)/2))&gt;0,INDEX(TF_Akt,MATCH($A61&amp;"|"&amp;Z$5,TF_Dom,0))&lt;&gt;"LMS")),"+",""),"?"))))</f>
        <v/>
      </c>
      <c r="AA61" s="13">
        <f>IF(OR($A61="",AA$5=""),"",IF(OR(AND(INDEX(TekFra,42)&gt;0,AA$5&lt;INDEX(TekFra,42)),AND(INDEX(TekTil,42)&gt;0,AA$5&gt;INDEX(TekTil,42))),"",IF(COUNTIFS(TF_Nokkel,$A61&amp;"|"&amp;AA$5)=0,IF(AA$10&lt;&gt;"","LMS",""),IFERROR(IF(SUMIFS(TF_Timer,TF_Nokkel,$A61&amp;"|"&amp;AA$5,TF_Akt,"LMS")+IF(AA$10="",0,MAX(0,ROUND((AA$13-SUMIFS(TF_Timer,TF_Nokkel,$A61&amp;"|"&amp;AA$5))*2,0)/2))&gt;INDEX(TF_AktSum,MATCH($A61&amp;"|"&amp;AA$5,TF_Dom,0)),"LMS",INDEX(AktKode,MATCH(INDEX(TF_Akt,MATCH($A61&amp;"|"&amp;AA$5,TF_Dom,0)),Aktiviteter,0)))&amp;IF(OR(COUNTIFS(TF_Nokkel,$A61&amp;"|"&amp;AA$5,TF_Akt,"&lt;&gt;"&amp;INDEX(TF_Akt,MATCH($A61&amp;"|"&amp;AA$5,TF_Dom,0)))&gt;0,AND(IF(AA$10="",0,MAX(0,ROUND((AA$13-SUMIFS(TF_Timer,TF_Nokkel,$A61&amp;"|"&amp;AA$5))*2,0)/2))&gt;0,INDEX(TF_Akt,MATCH($A61&amp;"|"&amp;AA$5,TF_Dom,0))&lt;&gt;"LMS")),"+",""),"?"))))</f>
        <v/>
      </c>
      <c r="AB61" s="13">
        <f>IF(OR($A61="",AB$5=""),"",IF(OR(AND(INDEX(TekFra,42)&gt;0,AB$5&lt;INDEX(TekFra,42)),AND(INDEX(TekTil,42)&gt;0,AB$5&gt;INDEX(TekTil,42))),"",IF(COUNTIFS(TF_Nokkel,$A61&amp;"|"&amp;AB$5)=0,IF(AB$10&lt;&gt;"","LMS",""),IFERROR(IF(SUMIFS(TF_Timer,TF_Nokkel,$A61&amp;"|"&amp;AB$5,TF_Akt,"LMS")+IF(AB$10="",0,MAX(0,ROUND((AB$13-SUMIFS(TF_Timer,TF_Nokkel,$A61&amp;"|"&amp;AB$5))*2,0)/2))&gt;INDEX(TF_AktSum,MATCH($A61&amp;"|"&amp;AB$5,TF_Dom,0)),"LMS",INDEX(AktKode,MATCH(INDEX(TF_Akt,MATCH($A61&amp;"|"&amp;AB$5,TF_Dom,0)),Aktiviteter,0)))&amp;IF(OR(COUNTIFS(TF_Nokkel,$A61&amp;"|"&amp;AB$5,TF_Akt,"&lt;&gt;"&amp;INDEX(TF_Akt,MATCH($A61&amp;"|"&amp;AB$5,TF_Dom,0)))&gt;0,AND(IF(AB$10="",0,MAX(0,ROUND((AB$13-SUMIFS(TF_Timer,TF_Nokkel,$A61&amp;"|"&amp;AB$5))*2,0)/2))&gt;0,INDEX(TF_Akt,MATCH($A61&amp;"|"&amp;AB$5,TF_Dom,0))&lt;&gt;"LMS")),"+",""),"?"))))</f>
        <v/>
      </c>
      <c r="AC61" s="13">
        <f>IF(OR($A61="",AC$5=""),"",IF(OR(AND(INDEX(TekFra,42)&gt;0,AC$5&lt;INDEX(TekFra,42)),AND(INDEX(TekTil,42)&gt;0,AC$5&gt;INDEX(TekTil,42))),"",IF(COUNTIFS(TF_Nokkel,$A61&amp;"|"&amp;AC$5)=0,IF(AC$10&lt;&gt;"","LMS",""),IFERROR(IF(SUMIFS(TF_Timer,TF_Nokkel,$A61&amp;"|"&amp;AC$5,TF_Akt,"LMS")+IF(AC$10="",0,MAX(0,ROUND((AC$13-SUMIFS(TF_Timer,TF_Nokkel,$A61&amp;"|"&amp;AC$5))*2,0)/2))&gt;INDEX(TF_AktSum,MATCH($A61&amp;"|"&amp;AC$5,TF_Dom,0)),"LMS",INDEX(AktKode,MATCH(INDEX(TF_Akt,MATCH($A61&amp;"|"&amp;AC$5,TF_Dom,0)),Aktiviteter,0)))&amp;IF(OR(COUNTIFS(TF_Nokkel,$A61&amp;"|"&amp;AC$5,TF_Akt,"&lt;&gt;"&amp;INDEX(TF_Akt,MATCH($A61&amp;"|"&amp;AC$5,TF_Dom,0)))&gt;0,AND(IF(AC$10="",0,MAX(0,ROUND((AC$13-SUMIFS(TF_Timer,TF_Nokkel,$A61&amp;"|"&amp;AC$5))*2,0)/2))&gt;0,INDEX(TF_Akt,MATCH($A61&amp;"|"&amp;AC$5,TF_Dom,0))&lt;&gt;"LMS")),"+",""),"?"))))</f>
        <v/>
      </c>
      <c r="AD61" s="13">
        <f>IF(OR($A61="",AD$5=""),"",IF(OR(AND(INDEX(TekFra,42)&gt;0,AD$5&lt;INDEX(TekFra,42)),AND(INDEX(TekTil,42)&gt;0,AD$5&gt;INDEX(TekTil,42))),"",IF(COUNTIFS(TF_Nokkel,$A61&amp;"|"&amp;AD$5)=0,IF(AD$10&lt;&gt;"","LMS",""),IFERROR(IF(SUMIFS(TF_Timer,TF_Nokkel,$A61&amp;"|"&amp;AD$5,TF_Akt,"LMS")+IF(AD$10="",0,MAX(0,ROUND((AD$13-SUMIFS(TF_Timer,TF_Nokkel,$A61&amp;"|"&amp;AD$5))*2,0)/2))&gt;INDEX(TF_AktSum,MATCH($A61&amp;"|"&amp;AD$5,TF_Dom,0)),"LMS",INDEX(AktKode,MATCH(INDEX(TF_Akt,MATCH($A61&amp;"|"&amp;AD$5,TF_Dom,0)),Aktiviteter,0)))&amp;IF(OR(COUNTIFS(TF_Nokkel,$A61&amp;"|"&amp;AD$5,TF_Akt,"&lt;&gt;"&amp;INDEX(TF_Akt,MATCH($A61&amp;"|"&amp;AD$5,TF_Dom,0)))&gt;0,AND(IF(AD$10="",0,MAX(0,ROUND((AD$13-SUMIFS(TF_Timer,TF_Nokkel,$A61&amp;"|"&amp;AD$5))*2,0)/2))&gt;0,INDEX(TF_Akt,MATCH($A61&amp;"|"&amp;AD$5,TF_Dom,0))&lt;&gt;"LMS")),"+",""),"?"))))</f>
        <v/>
      </c>
      <c r="AE61" s="13">
        <f>IF(OR($A61="",AE$5=""),"",IF(OR(AND(INDEX(TekFra,42)&gt;0,AE$5&lt;INDEX(TekFra,42)),AND(INDEX(TekTil,42)&gt;0,AE$5&gt;INDEX(TekTil,42))),"",IF(COUNTIFS(TF_Nokkel,$A61&amp;"|"&amp;AE$5)=0,IF(AE$10&lt;&gt;"","LMS",""),IFERROR(IF(SUMIFS(TF_Timer,TF_Nokkel,$A61&amp;"|"&amp;AE$5,TF_Akt,"LMS")+IF(AE$10="",0,MAX(0,ROUND((AE$13-SUMIFS(TF_Timer,TF_Nokkel,$A61&amp;"|"&amp;AE$5))*2,0)/2))&gt;INDEX(TF_AktSum,MATCH($A61&amp;"|"&amp;AE$5,TF_Dom,0)),"LMS",INDEX(AktKode,MATCH(INDEX(TF_Akt,MATCH($A61&amp;"|"&amp;AE$5,TF_Dom,0)),Aktiviteter,0)))&amp;IF(OR(COUNTIFS(TF_Nokkel,$A61&amp;"|"&amp;AE$5,TF_Akt,"&lt;&gt;"&amp;INDEX(TF_Akt,MATCH($A61&amp;"|"&amp;AE$5,TF_Dom,0)))&gt;0,AND(IF(AE$10="",0,MAX(0,ROUND((AE$13-SUMIFS(TF_Timer,TF_Nokkel,$A61&amp;"|"&amp;AE$5))*2,0)/2))&gt;0,INDEX(TF_Akt,MATCH($A61&amp;"|"&amp;AE$5,TF_Dom,0))&lt;&gt;"LMS")),"+",""),"?"))))</f>
        <v/>
      </c>
      <c r="AF61" s="13">
        <f>IF(OR($A61="",AF$5=""),"",IF(OR(AND(INDEX(TekFra,42)&gt;0,AF$5&lt;INDEX(TekFra,42)),AND(INDEX(TekTil,42)&gt;0,AF$5&gt;INDEX(TekTil,42))),"",IF(COUNTIFS(TF_Nokkel,$A61&amp;"|"&amp;AF$5)=0,IF(AF$10&lt;&gt;"","LMS",""),IFERROR(IF(SUMIFS(TF_Timer,TF_Nokkel,$A61&amp;"|"&amp;AF$5,TF_Akt,"LMS")+IF(AF$10="",0,MAX(0,ROUND((AF$13-SUMIFS(TF_Timer,TF_Nokkel,$A61&amp;"|"&amp;AF$5))*2,0)/2))&gt;INDEX(TF_AktSum,MATCH($A61&amp;"|"&amp;AF$5,TF_Dom,0)),"LMS",INDEX(AktKode,MATCH(INDEX(TF_Akt,MATCH($A61&amp;"|"&amp;AF$5,TF_Dom,0)),Aktiviteter,0)))&amp;IF(OR(COUNTIFS(TF_Nokkel,$A61&amp;"|"&amp;AF$5,TF_Akt,"&lt;&gt;"&amp;INDEX(TF_Akt,MATCH($A61&amp;"|"&amp;AF$5,TF_Dom,0)))&gt;0,AND(IF(AF$10="",0,MAX(0,ROUND((AF$13-SUMIFS(TF_Timer,TF_Nokkel,$A61&amp;"|"&amp;AF$5))*2,0)/2))&gt;0,INDEX(TF_Akt,MATCH($A61&amp;"|"&amp;AF$5,TF_Dom,0))&lt;&gt;"LMS")),"+",""),"?"))))</f>
        <v/>
      </c>
      <c r="AG61" s="13">
        <f>IF(OR($A61="",AG$5=""),"",IF(OR(AND(INDEX(TekFra,42)&gt;0,AG$5&lt;INDEX(TekFra,42)),AND(INDEX(TekTil,42)&gt;0,AG$5&gt;INDEX(TekTil,42))),"",IF(COUNTIFS(TF_Nokkel,$A61&amp;"|"&amp;AG$5)=0,IF(AG$10&lt;&gt;"","LMS",""),IFERROR(IF(SUMIFS(TF_Timer,TF_Nokkel,$A61&amp;"|"&amp;AG$5,TF_Akt,"LMS")+IF(AG$10="",0,MAX(0,ROUND((AG$13-SUMIFS(TF_Timer,TF_Nokkel,$A61&amp;"|"&amp;AG$5))*2,0)/2))&gt;INDEX(TF_AktSum,MATCH($A61&amp;"|"&amp;AG$5,TF_Dom,0)),"LMS",INDEX(AktKode,MATCH(INDEX(TF_Akt,MATCH($A61&amp;"|"&amp;AG$5,TF_Dom,0)),Aktiviteter,0)))&amp;IF(OR(COUNTIFS(TF_Nokkel,$A61&amp;"|"&amp;AG$5,TF_Akt,"&lt;&gt;"&amp;INDEX(TF_Akt,MATCH($A61&amp;"|"&amp;AG$5,TF_Dom,0)))&gt;0,AND(IF(AG$10="",0,MAX(0,ROUND((AG$13-SUMIFS(TF_Timer,TF_Nokkel,$A61&amp;"|"&amp;AG$5))*2,0)/2))&gt;0,INDEX(TF_Akt,MATCH($A61&amp;"|"&amp;AG$5,TF_Dom,0))&lt;&gt;"LMS")),"+",""),"?"))))</f>
        <v/>
      </c>
      <c r="AH61" s="2" t="n"/>
      <c r="AI61" s="2" t="n"/>
      <c r="AJ61" s="2" t="n"/>
    </row>
    <row r="62">
      <c r="A62" s="2">
        <f>INDEX(Teknikere,43)&amp;""</f>
        <v/>
      </c>
      <c r="B62" s="12">
        <f>IF(INDEX(TekFra,43)&gt;0,"ekstra","")</f>
        <v/>
      </c>
      <c r="C62" s="13">
        <f>IF(OR($A62="",C$5=""),"",IF(OR(AND(INDEX(TekFra,43)&gt;0,C$5&lt;INDEX(TekFra,43)),AND(INDEX(TekTil,43)&gt;0,C$5&gt;INDEX(TekTil,43))),"",IF(COUNTIFS(TF_Nokkel,$A62&amp;"|"&amp;C$5)=0,IF(C$10&lt;&gt;"","LMS",""),IFERROR(IF(SUMIFS(TF_Timer,TF_Nokkel,$A62&amp;"|"&amp;C$5,TF_Akt,"LMS")+IF(C$10="",0,MAX(0,ROUND((C$13-SUMIFS(TF_Timer,TF_Nokkel,$A62&amp;"|"&amp;C$5))*2,0)/2))&gt;INDEX(TF_AktSum,MATCH($A62&amp;"|"&amp;C$5,TF_Dom,0)),"LMS",INDEX(AktKode,MATCH(INDEX(TF_Akt,MATCH($A62&amp;"|"&amp;C$5,TF_Dom,0)),Aktiviteter,0)))&amp;IF(OR(COUNTIFS(TF_Nokkel,$A62&amp;"|"&amp;C$5,TF_Akt,"&lt;&gt;"&amp;INDEX(TF_Akt,MATCH($A62&amp;"|"&amp;C$5,TF_Dom,0)))&gt;0,AND(IF(C$10="",0,MAX(0,ROUND((C$13-SUMIFS(TF_Timer,TF_Nokkel,$A62&amp;"|"&amp;C$5))*2,0)/2))&gt;0,INDEX(TF_Akt,MATCH($A62&amp;"|"&amp;C$5,TF_Dom,0))&lt;&gt;"LMS")),"+",""),"?"))))</f>
        <v/>
      </c>
      <c r="D62" s="13">
        <f>IF(OR($A62="",D$5=""),"",IF(OR(AND(INDEX(TekFra,43)&gt;0,D$5&lt;INDEX(TekFra,43)),AND(INDEX(TekTil,43)&gt;0,D$5&gt;INDEX(TekTil,43))),"",IF(COUNTIFS(TF_Nokkel,$A62&amp;"|"&amp;D$5)=0,IF(D$10&lt;&gt;"","LMS",""),IFERROR(IF(SUMIFS(TF_Timer,TF_Nokkel,$A62&amp;"|"&amp;D$5,TF_Akt,"LMS")+IF(D$10="",0,MAX(0,ROUND((D$13-SUMIFS(TF_Timer,TF_Nokkel,$A62&amp;"|"&amp;D$5))*2,0)/2))&gt;INDEX(TF_AktSum,MATCH($A62&amp;"|"&amp;D$5,TF_Dom,0)),"LMS",INDEX(AktKode,MATCH(INDEX(TF_Akt,MATCH($A62&amp;"|"&amp;D$5,TF_Dom,0)),Aktiviteter,0)))&amp;IF(OR(COUNTIFS(TF_Nokkel,$A62&amp;"|"&amp;D$5,TF_Akt,"&lt;&gt;"&amp;INDEX(TF_Akt,MATCH($A62&amp;"|"&amp;D$5,TF_Dom,0)))&gt;0,AND(IF(D$10="",0,MAX(0,ROUND((D$13-SUMIFS(TF_Timer,TF_Nokkel,$A62&amp;"|"&amp;D$5))*2,0)/2))&gt;0,INDEX(TF_Akt,MATCH($A62&amp;"|"&amp;D$5,TF_Dom,0))&lt;&gt;"LMS")),"+",""),"?"))))</f>
        <v/>
      </c>
      <c r="E62" s="13">
        <f>IF(OR($A62="",E$5=""),"",IF(OR(AND(INDEX(TekFra,43)&gt;0,E$5&lt;INDEX(TekFra,43)),AND(INDEX(TekTil,43)&gt;0,E$5&gt;INDEX(TekTil,43))),"",IF(COUNTIFS(TF_Nokkel,$A62&amp;"|"&amp;E$5)=0,IF(E$10&lt;&gt;"","LMS",""),IFERROR(IF(SUMIFS(TF_Timer,TF_Nokkel,$A62&amp;"|"&amp;E$5,TF_Akt,"LMS")+IF(E$10="",0,MAX(0,ROUND((E$13-SUMIFS(TF_Timer,TF_Nokkel,$A62&amp;"|"&amp;E$5))*2,0)/2))&gt;INDEX(TF_AktSum,MATCH($A62&amp;"|"&amp;E$5,TF_Dom,0)),"LMS",INDEX(AktKode,MATCH(INDEX(TF_Akt,MATCH($A62&amp;"|"&amp;E$5,TF_Dom,0)),Aktiviteter,0)))&amp;IF(OR(COUNTIFS(TF_Nokkel,$A62&amp;"|"&amp;E$5,TF_Akt,"&lt;&gt;"&amp;INDEX(TF_Akt,MATCH($A62&amp;"|"&amp;E$5,TF_Dom,0)))&gt;0,AND(IF(E$10="",0,MAX(0,ROUND((E$13-SUMIFS(TF_Timer,TF_Nokkel,$A62&amp;"|"&amp;E$5))*2,0)/2))&gt;0,INDEX(TF_Akt,MATCH($A62&amp;"|"&amp;E$5,TF_Dom,0))&lt;&gt;"LMS")),"+",""),"?"))))</f>
        <v/>
      </c>
      <c r="F62" s="13">
        <f>IF(OR($A62="",F$5=""),"",IF(OR(AND(INDEX(TekFra,43)&gt;0,F$5&lt;INDEX(TekFra,43)),AND(INDEX(TekTil,43)&gt;0,F$5&gt;INDEX(TekTil,43))),"",IF(COUNTIFS(TF_Nokkel,$A62&amp;"|"&amp;F$5)=0,IF(F$10&lt;&gt;"","LMS",""),IFERROR(IF(SUMIFS(TF_Timer,TF_Nokkel,$A62&amp;"|"&amp;F$5,TF_Akt,"LMS")+IF(F$10="",0,MAX(0,ROUND((F$13-SUMIFS(TF_Timer,TF_Nokkel,$A62&amp;"|"&amp;F$5))*2,0)/2))&gt;INDEX(TF_AktSum,MATCH($A62&amp;"|"&amp;F$5,TF_Dom,0)),"LMS",INDEX(AktKode,MATCH(INDEX(TF_Akt,MATCH($A62&amp;"|"&amp;F$5,TF_Dom,0)),Aktiviteter,0)))&amp;IF(OR(COUNTIFS(TF_Nokkel,$A62&amp;"|"&amp;F$5,TF_Akt,"&lt;&gt;"&amp;INDEX(TF_Akt,MATCH($A62&amp;"|"&amp;F$5,TF_Dom,0)))&gt;0,AND(IF(F$10="",0,MAX(0,ROUND((F$13-SUMIFS(TF_Timer,TF_Nokkel,$A62&amp;"|"&amp;F$5))*2,0)/2))&gt;0,INDEX(TF_Akt,MATCH($A62&amp;"|"&amp;F$5,TF_Dom,0))&lt;&gt;"LMS")),"+",""),"?"))))</f>
        <v/>
      </c>
      <c r="G62" s="13">
        <f>IF(OR($A62="",G$5=""),"",IF(OR(AND(INDEX(TekFra,43)&gt;0,G$5&lt;INDEX(TekFra,43)),AND(INDEX(TekTil,43)&gt;0,G$5&gt;INDEX(TekTil,43))),"",IF(COUNTIFS(TF_Nokkel,$A62&amp;"|"&amp;G$5)=0,IF(G$10&lt;&gt;"","LMS",""),IFERROR(IF(SUMIFS(TF_Timer,TF_Nokkel,$A62&amp;"|"&amp;G$5,TF_Akt,"LMS")+IF(G$10="",0,MAX(0,ROUND((G$13-SUMIFS(TF_Timer,TF_Nokkel,$A62&amp;"|"&amp;G$5))*2,0)/2))&gt;INDEX(TF_AktSum,MATCH($A62&amp;"|"&amp;G$5,TF_Dom,0)),"LMS",INDEX(AktKode,MATCH(INDEX(TF_Akt,MATCH($A62&amp;"|"&amp;G$5,TF_Dom,0)),Aktiviteter,0)))&amp;IF(OR(COUNTIFS(TF_Nokkel,$A62&amp;"|"&amp;G$5,TF_Akt,"&lt;&gt;"&amp;INDEX(TF_Akt,MATCH($A62&amp;"|"&amp;G$5,TF_Dom,0)))&gt;0,AND(IF(G$10="",0,MAX(0,ROUND((G$13-SUMIFS(TF_Timer,TF_Nokkel,$A62&amp;"|"&amp;G$5))*2,0)/2))&gt;0,INDEX(TF_Akt,MATCH($A62&amp;"|"&amp;G$5,TF_Dom,0))&lt;&gt;"LMS")),"+",""),"?"))))</f>
        <v/>
      </c>
      <c r="H62" s="13">
        <f>IF(OR($A62="",H$5=""),"",IF(OR(AND(INDEX(TekFra,43)&gt;0,H$5&lt;INDEX(TekFra,43)),AND(INDEX(TekTil,43)&gt;0,H$5&gt;INDEX(TekTil,43))),"",IF(COUNTIFS(TF_Nokkel,$A62&amp;"|"&amp;H$5)=0,IF(H$10&lt;&gt;"","LMS",""),IFERROR(IF(SUMIFS(TF_Timer,TF_Nokkel,$A62&amp;"|"&amp;H$5,TF_Akt,"LMS")+IF(H$10="",0,MAX(0,ROUND((H$13-SUMIFS(TF_Timer,TF_Nokkel,$A62&amp;"|"&amp;H$5))*2,0)/2))&gt;INDEX(TF_AktSum,MATCH($A62&amp;"|"&amp;H$5,TF_Dom,0)),"LMS",INDEX(AktKode,MATCH(INDEX(TF_Akt,MATCH($A62&amp;"|"&amp;H$5,TF_Dom,0)),Aktiviteter,0)))&amp;IF(OR(COUNTIFS(TF_Nokkel,$A62&amp;"|"&amp;H$5,TF_Akt,"&lt;&gt;"&amp;INDEX(TF_Akt,MATCH($A62&amp;"|"&amp;H$5,TF_Dom,0)))&gt;0,AND(IF(H$10="",0,MAX(0,ROUND((H$13-SUMIFS(TF_Timer,TF_Nokkel,$A62&amp;"|"&amp;H$5))*2,0)/2))&gt;0,INDEX(TF_Akt,MATCH($A62&amp;"|"&amp;H$5,TF_Dom,0))&lt;&gt;"LMS")),"+",""),"?"))))</f>
        <v/>
      </c>
      <c r="I62" s="13">
        <f>IF(OR($A62="",I$5=""),"",IF(OR(AND(INDEX(TekFra,43)&gt;0,I$5&lt;INDEX(TekFra,43)),AND(INDEX(TekTil,43)&gt;0,I$5&gt;INDEX(TekTil,43))),"",IF(COUNTIFS(TF_Nokkel,$A62&amp;"|"&amp;I$5)=0,IF(I$10&lt;&gt;"","LMS",""),IFERROR(IF(SUMIFS(TF_Timer,TF_Nokkel,$A62&amp;"|"&amp;I$5,TF_Akt,"LMS")+IF(I$10="",0,MAX(0,ROUND((I$13-SUMIFS(TF_Timer,TF_Nokkel,$A62&amp;"|"&amp;I$5))*2,0)/2))&gt;INDEX(TF_AktSum,MATCH($A62&amp;"|"&amp;I$5,TF_Dom,0)),"LMS",INDEX(AktKode,MATCH(INDEX(TF_Akt,MATCH($A62&amp;"|"&amp;I$5,TF_Dom,0)),Aktiviteter,0)))&amp;IF(OR(COUNTIFS(TF_Nokkel,$A62&amp;"|"&amp;I$5,TF_Akt,"&lt;&gt;"&amp;INDEX(TF_Akt,MATCH($A62&amp;"|"&amp;I$5,TF_Dom,0)))&gt;0,AND(IF(I$10="",0,MAX(0,ROUND((I$13-SUMIFS(TF_Timer,TF_Nokkel,$A62&amp;"|"&amp;I$5))*2,0)/2))&gt;0,INDEX(TF_Akt,MATCH($A62&amp;"|"&amp;I$5,TF_Dom,0))&lt;&gt;"LMS")),"+",""),"?"))))</f>
        <v/>
      </c>
      <c r="J62" s="13">
        <f>IF(OR($A62="",J$5=""),"",IF(OR(AND(INDEX(TekFra,43)&gt;0,J$5&lt;INDEX(TekFra,43)),AND(INDEX(TekTil,43)&gt;0,J$5&gt;INDEX(TekTil,43))),"",IF(COUNTIFS(TF_Nokkel,$A62&amp;"|"&amp;J$5)=0,IF(J$10&lt;&gt;"","LMS",""),IFERROR(IF(SUMIFS(TF_Timer,TF_Nokkel,$A62&amp;"|"&amp;J$5,TF_Akt,"LMS")+IF(J$10="",0,MAX(0,ROUND((J$13-SUMIFS(TF_Timer,TF_Nokkel,$A62&amp;"|"&amp;J$5))*2,0)/2))&gt;INDEX(TF_AktSum,MATCH($A62&amp;"|"&amp;J$5,TF_Dom,0)),"LMS",INDEX(AktKode,MATCH(INDEX(TF_Akt,MATCH($A62&amp;"|"&amp;J$5,TF_Dom,0)),Aktiviteter,0)))&amp;IF(OR(COUNTIFS(TF_Nokkel,$A62&amp;"|"&amp;J$5,TF_Akt,"&lt;&gt;"&amp;INDEX(TF_Akt,MATCH($A62&amp;"|"&amp;J$5,TF_Dom,0)))&gt;0,AND(IF(J$10="",0,MAX(0,ROUND((J$13-SUMIFS(TF_Timer,TF_Nokkel,$A62&amp;"|"&amp;J$5))*2,0)/2))&gt;0,INDEX(TF_Akt,MATCH($A62&amp;"|"&amp;J$5,TF_Dom,0))&lt;&gt;"LMS")),"+",""),"?"))))</f>
        <v/>
      </c>
      <c r="K62" s="13">
        <f>IF(OR($A62="",K$5=""),"",IF(OR(AND(INDEX(TekFra,43)&gt;0,K$5&lt;INDEX(TekFra,43)),AND(INDEX(TekTil,43)&gt;0,K$5&gt;INDEX(TekTil,43))),"",IF(COUNTIFS(TF_Nokkel,$A62&amp;"|"&amp;K$5)=0,IF(K$10&lt;&gt;"","LMS",""),IFERROR(IF(SUMIFS(TF_Timer,TF_Nokkel,$A62&amp;"|"&amp;K$5,TF_Akt,"LMS")+IF(K$10="",0,MAX(0,ROUND((K$13-SUMIFS(TF_Timer,TF_Nokkel,$A62&amp;"|"&amp;K$5))*2,0)/2))&gt;INDEX(TF_AktSum,MATCH($A62&amp;"|"&amp;K$5,TF_Dom,0)),"LMS",INDEX(AktKode,MATCH(INDEX(TF_Akt,MATCH($A62&amp;"|"&amp;K$5,TF_Dom,0)),Aktiviteter,0)))&amp;IF(OR(COUNTIFS(TF_Nokkel,$A62&amp;"|"&amp;K$5,TF_Akt,"&lt;&gt;"&amp;INDEX(TF_Akt,MATCH($A62&amp;"|"&amp;K$5,TF_Dom,0)))&gt;0,AND(IF(K$10="",0,MAX(0,ROUND((K$13-SUMIFS(TF_Timer,TF_Nokkel,$A62&amp;"|"&amp;K$5))*2,0)/2))&gt;0,INDEX(TF_Akt,MATCH($A62&amp;"|"&amp;K$5,TF_Dom,0))&lt;&gt;"LMS")),"+",""),"?"))))</f>
        <v/>
      </c>
      <c r="L62" s="13">
        <f>IF(OR($A62="",L$5=""),"",IF(OR(AND(INDEX(TekFra,43)&gt;0,L$5&lt;INDEX(TekFra,43)),AND(INDEX(TekTil,43)&gt;0,L$5&gt;INDEX(TekTil,43))),"",IF(COUNTIFS(TF_Nokkel,$A62&amp;"|"&amp;L$5)=0,IF(L$10&lt;&gt;"","LMS",""),IFERROR(IF(SUMIFS(TF_Timer,TF_Nokkel,$A62&amp;"|"&amp;L$5,TF_Akt,"LMS")+IF(L$10="",0,MAX(0,ROUND((L$13-SUMIFS(TF_Timer,TF_Nokkel,$A62&amp;"|"&amp;L$5))*2,0)/2))&gt;INDEX(TF_AktSum,MATCH($A62&amp;"|"&amp;L$5,TF_Dom,0)),"LMS",INDEX(AktKode,MATCH(INDEX(TF_Akt,MATCH($A62&amp;"|"&amp;L$5,TF_Dom,0)),Aktiviteter,0)))&amp;IF(OR(COUNTIFS(TF_Nokkel,$A62&amp;"|"&amp;L$5,TF_Akt,"&lt;&gt;"&amp;INDEX(TF_Akt,MATCH($A62&amp;"|"&amp;L$5,TF_Dom,0)))&gt;0,AND(IF(L$10="",0,MAX(0,ROUND((L$13-SUMIFS(TF_Timer,TF_Nokkel,$A62&amp;"|"&amp;L$5))*2,0)/2))&gt;0,INDEX(TF_Akt,MATCH($A62&amp;"|"&amp;L$5,TF_Dom,0))&lt;&gt;"LMS")),"+",""),"?"))))</f>
        <v/>
      </c>
      <c r="M62" s="13">
        <f>IF(OR($A62="",M$5=""),"",IF(OR(AND(INDEX(TekFra,43)&gt;0,M$5&lt;INDEX(TekFra,43)),AND(INDEX(TekTil,43)&gt;0,M$5&gt;INDEX(TekTil,43))),"",IF(COUNTIFS(TF_Nokkel,$A62&amp;"|"&amp;M$5)=0,IF(M$10&lt;&gt;"","LMS",""),IFERROR(IF(SUMIFS(TF_Timer,TF_Nokkel,$A62&amp;"|"&amp;M$5,TF_Akt,"LMS")+IF(M$10="",0,MAX(0,ROUND((M$13-SUMIFS(TF_Timer,TF_Nokkel,$A62&amp;"|"&amp;M$5))*2,0)/2))&gt;INDEX(TF_AktSum,MATCH($A62&amp;"|"&amp;M$5,TF_Dom,0)),"LMS",INDEX(AktKode,MATCH(INDEX(TF_Akt,MATCH($A62&amp;"|"&amp;M$5,TF_Dom,0)),Aktiviteter,0)))&amp;IF(OR(COUNTIFS(TF_Nokkel,$A62&amp;"|"&amp;M$5,TF_Akt,"&lt;&gt;"&amp;INDEX(TF_Akt,MATCH($A62&amp;"|"&amp;M$5,TF_Dom,0)))&gt;0,AND(IF(M$10="",0,MAX(0,ROUND((M$13-SUMIFS(TF_Timer,TF_Nokkel,$A62&amp;"|"&amp;M$5))*2,0)/2))&gt;0,INDEX(TF_Akt,MATCH($A62&amp;"|"&amp;M$5,TF_Dom,0))&lt;&gt;"LMS")),"+",""),"?"))))</f>
        <v/>
      </c>
      <c r="N62" s="13">
        <f>IF(OR($A62="",N$5=""),"",IF(OR(AND(INDEX(TekFra,43)&gt;0,N$5&lt;INDEX(TekFra,43)),AND(INDEX(TekTil,43)&gt;0,N$5&gt;INDEX(TekTil,43))),"",IF(COUNTIFS(TF_Nokkel,$A62&amp;"|"&amp;N$5)=0,IF(N$10&lt;&gt;"","LMS",""),IFERROR(IF(SUMIFS(TF_Timer,TF_Nokkel,$A62&amp;"|"&amp;N$5,TF_Akt,"LMS")+IF(N$10="",0,MAX(0,ROUND((N$13-SUMIFS(TF_Timer,TF_Nokkel,$A62&amp;"|"&amp;N$5))*2,0)/2))&gt;INDEX(TF_AktSum,MATCH($A62&amp;"|"&amp;N$5,TF_Dom,0)),"LMS",INDEX(AktKode,MATCH(INDEX(TF_Akt,MATCH($A62&amp;"|"&amp;N$5,TF_Dom,0)),Aktiviteter,0)))&amp;IF(OR(COUNTIFS(TF_Nokkel,$A62&amp;"|"&amp;N$5,TF_Akt,"&lt;&gt;"&amp;INDEX(TF_Akt,MATCH($A62&amp;"|"&amp;N$5,TF_Dom,0)))&gt;0,AND(IF(N$10="",0,MAX(0,ROUND((N$13-SUMIFS(TF_Timer,TF_Nokkel,$A62&amp;"|"&amp;N$5))*2,0)/2))&gt;0,INDEX(TF_Akt,MATCH($A62&amp;"|"&amp;N$5,TF_Dom,0))&lt;&gt;"LMS")),"+",""),"?"))))</f>
        <v/>
      </c>
      <c r="O62" s="13">
        <f>IF(OR($A62="",O$5=""),"",IF(OR(AND(INDEX(TekFra,43)&gt;0,O$5&lt;INDEX(TekFra,43)),AND(INDEX(TekTil,43)&gt;0,O$5&gt;INDEX(TekTil,43))),"",IF(COUNTIFS(TF_Nokkel,$A62&amp;"|"&amp;O$5)=0,IF(O$10&lt;&gt;"","LMS",""),IFERROR(IF(SUMIFS(TF_Timer,TF_Nokkel,$A62&amp;"|"&amp;O$5,TF_Akt,"LMS")+IF(O$10="",0,MAX(0,ROUND((O$13-SUMIFS(TF_Timer,TF_Nokkel,$A62&amp;"|"&amp;O$5))*2,0)/2))&gt;INDEX(TF_AktSum,MATCH($A62&amp;"|"&amp;O$5,TF_Dom,0)),"LMS",INDEX(AktKode,MATCH(INDEX(TF_Akt,MATCH($A62&amp;"|"&amp;O$5,TF_Dom,0)),Aktiviteter,0)))&amp;IF(OR(COUNTIFS(TF_Nokkel,$A62&amp;"|"&amp;O$5,TF_Akt,"&lt;&gt;"&amp;INDEX(TF_Akt,MATCH($A62&amp;"|"&amp;O$5,TF_Dom,0)))&gt;0,AND(IF(O$10="",0,MAX(0,ROUND((O$13-SUMIFS(TF_Timer,TF_Nokkel,$A62&amp;"|"&amp;O$5))*2,0)/2))&gt;0,INDEX(TF_Akt,MATCH($A62&amp;"|"&amp;O$5,TF_Dom,0))&lt;&gt;"LMS")),"+",""),"?"))))</f>
        <v/>
      </c>
      <c r="P62" s="13">
        <f>IF(OR($A62="",P$5=""),"",IF(OR(AND(INDEX(TekFra,43)&gt;0,P$5&lt;INDEX(TekFra,43)),AND(INDEX(TekTil,43)&gt;0,P$5&gt;INDEX(TekTil,43))),"",IF(COUNTIFS(TF_Nokkel,$A62&amp;"|"&amp;P$5)=0,IF(P$10&lt;&gt;"","LMS",""),IFERROR(IF(SUMIFS(TF_Timer,TF_Nokkel,$A62&amp;"|"&amp;P$5,TF_Akt,"LMS")+IF(P$10="",0,MAX(0,ROUND((P$13-SUMIFS(TF_Timer,TF_Nokkel,$A62&amp;"|"&amp;P$5))*2,0)/2))&gt;INDEX(TF_AktSum,MATCH($A62&amp;"|"&amp;P$5,TF_Dom,0)),"LMS",INDEX(AktKode,MATCH(INDEX(TF_Akt,MATCH($A62&amp;"|"&amp;P$5,TF_Dom,0)),Aktiviteter,0)))&amp;IF(OR(COUNTIFS(TF_Nokkel,$A62&amp;"|"&amp;P$5,TF_Akt,"&lt;&gt;"&amp;INDEX(TF_Akt,MATCH($A62&amp;"|"&amp;P$5,TF_Dom,0)))&gt;0,AND(IF(P$10="",0,MAX(0,ROUND((P$13-SUMIFS(TF_Timer,TF_Nokkel,$A62&amp;"|"&amp;P$5))*2,0)/2))&gt;0,INDEX(TF_Akt,MATCH($A62&amp;"|"&amp;P$5,TF_Dom,0))&lt;&gt;"LMS")),"+",""),"?"))))</f>
        <v/>
      </c>
      <c r="Q62" s="13">
        <f>IF(OR($A62="",Q$5=""),"",IF(OR(AND(INDEX(TekFra,43)&gt;0,Q$5&lt;INDEX(TekFra,43)),AND(INDEX(TekTil,43)&gt;0,Q$5&gt;INDEX(TekTil,43))),"",IF(COUNTIFS(TF_Nokkel,$A62&amp;"|"&amp;Q$5)=0,IF(Q$10&lt;&gt;"","LMS",""),IFERROR(IF(SUMIFS(TF_Timer,TF_Nokkel,$A62&amp;"|"&amp;Q$5,TF_Akt,"LMS")+IF(Q$10="",0,MAX(0,ROUND((Q$13-SUMIFS(TF_Timer,TF_Nokkel,$A62&amp;"|"&amp;Q$5))*2,0)/2))&gt;INDEX(TF_AktSum,MATCH($A62&amp;"|"&amp;Q$5,TF_Dom,0)),"LMS",INDEX(AktKode,MATCH(INDEX(TF_Akt,MATCH($A62&amp;"|"&amp;Q$5,TF_Dom,0)),Aktiviteter,0)))&amp;IF(OR(COUNTIFS(TF_Nokkel,$A62&amp;"|"&amp;Q$5,TF_Akt,"&lt;&gt;"&amp;INDEX(TF_Akt,MATCH($A62&amp;"|"&amp;Q$5,TF_Dom,0)))&gt;0,AND(IF(Q$10="",0,MAX(0,ROUND((Q$13-SUMIFS(TF_Timer,TF_Nokkel,$A62&amp;"|"&amp;Q$5))*2,0)/2))&gt;0,INDEX(TF_Akt,MATCH($A62&amp;"|"&amp;Q$5,TF_Dom,0))&lt;&gt;"LMS")),"+",""),"?"))))</f>
        <v/>
      </c>
      <c r="R62" s="13">
        <f>IF(OR($A62="",R$5=""),"",IF(OR(AND(INDEX(TekFra,43)&gt;0,R$5&lt;INDEX(TekFra,43)),AND(INDEX(TekTil,43)&gt;0,R$5&gt;INDEX(TekTil,43))),"",IF(COUNTIFS(TF_Nokkel,$A62&amp;"|"&amp;R$5)=0,IF(R$10&lt;&gt;"","LMS",""),IFERROR(IF(SUMIFS(TF_Timer,TF_Nokkel,$A62&amp;"|"&amp;R$5,TF_Akt,"LMS")+IF(R$10="",0,MAX(0,ROUND((R$13-SUMIFS(TF_Timer,TF_Nokkel,$A62&amp;"|"&amp;R$5))*2,0)/2))&gt;INDEX(TF_AktSum,MATCH($A62&amp;"|"&amp;R$5,TF_Dom,0)),"LMS",INDEX(AktKode,MATCH(INDEX(TF_Akt,MATCH($A62&amp;"|"&amp;R$5,TF_Dom,0)),Aktiviteter,0)))&amp;IF(OR(COUNTIFS(TF_Nokkel,$A62&amp;"|"&amp;R$5,TF_Akt,"&lt;&gt;"&amp;INDEX(TF_Akt,MATCH($A62&amp;"|"&amp;R$5,TF_Dom,0)))&gt;0,AND(IF(R$10="",0,MAX(0,ROUND((R$13-SUMIFS(TF_Timer,TF_Nokkel,$A62&amp;"|"&amp;R$5))*2,0)/2))&gt;0,INDEX(TF_Akt,MATCH($A62&amp;"|"&amp;R$5,TF_Dom,0))&lt;&gt;"LMS")),"+",""),"?"))))</f>
        <v/>
      </c>
      <c r="S62" s="13">
        <f>IF(OR($A62="",S$5=""),"",IF(OR(AND(INDEX(TekFra,43)&gt;0,S$5&lt;INDEX(TekFra,43)),AND(INDEX(TekTil,43)&gt;0,S$5&gt;INDEX(TekTil,43))),"",IF(COUNTIFS(TF_Nokkel,$A62&amp;"|"&amp;S$5)=0,IF(S$10&lt;&gt;"","LMS",""),IFERROR(IF(SUMIFS(TF_Timer,TF_Nokkel,$A62&amp;"|"&amp;S$5,TF_Akt,"LMS")+IF(S$10="",0,MAX(0,ROUND((S$13-SUMIFS(TF_Timer,TF_Nokkel,$A62&amp;"|"&amp;S$5))*2,0)/2))&gt;INDEX(TF_AktSum,MATCH($A62&amp;"|"&amp;S$5,TF_Dom,0)),"LMS",INDEX(AktKode,MATCH(INDEX(TF_Akt,MATCH($A62&amp;"|"&amp;S$5,TF_Dom,0)),Aktiviteter,0)))&amp;IF(OR(COUNTIFS(TF_Nokkel,$A62&amp;"|"&amp;S$5,TF_Akt,"&lt;&gt;"&amp;INDEX(TF_Akt,MATCH($A62&amp;"|"&amp;S$5,TF_Dom,0)))&gt;0,AND(IF(S$10="",0,MAX(0,ROUND((S$13-SUMIFS(TF_Timer,TF_Nokkel,$A62&amp;"|"&amp;S$5))*2,0)/2))&gt;0,INDEX(TF_Akt,MATCH($A62&amp;"|"&amp;S$5,TF_Dom,0))&lt;&gt;"LMS")),"+",""),"?"))))</f>
        <v/>
      </c>
      <c r="T62" s="13">
        <f>IF(OR($A62="",T$5=""),"",IF(OR(AND(INDEX(TekFra,43)&gt;0,T$5&lt;INDEX(TekFra,43)),AND(INDEX(TekTil,43)&gt;0,T$5&gt;INDEX(TekTil,43))),"",IF(COUNTIFS(TF_Nokkel,$A62&amp;"|"&amp;T$5)=0,IF(T$10&lt;&gt;"","LMS",""),IFERROR(IF(SUMIFS(TF_Timer,TF_Nokkel,$A62&amp;"|"&amp;T$5,TF_Akt,"LMS")+IF(T$10="",0,MAX(0,ROUND((T$13-SUMIFS(TF_Timer,TF_Nokkel,$A62&amp;"|"&amp;T$5))*2,0)/2))&gt;INDEX(TF_AktSum,MATCH($A62&amp;"|"&amp;T$5,TF_Dom,0)),"LMS",INDEX(AktKode,MATCH(INDEX(TF_Akt,MATCH($A62&amp;"|"&amp;T$5,TF_Dom,0)),Aktiviteter,0)))&amp;IF(OR(COUNTIFS(TF_Nokkel,$A62&amp;"|"&amp;T$5,TF_Akt,"&lt;&gt;"&amp;INDEX(TF_Akt,MATCH($A62&amp;"|"&amp;T$5,TF_Dom,0)))&gt;0,AND(IF(T$10="",0,MAX(0,ROUND((T$13-SUMIFS(TF_Timer,TF_Nokkel,$A62&amp;"|"&amp;T$5))*2,0)/2))&gt;0,INDEX(TF_Akt,MATCH($A62&amp;"|"&amp;T$5,TF_Dom,0))&lt;&gt;"LMS")),"+",""),"?"))))</f>
        <v/>
      </c>
      <c r="U62" s="13">
        <f>IF(OR($A62="",U$5=""),"",IF(OR(AND(INDEX(TekFra,43)&gt;0,U$5&lt;INDEX(TekFra,43)),AND(INDEX(TekTil,43)&gt;0,U$5&gt;INDEX(TekTil,43))),"",IF(COUNTIFS(TF_Nokkel,$A62&amp;"|"&amp;U$5)=0,IF(U$10&lt;&gt;"","LMS",""),IFERROR(IF(SUMIFS(TF_Timer,TF_Nokkel,$A62&amp;"|"&amp;U$5,TF_Akt,"LMS")+IF(U$10="",0,MAX(0,ROUND((U$13-SUMIFS(TF_Timer,TF_Nokkel,$A62&amp;"|"&amp;U$5))*2,0)/2))&gt;INDEX(TF_AktSum,MATCH($A62&amp;"|"&amp;U$5,TF_Dom,0)),"LMS",INDEX(AktKode,MATCH(INDEX(TF_Akt,MATCH($A62&amp;"|"&amp;U$5,TF_Dom,0)),Aktiviteter,0)))&amp;IF(OR(COUNTIFS(TF_Nokkel,$A62&amp;"|"&amp;U$5,TF_Akt,"&lt;&gt;"&amp;INDEX(TF_Akt,MATCH($A62&amp;"|"&amp;U$5,TF_Dom,0)))&gt;0,AND(IF(U$10="",0,MAX(0,ROUND((U$13-SUMIFS(TF_Timer,TF_Nokkel,$A62&amp;"|"&amp;U$5))*2,0)/2))&gt;0,INDEX(TF_Akt,MATCH($A62&amp;"|"&amp;U$5,TF_Dom,0))&lt;&gt;"LMS")),"+",""),"?"))))</f>
        <v/>
      </c>
      <c r="V62" s="13">
        <f>IF(OR($A62="",V$5=""),"",IF(OR(AND(INDEX(TekFra,43)&gt;0,V$5&lt;INDEX(TekFra,43)),AND(INDEX(TekTil,43)&gt;0,V$5&gt;INDEX(TekTil,43))),"",IF(COUNTIFS(TF_Nokkel,$A62&amp;"|"&amp;V$5)=0,IF(V$10&lt;&gt;"","LMS",""),IFERROR(IF(SUMIFS(TF_Timer,TF_Nokkel,$A62&amp;"|"&amp;V$5,TF_Akt,"LMS")+IF(V$10="",0,MAX(0,ROUND((V$13-SUMIFS(TF_Timer,TF_Nokkel,$A62&amp;"|"&amp;V$5))*2,0)/2))&gt;INDEX(TF_AktSum,MATCH($A62&amp;"|"&amp;V$5,TF_Dom,0)),"LMS",INDEX(AktKode,MATCH(INDEX(TF_Akt,MATCH($A62&amp;"|"&amp;V$5,TF_Dom,0)),Aktiviteter,0)))&amp;IF(OR(COUNTIFS(TF_Nokkel,$A62&amp;"|"&amp;V$5,TF_Akt,"&lt;&gt;"&amp;INDEX(TF_Akt,MATCH($A62&amp;"|"&amp;V$5,TF_Dom,0)))&gt;0,AND(IF(V$10="",0,MAX(0,ROUND((V$13-SUMIFS(TF_Timer,TF_Nokkel,$A62&amp;"|"&amp;V$5))*2,0)/2))&gt;0,INDEX(TF_Akt,MATCH($A62&amp;"|"&amp;V$5,TF_Dom,0))&lt;&gt;"LMS")),"+",""),"?"))))</f>
        <v/>
      </c>
      <c r="W62" s="13">
        <f>IF(OR($A62="",W$5=""),"",IF(OR(AND(INDEX(TekFra,43)&gt;0,W$5&lt;INDEX(TekFra,43)),AND(INDEX(TekTil,43)&gt;0,W$5&gt;INDEX(TekTil,43))),"",IF(COUNTIFS(TF_Nokkel,$A62&amp;"|"&amp;W$5)=0,IF(W$10&lt;&gt;"","LMS",""),IFERROR(IF(SUMIFS(TF_Timer,TF_Nokkel,$A62&amp;"|"&amp;W$5,TF_Akt,"LMS")+IF(W$10="",0,MAX(0,ROUND((W$13-SUMIFS(TF_Timer,TF_Nokkel,$A62&amp;"|"&amp;W$5))*2,0)/2))&gt;INDEX(TF_AktSum,MATCH($A62&amp;"|"&amp;W$5,TF_Dom,0)),"LMS",INDEX(AktKode,MATCH(INDEX(TF_Akt,MATCH($A62&amp;"|"&amp;W$5,TF_Dom,0)),Aktiviteter,0)))&amp;IF(OR(COUNTIFS(TF_Nokkel,$A62&amp;"|"&amp;W$5,TF_Akt,"&lt;&gt;"&amp;INDEX(TF_Akt,MATCH($A62&amp;"|"&amp;W$5,TF_Dom,0)))&gt;0,AND(IF(W$10="",0,MAX(0,ROUND((W$13-SUMIFS(TF_Timer,TF_Nokkel,$A62&amp;"|"&amp;W$5))*2,0)/2))&gt;0,INDEX(TF_Akt,MATCH($A62&amp;"|"&amp;W$5,TF_Dom,0))&lt;&gt;"LMS")),"+",""),"?"))))</f>
        <v/>
      </c>
      <c r="X62" s="13">
        <f>IF(OR($A62="",X$5=""),"",IF(OR(AND(INDEX(TekFra,43)&gt;0,X$5&lt;INDEX(TekFra,43)),AND(INDEX(TekTil,43)&gt;0,X$5&gt;INDEX(TekTil,43))),"",IF(COUNTIFS(TF_Nokkel,$A62&amp;"|"&amp;X$5)=0,IF(X$10&lt;&gt;"","LMS",""),IFERROR(IF(SUMIFS(TF_Timer,TF_Nokkel,$A62&amp;"|"&amp;X$5,TF_Akt,"LMS")+IF(X$10="",0,MAX(0,ROUND((X$13-SUMIFS(TF_Timer,TF_Nokkel,$A62&amp;"|"&amp;X$5))*2,0)/2))&gt;INDEX(TF_AktSum,MATCH($A62&amp;"|"&amp;X$5,TF_Dom,0)),"LMS",INDEX(AktKode,MATCH(INDEX(TF_Akt,MATCH($A62&amp;"|"&amp;X$5,TF_Dom,0)),Aktiviteter,0)))&amp;IF(OR(COUNTIFS(TF_Nokkel,$A62&amp;"|"&amp;X$5,TF_Akt,"&lt;&gt;"&amp;INDEX(TF_Akt,MATCH($A62&amp;"|"&amp;X$5,TF_Dom,0)))&gt;0,AND(IF(X$10="",0,MAX(0,ROUND((X$13-SUMIFS(TF_Timer,TF_Nokkel,$A62&amp;"|"&amp;X$5))*2,0)/2))&gt;0,INDEX(TF_Akt,MATCH($A62&amp;"|"&amp;X$5,TF_Dom,0))&lt;&gt;"LMS")),"+",""),"?"))))</f>
        <v/>
      </c>
      <c r="Y62" s="13">
        <f>IF(OR($A62="",Y$5=""),"",IF(OR(AND(INDEX(TekFra,43)&gt;0,Y$5&lt;INDEX(TekFra,43)),AND(INDEX(TekTil,43)&gt;0,Y$5&gt;INDEX(TekTil,43))),"",IF(COUNTIFS(TF_Nokkel,$A62&amp;"|"&amp;Y$5)=0,IF(Y$10&lt;&gt;"","LMS",""),IFERROR(IF(SUMIFS(TF_Timer,TF_Nokkel,$A62&amp;"|"&amp;Y$5,TF_Akt,"LMS")+IF(Y$10="",0,MAX(0,ROUND((Y$13-SUMIFS(TF_Timer,TF_Nokkel,$A62&amp;"|"&amp;Y$5))*2,0)/2))&gt;INDEX(TF_AktSum,MATCH($A62&amp;"|"&amp;Y$5,TF_Dom,0)),"LMS",INDEX(AktKode,MATCH(INDEX(TF_Akt,MATCH($A62&amp;"|"&amp;Y$5,TF_Dom,0)),Aktiviteter,0)))&amp;IF(OR(COUNTIFS(TF_Nokkel,$A62&amp;"|"&amp;Y$5,TF_Akt,"&lt;&gt;"&amp;INDEX(TF_Akt,MATCH($A62&amp;"|"&amp;Y$5,TF_Dom,0)))&gt;0,AND(IF(Y$10="",0,MAX(0,ROUND((Y$13-SUMIFS(TF_Timer,TF_Nokkel,$A62&amp;"|"&amp;Y$5))*2,0)/2))&gt;0,INDEX(TF_Akt,MATCH($A62&amp;"|"&amp;Y$5,TF_Dom,0))&lt;&gt;"LMS")),"+",""),"?"))))</f>
        <v/>
      </c>
      <c r="Z62" s="13">
        <f>IF(OR($A62="",Z$5=""),"",IF(OR(AND(INDEX(TekFra,43)&gt;0,Z$5&lt;INDEX(TekFra,43)),AND(INDEX(TekTil,43)&gt;0,Z$5&gt;INDEX(TekTil,43))),"",IF(COUNTIFS(TF_Nokkel,$A62&amp;"|"&amp;Z$5)=0,IF(Z$10&lt;&gt;"","LMS",""),IFERROR(IF(SUMIFS(TF_Timer,TF_Nokkel,$A62&amp;"|"&amp;Z$5,TF_Akt,"LMS")+IF(Z$10="",0,MAX(0,ROUND((Z$13-SUMIFS(TF_Timer,TF_Nokkel,$A62&amp;"|"&amp;Z$5))*2,0)/2))&gt;INDEX(TF_AktSum,MATCH($A62&amp;"|"&amp;Z$5,TF_Dom,0)),"LMS",INDEX(AktKode,MATCH(INDEX(TF_Akt,MATCH($A62&amp;"|"&amp;Z$5,TF_Dom,0)),Aktiviteter,0)))&amp;IF(OR(COUNTIFS(TF_Nokkel,$A62&amp;"|"&amp;Z$5,TF_Akt,"&lt;&gt;"&amp;INDEX(TF_Akt,MATCH($A62&amp;"|"&amp;Z$5,TF_Dom,0)))&gt;0,AND(IF(Z$10="",0,MAX(0,ROUND((Z$13-SUMIFS(TF_Timer,TF_Nokkel,$A62&amp;"|"&amp;Z$5))*2,0)/2))&gt;0,INDEX(TF_Akt,MATCH($A62&amp;"|"&amp;Z$5,TF_Dom,0))&lt;&gt;"LMS")),"+",""),"?"))))</f>
        <v/>
      </c>
      <c r="AA62" s="13">
        <f>IF(OR($A62="",AA$5=""),"",IF(OR(AND(INDEX(TekFra,43)&gt;0,AA$5&lt;INDEX(TekFra,43)),AND(INDEX(TekTil,43)&gt;0,AA$5&gt;INDEX(TekTil,43))),"",IF(COUNTIFS(TF_Nokkel,$A62&amp;"|"&amp;AA$5)=0,IF(AA$10&lt;&gt;"","LMS",""),IFERROR(IF(SUMIFS(TF_Timer,TF_Nokkel,$A62&amp;"|"&amp;AA$5,TF_Akt,"LMS")+IF(AA$10="",0,MAX(0,ROUND((AA$13-SUMIFS(TF_Timer,TF_Nokkel,$A62&amp;"|"&amp;AA$5))*2,0)/2))&gt;INDEX(TF_AktSum,MATCH($A62&amp;"|"&amp;AA$5,TF_Dom,0)),"LMS",INDEX(AktKode,MATCH(INDEX(TF_Akt,MATCH($A62&amp;"|"&amp;AA$5,TF_Dom,0)),Aktiviteter,0)))&amp;IF(OR(COUNTIFS(TF_Nokkel,$A62&amp;"|"&amp;AA$5,TF_Akt,"&lt;&gt;"&amp;INDEX(TF_Akt,MATCH($A62&amp;"|"&amp;AA$5,TF_Dom,0)))&gt;0,AND(IF(AA$10="",0,MAX(0,ROUND((AA$13-SUMIFS(TF_Timer,TF_Nokkel,$A62&amp;"|"&amp;AA$5))*2,0)/2))&gt;0,INDEX(TF_Akt,MATCH($A62&amp;"|"&amp;AA$5,TF_Dom,0))&lt;&gt;"LMS")),"+",""),"?"))))</f>
        <v/>
      </c>
      <c r="AB62" s="13">
        <f>IF(OR($A62="",AB$5=""),"",IF(OR(AND(INDEX(TekFra,43)&gt;0,AB$5&lt;INDEX(TekFra,43)),AND(INDEX(TekTil,43)&gt;0,AB$5&gt;INDEX(TekTil,43))),"",IF(COUNTIFS(TF_Nokkel,$A62&amp;"|"&amp;AB$5)=0,IF(AB$10&lt;&gt;"","LMS",""),IFERROR(IF(SUMIFS(TF_Timer,TF_Nokkel,$A62&amp;"|"&amp;AB$5,TF_Akt,"LMS")+IF(AB$10="",0,MAX(0,ROUND((AB$13-SUMIFS(TF_Timer,TF_Nokkel,$A62&amp;"|"&amp;AB$5))*2,0)/2))&gt;INDEX(TF_AktSum,MATCH($A62&amp;"|"&amp;AB$5,TF_Dom,0)),"LMS",INDEX(AktKode,MATCH(INDEX(TF_Akt,MATCH($A62&amp;"|"&amp;AB$5,TF_Dom,0)),Aktiviteter,0)))&amp;IF(OR(COUNTIFS(TF_Nokkel,$A62&amp;"|"&amp;AB$5,TF_Akt,"&lt;&gt;"&amp;INDEX(TF_Akt,MATCH($A62&amp;"|"&amp;AB$5,TF_Dom,0)))&gt;0,AND(IF(AB$10="",0,MAX(0,ROUND((AB$13-SUMIFS(TF_Timer,TF_Nokkel,$A62&amp;"|"&amp;AB$5))*2,0)/2))&gt;0,INDEX(TF_Akt,MATCH($A62&amp;"|"&amp;AB$5,TF_Dom,0))&lt;&gt;"LMS")),"+",""),"?"))))</f>
        <v/>
      </c>
      <c r="AC62" s="13">
        <f>IF(OR($A62="",AC$5=""),"",IF(OR(AND(INDEX(TekFra,43)&gt;0,AC$5&lt;INDEX(TekFra,43)),AND(INDEX(TekTil,43)&gt;0,AC$5&gt;INDEX(TekTil,43))),"",IF(COUNTIFS(TF_Nokkel,$A62&amp;"|"&amp;AC$5)=0,IF(AC$10&lt;&gt;"","LMS",""),IFERROR(IF(SUMIFS(TF_Timer,TF_Nokkel,$A62&amp;"|"&amp;AC$5,TF_Akt,"LMS")+IF(AC$10="",0,MAX(0,ROUND((AC$13-SUMIFS(TF_Timer,TF_Nokkel,$A62&amp;"|"&amp;AC$5))*2,0)/2))&gt;INDEX(TF_AktSum,MATCH($A62&amp;"|"&amp;AC$5,TF_Dom,0)),"LMS",INDEX(AktKode,MATCH(INDEX(TF_Akt,MATCH($A62&amp;"|"&amp;AC$5,TF_Dom,0)),Aktiviteter,0)))&amp;IF(OR(COUNTIFS(TF_Nokkel,$A62&amp;"|"&amp;AC$5,TF_Akt,"&lt;&gt;"&amp;INDEX(TF_Akt,MATCH($A62&amp;"|"&amp;AC$5,TF_Dom,0)))&gt;0,AND(IF(AC$10="",0,MAX(0,ROUND((AC$13-SUMIFS(TF_Timer,TF_Nokkel,$A62&amp;"|"&amp;AC$5))*2,0)/2))&gt;0,INDEX(TF_Akt,MATCH($A62&amp;"|"&amp;AC$5,TF_Dom,0))&lt;&gt;"LMS")),"+",""),"?"))))</f>
        <v/>
      </c>
      <c r="AD62" s="13">
        <f>IF(OR($A62="",AD$5=""),"",IF(OR(AND(INDEX(TekFra,43)&gt;0,AD$5&lt;INDEX(TekFra,43)),AND(INDEX(TekTil,43)&gt;0,AD$5&gt;INDEX(TekTil,43))),"",IF(COUNTIFS(TF_Nokkel,$A62&amp;"|"&amp;AD$5)=0,IF(AD$10&lt;&gt;"","LMS",""),IFERROR(IF(SUMIFS(TF_Timer,TF_Nokkel,$A62&amp;"|"&amp;AD$5,TF_Akt,"LMS")+IF(AD$10="",0,MAX(0,ROUND((AD$13-SUMIFS(TF_Timer,TF_Nokkel,$A62&amp;"|"&amp;AD$5))*2,0)/2))&gt;INDEX(TF_AktSum,MATCH($A62&amp;"|"&amp;AD$5,TF_Dom,0)),"LMS",INDEX(AktKode,MATCH(INDEX(TF_Akt,MATCH($A62&amp;"|"&amp;AD$5,TF_Dom,0)),Aktiviteter,0)))&amp;IF(OR(COUNTIFS(TF_Nokkel,$A62&amp;"|"&amp;AD$5,TF_Akt,"&lt;&gt;"&amp;INDEX(TF_Akt,MATCH($A62&amp;"|"&amp;AD$5,TF_Dom,0)))&gt;0,AND(IF(AD$10="",0,MAX(0,ROUND((AD$13-SUMIFS(TF_Timer,TF_Nokkel,$A62&amp;"|"&amp;AD$5))*2,0)/2))&gt;0,INDEX(TF_Akt,MATCH($A62&amp;"|"&amp;AD$5,TF_Dom,0))&lt;&gt;"LMS")),"+",""),"?"))))</f>
        <v/>
      </c>
      <c r="AE62" s="13">
        <f>IF(OR($A62="",AE$5=""),"",IF(OR(AND(INDEX(TekFra,43)&gt;0,AE$5&lt;INDEX(TekFra,43)),AND(INDEX(TekTil,43)&gt;0,AE$5&gt;INDEX(TekTil,43))),"",IF(COUNTIFS(TF_Nokkel,$A62&amp;"|"&amp;AE$5)=0,IF(AE$10&lt;&gt;"","LMS",""),IFERROR(IF(SUMIFS(TF_Timer,TF_Nokkel,$A62&amp;"|"&amp;AE$5,TF_Akt,"LMS")+IF(AE$10="",0,MAX(0,ROUND((AE$13-SUMIFS(TF_Timer,TF_Nokkel,$A62&amp;"|"&amp;AE$5))*2,0)/2))&gt;INDEX(TF_AktSum,MATCH($A62&amp;"|"&amp;AE$5,TF_Dom,0)),"LMS",INDEX(AktKode,MATCH(INDEX(TF_Akt,MATCH($A62&amp;"|"&amp;AE$5,TF_Dom,0)),Aktiviteter,0)))&amp;IF(OR(COUNTIFS(TF_Nokkel,$A62&amp;"|"&amp;AE$5,TF_Akt,"&lt;&gt;"&amp;INDEX(TF_Akt,MATCH($A62&amp;"|"&amp;AE$5,TF_Dom,0)))&gt;0,AND(IF(AE$10="",0,MAX(0,ROUND((AE$13-SUMIFS(TF_Timer,TF_Nokkel,$A62&amp;"|"&amp;AE$5))*2,0)/2))&gt;0,INDEX(TF_Akt,MATCH($A62&amp;"|"&amp;AE$5,TF_Dom,0))&lt;&gt;"LMS")),"+",""),"?"))))</f>
        <v/>
      </c>
      <c r="AF62" s="13">
        <f>IF(OR($A62="",AF$5=""),"",IF(OR(AND(INDEX(TekFra,43)&gt;0,AF$5&lt;INDEX(TekFra,43)),AND(INDEX(TekTil,43)&gt;0,AF$5&gt;INDEX(TekTil,43))),"",IF(COUNTIFS(TF_Nokkel,$A62&amp;"|"&amp;AF$5)=0,IF(AF$10&lt;&gt;"","LMS",""),IFERROR(IF(SUMIFS(TF_Timer,TF_Nokkel,$A62&amp;"|"&amp;AF$5,TF_Akt,"LMS")+IF(AF$10="",0,MAX(0,ROUND((AF$13-SUMIFS(TF_Timer,TF_Nokkel,$A62&amp;"|"&amp;AF$5))*2,0)/2))&gt;INDEX(TF_AktSum,MATCH($A62&amp;"|"&amp;AF$5,TF_Dom,0)),"LMS",INDEX(AktKode,MATCH(INDEX(TF_Akt,MATCH($A62&amp;"|"&amp;AF$5,TF_Dom,0)),Aktiviteter,0)))&amp;IF(OR(COUNTIFS(TF_Nokkel,$A62&amp;"|"&amp;AF$5,TF_Akt,"&lt;&gt;"&amp;INDEX(TF_Akt,MATCH($A62&amp;"|"&amp;AF$5,TF_Dom,0)))&gt;0,AND(IF(AF$10="",0,MAX(0,ROUND((AF$13-SUMIFS(TF_Timer,TF_Nokkel,$A62&amp;"|"&amp;AF$5))*2,0)/2))&gt;0,INDEX(TF_Akt,MATCH($A62&amp;"|"&amp;AF$5,TF_Dom,0))&lt;&gt;"LMS")),"+",""),"?"))))</f>
        <v/>
      </c>
      <c r="AG62" s="13">
        <f>IF(OR($A62="",AG$5=""),"",IF(OR(AND(INDEX(TekFra,43)&gt;0,AG$5&lt;INDEX(TekFra,43)),AND(INDEX(TekTil,43)&gt;0,AG$5&gt;INDEX(TekTil,43))),"",IF(COUNTIFS(TF_Nokkel,$A62&amp;"|"&amp;AG$5)=0,IF(AG$10&lt;&gt;"","LMS",""),IFERROR(IF(SUMIFS(TF_Timer,TF_Nokkel,$A62&amp;"|"&amp;AG$5,TF_Akt,"LMS")+IF(AG$10="",0,MAX(0,ROUND((AG$13-SUMIFS(TF_Timer,TF_Nokkel,$A62&amp;"|"&amp;AG$5))*2,0)/2))&gt;INDEX(TF_AktSum,MATCH($A62&amp;"|"&amp;AG$5,TF_Dom,0)),"LMS",INDEX(AktKode,MATCH(INDEX(TF_Akt,MATCH($A62&amp;"|"&amp;AG$5,TF_Dom,0)),Aktiviteter,0)))&amp;IF(OR(COUNTIFS(TF_Nokkel,$A62&amp;"|"&amp;AG$5,TF_Akt,"&lt;&gt;"&amp;INDEX(TF_Akt,MATCH($A62&amp;"|"&amp;AG$5,TF_Dom,0)))&gt;0,AND(IF(AG$10="",0,MAX(0,ROUND((AG$13-SUMIFS(TF_Timer,TF_Nokkel,$A62&amp;"|"&amp;AG$5))*2,0)/2))&gt;0,INDEX(TF_Akt,MATCH($A62&amp;"|"&amp;AG$5,TF_Dom,0))&lt;&gt;"LMS")),"+",""),"?"))))</f>
        <v/>
      </c>
      <c r="AH62" s="2" t="n"/>
      <c r="AI62" s="2" t="n"/>
      <c r="AJ62" s="2" t="n"/>
    </row>
    <row r="63">
      <c r="A63" s="2">
        <f>INDEX(Teknikere,44)&amp;""</f>
        <v/>
      </c>
      <c r="B63" s="12">
        <f>IF(INDEX(TekFra,44)&gt;0,"ekstra","")</f>
        <v/>
      </c>
      <c r="C63" s="13">
        <f>IF(OR($A63="",C$5=""),"",IF(OR(AND(INDEX(TekFra,44)&gt;0,C$5&lt;INDEX(TekFra,44)),AND(INDEX(TekTil,44)&gt;0,C$5&gt;INDEX(TekTil,44))),"",IF(COUNTIFS(TF_Nokkel,$A63&amp;"|"&amp;C$5)=0,IF(C$10&lt;&gt;"","LMS",""),IFERROR(IF(SUMIFS(TF_Timer,TF_Nokkel,$A63&amp;"|"&amp;C$5,TF_Akt,"LMS")+IF(C$10="",0,MAX(0,ROUND((C$13-SUMIFS(TF_Timer,TF_Nokkel,$A63&amp;"|"&amp;C$5))*2,0)/2))&gt;INDEX(TF_AktSum,MATCH($A63&amp;"|"&amp;C$5,TF_Dom,0)),"LMS",INDEX(AktKode,MATCH(INDEX(TF_Akt,MATCH($A63&amp;"|"&amp;C$5,TF_Dom,0)),Aktiviteter,0)))&amp;IF(OR(COUNTIFS(TF_Nokkel,$A63&amp;"|"&amp;C$5,TF_Akt,"&lt;&gt;"&amp;INDEX(TF_Akt,MATCH($A63&amp;"|"&amp;C$5,TF_Dom,0)))&gt;0,AND(IF(C$10="",0,MAX(0,ROUND((C$13-SUMIFS(TF_Timer,TF_Nokkel,$A63&amp;"|"&amp;C$5))*2,0)/2))&gt;0,INDEX(TF_Akt,MATCH($A63&amp;"|"&amp;C$5,TF_Dom,0))&lt;&gt;"LMS")),"+",""),"?"))))</f>
        <v/>
      </c>
      <c r="D63" s="13">
        <f>IF(OR($A63="",D$5=""),"",IF(OR(AND(INDEX(TekFra,44)&gt;0,D$5&lt;INDEX(TekFra,44)),AND(INDEX(TekTil,44)&gt;0,D$5&gt;INDEX(TekTil,44))),"",IF(COUNTIFS(TF_Nokkel,$A63&amp;"|"&amp;D$5)=0,IF(D$10&lt;&gt;"","LMS",""),IFERROR(IF(SUMIFS(TF_Timer,TF_Nokkel,$A63&amp;"|"&amp;D$5,TF_Akt,"LMS")+IF(D$10="",0,MAX(0,ROUND((D$13-SUMIFS(TF_Timer,TF_Nokkel,$A63&amp;"|"&amp;D$5))*2,0)/2))&gt;INDEX(TF_AktSum,MATCH($A63&amp;"|"&amp;D$5,TF_Dom,0)),"LMS",INDEX(AktKode,MATCH(INDEX(TF_Akt,MATCH($A63&amp;"|"&amp;D$5,TF_Dom,0)),Aktiviteter,0)))&amp;IF(OR(COUNTIFS(TF_Nokkel,$A63&amp;"|"&amp;D$5,TF_Akt,"&lt;&gt;"&amp;INDEX(TF_Akt,MATCH($A63&amp;"|"&amp;D$5,TF_Dom,0)))&gt;0,AND(IF(D$10="",0,MAX(0,ROUND((D$13-SUMIFS(TF_Timer,TF_Nokkel,$A63&amp;"|"&amp;D$5))*2,0)/2))&gt;0,INDEX(TF_Akt,MATCH($A63&amp;"|"&amp;D$5,TF_Dom,0))&lt;&gt;"LMS")),"+",""),"?"))))</f>
        <v/>
      </c>
      <c r="E63" s="13">
        <f>IF(OR($A63="",E$5=""),"",IF(OR(AND(INDEX(TekFra,44)&gt;0,E$5&lt;INDEX(TekFra,44)),AND(INDEX(TekTil,44)&gt;0,E$5&gt;INDEX(TekTil,44))),"",IF(COUNTIFS(TF_Nokkel,$A63&amp;"|"&amp;E$5)=0,IF(E$10&lt;&gt;"","LMS",""),IFERROR(IF(SUMIFS(TF_Timer,TF_Nokkel,$A63&amp;"|"&amp;E$5,TF_Akt,"LMS")+IF(E$10="",0,MAX(0,ROUND((E$13-SUMIFS(TF_Timer,TF_Nokkel,$A63&amp;"|"&amp;E$5))*2,0)/2))&gt;INDEX(TF_AktSum,MATCH($A63&amp;"|"&amp;E$5,TF_Dom,0)),"LMS",INDEX(AktKode,MATCH(INDEX(TF_Akt,MATCH($A63&amp;"|"&amp;E$5,TF_Dom,0)),Aktiviteter,0)))&amp;IF(OR(COUNTIFS(TF_Nokkel,$A63&amp;"|"&amp;E$5,TF_Akt,"&lt;&gt;"&amp;INDEX(TF_Akt,MATCH($A63&amp;"|"&amp;E$5,TF_Dom,0)))&gt;0,AND(IF(E$10="",0,MAX(0,ROUND((E$13-SUMIFS(TF_Timer,TF_Nokkel,$A63&amp;"|"&amp;E$5))*2,0)/2))&gt;0,INDEX(TF_Akt,MATCH($A63&amp;"|"&amp;E$5,TF_Dom,0))&lt;&gt;"LMS")),"+",""),"?"))))</f>
        <v/>
      </c>
      <c r="F63" s="13">
        <f>IF(OR($A63="",F$5=""),"",IF(OR(AND(INDEX(TekFra,44)&gt;0,F$5&lt;INDEX(TekFra,44)),AND(INDEX(TekTil,44)&gt;0,F$5&gt;INDEX(TekTil,44))),"",IF(COUNTIFS(TF_Nokkel,$A63&amp;"|"&amp;F$5)=0,IF(F$10&lt;&gt;"","LMS",""),IFERROR(IF(SUMIFS(TF_Timer,TF_Nokkel,$A63&amp;"|"&amp;F$5,TF_Akt,"LMS")+IF(F$10="",0,MAX(0,ROUND((F$13-SUMIFS(TF_Timer,TF_Nokkel,$A63&amp;"|"&amp;F$5))*2,0)/2))&gt;INDEX(TF_AktSum,MATCH($A63&amp;"|"&amp;F$5,TF_Dom,0)),"LMS",INDEX(AktKode,MATCH(INDEX(TF_Akt,MATCH($A63&amp;"|"&amp;F$5,TF_Dom,0)),Aktiviteter,0)))&amp;IF(OR(COUNTIFS(TF_Nokkel,$A63&amp;"|"&amp;F$5,TF_Akt,"&lt;&gt;"&amp;INDEX(TF_Akt,MATCH($A63&amp;"|"&amp;F$5,TF_Dom,0)))&gt;0,AND(IF(F$10="",0,MAX(0,ROUND((F$13-SUMIFS(TF_Timer,TF_Nokkel,$A63&amp;"|"&amp;F$5))*2,0)/2))&gt;0,INDEX(TF_Akt,MATCH($A63&amp;"|"&amp;F$5,TF_Dom,0))&lt;&gt;"LMS")),"+",""),"?"))))</f>
        <v/>
      </c>
      <c r="G63" s="13">
        <f>IF(OR($A63="",G$5=""),"",IF(OR(AND(INDEX(TekFra,44)&gt;0,G$5&lt;INDEX(TekFra,44)),AND(INDEX(TekTil,44)&gt;0,G$5&gt;INDEX(TekTil,44))),"",IF(COUNTIFS(TF_Nokkel,$A63&amp;"|"&amp;G$5)=0,IF(G$10&lt;&gt;"","LMS",""),IFERROR(IF(SUMIFS(TF_Timer,TF_Nokkel,$A63&amp;"|"&amp;G$5,TF_Akt,"LMS")+IF(G$10="",0,MAX(0,ROUND((G$13-SUMIFS(TF_Timer,TF_Nokkel,$A63&amp;"|"&amp;G$5))*2,0)/2))&gt;INDEX(TF_AktSum,MATCH($A63&amp;"|"&amp;G$5,TF_Dom,0)),"LMS",INDEX(AktKode,MATCH(INDEX(TF_Akt,MATCH($A63&amp;"|"&amp;G$5,TF_Dom,0)),Aktiviteter,0)))&amp;IF(OR(COUNTIFS(TF_Nokkel,$A63&amp;"|"&amp;G$5,TF_Akt,"&lt;&gt;"&amp;INDEX(TF_Akt,MATCH($A63&amp;"|"&amp;G$5,TF_Dom,0)))&gt;0,AND(IF(G$10="",0,MAX(0,ROUND((G$13-SUMIFS(TF_Timer,TF_Nokkel,$A63&amp;"|"&amp;G$5))*2,0)/2))&gt;0,INDEX(TF_Akt,MATCH($A63&amp;"|"&amp;G$5,TF_Dom,0))&lt;&gt;"LMS")),"+",""),"?"))))</f>
        <v/>
      </c>
      <c r="H63" s="13">
        <f>IF(OR($A63="",H$5=""),"",IF(OR(AND(INDEX(TekFra,44)&gt;0,H$5&lt;INDEX(TekFra,44)),AND(INDEX(TekTil,44)&gt;0,H$5&gt;INDEX(TekTil,44))),"",IF(COUNTIFS(TF_Nokkel,$A63&amp;"|"&amp;H$5)=0,IF(H$10&lt;&gt;"","LMS",""),IFERROR(IF(SUMIFS(TF_Timer,TF_Nokkel,$A63&amp;"|"&amp;H$5,TF_Akt,"LMS")+IF(H$10="",0,MAX(0,ROUND((H$13-SUMIFS(TF_Timer,TF_Nokkel,$A63&amp;"|"&amp;H$5))*2,0)/2))&gt;INDEX(TF_AktSum,MATCH($A63&amp;"|"&amp;H$5,TF_Dom,0)),"LMS",INDEX(AktKode,MATCH(INDEX(TF_Akt,MATCH($A63&amp;"|"&amp;H$5,TF_Dom,0)),Aktiviteter,0)))&amp;IF(OR(COUNTIFS(TF_Nokkel,$A63&amp;"|"&amp;H$5,TF_Akt,"&lt;&gt;"&amp;INDEX(TF_Akt,MATCH($A63&amp;"|"&amp;H$5,TF_Dom,0)))&gt;0,AND(IF(H$10="",0,MAX(0,ROUND((H$13-SUMIFS(TF_Timer,TF_Nokkel,$A63&amp;"|"&amp;H$5))*2,0)/2))&gt;0,INDEX(TF_Akt,MATCH($A63&amp;"|"&amp;H$5,TF_Dom,0))&lt;&gt;"LMS")),"+",""),"?"))))</f>
        <v/>
      </c>
      <c r="I63" s="13">
        <f>IF(OR($A63="",I$5=""),"",IF(OR(AND(INDEX(TekFra,44)&gt;0,I$5&lt;INDEX(TekFra,44)),AND(INDEX(TekTil,44)&gt;0,I$5&gt;INDEX(TekTil,44))),"",IF(COUNTIFS(TF_Nokkel,$A63&amp;"|"&amp;I$5)=0,IF(I$10&lt;&gt;"","LMS",""),IFERROR(IF(SUMIFS(TF_Timer,TF_Nokkel,$A63&amp;"|"&amp;I$5,TF_Akt,"LMS")+IF(I$10="",0,MAX(0,ROUND((I$13-SUMIFS(TF_Timer,TF_Nokkel,$A63&amp;"|"&amp;I$5))*2,0)/2))&gt;INDEX(TF_AktSum,MATCH($A63&amp;"|"&amp;I$5,TF_Dom,0)),"LMS",INDEX(AktKode,MATCH(INDEX(TF_Akt,MATCH($A63&amp;"|"&amp;I$5,TF_Dom,0)),Aktiviteter,0)))&amp;IF(OR(COUNTIFS(TF_Nokkel,$A63&amp;"|"&amp;I$5,TF_Akt,"&lt;&gt;"&amp;INDEX(TF_Akt,MATCH($A63&amp;"|"&amp;I$5,TF_Dom,0)))&gt;0,AND(IF(I$10="",0,MAX(0,ROUND((I$13-SUMIFS(TF_Timer,TF_Nokkel,$A63&amp;"|"&amp;I$5))*2,0)/2))&gt;0,INDEX(TF_Akt,MATCH($A63&amp;"|"&amp;I$5,TF_Dom,0))&lt;&gt;"LMS")),"+",""),"?"))))</f>
        <v/>
      </c>
      <c r="J63" s="13">
        <f>IF(OR($A63="",J$5=""),"",IF(OR(AND(INDEX(TekFra,44)&gt;0,J$5&lt;INDEX(TekFra,44)),AND(INDEX(TekTil,44)&gt;0,J$5&gt;INDEX(TekTil,44))),"",IF(COUNTIFS(TF_Nokkel,$A63&amp;"|"&amp;J$5)=0,IF(J$10&lt;&gt;"","LMS",""),IFERROR(IF(SUMIFS(TF_Timer,TF_Nokkel,$A63&amp;"|"&amp;J$5,TF_Akt,"LMS")+IF(J$10="",0,MAX(0,ROUND((J$13-SUMIFS(TF_Timer,TF_Nokkel,$A63&amp;"|"&amp;J$5))*2,0)/2))&gt;INDEX(TF_AktSum,MATCH($A63&amp;"|"&amp;J$5,TF_Dom,0)),"LMS",INDEX(AktKode,MATCH(INDEX(TF_Akt,MATCH($A63&amp;"|"&amp;J$5,TF_Dom,0)),Aktiviteter,0)))&amp;IF(OR(COUNTIFS(TF_Nokkel,$A63&amp;"|"&amp;J$5,TF_Akt,"&lt;&gt;"&amp;INDEX(TF_Akt,MATCH($A63&amp;"|"&amp;J$5,TF_Dom,0)))&gt;0,AND(IF(J$10="",0,MAX(0,ROUND((J$13-SUMIFS(TF_Timer,TF_Nokkel,$A63&amp;"|"&amp;J$5))*2,0)/2))&gt;0,INDEX(TF_Akt,MATCH($A63&amp;"|"&amp;J$5,TF_Dom,0))&lt;&gt;"LMS")),"+",""),"?"))))</f>
        <v/>
      </c>
      <c r="K63" s="13">
        <f>IF(OR($A63="",K$5=""),"",IF(OR(AND(INDEX(TekFra,44)&gt;0,K$5&lt;INDEX(TekFra,44)),AND(INDEX(TekTil,44)&gt;0,K$5&gt;INDEX(TekTil,44))),"",IF(COUNTIFS(TF_Nokkel,$A63&amp;"|"&amp;K$5)=0,IF(K$10&lt;&gt;"","LMS",""),IFERROR(IF(SUMIFS(TF_Timer,TF_Nokkel,$A63&amp;"|"&amp;K$5,TF_Akt,"LMS")+IF(K$10="",0,MAX(0,ROUND((K$13-SUMIFS(TF_Timer,TF_Nokkel,$A63&amp;"|"&amp;K$5))*2,0)/2))&gt;INDEX(TF_AktSum,MATCH($A63&amp;"|"&amp;K$5,TF_Dom,0)),"LMS",INDEX(AktKode,MATCH(INDEX(TF_Akt,MATCH($A63&amp;"|"&amp;K$5,TF_Dom,0)),Aktiviteter,0)))&amp;IF(OR(COUNTIFS(TF_Nokkel,$A63&amp;"|"&amp;K$5,TF_Akt,"&lt;&gt;"&amp;INDEX(TF_Akt,MATCH($A63&amp;"|"&amp;K$5,TF_Dom,0)))&gt;0,AND(IF(K$10="",0,MAX(0,ROUND((K$13-SUMIFS(TF_Timer,TF_Nokkel,$A63&amp;"|"&amp;K$5))*2,0)/2))&gt;0,INDEX(TF_Akt,MATCH($A63&amp;"|"&amp;K$5,TF_Dom,0))&lt;&gt;"LMS")),"+",""),"?"))))</f>
        <v/>
      </c>
      <c r="L63" s="13">
        <f>IF(OR($A63="",L$5=""),"",IF(OR(AND(INDEX(TekFra,44)&gt;0,L$5&lt;INDEX(TekFra,44)),AND(INDEX(TekTil,44)&gt;0,L$5&gt;INDEX(TekTil,44))),"",IF(COUNTIFS(TF_Nokkel,$A63&amp;"|"&amp;L$5)=0,IF(L$10&lt;&gt;"","LMS",""),IFERROR(IF(SUMIFS(TF_Timer,TF_Nokkel,$A63&amp;"|"&amp;L$5,TF_Akt,"LMS")+IF(L$10="",0,MAX(0,ROUND((L$13-SUMIFS(TF_Timer,TF_Nokkel,$A63&amp;"|"&amp;L$5))*2,0)/2))&gt;INDEX(TF_AktSum,MATCH($A63&amp;"|"&amp;L$5,TF_Dom,0)),"LMS",INDEX(AktKode,MATCH(INDEX(TF_Akt,MATCH($A63&amp;"|"&amp;L$5,TF_Dom,0)),Aktiviteter,0)))&amp;IF(OR(COUNTIFS(TF_Nokkel,$A63&amp;"|"&amp;L$5,TF_Akt,"&lt;&gt;"&amp;INDEX(TF_Akt,MATCH($A63&amp;"|"&amp;L$5,TF_Dom,0)))&gt;0,AND(IF(L$10="",0,MAX(0,ROUND((L$13-SUMIFS(TF_Timer,TF_Nokkel,$A63&amp;"|"&amp;L$5))*2,0)/2))&gt;0,INDEX(TF_Akt,MATCH($A63&amp;"|"&amp;L$5,TF_Dom,0))&lt;&gt;"LMS")),"+",""),"?"))))</f>
        <v/>
      </c>
      <c r="M63" s="13">
        <f>IF(OR($A63="",M$5=""),"",IF(OR(AND(INDEX(TekFra,44)&gt;0,M$5&lt;INDEX(TekFra,44)),AND(INDEX(TekTil,44)&gt;0,M$5&gt;INDEX(TekTil,44))),"",IF(COUNTIFS(TF_Nokkel,$A63&amp;"|"&amp;M$5)=0,IF(M$10&lt;&gt;"","LMS",""),IFERROR(IF(SUMIFS(TF_Timer,TF_Nokkel,$A63&amp;"|"&amp;M$5,TF_Akt,"LMS")+IF(M$10="",0,MAX(0,ROUND((M$13-SUMIFS(TF_Timer,TF_Nokkel,$A63&amp;"|"&amp;M$5))*2,0)/2))&gt;INDEX(TF_AktSum,MATCH($A63&amp;"|"&amp;M$5,TF_Dom,0)),"LMS",INDEX(AktKode,MATCH(INDEX(TF_Akt,MATCH($A63&amp;"|"&amp;M$5,TF_Dom,0)),Aktiviteter,0)))&amp;IF(OR(COUNTIFS(TF_Nokkel,$A63&amp;"|"&amp;M$5,TF_Akt,"&lt;&gt;"&amp;INDEX(TF_Akt,MATCH($A63&amp;"|"&amp;M$5,TF_Dom,0)))&gt;0,AND(IF(M$10="",0,MAX(0,ROUND((M$13-SUMIFS(TF_Timer,TF_Nokkel,$A63&amp;"|"&amp;M$5))*2,0)/2))&gt;0,INDEX(TF_Akt,MATCH($A63&amp;"|"&amp;M$5,TF_Dom,0))&lt;&gt;"LMS")),"+",""),"?"))))</f>
        <v/>
      </c>
      <c r="N63" s="13">
        <f>IF(OR($A63="",N$5=""),"",IF(OR(AND(INDEX(TekFra,44)&gt;0,N$5&lt;INDEX(TekFra,44)),AND(INDEX(TekTil,44)&gt;0,N$5&gt;INDEX(TekTil,44))),"",IF(COUNTIFS(TF_Nokkel,$A63&amp;"|"&amp;N$5)=0,IF(N$10&lt;&gt;"","LMS",""),IFERROR(IF(SUMIFS(TF_Timer,TF_Nokkel,$A63&amp;"|"&amp;N$5,TF_Akt,"LMS")+IF(N$10="",0,MAX(0,ROUND((N$13-SUMIFS(TF_Timer,TF_Nokkel,$A63&amp;"|"&amp;N$5))*2,0)/2))&gt;INDEX(TF_AktSum,MATCH($A63&amp;"|"&amp;N$5,TF_Dom,0)),"LMS",INDEX(AktKode,MATCH(INDEX(TF_Akt,MATCH($A63&amp;"|"&amp;N$5,TF_Dom,0)),Aktiviteter,0)))&amp;IF(OR(COUNTIFS(TF_Nokkel,$A63&amp;"|"&amp;N$5,TF_Akt,"&lt;&gt;"&amp;INDEX(TF_Akt,MATCH($A63&amp;"|"&amp;N$5,TF_Dom,0)))&gt;0,AND(IF(N$10="",0,MAX(0,ROUND((N$13-SUMIFS(TF_Timer,TF_Nokkel,$A63&amp;"|"&amp;N$5))*2,0)/2))&gt;0,INDEX(TF_Akt,MATCH($A63&amp;"|"&amp;N$5,TF_Dom,0))&lt;&gt;"LMS")),"+",""),"?"))))</f>
        <v/>
      </c>
      <c r="O63" s="13">
        <f>IF(OR($A63="",O$5=""),"",IF(OR(AND(INDEX(TekFra,44)&gt;0,O$5&lt;INDEX(TekFra,44)),AND(INDEX(TekTil,44)&gt;0,O$5&gt;INDEX(TekTil,44))),"",IF(COUNTIFS(TF_Nokkel,$A63&amp;"|"&amp;O$5)=0,IF(O$10&lt;&gt;"","LMS",""),IFERROR(IF(SUMIFS(TF_Timer,TF_Nokkel,$A63&amp;"|"&amp;O$5,TF_Akt,"LMS")+IF(O$10="",0,MAX(0,ROUND((O$13-SUMIFS(TF_Timer,TF_Nokkel,$A63&amp;"|"&amp;O$5))*2,0)/2))&gt;INDEX(TF_AktSum,MATCH($A63&amp;"|"&amp;O$5,TF_Dom,0)),"LMS",INDEX(AktKode,MATCH(INDEX(TF_Akt,MATCH($A63&amp;"|"&amp;O$5,TF_Dom,0)),Aktiviteter,0)))&amp;IF(OR(COUNTIFS(TF_Nokkel,$A63&amp;"|"&amp;O$5,TF_Akt,"&lt;&gt;"&amp;INDEX(TF_Akt,MATCH($A63&amp;"|"&amp;O$5,TF_Dom,0)))&gt;0,AND(IF(O$10="",0,MAX(0,ROUND((O$13-SUMIFS(TF_Timer,TF_Nokkel,$A63&amp;"|"&amp;O$5))*2,0)/2))&gt;0,INDEX(TF_Akt,MATCH($A63&amp;"|"&amp;O$5,TF_Dom,0))&lt;&gt;"LMS")),"+",""),"?"))))</f>
        <v/>
      </c>
      <c r="P63" s="13">
        <f>IF(OR($A63="",P$5=""),"",IF(OR(AND(INDEX(TekFra,44)&gt;0,P$5&lt;INDEX(TekFra,44)),AND(INDEX(TekTil,44)&gt;0,P$5&gt;INDEX(TekTil,44))),"",IF(COUNTIFS(TF_Nokkel,$A63&amp;"|"&amp;P$5)=0,IF(P$10&lt;&gt;"","LMS",""),IFERROR(IF(SUMIFS(TF_Timer,TF_Nokkel,$A63&amp;"|"&amp;P$5,TF_Akt,"LMS")+IF(P$10="",0,MAX(0,ROUND((P$13-SUMIFS(TF_Timer,TF_Nokkel,$A63&amp;"|"&amp;P$5))*2,0)/2))&gt;INDEX(TF_AktSum,MATCH($A63&amp;"|"&amp;P$5,TF_Dom,0)),"LMS",INDEX(AktKode,MATCH(INDEX(TF_Akt,MATCH($A63&amp;"|"&amp;P$5,TF_Dom,0)),Aktiviteter,0)))&amp;IF(OR(COUNTIFS(TF_Nokkel,$A63&amp;"|"&amp;P$5,TF_Akt,"&lt;&gt;"&amp;INDEX(TF_Akt,MATCH($A63&amp;"|"&amp;P$5,TF_Dom,0)))&gt;0,AND(IF(P$10="",0,MAX(0,ROUND((P$13-SUMIFS(TF_Timer,TF_Nokkel,$A63&amp;"|"&amp;P$5))*2,0)/2))&gt;0,INDEX(TF_Akt,MATCH($A63&amp;"|"&amp;P$5,TF_Dom,0))&lt;&gt;"LMS")),"+",""),"?"))))</f>
        <v/>
      </c>
      <c r="Q63" s="13">
        <f>IF(OR($A63="",Q$5=""),"",IF(OR(AND(INDEX(TekFra,44)&gt;0,Q$5&lt;INDEX(TekFra,44)),AND(INDEX(TekTil,44)&gt;0,Q$5&gt;INDEX(TekTil,44))),"",IF(COUNTIFS(TF_Nokkel,$A63&amp;"|"&amp;Q$5)=0,IF(Q$10&lt;&gt;"","LMS",""),IFERROR(IF(SUMIFS(TF_Timer,TF_Nokkel,$A63&amp;"|"&amp;Q$5,TF_Akt,"LMS")+IF(Q$10="",0,MAX(0,ROUND((Q$13-SUMIFS(TF_Timer,TF_Nokkel,$A63&amp;"|"&amp;Q$5))*2,0)/2))&gt;INDEX(TF_AktSum,MATCH($A63&amp;"|"&amp;Q$5,TF_Dom,0)),"LMS",INDEX(AktKode,MATCH(INDEX(TF_Akt,MATCH($A63&amp;"|"&amp;Q$5,TF_Dom,0)),Aktiviteter,0)))&amp;IF(OR(COUNTIFS(TF_Nokkel,$A63&amp;"|"&amp;Q$5,TF_Akt,"&lt;&gt;"&amp;INDEX(TF_Akt,MATCH($A63&amp;"|"&amp;Q$5,TF_Dom,0)))&gt;0,AND(IF(Q$10="",0,MAX(0,ROUND((Q$13-SUMIFS(TF_Timer,TF_Nokkel,$A63&amp;"|"&amp;Q$5))*2,0)/2))&gt;0,INDEX(TF_Akt,MATCH($A63&amp;"|"&amp;Q$5,TF_Dom,0))&lt;&gt;"LMS")),"+",""),"?"))))</f>
        <v/>
      </c>
      <c r="R63" s="13">
        <f>IF(OR($A63="",R$5=""),"",IF(OR(AND(INDEX(TekFra,44)&gt;0,R$5&lt;INDEX(TekFra,44)),AND(INDEX(TekTil,44)&gt;0,R$5&gt;INDEX(TekTil,44))),"",IF(COUNTIFS(TF_Nokkel,$A63&amp;"|"&amp;R$5)=0,IF(R$10&lt;&gt;"","LMS",""),IFERROR(IF(SUMIFS(TF_Timer,TF_Nokkel,$A63&amp;"|"&amp;R$5,TF_Akt,"LMS")+IF(R$10="",0,MAX(0,ROUND((R$13-SUMIFS(TF_Timer,TF_Nokkel,$A63&amp;"|"&amp;R$5))*2,0)/2))&gt;INDEX(TF_AktSum,MATCH($A63&amp;"|"&amp;R$5,TF_Dom,0)),"LMS",INDEX(AktKode,MATCH(INDEX(TF_Akt,MATCH($A63&amp;"|"&amp;R$5,TF_Dom,0)),Aktiviteter,0)))&amp;IF(OR(COUNTIFS(TF_Nokkel,$A63&amp;"|"&amp;R$5,TF_Akt,"&lt;&gt;"&amp;INDEX(TF_Akt,MATCH($A63&amp;"|"&amp;R$5,TF_Dom,0)))&gt;0,AND(IF(R$10="",0,MAX(0,ROUND((R$13-SUMIFS(TF_Timer,TF_Nokkel,$A63&amp;"|"&amp;R$5))*2,0)/2))&gt;0,INDEX(TF_Akt,MATCH($A63&amp;"|"&amp;R$5,TF_Dom,0))&lt;&gt;"LMS")),"+",""),"?"))))</f>
        <v/>
      </c>
      <c r="S63" s="13">
        <f>IF(OR($A63="",S$5=""),"",IF(OR(AND(INDEX(TekFra,44)&gt;0,S$5&lt;INDEX(TekFra,44)),AND(INDEX(TekTil,44)&gt;0,S$5&gt;INDEX(TekTil,44))),"",IF(COUNTIFS(TF_Nokkel,$A63&amp;"|"&amp;S$5)=0,IF(S$10&lt;&gt;"","LMS",""),IFERROR(IF(SUMIFS(TF_Timer,TF_Nokkel,$A63&amp;"|"&amp;S$5,TF_Akt,"LMS")+IF(S$10="",0,MAX(0,ROUND((S$13-SUMIFS(TF_Timer,TF_Nokkel,$A63&amp;"|"&amp;S$5))*2,0)/2))&gt;INDEX(TF_AktSum,MATCH($A63&amp;"|"&amp;S$5,TF_Dom,0)),"LMS",INDEX(AktKode,MATCH(INDEX(TF_Akt,MATCH($A63&amp;"|"&amp;S$5,TF_Dom,0)),Aktiviteter,0)))&amp;IF(OR(COUNTIFS(TF_Nokkel,$A63&amp;"|"&amp;S$5,TF_Akt,"&lt;&gt;"&amp;INDEX(TF_Akt,MATCH($A63&amp;"|"&amp;S$5,TF_Dom,0)))&gt;0,AND(IF(S$10="",0,MAX(0,ROUND((S$13-SUMIFS(TF_Timer,TF_Nokkel,$A63&amp;"|"&amp;S$5))*2,0)/2))&gt;0,INDEX(TF_Akt,MATCH($A63&amp;"|"&amp;S$5,TF_Dom,0))&lt;&gt;"LMS")),"+",""),"?"))))</f>
        <v/>
      </c>
      <c r="T63" s="13">
        <f>IF(OR($A63="",T$5=""),"",IF(OR(AND(INDEX(TekFra,44)&gt;0,T$5&lt;INDEX(TekFra,44)),AND(INDEX(TekTil,44)&gt;0,T$5&gt;INDEX(TekTil,44))),"",IF(COUNTIFS(TF_Nokkel,$A63&amp;"|"&amp;T$5)=0,IF(T$10&lt;&gt;"","LMS",""),IFERROR(IF(SUMIFS(TF_Timer,TF_Nokkel,$A63&amp;"|"&amp;T$5,TF_Akt,"LMS")+IF(T$10="",0,MAX(0,ROUND((T$13-SUMIFS(TF_Timer,TF_Nokkel,$A63&amp;"|"&amp;T$5))*2,0)/2))&gt;INDEX(TF_AktSum,MATCH($A63&amp;"|"&amp;T$5,TF_Dom,0)),"LMS",INDEX(AktKode,MATCH(INDEX(TF_Akt,MATCH($A63&amp;"|"&amp;T$5,TF_Dom,0)),Aktiviteter,0)))&amp;IF(OR(COUNTIFS(TF_Nokkel,$A63&amp;"|"&amp;T$5,TF_Akt,"&lt;&gt;"&amp;INDEX(TF_Akt,MATCH($A63&amp;"|"&amp;T$5,TF_Dom,0)))&gt;0,AND(IF(T$10="",0,MAX(0,ROUND((T$13-SUMIFS(TF_Timer,TF_Nokkel,$A63&amp;"|"&amp;T$5))*2,0)/2))&gt;0,INDEX(TF_Akt,MATCH($A63&amp;"|"&amp;T$5,TF_Dom,0))&lt;&gt;"LMS")),"+",""),"?"))))</f>
        <v/>
      </c>
      <c r="U63" s="13">
        <f>IF(OR($A63="",U$5=""),"",IF(OR(AND(INDEX(TekFra,44)&gt;0,U$5&lt;INDEX(TekFra,44)),AND(INDEX(TekTil,44)&gt;0,U$5&gt;INDEX(TekTil,44))),"",IF(COUNTIFS(TF_Nokkel,$A63&amp;"|"&amp;U$5)=0,IF(U$10&lt;&gt;"","LMS",""),IFERROR(IF(SUMIFS(TF_Timer,TF_Nokkel,$A63&amp;"|"&amp;U$5,TF_Akt,"LMS")+IF(U$10="",0,MAX(0,ROUND((U$13-SUMIFS(TF_Timer,TF_Nokkel,$A63&amp;"|"&amp;U$5))*2,0)/2))&gt;INDEX(TF_AktSum,MATCH($A63&amp;"|"&amp;U$5,TF_Dom,0)),"LMS",INDEX(AktKode,MATCH(INDEX(TF_Akt,MATCH($A63&amp;"|"&amp;U$5,TF_Dom,0)),Aktiviteter,0)))&amp;IF(OR(COUNTIFS(TF_Nokkel,$A63&amp;"|"&amp;U$5,TF_Akt,"&lt;&gt;"&amp;INDEX(TF_Akt,MATCH($A63&amp;"|"&amp;U$5,TF_Dom,0)))&gt;0,AND(IF(U$10="",0,MAX(0,ROUND((U$13-SUMIFS(TF_Timer,TF_Nokkel,$A63&amp;"|"&amp;U$5))*2,0)/2))&gt;0,INDEX(TF_Akt,MATCH($A63&amp;"|"&amp;U$5,TF_Dom,0))&lt;&gt;"LMS")),"+",""),"?"))))</f>
        <v/>
      </c>
      <c r="V63" s="13">
        <f>IF(OR($A63="",V$5=""),"",IF(OR(AND(INDEX(TekFra,44)&gt;0,V$5&lt;INDEX(TekFra,44)),AND(INDEX(TekTil,44)&gt;0,V$5&gt;INDEX(TekTil,44))),"",IF(COUNTIFS(TF_Nokkel,$A63&amp;"|"&amp;V$5)=0,IF(V$10&lt;&gt;"","LMS",""),IFERROR(IF(SUMIFS(TF_Timer,TF_Nokkel,$A63&amp;"|"&amp;V$5,TF_Akt,"LMS")+IF(V$10="",0,MAX(0,ROUND((V$13-SUMIFS(TF_Timer,TF_Nokkel,$A63&amp;"|"&amp;V$5))*2,0)/2))&gt;INDEX(TF_AktSum,MATCH($A63&amp;"|"&amp;V$5,TF_Dom,0)),"LMS",INDEX(AktKode,MATCH(INDEX(TF_Akt,MATCH($A63&amp;"|"&amp;V$5,TF_Dom,0)),Aktiviteter,0)))&amp;IF(OR(COUNTIFS(TF_Nokkel,$A63&amp;"|"&amp;V$5,TF_Akt,"&lt;&gt;"&amp;INDEX(TF_Akt,MATCH($A63&amp;"|"&amp;V$5,TF_Dom,0)))&gt;0,AND(IF(V$10="",0,MAX(0,ROUND((V$13-SUMIFS(TF_Timer,TF_Nokkel,$A63&amp;"|"&amp;V$5))*2,0)/2))&gt;0,INDEX(TF_Akt,MATCH($A63&amp;"|"&amp;V$5,TF_Dom,0))&lt;&gt;"LMS")),"+",""),"?"))))</f>
        <v/>
      </c>
      <c r="W63" s="13">
        <f>IF(OR($A63="",W$5=""),"",IF(OR(AND(INDEX(TekFra,44)&gt;0,W$5&lt;INDEX(TekFra,44)),AND(INDEX(TekTil,44)&gt;0,W$5&gt;INDEX(TekTil,44))),"",IF(COUNTIFS(TF_Nokkel,$A63&amp;"|"&amp;W$5)=0,IF(W$10&lt;&gt;"","LMS",""),IFERROR(IF(SUMIFS(TF_Timer,TF_Nokkel,$A63&amp;"|"&amp;W$5,TF_Akt,"LMS")+IF(W$10="",0,MAX(0,ROUND((W$13-SUMIFS(TF_Timer,TF_Nokkel,$A63&amp;"|"&amp;W$5))*2,0)/2))&gt;INDEX(TF_AktSum,MATCH($A63&amp;"|"&amp;W$5,TF_Dom,0)),"LMS",INDEX(AktKode,MATCH(INDEX(TF_Akt,MATCH($A63&amp;"|"&amp;W$5,TF_Dom,0)),Aktiviteter,0)))&amp;IF(OR(COUNTIFS(TF_Nokkel,$A63&amp;"|"&amp;W$5,TF_Akt,"&lt;&gt;"&amp;INDEX(TF_Akt,MATCH($A63&amp;"|"&amp;W$5,TF_Dom,0)))&gt;0,AND(IF(W$10="",0,MAX(0,ROUND((W$13-SUMIFS(TF_Timer,TF_Nokkel,$A63&amp;"|"&amp;W$5))*2,0)/2))&gt;0,INDEX(TF_Akt,MATCH($A63&amp;"|"&amp;W$5,TF_Dom,0))&lt;&gt;"LMS")),"+",""),"?"))))</f>
        <v/>
      </c>
      <c r="X63" s="13">
        <f>IF(OR($A63="",X$5=""),"",IF(OR(AND(INDEX(TekFra,44)&gt;0,X$5&lt;INDEX(TekFra,44)),AND(INDEX(TekTil,44)&gt;0,X$5&gt;INDEX(TekTil,44))),"",IF(COUNTIFS(TF_Nokkel,$A63&amp;"|"&amp;X$5)=0,IF(X$10&lt;&gt;"","LMS",""),IFERROR(IF(SUMIFS(TF_Timer,TF_Nokkel,$A63&amp;"|"&amp;X$5,TF_Akt,"LMS")+IF(X$10="",0,MAX(0,ROUND((X$13-SUMIFS(TF_Timer,TF_Nokkel,$A63&amp;"|"&amp;X$5))*2,0)/2))&gt;INDEX(TF_AktSum,MATCH($A63&amp;"|"&amp;X$5,TF_Dom,0)),"LMS",INDEX(AktKode,MATCH(INDEX(TF_Akt,MATCH($A63&amp;"|"&amp;X$5,TF_Dom,0)),Aktiviteter,0)))&amp;IF(OR(COUNTIFS(TF_Nokkel,$A63&amp;"|"&amp;X$5,TF_Akt,"&lt;&gt;"&amp;INDEX(TF_Akt,MATCH($A63&amp;"|"&amp;X$5,TF_Dom,0)))&gt;0,AND(IF(X$10="",0,MAX(0,ROUND((X$13-SUMIFS(TF_Timer,TF_Nokkel,$A63&amp;"|"&amp;X$5))*2,0)/2))&gt;0,INDEX(TF_Akt,MATCH($A63&amp;"|"&amp;X$5,TF_Dom,0))&lt;&gt;"LMS")),"+",""),"?"))))</f>
        <v/>
      </c>
      <c r="Y63" s="13">
        <f>IF(OR($A63="",Y$5=""),"",IF(OR(AND(INDEX(TekFra,44)&gt;0,Y$5&lt;INDEX(TekFra,44)),AND(INDEX(TekTil,44)&gt;0,Y$5&gt;INDEX(TekTil,44))),"",IF(COUNTIFS(TF_Nokkel,$A63&amp;"|"&amp;Y$5)=0,IF(Y$10&lt;&gt;"","LMS",""),IFERROR(IF(SUMIFS(TF_Timer,TF_Nokkel,$A63&amp;"|"&amp;Y$5,TF_Akt,"LMS")+IF(Y$10="",0,MAX(0,ROUND((Y$13-SUMIFS(TF_Timer,TF_Nokkel,$A63&amp;"|"&amp;Y$5))*2,0)/2))&gt;INDEX(TF_AktSum,MATCH($A63&amp;"|"&amp;Y$5,TF_Dom,0)),"LMS",INDEX(AktKode,MATCH(INDEX(TF_Akt,MATCH($A63&amp;"|"&amp;Y$5,TF_Dom,0)),Aktiviteter,0)))&amp;IF(OR(COUNTIFS(TF_Nokkel,$A63&amp;"|"&amp;Y$5,TF_Akt,"&lt;&gt;"&amp;INDEX(TF_Akt,MATCH($A63&amp;"|"&amp;Y$5,TF_Dom,0)))&gt;0,AND(IF(Y$10="",0,MAX(0,ROUND((Y$13-SUMIFS(TF_Timer,TF_Nokkel,$A63&amp;"|"&amp;Y$5))*2,0)/2))&gt;0,INDEX(TF_Akt,MATCH($A63&amp;"|"&amp;Y$5,TF_Dom,0))&lt;&gt;"LMS")),"+",""),"?"))))</f>
        <v/>
      </c>
      <c r="Z63" s="13">
        <f>IF(OR($A63="",Z$5=""),"",IF(OR(AND(INDEX(TekFra,44)&gt;0,Z$5&lt;INDEX(TekFra,44)),AND(INDEX(TekTil,44)&gt;0,Z$5&gt;INDEX(TekTil,44))),"",IF(COUNTIFS(TF_Nokkel,$A63&amp;"|"&amp;Z$5)=0,IF(Z$10&lt;&gt;"","LMS",""),IFERROR(IF(SUMIFS(TF_Timer,TF_Nokkel,$A63&amp;"|"&amp;Z$5,TF_Akt,"LMS")+IF(Z$10="",0,MAX(0,ROUND((Z$13-SUMIFS(TF_Timer,TF_Nokkel,$A63&amp;"|"&amp;Z$5))*2,0)/2))&gt;INDEX(TF_AktSum,MATCH($A63&amp;"|"&amp;Z$5,TF_Dom,0)),"LMS",INDEX(AktKode,MATCH(INDEX(TF_Akt,MATCH($A63&amp;"|"&amp;Z$5,TF_Dom,0)),Aktiviteter,0)))&amp;IF(OR(COUNTIFS(TF_Nokkel,$A63&amp;"|"&amp;Z$5,TF_Akt,"&lt;&gt;"&amp;INDEX(TF_Akt,MATCH($A63&amp;"|"&amp;Z$5,TF_Dom,0)))&gt;0,AND(IF(Z$10="",0,MAX(0,ROUND((Z$13-SUMIFS(TF_Timer,TF_Nokkel,$A63&amp;"|"&amp;Z$5))*2,0)/2))&gt;0,INDEX(TF_Akt,MATCH($A63&amp;"|"&amp;Z$5,TF_Dom,0))&lt;&gt;"LMS")),"+",""),"?"))))</f>
        <v/>
      </c>
      <c r="AA63" s="13">
        <f>IF(OR($A63="",AA$5=""),"",IF(OR(AND(INDEX(TekFra,44)&gt;0,AA$5&lt;INDEX(TekFra,44)),AND(INDEX(TekTil,44)&gt;0,AA$5&gt;INDEX(TekTil,44))),"",IF(COUNTIFS(TF_Nokkel,$A63&amp;"|"&amp;AA$5)=0,IF(AA$10&lt;&gt;"","LMS",""),IFERROR(IF(SUMIFS(TF_Timer,TF_Nokkel,$A63&amp;"|"&amp;AA$5,TF_Akt,"LMS")+IF(AA$10="",0,MAX(0,ROUND((AA$13-SUMIFS(TF_Timer,TF_Nokkel,$A63&amp;"|"&amp;AA$5))*2,0)/2))&gt;INDEX(TF_AktSum,MATCH($A63&amp;"|"&amp;AA$5,TF_Dom,0)),"LMS",INDEX(AktKode,MATCH(INDEX(TF_Akt,MATCH($A63&amp;"|"&amp;AA$5,TF_Dom,0)),Aktiviteter,0)))&amp;IF(OR(COUNTIFS(TF_Nokkel,$A63&amp;"|"&amp;AA$5,TF_Akt,"&lt;&gt;"&amp;INDEX(TF_Akt,MATCH($A63&amp;"|"&amp;AA$5,TF_Dom,0)))&gt;0,AND(IF(AA$10="",0,MAX(0,ROUND((AA$13-SUMIFS(TF_Timer,TF_Nokkel,$A63&amp;"|"&amp;AA$5))*2,0)/2))&gt;0,INDEX(TF_Akt,MATCH($A63&amp;"|"&amp;AA$5,TF_Dom,0))&lt;&gt;"LMS")),"+",""),"?"))))</f>
        <v/>
      </c>
      <c r="AB63" s="13">
        <f>IF(OR($A63="",AB$5=""),"",IF(OR(AND(INDEX(TekFra,44)&gt;0,AB$5&lt;INDEX(TekFra,44)),AND(INDEX(TekTil,44)&gt;0,AB$5&gt;INDEX(TekTil,44))),"",IF(COUNTIFS(TF_Nokkel,$A63&amp;"|"&amp;AB$5)=0,IF(AB$10&lt;&gt;"","LMS",""),IFERROR(IF(SUMIFS(TF_Timer,TF_Nokkel,$A63&amp;"|"&amp;AB$5,TF_Akt,"LMS")+IF(AB$10="",0,MAX(0,ROUND((AB$13-SUMIFS(TF_Timer,TF_Nokkel,$A63&amp;"|"&amp;AB$5))*2,0)/2))&gt;INDEX(TF_AktSum,MATCH($A63&amp;"|"&amp;AB$5,TF_Dom,0)),"LMS",INDEX(AktKode,MATCH(INDEX(TF_Akt,MATCH($A63&amp;"|"&amp;AB$5,TF_Dom,0)),Aktiviteter,0)))&amp;IF(OR(COUNTIFS(TF_Nokkel,$A63&amp;"|"&amp;AB$5,TF_Akt,"&lt;&gt;"&amp;INDEX(TF_Akt,MATCH($A63&amp;"|"&amp;AB$5,TF_Dom,0)))&gt;0,AND(IF(AB$10="",0,MAX(0,ROUND((AB$13-SUMIFS(TF_Timer,TF_Nokkel,$A63&amp;"|"&amp;AB$5))*2,0)/2))&gt;0,INDEX(TF_Akt,MATCH($A63&amp;"|"&amp;AB$5,TF_Dom,0))&lt;&gt;"LMS")),"+",""),"?"))))</f>
        <v/>
      </c>
      <c r="AC63" s="13">
        <f>IF(OR($A63="",AC$5=""),"",IF(OR(AND(INDEX(TekFra,44)&gt;0,AC$5&lt;INDEX(TekFra,44)),AND(INDEX(TekTil,44)&gt;0,AC$5&gt;INDEX(TekTil,44))),"",IF(COUNTIFS(TF_Nokkel,$A63&amp;"|"&amp;AC$5)=0,IF(AC$10&lt;&gt;"","LMS",""),IFERROR(IF(SUMIFS(TF_Timer,TF_Nokkel,$A63&amp;"|"&amp;AC$5,TF_Akt,"LMS")+IF(AC$10="",0,MAX(0,ROUND((AC$13-SUMIFS(TF_Timer,TF_Nokkel,$A63&amp;"|"&amp;AC$5))*2,0)/2))&gt;INDEX(TF_AktSum,MATCH($A63&amp;"|"&amp;AC$5,TF_Dom,0)),"LMS",INDEX(AktKode,MATCH(INDEX(TF_Akt,MATCH($A63&amp;"|"&amp;AC$5,TF_Dom,0)),Aktiviteter,0)))&amp;IF(OR(COUNTIFS(TF_Nokkel,$A63&amp;"|"&amp;AC$5,TF_Akt,"&lt;&gt;"&amp;INDEX(TF_Akt,MATCH($A63&amp;"|"&amp;AC$5,TF_Dom,0)))&gt;0,AND(IF(AC$10="",0,MAX(0,ROUND((AC$13-SUMIFS(TF_Timer,TF_Nokkel,$A63&amp;"|"&amp;AC$5))*2,0)/2))&gt;0,INDEX(TF_Akt,MATCH($A63&amp;"|"&amp;AC$5,TF_Dom,0))&lt;&gt;"LMS")),"+",""),"?"))))</f>
        <v/>
      </c>
      <c r="AD63" s="13">
        <f>IF(OR($A63="",AD$5=""),"",IF(OR(AND(INDEX(TekFra,44)&gt;0,AD$5&lt;INDEX(TekFra,44)),AND(INDEX(TekTil,44)&gt;0,AD$5&gt;INDEX(TekTil,44))),"",IF(COUNTIFS(TF_Nokkel,$A63&amp;"|"&amp;AD$5)=0,IF(AD$10&lt;&gt;"","LMS",""),IFERROR(IF(SUMIFS(TF_Timer,TF_Nokkel,$A63&amp;"|"&amp;AD$5,TF_Akt,"LMS")+IF(AD$10="",0,MAX(0,ROUND((AD$13-SUMIFS(TF_Timer,TF_Nokkel,$A63&amp;"|"&amp;AD$5))*2,0)/2))&gt;INDEX(TF_AktSum,MATCH($A63&amp;"|"&amp;AD$5,TF_Dom,0)),"LMS",INDEX(AktKode,MATCH(INDEX(TF_Akt,MATCH($A63&amp;"|"&amp;AD$5,TF_Dom,0)),Aktiviteter,0)))&amp;IF(OR(COUNTIFS(TF_Nokkel,$A63&amp;"|"&amp;AD$5,TF_Akt,"&lt;&gt;"&amp;INDEX(TF_Akt,MATCH($A63&amp;"|"&amp;AD$5,TF_Dom,0)))&gt;0,AND(IF(AD$10="",0,MAX(0,ROUND((AD$13-SUMIFS(TF_Timer,TF_Nokkel,$A63&amp;"|"&amp;AD$5))*2,0)/2))&gt;0,INDEX(TF_Akt,MATCH($A63&amp;"|"&amp;AD$5,TF_Dom,0))&lt;&gt;"LMS")),"+",""),"?"))))</f>
        <v/>
      </c>
      <c r="AE63" s="13">
        <f>IF(OR($A63="",AE$5=""),"",IF(OR(AND(INDEX(TekFra,44)&gt;0,AE$5&lt;INDEX(TekFra,44)),AND(INDEX(TekTil,44)&gt;0,AE$5&gt;INDEX(TekTil,44))),"",IF(COUNTIFS(TF_Nokkel,$A63&amp;"|"&amp;AE$5)=0,IF(AE$10&lt;&gt;"","LMS",""),IFERROR(IF(SUMIFS(TF_Timer,TF_Nokkel,$A63&amp;"|"&amp;AE$5,TF_Akt,"LMS")+IF(AE$10="",0,MAX(0,ROUND((AE$13-SUMIFS(TF_Timer,TF_Nokkel,$A63&amp;"|"&amp;AE$5))*2,0)/2))&gt;INDEX(TF_AktSum,MATCH($A63&amp;"|"&amp;AE$5,TF_Dom,0)),"LMS",INDEX(AktKode,MATCH(INDEX(TF_Akt,MATCH($A63&amp;"|"&amp;AE$5,TF_Dom,0)),Aktiviteter,0)))&amp;IF(OR(COUNTIFS(TF_Nokkel,$A63&amp;"|"&amp;AE$5,TF_Akt,"&lt;&gt;"&amp;INDEX(TF_Akt,MATCH($A63&amp;"|"&amp;AE$5,TF_Dom,0)))&gt;0,AND(IF(AE$10="",0,MAX(0,ROUND((AE$13-SUMIFS(TF_Timer,TF_Nokkel,$A63&amp;"|"&amp;AE$5))*2,0)/2))&gt;0,INDEX(TF_Akt,MATCH($A63&amp;"|"&amp;AE$5,TF_Dom,0))&lt;&gt;"LMS")),"+",""),"?"))))</f>
        <v/>
      </c>
      <c r="AF63" s="13">
        <f>IF(OR($A63="",AF$5=""),"",IF(OR(AND(INDEX(TekFra,44)&gt;0,AF$5&lt;INDEX(TekFra,44)),AND(INDEX(TekTil,44)&gt;0,AF$5&gt;INDEX(TekTil,44))),"",IF(COUNTIFS(TF_Nokkel,$A63&amp;"|"&amp;AF$5)=0,IF(AF$10&lt;&gt;"","LMS",""),IFERROR(IF(SUMIFS(TF_Timer,TF_Nokkel,$A63&amp;"|"&amp;AF$5,TF_Akt,"LMS")+IF(AF$10="",0,MAX(0,ROUND((AF$13-SUMIFS(TF_Timer,TF_Nokkel,$A63&amp;"|"&amp;AF$5))*2,0)/2))&gt;INDEX(TF_AktSum,MATCH($A63&amp;"|"&amp;AF$5,TF_Dom,0)),"LMS",INDEX(AktKode,MATCH(INDEX(TF_Akt,MATCH($A63&amp;"|"&amp;AF$5,TF_Dom,0)),Aktiviteter,0)))&amp;IF(OR(COUNTIFS(TF_Nokkel,$A63&amp;"|"&amp;AF$5,TF_Akt,"&lt;&gt;"&amp;INDEX(TF_Akt,MATCH($A63&amp;"|"&amp;AF$5,TF_Dom,0)))&gt;0,AND(IF(AF$10="",0,MAX(0,ROUND((AF$13-SUMIFS(TF_Timer,TF_Nokkel,$A63&amp;"|"&amp;AF$5))*2,0)/2))&gt;0,INDEX(TF_Akt,MATCH($A63&amp;"|"&amp;AF$5,TF_Dom,0))&lt;&gt;"LMS")),"+",""),"?"))))</f>
        <v/>
      </c>
      <c r="AG63" s="13">
        <f>IF(OR($A63="",AG$5=""),"",IF(OR(AND(INDEX(TekFra,44)&gt;0,AG$5&lt;INDEX(TekFra,44)),AND(INDEX(TekTil,44)&gt;0,AG$5&gt;INDEX(TekTil,44))),"",IF(COUNTIFS(TF_Nokkel,$A63&amp;"|"&amp;AG$5)=0,IF(AG$10&lt;&gt;"","LMS",""),IFERROR(IF(SUMIFS(TF_Timer,TF_Nokkel,$A63&amp;"|"&amp;AG$5,TF_Akt,"LMS")+IF(AG$10="",0,MAX(0,ROUND((AG$13-SUMIFS(TF_Timer,TF_Nokkel,$A63&amp;"|"&amp;AG$5))*2,0)/2))&gt;INDEX(TF_AktSum,MATCH($A63&amp;"|"&amp;AG$5,TF_Dom,0)),"LMS",INDEX(AktKode,MATCH(INDEX(TF_Akt,MATCH($A63&amp;"|"&amp;AG$5,TF_Dom,0)),Aktiviteter,0)))&amp;IF(OR(COUNTIFS(TF_Nokkel,$A63&amp;"|"&amp;AG$5,TF_Akt,"&lt;&gt;"&amp;INDEX(TF_Akt,MATCH($A63&amp;"|"&amp;AG$5,TF_Dom,0)))&gt;0,AND(IF(AG$10="",0,MAX(0,ROUND((AG$13-SUMIFS(TF_Timer,TF_Nokkel,$A63&amp;"|"&amp;AG$5))*2,0)/2))&gt;0,INDEX(TF_Akt,MATCH($A63&amp;"|"&amp;AG$5,TF_Dom,0))&lt;&gt;"LMS")),"+",""),"?"))))</f>
        <v/>
      </c>
      <c r="AH63" s="2" t="n"/>
      <c r="AI63" s="2" t="n"/>
      <c r="AJ63" s="2" t="n"/>
    </row>
    <row r="64">
      <c r="A64" s="2">
        <f>INDEX(Teknikere,45)&amp;""</f>
        <v/>
      </c>
      <c r="B64" s="12">
        <f>IF(INDEX(TekFra,45)&gt;0,"ekstra","")</f>
        <v/>
      </c>
      <c r="C64" s="13">
        <f>IF(OR($A64="",C$5=""),"",IF(OR(AND(INDEX(TekFra,45)&gt;0,C$5&lt;INDEX(TekFra,45)),AND(INDEX(TekTil,45)&gt;0,C$5&gt;INDEX(TekTil,45))),"",IF(COUNTIFS(TF_Nokkel,$A64&amp;"|"&amp;C$5)=0,IF(C$10&lt;&gt;"","LMS",""),IFERROR(IF(SUMIFS(TF_Timer,TF_Nokkel,$A64&amp;"|"&amp;C$5,TF_Akt,"LMS")+IF(C$10="",0,MAX(0,ROUND((C$13-SUMIFS(TF_Timer,TF_Nokkel,$A64&amp;"|"&amp;C$5))*2,0)/2))&gt;INDEX(TF_AktSum,MATCH($A64&amp;"|"&amp;C$5,TF_Dom,0)),"LMS",INDEX(AktKode,MATCH(INDEX(TF_Akt,MATCH($A64&amp;"|"&amp;C$5,TF_Dom,0)),Aktiviteter,0)))&amp;IF(OR(COUNTIFS(TF_Nokkel,$A64&amp;"|"&amp;C$5,TF_Akt,"&lt;&gt;"&amp;INDEX(TF_Akt,MATCH($A64&amp;"|"&amp;C$5,TF_Dom,0)))&gt;0,AND(IF(C$10="",0,MAX(0,ROUND((C$13-SUMIFS(TF_Timer,TF_Nokkel,$A64&amp;"|"&amp;C$5))*2,0)/2))&gt;0,INDEX(TF_Akt,MATCH($A64&amp;"|"&amp;C$5,TF_Dom,0))&lt;&gt;"LMS")),"+",""),"?"))))</f>
        <v/>
      </c>
      <c r="D64" s="13">
        <f>IF(OR($A64="",D$5=""),"",IF(OR(AND(INDEX(TekFra,45)&gt;0,D$5&lt;INDEX(TekFra,45)),AND(INDEX(TekTil,45)&gt;0,D$5&gt;INDEX(TekTil,45))),"",IF(COUNTIFS(TF_Nokkel,$A64&amp;"|"&amp;D$5)=0,IF(D$10&lt;&gt;"","LMS",""),IFERROR(IF(SUMIFS(TF_Timer,TF_Nokkel,$A64&amp;"|"&amp;D$5,TF_Akt,"LMS")+IF(D$10="",0,MAX(0,ROUND((D$13-SUMIFS(TF_Timer,TF_Nokkel,$A64&amp;"|"&amp;D$5))*2,0)/2))&gt;INDEX(TF_AktSum,MATCH($A64&amp;"|"&amp;D$5,TF_Dom,0)),"LMS",INDEX(AktKode,MATCH(INDEX(TF_Akt,MATCH($A64&amp;"|"&amp;D$5,TF_Dom,0)),Aktiviteter,0)))&amp;IF(OR(COUNTIFS(TF_Nokkel,$A64&amp;"|"&amp;D$5,TF_Akt,"&lt;&gt;"&amp;INDEX(TF_Akt,MATCH($A64&amp;"|"&amp;D$5,TF_Dom,0)))&gt;0,AND(IF(D$10="",0,MAX(0,ROUND((D$13-SUMIFS(TF_Timer,TF_Nokkel,$A64&amp;"|"&amp;D$5))*2,0)/2))&gt;0,INDEX(TF_Akt,MATCH($A64&amp;"|"&amp;D$5,TF_Dom,0))&lt;&gt;"LMS")),"+",""),"?"))))</f>
        <v/>
      </c>
      <c r="E64" s="13">
        <f>IF(OR($A64="",E$5=""),"",IF(OR(AND(INDEX(TekFra,45)&gt;0,E$5&lt;INDEX(TekFra,45)),AND(INDEX(TekTil,45)&gt;0,E$5&gt;INDEX(TekTil,45))),"",IF(COUNTIFS(TF_Nokkel,$A64&amp;"|"&amp;E$5)=0,IF(E$10&lt;&gt;"","LMS",""),IFERROR(IF(SUMIFS(TF_Timer,TF_Nokkel,$A64&amp;"|"&amp;E$5,TF_Akt,"LMS")+IF(E$10="",0,MAX(0,ROUND((E$13-SUMIFS(TF_Timer,TF_Nokkel,$A64&amp;"|"&amp;E$5))*2,0)/2))&gt;INDEX(TF_AktSum,MATCH($A64&amp;"|"&amp;E$5,TF_Dom,0)),"LMS",INDEX(AktKode,MATCH(INDEX(TF_Akt,MATCH($A64&amp;"|"&amp;E$5,TF_Dom,0)),Aktiviteter,0)))&amp;IF(OR(COUNTIFS(TF_Nokkel,$A64&amp;"|"&amp;E$5,TF_Akt,"&lt;&gt;"&amp;INDEX(TF_Akt,MATCH($A64&amp;"|"&amp;E$5,TF_Dom,0)))&gt;0,AND(IF(E$10="",0,MAX(0,ROUND((E$13-SUMIFS(TF_Timer,TF_Nokkel,$A64&amp;"|"&amp;E$5))*2,0)/2))&gt;0,INDEX(TF_Akt,MATCH($A64&amp;"|"&amp;E$5,TF_Dom,0))&lt;&gt;"LMS")),"+",""),"?"))))</f>
        <v/>
      </c>
      <c r="F64" s="13">
        <f>IF(OR($A64="",F$5=""),"",IF(OR(AND(INDEX(TekFra,45)&gt;0,F$5&lt;INDEX(TekFra,45)),AND(INDEX(TekTil,45)&gt;0,F$5&gt;INDEX(TekTil,45))),"",IF(COUNTIFS(TF_Nokkel,$A64&amp;"|"&amp;F$5)=0,IF(F$10&lt;&gt;"","LMS",""),IFERROR(IF(SUMIFS(TF_Timer,TF_Nokkel,$A64&amp;"|"&amp;F$5,TF_Akt,"LMS")+IF(F$10="",0,MAX(0,ROUND((F$13-SUMIFS(TF_Timer,TF_Nokkel,$A64&amp;"|"&amp;F$5))*2,0)/2))&gt;INDEX(TF_AktSum,MATCH($A64&amp;"|"&amp;F$5,TF_Dom,0)),"LMS",INDEX(AktKode,MATCH(INDEX(TF_Akt,MATCH($A64&amp;"|"&amp;F$5,TF_Dom,0)),Aktiviteter,0)))&amp;IF(OR(COUNTIFS(TF_Nokkel,$A64&amp;"|"&amp;F$5,TF_Akt,"&lt;&gt;"&amp;INDEX(TF_Akt,MATCH($A64&amp;"|"&amp;F$5,TF_Dom,0)))&gt;0,AND(IF(F$10="",0,MAX(0,ROUND((F$13-SUMIFS(TF_Timer,TF_Nokkel,$A64&amp;"|"&amp;F$5))*2,0)/2))&gt;0,INDEX(TF_Akt,MATCH($A64&amp;"|"&amp;F$5,TF_Dom,0))&lt;&gt;"LMS")),"+",""),"?"))))</f>
        <v/>
      </c>
      <c r="G64" s="13">
        <f>IF(OR($A64="",G$5=""),"",IF(OR(AND(INDEX(TekFra,45)&gt;0,G$5&lt;INDEX(TekFra,45)),AND(INDEX(TekTil,45)&gt;0,G$5&gt;INDEX(TekTil,45))),"",IF(COUNTIFS(TF_Nokkel,$A64&amp;"|"&amp;G$5)=0,IF(G$10&lt;&gt;"","LMS",""),IFERROR(IF(SUMIFS(TF_Timer,TF_Nokkel,$A64&amp;"|"&amp;G$5,TF_Akt,"LMS")+IF(G$10="",0,MAX(0,ROUND((G$13-SUMIFS(TF_Timer,TF_Nokkel,$A64&amp;"|"&amp;G$5))*2,0)/2))&gt;INDEX(TF_AktSum,MATCH($A64&amp;"|"&amp;G$5,TF_Dom,0)),"LMS",INDEX(AktKode,MATCH(INDEX(TF_Akt,MATCH($A64&amp;"|"&amp;G$5,TF_Dom,0)),Aktiviteter,0)))&amp;IF(OR(COUNTIFS(TF_Nokkel,$A64&amp;"|"&amp;G$5,TF_Akt,"&lt;&gt;"&amp;INDEX(TF_Akt,MATCH($A64&amp;"|"&amp;G$5,TF_Dom,0)))&gt;0,AND(IF(G$10="",0,MAX(0,ROUND((G$13-SUMIFS(TF_Timer,TF_Nokkel,$A64&amp;"|"&amp;G$5))*2,0)/2))&gt;0,INDEX(TF_Akt,MATCH($A64&amp;"|"&amp;G$5,TF_Dom,0))&lt;&gt;"LMS")),"+",""),"?"))))</f>
        <v/>
      </c>
      <c r="H64" s="13">
        <f>IF(OR($A64="",H$5=""),"",IF(OR(AND(INDEX(TekFra,45)&gt;0,H$5&lt;INDEX(TekFra,45)),AND(INDEX(TekTil,45)&gt;0,H$5&gt;INDEX(TekTil,45))),"",IF(COUNTIFS(TF_Nokkel,$A64&amp;"|"&amp;H$5)=0,IF(H$10&lt;&gt;"","LMS",""),IFERROR(IF(SUMIFS(TF_Timer,TF_Nokkel,$A64&amp;"|"&amp;H$5,TF_Akt,"LMS")+IF(H$10="",0,MAX(0,ROUND((H$13-SUMIFS(TF_Timer,TF_Nokkel,$A64&amp;"|"&amp;H$5))*2,0)/2))&gt;INDEX(TF_AktSum,MATCH($A64&amp;"|"&amp;H$5,TF_Dom,0)),"LMS",INDEX(AktKode,MATCH(INDEX(TF_Akt,MATCH($A64&amp;"|"&amp;H$5,TF_Dom,0)),Aktiviteter,0)))&amp;IF(OR(COUNTIFS(TF_Nokkel,$A64&amp;"|"&amp;H$5,TF_Akt,"&lt;&gt;"&amp;INDEX(TF_Akt,MATCH($A64&amp;"|"&amp;H$5,TF_Dom,0)))&gt;0,AND(IF(H$10="",0,MAX(0,ROUND((H$13-SUMIFS(TF_Timer,TF_Nokkel,$A64&amp;"|"&amp;H$5))*2,0)/2))&gt;0,INDEX(TF_Akt,MATCH($A64&amp;"|"&amp;H$5,TF_Dom,0))&lt;&gt;"LMS")),"+",""),"?"))))</f>
        <v/>
      </c>
      <c r="I64" s="13">
        <f>IF(OR($A64="",I$5=""),"",IF(OR(AND(INDEX(TekFra,45)&gt;0,I$5&lt;INDEX(TekFra,45)),AND(INDEX(TekTil,45)&gt;0,I$5&gt;INDEX(TekTil,45))),"",IF(COUNTIFS(TF_Nokkel,$A64&amp;"|"&amp;I$5)=0,IF(I$10&lt;&gt;"","LMS",""),IFERROR(IF(SUMIFS(TF_Timer,TF_Nokkel,$A64&amp;"|"&amp;I$5,TF_Akt,"LMS")+IF(I$10="",0,MAX(0,ROUND((I$13-SUMIFS(TF_Timer,TF_Nokkel,$A64&amp;"|"&amp;I$5))*2,0)/2))&gt;INDEX(TF_AktSum,MATCH($A64&amp;"|"&amp;I$5,TF_Dom,0)),"LMS",INDEX(AktKode,MATCH(INDEX(TF_Akt,MATCH($A64&amp;"|"&amp;I$5,TF_Dom,0)),Aktiviteter,0)))&amp;IF(OR(COUNTIFS(TF_Nokkel,$A64&amp;"|"&amp;I$5,TF_Akt,"&lt;&gt;"&amp;INDEX(TF_Akt,MATCH($A64&amp;"|"&amp;I$5,TF_Dom,0)))&gt;0,AND(IF(I$10="",0,MAX(0,ROUND((I$13-SUMIFS(TF_Timer,TF_Nokkel,$A64&amp;"|"&amp;I$5))*2,0)/2))&gt;0,INDEX(TF_Akt,MATCH($A64&amp;"|"&amp;I$5,TF_Dom,0))&lt;&gt;"LMS")),"+",""),"?"))))</f>
        <v/>
      </c>
      <c r="J64" s="13">
        <f>IF(OR($A64="",J$5=""),"",IF(OR(AND(INDEX(TekFra,45)&gt;0,J$5&lt;INDEX(TekFra,45)),AND(INDEX(TekTil,45)&gt;0,J$5&gt;INDEX(TekTil,45))),"",IF(COUNTIFS(TF_Nokkel,$A64&amp;"|"&amp;J$5)=0,IF(J$10&lt;&gt;"","LMS",""),IFERROR(IF(SUMIFS(TF_Timer,TF_Nokkel,$A64&amp;"|"&amp;J$5,TF_Akt,"LMS")+IF(J$10="",0,MAX(0,ROUND((J$13-SUMIFS(TF_Timer,TF_Nokkel,$A64&amp;"|"&amp;J$5))*2,0)/2))&gt;INDEX(TF_AktSum,MATCH($A64&amp;"|"&amp;J$5,TF_Dom,0)),"LMS",INDEX(AktKode,MATCH(INDEX(TF_Akt,MATCH($A64&amp;"|"&amp;J$5,TF_Dom,0)),Aktiviteter,0)))&amp;IF(OR(COUNTIFS(TF_Nokkel,$A64&amp;"|"&amp;J$5,TF_Akt,"&lt;&gt;"&amp;INDEX(TF_Akt,MATCH($A64&amp;"|"&amp;J$5,TF_Dom,0)))&gt;0,AND(IF(J$10="",0,MAX(0,ROUND((J$13-SUMIFS(TF_Timer,TF_Nokkel,$A64&amp;"|"&amp;J$5))*2,0)/2))&gt;0,INDEX(TF_Akt,MATCH($A64&amp;"|"&amp;J$5,TF_Dom,0))&lt;&gt;"LMS")),"+",""),"?"))))</f>
        <v/>
      </c>
      <c r="K64" s="13">
        <f>IF(OR($A64="",K$5=""),"",IF(OR(AND(INDEX(TekFra,45)&gt;0,K$5&lt;INDEX(TekFra,45)),AND(INDEX(TekTil,45)&gt;0,K$5&gt;INDEX(TekTil,45))),"",IF(COUNTIFS(TF_Nokkel,$A64&amp;"|"&amp;K$5)=0,IF(K$10&lt;&gt;"","LMS",""),IFERROR(IF(SUMIFS(TF_Timer,TF_Nokkel,$A64&amp;"|"&amp;K$5,TF_Akt,"LMS")+IF(K$10="",0,MAX(0,ROUND((K$13-SUMIFS(TF_Timer,TF_Nokkel,$A64&amp;"|"&amp;K$5))*2,0)/2))&gt;INDEX(TF_AktSum,MATCH($A64&amp;"|"&amp;K$5,TF_Dom,0)),"LMS",INDEX(AktKode,MATCH(INDEX(TF_Akt,MATCH($A64&amp;"|"&amp;K$5,TF_Dom,0)),Aktiviteter,0)))&amp;IF(OR(COUNTIFS(TF_Nokkel,$A64&amp;"|"&amp;K$5,TF_Akt,"&lt;&gt;"&amp;INDEX(TF_Akt,MATCH($A64&amp;"|"&amp;K$5,TF_Dom,0)))&gt;0,AND(IF(K$10="",0,MAX(0,ROUND((K$13-SUMIFS(TF_Timer,TF_Nokkel,$A64&amp;"|"&amp;K$5))*2,0)/2))&gt;0,INDEX(TF_Akt,MATCH($A64&amp;"|"&amp;K$5,TF_Dom,0))&lt;&gt;"LMS")),"+",""),"?"))))</f>
        <v/>
      </c>
      <c r="L64" s="13">
        <f>IF(OR($A64="",L$5=""),"",IF(OR(AND(INDEX(TekFra,45)&gt;0,L$5&lt;INDEX(TekFra,45)),AND(INDEX(TekTil,45)&gt;0,L$5&gt;INDEX(TekTil,45))),"",IF(COUNTIFS(TF_Nokkel,$A64&amp;"|"&amp;L$5)=0,IF(L$10&lt;&gt;"","LMS",""),IFERROR(IF(SUMIFS(TF_Timer,TF_Nokkel,$A64&amp;"|"&amp;L$5,TF_Akt,"LMS")+IF(L$10="",0,MAX(0,ROUND((L$13-SUMIFS(TF_Timer,TF_Nokkel,$A64&amp;"|"&amp;L$5))*2,0)/2))&gt;INDEX(TF_AktSum,MATCH($A64&amp;"|"&amp;L$5,TF_Dom,0)),"LMS",INDEX(AktKode,MATCH(INDEX(TF_Akt,MATCH($A64&amp;"|"&amp;L$5,TF_Dom,0)),Aktiviteter,0)))&amp;IF(OR(COUNTIFS(TF_Nokkel,$A64&amp;"|"&amp;L$5,TF_Akt,"&lt;&gt;"&amp;INDEX(TF_Akt,MATCH($A64&amp;"|"&amp;L$5,TF_Dom,0)))&gt;0,AND(IF(L$10="",0,MAX(0,ROUND((L$13-SUMIFS(TF_Timer,TF_Nokkel,$A64&amp;"|"&amp;L$5))*2,0)/2))&gt;0,INDEX(TF_Akt,MATCH($A64&amp;"|"&amp;L$5,TF_Dom,0))&lt;&gt;"LMS")),"+",""),"?"))))</f>
        <v/>
      </c>
      <c r="M64" s="13">
        <f>IF(OR($A64="",M$5=""),"",IF(OR(AND(INDEX(TekFra,45)&gt;0,M$5&lt;INDEX(TekFra,45)),AND(INDEX(TekTil,45)&gt;0,M$5&gt;INDEX(TekTil,45))),"",IF(COUNTIFS(TF_Nokkel,$A64&amp;"|"&amp;M$5)=0,IF(M$10&lt;&gt;"","LMS",""),IFERROR(IF(SUMIFS(TF_Timer,TF_Nokkel,$A64&amp;"|"&amp;M$5,TF_Akt,"LMS")+IF(M$10="",0,MAX(0,ROUND((M$13-SUMIFS(TF_Timer,TF_Nokkel,$A64&amp;"|"&amp;M$5))*2,0)/2))&gt;INDEX(TF_AktSum,MATCH($A64&amp;"|"&amp;M$5,TF_Dom,0)),"LMS",INDEX(AktKode,MATCH(INDEX(TF_Akt,MATCH($A64&amp;"|"&amp;M$5,TF_Dom,0)),Aktiviteter,0)))&amp;IF(OR(COUNTIFS(TF_Nokkel,$A64&amp;"|"&amp;M$5,TF_Akt,"&lt;&gt;"&amp;INDEX(TF_Akt,MATCH($A64&amp;"|"&amp;M$5,TF_Dom,0)))&gt;0,AND(IF(M$10="",0,MAX(0,ROUND((M$13-SUMIFS(TF_Timer,TF_Nokkel,$A64&amp;"|"&amp;M$5))*2,0)/2))&gt;0,INDEX(TF_Akt,MATCH($A64&amp;"|"&amp;M$5,TF_Dom,0))&lt;&gt;"LMS")),"+",""),"?"))))</f>
        <v/>
      </c>
      <c r="N64" s="13">
        <f>IF(OR($A64="",N$5=""),"",IF(OR(AND(INDEX(TekFra,45)&gt;0,N$5&lt;INDEX(TekFra,45)),AND(INDEX(TekTil,45)&gt;0,N$5&gt;INDEX(TekTil,45))),"",IF(COUNTIFS(TF_Nokkel,$A64&amp;"|"&amp;N$5)=0,IF(N$10&lt;&gt;"","LMS",""),IFERROR(IF(SUMIFS(TF_Timer,TF_Nokkel,$A64&amp;"|"&amp;N$5,TF_Akt,"LMS")+IF(N$10="",0,MAX(0,ROUND((N$13-SUMIFS(TF_Timer,TF_Nokkel,$A64&amp;"|"&amp;N$5))*2,0)/2))&gt;INDEX(TF_AktSum,MATCH($A64&amp;"|"&amp;N$5,TF_Dom,0)),"LMS",INDEX(AktKode,MATCH(INDEX(TF_Akt,MATCH($A64&amp;"|"&amp;N$5,TF_Dom,0)),Aktiviteter,0)))&amp;IF(OR(COUNTIFS(TF_Nokkel,$A64&amp;"|"&amp;N$5,TF_Akt,"&lt;&gt;"&amp;INDEX(TF_Akt,MATCH($A64&amp;"|"&amp;N$5,TF_Dom,0)))&gt;0,AND(IF(N$10="",0,MAX(0,ROUND((N$13-SUMIFS(TF_Timer,TF_Nokkel,$A64&amp;"|"&amp;N$5))*2,0)/2))&gt;0,INDEX(TF_Akt,MATCH($A64&amp;"|"&amp;N$5,TF_Dom,0))&lt;&gt;"LMS")),"+",""),"?"))))</f>
        <v/>
      </c>
      <c r="O64" s="13">
        <f>IF(OR($A64="",O$5=""),"",IF(OR(AND(INDEX(TekFra,45)&gt;0,O$5&lt;INDEX(TekFra,45)),AND(INDEX(TekTil,45)&gt;0,O$5&gt;INDEX(TekTil,45))),"",IF(COUNTIFS(TF_Nokkel,$A64&amp;"|"&amp;O$5)=0,IF(O$10&lt;&gt;"","LMS",""),IFERROR(IF(SUMIFS(TF_Timer,TF_Nokkel,$A64&amp;"|"&amp;O$5,TF_Akt,"LMS")+IF(O$10="",0,MAX(0,ROUND((O$13-SUMIFS(TF_Timer,TF_Nokkel,$A64&amp;"|"&amp;O$5))*2,0)/2))&gt;INDEX(TF_AktSum,MATCH($A64&amp;"|"&amp;O$5,TF_Dom,0)),"LMS",INDEX(AktKode,MATCH(INDEX(TF_Akt,MATCH($A64&amp;"|"&amp;O$5,TF_Dom,0)),Aktiviteter,0)))&amp;IF(OR(COUNTIFS(TF_Nokkel,$A64&amp;"|"&amp;O$5,TF_Akt,"&lt;&gt;"&amp;INDEX(TF_Akt,MATCH($A64&amp;"|"&amp;O$5,TF_Dom,0)))&gt;0,AND(IF(O$10="",0,MAX(0,ROUND((O$13-SUMIFS(TF_Timer,TF_Nokkel,$A64&amp;"|"&amp;O$5))*2,0)/2))&gt;0,INDEX(TF_Akt,MATCH($A64&amp;"|"&amp;O$5,TF_Dom,0))&lt;&gt;"LMS")),"+",""),"?"))))</f>
        <v/>
      </c>
      <c r="P64" s="13">
        <f>IF(OR($A64="",P$5=""),"",IF(OR(AND(INDEX(TekFra,45)&gt;0,P$5&lt;INDEX(TekFra,45)),AND(INDEX(TekTil,45)&gt;0,P$5&gt;INDEX(TekTil,45))),"",IF(COUNTIFS(TF_Nokkel,$A64&amp;"|"&amp;P$5)=0,IF(P$10&lt;&gt;"","LMS",""),IFERROR(IF(SUMIFS(TF_Timer,TF_Nokkel,$A64&amp;"|"&amp;P$5,TF_Akt,"LMS")+IF(P$10="",0,MAX(0,ROUND((P$13-SUMIFS(TF_Timer,TF_Nokkel,$A64&amp;"|"&amp;P$5))*2,0)/2))&gt;INDEX(TF_AktSum,MATCH($A64&amp;"|"&amp;P$5,TF_Dom,0)),"LMS",INDEX(AktKode,MATCH(INDEX(TF_Akt,MATCH($A64&amp;"|"&amp;P$5,TF_Dom,0)),Aktiviteter,0)))&amp;IF(OR(COUNTIFS(TF_Nokkel,$A64&amp;"|"&amp;P$5,TF_Akt,"&lt;&gt;"&amp;INDEX(TF_Akt,MATCH($A64&amp;"|"&amp;P$5,TF_Dom,0)))&gt;0,AND(IF(P$10="",0,MAX(0,ROUND((P$13-SUMIFS(TF_Timer,TF_Nokkel,$A64&amp;"|"&amp;P$5))*2,0)/2))&gt;0,INDEX(TF_Akt,MATCH($A64&amp;"|"&amp;P$5,TF_Dom,0))&lt;&gt;"LMS")),"+",""),"?"))))</f>
        <v/>
      </c>
      <c r="Q64" s="13">
        <f>IF(OR($A64="",Q$5=""),"",IF(OR(AND(INDEX(TekFra,45)&gt;0,Q$5&lt;INDEX(TekFra,45)),AND(INDEX(TekTil,45)&gt;0,Q$5&gt;INDEX(TekTil,45))),"",IF(COUNTIFS(TF_Nokkel,$A64&amp;"|"&amp;Q$5)=0,IF(Q$10&lt;&gt;"","LMS",""),IFERROR(IF(SUMIFS(TF_Timer,TF_Nokkel,$A64&amp;"|"&amp;Q$5,TF_Akt,"LMS")+IF(Q$10="",0,MAX(0,ROUND((Q$13-SUMIFS(TF_Timer,TF_Nokkel,$A64&amp;"|"&amp;Q$5))*2,0)/2))&gt;INDEX(TF_AktSum,MATCH($A64&amp;"|"&amp;Q$5,TF_Dom,0)),"LMS",INDEX(AktKode,MATCH(INDEX(TF_Akt,MATCH($A64&amp;"|"&amp;Q$5,TF_Dom,0)),Aktiviteter,0)))&amp;IF(OR(COUNTIFS(TF_Nokkel,$A64&amp;"|"&amp;Q$5,TF_Akt,"&lt;&gt;"&amp;INDEX(TF_Akt,MATCH($A64&amp;"|"&amp;Q$5,TF_Dom,0)))&gt;0,AND(IF(Q$10="",0,MAX(0,ROUND((Q$13-SUMIFS(TF_Timer,TF_Nokkel,$A64&amp;"|"&amp;Q$5))*2,0)/2))&gt;0,INDEX(TF_Akt,MATCH($A64&amp;"|"&amp;Q$5,TF_Dom,0))&lt;&gt;"LMS")),"+",""),"?"))))</f>
        <v/>
      </c>
      <c r="R64" s="13">
        <f>IF(OR($A64="",R$5=""),"",IF(OR(AND(INDEX(TekFra,45)&gt;0,R$5&lt;INDEX(TekFra,45)),AND(INDEX(TekTil,45)&gt;0,R$5&gt;INDEX(TekTil,45))),"",IF(COUNTIFS(TF_Nokkel,$A64&amp;"|"&amp;R$5)=0,IF(R$10&lt;&gt;"","LMS",""),IFERROR(IF(SUMIFS(TF_Timer,TF_Nokkel,$A64&amp;"|"&amp;R$5,TF_Akt,"LMS")+IF(R$10="",0,MAX(0,ROUND((R$13-SUMIFS(TF_Timer,TF_Nokkel,$A64&amp;"|"&amp;R$5))*2,0)/2))&gt;INDEX(TF_AktSum,MATCH($A64&amp;"|"&amp;R$5,TF_Dom,0)),"LMS",INDEX(AktKode,MATCH(INDEX(TF_Akt,MATCH($A64&amp;"|"&amp;R$5,TF_Dom,0)),Aktiviteter,0)))&amp;IF(OR(COUNTIFS(TF_Nokkel,$A64&amp;"|"&amp;R$5,TF_Akt,"&lt;&gt;"&amp;INDEX(TF_Akt,MATCH($A64&amp;"|"&amp;R$5,TF_Dom,0)))&gt;0,AND(IF(R$10="",0,MAX(0,ROUND((R$13-SUMIFS(TF_Timer,TF_Nokkel,$A64&amp;"|"&amp;R$5))*2,0)/2))&gt;0,INDEX(TF_Akt,MATCH($A64&amp;"|"&amp;R$5,TF_Dom,0))&lt;&gt;"LMS")),"+",""),"?"))))</f>
        <v/>
      </c>
      <c r="S64" s="13">
        <f>IF(OR($A64="",S$5=""),"",IF(OR(AND(INDEX(TekFra,45)&gt;0,S$5&lt;INDEX(TekFra,45)),AND(INDEX(TekTil,45)&gt;0,S$5&gt;INDEX(TekTil,45))),"",IF(COUNTIFS(TF_Nokkel,$A64&amp;"|"&amp;S$5)=0,IF(S$10&lt;&gt;"","LMS",""),IFERROR(IF(SUMIFS(TF_Timer,TF_Nokkel,$A64&amp;"|"&amp;S$5,TF_Akt,"LMS")+IF(S$10="",0,MAX(0,ROUND((S$13-SUMIFS(TF_Timer,TF_Nokkel,$A64&amp;"|"&amp;S$5))*2,0)/2))&gt;INDEX(TF_AktSum,MATCH($A64&amp;"|"&amp;S$5,TF_Dom,0)),"LMS",INDEX(AktKode,MATCH(INDEX(TF_Akt,MATCH($A64&amp;"|"&amp;S$5,TF_Dom,0)),Aktiviteter,0)))&amp;IF(OR(COUNTIFS(TF_Nokkel,$A64&amp;"|"&amp;S$5,TF_Akt,"&lt;&gt;"&amp;INDEX(TF_Akt,MATCH($A64&amp;"|"&amp;S$5,TF_Dom,0)))&gt;0,AND(IF(S$10="",0,MAX(0,ROUND((S$13-SUMIFS(TF_Timer,TF_Nokkel,$A64&amp;"|"&amp;S$5))*2,0)/2))&gt;0,INDEX(TF_Akt,MATCH($A64&amp;"|"&amp;S$5,TF_Dom,0))&lt;&gt;"LMS")),"+",""),"?"))))</f>
        <v/>
      </c>
      <c r="T64" s="13">
        <f>IF(OR($A64="",T$5=""),"",IF(OR(AND(INDEX(TekFra,45)&gt;0,T$5&lt;INDEX(TekFra,45)),AND(INDEX(TekTil,45)&gt;0,T$5&gt;INDEX(TekTil,45))),"",IF(COUNTIFS(TF_Nokkel,$A64&amp;"|"&amp;T$5)=0,IF(T$10&lt;&gt;"","LMS",""),IFERROR(IF(SUMIFS(TF_Timer,TF_Nokkel,$A64&amp;"|"&amp;T$5,TF_Akt,"LMS")+IF(T$10="",0,MAX(0,ROUND((T$13-SUMIFS(TF_Timer,TF_Nokkel,$A64&amp;"|"&amp;T$5))*2,0)/2))&gt;INDEX(TF_AktSum,MATCH($A64&amp;"|"&amp;T$5,TF_Dom,0)),"LMS",INDEX(AktKode,MATCH(INDEX(TF_Akt,MATCH($A64&amp;"|"&amp;T$5,TF_Dom,0)),Aktiviteter,0)))&amp;IF(OR(COUNTIFS(TF_Nokkel,$A64&amp;"|"&amp;T$5,TF_Akt,"&lt;&gt;"&amp;INDEX(TF_Akt,MATCH($A64&amp;"|"&amp;T$5,TF_Dom,0)))&gt;0,AND(IF(T$10="",0,MAX(0,ROUND((T$13-SUMIFS(TF_Timer,TF_Nokkel,$A64&amp;"|"&amp;T$5))*2,0)/2))&gt;0,INDEX(TF_Akt,MATCH($A64&amp;"|"&amp;T$5,TF_Dom,0))&lt;&gt;"LMS")),"+",""),"?"))))</f>
        <v/>
      </c>
      <c r="U64" s="13">
        <f>IF(OR($A64="",U$5=""),"",IF(OR(AND(INDEX(TekFra,45)&gt;0,U$5&lt;INDEX(TekFra,45)),AND(INDEX(TekTil,45)&gt;0,U$5&gt;INDEX(TekTil,45))),"",IF(COUNTIFS(TF_Nokkel,$A64&amp;"|"&amp;U$5)=0,IF(U$10&lt;&gt;"","LMS",""),IFERROR(IF(SUMIFS(TF_Timer,TF_Nokkel,$A64&amp;"|"&amp;U$5,TF_Akt,"LMS")+IF(U$10="",0,MAX(0,ROUND((U$13-SUMIFS(TF_Timer,TF_Nokkel,$A64&amp;"|"&amp;U$5))*2,0)/2))&gt;INDEX(TF_AktSum,MATCH($A64&amp;"|"&amp;U$5,TF_Dom,0)),"LMS",INDEX(AktKode,MATCH(INDEX(TF_Akt,MATCH($A64&amp;"|"&amp;U$5,TF_Dom,0)),Aktiviteter,0)))&amp;IF(OR(COUNTIFS(TF_Nokkel,$A64&amp;"|"&amp;U$5,TF_Akt,"&lt;&gt;"&amp;INDEX(TF_Akt,MATCH($A64&amp;"|"&amp;U$5,TF_Dom,0)))&gt;0,AND(IF(U$10="",0,MAX(0,ROUND((U$13-SUMIFS(TF_Timer,TF_Nokkel,$A64&amp;"|"&amp;U$5))*2,0)/2))&gt;0,INDEX(TF_Akt,MATCH($A64&amp;"|"&amp;U$5,TF_Dom,0))&lt;&gt;"LMS")),"+",""),"?"))))</f>
        <v/>
      </c>
      <c r="V64" s="13">
        <f>IF(OR($A64="",V$5=""),"",IF(OR(AND(INDEX(TekFra,45)&gt;0,V$5&lt;INDEX(TekFra,45)),AND(INDEX(TekTil,45)&gt;0,V$5&gt;INDEX(TekTil,45))),"",IF(COUNTIFS(TF_Nokkel,$A64&amp;"|"&amp;V$5)=0,IF(V$10&lt;&gt;"","LMS",""),IFERROR(IF(SUMIFS(TF_Timer,TF_Nokkel,$A64&amp;"|"&amp;V$5,TF_Akt,"LMS")+IF(V$10="",0,MAX(0,ROUND((V$13-SUMIFS(TF_Timer,TF_Nokkel,$A64&amp;"|"&amp;V$5))*2,0)/2))&gt;INDEX(TF_AktSum,MATCH($A64&amp;"|"&amp;V$5,TF_Dom,0)),"LMS",INDEX(AktKode,MATCH(INDEX(TF_Akt,MATCH($A64&amp;"|"&amp;V$5,TF_Dom,0)),Aktiviteter,0)))&amp;IF(OR(COUNTIFS(TF_Nokkel,$A64&amp;"|"&amp;V$5,TF_Akt,"&lt;&gt;"&amp;INDEX(TF_Akt,MATCH($A64&amp;"|"&amp;V$5,TF_Dom,0)))&gt;0,AND(IF(V$10="",0,MAX(0,ROUND((V$13-SUMIFS(TF_Timer,TF_Nokkel,$A64&amp;"|"&amp;V$5))*2,0)/2))&gt;0,INDEX(TF_Akt,MATCH($A64&amp;"|"&amp;V$5,TF_Dom,0))&lt;&gt;"LMS")),"+",""),"?"))))</f>
        <v/>
      </c>
      <c r="W64" s="13">
        <f>IF(OR($A64="",W$5=""),"",IF(OR(AND(INDEX(TekFra,45)&gt;0,W$5&lt;INDEX(TekFra,45)),AND(INDEX(TekTil,45)&gt;0,W$5&gt;INDEX(TekTil,45))),"",IF(COUNTIFS(TF_Nokkel,$A64&amp;"|"&amp;W$5)=0,IF(W$10&lt;&gt;"","LMS",""),IFERROR(IF(SUMIFS(TF_Timer,TF_Nokkel,$A64&amp;"|"&amp;W$5,TF_Akt,"LMS")+IF(W$10="",0,MAX(0,ROUND((W$13-SUMIFS(TF_Timer,TF_Nokkel,$A64&amp;"|"&amp;W$5))*2,0)/2))&gt;INDEX(TF_AktSum,MATCH($A64&amp;"|"&amp;W$5,TF_Dom,0)),"LMS",INDEX(AktKode,MATCH(INDEX(TF_Akt,MATCH($A64&amp;"|"&amp;W$5,TF_Dom,0)),Aktiviteter,0)))&amp;IF(OR(COUNTIFS(TF_Nokkel,$A64&amp;"|"&amp;W$5,TF_Akt,"&lt;&gt;"&amp;INDEX(TF_Akt,MATCH($A64&amp;"|"&amp;W$5,TF_Dom,0)))&gt;0,AND(IF(W$10="",0,MAX(0,ROUND((W$13-SUMIFS(TF_Timer,TF_Nokkel,$A64&amp;"|"&amp;W$5))*2,0)/2))&gt;0,INDEX(TF_Akt,MATCH($A64&amp;"|"&amp;W$5,TF_Dom,0))&lt;&gt;"LMS")),"+",""),"?"))))</f>
        <v/>
      </c>
      <c r="X64" s="13">
        <f>IF(OR($A64="",X$5=""),"",IF(OR(AND(INDEX(TekFra,45)&gt;0,X$5&lt;INDEX(TekFra,45)),AND(INDEX(TekTil,45)&gt;0,X$5&gt;INDEX(TekTil,45))),"",IF(COUNTIFS(TF_Nokkel,$A64&amp;"|"&amp;X$5)=0,IF(X$10&lt;&gt;"","LMS",""),IFERROR(IF(SUMIFS(TF_Timer,TF_Nokkel,$A64&amp;"|"&amp;X$5,TF_Akt,"LMS")+IF(X$10="",0,MAX(0,ROUND((X$13-SUMIFS(TF_Timer,TF_Nokkel,$A64&amp;"|"&amp;X$5))*2,0)/2))&gt;INDEX(TF_AktSum,MATCH($A64&amp;"|"&amp;X$5,TF_Dom,0)),"LMS",INDEX(AktKode,MATCH(INDEX(TF_Akt,MATCH($A64&amp;"|"&amp;X$5,TF_Dom,0)),Aktiviteter,0)))&amp;IF(OR(COUNTIFS(TF_Nokkel,$A64&amp;"|"&amp;X$5,TF_Akt,"&lt;&gt;"&amp;INDEX(TF_Akt,MATCH($A64&amp;"|"&amp;X$5,TF_Dom,0)))&gt;0,AND(IF(X$10="",0,MAX(0,ROUND((X$13-SUMIFS(TF_Timer,TF_Nokkel,$A64&amp;"|"&amp;X$5))*2,0)/2))&gt;0,INDEX(TF_Akt,MATCH($A64&amp;"|"&amp;X$5,TF_Dom,0))&lt;&gt;"LMS")),"+",""),"?"))))</f>
        <v/>
      </c>
      <c r="Y64" s="13">
        <f>IF(OR($A64="",Y$5=""),"",IF(OR(AND(INDEX(TekFra,45)&gt;0,Y$5&lt;INDEX(TekFra,45)),AND(INDEX(TekTil,45)&gt;0,Y$5&gt;INDEX(TekTil,45))),"",IF(COUNTIFS(TF_Nokkel,$A64&amp;"|"&amp;Y$5)=0,IF(Y$10&lt;&gt;"","LMS",""),IFERROR(IF(SUMIFS(TF_Timer,TF_Nokkel,$A64&amp;"|"&amp;Y$5,TF_Akt,"LMS")+IF(Y$10="",0,MAX(0,ROUND((Y$13-SUMIFS(TF_Timer,TF_Nokkel,$A64&amp;"|"&amp;Y$5))*2,0)/2))&gt;INDEX(TF_AktSum,MATCH($A64&amp;"|"&amp;Y$5,TF_Dom,0)),"LMS",INDEX(AktKode,MATCH(INDEX(TF_Akt,MATCH($A64&amp;"|"&amp;Y$5,TF_Dom,0)),Aktiviteter,0)))&amp;IF(OR(COUNTIFS(TF_Nokkel,$A64&amp;"|"&amp;Y$5,TF_Akt,"&lt;&gt;"&amp;INDEX(TF_Akt,MATCH($A64&amp;"|"&amp;Y$5,TF_Dom,0)))&gt;0,AND(IF(Y$10="",0,MAX(0,ROUND((Y$13-SUMIFS(TF_Timer,TF_Nokkel,$A64&amp;"|"&amp;Y$5))*2,0)/2))&gt;0,INDEX(TF_Akt,MATCH($A64&amp;"|"&amp;Y$5,TF_Dom,0))&lt;&gt;"LMS")),"+",""),"?"))))</f>
        <v/>
      </c>
      <c r="Z64" s="13">
        <f>IF(OR($A64="",Z$5=""),"",IF(OR(AND(INDEX(TekFra,45)&gt;0,Z$5&lt;INDEX(TekFra,45)),AND(INDEX(TekTil,45)&gt;0,Z$5&gt;INDEX(TekTil,45))),"",IF(COUNTIFS(TF_Nokkel,$A64&amp;"|"&amp;Z$5)=0,IF(Z$10&lt;&gt;"","LMS",""),IFERROR(IF(SUMIFS(TF_Timer,TF_Nokkel,$A64&amp;"|"&amp;Z$5,TF_Akt,"LMS")+IF(Z$10="",0,MAX(0,ROUND((Z$13-SUMIFS(TF_Timer,TF_Nokkel,$A64&amp;"|"&amp;Z$5))*2,0)/2))&gt;INDEX(TF_AktSum,MATCH($A64&amp;"|"&amp;Z$5,TF_Dom,0)),"LMS",INDEX(AktKode,MATCH(INDEX(TF_Akt,MATCH($A64&amp;"|"&amp;Z$5,TF_Dom,0)),Aktiviteter,0)))&amp;IF(OR(COUNTIFS(TF_Nokkel,$A64&amp;"|"&amp;Z$5,TF_Akt,"&lt;&gt;"&amp;INDEX(TF_Akt,MATCH($A64&amp;"|"&amp;Z$5,TF_Dom,0)))&gt;0,AND(IF(Z$10="",0,MAX(0,ROUND((Z$13-SUMIFS(TF_Timer,TF_Nokkel,$A64&amp;"|"&amp;Z$5))*2,0)/2))&gt;0,INDEX(TF_Akt,MATCH($A64&amp;"|"&amp;Z$5,TF_Dom,0))&lt;&gt;"LMS")),"+",""),"?"))))</f>
        <v/>
      </c>
      <c r="AA64" s="13">
        <f>IF(OR($A64="",AA$5=""),"",IF(OR(AND(INDEX(TekFra,45)&gt;0,AA$5&lt;INDEX(TekFra,45)),AND(INDEX(TekTil,45)&gt;0,AA$5&gt;INDEX(TekTil,45))),"",IF(COUNTIFS(TF_Nokkel,$A64&amp;"|"&amp;AA$5)=0,IF(AA$10&lt;&gt;"","LMS",""),IFERROR(IF(SUMIFS(TF_Timer,TF_Nokkel,$A64&amp;"|"&amp;AA$5,TF_Akt,"LMS")+IF(AA$10="",0,MAX(0,ROUND((AA$13-SUMIFS(TF_Timer,TF_Nokkel,$A64&amp;"|"&amp;AA$5))*2,0)/2))&gt;INDEX(TF_AktSum,MATCH($A64&amp;"|"&amp;AA$5,TF_Dom,0)),"LMS",INDEX(AktKode,MATCH(INDEX(TF_Akt,MATCH($A64&amp;"|"&amp;AA$5,TF_Dom,0)),Aktiviteter,0)))&amp;IF(OR(COUNTIFS(TF_Nokkel,$A64&amp;"|"&amp;AA$5,TF_Akt,"&lt;&gt;"&amp;INDEX(TF_Akt,MATCH($A64&amp;"|"&amp;AA$5,TF_Dom,0)))&gt;0,AND(IF(AA$10="",0,MAX(0,ROUND((AA$13-SUMIFS(TF_Timer,TF_Nokkel,$A64&amp;"|"&amp;AA$5))*2,0)/2))&gt;0,INDEX(TF_Akt,MATCH($A64&amp;"|"&amp;AA$5,TF_Dom,0))&lt;&gt;"LMS")),"+",""),"?"))))</f>
        <v/>
      </c>
      <c r="AB64" s="13">
        <f>IF(OR($A64="",AB$5=""),"",IF(OR(AND(INDEX(TekFra,45)&gt;0,AB$5&lt;INDEX(TekFra,45)),AND(INDEX(TekTil,45)&gt;0,AB$5&gt;INDEX(TekTil,45))),"",IF(COUNTIFS(TF_Nokkel,$A64&amp;"|"&amp;AB$5)=0,IF(AB$10&lt;&gt;"","LMS",""),IFERROR(IF(SUMIFS(TF_Timer,TF_Nokkel,$A64&amp;"|"&amp;AB$5,TF_Akt,"LMS")+IF(AB$10="",0,MAX(0,ROUND((AB$13-SUMIFS(TF_Timer,TF_Nokkel,$A64&amp;"|"&amp;AB$5))*2,0)/2))&gt;INDEX(TF_AktSum,MATCH($A64&amp;"|"&amp;AB$5,TF_Dom,0)),"LMS",INDEX(AktKode,MATCH(INDEX(TF_Akt,MATCH($A64&amp;"|"&amp;AB$5,TF_Dom,0)),Aktiviteter,0)))&amp;IF(OR(COUNTIFS(TF_Nokkel,$A64&amp;"|"&amp;AB$5,TF_Akt,"&lt;&gt;"&amp;INDEX(TF_Akt,MATCH($A64&amp;"|"&amp;AB$5,TF_Dom,0)))&gt;0,AND(IF(AB$10="",0,MAX(0,ROUND((AB$13-SUMIFS(TF_Timer,TF_Nokkel,$A64&amp;"|"&amp;AB$5))*2,0)/2))&gt;0,INDEX(TF_Akt,MATCH($A64&amp;"|"&amp;AB$5,TF_Dom,0))&lt;&gt;"LMS")),"+",""),"?"))))</f>
        <v/>
      </c>
      <c r="AC64" s="13">
        <f>IF(OR($A64="",AC$5=""),"",IF(OR(AND(INDEX(TekFra,45)&gt;0,AC$5&lt;INDEX(TekFra,45)),AND(INDEX(TekTil,45)&gt;0,AC$5&gt;INDEX(TekTil,45))),"",IF(COUNTIFS(TF_Nokkel,$A64&amp;"|"&amp;AC$5)=0,IF(AC$10&lt;&gt;"","LMS",""),IFERROR(IF(SUMIFS(TF_Timer,TF_Nokkel,$A64&amp;"|"&amp;AC$5,TF_Akt,"LMS")+IF(AC$10="",0,MAX(0,ROUND((AC$13-SUMIFS(TF_Timer,TF_Nokkel,$A64&amp;"|"&amp;AC$5))*2,0)/2))&gt;INDEX(TF_AktSum,MATCH($A64&amp;"|"&amp;AC$5,TF_Dom,0)),"LMS",INDEX(AktKode,MATCH(INDEX(TF_Akt,MATCH($A64&amp;"|"&amp;AC$5,TF_Dom,0)),Aktiviteter,0)))&amp;IF(OR(COUNTIFS(TF_Nokkel,$A64&amp;"|"&amp;AC$5,TF_Akt,"&lt;&gt;"&amp;INDEX(TF_Akt,MATCH($A64&amp;"|"&amp;AC$5,TF_Dom,0)))&gt;0,AND(IF(AC$10="",0,MAX(0,ROUND((AC$13-SUMIFS(TF_Timer,TF_Nokkel,$A64&amp;"|"&amp;AC$5))*2,0)/2))&gt;0,INDEX(TF_Akt,MATCH($A64&amp;"|"&amp;AC$5,TF_Dom,0))&lt;&gt;"LMS")),"+",""),"?"))))</f>
        <v/>
      </c>
      <c r="AD64" s="13">
        <f>IF(OR($A64="",AD$5=""),"",IF(OR(AND(INDEX(TekFra,45)&gt;0,AD$5&lt;INDEX(TekFra,45)),AND(INDEX(TekTil,45)&gt;0,AD$5&gt;INDEX(TekTil,45))),"",IF(COUNTIFS(TF_Nokkel,$A64&amp;"|"&amp;AD$5)=0,IF(AD$10&lt;&gt;"","LMS",""),IFERROR(IF(SUMIFS(TF_Timer,TF_Nokkel,$A64&amp;"|"&amp;AD$5,TF_Akt,"LMS")+IF(AD$10="",0,MAX(0,ROUND((AD$13-SUMIFS(TF_Timer,TF_Nokkel,$A64&amp;"|"&amp;AD$5))*2,0)/2))&gt;INDEX(TF_AktSum,MATCH($A64&amp;"|"&amp;AD$5,TF_Dom,0)),"LMS",INDEX(AktKode,MATCH(INDEX(TF_Akt,MATCH($A64&amp;"|"&amp;AD$5,TF_Dom,0)),Aktiviteter,0)))&amp;IF(OR(COUNTIFS(TF_Nokkel,$A64&amp;"|"&amp;AD$5,TF_Akt,"&lt;&gt;"&amp;INDEX(TF_Akt,MATCH($A64&amp;"|"&amp;AD$5,TF_Dom,0)))&gt;0,AND(IF(AD$10="",0,MAX(0,ROUND((AD$13-SUMIFS(TF_Timer,TF_Nokkel,$A64&amp;"|"&amp;AD$5))*2,0)/2))&gt;0,INDEX(TF_Akt,MATCH($A64&amp;"|"&amp;AD$5,TF_Dom,0))&lt;&gt;"LMS")),"+",""),"?"))))</f>
        <v/>
      </c>
      <c r="AE64" s="13">
        <f>IF(OR($A64="",AE$5=""),"",IF(OR(AND(INDEX(TekFra,45)&gt;0,AE$5&lt;INDEX(TekFra,45)),AND(INDEX(TekTil,45)&gt;0,AE$5&gt;INDEX(TekTil,45))),"",IF(COUNTIFS(TF_Nokkel,$A64&amp;"|"&amp;AE$5)=0,IF(AE$10&lt;&gt;"","LMS",""),IFERROR(IF(SUMIFS(TF_Timer,TF_Nokkel,$A64&amp;"|"&amp;AE$5,TF_Akt,"LMS")+IF(AE$10="",0,MAX(0,ROUND((AE$13-SUMIFS(TF_Timer,TF_Nokkel,$A64&amp;"|"&amp;AE$5))*2,0)/2))&gt;INDEX(TF_AktSum,MATCH($A64&amp;"|"&amp;AE$5,TF_Dom,0)),"LMS",INDEX(AktKode,MATCH(INDEX(TF_Akt,MATCH($A64&amp;"|"&amp;AE$5,TF_Dom,0)),Aktiviteter,0)))&amp;IF(OR(COUNTIFS(TF_Nokkel,$A64&amp;"|"&amp;AE$5,TF_Akt,"&lt;&gt;"&amp;INDEX(TF_Akt,MATCH($A64&amp;"|"&amp;AE$5,TF_Dom,0)))&gt;0,AND(IF(AE$10="",0,MAX(0,ROUND((AE$13-SUMIFS(TF_Timer,TF_Nokkel,$A64&amp;"|"&amp;AE$5))*2,0)/2))&gt;0,INDEX(TF_Akt,MATCH($A64&amp;"|"&amp;AE$5,TF_Dom,0))&lt;&gt;"LMS")),"+",""),"?"))))</f>
        <v/>
      </c>
      <c r="AF64" s="13">
        <f>IF(OR($A64="",AF$5=""),"",IF(OR(AND(INDEX(TekFra,45)&gt;0,AF$5&lt;INDEX(TekFra,45)),AND(INDEX(TekTil,45)&gt;0,AF$5&gt;INDEX(TekTil,45))),"",IF(COUNTIFS(TF_Nokkel,$A64&amp;"|"&amp;AF$5)=0,IF(AF$10&lt;&gt;"","LMS",""),IFERROR(IF(SUMIFS(TF_Timer,TF_Nokkel,$A64&amp;"|"&amp;AF$5,TF_Akt,"LMS")+IF(AF$10="",0,MAX(0,ROUND((AF$13-SUMIFS(TF_Timer,TF_Nokkel,$A64&amp;"|"&amp;AF$5))*2,0)/2))&gt;INDEX(TF_AktSum,MATCH($A64&amp;"|"&amp;AF$5,TF_Dom,0)),"LMS",INDEX(AktKode,MATCH(INDEX(TF_Akt,MATCH($A64&amp;"|"&amp;AF$5,TF_Dom,0)),Aktiviteter,0)))&amp;IF(OR(COUNTIFS(TF_Nokkel,$A64&amp;"|"&amp;AF$5,TF_Akt,"&lt;&gt;"&amp;INDEX(TF_Akt,MATCH($A64&amp;"|"&amp;AF$5,TF_Dom,0)))&gt;0,AND(IF(AF$10="",0,MAX(0,ROUND((AF$13-SUMIFS(TF_Timer,TF_Nokkel,$A64&amp;"|"&amp;AF$5))*2,0)/2))&gt;0,INDEX(TF_Akt,MATCH($A64&amp;"|"&amp;AF$5,TF_Dom,0))&lt;&gt;"LMS")),"+",""),"?"))))</f>
        <v/>
      </c>
      <c r="AG64" s="13">
        <f>IF(OR($A64="",AG$5=""),"",IF(OR(AND(INDEX(TekFra,45)&gt;0,AG$5&lt;INDEX(TekFra,45)),AND(INDEX(TekTil,45)&gt;0,AG$5&gt;INDEX(TekTil,45))),"",IF(COUNTIFS(TF_Nokkel,$A64&amp;"|"&amp;AG$5)=0,IF(AG$10&lt;&gt;"","LMS",""),IFERROR(IF(SUMIFS(TF_Timer,TF_Nokkel,$A64&amp;"|"&amp;AG$5,TF_Akt,"LMS")+IF(AG$10="",0,MAX(0,ROUND((AG$13-SUMIFS(TF_Timer,TF_Nokkel,$A64&amp;"|"&amp;AG$5))*2,0)/2))&gt;INDEX(TF_AktSum,MATCH($A64&amp;"|"&amp;AG$5,TF_Dom,0)),"LMS",INDEX(AktKode,MATCH(INDEX(TF_Akt,MATCH($A64&amp;"|"&amp;AG$5,TF_Dom,0)),Aktiviteter,0)))&amp;IF(OR(COUNTIFS(TF_Nokkel,$A64&amp;"|"&amp;AG$5,TF_Akt,"&lt;&gt;"&amp;INDEX(TF_Akt,MATCH($A64&amp;"|"&amp;AG$5,TF_Dom,0)))&gt;0,AND(IF(AG$10="",0,MAX(0,ROUND((AG$13-SUMIFS(TF_Timer,TF_Nokkel,$A64&amp;"|"&amp;AG$5))*2,0)/2))&gt;0,INDEX(TF_Akt,MATCH($A64&amp;"|"&amp;AG$5,TF_Dom,0))&lt;&gt;"LMS")),"+",""),"?"))))</f>
        <v/>
      </c>
      <c r="AH64" s="2" t="n"/>
      <c r="AI64" s="2" t="n"/>
      <c r="AJ64" s="2" t="n"/>
    </row>
    <row r="65">
      <c r="A65" s="2">
        <f>INDEX(Teknikere,46)&amp;""</f>
        <v/>
      </c>
      <c r="B65" s="12">
        <f>IF(INDEX(TekFra,46)&gt;0,"ekstra","")</f>
        <v/>
      </c>
      <c r="C65" s="13">
        <f>IF(OR($A65="",C$5=""),"",IF(OR(AND(INDEX(TekFra,46)&gt;0,C$5&lt;INDEX(TekFra,46)),AND(INDEX(TekTil,46)&gt;0,C$5&gt;INDEX(TekTil,46))),"",IF(COUNTIFS(TF_Nokkel,$A65&amp;"|"&amp;C$5)=0,IF(C$10&lt;&gt;"","LMS",""),IFERROR(IF(SUMIFS(TF_Timer,TF_Nokkel,$A65&amp;"|"&amp;C$5,TF_Akt,"LMS")+IF(C$10="",0,MAX(0,ROUND((C$13-SUMIFS(TF_Timer,TF_Nokkel,$A65&amp;"|"&amp;C$5))*2,0)/2))&gt;INDEX(TF_AktSum,MATCH($A65&amp;"|"&amp;C$5,TF_Dom,0)),"LMS",INDEX(AktKode,MATCH(INDEX(TF_Akt,MATCH($A65&amp;"|"&amp;C$5,TF_Dom,0)),Aktiviteter,0)))&amp;IF(OR(COUNTIFS(TF_Nokkel,$A65&amp;"|"&amp;C$5,TF_Akt,"&lt;&gt;"&amp;INDEX(TF_Akt,MATCH($A65&amp;"|"&amp;C$5,TF_Dom,0)))&gt;0,AND(IF(C$10="",0,MAX(0,ROUND((C$13-SUMIFS(TF_Timer,TF_Nokkel,$A65&amp;"|"&amp;C$5))*2,0)/2))&gt;0,INDEX(TF_Akt,MATCH($A65&amp;"|"&amp;C$5,TF_Dom,0))&lt;&gt;"LMS")),"+",""),"?"))))</f>
        <v/>
      </c>
      <c r="D65" s="13">
        <f>IF(OR($A65="",D$5=""),"",IF(OR(AND(INDEX(TekFra,46)&gt;0,D$5&lt;INDEX(TekFra,46)),AND(INDEX(TekTil,46)&gt;0,D$5&gt;INDEX(TekTil,46))),"",IF(COUNTIFS(TF_Nokkel,$A65&amp;"|"&amp;D$5)=0,IF(D$10&lt;&gt;"","LMS",""),IFERROR(IF(SUMIFS(TF_Timer,TF_Nokkel,$A65&amp;"|"&amp;D$5,TF_Akt,"LMS")+IF(D$10="",0,MAX(0,ROUND((D$13-SUMIFS(TF_Timer,TF_Nokkel,$A65&amp;"|"&amp;D$5))*2,0)/2))&gt;INDEX(TF_AktSum,MATCH($A65&amp;"|"&amp;D$5,TF_Dom,0)),"LMS",INDEX(AktKode,MATCH(INDEX(TF_Akt,MATCH($A65&amp;"|"&amp;D$5,TF_Dom,0)),Aktiviteter,0)))&amp;IF(OR(COUNTIFS(TF_Nokkel,$A65&amp;"|"&amp;D$5,TF_Akt,"&lt;&gt;"&amp;INDEX(TF_Akt,MATCH($A65&amp;"|"&amp;D$5,TF_Dom,0)))&gt;0,AND(IF(D$10="",0,MAX(0,ROUND((D$13-SUMIFS(TF_Timer,TF_Nokkel,$A65&amp;"|"&amp;D$5))*2,0)/2))&gt;0,INDEX(TF_Akt,MATCH($A65&amp;"|"&amp;D$5,TF_Dom,0))&lt;&gt;"LMS")),"+",""),"?"))))</f>
        <v/>
      </c>
      <c r="E65" s="13">
        <f>IF(OR($A65="",E$5=""),"",IF(OR(AND(INDEX(TekFra,46)&gt;0,E$5&lt;INDEX(TekFra,46)),AND(INDEX(TekTil,46)&gt;0,E$5&gt;INDEX(TekTil,46))),"",IF(COUNTIFS(TF_Nokkel,$A65&amp;"|"&amp;E$5)=0,IF(E$10&lt;&gt;"","LMS",""),IFERROR(IF(SUMIFS(TF_Timer,TF_Nokkel,$A65&amp;"|"&amp;E$5,TF_Akt,"LMS")+IF(E$10="",0,MAX(0,ROUND((E$13-SUMIFS(TF_Timer,TF_Nokkel,$A65&amp;"|"&amp;E$5))*2,0)/2))&gt;INDEX(TF_AktSum,MATCH($A65&amp;"|"&amp;E$5,TF_Dom,0)),"LMS",INDEX(AktKode,MATCH(INDEX(TF_Akt,MATCH($A65&amp;"|"&amp;E$5,TF_Dom,0)),Aktiviteter,0)))&amp;IF(OR(COUNTIFS(TF_Nokkel,$A65&amp;"|"&amp;E$5,TF_Akt,"&lt;&gt;"&amp;INDEX(TF_Akt,MATCH($A65&amp;"|"&amp;E$5,TF_Dom,0)))&gt;0,AND(IF(E$10="",0,MAX(0,ROUND((E$13-SUMIFS(TF_Timer,TF_Nokkel,$A65&amp;"|"&amp;E$5))*2,0)/2))&gt;0,INDEX(TF_Akt,MATCH($A65&amp;"|"&amp;E$5,TF_Dom,0))&lt;&gt;"LMS")),"+",""),"?"))))</f>
        <v/>
      </c>
      <c r="F65" s="13">
        <f>IF(OR($A65="",F$5=""),"",IF(OR(AND(INDEX(TekFra,46)&gt;0,F$5&lt;INDEX(TekFra,46)),AND(INDEX(TekTil,46)&gt;0,F$5&gt;INDEX(TekTil,46))),"",IF(COUNTIFS(TF_Nokkel,$A65&amp;"|"&amp;F$5)=0,IF(F$10&lt;&gt;"","LMS",""),IFERROR(IF(SUMIFS(TF_Timer,TF_Nokkel,$A65&amp;"|"&amp;F$5,TF_Akt,"LMS")+IF(F$10="",0,MAX(0,ROUND((F$13-SUMIFS(TF_Timer,TF_Nokkel,$A65&amp;"|"&amp;F$5))*2,0)/2))&gt;INDEX(TF_AktSum,MATCH($A65&amp;"|"&amp;F$5,TF_Dom,0)),"LMS",INDEX(AktKode,MATCH(INDEX(TF_Akt,MATCH($A65&amp;"|"&amp;F$5,TF_Dom,0)),Aktiviteter,0)))&amp;IF(OR(COUNTIFS(TF_Nokkel,$A65&amp;"|"&amp;F$5,TF_Akt,"&lt;&gt;"&amp;INDEX(TF_Akt,MATCH($A65&amp;"|"&amp;F$5,TF_Dom,0)))&gt;0,AND(IF(F$10="",0,MAX(0,ROUND((F$13-SUMIFS(TF_Timer,TF_Nokkel,$A65&amp;"|"&amp;F$5))*2,0)/2))&gt;0,INDEX(TF_Akt,MATCH($A65&amp;"|"&amp;F$5,TF_Dom,0))&lt;&gt;"LMS")),"+",""),"?"))))</f>
        <v/>
      </c>
      <c r="G65" s="13">
        <f>IF(OR($A65="",G$5=""),"",IF(OR(AND(INDEX(TekFra,46)&gt;0,G$5&lt;INDEX(TekFra,46)),AND(INDEX(TekTil,46)&gt;0,G$5&gt;INDEX(TekTil,46))),"",IF(COUNTIFS(TF_Nokkel,$A65&amp;"|"&amp;G$5)=0,IF(G$10&lt;&gt;"","LMS",""),IFERROR(IF(SUMIFS(TF_Timer,TF_Nokkel,$A65&amp;"|"&amp;G$5,TF_Akt,"LMS")+IF(G$10="",0,MAX(0,ROUND((G$13-SUMIFS(TF_Timer,TF_Nokkel,$A65&amp;"|"&amp;G$5))*2,0)/2))&gt;INDEX(TF_AktSum,MATCH($A65&amp;"|"&amp;G$5,TF_Dom,0)),"LMS",INDEX(AktKode,MATCH(INDEX(TF_Akt,MATCH($A65&amp;"|"&amp;G$5,TF_Dom,0)),Aktiviteter,0)))&amp;IF(OR(COUNTIFS(TF_Nokkel,$A65&amp;"|"&amp;G$5,TF_Akt,"&lt;&gt;"&amp;INDEX(TF_Akt,MATCH($A65&amp;"|"&amp;G$5,TF_Dom,0)))&gt;0,AND(IF(G$10="",0,MAX(0,ROUND((G$13-SUMIFS(TF_Timer,TF_Nokkel,$A65&amp;"|"&amp;G$5))*2,0)/2))&gt;0,INDEX(TF_Akt,MATCH($A65&amp;"|"&amp;G$5,TF_Dom,0))&lt;&gt;"LMS")),"+",""),"?"))))</f>
        <v/>
      </c>
      <c r="H65" s="13">
        <f>IF(OR($A65="",H$5=""),"",IF(OR(AND(INDEX(TekFra,46)&gt;0,H$5&lt;INDEX(TekFra,46)),AND(INDEX(TekTil,46)&gt;0,H$5&gt;INDEX(TekTil,46))),"",IF(COUNTIFS(TF_Nokkel,$A65&amp;"|"&amp;H$5)=0,IF(H$10&lt;&gt;"","LMS",""),IFERROR(IF(SUMIFS(TF_Timer,TF_Nokkel,$A65&amp;"|"&amp;H$5,TF_Akt,"LMS")+IF(H$10="",0,MAX(0,ROUND((H$13-SUMIFS(TF_Timer,TF_Nokkel,$A65&amp;"|"&amp;H$5))*2,0)/2))&gt;INDEX(TF_AktSum,MATCH($A65&amp;"|"&amp;H$5,TF_Dom,0)),"LMS",INDEX(AktKode,MATCH(INDEX(TF_Akt,MATCH($A65&amp;"|"&amp;H$5,TF_Dom,0)),Aktiviteter,0)))&amp;IF(OR(COUNTIFS(TF_Nokkel,$A65&amp;"|"&amp;H$5,TF_Akt,"&lt;&gt;"&amp;INDEX(TF_Akt,MATCH($A65&amp;"|"&amp;H$5,TF_Dom,0)))&gt;0,AND(IF(H$10="",0,MAX(0,ROUND((H$13-SUMIFS(TF_Timer,TF_Nokkel,$A65&amp;"|"&amp;H$5))*2,0)/2))&gt;0,INDEX(TF_Akt,MATCH($A65&amp;"|"&amp;H$5,TF_Dom,0))&lt;&gt;"LMS")),"+",""),"?"))))</f>
        <v/>
      </c>
      <c r="I65" s="13">
        <f>IF(OR($A65="",I$5=""),"",IF(OR(AND(INDEX(TekFra,46)&gt;0,I$5&lt;INDEX(TekFra,46)),AND(INDEX(TekTil,46)&gt;0,I$5&gt;INDEX(TekTil,46))),"",IF(COUNTIFS(TF_Nokkel,$A65&amp;"|"&amp;I$5)=0,IF(I$10&lt;&gt;"","LMS",""),IFERROR(IF(SUMIFS(TF_Timer,TF_Nokkel,$A65&amp;"|"&amp;I$5,TF_Akt,"LMS")+IF(I$10="",0,MAX(0,ROUND((I$13-SUMIFS(TF_Timer,TF_Nokkel,$A65&amp;"|"&amp;I$5))*2,0)/2))&gt;INDEX(TF_AktSum,MATCH($A65&amp;"|"&amp;I$5,TF_Dom,0)),"LMS",INDEX(AktKode,MATCH(INDEX(TF_Akt,MATCH($A65&amp;"|"&amp;I$5,TF_Dom,0)),Aktiviteter,0)))&amp;IF(OR(COUNTIFS(TF_Nokkel,$A65&amp;"|"&amp;I$5,TF_Akt,"&lt;&gt;"&amp;INDEX(TF_Akt,MATCH($A65&amp;"|"&amp;I$5,TF_Dom,0)))&gt;0,AND(IF(I$10="",0,MAX(0,ROUND((I$13-SUMIFS(TF_Timer,TF_Nokkel,$A65&amp;"|"&amp;I$5))*2,0)/2))&gt;0,INDEX(TF_Akt,MATCH($A65&amp;"|"&amp;I$5,TF_Dom,0))&lt;&gt;"LMS")),"+",""),"?"))))</f>
        <v/>
      </c>
      <c r="J65" s="13">
        <f>IF(OR($A65="",J$5=""),"",IF(OR(AND(INDEX(TekFra,46)&gt;0,J$5&lt;INDEX(TekFra,46)),AND(INDEX(TekTil,46)&gt;0,J$5&gt;INDEX(TekTil,46))),"",IF(COUNTIFS(TF_Nokkel,$A65&amp;"|"&amp;J$5)=0,IF(J$10&lt;&gt;"","LMS",""),IFERROR(IF(SUMIFS(TF_Timer,TF_Nokkel,$A65&amp;"|"&amp;J$5,TF_Akt,"LMS")+IF(J$10="",0,MAX(0,ROUND((J$13-SUMIFS(TF_Timer,TF_Nokkel,$A65&amp;"|"&amp;J$5))*2,0)/2))&gt;INDEX(TF_AktSum,MATCH($A65&amp;"|"&amp;J$5,TF_Dom,0)),"LMS",INDEX(AktKode,MATCH(INDEX(TF_Akt,MATCH($A65&amp;"|"&amp;J$5,TF_Dom,0)),Aktiviteter,0)))&amp;IF(OR(COUNTIFS(TF_Nokkel,$A65&amp;"|"&amp;J$5,TF_Akt,"&lt;&gt;"&amp;INDEX(TF_Akt,MATCH($A65&amp;"|"&amp;J$5,TF_Dom,0)))&gt;0,AND(IF(J$10="",0,MAX(0,ROUND((J$13-SUMIFS(TF_Timer,TF_Nokkel,$A65&amp;"|"&amp;J$5))*2,0)/2))&gt;0,INDEX(TF_Akt,MATCH($A65&amp;"|"&amp;J$5,TF_Dom,0))&lt;&gt;"LMS")),"+",""),"?"))))</f>
        <v/>
      </c>
      <c r="K65" s="13">
        <f>IF(OR($A65="",K$5=""),"",IF(OR(AND(INDEX(TekFra,46)&gt;0,K$5&lt;INDEX(TekFra,46)),AND(INDEX(TekTil,46)&gt;0,K$5&gt;INDEX(TekTil,46))),"",IF(COUNTIFS(TF_Nokkel,$A65&amp;"|"&amp;K$5)=0,IF(K$10&lt;&gt;"","LMS",""),IFERROR(IF(SUMIFS(TF_Timer,TF_Nokkel,$A65&amp;"|"&amp;K$5,TF_Akt,"LMS")+IF(K$10="",0,MAX(0,ROUND((K$13-SUMIFS(TF_Timer,TF_Nokkel,$A65&amp;"|"&amp;K$5))*2,0)/2))&gt;INDEX(TF_AktSum,MATCH($A65&amp;"|"&amp;K$5,TF_Dom,0)),"LMS",INDEX(AktKode,MATCH(INDEX(TF_Akt,MATCH($A65&amp;"|"&amp;K$5,TF_Dom,0)),Aktiviteter,0)))&amp;IF(OR(COUNTIFS(TF_Nokkel,$A65&amp;"|"&amp;K$5,TF_Akt,"&lt;&gt;"&amp;INDEX(TF_Akt,MATCH($A65&amp;"|"&amp;K$5,TF_Dom,0)))&gt;0,AND(IF(K$10="",0,MAX(0,ROUND((K$13-SUMIFS(TF_Timer,TF_Nokkel,$A65&amp;"|"&amp;K$5))*2,0)/2))&gt;0,INDEX(TF_Akt,MATCH($A65&amp;"|"&amp;K$5,TF_Dom,0))&lt;&gt;"LMS")),"+",""),"?"))))</f>
        <v/>
      </c>
      <c r="L65" s="13">
        <f>IF(OR($A65="",L$5=""),"",IF(OR(AND(INDEX(TekFra,46)&gt;0,L$5&lt;INDEX(TekFra,46)),AND(INDEX(TekTil,46)&gt;0,L$5&gt;INDEX(TekTil,46))),"",IF(COUNTIFS(TF_Nokkel,$A65&amp;"|"&amp;L$5)=0,IF(L$10&lt;&gt;"","LMS",""),IFERROR(IF(SUMIFS(TF_Timer,TF_Nokkel,$A65&amp;"|"&amp;L$5,TF_Akt,"LMS")+IF(L$10="",0,MAX(0,ROUND((L$13-SUMIFS(TF_Timer,TF_Nokkel,$A65&amp;"|"&amp;L$5))*2,0)/2))&gt;INDEX(TF_AktSum,MATCH($A65&amp;"|"&amp;L$5,TF_Dom,0)),"LMS",INDEX(AktKode,MATCH(INDEX(TF_Akt,MATCH($A65&amp;"|"&amp;L$5,TF_Dom,0)),Aktiviteter,0)))&amp;IF(OR(COUNTIFS(TF_Nokkel,$A65&amp;"|"&amp;L$5,TF_Akt,"&lt;&gt;"&amp;INDEX(TF_Akt,MATCH($A65&amp;"|"&amp;L$5,TF_Dom,0)))&gt;0,AND(IF(L$10="",0,MAX(0,ROUND((L$13-SUMIFS(TF_Timer,TF_Nokkel,$A65&amp;"|"&amp;L$5))*2,0)/2))&gt;0,INDEX(TF_Akt,MATCH($A65&amp;"|"&amp;L$5,TF_Dom,0))&lt;&gt;"LMS")),"+",""),"?"))))</f>
        <v/>
      </c>
      <c r="M65" s="13">
        <f>IF(OR($A65="",M$5=""),"",IF(OR(AND(INDEX(TekFra,46)&gt;0,M$5&lt;INDEX(TekFra,46)),AND(INDEX(TekTil,46)&gt;0,M$5&gt;INDEX(TekTil,46))),"",IF(COUNTIFS(TF_Nokkel,$A65&amp;"|"&amp;M$5)=0,IF(M$10&lt;&gt;"","LMS",""),IFERROR(IF(SUMIFS(TF_Timer,TF_Nokkel,$A65&amp;"|"&amp;M$5,TF_Akt,"LMS")+IF(M$10="",0,MAX(0,ROUND((M$13-SUMIFS(TF_Timer,TF_Nokkel,$A65&amp;"|"&amp;M$5))*2,0)/2))&gt;INDEX(TF_AktSum,MATCH($A65&amp;"|"&amp;M$5,TF_Dom,0)),"LMS",INDEX(AktKode,MATCH(INDEX(TF_Akt,MATCH($A65&amp;"|"&amp;M$5,TF_Dom,0)),Aktiviteter,0)))&amp;IF(OR(COUNTIFS(TF_Nokkel,$A65&amp;"|"&amp;M$5,TF_Akt,"&lt;&gt;"&amp;INDEX(TF_Akt,MATCH($A65&amp;"|"&amp;M$5,TF_Dom,0)))&gt;0,AND(IF(M$10="",0,MAX(0,ROUND((M$13-SUMIFS(TF_Timer,TF_Nokkel,$A65&amp;"|"&amp;M$5))*2,0)/2))&gt;0,INDEX(TF_Akt,MATCH($A65&amp;"|"&amp;M$5,TF_Dom,0))&lt;&gt;"LMS")),"+",""),"?"))))</f>
        <v/>
      </c>
      <c r="N65" s="13">
        <f>IF(OR($A65="",N$5=""),"",IF(OR(AND(INDEX(TekFra,46)&gt;0,N$5&lt;INDEX(TekFra,46)),AND(INDEX(TekTil,46)&gt;0,N$5&gt;INDEX(TekTil,46))),"",IF(COUNTIFS(TF_Nokkel,$A65&amp;"|"&amp;N$5)=0,IF(N$10&lt;&gt;"","LMS",""),IFERROR(IF(SUMIFS(TF_Timer,TF_Nokkel,$A65&amp;"|"&amp;N$5,TF_Akt,"LMS")+IF(N$10="",0,MAX(0,ROUND((N$13-SUMIFS(TF_Timer,TF_Nokkel,$A65&amp;"|"&amp;N$5))*2,0)/2))&gt;INDEX(TF_AktSum,MATCH($A65&amp;"|"&amp;N$5,TF_Dom,0)),"LMS",INDEX(AktKode,MATCH(INDEX(TF_Akt,MATCH($A65&amp;"|"&amp;N$5,TF_Dom,0)),Aktiviteter,0)))&amp;IF(OR(COUNTIFS(TF_Nokkel,$A65&amp;"|"&amp;N$5,TF_Akt,"&lt;&gt;"&amp;INDEX(TF_Akt,MATCH($A65&amp;"|"&amp;N$5,TF_Dom,0)))&gt;0,AND(IF(N$10="",0,MAX(0,ROUND((N$13-SUMIFS(TF_Timer,TF_Nokkel,$A65&amp;"|"&amp;N$5))*2,0)/2))&gt;0,INDEX(TF_Akt,MATCH($A65&amp;"|"&amp;N$5,TF_Dom,0))&lt;&gt;"LMS")),"+",""),"?"))))</f>
        <v/>
      </c>
      <c r="O65" s="13">
        <f>IF(OR($A65="",O$5=""),"",IF(OR(AND(INDEX(TekFra,46)&gt;0,O$5&lt;INDEX(TekFra,46)),AND(INDEX(TekTil,46)&gt;0,O$5&gt;INDEX(TekTil,46))),"",IF(COUNTIFS(TF_Nokkel,$A65&amp;"|"&amp;O$5)=0,IF(O$10&lt;&gt;"","LMS",""),IFERROR(IF(SUMIFS(TF_Timer,TF_Nokkel,$A65&amp;"|"&amp;O$5,TF_Akt,"LMS")+IF(O$10="",0,MAX(0,ROUND((O$13-SUMIFS(TF_Timer,TF_Nokkel,$A65&amp;"|"&amp;O$5))*2,0)/2))&gt;INDEX(TF_AktSum,MATCH($A65&amp;"|"&amp;O$5,TF_Dom,0)),"LMS",INDEX(AktKode,MATCH(INDEX(TF_Akt,MATCH($A65&amp;"|"&amp;O$5,TF_Dom,0)),Aktiviteter,0)))&amp;IF(OR(COUNTIFS(TF_Nokkel,$A65&amp;"|"&amp;O$5,TF_Akt,"&lt;&gt;"&amp;INDEX(TF_Akt,MATCH($A65&amp;"|"&amp;O$5,TF_Dom,0)))&gt;0,AND(IF(O$10="",0,MAX(0,ROUND((O$13-SUMIFS(TF_Timer,TF_Nokkel,$A65&amp;"|"&amp;O$5))*2,0)/2))&gt;0,INDEX(TF_Akt,MATCH($A65&amp;"|"&amp;O$5,TF_Dom,0))&lt;&gt;"LMS")),"+",""),"?"))))</f>
        <v/>
      </c>
      <c r="P65" s="13">
        <f>IF(OR($A65="",P$5=""),"",IF(OR(AND(INDEX(TekFra,46)&gt;0,P$5&lt;INDEX(TekFra,46)),AND(INDEX(TekTil,46)&gt;0,P$5&gt;INDEX(TekTil,46))),"",IF(COUNTIFS(TF_Nokkel,$A65&amp;"|"&amp;P$5)=0,IF(P$10&lt;&gt;"","LMS",""),IFERROR(IF(SUMIFS(TF_Timer,TF_Nokkel,$A65&amp;"|"&amp;P$5,TF_Akt,"LMS")+IF(P$10="",0,MAX(0,ROUND((P$13-SUMIFS(TF_Timer,TF_Nokkel,$A65&amp;"|"&amp;P$5))*2,0)/2))&gt;INDEX(TF_AktSum,MATCH($A65&amp;"|"&amp;P$5,TF_Dom,0)),"LMS",INDEX(AktKode,MATCH(INDEX(TF_Akt,MATCH($A65&amp;"|"&amp;P$5,TF_Dom,0)),Aktiviteter,0)))&amp;IF(OR(COUNTIFS(TF_Nokkel,$A65&amp;"|"&amp;P$5,TF_Akt,"&lt;&gt;"&amp;INDEX(TF_Akt,MATCH($A65&amp;"|"&amp;P$5,TF_Dom,0)))&gt;0,AND(IF(P$10="",0,MAX(0,ROUND((P$13-SUMIFS(TF_Timer,TF_Nokkel,$A65&amp;"|"&amp;P$5))*2,0)/2))&gt;0,INDEX(TF_Akt,MATCH($A65&amp;"|"&amp;P$5,TF_Dom,0))&lt;&gt;"LMS")),"+",""),"?"))))</f>
        <v/>
      </c>
      <c r="Q65" s="13">
        <f>IF(OR($A65="",Q$5=""),"",IF(OR(AND(INDEX(TekFra,46)&gt;0,Q$5&lt;INDEX(TekFra,46)),AND(INDEX(TekTil,46)&gt;0,Q$5&gt;INDEX(TekTil,46))),"",IF(COUNTIFS(TF_Nokkel,$A65&amp;"|"&amp;Q$5)=0,IF(Q$10&lt;&gt;"","LMS",""),IFERROR(IF(SUMIFS(TF_Timer,TF_Nokkel,$A65&amp;"|"&amp;Q$5,TF_Akt,"LMS")+IF(Q$10="",0,MAX(0,ROUND((Q$13-SUMIFS(TF_Timer,TF_Nokkel,$A65&amp;"|"&amp;Q$5))*2,0)/2))&gt;INDEX(TF_AktSum,MATCH($A65&amp;"|"&amp;Q$5,TF_Dom,0)),"LMS",INDEX(AktKode,MATCH(INDEX(TF_Akt,MATCH($A65&amp;"|"&amp;Q$5,TF_Dom,0)),Aktiviteter,0)))&amp;IF(OR(COUNTIFS(TF_Nokkel,$A65&amp;"|"&amp;Q$5,TF_Akt,"&lt;&gt;"&amp;INDEX(TF_Akt,MATCH($A65&amp;"|"&amp;Q$5,TF_Dom,0)))&gt;0,AND(IF(Q$10="",0,MAX(0,ROUND((Q$13-SUMIFS(TF_Timer,TF_Nokkel,$A65&amp;"|"&amp;Q$5))*2,0)/2))&gt;0,INDEX(TF_Akt,MATCH($A65&amp;"|"&amp;Q$5,TF_Dom,0))&lt;&gt;"LMS")),"+",""),"?"))))</f>
        <v/>
      </c>
      <c r="R65" s="13">
        <f>IF(OR($A65="",R$5=""),"",IF(OR(AND(INDEX(TekFra,46)&gt;0,R$5&lt;INDEX(TekFra,46)),AND(INDEX(TekTil,46)&gt;0,R$5&gt;INDEX(TekTil,46))),"",IF(COUNTIFS(TF_Nokkel,$A65&amp;"|"&amp;R$5)=0,IF(R$10&lt;&gt;"","LMS",""),IFERROR(IF(SUMIFS(TF_Timer,TF_Nokkel,$A65&amp;"|"&amp;R$5,TF_Akt,"LMS")+IF(R$10="",0,MAX(0,ROUND((R$13-SUMIFS(TF_Timer,TF_Nokkel,$A65&amp;"|"&amp;R$5))*2,0)/2))&gt;INDEX(TF_AktSum,MATCH($A65&amp;"|"&amp;R$5,TF_Dom,0)),"LMS",INDEX(AktKode,MATCH(INDEX(TF_Akt,MATCH($A65&amp;"|"&amp;R$5,TF_Dom,0)),Aktiviteter,0)))&amp;IF(OR(COUNTIFS(TF_Nokkel,$A65&amp;"|"&amp;R$5,TF_Akt,"&lt;&gt;"&amp;INDEX(TF_Akt,MATCH($A65&amp;"|"&amp;R$5,TF_Dom,0)))&gt;0,AND(IF(R$10="",0,MAX(0,ROUND((R$13-SUMIFS(TF_Timer,TF_Nokkel,$A65&amp;"|"&amp;R$5))*2,0)/2))&gt;0,INDEX(TF_Akt,MATCH($A65&amp;"|"&amp;R$5,TF_Dom,0))&lt;&gt;"LMS")),"+",""),"?"))))</f>
        <v/>
      </c>
      <c r="S65" s="13">
        <f>IF(OR($A65="",S$5=""),"",IF(OR(AND(INDEX(TekFra,46)&gt;0,S$5&lt;INDEX(TekFra,46)),AND(INDEX(TekTil,46)&gt;0,S$5&gt;INDEX(TekTil,46))),"",IF(COUNTIFS(TF_Nokkel,$A65&amp;"|"&amp;S$5)=0,IF(S$10&lt;&gt;"","LMS",""),IFERROR(IF(SUMIFS(TF_Timer,TF_Nokkel,$A65&amp;"|"&amp;S$5,TF_Akt,"LMS")+IF(S$10="",0,MAX(0,ROUND((S$13-SUMIFS(TF_Timer,TF_Nokkel,$A65&amp;"|"&amp;S$5))*2,0)/2))&gt;INDEX(TF_AktSum,MATCH($A65&amp;"|"&amp;S$5,TF_Dom,0)),"LMS",INDEX(AktKode,MATCH(INDEX(TF_Akt,MATCH($A65&amp;"|"&amp;S$5,TF_Dom,0)),Aktiviteter,0)))&amp;IF(OR(COUNTIFS(TF_Nokkel,$A65&amp;"|"&amp;S$5,TF_Akt,"&lt;&gt;"&amp;INDEX(TF_Akt,MATCH($A65&amp;"|"&amp;S$5,TF_Dom,0)))&gt;0,AND(IF(S$10="",0,MAX(0,ROUND((S$13-SUMIFS(TF_Timer,TF_Nokkel,$A65&amp;"|"&amp;S$5))*2,0)/2))&gt;0,INDEX(TF_Akt,MATCH($A65&amp;"|"&amp;S$5,TF_Dom,0))&lt;&gt;"LMS")),"+",""),"?"))))</f>
        <v/>
      </c>
      <c r="T65" s="13">
        <f>IF(OR($A65="",T$5=""),"",IF(OR(AND(INDEX(TekFra,46)&gt;0,T$5&lt;INDEX(TekFra,46)),AND(INDEX(TekTil,46)&gt;0,T$5&gt;INDEX(TekTil,46))),"",IF(COUNTIFS(TF_Nokkel,$A65&amp;"|"&amp;T$5)=0,IF(T$10&lt;&gt;"","LMS",""),IFERROR(IF(SUMIFS(TF_Timer,TF_Nokkel,$A65&amp;"|"&amp;T$5,TF_Akt,"LMS")+IF(T$10="",0,MAX(0,ROUND((T$13-SUMIFS(TF_Timer,TF_Nokkel,$A65&amp;"|"&amp;T$5))*2,0)/2))&gt;INDEX(TF_AktSum,MATCH($A65&amp;"|"&amp;T$5,TF_Dom,0)),"LMS",INDEX(AktKode,MATCH(INDEX(TF_Akt,MATCH($A65&amp;"|"&amp;T$5,TF_Dom,0)),Aktiviteter,0)))&amp;IF(OR(COUNTIFS(TF_Nokkel,$A65&amp;"|"&amp;T$5,TF_Akt,"&lt;&gt;"&amp;INDEX(TF_Akt,MATCH($A65&amp;"|"&amp;T$5,TF_Dom,0)))&gt;0,AND(IF(T$10="",0,MAX(0,ROUND((T$13-SUMIFS(TF_Timer,TF_Nokkel,$A65&amp;"|"&amp;T$5))*2,0)/2))&gt;0,INDEX(TF_Akt,MATCH($A65&amp;"|"&amp;T$5,TF_Dom,0))&lt;&gt;"LMS")),"+",""),"?"))))</f>
        <v/>
      </c>
      <c r="U65" s="13">
        <f>IF(OR($A65="",U$5=""),"",IF(OR(AND(INDEX(TekFra,46)&gt;0,U$5&lt;INDEX(TekFra,46)),AND(INDEX(TekTil,46)&gt;0,U$5&gt;INDEX(TekTil,46))),"",IF(COUNTIFS(TF_Nokkel,$A65&amp;"|"&amp;U$5)=0,IF(U$10&lt;&gt;"","LMS",""),IFERROR(IF(SUMIFS(TF_Timer,TF_Nokkel,$A65&amp;"|"&amp;U$5,TF_Akt,"LMS")+IF(U$10="",0,MAX(0,ROUND((U$13-SUMIFS(TF_Timer,TF_Nokkel,$A65&amp;"|"&amp;U$5))*2,0)/2))&gt;INDEX(TF_AktSum,MATCH($A65&amp;"|"&amp;U$5,TF_Dom,0)),"LMS",INDEX(AktKode,MATCH(INDEX(TF_Akt,MATCH($A65&amp;"|"&amp;U$5,TF_Dom,0)),Aktiviteter,0)))&amp;IF(OR(COUNTIFS(TF_Nokkel,$A65&amp;"|"&amp;U$5,TF_Akt,"&lt;&gt;"&amp;INDEX(TF_Akt,MATCH($A65&amp;"|"&amp;U$5,TF_Dom,0)))&gt;0,AND(IF(U$10="",0,MAX(0,ROUND((U$13-SUMIFS(TF_Timer,TF_Nokkel,$A65&amp;"|"&amp;U$5))*2,0)/2))&gt;0,INDEX(TF_Akt,MATCH($A65&amp;"|"&amp;U$5,TF_Dom,0))&lt;&gt;"LMS")),"+",""),"?"))))</f>
        <v/>
      </c>
      <c r="V65" s="13">
        <f>IF(OR($A65="",V$5=""),"",IF(OR(AND(INDEX(TekFra,46)&gt;0,V$5&lt;INDEX(TekFra,46)),AND(INDEX(TekTil,46)&gt;0,V$5&gt;INDEX(TekTil,46))),"",IF(COUNTIFS(TF_Nokkel,$A65&amp;"|"&amp;V$5)=0,IF(V$10&lt;&gt;"","LMS",""),IFERROR(IF(SUMIFS(TF_Timer,TF_Nokkel,$A65&amp;"|"&amp;V$5,TF_Akt,"LMS")+IF(V$10="",0,MAX(0,ROUND((V$13-SUMIFS(TF_Timer,TF_Nokkel,$A65&amp;"|"&amp;V$5))*2,0)/2))&gt;INDEX(TF_AktSum,MATCH($A65&amp;"|"&amp;V$5,TF_Dom,0)),"LMS",INDEX(AktKode,MATCH(INDEX(TF_Akt,MATCH($A65&amp;"|"&amp;V$5,TF_Dom,0)),Aktiviteter,0)))&amp;IF(OR(COUNTIFS(TF_Nokkel,$A65&amp;"|"&amp;V$5,TF_Akt,"&lt;&gt;"&amp;INDEX(TF_Akt,MATCH($A65&amp;"|"&amp;V$5,TF_Dom,0)))&gt;0,AND(IF(V$10="",0,MAX(0,ROUND((V$13-SUMIFS(TF_Timer,TF_Nokkel,$A65&amp;"|"&amp;V$5))*2,0)/2))&gt;0,INDEX(TF_Akt,MATCH($A65&amp;"|"&amp;V$5,TF_Dom,0))&lt;&gt;"LMS")),"+",""),"?"))))</f>
        <v/>
      </c>
      <c r="W65" s="13">
        <f>IF(OR($A65="",W$5=""),"",IF(OR(AND(INDEX(TekFra,46)&gt;0,W$5&lt;INDEX(TekFra,46)),AND(INDEX(TekTil,46)&gt;0,W$5&gt;INDEX(TekTil,46))),"",IF(COUNTIFS(TF_Nokkel,$A65&amp;"|"&amp;W$5)=0,IF(W$10&lt;&gt;"","LMS",""),IFERROR(IF(SUMIFS(TF_Timer,TF_Nokkel,$A65&amp;"|"&amp;W$5,TF_Akt,"LMS")+IF(W$10="",0,MAX(0,ROUND((W$13-SUMIFS(TF_Timer,TF_Nokkel,$A65&amp;"|"&amp;W$5))*2,0)/2))&gt;INDEX(TF_AktSum,MATCH($A65&amp;"|"&amp;W$5,TF_Dom,0)),"LMS",INDEX(AktKode,MATCH(INDEX(TF_Akt,MATCH($A65&amp;"|"&amp;W$5,TF_Dom,0)),Aktiviteter,0)))&amp;IF(OR(COUNTIFS(TF_Nokkel,$A65&amp;"|"&amp;W$5,TF_Akt,"&lt;&gt;"&amp;INDEX(TF_Akt,MATCH($A65&amp;"|"&amp;W$5,TF_Dom,0)))&gt;0,AND(IF(W$10="",0,MAX(0,ROUND((W$13-SUMIFS(TF_Timer,TF_Nokkel,$A65&amp;"|"&amp;W$5))*2,0)/2))&gt;0,INDEX(TF_Akt,MATCH($A65&amp;"|"&amp;W$5,TF_Dom,0))&lt;&gt;"LMS")),"+",""),"?"))))</f>
        <v/>
      </c>
      <c r="X65" s="13">
        <f>IF(OR($A65="",X$5=""),"",IF(OR(AND(INDEX(TekFra,46)&gt;0,X$5&lt;INDEX(TekFra,46)),AND(INDEX(TekTil,46)&gt;0,X$5&gt;INDEX(TekTil,46))),"",IF(COUNTIFS(TF_Nokkel,$A65&amp;"|"&amp;X$5)=0,IF(X$10&lt;&gt;"","LMS",""),IFERROR(IF(SUMIFS(TF_Timer,TF_Nokkel,$A65&amp;"|"&amp;X$5,TF_Akt,"LMS")+IF(X$10="",0,MAX(0,ROUND((X$13-SUMIFS(TF_Timer,TF_Nokkel,$A65&amp;"|"&amp;X$5))*2,0)/2))&gt;INDEX(TF_AktSum,MATCH($A65&amp;"|"&amp;X$5,TF_Dom,0)),"LMS",INDEX(AktKode,MATCH(INDEX(TF_Akt,MATCH($A65&amp;"|"&amp;X$5,TF_Dom,0)),Aktiviteter,0)))&amp;IF(OR(COUNTIFS(TF_Nokkel,$A65&amp;"|"&amp;X$5,TF_Akt,"&lt;&gt;"&amp;INDEX(TF_Akt,MATCH($A65&amp;"|"&amp;X$5,TF_Dom,0)))&gt;0,AND(IF(X$10="",0,MAX(0,ROUND((X$13-SUMIFS(TF_Timer,TF_Nokkel,$A65&amp;"|"&amp;X$5))*2,0)/2))&gt;0,INDEX(TF_Akt,MATCH($A65&amp;"|"&amp;X$5,TF_Dom,0))&lt;&gt;"LMS")),"+",""),"?"))))</f>
        <v/>
      </c>
      <c r="Y65" s="13">
        <f>IF(OR($A65="",Y$5=""),"",IF(OR(AND(INDEX(TekFra,46)&gt;0,Y$5&lt;INDEX(TekFra,46)),AND(INDEX(TekTil,46)&gt;0,Y$5&gt;INDEX(TekTil,46))),"",IF(COUNTIFS(TF_Nokkel,$A65&amp;"|"&amp;Y$5)=0,IF(Y$10&lt;&gt;"","LMS",""),IFERROR(IF(SUMIFS(TF_Timer,TF_Nokkel,$A65&amp;"|"&amp;Y$5,TF_Akt,"LMS")+IF(Y$10="",0,MAX(0,ROUND((Y$13-SUMIFS(TF_Timer,TF_Nokkel,$A65&amp;"|"&amp;Y$5))*2,0)/2))&gt;INDEX(TF_AktSum,MATCH($A65&amp;"|"&amp;Y$5,TF_Dom,0)),"LMS",INDEX(AktKode,MATCH(INDEX(TF_Akt,MATCH($A65&amp;"|"&amp;Y$5,TF_Dom,0)),Aktiviteter,0)))&amp;IF(OR(COUNTIFS(TF_Nokkel,$A65&amp;"|"&amp;Y$5,TF_Akt,"&lt;&gt;"&amp;INDEX(TF_Akt,MATCH($A65&amp;"|"&amp;Y$5,TF_Dom,0)))&gt;0,AND(IF(Y$10="",0,MAX(0,ROUND((Y$13-SUMIFS(TF_Timer,TF_Nokkel,$A65&amp;"|"&amp;Y$5))*2,0)/2))&gt;0,INDEX(TF_Akt,MATCH($A65&amp;"|"&amp;Y$5,TF_Dom,0))&lt;&gt;"LMS")),"+",""),"?"))))</f>
        <v/>
      </c>
      <c r="Z65" s="13">
        <f>IF(OR($A65="",Z$5=""),"",IF(OR(AND(INDEX(TekFra,46)&gt;0,Z$5&lt;INDEX(TekFra,46)),AND(INDEX(TekTil,46)&gt;0,Z$5&gt;INDEX(TekTil,46))),"",IF(COUNTIFS(TF_Nokkel,$A65&amp;"|"&amp;Z$5)=0,IF(Z$10&lt;&gt;"","LMS",""),IFERROR(IF(SUMIFS(TF_Timer,TF_Nokkel,$A65&amp;"|"&amp;Z$5,TF_Akt,"LMS")+IF(Z$10="",0,MAX(0,ROUND((Z$13-SUMIFS(TF_Timer,TF_Nokkel,$A65&amp;"|"&amp;Z$5))*2,0)/2))&gt;INDEX(TF_AktSum,MATCH($A65&amp;"|"&amp;Z$5,TF_Dom,0)),"LMS",INDEX(AktKode,MATCH(INDEX(TF_Akt,MATCH($A65&amp;"|"&amp;Z$5,TF_Dom,0)),Aktiviteter,0)))&amp;IF(OR(COUNTIFS(TF_Nokkel,$A65&amp;"|"&amp;Z$5,TF_Akt,"&lt;&gt;"&amp;INDEX(TF_Akt,MATCH($A65&amp;"|"&amp;Z$5,TF_Dom,0)))&gt;0,AND(IF(Z$10="",0,MAX(0,ROUND((Z$13-SUMIFS(TF_Timer,TF_Nokkel,$A65&amp;"|"&amp;Z$5))*2,0)/2))&gt;0,INDEX(TF_Akt,MATCH($A65&amp;"|"&amp;Z$5,TF_Dom,0))&lt;&gt;"LMS")),"+",""),"?"))))</f>
        <v/>
      </c>
      <c r="AA65" s="13">
        <f>IF(OR($A65="",AA$5=""),"",IF(OR(AND(INDEX(TekFra,46)&gt;0,AA$5&lt;INDEX(TekFra,46)),AND(INDEX(TekTil,46)&gt;0,AA$5&gt;INDEX(TekTil,46))),"",IF(COUNTIFS(TF_Nokkel,$A65&amp;"|"&amp;AA$5)=0,IF(AA$10&lt;&gt;"","LMS",""),IFERROR(IF(SUMIFS(TF_Timer,TF_Nokkel,$A65&amp;"|"&amp;AA$5,TF_Akt,"LMS")+IF(AA$10="",0,MAX(0,ROUND((AA$13-SUMIFS(TF_Timer,TF_Nokkel,$A65&amp;"|"&amp;AA$5))*2,0)/2))&gt;INDEX(TF_AktSum,MATCH($A65&amp;"|"&amp;AA$5,TF_Dom,0)),"LMS",INDEX(AktKode,MATCH(INDEX(TF_Akt,MATCH($A65&amp;"|"&amp;AA$5,TF_Dom,0)),Aktiviteter,0)))&amp;IF(OR(COUNTIFS(TF_Nokkel,$A65&amp;"|"&amp;AA$5,TF_Akt,"&lt;&gt;"&amp;INDEX(TF_Akt,MATCH($A65&amp;"|"&amp;AA$5,TF_Dom,0)))&gt;0,AND(IF(AA$10="",0,MAX(0,ROUND((AA$13-SUMIFS(TF_Timer,TF_Nokkel,$A65&amp;"|"&amp;AA$5))*2,0)/2))&gt;0,INDEX(TF_Akt,MATCH($A65&amp;"|"&amp;AA$5,TF_Dom,0))&lt;&gt;"LMS")),"+",""),"?"))))</f>
        <v/>
      </c>
      <c r="AB65" s="13">
        <f>IF(OR($A65="",AB$5=""),"",IF(OR(AND(INDEX(TekFra,46)&gt;0,AB$5&lt;INDEX(TekFra,46)),AND(INDEX(TekTil,46)&gt;0,AB$5&gt;INDEX(TekTil,46))),"",IF(COUNTIFS(TF_Nokkel,$A65&amp;"|"&amp;AB$5)=0,IF(AB$10&lt;&gt;"","LMS",""),IFERROR(IF(SUMIFS(TF_Timer,TF_Nokkel,$A65&amp;"|"&amp;AB$5,TF_Akt,"LMS")+IF(AB$10="",0,MAX(0,ROUND((AB$13-SUMIFS(TF_Timer,TF_Nokkel,$A65&amp;"|"&amp;AB$5))*2,0)/2))&gt;INDEX(TF_AktSum,MATCH($A65&amp;"|"&amp;AB$5,TF_Dom,0)),"LMS",INDEX(AktKode,MATCH(INDEX(TF_Akt,MATCH($A65&amp;"|"&amp;AB$5,TF_Dom,0)),Aktiviteter,0)))&amp;IF(OR(COUNTIFS(TF_Nokkel,$A65&amp;"|"&amp;AB$5,TF_Akt,"&lt;&gt;"&amp;INDEX(TF_Akt,MATCH($A65&amp;"|"&amp;AB$5,TF_Dom,0)))&gt;0,AND(IF(AB$10="",0,MAX(0,ROUND((AB$13-SUMIFS(TF_Timer,TF_Nokkel,$A65&amp;"|"&amp;AB$5))*2,0)/2))&gt;0,INDEX(TF_Akt,MATCH($A65&amp;"|"&amp;AB$5,TF_Dom,0))&lt;&gt;"LMS")),"+",""),"?"))))</f>
        <v/>
      </c>
      <c r="AC65" s="13">
        <f>IF(OR($A65="",AC$5=""),"",IF(OR(AND(INDEX(TekFra,46)&gt;0,AC$5&lt;INDEX(TekFra,46)),AND(INDEX(TekTil,46)&gt;0,AC$5&gt;INDEX(TekTil,46))),"",IF(COUNTIFS(TF_Nokkel,$A65&amp;"|"&amp;AC$5)=0,IF(AC$10&lt;&gt;"","LMS",""),IFERROR(IF(SUMIFS(TF_Timer,TF_Nokkel,$A65&amp;"|"&amp;AC$5,TF_Akt,"LMS")+IF(AC$10="",0,MAX(0,ROUND((AC$13-SUMIFS(TF_Timer,TF_Nokkel,$A65&amp;"|"&amp;AC$5))*2,0)/2))&gt;INDEX(TF_AktSum,MATCH($A65&amp;"|"&amp;AC$5,TF_Dom,0)),"LMS",INDEX(AktKode,MATCH(INDEX(TF_Akt,MATCH($A65&amp;"|"&amp;AC$5,TF_Dom,0)),Aktiviteter,0)))&amp;IF(OR(COUNTIFS(TF_Nokkel,$A65&amp;"|"&amp;AC$5,TF_Akt,"&lt;&gt;"&amp;INDEX(TF_Akt,MATCH($A65&amp;"|"&amp;AC$5,TF_Dom,0)))&gt;0,AND(IF(AC$10="",0,MAX(0,ROUND((AC$13-SUMIFS(TF_Timer,TF_Nokkel,$A65&amp;"|"&amp;AC$5))*2,0)/2))&gt;0,INDEX(TF_Akt,MATCH($A65&amp;"|"&amp;AC$5,TF_Dom,0))&lt;&gt;"LMS")),"+",""),"?"))))</f>
        <v/>
      </c>
      <c r="AD65" s="13">
        <f>IF(OR($A65="",AD$5=""),"",IF(OR(AND(INDEX(TekFra,46)&gt;0,AD$5&lt;INDEX(TekFra,46)),AND(INDEX(TekTil,46)&gt;0,AD$5&gt;INDEX(TekTil,46))),"",IF(COUNTIFS(TF_Nokkel,$A65&amp;"|"&amp;AD$5)=0,IF(AD$10&lt;&gt;"","LMS",""),IFERROR(IF(SUMIFS(TF_Timer,TF_Nokkel,$A65&amp;"|"&amp;AD$5,TF_Akt,"LMS")+IF(AD$10="",0,MAX(0,ROUND((AD$13-SUMIFS(TF_Timer,TF_Nokkel,$A65&amp;"|"&amp;AD$5))*2,0)/2))&gt;INDEX(TF_AktSum,MATCH($A65&amp;"|"&amp;AD$5,TF_Dom,0)),"LMS",INDEX(AktKode,MATCH(INDEX(TF_Akt,MATCH($A65&amp;"|"&amp;AD$5,TF_Dom,0)),Aktiviteter,0)))&amp;IF(OR(COUNTIFS(TF_Nokkel,$A65&amp;"|"&amp;AD$5,TF_Akt,"&lt;&gt;"&amp;INDEX(TF_Akt,MATCH($A65&amp;"|"&amp;AD$5,TF_Dom,0)))&gt;0,AND(IF(AD$10="",0,MAX(0,ROUND((AD$13-SUMIFS(TF_Timer,TF_Nokkel,$A65&amp;"|"&amp;AD$5))*2,0)/2))&gt;0,INDEX(TF_Akt,MATCH($A65&amp;"|"&amp;AD$5,TF_Dom,0))&lt;&gt;"LMS")),"+",""),"?"))))</f>
        <v/>
      </c>
      <c r="AE65" s="13">
        <f>IF(OR($A65="",AE$5=""),"",IF(OR(AND(INDEX(TekFra,46)&gt;0,AE$5&lt;INDEX(TekFra,46)),AND(INDEX(TekTil,46)&gt;0,AE$5&gt;INDEX(TekTil,46))),"",IF(COUNTIFS(TF_Nokkel,$A65&amp;"|"&amp;AE$5)=0,IF(AE$10&lt;&gt;"","LMS",""),IFERROR(IF(SUMIFS(TF_Timer,TF_Nokkel,$A65&amp;"|"&amp;AE$5,TF_Akt,"LMS")+IF(AE$10="",0,MAX(0,ROUND((AE$13-SUMIFS(TF_Timer,TF_Nokkel,$A65&amp;"|"&amp;AE$5))*2,0)/2))&gt;INDEX(TF_AktSum,MATCH($A65&amp;"|"&amp;AE$5,TF_Dom,0)),"LMS",INDEX(AktKode,MATCH(INDEX(TF_Akt,MATCH($A65&amp;"|"&amp;AE$5,TF_Dom,0)),Aktiviteter,0)))&amp;IF(OR(COUNTIFS(TF_Nokkel,$A65&amp;"|"&amp;AE$5,TF_Akt,"&lt;&gt;"&amp;INDEX(TF_Akt,MATCH($A65&amp;"|"&amp;AE$5,TF_Dom,0)))&gt;0,AND(IF(AE$10="",0,MAX(0,ROUND((AE$13-SUMIFS(TF_Timer,TF_Nokkel,$A65&amp;"|"&amp;AE$5))*2,0)/2))&gt;0,INDEX(TF_Akt,MATCH($A65&amp;"|"&amp;AE$5,TF_Dom,0))&lt;&gt;"LMS")),"+",""),"?"))))</f>
        <v/>
      </c>
      <c r="AF65" s="13">
        <f>IF(OR($A65="",AF$5=""),"",IF(OR(AND(INDEX(TekFra,46)&gt;0,AF$5&lt;INDEX(TekFra,46)),AND(INDEX(TekTil,46)&gt;0,AF$5&gt;INDEX(TekTil,46))),"",IF(COUNTIFS(TF_Nokkel,$A65&amp;"|"&amp;AF$5)=0,IF(AF$10&lt;&gt;"","LMS",""),IFERROR(IF(SUMIFS(TF_Timer,TF_Nokkel,$A65&amp;"|"&amp;AF$5,TF_Akt,"LMS")+IF(AF$10="",0,MAX(0,ROUND((AF$13-SUMIFS(TF_Timer,TF_Nokkel,$A65&amp;"|"&amp;AF$5))*2,0)/2))&gt;INDEX(TF_AktSum,MATCH($A65&amp;"|"&amp;AF$5,TF_Dom,0)),"LMS",INDEX(AktKode,MATCH(INDEX(TF_Akt,MATCH($A65&amp;"|"&amp;AF$5,TF_Dom,0)),Aktiviteter,0)))&amp;IF(OR(COUNTIFS(TF_Nokkel,$A65&amp;"|"&amp;AF$5,TF_Akt,"&lt;&gt;"&amp;INDEX(TF_Akt,MATCH($A65&amp;"|"&amp;AF$5,TF_Dom,0)))&gt;0,AND(IF(AF$10="",0,MAX(0,ROUND((AF$13-SUMIFS(TF_Timer,TF_Nokkel,$A65&amp;"|"&amp;AF$5))*2,0)/2))&gt;0,INDEX(TF_Akt,MATCH($A65&amp;"|"&amp;AF$5,TF_Dom,0))&lt;&gt;"LMS")),"+",""),"?"))))</f>
        <v/>
      </c>
      <c r="AG65" s="13">
        <f>IF(OR($A65="",AG$5=""),"",IF(OR(AND(INDEX(TekFra,46)&gt;0,AG$5&lt;INDEX(TekFra,46)),AND(INDEX(TekTil,46)&gt;0,AG$5&gt;INDEX(TekTil,46))),"",IF(COUNTIFS(TF_Nokkel,$A65&amp;"|"&amp;AG$5)=0,IF(AG$10&lt;&gt;"","LMS",""),IFERROR(IF(SUMIFS(TF_Timer,TF_Nokkel,$A65&amp;"|"&amp;AG$5,TF_Akt,"LMS")+IF(AG$10="",0,MAX(0,ROUND((AG$13-SUMIFS(TF_Timer,TF_Nokkel,$A65&amp;"|"&amp;AG$5))*2,0)/2))&gt;INDEX(TF_AktSum,MATCH($A65&amp;"|"&amp;AG$5,TF_Dom,0)),"LMS",INDEX(AktKode,MATCH(INDEX(TF_Akt,MATCH($A65&amp;"|"&amp;AG$5,TF_Dom,0)),Aktiviteter,0)))&amp;IF(OR(COUNTIFS(TF_Nokkel,$A65&amp;"|"&amp;AG$5,TF_Akt,"&lt;&gt;"&amp;INDEX(TF_Akt,MATCH($A65&amp;"|"&amp;AG$5,TF_Dom,0)))&gt;0,AND(IF(AG$10="",0,MAX(0,ROUND((AG$13-SUMIFS(TF_Timer,TF_Nokkel,$A65&amp;"|"&amp;AG$5))*2,0)/2))&gt;0,INDEX(TF_Akt,MATCH($A65&amp;"|"&amp;AG$5,TF_Dom,0))&lt;&gt;"LMS")),"+",""),"?"))))</f>
        <v/>
      </c>
      <c r="AH65" s="2" t="n"/>
      <c r="AI65" s="2" t="n"/>
      <c r="AJ65" s="2" t="n"/>
    </row>
    <row r="66">
      <c r="A66" s="2">
        <f>INDEX(Teknikere,47)&amp;""</f>
        <v/>
      </c>
      <c r="B66" s="12">
        <f>IF(INDEX(TekFra,47)&gt;0,"ekstra","")</f>
        <v/>
      </c>
      <c r="C66" s="13">
        <f>IF(OR($A66="",C$5=""),"",IF(OR(AND(INDEX(TekFra,47)&gt;0,C$5&lt;INDEX(TekFra,47)),AND(INDEX(TekTil,47)&gt;0,C$5&gt;INDEX(TekTil,47))),"",IF(COUNTIFS(TF_Nokkel,$A66&amp;"|"&amp;C$5)=0,IF(C$10&lt;&gt;"","LMS",""),IFERROR(IF(SUMIFS(TF_Timer,TF_Nokkel,$A66&amp;"|"&amp;C$5,TF_Akt,"LMS")+IF(C$10="",0,MAX(0,ROUND((C$13-SUMIFS(TF_Timer,TF_Nokkel,$A66&amp;"|"&amp;C$5))*2,0)/2))&gt;INDEX(TF_AktSum,MATCH($A66&amp;"|"&amp;C$5,TF_Dom,0)),"LMS",INDEX(AktKode,MATCH(INDEX(TF_Akt,MATCH($A66&amp;"|"&amp;C$5,TF_Dom,0)),Aktiviteter,0)))&amp;IF(OR(COUNTIFS(TF_Nokkel,$A66&amp;"|"&amp;C$5,TF_Akt,"&lt;&gt;"&amp;INDEX(TF_Akt,MATCH($A66&amp;"|"&amp;C$5,TF_Dom,0)))&gt;0,AND(IF(C$10="",0,MAX(0,ROUND((C$13-SUMIFS(TF_Timer,TF_Nokkel,$A66&amp;"|"&amp;C$5))*2,0)/2))&gt;0,INDEX(TF_Akt,MATCH($A66&amp;"|"&amp;C$5,TF_Dom,0))&lt;&gt;"LMS")),"+",""),"?"))))</f>
        <v/>
      </c>
      <c r="D66" s="13">
        <f>IF(OR($A66="",D$5=""),"",IF(OR(AND(INDEX(TekFra,47)&gt;0,D$5&lt;INDEX(TekFra,47)),AND(INDEX(TekTil,47)&gt;0,D$5&gt;INDEX(TekTil,47))),"",IF(COUNTIFS(TF_Nokkel,$A66&amp;"|"&amp;D$5)=0,IF(D$10&lt;&gt;"","LMS",""),IFERROR(IF(SUMIFS(TF_Timer,TF_Nokkel,$A66&amp;"|"&amp;D$5,TF_Akt,"LMS")+IF(D$10="",0,MAX(0,ROUND((D$13-SUMIFS(TF_Timer,TF_Nokkel,$A66&amp;"|"&amp;D$5))*2,0)/2))&gt;INDEX(TF_AktSum,MATCH($A66&amp;"|"&amp;D$5,TF_Dom,0)),"LMS",INDEX(AktKode,MATCH(INDEX(TF_Akt,MATCH($A66&amp;"|"&amp;D$5,TF_Dom,0)),Aktiviteter,0)))&amp;IF(OR(COUNTIFS(TF_Nokkel,$A66&amp;"|"&amp;D$5,TF_Akt,"&lt;&gt;"&amp;INDEX(TF_Akt,MATCH($A66&amp;"|"&amp;D$5,TF_Dom,0)))&gt;0,AND(IF(D$10="",0,MAX(0,ROUND((D$13-SUMIFS(TF_Timer,TF_Nokkel,$A66&amp;"|"&amp;D$5))*2,0)/2))&gt;0,INDEX(TF_Akt,MATCH($A66&amp;"|"&amp;D$5,TF_Dom,0))&lt;&gt;"LMS")),"+",""),"?"))))</f>
        <v/>
      </c>
      <c r="E66" s="13">
        <f>IF(OR($A66="",E$5=""),"",IF(OR(AND(INDEX(TekFra,47)&gt;0,E$5&lt;INDEX(TekFra,47)),AND(INDEX(TekTil,47)&gt;0,E$5&gt;INDEX(TekTil,47))),"",IF(COUNTIFS(TF_Nokkel,$A66&amp;"|"&amp;E$5)=0,IF(E$10&lt;&gt;"","LMS",""),IFERROR(IF(SUMIFS(TF_Timer,TF_Nokkel,$A66&amp;"|"&amp;E$5,TF_Akt,"LMS")+IF(E$10="",0,MAX(0,ROUND((E$13-SUMIFS(TF_Timer,TF_Nokkel,$A66&amp;"|"&amp;E$5))*2,0)/2))&gt;INDEX(TF_AktSum,MATCH($A66&amp;"|"&amp;E$5,TF_Dom,0)),"LMS",INDEX(AktKode,MATCH(INDEX(TF_Akt,MATCH($A66&amp;"|"&amp;E$5,TF_Dom,0)),Aktiviteter,0)))&amp;IF(OR(COUNTIFS(TF_Nokkel,$A66&amp;"|"&amp;E$5,TF_Akt,"&lt;&gt;"&amp;INDEX(TF_Akt,MATCH($A66&amp;"|"&amp;E$5,TF_Dom,0)))&gt;0,AND(IF(E$10="",0,MAX(0,ROUND((E$13-SUMIFS(TF_Timer,TF_Nokkel,$A66&amp;"|"&amp;E$5))*2,0)/2))&gt;0,INDEX(TF_Akt,MATCH($A66&amp;"|"&amp;E$5,TF_Dom,0))&lt;&gt;"LMS")),"+",""),"?"))))</f>
        <v/>
      </c>
      <c r="F66" s="13">
        <f>IF(OR($A66="",F$5=""),"",IF(OR(AND(INDEX(TekFra,47)&gt;0,F$5&lt;INDEX(TekFra,47)),AND(INDEX(TekTil,47)&gt;0,F$5&gt;INDEX(TekTil,47))),"",IF(COUNTIFS(TF_Nokkel,$A66&amp;"|"&amp;F$5)=0,IF(F$10&lt;&gt;"","LMS",""),IFERROR(IF(SUMIFS(TF_Timer,TF_Nokkel,$A66&amp;"|"&amp;F$5,TF_Akt,"LMS")+IF(F$10="",0,MAX(0,ROUND((F$13-SUMIFS(TF_Timer,TF_Nokkel,$A66&amp;"|"&amp;F$5))*2,0)/2))&gt;INDEX(TF_AktSum,MATCH($A66&amp;"|"&amp;F$5,TF_Dom,0)),"LMS",INDEX(AktKode,MATCH(INDEX(TF_Akt,MATCH($A66&amp;"|"&amp;F$5,TF_Dom,0)),Aktiviteter,0)))&amp;IF(OR(COUNTIFS(TF_Nokkel,$A66&amp;"|"&amp;F$5,TF_Akt,"&lt;&gt;"&amp;INDEX(TF_Akt,MATCH($A66&amp;"|"&amp;F$5,TF_Dom,0)))&gt;0,AND(IF(F$10="",0,MAX(0,ROUND((F$13-SUMIFS(TF_Timer,TF_Nokkel,$A66&amp;"|"&amp;F$5))*2,0)/2))&gt;0,INDEX(TF_Akt,MATCH($A66&amp;"|"&amp;F$5,TF_Dom,0))&lt;&gt;"LMS")),"+",""),"?"))))</f>
        <v/>
      </c>
      <c r="G66" s="13">
        <f>IF(OR($A66="",G$5=""),"",IF(OR(AND(INDEX(TekFra,47)&gt;0,G$5&lt;INDEX(TekFra,47)),AND(INDEX(TekTil,47)&gt;0,G$5&gt;INDEX(TekTil,47))),"",IF(COUNTIFS(TF_Nokkel,$A66&amp;"|"&amp;G$5)=0,IF(G$10&lt;&gt;"","LMS",""),IFERROR(IF(SUMIFS(TF_Timer,TF_Nokkel,$A66&amp;"|"&amp;G$5,TF_Akt,"LMS")+IF(G$10="",0,MAX(0,ROUND((G$13-SUMIFS(TF_Timer,TF_Nokkel,$A66&amp;"|"&amp;G$5))*2,0)/2))&gt;INDEX(TF_AktSum,MATCH($A66&amp;"|"&amp;G$5,TF_Dom,0)),"LMS",INDEX(AktKode,MATCH(INDEX(TF_Akt,MATCH($A66&amp;"|"&amp;G$5,TF_Dom,0)),Aktiviteter,0)))&amp;IF(OR(COUNTIFS(TF_Nokkel,$A66&amp;"|"&amp;G$5,TF_Akt,"&lt;&gt;"&amp;INDEX(TF_Akt,MATCH($A66&amp;"|"&amp;G$5,TF_Dom,0)))&gt;0,AND(IF(G$10="",0,MAX(0,ROUND((G$13-SUMIFS(TF_Timer,TF_Nokkel,$A66&amp;"|"&amp;G$5))*2,0)/2))&gt;0,INDEX(TF_Akt,MATCH($A66&amp;"|"&amp;G$5,TF_Dom,0))&lt;&gt;"LMS")),"+",""),"?"))))</f>
        <v/>
      </c>
      <c r="H66" s="13">
        <f>IF(OR($A66="",H$5=""),"",IF(OR(AND(INDEX(TekFra,47)&gt;0,H$5&lt;INDEX(TekFra,47)),AND(INDEX(TekTil,47)&gt;0,H$5&gt;INDEX(TekTil,47))),"",IF(COUNTIFS(TF_Nokkel,$A66&amp;"|"&amp;H$5)=0,IF(H$10&lt;&gt;"","LMS",""),IFERROR(IF(SUMIFS(TF_Timer,TF_Nokkel,$A66&amp;"|"&amp;H$5,TF_Akt,"LMS")+IF(H$10="",0,MAX(0,ROUND((H$13-SUMIFS(TF_Timer,TF_Nokkel,$A66&amp;"|"&amp;H$5))*2,0)/2))&gt;INDEX(TF_AktSum,MATCH($A66&amp;"|"&amp;H$5,TF_Dom,0)),"LMS",INDEX(AktKode,MATCH(INDEX(TF_Akt,MATCH($A66&amp;"|"&amp;H$5,TF_Dom,0)),Aktiviteter,0)))&amp;IF(OR(COUNTIFS(TF_Nokkel,$A66&amp;"|"&amp;H$5,TF_Akt,"&lt;&gt;"&amp;INDEX(TF_Akt,MATCH($A66&amp;"|"&amp;H$5,TF_Dom,0)))&gt;0,AND(IF(H$10="",0,MAX(0,ROUND((H$13-SUMIFS(TF_Timer,TF_Nokkel,$A66&amp;"|"&amp;H$5))*2,0)/2))&gt;0,INDEX(TF_Akt,MATCH($A66&amp;"|"&amp;H$5,TF_Dom,0))&lt;&gt;"LMS")),"+",""),"?"))))</f>
        <v/>
      </c>
      <c r="I66" s="13">
        <f>IF(OR($A66="",I$5=""),"",IF(OR(AND(INDEX(TekFra,47)&gt;0,I$5&lt;INDEX(TekFra,47)),AND(INDEX(TekTil,47)&gt;0,I$5&gt;INDEX(TekTil,47))),"",IF(COUNTIFS(TF_Nokkel,$A66&amp;"|"&amp;I$5)=0,IF(I$10&lt;&gt;"","LMS",""),IFERROR(IF(SUMIFS(TF_Timer,TF_Nokkel,$A66&amp;"|"&amp;I$5,TF_Akt,"LMS")+IF(I$10="",0,MAX(0,ROUND((I$13-SUMIFS(TF_Timer,TF_Nokkel,$A66&amp;"|"&amp;I$5))*2,0)/2))&gt;INDEX(TF_AktSum,MATCH($A66&amp;"|"&amp;I$5,TF_Dom,0)),"LMS",INDEX(AktKode,MATCH(INDEX(TF_Akt,MATCH($A66&amp;"|"&amp;I$5,TF_Dom,0)),Aktiviteter,0)))&amp;IF(OR(COUNTIFS(TF_Nokkel,$A66&amp;"|"&amp;I$5,TF_Akt,"&lt;&gt;"&amp;INDEX(TF_Akt,MATCH($A66&amp;"|"&amp;I$5,TF_Dom,0)))&gt;0,AND(IF(I$10="",0,MAX(0,ROUND((I$13-SUMIFS(TF_Timer,TF_Nokkel,$A66&amp;"|"&amp;I$5))*2,0)/2))&gt;0,INDEX(TF_Akt,MATCH($A66&amp;"|"&amp;I$5,TF_Dom,0))&lt;&gt;"LMS")),"+",""),"?"))))</f>
        <v/>
      </c>
      <c r="J66" s="13">
        <f>IF(OR($A66="",J$5=""),"",IF(OR(AND(INDEX(TekFra,47)&gt;0,J$5&lt;INDEX(TekFra,47)),AND(INDEX(TekTil,47)&gt;0,J$5&gt;INDEX(TekTil,47))),"",IF(COUNTIFS(TF_Nokkel,$A66&amp;"|"&amp;J$5)=0,IF(J$10&lt;&gt;"","LMS",""),IFERROR(IF(SUMIFS(TF_Timer,TF_Nokkel,$A66&amp;"|"&amp;J$5,TF_Akt,"LMS")+IF(J$10="",0,MAX(0,ROUND((J$13-SUMIFS(TF_Timer,TF_Nokkel,$A66&amp;"|"&amp;J$5))*2,0)/2))&gt;INDEX(TF_AktSum,MATCH($A66&amp;"|"&amp;J$5,TF_Dom,0)),"LMS",INDEX(AktKode,MATCH(INDEX(TF_Akt,MATCH($A66&amp;"|"&amp;J$5,TF_Dom,0)),Aktiviteter,0)))&amp;IF(OR(COUNTIFS(TF_Nokkel,$A66&amp;"|"&amp;J$5,TF_Akt,"&lt;&gt;"&amp;INDEX(TF_Akt,MATCH($A66&amp;"|"&amp;J$5,TF_Dom,0)))&gt;0,AND(IF(J$10="",0,MAX(0,ROUND((J$13-SUMIFS(TF_Timer,TF_Nokkel,$A66&amp;"|"&amp;J$5))*2,0)/2))&gt;0,INDEX(TF_Akt,MATCH($A66&amp;"|"&amp;J$5,TF_Dom,0))&lt;&gt;"LMS")),"+",""),"?"))))</f>
        <v/>
      </c>
      <c r="K66" s="13">
        <f>IF(OR($A66="",K$5=""),"",IF(OR(AND(INDEX(TekFra,47)&gt;0,K$5&lt;INDEX(TekFra,47)),AND(INDEX(TekTil,47)&gt;0,K$5&gt;INDEX(TekTil,47))),"",IF(COUNTIFS(TF_Nokkel,$A66&amp;"|"&amp;K$5)=0,IF(K$10&lt;&gt;"","LMS",""),IFERROR(IF(SUMIFS(TF_Timer,TF_Nokkel,$A66&amp;"|"&amp;K$5,TF_Akt,"LMS")+IF(K$10="",0,MAX(0,ROUND((K$13-SUMIFS(TF_Timer,TF_Nokkel,$A66&amp;"|"&amp;K$5))*2,0)/2))&gt;INDEX(TF_AktSum,MATCH($A66&amp;"|"&amp;K$5,TF_Dom,0)),"LMS",INDEX(AktKode,MATCH(INDEX(TF_Akt,MATCH($A66&amp;"|"&amp;K$5,TF_Dom,0)),Aktiviteter,0)))&amp;IF(OR(COUNTIFS(TF_Nokkel,$A66&amp;"|"&amp;K$5,TF_Akt,"&lt;&gt;"&amp;INDEX(TF_Akt,MATCH($A66&amp;"|"&amp;K$5,TF_Dom,0)))&gt;0,AND(IF(K$10="",0,MAX(0,ROUND((K$13-SUMIFS(TF_Timer,TF_Nokkel,$A66&amp;"|"&amp;K$5))*2,0)/2))&gt;0,INDEX(TF_Akt,MATCH($A66&amp;"|"&amp;K$5,TF_Dom,0))&lt;&gt;"LMS")),"+",""),"?"))))</f>
        <v/>
      </c>
      <c r="L66" s="13">
        <f>IF(OR($A66="",L$5=""),"",IF(OR(AND(INDEX(TekFra,47)&gt;0,L$5&lt;INDEX(TekFra,47)),AND(INDEX(TekTil,47)&gt;0,L$5&gt;INDEX(TekTil,47))),"",IF(COUNTIFS(TF_Nokkel,$A66&amp;"|"&amp;L$5)=0,IF(L$10&lt;&gt;"","LMS",""),IFERROR(IF(SUMIFS(TF_Timer,TF_Nokkel,$A66&amp;"|"&amp;L$5,TF_Akt,"LMS")+IF(L$10="",0,MAX(0,ROUND((L$13-SUMIFS(TF_Timer,TF_Nokkel,$A66&amp;"|"&amp;L$5))*2,0)/2))&gt;INDEX(TF_AktSum,MATCH($A66&amp;"|"&amp;L$5,TF_Dom,0)),"LMS",INDEX(AktKode,MATCH(INDEX(TF_Akt,MATCH($A66&amp;"|"&amp;L$5,TF_Dom,0)),Aktiviteter,0)))&amp;IF(OR(COUNTIFS(TF_Nokkel,$A66&amp;"|"&amp;L$5,TF_Akt,"&lt;&gt;"&amp;INDEX(TF_Akt,MATCH($A66&amp;"|"&amp;L$5,TF_Dom,0)))&gt;0,AND(IF(L$10="",0,MAX(0,ROUND((L$13-SUMIFS(TF_Timer,TF_Nokkel,$A66&amp;"|"&amp;L$5))*2,0)/2))&gt;0,INDEX(TF_Akt,MATCH($A66&amp;"|"&amp;L$5,TF_Dom,0))&lt;&gt;"LMS")),"+",""),"?"))))</f>
        <v/>
      </c>
      <c r="M66" s="13">
        <f>IF(OR($A66="",M$5=""),"",IF(OR(AND(INDEX(TekFra,47)&gt;0,M$5&lt;INDEX(TekFra,47)),AND(INDEX(TekTil,47)&gt;0,M$5&gt;INDEX(TekTil,47))),"",IF(COUNTIFS(TF_Nokkel,$A66&amp;"|"&amp;M$5)=0,IF(M$10&lt;&gt;"","LMS",""),IFERROR(IF(SUMIFS(TF_Timer,TF_Nokkel,$A66&amp;"|"&amp;M$5,TF_Akt,"LMS")+IF(M$10="",0,MAX(0,ROUND((M$13-SUMIFS(TF_Timer,TF_Nokkel,$A66&amp;"|"&amp;M$5))*2,0)/2))&gt;INDEX(TF_AktSum,MATCH($A66&amp;"|"&amp;M$5,TF_Dom,0)),"LMS",INDEX(AktKode,MATCH(INDEX(TF_Akt,MATCH($A66&amp;"|"&amp;M$5,TF_Dom,0)),Aktiviteter,0)))&amp;IF(OR(COUNTIFS(TF_Nokkel,$A66&amp;"|"&amp;M$5,TF_Akt,"&lt;&gt;"&amp;INDEX(TF_Akt,MATCH($A66&amp;"|"&amp;M$5,TF_Dom,0)))&gt;0,AND(IF(M$10="",0,MAX(0,ROUND((M$13-SUMIFS(TF_Timer,TF_Nokkel,$A66&amp;"|"&amp;M$5))*2,0)/2))&gt;0,INDEX(TF_Akt,MATCH($A66&amp;"|"&amp;M$5,TF_Dom,0))&lt;&gt;"LMS")),"+",""),"?"))))</f>
        <v/>
      </c>
      <c r="N66" s="13">
        <f>IF(OR($A66="",N$5=""),"",IF(OR(AND(INDEX(TekFra,47)&gt;0,N$5&lt;INDEX(TekFra,47)),AND(INDEX(TekTil,47)&gt;0,N$5&gt;INDEX(TekTil,47))),"",IF(COUNTIFS(TF_Nokkel,$A66&amp;"|"&amp;N$5)=0,IF(N$10&lt;&gt;"","LMS",""),IFERROR(IF(SUMIFS(TF_Timer,TF_Nokkel,$A66&amp;"|"&amp;N$5,TF_Akt,"LMS")+IF(N$10="",0,MAX(0,ROUND((N$13-SUMIFS(TF_Timer,TF_Nokkel,$A66&amp;"|"&amp;N$5))*2,0)/2))&gt;INDEX(TF_AktSum,MATCH($A66&amp;"|"&amp;N$5,TF_Dom,0)),"LMS",INDEX(AktKode,MATCH(INDEX(TF_Akt,MATCH($A66&amp;"|"&amp;N$5,TF_Dom,0)),Aktiviteter,0)))&amp;IF(OR(COUNTIFS(TF_Nokkel,$A66&amp;"|"&amp;N$5,TF_Akt,"&lt;&gt;"&amp;INDEX(TF_Akt,MATCH($A66&amp;"|"&amp;N$5,TF_Dom,0)))&gt;0,AND(IF(N$10="",0,MAX(0,ROUND((N$13-SUMIFS(TF_Timer,TF_Nokkel,$A66&amp;"|"&amp;N$5))*2,0)/2))&gt;0,INDEX(TF_Akt,MATCH($A66&amp;"|"&amp;N$5,TF_Dom,0))&lt;&gt;"LMS")),"+",""),"?"))))</f>
        <v/>
      </c>
      <c r="O66" s="13">
        <f>IF(OR($A66="",O$5=""),"",IF(OR(AND(INDEX(TekFra,47)&gt;0,O$5&lt;INDEX(TekFra,47)),AND(INDEX(TekTil,47)&gt;0,O$5&gt;INDEX(TekTil,47))),"",IF(COUNTIFS(TF_Nokkel,$A66&amp;"|"&amp;O$5)=0,IF(O$10&lt;&gt;"","LMS",""),IFERROR(IF(SUMIFS(TF_Timer,TF_Nokkel,$A66&amp;"|"&amp;O$5,TF_Akt,"LMS")+IF(O$10="",0,MAX(0,ROUND((O$13-SUMIFS(TF_Timer,TF_Nokkel,$A66&amp;"|"&amp;O$5))*2,0)/2))&gt;INDEX(TF_AktSum,MATCH($A66&amp;"|"&amp;O$5,TF_Dom,0)),"LMS",INDEX(AktKode,MATCH(INDEX(TF_Akt,MATCH($A66&amp;"|"&amp;O$5,TF_Dom,0)),Aktiviteter,0)))&amp;IF(OR(COUNTIFS(TF_Nokkel,$A66&amp;"|"&amp;O$5,TF_Akt,"&lt;&gt;"&amp;INDEX(TF_Akt,MATCH($A66&amp;"|"&amp;O$5,TF_Dom,0)))&gt;0,AND(IF(O$10="",0,MAX(0,ROUND((O$13-SUMIFS(TF_Timer,TF_Nokkel,$A66&amp;"|"&amp;O$5))*2,0)/2))&gt;0,INDEX(TF_Akt,MATCH($A66&amp;"|"&amp;O$5,TF_Dom,0))&lt;&gt;"LMS")),"+",""),"?"))))</f>
        <v/>
      </c>
      <c r="P66" s="13">
        <f>IF(OR($A66="",P$5=""),"",IF(OR(AND(INDEX(TekFra,47)&gt;0,P$5&lt;INDEX(TekFra,47)),AND(INDEX(TekTil,47)&gt;0,P$5&gt;INDEX(TekTil,47))),"",IF(COUNTIFS(TF_Nokkel,$A66&amp;"|"&amp;P$5)=0,IF(P$10&lt;&gt;"","LMS",""),IFERROR(IF(SUMIFS(TF_Timer,TF_Nokkel,$A66&amp;"|"&amp;P$5,TF_Akt,"LMS")+IF(P$10="",0,MAX(0,ROUND((P$13-SUMIFS(TF_Timer,TF_Nokkel,$A66&amp;"|"&amp;P$5))*2,0)/2))&gt;INDEX(TF_AktSum,MATCH($A66&amp;"|"&amp;P$5,TF_Dom,0)),"LMS",INDEX(AktKode,MATCH(INDEX(TF_Akt,MATCH($A66&amp;"|"&amp;P$5,TF_Dom,0)),Aktiviteter,0)))&amp;IF(OR(COUNTIFS(TF_Nokkel,$A66&amp;"|"&amp;P$5,TF_Akt,"&lt;&gt;"&amp;INDEX(TF_Akt,MATCH($A66&amp;"|"&amp;P$5,TF_Dom,0)))&gt;0,AND(IF(P$10="",0,MAX(0,ROUND((P$13-SUMIFS(TF_Timer,TF_Nokkel,$A66&amp;"|"&amp;P$5))*2,0)/2))&gt;0,INDEX(TF_Akt,MATCH($A66&amp;"|"&amp;P$5,TF_Dom,0))&lt;&gt;"LMS")),"+",""),"?"))))</f>
        <v/>
      </c>
      <c r="Q66" s="13">
        <f>IF(OR($A66="",Q$5=""),"",IF(OR(AND(INDEX(TekFra,47)&gt;0,Q$5&lt;INDEX(TekFra,47)),AND(INDEX(TekTil,47)&gt;0,Q$5&gt;INDEX(TekTil,47))),"",IF(COUNTIFS(TF_Nokkel,$A66&amp;"|"&amp;Q$5)=0,IF(Q$10&lt;&gt;"","LMS",""),IFERROR(IF(SUMIFS(TF_Timer,TF_Nokkel,$A66&amp;"|"&amp;Q$5,TF_Akt,"LMS")+IF(Q$10="",0,MAX(0,ROUND((Q$13-SUMIFS(TF_Timer,TF_Nokkel,$A66&amp;"|"&amp;Q$5))*2,0)/2))&gt;INDEX(TF_AktSum,MATCH($A66&amp;"|"&amp;Q$5,TF_Dom,0)),"LMS",INDEX(AktKode,MATCH(INDEX(TF_Akt,MATCH($A66&amp;"|"&amp;Q$5,TF_Dom,0)),Aktiviteter,0)))&amp;IF(OR(COUNTIFS(TF_Nokkel,$A66&amp;"|"&amp;Q$5,TF_Akt,"&lt;&gt;"&amp;INDEX(TF_Akt,MATCH($A66&amp;"|"&amp;Q$5,TF_Dom,0)))&gt;0,AND(IF(Q$10="",0,MAX(0,ROUND((Q$13-SUMIFS(TF_Timer,TF_Nokkel,$A66&amp;"|"&amp;Q$5))*2,0)/2))&gt;0,INDEX(TF_Akt,MATCH($A66&amp;"|"&amp;Q$5,TF_Dom,0))&lt;&gt;"LMS")),"+",""),"?"))))</f>
        <v/>
      </c>
      <c r="R66" s="13">
        <f>IF(OR($A66="",R$5=""),"",IF(OR(AND(INDEX(TekFra,47)&gt;0,R$5&lt;INDEX(TekFra,47)),AND(INDEX(TekTil,47)&gt;0,R$5&gt;INDEX(TekTil,47))),"",IF(COUNTIFS(TF_Nokkel,$A66&amp;"|"&amp;R$5)=0,IF(R$10&lt;&gt;"","LMS",""),IFERROR(IF(SUMIFS(TF_Timer,TF_Nokkel,$A66&amp;"|"&amp;R$5,TF_Akt,"LMS")+IF(R$10="",0,MAX(0,ROUND((R$13-SUMIFS(TF_Timer,TF_Nokkel,$A66&amp;"|"&amp;R$5))*2,0)/2))&gt;INDEX(TF_AktSum,MATCH($A66&amp;"|"&amp;R$5,TF_Dom,0)),"LMS",INDEX(AktKode,MATCH(INDEX(TF_Akt,MATCH($A66&amp;"|"&amp;R$5,TF_Dom,0)),Aktiviteter,0)))&amp;IF(OR(COUNTIFS(TF_Nokkel,$A66&amp;"|"&amp;R$5,TF_Akt,"&lt;&gt;"&amp;INDEX(TF_Akt,MATCH($A66&amp;"|"&amp;R$5,TF_Dom,0)))&gt;0,AND(IF(R$10="",0,MAX(0,ROUND((R$13-SUMIFS(TF_Timer,TF_Nokkel,$A66&amp;"|"&amp;R$5))*2,0)/2))&gt;0,INDEX(TF_Akt,MATCH($A66&amp;"|"&amp;R$5,TF_Dom,0))&lt;&gt;"LMS")),"+",""),"?"))))</f>
        <v/>
      </c>
      <c r="S66" s="13">
        <f>IF(OR($A66="",S$5=""),"",IF(OR(AND(INDEX(TekFra,47)&gt;0,S$5&lt;INDEX(TekFra,47)),AND(INDEX(TekTil,47)&gt;0,S$5&gt;INDEX(TekTil,47))),"",IF(COUNTIFS(TF_Nokkel,$A66&amp;"|"&amp;S$5)=0,IF(S$10&lt;&gt;"","LMS",""),IFERROR(IF(SUMIFS(TF_Timer,TF_Nokkel,$A66&amp;"|"&amp;S$5,TF_Akt,"LMS")+IF(S$10="",0,MAX(0,ROUND((S$13-SUMIFS(TF_Timer,TF_Nokkel,$A66&amp;"|"&amp;S$5))*2,0)/2))&gt;INDEX(TF_AktSum,MATCH($A66&amp;"|"&amp;S$5,TF_Dom,0)),"LMS",INDEX(AktKode,MATCH(INDEX(TF_Akt,MATCH($A66&amp;"|"&amp;S$5,TF_Dom,0)),Aktiviteter,0)))&amp;IF(OR(COUNTIFS(TF_Nokkel,$A66&amp;"|"&amp;S$5,TF_Akt,"&lt;&gt;"&amp;INDEX(TF_Akt,MATCH($A66&amp;"|"&amp;S$5,TF_Dom,0)))&gt;0,AND(IF(S$10="",0,MAX(0,ROUND((S$13-SUMIFS(TF_Timer,TF_Nokkel,$A66&amp;"|"&amp;S$5))*2,0)/2))&gt;0,INDEX(TF_Akt,MATCH($A66&amp;"|"&amp;S$5,TF_Dom,0))&lt;&gt;"LMS")),"+",""),"?"))))</f>
        <v/>
      </c>
      <c r="T66" s="13">
        <f>IF(OR($A66="",T$5=""),"",IF(OR(AND(INDEX(TekFra,47)&gt;0,T$5&lt;INDEX(TekFra,47)),AND(INDEX(TekTil,47)&gt;0,T$5&gt;INDEX(TekTil,47))),"",IF(COUNTIFS(TF_Nokkel,$A66&amp;"|"&amp;T$5)=0,IF(T$10&lt;&gt;"","LMS",""),IFERROR(IF(SUMIFS(TF_Timer,TF_Nokkel,$A66&amp;"|"&amp;T$5,TF_Akt,"LMS")+IF(T$10="",0,MAX(0,ROUND((T$13-SUMIFS(TF_Timer,TF_Nokkel,$A66&amp;"|"&amp;T$5))*2,0)/2))&gt;INDEX(TF_AktSum,MATCH($A66&amp;"|"&amp;T$5,TF_Dom,0)),"LMS",INDEX(AktKode,MATCH(INDEX(TF_Akt,MATCH($A66&amp;"|"&amp;T$5,TF_Dom,0)),Aktiviteter,0)))&amp;IF(OR(COUNTIFS(TF_Nokkel,$A66&amp;"|"&amp;T$5,TF_Akt,"&lt;&gt;"&amp;INDEX(TF_Akt,MATCH($A66&amp;"|"&amp;T$5,TF_Dom,0)))&gt;0,AND(IF(T$10="",0,MAX(0,ROUND((T$13-SUMIFS(TF_Timer,TF_Nokkel,$A66&amp;"|"&amp;T$5))*2,0)/2))&gt;0,INDEX(TF_Akt,MATCH($A66&amp;"|"&amp;T$5,TF_Dom,0))&lt;&gt;"LMS")),"+",""),"?"))))</f>
        <v/>
      </c>
      <c r="U66" s="13">
        <f>IF(OR($A66="",U$5=""),"",IF(OR(AND(INDEX(TekFra,47)&gt;0,U$5&lt;INDEX(TekFra,47)),AND(INDEX(TekTil,47)&gt;0,U$5&gt;INDEX(TekTil,47))),"",IF(COUNTIFS(TF_Nokkel,$A66&amp;"|"&amp;U$5)=0,IF(U$10&lt;&gt;"","LMS",""),IFERROR(IF(SUMIFS(TF_Timer,TF_Nokkel,$A66&amp;"|"&amp;U$5,TF_Akt,"LMS")+IF(U$10="",0,MAX(0,ROUND((U$13-SUMIFS(TF_Timer,TF_Nokkel,$A66&amp;"|"&amp;U$5))*2,0)/2))&gt;INDEX(TF_AktSum,MATCH($A66&amp;"|"&amp;U$5,TF_Dom,0)),"LMS",INDEX(AktKode,MATCH(INDEX(TF_Akt,MATCH($A66&amp;"|"&amp;U$5,TF_Dom,0)),Aktiviteter,0)))&amp;IF(OR(COUNTIFS(TF_Nokkel,$A66&amp;"|"&amp;U$5,TF_Akt,"&lt;&gt;"&amp;INDEX(TF_Akt,MATCH($A66&amp;"|"&amp;U$5,TF_Dom,0)))&gt;0,AND(IF(U$10="",0,MAX(0,ROUND((U$13-SUMIFS(TF_Timer,TF_Nokkel,$A66&amp;"|"&amp;U$5))*2,0)/2))&gt;0,INDEX(TF_Akt,MATCH($A66&amp;"|"&amp;U$5,TF_Dom,0))&lt;&gt;"LMS")),"+",""),"?"))))</f>
        <v/>
      </c>
      <c r="V66" s="13">
        <f>IF(OR($A66="",V$5=""),"",IF(OR(AND(INDEX(TekFra,47)&gt;0,V$5&lt;INDEX(TekFra,47)),AND(INDEX(TekTil,47)&gt;0,V$5&gt;INDEX(TekTil,47))),"",IF(COUNTIFS(TF_Nokkel,$A66&amp;"|"&amp;V$5)=0,IF(V$10&lt;&gt;"","LMS",""),IFERROR(IF(SUMIFS(TF_Timer,TF_Nokkel,$A66&amp;"|"&amp;V$5,TF_Akt,"LMS")+IF(V$10="",0,MAX(0,ROUND((V$13-SUMIFS(TF_Timer,TF_Nokkel,$A66&amp;"|"&amp;V$5))*2,0)/2))&gt;INDEX(TF_AktSum,MATCH($A66&amp;"|"&amp;V$5,TF_Dom,0)),"LMS",INDEX(AktKode,MATCH(INDEX(TF_Akt,MATCH($A66&amp;"|"&amp;V$5,TF_Dom,0)),Aktiviteter,0)))&amp;IF(OR(COUNTIFS(TF_Nokkel,$A66&amp;"|"&amp;V$5,TF_Akt,"&lt;&gt;"&amp;INDEX(TF_Akt,MATCH($A66&amp;"|"&amp;V$5,TF_Dom,0)))&gt;0,AND(IF(V$10="",0,MAX(0,ROUND((V$13-SUMIFS(TF_Timer,TF_Nokkel,$A66&amp;"|"&amp;V$5))*2,0)/2))&gt;0,INDEX(TF_Akt,MATCH($A66&amp;"|"&amp;V$5,TF_Dom,0))&lt;&gt;"LMS")),"+",""),"?"))))</f>
        <v/>
      </c>
      <c r="W66" s="13">
        <f>IF(OR($A66="",W$5=""),"",IF(OR(AND(INDEX(TekFra,47)&gt;0,W$5&lt;INDEX(TekFra,47)),AND(INDEX(TekTil,47)&gt;0,W$5&gt;INDEX(TekTil,47))),"",IF(COUNTIFS(TF_Nokkel,$A66&amp;"|"&amp;W$5)=0,IF(W$10&lt;&gt;"","LMS",""),IFERROR(IF(SUMIFS(TF_Timer,TF_Nokkel,$A66&amp;"|"&amp;W$5,TF_Akt,"LMS")+IF(W$10="",0,MAX(0,ROUND((W$13-SUMIFS(TF_Timer,TF_Nokkel,$A66&amp;"|"&amp;W$5))*2,0)/2))&gt;INDEX(TF_AktSum,MATCH($A66&amp;"|"&amp;W$5,TF_Dom,0)),"LMS",INDEX(AktKode,MATCH(INDEX(TF_Akt,MATCH($A66&amp;"|"&amp;W$5,TF_Dom,0)),Aktiviteter,0)))&amp;IF(OR(COUNTIFS(TF_Nokkel,$A66&amp;"|"&amp;W$5,TF_Akt,"&lt;&gt;"&amp;INDEX(TF_Akt,MATCH($A66&amp;"|"&amp;W$5,TF_Dom,0)))&gt;0,AND(IF(W$10="",0,MAX(0,ROUND((W$13-SUMIFS(TF_Timer,TF_Nokkel,$A66&amp;"|"&amp;W$5))*2,0)/2))&gt;0,INDEX(TF_Akt,MATCH($A66&amp;"|"&amp;W$5,TF_Dom,0))&lt;&gt;"LMS")),"+",""),"?"))))</f>
        <v/>
      </c>
      <c r="X66" s="13">
        <f>IF(OR($A66="",X$5=""),"",IF(OR(AND(INDEX(TekFra,47)&gt;0,X$5&lt;INDEX(TekFra,47)),AND(INDEX(TekTil,47)&gt;0,X$5&gt;INDEX(TekTil,47))),"",IF(COUNTIFS(TF_Nokkel,$A66&amp;"|"&amp;X$5)=0,IF(X$10&lt;&gt;"","LMS",""),IFERROR(IF(SUMIFS(TF_Timer,TF_Nokkel,$A66&amp;"|"&amp;X$5,TF_Akt,"LMS")+IF(X$10="",0,MAX(0,ROUND((X$13-SUMIFS(TF_Timer,TF_Nokkel,$A66&amp;"|"&amp;X$5))*2,0)/2))&gt;INDEX(TF_AktSum,MATCH($A66&amp;"|"&amp;X$5,TF_Dom,0)),"LMS",INDEX(AktKode,MATCH(INDEX(TF_Akt,MATCH($A66&amp;"|"&amp;X$5,TF_Dom,0)),Aktiviteter,0)))&amp;IF(OR(COUNTIFS(TF_Nokkel,$A66&amp;"|"&amp;X$5,TF_Akt,"&lt;&gt;"&amp;INDEX(TF_Akt,MATCH($A66&amp;"|"&amp;X$5,TF_Dom,0)))&gt;0,AND(IF(X$10="",0,MAX(0,ROUND((X$13-SUMIFS(TF_Timer,TF_Nokkel,$A66&amp;"|"&amp;X$5))*2,0)/2))&gt;0,INDEX(TF_Akt,MATCH($A66&amp;"|"&amp;X$5,TF_Dom,0))&lt;&gt;"LMS")),"+",""),"?"))))</f>
        <v/>
      </c>
      <c r="Y66" s="13">
        <f>IF(OR($A66="",Y$5=""),"",IF(OR(AND(INDEX(TekFra,47)&gt;0,Y$5&lt;INDEX(TekFra,47)),AND(INDEX(TekTil,47)&gt;0,Y$5&gt;INDEX(TekTil,47))),"",IF(COUNTIFS(TF_Nokkel,$A66&amp;"|"&amp;Y$5)=0,IF(Y$10&lt;&gt;"","LMS",""),IFERROR(IF(SUMIFS(TF_Timer,TF_Nokkel,$A66&amp;"|"&amp;Y$5,TF_Akt,"LMS")+IF(Y$10="",0,MAX(0,ROUND((Y$13-SUMIFS(TF_Timer,TF_Nokkel,$A66&amp;"|"&amp;Y$5))*2,0)/2))&gt;INDEX(TF_AktSum,MATCH($A66&amp;"|"&amp;Y$5,TF_Dom,0)),"LMS",INDEX(AktKode,MATCH(INDEX(TF_Akt,MATCH($A66&amp;"|"&amp;Y$5,TF_Dom,0)),Aktiviteter,0)))&amp;IF(OR(COUNTIFS(TF_Nokkel,$A66&amp;"|"&amp;Y$5,TF_Akt,"&lt;&gt;"&amp;INDEX(TF_Akt,MATCH($A66&amp;"|"&amp;Y$5,TF_Dom,0)))&gt;0,AND(IF(Y$10="",0,MAX(0,ROUND((Y$13-SUMIFS(TF_Timer,TF_Nokkel,$A66&amp;"|"&amp;Y$5))*2,0)/2))&gt;0,INDEX(TF_Akt,MATCH($A66&amp;"|"&amp;Y$5,TF_Dom,0))&lt;&gt;"LMS")),"+",""),"?"))))</f>
        <v/>
      </c>
      <c r="Z66" s="13">
        <f>IF(OR($A66="",Z$5=""),"",IF(OR(AND(INDEX(TekFra,47)&gt;0,Z$5&lt;INDEX(TekFra,47)),AND(INDEX(TekTil,47)&gt;0,Z$5&gt;INDEX(TekTil,47))),"",IF(COUNTIFS(TF_Nokkel,$A66&amp;"|"&amp;Z$5)=0,IF(Z$10&lt;&gt;"","LMS",""),IFERROR(IF(SUMIFS(TF_Timer,TF_Nokkel,$A66&amp;"|"&amp;Z$5,TF_Akt,"LMS")+IF(Z$10="",0,MAX(0,ROUND((Z$13-SUMIFS(TF_Timer,TF_Nokkel,$A66&amp;"|"&amp;Z$5))*2,0)/2))&gt;INDEX(TF_AktSum,MATCH($A66&amp;"|"&amp;Z$5,TF_Dom,0)),"LMS",INDEX(AktKode,MATCH(INDEX(TF_Akt,MATCH($A66&amp;"|"&amp;Z$5,TF_Dom,0)),Aktiviteter,0)))&amp;IF(OR(COUNTIFS(TF_Nokkel,$A66&amp;"|"&amp;Z$5,TF_Akt,"&lt;&gt;"&amp;INDEX(TF_Akt,MATCH($A66&amp;"|"&amp;Z$5,TF_Dom,0)))&gt;0,AND(IF(Z$10="",0,MAX(0,ROUND((Z$13-SUMIFS(TF_Timer,TF_Nokkel,$A66&amp;"|"&amp;Z$5))*2,0)/2))&gt;0,INDEX(TF_Akt,MATCH($A66&amp;"|"&amp;Z$5,TF_Dom,0))&lt;&gt;"LMS")),"+",""),"?"))))</f>
        <v/>
      </c>
      <c r="AA66" s="13">
        <f>IF(OR($A66="",AA$5=""),"",IF(OR(AND(INDEX(TekFra,47)&gt;0,AA$5&lt;INDEX(TekFra,47)),AND(INDEX(TekTil,47)&gt;0,AA$5&gt;INDEX(TekTil,47))),"",IF(COUNTIFS(TF_Nokkel,$A66&amp;"|"&amp;AA$5)=0,IF(AA$10&lt;&gt;"","LMS",""),IFERROR(IF(SUMIFS(TF_Timer,TF_Nokkel,$A66&amp;"|"&amp;AA$5,TF_Akt,"LMS")+IF(AA$10="",0,MAX(0,ROUND((AA$13-SUMIFS(TF_Timer,TF_Nokkel,$A66&amp;"|"&amp;AA$5))*2,0)/2))&gt;INDEX(TF_AktSum,MATCH($A66&amp;"|"&amp;AA$5,TF_Dom,0)),"LMS",INDEX(AktKode,MATCH(INDEX(TF_Akt,MATCH($A66&amp;"|"&amp;AA$5,TF_Dom,0)),Aktiviteter,0)))&amp;IF(OR(COUNTIFS(TF_Nokkel,$A66&amp;"|"&amp;AA$5,TF_Akt,"&lt;&gt;"&amp;INDEX(TF_Akt,MATCH($A66&amp;"|"&amp;AA$5,TF_Dom,0)))&gt;0,AND(IF(AA$10="",0,MAX(0,ROUND((AA$13-SUMIFS(TF_Timer,TF_Nokkel,$A66&amp;"|"&amp;AA$5))*2,0)/2))&gt;0,INDEX(TF_Akt,MATCH($A66&amp;"|"&amp;AA$5,TF_Dom,0))&lt;&gt;"LMS")),"+",""),"?"))))</f>
        <v/>
      </c>
      <c r="AB66" s="13">
        <f>IF(OR($A66="",AB$5=""),"",IF(OR(AND(INDEX(TekFra,47)&gt;0,AB$5&lt;INDEX(TekFra,47)),AND(INDEX(TekTil,47)&gt;0,AB$5&gt;INDEX(TekTil,47))),"",IF(COUNTIFS(TF_Nokkel,$A66&amp;"|"&amp;AB$5)=0,IF(AB$10&lt;&gt;"","LMS",""),IFERROR(IF(SUMIFS(TF_Timer,TF_Nokkel,$A66&amp;"|"&amp;AB$5,TF_Akt,"LMS")+IF(AB$10="",0,MAX(0,ROUND((AB$13-SUMIFS(TF_Timer,TF_Nokkel,$A66&amp;"|"&amp;AB$5))*2,0)/2))&gt;INDEX(TF_AktSum,MATCH($A66&amp;"|"&amp;AB$5,TF_Dom,0)),"LMS",INDEX(AktKode,MATCH(INDEX(TF_Akt,MATCH($A66&amp;"|"&amp;AB$5,TF_Dom,0)),Aktiviteter,0)))&amp;IF(OR(COUNTIFS(TF_Nokkel,$A66&amp;"|"&amp;AB$5,TF_Akt,"&lt;&gt;"&amp;INDEX(TF_Akt,MATCH($A66&amp;"|"&amp;AB$5,TF_Dom,0)))&gt;0,AND(IF(AB$10="",0,MAX(0,ROUND((AB$13-SUMIFS(TF_Timer,TF_Nokkel,$A66&amp;"|"&amp;AB$5))*2,0)/2))&gt;0,INDEX(TF_Akt,MATCH($A66&amp;"|"&amp;AB$5,TF_Dom,0))&lt;&gt;"LMS")),"+",""),"?"))))</f>
        <v/>
      </c>
      <c r="AC66" s="13">
        <f>IF(OR($A66="",AC$5=""),"",IF(OR(AND(INDEX(TekFra,47)&gt;0,AC$5&lt;INDEX(TekFra,47)),AND(INDEX(TekTil,47)&gt;0,AC$5&gt;INDEX(TekTil,47))),"",IF(COUNTIFS(TF_Nokkel,$A66&amp;"|"&amp;AC$5)=0,IF(AC$10&lt;&gt;"","LMS",""),IFERROR(IF(SUMIFS(TF_Timer,TF_Nokkel,$A66&amp;"|"&amp;AC$5,TF_Akt,"LMS")+IF(AC$10="",0,MAX(0,ROUND((AC$13-SUMIFS(TF_Timer,TF_Nokkel,$A66&amp;"|"&amp;AC$5))*2,0)/2))&gt;INDEX(TF_AktSum,MATCH($A66&amp;"|"&amp;AC$5,TF_Dom,0)),"LMS",INDEX(AktKode,MATCH(INDEX(TF_Akt,MATCH($A66&amp;"|"&amp;AC$5,TF_Dom,0)),Aktiviteter,0)))&amp;IF(OR(COUNTIFS(TF_Nokkel,$A66&amp;"|"&amp;AC$5,TF_Akt,"&lt;&gt;"&amp;INDEX(TF_Akt,MATCH($A66&amp;"|"&amp;AC$5,TF_Dom,0)))&gt;0,AND(IF(AC$10="",0,MAX(0,ROUND((AC$13-SUMIFS(TF_Timer,TF_Nokkel,$A66&amp;"|"&amp;AC$5))*2,0)/2))&gt;0,INDEX(TF_Akt,MATCH($A66&amp;"|"&amp;AC$5,TF_Dom,0))&lt;&gt;"LMS")),"+",""),"?"))))</f>
        <v/>
      </c>
      <c r="AD66" s="13">
        <f>IF(OR($A66="",AD$5=""),"",IF(OR(AND(INDEX(TekFra,47)&gt;0,AD$5&lt;INDEX(TekFra,47)),AND(INDEX(TekTil,47)&gt;0,AD$5&gt;INDEX(TekTil,47))),"",IF(COUNTIFS(TF_Nokkel,$A66&amp;"|"&amp;AD$5)=0,IF(AD$10&lt;&gt;"","LMS",""),IFERROR(IF(SUMIFS(TF_Timer,TF_Nokkel,$A66&amp;"|"&amp;AD$5,TF_Akt,"LMS")+IF(AD$10="",0,MAX(0,ROUND((AD$13-SUMIFS(TF_Timer,TF_Nokkel,$A66&amp;"|"&amp;AD$5))*2,0)/2))&gt;INDEX(TF_AktSum,MATCH($A66&amp;"|"&amp;AD$5,TF_Dom,0)),"LMS",INDEX(AktKode,MATCH(INDEX(TF_Akt,MATCH($A66&amp;"|"&amp;AD$5,TF_Dom,0)),Aktiviteter,0)))&amp;IF(OR(COUNTIFS(TF_Nokkel,$A66&amp;"|"&amp;AD$5,TF_Akt,"&lt;&gt;"&amp;INDEX(TF_Akt,MATCH($A66&amp;"|"&amp;AD$5,TF_Dom,0)))&gt;0,AND(IF(AD$10="",0,MAX(0,ROUND((AD$13-SUMIFS(TF_Timer,TF_Nokkel,$A66&amp;"|"&amp;AD$5))*2,0)/2))&gt;0,INDEX(TF_Akt,MATCH($A66&amp;"|"&amp;AD$5,TF_Dom,0))&lt;&gt;"LMS")),"+",""),"?"))))</f>
        <v/>
      </c>
      <c r="AE66" s="13">
        <f>IF(OR($A66="",AE$5=""),"",IF(OR(AND(INDEX(TekFra,47)&gt;0,AE$5&lt;INDEX(TekFra,47)),AND(INDEX(TekTil,47)&gt;0,AE$5&gt;INDEX(TekTil,47))),"",IF(COUNTIFS(TF_Nokkel,$A66&amp;"|"&amp;AE$5)=0,IF(AE$10&lt;&gt;"","LMS",""),IFERROR(IF(SUMIFS(TF_Timer,TF_Nokkel,$A66&amp;"|"&amp;AE$5,TF_Akt,"LMS")+IF(AE$10="",0,MAX(0,ROUND((AE$13-SUMIFS(TF_Timer,TF_Nokkel,$A66&amp;"|"&amp;AE$5))*2,0)/2))&gt;INDEX(TF_AktSum,MATCH($A66&amp;"|"&amp;AE$5,TF_Dom,0)),"LMS",INDEX(AktKode,MATCH(INDEX(TF_Akt,MATCH($A66&amp;"|"&amp;AE$5,TF_Dom,0)),Aktiviteter,0)))&amp;IF(OR(COUNTIFS(TF_Nokkel,$A66&amp;"|"&amp;AE$5,TF_Akt,"&lt;&gt;"&amp;INDEX(TF_Akt,MATCH($A66&amp;"|"&amp;AE$5,TF_Dom,0)))&gt;0,AND(IF(AE$10="",0,MAX(0,ROUND((AE$13-SUMIFS(TF_Timer,TF_Nokkel,$A66&amp;"|"&amp;AE$5))*2,0)/2))&gt;0,INDEX(TF_Akt,MATCH($A66&amp;"|"&amp;AE$5,TF_Dom,0))&lt;&gt;"LMS")),"+",""),"?"))))</f>
        <v/>
      </c>
      <c r="AF66" s="13">
        <f>IF(OR($A66="",AF$5=""),"",IF(OR(AND(INDEX(TekFra,47)&gt;0,AF$5&lt;INDEX(TekFra,47)),AND(INDEX(TekTil,47)&gt;0,AF$5&gt;INDEX(TekTil,47))),"",IF(COUNTIFS(TF_Nokkel,$A66&amp;"|"&amp;AF$5)=0,IF(AF$10&lt;&gt;"","LMS",""),IFERROR(IF(SUMIFS(TF_Timer,TF_Nokkel,$A66&amp;"|"&amp;AF$5,TF_Akt,"LMS")+IF(AF$10="",0,MAX(0,ROUND((AF$13-SUMIFS(TF_Timer,TF_Nokkel,$A66&amp;"|"&amp;AF$5))*2,0)/2))&gt;INDEX(TF_AktSum,MATCH($A66&amp;"|"&amp;AF$5,TF_Dom,0)),"LMS",INDEX(AktKode,MATCH(INDEX(TF_Akt,MATCH($A66&amp;"|"&amp;AF$5,TF_Dom,0)),Aktiviteter,0)))&amp;IF(OR(COUNTIFS(TF_Nokkel,$A66&amp;"|"&amp;AF$5,TF_Akt,"&lt;&gt;"&amp;INDEX(TF_Akt,MATCH($A66&amp;"|"&amp;AF$5,TF_Dom,0)))&gt;0,AND(IF(AF$10="",0,MAX(0,ROUND((AF$13-SUMIFS(TF_Timer,TF_Nokkel,$A66&amp;"|"&amp;AF$5))*2,0)/2))&gt;0,INDEX(TF_Akt,MATCH($A66&amp;"|"&amp;AF$5,TF_Dom,0))&lt;&gt;"LMS")),"+",""),"?"))))</f>
        <v/>
      </c>
      <c r="AG66" s="13">
        <f>IF(OR($A66="",AG$5=""),"",IF(OR(AND(INDEX(TekFra,47)&gt;0,AG$5&lt;INDEX(TekFra,47)),AND(INDEX(TekTil,47)&gt;0,AG$5&gt;INDEX(TekTil,47))),"",IF(COUNTIFS(TF_Nokkel,$A66&amp;"|"&amp;AG$5)=0,IF(AG$10&lt;&gt;"","LMS",""),IFERROR(IF(SUMIFS(TF_Timer,TF_Nokkel,$A66&amp;"|"&amp;AG$5,TF_Akt,"LMS")+IF(AG$10="",0,MAX(0,ROUND((AG$13-SUMIFS(TF_Timer,TF_Nokkel,$A66&amp;"|"&amp;AG$5))*2,0)/2))&gt;INDEX(TF_AktSum,MATCH($A66&amp;"|"&amp;AG$5,TF_Dom,0)),"LMS",INDEX(AktKode,MATCH(INDEX(TF_Akt,MATCH($A66&amp;"|"&amp;AG$5,TF_Dom,0)),Aktiviteter,0)))&amp;IF(OR(COUNTIFS(TF_Nokkel,$A66&amp;"|"&amp;AG$5,TF_Akt,"&lt;&gt;"&amp;INDEX(TF_Akt,MATCH($A66&amp;"|"&amp;AG$5,TF_Dom,0)))&gt;0,AND(IF(AG$10="",0,MAX(0,ROUND((AG$13-SUMIFS(TF_Timer,TF_Nokkel,$A66&amp;"|"&amp;AG$5))*2,0)/2))&gt;0,INDEX(TF_Akt,MATCH($A66&amp;"|"&amp;AG$5,TF_Dom,0))&lt;&gt;"LMS")),"+",""),"?"))))</f>
        <v/>
      </c>
      <c r="AH66" s="2" t="n"/>
      <c r="AI66" s="2" t="n"/>
      <c r="AJ66" s="2" t="n"/>
    </row>
    <row r="67">
      <c r="A67" s="2">
        <f>INDEX(Teknikere,48)&amp;""</f>
        <v/>
      </c>
      <c r="B67" s="12">
        <f>IF(INDEX(TekFra,48)&gt;0,"ekstra","")</f>
        <v/>
      </c>
      <c r="C67" s="13">
        <f>IF(OR($A67="",C$5=""),"",IF(OR(AND(INDEX(TekFra,48)&gt;0,C$5&lt;INDEX(TekFra,48)),AND(INDEX(TekTil,48)&gt;0,C$5&gt;INDEX(TekTil,48))),"",IF(COUNTIFS(TF_Nokkel,$A67&amp;"|"&amp;C$5)=0,IF(C$10&lt;&gt;"","LMS",""),IFERROR(IF(SUMIFS(TF_Timer,TF_Nokkel,$A67&amp;"|"&amp;C$5,TF_Akt,"LMS")+IF(C$10="",0,MAX(0,ROUND((C$13-SUMIFS(TF_Timer,TF_Nokkel,$A67&amp;"|"&amp;C$5))*2,0)/2))&gt;INDEX(TF_AktSum,MATCH($A67&amp;"|"&amp;C$5,TF_Dom,0)),"LMS",INDEX(AktKode,MATCH(INDEX(TF_Akt,MATCH($A67&amp;"|"&amp;C$5,TF_Dom,0)),Aktiviteter,0)))&amp;IF(OR(COUNTIFS(TF_Nokkel,$A67&amp;"|"&amp;C$5,TF_Akt,"&lt;&gt;"&amp;INDEX(TF_Akt,MATCH($A67&amp;"|"&amp;C$5,TF_Dom,0)))&gt;0,AND(IF(C$10="",0,MAX(0,ROUND((C$13-SUMIFS(TF_Timer,TF_Nokkel,$A67&amp;"|"&amp;C$5))*2,0)/2))&gt;0,INDEX(TF_Akt,MATCH($A67&amp;"|"&amp;C$5,TF_Dom,0))&lt;&gt;"LMS")),"+",""),"?"))))</f>
        <v/>
      </c>
      <c r="D67" s="13">
        <f>IF(OR($A67="",D$5=""),"",IF(OR(AND(INDEX(TekFra,48)&gt;0,D$5&lt;INDEX(TekFra,48)),AND(INDEX(TekTil,48)&gt;0,D$5&gt;INDEX(TekTil,48))),"",IF(COUNTIFS(TF_Nokkel,$A67&amp;"|"&amp;D$5)=0,IF(D$10&lt;&gt;"","LMS",""),IFERROR(IF(SUMIFS(TF_Timer,TF_Nokkel,$A67&amp;"|"&amp;D$5,TF_Akt,"LMS")+IF(D$10="",0,MAX(0,ROUND((D$13-SUMIFS(TF_Timer,TF_Nokkel,$A67&amp;"|"&amp;D$5))*2,0)/2))&gt;INDEX(TF_AktSum,MATCH($A67&amp;"|"&amp;D$5,TF_Dom,0)),"LMS",INDEX(AktKode,MATCH(INDEX(TF_Akt,MATCH($A67&amp;"|"&amp;D$5,TF_Dom,0)),Aktiviteter,0)))&amp;IF(OR(COUNTIFS(TF_Nokkel,$A67&amp;"|"&amp;D$5,TF_Akt,"&lt;&gt;"&amp;INDEX(TF_Akt,MATCH($A67&amp;"|"&amp;D$5,TF_Dom,0)))&gt;0,AND(IF(D$10="",0,MAX(0,ROUND((D$13-SUMIFS(TF_Timer,TF_Nokkel,$A67&amp;"|"&amp;D$5))*2,0)/2))&gt;0,INDEX(TF_Akt,MATCH($A67&amp;"|"&amp;D$5,TF_Dom,0))&lt;&gt;"LMS")),"+",""),"?"))))</f>
        <v/>
      </c>
      <c r="E67" s="13">
        <f>IF(OR($A67="",E$5=""),"",IF(OR(AND(INDEX(TekFra,48)&gt;0,E$5&lt;INDEX(TekFra,48)),AND(INDEX(TekTil,48)&gt;0,E$5&gt;INDEX(TekTil,48))),"",IF(COUNTIFS(TF_Nokkel,$A67&amp;"|"&amp;E$5)=0,IF(E$10&lt;&gt;"","LMS",""),IFERROR(IF(SUMIFS(TF_Timer,TF_Nokkel,$A67&amp;"|"&amp;E$5,TF_Akt,"LMS")+IF(E$10="",0,MAX(0,ROUND((E$13-SUMIFS(TF_Timer,TF_Nokkel,$A67&amp;"|"&amp;E$5))*2,0)/2))&gt;INDEX(TF_AktSum,MATCH($A67&amp;"|"&amp;E$5,TF_Dom,0)),"LMS",INDEX(AktKode,MATCH(INDEX(TF_Akt,MATCH($A67&amp;"|"&amp;E$5,TF_Dom,0)),Aktiviteter,0)))&amp;IF(OR(COUNTIFS(TF_Nokkel,$A67&amp;"|"&amp;E$5,TF_Akt,"&lt;&gt;"&amp;INDEX(TF_Akt,MATCH($A67&amp;"|"&amp;E$5,TF_Dom,0)))&gt;0,AND(IF(E$10="",0,MAX(0,ROUND((E$13-SUMIFS(TF_Timer,TF_Nokkel,$A67&amp;"|"&amp;E$5))*2,0)/2))&gt;0,INDEX(TF_Akt,MATCH($A67&amp;"|"&amp;E$5,TF_Dom,0))&lt;&gt;"LMS")),"+",""),"?"))))</f>
        <v/>
      </c>
      <c r="F67" s="13">
        <f>IF(OR($A67="",F$5=""),"",IF(OR(AND(INDEX(TekFra,48)&gt;0,F$5&lt;INDEX(TekFra,48)),AND(INDEX(TekTil,48)&gt;0,F$5&gt;INDEX(TekTil,48))),"",IF(COUNTIFS(TF_Nokkel,$A67&amp;"|"&amp;F$5)=0,IF(F$10&lt;&gt;"","LMS",""),IFERROR(IF(SUMIFS(TF_Timer,TF_Nokkel,$A67&amp;"|"&amp;F$5,TF_Akt,"LMS")+IF(F$10="",0,MAX(0,ROUND((F$13-SUMIFS(TF_Timer,TF_Nokkel,$A67&amp;"|"&amp;F$5))*2,0)/2))&gt;INDEX(TF_AktSum,MATCH($A67&amp;"|"&amp;F$5,TF_Dom,0)),"LMS",INDEX(AktKode,MATCH(INDEX(TF_Akt,MATCH($A67&amp;"|"&amp;F$5,TF_Dom,0)),Aktiviteter,0)))&amp;IF(OR(COUNTIFS(TF_Nokkel,$A67&amp;"|"&amp;F$5,TF_Akt,"&lt;&gt;"&amp;INDEX(TF_Akt,MATCH($A67&amp;"|"&amp;F$5,TF_Dom,0)))&gt;0,AND(IF(F$10="",0,MAX(0,ROUND((F$13-SUMIFS(TF_Timer,TF_Nokkel,$A67&amp;"|"&amp;F$5))*2,0)/2))&gt;0,INDEX(TF_Akt,MATCH($A67&amp;"|"&amp;F$5,TF_Dom,0))&lt;&gt;"LMS")),"+",""),"?"))))</f>
        <v/>
      </c>
      <c r="G67" s="13">
        <f>IF(OR($A67="",G$5=""),"",IF(OR(AND(INDEX(TekFra,48)&gt;0,G$5&lt;INDEX(TekFra,48)),AND(INDEX(TekTil,48)&gt;0,G$5&gt;INDEX(TekTil,48))),"",IF(COUNTIFS(TF_Nokkel,$A67&amp;"|"&amp;G$5)=0,IF(G$10&lt;&gt;"","LMS",""),IFERROR(IF(SUMIFS(TF_Timer,TF_Nokkel,$A67&amp;"|"&amp;G$5,TF_Akt,"LMS")+IF(G$10="",0,MAX(0,ROUND((G$13-SUMIFS(TF_Timer,TF_Nokkel,$A67&amp;"|"&amp;G$5))*2,0)/2))&gt;INDEX(TF_AktSum,MATCH($A67&amp;"|"&amp;G$5,TF_Dom,0)),"LMS",INDEX(AktKode,MATCH(INDEX(TF_Akt,MATCH($A67&amp;"|"&amp;G$5,TF_Dom,0)),Aktiviteter,0)))&amp;IF(OR(COUNTIFS(TF_Nokkel,$A67&amp;"|"&amp;G$5,TF_Akt,"&lt;&gt;"&amp;INDEX(TF_Akt,MATCH($A67&amp;"|"&amp;G$5,TF_Dom,0)))&gt;0,AND(IF(G$10="",0,MAX(0,ROUND((G$13-SUMIFS(TF_Timer,TF_Nokkel,$A67&amp;"|"&amp;G$5))*2,0)/2))&gt;0,INDEX(TF_Akt,MATCH($A67&amp;"|"&amp;G$5,TF_Dom,0))&lt;&gt;"LMS")),"+",""),"?"))))</f>
        <v/>
      </c>
      <c r="H67" s="13">
        <f>IF(OR($A67="",H$5=""),"",IF(OR(AND(INDEX(TekFra,48)&gt;0,H$5&lt;INDEX(TekFra,48)),AND(INDEX(TekTil,48)&gt;0,H$5&gt;INDEX(TekTil,48))),"",IF(COUNTIFS(TF_Nokkel,$A67&amp;"|"&amp;H$5)=0,IF(H$10&lt;&gt;"","LMS",""),IFERROR(IF(SUMIFS(TF_Timer,TF_Nokkel,$A67&amp;"|"&amp;H$5,TF_Akt,"LMS")+IF(H$10="",0,MAX(0,ROUND((H$13-SUMIFS(TF_Timer,TF_Nokkel,$A67&amp;"|"&amp;H$5))*2,0)/2))&gt;INDEX(TF_AktSum,MATCH($A67&amp;"|"&amp;H$5,TF_Dom,0)),"LMS",INDEX(AktKode,MATCH(INDEX(TF_Akt,MATCH($A67&amp;"|"&amp;H$5,TF_Dom,0)),Aktiviteter,0)))&amp;IF(OR(COUNTIFS(TF_Nokkel,$A67&amp;"|"&amp;H$5,TF_Akt,"&lt;&gt;"&amp;INDEX(TF_Akt,MATCH($A67&amp;"|"&amp;H$5,TF_Dom,0)))&gt;0,AND(IF(H$10="",0,MAX(0,ROUND((H$13-SUMIFS(TF_Timer,TF_Nokkel,$A67&amp;"|"&amp;H$5))*2,0)/2))&gt;0,INDEX(TF_Akt,MATCH($A67&amp;"|"&amp;H$5,TF_Dom,0))&lt;&gt;"LMS")),"+",""),"?"))))</f>
        <v/>
      </c>
      <c r="I67" s="13">
        <f>IF(OR($A67="",I$5=""),"",IF(OR(AND(INDEX(TekFra,48)&gt;0,I$5&lt;INDEX(TekFra,48)),AND(INDEX(TekTil,48)&gt;0,I$5&gt;INDEX(TekTil,48))),"",IF(COUNTIFS(TF_Nokkel,$A67&amp;"|"&amp;I$5)=0,IF(I$10&lt;&gt;"","LMS",""),IFERROR(IF(SUMIFS(TF_Timer,TF_Nokkel,$A67&amp;"|"&amp;I$5,TF_Akt,"LMS")+IF(I$10="",0,MAX(0,ROUND((I$13-SUMIFS(TF_Timer,TF_Nokkel,$A67&amp;"|"&amp;I$5))*2,0)/2))&gt;INDEX(TF_AktSum,MATCH($A67&amp;"|"&amp;I$5,TF_Dom,0)),"LMS",INDEX(AktKode,MATCH(INDEX(TF_Akt,MATCH($A67&amp;"|"&amp;I$5,TF_Dom,0)),Aktiviteter,0)))&amp;IF(OR(COUNTIFS(TF_Nokkel,$A67&amp;"|"&amp;I$5,TF_Akt,"&lt;&gt;"&amp;INDEX(TF_Akt,MATCH($A67&amp;"|"&amp;I$5,TF_Dom,0)))&gt;0,AND(IF(I$10="",0,MAX(0,ROUND((I$13-SUMIFS(TF_Timer,TF_Nokkel,$A67&amp;"|"&amp;I$5))*2,0)/2))&gt;0,INDEX(TF_Akt,MATCH($A67&amp;"|"&amp;I$5,TF_Dom,0))&lt;&gt;"LMS")),"+",""),"?"))))</f>
        <v/>
      </c>
      <c r="J67" s="13">
        <f>IF(OR($A67="",J$5=""),"",IF(OR(AND(INDEX(TekFra,48)&gt;0,J$5&lt;INDEX(TekFra,48)),AND(INDEX(TekTil,48)&gt;0,J$5&gt;INDEX(TekTil,48))),"",IF(COUNTIFS(TF_Nokkel,$A67&amp;"|"&amp;J$5)=0,IF(J$10&lt;&gt;"","LMS",""),IFERROR(IF(SUMIFS(TF_Timer,TF_Nokkel,$A67&amp;"|"&amp;J$5,TF_Akt,"LMS")+IF(J$10="",0,MAX(0,ROUND((J$13-SUMIFS(TF_Timer,TF_Nokkel,$A67&amp;"|"&amp;J$5))*2,0)/2))&gt;INDEX(TF_AktSum,MATCH($A67&amp;"|"&amp;J$5,TF_Dom,0)),"LMS",INDEX(AktKode,MATCH(INDEX(TF_Akt,MATCH($A67&amp;"|"&amp;J$5,TF_Dom,0)),Aktiviteter,0)))&amp;IF(OR(COUNTIFS(TF_Nokkel,$A67&amp;"|"&amp;J$5,TF_Akt,"&lt;&gt;"&amp;INDEX(TF_Akt,MATCH($A67&amp;"|"&amp;J$5,TF_Dom,0)))&gt;0,AND(IF(J$10="",0,MAX(0,ROUND((J$13-SUMIFS(TF_Timer,TF_Nokkel,$A67&amp;"|"&amp;J$5))*2,0)/2))&gt;0,INDEX(TF_Akt,MATCH($A67&amp;"|"&amp;J$5,TF_Dom,0))&lt;&gt;"LMS")),"+",""),"?"))))</f>
        <v/>
      </c>
      <c r="K67" s="13">
        <f>IF(OR($A67="",K$5=""),"",IF(OR(AND(INDEX(TekFra,48)&gt;0,K$5&lt;INDEX(TekFra,48)),AND(INDEX(TekTil,48)&gt;0,K$5&gt;INDEX(TekTil,48))),"",IF(COUNTIFS(TF_Nokkel,$A67&amp;"|"&amp;K$5)=0,IF(K$10&lt;&gt;"","LMS",""),IFERROR(IF(SUMIFS(TF_Timer,TF_Nokkel,$A67&amp;"|"&amp;K$5,TF_Akt,"LMS")+IF(K$10="",0,MAX(0,ROUND((K$13-SUMIFS(TF_Timer,TF_Nokkel,$A67&amp;"|"&amp;K$5))*2,0)/2))&gt;INDEX(TF_AktSum,MATCH($A67&amp;"|"&amp;K$5,TF_Dom,0)),"LMS",INDEX(AktKode,MATCH(INDEX(TF_Akt,MATCH($A67&amp;"|"&amp;K$5,TF_Dom,0)),Aktiviteter,0)))&amp;IF(OR(COUNTIFS(TF_Nokkel,$A67&amp;"|"&amp;K$5,TF_Akt,"&lt;&gt;"&amp;INDEX(TF_Akt,MATCH($A67&amp;"|"&amp;K$5,TF_Dom,0)))&gt;0,AND(IF(K$10="",0,MAX(0,ROUND((K$13-SUMIFS(TF_Timer,TF_Nokkel,$A67&amp;"|"&amp;K$5))*2,0)/2))&gt;0,INDEX(TF_Akt,MATCH($A67&amp;"|"&amp;K$5,TF_Dom,0))&lt;&gt;"LMS")),"+",""),"?"))))</f>
        <v/>
      </c>
      <c r="L67" s="13">
        <f>IF(OR($A67="",L$5=""),"",IF(OR(AND(INDEX(TekFra,48)&gt;0,L$5&lt;INDEX(TekFra,48)),AND(INDEX(TekTil,48)&gt;0,L$5&gt;INDEX(TekTil,48))),"",IF(COUNTIFS(TF_Nokkel,$A67&amp;"|"&amp;L$5)=0,IF(L$10&lt;&gt;"","LMS",""),IFERROR(IF(SUMIFS(TF_Timer,TF_Nokkel,$A67&amp;"|"&amp;L$5,TF_Akt,"LMS")+IF(L$10="",0,MAX(0,ROUND((L$13-SUMIFS(TF_Timer,TF_Nokkel,$A67&amp;"|"&amp;L$5))*2,0)/2))&gt;INDEX(TF_AktSum,MATCH($A67&amp;"|"&amp;L$5,TF_Dom,0)),"LMS",INDEX(AktKode,MATCH(INDEX(TF_Akt,MATCH($A67&amp;"|"&amp;L$5,TF_Dom,0)),Aktiviteter,0)))&amp;IF(OR(COUNTIFS(TF_Nokkel,$A67&amp;"|"&amp;L$5,TF_Akt,"&lt;&gt;"&amp;INDEX(TF_Akt,MATCH($A67&amp;"|"&amp;L$5,TF_Dom,0)))&gt;0,AND(IF(L$10="",0,MAX(0,ROUND((L$13-SUMIFS(TF_Timer,TF_Nokkel,$A67&amp;"|"&amp;L$5))*2,0)/2))&gt;0,INDEX(TF_Akt,MATCH($A67&amp;"|"&amp;L$5,TF_Dom,0))&lt;&gt;"LMS")),"+",""),"?"))))</f>
        <v/>
      </c>
      <c r="M67" s="13">
        <f>IF(OR($A67="",M$5=""),"",IF(OR(AND(INDEX(TekFra,48)&gt;0,M$5&lt;INDEX(TekFra,48)),AND(INDEX(TekTil,48)&gt;0,M$5&gt;INDEX(TekTil,48))),"",IF(COUNTIFS(TF_Nokkel,$A67&amp;"|"&amp;M$5)=0,IF(M$10&lt;&gt;"","LMS",""),IFERROR(IF(SUMIFS(TF_Timer,TF_Nokkel,$A67&amp;"|"&amp;M$5,TF_Akt,"LMS")+IF(M$10="",0,MAX(0,ROUND((M$13-SUMIFS(TF_Timer,TF_Nokkel,$A67&amp;"|"&amp;M$5))*2,0)/2))&gt;INDEX(TF_AktSum,MATCH($A67&amp;"|"&amp;M$5,TF_Dom,0)),"LMS",INDEX(AktKode,MATCH(INDEX(TF_Akt,MATCH($A67&amp;"|"&amp;M$5,TF_Dom,0)),Aktiviteter,0)))&amp;IF(OR(COUNTIFS(TF_Nokkel,$A67&amp;"|"&amp;M$5,TF_Akt,"&lt;&gt;"&amp;INDEX(TF_Akt,MATCH($A67&amp;"|"&amp;M$5,TF_Dom,0)))&gt;0,AND(IF(M$10="",0,MAX(0,ROUND((M$13-SUMIFS(TF_Timer,TF_Nokkel,$A67&amp;"|"&amp;M$5))*2,0)/2))&gt;0,INDEX(TF_Akt,MATCH($A67&amp;"|"&amp;M$5,TF_Dom,0))&lt;&gt;"LMS")),"+",""),"?"))))</f>
        <v/>
      </c>
      <c r="N67" s="13">
        <f>IF(OR($A67="",N$5=""),"",IF(OR(AND(INDEX(TekFra,48)&gt;0,N$5&lt;INDEX(TekFra,48)),AND(INDEX(TekTil,48)&gt;0,N$5&gt;INDEX(TekTil,48))),"",IF(COUNTIFS(TF_Nokkel,$A67&amp;"|"&amp;N$5)=0,IF(N$10&lt;&gt;"","LMS",""),IFERROR(IF(SUMIFS(TF_Timer,TF_Nokkel,$A67&amp;"|"&amp;N$5,TF_Akt,"LMS")+IF(N$10="",0,MAX(0,ROUND((N$13-SUMIFS(TF_Timer,TF_Nokkel,$A67&amp;"|"&amp;N$5))*2,0)/2))&gt;INDEX(TF_AktSum,MATCH($A67&amp;"|"&amp;N$5,TF_Dom,0)),"LMS",INDEX(AktKode,MATCH(INDEX(TF_Akt,MATCH($A67&amp;"|"&amp;N$5,TF_Dom,0)),Aktiviteter,0)))&amp;IF(OR(COUNTIFS(TF_Nokkel,$A67&amp;"|"&amp;N$5,TF_Akt,"&lt;&gt;"&amp;INDEX(TF_Akt,MATCH($A67&amp;"|"&amp;N$5,TF_Dom,0)))&gt;0,AND(IF(N$10="",0,MAX(0,ROUND((N$13-SUMIFS(TF_Timer,TF_Nokkel,$A67&amp;"|"&amp;N$5))*2,0)/2))&gt;0,INDEX(TF_Akt,MATCH($A67&amp;"|"&amp;N$5,TF_Dom,0))&lt;&gt;"LMS")),"+",""),"?"))))</f>
        <v/>
      </c>
      <c r="O67" s="13">
        <f>IF(OR($A67="",O$5=""),"",IF(OR(AND(INDEX(TekFra,48)&gt;0,O$5&lt;INDEX(TekFra,48)),AND(INDEX(TekTil,48)&gt;0,O$5&gt;INDEX(TekTil,48))),"",IF(COUNTIFS(TF_Nokkel,$A67&amp;"|"&amp;O$5)=0,IF(O$10&lt;&gt;"","LMS",""),IFERROR(IF(SUMIFS(TF_Timer,TF_Nokkel,$A67&amp;"|"&amp;O$5,TF_Akt,"LMS")+IF(O$10="",0,MAX(0,ROUND((O$13-SUMIFS(TF_Timer,TF_Nokkel,$A67&amp;"|"&amp;O$5))*2,0)/2))&gt;INDEX(TF_AktSum,MATCH($A67&amp;"|"&amp;O$5,TF_Dom,0)),"LMS",INDEX(AktKode,MATCH(INDEX(TF_Akt,MATCH($A67&amp;"|"&amp;O$5,TF_Dom,0)),Aktiviteter,0)))&amp;IF(OR(COUNTIFS(TF_Nokkel,$A67&amp;"|"&amp;O$5,TF_Akt,"&lt;&gt;"&amp;INDEX(TF_Akt,MATCH($A67&amp;"|"&amp;O$5,TF_Dom,0)))&gt;0,AND(IF(O$10="",0,MAX(0,ROUND((O$13-SUMIFS(TF_Timer,TF_Nokkel,$A67&amp;"|"&amp;O$5))*2,0)/2))&gt;0,INDEX(TF_Akt,MATCH($A67&amp;"|"&amp;O$5,TF_Dom,0))&lt;&gt;"LMS")),"+",""),"?"))))</f>
        <v/>
      </c>
      <c r="P67" s="13">
        <f>IF(OR($A67="",P$5=""),"",IF(OR(AND(INDEX(TekFra,48)&gt;0,P$5&lt;INDEX(TekFra,48)),AND(INDEX(TekTil,48)&gt;0,P$5&gt;INDEX(TekTil,48))),"",IF(COUNTIFS(TF_Nokkel,$A67&amp;"|"&amp;P$5)=0,IF(P$10&lt;&gt;"","LMS",""),IFERROR(IF(SUMIFS(TF_Timer,TF_Nokkel,$A67&amp;"|"&amp;P$5,TF_Akt,"LMS")+IF(P$10="",0,MAX(0,ROUND((P$13-SUMIFS(TF_Timer,TF_Nokkel,$A67&amp;"|"&amp;P$5))*2,0)/2))&gt;INDEX(TF_AktSum,MATCH($A67&amp;"|"&amp;P$5,TF_Dom,0)),"LMS",INDEX(AktKode,MATCH(INDEX(TF_Akt,MATCH($A67&amp;"|"&amp;P$5,TF_Dom,0)),Aktiviteter,0)))&amp;IF(OR(COUNTIFS(TF_Nokkel,$A67&amp;"|"&amp;P$5,TF_Akt,"&lt;&gt;"&amp;INDEX(TF_Akt,MATCH($A67&amp;"|"&amp;P$5,TF_Dom,0)))&gt;0,AND(IF(P$10="",0,MAX(0,ROUND((P$13-SUMIFS(TF_Timer,TF_Nokkel,$A67&amp;"|"&amp;P$5))*2,0)/2))&gt;0,INDEX(TF_Akt,MATCH($A67&amp;"|"&amp;P$5,TF_Dom,0))&lt;&gt;"LMS")),"+",""),"?"))))</f>
        <v/>
      </c>
      <c r="Q67" s="13">
        <f>IF(OR($A67="",Q$5=""),"",IF(OR(AND(INDEX(TekFra,48)&gt;0,Q$5&lt;INDEX(TekFra,48)),AND(INDEX(TekTil,48)&gt;0,Q$5&gt;INDEX(TekTil,48))),"",IF(COUNTIFS(TF_Nokkel,$A67&amp;"|"&amp;Q$5)=0,IF(Q$10&lt;&gt;"","LMS",""),IFERROR(IF(SUMIFS(TF_Timer,TF_Nokkel,$A67&amp;"|"&amp;Q$5,TF_Akt,"LMS")+IF(Q$10="",0,MAX(0,ROUND((Q$13-SUMIFS(TF_Timer,TF_Nokkel,$A67&amp;"|"&amp;Q$5))*2,0)/2))&gt;INDEX(TF_AktSum,MATCH($A67&amp;"|"&amp;Q$5,TF_Dom,0)),"LMS",INDEX(AktKode,MATCH(INDEX(TF_Akt,MATCH($A67&amp;"|"&amp;Q$5,TF_Dom,0)),Aktiviteter,0)))&amp;IF(OR(COUNTIFS(TF_Nokkel,$A67&amp;"|"&amp;Q$5,TF_Akt,"&lt;&gt;"&amp;INDEX(TF_Akt,MATCH($A67&amp;"|"&amp;Q$5,TF_Dom,0)))&gt;0,AND(IF(Q$10="",0,MAX(0,ROUND((Q$13-SUMIFS(TF_Timer,TF_Nokkel,$A67&amp;"|"&amp;Q$5))*2,0)/2))&gt;0,INDEX(TF_Akt,MATCH($A67&amp;"|"&amp;Q$5,TF_Dom,0))&lt;&gt;"LMS")),"+",""),"?"))))</f>
        <v/>
      </c>
      <c r="R67" s="13">
        <f>IF(OR($A67="",R$5=""),"",IF(OR(AND(INDEX(TekFra,48)&gt;0,R$5&lt;INDEX(TekFra,48)),AND(INDEX(TekTil,48)&gt;0,R$5&gt;INDEX(TekTil,48))),"",IF(COUNTIFS(TF_Nokkel,$A67&amp;"|"&amp;R$5)=0,IF(R$10&lt;&gt;"","LMS",""),IFERROR(IF(SUMIFS(TF_Timer,TF_Nokkel,$A67&amp;"|"&amp;R$5,TF_Akt,"LMS")+IF(R$10="",0,MAX(0,ROUND((R$13-SUMIFS(TF_Timer,TF_Nokkel,$A67&amp;"|"&amp;R$5))*2,0)/2))&gt;INDEX(TF_AktSum,MATCH($A67&amp;"|"&amp;R$5,TF_Dom,0)),"LMS",INDEX(AktKode,MATCH(INDEX(TF_Akt,MATCH($A67&amp;"|"&amp;R$5,TF_Dom,0)),Aktiviteter,0)))&amp;IF(OR(COUNTIFS(TF_Nokkel,$A67&amp;"|"&amp;R$5,TF_Akt,"&lt;&gt;"&amp;INDEX(TF_Akt,MATCH($A67&amp;"|"&amp;R$5,TF_Dom,0)))&gt;0,AND(IF(R$10="",0,MAX(0,ROUND((R$13-SUMIFS(TF_Timer,TF_Nokkel,$A67&amp;"|"&amp;R$5))*2,0)/2))&gt;0,INDEX(TF_Akt,MATCH($A67&amp;"|"&amp;R$5,TF_Dom,0))&lt;&gt;"LMS")),"+",""),"?"))))</f>
        <v/>
      </c>
      <c r="S67" s="13">
        <f>IF(OR($A67="",S$5=""),"",IF(OR(AND(INDEX(TekFra,48)&gt;0,S$5&lt;INDEX(TekFra,48)),AND(INDEX(TekTil,48)&gt;0,S$5&gt;INDEX(TekTil,48))),"",IF(COUNTIFS(TF_Nokkel,$A67&amp;"|"&amp;S$5)=0,IF(S$10&lt;&gt;"","LMS",""),IFERROR(IF(SUMIFS(TF_Timer,TF_Nokkel,$A67&amp;"|"&amp;S$5,TF_Akt,"LMS")+IF(S$10="",0,MAX(0,ROUND((S$13-SUMIFS(TF_Timer,TF_Nokkel,$A67&amp;"|"&amp;S$5))*2,0)/2))&gt;INDEX(TF_AktSum,MATCH($A67&amp;"|"&amp;S$5,TF_Dom,0)),"LMS",INDEX(AktKode,MATCH(INDEX(TF_Akt,MATCH($A67&amp;"|"&amp;S$5,TF_Dom,0)),Aktiviteter,0)))&amp;IF(OR(COUNTIFS(TF_Nokkel,$A67&amp;"|"&amp;S$5,TF_Akt,"&lt;&gt;"&amp;INDEX(TF_Akt,MATCH($A67&amp;"|"&amp;S$5,TF_Dom,0)))&gt;0,AND(IF(S$10="",0,MAX(0,ROUND((S$13-SUMIFS(TF_Timer,TF_Nokkel,$A67&amp;"|"&amp;S$5))*2,0)/2))&gt;0,INDEX(TF_Akt,MATCH($A67&amp;"|"&amp;S$5,TF_Dom,0))&lt;&gt;"LMS")),"+",""),"?"))))</f>
        <v/>
      </c>
      <c r="T67" s="13">
        <f>IF(OR($A67="",T$5=""),"",IF(OR(AND(INDEX(TekFra,48)&gt;0,T$5&lt;INDEX(TekFra,48)),AND(INDEX(TekTil,48)&gt;0,T$5&gt;INDEX(TekTil,48))),"",IF(COUNTIFS(TF_Nokkel,$A67&amp;"|"&amp;T$5)=0,IF(T$10&lt;&gt;"","LMS",""),IFERROR(IF(SUMIFS(TF_Timer,TF_Nokkel,$A67&amp;"|"&amp;T$5,TF_Akt,"LMS")+IF(T$10="",0,MAX(0,ROUND((T$13-SUMIFS(TF_Timer,TF_Nokkel,$A67&amp;"|"&amp;T$5))*2,0)/2))&gt;INDEX(TF_AktSum,MATCH($A67&amp;"|"&amp;T$5,TF_Dom,0)),"LMS",INDEX(AktKode,MATCH(INDEX(TF_Akt,MATCH($A67&amp;"|"&amp;T$5,TF_Dom,0)),Aktiviteter,0)))&amp;IF(OR(COUNTIFS(TF_Nokkel,$A67&amp;"|"&amp;T$5,TF_Akt,"&lt;&gt;"&amp;INDEX(TF_Akt,MATCH($A67&amp;"|"&amp;T$5,TF_Dom,0)))&gt;0,AND(IF(T$10="",0,MAX(0,ROUND((T$13-SUMIFS(TF_Timer,TF_Nokkel,$A67&amp;"|"&amp;T$5))*2,0)/2))&gt;0,INDEX(TF_Akt,MATCH($A67&amp;"|"&amp;T$5,TF_Dom,0))&lt;&gt;"LMS")),"+",""),"?"))))</f>
        <v/>
      </c>
      <c r="U67" s="13">
        <f>IF(OR($A67="",U$5=""),"",IF(OR(AND(INDEX(TekFra,48)&gt;0,U$5&lt;INDEX(TekFra,48)),AND(INDEX(TekTil,48)&gt;0,U$5&gt;INDEX(TekTil,48))),"",IF(COUNTIFS(TF_Nokkel,$A67&amp;"|"&amp;U$5)=0,IF(U$10&lt;&gt;"","LMS",""),IFERROR(IF(SUMIFS(TF_Timer,TF_Nokkel,$A67&amp;"|"&amp;U$5,TF_Akt,"LMS")+IF(U$10="",0,MAX(0,ROUND((U$13-SUMIFS(TF_Timer,TF_Nokkel,$A67&amp;"|"&amp;U$5))*2,0)/2))&gt;INDEX(TF_AktSum,MATCH($A67&amp;"|"&amp;U$5,TF_Dom,0)),"LMS",INDEX(AktKode,MATCH(INDEX(TF_Akt,MATCH($A67&amp;"|"&amp;U$5,TF_Dom,0)),Aktiviteter,0)))&amp;IF(OR(COUNTIFS(TF_Nokkel,$A67&amp;"|"&amp;U$5,TF_Akt,"&lt;&gt;"&amp;INDEX(TF_Akt,MATCH($A67&amp;"|"&amp;U$5,TF_Dom,0)))&gt;0,AND(IF(U$10="",0,MAX(0,ROUND((U$13-SUMIFS(TF_Timer,TF_Nokkel,$A67&amp;"|"&amp;U$5))*2,0)/2))&gt;0,INDEX(TF_Akt,MATCH($A67&amp;"|"&amp;U$5,TF_Dom,0))&lt;&gt;"LMS")),"+",""),"?"))))</f>
        <v/>
      </c>
      <c r="V67" s="13">
        <f>IF(OR($A67="",V$5=""),"",IF(OR(AND(INDEX(TekFra,48)&gt;0,V$5&lt;INDEX(TekFra,48)),AND(INDEX(TekTil,48)&gt;0,V$5&gt;INDEX(TekTil,48))),"",IF(COUNTIFS(TF_Nokkel,$A67&amp;"|"&amp;V$5)=0,IF(V$10&lt;&gt;"","LMS",""),IFERROR(IF(SUMIFS(TF_Timer,TF_Nokkel,$A67&amp;"|"&amp;V$5,TF_Akt,"LMS")+IF(V$10="",0,MAX(0,ROUND((V$13-SUMIFS(TF_Timer,TF_Nokkel,$A67&amp;"|"&amp;V$5))*2,0)/2))&gt;INDEX(TF_AktSum,MATCH($A67&amp;"|"&amp;V$5,TF_Dom,0)),"LMS",INDEX(AktKode,MATCH(INDEX(TF_Akt,MATCH($A67&amp;"|"&amp;V$5,TF_Dom,0)),Aktiviteter,0)))&amp;IF(OR(COUNTIFS(TF_Nokkel,$A67&amp;"|"&amp;V$5,TF_Akt,"&lt;&gt;"&amp;INDEX(TF_Akt,MATCH($A67&amp;"|"&amp;V$5,TF_Dom,0)))&gt;0,AND(IF(V$10="",0,MAX(0,ROUND((V$13-SUMIFS(TF_Timer,TF_Nokkel,$A67&amp;"|"&amp;V$5))*2,0)/2))&gt;0,INDEX(TF_Akt,MATCH($A67&amp;"|"&amp;V$5,TF_Dom,0))&lt;&gt;"LMS")),"+",""),"?"))))</f>
        <v/>
      </c>
      <c r="W67" s="13">
        <f>IF(OR($A67="",W$5=""),"",IF(OR(AND(INDEX(TekFra,48)&gt;0,W$5&lt;INDEX(TekFra,48)),AND(INDEX(TekTil,48)&gt;0,W$5&gt;INDEX(TekTil,48))),"",IF(COUNTIFS(TF_Nokkel,$A67&amp;"|"&amp;W$5)=0,IF(W$10&lt;&gt;"","LMS",""),IFERROR(IF(SUMIFS(TF_Timer,TF_Nokkel,$A67&amp;"|"&amp;W$5,TF_Akt,"LMS")+IF(W$10="",0,MAX(0,ROUND((W$13-SUMIFS(TF_Timer,TF_Nokkel,$A67&amp;"|"&amp;W$5))*2,0)/2))&gt;INDEX(TF_AktSum,MATCH($A67&amp;"|"&amp;W$5,TF_Dom,0)),"LMS",INDEX(AktKode,MATCH(INDEX(TF_Akt,MATCH($A67&amp;"|"&amp;W$5,TF_Dom,0)),Aktiviteter,0)))&amp;IF(OR(COUNTIFS(TF_Nokkel,$A67&amp;"|"&amp;W$5,TF_Akt,"&lt;&gt;"&amp;INDEX(TF_Akt,MATCH($A67&amp;"|"&amp;W$5,TF_Dom,0)))&gt;0,AND(IF(W$10="",0,MAX(0,ROUND((W$13-SUMIFS(TF_Timer,TF_Nokkel,$A67&amp;"|"&amp;W$5))*2,0)/2))&gt;0,INDEX(TF_Akt,MATCH($A67&amp;"|"&amp;W$5,TF_Dom,0))&lt;&gt;"LMS")),"+",""),"?"))))</f>
        <v/>
      </c>
      <c r="X67" s="13">
        <f>IF(OR($A67="",X$5=""),"",IF(OR(AND(INDEX(TekFra,48)&gt;0,X$5&lt;INDEX(TekFra,48)),AND(INDEX(TekTil,48)&gt;0,X$5&gt;INDEX(TekTil,48))),"",IF(COUNTIFS(TF_Nokkel,$A67&amp;"|"&amp;X$5)=0,IF(X$10&lt;&gt;"","LMS",""),IFERROR(IF(SUMIFS(TF_Timer,TF_Nokkel,$A67&amp;"|"&amp;X$5,TF_Akt,"LMS")+IF(X$10="",0,MAX(0,ROUND((X$13-SUMIFS(TF_Timer,TF_Nokkel,$A67&amp;"|"&amp;X$5))*2,0)/2))&gt;INDEX(TF_AktSum,MATCH($A67&amp;"|"&amp;X$5,TF_Dom,0)),"LMS",INDEX(AktKode,MATCH(INDEX(TF_Akt,MATCH($A67&amp;"|"&amp;X$5,TF_Dom,0)),Aktiviteter,0)))&amp;IF(OR(COUNTIFS(TF_Nokkel,$A67&amp;"|"&amp;X$5,TF_Akt,"&lt;&gt;"&amp;INDEX(TF_Akt,MATCH($A67&amp;"|"&amp;X$5,TF_Dom,0)))&gt;0,AND(IF(X$10="",0,MAX(0,ROUND((X$13-SUMIFS(TF_Timer,TF_Nokkel,$A67&amp;"|"&amp;X$5))*2,0)/2))&gt;0,INDEX(TF_Akt,MATCH($A67&amp;"|"&amp;X$5,TF_Dom,0))&lt;&gt;"LMS")),"+",""),"?"))))</f>
        <v/>
      </c>
      <c r="Y67" s="13">
        <f>IF(OR($A67="",Y$5=""),"",IF(OR(AND(INDEX(TekFra,48)&gt;0,Y$5&lt;INDEX(TekFra,48)),AND(INDEX(TekTil,48)&gt;0,Y$5&gt;INDEX(TekTil,48))),"",IF(COUNTIFS(TF_Nokkel,$A67&amp;"|"&amp;Y$5)=0,IF(Y$10&lt;&gt;"","LMS",""),IFERROR(IF(SUMIFS(TF_Timer,TF_Nokkel,$A67&amp;"|"&amp;Y$5,TF_Akt,"LMS")+IF(Y$10="",0,MAX(0,ROUND((Y$13-SUMIFS(TF_Timer,TF_Nokkel,$A67&amp;"|"&amp;Y$5))*2,0)/2))&gt;INDEX(TF_AktSum,MATCH($A67&amp;"|"&amp;Y$5,TF_Dom,0)),"LMS",INDEX(AktKode,MATCH(INDEX(TF_Akt,MATCH($A67&amp;"|"&amp;Y$5,TF_Dom,0)),Aktiviteter,0)))&amp;IF(OR(COUNTIFS(TF_Nokkel,$A67&amp;"|"&amp;Y$5,TF_Akt,"&lt;&gt;"&amp;INDEX(TF_Akt,MATCH($A67&amp;"|"&amp;Y$5,TF_Dom,0)))&gt;0,AND(IF(Y$10="",0,MAX(0,ROUND((Y$13-SUMIFS(TF_Timer,TF_Nokkel,$A67&amp;"|"&amp;Y$5))*2,0)/2))&gt;0,INDEX(TF_Akt,MATCH($A67&amp;"|"&amp;Y$5,TF_Dom,0))&lt;&gt;"LMS")),"+",""),"?"))))</f>
        <v/>
      </c>
      <c r="Z67" s="13">
        <f>IF(OR($A67="",Z$5=""),"",IF(OR(AND(INDEX(TekFra,48)&gt;0,Z$5&lt;INDEX(TekFra,48)),AND(INDEX(TekTil,48)&gt;0,Z$5&gt;INDEX(TekTil,48))),"",IF(COUNTIFS(TF_Nokkel,$A67&amp;"|"&amp;Z$5)=0,IF(Z$10&lt;&gt;"","LMS",""),IFERROR(IF(SUMIFS(TF_Timer,TF_Nokkel,$A67&amp;"|"&amp;Z$5,TF_Akt,"LMS")+IF(Z$10="",0,MAX(0,ROUND((Z$13-SUMIFS(TF_Timer,TF_Nokkel,$A67&amp;"|"&amp;Z$5))*2,0)/2))&gt;INDEX(TF_AktSum,MATCH($A67&amp;"|"&amp;Z$5,TF_Dom,0)),"LMS",INDEX(AktKode,MATCH(INDEX(TF_Akt,MATCH($A67&amp;"|"&amp;Z$5,TF_Dom,0)),Aktiviteter,0)))&amp;IF(OR(COUNTIFS(TF_Nokkel,$A67&amp;"|"&amp;Z$5,TF_Akt,"&lt;&gt;"&amp;INDEX(TF_Akt,MATCH($A67&amp;"|"&amp;Z$5,TF_Dom,0)))&gt;0,AND(IF(Z$10="",0,MAX(0,ROUND((Z$13-SUMIFS(TF_Timer,TF_Nokkel,$A67&amp;"|"&amp;Z$5))*2,0)/2))&gt;0,INDEX(TF_Akt,MATCH($A67&amp;"|"&amp;Z$5,TF_Dom,0))&lt;&gt;"LMS")),"+",""),"?"))))</f>
        <v/>
      </c>
      <c r="AA67" s="13">
        <f>IF(OR($A67="",AA$5=""),"",IF(OR(AND(INDEX(TekFra,48)&gt;0,AA$5&lt;INDEX(TekFra,48)),AND(INDEX(TekTil,48)&gt;0,AA$5&gt;INDEX(TekTil,48))),"",IF(COUNTIFS(TF_Nokkel,$A67&amp;"|"&amp;AA$5)=0,IF(AA$10&lt;&gt;"","LMS",""),IFERROR(IF(SUMIFS(TF_Timer,TF_Nokkel,$A67&amp;"|"&amp;AA$5,TF_Akt,"LMS")+IF(AA$10="",0,MAX(0,ROUND((AA$13-SUMIFS(TF_Timer,TF_Nokkel,$A67&amp;"|"&amp;AA$5))*2,0)/2))&gt;INDEX(TF_AktSum,MATCH($A67&amp;"|"&amp;AA$5,TF_Dom,0)),"LMS",INDEX(AktKode,MATCH(INDEX(TF_Akt,MATCH($A67&amp;"|"&amp;AA$5,TF_Dom,0)),Aktiviteter,0)))&amp;IF(OR(COUNTIFS(TF_Nokkel,$A67&amp;"|"&amp;AA$5,TF_Akt,"&lt;&gt;"&amp;INDEX(TF_Akt,MATCH($A67&amp;"|"&amp;AA$5,TF_Dom,0)))&gt;0,AND(IF(AA$10="",0,MAX(0,ROUND((AA$13-SUMIFS(TF_Timer,TF_Nokkel,$A67&amp;"|"&amp;AA$5))*2,0)/2))&gt;0,INDEX(TF_Akt,MATCH($A67&amp;"|"&amp;AA$5,TF_Dom,0))&lt;&gt;"LMS")),"+",""),"?"))))</f>
        <v/>
      </c>
      <c r="AB67" s="13">
        <f>IF(OR($A67="",AB$5=""),"",IF(OR(AND(INDEX(TekFra,48)&gt;0,AB$5&lt;INDEX(TekFra,48)),AND(INDEX(TekTil,48)&gt;0,AB$5&gt;INDEX(TekTil,48))),"",IF(COUNTIFS(TF_Nokkel,$A67&amp;"|"&amp;AB$5)=0,IF(AB$10&lt;&gt;"","LMS",""),IFERROR(IF(SUMIFS(TF_Timer,TF_Nokkel,$A67&amp;"|"&amp;AB$5,TF_Akt,"LMS")+IF(AB$10="",0,MAX(0,ROUND((AB$13-SUMIFS(TF_Timer,TF_Nokkel,$A67&amp;"|"&amp;AB$5))*2,0)/2))&gt;INDEX(TF_AktSum,MATCH($A67&amp;"|"&amp;AB$5,TF_Dom,0)),"LMS",INDEX(AktKode,MATCH(INDEX(TF_Akt,MATCH($A67&amp;"|"&amp;AB$5,TF_Dom,0)),Aktiviteter,0)))&amp;IF(OR(COUNTIFS(TF_Nokkel,$A67&amp;"|"&amp;AB$5,TF_Akt,"&lt;&gt;"&amp;INDEX(TF_Akt,MATCH($A67&amp;"|"&amp;AB$5,TF_Dom,0)))&gt;0,AND(IF(AB$10="",0,MAX(0,ROUND((AB$13-SUMIFS(TF_Timer,TF_Nokkel,$A67&amp;"|"&amp;AB$5))*2,0)/2))&gt;0,INDEX(TF_Akt,MATCH($A67&amp;"|"&amp;AB$5,TF_Dom,0))&lt;&gt;"LMS")),"+",""),"?"))))</f>
        <v/>
      </c>
      <c r="AC67" s="13">
        <f>IF(OR($A67="",AC$5=""),"",IF(OR(AND(INDEX(TekFra,48)&gt;0,AC$5&lt;INDEX(TekFra,48)),AND(INDEX(TekTil,48)&gt;0,AC$5&gt;INDEX(TekTil,48))),"",IF(COUNTIFS(TF_Nokkel,$A67&amp;"|"&amp;AC$5)=0,IF(AC$10&lt;&gt;"","LMS",""),IFERROR(IF(SUMIFS(TF_Timer,TF_Nokkel,$A67&amp;"|"&amp;AC$5,TF_Akt,"LMS")+IF(AC$10="",0,MAX(0,ROUND((AC$13-SUMIFS(TF_Timer,TF_Nokkel,$A67&amp;"|"&amp;AC$5))*2,0)/2))&gt;INDEX(TF_AktSum,MATCH($A67&amp;"|"&amp;AC$5,TF_Dom,0)),"LMS",INDEX(AktKode,MATCH(INDEX(TF_Akt,MATCH($A67&amp;"|"&amp;AC$5,TF_Dom,0)),Aktiviteter,0)))&amp;IF(OR(COUNTIFS(TF_Nokkel,$A67&amp;"|"&amp;AC$5,TF_Akt,"&lt;&gt;"&amp;INDEX(TF_Akt,MATCH($A67&amp;"|"&amp;AC$5,TF_Dom,0)))&gt;0,AND(IF(AC$10="",0,MAX(0,ROUND((AC$13-SUMIFS(TF_Timer,TF_Nokkel,$A67&amp;"|"&amp;AC$5))*2,0)/2))&gt;0,INDEX(TF_Akt,MATCH($A67&amp;"|"&amp;AC$5,TF_Dom,0))&lt;&gt;"LMS")),"+",""),"?"))))</f>
        <v/>
      </c>
      <c r="AD67" s="13">
        <f>IF(OR($A67="",AD$5=""),"",IF(OR(AND(INDEX(TekFra,48)&gt;0,AD$5&lt;INDEX(TekFra,48)),AND(INDEX(TekTil,48)&gt;0,AD$5&gt;INDEX(TekTil,48))),"",IF(COUNTIFS(TF_Nokkel,$A67&amp;"|"&amp;AD$5)=0,IF(AD$10&lt;&gt;"","LMS",""),IFERROR(IF(SUMIFS(TF_Timer,TF_Nokkel,$A67&amp;"|"&amp;AD$5,TF_Akt,"LMS")+IF(AD$10="",0,MAX(0,ROUND((AD$13-SUMIFS(TF_Timer,TF_Nokkel,$A67&amp;"|"&amp;AD$5))*2,0)/2))&gt;INDEX(TF_AktSum,MATCH($A67&amp;"|"&amp;AD$5,TF_Dom,0)),"LMS",INDEX(AktKode,MATCH(INDEX(TF_Akt,MATCH($A67&amp;"|"&amp;AD$5,TF_Dom,0)),Aktiviteter,0)))&amp;IF(OR(COUNTIFS(TF_Nokkel,$A67&amp;"|"&amp;AD$5,TF_Akt,"&lt;&gt;"&amp;INDEX(TF_Akt,MATCH($A67&amp;"|"&amp;AD$5,TF_Dom,0)))&gt;0,AND(IF(AD$10="",0,MAX(0,ROUND((AD$13-SUMIFS(TF_Timer,TF_Nokkel,$A67&amp;"|"&amp;AD$5))*2,0)/2))&gt;0,INDEX(TF_Akt,MATCH($A67&amp;"|"&amp;AD$5,TF_Dom,0))&lt;&gt;"LMS")),"+",""),"?"))))</f>
        <v/>
      </c>
      <c r="AE67" s="13">
        <f>IF(OR($A67="",AE$5=""),"",IF(OR(AND(INDEX(TekFra,48)&gt;0,AE$5&lt;INDEX(TekFra,48)),AND(INDEX(TekTil,48)&gt;0,AE$5&gt;INDEX(TekTil,48))),"",IF(COUNTIFS(TF_Nokkel,$A67&amp;"|"&amp;AE$5)=0,IF(AE$10&lt;&gt;"","LMS",""),IFERROR(IF(SUMIFS(TF_Timer,TF_Nokkel,$A67&amp;"|"&amp;AE$5,TF_Akt,"LMS")+IF(AE$10="",0,MAX(0,ROUND((AE$13-SUMIFS(TF_Timer,TF_Nokkel,$A67&amp;"|"&amp;AE$5))*2,0)/2))&gt;INDEX(TF_AktSum,MATCH($A67&amp;"|"&amp;AE$5,TF_Dom,0)),"LMS",INDEX(AktKode,MATCH(INDEX(TF_Akt,MATCH($A67&amp;"|"&amp;AE$5,TF_Dom,0)),Aktiviteter,0)))&amp;IF(OR(COUNTIFS(TF_Nokkel,$A67&amp;"|"&amp;AE$5,TF_Akt,"&lt;&gt;"&amp;INDEX(TF_Akt,MATCH($A67&amp;"|"&amp;AE$5,TF_Dom,0)))&gt;0,AND(IF(AE$10="",0,MAX(0,ROUND((AE$13-SUMIFS(TF_Timer,TF_Nokkel,$A67&amp;"|"&amp;AE$5))*2,0)/2))&gt;0,INDEX(TF_Akt,MATCH($A67&amp;"|"&amp;AE$5,TF_Dom,0))&lt;&gt;"LMS")),"+",""),"?"))))</f>
        <v/>
      </c>
      <c r="AF67" s="13">
        <f>IF(OR($A67="",AF$5=""),"",IF(OR(AND(INDEX(TekFra,48)&gt;0,AF$5&lt;INDEX(TekFra,48)),AND(INDEX(TekTil,48)&gt;0,AF$5&gt;INDEX(TekTil,48))),"",IF(COUNTIFS(TF_Nokkel,$A67&amp;"|"&amp;AF$5)=0,IF(AF$10&lt;&gt;"","LMS",""),IFERROR(IF(SUMIFS(TF_Timer,TF_Nokkel,$A67&amp;"|"&amp;AF$5,TF_Akt,"LMS")+IF(AF$10="",0,MAX(0,ROUND((AF$13-SUMIFS(TF_Timer,TF_Nokkel,$A67&amp;"|"&amp;AF$5))*2,0)/2))&gt;INDEX(TF_AktSum,MATCH($A67&amp;"|"&amp;AF$5,TF_Dom,0)),"LMS",INDEX(AktKode,MATCH(INDEX(TF_Akt,MATCH($A67&amp;"|"&amp;AF$5,TF_Dom,0)),Aktiviteter,0)))&amp;IF(OR(COUNTIFS(TF_Nokkel,$A67&amp;"|"&amp;AF$5,TF_Akt,"&lt;&gt;"&amp;INDEX(TF_Akt,MATCH($A67&amp;"|"&amp;AF$5,TF_Dom,0)))&gt;0,AND(IF(AF$10="",0,MAX(0,ROUND((AF$13-SUMIFS(TF_Timer,TF_Nokkel,$A67&amp;"|"&amp;AF$5))*2,0)/2))&gt;0,INDEX(TF_Akt,MATCH($A67&amp;"|"&amp;AF$5,TF_Dom,0))&lt;&gt;"LMS")),"+",""),"?"))))</f>
        <v/>
      </c>
      <c r="AG67" s="13">
        <f>IF(OR($A67="",AG$5=""),"",IF(OR(AND(INDEX(TekFra,48)&gt;0,AG$5&lt;INDEX(TekFra,48)),AND(INDEX(TekTil,48)&gt;0,AG$5&gt;INDEX(TekTil,48))),"",IF(COUNTIFS(TF_Nokkel,$A67&amp;"|"&amp;AG$5)=0,IF(AG$10&lt;&gt;"","LMS",""),IFERROR(IF(SUMIFS(TF_Timer,TF_Nokkel,$A67&amp;"|"&amp;AG$5,TF_Akt,"LMS")+IF(AG$10="",0,MAX(0,ROUND((AG$13-SUMIFS(TF_Timer,TF_Nokkel,$A67&amp;"|"&amp;AG$5))*2,0)/2))&gt;INDEX(TF_AktSum,MATCH($A67&amp;"|"&amp;AG$5,TF_Dom,0)),"LMS",INDEX(AktKode,MATCH(INDEX(TF_Akt,MATCH($A67&amp;"|"&amp;AG$5,TF_Dom,0)),Aktiviteter,0)))&amp;IF(OR(COUNTIFS(TF_Nokkel,$A67&amp;"|"&amp;AG$5,TF_Akt,"&lt;&gt;"&amp;INDEX(TF_Akt,MATCH($A67&amp;"|"&amp;AG$5,TF_Dom,0)))&gt;0,AND(IF(AG$10="",0,MAX(0,ROUND((AG$13-SUMIFS(TF_Timer,TF_Nokkel,$A67&amp;"|"&amp;AG$5))*2,0)/2))&gt;0,INDEX(TF_Akt,MATCH($A67&amp;"|"&amp;AG$5,TF_Dom,0))&lt;&gt;"LMS")),"+",""),"?"))))</f>
        <v/>
      </c>
      <c r="AH67" s="2" t="n"/>
      <c r="AI67" s="2" t="n"/>
      <c r="AJ67" s="2" t="n"/>
    </row>
    <row r="68">
      <c r="A68" s="2">
        <f>INDEX(Teknikere,49)&amp;""</f>
        <v/>
      </c>
      <c r="B68" s="12">
        <f>IF(INDEX(TekFra,49)&gt;0,"ekstra","")</f>
        <v/>
      </c>
      <c r="C68" s="13">
        <f>IF(OR($A68="",C$5=""),"",IF(OR(AND(INDEX(TekFra,49)&gt;0,C$5&lt;INDEX(TekFra,49)),AND(INDEX(TekTil,49)&gt;0,C$5&gt;INDEX(TekTil,49))),"",IF(COUNTIFS(TF_Nokkel,$A68&amp;"|"&amp;C$5)=0,IF(C$10&lt;&gt;"","LMS",""),IFERROR(IF(SUMIFS(TF_Timer,TF_Nokkel,$A68&amp;"|"&amp;C$5,TF_Akt,"LMS")+IF(C$10="",0,MAX(0,ROUND((C$13-SUMIFS(TF_Timer,TF_Nokkel,$A68&amp;"|"&amp;C$5))*2,0)/2))&gt;INDEX(TF_AktSum,MATCH($A68&amp;"|"&amp;C$5,TF_Dom,0)),"LMS",INDEX(AktKode,MATCH(INDEX(TF_Akt,MATCH($A68&amp;"|"&amp;C$5,TF_Dom,0)),Aktiviteter,0)))&amp;IF(OR(COUNTIFS(TF_Nokkel,$A68&amp;"|"&amp;C$5,TF_Akt,"&lt;&gt;"&amp;INDEX(TF_Akt,MATCH($A68&amp;"|"&amp;C$5,TF_Dom,0)))&gt;0,AND(IF(C$10="",0,MAX(0,ROUND((C$13-SUMIFS(TF_Timer,TF_Nokkel,$A68&amp;"|"&amp;C$5))*2,0)/2))&gt;0,INDEX(TF_Akt,MATCH($A68&amp;"|"&amp;C$5,TF_Dom,0))&lt;&gt;"LMS")),"+",""),"?"))))</f>
        <v/>
      </c>
      <c r="D68" s="13">
        <f>IF(OR($A68="",D$5=""),"",IF(OR(AND(INDEX(TekFra,49)&gt;0,D$5&lt;INDEX(TekFra,49)),AND(INDEX(TekTil,49)&gt;0,D$5&gt;INDEX(TekTil,49))),"",IF(COUNTIFS(TF_Nokkel,$A68&amp;"|"&amp;D$5)=0,IF(D$10&lt;&gt;"","LMS",""),IFERROR(IF(SUMIFS(TF_Timer,TF_Nokkel,$A68&amp;"|"&amp;D$5,TF_Akt,"LMS")+IF(D$10="",0,MAX(0,ROUND((D$13-SUMIFS(TF_Timer,TF_Nokkel,$A68&amp;"|"&amp;D$5))*2,0)/2))&gt;INDEX(TF_AktSum,MATCH($A68&amp;"|"&amp;D$5,TF_Dom,0)),"LMS",INDEX(AktKode,MATCH(INDEX(TF_Akt,MATCH($A68&amp;"|"&amp;D$5,TF_Dom,0)),Aktiviteter,0)))&amp;IF(OR(COUNTIFS(TF_Nokkel,$A68&amp;"|"&amp;D$5,TF_Akt,"&lt;&gt;"&amp;INDEX(TF_Akt,MATCH($A68&amp;"|"&amp;D$5,TF_Dom,0)))&gt;0,AND(IF(D$10="",0,MAX(0,ROUND((D$13-SUMIFS(TF_Timer,TF_Nokkel,$A68&amp;"|"&amp;D$5))*2,0)/2))&gt;0,INDEX(TF_Akt,MATCH($A68&amp;"|"&amp;D$5,TF_Dom,0))&lt;&gt;"LMS")),"+",""),"?"))))</f>
        <v/>
      </c>
      <c r="E68" s="13">
        <f>IF(OR($A68="",E$5=""),"",IF(OR(AND(INDEX(TekFra,49)&gt;0,E$5&lt;INDEX(TekFra,49)),AND(INDEX(TekTil,49)&gt;0,E$5&gt;INDEX(TekTil,49))),"",IF(COUNTIFS(TF_Nokkel,$A68&amp;"|"&amp;E$5)=0,IF(E$10&lt;&gt;"","LMS",""),IFERROR(IF(SUMIFS(TF_Timer,TF_Nokkel,$A68&amp;"|"&amp;E$5,TF_Akt,"LMS")+IF(E$10="",0,MAX(0,ROUND((E$13-SUMIFS(TF_Timer,TF_Nokkel,$A68&amp;"|"&amp;E$5))*2,0)/2))&gt;INDEX(TF_AktSum,MATCH($A68&amp;"|"&amp;E$5,TF_Dom,0)),"LMS",INDEX(AktKode,MATCH(INDEX(TF_Akt,MATCH($A68&amp;"|"&amp;E$5,TF_Dom,0)),Aktiviteter,0)))&amp;IF(OR(COUNTIFS(TF_Nokkel,$A68&amp;"|"&amp;E$5,TF_Akt,"&lt;&gt;"&amp;INDEX(TF_Akt,MATCH($A68&amp;"|"&amp;E$5,TF_Dom,0)))&gt;0,AND(IF(E$10="",0,MAX(0,ROUND((E$13-SUMIFS(TF_Timer,TF_Nokkel,$A68&amp;"|"&amp;E$5))*2,0)/2))&gt;0,INDEX(TF_Akt,MATCH($A68&amp;"|"&amp;E$5,TF_Dom,0))&lt;&gt;"LMS")),"+",""),"?"))))</f>
        <v/>
      </c>
      <c r="F68" s="13">
        <f>IF(OR($A68="",F$5=""),"",IF(OR(AND(INDEX(TekFra,49)&gt;0,F$5&lt;INDEX(TekFra,49)),AND(INDEX(TekTil,49)&gt;0,F$5&gt;INDEX(TekTil,49))),"",IF(COUNTIFS(TF_Nokkel,$A68&amp;"|"&amp;F$5)=0,IF(F$10&lt;&gt;"","LMS",""),IFERROR(IF(SUMIFS(TF_Timer,TF_Nokkel,$A68&amp;"|"&amp;F$5,TF_Akt,"LMS")+IF(F$10="",0,MAX(0,ROUND((F$13-SUMIFS(TF_Timer,TF_Nokkel,$A68&amp;"|"&amp;F$5))*2,0)/2))&gt;INDEX(TF_AktSum,MATCH($A68&amp;"|"&amp;F$5,TF_Dom,0)),"LMS",INDEX(AktKode,MATCH(INDEX(TF_Akt,MATCH($A68&amp;"|"&amp;F$5,TF_Dom,0)),Aktiviteter,0)))&amp;IF(OR(COUNTIFS(TF_Nokkel,$A68&amp;"|"&amp;F$5,TF_Akt,"&lt;&gt;"&amp;INDEX(TF_Akt,MATCH($A68&amp;"|"&amp;F$5,TF_Dom,0)))&gt;0,AND(IF(F$10="",0,MAX(0,ROUND((F$13-SUMIFS(TF_Timer,TF_Nokkel,$A68&amp;"|"&amp;F$5))*2,0)/2))&gt;0,INDEX(TF_Akt,MATCH($A68&amp;"|"&amp;F$5,TF_Dom,0))&lt;&gt;"LMS")),"+",""),"?"))))</f>
        <v/>
      </c>
      <c r="G68" s="13">
        <f>IF(OR($A68="",G$5=""),"",IF(OR(AND(INDEX(TekFra,49)&gt;0,G$5&lt;INDEX(TekFra,49)),AND(INDEX(TekTil,49)&gt;0,G$5&gt;INDEX(TekTil,49))),"",IF(COUNTIFS(TF_Nokkel,$A68&amp;"|"&amp;G$5)=0,IF(G$10&lt;&gt;"","LMS",""),IFERROR(IF(SUMIFS(TF_Timer,TF_Nokkel,$A68&amp;"|"&amp;G$5,TF_Akt,"LMS")+IF(G$10="",0,MAX(0,ROUND((G$13-SUMIFS(TF_Timer,TF_Nokkel,$A68&amp;"|"&amp;G$5))*2,0)/2))&gt;INDEX(TF_AktSum,MATCH($A68&amp;"|"&amp;G$5,TF_Dom,0)),"LMS",INDEX(AktKode,MATCH(INDEX(TF_Akt,MATCH($A68&amp;"|"&amp;G$5,TF_Dom,0)),Aktiviteter,0)))&amp;IF(OR(COUNTIFS(TF_Nokkel,$A68&amp;"|"&amp;G$5,TF_Akt,"&lt;&gt;"&amp;INDEX(TF_Akt,MATCH($A68&amp;"|"&amp;G$5,TF_Dom,0)))&gt;0,AND(IF(G$10="",0,MAX(0,ROUND((G$13-SUMIFS(TF_Timer,TF_Nokkel,$A68&amp;"|"&amp;G$5))*2,0)/2))&gt;0,INDEX(TF_Akt,MATCH($A68&amp;"|"&amp;G$5,TF_Dom,0))&lt;&gt;"LMS")),"+",""),"?"))))</f>
        <v/>
      </c>
      <c r="H68" s="13">
        <f>IF(OR($A68="",H$5=""),"",IF(OR(AND(INDEX(TekFra,49)&gt;0,H$5&lt;INDEX(TekFra,49)),AND(INDEX(TekTil,49)&gt;0,H$5&gt;INDEX(TekTil,49))),"",IF(COUNTIFS(TF_Nokkel,$A68&amp;"|"&amp;H$5)=0,IF(H$10&lt;&gt;"","LMS",""),IFERROR(IF(SUMIFS(TF_Timer,TF_Nokkel,$A68&amp;"|"&amp;H$5,TF_Akt,"LMS")+IF(H$10="",0,MAX(0,ROUND((H$13-SUMIFS(TF_Timer,TF_Nokkel,$A68&amp;"|"&amp;H$5))*2,0)/2))&gt;INDEX(TF_AktSum,MATCH($A68&amp;"|"&amp;H$5,TF_Dom,0)),"LMS",INDEX(AktKode,MATCH(INDEX(TF_Akt,MATCH($A68&amp;"|"&amp;H$5,TF_Dom,0)),Aktiviteter,0)))&amp;IF(OR(COUNTIFS(TF_Nokkel,$A68&amp;"|"&amp;H$5,TF_Akt,"&lt;&gt;"&amp;INDEX(TF_Akt,MATCH($A68&amp;"|"&amp;H$5,TF_Dom,0)))&gt;0,AND(IF(H$10="",0,MAX(0,ROUND((H$13-SUMIFS(TF_Timer,TF_Nokkel,$A68&amp;"|"&amp;H$5))*2,0)/2))&gt;0,INDEX(TF_Akt,MATCH($A68&amp;"|"&amp;H$5,TF_Dom,0))&lt;&gt;"LMS")),"+",""),"?"))))</f>
        <v/>
      </c>
      <c r="I68" s="13">
        <f>IF(OR($A68="",I$5=""),"",IF(OR(AND(INDEX(TekFra,49)&gt;0,I$5&lt;INDEX(TekFra,49)),AND(INDEX(TekTil,49)&gt;0,I$5&gt;INDEX(TekTil,49))),"",IF(COUNTIFS(TF_Nokkel,$A68&amp;"|"&amp;I$5)=0,IF(I$10&lt;&gt;"","LMS",""),IFERROR(IF(SUMIFS(TF_Timer,TF_Nokkel,$A68&amp;"|"&amp;I$5,TF_Akt,"LMS")+IF(I$10="",0,MAX(0,ROUND((I$13-SUMIFS(TF_Timer,TF_Nokkel,$A68&amp;"|"&amp;I$5))*2,0)/2))&gt;INDEX(TF_AktSum,MATCH($A68&amp;"|"&amp;I$5,TF_Dom,0)),"LMS",INDEX(AktKode,MATCH(INDEX(TF_Akt,MATCH($A68&amp;"|"&amp;I$5,TF_Dom,0)),Aktiviteter,0)))&amp;IF(OR(COUNTIFS(TF_Nokkel,$A68&amp;"|"&amp;I$5,TF_Akt,"&lt;&gt;"&amp;INDEX(TF_Akt,MATCH($A68&amp;"|"&amp;I$5,TF_Dom,0)))&gt;0,AND(IF(I$10="",0,MAX(0,ROUND((I$13-SUMIFS(TF_Timer,TF_Nokkel,$A68&amp;"|"&amp;I$5))*2,0)/2))&gt;0,INDEX(TF_Akt,MATCH($A68&amp;"|"&amp;I$5,TF_Dom,0))&lt;&gt;"LMS")),"+",""),"?"))))</f>
        <v/>
      </c>
      <c r="J68" s="13">
        <f>IF(OR($A68="",J$5=""),"",IF(OR(AND(INDEX(TekFra,49)&gt;0,J$5&lt;INDEX(TekFra,49)),AND(INDEX(TekTil,49)&gt;0,J$5&gt;INDEX(TekTil,49))),"",IF(COUNTIFS(TF_Nokkel,$A68&amp;"|"&amp;J$5)=0,IF(J$10&lt;&gt;"","LMS",""),IFERROR(IF(SUMIFS(TF_Timer,TF_Nokkel,$A68&amp;"|"&amp;J$5,TF_Akt,"LMS")+IF(J$10="",0,MAX(0,ROUND((J$13-SUMIFS(TF_Timer,TF_Nokkel,$A68&amp;"|"&amp;J$5))*2,0)/2))&gt;INDEX(TF_AktSum,MATCH($A68&amp;"|"&amp;J$5,TF_Dom,0)),"LMS",INDEX(AktKode,MATCH(INDEX(TF_Akt,MATCH($A68&amp;"|"&amp;J$5,TF_Dom,0)),Aktiviteter,0)))&amp;IF(OR(COUNTIFS(TF_Nokkel,$A68&amp;"|"&amp;J$5,TF_Akt,"&lt;&gt;"&amp;INDEX(TF_Akt,MATCH($A68&amp;"|"&amp;J$5,TF_Dom,0)))&gt;0,AND(IF(J$10="",0,MAX(0,ROUND((J$13-SUMIFS(TF_Timer,TF_Nokkel,$A68&amp;"|"&amp;J$5))*2,0)/2))&gt;0,INDEX(TF_Akt,MATCH($A68&amp;"|"&amp;J$5,TF_Dom,0))&lt;&gt;"LMS")),"+",""),"?"))))</f>
        <v/>
      </c>
      <c r="K68" s="13">
        <f>IF(OR($A68="",K$5=""),"",IF(OR(AND(INDEX(TekFra,49)&gt;0,K$5&lt;INDEX(TekFra,49)),AND(INDEX(TekTil,49)&gt;0,K$5&gt;INDEX(TekTil,49))),"",IF(COUNTIFS(TF_Nokkel,$A68&amp;"|"&amp;K$5)=0,IF(K$10&lt;&gt;"","LMS",""),IFERROR(IF(SUMIFS(TF_Timer,TF_Nokkel,$A68&amp;"|"&amp;K$5,TF_Akt,"LMS")+IF(K$10="",0,MAX(0,ROUND((K$13-SUMIFS(TF_Timer,TF_Nokkel,$A68&amp;"|"&amp;K$5))*2,0)/2))&gt;INDEX(TF_AktSum,MATCH($A68&amp;"|"&amp;K$5,TF_Dom,0)),"LMS",INDEX(AktKode,MATCH(INDEX(TF_Akt,MATCH($A68&amp;"|"&amp;K$5,TF_Dom,0)),Aktiviteter,0)))&amp;IF(OR(COUNTIFS(TF_Nokkel,$A68&amp;"|"&amp;K$5,TF_Akt,"&lt;&gt;"&amp;INDEX(TF_Akt,MATCH($A68&amp;"|"&amp;K$5,TF_Dom,0)))&gt;0,AND(IF(K$10="",0,MAX(0,ROUND((K$13-SUMIFS(TF_Timer,TF_Nokkel,$A68&amp;"|"&amp;K$5))*2,0)/2))&gt;0,INDEX(TF_Akt,MATCH($A68&amp;"|"&amp;K$5,TF_Dom,0))&lt;&gt;"LMS")),"+",""),"?"))))</f>
        <v/>
      </c>
      <c r="L68" s="13">
        <f>IF(OR($A68="",L$5=""),"",IF(OR(AND(INDEX(TekFra,49)&gt;0,L$5&lt;INDEX(TekFra,49)),AND(INDEX(TekTil,49)&gt;0,L$5&gt;INDEX(TekTil,49))),"",IF(COUNTIFS(TF_Nokkel,$A68&amp;"|"&amp;L$5)=0,IF(L$10&lt;&gt;"","LMS",""),IFERROR(IF(SUMIFS(TF_Timer,TF_Nokkel,$A68&amp;"|"&amp;L$5,TF_Akt,"LMS")+IF(L$10="",0,MAX(0,ROUND((L$13-SUMIFS(TF_Timer,TF_Nokkel,$A68&amp;"|"&amp;L$5))*2,0)/2))&gt;INDEX(TF_AktSum,MATCH($A68&amp;"|"&amp;L$5,TF_Dom,0)),"LMS",INDEX(AktKode,MATCH(INDEX(TF_Akt,MATCH($A68&amp;"|"&amp;L$5,TF_Dom,0)),Aktiviteter,0)))&amp;IF(OR(COUNTIFS(TF_Nokkel,$A68&amp;"|"&amp;L$5,TF_Akt,"&lt;&gt;"&amp;INDEX(TF_Akt,MATCH($A68&amp;"|"&amp;L$5,TF_Dom,0)))&gt;0,AND(IF(L$10="",0,MAX(0,ROUND((L$13-SUMIFS(TF_Timer,TF_Nokkel,$A68&amp;"|"&amp;L$5))*2,0)/2))&gt;0,INDEX(TF_Akt,MATCH($A68&amp;"|"&amp;L$5,TF_Dom,0))&lt;&gt;"LMS")),"+",""),"?"))))</f>
        <v/>
      </c>
      <c r="M68" s="13">
        <f>IF(OR($A68="",M$5=""),"",IF(OR(AND(INDEX(TekFra,49)&gt;0,M$5&lt;INDEX(TekFra,49)),AND(INDEX(TekTil,49)&gt;0,M$5&gt;INDEX(TekTil,49))),"",IF(COUNTIFS(TF_Nokkel,$A68&amp;"|"&amp;M$5)=0,IF(M$10&lt;&gt;"","LMS",""),IFERROR(IF(SUMIFS(TF_Timer,TF_Nokkel,$A68&amp;"|"&amp;M$5,TF_Akt,"LMS")+IF(M$10="",0,MAX(0,ROUND((M$13-SUMIFS(TF_Timer,TF_Nokkel,$A68&amp;"|"&amp;M$5))*2,0)/2))&gt;INDEX(TF_AktSum,MATCH($A68&amp;"|"&amp;M$5,TF_Dom,0)),"LMS",INDEX(AktKode,MATCH(INDEX(TF_Akt,MATCH($A68&amp;"|"&amp;M$5,TF_Dom,0)),Aktiviteter,0)))&amp;IF(OR(COUNTIFS(TF_Nokkel,$A68&amp;"|"&amp;M$5,TF_Akt,"&lt;&gt;"&amp;INDEX(TF_Akt,MATCH($A68&amp;"|"&amp;M$5,TF_Dom,0)))&gt;0,AND(IF(M$10="",0,MAX(0,ROUND((M$13-SUMIFS(TF_Timer,TF_Nokkel,$A68&amp;"|"&amp;M$5))*2,0)/2))&gt;0,INDEX(TF_Akt,MATCH($A68&amp;"|"&amp;M$5,TF_Dom,0))&lt;&gt;"LMS")),"+",""),"?"))))</f>
        <v/>
      </c>
      <c r="N68" s="13">
        <f>IF(OR($A68="",N$5=""),"",IF(OR(AND(INDEX(TekFra,49)&gt;0,N$5&lt;INDEX(TekFra,49)),AND(INDEX(TekTil,49)&gt;0,N$5&gt;INDEX(TekTil,49))),"",IF(COUNTIFS(TF_Nokkel,$A68&amp;"|"&amp;N$5)=0,IF(N$10&lt;&gt;"","LMS",""),IFERROR(IF(SUMIFS(TF_Timer,TF_Nokkel,$A68&amp;"|"&amp;N$5,TF_Akt,"LMS")+IF(N$10="",0,MAX(0,ROUND((N$13-SUMIFS(TF_Timer,TF_Nokkel,$A68&amp;"|"&amp;N$5))*2,0)/2))&gt;INDEX(TF_AktSum,MATCH($A68&amp;"|"&amp;N$5,TF_Dom,0)),"LMS",INDEX(AktKode,MATCH(INDEX(TF_Akt,MATCH($A68&amp;"|"&amp;N$5,TF_Dom,0)),Aktiviteter,0)))&amp;IF(OR(COUNTIFS(TF_Nokkel,$A68&amp;"|"&amp;N$5,TF_Akt,"&lt;&gt;"&amp;INDEX(TF_Akt,MATCH($A68&amp;"|"&amp;N$5,TF_Dom,0)))&gt;0,AND(IF(N$10="",0,MAX(0,ROUND((N$13-SUMIFS(TF_Timer,TF_Nokkel,$A68&amp;"|"&amp;N$5))*2,0)/2))&gt;0,INDEX(TF_Akt,MATCH($A68&amp;"|"&amp;N$5,TF_Dom,0))&lt;&gt;"LMS")),"+",""),"?"))))</f>
        <v/>
      </c>
      <c r="O68" s="13">
        <f>IF(OR($A68="",O$5=""),"",IF(OR(AND(INDEX(TekFra,49)&gt;0,O$5&lt;INDEX(TekFra,49)),AND(INDEX(TekTil,49)&gt;0,O$5&gt;INDEX(TekTil,49))),"",IF(COUNTIFS(TF_Nokkel,$A68&amp;"|"&amp;O$5)=0,IF(O$10&lt;&gt;"","LMS",""),IFERROR(IF(SUMIFS(TF_Timer,TF_Nokkel,$A68&amp;"|"&amp;O$5,TF_Akt,"LMS")+IF(O$10="",0,MAX(0,ROUND((O$13-SUMIFS(TF_Timer,TF_Nokkel,$A68&amp;"|"&amp;O$5))*2,0)/2))&gt;INDEX(TF_AktSum,MATCH($A68&amp;"|"&amp;O$5,TF_Dom,0)),"LMS",INDEX(AktKode,MATCH(INDEX(TF_Akt,MATCH($A68&amp;"|"&amp;O$5,TF_Dom,0)),Aktiviteter,0)))&amp;IF(OR(COUNTIFS(TF_Nokkel,$A68&amp;"|"&amp;O$5,TF_Akt,"&lt;&gt;"&amp;INDEX(TF_Akt,MATCH($A68&amp;"|"&amp;O$5,TF_Dom,0)))&gt;0,AND(IF(O$10="",0,MAX(0,ROUND((O$13-SUMIFS(TF_Timer,TF_Nokkel,$A68&amp;"|"&amp;O$5))*2,0)/2))&gt;0,INDEX(TF_Akt,MATCH($A68&amp;"|"&amp;O$5,TF_Dom,0))&lt;&gt;"LMS")),"+",""),"?"))))</f>
        <v/>
      </c>
      <c r="P68" s="13">
        <f>IF(OR($A68="",P$5=""),"",IF(OR(AND(INDEX(TekFra,49)&gt;0,P$5&lt;INDEX(TekFra,49)),AND(INDEX(TekTil,49)&gt;0,P$5&gt;INDEX(TekTil,49))),"",IF(COUNTIFS(TF_Nokkel,$A68&amp;"|"&amp;P$5)=0,IF(P$10&lt;&gt;"","LMS",""),IFERROR(IF(SUMIFS(TF_Timer,TF_Nokkel,$A68&amp;"|"&amp;P$5,TF_Akt,"LMS")+IF(P$10="",0,MAX(0,ROUND((P$13-SUMIFS(TF_Timer,TF_Nokkel,$A68&amp;"|"&amp;P$5))*2,0)/2))&gt;INDEX(TF_AktSum,MATCH($A68&amp;"|"&amp;P$5,TF_Dom,0)),"LMS",INDEX(AktKode,MATCH(INDEX(TF_Akt,MATCH($A68&amp;"|"&amp;P$5,TF_Dom,0)),Aktiviteter,0)))&amp;IF(OR(COUNTIFS(TF_Nokkel,$A68&amp;"|"&amp;P$5,TF_Akt,"&lt;&gt;"&amp;INDEX(TF_Akt,MATCH($A68&amp;"|"&amp;P$5,TF_Dom,0)))&gt;0,AND(IF(P$10="",0,MAX(0,ROUND((P$13-SUMIFS(TF_Timer,TF_Nokkel,$A68&amp;"|"&amp;P$5))*2,0)/2))&gt;0,INDEX(TF_Akt,MATCH($A68&amp;"|"&amp;P$5,TF_Dom,0))&lt;&gt;"LMS")),"+",""),"?"))))</f>
        <v/>
      </c>
      <c r="Q68" s="13">
        <f>IF(OR($A68="",Q$5=""),"",IF(OR(AND(INDEX(TekFra,49)&gt;0,Q$5&lt;INDEX(TekFra,49)),AND(INDEX(TekTil,49)&gt;0,Q$5&gt;INDEX(TekTil,49))),"",IF(COUNTIFS(TF_Nokkel,$A68&amp;"|"&amp;Q$5)=0,IF(Q$10&lt;&gt;"","LMS",""),IFERROR(IF(SUMIFS(TF_Timer,TF_Nokkel,$A68&amp;"|"&amp;Q$5,TF_Akt,"LMS")+IF(Q$10="",0,MAX(0,ROUND((Q$13-SUMIFS(TF_Timer,TF_Nokkel,$A68&amp;"|"&amp;Q$5))*2,0)/2))&gt;INDEX(TF_AktSum,MATCH($A68&amp;"|"&amp;Q$5,TF_Dom,0)),"LMS",INDEX(AktKode,MATCH(INDEX(TF_Akt,MATCH($A68&amp;"|"&amp;Q$5,TF_Dom,0)),Aktiviteter,0)))&amp;IF(OR(COUNTIFS(TF_Nokkel,$A68&amp;"|"&amp;Q$5,TF_Akt,"&lt;&gt;"&amp;INDEX(TF_Akt,MATCH($A68&amp;"|"&amp;Q$5,TF_Dom,0)))&gt;0,AND(IF(Q$10="",0,MAX(0,ROUND((Q$13-SUMIFS(TF_Timer,TF_Nokkel,$A68&amp;"|"&amp;Q$5))*2,0)/2))&gt;0,INDEX(TF_Akt,MATCH($A68&amp;"|"&amp;Q$5,TF_Dom,0))&lt;&gt;"LMS")),"+",""),"?"))))</f>
        <v/>
      </c>
      <c r="R68" s="13">
        <f>IF(OR($A68="",R$5=""),"",IF(OR(AND(INDEX(TekFra,49)&gt;0,R$5&lt;INDEX(TekFra,49)),AND(INDEX(TekTil,49)&gt;0,R$5&gt;INDEX(TekTil,49))),"",IF(COUNTIFS(TF_Nokkel,$A68&amp;"|"&amp;R$5)=0,IF(R$10&lt;&gt;"","LMS",""),IFERROR(IF(SUMIFS(TF_Timer,TF_Nokkel,$A68&amp;"|"&amp;R$5,TF_Akt,"LMS")+IF(R$10="",0,MAX(0,ROUND((R$13-SUMIFS(TF_Timer,TF_Nokkel,$A68&amp;"|"&amp;R$5))*2,0)/2))&gt;INDEX(TF_AktSum,MATCH($A68&amp;"|"&amp;R$5,TF_Dom,0)),"LMS",INDEX(AktKode,MATCH(INDEX(TF_Akt,MATCH($A68&amp;"|"&amp;R$5,TF_Dom,0)),Aktiviteter,0)))&amp;IF(OR(COUNTIFS(TF_Nokkel,$A68&amp;"|"&amp;R$5,TF_Akt,"&lt;&gt;"&amp;INDEX(TF_Akt,MATCH($A68&amp;"|"&amp;R$5,TF_Dom,0)))&gt;0,AND(IF(R$10="",0,MAX(0,ROUND((R$13-SUMIFS(TF_Timer,TF_Nokkel,$A68&amp;"|"&amp;R$5))*2,0)/2))&gt;0,INDEX(TF_Akt,MATCH($A68&amp;"|"&amp;R$5,TF_Dom,0))&lt;&gt;"LMS")),"+",""),"?"))))</f>
        <v/>
      </c>
      <c r="S68" s="13">
        <f>IF(OR($A68="",S$5=""),"",IF(OR(AND(INDEX(TekFra,49)&gt;0,S$5&lt;INDEX(TekFra,49)),AND(INDEX(TekTil,49)&gt;0,S$5&gt;INDEX(TekTil,49))),"",IF(COUNTIFS(TF_Nokkel,$A68&amp;"|"&amp;S$5)=0,IF(S$10&lt;&gt;"","LMS",""),IFERROR(IF(SUMIFS(TF_Timer,TF_Nokkel,$A68&amp;"|"&amp;S$5,TF_Akt,"LMS")+IF(S$10="",0,MAX(0,ROUND((S$13-SUMIFS(TF_Timer,TF_Nokkel,$A68&amp;"|"&amp;S$5))*2,0)/2))&gt;INDEX(TF_AktSum,MATCH($A68&amp;"|"&amp;S$5,TF_Dom,0)),"LMS",INDEX(AktKode,MATCH(INDEX(TF_Akt,MATCH($A68&amp;"|"&amp;S$5,TF_Dom,0)),Aktiviteter,0)))&amp;IF(OR(COUNTIFS(TF_Nokkel,$A68&amp;"|"&amp;S$5,TF_Akt,"&lt;&gt;"&amp;INDEX(TF_Akt,MATCH($A68&amp;"|"&amp;S$5,TF_Dom,0)))&gt;0,AND(IF(S$10="",0,MAX(0,ROUND((S$13-SUMIFS(TF_Timer,TF_Nokkel,$A68&amp;"|"&amp;S$5))*2,0)/2))&gt;0,INDEX(TF_Akt,MATCH($A68&amp;"|"&amp;S$5,TF_Dom,0))&lt;&gt;"LMS")),"+",""),"?"))))</f>
        <v/>
      </c>
      <c r="T68" s="13">
        <f>IF(OR($A68="",T$5=""),"",IF(OR(AND(INDEX(TekFra,49)&gt;0,T$5&lt;INDEX(TekFra,49)),AND(INDEX(TekTil,49)&gt;0,T$5&gt;INDEX(TekTil,49))),"",IF(COUNTIFS(TF_Nokkel,$A68&amp;"|"&amp;T$5)=0,IF(T$10&lt;&gt;"","LMS",""),IFERROR(IF(SUMIFS(TF_Timer,TF_Nokkel,$A68&amp;"|"&amp;T$5,TF_Akt,"LMS")+IF(T$10="",0,MAX(0,ROUND((T$13-SUMIFS(TF_Timer,TF_Nokkel,$A68&amp;"|"&amp;T$5))*2,0)/2))&gt;INDEX(TF_AktSum,MATCH($A68&amp;"|"&amp;T$5,TF_Dom,0)),"LMS",INDEX(AktKode,MATCH(INDEX(TF_Akt,MATCH($A68&amp;"|"&amp;T$5,TF_Dom,0)),Aktiviteter,0)))&amp;IF(OR(COUNTIFS(TF_Nokkel,$A68&amp;"|"&amp;T$5,TF_Akt,"&lt;&gt;"&amp;INDEX(TF_Akt,MATCH($A68&amp;"|"&amp;T$5,TF_Dom,0)))&gt;0,AND(IF(T$10="",0,MAX(0,ROUND((T$13-SUMIFS(TF_Timer,TF_Nokkel,$A68&amp;"|"&amp;T$5))*2,0)/2))&gt;0,INDEX(TF_Akt,MATCH($A68&amp;"|"&amp;T$5,TF_Dom,0))&lt;&gt;"LMS")),"+",""),"?"))))</f>
        <v/>
      </c>
      <c r="U68" s="13">
        <f>IF(OR($A68="",U$5=""),"",IF(OR(AND(INDEX(TekFra,49)&gt;0,U$5&lt;INDEX(TekFra,49)),AND(INDEX(TekTil,49)&gt;0,U$5&gt;INDEX(TekTil,49))),"",IF(COUNTIFS(TF_Nokkel,$A68&amp;"|"&amp;U$5)=0,IF(U$10&lt;&gt;"","LMS",""),IFERROR(IF(SUMIFS(TF_Timer,TF_Nokkel,$A68&amp;"|"&amp;U$5,TF_Akt,"LMS")+IF(U$10="",0,MAX(0,ROUND((U$13-SUMIFS(TF_Timer,TF_Nokkel,$A68&amp;"|"&amp;U$5))*2,0)/2))&gt;INDEX(TF_AktSum,MATCH($A68&amp;"|"&amp;U$5,TF_Dom,0)),"LMS",INDEX(AktKode,MATCH(INDEX(TF_Akt,MATCH($A68&amp;"|"&amp;U$5,TF_Dom,0)),Aktiviteter,0)))&amp;IF(OR(COUNTIFS(TF_Nokkel,$A68&amp;"|"&amp;U$5,TF_Akt,"&lt;&gt;"&amp;INDEX(TF_Akt,MATCH($A68&amp;"|"&amp;U$5,TF_Dom,0)))&gt;0,AND(IF(U$10="",0,MAX(0,ROUND((U$13-SUMIFS(TF_Timer,TF_Nokkel,$A68&amp;"|"&amp;U$5))*2,0)/2))&gt;0,INDEX(TF_Akt,MATCH($A68&amp;"|"&amp;U$5,TF_Dom,0))&lt;&gt;"LMS")),"+",""),"?"))))</f>
        <v/>
      </c>
      <c r="V68" s="13">
        <f>IF(OR($A68="",V$5=""),"",IF(OR(AND(INDEX(TekFra,49)&gt;0,V$5&lt;INDEX(TekFra,49)),AND(INDEX(TekTil,49)&gt;0,V$5&gt;INDEX(TekTil,49))),"",IF(COUNTIFS(TF_Nokkel,$A68&amp;"|"&amp;V$5)=0,IF(V$10&lt;&gt;"","LMS",""),IFERROR(IF(SUMIFS(TF_Timer,TF_Nokkel,$A68&amp;"|"&amp;V$5,TF_Akt,"LMS")+IF(V$10="",0,MAX(0,ROUND((V$13-SUMIFS(TF_Timer,TF_Nokkel,$A68&amp;"|"&amp;V$5))*2,0)/2))&gt;INDEX(TF_AktSum,MATCH($A68&amp;"|"&amp;V$5,TF_Dom,0)),"LMS",INDEX(AktKode,MATCH(INDEX(TF_Akt,MATCH($A68&amp;"|"&amp;V$5,TF_Dom,0)),Aktiviteter,0)))&amp;IF(OR(COUNTIFS(TF_Nokkel,$A68&amp;"|"&amp;V$5,TF_Akt,"&lt;&gt;"&amp;INDEX(TF_Akt,MATCH($A68&amp;"|"&amp;V$5,TF_Dom,0)))&gt;0,AND(IF(V$10="",0,MAX(0,ROUND((V$13-SUMIFS(TF_Timer,TF_Nokkel,$A68&amp;"|"&amp;V$5))*2,0)/2))&gt;0,INDEX(TF_Akt,MATCH($A68&amp;"|"&amp;V$5,TF_Dom,0))&lt;&gt;"LMS")),"+",""),"?"))))</f>
        <v/>
      </c>
      <c r="W68" s="13">
        <f>IF(OR($A68="",W$5=""),"",IF(OR(AND(INDEX(TekFra,49)&gt;0,W$5&lt;INDEX(TekFra,49)),AND(INDEX(TekTil,49)&gt;0,W$5&gt;INDEX(TekTil,49))),"",IF(COUNTIFS(TF_Nokkel,$A68&amp;"|"&amp;W$5)=0,IF(W$10&lt;&gt;"","LMS",""),IFERROR(IF(SUMIFS(TF_Timer,TF_Nokkel,$A68&amp;"|"&amp;W$5,TF_Akt,"LMS")+IF(W$10="",0,MAX(0,ROUND((W$13-SUMIFS(TF_Timer,TF_Nokkel,$A68&amp;"|"&amp;W$5))*2,0)/2))&gt;INDEX(TF_AktSum,MATCH($A68&amp;"|"&amp;W$5,TF_Dom,0)),"LMS",INDEX(AktKode,MATCH(INDEX(TF_Akt,MATCH($A68&amp;"|"&amp;W$5,TF_Dom,0)),Aktiviteter,0)))&amp;IF(OR(COUNTIFS(TF_Nokkel,$A68&amp;"|"&amp;W$5,TF_Akt,"&lt;&gt;"&amp;INDEX(TF_Akt,MATCH($A68&amp;"|"&amp;W$5,TF_Dom,0)))&gt;0,AND(IF(W$10="",0,MAX(0,ROUND((W$13-SUMIFS(TF_Timer,TF_Nokkel,$A68&amp;"|"&amp;W$5))*2,0)/2))&gt;0,INDEX(TF_Akt,MATCH($A68&amp;"|"&amp;W$5,TF_Dom,0))&lt;&gt;"LMS")),"+",""),"?"))))</f>
        <v/>
      </c>
      <c r="X68" s="13">
        <f>IF(OR($A68="",X$5=""),"",IF(OR(AND(INDEX(TekFra,49)&gt;0,X$5&lt;INDEX(TekFra,49)),AND(INDEX(TekTil,49)&gt;0,X$5&gt;INDEX(TekTil,49))),"",IF(COUNTIFS(TF_Nokkel,$A68&amp;"|"&amp;X$5)=0,IF(X$10&lt;&gt;"","LMS",""),IFERROR(IF(SUMIFS(TF_Timer,TF_Nokkel,$A68&amp;"|"&amp;X$5,TF_Akt,"LMS")+IF(X$10="",0,MAX(0,ROUND((X$13-SUMIFS(TF_Timer,TF_Nokkel,$A68&amp;"|"&amp;X$5))*2,0)/2))&gt;INDEX(TF_AktSum,MATCH($A68&amp;"|"&amp;X$5,TF_Dom,0)),"LMS",INDEX(AktKode,MATCH(INDEX(TF_Akt,MATCH($A68&amp;"|"&amp;X$5,TF_Dom,0)),Aktiviteter,0)))&amp;IF(OR(COUNTIFS(TF_Nokkel,$A68&amp;"|"&amp;X$5,TF_Akt,"&lt;&gt;"&amp;INDEX(TF_Akt,MATCH($A68&amp;"|"&amp;X$5,TF_Dom,0)))&gt;0,AND(IF(X$10="",0,MAX(0,ROUND((X$13-SUMIFS(TF_Timer,TF_Nokkel,$A68&amp;"|"&amp;X$5))*2,0)/2))&gt;0,INDEX(TF_Akt,MATCH($A68&amp;"|"&amp;X$5,TF_Dom,0))&lt;&gt;"LMS")),"+",""),"?"))))</f>
        <v/>
      </c>
      <c r="Y68" s="13">
        <f>IF(OR($A68="",Y$5=""),"",IF(OR(AND(INDEX(TekFra,49)&gt;0,Y$5&lt;INDEX(TekFra,49)),AND(INDEX(TekTil,49)&gt;0,Y$5&gt;INDEX(TekTil,49))),"",IF(COUNTIFS(TF_Nokkel,$A68&amp;"|"&amp;Y$5)=0,IF(Y$10&lt;&gt;"","LMS",""),IFERROR(IF(SUMIFS(TF_Timer,TF_Nokkel,$A68&amp;"|"&amp;Y$5,TF_Akt,"LMS")+IF(Y$10="",0,MAX(0,ROUND((Y$13-SUMIFS(TF_Timer,TF_Nokkel,$A68&amp;"|"&amp;Y$5))*2,0)/2))&gt;INDEX(TF_AktSum,MATCH($A68&amp;"|"&amp;Y$5,TF_Dom,0)),"LMS",INDEX(AktKode,MATCH(INDEX(TF_Akt,MATCH($A68&amp;"|"&amp;Y$5,TF_Dom,0)),Aktiviteter,0)))&amp;IF(OR(COUNTIFS(TF_Nokkel,$A68&amp;"|"&amp;Y$5,TF_Akt,"&lt;&gt;"&amp;INDEX(TF_Akt,MATCH($A68&amp;"|"&amp;Y$5,TF_Dom,0)))&gt;0,AND(IF(Y$10="",0,MAX(0,ROUND((Y$13-SUMIFS(TF_Timer,TF_Nokkel,$A68&amp;"|"&amp;Y$5))*2,0)/2))&gt;0,INDEX(TF_Akt,MATCH($A68&amp;"|"&amp;Y$5,TF_Dom,0))&lt;&gt;"LMS")),"+",""),"?"))))</f>
        <v/>
      </c>
      <c r="Z68" s="13">
        <f>IF(OR($A68="",Z$5=""),"",IF(OR(AND(INDEX(TekFra,49)&gt;0,Z$5&lt;INDEX(TekFra,49)),AND(INDEX(TekTil,49)&gt;0,Z$5&gt;INDEX(TekTil,49))),"",IF(COUNTIFS(TF_Nokkel,$A68&amp;"|"&amp;Z$5)=0,IF(Z$10&lt;&gt;"","LMS",""),IFERROR(IF(SUMIFS(TF_Timer,TF_Nokkel,$A68&amp;"|"&amp;Z$5,TF_Akt,"LMS")+IF(Z$10="",0,MAX(0,ROUND((Z$13-SUMIFS(TF_Timer,TF_Nokkel,$A68&amp;"|"&amp;Z$5))*2,0)/2))&gt;INDEX(TF_AktSum,MATCH($A68&amp;"|"&amp;Z$5,TF_Dom,0)),"LMS",INDEX(AktKode,MATCH(INDEX(TF_Akt,MATCH($A68&amp;"|"&amp;Z$5,TF_Dom,0)),Aktiviteter,0)))&amp;IF(OR(COUNTIFS(TF_Nokkel,$A68&amp;"|"&amp;Z$5,TF_Akt,"&lt;&gt;"&amp;INDEX(TF_Akt,MATCH($A68&amp;"|"&amp;Z$5,TF_Dom,0)))&gt;0,AND(IF(Z$10="",0,MAX(0,ROUND((Z$13-SUMIFS(TF_Timer,TF_Nokkel,$A68&amp;"|"&amp;Z$5))*2,0)/2))&gt;0,INDEX(TF_Akt,MATCH($A68&amp;"|"&amp;Z$5,TF_Dom,0))&lt;&gt;"LMS")),"+",""),"?"))))</f>
        <v/>
      </c>
      <c r="AA68" s="13">
        <f>IF(OR($A68="",AA$5=""),"",IF(OR(AND(INDEX(TekFra,49)&gt;0,AA$5&lt;INDEX(TekFra,49)),AND(INDEX(TekTil,49)&gt;0,AA$5&gt;INDEX(TekTil,49))),"",IF(COUNTIFS(TF_Nokkel,$A68&amp;"|"&amp;AA$5)=0,IF(AA$10&lt;&gt;"","LMS",""),IFERROR(IF(SUMIFS(TF_Timer,TF_Nokkel,$A68&amp;"|"&amp;AA$5,TF_Akt,"LMS")+IF(AA$10="",0,MAX(0,ROUND((AA$13-SUMIFS(TF_Timer,TF_Nokkel,$A68&amp;"|"&amp;AA$5))*2,0)/2))&gt;INDEX(TF_AktSum,MATCH($A68&amp;"|"&amp;AA$5,TF_Dom,0)),"LMS",INDEX(AktKode,MATCH(INDEX(TF_Akt,MATCH($A68&amp;"|"&amp;AA$5,TF_Dom,0)),Aktiviteter,0)))&amp;IF(OR(COUNTIFS(TF_Nokkel,$A68&amp;"|"&amp;AA$5,TF_Akt,"&lt;&gt;"&amp;INDEX(TF_Akt,MATCH($A68&amp;"|"&amp;AA$5,TF_Dom,0)))&gt;0,AND(IF(AA$10="",0,MAX(0,ROUND((AA$13-SUMIFS(TF_Timer,TF_Nokkel,$A68&amp;"|"&amp;AA$5))*2,0)/2))&gt;0,INDEX(TF_Akt,MATCH($A68&amp;"|"&amp;AA$5,TF_Dom,0))&lt;&gt;"LMS")),"+",""),"?"))))</f>
        <v/>
      </c>
      <c r="AB68" s="13">
        <f>IF(OR($A68="",AB$5=""),"",IF(OR(AND(INDEX(TekFra,49)&gt;0,AB$5&lt;INDEX(TekFra,49)),AND(INDEX(TekTil,49)&gt;0,AB$5&gt;INDEX(TekTil,49))),"",IF(COUNTIFS(TF_Nokkel,$A68&amp;"|"&amp;AB$5)=0,IF(AB$10&lt;&gt;"","LMS",""),IFERROR(IF(SUMIFS(TF_Timer,TF_Nokkel,$A68&amp;"|"&amp;AB$5,TF_Akt,"LMS")+IF(AB$10="",0,MAX(0,ROUND((AB$13-SUMIFS(TF_Timer,TF_Nokkel,$A68&amp;"|"&amp;AB$5))*2,0)/2))&gt;INDEX(TF_AktSum,MATCH($A68&amp;"|"&amp;AB$5,TF_Dom,0)),"LMS",INDEX(AktKode,MATCH(INDEX(TF_Akt,MATCH($A68&amp;"|"&amp;AB$5,TF_Dom,0)),Aktiviteter,0)))&amp;IF(OR(COUNTIFS(TF_Nokkel,$A68&amp;"|"&amp;AB$5,TF_Akt,"&lt;&gt;"&amp;INDEX(TF_Akt,MATCH($A68&amp;"|"&amp;AB$5,TF_Dom,0)))&gt;0,AND(IF(AB$10="",0,MAX(0,ROUND((AB$13-SUMIFS(TF_Timer,TF_Nokkel,$A68&amp;"|"&amp;AB$5))*2,0)/2))&gt;0,INDEX(TF_Akt,MATCH($A68&amp;"|"&amp;AB$5,TF_Dom,0))&lt;&gt;"LMS")),"+",""),"?"))))</f>
        <v/>
      </c>
      <c r="AC68" s="13">
        <f>IF(OR($A68="",AC$5=""),"",IF(OR(AND(INDEX(TekFra,49)&gt;0,AC$5&lt;INDEX(TekFra,49)),AND(INDEX(TekTil,49)&gt;0,AC$5&gt;INDEX(TekTil,49))),"",IF(COUNTIFS(TF_Nokkel,$A68&amp;"|"&amp;AC$5)=0,IF(AC$10&lt;&gt;"","LMS",""),IFERROR(IF(SUMIFS(TF_Timer,TF_Nokkel,$A68&amp;"|"&amp;AC$5,TF_Akt,"LMS")+IF(AC$10="",0,MAX(0,ROUND((AC$13-SUMIFS(TF_Timer,TF_Nokkel,$A68&amp;"|"&amp;AC$5))*2,0)/2))&gt;INDEX(TF_AktSum,MATCH($A68&amp;"|"&amp;AC$5,TF_Dom,0)),"LMS",INDEX(AktKode,MATCH(INDEX(TF_Akt,MATCH($A68&amp;"|"&amp;AC$5,TF_Dom,0)),Aktiviteter,0)))&amp;IF(OR(COUNTIFS(TF_Nokkel,$A68&amp;"|"&amp;AC$5,TF_Akt,"&lt;&gt;"&amp;INDEX(TF_Akt,MATCH($A68&amp;"|"&amp;AC$5,TF_Dom,0)))&gt;0,AND(IF(AC$10="",0,MAX(0,ROUND((AC$13-SUMIFS(TF_Timer,TF_Nokkel,$A68&amp;"|"&amp;AC$5))*2,0)/2))&gt;0,INDEX(TF_Akt,MATCH($A68&amp;"|"&amp;AC$5,TF_Dom,0))&lt;&gt;"LMS")),"+",""),"?"))))</f>
        <v/>
      </c>
      <c r="AD68" s="13">
        <f>IF(OR($A68="",AD$5=""),"",IF(OR(AND(INDEX(TekFra,49)&gt;0,AD$5&lt;INDEX(TekFra,49)),AND(INDEX(TekTil,49)&gt;0,AD$5&gt;INDEX(TekTil,49))),"",IF(COUNTIFS(TF_Nokkel,$A68&amp;"|"&amp;AD$5)=0,IF(AD$10&lt;&gt;"","LMS",""),IFERROR(IF(SUMIFS(TF_Timer,TF_Nokkel,$A68&amp;"|"&amp;AD$5,TF_Akt,"LMS")+IF(AD$10="",0,MAX(0,ROUND((AD$13-SUMIFS(TF_Timer,TF_Nokkel,$A68&amp;"|"&amp;AD$5))*2,0)/2))&gt;INDEX(TF_AktSum,MATCH($A68&amp;"|"&amp;AD$5,TF_Dom,0)),"LMS",INDEX(AktKode,MATCH(INDEX(TF_Akt,MATCH($A68&amp;"|"&amp;AD$5,TF_Dom,0)),Aktiviteter,0)))&amp;IF(OR(COUNTIFS(TF_Nokkel,$A68&amp;"|"&amp;AD$5,TF_Akt,"&lt;&gt;"&amp;INDEX(TF_Akt,MATCH($A68&amp;"|"&amp;AD$5,TF_Dom,0)))&gt;0,AND(IF(AD$10="",0,MAX(0,ROUND((AD$13-SUMIFS(TF_Timer,TF_Nokkel,$A68&amp;"|"&amp;AD$5))*2,0)/2))&gt;0,INDEX(TF_Akt,MATCH($A68&amp;"|"&amp;AD$5,TF_Dom,0))&lt;&gt;"LMS")),"+",""),"?"))))</f>
        <v/>
      </c>
      <c r="AE68" s="13">
        <f>IF(OR($A68="",AE$5=""),"",IF(OR(AND(INDEX(TekFra,49)&gt;0,AE$5&lt;INDEX(TekFra,49)),AND(INDEX(TekTil,49)&gt;0,AE$5&gt;INDEX(TekTil,49))),"",IF(COUNTIFS(TF_Nokkel,$A68&amp;"|"&amp;AE$5)=0,IF(AE$10&lt;&gt;"","LMS",""),IFERROR(IF(SUMIFS(TF_Timer,TF_Nokkel,$A68&amp;"|"&amp;AE$5,TF_Akt,"LMS")+IF(AE$10="",0,MAX(0,ROUND((AE$13-SUMIFS(TF_Timer,TF_Nokkel,$A68&amp;"|"&amp;AE$5))*2,0)/2))&gt;INDEX(TF_AktSum,MATCH($A68&amp;"|"&amp;AE$5,TF_Dom,0)),"LMS",INDEX(AktKode,MATCH(INDEX(TF_Akt,MATCH($A68&amp;"|"&amp;AE$5,TF_Dom,0)),Aktiviteter,0)))&amp;IF(OR(COUNTIFS(TF_Nokkel,$A68&amp;"|"&amp;AE$5,TF_Akt,"&lt;&gt;"&amp;INDEX(TF_Akt,MATCH($A68&amp;"|"&amp;AE$5,TF_Dom,0)))&gt;0,AND(IF(AE$10="",0,MAX(0,ROUND((AE$13-SUMIFS(TF_Timer,TF_Nokkel,$A68&amp;"|"&amp;AE$5))*2,0)/2))&gt;0,INDEX(TF_Akt,MATCH($A68&amp;"|"&amp;AE$5,TF_Dom,0))&lt;&gt;"LMS")),"+",""),"?"))))</f>
        <v/>
      </c>
      <c r="AF68" s="13">
        <f>IF(OR($A68="",AF$5=""),"",IF(OR(AND(INDEX(TekFra,49)&gt;0,AF$5&lt;INDEX(TekFra,49)),AND(INDEX(TekTil,49)&gt;0,AF$5&gt;INDEX(TekTil,49))),"",IF(COUNTIFS(TF_Nokkel,$A68&amp;"|"&amp;AF$5)=0,IF(AF$10&lt;&gt;"","LMS",""),IFERROR(IF(SUMIFS(TF_Timer,TF_Nokkel,$A68&amp;"|"&amp;AF$5,TF_Akt,"LMS")+IF(AF$10="",0,MAX(0,ROUND((AF$13-SUMIFS(TF_Timer,TF_Nokkel,$A68&amp;"|"&amp;AF$5))*2,0)/2))&gt;INDEX(TF_AktSum,MATCH($A68&amp;"|"&amp;AF$5,TF_Dom,0)),"LMS",INDEX(AktKode,MATCH(INDEX(TF_Akt,MATCH($A68&amp;"|"&amp;AF$5,TF_Dom,0)),Aktiviteter,0)))&amp;IF(OR(COUNTIFS(TF_Nokkel,$A68&amp;"|"&amp;AF$5,TF_Akt,"&lt;&gt;"&amp;INDEX(TF_Akt,MATCH($A68&amp;"|"&amp;AF$5,TF_Dom,0)))&gt;0,AND(IF(AF$10="",0,MAX(0,ROUND((AF$13-SUMIFS(TF_Timer,TF_Nokkel,$A68&amp;"|"&amp;AF$5))*2,0)/2))&gt;0,INDEX(TF_Akt,MATCH($A68&amp;"|"&amp;AF$5,TF_Dom,0))&lt;&gt;"LMS")),"+",""),"?"))))</f>
        <v/>
      </c>
      <c r="AG68" s="13">
        <f>IF(OR($A68="",AG$5=""),"",IF(OR(AND(INDEX(TekFra,49)&gt;0,AG$5&lt;INDEX(TekFra,49)),AND(INDEX(TekTil,49)&gt;0,AG$5&gt;INDEX(TekTil,49))),"",IF(COUNTIFS(TF_Nokkel,$A68&amp;"|"&amp;AG$5)=0,IF(AG$10&lt;&gt;"","LMS",""),IFERROR(IF(SUMIFS(TF_Timer,TF_Nokkel,$A68&amp;"|"&amp;AG$5,TF_Akt,"LMS")+IF(AG$10="",0,MAX(0,ROUND((AG$13-SUMIFS(TF_Timer,TF_Nokkel,$A68&amp;"|"&amp;AG$5))*2,0)/2))&gt;INDEX(TF_AktSum,MATCH($A68&amp;"|"&amp;AG$5,TF_Dom,0)),"LMS",INDEX(AktKode,MATCH(INDEX(TF_Akt,MATCH($A68&amp;"|"&amp;AG$5,TF_Dom,0)),Aktiviteter,0)))&amp;IF(OR(COUNTIFS(TF_Nokkel,$A68&amp;"|"&amp;AG$5,TF_Akt,"&lt;&gt;"&amp;INDEX(TF_Akt,MATCH($A68&amp;"|"&amp;AG$5,TF_Dom,0)))&gt;0,AND(IF(AG$10="",0,MAX(0,ROUND((AG$13-SUMIFS(TF_Timer,TF_Nokkel,$A68&amp;"|"&amp;AG$5))*2,0)/2))&gt;0,INDEX(TF_Akt,MATCH($A68&amp;"|"&amp;AG$5,TF_Dom,0))&lt;&gt;"LMS")),"+",""),"?"))))</f>
        <v/>
      </c>
      <c r="AH68" s="2" t="n"/>
      <c r="AI68" s="2" t="n"/>
      <c r="AJ68" s="2" t="n"/>
    </row>
    <row r="69">
      <c r="A69" s="2">
        <f>INDEX(Teknikere,50)&amp;""</f>
        <v/>
      </c>
      <c r="B69" s="12">
        <f>IF(INDEX(TekFra,50)&gt;0,"ekstra","")</f>
        <v/>
      </c>
      <c r="C69" s="13">
        <f>IF(OR($A69="",C$5=""),"",IF(OR(AND(INDEX(TekFra,50)&gt;0,C$5&lt;INDEX(TekFra,50)),AND(INDEX(TekTil,50)&gt;0,C$5&gt;INDEX(TekTil,50))),"",IF(COUNTIFS(TF_Nokkel,$A69&amp;"|"&amp;C$5)=0,IF(C$10&lt;&gt;"","LMS",""),IFERROR(IF(SUMIFS(TF_Timer,TF_Nokkel,$A69&amp;"|"&amp;C$5,TF_Akt,"LMS")+IF(C$10="",0,MAX(0,ROUND((C$13-SUMIFS(TF_Timer,TF_Nokkel,$A69&amp;"|"&amp;C$5))*2,0)/2))&gt;INDEX(TF_AktSum,MATCH($A69&amp;"|"&amp;C$5,TF_Dom,0)),"LMS",INDEX(AktKode,MATCH(INDEX(TF_Akt,MATCH($A69&amp;"|"&amp;C$5,TF_Dom,0)),Aktiviteter,0)))&amp;IF(OR(COUNTIFS(TF_Nokkel,$A69&amp;"|"&amp;C$5,TF_Akt,"&lt;&gt;"&amp;INDEX(TF_Akt,MATCH($A69&amp;"|"&amp;C$5,TF_Dom,0)))&gt;0,AND(IF(C$10="",0,MAX(0,ROUND((C$13-SUMIFS(TF_Timer,TF_Nokkel,$A69&amp;"|"&amp;C$5))*2,0)/2))&gt;0,INDEX(TF_Akt,MATCH($A69&amp;"|"&amp;C$5,TF_Dom,0))&lt;&gt;"LMS")),"+",""),"?"))))</f>
        <v/>
      </c>
      <c r="D69" s="13">
        <f>IF(OR($A69="",D$5=""),"",IF(OR(AND(INDEX(TekFra,50)&gt;0,D$5&lt;INDEX(TekFra,50)),AND(INDEX(TekTil,50)&gt;0,D$5&gt;INDEX(TekTil,50))),"",IF(COUNTIFS(TF_Nokkel,$A69&amp;"|"&amp;D$5)=0,IF(D$10&lt;&gt;"","LMS",""),IFERROR(IF(SUMIFS(TF_Timer,TF_Nokkel,$A69&amp;"|"&amp;D$5,TF_Akt,"LMS")+IF(D$10="",0,MAX(0,ROUND((D$13-SUMIFS(TF_Timer,TF_Nokkel,$A69&amp;"|"&amp;D$5))*2,0)/2))&gt;INDEX(TF_AktSum,MATCH($A69&amp;"|"&amp;D$5,TF_Dom,0)),"LMS",INDEX(AktKode,MATCH(INDEX(TF_Akt,MATCH($A69&amp;"|"&amp;D$5,TF_Dom,0)),Aktiviteter,0)))&amp;IF(OR(COUNTIFS(TF_Nokkel,$A69&amp;"|"&amp;D$5,TF_Akt,"&lt;&gt;"&amp;INDEX(TF_Akt,MATCH($A69&amp;"|"&amp;D$5,TF_Dom,0)))&gt;0,AND(IF(D$10="",0,MAX(0,ROUND((D$13-SUMIFS(TF_Timer,TF_Nokkel,$A69&amp;"|"&amp;D$5))*2,0)/2))&gt;0,INDEX(TF_Akt,MATCH($A69&amp;"|"&amp;D$5,TF_Dom,0))&lt;&gt;"LMS")),"+",""),"?"))))</f>
        <v/>
      </c>
      <c r="E69" s="13">
        <f>IF(OR($A69="",E$5=""),"",IF(OR(AND(INDEX(TekFra,50)&gt;0,E$5&lt;INDEX(TekFra,50)),AND(INDEX(TekTil,50)&gt;0,E$5&gt;INDEX(TekTil,50))),"",IF(COUNTIFS(TF_Nokkel,$A69&amp;"|"&amp;E$5)=0,IF(E$10&lt;&gt;"","LMS",""),IFERROR(IF(SUMIFS(TF_Timer,TF_Nokkel,$A69&amp;"|"&amp;E$5,TF_Akt,"LMS")+IF(E$10="",0,MAX(0,ROUND((E$13-SUMIFS(TF_Timer,TF_Nokkel,$A69&amp;"|"&amp;E$5))*2,0)/2))&gt;INDEX(TF_AktSum,MATCH($A69&amp;"|"&amp;E$5,TF_Dom,0)),"LMS",INDEX(AktKode,MATCH(INDEX(TF_Akt,MATCH($A69&amp;"|"&amp;E$5,TF_Dom,0)),Aktiviteter,0)))&amp;IF(OR(COUNTIFS(TF_Nokkel,$A69&amp;"|"&amp;E$5,TF_Akt,"&lt;&gt;"&amp;INDEX(TF_Akt,MATCH($A69&amp;"|"&amp;E$5,TF_Dom,0)))&gt;0,AND(IF(E$10="",0,MAX(0,ROUND((E$13-SUMIFS(TF_Timer,TF_Nokkel,$A69&amp;"|"&amp;E$5))*2,0)/2))&gt;0,INDEX(TF_Akt,MATCH($A69&amp;"|"&amp;E$5,TF_Dom,0))&lt;&gt;"LMS")),"+",""),"?"))))</f>
        <v/>
      </c>
      <c r="F69" s="13">
        <f>IF(OR($A69="",F$5=""),"",IF(OR(AND(INDEX(TekFra,50)&gt;0,F$5&lt;INDEX(TekFra,50)),AND(INDEX(TekTil,50)&gt;0,F$5&gt;INDEX(TekTil,50))),"",IF(COUNTIFS(TF_Nokkel,$A69&amp;"|"&amp;F$5)=0,IF(F$10&lt;&gt;"","LMS",""),IFERROR(IF(SUMIFS(TF_Timer,TF_Nokkel,$A69&amp;"|"&amp;F$5,TF_Akt,"LMS")+IF(F$10="",0,MAX(0,ROUND((F$13-SUMIFS(TF_Timer,TF_Nokkel,$A69&amp;"|"&amp;F$5))*2,0)/2))&gt;INDEX(TF_AktSum,MATCH($A69&amp;"|"&amp;F$5,TF_Dom,0)),"LMS",INDEX(AktKode,MATCH(INDEX(TF_Akt,MATCH($A69&amp;"|"&amp;F$5,TF_Dom,0)),Aktiviteter,0)))&amp;IF(OR(COUNTIFS(TF_Nokkel,$A69&amp;"|"&amp;F$5,TF_Akt,"&lt;&gt;"&amp;INDEX(TF_Akt,MATCH($A69&amp;"|"&amp;F$5,TF_Dom,0)))&gt;0,AND(IF(F$10="",0,MAX(0,ROUND((F$13-SUMIFS(TF_Timer,TF_Nokkel,$A69&amp;"|"&amp;F$5))*2,0)/2))&gt;0,INDEX(TF_Akt,MATCH($A69&amp;"|"&amp;F$5,TF_Dom,0))&lt;&gt;"LMS")),"+",""),"?"))))</f>
        <v/>
      </c>
      <c r="G69" s="13">
        <f>IF(OR($A69="",G$5=""),"",IF(OR(AND(INDEX(TekFra,50)&gt;0,G$5&lt;INDEX(TekFra,50)),AND(INDEX(TekTil,50)&gt;0,G$5&gt;INDEX(TekTil,50))),"",IF(COUNTIFS(TF_Nokkel,$A69&amp;"|"&amp;G$5)=0,IF(G$10&lt;&gt;"","LMS",""),IFERROR(IF(SUMIFS(TF_Timer,TF_Nokkel,$A69&amp;"|"&amp;G$5,TF_Akt,"LMS")+IF(G$10="",0,MAX(0,ROUND((G$13-SUMIFS(TF_Timer,TF_Nokkel,$A69&amp;"|"&amp;G$5))*2,0)/2))&gt;INDEX(TF_AktSum,MATCH($A69&amp;"|"&amp;G$5,TF_Dom,0)),"LMS",INDEX(AktKode,MATCH(INDEX(TF_Akt,MATCH($A69&amp;"|"&amp;G$5,TF_Dom,0)),Aktiviteter,0)))&amp;IF(OR(COUNTIFS(TF_Nokkel,$A69&amp;"|"&amp;G$5,TF_Akt,"&lt;&gt;"&amp;INDEX(TF_Akt,MATCH($A69&amp;"|"&amp;G$5,TF_Dom,0)))&gt;0,AND(IF(G$10="",0,MAX(0,ROUND((G$13-SUMIFS(TF_Timer,TF_Nokkel,$A69&amp;"|"&amp;G$5))*2,0)/2))&gt;0,INDEX(TF_Akt,MATCH($A69&amp;"|"&amp;G$5,TF_Dom,0))&lt;&gt;"LMS")),"+",""),"?"))))</f>
        <v/>
      </c>
      <c r="H69" s="13">
        <f>IF(OR($A69="",H$5=""),"",IF(OR(AND(INDEX(TekFra,50)&gt;0,H$5&lt;INDEX(TekFra,50)),AND(INDEX(TekTil,50)&gt;0,H$5&gt;INDEX(TekTil,50))),"",IF(COUNTIFS(TF_Nokkel,$A69&amp;"|"&amp;H$5)=0,IF(H$10&lt;&gt;"","LMS",""),IFERROR(IF(SUMIFS(TF_Timer,TF_Nokkel,$A69&amp;"|"&amp;H$5,TF_Akt,"LMS")+IF(H$10="",0,MAX(0,ROUND((H$13-SUMIFS(TF_Timer,TF_Nokkel,$A69&amp;"|"&amp;H$5))*2,0)/2))&gt;INDEX(TF_AktSum,MATCH($A69&amp;"|"&amp;H$5,TF_Dom,0)),"LMS",INDEX(AktKode,MATCH(INDEX(TF_Akt,MATCH($A69&amp;"|"&amp;H$5,TF_Dom,0)),Aktiviteter,0)))&amp;IF(OR(COUNTIFS(TF_Nokkel,$A69&amp;"|"&amp;H$5,TF_Akt,"&lt;&gt;"&amp;INDEX(TF_Akt,MATCH($A69&amp;"|"&amp;H$5,TF_Dom,0)))&gt;0,AND(IF(H$10="",0,MAX(0,ROUND((H$13-SUMIFS(TF_Timer,TF_Nokkel,$A69&amp;"|"&amp;H$5))*2,0)/2))&gt;0,INDEX(TF_Akt,MATCH($A69&amp;"|"&amp;H$5,TF_Dom,0))&lt;&gt;"LMS")),"+",""),"?"))))</f>
        <v/>
      </c>
      <c r="I69" s="13">
        <f>IF(OR($A69="",I$5=""),"",IF(OR(AND(INDEX(TekFra,50)&gt;0,I$5&lt;INDEX(TekFra,50)),AND(INDEX(TekTil,50)&gt;0,I$5&gt;INDEX(TekTil,50))),"",IF(COUNTIFS(TF_Nokkel,$A69&amp;"|"&amp;I$5)=0,IF(I$10&lt;&gt;"","LMS",""),IFERROR(IF(SUMIFS(TF_Timer,TF_Nokkel,$A69&amp;"|"&amp;I$5,TF_Akt,"LMS")+IF(I$10="",0,MAX(0,ROUND((I$13-SUMIFS(TF_Timer,TF_Nokkel,$A69&amp;"|"&amp;I$5))*2,0)/2))&gt;INDEX(TF_AktSum,MATCH($A69&amp;"|"&amp;I$5,TF_Dom,0)),"LMS",INDEX(AktKode,MATCH(INDEX(TF_Akt,MATCH($A69&amp;"|"&amp;I$5,TF_Dom,0)),Aktiviteter,0)))&amp;IF(OR(COUNTIFS(TF_Nokkel,$A69&amp;"|"&amp;I$5,TF_Akt,"&lt;&gt;"&amp;INDEX(TF_Akt,MATCH($A69&amp;"|"&amp;I$5,TF_Dom,0)))&gt;0,AND(IF(I$10="",0,MAX(0,ROUND((I$13-SUMIFS(TF_Timer,TF_Nokkel,$A69&amp;"|"&amp;I$5))*2,0)/2))&gt;0,INDEX(TF_Akt,MATCH($A69&amp;"|"&amp;I$5,TF_Dom,0))&lt;&gt;"LMS")),"+",""),"?"))))</f>
        <v/>
      </c>
      <c r="J69" s="13">
        <f>IF(OR($A69="",J$5=""),"",IF(OR(AND(INDEX(TekFra,50)&gt;0,J$5&lt;INDEX(TekFra,50)),AND(INDEX(TekTil,50)&gt;0,J$5&gt;INDEX(TekTil,50))),"",IF(COUNTIFS(TF_Nokkel,$A69&amp;"|"&amp;J$5)=0,IF(J$10&lt;&gt;"","LMS",""),IFERROR(IF(SUMIFS(TF_Timer,TF_Nokkel,$A69&amp;"|"&amp;J$5,TF_Akt,"LMS")+IF(J$10="",0,MAX(0,ROUND((J$13-SUMIFS(TF_Timer,TF_Nokkel,$A69&amp;"|"&amp;J$5))*2,0)/2))&gt;INDEX(TF_AktSum,MATCH($A69&amp;"|"&amp;J$5,TF_Dom,0)),"LMS",INDEX(AktKode,MATCH(INDEX(TF_Akt,MATCH($A69&amp;"|"&amp;J$5,TF_Dom,0)),Aktiviteter,0)))&amp;IF(OR(COUNTIFS(TF_Nokkel,$A69&amp;"|"&amp;J$5,TF_Akt,"&lt;&gt;"&amp;INDEX(TF_Akt,MATCH($A69&amp;"|"&amp;J$5,TF_Dom,0)))&gt;0,AND(IF(J$10="",0,MAX(0,ROUND((J$13-SUMIFS(TF_Timer,TF_Nokkel,$A69&amp;"|"&amp;J$5))*2,0)/2))&gt;0,INDEX(TF_Akt,MATCH($A69&amp;"|"&amp;J$5,TF_Dom,0))&lt;&gt;"LMS")),"+",""),"?"))))</f>
        <v/>
      </c>
      <c r="K69" s="13">
        <f>IF(OR($A69="",K$5=""),"",IF(OR(AND(INDEX(TekFra,50)&gt;0,K$5&lt;INDEX(TekFra,50)),AND(INDEX(TekTil,50)&gt;0,K$5&gt;INDEX(TekTil,50))),"",IF(COUNTIFS(TF_Nokkel,$A69&amp;"|"&amp;K$5)=0,IF(K$10&lt;&gt;"","LMS",""),IFERROR(IF(SUMIFS(TF_Timer,TF_Nokkel,$A69&amp;"|"&amp;K$5,TF_Akt,"LMS")+IF(K$10="",0,MAX(0,ROUND((K$13-SUMIFS(TF_Timer,TF_Nokkel,$A69&amp;"|"&amp;K$5))*2,0)/2))&gt;INDEX(TF_AktSum,MATCH($A69&amp;"|"&amp;K$5,TF_Dom,0)),"LMS",INDEX(AktKode,MATCH(INDEX(TF_Akt,MATCH($A69&amp;"|"&amp;K$5,TF_Dom,0)),Aktiviteter,0)))&amp;IF(OR(COUNTIFS(TF_Nokkel,$A69&amp;"|"&amp;K$5,TF_Akt,"&lt;&gt;"&amp;INDEX(TF_Akt,MATCH($A69&amp;"|"&amp;K$5,TF_Dom,0)))&gt;0,AND(IF(K$10="",0,MAX(0,ROUND((K$13-SUMIFS(TF_Timer,TF_Nokkel,$A69&amp;"|"&amp;K$5))*2,0)/2))&gt;0,INDEX(TF_Akt,MATCH($A69&amp;"|"&amp;K$5,TF_Dom,0))&lt;&gt;"LMS")),"+",""),"?"))))</f>
        <v/>
      </c>
      <c r="L69" s="13">
        <f>IF(OR($A69="",L$5=""),"",IF(OR(AND(INDEX(TekFra,50)&gt;0,L$5&lt;INDEX(TekFra,50)),AND(INDEX(TekTil,50)&gt;0,L$5&gt;INDEX(TekTil,50))),"",IF(COUNTIFS(TF_Nokkel,$A69&amp;"|"&amp;L$5)=0,IF(L$10&lt;&gt;"","LMS",""),IFERROR(IF(SUMIFS(TF_Timer,TF_Nokkel,$A69&amp;"|"&amp;L$5,TF_Akt,"LMS")+IF(L$10="",0,MAX(0,ROUND((L$13-SUMIFS(TF_Timer,TF_Nokkel,$A69&amp;"|"&amp;L$5))*2,0)/2))&gt;INDEX(TF_AktSum,MATCH($A69&amp;"|"&amp;L$5,TF_Dom,0)),"LMS",INDEX(AktKode,MATCH(INDEX(TF_Akt,MATCH($A69&amp;"|"&amp;L$5,TF_Dom,0)),Aktiviteter,0)))&amp;IF(OR(COUNTIFS(TF_Nokkel,$A69&amp;"|"&amp;L$5,TF_Akt,"&lt;&gt;"&amp;INDEX(TF_Akt,MATCH($A69&amp;"|"&amp;L$5,TF_Dom,0)))&gt;0,AND(IF(L$10="",0,MAX(0,ROUND((L$13-SUMIFS(TF_Timer,TF_Nokkel,$A69&amp;"|"&amp;L$5))*2,0)/2))&gt;0,INDEX(TF_Akt,MATCH($A69&amp;"|"&amp;L$5,TF_Dom,0))&lt;&gt;"LMS")),"+",""),"?"))))</f>
        <v/>
      </c>
      <c r="M69" s="13">
        <f>IF(OR($A69="",M$5=""),"",IF(OR(AND(INDEX(TekFra,50)&gt;0,M$5&lt;INDEX(TekFra,50)),AND(INDEX(TekTil,50)&gt;0,M$5&gt;INDEX(TekTil,50))),"",IF(COUNTIFS(TF_Nokkel,$A69&amp;"|"&amp;M$5)=0,IF(M$10&lt;&gt;"","LMS",""),IFERROR(IF(SUMIFS(TF_Timer,TF_Nokkel,$A69&amp;"|"&amp;M$5,TF_Akt,"LMS")+IF(M$10="",0,MAX(0,ROUND((M$13-SUMIFS(TF_Timer,TF_Nokkel,$A69&amp;"|"&amp;M$5))*2,0)/2))&gt;INDEX(TF_AktSum,MATCH($A69&amp;"|"&amp;M$5,TF_Dom,0)),"LMS",INDEX(AktKode,MATCH(INDEX(TF_Akt,MATCH($A69&amp;"|"&amp;M$5,TF_Dom,0)),Aktiviteter,0)))&amp;IF(OR(COUNTIFS(TF_Nokkel,$A69&amp;"|"&amp;M$5,TF_Akt,"&lt;&gt;"&amp;INDEX(TF_Akt,MATCH($A69&amp;"|"&amp;M$5,TF_Dom,0)))&gt;0,AND(IF(M$10="",0,MAX(0,ROUND((M$13-SUMIFS(TF_Timer,TF_Nokkel,$A69&amp;"|"&amp;M$5))*2,0)/2))&gt;0,INDEX(TF_Akt,MATCH($A69&amp;"|"&amp;M$5,TF_Dom,0))&lt;&gt;"LMS")),"+",""),"?"))))</f>
        <v/>
      </c>
      <c r="N69" s="13">
        <f>IF(OR($A69="",N$5=""),"",IF(OR(AND(INDEX(TekFra,50)&gt;0,N$5&lt;INDEX(TekFra,50)),AND(INDEX(TekTil,50)&gt;0,N$5&gt;INDEX(TekTil,50))),"",IF(COUNTIFS(TF_Nokkel,$A69&amp;"|"&amp;N$5)=0,IF(N$10&lt;&gt;"","LMS",""),IFERROR(IF(SUMIFS(TF_Timer,TF_Nokkel,$A69&amp;"|"&amp;N$5,TF_Akt,"LMS")+IF(N$10="",0,MAX(0,ROUND((N$13-SUMIFS(TF_Timer,TF_Nokkel,$A69&amp;"|"&amp;N$5))*2,0)/2))&gt;INDEX(TF_AktSum,MATCH($A69&amp;"|"&amp;N$5,TF_Dom,0)),"LMS",INDEX(AktKode,MATCH(INDEX(TF_Akt,MATCH($A69&amp;"|"&amp;N$5,TF_Dom,0)),Aktiviteter,0)))&amp;IF(OR(COUNTIFS(TF_Nokkel,$A69&amp;"|"&amp;N$5,TF_Akt,"&lt;&gt;"&amp;INDEX(TF_Akt,MATCH($A69&amp;"|"&amp;N$5,TF_Dom,0)))&gt;0,AND(IF(N$10="",0,MAX(0,ROUND((N$13-SUMIFS(TF_Timer,TF_Nokkel,$A69&amp;"|"&amp;N$5))*2,0)/2))&gt;0,INDEX(TF_Akt,MATCH($A69&amp;"|"&amp;N$5,TF_Dom,0))&lt;&gt;"LMS")),"+",""),"?"))))</f>
        <v/>
      </c>
      <c r="O69" s="13">
        <f>IF(OR($A69="",O$5=""),"",IF(OR(AND(INDEX(TekFra,50)&gt;0,O$5&lt;INDEX(TekFra,50)),AND(INDEX(TekTil,50)&gt;0,O$5&gt;INDEX(TekTil,50))),"",IF(COUNTIFS(TF_Nokkel,$A69&amp;"|"&amp;O$5)=0,IF(O$10&lt;&gt;"","LMS",""),IFERROR(IF(SUMIFS(TF_Timer,TF_Nokkel,$A69&amp;"|"&amp;O$5,TF_Akt,"LMS")+IF(O$10="",0,MAX(0,ROUND((O$13-SUMIFS(TF_Timer,TF_Nokkel,$A69&amp;"|"&amp;O$5))*2,0)/2))&gt;INDEX(TF_AktSum,MATCH($A69&amp;"|"&amp;O$5,TF_Dom,0)),"LMS",INDEX(AktKode,MATCH(INDEX(TF_Akt,MATCH($A69&amp;"|"&amp;O$5,TF_Dom,0)),Aktiviteter,0)))&amp;IF(OR(COUNTIFS(TF_Nokkel,$A69&amp;"|"&amp;O$5,TF_Akt,"&lt;&gt;"&amp;INDEX(TF_Akt,MATCH($A69&amp;"|"&amp;O$5,TF_Dom,0)))&gt;0,AND(IF(O$10="",0,MAX(0,ROUND((O$13-SUMIFS(TF_Timer,TF_Nokkel,$A69&amp;"|"&amp;O$5))*2,0)/2))&gt;0,INDEX(TF_Akt,MATCH($A69&amp;"|"&amp;O$5,TF_Dom,0))&lt;&gt;"LMS")),"+",""),"?"))))</f>
        <v/>
      </c>
      <c r="P69" s="13">
        <f>IF(OR($A69="",P$5=""),"",IF(OR(AND(INDEX(TekFra,50)&gt;0,P$5&lt;INDEX(TekFra,50)),AND(INDEX(TekTil,50)&gt;0,P$5&gt;INDEX(TekTil,50))),"",IF(COUNTIFS(TF_Nokkel,$A69&amp;"|"&amp;P$5)=0,IF(P$10&lt;&gt;"","LMS",""),IFERROR(IF(SUMIFS(TF_Timer,TF_Nokkel,$A69&amp;"|"&amp;P$5,TF_Akt,"LMS")+IF(P$10="",0,MAX(0,ROUND((P$13-SUMIFS(TF_Timer,TF_Nokkel,$A69&amp;"|"&amp;P$5))*2,0)/2))&gt;INDEX(TF_AktSum,MATCH($A69&amp;"|"&amp;P$5,TF_Dom,0)),"LMS",INDEX(AktKode,MATCH(INDEX(TF_Akt,MATCH($A69&amp;"|"&amp;P$5,TF_Dom,0)),Aktiviteter,0)))&amp;IF(OR(COUNTIFS(TF_Nokkel,$A69&amp;"|"&amp;P$5,TF_Akt,"&lt;&gt;"&amp;INDEX(TF_Akt,MATCH($A69&amp;"|"&amp;P$5,TF_Dom,0)))&gt;0,AND(IF(P$10="",0,MAX(0,ROUND((P$13-SUMIFS(TF_Timer,TF_Nokkel,$A69&amp;"|"&amp;P$5))*2,0)/2))&gt;0,INDEX(TF_Akt,MATCH($A69&amp;"|"&amp;P$5,TF_Dom,0))&lt;&gt;"LMS")),"+",""),"?"))))</f>
        <v/>
      </c>
      <c r="Q69" s="13">
        <f>IF(OR($A69="",Q$5=""),"",IF(OR(AND(INDEX(TekFra,50)&gt;0,Q$5&lt;INDEX(TekFra,50)),AND(INDEX(TekTil,50)&gt;0,Q$5&gt;INDEX(TekTil,50))),"",IF(COUNTIFS(TF_Nokkel,$A69&amp;"|"&amp;Q$5)=0,IF(Q$10&lt;&gt;"","LMS",""),IFERROR(IF(SUMIFS(TF_Timer,TF_Nokkel,$A69&amp;"|"&amp;Q$5,TF_Akt,"LMS")+IF(Q$10="",0,MAX(0,ROUND((Q$13-SUMIFS(TF_Timer,TF_Nokkel,$A69&amp;"|"&amp;Q$5))*2,0)/2))&gt;INDEX(TF_AktSum,MATCH($A69&amp;"|"&amp;Q$5,TF_Dom,0)),"LMS",INDEX(AktKode,MATCH(INDEX(TF_Akt,MATCH($A69&amp;"|"&amp;Q$5,TF_Dom,0)),Aktiviteter,0)))&amp;IF(OR(COUNTIFS(TF_Nokkel,$A69&amp;"|"&amp;Q$5,TF_Akt,"&lt;&gt;"&amp;INDEX(TF_Akt,MATCH($A69&amp;"|"&amp;Q$5,TF_Dom,0)))&gt;0,AND(IF(Q$10="",0,MAX(0,ROUND((Q$13-SUMIFS(TF_Timer,TF_Nokkel,$A69&amp;"|"&amp;Q$5))*2,0)/2))&gt;0,INDEX(TF_Akt,MATCH($A69&amp;"|"&amp;Q$5,TF_Dom,0))&lt;&gt;"LMS")),"+",""),"?"))))</f>
        <v/>
      </c>
      <c r="R69" s="13">
        <f>IF(OR($A69="",R$5=""),"",IF(OR(AND(INDEX(TekFra,50)&gt;0,R$5&lt;INDEX(TekFra,50)),AND(INDEX(TekTil,50)&gt;0,R$5&gt;INDEX(TekTil,50))),"",IF(COUNTIFS(TF_Nokkel,$A69&amp;"|"&amp;R$5)=0,IF(R$10&lt;&gt;"","LMS",""),IFERROR(IF(SUMIFS(TF_Timer,TF_Nokkel,$A69&amp;"|"&amp;R$5,TF_Akt,"LMS")+IF(R$10="",0,MAX(0,ROUND((R$13-SUMIFS(TF_Timer,TF_Nokkel,$A69&amp;"|"&amp;R$5))*2,0)/2))&gt;INDEX(TF_AktSum,MATCH($A69&amp;"|"&amp;R$5,TF_Dom,0)),"LMS",INDEX(AktKode,MATCH(INDEX(TF_Akt,MATCH($A69&amp;"|"&amp;R$5,TF_Dom,0)),Aktiviteter,0)))&amp;IF(OR(COUNTIFS(TF_Nokkel,$A69&amp;"|"&amp;R$5,TF_Akt,"&lt;&gt;"&amp;INDEX(TF_Akt,MATCH($A69&amp;"|"&amp;R$5,TF_Dom,0)))&gt;0,AND(IF(R$10="",0,MAX(0,ROUND((R$13-SUMIFS(TF_Timer,TF_Nokkel,$A69&amp;"|"&amp;R$5))*2,0)/2))&gt;0,INDEX(TF_Akt,MATCH($A69&amp;"|"&amp;R$5,TF_Dom,0))&lt;&gt;"LMS")),"+",""),"?"))))</f>
        <v/>
      </c>
      <c r="S69" s="13">
        <f>IF(OR($A69="",S$5=""),"",IF(OR(AND(INDEX(TekFra,50)&gt;0,S$5&lt;INDEX(TekFra,50)),AND(INDEX(TekTil,50)&gt;0,S$5&gt;INDEX(TekTil,50))),"",IF(COUNTIFS(TF_Nokkel,$A69&amp;"|"&amp;S$5)=0,IF(S$10&lt;&gt;"","LMS",""),IFERROR(IF(SUMIFS(TF_Timer,TF_Nokkel,$A69&amp;"|"&amp;S$5,TF_Akt,"LMS")+IF(S$10="",0,MAX(0,ROUND((S$13-SUMIFS(TF_Timer,TF_Nokkel,$A69&amp;"|"&amp;S$5))*2,0)/2))&gt;INDEX(TF_AktSum,MATCH($A69&amp;"|"&amp;S$5,TF_Dom,0)),"LMS",INDEX(AktKode,MATCH(INDEX(TF_Akt,MATCH($A69&amp;"|"&amp;S$5,TF_Dom,0)),Aktiviteter,0)))&amp;IF(OR(COUNTIFS(TF_Nokkel,$A69&amp;"|"&amp;S$5,TF_Akt,"&lt;&gt;"&amp;INDEX(TF_Akt,MATCH($A69&amp;"|"&amp;S$5,TF_Dom,0)))&gt;0,AND(IF(S$10="",0,MAX(0,ROUND((S$13-SUMIFS(TF_Timer,TF_Nokkel,$A69&amp;"|"&amp;S$5))*2,0)/2))&gt;0,INDEX(TF_Akt,MATCH($A69&amp;"|"&amp;S$5,TF_Dom,0))&lt;&gt;"LMS")),"+",""),"?"))))</f>
        <v/>
      </c>
      <c r="T69" s="13">
        <f>IF(OR($A69="",T$5=""),"",IF(OR(AND(INDEX(TekFra,50)&gt;0,T$5&lt;INDEX(TekFra,50)),AND(INDEX(TekTil,50)&gt;0,T$5&gt;INDEX(TekTil,50))),"",IF(COUNTIFS(TF_Nokkel,$A69&amp;"|"&amp;T$5)=0,IF(T$10&lt;&gt;"","LMS",""),IFERROR(IF(SUMIFS(TF_Timer,TF_Nokkel,$A69&amp;"|"&amp;T$5,TF_Akt,"LMS")+IF(T$10="",0,MAX(0,ROUND((T$13-SUMIFS(TF_Timer,TF_Nokkel,$A69&amp;"|"&amp;T$5))*2,0)/2))&gt;INDEX(TF_AktSum,MATCH($A69&amp;"|"&amp;T$5,TF_Dom,0)),"LMS",INDEX(AktKode,MATCH(INDEX(TF_Akt,MATCH($A69&amp;"|"&amp;T$5,TF_Dom,0)),Aktiviteter,0)))&amp;IF(OR(COUNTIFS(TF_Nokkel,$A69&amp;"|"&amp;T$5,TF_Akt,"&lt;&gt;"&amp;INDEX(TF_Akt,MATCH($A69&amp;"|"&amp;T$5,TF_Dom,0)))&gt;0,AND(IF(T$10="",0,MAX(0,ROUND((T$13-SUMIFS(TF_Timer,TF_Nokkel,$A69&amp;"|"&amp;T$5))*2,0)/2))&gt;0,INDEX(TF_Akt,MATCH($A69&amp;"|"&amp;T$5,TF_Dom,0))&lt;&gt;"LMS")),"+",""),"?"))))</f>
        <v/>
      </c>
      <c r="U69" s="13">
        <f>IF(OR($A69="",U$5=""),"",IF(OR(AND(INDEX(TekFra,50)&gt;0,U$5&lt;INDEX(TekFra,50)),AND(INDEX(TekTil,50)&gt;0,U$5&gt;INDEX(TekTil,50))),"",IF(COUNTIFS(TF_Nokkel,$A69&amp;"|"&amp;U$5)=0,IF(U$10&lt;&gt;"","LMS",""),IFERROR(IF(SUMIFS(TF_Timer,TF_Nokkel,$A69&amp;"|"&amp;U$5,TF_Akt,"LMS")+IF(U$10="",0,MAX(0,ROUND((U$13-SUMIFS(TF_Timer,TF_Nokkel,$A69&amp;"|"&amp;U$5))*2,0)/2))&gt;INDEX(TF_AktSum,MATCH($A69&amp;"|"&amp;U$5,TF_Dom,0)),"LMS",INDEX(AktKode,MATCH(INDEX(TF_Akt,MATCH($A69&amp;"|"&amp;U$5,TF_Dom,0)),Aktiviteter,0)))&amp;IF(OR(COUNTIFS(TF_Nokkel,$A69&amp;"|"&amp;U$5,TF_Akt,"&lt;&gt;"&amp;INDEX(TF_Akt,MATCH($A69&amp;"|"&amp;U$5,TF_Dom,0)))&gt;0,AND(IF(U$10="",0,MAX(0,ROUND((U$13-SUMIFS(TF_Timer,TF_Nokkel,$A69&amp;"|"&amp;U$5))*2,0)/2))&gt;0,INDEX(TF_Akt,MATCH($A69&amp;"|"&amp;U$5,TF_Dom,0))&lt;&gt;"LMS")),"+",""),"?"))))</f>
        <v/>
      </c>
      <c r="V69" s="13">
        <f>IF(OR($A69="",V$5=""),"",IF(OR(AND(INDEX(TekFra,50)&gt;0,V$5&lt;INDEX(TekFra,50)),AND(INDEX(TekTil,50)&gt;0,V$5&gt;INDEX(TekTil,50))),"",IF(COUNTIFS(TF_Nokkel,$A69&amp;"|"&amp;V$5)=0,IF(V$10&lt;&gt;"","LMS",""),IFERROR(IF(SUMIFS(TF_Timer,TF_Nokkel,$A69&amp;"|"&amp;V$5,TF_Akt,"LMS")+IF(V$10="",0,MAX(0,ROUND((V$13-SUMIFS(TF_Timer,TF_Nokkel,$A69&amp;"|"&amp;V$5))*2,0)/2))&gt;INDEX(TF_AktSum,MATCH($A69&amp;"|"&amp;V$5,TF_Dom,0)),"LMS",INDEX(AktKode,MATCH(INDEX(TF_Akt,MATCH($A69&amp;"|"&amp;V$5,TF_Dom,0)),Aktiviteter,0)))&amp;IF(OR(COUNTIFS(TF_Nokkel,$A69&amp;"|"&amp;V$5,TF_Akt,"&lt;&gt;"&amp;INDEX(TF_Akt,MATCH($A69&amp;"|"&amp;V$5,TF_Dom,0)))&gt;0,AND(IF(V$10="",0,MAX(0,ROUND((V$13-SUMIFS(TF_Timer,TF_Nokkel,$A69&amp;"|"&amp;V$5))*2,0)/2))&gt;0,INDEX(TF_Akt,MATCH($A69&amp;"|"&amp;V$5,TF_Dom,0))&lt;&gt;"LMS")),"+",""),"?"))))</f>
        <v/>
      </c>
      <c r="W69" s="13">
        <f>IF(OR($A69="",W$5=""),"",IF(OR(AND(INDEX(TekFra,50)&gt;0,W$5&lt;INDEX(TekFra,50)),AND(INDEX(TekTil,50)&gt;0,W$5&gt;INDEX(TekTil,50))),"",IF(COUNTIFS(TF_Nokkel,$A69&amp;"|"&amp;W$5)=0,IF(W$10&lt;&gt;"","LMS",""),IFERROR(IF(SUMIFS(TF_Timer,TF_Nokkel,$A69&amp;"|"&amp;W$5,TF_Akt,"LMS")+IF(W$10="",0,MAX(0,ROUND((W$13-SUMIFS(TF_Timer,TF_Nokkel,$A69&amp;"|"&amp;W$5))*2,0)/2))&gt;INDEX(TF_AktSum,MATCH($A69&amp;"|"&amp;W$5,TF_Dom,0)),"LMS",INDEX(AktKode,MATCH(INDEX(TF_Akt,MATCH($A69&amp;"|"&amp;W$5,TF_Dom,0)),Aktiviteter,0)))&amp;IF(OR(COUNTIFS(TF_Nokkel,$A69&amp;"|"&amp;W$5,TF_Akt,"&lt;&gt;"&amp;INDEX(TF_Akt,MATCH($A69&amp;"|"&amp;W$5,TF_Dom,0)))&gt;0,AND(IF(W$10="",0,MAX(0,ROUND((W$13-SUMIFS(TF_Timer,TF_Nokkel,$A69&amp;"|"&amp;W$5))*2,0)/2))&gt;0,INDEX(TF_Akt,MATCH($A69&amp;"|"&amp;W$5,TF_Dom,0))&lt;&gt;"LMS")),"+",""),"?"))))</f>
        <v/>
      </c>
      <c r="X69" s="13">
        <f>IF(OR($A69="",X$5=""),"",IF(OR(AND(INDEX(TekFra,50)&gt;0,X$5&lt;INDEX(TekFra,50)),AND(INDEX(TekTil,50)&gt;0,X$5&gt;INDEX(TekTil,50))),"",IF(COUNTIFS(TF_Nokkel,$A69&amp;"|"&amp;X$5)=0,IF(X$10&lt;&gt;"","LMS",""),IFERROR(IF(SUMIFS(TF_Timer,TF_Nokkel,$A69&amp;"|"&amp;X$5,TF_Akt,"LMS")+IF(X$10="",0,MAX(0,ROUND((X$13-SUMIFS(TF_Timer,TF_Nokkel,$A69&amp;"|"&amp;X$5))*2,0)/2))&gt;INDEX(TF_AktSum,MATCH($A69&amp;"|"&amp;X$5,TF_Dom,0)),"LMS",INDEX(AktKode,MATCH(INDEX(TF_Akt,MATCH($A69&amp;"|"&amp;X$5,TF_Dom,0)),Aktiviteter,0)))&amp;IF(OR(COUNTIFS(TF_Nokkel,$A69&amp;"|"&amp;X$5,TF_Akt,"&lt;&gt;"&amp;INDEX(TF_Akt,MATCH($A69&amp;"|"&amp;X$5,TF_Dom,0)))&gt;0,AND(IF(X$10="",0,MAX(0,ROUND((X$13-SUMIFS(TF_Timer,TF_Nokkel,$A69&amp;"|"&amp;X$5))*2,0)/2))&gt;0,INDEX(TF_Akt,MATCH($A69&amp;"|"&amp;X$5,TF_Dom,0))&lt;&gt;"LMS")),"+",""),"?"))))</f>
        <v/>
      </c>
      <c r="Y69" s="13">
        <f>IF(OR($A69="",Y$5=""),"",IF(OR(AND(INDEX(TekFra,50)&gt;0,Y$5&lt;INDEX(TekFra,50)),AND(INDEX(TekTil,50)&gt;0,Y$5&gt;INDEX(TekTil,50))),"",IF(COUNTIFS(TF_Nokkel,$A69&amp;"|"&amp;Y$5)=0,IF(Y$10&lt;&gt;"","LMS",""),IFERROR(IF(SUMIFS(TF_Timer,TF_Nokkel,$A69&amp;"|"&amp;Y$5,TF_Akt,"LMS")+IF(Y$10="",0,MAX(0,ROUND((Y$13-SUMIFS(TF_Timer,TF_Nokkel,$A69&amp;"|"&amp;Y$5))*2,0)/2))&gt;INDEX(TF_AktSum,MATCH($A69&amp;"|"&amp;Y$5,TF_Dom,0)),"LMS",INDEX(AktKode,MATCH(INDEX(TF_Akt,MATCH($A69&amp;"|"&amp;Y$5,TF_Dom,0)),Aktiviteter,0)))&amp;IF(OR(COUNTIFS(TF_Nokkel,$A69&amp;"|"&amp;Y$5,TF_Akt,"&lt;&gt;"&amp;INDEX(TF_Akt,MATCH($A69&amp;"|"&amp;Y$5,TF_Dom,0)))&gt;0,AND(IF(Y$10="",0,MAX(0,ROUND((Y$13-SUMIFS(TF_Timer,TF_Nokkel,$A69&amp;"|"&amp;Y$5))*2,0)/2))&gt;0,INDEX(TF_Akt,MATCH($A69&amp;"|"&amp;Y$5,TF_Dom,0))&lt;&gt;"LMS")),"+",""),"?"))))</f>
        <v/>
      </c>
      <c r="Z69" s="13">
        <f>IF(OR($A69="",Z$5=""),"",IF(OR(AND(INDEX(TekFra,50)&gt;0,Z$5&lt;INDEX(TekFra,50)),AND(INDEX(TekTil,50)&gt;0,Z$5&gt;INDEX(TekTil,50))),"",IF(COUNTIFS(TF_Nokkel,$A69&amp;"|"&amp;Z$5)=0,IF(Z$10&lt;&gt;"","LMS",""),IFERROR(IF(SUMIFS(TF_Timer,TF_Nokkel,$A69&amp;"|"&amp;Z$5,TF_Akt,"LMS")+IF(Z$10="",0,MAX(0,ROUND((Z$13-SUMIFS(TF_Timer,TF_Nokkel,$A69&amp;"|"&amp;Z$5))*2,0)/2))&gt;INDEX(TF_AktSum,MATCH($A69&amp;"|"&amp;Z$5,TF_Dom,0)),"LMS",INDEX(AktKode,MATCH(INDEX(TF_Akt,MATCH($A69&amp;"|"&amp;Z$5,TF_Dom,0)),Aktiviteter,0)))&amp;IF(OR(COUNTIFS(TF_Nokkel,$A69&amp;"|"&amp;Z$5,TF_Akt,"&lt;&gt;"&amp;INDEX(TF_Akt,MATCH($A69&amp;"|"&amp;Z$5,TF_Dom,0)))&gt;0,AND(IF(Z$10="",0,MAX(0,ROUND((Z$13-SUMIFS(TF_Timer,TF_Nokkel,$A69&amp;"|"&amp;Z$5))*2,0)/2))&gt;0,INDEX(TF_Akt,MATCH($A69&amp;"|"&amp;Z$5,TF_Dom,0))&lt;&gt;"LMS")),"+",""),"?"))))</f>
        <v/>
      </c>
      <c r="AA69" s="13">
        <f>IF(OR($A69="",AA$5=""),"",IF(OR(AND(INDEX(TekFra,50)&gt;0,AA$5&lt;INDEX(TekFra,50)),AND(INDEX(TekTil,50)&gt;0,AA$5&gt;INDEX(TekTil,50))),"",IF(COUNTIFS(TF_Nokkel,$A69&amp;"|"&amp;AA$5)=0,IF(AA$10&lt;&gt;"","LMS",""),IFERROR(IF(SUMIFS(TF_Timer,TF_Nokkel,$A69&amp;"|"&amp;AA$5,TF_Akt,"LMS")+IF(AA$10="",0,MAX(0,ROUND((AA$13-SUMIFS(TF_Timer,TF_Nokkel,$A69&amp;"|"&amp;AA$5))*2,0)/2))&gt;INDEX(TF_AktSum,MATCH($A69&amp;"|"&amp;AA$5,TF_Dom,0)),"LMS",INDEX(AktKode,MATCH(INDEX(TF_Akt,MATCH($A69&amp;"|"&amp;AA$5,TF_Dom,0)),Aktiviteter,0)))&amp;IF(OR(COUNTIFS(TF_Nokkel,$A69&amp;"|"&amp;AA$5,TF_Akt,"&lt;&gt;"&amp;INDEX(TF_Akt,MATCH($A69&amp;"|"&amp;AA$5,TF_Dom,0)))&gt;0,AND(IF(AA$10="",0,MAX(0,ROUND((AA$13-SUMIFS(TF_Timer,TF_Nokkel,$A69&amp;"|"&amp;AA$5))*2,0)/2))&gt;0,INDEX(TF_Akt,MATCH($A69&amp;"|"&amp;AA$5,TF_Dom,0))&lt;&gt;"LMS")),"+",""),"?"))))</f>
        <v/>
      </c>
      <c r="AB69" s="13">
        <f>IF(OR($A69="",AB$5=""),"",IF(OR(AND(INDEX(TekFra,50)&gt;0,AB$5&lt;INDEX(TekFra,50)),AND(INDEX(TekTil,50)&gt;0,AB$5&gt;INDEX(TekTil,50))),"",IF(COUNTIFS(TF_Nokkel,$A69&amp;"|"&amp;AB$5)=0,IF(AB$10&lt;&gt;"","LMS",""),IFERROR(IF(SUMIFS(TF_Timer,TF_Nokkel,$A69&amp;"|"&amp;AB$5,TF_Akt,"LMS")+IF(AB$10="",0,MAX(0,ROUND((AB$13-SUMIFS(TF_Timer,TF_Nokkel,$A69&amp;"|"&amp;AB$5))*2,0)/2))&gt;INDEX(TF_AktSum,MATCH($A69&amp;"|"&amp;AB$5,TF_Dom,0)),"LMS",INDEX(AktKode,MATCH(INDEX(TF_Akt,MATCH($A69&amp;"|"&amp;AB$5,TF_Dom,0)),Aktiviteter,0)))&amp;IF(OR(COUNTIFS(TF_Nokkel,$A69&amp;"|"&amp;AB$5,TF_Akt,"&lt;&gt;"&amp;INDEX(TF_Akt,MATCH($A69&amp;"|"&amp;AB$5,TF_Dom,0)))&gt;0,AND(IF(AB$10="",0,MAX(0,ROUND((AB$13-SUMIFS(TF_Timer,TF_Nokkel,$A69&amp;"|"&amp;AB$5))*2,0)/2))&gt;0,INDEX(TF_Akt,MATCH($A69&amp;"|"&amp;AB$5,TF_Dom,0))&lt;&gt;"LMS")),"+",""),"?"))))</f>
        <v/>
      </c>
      <c r="AC69" s="13">
        <f>IF(OR($A69="",AC$5=""),"",IF(OR(AND(INDEX(TekFra,50)&gt;0,AC$5&lt;INDEX(TekFra,50)),AND(INDEX(TekTil,50)&gt;0,AC$5&gt;INDEX(TekTil,50))),"",IF(COUNTIFS(TF_Nokkel,$A69&amp;"|"&amp;AC$5)=0,IF(AC$10&lt;&gt;"","LMS",""),IFERROR(IF(SUMIFS(TF_Timer,TF_Nokkel,$A69&amp;"|"&amp;AC$5,TF_Akt,"LMS")+IF(AC$10="",0,MAX(0,ROUND((AC$13-SUMIFS(TF_Timer,TF_Nokkel,$A69&amp;"|"&amp;AC$5))*2,0)/2))&gt;INDEX(TF_AktSum,MATCH($A69&amp;"|"&amp;AC$5,TF_Dom,0)),"LMS",INDEX(AktKode,MATCH(INDEX(TF_Akt,MATCH($A69&amp;"|"&amp;AC$5,TF_Dom,0)),Aktiviteter,0)))&amp;IF(OR(COUNTIFS(TF_Nokkel,$A69&amp;"|"&amp;AC$5,TF_Akt,"&lt;&gt;"&amp;INDEX(TF_Akt,MATCH($A69&amp;"|"&amp;AC$5,TF_Dom,0)))&gt;0,AND(IF(AC$10="",0,MAX(0,ROUND((AC$13-SUMIFS(TF_Timer,TF_Nokkel,$A69&amp;"|"&amp;AC$5))*2,0)/2))&gt;0,INDEX(TF_Akt,MATCH($A69&amp;"|"&amp;AC$5,TF_Dom,0))&lt;&gt;"LMS")),"+",""),"?"))))</f>
        <v/>
      </c>
      <c r="AD69" s="13">
        <f>IF(OR($A69="",AD$5=""),"",IF(OR(AND(INDEX(TekFra,50)&gt;0,AD$5&lt;INDEX(TekFra,50)),AND(INDEX(TekTil,50)&gt;0,AD$5&gt;INDEX(TekTil,50))),"",IF(COUNTIFS(TF_Nokkel,$A69&amp;"|"&amp;AD$5)=0,IF(AD$10&lt;&gt;"","LMS",""),IFERROR(IF(SUMIFS(TF_Timer,TF_Nokkel,$A69&amp;"|"&amp;AD$5,TF_Akt,"LMS")+IF(AD$10="",0,MAX(0,ROUND((AD$13-SUMIFS(TF_Timer,TF_Nokkel,$A69&amp;"|"&amp;AD$5))*2,0)/2))&gt;INDEX(TF_AktSum,MATCH($A69&amp;"|"&amp;AD$5,TF_Dom,0)),"LMS",INDEX(AktKode,MATCH(INDEX(TF_Akt,MATCH($A69&amp;"|"&amp;AD$5,TF_Dom,0)),Aktiviteter,0)))&amp;IF(OR(COUNTIFS(TF_Nokkel,$A69&amp;"|"&amp;AD$5,TF_Akt,"&lt;&gt;"&amp;INDEX(TF_Akt,MATCH($A69&amp;"|"&amp;AD$5,TF_Dom,0)))&gt;0,AND(IF(AD$10="",0,MAX(0,ROUND((AD$13-SUMIFS(TF_Timer,TF_Nokkel,$A69&amp;"|"&amp;AD$5))*2,0)/2))&gt;0,INDEX(TF_Akt,MATCH($A69&amp;"|"&amp;AD$5,TF_Dom,0))&lt;&gt;"LMS")),"+",""),"?"))))</f>
        <v/>
      </c>
      <c r="AE69" s="13">
        <f>IF(OR($A69="",AE$5=""),"",IF(OR(AND(INDEX(TekFra,50)&gt;0,AE$5&lt;INDEX(TekFra,50)),AND(INDEX(TekTil,50)&gt;0,AE$5&gt;INDEX(TekTil,50))),"",IF(COUNTIFS(TF_Nokkel,$A69&amp;"|"&amp;AE$5)=0,IF(AE$10&lt;&gt;"","LMS",""),IFERROR(IF(SUMIFS(TF_Timer,TF_Nokkel,$A69&amp;"|"&amp;AE$5,TF_Akt,"LMS")+IF(AE$10="",0,MAX(0,ROUND((AE$13-SUMIFS(TF_Timer,TF_Nokkel,$A69&amp;"|"&amp;AE$5))*2,0)/2))&gt;INDEX(TF_AktSum,MATCH($A69&amp;"|"&amp;AE$5,TF_Dom,0)),"LMS",INDEX(AktKode,MATCH(INDEX(TF_Akt,MATCH($A69&amp;"|"&amp;AE$5,TF_Dom,0)),Aktiviteter,0)))&amp;IF(OR(COUNTIFS(TF_Nokkel,$A69&amp;"|"&amp;AE$5,TF_Akt,"&lt;&gt;"&amp;INDEX(TF_Akt,MATCH($A69&amp;"|"&amp;AE$5,TF_Dom,0)))&gt;0,AND(IF(AE$10="",0,MAX(0,ROUND((AE$13-SUMIFS(TF_Timer,TF_Nokkel,$A69&amp;"|"&amp;AE$5))*2,0)/2))&gt;0,INDEX(TF_Akt,MATCH($A69&amp;"|"&amp;AE$5,TF_Dom,0))&lt;&gt;"LMS")),"+",""),"?"))))</f>
        <v/>
      </c>
      <c r="AF69" s="13">
        <f>IF(OR($A69="",AF$5=""),"",IF(OR(AND(INDEX(TekFra,50)&gt;0,AF$5&lt;INDEX(TekFra,50)),AND(INDEX(TekTil,50)&gt;0,AF$5&gt;INDEX(TekTil,50))),"",IF(COUNTIFS(TF_Nokkel,$A69&amp;"|"&amp;AF$5)=0,IF(AF$10&lt;&gt;"","LMS",""),IFERROR(IF(SUMIFS(TF_Timer,TF_Nokkel,$A69&amp;"|"&amp;AF$5,TF_Akt,"LMS")+IF(AF$10="",0,MAX(0,ROUND((AF$13-SUMIFS(TF_Timer,TF_Nokkel,$A69&amp;"|"&amp;AF$5))*2,0)/2))&gt;INDEX(TF_AktSum,MATCH($A69&amp;"|"&amp;AF$5,TF_Dom,0)),"LMS",INDEX(AktKode,MATCH(INDEX(TF_Akt,MATCH($A69&amp;"|"&amp;AF$5,TF_Dom,0)),Aktiviteter,0)))&amp;IF(OR(COUNTIFS(TF_Nokkel,$A69&amp;"|"&amp;AF$5,TF_Akt,"&lt;&gt;"&amp;INDEX(TF_Akt,MATCH($A69&amp;"|"&amp;AF$5,TF_Dom,0)))&gt;0,AND(IF(AF$10="",0,MAX(0,ROUND((AF$13-SUMIFS(TF_Timer,TF_Nokkel,$A69&amp;"|"&amp;AF$5))*2,0)/2))&gt;0,INDEX(TF_Akt,MATCH($A69&amp;"|"&amp;AF$5,TF_Dom,0))&lt;&gt;"LMS")),"+",""),"?"))))</f>
        <v/>
      </c>
      <c r="AG69" s="13">
        <f>IF(OR($A69="",AG$5=""),"",IF(OR(AND(INDEX(TekFra,50)&gt;0,AG$5&lt;INDEX(TekFra,50)),AND(INDEX(TekTil,50)&gt;0,AG$5&gt;INDEX(TekTil,50))),"",IF(COUNTIFS(TF_Nokkel,$A69&amp;"|"&amp;AG$5)=0,IF(AG$10&lt;&gt;"","LMS",""),IFERROR(IF(SUMIFS(TF_Timer,TF_Nokkel,$A69&amp;"|"&amp;AG$5,TF_Akt,"LMS")+IF(AG$10="",0,MAX(0,ROUND((AG$13-SUMIFS(TF_Timer,TF_Nokkel,$A69&amp;"|"&amp;AG$5))*2,0)/2))&gt;INDEX(TF_AktSum,MATCH($A69&amp;"|"&amp;AG$5,TF_Dom,0)),"LMS",INDEX(AktKode,MATCH(INDEX(TF_Akt,MATCH($A69&amp;"|"&amp;AG$5,TF_Dom,0)),Aktiviteter,0)))&amp;IF(OR(COUNTIFS(TF_Nokkel,$A69&amp;"|"&amp;AG$5,TF_Akt,"&lt;&gt;"&amp;INDEX(TF_Akt,MATCH($A69&amp;"|"&amp;AG$5,TF_Dom,0)))&gt;0,AND(IF(AG$10="",0,MAX(0,ROUND((AG$13-SUMIFS(TF_Timer,TF_Nokkel,$A69&amp;"|"&amp;AG$5))*2,0)/2))&gt;0,INDEX(TF_Akt,MATCH($A69&amp;"|"&amp;AG$5,TF_Dom,0))&lt;&gt;"LMS")),"+",""),"?"))))</f>
        <v/>
      </c>
      <c r="AH69" s="2" t="n"/>
      <c r="AI69" s="2" t="n"/>
      <c r="AJ69" s="2" t="n"/>
    </row>
    <row r="70">
      <c r="A70" s="2">
        <f>INDEX(Teknikere,51)&amp;""</f>
        <v/>
      </c>
      <c r="B70" s="12">
        <f>IF(INDEX(TekFra,51)&gt;0,"ekstra","")</f>
        <v/>
      </c>
      <c r="C70" s="13">
        <f>IF(OR($A70="",C$5=""),"",IF(OR(AND(INDEX(TekFra,51)&gt;0,C$5&lt;INDEX(TekFra,51)),AND(INDEX(TekTil,51)&gt;0,C$5&gt;INDEX(TekTil,51))),"",IF(COUNTIFS(TF_Nokkel,$A70&amp;"|"&amp;C$5)=0,IF(C$10&lt;&gt;"","LMS",""),IFERROR(IF(SUMIFS(TF_Timer,TF_Nokkel,$A70&amp;"|"&amp;C$5,TF_Akt,"LMS")+IF(C$10="",0,MAX(0,ROUND((C$13-SUMIFS(TF_Timer,TF_Nokkel,$A70&amp;"|"&amp;C$5))*2,0)/2))&gt;INDEX(TF_AktSum,MATCH($A70&amp;"|"&amp;C$5,TF_Dom,0)),"LMS",INDEX(AktKode,MATCH(INDEX(TF_Akt,MATCH($A70&amp;"|"&amp;C$5,TF_Dom,0)),Aktiviteter,0)))&amp;IF(OR(COUNTIFS(TF_Nokkel,$A70&amp;"|"&amp;C$5,TF_Akt,"&lt;&gt;"&amp;INDEX(TF_Akt,MATCH($A70&amp;"|"&amp;C$5,TF_Dom,0)))&gt;0,AND(IF(C$10="",0,MAX(0,ROUND((C$13-SUMIFS(TF_Timer,TF_Nokkel,$A70&amp;"|"&amp;C$5))*2,0)/2))&gt;0,INDEX(TF_Akt,MATCH($A70&amp;"|"&amp;C$5,TF_Dom,0))&lt;&gt;"LMS")),"+",""),"?"))))</f>
        <v/>
      </c>
      <c r="D70" s="13">
        <f>IF(OR($A70="",D$5=""),"",IF(OR(AND(INDEX(TekFra,51)&gt;0,D$5&lt;INDEX(TekFra,51)),AND(INDEX(TekTil,51)&gt;0,D$5&gt;INDEX(TekTil,51))),"",IF(COUNTIFS(TF_Nokkel,$A70&amp;"|"&amp;D$5)=0,IF(D$10&lt;&gt;"","LMS",""),IFERROR(IF(SUMIFS(TF_Timer,TF_Nokkel,$A70&amp;"|"&amp;D$5,TF_Akt,"LMS")+IF(D$10="",0,MAX(0,ROUND((D$13-SUMIFS(TF_Timer,TF_Nokkel,$A70&amp;"|"&amp;D$5))*2,0)/2))&gt;INDEX(TF_AktSum,MATCH($A70&amp;"|"&amp;D$5,TF_Dom,0)),"LMS",INDEX(AktKode,MATCH(INDEX(TF_Akt,MATCH($A70&amp;"|"&amp;D$5,TF_Dom,0)),Aktiviteter,0)))&amp;IF(OR(COUNTIFS(TF_Nokkel,$A70&amp;"|"&amp;D$5,TF_Akt,"&lt;&gt;"&amp;INDEX(TF_Akt,MATCH($A70&amp;"|"&amp;D$5,TF_Dom,0)))&gt;0,AND(IF(D$10="",0,MAX(0,ROUND((D$13-SUMIFS(TF_Timer,TF_Nokkel,$A70&amp;"|"&amp;D$5))*2,0)/2))&gt;0,INDEX(TF_Akt,MATCH($A70&amp;"|"&amp;D$5,TF_Dom,0))&lt;&gt;"LMS")),"+",""),"?"))))</f>
        <v/>
      </c>
      <c r="E70" s="13">
        <f>IF(OR($A70="",E$5=""),"",IF(OR(AND(INDEX(TekFra,51)&gt;0,E$5&lt;INDEX(TekFra,51)),AND(INDEX(TekTil,51)&gt;0,E$5&gt;INDEX(TekTil,51))),"",IF(COUNTIFS(TF_Nokkel,$A70&amp;"|"&amp;E$5)=0,IF(E$10&lt;&gt;"","LMS",""),IFERROR(IF(SUMIFS(TF_Timer,TF_Nokkel,$A70&amp;"|"&amp;E$5,TF_Akt,"LMS")+IF(E$10="",0,MAX(0,ROUND((E$13-SUMIFS(TF_Timer,TF_Nokkel,$A70&amp;"|"&amp;E$5))*2,0)/2))&gt;INDEX(TF_AktSum,MATCH($A70&amp;"|"&amp;E$5,TF_Dom,0)),"LMS",INDEX(AktKode,MATCH(INDEX(TF_Akt,MATCH($A70&amp;"|"&amp;E$5,TF_Dom,0)),Aktiviteter,0)))&amp;IF(OR(COUNTIFS(TF_Nokkel,$A70&amp;"|"&amp;E$5,TF_Akt,"&lt;&gt;"&amp;INDEX(TF_Akt,MATCH($A70&amp;"|"&amp;E$5,TF_Dom,0)))&gt;0,AND(IF(E$10="",0,MAX(0,ROUND((E$13-SUMIFS(TF_Timer,TF_Nokkel,$A70&amp;"|"&amp;E$5))*2,0)/2))&gt;0,INDEX(TF_Akt,MATCH($A70&amp;"|"&amp;E$5,TF_Dom,0))&lt;&gt;"LMS")),"+",""),"?"))))</f>
        <v/>
      </c>
      <c r="F70" s="13">
        <f>IF(OR($A70="",F$5=""),"",IF(OR(AND(INDEX(TekFra,51)&gt;0,F$5&lt;INDEX(TekFra,51)),AND(INDEX(TekTil,51)&gt;0,F$5&gt;INDEX(TekTil,51))),"",IF(COUNTIFS(TF_Nokkel,$A70&amp;"|"&amp;F$5)=0,IF(F$10&lt;&gt;"","LMS",""),IFERROR(IF(SUMIFS(TF_Timer,TF_Nokkel,$A70&amp;"|"&amp;F$5,TF_Akt,"LMS")+IF(F$10="",0,MAX(0,ROUND((F$13-SUMIFS(TF_Timer,TF_Nokkel,$A70&amp;"|"&amp;F$5))*2,0)/2))&gt;INDEX(TF_AktSum,MATCH($A70&amp;"|"&amp;F$5,TF_Dom,0)),"LMS",INDEX(AktKode,MATCH(INDEX(TF_Akt,MATCH($A70&amp;"|"&amp;F$5,TF_Dom,0)),Aktiviteter,0)))&amp;IF(OR(COUNTIFS(TF_Nokkel,$A70&amp;"|"&amp;F$5,TF_Akt,"&lt;&gt;"&amp;INDEX(TF_Akt,MATCH($A70&amp;"|"&amp;F$5,TF_Dom,0)))&gt;0,AND(IF(F$10="",0,MAX(0,ROUND((F$13-SUMIFS(TF_Timer,TF_Nokkel,$A70&amp;"|"&amp;F$5))*2,0)/2))&gt;0,INDEX(TF_Akt,MATCH($A70&amp;"|"&amp;F$5,TF_Dom,0))&lt;&gt;"LMS")),"+",""),"?"))))</f>
        <v/>
      </c>
      <c r="G70" s="13">
        <f>IF(OR($A70="",G$5=""),"",IF(OR(AND(INDEX(TekFra,51)&gt;0,G$5&lt;INDEX(TekFra,51)),AND(INDEX(TekTil,51)&gt;0,G$5&gt;INDEX(TekTil,51))),"",IF(COUNTIFS(TF_Nokkel,$A70&amp;"|"&amp;G$5)=0,IF(G$10&lt;&gt;"","LMS",""),IFERROR(IF(SUMIFS(TF_Timer,TF_Nokkel,$A70&amp;"|"&amp;G$5,TF_Akt,"LMS")+IF(G$10="",0,MAX(0,ROUND((G$13-SUMIFS(TF_Timer,TF_Nokkel,$A70&amp;"|"&amp;G$5))*2,0)/2))&gt;INDEX(TF_AktSum,MATCH($A70&amp;"|"&amp;G$5,TF_Dom,0)),"LMS",INDEX(AktKode,MATCH(INDEX(TF_Akt,MATCH($A70&amp;"|"&amp;G$5,TF_Dom,0)),Aktiviteter,0)))&amp;IF(OR(COUNTIFS(TF_Nokkel,$A70&amp;"|"&amp;G$5,TF_Akt,"&lt;&gt;"&amp;INDEX(TF_Akt,MATCH($A70&amp;"|"&amp;G$5,TF_Dom,0)))&gt;0,AND(IF(G$10="",0,MAX(0,ROUND((G$13-SUMIFS(TF_Timer,TF_Nokkel,$A70&amp;"|"&amp;G$5))*2,0)/2))&gt;0,INDEX(TF_Akt,MATCH($A70&amp;"|"&amp;G$5,TF_Dom,0))&lt;&gt;"LMS")),"+",""),"?"))))</f>
        <v/>
      </c>
      <c r="H70" s="13">
        <f>IF(OR($A70="",H$5=""),"",IF(OR(AND(INDEX(TekFra,51)&gt;0,H$5&lt;INDEX(TekFra,51)),AND(INDEX(TekTil,51)&gt;0,H$5&gt;INDEX(TekTil,51))),"",IF(COUNTIFS(TF_Nokkel,$A70&amp;"|"&amp;H$5)=0,IF(H$10&lt;&gt;"","LMS",""),IFERROR(IF(SUMIFS(TF_Timer,TF_Nokkel,$A70&amp;"|"&amp;H$5,TF_Akt,"LMS")+IF(H$10="",0,MAX(0,ROUND((H$13-SUMIFS(TF_Timer,TF_Nokkel,$A70&amp;"|"&amp;H$5))*2,0)/2))&gt;INDEX(TF_AktSum,MATCH($A70&amp;"|"&amp;H$5,TF_Dom,0)),"LMS",INDEX(AktKode,MATCH(INDEX(TF_Akt,MATCH($A70&amp;"|"&amp;H$5,TF_Dom,0)),Aktiviteter,0)))&amp;IF(OR(COUNTIFS(TF_Nokkel,$A70&amp;"|"&amp;H$5,TF_Akt,"&lt;&gt;"&amp;INDEX(TF_Akt,MATCH($A70&amp;"|"&amp;H$5,TF_Dom,0)))&gt;0,AND(IF(H$10="",0,MAX(0,ROUND((H$13-SUMIFS(TF_Timer,TF_Nokkel,$A70&amp;"|"&amp;H$5))*2,0)/2))&gt;0,INDEX(TF_Akt,MATCH($A70&amp;"|"&amp;H$5,TF_Dom,0))&lt;&gt;"LMS")),"+",""),"?"))))</f>
        <v/>
      </c>
      <c r="I70" s="13">
        <f>IF(OR($A70="",I$5=""),"",IF(OR(AND(INDEX(TekFra,51)&gt;0,I$5&lt;INDEX(TekFra,51)),AND(INDEX(TekTil,51)&gt;0,I$5&gt;INDEX(TekTil,51))),"",IF(COUNTIFS(TF_Nokkel,$A70&amp;"|"&amp;I$5)=0,IF(I$10&lt;&gt;"","LMS",""),IFERROR(IF(SUMIFS(TF_Timer,TF_Nokkel,$A70&amp;"|"&amp;I$5,TF_Akt,"LMS")+IF(I$10="",0,MAX(0,ROUND((I$13-SUMIFS(TF_Timer,TF_Nokkel,$A70&amp;"|"&amp;I$5))*2,0)/2))&gt;INDEX(TF_AktSum,MATCH($A70&amp;"|"&amp;I$5,TF_Dom,0)),"LMS",INDEX(AktKode,MATCH(INDEX(TF_Akt,MATCH($A70&amp;"|"&amp;I$5,TF_Dom,0)),Aktiviteter,0)))&amp;IF(OR(COUNTIFS(TF_Nokkel,$A70&amp;"|"&amp;I$5,TF_Akt,"&lt;&gt;"&amp;INDEX(TF_Akt,MATCH($A70&amp;"|"&amp;I$5,TF_Dom,0)))&gt;0,AND(IF(I$10="",0,MAX(0,ROUND((I$13-SUMIFS(TF_Timer,TF_Nokkel,$A70&amp;"|"&amp;I$5))*2,0)/2))&gt;0,INDEX(TF_Akt,MATCH($A70&amp;"|"&amp;I$5,TF_Dom,0))&lt;&gt;"LMS")),"+",""),"?"))))</f>
        <v/>
      </c>
      <c r="J70" s="13">
        <f>IF(OR($A70="",J$5=""),"",IF(OR(AND(INDEX(TekFra,51)&gt;0,J$5&lt;INDEX(TekFra,51)),AND(INDEX(TekTil,51)&gt;0,J$5&gt;INDEX(TekTil,51))),"",IF(COUNTIFS(TF_Nokkel,$A70&amp;"|"&amp;J$5)=0,IF(J$10&lt;&gt;"","LMS",""),IFERROR(IF(SUMIFS(TF_Timer,TF_Nokkel,$A70&amp;"|"&amp;J$5,TF_Akt,"LMS")+IF(J$10="",0,MAX(0,ROUND((J$13-SUMIFS(TF_Timer,TF_Nokkel,$A70&amp;"|"&amp;J$5))*2,0)/2))&gt;INDEX(TF_AktSum,MATCH($A70&amp;"|"&amp;J$5,TF_Dom,0)),"LMS",INDEX(AktKode,MATCH(INDEX(TF_Akt,MATCH($A70&amp;"|"&amp;J$5,TF_Dom,0)),Aktiviteter,0)))&amp;IF(OR(COUNTIFS(TF_Nokkel,$A70&amp;"|"&amp;J$5,TF_Akt,"&lt;&gt;"&amp;INDEX(TF_Akt,MATCH($A70&amp;"|"&amp;J$5,TF_Dom,0)))&gt;0,AND(IF(J$10="",0,MAX(0,ROUND((J$13-SUMIFS(TF_Timer,TF_Nokkel,$A70&amp;"|"&amp;J$5))*2,0)/2))&gt;0,INDEX(TF_Akt,MATCH($A70&amp;"|"&amp;J$5,TF_Dom,0))&lt;&gt;"LMS")),"+",""),"?"))))</f>
        <v/>
      </c>
      <c r="K70" s="13">
        <f>IF(OR($A70="",K$5=""),"",IF(OR(AND(INDEX(TekFra,51)&gt;0,K$5&lt;INDEX(TekFra,51)),AND(INDEX(TekTil,51)&gt;0,K$5&gt;INDEX(TekTil,51))),"",IF(COUNTIFS(TF_Nokkel,$A70&amp;"|"&amp;K$5)=0,IF(K$10&lt;&gt;"","LMS",""),IFERROR(IF(SUMIFS(TF_Timer,TF_Nokkel,$A70&amp;"|"&amp;K$5,TF_Akt,"LMS")+IF(K$10="",0,MAX(0,ROUND((K$13-SUMIFS(TF_Timer,TF_Nokkel,$A70&amp;"|"&amp;K$5))*2,0)/2))&gt;INDEX(TF_AktSum,MATCH($A70&amp;"|"&amp;K$5,TF_Dom,0)),"LMS",INDEX(AktKode,MATCH(INDEX(TF_Akt,MATCH($A70&amp;"|"&amp;K$5,TF_Dom,0)),Aktiviteter,0)))&amp;IF(OR(COUNTIFS(TF_Nokkel,$A70&amp;"|"&amp;K$5,TF_Akt,"&lt;&gt;"&amp;INDEX(TF_Akt,MATCH($A70&amp;"|"&amp;K$5,TF_Dom,0)))&gt;0,AND(IF(K$10="",0,MAX(0,ROUND((K$13-SUMIFS(TF_Timer,TF_Nokkel,$A70&amp;"|"&amp;K$5))*2,0)/2))&gt;0,INDEX(TF_Akt,MATCH($A70&amp;"|"&amp;K$5,TF_Dom,0))&lt;&gt;"LMS")),"+",""),"?"))))</f>
        <v/>
      </c>
      <c r="L70" s="13">
        <f>IF(OR($A70="",L$5=""),"",IF(OR(AND(INDEX(TekFra,51)&gt;0,L$5&lt;INDEX(TekFra,51)),AND(INDEX(TekTil,51)&gt;0,L$5&gt;INDEX(TekTil,51))),"",IF(COUNTIFS(TF_Nokkel,$A70&amp;"|"&amp;L$5)=0,IF(L$10&lt;&gt;"","LMS",""),IFERROR(IF(SUMIFS(TF_Timer,TF_Nokkel,$A70&amp;"|"&amp;L$5,TF_Akt,"LMS")+IF(L$10="",0,MAX(0,ROUND((L$13-SUMIFS(TF_Timer,TF_Nokkel,$A70&amp;"|"&amp;L$5))*2,0)/2))&gt;INDEX(TF_AktSum,MATCH($A70&amp;"|"&amp;L$5,TF_Dom,0)),"LMS",INDEX(AktKode,MATCH(INDEX(TF_Akt,MATCH($A70&amp;"|"&amp;L$5,TF_Dom,0)),Aktiviteter,0)))&amp;IF(OR(COUNTIFS(TF_Nokkel,$A70&amp;"|"&amp;L$5,TF_Akt,"&lt;&gt;"&amp;INDEX(TF_Akt,MATCH($A70&amp;"|"&amp;L$5,TF_Dom,0)))&gt;0,AND(IF(L$10="",0,MAX(0,ROUND((L$13-SUMIFS(TF_Timer,TF_Nokkel,$A70&amp;"|"&amp;L$5))*2,0)/2))&gt;0,INDEX(TF_Akt,MATCH($A70&amp;"|"&amp;L$5,TF_Dom,0))&lt;&gt;"LMS")),"+",""),"?"))))</f>
        <v/>
      </c>
      <c r="M70" s="13">
        <f>IF(OR($A70="",M$5=""),"",IF(OR(AND(INDEX(TekFra,51)&gt;0,M$5&lt;INDEX(TekFra,51)),AND(INDEX(TekTil,51)&gt;0,M$5&gt;INDEX(TekTil,51))),"",IF(COUNTIFS(TF_Nokkel,$A70&amp;"|"&amp;M$5)=0,IF(M$10&lt;&gt;"","LMS",""),IFERROR(IF(SUMIFS(TF_Timer,TF_Nokkel,$A70&amp;"|"&amp;M$5,TF_Akt,"LMS")+IF(M$10="",0,MAX(0,ROUND((M$13-SUMIFS(TF_Timer,TF_Nokkel,$A70&amp;"|"&amp;M$5))*2,0)/2))&gt;INDEX(TF_AktSum,MATCH($A70&amp;"|"&amp;M$5,TF_Dom,0)),"LMS",INDEX(AktKode,MATCH(INDEX(TF_Akt,MATCH($A70&amp;"|"&amp;M$5,TF_Dom,0)),Aktiviteter,0)))&amp;IF(OR(COUNTIFS(TF_Nokkel,$A70&amp;"|"&amp;M$5,TF_Akt,"&lt;&gt;"&amp;INDEX(TF_Akt,MATCH($A70&amp;"|"&amp;M$5,TF_Dom,0)))&gt;0,AND(IF(M$10="",0,MAX(0,ROUND((M$13-SUMIFS(TF_Timer,TF_Nokkel,$A70&amp;"|"&amp;M$5))*2,0)/2))&gt;0,INDEX(TF_Akt,MATCH($A70&amp;"|"&amp;M$5,TF_Dom,0))&lt;&gt;"LMS")),"+",""),"?"))))</f>
        <v/>
      </c>
      <c r="N70" s="13">
        <f>IF(OR($A70="",N$5=""),"",IF(OR(AND(INDEX(TekFra,51)&gt;0,N$5&lt;INDEX(TekFra,51)),AND(INDEX(TekTil,51)&gt;0,N$5&gt;INDEX(TekTil,51))),"",IF(COUNTIFS(TF_Nokkel,$A70&amp;"|"&amp;N$5)=0,IF(N$10&lt;&gt;"","LMS",""),IFERROR(IF(SUMIFS(TF_Timer,TF_Nokkel,$A70&amp;"|"&amp;N$5,TF_Akt,"LMS")+IF(N$10="",0,MAX(0,ROUND((N$13-SUMIFS(TF_Timer,TF_Nokkel,$A70&amp;"|"&amp;N$5))*2,0)/2))&gt;INDEX(TF_AktSum,MATCH($A70&amp;"|"&amp;N$5,TF_Dom,0)),"LMS",INDEX(AktKode,MATCH(INDEX(TF_Akt,MATCH($A70&amp;"|"&amp;N$5,TF_Dom,0)),Aktiviteter,0)))&amp;IF(OR(COUNTIFS(TF_Nokkel,$A70&amp;"|"&amp;N$5,TF_Akt,"&lt;&gt;"&amp;INDEX(TF_Akt,MATCH($A70&amp;"|"&amp;N$5,TF_Dom,0)))&gt;0,AND(IF(N$10="",0,MAX(0,ROUND((N$13-SUMIFS(TF_Timer,TF_Nokkel,$A70&amp;"|"&amp;N$5))*2,0)/2))&gt;0,INDEX(TF_Akt,MATCH($A70&amp;"|"&amp;N$5,TF_Dom,0))&lt;&gt;"LMS")),"+",""),"?"))))</f>
        <v/>
      </c>
      <c r="O70" s="13">
        <f>IF(OR($A70="",O$5=""),"",IF(OR(AND(INDEX(TekFra,51)&gt;0,O$5&lt;INDEX(TekFra,51)),AND(INDEX(TekTil,51)&gt;0,O$5&gt;INDEX(TekTil,51))),"",IF(COUNTIFS(TF_Nokkel,$A70&amp;"|"&amp;O$5)=0,IF(O$10&lt;&gt;"","LMS",""),IFERROR(IF(SUMIFS(TF_Timer,TF_Nokkel,$A70&amp;"|"&amp;O$5,TF_Akt,"LMS")+IF(O$10="",0,MAX(0,ROUND((O$13-SUMIFS(TF_Timer,TF_Nokkel,$A70&amp;"|"&amp;O$5))*2,0)/2))&gt;INDEX(TF_AktSum,MATCH($A70&amp;"|"&amp;O$5,TF_Dom,0)),"LMS",INDEX(AktKode,MATCH(INDEX(TF_Akt,MATCH($A70&amp;"|"&amp;O$5,TF_Dom,0)),Aktiviteter,0)))&amp;IF(OR(COUNTIFS(TF_Nokkel,$A70&amp;"|"&amp;O$5,TF_Akt,"&lt;&gt;"&amp;INDEX(TF_Akt,MATCH($A70&amp;"|"&amp;O$5,TF_Dom,0)))&gt;0,AND(IF(O$10="",0,MAX(0,ROUND((O$13-SUMIFS(TF_Timer,TF_Nokkel,$A70&amp;"|"&amp;O$5))*2,0)/2))&gt;0,INDEX(TF_Akt,MATCH($A70&amp;"|"&amp;O$5,TF_Dom,0))&lt;&gt;"LMS")),"+",""),"?"))))</f>
        <v/>
      </c>
      <c r="P70" s="13">
        <f>IF(OR($A70="",P$5=""),"",IF(OR(AND(INDEX(TekFra,51)&gt;0,P$5&lt;INDEX(TekFra,51)),AND(INDEX(TekTil,51)&gt;0,P$5&gt;INDEX(TekTil,51))),"",IF(COUNTIFS(TF_Nokkel,$A70&amp;"|"&amp;P$5)=0,IF(P$10&lt;&gt;"","LMS",""),IFERROR(IF(SUMIFS(TF_Timer,TF_Nokkel,$A70&amp;"|"&amp;P$5,TF_Akt,"LMS")+IF(P$10="",0,MAX(0,ROUND((P$13-SUMIFS(TF_Timer,TF_Nokkel,$A70&amp;"|"&amp;P$5))*2,0)/2))&gt;INDEX(TF_AktSum,MATCH($A70&amp;"|"&amp;P$5,TF_Dom,0)),"LMS",INDEX(AktKode,MATCH(INDEX(TF_Akt,MATCH($A70&amp;"|"&amp;P$5,TF_Dom,0)),Aktiviteter,0)))&amp;IF(OR(COUNTIFS(TF_Nokkel,$A70&amp;"|"&amp;P$5,TF_Akt,"&lt;&gt;"&amp;INDEX(TF_Akt,MATCH($A70&amp;"|"&amp;P$5,TF_Dom,0)))&gt;0,AND(IF(P$10="",0,MAX(0,ROUND((P$13-SUMIFS(TF_Timer,TF_Nokkel,$A70&amp;"|"&amp;P$5))*2,0)/2))&gt;0,INDEX(TF_Akt,MATCH($A70&amp;"|"&amp;P$5,TF_Dom,0))&lt;&gt;"LMS")),"+",""),"?"))))</f>
        <v/>
      </c>
      <c r="Q70" s="13">
        <f>IF(OR($A70="",Q$5=""),"",IF(OR(AND(INDEX(TekFra,51)&gt;0,Q$5&lt;INDEX(TekFra,51)),AND(INDEX(TekTil,51)&gt;0,Q$5&gt;INDEX(TekTil,51))),"",IF(COUNTIFS(TF_Nokkel,$A70&amp;"|"&amp;Q$5)=0,IF(Q$10&lt;&gt;"","LMS",""),IFERROR(IF(SUMIFS(TF_Timer,TF_Nokkel,$A70&amp;"|"&amp;Q$5,TF_Akt,"LMS")+IF(Q$10="",0,MAX(0,ROUND((Q$13-SUMIFS(TF_Timer,TF_Nokkel,$A70&amp;"|"&amp;Q$5))*2,0)/2))&gt;INDEX(TF_AktSum,MATCH($A70&amp;"|"&amp;Q$5,TF_Dom,0)),"LMS",INDEX(AktKode,MATCH(INDEX(TF_Akt,MATCH($A70&amp;"|"&amp;Q$5,TF_Dom,0)),Aktiviteter,0)))&amp;IF(OR(COUNTIFS(TF_Nokkel,$A70&amp;"|"&amp;Q$5,TF_Akt,"&lt;&gt;"&amp;INDEX(TF_Akt,MATCH($A70&amp;"|"&amp;Q$5,TF_Dom,0)))&gt;0,AND(IF(Q$10="",0,MAX(0,ROUND((Q$13-SUMIFS(TF_Timer,TF_Nokkel,$A70&amp;"|"&amp;Q$5))*2,0)/2))&gt;0,INDEX(TF_Akt,MATCH($A70&amp;"|"&amp;Q$5,TF_Dom,0))&lt;&gt;"LMS")),"+",""),"?"))))</f>
        <v/>
      </c>
      <c r="R70" s="13">
        <f>IF(OR($A70="",R$5=""),"",IF(OR(AND(INDEX(TekFra,51)&gt;0,R$5&lt;INDEX(TekFra,51)),AND(INDEX(TekTil,51)&gt;0,R$5&gt;INDEX(TekTil,51))),"",IF(COUNTIFS(TF_Nokkel,$A70&amp;"|"&amp;R$5)=0,IF(R$10&lt;&gt;"","LMS",""),IFERROR(IF(SUMIFS(TF_Timer,TF_Nokkel,$A70&amp;"|"&amp;R$5,TF_Akt,"LMS")+IF(R$10="",0,MAX(0,ROUND((R$13-SUMIFS(TF_Timer,TF_Nokkel,$A70&amp;"|"&amp;R$5))*2,0)/2))&gt;INDEX(TF_AktSum,MATCH($A70&amp;"|"&amp;R$5,TF_Dom,0)),"LMS",INDEX(AktKode,MATCH(INDEX(TF_Akt,MATCH($A70&amp;"|"&amp;R$5,TF_Dom,0)),Aktiviteter,0)))&amp;IF(OR(COUNTIFS(TF_Nokkel,$A70&amp;"|"&amp;R$5,TF_Akt,"&lt;&gt;"&amp;INDEX(TF_Akt,MATCH($A70&amp;"|"&amp;R$5,TF_Dom,0)))&gt;0,AND(IF(R$10="",0,MAX(0,ROUND((R$13-SUMIFS(TF_Timer,TF_Nokkel,$A70&amp;"|"&amp;R$5))*2,0)/2))&gt;0,INDEX(TF_Akt,MATCH($A70&amp;"|"&amp;R$5,TF_Dom,0))&lt;&gt;"LMS")),"+",""),"?"))))</f>
        <v/>
      </c>
      <c r="S70" s="13">
        <f>IF(OR($A70="",S$5=""),"",IF(OR(AND(INDEX(TekFra,51)&gt;0,S$5&lt;INDEX(TekFra,51)),AND(INDEX(TekTil,51)&gt;0,S$5&gt;INDEX(TekTil,51))),"",IF(COUNTIFS(TF_Nokkel,$A70&amp;"|"&amp;S$5)=0,IF(S$10&lt;&gt;"","LMS",""),IFERROR(IF(SUMIFS(TF_Timer,TF_Nokkel,$A70&amp;"|"&amp;S$5,TF_Akt,"LMS")+IF(S$10="",0,MAX(0,ROUND((S$13-SUMIFS(TF_Timer,TF_Nokkel,$A70&amp;"|"&amp;S$5))*2,0)/2))&gt;INDEX(TF_AktSum,MATCH($A70&amp;"|"&amp;S$5,TF_Dom,0)),"LMS",INDEX(AktKode,MATCH(INDEX(TF_Akt,MATCH($A70&amp;"|"&amp;S$5,TF_Dom,0)),Aktiviteter,0)))&amp;IF(OR(COUNTIFS(TF_Nokkel,$A70&amp;"|"&amp;S$5,TF_Akt,"&lt;&gt;"&amp;INDEX(TF_Akt,MATCH($A70&amp;"|"&amp;S$5,TF_Dom,0)))&gt;0,AND(IF(S$10="",0,MAX(0,ROUND((S$13-SUMIFS(TF_Timer,TF_Nokkel,$A70&amp;"|"&amp;S$5))*2,0)/2))&gt;0,INDEX(TF_Akt,MATCH($A70&amp;"|"&amp;S$5,TF_Dom,0))&lt;&gt;"LMS")),"+",""),"?"))))</f>
        <v/>
      </c>
      <c r="T70" s="13">
        <f>IF(OR($A70="",T$5=""),"",IF(OR(AND(INDEX(TekFra,51)&gt;0,T$5&lt;INDEX(TekFra,51)),AND(INDEX(TekTil,51)&gt;0,T$5&gt;INDEX(TekTil,51))),"",IF(COUNTIFS(TF_Nokkel,$A70&amp;"|"&amp;T$5)=0,IF(T$10&lt;&gt;"","LMS",""),IFERROR(IF(SUMIFS(TF_Timer,TF_Nokkel,$A70&amp;"|"&amp;T$5,TF_Akt,"LMS")+IF(T$10="",0,MAX(0,ROUND((T$13-SUMIFS(TF_Timer,TF_Nokkel,$A70&amp;"|"&amp;T$5))*2,0)/2))&gt;INDEX(TF_AktSum,MATCH($A70&amp;"|"&amp;T$5,TF_Dom,0)),"LMS",INDEX(AktKode,MATCH(INDEX(TF_Akt,MATCH($A70&amp;"|"&amp;T$5,TF_Dom,0)),Aktiviteter,0)))&amp;IF(OR(COUNTIFS(TF_Nokkel,$A70&amp;"|"&amp;T$5,TF_Akt,"&lt;&gt;"&amp;INDEX(TF_Akt,MATCH($A70&amp;"|"&amp;T$5,TF_Dom,0)))&gt;0,AND(IF(T$10="",0,MAX(0,ROUND((T$13-SUMIFS(TF_Timer,TF_Nokkel,$A70&amp;"|"&amp;T$5))*2,0)/2))&gt;0,INDEX(TF_Akt,MATCH($A70&amp;"|"&amp;T$5,TF_Dom,0))&lt;&gt;"LMS")),"+",""),"?"))))</f>
        <v/>
      </c>
      <c r="U70" s="13">
        <f>IF(OR($A70="",U$5=""),"",IF(OR(AND(INDEX(TekFra,51)&gt;0,U$5&lt;INDEX(TekFra,51)),AND(INDEX(TekTil,51)&gt;0,U$5&gt;INDEX(TekTil,51))),"",IF(COUNTIFS(TF_Nokkel,$A70&amp;"|"&amp;U$5)=0,IF(U$10&lt;&gt;"","LMS",""),IFERROR(IF(SUMIFS(TF_Timer,TF_Nokkel,$A70&amp;"|"&amp;U$5,TF_Akt,"LMS")+IF(U$10="",0,MAX(0,ROUND((U$13-SUMIFS(TF_Timer,TF_Nokkel,$A70&amp;"|"&amp;U$5))*2,0)/2))&gt;INDEX(TF_AktSum,MATCH($A70&amp;"|"&amp;U$5,TF_Dom,0)),"LMS",INDEX(AktKode,MATCH(INDEX(TF_Akt,MATCH($A70&amp;"|"&amp;U$5,TF_Dom,0)),Aktiviteter,0)))&amp;IF(OR(COUNTIFS(TF_Nokkel,$A70&amp;"|"&amp;U$5,TF_Akt,"&lt;&gt;"&amp;INDEX(TF_Akt,MATCH($A70&amp;"|"&amp;U$5,TF_Dom,0)))&gt;0,AND(IF(U$10="",0,MAX(0,ROUND((U$13-SUMIFS(TF_Timer,TF_Nokkel,$A70&amp;"|"&amp;U$5))*2,0)/2))&gt;0,INDEX(TF_Akt,MATCH($A70&amp;"|"&amp;U$5,TF_Dom,0))&lt;&gt;"LMS")),"+",""),"?"))))</f>
        <v/>
      </c>
      <c r="V70" s="13">
        <f>IF(OR($A70="",V$5=""),"",IF(OR(AND(INDEX(TekFra,51)&gt;0,V$5&lt;INDEX(TekFra,51)),AND(INDEX(TekTil,51)&gt;0,V$5&gt;INDEX(TekTil,51))),"",IF(COUNTIFS(TF_Nokkel,$A70&amp;"|"&amp;V$5)=0,IF(V$10&lt;&gt;"","LMS",""),IFERROR(IF(SUMIFS(TF_Timer,TF_Nokkel,$A70&amp;"|"&amp;V$5,TF_Akt,"LMS")+IF(V$10="",0,MAX(0,ROUND((V$13-SUMIFS(TF_Timer,TF_Nokkel,$A70&amp;"|"&amp;V$5))*2,0)/2))&gt;INDEX(TF_AktSum,MATCH($A70&amp;"|"&amp;V$5,TF_Dom,0)),"LMS",INDEX(AktKode,MATCH(INDEX(TF_Akt,MATCH($A70&amp;"|"&amp;V$5,TF_Dom,0)),Aktiviteter,0)))&amp;IF(OR(COUNTIFS(TF_Nokkel,$A70&amp;"|"&amp;V$5,TF_Akt,"&lt;&gt;"&amp;INDEX(TF_Akt,MATCH($A70&amp;"|"&amp;V$5,TF_Dom,0)))&gt;0,AND(IF(V$10="",0,MAX(0,ROUND((V$13-SUMIFS(TF_Timer,TF_Nokkel,$A70&amp;"|"&amp;V$5))*2,0)/2))&gt;0,INDEX(TF_Akt,MATCH($A70&amp;"|"&amp;V$5,TF_Dom,0))&lt;&gt;"LMS")),"+",""),"?"))))</f>
        <v/>
      </c>
      <c r="W70" s="13">
        <f>IF(OR($A70="",W$5=""),"",IF(OR(AND(INDEX(TekFra,51)&gt;0,W$5&lt;INDEX(TekFra,51)),AND(INDEX(TekTil,51)&gt;0,W$5&gt;INDEX(TekTil,51))),"",IF(COUNTIFS(TF_Nokkel,$A70&amp;"|"&amp;W$5)=0,IF(W$10&lt;&gt;"","LMS",""),IFERROR(IF(SUMIFS(TF_Timer,TF_Nokkel,$A70&amp;"|"&amp;W$5,TF_Akt,"LMS")+IF(W$10="",0,MAX(0,ROUND((W$13-SUMIFS(TF_Timer,TF_Nokkel,$A70&amp;"|"&amp;W$5))*2,0)/2))&gt;INDEX(TF_AktSum,MATCH($A70&amp;"|"&amp;W$5,TF_Dom,0)),"LMS",INDEX(AktKode,MATCH(INDEX(TF_Akt,MATCH($A70&amp;"|"&amp;W$5,TF_Dom,0)),Aktiviteter,0)))&amp;IF(OR(COUNTIFS(TF_Nokkel,$A70&amp;"|"&amp;W$5,TF_Akt,"&lt;&gt;"&amp;INDEX(TF_Akt,MATCH($A70&amp;"|"&amp;W$5,TF_Dom,0)))&gt;0,AND(IF(W$10="",0,MAX(0,ROUND((W$13-SUMIFS(TF_Timer,TF_Nokkel,$A70&amp;"|"&amp;W$5))*2,0)/2))&gt;0,INDEX(TF_Akt,MATCH($A70&amp;"|"&amp;W$5,TF_Dom,0))&lt;&gt;"LMS")),"+",""),"?"))))</f>
        <v/>
      </c>
      <c r="X70" s="13">
        <f>IF(OR($A70="",X$5=""),"",IF(OR(AND(INDEX(TekFra,51)&gt;0,X$5&lt;INDEX(TekFra,51)),AND(INDEX(TekTil,51)&gt;0,X$5&gt;INDEX(TekTil,51))),"",IF(COUNTIFS(TF_Nokkel,$A70&amp;"|"&amp;X$5)=0,IF(X$10&lt;&gt;"","LMS",""),IFERROR(IF(SUMIFS(TF_Timer,TF_Nokkel,$A70&amp;"|"&amp;X$5,TF_Akt,"LMS")+IF(X$10="",0,MAX(0,ROUND((X$13-SUMIFS(TF_Timer,TF_Nokkel,$A70&amp;"|"&amp;X$5))*2,0)/2))&gt;INDEX(TF_AktSum,MATCH($A70&amp;"|"&amp;X$5,TF_Dom,0)),"LMS",INDEX(AktKode,MATCH(INDEX(TF_Akt,MATCH($A70&amp;"|"&amp;X$5,TF_Dom,0)),Aktiviteter,0)))&amp;IF(OR(COUNTIFS(TF_Nokkel,$A70&amp;"|"&amp;X$5,TF_Akt,"&lt;&gt;"&amp;INDEX(TF_Akt,MATCH($A70&amp;"|"&amp;X$5,TF_Dom,0)))&gt;0,AND(IF(X$10="",0,MAX(0,ROUND((X$13-SUMIFS(TF_Timer,TF_Nokkel,$A70&amp;"|"&amp;X$5))*2,0)/2))&gt;0,INDEX(TF_Akt,MATCH($A70&amp;"|"&amp;X$5,TF_Dom,0))&lt;&gt;"LMS")),"+",""),"?"))))</f>
        <v/>
      </c>
      <c r="Y70" s="13">
        <f>IF(OR($A70="",Y$5=""),"",IF(OR(AND(INDEX(TekFra,51)&gt;0,Y$5&lt;INDEX(TekFra,51)),AND(INDEX(TekTil,51)&gt;0,Y$5&gt;INDEX(TekTil,51))),"",IF(COUNTIFS(TF_Nokkel,$A70&amp;"|"&amp;Y$5)=0,IF(Y$10&lt;&gt;"","LMS",""),IFERROR(IF(SUMIFS(TF_Timer,TF_Nokkel,$A70&amp;"|"&amp;Y$5,TF_Akt,"LMS")+IF(Y$10="",0,MAX(0,ROUND((Y$13-SUMIFS(TF_Timer,TF_Nokkel,$A70&amp;"|"&amp;Y$5))*2,0)/2))&gt;INDEX(TF_AktSum,MATCH($A70&amp;"|"&amp;Y$5,TF_Dom,0)),"LMS",INDEX(AktKode,MATCH(INDEX(TF_Akt,MATCH($A70&amp;"|"&amp;Y$5,TF_Dom,0)),Aktiviteter,0)))&amp;IF(OR(COUNTIFS(TF_Nokkel,$A70&amp;"|"&amp;Y$5,TF_Akt,"&lt;&gt;"&amp;INDEX(TF_Akt,MATCH($A70&amp;"|"&amp;Y$5,TF_Dom,0)))&gt;0,AND(IF(Y$10="",0,MAX(0,ROUND((Y$13-SUMIFS(TF_Timer,TF_Nokkel,$A70&amp;"|"&amp;Y$5))*2,0)/2))&gt;0,INDEX(TF_Akt,MATCH($A70&amp;"|"&amp;Y$5,TF_Dom,0))&lt;&gt;"LMS")),"+",""),"?"))))</f>
        <v/>
      </c>
      <c r="Z70" s="13">
        <f>IF(OR($A70="",Z$5=""),"",IF(OR(AND(INDEX(TekFra,51)&gt;0,Z$5&lt;INDEX(TekFra,51)),AND(INDEX(TekTil,51)&gt;0,Z$5&gt;INDEX(TekTil,51))),"",IF(COUNTIFS(TF_Nokkel,$A70&amp;"|"&amp;Z$5)=0,IF(Z$10&lt;&gt;"","LMS",""),IFERROR(IF(SUMIFS(TF_Timer,TF_Nokkel,$A70&amp;"|"&amp;Z$5,TF_Akt,"LMS")+IF(Z$10="",0,MAX(0,ROUND((Z$13-SUMIFS(TF_Timer,TF_Nokkel,$A70&amp;"|"&amp;Z$5))*2,0)/2))&gt;INDEX(TF_AktSum,MATCH($A70&amp;"|"&amp;Z$5,TF_Dom,0)),"LMS",INDEX(AktKode,MATCH(INDEX(TF_Akt,MATCH($A70&amp;"|"&amp;Z$5,TF_Dom,0)),Aktiviteter,0)))&amp;IF(OR(COUNTIFS(TF_Nokkel,$A70&amp;"|"&amp;Z$5,TF_Akt,"&lt;&gt;"&amp;INDEX(TF_Akt,MATCH($A70&amp;"|"&amp;Z$5,TF_Dom,0)))&gt;0,AND(IF(Z$10="",0,MAX(0,ROUND((Z$13-SUMIFS(TF_Timer,TF_Nokkel,$A70&amp;"|"&amp;Z$5))*2,0)/2))&gt;0,INDEX(TF_Akt,MATCH($A70&amp;"|"&amp;Z$5,TF_Dom,0))&lt;&gt;"LMS")),"+",""),"?"))))</f>
        <v/>
      </c>
      <c r="AA70" s="13">
        <f>IF(OR($A70="",AA$5=""),"",IF(OR(AND(INDEX(TekFra,51)&gt;0,AA$5&lt;INDEX(TekFra,51)),AND(INDEX(TekTil,51)&gt;0,AA$5&gt;INDEX(TekTil,51))),"",IF(COUNTIFS(TF_Nokkel,$A70&amp;"|"&amp;AA$5)=0,IF(AA$10&lt;&gt;"","LMS",""),IFERROR(IF(SUMIFS(TF_Timer,TF_Nokkel,$A70&amp;"|"&amp;AA$5,TF_Akt,"LMS")+IF(AA$10="",0,MAX(0,ROUND((AA$13-SUMIFS(TF_Timer,TF_Nokkel,$A70&amp;"|"&amp;AA$5))*2,0)/2))&gt;INDEX(TF_AktSum,MATCH($A70&amp;"|"&amp;AA$5,TF_Dom,0)),"LMS",INDEX(AktKode,MATCH(INDEX(TF_Akt,MATCH($A70&amp;"|"&amp;AA$5,TF_Dom,0)),Aktiviteter,0)))&amp;IF(OR(COUNTIFS(TF_Nokkel,$A70&amp;"|"&amp;AA$5,TF_Akt,"&lt;&gt;"&amp;INDEX(TF_Akt,MATCH($A70&amp;"|"&amp;AA$5,TF_Dom,0)))&gt;0,AND(IF(AA$10="",0,MAX(0,ROUND((AA$13-SUMIFS(TF_Timer,TF_Nokkel,$A70&amp;"|"&amp;AA$5))*2,0)/2))&gt;0,INDEX(TF_Akt,MATCH($A70&amp;"|"&amp;AA$5,TF_Dom,0))&lt;&gt;"LMS")),"+",""),"?"))))</f>
        <v/>
      </c>
      <c r="AB70" s="13">
        <f>IF(OR($A70="",AB$5=""),"",IF(OR(AND(INDEX(TekFra,51)&gt;0,AB$5&lt;INDEX(TekFra,51)),AND(INDEX(TekTil,51)&gt;0,AB$5&gt;INDEX(TekTil,51))),"",IF(COUNTIFS(TF_Nokkel,$A70&amp;"|"&amp;AB$5)=0,IF(AB$10&lt;&gt;"","LMS",""),IFERROR(IF(SUMIFS(TF_Timer,TF_Nokkel,$A70&amp;"|"&amp;AB$5,TF_Akt,"LMS")+IF(AB$10="",0,MAX(0,ROUND((AB$13-SUMIFS(TF_Timer,TF_Nokkel,$A70&amp;"|"&amp;AB$5))*2,0)/2))&gt;INDEX(TF_AktSum,MATCH($A70&amp;"|"&amp;AB$5,TF_Dom,0)),"LMS",INDEX(AktKode,MATCH(INDEX(TF_Akt,MATCH($A70&amp;"|"&amp;AB$5,TF_Dom,0)),Aktiviteter,0)))&amp;IF(OR(COUNTIFS(TF_Nokkel,$A70&amp;"|"&amp;AB$5,TF_Akt,"&lt;&gt;"&amp;INDEX(TF_Akt,MATCH($A70&amp;"|"&amp;AB$5,TF_Dom,0)))&gt;0,AND(IF(AB$10="",0,MAX(0,ROUND((AB$13-SUMIFS(TF_Timer,TF_Nokkel,$A70&amp;"|"&amp;AB$5))*2,0)/2))&gt;0,INDEX(TF_Akt,MATCH($A70&amp;"|"&amp;AB$5,TF_Dom,0))&lt;&gt;"LMS")),"+",""),"?"))))</f>
        <v/>
      </c>
      <c r="AC70" s="13">
        <f>IF(OR($A70="",AC$5=""),"",IF(OR(AND(INDEX(TekFra,51)&gt;0,AC$5&lt;INDEX(TekFra,51)),AND(INDEX(TekTil,51)&gt;0,AC$5&gt;INDEX(TekTil,51))),"",IF(COUNTIFS(TF_Nokkel,$A70&amp;"|"&amp;AC$5)=0,IF(AC$10&lt;&gt;"","LMS",""),IFERROR(IF(SUMIFS(TF_Timer,TF_Nokkel,$A70&amp;"|"&amp;AC$5,TF_Akt,"LMS")+IF(AC$10="",0,MAX(0,ROUND((AC$13-SUMIFS(TF_Timer,TF_Nokkel,$A70&amp;"|"&amp;AC$5))*2,0)/2))&gt;INDEX(TF_AktSum,MATCH($A70&amp;"|"&amp;AC$5,TF_Dom,0)),"LMS",INDEX(AktKode,MATCH(INDEX(TF_Akt,MATCH($A70&amp;"|"&amp;AC$5,TF_Dom,0)),Aktiviteter,0)))&amp;IF(OR(COUNTIFS(TF_Nokkel,$A70&amp;"|"&amp;AC$5,TF_Akt,"&lt;&gt;"&amp;INDEX(TF_Akt,MATCH($A70&amp;"|"&amp;AC$5,TF_Dom,0)))&gt;0,AND(IF(AC$10="",0,MAX(0,ROUND((AC$13-SUMIFS(TF_Timer,TF_Nokkel,$A70&amp;"|"&amp;AC$5))*2,0)/2))&gt;0,INDEX(TF_Akt,MATCH($A70&amp;"|"&amp;AC$5,TF_Dom,0))&lt;&gt;"LMS")),"+",""),"?"))))</f>
        <v/>
      </c>
      <c r="AD70" s="13">
        <f>IF(OR($A70="",AD$5=""),"",IF(OR(AND(INDEX(TekFra,51)&gt;0,AD$5&lt;INDEX(TekFra,51)),AND(INDEX(TekTil,51)&gt;0,AD$5&gt;INDEX(TekTil,51))),"",IF(COUNTIFS(TF_Nokkel,$A70&amp;"|"&amp;AD$5)=0,IF(AD$10&lt;&gt;"","LMS",""),IFERROR(IF(SUMIFS(TF_Timer,TF_Nokkel,$A70&amp;"|"&amp;AD$5,TF_Akt,"LMS")+IF(AD$10="",0,MAX(0,ROUND((AD$13-SUMIFS(TF_Timer,TF_Nokkel,$A70&amp;"|"&amp;AD$5))*2,0)/2))&gt;INDEX(TF_AktSum,MATCH($A70&amp;"|"&amp;AD$5,TF_Dom,0)),"LMS",INDEX(AktKode,MATCH(INDEX(TF_Akt,MATCH($A70&amp;"|"&amp;AD$5,TF_Dom,0)),Aktiviteter,0)))&amp;IF(OR(COUNTIFS(TF_Nokkel,$A70&amp;"|"&amp;AD$5,TF_Akt,"&lt;&gt;"&amp;INDEX(TF_Akt,MATCH($A70&amp;"|"&amp;AD$5,TF_Dom,0)))&gt;0,AND(IF(AD$10="",0,MAX(0,ROUND((AD$13-SUMIFS(TF_Timer,TF_Nokkel,$A70&amp;"|"&amp;AD$5))*2,0)/2))&gt;0,INDEX(TF_Akt,MATCH($A70&amp;"|"&amp;AD$5,TF_Dom,0))&lt;&gt;"LMS")),"+",""),"?"))))</f>
        <v/>
      </c>
      <c r="AE70" s="13">
        <f>IF(OR($A70="",AE$5=""),"",IF(OR(AND(INDEX(TekFra,51)&gt;0,AE$5&lt;INDEX(TekFra,51)),AND(INDEX(TekTil,51)&gt;0,AE$5&gt;INDEX(TekTil,51))),"",IF(COUNTIFS(TF_Nokkel,$A70&amp;"|"&amp;AE$5)=0,IF(AE$10&lt;&gt;"","LMS",""),IFERROR(IF(SUMIFS(TF_Timer,TF_Nokkel,$A70&amp;"|"&amp;AE$5,TF_Akt,"LMS")+IF(AE$10="",0,MAX(0,ROUND((AE$13-SUMIFS(TF_Timer,TF_Nokkel,$A70&amp;"|"&amp;AE$5))*2,0)/2))&gt;INDEX(TF_AktSum,MATCH($A70&amp;"|"&amp;AE$5,TF_Dom,0)),"LMS",INDEX(AktKode,MATCH(INDEX(TF_Akt,MATCH($A70&amp;"|"&amp;AE$5,TF_Dom,0)),Aktiviteter,0)))&amp;IF(OR(COUNTIFS(TF_Nokkel,$A70&amp;"|"&amp;AE$5,TF_Akt,"&lt;&gt;"&amp;INDEX(TF_Akt,MATCH($A70&amp;"|"&amp;AE$5,TF_Dom,0)))&gt;0,AND(IF(AE$10="",0,MAX(0,ROUND((AE$13-SUMIFS(TF_Timer,TF_Nokkel,$A70&amp;"|"&amp;AE$5))*2,0)/2))&gt;0,INDEX(TF_Akt,MATCH($A70&amp;"|"&amp;AE$5,TF_Dom,0))&lt;&gt;"LMS")),"+",""),"?"))))</f>
        <v/>
      </c>
      <c r="AF70" s="13">
        <f>IF(OR($A70="",AF$5=""),"",IF(OR(AND(INDEX(TekFra,51)&gt;0,AF$5&lt;INDEX(TekFra,51)),AND(INDEX(TekTil,51)&gt;0,AF$5&gt;INDEX(TekTil,51))),"",IF(COUNTIFS(TF_Nokkel,$A70&amp;"|"&amp;AF$5)=0,IF(AF$10&lt;&gt;"","LMS",""),IFERROR(IF(SUMIFS(TF_Timer,TF_Nokkel,$A70&amp;"|"&amp;AF$5,TF_Akt,"LMS")+IF(AF$10="",0,MAX(0,ROUND((AF$13-SUMIFS(TF_Timer,TF_Nokkel,$A70&amp;"|"&amp;AF$5))*2,0)/2))&gt;INDEX(TF_AktSum,MATCH($A70&amp;"|"&amp;AF$5,TF_Dom,0)),"LMS",INDEX(AktKode,MATCH(INDEX(TF_Akt,MATCH($A70&amp;"|"&amp;AF$5,TF_Dom,0)),Aktiviteter,0)))&amp;IF(OR(COUNTIFS(TF_Nokkel,$A70&amp;"|"&amp;AF$5,TF_Akt,"&lt;&gt;"&amp;INDEX(TF_Akt,MATCH($A70&amp;"|"&amp;AF$5,TF_Dom,0)))&gt;0,AND(IF(AF$10="",0,MAX(0,ROUND((AF$13-SUMIFS(TF_Timer,TF_Nokkel,$A70&amp;"|"&amp;AF$5))*2,0)/2))&gt;0,INDEX(TF_Akt,MATCH($A70&amp;"|"&amp;AF$5,TF_Dom,0))&lt;&gt;"LMS")),"+",""),"?"))))</f>
        <v/>
      </c>
      <c r="AG70" s="13">
        <f>IF(OR($A70="",AG$5=""),"",IF(OR(AND(INDEX(TekFra,51)&gt;0,AG$5&lt;INDEX(TekFra,51)),AND(INDEX(TekTil,51)&gt;0,AG$5&gt;INDEX(TekTil,51))),"",IF(COUNTIFS(TF_Nokkel,$A70&amp;"|"&amp;AG$5)=0,IF(AG$10&lt;&gt;"","LMS",""),IFERROR(IF(SUMIFS(TF_Timer,TF_Nokkel,$A70&amp;"|"&amp;AG$5,TF_Akt,"LMS")+IF(AG$10="",0,MAX(0,ROUND((AG$13-SUMIFS(TF_Timer,TF_Nokkel,$A70&amp;"|"&amp;AG$5))*2,0)/2))&gt;INDEX(TF_AktSum,MATCH($A70&amp;"|"&amp;AG$5,TF_Dom,0)),"LMS",INDEX(AktKode,MATCH(INDEX(TF_Akt,MATCH($A70&amp;"|"&amp;AG$5,TF_Dom,0)),Aktiviteter,0)))&amp;IF(OR(COUNTIFS(TF_Nokkel,$A70&amp;"|"&amp;AG$5,TF_Akt,"&lt;&gt;"&amp;INDEX(TF_Akt,MATCH($A70&amp;"|"&amp;AG$5,TF_Dom,0)))&gt;0,AND(IF(AG$10="",0,MAX(0,ROUND((AG$13-SUMIFS(TF_Timer,TF_Nokkel,$A70&amp;"|"&amp;AG$5))*2,0)/2))&gt;0,INDEX(TF_Akt,MATCH($A70&amp;"|"&amp;AG$5,TF_Dom,0))&lt;&gt;"LMS")),"+",""),"?"))))</f>
        <v/>
      </c>
      <c r="AH70" s="2" t="n"/>
      <c r="AI70" s="2" t="n"/>
      <c r="AJ70" s="2" t="n"/>
    </row>
    <row r="71">
      <c r="A71" s="2">
        <f>INDEX(Teknikere,52)&amp;""</f>
        <v/>
      </c>
      <c r="B71" s="12">
        <f>IF(INDEX(TekFra,52)&gt;0,"ekstra","")</f>
        <v/>
      </c>
      <c r="C71" s="13">
        <f>IF(OR($A71="",C$5=""),"",IF(OR(AND(INDEX(TekFra,52)&gt;0,C$5&lt;INDEX(TekFra,52)),AND(INDEX(TekTil,52)&gt;0,C$5&gt;INDEX(TekTil,52))),"",IF(COUNTIFS(TF_Nokkel,$A71&amp;"|"&amp;C$5)=0,IF(C$10&lt;&gt;"","LMS",""),IFERROR(IF(SUMIFS(TF_Timer,TF_Nokkel,$A71&amp;"|"&amp;C$5,TF_Akt,"LMS")+IF(C$10="",0,MAX(0,ROUND((C$13-SUMIFS(TF_Timer,TF_Nokkel,$A71&amp;"|"&amp;C$5))*2,0)/2))&gt;INDEX(TF_AktSum,MATCH($A71&amp;"|"&amp;C$5,TF_Dom,0)),"LMS",INDEX(AktKode,MATCH(INDEX(TF_Akt,MATCH($A71&amp;"|"&amp;C$5,TF_Dom,0)),Aktiviteter,0)))&amp;IF(OR(COUNTIFS(TF_Nokkel,$A71&amp;"|"&amp;C$5,TF_Akt,"&lt;&gt;"&amp;INDEX(TF_Akt,MATCH($A71&amp;"|"&amp;C$5,TF_Dom,0)))&gt;0,AND(IF(C$10="",0,MAX(0,ROUND((C$13-SUMIFS(TF_Timer,TF_Nokkel,$A71&amp;"|"&amp;C$5))*2,0)/2))&gt;0,INDEX(TF_Akt,MATCH($A71&amp;"|"&amp;C$5,TF_Dom,0))&lt;&gt;"LMS")),"+",""),"?"))))</f>
        <v/>
      </c>
      <c r="D71" s="13">
        <f>IF(OR($A71="",D$5=""),"",IF(OR(AND(INDEX(TekFra,52)&gt;0,D$5&lt;INDEX(TekFra,52)),AND(INDEX(TekTil,52)&gt;0,D$5&gt;INDEX(TekTil,52))),"",IF(COUNTIFS(TF_Nokkel,$A71&amp;"|"&amp;D$5)=0,IF(D$10&lt;&gt;"","LMS",""),IFERROR(IF(SUMIFS(TF_Timer,TF_Nokkel,$A71&amp;"|"&amp;D$5,TF_Akt,"LMS")+IF(D$10="",0,MAX(0,ROUND((D$13-SUMIFS(TF_Timer,TF_Nokkel,$A71&amp;"|"&amp;D$5))*2,0)/2))&gt;INDEX(TF_AktSum,MATCH($A71&amp;"|"&amp;D$5,TF_Dom,0)),"LMS",INDEX(AktKode,MATCH(INDEX(TF_Akt,MATCH($A71&amp;"|"&amp;D$5,TF_Dom,0)),Aktiviteter,0)))&amp;IF(OR(COUNTIFS(TF_Nokkel,$A71&amp;"|"&amp;D$5,TF_Akt,"&lt;&gt;"&amp;INDEX(TF_Akt,MATCH($A71&amp;"|"&amp;D$5,TF_Dom,0)))&gt;0,AND(IF(D$10="",0,MAX(0,ROUND((D$13-SUMIFS(TF_Timer,TF_Nokkel,$A71&amp;"|"&amp;D$5))*2,0)/2))&gt;0,INDEX(TF_Akt,MATCH($A71&amp;"|"&amp;D$5,TF_Dom,0))&lt;&gt;"LMS")),"+",""),"?"))))</f>
        <v/>
      </c>
      <c r="E71" s="13">
        <f>IF(OR($A71="",E$5=""),"",IF(OR(AND(INDEX(TekFra,52)&gt;0,E$5&lt;INDEX(TekFra,52)),AND(INDEX(TekTil,52)&gt;0,E$5&gt;INDEX(TekTil,52))),"",IF(COUNTIFS(TF_Nokkel,$A71&amp;"|"&amp;E$5)=0,IF(E$10&lt;&gt;"","LMS",""),IFERROR(IF(SUMIFS(TF_Timer,TF_Nokkel,$A71&amp;"|"&amp;E$5,TF_Akt,"LMS")+IF(E$10="",0,MAX(0,ROUND((E$13-SUMIFS(TF_Timer,TF_Nokkel,$A71&amp;"|"&amp;E$5))*2,0)/2))&gt;INDEX(TF_AktSum,MATCH($A71&amp;"|"&amp;E$5,TF_Dom,0)),"LMS",INDEX(AktKode,MATCH(INDEX(TF_Akt,MATCH($A71&amp;"|"&amp;E$5,TF_Dom,0)),Aktiviteter,0)))&amp;IF(OR(COUNTIFS(TF_Nokkel,$A71&amp;"|"&amp;E$5,TF_Akt,"&lt;&gt;"&amp;INDEX(TF_Akt,MATCH($A71&amp;"|"&amp;E$5,TF_Dom,0)))&gt;0,AND(IF(E$10="",0,MAX(0,ROUND((E$13-SUMIFS(TF_Timer,TF_Nokkel,$A71&amp;"|"&amp;E$5))*2,0)/2))&gt;0,INDEX(TF_Akt,MATCH($A71&amp;"|"&amp;E$5,TF_Dom,0))&lt;&gt;"LMS")),"+",""),"?"))))</f>
        <v/>
      </c>
      <c r="F71" s="13">
        <f>IF(OR($A71="",F$5=""),"",IF(OR(AND(INDEX(TekFra,52)&gt;0,F$5&lt;INDEX(TekFra,52)),AND(INDEX(TekTil,52)&gt;0,F$5&gt;INDEX(TekTil,52))),"",IF(COUNTIFS(TF_Nokkel,$A71&amp;"|"&amp;F$5)=0,IF(F$10&lt;&gt;"","LMS",""),IFERROR(IF(SUMIFS(TF_Timer,TF_Nokkel,$A71&amp;"|"&amp;F$5,TF_Akt,"LMS")+IF(F$10="",0,MAX(0,ROUND((F$13-SUMIFS(TF_Timer,TF_Nokkel,$A71&amp;"|"&amp;F$5))*2,0)/2))&gt;INDEX(TF_AktSum,MATCH($A71&amp;"|"&amp;F$5,TF_Dom,0)),"LMS",INDEX(AktKode,MATCH(INDEX(TF_Akt,MATCH($A71&amp;"|"&amp;F$5,TF_Dom,0)),Aktiviteter,0)))&amp;IF(OR(COUNTIFS(TF_Nokkel,$A71&amp;"|"&amp;F$5,TF_Akt,"&lt;&gt;"&amp;INDEX(TF_Akt,MATCH($A71&amp;"|"&amp;F$5,TF_Dom,0)))&gt;0,AND(IF(F$10="",0,MAX(0,ROUND((F$13-SUMIFS(TF_Timer,TF_Nokkel,$A71&amp;"|"&amp;F$5))*2,0)/2))&gt;0,INDEX(TF_Akt,MATCH($A71&amp;"|"&amp;F$5,TF_Dom,0))&lt;&gt;"LMS")),"+",""),"?"))))</f>
        <v/>
      </c>
      <c r="G71" s="13">
        <f>IF(OR($A71="",G$5=""),"",IF(OR(AND(INDEX(TekFra,52)&gt;0,G$5&lt;INDEX(TekFra,52)),AND(INDEX(TekTil,52)&gt;0,G$5&gt;INDEX(TekTil,52))),"",IF(COUNTIFS(TF_Nokkel,$A71&amp;"|"&amp;G$5)=0,IF(G$10&lt;&gt;"","LMS",""),IFERROR(IF(SUMIFS(TF_Timer,TF_Nokkel,$A71&amp;"|"&amp;G$5,TF_Akt,"LMS")+IF(G$10="",0,MAX(0,ROUND((G$13-SUMIFS(TF_Timer,TF_Nokkel,$A71&amp;"|"&amp;G$5))*2,0)/2))&gt;INDEX(TF_AktSum,MATCH($A71&amp;"|"&amp;G$5,TF_Dom,0)),"LMS",INDEX(AktKode,MATCH(INDEX(TF_Akt,MATCH($A71&amp;"|"&amp;G$5,TF_Dom,0)),Aktiviteter,0)))&amp;IF(OR(COUNTIFS(TF_Nokkel,$A71&amp;"|"&amp;G$5,TF_Akt,"&lt;&gt;"&amp;INDEX(TF_Akt,MATCH($A71&amp;"|"&amp;G$5,TF_Dom,0)))&gt;0,AND(IF(G$10="",0,MAX(0,ROUND((G$13-SUMIFS(TF_Timer,TF_Nokkel,$A71&amp;"|"&amp;G$5))*2,0)/2))&gt;0,INDEX(TF_Akt,MATCH($A71&amp;"|"&amp;G$5,TF_Dom,0))&lt;&gt;"LMS")),"+",""),"?"))))</f>
        <v/>
      </c>
      <c r="H71" s="13">
        <f>IF(OR($A71="",H$5=""),"",IF(OR(AND(INDEX(TekFra,52)&gt;0,H$5&lt;INDEX(TekFra,52)),AND(INDEX(TekTil,52)&gt;0,H$5&gt;INDEX(TekTil,52))),"",IF(COUNTIFS(TF_Nokkel,$A71&amp;"|"&amp;H$5)=0,IF(H$10&lt;&gt;"","LMS",""),IFERROR(IF(SUMIFS(TF_Timer,TF_Nokkel,$A71&amp;"|"&amp;H$5,TF_Akt,"LMS")+IF(H$10="",0,MAX(0,ROUND((H$13-SUMIFS(TF_Timer,TF_Nokkel,$A71&amp;"|"&amp;H$5))*2,0)/2))&gt;INDEX(TF_AktSum,MATCH($A71&amp;"|"&amp;H$5,TF_Dom,0)),"LMS",INDEX(AktKode,MATCH(INDEX(TF_Akt,MATCH($A71&amp;"|"&amp;H$5,TF_Dom,0)),Aktiviteter,0)))&amp;IF(OR(COUNTIFS(TF_Nokkel,$A71&amp;"|"&amp;H$5,TF_Akt,"&lt;&gt;"&amp;INDEX(TF_Akt,MATCH($A71&amp;"|"&amp;H$5,TF_Dom,0)))&gt;0,AND(IF(H$10="",0,MAX(0,ROUND((H$13-SUMIFS(TF_Timer,TF_Nokkel,$A71&amp;"|"&amp;H$5))*2,0)/2))&gt;0,INDEX(TF_Akt,MATCH($A71&amp;"|"&amp;H$5,TF_Dom,0))&lt;&gt;"LMS")),"+",""),"?"))))</f>
        <v/>
      </c>
      <c r="I71" s="13">
        <f>IF(OR($A71="",I$5=""),"",IF(OR(AND(INDEX(TekFra,52)&gt;0,I$5&lt;INDEX(TekFra,52)),AND(INDEX(TekTil,52)&gt;0,I$5&gt;INDEX(TekTil,52))),"",IF(COUNTIFS(TF_Nokkel,$A71&amp;"|"&amp;I$5)=0,IF(I$10&lt;&gt;"","LMS",""),IFERROR(IF(SUMIFS(TF_Timer,TF_Nokkel,$A71&amp;"|"&amp;I$5,TF_Akt,"LMS")+IF(I$10="",0,MAX(0,ROUND((I$13-SUMIFS(TF_Timer,TF_Nokkel,$A71&amp;"|"&amp;I$5))*2,0)/2))&gt;INDEX(TF_AktSum,MATCH($A71&amp;"|"&amp;I$5,TF_Dom,0)),"LMS",INDEX(AktKode,MATCH(INDEX(TF_Akt,MATCH($A71&amp;"|"&amp;I$5,TF_Dom,0)),Aktiviteter,0)))&amp;IF(OR(COUNTIFS(TF_Nokkel,$A71&amp;"|"&amp;I$5,TF_Akt,"&lt;&gt;"&amp;INDEX(TF_Akt,MATCH($A71&amp;"|"&amp;I$5,TF_Dom,0)))&gt;0,AND(IF(I$10="",0,MAX(0,ROUND((I$13-SUMIFS(TF_Timer,TF_Nokkel,$A71&amp;"|"&amp;I$5))*2,0)/2))&gt;0,INDEX(TF_Akt,MATCH($A71&amp;"|"&amp;I$5,TF_Dom,0))&lt;&gt;"LMS")),"+",""),"?"))))</f>
        <v/>
      </c>
      <c r="J71" s="13">
        <f>IF(OR($A71="",J$5=""),"",IF(OR(AND(INDEX(TekFra,52)&gt;0,J$5&lt;INDEX(TekFra,52)),AND(INDEX(TekTil,52)&gt;0,J$5&gt;INDEX(TekTil,52))),"",IF(COUNTIFS(TF_Nokkel,$A71&amp;"|"&amp;J$5)=0,IF(J$10&lt;&gt;"","LMS",""),IFERROR(IF(SUMIFS(TF_Timer,TF_Nokkel,$A71&amp;"|"&amp;J$5,TF_Akt,"LMS")+IF(J$10="",0,MAX(0,ROUND((J$13-SUMIFS(TF_Timer,TF_Nokkel,$A71&amp;"|"&amp;J$5))*2,0)/2))&gt;INDEX(TF_AktSum,MATCH($A71&amp;"|"&amp;J$5,TF_Dom,0)),"LMS",INDEX(AktKode,MATCH(INDEX(TF_Akt,MATCH($A71&amp;"|"&amp;J$5,TF_Dom,0)),Aktiviteter,0)))&amp;IF(OR(COUNTIFS(TF_Nokkel,$A71&amp;"|"&amp;J$5,TF_Akt,"&lt;&gt;"&amp;INDEX(TF_Akt,MATCH($A71&amp;"|"&amp;J$5,TF_Dom,0)))&gt;0,AND(IF(J$10="",0,MAX(0,ROUND((J$13-SUMIFS(TF_Timer,TF_Nokkel,$A71&amp;"|"&amp;J$5))*2,0)/2))&gt;0,INDEX(TF_Akt,MATCH($A71&amp;"|"&amp;J$5,TF_Dom,0))&lt;&gt;"LMS")),"+",""),"?"))))</f>
        <v/>
      </c>
      <c r="K71" s="13">
        <f>IF(OR($A71="",K$5=""),"",IF(OR(AND(INDEX(TekFra,52)&gt;0,K$5&lt;INDEX(TekFra,52)),AND(INDEX(TekTil,52)&gt;0,K$5&gt;INDEX(TekTil,52))),"",IF(COUNTIFS(TF_Nokkel,$A71&amp;"|"&amp;K$5)=0,IF(K$10&lt;&gt;"","LMS",""),IFERROR(IF(SUMIFS(TF_Timer,TF_Nokkel,$A71&amp;"|"&amp;K$5,TF_Akt,"LMS")+IF(K$10="",0,MAX(0,ROUND((K$13-SUMIFS(TF_Timer,TF_Nokkel,$A71&amp;"|"&amp;K$5))*2,0)/2))&gt;INDEX(TF_AktSum,MATCH($A71&amp;"|"&amp;K$5,TF_Dom,0)),"LMS",INDEX(AktKode,MATCH(INDEX(TF_Akt,MATCH($A71&amp;"|"&amp;K$5,TF_Dom,0)),Aktiviteter,0)))&amp;IF(OR(COUNTIFS(TF_Nokkel,$A71&amp;"|"&amp;K$5,TF_Akt,"&lt;&gt;"&amp;INDEX(TF_Akt,MATCH($A71&amp;"|"&amp;K$5,TF_Dom,0)))&gt;0,AND(IF(K$10="",0,MAX(0,ROUND((K$13-SUMIFS(TF_Timer,TF_Nokkel,$A71&amp;"|"&amp;K$5))*2,0)/2))&gt;0,INDEX(TF_Akt,MATCH($A71&amp;"|"&amp;K$5,TF_Dom,0))&lt;&gt;"LMS")),"+",""),"?"))))</f>
        <v/>
      </c>
      <c r="L71" s="13">
        <f>IF(OR($A71="",L$5=""),"",IF(OR(AND(INDEX(TekFra,52)&gt;0,L$5&lt;INDEX(TekFra,52)),AND(INDEX(TekTil,52)&gt;0,L$5&gt;INDEX(TekTil,52))),"",IF(COUNTIFS(TF_Nokkel,$A71&amp;"|"&amp;L$5)=0,IF(L$10&lt;&gt;"","LMS",""),IFERROR(IF(SUMIFS(TF_Timer,TF_Nokkel,$A71&amp;"|"&amp;L$5,TF_Akt,"LMS")+IF(L$10="",0,MAX(0,ROUND((L$13-SUMIFS(TF_Timer,TF_Nokkel,$A71&amp;"|"&amp;L$5))*2,0)/2))&gt;INDEX(TF_AktSum,MATCH($A71&amp;"|"&amp;L$5,TF_Dom,0)),"LMS",INDEX(AktKode,MATCH(INDEX(TF_Akt,MATCH($A71&amp;"|"&amp;L$5,TF_Dom,0)),Aktiviteter,0)))&amp;IF(OR(COUNTIFS(TF_Nokkel,$A71&amp;"|"&amp;L$5,TF_Akt,"&lt;&gt;"&amp;INDEX(TF_Akt,MATCH($A71&amp;"|"&amp;L$5,TF_Dom,0)))&gt;0,AND(IF(L$10="",0,MAX(0,ROUND((L$13-SUMIFS(TF_Timer,TF_Nokkel,$A71&amp;"|"&amp;L$5))*2,0)/2))&gt;0,INDEX(TF_Akt,MATCH($A71&amp;"|"&amp;L$5,TF_Dom,0))&lt;&gt;"LMS")),"+",""),"?"))))</f>
        <v/>
      </c>
      <c r="M71" s="13">
        <f>IF(OR($A71="",M$5=""),"",IF(OR(AND(INDEX(TekFra,52)&gt;0,M$5&lt;INDEX(TekFra,52)),AND(INDEX(TekTil,52)&gt;0,M$5&gt;INDEX(TekTil,52))),"",IF(COUNTIFS(TF_Nokkel,$A71&amp;"|"&amp;M$5)=0,IF(M$10&lt;&gt;"","LMS",""),IFERROR(IF(SUMIFS(TF_Timer,TF_Nokkel,$A71&amp;"|"&amp;M$5,TF_Akt,"LMS")+IF(M$10="",0,MAX(0,ROUND((M$13-SUMIFS(TF_Timer,TF_Nokkel,$A71&amp;"|"&amp;M$5))*2,0)/2))&gt;INDEX(TF_AktSum,MATCH($A71&amp;"|"&amp;M$5,TF_Dom,0)),"LMS",INDEX(AktKode,MATCH(INDEX(TF_Akt,MATCH($A71&amp;"|"&amp;M$5,TF_Dom,0)),Aktiviteter,0)))&amp;IF(OR(COUNTIFS(TF_Nokkel,$A71&amp;"|"&amp;M$5,TF_Akt,"&lt;&gt;"&amp;INDEX(TF_Akt,MATCH($A71&amp;"|"&amp;M$5,TF_Dom,0)))&gt;0,AND(IF(M$10="",0,MAX(0,ROUND((M$13-SUMIFS(TF_Timer,TF_Nokkel,$A71&amp;"|"&amp;M$5))*2,0)/2))&gt;0,INDEX(TF_Akt,MATCH($A71&amp;"|"&amp;M$5,TF_Dom,0))&lt;&gt;"LMS")),"+",""),"?"))))</f>
        <v/>
      </c>
      <c r="N71" s="13">
        <f>IF(OR($A71="",N$5=""),"",IF(OR(AND(INDEX(TekFra,52)&gt;0,N$5&lt;INDEX(TekFra,52)),AND(INDEX(TekTil,52)&gt;0,N$5&gt;INDEX(TekTil,52))),"",IF(COUNTIFS(TF_Nokkel,$A71&amp;"|"&amp;N$5)=0,IF(N$10&lt;&gt;"","LMS",""),IFERROR(IF(SUMIFS(TF_Timer,TF_Nokkel,$A71&amp;"|"&amp;N$5,TF_Akt,"LMS")+IF(N$10="",0,MAX(0,ROUND((N$13-SUMIFS(TF_Timer,TF_Nokkel,$A71&amp;"|"&amp;N$5))*2,0)/2))&gt;INDEX(TF_AktSum,MATCH($A71&amp;"|"&amp;N$5,TF_Dom,0)),"LMS",INDEX(AktKode,MATCH(INDEX(TF_Akt,MATCH($A71&amp;"|"&amp;N$5,TF_Dom,0)),Aktiviteter,0)))&amp;IF(OR(COUNTIFS(TF_Nokkel,$A71&amp;"|"&amp;N$5,TF_Akt,"&lt;&gt;"&amp;INDEX(TF_Akt,MATCH($A71&amp;"|"&amp;N$5,TF_Dom,0)))&gt;0,AND(IF(N$10="",0,MAX(0,ROUND((N$13-SUMIFS(TF_Timer,TF_Nokkel,$A71&amp;"|"&amp;N$5))*2,0)/2))&gt;0,INDEX(TF_Akt,MATCH($A71&amp;"|"&amp;N$5,TF_Dom,0))&lt;&gt;"LMS")),"+",""),"?"))))</f>
        <v/>
      </c>
      <c r="O71" s="13">
        <f>IF(OR($A71="",O$5=""),"",IF(OR(AND(INDEX(TekFra,52)&gt;0,O$5&lt;INDEX(TekFra,52)),AND(INDEX(TekTil,52)&gt;0,O$5&gt;INDEX(TekTil,52))),"",IF(COUNTIFS(TF_Nokkel,$A71&amp;"|"&amp;O$5)=0,IF(O$10&lt;&gt;"","LMS",""),IFERROR(IF(SUMIFS(TF_Timer,TF_Nokkel,$A71&amp;"|"&amp;O$5,TF_Akt,"LMS")+IF(O$10="",0,MAX(0,ROUND((O$13-SUMIFS(TF_Timer,TF_Nokkel,$A71&amp;"|"&amp;O$5))*2,0)/2))&gt;INDEX(TF_AktSum,MATCH($A71&amp;"|"&amp;O$5,TF_Dom,0)),"LMS",INDEX(AktKode,MATCH(INDEX(TF_Akt,MATCH($A71&amp;"|"&amp;O$5,TF_Dom,0)),Aktiviteter,0)))&amp;IF(OR(COUNTIFS(TF_Nokkel,$A71&amp;"|"&amp;O$5,TF_Akt,"&lt;&gt;"&amp;INDEX(TF_Akt,MATCH($A71&amp;"|"&amp;O$5,TF_Dom,0)))&gt;0,AND(IF(O$10="",0,MAX(0,ROUND((O$13-SUMIFS(TF_Timer,TF_Nokkel,$A71&amp;"|"&amp;O$5))*2,0)/2))&gt;0,INDEX(TF_Akt,MATCH($A71&amp;"|"&amp;O$5,TF_Dom,0))&lt;&gt;"LMS")),"+",""),"?"))))</f>
        <v/>
      </c>
      <c r="P71" s="13">
        <f>IF(OR($A71="",P$5=""),"",IF(OR(AND(INDEX(TekFra,52)&gt;0,P$5&lt;INDEX(TekFra,52)),AND(INDEX(TekTil,52)&gt;0,P$5&gt;INDEX(TekTil,52))),"",IF(COUNTIFS(TF_Nokkel,$A71&amp;"|"&amp;P$5)=0,IF(P$10&lt;&gt;"","LMS",""),IFERROR(IF(SUMIFS(TF_Timer,TF_Nokkel,$A71&amp;"|"&amp;P$5,TF_Akt,"LMS")+IF(P$10="",0,MAX(0,ROUND((P$13-SUMIFS(TF_Timer,TF_Nokkel,$A71&amp;"|"&amp;P$5))*2,0)/2))&gt;INDEX(TF_AktSum,MATCH($A71&amp;"|"&amp;P$5,TF_Dom,0)),"LMS",INDEX(AktKode,MATCH(INDEX(TF_Akt,MATCH($A71&amp;"|"&amp;P$5,TF_Dom,0)),Aktiviteter,0)))&amp;IF(OR(COUNTIFS(TF_Nokkel,$A71&amp;"|"&amp;P$5,TF_Akt,"&lt;&gt;"&amp;INDEX(TF_Akt,MATCH($A71&amp;"|"&amp;P$5,TF_Dom,0)))&gt;0,AND(IF(P$10="",0,MAX(0,ROUND((P$13-SUMIFS(TF_Timer,TF_Nokkel,$A71&amp;"|"&amp;P$5))*2,0)/2))&gt;0,INDEX(TF_Akt,MATCH($A71&amp;"|"&amp;P$5,TF_Dom,0))&lt;&gt;"LMS")),"+",""),"?"))))</f>
        <v/>
      </c>
      <c r="Q71" s="13">
        <f>IF(OR($A71="",Q$5=""),"",IF(OR(AND(INDEX(TekFra,52)&gt;0,Q$5&lt;INDEX(TekFra,52)),AND(INDEX(TekTil,52)&gt;0,Q$5&gt;INDEX(TekTil,52))),"",IF(COUNTIFS(TF_Nokkel,$A71&amp;"|"&amp;Q$5)=0,IF(Q$10&lt;&gt;"","LMS",""),IFERROR(IF(SUMIFS(TF_Timer,TF_Nokkel,$A71&amp;"|"&amp;Q$5,TF_Akt,"LMS")+IF(Q$10="",0,MAX(0,ROUND((Q$13-SUMIFS(TF_Timer,TF_Nokkel,$A71&amp;"|"&amp;Q$5))*2,0)/2))&gt;INDEX(TF_AktSum,MATCH($A71&amp;"|"&amp;Q$5,TF_Dom,0)),"LMS",INDEX(AktKode,MATCH(INDEX(TF_Akt,MATCH($A71&amp;"|"&amp;Q$5,TF_Dom,0)),Aktiviteter,0)))&amp;IF(OR(COUNTIFS(TF_Nokkel,$A71&amp;"|"&amp;Q$5,TF_Akt,"&lt;&gt;"&amp;INDEX(TF_Akt,MATCH($A71&amp;"|"&amp;Q$5,TF_Dom,0)))&gt;0,AND(IF(Q$10="",0,MAX(0,ROUND((Q$13-SUMIFS(TF_Timer,TF_Nokkel,$A71&amp;"|"&amp;Q$5))*2,0)/2))&gt;0,INDEX(TF_Akt,MATCH($A71&amp;"|"&amp;Q$5,TF_Dom,0))&lt;&gt;"LMS")),"+",""),"?"))))</f>
        <v/>
      </c>
      <c r="R71" s="13">
        <f>IF(OR($A71="",R$5=""),"",IF(OR(AND(INDEX(TekFra,52)&gt;0,R$5&lt;INDEX(TekFra,52)),AND(INDEX(TekTil,52)&gt;0,R$5&gt;INDEX(TekTil,52))),"",IF(COUNTIFS(TF_Nokkel,$A71&amp;"|"&amp;R$5)=0,IF(R$10&lt;&gt;"","LMS",""),IFERROR(IF(SUMIFS(TF_Timer,TF_Nokkel,$A71&amp;"|"&amp;R$5,TF_Akt,"LMS")+IF(R$10="",0,MAX(0,ROUND((R$13-SUMIFS(TF_Timer,TF_Nokkel,$A71&amp;"|"&amp;R$5))*2,0)/2))&gt;INDEX(TF_AktSum,MATCH($A71&amp;"|"&amp;R$5,TF_Dom,0)),"LMS",INDEX(AktKode,MATCH(INDEX(TF_Akt,MATCH($A71&amp;"|"&amp;R$5,TF_Dom,0)),Aktiviteter,0)))&amp;IF(OR(COUNTIFS(TF_Nokkel,$A71&amp;"|"&amp;R$5,TF_Akt,"&lt;&gt;"&amp;INDEX(TF_Akt,MATCH($A71&amp;"|"&amp;R$5,TF_Dom,0)))&gt;0,AND(IF(R$10="",0,MAX(0,ROUND((R$13-SUMIFS(TF_Timer,TF_Nokkel,$A71&amp;"|"&amp;R$5))*2,0)/2))&gt;0,INDEX(TF_Akt,MATCH($A71&amp;"|"&amp;R$5,TF_Dom,0))&lt;&gt;"LMS")),"+",""),"?"))))</f>
        <v/>
      </c>
      <c r="S71" s="13">
        <f>IF(OR($A71="",S$5=""),"",IF(OR(AND(INDEX(TekFra,52)&gt;0,S$5&lt;INDEX(TekFra,52)),AND(INDEX(TekTil,52)&gt;0,S$5&gt;INDEX(TekTil,52))),"",IF(COUNTIFS(TF_Nokkel,$A71&amp;"|"&amp;S$5)=0,IF(S$10&lt;&gt;"","LMS",""),IFERROR(IF(SUMIFS(TF_Timer,TF_Nokkel,$A71&amp;"|"&amp;S$5,TF_Akt,"LMS")+IF(S$10="",0,MAX(0,ROUND((S$13-SUMIFS(TF_Timer,TF_Nokkel,$A71&amp;"|"&amp;S$5))*2,0)/2))&gt;INDEX(TF_AktSum,MATCH($A71&amp;"|"&amp;S$5,TF_Dom,0)),"LMS",INDEX(AktKode,MATCH(INDEX(TF_Akt,MATCH($A71&amp;"|"&amp;S$5,TF_Dom,0)),Aktiviteter,0)))&amp;IF(OR(COUNTIFS(TF_Nokkel,$A71&amp;"|"&amp;S$5,TF_Akt,"&lt;&gt;"&amp;INDEX(TF_Akt,MATCH($A71&amp;"|"&amp;S$5,TF_Dom,0)))&gt;0,AND(IF(S$10="",0,MAX(0,ROUND((S$13-SUMIFS(TF_Timer,TF_Nokkel,$A71&amp;"|"&amp;S$5))*2,0)/2))&gt;0,INDEX(TF_Akt,MATCH($A71&amp;"|"&amp;S$5,TF_Dom,0))&lt;&gt;"LMS")),"+",""),"?"))))</f>
        <v/>
      </c>
      <c r="T71" s="13">
        <f>IF(OR($A71="",T$5=""),"",IF(OR(AND(INDEX(TekFra,52)&gt;0,T$5&lt;INDEX(TekFra,52)),AND(INDEX(TekTil,52)&gt;0,T$5&gt;INDEX(TekTil,52))),"",IF(COUNTIFS(TF_Nokkel,$A71&amp;"|"&amp;T$5)=0,IF(T$10&lt;&gt;"","LMS",""),IFERROR(IF(SUMIFS(TF_Timer,TF_Nokkel,$A71&amp;"|"&amp;T$5,TF_Akt,"LMS")+IF(T$10="",0,MAX(0,ROUND((T$13-SUMIFS(TF_Timer,TF_Nokkel,$A71&amp;"|"&amp;T$5))*2,0)/2))&gt;INDEX(TF_AktSum,MATCH($A71&amp;"|"&amp;T$5,TF_Dom,0)),"LMS",INDEX(AktKode,MATCH(INDEX(TF_Akt,MATCH($A71&amp;"|"&amp;T$5,TF_Dom,0)),Aktiviteter,0)))&amp;IF(OR(COUNTIFS(TF_Nokkel,$A71&amp;"|"&amp;T$5,TF_Akt,"&lt;&gt;"&amp;INDEX(TF_Akt,MATCH($A71&amp;"|"&amp;T$5,TF_Dom,0)))&gt;0,AND(IF(T$10="",0,MAX(0,ROUND((T$13-SUMIFS(TF_Timer,TF_Nokkel,$A71&amp;"|"&amp;T$5))*2,0)/2))&gt;0,INDEX(TF_Akt,MATCH($A71&amp;"|"&amp;T$5,TF_Dom,0))&lt;&gt;"LMS")),"+",""),"?"))))</f>
        <v/>
      </c>
      <c r="U71" s="13">
        <f>IF(OR($A71="",U$5=""),"",IF(OR(AND(INDEX(TekFra,52)&gt;0,U$5&lt;INDEX(TekFra,52)),AND(INDEX(TekTil,52)&gt;0,U$5&gt;INDEX(TekTil,52))),"",IF(COUNTIFS(TF_Nokkel,$A71&amp;"|"&amp;U$5)=0,IF(U$10&lt;&gt;"","LMS",""),IFERROR(IF(SUMIFS(TF_Timer,TF_Nokkel,$A71&amp;"|"&amp;U$5,TF_Akt,"LMS")+IF(U$10="",0,MAX(0,ROUND((U$13-SUMIFS(TF_Timer,TF_Nokkel,$A71&amp;"|"&amp;U$5))*2,0)/2))&gt;INDEX(TF_AktSum,MATCH($A71&amp;"|"&amp;U$5,TF_Dom,0)),"LMS",INDEX(AktKode,MATCH(INDEX(TF_Akt,MATCH($A71&amp;"|"&amp;U$5,TF_Dom,0)),Aktiviteter,0)))&amp;IF(OR(COUNTIFS(TF_Nokkel,$A71&amp;"|"&amp;U$5,TF_Akt,"&lt;&gt;"&amp;INDEX(TF_Akt,MATCH($A71&amp;"|"&amp;U$5,TF_Dom,0)))&gt;0,AND(IF(U$10="",0,MAX(0,ROUND((U$13-SUMIFS(TF_Timer,TF_Nokkel,$A71&amp;"|"&amp;U$5))*2,0)/2))&gt;0,INDEX(TF_Akt,MATCH($A71&amp;"|"&amp;U$5,TF_Dom,0))&lt;&gt;"LMS")),"+",""),"?"))))</f>
        <v/>
      </c>
      <c r="V71" s="13">
        <f>IF(OR($A71="",V$5=""),"",IF(OR(AND(INDEX(TekFra,52)&gt;0,V$5&lt;INDEX(TekFra,52)),AND(INDEX(TekTil,52)&gt;0,V$5&gt;INDEX(TekTil,52))),"",IF(COUNTIFS(TF_Nokkel,$A71&amp;"|"&amp;V$5)=0,IF(V$10&lt;&gt;"","LMS",""),IFERROR(IF(SUMIFS(TF_Timer,TF_Nokkel,$A71&amp;"|"&amp;V$5,TF_Akt,"LMS")+IF(V$10="",0,MAX(0,ROUND((V$13-SUMIFS(TF_Timer,TF_Nokkel,$A71&amp;"|"&amp;V$5))*2,0)/2))&gt;INDEX(TF_AktSum,MATCH($A71&amp;"|"&amp;V$5,TF_Dom,0)),"LMS",INDEX(AktKode,MATCH(INDEX(TF_Akt,MATCH($A71&amp;"|"&amp;V$5,TF_Dom,0)),Aktiviteter,0)))&amp;IF(OR(COUNTIFS(TF_Nokkel,$A71&amp;"|"&amp;V$5,TF_Akt,"&lt;&gt;"&amp;INDEX(TF_Akt,MATCH($A71&amp;"|"&amp;V$5,TF_Dom,0)))&gt;0,AND(IF(V$10="",0,MAX(0,ROUND((V$13-SUMIFS(TF_Timer,TF_Nokkel,$A71&amp;"|"&amp;V$5))*2,0)/2))&gt;0,INDEX(TF_Akt,MATCH($A71&amp;"|"&amp;V$5,TF_Dom,0))&lt;&gt;"LMS")),"+",""),"?"))))</f>
        <v/>
      </c>
      <c r="W71" s="13">
        <f>IF(OR($A71="",W$5=""),"",IF(OR(AND(INDEX(TekFra,52)&gt;0,W$5&lt;INDEX(TekFra,52)),AND(INDEX(TekTil,52)&gt;0,W$5&gt;INDEX(TekTil,52))),"",IF(COUNTIFS(TF_Nokkel,$A71&amp;"|"&amp;W$5)=0,IF(W$10&lt;&gt;"","LMS",""),IFERROR(IF(SUMIFS(TF_Timer,TF_Nokkel,$A71&amp;"|"&amp;W$5,TF_Akt,"LMS")+IF(W$10="",0,MAX(0,ROUND((W$13-SUMIFS(TF_Timer,TF_Nokkel,$A71&amp;"|"&amp;W$5))*2,0)/2))&gt;INDEX(TF_AktSum,MATCH($A71&amp;"|"&amp;W$5,TF_Dom,0)),"LMS",INDEX(AktKode,MATCH(INDEX(TF_Akt,MATCH($A71&amp;"|"&amp;W$5,TF_Dom,0)),Aktiviteter,0)))&amp;IF(OR(COUNTIFS(TF_Nokkel,$A71&amp;"|"&amp;W$5,TF_Akt,"&lt;&gt;"&amp;INDEX(TF_Akt,MATCH($A71&amp;"|"&amp;W$5,TF_Dom,0)))&gt;0,AND(IF(W$10="",0,MAX(0,ROUND((W$13-SUMIFS(TF_Timer,TF_Nokkel,$A71&amp;"|"&amp;W$5))*2,0)/2))&gt;0,INDEX(TF_Akt,MATCH($A71&amp;"|"&amp;W$5,TF_Dom,0))&lt;&gt;"LMS")),"+",""),"?"))))</f>
        <v/>
      </c>
      <c r="X71" s="13">
        <f>IF(OR($A71="",X$5=""),"",IF(OR(AND(INDEX(TekFra,52)&gt;0,X$5&lt;INDEX(TekFra,52)),AND(INDEX(TekTil,52)&gt;0,X$5&gt;INDEX(TekTil,52))),"",IF(COUNTIFS(TF_Nokkel,$A71&amp;"|"&amp;X$5)=0,IF(X$10&lt;&gt;"","LMS",""),IFERROR(IF(SUMIFS(TF_Timer,TF_Nokkel,$A71&amp;"|"&amp;X$5,TF_Akt,"LMS")+IF(X$10="",0,MAX(0,ROUND((X$13-SUMIFS(TF_Timer,TF_Nokkel,$A71&amp;"|"&amp;X$5))*2,0)/2))&gt;INDEX(TF_AktSum,MATCH($A71&amp;"|"&amp;X$5,TF_Dom,0)),"LMS",INDEX(AktKode,MATCH(INDEX(TF_Akt,MATCH($A71&amp;"|"&amp;X$5,TF_Dom,0)),Aktiviteter,0)))&amp;IF(OR(COUNTIFS(TF_Nokkel,$A71&amp;"|"&amp;X$5,TF_Akt,"&lt;&gt;"&amp;INDEX(TF_Akt,MATCH($A71&amp;"|"&amp;X$5,TF_Dom,0)))&gt;0,AND(IF(X$10="",0,MAX(0,ROUND((X$13-SUMIFS(TF_Timer,TF_Nokkel,$A71&amp;"|"&amp;X$5))*2,0)/2))&gt;0,INDEX(TF_Akt,MATCH($A71&amp;"|"&amp;X$5,TF_Dom,0))&lt;&gt;"LMS")),"+",""),"?"))))</f>
        <v/>
      </c>
      <c r="Y71" s="13">
        <f>IF(OR($A71="",Y$5=""),"",IF(OR(AND(INDEX(TekFra,52)&gt;0,Y$5&lt;INDEX(TekFra,52)),AND(INDEX(TekTil,52)&gt;0,Y$5&gt;INDEX(TekTil,52))),"",IF(COUNTIFS(TF_Nokkel,$A71&amp;"|"&amp;Y$5)=0,IF(Y$10&lt;&gt;"","LMS",""),IFERROR(IF(SUMIFS(TF_Timer,TF_Nokkel,$A71&amp;"|"&amp;Y$5,TF_Akt,"LMS")+IF(Y$10="",0,MAX(0,ROUND((Y$13-SUMIFS(TF_Timer,TF_Nokkel,$A71&amp;"|"&amp;Y$5))*2,0)/2))&gt;INDEX(TF_AktSum,MATCH($A71&amp;"|"&amp;Y$5,TF_Dom,0)),"LMS",INDEX(AktKode,MATCH(INDEX(TF_Akt,MATCH($A71&amp;"|"&amp;Y$5,TF_Dom,0)),Aktiviteter,0)))&amp;IF(OR(COUNTIFS(TF_Nokkel,$A71&amp;"|"&amp;Y$5,TF_Akt,"&lt;&gt;"&amp;INDEX(TF_Akt,MATCH($A71&amp;"|"&amp;Y$5,TF_Dom,0)))&gt;0,AND(IF(Y$10="",0,MAX(0,ROUND((Y$13-SUMIFS(TF_Timer,TF_Nokkel,$A71&amp;"|"&amp;Y$5))*2,0)/2))&gt;0,INDEX(TF_Akt,MATCH($A71&amp;"|"&amp;Y$5,TF_Dom,0))&lt;&gt;"LMS")),"+",""),"?"))))</f>
        <v/>
      </c>
      <c r="Z71" s="13">
        <f>IF(OR($A71="",Z$5=""),"",IF(OR(AND(INDEX(TekFra,52)&gt;0,Z$5&lt;INDEX(TekFra,52)),AND(INDEX(TekTil,52)&gt;0,Z$5&gt;INDEX(TekTil,52))),"",IF(COUNTIFS(TF_Nokkel,$A71&amp;"|"&amp;Z$5)=0,IF(Z$10&lt;&gt;"","LMS",""),IFERROR(IF(SUMIFS(TF_Timer,TF_Nokkel,$A71&amp;"|"&amp;Z$5,TF_Akt,"LMS")+IF(Z$10="",0,MAX(0,ROUND((Z$13-SUMIFS(TF_Timer,TF_Nokkel,$A71&amp;"|"&amp;Z$5))*2,0)/2))&gt;INDEX(TF_AktSum,MATCH($A71&amp;"|"&amp;Z$5,TF_Dom,0)),"LMS",INDEX(AktKode,MATCH(INDEX(TF_Akt,MATCH($A71&amp;"|"&amp;Z$5,TF_Dom,0)),Aktiviteter,0)))&amp;IF(OR(COUNTIFS(TF_Nokkel,$A71&amp;"|"&amp;Z$5,TF_Akt,"&lt;&gt;"&amp;INDEX(TF_Akt,MATCH($A71&amp;"|"&amp;Z$5,TF_Dom,0)))&gt;0,AND(IF(Z$10="",0,MAX(0,ROUND((Z$13-SUMIFS(TF_Timer,TF_Nokkel,$A71&amp;"|"&amp;Z$5))*2,0)/2))&gt;0,INDEX(TF_Akt,MATCH($A71&amp;"|"&amp;Z$5,TF_Dom,0))&lt;&gt;"LMS")),"+",""),"?"))))</f>
        <v/>
      </c>
      <c r="AA71" s="13">
        <f>IF(OR($A71="",AA$5=""),"",IF(OR(AND(INDEX(TekFra,52)&gt;0,AA$5&lt;INDEX(TekFra,52)),AND(INDEX(TekTil,52)&gt;0,AA$5&gt;INDEX(TekTil,52))),"",IF(COUNTIFS(TF_Nokkel,$A71&amp;"|"&amp;AA$5)=0,IF(AA$10&lt;&gt;"","LMS",""),IFERROR(IF(SUMIFS(TF_Timer,TF_Nokkel,$A71&amp;"|"&amp;AA$5,TF_Akt,"LMS")+IF(AA$10="",0,MAX(0,ROUND((AA$13-SUMIFS(TF_Timer,TF_Nokkel,$A71&amp;"|"&amp;AA$5))*2,0)/2))&gt;INDEX(TF_AktSum,MATCH($A71&amp;"|"&amp;AA$5,TF_Dom,0)),"LMS",INDEX(AktKode,MATCH(INDEX(TF_Akt,MATCH($A71&amp;"|"&amp;AA$5,TF_Dom,0)),Aktiviteter,0)))&amp;IF(OR(COUNTIFS(TF_Nokkel,$A71&amp;"|"&amp;AA$5,TF_Akt,"&lt;&gt;"&amp;INDEX(TF_Akt,MATCH($A71&amp;"|"&amp;AA$5,TF_Dom,0)))&gt;0,AND(IF(AA$10="",0,MAX(0,ROUND((AA$13-SUMIFS(TF_Timer,TF_Nokkel,$A71&amp;"|"&amp;AA$5))*2,0)/2))&gt;0,INDEX(TF_Akt,MATCH($A71&amp;"|"&amp;AA$5,TF_Dom,0))&lt;&gt;"LMS")),"+",""),"?"))))</f>
        <v/>
      </c>
      <c r="AB71" s="13">
        <f>IF(OR($A71="",AB$5=""),"",IF(OR(AND(INDEX(TekFra,52)&gt;0,AB$5&lt;INDEX(TekFra,52)),AND(INDEX(TekTil,52)&gt;0,AB$5&gt;INDEX(TekTil,52))),"",IF(COUNTIFS(TF_Nokkel,$A71&amp;"|"&amp;AB$5)=0,IF(AB$10&lt;&gt;"","LMS",""),IFERROR(IF(SUMIFS(TF_Timer,TF_Nokkel,$A71&amp;"|"&amp;AB$5,TF_Akt,"LMS")+IF(AB$10="",0,MAX(0,ROUND((AB$13-SUMIFS(TF_Timer,TF_Nokkel,$A71&amp;"|"&amp;AB$5))*2,0)/2))&gt;INDEX(TF_AktSum,MATCH($A71&amp;"|"&amp;AB$5,TF_Dom,0)),"LMS",INDEX(AktKode,MATCH(INDEX(TF_Akt,MATCH($A71&amp;"|"&amp;AB$5,TF_Dom,0)),Aktiviteter,0)))&amp;IF(OR(COUNTIFS(TF_Nokkel,$A71&amp;"|"&amp;AB$5,TF_Akt,"&lt;&gt;"&amp;INDEX(TF_Akt,MATCH($A71&amp;"|"&amp;AB$5,TF_Dom,0)))&gt;0,AND(IF(AB$10="",0,MAX(0,ROUND((AB$13-SUMIFS(TF_Timer,TF_Nokkel,$A71&amp;"|"&amp;AB$5))*2,0)/2))&gt;0,INDEX(TF_Akt,MATCH($A71&amp;"|"&amp;AB$5,TF_Dom,0))&lt;&gt;"LMS")),"+",""),"?"))))</f>
        <v/>
      </c>
      <c r="AC71" s="13">
        <f>IF(OR($A71="",AC$5=""),"",IF(OR(AND(INDEX(TekFra,52)&gt;0,AC$5&lt;INDEX(TekFra,52)),AND(INDEX(TekTil,52)&gt;0,AC$5&gt;INDEX(TekTil,52))),"",IF(COUNTIFS(TF_Nokkel,$A71&amp;"|"&amp;AC$5)=0,IF(AC$10&lt;&gt;"","LMS",""),IFERROR(IF(SUMIFS(TF_Timer,TF_Nokkel,$A71&amp;"|"&amp;AC$5,TF_Akt,"LMS")+IF(AC$10="",0,MAX(0,ROUND((AC$13-SUMIFS(TF_Timer,TF_Nokkel,$A71&amp;"|"&amp;AC$5))*2,0)/2))&gt;INDEX(TF_AktSum,MATCH($A71&amp;"|"&amp;AC$5,TF_Dom,0)),"LMS",INDEX(AktKode,MATCH(INDEX(TF_Akt,MATCH($A71&amp;"|"&amp;AC$5,TF_Dom,0)),Aktiviteter,0)))&amp;IF(OR(COUNTIFS(TF_Nokkel,$A71&amp;"|"&amp;AC$5,TF_Akt,"&lt;&gt;"&amp;INDEX(TF_Akt,MATCH($A71&amp;"|"&amp;AC$5,TF_Dom,0)))&gt;0,AND(IF(AC$10="",0,MAX(0,ROUND((AC$13-SUMIFS(TF_Timer,TF_Nokkel,$A71&amp;"|"&amp;AC$5))*2,0)/2))&gt;0,INDEX(TF_Akt,MATCH($A71&amp;"|"&amp;AC$5,TF_Dom,0))&lt;&gt;"LMS")),"+",""),"?"))))</f>
        <v/>
      </c>
      <c r="AD71" s="13">
        <f>IF(OR($A71="",AD$5=""),"",IF(OR(AND(INDEX(TekFra,52)&gt;0,AD$5&lt;INDEX(TekFra,52)),AND(INDEX(TekTil,52)&gt;0,AD$5&gt;INDEX(TekTil,52))),"",IF(COUNTIFS(TF_Nokkel,$A71&amp;"|"&amp;AD$5)=0,IF(AD$10&lt;&gt;"","LMS",""),IFERROR(IF(SUMIFS(TF_Timer,TF_Nokkel,$A71&amp;"|"&amp;AD$5,TF_Akt,"LMS")+IF(AD$10="",0,MAX(0,ROUND((AD$13-SUMIFS(TF_Timer,TF_Nokkel,$A71&amp;"|"&amp;AD$5))*2,0)/2))&gt;INDEX(TF_AktSum,MATCH($A71&amp;"|"&amp;AD$5,TF_Dom,0)),"LMS",INDEX(AktKode,MATCH(INDEX(TF_Akt,MATCH($A71&amp;"|"&amp;AD$5,TF_Dom,0)),Aktiviteter,0)))&amp;IF(OR(COUNTIFS(TF_Nokkel,$A71&amp;"|"&amp;AD$5,TF_Akt,"&lt;&gt;"&amp;INDEX(TF_Akt,MATCH($A71&amp;"|"&amp;AD$5,TF_Dom,0)))&gt;0,AND(IF(AD$10="",0,MAX(0,ROUND((AD$13-SUMIFS(TF_Timer,TF_Nokkel,$A71&amp;"|"&amp;AD$5))*2,0)/2))&gt;0,INDEX(TF_Akt,MATCH($A71&amp;"|"&amp;AD$5,TF_Dom,0))&lt;&gt;"LMS")),"+",""),"?"))))</f>
        <v/>
      </c>
      <c r="AE71" s="13">
        <f>IF(OR($A71="",AE$5=""),"",IF(OR(AND(INDEX(TekFra,52)&gt;0,AE$5&lt;INDEX(TekFra,52)),AND(INDEX(TekTil,52)&gt;0,AE$5&gt;INDEX(TekTil,52))),"",IF(COUNTIFS(TF_Nokkel,$A71&amp;"|"&amp;AE$5)=0,IF(AE$10&lt;&gt;"","LMS",""),IFERROR(IF(SUMIFS(TF_Timer,TF_Nokkel,$A71&amp;"|"&amp;AE$5,TF_Akt,"LMS")+IF(AE$10="",0,MAX(0,ROUND((AE$13-SUMIFS(TF_Timer,TF_Nokkel,$A71&amp;"|"&amp;AE$5))*2,0)/2))&gt;INDEX(TF_AktSum,MATCH($A71&amp;"|"&amp;AE$5,TF_Dom,0)),"LMS",INDEX(AktKode,MATCH(INDEX(TF_Akt,MATCH($A71&amp;"|"&amp;AE$5,TF_Dom,0)),Aktiviteter,0)))&amp;IF(OR(COUNTIFS(TF_Nokkel,$A71&amp;"|"&amp;AE$5,TF_Akt,"&lt;&gt;"&amp;INDEX(TF_Akt,MATCH($A71&amp;"|"&amp;AE$5,TF_Dom,0)))&gt;0,AND(IF(AE$10="",0,MAX(0,ROUND((AE$13-SUMIFS(TF_Timer,TF_Nokkel,$A71&amp;"|"&amp;AE$5))*2,0)/2))&gt;0,INDEX(TF_Akt,MATCH($A71&amp;"|"&amp;AE$5,TF_Dom,0))&lt;&gt;"LMS")),"+",""),"?"))))</f>
        <v/>
      </c>
      <c r="AF71" s="13">
        <f>IF(OR($A71="",AF$5=""),"",IF(OR(AND(INDEX(TekFra,52)&gt;0,AF$5&lt;INDEX(TekFra,52)),AND(INDEX(TekTil,52)&gt;0,AF$5&gt;INDEX(TekTil,52))),"",IF(COUNTIFS(TF_Nokkel,$A71&amp;"|"&amp;AF$5)=0,IF(AF$10&lt;&gt;"","LMS",""),IFERROR(IF(SUMIFS(TF_Timer,TF_Nokkel,$A71&amp;"|"&amp;AF$5,TF_Akt,"LMS")+IF(AF$10="",0,MAX(0,ROUND((AF$13-SUMIFS(TF_Timer,TF_Nokkel,$A71&amp;"|"&amp;AF$5))*2,0)/2))&gt;INDEX(TF_AktSum,MATCH($A71&amp;"|"&amp;AF$5,TF_Dom,0)),"LMS",INDEX(AktKode,MATCH(INDEX(TF_Akt,MATCH($A71&amp;"|"&amp;AF$5,TF_Dom,0)),Aktiviteter,0)))&amp;IF(OR(COUNTIFS(TF_Nokkel,$A71&amp;"|"&amp;AF$5,TF_Akt,"&lt;&gt;"&amp;INDEX(TF_Akt,MATCH($A71&amp;"|"&amp;AF$5,TF_Dom,0)))&gt;0,AND(IF(AF$10="",0,MAX(0,ROUND((AF$13-SUMIFS(TF_Timer,TF_Nokkel,$A71&amp;"|"&amp;AF$5))*2,0)/2))&gt;0,INDEX(TF_Akt,MATCH($A71&amp;"|"&amp;AF$5,TF_Dom,0))&lt;&gt;"LMS")),"+",""),"?"))))</f>
        <v/>
      </c>
      <c r="AG71" s="13">
        <f>IF(OR($A71="",AG$5=""),"",IF(OR(AND(INDEX(TekFra,52)&gt;0,AG$5&lt;INDEX(TekFra,52)),AND(INDEX(TekTil,52)&gt;0,AG$5&gt;INDEX(TekTil,52))),"",IF(COUNTIFS(TF_Nokkel,$A71&amp;"|"&amp;AG$5)=0,IF(AG$10&lt;&gt;"","LMS",""),IFERROR(IF(SUMIFS(TF_Timer,TF_Nokkel,$A71&amp;"|"&amp;AG$5,TF_Akt,"LMS")+IF(AG$10="",0,MAX(0,ROUND((AG$13-SUMIFS(TF_Timer,TF_Nokkel,$A71&amp;"|"&amp;AG$5))*2,0)/2))&gt;INDEX(TF_AktSum,MATCH($A71&amp;"|"&amp;AG$5,TF_Dom,0)),"LMS",INDEX(AktKode,MATCH(INDEX(TF_Akt,MATCH($A71&amp;"|"&amp;AG$5,TF_Dom,0)),Aktiviteter,0)))&amp;IF(OR(COUNTIFS(TF_Nokkel,$A71&amp;"|"&amp;AG$5,TF_Akt,"&lt;&gt;"&amp;INDEX(TF_Akt,MATCH($A71&amp;"|"&amp;AG$5,TF_Dom,0)))&gt;0,AND(IF(AG$10="",0,MAX(0,ROUND((AG$13-SUMIFS(TF_Timer,TF_Nokkel,$A71&amp;"|"&amp;AG$5))*2,0)/2))&gt;0,INDEX(TF_Akt,MATCH($A71&amp;"|"&amp;AG$5,TF_Dom,0))&lt;&gt;"LMS")),"+",""),"?"))))</f>
        <v/>
      </c>
      <c r="AH71" s="2" t="n"/>
      <c r="AI71" s="2" t="n"/>
      <c r="AJ71" s="2" t="n"/>
    </row>
    <row r="72">
      <c r="A72" s="2">
        <f>INDEX(Teknikere,53)&amp;""</f>
        <v/>
      </c>
      <c r="B72" s="12">
        <f>IF(INDEX(TekFra,53)&gt;0,"ekstra","")</f>
        <v/>
      </c>
      <c r="C72" s="13">
        <f>IF(OR($A72="",C$5=""),"",IF(OR(AND(INDEX(TekFra,53)&gt;0,C$5&lt;INDEX(TekFra,53)),AND(INDEX(TekTil,53)&gt;0,C$5&gt;INDEX(TekTil,53))),"",IF(COUNTIFS(TF_Nokkel,$A72&amp;"|"&amp;C$5)=0,IF(C$10&lt;&gt;"","LMS",""),IFERROR(IF(SUMIFS(TF_Timer,TF_Nokkel,$A72&amp;"|"&amp;C$5,TF_Akt,"LMS")+IF(C$10="",0,MAX(0,ROUND((C$13-SUMIFS(TF_Timer,TF_Nokkel,$A72&amp;"|"&amp;C$5))*2,0)/2))&gt;INDEX(TF_AktSum,MATCH($A72&amp;"|"&amp;C$5,TF_Dom,0)),"LMS",INDEX(AktKode,MATCH(INDEX(TF_Akt,MATCH($A72&amp;"|"&amp;C$5,TF_Dom,0)),Aktiviteter,0)))&amp;IF(OR(COUNTIFS(TF_Nokkel,$A72&amp;"|"&amp;C$5,TF_Akt,"&lt;&gt;"&amp;INDEX(TF_Akt,MATCH($A72&amp;"|"&amp;C$5,TF_Dom,0)))&gt;0,AND(IF(C$10="",0,MAX(0,ROUND((C$13-SUMIFS(TF_Timer,TF_Nokkel,$A72&amp;"|"&amp;C$5))*2,0)/2))&gt;0,INDEX(TF_Akt,MATCH($A72&amp;"|"&amp;C$5,TF_Dom,0))&lt;&gt;"LMS")),"+",""),"?"))))</f>
        <v/>
      </c>
      <c r="D72" s="13">
        <f>IF(OR($A72="",D$5=""),"",IF(OR(AND(INDEX(TekFra,53)&gt;0,D$5&lt;INDEX(TekFra,53)),AND(INDEX(TekTil,53)&gt;0,D$5&gt;INDEX(TekTil,53))),"",IF(COUNTIFS(TF_Nokkel,$A72&amp;"|"&amp;D$5)=0,IF(D$10&lt;&gt;"","LMS",""),IFERROR(IF(SUMIFS(TF_Timer,TF_Nokkel,$A72&amp;"|"&amp;D$5,TF_Akt,"LMS")+IF(D$10="",0,MAX(0,ROUND((D$13-SUMIFS(TF_Timer,TF_Nokkel,$A72&amp;"|"&amp;D$5))*2,0)/2))&gt;INDEX(TF_AktSum,MATCH($A72&amp;"|"&amp;D$5,TF_Dom,0)),"LMS",INDEX(AktKode,MATCH(INDEX(TF_Akt,MATCH($A72&amp;"|"&amp;D$5,TF_Dom,0)),Aktiviteter,0)))&amp;IF(OR(COUNTIFS(TF_Nokkel,$A72&amp;"|"&amp;D$5,TF_Akt,"&lt;&gt;"&amp;INDEX(TF_Akt,MATCH($A72&amp;"|"&amp;D$5,TF_Dom,0)))&gt;0,AND(IF(D$10="",0,MAX(0,ROUND((D$13-SUMIFS(TF_Timer,TF_Nokkel,$A72&amp;"|"&amp;D$5))*2,0)/2))&gt;0,INDEX(TF_Akt,MATCH($A72&amp;"|"&amp;D$5,TF_Dom,0))&lt;&gt;"LMS")),"+",""),"?"))))</f>
        <v/>
      </c>
      <c r="E72" s="13">
        <f>IF(OR($A72="",E$5=""),"",IF(OR(AND(INDEX(TekFra,53)&gt;0,E$5&lt;INDEX(TekFra,53)),AND(INDEX(TekTil,53)&gt;0,E$5&gt;INDEX(TekTil,53))),"",IF(COUNTIFS(TF_Nokkel,$A72&amp;"|"&amp;E$5)=0,IF(E$10&lt;&gt;"","LMS",""),IFERROR(IF(SUMIFS(TF_Timer,TF_Nokkel,$A72&amp;"|"&amp;E$5,TF_Akt,"LMS")+IF(E$10="",0,MAX(0,ROUND((E$13-SUMIFS(TF_Timer,TF_Nokkel,$A72&amp;"|"&amp;E$5))*2,0)/2))&gt;INDEX(TF_AktSum,MATCH($A72&amp;"|"&amp;E$5,TF_Dom,0)),"LMS",INDEX(AktKode,MATCH(INDEX(TF_Akt,MATCH($A72&amp;"|"&amp;E$5,TF_Dom,0)),Aktiviteter,0)))&amp;IF(OR(COUNTIFS(TF_Nokkel,$A72&amp;"|"&amp;E$5,TF_Akt,"&lt;&gt;"&amp;INDEX(TF_Akt,MATCH($A72&amp;"|"&amp;E$5,TF_Dom,0)))&gt;0,AND(IF(E$10="",0,MAX(0,ROUND((E$13-SUMIFS(TF_Timer,TF_Nokkel,$A72&amp;"|"&amp;E$5))*2,0)/2))&gt;0,INDEX(TF_Akt,MATCH($A72&amp;"|"&amp;E$5,TF_Dom,0))&lt;&gt;"LMS")),"+",""),"?"))))</f>
        <v/>
      </c>
      <c r="F72" s="13">
        <f>IF(OR($A72="",F$5=""),"",IF(OR(AND(INDEX(TekFra,53)&gt;0,F$5&lt;INDEX(TekFra,53)),AND(INDEX(TekTil,53)&gt;0,F$5&gt;INDEX(TekTil,53))),"",IF(COUNTIFS(TF_Nokkel,$A72&amp;"|"&amp;F$5)=0,IF(F$10&lt;&gt;"","LMS",""),IFERROR(IF(SUMIFS(TF_Timer,TF_Nokkel,$A72&amp;"|"&amp;F$5,TF_Akt,"LMS")+IF(F$10="",0,MAX(0,ROUND((F$13-SUMIFS(TF_Timer,TF_Nokkel,$A72&amp;"|"&amp;F$5))*2,0)/2))&gt;INDEX(TF_AktSum,MATCH($A72&amp;"|"&amp;F$5,TF_Dom,0)),"LMS",INDEX(AktKode,MATCH(INDEX(TF_Akt,MATCH($A72&amp;"|"&amp;F$5,TF_Dom,0)),Aktiviteter,0)))&amp;IF(OR(COUNTIFS(TF_Nokkel,$A72&amp;"|"&amp;F$5,TF_Akt,"&lt;&gt;"&amp;INDEX(TF_Akt,MATCH($A72&amp;"|"&amp;F$5,TF_Dom,0)))&gt;0,AND(IF(F$10="",0,MAX(0,ROUND((F$13-SUMIFS(TF_Timer,TF_Nokkel,$A72&amp;"|"&amp;F$5))*2,0)/2))&gt;0,INDEX(TF_Akt,MATCH($A72&amp;"|"&amp;F$5,TF_Dom,0))&lt;&gt;"LMS")),"+",""),"?"))))</f>
        <v/>
      </c>
      <c r="G72" s="13">
        <f>IF(OR($A72="",G$5=""),"",IF(OR(AND(INDEX(TekFra,53)&gt;0,G$5&lt;INDEX(TekFra,53)),AND(INDEX(TekTil,53)&gt;0,G$5&gt;INDEX(TekTil,53))),"",IF(COUNTIFS(TF_Nokkel,$A72&amp;"|"&amp;G$5)=0,IF(G$10&lt;&gt;"","LMS",""),IFERROR(IF(SUMIFS(TF_Timer,TF_Nokkel,$A72&amp;"|"&amp;G$5,TF_Akt,"LMS")+IF(G$10="",0,MAX(0,ROUND((G$13-SUMIFS(TF_Timer,TF_Nokkel,$A72&amp;"|"&amp;G$5))*2,0)/2))&gt;INDEX(TF_AktSum,MATCH($A72&amp;"|"&amp;G$5,TF_Dom,0)),"LMS",INDEX(AktKode,MATCH(INDEX(TF_Akt,MATCH($A72&amp;"|"&amp;G$5,TF_Dom,0)),Aktiviteter,0)))&amp;IF(OR(COUNTIFS(TF_Nokkel,$A72&amp;"|"&amp;G$5,TF_Akt,"&lt;&gt;"&amp;INDEX(TF_Akt,MATCH($A72&amp;"|"&amp;G$5,TF_Dom,0)))&gt;0,AND(IF(G$10="",0,MAX(0,ROUND((G$13-SUMIFS(TF_Timer,TF_Nokkel,$A72&amp;"|"&amp;G$5))*2,0)/2))&gt;0,INDEX(TF_Akt,MATCH($A72&amp;"|"&amp;G$5,TF_Dom,0))&lt;&gt;"LMS")),"+",""),"?"))))</f>
        <v/>
      </c>
      <c r="H72" s="13">
        <f>IF(OR($A72="",H$5=""),"",IF(OR(AND(INDEX(TekFra,53)&gt;0,H$5&lt;INDEX(TekFra,53)),AND(INDEX(TekTil,53)&gt;0,H$5&gt;INDEX(TekTil,53))),"",IF(COUNTIFS(TF_Nokkel,$A72&amp;"|"&amp;H$5)=0,IF(H$10&lt;&gt;"","LMS",""),IFERROR(IF(SUMIFS(TF_Timer,TF_Nokkel,$A72&amp;"|"&amp;H$5,TF_Akt,"LMS")+IF(H$10="",0,MAX(0,ROUND((H$13-SUMIFS(TF_Timer,TF_Nokkel,$A72&amp;"|"&amp;H$5))*2,0)/2))&gt;INDEX(TF_AktSum,MATCH($A72&amp;"|"&amp;H$5,TF_Dom,0)),"LMS",INDEX(AktKode,MATCH(INDEX(TF_Akt,MATCH($A72&amp;"|"&amp;H$5,TF_Dom,0)),Aktiviteter,0)))&amp;IF(OR(COUNTIFS(TF_Nokkel,$A72&amp;"|"&amp;H$5,TF_Akt,"&lt;&gt;"&amp;INDEX(TF_Akt,MATCH($A72&amp;"|"&amp;H$5,TF_Dom,0)))&gt;0,AND(IF(H$10="",0,MAX(0,ROUND((H$13-SUMIFS(TF_Timer,TF_Nokkel,$A72&amp;"|"&amp;H$5))*2,0)/2))&gt;0,INDEX(TF_Akt,MATCH($A72&amp;"|"&amp;H$5,TF_Dom,0))&lt;&gt;"LMS")),"+",""),"?"))))</f>
        <v/>
      </c>
      <c r="I72" s="13">
        <f>IF(OR($A72="",I$5=""),"",IF(OR(AND(INDEX(TekFra,53)&gt;0,I$5&lt;INDEX(TekFra,53)),AND(INDEX(TekTil,53)&gt;0,I$5&gt;INDEX(TekTil,53))),"",IF(COUNTIFS(TF_Nokkel,$A72&amp;"|"&amp;I$5)=0,IF(I$10&lt;&gt;"","LMS",""),IFERROR(IF(SUMIFS(TF_Timer,TF_Nokkel,$A72&amp;"|"&amp;I$5,TF_Akt,"LMS")+IF(I$10="",0,MAX(0,ROUND((I$13-SUMIFS(TF_Timer,TF_Nokkel,$A72&amp;"|"&amp;I$5))*2,0)/2))&gt;INDEX(TF_AktSum,MATCH($A72&amp;"|"&amp;I$5,TF_Dom,0)),"LMS",INDEX(AktKode,MATCH(INDEX(TF_Akt,MATCH($A72&amp;"|"&amp;I$5,TF_Dom,0)),Aktiviteter,0)))&amp;IF(OR(COUNTIFS(TF_Nokkel,$A72&amp;"|"&amp;I$5,TF_Akt,"&lt;&gt;"&amp;INDEX(TF_Akt,MATCH($A72&amp;"|"&amp;I$5,TF_Dom,0)))&gt;0,AND(IF(I$10="",0,MAX(0,ROUND((I$13-SUMIFS(TF_Timer,TF_Nokkel,$A72&amp;"|"&amp;I$5))*2,0)/2))&gt;0,INDEX(TF_Akt,MATCH($A72&amp;"|"&amp;I$5,TF_Dom,0))&lt;&gt;"LMS")),"+",""),"?"))))</f>
        <v/>
      </c>
      <c r="J72" s="13">
        <f>IF(OR($A72="",J$5=""),"",IF(OR(AND(INDEX(TekFra,53)&gt;0,J$5&lt;INDEX(TekFra,53)),AND(INDEX(TekTil,53)&gt;0,J$5&gt;INDEX(TekTil,53))),"",IF(COUNTIFS(TF_Nokkel,$A72&amp;"|"&amp;J$5)=0,IF(J$10&lt;&gt;"","LMS",""),IFERROR(IF(SUMIFS(TF_Timer,TF_Nokkel,$A72&amp;"|"&amp;J$5,TF_Akt,"LMS")+IF(J$10="",0,MAX(0,ROUND((J$13-SUMIFS(TF_Timer,TF_Nokkel,$A72&amp;"|"&amp;J$5))*2,0)/2))&gt;INDEX(TF_AktSum,MATCH($A72&amp;"|"&amp;J$5,TF_Dom,0)),"LMS",INDEX(AktKode,MATCH(INDEX(TF_Akt,MATCH($A72&amp;"|"&amp;J$5,TF_Dom,0)),Aktiviteter,0)))&amp;IF(OR(COUNTIFS(TF_Nokkel,$A72&amp;"|"&amp;J$5,TF_Akt,"&lt;&gt;"&amp;INDEX(TF_Akt,MATCH($A72&amp;"|"&amp;J$5,TF_Dom,0)))&gt;0,AND(IF(J$10="",0,MAX(0,ROUND((J$13-SUMIFS(TF_Timer,TF_Nokkel,$A72&amp;"|"&amp;J$5))*2,0)/2))&gt;0,INDEX(TF_Akt,MATCH($A72&amp;"|"&amp;J$5,TF_Dom,0))&lt;&gt;"LMS")),"+",""),"?"))))</f>
        <v/>
      </c>
      <c r="K72" s="13">
        <f>IF(OR($A72="",K$5=""),"",IF(OR(AND(INDEX(TekFra,53)&gt;0,K$5&lt;INDEX(TekFra,53)),AND(INDEX(TekTil,53)&gt;0,K$5&gt;INDEX(TekTil,53))),"",IF(COUNTIFS(TF_Nokkel,$A72&amp;"|"&amp;K$5)=0,IF(K$10&lt;&gt;"","LMS",""),IFERROR(IF(SUMIFS(TF_Timer,TF_Nokkel,$A72&amp;"|"&amp;K$5,TF_Akt,"LMS")+IF(K$10="",0,MAX(0,ROUND((K$13-SUMIFS(TF_Timer,TF_Nokkel,$A72&amp;"|"&amp;K$5))*2,0)/2))&gt;INDEX(TF_AktSum,MATCH($A72&amp;"|"&amp;K$5,TF_Dom,0)),"LMS",INDEX(AktKode,MATCH(INDEX(TF_Akt,MATCH($A72&amp;"|"&amp;K$5,TF_Dom,0)),Aktiviteter,0)))&amp;IF(OR(COUNTIFS(TF_Nokkel,$A72&amp;"|"&amp;K$5,TF_Akt,"&lt;&gt;"&amp;INDEX(TF_Akt,MATCH($A72&amp;"|"&amp;K$5,TF_Dom,0)))&gt;0,AND(IF(K$10="",0,MAX(0,ROUND((K$13-SUMIFS(TF_Timer,TF_Nokkel,$A72&amp;"|"&amp;K$5))*2,0)/2))&gt;0,INDEX(TF_Akt,MATCH($A72&amp;"|"&amp;K$5,TF_Dom,0))&lt;&gt;"LMS")),"+",""),"?"))))</f>
        <v/>
      </c>
      <c r="L72" s="13">
        <f>IF(OR($A72="",L$5=""),"",IF(OR(AND(INDEX(TekFra,53)&gt;0,L$5&lt;INDEX(TekFra,53)),AND(INDEX(TekTil,53)&gt;0,L$5&gt;INDEX(TekTil,53))),"",IF(COUNTIFS(TF_Nokkel,$A72&amp;"|"&amp;L$5)=0,IF(L$10&lt;&gt;"","LMS",""),IFERROR(IF(SUMIFS(TF_Timer,TF_Nokkel,$A72&amp;"|"&amp;L$5,TF_Akt,"LMS")+IF(L$10="",0,MAX(0,ROUND((L$13-SUMIFS(TF_Timer,TF_Nokkel,$A72&amp;"|"&amp;L$5))*2,0)/2))&gt;INDEX(TF_AktSum,MATCH($A72&amp;"|"&amp;L$5,TF_Dom,0)),"LMS",INDEX(AktKode,MATCH(INDEX(TF_Akt,MATCH($A72&amp;"|"&amp;L$5,TF_Dom,0)),Aktiviteter,0)))&amp;IF(OR(COUNTIFS(TF_Nokkel,$A72&amp;"|"&amp;L$5,TF_Akt,"&lt;&gt;"&amp;INDEX(TF_Akt,MATCH($A72&amp;"|"&amp;L$5,TF_Dom,0)))&gt;0,AND(IF(L$10="",0,MAX(0,ROUND((L$13-SUMIFS(TF_Timer,TF_Nokkel,$A72&amp;"|"&amp;L$5))*2,0)/2))&gt;0,INDEX(TF_Akt,MATCH($A72&amp;"|"&amp;L$5,TF_Dom,0))&lt;&gt;"LMS")),"+",""),"?"))))</f>
        <v/>
      </c>
      <c r="M72" s="13">
        <f>IF(OR($A72="",M$5=""),"",IF(OR(AND(INDEX(TekFra,53)&gt;0,M$5&lt;INDEX(TekFra,53)),AND(INDEX(TekTil,53)&gt;0,M$5&gt;INDEX(TekTil,53))),"",IF(COUNTIFS(TF_Nokkel,$A72&amp;"|"&amp;M$5)=0,IF(M$10&lt;&gt;"","LMS",""),IFERROR(IF(SUMIFS(TF_Timer,TF_Nokkel,$A72&amp;"|"&amp;M$5,TF_Akt,"LMS")+IF(M$10="",0,MAX(0,ROUND((M$13-SUMIFS(TF_Timer,TF_Nokkel,$A72&amp;"|"&amp;M$5))*2,0)/2))&gt;INDEX(TF_AktSum,MATCH($A72&amp;"|"&amp;M$5,TF_Dom,0)),"LMS",INDEX(AktKode,MATCH(INDEX(TF_Akt,MATCH($A72&amp;"|"&amp;M$5,TF_Dom,0)),Aktiviteter,0)))&amp;IF(OR(COUNTIFS(TF_Nokkel,$A72&amp;"|"&amp;M$5,TF_Akt,"&lt;&gt;"&amp;INDEX(TF_Akt,MATCH($A72&amp;"|"&amp;M$5,TF_Dom,0)))&gt;0,AND(IF(M$10="",0,MAX(0,ROUND((M$13-SUMIFS(TF_Timer,TF_Nokkel,$A72&amp;"|"&amp;M$5))*2,0)/2))&gt;0,INDEX(TF_Akt,MATCH($A72&amp;"|"&amp;M$5,TF_Dom,0))&lt;&gt;"LMS")),"+",""),"?"))))</f>
        <v/>
      </c>
      <c r="N72" s="13">
        <f>IF(OR($A72="",N$5=""),"",IF(OR(AND(INDEX(TekFra,53)&gt;0,N$5&lt;INDEX(TekFra,53)),AND(INDEX(TekTil,53)&gt;0,N$5&gt;INDEX(TekTil,53))),"",IF(COUNTIFS(TF_Nokkel,$A72&amp;"|"&amp;N$5)=0,IF(N$10&lt;&gt;"","LMS",""),IFERROR(IF(SUMIFS(TF_Timer,TF_Nokkel,$A72&amp;"|"&amp;N$5,TF_Akt,"LMS")+IF(N$10="",0,MAX(0,ROUND((N$13-SUMIFS(TF_Timer,TF_Nokkel,$A72&amp;"|"&amp;N$5))*2,0)/2))&gt;INDEX(TF_AktSum,MATCH($A72&amp;"|"&amp;N$5,TF_Dom,0)),"LMS",INDEX(AktKode,MATCH(INDEX(TF_Akt,MATCH($A72&amp;"|"&amp;N$5,TF_Dom,0)),Aktiviteter,0)))&amp;IF(OR(COUNTIFS(TF_Nokkel,$A72&amp;"|"&amp;N$5,TF_Akt,"&lt;&gt;"&amp;INDEX(TF_Akt,MATCH($A72&amp;"|"&amp;N$5,TF_Dom,0)))&gt;0,AND(IF(N$10="",0,MAX(0,ROUND((N$13-SUMIFS(TF_Timer,TF_Nokkel,$A72&amp;"|"&amp;N$5))*2,0)/2))&gt;0,INDEX(TF_Akt,MATCH($A72&amp;"|"&amp;N$5,TF_Dom,0))&lt;&gt;"LMS")),"+",""),"?"))))</f>
        <v/>
      </c>
      <c r="O72" s="13">
        <f>IF(OR($A72="",O$5=""),"",IF(OR(AND(INDEX(TekFra,53)&gt;0,O$5&lt;INDEX(TekFra,53)),AND(INDEX(TekTil,53)&gt;0,O$5&gt;INDEX(TekTil,53))),"",IF(COUNTIFS(TF_Nokkel,$A72&amp;"|"&amp;O$5)=0,IF(O$10&lt;&gt;"","LMS",""),IFERROR(IF(SUMIFS(TF_Timer,TF_Nokkel,$A72&amp;"|"&amp;O$5,TF_Akt,"LMS")+IF(O$10="",0,MAX(0,ROUND((O$13-SUMIFS(TF_Timer,TF_Nokkel,$A72&amp;"|"&amp;O$5))*2,0)/2))&gt;INDEX(TF_AktSum,MATCH($A72&amp;"|"&amp;O$5,TF_Dom,0)),"LMS",INDEX(AktKode,MATCH(INDEX(TF_Akt,MATCH($A72&amp;"|"&amp;O$5,TF_Dom,0)),Aktiviteter,0)))&amp;IF(OR(COUNTIFS(TF_Nokkel,$A72&amp;"|"&amp;O$5,TF_Akt,"&lt;&gt;"&amp;INDEX(TF_Akt,MATCH($A72&amp;"|"&amp;O$5,TF_Dom,0)))&gt;0,AND(IF(O$10="",0,MAX(0,ROUND((O$13-SUMIFS(TF_Timer,TF_Nokkel,$A72&amp;"|"&amp;O$5))*2,0)/2))&gt;0,INDEX(TF_Akt,MATCH($A72&amp;"|"&amp;O$5,TF_Dom,0))&lt;&gt;"LMS")),"+",""),"?"))))</f>
        <v/>
      </c>
      <c r="P72" s="13">
        <f>IF(OR($A72="",P$5=""),"",IF(OR(AND(INDEX(TekFra,53)&gt;0,P$5&lt;INDEX(TekFra,53)),AND(INDEX(TekTil,53)&gt;0,P$5&gt;INDEX(TekTil,53))),"",IF(COUNTIFS(TF_Nokkel,$A72&amp;"|"&amp;P$5)=0,IF(P$10&lt;&gt;"","LMS",""),IFERROR(IF(SUMIFS(TF_Timer,TF_Nokkel,$A72&amp;"|"&amp;P$5,TF_Akt,"LMS")+IF(P$10="",0,MAX(0,ROUND((P$13-SUMIFS(TF_Timer,TF_Nokkel,$A72&amp;"|"&amp;P$5))*2,0)/2))&gt;INDEX(TF_AktSum,MATCH($A72&amp;"|"&amp;P$5,TF_Dom,0)),"LMS",INDEX(AktKode,MATCH(INDEX(TF_Akt,MATCH($A72&amp;"|"&amp;P$5,TF_Dom,0)),Aktiviteter,0)))&amp;IF(OR(COUNTIFS(TF_Nokkel,$A72&amp;"|"&amp;P$5,TF_Akt,"&lt;&gt;"&amp;INDEX(TF_Akt,MATCH($A72&amp;"|"&amp;P$5,TF_Dom,0)))&gt;0,AND(IF(P$10="",0,MAX(0,ROUND((P$13-SUMIFS(TF_Timer,TF_Nokkel,$A72&amp;"|"&amp;P$5))*2,0)/2))&gt;0,INDEX(TF_Akt,MATCH($A72&amp;"|"&amp;P$5,TF_Dom,0))&lt;&gt;"LMS")),"+",""),"?"))))</f>
        <v/>
      </c>
      <c r="Q72" s="13">
        <f>IF(OR($A72="",Q$5=""),"",IF(OR(AND(INDEX(TekFra,53)&gt;0,Q$5&lt;INDEX(TekFra,53)),AND(INDEX(TekTil,53)&gt;0,Q$5&gt;INDEX(TekTil,53))),"",IF(COUNTIFS(TF_Nokkel,$A72&amp;"|"&amp;Q$5)=0,IF(Q$10&lt;&gt;"","LMS",""),IFERROR(IF(SUMIFS(TF_Timer,TF_Nokkel,$A72&amp;"|"&amp;Q$5,TF_Akt,"LMS")+IF(Q$10="",0,MAX(0,ROUND((Q$13-SUMIFS(TF_Timer,TF_Nokkel,$A72&amp;"|"&amp;Q$5))*2,0)/2))&gt;INDEX(TF_AktSum,MATCH($A72&amp;"|"&amp;Q$5,TF_Dom,0)),"LMS",INDEX(AktKode,MATCH(INDEX(TF_Akt,MATCH($A72&amp;"|"&amp;Q$5,TF_Dom,0)),Aktiviteter,0)))&amp;IF(OR(COUNTIFS(TF_Nokkel,$A72&amp;"|"&amp;Q$5,TF_Akt,"&lt;&gt;"&amp;INDEX(TF_Akt,MATCH($A72&amp;"|"&amp;Q$5,TF_Dom,0)))&gt;0,AND(IF(Q$10="",0,MAX(0,ROUND((Q$13-SUMIFS(TF_Timer,TF_Nokkel,$A72&amp;"|"&amp;Q$5))*2,0)/2))&gt;0,INDEX(TF_Akt,MATCH($A72&amp;"|"&amp;Q$5,TF_Dom,0))&lt;&gt;"LMS")),"+",""),"?"))))</f>
        <v/>
      </c>
      <c r="R72" s="13">
        <f>IF(OR($A72="",R$5=""),"",IF(OR(AND(INDEX(TekFra,53)&gt;0,R$5&lt;INDEX(TekFra,53)),AND(INDEX(TekTil,53)&gt;0,R$5&gt;INDEX(TekTil,53))),"",IF(COUNTIFS(TF_Nokkel,$A72&amp;"|"&amp;R$5)=0,IF(R$10&lt;&gt;"","LMS",""),IFERROR(IF(SUMIFS(TF_Timer,TF_Nokkel,$A72&amp;"|"&amp;R$5,TF_Akt,"LMS")+IF(R$10="",0,MAX(0,ROUND((R$13-SUMIFS(TF_Timer,TF_Nokkel,$A72&amp;"|"&amp;R$5))*2,0)/2))&gt;INDEX(TF_AktSum,MATCH($A72&amp;"|"&amp;R$5,TF_Dom,0)),"LMS",INDEX(AktKode,MATCH(INDEX(TF_Akt,MATCH($A72&amp;"|"&amp;R$5,TF_Dom,0)),Aktiviteter,0)))&amp;IF(OR(COUNTIFS(TF_Nokkel,$A72&amp;"|"&amp;R$5,TF_Akt,"&lt;&gt;"&amp;INDEX(TF_Akt,MATCH($A72&amp;"|"&amp;R$5,TF_Dom,0)))&gt;0,AND(IF(R$10="",0,MAX(0,ROUND((R$13-SUMIFS(TF_Timer,TF_Nokkel,$A72&amp;"|"&amp;R$5))*2,0)/2))&gt;0,INDEX(TF_Akt,MATCH($A72&amp;"|"&amp;R$5,TF_Dom,0))&lt;&gt;"LMS")),"+",""),"?"))))</f>
        <v/>
      </c>
      <c r="S72" s="13">
        <f>IF(OR($A72="",S$5=""),"",IF(OR(AND(INDEX(TekFra,53)&gt;0,S$5&lt;INDEX(TekFra,53)),AND(INDEX(TekTil,53)&gt;0,S$5&gt;INDEX(TekTil,53))),"",IF(COUNTIFS(TF_Nokkel,$A72&amp;"|"&amp;S$5)=0,IF(S$10&lt;&gt;"","LMS",""),IFERROR(IF(SUMIFS(TF_Timer,TF_Nokkel,$A72&amp;"|"&amp;S$5,TF_Akt,"LMS")+IF(S$10="",0,MAX(0,ROUND((S$13-SUMIFS(TF_Timer,TF_Nokkel,$A72&amp;"|"&amp;S$5))*2,0)/2))&gt;INDEX(TF_AktSum,MATCH($A72&amp;"|"&amp;S$5,TF_Dom,0)),"LMS",INDEX(AktKode,MATCH(INDEX(TF_Akt,MATCH($A72&amp;"|"&amp;S$5,TF_Dom,0)),Aktiviteter,0)))&amp;IF(OR(COUNTIFS(TF_Nokkel,$A72&amp;"|"&amp;S$5,TF_Akt,"&lt;&gt;"&amp;INDEX(TF_Akt,MATCH($A72&amp;"|"&amp;S$5,TF_Dom,0)))&gt;0,AND(IF(S$10="",0,MAX(0,ROUND((S$13-SUMIFS(TF_Timer,TF_Nokkel,$A72&amp;"|"&amp;S$5))*2,0)/2))&gt;0,INDEX(TF_Akt,MATCH($A72&amp;"|"&amp;S$5,TF_Dom,0))&lt;&gt;"LMS")),"+",""),"?"))))</f>
        <v/>
      </c>
      <c r="T72" s="13">
        <f>IF(OR($A72="",T$5=""),"",IF(OR(AND(INDEX(TekFra,53)&gt;0,T$5&lt;INDEX(TekFra,53)),AND(INDEX(TekTil,53)&gt;0,T$5&gt;INDEX(TekTil,53))),"",IF(COUNTIFS(TF_Nokkel,$A72&amp;"|"&amp;T$5)=0,IF(T$10&lt;&gt;"","LMS",""),IFERROR(IF(SUMIFS(TF_Timer,TF_Nokkel,$A72&amp;"|"&amp;T$5,TF_Akt,"LMS")+IF(T$10="",0,MAX(0,ROUND((T$13-SUMIFS(TF_Timer,TF_Nokkel,$A72&amp;"|"&amp;T$5))*2,0)/2))&gt;INDEX(TF_AktSum,MATCH($A72&amp;"|"&amp;T$5,TF_Dom,0)),"LMS",INDEX(AktKode,MATCH(INDEX(TF_Akt,MATCH($A72&amp;"|"&amp;T$5,TF_Dom,0)),Aktiviteter,0)))&amp;IF(OR(COUNTIFS(TF_Nokkel,$A72&amp;"|"&amp;T$5,TF_Akt,"&lt;&gt;"&amp;INDEX(TF_Akt,MATCH($A72&amp;"|"&amp;T$5,TF_Dom,0)))&gt;0,AND(IF(T$10="",0,MAX(0,ROUND((T$13-SUMIFS(TF_Timer,TF_Nokkel,$A72&amp;"|"&amp;T$5))*2,0)/2))&gt;0,INDEX(TF_Akt,MATCH($A72&amp;"|"&amp;T$5,TF_Dom,0))&lt;&gt;"LMS")),"+",""),"?"))))</f>
        <v/>
      </c>
      <c r="U72" s="13">
        <f>IF(OR($A72="",U$5=""),"",IF(OR(AND(INDEX(TekFra,53)&gt;0,U$5&lt;INDEX(TekFra,53)),AND(INDEX(TekTil,53)&gt;0,U$5&gt;INDEX(TekTil,53))),"",IF(COUNTIFS(TF_Nokkel,$A72&amp;"|"&amp;U$5)=0,IF(U$10&lt;&gt;"","LMS",""),IFERROR(IF(SUMIFS(TF_Timer,TF_Nokkel,$A72&amp;"|"&amp;U$5,TF_Akt,"LMS")+IF(U$10="",0,MAX(0,ROUND((U$13-SUMIFS(TF_Timer,TF_Nokkel,$A72&amp;"|"&amp;U$5))*2,0)/2))&gt;INDEX(TF_AktSum,MATCH($A72&amp;"|"&amp;U$5,TF_Dom,0)),"LMS",INDEX(AktKode,MATCH(INDEX(TF_Akt,MATCH($A72&amp;"|"&amp;U$5,TF_Dom,0)),Aktiviteter,0)))&amp;IF(OR(COUNTIFS(TF_Nokkel,$A72&amp;"|"&amp;U$5,TF_Akt,"&lt;&gt;"&amp;INDEX(TF_Akt,MATCH($A72&amp;"|"&amp;U$5,TF_Dom,0)))&gt;0,AND(IF(U$10="",0,MAX(0,ROUND((U$13-SUMIFS(TF_Timer,TF_Nokkel,$A72&amp;"|"&amp;U$5))*2,0)/2))&gt;0,INDEX(TF_Akt,MATCH($A72&amp;"|"&amp;U$5,TF_Dom,0))&lt;&gt;"LMS")),"+",""),"?"))))</f>
        <v/>
      </c>
      <c r="V72" s="13">
        <f>IF(OR($A72="",V$5=""),"",IF(OR(AND(INDEX(TekFra,53)&gt;0,V$5&lt;INDEX(TekFra,53)),AND(INDEX(TekTil,53)&gt;0,V$5&gt;INDEX(TekTil,53))),"",IF(COUNTIFS(TF_Nokkel,$A72&amp;"|"&amp;V$5)=0,IF(V$10&lt;&gt;"","LMS",""),IFERROR(IF(SUMIFS(TF_Timer,TF_Nokkel,$A72&amp;"|"&amp;V$5,TF_Akt,"LMS")+IF(V$10="",0,MAX(0,ROUND((V$13-SUMIFS(TF_Timer,TF_Nokkel,$A72&amp;"|"&amp;V$5))*2,0)/2))&gt;INDEX(TF_AktSum,MATCH($A72&amp;"|"&amp;V$5,TF_Dom,0)),"LMS",INDEX(AktKode,MATCH(INDEX(TF_Akt,MATCH($A72&amp;"|"&amp;V$5,TF_Dom,0)),Aktiviteter,0)))&amp;IF(OR(COUNTIFS(TF_Nokkel,$A72&amp;"|"&amp;V$5,TF_Akt,"&lt;&gt;"&amp;INDEX(TF_Akt,MATCH($A72&amp;"|"&amp;V$5,TF_Dom,0)))&gt;0,AND(IF(V$10="",0,MAX(0,ROUND((V$13-SUMIFS(TF_Timer,TF_Nokkel,$A72&amp;"|"&amp;V$5))*2,0)/2))&gt;0,INDEX(TF_Akt,MATCH($A72&amp;"|"&amp;V$5,TF_Dom,0))&lt;&gt;"LMS")),"+",""),"?"))))</f>
        <v/>
      </c>
      <c r="W72" s="13">
        <f>IF(OR($A72="",W$5=""),"",IF(OR(AND(INDEX(TekFra,53)&gt;0,W$5&lt;INDEX(TekFra,53)),AND(INDEX(TekTil,53)&gt;0,W$5&gt;INDEX(TekTil,53))),"",IF(COUNTIFS(TF_Nokkel,$A72&amp;"|"&amp;W$5)=0,IF(W$10&lt;&gt;"","LMS",""),IFERROR(IF(SUMIFS(TF_Timer,TF_Nokkel,$A72&amp;"|"&amp;W$5,TF_Akt,"LMS")+IF(W$10="",0,MAX(0,ROUND((W$13-SUMIFS(TF_Timer,TF_Nokkel,$A72&amp;"|"&amp;W$5))*2,0)/2))&gt;INDEX(TF_AktSum,MATCH($A72&amp;"|"&amp;W$5,TF_Dom,0)),"LMS",INDEX(AktKode,MATCH(INDEX(TF_Akt,MATCH($A72&amp;"|"&amp;W$5,TF_Dom,0)),Aktiviteter,0)))&amp;IF(OR(COUNTIFS(TF_Nokkel,$A72&amp;"|"&amp;W$5,TF_Akt,"&lt;&gt;"&amp;INDEX(TF_Akt,MATCH($A72&amp;"|"&amp;W$5,TF_Dom,0)))&gt;0,AND(IF(W$10="",0,MAX(0,ROUND((W$13-SUMIFS(TF_Timer,TF_Nokkel,$A72&amp;"|"&amp;W$5))*2,0)/2))&gt;0,INDEX(TF_Akt,MATCH($A72&amp;"|"&amp;W$5,TF_Dom,0))&lt;&gt;"LMS")),"+",""),"?"))))</f>
        <v/>
      </c>
      <c r="X72" s="13">
        <f>IF(OR($A72="",X$5=""),"",IF(OR(AND(INDEX(TekFra,53)&gt;0,X$5&lt;INDEX(TekFra,53)),AND(INDEX(TekTil,53)&gt;0,X$5&gt;INDEX(TekTil,53))),"",IF(COUNTIFS(TF_Nokkel,$A72&amp;"|"&amp;X$5)=0,IF(X$10&lt;&gt;"","LMS",""),IFERROR(IF(SUMIFS(TF_Timer,TF_Nokkel,$A72&amp;"|"&amp;X$5,TF_Akt,"LMS")+IF(X$10="",0,MAX(0,ROUND((X$13-SUMIFS(TF_Timer,TF_Nokkel,$A72&amp;"|"&amp;X$5))*2,0)/2))&gt;INDEX(TF_AktSum,MATCH($A72&amp;"|"&amp;X$5,TF_Dom,0)),"LMS",INDEX(AktKode,MATCH(INDEX(TF_Akt,MATCH($A72&amp;"|"&amp;X$5,TF_Dom,0)),Aktiviteter,0)))&amp;IF(OR(COUNTIFS(TF_Nokkel,$A72&amp;"|"&amp;X$5,TF_Akt,"&lt;&gt;"&amp;INDEX(TF_Akt,MATCH($A72&amp;"|"&amp;X$5,TF_Dom,0)))&gt;0,AND(IF(X$10="",0,MAX(0,ROUND((X$13-SUMIFS(TF_Timer,TF_Nokkel,$A72&amp;"|"&amp;X$5))*2,0)/2))&gt;0,INDEX(TF_Akt,MATCH($A72&amp;"|"&amp;X$5,TF_Dom,0))&lt;&gt;"LMS")),"+",""),"?"))))</f>
        <v/>
      </c>
      <c r="Y72" s="13">
        <f>IF(OR($A72="",Y$5=""),"",IF(OR(AND(INDEX(TekFra,53)&gt;0,Y$5&lt;INDEX(TekFra,53)),AND(INDEX(TekTil,53)&gt;0,Y$5&gt;INDEX(TekTil,53))),"",IF(COUNTIFS(TF_Nokkel,$A72&amp;"|"&amp;Y$5)=0,IF(Y$10&lt;&gt;"","LMS",""),IFERROR(IF(SUMIFS(TF_Timer,TF_Nokkel,$A72&amp;"|"&amp;Y$5,TF_Akt,"LMS")+IF(Y$10="",0,MAX(0,ROUND((Y$13-SUMIFS(TF_Timer,TF_Nokkel,$A72&amp;"|"&amp;Y$5))*2,0)/2))&gt;INDEX(TF_AktSum,MATCH($A72&amp;"|"&amp;Y$5,TF_Dom,0)),"LMS",INDEX(AktKode,MATCH(INDEX(TF_Akt,MATCH($A72&amp;"|"&amp;Y$5,TF_Dom,0)),Aktiviteter,0)))&amp;IF(OR(COUNTIFS(TF_Nokkel,$A72&amp;"|"&amp;Y$5,TF_Akt,"&lt;&gt;"&amp;INDEX(TF_Akt,MATCH($A72&amp;"|"&amp;Y$5,TF_Dom,0)))&gt;0,AND(IF(Y$10="",0,MAX(0,ROUND((Y$13-SUMIFS(TF_Timer,TF_Nokkel,$A72&amp;"|"&amp;Y$5))*2,0)/2))&gt;0,INDEX(TF_Akt,MATCH($A72&amp;"|"&amp;Y$5,TF_Dom,0))&lt;&gt;"LMS")),"+",""),"?"))))</f>
        <v/>
      </c>
      <c r="Z72" s="13">
        <f>IF(OR($A72="",Z$5=""),"",IF(OR(AND(INDEX(TekFra,53)&gt;0,Z$5&lt;INDEX(TekFra,53)),AND(INDEX(TekTil,53)&gt;0,Z$5&gt;INDEX(TekTil,53))),"",IF(COUNTIFS(TF_Nokkel,$A72&amp;"|"&amp;Z$5)=0,IF(Z$10&lt;&gt;"","LMS",""),IFERROR(IF(SUMIFS(TF_Timer,TF_Nokkel,$A72&amp;"|"&amp;Z$5,TF_Akt,"LMS")+IF(Z$10="",0,MAX(0,ROUND((Z$13-SUMIFS(TF_Timer,TF_Nokkel,$A72&amp;"|"&amp;Z$5))*2,0)/2))&gt;INDEX(TF_AktSum,MATCH($A72&amp;"|"&amp;Z$5,TF_Dom,0)),"LMS",INDEX(AktKode,MATCH(INDEX(TF_Akt,MATCH($A72&amp;"|"&amp;Z$5,TF_Dom,0)),Aktiviteter,0)))&amp;IF(OR(COUNTIFS(TF_Nokkel,$A72&amp;"|"&amp;Z$5,TF_Akt,"&lt;&gt;"&amp;INDEX(TF_Akt,MATCH($A72&amp;"|"&amp;Z$5,TF_Dom,0)))&gt;0,AND(IF(Z$10="",0,MAX(0,ROUND((Z$13-SUMIFS(TF_Timer,TF_Nokkel,$A72&amp;"|"&amp;Z$5))*2,0)/2))&gt;0,INDEX(TF_Akt,MATCH($A72&amp;"|"&amp;Z$5,TF_Dom,0))&lt;&gt;"LMS")),"+",""),"?"))))</f>
        <v/>
      </c>
      <c r="AA72" s="13">
        <f>IF(OR($A72="",AA$5=""),"",IF(OR(AND(INDEX(TekFra,53)&gt;0,AA$5&lt;INDEX(TekFra,53)),AND(INDEX(TekTil,53)&gt;0,AA$5&gt;INDEX(TekTil,53))),"",IF(COUNTIFS(TF_Nokkel,$A72&amp;"|"&amp;AA$5)=0,IF(AA$10&lt;&gt;"","LMS",""),IFERROR(IF(SUMIFS(TF_Timer,TF_Nokkel,$A72&amp;"|"&amp;AA$5,TF_Akt,"LMS")+IF(AA$10="",0,MAX(0,ROUND((AA$13-SUMIFS(TF_Timer,TF_Nokkel,$A72&amp;"|"&amp;AA$5))*2,0)/2))&gt;INDEX(TF_AktSum,MATCH($A72&amp;"|"&amp;AA$5,TF_Dom,0)),"LMS",INDEX(AktKode,MATCH(INDEX(TF_Akt,MATCH($A72&amp;"|"&amp;AA$5,TF_Dom,0)),Aktiviteter,0)))&amp;IF(OR(COUNTIFS(TF_Nokkel,$A72&amp;"|"&amp;AA$5,TF_Akt,"&lt;&gt;"&amp;INDEX(TF_Akt,MATCH($A72&amp;"|"&amp;AA$5,TF_Dom,0)))&gt;0,AND(IF(AA$10="",0,MAX(0,ROUND((AA$13-SUMIFS(TF_Timer,TF_Nokkel,$A72&amp;"|"&amp;AA$5))*2,0)/2))&gt;0,INDEX(TF_Akt,MATCH($A72&amp;"|"&amp;AA$5,TF_Dom,0))&lt;&gt;"LMS")),"+",""),"?"))))</f>
        <v/>
      </c>
      <c r="AB72" s="13">
        <f>IF(OR($A72="",AB$5=""),"",IF(OR(AND(INDEX(TekFra,53)&gt;0,AB$5&lt;INDEX(TekFra,53)),AND(INDEX(TekTil,53)&gt;0,AB$5&gt;INDEX(TekTil,53))),"",IF(COUNTIFS(TF_Nokkel,$A72&amp;"|"&amp;AB$5)=0,IF(AB$10&lt;&gt;"","LMS",""),IFERROR(IF(SUMIFS(TF_Timer,TF_Nokkel,$A72&amp;"|"&amp;AB$5,TF_Akt,"LMS")+IF(AB$10="",0,MAX(0,ROUND((AB$13-SUMIFS(TF_Timer,TF_Nokkel,$A72&amp;"|"&amp;AB$5))*2,0)/2))&gt;INDEX(TF_AktSum,MATCH($A72&amp;"|"&amp;AB$5,TF_Dom,0)),"LMS",INDEX(AktKode,MATCH(INDEX(TF_Akt,MATCH($A72&amp;"|"&amp;AB$5,TF_Dom,0)),Aktiviteter,0)))&amp;IF(OR(COUNTIFS(TF_Nokkel,$A72&amp;"|"&amp;AB$5,TF_Akt,"&lt;&gt;"&amp;INDEX(TF_Akt,MATCH($A72&amp;"|"&amp;AB$5,TF_Dom,0)))&gt;0,AND(IF(AB$10="",0,MAX(0,ROUND((AB$13-SUMIFS(TF_Timer,TF_Nokkel,$A72&amp;"|"&amp;AB$5))*2,0)/2))&gt;0,INDEX(TF_Akt,MATCH($A72&amp;"|"&amp;AB$5,TF_Dom,0))&lt;&gt;"LMS")),"+",""),"?"))))</f>
        <v/>
      </c>
      <c r="AC72" s="13">
        <f>IF(OR($A72="",AC$5=""),"",IF(OR(AND(INDEX(TekFra,53)&gt;0,AC$5&lt;INDEX(TekFra,53)),AND(INDEX(TekTil,53)&gt;0,AC$5&gt;INDEX(TekTil,53))),"",IF(COUNTIFS(TF_Nokkel,$A72&amp;"|"&amp;AC$5)=0,IF(AC$10&lt;&gt;"","LMS",""),IFERROR(IF(SUMIFS(TF_Timer,TF_Nokkel,$A72&amp;"|"&amp;AC$5,TF_Akt,"LMS")+IF(AC$10="",0,MAX(0,ROUND((AC$13-SUMIFS(TF_Timer,TF_Nokkel,$A72&amp;"|"&amp;AC$5))*2,0)/2))&gt;INDEX(TF_AktSum,MATCH($A72&amp;"|"&amp;AC$5,TF_Dom,0)),"LMS",INDEX(AktKode,MATCH(INDEX(TF_Akt,MATCH($A72&amp;"|"&amp;AC$5,TF_Dom,0)),Aktiviteter,0)))&amp;IF(OR(COUNTIFS(TF_Nokkel,$A72&amp;"|"&amp;AC$5,TF_Akt,"&lt;&gt;"&amp;INDEX(TF_Akt,MATCH($A72&amp;"|"&amp;AC$5,TF_Dom,0)))&gt;0,AND(IF(AC$10="",0,MAX(0,ROUND((AC$13-SUMIFS(TF_Timer,TF_Nokkel,$A72&amp;"|"&amp;AC$5))*2,0)/2))&gt;0,INDEX(TF_Akt,MATCH($A72&amp;"|"&amp;AC$5,TF_Dom,0))&lt;&gt;"LMS")),"+",""),"?"))))</f>
        <v/>
      </c>
      <c r="AD72" s="13">
        <f>IF(OR($A72="",AD$5=""),"",IF(OR(AND(INDEX(TekFra,53)&gt;0,AD$5&lt;INDEX(TekFra,53)),AND(INDEX(TekTil,53)&gt;0,AD$5&gt;INDEX(TekTil,53))),"",IF(COUNTIFS(TF_Nokkel,$A72&amp;"|"&amp;AD$5)=0,IF(AD$10&lt;&gt;"","LMS",""),IFERROR(IF(SUMIFS(TF_Timer,TF_Nokkel,$A72&amp;"|"&amp;AD$5,TF_Akt,"LMS")+IF(AD$10="",0,MAX(0,ROUND((AD$13-SUMIFS(TF_Timer,TF_Nokkel,$A72&amp;"|"&amp;AD$5))*2,0)/2))&gt;INDEX(TF_AktSum,MATCH($A72&amp;"|"&amp;AD$5,TF_Dom,0)),"LMS",INDEX(AktKode,MATCH(INDEX(TF_Akt,MATCH($A72&amp;"|"&amp;AD$5,TF_Dom,0)),Aktiviteter,0)))&amp;IF(OR(COUNTIFS(TF_Nokkel,$A72&amp;"|"&amp;AD$5,TF_Akt,"&lt;&gt;"&amp;INDEX(TF_Akt,MATCH($A72&amp;"|"&amp;AD$5,TF_Dom,0)))&gt;0,AND(IF(AD$10="",0,MAX(0,ROUND((AD$13-SUMIFS(TF_Timer,TF_Nokkel,$A72&amp;"|"&amp;AD$5))*2,0)/2))&gt;0,INDEX(TF_Akt,MATCH($A72&amp;"|"&amp;AD$5,TF_Dom,0))&lt;&gt;"LMS")),"+",""),"?"))))</f>
        <v/>
      </c>
      <c r="AE72" s="13">
        <f>IF(OR($A72="",AE$5=""),"",IF(OR(AND(INDEX(TekFra,53)&gt;0,AE$5&lt;INDEX(TekFra,53)),AND(INDEX(TekTil,53)&gt;0,AE$5&gt;INDEX(TekTil,53))),"",IF(COUNTIFS(TF_Nokkel,$A72&amp;"|"&amp;AE$5)=0,IF(AE$10&lt;&gt;"","LMS",""),IFERROR(IF(SUMIFS(TF_Timer,TF_Nokkel,$A72&amp;"|"&amp;AE$5,TF_Akt,"LMS")+IF(AE$10="",0,MAX(0,ROUND((AE$13-SUMIFS(TF_Timer,TF_Nokkel,$A72&amp;"|"&amp;AE$5))*2,0)/2))&gt;INDEX(TF_AktSum,MATCH($A72&amp;"|"&amp;AE$5,TF_Dom,0)),"LMS",INDEX(AktKode,MATCH(INDEX(TF_Akt,MATCH($A72&amp;"|"&amp;AE$5,TF_Dom,0)),Aktiviteter,0)))&amp;IF(OR(COUNTIFS(TF_Nokkel,$A72&amp;"|"&amp;AE$5,TF_Akt,"&lt;&gt;"&amp;INDEX(TF_Akt,MATCH($A72&amp;"|"&amp;AE$5,TF_Dom,0)))&gt;0,AND(IF(AE$10="",0,MAX(0,ROUND((AE$13-SUMIFS(TF_Timer,TF_Nokkel,$A72&amp;"|"&amp;AE$5))*2,0)/2))&gt;0,INDEX(TF_Akt,MATCH($A72&amp;"|"&amp;AE$5,TF_Dom,0))&lt;&gt;"LMS")),"+",""),"?"))))</f>
        <v/>
      </c>
      <c r="AF72" s="13">
        <f>IF(OR($A72="",AF$5=""),"",IF(OR(AND(INDEX(TekFra,53)&gt;0,AF$5&lt;INDEX(TekFra,53)),AND(INDEX(TekTil,53)&gt;0,AF$5&gt;INDEX(TekTil,53))),"",IF(COUNTIFS(TF_Nokkel,$A72&amp;"|"&amp;AF$5)=0,IF(AF$10&lt;&gt;"","LMS",""),IFERROR(IF(SUMIFS(TF_Timer,TF_Nokkel,$A72&amp;"|"&amp;AF$5,TF_Akt,"LMS")+IF(AF$10="",0,MAX(0,ROUND((AF$13-SUMIFS(TF_Timer,TF_Nokkel,$A72&amp;"|"&amp;AF$5))*2,0)/2))&gt;INDEX(TF_AktSum,MATCH($A72&amp;"|"&amp;AF$5,TF_Dom,0)),"LMS",INDEX(AktKode,MATCH(INDEX(TF_Akt,MATCH($A72&amp;"|"&amp;AF$5,TF_Dom,0)),Aktiviteter,0)))&amp;IF(OR(COUNTIFS(TF_Nokkel,$A72&amp;"|"&amp;AF$5,TF_Akt,"&lt;&gt;"&amp;INDEX(TF_Akt,MATCH($A72&amp;"|"&amp;AF$5,TF_Dom,0)))&gt;0,AND(IF(AF$10="",0,MAX(0,ROUND((AF$13-SUMIFS(TF_Timer,TF_Nokkel,$A72&amp;"|"&amp;AF$5))*2,0)/2))&gt;0,INDEX(TF_Akt,MATCH($A72&amp;"|"&amp;AF$5,TF_Dom,0))&lt;&gt;"LMS")),"+",""),"?"))))</f>
        <v/>
      </c>
      <c r="AG72" s="13">
        <f>IF(OR($A72="",AG$5=""),"",IF(OR(AND(INDEX(TekFra,53)&gt;0,AG$5&lt;INDEX(TekFra,53)),AND(INDEX(TekTil,53)&gt;0,AG$5&gt;INDEX(TekTil,53))),"",IF(COUNTIFS(TF_Nokkel,$A72&amp;"|"&amp;AG$5)=0,IF(AG$10&lt;&gt;"","LMS",""),IFERROR(IF(SUMIFS(TF_Timer,TF_Nokkel,$A72&amp;"|"&amp;AG$5,TF_Akt,"LMS")+IF(AG$10="",0,MAX(0,ROUND((AG$13-SUMIFS(TF_Timer,TF_Nokkel,$A72&amp;"|"&amp;AG$5))*2,0)/2))&gt;INDEX(TF_AktSum,MATCH($A72&amp;"|"&amp;AG$5,TF_Dom,0)),"LMS",INDEX(AktKode,MATCH(INDEX(TF_Akt,MATCH($A72&amp;"|"&amp;AG$5,TF_Dom,0)),Aktiviteter,0)))&amp;IF(OR(COUNTIFS(TF_Nokkel,$A72&amp;"|"&amp;AG$5,TF_Akt,"&lt;&gt;"&amp;INDEX(TF_Akt,MATCH($A72&amp;"|"&amp;AG$5,TF_Dom,0)))&gt;0,AND(IF(AG$10="",0,MAX(0,ROUND((AG$13-SUMIFS(TF_Timer,TF_Nokkel,$A72&amp;"|"&amp;AG$5))*2,0)/2))&gt;0,INDEX(TF_Akt,MATCH($A72&amp;"|"&amp;AG$5,TF_Dom,0))&lt;&gt;"LMS")),"+",""),"?"))))</f>
        <v/>
      </c>
      <c r="AH72" s="2" t="n"/>
      <c r="AI72" s="2" t="n"/>
      <c r="AJ72" s="2" t="n"/>
    </row>
    <row r="73">
      <c r="A73" s="2">
        <f>INDEX(Teknikere,54)&amp;""</f>
        <v/>
      </c>
      <c r="B73" s="12">
        <f>IF(INDEX(TekFra,54)&gt;0,"ekstra","")</f>
        <v/>
      </c>
      <c r="C73" s="13">
        <f>IF(OR($A73="",C$5=""),"",IF(OR(AND(INDEX(TekFra,54)&gt;0,C$5&lt;INDEX(TekFra,54)),AND(INDEX(TekTil,54)&gt;0,C$5&gt;INDEX(TekTil,54))),"",IF(COUNTIFS(TF_Nokkel,$A73&amp;"|"&amp;C$5)=0,IF(C$10&lt;&gt;"","LMS",""),IFERROR(IF(SUMIFS(TF_Timer,TF_Nokkel,$A73&amp;"|"&amp;C$5,TF_Akt,"LMS")+IF(C$10="",0,MAX(0,ROUND((C$13-SUMIFS(TF_Timer,TF_Nokkel,$A73&amp;"|"&amp;C$5))*2,0)/2))&gt;INDEX(TF_AktSum,MATCH($A73&amp;"|"&amp;C$5,TF_Dom,0)),"LMS",INDEX(AktKode,MATCH(INDEX(TF_Akt,MATCH($A73&amp;"|"&amp;C$5,TF_Dom,0)),Aktiviteter,0)))&amp;IF(OR(COUNTIFS(TF_Nokkel,$A73&amp;"|"&amp;C$5,TF_Akt,"&lt;&gt;"&amp;INDEX(TF_Akt,MATCH($A73&amp;"|"&amp;C$5,TF_Dom,0)))&gt;0,AND(IF(C$10="",0,MAX(0,ROUND((C$13-SUMIFS(TF_Timer,TF_Nokkel,$A73&amp;"|"&amp;C$5))*2,0)/2))&gt;0,INDEX(TF_Akt,MATCH($A73&amp;"|"&amp;C$5,TF_Dom,0))&lt;&gt;"LMS")),"+",""),"?"))))</f>
        <v/>
      </c>
      <c r="D73" s="13">
        <f>IF(OR($A73="",D$5=""),"",IF(OR(AND(INDEX(TekFra,54)&gt;0,D$5&lt;INDEX(TekFra,54)),AND(INDEX(TekTil,54)&gt;0,D$5&gt;INDEX(TekTil,54))),"",IF(COUNTIFS(TF_Nokkel,$A73&amp;"|"&amp;D$5)=0,IF(D$10&lt;&gt;"","LMS",""),IFERROR(IF(SUMIFS(TF_Timer,TF_Nokkel,$A73&amp;"|"&amp;D$5,TF_Akt,"LMS")+IF(D$10="",0,MAX(0,ROUND((D$13-SUMIFS(TF_Timer,TF_Nokkel,$A73&amp;"|"&amp;D$5))*2,0)/2))&gt;INDEX(TF_AktSum,MATCH($A73&amp;"|"&amp;D$5,TF_Dom,0)),"LMS",INDEX(AktKode,MATCH(INDEX(TF_Akt,MATCH($A73&amp;"|"&amp;D$5,TF_Dom,0)),Aktiviteter,0)))&amp;IF(OR(COUNTIFS(TF_Nokkel,$A73&amp;"|"&amp;D$5,TF_Akt,"&lt;&gt;"&amp;INDEX(TF_Akt,MATCH($A73&amp;"|"&amp;D$5,TF_Dom,0)))&gt;0,AND(IF(D$10="",0,MAX(0,ROUND((D$13-SUMIFS(TF_Timer,TF_Nokkel,$A73&amp;"|"&amp;D$5))*2,0)/2))&gt;0,INDEX(TF_Akt,MATCH($A73&amp;"|"&amp;D$5,TF_Dom,0))&lt;&gt;"LMS")),"+",""),"?"))))</f>
        <v/>
      </c>
      <c r="E73" s="13">
        <f>IF(OR($A73="",E$5=""),"",IF(OR(AND(INDEX(TekFra,54)&gt;0,E$5&lt;INDEX(TekFra,54)),AND(INDEX(TekTil,54)&gt;0,E$5&gt;INDEX(TekTil,54))),"",IF(COUNTIFS(TF_Nokkel,$A73&amp;"|"&amp;E$5)=0,IF(E$10&lt;&gt;"","LMS",""),IFERROR(IF(SUMIFS(TF_Timer,TF_Nokkel,$A73&amp;"|"&amp;E$5,TF_Akt,"LMS")+IF(E$10="",0,MAX(0,ROUND((E$13-SUMIFS(TF_Timer,TF_Nokkel,$A73&amp;"|"&amp;E$5))*2,0)/2))&gt;INDEX(TF_AktSum,MATCH($A73&amp;"|"&amp;E$5,TF_Dom,0)),"LMS",INDEX(AktKode,MATCH(INDEX(TF_Akt,MATCH($A73&amp;"|"&amp;E$5,TF_Dom,0)),Aktiviteter,0)))&amp;IF(OR(COUNTIFS(TF_Nokkel,$A73&amp;"|"&amp;E$5,TF_Akt,"&lt;&gt;"&amp;INDEX(TF_Akt,MATCH($A73&amp;"|"&amp;E$5,TF_Dom,0)))&gt;0,AND(IF(E$10="",0,MAX(0,ROUND((E$13-SUMIFS(TF_Timer,TF_Nokkel,$A73&amp;"|"&amp;E$5))*2,0)/2))&gt;0,INDEX(TF_Akt,MATCH($A73&amp;"|"&amp;E$5,TF_Dom,0))&lt;&gt;"LMS")),"+",""),"?"))))</f>
        <v/>
      </c>
      <c r="F73" s="13">
        <f>IF(OR($A73="",F$5=""),"",IF(OR(AND(INDEX(TekFra,54)&gt;0,F$5&lt;INDEX(TekFra,54)),AND(INDEX(TekTil,54)&gt;0,F$5&gt;INDEX(TekTil,54))),"",IF(COUNTIFS(TF_Nokkel,$A73&amp;"|"&amp;F$5)=0,IF(F$10&lt;&gt;"","LMS",""),IFERROR(IF(SUMIFS(TF_Timer,TF_Nokkel,$A73&amp;"|"&amp;F$5,TF_Akt,"LMS")+IF(F$10="",0,MAX(0,ROUND((F$13-SUMIFS(TF_Timer,TF_Nokkel,$A73&amp;"|"&amp;F$5))*2,0)/2))&gt;INDEX(TF_AktSum,MATCH($A73&amp;"|"&amp;F$5,TF_Dom,0)),"LMS",INDEX(AktKode,MATCH(INDEX(TF_Akt,MATCH($A73&amp;"|"&amp;F$5,TF_Dom,0)),Aktiviteter,0)))&amp;IF(OR(COUNTIFS(TF_Nokkel,$A73&amp;"|"&amp;F$5,TF_Akt,"&lt;&gt;"&amp;INDEX(TF_Akt,MATCH($A73&amp;"|"&amp;F$5,TF_Dom,0)))&gt;0,AND(IF(F$10="",0,MAX(0,ROUND((F$13-SUMIFS(TF_Timer,TF_Nokkel,$A73&amp;"|"&amp;F$5))*2,0)/2))&gt;0,INDEX(TF_Akt,MATCH($A73&amp;"|"&amp;F$5,TF_Dom,0))&lt;&gt;"LMS")),"+",""),"?"))))</f>
        <v/>
      </c>
      <c r="G73" s="13">
        <f>IF(OR($A73="",G$5=""),"",IF(OR(AND(INDEX(TekFra,54)&gt;0,G$5&lt;INDEX(TekFra,54)),AND(INDEX(TekTil,54)&gt;0,G$5&gt;INDEX(TekTil,54))),"",IF(COUNTIFS(TF_Nokkel,$A73&amp;"|"&amp;G$5)=0,IF(G$10&lt;&gt;"","LMS",""),IFERROR(IF(SUMIFS(TF_Timer,TF_Nokkel,$A73&amp;"|"&amp;G$5,TF_Akt,"LMS")+IF(G$10="",0,MAX(0,ROUND((G$13-SUMIFS(TF_Timer,TF_Nokkel,$A73&amp;"|"&amp;G$5))*2,0)/2))&gt;INDEX(TF_AktSum,MATCH($A73&amp;"|"&amp;G$5,TF_Dom,0)),"LMS",INDEX(AktKode,MATCH(INDEX(TF_Akt,MATCH($A73&amp;"|"&amp;G$5,TF_Dom,0)),Aktiviteter,0)))&amp;IF(OR(COUNTIFS(TF_Nokkel,$A73&amp;"|"&amp;G$5,TF_Akt,"&lt;&gt;"&amp;INDEX(TF_Akt,MATCH($A73&amp;"|"&amp;G$5,TF_Dom,0)))&gt;0,AND(IF(G$10="",0,MAX(0,ROUND((G$13-SUMIFS(TF_Timer,TF_Nokkel,$A73&amp;"|"&amp;G$5))*2,0)/2))&gt;0,INDEX(TF_Akt,MATCH($A73&amp;"|"&amp;G$5,TF_Dom,0))&lt;&gt;"LMS")),"+",""),"?"))))</f>
        <v/>
      </c>
      <c r="H73" s="13">
        <f>IF(OR($A73="",H$5=""),"",IF(OR(AND(INDEX(TekFra,54)&gt;0,H$5&lt;INDEX(TekFra,54)),AND(INDEX(TekTil,54)&gt;0,H$5&gt;INDEX(TekTil,54))),"",IF(COUNTIFS(TF_Nokkel,$A73&amp;"|"&amp;H$5)=0,IF(H$10&lt;&gt;"","LMS",""),IFERROR(IF(SUMIFS(TF_Timer,TF_Nokkel,$A73&amp;"|"&amp;H$5,TF_Akt,"LMS")+IF(H$10="",0,MAX(0,ROUND((H$13-SUMIFS(TF_Timer,TF_Nokkel,$A73&amp;"|"&amp;H$5))*2,0)/2))&gt;INDEX(TF_AktSum,MATCH($A73&amp;"|"&amp;H$5,TF_Dom,0)),"LMS",INDEX(AktKode,MATCH(INDEX(TF_Akt,MATCH($A73&amp;"|"&amp;H$5,TF_Dom,0)),Aktiviteter,0)))&amp;IF(OR(COUNTIFS(TF_Nokkel,$A73&amp;"|"&amp;H$5,TF_Akt,"&lt;&gt;"&amp;INDEX(TF_Akt,MATCH($A73&amp;"|"&amp;H$5,TF_Dom,0)))&gt;0,AND(IF(H$10="",0,MAX(0,ROUND((H$13-SUMIFS(TF_Timer,TF_Nokkel,$A73&amp;"|"&amp;H$5))*2,0)/2))&gt;0,INDEX(TF_Akt,MATCH($A73&amp;"|"&amp;H$5,TF_Dom,0))&lt;&gt;"LMS")),"+",""),"?"))))</f>
        <v/>
      </c>
      <c r="I73" s="13">
        <f>IF(OR($A73="",I$5=""),"",IF(OR(AND(INDEX(TekFra,54)&gt;0,I$5&lt;INDEX(TekFra,54)),AND(INDEX(TekTil,54)&gt;0,I$5&gt;INDEX(TekTil,54))),"",IF(COUNTIFS(TF_Nokkel,$A73&amp;"|"&amp;I$5)=0,IF(I$10&lt;&gt;"","LMS",""),IFERROR(IF(SUMIFS(TF_Timer,TF_Nokkel,$A73&amp;"|"&amp;I$5,TF_Akt,"LMS")+IF(I$10="",0,MAX(0,ROUND((I$13-SUMIFS(TF_Timer,TF_Nokkel,$A73&amp;"|"&amp;I$5))*2,0)/2))&gt;INDEX(TF_AktSum,MATCH($A73&amp;"|"&amp;I$5,TF_Dom,0)),"LMS",INDEX(AktKode,MATCH(INDEX(TF_Akt,MATCH($A73&amp;"|"&amp;I$5,TF_Dom,0)),Aktiviteter,0)))&amp;IF(OR(COUNTIFS(TF_Nokkel,$A73&amp;"|"&amp;I$5,TF_Akt,"&lt;&gt;"&amp;INDEX(TF_Akt,MATCH($A73&amp;"|"&amp;I$5,TF_Dom,0)))&gt;0,AND(IF(I$10="",0,MAX(0,ROUND((I$13-SUMIFS(TF_Timer,TF_Nokkel,$A73&amp;"|"&amp;I$5))*2,0)/2))&gt;0,INDEX(TF_Akt,MATCH($A73&amp;"|"&amp;I$5,TF_Dom,0))&lt;&gt;"LMS")),"+",""),"?"))))</f>
        <v/>
      </c>
      <c r="J73" s="13">
        <f>IF(OR($A73="",J$5=""),"",IF(OR(AND(INDEX(TekFra,54)&gt;0,J$5&lt;INDEX(TekFra,54)),AND(INDEX(TekTil,54)&gt;0,J$5&gt;INDEX(TekTil,54))),"",IF(COUNTIFS(TF_Nokkel,$A73&amp;"|"&amp;J$5)=0,IF(J$10&lt;&gt;"","LMS",""),IFERROR(IF(SUMIFS(TF_Timer,TF_Nokkel,$A73&amp;"|"&amp;J$5,TF_Akt,"LMS")+IF(J$10="",0,MAX(0,ROUND((J$13-SUMIFS(TF_Timer,TF_Nokkel,$A73&amp;"|"&amp;J$5))*2,0)/2))&gt;INDEX(TF_AktSum,MATCH($A73&amp;"|"&amp;J$5,TF_Dom,0)),"LMS",INDEX(AktKode,MATCH(INDEX(TF_Akt,MATCH($A73&amp;"|"&amp;J$5,TF_Dom,0)),Aktiviteter,0)))&amp;IF(OR(COUNTIFS(TF_Nokkel,$A73&amp;"|"&amp;J$5,TF_Akt,"&lt;&gt;"&amp;INDEX(TF_Akt,MATCH($A73&amp;"|"&amp;J$5,TF_Dom,0)))&gt;0,AND(IF(J$10="",0,MAX(0,ROUND((J$13-SUMIFS(TF_Timer,TF_Nokkel,$A73&amp;"|"&amp;J$5))*2,0)/2))&gt;0,INDEX(TF_Akt,MATCH($A73&amp;"|"&amp;J$5,TF_Dom,0))&lt;&gt;"LMS")),"+",""),"?"))))</f>
        <v/>
      </c>
      <c r="K73" s="13">
        <f>IF(OR($A73="",K$5=""),"",IF(OR(AND(INDEX(TekFra,54)&gt;0,K$5&lt;INDEX(TekFra,54)),AND(INDEX(TekTil,54)&gt;0,K$5&gt;INDEX(TekTil,54))),"",IF(COUNTIFS(TF_Nokkel,$A73&amp;"|"&amp;K$5)=0,IF(K$10&lt;&gt;"","LMS",""),IFERROR(IF(SUMIFS(TF_Timer,TF_Nokkel,$A73&amp;"|"&amp;K$5,TF_Akt,"LMS")+IF(K$10="",0,MAX(0,ROUND((K$13-SUMIFS(TF_Timer,TF_Nokkel,$A73&amp;"|"&amp;K$5))*2,0)/2))&gt;INDEX(TF_AktSum,MATCH($A73&amp;"|"&amp;K$5,TF_Dom,0)),"LMS",INDEX(AktKode,MATCH(INDEX(TF_Akt,MATCH($A73&amp;"|"&amp;K$5,TF_Dom,0)),Aktiviteter,0)))&amp;IF(OR(COUNTIFS(TF_Nokkel,$A73&amp;"|"&amp;K$5,TF_Akt,"&lt;&gt;"&amp;INDEX(TF_Akt,MATCH($A73&amp;"|"&amp;K$5,TF_Dom,0)))&gt;0,AND(IF(K$10="",0,MAX(0,ROUND((K$13-SUMIFS(TF_Timer,TF_Nokkel,$A73&amp;"|"&amp;K$5))*2,0)/2))&gt;0,INDEX(TF_Akt,MATCH($A73&amp;"|"&amp;K$5,TF_Dom,0))&lt;&gt;"LMS")),"+",""),"?"))))</f>
        <v/>
      </c>
      <c r="L73" s="13">
        <f>IF(OR($A73="",L$5=""),"",IF(OR(AND(INDEX(TekFra,54)&gt;0,L$5&lt;INDEX(TekFra,54)),AND(INDEX(TekTil,54)&gt;0,L$5&gt;INDEX(TekTil,54))),"",IF(COUNTIFS(TF_Nokkel,$A73&amp;"|"&amp;L$5)=0,IF(L$10&lt;&gt;"","LMS",""),IFERROR(IF(SUMIFS(TF_Timer,TF_Nokkel,$A73&amp;"|"&amp;L$5,TF_Akt,"LMS")+IF(L$10="",0,MAX(0,ROUND((L$13-SUMIFS(TF_Timer,TF_Nokkel,$A73&amp;"|"&amp;L$5))*2,0)/2))&gt;INDEX(TF_AktSum,MATCH($A73&amp;"|"&amp;L$5,TF_Dom,0)),"LMS",INDEX(AktKode,MATCH(INDEX(TF_Akt,MATCH($A73&amp;"|"&amp;L$5,TF_Dom,0)),Aktiviteter,0)))&amp;IF(OR(COUNTIFS(TF_Nokkel,$A73&amp;"|"&amp;L$5,TF_Akt,"&lt;&gt;"&amp;INDEX(TF_Akt,MATCH($A73&amp;"|"&amp;L$5,TF_Dom,0)))&gt;0,AND(IF(L$10="",0,MAX(0,ROUND((L$13-SUMIFS(TF_Timer,TF_Nokkel,$A73&amp;"|"&amp;L$5))*2,0)/2))&gt;0,INDEX(TF_Akt,MATCH($A73&amp;"|"&amp;L$5,TF_Dom,0))&lt;&gt;"LMS")),"+",""),"?"))))</f>
        <v/>
      </c>
      <c r="M73" s="13">
        <f>IF(OR($A73="",M$5=""),"",IF(OR(AND(INDEX(TekFra,54)&gt;0,M$5&lt;INDEX(TekFra,54)),AND(INDEX(TekTil,54)&gt;0,M$5&gt;INDEX(TekTil,54))),"",IF(COUNTIFS(TF_Nokkel,$A73&amp;"|"&amp;M$5)=0,IF(M$10&lt;&gt;"","LMS",""),IFERROR(IF(SUMIFS(TF_Timer,TF_Nokkel,$A73&amp;"|"&amp;M$5,TF_Akt,"LMS")+IF(M$10="",0,MAX(0,ROUND((M$13-SUMIFS(TF_Timer,TF_Nokkel,$A73&amp;"|"&amp;M$5))*2,0)/2))&gt;INDEX(TF_AktSum,MATCH($A73&amp;"|"&amp;M$5,TF_Dom,0)),"LMS",INDEX(AktKode,MATCH(INDEX(TF_Akt,MATCH($A73&amp;"|"&amp;M$5,TF_Dom,0)),Aktiviteter,0)))&amp;IF(OR(COUNTIFS(TF_Nokkel,$A73&amp;"|"&amp;M$5,TF_Akt,"&lt;&gt;"&amp;INDEX(TF_Akt,MATCH($A73&amp;"|"&amp;M$5,TF_Dom,0)))&gt;0,AND(IF(M$10="",0,MAX(0,ROUND((M$13-SUMIFS(TF_Timer,TF_Nokkel,$A73&amp;"|"&amp;M$5))*2,0)/2))&gt;0,INDEX(TF_Akt,MATCH($A73&amp;"|"&amp;M$5,TF_Dom,0))&lt;&gt;"LMS")),"+",""),"?"))))</f>
        <v/>
      </c>
      <c r="N73" s="13">
        <f>IF(OR($A73="",N$5=""),"",IF(OR(AND(INDEX(TekFra,54)&gt;0,N$5&lt;INDEX(TekFra,54)),AND(INDEX(TekTil,54)&gt;0,N$5&gt;INDEX(TekTil,54))),"",IF(COUNTIFS(TF_Nokkel,$A73&amp;"|"&amp;N$5)=0,IF(N$10&lt;&gt;"","LMS",""),IFERROR(IF(SUMIFS(TF_Timer,TF_Nokkel,$A73&amp;"|"&amp;N$5,TF_Akt,"LMS")+IF(N$10="",0,MAX(0,ROUND((N$13-SUMIFS(TF_Timer,TF_Nokkel,$A73&amp;"|"&amp;N$5))*2,0)/2))&gt;INDEX(TF_AktSum,MATCH($A73&amp;"|"&amp;N$5,TF_Dom,0)),"LMS",INDEX(AktKode,MATCH(INDEX(TF_Akt,MATCH($A73&amp;"|"&amp;N$5,TF_Dom,0)),Aktiviteter,0)))&amp;IF(OR(COUNTIFS(TF_Nokkel,$A73&amp;"|"&amp;N$5,TF_Akt,"&lt;&gt;"&amp;INDEX(TF_Akt,MATCH($A73&amp;"|"&amp;N$5,TF_Dom,0)))&gt;0,AND(IF(N$10="",0,MAX(0,ROUND((N$13-SUMIFS(TF_Timer,TF_Nokkel,$A73&amp;"|"&amp;N$5))*2,0)/2))&gt;0,INDEX(TF_Akt,MATCH($A73&amp;"|"&amp;N$5,TF_Dom,0))&lt;&gt;"LMS")),"+",""),"?"))))</f>
        <v/>
      </c>
      <c r="O73" s="13">
        <f>IF(OR($A73="",O$5=""),"",IF(OR(AND(INDEX(TekFra,54)&gt;0,O$5&lt;INDEX(TekFra,54)),AND(INDEX(TekTil,54)&gt;0,O$5&gt;INDEX(TekTil,54))),"",IF(COUNTIFS(TF_Nokkel,$A73&amp;"|"&amp;O$5)=0,IF(O$10&lt;&gt;"","LMS",""),IFERROR(IF(SUMIFS(TF_Timer,TF_Nokkel,$A73&amp;"|"&amp;O$5,TF_Akt,"LMS")+IF(O$10="",0,MAX(0,ROUND((O$13-SUMIFS(TF_Timer,TF_Nokkel,$A73&amp;"|"&amp;O$5))*2,0)/2))&gt;INDEX(TF_AktSum,MATCH($A73&amp;"|"&amp;O$5,TF_Dom,0)),"LMS",INDEX(AktKode,MATCH(INDEX(TF_Akt,MATCH($A73&amp;"|"&amp;O$5,TF_Dom,0)),Aktiviteter,0)))&amp;IF(OR(COUNTIFS(TF_Nokkel,$A73&amp;"|"&amp;O$5,TF_Akt,"&lt;&gt;"&amp;INDEX(TF_Akt,MATCH($A73&amp;"|"&amp;O$5,TF_Dom,0)))&gt;0,AND(IF(O$10="",0,MAX(0,ROUND((O$13-SUMIFS(TF_Timer,TF_Nokkel,$A73&amp;"|"&amp;O$5))*2,0)/2))&gt;0,INDEX(TF_Akt,MATCH($A73&amp;"|"&amp;O$5,TF_Dom,0))&lt;&gt;"LMS")),"+",""),"?"))))</f>
        <v/>
      </c>
      <c r="P73" s="13">
        <f>IF(OR($A73="",P$5=""),"",IF(OR(AND(INDEX(TekFra,54)&gt;0,P$5&lt;INDEX(TekFra,54)),AND(INDEX(TekTil,54)&gt;0,P$5&gt;INDEX(TekTil,54))),"",IF(COUNTIFS(TF_Nokkel,$A73&amp;"|"&amp;P$5)=0,IF(P$10&lt;&gt;"","LMS",""),IFERROR(IF(SUMIFS(TF_Timer,TF_Nokkel,$A73&amp;"|"&amp;P$5,TF_Akt,"LMS")+IF(P$10="",0,MAX(0,ROUND((P$13-SUMIFS(TF_Timer,TF_Nokkel,$A73&amp;"|"&amp;P$5))*2,0)/2))&gt;INDEX(TF_AktSum,MATCH($A73&amp;"|"&amp;P$5,TF_Dom,0)),"LMS",INDEX(AktKode,MATCH(INDEX(TF_Akt,MATCH($A73&amp;"|"&amp;P$5,TF_Dom,0)),Aktiviteter,0)))&amp;IF(OR(COUNTIFS(TF_Nokkel,$A73&amp;"|"&amp;P$5,TF_Akt,"&lt;&gt;"&amp;INDEX(TF_Akt,MATCH($A73&amp;"|"&amp;P$5,TF_Dom,0)))&gt;0,AND(IF(P$10="",0,MAX(0,ROUND((P$13-SUMIFS(TF_Timer,TF_Nokkel,$A73&amp;"|"&amp;P$5))*2,0)/2))&gt;0,INDEX(TF_Akt,MATCH($A73&amp;"|"&amp;P$5,TF_Dom,0))&lt;&gt;"LMS")),"+",""),"?"))))</f>
        <v/>
      </c>
      <c r="Q73" s="13">
        <f>IF(OR($A73="",Q$5=""),"",IF(OR(AND(INDEX(TekFra,54)&gt;0,Q$5&lt;INDEX(TekFra,54)),AND(INDEX(TekTil,54)&gt;0,Q$5&gt;INDEX(TekTil,54))),"",IF(COUNTIFS(TF_Nokkel,$A73&amp;"|"&amp;Q$5)=0,IF(Q$10&lt;&gt;"","LMS",""),IFERROR(IF(SUMIFS(TF_Timer,TF_Nokkel,$A73&amp;"|"&amp;Q$5,TF_Akt,"LMS")+IF(Q$10="",0,MAX(0,ROUND((Q$13-SUMIFS(TF_Timer,TF_Nokkel,$A73&amp;"|"&amp;Q$5))*2,0)/2))&gt;INDEX(TF_AktSum,MATCH($A73&amp;"|"&amp;Q$5,TF_Dom,0)),"LMS",INDEX(AktKode,MATCH(INDEX(TF_Akt,MATCH($A73&amp;"|"&amp;Q$5,TF_Dom,0)),Aktiviteter,0)))&amp;IF(OR(COUNTIFS(TF_Nokkel,$A73&amp;"|"&amp;Q$5,TF_Akt,"&lt;&gt;"&amp;INDEX(TF_Akt,MATCH($A73&amp;"|"&amp;Q$5,TF_Dom,0)))&gt;0,AND(IF(Q$10="",0,MAX(0,ROUND((Q$13-SUMIFS(TF_Timer,TF_Nokkel,$A73&amp;"|"&amp;Q$5))*2,0)/2))&gt;0,INDEX(TF_Akt,MATCH($A73&amp;"|"&amp;Q$5,TF_Dom,0))&lt;&gt;"LMS")),"+",""),"?"))))</f>
        <v/>
      </c>
      <c r="R73" s="13">
        <f>IF(OR($A73="",R$5=""),"",IF(OR(AND(INDEX(TekFra,54)&gt;0,R$5&lt;INDEX(TekFra,54)),AND(INDEX(TekTil,54)&gt;0,R$5&gt;INDEX(TekTil,54))),"",IF(COUNTIFS(TF_Nokkel,$A73&amp;"|"&amp;R$5)=0,IF(R$10&lt;&gt;"","LMS",""),IFERROR(IF(SUMIFS(TF_Timer,TF_Nokkel,$A73&amp;"|"&amp;R$5,TF_Akt,"LMS")+IF(R$10="",0,MAX(0,ROUND((R$13-SUMIFS(TF_Timer,TF_Nokkel,$A73&amp;"|"&amp;R$5))*2,0)/2))&gt;INDEX(TF_AktSum,MATCH($A73&amp;"|"&amp;R$5,TF_Dom,0)),"LMS",INDEX(AktKode,MATCH(INDEX(TF_Akt,MATCH($A73&amp;"|"&amp;R$5,TF_Dom,0)),Aktiviteter,0)))&amp;IF(OR(COUNTIFS(TF_Nokkel,$A73&amp;"|"&amp;R$5,TF_Akt,"&lt;&gt;"&amp;INDEX(TF_Akt,MATCH($A73&amp;"|"&amp;R$5,TF_Dom,0)))&gt;0,AND(IF(R$10="",0,MAX(0,ROUND((R$13-SUMIFS(TF_Timer,TF_Nokkel,$A73&amp;"|"&amp;R$5))*2,0)/2))&gt;0,INDEX(TF_Akt,MATCH($A73&amp;"|"&amp;R$5,TF_Dom,0))&lt;&gt;"LMS")),"+",""),"?"))))</f>
        <v/>
      </c>
      <c r="S73" s="13">
        <f>IF(OR($A73="",S$5=""),"",IF(OR(AND(INDEX(TekFra,54)&gt;0,S$5&lt;INDEX(TekFra,54)),AND(INDEX(TekTil,54)&gt;0,S$5&gt;INDEX(TekTil,54))),"",IF(COUNTIFS(TF_Nokkel,$A73&amp;"|"&amp;S$5)=0,IF(S$10&lt;&gt;"","LMS",""),IFERROR(IF(SUMIFS(TF_Timer,TF_Nokkel,$A73&amp;"|"&amp;S$5,TF_Akt,"LMS")+IF(S$10="",0,MAX(0,ROUND((S$13-SUMIFS(TF_Timer,TF_Nokkel,$A73&amp;"|"&amp;S$5))*2,0)/2))&gt;INDEX(TF_AktSum,MATCH($A73&amp;"|"&amp;S$5,TF_Dom,0)),"LMS",INDEX(AktKode,MATCH(INDEX(TF_Akt,MATCH($A73&amp;"|"&amp;S$5,TF_Dom,0)),Aktiviteter,0)))&amp;IF(OR(COUNTIFS(TF_Nokkel,$A73&amp;"|"&amp;S$5,TF_Akt,"&lt;&gt;"&amp;INDEX(TF_Akt,MATCH($A73&amp;"|"&amp;S$5,TF_Dom,0)))&gt;0,AND(IF(S$10="",0,MAX(0,ROUND((S$13-SUMIFS(TF_Timer,TF_Nokkel,$A73&amp;"|"&amp;S$5))*2,0)/2))&gt;0,INDEX(TF_Akt,MATCH($A73&amp;"|"&amp;S$5,TF_Dom,0))&lt;&gt;"LMS")),"+",""),"?"))))</f>
        <v/>
      </c>
      <c r="T73" s="13">
        <f>IF(OR($A73="",T$5=""),"",IF(OR(AND(INDEX(TekFra,54)&gt;0,T$5&lt;INDEX(TekFra,54)),AND(INDEX(TekTil,54)&gt;0,T$5&gt;INDEX(TekTil,54))),"",IF(COUNTIFS(TF_Nokkel,$A73&amp;"|"&amp;T$5)=0,IF(T$10&lt;&gt;"","LMS",""),IFERROR(IF(SUMIFS(TF_Timer,TF_Nokkel,$A73&amp;"|"&amp;T$5,TF_Akt,"LMS")+IF(T$10="",0,MAX(0,ROUND((T$13-SUMIFS(TF_Timer,TF_Nokkel,$A73&amp;"|"&amp;T$5))*2,0)/2))&gt;INDEX(TF_AktSum,MATCH($A73&amp;"|"&amp;T$5,TF_Dom,0)),"LMS",INDEX(AktKode,MATCH(INDEX(TF_Akt,MATCH($A73&amp;"|"&amp;T$5,TF_Dom,0)),Aktiviteter,0)))&amp;IF(OR(COUNTIFS(TF_Nokkel,$A73&amp;"|"&amp;T$5,TF_Akt,"&lt;&gt;"&amp;INDEX(TF_Akt,MATCH($A73&amp;"|"&amp;T$5,TF_Dom,0)))&gt;0,AND(IF(T$10="",0,MAX(0,ROUND((T$13-SUMIFS(TF_Timer,TF_Nokkel,$A73&amp;"|"&amp;T$5))*2,0)/2))&gt;0,INDEX(TF_Akt,MATCH($A73&amp;"|"&amp;T$5,TF_Dom,0))&lt;&gt;"LMS")),"+",""),"?"))))</f>
        <v/>
      </c>
      <c r="U73" s="13">
        <f>IF(OR($A73="",U$5=""),"",IF(OR(AND(INDEX(TekFra,54)&gt;0,U$5&lt;INDEX(TekFra,54)),AND(INDEX(TekTil,54)&gt;0,U$5&gt;INDEX(TekTil,54))),"",IF(COUNTIFS(TF_Nokkel,$A73&amp;"|"&amp;U$5)=0,IF(U$10&lt;&gt;"","LMS",""),IFERROR(IF(SUMIFS(TF_Timer,TF_Nokkel,$A73&amp;"|"&amp;U$5,TF_Akt,"LMS")+IF(U$10="",0,MAX(0,ROUND((U$13-SUMIFS(TF_Timer,TF_Nokkel,$A73&amp;"|"&amp;U$5))*2,0)/2))&gt;INDEX(TF_AktSum,MATCH($A73&amp;"|"&amp;U$5,TF_Dom,0)),"LMS",INDEX(AktKode,MATCH(INDEX(TF_Akt,MATCH($A73&amp;"|"&amp;U$5,TF_Dom,0)),Aktiviteter,0)))&amp;IF(OR(COUNTIFS(TF_Nokkel,$A73&amp;"|"&amp;U$5,TF_Akt,"&lt;&gt;"&amp;INDEX(TF_Akt,MATCH($A73&amp;"|"&amp;U$5,TF_Dom,0)))&gt;0,AND(IF(U$10="",0,MAX(0,ROUND((U$13-SUMIFS(TF_Timer,TF_Nokkel,$A73&amp;"|"&amp;U$5))*2,0)/2))&gt;0,INDEX(TF_Akt,MATCH($A73&amp;"|"&amp;U$5,TF_Dom,0))&lt;&gt;"LMS")),"+",""),"?"))))</f>
        <v/>
      </c>
      <c r="V73" s="13">
        <f>IF(OR($A73="",V$5=""),"",IF(OR(AND(INDEX(TekFra,54)&gt;0,V$5&lt;INDEX(TekFra,54)),AND(INDEX(TekTil,54)&gt;0,V$5&gt;INDEX(TekTil,54))),"",IF(COUNTIFS(TF_Nokkel,$A73&amp;"|"&amp;V$5)=0,IF(V$10&lt;&gt;"","LMS",""),IFERROR(IF(SUMIFS(TF_Timer,TF_Nokkel,$A73&amp;"|"&amp;V$5,TF_Akt,"LMS")+IF(V$10="",0,MAX(0,ROUND((V$13-SUMIFS(TF_Timer,TF_Nokkel,$A73&amp;"|"&amp;V$5))*2,0)/2))&gt;INDEX(TF_AktSum,MATCH($A73&amp;"|"&amp;V$5,TF_Dom,0)),"LMS",INDEX(AktKode,MATCH(INDEX(TF_Akt,MATCH($A73&amp;"|"&amp;V$5,TF_Dom,0)),Aktiviteter,0)))&amp;IF(OR(COUNTIFS(TF_Nokkel,$A73&amp;"|"&amp;V$5,TF_Akt,"&lt;&gt;"&amp;INDEX(TF_Akt,MATCH($A73&amp;"|"&amp;V$5,TF_Dom,0)))&gt;0,AND(IF(V$10="",0,MAX(0,ROUND((V$13-SUMIFS(TF_Timer,TF_Nokkel,$A73&amp;"|"&amp;V$5))*2,0)/2))&gt;0,INDEX(TF_Akt,MATCH($A73&amp;"|"&amp;V$5,TF_Dom,0))&lt;&gt;"LMS")),"+",""),"?"))))</f>
        <v/>
      </c>
      <c r="W73" s="13">
        <f>IF(OR($A73="",W$5=""),"",IF(OR(AND(INDEX(TekFra,54)&gt;0,W$5&lt;INDEX(TekFra,54)),AND(INDEX(TekTil,54)&gt;0,W$5&gt;INDEX(TekTil,54))),"",IF(COUNTIFS(TF_Nokkel,$A73&amp;"|"&amp;W$5)=0,IF(W$10&lt;&gt;"","LMS",""),IFERROR(IF(SUMIFS(TF_Timer,TF_Nokkel,$A73&amp;"|"&amp;W$5,TF_Akt,"LMS")+IF(W$10="",0,MAX(0,ROUND((W$13-SUMIFS(TF_Timer,TF_Nokkel,$A73&amp;"|"&amp;W$5))*2,0)/2))&gt;INDEX(TF_AktSum,MATCH($A73&amp;"|"&amp;W$5,TF_Dom,0)),"LMS",INDEX(AktKode,MATCH(INDEX(TF_Akt,MATCH($A73&amp;"|"&amp;W$5,TF_Dom,0)),Aktiviteter,0)))&amp;IF(OR(COUNTIFS(TF_Nokkel,$A73&amp;"|"&amp;W$5,TF_Akt,"&lt;&gt;"&amp;INDEX(TF_Akt,MATCH($A73&amp;"|"&amp;W$5,TF_Dom,0)))&gt;0,AND(IF(W$10="",0,MAX(0,ROUND((W$13-SUMIFS(TF_Timer,TF_Nokkel,$A73&amp;"|"&amp;W$5))*2,0)/2))&gt;0,INDEX(TF_Akt,MATCH($A73&amp;"|"&amp;W$5,TF_Dom,0))&lt;&gt;"LMS")),"+",""),"?"))))</f>
        <v/>
      </c>
      <c r="X73" s="13">
        <f>IF(OR($A73="",X$5=""),"",IF(OR(AND(INDEX(TekFra,54)&gt;0,X$5&lt;INDEX(TekFra,54)),AND(INDEX(TekTil,54)&gt;0,X$5&gt;INDEX(TekTil,54))),"",IF(COUNTIFS(TF_Nokkel,$A73&amp;"|"&amp;X$5)=0,IF(X$10&lt;&gt;"","LMS",""),IFERROR(IF(SUMIFS(TF_Timer,TF_Nokkel,$A73&amp;"|"&amp;X$5,TF_Akt,"LMS")+IF(X$10="",0,MAX(0,ROUND((X$13-SUMIFS(TF_Timer,TF_Nokkel,$A73&amp;"|"&amp;X$5))*2,0)/2))&gt;INDEX(TF_AktSum,MATCH($A73&amp;"|"&amp;X$5,TF_Dom,0)),"LMS",INDEX(AktKode,MATCH(INDEX(TF_Akt,MATCH($A73&amp;"|"&amp;X$5,TF_Dom,0)),Aktiviteter,0)))&amp;IF(OR(COUNTIFS(TF_Nokkel,$A73&amp;"|"&amp;X$5,TF_Akt,"&lt;&gt;"&amp;INDEX(TF_Akt,MATCH($A73&amp;"|"&amp;X$5,TF_Dom,0)))&gt;0,AND(IF(X$10="",0,MAX(0,ROUND((X$13-SUMIFS(TF_Timer,TF_Nokkel,$A73&amp;"|"&amp;X$5))*2,0)/2))&gt;0,INDEX(TF_Akt,MATCH($A73&amp;"|"&amp;X$5,TF_Dom,0))&lt;&gt;"LMS")),"+",""),"?"))))</f>
        <v/>
      </c>
      <c r="Y73" s="13">
        <f>IF(OR($A73="",Y$5=""),"",IF(OR(AND(INDEX(TekFra,54)&gt;0,Y$5&lt;INDEX(TekFra,54)),AND(INDEX(TekTil,54)&gt;0,Y$5&gt;INDEX(TekTil,54))),"",IF(COUNTIFS(TF_Nokkel,$A73&amp;"|"&amp;Y$5)=0,IF(Y$10&lt;&gt;"","LMS",""),IFERROR(IF(SUMIFS(TF_Timer,TF_Nokkel,$A73&amp;"|"&amp;Y$5,TF_Akt,"LMS")+IF(Y$10="",0,MAX(0,ROUND((Y$13-SUMIFS(TF_Timer,TF_Nokkel,$A73&amp;"|"&amp;Y$5))*2,0)/2))&gt;INDEX(TF_AktSum,MATCH($A73&amp;"|"&amp;Y$5,TF_Dom,0)),"LMS",INDEX(AktKode,MATCH(INDEX(TF_Akt,MATCH($A73&amp;"|"&amp;Y$5,TF_Dom,0)),Aktiviteter,0)))&amp;IF(OR(COUNTIFS(TF_Nokkel,$A73&amp;"|"&amp;Y$5,TF_Akt,"&lt;&gt;"&amp;INDEX(TF_Akt,MATCH($A73&amp;"|"&amp;Y$5,TF_Dom,0)))&gt;0,AND(IF(Y$10="",0,MAX(0,ROUND((Y$13-SUMIFS(TF_Timer,TF_Nokkel,$A73&amp;"|"&amp;Y$5))*2,0)/2))&gt;0,INDEX(TF_Akt,MATCH($A73&amp;"|"&amp;Y$5,TF_Dom,0))&lt;&gt;"LMS")),"+",""),"?"))))</f>
        <v/>
      </c>
      <c r="Z73" s="13">
        <f>IF(OR($A73="",Z$5=""),"",IF(OR(AND(INDEX(TekFra,54)&gt;0,Z$5&lt;INDEX(TekFra,54)),AND(INDEX(TekTil,54)&gt;0,Z$5&gt;INDEX(TekTil,54))),"",IF(COUNTIFS(TF_Nokkel,$A73&amp;"|"&amp;Z$5)=0,IF(Z$10&lt;&gt;"","LMS",""),IFERROR(IF(SUMIFS(TF_Timer,TF_Nokkel,$A73&amp;"|"&amp;Z$5,TF_Akt,"LMS")+IF(Z$10="",0,MAX(0,ROUND((Z$13-SUMIFS(TF_Timer,TF_Nokkel,$A73&amp;"|"&amp;Z$5))*2,0)/2))&gt;INDEX(TF_AktSum,MATCH($A73&amp;"|"&amp;Z$5,TF_Dom,0)),"LMS",INDEX(AktKode,MATCH(INDEX(TF_Akt,MATCH($A73&amp;"|"&amp;Z$5,TF_Dom,0)),Aktiviteter,0)))&amp;IF(OR(COUNTIFS(TF_Nokkel,$A73&amp;"|"&amp;Z$5,TF_Akt,"&lt;&gt;"&amp;INDEX(TF_Akt,MATCH($A73&amp;"|"&amp;Z$5,TF_Dom,0)))&gt;0,AND(IF(Z$10="",0,MAX(0,ROUND((Z$13-SUMIFS(TF_Timer,TF_Nokkel,$A73&amp;"|"&amp;Z$5))*2,0)/2))&gt;0,INDEX(TF_Akt,MATCH($A73&amp;"|"&amp;Z$5,TF_Dom,0))&lt;&gt;"LMS")),"+",""),"?"))))</f>
        <v/>
      </c>
      <c r="AA73" s="13">
        <f>IF(OR($A73="",AA$5=""),"",IF(OR(AND(INDEX(TekFra,54)&gt;0,AA$5&lt;INDEX(TekFra,54)),AND(INDEX(TekTil,54)&gt;0,AA$5&gt;INDEX(TekTil,54))),"",IF(COUNTIFS(TF_Nokkel,$A73&amp;"|"&amp;AA$5)=0,IF(AA$10&lt;&gt;"","LMS",""),IFERROR(IF(SUMIFS(TF_Timer,TF_Nokkel,$A73&amp;"|"&amp;AA$5,TF_Akt,"LMS")+IF(AA$10="",0,MAX(0,ROUND((AA$13-SUMIFS(TF_Timer,TF_Nokkel,$A73&amp;"|"&amp;AA$5))*2,0)/2))&gt;INDEX(TF_AktSum,MATCH($A73&amp;"|"&amp;AA$5,TF_Dom,0)),"LMS",INDEX(AktKode,MATCH(INDEX(TF_Akt,MATCH($A73&amp;"|"&amp;AA$5,TF_Dom,0)),Aktiviteter,0)))&amp;IF(OR(COUNTIFS(TF_Nokkel,$A73&amp;"|"&amp;AA$5,TF_Akt,"&lt;&gt;"&amp;INDEX(TF_Akt,MATCH($A73&amp;"|"&amp;AA$5,TF_Dom,0)))&gt;0,AND(IF(AA$10="",0,MAX(0,ROUND((AA$13-SUMIFS(TF_Timer,TF_Nokkel,$A73&amp;"|"&amp;AA$5))*2,0)/2))&gt;0,INDEX(TF_Akt,MATCH($A73&amp;"|"&amp;AA$5,TF_Dom,0))&lt;&gt;"LMS")),"+",""),"?"))))</f>
        <v/>
      </c>
      <c r="AB73" s="13">
        <f>IF(OR($A73="",AB$5=""),"",IF(OR(AND(INDEX(TekFra,54)&gt;0,AB$5&lt;INDEX(TekFra,54)),AND(INDEX(TekTil,54)&gt;0,AB$5&gt;INDEX(TekTil,54))),"",IF(COUNTIFS(TF_Nokkel,$A73&amp;"|"&amp;AB$5)=0,IF(AB$10&lt;&gt;"","LMS",""),IFERROR(IF(SUMIFS(TF_Timer,TF_Nokkel,$A73&amp;"|"&amp;AB$5,TF_Akt,"LMS")+IF(AB$10="",0,MAX(0,ROUND((AB$13-SUMIFS(TF_Timer,TF_Nokkel,$A73&amp;"|"&amp;AB$5))*2,0)/2))&gt;INDEX(TF_AktSum,MATCH($A73&amp;"|"&amp;AB$5,TF_Dom,0)),"LMS",INDEX(AktKode,MATCH(INDEX(TF_Akt,MATCH($A73&amp;"|"&amp;AB$5,TF_Dom,0)),Aktiviteter,0)))&amp;IF(OR(COUNTIFS(TF_Nokkel,$A73&amp;"|"&amp;AB$5,TF_Akt,"&lt;&gt;"&amp;INDEX(TF_Akt,MATCH($A73&amp;"|"&amp;AB$5,TF_Dom,0)))&gt;0,AND(IF(AB$10="",0,MAX(0,ROUND((AB$13-SUMIFS(TF_Timer,TF_Nokkel,$A73&amp;"|"&amp;AB$5))*2,0)/2))&gt;0,INDEX(TF_Akt,MATCH($A73&amp;"|"&amp;AB$5,TF_Dom,0))&lt;&gt;"LMS")),"+",""),"?"))))</f>
        <v/>
      </c>
      <c r="AC73" s="13">
        <f>IF(OR($A73="",AC$5=""),"",IF(OR(AND(INDEX(TekFra,54)&gt;0,AC$5&lt;INDEX(TekFra,54)),AND(INDEX(TekTil,54)&gt;0,AC$5&gt;INDEX(TekTil,54))),"",IF(COUNTIFS(TF_Nokkel,$A73&amp;"|"&amp;AC$5)=0,IF(AC$10&lt;&gt;"","LMS",""),IFERROR(IF(SUMIFS(TF_Timer,TF_Nokkel,$A73&amp;"|"&amp;AC$5,TF_Akt,"LMS")+IF(AC$10="",0,MAX(0,ROUND((AC$13-SUMIFS(TF_Timer,TF_Nokkel,$A73&amp;"|"&amp;AC$5))*2,0)/2))&gt;INDEX(TF_AktSum,MATCH($A73&amp;"|"&amp;AC$5,TF_Dom,0)),"LMS",INDEX(AktKode,MATCH(INDEX(TF_Akt,MATCH($A73&amp;"|"&amp;AC$5,TF_Dom,0)),Aktiviteter,0)))&amp;IF(OR(COUNTIFS(TF_Nokkel,$A73&amp;"|"&amp;AC$5,TF_Akt,"&lt;&gt;"&amp;INDEX(TF_Akt,MATCH($A73&amp;"|"&amp;AC$5,TF_Dom,0)))&gt;0,AND(IF(AC$10="",0,MAX(0,ROUND((AC$13-SUMIFS(TF_Timer,TF_Nokkel,$A73&amp;"|"&amp;AC$5))*2,0)/2))&gt;0,INDEX(TF_Akt,MATCH($A73&amp;"|"&amp;AC$5,TF_Dom,0))&lt;&gt;"LMS")),"+",""),"?"))))</f>
        <v/>
      </c>
      <c r="AD73" s="13">
        <f>IF(OR($A73="",AD$5=""),"",IF(OR(AND(INDEX(TekFra,54)&gt;0,AD$5&lt;INDEX(TekFra,54)),AND(INDEX(TekTil,54)&gt;0,AD$5&gt;INDEX(TekTil,54))),"",IF(COUNTIFS(TF_Nokkel,$A73&amp;"|"&amp;AD$5)=0,IF(AD$10&lt;&gt;"","LMS",""),IFERROR(IF(SUMIFS(TF_Timer,TF_Nokkel,$A73&amp;"|"&amp;AD$5,TF_Akt,"LMS")+IF(AD$10="",0,MAX(0,ROUND((AD$13-SUMIFS(TF_Timer,TF_Nokkel,$A73&amp;"|"&amp;AD$5))*2,0)/2))&gt;INDEX(TF_AktSum,MATCH($A73&amp;"|"&amp;AD$5,TF_Dom,0)),"LMS",INDEX(AktKode,MATCH(INDEX(TF_Akt,MATCH($A73&amp;"|"&amp;AD$5,TF_Dom,0)),Aktiviteter,0)))&amp;IF(OR(COUNTIFS(TF_Nokkel,$A73&amp;"|"&amp;AD$5,TF_Akt,"&lt;&gt;"&amp;INDEX(TF_Akt,MATCH($A73&amp;"|"&amp;AD$5,TF_Dom,0)))&gt;0,AND(IF(AD$10="",0,MAX(0,ROUND((AD$13-SUMIFS(TF_Timer,TF_Nokkel,$A73&amp;"|"&amp;AD$5))*2,0)/2))&gt;0,INDEX(TF_Akt,MATCH($A73&amp;"|"&amp;AD$5,TF_Dom,0))&lt;&gt;"LMS")),"+",""),"?"))))</f>
        <v/>
      </c>
      <c r="AE73" s="13">
        <f>IF(OR($A73="",AE$5=""),"",IF(OR(AND(INDEX(TekFra,54)&gt;0,AE$5&lt;INDEX(TekFra,54)),AND(INDEX(TekTil,54)&gt;0,AE$5&gt;INDEX(TekTil,54))),"",IF(COUNTIFS(TF_Nokkel,$A73&amp;"|"&amp;AE$5)=0,IF(AE$10&lt;&gt;"","LMS",""),IFERROR(IF(SUMIFS(TF_Timer,TF_Nokkel,$A73&amp;"|"&amp;AE$5,TF_Akt,"LMS")+IF(AE$10="",0,MAX(0,ROUND((AE$13-SUMIFS(TF_Timer,TF_Nokkel,$A73&amp;"|"&amp;AE$5))*2,0)/2))&gt;INDEX(TF_AktSum,MATCH($A73&amp;"|"&amp;AE$5,TF_Dom,0)),"LMS",INDEX(AktKode,MATCH(INDEX(TF_Akt,MATCH($A73&amp;"|"&amp;AE$5,TF_Dom,0)),Aktiviteter,0)))&amp;IF(OR(COUNTIFS(TF_Nokkel,$A73&amp;"|"&amp;AE$5,TF_Akt,"&lt;&gt;"&amp;INDEX(TF_Akt,MATCH($A73&amp;"|"&amp;AE$5,TF_Dom,0)))&gt;0,AND(IF(AE$10="",0,MAX(0,ROUND((AE$13-SUMIFS(TF_Timer,TF_Nokkel,$A73&amp;"|"&amp;AE$5))*2,0)/2))&gt;0,INDEX(TF_Akt,MATCH($A73&amp;"|"&amp;AE$5,TF_Dom,0))&lt;&gt;"LMS")),"+",""),"?"))))</f>
        <v/>
      </c>
      <c r="AF73" s="13">
        <f>IF(OR($A73="",AF$5=""),"",IF(OR(AND(INDEX(TekFra,54)&gt;0,AF$5&lt;INDEX(TekFra,54)),AND(INDEX(TekTil,54)&gt;0,AF$5&gt;INDEX(TekTil,54))),"",IF(COUNTIFS(TF_Nokkel,$A73&amp;"|"&amp;AF$5)=0,IF(AF$10&lt;&gt;"","LMS",""),IFERROR(IF(SUMIFS(TF_Timer,TF_Nokkel,$A73&amp;"|"&amp;AF$5,TF_Akt,"LMS")+IF(AF$10="",0,MAX(0,ROUND((AF$13-SUMIFS(TF_Timer,TF_Nokkel,$A73&amp;"|"&amp;AF$5))*2,0)/2))&gt;INDEX(TF_AktSum,MATCH($A73&amp;"|"&amp;AF$5,TF_Dom,0)),"LMS",INDEX(AktKode,MATCH(INDEX(TF_Akt,MATCH($A73&amp;"|"&amp;AF$5,TF_Dom,0)),Aktiviteter,0)))&amp;IF(OR(COUNTIFS(TF_Nokkel,$A73&amp;"|"&amp;AF$5,TF_Akt,"&lt;&gt;"&amp;INDEX(TF_Akt,MATCH($A73&amp;"|"&amp;AF$5,TF_Dom,0)))&gt;0,AND(IF(AF$10="",0,MAX(0,ROUND((AF$13-SUMIFS(TF_Timer,TF_Nokkel,$A73&amp;"|"&amp;AF$5))*2,0)/2))&gt;0,INDEX(TF_Akt,MATCH($A73&amp;"|"&amp;AF$5,TF_Dom,0))&lt;&gt;"LMS")),"+",""),"?"))))</f>
        <v/>
      </c>
      <c r="AG73" s="13">
        <f>IF(OR($A73="",AG$5=""),"",IF(OR(AND(INDEX(TekFra,54)&gt;0,AG$5&lt;INDEX(TekFra,54)),AND(INDEX(TekTil,54)&gt;0,AG$5&gt;INDEX(TekTil,54))),"",IF(COUNTIFS(TF_Nokkel,$A73&amp;"|"&amp;AG$5)=0,IF(AG$10&lt;&gt;"","LMS",""),IFERROR(IF(SUMIFS(TF_Timer,TF_Nokkel,$A73&amp;"|"&amp;AG$5,TF_Akt,"LMS")+IF(AG$10="",0,MAX(0,ROUND((AG$13-SUMIFS(TF_Timer,TF_Nokkel,$A73&amp;"|"&amp;AG$5))*2,0)/2))&gt;INDEX(TF_AktSum,MATCH($A73&amp;"|"&amp;AG$5,TF_Dom,0)),"LMS",INDEX(AktKode,MATCH(INDEX(TF_Akt,MATCH($A73&amp;"|"&amp;AG$5,TF_Dom,0)),Aktiviteter,0)))&amp;IF(OR(COUNTIFS(TF_Nokkel,$A73&amp;"|"&amp;AG$5,TF_Akt,"&lt;&gt;"&amp;INDEX(TF_Akt,MATCH($A73&amp;"|"&amp;AG$5,TF_Dom,0)))&gt;0,AND(IF(AG$10="",0,MAX(0,ROUND((AG$13-SUMIFS(TF_Timer,TF_Nokkel,$A73&amp;"|"&amp;AG$5))*2,0)/2))&gt;0,INDEX(TF_Akt,MATCH($A73&amp;"|"&amp;AG$5,TF_Dom,0))&lt;&gt;"LMS")),"+",""),"?"))))</f>
        <v/>
      </c>
      <c r="AH73" s="2" t="n"/>
      <c r="AI73" s="2" t="n"/>
      <c r="AJ73" s="2" t="n"/>
    </row>
  </sheetData>
  <mergeCells count="2">
    <mergeCell ref="D2:G2"/>
    <mergeCell ref="H2:L2"/>
  </mergeCells>
  <conditionalFormatting sqref="C15:AG15">
    <cfRule type="expression" priority="1" dxfId="0">
      <formula>C15="K"</formula>
    </cfRule>
    <cfRule type="expression" priority="2" dxfId="1">
      <formula>C15="H"</formula>
    </cfRule>
    <cfRule type="expression" priority="3" dxfId="2">
      <formula>C15="D"</formula>
    </cfRule>
  </conditionalFormatting>
  <conditionalFormatting sqref="C35:AG35">
    <cfRule type="expression" priority="4" dxfId="0">
      <formula>C35="K"</formula>
    </cfRule>
    <cfRule type="expression" priority="5" dxfId="1">
      <formula>C35="H"</formula>
    </cfRule>
    <cfRule type="expression" priority="6" dxfId="2">
      <formula>C35="D"</formula>
    </cfRule>
  </conditionalFormatting>
  <conditionalFormatting sqref="C55:AG55">
    <cfRule type="expression" priority="7" dxfId="0">
      <formula>C55="K"</formula>
    </cfRule>
    <cfRule type="expression" priority="8" dxfId="1">
      <formula>C55="H"</formula>
    </cfRule>
    <cfRule type="expression" priority="9" dxfId="2">
      <formula>C55="D"</formula>
    </cfRule>
  </conditionalFormatting>
  <conditionalFormatting sqref="C16:AG73">
    <cfRule type="expression" priority="10" dxfId="3" stopIfTrue="1">
      <formula>AND(C$5&gt;TODAY(),C16="LMS")</formula>
    </cfRule>
    <cfRule type="expression" priority="11" dxfId="4" stopIfTrue="1">
      <formula>OR(C16="LN",C16="LN+")</formula>
    </cfRule>
    <cfRule type="expression" priority="12" dxfId="5" stopIfTrue="1">
      <formula>OR(C16="LMS",C16="LMS+")</formula>
    </cfRule>
    <cfRule type="expression" priority="13" dxfId="6" stopIfTrue="1">
      <formula>OR(C16="A",C16="A+")</formula>
    </cfRule>
    <cfRule type="expression" priority="14" dxfId="7" stopIfTrue="1">
      <formula>OR(C16="AS",C16="AS+")</formula>
    </cfRule>
    <cfRule type="expression" priority="15" dxfId="8" stopIfTrue="1">
      <formula>OR(C16="HS",C16="HS+")</formula>
    </cfRule>
    <cfRule type="expression" priority="16" dxfId="9" stopIfTrue="1">
      <formula>OR(C16="KU",C16="KU+")</formula>
    </cfRule>
    <cfRule type="expression" priority="17" dxfId="10" stopIfTrue="1">
      <formula>OR(C16="M",C16="M+")</formula>
    </cfRule>
    <cfRule type="expression" priority="18" dxfId="11" stopIfTrue="1">
      <formula>OR(C16="FE",C16="FE+")</formula>
    </cfRule>
    <cfRule type="expression" priority="19" dxfId="12" stopIfTrue="1">
      <formula>OR(C16="AV",C16="AV+")</formula>
    </cfRule>
    <cfRule type="expression" priority="20" dxfId="13" stopIfTrue="1">
      <formula>OR(C16="FR",C16="FR+")</formula>
    </cfRule>
    <cfRule type="expression" priority="21" dxfId="14" stopIfTrue="1">
      <formula>OR(C16="AN",C16="AN+")</formula>
    </cfRule>
    <cfRule type="expression" priority="22" dxfId="15">
      <formula>AND($A16&lt;&gt;"",C$5&lt;&gt;"")</formula>
    </cfRule>
  </conditionalFormatting>
  <conditionalFormatting sqref="C5:AG6">
    <cfRule type="expression" priority="23" dxfId="16" stopIfTrue="1">
      <formula>C$5=TODAY()</formula>
    </cfRule>
    <cfRule type="expression" priority="24" dxfId="17">
      <formula>AND(C$5&lt;&gt;"",WEEKDAY(C$5,2)&gt;5)</formula>
    </cfRule>
  </conditionalFormatting>
  <dataValidations count="1">
    <dataValidation sqref="H2" showDropDown="0" showInputMessage="0" showErrorMessage="0" allowBlank="0" type="list">
      <formula1>=Maaneder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9" customWidth="1" min="4" max="4"/>
    <col width="11" customWidth="1" min="5" max="5"/>
    <col width="7" customWidth="1" min="6" max="6"/>
    <col width="28" customWidth="1" min="7" max="7"/>
    <col width="9" customWidth="1" min="8" max="8"/>
    <col width="8" customWidth="1" min="9" max="9"/>
    <col width="8" customWidth="1" min="10" max="10"/>
    <col width="26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Timeføring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0" t="inlineStr">
        <is>
          <t>Én rad per føring. Fyll inn A–G (blå overskrift); resten regnes ut. Dager uten nok føringer fylles med LMS automatisk.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1" t="inlineStr">
        <is>
          <t>Dato</t>
        </is>
      </c>
      <c r="B3" s="32" t="inlineStr">
        <is>
          <t>Tekniker</t>
        </is>
      </c>
      <c r="C3" s="32" t="inlineStr">
        <is>
          <t>Aktivitet</t>
        </is>
      </c>
      <c r="D3" s="32" t="inlineStr">
        <is>
          <t>Maskin</t>
        </is>
      </c>
      <c r="E3" s="32" t="inlineStr">
        <is>
          <t>Arbeid</t>
        </is>
      </c>
      <c r="F3" s="32" t="inlineStr">
        <is>
          <t>Timer</t>
        </is>
      </c>
      <c r="G3" s="32" t="inlineStr">
        <is>
          <t>Notat</t>
        </is>
      </c>
      <c r="H3" s="33" t="inlineStr">
        <is>
          <t>Skift</t>
        </is>
      </c>
      <c r="I3" s="33" t="inlineStr">
        <is>
          <t>Fase</t>
        </is>
      </c>
      <c r="J3" s="33" t="inlineStr">
        <is>
          <t>Overtid</t>
        </is>
      </c>
      <c r="K3" s="33" t="inlineStr">
        <is>
          <t>Kontroll</t>
        </is>
      </c>
      <c r="L3" s="33" t="inlineStr">
        <is>
          <t>SkiftNr</t>
        </is>
      </c>
      <c r="M3" s="33" t="inlineStr">
        <is>
          <t>Nøkkel</t>
        </is>
      </c>
      <c r="N3" s="33" t="inlineStr">
        <is>
          <t>AktSum</t>
        </is>
      </c>
      <c r="O3" s="33" t="inlineStr">
        <is>
          <t>Dominant</t>
        </is>
      </c>
    </row>
    <row r="4">
      <c r="A4" s="34" t="n">
        <v>46028</v>
      </c>
      <c r="B4" s="35" t="inlineStr">
        <is>
          <t>Tekniker 1-01</t>
        </is>
      </c>
      <c r="C4" s="35" t="inlineStr">
        <is>
          <t>Kurs</t>
        </is>
      </c>
      <c r="D4" s="35" t="n"/>
      <c r="E4" s="35" t="n"/>
      <c r="F4" s="36" t="n">
        <v>4</v>
      </c>
      <c r="G4" s="35" t="inlineStr">
        <is>
          <t>Eksempel – slett denne raden</t>
        </is>
      </c>
      <c r="H4" s="30">
        <f>IF(L4="","",INDEX(SkiftNavn,L4))</f>
        <v/>
      </c>
      <c r="I4" s="30">
        <f>IF(OR(A4="",L4=""),"",IF(MOD(A4-INDEX(SkiftStart,L4),Syklus)&lt;DagK,"Kveld",IF(MOD(A4-INDEX(SkiftStart,L4),Syklus)&lt;DagK+DagH,"Helg",IF(MOD(A4-INDEX(SkiftStart,L4),Syklus)&lt;DagK+DagH+DagD,"Dag","Fri"))))</f>
        <v/>
      </c>
      <c r="J4" s="30">
        <f>IF(I4="Fri","Ja","")</f>
        <v/>
      </c>
      <c r="K4" s="30">
        <f>IF(B4="","",IF(L4="","Ukjent tekniker",IF(ISNA(MATCH(C4,Aktiviteter,0)),"Ukjent aktivitet",IF(AND(INDEX(AktRolle,MATCH(C4,Aktiviteter,0))&amp;""&lt;&gt;"",ISERROR(SEARCH(INDEX(AktRolle,MATCH(C4,Aktiviteter,0))&amp;"",INDEX(TekRoller,MATCH(B4,Teknikere,0))))),"Mangler rollen "&amp;INDEX(AktRolle,MATCH(C4,Aktiviteter,0))&amp;"",IF(AND(C4="LMS",F4&gt;0,OR(D4="",E4="")),"Mangler maskin eller arbeid",IF(AND(OR(C4="LMS",C4="Mod"),D4&lt;&gt;""),IF(IFERROR(INDEX(MaskinStatus,MATCH(D4,Maskiner,0)),"")="I dokk","","Maskinen er ikke i dokk"),""))))))</f>
        <v/>
      </c>
      <c r="L4" s="2">
        <f>IF(B4="","",IFERROR(INT((MATCH(B4,Teknikere,0)-1)/18)+1,""))</f>
        <v/>
      </c>
      <c r="M4" s="2">
        <f>IF(OR(A4="",B4=""),"",B4&amp;"|"&amp;A4)</f>
        <v/>
      </c>
      <c r="N4" s="2">
        <f>IF(M4="","",SUMIFS(TF_Timer,TF_Nokkel,M4,TF_Akt,C4))</f>
        <v/>
      </c>
      <c r="O4" s="2">
        <f>IF(M4="","",IF(AND(N4=_xlfn.MAXIFS(TF_AktSum,TF_Nokkel,M4),COUNTIFS(M$3:M3,M4,N$3:N3,N4)=0),M4,""))</f>
        <v/>
      </c>
    </row>
    <row r="5">
      <c r="A5" s="34" t="n"/>
      <c r="B5" s="35" t="n"/>
      <c r="C5" s="35" t="n"/>
      <c r="D5" s="35" t="n"/>
      <c r="E5" s="35" t="n"/>
      <c r="F5" s="36" t="n"/>
      <c r="G5" s="35" t="n"/>
      <c r="H5" s="30">
        <f>IF(L5="","",INDEX(SkiftNavn,L5))</f>
        <v/>
      </c>
      <c r="I5" s="30">
        <f>IF(OR(A5="",L5=""),"",IF(MOD(A5-INDEX(SkiftStart,L5),Syklus)&lt;DagK,"Kveld",IF(MOD(A5-INDEX(SkiftStart,L5),Syklus)&lt;DagK+DagH,"Helg",IF(MOD(A5-INDEX(SkiftStart,L5),Syklus)&lt;DagK+DagH+DagD,"Dag","Fri"))))</f>
        <v/>
      </c>
      <c r="J5" s="30">
        <f>IF(I5="Fri","Ja","")</f>
        <v/>
      </c>
      <c r="K5" s="30">
        <f>IF(B5="","",IF(L5="","Ukjent tekniker",IF(ISNA(MATCH(C5,Aktiviteter,0)),"Ukjent aktivitet",IF(AND(INDEX(AktRolle,MATCH(C5,Aktiviteter,0))&amp;""&lt;&gt;"",ISERROR(SEARCH(INDEX(AktRolle,MATCH(C5,Aktiviteter,0))&amp;"",INDEX(TekRoller,MATCH(B5,Teknikere,0))))),"Mangler rollen "&amp;INDEX(AktRolle,MATCH(C5,Aktiviteter,0))&amp;"",IF(AND(C5="LMS",F5&gt;0,OR(D5="",E5="")),"Mangler maskin eller arbeid",IF(AND(OR(C5="LMS",C5="Mod"),D5&lt;&gt;""),IF(IFERROR(INDEX(MaskinStatus,MATCH(D5,Maskiner,0)),"")="I dokk","","Maskinen er ikke i dokk"),""))))))</f>
        <v/>
      </c>
      <c r="L5" s="2">
        <f>IF(B5="","",IFERROR(INT((MATCH(B5,Teknikere,0)-1)/18)+1,""))</f>
        <v/>
      </c>
      <c r="M5" s="2">
        <f>IF(OR(A5="",B5=""),"",B5&amp;"|"&amp;A5)</f>
        <v/>
      </c>
      <c r="N5" s="2">
        <f>IF(M5="","",SUMIFS(TF_Timer,TF_Nokkel,M5,TF_Akt,C5))</f>
        <v/>
      </c>
      <c r="O5" s="2">
        <f>IF(M5="","",IF(AND(N5=_xlfn.MAXIFS(TF_AktSum,TF_Nokkel,M5),COUNTIFS(M$3:M4,M5,N$3:N4,N5)=0),M5,""))</f>
        <v/>
      </c>
    </row>
    <row r="6">
      <c r="A6" s="34" t="n"/>
      <c r="B6" s="35" t="n"/>
      <c r="C6" s="35" t="n"/>
      <c r="D6" s="35" t="n"/>
      <c r="E6" s="35" t="n"/>
      <c r="F6" s="36" t="n"/>
      <c r="G6" s="35" t="n"/>
      <c r="H6" s="30">
        <f>IF(L6="","",INDEX(SkiftNavn,L6))</f>
        <v/>
      </c>
      <c r="I6" s="30">
        <f>IF(OR(A6="",L6=""),"",IF(MOD(A6-INDEX(SkiftStart,L6),Syklus)&lt;DagK,"Kveld",IF(MOD(A6-INDEX(SkiftStart,L6),Syklus)&lt;DagK+DagH,"Helg",IF(MOD(A6-INDEX(SkiftStart,L6),Syklus)&lt;DagK+DagH+DagD,"Dag","Fri"))))</f>
        <v/>
      </c>
      <c r="J6" s="30">
        <f>IF(I6="Fri","Ja","")</f>
        <v/>
      </c>
      <c r="K6" s="30">
        <f>IF(B6="","",IF(L6="","Ukjent tekniker",IF(ISNA(MATCH(C6,Aktiviteter,0)),"Ukjent aktivitet",IF(AND(INDEX(AktRolle,MATCH(C6,Aktiviteter,0))&amp;""&lt;&gt;"",ISERROR(SEARCH(INDEX(AktRolle,MATCH(C6,Aktiviteter,0))&amp;"",INDEX(TekRoller,MATCH(B6,Teknikere,0))))),"Mangler rollen "&amp;INDEX(AktRolle,MATCH(C6,Aktiviteter,0))&amp;"",IF(AND(C6="LMS",F6&gt;0,OR(D6="",E6="")),"Mangler maskin eller arbeid",IF(AND(OR(C6="LMS",C6="Mod"),D6&lt;&gt;""),IF(IFERROR(INDEX(MaskinStatus,MATCH(D6,Maskiner,0)),"")="I dokk","","Maskinen er ikke i dokk"),""))))))</f>
        <v/>
      </c>
      <c r="L6" s="2">
        <f>IF(B6="","",IFERROR(INT((MATCH(B6,Teknikere,0)-1)/18)+1,""))</f>
        <v/>
      </c>
      <c r="M6" s="2">
        <f>IF(OR(A6="",B6=""),"",B6&amp;"|"&amp;A6)</f>
        <v/>
      </c>
      <c r="N6" s="2">
        <f>IF(M6="","",SUMIFS(TF_Timer,TF_Nokkel,M6,TF_Akt,C6))</f>
        <v/>
      </c>
      <c r="O6" s="2">
        <f>IF(M6="","",IF(AND(N6=_xlfn.MAXIFS(TF_AktSum,TF_Nokkel,M6),COUNTIFS(M$3:M5,M6,N$3:N5,N6)=0),M6,""))</f>
        <v/>
      </c>
    </row>
    <row r="7">
      <c r="A7" s="34" t="n"/>
      <c r="B7" s="35" t="n"/>
      <c r="C7" s="35" t="n"/>
      <c r="D7" s="35" t="n"/>
      <c r="E7" s="35" t="n"/>
      <c r="F7" s="36" t="n"/>
      <c r="G7" s="35" t="n"/>
      <c r="H7" s="30">
        <f>IF(L7="","",INDEX(SkiftNavn,L7))</f>
        <v/>
      </c>
      <c r="I7" s="30">
        <f>IF(OR(A7="",L7=""),"",IF(MOD(A7-INDEX(SkiftStart,L7),Syklus)&lt;DagK,"Kveld",IF(MOD(A7-INDEX(SkiftStart,L7),Syklus)&lt;DagK+DagH,"Helg",IF(MOD(A7-INDEX(SkiftStart,L7),Syklus)&lt;DagK+DagH+DagD,"Dag","Fri"))))</f>
        <v/>
      </c>
      <c r="J7" s="30">
        <f>IF(I7="Fri","Ja","")</f>
        <v/>
      </c>
      <c r="K7" s="30">
        <f>IF(B7="","",IF(L7="","Ukjent tekniker",IF(ISNA(MATCH(C7,Aktiviteter,0)),"Ukjent aktivitet",IF(AND(INDEX(AktRolle,MATCH(C7,Aktiviteter,0))&amp;""&lt;&gt;"",ISERROR(SEARCH(INDEX(AktRolle,MATCH(C7,Aktiviteter,0))&amp;"",INDEX(TekRoller,MATCH(B7,Teknikere,0))))),"Mangler rollen "&amp;INDEX(AktRolle,MATCH(C7,Aktiviteter,0))&amp;"",IF(AND(C7="LMS",F7&gt;0,OR(D7="",E7="")),"Mangler maskin eller arbeid",IF(AND(OR(C7="LMS",C7="Mod"),D7&lt;&gt;""),IF(IFERROR(INDEX(MaskinStatus,MATCH(D7,Maskiner,0)),"")="I dokk","","Maskinen er ikke i dokk"),""))))))</f>
        <v/>
      </c>
      <c r="L7" s="2">
        <f>IF(B7="","",IFERROR(INT((MATCH(B7,Teknikere,0)-1)/18)+1,""))</f>
        <v/>
      </c>
      <c r="M7" s="2">
        <f>IF(OR(A7="",B7=""),"",B7&amp;"|"&amp;A7)</f>
        <v/>
      </c>
      <c r="N7" s="2">
        <f>IF(M7="","",SUMIFS(TF_Timer,TF_Nokkel,M7,TF_Akt,C7))</f>
        <v/>
      </c>
      <c r="O7" s="2">
        <f>IF(M7="","",IF(AND(N7=_xlfn.MAXIFS(TF_AktSum,TF_Nokkel,M7),COUNTIFS(M$3:M6,M7,N$3:N6,N7)=0),M7,""))</f>
        <v/>
      </c>
    </row>
    <row r="8">
      <c r="A8" s="34" t="n"/>
      <c r="B8" s="35" t="n"/>
      <c r="C8" s="35" t="n"/>
      <c r="D8" s="35" t="n"/>
      <c r="E8" s="35" t="n"/>
      <c r="F8" s="36" t="n"/>
      <c r="G8" s="35" t="n"/>
      <c r="H8" s="30">
        <f>IF(L8="","",INDEX(SkiftNavn,L8))</f>
        <v/>
      </c>
      <c r="I8" s="30">
        <f>IF(OR(A8="",L8=""),"",IF(MOD(A8-INDEX(SkiftStart,L8),Syklus)&lt;DagK,"Kveld",IF(MOD(A8-INDEX(SkiftStart,L8),Syklus)&lt;DagK+DagH,"Helg",IF(MOD(A8-INDEX(SkiftStart,L8),Syklus)&lt;DagK+DagH+DagD,"Dag","Fri"))))</f>
        <v/>
      </c>
      <c r="J8" s="30">
        <f>IF(I8="Fri","Ja","")</f>
        <v/>
      </c>
      <c r="K8" s="30">
        <f>IF(B8="","",IF(L8="","Ukjent tekniker",IF(ISNA(MATCH(C8,Aktiviteter,0)),"Ukjent aktivitet",IF(AND(INDEX(AktRolle,MATCH(C8,Aktiviteter,0))&amp;""&lt;&gt;"",ISERROR(SEARCH(INDEX(AktRolle,MATCH(C8,Aktiviteter,0))&amp;"",INDEX(TekRoller,MATCH(B8,Teknikere,0))))),"Mangler rollen "&amp;INDEX(AktRolle,MATCH(C8,Aktiviteter,0))&amp;"",IF(AND(C8="LMS",F8&gt;0,OR(D8="",E8="")),"Mangler maskin eller arbeid",IF(AND(OR(C8="LMS",C8="Mod"),D8&lt;&gt;""),IF(IFERROR(INDEX(MaskinStatus,MATCH(D8,Maskiner,0)),"")="I dokk","","Maskinen er ikke i dokk"),""))))))</f>
        <v/>
      </c>
      <c r="L8" s="2">
        <f>IF(B8="","",IFERROR(INT((MATCH(B8,Teknikere,0)-1)/18)+1,""))</f>
        <v/>
      </c>
      <c r="M8" s="2">
        <f>IF(OR(A8="",B8=""),"",B8&amp;"|"&amp;A8)</f>
        <v/>
      </c>
      <c r="N8" s="2">
        <f>IF(M8="","",SUMIFS(TF_Timer,TF_Nokkel,M8,TF_Akt,C8))</f>
        <v/>
      </c>
      <c r="O8" s="2">
        <f>IF(M8="","",IF(AND(N8=_xlfn.MAXIFS(TF_AktSum,TF_Nokkel,M8),COUNTIFS(M$3:M7,M8,N$3:N7,N8)=0),M8,""))</f>
        <v/>
      </c>
    </row>
    <row r="9">
      <c r="A9" s="34" t="n"/>
      <c r="B9" s="35" t="n"/>
      <c r="C9" s="35" t="n"/>
      <c r="D9" s="35" t="n"/>
      <c r="E9" s="35" t="n"/>
      <c r="F9" s="36" t="n"/>
      <c r="G9" s="35" t="n"/>
      <c r="H9" s="30">
        <f>IF(L9="","",INDEX(SkiftNavn,L9))</f>
        <v/>
      </c>
      <c r="I9" s="30">
        <f>IF(OR(A9="",L9=""),"",IF(MOD(A9-INDEX(SkiftStart,L9),Syklus)&lt;DagK,"Kveld",IF(MOD(A9-INDEX(SkiftStart,L9),Syklus)&lt;DagK+DagH,"Helg",IF(MOD(A9-INDEX(SkiftStart,L9),Syklus)&lt;DagK+DagH+DagD,"Dag","Fri"))))</f>
        <v/>
      </c>
      <c r="J9" s="30">
        <f>IF(I9="Fri","Ja","")</f>
        <v/>
      </c>
      <c r="K9" s="30">
        <f>IF(B9="","",IF(L9="","Ukjent tekniker",IF(ISNA(MATCH(C9,Aktiviteter,0)),"Ukjent aktivitet",IF(AND(INDEX(AktRolle,MATCH(C9,Aktiviteter,0))&amp;""&lt;&gt;"",ISERROR(SEARCH(INDEX(AktRolle,MATCH(C9,Aktiviteter,0))&amp;"",INDEX(TekRoller,MATCH(B9,Teknikere,0))))),"Mangler rollen "&amp;INDEX(AktRolle,MATCH(C9,Aktiviteter,0))&amp;"",IF(AND(C9="LMS",F9&gt;0,OR(D9="",E9="")),"Mangler maskin eller arbeid",IF(AND(OR(C9="LMS",C9="Mod"),D9&lt;&gt;""),IF(IFERROR(INDEX(MaskinStatus,MATCH(D9,Maskiner,0)),"")="I dokk","","Maskinen er ikke i dokk"),""))))))</f>
        <v/>
      </c>
      <c r="L9" s="2">
        <f>IF(B9="","",IFERROR(INT((MATCH(B9,Teknikere,0)-1)/18)+1,""))</f>
        <v/>
      </c>
      <c r="M9" s="2">
        <f>IF(OR(A9="",B9=""),"",B9&amp;"|"&amp;A9)</f>
        <v/>
      </c>
      <c r="N9" s="2">
        <f>IF(M9="","",SUMIFS(TF_Timer,TF_Nokkel,M9,TF_Akt,C9))</f>
        <v/>
      </c>
      <c r="O9" s="2">
        <f>IF(M9="","",IF(AND(N9=_xlfn.MAXIFS(TF_AktSum,TF_Nokkel,M9),COUNTIFS(M$3:M8,M9,N$3:N8,N9)=0),M9,""))</f>
        <v/>
      </c>
    </row>
    <row r="10">
      <c r="A10" s="34" t="n"/>
      <c r="B10" s="35" t="n"/>
      <c r="C10" s="35" t="n"/>
      <c r="D10" s="35" t="n"/>
      <c r="E10" s="35" t="n"/>
      <c r="F10" s="36" t="n"/>
      <c r="G10" s="35" t="n"/>
      <c r="H10" s="30">
        <f>IF(L10="","",INDEX(SkiftNavn,L10))</f>
        <v/>
      </c>
      <c r="I10" s="30">
        <f>IF(OR(A10="",L10=""),"",IF(MOD(A10-INDEX(SkiftStart,L10),Syklus)&lt;DagK,"Kveld",IF(MOD(A10-INDEX(SkiftStart,L10),Syklus)&lt;DagK+DagH,"Helg",IF(MOD(A10-INDEX(SkiftStart,L10),Syklus)&lt;DagK+DagH+DagD,"Dag","Fri"))))</f>
        <v/>
      </c>
      <c r="J10" s="30">
        <f>IF(I10="Fri","Ja","")</f>
        <v/>
      </c>
      <c r="K10" s="30">
        <f>IF(B10="","",IF(L10="","Ukjent tekniker",IF(ISNA(MATCH(C10,Aktiviteter,0)),"Ukjent aktivitet",IF(AND(INDEX(AktRolle,MATCH(C10,Aktiviteter,0))&amp;""&lt;&gt;"",ISERROR(SEARCH(INDEX(AktRolle,MATCH(C10,Aktiviteter,0))&amp;"",INDEX(TekRoller,MATCH(B10,Teknikere,0))))),"Mangler rollen "&amp;INDEX(AktRolle,MATCH(C10,Aktiviteter,0))&amp;"",IF(AND(C10="LMS",F10&gt;0,OR(D10="",E10="")),"Mangler maskin eller arbeid",IF(AND(OR(C10="LMS",C10="Mod"),D10&lt;&gt;""),IF(IFERROR(INDEX(MaskinStatus,MATCH(D10,Maskiner,0)),"")="I dokk","","Maskinen er ikke i dokk"),""))))))</f>
        <v/>
      </c>
      <c r="L10" s="2">
        <f>IF(B10="","",IFERROR(INT((MATCH(B10,Teknikere,0)-1)/18)+1,""))</f>
        <v/>
      </c>
      <c r="M10" s="2">
        <f>IF(OR(A10="",B10=""),"",B10&amp;"|"&amp;A10)</f>
        <v/>
      </c>
      <c r="N10" s="2">
        <f>IF(M10="","",SUMIFS(TF_Timer,TF_Nokkel,M10,TF_Akt,C10))</f>
        <v/>
      </c>
      <c r="O10" s="2">
        <f>IF(M10="","",IF(AND(N10=_xlfn.MAXIFS(TF_AktSum,TF_Nokkel,M10),COUNTIFS(M$3:M9,M10,N$3:N9,N10)=0),M10,""))</f>
        <v/>
      </c>
    </row>
    <row r="11">
      <c r="A11" s="34" t="n"/>
      <c r="B11" s="35" t="n"/>
      <c r="C11" s="35" t="n"/>
      <c r="D11" s="35" t="n"/>
      <c r="E11" s="35" t="n"/>
      <c r="F11" s="36" t="n"/>
      <c r="G11" s="35" t="n"/>
      <c r="H11" s="30">
        <f>IF(L11="","",INDEX(SkiftNavn,L11))</f>
        <v/>
      </c>
      <c r="I11" s="30">
        <f>IF(OR(A11="",L11=""),"",IF(MOD(A11-INDEX(SkiftStart,L11),Syklus)&lt;DagK,"Kveld",IF(MOD(A11-INDEX(SkiftStart,L11),Syklus)&lt;DagK+DagH,"Helg",IF(MOD(A11-INDEX(SkiftStart,L11),Syklus)&lt;DagK+DagH+DagD,"Dag","Fri"))))</f>
        <v/>
      </c>
      <c r="J11" s="30">
        <f>IF(I11="Fri","Ja","")</f>
        <v/>
      </c>
      <c r="K11" s="30">
        <f>IF(B11="","",IF(L11="","Ukjent tekniker",IF(ISNA(MATCH(C11,Aktiviteter,0)),"Ukjent aktivitet",IF(AND(INDEX(AktRolle,MATCH(C11,Aktiviteter,0))&amp;""&lt;&gt;"",ISERROR(SEARCH(INDEX(AktRolle,MATCH(C11,Aktiviteter,0))&amp;"",INDEX(TekRoller,MATCH(B11,Teknikere,0))))),"Mangler rollen "&amp;INDEX(AktRolle,MATCH(C11,Aktiviteter,0))&amp;"",IF(AND(C11="LMS",F11&gt;0,OR(D11="",E11="")),"Mangler maskin eller arbeid",IF(AND(OR(C11="LMS",C11="Mod"),D11&lt;&gt;""),IF(IFERROR(INDEX(MaskinStatus,MATCH(D11,Maskiner,0)),"")="I dokk","","Maskinen er ikke i dokk"),""))))))</f>
        <v/>
      </c>
      <c r="L11" s="2">
        <f>IF(B11="","",IFERROR(INT((MATCH(B11,Teknikere,0)-1)/18)+1,""))</f>
        <v/>
      </c>
      <c r="M11" s="2">
        <f>IF(OR(A11="",B11=""),"",B11&amp;"|"&amp;A11)</f>
        <v/>
      </c>
      <c r="N11" s="2">
        <f>IF(M11="","",SUMIFS(TF_Timer,TF_Nokkel,M11,TF_Akt,C11))</f>
        <v/>
      </c>
      <c r="O11" s="2">
        <f>IF(M11="","",IF(AND(N11=_xlfn.MAXIFS(TF_AktSum,TF_Nokkel,M11),COUNTIFS(M$3:M10,M11,N$3:N10,N11)=0),M11,""))</f>
        <v/>
      </c>
    </row>
    <row r="12">
      <c r="A12" s="34" t="n"/>
      <c r="B12" s="35" t="n"/>
      <c r="C12" s="35" t="n"/>
      <c r="D12" s="35" t="n"/>
      <c r="E12" s="35" t="n"/>
      <c r="F12" s="36" t="n"/>
      <c r="G12" s="35" t="n"/>
      <c r="H12" s="30">
        <f>IF(L12="","",INDEX(SkiftNavn,L12))</f>
        <v/>
      </c>
      <c r="I12" s="30">
        <f>IF(OR(A12="",L12=""),"",IF(MOD(A12-INDEX(SkiftStart,L12),Syklus)&lt;DagK,"Kveld",IF(MOD(A12-INDEX(SkiftStart,L12),Syklus)&lt;DagK+DagH,"Helg",IF(MOD(A12-INDEX(SkiftStart,L12),Syklus)&lt;DagK+DagH+DagD,"Dag","Fri"))))</f>
        <v/>
      </c>
      <c r="J12" s="30">
        <f>IF(I12="Fri","Ja","")</f>
        <v/>
      </c>
      <c r="K12" s="30">
        <f>IF(B12="","",IF(L12="","Ukjent tekniker",IF(ISNA(MATCH(C12,Aktiviteter,0)),"Ukjent aktivitet",IF(AND(INDEX(AktRolle,MATCH(C12,Aktiviteter,0))&amp;""&lt;&gt;"",ISERROR(SEARCH(INDEX(AktRolle,MATCH(C12,Aktiviteter,0))&amp;"",INDEX(TekRoller,MATCH(B12,Teknikere,0))))),"Mangler rollen "&amp;INDEX(AktRolle,MATCH(C12,Aktiviteter,0))&amp;"",IF(AND(C12="LMS",F12&gt;0,OR(D12="",E12="")),"Mangler maskin eller arbeid",IF(AND(OR(C12="LMS",C12="Mod"),D12&lt;&gt;""),IF(IFERROR(INDEX(MaskinStatus,MATCH(D12,Maskiner,0)),"")="I dokk","","Maskinen er ikke i dokk"),""))))))</f>
        <v/>
      </c>
      <c r="L12" s="2">
        <f>IF(B12="","",IFERROR(INT((MATCH(B12,Teknikere,0)-1)/18)+1,""))</f>
        <v/>
      </c>
      <c r="M12" s="2">
        <f>IF(OR(A12="",B12=""),"",B12&amp;"|"&amp;A12)</f>
        <v/>
      </c>
      <c r="N12" s="2">
        <f>IF(M12="","",SUMIFS(TF_Timer,TF_Nokkel,M12,TF_Akt,C12))</f>
        <v/>
      </c>
      <c r="O12" s="2">
        <f>IF(M12="","",IF(AND(N12=_xlfn.MAXIFS(TF_AktSum,TF_Nokkel,M12),COUNTIFS(M$3:M11,M12,N$3:N11,N12)=0),M12,""))</f>
        <v/>
      </c>
    </row>
    <row r="13">
      <c r="A13" s="34" t="n"/>
      <c r="B13" s="35" t="n"/>
      <c r="C13" s="35" t="n"/>
      <c r="D13" s="35" t="n"/>
      <c r="E13" s="35" t="n"/>
      <c r="F13" s="36" t="n"/>
      <c r="G13" s="35" t="n"/>
      <c r="H13" s="30">
        <f>IF(L13="","",INDEX(SkiftNavn,L13))</f>
        <v/>
      </c>
      <c r="I13" s="30">
        <f>IF(OR(A13="",L13=""),"",IF(MOD(A13-INDEX(SkiftStart,L13),Syklus)&lt;DagK,"Kveld",IF(MOD(A13-INDEX(SkiftStart,L13),Syklus)&lt;DagK+DagH,"Helg",IF(MOD(A13-INDEX(SkiftStart,L13),Syklus)&lt;DagK+DagH+DagD,"Dag","Fri"))))</f>
        <v/>
      </c>
      <c r="J13" s="30">
        <f>IF(I13="Fri","Ja","")</f>
        <v/>
      </c>
      <c r="K13" s="30">
        <f>IF(B13="","",IF(L13="","Ukjent tekniker",IF(ISNA(MATCH(C13,Aktiviteter,0)),"Ukjent aktivitet",IF(AND(INDEX(AktRolle,MATCH(C13,Aktiviteter,0))&amp;""&lt;&gt;"",ISERROR(SEARCH(INDEX(AktRolle,MATCH(C13,Aktiviteter,0))&amp;"",INDEX(TekRoller,MATCH(B13,Teknikere,0))))),"Mangler rollen "&amp;INDEX(AktRolle,MATCH(C13,Aktiviteter,0))&amp;"",IF(AND(C13="LMS",F13&gt;0,OR(D13="",E13="")),"Mangler maskin eller arbeid",IF(AND(OR(C13="LMS",C13="Mod"),D13&lt;&gt;""),IF(IFERROR(INDEX(MaskinStatus,MATCH(D13,Maskiner,0)),"")="I dokk","","Maskinen er ikke i dokk"),""))))))</f>
        <v/>
      </c>
      <c r="L13" s="2">
        <f>IF(B13="","",IFERROR(INT((MATCH(B13,Teknikere,0)-1)/18)+1,""))</f>
        <v/>
      </c>
      <c r="M13" s="2">
        <f>IF(OR(A13="",B13=""),"",B13&amp;"|"&amp;A13)</f>
        <v/>
      </c>
      <c r="N13" s="2">
        <f>IF(M13="","",SUMIFS(TF_Timer,TF_Nokkel,M13,TF_Akt,C13))</f>
        <v/>
      </c>
      <c r="O13" s="2">
        <f>IF(M13="","",IF(AND(N13=_xlfn.MAXIFS(TF_AktSum,TF_Nokkel,M13),COUNTIFS(M$3:M12,M13,N$3:N12,N13)=0),M13,""))</f>
        <v/>
      </c>
    </row>
    <row r="14">
      <c r="A14" s="34" t="n"/>
      <c r="B14" s="35" t="n"/>
      <c r="C14" s="35" t="n"/>
      <c r="D14" s="35" t="n"/>
      <c r="E14" s="35" t="n"/>
      <c r="F14" s="36" t="n"/>
      <c r="G14" s="35" t="n"/>
      <c r="H14" s="30">
        <f>IF(L14="","",INDEX(SkiftNavn,L14))</f>
        <v/>
      </c>
      <c r="I14" s="30">
        <f>IF(OR(A14="",L14=""),"",IF(MOD(A14-INDEX(SkiftStart,L14),Syklus)&lt;DagK,"Kveld",IF(MOD(A14-INDEX(SkiftStart,L14),Syklus)&lt;DagK+DagH,"Helg",IF(MOD(A14-INDEX(SkiftStart,L14),Syklus)&lt;DagK+DagH+DagD,"Dag","Fri"))))</f>
        <v/>
      </c>
      <c r="J14" s="30">
        <f>IF(I14="Fri","Ja","")</f>
        <v/>
      </c>
      <c r="K14" s="30">
        <f>IF(B14="","",IF(L14="","Ukjent tekniker",IF(ISNA(MATCH(C14,Aktiviteter,0)),"Ukjent aktivitet",IF(AND(INDEX(AktRolle,MATCH(C14,Aktiviteter,0))&amp;""&lt;&gt;"",ISERROR(SEARCH(INDEX(AktRolle,MATCH(C14,Aktiviteter,0))&amp;"",INDEX(TekRoller,MATCH(B14,Teknikere,0))))),"Mangler rollen "&amp;INDEX(AktRolle,MATCH(C14,Aktiviteter,0))&amp;"",IF(AND(C14="LMS",F14&gt;0,OR(D14="",E14="")),"Mangler maskin eller arbeid",IF(AND(OR(C14="LMS",C14="Mod"),D14&lt;&gt;""),IF(IFERROR(INDEX(MaskinStatus,MATCH(D14,Maskiner,0)),"")="I dokk","","Maskinen er ikke i dokk"),""))))))</f>
        <v/>
      </c>
      <c r="L14" s="2">
        <f>IF(B14="","",IFERROR(INT((MATCH(B14,Teknikere,0)-1)/18)+1,""))</f>
        <v/>
      </c>
      <c r="M14" s="2">
        <f>IF(OR(A14="",B14=""),"",B14&amp;"|"&amp;A14)</f>
        <v/>
      </c>
      <c r="N14" s="2">
        <f>IF(M14="","",SUMIFS(TF_Timer,TF_Nokkel,M14,TF_Akt,C14))</f>
        <v/>
      </c>
      <c r="O14" s="2">
        <f>IF(M14="","",IF(AND(N14=_xlfn.MAXIFS(TF_AktSum,TF_Nokkel,M14),COUNTIFS(M$3:M13,M14,N$3:N13,N14)=0),M14,""))</f>
        <v/>
      </c>
    </row>
    <row r="15">
      <c r="A15" s="34" t="n"/>
      <c r="B15" s="35" t="n"/>
      <c r="C15" s="35" t="n"/>
      <c r="D15" s="35" t="n"/>
      <c r="E15" s="35" t="n"/>
      <c r="F15" s="36" t="n"/>
      <c r="G15" s="35" t="n"/>
      <c r="H15" s="30">
        <f>IF(L15="","",INDEX(SkiftNavn,L15))</f>
        <v/>
      </c>
      <c r="I15" s="30">
        <f>IF(OR(A15="",L15=""),"",IF(MOD(A15-INDEX(SkiftStart,L15),Syklus)&lt;DagK,"Kveld",IF(MOD(A15-INDEX(SkiftStart,L15),Syklus)&lt;DagK+DagH,"Helg",IF(MOD(A15-INDEX(SkiftStart,L15),Syklus)&lt;DagK+DagH+DagD,"Dag","Fri"))))</f>
        <v/>
      </c>
      <c r="J15" s="30">
        <f>IF(I15="Fri","Ja","")</f>
        <v/>
      </c>
      <c r="K15" s="30">
        <f>IF(B15="","",IF(L15="","Ukjent tekniker",IF(ISNA(MATCH(C15,Aktiviteter,0)),"Ukjent aktivitet",IF(AND(INDEX(AktRolle,MATCH(C15,Aktiviteter,0))&amp;""&lt;&gt;"",ISERROR(SEARCH(INDEX(AktRolle,MATCH(C15,Aktiviteter,0))&amp;"",INDEX(TekRoller,MATCH(B15,Teknikere,0))))),"Mangler rollen "&amp;INDEX(AktRolle,MATCH(C15,Aktiviteter,0))&amp;"",IF(AND(C15="LMS",F15&gt;0,OR(D15="",E15="")),"Mangler maskin eller arbeid",IF(AND(OR(C15="LMS",C15="Mod"),D15&lt;&gt;""),IF(IFERROR(INDEX(MaskinStatus,MATCH(D15,Maskiner,0)),"")="I dokk","","Maskinen er ikke i dokk"),""))))))</f>
        <v/>
      </c>
      <c r="L15" s="2">
        <f>IF(B15="","",IFERROR(INT((MATCH(B15,Teknikere,0)-1)/18)+1,""))</f>
        <v/>
      </c>
      <c r="M15" s="2">
        <f>IF(OR(A15="",B15=""),"",B15&amp;"|"&amp;A15)</f>
        <v/>
      </c>
      <c r="N15" s="2">
        <f>IF(M15="","",SUMIFS(TF_Timer,TF_Nokkel,M15,TF_Akt,C15))</f>
        <v/>
      </c>
      <c r="O15" s="2">
        <f>IF(M15="","",IF(AND(N15=_xlfn.MAXIFS(TF_AktSum,TF_Nokkel,M15),COUNTIFS(M$3:M14,M15,N$3:N14,N15)=0),M15,""))</f>
        <v/>
      </c>
    </row>
    <row r="16">
      <c r="A16" s="34" t="n"/>
      <c r="B16" s="35" t="n"/>
      <c r="C16" s="35" t="n"/>
      <c r="D16" s="35" t="n"/>
      <c r="E16" s="35" t="n"/>
      <c r="F16" s="36" t="n"/>
      <c r="G16" s="35" t="n"/>
      <c r="H16" s="30">
        <f>IF(L16="","",INDEX(SkiftNavn,L16))</f>
        <v/>
      </c>
      <c r="I16" s="30">
        <f>IF(OR(A16="",L16=""),"",IF(MOD(A16-INDEX(SkiftStart,L16),Syklus)&lt;DagK,"Kveld",IF(MOD(A16-INDEX(SkiftStart,L16),Syklus)&lt;DagK+DagH,"Helg",IF(MOD(A16-INDEX(SkiftStart,L16),Syklus)&lt;DagK+DagH+DagD,"Dag","Fri"))))</f>
        <v/>
      </c>
      <c r="J16" s="30">
        <f>IF(I16="Fri","Ja","")</f>
        <v/>
      </c>
      <c r="K16" s="30">
        <f>IF(B16="","",IF(L16="","Ukjent tekniker",IF(ISNA(MATCH(C16,Aktiviteter,0)),"Ukjent aktivitet",IF(AND(INDEX(AktRolle,MATCH(C16,Aktiviteter,0))&amp;""&lt;&gt;"",ISERROR(SEARCH(INDEX(AktRolle,MATCH(C16,Aktiviteter,0))&amp;"",INDEX(TekRoller,MATCH(B16,Teknikere,0))))),"Mangler rollen "&amp;INDEX(AktRolle,MATCH(C16,Aktiviteter,0))&amp;"",IF(AND(C16="LMS",F16&gt;0,OR(D16="",E16="")),"Mangler maskin eller arbeid",IF(AND(OR(C16="LMS",C16="Mod"),D16&lt;&gt;""),IF(IFERROR(INDEX(MaskinStatus,MATCH(D16,Maskiner,0)),"")="I dokk","","Maskinen er ikke i dokk"),""))))))</f>
        <v/>
      </c>
      <c r="L16" s="2">
        <f>IF(B16="","",IFERROR(INT((MATCH(B16,Teknikere,0)-1)/18)+1,""))</f>
        <v/>
      </c>
      <c r="M16" s="2">
        <f>IF(OR(A16="",B16=""),"",B16&amp;"|"&amp;A16)</f>
        <v/>
      </c>
      <c r="N16" s="2">
        <f>IF(M16="","",SUMIFS(TF_Timer,TF_Nokkel,M16,TF_Akt,C16))</f>
        <v/>
      </c>
      <c r="O16" s="2">
        <f>IF(M16="","",IF(AND(N16=_xlfn.MAXIFS(TF_AktSum,TF_Nokkel,M16),COUNTIFS(M$3:M15,M16,N$3:N15,N16)=0),M16,""))</f>
        <v/>
      </c>
    </row>
    <row r="17">
      <c r="A17" s="34" t="n"/>
      <c r="B17" s="35" t="n"/>
      <c r="C17" s="35" t="n"/>
      <c r="D17" s="35" t="n"/>
      <c r="E17" s="35" t="n"/>
      <c r="F17" s="36" t="n"/>
      <c r="G17" s="35" t="n"/>
      <c r="H17" s="30">
        <f>IF(L17="","",INDEX(SkiftNavn,L17))</f>
        <v/>
      </c>
      <c r="I17" s="30">
        <f>IF(OR(A17="",L17=""),"",IF(MOD(A17-INDEX(SkiftStart,L17),Syklus)&lt;DagK,"Kveld",IF(MOD(A17-INDEX(SkiftStart,L17),Syklus)&lt;DagK+DagH,"Helg",IF(MOD(A17-INDEX(SkiftStart,L17),Syklus)&lt;DagK+DagH+DagD,"Dag","Fri"))))</f>
        <v/>
      </c>
      <c r="J17" s="30">
        <f>IF(I17="Fri","Ja","")</f>
        <v/>
      </c>
      <c r="K17" s="30">
        <f>IF(B17="","",IF(L17="","Ukjent tekniker",IF(ISNA(MATCH(C17,Aktiviteter,0)),"Ukjent aktivitet",IF(AND(INDEX(AktRolle,MATCH(C17,Aktiviteter,0))&amp;""&lt;&gt;"",ISERROR(SEARCH(INDEX(AktRolle,MATCH(C17,Aktiviteter,0))&amp;"",INDEX(TekRoller,MATCH(B17,Teknikere,0))))),"Mangler rollen "&amp;INDEX(AktRolle,MATCH(C17,Aktiviteter,0))&amp;"",IF(AND(C17="LMS",F17&gt;0,OR(D17="",E17="")),"Mangler maskin eller arbeid",IF(AND(OR(C17="LMS",C17="Mod"),D17&lt;&gt;""),IF(IFERROR(INDEX(MaskinStatus,MATCH(D17,Maskiner,0)),"")="I dokk","","Maskinen er ikke i dokk"),""))))))</f>
        <v/>
      </c>
      <c r="L17" s="2">
        <f>IF(B17="","",IFERROR(INT((MATCH(B17,Teknikere,0)-1)/18)+1,""))</f>
        <v/>
      </c>
      <c r="M17" s="2">
        <f>IF(OR(A17="",B17=""),"",B17&amp;"|"&amp;A17)</f>
        <v/>
      </c>
      <c r="N17" s="2">
        <f>IF(M17="","",SUMIFS(TF_Timer,TF_Nokkel,M17,TF_Akt,C17))</f>
        <v/>
      </c>
      <c r="O17" s="2">
        <f>IF(M17="","",IF(AND(N17=_xlfn.MAXIFS(TF_AktSum,TF_Nokkel,M17),COUNTIFS(M$3:M16,M17,N$3:N16,N17)=0),M17,""))</f>
        <v/>
      </c>
    </row>
    <row r="18">
      <c r="A18" s="34" t="n"/>
      <c r="B18" s="35" t="n"/>
      <c r="C18" s="35" t="n"/>
      <c r="D18" s="35" t="n"/>
      <c r="E18" s="35" t="n"/>
      <c r="F18" s="36" t="n"/>
      <c r="G18" s="35" t="n"/>
      <c r="H18" s="30">
        <f>IF(L18="","",INDEX(SkiftNavn,L18))</f>
        <v/>
      </c>
      <c r="I18" s="30">
        <f>IF(OR(A18="",L18=""),"",IF(MOD(A18-INDEX(SkiftStart,L18),Syklus)&lt;DagK,"Kveld",IF(MOD(A18-INDEX(SkiftStart,L18),Syklus)&lt;DagK+DagH,"Helg",IF(MOD(A18-INDEX(SkiftStart,L18),Syklus)&lt;DagK+DagH+DagD,"Dag","Fri"))))</f>
        <v/>
      </c>
      <c r="J18" s="30">
        <f>IF(I18="Fri","Ja","")</f>
        <v/>
      </c>
      <c r="K18" s="30">
        <f>IF(B18="","",IF(L18="","Ukjent tekniker",IF(ISNA(MATCH(C18,Aktiviteter,0)),"Ukjent aktivitet",IF(AND(INDEX(AktRolle,MATCH(C18,Aktiviteter,0))&amp;""&lt;&gt;"",ISERROR(SEARCH(INDEX(AktRolle,MATCH(C18,Aktiviteter,0))&amp;"",INDEX(TekRoller,MATCH(B18,Teknikere,0))))),"Mangler rollen "&amp;INDEX(AktRolle,MATCH(C18,Aktiviteter,0))&amp;"",IF(AND(C18="LMS",F18&gt;0,OR(D18="",E18="")),"Mangler maskin eller arbeid",IF(AND(OR(C18="LMS",C18="Mod"),D18&lt;&gt;""),IF(IFERROR(INDEX(MaskinStatus,MATCH(D18,Maskiner,0)),"")="I dokk","","Maskinen er ikke i dokk"),""))))))</f>
        <v/>
      </c>
      <c r="L18" s="2">
        <f>IF(B18="","",IFERROR(INT((MATCH(B18,Teknikere,0)-1)/18)+1,""))</f>
        <v/>
      </c>
      <c r="M18" s="2">
        <f>IF(OR(A18="",B18=""),"",B18&amp;"|"&amp;A18)</f>
        <v/>
      </c>
      <c r="N18" s="2">
        <f>IF(M18="","",SUMIFS(TF_Timer,TF_Nokkel,M18,TF_Akt,C18))</f>
        <v/>
      </c>
      <c r="O18" s="2">
        <f>IF(M18="","",IF(AND(N18=_xlfn.MAXIFS(TF_AktSum,TF_Nokkel,M18),COUNTIFS(M$3:M17,M18,N$3:N17,N18)=0),M18,""))</f>
        <v/>
      </c>
    </row>
    <row r="19">
      <c r="A19" s="34" t="n"/>
      <c r="B19" s="35" t="n"/>
      <c r="C19" s="35" t="n"/>
      <c r="D19" s="35" t="n"/>
      <c r="E19" s="35" t="n"/>
      <c r="F19" s="36" t="n"/>
      <c r="G19" s="35" t="n"/>
      <c r="H19" s="30">
        <f>IF(L19="","",INDEX(SkiftNavn,L19))</f>
        <v/>
      </c>
      <c r="I19" s="30">
        <f>IF(OR(A19="",L19=""),"",IF(MOD(A19-INDEX(SkiftStart,L19),Syklus)&lt;DagK,"Kveld",IF(MOD(A19-INDEX(SkiftStart,L19),Syklus)&lt;DagK+DagH,"Helg",IF(MOD(A19-INDEX(SkiftStart,L19),Syklus)&lt;DagK+DagH+DagD,"Dag","Fri"))))</f>
        <v/>
      </c>
      <c r="J19" s="30">
        <f>IF(I19="Fri","Ja","")</f>
        <v/>
      </c>
      <c r="K19" s="30">
        <f>IF(B19="","",IF(L19="","Ukjent tekniker",IF(ISNA(MATCH(C19,Aktiviteter,0)),"Ukjent aktivitet",IF(AND(INDEX(AktRolle,MATCH(C19,Aktiviteter,0))&amp;""&lt;&gt;"",ISERROR(SEARCH(INDEX(AktRolle,MATCH(C19,Aktiviteter,0))&amp;"",INDEX(TekRoller,MATCH(B19,Teknikere,0))))),"Mangler rollen "&amp;INDEX(AktRolle,MATCH(C19,Aktiviteter,0))&amp;"",IF(AND(C19="LMS",F19&gt;0,OR(D19="",E19="")),"Mangler maskin eller arbeid",IF(AND(OR(C19="LMS",C19="Mod"),D19&lt;&gt;""),IF(IFERROR(INDEX(MaskinStatus,MATCH(D19,Maskiner,0)),"")="I dokk","","Maskinen er ikke i dokk"),""))))))</f>
        <v/>
      </c>
      <c r="L19" s="2">
        <f>IF(B19="","",IFERROR(INT((MATCH(B19,Teknikere,0)-1)/18)+1,""))</f>
        <v/>
      </c>
      <c r="M19" s="2">
        <f>IF(OR(A19="",B19=""),"",B19&amp;"|"&amp;A19)</f>
        <v/>
      </c>
      <c r="N19" s="2">
        <f>IF(M19="","",SUMIFS(TF_Timer,TF_Nokkel,M19,TF_Akt,C19))</f>
        <v/>
      </c>
      <c r="O19" s="2">
        <f>IF(M19="","",IF(AND(N19=_xlfn.MAXIFS(TF_AktSum,TF_Nokkel,M19),COUNTIFS(M$3:M18,M19,N$3:N18,N19)=0),M19,""))</f>
        <v/>
      </c>
    </row>
    <row r="20">
      <c r="A20" s="34" t="n"/>
      <c r="B20" s="35" t="n"/>
      <c r="C20" s="35" t="n"/>
      <c r="D20" s="35" t="n"/>
      <c r="E20" s="35" t="n"/>
      <c r="F20" s="36" t="n"/>
      <c r="G20" s="35" t="n"/>
      <c r="H20" s="30">
        <f>IF(L20="","",INDEX(SkiftNavn,L20))</f>
        <v/>
      </c>
      <c r="I20" s="30">
        <f>IF(OR(A20="",L20=""),"",IF(MOD(A20-INDEX(SkiftStart,L20),Syklus)&lt;DagK,"Kveld",IF(MOD(A20-INDEX(SkiftStart,L20),Syklus)&lt;DagK+DagH,"Helg",IF(MOD(A20-INDEX(SkiftStart,L20),Syklus)&lt;DagK+DagH+DagD,"Dag","Fri"))))</f>
        <v/>
      </c>
      <c r="J20" s="30">
        <f>IF(I20="Fri","Ja","")</f>
        <v/>
      </c>
      <c r="K20" s="30">
        <f>IF(B20="","",IF(L20="","Ukjent tekniker",IF(ISNA(MATCH(C20,Aktiviteter,0)),"Ukjent aktivitet",IF(AND(INDEX(AktRolle,MATCH(C20,Aktiviteter,0))&amp;""&lt;&gt;"",ISERROR(SEARCH(INDEX(AktRolle,MATCH(C20,Aktiviteter,0))&amp;"",INDEX(TekRoller,MATCH(B20,Teknikere,0))))),"Mangler rollen "&amp;INDEX(AktRolle,MATCH(C20,Aktiviteter,0))&amp;"",IF(AND(C20="LMS",F20&gt;0,OR(D20="",E20="")),"Mangler maskin eller arbeid",IF(AND(OR(C20="LMS",C20="Mod"),D20&lt;&gt;""),IF(IFERROR(INDEX(MaskinStatus,MATCH(D20,Maskiner,0)),"")="I dokk","","Maskinen er ikke i dokk"),""))))))</f>
        <v/>
      </c>
      <c r="L20" s="2">
        <f>IF(B20="","",IFERROR(INT((MATCH(B20,Teknikere,0)-1)/18)+1,""))</f>
        <v/>
      </c>
      <c r="M20" s="2">
        <f>IF(OR(A20="",B20=""),"",B20&amp;"|"&amp;A20)</f>
        <v/>
      </c>
      <c r="N20" s="2">
        <f>IF(M20="","",SUMIFS(TF_Timer,TF_Nokkel,M20,TF_Akt,C20))</f>
        <v/>
      </c>
      <c r="O20" s="2">
        <f>IF(M20="","",IF(AND(N20=_xlfn.MAXIFS(TF_AktSum,TF_Nokkel,M20),COUNTIFS(M$3:M19,M20,N$3:N19,N20)=0),M20,""))</f>
        <v/>
      </c>
    </row>
    <row r="21">
      <c r="A21" s="34" t="n"/>
      <c r="B21" s="35" t="n"/>
      <c r="C21" s="35" t="n"/>
      <c r="D21" s="35" t="n"/>
      <c r="E21" s="35" t="n"/>
      <c r="F21" s="36" t="n"/>
      <c r="G21" s="35" t="n"/>
      <c r="H21" s="30">
        <f>IF(L21="","",INDEX(SkiftNavn,L21))</f>
        <v/>
      </c>
      <c r="I21" s="30">
        <f>IF(OR(A21="",L21=""),"",IF(MOD(A21-INDEX(SkiftStart,L21),Syklus)&lt;DagK,"Kveld",IF(MOD(A21-INDEX(SkiftStart,L21),Syklus)&lt;DagK+DagH,"Helg",IF(MOD(A21-INDEX(SkiftStart,L21),Syklus)&lt;DagK+DagH+DagD,"Dag","Fri"))))</f>
        <v/>
      </c>
      <c r="J21" s="30">
        <f>IF(I21="Fri","Ja","")</f>
        <v/>
      </c>
      <c r="K21" s="30">
        <f>IF(B21="","",IF(L21="","Ukjent tekniker",IF(ISNA(MATCH(C21,Aktiviteter,0)),"Ukjent aktivitet",IF(AND(INDEX(AktRolle,MATCH(C21,Aktiviteter,0))&amp;""&lt;&gt;"",ISERROR(SEARCH(INDEX(AktRolle,MATCH(C21,Aktiviteter,0))&amp;"",INDEX(TekRoller,MATCH(B21,Teknikere,0))))),"Mangler rollen "&amp;INDEX(AktRolle,MATCH(C21,Aktiviteter,0))&amp;"",IF(AND(C21="LMS",F21&gt;0,OR(D21="",E21="")),"Mangler maskin eller arbeid",IF(AND(OR(C21="LMS",C21="Mod"),D21&lt;&gt;""),IF(IFERROR(INDEX(MaskinStatus,MATCH(D21,Maskiner,0)),"")="I dokk","","Maskinen er ikke i dokk"),""))))))</f>
        <v/>
      </c>
      <c r="L21" s="2">
        <f>IF(B21="","",IFERROR(INT((MATCH(B21,Teknikere,0)-1)/18)+1,""))</f>
        <v/>
      </c>
      <c r="M21" s="2">
        <f>IF(OR(A21="",B21=""),"",B21&amp;"|"&amp;A21)</f>
        <v/>
      </c>
      <c r="N21" s="2">
        <f>IF(M21="","",SUMIFS(TF_Timer,TF_Nokkel,M21,TF_Akt,C21))</f>
        <v/>
      </c>
      <c r="O21" s="2">
        <f>IF(M21="","",IF(AND(N21=_xlfn.MAXIFS(TF_AktSum,TF_Nokkel,M21),COUNTIFS(M$3:M20,M21,N$3:N20,N21)=0),M21,""))</f>
        <v/>
      </c>
    </row>
    <row r="22">
      <c r="A22" s="34" t="n"/>
      <c r="B22" s="35" t="n"/>
      <c r="C22" s="35" t="n"/>
      <c r="D22" s="35" t="n"/>
      <c r="E22" s="35" t="n"/>
      <c r="F22" s="36" t="n"/>
      <c r="G22" s="35" t="n"/>
      <c r="H22" s="30">
        <f>IF(L22="","",INDEX(SkiftNavn,L22))</f>
        <v/>
      </c>
      <c r="I22" s="30">
        <f>IF(OR(A22="",L22=""),"",IF(MOD(A22-INDEX(SkiftStart,L22),Syklus)&lt;DagK,"Kveld",IF(MOD(A22-INDEX(SkiftStart,L22),Syklus)&lt;DagK+DagH,"Helg",IF(MOD(A22-INDEX(SkiftStart,L22),Syklus)&lt;DagK+DagH+DagD,"Dag","Fri"))))</f>
        <v/>
      </c>
      <c r="J22" s="30">
        <f>IF(I22="Fri","Ja","")</f>
        <v/>
      </c>
      <c r="K22" s="30">
        <f>IF(B22="","",IF(L22="","Ukjent tekniker",IF(ISNA(MATCH(C22,Aktiviteter,0)),"Ukjent aktivitet",IF(AND(INDEX(AktRolle,MATCH(C22,Aktiviteter,0))&amp;""&lt;&gt;"",ISERROR(SEARCH(INDEX(AktRolle,MATCH(C22,Aktiviteter,0))&amp;"",INDEX(TekRoller,MATCH(B22,Teknikere,0))))),"Mangler rollen "&amp;INDEX(AktRolle,MATCH(C22,Aktiviteter,0))&amp;"",IF(AND(C22="LMS",F22&gt;0,OR(D22="",E22="")),"Mangler maskin eller arbeid",IF(AND(OR(C22="LMS",C22="Mod"),D22&lt;&gt;""),IF(IFERROR(INDEX(MaskinStatus,MATCH(D22,Maskiner,0)),"")="I dokk","","Maskinen er ikke i dokk"),""))))))</f>
        <v/>
      </c>
      <c r="L22" s="2">
        <f>IF(B22="","",IFERROR(INT((MATCH(B22,Teknikere,0)-1)/18)+1,""))</f>
        <v/>
      </c>
      <c r="M22" s="2">
        <f>IF(OR(A22="",B22=""),"",B22&amp;"|"&amp;A22)</f>
        <v/>
      </c>
      <c r="N22" s="2">
        <f>IF(M22="","",SUMIFS(TF_Timer,TF_Nokkel,M22,TF_Akt,C22))</f>
        <v/>
      </c>
      <c r="O22" s="2">
        <f>IF(M22="","",IF(AND(N22=_xlfn.MAXIFS(TF_AktSum,TF_Nokkel,M22),COUNTIFS(M$3:M21,M22,N$3:N21,N22)=0),M22,""))</f>
        <v/>
      </c>
    </row>
    <row r="23">
      <c r="A23" s="34" t="n"/>
      <c r="B23" s="35" t="n"/>
      <c r="C23" s="35" t="n"/>
      <c r="D23" s="35" t="n"/>
      <c r="E23" s="35" t="n"/>
      <c r="F23" s="36" t="n"/>
      <c r="G23" s="35" t="n"/>
      <c r="H23" s="30">
        <f>IF(L23="","",INDEX(SkiftNavn,L23))</f>
        <v/>
      </c>
      <c r="I23" s="30">
        <f>IF(OR(A23="",L23=""),"",IF(MOD(A23-INDEX(SkiftStart,L23),Syklus)&lt;DagK,"Kveld",IF(MOD(A23-INDEX(SkiftStart,L23),Syklus)&lt;DagK+DagH,"Helg",IF(MOD(A23-INDEX(SkiftStart,L23),Syklus)&lt;DagK+DagH+DagD,"Dag","Fri"))))</f>
        <v/>
      </c>
      <c r="J23" s="30">
        <f>IF(I23="Fri","Ja","")</f>
        <v/>
      </c>
      <c r="K23" s="30">
        <f>IF(B23="","",IF(L23="","Ukjent tekniker",IF(ISNA(MATCH(C23,Aktiviteter,0)),"Ukjent aktivitet",IF(AND(INDEX(AktRolle,MATCH(C23,Aktiviteter,0))&amp;""&lt;&gt;"",ISERROR(SEARCH(INDEX(AktRolle,MATCH(C23,Aktiviteter,0))&amp;"",INDEX(TekRoller,MATCH(B23,Teknikere,0))))),"Mangler rollen "&amp;INDEX(AktRolle,MATCH(C23,Aktiviteter,0))&amp;"",IF(AND(C23="LMS",F23&gt;0,OR(D23="",E23="")),"Mangler maskin eller arbeid",IF(AND(OR(C23="LMS",C23="Mod"),D23&lt;&gt;""),IF(IFERROR(INDEX(MaskinStatus,MATCH(D23,Maskiner,0)),"")="I dokk","","Maskinen er ikke i dokk"),""))))))</f>
        <v/>
      </c>
      <c r="L23" s="2">
        <f>IF(B23="","",IFERROR(INT((MATCH(B23,Teknikere,0)-1)/18)+1,""))</f>
        <v/>
      </c>
      <c r="M23" s="2">
        <f>IF(OR(A23="",B23=""),"",B23&amp;"|"&amp;A23)</f>
        <v/>
      </c>
      <c r="N23" s="2">
        <f>IF(M23="","",SUMIFS(TF_Timer,TF_Nokkel,M23,TF_Akt,C23))</f>
        <v/>
      </c>
      <c r="O23" s="2">
        <f>IF(M23="","",IF(AND(N23=_xlfn.MAXIFS(TF_AktSum,TF_Nokkel,M23),COUNTIFS(M$3:M22,M23,N$3:N22,N23)=0),M23,""))</f>
        <v/>
      </c>
    </row>
    <row r="24">
      <c r="A24" s="34" t="n"/>
      <c r="B24" s="35" t="n"/>
      <c r="C24" s="35" t="n"/>
      <c r="D24" s="35" t="n"/>
      <c r="E24" s="35" t="n"/>
      <c r="F24" s="36" t="n"/>
      <c r="G24" s="35" t="n"/>
      <c r="H24" s="30">
        <f>IF(L24="","",INDEX(SkiftNavn,L24))</f>
        <v/>
      </c>
      <c r="I24" s="30">
        <f>IF(OR(A24="",L24=""),"",IF(MOD(A24-INDEX(SkiftStart,L24),Syklus)&lt;DagK,"Kveld",IF(MOD(A24-INDEX(SkiftStart,L24),Syklus)&lt;DagK+DagH,"Helg",IF(MOD(A24-INDEX(SkiftStart,L24),Syklus)&lt;DagK+DagH+DagD,"Dag","Fri"))))</f>
        <v/>
      </c>
      <c r="J24" s="30">
        <f>IF(I24="Fri","Ja","")</f>
        <v/>
      </c>
      <c r="K24" s="30">
        <f>IF(B24="","",IF(L24="","Ukjent tekniker",IF(ISNA(MATCH(C24,Aktiviteter,0)),"Ukjent aktivitet",IF(AND(INDEX(AktRolle,MATCH(C24,Aktiviteter,0))&amp;""&lt;&gt;"",ISERROR(SEARCH(INDEX(AktRolle,MATCH(C24,Aktiviteter,0))&amp;"",INDEX(TekRoller,MATCH(B24,Teknikere,0))))),"Mangler rollen "&amp;INDEX(AktRolle,MATCH(C24,Aktiviteter,0))&amp;"",IF(AND(C24="LMS",F24&gt;0,OR(D24="",E24="")),"Mangler maskin eller arbeid",IF(AND(OR(C24="LMS",C24="Mod"),D24&lt;&gt;""),IF(IFERROR(INDEX(MaskinStatus,MATCH(D24,Maskiner,0)),"")="I dokk","","Maskinen er ikke i dokk"),""))))))</f>
        <v/>
      </c>
      <c r="L24" s="2">
        <f>IF(B24="","",IFERROR(INT((MATCH(B24,Teknikere,0)-1)/18)+1,""))</f>
        <v/>
      </c>
      <c r="M24" s="2">
        <f>IF(OR(A24="",B24=""),"",B24&amp;"|"&amp;A24)</f>
        <v/>
      </c>
      <c r="N24" s="2">
        <f>IF(M24="","",SUMIFS(TF_Timer,TF_Nokkel,M24,TF_Akt,C24))</f>
        <v/>
      </c>
      <c r="O24" s="2">
        <f>IF(M24="","",IF(AND(N24=_xlfn.MAXIFS(TF_AktSum,TF_Nokkel,M24),COUNTIFS(M$3:M23,M24,N$3:N23,N24)=0),M24,""))</f>
        <v/>
      </c>
    </row>
    <row r="25">
      <c r="A25" s="34" t="n"/>
      <c r="B25" s="35" t="n"/>
      <c r="C25" s="35" t="n"/>
      <c r="D25" s="35" t="n"/>
      <c r="E25" s="35" t="n"/>
      <c r="F25" s="36" t="n"/>
      <c r="G25" s="35" t="n"/>
      <c r="H25" s="30">
        <f>IF(L25="","",INDEX(SkiftNavn,L25))</f>
        <v/>
      </c>
      <c r="I25" s="30">
        <f>IF(OR(A25="",L25=""),"",IF(MOD(A25-INDEX(SkiftStart,L25),Syklus)&lt;DagK,"Kveld",IF(MOD(A25-INDEX(SkiftStart,L25),Syklus)&lt;DagK+DagH,"Helg",IF(MOD(A25-INDEX(SkiftStart,L25),Syklus)&lt;DagK+DagH+DagD,"Dag","Fri"))))</f>
        <v/>
      </c>
      <c r="J25" s="30">
        <f>IF(I25="Fri","Ja","")</f>
        <v/>
      </c>
      <c r="K25" s="30">
        <f>IF(B25="","",IF(L25="","Ukjent tekniker",IF(ISNA(MATCH(C25,Aktiviteter,0)),"Ukjent aktivitet",IF(AND(INDEX(AktRolle,MATCH(C25,Aktiviteter,0))&amp;""&lt;&gt;"",ISERROR(SEARCH(INDEX(AktRolle,MATCH(C25,Aktiviteter,0))&amp;"",INDEX(TekRoller,MATCH(B25,Teknikere,0))))),"Mangler rollen "&amp;INDEX(AktRolle,MATCH(C25,Aktiviteter,0))&amp;"",IF(AND(C25="LMS",F25&gt;0,OR(D25="",E25="")),"Mangler maskin eller arbeid",IF(AND(OR(C25="LMS",C25="Mod"),D25&lt;&gt;""),IF(IFERROR(INDEX(MaskinStatus,MATCH(D25,Maskiner,0)),"")="I dokk","","Maskinen er ikke i dokk"),""))))))</f>
        <v/>
      </c>
      <c r="L25" s="2">
        <f>IF(B25="","",IFERROR(INT((MATCH(B25,Teknikere,0)-1)/18)+1,""))</f>
        <v/>
      </c>
      <c r="M25" s="2">
        <f>IF(OR(A25="",B25=""),"",B25&amp;"|"&amp;A25)</f>
        <v/>
      </c>
      <c r="N25" s="2">
        <f>IF(M25="","",SUMIFS(TF_Timer,TF_Nokkel,M25,TF_Akt,C25))</f>
        <v/>
      </c>
      <c r="O25" s="2">
        <f>IF(M25="","",IF(AND(N25=_xlfn.MAXIFS(TF_AktSum,TF_Nokkel,M25),COUNTIFS(M$3:M24,M25,N$3:N24,N25)=0),M25,""))</f>
        <v/>
      </c>
    </row>
    <row r="26">
      <c r="A26" s="34" t="n"/>
      <c r="B26" s="35" t="n"/>
      <c r="C26" s="35" t="n"/>
      <c r="D26" s="35" t="n"/>
      <c r="E26" s="35" t="n"/>
      <c r="F26" s="36" t="n"/>
      <c r="G26" s="35" t="n"/>
      <c r="H26" s="30">
        <f>IF(L26="","",INDEX(SkiftNavn,L26))</f>
        <v/>
      </c>
      <c r="I26" s="30">
        <f>IF(OR(A26="",L26=""),"",IF(MOD(A26-INDEX(SkiftStart,L26),Syklus)&lt;DagK,"Kveld",IF(MOD(A26-INDEX(SkiftStart,L26),Syklus)&lt;DagK+DagH,"Helg",IF(MOD(A26-INDEX(SkiftStart,L26),Syklus)&lt;DagK+DagH+DagD,"Dag","Fri"))))</f>
        <v/>
      </c>
      <c r="J26" s="30">
        <f>IF(I26="Fri","Ja","")</f>
        <v/>
      </c>
      <c r="K26" s="30">
        <f>IF(B26="","",IF(L26="","Ukjent tekniker",IF(ISNA(MATCH(C26,Aktiviteter,0)),"Ukjent aktivitet",IF(AND(INDEX(AktRolle,MATCH(C26,Aktiviteter,0))&amp;""&lt;&gt;"",ISERROR(SEARCH(INDEX(AktRolle,MATCH(C26,Aktiviteter,0))&amp;"",INDEX(TekRoller,MATCH(B26,Teknikere,0))))),"Mangler rollen "&amp;INDEX(AktRolle,MATCH(C26,Aktiviteter,0))&amp;"",IF(AND(C26="LMS",F26&gt;0,OR(D26="",E26="")),"Mangler maskin eller arbeid",IF(AND(OR(C26="LMS",C26="Mod"),D26&lt;&gt;""),IF(IFERROR(INDEX(MaskinStatus,MATCH(D26,Maskiner,0)),"")="I dokk","","Maskinen er ikke i dokk"),""))))))</f>
        <v/>
      </c>
      <c r="L26" s="2">
        <f>IF(B26="","",IFERROR(INT((MATCH(B26,Teknikere,0)-1)/18)+1,""))</f>
        <v/>
      </c>
      <c r="M26" s="2">
        <f>IF(OR(A26="",B26=""),"",B26&amp;"|"&amp;A26)</f>
        <v/>
      </c>
      <c r="N26" s="2">
        <f>IF(M26="","",SUMIFS(TF_Timer,TF_Nokkel,M26,TF_Akt,C26))</f>
        <v/>
      </c>
      <c r="O26" s="2">
        <f>IF(M26="","",IF(AND(N26=_xlfn.MAXIFS(TF_AktSum,TF_Nokkel,M26),COUNTIFS(M$3:M25,M26,N$3:N25,N26)=0),M26,""))</f>
        <v/>
      </c>
    </row>
    <row r="27">
      <c r="A27" s="34" t="n"/>
      <c r="B27" s="35" t="n"/>
      <c r="C27" s="35" t="n"/>
      <c r="D27" s="35" t="n"/>
      <c r="E27" s="35" t="n"/>
      <c r="F27" s="36" t="n"/>
      <c r="G27" s="35" t="n"/>
      <c r="H27" s="30">
        <f>IF(L27="","",INDEX(SkiftNavn,L27))</f>
        <v/>
      </c>
      <c r="I27" s="30">
        <f>IF(OR(A27="",L27=""),"",IF(MOD(A27-INDEX(SkiftStart,L27),Syklus)&lt;DagK,"Kveld",IF(MOD(A27-INDEX(SkiftStart,L27),Syklus)&lt;DagK+DagH,"Helg",IF(MOD(A27-INDEX(SkiftStart,L27),Syklus)&lt;DagK+DagH+DagD,"Dag","Fri"))))</f>
        <v/>
      </c>
      <c r="J27" s="30">
        <f>IF(I27="Fri","Ja","")</f>
        <v/>
      </c>
      <c r="K27" s="30">
        <f>IF(B27="","",IF(L27="","Ukjent tekniker",IF(ISNA(MATCH(C27,Aktiviteter,0)),"Ukjent aktivitet",IF(AND(INDEX(AktRolle,MATCH(C27,Aktiviteter,0))&amp;""&lt;&gt;"",ISERROR(SEARCH(INDEX(AktRolle,MATCH(C27,Aktiviteter,0))&amp;"",INDEX(TekRoller,MATCH(B27,Teknikere,0))))),"Mangler rollen "&amp;INDEX(AktRolle,MATCH(C27,Aktiviteter,0))&amp;"",IF(AND(C27="LMS",F27&gt;0,OR(D27="",E27="")),"Mangler maskin eller arbeid",IF(AND(OR(C27="LMS",C27="Mod"),D27&lt;&gt;""),IF(IFERROR(INDEX(MaskinStatus,MATCH(D27,Maskiner,0)),"")="I dokk","","Maskinen er ikke i dokk"),""))))))</f>
        <v/>
      </c>
      <c r="L27" s="2">
        <f>IF(B27="","",IFERROR(INT((MATCH(B27,Teknikere,0)-1)/18)+1,""))</f>
        <v/>
      </c>
      <c r="M27" s="2">
        <f>IF(OR(A27="",B27=""),"",B27&amp;"|"&amp;A27)</f>
        <v/>
      </c>
      <c r="N27" s="2">
        <f>IF(M27="","",SUMIFS(TF_Timer,TF_Nokkel,M27,TF_Akt,C27))</f>
        <v/>
      </c>
      <c r="O27" s="2">
        <f>IF(M27="","",IF(AND(N27=_xlfn.MAXIFS(TF_AktSum,TF_Nokkel,M27),COUNTIFS(M$3:M26,M27,N$3:N26,N27)=0),M27,""))</f>
        <v/>
      </c>
    </row>
    <row r="28">
      <c r="A28" s="34" t="n"/>
      <c r="B28" s="35" t="n"/>
      <c r="C28" s="35" t="n"/>
      <c r="D28" s="35" t="n"/>
      <c r="E28" s="35" t="n"/>
      <c r="F28" s="36" t="n"/>
      <c r="G28" s="35" t="n"/>
      <c r="H28" s="30">
        <f>IF(L28="","",INDEX(SkiftNavn,L28))</f>
        <v/>
      </c>
      <c r="I28" s="30">
        <f>IF(OR(A28="",L28=""),"",IF(MOD(A28-INDEX(SkiftStart,L28),Syklus)&lt;DagK,"Kveld",IF(MOD(A28-INDEX(SkiftStart,L28),Syklus)&lt;DagK+DagH,"Helg",IF(MOD(A28-INDEX(SkiftStart,L28),Syklus)&lt;DagK+DagH+DagD,"Dag","Fri"))))</f>
        <v/>
      </c>
      <c r="J28" s="30">
        <f>IF(I28="Fri","Ja","")</f>
        <v/>
      </c>
      <c r="K28" s="30">
        <f>IF(B28="","",IF(L28="","Ukjent tekniker",IF(ISNA(MATCH(C28,Aktiviteter,0)),"Ukjent aktivitet",IF(AND(INDEX(AktRolle,MATCH(C28,Aktiviteter,0))&amp;""&lt;&gt;"",ISERROR(SEARCH(INDEX(AktRolle,MATCH(C28,Aktiviteter,0))&amp;"",INDEX(TekRoller,MATCH(B28,Teknikere,0))))),"Mangler rollen "&amp;INDEX(AktRolle,MATCH(C28,Aktiviteter,0))&amp;"",IF(AND(C28="LMS",F28&gt;0,OR(D28="",E28="")),"Mangler maskin eller arbeid",IF(AND(OR(C28="LMS",C28="Mod"),D28&lt;&gt;""),IF(IFERROR(INDEX(MaskinStatus,MATCH(D28,Maskiner,0)),"")="I dokk","","Maskinen er ikke i dokk"),""))))))</f>
        <v/>
      </c>
      <c r="L28" s="2">
        <f>IF(B28="","",IFERROR(INT((MATCH(B28,Teknikere,0)-1)/18)+1,""))</f>
        <v/>
      </c>
      <c r="M28" s="2">
        <f>IF(OR(A28="",B28=""),"",B28&amp;"|"&amp;A28)</f>
        <v/>
      </c>
      <c r="N28" s="2">
        <f>IF(M28="","",SUMIFS(TF_Timer,TF_Nokkel,M28,TF_Akt,C28))</f>
        <v/>
      </c>
      <c r="O28" s="2">
        <f>IF(M28="","",IF(AND(N28=_xlfn.MAXIFS(TF_AktSum,TF_Nokkel,M28),COUNTIFS(M$3:M27,M28,N$3:N27,N28)=0),M28,""))</f>
        <v/>
      </c>
    </row>
    <row r="29">
      <c r="A29" s="34" t="n"/>
      <c r="B29" s="35" t="n"/>
      <c r="C29" s="35" t="n"/>
      <c r="D29" s="35" t="n"/>
      <c r="E29" s="35" t="n"/>
      <c r="F29" s="36" t="n"/>
      <c r="G29" s="35" t="n"/>
      <c r="H29" s="30">
        <f>IF(L29="","",INDEX(SkiftNavn,L29))</f>
        <v/>
      </c>
      <c r="I29" s="30">
        <f>IF(OR(A29="",L29=""),"",IF(MOD(A29-INDEX(SkiftStart,L29),Syklus)&lt;DagK,"Kveld",IF(MOD(A29-INDEX(SkiftStart,L29),Syklus)&lt;DagK+DagH,"Helg",IF(MOD(A29-INDEX(SkiftStart,L29),Syklus)&lt;DagK+DagH+DagD,"Dag","Fri"))))</f>
        <v/>
      </c>
      <c r="J29" s="30">
        <f>IF(I29="Fri","Ja","")</f>
        <v/>
      </c>
      <c r="K29" s="30">
        <f>IF(B29="","",IF(L29="","Ukjent tekniker",IF(ISNA(MATCH(C29,Aktiviteter,0)),"Ukjent aktivitet",IF(AND(INDEX(AktRolle,MATCH(C29,Aktiviteter,0))&amp;""&lt;&gt;"",ISERROR(SEARCH(INDEX(AktRolle,MATCH(C29,Aktiviteter,0))&amp;"",INDEX(TekRoller,MATCH(B29,Teknikere,0))))),"Mangler rollen "&amp;INDEX(AktRolle,MATCH(C29,Aktiviteter,0))&amp;"",IF(AND(C29="LMS",F29&gt;0,OR(D29="",E29="")),"Mangler maskin eller arbeid",IF(AND(OR(C29="LMS",C29="Mod"),D29&lt;&gt;""),IF(IFERROR(INDEX(MaskinStatus,MATCH(D29,Maskiner,0)),"")="I dokk","","Maskinen er ikke i dokk"),""))))))</f>
        <v/>
      </c>
      <c r="L29" s="2">
        <f>IF(B29="","",IFERROR(INT((MATCH(B29,Teknikere,0)-1)/18)+1,""))</f>
        <v/>
      </c>
      <c r="M29" s="2">
        <f>IF(OR(A29="",B29=""),"",B29&amp;"|"&amp;A29)</f>
        <v/>
      </c>
      <c r="N29" s="2">
        <f>IF(M29="","",SUMIFS(TF_Timer,TF_Nokkel,M29,TF_Akt,C29))</f>
        <v/>
      </c>
      <c r="O29" s="2">
        <f>IF(M29="","",IF(AND(N29=_xlfn.MAXIFS(TF_AktSum,TF_Nokkel,M29),COUNTIFS(M$3:M28,M29,N$3:N28,N29)=0),M29,""))</f>
        <v/>
      </c>
    </row>
    <row r="30">
      <c r="A30" s="34" t="n"/>
      <c r="B30" s="35" t="n"/>
      <c r="C30" s="35" t="n"/>
      <c r="D30" s="35" t="n"/>
      <c r="E30" s="35" t="n"/>
      <c r="F30" s="36" t="n"/>
      <c r="G30" s="35" t="n"/>
      <c r="H30" s="30">
        <f>IF(L30="","",INDEX(SkiftNavn,L30))</f>
        <v/>
      </c>
      <c r="I30" s="30">
        <f>IF(OR(A30="",L30=""),"",IF(MOD(A30-INDEX(SkiftStart,L30),Syklus)&lt;DagK,"Kveld",IF(MOD(A30-INDEX(SkiftStart,L30),Syklus)&lt;DagK+DagH,"Helg",IF(MOD(A30-INDEX(SkiftStart,L30),Syklus)&lt;DagK+DagH+DagD,"Dag","Fri"))))</f>
        <v/>
      </c>
      <c r="J30" s="30">
        <f>IF(I30="Fri","Ja","")</f>
        <v/>
      </c>
      <c r="K30" s="30">
        <f>IF(B30="","",IF(L30="","Ukjent tekniker",IF(ISNA(MATCH(C30,Aktiviteter,0)),"Ukjent aktivitet",IF(AND(INDEX(AktRolle,MATCH(C30,Aktiviteter,0))&amp;""&lt;&gt;"",ISERROR(SEARCH(INDEX(AktRolle,MATCH(C30,Aktiviteter,0))&amp;"",INDEX(TekRoller,MATCH(B30,Teknikere,0))))),"Mangler rollen "&amp;INDEX(AktRolle,MATCH(C30,Aktiviteter,0))&amp;"",IF(AND(C30="LMS",F30&gt;0,OR(D30="",E30="")),"Mangler maskin eller arbeid",IF(AND(OR(C30="LMS",C30="Mod"),D30&lt;&gt;""),IF(IFERROR(INDEX(MaskinStatus,MATCH(D30,Maskiner,0)),"")="I dokk","","Maskinen er ikke i dokk"),""))))))</f>
        <v/>
      </c>
      <c r="L30" s="2">
        <f>IF(B30="","",IFERROR(INT((MATCH(B30,Teknikere,0)-1)/18)+1,""))</f>
        <v/>
      </c>
      <c r="M30" s="2">
        <f>IF(OR(A30="",B30=""),"",B30&amp;"|"&amp;A30)</f>
        <v/>
      </c>
      <c r="N30" s="2">
        <f>IF(M30="","",SUMIFS(TF_Timer,TF_Nokkel,M30,TF_Akt,C30))</f>
        <v/>
      </c>
      <c r="O30" s="2">
        <f>IF(M30="","",IF(AND(N30=_xlfn.MAXIFS(TF_AktSum,TF_Nokkel,M30),COUNTIFS(M$3:M29,M30,N$3:N29,N30)=0),M30,""))</f>
        <v/>
      </c>
    </row>
    <row r="31">
      <c r="A31" s="34" t="n"/>
      <c r="B31" s="35" t="n"/>
      <c r="C31" s="35" t="n"/>
      <c r="D31" s="35" t="n"/>
      <c r="E31" s="35" t="n"/>
      <c r="F31" s="36" t="n"/>
      <c r="G31" s="35" t="n"/>
      <c r="H31" s="30">
        <f>IF(L31="","",INDEX(SkiftNavn,L31))</f>
        <v/>
      </c>
      <c r="I31" s="30">
        <f>IF(OR(A31="",L31=""),"",IF(MOD(A31-INDEX(SkiftStart,L31),Syklus)&lt;DagK,"Kveld",IF(MOD(A31-INDEX(SkiftStart,L31),Syklus)&lt;DagK+DagH,"Helg",IF(MOD(A31-INDEX(SkiftStart,L31),Syklus)&lt;DagK+DagH+DagD,"Dag","Fri"))))</f>
        <v/>
      </c>
      <c r="J31" s="30">
        <f>IF(I31="Fri","Ja","")</f>
        <v/>
      </c>
      <c r="K31" s="30">
        <f>IF(B31="","",IF(L31="","Ukjent tekniker",IF(ISNA(MATCH(C31,Aktiviteter,0)),"Ukjent aktivitet",IF(AND(INDEX(AktRolle,MATCH(C31,Aktiviteter,0))&amp;""&lt;&gt;"",ISERROR(SEARCH(INDEX(AktRolle,MATCH(C31,Aktiviteter,0))&amp;"",INDEX(TekRoller,MATCH(B31,Teknikere,0))))),"Mangler rollen "&amp;INDEX(AktRolle,MATCH(C31,Aktiviteter,0))&amp;"",IF(AND(C31="LMS",F31&gt;0,OR(D31="",E31="")),"Mangler maskin eller arbeid",IF(AND(OR(C31="LMS",C31="Mod"),D31&lt;&gt;""),IF(IFERROR(INDEX(MaskinStatus,MATCH(D31,Maskiner,0)),"")="I dokk","","Maskinen er ikke i dokk"),""))))))</f>
        <v/>
      </c>
      <c r="L31" s="2">
        <f>IF(B31="","",IFERROR(INT((MATCH(B31,Teknikere,0)-1)/18)+1,""))</f>
        <v/>
      </c>
      <c r="M31" s="2">
        <f>IF(OR(A31="",B31=""),"",B31&amp;"|"&amp;A31)</f>
        <v/>
      </c>
      <c r="N31" s="2">
        <f>IF(M31="","",SUMIFS(TF_Timer,TF_Nokkel,M31,TF_Akt,C31))</f>
        <v/>
      </c>
      <c r="O31" s="2">
        <f>IF(M31="","",IF(AND(N31=_xlfn.MAXIFS(TF_AktSum,TF_Nokkel,M31),COUNTIFS(M$3:M30,M31,N$3:N30,N31)=0),M31,""))</f>
        <v/>
      </c>
    </row>
    <row r="32">
      <c r="A32" s="34" t="n"/>
      <c r="B32" s="35" t="n"/>
      <c r="C32" s="35" t="n"/>
      <c r="D32" s="35" t="n"/>
      <c r="E32" s="35" t="n"/>
      <c r="F32" s="36" t="n"/>
      <c r="G32" s="35" t="n"/>
      <c r="H32" s="30">
        <f>IF(L32="","",INDEX(SkiftNavn,L32))</f>
        <v/>
      </c>
      <c r="I32" s="30">
        <f>IF(OR(A32="",L32=""),"",IF(MOD(A32-INDEX(SkiftStart,L32),Syklus)&lt;DagK,"Kveld",IF(MOD(A32-INDEX(SkiftStart,L32),Syklus)&lt;DagK+DagH,"Helg",IF(MOD(A32-INDEX(SkiftStart,L32),Syklus)&lt;DagK+DagH+DagD,"Dag","Fri"))))</f>
        <v/>
      </c>
      <c r="J32" s="30">
        <f>IF(I32="Fri","Ja","")</f>
        <v/>
      </c>
      <c r="K32" s="30">
        <f>IF(B32="","",IF(L32="","Ukjent tekniker",IF(ISNA(MATCH(C32,Aktiviteter,0)),"Ukjent aktivitet",IF(AND(INDEX(AktRolle,MATCH(C32,Aktiviteter,0))&amp;""&lt;&gt;"",ISERROR(SEARCH(INDEX(AktRolle,MATCH(C32,Aktiviteter,0))&amp;"",INDEX(TekRoller,MATCH(B32,Teknikere,0))))),"Mangler rollen "&amp;INDEX(AktRolle,MATCH(C32,Aktiviteter,0))&amp;"",IF(AND(C32="LMS",F32&gt;0,OR(D32="",E32="")),"Mangler maskin eller arbeid",IF(AND(OR(C32="LMS",C32="Mod"),D32&lt;&gt;""),IF(IFERROR(INDEX(MaskinStatus,MATCH(D32,Maskiner,0)),"")="I dokk","","Maskinen er ikke i dokk"),""))))))</f>
        <v/>
      </c>
      <c r="L32" s="2">
        <f>IF(B32="","",IFERROR(INT((MATCH(B32,Teknikere,0)-1)/18)+1,""))</f>
        <v/>
      </c>
      <c r="M32" s="2">
        <f>IF(OR(A32="",B32=""),"",B32&amp;"|"&amp;A32)</f>
        <v/>
      </c>
      <c r="N32" s="2">
        <f>IF(M32="","",SUMIFS(TF_Timer,TF_Nokkel,M32,TF_Akt,C32))</f>
        <v/>
      </c>
      <c r="O32" s="2">
        <f>IF(M32="","",IF(AND(N32=_xlfn.MAXIFS(TF_AktSum,TF_Nokkel,M32),COUNTIFS(M$3:M31,M32,N$3:N31,N32)=0),M32,""))</f>
        <v/>
      </c>
    </row>
    <row r="33">
      <c r="A33" s="34" t="n"/>
      <c r="B33" s="35" t="n"/>
      <c r="C33" s="35" t="n"/>
      <c r="D33" s="35" t="n"/>
      <c r="E33" s="35" t="n"/>
      <c r="F33" s="36" t="n"/>
      <c r="G33" s="35" t="n"/>
      <c r="H33" s="30">
        <f>IF(L33="","",INDEX(SkiftNavn,L33))</f>
        <v/>
      </c>
      <c r="I33" s="30">
        <f>IF(OR(A33="",L33=""),"",IF(MOD(A33-INDEX(SkiftStart,L33),Syklus)&lt;DagK,"Kveld",IF(MOD(A33-INDEX(SkiftStart,L33),Syklus)&lt;DagK+DagH,"Helg",IF(MOD(A33-INDEX(SkiftStart,L33),Syklus)&lt;DagK+DagH+DagD,"Dag","Fri"))))</f>
        <v/>
      </c>
      <c r="J33" s="30">
        <f>IF(I33="Fri","Ja","")</f>
        <v/>
      </c>
      <c r="K33" s="30">
        <f>IF(B33="","",IF(L33="","Ukjent tekniker",IF(ISNA(MATCH(C33,Aktiviteter,0)),"Ukjent aktivitet",IF(AND(INDEX(AktRolle,MATCH(C33,Aktiviteter,0))&amp;""&lt;&gt;"",ISERROR(SEARCH(INDEX(AktRolle,MATCH(C33,Aktiviteter,0))&amp;"",INDEX(TekRoller,MATCH(B33,Teknikere,0))))),"Mangler rollen "&amp;INDEX(AktRolle,MATCH(C33,Aktiviteter,0))&amp;"",IF(AND(C33="LMS",F33&gt;0,OR(D33="",E33="")),"Mangler maskin eller arbeid",IF(AND(OR(C33="LMS",C33="Mod"),D33&lt;&gt;""),IF(IFERROR(INDEX(MaskinStatus,MATCH(D33,Maskiner,0)),"")="I dokk","","Maskinen er ikke i dokk"),""))))))</f>
        <v/>
      </c>
      <c r="L33" s="2">
        <f>IF(B33="","",IFERROR(INT((MATCH(B33,Teknikere,0)-1)/18)+1,""))</f>
        <v/>
      </c>
      <c r="M33" s="2">
        <f>IF(OR(A33="",B33=""),"",B33&amp;"|"&amp;A33)</f>
        <v/>
      </c>
      <c r="N33" s="2">
        <f>IF(M33="","",SUMIFS(TF_Timer,TF_Nokkel,M33,TF_Akt,C33))</f>
        <v/>
      </c>
      <c r="O33" s="2">
        <f>IF(M33="","",IF(AND(N33=_xlfn.MAXIFS(TF_AktSum,TF_Nokkel,M33),COUNTIFS(M$3:M32,M33,N$3:N32,N33)=0),M33,""))</f>
        <v/>
      </c>
    </row>
    <row r="34">
      <c r="A34" s="34" t="n"/>
      <c r="B34" s="35" t="n"/>
      <c r="C34" s="35" t="n"/>
      <c r="D34" s="35" t="n"/>
      <c r="E34" s="35" t="n"/>
      <c r="F34" s="36" t="n"/>
      <c r="G34" s="35" t="n"/>
      <c r="H34" s="30">
        <f>IF(L34="","",INDEX(SkiftNavn,L34))</f>
        <v/>
      </c>
      <c r="I34" s="30">
        <f>IF(OR(A34="",L34=""),"",IF(MOD(A34-INDEX(SkiftStart,L34),Syklus)&lt;DagK,"Kveld",IF(MOD(A34-INDEX(SkiftStart,L34),Syklus)&lt;DagK+DagH,"Helg",IF(MOD(A34-INDEX(SkiftStart,L34),Syklus)&lt;DagK+DagH+DagD,"Dag","Fri"))))</f>
        <v/>
      </c>
      <c r="J34" s="30">
        <f>IF(I34="Fri","Ja","")</f>
        <v/>
      </c>
      <c r="K34" s="30">
        <f>IF(B34="","",IF(L34="","Ukjent tekniker",IF(ISNA(MATCH(C34,Aktiviteter,0)),"Ukjent aktivitet",IF(AND(INDEX(AktRolle,MATCH(C34,Aktiviteter,0))&amp;""&lt;&gt;"",ISERROR(SEARCH(INDEX(AktRolle,MATCH(C34,Aktiviteter,0))&amp;"",INDEX(TekRoller,MATCH(B34,Teknikere,0))))),"Mangler rollen "&amp;INDEX(AktRolle,MATCH(C34,Aktiviteter,0))&amp;"",IF(AND(C34="LMS",F34&gt;0,OR(D34="",E34="")),"Mangler maskin eller arbeid",IF(AND(OR(C34="LMS",C34="Mod"),D34&lt;&gt;""),IF(IFERROR(INDEX(MaskinStatus,MATCH(D34,Maskiner,0)),"")="I dokk","","Maskinen er ikke i dokk"),""))))))</f>
        <v/>
      </c>
      <c r="L34" s="2">
        <f>IF(B34="","",IFERROR(INT((MATCH(B34,Teknikere,0)-1)/18)+1,""))</f>
        <v/>
      </c>
      <c r="M34" s="2">
        <f>IF(OR(A34="",B34=""),"",B34&amp;"|"&amp;A34)</f>
        <v/>
      </c>
      <c r="N34" s="2">
        <f>IF(M34="","",SUMIFS(TF_Timer,TF_Nokkel,M34,TF_Akt,C34))</f>
        <v/>
      </c>
      <c r="O34" s="2">
        <f>IF(M34="","",IF(AND(N34=_xlfn.MAXIFS(TF_AktSum,TF_Nokkel,M34),COUNTIFS(M$3:M33,M34,N$3:N33,N34)=0),M34,""))</f>
        <v/>
      </c>
    </row>
    <row r="35">
      <c r="A35" s="34" t="n"/>
      <c r="B35" s="35" t="n"/>
      <c r="C35" s="35" t="n"/>
      <c r="D35" s="35" t="n"/>
      <c r="E35" s="35" t="n"/>
      <c r="F35" s="36" t="n"/>
      <c r="G35" s="35" t="n"/>
      <c r="H35" s="30">
        <f>IF(L35="","",INDEX(SkiftNavn,L35))</f>
        <v/>
      </c>
      <c r="I35" s="30">
        <f>IF(OR(A35="",L35=""),"",IF(MOD(A35-INDEX(SkiftStart,L35),Syklus)&lt;DagK,"Kveld",IF(MOD(A35-INDEX(SkiftStart,L35),Syklus)&lt;DagK+DagH,"Helg",IF(MOD(A35-INDEX(SkiftStart,L35),Syklus)&lt;DagK+DagH+DagD,"Dag","Fri"))))</f>
        <v/>
      </c>
      <c r="J35" s="30">
        <f>IF(I35="Fri","Ja","")</f>
        <v/>
      </c>
      <c r="K35" s="30">
        <f>IF(B35="","",IF(L35="","Ukjent tekniker",IF(ISNA(MATCH(C35,Aktiviteter,0)),"Ukjent aktivitet",IF(AND(INDEX(AktRolle,MATCH(C35,Aktiviteter,0))&amp;""&lt;&gt;"",ISERROR(SEARCH(INDEX(AktRolle,MATCH(C35,Aktiviteter,0))&amp;"",INDEX(TekRoller,MATCH(B35,Teknikere,0))))),"Mangler rollen "&amp;INDEX(AktRolle,MATCH(C35,Aktiviteter,0))&amp;"",IF(AND(C35="LMS",F35&gt;0,OR(D35="",E35="")),"Mangler maskin eller arbeid",IF(AND(OR(C35="LMS",C35="Mod"),D35&lt;&gt;""),IF(IFERROR(INDEX(MaskinStatus,MATCH(D35,Maskiner,0)),"")="I dokk","","Maskinen er ikke i dokk"),""))))))</f>
        <v/>
      </c>
      <c r="L35" s="2">
        <f>IF(B35="","",IFERROR(INT((MATCH(B35,Teknikere,0)-1)/18)+1,""))</f>
        <v/>
      </c>
      <c r="M35" s="2">
        <f>IF(OR(A35="",B35=""),"",B35&amp;"|"&amp;A35)</f>
        <v/>
      </c>
      <c r="N35" s="2">
        <f>IF(M35="","",SUMIFS(TF_Timer,TF_Nokkel,M35,TF_Akt,C35))</f>
        <v/>
      </c>
      <c r="O35" s="2">
        <f>IF(M35="","",IF(AND(N35=_xlfn.MAXIFS(TF_AktSum,TF_Nokkel,M35),COUNTIFS(M$3:M34,M35,N$3:N34,N35)=0),M35,""))</f>
        <v/>
      </c>
    </row>
    <row r="36">
      <c r="A36" s="34" t="n"/>
      <c r="B36" s="35" t="n"/>
      <c r="C36" s="35" t="n"/>
      <c r="D36" s="35" t="n"/>
      <c r="E36" s="35" t="n"/>
      <c r="F36" s="36" t="n"/>
      <c r="G36" s="35" t="n"/>
      <c r="H36" s="30">
        <f>IF(L36="","",INDEX(SkiftNavn,L36))</f>
        <v/>
      </c>
      <c r="I36" s="30">
        <f>IF(OR(A36="",L36=""),"",IF(MOD(A36-INDEX(SkiftStart,L36),Syklus)&lt;DagK,"Kveld",IF(MOD(A36-INDEX(SkiftStart,L36),Syklus)&lt;DagK+DagH,"Helg",IF(MOD(A36-INDEX(SkiftStart,L36),Syklus)&lt;DagK+DagH+DagD,"Dag","Fri"))))</f>
        <v/>
      </c>
      <c r="J36" s="30">
        <f>IF(I36="Fri","Ja","")</f>
        <v/>
      </c>
      <c r="K36" s="30">
        <f>IF(B36="","",IF(L36="","Ukjent tekniker",IF(ISNA(MATCH(C36,Aktiviteter,0)),"Ukjent aktivitet",IF(AND(INDEX(AktRolle,MATCH(C36,Aktiviteter,0))&amp;""&lt;&gt;"",ISERROR(SEARCH(INDEX(AktRolle,MATCH(C36,Aktiviteter,0))&amp;"",INDEX(TekRoller,MATCH(B36,Teknikere,0))))),"Mangler rollen "&amp;INDEX(AktRolle,MATCH(C36,Aktiviteter,0))&amp;"",IF(AND(C36="LMS",F36&gt;0,OR(D36="",E36="")),"Mangler maskin eller arbeid",IF(AND(OR(C36="LMS",C36="Mod"),D36&lt;&gt;""),IF(IFERROR(INDEX(MaskinStatus,MATCH(D36,Maskiner,0)),"")="I dokk","","Maskinen er ikke i dokk"),""))))))</f>
        <v/>
      </c>
      <c r="L36" s="2">
        <f>IF(B36="","",IFERROR(INT((MATCH(B36,Teknikere,0)-1)/18)+1,""))</f>
        <v/>
      </c>
      <c r="M36" s="2">
        <f>IF(OR(A36="",B36=""),"",B36&amp;"|"&amp;A36)</f>
        <v/>
      </c>
      <c r="N36" s="2">
        <f>IF(M36="","",SUMIFS(TF_Timer,TF_Nokkel,M36,TF_Akt,C36))</f>
        <v/>
      </c>
      <c r="O36" s="2">
        <f>IF(M36="","",IF(AND(N36=_xlfn.MAXIFS(TF_AktSum,TF_Nokkel,M36),COUNTIFS(M$3:M35,M36,N$3:N35,N36)=0),M36,""))</f>
        <v/>
      </c>
    </row>
    <row r="37">
      <c r="A37" s="34" t="n"/>
      <c r="B37" s="35" t="n"/>
      <c r="C37" s="35" t="n"/>
      <c r="D37" s="35" t="n"/>
      <c r="E37" s="35" t="n"/>
      <c r="F37" s="36" t="n"/>
      <c r="G37" s="35" t="n"/>
      <c r="H37" s="30">
        <f>IF(L37="","",INDEX(SkiftNavn,L37))</f>
        <v/>
      </c>
      <c r="I37" s="30">
        <f>IF(OR(A37="",L37=""),"",IF(MOD(A37-INDEX(SkiftStart,L37),Syklus)&lt;DagK,"Kveld",IF(MOD(A37-INDEX(SkiftStart,L37),Syklus)&lt;DagK+DagH,"Helg",IF(MOD(A37-INDEX(SkiftStart,L37),Syklus)&lt;DagK+DagH+DagD,"Dag","Fri"))))</f>
        <v/>
      </c>
      <c r="J37" s="30">
        <f>IF(I37="Fri","Ja","")</f>
        <v/>
      </c>
      <c r="K37" s="30">
        <f>IF(B37="","",IF(L37="","Ukjent tekniker",IF(ISNA(MATCH(C37,Aktiviteter,0)),"Ukjent aktivitet",IF(AND(INDEX(AktRolle,MATCH(C37,Aktiviteter,0))&amp;""&lt;&gt;"",ISERROR(SEARCH(INDEX(AktRolle,MATCH(C37,Aktiviteter,0))&amp;"",INDEX(TekRoller,MATCH(B37,Teknikere,0))))),"Mangler rollen "&amp;INDEX(AktRolle,MATCH(C37,Aktiviteter,0))&amp;"",IF(AND(C37="LMS",F37&gt;0,OR(D37="",E37="")),"Mangler maskin eller arbeid",IF(AND(OR(C37="LMS",C37="Mod"),D37&lt;&gt;""),IF(IFERROR(INDEX(MaskinStatus,MATCH(D37,Maskiner,0)),"")="I dokk","","Maskinen er ikke i dokk"),""))))))</f>
        <v/>
      </c>
      <c r="L37" s="2">
        <f>IF(B37="","",IFERROR(INT((MATCH(B37,Teknikere,0)-1)/18)+1,""))</f>
        <v/>
      </c>
      <c r="M37" s="2">
        <f>IF(OR(A37="",B37=""),"",B37&amp;"|"&amp;A37)</f>
        <v/>
      </c>
      <c r="N37" s="2">
        <f>IF(M37="","",SUMIFS(TF_Timer,TF_Nokkel,M37,TF_Akt,C37))</f>
        <v/>
      </c>
      <c r="O37" s="2">
        <f>IF(M37="","",IF(AND(N37=_xlfn.MAXIFS(TF_AktSum,TF_Nokkel,M37),COUNTIFS(M$3:M36,M37,N$3:N36,N37)=0),M37,""))</f>
        <v/>
      </c>
    </row>
    <row r="38">
      <c r="A38" s="34" t="n"/>
      <c r="B38" s="35" t="n"/>
      <c r="C38" s="35" t="n"/>
      <c r="D38" s="35" t="n"/>
      <c r="E38" s="35" t="n"/>
      <c r="F38" s="36" t="n"/>
      <c r="G38" s="35" t="n"/>
      <c r="H38" s="30">
        <f>IF(L38="","",INDEX(SkiftNavn,L38))</f>
        <v/>
      </c>
      <c r="I38" s="30">
        <f>IF(OR(A38="",L38=""),"",IF(MOD(A38-INDEX(SkiftStart,L38),Syklus)&lt;DagK,"Kveld",IF(MOD(A38-INDEX(SkiftStart,L38),Syklus)&lt;DagK+DagH,"Helg",IF(MOD(A38-INDEX(SkiftStart,L38),Syklus)&lt;DagK+DagH+DagD,"Dag","Fri"))))</f>
        <v/>
      </c>
      <c r="J38" s="30">
        <f>IF(I38="Fri","Ja","")</f>
        <v/>
      </c>
      <c r="K38" s="30">
        <f>IF(B38="","",IF(L38="","Ukjent tekniker",IF(ISNA(MATCH(C38,Aktiviteter,0)),"Ukjent aktivitet",IF(AND(INDEX(AktRolle,MATCH(C38,Aktiviteter,0))&amp;""&lt;&gt;"",ISERROR(SEARCH(INDEX(AktRolle,MATCH(C38,Aktiviteter,0))&amp;"",INDEX(TekRoller,MATCH(B38,Teknikere,0))))),"Mangler rollen "&amp;INDEX(AktRolle,MATCH(C38,Aktiviteter,0))&amp;"",IF(AND(C38="LMS",F38&gt;0,OR(D38="",E38="")),"Mangler maskin eller arbeid",IF(AND(OR(C38="LMS",C38="Mod"),D38&lt;&gt;""),IF(IFERROR(INDEX(MaskinStatus,MATCH(D38,Maskiner,0)),"")="I dokk","","Maskinen er ikke i dokk"),""))))))</f>
        <v/>
      </c>
      <c r="L38" s="2">
        <f>IF(B38="","",IFERROR(INT((MATCH(B38,Teknikere,0)-1)/18)+1,""))</f>
        <v/>
      </c>
      <c r="M38" s="2">
        <f>IF(OR(A38="",B38=""),"",B38&amp;"|"&amp;A38)</f>
        <v/>
      </c>
      <c r="N38" s="2">
        <f>IF(M38="","",SUMIFS(TF_Timer,TF_Nokkel,M38,TF_Akt,C38))</f>
        <v/>
      </c>
      <c r="O38" s="2">
        <f>IF(M38="","",IF(AND(N38=_xlfn.MAXIFS(TF_AktSum,TF_Nokkel,M38),COUNTIFS(M$3:M37,M38,N$3:N37,N38)=0),M38,""))</f>
        <v/>
      </c>
    </row>
    <row r="39">
      <c r="A39" s="34" t="n"/>
      <c r="B39" s="35" t="n"/>
      <c r="C39" s="35" t="n"/>
      <c r="D39" s="35" t="n"/>
      <c r="E39" s="35" t="n"/>
      <c r="F39" s="36" t="n"/>
      <c r="G39" s="35" t="n"/>
      <c r="H39" s="30">
        <f>IF(L39="","",INDEX(SkiftNavn,L39))</f>
        <v/>
      </c>
      <c r="I39" s="30">
        <f>IF(OR(A39="",L39=""),"",IF(MOD(A39-INDEX(SkiftStart,L39),Syklus)&lt;DagK,"Kveld",IF(MOD(A39-INDEX(SkiftStart,L39),Syklus)&lt;DagK+DagH,"Helg",IF(MOD(A39-INDEX(SkiftStart,L39),Syklus)&lt;DagK+DagH+DagD,"Dag","Fri"))))</f>
        <v/>
      </c>
      <c r="J39" s="30">
        <f>IF(I39="Fri","Ja","")</f>
        <v/>
      </c>
      <c r="K39" s="30">
        <f>IF(B39="","",IF(L39="","Ukjent tekniker",IF(ISNA(MATCH(C39,Aktiviteter,0)),"Ukjent aktivitet",IF(AND(INDEX(AktRolle,MATCH(C39,Aktiviteter,0))&amp;""&lt;&gt;"",ISERROR(SEARCH(INDEX(AktRolle,MATCH(C39,Aktiviteter,0))&amp;"",INDEX(TekRoller,MATCH(B39,Teknikere,0))))),"Mangler rollen "&amp;INDEX(AktRolle,MATCH(C39,Aktiviteter,0))&amp;"",IF(AND(C39="LMS",F39&gt;0,OR(D39="",E39="")),"Mangler maskin eller arbeid",IF(AND(OR(C39="LMS",C39="Mod"),D39&lt;&gt;""),IF(IFERROR(INDEX(MaskinStatus,MATCH(D39,Maskiner,0)),"")="I dokk","","Maskinen er ikke i dokk"),""))))))</f>
        <v/>
      </c>
      <c r="L39" s="2">
        <f>IF(B39="","",IFERROR(INT((MATCH(B39,Teknikere,0)-1)/18)+1,""))</f>
        <v/>
      </c>
      <c r="M39" s="2">
        <f>IF(OR(A39="",B39=""),"",B39&amp;"|"&amp;A39)</f>
        <v/>
      </c>
      <c r="N39" s="2">
        <f>IF(M39="","",SUMIFS(TF_Timer,TF_Nokkel,M39,TF_Akt,C39))</f>
        <v/>
      </c>
      <c r="O39" s="2">
        <f>IF(M39="","",IF(AND(N39=_xlfn.MAXIFS(TF_AktSum,TF_Nokkel,M39),COUNTIFS(M$3:M38,M39,N$3:N38,N39)=0),M39,""))</f>
        <v/>
      </c>
    </row>
    <row r="40">
      <c r="A40" s="34" t="n"/>
      <c r="B40" s="35" t="n"/>
      <c r="C40" s="35" t="n"/>
      <c r="D40" s="35" t="n"/>
      <c r="E40" s="35" t="n"/>
      <c r="F40" s="36" t="n"/>
      <c r="G40" s="35" t="n"/>
      <c r="H40" s="30">
        <f>IF(L40="","",INDEX(SkiftNavn,L40))</f>
        <v/>
      </c>
      <c r="I40" s="30">
        <f>IF(OR(A40="",L40=""),"",IF(MOD(A40-INDEX(SkiftStart,L40),Syklus)&lt;DagK,"Kveld",IF(MOD(A40-INDEX(SkiftStart,L40),Syklus)&lt;DagK+DagH,"Helg",IF(MOD(A40-INDEX(SkiftStart,L40),Syklus)&lt;DagK+DagH+DagD,"Dag","Fri"))))</f>
        <v/>
      </c>
      <c r="J40" s="30">
        <f>IF(I40="Fri","Ja","")</f>
        <v/>
      </c>
      <c r="K40" s="30">
        <f>IF(B40="","",IF(L40="","Ukjent tekniker",IF(ISNA(MATCH(C40,Aktiviteter,0)),"Ukjent aktivitet",IF(AND(INDEX(AktRolle,MATCH(C40,Aktiviteter,0))&amp;""&lt;&gt;"",ISERROR(SEARCH(INDEX(AktRolle,MATCH(C40,Aktiviteter,0))&amp;"",INDEX(TekRoller,MATCH(B40,Teknikere,0))))),"Mangler rollen "&amp;INDEX(AktRolle,MATCH(C40,Aktiviteter,0))&amp;"",IF(AND(C40="LMS",F40&gt;0,OR(D40="",E40="")),"Mangler maskin eller arbeid",IF(AND(OR(C40="LMS",C40="Mod"),D40&lt;&gt;""),IF(IFERROR(INDEX(MaskinStatus,MATCH(D40,Maskiner,0)),"")="I dokk","","Maskinen er ikke i dokk"),""))))))</f>
        <v/>
      </c>
      <c r="L40" s="2">
        <f>IF(B40="","",IFERROR(INT((MATCH(B40,Teknikere,0)-1)/18)+1,""))</f>
        <v/>
      </c>
      <c r="M40" s="2">
        <f>IF(OR(A40="",B40=""),"",B40&amp;"|"&amp;A40)</f>
        <v/>
      </c>
      <c r="N40" s="2">
        <f>IF(M40="","",SUMIFS(TF_Timer,TF_Nokkel,M40,TF_Akt,C40))</f>
        <v/>
      </c>
      <c r="O40" s="2">
        <f>IF(M40="","",IF(AND(N40=_xlfn.MAXIFS(TF_AktSum,TF_Nokkel,M40),COUNTIFS(M$3:M39,M40,N$3:N39,N40)=0),M40,""))</f>
        <v/>
      </c>
    </row>
    <row r="41">
      <c r="A41" s="34" t="n"/>
      <c r="B41" s="35" t="n"/>
      <c r="C41" s="35" t="n"/>
      <c r="D41" s="35" t="n"/>
      <c r="E41" s="35" t="n"/>
      <c r="F41" s="36" t="n"/>
      <c r="G41" s="35" t="n"/>
      <c r="H41" s="30">
        <f>IF(L41="","",INDEX(SkiftNavn,L41))</f>
        <v/>
      </c>
      <c r="I41" s="30">
        <f>IF(OR(A41="",L41=""),"",IF(MOD(A41-INDEX(SkiftStart,L41),Syklus)&lt;DagK,"Kveld",IF(MOD(A41-INDEX(SkiftStart,L41),Syklus)&lt;DagK+DagH,"Helg",IF(MOD(A41-INDEX(SkiftStart,L41),Syklus)&lt;DagK+DagH+DagD,"Dag","Fri"))))</f>
        <v/>
      </c>
      <c r="J41" s="30">
        <f>IF(I41="Fri","Ja","")</f>
        <v/>
      </c>
      <c r="K41" s="30">
        <f>IF(B41="","",IF(L41="","Ukjent tekniker",IF(ISNA(MATCH(C41,Aktiviteter,0)),"Ukjent aktivitet",IF(AND(INDEX(AktRolle,MATCH(C41,Aktiviteter,0))&amp;""&lt;&gt;"",ISERROR(SEARCH(INDEX(AktRolle,MATCH(C41,Aktiviteter,0))&amp;"",INDEX(TekRoller,MATCH(B41,Teknikere,0))))),"Mangler rollen "&amp;INDEX(AktRolle,MATCH(C41,Aktiviteter,0))&amp;"",IF(AND(C41="LMS",F41&gt;0,OR(D41="",E41="")),"Mangler maskin eller arbeid",IF(AND(OR(C41="LMS",C41="Mod"),D41&lt;&gt;""),IF(IFERROR(INDEX(MaskinStatus,MATCH(D41,Maskiner,0)),"")="I dokk","","Maskinen er ikke i dokk"),""))))))</f>
        <v/>
      </c>
      <c r="L41" s="2">
        <f>IF(B41="","",IFERROR(INT((MATCH(B41,Teknikere,0)-1)/18)+1,""))</f>
        <v/>
      </c>
      <c r="M41" s="2">
        <f>IF(OR(A41="",B41=""),"",B41&amp;"|"&amp;A41)</f>
        <v/>
      </c>
      <c r="N41" s="2">
        <f>IF(M41="","",SUMIFS(TF_Timer,TF_Nokkel,M41,TF_Akt,C41))</f>
        <v/>
      </c>
      <c r="O41" s="2">
        <f>IF(M41="","",IF(AND(N41=_xlfn.MAXIFS(TF_AktSum,TF_Nokkel,M41),COUNTIFS(M$3:M40,M41,N$3:N40,N41)=0),M41,""))</f>
        <v/>
      </c>
    </row>
    <row r="42">
      <c r="A42" s="34" t="n"/>
      <c r="B42" s="35" t="n"/>
      <c r="C42" s="35" t="n"/>
      <c r="D42" s="35" t="n"/>
      <c r="E42" s="35" t="n"/>
      <c r="F42" s="36" t="n"/>
      <c r="G42" s="35" t="n"/>
      <c r="H42" s="30">
        <f>IF(L42="","",INDEX(SkiftNavn,L42))</f>
        <v/>
      </c>
      <c r="I42" s="30">
        <f>IF(OR(A42="",L42=""),"",IF(MOD(A42-INDEX(SkiftStart,L42),Syklus)&lt;DagK,"Kveld",IF(MOD(A42-INDEX(SkiftStart,L42),Syklus)&lt;DagK+DagH,"Helg",IF(MOD(A42-INDEX(SkiftStart,L42),Syklus)&lt;DagK+DagH+DagD,"Dag","Fri"))))</f>
        <v/>
      </c>
      <c r="J42" s="30">
        <f>IF(I42="Fri","Ja","")</f>
        <v/>
      </c>
      <c r="K42" s="30">
        <f>IF(B42="","",IF(L42="","Ukjent tekniker",IF(ISNA(MATCH(C42,Aktiviteter,0)),"Ukjent aktivitet",IF(AND(INDEX(AktRolle,MATCH(C42,Aktiviteter,0))&amp;""&lt;&gt;"",ISERROR(SEARCH(INDEX(AktRolle,MATCH(C42,Aktiviteter,0))&amp;"",INDEX(TekRoller,MATCH(B42,Teknikere,0))))),"Mangler rollen "&amp;INDEX(AktRolle,MATCH(C42,Aktiviteter,0))&amp;"",IF(AND(C42="LMS",F42&gt;0,OR(D42="",E42="")),"Mangler maskin eller arbeid",IF(AND(OR(C42="LMS",C42="Mod"),D42&lt;&gt;""),IF(IFERROR(INDEX(MaskinStatus,MATCH(D42,Maskiner,0)),"")="I dokk","","Maskinen er ikke i dokk"),""))))))</f>
        <v/>
      </c>
      <c r="L42" s="2">
        <f>IF(B42="","",IFERROR(INT((MATCH(B42,Teknikere,0)-1)/18)+1,""))</f>
        <v/>
      </c>
      <c r="M42" s="2">
        <f>IF(OR(A42="",B42=""),"",B42&amp;"|"&amp;A42)</f>
        <v/>
      </c>
      <c r="N42" s="2">
        <f>IF(M42="","",SUMIFS(TF_Timer,TF_Nokkel,M42,TF_Akt,C42))</f>
        <v/>
      </c>
      <c r="O42" s="2">
        <f>IF(M42="","",IF(AND(N42=_xlfn.MAXIFS(TF_AktSum,TF_Nokkel,M42),COUNTIFS(M$3:M41,M42,N$3:N41,N42)=0),M42,""))</f>
        <v/>
      </c>
    </row>
    <row r="43">
      <c r="A43" s="34" t="n"/>
      <c r="B43" s="35" t="n"/>
      <c r="C43" s="35" t="n"/>
      <c r="D43" s="35" t="n"/>
      <c r="E43" s="35" t="n"/>
      <c r="F43" s="36" t="n"/>
      <c r="G43" s="35" t="n"/>
      <c r="H43" s="30">
        <f>IF(L43="","",INDEX(SkiftNavn,L43))</f>
        <v/>
      </c>
      <c r="I43" s="30">
        <f>IF(OR(A43="",L43=""),"",IF(MOD(A43-INDEX(SkiftStart,L43),Syklus)&lt;DagK,"Kveld",IF(MOD(A43-INDEX(SkiftStart,L43),Syklus)&lt;DagK+DagH,"Helg",IF(MOD(A43-INDEX(SkiftStart,L43),Syklus)&lt;DagK+DagH+DagD,"Dag","Fri"))))</f>
        <v/>
      </c>
      <c r="J43" s="30">
        <f>IF(I43="Fri","Ja","")</f>
        <v/>
      </c>
      <c r="K43" s="30">
        <f>IF(B43="","",IF(L43="","Ukjent tekniker",IF(ISNA(MATCH(C43,Aktiviteter,0)),"Ukjent aktivitet",IF(AND(INDEX(AktRolle,MATCH(C43,Aktiviteter,0))&amp;""&lt;&gt;"",ISERROR(SEARCH(INDEX(AktRolle,MATCH(C43,Aktiviteter,0))&amp;"",INDEX(TekRoller,MATCH(B43,Teknikere,0))))),"Mangler rollen "&amp;INDEX(AktRolle,MATCH(C43,Aktiviteter,0))&amp;"",IF(AND(C43="LMS",F43&gt;0,OR(D43="",E43="")),"Mangler maskin eller arbeid",IF(AND(OR(C43="LMS",C43="Mod"),D43&lt;&gt;""),IF(IFERROR(INDEX(MaskinStatus,MATCH(D43,Maskiner,0)),"")="I dokk","","Maskinen er ikke i dokk"),""))))))</f>
        <v/>
      </c>
      <c r="L43" s="2">
        <f>IF(B43="","",IFERROR(INT((MATCH(B43,Teknikere,0)-1)/18)+1,""))</f>
        <v/>
      </c>
      <c r="M43" s="2">
        <f>IF(OR(A43="",B43=""),"",B43&amp;"|"&amp;A43)</f>
        <v/>
      </c>
      <c r="N43" s="2">
        <f>IF(M43="","",SUMIFS(TF_Timer,TF_Nokkel,M43,TF_Akt,C43))</f>
        <v/>
      </c>
      <c r="O43" s="2">
        <f>IF(M43="","",IF(AND(N43=_xlfn.MAXIFS(TF_AktSum,TF_Nokkel,M43),COUNTIFS(M$3:M42,M43,N$3:N42,N43)=0),M43,""))</f>
        <v/>
      </c>
    </row>
    <row r="44">
      <c r="A44" s="34" t="n"/>
      <c r="B44" s="35" t="n"/>
      <c r="C44" s="35" t="n"/>
      <c r="D44" s="35" t="n"/>
      <c r="E44" s="35" t="n"/>
      <c r="F44" s="36" t="n"/>
      <c r="G44" s="35" t="n"/>
      <c r="H44" s="30">
        <f>IF(L44="","",INDEX(SkiftNavn,L44))</f>
        <v/>
      </c>
      <c r="I44" s="30">
        <f>IF(OR(A44="",L44=""),"",IF(MOD(A44-INDEX(SkiftStart,L44),Syklus)&lt;DagK,"Kveld",IF(MOD(A44-INDEX(SkiftStart,L44),Syklus)&lt;DagK+DagH,"Helg",IF(MOD(A44-INDEX(SkiftStart,L44),Syklus)&lt;DagK+DagH+DagD,"Dag","Fri"))))</f>
        <v/>
      </c>
      <c r="J44" s="30">
        <f>IF(I44="Fri","Ja","")</f>
        <v/>
      </c>
      <c r="K44" s="30">
        <f>IF(B44="","",IF(L44="","Ukjent tekniker",IF(ISNA(MATCH(C44,Aktiviteter,0)),"Ukjent aktivitet",IF(AND(INDEX(AktRolle,MATCH(C44,Aktiviteter,0))&amp;""&lt;&gt;"",ISERROR(SEARCH(INDEX(AktRolle,MATCH(C44,Aktiviteter,0))&amp;"",INDEX(TekRoller,MATCH(B44,Teknikere,0))))),"Mangler rollen "&amp;INDEX(AktRolle,MATCH(C44,Aktiviteter,0))&amp;"",IF(AND(C44="LMS",F44&gt;0,OR(D44="",E44="")),"Mangler maskin eller arbeid",IF(AND(OR(C44="LMS",C44="Mod"),D44&lt;&gt;""),IF(IFERROR(INDEX(MaskinStatus,MATCH(D44,Maskiner,0)),"")="I dokk","","Maskinen er ikke i dokk"),""))))))</f>
        <v/>
      </c>
      <c r="L44" s="2">
        <f>IF(B44="","",IFERROR(INT((MATCH(B44,Teknikere,0)-1)/18)+1,""))</f>
        <v/>
      </c>
      <c r="M44" s="2">
        <f>IF(OR(A44="",B44=""),"",B44&amp;"|"&amp;A44)</f>
        <v/>
      </c>
      <c r="N44" s="2">
        <f>IF(M44="","",SUMIFS(TF_Timer,TF_Nokkel,M44,TF_Akt,C44))</f>
        <v/>
      </c>
      <c r="O44" s="2">
        <f>IF(M44="","",IF(AND(N44=_xlfn.MAXIFS(TF_AktSum,TF_Nokkel,M44),COUNTIFS(M$3:M43,M44,N$3:N43,N44)=0),M44,""))</f>
        <v/>
      </c>
    </row>
    <row r="45">
      <c r="A45" s="34" t="n"/>
      <c r="B45" s="35" t="n"/>
      <c r="C45" s="35" t="n"/>
      <c r="D45" s="35" t="n"/>
      <c r="E45" s="35" t="n"/>
      <c r="F45" s="36" t="n"/>
      <c r="G45" s="35" t="n"/>
      <c r="H45" s="30">
        <f>IF(L45="","",INDEX(SkiftNavn,L45))</f>
        <v/>
      </c>
      <c r="I45" s="30">
        <f>IF(OR(A45="",L45=""),"",IF(MOD(A45-INDEX(SkiftStart,L45),Syklus)&lt;DagK,"Kveld",IF(MOD(A45-INDEX(SkiftStart,L45),Syklus)&lt;DagK+DagH,"Helg",IF(MOD(A45-INDEX(SkiftStart,L45),Syklus)&lt;DagK+DagH+DagD,"Dag","Fri"))))</f>
        <v/>
      </c>
      <c r="J45" s="30">
        <f>IF(I45="Fri","Ja","")</f>
        <v/>
      </c>
      <c r="K45" s="30">
        <f>IF(B45="","",IF(L45="","Ukjent tekniker",IF(ISNA(MATCH(C45,Aktiviteter,0)),"Ukjent aktivitet",IF(AND(INDEX(AktRolle,MATCH(C45,Aktiviteter,0))&amp;""&lt;&gt;"",ISERROR(SEARCH(INDEX(AktRolle,MATCH(C45,Aktiviteter,0))&amp;"",INDEX(TekRoller,MATCH(B45,Teknikere,0))))),"Mangler rollen "&amp;INDEX(AktRolle,MATCH(C45,Aktiviteter,0))&amp;"",IF(AND(C45="LMS",F45&gt;0,OR(D45="",E45="")),"Mangler maskin eller arbeid",IF(AND(OR(C45="LMS",C45="Mod"),D45&lt;&gt;""),IF(IFERROR(INDEX(MaskinStatus,MATCH(D45,Maskiner,0)),"")="I dokk","","Maskinen er ikke i dokk"),""))))))</f>
        <v/>
      </c>
      <c r="L45" s="2">
        <f>IF(B45="","",IFERROR(INT((MATCH(B45,Teknikere,0)-1)/18)+1,""))</f>
        <v/>
      </c>
      <c r="M45" s="2">
        <f>IF(OR(A45="",B45=""),"",B45&amp;"|"&amp;A45)</f>
        <v/>
      </c>
      <c r="N45" s="2">
        <f>IF(M45="","",SUMIFS(TF_Timer,TF_Nokkel,M45,TF_Akt,C45))</f>
        <v/>
      </c>
      <c r="O45" s="2">
        <f>IF(M45="","",IF(AND(N45=_xlfn.MAXIFS(TF_AktSum,TF_Nokkel,M45),COUNTIFS(M$3:M44,M45,N$3:N44,N45)=0),M45,""))</f>
        <v/>
      </c>
    </row>
    <row r="46">
      <c r="A46" s="34" t="n"/>
      <c r="B46" s="35" t="n"/>
      <c r="C46" s="35" t="n"/>
      <c r="D46" s="35" t="n"/>
      <c r="E46" s="35" t="n"/>
      <c r="F46" s="36" t="n"/>
      <c r="G46" s="35" t="n"/>
      <c r="H46" s="30">
        <f>IF(L46="","",INDEX(SkiftNavn,L46))</f>
        <v/>
      </c>
      <c r="I46" s="30">
        <f>IF(OR(A46="",L46=""),"",IF(MOD(A46-INDEX(SkiftStart,L46),Syklus)&lt;DagK,"Kveld",IF(MOD(A46-INDEX(SkiftStart,L46),Syklus)&lt;DagK+DagH,"Helg",IF(MOD(A46-INDEX(SkiftStart,L46),Syklus)&lt;DagK+DagH+DagD,"Dag","Fri"))))</f>
        <v/>
      </c>
      <c r="J46" s="30">
        <f>IF(I46="Fri","Ja","")</f>
        <v/>
      </c>
      <c r="K46" s="30">
        <f>IF(B46="","",IF(L46="","Ukjent tekniker",IF(ISNA(MATCH(C46,Aktiviteter,0)),"Ukjent aktivitet",IF(AND(INDEX(AktRolle,MATCH(C46,Aktiviteter,0))&amp;""&lt;&gt;"",ISERROR(SEARCH(INDEX(AktRolle,MATCH(C46,Aktiviteter,0))&amp;"",INDEX(TekRoller,MATCH(B46,Teknikere,0))))),"Mangler rollen "&amp;INDEX(AktRolle,MATCH(C46,Aktiviteter,0))&amp;"",IF(AND(C46="LMS",F46&gt;0,OR(D46="",E46="")),"Mangler maskin eller arbeid",IF(AND(OR(C46="LMS",C46="Mod"),D46&lt;&gt;""),IF(IFERROR(INDEX(MaskinStatus,MATCH(D46,Maskiner,0)),"")="I dokk","","Maskinen er ikke i dokk"),""))))))</f>
        <v/>
      </c>
      <c r="L46" s="2">
        <f>IF(B46="","",IFERROR(INT((MATCH(B46,Teknikere,0)-1)/18)+1,""))</f>
        <v/>
      </c>
      <c r="M46" s="2">
        <f>IF(OR(A46="",B46=""),"",B46&amp;"|"&amp;A46)</f>
        <v/>
      </c>
      <c r="N46" s="2">
        <f>IF(M46="","",SUMIFS(TF_Timer,TF_Nokkel,M46,TF_Akt,C46))</f>
        <v/>
      </c>
      <c r="O46" s="2">
        <f>IF(M46="","",IF(AND(N46=_xlfn.MAXIFS(TF_AktSum,TF_Nokkel,M46),COUNTIFS(M$3:M45,M46,N$3:N45,N46)=0),M46,""))</f>
        <v/>
      </c>
    </row>
    <row r="47">
      <c r="A47" s="34" t="n"/>
      <c r="B47" s="35" t="n"/>
      <c r="C47" s="35" t="n"/>
      <c r="D47" s="35" t="n"/>
      <c r="E47" s="35" t="n"/>
      <c r="F47" s="36" t="n"/>
      <c r="G47" s="35" t="n"/>
      <c r="H47" s="30">
        <f>IF(L47="","",INDEX(SkiftNavn,L47))</f>
        <v/>
      </c>
      <c r="I47" s="30">
        <f>IF(OR(A47="",L47=""),"",IF(MOD(A47-INDEX(SkiftStart,L47),Syklus)&lt;DagK,"Kveld",IF(MOD(A47-INDEX(SkiftStart,L47),Syklus)&lt;DagK+DagH,"Helg",IF(MOD(A47-INDEX(SkiftStart,L47),Syklus)&lt;DagK+DagH+DagD,"Dag","Fri"))))</f>
        <v/>
      </c>
      <c r="J47" s="30">
        <f>IF(I47="Fri","Ja","")</f>
        <v/>
      </c>
      <c r="K47" s="30">
        <f>IF(B47="","",IF(L47="","Ukjent tekniker",IF(ISNA(MATCH(C47,Aktiviteter,0)),"Ukjent aktivitet",IF(AND(INDEX(AktRolle,MATCH(C47,Aktiviteter,0))&amp;""&lt;&gt;"",ISERROR(SEARCH(INDEX(AktRolle,MATCH(C47,Aktiviteter,0))&amp;"",INDEX(TekRoller,MATCH(B47,Teknikere,0))))),"Mangler rollen "&amp;INDEX(AktRolle,MATCH(C47,Aktiviteter,0))&amp;"",IF(AND(C47="LMS",F47&gt;0,OR(D47="",E47="")),"Mangler maskin eller arbeid",IF(AND(OR(C47="LMS",C47="Mod"),D47&lt;&gt;""),IF(IFERROR(INDEX(MaskinStatus,MATCH(D47,Maskiner,0)),"")="I dokk","","Maskinen er ikke i dokk"),""))))))</f>
        <v/>
      </c>
      <c r="L47" s="2">
        <f>IF(B47="","",IFERROR(INT((MATCH(B47,Teknikere,0)-1)/18)+1,""))</f>
        <v/>
      </c>
      <c r="M47" s="2">
        <f>IF(OR(A47="",B47=""),"",B47&amp;"|"&amp;A47)</f>
        <v/>
      </c>
      <c r="N47" s="2">
        <f>IF(M47="","",SUMIFS(TF_Timer,TF_Nokkel,M47,TF_Akt,C47))</f>
        <v/>
      </c>
      <c r="O47" s="2">
        <f>IF(M47="","",IF(AND(N47=_xlfn.MAXIFS(TF_AktSum,TF_Nokkel,M47),COUNTIFS(M$3:M46,M47,N$3:N46,N47)=0),M47,""))</f>
        <v/>
      </c>
    </row>
    <row r="48">
      <c r="A48" s="34" t="n"/>
      <c r="B48" s="35" t="n"/>
      <c r="C48" s="35" t="n"/>
      <c r="D48" s="35" t="n"/>
      <c r="E48" s="35" t="n"/>
      <c r="F48" s="36" t="n"/>
      <c r="G48" s="35" t="n"/>
      <c r="H48" s="30">
        <f>IF(L48="","",INDEX(SkiftNavn,L48))</f>
        <v/>
      </c>
      <c r="I48" s="30">
        <f>IF(OR(A48="",L48=""),"",IF(MOD(A48-INDEX(SkiftStart,L48),Syklus)&lt;DagK,"Kveld",IF(MOD(A48-INDEX(SkiftStart,L48),Syklus)&lt;DagK+DagH,"Helg",IF(MOD(A48-INDEX(SkiftStart,L48),Syklus)&lt;DagK+DagH+DagD,"Dag","Fri"))))</f>
        <v/>
      </c>
      <c r="J48" s="30">
        <f>IF(I48="Fri","Ja","")</f>
        <v/>
      </c>
      <c r="K48" s="30">
        <f>IF(B48="","",IF(L48="","Ukjent tekniker",IF(ISNA(MATCH(C48,Aktiviteter,0)),"Ukjent aktivitet",IF(AND(INDEX(AktRolle,MATCH(C48,Aktiviteter,0))&amp;""&lt;&gt;"",ISERROR(SEARCH(INDEX(AktRolle,MATCH(C48,Aktiviteter,0))&amp;"",INDEX(TekRoller,MATCH(B48,Teknikere,0))))),"Mangler rollen "&amp;INDEX(AktRolle,MATCH(C48,Aktiviteter,0))&amp;"",IF(AND(C48="LMS",F48&gt;0,OR(D48="",E48="")),"Mangler maskin eller arbeid",IF(AND(OR(C48="LMS",C48="Mod"),D48&lt;&gt;""),IF(IFERROR(INDEX(MaskinStatus,MATCH(D48,Maskiner,0)),"")="I dokk","","Maskinen er ikke i dokk"),""))))))</f>
        <v/>
      </c>
      <c r="L48" s="2">
        <f>IF(B48="","",IFERROR(INT((MATCH(B48,Teknikere,0)-1)/18)+1,""))</f>
        <v/>
      </c>
      <c r="M48" s="2">
        <f>IF(OR(A48="",B48=""),"",B48&amp;"|"&amp;A48)</f>
        <v/>
      </c>
      <c r="N48" s="2">
        <f>IF(M48="","",SUMIFS(TF_Timer,TF_Nokkel,M48,TF_Akt,C48))</f>
        <v/>
      </c>
      <c r="O48" s="2">
        <f>IF(M48="","",IF(AND(N48=_xlfn.MAXIFS(TF_AktSum,TF_Nokkel,M48),COUNTIFS(M$3:M47,M48,N$3:N47,N48)=0),M48,""))</f>
        <v/>
      </c>
    </row>
    <row r="49">
      <c r="A49" s="34" t="n"/>
      <c r="B49" s="35" t="n"/>
      <c r="C49" s="35" t="n"/>
      <c r="D49" s="35" t="n"/>
      <c r="E49" s="35" t="n"/>
      <c r="F49" s="36" t="n"/>
      <c r="G49" s="35" t="n"/>
      <c r="H49" s="30">
        <f>IF(L49="","",INDEX(SkiftNavn,L49))</f>
        <v/>
      </c>
      <c r="I49" s="30">
        <f>IF(OR(A49="",L49=""),"",IF(MOD(A49-INDEX(SkiftStart,L49),Syklus)&lt;DagK,"Kveld",IF(MOD(A49-INDEX(SkiftStart,L49),Syklus)&lt;DagK+DagH,"Helg",IF(MOD(A49-INDEX(SkiftStart,L49),Syklus)&lt;DagK+DagH+DagD,"Dag","Fri"))))</f>
        <v/>
      </c>
      <c r="J49" s="30">
        <f>IF(I49="Fri","Ja","")</f>
        <v/>
      </c>
      <c r="K49" s="30">
        <f>IF(B49="","",IF(L49="","Ukjent tekniker",IF(ISNA(MATCH(C49,Aktiviteter,0)),"Ukjent aktivitet",IF(AND(INDEX(AktRolle,MATCH(C49,Aktiviteter,0))&amp;""&lt;&gt;"",ISERROR(SEARCH(INDEX(AktRolle,MATCH(C49,Aktiviteter,0))&amp;"",INDEX(TekRoller,MATCH(B49,Teknikere,0))))),"Mangler rollen "&amp;INDEX(AktRolle,MATCH(C49,Aktiviteter,0))&amp;"",IF(AND(C49="LMS",F49&gt;0,OR(D49="",E49="")),"Mangler maskin eller arbeid",IF(AND(OR(C49="LMS",C49="Mod"),D49&lt;&gt;""),IF(IFERROR(INDEX(MaskinStatus,MATCH(D49,Maskiner,0)),"")="I dokk","","Maskinen er ikke i dokk"),""))))))</f>
        <v/>
      </c>
      <c r="L49" s="2">
        <f>IF(B49="","",IFERROR(INT((MATCH(B49,Teknikere,0)-1)/18)+1,""))</f>
        <v/>
      </c>
      <c r="M49" s="2">
        <f>IF(OR(A49="",B49=""),"",B49&amp;"|"&amp;A49)</f>
        <v/>
      </c>
      <c r="N49" s="2">
        <f>IF(M49="","",SUMIFS(TF_Timer,TF_Nokkel,M49,TF_Akt,C49))</f>
        <v/>
      </c>
      <c r="O49" s="2">
        <f>IF(M49="","",IF(AND(N49=_xlfn.MAXIFS(TF_AktSum,TF_Nokkel,M49),COUNTIFS(M$3:M48,M49,N$3:N48,N49)=0),M49,""))</f>
        <v/>
      </c>
    </row>
    <row r="50">
      <c r="A50" s="34" t="n"/>
      <c r="B50" s="35" t="n"/>
      <c r="C50" s="35" t="n"/>
      <c r="D50" s="35" t="n"/>
      <c r="E50" s="35" t="n"/>
      <c r="F50" s="36" t="n"/>
      <c r="G50" s="35" t="n"/>
      <c r="H50" s="30">
        <f>IF(L50="","",INDEX(SkiftNavn,L50))</f>
        <v/>
      </c>
      <c r="I50" s="30">
        <f>IF(OR(A50="",L50=""),"",IF(MOD(A50-INDEX(SkiftStart,L50),Syklus)&lt;DagK,"Kveld",IF(MOD(A50-INDEX(SkiftStart,L50),Syklus)&lt;DagK+DagH,"Helg",IF(MOD(A50-INDEX(SkiftStart,L50),Syklus)&lt;DagK+DagH+DagD,"Dag","Fri"))))</f>
        <v/>
      </c>
      <c r="J50" s="30">
        <f>IF(I50="Fri","Ja","")</f>
        <v/>
      </c>
      <c r="K50" s="30">
        <f>IF(B50="","",IF(L50="","Ukjent tekniker",IF(ISNA(MATCH(C50,Aktiviteter,0)),"Ukjent aktivitet",IF(AND(INDEX(AktRolle,MATCH(C50,Aktiviteter,0))&amp;""&lt;&gt;"",ISERROR(SEARCH(INDEX(AktRolle,MATCH(C50,Aktiviteter,0))&amp;"",INDEX(TekRoller,MATCH(B50,Teknikere,0))))),"Mangler rollen "&amp;INDEX(AktRolle,MATCH(C50,Aktiviteter,0))&amp;"",IF(AND(C50="LMS",F50&gt;0,OR(D50="",E50="")),"Mangler maskin eller arbeid",IF(AND(OR(C50="LMS",C50="Mod"),D50&lt;&gt;""),IF(IFERROR(INDEX(MaskinStatus,MATCH(D50,Maskiner,0)),"")="I dokk","","Maskinen er ikke i dokk"),""))))))</f>
        <v/>
      </c>
      <c r="L50" s="2">
        <f>IF(B50="","",IFERROR(INT((MATCH(B50,Teknikere,0)-1)/18)+1,""))</f>
        <v/>
      </c>
      <c r="M50" s="2">
        <f>IF(OR(A50="",B50=""),"",B50&amp;"|"&amp;A50)</f>
        <v/>
      </c>
      <c r="N50" s="2">
        <f>IF(M50="","",SUMIFS(TF_Timer,TF_Nokkel,M50,TF_Akt,C50))</f>
        <v/>
      </c>
      <c r="O50" s="2">
        <f>IF(M50="","",IF(AND(N50=_xlfn.MAXIFS(TF_AktSum,TF_Nokkel,M50),COUNTIFS(M$3:M49,M50,N$3:N49,N50)=0),M50,""))</f>
        <v/>
      </c>
    </row>
    <row r="51">
      <c r="A51" s="34" t="n"/>
      <c r="B51" s="35" t="n"/>
      <c r="C51" s="35" t="n"/>
      <c r="D51" s="35" t="n"/>
      <c r="E51" s="35" t="n"/>
      <c r="F51" s="36" t="n"/>
      <c r="G51" s="35" t="n"/>
      <c r="H51" s="30">
        <f>IF(L51="","",INDEX(SkiftNavn,L51))</f>
        <v/>
      </c>
      <c r="I51" s="30">
        <f>IF(OR(A51="",L51=""),"",IF(MOD(A51-INDEX(SkiftStart,L51),Syklus)&lt;DagK,"Kveld",IF(MOD(A51-INDEX(SkiftStart,L51),Syklus)&lt;DagK+DagH,"Helg",IF(MOD(A51-INDEX(SkiftStart,L51),Syklus)&lt;DagK+DagH+DagD,"Dag","Fri"))))</f>
        <v/>
      </c>
      <c r="J51" s="30">
        <f>IF(I51="Fri","Ja","")</f>
        <v/>
      </c>
      <c r="K51" s="30">
        <f>IF(B51="","",IF(L51="","Ukjent tekniker",IF(ISNA(MATCH(C51,Aktiviteter,0)),"Ukjent aktivitet",IF(AND(INDEX(AktRolle,MATCH(C51,Aktiviteter,0))&amp;""&lt;&gt;"",ISERROR(SEARCH(INDEX(AktRolle,MATCH(C51,Aktiviteter,0))&amp;"",INDEX(TekRoller,MATCH(B51,Teknikere,0))))),"Mangler rollen "&amp;INDEX(AktRolle,MATCH(C51,Aktiviteter,0))&amp;"",IF(AND(C51="LMS",F51&gt;0,OR(D51="",E51="")),"Mangler maskin eller arbeid",IF(AND(OR(C51="LMS",C51="Mod"),D51&lt;&gt;""),IF(IFERROR(INDEX(MaskinStatus,MATCH(D51,Maskiner,0)),"")="I dokk","","Maskinen er ikke i dokk"),""))))))</f>
        <v/>
      </c>
      <c r="L51" s="2">
        <f>IF(B51="","",IFERROR(INT((MATCH(B51,Teknikere,0)-1)/18)+1,""))</f>
        <v/>
      </c>
      <c r="M51" s="2">
        <f>IF(OR(A51="",B51=""),"",B51&amp;"|"&amp;A51)</f>
        <v/>
      </c>
      <c r="N51" s="2">
        <f>IF(M51="","",SUMIFS(TF_Timer,TF_Nokkel,M51,TF_Akt,C51))</f>
        <v/>
      </c>
      <c r="O51" s="2">
        <f>IF(M51="","",IF(AND(N51=_xlfn.MAXIFS(TF_AktSum,TF_Nokkel,M51),COUNTIFS(M$3:M50,M51,N$3:N50,N51)=0),M51,""))</f>
        <v/>
      </c>
    </row>
    <row r="52">
      <c r="A52" s="34" t="n"/>
      <c r="B52" s="35" t="n"/>
      <c r="C52" s="35" t="n"/>
      <c r="D52" s="35" t="n"/>
      <c r="E52" s="35" t="n"/>
      <c r="F52" s="36" t="n"/>
      <c r="G52" s="35" t="n"/>
      <c r="H52" s="30">
        <f>IF(L52="","",INDEX(SkiftNavn,L52))</f>
        <v/>
      </c>
      <c r="I52" s="30">
        <f>IF(OR(A52="",L52=""),"",IF(MOD(A52-INDEX(SkiftStart,L52),Syklus)&lt;DagK,"Kveld",IF(MOD(A52-INDEX(SkiftStart,L52),Syklus)&lt;DagK+DagH,"Helg",IF(MOD(A52-INDEX(SkiftStart,L52),Syklus)&lt;DagK+DagH+DagD,"Dag","Fri"))))</f>
        <v/>
      </c>
      <c r="J52" s="30">
        <f>IF(I52="Fri","Ja","")</f>
        <v/>
      </c>
      <c r="K52" s="30">
        <f>IF(B52="","",IF(L52="","Ukjent tekniker",IF(ISNA(MATCH(C52,Aktiviteter,0)),"Ukjent aktivitet",IF(AND(INDEX(AktRolle,MATCH(C52,Aktiviteter,0))&amp;""&lt;&gt;"",ISERROR(SEARCH(INDEX(AktRolle,MATCH(C52,Aktiviteter,0))&amp;"",INDEX(TekRoller,MATCH(B52,Teknikere,0))))),"Mangler rollen "&amp;INDEX(AktRolle,MATCH(C52,Aktiviteter,0))&amp;"",IF(AND(C52="LMS",F52&gt;0,OR(D52="",E52="")),"Mangler maskin eller arbeid",IF(AND(OR(C52="LMS",C52="Mod"),D52&lt;&gt;""),IF(IFERROR(INDEX(MaskinStatus,MATCH(D52,Maskiner,0)),"")="I dokk","","Maskinen er ikke i dokk"),""))))))</f>
        <v/>
      </c>
      <c r="L52" s="2">
        <f>IF(B52="","",IFERROR(INT((MATCH(B52,Teknikere,0)-1)/18)+1,""))</f>
        <v/>
      </c>
      <c r="M52" s="2">
        <f>IF(OR(A52="",B52=""),"",B52&amp;"|"&amp;A52)</f>
        <v/>
      </c>
      <c r="N52" s="2">
        <f>IF(M52="","",SUMIFS(TF_Timer,TF_Nokkel,M52,TF_Akt,C52))</f>
        <v/>
      </c>
      <c r="O52" s="2">
        <f>IF(M52="","",IF(AND(N52=_xlfn.MAXIFS(TF_AktSum,TF_Nokkel,M52),COUNTIFS(M$3:M51,M52,N$3:N51,N52)=0),M52,""))</f>
        <v/>
      </c>
    </row>
    <row r="53">
      <c r="A53" s="34" t="n"/>
      <c r="B53" s="35" t="n"/>
      <c r="C53" s="35" t="n"/>
      <c r="D53" s="35" t="n"/>
      <c r="E53" s="35" t="n"/>
      <c r="F53" s="36" t="n"/>
      <c r="G53" s="35" t="n"/>
      <c r="H53" s="30">
        <f>IF(L53="","",INDEX(SkiftNavn,L53))</f>
        <v/>
      </c>
      <c r="I53" s="30">
        <f>IF(OR(A53="",L53=""),"",IF(MOD(A53-INDEX(SkiftStart,L53),Syklus)&lt;DagK,"Kveld",IF(MOD(A53-INDEX(SkiftStart,L53),Syklus)&lt;DagK+DagH,"Helg",IF(MOD(A53-INDEX(SkiftStart,L53),Syklus)&lt;DagK+DagH+DagD,"Dag","Fri"))))</f>
        <v/>
      </c>
      <c r="J53" s="30">
        <f>IF(I53="Fri","Ja","")</f>
        <v/>
      </c>
      <c r="K53" s="30">
        <f>IF(B53="","",IF(L53="","Ukjent tekniker",IF(ISNA(MATCH(C53,Aktiviteter,0)),"Ukjent aktivitet",IF(AND(INDEX(AktRolle,MATCH(C53,Aktiviteter,0))&amp;""&lt;&gt;"",ISERROR(SEARCH(INDEX(AktRolle,MATCH(C53,Aktiviteter,0))&amp;"",INDEX(TekRoller,MATCH(B53,Teknikere,0))))),"Mangler rollen "&amp;INDEX(AktRolle,MATCH(C53,Aktiviteter,0))&amp;"",IF(AND(C53="LMS",F53&gt;0,OR(D53="",E53="")),"Mangler maskin eller arbeid",IF(AND(OR(C53="LMS",C53="Mod"),D53&lt;&gt;""),IF(IFERROR(INDEX(MaskinStatus,MATCH(D53,Maskiner,0)),"")="I dokk","","Maskinen er ikke i dokk"),""))))))</f>
        <v/>
      </c>
      <c r="L53" s="2">
        <f>IF(B53="","",IFERROR(INT((MATCH(B53,Teknikere,0)-1)/18)+1,""))</f>
        <v/>
      </c>
      <c r="M53" s="2">
        <f>IF(OR(A53="",B53=""),"",B53&amp;"|"&amp;A53)</f>
        <v/>
      </c>
      <c r="N53" s="2">
        <f>IF(M53="","",SUMIFS(TF_Timer,TF_Nokkel,M53,TF_Akt,C53))</f>
        <v/>
      </c>
      <c r="O53" s="2">
        <f>IF(M53="","",IF(AND(N53=_xlfn.MAXIFS(TF_AktSum,TF_Nokkel,M53),COUNTIFS(M$3:M52,M53,N$3:N52,N53)=0),M53,""))</f>
        <v/>
      </c>
    </row>
    <row r="54">
      <c r="A54" s="34" t="n"/>
      <c r="B54" s="35" t="n"/>
      <c r="C54" s="35" t="n"/>
      <c r="D54" s="35" t="n"/>
      <c r="E54" s="35" t="n"/>
      <c r="F54" s="36" t="n"/>
      <c r="G54" s="35" t="n"/>
      <c r="H54" s="30">
        <f>IF(L54="","",INDEX(SkiftNavn,L54))</f>
        <v/>
      </c>
      <c r="I54" s="30">
        <f>IF(OR(A54="",L54=""),"",IF(MOD(A54-INDEX(SkiftStart,L54),Syklus)&lt;DagK,"Kveld",IF(MOD(A54-INDEX(SkiftStart,L54),Syklus)&lt;DagK+DagH,"Helg",IF(MOD(A54-INDEX(SkiftStart,L54),Syklus)&lt;DagK+DagH+DagD,"Dag","Fri"))))</f>
        <v/>
      </c>
      <c r="J54" s="30">
        <f>IF(I54="Fri","Ja","")</f>
        <v/>
      </c>
      <c r="K54" s="30">
        <f>IF(B54="","",IF(L54="","Ukjent tekniker",IF(ISNA(MATCH(C54,Aktiviteter,0)),"Ukjent aktivitet",IF(AND(INDEX(AktRolle,MATCH(C54,Aktiviteter,0))&amp;""&lt;&gt;"",ISERROR(SEARCH(INDEX(AktRolle,MATCH(C54,Aktiviteter,0))&amp;"",INDEX(TekRoller,MATCH(B54,Teknikere,0))))),"Mangler rollen "&amp;INDEX(AktRolle,MATCH(C54,Aktiviteter,0))&amp;"",IF(AND(C54="LMS",F54&gt;0,OR(D54="",E54="")),"Mangler maskin eller arbeid",IF(AND(OR(C54="LMS",C54="Mod"),D54&lt;&gt;""),IF(IFERROR(INDEX(MaskinStatus,MATCH(D54,Maskiner,0)),"")="I dokk","","Maskinen er ikke i dokk"),""))))))</f>
        <v/>
      </c>
      <c r="L54" s="2">
        <f>IF(B54="","",IFERROR(INT((MATCH(B54,Teknikere,0)-1)/18)+1,""))</f>
        <v/>
      </c>
      <c r="M54" s="2">
        <f>IF(OR(A54="",B54=""),"",B54&amp;"|"&amp;A54)</f>
        <v/>
      </c>
      <c r="N54" s="2">
        <f>IF(M54="","",SUMIFS(TF_Timer,TF_Nokkel,M54,TF_Akt,C54))</f>
        <v/>
      </c>
      <c r="O54" s="2">
        <f>IF(M54="","",IF(AND(N54=_xlfn.MAXIFS(TF_AktSum,TF_Nokkel,M54),COUNTIFS(M$3:M53,M54,N$3:N53,N54)=0),M54,""))</f>
        <v/>
      </c>
    </row>
    <row r="55">
      <c r="A55" s="34" t="n"/>
      <c r="B55" s="35" t="n"/>
      <c r="C55" s="35" t="n"/>
      <c r="D55" s="35" t="n"/>
      <c r="E55" s="35" t="n"/>
      <c r="F55" s="36" t="n"/>
      <c r="G55" s="35" t="n"/>
      <c r="H55" s="30">
        <f>IF(L55="","",INDEX(SkiftNavn,L55))</f>
        <v/>
      </c>
      <c r="I55" s="30">
        <f>IF(OR(A55="",L55=""),"",IF(MOD(A55-INDEX(SkiftStart,L55),Syklus)&lt;DagK,"Kveld",IF(MOD(A55-INDEX(SkiftStart,L55),Syklus)&lt;DagK+DagH,"Helg",IF(MOD(A55-INDEX(SkiftStart,L55),Syklus)&lt;DagK+DagH+DagD,"Dag","Fri"))))</f>
        <v/>
      </c>
      <c r="J55" s="30">
        <f>IF(I55="Fri","Ja","")</f>
        <v/>
      </c>
      <c r="K55" s="30">
        <f>IF(B55="","",IF(L55="","Ukjent tekniker",IF(ISNA(MATCH(C55,Aktiviteter,0)),"Ukjent aktivitet",IF(AND(INDEX(AktRolle,MATCH(C55,Aktiviteter,0))&amp;""&lt;&gt;"",ISERROR(SEARCH(INDEX(AktRolle,MATCH(C55,Aktiviteter,0))&amp;"",INDEX(TekRoller,MATCH(B55,Teknikere,0))))),"Mangler rollen "&amp;INDEX(AktRolle,MATCH(C55,Aktiviteter,0))&amp;"",IF(AND(C55="LMS",F55&gt;0,OR(D55="",E55="")),"Mangler maskin eller arbeid",IF(AND(OR(C55="LMS",C55="Mod"),D55&lt;&gt;""),IF(IFERROR(INDEX(MaskinStatus,MATCH(D55,Maskiner,0)),"")="I dokk","","Maskinen er ikke i dokk"),""))))))</f>
        <v/>
      </c>
      <c r="L55" s="2">
        <f>IF(B55="","",IFERROR(INT((MATCH(B55,Teknikere,0)-1)/18)+1,""))</f>
        <v/>
      </c>
      <c r="M55" s="2">
        <f>IF(OR(A55="",B55=""),"",B55&amp;"|"&amp;A55)</f>
        <v/>
      </c>
      <c r="N55" s="2">
        <f>IF(M55="","",SUMIFS(TF_Timer,TF_Nokkel,M55,TF_Akt,C55))</f>
        <v/>
      </c>
      <c r="O55" s="2">
        <f>IF(M55="","",IF(AND(N55=_xlfn.MAXIFS(TF_AktSum,TF_Nokkel,M55),COUNTIFS(M$3:M54,M55,N$3:N54,N55)=0),M55,""))</f>
        <v/>
      </c>
    </row>
    <row r="56">
      <c r="A56" s="34" t="n"/>
      <c r="B56" s="35" t="n"/>
      <c r="C56" s="35" t="n"/>
      <c r="D56" s="35" t="n"/>
      <c r="E56" s="35" t="n"/>
      <c r="F56" s="36" t="n"/>
      <c r="G56" s="35" t="n"/>
      <c r="H56" s="30">
        <f>IF(L56="","",INDEX(SkiftNavn,L56))</f>
        <v/>
      </c>
      <c r="I56" s="30">
        <f>IF(OR(A56="",L56=""),"",IF(MOD(A56-INDEX(SkiftStart,L56),Syklus)&lt;DagK,"Kveld",IF(MOD(A56-INDEX(SkiftStart,L56),Syklus)&lt;DagK+DagH,"Helg",IF(MOD(A56-INDEX(SkiftStart,L56),Syklus)&lt;DagK+DagH+DagD,"Dag","Fri"))))</f>
        <v/>
      </c>
      <c r="J56" s="30">
        <f>IF(I56="Fri","Ja","")</f>
        <v/>
      </c>
      <c r="K56" s="30">
        <f>IF(B56="","",IF(L56="","Ukjent tekniker",IF(ISNA(MATCH(C56,Aktiviteter,0)),"Ukjent aktivitet",IF(AND(INDEX(AktRolle,MATCH(C56,Aktiviteter,0))&amp;""&lt;&gt;"",ISERROR(SEARCH(INDEX(AktRolle,MATCH(C56,Aktiviteter,0))&amp;"",INDEX(TekRoller,MATCH(B56,Teknikere,0))))),"Mangler rollen "&amp;INDEX(AktRolle,MATCH(C56,Aktiviteter,0))&amp;"",IF(AND(C56="LMS",F56&gt;0,OR(D56="",E56="")),"Mangler maskin eller arbeid",IF(AND(OR(C56="LMS",C56="Mod"),D56&lt;&gt;""),IF(IFERROR(INDEX(MaskinStatus,MATCH(D56,Maskiner,0)),"")="I dokk","","Maskinen er ikke i dokk"),""))))))</f>
        <v/>
      </c>
      <c r="L56" s="2">
        <f>IF(B56="","",IFERROR(INT((MATCH(B56,Teknikere,0)-1)/18)+1,""))</f>
        <v/>
      </c>
      <c r="M56" s="2">
        <f>IF(OR(A56="",B56=""),"",B56&amp;"|"&amp;A56)</f>
        <v/>
      </c>
      <c r="N56" s="2">
        <f>IF(M56="","",SUMIFS(TF_Timer,TF_Nokkel,M56,TF_Akt,C56))</f>
        <v/>
      </c>
      <c r="O56" s="2">
        <f>IF(M56="","",IF(AND(N56=_xlfn.MAXIFS(TF_AktSum,TF_Nokkel,M56),COUNTIFS(M$3:M55,M56,N$3:N55,N56)=0),M56,""))</f>
        <v/>
      </c>
    </row>
    <row r="57">
      <c r="A57" s="34" t="n"/>
      <c r="B57" s="35" t="n"/>
      <c r="C57" s="35" t="n"/>
      <c r="D57" s="35" t="n"/>
      <c r="E57" s="35" t="n"/>
      <c r="F57" s="36" t="n"/>
      <c r="G57" s="35" t="n"/>
      <c r="H57" s="30">
        <f>IF(L57="","",INDEX(SkiftNavn,L57))</f>
        <v/>
      </c>
      <c r="I57" s="30">
        <f>IF(OR(A57="",L57=""),"",IF(MOD(A57-INDEX(SkiftStart,L57),Syklus)&lt;DagK,"Kveld",IF(MOD(A57-INDEX(SkiftStart,L57),Syklus)&lt;DagK+DagH,"Helg",IF(MOD(A57-INDEX(SkiftStart,L57),Syklus)&lt;DagK+DagH+DagD,"Dag","Fri"))))</f>
        <v/>
      </c>
      <c r="J57" s="30">
        <f>IF(I57="Fri","Ja","")</f>
        <v/>
      </c>
      <c r="K57" s="30">
        <f>IF(B57="","",IF(L57="","Ukjent tekniker",IF(ISNA(MATCH(C57,Aktiviteter,0)),"Ukjent aktivitet",IF(AND(INDEX(AktRolle,MATCH(C57,Aktiviteter,0))&amp;""&lt;&gt;"",ISERROR(SEARCH(INDEX(AktRolle,MATCH(C57,Aktiviteter,0))&amp;"",INDEX(TekRoller,MATCH(B57,Teknikere,0))))),"Mangler rollen "&amp;INDEX(AktRolle,MATCH(C57,Aktiviteter,0))&amp;"",IF(AND(C57="LMS",F57&gt;0,OR(D57="",E57="")),"Mangler maskin eller arbeid",IF(AND(OR(C57="LMS",C57="Mod"),D57&lt;&gt;""),IF(IFERROR(INDEX(MaskinStatus,MATCH(D57,Maskiner,0)),"")="I dokk","","Maskinen er ikke i dokk"),""))))))</f>
        <v/>
      </c>
      <c r="L57" s="2">
        <f>IF(B57="","",IFERROR(INT((MATCH(B57,Teknikere,0)-1)/18)+1,""))</f>
        <v/>
      </c>
      <c r="M57" s="2">
        <f>IF(OR(A57="",B57=""),"",B57&amp;"|"&amp;A57)</f>
        <v/>
      </c>
      <c r="N57" s="2">
        <f>IF(M57="","",SUMIFS(TF_Timer,TF_Nokkel,M57,TF_Akt,C57))</f>
        <v/>
      </c>
      <c r="O57" s="2">
        <f>IF(M57="","",IF(AND(N57=_xlfn.MAXIFS(TF_AktSum,TF_Nokkel,M57),COUNTIFS(M$3:M56,M57,N$3:N56,N57)=0),M57,""))</f>
        <v/>
      </c>
    </row>
    <row r="58">
      <c r="A58" s="34" t="n"/>
      <c r="B58" s="35" t="n"/>
      <c r="C58" s="35" t="n"/>
      <c r="D58" s="35" t="n"/>
      <c r="E58" s="35" t="n"/>
      <c r="F58" s="36" t="n"/>
      <c r="G58" s="35" t="n"/>
      <c r="H58" s="30">
        <f>IF(L58="","",INDEX(SkiftNavn,L58))</f>
        <v/>
      </c>
      <c r="I58" s="30">
        <f>IF(OR(A58="",L58=""),"",IF(MOD(A58-INDEX(SkiftStart,L58),Syklus)&lt;DagK,"Kveld",IF(MOD(A58-INDEX(SkiftStart,L58),Syklus)&lt;DagK+DagH,"Helg",IF(MOD(A58-INDEX(SkiftStart,L58),Syklus)&lt;DagK+DagH+DagD,"Dag","Fri"))))</f>
        <v/>
      </c>
      <c r="J58" s="30">
        <f>IF(I58="Fri","Ja","")</f>
        <v/>
      </c>
      <c r="K58" s="30">
        <f>IF(B58="","",IF(L58="","Ukjent tekniker",IF(ISNA(MATCH(C58,Aktiviteter,0)),"Ukjent aktivitet",IF(AND(INDEX(AktRolle,MATCH(C58,Aktiviteter,0))&amp;""&lt;&gt;"",ISERROR(SEARCH(INDEX(AktRolle,MATCH(C58,Aktiviteter,0))&amp;"",INDEX(TekRoller,MATCH(B58,Teknikere,0))))),"Mangler rollen "&amp;INDEX(AktRolle,MATCH(C58,Aktiviteter,0))&amp;"",IF(AND(C58="LMS",F58&gt;0,OR(D58="",E58="")),"Mangler maskin eller arbeid",IF(AND(OR(C58="LMS",C58="Mod"),D58&lt;&gt;""),IF(IFERROR(INDEX(MaskinStatus,MATCH(D58,Maskiner,0)),"")="I dokk","","Maskinen er ikke i dokk"),""))))))</f>
        <v/>
      </c>
      <c r="L58" s="2">
        <f>IF(B58="","",IFERROR(INT((MATCH(B58,Teknikere,0)-1)/18)+1,""))</f>
        <v/>
      </c>
      <c r="M58" s="2">
        <f>IF(OR(A58="",B58=""),"",B58&amp;"|"&amp;A58)</f>
        <v/>
      </c>
      <c r="N58" s="2">
        <f>IF(M58="","",SUMIFS(TF_Timer,TF_Nokkel,M58,TF_Akt,C58))</f>
        <v/>
      </c>
      <c r="O58" s="2">
        <f>IF(M58="","",IF(AND(N58=_xlfn.MAXIFS(TF_AktSum,TF_Nokkel,M58),COUNTIFS(M$3:M57,M58,N$3:N57,N58)=0),M58,""))</f>
        <v/>
      </c>
    </row>
    <row r="59">
      <c r="A59" s="34" t="n"/>
      <c r="B59" s="35" t="n"/>
      <c r="C59" s="35" t="n"/>
      <c r="D59" s="35" t="n"/>
      <c r="E59" s="35" t="n"/>
      <c r="F59" s="36" t="n"/>
      <c r="G59" s="35" t="n"/>
      <c r="H59" s="30">
        <f>IF(L59="","",INDEX(SkiftNavn,L59))</f>
        <v/>
      </c>
      <c r="I59" s="30">
        <f>IF(OR(A59="",L59=""),"",IF(MOD(A59-INDEX(SkiftStart,L59),Syklus)&lt;DagK,"Kveld",IF(MOD(A59-INDEX(SkiftStart,L59),Syklus)&lt;DagK+DagH,"Helg",IF(MOD(A59-INDEX(SkiftStart,L59),Syklus)&lt;DagK+DagH+DagD,"Dag","Fri"))))</f>
        <v/>
      </c>
      <c r="J59" s="30">
        <f>IF(I59="Fri","Ja","")</f>
        <v/>
      </c>
      <c r="K59" s="30">
        <f>IF(B59="","",IF(L59="","Ukjent tekniker",IF(ISNA(MATCH(C59,Aktiviteter,0)),"Ukjent aktivitet",IF(AND(INDEX(AktRolle,MATCH(C59,Aktiviteter,0))&amp;""&lt;&gt;"",ISERROR(SEARCH(INDEX(AktRolle,MATCH(C59,Aktiviteter,0))&amp;"",INDEX(TekRoller,MATCH(B59,Teknikere,0))))),"Mangler rollen "&amp;INDEX(AktRolle,MATCH(C59,Aktiviteter,0))&amp;"",IF(AND(C59="LMS",F59&gt;0,OR(D59="",E59="")),"Mangler maskin eller arbeid",IF(AND(OR(C59="LMS",C59="Mod"),D59&lt;&gt;""),IF(IFERROR(INDEX(MaskinStatus,MATCH(D59,Maskiner,0)),"")="I dokk","","Maskinen er ikke i dokk"),""))))))</f>
        <v/>
      </c>
      <c r="L59" s="2">
        <f>IF(B59="","",IFERROR(INT((MATCH(B59,Teknikere,0)-1)/18)+1,""))</f>
        <v/>
      </c>
      <c r="M59" s="2">
        <f>IF(OR(A59="",B59=""),"",B59&amp;"|"&amp;A59)</f>
        <v/>
      </c>
      <c r="N59" s="2">
        <f>IF(M59="","",SUMIFS(TF_Timer,TF_Nokkel,M59,TF_Akt,C59))</f>
        <v/>
      </c>
      <c r="O59" s="2">
        <f>IF(M59="","",IF(AND(N59=_xlfn.MAXIFS(TF_AktSum,TF_Nokkel,M59),COUNTIFS(M$3:M58,M59,N$3:N58,N59)=0),M59,""))</f>
        <v/>
      </c>
    </row>
    <row r="60">
      <c r="A60" s="34" t="n"/>
      <c r="B60" s="35" t="n"/>
      <c r="C60" s="35" t="n"/>
      <c r="D60" s="35" t="n"/>
      <c r="E60" s="35" t="n"/>
      <c r="F60" s="36" t="n"/>
      <c r="G60" s="35" t="n"/>
      <c r="H60" s="30">
        <f>IF(L60="","",INDEX(SkiftNavn,L60))</f>
        <v/>
      </c>
      <c r="I60" s="30">
        <f>IF(OR(A60="",L60=""),"",IF(MOD(A60-INDEX(SkiftStart,L60),Syklus)&lt;DagK,"Kveld",IF(MOD(A60-INDEX(SkiftStart,L60),Syklus)&lt;DagK+DagH,"Helg",IF(MOD(A60-INDEX(SkiftStart,L60),Syklus)&lt;DagK+DagH+DagD,"Dag","Fri"))))</f>
        <v/>
      </c>
      <c r="J60" s="30">
        <f>IF(I60="Fri","Ja","")</f>
        <v/>
      </c>
      <c r="K60" s="30">
        <f>IF(B60="","",IF(L60="","Ukjent tekniker",IF(ISNA(MATCH(C60,Aktiviteter,0)),"Ukjent aktivitet",IF(AND(INDEX(AktRolle,MATCH(C60,Aktiviteter,0))&amp;""&lt;&gt;"",ISERROR(SEARCH(INDEX(AktRolle,MATCH(C60,Aktiviteter,0))&amp;"",INDEX(TekRoller,MATCH(B60,Teknikere,0))))),"Mangler rollen "&amp;INDEX(AktRolle,MATCH(C60,Aktiviteter,0))&amp;"",IF(AND(C60="LMS",F60&gt;0,OR(D60="",E60="")),"Mangler maskin eller arbeid",IF(AND(OR(C60="LMS",C60="Mod"),D60&lt;&gt;""),IF(IFERROR(INDEX(MaskinStatus,MATCH(D60,Maskiner,0)),"")="I dokk","","Maskinen er ikke i dokk"),""))))))</f>
        <v/>
      </c>
      <c r="L60" s="2">
        <f>IF(B60="","",IFERROR(INT((MATCH(B60,Teknikere,0)-1)/18)+1,""))</f>
        <v/>
      </c>
      <c r="M60" s="2">
        <f>IF(OR(A60="",B60=""),"",B60&amp;"|"&amp;A60)</f>
        <v/>
      </c>
      <c r="N60" s="2">
        <f>IF(M60="","",SUMIFS(TF_Timer,TF_Nokkel,M60,TF_Akt,C60))</f>
        <v/>
      </c>
      <c r="O60" s="2">
        <f>IF(M60="","",IF(AND(N60=_xlfn.MAXIFS(TF_AktSum,TF_Nokkel,M60),COUNTIFS(M$3:M59,M60,N$3:N59,N60)=0),M60,""))</f>
        <v/>
      </c>
    </row>
    <row r="61">
      <c r="A61" s="34" t="n"/>
      <c r="B61" s="35" t="n"/>
      <c r="C61" s="35" t="n"/>
      <c r="D61" s="35" t="n"/>
      <c r="E61" s="35" t="n"/>
      <c r="F61" s="36" t="n"/>
      <c r="G61" s="35" t="n"/>
      <c r="H61" s="30">
        <f>IF(L61="","",INDEX(SkiftNavn,L61))</f>
        <v/>
      </c>
      <c r="I61" s="30">
        <f>IF(OR(A61="",L61=""),"",IF(MOD(A61-INDEX(SkiftStart,L61),Syklus)&lt;DagK,"Kveld",IF(MOD(A61-INDEX(SkiftStart,L61),Syklus)&lt;DagK+DagH,"Helg",IF(MOD(A61-INDEX(SkiftStart,L61),Syklus)&lt;DagK+DagH+DagD,"Dag","Fri"))))</f>
        <v/>
      </c>
      <c r="J61" s="30">
        <f>IF(I61="Fri","Ja","")</f>
        <v/>
      </c>
      <c r="K61" s="30">
        <f>IF(B61="","",IF(L61="","Ukjent tekniker",IF(ISNA(MATCH(C61,Aktiviteter,0)),"Ukjent aktivitet",IF(AND(INDEX(AktRolle,MATCH(C61,Aktiviteter,0))&amp;""&lt;&gt;"",ISERROR(SEARCH(INDEX(AktRolle,MATCH(C61,Aktiviteter,0))&amp;"",INDEX(TekRoller,MATCH(B61,Teknikere,0))))),"Mangler rollen "&amp;INDEX(AktRolle,MATCH(C61,Aktiviteter,0))&amp;"",IF(AND(C61="LMS",F61&gt;0,OR(D61="",E61="")),"Mangler maskin eller arbeid",IF(AND(OR(C61="LMS",C61="Mod"),D61&lt;&gt;""),IF(IFERROR(INDEX(MaskinStatus,MATCH(D61,Maskiner,0)),"")="I dokk","","Maskinen er ikke i dokk"),""))))))</f>
        <v/>
      </c>
      <c r="L61" s="2">
        <f>IF(B61="","",IFERROR(INT((MATCH(B61,Teknikere,0)-1)/18)+1,""))</f>
        <v/>
      </c>
      <c r="M61" s="2">
        <f>IF(OR(A61="",B61=""),"",B61&amp;"|"&amp;A61)</f>
        <v/>
      </c>
      <c r="N61" s="2">
        <f>IF(M61="","",SUMIFS(TF_Timer,TF_Nokkel,M61,TF_Akt,C61))</f>
        <v/>
      </c>
      <c r="O61" s="2">
        <f>IF(M61="","",IF(AND(N61=_xlfn.MAXIFS(TF_AktSum,TF_Nokkel,M61),COUNTIFS(M$3:M60,M61,N$3:N60,N61)=0),M61,""))</f>
        <v/>
      </c>
    </row>
    <row r="62">
      <c r="A62" s="34" t="n"/>
      <c r="B62" s="35" t="n"/>
      <c r="C62" s="35" t="n"/>
      <c r="D62" s="35" t="n"/>
      <c r="E62" s="35" t="n"/>
      <c r="F62" s="36" t="n"/>
      <c r="G62" s="35" t="n"/>
      <c r="H62" s="30">
        <f>IF(L62="","",INDEX(SkiftNavn,L62))</f>
        <v/>
      </c>
      <c r="I62" s="30">
        <f>IF(OR(A62="",L62=""),"",IF(MOD(A62-INDEX(SkiftStart,L62),Syklus)&lt;DagK,"Kveld",IF(MOD(A62-INDEX(SkiftStart,L62),Syklus)&lt;DagK+DagH,"Helg",IF(MOD(A62-INDEX(SkiftStart,L62),Syklus)&lt;DagK+DagH+DagD,"Dag","Fri"))))</f>
        <v/>
      </c>
      <c r="J62" s="30">
        <f>IF(I62="Fri","Ja","")</f>
        <v/>
      </c>
      <c r="K62" s="30">
        <f>IF(B62="","",IF(L62="","Ukjent tekniker",IF(ISNA(MATCH(C62,Aktiviteter,0)),"Ukjent aktivitet",IF(AND(INDEX(AktRolle,MATCH(C62,Aktiviteter,0))&amp;""&lt;&gt;"",ISERROR(SEARCH(INDEX(AktRolle,MATCH(C62,Aktiviteter,0))&amp;"",INDEX(TekRoller,MATCH(B62,Teknikere,0))))),"Mangler rollen "&amp;INDEX(AktRolle,MATCH(C62,Aktiviteter,0))&amp;"",IF(AND(C62="LMS",F62&gt;0,OR(D62="",E62="")),"Mangler maskin eller arbeid",IF(AND(OR(C62="LMS",C62="Mod"),D62&lt;&gt;""),IF(IFERROR(INDEX(MaskinStatus,MATCH(D62,Maskiner,0)),"")="I dokk","","Maskinen er ikke i dokk"),""))))))</f>
        <v/>
      </c>
      <c r="L62" s="2">
        <f>IF(B62="","",IFERROR(INT((MATCH(B62,Teknikere,0)-1)/18)+1,""))</f>
        <v/>
      </c>
      <c r="M62" s="2">
        <f>IF(OR(A62="",B62=""),"",B62&amp;"|"&amp;A62)</f>
        <v/>
      </c>
      <c r="N62" s="2">
        <f>IF(M62="","",SUMIFS(TF_Timer,TF_Nokkel,M62,TF_Akt,C62))</f>
        <v/>
      </c>
      <c r="O62" s="2">
        <f>IF(M62="","",IF(AND(N62=_xlfn.MAXIFS(TF_AktSum,TF_Nokkel,M62),COUNTIFS(M$3:M61,M62,N$3:N61,N62)=0),M62,""))</f>
        <v/>
      </c>
    </row>
    <row r="63">
      <c r="A63" s="34" t="n"/>
      <c r="B63" s="35" t="n"/>
      <c r="C63" s="35" t="n"/>
      <c r="D63" s="35" t="n"/>
      <c r="E63" s="35" t="n"/>
      <c r="F63" s="36" t="n"/>
      <c r="G63" s="35" t="n"/>
      <c r="H63" s="30">
        <f>IF(L63="","",INDEX(SkiftNavn,L63))</f>
        <v/>
      </c>
      <c r="I63" s="30">
        <f>IF(OR(A63="",L63=""),"",IF(MOD(A63-INDEX(SkiftStart,L63),Syklus)&lt;DagK,"Kveld",IF(MOD(A63-INDEX(SkiftStart,L63),Syklus)&lt;DagK+DagH,"Helg",IF(MOD(A63-INDEX(SkiftStart,L63),Syklus)&lt;DagK+DagH+DagD,"Dag","Fri"))))</f>
        <v/>
      </c>
      <c r="J63" s="30">
        <f>IF(I63="Fri","Ja","")</f>
        <v/>
      </c>
      <c r="K63" s="30">
        <f>IF(B63="","",IF(L63="","Ukjent tekniker",IF(ISNA(MATCH(C63,Aktiviteter,0)),"Ukjent aktivitet",IF(AND(INDEX(AktRolle,MATCH(C63,Aktiviteter,0))&amp;""&lt;&gt;"",ISERROR(SEARCH(INDEX(AktRolle,MATCH(C63,Aktiviteter,0))&amp;"",INDEX(TekRoller,MATCH(B63,Teknikere,0))))),"Mangler rollen "&amp;INDEX(AktRolle,MATCH(C63,Aktiviteter,0))&amp;"",IF(AND(C63="LMS",F63&gt;0,OR(D63="",E63="")),"Mangler maskin eller arbeid",IF(AND(OR(C63="LMS",C63="Mod"),D63&lt;&gt;""),IF(IFERROR(INDEX(MaskinStatus,MATCH(D63,Maskiner,0)),"")="I dokk","","Maskinen er ikke i dokk"),""))))))</f>
        <v/>
      </c>
      <c r="L63" s="2">
        <f>IF(B63="","",IFERROR(INT((MATCH(B63,Teknikere,0)-1)/18)+1,""))</f>
        <v/>
      </c>
      <c r="M63" s="2">
        <f>IF(OR(A63="",B63=""),"",B63&amp;"|"&amp;A63)</f>
        <v/>
      </c>
      <c r="N63" s="2">
        <f>IF(M63="","",SUMIFS(TF_Timer,TF_Nokkel,M63,TF_Akt,C63))</f>
        <v/>
      </c>
      <c r="O63" s="2">
        <f>IF(M63="","",IF(AND(N63=_xlfn.MAXIFS(TF_AktSum,TF_Nokkel,M63),COUNTIFS(M$3:M62,M63,N$3:N62,N63)=0),M63,""))</f>
        <v/>
      </c>
    </row>
    <row r="64">
      <c r="A64" s="34" t="n"/>
      <c r="B64" s="35" t="n"/>
      <c r="C64" s="35" t="n"/>
      <c r="D64" s="35" t="n"/>
      <c r="E64" s="35" t="n"/>
      <c r="F64" s="36" t="n"/>
      <c r="G64" s="35" t="n"/>
      <c r="H64" s="30">
        <f>IF(L64="","",INDEX(SkiftNavn,L64))</f>
        <v/>
      </c>
      <c r="I64" s="30">
        <f>IF(OR(A64="",L64=""),"",IF(MOD(A64-INDEX(SkiftStart,L64),Syklus)&lt;DagK,"Kveld",IF(MOD(A64-INDEX(SkiftStart,L64),Syklus)&lt;DagK+DagH,"Helg",IF(MOD(A64-INDEX(SkiftStart,L64),Syklus)&lt;DagK+DagH+DagD,"Dag","Fri"))))</f>
        <v/>
      </c>
      <c r="J64" s="30">
        <f>IF(I64="Fri","Ja","")</f>
        <v/>
      </c>
      <c r="K64" s="30">
        <f>IF(B64="","",IF(L64="","Ukjent tekniker",IF(ISNA(MATCH(C64,Aktiviteter,0)),"Ukjent aktivitet",IF(AND(INDEX(AktRolle,MATCH(C64,Aktiviteter,0))&amp;""&lt;&gt;"",ISERROR(SEARCH(INDEX(AktRolle,MATCH(C64,Aktiviteter,0))&amp;"",INDEX(TekRoller,MATCH(B64,Teknikere,0))))),"Mangler rollen "&amp;INDEX(AktRolle,MATCH(C64,Aktiviteter,0))&amp;"",IF(AND(C64="LMS",F64&gt;0,OR(D64="",E64="")),"Mangler maskin eller arbeid",IF(AND(OR(C64="LMS",C64="Mod"),D64&lt;&gt;""),IF(IFERROR(INDEX(MaskinStatus,MATCH(D64,Maskiner,0)),"")="I dokk","","Maskinen er ikke i dokk"),""))))))</f>
        <v/>
      </c>
      <c r="L64" s="2">
        <f>IF(B64="","",IFERROR(INT((MATCH(B64,Teknikere,0)-1)/18)+1,""))</f>
        <v/>
      </c>
      <c r="M64" s="2">
        <f>IF(OR(A64="",B64=""),"",B64&amp;"|"&amp;A64)</f>
        <v/>
      </c>
      <c r="N64" s="2">
        <f>IF(M64="","",SUMIFS(TF_Timer,TF_Nokkel,M64,TF_Akt,C64))</f>
        <v/>
      </c>
      <c r="O64" s="2">
        <f>IF(M64="","",IF(AND(N64=_xlfn.MAXIFS(TF_AktSum,TF_Nokkel,M64),COUNTIFS(M$3:M63,M64,N$3:N63,N64)=0),M64,""))</f>
        <v/>
      </c>
    </row>
    <row r="65">
      <c r="A65" s="34" t="n"/>
      <c r="B65" s="35" t="n"/>
      <c r="C65" s="35" t="n"/>
      <c r="D65" s="35" t="n"/>
      <c r="E65" s="35" t="n"/>
      <c r="F65" s="36" t="n"/>
      <c r="G65" s="35" t="n"/>
      <c r="H65" s="30">
        <f>IF(L65="","",INDEX(SkiftNavn,L65))</f>
        <v/>
      </c>
      <c r="I65" s="30">
        <f>IF(OR(A65="",L65=""),"",IF(MOD(A65-INDEX(SkiftStart,L65),Syklus)&lt;DagK,"Kveld",IF(MOD(A65-INDEX(SkiftStart,L65),Syklus)&lt;DagK+DagH,"Helg",IF(MOD(A65-INDEX(SkiftStart,L65),Syklus)&lt;DagK+DagH+DagD,"Dag","Fri"))))</f>
        <v/>
      </c>
      <c r="J65" s="30">
        <f>IF(I65="Fri","Ja","")</f>
        <v/>
      </c>
      <c r="K65" s="30">
        <f>IF(B65="","",IF(L65="","Ukjent tekniker",IF(ISNA(MATCH(C65,Aktiviteter,0)),"Ukjent aktivitet",IF(AND(INDEX(AktRolle,MATCH(C65,Aktiviteter,0))&amp;""&lt;&gt;"",ISERROR(SEARCH(INDEX(AktRolle,MATCH(C65,Aktiviteter,0))&amp;"",INDEX(TekRoller,MATCH(B65,Teknikere,0))))),"Mangler rollen "&amp;INDEX(AktRolle,MATCH(C65,Aktiviteter,0))&amp;"",IF(AND(C65="LMS",F65&gt;0,OR(D65="",E65="")),"Mangler maskin eller arbeid",IF(AND(OR(C65="LMS",C65="Mod"),D65&lt;&gt;""),IF(IFERROR(INDEX(MaskinStatus,MATCH(D65,Maskiner,0)),"")="I dokk","","Maskinen er ikke i dokk"),""))))))</f>
        <v/>
      </c>
      <c r="L65" s="2">
        <f>IF(B65="","",IFERROR(INT((MATCH(B65,Teknikere,0)-1)/18)+1,""))</f>
        <v/>
      </c>
      <c r="M65" s="2">
        <f>IF(OR(A65="",B65=""),"",B65&amp;"|"&amp;A65)</f>
        <v/>
      </c>
      <c r="N65" s="2">
        <f>IF(M65="","",SUMIFS(TF_Timer,TF_Nokkel,M65,TF_Akt,C65))</f>
        <v/>
      </c>
      <c r="O65" s="2">
        <f>IF(M65="","",IF(AND(N65=_xlfn.MAXIFS(TF_AktSum,TF_Nokkel,M65),COUNTIFS(M$3:M64,M65,N$3:N64,N65)=0),M65,""))</f>
        <v/>
      </c>
    </row>
    <row r="66">
      <c r="A66" s="34" t="n"/>
      <c r="B66" s="35" t="n"/>
      <c r="C66" s="35" t="n"/>
      <c r="D66" s="35" t="n"/>
      <c r="E66" s="35" t="n"/>
      <c r="F66" s="36" t="n"/>
      <c r="G66" s="35" t="n"/>
      <c r="H66" s="30">
        <f>IF(L66="","",INDEX(SkiftNavn,L66))</f>
        <v/>
      </c>
      <c r="I66" s="30">
        <f>IF(OR(A66="",L66=""),"",IF(MOD(A66-INDEX(SkiftStart,L66),Syklus)&lt;DagK,"Kveld",IF(MOD(A66-INDEX(SkiftStart,L66),Syklus)&lt;DagK+DagH,"Helg",IF(MOD(A66-INDEX(SkiftStart,L66),Syklus)&lt;DagK+DagH+DagD,"Dag","Fri"))))</f>
        <v/>
      </c>
      <c r="J66" s="30">
        <f>IF(I66="Fri","Ja","")</f>
        <v/>
      </c>
      <c r="K66" s="30">
        <f>IF(B66="","",IF(L66="","Ukjent tekniker",IF(ISNA(MATCH(C66,Aktiviteter,0)),"Ukjent aktivitet",IF(AND(INDEX(AktRolle,MATCH(C66,Aktiviteter,0))&amp;""&lt;&gt;"",ISERROR(SEARCH(INDEX(AktRolle,MATCH(C66,Aktiviteter,0))&amp;"",INDEX(TekRoller,MATCH(B66,Teknikere,0))))),"Mangler rollen "&amp;INDEX(AktRolle,MATCH(C66,Aktiviteter,0))&amp;"",IF(AND(C66="LMS",F66&gt;0,OR(D66="",E66="")),"Mangler maskin eller arbeid",IF(AND(OR(C66="LMS",C66="Mod"),D66&lt;&gt;""),IF(IFERROR(INDEX(MaskinStatus,MATCH(D66,Maskiner,0)),"")="I dokk","","Maskinen er ikke i dokk"),""))))))</f>
        <v/>
      </c>
      <c r="L66" s="2">
        <f>IF(B66="","",IFERROR(INT((MATCH(B66,Teknikere,0)-1)/18)+1,""))</f>
        <v/>
      </c>
      <c r="M66" s="2">
        <f>IF(OR(A66="",B66=""),"",B66&amp;"|"&amp;A66)</f>
        <v/>
      </c>
      <c r="N66" s="2">
        <f>IF(M66="","",SUMIFS(TF_Timer,TF_Nokkel,M66,TF_Akt,C66))</f>
        <v/>
      </c>
      <c r="O66" s="2">
        <f>IF(M66="","",IF(AND(N66=_xlfn.MAXIFS(TF_AktSum,TF_Nokkel,M66),COUNTIFS(M$3:M65,M66,N$3:N65,N66)=0),M66,""))</f>
        <v/>
      </c>
    </row>
    <row r="67">
      <c r="A67" s="34" t="n"/>
      <c r="B67" s="35" t="n"/>
      <c r="C67" s="35" t="n"/>
      <c r="D67" s="35" t="n"/>
      <c r="E67" s="35" t="n"/>
      <c r="F67" s="36" t="n"/>
      <c r="G67" s="35" t="n"/>
      <c r="H67" s="30">
        <f>IF(L67="","",INDEX(SkiftNavn,L67))</f>
        <v/>
      </c>
      <c r="I67" s="30">
        <f>IF(OR(A67="",L67=""),"",IF(MOD(A67-INDEX(SkiftStart,L67),Syklus)&lt;DagK,"Kveld",IF(MOD(A67-INDEX(SkiftStart,L67),Syklus)&lt;DagK+DagH,"Helg",IF(MOD(A67-INDEX(SkiftStart,L67),Syklus)&lt;DagK+DagH+DagD,"Dag","Fri"))))</f>
        <v/>
      </c>
      <c r="J67" s="30">
        <f>IF(I67="Fri","Ja","")</f>
        <v/>
      </c>
      <c r="K67" s="30">
        <f>IF(B67="","",IF(L67="","Ukjent tekniker",IF(ISNA(MATCH(C67,Aktiviteter,0)),"Ukjent aktivitet",IF(AND(INDEX(AktRolle,MATCH(C67,Aktiviteter,0))&amp;""&lt;&gt;"",ISERROR(SEARCH(INDEX(AktRolle,MATCH(C67,Aktiviteter,0))&amp;"",INDEX(TekRoller,MATCH(B67,Teknikere,0))))),"Mangler rollen "&amp;INDEX(AktRolle,MATCH(C67,Aktiviteter,0))&amp;"",IF(AND(C67="LMS",F67&gt;0,OR(D67="",E67="")),"Mangler maskin eller arbeid",IF(AND(OR(C67="LMS",C67="Mod"),D67&lt;&gt;""),IF(IFERROR(INDEX(MaskinStatus,MATCH(D67,Maskiner,0)),"")="I dokk","","Maskinen er ikke i dokk"),""))))))</f>
        <v/>
      </c>
      <c r="L67" s="2">
        <f>IF(B67="","",IFERROR(INT((MATCH(B67,Teknikere,0)-1)/18)+1,""))</f>
        <v/>
      </c>
      <c r="M67" s="2">
        <f>IF(OR(A67="",B67=""),"",B67&amp;"|"&amp;A67)</f>
        <v/>
      </c>
      <c r="N67" s="2">
        <f>IF(M67="","",SUMIFS(TF_Timer,TF_Nokkel,M67,TF_Akt,C67))</f>
        <v/>
      </c>
      <c r="O67" s="2">
        <f>IF(M67="","",IF(AND(N67=_xlfn.MAXIFS(TF_AktSum,TF_Nokkel,M67),COUNTIFS(M$3:M66,M67,N$3:N66,N67)=0),M67,""))</f>
        <v/>
      </c>
    </row>
    <row r="68">
      <c r="A68" s="34" t="n"/>
      <c r="B68" s="35" t="n"/>
      <c r="C68" s="35" t="n"/>
      <c r="D68" s="35" t="n"/>
      <c r="E68" s="35" t="n"/>
      <c r="F68" s="36" t="n"/>
      <c r="G68" s="35" t="n"/>
      <c r="H68" s="30">
        <f>IF(L68="","",INDEX(SkiftNavn,L68))</f>
        <v/>
      </c>
      <c r="I68" s="30">
        <f>IF(OR(A68="",L68=""),"",IF(MOD(A68-INDEX(SkiftStart,L68),Syklus)&lt;DagK,"Kveld",IF(MOD(A68-INDEX(SkiftStart,L68),Syklus)&lt;DagK+DagH,"Helg",IF(MOD(A68-INDEX(SkiftStart,L68),Syklus)&lt;DagK+DagH+DagD,"Dag","Fri"))))</f>
        <v/>
      </c>
      <c r="J68" s="30">
        <f>IF(I68="Fri","Ja","")</f>
        <v/>
      </c>
      <c r="K68" s="30">
        <f>IF(B68="","",IF(L68="","Ukjent tekniker",IF(ISNA(MATCH(C68,Aktiviteter,0)),"Ukjent aktivitet",IF(AND(INDEX(AktRolle,MATCH(C68,Aktiviteter,0))&amp;""&lt;&gt;"",ISERROR(SEARCH(INDEX(AktRolle,MATCH(C68,Aktiviteter,0))&amp;"",INDEX(TekRoller,MATCH(B68,Teknikere,0))))),"Mangler rollen "&amp;INDEX(AktRolle,MATCH(C68,Aktiviteter,0))&amp;"",IF(AND(C68="LMS",F68&gt;0,OR(D68="",E68="")),"Mangler maskin eller arbeid",IF(AND(OR(C68="LMS",C68="Mod"),D68&lt;&gt;""),IF(IFERROR(INDEX(MaskinStatus,MATCH(D68,Maskiner,0)),"")="I dokk","","Maskinen er ikke i dokk"),""))))))</f>
        <v/>
      </c>
      <c r="L68" s="2">
        <f>IF(B68="","",IFERROR(INT((MATCH(B68,Teknikere,0)-1)/18)+1,""))</f>
        <v/>
      </c>
      <c r="M68" s="2">
        <f>IF(OR(A68="",B68=""),"",B68&amp;"|"&amp;A68)</f>
        <v/>
      </c>
      <c r="N68" s="2">
        <f>IF(M68="","",SUMIFS(TF_Timer,TF_Nokkel,M68,TF_Akt,C68))</f>
        <v/>
      </c>
      <c r="O68" s="2">
        <f>IF(M68="","",IF(AND(N68=_xlfn.MAXIFS(TF_AktSum,TF_Nokkel,M68),COUNTIFS(M$3:M67,M68,N$3:N67,N68)=0),M68,""))</f>
        <v/>
      </c>
    </row>
    <row r="69">
      <c r="A69" s="34" t="n"/>
      <c r="B69" s="35" t="n"/>
      <c r="C69" s="35" t="n"/>
      <c r="D69" s="35" t="n"/>
      <c r="E69" s="35" t="n"/>
      <c r="F69" s="36" t="n"/>
      <c r="G69" s="35" t="n"/>
      <c r="H69" s="30">
        <f>IF(L69="","",INDEX(SkiftNavn,L69))</f>
        <v/>
      </c>
      <c r="I69" s="30">
        <f>IF(OR(A69="",L69=""),"",IF(MOD(A69-INDEX(SkiftStart,L69),Syklus)&lt;DagK,"Kveld",IF(MOD(A69-INDEX(SkiftStart,L69),Syklus)&lt;DagK+DagH,"Helg",IF(MOD(A69-INDEX(SkiftStart,L69),Syklus)&lt;DagK+DagH+DagD,"Dag","Fri"))))</f>
        <v/>
      </c>
      <c r="J69" s="30">
        <f>IF(I69="Fri","Ja","")</f>
        <v/>
      </c>
      <c r="K69" s="30">
        <f>IF(B69="","",IF(L69="","Ukjent tekniker",IF(ISNA(MATCH(C69,Aktiviteter,0)),"Ukjent aktivitet",IF(AND(INDEX(AktRolle,MATCH(C69,Aktiviteter,0))&amp;""&lt;&gt;"",ISERROR(SEARCH(INDEX(AktRolle,MATCH(C69,Aktiviteter,0))&amp;"",INDEX(TekRoller,MATCH(B69,Teknikere,0))))),"Mangler rollen "&amp;INDEX(AktRolle,MATCH(C69,Aktiviteter,0))&amp;"",IF(AND(C69="LMS",F69&gt;0,OR(D69="",E69="")),"Mangler maskin eller arbeid",IF(AND(OR(C69="LMS",C69="Mod"),D69&lt;&gt;""),IF(IFERROR(INDEX(MaskinStatus,MATCH(D69,Maskiner,0)),"")="I dokk","","Maskinen er ikke i dokk"),""))))))</f>
        <v/>
      </c>
      <c r="L69" s="2">
        <f>IF(B69="","",IFERROR(INT((MATCH(B69,Teknikere,0)-1)/18)+1,""))</f>
        <v/>
      </c>
      <c r="M69" s="2">
        <f>IF(OR(A69="",B69=""),"",B69&amp;"|"&amp;A69)</f>
        <v/>
      </c>
      <c r="N69" s="2">
        <f>IF(M69="","",SUMIFS(TF_Timer,TF_Nokkel,M69,TF_Akt,C69))</f>
        <v/>
      </c>
      <c r="O69" s="2">
        <f>IF(M69="","",IF(AND(N69=_xlfn.MAXIFS(TF_AktSum,TF_Nokkel,M69),COUNTIFS(M$3:M68,M69,N$3:N68,N69)=0),M69,""))</f>
        <v/>
      </c>
    </row>
    <row r="70">
      <c r="A70" s="34" t="n"/>
      <c r="B70" s="35" t="n"/>
      <c r="C70" s="35" t="n"/>
      <c r="D70" s="35" t="n"/>
      <c r="E70" s="35" t="n"/>
      <c r="F70" s="36" t="n"/>
      <c r="G70" s="35" t="n"/>
      <c r="H70" s="30">
        <f>IF(L70="","",INDEX(SkiftNavn,L70))</f>
        <v/>
      </c>
      <c r="I70" s="30">
        <f>IF(OR(A70="",L70=""),"",IF(MOD(A70-INDEX(SkiftStart,L70),Syklus)&lt;DagK,"Kveld",IF(MOD(A70-INDEX(SkiftStart,L70),Syklus)&lt;DagK+DagH,"Helg",IF(MOD(A70-INDEX(SkiftStart,L70),Syklus)&lt;DagK+DagH+DagD,"Dag","Fri"))))</f>
        <v/>
      </c>
      <c r="J70" s="30">
        <f>IF(I70="Fri","Ja","")</f>
        <v/>
      </c>
      <c r="K70" s="30">
        <f>IF(B70="","",IF(L70="","Ukjent tekniker",IF(ISNA(MATCH(C70,Aktiviteter,0)),"Ukjent aktivitet",IF(AND(INDEX(AktRolle,MATCH(C70,Aktiviteter,0))&amp;""&lt;&gt;"",ISERROR(SEARCH(INDEX(AktRolle,MATCH(C70,Aktiviteter,0))&amp;"",INDEX(TekRoller,MATCH(B70,Teknikere,0))))),"Mangler rollen "&amp;INDEX(AktRolle,MATCH(C70,Aktiviteter,0))&amp;"",IF(AND(C70="LMS",F70&gt;0,OR(D70="",E70="")),"Mangler maskin eller arbeid",IF(AND(OR(C70="LMS",C70="Mod"),D70&lt;&gt;""),IF(IFERROR(INDEX(MaskinStatus,MATCH(D70,Maskiner,0)),"")="I dokk","","Maskinen er ikke i dokk"),""))))))</f>
        <v/>
      </c>
      <c r="L70" s="2">
        <f>IF(B70="","",IFERROR(INT((MATCH(B70,Teknikere,0)-1)/18)+1,""))</f>
        <v/>
      </c>
      <c r="M70" s="2">
        <f>IF(OR(A70="",B70=""),"",B70&amp;"|"&amp;A70)</f>
        <v/>
      </c>
      <c r="N70" s="2">
        <f>IF(M70="","",SUMIFS(TF_Timer,TF_Nokkel,M70,TF_Akt,C70))</f>
        <v/>
      </c>
      <c r="O70" s="2">
        <f>IF(M70="","",IF(AND(N70=_xlfn.MAXIFS(TF_AktSum,TF_Nokkel,M70),COUNTIFS(M$3:M69,M70,N$3:N69,N70)=0),M70,""))</f>
        <v/>
      </c>
    </row>
    <row r="71">
      <c r="A71" s="34" t="n"/>
      <c r="B71" s="35" t="n"/>
      <c r="C71" s="35" t="n"/>
      <c r="D71" s="35" t="n"/>
      <c r="E71" s="35" t="n"/>
      <c r="F71" s="36" t="n"/>
      <c r="G71" s="35" t="n"/>
      <c r="H71" s="30">
        <f>IF(L71="","",INDEX(SkiftNavn,L71))</f>
        <v/>
      </c>
      <c r="I71" s="30">
        <f>IF(OR(A71="",L71=""),"",IF(MOD(A71-INDEX(SkiftStart,L71),Syklus)&lt;DagK,"Kveld",IF(MOD(A71-INDEX(SkiftStart,L71),Syklus)&lt;DagK+DagH,"Helg",IF(MOD(A71-INDEX(SkiftStart,L71),Syklus)&lt;DagK+DagH+DagD,"Dag","Fri"))))</f>
        <v/>
      </c>
      <c r="J71" s="30">
        <f>IF(I71="Fri","Ja","")</f>
        <v/>
      </c>
      <c r="K71" s="30">
        <f>IF(B71="","",IF(L71="","Ukjent tekniker",IF(ISNA(MATCH(C71,Aktiviteter,0)),"Ukjent aktivitet",IF(AND(INDEX(AktRolle,MATCH(C71,Aktiviteter,0))&amp;""&lt;&gt;"",ISERROR(SEARCH(INDEX(AktRolle,MATCH(C71,Aktiviteter,0))&amp;"",INDEX(TekRoller,MATCH(B71,Teknikere,0))))),"Mangler rollen "&amp;INDEX(AktRolle,MATCH(C71,Aktiviteter,0))&amp;"",IF(AND(C71="LMS",F71&gt;0,OR(D71="",E71="")),"Mangler maskin eller arbeid",IF(AND(OR(C71="LMS",C71="Mod"),D71&lt;&gt;""),IF(IFERROR(INDEX(MaskinStatus,MATCH(D71,Maskiner,0)),"")="I dokk","","Maskinen er ikke i dokk"),""))))))</f>
        <v/>
      </c>
      <c r="L71" s="2">
        <f>IF(B71="","",IFERROR(INT((MATCH(B71,Teknikere,0)-1)/18)+1,""))</f>
        <v/>
      </c>
      <c r="M71" s="2">
        <f>IF(OR(A71="",B71=""),"",B71&amp;"|"&amp;A71)</f>
        <v/>
      </c>
      <c r="N71" s="2">
        <f>IF(M71="","",SUMIFS(TF_Timer,TF_Nokkel,M71,TF_Akt,C71))</f>
        <v/>
      </c>
      <c r="O71" s="2">
        <f>IF(M71="","",IF(AND(N71=_xlfn.MAXIFS(TF_AktSum,TF_Nokkel,M71),COUNTIFS(M$3:M70,M71,N$3:N70,N71)=0),M71,""))</f>
        <v/>
      </c>
    </row>
    <row r="72">
      <c r="A72" s="34" t="n"/>
      <c r="B72" s="35" t="n"/>
      <c r="C72" s="35" t="n"/>
      <c r="D72" s="35" t="n"/>
      <c r="E72" s="35" t="n"/>
      <c r="F72" s="36" t="n"/>
      <c r="G72" s="35" t="n"/>
      <c r="H72" s="30">
        <f>IF(L72="","",INDEX(SkiftNavn,L72))</f>
        <v/>
      </c>
      <c r="I72" s="30">
        <f>IF(OR(A72="",L72=""),"",IF(MOD(A72-INDEX(SkiftStart,L72),Syklus)&lt;DagK,"Kveld",IF(MOD(A72-INDEX(SkiftStart,L72),Syklus)&lt;DagK+DagH,"Helg",IF(MOD(A72-INDEX(SkiftStart,L72),Syklus)&lt;DagK+DagH+DagD,"Dag","Fri"))))</f>
        <v/>
      </c>
      <c r="J72" s="30">
        <f>IF(I72="Fri","Ja","")</f>
        <v/>
      </c>
      <c r="K72" s="30">
        <f>IF(B72="","",IF(L72="","Ukjent tekniker",IF(ISNA(MATCH(C72,Aktiviteter,0)),"Ukjent aktivitet",IF(AND(INDEX(AktRolle,MATCH(C72,Aktiviteter,0))&amp;""&lt;&gt;"",ISERROR(SEARCH(INDEX(AktRolle,MATCH(C72,Aktiviteter,0))&amp;"",INDEX(TekRoller,MATCH(B72,Teknikere,0))))),"Mangler rollen "&amp;INDEX(AktRolle,MATCH(C72,Aktiviteter,0))&amp;"",IF(AND(C72="LMS",F72&gt;0,OR(D72="",E72="")),"Mangler maskin eller arbeid",IF(AND(OR(C72="LMS",C72="Mod"),D72&lt;&gt;""),IF(IFERROR(INDEX(MaskinStatus,MATCH(D72,Maskiner,0)),"")="I dokk","","Maskinen er ikke i dokk"),""))))))</f>
        <v/>
      </c>
      <c r="L72" s="2">
        <f>IF(B72="","",IFERROR(INT((MATCH(B72,Teknikere,0)-1)/18)+1,""))</f>
        <v/>
      </c>
      <c r="M72" s="2">
        <f>IF(OR(A72="",B72=""),"",B72&amp;"|"&amp;A72)</f>
        <v/>
      </c>
      <c r="N72" s="2">
        <f>IF(M72="","",SUMIFS(TF_Timer,TF_Nokkel,M72,TF_Akt,C72))</f>
        <v/>
      </c>
      <c r="O72" s="2">
        <f>IF(M72="","",IF(AND(N72=_xlfn.MAXIFS(TF_AktSum,TF_Nokkel,M72),COUNTIFS(M$3:M71,M72,N$3:N71,N72)=0),M72,""))</f>
        <v/>
      </c>
    </row>
    <row r="73">
      <c r="A73" s="34" t="n"/>
      <c r="B73" s="35" t="n"/>
      <c r="C73" s="35" t="n"/>
      <c r="D73" s="35" t="n"/>
      <c r="E73" s="35" t="n"/>
      <c r="F73" s="36" t="n"/>
      <c r="G73" s="35" t="n"/>
      <c r="H73" s="30">
        <f>IF(L73="","",INDEX(SkiftNavn,L73))</f>
        <v/>
      </c>
      <c r="I73" s="30">
        <f>IF(OR(A73="",L73=""),"",IF(MOD(A73-INDEX(SkiftStart,L73),Syklus)&lt;DagK,"Kveld",IF(MOD(A73-INDEX(SkiftStart,L73),Syklus)&lt;DagK+DagH,"Helg",IF(MOD(A73-INDEX(SkiftStart,L73),Syklus)&lt;DagK+DagH+DagD,"Dag","Fri"))))</f>
        <v/>
      </c>
      <c r="J73" s="30">
        <f>IF(I73="Fri","Ja","")</f>
        <v/>
      </c>
      <c r="K73" s="30">
        <f>IF(B73="","",IF(L73="","Ukjent tekniker",IF(ISNA(MATCH(C73,Aktiviteter,0)),"Ukjent aktivitet",IF(AND(INDEX(AktRolle,MATCH(C73,Aktiviteter,0))&amp;""&lt;&gt;"",ISERROR(SEARCH(INDEX(AktRolle,MATCH(C73,Aktiviteter,0))&amp;"",INDEX(TekRoller,MATCH(B73,Teknikere,0))))),"Mangler rollen "&amp;INDEX(AktRolle,MATCH(C73,Aktiviteter,0))&amp;"",IF(AND(C73="LMS",F73&gt;0,OR(D73="",E73="")),"Mangler maskin eller arbeid",IF(AND(OR(C73="LMS",C73="Mod"),D73&lt;&gt;""),IF(IFERROR(INDEX(MaskinStatus,MATCH(D73,Maskiner,0)),"")="I dokk","","Maskinen er ikke i dokk"),""))))))</f>
        <v/>
      </c>
      <c r="L73" s="2">
        <f>IF(B73="","",IFERROR(INT((MATCH(B73,Teknikere,0)-1)/18)+1,""))</f>
        <v/>
      </c>
      <c r="M73" s="2">
        <f>IF(OR(A73="",B73=""),"",B73&amp;"|"&amp;A73)</f>
        <v/>
      </c>
      <c r="N73" s="2">
        <f>IF(M73="","",SUMIFS(TF_Timer,TF_Nokkel,M73,TF_Akt,C73))</f>
        <v/>
      </c>
      <c r="O73" s="2">
        <f>IF(M73="","",IF(AND(N73=_xlfn.MAXIFS(TF_AktSum,TF_Nokkel,M73),COUNTIFS(M$3:M72,M73,N$3:N72,N73)=0),M73,""))</f>
        <v/>
      </c>
    </row>
    <row r="74">
      <c r="A74" s="34" t="n"/>
      <c r="B74" s="35" t="n"/>
      <c r="C74" s="35" t="n"/>
      <c r="D74" s="35" t="n"/>
      <c r="E74" s="35" t="n"/>
      <c r="F74" s="36" t="n"/>
      <c r="G74" s="35" t="n"/>
      <c r="H74" s="30">
        <f>IF(L74="","",INDEX(SkiftNavn,L74))</f>
        <v/>
      </c>
      <c r="I74" s="30">
        <f>IF(OR(A74="",L74=""),"",IF(MOD(A74-INDEX(SkiftStart,L74),Syklus)&lt;DagK,"Kveld",IF(MOD(A74-INDEX(SkiftStart,L74),Syklus)&lt;DagK+DagH,"Helg",IF(MOD(A74-INDEX(SkiftStart,L74),Syklus)&lt;DagK+DagH+DagD,"Dag","Fri"))))</f>
        <v/>
      </c>
      <c r="J74" s="30">
        <f>IF(I74="Fri","Ja","")</f>
        <v/>
      </c>
      <c r="K74" s="30">
        <f>IF(B74="","",IF(L74="","Ukjent tekniker",IF(ISNA(MATCH(C74,Aktiviteter,0)),"Ukjent aktivitet",IF(AND(INDEX(AktRolle,MATCH(C74,Aktiviteter,0))&amp;""&lt;&gt;"",ISERROR(SEARCH(INDEX(AktRolle,MATCH(C74,Aktiviteter,0))&amp;"",INDEX(TekRoller,MATCH(B74,Teknikere,0))))),"Mangler rollen "&amp;INDEX(AktRolle,MATCH(C74,Aktiviteter,0))&amp;"",IF(AND(C74="LMS",F74&gt;0,OR(D74="",E74="")),"Mangler maskin eller arbeid",IF(AND(OR(C74="LMS",C74="Mod"),D74&lt;&gt;""),IF(IFERROR(INDEX(MaskinStatus,MATCH(D74,Maskiner,0)),"")="I dokk","","Maskinen er ikke i dokk"),""))))))</f>
        <v/>
      </c>
      <c r="L74" s="2">
        <f>IF(B74="","",IFERROR(INT((MATCH(B74,Teknikere,0)-1)/18)+1,""))</f>
        <v/>
      </c>
      <c r="M74" s="2">
        <f>IF(OR(A74="",B74=""),"",B74&amp;"|"&amp;A74)</f>
        <v/>
      </c>
      <c r="N74" s="2">
        <f>IF(M74="","",SUMIFS(TF_Timer,TF_Nokkel,M74,TF_Akt,C74))</f>
        <v/>
      </c>
      <c r="O74" s="2">
        <f>IF(M74="","",IF(AND(N74=_xlfn.MAXIFS(TF_AktSum,TF_Nokkel,M74),COUNTIFS(M$3:M73,M74,N$3:N73,N74)=0),M74,""))</f>
        <v/>
      </c>
    </row>
    <row r="75">
      <c r="A75" s="34" t="n"/>
      <c r="B75" s="35" t="n"/>
      <c r="C75" s="35" t="n"/>
      <c r="D75" s="35" t="n"/>
      <c r="E75" s="35" t="n"/>
      <c r="F75" s="36" t="n"/>
      <c r="G75" s="35" t="n"/>
      <c r="H75" s="30">
        <f>IF(L75="","",INDEX(SkiftNavn,L75))</f>
        <v/>
      </c>
      <c r="I75" s="30">
        <f>IF(OR(A75="",L75=""),"",IF(MOD(A75-INDEX(SkiftStart,L75),Syklus)&lt;DagK,"Kveld",IF(MOD(A75-INDEX(SkiftStart,L75),Syklus)&lt;DagK+DagH,"Helg",IF(MOD(A75-INDEX(SkiftStart,L75),Syklus)&lt;DagK+DagH+DagD,"Dag","Fri"))))</f>
        <v/>
      </c>
      <c r="J75" s="30">
        <f>IF(I75="Fri","Ja","")</f>
        <v/>
      </c>
      <c r="K75" s="30">
        <f>IF(B75="","",IF(L75="","Ukjent tekniker",IF(ISNA(MATCH(C75,Aktiviteter,0)),"Ukjent aktivitet",IF(AND(INDEX(AktRolle,MATCH(C75,Aktiviteter,0))&amp;""&lt;&gt;"",ISERROR(SEARCH(INDEX(AktRolle,MATCH(C75,Aktiviteter,0))&amp;"",INDEX(TekRoller,MATCH(B75,Teknikere,0))))),"Mangler rollen "&amp;INDEX(AktRolle,MATCH(C75,Aktiviteter,0))&amp;"",IF(AND(C75="LMS",F75&gt;0,OR(D75="",E75="")),"Mangler maskin eller arbeid",IF(AND(OR(C75="LMS",C75="Mod"),D75&lt;&gt;""),IF(IFERROR(INDEX(MaskinStatus,MATCH(D75,Maskiner,0)),"")="I dokk","","Maskinen er ikke i dokk"),""))))))</f>
        <v/>
      </c>
      <c r="L75" s="2">
        <f>IF(B75="","",IFERROR(INT((MATCH(B75,Teknikere,0)-1)/18)+1,""))</f>
        <v/>
      </c>
      <c r="M75" s="2">
        <f>IF(OR(A75="",B75=""),"",B75&amp;"|"&amp;A75)</f>
        <v/>
      </c>
      <c r="N75" s="2">
        <f>IF(M75="","",SUMIFS(TF_Timer,TF_Nokkel,M75,TF_Akt,C75))</f>
        <v/>
      </c>
      <c r="O75" s="2">
        <f>IF(M75="","",IF(AND(N75=_xlfn.MAXIFS(TF_AktSum,TF_Nokkel,M75),COUNTIFS(M$3:M74,M75,N$3:N74,N75)=0),M75,""))</f>
        <v/>
      </c>
    </row>
    <row r="76">
      <c r="A76" s="34" t="n"/>
      <c r="B76" s="35" t="n"/>
      <c r="C76" s="35" t="n"/>
      <c r="D76" s="35" t="n"/>
      <c r="E76" s="35" t="n"/>
      <c r="F76" s="36" t="n"/>
      <c r="G76" s="35" t="n"/>
      <c r="H76" s="30">
        <f>IF(L76="","",INDEX(SkiftNavn,L76))</f>
        <v/>
      </c>
      <c r="I76" s="30">
        <f>IF(OR(A76="",L76=""),"",IF(MOD(A76-INDEX(SkiftStart,L76),Syklus)&lt;DagK,"Kveld",IF(MOD(A76-INDEX(SkiftStart,L76),Syklus)&lt;DagK+DagH,"Helg",IF(MOD(A76-INDEX(SkiftStart,L76),Syklus)&lt;DagK+DagH+DagD,"Dag","Fri"))))</f>
        <v/>
      </c>
      <c r="J76" s="30">
        <f>IF(I76="Fri","Ja","")</f>
        <v/>
      </c>
      <c r="K76" s="30">
        <f>IF(B76="","",IF(L76="","Ukjent tekniker",IF(ISNA(MATCH(C76,Aktiviteter,0)),"Ukjent aktivitet",IF(AND(INDEX(AktRolle,MATCH(C76,Aktiviteter,0))&amp;""&lt;&gt;"",ISERROR(SEARCH(INDEX(AktRolle,MATCH(C76,Aktiviteter,0))&amp;"",INDEX(TekRoller,MATCH(B76,Teknikere,0))))),"Mangler rollen "&amp;INDEX(AktRolle,MATCH(C76,Aktiviteter,0))&amp;"",IF(AND(C76="LMS",F76&gt;0,OR(D76="",E76="")),"Mangler maskin eller arbeid",IF(AND(OR(C76="LMS",C76="Mod"),D76&lt;&gt;""),IF(IFERROR(INDEX(MaskinStatus,MATCH(D76,Maskiner,0)),"")="I dokk","","Maskinen er ikke i dokk"),""))))))</f>
        <v/>
      </c>
      <c r="L76" s="2">
        <f>IF(B76="","",IFERROR(INT((MATCH(B76,Teknikere,0)-1)/18)+1,""))</f>
        <v/>
      </c>
      <c r="M76" s="2">
        <f>IF(OR(A76="",B76=""),"",B76&amp;"|"&amp;A76)</f>
        <v/>
      </c>
      <c r="N76" s="2">
        <f>IF(M76="","",SUMIFS(TF_Timer,TF_Nokkel,M76,TF_Akt,C76))</f>
        <v/>
      </c>
      <c r="O76" s="2">
        <f>IF(M76="","",IF(AND(N76=_xlfn.MAXIFS(TF_AktSum,TF_Nokkel,M76),COUNTIFS(M$3:M75,M76,N$3:N75,N76)=0),M76,""))</f>
        <v/>
      </c>
    </row>
    <row r="77">
      <c r="A77" s="34" t="n"/>
      <c r="B77" s="35" t="n"/>
      <c r="C77" s="35" t="n"/>
      <c r="D77" s="35" t="n"/>
      <c r="E77" s="35" t="n"/>
      <c r="F77" s="36" t="n"/>
      <c r="G77" s="35" t="n"/>
      <c r="H77" s="30">
        <f>IF(L77="","",INDEX(SkiftNavn,L77))</f>
        <v/>
      </c>
      <c r="I77" s="30">
        <f>IF(OR(A77="",L77=""),"",IF(MOD(A77-INDEX(SkiftStart,L77),Syklus)&lt;DagK,"Kveld",IF(MOD(A77-INDEX(SkiftStart,L77),Syklus)&lt;DagK+DagH,"Helg",IF(MOD(A77-INDEX(SkiftStart,L77),Syklus)&lt;DagK+DagH+DagD,"Dag","Fri"))))</f>
        <v/>
      </c>
      <c r="J77" s="30">
        <f>IF(I77="Fri","Ja","")</f>
        <v/>
      </c>
      <c r="K77" s="30">
        <f>IF(B77="","",IF(L77="","Ukjent tekniker",IF(ISNA(MATCH(C77,Aktiviteter,0)),"Ukjent aktivitet",IF(AND(INDEX(AktRolle,MATCH(C77,Aktiviteter,0))&amp;""&lt;&gt;"",ISERROR(SEARCH(INDEX(AktRolle,MATCH(C77,Aktiviteter,0))&amp;"",INDEX(TekRoller,MATCH(B77,Teknikere,0))))),"Mangler rollen "&amp;INDEX(AktRolle,MATCH(C77,Aktiviteter,0))&amp;"",IF(AND(C77="LMS",F77&gt;0,OR(D77="",E77="")),"Mangler maskin eller arbeid",IF(AND(OR(C77="LMS",C77="Mod"),D77&lt;&gt;""),IF(IFERROR(INDEX(MaskinStatus,MATCH(D77,Maskiner,0)),"")="I dokk","","Maskinen er ikke i dokk"),""))))))</f>
        <v/>
      </c>
      <c r="L77" s="2">
        <f>IF(B77="","",IFERROR(INT((MATCH(B77,Teknikere,0)-1)/18)+1,""))</f>
        <v/>
      </c>
      <c r="M77" s="2">
        <f>IF(OR(A77="",B77=""),"",B77&amp;"|"&amp;A77)</f>
        <v/>
      </c>
      <c r="N77" s="2">
        <f>IF(M77="","",SUMIFS(TF_Timer,TF_Nokkel,M77,TF_Akt,C77))</f>
        <v/>
      </c>
      <c r="O77" s="2">
        <f>IF(M77="","",IF(AND(N77=_xlfn.MAXIFS(TF_AktSum,TF_Nokkel,M77),COUNTIFS(M$3:M76,M77,N$3:N76,N77)=0),M77,""))</f>
        <v/>
      </c>
    </row>
    <row r="78">
      <c r="A78" s="34" t="n"/>
      <c r="B78" s="35" t="n"/>
      <c r="C78" s="35" t="n"/>
      <c r="D78" s="35" t="n"/>
      <c r="E78" s="35" t="n"/>
      <c r="F78" s="36" t="n"/>
      <c r="G78" s="35" t="n"/>
      <c r="H78" s="30">
        <f>IF(L78="","",INDEX(SkiftNavn,L78))</f>
        <v/>
      </c>
      <c r="I78" s="30">
        <f>IF(OR(A78="",L78=""),"",IF(MOD(A78-INDEX(SkiftStart,L78),Syklus)&lt;DagK,"Kveld",IF(MOD(A78-INDEX(SkiftStart,L78),Syklus)&lt;DagK+DagH,"Helg",IF(MOD(A78-INDEX(SkiftStart,L78),Syklus)&lt;DagK+DagH+DagD,"Dag","Fri"))))</f>
        <v/>
      </c>
      <c r="J78" s="30">
        <f>IF(I78="Fri","Ja","")</f>
        <v/>
      </c>
      <c r="K78" s="30">
        <f>IF(B78="","",IF(L78="","Ukjent tekniker",IF(ISNA(MATCH(C78,Aktiviteter,0)),"Ukjent aktivitet",IF(AND(INDEX(AktRolle,MATCH(C78,Aktiviteter,0))&amp;""&lt;&gt;"",ISERROR(SEARCH(INDEX(AktRolle,MATCH(C78,Aktiviteter,0))&amp;"",INDEX(TekRoller,MATCH(B78,Teknikere,0))))),"Mangler rollen "&amp;INDEX(AktRolle,MATCH(C78,Aktiviteter,0))&amp;"",IF(AND(C78="LMS",F78&gt;0,OR(D78="",E78="")),"Mangler maskin eller arbeid",IF(AND(OR(C78="LMS",C78="Mod"),D78&lt;&gt;""),IF(IFERROR(INDEX(MaskinStatus,MATCH(D78,Maskiner,0)),"")="I dokk","","Maskinen er ikke i dokk"),""))))))</f>
        <v/>
      </c>
      <c r="L78" s="2">
        <f>IF(B78="","",IFERROR(INT((MATCH(B78,Teknikere,0)-1)/18)+1,""))</f>
        <v/>
      </c>
      <c r="M78" s="2">
        <f>IF(OR(A78="",B78=""),"",B78&amp;"|"&amp;A78)</f>
        <v/>
      </c>
      <c r="N78" s="2">
        <f>IF(M78="","",SUMIFS(TF_Timer,TF_Nokkel,M78,TF_Akt,C78))</f>
        <v/>
      </c>
      <c r="O78" s="2">
        <f>IF(M78="","",IF(AND(N78=_xlfn.MAXIFS(TF_AktSum,TF_Nokkel,M78),COUNTIFS(M$3:M77,M78,N$3:N77,N78)=0),M78,""))</f>
        <v/>
      </c>
    </row>
    <row r="79">
      <c r="A79" s="34" t="n"/>
      <c r="B79" s="35" t="n"/>
      <c r="C79" s="35" t="n"/>
      <c r="D79" s="35" t="n"/>
      <c r="E79" s="35" t="n"/>
      <c r="F79" s="36" t="n"/>
      <c r="G79" s="35" t="n"/>
      <c r="H79" s="30">
        <f>IF(L79="","",INDEX(SkiftNavn,L79))</f>
        <v/>
      </c>
      <c r="I79" s="30">
        <f>IF(OR(A79="",L79=""),"",IF(MOD(A79-INDEX(SkiftStart,L79),Syklus)&lt;DagK,"Kveld",IF(MOD(A79-INDEX(SkiftStart,L79),Syklus)&lt;DagK+DagH,"Helg",IF(MOD(A79-INDEX(SkiftStart,L79),Syklus)&lt;DagK+DagH+DagD,"Dag","Fri"))))</f>
        <v/>
      </c>
      <c r="J79" s="30">
        <f>IF(I79="Fri","Ja","")</f>
        <v/>
      </c>
      <c r="K79" s="30">
        <f>IF(B79="","",IF(L79="","Ukjent tekniker",IF(ISNA(MATCH(C79,Aktiviteter,0)),"Ukjent aktivitet",IF(AND(INDEX(AktRolle,MATCH(C79,Aktiviteter,0))&amp;""&lt;&gt;"",ISERROR(SEARCH(INDEX(AktRolle,MATCH(C79,Aktiviteter,0))&amp;"",INDEX(TekRoller,MATCH(B79,Teknikere,0))))),"Mangler rollen "&amp;INDEX(AktRolle,MATCH(C79,Aktiviteter,0))&amp;"",IF(AND(C79="LMS",F79&gt;0,OR(D79="",E79="")),"Mangler maskin eller arbeid",IF(AND(OR(C79="LMS",C79="Mod"),D79&lt;&gt;""),IF(IFERROR(INDEX(MaskinStatus,MATCH(D79,Maskiner,0)),"")="I dokk","","Maskinen er ikke i dokk"),""))))))</f>
        <v/>
      </c>
      <c r="L79" s="2">
        <f>IF(B79="","",IFERROR(INT((MATCH(B79,Teknikere,0)-1)/18)+1,""))</f>
        <v/>
      </c>
      <c r="M79" s="2">
        <f>IF(OR(A79="",B79=""),"",B79&amp;"|"&amp;A79)</f>
        <v/>
      </c>
      <c r="N79" s="2">
        <f>IF(M79="","",SUMIFS(TF_Timer,TF_Nokkel,M79,TF_Akt,C79))</f>
        <v/>
      </c>
      <c r="O79" s="2">
        <f>IF(M79="","",IF(AND(N79=_xlfn.MAXIFS(TF_AktSum,TF_Nokkel,M79),COUNTIFS(M$3:M78,M79,N$3:N78,N79)=0),M79,""))</f>
        <v/>
      </c>
    </row>
    <row r="80">
      <c r="A80" s="34" t="n"/>
      <c r="B80" s="35" t="n"/>
      <c r="C80" s="35" t="n"/>
      <c r="D80" s="35" t="n"/>
      <c r="E80" s="35" t="n"/>
      <c r="F80" s="36" t="n"/>
      <c r="G80" s="35" t="n"/>
      <c r="H80" s="30">
        <f>IF(L80="","",INDEX(SkiftNavn,L80))</f>
        <v/>
      </c>
      <c r="I80" s="30">
        <f>IF(OR(A80="",L80=""),"",IF(MOD(A80-INDEX(SkiftStart,L80),Syklus)&lt;DagK,"Kveld",IF(MOD(A80-INDEX(SkiftStart,L80),Syklus)&lt;DagK+DagH,"Helg",IF(MOD(A80-INDEX(SkiftStart,L80),Syklus)&lt;DagK+DagH+DagD,"Dag","Fri"))))</f>
        <v/>
      </c>
      <c r="J80" s="30">
        <f>IF(I80="Fri","Ja","")</f>
        <v/>
      </c>
      <c r="K80" s="30">
        <f>IF(B80="","",IF(L80="","Ukjent tekniker",IF(ISNA(MATCH(C80,Aktiviteter,0)),"Ukjent aktivitet",IF(AND(INDEX(AktRolle,MATCH(C80,Aktiviteter,0))&amp;""&lt;&gt;"",ISERROR(SEARCH(INDEX(AktRolle,MATCH(C80,Aktiviteter,0))&amp;"",INDEX(TekRoller,MATCH(B80,Teknikere,0))))),"Mangler rollen "&amp;INDEX(AktRolle,MATCH(C80,Aktiviteter,0))&amp;"",IF(AND(C80="LMS",F80&gt;0,OR(D80="",E80="")),"Mangler maskin eller arbeid",IF(AND(OR(C80="LMS",C80="Mod"),D80&lt;&gt;""),IF(IFERROR(INDEX(MaskinStatus,MATCH(D80,Maskiner,0)),"")="I dokk","","Maskinen er ikke i dokk"),""))))))</f>
        <v/>
      </c>
      <c r="L80" s="2">
        <f>IF(B80="","",IFERROR(INT((MATCH(B80,Teknikere,0)-1)/18)+1,""))</f>
        <v/>
      </c>
      <c r="M80" s="2">
        <f>IF(OR(A80="",B80=""),"",B80&amp;"|"&amp;A80)</f>
        <v/>
      </c>
      <c r="N80" s="2">
        <f>IF(M80="","",SUMIFS(TF_Timer,TF_Nokkel,M80,TF_Akt,C80))</f>
        <v/>
      </c>
      <c r="O80" s="2">
        <f>IF(M80="","",IF(AND(N80=_xlfn.MAXIFS(TF_AktSum,TF_Nokkel,M80),COUNTIFS(M$3:M79,M80,N$3:N79,N80)=0),M80,""))</f>
        <v/>
      </c>
    </row>
    <row r="81">
      <c r="A81" s="34" t="n"/>
      <c r="B81" s="35" t="n"/>
      <c r="C81" s="35" t="n"/>
      <c r="D81" s="35" t="n"/>
      <c r="E81" s="35" t="n"/>
      <c r="F81" s="36" t="n"/>
      <c r="G81" s="35" t="n"/>
      <c r="H81" s="30">
        <f>IF(L81="","",INDEX(SkiftNavn,L81))</f>
        <v/>
      </c>
      <c r="I81" s="30">
        <f>IF(OR(A81="",L81=""),"",IF(MOD(A81-INDEX(SkiftStart,L81),Syklus)&lt;DagK,"Kveld",IF(MOD(A81-INDEX(SkiftStart,L81),Syklus)&lt;DagK+DagH,"Helg",IF(MOD(A81-INDEX(SkiftStart,L81),Syklus)&lt;DagK+DagH+DagD,"Dag","Fri"))))</f>
        <v/>
      </c>
      <c r="J81" s="30">
        <f>IF(I81="Fri","Ja","")</f>
        <v/>
      </c>
      <c r="K81" s="30">
        <f>IF(B81="","",IF(L81="","Ukjent tekniker",IF(ISNA(MATCH(C81,Aktiviteter,0)),"Ukjent aktivitet",IF(AND(INDEX(AktRolle,MATCH(C81,Aktiviteter,0))&amp;""&lt;&gt;"",ISERROR(SEARCH(INDEX(AktRolle,MATCH(C81,Aktiviteter,0))&amp;"",INDEX(TekRoller,MATCH(B81,Teknikere,0))))),"Mangler rollen "&amp;INDEX(AktRolle,MATCH(C81,Aktiviteter,0))&amp;"",IF(AND(C81="LMS",F81&gt;0,OR(D81="",E81="")),"Mangler maskin eller arbeid",IF(AND(OR(C81="LMS",C81="Mod"),D81&lt;&gt;""),IF(IFERROR(INDEX(MaskinStatus,MATCH(D81,Maskiner,0)),"")="I dokk","","Maskinen er ikke i dokk"),""))))))</f>
        <v/>
      </c>
      <c r="L81" s="2">
        <f>IF(B81="","",IFERROR(INT((MATCH(B81,Teknikere,0)-1)/18)+1,""))</f>
        <v/>
      </c>
      <c r="M81" s="2">
        <f>IF(OR(A81="",B81=""),"",B81&amp;"|"&amp;A81)</f>
        <v/>
      </c>
      <c r="N81" s="2">
        <f>IF(M81="","",SUMIFS(TF_Timer,TF_Nokkel,M81,TF_Akt,C81))</f>
        <v/>
      </c>
      <c r="O81" s="2">
        <f>IF(M81="","",IF(AND(N81=_xlfn.MAXIFS(TF_AktSum,TF_Nokkel,M81),COUNTIFS(M$3:M80,M81,N$3:N80,N81)=0),M81,""))</f>
        <v/>
      </c>
    </row>
    <row r="82">
      <c r="A82" s="34" t="n"/>
      <c r="B82" s="35" t="n"/>
      <c r="C82" s="35" t="n"/>
      <c r="D82" s="35" t="n"/>
      <c r="E82" s="35" t="n"/>
      <c r="F82" s="36" t="n"/>
      <c r="G82" s="35" t="n"/>
      <c r="H82" s="30">
        <f>IF(L82="","",INDEX(SkiftNavn,L82))</f>
        <v/>
      </c>
      <c r="I82" s="30">
        <f>IF(OR(A82="",L82=""),"",IF(MOD(A82-INDEX(SkiftStart,L82),Syklus)&lt;DagK,"Kveld",IF(MOD(A82-INDEX(SkiftStart,L82),Syklus)&lt;DagK+DagH,"Helg",IF(MOD(A82-INDEX(SkiftStart,L82),Syklus)&lt;DagK+DagH+DagD,"Dag","Fri"))))</f>
        <v/>
      </c>
      <c r="J82" s="30">
        <f>IF(I82="Fri","Ja","")</f>
        <v/>
      </c>
      <c r="K82" s="30">
        <f>IF(B82="","",IF(L82="","Ukjent tekniker",IF(ISNA(MATCH(C82,Aktiviteter,0)),"Ukjent aktivitet",IF(AND(INDEX(AktRolle,MATCH(C82,Aktiviteter,0))&amp;""&lt;&gt;"",ISERROR(SEARCH(INDEX(AktRolle,MATCH(C82,Aktiviteter,0))&amp;"",INDEX(TekRoller,MATCH(B82,Teknikere,0))))),"Mangler rollen "&amp;INDEX(AktRolle,MATCH(C82,Aktiviteter,0))&amp;"",IF(AND(C82="LMS",F82&gt;0,OR(D82="",E82="")),"Mangler maskin eller arbeid",IF(AND(OR(C82="LMS",C82="Mod"),D82&lt;&gt;""),IF(IFERROR(INDEX(MaskinStatus,MATCH(D82,Maskiner,0)),"")="I dokk","","Maskinen er ikke i dokk"),""))))))</f>
        <v/>
      </c>
      <c r="L82" s="2">
        <f>IF(B82="","",IFERROR(INT((MATCH(B82,Teknikere,0)-1)/18)+1,""))</f>
        <v/>
      </c>
      <c r="M82" s="2">
        <f>IF(OR(A82="",B82=""),"",B82&amp;"|"&amp;A82)</f>
        <v/>
      </c>
      <c r="N82" s="2">
        <f>IF(M82="","",SUMIFS(TF_Timer,TF_Nokkel,M82,TF_Akt,C82))</f>
        <v/>
      </c>
      <c r="O82" s="2">
        <f>IF(M82="","",IF(AND(N82=_xlfn.MAXIFS(TF_AktSum,TF_Nokkel,M82),COUNTIFS(M$3:M81,M82,N$3:N81,N82)=0),M82,""))</f>
        <v/>
      </c>
    </row>
    <row r="83">
      <c r="A83" s="34" t="n"/>
      <c r="B83" s="35" t="n"/>
      <c r="C83" s="35" t="n"/>
      <c r="D83" s="35" t="n"/>
      <c r="E83" s="35" t="n"/>
      <c r="F83" s="36" t="n"/>
      <c r="G83" s="35" t="n"/>
      <c r="H83" s="30">
        <f>IF(L83="","",INDEX(SkiftNavn,L83))</f>
        <v/>
      </c>
      <c r="I83" s="30">
        <f>IF(OR(A83="",L83=""),"",IF(MOD(A83-INDEX(SkiftStart,L83),Syklus)&lt;DagK,"Kveld",IF(MOD(A83-INDEX(SkiftStart,L83),Syklus)&lt;DagK+DagH,"Helg",IF(MOD(A83-INDEX(SkiftStart,L83),Syklus)&lt;DagK+DagH+DagD,"Dag","Fri"))))</f>
        <v/>
      </c>
      <c r="J83" s="30">
        <f>IF(I83="Fri","Ja","")</f>
        <v/>
      </c>
      <c r="K83" s="30">
        <f>IF(B83="","",IF(L83="","Ukjent tekniker",IF(ISNA(MATCH(C83,Aktiviteter,0)),"Ukjent aktivitet",IF(AND(INDEX(AktRolle,MATCH(C83,Aktiviteter,0))&amp;""&lt;&gt;"",ISERROR(SEARCH(INDEX(AktRolle,MATCH(C83,Aktiviteter,0))&amp;"",INDEX(TekRoller,MATCH(B83,Teknikere,0))))),"Mangler rollen "&amp;INDEX(AktRolle,MATCH(C83,Aktiviteter,0))&amp;"",IF(AND(C83="LMS",F83&gt;0,OR(D83="",E83="")),"Mangler maskin eller arbeid",IF(AND(OR(C83="LMS",C83="Mod"),D83&lt;&gt;""),IF(IFERROR(INDEX(MaskinStatus,MATCH(D83,Maskiner,0)),"")="I dokk","","Maskinen er ikke i dokk"),""))))))</f>
        <v/>
      </c>
      <c r="L83" s="2">
        <f>IF(B83="","",IFERROR(INT((MATCH(B83,Teknikere,0)-1)/18)+1,""))</f>
        <v/>
      </c>
      <c r="M83" s="2">
        <f>IF(OR(A83="",B83=""),"",B83&amp;"|"&amp;A83)</f>
        <v/>
      </c>
      <c r="N83" s="2">
        <f>IF(M83="","",SUMIFS(TF_Timer,TF_Nokkel,M83,TF_Akt,C83))</f>
        <v/>
      </c>
      <c r="O83" s="2">
        <f>IF(M83="","",IF(AND(N83=_xlfn.MAXIFS(TF_AktSum,TF_Nokkel,M83),COUNTIFS(M$3:M82,M83,N$3:N82,N83)=0),M83,""))</f>
        <v/>
      </c>
    </row>
    <row r="84">
      <c r="A84" s="34" t="n"/>
      <c r="B84" s="35" t="n"/>
      <c r="C84" s="35" t="n"/>
      <c r="D84" s="35" t="n"/>
      <c r="E84" s="35" t="n"/>
      <c r="F84" s="36" t="n"/>
      <c r="G84" s="35" t="n"/>
      <c r="H84" s="30">
        <f>IF(L84="","",INDEX(SkiftNavn,L84))</f>
        <v/>
      </c>
      <c r="I84" s="30">
        <f>IF(OR(A84="",L84=""),"",IF(MOD(A84-INDEX(SkiftStart,L84),Syklus)&lt;DagK,"Kveld",IF(MOD(A84-INDEX(SkiftStart,L84),Syklus)&lt;DagK+DagH,"Helg",IF(MOD(A84-INDEX(SkiftStart,L84),Syklus)&lt;DagK+DagH+DagD,"Dag","Fri"))))</f>
        <v/>
      </c>
      <c r="J84" s="30">
        <f>IF(I84="Fri","Ja","")</f>
        <v/>
      </c>
      <c r="K84" s="30">
        <f>IF(B84="","",IF(L84="","Ukjent tekniker",IF(ISNA(MATCH(C84,Aktiviteter,0)),"Ukjent aktivitet",IF(AND(INDEX(AktRolle,MATCH(C84,Aktiviteter,0))&amp;""&lt;&gt;"",ISERROR(SEARCH(INDEX(AktRolle,MATCH(C84,Aktiviteter,0))&amp;"",INDEX(TekRoller,MATCH(B84,Teknikere,0))))),"Mangler rollen "&amp;INDEX(AktRolle,MATCH(C84,Aktiviteter,0))&amp;"",IF(AND(C84="LMS",F84&gt;0,OR(D84="",E84="")),"Mangler maskin eller arbeid",IF(AND(OR(C84="LMS",C84="Mod"),D84&lt;&gt;""),IF(IFERROR(INDEX(MaskinStatus,MATCH(D84,Maskiner,0)),"")="I dokk","","Maskinen er ikke i dokk"),""))))))</f>
        <v/>
      </c>
      <c r="L84" s="2">
        <f>IF(B84="","",IFERROR(INT((MATCH(B84,Teknikere,0)-1)/18)+1,""))</f>
        <v/>
      </c>
      <c r="M84" s="2">
        <f>IF(OR(A84="",B84=""),"",B84&amp;"|"&amp;A84)</f>
        <v/>
      </c>
      <c r="N84" s="2">
        <f>IF(M84="","",SUMIFS(TF_Timer,TF_Nokkel,M84,TF_Akt,C84))</f>
        <v/>
      </c>
      <c r="O84" s="2">
        <f>IF(M84="","",IF(AND(N84=_xlfn.MAXIFS(TF_AktSum,TF_Nokkel,M84),COUNTIFS(M$3:M83,M84,N$3:N83,N84)=0),M84,""))</f>
        <v/>
      </c>
    </row>
    <row r="85">
      <c r="A85" s="34" t="n"/>
      <c r="B85" s="35" t="n"/>
      <c r="C85" s="35" t="n"/>
      <c r="D85" s="35" t="n"/>
      <c r="E85" s="35" t="n"/>
      <c r="F85" s="36" t="n"/>
      <c r="G85" s="35" t="n"/>
      <c r="H85" s="30">
        <f>IF(L85="","",INDEX(SkiftNavn,L85))</f>
        <v/>
      </c>
      <c r="I85" s="30">
        <f>IF(OR(A85="",L85=""),"",IF(MOD(A85-INDEX(SkiftStart,L85),Syklus)&lt;DagK,"Kveld",IF(MOD(A85-INDEX(SkiftStart,L85),Syklus)&lt;DagK+DagH,"Helg",IF(MOD(A85-INDEX(SkiftStart,L85),Syklus)&lt;DagK+DagH+DagD,"Dag","Fri"))))</f>
        <v/>
      </c>
      <c r="J85" s="30">
        <f>IF(I85="Fri","Ja","")</f>
        <v/>
      </c>
      <c r="K85" s="30">
        <f>IF(B85="","",IF(L85="","Ukjent tekniker",IF(ISNA(MATCH(C85,Aktiviteter,0)),"Ukjent aktivitet",IF(AND(INDEX(AktRolle,MATCH(C85,Aktiviteter,0))&amp;""&lt;&gt;"",ISERROR(SEARCH(INDEX(AktRolle,MATCH(C85,Aktiviteter,0))&amp;"",INDEX(TekRoller,MATCH(B85,Teknikere,0))))),"Mangler rollen "&amp;INDEX(AktRolle,MATCH(C85,Aktiviteter,0))&amp;"",IF(AND(C85="LMS",F85&gt;0,OR(D85="",E85="")),"Mangler maskin eller arbeid",IF(AND(OR(C85="LMS",C85="Mod"),D85&lt;&gt;""),IF(IFERROR(INDEX(MaskinStatus,MATCH(D85,Maskiner,0)),"")="I dokk","","Maskinen er ikke i dokk"),""))))))</f>
        <v/>
      </c>
      <c r="L85" s="2">
        <f>IF(B85="","",IFERROR(INT((MATCH(B85,Teknikere,0)-1)/18)+1,""))</f>
        <v/>
      </c>
      <c r="M85" s="2">
        <f>IF(OR(A85="",B85=""),"",B85&amp;"|"&amp;A85)</f>
        <v/>
      </c>
      <c r="N85" s="2">
        <f>IF(M85="","",SUMIFS(TF_Timer,TF_Nokkel,M85,TF_Akt,C85))</f>
        <v/>
      </c>
      <c r="O85" s="2">
        <f>IF(M85="","",IF(AND(N85=_xlfn.MAXIFS(TF_AktSum,TF_Nokkel,M85),COUNTIFS(M$3:M84,M85,N$3:N84,N85)=0),M85,""))</f>
        <v/>
      </c>
    </row>
    <row r="86">
      <c r="A86" s="34" t="n"/>
      <c r="B86" s="35" t="n"/>
      <c r="C86" s="35" t="n"/>
      <c r="D86" s="35" t="n"/>
      <c r="E86" s="35" t="n"/>
      <c r="F86" s="36" t="n"/>
      <c r="G86" s="35" t="n"/>
      <c r="H86" s="30">
        <f>IF(L86="","",INDEX(SkiftNavn,L86))</f>
        <v/>
      </c>
      <c r="I86" s="30">
        <f>IF(OR(A86="",L86=""),"",IF(MOD(A86-INDEX(SkiftStart,L86),Syklus)&lt;DagK,"Kveld",IF(MOD(A86-INDEX(SkiftStart,L86),Syklus)&lt;DagK+DagH,"Helg",IF(MOD(A86-INDEX(SkiftStart,L86),Syklus)&lt;DagK+DagH+DagD,"Dag","Fri"))))</f>
        <v/>
      </c>
      <c r="J86" s="30">
        <f>IF(I86="Fri","Ja","")</f>
        <v/>
      </c>
      <c r="K86" s="30">
        <f>IF(B86="","",IF(L86="","Ukjent tekniker",IF(ISNA(MATCH(C86,Aktiviteter,0)),"Ukjent aktivitet",IF(AND(INDEX(AktRolle,MATCH(C86,Aktiviteter,0))&amp;""&lt;&gt;"",ISERROR(SEARCH(INDEX(AktRolle,MATCH(C86,Aktiviteter,0))&amp;"",INDEX(TekRoller,MATCH(B86,Teknikere,0))))),"Mangler rollen "&amp;INDEX(AktRolle,MATCH(C86,Aktiviteter,0))&amp;"",IF(AND(C86="LMS",F86&gt;0,OR(D86="",E86="")),"Mangler maskin eller arbeid",IF(AND(OR(C86="LMS",C86="Mod"),D86&lt;&gt;""),IF(IFERROR(INDEX(MaskinStatus,MATCH(D86,Maskiner,0)),"")="I dokk","","Maskinen er ikke i dokk"),""))))))</f>
        <v/>
      </c>
      <c r="L86" s="2">
        <f>IF(B86="","",IFERROR(INT((MATCH(B86,Teknikere,0)-1)/18)+1,""))</f>
        <v/>
      </c>
      <c r="M86" s="2">
        <f>IF(OR(A86="",B86=""),"",B86&amp;"|"&amp;A86)</f>
        <v/>
      </c>
      <c r="N86" s="2">
        <f>IF(M86="","",SUMIFS(TF_Timer,TF_Nokkel,M86,TF_Akt,C86))</f>
        <v/>
      </c>
      <c r="O86" s="2">
        <f>IF(M86="","",IF(AND(N86=_xlfn.MAXIFS(TF_AktSum,TF_Nokkel,M86),COUNTIFS(M$3:M85,M86,N$3:N85,N86)=0),M86,""))</f>
        <v/>
      </c>
    </row>
    <row r="87">
      <c r="A87" s="34" t="n"/>
      <c r="B87" s="35" t="n"/>
      <c r="C87" s="35" t="n"/>
      <c r="D87" s="35" t="n"/>
      <c r="E87" s="35" t="n"/>
      <c r="F87" s="36" t="n"/>
      <c r="G87" s="35" t="n"/>
      <c r="H87" s="30">
        <f>IF(L87="","",INDEX(SkiftNavn,L87))</f>
        <v/>
      </c>
      <c r="I87" s="30">
        <f>IF(OR(A87="",L87=""),"",IF(MOD(A87-INDEX(SkiftStart,L87),Syklus)&lt;DagK,"Kveld",IF(MOD(A87-INDEX(SkiftStart,L87),Syklus)&lt;DagK+DagH,"Helg",IF(MOD(A87-INDEX(SkiftStart,L87),Syklus)&lt;DagK+DagH+DagD,"Dag","Fri"))))</f>
        <v/>
      </c>
      <c r="J87" s="30">
        <f>IF(I87="Fri","Ja","")</f>
        <v/>
      </c>
      <c r="K87" s="30">
        <f>IF(B87="","",IF(L87="","Ukjent tekniker",IF(ISNA(MATCH(C87,Aktiviteter,0)),"Ukjent aktivitet",IF(AND(INDEX(AktRolle,MATCH(C87,Aktiviteter,0))&amp;""&lt;&gt;"",ISERROR(SEARCH(INDEX(AktRolle,MATCH(C87,Aktiviteter,0))&amp;"",INDEX(TekRoller,MATCH(B87,Teknikere,0))))),"Mangler rollen "&amp;INDEX(AktRolle,MATCH(C87,Aktiviteter,0))&amp;"",IF(AND(C87="LMS",F87&gt;0,OR(D87="",E87="")),"Mangler maskin eller arbeid",IF(AND(OR(C87="LMS",C87="Mod"),D87&lt;&gt;""),IF(IFERROR(INDEX(MaskinStatus,MATCH(D87,Maskiner,0)),"")="I dokk","","Maskinen er ikke i dokk"),""))))))</f>
        <v/>
      </c>
      <c r="L87" s="2">
        <f>IF(B87="","",IFERROR(INT((MATCH(B87,Teknikere,0)-1)/18)+1,""))</f>
        <v/>
      </c>
      <c r="M87" s="2">
        <f>IF(OR(A87="",B87=""),"",B87&amp;"|"&amp;A87)</f>
        <v/>
      </c>
      <c r="N87" s="2">
        <f>IF(M87="","",SUMIFS(TF_Timer,TF_Nokkel,M87,TF_Akt,C87))</f>
        <v/>
      </c>
      <c r="O87" s="2">
        <f>IF(M87="","",IF(AND(N87=_xlfn.MAXIFS(TF_AktSum,TF_Nokkel,M87),COUNTIFS(M$3:M86,M87,N$3:N86,N87)=0),M87,""))</f>
        <v/>
      </c>
    </row>
    <row r="88">
      <c r="A88" s="34" t="n"/>
      <c r="B88" s="35" t="n"/>
      <c r="C88" s="35" t="n"/>
      <c r="D88" s="35" t="n"/>
      <c r="E88" s="35" t="n"/>
      <c r="F88" s="36" t="n"/>
      <c r="G88" s="35" t="n"/>
      <c r="H88" s="30">
        <f>IF(L88="","",INDEX(SkiftNavn,L88))</f>
        <v/>
      </c>
      <c r="I88" s="30">
        <f>IF(OR(A88="",L88=""),"",IF(MOD(A88-INDEX(SkiftStart,L88),Syklus)&lt;DagK,"Kveld",IF(MOD(A88-INDEX(SkiftStart,L88),Syklus)&lt;DagK+DagH,"Helg",IF(MOD(A88-INDEX(SkiftStart,L88),Syklus)&lt;DagK+DagH+DagD,"Dag","Fri"))))</f>
        <v/>
      </c>
      <c r="J88" s="30">
        <f>IF(I88="Fri","Ja","")</f>
        <v/>
      </c>
      <c r="K88" s="30">
        <f>IF(B88="","",IF(L88="","Ukjent tekniker",IF(ISNA(MATCH(C88,Aktiviteter,0)),"Ukjent aktivitet",IF(AND(INDEX(AktRolle,MATCH(C88,Aktiviteter,0))&amp;""&lt;&gt;"",ISERROR(SEARCH(INDEX(AktRolle,MATCH(C88,Aktiviteter,0))&amp;"",INDEX(TekRoller,MATCH(B88,Teknikere,0))))),"Mangler rollen "&amp;INDEX(AktRolle,MATCH(C88,Aktiviteter,0))&amp;"",IF(AND(C88="LMS",F88&gt;0,OR(D88="",E88="")),"Mangler maskin eller arbeid",IF(AND(OR(C88="LMS",C88="Mod"),D88&lt;&gt;""),IF(IFERROR(INDEX(MaskinStatus,MATCH(D88,Maskiner,0)),"")="I dokk","","Maskinen er ikke i dokk"),""))))))</f>
        <v/>
      </c>
      <c r="L88" s="2">
        <f>IF(B88="","",IFERROR(INT((MATCH(B88,Teknikere,0)-1)/18)+1,""))</f>
        <v/>
      </c>
      <c r="M88" s="2">
        <f>IF(OR(A88="",B88=""),"",B88&amp;"|"&amp;A88)</f>
        <v/>
      </c>
      <c r="N88" s="2">
        <f>IF(M88="","",SUMIFS(TF_Timer,TF_Nokkel,M88,TF_Akt,C88))</f>
        <v/>
      </c>
      <c r="O88" s="2">
        <f>IF(M88="","",IF(AND(N88=_xlfn.MAXIFS(TF_AktSum,TF_Nokkel,M88),COUNTIFS(M$3:M87,M88,N$3:N87,N88)=0),M88,""))</f>
        <v/>
      </c>
    </row>
    <row r="89">
      <c r="A89" s="34" t="n"/>
      <c r="B89" s="35" t="n"/>
      <c r="C89" s="35" t="n"/>
      <c r="D89" s="35" t="n"/>
      <c r="E89" s="35" t="n"/>
      <c r="F89" s="36" t="n"/>
      <c r="G89" s="35" t="n"/>
      <c r="H89" s="30">
        <f>IF(L89="","",INDEX(SkiftNavn,L89))</f>
        <v/>
      </c>
      <c r="I89" s="30">
        <f>IF(OR(A89="",L89=""),"",IF(MOD(A89-INDEX(SkiftStart,L89),Syklus)&lt;DagK,"Kveld",IF(MOD(A89-INDEX(SkiftStart,L89),Syklus)&lt;DagK+DagH,"Helg",IF(MOD(A89-INDEX(SkiftStart,L89),Syklus)&lt;DagK+DagH+DagD,"Dag","Fri"))))</f>
        <v/>
      </c>
      <c r="J89" s="30">
        <f>IF(I89="Fri","Ja","")</f>
        <v/>
      </c>
      <c r="K89" s="30">
        <f>IF(B89="","",IF(L89="","Ukjent tekniker",IF(ISNA(MATCH(C89,Aktiviteter,0)),"Ukjent aktivitet",IF(AND(INDEX(AktRolle,MATCH(C89,Aktiviteter,0))&amp;""&lt;&gt;"",ISERROR(SEARCH(INDEX(AktRolle,MATCH(C89,Aktiviteter,0))&amp;"",INDEX(TekRoller,MATCH(B89,Teknikere,0))))),"Mangler rollen "&amp;INDEX(AktRolle,MATCH(C89,Aktiviteter,0))&amp;"",IF(AND(C89="LMS",F89&gt;0,OR(D89="",E89="")),"Mangler maskin eller arbeid",IF(AND(OR(C89="LMS",C89="Mod"),D89&lt;&gt;""),IF(IFERROR(INDEX(MaskinStatus,MATCH(D89,Maskiner,0)),"")="I dokk","","Maskinen er ikke i dokk"),""))))))</f>
        <v/>
      </c>
      <c r="L89" s="2">
        <f>IF(B89="","",IFERROR(INT((MATCH(B89,Teknikere,0)-1)/18)+1,""))</f>
        <v/>
      </c>
      <c r="M89" s="2">
        <f>IF(OR(A89="",B89=""),"",B89&amp;"|"&amp;A89)</f>
        <v/>
      </c>
      <c r="N89" s="2">
        <f>IF(M89="","",SUMIFS(TF_Timer,TF_Nokkel,M89,TF_Akt,C89))</f>
        <v/>
      </c>
      <c r="O89" s="2">
        <f>IF(M89="","",IF(AND(N89=_xlfn.MAXIFS(TF_AktSum,TF_Nokkel,M89),COUNTIFS(M$3:M88,M89,N$3:N88,N89)=0),M89,""))</f>
        <v/>
      </c>
    </row>
    <row r="90">
      <c r="A90" s="34" t="n"/>
      <c r="B90" s="35" t="n"/>
      <c r="C90" s="35" t="n"/>
      <c r="D90" s="35" t="n"/>
      <c r="E90" s="35" t="n"/>
      <c r="F90" s="36" t="n"/>
      <c r="G90" s="35" t="n"/>
      <c r="H90" s="30">
        <f>IF(L90="","",INDEX(SkiftNavn,L90))</f>
        <v/>
      </c>
      <c r="I90" s="30">
        <f>IF(OR(A90="",L90=""),"",IF(MOD(A90-INDEX(SkiftStart,L90),Syklus)&lt;DagK,"Kveld",IF(MOD(A90-INDEX(SkiftStart,L90),Syklus)&lt;DagK+DagH,"Helg",IF(MOD(A90-INDEX(SkiftStart,L90),Syklus)&lt;DagK+DagH+DagD,"Dag","Fri"))))</f>
        <v/>
      </c>
      <c r="J90" s="30">
        <f>IF(I90="Fri","Ja","")</f>
        <v/>
      </c>
      <c r="K90" s="30">
        <f>IF(B90="","",IF(L90="","Ukjent tekniker",IF(ISNA(MATCH(C90,Aktiviteter,0)),"Ukjent aktivitet",IF(AND(INDEX(AktRolle,MATCH(C90,Aktiviteter,0))&amp;""&lt;&gt;"",ISERROR(SEARCH(INDEX(AktRolle,MATCH(C90,Aktiviteter,0))&amp;"",INDEX(TekRoller,MATCH(B90,Teknikere,0))))),"Mangler rollen "&amp;INDEX(AktRolle,MATCH(C90,Aktiviteter,0))&amp;"",IF(AND(C90="LMS",F90&gt;0,OR(D90="",E90="")),"Mangler maskin eller arbeid",IF(AND(OR(C90="LMS",C90="Mod"),D90&lt;&gt;""),IF(IFERROR(INDEX(MaskinStatus,MATCH(D90,Maskiner,0)),"")="I dokk","","Maskinen er ikke i dokk"),""))))))</f>
        <v/>
      </c>
      <c r="L90" s="2">
        <f>IF(B90="","",IFERROR(INT((MATCH(B90,Teknikere,0)-1)/18)+1,""))</f>
        <v/>
      </c>
      <c r="M90" s="2">
        <f>IF(OR(A90="",B90=""),"",B90&amp;"|"&amp;A90)</f>
        <v/>
      </c>
      <c r="N90" s="2">
        <f>IF(M90="","",SUMIFS(TF_Timer,TF_Nokkel,M90,TF_Akt,C90))</f>
        <v/>
      </c>
      <c r="O90" s="2">
        <f>IF(M90="","",IF(AND(N90=_xlfn.MAXIFS(TF_AktSum,TF_Nokkel,M90),COUNTIFS(M$3:M89,M90,N$3:N89,N90)=0),M90,""))</f>
        <v/>
      </c>
    </row>
    <row r="91">
      <c r="A91" s="34" t="n"/>
      <c r="B91" s="35" t="n"/>
      <c r="C91" s="35" t="n"/>
      <c r="D91" s="35" t="n"/>
      <c r="E91" s="35" t="n"/>
      <c r="F91" s="36" t="n"/>
      <c r="G91" s="35" t="n"/>
      <c r="H91" s="30">
        <f>IF(L91="","",INDEX(SkiftNavn,L91))</f>
        <v/>
      </c>
      <c r="I91" s="30">
        <f>IF(OR(A91="",L91=""),"",IF(MOD(A91-INDEX(SkiftStart,L91),Syklus)&lt;DagK,"Kveld",IF(MOD(A91-INDEX(SkiftStart,L91),Syklus)&lt;DagK+DagH,"Helg",IF(MOD(A91-INDEX(SkiftStart,L91),Syklus)&lt;DagK+DagH+DagD,"Dag","Fri"))))</f>
        <v/>
      </c>
      <c r="J91" s="30">
        <f>IF(I91="Fri","Ja","")</f>
        <v/>
      </c>
      <c r="K91" s="30">
        <f>IF(B91="","",IF(L91="","Ukjent tekniker",IF(ISNA(MATCH(C91,Aktiviteter,0)),"Ukjent aktivitet",IF(AND(INDEX(AktRolle,MATCH(C91,Aktiviteter,0))&amp;""&lt;&gt;"",ISERROR(SEARCH(INDEX(AktRolle,MATCH(C91,Aktiviteter,0))&amp;"",INDEX(TekRoller,MATCH(B91,Teknikere,0))))),"Mangler rollen "&amp;INDEX(AktRolle,MATCH(C91,Aktiviteter,0))&amp;"",IF(AND(C91="LMS",F91&gt;0,OR(D91="",E91="")),"Mangler maskin eller arbeid",IF(AND(OR(C91="LMS",C91="Mod"),D91&lt;&gt;""),IF(IFERROR(INDEX(MaskinStatus,MATCH(D91,Maskiner,0)),"")="I dokk","","Maskinen er ikke i dokk"),""))))))</f>
        <v/>
      </c>
      <c r="L91" s="2">
        <f>IF(B91="","",IFERROR(INT((MATCH(B91,Teknikere,0)-1)/18)+1,""))</f>
        <v/>
      </c>
      <c r="M91" s="2">
        <f>IF(OR(A91="",B91=""),"",B91&amp;"|"&amp;A91)</f>
        <v/>
      </c>
      <c r="N91" s="2">
        <f>IF(M91="","",SUMIFS(TF_Timer,TF_Nokkel,M91,TF_Akt,C91))</f>
        <v/>
      </c>
      <c r="O91" s="2">
        <f>IF(M91="","",IF(AND(N91=_xlfn.MAXIFS(TF_AktSum,TF_Nokkel,M91),COUNTIFS(M$3:M90,M91,N$3:N90,N91)=0),M91,""))</f>
        <v/>
      </c>
    </row>
    <row r="92">
      <c r="A92" s="34" t="n"/>
      <c r="B92" s="35" t="n"/>
      <c r="C92" s="35" t="n"/>
      <c r="D92" s="35" t="n"/>
      <c r="E92" s="35" t="n"/>
      <c r="F92" s="36" t="n"/>
      <c r="G92" s="35" t="n"/>
      <c r="H92" s="30">
        <f>IF(L92="","",INDEX(SkiftNavn,L92))</f>
        <v/>
      </c>
      <c r="I92" s="30">
        <f>IF(OR(A92="",L92=""),"",IF(MOD(A92-INDEX(SkiftStart,L92),Syklus)&lt;DagK,"Kveld",IF(MOD(A92-INDEX(SkiftStart,L92),Syklus)&lt;DagK+DagH,"Helg",IF(MOD(A92-INDEX(SkiftStart,L92),Syklus)&lt;DagK+DagH+DagD,"Dag","Fri"))))</f>
        <v/>
      </c>
      <c r="J92" s="30">
        <f>IF(I92="Fri","Ja","")</f>
        <v/>
      </c>
      <c r="K92" s="30">
        <f>IF(B92="","",IF(L92="","Ukjent tekniker",IF(ISNA(MATCH(C92,Aktiviteter,0)),"Ukjent aktivitet",IF(AND(INDEX(AktRolle,MATCH(C92,Aktiviteter,0))&amp;""&lt;&gt;"",ISERROR(SEARCH(INDEX(AktRolle,MATCH(C92,Aktiviteter,0))&amp;"",INDEX(TekRoller,MATCH(B92,Teknikere,0))))),"Mangler rollen "&amp;INDEX(AktRolle,MATCH(C92,Aktiviteter,0))&amp;"",IF(AND(C92="LMS",F92&gt;0,OR(D92="",E92="")),"Mangler maskin eller arbeid",IF(AND(OR(C92="LMS",C92="Mod"),D92&lt;&gt;""),IF(IFERROR(INDEX(MaskinStatus,MATCH(D92,Maskiner,0)),"")="I dokk","","Maskinen er ikke i dokk"),""))))))</f>
        <v/>
      </c>
      <c r="L92" s="2">
        <f>IF(B92="","",IFERROR(INT((MATCH(B92,Teknikere,0)-1)/18)+1,""))</f>
        <v/>
      </c>
      <c r="M92" s="2">
        <f>IF(OR(A92="",B92=""),"",B92&amp;"|"&amp;A92)</f>
        <v/>
      </c>
      <c r="N92" s="2">
        <f>IF(M92="","",SUMIFS(TF_Timer,TF_Nokkel,M92,TF_Akt,C92))</f>
        <v/>
      </c>
      <c r="O92" s="2">
        <f>IF(M92="","",IF(AND(N92=_xlfn.MAXIFS(TF_AktSum,TF_Nokkel,M92),COUNTIFS(M$3:M91,M92,N$3:N91,N92)=0),M92,""))</f>
        <v/>
      </c>
    </row>
    <row r="93">
      <c r="A93" s="34" t="n"/>
      <c r="B93" s="35" t="n"/>
      <c r="C93" s="35" t="n"/>
      <c r="D93" s="35" t="n"/>
      <c r="E93" s="35" t="n"/>
      <c r="F93" s="36" t="n"/>
      <c r="G93" s="35" t="n"/>
      <c r="H93" s="30">
        <f>IF(L93="","",INDEX(SkiftNavn,L93))</f>
        <v/>
      </c>
      <c r="I93" s="30">
        <f>IF(OR(A93="",L93=""),"",IF(MOD(A93-INDEX(SkiftStart,L93),Syklus)&lt;DagK,"Kveld",IF(MOD(A93-INDEX(SkiftStart,L93),Syklus)&lt;DagK+DagH,"Helg",IF(MOD(A93-INDEX(SkiftStart,L93),Syklus)&lt;DagK+DagH+DagD,"Dag","Fri"))))</f>
        <v/>
      </c>
      <c r="J93" s="30">
        <f>IF(I93="Fri","Ja","")</f>
        <v/>
      </c>
      <c r="K93" s="30">
        <f>IF(B93="","",IF(L93="","Ukjent tekniker",IF(ISNA(MATCH(C93,Aktiviteter,0)),"Ukjent aktivitet",IF(AND(INDEX(AktRolle,MATCH(C93,Aktiviteter,0))&amp;""&lt;&gt;"",ISERROR(SEARCH(INDEX(AktRolle,MATCH(C93,Aktiviteter,0))&amp;"",INDEX(TekRoller,MATCH(B93,Teknikere,0))))),"Mangler rollen "&amp;INDEX(AktRolle,MATCH(C93,Aktiviteter,0))&amp;"",IF(AND(C93="LMS",F93&gt;0,OR(D93="",E93="")),"Mangler maskin eller arbeid",IF(AND(OR(C93="LMS",C93="Mod"),D93&lt;&gt;""),IF(IFERROR(INDEX(MaskinStatus,MATCH(D93,Maskiner,0)),"")="I dokk","","Maskinen er ikke i dokk"),""))))))</f>
        <v/>
      </c>
      <c r="L93" s="2">
        <f>IF(B93="","",IFERROR(INT((MATCH(B93,Teknikere,0)-1)/18)+1,""))</f>
        <v/>
      </c>
      <c r="M93" s="2">
        <f>IF(OR(A93="",B93=""),"",B93&amp;"|"&amp;A93)</f>
        <v/>
      </c>
      <c r="N93" s="2">
        <f>IF(M93="","",SUMIFS(TF_Timer,TF_Nokkel,M93,TF_Akt,C93))</f>
        <v/>
      </c>
      <c r="O93" s="2">
        <f>IF(M93="","",IF(AND(N93=_xlfn.MAXIFS(TF_AktSum,TF_Nokkel,M93),COUNTIFS(M$3:M92,M93,N$3:N92,N93)=0),M93,""))</f>
        <v/>
      </c>
    </row>
    <row r="94">
      <c r="A94" s="34" t="n"/>
      <c r="B94" s="35" t="n"/>
      <c r="C94" s="35" t="n"/>
      <c r="D94" s="35" t="n"/>
      <c r="E94" s="35" t="n"/>
      <c r="F94" s="36" t="n"/>
      <c r="G94" s="35" t="n"/>
      <c r="H94" s="30">
        <f>IF(L94="","",INDEX(SkiftNavn,L94))</f>
        <v/>
      </c>
      <c r="I94" s="30">
        <f>IF(OR(A94="",L94=""),"",IF(MOD(A94-INDEX(SkiftStart,L94),Syklus)&lt;DagK,"Kveld",IF(MOD(A94-INDEX(SkiftStart,L94),Syklus)&lt;DagK+DagH,"Helg",IF(MOD(A94-INDEX(SkiftStart,L94),Syklus)&lt;DagK+DagH+DagD,"Dag","Fri"))))</f>
        <v/>
      </c>
      <c r="J94" s="30">
        <f>IF(I94="Fri","Ja","")</f>
        <v/>
      </c>
      <c r="K94" s="30">
        <f>IF(B94="","",IF(L94="","Ukjent tekniker",IF(ISNA(MATCH(C94,Aktiviteter,0)),"Ukjent aktivitet",IF(AND(INDEX(AktRolle,MATCH(C94,Aktiviteter,0))&amp;""&lt;&gt;"",ISERROR(SEARCH(INDEX(AktRolle,MATCH(C94,Aktiviteter,0))&amp;"",INDEX(TekRoller,MATCH(B94,Teknikere,0))))),"Mangler rollen "&amp;INDEX(AktRolle,MATCH(C94,Aktiviteter,0))&amp;"",IF(AND(C94="LMS",F94&gt;0,OR(D94="",E94="")),"Mangler maskin eller arbeid",IF(AND(OR(C94="LMS",C94="Mod"),D94&lt;&gt;""),IF(IFERROR(INDEX(MaskinStatus,MATCH(D94,Maskiner,0)),"")="I dokk","","Maskinen er ikke i dokk"),""))))))</f>
        <v/>
      </c>
      <c r="L94" s="2">
        <f>IF(B94="","",IFERROR(INT((MATCH(B94,Teknikere,0)-1)/18)+1,""))</f>
        <v/>
      </c>
      <c r="M94" s="2">
        <f>IF(OR(A94="",B94=""),"",B94&amp;"|"&amp;A94)</f>
        <v/>
      </c>
      <c r="N94" s="2">
        <f>IF(M94="","",SUMIFS(TF_Timer,TF_Nokkel,M94,TF_Akt,C94))</f>
        <v/>
      </c>
      <c r="O94" s="2">
        <f>IF(M94="","",IF(AND(N94=_xlfn.MAXIFS(TF_AktSum,TF_Nokkel,M94),COUNTIFS(M$3:M93,M94,N$3:N93,N94)=0),M94,""))</f>
        <v/>
      </c>
    </row>
    <row r="95">
      <c r="A95" s="34" t="n"/>
      <c r="B95" s="35" t="n"/>
      <c r="C95" s="35" t="n"/>
      <c r="D95" s="35" t="n"/>
      <c r="E95" s="35" t="n"/>
      <c r="F95" s="36" t="n"/>
      <c r="G95" s="35" t="n"/>
      <c r="H95" s="30">
        <f>IF(L95="","",INDEX(SkiftNavn,L95))</f>
        <v/>
      </c>
      <c r="I95" s="30">
        <f>IF(OR(A95="",L95=""),"",IF(MOD(A95-INDEX(SkiftStart,L95),Syklus)&lt;DagK,"Kveld",IF(MOD(A95-INDEX(SkiftStart,L95),Syklus)&lt;DagK+DagH,"Helg",IF(MOD(A95-INDEX(SkiftStart,L95),Syklus)&lt;DagK+DagH+DagD,"Dag","Fri"))))</f>
        <v/>
      </c>
      <c r="J95" s="30">
        <f>IF(I95="Fri","Ja","")</f>
        <v/>
      </c>
      <c r="K95" s="30">
        <f>IF(B95="","",IF(L95="","Ukjent tekniker",IF(ISNA(MATCH(C95,Aktiviteter,0)),"Ukjent aktivitet",IF(AND(INDEX(AktRolle,MATCH(C95,Aktiviteter,0))&amp;""&lt;&gt;"",ISERROR(SEARCH(INDEX(AktRolle,MATCH(C95,Aktiviteter,0))&amp;"",INDEX(TekRoller,MATCH(B95,Teknikere,0))))),"Mangler rollen "&amp;INDEX(AktRolle,MATCH(C95,Aktiviteter,0))&amp;"",IF(AND(C95="LMS",F95&gt;0,OR(D95="",E95="")),"Mangler maskin eller arbeid",IF(AND(OR(C95="LMS",C95="Mod"),D95&lt;&gt;""),IF(IFERROR(INDEX(MaskinStatus,MATCH(D95,Maskiner,0)),"")="I dokk","","Maskinen er ikke i dokk"),""))))))</f>
        <v/>
      </c>
      <c r="L95" s="2">
        <f>IF(B95="","",IFERROR(INT((MATCH(B95,Teknikere,0)-1)/18)+1,""))</f>
        <v/>
      </c>
      <c r="M95" s="2">
        <f>IF(OR(A95="",B95=""),"",B95&amp;"|"&amp;A95)</f>
        <v/>
      </c>
      <c r="N95" s="2">
        <f>IF(M95="","",SUMIFS(TF_Timer,TF_Nokkel,M95,TF_Akt,C95))</f>
        <v/>
      </c>
      <c r="O95" s="2">
        <f>IF(M95="","",IF(AND(N95=_xlfn.MAXIFS(TF_AktSum,TF_Nokkel,M95),COUNTIFS(M$3:M94,M95,N$3:N94,N95)=0),M95,""))</f>
        <v/>
      </c>
    </row>
    <row r="96">
      <c r="A96" s="34" t="n"/>
      <c r="B96" s="35" t="n"/>
      <c r="C96" s="35" t="n"/>
      <c r="D96" s="35" t="n"/>
      <c r="E96" s="35" t="n"/>
      <c r="F96" s="36" t="n"/>
      <c r="G96" s="35" t="n"/>
      <c r="H96" s="30">
        <f>IF(L96="","",INDEX(SkiftNavn,L96))</f>
        <v/>
      </c>
      <c r="I96" s="30">
        <f>IF(OR(A96="",L96=""),"",IF(MOD(A96-INDEX(SkiftStart,L96),Syklus)&lt;DagK,"Kveld",IF(MOD(A96-INDEX(SkiftStart,L96),Syklus)&lt;DagK+DagH,"Helg",IF(MOD(A96-INDEX(SkiftStart,L96),Syklus)&lt;DagK+DagH+DagD,"Dag","Fri"))))</f>
        <v/>
      </c>
      <c r="J96" s="30">
        <f>IF(I96="Fri","Ja","")</f>
        <v/>
      </c>
      <c r="K96" s="30">
        <f>IF(B96="","",IF(L96="","Ukjent tekniker",IF(ISNA(MATCH(C96,Aktiviteter,0)),"Ukjent aktivitet",IF(AND(INDEX(AktRolle,MATCH(C96,Aktiviteter,0))&amp;""&lt;&gt;"",ISERROR(SEARCH(INDEX(AktRolle,MATCH(C96,Aktiviteter,0))&amp;"",INDEX(TekRoller,MATCH(B96,Teknikere,0))))),"Mangler rollen "&amp;INDEX(AktRolle,MATCH(C96,Aktiviteter,0))&amp;"",IF(AND(C96="LMS",F96&gt;0,OR(D96="",E96="")),"Mangler maskin eller arbeid",IF(AND(OR(C96="LMS",C96="Mod"),D96&lt;&gt;""),IF(IFERROR(INDEX(MaskinStatus,MATCH(D96,Maskiner,0)),"")="I dokk","","Maskinen er ikke i dokk"),""))))))</f>
        <v/>
      </c>
      <c r="L96" s="2">
        <f>IF(B96="","",IFERROR(INT((MATCH(B96,Teknikere,0)-1)/18)+1,""))</f>
        <v/>
      </c>
      <c r="M96" s="2">
        <f>IF(OR(A96="",B96=""),"",B96&amp;"|"&amp;A96)</f>
        <v/>
      </c>
      <c r="N96" s="2">
        <f>IF(M96="","",SUMIFS(TF_Timer,TF_Nokkel,M96,TF_Akt,C96))</f>
        <v/>
      </c>
      <c r="O96" s="2">
        <f>IF(M96="","",IF(AND(N96=_xlfn.MAXIFS(TF_AktSum,TF_Nokkel,M96),COUNTIFS(M$3:M95,M96,N$3:N95,N96)=0),M96,""))</f>
        <v/>
      </c>
    </row>
    <row r="97">
      <c r="A97" s="34" t="n"/>
      <c r="B97" s="35" t="n"/>
      <c r="C97" s="35" t="n"/>
      <c r="D97" s="35" t="n"/>
      <c r="E97" s="35" t="n"/>
      <c r="F97" s="36" t="n"/>
      <c r="G97" s="35" t="n"/>
      <c r="H97" s="30">
        <f>IF(L97="","",INDEX(SkiftNavn,L97))</f>
        <v/>
      </c>
      <c r="I97" s="30">
        <f>IF(OR(A97="",L97=""),"",IF(MOD(A97-INDEX(SkiftStart,L97),Syklus)&lt;DagK,"Kveld",IF(MOD(A97-INDEX(SkiftStart,L97),Syklus)&lt;DagK+DagH,"Helg",IF(MOD(A97-INDEX(SkiftStart,L97),Syklus)&lt;DagK+DagH+DagD,"Dag","Fri"))))</f>
        <v/>
      </c>
      <c r="J97" s="30">
        <f>IF(I97="Fri","Ja","")</f>
        <v/>
      </c>
      <c r="K97" s="30">
        <f>IF(B97="","",IF(L97="","Ukjent tekniker",IF(ISNA(MATCH(C97,Aktiviteter,0)),"Ukjent aktivitet",IF(AND(INDEX(AktRolle,MATCH(C97,Aktiviteter,0))&amp;""&lt;&gt;"",ISERROR(SEARCH(INDEX(AktRolle,MATCH(C97,Aktiviteter,0))&amp;"",INDEX(TekRoller,MATCH(B97,Teknikere,0))))),"Mangler rollen "&amp;INDEX(AktRolle,MATCH(C97,Aktiviteter,0))&amp;"",IF(AND(C97="LMS",F97&gt;0,OR(D97="",E97="")),"Mangler maskin eller arbeid",IF(AND(OR(C97="LMS",C97="Mod"),D97&lt;&gt;""),IF(IFERROR(INDEX(MaskinStatus,MATCH(D97,Maskiner,0)),"")="I dokk","","Maskinen er ikke i dokk"),""))))))</f>
        <v/>
      </c>
      <c r="L97" s="2">
        <f>IF(B97="","",IFERROR(INT((MATCH(B97,Teknikere,0)-1)/18)+1,""))</f>
        <v/>
      </c>
      <c r="M97" s="2">
        <f>IF(OR(A97="",B97=""),"",B97&amp;"|"&amp;A97)</f>
        <v/>
      </c>
      <c r="N97" s="2">
        <f>IF(M97="","",SUMIFS(TF_Timer,TF_Nokkel,M97,TF_Akt,C97))</f>
        <v/>
      </c>
      <c r="O97" s="2">
        <f>IF(M97="","",IF(AND(N97=_xlfn.MAXIFS(TF_AktSum,TF_Nokkel,M97),COUNTIFS(M$3:M96,M97,N$3:N96,N97)=0),M97,""))</f>
        <v/>
      </c>
    </row>
    <row r="98">
      <c r="A98" s="34" t="n"/>
      <c r="B98" s="35" t="n"/>
      <c r="C98" s="35" t="n"/>
      <c r="D98" s="35" t="n"/>
      <c r="E98" s="35" t="n"/>
      <c r="F98" s="36" t="n"/>
      <c r="G98" s="35" t="n"/>
      <c r="H98" s="30">
        <f>IF(L98="","",INDEX(SkiftNavn,L98))</f>
        <v/>
      </c>
      <c r="I98" s="30">
        <f>IF(OR(A98="",L98=""),"",IF(MOD(A98-INDEX(SkiftStart,L98),Syklus)&lt;DagK,"Kveld",IF(MOD(A98-INDEX(SkiftStart,L98),Syklus)&lt;DagK+DagH,"Helg",IF(MOD(A98-INDEX(SkiftStart,L98),Syklus)&lt;DagK+DagH+DagD,"Dag","Fri"))))</f>
        <v/>
      </c>
      <c r="J98" s="30">
        <f>IF(I98="Fri","Ja","")</f>
        <v/>
      </c>
      <c r="K98" s="30">
        <f>IF(B98="","",IF(L98="","Ukjent tekniker",IF(ISNA(MATCH(C98,Aktiviteter,0)),"Ukjent aktivitet",IF(AND(INDEX(AktRolle,MATCH(C98,Aktiviteter,0))&amp;""&lt;&gt;"",ISERROR(SEARCH(INDEX(AktRolle,MATCH(C98,Aktiviteter,0))&amp;"",INDEX(TekRoller,MATCH(B98,Teknikere,0))))),"Mangler rollen "&amp;INDEX(AktRolle,MATCH(C98,Aktiviteter,0))&amp;"",IF(AND(C98="LMS",F98&gt;0,OR(D98="",E98="")),"Mangler maskin eller arbeid",IF(AND(OR(C98="LMS",C98="Mod"),D98&lt;&gt;""),IF(IFERROR(INDEX(MaskinStatus,MATCH(D98,Maskiner,0)),"")="I dokk","","Maskinen er ikke i dokk"),""))))))</f>
        <v/>
      </c>
      <c r="L98" s="2">
        <f>IF(B98="","",IFERROR(INT((MATCH(B98,Teknikere,0)-1)/18)+1,""))</f>
        <v/>
      </c>
      <c r="M98" s="2">
        <f>IF(OR(A98="",B98=""),"",B98&amp;"|"&amp;A98)</f>
        <v/>
      </c>
      <c r="N98" s="2">
        <f>IF(M98="","",SUMIFS(TF_Timer,TF_Nokkel,M98,TF_Akt,C98))</f>
        <v/>
      </c>
      <c r="O98" s="2">
        <f>IF(M98="","",IF(AND(N98=_xlfn.MAXIFS(TF_AktSum,TF_Nokkel,M98),COUNTIFS(M$3:M97,M98,N$3:N97,N98)=0),M98,""))</f>
        <v/>
      </c>
    </row>
    <row r="99">
      <c r="A99" s="34" t="n"/>
      <c r="B99" s="35" t="n"/>
      <c r="C99" s="35" t="n"/>
      <c r="D99" s="35" t="n"/>
      <c r="E99" s="35" t="n"/>
      <c r="F99" s="36" t="n"/>
      <c r="G99" s="35" t="n"/>
      <c r="H99" s="30">
        <f>IF(L99="","",INDEX(SkiftNavn,L99))</f>
        <v/>
      </c>
      <c r="I99" s="30">
        <f>IF(OR(A99="",L99=""),"",IF(MOD(A99-INDEX(SkiftStart,L99),Syklus)&lt;DagK,"Kveld",IF(MOD(A99-INDEX(SkiftStart,L99),Syklus)&lt;DagK+DagH,"Helg",IF(MOD(A99-INDEX(SkiftStart,L99),Syklus)&lt;DagK+DagH+DagD,"Dag","Fri"))))</f>
        <v/>
      </c>
      <c r="J99" s="30">
        <f>IF(I99="Fri","Ja","")</f>
        <v/>
      </c>
      <c r="K99" s="30">
        <f>IF(B99="","",IF(L99="","Ukjent tekniker",IF(ISNA(MATCH(C99,Aktiviteter,0)),"Ukjent aktivitet",IF(AND(INDEX(AktRolle,MATCH(C99,Aktiviteter,0))&amp;""&lt;&gt;"",ISERROR(SEARCH(INDEX(AktRolle,MATCH(C99,Aktiviteter,0))&amp;"",INDEX(TekRoller,MATCH(B99,Teknikere,0))))),"Mangler rollen "&amp;INDEX(AktRolle,MATCH(C99,Aktiviteter,0))&amp;"",IF(AND(C99="LMS",F99&gt;0,OR(D99="",E99="")),"Mangler maskin eller arbeid",IF(AND(OR(C99="LMS",C99="Mod"),D99&lt;&gt;""),IF(IFERROR(INDEX(MaskinStatus,MATCH(D99,Maskiner,0)),"")="I dokk","","Maskinen er ikke i dokk"),""))))))</f>
        <v/>
      </c>
      <c r="L99" s="2">
        <f>IF(B99="","",IFERROR(INT((MATCH(B99,Teknikere,0)-1)/18)+1,""))</f>
        <v/>
      </c>
      <c r="M99" s="2">
        <f>IF(OR(A99="",B99=""),"",B99&amp;"|"&amp;A99)</f>
        <v/>
      </c>
      <c r="N99" s="2">
        <f>IF(M99="","",SUMIFS(TF_Timer,TF_Nokkel,M99,TF_Akt,C99))</f>
        <v/>
      </c>
      <c r="O99" s="2">
        <f>IF(M99="","",IF(AND(N99=_xlfn.MAXIFS(TF_AktSum,TF_Nokkel,M99),COUNTIFS(M$3:M98,M99,N$3:N98,N99)=0),M99,""))</f>
        <v/>
      </c>
    </row>
    <row r="100">
      <c r="A100" s="34" t="n"/>
      <c r="B100" s="35" t="n"/>
      <c r="C100" s="35" t="n"/>
      <c r="D100" s="35" t="n"/>
      <c r="E100" s="35" t="n"/>
      <c r="F100" s="36" t="n"/>
      <c r="G100" s="35" t="n"/>
      <c r="H100" s="30">
        <f>IF(L100="","",INDEX(SkiftNavn,L100))</f>
        <v/>
      </c>
      <c r="I100" s="30">
        <f>IF(OR(A100="",L100=""),"",IF(MOD(A100-INDEX(SkiftStart,L100),Syklus)&lt;DagK,"Kveld",IF(MOD(A100-INDEX(SkiftStart,L100),Syklus)&lt;DagK+DagH,"Helg",IF(MOD(A100-INDEX(SkiftStart,L100),Syklus)&lt;DagK+DagH+DagD,"Dag","Fri"))))</f>
        <v/>
      </c>
      <c r="J100" s="30">
        <f>IF(I100="Fri","Ja","")</f>
        <v/>
      </c>
      <c r="K100" s="30">
        <f>IF(B100="","",IF(L100="","Ukjent tekniker",IF(ISNA(MATCH(C100,Aktiviteter,0)),"Ukjent aktivitet",IF(AND(INDEX(AktRolle,MATCH(C100,Aktiviteter,0))&amp;""&lt;&gt;"",ISERROR(SEARCH(INDEX(AktRolle,MATCH(C100,Aktiviteter,0))&amp;"",INDEX(TekRoller,MATCH(B100,Teknikere,0))))),"Mangler rollen "&amp;INDEX(AktRolle,MATCH(C100,Aktiviteter,0))&amp;"",IF(AND(C100="LMS",F100&gt;0,OR(D100="",E100="")),"Mangler maskin eller arbeid",IF(AND(OR(C100="LMS",C100="Mod"),D100&lt;&gt;""),IF(IFERROR(INDEX(MaskinStatus,MATCH(D100,Maskiner,0)),"")="I dokk","","Maskinen er ikke i dokk"),""))))))</f>
        <v/>
      </c>
      <c r="L100" s="2">
        <f>IF(B100="","",IFERROR(INT((MATCH(B100,Teknikere,0)-1)/18)+1,""))</f>
        <v/>
      </c>
      <c r="M100" s="2">
        <f>IF(OR(A100="",B100=""),"",B100&amp;"|"&amp;A100)</f>
        <v/>
      </c>
      <c r="N100" s="2">
        <f>IF(M100="","",SUMIFS(TF_Timer,TF_Nokkel,M100,TF_Akt,C100))</f>
        <v/>
      </c>
      <c r="O100" s="2">
        <f>IF(M100="","",IF(AND(N100=_xlfn.MAXIFS(TF_AktSum,TF_Nokkel,M100),COUNTIFS(M$3:M99,M100,N$3:N99,N100)=0),M100,""))</f>
        <v/>
      </c>
    </row>
    <row r="101">
      <c r="A101" s="34" t="n"/>
      <c r="B101" s="35" t="n"/>
      <c r="C101" s="35" t="n"/>
      <c r="D101" s="35" t="n"/>
      <c r="E101" s="35" t="n"/>
      <c r="F101" s="36" t="n"/>
      <c r="G101" s="35" t="n"/>
      <c r="H101" s="30">
        <f>IF(L101="","",INDEX(SkiftNavn,L101))</f>
        <v/>
      </c>
      <c r="I101" s="30">
        <f>IF(OR(A101="",L101=""),"",IF(MOD(A101-INDEX(SkiftStart,L101),Syklus)&lt;DagK,"Kveld",IF(MOD(A101-INDEX(SkiftStart,L101),Syklus)&lt;DagK+DagH,"Helg",IF(MOD(A101-INDEX(SkiftStart,L101),Syklus)&lt;DagK+DagH+DagD,"Dag","Fri"))))</f>
        <v/>
      </c>
      <c r="J101" s="30">
        <f>IF(I101="Fri","Ja","")</f>
        <v/>
      </c>
      <c r="K101" s="30">
        <f>IF(B101="","",IF(L101="","Ukjent tekniker",IF(ISNA(MATCH(C101,Aktiviteter,0)),"Ukjent aktivitet",IF(AND(INDEX(AktRolle,MATCH(C101,Aktiviteter,0))&amp;""&lt;&gt;"",ISERROR(SEARCH(INDEX(AktRolle,MATCH(C101,Aktiviteter,0))&amp;"",INDEX(TekRoller,MATCH(B101,Teknikere,0))))),"Mangler rollen "&amp;INDEX(AktRolle,MATCH(C101,Aktiviteter,0))&amp;"",IF(AND(C101="LMS",F101&gt;0,OR(D101="",E101="")),"Mangler maskin eller arbeid",IF(AND(OR(C101="LMS",C101="Mod"),D101&lt;&gt;""),IF(IFERROR(INDEX(MaskinStatus,MATCH(D101,Maskiner,0)),"")="I dokk","","Maskinen er ikke i dokk"),""))))))</f>
        <v/>
      </c>
      <c r="L101" s="2">
        <f>IF(B101="","",IFERROR(INT((MATCH(B101,Teknikere,0)-1)/18)+1,""))</f>
        <v/>
      </c>
      <c r="M101" s="2">
        <f>IF(OR(A101="",B101=""),"",B101&amp;"|"&amp;A101)</f>
        <v/>
      </c>
      <c r="N101" s="2">
        <f>IF(M101="","",SUMIFS(TF_Timer,TF_Nokkel,M101,TF_Akt,C101))</f>
        <v/>
      </c>
      <c r="O101" s="2">
        <f>IF(M101="","",IF(AND(N101=_xlfn.MAXIFS(TF_AktSum,TF_Nokkel,M101),COUNTIFS(M$3:M100,M101,N$3:N100,N101)=0),M101,""))</f>
        <v/>
      </c>
    </row>
    <row r="102">
      <c r="A102" s="34" t="n"/>
      <c r="B102" s="35" t="n"/>
      <c r="C102" s="35" t="n"/>
      <c r="D102" s="35" t="n"/>
      <c r="E102" s="35" t="n"/>
      <c r="F102" s="36" t="n"/>
      <c r="G102" s="35" t="n"/>
      <c r="H102" s="30">
        <f>IF(L102="","",INDEX(SkiftNavn,L102))</f>
        <v/>
      </c>
      <c r="I102" s="30">
        <f>IF(OR(A102="",L102=""),"",IF(MOD(A102-INDEX(SkiftStart,L102),Syklus)&lt;DagK,"Kveld",IF(MOD(A102-INDEX(SkiftStart,L102),Syklus)&lt;DagK+DagH,"Helg",IF(MOD(A102-INDEX(SkiftStart,L102),Syklus)&lt;DagK+DagH+DagD,"Dag","Fri"))))</f>
        <v/>
      </c>
      <c r="J102" s="30">
        <f>IF(I102="Fri","Ja","")</f>
        <v/>
      </c>
      <c r="K102" s="30">
        <f>IF(B102="","",IF(L102="","Ukjent tekniker",IF(ISNA(MATCH(C102,Aktiviteter,0)),"Ukjent aktivitet",IF(AND(INDEX(AktRolle,MATCH(C102,Aktiviteter,0))&amp;""&lt;&gt;"",ISERROR(SEARCH(INDEX(AktRolle,MATCH(C102,Aktiviteter,0))&amp;"",INDEX(TekRoller,MATCH(B102,Teknikere,0))))),"Mangler rollen "&amp;INDEX(AktRolle,MATCH(C102,Aktiviteter,0))&amp;"",IF(AND(C102="LMS",F102&gt;0,OR(D102="",E102="")),"Mangler maskin eller arbeid",IF(AND(OR(C102="LMS",C102="Mod"),D102&lt;&gt;""),IF(IFERROR(INDEX(MaskinStatus,MATCH(D102,Maskiner,0)),"")="I dokk","","Maskinen er ikke i dokk"),""))))))</f>
        <v/>
      </c>
      <c r="L102" s="2">
        <f>IF(B102="","",IFERROR(INT((MATCH(B102,Teknikere,0)-1)/18)+1,""))</f>
        <v/>
      </c>
      <c r="M102" s="2">
        <f>IF(OR(A102="",B102=""),"",B102&amp;"|"&amp;A102)</f>
        <v/>
      </c>
      <c r="N102" s="2">
        <f>IF(M102="","",SUMIFS(TF_Timer,TF_Nokkel,M102,TF_Akt,C102))</f>
        <v/>
      </c>
      <c r="O102" s="2">
        <f>IF(M102="","",IF(AND(N102=_xlfn.MAXIFS(TF_AktSum,TF_Nokkel,M102),COUNTIFS(M$3:M101,M102,N$3:N101,N102)=0),M102,""))</f>
        <v/>
      </c>
    </row>
    <row r="103">
      <c r="A103" s="34" t="n"/>
      <c r="B103" s="35" t="n"/>
      <c r="C103" s="35" t="n"/>
      <c r="D103" s="35" t="n"/>
      <c r="E103" s="35" t="n"/>
      <c r="F103" s="36" t="n"/>
      <c r="G103" s="35" t="n"/>
      <c r="H103" s="30">
        <f>IF(L103="","",INDEX(SkiftNavn,L103))</f>
        <v/>
      </c>
      <c r="I103" s="30">
        <f>IF(OR(A103="",L103=""),"",IF(MOD(A103-INDEX(SkiftStart,L103),Syklus)&lt;DagK,"Kveld",IF(MOD(A103-INDEX(SkiftStart,L103),Syklus)&lt;DagK+DagH,"Helg",IF(MOD(A103-INDEX(SkiftStart,L103),Syklus)&lt;DagK+DagH+DagD,"Dag","Fri"))))</f>
        <v/>
      </c>
      <c r="J103" s="30">
        <f>IF(I103="Fri","Ja","")</f>
        <v/>
      </c>
      <c r="K103" s="30">
        <f>IF(B103="","",IF(L103="","Ukjent tekniker",IF(ISNA(MATCH(C103,Aktiviteter,0)),"Ukjent aktivitet",IF(AND(INDEX(AktRolle,MATCH(C103,Aktiviteter,0))&amp;""&lt;&gt;"",ISERROR(SEARCH(INDEX(AktRolle,MATCH(C103,Aktiviteter,0))&amp;"",INDEX(TekRoller,MATCH(B103,Teknikere,0))))),"Mangler rollen "&amp;INDEX(AktRolle,MATCH(C103,Aktiviteter,0))&amp;"",IF(AND(C103="LMS",F103&gt;0,OR(D103="",E103="")),"Mangler maskin eller arbeid",IF(AND(OR(C103="LMS",C103="Mod"),D103&lt;&gt;""),IF(IFERROR(INDEX(MaskinStatus,MATCH(D103,Maskiner,0)),"")="I dokk","","Maskinen er ikke i dokk"),""))))))</f>
        <v/>
      </c>
      <c r="L103" s="2">
        <f>IF(B103="","",IFERROR(INT((MATCH(B103,Teknikere,0)-1)/18)+1,""))</f>
        <v/>
      </c>
      <c r="M103" s="2">
        <f>IF(OR(A103="",B103=""),"",B103&amp;"|"&amp;A103)</f>
        <v/>
      </c>
      <c r="N103" s="2">
        <f>IF(M103="","",SUMIFS(TF_Timer,TF_Nokkel,M103,TF_Akt,C103))</f>
        <v/>
      </c>
      <c r="O103" s="2">
        <f>IF(M103="","",IF(AND(N103=_xlfn.MAXIFS(TF_AktSum,TF_Nokkel,M103),COUNTIFS(M$3:M102,M103,N$3:N102,N103)=0),M103,""))</f>
        <v/>
      </c>
    </row>
    <row r="104">
      <c r="A104" s="34" t="n"/>
      <c r="B104" s="35" t="n"/>
      <c r="C104" s="35" t="n"/>
      <c r="D104" s="35" t="n"/>
      <c r="E104" s="35" t="n"/>
      <c r="F104" s="36" t="n"/>
      <c r="G104" s="35" t="n"/>
      <c r="H104" s="30">
        <f>IF(L104="","",INDEX(SkiftNavn,L104))</f>
        <v/>
      </c>
      <c r="I104" s="30">
        <f>IF(OR(A104="",L104=""),"",IF(MOD(A104-INDEX(SkiftStart,L104),Syklus)&lt;DagK,"Kveld",IF(MOD(A104-INDEX(SkiftStart,L104),Syklus)&lt;DagK+DagH,"Helg",IF(MOD(A104-INDEX(SkiftStart,L104),Syklus)&lt;DagK+DagH+DagD,"Dag","Fri"))))</f>
        <v/>
      </c>
      <c r="J104" s="30">
        <f>IF(I104="Fri","Ja","")</f>
        <v/>
      </c>
      <c r="K104" s="30">
        <f>IF(B104="","",IF(L104="","Ukjent tekniker",IF(ISNA(MATCH(C104,Aktiviteter,0)),"Ukjent aktivitet",IF(AND(INDEX(AktRolle,MATCH(C104,Aktiviteter,0))&amp;""&lt;&gt;"",ISERROR(SEARCH(INDEX(AktRolle,MATCH(C104,Aktiviteter,0))&amp;"",INDEX(TekRoller,MATCH(B104,Teknikere,0))))),"Mangler rollen "&amp;INDEX(AktRolle,MATCH(C104,Aktiviteter,0))&amp;"",IF(AND(C104="LMS",F104&gt;0,OR(D104="",E104="")),"Mangler maskin eller arbeid",IF(AND(OR(C104="LMS",C104="Mod"),D104&lt;&gt;""),IF(IFERROR(INDEX(MaskinStatus,MATCH(D104,Maskiner,0)),"")="I dokk","","Maskinen er ikke i dokk"),""))))))</f>
        <v/>
      </c>
      <c r="L104" s="2">
        <f>IF(B104="","",IFERROR(INT((MATCH(B104,Teknikere,0)-1)/18)+1,""))</f>
        <v/>
      </c>
      <c r="M104" s="2">
        <f>IF(OR(A104="",B104=""),"",B104&amp;"|"&amp;A104)</f>
        <v/>
      </c>
      <c r="N104" s="2">
        <f>IF(M104="","",SUMIFS(TF_Timer,TF_Nokkel,M104,TF_Akt,C104))</f>
        <v/>
      </c>
      <c r="O104" s="2">
        <f>IF(M104="","",IF(AND(N104=_xlfn.MAXIFS(TF_AktSum,TF_Nokkel,M104),COUNTIFS(M$3:M103,M104,N$3:N103,N104)=0),M104,""))</f>
        <v/>
      </c>
    </row>
    <row r="105">
      <c r="A105" s="34" t="n"/>
      <c r="B105" s="35" t="n"/>
      <c r="C105" s="35" t="n"/>
      <c r="D105" s="35" t="n"/>
      <c r="E105" s="35" t="n"/>
      <c r="F105" s="36" t="n"/>
      <c r="G105" s="35" t="n"/>
      <c r="H105" s="30">
        <f>IF(L105="","",INDEX(SkiftNavn,L105))</f>
        <v/>
      </c>
      <c r="I105" s="30">
        <f>IF(OR(A105="",L105=""),"",IF(MOD(A105-INDEX(SkiftStart,L105),Syklus)&lt;DagK,"Kveld",IF(MOD(A105-INDEX(SkiftStart,L105),Syklus)&lt;DagK+DagH,"Helg",IF(MOD(A105-INDEX(SkiftStart,L105),Syklus)&lt;DagK+DagH+DagD,"Dag","Fri"))))</f>
        <v/>
      </c>
      <c r="J105" s="30">
        <f>IF(I105="Fri","Ja","")</f>
        <v/>
      </c>
      <c r="K105" s="30">
        <f>IF(B105="","",IF(L105="","Ukjent tekniker",IF(ISNA(MATCH(C105,Aktiviteter,0)),"Ukjent aktivitet",IF(AND(INDEX(AktRolle,MATCH(C105,Aktiviteter,0))&amp;""&lt;&gt;"",ISERROR(SEARCH(INDEX(AktRolle,MATCH(C105,Aktiviteter,0))&amp;"",INDEX(TekRoller,MATCH(B105,Teknikere,0))))),"Mangler rollen "&amp;INDEX(AktRolle,MATCH(C105,Aktiviteter,0))&amp;"",IF(AND(C105="LMS",F105&gt;0,OR(D105="",E105="")),"Mangler maskin eller arbeid",IF(AND(OR(C105="LMS",C105="Mod"),D105&lt;&gt;""),IF(IFERROR(INDEX(MaskinStatus,MATCH(D105,Maskiner,0)),"")="I dokk","","Maskinen er ikke i dokk"),""))))))</f>
        <v/>
      </c>
      <c r="L105" s="2">
        <f>IF(B105="","",IFERROR(INT((MATCH(B105,Teknikere,0)-1)/18)+1,""))</f>
        <v/>
      </c>
      <c r="M105" s="2">
        <f>IF(OR(A105="",B105=""),"",B105&amp;"|"&amp;A105)</f>
        <v/>
      </c>
      <c r="N105" s="2">
        <f>IF(M105="","",SUMIFS(TF_Timer,TF_Nokkel,M105,TF_Akt,C105))</f>
        <v/>
      </c>
      <c r="O105" s="2">
        <f>IF(M105="","",IF(AND(N105=_xlfn.MAXIFS(TF_AktSum,TF_Nokkel,M105),COUNTIFS(M$3:M104,M105,N$3:N104,N105)=0),M105,""))</f>
        <v/>
      </c>
    </row>
    <row r="106">
      <c r="A106" s="34" t="n"/>
      <c r="B106" s="35" t="n"/>
      <c r="C106" s="35" t="n"/>
      <c r="D106" s="35" t="n"/>
      <c r="E106" s="35" t="n"/>
      <c r="F106" s="36" t="n"/>
      <c r="G106" s="35" t="n"/>
      <c r="H106" s="30">
        <f>IF(L106="","",INDEX(SkiftNavn,L106))</f>
        <v/>
      </c>
      <c r="I106" s="30">
        <f>IF(OR(A106="",L106=""),"",IF(MOD(A106-INDEX(SkiftStart,L106),Syklus)&lt;DagK,"Kveld",IF(MOD(A106-INDEX(SkiftStart,L106),Syklus)&lt;DagK+DagH,"Helg",IF(MOD(A106-INDEX(SkiftStart,L106),Syklus)&lt;DagK+DagH+DagD,"Dag","Fri"))))</f>
        <v/>
      </c>
      <c r="J106" s="30">
        <f>IF(I106="Fri","Ja","")</f>
        <v/>
      </c>
      <c r="K106" s="30">
        <f>IF(B106="","",IF(L106="","Ukjent tekniker",IF(ISNA(MATCH(C106,Aktiviteter,0)),"Ukjent aktivitet",IF(AND(INDEX(AktRolle,MATCH(C106,Aktiviteter,0))&amp;""&lt;&gt;"",ISERROR(SEARCH(INDEX(AktRolle,MATCH(C106,Aktiviteter,0))&amp;"",INDEX(TekRoller,MATCH(B106,Teknikere,0))))),"Mangler rollen "&amp;INDEX(AktRolle,MATCH(C106,Aktiviteter,0))&amp;"",IF(AND(C106="LMS",F106&gt;0,OR(D106="",E106="")),"Mangler maskin eller arbeid",IF(AND(OR(C106="LMS",C106="Mod"),D106&lt;&gt;""),IF(IFERROR(INDEX(MaskinStatus,MATCH(D106,Maskiner,0)),"")="I dokk","","Maskinen er ikke i dokk"),""))))))</f>
        <v/>
      </c>
      <c r="L106" s="2">
        <f>IF(B106="","",IFERROR(INT((MATCH(B106,Teknikere,0)-1)/18)+1,""))</f>
        <v/>
      </c>
      <c r="M106" s="2">
        <f>IF(OR(A106="",B106=""),"",B106&amp;"|"&amp;A106)</f>
        <v/>
      </c>
      <c r="N106" s="2">
        <f>IF(M106="","",SUMIFS(TF_Timer,TF_Nokkel,M106,TF_Akt,C106))</f>
        <v/>
      </c>
      <c r="O106" s="2">
        <f>IF(M106="","",IF(AND(N106=_xlfn.MAXIFS(TF_AktSum,TF_Nokkel,M106),COUNTIFS(M$3:M105,M106,N$3:N105,N106)=0),M106,""))</f>
        <v/>
      </c>
    </row>
    <row r="107">
      <c r="A107" s="34" t="n"/>
      <c r="B107" s="35" t="n"/>
      <c r="C107" s="35" t="n"/>
      <c r="D107" s="35" t="n"/>
      <c r="E107" s="35" t="n"/>
      <c r="F107" s="36" t="n"/>
      <c r="G107" s="35" t="n"/>
      <c r="H107" s="30">
        <f>IF(L107="","",INDEX(SkiftNavn,L107))</f>
        <v/>
      </c>
      <c r="I107" s="30">
        <f>IF(OR(A107="",L107=""),"",IF(MOD(A107-INDEX(SkiftStart,L107),Syklus)&lt;DagK,"Kveld",IF(MOD(A107-INDEX(SkiftStart,L107),Syklus)&lt;DagK+DagH,"Helg",IF(MOD(A107-INDEX(SkiftStart,L107),Syklus)&lt;DagK+DagH+DagD,"Dag","Fri"))))</f>
        <v/>
      </c>
      <c r="J107" s="30">
        <f>IF(I107="Fri","Ja","")</f>
        <v/>
      </c>
      <c r="K107" s="30">
        <f>IF(B107="","",IF(L107="","Ukjent tekniker",IF(ISNA(MATCH(C107,Aktiviteter,0)),"Ukjent aktivitet",IF(AND(INDEX(AktRolle,MATCH(C107,Aktiviteter,0))&amp;""&lt;&gt;"",ISERROR(SEARCH(INDEX(AktRolle,MATCH(C107,Aktiviteter,0))&amp;"",INDEX(TekRoller,MATCH(B107,Teknikere,0))))),"Mangler rollen "&amp;INDEX(AktRolle,MATCH(C107,Aktiviteter,0))&amp;"",IF(AND(C107="LMS",F107&gt;0,OR(D107="",E107="")),"Mangler maskin eller arbeid",IF(AND(OR(C107="LMS",C107="Mod"),D107&lt;&gt;""),IF(IFERROR(INDEX(MaskinStatus,MATCH(D107,Maskiner,0)),"")="I dokk","","Maskinen er ikke i dokk"),""))))))</f>
        <v/>
      </c>
      <c r="L107" s="2">
        <f>IF(B107="","",IFERROR(INT((MATCH(B107,Teknikere,0)-1)/18)+1,""))</f>
        <v/>
      </c>
      <c r="M107" s="2">
        <f>IF(OR(A107="",B107=""),"",B107&amp;"|"&amp;A107)</f>
        <v/>
      </c>
      <c r="N107" s="2">
        <f>IF(M107="","",SUMIFS(TF_Timer,TF_Nokkel,M107,TF_Akt,C107))</f>
        <v/>
      </c>
      <c r="O107" s="2">
        <f>IF(M107="","",IF(AND(N107=_xlfn.MAXIFS(TF_AktSum,TF_Nokkel,M107),COUNTIFS(M$3:M106,M107,N$3:N106,N107)=0),M107,""))</f>
        <v/>
      </c>
    </row>
    <row r="108">
      <c r="A108" s="34" t="n"/>
      <c r="B108" s="35" t="n"/>
      <c r="C108" s="35" t="n"/>
      <c r="D108" s="35" t="n"/>
      <c r="E108" s="35" t="n"/>
      <c r="F108" s="36" t="n"/>
      <c r="G108" s="35" t="n"/>
      <c r="H108" s="30">
        <f>IF(L108="","",INDEX(SkiftNavn,L108))</f>
        <v/>
      </c>
      <c r="I108" s="30">
        <f>IF(OR(A108="",L108=""),"",IF(MOD(A108-INDEX(SkiftStart,L108),Syklus)&lt;DagK,"Kveld",IF(MOD(A108-INDEX(SkiftStart,L108),Syklus)&lt;DagK+DagH,"Helg",IF(MOD(A108-INDEX(SkiftStart,L108),Syklus)&lt;DagK+DagH+DagD,"Dag","Fri"))))</f>
        <v/>
      </c>
      <c r="J108" s="30">
        <f>IF(I108="Fri","Ja","")</f>
        <v/>
      </c>
      <c r="K108" s="30">
        <f>IF(B108="","",IF(L108="","Ukjent tekniker",IF(ISNA(MATCH(C108,Aktiviteter,0)),"Ukjent aktivitet",IF(AND(INDEX(AktRolle,MATCH(C108,Aktiviteter,0))&amp;""&lt;&gt;"",ISERROR(SEARCH(INDEX(AktRolle,MATCH(C108,Aktiviteter,0))&amp;"",INDEX(TekRoller,MATCH(B108,Teknikere,0))))),"Mangler rollen "&amp;INDEX(AktRolle,MATCH(C108,Aktiviteter,0))&amp;"",IF(AND(C108="LMS",F108&gt;0,OR(D108="",E108="")),"Mangler maskin eller arbeid",IF(AND(OR(C108="LMS",C108="Mod"),D108&lt;&gt;""),IF(IFERROR(INDEX(MaskinStatus,MATCH(D108,Maskiner,0)),"")="I dokk","","Maskinen er ikke i dokk"),""))))))</f>
        <v/>
      </c>
      <c r="L108" s="2">
        <f>IF(B108="","",IFERROR(INT((MATCH(B108,Teknikere,0)-1)/18)+1,""))</f>
        <v/>
      </c>
      <c r="M108" s="2">
        <f>IF(OR(A108="",B108=""),"",B108&amp;"|"&amp;A108)</f>
        <v/>
      </c>
      <c r="N108" s="2">
        <f>IF(M108="","",SUMIFS(TF_Timer,TF_Nokkel,M108,TF_Akt,C108))</f>
        <v/>
      </c>
      <c r="O108" s="2">
        <f>IF(M108="","",IF(AND(N108=_xlfn.MAXIFS(TF_AktSum,TF_Nokkel,M108),COUNTIFS(M$3:M107,M108,N$3:N107,N108)=0),M108,""))</f>
        <v/>
      </c>
    </row>
    <row r="109">
      <c r="A109" s="34" t="n"/>
      <c r="B109" s="35" t="n"/>
      <c r="C109" s="35" t="n"/>
      <c r="D109" s="35" t="n"/>
      <c r="E109" s="35" t="n"/>
      <c r="F109" s="36" t="n"/>
      <c r="G109" s="35" t="n"/>
      <c r="H109" s="30">
        <f>IF(L109="","",INDEX(SkiftNavn,L109))</f>
        <v/>
      </c>
      <c r="I109" s="30">
        <f>IF(OR(A109="",L109=""),"",IF(MOD(A109-INDEX(SkiftStart,L109),Syklus)&lt;DagK,"Kveld",IF(MOD(A109-INDEX(SkiftStart,L109),Syklus)&lt;DagK+DagH,"Helg",IF(MOD(A109-INDEX(SkiftStart,L109),Syklus)&lt;DagK+DagH+DagD,"Dag","Fri"))))</f>
        <v/>
      </c>
      <c r="J109" s="30">
        <f>IF(I109="Fri","Ja","")</f>
        <v/>
      </c>
      <c r="K109" s="30">
        <f>IF(B109="","",IF(L109="","Ukjent tekniker",IF(ISNA(MATCH(C109,Aktiviteter,0)),"Ukjent aktivitet",IF(AND(INDEX(AktRolle,MATCH(C109,Aktiviteter,0))&amp;""&lt;&gt;"",ISERROR(SEARCH(INDEX(AktRolle,MATCH(C109,Aktiviteter,0))&amp;"",INDEX(TekRoller,MATCH(B109,Teknikere,0))))),"Mangler rollen "&amp;INDEX(AktRolle,MATCH(C109,Aktiviteter,0))&amp;"",IF(AND(C109="LMS",F109&gt;0,OR(D109="",E109="")),"Mangler maskin eller arbeid",IF(AND(OR(C109="LMS",C109="Mod"),D109&lt;&gt;""),IF(IFERROR(INDEX(MaskinStatus,MATCH(D109,Maskiner,0)),"")="I dokk","","Maskinen er ikke i dokk"),""))))))</f>
        <v/>
      </c>
      <c r="L109" s="2">
        <f>IF(B109="","",IFERROR(INT((MATCH(B109,Teknikere,0)-1)/18)+1,""))</f>
        <v/>
      </c>
      <c r="M109" s="2">
        <f>IF(OR(A109="",B109=""),"",B109&amp;"|"&amp;A109)</f>
        <v/>
      </c>
      <c r="N109" s="2">
        <f>IF(M109="","",SUMIFS(TF_Timer,TF_Nokkel,M109,TF_Akt,C109))</f>
        <v/>
      </c>
      <c r="O109" s="2">
        <f>IF(M109="","",IF(AND(N109=_xlfn.MAXIFS(TF_AktSum,TF_Nokkel,M109),COUNTIFS(M$3:M108,M109,N$3:N108,N109)=0),M109,""))</f>
        <v/>
      </c>
    </row>
    <row r="110">
      <c r="A110" s="34" t="n"/>
      <c r="B110" s="35" t="n"/>
      <c r="C110" s="35" t="n"/>
      <c r="D110" s="35" t="n"/>
      <c r="E110" s="35" t="n"/>
      <c r="F110" s="36" t="n"/>
      <c r="G110" s="35" t="n"/>
      <c r="H110" s="30">
        <f>IF(L110="","",INDEX(SkiftNavn,L110))</f>
        <v/>
      </c>
      <c r="I110" s="30">
        <f>IF(OR(A110="",L110=""),"",IF(MOD(A110-INDEX(SkiftStart,L110),Syklus)&lt;DagK,"Kveld",IF(MOD(A110-INDEX(SkiftStart,L110),Syklus)&lt;DagK+DagH,"Helg",IF(MOD(A110-INDEX(SkiftStart,L110),Syklus)&lt;DagK+DagH+DagD,"Dag","Fri"))))</f>
        <v/>
      </c>
      <c r="J110" s="30">
        <f>IF(I110="Fri","Ja","")</f>
        <v/>
      </c>
      <c r="K110" s="30">
        <f>IF(B110="","",IF(L110="","Ukjent tekniker",IF(ISNA(MATCH(C110,Aktiviteter,0)),"Ukjent aktivitet",IF(AND(INDEX(AktRolle,MATCH(C110,Aktiviteter,0))&amp;""&lt;&gt;"",ISERROR(SEARCH(INDEX(AktRolle,MATCH(C110,Aktiviteter,0))&amp;"",INDEX(TekRoller,MATCH(B110,Teknikere,0))))),"Mangler rollen "&amp;INDEX(AktRolle,MATCH(C110,Aktiviteter,0))&amp;"",IF(AND(C110="LMS",F110&gt;0,OR(D110="",E110="")),"Mangler maskin eller arbeid",IF(AND(OR(C110="LMS",C110="Mod"),D110&lt;&gt;""),IF(IFERROR(INDEX(MaskinStatus,MATCH(D110,Maskiner,0)),"")="I dokk","","Maskinen er ikke i dokk"),""))))))</f>
        <v/>
      </c>
      <c r="L110" s="2">
        <f>IF(B110="","",IFERROR(INT((MATCH(B110,Teknikere,0)-1)/18)+1,""))</f>
        <v/>
      </c>
      <c r="M110" s="2">
        <f>IF(OR(A110="",B110=""),"",B110&amp;"|"&amp;A110)</f>
        <v/>
      </c>
      <c r="N110" s="2">
        <f>IF(M110="","",SUMIFS(TF_Timer,TF_Nokkel,M110,TF_Akt,C110))</f>
        <v/>
      </c>
      <c r="O110" s="2">
        <f>IF(M110="","",IF(AND(N110=_xlfn.MAXIFS(TF_AktSum,TF_Nokkel,M110),COUNTIFS(M$3:M109,M110,N$3:N109,N110)=0),M110,""))</f>
        <v/>
      </c>
    </row>
    <row r="111">
      <c r="A111" s="34" t="n"/>
      <c r="B111" s="35" t="n"/>
      <c r="C111" s="35" t="n"/>
      <c r="D111" s="35" t="n"/>
      <c r="E111" s="35" t="n"/>
      <c r="F111" s="36" t="n"/>
      <c r="G111" s="35" t="n"/>
      <c r="H111" s="30">
        <f>IF(L111="","",INDEX(SkiftNavn,L111))</f>
        <v/>
      </c>
      <c r="I111" s="30">
        <f>IF(OR(A111="",L111=""),"",IF(MOD(A111-INDEX(SkiftStart,L111),Syklus)&lt;DagK,"Kveld",IF(MOD(A111-INDEX(SkiftStart,L111),Syklus)&lt;DagK+DagH,"Helg",IF(MOD(A111-INDEX(SkiftStart,L111),Syklus)&lt;DagK+DagH+DagD,"Dag","Fri"))))</f>
        <v/>
      </c>
      <c r="J111" s="30">
        <f>IF(I111="Fri","Ja","")</f>
        <v/>
      </c>
      <c r="K111" s="30">
        <f>IF(B111="","",IF(L111="","Ukjent tekniker",IF(ISNA(MATCH(C111,Aktiviteter,0)),"Ukjent aktivitet",IF(AND(INDEX(AktRolle,MATCH(C111,Aktiviteter,0))&amp;""&lt;&gt;"",ISERROR(SEARCH(INDEX(AktRolle,MATCH(C111,Aktiviteter,0))&amp;"",INDEX(TekRoller,MATCH(B111,Teknikere,0))))),"Mangler rollen "&amp;INDEX(AktRolle,MATCH(C111,Aktiviteter,0))&amp;"",IF(AND(C111="LMS",F111&gt;0,OR(D111="",E111="")),"Mangler maskin eller arbeid",IF(AND(OR(C111="LMS",C111="Mod"),D111&lt;&gt;""),IF(IFERROR(INDEX(MaskinStatus,MATCH(D111,Maskiner,0)),"")="I dokk","","Maskinen er ikke i dokk"),""))))))</f>
        <v/>
      </c>
      <c r="L111" s="2">
        <f>IF(B111="","",IFERROR(INT((MATCH(B111,Teknikere,0)-1)/18)+1,""))</f>
        <v/>
      </c>
      <c r="M111" s="2">
        <f>IF(OR(A111="",B111=""),"",B111&amp;"|"&amp;A111)</f>
        <v/>
      </c>
      <c r="N111" s="2">
        <f>IF(M111="","",SUMIFS(TF_Timer,TF_Nokkel,M111,TF_Akt,C111))</f>
        <v/>
      </c>
      <c r="O111" s="2">
        <f>IF(M111="","",IF(AND(N111=_xlfn.MAXIFS(TF_AktSum,TF_Nokkel,M111),COUNTIFS(M$3:M110,M111,N$3:N110,N111)=0),M111,""))</f>
        <v/>
      </c>
    </row>
    <row r="112">
      <c r="A112" s="34" t="n"/>
      <c r="B112" s="35" t="n"/>
      <c r="C112" s="35" t="n"/>
      <c r="D112" s="35" t="n"/>
      <c r="E112" s="35" t="n"/>
      <c r="F112" s="36" t="n"/>
      <c r="G112" s="35" t="n"/>
      <c r="H112" s="30">
        <f>IF(L112="","",INDEX(SkiftNavn,L112))</f>
        <v/>
      </c>
      <c r="I112" s="30">
        <f>IF(OR(A112="",L112=""),"",IF(MOD(A112-INDEX(SkiftStart,L112),Syklus)&lt;DagK,"Kveld",IF(MOD(A112-INDEX(SkiftStart,L112),Syklus)&lt;DagK+DagH,"Helg",IF(MOD(A112-INDEX(SkiftStart,L112),Syklus)&lt;DagK+DagH+DagD,"Dag","Fri"))))</f>
        <v/>
      </c>
      <c r="J112" s="30">
        <f>IF(I112="Fri","Ja","")</f>
        <v/>
      </c>
      <c r="K112" s="30">
        <f>IF(B112="","",IF(L112="","Ukjent tekniker",IF(ISNA(MATCH(C112,Aktiviteter,0)),"Ukjent aktivitet",IF(AND(INDEX(AktRolle,MATCH(C112,Aktiviteter,0))&amp;""&lt;&gt;"",ISERROR(SEARCH(INDEX(AktRolle,MATCH(C112,Aktiviteter,0))&amp;"",INDEX(TekRoller,MATCH(B112,Teknikere,0))))),"Mangler rollen "&amp;INDEX(AktRolle,MATCH(C112,Aktiviteter,0))&amp;"",IF(AND(C112="LMS",F112&gt;0,OR(D112="",E112="")),"Mangler maskin eller arbeid",IF(AND(OR(C112="LMS",C112="Mod"),D112&lt;&gt;""),IF(IFERROR(INDEX(MaskinStatus,MATCH(D112,Maskiner,0)),"")="I dokk","","Maskinen er ikke i dokk"),""))))))</f>
        <v/>
      </c>
      <c r="L112" s="2">
        <f>IF(B112="","",IFERROR(INT((MATCH(B112,Teknikere,0)-1)/18)+1,""))</f>
        <v/>
      </c>
      <c r="M112" s="2">
        <f>IF(OR(A112="",B112=""),"",B112&amp;"|"&amp;A112)</f>
        <v/>
      </c>
      <c r="N112" s="2">
        <f>IF(M112="","",SUMIFS(TF_Timer,TF_Nokkel,M112,TF_Akt,C112))</f>
        <v/>
      </c>
      <c r="O112" s="2">
        <f>IF(M112="","",IF(AND(N112=_xlfn.MAXIFS(TF_AktSum,TF_Nokkel,M112),COUNTIFS(M$3:M111,M112,N$3:N111,N112)=0),M112,""))</f>
        <v/>
      </c>
    </row>
    <row r="113">
      <c r="A113" s="34" t="n"/>
      <c r="B113" s="35" t="n"/>
      <c r="C113" s="35" t="n"/>
      <c r="D113" s="35" t="n"/>
      <c r="E113" s="35" t="n"/>
      <c r="F113" s="36" t="n"/>
      <c r="G113" s="35" t="n"/>
      <c r="H113" s="30">
        <f>IF(L113="","",INDEX(SkiftNavn,L113))</f>
        <v/>
      </c>
      <c r="I113" s="30">
        <f>IF(OR(A113="",L113=""),"",IF(MOD(A113-INDEX(SkiftStart,L113),Syklus)&lt;DagK,"Kveld",IF(MOD(A113-INDEX(SkiftStart,L113),Syklus)&lt;DagK+DagH,"Helg",IF(MOD(A113-INDEX(SkiftStart,L113),Syklus)&lt;DagK+DagH+DagD,"Dag","Fri"))))</f>
        <v/>
      </c>
      <c r="J113" s="30">
        <f>IF(I113="Fri","Ja","")</f>
        <v/>
      </c>
      <c r="K113" s="30">
        <f>IF(B113="","",IF(L113="","Ukjent tekniker",IF(ISNA(MATCH(C113,Aktiviteter,0)),"Ukjent aktivitet",IF(AND(INDEX(AktRolle,MATCH(C113,Aktiviteter,0))&amp;""&lt;&gt;"",ISERROR(SEARCH(INDEX(AktRolle,MATCH(C113,Aktiviteter,0))&amp;"",INDEX(TekRoller,MATCH(B113,Teknikere,0))))),"Mangler rollen "&amp;INDEX(AktRolle,MATCH(C113,Aktiviteter,0))&amp;"",IF(AND(C113="LMS",F113&gt;0,OR(D113="",E113="")),"Mangler maskin eller arbeid",IF(AND(OR(C113="LMS",C113="Mod"),D113&lt;&gt;""),IF(IFERROR(INDEX(MaskinStatus,MATCH(D113,Maskiner,0)),"")="I dokk","","Maskinen er ikke i dokk"),""))))))</f>
        <v/>
      </c>
      <c r="L113" s="2">
        <f>IF(B113="","",IFERROR(INT((MATCH(B113,Teknikere,0)-1)/18)+1,""))</f>
        <v/>
      </c>
      <c r="M113" s="2">
        <f>IF(OR(A113="",B113=""),"",B113&amp;"|"&amp;A113)</f>
        <v/>
      </c>
      <c r="N113" s="2">
        <f>IF(M113="","",SUMIFS(TF_Timer,TF_Nokkel,M113,TF_Akt,C113))</f>
        <v/>
      </c>
      <c r="O113" s="2">
        <f>IF(M113="","",IF(AND(N113=_xlfn.MAXIFS(TF_AktSum,TF_Nokkel,M113),COUNTIFS(M$3:M112,M113,N$3:N112,N113)=0),M113,""))</f>
        <v/>
      </c>
    </row>
    <row r="114">
      <c r="A114" s="34" t="n"/>
      <c r="B114" s="35" t="n"/>
      <c r="C114" s="35" t="n"/>
      <c r="D114" s="35" t="n"/>
      <c r="E114" s="35" t="n"/>
      <c r="F114" s="36" t="n"/>
      <c r="G114" s="35" t="n"/>
      <c r="H114" s="30">
        <f>IF(L114="","",INDEX(SkiftNavn,L114))</f>
        <v/>
      </c>
      <c r="I114" s="30">
        <f>IF(OR(A114="",L114=""),"",IF(MOD(A114-INDEX(SkiftStart,L114),Syklus)&lt;DagK,"Kveld",IF(MOD(A114-INDEX(SkiftStart,L114),Syklus)&lt;DagK+DagH,"Helg",IF(MOD(A114-INDEX(SkiftStart,L114),Syklus)&lt;DagK+DagH+DagD,"Dag","Fri"))))</f>
        <v/>
      </c>
      <c r="J114" s="30">
        <f>IF(I114="Fri","Ja","")</f>
        <v/>
      </c>
      <c r="K114" s="30">
        <f>IF(B114="","",IF(L114="","Ukjent tekniker",IF(ISNA(MATCH(C114,Aktiviteter,0)),"Ukjent aktivitet",IF(AND(INDEX(AktRolle,MATCH(C114,Aktiviteter,0))&amp;""&lt;&gt;"",ISERROR(SEARCH(INDEX(AktRolle,MATCH(C114,Aktiviteter,0))&amp;"",INDEX(TekRoller,MATCH(B114,Teknikere,0))))),"Mangler rollen "&amp;INDEX(AktRolle,MATCH(C114,Aktiviteter,0))&amp;"",IF(AND(C114="LMS",F114&gt;0,OR(D114="",E114="")),"Mangler maskin eller arbeid",IF(AND(OR(C114="LMS",C114="Mod"),D114&lt;&gt;""),IF(IFERROR(INDEX(MaskinStatus,MATCH(D114,Maskiner,0)),"")="I dokk","","Maskinen er ikke i dokk"),""))))))</f>
        <v/>
      </c>
      <c r="L114" s="2">
        <f>IF(B114="","",IFERROR(INT((MATCH(B114,Teknikere,0)-1)/18)+1,""))</f>
        <v/>
      </c>
      <c r="M114" s="2">
        <f>IF(OR(A114="",B114=""),"",B114&amp;"|"&amp;A114)</f>
        <v/>
      </c>
      <c r="N114" s="2">
        <f>IF(M114="","",SUMIFS(TF_Timer,TF_Nokkel,M114,TF_Akt,C114))</f>
        <v/>
      </c>
      <c r="O114" s="2">
        <f>IF(M114="","",IF(AND(N114=_xlfn.MAXIFS(TF_AktSum,TF_Nokkel,M114),COUNTIFS(M$3:M113,M114,N$3:N113,N114)=0),M114,""))</f>
        <v/>
      </c>
    </row>
    <row r="115">
      <c r="A115" s="34" t="n"/>
      <c r="B115" s="35" t="n"/>
      <c r="C115" s="35" t="n"/>
      <c r="D115" s="35" t="n"/>
      <c r="E115" s="35" t="n"/>
      <c r="F115" s="36" t="n"/>
      <c r="G115" s="35" t="n"/>
      <c r="H115" s="30">
        <f>IF(L115="","",INDEX(SkiftNavn,L115))</f>
        <v/>
      </c>
      <c r="I115" s="30">
        <f>IF(OR(A115="",L115=""),"",IF(MOD(A115-INDEX(SkiftStart,L115),Syklus)&lt;DagK,"Kveld",IF(MOD(A115-INDEX(SkiftStart,L115),Syklus)&lt;DagK+DagH,"Helg",IF(MOD(A115-INDEX(SkiftStart,L115),Syklus)&lt;DagK+DagH+DagD,"Dag","Fri"))))</f>
        <v/>
      </c>
      <c r="J115" s="30">
        <f>IF(I115="Fri","Ja","")</f>
        <v/>
      </c>
      <c r="K115" s="30">
        <f>IF(B115="","",IF(L115="","Ukjent tekniker",IF(ISNA(MATCH(C115,Aktiviteter,0)),"Ukjent aktivitet",IF(AND(INDEX(AktRolle,MATCH(C115,Aktiviteter,0))&amp;""&lt;&gt;"",ISERROR(SEARCH(INDEX(AktRolle,MATCH(C115,Aktiviteter,0))&amp;"",INDEX(TekRoller,MATCH(B115,Teknikere,0))))),"Mangler rollen "&amp;INDEX(AktRolle,MATCH(C115,Aktiviteter,0))&amp;"",IF(AND(C115="LMS",F115&gt;0,OR(D115="",E115="")),"Mangler maskin eller arbeid",IF(AND(OR(C115="LMS",C115="Mod"),D115&lt;&gt;""),IF(IFERROR(INDEX(MaskinStatus,MATCH(D115,Maskiner,0)),"")="I dokk","","Maskinen er ikke i dokk"),""))))))</f>
        <v/>
      </c>
      <c r="L115" s="2">
        <f>IF(B115="","",IFERROR(INT((MATCH(B115,Teknikere,0)-1)/18)+1,""))</f>
        <v/>
      </c>
      <c r="M115" s="2">
        <f>IF(OR(A115="",B115=""),"",B115&amp;"|"&amp;A115)</f>
        <v/>
      </c>
      <c r="N115" s="2">
        <f>IF(M115="","",SUMIFS(TF_Timer,TF_Nokkel,M115,TF_Akt,C115))</f>
        <v/>
      </c>
      <c r="O115" s="2">
        <f>IF(M115="","",IF(AND(N115=_xlfn.MAXIFS(TF_AktSum,TF_Nokkel,M115),COUNTIFS(M$3:M114,M115,N$3:N114,N115)=0),M115,""))</f>
        <v/>
      </c>
    </row>
    <row r="116">
      <c r="A116" s="34" t="n"/>
      <c r="B116" s="35" t="n"/>
      <c r="C116" s="35" t="n"/>
      <c r="D116" s="35" t="n"/>
      <c r="E116" s="35" t="n"/>
      <c r="F116" s="36" t="n"/>
      <c r="G116" s="35" t="n"/>
      <c r="H116" s="30">
        <f>IF(L116="","",INDEX(SkiftNavn,L116))</f>
        <v/>
      </c>
      <c r="I116" s="30">
        <f>IF(OR(A116="",L116=""),"",IF(MOD(A116-INDEX(SkiftStart,L116),Syklus)&lt;DagK,"Kveld",IF(MOD(A116-INDEX(SkiftStart,L116),Syklus)&lt;DagK+DagH,"Helg",IF(MOD(A116-INDEX(SkiftStart,L116),Syklus)&lt;DagK+DagH+DagD,"Dag","Fri"))))</f>
        <v/>
      </c>
      <c r="J116" s="30">
        <f>IF(I116="Fri","Ja","")</f>
        <v/>
      </c>
      <c r="K116" s="30">
        <f>IF(B116="","",IF(L116="","Ukjent tekniker",IF(ISNA(MATCH(C116,Aktiviteter,0)),"Ukjent aktivitet",IF(AND(INDEX(AktRolle,MATCH(C116,Aktiviteter,0))&amp;""&lt;&gt;"",ISERROR(SEARCH(INDEX(AktRolle,MATCH(C116,Aktiviteter,0))&amp;"",INDEX(TekRoller,MATCH(B116,Teknikere,0))))),"Mangler rollen "&amp;INDEX(AktRolle,MATCH(C116,Aktiviteter,0))&amp;"",IF(AND(C116="LMS",F116&gt;0,OR(D116="",E116="")),"Mangler maskin eller arbeid",IF(AND(OR(C116="LMS",C116="Mod"),D116&lt;&gt;""),IF(IFERROR(INDEX(MaskinStatus,MATCH(D116,Maskiner,0)),"")="I dokk","","Maskinen er ikke i dokk"),""))))))</f>
        <v/>
      </c>
      <c r="L116" s="2">
        <f>IF(B116="","",IFERROR(INT((MATCH(B116,Teknikere,0)-1)/18)+1,""))</f>
        <v/>
      </c>
      <c r="M116" s="2">
        <f>IF(OR(A116="",B116=""),"",B116&amp;"|"&amp;A116)</f>
        <v/>
      </c>
      <c r="N116" s="2">
        <f>IF(M116="","",SUMIFS(TF_Timer,TF_Nokkel,M116,TF_Akt,C116))</f>
        <v/>
      </c>
      <c r="O116" s="2">
        <f>IF(M116="","",IF(AND(N116=_xlfn.MAXIFS(TF_AktSum,TF_Nokkel,M116),COUNTIFS(M$3:M115,M116,N$3:N115,N116)=0),M116,""))</f>
        <v/>
      </c>
    </row>
    <row r="117">
      <c r="A117" s="34" t="n"/>
      <c r="B117" s="35" t="n"/>
      <c r="C117" s="35" t="n"/>
      <c r="D117" s="35" t="n"/>
      <c r="E117" s="35" t="n"/>
      <c r="F117" s="36" t="n"/>
      <c r="G117" s="35" t="n"/>
      <c r="H117" s="30">
        <f>IF(L117="","",INDEX(SkiftNavn,L117))</f>
        <v/>
      </c>
      <c r="I117" s="30">
        <f>IF(OR(A117="",L117=""),"",IF(MOD(A117-INDEX(SkiftStart,L117),Syklus)&lt;DagK,"Kveld",IF(MOD(A117-INDEX(SkiftStart,L117),Syklus)&lt;DagK+DagH,"Helg",IF(MOD(A117-INDEX(SkiftStart,L117),Syklus)&lt;DagK+DagH+DagD,"Dag","Fri"))))</f>
        <v/>
      </c>
      <c r="J117" s="30">
        <f>IF(I117="Fri","Ja","")</f>
        <v/>
      </c>
      <c r="K117" s="30">
        <f>IF(B117="","",IF(L117="","Ukjent tekniker",IF(ISNA(MATCH(C117,Aktiviteter,0)),"Ukjent aktivitet",IF(AND(INDEX(AktRolle,MATCH(C117,Aktiviteter,0))&amp;""&lt;&gt;"",ISERROR(SEARCH(INDEX(AktRolle,MATCH(C117,Aktiviteter,0))&amp;"",INDEX(TekRoller,MATCH(B117,Teknikere,0))))),"Mangler rollen "&amp;INDEX(AktRolle,MATCH(C117,Aktiviteter,0))&amp;"",IF(AND(C117="LMS",F117&gt;0,OR(D117="",E117="")),"Mangler maskin eller arbeid",IF(AND(OR(C117="LMS",C117="Mod"),D117&lt;&gt;""),IF(IFERROR(INDEX(MaskinStatus,MATCH(D117,Maskiner,0)),"")="I dokk","","Maskinen er ikke i dokk"),""))))))</f>
        <v/>
      </c>
      <c r="L117" s="2">
        <f>IF(B117="","",IFERROR(INT((MATCH(B117,Teknikere,0)-1)/18)+1,""))</f>
        <v/>
      </c>
      <c r="M117" s="2">
        <f>IF(OR(A117="",B117=""),"",B117&amp;"|"&amp;A117)</f>
        <v/>
      </c>
      <c r="N117" s="2">
        <f>IF(M117="","",SUMIFS(TF_Timer,TF_Nokkel,M117,TF_Akt,C117))</f>
        <v/>
      </c>
      <c r="O117" s="2">
        <f>IF(M117="","",IF(AND(N117=_xlfn.MAXIFS(TF_AktSum,TF_Nokkel,M117),COUNTIFS(M$3:M116,M117,N$3:N116,N117)=0),M117,""))</f>
        <v/>
      </c>
    </row>
    <row r="118">
      <c r="A118" s="34" t="n"/>
      <c r="B118" s="35" t="n"/>
      <c r="C118" s="35" t="n"/>
      <c r="D118" s="35" t="n"/>
      <c r="E118" s="35" t="n"/>
      <c r="F118" s="36" t="n"/>
      <c r="G118" s="35" t="n"/>
      <c r="H118" s="30">
        <f>IF(L118="","",INDEX(SkiftNavn,L118))</f>
        <v/>
      </c>
      <c r="I118" s="30">
        <f>IF(OR(A118="",L118=""),"",IF(MOD(A118-INDEX(SkiftStart,L118),Syklus)&lt;DagK,"Kveld",IF(MOD(A118-INDEX(SkiftStart,L118),Syklus)&lt;DagK+DagH,"Helg",IF(MOD(A118-INDEX(SkiftStart,L118),Syklus)&lt;DagK+DagH+DagD,"Dag","Fri"))))</f>
        <v/>
      </c>
      <c r="J118" s="30">
        <f>IF(I118="Fri","Ja","")</f>
        <v/>
      </c>
      <c r="K118" s="30">
        <f>IF(B118="","",IF(L118="","Ukjent tekniker",IF(ISNA(MATCH(C118,Aktiviteter,0)),"Ukjent aktivitet",IF(AND(INDEX(AktRolle,MATCH(C118,Aktiviteter,0))&amp;""&lt;&gt;"",ISERROR(SEARCH(INDEX(AktRolle,MATCH(C118,Aktiviteter,0))&amp;"",INDEX(TekRoller,MATCH(B118,Teknikere,0))))),"Mangler rollen "&amp;INDEX(AktRolle,MATCH(C118,Aktiviteter,0))&amp;"",IF(AND(C118="LMS",F118&gt;0,OR(D118="",E118="")),"Mangler maskin eller arbeid",IF(AND(OR(C118="LMS",C118="Mod"),D118&lt;&gt;""),IF(IFERROR(INDEX(MaskinStatus,MATCH(D118,Maskiner,0)),"")="I dokk","","Maskinen er ikke i dokk"),""))))))</f>
        <v/>
      </c>
      <c r="L118" s="2">
        <f>IF(B118="","",IFERROR(INT((MATCH(B118,Teknikere,0)-1)/18)+1,""))</f>
        <v/>
      </c>
      <c r="M118" s="2">
        <f>IF(OR(A118="",B118=""),"",B118&amp;"|"&amp;A118)</f>
        <v/>
      </c>
      <c r="N118" s="2">
        <f>IF(M118="","",SUMIFS(TF_Timer,TF_Nokkel,M118,TF_Akt,C118))</f>
        <v/>
      </c>
      <c r="O118" s="2">
        <f>IF(M118="","",IF(AND(N118=_xlfn.MAXIFS(TF_AktSum,TF_Nokkel,M118),COUNTIFS(M$3:M117,M118,N$3:N117,N118)=0),M118,""))</f>
        <v/>
      </c>
    </row>
    <row r="119">
      <c r="A119" s="34" t="n"/>
      <c r="B119" s="35" t="n"/>
      <c r="C119" s="35" t="n"/>
      <c r="D119" s="35" t="n"/>
      <c r="E119" s="35" t="n"/>
      <c r="F119" s="36" t="n"/>
      <c r="G119" s="35" t="n"/>
      <c r="H119" s="30">
        <f>IF(L119="","",INDEX(SkiftNavn,L119))</f>
        <v/>
      </c>
      <c r="I119" s="30">
        <f>IF(OR(A119="",L119=""),"",IF(MOD(A119-INDEX(SkiftStart,L119),Syklus)&lt;DagK,"Kveld",IF(MOD(A119-INDEX(SkiftStart,L119),Syklus)&lt;DagK+DagH,"Helg",IF(MOD(A119-INDEX(SkiftStart,L119),Syklus)&lt;DagK+DagH+DagD,"Dag","Fri"))))</f>
        <v/>
      </c>
      <c r="J119" s="30">
        <f>IF(I119="Fri","Ja","")</f>
        <v/>
      </c>
      <c r="K119" s="30">
        <f>IF(B119="","",IF(L119="","Ukjent tekniker",IF(ISNA(MATCH(C119,Aktiviteter,0)),"Ukjent aktivitet",IF(AND(INDEX(AktRolle,MATCH(C119,Aktiviteter,0))&amp;""&lt;&gt;"",ISERROR(SEARCH(INDEX(AktRolle,MATCH(C119,Aktiviteter,0))&amp;"",INDEX(TekRoller,MATCH(B119,Teknikere,0))))),"Mangler rollen "&amp;INDEX(AktRolle,MATCH(C119,Aktiviteter,0))&amp;"",IF(AND(C119="LMS",F119&gt;0,OR(D119="",E119="")),"Mangler maskin eller arbeid",IF(AND(OR(C119="LMS",C119="Mod"),D119&lt;&gt;""),IF(IFERROR(INDEX(MaskinStatus,MATCH(D119,Maskiner,0)),"")="I dokk","","Maskinen er ikke i dokk"),""))))))</f>
        <v/>
      </c>
      <c r="L119" s="2">
        <f>IF(B119="","",IFERROR(INT((MATCH(B119,Teknikere,0)-1)/18)+1,""))</f>
        <v/>
      </c>
      <c r="M119" s="2">
        <f>IF(OR(A119="",B119=""),"",B119&amp;"|"&amp;A119)</f>
        <v/>
      </c>
      <c r="N119" s="2">
        <f>IF(M119="","",SUMIFS(TF_Timer,TF_Nokkel,M119,TF_Akt,C119))</f>
        <v/>
      </c>
      <c r="O119" s="2">
        <f>IF(M119="","",IF(AND(N119=_xlfn.MAXIFS(TF_AktSum,TF_Nokkel,M119),COUNTIFS(M$3:M118,M119,N$3:N118,N119)=0),M119,""))</f>
        <v/>
      </c>
    </row>
    <row r="120">
      <c r="A120" s="34" t="n"/>
      <c r="B120" s="35" t="n"/>
      <c r="C120" s="35" t="n"/>
      <c r="D120" s="35" t="n"/>
      <c r="E120" s="35" t="n"/>
      <c r="F120" s="36" t="n"/>
      <c r="G120" s="35" t="n"/>
      <c r="H120" s="30">
        <f>IF(L120="","",INDEX(SkiftNavn,L120))</f>
        <v/>
      </c>
      <c r="I120" s="30">
        <f>IF(OR(A120="",L120=""),"",IF(MOD(A120-INDEX(SkiftStart,L120),Syklus)&lt;DagK,"Kveld",IF(MOD(A120-INDEX(SkiftStart,L120),Syklus)&lt;DagK+DagH,"Helg",IF(MOD(A120-INDEX(SkiftStart,L120),Syklus)&lt;DagK+DagH+DagD,"Dag","Fri"))))</f>
        <v/>
      </c>
      <c r="J120" s="30">
        <f>IF(I120="Fri","Ja","")</f>
        <v/>
      </c>
      <c r="K120" s="30">
        <f>IF(B120="","",IF(L120="","Ukjent tekniker",IF(ISNA(MATCH(C120,Aktiviteter,0)),"Ukjent aktivitet",IF(AND(INDEX(AktRolle,MATCH(C120,Aktiviteter,0))&amp;""&lt;&gt;"",ISERROR(SEARCH(INDEX(AktRolle,MATCH(C120,Aktiviteter,0))&amp;"",INDEX(TekRoller,MATCH(B120,Teknikere,0))))),"Mangler rollen "&amp;INDEX(AktRolle,MATCH(C120,Aktiviteter,0))&amp;"",IF(AND(C120="LMS",F120&gt;0,OR(D120="",E120="")),"Mangler maskin eller arbeid",IF(AND(OR(C120="LMS",C120="Mod"),D120&lt;&gt;""),IF(IFERROR(INDEX(MaskinStatus,MATCH(D120,Maskiner,0)),"")="I dokk","","Maskinen er ikke i dokk"),""))))))</f>
        <v/>
      </c>
      <c r="L120" s="2">
        <f>IF(B120="","",IFERROR(INT((MATCH(B120,Teknikere,0)-1)/18)+1,""))</f>
        <v/>
      </c>
      <c r="M120" s="2">
        <f>IF(OR(A120="",B120=""),"",B120&amp;"|"&amp;A120)</f>
        <v/>
      </c>
      <c r="N120" s="2">
        <f>IF(M120="","",SUMIFS(TF_Timer,TF_Nokkel,M120,TF_Akt,C120))</f>
        <v/>
      </c>
      <c r="O120" s="2">
        <f>IF(M120="","",IF(AND(N120=_xlfn.MAXIFS(TF_AktSum,TF_Nokkel,M120),COUNTIFS(M$3:M119,M120,N$3:N119,N120)=0),M120,""))</f>
        <v/>
      </c>
    </row>
    <row r="121">
      <c r="A121" s="34" t="n"/>
      <c r="B121" s="35" t="n"/>
      <c r="C121" s="35" t="n"/>
      <c r="D121" s="35" t="n"/>
      <c r="E121" s="35" t="n"/>
      <c r="F121" s="36" t="n"/>
      <c r="G121" s="35" t="n"/>
      <c r="H121" s="30">
        <f>IF(L121="","",INDEX(SkiftNavn,L121))</f>
        <v/>
      </c>
      <c r="I121" s="30">
        <f>IF(OR(A121="",L121=""),"",IF(MOD(A121-INDEX(SkiftStart,L121),Syklus)&lt;DagK,"Kveld",IF(MOD(A121-INDEX(SkiftStart,L121),Syklus)&lt;DagK+DagH,"Helg",IF(MOD(A121-INDEX(SkiftStart,L121),Syklus)&lt;DagK+DagH+DagD,"Dag","Fri"))))</f>
        <v/>
      </c>
      <c r="J121" s="30">
        <f>IF(I121="Fri","Ja","")</f>
        <v/>
      </c>
      <c r="K121" s="30">
        <f>IF(B121="","",IF(L121="","Ukjent tekniker",IF(ISNA(MATCH(C121,Aktiviteter,0)),"Ukjent aktivitet",IF(AND(INDEX(AktRolle,MATCH(C121,Aktiviteter,0))&amp;""&lt;&gt;"",ISERROR(SEARCH(INDEX(AktRolle,MATCH(C121,Aktiviteter,0))&amp;"",INDEX(TekRoller,MATCH(B121,Teknikere,0))))),"Mangler rollen "&amp;INDEX(AktRolle,MATCH(C121,Aktiviteter,0))&amp;"",IF(AND(C121="LMS",F121&gt;0,OR(D121="",E121="")),"Mangler maskin eller arbeid",IF(AND(OR(C121="LMS",C121="Mod"),D121&lt;&gt;""),IF(IFERROR(INDEX(MaskinStatus,MATCH(D121,Maskiner,0)),"")="I dokk","","Maskinen er ikke i dokk"),""))))))</f>
        <v/>
      </c>
      <c r="L121" s="2">
        <f>IF(B121="","",IFERROR(INT((MATCH(B121,Teknikere,0)-1)/18)+1,""))</f>
        <v/>
      </c>
      <c r="M121" s="2">
        <f>IF(OR(A121="",B121=""),"",B121&amp;"|"&amp;A121)</f>
        <v/>
      </c>
      <c r="N121" s="2">
        <f>IF(M121="","",SUMIFS(TF_Timer,TF_Nokkel,M121,TF_Akt,C121))</f>
        <v/>
      </c>
      <c r="O121" s="2">
        <f>IF(M121="","",IF(AND(N121=_xlfn.MAXIFS(TF_AktSum,TF_Nokkel,M121),COUNTIFS(M$3:M120,M121,N$3:N120,N121)=0),M121,""))</f>
        <v/>
      </c>
    </row>
    <row r="122">
      <c r="A122" s="34" t="n"/>
      <c r="B122" s="35" t="n"/>
      <c r="C122" s="35" t="n"/>
      <c r="D122" s="35" t="n"/>
      <c r="E122" s="35" t="n"/>
      <c r="F122" s="36" t="n"/>
      <c r="G122" s="35" t="n"/>
      <c r="H122" s="30">
        <f>IF(L122="","",INDEX(SkiftNavn,L122))</f>
        <v/>
      </c>
      <c r="I122" s="30">
        <f>IF(OR(A122="",L122=""),"",IF(MOD(A122-INDEX(SkiftStart,L122),Syklus)&lt;DagK,"Kveld",IF(MOD(A122-INDEX(SkiftStart,L122),Syklus)&lt;DagK+DagH,"Helg",IF(MOD(A122-INDEX(SkiftStart,L122),Syklus)&lt;DagK+DagH+DagD,"Dag","Fri"))))</f>
        <v/>
      </c>
      <c r="J122" s="30">
        <f>IF(I122="Fri","Ja","")</f>
        <v/>
      </c>
      <c r="K122" s="30">
        <f>IF(B122="","",IF(L122="","Ukjent tekniker",IF(ISNA(MATCH(C122,Aktiviteter,0)),"Ukjent aktivitet",IF(AND(INDEX(AktRolle,MATCH(C122,Aktiviteter,0))&amp;""&lt;&gt;"",ISERROR(SEARCH(INDEX(AktRolle,MATCH(C122,Aktiviteter,0))&amp;"",INDEX(TekRoller,MATCH(B122,Teknikere,0))))),"Mangler rollen "&amp;INDEX(AktRolle,MATCH(C122,Aktiviteter,0))&amp;"",IF(AND(C122="LMS",F122&gt;0,OR(D122="",E122="")),"Mangler maskin eller arbeid",IF(AND(OR(C122="LMS",C122="Mod"),D122&lt;&gt;""),IF(IFERROR(INDEX(MaskinStatus,MATCH(D122,Maskiner,0)),"")="I dokk","","Maskinen er ikke i dokk"),""))))))</f>
        <v/>
      </c>
      <c r="L122" s="2">
        <f>IF(B122="","",IFERROR(INT((MATCH(B122,Teknikere,0)-1)/18)+1,""))</f>
        <v/>
      </c>
      <c r="M122" s="2">
        <f>IF(OR(A122="",B122=""),"",B122&amp;"|"&amp;A122)</f>
        <v/>
      </c>
      <c r="N122" s="2">
        <f>IF(M122="","",SUMIFS(TF_Timer,TF_Nokkel,M122,TF_Akt,C122))</f>
        <v/>
      </c>
      <c r="O122" s="2">
        <f>IF(M122="","",IF(AND(N122=_xlfn.MAXIFS(TF_AktSum,TF_Nokkel,M122),COUNTIFS(M$3:M121,M122,N$3:N121,N122)=0),M122,""))</f>
        <v/>
      </c>
    </row>
    <row r="123">
      <c r="A123" s="34" t="n"/>
      <c r="B123" s="35" t="n"/>
      <c r="C123" s="35" t="n"/>
      <c r="D123" s="35" t="n"/>
      <c r="E123" s="35" t="n"/>
      <c r="F123" s="36" t="n"/>
      <c r="G123" s="35" t="n"/>
      <c r="H123" s="30">
        <f>IF(L123="","",INDEX(SkiftNavn,L123))</f>
        <v/>
      </c>
      <c r="I123" s="30">
        <f>IF(OR(A123="",L123=""),"",IF(MOD(A123-INDEX(SkiftStart,L123),Syklus)&lt;DagK,"Kveld",IF(MOD(A123-INDEX(SkiftStart,L123),Syklus)&lt;DagK+DagH,"Helg",IF(MOD(A123-INDEX(SkiftStart,L123),Syklus)&lt;DagK+DagH+DagD,"Dag","Fri"))))</f>
        <v/>
      </c>
      <c r="J123" s="30">
        <f>IF(I123="Fri","Ja","")</f>
        <v/>
      </c>
      <c r="K123" s="30">
        <f>IF(B123="","",IF(L123="","Ukjent tekniker",IF(ISNA(MATCH(C123,Aktiviteter,0)),"Ukjent aktivitet",IF(AND(INDEX(AktRolle,MATCH(C123,Aktiviteter,0))&amp;""&lt;&gt;"",ISERROR(SEARCH(INDEX(AktRolle,MATCH(C123,Aktiviteter,0))&amp;"",INDEX(TekRoller,MATCH(B123,Teknikere,0))))),"Mangler rollen "&amp;INDEX(AktRolle,MATCH(C123,Aktiviteter,0))&amp;"",IF(AND(C123="LMS",F123&gt;0,OR(D123="",E123="")),"Mangler maskin eller arbeid",IF(AND(OR(C123="LMS",C123="Mod"),D123&lt;&gt;""),IF(IFERROR(INDEX(MaskinStatus,MATCH(D123,Maskiner,0)),"")="I dokk","","Maskinen er ikke i dokk"),""))))))</f>
        <v/>
      </c>
      <c r="L123" s="2">
        <f>IF(B123="","",IFERROR(INT((MATCH(B123,Teknikere,0)-1)/18)+1,""))</f>
        <v/>
      </c>
      <c r="M123" s="2">
        <f>IF(OR(A123="",B123=""),"",B123&amp;"|"&amp;A123)</f>
        <v/>
      </c>
      <c r="N123" s="2">
        <f>IF(M123="","",SUMIFS(TF_Timer,TF_Nokkel,M123,TF_Akt,C123))</f>
        <v/>
      </c>
      <c r="O123" s="2">
        <f>IF(M123="","",IF(AND(N123=_xlfn.MAXIFS(TF_AktSum,TF_Nokkel,M123),COUNTIFS(M$3:M122,M123,N$3:N122,N123)=0),M123,""))</f>
        <v/>
      </c>
    </row>
    <row r="124">
      <c r="A124" s="34" t="n"/>
      <c r="B124" s="35" t="n"/>
      <c r="C124" s="35" t="n"/>
      <c r="D124" s="35" t="n"/>
      <c r="E124" s="35" t="n"/>
      <c r="F124" s="36" t="n"/>
      <c r="G124" s="35" t="n"/>
      <c r="H124" s="30">
        <f>IF(L124="","",INDEX(SkiftNavn,L124))</f>
        <v/>
      </c>
      <c r="I124" s="30">
        <f>IF(OR(A124="",L124=""),"",IF(MOD(A124-INDEX(SkiftStart,L124),Syklus)&lt;DagK,"Kveld",IF(MOD(A124-INDEX(SkiftStart,L124),Syklus)&lt;DagK+DagH,"Helg",IF(MOD(A124-INDEX(SkiftStart,L124),Syklus)&lt;DagK+DagH+DagD,"Dag","Fri"))))</f>
        <v/>
      </c>
      <c r="J124" s="30">
        <f>IF(I124="Fri","Ja","")</f>
        <v/>
      </c>
      <c r="K124" s="30">
        <f>IF(B124="","",IF(L124="","Ukjent tekniker",IF(ISNA(MATCH(C124,Aktiviteter,0)),"Ukjent aktivitet",IF(AND(INDEX(AktRolle,MATCH(C124,Aktiviteter,0))&amp;""&lt;&gt;"",ISERROR(SEARCH(INDEX(AktRolle,MATCH(C124,Aktiviteter,0))&amp;"",INDEX(TekRoller,MATCH(B124,Teknikere,0))))),"Mangler rollen "&amp;INDEX(AktRolle,MATCH(C124,Aktiviteter,0))&amp;"",IF(AND(C124="LMS",F124&gt;0,OR(D124="",E124="")),"Mangler maskin eller arbeid",IF(AND(OR(C124="LMS",C124="Mod"),D124&lt;&gt;""),IF(IFERROR(INDEX(MaskinStatus,MATCH(D124,Maskiner,0)),"")="I dokk","","Maskinen er ikke i dokk"),""))))))</f>
        <v/>
      </c>
      <c r="L124" s="2">
        <f>IF(B124="","",IFERROR(INT((MATCH(B124,Teknikere,0)-1)/18)+1,""))</f>
        <v/>
      </c>
      <c r="M124" s="2">
        <f>IF(OR(A124="",B124=""),"",B124&amp;"|"&amp;A124)</f>
        <v/>
      </c>
      <c r="N124" s="2">
        <f>IF(M124="","",SUMIFS(TF_Timer,TF_Nokkel,M124,TF_Akt,C124))</f>
        <v/>
      </c>
      <c r="O124" s="2">
        <f>IF(M124="","",IF(AND(N124=_xlfn.MAXIFS(TF_AktSum,TF_Nokkel,M124),COUNTIFS(M$3:M123,M124,N$3:N123,N124)=0),M124,""))</f>
        <v/>
      </c>
    </row>
    <row r="125">
      <c r="A125" s="34" t="n"/>
      <c r="B125" s="35" t="n"/>
      <c r="C125" s="35" t="n"/>
      <c r="D125" s="35" t="n"/>
      <c r="E125" s="35" t="n"/>
      <c r="F125" s="36" t="n"/>
      <c r="G125" s="35" t="n"/>
      <c r="H125" s="30">
        <f>IF(L125="","",INDEX(SkiftNavn,L125))</f>
        <v/>
      </c>
      <c r="I125" s="30">
        <f>IF(OR(A125="",L125=""),"",IF(MOD(A125-INDEX(SkiftStart,L125),Syklus)&lt;DagK,"Kveld",IF(MOD(A125-INDEX(SkiftStart,L125),Syklus)&lt;DagK+DagH,"Helg",IF(MOD(A125-INDEX(SkiftStart,L125),Syklus)&lt;DagK+DagH+DagD,"Dag","Fri"))))</f>
        <v/>
      </c>
      <c r="J125" s="30">
        <f>IF(I125="Fri","Ja","")</f>
        <v/>
      </c>
      <c r="K125" s="30">
        <f>IF(B125="","",IF(L125="","Ukjent tekniker",IF(ISNA(MATCH(C125,Aktiviteter,0)),"Ukjent aktivitet",IF(AND(INDEX(AktRolle,MATCH(C125,Aktiviteter,0))&amp;""&lt;&gt;"",ISERROR(SEARCH(INDEX(AktRolle,MATCH(C125,Aktiviteter,0))&amp;"",INDEX(TekRoller,MATCH(B125,Teknikere,0))))),"Mangler rollen "&amp;INDEX(AktRolle,MATCH(C125,Aktiviteter,0))&amp;"",IF(AND(C125="LMS",F125&gt;0,OR(D125="",E125="")),"Mangler maskin eller arbeid",IF(AND(OR(C125="LMS",C125="Mod"),D125&lt;&gt;""),IF(IFERROR(INDEX(MaskinStatus,MATCH(D125,Maskiner,0)),"")="I dokk","","Maskinen er ikke i dokk"),""))))))</f>
        <v/>
      </c>
      <c r="L125" s="2">
        <f>IF(B125="","",IFERROR(INT((MATCH(B125,Teknikere,0)-1)/18)+1,""))</f>
        <v/>
      </c>
      <c r="M125" s="2">
        <f>IF(OR(A125="",B125=""),"",B125&amp;"|"&amp;A125)</f>
        <v/>
      </c>
      <c r="N125" s="2">
        <f>IF(M125="","",SUMIFS(TF_Timer,TF_Nokkel,M125,TF_Akt,C125))</f>
        <v/>
      </c>
      <c r="O125" s="2">
        <f>IF(M125="","",IF(AND(N125=_xlfn.MAXIFS(TF_AktSum,TF_Nokkel,M125),COUNTIFS(M$3:M124,M125,N$3:N124,N125)=0),M125,""))</f>
        <v/>
      </c>
    </row>
    <row r="126">
      <c r="A126" s="34" t="n"/>
      <c r="B126" s="35" t="n"/>
      <c r="C126" s="35" t="n"/>
      <c r="D126" s="35" t="n"/>
      <c r="E126" s="35" t="n"/>
      <c r="F126" s="36" t="n"/>
      <c r="G126" s="35" t="n"/>
      <c r="H126" s="30">
        <f>IF(L126="","",INDEX(SkiftNavn,L126))</f>
        <v/>
      </c>
      <c r="I126" s="30">
        <f>IF(OR(A126="",L126=""),"",IF(MOD(A126-INDEX(SkiftStart,L126),Syklus)&lt;DagK,"Kveld",IF(MOD(A126-INDEX(SkiftStart,L126),Syklus)&lt;DagK+DagH,"Helg",IF(MOD(A126-INDEX(SkiftStart,L126),Syklus)&lt;DagK+DagH+DagD,"Dag","Fri"))))</f>
        <v/>
      </c>
      <c r="J126" s="30">
        <f>IF(I126="Fri","Ja","")</f>
        <v/>
      </c>
      <c r="K126" s="30">
        <f>IF(B126="","",IF(L126="","Ukjent tekniker",IF(ISNA(MATCH(C126,Aktiviteter,0)),"Ukjent aktivitet",IF(AND(INDEX(AktRolle,MATCH(C126,Aktiviteter,0))&amp;""&lt;&gt;"",ISERROR(SEARCH(INDEX(AktRolle,MATCH(C126,Aktiviteter,0))&amp;"",INDEX(TekRoller,MATCH(B126,Teknikere,0))))),"Mangler rollen "&amp;INDEX(AktRolle,MATCH(C126,Aktiviteter,0))&amp;"",IF(AND(C126="LMS",F126&gt;0,OR(D126="",E126="")),"Mangler maskin eller arbeid",IF(AND(OR(C126="LMS",C126="Mod"),D126&lt;&gt;""),IF(IFERROR(INDEX(MaskinStatus,MATCH(D126,Maskiner,0)),"")="I dokk","","Maskinen er ikke i dokk"),""))))))</f>
        <v/>
      </c>
      <c r="L126" s="2">
        <f>IF(B126="","",IFERROR(INT((MATCH(B126,Teknikere,0)-1)/18)+1,""))</f>
        <v/>
      </c>
      <c r="M126" s="2">
        <f>IF(OR(A126="",B126=""),"",B126&amp;"|"&amp;A126)</f>
        <v/>
      </c>
      <c r="N126" s="2">
        <f>IF(M126="","",SUMIFS(TF_Timer,TF_Nokkel,M126,TF_Akt,C126))</f>
        <v/>
      </c>
      <c r="O126" s="2">
        <f>IF(M126="","",IF(AND(N126=_xlfn.MAXIFS(TF_AktSum,TF_Nokkel,M126),COUNTIFS(M$3:M125,M126,N$3:N125,N126)=0),M126,""))</f>
        <v/>
      </c>
    </row>
    <row r="127">
      <c r="A127" s="34" t="n"/>
      <c r="B127" s="35" t="n"/>
      <c r="C127" s="35" t="n"/>
      <c r="D127" s="35" t="n"/>
      <c r="E127" s="35" t="n"/>
      <c r="F127" s="36" t="n"/>
      <c r="G127" s="35" t="n"/>
      <c r="H127" s="30">
        <f>IF(L127="","",INDEX(SkiftNavn,L127))</f>
        <v/>
      </c>
      <c r="I127" s="30">
        <f>IF(OR(A127="",L127=""),"",IF(MOD(A127-INDEX(SkiftStart,L127),Syklus)&lt;DagK,"Kveld",IF(MOD(A127-INDEX(SkiftStart,L127),Syklus)&lt;DagK+DagH,"Helg",IF(MOD(A127-INDEX(SkiftStart,L127),Syklus)&lt;DagK+DagH+DagD,"Dag","Fri"))))</f>
        <v/>
      </c>
      <c r="J127" s="30">
        <f>IF(I127="Fri","Ja","")</f>
        <v/>
      </c>
      <c r="K127" s="30">
        <f>IF(B127="","",IF(L127="","Ukjent tekniker",IF(ISNA(MATCH(C127,Aktiviteter,0)),"Ukjent aktivitet",IF(AND(INDEX(AktRolle,MATCH(C127,Aktiviteter,0))&amp;""&lt;&gt;"",ISERROR(SEARCH(INDEX(AktRolle,MATCH(C127,Aktiviteter,0))&amp;"",INDEX(TekRoller,MATCH(B127,Teknikere,0))))),"Mangler rollen "&amp;INDEX(AktRolle,MATCH(C127,Aktiviteter,0))&amp;"",IF(AND(C127="LMS",F127&gt;0,OR(D127="",E127="")),"Mangler maskin eller arbeid",IF(AND(OR(C127="LMS",C127="Mod"),D127&lt;&gt;""),IF(IFERROR(INDEX(MaskinStatus,MATCH(D127,Maskiner,0)),"")="I dokk","","Maskinen er ikke i dokk"),""))))))</f>
        <v/>
      </c>
      <c r="L127" s="2">
        <f>IF(B127="","",IFERROR(INT((MATCH(B127,Teknikere,0)-1)/18)+1,""))</f>
        <v/>
      </c>
      <c r="M127" s="2">
        <f>IF(OR(A127="",B127=""),"",B127&amp;"|"&amp;A127)</f>
        <v/>
      </c>
      <c r="N127" s="2">
        <f>IF(M127="","",SUMIFS(TF_Timer,TF_Nokkel,M127,TF_Akt,C127))</f>
        <v/>
      </c>
      <c r="O127" s="2">
        <f>IF(M127="","",IF(AND(N127=_xlfn.MAXIFS(TF_AktSum,TF_Nokkel,M127),COUNTIFS(M$3:M126,M127,N$3:N126,N127)=0),M127,""))</f>
        <v/>
      </c>
    </row>
    <row r="128">
      <c r="A128" s="34" t="n"/>
      <c r="B128" s="35" t="n"/>
      <c r="C128" s="35" t="n"/>
      <c r="D128" s="35" t="n"/>
      <c r="E128" s="35" t="n"/>
      <c r="F128" s="36" t="n"/>
      <c r="G128" s="35" t="n"/>
      <c r="H128" s="30">
        <f>IF(L128="","",INDEX(SkiftNavn,L128))</f>
        <v/>
      </c>
      <c r="I128" s="30">
        <f>IF(OR(A128="",L128=""),"",IF(MOD(A128-INDEX(SkiftStart,L128),Syklus)&lt;DagK,"Kveld",IF(MOD(A128-INDEX(SkiftStart,L128),Syklus)&lt;DagK+DagH,"Helg",IF(MOD(A128-INDEX(SkiftStart,L128),Syklus)&lt;DagK+DagH+DagD,"Dag","Fri"))))</f>
        <v/>
      </c>
      <c r="J128" s="30">
        <f>IF(I128="Fri","Ja","")</f>
        <v/>
      </c>
      <c r="K128" s="30">
        <f>IF(B128="","",IF(L128="","Ukjent tekniker",IF(ISNA(MATCH(C128,Aktiviteter,0)),"Ukjent aktivitet",IF(AND(INDEX(AktRolle,MATCH(C128,Aktiviteter,0))&amp;""&lt;&gt;"",ISERROR(SEARCH(INDEX(AktRolle,MATCH(C128,Aktiviteter,0))&amp;"",INDEX(TekRoller,MATCH(B128,Teknikere,0))))),"Mangler rollen "&amp;INDEX(AktRolle,MATCH(C128,Aktiviteter,0))&amp;"",IF(AND(C128="LMS",F128&gt;0,OR(D128="",E128="")),"Mangler maskin eller arbeid",IF(AND(OR(C128="LMS",C128="Mod"),D128&lt;&gt;""),IF(IFERROR(INDEX(MaskinStatus,MATCH(D128,Maskiner,0)),"")="I dokk","","Maskinen er ikke i dokk"),""))))))</f>
        <v/>
      </c>
      <c r="L128" s="2">
        <f>IF(B128="","",IFERROR(INT((MATCH(B128,Teknikere,0)-1)/18)+1,""))</f>
        <v/>
      </c>
      <c r="M128" s="2">
        <f>IF(OR(A128="",B128=""),"",B128&amp;"|"&amp;A128)</f>
        <v/>
      </c>
      <c r="N128" s="2">
        <f>IF(M128="","",SUMIFS(TF_Timer,TF_Nokkel,M128,TF_Akt,C128))</f>
        <v/>
      </c>
      <c r="O128" s="2">
        <f>IF(M128="","",IF(AND(N128=_xlfn.MAXIFS(TF_AktSum,TF_Nokkel,M128),COUNTIFS(M$3:M127,M128,N$3:N127,N128)=0),M128,""))</f>
        <v/>
      </c>
    </row>
    <row r="129">
      <c r="A129" s="34" t="n"/>
      <c r="B129" s="35" t="n"/>
      <c r="C129" s="35" t="n"/>
      <c r="D129" s="35" t="n"/>
      <c r="E129" s="35" t="n"/>
      <c r="F129" s="36" t="n"/>
      <c r="G129" s="35" t="n"/>
      <c r="H129" s="30">
        <f>IF(L129="","",INDEX(SkiftNavn,L129))</f>
        <v/>
      </c>
      <c r="I129" s="30">
        <f>IF(OR(A129="",L129=""),"",IF(MOD(A129-INDEX(SkiftStart,L129),Syklus)&lt;DagK,"Kveld",IF(MOD(A129-INDEX(SkiftStart,L129),Syklus)&lt;DagK+DagH,"Helg",IF(MOD(A129-INDEX(SkiftStart,L129),Syklus)&lt;DagK+DagH+DagD,"Dag","Fri"))))</f>
        <v/>
      </c>
      <c r="J129" s="30">
        <f>IF(I129="Fri","Ja","")</f>
        <v/>
      </c>
      <c r="K129" s="30">
        <f>IF(B129="","",IF(L129="","Ukjent tekniker",IF(ISNA(MATCH(C129,Aktiviteter,0)),"Ukjent aktivitet",IF(AND(INDEX(AktRolle,MATCH(C129,Aktiviteter,0))&amp;""&lt;&gt;"",ISERROR(SEARCH(INDEX(AktRolle,MATCH(C129,Aktiviteter,0))&amp;"",INDEX(TekRoller,MATCH(B129,Teknikere,0))))),"Mangler rollen "&amp;INDEX(AktRolle,MATCH(C129,Aktiviteter,0))&amp;"",IF(AND(C129="LMS",F129&gt;0,OR(D129="",E129="")),"Mangler maskin eller arbeid",IF(AND(OR(C129="LMS",C129="Mod"),D129&lt;&gt;""),IF(IFERROR(INDEX(MaskinStatus,MATCH(D129,Maskiner,0)),"")="I dokk","","Maskinen er ikke i dokk"),""))))))</f>
        <v/>
      </c>
      <c r="L129" s="2">
        <f>IF(B129="","",IFERROR(INT((MATCH(B129,Teknikere,0)-1)/18)+1,""))</f>
        <v/>
      </c>
      <c r="M129" s="2">
        <f>IF(OR(A129="",B129=""),"",B129&amp;"|"&amp;A129)</f>
        <v/>
      </c>
      <c r="N129" s="2">
        <f>IF(M129="","",SUMIFS(TF_Timer,TF_Nokkel,M129,TF_Akt,C129))</f>
        <v/>
      </c>
      <c r="O129" s="2">
        <f>IF(M129="","",IF(AND(N129=_xlfn.MAXIFS(TF_AktSum,TF_Nokkel,M129),COUNTIFS(M$3:M128,M129,N$3:N128,N129)=0),M129,""))</f>
        <v/>
      </c>
    </row>
    <row r="130">
      <c r="A130" s="34" t="n"/>
      <c r="B130" s="35" t="n"/>
      <c r="C130" s="35" t="n"/>
      <c r="D130" s="35" t="n"/>
      <c r="E130" s="35" t="n"/>
      <c r="F130" s="36" t="n"/>
      <c r="G130" s="35" t="n"/>
      <c r="H130" s="30">
        <f>IF(L130="","",INDEX(SkiftNavn,L130))</f>
        <v/>
      </c>
      <c r="I130" s="30">
        <f>IF(OR(A130="",L130=""),"",IF(MOD(A130-INDEX(SkiftStart,L130),Syklus)&lt;DagK,"Kveld",IF(MOD(A130-INDEX(SkiftStart,L130),Syklus)&lt;DagK+DagH,"Helg",IF(MOD(A130-INDEX(SkiftStart,L130),Syklus)&lt;DagK+DagH+DagD,"Dag","Fri"))))</f>
        <v/>
      </c>
      <c r="J130" s="30">
        <f>IF(I130="Fri","Ja","")</f>
        <v/>
      </c>
      <c r="K130" s="30">
        <f>IF(B130="","",IF(L130="","Ukjent tekniker",IF(ISNA(MATCH(C130,Aktiviteter,0)),"Ukjent aktivitet",IF(AND(INDEX(AktRolle,MATCH(C130,Aktiviteter,0))&amp;""&lt;&gt;"",ISERROR(SEARCH(INDEX(AktRolle,MATCH(C130,Aktiviteter,0))&amp;"",INDEX(TekRoller,MATCH(B130,Teknikere,0))))),"Mangler rollen "&amp;INDEX(AktRolle,MATCH(C130,Aktiviteter,0))&amp;"",IF(AND(C130="LMS",F130&gt;0,OR(D130="",E130="")),"Mangler maskin eller arbeid",IF(AND(OR(C130="LMS",C130="Mod"),D130&lt;&gt;""),IF(IFERROR(INDEX(MaskinStatus,MATCH(D130,Maskiner,0)),"")="I dokk","","Maskinen er ikke i dokk"),""))))))</f>
        <v/>
      </c>
      <c r="L130" s="2">
        <f>IF(B130="","",IFERROR(INT((MATCH(B130,Teknikere,0)-1)/18)+1,""))</f>
        <v/>
      </c>
      <c r="M130" s="2">
        <f>IF(OR(A130="",B130=""),"",B130&amp;"|"&amp;A130)</f>
        <v/>
      </c>
      <c r="N130" s="2">
        <f>IF(M130="","",SUMIFS(TF_Timer,TF_Nokkel,M130,TF_Akt,C130))</f>
        <v/>
      </c>
      <c r="O130" s="2">
        <f>IF(M130="","",IF(AND(N130=_xlfn.MAXIFS(TF_AktSum,TF_Nokkel,M130),COUNTIFS(M$3:M129,M130,N$3:N129,N130)=0),M130,""))</f>
        <v/>
      </c>
    </row>
    <row r="131">
      <c r="A131" s="34" t="n"/>
      <c r="B131" s="35" t="n"/>
      <c r="C131" s="35" t="n"/>
      <c r="D131" s="35" t="n"/>
      <c r="E131" s="35" t="n"/>
      <c r="F131" s="36" t="n"/>
      <c r="G131" s="35" t="n"/>
      <c r="H131" s="30">
        <f>IF(L131="","",INDEX(SkiftNavn,L131))</f>
        <v/>
      </c>
      <c r="I131" s="30">
        <f>IF(OR(A131="",L131=""),"",IF(MOD(A131-INDEX(SkiftStart,L131),Syklus)&lt;DagK,"Kveld",IF(MOD(A131-INDEX(SkiftStart,L131),Syklus)&lt;DagK+DagH,"Helg",IF(MOD(A131-INDEX(SkiftStart,L131),Syklus)&lt;DagK+DagH+DagD,"Dag","Fri"))))</f>
        <v/>
      </c>
      <c r="J131" s="30">
        <f>IF(I131="Fri","Ja","")</f>
        <v/>
      </c>
      <c r="K131" s="30">
        <f>IF(B131="","",IF(L131="","Ukjent tekniker",IF(ISNA(MATCH(C131,Aktiviteter,0)),"Ukjent aktivitet",IF(AND(INDEX(AktRolle,MATCH(C131,Aktiviteter,0))&amp;""&lt;&gt;"",ISERROR(SEARCH(INDEX(AktRolle,MATCH(C131,Aktiviteter,0))&amp;"",INDEX(TekRoller,MATCH(B131,Teknikere,0))))),"Mangler rollen "&amp;INDEX(AktRolle,MATCH(C131,Aktiviteter,0))&amp;"",IF(AND(C131="LMS",F131&gt;0,OR(D131="",E131="")),"Mangler maskin eller arbeid",IF(AND(OR(C131="LMS",C131="Mod"),D131&lt;&gt;""),IF(IFERROR(INDEX(MaskinStatus,MATCH(D131,Maskiner,0)),"")="I dokk","","Maskinen er ikke i dokk"),""))))))</f>
        <v/>
      </c>
      <c r="L131" s="2">
        <f>IF(B131="","",IFERROR(INT((MATCH(B131,Teknikere,0)-1)/18)+1,""))</f>
        <v/>
      </c>
      <c r="M131" s="2">
        <f>IF(OR(A131="",B131=""),"",B131&amp;"|"&amp;A131)</f>
        <v/>
      </c>
      <c r="N131" s="2">
        <f>IF(M131="","",SUMIFS(TF_Timer,TF_Nokkel,M131,TF_Akt,C131))</f>
        <v/>
      </c>
      <c r="O131" s="2">
        <f>IF(M131="","",IF(AND(N131=_xlfn.MAXIFS(TF_AktSum,TF_Nokkel,M131),COUNTIFS(M$3:M130,M131,N$3:N130,N131)=0),M131,""))</f>
        <v/>
      </c>
    </row>
    <row r="132">
      <c r="A132" s="34" t="n"/>
      <c r="B132" s="35" t="n"/>
      <c r="C132" s="35" t="n"/>
      <c r="D132" s="35" t="n"/>
      <c r="E132" s="35" t="n"/>
      <c r="F132" s="36" t="n"/>
      <c r="G132" s="35" t="n"/>
      <c r="H132" s="30">
        <f>IF(L132="","",INDEX(SkiftNavn,L132))</f>
        <v/>
      </c>
      <c r="I132" s="30">
        <f>IF(OR(A132="",L132=""),"",IF(MOD(A132-INDEX(SkiftStart,L132),Syklus)&lt;DagK,"Kveld",IF(MOD(A132-INDEX(SkiftStart,L132),Syklus)&lt;DagK+DagH,"Helg",IF(MOD(A132-INDEX(SkiftStart,L132),Syklus)&lt;DagK+DagH+DagD,"Dag","Fri"))))</f>
        <v/>
      </c>
      <c r="J132" s="30">
        <f>IF(I132="Fri","Ja","")</f>
        <v/>
      </c>
      <c r="K132" s="30">
        <f>IF(B132="","",IF(L132="","Ukjent tekniker",IF(ISNA(MATCH(C132,Aktiviteter,0)),"Ukjent aktivitet",IF(AND(INDEX(AktRolle,MATCH(C132,Aktiviteter,0))&amp;""&lt;&gt;"",ISERROR(SEARCH(INDEX(AktRolle,MATCH(C132,Aktiviteter,0))&amp;"",INDEX(TekRoller,MATCH(B132,Teknikere,0))))),"Mangler rollen "&amp;INDEX(AktRolle,MATCH(C132,Aktiviteter,0))&amp;"",IF(AND(C132="LMS",F132&gt;0,OR(D132="",E132="")),"Mangler maskin eller arbeid",IF(AND(OR(C132="LMS",C132="Mod"),D132&lt;&gt;""),IF(IFERROR(INDEX(MaskinStatus,MATCH(D132,Maskiner,0)),"")="I dokk","","Maskinen er ikke i dokk"),""))))))</f>
        <v/>
      </c>
      <c r="L132" s="2">
        <f>IF(B132="","",IFERROR(INT((MATCH(B132,Teknikere,0)-1)/18)+1,""))</f>
        <v/>
      </c>
      <c r="M132" s="2">
        <f>IF(OR(A132="",B132=""),"",B132&amp;"|"&amp;A132)</f>
        <v/>
      </c>
      <c r="N132" s="2">
        <f>IF(M132="","",SUMIFS(TF_Timer,TF_Nokkel,M132,TF_Akt,C132))</f>
        <v/>
      </c>
      <c r="O132" s="2">
        <f>IF(M132="","",IF(AND(N132=_xlfn.MAXIFS(TF_AktSum,TF_Nokkel,M132),COUNTIFS(M$3:M131,M132,N$3:N131,N132)=0),M132,""))</f>
        <v/>
      </c>
    </row>
    <row r="133">
      <c r="A133" s="34" t="n"/>
      <c r="B133" s="35" t="n"/>
      <c r="C133" s="35" t="n"/>
      <c r="D133" s="35" t="n"/>
      <c r="E133" s="35" t="n"/>
      <c r="F133" s="36" t="n"/>
      <c r="G133" s="35" t="n"/>
      <c r="H133" s="30">
        <f>IF(L133="","",INDEX(SkiftNavn,L133))</f>
        <v/>
      </c>
      <c r="I133" s="30">
        <f>IF(OR(A133="",L133=""),"",IF(MOD(A133-INDEX(SkiftStart,L133),Syklus)&lt;DagK,"Kveld",IF(MOD(A133-INDEX(SkiftStart,L133),Syklus)&lt;DagK+DagH,"Helg",IF(MOD(A133-INDEX(SkiftStart,L133),Syklus)&lt;DagK+DagH+DagD,"Dag","Fri"))))</f>
        <v/>
      </c>
      <c r="J133" s="30">
        <f>IF(I133="Fri","Ja","")</f>
        <v/>
      </c>
      <c r="K133" s="30">
        <f>IF(B133="","",IF(L133="","Ukjent tekniker",IF(ISNA(MATCH(C133,Aktiviteter,0)),"Ukjent aktivitet",IF(AND(INDEX(AktRolle,MATCH(C133,Aktiviteter,0))&amp;""&lt;&gt;"",ISERROR(SEARCH(INDEX(AktRolle,MATCH(C133,Aktiviteter,0))&amp;"",INDEX(TekRoller,MATCH(B133,Teknikere,0))))),"Mangler rollen "&amp;INDEX(AktRolle,MATCH(C133,Aktiviteter,0))&amp;"",IF(AND(C133="LMS",F133&gt;0,OR(D133="",E133="")),"Mangler maskin eller arbeid",IF(AND(OR(C133="LMS",C133="Mod"),D133&lt;&gt;""),IF(IFERROR(INDEX(MaskinStatus,MATCH(D133,Maskiner,0)),"")="I dokk","","Maskinen er ikke i dokk"),""))))))</f>
        <v/>
      </c>
      <c r="L133" s="2">
        <f>IF(B133="","",IFERROR(INT((MATCH(B133,Teknikere,0)-1)/18)+1,""))</f>
        <v/>
      </c>
      <c r="M133" s="2">
        <f>IF(OR(A133="",B133=""),"",B133&amp;"|"&amp;A133)</f>
        <v/>
      </c>
      <c r="N133" s="2">
        <f>IF(M133="","",SUMIFS(TF_Timer,TF_Nokkel,M133,TF_Akt,C133))</f>
        <v/>
      </c>
      <c r="O133" s="2">
        <f>IF(M133="","",IF(AND(N133=_xlfn.MAXIFS(TF_AktSum,TF_Nokkel,M133),COUNTIFS(M$3:M132,M133,N$3:N132,N133)=0),M133,""))</f>
        <v/>
      </c>
    </row>
    <row r="134">
      <c r="A134" s="34" t="n"/>
      <c r="B134" s="35" t="n"/>
      <c r="C134" s="35" t="n"/>
      <c r="D134" s="35" t="n"/>
      <c r="E134" s="35" t="n"/>
      <c r="F134" s="36" t="n"/>
      <c r="G134" s="35" t="n"/>
      <c r="H134" s="30">
        <f>IF(L134="","",INDEX(SkiftNavn,L134))</f>
        <v/>
      </c>
      <c r="I134" s="30">
        <f>IF(OR(A134="",L134=""),"",IF(MOD(A134-INDEX(SkiftStart,L134),Syklus)&lt;DagK,"Kveld",IF(MOD(A134-INDEX(SkiftStart,L134),Syklus)&lt;DagK+DagH,"Helg",IF(MOD(A134-INDEX(SkiftStart,L134),Syklus)&lt;DagK+DagH+DagD,"Dag","Fri"))))</f>
        <v/>
      </c>
      <c r="J134" s="30">
        <f>IF(I134="Fri","Ja","")</f>
        <v/>
      </c>
      <c r="K134" s="30">
        <f>IF(B134="","",IF(L134="","Ukjent tekniker",IF(ISNA(MATCH(C134,Aktiviteter,0)),"Ukjent aktivitet",IF(AND(INDEX(AktRolle,MATCH(C134,Aktiviteter,0))&amp;""&lt;&gt;"",ISERROR(SEARCH(INDEX(AktRolle,MATCH(C134,Aktiviteter,0))&amp;"",INDEX(TekRoller,MATCH(B134,Teknikere,0))))),"Mangler rollen "&amp;INDEX(AktRolle,MATCH(C134,Aktiviteter,0))&amp;"",IF(AND(C134="LMS",F134&gt;0,OR(D134="",E134="")),"Mangler maskin eller arbeid",IF(AND(OR(C134="LMS",C134="Mod"),D134&lt;&gt;""),IF(IFERROR(INDEX(MaskinStatus,MATCH(D134,Maskiner,0)),"")="I dokk","","Maskinen er ikke i dokk"),""))))))</f>
        <v/>
      </c>
      <c r="L134" s="2">
        <f>IF(B134="","",IFERROR(INT((MATCH(B134,Teknikere,0)-1)/18)+1,""))</f>
        <v/>
      </c>
      <c r="M134" s="2">
        <f>IF(OR(A134="",B134=""),"",B134&amp;"|"&amp;A134)</f>
        <v/>
      </c>
      <c r="N134" s="2">
        <f>IF(M134="","",SUMIFS(TF_Timer,TF_Nokkel,M134,TF_Akt,C134))</f>
        <v/>
      </c>
      <c r="O134" s="2">
        <f>IF(M134="","",IF(AND(N134=_xlfn.MAXIFS(TF_AktSum,TF_Nokkel,M134),COUNTIFS(M$3:M133,M134,N$3:N133,N134)=0),M134,""))</f>
        <v/>
      </c>
    </row>
    <row r="135">
      <c r="A135" s="34" t="n"/>
      <c r="B135" s="35" t="n"/>
      <c r="C135" s="35" t="n"/>
      <c r="D135" s="35" t="n"/>
      <c r="E135" s="35" t="n"/>
      <c r="F135" s="36" t="n"/>
      <c r="G135" s="35" t="n"/>
      <c r="H135" s="30">
        <f>IF(L135="","",INDEX(SkiftNavn,L135))</f>
        <v/>
      </c>
      <c r="I135" s="30">
        <f>IF(OR(A135="",L135=""),"",IF(MOD(A135-INDEX(SkiftStart,L135),Syklus)&lt;DagK,"Kveld",IF(MOD(A135-INDEX(SkiftStart,L135),Syklus)&lt;DagK+DagH,"Helg",IF(MOD(A135-INDEX(SkiftStart,L135),Syklus)&lt;DagK+DagH+DagD,"Dag","Fri"))))</f>
        <v/>
      </c>
      <c r="J135" s="30">
        <f>IF(I135="Fri","Ja","")</f>
        <v/>
      </c>
      <c r="K135" s="30">
        <f>IF(B135="","",IF(L135="","Ukjent tekniker",IF(ISNA(MATCH(C135,Aktiviteter,0)),"Ukjent aktivitet",IF(AND(INDEX(AktRolle,MATCH(C135,Aktiviteter,0))&amp;""&lt;&gt;"",ISERROR(SEARCH(INDEX(AktRolle,MATCH(C135,Aktiviteter,0))&amp;"",INDEX(TekRoller,MATCH(B135,Teknikere,0))))),"Mangler rollen "&amp;INDEX(AktRolle,MATCH(C135,Aktiviteter,0))&amp;"",IF(AND(C135="LMS",F135&gt;0,OR(D135="",E135="")),"Mangler maskin eller arbeid",IF(AND(OR(C135="LMS",C135="Mod"),D135&lt;&gt;""),IF(IFERROR(INDEX(MaskinStatus,MATCH(D135,Maskiner,0)),"")="I dokk","","Maskinen er ikke i dokk"),""))))))</f>
        <v/>
      </c>
      <c r="L135" s="2">
        <f>IF(B135="","",IFERROR(INT((MATCH(B135,Teknikere,0)-1)/18)+1,""))</f>
        <v/>
      </c>
      <c r="M135" s="2">
        <f>IF(OR(A135="",B135=""),"",B135&amp;"|"&amp;A135)</f>
        <v/>
      </c>
      <c r="N135" s="2">
        <f>IF(M135="","",SUMIFS(TF_Timer,TF_Nokkel,M135,TF_Akt,C135))</f>
        <v/>
      </c>
      <c r="O135" s="2">
        <f>IF(M135="","",IF(AND(N135=_xlfn.MAXIFS(TF_AktSum,TF_Nokkel,M135),COUNTIFS(M$3:M134,M135,N$3:N134,N135)=0),M135,""))</f>
        <v/>
      </c>
    </row>
    <row r="136">
      <c r="A136" s="34" t="n"/>
      <c r="B136" s="35" t="n"/>
      <c r="C136" s="35" t="n"/>
      <c r="D136" s="35" t="n"/>
      <c r="E136" s="35" t="n"/>
      <c r="F136" s="36" t="n"/>
      <c r="G136" s="35" t="n"/>
      <c r="H136" s="30">
        <f>IF(L136="","",INDEX(SkiftNavn,L136))</f>
        <v/>
      </c>
      <c r="I136" s="30">
        <f>IF(OR(A136="",L136=""),"",IF(MOD(A136-INDEX(SkiftStart,L136),Syklus)&lt;DagK,"Kveld",IF(MOD(A136-INDEX(SkiftStart,L136),Syklus)&lt;DagK+DagH,"Helg",IF(MOD(A136-INDEX(SkiftStart,L136),Syklus)&lt;DagK+DagH+DagD,"Dag","Fri"))))</f>
        <v/>
      </c>
      <c r="J136" s="30">
        <f>IF(I136="Fri","Ja","")</f>
        <v/>
      </c>
      <c r="K136" s="30">
        <f>IF(B136="","",IF(L136="","Ukjent tekniker",IF(ISNA(MATCH(C136,Aktiviteter,0)),"Ukjent aktivitet",IF(AND(INDEX(AktRolle,MATCH(C136,Aktiviteter,0))&amp;""&lt;&gt;"",ISERROR(SEARCH(INDEX(AktRolle,MATCH(C136,Aktiviteter,0))&amp;"",INDEX(TekRoller,MATCH(B136,Teknikere,0))))),"Mangler rollen "&amp;INDEX(AktRolle,MATCH(C136,Aktiviteter,0))&amp;"",IF(AND(C136="LMS",F136&gt;0,OR(D136="",E136="")),"Mangler maskin eller arbeid",IF(AND(OR(C136="LMS",C136="Mod"),D136&lt;&gt;""),IF(IFERROR(INDEX(MaskinStatus,MATCH(D136,Maskiner,0)),"")="I dokk","","Maskinen er ikke i dokk"),""))))))</f>
        <v/>
      </c>
      <c r="L136" s="2">
        <f>IF(B136="","",IFERROR(INT((MATCH(B136,Teknikere,0)-1)/18)+1,""))</f>
        <v/>
      </c>
      <c r="M136" s="2">
        <f>IF(OR(A136="",B136=""),"",B136&amp;"|"&amp;A136)</f>
        <v/>
      </c>
      <c r="N136" s="2">
        <f>IF(M136="","",SUMIFS(TF_Timer,TF_Nokkel,M136,TF_Akt,C136))</f>
        <v/>
      </c>
      <c r="O136" s="2">
        <f>IF(M136="","",IF(AND(N136=_xlfn.MAXIFS(TF_AktSum,TF_Nokkel,M136),COUNTIFS(M$3:M135,M136,N$3:N135,N136)=0),M136,""))</f>
        <v/>
      </c>
    </row>
    <row r="137">
      <c r="A137" s="34" t="n"/>
      <c r="B137" s="35" t="n"/>
      <c r="C137" s="35" t="n"/>
      <c r="D137" s="35" t="n"/>
      <c r="E137" s="35" t="n"/>
      <c r="F137" s="36" t="n"/>
      <c r="G137" s="35" t="n"/>
      <c r="H137" s="30">
        <f>IF(L137="","",INDEX(SkiftNavn,L137))</f>
        <v/>
      </c>
      <c r="I137" s="30">
        <f>IF(OR(A137="",L137=""),"",IF(MOD(A137-INDEX(SkiftStart,L137),Syklus)&lt;DagK,"Kveld",IF(MOD(A137-INDEX(SkiftStart,L137),Syklus)&lt;DagK+DagH,"Helg",IF(MOD(A137-INDEX(SkiftStart,L137),Syklus)&lt;DagK+DagH+DagD,"Dag","Fri"))))</f>
        <v/>
      </c>
      <c r="J137" s="30">
        <f>IF(I137="Fri","Ja","")</f>
        <v/>
      </c>
      <c r="K137" s="30">
        <f>IF(B137="","",IF(L137="","Ukjent tekniker",IF(ISNA(MATCH(C137,Aktiviteter,0)),"Ukjent aktivitet",IF(AND(INDEX(AktRolle,MATCH(C137,Aktiviteter,0))&amp;""&lt;&gt;"",ISERROR(SEARCH(INDEX(AktRolle,MATCH(C137,Aktiviteter,0))&amp;"",INDEX(TekRoller,MATCH(B137,Teknikere,0))))),"Mangler rollen "&amp;INDEX(AktRolle,MATCH(C137,Aktiviteter,0))&amp;"",IF(AND(C137="LMS",F137&gt;0,OR(D137="",E137="")),"Mangler maskin eller arbeid",IF(AND(OR(C137="LMS",C137="Mod"),D137&lt;&gt;""),IF(IFERROR(INDEX(MaskinStatus,MATCH(D137,Maskiner,0)),"")="I dokk","","Maskinen er ikke i dokk"),""))))))</f>
        <v/>
      </c>
      <c r="L137" s="2">
        <f>IF(B137="","",IFERROR(INT((MATCH(B137,Teknikere,0)-1)/18)+1,""))</f>
        <v/>
      </c>
      <c r="M137" s="2">
        <f>IF(OR(A137="",B137=""),"",B137&amp;"|"&amp;A137)</f>
        <v/>
      </c>
      <c r="N137" s="2">
        <f>IF(M137="","",SUMIFS(TF_Timer,TF_Nokkel,M137,TF_Akt,C137))</f>
        <v/>
      </c>
      <c r="O137" s="2">
        <f>IF(M137="","",IF(AND(N137=_xlfn.MAXIFS(TF_AktSum,TF_Nokkel,M137),COUNTIFS(M$3:M136,M137,N$3:N136,N137)=0),M137,""))</f>
        <v/>
      </c>
    </row>
    <row r="138">
      <c r="A138" s="34" t="n"/>
      <c r="B138" s="35" t="n"/>
      <c r="C138" s="35" t="n"/>
      <c r="D138" s="35" t="n"/>
      <c r="E138" s="35" t="n"/>
      <c r="F138" s="36" t="n"/>
      <c r="G138" s="35" t="n"/>
      <c r="H138" s="30">
        <f>IF(L138="","",INDEX(SkiftNavn,L138))</f>
        <v/>
      </c>
      <c r="I138" s="30">
        <f>IF(OR(A138="",L138=""),"",IF(MOD(A138-INDEX(SkiftStart,L138),Syklus)&lt;DagK,"Kveld",IF(MOD(A138-INDEX(SkiftStart,L138),Syklus)&lt;DagK+DagH,"Helg",IF(MOD(A138-INDEX(SkiftStart,L138),Syklus)&lt;DagK+DagH+DagD,"Dag","Fri"))))</f>
        <v/>
      </c>
      <c r="J138" s="30">
        <f>IF(I138="Fri","Ja","")</f>
        <v/>
      </c>
      <c r="K138" s="30">
        <f>IF(B138="","",IF(L138="","Ukjent tekniker",IF(ISNA(MATCH(C138,Aktiviteter,0)),"Ukjent aktivitet",IF(AND(INDEX(AktRolle,MATCH(C138,Aktiviteter,0))&amp;""&lt;&gt;"",ISERROR(SEARCH(INDEX(AktRolle,MATCH(C138,Aktiviteter,0))&amp;"",INDEX(TekRoller,MATCH(B138,Teknikere,0))))),"Mangler rollen "&amp;INDEX(AktRolle,MATCH(C138,Aktiviteter,0))&amp;"",IF(AND(C138="LMS",F138&gt;0,OR(D138="",E138="")),"Mangler maskin eller arbeid",IF(AND(OR(C138="LMS",C138="Mod"),D138&lt;&gt;""),IF(IFERROR(INDEX(MaskinStatus,MATCH(D138,Maskiner,0)),"")="I dokk","","Maskinen er ikke i dokk"),""))))))</f>
        <v/>
      </c>
      <c r="L138" s="2">
        <f>IF(B138="","",IFERROR(INT((MATCH(B138,Teknikere,0)-1)/18)+1,""))</f>
        <v/>
      </c>
      <c r="M138" s="2">
        <f>IF(OR(A138="",B138=""),"",B138&amp;"|"&amp;A138)</f>
        <v/>
      </c>
      <c r="N138" s="2">
        <f>IF(M138="","",SUMIFS(TF_Timer,TF_Nokkel,M138,TF_Akt,C138))</f>
        <v/>
      </c>
      <c r="O138" s="2">
        <f>IF(M138="","",IF(AND(N138=_xlfn.MAXIFS(TF_AktSum,TF_Nokkel,M138),COUNTIFS(M$3:M137,M138,N$3:N137,N138)=0),M138,""))</f>
        <v/>
      </c>
    </row>
    <row r="139">
      <c r="A139" s="34" t="n"/>
      <c r="B139" s="35" t="n"/>
      <c r="C139" s="35" t="n"/>
      <c r="D139" s="35" t="n"/>
      <c r="E139" s="35" t="n"/>
      <c r="F139" s="36" t="n"/>
      <c r="G139" s="35" t="n"/>
      <c r="H139" s="30">
        <f>IF(L139="","",INDEX(SkiftNavn,L139))</f>
        <v/>
      </c>
      <c r="I139" s="30">
        <f>IF(OR(A139="",L139=""),"",IF(MOD(A139-INDEX(SkiftStart,L139),Syklus)&lt;DagK,"Kveld",IF(MOD(A139-INDEX(SkiftStart,L139),Syklus)&lt;DagK+DagH,"Helg",IF(MOD(A139-INDEX(SkiftStart,L139),Syklus)&lt;DagK+DagH+DagD,"Dag","Fri"))))</f>
        <v/>
      </c>
      <c r="J139" s="30">
        <f>IF(I139="Fri","Ja","")</f>
        <v/>
      </c>
      <c r="K139" s="30">
        <f>IF(B139="","",IF(L139="","Ukjent tekniker",IF(ISNA(MATCH(C139,Aktiviteter,0)),"Ukjent aktivitet",IF(AND(INDEX(AktRolle,MATCH(C139,Aktiviteter,0))&amp;""&lt;&gt;"",ISERROR(SEARCH(INDEX(AktRolle,MATCH(C139,Aktiviteter,0))&amp;"",INDEX(TekRoller,MATCH(B139,Teknikere,0))))),"Mangler rollen "&amp;INDEX(AktRolle,MATCH(C139,Aktiviteter,0))&amp;"",IF(AND(C139="LMS",F139&gt;0,OR(D139="",E139="")),"Mangler maskin eller arbeid",IF(AND(OR(C139="LMS",C139="Mod"),D139&lt;&gt;""),IF(IFERROR(INDEX(MaskinStatus,MATCH(D139,Maskiner,0)),"")="I dokk","","Maskinen er ikke i dokk"),""))))))</f>
        <v/>
      </c>
      <c r="L139" s="2">
        <f>IF(B139="","",IFERROR(INT((MATCH(B139,Teknikere,0)-1)/18)+1,""))</f>
        <v/>
      </c>
      <c r="M139" s="2">
        <f>IF(OR(A139="",B139=""),"",B139&amp;"|"&amp;A139)</f>
        <v/>
      </c>
      <c r="N139" s="2">
        <f>IF(M139="","",SUMIFS(TF_Timer,TF_Nokkel,M139,TF_Akt,C139))</f>
        <v/>
      </c>
      <c r="O139" s="2">
        <f>IF(M139="","",IF(AND(N139=_xlfn.MAXIFS(TF_AktSum,TF_Nokkel,M139),COUNTIFS(M$3:M138,M139,N$3:N138,N139)=0),M139,""))</f>
        <v/>
      </c>
    </row>
    <row r="140">
      <c r="A140" s="34" t="n"/>
      <c r="B140" s="35" t="n"/>
      <c r="C140" s="35" t="n"/>
      <c r="D140" s="35" t="n"/>
      <c r="E140" s="35" t="n"/>
      <c r="F140" s="36" t="n"/>
      <c r="G140" s="35" t="n"/>
      <c r="H140" s="30">
        <f>IF(L140="","",INDEX(SkiftNavn,L140))</f>
        <v/>
      </c>
      <c r="I140" s="30">
        <f>IF(OR(A140="",L140=""),"",IF(MOD(A140-INDEX(SkiftStart,L140),Syklus)&lt;DagK,"Kveld",IF(MOD(A140-INDEX(SkiftStart,L140),Syklus)&lt;DagK+DagH,"Helg",IF(MOD(A140-INDEX(SkiftStart,L140),Syklus)&lt;DagK+DagH+DagD,"Dag","Fri"))))</f>
        <v/>
      </c>
      <c r="J140" s="30">
        <f>IF(I140="Fri","Ja","")</f>
        <v/>
      </c>
      <c r="K140" s="30">
        <f>IF(B140="","",IF(L140="","Ukjent tekniker",IF(ISNA(MATCH(C140,Aktiviteter,0)),"Ukjent aktivitet",IF(AND(INDEX(AktRolle,MATCH(C140,Aktiviteter,0))&amp;""&lt;&gt;"",ISERROR(SEARCH(INDEX(AktRolle,MATCH(C140,Aktiviteter,0))&amp;"",INDEX(TekRoller,MATCH(B140,Teknikere,0))))),"Mangler rollen "&amp;INDEX(AktRolle,MATCH(C140,Aktiviteter,0))&amp;"",IF(AND(C140="LMS",F140&gt;0,OR(D140="",E140="")),"Mangler maskin eller arbeid",IF(AND(OR(C140="LMS",C140="Mod"),D140&lt;&gt;""),IF(IFERROR(INDEX(MaskinStatus,MATCH(D140,Maskiner,0)),"")="I dokk","","Maskinen er ikke i dokk"),""))))))</f>
        <v/>
      </c>
      <c r="L140" s="2">
        <f>IF(B140="","",IFERROR(INT((MATCH(B140,Teknikere,0)-1)/18)+1,""))</f>
        <v/>
      </c>
      <c r="M140" s="2">
        <f>IF(OR(A140="",B140=""),"",B140&amp;"|"&amp;A140)</f>
        <v/>
      </c>
      <c r="N140" s="2">
        <f>IF(M140="","",SUMIFS(TF_Timer,TF_Nokkel,M140,TF_Akt,C140))</f>
        <v/>
      </c>
      <c r="O140" s="2">
        <f>IF(M140="","",IF(AND(N140=_xlfn.MAXIFS(TF_AktSum,TF_Nokkel,M140),COUNTIFS(M$3:M139,M140,N$3:N139,N140)=0),M140,""))</f>
        <v/>
      </c>
    </row>
    <row r="141">
      <c r="A141" s="34" t="n"/>
      <c r="B141" s="35" t="n"/>
      <c r="C141" s="35" t="n"/>
      <c r="D141" s="35" t="n"/>
      <c r="E141" s="35" t="n"/>
      <c r="F141" s="36" t="n"/>
      <c r="G141" s="35" t="n"/>
      <c r="H141" s="30">
        <f>IF(L141="","",INDEX(SkiftNavn,L141))</f>
        <v/>
      </c>
      <c r="I141" s="30">
        <f>IF(OR(A141="",L141=""),"",IF(MOD(A141-INDEX(SkiftStart,L141),Syklus)&lt;DagK,"Kveld",IF(MOD(A141-INDEX(SkiftStart,L141),Syklus)&lt;DagK+DagH,"Helg",IF(MOD(A141-INDEX(SkiftStart,L141),Syklus)&lt;DagK+DagH+DagD,"Dag","Fri"))))</f>
        <v/>
      </c>
      <c r="J141" s="30">
        <f>IF(I141="Fri","Ja","")</f>
        <v/>
      </c>
      <c r="K141" s="30">
        <f>IF(B141="","",IF(L141="","Ukjent tekniker",IF(ISNA(MATCH(C141,Aktiviteter,0)),"Ukjent aktivitet",IF(AND(INDEX(AktRolle,MATCH(C141,Aktiviteter,0))&amp;""&lt;&gt;"",ISERROR(SEARCH(INDEX(AktRolle,MATCH(C141,Aktiviteter,0))&amp;"",INDEX(TekRoller,MATCH(B141,Teknikere,0))))),"Mangler rollen "&amp;INDEX(AktRolle,MATCH(C141,Aktiviteter,0))&amp;"",IF(AND(C141="LMS",F141&gt;0,OR(D141="",E141="")),"Mangler maskin eller arbeid",IF(AND(OR(C141="LMS",C141="Mod"),D141&lt;&gt;""),IF(IFERROR(INDEX(MaskinStatus,MATCH(D141,Maskiner,0)),"")="I dokk","","Maskinen er ikke i dokk"),""))))))</f>
        <v/>
      </c>
      <c r="L141" s="2">
        <f>IF(B141="","",IFERROR(INT((MATCH(B141,Teknikere,0)-1)/18)+1,""))</f>
        <v/>
      </c>
      <c r="M141" s="2">
        <f>IF(OR(A141="",B141=""),"",B141&amp;"|"&amp;A141)</f>
        <v/>
      </c>
      <c r="N141" s="2">
        <f>IF(M141="","",SUMIFS(TF_Timer,TF_Nokkel,M141,TF_Akt,C141))</f>
        <v/>
      </c>
      <c r="O141" s="2">
        <f>IF(M141="","",IF(AND(N141=_xlfn.MAXIFS(TF_AktSum,TF_Nokkel,M141),COUNTIFS(M$3:M140,M141,N$3:N140,N141)=0),M141,""))</f>
        <v/>
      </c>
    </row>
    <row r="142">
      <c r="A142" s="34" t="n"/>
      <c r="B142" s="35" t="n"/>
      <c r="C142" s="35" t="n"/>
      <c r="D142" s="35" t="n"/>
      <c r="E142" s="35" t="n"/>
      <c r="F142" s="36" t="n"/>
      <c r="G142" s="35" t="n"/>
      <c r="H142" s="30">
        <f>IF(L142="","",INDEX(SkiftNavn,L142))</f>
        <v/>
      </c>
      <c r="I142" s="30">
        <f>IF(OR(A142="",L142=""),"",IF(MOD(A142-INDEX(SkiftStart,L142),Syklus)&lt;DagK,"Kveld",IF(MOD(A142-INDEX(SkiftStart,L142),Syklus)&lt;DagK+DagH,"Helg",IF(MOD(A142-INDEX(SkiftStart,L142),Syklus)&lt;DagK+DagH+DagD,"Dag","Fri"))))</f>
        <v/>
      </c>
      <c r="J142" s="30">
        <f>IF(I142="Fri","Ja","")</f>
        <v/>
      </c>
      <c r="K142" s="30">
        <f>IF(B142="","",IF(L142="","Ukjent tekniker",IF(ISNA(MATCH(C142,Aktiviteter,0)),"Ukjent aktivitet",IF(AND(INDEX(AktRolle,MATCH(C142,Aktiviteter,0))&amp;""&lt;&gt;"",ISERROR(SEARCH(INDEX(AktRolle,MATCH(C142,Aktiviteter,0))&amp;"",INDEX(TekRoller,MATCH(B142,Teknikere,0))))),"Mangler rollen "&amp;INDEX(AktRolle,MATCH(C142,Aktiviteter,0))&amp;"",IF(AND(C142="LMS",F142&gt;0,OR(D142="",E142="")),"Mangler maskin eller arbeid",IF(AND(OR(C142="LMS",C142="Mod"),D142&lt;&gt;""),IF(IFERROR(INDEX(MaskinStatus,MATCH(D142,Maskiner,0)),"")="I dokk","","Maskinen er ikke i dokk"),""))))))</f>
        <v/>
      </c>
      <c r="L142" s="2">
        <f>IF(B142="","",IFERROR(INT((MATCH(B142,Teknikere,0)-1)/18)+1,""))</f>
        <v/>
      </c>
      <c r="M142" s="2">
        <f>IF(OR(A142="",B142=""),"",B142&amp;"|"&amp;A142)</f>
        <v/>
      </c>
      <c r="N142" s="2">
        <f>IF(M142="","",SUMIFS(TF_Timer,TF_Nokkel,M142,TF_Akt,C142))</f>
        <v/>
      </c>
      <c r="O142" s="2">
        <f>IF(M142="","",IF(AND(N142=_xlfn.MAXIFS(TF_AktSum,TF_Nokkel,M142),COUNTIFS(M$3:M141,M142,N$3:N141,N142)=0),M142,""))</f>
        <v/>
      </c>
    </row>
    <row r="143">
      <c r="A143" s="34" t="n"/>
      <c r="B143" s="35" t="n"/>
      <c r="C143" s="35" t="n"/>
      <c r="D143" s="35" t="n"/>
      <c r="E143" s="35" t="n"/>
      <c r="F143" s="36" t="n"/>
      <c r="G143" s="35" t="n"/>
      <c r="H143" s="30">
        <f>IF(L143="","",INDEX(SkiftNavn,L143))</f>
        <v/>
      </c>
      <c r="I143" s="30">
        <f>IF(OR(A143="",L143=""),"",IF(MOD(A143-INDEX(SkiftStart,L143),Syklus)&lt;DagK,"Kveld",IF(MOD(A143-INDEX(SkiftStart,L143),Syklus)&lt;DagK+DagH,"Helg",IF(MOD(A143-INDEX(SkiftStart,L143),Syklus)&lt;DagK+DagH+DagD,"Dag","Fri"))))</f>
        <v/>
      </c>
      <c r="J143" s="30">
        <f>IF(I143="Fri","Ja","")</f>
        <v/>
      </c>
      <c r="K143" s="30">
        <f>IF(B143="","",IF(L143="","Ukjent tekniker",IF(ISNA(MATCH(C143,Aktiviteter,0)),"Ukjent aktivitet",IF(AND(INDEX(AktRolle,MATCH(C143,Aktiviteter,0))&amp;""&lt;&gt;"",ISERROR(SEARCH(INDEX(AktRolle,MATCH(C143,Aktiviteter,0))&amp;"",INDEX(TekRoller,MATCH(B143,Teknikere,0))))),"Mangler rollen "&amp;INDEX(AktRolle,MATCH(C143,Aktiviteter,0))&amp;"",IF(AND(C143="LMS",F143&gt;0,OR(D143="",E143="")),"Mangler maskin eller arbeid",IF(AND(OR(C143="LMS",C143="Mod"),D143&lt;&gt;""),IF(IFERROR(INDEX(MaskinStatus,MATCH(D143,Maskiner,0)),"")="I dokk","","Maskinen er ikke i dokk"),""))))))</f>
        <v/>
      </c>
      <c r="L143" s="2">
        <f>IF(B143="","",IFERROR(INT((MATCH(B143,Teknikere,0)-1)/18)+1,""))</f>
        <v/>
      </c>
      <c r="M143" s="2">
        <f>IF(OR(A143="",B143=""),"",B143&amp;"|"&amp;A143)</f>
        <v/>
      </c>
      <c r="N143" s="2">
        <f>IF(M143="","",SUMIFS(TF_Timer,TF_Nokkel,M143,TF_Akt,C143))</f>
        <v/>
      </c>
      <c r="O143" s="2">
        <f>IF(M143="","",IF(AND(N143=_xlfn.MAXIFS(TF_AktSum,TF_Nokkel,M143),COUNTIFS(M$3:M142,M143,N$3:N142,N143)=0),M143,""))</f>
        <v/>
      </c>
    </row>
    <row r="144">
      <c r="A144" s="34" t="n"/>
      <c r="B144" s="35" t="n"/>
      <c r="C144" s="35" t="n"/>
      <c r="D144" s="35" t="n"/>
      <c r="E144" s="35" t="n"/>
      <c r="F144" s="36" t="n"/>
      <c r="G144" s="35" t="n"/>
      <c r="H144" s="30">
        <f>IF(L144="","",INDEX(SkiftNavn,L144))</f>
        <v/>
      </c>
      <c r="I144" s="30">
        <f>IF(OR(A144="",L144=""),"",IF(MOD(A144-INDEX(SkiftStart,L144),Syklus)&lt;DagK,"Kveld",IF(MOD(A144-INDEX(SkiftStart,L144),Syklus)&lt;DagK+DagH,"Helg",IF(MOD(A144-INDEX(SkiftStart,L144),Syklus)&lt;DagK+DagH+DagD,"Dag","Fri"))))</f>
        <v/>
      </c>
      <c r="J144" s="30">
        <f>IF(I144="Fri","Ja","")</f>
        <v/>
      </c>
      <c r="K144" s="30">
        <f>IF(B144="","",IF(L144="","Ukjent tekniker",IF(ISNA(MATCH(C144,Aktiviteter,0)),"Ukjent aktivitet",IF(AND(INDEX(AktRolle,MATCH(C144,Aktiviteter,0))&amp;""&lt;&gt;"",ISERROR(SEARCH(INDEX(AktRolle,MATCH(C144,Aktiviteter,0))&amp;"",INDEX(TekRoller,MATCH(B144,Teknikere,0))))),"Mangler rollen "&amp;INDEX(AktRolle,MATCH(C144,Aktiviteter,0))&amp;"",IF(AND(C144="LMS",F144&gt;0,OR(D144="",E144="")),"Mangler maskin eller arbeid",IF(AND(OR(C144="LMS",C144="Mod"),D144&lt;&gt;""),IF(IFERROR(INDEX(MaskinStatus,MATCH(D144,Maskiner,0)),"")="I dokk","","Maskinen er ikke i dokk"),""))))))</f>
        <v/>
      </c>
      <c r="L144" s="2">
        <f>IF(B144="","",IFERROR(INT((MATCH(B144,Teknikere,0)-1)/18)+1,""))</f>
        <v/>
      </c>
      <c r="M144" s="2">
        <f>IF(OR(A144="",B144=""),"",B144&amp;"|"&amp;A144)</f>
        <v/>
      </c>
      <c r="N144" s="2">
        <f>IF(M144="","",SUMIFS(TF_Timer,TF_Nokkel,M144,TF_Akt,C144))</f>
        <v/>
      </c>
      <c r="O144" s="2">
        <f>IF(M144="","",IF(AND(N144=_xlfn.MAXIFS(TF_AktSum,TF_Nokkel,M144),COUNTIFS(M$3:M143,M144,N$3:N143,N144)=0),M144,""))</f>
        <v/>
      </c>
    </row>
    <row r="145">
      <c r="A145" s="34" t="n"/>
      <c r="B145" s="35" t="n"/>
      <c r="C145" s="35" t="n"/>
      <c r="D145" s="35" t="n"/>
      <c r="E145" s="35" t="n"/>
      <c r="F145" s="36" t="n"/>
      <c r="G145" s="35" t="n"/>
      <c r="H145" s="30">
        <f>IF(L145="","",INDEX(SkiftNavn,L145))</f>
        <v/>
      </c>
      <c r="I145" s="30">
        <f>IF(OR(A145="",L145=""),"",IF(MOD(A145-INDEX(SkiftStart,L145),Syklus)&lt;DagK,"Kveld",IF(MOD(A145-INDEX(SkiftStart,L145),Syklus)&lt;DagK+DagH,"Helg",IF(MOD(A145-INDEX(SkiftStart,L145),Syklus)&lt;DagK+DagH+DagD,"Dag","Fri"))))</f>
        <v/>
      </c>
      <c r="J145" s="30">
        <f>IF(I145="Fri","Ja","")</f>
        <v/>
      </c>
      <c r="K145" s="30">
        <f>IF(B145="","",IF(L145="","Ukjent tekniker",IF(ISNA(MATCH(C145,Aktiviteter,0)),"Ukjent aktivitet",IF(AND(INDEX(AktRolle,MATCH(C145,Aktiviteter,0))&amp;""&lt;&gt;"",ISERROR(SEARCH(INDEX(AktRolle,MATCH(C145,Aktiviteter,0))&amp;"",INDEX(TekRoller,MATCH(B145,Teknikere,0))))),"Mangler rollen "&amp;INDEX(AktRolle,MATCH(C145,Aktiviteter,0))&amp;"",IF(AND(C145="LMS",F145&gt;0,OR(D145="",E145="")),"Mangler maskin eller arbeid",IF(AND(OR(C145="LMS",C145="Mod"),D145&lt;&gt;""),IF(IFERROR(INDEX(MaskinStatus,MATCH(D145,Maskiner,0)),"")="I dokk","","Maskinen er ikke i dokk"),""))))))</f>
        <v/>
      </c>
      <c r="L145" s="2">
        <f>IF(B145="","",IFERROR(INT((MATCH(B145,Teknikere,0)-1)/18)+1,""))</f>
        <v/>
      </c>
      <c r="M145" s="2">
        <f>IF(OR(A145="",B145=""),"",B145&amp;"|"&amp;A145)</f>
        <v/>
      </c>
      <c r="N145" s="2">
        <f>IF(M145="","",SUMIFS(TF_Timer,TF_Nokkel,M145,TF_Akt,C145))</f>
        <v/>
      </c>
      <c r="O145" s="2">
        <f>IF(M145="","",IF(AND(N145=_xlfn.MAXIFS(TF_AktSum,TF_Nokkel,M145),COUNTIFS(M$3:M144,M145,N$3:N144,N145)=0),M145,""))</f>
        <v/>
      </c>
    </row>
    <row r="146">
      <c r="A146" s="34" t="n"/>
      <c r="B146" s="35" t="n"/>
      <c r="C146" s="35" t="n"/>
      <c r="D146" s="35" t="n"/>
      <c r="E146" s="35" t="n"/>
      <c r="F146" s="36" t="n"/>
      <c r="G146" s="35" t="n"/>
      <c r="H146" s="30">
        <f>IF(L146="","",INDEX(SkiftNavn,L146))</f>
        <v/>
      </c>
      <c r="I146" s="30">
        <f>IF(OR(A146="",L146=""),"",IF(MOD(A146-INDEX(SkiftStart,L146),Syklus)&lt;DagK,"Kveld",IF(MOD(A146-INDEX(SkiftStart,L146),Syklus)&lt;DagK+DagH,"Helg",IF(MOD(A146-INDEX(SkiftStart,L146),Syklus)&lt;DagK+DagH+DagD,"Dag","Fri"))))</f>
        <v/>
      </c>
      <c r="J146" s="30">
        <f>IF(I146="Fri","Ja","")</f>
        <v/>
      </c>
      <c r="K146" s="30">
        <f>IF(B146="","",IF(L146="","Ukjent tekniker",IF(ISNA(MATCH(C146,Aktiviteter,0)),"Ukjent aktivitet",IF(AND(INDEX(AktRolle,MATCH(C146,Aktiviteter,0))&amp;""&lt;&gt;"",ISERROR(SEARCH(INDEX(AktRolle,MATCH(C146,Aktiviteter,0))&amp;"",INDEX(TekRoller,MATCH(B146,Teknikere,0))))),"Mangler rollen "&amp;INDEX(AktRolle,MATCH(C146,Aktiviteter,0))&amp;"",IF(AND(C146="LMS",F146&gt;0,OR(D146="",E146="")),"Mangler maskin eller arbeid",IF(AND(OR(C146="LMS",C146="Mod"),D146&lt;&gt;""),IF(IFERROR(INDEX(MaskinStatus,MATCH(D146,Maskiner,0)),"")="I dokk","","Maskinen er ikke i dokk"),""))))))</f>
        <v/>
      </c>
      <c r="L146" s="2">
        <f>IF(B146="","",IFERROR(INT((MATCH(B146,Teknikere,0)-1)/18)+1,""))</f>
        <v/>
      </c>
      <c r="M146" s="2">
        <f>IF(OR(A146="",B146=""),"",B146&amp;"|"&amp;A146)</f>
        <v/>
      </c>
      <c r="N146" s="2">
        <f>IF(M146="","",SUMIFS(TF_Timer,TF_Nokkel,M146,TF_Akt,C146))</f>
        <v/>
      </c>
      <c r="O146" s="2">
        <f>IF(M146="","",IF(AND(N146=_xlfn.MAXIFS(TF_AktSum,TF_Nokkel,M146),COUNTIFS(M$3:M145,M146,N$3:N145,N146)=0),M146,""))</f>
        <v/>
      </c>
    </row>
    <row r="147">
      <c r="A147" s="34" t="n"/>
      <c r="B147" s="35" t="n"/>
      <c r="C147" s="35" t="n"/>
      <c r="D147" s="35" t="n"/>
      <c r="E147" s="35" t="n"/>
      <c r="F147" s="36" t="n"/>
      <c r="G147" s="35" t="n"/>
      <c r="H147" s="30">
        <f>IF(L147="","",INDEX(SkiftNavn,L147))</f>
        <v/>
      </c>
      <c r="I147" s="30">
        <f>IF(OR(A147="",L147=""),"",IF(MOD(A147-INDEX(SkiftStart,L147),Syklus)&lt;DagK,"Kveld",IF(MOD(A147-INDEX(SkiftStart,L147),Syklus)&lt;DagK+DagH,"Helg",IF(MOD(A147-INDEX(SkiftStart,L147),Syklus)&lt;DagK+DagH+DagD,"Dag","Fri"))))</f>
        <v/>
      </c>
      <c r="J147" s="30">
        <f>IF(I147="Fri","Ja","")</f>
        <v/>
      </c>
      <c r="K147" s="30">
        <f>IF(B147="","",IF(L147="","Ukjent tekniker",IF(ISNA(MATCH(C147,Aktiviteter,0)),"Ukjent aktivitet",IF(AND(INDEX(AktRolle,MATCH(C147,Aktiviteter,0))&amp;""&lt;&gt;"",ISERROR(SEARCH(INDEX(AktRolle,MATCH(C147,Aktiviteter,0))&amp;"",INDEX(TekRoller,MATCH(B147,Teknikere,0))))),"Mangler rollen "&amp;INDEX(AktRolle,MATCH(C147,Aktiviteter,0))&amp;"",IF(AND(C147="LMS",F147&gt;0,OR(D147="",E147="")),"Mangler maskin eller arbeid",IF(AND(OR(C147="LMS",C147="Mod"),D147&lt;&gt;""),IF(IFERROR(INDEX(MaskinStatus,MATCH(D147,Maskiner,0)),"")="I dokk","","Maskinen er ikke i dokk"),""))))))</f>
        <v/>
      </c>
      <c r="L147" s="2">
        <f>IF(B147="","",IFERROR(INT((MATCH(B147,Teknikere,0)-1)/18)+1,""))</f>
        <v/>
      </c>
      <c r="M147" s="2">
        <f>IF(OR(A147="",B147=""),"",B147&amp;"|"&amp;A147)</f>
        <v/>
      </c>
      <c r="N147" s="2">
        <f>IF(M147="","",SUMIFS(TF_Timer,TF_Nokkel,M147,TF_Akt,C147))</f>
        <v/>
      </c>
      <c r="O147" s="2">
        <f>IF(M147="","",IF(AND(N147=_xlfn.MAXIFS(TF_AktSum,TF_Nokkel,M147),COUNTIFS(M$3:M146,M147,N$3:N146,N147)=0),M147,""))</f>
        <v/>
      </c>
    </row>
    <row r="148">
      <c r="A148" s="34" t="n"/>
      <c r="B148" s="35" t="n"/>
      <c r="C148" s="35" t="n"/>
      <c r="D148" s="35" t="n"/>
      <c r="E148" s="35" t="n"/>
      <c r="F148" s="36" t="n"/>
      <c r="G148" s="35" t="n"/>
      <c r="H148" s="30">
        <f>IF(L148="","",INDEX(SkiftNavn,L148))</f>
        <v/>
      </c>
      <c r="I148" s="30">
        <f>IF(OR(A148="",L148=""),"",IF(MOD(A148-INDEX(SkiftStart,L148),Syklus)&lt;DagK,"Kveld",IF(MOD(A148-INDEX(SkiftStart,L148),Syklus)&lt;DagK+DagH,"Helg",IF(MOD(A148-INDEX(SkiftStart,L148),Syklus)&lt;DagK+DagH+DagD,"Dag","Fri"))))</f>
        <v/>
      </c>
      <c r="J148" s="30">
        <f>IF(I148="Fri","Ja","")</f>
        <v/>
      </c>
      <c r="K148" s="30">
        <f>IF(B148="","",IF(L148="","Ukjent tekniker",IF(ISNA(MATCH(C148,Aktiviteter,0)),"Ukjent aktivitet",IF(AND(INDEX(AktRolle,MATCH(C148,Aktiviteter,0))&amp;""&lt;&gt;"",ISERROR(SEARCH(INDEX(AktRolle,MATCH(C148,Aktiviteter,0))&amp;"",INDEX(TekRoller,MATCH(B148,Teknikere,0))))),"Mangler rollen "&amp;INDEX(AktRolle,MATCH(C148,Aktiviteter,0))&amp;"",IF(AND(C148="LMS",F148&gt;0,OR(D148="",E148="")),"Mangler maskin eller arbeid",IF(AND(OR(C148="LMS",C148="Mod"),D148&lt;&gt;""),IF(IFERROR(INDEX(MaskinStatus,MATCH(D148,Maskiner,0)),"")="I dokk","","Maskinen er ikke i dokk"),""))))))</f>
        <v/>
      </c>
      <c r="L148" s="2">
        <f>IF(B148="","",IFERROR(INT((MATCH(B148,Teknikere,0)-1)/18)+1,""))</f>
        <v/>
      </c>
      <c r="M148" s="2">
        <f>IF(OR(A148="",B148=""),"",B148&amp;"|"&amp;A148)</f>
        <v/>
      </c>
      <c r="N148" s="2">
        <f>IF(M148="","",SUMIFS(TF_Timer,TF_Nokkel,M148,TF_Akt,C148))</f>
        <v/>
      </c>
      <c r="O148" s="2">
        <f>IF(M148="","",IF(AND(N148=_xlfn.MAXIFS(TF_AktSum,TF_Nokkel,M148),COUNTIFS(M$3:M147,M148,N$3:N147,N148)=0),M148,""))</f>
        <v/>
      </c>
    </row>
    <row r="149">
      <c r="A149" s="34" t="n"/>
      <c r="B149" s="35" t="n"/>
      <c r="C149" s="35" t="n"/>
      <c r="D149" s="35" t="n"/>
      <c r="E149" s="35" t="n"/>
      <c r="F149" s="36" t="n"/>
      <c r="G149" s="35" t="n"/>
      <c r="H149" s="30">
        <f>IF(L149="","",INDEX(SkiftNavn,L149))</f>
        <v/>
      </c>
      <c r="I149" s="30">
        <f>IF(OR(A149="",L149=""),"",IF(MOD(A149-INDEX(SkiftStart,L149),Syklus)&lt;DagK,"Kveld",IF(MOD(A149-INDEX(SkiftStart,L149),Syklus)&lt;DagK+DagH,"Helg",IF(MOD(A149-INDEX(SkiftStart,L149),Syklus)&lt;DagK+DagH+DagD,"Dag","Fri"))))</f>
        <v/>
      </c>
      <c r="J149" s="30">
        <f>IF(I149="Fri","Ja","")</f>
        <v/>
      </c>
      <c r="K149" s="30">
        <f>IF(B149="","",IF(L149="","Ukjent tekniker",IF(ISNA(MATCH(C149,Aktiviteter,0)),"Ukjent aktivitet",IF(AND(INDEX(AktRolle,MATCH(C149,Aktiviteter,0))&amp;""&lt;&gt;"",ISERROR(SEARCH(INDEX(AktRolle,MATCH(C149,Aktiviteter,0))&amp;"",INDEX(TekRoller,MATCH(B149,Teknikere,0))))),"Mangler rollen "&amp;INDEX(AktRolle,MATCH(C149,Aktiviteter,0))&amp;"",IF(AND(C149="LMS",F149&gt;0,OR(D149="",E149="")),"Mangler maskin eller arbeid",IF(AND(OR(C149="LMS",C149="Mod"),D149&lt;&gt;""),IF(IFERROR(INDEX(MaskinStatus,MATCH(D149,Maskiner,0)),"")="I dokk","","Maskinen er ikke i dokk"),""))))))</f>
        <v/>
      </c>
      <c r="L149" s="2">
        <f>IF(B149="","",IFERROR(INT((MATCH(B149,Teknikere,0)-1)/18)+1,""))</f>
        <v/>
      </c>
      <c r="M149" s="2">
        <f>IF(OR(A149="",B149=""),"",B149&amp;"|"&amp;A149)</f>
        <v/>
      </c>
      <c r="N149" s="2">
        <f>IF(M149="","",SUMIFS(TF_Timer,TF_Nokkel,M149,TF_Akt,C149))</f>
        <v/>
      </c>
      <c r="O149" s="2">
        <f>IF(M149="","",IF(AND(N149=_xlfn.MAXIFS(TF_AktSum,TF_Nokkel,M149),COUNTIFS(M$3:M148,M149,N$3:N148,N149)=0),M149,""))</f>
        <v/>
      </c>
    </row>
    <row r="150">
      <c r="A150" s="34" t="n"/>
      <c r="B150" s="35" t="n"/>
      <c r="C150" s="35" t="n"/>
      <c r="D150" s="35" t="n"/>
      <c r="E150" s="35" t="n"/>
      <c r="F150" s="36" t="n"/>
      <c r="G150" s="35" t="n"/>
      <c r="H150" s="30">
        <f>IF(L150="","",INDEX(SkiftNavn,L150))</f>
        <v/>
      </c>
      <c r="I150" s="30">
        <f>IF(OR(A150="",L150=""),"",IF(MOD(A150-INDEX(SkiftStart,L150),Syklus)&lt;DagK,"Kveld",IF(MOD(A150-INDEX(SkiftStart,L150),Syklus)&lt;DagK+DagH,"Helg",IF(MOD(A150-INDEX(SkiftStart,L150),Syklus)&lt;DagK+DagH+DagD,"Dag","Fri"))))</f>
        <v/>
      </c>
      <c r="J150" s="30">
        <f>IF(I150="Fri","Ja","")</f>
        <v/>
      </c>
      <c r="K150" s="30">
        <f>IF(B150="","",IF(L150="","Ukjent tekniker",IF(ISNA(MATCH(C150,Aktiviteter,0)),"Ukjent aktivitet",IF(AND(INDEX(AktRolle,MATCH(C150,Aktiviteter,0))&amp;""&lt;&gt;"",ISERROR(SEARCH(INDEX(AktRolle,MATCH(C150,Aktiviteter,0))&amp;"",INDEX(TekRoller,MATCH(B150,Teknikere,0))))),"Mangler rollen "&amp;INDEX(AktRolle,MATCH(C150,Aktiviteter,0))&amp;"",IF(AND(C150="LMS",F150&gt;0,OR(D150="",E150="")),"Mangler maskin eller arbeid",IF(AND(OR(C150="LMS",C150="Mod"),D150&lt;&gt;""),IF(IFERROR(INDEX(MaskinStatus,MATCH(D150,Maskiner,0)),"")="I dokk","","Maskinen er ikke i dokk"),""))))))</f>
        <v/>
      </c>
      <c r="L150" s="2">
        <f>IF(B150="","",IFERROR(INT((MATCH(B150,Teknikere,0)-1)/18)+1,""))</f>
        <v/>
      </c>
      <c r="M150" s="2">
        <f>IF(OR(A150="",B150=""),"",B150&amp;"|"&amp;A150)</f>
        <v/>
      </c>
      <c r="N150" s="2">
        <f>IF(M150="","",SUMIFS(TF_Timer,TF_Nokkel,M150,TF_Akt,C150))</f>
        <v/>
      </c>
      <c r="O150" s="2">
        <f>IF(M150="","",IF(AND(N150=_xlfn.MAXIFS(TF_AktSum,TF_Nokkel,M150),COUNTIFS(M$3:M149,M150,N$3:N149,N150)=0),M150,""))</f>
        <v/>
      </c>
    </row>
    <row r="151">
      <c r="A151" s="34" t="n"/>
      <c r="B151" s="35" t="n"/>
      <c r="C151" s="35" t="n"/>
      <c r="D151" s="35" t="n"/>
      <c r="E151" s="35" t="n"/>
      <c r="F151" s="36" t="n"/>
      <c r="G151" s="35" t="n"/>
      <c r="H151" s="30">
        <f>IF(L151="","",INDEX(SkiftNavn,L151))</f>
        <v/>
      </c>
      <c r="I151" s="30">
        <f>IF(OR(A151="",L151=""),"",IF(MOD(A151-INDEX(SkiftStart,L151),Syklus)&lt;DagK,"Kveld",IF(MOD(A151-INDEX(SkiftStart,L151),Syklus)&lt;DagK+DagH,"Helg",IF(MOD(A151-INDEX(SkiftStart,L151),Syklus)&lt;DagK+DagH+DagD,"Dag","Fri"))))</f>
        <v/>
      </c>
      <c r="J151" s="30">
        <f>IF(I151="Fri","Ja","")</f>
        <v/>
      </c>
      <c r="K151" s="30">
        <f>IF(B151="","",IF(L151="","Ukjent tekniker",IF(ISNA(MATCH(C151,Aktiviteter,0)),"Ukjent aktivitet",IF(AND(INDEX(AktRolle,MATCH(C151,Aktiviteter,0))&amp;""&lt;&gt;"",ISERROR(SEARCH(INDEX(AktRolle,MATCH(C151,Aktiviteter,0))&amp;"",INDEX(TekRoller,MATCH(B151,Teknikere,0))))),"Mangler rollen "&amp;INDEX(AktRolle,MATCH(C151,Aktiviteter,0))&amp;"",IF(AND(C151="LMS",F151&gt;0,OR(D151="",E151="")),"Mangler maskin eller arbeid",IF(AND(OR(C151="LMS",C151="Mod"),D151&lt;&gt;""),IF(IFERROR(INDEX(MaskinStatus,MATCH(D151,Maskiner,0)),"")="I dokk","","Maskinen er ikke i dokk"),""))))))</f>
        <v/>
      </c>
      <c r="L151" s="2">
        <f>IF(B151="","",IFERROR(INT((MATCH(B151,Teknikere,0)-1)/18)+1,""))</f>
        <v/>
      </c>
      <c r="M151" s="2">
        <f>IF(OR(A151="",B151=""),"",B151&amp;"|"&amp;A151)</f>
        <v/>
      </c>
      <c r="N151" s="2">
        <f>IF(M151="","",SUMIFS(TF_Timer,TF_Nokkel,M151,TF_Akt,C151))</f>
        <v/>
      </c>
      <c r="O151" s="2">
        <f>IF(M151="","",IF(AND(N151=_xlfn.MAXIFS(TF_AktSum,TF_Nokkel,M151),COUNTIFS(M$3:M150,M151,N$3:N150,N151)=0),M151,""))</f>
        <v/>
      </c>
    </row>
    <row r="152">
      <c r="A152" s="34" t="n"/>
      <c r="B152" s="35" t="n"/>
      <c r="C152" s="35" t="n"/>
      <c r="D152" s="35" t="n"/>
      <c r="E152" s="35" t="n"/>
      <c r="F152" s="36" t="n"/>
      <c r="G152" s="35" t="n"/>
      <c r="H152" s="30">
        <f>IF(L152="","",INDEX(SkiftNavn,L152))</f>
        <v/>
      </c>
      <c r="I152" s="30">
        <f>IF(OR(A152="",L152=""),"",IF(MOD(A152-INDEX(SkiftStart,L152),Syklus)&lt;DagK,"Kveld",IF(MOD(A152-INDEX(SkiftStart,L152),Syklus)&lt;DagK+DagH,"Helg",IF(MOD(A152-INDEX(SkiftStart,L152),Syklus)&lt;DagK+DagH+DagD,"Dag","Fri"))))</f>
        <v/>
      </c>
      <c r="J152" s="30">
        <f>IF(I152="Fri","Ja","")</f>
        <v/>
      </c>
      <c r="K152" s="30">
        <f>IF(B152="","",IF(L152="","Ukjent tekniker",IF(ISNA(MATCH(C152,Aktiviteter,0)),"Ukjent aktivitet",IF(AND(INDEX(AktRolle,MATCH(C152,Aktiviteter,0))&amp;""&lt;&gt;"",ISERROR(SEARCH(INDEX(AktRolle,MATCH(C152,Aktiviteter,0))&amp;"",INDEX(TekRoller,MATCH(B152,Teknikere,0))))),"Mangler rollen "&amp;INDEX(AktRolle,MATCH(C152,Aktiviteter,0))&amp;"",IF(AND(C152="LMS",F152&gt;0,OR(D152="",E152="")),"Mangler maskin eller arbeid",IF(AND(OR(C152="LMS",C152="Mod"),D152&lt;&gt;""),IF(IFERROR(INDEX(MaskinStatus,MATCH(D152,Maskiner,0)),"")="I dokk","","Maskinen er ikke i dokk"),""))))))</f>
        <v/>
      </c>
      <c r="L152" s="2">
        <f>IF(B152="","",IFERROR(INT((MATCH(B152,Teknikere,0)-1)/18)+1,""))</f>
        <v/>
      </c>
      <c r="M152" s="2">
        <f>IF(OR(A152="",B152=""),"",B152&amp;"|"&amp;A152)</f>
        <v/>
      </c>
      <c r="N152" s="2">
        <f>IF(M152="","",SUMIFS(TF_Timer,TF_Nokkel,M152,TF_Akt,C152))</f>
        <v/>
      </c>
      <c r="O152" s="2">
        <f>IF(M152="","",IF(AND(N152=_xlfn.MAXIFS(TF_AktSum,TF_Nokkel,M152),COUNTIFS(M$3:M151,M152,N$3:N151,N152)=0),M152,""))</f>
        <v/>
      </c>
    </row>
    <row r="153">
      <c r="A153" s="34" t="n"/>
      <c r="B153" s="35" t="n"/>
      <c r="C153" s="35" t="n"/>
      <c r="D153" s="35" t="n"/>
      <c r="E153" s="35" t="n"/>
      <c r="F153" s="36" t="n"/>
      <c r="G153" s="35" t="n"/>
      <c r="H153" s="30">
        <f>IF(L153="","",INDEX(SkiftNavn,L153))</f>
        <v/>
      </c>
      <c r="I153" s="30">
        <f>IF(OR(A153="",L153=""),"",IF(MOD(A153-INDEX(SkiftStart,L153),Syklus)&lt;DagK,"Kveld",IF(MOD(A153-INDEX(SkiftStart,L153),Syklus)&lt;DagK+DagH,"Helg",IF(MOD(A153-INDEX(SkiftStart,L153),Syklus)&lt;DagK+DagH+DagD,"Dag","Fri"))))</f>
        <v/>
      </c>
      <c r="J153" s="30">
        <f>IF(I153="Fri","Ja","")</f>
        <v/>
      </c>
      <c r="K153" s="30">
        <f>IF(B153="","",IF(L153="","Ukjent tekniker",IF(ISNA(MATCH(C153,Aktiviteter,0)),"Ukjent aktivitet",IF(AND(INDEX(AktRolle,MATCH(C153,Aktiviteter,0))&amp;""&lt;&gt;"",ISERROR(SEARCH(INDEX(AktRolle,MATCH(C153,Aktiviteter,0))&amp;"",INDEX(TekRoller,MATCH(B153,Teknikere,0))))),"Mangler rollen "&amp;INDEX(AktRolle,MATCH(C153,Aktiviteter,0))&amp;"",IF(AND(C153="LMS",F153&gt;0,OR(D153="",E153="")),"Mangler maskin eller arbeid",IF(AND(OR(C153="LMS",C153="Mod"),D153&lt;&gt;""),IF(IFERROR(INDEX(MaskinStatus,MATCH(D153,Maskiner,0)),"")="I dokk","","Maskinen er ikke i dokk"),""))))))</f>
        <v/>
      </c>
      <c r="L153" s="2">
        <f>IF(B153="","",IFERROR(INT((MATCH(B153,Teknikere,0)-1)/18)+1,""))</f>
        <v/>
      </c>
      <c r="M153" s="2">
        <f>IF(OR(A153="",B153=""),"",B153&amp;"|"&amp;A153)</f>
        <v/>
      </c>
      <c r="N153" s="2">
        <f>IF(M153="","",SUMIFS(TF_Timer,TF_Nokkel,M153,TF_Akt,C153))</f>
        <v/>
      </c>
      <c r="O153" s="2">
        <f>IF(M153="","",IF(AND(N153=_xlfn.MAXIFS(TF_AktSum,TF_Nokkel,M153),COUNTIFS(M$3:M152,M153,N$3:N152,N153)=0),M153,""))</f>
        <v/>
      </c>
    </row>
    <row r="154">
      <c r="A154" s="34" t="n"/>
      <c r="B154" s="35" t="n"/>
      <c r="C154" s="35" t="n"/>
      <c r="D154" s="35" t="n"/>
      <c r="E154" s="35" t="n"/>
      <c r="F154" s="36" t="n"/>
      <c r="G154" s="35" t="n"/>
      <c r="H154" s="30">
        <f>IF(L154="","",INDEX(SkiftNavn,L154))</f>
        <v/>
      </c>
      <c r="I154" s="30">
        <f>IF(OR(A154="",L154=""),"",IF(MOD(A154-INDEX(SkiftStart,L154),Syklus)&lt;DagK,"Kveld",IF(MOD(A154-INDEX(SkiftStart,L154),Syklus)&lt;DagK+DagH,"Helg",IF(MOD(A154-INDEX(SkiftStart,L154),Syklus)&lt;DagK+DagH+DagD,"Dag","Fri"))))</f>
        <v/>
      </c>
      <c r="J154" s="30">
        <f>IF(I154="Fri","Ja","")</f>
        <v/>
      </c>
      <c r="K154" s="30">
        <f>IF(B154="","",IF(L154="","Ukjent tekniker",IF(ISNA(MATCH(C154,Aktiviteter,0)),"Ukjent aktivitet",IF(AND(INDEX(AktRolle,MATCH(C154,Aktiviteter,0))&amp;""&lt;&gt;"",ISERROR(SEARCH(INDEX(AktRolle,MATCH(C154,Aktiviteter,0))&amp;"",INDEX(TekRoller,MATCH(B154,Teknikere,0))))),"Mangler rollen "&amp;INDEX(AktRolle,MATCH(C154,Aktiviteter,0))&amp;"",IF(AND(C154="LMS",F154&gt;0,OR(D154="",E154="")),"Mangler maskin eller arbeid",IF(AND(OR(C154="LMS",C154="Mod"),D154&lt;&gt;""),IF(IFERROR(INDEX(MaskinStatus,MATCH(D154,Maskiner,0)),"")="I dokk","","Maskinen er ikke i dokk"),""))))))</f>
        <v/>
      </c>
      <c r="L154" s="2">
        <f>IF(B154="","",IFERROR(INT((MATCH(B154,Teknikere,0)-1)/18)+1,""))</f>
        <v/>
      </c>
      <c r="M154" s="2">
        <f>IF(OR(A154="",B154=""),"",B154&amp;"|"&amp;A154)</f>
        <v/>
      </c>
      <c r="N154" s="2">
        <f>IF(M154="","",SUMIFS(TF_Timer,TF_Nokkel,M154,TF_Akt,C154))</f>
        <v/>
      </c>
      <c r="O154" s="2">
        <f>IF(M154="","",IF(AND(N154=_xlfn.MAXIFS(TF_AktSum,TF_Nokkel,M154),COUNTIFS(M$3:M153,M154,N$3:N153,N154)=0),M154,""))</f>
        <v/>
      </c>
    </row>
    <row r="155">
      <c r="A155" s="34" t="n"/>
      <c r="B155" s="35" t="n"/>
      <c r="C155" s="35" t="n"/>
      <c r="D155" s="35" t="n"/>
      <c r="E155" s="35" t="n"/>
      <c r="F155" s="36" t="n"/>
      <c r="G155" s="35" t="n"/>
      <c r="H155" s="30">
        <f>IF(L155="","",INDEX(SkiftNavn,L155))</f>
        <v/>
      </c>
      <c r="I155" s="30">
        <f>IF(OR(A155="",L155=""),"",IF(MOD(A155-INDEX(SkiftStart,L155),Syklus)&lt;DagK,"Kveld",IF(MOD(A155-INDEX(SkiftStart,L155),Syklus)&lt;DagK+DagH,"Helg",IF(MOD(A155-INDEX(SkiftStart,L155),Syklus)&lt;DagK+DagH+DagD,"Dag","Fri"))))</f>
        <v/>
      </c>
      <c r="J155" s="30">
        <f>IF(I155="Fri","Ja","")</f>
        <v/>
      </c>
      <c r="K155" s="30">
        <f>IF(B155="","",IF(L155="","Ukjent tekniker",IF(ISNA(MATCH(C155,Aktiviteter,0)),"Ukjent aktivitet",IF(AND(INDEX(AktRolle,MATCH(C155,Aktiviteter,0))&amp;""&lt;&gt;"",ISERROR(SEARCH(INDEX(AktRolle,MATCH(C155,Aktiviteter,0))&amp;"",INDEX(TekRoller,MATCH(B155,Teknikere,0))))),"Mangler rollen "&amp;INDEX(AktRolle,MATCH(C155,Aktiviteter,0))&amp;"",IF(AND(C155="LMS",F155&gt;0,OR(D155="",E155="")),"Mangler maskin eller arbeid",IF(AND(OR(C155="LMS",C155="Mod"),D155&lt;&gt;""),IF(IFERROR(INDEX(MaskinStatus,MATCH(D155,Maskiner,0)),"")="I dokk","","Maskinen er ikke i dokk"),""))))))</f>
        <v/>
      </c>
      <c r="L155" s="2">
        <f>IF(B155="","",IFERROR(INT((MATCH(B155,Teknikere,0)-1)/18)+1,""))</f>
        <v/>
      </c>
      <c r="M155" s="2">
        <f>IF(OR(A155="",B155=""),"",B155&amp;"|"&amp;A155)</f>
        <v/>
      </c>
      <c r="N155" s="2">
        <f>IF(M155="","",SUMIFS(TF_Timer,TF_Nokkel,M155,TF_Akt,C155))</f>
        <v/>
      </c>
      <c r="O155" s="2">
        <f>IF(M155="","",IF(AND(N155=_xlfn.MAXIFS(TF_AktSum,TF_Nokkel,M155),COUNTIFS(M$3:M154,M155,N$3:N154,N155)=0),M155,""))</f>
        <v/>
      </c>
    </row>
    <row r="156">
      <c r="A156" s="34" t="n"/>
      <c r="B156" s="35" t="n"/>
      <c r="C156" s="35" t="n"/>
      <c r="D156" s="35" t="n"/>
      <c r="E156" s="35" t="n"/>
      <c r="F156" s="36" t="n"/>
      <c r="G156" s="35" t="n"/>
      <c r="H156" s="30">
        <f>IF(L156="","",INDEX(SkiftNavn,L156))</f>
        <v/>
      </c>
      <c r="I156" s="30">
        <f>IF(OR(A156="",L156=""),"",IF(MOD(A156-INDEX(SkiftStart,L156),Syklus)&lt;DagK,"Kveld",IF(MOD(A156-INDEX(SkiftStart,L156),Syklus)&lt;DagK+DagH,"Helg",IF(MOD(A156-INDEX(SkiftStart,L156),Syklus)&lt;DagK+DagH+DagD,"Dag","Fri"))))</f>
        <v/>
      </c>
      <c r="J156" s="30">
        <f>IF(I156="Fri","Ja","")</f>
        <v/>
      </c>
      <c r="K156" s="30">
        <f>IF(B156="","",IF(L156="","Ukjent tekniker",IF(ISNA(MATCH(C156,Aktiviteter,0)),"Ukjent aktivitet",IF(AND(INDEX(AktRolle,MATCH(C156,Aktiviteter,0))&amp;""&lt;&gt;"",ISERROR(SEARCH(INDEX(AktRolle,MATCH(C156,Aktiviteter,0))&amp;"",INDEX(TekRoller,MATCH(B156,Teknikere,0))))),"Mangler rollen "&amp;INDEX(AktRolle,MATCH(C156,Aktiviteter,0))&amp;"",IF(AND(C156="LMS",F156&gt;0,OR(D156="",E156="")),"Mangler maskin eller arbeid",IF(AND(OR(C156="LMS",C156="Mod"),D156&lt;&gt;""),IF(IFERROR(INDEX(MaskinStatus,MATCH(D156,Maskiner,0)),"")="I dokk","","Maskinen er ikke i dokk"),""))))))</f>
        <v/>
      </c>
      <c r="L156" s="2">
        <f>IF(B156="","",IFERROR(INT((MATCH(B156,Teknikere,0)-1)/18)+1,""))</f>
        <v/>
      </c>
      <c r="M156" s="2">
        <f>IF(OR(A156="",B156=""),"",B156&amp;"|"&amp;A156)</f>
        <v/>
      </c>
      <c r="N156" s="2">
        <f>IF(M156="","",SUMIFS(TF_Timer,TF_Nokkel,M156,TF_Akt,C156))</f>
        <v/>
      </c>
      <c r="O156" s="2">
        <f>IF(M156="","",IF(AND(N156=_xlfn.MAXIFS(TF_AktSum,TF_Nokkel,M156),COUNTIFS(M$3:M155,M156,N$3:N155,N156)=0),M156,""))</f>
        <v/>
      </c>
    </row>
    <row r="157">
      <c r="A157" s="34" t="n"/>
      <c r="B157" s="35" t="n"/>
      <c r="C157" s="35" t="n"/>
      <c r="D157" s="35" t="n"/>
      <c r="E157" s="35" t="n"/>
      <c r="F157" s="36" t="n"/>
      <c r="G157" s="35" t="n"/>
      <c r="H157" s="30">
        <f>IF(L157="","",INDEX(SkiftNavn,L157))</f>
        <v/>
      </c>
      <c r="I157" s="30">
        <f>IF(OR(A157="",L157=""),"",IF(MOD(A157-INDEX(SkiftStart,L157),Syklus)&lt;DagK,"Kveld",IF(MOD(A157-INDEX(SkiftStart,L157),Syklus)&lt;DagK+DagH,"Helg",IF(MOD(A157-INDEX(SkiftStart,L157),Syklus)&lt;DagK+DagH+DagD,"Dag","Fri"))))</f>
        <v/>
      </c>
      <c r="J157" s="30">
        <f>IF(I157="Fri","Ja","")</f>
        <v/>
      </c>
      <c r="K157" s="30">
        <f>IF(B157="","",IF(L157="","Ukjent tekniker",IF(ISNA(MATCH(C157,Aktiviteter,0)),"Ukjent aktivitet",IF(AND(INDEX(AktRolle,MATCH(C157,Aktiviteter,0))&amp;""&lt;&gt;"",ISERROR(SEARCH(INDEX(AktRolle,MATCH(C157,Aktiviteter,0))&amp;"",INDEX(TekRoller,MATCH(B157,Teknikere,0))))),"Mangler rollen "&amp;INDEX(AktRolle,MATCH(C157,Aktiviteter,0))&amp;"",IF(AND(C157="LMS",F157&gt;0,OR(D157="",E157="")),"Mangler maskin eller arbeid",IF(AND(OR(C157="LMS",C157="Mod"),D157&lt;&gt;""),IF(IFERROR(INDEX(MaskinStatus,MATCH(D157,Maskiner,0)),"")="I dokk","","Maskinen er ikke i dokk"),""))))))</f>
        <v/>
      </c>
      <c r="L157" s="2">
        <f>IF(B157="","",IFERROR(INT((MATCH(B157,Teknikere,0)-1)/18)+1,""))</f>
        <v/>
      </c>
      <c r="M157" s="2">
        <f>IF(OR(A157="",B157=""),"",B157&amp;"|"&amp;A157)</f>
        <v/>
      </c>
      <c r="N157" s="2">
        <f>IF(M157="","",SUMIFS(TF_Timer,TF_Nokkel,M157,TF_Akt,C157))</f>
        <v/>
      </c>
      <c r="O157" s="2">
        <f>IF(M157="","",IF(AND(N157=_xlfn.MAXIFS(TF_AktSum,TF_Nokkel,M157),COUNTIFS(M$3:M156,M157,N$3:N156,N157)=0),M157,""))</f>
        <v/>
      </c>
    </row>
    <row r="158">
      <c r="A158" s="34" t="n"/>
      <c r="B158" s="35" t="n"/>
      <c r="C158" s="35" t="n"/>
      <c r="D158" s="35" t="n"/>
      <c r="E158" s="35" t="n"/>
      <c r="F158" s="36" t="n"/>
      <c r="G158" s="35" t="n"/>
      <c r="H158" s="30">
        <f>IF(L158="","",INDEX(SkiftNavn,L158))</f>
        <v/>
      </c>
      <c r="I158" s="30">
        <f>IF(OR(A158="",L158=""),"",IF(MOD(A158-INDEX(SkiftStart,L158),Syklus)&lt;DagK,"Kveld",IF(MOD(A158-INDEX(SkiftStart,L158),Syklus)&lt;DagK+DagH,"Helg",IF(MOD(A158-INDEX(SkiftStart,L158),Syklus)&lt;DagK+DagH+DagD,"Dag","Fri"))))</f>
        <v/>
      </c>
      <c r="J158" s="30">
        <f>IF(I158="Fri","Ja","")</f>
        <v/>
      </c>
      <c r="K158" s="30">
        <f>IF(B158="","",IF(L158="","Ukjent tekniker",IF(ISNA(MATCH(C158,Aktiviteter,0)),"Ukjent aktivitet",IF(AND(INDEX(AktRolle,MATCH(C158,Aktiviteter,0))&amp;""&lt;&gt;"",ISERROR(SEARCH(INDEX(AktRolle,MATCH(C158,Aktiviteter,0))&amp;"",INDEX(TekRoller,MATCH(B158,Teknikere,0))))),"Mangler rollen "&amp;INDEX(AktRolle,MATCH(C158,Aktiviteter,0))&amp;"",IF(AND(C158="LMS",F158&gt;0,OR(D158="",E158="")),"Mangler maskin eller arbeid",IF(AND(OR(C158="LMS",C158="Mod"),D158&lt;&gt;""),IF(IFERROR(INDEX(MaskinStatus,MATCH(D158,Maskiner,0)),"")="I dokk","","Maskinen er ikke i dokk"),""))))))</f>
        <v/>
      </c>
      <c r="L158" s="2">
        <f>IF(B158="","",IFERROR(INT((MATCH(B158,Teknikere,0)-1)/18)+1,""))</f>
        <v/>
      </c>
      <c r="M158" s="2">
        <f>IF(OR(A158="",B158=""),"",B158&amp;"|"&amp;A158)</f>
        <v/>
      </c>
      <c r="N158" s="2">
        <f>IF(M158="","",SUMIFS(TF_Timer,TF_Nokkel,M158,TF_Akt,C158))</f>
        <v/>
      </c>
      <c r="O158" s="2">
        <f>IF(M158="","",IF(AND(N158=_xlfn.MAXIFS(TF_AktSum,TF_Nokkel,M158),COUNTIFS(M$3:M157,M158,N$3:N157,N158)=0),M158,""))</f>
        <v/>
      </c>
    </row>
    <row r="159">
      <c r="A159" s="34" t="n"/>
      <c r="B159" s="35" t="n"/>
      <c r="C159" s="35" t="n"/>
      <c r="D159" s="35" t="n"/>
      <c r="E159" s="35" t="n"/>
      <c r="F159" s="36" t="n"/>
      <c r="G159" s="35" t="n"/>
      <c r="H159" s="30">
        <f>IF(L159="","",INDEX(SkiftNavn,L159))</f>
        <v/>
      </c>
      <c r="I159" s="30">
        <f>IF(OR(A159="",L159=""),"",IF(MOD(A159-INDEX(SkiftStart,L159),Syklus)&lt;DagK,"Kveld",IF(MOD(A159-INDEX(SkiftStart,L159),Syklus)&lt;DagK+DagH,"Helg",IF(MOD(A159-INDEX(SkiftStart,L159),Syklus)&lt;DagK+DagH+DagD,"Dag","Fri"))))</f>
        <v/>
      </c>
      <c r="J159" s="30">
        <f>IF(I159="Fri","Ja","")</f>
        <v/>
      </c>
      <c r="K159" s="30">
        <f>IF(B159="","",IF(L159="","Ukjent tekniker",IF(ISNA(MATCH(C159,Aktiviteter,0)),"Ukjent aktivitet",IF(AND(INDEX(AktRolle,MATCH(C159,Aktiviteter,0))&amp;""&lt;&gt;"",ISERROR(SEARCH(INDEX(AktRolle,MATCH(C159,Aktiviteter,0))&amp;"",INDEX(TekRoller,MATCH(B159,Teknikere,0))))),"Mangler rollen "&amp;INDEX(AktRolle,MATCH(C159,Aktiviteter,0))&amp;"",IF(AND(C159="LMS",F159&gt;0,OR(D159="",E159="")),"Mangler maskin eller arbeid",IF(AND(OR(C159="LMS",C159="Mod"),D159&lt;&gt;""),IF(IFERROR(INDEX(MaskinStatus,MATCH(D159,Maskiner,0)),"")="I dokk","","Maskinen er ikke i dokk"),""))))))</f>
        <v/>
      </c>
      <c r="L159" s="2">
        <f>IF(B159="","",IFERROR(INT((MATCH(B159,Teknikere,0)-1)/18)+1,""))</f>
        <v/>
      </c>
      <c r="M159" s="2">
        <f>IF(OR(A159="",B159=""),"",B159&amp;"|"&amp;A159)</f>
        <v/>
      </c>
      <c r="N159" s="2">
        <f>IF(M159="","",SUMIFS(TF_Timer,TF_Nokkel,M159,TF_Akt,C159))</f>
        <v/>
      </c>
      <c r="O159" s="2">
        <f>IF(M159="","",IF(AND(N159=_xlfn.MAXIFS(TF_AktSum,TF_Nokkel,M159),COUNTIFS(M$3:M158,M159,N$3:N158,N159)=0),M159,""))</f>
        <v/>
      </c>
    </row>
    <row r="160">
      <c r="A160" s="34" t="n"/>
      <c r="B160" s="35" t="n"/>
      <c r="C160" s="35" t="n"/>
      <c r="D160" s="35" t="n"/>
      <c r="E160" s="35" t="n"/>
      <c r="F160" s="36" t="n"/>
      <c r="G160" s="35" t="n"/>
      <c r="H160" s="30">
        <f>IF(L160="","",INDEX(SkiftNavn,L160))</f>
        <v/>
      </c>
      <c r="I160" s="30">
        <f>IF(OR(A160="",L160=""),"",IF(MOD(A160-INDEX(SkiftStart,L160),Syklus)&lt;DagK,"Kveld",IF(MOD(A160-INDEX(SkiftStart,L160),Syklus)&lt;DagK+DagH,"Helg",IF(MOD(A160-INDEX(SkiftStart,L160),Syklus)&lt;DagK+DagH+DagD,"Dag","Fri"))))</f>
        <v/>
      </c>
      <c r="J160" s="30">
        <f>IF(I160="Fri","Ja","")</f>
        <v/>
      </c>
      <c r="K160" s="30">
        <f>IF(B160="","",IF(L160="","Ukjent tekniker",IF(ISNA(MATCH(C160,Aktiviteter,0)),"Ukjent aktivitet",IF(AND(INDEX(AktRolle,MATCH(C160,Aktiviteter,0))&amp;""&lt;&gt;"",ISERROR(SEARCH(INDEX(AktRolle,MATCH(C160,Aktiviteter,0))&amp;"",INDEX(TekRoller,MATCH(B160,Teknikere,0))))),"Mangler rollen "&amp;INDEX(AktRolle,MATCH(C160,Aktiviteter,0))&amp;"",IF(AND(C160="LMS",F160&gt;0,OR(D160="",E160="")),"Mangler maskin eller arbeid",IF(AND(OR(C160="LMS",C160="Mod"),D160&lt;&gt;""),IF(IFERROR(INDEX(MaskinStatus,MATCH(D160,Maskiner,0)),"")="I dokk","","Maskinen er ikke i dokk"),""))))))</f>
        <v/>
      </c>
      <c r="L160" s="2">
        <f>IF(B160="","",IFERROR(INT((MATCH(B160,Teknikere,0)-1)/18)+1,""))</f>
        <v/>
      </c>
      <c r="M160" s="2">
        <f>IF(OR(A160="",B160=""),"",B160&amp;"|"&amp;A160)</f>
        <v/>
      </c>
      <c r="N160" s="2">
        <f>IF(M160="","",SUMIFS(TF_Timer,TF_Nokkel,M160,TF_Akt,C160))</f>
        <v/>
      </c>
      <c r="O160" s="2">
        <f>IF(M160="","",IF(AND(N160=_xlfn.MAXIFS(TF_AktSum,TF_Nokkel,M160),COUNTIFS(M$3:M159,M160,N$3:N159,N160)=0),M160,""))</f>
        <v/>
      </c>
    </row>
    <row r="161">
      <c r="A161" s="34" t="n"/>
      <c r="B161" s="35" t="n"/>
      <c r="C161" s="35" t="n"/>
      <c r="D161" s="35" t="n"/>
      <c r="E161" s="35" t="n"/>
      <c r="F161" s="36" t="n"/>
      <c r="G161" s="35" t="n"/>
      <c r="H161" s="30">
        <f>IF(L161="","",INDEX(SkiftNavn,L161))</f>
        <v/>
      </c>
      <c r="I161" s="30">
        <f>IF(OR(A161="",L161=""),"",IF(MOD(A161-INDEX(SkiftStart,L161),Syklus)&lt;DagK,"Kveld",IF(MOD(A161-INDEX(SkiftStart,L161),Syklus)&lt;DagK+DagH,"Helg",IF(MOD(A161-INDEX(SkiftStart,L161),Syklus)&lt;DagK+DagH+DagD,"Dag","Fri"))))</f>
        <v/>
      </c>
      <c r="J161" s="30">
        <f>IF(I161="Fri","Ja","")</f>
        <v/>
      </c>
      <c r="K161" s="30">
        <f>IF(B161="","",IF(L161="","Ukjent tekniker",IF(ISNA(MATCH(C161,Aktiviteter,0)),"Ukjent aktivitet",IF(AND(INDEX(AktRolle,MATCH(C161,Aktiviteter,0))&amp;""&lt;&gt;"",ISERROR(SEARCH(INDEX(AktRolle,MATCH(C161,Aktiviteter,0))&amp;"",INDEX(TekRoller,MATCH(B161,Teknikere,0))))),"Mangler rollen "&amp;INDEX(AktRolle,MATCH(C161,Aktiviteter,0))&amp;"",IF(AND(C161="LMS",F161&gt;0,OR(D161="",E161="")),"Mangler maskin eller arbeid",IF(AND(OR(C161="LMS",C161="Mod"),D161&lt;&gt;""),IF(IFERROR(INDEX(MaskinStatus,MATCH(D161,Maskiner,0)),"")="I dokk","","Maskinen er ikke i dokk"),""))))))</f>
        <v/>
      </c>
      <c r="L161" s="2">
        <f>IF(B161="","",IFERROR(INT((MATCH(B161,Teknikere,0)-1)/18)+1,""))</f>
        <v/>
      </c>
      <c r="M161" s="2">
        <f>IF(OR(A161="",B161=""),"",B161&amp;"|"&amp;A161)</f>
        <v/>
      </c>
      <c r="N161" s="2">
        <f>IF(M161="","",SUMIFS(TF_Timer,TF_Nokkel,M161,TF_Akt,C161))</f>
        <v/>
      </c>
      <c r="O161" s="2">
        <f>IF(M161="","",IF(AND(N161=_xlfn.MAXIFS(TF_AktSum,TF_Nokkel,M161),COUNTIFS(M$3:M160,M161,N$3:N160,N161)=0),M161,""))</f>
        <v/>
      </c>
    </row>
    <row r="162">
      <c r="A162" s="34" t="n"/>
      <c r="B162" s="35" t="n"/>
      <c r="C162" s="35" t="n"/>
      <c r="D162" s="35" t="n"/>
      <c r="E162" s="35" t="n"/>
      <c r="F162" s="36" t="n"/>
      <c r="G162" s="35" t="n"/>
      <c r="H162" s="30">
        <f>IF(L162="","",INDEX(SkiftNavn,L162))</f>
        <v/>
      </c>
      <c r="I162" s="30">
        <f>IF(OR(A162="",L162=""),"",IF(MOD(A162-INDEX(SkiftStart,L162),Syklus)&lt;DagK,"Kveld",IF(MOD(A162-INDEX(SkiftStart,L162),Syklus)&lt;DagK+DagH,"Helg",IF(MOD(A162-INDEX(SkiftStart,L162),Syklus)&lt;DagK+DagH+DagD,"Dag","Fri"))))</f>
        <v/>
      </c>
      <c r="J162" s="30">
        <f>IF(I162="Fri","Ja","")</f>
        <v/>
      </c>
      <c r="K162" s="30">
        <f>IF(B162="","",IF(L162="","Ukjent tekniker",IF(ISNA(MATCH(C162,Aktiviteter,0)),"Ukjent aktivitet",IF(AND(INDEX(AktRolle,MATCH(C162,Aktiviteter,0))&amp;""&lt;&gt;"",ISERROR(SEARCH(INDEX(AktRolle,MATCH(C162,Aktiviteter,0))&amp;"",INDEX(TekRoller,MATCH(B162,Teknikere,0))))),"Mangler rollen "&amp;INDEX(AktRolle,MATCH(C162,Aktiviteter,0))&amp;"",IF(AND(C162="LMS",F162&gt;0,OR(D162="",E162="")),"Mangler maskin eller arbeid",IF(AND(OR(C162="LMS",C162="Mod"),D162&lt;&gt;""),IF(IFERROR(INDEX(MaskinStatus,MATCH(D162,Maskiner,0)),"")="I dokk","","Maskinen er ikke i dokk"),""))))))</f>
        <v/>
      </c>
      <c r="L162" s="2">
        <f>IF(B162="","",IFERROR(INT((MATCH(B162,Teknikere,0)-1)/18)+1,""))</f>
        <v/>
      </c>
      <c r="M162" s="2">
        <f>IF(OR(A162="",B162=""),"",B162&amp;"|"&amp;A162)</f>
        <v/>
      </c>
      <c r="N162" s="2">
        <f>IF(M162="","",SUMIFS(TF_Timer,TF_Nokkel,M162,TF_Akt,C162))</f>
        <v/>
      </c>
      <c r="O162" s="2">
        <f>IF(M162="","",IF(AND(N162=_xlfn.MAXIFS(TF_AktSum,TF_Nokkel,M162),COUNTIFS(M$3:M161,M162,N$3:N161,N162)=0),M162,""))</f>
        <v/>
      </c>
    </row>
    <row r="163">
      <c r="A163" s="34" t="n"/>
      <c r="B163" s="35" t="n"/>
      <c r="C163" s="35" t="n"/>
      <c r="D163" s="35" t="n"/>
      <c r="E163" s="35" t="n"/>
      <c r="F163" s="36" t="n"/>
      <c r="G163" s="35" t="n"/>
      <c r="H163" s="30">
        <f>IF(L163="","",INDEX(SkiftNavn,L163))</f>
        <v/>
      </c>
      <c r="I163" s="30">
        <f>IF(OR(A163="",L163=""),"",IF(MOD(A163-INDEX(SkiftStart,L163),Syklus)&lt;DagK,"Kveld",IF(MOD(A163-INDEX(SkiftStart,L163),Syklus)&lt;DagK+DagH,"Helg",IF(MOD(A163-INDEX(SkiftStart,L163),Syklus)&lt;DagK+DagH+DagD,"Dag","Fri"))))</f>
        <v/>
      </c>
      <c r="J163" s="30">
        <f>IF(I163="Fri","Ja","")</f>
        <v/>
      </c>
      <c r="K163" s="30">
        <f>IF(B163="","",IF(L163="","Ukjent tekniker",IF(ISNA(MATCH(C163,Aktiviteter,0)),"Ukjent aktivitet",IF(AND(INDEX(AktRolle,MATCH(C163,Aktiviteter,0))&amp;""&lt;&gt;"",ISERROR(SEARCH(INDEX(AktRolle,MATCH(C163,Aktiviteter,0))&amp;"",INDEX(TekRoller,MATCH(B163,Teknikere,0))))),"Mangler rollen "&amp;INDEX(AktRolle,MATCH(C163,Aktiviteter,0))&amp;"",IF(AND(C163="LMS",F163&gt;0,OR(D163="",E163="")),"Mangler maskin eller arbeid",IF(AND(OR(C163="LMS",C163="Mod"),D163&lt;&gt;""),IF(IFERROR(INDEX(MaskinStatus,MATCH(D163,Maskiner,0)),"")="I dokk","","Maskinen er ikke i dokk"),""))))))</f>
        <v/>
      </c>
      <c r="L163" s="2">
        <f>IF(B163="","",IFERROR(INT((MATCH(B163,Teknikere,0)-1)/18)+1,""))</f>
        <v/>
      </c>
      <c r="M163" s="2">
        <f>IF(OR(A163="",B163=""),"",B163&amp;"|"&amp;A163)</f>
        <v/>
      </c>
      <c r="N163" s="2">
        <f>IF(M163="","",SUMIFS(TF_Timer,TF_Nokkel,M163,TF_Akt,C163))</f>
        <v/>
      </c>
      <c r="O163" s="2">
        <f>IF(M163="","",IF(AND(N163=_xlfn.MAXIFS(TF_AktSum,TF_Nokkel,M163),COUNTIFS(M$3:M162,M163,N$3:N162,N163)=0),M163,""))</f>
        <v/>
      </c>
    </row>
    <row r="164">
      <c r="A164" s="34" t="n"/>
      <c r="B164" s="35" t="n"/>
      <c r="C164" s="35" t="n"/>
      <c r="D164" s="35" t="n"/>
      <c r="E164" s="35" t="n"/>
      <c r="F164" s="36" t="n"/>
      <c r="G164" s="35" t="n"/>
      <c r="H164" s="30">
        <f>IF(L164="","",INDEX(SkiftNavn,L164))</f>
        <v/>
      </c>
      <c r="I164" s="30">
        <f>IF(OR(A164="",L164=""),"",IF(MOD(A164-INDEX(SkiftStart,L164),Syklus)&lt;DagK,"Kveld",IF(MOD(A164-INDEX(SkiftStart,L164),Syklus)&lt;DagK+DagH,"Helg",IF(MOD(A164-INDEX(SkiftStart,L164),Syklus)&lt;DagK+DagH+DagD,"Dag","Fri"))))</f>
        <v/>
      </c>
      <c r="J164" s="30">
        <f>IF(I164="Fri","Ja","")</f>
        <v/>
      </c>
      <c r="K164" s="30">
        <f>IF(B164="","",IF(L164="","Ukjent tekniker",IF(ISNA(MATCH(C164,Aktiviteter,0)),"Ukjent aktivitet",IF(AND(INDEX(AktRolle,MATCH(C164,Aktiviteter,0))&amp;""&lt;&gt;"",ISERROR(SEARCH(INDEX(AktRolle,MATCH(C164,Aktiviteter,0))&amp;"",INDEX(TekRoller,MATCH(B164,Teknikere,0))))),"Mangler rollen "&amp;INDEX(AktRolle,MATCH(C164,Aktiviteter,0))&amp;"",IF(AND(C164="LMS",F164&gt;0,OR(D164="",E164="")),"Mangler maskin eller arbeid",IF(AND(OR(C164="LMS",C164="Mod"),D164&lt;&gt;""),IF(IFERROR(INDEX(MaskinStatus,MATCH(D164,Maskiner,0)),"")="I dokk","","Maskinen er ikke i dokk"),""))))))</f>
        <v/>
      </c>
      <c r="L164" s="2">
        <f>IF(B164="","",IFERROR(INT((MATCH(B164,Teknikere,0)-1)/18)+1,""))</f>
        <v/>
      </c>
      <c r="M164" s="2">
        <f>IF(OR(A164="",B164=""),"",B164&amp;"|"&amp;A164)</f>
        <v/>
      </c>
      <c r="N164" s="2">
        <f>IF(M164="","",SUMIFS(TF_Timer,TF_Nokkel,M164,TF_Akt,C164))</f>
        <v/>
      </c>
      <c r="O164" s="2">
        <f>IF(M164="","",IF(AND(N164=_xlfn.MAXIFS(TF_AktSum,TF_Nokkel,M164),COUNTIFS(M$3:M163,M164,N$3:N163,N164)=0),M164,""))</f>
        <v/>
      </c>
    </row>
    <row r="165">
      <c r="A165" s="34" t="n"/>
      <c r="B165" s="35" t="n"/>
      <c r="C165" s="35" t="n"/>
      <c r="D165" s="35" t="n"/>
      <c r="E165" s="35" t="n"/>
      <c r="F165" s="36" t="n"/>
      <c r="G165" s="35" t="n"/>
      <c r="H165" s="30">
        <f>IF(L165="","",INDEX(SkiftNavn,L165))</f>
        <v/>
      </c>
      <c r="I165" s="30">
        <f>IF(OR(A165="",L165=""),"",IF(MOD(A165-INDEX(SkiftStart,L165),Syklus)&lt;DagK,"Kveld",IF(MOD(A165-INDEX(SkiftStart,L165),Syklus)&lt;DagK+DagH,"Helg",IF(MOD(A165-INDEX(SkiftStart,L165),Syklus)&lt;DagK+DagH+DagD,"Dag","Fri"))))</f>
        <v/>
      </c>
      <c r="J165" s="30">
        <f>IF(I165="Fri","Ja","")</f>
        <v/>
      </c>
      <c r="K165" s="30">
        <f>IF(B165="","",IF(L165="","Ukjent tekniker",IF(ISNA(MATCH(C165,Aktiviteter,0)),"Ukjent aktivitet",IF(AND(INDEX(AktRolle,MATCH(C165,Aktiviteter,0))&amp;""&lt;&gt;"",ISERROR(SEARCH(INDEX(AktRolle,MATCH(C165,Aktiviteter,0))&amp;"",INDEX(TekRoller,MATCH(B165,Teknikere,0))))),"Mangler rollen "&amp;INDEX(AktRolle,MATCH(C165,Aktiviteter,0))&amp;"",IF(AND(C165="LMS",F165&gt;0,OR(D165="",E165="")),"Mangler maskin eller arbeid",IF(AND(OR(C165="LMS",C165="Mod"),D165&lt;&gt;""),IF(IFERROR(INDEX(MaskinStatus,MATCH(D165,Maskiner,0)),"")="I dokk","","Maskinen er ikke i dokk"),""))))))</f>
        <v/>
      </c>
      <c r="L165" s="2">
        <f>IF(B165="","",IFERROR(INT((MATCH(B165,Teknikere,0)-1)/18)+1,""))</f>
        <v/>
      </c>
      <c r="M165" s="2">
        <f>IF(OR(A165="",B165=""),"",B165&amp;"|"&amp;A165)</f>
        <v/>
      </c>
      <c r="N165" s="2">
        <f>IF(M165="","",SUMIFS(TF_Timer,TF_Nokkel,M165,TF_Akt,C165))</f>
        <v/>
      </c>
      <c r="O165" s="2">
        <f>IF(M165="","",IF(AND(N165=_xlfn.MAXIFS(TF_AktSum,TF_Nokkel,M165),COUNTIFS(M$3:M164,M165,N$3:N164,N165)=0),M165,""))</f>
        <v/>
      </c>
    </row>
    <row r="166">
      <c r="A166" s="34" t="n"/>
      <c r="B166" s="35" t="n"/>
      <c r="C166" s="35" t="n"/>
      <c r="D166" s="35" t="n"/>
      <c r="E166" s="35" t="n"/>
      <c r="F166" s="36" t="n"/>
      <c r="G166" s="35" t="n"/>
      <c r="H166" s="30">
        <f>IF(L166="","",INDEX(SkiftNavn,L166))</f>
        <v/>
      </c>
      <c r="I166" s="30">
        <f>IF(OR(A166="",L166=""),"",IF(MOD(A166-INDEX(SkiftStart,L166),Syklus)&lt;DagK,"Kveld",IF(MOD(A166-INDEX(SkiftStart,L166),Syklus)&lt;DagK+DagH,"Helg",IF(MOD(A166-INDEX(SkiftStart,L166),Syklus)&lt;DagK+DagH+DagD,"Dag","Fri"))))</f>
        <v/>
      </c>
      <c r="J166" s="30">
        <f>IF(I166="Fri","Ja","")</f>
        <v/>
      </c>
      <c r="K166" s="30">
        <f>IF(B166="","",IF(L166="","Ukjent tekniker",IF(ISNA(MATCH(C166,Aktiviteter,0)),"Ukjent aktivitet",IF(AND(INDEX(AktRolle,MATCH(C166,Aktiviteter,0))&amp;""&lt;&gt;"",ISERROR(SEARCH(INDEX(AktRolle,MATCH(C166,Aktiviteter,0))&amp;"",INDEX(TekRoller,MATCH(B166,Teknikere,0))))),"Mangler rollen "&amp;INDEX(AktRolle,MATCH(C166,Aktiviteter,0))&amp;"",IF(AND(C166="LMS",F166&gt;0,OR(D166="",E166="")),"Mangler maskin eller arbeid",IF(AND(OR(C166="LMS",C166="Mod"),D166&lt;&gt;""),IF(IFERROR(INDEX(MaskinStatus,MATCH(D166,Maskiner,0)),"")="I dokk","","Maskinen er ikke i dokk"),""))))))</f>
        <v/>
      </c>
      <c r="L166" s="2">
        <f>IF(B166="","",IFERROR(INT((MATCH(B166,Teknikere,0)-1)/18)+1,""))</f>
        <v/>
      </c>
      <c r="M166" s="2">
        <f>IF(OR(A166="",B166=""),"",B166&amp;"|"&amp;A166)</f>
        <v/>
      </c>
      <c r="N166" s="2">
        <f>IF(M166="","",SUMIFS(TF_Timer,TF_Nokkel,M166,TF_Akt,C166))</f>
        <v/>
      </c>
      <c r="O166" s="2">
        <f>IF(M166="","",IF(AND(N166=_xlfn.MAXIFS(TF_AktSum,TF_Nokkel,M166),COUNTIFS(M$3:M165,M166,N$3:N165,N166)=0),M166,""))</f>
        <v/>
      </c>
    </row>
    <row r="167">
      <c r="A167" s="34" t="n"/>
      <c r="B167" s="35" t="n"/>
      <c r="C167" s="35" t="n"/>
      <c r="D167" s="35" t="n"/>
      <c r="E167" s="35" t="n"/>
      <c r="F167" s="36" t="n"/>
      <c r="G167" s="35" t="n"/>
      <c r="H167" s="30">
        <f>IF(L167="","",INDEX(SkiftNavn,L167))</f>
        <v/>
      </c>
      <c r="I167" s="30">
        <f>IF(OR(A167="",L167=""),"",IF(MOD(A167-INDEX(SkiftStart,L167),Syklus)&lt;DagK,"Kveld",IF(MOD(A167-INDEX(SkiftStart,L167),Syklus)&lt;DagK+DagH,"Helg",IF(MOD(A167-INDEX(SkiftStart,L167),Syklus)&lt;DagK+DagH+DagD,"Dag","Fri"))))</f>
        <v/>
      </c>
      <c r="J167" s="30">
        <f>IF(I167="Fri","Ja","")</f>
        <v/>
      </c>
      <c r="K167" s="30">
        <f>IF(B167="","",IF(L167="","Ukjent tekniker",IF(ISNA(MATCH(C167,Aktiviteter,0)),"Ukjent aktivitet",IF(AND(INDEX(AktRolle,MATCH(C167,Aktiviteter,0))&amp;""&lt;&gt;"",ISERROR(SEARCH(INDEX(AktRolle,MATCH(C167,Aktiviteter,0))&amp;"",INDEX(TekRoller,MATCH(B167,Teknikere,0))))),"Mangler rollen "&amp;INDEX(AktRolle,MATCH(C167,Aktiviteter,0))&amp;"",IF(AND(C167="LMS",F167&gt;0,OR(D167="",E167="")),"Mangler maskin eller arbeid",IF(AND(OR(C167="LMS",C167="Mod"),D167&lt;&gt;""),IF(IFERROR(INDEX(MaskinStatus,MATCH(D167,Maskiner,0)),"")="I dokk","","Maskinen er ikke i dokk"),""))))))</f>
        <v/>
      </c>
      <c r="L167" s="2">
        <f>IF(B167="","",IFERROR(INT((MATCH(B167,Teknikere,0)-1)/18)+1,""))</f>
        <v/>
      </c>
      <c r="M167" s="2">
        <f>IF(OR(A167="",B167=""),"",B167&amp;"|"&amp;A167)</f>
        <v/>
      </c>
      <c r="N167" s="2">
        <f>IF(M167="","",SUMIFS(TF_Timer,TF_Nokkel,M167,TF_Akt,C167))</f>
        <v/>
      </c>
      <c r="O167" s="2">
        <f>IF(M167="","",IF(AND(N167=_xlfn.MAXIFS(TF_AktSum,TF_Nokkel,M167),COUNTIFS(M$3:M166,M167,N$3:N166,N167)=0),M167,""))</f>
        <v/>
      </c>
    </row>
    <row r="168">
      <c r="A168" s="34" t="n"/>
      <c r="B168" s="35" t="n"/>
      <c r="C168" s="35" t="n"/>
      <c r="D168" s="35" t="n"/>
      <c r="E168" s="35" t="n"/>
      <c r="F168" s="36" t="n"/>
      <c r="G168" s="35" t="n"/>
      <c r="H168" s="30">
        <f>IF(L168="","",INDEX(SkiftNavn,L168))</f>
        <v/>
      </c>
      <c r="I168" s="30">
        <f>IF(OR(A168="",L168=""),"",IF(MOD(A168-INDEX(SkiftStart,L168),Syklus)&lt;DagK,"Kveld",IF(MOD(A168-INDEX(SkiftStart,L168),Syklus)&lt;DagK+DagH,"Helg",IF(MOD(A168-INDEX(SkiftStart,L168),Syklus)&lt;DagK+DagH+DagD,"Dag","Fri"))))</f>
        <v/>
      </c>
      <c r="J168" s="30">
        <f>IF(I168="Fri","Ja","")</f>
        <v/>
      </c>
      <c r="K168" s="30">
        <f>IF(B168="","",IF(L168="","Ukjent tekniker",IF(ISNA(MATCH(C168,Aktiviteter,0)),"Ukjent aktivitet",IF(AND(INDEX(AktRolle,MATCH(C168,Aktiviteter,0))&amp;""&lt;&gt;"",ISERROR(SEARCH(INDEX(AktRolle,MATCH(C168,Aktiviteter,0))&amp;"",INDEX(TekRoller,MATCH(B168,Teknikere,0))))),"Mangler rollen "&amp;INDEX(AktRolle,MATCH(C168,Aktiviteter,0))&amp;"",IF(AND(C168="LMS",F168&gt;0,OR(D168="",E168="")),"Mangler maskin eller arbeid",IF(AND(OR(C168="LMS",C168="Mod"),D168&lt;&gt;""),IF(IFERROR(INDEX(MaskinStatus,MATCH(D168,Maskiner,0)),"")="I dokk","","Maskinen er ikke i dokk"),""))))))</f>
        <v/>
      </c>
      <c r="L168" s="2">
        <f>IF(B168="","",IFERROR(INT((MATCH(B168,Teknikere,0)-1)/18)+1,""))</f>
        <v/>
      </c>
      <c r="M168" s="2">
        <f>IF(OR(A168="",B168=""),"",B168&amp;"|"&amp;A168)</f>
        <v/>
      </c>
      <c r="N168" s="2">
        <f>IF(M168="","",SUMIFS(TF_Timer,TF_Nokkel,M168,TF_Akt,C168))</f>
        <v/>
      </c>
      <c r="O168" s="2">
        <f>IF(M168="","",IF(AND(N168=_xlfn.MAXIFS(TF_AktSum,TF_Nokkel,M168),COUNTIFS(M$3:M167,M168,N$3:N167,N168)=0),M168,""))</f>
        <v/>
      </c>
    </row>
    <row r="169">
      <c r="A169" s="34" t="n"/>
      <c r="B169" s="35" t="n"/>
      <c r="C169" s="35" t="n"/>
      <c r="D169" s="35" t="n"/>
      <c r="E169" s="35" t="n"/>
      <c r="F169" s="36" t="n"/>
      <c r="G169" s="35" t="n"/>
      <c r="H169" s="30">
        <f>IF(L169="","",INDEX(SkiftNavn,L169))</f>
        <v/>
      </c>
      <c r="I169" s="30">
        <f>IF(OR(A169="",L169=""),"",IF(MOD(A169-INDEX(SkiftStart,L169),Syklus)&lt;DagK,"Kveld",IF(MOD(A169-INDEX(SkiftStart,L169),Syklus)&lt;DagK+DagH,"Helg",IF(MOD(A169-INDEX(SkiftStart,L169),Syklus)&lt;DagK+DagH+DagD,"Dag","Fri"))))</f>
        <v/>
      </c>
      <c r="J169" s="30">
        <f>IF(I169="Fri","Ja","")</f>
        <v/>
      </c>
      <c r="K169" s="30">
        <f>IF(B169="","",IF(L169="","Ukjent tekniker",IF(ISNA(MATCH(C169,Aktiviteter,0)),"Ukjent aktivitet",IF(AND(INDEX(AktRolle,MATCH(C169,Aktiviteter,0))&amp;""&lt;&gt;"",ISERROR(SEARCH(INDEX(AktRolle,MATCH(C169,Aktiviteter,0))&amp;"",INDEX(TekRoller,MATCH(B169,Teknikere,0))))),"Mangler rollen "&amp;INDEX(AktRolle,MATCH(C169,Aktiviteter,0))&amp;"",IF(AND(C169="LMS",F169&gt;0,OR(D169="",E169="")),"Mangler maskin eller arbeid",IF(AND(OR(C169="LMS",C169="Mod"),D169&lt;&gt;""),IF(IFERROR(INDEX(MaskinStatus,MATCH(D169,Maskiner,0)),"")="I dokk","","Maskinen er ikke i dokk"),""))))))</f>
        <v/>
      </c>
      <c r="L169" s="2">
        <f>IF(B169="","",IFERROR(INT((MATCH(B169,Teknikere,0)-1)/18)+1,""))</f>
        <v/>
      </c>
      <c r="M169" s="2">
        <f>IF(OR(A169="",B169=""),"",B169&amp;"|"&amp;A169)</f>
        <v/>
      </c>
      <c r="N169" s="2">
        <f>IF(M169="","",SUMIFS(TF_Timer,TF_Nokkel,M169,TF_Akt,C169))</f>
        <v/>
      </c>
      <c r="O169" s="2">
        <f>IF(M169="","",IF(AND(N169=_xlfn.MAXIFS(TF_AktSum,TF_Nokkel,M169),COUNTIFS(M$3:M168,M169,N$3:N168,N169)=0),M169,""))</f>
        <v/>
      </c>
    </row>
    <row r="170">
      <c r="A170" s="34" t="n"/>
      <c r="B170" s="35" t="n"/>
      <c r="C170" s="35" t="n"/>
      <c r="D170" s="35" t="n"/>
      <c r="E170" s="35" t="n"/>
      <c r="F170" s="36" t="n"/>
      <c r="G170" s="35" t="n"/>
      <c r="H170" s="30">
        <f>IF(L170="","",INDEX(SkiftNavn,L170))</f>
        <v/>
      </c>
      <c r="I170" s="30">
        <f>IF(OR(A170="",L170=""),"",IF(MOD(A170-INDEX(SkiftStart,L170),Syklus)&lt;DagK,"Kveld",IF(MOD(A170-INDEX(SkiftStart,L170),Syklus)&lt;DagK+DagH,"Helg",IF(MOD(A170-INDEX(SkiftStart,L170),Syklus)&lt;DagK+DagH+DagD,"Dag","Fri"))))</f>
        <v/>
      </c>
      <c r="J170" s="30">
        <f>IF(I170="Fri","Ja","")</f>
        <v/>
      </c>
      <c r="K170" s="30">
        <f>IF(B170="","",IF(L170="","Ukjent tekniker",IF(ISNA(MATCH(C170,Aktiviteter,0)),"Ukjent aktivitet",IF(AND(INDEX(AktRolle,MATCH(C170,Aktiviteter,0))&amp;""&lt;&gt;"",ISERROR(SEARCH(INDEX(AktRolle,MATCH(C170,Aktiviteter,0))&amp;"",INDEX(TekRoller,MATCH(B170,Teknikere,0))))),"Mangler rollen "&amp;INDEX(AktRolle,MATCH(C170,Aktiviteter,0))&amp;"",IF(AND(C170="LMS",F170&gt;0,OR(D170="",E170="")),"Mangler maskin eller arbeid",IF(AND(OR(C170="LMS",C170="Mod"),D170&lt;&gt;""),IF(IFERROR(INDEX(MaskinStatus,MATCH(D170,Maskiner,0)),"")="I dokk","","Maskinen er ikke i dokk"),""))))))</f>
        <v/>
      </c>
      <c r="L170" s="2">
        <f>IF(B170="","",IFERROR(INT((MATCH(B170,Teknikere,0)-1)/18)+1,""))</f>
        <v/>
      </c>
      <c r="M170" s="2">
        <f>IF(OR(A170="",B170=""),"",B170&amp;"|"&amp;A170)</f>
        <v/>
      </c>
      <c r="N170" s="2">
        <f>IF(M170="","",SUMIFS(TF_Timer,TF_Nokkel,M170,TF_Akt,C170))</f>
        <v/>
      </c>
      <c r="O170" s="2">
        <f>IF(M170="","",IF(AND(N170=_xlfn.MAXIFS(TF_AktSum,TF_Nokkel,M170),COUNTIFS(M$3:M169,M170,N$3:N169,N170)=0),M170,""))</f>
        <v/>
      </c>
    </row>
    <row r="171">
      <c r="A171" s="34" t="n"/>
      <c r="B171" s="35" t="n"/>
      <c r="C171" s="35" t="n"/>
      <c r="D171" s="35" t="n"/>
      <c r="E171" s="35" t="n"/>
      <c r="F171" s="36" t="n"/>
      <c r="G171" s="35" t="n"/>
      <c r="H171" s="30">
        <f>IF(L171="","",INDEX(SkiftNavn,L171))</f>
        <v/>
      </c>
      <c r="I171" s="30">
        <f>IF(OR(A171="",L171=""),"",IF(MOD(A171-INDEX(SkiftStart,L171),Syklus)&lt;DagK,"Kveld",IF(MOD(A171-INDEX(SkiftStart,L171),Syklus)&lt;DagK+DagH,"Helg",IF(MOD(A171-INDEX(SkiftStart,L171),Syklus)&lt;DagK+DagH+DagD,"Dag","Fri"))))</f>
        <v/>
      </c>
      <c r="J171" s="30">
        <f>IF(I171="Fri","Ja","")</f>
        <v/>
      </c>
      <c r="K171" s="30">
        <f>IF(B171="","",IF(L171="","Ukjent tekniker",IF(ISNA(MATCH(C171,Aktiviteter,0)),"Ukjent aktivitet",IF(AND(INDEX(AktRolle,MATCH(C171,Aktiviteter,0))&amp;""&lt;&gt;"",ISERROR(SEARCH(INDEX(AktRolle,MATCH(C171,Aktiviteter,0))&amp;"",INDEX(TekRoller,MATCH(B171,Teknikere,0))))),"Mangler rollen "&amp;INDEX(AktRolle,MATCH(C171,Aktiviteter,0))&amp;"",IF(AND(C171="LMS",F171&gt;0,OR(D171="",E171="")),"Mangler maskin eller arbeid",IF(AND(OR(C171="LMS",C171="Mod"),D171&lt;&gt;""),IF(IFERROR(INDEX(MaskinStatus,MATCH(D171,Maskiner,0)),"")="I dokk","","Maskinen er ikke i dokk"),""))))))</f>
        <v/>
      </c>
      <c r="L171" s="2">
        <f>IF(B171="","",IFERROR(INT((MATCH(B171,Teknikere,0)-1)/18)+1,""))</f>
        <v/>
      </c>
      <c r="M171" s="2">
        <f>IF(OR(A171="",B171=""),"",B171&amp;"|"&amp;A171)</f>
        <v/>
      </c>
      <c r="N171" s="2">
        <f>IF(M171="","",SUMIFS(TF_Timer,TF_Nokkel,M171,TF_Akt,C171))</f>
        <v/>
      </c>
      <c r="O171" s="2">
        <f>IF(M171="","",IF(AND(N171=_xlfn.MAXIFS(TF_AktSum,TF_Nokkel,M171),COUNTIFS(M$3:M170,M171,N$3:N170,N171)=0),M171,""))</f>
        <v/>
      </c>
    </row>
    <row r="172">
      <c r="A172" s="34" t="n"/>
      <c r="B172" s="35" t="n"/>
      <c r="C172" s="35" t="n"/>
      <c r="D172" s="35" t="n"/>
      <c r="E172" s="35" t="n"/>
      <c r="F172" s="36" t="n"/>
      <c r="G172" s="35" t="n"/>
      <c r="H172" s="30">
        <f>IF(L172="","",INDEX(SkiftNavn,L172))</f>
        <v/>
      </c>
      <c r="I172" s="30">
        <f>IF(OR(A172="",L172=""),"",IF(MOD(A172-INDEX(SkiftStart,L172),Syklus)&lt;DagK,"Kveld",IF(MOD(A172-INDEX(SkiftStart,L172),Syklus)&lt;DagK+DagH,"Helg",IF(MOD(A172-INDEX(SkiftStart,L172),Syklus)&lt;DagK+DagH+DagD,"Dag","Fri"))))</f>
        <v/>
      </c>
      <c r="J172" s="30">
        <f>IF(I172="Fri","Ja","")</f>
        <v/>
      </c>
      <c r="K172" s="30">
        <f>IF(B172="","",IF(L172="","Ukjent tekniker",IF(ISNA(MATCH(C172,Aktiviteter,0)),"Ukjent aktivitet",IF(AND(INDEX(AktRolle,MATCH(C172,Aktiviteter,0))&amp;""&lt;&gt;"",ISERROR(SEARCH(INDEX(AktRolle,MATCH(C172,Aktiviteter,0))&amp;"",INDEX(TekRoller,MATCH(B172,Teknikere,0))))),"Mangler rollen "&amp;INDEX(AktRolle,MATCH(C172,Aktiviteter,0))&amp;"",IF(AND(C172="LMS",F172&gt;0,OR(D172="",E172="")),"Mangler maskin eller arbeid",IF(AND(OR(C172="LMS",C172="Mod"),D172&lt;&gt;""),IF(IFERROR(INDEX(MaskinStatus,MATCH(D172,Maskiner,0)),"")="I dokk","","Maskinen er ikke i dokk"),""))))))</f>
        <v/>
      </c>
      <c r="L172" s="2">
        <f>IF(B172="","",IFERROR(INT((MATCH(B172,Teknikere,0)-1)/18)+1,""))</f>
        <v/>
      </c>
      <c r="M172" s="2">
        <f>IF(OR(A172="",B172=""),"",B172&amp;"|"&amp;A172)</f>
        <v/>
      </c>
      <c r="N172" s="2">
        <f>IF(M172="","",SUMIFS(TF_Timer,TF_Nokkel,M172,TF_Akt,C172))</f>
        <v/>
      </c>
      <c r="O172" s="2">
        <f>IF(M172="","",IF(AND(N172=_xlfn.MAXIFS(TF_AktSum,TF_Nokkel,M172),COUNTIFS(M$3:M171,M172,N$3:N171,N172)=0),M172,""))</f>
        <v/>
      </c>
    </row>
    <row r="173">
      <c r="A173" s="34" t="n"/>
      <c r="B173" s="35" t="n"/>
      <c r="C173" s="35" t="n"/>
      <c r="D173" s="35" t="n"/>
      <c r="E173" s="35" t="n"/>
      <c r="F173" s="36" t="n"/>
      <c r="G173" s="35" t="n"/>
      <c r="H173" s="30">
        <f>IF(L173="","",INDEX(SkiftNavn,L173))</f>
        <v/>
      </c>
      <c r="I173" s="30">
        <f>IF(OR(A173="",L173=""),"",IF(MOD(A173-INDEX(SkiftStart,L173),Syklus)&lt;DagK,"Kveld",IF(MOD(A173-INDEX(SkiftStart,L173),Syklus)&lt;DagK+DagH,"Helg",IF(MOD(A173-INDEX(SkiftStart,L173),Syklus)&lt;DagK+DagH+DagD,"Dag","Fri"))))</f>
        <v/>
      </c>
      <c r="J173" s="30">
        <f>IF(I173="Fri","Ja","")</f>
        <v/>
      </c>
      <c r="K173" s="30">
        <f>IF(B173="","",IF(L173="","Ukjent tekniker",IF(ISNA(MATCH(C173,Aktiviteter,0)),"Ukjent aktivitet",IF(AND(INDEX(AktRolle,MATCH(C173,Aktiviteter,0))&amp;""&lt;&gt;"",ISERROR(SEARCH(INDEX(AktRolle,MATCH(C173,Aktiviteter,0))&amp;"",INDEX(TekRoller,MATCH(B173,Teknikere,0))))),"Mangler rollen "&amp;INDEX(AktRolle,MATCH(C173,Aktiviteter,0))&amp;"",IF(AND(C173="LMS",F173&gt;0,OR(D173="",E173="")),"Mangler maskin eller arbeid",IF(AND(OR(C173="LMS",C173="Mod"),D173&lt;&gt;""),IF(IFERROR(INDEX(MaskinStatus,MATCH(D173,Maskiner,0)),"")="I dokk","","Maskinen er ikke i dokk"),""))))))</f>
        <v/>
      </c>
      <c r="L173" s="2">
        <f>IF(B173="","",IFERROR(INT((MATCH(B173,Teknikere,0)-1)/18)+1,""))</f>
        <v/>
      </c>
      <c r="M173" s="2">
        <f>IF(OR(A173="",B173=""),"",B173&amp;"|"&amp;A173)</f>
        <v/>
      </c>
      <c r="N173" s="2">
        <f>IF(M173="","",SUMIFS(TF_Timer,TF_Nokkel,M173,TF_Akt,C173))</f>
        <v/>
      </c>
      <c r="O173" s="2">
        <f>IF(M173="","",IF(AND(N173=_xlfn.MAXIFS(TF_AktSum,TF_Nokkel,M173),COUNTIFS(M$3:M172,M173,N$3:N172,N173)=0),M173,""))</f>
        <v/>
      </c>
    </row>
    <row r="174">
      <c r="A174" s="34" t="n"/>
      <c r="B174" s="35" t="n"/>
      <c r="C174" s="35" t="n"/>
      <c r="D174" s="35" t="n"/>
      <c r="E174" s="35" t="n"/>
      <c r="F174" s="36" t="n"/>
      <c r="G174" s="35" t="n"/>
      <c r="H174" s="30">
        <f>IF(L174="","",INDEX(SkiftNavn,L174))</f>
        <v/>
      </c>
      <c r="I174" s="30">
        <f>IF(OR(A174="",L174=""),"",IF(MOD(A174-INDEX(SkiftStart,L174),Syklus)&lt;DagK,"Kveld",IF(MOD(A174-INDEX(SkiftStart,L174),Syklus)&lt;DagK+DagH,"Helg",IF(MOD(A174-INDEX(SkiftStart,L174),Syklus)&lt;DagK+DagH+DagD,"Dag","Fri"))))</f>
        <v/>
      </c>
      <c r="J174" s="30">
        <f>IF(I174="Fri","Ja","")</f>
        <v/>
      </c>
      <c r="K174" s="30">
        <f>IF(B174="","",IF(L174="","Ukjent tekniker",IF(ISNA(MATCH(C174,Aktiviteter,0)),"Ukjent aktivitet",IF(AND(INDEX(AktRolle,MATCH(C174,Aktiviteter,0))&amp;""&lt;&gt;"",ISERROR(SEARCH(INDEX(AktRolle,MATCH(C174,Aktiviteter,0))&amp;"",INDEX(TekRoller,MATCH(B174,Teknikere,0))))),"Mangler rollen "&amp;INDEX(AktRolle,MATCH(C174,Aktiviteter,0))&amp;"",IF(AND(C174="LMS",F174&gt;0,OR(D174="",E174="")),"Mangler maskin eller arbeid",IF(AND(OR(C174="LMS",C174="Mod"),D174&lt;&gt;""),IF(IFERROR(INDEX(MaskinStatus,MATCH(D174,Maskiner,0)),"")="I dokk","","Maskinen er ikke i dokk"),""))))))</f>
        <v/>
      </c>
      <c r="L174" s="2">
        <f>IF(B174="","",IFERROR(INT((MATCH(B174,Teknikere,0)-1)/18)+1,""))</f>
        <v/>
      </c>
      <c r="M174" s="2">
        <f>IF(OR(A174="",B174=""),"",B174&amp;"|"&amp;A174)</f>
        <v/>
      </c>
      <c r="N174" s="2">
        <f>IF(M174="","",SUMIFS(TF_Timer,TF_Nokkel,M174,TF_Akt,C174))</f>
        <v/>
      </c>
      <c r="O174" s="2">
        <f>IF(M174="","",IF(AND(N174=_xlfn.MAXIFS(TF_AktSum,TF_Nokkel,M174),COUNTIFS(M$3:M173,M174,N$3:N173,N174)=0),M174,""))</f>
        <v/>
      </c>
    </row>
    <row r="175">
      <c r="A175" s="34" t="n"/>
      <c r="B175" s="35" t="n"/>
      <c r="C175" s="35" t="n"/>
      <c r="D175" s="35" t="n"/>
      <c r="E175" s="35" t="n"/>
      <c r="F175" s="36" t="n"/>
      <c r="G175" s="35" t="n"/>
      <c r="H175" s="30">
        <f>IF(L175="","",INDEX(SkiftNavn,L175))</f>
        <v/>
      </c>
      <c r="I175" s="30">
        <f>IF(OR(A175="",L175=""),"",IF(MOD(A175-INDEX(SkiftStart,L175),Syklus)&lt;DagK,"Kveld",IF(MOD(A175-INDEX(SkiftStart,L175),Syklus)&lt;DagK+DagH,"Helg",IF(MOD(A175-INDEX(SkiftStart,L175),Syklus)&lt;DagK+DagH+DagD,"Dag","Fri"))))</f>
        <v/>
      </c>
      <c r="J175" s="30">
        <f>IF(I175="Fri","Ja","")</f>
        <v/>
      </c>
      <c r="K175" s="30">
        <f>IF(B175="","",IF(L175="","Ukjent tekniker",IF(ISNA(MATCH(C175,Aktiviteter,0)),"Ukjent aktivitet",IF(AND(INDEX(AktRolle,MATCH(C175,Aktiviteter,0))&amp;""&lt;&gt;"",ISERROR(SEARCH(INDEX(AktRolle,MATCH(C175,Aktiviteter,0))&amp;"",INDEX(TekRoller,MATCH(B175,Teknikere,0))))),"Mangler rollen "&amp;INDEX(AktRolle,MATCH(C175,Aktiviteter,0))&amp;"",IF(AND(C175="LMS",F175&gt;0,OR(D175="",E175="")),"Mangler maskin eller arbeid",IF(AND(OR(C175="LMS",C175="Mod"),D175&lt;&gt;""),IF(IFERROR(INDEX(MaskinStatus,MATCH(D175,Maskiner,0)),"")="I dokk","","Maskinen er ikke i dokk"),""))))))</f>
        <v/>
      </c>
      <c r="L175" s="2">
        <f>IF(B175="","",IFERROR(INT((MATCH(B175,Teknikere,0)-1)/18)+1,""))</f>
        <v/>
      </c>
      <c r="M175" s="2">
        <f>IF(OR(A175="",B175=""),"",B175&amp;"|"&amp;A175)</f>
        <v/>
      </c>
      <c r="N175" s="2">
        <f>IF(M175="","",SUMIFS(TF_Timer,TF_Nokkel,M175,TF_Akt,C175))</f>
        <v/>
      </c>
      <c r="O175" s="2">
        <f>IF(M175="","",IF(AND(N175=_xlfn.MAXIFS(TF_AktSum,TF_Nokkel,M175),COUNTIFS(M$3:M174,M175,N$3:N174,N175)=0),M175,""))</f>
        <v/>
      </c>
    </row>
    <row r="176">
      <c r="A176" s="34" t="n"/>
      <c r="B176" s="35" t="n"/>
      <c r="C176" s="35" t="n"/>
      <c r="D176" s="35" t="n"/>
      <c r="E176" s="35" t="n"/>
      <c r="F176" s="36" t="n"/>
      <c r="G176" s="35" t="n"/>
      <c r="H176" s="30">
        <f>IF(L176="","",INDEX(SkiftNavn,L176))</f>
        <v/>
      </c>
      <c r="I176" s="30">
        <f>IF(OR(A176="",L176=""),"",IF(MOD(A176-INDEX(SkiftStart,L176),Syklus)&lt;DagK,"Kveld",IF(MOD(A176-INDEX(SkiftStart,L176),Syklus)&lt;DagK+DagH,"Helg",IF(MOD(A176-INDEX(SkiftStart,L176),Syklus)&lt;DagK+DagH+DagD,"Dag","Fri"))))</f>
        <v/>
      </c>
      <c r="J176" s="30">
        <f>IF(I176="Fri","Ja","")</f>
        <v/>
      </c>
      <c r="K176" s="30">
        <f>IF(B176="","",IF(L176="","Ukjent tekniker",IF(ISNA(MATCH(C176,Aktiviteter,0)),"Ukjent aktivitet",IF(AND(INDEX(AktRolle,MATCH(C176,Aktiviteter,0))&amp;""&lt;&gt;"",ISERROR(SEARCH(INDEX(AktRolle,MATCH(C176,Aktiviteter,0))&amp;"",INDEX(TekRoller,MATCH(B176,Teknikere,0))))),"Mangler rollen "&amp;INDEX(AktRolle,MATCH(C176,Aktiviteter,0))&amp;"",IF(AND(C176="LMS",F176&gt;0,OR(D176="",E176="")),"Mangler maskin eller arbeid",IF(AND(OR(C176="LMS",C176="Mod"),D176&lt;&gt;""),IF(IFERROR(INDEX(MaskinStatus,MATCH(D176,Maskiner,0)),"")="I dokk","","Maskinen er ikke i dokk"),""))))))</f>
        <v/>
      </c>
      <c r="L176" s="2">
        <f>IF(B176="","",IFERROR(INT((MATCH(B176,Teknikere,0)-1)/18)+1,""))</f>
        <v/>
      </c>
      <c r="M176" s="2">
        <f>IF(OR(A176="",B176=""),"",B176&amp;"|"&amp;A176)</f>
        <v/>
      </c>
      <c r="N176" s="2">
        <f>IF(M176="","",SUMIFS(TF_Timer,TF_Nokkel,M176,TF_Akt,C176))</f>
        <v/>
      </c>
      <c r="O176" s="2">
        <f>IF(M176="","",IF(AND(N176=_xlfn.MAXIFS(TF_AktSum,TF_Nokkel,M176),COUNTIFS(M$3:M175,M176,N$3:N175,N176)=0),M176,""))</f>
        <v/>
      </c>
    </row>
    <row r="177">
      <c r="A177" s="34" t="n"/>
      <c r="B177" s="35" t="n"/>
      <c r="C177" s="35" t="n"/>
      <c r="D177" s="35" t="n"/>
      <c r="E177" s="35" t="n"/>
      <c r="F177" s="36" t="n"/>
      <c r="G177" s="35" t="n"/>
      <c r="H177" s="30">
        <f>IF(L177="","",INDEX(SkiftNavn,L177))</f>
        <v/>
      </c>
      <c r="I177" s="30">
        <f>IF(OR(A177="",L177=""),"",IF(MOD(A177-INDEX(SkiftStart,L177),Syklus)&lt;DagK,"Kveld",IF(MOD(A177-INDEX(SkiftStart,L177),Syklus)&lt;DagK+DagH,"Helg",IF(MOD(A177-INDEX(SkiftStart,L177),Syklus)&lt;DagK+DagH+DagD,"Dag","Fri"))))</f>
        <v/>
      </c>
      <c r="J177" s="30">
        <f>IF(I177="Fri","Ja","")</f>
        <v/>
      </c>
      <c r="K177" s="30">
        <f>IF(B177="","",IF(L177="","Ukjent tekniker",IF(ISNA(MATCH(C177,Aktiviteter,0)),"Ukjent aktivitet",IF(AND(INDEX(AktRolle,MATCH(C177,Aktiviteter,0))&amp;""&lt;&gt;"",ISERROR(SEARCH(INDEX(AktRolle,MATCH(C177,Aktiviteter,0))&amp;"",INDEX(TekRoller,MATCH(B177,Teknikere,0))))),"Mangler rollen "&amp;INDEX(AktRolle,MATCH(C177,Aktiviteter,0))&amp;"",IF(AND(C177="LMS",F177&gt;0,OR(D177="",E177="")),"Mangler maskin eller arbeid",IF(AND(OR(C177="LMS",C177="Mod"),D177&lt;&gt;""),IF(IFERROR(INDEX(MaskinStatus,MATCH(D177,Maskiner,0)),"")="I dokk","","Maskinen er ikke i dokk"),""))))))</f>
        <v/>
      </c>
      <c r="L177" s="2">
        <f>IF(B177="","",IFERROR(INT((MATCH(B177,Teknikere,0)-1)/18)+1,""))</f>
        <v/>
      </c>
      <c r="M177" s="2">
        <f>IF(OR(A177="",B177=""),"",B177&amp;"|"&amp;A177)</f>
        <v/>
      </c>
      <c r="N177" s="2">
        <f>IF(M177="","",SUMIFS(TF_Timer,TF_Nokkel,M177,TF_Akt,C177))</f>
        <v/>
      </c>
      <c r="O177" s="2">
        <f>IF(M177="","",IF(AND(N177=_xlfn.MAXIFS(TF_AktSum,TF_Nokkel,M177),COUNTIFS(M$3:M176,M177,N$3:N176,N177)=0),M177,""))</f>
        <v/>
      </c>
    </row>
    <row r="178">
      <c r="A178" s="34" t="n"/>
      <c r="B178" s="35" t="n"/>
      <c r="C178" s="35" t="n"/>
      <c r="D178" s="35" t="n"/>
      <c r="E178" s="35" t="n"/>
      <c r="F178" s="36" t="n"/>
      <c r="G178" s="35" t="n"/>
      <c r="H178" s="30">
        <f>IF(L178="","",INDEX(SkiftNavn,L178))</f>
        <v/>
      </c>
      <c r="I178" s="30">
        <f>IF(OR(A178="",L178=""),"",IF(MOD(A178-INDEX(SkiftStart,L178),Syklus)&lt;DagK,"Kveld",IF(MOD(A178-INDEX(SkiftStart,L178),Syklus)&lt;DagK+DagH,"Helg",IF(MOD(A178-INDEX(SkiftStart,L178),Syklus)&lt;DagK+DagH+DagD,"Dag","Fri"))))</f>
        <v/>
      </c>
      <c r="J178" s="30">
        <f>IF(I178="Fri","Ja","")</f>
        <v/>
      </c>
      <c r="K178" s="30">
        <f>IF(B178="","",IF(L178="","Ukjent tekniker",IF(ISNA(MATCH(C178,Aktiviteter,0)),"Ukjent aktivitet",IF(AND(INDEX(AktRolle,MATCH(C178,Aktiviteter,0))&amp;""&lt;&gt;"",ISERROR(SEARCH(INDEX(AktRolle,MATCH(C178,Aktiviteter,0))&amp;"",INDEX(TekRoller,MATCH(B178,Teknikere,0))))),"Mangler rollen "&amp;INDEX(AktRolle,MATCH(C178,Aktiviteter,0))&amp;"",IF(AND(C178="LMS",F178&gt;0,OR(D178="",E178="")),"Mangler maskin eller arbeid",IF(AND(OR(C178="LMS",C178="Mod"),D178&lt;&gt;""),IF(IFERROR(INDEX(MaskinStatus,MATCH(D178,Maskiner,0)),"")="I dokk","","Maskinen er ikke i dokk"),""))))))</f>
        <v/>
      </c>
      <c r="L178" s="2">
        <f>IF(B178="","",IFERROR(INT((MATCH(B178,Teknikere,0)-1)/18)+1,""))</f>
        <v/>
      </c>
      <c r="M178" s="2">
        <f>IF(OR(A178="",B178=""),"",B178&amp;"|"&amp;A178)</f>
        <v/>
      </c>
      <c r="N178" s="2">
        <f>IF(M178="","",SUMIFS(TF_Timer,TF_Nokkel,M178,TF_Akt,C178))</f>
        <v/>
      </c>
      <c r="O178" s="2">
        <f>IF(M178="","",IF(AND(N178=_xlfn.MAXIFS(TF_AktSum,TF_Nokkel,M178),COUNTIFS(M$3:M177,M178,N$3:N177,N178)=0),M178,""))</f>
        <v/>
      </c>
    </row>
    <row r="179">
      <c r="A179" s="34" t="n"/>
      <c r="B179" s="35" t="n"/>
      <c r="C179" s="35" t="n"/>
      <c r="D179" s="35" t="n"/>
      <c r="E179" s="35" t="n"/>
      <c r="F179" s="36" t="n"/>
      <c r="G179" s="35" t="n"/>
      <c r="H179" s="30">
        <f>IF(L179="","",INDEX(SkiftNavn,L179))</f>
        <v/>
      </c>
      <c r="I179" s="30">
        <f>IF(OR(A179="",L179=""),"",IF(MOD(A179-INDEX(SkiftStart,L179),Syklus)&lt;DagK,"Kveld",IF(MOD(A179-INDEX(SkiftStart,L179),Syklus)&lt;DagK+DagH,"Helg",IF(MOD(A179-INDEX(SkiftStart,L179),Syklus)&lt;DagK+DagH+DagD,"Dag","Fri"))))</f>
        <v/>
      </c>
      <c r="J179" s="30">
        <f>IF(I179="Fri","Ja","")</f>
        <v/>
      </c>
      <c r="K179" s="30">
        <f>IF(B179="","",IF(L179="","Ukjent tekniker",IF(ISNA(MATCH(C179,Aktiviteter,0)),"Ukjent aktivitet",IF(AND(INDEX(AktRolle,MATCH(C179,Aktiviteter,0))&amp;""&lt;&gt;"",ISERROR(SEARCH(INDEX(AktRolle,MATCH(C179,Aktiviteter,0))&amp;"",INDEX(TekRoller,MATCH(B179,Teknikere,0))))),"Mangler rollen "&amp;INDEX(AktRolle,MATCH(C179,Aktiviteter,0))&amp;"",IF(AND(C179="LMS",F179&gt;0,OR(D179="",E179="")),"Mangler maskin eller arbeid",IF(AND(OR(C179="LMS",C179="Mod"),D179&lt;&gt;""),IF(IFERROR(INDEX(MaskinStatus,MATCH(D179,Maskiner,0)),"")="I dokk","","Maskinen er ikke i dokk"),""))))))</f>
        <v/>
      </c>
      <c r="L179" s="2">
        <f>IF(B179="","",IFERROR(INT((MATCH(B179,Teknikere,0)-1)/18)+1,""))</f>
        <v/>
      </c>
      <c r="M179" s="2">
        <f>IF(OR(A179="",B179=""),"",B179&amp;"|"&amp;A179)</f>
        <v/>
      </c>
      <c r="N179" s="2">
        <f>IF(M179="","",SUMIFS(TF_Timer,TF_Nokkel,M179,TF_Akt,C179))</f>
        <v/>
      </c>
      <c r="O179" s="2">
        <f>IF(M179="","",IF(AND(N179=_xlfn.MAXIFS(TF_AktSum,TF_Nokkel,M179),COUNTIFS(M$3:M178,M179,N$3:N178,N179)=0),M179,""))</f>
        <v/>
      </c>
    </row>
    <row r="180">
      <c r="A180" s="34" t="n"/>
      <c r="B180" s="35" t="n"/>
      <c r="C180" s="35" t="n"/>
      <c r="D180" s="35" t="n"/>
      <c r="E180" s="35" t="n"/>
      <c r="F180" s="36" t="n"/>
      <c r="G180" s="35" t="n"/>
      <c r="H180" s="30">
        <f>IF(L180="","",INDEX(SkiftNavn,L180))</f>
        <v/>
      </c>
      <c r="I180" s="30">
        <f>IF(OR(A180="",L180=""),"",IF(MOD(A180-INDEX(SkiftStart,L180),Syklus)&lt;DagK,"Kveld",IF(MOD(A180-INDEX(SkiftStart,L180),Syklus)&lt;DagK+DagH,"Helg",IF(MOD(A180-INDEX(SkiftStart,L180),Syklus)&lt;DagK+DagH+DagD,"Dag","Fri"))))</f>
        <v/>
      </c>
      <c r="J180" s="30">
        <f>IF(I180="Fri","Ja","")</f>
        <v/>
      </c>
      <c r="K180" s="30">
        <f>IF(B180="","",IF(L180="","Ukjent tekniker",IF(ISNA(MATCH(C180,Aktiviteter,0)),"Ukjent aktivitet",IF(AND(INDEX(AktRolle,MATCH(C180,Aktiviteter,0))&amp;""&lt;&gt;"",ISERROR(SEARCH(INDEX(AktRolle,MATCH(C180,Aktiviteter,0))&amp;"",INDEX(TekRoller,MATCH(B180,Teknikere,0))))),"Mangler rollen "&amp;INDEX(AktRolle,MATCH(C180,Aktiviteter,0))&amp;"",IF(AND(C180="LMS",F180&gt;0,OR(D180="",E180="")),"Mangler maskin eller arbeid",IF(AND(OR(C180="LMS",C180="Mod"),D180&lt;&gt;""),IF(IFERROR(INDEX(MaskinStatus,MATCH(D180,Maskiner,0)),"")="I dokk","","Maskinen er ikke i dokk"),""))))))</f>
        <v/>
      </c>
      <c r="L180" s="2">
        <f>IF(B180="","",IFERROR(INT((MATCH(B180,Teknikere,0)-1)/18)+1,""))</f>
        <v/>
      </c>
      <c r="M180" s="2">
        <f>IF(OR(A180="",B180=""),"",B180&amp;"|"&amp;A180)</f>
        <v/>
      </c>
      <c r="N180" s="2">
        <f>IF(M180="","",SUMIFS(TF_Timer,TF_Nokkel,M180,TF_Akt,C180))</f>
        <v/>
      </c>
      <c r="O180" s="2">
        <f>IF(M180="","",IF(AND(N180=_xlfn.MAXIFS(TF_AktSum,TF_Nokkel,M180),COUNTIFS(M$3:M179,M180,N$3:N179,N180)=0),M180,""))</f>
        <v/>
      </c>
    </row>
    <row r="181">
      <c r="A181" s="34" t="n"/>
      <c r="B181" s="35" t="n"/>
      <c r="C181" s="35" t="n"/>
      <c r="D181" s="35" t="n"/>
      <c r="E181" s="35" t="n"/>
      <c r="F181" s="36" t="n"/>
      <c r="G181" s="35" t="n"/>
      <c r="H181" s="30">
        <f>IF(L181="","",INDEX(SkiftNavn,L181))</f>
        <v/>
      </c>
      <c r="I181" s="30">
        <f>IF(OR(A181="",L181=""),"",IF(MOD(A181-INDEX(SkiftStart,L181),Syklus)&lt;DagK,"Kveld",IF(MOD(A181-INDEX(SkiftStart,L181),Syklus)&lt;DagK+DagH,"Helg",IF(MOD(A181-INDEX(SkiftStart,L181),Syklus)&lt;DagK+DagH+DagD,"Dag","Fri"))))</f>
        <v/>
      </c>
      <c r="J181" s="30">
        <f>IF(I181="Fri","Ja","")</f>
        <v/>
      </c>
      <c r="K181" s="30">
        <f>IF(B181="","",IF(L181="","Ukjent tekniker",IF(ISNA(MATCH(C181,Aktiviteter,0)),"Ukjent aktivitet",IF(AND(INDEX(AktRolle,MATCH(C181,Aktiviteter,0))&amp;""&lt;&gt;"",ISERROR(SEARCH(INDEX(AktRolle,MATCH(C181,Aktiviteter,0))&amp;"",INDEX(TekRoller,MATCH(B181,Teknikere,0))))),"Mangler rollen "&amp;INDEX(AktRolle,MATCH(C181,Aktiviteter,0))&amp;"",IF(AND(C181="LMS",F181&gt;0,OR(D181="",E181="")),"Mangler maskin eller arbeid",IF(AND(OR(C181="LMS",C181="Mod"),D181&lt;&gt;""),IF(IFERROR(INDEX(MaskinStatus,MATCH(D181,Maskiner,0)),"")="I dokk","","Maskinen er ikke i dokk"),""))))))</f>
        <v/>
      </c>
      <c r="L181" s="2">
        <f>IF(B181="","",IFERROR(INT((MATCH(B181,Teknikere,0)-1)/18)+1,""))</f>
        <v/>
      </c>
      <c r="M181" s="2">
        <f>IF(OR(A181="",B181=""),"",B181&amp;"|"&amp;A181)</f>
        <v/>
      </c>
      <c r="N181" s="2">
        <f>IF(M181="","",SUMIFS(TF_Timer,TF_Nokkel,M181,TF_Akt,C181))</f>
        <v/>
      </c>
      <c r="O181" s="2">
        <f>IF(M181="","",IF(AND(N181=_xlfn.MAXIFS(TF_AktSum,TF_Nokkel,M181),COUNTIFS(M$3:M180,M181,N$3:N180,N181)=0),M181,""))</f>
        <v/>
      </c>
    </row>
    <row r="182">
      <c r="A182" s="34" t="n"/>
      <c r="B182" s="35" t="n"/>
      <c r="C182" s="35" t="n"/>
      <c r="D182" s="35" t="n"/>
      <c r="E182" s="35" t="n"/>
      <c r="F182" s="36" t="n"/>
      <c r="G182" s="35" t="n"/>
      <c r="H182" s="30">
        <f>IF(L182="","",INDEX(SkiftNavn,L182))</f>
        <v/>
      </c>
      <c r="I182" s="30">
        <f>IF(OR(A182="",L182=""),"",IF(MOD(A182-INDEX(SkiftStart,L182),Syklus)&lt;DagK,"Kveld",IF(MOD(A182-INDEX(SkiftStart,L182),Syklus)&lt;DagK+DagH,"Helg",IF(MOD(A182-INDEX(SkiftStart,L182),Syklus)&lt;DagK+DagH+DagD,"Dag","Fri"))))</f>
        <v/>
      </c>
      <c r="J182" s="30">
        <f>IF(I182="Fri","Ja","")</f>
        <v/>
      </c>
      <c r="K182" s="30">
        <f>IF(B182="","",IF(L182="","Ukjent tekniker",IF(ISNA(MATCH(C182,Aktiviteter,0)),"Ukjent aktivitet",IF(AND(INDEX(AktRolle,MATCH(C182,Aktiviteter,0))&amp;""&lt;&gt;"",ISERROR(SEARCH(INDEX(AktRolle,MATCH(C182,Aktiviteter,0))&amp;"",INDEX(TekRoller,MATCH(B182,Teknikere,0))))),"Mangler rollen "&amp;INDEX(AktRolle,MATCH(C182,Aktiviteter,0))&amp;"",IF(AND(C182="LMS",F182&gt;0,OR(D182="",E182="")),"Mangler maskin eller arbeid",IF(AND(OR(C182="LMS",C182="Mod"),D182&lt;&gt;""),IF(IFERROR(INDEX(MaskinStatus,MATCH(D182,Maskiner,0)),"")="I dokk","","Maskinen er ikke i dokk"),""))))))</f>
        <v/>
      </c>
      <c r="L182" s="2">
        <f>IF(B182="","",IFERROR(INT((MATCH(B182,Teknikere,0)-1)/18)+1,""))</f>
        <v/>
      </c>
      <c r="M182" s="2">
        <f>IF(OR(A182="",B182=""),"",B182&amp;"|"&amp;A182)</f>
        <v/>
      </c>
      <c r="N182" s="2">
        <f>IF(M182="","",SUMIFS(TF_Timer,TF_Nokkel,M182,TF_Akt,C182))</f>
        <v/>
      </c>
      <c r="O182" s="2">
        <f>IF(M182="","",IF(AND(N182=_xlfn.MAXIFS(TF_AktSum,TF_Nokkel,M182),COUNTIFS(M$3:M181,M182,N$3:N181,N182)=0),M182,""))</f>
        <v/>
      </c>
    </row>
    <row r="183">
      <c r="A183" s="34" t="n"/>
      <c r="B183" s="35" t="n"/>
      <c r="C183" s="35" t="n"/>
      <c r="D183" s="35" t="n"/>
      <c r="E183" s="35" t="n"/>
      <c r="F183" s="36" t="n"/>
      <c r="G183" s="35" t="n"/>
      <c r="H183" s="30">
        <f>IF(L183="","",INDEX(SkiftNavn,L183))</f>
        <v/>
      </c>
      <c r="I183" s="30">
        <f>IF(OR(A183="",L183=""),"",IF(MOD(A183-INDEX(SkiftStart,L183),Syklus)&lt;DagK,"Kveld",IF(MOD(A183-INDEX(SkiftStart,L183),Syklus)&lt;DagK+DagH,"Helg",IF(MOD(A183-INDEX(SkiftStart,L183),Syklus)&lt;DagK+DagH+DagD,"Dag","Fri"))))</f>
        <v/>
      </c>
      <c r="J183" s="30">
        <f>IF(I183="Fri","Ja","")</f>
        <v/>
      </c>
      <c r="K183" s="30">
        <f>IF(B183="","",IF(L183="","Ukjent tekniker",IF(ISNA(MATCH(C183,Aktiviteter,0)),"Ukjent aktivitet",IF(AND(INDEX(AktRolle,MATCH(C183,Aktiviteter,0))&amp;""&lt;&gt;"",ISERROR(SEARCH(INDEX(AktRolle,MATCH(C183,Aktiviteter,0))&amp;"",INDEX(TekRoller,MATCH(B183,Teknikere,0))))),"Mangler rollen "&amp;INDEX(AktRolle,MATCH(C183,Aktiviteter,0))&amp;"",IF(AND(C183="LMS",F183&gt;0,OR(D183="",E183="")),"Mangler maskin eller arbeid",IF(AND(OR(C183="LMS",C183="Mod"),D183&lt;&gt;""),IF(IFERROR(INDEX(MaskinStatus,MATCH(D183,Maskiner,0)),"")="I dokk","","Maskinen er ikke i dokk"),""))))))</f>
        <v/>
      </c>
      <c r="L183" s="2">
        <f>IF(B183="","",IFERROR(INT((MATCH(B183,Teknikere,0)-1)/18)+1,""))</f>
        <v/>
      </c>
      <c r="M183" s="2">
        <f>IF(OR(A183="",B183=""),"",B183&amp;"|"&amp;A183)</f>
        <v/>
      </c>
      <c r="N183" s="2">
        <f>IF(M183="","",SUMIFS(TF_Timer,TF_Nokkel,M183,TF_Akt,C183))</f>
        <v/>
      </c>
      <c r="O183" s="2">
        <f>IF(M183="","",IF(AND(N183=_xlfn.MAXIFS(TF_AktSum,TF_Nokkel,M183),COUNTIFS(M$3:M182,M183,N$3:N182,N183)=0),M183,""))</f>
        <v/>
      </c>
    </row>
    <row r="184">
      <c r="A184" s="34" t="n"/>
      <c r="B184" s="35" t="n"/>
      <c r="C184" s="35" t="n"/>
      <c r="D184" s="35" t="n"/>
      <c r="E184" s="35" t="n"/>
      <c r="F184" s="36" t="n"/>
      <c r="G184" s="35" t="n"/>
      <c r="H184" s="30">
        <f>IF(L184="","",INDEX(SkiftNavn,L184))</f>
        <v/>
      </c>
      <c r="I184" s="30">
        <f>IF(OR(A184="",L184=""),"",IF(MOD(A184-INDEX(SkiftStart,L184),Syklus)&lt;DagK,"Kveld",IF(MOD(A184-INDEX(SkiftStart,L184),Syklus)&lt;DagK+DagH,"Helg",IF(MOD(A184-INDEX(SkiftStart,L184),Syklus)&lt;DagK+DagH+DagD,"Dag","Fri"))))</f>
        <v/>
      </c>
      <c r="J184" s="30">
        <f>IF(I184="Fri","Ja","")</f>
        <v/>
      </c>
      <c r="K184" s="30">
        <f>IF(B184="","",IF(L184="","Ukjent tekniker",IF(ISNA(MATCH(C184,Aktiviteter,0)),"Ukjent aktivitet",IF(AND(INDEX(AktRolle,MATCH(C184,Aktiviteter,0))&amp;""&lt;&gt;"",ISERROR(SEARCH(INDEX(AktRolle,MATCH(C184,Aktiviteter,0))&amp;"",INDEX(TekRoller,MATCH(B184,Teknikere,0))))),"Mangler rollen "&amp;INDEX(AktRolle,MATCH(C184,Aktiviteter,0))&amp;"",IF(AND(C184="LMS",F184&gt;0,OR(D184="",E184="")),"Mangler maskin eller arbeid",IF(AND(OR(C184="LMS",C184="Mod"),D184&lt;&gt;""),IF(IFERROR(INDEX(MaskinStatus,MATCH(D184,Maskiner,0)),"")="I dokk","","Maskinen er ikke i dokk"),""))))))</f>
        <v/>
      </c>
      <c r="L184" s="2">
        <f>IF(B184="","",IFERROR(INT((MATCH(B184,Teknikere,0)-1)/18)+1,""))</f>
        <v/>
      </c>
      <c r="M184" s="2">
        <f>IF(OR(A184="",B184=""),"",B184&amp;"|"&amp;A184)</f>
        <v/>
      </c>
      <c r="N184" s="2">
        <f>IF(M184="","",SUMIFS(TF_Timer,TF_Nokkel,M184,TF_Akt,C184))</f>
        <v/>
      </c>
      <c r="O184" s="2">
        <f>IF(M184="","",IF(AND(N184=_xlfn.MAXIFS(TF_AktSum,TF_Nokkel,M184),COUNTIFS(M$3:M183,M184,N$3:N183,N184)=0),M184,""))</f>
        <v/>
      </c>
    </row>
    <row r="185">
      <c r="A185" s="34" t="n"/>
      <c r="B185" s="35" t="n"/>
      <c r="C185" s="35" t="n"/>
      <c r="D185" s="35" t="n"/>
      <c r="E185" s="35" t="n"/>
      <c r="F185" s="36" t="n"/>
      <c r="G185" s="35" t="n"/>
      <c r="H185" s="30">
        <f>IF(L185="","",INDEX(SkiftNavn,L185))</f>
        <v/>
      </c>
      <c r="I185" s="30">
        <f>IF(OR(A185="",L185=""),"",IF(MOD(A185-INDEX(SkiftStart,L185),Syklus)&lt;DagK,"Kveld",IF(MOD(A185-INDEX(SkiftStart,L185),Syklus)&lt;DagK+DagH,"Helg",IF(MOD(A185-INDEX(SkiftStart,L185),Syklus)&lt;DagK+DagH+DagD,"Dag","Fri"))))</f>
        <v/>
      </c>
      <c r="J185" s="30">
        <f>IF(I185="Fri","Ja","")</f>
        <v/>
      </c>
      <c r="K185" s="30">
        <f>IF(B185="","",IF(L185="","Ukjent tekniker",IF(ISNA(MATCH(C185,Aktiviteter,0)),"Ukjent aktivitet",IF(AND(INDEX(AktRolle,MATCH(C185,Aktiviteter,0))&amp;""&lt;&gt;"",ISERROR(SEARCH(INDEX(AktRolle,MATCH(C185,Aktiviteter,0))&amp;"",INDEX(TekRoller,MATCH(B185,Teknikere,0))))),"Mangler rollen "&amp;INDEX(AktRolle,MATCH(C185,Aktiviteter,0))&amp;"",IF(AND(C185="LMS",F185&gt;0,OR(D185="",E185="")),"Mangler maskin eller arbeid",IF(AND(OR(C185="LMS",C185="Mod"),D185&lt;&gt;""),IF(IFERROR(INDEX(MaskinStatus,MATCH(D185,Maskiner,0)),"")="I dokk","","Maskinen er ikke i dokk"),""))))))</f>
        <v/>
      </c>
      <c r="L185" s="2">
        <f>IF(B185="","",IFERROR(INT((MATCH(B185,Teknikere,0)-1)/18)+1,""))</f>
        <v/>
      </c>
      <c r="M185" s="2">
        <f>IF(OR(A185="",B185=""),"",B185&amp;"|"&amp;A185)</f>
        <v/>
      </c>
      <c r="N185" s="2">
        <f>IF(M185="","",SUMIFS(TF_Timer,TF_Nokkel,M185,TF_Akt,C185))</f>
        <v/>
      </c>
      <c r="O185" s="2">
        <f>IF(M185="","",IF(AND(N185=_xlfn.MAXIFS(TF_AktSum,TF_Nokkel,M185),COUNTIFS(M$3:M184,M185,N$3:N184,N185)=0),M185,""))</f>
        <v/>
      </c>
    </row>
    <row r="186">
      <c r="A186" s="34" t="n"/>
      <c r="B186" s="35" t="n"/>
      <c r="C186" s="35" t="n"/>
      <c r="D186" s="35" t="n"/>
      <c r="E186" s="35" t="n"/>
      <c r="F186" s="36" t="n"/>
      <c r="G186" s="35" t="n"/>
      <c r="H186" s="30">
        <f>IF(L186="","",INDEX(SkiftNavn,L186))</f>
        <v/>
      </c>
      <c r="I186" s="30">
        <f>IF(OR(A186="",L186=""),"",IF(MOD(A186-INDEX(SkiftStart,L186),Syklus)&lt;DagK,"Kveld",IF(MOD(A186-INDEX(SkiftStart,L186),Syklus)&lt;DagK+DagH,"Helg",IF(MOD(A186-INDEX(SkiftStart,L186),Syklus)&lt;DagK+DagH+DagD,"Dag","Fri"))))</f>
        <v/>
      </c>
      <c r="J186" s="30">
        <f>IF(I186="Fri","Ja","")</f>
        <v/>
      </c>
      <c r="K186" s="30">
        <f>IF(B186="","",IF(L186="","Ukjent tekniker",IF(ISNA(MATCH(C186,Aktiviteter,0)),"Ukjent aktivitet",IF(AND(INDEX(AktRolle,MATCH(C186,Aktiviteter,0))&amp;""&lt;&gt;"",ISERROR(SEARCH(INDEX(AktRolle,MATCH(C186,Aktiviteter,0))&amp;"",INDEX(TekRoller,MATCH(B186,Teknikere,0))))),"Mangler rollen "&amp;INDEX(AktRolle,MATCH(C186,Aktiviteter,0))&amp;"",IF(AND(C186="LMS",F186&gt;0,OR(D186="",E186="")),"Mangler maskin eller arbeid",IF(AND(OR(C186="LMS",C186="Mod"),D186&lt;&gt;""),IF(IFERROR(INDEX(MaskinStatus,MATCH(D186,Maskiner,0)),"")="I dokk","","Maskinen er ikke i dokk"),""))))))</f>
        <v/>
      </c>
      <c r="L186" s="2">
        <f>IF(B186="","",IFERROR(INT((MATCH(B186,Teknikere,0)-1)/18)+1,""))</f>
        <v/>
      </c>
      <c r="M186" s="2">
        <f>IF(OR(A186="",B186=""),"",B186&amp;"|"&amp;A186)</f>
        <v/>
      </c>
      <c r="N186" s="2">
        <f>IF(M186="","",SUMIFS(TF_Timer,TF_Nokkel,M186,TF_Akt,C186))</f>
        <v/>
      </c>
      <c r="O186" s="2">
        <f>IF(M186="","",IF(AND(N186=_xlfn.MAXIFS(TF_AktSum,TF_Nokkel,M186),COUNTIFS(M$3:M185,M186,N$3:N185,N186)=0),M186,""))</f>
        <v/>
      </c>
    </row>
    <row r="187">
      <c r="A187" s="34" t="n"/>
      <c r="B187" s="35" t="n"/>
      <c r="C187" s="35" t="n"/>
      <c r="D187" s="35" t="n"/>
      <c r="E187" s="35" t="n"/>
      <c r="F187" s="36" t="n"/>
      <c r="G187" s="35" t="n"/>
      <c r="H187" s="30">
        <f>IF(L187="","",INDEX(SkiftNavn,L187))</f>
        <v/>
      </c>
      <c r="I187" s="30">
        <f>IF(OR(A187="",L187=""),"",IF(MOD(A187-INDEX(SkiftStart,L187),Syklus)&lt;DagK,"Kveld",IF(MOD(A187-INDEX(SkiftStart,L187),Syklus)&lt;DagK+DagH,"Helg",IF(MOD(A187-INDEX(SkiftStart,L187),Syklus)&lt;DagK+DagH+DagD,"Dag","Fri"))))</f>
        <v/>
      </c>
      <c r="J187" s="30">
        <f>IF(I187="Fri","Ja","")</f>
        <v/>
      </c>
      <c r="K187" s="30">
        <f>IF(B187="","",IF(L187="","Ukjent tekniker",IF(ISNA(MATCH(C187,Aktiviteter,0)),"Ukjent aktivitet",IF(AND(INDEX(AktRolle,MATCH(C187,Aktiviteter,0))&amp;""&lt;&gt;"",ISERROR(SEARCH(INDEX(AktRolle,MATCH(C187,Aktiviteter,0))&amp;"",INDEX(TekRoller,MATCH(B187,Teknikere,0))))),"Mangler rollen "&amp;INDEX(AktRolle,MATCH(C187,Aktiviteter,0))&amp;"",IF(AND(C187="LMS",F187&gt;0,OR(D187="",E187="")),"Mangler maskin eller arbeid",IF(AND(OR(C187="LMS",C187="Mod"),D187&lt;&gt;""),IF(IFERROR(INDEX(MaskinStatus,MATCH(D187,Maskiner,0)),"")="I dokk","","Maskinen er ikke i dokk"),""))))))</f>
        <v/>
      </c>
      <c r="L187" s="2">
        <f>IF(B187="","",IFERROR(INT((MATCH(B187,Teknikere,0)-1)/18)+1,""))</f>
        <v/>
      </c>
      <c r="M187" s="2">
        <f>IF(OR(A187="",B187=""),"",B187&amp;"|"&amp;A187)</f>
        <v/>
      </c>
      <c r="N187" s="2">
        <f>IF(M187="","",SUMIFS(TF_Timer,TF_Nokkel,M187,TF_Akt,C187))</f>
        <v/>
      </c>
      <c r="O187" s="2">
        <f>IF(M187="","",IF(AND(N187=_xlfn.MAXIFS(TF_AktSum,TF_Nokkel,M187),COUNTIFS(M$3:M186,M187,N$3:N186,N187)=0),M187,""))</f>
        <v/>
      </c>
    </row>
    <row r="188">
      <c r="A188" s="34" t="n"/>
      <c r="B188" s="35" t="n"/>
      <c r="C188" s="35" t="n"/>
      <c r="D188" s="35" t="n"/>
      <c r="E188" s="35" t="n"/>
      <c r="F188" s="36" t="n"/>
      <c r="G188" s="35" t="n"/>
      <c r="H188" s="30">
        <f>IF(L188="","",INDEX(SkiftNavn,L188))</f>
        <v/>
      </c>
      <c r="I188" s="30">
        <f>IF(OR(A188="",L188=""),"",IF(MOD(A188-INDEX(SkiftStart,L188),Syklus)&lt;DagK,"Kveld",IF(MOD(A188-INDEX(SkiftStart,L188),Syklus)&lt;DagK+DagH,"Helg",IF(MOD(A188-INDEX(SkiftStart,L188),Syklus)&lt;DagK+DagH+DagD,"Dag","Fri"))))</f>
        <v/>
      </c>
      <c r="J188" s="30">
        <f>IF(I188="Fri","Ja","")</f>
        <v/>
      </c>
      <c r="K188" s="30">
        <f>IF(B188="","",IF(L188="","Ukjent tekniker",IF(ISNA(MATCH(C188,Aktiviteter,0)),"Ukjent aktivitet",IF(AND(INDEX(AktRolle,MATCH(C188,Aktiviteter,0))&amp;""&lt;&gt;"",ISERROR(SEARCH(INDEX(AktRolle,MATCH(C188,Aktiviteter,0))&amp;"",INDEX(TekRoller,MATCH(B188,Teknikere,0))))),"Mangler rollen "&amp;INDEX(AktRolle,MATCH(C188,Aktiviteter,0))&amp;"",IF(AND(C188="LMS",F188&gt;0,OR(D188="",E188="")),"Mangler maskin eller arbeid",IF(AND(OR(C188="LMS",C188="Mod"),D188&lt;&gt;""),IF(IFERROR(INDEX(MaskinStatus,MATCH(D188,Maskiner,0)),"")="I dokk","","Maskinen er ikke i dokk"),""))))))</f>
        <v/>
      </c>
      <c r="L188" s="2">
        <f>IF(B188="","",IFERROR(INT((MATCH(B188,Teknikere,0)-1)/18)+1,""))</f>
        <v/>
      </c>
      <c r="M188" s="2">
        <f>IF(OR(A188="",B188=""),"",B188&amp;"|"&amp;A188)</f>
        <v/>
      </c>
      <c r="N188" s="2">
        <f>IF(M188="","",SUMIFS(TF_Timer,TF_Nokkel,M188,TF_Akt,C188))</f>
        <v/>
      </c>
      <c r="O188" s="2">
        <f>IF(M188="","",IF(AND(N188=_xlfn.MAXIFS(TF_AktSum,TF_Nokkel,M188),COUNTIFS(M$3:M187,M188,N$3:N187,N188)=0),M188,""))</f>
        <v/>
      </c>
    </row>
    <row r="189">
      <c r="A189" s="34" t="n"/>
      <c r="B189" s="35" t="n"/>
      <c r="C189" s="35" t="n"/>
      <c r="D189" s="35" t="n"/>
      <c r="E189" s="35" t="n"/>
      <c r="F189" s="36" t="n"/>
      <c r="G189" s="35" t="n"/>
      <c r="H189" s="30">
        <f>IF(L189="","",INDEX(SkiftNavn,L189))</f>
        <v/>
      </c>
      <c r="I189" s="30">
        <f>IF(OR(A189="",L189=""),"",IF(MOD(A189-INDEX(SkiftStart,L189),Syklus)&lt;DagK,"Kveld",IF(MOD(A189-INDEX(SkiftStart,L189),Syklus)&lt;DagK+DagH,"Helg",IF(MOD(A189-INDEX(SkiftStart,L189),Syklus)&lt;DagK+DagH+DagD,"Dag","Fri"))))</f>
        <v/>
      </c>
      <c r="J189" s="30">
        <f>IF(I189="Fri","Ja","")</f>
        <v/>
      </c>
      <c r="K189" s="30">
        <f>IF(B189="","",IF(L189="","Ukjent tekniker",IF(ISNA(MATCH(C189,Aktiviteter,0)),"Ukjent aktivitet",IF(AND(INDEX(AktRolle,MATCH(C189,Aktiviteter,0))&amp;""&lt;&gt;"",ISERROR(SEARCH(INDEX(AktRolle,MATCH(C189,Aktiviteter,0))&amp;"",INDEX(TekRoller,MATCH(B189,Teknikere,0))))),"Mangler rollen "&amp;INDEX(AktRolle,MATCH(C189,Aktiviteter,0))&amp;"",IF(AND(C189="LMS",F189&gt;0,OR(D189="",E189="")),"Mangler maskin eller arbeid",IF(AND(OR(C189="LMS",C189="Mod"),D189&lt;&gt;""),IF(IFERROR(INDEX(MaskinStatus,MATCH(D189,Maskiner,0)),"")="I dokk","","Maskinen er ikke i dokk"),""))))))</f>
        <v/>
      </c>
      <c r="L189" s="2">
        <f>IF(B189="","",IFERROR(INT((MATCH(B189,Teknikere,0)-1)/18)+1,""))</f>
        <v/>
      </c>
      <c r="M189" s="2">
        <f>IF(OR(A189="",B189=""),"",B189&amp;"|"&amp;A189)</f>
        <v/>
      </c>
      <c r="N189" s="2">
        <f>IF(M189="","",SUMIFS(TF_Timer,TF_Nokkel,M189,TF_Akt,C189))</f>
        <v/>
      </c>
      <c r="O189" s="2">
        <f>IF(M189="","",IF(AND(N189=_xlfn.MAXIFS(TF_AktSum,TF_Nokkel,M189),COUNTIFS(M$3:M188,M189,N$3:N188,N189)=0),M189,""))</f>
        <v/>
      </c>
    </row>
    <row r="190">
      <c r="A190" s="34" t="n"/>
      <c r="B190" s="35" t="n"/>
      <c r="C190" s="35" t="n"/>
      <c r="D190" s="35" t="n"/>
      <c r="E190" s="35" t="n"/>
      <c r="F190" s="36" t="n"/>
      <c r="G190" s="35" t="n"/>
      <c r="H190" s="30">
        <f>IF(L190="","",INDEX(SkiftNavn,L190))</f>
        <v/>
      </c>
      <c r="I190" s="30">
        <f>IF(OR(A190="",L190=""),"",IF(MOD(A190-INDEX(SkiftStart,L190),Syklus)&lt;DagK,"Kveld",IF(MOD(A190-INDEX(SkiftStart,L190),Syklus)&lt;DagK+DagH,"Helg",IF(MOD(A190-INDEX(SkiftStart,L190),Syklus)&lt;DagK+DagH+DagD,"Dag","Fri"))))</f>
        <v/>
      </c>
      <c r="J190" s="30">
        <f>IF(I190="Fri","Ja","")</f>
        <v/>
      </c>
      <c r="K190" s="30">
        <f>IF(B190="","",IF(L190="","Ukjent tekniker",IF(ISNA(MATCH(C190,Aktiviteter,0)),"Ukjent aktivitet",IF(AND(INDEX(AktRolle,MATCH(C190,Aktiviteter,0))&amp;""&lt;&gt;"",ISERROR(SEARCH(INDEX(AktRolle,MATCH(C190,Aktiviteter,0))&amp;"",INDEX(TekRoller,MATCH(B190,Teknikere,0))))),"Mangler rollen "&amp;INDEX(AktRolle,MATCH(C190,Aktiviteter,0))&amp;"",IF(AND(C190="LMS",F190&gt;0,OR(D190="",E190="")),"Mangler maskin eller arbeid",IF(AND(OR(C190="LMS",C190="Mod"),D190&lt;&gt;""),IF(IFERROR(INDEX(MaskinStatus,MATCH(D190,Maskiner,0)),"")="I dokk","","Maskinen er ikke i dokk"),""))))))</f>
        <v/>
      </c>
      <c r="L190" s="2">
        <f>IF(B190="","",IFERROR(INT((MATCH(B190,Teknikere,0)-1)/18)+1,""))</f>
        <v/>
      </c>
      <c r="M190" s="2">
        <f>IF(OR(A190="",B190=""),"",B190&amp;"|"&amp;A190)</f>
        <v/>
      </c>
      <c r="N190" s="2">
        <f>IF(M190="","",SUMIFS(TF_Timer,TF_Nokkel,M190,TF_Akt,C190))</f>
        <v/>
      </c>
      <c r="O190" s="2">
        <f>IF(M190="","",IF(AND(N190=_xlfn.MAXIFS(TF_AktSum,TF_Nokkel,M190),COUNTIFS(M$3:M189,M190,N$3:N189,N190)=0),M190,""))</f>
        <v/>
      </c>
    </row>
    <row r="191">
      <c r="A191" s="34" t="n"/>
      <c r="B191" s="35" t="n"/>
      <c r="C191" s="35" t="n"/>
      <c r="D191" s="35" t="n"/>
      <c r="E191" s="35" t="n"/>
      <c r="F191" s="36" t="n"/>
      <c r="G191" s="35" t="n"/>
      <c r="H191" s="30">
        <f>IF(L191="","",INDEX(SkiftNavn,L191))</f>
        <v/>
      </c>
      <c r="I191" s="30">
        <f>IF(OR(A191="",L191=""),"",IF(MOD(A191-INDEX(SkiftStart,L191),Syklus)&lt;DagK,"Kveld",IF(MOD(A191-INDEX(SkiftStart,L191),Syklus)&lt;DagK+DagH,"Helg",IF(MOD(A191-INDEX(SkiftStart,L191),Syklus)&lt;DagK+DagH+DagD,"Dag","Fri"))))</f>
        <v/>
      </c>
      <c r="J191" s="30">
        <f>IF(I191="Fri","Ja","")</f>
        <v/>
      </c>
      <c r="K191" s="30">
        <f>IF(B191="","",IF(L191="","Ukjent tekniker",IF(ISNA(MATCH(C191,Aktiviteter,0)),"Ukjent aktivitet",IF(AND(INDEX(AktRolle,MATCH(C191,Aktiviteter,0))&amp;""&lt;&gt;"",ISERROR(SEARCH(INDEX(AktRolle,MATCH(C191,Aktiviteter,0))&amp;"",INDEX(TekRoller,MATCH(B191,Teknikere,0))))),"Mangler rollen "&amp;INDEX(AktRolle,MATCH(C191,Aktiviteter,0))&amp;"",IF(AND(C191="LMS",F191&gt;0,OR(D191="",E191="")),"Mangler maskin eller arbeid",IF(AND(OR(C191="LMS",C191="Mod"),D191&lt;&gt;""),IF(IFERROR(INDEX(MaskinStatus,MATCH(D191,Maskiner,0)),"")="I dokk","","Maskinen er ikke i dokk"),""))))))</f>
        <v/>
      </c>
      <c r="L191" s="2">
        <f>IF(B191="","",IFERROR(INT((MATCH(B191,Teknikere,0)-1)/18)+1,""))</f>
        <v/>
      </c>
      <c r="M191" s="2">
        <f>IF(OR(A191="",B191=""),"",B191&amp;"|"&amp;A191)</f>
        <v/>
      </c>
      <c r="N191" s="2">
        <f>IF(M191="","",SUMIFS(TF_Timer,TF_Nokkel,M191,TF_Akt,C191))</f>
        <v/>
      </c>
      <c r="O191" s="2">
        <f>IF(M191="","",IF(AND(N191=_xlfn.MAXIFS(TF_AktSum,TF_Nokkel,M191),COUNTIFS(M$3:M190,M191,N$3:N190,N191)=0),M191,""))</f>
        <v/>
      </c>
    </row>
    <row r="192">
      <c r="A192" s="34" t="n"/>
      <c r="B192" s="35" t="n"/>
      <c r="C192" s="35" t="n"/>
      <c r="D192" s="35" t="n"/>
      <c r="E192" s="35" t="n"/>
      <c r="F192" s="36" t="n"/>
      <c r="G192" s="35" t="n"/>
      <c r="H192" s="30">
        <f>IF(L192="","",INDEX(SkiftNavn,L192))</f>
        <v/>
      </c>
      <c r="I192" s="30">
        <f>IF(OR(A192="",L192=""),"",IF(MOD(A192-INDEX(SkiftStart,L192),Syklus)&lt;DagK,"Kveld",IF(MOD(A192-INDEX(SkiftStart,L192),Syklus)&lt;DagK+DagH,"Helg",IF(MOD(A192-INDEX(SkiftStart,L192),Syklus)&lt;DagK+DagH+DagD,"Dag","Fri"))))</f>
        <v/>
      </c>
      <c r="J192" s="30">
        <f>IF(I192="Fri","Ja","")</f>
        <v/>
      </c>
      <c r="K192" s="30">
        <f>IF(B192="","",IF(L192="","Ukjent tekniker",IF(ISNA(MATCH(C192,Aktiviteter,0)),"Ukjent aktivitet",IF(AND(INDEX(AktRolle,MATCH(C192,Aktiviteter,0))&amp;""&lt;&gt;"",ISERROR(SEARCH(INDEX(AktRolle,MATCH(C192,Aktiviteter,0))&amp;"",INDEX(TekRoller,MATCH(B192,Teknikere,0))))),"Mangler rollen "&amp;INDEX(AktRolle,MATCH(C192,Aktiviteter,0))&amp;"",IF(AND(C192="LMS",F192&gt;0,OR(D192="",E192="")),"Mangler maskin eller arbeid",IF(AND(OR(C192="LMS",C192="Mod"),D192&lt;&gt;""),IF(IFERROR(INDEX(MaskinStatus,MATCH(D192,Maskiner,0)),"")="I dokk","","Maskinen er ikke i dokk"),""))))))</f>
        <v/>
      </c>
      <c r="L192" s="2">
        <f>IF(B192="","",IFERROR(INT((MATCH(B192,Teknikere,0)-1)/18)+1,""))</f>
        <v/>
      </c>
      <c r="M192" s="2">
        <f>IF(OR(A192="",B192=""),"",B192&amp;"|"&amp;A192)</f>
        <v/>
      </c>
      <c r="N192" s="2">
        <f>IF(M192="","",SUMIFS(TF_Timer,TF_Nokkel,M192,TF_Akt,C192))</f>
        <v/>
      </c>
      <c r="O192" s="2">
        <f>IF(M192="","",IF(AND(N192=_xlfn.MAXIFS(TF_AktSum,TF_Nokkel,M192),COUNTIFS(M$3:M191,M192,N$3:N191,N192)=0),M192,""))</f>
        <v/>
      </c>
    </row>
    <row r="193">
      <c r="A193" s="34" t="n"/>
      <c r="B193" s="35" t="n"/>
      <c r="C193" s="35" t="n"/>
      <c r="D193" s="35" t="n"/>
      <c r="E193" s="35" t="n"/>
      <c r="F193" s="36" t="n"/>
      <c r="G193" s="35" t="n"/>
      <c r="H193" s="30">
        <f>IF(L193="","",INDEX(SkiftNavn,L193))</f>
        <v/>
      </c>
      <c r="I193" s="30">
        <f>IF(OR(A193="",L193=""),"",IF(MOD(A193-INDEX(SkiftStart,L193),Syklus)&lt;DagK,"Kveld",IF(MOD(A193-INDEX(SkiftStart,L193),Syklus)&lt;DagK+DagH,"Helg",IF(MOD(A193-INDEX(SkiftStart,L193),Syklus)&lt;DagK+DagH+DagD,"Dag","Fri"))))</f>
        <v/>
      </c>
      <c r="J193" s="30">
        <f>IF(I193="Fri","Ja","")</f>
        <v/>
      </c>
      <c r="K193" s="30">
        <f>IF(B193="","",IF(L193="","Ukjent tekniker",IF(ISNA(MATCH(C193,Aktiviteter,0)),"Ukjent aktivitet",IF(AND(INDEX(AktRolle,MATCH(C193,Aktiviteter,0))&amp;""&lt;&gt;"",ISERROR(SEARCH(INDEX(AktRolle,MATCH(C193,Aktiviteter,0))&amp;"",INDEX(TekRoller,MATCH(B193,Teknikere,0))))),"Mangler rollen "&amp;INDEX(AktRolle,MATCH(C193,Aktiviteter,0))&amp;"",IF(AND(C193="LMS",F193&gt;0,OR(D193="",E193="")),"Mangler maskin eller arbeid",IF(AND(OR(C193="LMS",C193="Mod"),D193&lt;&gt;""),IF(IFERROR(INDEX(MaskinStatus,MATCH(D193,Maskiner,0)),"")="I dokk","","Maskinen er ikke i dokk"),""))))))</f>
        <v/>
      </c>
      <c r="L193" s="2">
        <f>IF(B193="","",IFERROR(INT((MATCH(B193,Teknikere,0)-1)/18)+1,""))</f>
        <v/>
      </c>
      <c r="M193" s="2">
        <f>IF(OR(A193="",B193=""),"",B193&amp;"|"&amp;A193)</f>
        <v/>
      </c>
      <c r="N193" s="2">
        <f>IF(M193="","",SUMIFS(TF_Timer,TF_Nokkel,M193,TF_Akt,C193))</f>
        <v/>
      </c>
      <c r="O193" s="2">
        <f>IF(M193="","",IF(AND(N193=_xlfn.MAXIFS(TF_AktSum,TF_Nokkel,M193),COUNTIFS(M$3:M192,M193,N$3:N192,N193)=0),M193,""))</f>
        <v/>
      </c>
    </row>
    <row r="194">
      <c r="A194" s="34" t="n"/>
      <c r="B194" s="35" t="n"/>
      <c r="C194" s="35" t="n"/>
      <c r="D194" s="35" t="n"/>
      <c r="E194" s="35" t="n"/>
      <c r="F194" s="36" t="n"/>
      <c r="G194" s="35" t="n"/>
      <c r="H194" s="30">
        <f>IF(L194="","",INDEX(SkiftNavn,L194))</f>
        <v/>
      </c>
      <c r="I194" s="30">
        <f>IF(OR(A194="",L194=""),"",IF(MOD(A194-INDEX(SkiftStart,L194),Syklus)&lt;DagK,"Kveld",IF(MOD(A194-INDEX(SkiftStart,L194),Syklus)&lt;DagK+DagH,"Helg",IF(MOD(A194-INDEX(SkiftStart,L194),Syklus)&lt;DagK+DagH+DagD,"Dag","Fri"))))</f>
        <v/>
      </c>
      <c r="J194" s="30">
        <f>IF(I194="Fri","Ja","")</f>
        <v/>
      </c>
      <c r="K194" s="30">
        <f>IF(B194="","",IF(L194="","Ukjent tekniker",IF(ISNA(MATCH(C194,Aktiviteter,0)),"Ukjent aktivitet",IF(AND(INDEX(AktRolle,MATCH(C194,Aktiviteter,0))&amp;""&lt;&gt;"",ISERROR(SEARCH(INDEX(AktRolle,MATCH(C194,Aktiviteter,0))&amp;"",INDEX(TekRoller,MATCH(B194,Teknikere,0))))),"Mangler rollen "&amp;INDEX(AktRolle,MATCH(C194,Aktiviteter,0))&amp;"",IF(AND(C194="LMS",F194&gt;0,OR(D194="",E194="")),"Mangler maskin eller arbeid",IF(AND(OR(C194="LMS",C194="Mod"),D194&lt;&gt;""),IF(IFERROR(INDEX(MaskinStatus,MATCH(D194,Maskiner,0)),"")="I dokk","","Maskinen er ikke i dokk"),""))))))</f>
        <v/>
      </c>
      <c r="L194" s="2">
        <f>IF(B194="","",IFERROR(INT((MATCH(B194,Teknikere,0)-1)/18)+1,""))</f>
        <v/>
      </c>
      <c r="M194" s="2">
        <f>IF(OR(A194="",B194=""),"",B194&amp;"|"&amp;A194)</f>
        <v/>
      </c>
      <c r="N194" s="2">
        <f>IF(M194="","",SUMIFS(TF_Timer,TF_Nokkel,M194,TF_Akt,C194))</f>
        <v/>
      </c>
      <c r="O194" s="2">
        <f>IF(M194="","",IF(AND(N194=_xlfn.MAXIFS(TF_AktSum,TF_Nokkel,M194),COUNTIFS(M$3:M193,M194,N$3:N193,N194)=0),M194,""))</f>
        <v/>
      </c>
    </row>
    <row r="195">
      <c r="A195" s="34" t="n"/>
      <c r="B195" s="35" t="n"/>
      <c r="C195" s="35" t="n"/>
      <c r="D195" s="35" t="n"/>
      <c r="E195" s="35" t="n"/>
      <c r="F195" s="36" t="n"/>
      <c r="G195" s="35" t="n"/>
      <c r="H195" s="30">
        <f>IF(L195="","",INDEX(SkiftNavn,L195))</f>
        <v/>
      </c>
      <c r="I195" s="30">
        <f>IF(OR(A195="",L195=""),"",IF(MOD(A195-INDEX(SkiftStart,L195),Syklus)&lt;DagK,"Kveld",IF(MOD(A195-INDEX(SkiftStart,L195),Syklus)&lt;DagK+DagH,"Helg",IF(MOD(A195-INDEX(SkiftStart,L195),Syklus)&lt;DagK+DagH+DagD,"Dag","Fri"))))</f>
        <v/>
      </c>
      <c r="J195" s="30">
        <f>IF(I195="Fri","Ja","")</f>
        <v/>
      </c>
      <c r="K195" s="30">
        <f>IF(B195="","",IF(L195="","Ukjent tekniker",IF(ISNA(MATCH(C195,Aktiviteter,0)),"Ukjent aktivitet",IF(AND(INDEX(AktRolle,MATCH(C195,Aktiviteter,0))&amp;""&lt;&gt;"",ISERROR(SEARCH(INDEX(AktRolle,MATCH(C195,Aktiviteter,0))&amp;"",INDEX(TekRoller,MATCH(B195,Teknikere,0))))),"Mangler rollen "&amp;INDEX(AktRolle,MATCH(C195,Aktiviteter,0))&amp;"",IF(AND(C195="LMS",F195&gt;0,OR(D195="",E195="")),"Mangler maskin eller arbeid",IF(AND(OR(C195="LMS",C195="Mod"),D195&lt;&gt;""),IF(IFERROR(INDEX(MaskinStatus,MATCH(D195,Maskiner,0)),"")="I dokk","","Maskinen er ikke i dokk"),""))))))</f>
        <v/>
      </c>
      <c r="L195" s="2">
        <f>IF(B195="","",IFERROR(INT((MATCH(B195,Teknikere,0)-1)/18)+1,""))</f>
        <v/>
      </c>
      <c r="M195" s="2">
        <f>IF(OR(A195="",B195=""),"",B195&amp;"|"&amp;A195)</f>
        <v/>
      </c>
      <c r="N195" s="2">
        <f>IF(M195="","",SUMIFS(TF_Timer,TF_Nokkel,M195,TF_Akt,C195))</f>
        <v/>
      </c>
      <c r="O195" s="2">
        <f>IF(M195="","",IF(AND(N195=_xlfn.MAXIFS(TF_AktSum,TF_Nokkel,M195),COUNTIFS(M$3:M194,M195,N$3:N194,N195)=0),M195,""))</f>
        <v/>
      </c>
    </row>
    <row r="196">
      <c r="A196" s="34" t="n"/>
      <c r="B196" s="35" t="n"/>
      <c r="C196" s="35" t="n"/>
      <c r="D196" s="35" t="n"/>
      <c r="E196" s="35" t="n"/>
      <c r="F196" s="36" t="n"/>
      <c r="G196" s="35" t="n"/>
      <c r="H196" s="30">
        <f>IF(L196="","",INDEX(SkiftNavn,L196))</f>
        <v/>
      </c>
      <c r="I196" s="30">
        <f>IF(OR(A196="",L196=""),"",IF(MOD(A196-INDEX(SkiftStart,L196),Syklus)&lt;DagK,"Kveld",IF(MOD(A196-INDEX(SkiftStart,L196),Syklus)&lt;DagK+DagH,"Helg",IF(MOD(A196-INDEX(SkiftStart,L196),Syklus)&lt;DagK+DagH+DagD,"Dag","Fri"))))</f>
        <v/>
      </c>
      <c r="J196" s="30">
        <f>IF(I196="Fri","Ja","")</f>
        <v/>
      </c>
      <c r="K196" s="30">
        <f>IF(B196="","",IF(L196="","Ukjent tekniker",IF(ISNA(MATCH(C196,Aktiviteter,0)),"Ukjent aktivitet",IF(AND(INDEX(AktRolle,MATCH(C196,Aktiviteter,0))&amp;""&lt;&gt;"",ISERROR(SEARCH(INDEX(AktRolle,MATCH(C196,Aktiviteter,0))&amp;"",INDEX(TekRoller,MATCH(B196,Teknikere,0))))),"Mangler rollen "&amp;INDEX(AktRolle,MATCH(C196,Aktiviteter,0))&amp;"",IF(AND(C196="LMS",F196&gt;0,OR(D196="",E196="")),"Mangler maskin eller arbeid",IF(AND(OR(C196="LMS",C196="Mod"),D196&lt;&gt;""),IF(IFERROR(INDEX(MaskinStatus,MATCH(D196,Maskiner,0)),"")="I dokk","","Maskinen er ikke i dokk"),""))))))</f>
        <v/>
      </c>
      <c r="L196" s="2">
        <f>IF(B196="","",IFERROR(INT((MATCH(B196,Teknikere,0)-1)/18)+1,""))</f>
        <v/>
      </c>
      <c r="M196" s="2">
        <f>IF(OR(A196="",B196=""),"",B196&amp;"|"&amp;A196)</f>
        <v/>
      </c>
      <c r="N196" s="2">
        <f>IF(M196="","",SUMIFS(TF_Timer,TF_Nokkel,M196,TF_Akt,C196))</f>
        <v/>
      </c>
      <c r="O196" s="2">
        <f>IF(M196="","",IF(AND(N196=_xlfn.MAXIFS(TF_AktSum,TF_Nokkel,M196),COUNTIFS(M$3:M195,M196,N$3:N195,N196)=0),M196,""))</f>
        <v/>
      </c>
    </row>
    <row r="197">
      <c r="A197" s="34" t="n"/>
      <c r="B197" s="35" t="n"/>
      <c r="C197" s="35" t="n"/>
      <c r="D197" s="35" t="n"/>
      <c r="E197" s="35" t="n"/>
      <c r="F197" s="36" t="n"/>
      <c r="G197" s="35" t="n"/>
      <c r="H197" s="30">
        <f>IF(L197="","",INDEX(SkiftNavn,L197))</f>
        <v/>
      </c>
      <c r="I197" s="30">
        <f>IF(OR(A197="",L197=""),"",IF(MOD(A197-INDEX(SkiftStart,L197),Syklus)&lt;DagK,"Kveld",IF(MOD(A197-INDEX(SkiftStart,L197),Syklus)&lt;DagK+DagH,"Helg",IF(MOD(A197-INDEX(SkiftStart,L197),Syklus)&lt;DagK+DagH+DagD,"Dag","Fri"))))</f>
        <v/>
      </c>
      <c r="J197" s="30">
        <f>IF(I197="Fri","Ja","")</f>
        <v/>
      </c>
      <c r="K197" s="30">
        <f>IF(B197="","",IF(L197="","Ukjent tekniker",IF(ISNA(MATCH(C197,Aktiviteter,0)),"Ukjent aktivitet",IF(AND(INDEX(AktRolle,MATCH(C197,Aktiviteter,0))&amp;""&lt;&gt;"",ISERROR(SEARCH(INDEX(AktRolle,MATCH(C197,Aktiviteter,0))&amp;"",INDEX(TekRoller,MATCH(B197,Teknikere,0))))),"Mangler rollen "&amp;INDEX(AktRolle,MATCH(C197,Aktiviteter,0))&amp;"",IF(AND(C197="LMS",F197&gt;0,OR(D197="",E197="")),"Mangler maskin eller arbeid",IF(AND(OR(C197="LMS",C197="Mod"),D197&lt;&gt;""),IF(IFERROR(INDEX(MaskinStatus,MATCH(D197,Maskiner,0)),"")="I dokk","","Maskinen er ikke i dokk"),""))))))</f>
        <v/>
      </c>
      <c r="L197" s="2">
        <f>IF(B197="","",IFERROR(INT((MATCH(B197,Teknikere,0)-1)/18)+1,""))</f>
        <v/>
      </c>
      <c r="M197" s="2">
        <f>IF(OR(A197="",B197=""),"",B197&amp;"|"&amp;A197)</f>
        <v/>
      </c>
      <c r="N197" s="2">
        <f>IF(M197="","",SUMIFS(TF_Timer,TF_Nokkel,M197,TF_Akt,C197))</f>
        <v/>
      </c>
      <c r="O197" s="2">
        <f>IF(M197="","",IF(AND(N197=_xlfn.MAXIFS(TF_AktSum,TF_Nokkel,M197),COUNTIFS(M$3:M196,M197,N$3:N196,N197)=0),M197,""))</f>
        <v/>
      </c>
    </row>
    <row r="198">
      <c r="A198" s="34" t="n"/>
      <c r="B198" s="35" t="n"/>
      <c r="C198" s="35" t="n"/>
      <c r="D198" s="35" t="n"/>
      <c r="E198" s="35" t="n"/>
      <c r="F198" s="36" t="n"/>
      <c r="G198" s="35" t="n"/>
      <c r="H198" s="30">
        <f>IF(L198="","",INDEX(SkiftNavn,L198))</f>
        <v/>
      </c>
      <c r="I198" s="30">
        <f>IF(OR(A198="",L198=""),"",IF(MOD(A198-INDEX(SkiftStart,L198),Syklus)&lt;DagK,"Kveld",IF(MOD(A198-INDEX(SkiftStart,L198),Syklus)&lt;DagK+DagH,"Helg",IF(MOD(A198-INDEX(SkiftStart,L198),Syklus)&lt;DagK+DagH+DagD,"Dag","Fri"))))</f>
        <v/>
      </c>
      <c r="J198" s="30">
        <f>IF(I198="Fri","Ja","")</f>
        <v/>
      </c>
      <c r="K198" s="30">
        <f>IF(B198="","",IF(L198="","Ukjent tekniker",IF(ISNA(MATCH(C198,Aktiviteter,0)),"Ukjent aktivitet",IF(AND(INDEX(AktRolle,MATCH(C198,Aktiviteter,0))&amp;""&lt;&gt;"",ISERROR(SEARCH(INDEX(AktRolle,MATCH(C198,Aktiviteter,0))&amp;"",INDEX(TekRoller,MATCH(B198,Teknikere,0))))),"Mangler rollen "&amp;INDEX(AktRolle,MATCH(C198,Aktiviteter,0))&amp;"",IF(AND(C198="LMS",F198&gt;0,OR(D198="",E198="")),"Mangler maskin eller arbeid",IF(AND(OR(C198="LMS",C198="Mod"),D198&lt;&gt;""),IF(IFERROR(INDEX(MaskinStatus,MATCH(D198,Maskiner,0)),"")="I dokk","","Maskinen er ikke i dokk"),""))))))</f>
        <v/>
      </c>
      <c r="L198" s="2">
        <f>IF(B198="","",IFERROR(INT((MATCH(B198,Teknikere,0)-1)/18)+1,""))</f>
        <v/>
      </c>
      <c r="M198" s="2">
        <f>IF(OR(A198="",B198=""),"",B198&amp;"|"&amp;A198)</f>
        <v/>
      </c>
      <c r="N198" s="2">
        <f>IF(M198="","",SUMIFS(TF_Timer,TF_Nokkel,M198,TF_Akt,C198))</f>
        <v/>
      </c>
      <c r="O198" s="2">
        <f>IF(M198="","",IF(AND(N198=_xlfn.MAXIFS(TF_AktSum,TF_Nokkel,M198),COUNTIFS(M$3:M197,M198,N$3:N197,N198)=0),M198,""))</f>
        <v/>
      </c>
    </row>
    <row r="199">
      <c r="A199" s="34" t="n"/>
      <c r="B199" s="35" t="n"/>
      <c r="C199" s="35" t="n"/>
      <c r="D199" s="35" t="n"/>
      <c r="E199" s="35" t="n"/>
      <c r="F199" s="36" t="n"/>
      <c r="G199" s="35" t="n"/>
      <c r="H199" s="30">
        <f>IF(L199="","",INDEX(SkiftNavn,L199))</f>
        <v/>
      </c>
      <c r="I199" s="30">
        <f>IF(OR(A199="",L199=""),"",IF(MOD(A199-INDEX(SkiftStart,L199),Syklus)&lt;DagK,"Kveld",IF(MOD(A199-INDEX(SkiftStart,L199),Syklus)&lt;DagK+DagH,"Helg",IF(MOD(A199-INDEX(SkiftStart,L199),Syklus)&lt;DagK+DagH+DagD,"Dag","Fri"))))</f>
        <v/>
      </c>
      <c r="J199" s="30">
        <f>IF(I199="Fri","Ja","")</f>
        <v/>
      </c>
      <c r="K199" s="30">
        <f>IF(B199="","",IF(L199="","Ukjent tekniker",IF(ISNA(MATCH(C199,Aktiviteter,0)),"Ukjent aktivitet",IF(AND(INDEX(AktRolle,MATCH(C199,Aktiviteter,0))&amp;""&lt;&gt;"",ISERROR(SEARCH(INDEX(AktRolle,MATCH(C199,Aktiviteter,0))&amp;"",INDEX(TekRoller,MATCH(B199,Teknikere,0))))),"Mangler rollen "&amp;INDEX(AktRolle,MATCH(C199,Aktiviteter,0))&amp;"",IF(AND(C199="LMS",F199&gt;0,OR(D199="",E199="")),"Mangler maskin eller arbeid",IF(AND(OR(C199="LMS",C199="Mod"),D199&lt;&gt;""),IF(IFERROR(INDEX(MaskinStatus,MATCH(D199,Maskiner,0)),"")="I dokk","","Maskinen er ikke i dokk"),""))))))</f>
        <v/>
      </c>
      <c r="L199" s="2">
        <f>IF(B199="","",IFERROR(INT((MATCH(B199,Teknikere,0)-1)/18)+1,""))</f>
        <v/>
      </c>
      <c r="M199" s="2">
        <f>IF(OR(A199="",B199=""),"",B199&amp;"|"&amp;A199)</f>
        <v/>
      </c>
      <c r="N199" s="2">
        <f>IF(M199="","",SUMIFS(TF_Timer,TF_Nokkel,M199,TF_Akt,C199))</f>
        <v/>
      </c>
      <c r="O199" s="2">
        <f>IF(M199="","",IF(AND(N199=_xlfn.MAXIFS(TF_AktSum,TF_Nokkel,M199),COUNTIFS(M$3:M198,M199,N$3:N198,N199)=0),M199,""))</f>
        <v/>
      </c>
    </row>
    <row r="200">
      <c r="A200" s="34" t="n"/>
      <c r="B200" s="35" t="n"/>
      <c r="C200" s="35" t="n"/>
      <c r="D200" s="35" t="n"/>
      <c r="E200" s="35" t="n"/>
      <c r="F200" s="36" t="n"/>
      <c r="G200" s="35" t="n"/>
      <c r="H200" s="30">
        <f>IF(L200="","",INDEX(SkiftNavn,L200))</f>
        <v/>
      </c>
      <c r="I200" s="30">
        <f>IF(OR(A200="",L200=""),"",IF(MOD(A200-INDEX(SkiftStart,L200),Syklus)&lt;DagK,"Kveld",IF(MOD(A200-INDEX(SkiftStart,L200),Syklus)&lt;DagK+DagH,"Helg",IF(MOD(A200-INDEX(SkiftStart,L200),Syklus)&lt;DagK+DagH+DagD,"Dag","Fri"))))</f>
        <v/>
      </c>
      <c r="J200" s="30">
        <f>IF(I200="Fri","Ja","")</f>
        <v/>
      </c>
      <c r="K200" s="30">
        <f>IF(B200="","",IF(L200="","Ukjent tekniker",IF(ISNA(MATCH(C200,Aktiviteter,0)),"Ukjent aktivitet",IF(AND(INDEX(AktRolle,MATCH(C200,Aktiviteter,0))&amp;""&lt;&gt;"",ISERROR(SEARCH(INDEX(AktRolle,MATCH(C200,Aktiviteter,0))&amp;"",INDEX(TekRoller,MATCH(B200,Teknikere,0))))),"Mangler rollen "&amp;INDEX(AktRolle,MATCH(C200,Aktiviteter,0))&amp;"",IF(AND(C200="LMS",F200&gt;0,OR(D200="",E200="")),"Mangler maskin eller arbeid",IF(AND(OR(C200="LMS",C200="Mod"),D200&lt;&gt;""),IF(IFERROR(INDEX(MaskinStatus,MATCH(D200,Maskiner,0)),"")="I dokk","","Maskinen er ikke i dokk"),""))))))</f>
        <v/>
      </c>
      <c r="L200" s="2">
        <f>IF(B200="","",IFERROR(INT((MATCH(B200,Teknikere,0)-1)/18)+1,""))</f>
        <v/>
      </c>
      <c r="M200" s="2">
        <f>IF(OR(A200="",B200=""),"",B200&amp;"|"&amp;A200)</f>
        <v/>
      </c>
      <c r="N200" s="2">
        <f>IF(M200="","",SUMIFS(TF_Timer,TF_Nokkel,M200,TF_Akt,C200))</f>
        <v/>
      </c>
      <c r="O200" s="2">
        <f>IF(M200="","",IF(AND(N200=_xlfn.MAXIFS(TF_AktSum,TF_Nokkel,M200),COUNTIFS(M$3:M199,M200,N$3:N199,N200)=0),M200,""))</f>
        <v/>
      </c>
    </row>
    <row r="201">
      <c r="A201" s="34" t="n"/>
      <c r="B201" s="35" t="n"/>
      <c r="C201" s="35" t="n"/>
      <c r="D201" s="35" t="n"/>
      <c r="E201" s="35" t="n"/>
      <c r="F201" s="36" t="n"/>
      <c r="G201" s="35" t="n"/>
      <c r="H201" s="30">
        <f>IF(L201="","",INDEX(SkiftNavn,L201))</f>
        <v/>
      </c>
      <c r="I201" s="30">
        <f>IF(OR(A201="",L201=""),"",IF(MOD(A201-INDEX(SkiftStart,L201),Syklus)&lt;DagK,"Kveld",IF(MOD(A201-INDEX(SkiftStart,L201),Syklus)&lt;DagK+DagH,"Helg",IF(MOD(A201-INDEX(SkiftStart,L201),Syklus)&lt;DagK+DagH+DagD,"Dag","Fri"))))</f>
        <v/>
      </c>
      <c r="J201" s="30">
        <f>IF(I201="Fri","Ja","")</f>
        <v/>
      </c>
      <c r="K201" s="30">
        <f>IF(B201="","",IF(L201="","Ukjent tekniker",IF(ISNA(MATCH(C201,Aktiviteter,0)),"Ukjent aktivitet",IF(AND(INDEX(AktRolle,MATCH(C201,Aktiviteter,0))&amp;""&lt;&gt;"",ISERROR(SEARCH(INDEX(AktRolle,MATCH(C201,Aktiviteter,0))&amp;"",INDEX(TekRoller,MATCH(B201,Teknikere,0))))),"Mangler rollen "&amp;INDEX(AktRolle,MATCH(C201,Aktiviteter,0))&amp;"",IF(AND(C201="LMS",F201&gt;0,OR(D201="",E201="")),"Mangler maskin eller arbeid",IF(AND(OR(C201="LMS",C201="Mod"),D201&lt;&gt;""),IF(IFERROR(INDEX(MaskinStatus,MATCH(D201,Maskiner,0)),"")="I dokk","","Maskinen er ikke i dokk"),""))))))</f>
        <v/>
      </c>
      <c r="L201" s="2">
        <f>IF(B201="","",IFERROR(INT((MATCH(B201,Teknikere,0)-1)/18)+1,""))</f>
        <v/>
      </c>
      <c r="M201" s="2">
        <f>IF(OR(A201="",B201=""),"",B201&amp;"|"&amp;A201)</f>
        <v/>
      </c>
      <c r="N201" s="2">
        <f>IF(M201="","",SUMIFS(TF_Timer,TF_Nokkel,M201,TF_Akt,C201))</f>
        <v/>
      </c>
      <c r="O201" s="2">
        <f>IF(M201="","",IF(AND(N201=_xlfn.MAXIFS(TF_AktSum,TF_Nokkel,M201),COUNTIFS(M$3:M200,M201,N$3:N200,N201)=0),M201,""))</f>
        <v/>
      </c>
    </row>
    <row r="202">
      <c r="A202" s="34" t="n"/>
      <c r="B202" s="35" t="n"/>
      <c r="C202" s="35" t="n"/>
      <c r="D202" s="35" t="n"/>
      <c r="E202" s="35" t="n"/>
      <c r="F202" s="36" t="n"/>
      <c r="G202" s="35" t="n"/>
      <c r="H202" s="30">
        <f>IF(L202="","",INDEX(SkiftNavn,L202))</f>
        <v/>
      </c>
      <c r="I202" s="30">
        <f>IF(OR(A202="",L202=""),"",IF(MOD(A202-INDEX(SkiftStart,L202),Syklus)&lt;DagK,"Kveld",IF(MOD(A202-INDEX(SkiftStart,L202),Syklus)&lt;DagK+DagH,"Helg",IF(MOD(A202-INDEX(SkiftStart,L202),Syklus)&lt;DagK+DagH+DagD,"Dag","Fri"))))</f>
        <v/>
      </c>
      <c r="J202" s="30">
        <f>IF(I202="Fri","Ja","")</f>
        <v/>
      </c>
      <c r="K202" s="30">
        <f>IF(B202="","",IF(L202="","Ukjent tekniker",IF(ISNA(MATCH(C202,Aktiviteter,0)),"Ukjent aktivitet",IF(AND(INDEX(AktRolle,MATCH(C202,Aktiviteter,0))&amp;""&lt;&gt;"",ISERROR(SEARCH(INDEX(AktRolle,MATCH(C202,Aktiviteter,0))&amp;"",INDEX(TekRoller,MATCH(B202,Teknikere,0))))),"Mangler rollen "&amp;INDEX(AktRolle,MATCH(C202,Aktiviteter,0))&amp;"",IF(AND(C202="LMS",F202&gt;0,OR(D202="",E202="")),"Mangler maskin eller arbeid",IF(AND(OR(C202="LMS",C202="Mod"),D202&lt;&gt;""),IF(IFERROR(INDEX(MaskinStatus,MATCH(D202,Maskiner,0)),"")="I dokk","","Maskinen er ikke i dokk"),""))))))</f>
        <v/>
      </c>
      <c r="L202" s="2">
        <f>IF(B202="","",IFERROR(INT((MATCH(B202,Teknikere,0)-1)/18)+1,""))</f>
        <v/>
      </c>
      <c r="M202" s="2">
        <f>IF(OR(A202="",B202=""),"",B202&amp;"|"&amp;A202)</f>
        <v/>
      </c>
      <c r="N202" s="2">
        <f>IF(M202="","",SUMIFS(TF_Timer,TF_Nokkel,M202,TF_Akt,C202))</f>
        <v/>
      </c>
      <c r="O202" s="2">
        <f>IF(M202="","",IF(AND(N202=_xlfn.MAXIFS(TF_AktSum,TF_Nokkel,M202),COUNTIFS(M$3:M201,M202,N$3:N201,N202)=0),M202,""))</f>
        <v/>
      </c>
    </row>
    <row r="203">
      <c r="A203" s="34" t="n"/>
      <c r="B203" s="35" t="n"/>
      <c r="C203" s="35" t="n"/>
      <c r="D203" s="35" t="n"/>
      <c r="E203" s="35" t="n"/>
      <c r="F203" s="36" t="n"/>
      <c r="G203" s="35" t="n"/>
      <c r="H203" s="30">
        <f>IF(L203="","",INDEX(SkiftNavn,L203))</f>
        <v/>
      </c>
      <c r="I203" s="30">
        <f>IF(OR(A203="",L203=""),"",IF(MOD(A203-INDEX(SkiftStart,L203),Syklus)&lt;DagK,"Kveld",IF(MOD(A203-INDEX(SkiftStart,L203),Syklus)&lt;DagK+DagH,"Helg",IF(MOD(A203-INDEX(SkiftStart,L203),Syklus)&lt;DagK+DagH+DagD,"Dag","Fri"))))</f>
        <v/>
      </c>
      <c r="J203" s="30">
        <f>IF(I203="Fri","Ja","")</f>
        <v/>
      </c>
      <c r="K203" s="30">
        <f>IF(B203="","",IF(L203="","Ukjent tekniker",IF(ISNA(MATCH(C203,Aktiviteter,0)),"Ukjent aktivitet",IF(AND(INDEX(AktRolle,MATCH(C203,Aktiviteter,0))&amp;""&lt;&gt;"",ISERROR(SEARCH(INDEX(AktRolle,MATCH(C203,Aktiviteter,0))&amp;"",INDEX(TekRoller,MATCH(B203,Teknikere,0))))),"Mangler rollen "&amp;INDEX(AktRolle,MATCH(C203,Aktiviteter,0))&amp;"",IF(AND(C203="LMS",F203&gt;0,OR(D203="",E203="")),"Mangler maskin eller arbeid",IF(AND(OR(C203="LMS",C203="Mod"),D203&lt;&gt;""),IF(IFERROR(INDEX(MaskinStatus,MATCH(D203,Maskiner,0)),"")="I dokk","","Maskinen er ikke i dokk"),""))))))</f>
        <v/>
      </c>
      <c r="L203" s="2">
        <f>IF(B203="","",IFERROR(INT((MATCH(B203,Teknikere,0)-1)/18)+1,""))</f>
        <v/>
      </c>
      <c r="M203" s="2">
        <f>IF(OR(A203="",B203=""),"",B203&amp;"|"&amp;A203)</f>
        <v/>
      </c>
      <c r="N203" s="2">
        <f>IF(M203="","",SUMIFS(TF_Timer,TF_Nokkel,M203,TF_Akt,C203))</f>
        <v/>
      </c>
      <c r="O203" s="2">
        <f>IF(M203="","",IF(AND(N203=_xlfn.MAXIFS(TF_AktSum,TF_Nokkel,M203),COUNTIFS(M$3:M202,M203,N$3:N202,N203)=0),M203,""))</f>
        <v/>
      </c>
    </row>
    <row r="204">
      <c r="A204" s="34" t="n"/>
      <c r="B204" s="35" t="n"/>
      <c r="C204" s="35" t="n"/>
      <c r="D204" s="35" t="n"/>
      <c r="E204" s="35" t="n"/>
      <c r="F204" s="36" t="n"/>
      <c r="G204" s="35" t="n"/>
      <c r="H204" s="30">
        <f>IF(L204="","",INDEX(SkiftNavn,L204))</f>
        <v/>
      </c>
      <c r="I204" s="30">
        <f>IF(OR(A204="",L204=""),"",IF(MOD(A204-INDEX(SkiftStart,L204),Syklus)&lt;DagK,"Kveld",IF(MOD(A204-INDEX(SkiftStart,L204),Syklus)&lt;DagK+DagH,"Helg",IF(MOD(A204-INDEX(SkiftStart,L204),Syklus)&lt;DagK+DagH+DagD,"Dag","Fri"))))</f>
        <v/>
      </c>
      <c r="J204" s="30">
        <f>IF(I204="Fri","Ja","")</f>
        <v/>
      </c>
      <c r="K204" s="30">
        <f>IF(B204="","",IF(L204="","Ukjent tekniker",IF(ISNA(MATCH(C204,Aktiviteter,0)),"Ukjent aktivitet",IF(AND(INDEX(AktRolle,MATCH(C204,Aktiviteter,0))&amp;""&lt;&gt;"",ISERROR(SEARCH(INDEX(AktRolle,MATCH(C204,Aktiviteter,0))&amp;"",INDEX(TekRoller,MATCH(B204,Teknikere,0))))),"Mangler rollen "&amp;INDEX(AktRolle,MATCH(C204,Aktiviteter,0))&amp;"",IF(AND(C204="LMS",F204&gt;0,OR(D204="",E204="")),"Mangler maskin eller arbeid",IF(AND(OR(C204="LMS",C204="Mod"),D204&lt;&gt;""),IF(IFERROR(INDEX(MaskinStatus,MATCH(D204,Maskiner,0)),"")="I dokk","","Maskinen er ikke i dokk"),""))))))</f>
        <v/>
      </c>
      <c r="L204" s="2">
        <f>IF(B204="","",IFERROR(INT((MATCH(B204,Teknikere,0)-1)/18)+1,""))</f>
        <v/>
      </c>
      <c r="M204" s="2">
        <f>IF(OR(A204="",B204=""),"",B204&amp;"|"&amp;A204)</f>
        <v/>
      </c>
      <c r="N204" s="2">
        <f>IF(M204="","",SUMIFS(TF_Timer,TF_Nokkel,M204,TF_Akt,C204))</f>
        <v/>
      </c>
      <c r="O204" s="2">
        <f>IF(M204="","",IF(AND(N204=_xlfn.MAXIFS(TF_AktSum,TF_Nokkel,M204),COUNTIFS(M$3:M203,M204,N$3:N203,N204)=0),M204,""))</f>
        <v/>
      </c>
    </row>
    <row r="205">
      <c r="A205" s="34" t="n"/>
      <c r="B205" s="35" t="n"/>
      <c r="C205" s="35" t="n"/>
      <c r="D205" s="35" t="n"/>
      <c r="E205" s="35" t="n"/>
      <c r="F205" s="36" t="n"/>
      <c r="G205" s="35" t="n"/>
      <c r="H205" s="30">
        <f>IF(L205="","",INDEX(SkiftNavn,L205))</f>
        <v/>
      </c>
      <c r="I205" s="30">
        <f>IF(OR(A205="",L205=""),"",IF(MOD(A205-INDEX(SkiftStart,L205),Syklus)&lt;DagK,"Kveld",IF(MOD(A205-INDEX(SkiftStart,L205),Syklus)&lt;DagK+DagH,"Helg",IF(MOD(A205-INDEX(SkiftStart,L205),Syklus)&lt;DagK+DagH+DagD,"Dag","Fri"))))</f>
        <v/>
      </c>
      <c r="J205" s="30">
        <f>IF(I205="Fri","Ja","")</f>
        <v/>
      </c>
      <c r="K205" s="30">
        <f>IF(B205="","",IF(L205="","Ukjent tekniker",IF(ISNA(MATCH(C205,Aktiviteter,0)),"Ukjent aktivitet",IF(AND(INDEX(AktRolle,MATCH(C205,Aktiviteter,0))&amp;""&lt;&gt;"",ISERROR(SEARCH(INDEX(AktRolle,MATCH(C205,Aktiviteter,0))&amp;"",INDEX(TekRoller,MATCH(B205,Teknikere,0))))),"Mangler rollen "&amp;INDEX(AktRolle,MATCH(C205,Aktiviteter,0))&amp;"",IF(AND(C205="LMS",F205&gt;0,OR(D205="",E205="")),"Mangler maskin eller arbeid",IF(AND(OR(C205="LMS",C205="Mod"),D205&lt;&gt;""),IF(IFERROR(INDEX(MaskinStatus,MATCH(D205,Maskiner,0)),"")="I dokk","","Maskinen er ikke i dokk"),""))))))</f>
        <v/>
      </c>
      <c r="L205" s="2">
        <f>IF(B205="","",IFERROR(INT((MATCH(B205,Teknikere,0)-1)/18)+1,""))</f>
        <v/>
      </c>
      <c r="M205" s="2">
        <f>IF(OR(A205="",B205=""),"",B205&amp;"|"&amp;A205)</f>
        <v/>
      </c>
      <c r="N205" s="2">
        <f>IF(M205="","",SUMIFS(TF_Timer,TF_Nokkel,M205,TF_Akt,C205))</f>
        <v/>
      </c>
      <c r="O205" s="2">
        <f>IF(M205="","",IF(AND(N205=_xlfn.MAXIFS(TF_AktSum,TF_Nokkel,M205),COUNTIFS(M$3:M204,M205,N$3:N204,N205)=0),M205,""))</f>
        <v/>
      </c>
    </row>
    <row r="206">
      <c r="A206" s="34" t="n"/>
      <c r="B206" s="35" t="n"/>
      <c r="C206" s="35" t="n"/>
      <c r="D206" s="35" t="n"/>
      <c r="E206" s="35" t="n"/>
      <c r="F206" s="36" t="n"/>
      <c r="G206" s="35" t="n"/>
      <c r="H206" s="30">
        <f>IF(L206="","",INDEX(SkiftNavn,L206))</f>
        <v/>
      </c>
      <c r="I206" s="30">
        <f>IF(OR(A206="",L206=""),"",IF(MOD(A206-INDEX(SkiftStart,L206),Syklus)&lt;DagK,"Kveld",IF(MOD(A206-INDEX(SkiftStart,L206),Syklus)&lt;DagK+DagH,"Helg",IF(MOD(A206-INDEX(SkiftStart,L206),Syklus)&lt;DagK+DagH+DagD,"Dag","Fri"))))</f>
        <v/>
      </c>
      <c r="J206" s="30">
        <f>IF(I206="Fri","Ja","")</f>
        <v/>
      </c>
      <c r="K206" s="30">
        <f>IF(B206="","",IF(L206="","Ukjent tekniker",IF(ISNA(MATCH(C206,Aktiviteter,0)),"Ukjent aktivitet",IF(AND(INDEX(AktRolle,MATCH(C206,Aktiviteter,0))&amp;""&lt;&gt;"",ISERROR(SEARCH(INDEX(AktRolle,MATCH(C206,Aktiviteter,0))&amp;"",INDEX(TekRoller,MATCH(B206,Teknikere,0))))),"Mangler rollen "&amp;INDEX(AktRolle,MATCH(C206,Aktiviteter,0))&amp;"",IF(AND(C206="LMS",F206&gt;0,OR(D206="",E206="")),"Mangler maskin eller arbeid",IF(AND(OR(C206="LMS",C206="Mod"),D206&lt;&gt;""),IF(IFERROR(INDEX(MaskinStatus,MATCH(D206,Maskiner,0)),"")="I dokk","","Maskinen er ikke i dokk"),""))))))</f>
        <v/>
      </c>
      <c r="L206" s="2">
        <f>IF(B206="","",IFERROR(INT((MATCH(B206,Teknikere,0)-1)/18)+1,""))</f>
        <v/>
      </c>
      <c r="M206" s="2">
        <f>IF(OR(A206="",B206=""),"",B206&amp;"|"&amp;A206)</f>
        <v/>
      </c>
      <c r="N206" s="2">
        <f>IF(M206="","",SUMIFS(TF_Timer,TF_Nokkel,M206,TF_Akt,C206))</f>
        <v/>
      </c>
      <c r="O206" s="2">
        <f>IF(M206="","",IF(AND(N206=_xlfn.MAXIFS(TF_AktSum,TF_Nokkel,M206),COUNTIFS(M$3:M205,M206,N$3:N205,N206)=0),M206,""))</f>
        <v/>
      </c>
    </row>
    <row r="207">
      <c r="A207" s="34" t="n"/>
      <c r="B207" s="35" t="n"/>
      <c r="C207" s="35" t="n"/>
      <c r="D207" s="35" t="n"/>
      <c r="E207" s="35" t="n"/>
      <c r="F207" s="36" t="n"/>
      <c r="G207" s="35" t="n"/>
      <c r="H207" s="30">
        <f>IF(L207="","",INDEX(SkiftNavn,L207))</f>
        <v/>
      </c>
      <c r="I207" s="30">
        <f>IF(OR(A207="",L207=""),"",IF(MOD(A207-INDEX(SkiftStart,L207),Syklus)&lt;DagK,"Kveld",IF(MOD(A207-INDEX(SkiftStart,L207),Syklus)&lt;DagK+DagH,"Helg",IF(MOD(A207-INDEX(SkiftStart,L207),Syklus)&lt;DagK+DagH+DagD,"Dag","Fri"))))</f>
        <v/>
      </c>
      <c r="J207" s="30">
        <f>IF(I207="Fri","Ja","")</f>
        <v/>
      </c>
      <c r="K207" s="30">
        <f>IF(B207="","",IF(L207="","Ukjent tekniker",IF(ISNA(MATCH(C207,Aktiviteter,0)),"Ukjent aktivitet",IF(AND(INDEX(AktRolle,MATCH(C207,Aktiviteter,0))&amp;""&lt;&gt;"",ISERROR(SEARCH(INDEX(AktRolle,MATCH(C207,Aktiviteter,0))&amp;"",INDEX(TekRoller,MATCH(B207,Teknikere,0))))),"Mangler rollen "&amp;INDEX(AktRolle,MATCH(C207,Aktiviteter,0))&amp;"",IF(AND(C207="LMS",F207&gt;0,OR(D207="",E207="")),"Mangler maskin eller arbeid",IF(AND(OR(C207="LMS",C207="Mod"),D207&lt;&gt;""),IF(IFERROR(INDEX(MaskinStatus,MATCH(D207,Maskiner,0)),"")="I dokk","","Maskinen er ikke i dokk"),""))))))</f>
        <v/>
      </c>
      <c r="L207" s="2">
        <f>IF(B207="","",IFERROR(INT((MATCH(B207,Teknikere,0)-1)/18)+1,""))</f>
        <v/>
      </c>
      <c r="M207" s="2">
        <f>IF(OR(A207="",B207=""),"",B207&amp;"|"&amp;A207)</f>
        <v/>
      </c>
      <c r="N207" s="2">
        <f>IF(M207="","",SUMIFS(TF_Timer,TF_Nokkel,M207,TF_Akt,C207))</f>
        <v/>
      </c>
      <c r="O207" s="2">
        <f>IF(M207="","",IF(AND(N207=_xlfn.MAXIFS(TF_AktSum,TF_Nokkel,M207),COUNTIFS(M$3:M206,M207,N$3:N206,N207)=0),M207,""))</f>
        <v/>
      </c>
    </row>
    <row r="208">
      <c r="A208" s="34" t="n"/>
      <c r="B208" s="35" t="n"/>
      <c r="C208" s="35" t="n"/>
      <c r="D208" s="35" t="n"/>
      <c r="E208" s="35" t="n"/>
      <c r="F208" s="36" t="n"/>
      <c r="G208" s="35" t="n"/>
      <c r="H208" s="30">
        <f>IF(L208="","",INDEX(SkiftNavn,L208))</f>
        <v/>
      </c>
      <c r="I208" s="30">
        <f>IF(OR(A208="",L208=""),"",IF(MOD(A208-INDEX(SkiftStart,L208),Syklus)&lt;DagK,"Kveld",IF(MOD(A208-INDEX(SkiftStart,L208),Syklus)&lt;DagK+DagH,"Helg",IF(MOD(A208-INDEX(SkiftStart,L208),Syklus)&lt;DagK+DagH+DagD,"Dag","Fri"))))</f>
        <v/>
      </c>
      <c r="J208" s="30">
        <f>IF(I208="Fri","Ja","")</f>
        <v/>
      </c>
      <c r="K208" s="30">
        <f>IF(B208="","",IF(L208="","Ukjent tekniker",IF(ISNA(MATCH(C208,Aktiviteter,0)),"Ukjent aktivitet",IF(AND(INDEX(AktRolle,MATCH(C208,Aktiviteter,0))&amp;""&lt;&gt;"",ISERROR(SEARCH(INDEX(AktRolle,MATCH(C208,Aktiviteter,0))&amp;"",INDEX(TekRoller,MATCH(B208,Teknikere,0))))),"Mangler rollen "&amp;INDEX(AktRolle,MATCH(C208,Aktiviteter,0))&amp;"",IF(AND(C208="LMS",F208&gt;0,OR(D208="",E208="")),"Mangler maskin eller arbeid",IF(AND(OR(C208="LMS",C208="Mod"),D208&lt;&gt;""),IF(IFERROR(INDEX(MaskinStatus,MATCH(D208,Maskiner,0)),"")="I dokk","","Maskinen er ikke i dokk"),""))))))</f>
        <v/>
      </c>
      <c r="L208" s="2">
        <f>IF(B208="","",IFERROR(INT((MATCH(B208,Teknikere,0)-1)/18)+1,""))</f>
        <v/>
      </c>
      <c r="M208" s="2">
        <f>IF(OR(A208="",B208=""),"",B208&amp;"|"&amp;A208)</f>
        <v/>
      </c>
      <c r="N208" s="2">
        <f>IF(M208="","",SUMIFS(TF_Timer,TF_Nokkel,M208,TF_Akt,C208))</f>
        <v/>
      </c>
      <c r="O208" s="2">
        <f>IF(M208="","",IF(AND(N208=_xlfn.MAXIFS(TF_AktSum,TF_Nokkel,M208),COUNTIFS(M$3:M207,M208,N$3:N207,N208)=0),M208,""))</f>
        <v/>
      </c>
    </row>
    <row r="209">
      <c r="A209" s="34" t="n"/>
      <c r="B209" s="35" t="n"/>
      <c r="C209" s="35" t="n"/>
      <c r="D209" s="35" t="n"/>
      <c r="E209" s="35" t="n"/>
      <c r="F209" s="36" t="n"/>
      <c r="G209" s="35" t="n"/>
      <c r="H209" s="30">
        <f>IF(L209="","",INDEX(SkiftNavn,L209))</f>
        <v/>
      </c>
      <c r="I209" s="30">
        <f>IF(OR(A209="",L209=""),"",IF(MOD(A209-INDEX(SkiftStart,L209),Syklus)&lt;DagK,"Kveld",IF(MOD(A209-INDEX(SkiftStart,L209),Syklus)&lt;DagK+DagH,"Helg",IF(MOD(A209-INDEX(SkiftStart,L209),Syklus)&lt;DagK+DagH+DagD,"Dag","Fri"))))</f>
        <v/>
      </c>
      <c r="J209" s="30">
        <f>IF(I209="Fri","Ja","")</f>
        <v/>
      </c>
      <c r="K209" s="30">
        <f>IF(B209="","",IF(L209="","Ukjent tekniker",IF(ISNA(MATCH(C209,Aktiviteter,0)),"Ukjent aktivitet",IF(AND(INDEX(AktRolle,MATCH(C209,Aktiviteter,0))&amp;""&lt;&gt;"",ISERROR(SEARCH(INDEX(AktRolle,MATCH(C209,Aktiviteter,0))&amp;"",INDEX(TekRoller,MATCH(B209,Teknikere,0))))),"Mangler rollen "&amp;INDEX(AktRolle,MATCH(C209,Aktiviteter,0))&amp;"",IF(AND(C209="LMS",F209&gt;0,OR(D209="",E209="")),"Mangler maskin eller arbeid",IF(AND(OR(C209="LMS",C209="Mod"),D209&lt;&gt;""),IF(IFERROR(INDEX(MaskinStatus,MATCH(D209,Maskiner,0)),"")="I dokk","","Maskinen er ikke i dokk"),""))))))</f>
        <v/>
      </c>
      <c r="L209" s="2">
        <f>IF(B209="","",IFERROR(INT((MATCH(B209,Teknikere,0)-1)/18)+1,""))</f>
        <v/>
      </c>
      <c r="M209" s="2">
        <f>IF(OR(A209="",B209=""),"",B209&amp;"|"&amp;A209)</f>
        <v/>
      </c>
      <c r="N209" s="2">
        <f>IF(M209="","",SUMIFS(TF_Timer,TF_Nokkel,M209,TF_Akt,C209))</f>
        <v/>
      </c>
      <c r="O209" s="2">
        <f>IF(M209="","",IF(AND(N209=_xlfn.MAXIFS(TF_AktSum,TF_Nokkel,M209),COUNTIFS(M$3:M208,M209,N$3:N208,N209)=0),M209,""))</f>
        <v/>
      </c>
    </row>
    <row r="210">
      <c r="A210" s="34" t="n"/>
      <c r="B210" s="35" t="n"/>
      <c r="C210" s="35" t="n"/>
      <c r="D210" s="35" t="n"/>
      <c r="E210" s="35" t="n"/>
      <c r="F210" s="36" t="n"/>
      <c r="G210" s="35" t="n"/>
      <c r="H210" s="30">
        <f>IF(L210="","",INDEX(SkiftNavn,L210))</f>
        <v/>
      </c>
      <c r="I210" s="30">
        <f>IF(OR(A210="",L210=""),"",IF(MOD(A210-INDEX(SkiftStart,L210),Syklus)&lt;DagK,"Kveld",IF(MOD(A210-INDEX(SkiftStart,L210),Syklus)&lt;DagK+DagH,"Helg",IF(MOD(A210-INDEX(SkiftStart,L210),Syklus)&lt;DagK+DagH+DagD,"Dag","Fri"))))</f>
        <v/>
      </c>
      <c r="J210" s="30">
        <f>IF(I210="Fri","Ja","")</f>
        <v/>
      </c>
      <c r="K210" s="30">
        <f>IF(B210="","",IF(L210="","Ukjent tekniker",IF(ISNA(MATCH(C210,Aktiviteter,0)),"Ukjent aktivitet",IF(AND(INDEX(AktRolle,MATCH(C210,Aktiviteter,0))&amp;""&lt;&gt;"",ISERROR(SEARCH(INDEX(AktRolle,MATCH(C210,Aktiviteter,0))&amp;"",INDEX(TekRoller,MATCH(B210,Teknikere,0))))),"Mangler rollen "&amp;INDEX(AktRolle,MATCH(C210,Aktiviteter,0))&amp;"",IF(AND(C210="LMS",F210&gt;0,OR(D210="",E210="")),"Mangler maskin eller arbeid",IF(AND(OR(C210="LMS",C210="Mod"),D210&lt;&gt;""),IF(IFERROR(INDEX(MaskinStatus,MATCH(D210,Maskiner,0)),"")="I dokk","","Maskinen er ikke i dokk"),""))))))</f>
        <v/>
      </c>
      <c r="L210" s="2">
        <f>IF(B210="","",IFERROR(INT((MATCH(B210,Teknikere,0)-1)/18)+1,""))</f>
        <v/>
      </c>
      <c r="M210" s="2">
        <f>IF(OR(A210="",B210=""),"",B210&amp;"|"&amp;A210)</f>
        <v/>
      </c>
      <c r="N210" s="2">
        <f>IF(M210="","",SUMIFS(TF_Timer,TF_Nokkel,M210,TF_Akt,C210))</f>
        <v/>
      </c>
      <c r="O210" s="2">
        <f>IF(M210="","",IF(AND(N210=_xlfn.MAXIFS(TF_AktSum,TF_Nokkel,M210),COUNTIFS(M$3:M209,M210,N$3:N209,N210)=0),M210,""))</f>
        <v/>
      </c>
    </row>
    <row r="211">
      <c r="A211" s="34" t="n"/>
      <c r="B211" s="35" t="n"/>
      <c r="C211" s="35" t="n"/>
      <c r="D211" s="35" t="n"/>
      <c r="E211" s="35" t="n"/>
      <c r="F211" s="36" t="n"/>
      <c r="G211" s="35" t="n"/>
      <c r="H211" s="30">
        <f>IF(L211="","",INDEX(SkiftNavn,L211))</f>
        <v/>
      </c>
      <c r="I211" s="30">
        <f>IF(OR(A211="",L211=""),"",IF(MOD(A211-INDEX(SkiftStart,L211),Syklus)&lt;DagK,"Kveld",IF(MOD(A211-INDEX(SkiftStart,L211),Syklus)&lt;DagK+DagH,"Helg",IF(MOD(A211-INDEX(SkiftStart,L211),Syklus)&lt;DagK+DagH+DagD,"Dag","Fri"))))</f>
        <v/>
      </c>
      <c r="J211" s="30">
        <f>IF(I211="Fri","Ja","")</f>
        <v/>
      </c>
      <c r="K211" s="30">
        <f>IF(B211="","",IF(L211="","Ukjent tekniker",IF(ISNA(MATCH(C211,Aktiviteter,0)),"Ukjent aktivitet",IF(AND(INDEX(AktRolle,MATCH(C211,Aktiviteter,0))&amp;""&lt;&gt;"",ISERROR(SEARCH(INDEX(AktRolle,MATCH(C211,Aktiviteter,0))&amp;"",INDEX(TekRoller,MATCH(B211,Teknikere,0))))),"Mangler rollen "&amp;INDEX(AktRolle,MATCH(C211,Aktiviteter,0))&amp;"",IF(AND(C211="LMS",F211&gt;0,OR(D211="",E211="")),"Mangler maskin eller arbeid",IF(AND(OR(C211="LMS",C211="Mod"),D211&lt;&gt;""),IF(IFERROR(INDEX(MaskinStatus,MATCH(D211,Maskiner,0)),"")="I dokk","","Maskinen er ikke i dokk"),""))))))</f>
        <v/>
      </c>
      <c r="L211" s="2">
        <f>IF(B211="","",IFERROR(INT((MATCH(B211,Teknikere,0)-1)/18)+1,""))</f>
        <v/>
      </c>
      <c r="M211" s="2">
        <f>IF(OR(A211="",B211=""),"",B211&amp;"|"&amp;A211)</f>
        <v/>
      </c>
      <c r="N211" s="2">
        <f>IF(M211="","",SUMIFS(TF_Timer,TF_Nokkel,M211,TF_Akt,C211))</f>
        <v/>
      </c>
      <c r="O211" s="2">
        <f>IF(M211="","",IF(AND(N211=_xlfn.MAXIFS(TF_AktSum,TF_Nokkel,M211),COUNTIFS(M$3:M210,M211,N$3:N210,N211)=0),M211,""))</f>
        <v/>
      </c>
    </row>
    <row r="212">
      <c r="A212" s="34" t="n"/>
      <c r="B212" s="35" t="n"/>
      <c r="C212" s="35" t="n"/>
      <c r="D212" s="35" t="n"/>
      <c r="E212" s="35" t="n"/>
      <c r="F212" s="36" t="n"/>
      <c r="G212" s="35" t="n"/>
      <c r="H212" s="30">
        <f>IF(L212="","",INDEX(SkiftNavn,L212))</f>
        <v/>
      </c>
      <c r="I212" s="30">
        <f>IF(OR(A212="",L212=""),"",IF(MOD(A212-INDEX(SkiftStart,L212),Syklus)&lt;DagK,"Kveld",IF(MOD(A212-INDEX(SkiftStart,L212),Syklus)&lt;DagK+DagH,"Helg",IF(MOD(A212-INDEX(SkiftStart,L212),Syklus)&lt;DagK+DagH+DagD,"Dag","Fri"))))</f>
        <v/>
      </c>
      <c r="J212" s="30">
        <f>IF(I212="Fri","Ja","")</f>
        <v/>
      </c>
      <c r="K212" s="30">
        <f>IF(B212="","",IF(L212="","Ukjent tekniker",IF(ISNA(MATCH(C212,Aktiviteter,0)),"Ukjent aktivitet",IF(AND(INDEX(AktRolle,MATCH(C212,Aktiviteter,0))&amp;""&lt;&gt;"",ISERROR(SEARCH(INDEX(AktRolle,MATCH(C212,Aktiviteter,0))&amp;"",INDEX(TekRoller,MATCH(B212,Teknikere,0))))),"Mangler rollen "&amp;INDEX(AktRolle,MATCH(C212,Aktiviteter,0))&amp;"",IF(AND(C212="LMS",F212&gt;0,OR(D212="",E212="")),"Mangler maskin eller arbeid",IF(AND(OR(C212="LMS",C212="Mod"),D212&lt;&gt;""),IF(IFERROR(INDEX(MaskinStatus,MATCH(D212,Maskiner,0)),"")="I dokk","","Maskinen er ikke i dokk"),""))))))</f>
        <v/>
      </c>
      <c r="L212" s="2">
        <f>IF(B212="","",IFERROR(INT((MATCH(B212,Teknikere,0)-1)/18)+1,""))</f>
        <v/>
      </c>
      <c r="M212" s="2">
        <f>IF(OR(A212="",B212=""),"",B212&amp;"|"&amp;A212)</f>
        <v/>
      </c>
      <c r="N212" s="2">
        <f>IF(M212="","",SUMIFS(TF_Timer,TF_Nokkel,M212,TF_Akt,C212))</f>
        <v/>
      </c>
      <c r="O212" s="2">
        <f>IF(M212="","",IF(AND(N212=_xlfn.MAXIFS(TF_AktSum,TF_Nokkel,M212),COUNTIFS(M$3:M211,M212,N$3:N211,N212)=0),M212,""))</f>
        <v/>
      </c>
    </row>
    <row r="213">
      <c r="A213" s="34" t="n"/>
      <c r="B213" s="35" t="n"/>
      <c r="C213" s="35" t="n"/>
      <c r="D213" s="35" t="n"/>
      <c r="E213" s="35" t="n"/>
      <c r="F213" s="36" t="n"/>
      <c r="G213" s="35" t="n"/>
      <c r="H213" s="30">
        <f>IF(L213="","",INDEX(SkiftNavn,L213))</f>
        <v/>
      </c>
      <c r="I213" s="30">
        <f>IF(OR(A213="",L213=""),"",IF(MOD(A213-INDEX(SkiftStart,L213),Syklus)&lt;DagK,"Kveld",IF(MOD(A213-INDEX(SkiftStart,L213),Syklus)&lt;DagK+DagH,"Helg",IF(MOD(A213-INDEX(SkiftStart,L213),Syklus)&lt;DagK+DagH+DagD,"Dag","Fri"))))</f>
        <v/>
      </c>
      <c r="J213" s="30">
        <f>IF(I213="Fri","Ja","")</f>
        <v/>
      </c>
      <c r="K213" s="30">
        <f>IF(B213="","",IF(L213="","Ukjent tekniker",IF(ISNA(MATCH(C213,Aktiviteter,0)),"Ukjent aktivitet",IF(AND(INDEX(AktRolle,MATCH(C213,Aktiviteter,0))&amp;""&lt;&gt;"",ISERROR(SEARCH(INDEX(AktRolle,MATCH(C213,Aktiviteter,0))&amp;"",INDEX(TekRoller,MATCH(B213,Teknikere,0))))),"Mangler rollen "&amp;INDEX(AktRolle,MATCH(C213,Aktiviteter,0))&amp;"",IF(AND(C213="LMS",F213&gt;0,OR(D213="",E213="")),"Mangler maskin eller arbeid",IF(AND(OR(C213="LMS",C213="Mod"),D213&lt;&gt;""),IF(IFERROR(INDEX(MaskinStatus,MATCH(D213,Maskiner,0)),"")="I dokk","","Maskinen er ikke i dokk"),""))))))</f>
        <v/>
      </c>
      <c r="L213" s="2">
        <f>IF(B213="","",IFERROR(INT((MATCH(B213,Teknikere,0)-1)/18)+1,""))</f>
        <v/>
      </c>
      <c r="M213" s="2">
        <f>IF(OR(A213="",B213=""),"",B213&amp;"|"&amp;A213)</f>
        <v/>
      </c>
      <c r="N213" s="2">
        <f>IF(M213="","",SUMIFS(TF_Timer,TF_Nokkel,M213,TF_Akt,C213))</f>
        <v/>
      </c>
      <c r="O213" s="2">
        <f>IF(M213="","",IF(AND(N213=_xlfn.MAXIFS(TF_AktSum,TF_Nokkel,M213),COUNTIFS(M$3:M212,M213,N$3:N212,N213)=0),M213,""))</f>
        <v/>
      </c>
    </row>
    <row r="214">
      <c r="A214" s="34" t="n"/>
      <c r="B214" s="35" t="n"/>
      <c r="C214" s="35" t="n"/>
      <c r="D214" s="35" t="n"/>
      <c r="E214" s="35" t="n"/>
      <c r="F214" s="36" t="n"/>
      <c r="G214" s="35" t="n"/>
      <c r="H214" s="30">
        <f>IF(L214="","",INDEX(SkiftNavn,L214))</f>
        <v/>
      </c>
      <c r="I214" s="30">
        <f>IF(OR(A214="",L214=""),"",IF(MOD(A214-INDEX(SkiftStart,L214),Syklus)&lt;DagK,"Kveld",IF(MOD(A214-INDEX(SkiftStart,L214),Syklus)&lt;DagK+DagH,"Helg",IF(MOD(A214-INDEX(SkiftStart,L214),Syklus)&lt;DagK+DagH+DagD,"Dag","Fri"))))</f>
        <v/>
      </c>
      <c r="J214" s="30">
        <f>IF(I214="Fri","Ja","")</f>
        <v/>
      </c>
      <c r="K214" s="30">
        <f>IF(B214="","",IF(L214="","Ukjent tekniker",IF(ISNA(MATCH(C214,Aktiviteter,0)),"Ukjent aktivitet",IF(AND(INDEX(AktRolle,MATCH(C214,Aktiviteter,0))&amp;""&lt;&gt;"",ISERROR(SEARCH(INDEX(AktRolle,MATCH(C214,Aktiviteter,0))&amp;"",INDEX(TekRoller,MATCH(B214,Teknikere,0))))),"Mangler rollen "&amp;INDEX(AktRolle,MATCH(C214,Aktiviteter,0))&amp;"",IF(AND(C214="LMS",F214&gt;0,OR(D214="",E214="")),"Mangler maskin eller arbeid",IF(AND(OR(C214="LMS",C214="Mod"),D214&lt;&gt;""),IF(IFERROR(INDEX(MaskinStatus,MATCH(D214,Maskiner,0)),"")="I dokk","","Maskinen er ikke i dokk"),""))))))</f>
        <v/>
      </c>
      <c r="L214" s="2">
        <f>IF(B214="","",IFERROR(INT((MATCH(B214,Teknikere,0)-1)/18)+1,""))</f>
        <v/>
      </c>
      <c r="M214" s="2">
        <f>IF(OR(A214="",B214=""),"",B214&amp;"|"&amp;A214)</f>
        <v/>
      </c>
      <c r="N214" s="2">
        <f>IF(M214="","",SUMIFS(TF_Timer,TF_Nokkel,M214,TF_Akt,C214))</f>
        <v/>
      </c>
      <c r="O214" s="2">
        <f>IF(M214="","",IF(AND(N214=_xlfn.MAXIFS(TF_AktSum,TF_Nokkel,M214),COUNTIFS(M$3:M213,M214,N$3:N213,N214)=0),M214,""))</f>
        <v/>
      </c>
    </row>
    <row r="215">
      <c r="A215" s="34" t="n"/>
      <c r="B215" s="35" t="n"/>
      <c r="C215" s="35" t="n"/>
      <c r="D215" s="35" t="n"/>
      <c r="E215" s="35" t="n"/>
      <c r="F215" s="36" t="n"/>
      <c r="G215" s="35" t="n"/>
      <c r="H215" s="30">
        <f>IF(L215="","",INDEX(SkiftNavn,L215))</f>
        <v/>
      </c>
      <c r="I215" s="30">
        <f>IF(OR(A215="",L215=""),"",IF(MOD(A215-INDEX(SkiftStart,L215),Syklus)&lt;DagK,"Kveld",IF(MOD(A215-INDEX(SkiftStart,L215),Syklus)&lt;DagK+DagH,"Helg",IF(MOD(A215-INDEX(SkiftStart,L215),Syklus)&lt;DagK+DagH+DagD,"Dag","Fri"))))</f>
        <v/>
      </c>
      <c r="J215" s="30">
        <f>IF(I215="Fri","Ja","")</f>
        <v/>
      </c>
      <c r="K215" s="30">
        <f>IF(B215="","",IF(L215="","Ukjent tekniker",IF(ISNA(MATCH(C215,Aktiviteter,0)),"Ukjent aktivitet",IF(AND(INDEX(AktRolle,MATCH(C215,Aktiviteter,0))&amp;""&lt;&gt;"",ISERROR(SEARCH(INDEX(AktRolle,MATCH(C215,Aktiviteter,0))&amp;"",INDEX(TekRoller,MATCH(B215,Teknikere,0))))),"Mangler rollen "&amp;INDEX(AktRolle,MATCH(C215,Aktiviteter,0))&amp;"",IF(AND(C215="LMS",F215&gt;0,OR(D215="",E215="")),"Mangler maskin eller arbeid",IF(AND(OR(C215="LMS",C215="Mod"),D215&lt;&gt;""),IF(IFERROR(INDEX(MaskinStatus,MATCH(D215,Maskiner,0)),"")="I dokk","","Maskinen er ikke i dokk"),""))))))</f>
        <v/>
      </c>
      <c r="L215" s="2">
        <f>IF(B215="","",IFERROR(INT((MATCH(B215,Teknikere,0)-1)/18)+1,""))</f>
        <v/>
      </c>
      <c r="M215" s="2">
        <f>IF(OR(A215="",B215=""),"",B215&amp;"|"&amp;A215)</f>
        <v/>
      </c>
      <c r="N215" s="2">
        <f>IF(M215="","",SUMIFS(TF_Timer,TF_Nokkel,M215,TF_Akt,C215))</f>
        <v/>
      </c>
      <c r="O215" s="2">
        <f>IF(M215="","",IF(AND(N215=_xlfn.MAXIFS(TF_AktSum,TF_Nokkel,M215),COUNTIFS(M$3:M214,M215,N$3:N214,N215)=0),M215,""))</f>
        <v/>
      </c>
    </row>
    <row r="216">
      <c r="A216" s="34" t="n"/>
      <c r="B216" s="35" t="n"/>
      <c r="C216" s="35" t="n"/>
      <c r="D216" s="35" t="n"/>
      <c r="E216" s="35" t="n"/>
      <c r="F216" s="36" t="n"/>
      <c r="G216" s="35" t="n"/>
      <c r="H216" s="30">
        <f>IF(L216="","",INDEX(SkiftNavn,L216))</f>
        <v/>
      </c>
      <c r="I216" s="30">
        <f>IF(OR(A216="",L216=""),"",IF(MOD(A216-INDEX(SkiftStart,L216),Syklus)&lt;DagK,"Kveld",IF(MOD(A216-INDEX(SkiftStart,L216),Syklus)&lt;DagK+DagH,"Helg",IF(MOD(A216-INDEX(SkiftStart,L216),Syklus)&lt;DagK+DagH+DagD,"Dag","Fri"))))</f>
        <v/>
      </c>
      <c r="J216" s="30">
        <f>IF(I216="Fri","Ja","")</f>
        <v/>
      </c>
      <c r="K216" s="30">
        <f>IF(B216="","",IF(L216="","Ukjent tekniker",IF(ISNA(MATCH(C216,Aktiviteter,0)),"Ukjent aktivitet",IF(AND(INDEX(AktRolle,MATCH(C216,Aktiviteter,0))&amp;""&lt;&gt;"",ISERROR(SEARCH(INDEX(AktRolle,MATCH(C216,Aktiviteter,0))&amp;"",INDEX(TekRoller,MATCH(B216,Teknikere,0))))),"Mangler rollen "&amp;INDEX(AktRolle,MATCH(C216,Aktiviteter,0))&amp;"",IF(AND(C216="LMS",F216&gt;0,OR(D216="",E216="")),"Mangler maskin eller arbeid",IF(AND(OR(C216="LMS",C216="Mod"),D216&lt;&gt;""),IF(IFERROR(INDEX(MaskinStatus,MATCH(D216,Maskiner,0)),"")="I dokk","","Maskinen er ikke i dokk"),""))))))</f>
        <v/>
      </c>
      <c r="L216" s="2">
        <f>IF(B216="","",IFERROR(INT((MATCH(B216,Teknikere,0)-1)/18)+1,""))</f>
        <v/>
      </c>
      <c r="M216" s="2">
        <f>IF(OR(A216="",B216=""),"",B216&amp;"|"&amp;A216)</f>
        <v/>
      </c>
      <c r="N216" s="2">
        <f>IF(M216="","",SUMIFS(TF_Timer,TF_Nokkel,M216,TF_Akt,C216))</f>
        <v/>
      </c>
      <c r="O216" s="2">
        <f>IF(M216="","",IF(AND(N216=_xlfn.MAXIFS(TF_AktSum,TF_Nokkel,M216),COUNTIFS(M$3:M215,M216,N$3:N215,N216)=0),M216,""))</f>
        <v/>
      </c>
    </row>
    <row r="217">
      <c r="A217" s="34" t="n"/>
      <c r="B217" s="35" t="n"/>
      <c r="C217" s="35" t="n"/>
      <c r="D217" s="35" t="n"/>
      <c r="E217" s="35" t="n"/>
      <c r="F217" s="36" t="n"/>
      <c r="G217" s="35" t="n"/>
      <c r="H217" s="30">
        <f>IF(L217="","",INDEX(SkiftNavn,L217))</f>
        <v/>
      </c>
      <c r="I217" s="30">
        <f>IF(OR(A217="",L217=""),"",IF(MOD(A217-INDEX(SkiftStart,L217),Syklus)&lt;DagK,"Kveld",IF(MOD(A217-INDEX(SkiftStart,L217),Syklus)&lt;DagK+DagH,"Helg",IF(MOD(A217-INDEX(SkiftStart,L217),Syklus)&lt;DagK+DagH+DagD,"Dag","Fri"))))</f>
        <v/>
      </c>
      <c r="J217" s="30">
        <f>IF(I217="Fri","Ja","")</f>
        <v/>
      </c>
      <c r="K217" s="30">
        <f>IF(B217="","",IF(L217="","Ukjent tekniker",IF(ISNA(MATCH(C217,Aktiviteter,0)),"Ukjent aktivitet",IF(AND(INDEX(AktRolle,MATCH(C217,Aktiviteter,0))&amp;""&lt;&gt;"",ISERROR(SEARCH(INDEX(AktRolle,MATCH(C217,Aktiviteter,0))&amp;"",INDEX(TekRoller,MATCH(B217,Teknikere,0))))),"Mangler rollen "&amp;INDEX(AktRolle,MATCH(C217,Aktiviteter,0))&amp;"",IF(AND(C217="LMS",F217&gt;0,OR(D217="",E217="")),"Mangler maskin eller arbeid",IF(AND(OR(C217="LMS",C217="Mod"),D217&lt;&gt;""),IF(IFERROR(INDEX(MaskinStatus,MATCH(D217,Maskiner,0)),"")="I dokk","","Maskinen er ikke i dokk"),""))))))</f>
        <v/>
      </c>
      <c r="L217" s="2">
        <f>IF(B217="","",IFERROR(INT((MATCH(B217,Teknikere,0)-1)/18)+1,""))</f>
        <v/>
      </c>
      <c r="M217" s="2">
        <f>IF(OR(A217="",B217=""),"",B217&amp;"|"&amp;A217)</f>
        <v/>
      </c>
      <c r="N217" s="2">
        <f>IF(M217="","",SUMIFS(TF_Timer,TF_Nokkel,M217,TF_Akt,C217))</f>
        <v/>
      </c>
      <c r="O217" s="2">
        <f>IF(M217="","",IF(AND(N217=_xlfn.MAXIFS(TF_AktSum,TF_Nokkel,M217),COUNTIFS(M$3:M216,M217,N$3:N216,N217)=0),M217,""))</f>
        <v/>
      </c>
    </row>
    <row r="218">
      <c r="A218" s="34" t="n"/>
      <c r="B218" s="35" t="n"/>
      <c r="C218" s="35" t="n"/>
      <c r="D218" s="35" t="n"/>
      <c r="E218" s="35" t="n"/>
      <c r="F218" s="36" t="n"/>
      <c r="G218" s="35" t="n"/>
      <c r="H218" s="30">
        <f>IF(L218="","",INDEX(SkiftNavn,L218))</f>
        <v/>
      </c>
      <c r="I218" s="30">
        <f>IF(OR(A218="",L218=""),"",IF(MOD(A218-INDEX(SkiftStart,L218),Syklus)&lt;DagK,"Kveld",IF(MOD(A218-INDEX(SkiftStart,L218),Syklus)&lt;DagK+DagH,"Helg",IF(MOD(A218-INDEX(SkiftStart,L218),Syklus)&lt;DagK+DagH+DagD,"Dag","Fri"))))</f>
        <v/>
      </c>
      <c r="J218" s="30">
        <f>IF(I218="Fri","Ja","")</f>
        <v/>
      </c>
      <c r="K218" s="30">
        <f>IF(B218="","",IF(L218="","Ukjent tekniker",IF(ISNA(MATCH(C218,Aktiviteter,0)),"Ukjent aktivitet",IF(AND(INDEX(AktRolle,MATCH(C218,Aktiviteter,0))&amp;""&lt;&gt;"",ISERROR(SEARCH(INDEX(AktRolle,MATCH(C218,Aktiviteter,0))&amp;"",INDEX(TekRoller,MATCH(B218,Teknikere,0))))),"Mangler rollen "&amp;INDEX(AktRolle,MATCH(C218,Aktiviteter,0))&amp;"",IF(AND(C218="LMS",F218&gt;0,OR(D218="",E218="")),"Mangler maskin eller arbeid",IF(AND(OR(C218="LMS",C218="Mod"),D218&lt;&gt;""),IF(IFERROR(INDEX(MaskinStatus,MATCH(D218,Maskiner,0)),"")="I dokk","","Maskinen er ikke i dokk"),""))))))</f>
        <v/>
      </c>
      <c r="L218" s="2">
        <f>IF(B218="","",IFERROR(INT((MATCH(B218,Teknikere,0)-1)/18)+1,""))</f>
        <v/>
      </c>
      <c r="M218" s="2">
        <f>IF(OR(A218="",B218=""),"",B218&amp;"|"&amp;A218)</f>
        <v/>
      </c>
      <c r="N218" s="2">
        <f>IF(M218="","",SUMIFS(TF_Timer,TF_Nokkel,M218,TF_Akt,C218))</f>
        <v/>
      </c>
      <c r="O218" s="2">
        <f>IF(M218="","",IF(AND(N218=_xlfn.MAXIFS(TF_AktSum,TF_Nokkel,M218),COUNTIFS(M$3:M217,M218,N$3:N217,N218)=0),M218,""))</f>
        <v/>
      </c>
    </row>
    <row r="219">
      <c r="A219" s="34" t="n"/>
      <c r="B219" s="35" t="n"/>
      <c r="C219" s="35" t="n"/>
      <c r="D219" s="35" t="n"/>
      <c r="E219" s="35" t="n"/>
      <c r="F219" s="36" t="n"/>
      <c r="G219" s="35" t="n"/>
      <c r="H219" s="30">
        <f>IF(L219="","",INDEX(SkiftNavn,L219))</f>
        <v/>
      </c>
      <c r="I219" s="30">
        <f>IF(OR(A219="",L219=""),"",IF(MOD(A219-INDEX(SkiftStart,L219),Syklus)&lt;DagK,"Kveld",IF(MOD(A219-INDEX(SkiftStart,L219),Syklus)&lt;DagK+DagH,"Helg",IF(MOD(A219-INDEX(SkiftStart,L219),Syklus)&lt;DagK+DagH+DagD,"Dag","Fri"))))</f>
        <v/>
      </c>
      <c r="J219" s="30">
        <f>IF(I219="Fri","Ja","")</f>
        <v/>
      </c>
      <c r="K219" s="30">
        <f>IF(B219="","",IF(L219="","Ukjent tekniker",IF(ISNA(MATCH(C219,Aktiviteter,0)),"Ukjent aktivitet",IF(AND(INDEX(AktRolle,MATCH(C219,Aktiviteter,0))&amp;""&lt;&gt;"",ISERROR(SEARCH(INDEX(AktRolle,MATCH(C219,Aktiviteter,0))&amp;"",INDEX(TekRoller,MATCH(B219,Teknikere,0))))),"Mangler rollen "&amp;INDEX(AktRolle,MATCH(C219,Aktiviteter,0))&amp;"",IF(AND(C219="LMS",F219&gt;0,OR(D219="",E219="")),"Mangler maskin eller arbeid",IF(AND(OR(C219="LMS",C219="Mod"),D219&lt;&gt;""),IF(IFERROR(INDEX(MaskinStatus,MATCH(D219,Maskiner,0)),"")="I dokk","","Maskinen er ikke i dokk"),""))))))</f>
        <v/>
      </c>
      <c r="L219" s="2">
        <f>IF(B219="","",IFERROR(INT((MATCH(B219,Teknikere,0)-1)/18)+1,""))</f>
        <v/>
      </c>
      <c r="M219" s="2">
        <f>IF(OR(A219="",B219=""),"",B219&amp;"|"&amp;A219)</f>
        <v/>
      </c>
      <c r="N219" s="2">
        <f>IF(M219="","",SUMIFS(TF_Timer,TF_Nokkel,M219,TF_Akt,C219))</f>
        <v/>
      </c>
      <c r="O219" s="2">
        <f>IF(M219="","",IF(AND(N219=_xlfn.MAXIFS(TF_AktSum,TF_Nokkel,M219),COUNTIFS(M$3:M218,M219,N$3:N218,N219)=0),M219,""))</f>
        <v/>
      </c>
    </row>
    <row r="220">
      <c r="A220" s="34" t="n"/>
      <c r="B220" s="35" t="n"/>
      <c r="C220" s="35" t="n"/>
      <c r="D220" s="35" t="n"/>
      <c r="E220" s="35" t="n"/>
      <c r="F220" s="36" t="n"/>
      <c r="G220" s="35" t="n"/>
      <c r="H220" s="30">
        <f>IF(L220="","",INDEX(SkiftNavn,L220))</f>
        <v/>
      </c>
      <c r="I220" s="30">
        <f>IF(OR(A220="",L220=""),"",IF(MOD(A220-INDEX(SkiftStart,L220),Syklus)&lt;DagK,"Kveld",IF(MOD(A220-INDEX(SkiftStart,L220),Syklus)&lt;DagK+DagH,"Helg",IF(MOD(A220-INDEX(SkiftStart,L220),Syklus)&lt;DagK+DagH+DagD,"Dag","Fri"))))</f>
        <v/>
      </c>
      <c r="J220" s="30">
        <f>IF(I220="Fri","Ja","")</f>
        <v/>
      </c>
      <c r="K220" s="30">
        <f>IF(B220="","",IF(L220="","Ukjent tekniker",IF(ISNA(MATCH(C220,Aktiviteter,0)),"Ukjent aktivitet",IF(AND(INDEX(AktRolle,MATCH(C220,Aktiviteter,0))&amp;""&lt;&gt;"",ISERROR(SEARCH(INDEX(AktRolle,MATCH(C220,Aktiviteter,0))&amp;"",INDEX(TekRoller,MATCH(B220,Teknikere,0))))),"Mangler rollen "&amp;INDEX(AktRolle,MATCH(C220,Aktiviteter,0))&amp;"",IF(AND(C220="LMS",F220&gt;0,OR(D220="",E220="")),"Mangler maskin eller arbeid",IF(AND(OR(C220="LMS",C220="Mod"),D220&lt;&gt;""),IF(IFERROR(INDEX(MaskinStatus,MATCH(D220,Maskiner,0)),"")="I dokk","","Maskinen er ikke i dokk"),""))))))</f>
        <v/>
      </c>
      <c r="L220" s="2">
        <f>IF(B220="","",IFERROR(INT((MATCH(B220,Teknikere,0)-1)/18)+1,""))</f>
        <v/>
      </c>
      <c r="M220" s="2">
        <f>IF(OR(A220="",B220=""),"",B220&amp;"|"&amp;A220)</f>
        <v/>
      </c>
      <c r="N220" s="2">
        <f>IF(M220="","",SUMIFS(TF_Timer,TF_Nokkel,M220,TF_Akt,C220))</f>
        <v/>
      </c>
      <c r="O220" s="2">
        <f>IF(M220="","",IF(AND(N220=_xlfn.MAXIFS(TF_AktSum,TF_Nokkel,M220),COUNTIFS(M$3:M219,M220,N$3:N219,N220)=0),M220,""))</f>
        <v/>
      </c>
    </row>
    <row r="221">
      <c r="A221" s="34" t="n"/>
      <c r="B221" s="35" t="n"/>
      <c r="C221" s="35" t="n"/>
      <c r="D221" s="35" t="n"/>
      <c r="E221" s="35" t="n"/>
      <c r="F221" s="36" t="n"/>
      <c r="G221" s="35" t="n"/>
      <c r="H221" s="30">
        <f>IF(L221="","",INDEX(SkiftNavn,L221))</f>
        <v/>
      </c>
      <c r="I221" s="30">
        <f>IF(OR(A221="",L221=""),"",IF(MOD(A221-INDEX(SkiftStart,L221),Syklus)&lt;DagK,"Kveld",IF(MOD(A221-INDEX(SkiftStart,L221),Syklus)&lt;DagK+DagH,"Helg",IF(MOD(A221-INDEX(SkiftStart,L221),Syklus)&lt;DagK+DagH+DagD,"Dag","Fri"))))</f>
        <v/>
      </c>
      <c r="J221" s="30">
        <f>IF(I221="Fri","Ja","")</f>
        <v/>
      </c>
      <c r="K221" s="30">
        <f>IF(B221="","",IF(L221="","Ukjent tekniker",IF(ISNA(MATCH(C221,Aktiviteter,0)),"Ukjent aktivitet",IF(AND(INDEX(AktRolle,MATCH(C221,Aktiviteter,0))&amp;""&lt;&gt;"",ISERROR(SEARCH(INDEX(AktRolle,MATCH(C221,Aktiviteter,0))&amp;"",INDEX(TekRoller,MATCH(B221,Teknikere,0))))),"Mangler rollen "&amp;INDEX(AktRolle,MATCH(C221,Aktiviteter,0))&amp;"",IF(AND(C221="LMS",F221&gt;0,OR(D221="",E221="")),"Mangler maskin eller arbeid",IF(AND(OR(C221="LMS",C221="Mod"),D221&lt;&gt;""),IF(IFERROR(INDEX(MaskinStatus,MATCH(D221,Maskiner,0)),"")="I dokk","","Maskinen er ikke i dokk"),""))))))</f>
        <v/>
      </c>
      <c r="L221" s="2">
        <f>IF(B221="","",IFERROR(INT((MATCH(B221,Teknikere,0)-1)/18)+1,""))</f>
        <v/>
      </c>
      <c r="M221" s="2">
        <f>IF(OR(A221="",B221=""),"",B221&amp;"|"&amp;A221)</f>
        <v/>
      </c>
      <c r="N221" s="2">
        <f>IF(M221="","",SUMIFS(TF_Timer,TF_Nokkel,M221,TF_Akt,C221))</f>
        <v/>
      </c>
      <c r="O221" s="2">
        <f>IF(M221="","",IF(AND(N221=_xlfn.MAXIFS(TF_AktSum,TF_Nokkel,M221),COUNTIFS(M$3:M220,M221,N$3:N220,N221)=0),M221,""))</f>
        <v/>
      </c>
    </row>
    <row r="222">
      <c r="A222" s="34" t="n"/>
      <c r="B222" s="35" t="n"/>
      <c r="C222" s="35" t="n"/>
      <c r="D222" s="35" t="n"/>
      <c r="E222" s="35" t="n"/>
      <c r="F222" s="36" t="n"/>
      <c r="G222" s="35" t="n"/>
      <c r="H222" s="30">
        <f>IF(L222="","",INDEX(SkiftNavn,L222))</f>
        <v/>
      </c>
      <c r="I222" s="30">
        <f>IF(OR(A222="",L222=""),"",IF(MOD(A222-INDEX(SkiftStart,L222),Syklus)&lt;DagK,"Kveld",IF(MOD(A222-INDEX(SkiftStart,L222),Syklus)&lt;DagK+DagH,"Helg",IF(MOD(A222-INDEX(SkiftStart,L222),Syklus)&lt;DagK+DagH+DagD,"Dag","Fri"))))</f>
        <v/>
      </c>
      <c r="J222" s="30">
        <f>IF(I222="Fri","Ja","")</f>
        <v/>
      </c>
      <c r="K222" s="30">
        <f>IF(B222="","",IF(L222="","Ukjent tekniker",IF(ISNA(MATCH(C222,Aktiviteter,0)),"Ukjent aktivitet",IF(AND(INDEX(AktRolle,MATCH(C222,Aktiviteter,0))&amp;""&lt;&gt;"",ISERROR(SEARCH(INDEX(AktRolle,MATCH(C222,Aktiviteter,0))&amp;"",INDEX(TekRoller,MATCH(B222,Teknikere,0))))),"Mangler rollen "&amp;INDEX(AktRolle,MATCH(C222,Aktiviteter,0))&amp;"",IF(AND(C222="LMS",F222&gt;0,OR(D222="",E222="")),"Mangler maskin eller arbeid",IF(AND(OR(C222="LMS",C222="Mod"),D222&lt;&gt;""),IF(IFERROR(INDEX(MaskinStatus,MATCH(D222,Maskiner,0)),"")="I dokk","","Maskinen er ikke i dokk"),""))))))</f>
        <v/>
      </c>
      <c r="L222" s="2">
        <f>IF(B222="","",IFERROR(INT((MATCH(B222,Teknikere,0)-1)/18)+1,""))</f>
        <v/>
      </c>
      <c r="M222" s="2">
        <f>IF(OR(A222="",B222=""),"",B222&amp;"|"&amp;A222)</f>
        <v/>
      </c>
      <c r="N222" s="2">
        <f>IF(M222="","",SUMIFS(TF_Timer,TF_Nokkel,M222,TF_Akt,C222))</f>
        <v/>
      </c>
      <c r="O222" s="2">
        <f>IF(M222="","",IF(AND(N222=_xlfn.MAXIFS(TF_AktSum,TF_Nokkel,M222),COUNTIFS(M$3:M221,M222,N$3:N221,N222)=0),M222,""))</f>
        <v/>
      </c>
    </row>
    <row r="223">
      <c r="A223" s="34" t="n"/>
      <c r="B223" s="35" t="n"/>
      <c r="C223" s="35" t="n"/>
      <c r="D223" s="35" t="n"/>
      <c r="E223" s="35" t="n"/>
      <c r="F223" s="36" t="n"/>
      <c r="G223" s="35" t="n"/>
      <c r="H223" s="30">
        <f>IF(L223="","",INDEX(SkiftNavn,L223))</f>
        <v/>
      </c>
      <c r="I223" s="30">
        <f>IF(OR(A223="",L223=""),"",IF(MOD(A223-INDEX(SkiftStart,L223),Syklus)&lt;DagK,"Kveld",IF(MOD(A223-INDEX(SkiftStart,L223),Syklus)&lt;DagK+DagH,"Helg",IF(MOD(A223-INDEX(SkiftStart,L223),Syklus)&lt;DagK+DagH+DagD,"Dag","Fri"))))</f>
        <v/>
      </c>
      <c r="J223" s="30">
        <f>IF(I223="Fri","Ja","")</f>
        <v/>
      </c>
      <c r="K223" s="30">
        <f>IF(B223="","",IF(L223="","Ukjent tekniker",IF(ISNA(MATCH(C223,Aktiviteter,0)),"Ukjent aktivitet",IF(AND(INDEX(AktRolle,MATCH(C223,Aktiviteter,0))&amp;""&lt;&gt;"",ISERROR(SEARCH(INDEX(AktRolle,MATCH(C223,Aktiviteter,0))&amp;"",INDEX(TekRoller,MATCH(B223,Teknikere,0))))),"Mangler rollen "&amp;INDEX(AktRolle,MATCH(C223,Aktiviteter,0))&amp;"",IF(AND(C223="LMS",F223&gt;0,OR(D223="",E223="")),"Mangler maskin eller arbeid",IF(AND(OR(C223="LMS",C223="Mod"),D223&lt;&gt;""),IF(IFERROR(INDEX(MaskinStatus,MATCH(D223,Maskiner,0)),"")="I dokk","","Maskinen er ikke i dokk"),""))))))</f>
        <v/>
      </c>
      <c r="L223" s="2">
        <f>IF(B223="","",IFERROR(INT((MATCH(B223,Teknikere,0)-1)/18)+1,""))</f>
        <v/>
      </c>
      <c r="M223" s="2">
        <f>IF(OR(A223="",B223=""),"",B223&amp;"|"&amp;A223)</f>
        <v/>
      </c>
      <c r="N223" s="2">
        <f>IF(M223="","",SUMIFS(TF_Timer,TF_Nokkel,M223,TF_Akt,C223))</f>
        <v/>
      </c>
      <c r="O223" s="2">
        <f>IF(M223="","",IF(AND(N223=_xlfn.MAXIFS(TF_AktSum,TF_Nokkel,M223),COUNTIFS(M$3:M222,M223,N$3:N222,N223)=0),M223,""))</f>
        <v/>
      </c>
    </row>
    <row r="224">
      <c r="A224" s="34" t="n"/>
      <c r="B224" s="35" t="n"/>
      <c r="C224" s="35" t="n"/>
      <c r="D224" s="35" t="n"/>
      <c r="E224" s="35" t="n"/>
      <c r="F224" s="36" t="n"/>
      <c r="G224" s="35" t="n"/>
      <c r="H224" s="30">
        <f>IF(L224="","",INDEX(SkiftNavn,L224))</f>
        <v/>
      </c>
      <c r="I224" s="30">
        <f>IF(OR(A224="",L224=""),"",IF(MOD(A224-INDEX(SkiftStart,L224),Syklus)&lt;DagK,"Kveld",IF(MOD(A224-INDEX(SkiftStart,L224),Syklus)&lt;DagK+DagH,"Helg",IF(MOD(A224-INDEX(SkiftStart,L224),Syklus)&lt;DagK+DagH+DagD,"Dag","Fri"))))</f>
        <v/>
      </c>
      <c r="J224" s="30">
        <f>IF(I224="Fri","Ja","")</f>
        <v/>
      </c>
      <c r="K224" s="30">
        <f>IF(B224="","",IF(L224="","Ukjent tekniker",IF(ISNA(MATCH(C224,Aktiviteter,0)),"Ukjent aktivitet",IF(AND(INDEX(AktRolle,MATCH(C224,Aktiviteter,0))&amp;""&lt;&gt;"",ISERROR(SEARCH(INDEX(AktRolle,MATCH(C224,Aktiviteter,0))&amp;"",INDEX(TekRoller,MATCH(B224,Teknikere,0))))),"Mangler rollen "&amp;INDEX(AktRolle,MATCH(C224,Aktiviteter,0))&amp;"",IF(AND(C224="LMS",F224&gt;0,OR(D224="",E224="")),"Mangler maskin eller arbeid",IF(AND(OR(C224="LMS",C224="Mod"),D224&lt;&gt;""),IF(IFERROR(INDEX(MaskinStatus,MATCH(D224,Maskiner,0)),"")="I dokk","","Maskinen er ikke i dokk"),""))))))</f>
        <v/>
      </c>
      <c r="L224" s="2">
        <f>IF(B224="","",IFERROR(INT((MATCH(B224,Teknikere,0)-1)/18)+1,""))</f>
        <v/>
      </c>
      <c r="M224" s="2">
        <f>IF(OR(A224="",B224=""),"",B224&amp;"|"&amp;A224)</f>
        <v/>
      </c>
      <c r="N224" s="2">
        <f>IF(M224="","",SUMIFS(TF_Timer,TF_Nokkel,M224,TF_Akt,C224))</f>
        <v/>
      </c>
      <c r="O224" s="2">
        <f>IF(M224="","",IF(AND(N224=_xlfn.MAXIFS(TF_AktSum,TF_Nokkel,M224),COUNTIFS(M$3:M223,M224,N$3:N223,N224)=0),M224,""))</f>
        <v/>
      </c>
    </row>
    <row r="225">
      <c r="A225" s="34" t="n"/>
      <c r="B225" s="35" t="n"/>
      <c r="C225" s="35" t="n"/>
      <c r="D225" s="35" t="n"/>
      <c r="E225" s="35" t="n"/>
      <c r="F225" s="36" t="n"/>
      <c r="G225" s="35" t="n"/>
      <c r="H225" s="30">
        <f>IF(L225="","",INDEX(SkiftNavn,L225))</f>
        <v/>
      </c>
      <c r="I225" s="30">
        <f>IF(OR(A225="",L225=""),"",IF(MOD(A225-INDEX(SkiftStart,L225),Syklus)&lt;DagK,"Kveld",IF(MOD(A225-INDEX(SkiftStart,L225),Syklus)&lt;DagK+DagH,"Helg",IF(MOD(A225-INDEX(SkiftStart,L225),Syklus)&lt;DagK+DagH+DagD,"Dag","Fri"))))</f>
        <v/>
      </c>
      <c r="J225" s="30">
        <f>IF(I225="Fri","Ja","")</f>
        <v/>
      </c>
      <c r="K225" s="30">
        <f>IF(B225="","",IF(L225="","Ukjent tekniker",IF(ISNA(MATCH(C225,Aktiviteter,0)),"Ukjent aktivitet",IF(AND(INDEX(AktRolle,MATCH(C225,Aktiviteter,0))&amp;""&lt;&gt;"",ISERROR(SEARCH(INDEX(AktRolle,MATCH(C225,Aktiviteter,0))&amp;"",INDEX(TekRoller,MATCH(B225,Teknikere,0))))),"Mangler rollen "&amp;INDEX(AktRolle,MATCH(C225,Aktiviteter,0))&amp;"",IF(AND(C225="LMS",F225&gt;0,OR(D225="",E225="")),"Mangler maskin eller arbeid",IF(AND(OR(C225="LMS",C225="Mod"),D225&lt;&gt;""),IF(IFERROR(INDEX(MaskinStatus,MATCH(D225,Maskiner,0)),"")="I dokk","","Maskinen er ikke i dokk"),""))))))</f>
        <v/>
      </c>
      <c r="L225" s="2">
        <f>IF(B225="","",IFERROR(INT((MATCH(B225,Teknikere,0)-1)/18)+1,""))</f>
        <v/>
      </c>
      <c r="M225" s="2">
        <f>IF(OR(A225="",B225=""),"",B225&amp;"|"&amp;A225)</f>
        <v/>
      </c>
      <c r="N225" s="2">
        <f>IF(M225="","",SUMIFS(TF_Timer,TF_Nokkel,M225,TF_Akt,C225))</f>
        <v/>
      </c>
      <c r="O225" s="2">
        <f>IF(M225="","",IF(AND(N225=_xlfn.MAXIFS(TF_AktSum,TF_Nokkel,M225),COUNTIFS(M$3:M224,M225,N$3:N224,N225)=0),M225,""))</f>
        <v/>
      </c>
    </row>
    <row r="226">
      <c r="A226" s="34" t="n"/>
      <c r="B226" s="35" t="n"/>
      <c r="C226" s="35" t="n"/>
      <c r="D226" s="35" t="n"/>
      <c r="E226" s="35" t="n"/>
      <c r="F226" s="36" t="n"/>
      <c r="G226" s="35" t="n"/>
      <c r="H226" s="30">
        <f>IF(L226="","",INDEX(SkiftNavn,L226))</f>
        <v/>
      </c>
      <c r="I226" s="30">
        <f>IF(OR(A226="",L226=""),"",IF(MOD(A226-INDEX(SkiftStart,L226),Syklus)&lt;DagK,"Kveld",IF(MOD(A226-INDEX(SkiftStart,L226),Syklus)&lt;DagK+DagH,"Helg",IF(MOD(A226-INDEX(SkiftStart,L226),Syklus)&lt;DagK+DagH+DagD,"Dag","Fri"))))</f>
        <v/>
      </c>
      <c r="J226" s="30">
        <f>IF(I226="Fri","Ja","")</f>
        <v/>
      </c>
      <c r="K226" s="30">
        <f>IF(B226="","",IF(L226="","Ukjent tekniker",IF(ISNA(MATCH(C226,Aktiviteter,0)),"Ukjent aktivitet",IF(AND(INDEX(AktRolle,MATCH(C226,Aktiviteter,0))&amp;""&lt;&gt;"",ISERROR(SEARCH(INDEX(AktRolle,MATCH(C226,Aktiviteter,0))&amp;"",INDEX(TekRoller,MATCH(B226,Teknikere,0))))),"Mangler rollen "&amp;INDEX(AktRolle,MATCH(C226,Aktiviteter,0))&amp;"",IF(AND(C226="LMS",F226&gt;0,OR(D226="",E226="")),"Mangler maskin eller arbeid",IF(AND(OR(C226="LMS",C226="Mod"),D226&lt;&gt;""),IF(IFERROR(INDEX(MaskinStatus,MATCH(D226,Maskiner,0)),"")="I dokk","","Maskinen er ikke i dokk"),""))))))</f>
        <v/>
      </c>
      <c r="L226" s="2">
        <f>IF(B226="","",IFERROR(INT((MATCH(B226,Teknikere,0)-1)/18)+1,""))</f>
        <v/>
      </c>
      <c r="M226" s="2">
        <f>IF(OR(A226="",B226=""),"",B226&amp;"|"&amp;A226)</f>
        <v/>
      </c>
      <c r="N226" s="2">
        <f>IF(M226="","",SUMIFS(TF_Timer,TF_Nokkel,M226,TF_Akt,C226))</f>
        <v/>
      </c>
      <c r="O226" s="2">
        <f>IF(M226="","",IF(AND(N226=_xlfn.MAXIFS(TF_AktSum,TF_Nokkel,M226),COUNTIFS(M$3:M225,M226,N$3:N225,N226)=0),M226,""))</f>
        <v/>
      </c>
    </row>
    <row r="227">
      <c r="A227" s="34" t="n"/>
      <c r="B227" s="35" t="n"/>
      <c r="C227" s="35" t="n"/>
      <c r="D227" s="35" t="n"/>
      <c r="E227" s="35" t="n"/>
      <c r="F227" s="36" t="n"/>
      <c r="G227" s="35" t="n"/>
      <c r="H227" s="30">
        <f>IF(L227="","",INDEX(SkiftNavn,L227))</f>
        <v/>
      </c>
      <c r="I227" s="30">
        <f>IF(OR(A227="",L227=""),"",IF(MOD(A227-INDEX(SkiftStart,L227),Syklus)&lt;DagK,"Kveld",IF(MOD(A227-INDEX(SkiftStart,L227),Syklus)&lt;DagK+DagH,"Helg",IF(MOD(A227-INDEX(SkiftStart,L227),Syklus)&lt;DagK+DagH+DagD,"Dag","Fri"))))</f>
        <v/>
      </c>
      <c r="J227" s="30">
        <f>IF(I227="Fri","Ja","")</f>
        <v/>
      </c>
      <c r="K227" s="30">
        <f>IF(B227="","",IF(L227="","Ukjent tekniker",IF(ISNA(MATCH(C227,Aktiviteter,0)),"Ukjent aktivitet",IF(AND(INDEX(AktRolle,MATCH(C227,Aktiviteter,0))&amp;""&lt;&gt;"",ISERROR(SEARCH(INDEX(AktRolle,MATCH(C227,Aktiviteter,0))&amp;"",INDEX(TekRoller,MATCH(B227,Teknikere,0))))),"Mangler rollen "&amp;INDEX(AktRolle,MATCH(C227,Aktiviteter,0))&amp;"",IF(AND(C227="LMS",F227&gt;0,OR(D227="",E227="")),"Mangler maskin eller arbeid",IF(AND(OR(C227="LMS",C227="Mod"),D227&lt;&gt;""),IF(IFERROR(INDEX(MaskinStatus,MATCH(D227,Maskiner,0)),"")="I dokk","","Maskinen er ikke i dokk"),""))))))</f>
        <v/>
      </c>
      <c r="L227" s="2">
        <f>IF(B227="","",IFERROR(INT((MATCH(B227,Teknikere,0)-1)/18)+1,""))</f>
        <v/>
      </c>
      <c r="M227" s="2">
        <f>IF(OR(A227="",B227=""),"",B227&amp;"|"&amp;A227)</f>
        <v/>
      </c>
      <c r="N227" s="2">
        <f>IF(M227="","",SUMIFS(TF_Timer,TF_Nokkel,M227,TF_Akt,C227))</f>
        <v/>
      </c>
      <c r="O227" s="2">
        <f>IF(M227="","",IF(AND(N227=_xlfn.MAXIFS(TF_AktSum,TF_Nokkel,M227),COUNTIFS(M$3:M226,M227,N$3:N226,N227)=0),M227,""))</f>
        <v/>
      </c>
    </row>
    <row r="228">
      <c r="A228" s="34" t="n"/>
      <c r="B228" s="35" t="n"/>
      <c r="C228" s="35" t="n"/>
      <c r="D228" s="35" t="n"/>
      <c r="E228" s="35" t="n"/>
      <c r="F228" s="36" t="n"/>
      <c r="G228" s="35" t="n"/>
      <c r="H228" s="30">
        <f>IF(L228="","",INDEX(SkiftNavn,L228))</f>
        <v/>
      </c>
      <c r="I228" s="30">
        <f>IF(OR(A228="",L228=""),"",IF(MOD(A228-INDEX(SkiftStart,L228),Syklus)&lt;DagK,"Kveld",IF(MOD(A228-INDEX(SkiftStart,L228),Syklus)&lt;DagK+DagH,"Helg",IF(MOD(A228-INDEX(SkiftStart,L228),Syklus)&lt;DagK+DagH+DagD,"Dag","Fri"))))</f>
        <v/>
      </c>
      <c r="J228" s="30">
        <f>IF(I228="Fri","Ja","")</f>
        <v/>
      </c>
      <c r="K228" s="30">
        <f>IF(B228="","",IF(L228="","Ukjent tekniker",IF(ISNA(MATCH(C228,Aktiviteter,0)),"Ukjent aktivitet",IF(AND(INDEX(AktRolle,MATCH(C228,Aktiviteter,0))&amp;""&lt;&gt;"",ISERROR(SEARCH(INDEX(AktRolle,MATCH(C228,Aktiviteter,0))&amp;"",INDEX(TekRoller,MATCH(B228,Teknikere,0))))),"Mangler rollen "&amp;INDEX(AktRolle,MATCH(C228,Aktiviteter,0))&amp;"",IF(AND(C228="LMS",F228&gt;0,OR(D228="",E228="")),"Mangler maskin eller arbeid",IF(AND(OR(C228="LMS",C228="Mod"),D228&lt;&gt;""),IF(IFERROR(INDEX(MaskinStatus,MATCH(D228,Maskiner,0)),"")="I dokk","","Maskinen er ikke i dokk"),""))))))</f>
        <v/>
      </c>
      <c r="L228" s="2">
        <f>IF(B228="","",IFERROR(INT((MATCH(B228,Teknikere,0)-1)/18)+1,""))</f>
        <v/>
      </c>
      <c r="M228" s="2">
        <f>IF(OR(A228="",B228=""),"",B228&amp;"|"&amp;A228)</f>
        <v/>
      </c>
      <c r="N228" s="2">
        <f>IF(M228="","",SUMIFS(TF_Timer,TF_Nokkel,M228,TF_Akt,C228))</f>
        <v/>
      </c>
      <c r="O228" s="2">
        <f>IF(M228="","",IF(AND(N228=_xlfn.MAXIFS(TF_AktSum,TF_Nokkel,M228),COUNTIFS(M$3:M227,M228,N$3:N227,N228)=0),M228,""))</f>
        <v/>
      </c>
    </row>
    <row r="229">
      <c r="A229" s="34" t="n"/>
      <c r="B229" s="35" t="n"/>
      <c r="C229" s="35" t="n"/>
      <c r="D229" s="35" t="n"/>
      <c r="E229" s="35" t="n"/>
      <c r="F229" s="36" t="n"/>
      <c r="G229" s="35" t="n"/>
      <c r="H229" s="30">
        <f>IF(L229="","",INDEX(SkiftNavn,L229))</f>
        <v/>
      </c>
      <c r="I229" s="30">
        <f>IF(OR(A229="",L229=""),"",IF(MOD(A229-INDEX(SkiftStart,L229),Syklus)&lt;DagK,"Kveld",IF(MOD(A229-INDEX(SkiftStart,L229),Syklus)&lt;DagK+DagH,"Helg",IF(MOD(A229-INDEX(SkiftStart,L229),Syklus)&lt;DagK+DagH+DagD,"Dag","Fri"))))</f>
        <v/>
      </c>
      <c r="J229" s="30">
        <f>IF(I229="Fri","Ja","")</f>
        <v/>
      </c>
      <c r="K229" s="30">
        <f>IF(B229="","",IF(L229="","Ukjent tekniker",IF(ISNA(MATCH(C229,Aktiviteter,0)),"Ukjent aktivitet",IF(AND(INDEX(AktRolle,MATCH(C229,Aktiviteter,0))&amp;""&lt;&gt;"",ISERROR(SEARCH(INDEX(AktRolle,MATCH(C229,Aktiviteter,0))&amp;"",INDEX(TekRoller,MATCH(B229,Teknikere,0))))),"Mangler rollen "&amp;INDEX(AktRolle,MATCH(C229,Aktiviteter,0))&amp;"",IF(AND(C229="LMS",F229&gt;0,OR(D229="",E229="")),"Mangler maskin eller arbeid",IF(AND(OR(C229="LMS",C229="Mod"),D229&lt;&gt;""),IF(IFERROR(INDEX(MaskinStatus,MATCH(D229,Maskiner,0)),"")="I dokk","","Maskinen er ikke i dokk"),""))))))</f>
        <v/>
      </c>
      <c r="L229" s="2">
        <f>IF(B229="","",IFERROR(INT((MATCH(B229,Teknikere,0)-1)/18)+1,""))</f>
        <v/>
      </c>
      <c r="M229" s="2">
        <f>IF(OR(A229="",B229=""),"",B229&amp;"|"&amp;A229)</f>
        <v/>
      </c>
      <c r="N229" s="2">
        <f>IF(M229="","",SUMIFS(TF_Timer,TF_Nokkel,M229,TF_Akt,C229))</f>
        <v/>
      </c>
      <c r="O229" s="2">
        <f>IF(M229="","",IF(AND(N229=_xlfn.MAXIFS(TF_AktSum,TF_Nokkel,M229),COUNTIFS(M$3:M228,M229,N$3:N228,N229)=0),M229,""))</f>
        <v/>
      </c>
    </row>
    <row r="230">
      <c r="A230" s="34" t="n"/>
      <c r="B230" s="35" t="n"/>
      <c r="C230" s="35" t="n"/>
      <c r="D230" s="35" t="n"/>
      <c r="E230" s="35" t="n"/>
      <c r="F230" s="36" t="n"/>
      <c r="G230" s="35" t="n"/>
      <c r="H230" s="30">
        <f>IF(L230="","",INDEX(SkiftNavn,L230))</f>
        <v/>
      </c>
      <c r="I230" s="30">
        <f>IF(OR(A230="",L230=""),"",IF(MOD(A230-INDEX(SkiftStart,L230),Syklus)&lt;DagK,"Kveld",IF(MOD(A230-INDEX(SkiftStart,L230),Syklus)&lt;DagK+DagH,"Helg",IF(MOD(A230-INDEX(SkiftStart,L230),Syklus)&lt;DagK+DagH+DagD,"Dag","Fri"))))</f>
        <v/>
      </c>
      <c r="J230" s="30">
        <f>IF(I230="Fri","Ja","")</f>
        <v/>
      </c>
      <c r="K230" s="30">
        <f>IF(B230="","",IF(L230="","Ukjent tekniker",IF(ISNA(MATCH(C230,Aktiviteter,0)),"Ukjent aktivitet",IF(AND(INDEX(AktRolle,MATCH(C230,Aktiviteter,0))&amp;""&lt;&gt;"",ISERROR(SEARCH(INDEX(AktRolle,MATCH(C230,Aktiviteter,0))&amp;"",INDEX(TekRoller,MATCH(B230,Teknikere,0))))),"Mangler rollen "&amp;INDEX(AktRolle,MATCH(C230,Aktiviteter,0))&amp;"",IF(AND(C230="LMS",F230&gt;0,OR(D230="",E230="")),"Mangler maskin eller arbeid",IF(AND(OR(C230="LMS",C230="Mod"),D230&lt;&gt;""),IF(IFERROR(INDEX(MaskinStatus,MATCH(D230,Maskiner,0)),"")="I dokk","","Maskinen er ikke i dokk"),""))))))</f>
        <v/>
      </c>
      <c r="L230" s="2">
        <f>IF(B230="","",IFERROR(INT((MATCH(B230,Teknikere,0)-1)/18)+1,""))</f>
        <v/>
      </c>
      <c r="M230" s="2">
        <f>IF(OR(A230="",B230=""),"",B230&amp;"|"&amp;A230)</f>
        <v/>
      </c>
      <c r="N230" s="2">
        <f>IF(M230="","",SUMIFS(TF_Timer,TF_Nokkel,M230,TF_Akt,C230))</f>
        <v/>
      </c>
      <c r="O230" s="2">
        <f>IF(M230="","",IF(AND(N230=_xlfn.MAXIFS(TF_AktSum,TF_Nokkel,M230),COUNTIFS(M$3:M229,M230,N$3:N229,N230)=0),M230,""))</f>
        <v/>
      </c>
    </row>
    <row r="231">
      <c r="A231" s="34" t="n"/>
      <c r="B231" s="35" t="n"/>
      <c r="C231" s="35" t="n"/>
      <c r="D231" s="35" t="n"/>
      <c r="E231" s="35" t="n"/>
      <c r="F231" s="36" t="n"/>
      <c r="G231" s="35" t="n"/>
      <c r="H231" s="30">
        <f>IF(L231="","",INDEX(SkiftNavn,L231))</f>
        <v/>
      </c>
      <c r="I231" s="30">
        <f>IF(OR(A231="",L231=""),"",IF(MOD(A231-INDEX(SkiftStart,L231),Syklus)&lt;DagK,"Kveld",IF(MOD(A231-INDEX(SkiftStart,L231),Syklus)&lt;DagK+DagH,"Helg",IF(MOD(A231-INDEX(SkiftStart,L231),Syklus)&lt;DagK+DagH+DagD,"Dag","Fri"))))</f>
        <v/>
      </c>
      <c r="J231" s="30">
        <f>IF(I231="Fri","Ja","")</f>
        <v/>
      </c>
      <c r="K231" s="30">
        <f>IF(B231="","",IF(L231="","Ukjent tekniker",IF(ISNA(MATCH(C231,Aktiviteter,0)),"Ukjent aktivitet",IF(AND(INDEX(AktRolle,MATCH(C231,Aktiviteter,0))&amp;""&lt;&gt;"",ISERROR(SEARCH(INDEX(AktRolle,MATCH(C231,Aktiviteter,0))&amp;"",INDEX(TekRoller,MATCH(B231,Teknikere,0))))),"Mangler rollen "&amp;INDEX(AktRolle,MATCH(C231,Aktiviteter,0))&amp;"",IF(AND(C231="LMS",F231&gt;0,OR(D231="",E231="")),"Mangler maskin eller arbeid",IF(AND(OR(C231="LMS",C231="Mod"),D231&lt;&gt;""),IF(IFERROR(INDEX(MaskinStatus,MATCH(D231,Maskiner,0)),"")="I dokk","","Maskinen er ikke i dokk"),""))))))</f>
        <v/>
      </c>
      <c r="L231" s="2">
        <f>IF(B231="","",IFERROR(INT((MATCH(B231,Teknikere,0)-1)/18)+1,""))</f>
        <v/>
      </c>
      <c r="M231" s="2">
        <f>IF(OR(A231="",B231=""),"",B231&amp;"|"&amp;A231)</f>
        <v/>
      </c>
      <c r="N231" s="2">
        <f>IF(M231="","",SUMIFS(TF_Timer,TF_Nokkel,M231,TF_Akt,C231))</f>
        <v/>
      </c>
      <c r="O231" s="2">
        <f>IF(M231="","",IF(AND(N231=_xlfn.MAXIFS(TF_AktSum,TF_Nokkel,M231),COUNTIFS(M$3:M230,M231,N$3:N230,N231)=0),M231,""))</f>
        <v/>
      </c>
    </row>
    <row r="232">
      <c r="A232" s="34" t="n"/>
      <c r="B232" s="35" t="n"/>
      <c r="C232" s="35" t="n"/>
      <c r="D232" s="35" t="n"/>
      <c r="E232" s="35" t="n"/>
      <c r="F232" s="36" t="n"/>
      <c r="G232" s="35" t="n"/>
      <c r="H232" s="30">
        <f>IF(L232="","",INDEX(SkiftNavn,L232))</f>
        <v/>
      </c>
      <c r="I232" s="30">
        <f>IF(OR(A232="",L232=""),"",IF(MOD(A232-INDEX(SkiftStart,L232),Syklus)&lt;DagK,"Kveld",IF(MOD(A232-INDEX(SkiftStart,L232),Syklus)&lt;DagK+DagH,"Helg",IF(MOD(A232-INDEX(SkiftStart,L232),Syklus)&lt;DagK+DagH+DagD,"Dag","Fri"))))</f>
        <v/>
      </c>
      <c r="J232" s="30">
        <f>IF(I232="Fri","Ja","")</f>
        <v/>
      </c>
      <c r="K232" s="30">
        <f>IF(B232="","",IF(L232="","Ukjent tekniker",IF(ISNA(MATCH(C232,Aktiviteter,0)),"Ukjent aktivitet",IF(AND(INDEX(AktRolle,MATCH(C232,Aktiviteter,0))&amp;""&lt;&gt;"",ISERROR(SEARCH(INDEX(AktRolle,MATCH(C232,Aktiviteter,0))&amp;"",INDEX(TekRoller,MATCH(B232,Teknikere,0))))),"Mangler rollen "&amp;INDEX(AktRolle,MATCH(C232,Aktiviteter,0))&amp;"",IF(AND(C232="LMS",F232&gt;0,OR(D232="",E232="")),"Mangler maskin eller arbeid",IF(AND(OR(C232="LMS",C232="Mod"),D232&lt;&gt;""),IF(IFERROR(INDEX(MaskinStatus,MATCH(D232,Maskiner,0)),"")="I dokk","","Maskinen er ikke i dokk"),""))))))</f>
        <v/>
      </c>
      <c r="L232" s="2">
        <f>IF(B232="","",IFERROR(INT((MATCH(B232,Teknikere,0)-1)/18)+1,""))</f>
        <v/>
      </c>
      <c r="M232" s="2">
        <f>IF(OR(A232="",B232=""),"",B232&amp;"|"&amp;A232)</f>
        <v/>
      </c>
      <c r="N232" s="2">
        <f>IF(M232="","",SUMIFS(TF_Timer,TF_Nokkel,M232,TF_Akt,C232))</f>
        <v/>
      </c>
      <c r="O232" s="2">
        <f>IF(M232="","",IF(AND(N232=_xlfn.MAXIFS(TF_AktSum,TF_Nokkel,M232),COUNTIFS(M$3:M231,M232,N$3:N231,N232)=0),M232,""))</f>
        <v/>
      </c>
    </row>
    <row r="233">
      <c r="A233" s="34" t="n"/>
      <c r="B233" s="35" t="n"/>
      <c r="C233" s="35" t="n"/>
      <c r="D233" s="35" t="n"/>
      <c r="E233" s="35" t="n"/>
      <c r="F233" s="36" t="n"/>
      <c r="G233" s="35" t="n"/>
      <c r="H233" s="30">
        <f>IF(L233="","",INDEX(SkiftNavn,L233))</f>
        <v/>
      </c>
      <c r="I233" s="30">
        <f>IF(OR(A233="",L233=""),"",IF(MOD(A233-INDEX(SkiftStart,L233),Syklus)&lt;DagK,"Kveld",IF(MOD(A233-INDEX(SkiftStart,L233),Syklus)&lt;DagK+DagH,"Helg",IF(MOD(A233-INDEX(SkiftStart,L233),Syklus)&lt;DagK+DagH+DagD,"Dag","Fri"))))</f>
        <v/>
      </c>
      <c r="J233" s="30">
        <f>IF(I233="Fri","Ja","")</f>
        <v/>
      </c>
      <c r="K233" s="30">
        <f>IF(B233="","",IF(L233="","Ukjent tekniker",IF(ISNA(MATCH(C233,Aktiviteter,0)),"Ukjent aktivitet",IF(AND(INDEX(AktRolle,MATCH(C233,Aktiviteter,0))&amp;""&lt;&gt;"",ISERROR(SEARCH(INDEX(AktRolle,MATCH(C233,Aktiviteter,0))&amp;"",INDEX(TekRoller,MATCH(B233,Teknikere,0))))),"Mangler rollen "&amp;INDEX(AktRolle,MATCH(C233,Aktiviteter,0))&amp;"",IF(AND(C233="LMS",F233&gt;0,OR(D233="",E233="")),"Mangler maskin eller arbeid",IF(AND(OR(C233="LMS",C233="Mod"),D233&lt;&gt;""),IF(IFERROR(INDEX(MaskinStatus,MATCH(D233,Maskiner,0)),"")="I dokk","","Maskinen er ikke i dokk"),""))))))</f>
        <v/>
      </c>
      <c r="L233" s="2">
        <f>IF(B233="","",IFERROR(INT((MATCH(B233,Teknikere,0)-1)/18)+1,""))</f>
        <v/>
      </c>
      <c r="M233" s="2">
        <f>IF(OR(A233="",B233=""),"",B233&amp;"|"&amp;A233)</f>
        <v/>
      </c>
      <c r="N233" s="2">
        <f>IF(M233="","",SUMIFS(TF_Timer,TF_Nokkel,M233,TF_Akt,C233))</f>
        <v/>
      </c>
      <c r="O233" s="2">
        <f>IF(M233="","",IF(AND(N233=_xlfn.MAXIFS(TF_AktSum,TF_Nokkel,M233),COUNTIFS(M$3:M232,M233,N$3:N232,N233)=0),M233,""))</f>
        <v/>
      </c>
    </row>
    <row r="234">
      <c r="A234" s="34" t="n"/>
      <c r="B234" s="35" t="n"/>
      <c r="C234" s="35" t="n"/>
      <c r="D234" s="35" t="n"/>
      <c r="E234" s="35" t="n"/>
      <c r="F234" s="36" t="n"/>
      <c r="G234" s="35" t="n"/>
      <c r="H234" s="30">
        <f>IF(L234="","",INDEX(SkiftNavn,L234))</f>
        <v/>
      </c>
      <c r="I234" s="30">
        <f>IF(OR(A234="",L234=""),"",IF(MOD(A234-INDEX(SkiftStart,L234),Syklus)&lt;DagK,"Kveld",IF(MOD(A234-INDEX(SkiftStart,L234),Syklus)&lt;DagK+DagH,"Helg",IF(MOD(A234-INDEX(SkiftStart,L234),Syklus)&lt;DagK+DagH+DagD,"Dag","Fri"))))</f>
        <v/>
      </c>
      <c r="J234" s="30">
        <f>IF(I234="Fri","Ja","")</f>
        <v/>
      </c>
      <c r="K234" s="30">
        <f>IF(B234="","",IF(L234="","Ukjent tekniker",IF(ISNA(MATCH(C234,Aktiviteter,0)),"Ukjent aktivitet",IF(AND(INDEX(AktRolle,MATCH(C234,Aktiviteter,0))&amp;""&lt;&gt;"",ISERROR(SEARCH(INDEX(AktRolle,MATCH(C234,Aktiviteter,0))&amp;"",INDEX(TekRoller,MATCH(B234,Teknikere,0))))),"Mangler rollen "&amp;INDEX(AktRolle,MATCH(C234,Aktiviteter,0))&amp;"",IF(AND(C234="LMS",F234&gt;0,OR(D234="",E234="")),"Mangler maskin eller arbeid",IF(AND(OR(C234="LMS",C234="Mod"),D234&lt;&gt;""),IF(IFERROR(INDEX(MaskinStatus,MATCH(D234,Maskiner,0)),"")="I dokk","","Maskinen er ikke i dokk"),""))))))</f>
        <v/>
      </c>
      <c r="L234" s="2">
        <f>IF(B234="","",IFERROR(INT((MATCH(B234,Teknikere,0)-1)/18)+1,""))</f>
        <v/>
      </c>
      <c r="M234" s="2">
        <f>IF(OR(A234="",B234=""),"",B234&amp;"|"&amp;A234)</f>
        <v/>
      </c>
      <c r="N234" s="2">
        <f>IF(M234="","",SUMIFS(TF_Timer,TF_Nokkel,M234,TF_Akt,C234))</f>
        <v/>
      </c>
      <c r="O234" s="2">
        <f>IF(M234="","",IF(AND(N234=_xlfn.MAXIFS(TF_AktSum,TF_Nokkel,M234),COUNTIFS(M$3:M233,M234,N$3:N233,N234)=0),M234,""))</f>
        <v/>
      </c>
    </row>
    <row r="235">
      <c r="A235" s="34" t="n"/>
      <c r="B235" s="35" t="n"/>
      <c r="C235" s="35" t="n"/>
      <c r="D235" s="35" t="n"/>
      <c r="E235" s="35" t="n"/>
      <c r="F235" s="36" t="n"/>
      <c r="G235" s="35" t="n"/>
      <c r="H235" s="30">
        <f>IF(L235="","",INDEX(SkiftNavn,L235))</f>
        <v/>
      </c>
      <c r="I235" s="30">
        <f>IF(OR(A235="",L235=""),"",IF(MOD(A235-INDEX(SkiftStart,L235),Syklus)&lt;DagK,"Kveld",IF(MOD(A235-INDEX(SkiftStart,L235),Syklus)&lt;DagK+DagH,"Helg",IF(MOD(A235-INDEX(SkiftStart,L235),Syklus)&lt;DagK+DagH+DagD,"Dag","Fri"))))</f>
        <v/>
      </c>
      <c r="J235" s="30">
        <f>IF(I235="Fri","Ja","")</f>
        <v/>
      </c>
      <c r="K235" s="30">
        <f>IF(B235="","",IF(L235="","Ukjent tekniker",IF(ISNA(MATCH(C235,Aktiviteter,0)),"Ukjent aktivitet",IF(AND(INDEX(AktRolle,MATCH(C235,Aktiviteter,0))&amp;""&lt;&gt;"",ISERROR(SEARCH(INDEX(AktRolle,MATCH(C235,Aktiviteter,0))&amp;"",INDEX(TekRoller,MATCH(B235,Teknikere,0))))),"Mangler rollen "&amp;INDEX(AktRolle,MATCH(C235,Aktiviteter,0))&amp;"",IF(AND(C235="LMS",F235&gt;0,OR(D235="",E235="")),"Mangler maskin eller arbeid",IF(AND(OR(C235="LMS",C235="Mod"),D235&lt;&gt;""),IF(IFERROR(INDEX(MaskinStatus,MATCH(D235,Maskiner,0)),"")="I dokk","","Maskinen er ikke i dokk"),""))))))</f>
        <v/>
      </c>
      <c r="L235" s="2">
        <f>IF(B235="","",IFERROR(INT((MATCH(B235,Teknikere,0)-1)/18)+1,""))</f>
        <v/>
      </c>
      <c r="M235" s="2">
        <f>IF(OR(A235="",B235=""),"",B235&amp;"|"&amp;A235)</f>
        <v/>
      </c>
      <c r="N235" s="2">
        <f>IF(M235="","",SUMIFS(TF_Timer,TF_Nokkel,M235,TF_Akt,C235))</f>
        <v/>
      </c>
      <c r="O235" s="2">
        <f>IF(M235="","",IF(AND(N235=_xlfn.MAXIFS(TF_AktSum,TF_Nokkel,M235),COUNTIFS(M$3:M234,M235,N$3:N234,N235)=0),M235,""))</f>
        <v/>
      </c>
    </row>
    <row r="236">
      <c r="A236" s="34" t="n"/>
      <c r="B236" s="35" t="n"/>
      <c r="C236" s="35" t="n"/>
      <c r="D236" s="35" t="n"/>
      <c r="E236" s="35" t="n"/>
      <c r="F236" s="36" t="n"/>
      <c r="G236" s="35" t="n"/>
      <c r="H236" s="30">
        <f>IF(L236="","",INDEX(SkiftNavn,L236))</f>
        <v/>
      </c>
      <c r="I236" s="30">
        <f>IF(OR(A236="",L236=""),"",IF(MOD(A236-INDEX(SkiftStart,L236),Syklus)&lt;DagK,"Kveld",IF(MOD(A236-INDEX(SkiftStart,L236),Syklus)&lt;DagK+DagH,"Helg",IF(MOD(A236-INDEX(SkiftStart,L236),Syklus)&lt;DagK+DagH+DagD,"Dag","Fri"))))</f>
        <v/>
      </c>
      <c r="J236" s="30">
        <f>IF(I236="Fri","Ja","")</f>
        <v/>
      </c>
      <c r="K236" s="30">
        <f>IF(B236="","",IF(L236="","Ukjent tekniker",IF(ISNA(MATCH(C236,Aktiviteter,0)),"Ukjent aktivitet",IF(AND(INDEX(AktRolle,MATCH(C236,Aktiviteter,0))&amp;""&lt;&gt;"",ISERROR(SEARCH(INDEX(AktRolle,MATCH(C236,Aktiviteter,0))&amp;"",INDEX(TekRoller,MATCH(B236,Teknikere,0))))),"Mangler rollen "&amp;INDEX(AktRolle,MATCH(C236,Aktiviteter,0))&amp;"",IF(AND(C236="LMS",F236&gt;0,OR(D236="",E236="")),"Mangler maskin eller arbeid",IF(AND(OR(C236="LMS",C236="Mod"),D236&lt;&gt;""),IF(IFERROR(INDEX(MaskinStatus,MATCH(D236,Maskiner,0)),"")="I dokk","","Maskinen er ikke i dokk"),""))))))</f>
        <v/>
      </c>
      <c r="L236" s="2">
        <f>IF(B236="","",IFERROR(INT((MATCH(B236,Teknikere,0)-1)/18)+1,""))</f>
        <v/>
      </c>
      <c r="M236" s="2">
        <f>IF(OR(A236="",B236=""),"",B236&amp;"|"&amp;A236)</f>
        <v/>
      </c>
      <c r="N236" s="2">
        <f>IF(M236="","",SUMIFS(TF_Timer,TF_Nokkel,M236,TF_Akt,C236))</f>
        <v/>
      </c>
      <c r="O236" s="2">
        <f>IF(M236="","",IF(AND(N236=_xlfn.MAXIFS(TF_AktSum,TF_Nokkel,M236),COUNTIFS(M$3:M235,M236,N$3:N235,N236)=0),M236,""))</f>
        <v/>
      </c>
    </row>
    <row r="237">
      <c r="A237" s="34" t="n"/>
      <c r="B237" s="35" t="n"/>
      <c r="C237" s="35" t="n"/>
      <c r="D237" s="35" t="n"/>
      <c r="E237" s="35" t="n"/>
      <c r="F237" s="36" t="n"/>
      <c r="G237" s="35" t="n"/>
      <c r="H237" s="30">
        <f>IF(L237="","",INDEX(SkiftNavn,L237))</f>
        <v/>
      </c>
      <c r="I237" s="30">
        <f>IF(OR(A237="",L237=""),"",IF(MOD(A237-INDEX(SkiftStart,L237),Syklus)&lt;DagK,"Kveld",IF(MOD(A237-INDEX(SkiftStart,L237),Syklus)&lt;DagK+DagH,"Helg",IF(MOD(A237-INDEX(SkiftStart,L237),Syklus)&lt;DagK+DagH+DagD,"Dag","Fri"))))</f>
        <v/>
      </c>
      <c r="J237" s="30">
        <f>IF(I237="Fri","Ja","")</f>
        <v/>
      </c>
      <c r="K237" s="30">
        <f>IF(B237="","",IF(L237="","Ukjent tekniker",IF(ISNA(MATCH(C237,Aktiviteter,0)),"Ukjent aktivitet",IF(AND(INDEX(AktRolle,MATCH(C237,Aktiviteter,0))&amp;""&lt;&gt;"",ISERROR(SEARCH(INDEX(AktRolle,MATCH(C237,Aktiviteter,0))&amp;"",INDEX(TekRoller,MATCH(B237,Teknikere,0))))),"Mangler rollen "&amp;INDEX(AktRolle,MATCH(C237,Aktiviteter,0))&amp;"",IF(AND(C237="LMS",F237&gt;0,OR(D237="",E237="")),"Mangler maskin eller arbeid",IF(AND(OR(C237="LMS",C237="Mod"),D237&lt;&gt;""),IF(IFERROR(INDEX(MaskinStatus,MATCH(D237,Maskiner,0)),"")="I dokk","","Maskinen er ikke i dokk"),""))))))</f>
        <v/>
      </c>
      <c r="L237" s="2">
        <f>IF(B237="","",IFERROR(INT((MATCH(B237,Teknikere,0)-1)/18)+1,""))</f>
        <v/>
      </c>
      <c r="M237" s="2">
        <f>IF(OR(A237="",B237=""),"",B237&amp;"|"&amp;A237)</f>
        <v/>
      </c>
      <c r="N237" s="2">
        <f>IF(M237="","",SUMIFS(TF_Timer,TF_Nokkel,M237,TF_Akt,C237))</f>
        <v/>
      </c>
      <c r="O237" s="2">
        <f>IF(M237="","",IF(AND(N237=_xlfn.MAXIFS(TF_AktSum,TF_Nokkel,M237),COUNTIFS(M$3:M236,M237,N$3:N236,N237)=0),M237,""))</f>
        <v/>
      </c>
    </row>
    <row r="238">
      <c r="A238" s="34" t="n"/>
      <c r="B238" s="35" t="n"/>
      <c r="C238" s="35" t="n"/>
      <c r="D238" s="35" t="n"/>
      <c r="E238" s="35" t="n"/>
      <c r="F238" s="36" t="n"/>
      <c r="G238" s="35" t="n"/>
      <c r="H238" s="30">
        <f>IF(L238="","",INDEX(SkiftNavn,L238))</f>
        <v/>
      </c>
      <c r="I238" s="30">
        <f>IF(OR(A238="",L238=""),"",IF(MOD(A238-INDEX(SkiftStart,L238),Syklus)&lt;DagK,"Kveld",IF(MOD(A238-INDEX(SkiftStart,L238),Syklus)&lt;DagK+DagH,"Helg",IF(MOD(A238-INDEX(SkiftStart,L238),Syklus)&lt;DagK+DagH+DagD,"Dag","Fri"))))</f>
        <v/>
      </c>
      <c r="J238" s="30">
        <f>IF(I238="Fri","Ja","")</f>
        <v/>
      </c>
      <c r="K238" s="30">
        <f>IF(B238="","",IF(L238="","Ukjent tekniker",IF(ISNA(MATCH(C238,Aktiviteter,0)),"Ukjent aktivitet",IF(AND(INDEX(AktRolle,MATCH(C238,Aktiviteter,0))&amp;""&lt;&gt;"",ISERROR(SEARCH(INDEX(AktRolle,MATCH(C238,Aktiviteter,0))&amp;"",INDEX(TekRoller,MATCH(B238,Teknikere,0))))),"Mangler rollen "&amp;INDEX(AktRolle,MATCH(C238,Aktiviteter,0))&amp;"",IF(AND(C238="LMS",F238&gt;0,OR(D238="",E238="")),"Mangler maskin eller arbeid",IF(AND(OR(C238="LMS",C238="Mod"),D238&lt;&gt;""),IF(IFERROR(INDEX(MaskinStatus,MATCH(D238,Maskiner,0)),"")="I dokk","","Maskinen er ikke i dokk"),""))))))</f>
        <v/>
      </c>
      <c r="L238" s="2">
        <f>IF(B238="","",IFERROR(INT((MATCH(B238,Teknikere,0)-1)/18)+1,""))</f>
        <v/>
      </c>
      <c r="M238" s="2">
        <f>IF(OR(A238="",B238=""),"",B238&amp;"|"&amp;A238)</f>
        <v/>
      </c>
      <c r="N238" s="2">
        <f>IF(M238="","",SUMIFS(TF_Timer,TF_Nokkel,M238,TF_Akt,C238))</f>
        <v/>
      </c>
      <c r="O238" s="2">
        <f>IF(M238="","",IF(AND(N238=_xlfn.MAXIFS(TF_AktSum,TF_Nokkel,M238),COUNTIFS(M$3:M237,M238,N$3:N237,N238)=0),M238,""))</f>
        <v/>
      </c>
    </row>
    <row r="239">
      <c r="A239" s="34" t="n"/>
      <c r="B239" s="35" t="n"/>
      <c r="C239" s="35" t="n"/>
      <c r="D239" s="35" t="n"/>
      <c r="E239" s="35" t="n"/>
      <c r="F239" s="36" t="n"/>
      <c r="G239" s="35" t="n"/>
      <c r="H239" s="30">
        <f>IF(L239="","",INDEX(SkiftNavn,L239))</f>
        <v/>
      </c>
      <c r="I239" s="30">
        <f>IF(OR(A239="",L239=""),"",IF(MOD(A239-INDEX(SkiftStart,L239),Syklus)&lt;DagK,"Kveld",IF(MOD(A239-INDEX(SkiftStart,L239),Syklus)&lt;DagK+DagH,"Helg",IF(MOD(A239-INDEX(SkiftStart,L239),Syklus)&lt;DagK+DagH+DagD,"Dag","Fri"))))</f>
        <v/>
      </c>
      <c r="J239" s="30">
        <f>IF(I239="Fri","Ja","")</f>
        <v/>
      </c>
      <c r="K239" s="30">
        <f>IF(B239="","",IF(L239="","Ukjent tekniker",IF(ISNA(MATCH(C239,Aktiviteter,0)),"Ukjent aktivitet",IF(AND(INDEX(AktRolle,MATCH(C239,Aktiviteter,0))&amp;""&lt;&gt;"",ISERROR(SEARCH(INDEX(AktRolle,MATCH(C239,Aktiviteter,0))&amp;"",INDEX(TekRoller,MATCH(B239,Teknikere,0))))),"Mangler rollen "&amp;INDEX(AktRolle,MATCH(C239,Aktiviteter,0))&amp;"",IF(AND(C239="LMS",F239&gt;0,OR(D239="",E239="")),"Mangler maskin eller arbeid",IF(AND(OR(C239="LMS",C239="Mod"),D239&lt;&gt;""),IF(IFERROR(INDEX(MaskinStatus,MATCH(D239,Maskiner,0)),"")="I dokk","","Maskinen er ikke i dokk"),""))))))</f>
        <v/>
      </c>
      <c r="L239" s="2">
        <f>IF(B239="","",IFERROR(INT((MATCH(B239,Teknikere,0)-1)/18)+1,""))</f>
        <v/>
      </c>
      <c r="M239" s="2">
        <f>IF(OR(A239="",B239=""),"",B239&amp;"|"&amp;A239)</f>
        <v/>
      </c>
      <c r="N239" s="2">
        <f>IF(M239="","",SUMIFS(TF_Timer,TF_Nokkel,M239,TF_Akt,C239))</f>
        <v/>
      </c>
      <c r="O239" s="2">
        <f>IF(M239="","",IF(AND(N239=_xlfn.MAXIFS(TF_AktSum,TF_Nokkel,M239),COUNTIFS(M$3:M238,M239,N$3:N238,N239)=0),M239,""))</f>
        <v/>
      </c>
    </row>
    <row r="240">
      <c r="A240" s="34" t="n"/>
      <c r="B240" s="35" t="n"/>
      <c r="C240" s="35" t="n"/>
      <c r="D240" s="35" t="n"/>
      <c r="E240" s="35" t="n"/>
      <c r="F240" s="36" t="n"/>
      <c r="G240" s="35" t="n"/>
      <c r="H240" s="30">
        <f>IF(L240="","",INDEX(SkiftNavn,L240))</f>
        <v/>
      </c>
      <c r="I240" s="30">
        <f>IF(OR(A240="",L240=""),"",IF(MOD(A240-INDEX(SkiftStart,L240),Syklus)&lt;DagK,"Kveld",IF(MOD(A240-INDEX(SkiftStart,L240),Syklus)&lt;DagK+DagH,"Helg",IF(MOD(A240-INDEX(SkiftStart,L240),Syklus)&lt;DagK+DagH+DagD,"Dag","Fri"))))</f>
        <v/>
      </c>
      <c r="J240" s="30">
        <f>IF(I240="Fri","Ja","")</f>
        <v/>
      </c>
      <c r="K240" s="30">
        <f>IF(B240="","",IF(L240="","Ukjent tekniker",IF(ISNA(MATCH(C240,Aktiviteter,0)),"Ukjent aktivitet",IF(AND(INDEX(AktRolle,MATCH(C240,Aktiviteter,0))&amp;""&lt;&gt;"",ISERROR(SEARCH(INDEX(AktRolle,MATCH(C240,Aktiviteter,0))&amp;"",INDEX(TekRoller,MATCH(B240,Teknikere,0))))),"Mangler rollen "&amp;INDEX(AktRolle,MATCH(C240,Aktiviteter,0))&amp;"",IF(AND(C240="LMS",F240&gt;0,OR(D240="",E240="")),"Mangler maskin eller arbeid",IF(AND(OR(C240="LMS",C240="Mod"),D240&lt;&gt;""),IF(IFERROR(INDEX(MaskinStatus,MATCH(D240,Maskiner,0)),"")="I dokk","","Maskinen er ikke i dokk"),""))))))</f>
        <v/>
      </c>
      <c r="L240" s="2">
        <f>IF(B240="","",IFERROR(INT((MATCH(B240,Teknikere,0)-1)/18)+1,""))</f>
        <v/>
      </c>
      <c r="M240" s="2">
        <f>IF(OR(A240="",B240=""),"",B240&amp;"|"&amp;A240)</f>
        <v/>
      </c>
      <c r="N240" s="2">
        <f>IF(M240="","",SUMIFS(TF_Timer,TF_Nokkel,M240,TF_Akt,C240))</f>
        <v/>
      </c>
      <c r="O240" s="2">
        <f>IF(M240="","",IF(AND(N240=_xlfn.MAXIFS(TF_AktSum,TF_Nokkel,M240),COUNTIFS(M$3:M239,M240,N$3:N239,N240)=0),M240,""))</f>
        <v/>
      </c>
    </row>
    <row r="241">
      <c r="A241" s="34" t="n"/>
      <c r="B241" s="35" t="n"/>
      <c r="C241" s="35" t="n"/>
      <c r="D241" s="35" t="n"/>
      <c r="E241" s="35" t="n"/>
      <c r="F241" s="36" t="n"/>
      <c r="G241" s="35" t="n"/>
      <c r="H241" s="30">
        <f>IF(L241="","",INDEX(SkiftNavn,L241))</f>
        <v/>
      </c>
      <c r="I241" s="30">
        <f>IF(OR(A241="",L241=""),"",IF(MOD(A241-INDEX(SkiftStart,L241),Syklus)&lt;DagK,"Kveld",IF(MOD(A241-INDEX(SkiftStart,L241),Syklus)&lt;DagK+DagH,"Helg",IF(MOD(A241-INDEX(SkiftStart,L241),Syklus)&lt;DagK+DagH+DagD,"Dag","Fri"))))</f>
        <v/>
      </c>
      <c r="J241" s="30">
        <f>IF(I241="Fri","Ja","")</f>
        <v/>
      </c>
      <c r="K241" s="30">
        <f>IF(B241="","",IF(L241="","Ukjent tekniker",IF(ISNA(MATCH(C241,Aktiviteter,0)),"Ukjent aktivitet",IF(AND(INDEX(AktRolle,MATCH(C241,Aktiviteter,0))&amp;""&lt;&gt;"",ISERROR(SEARCH(INDEX(AktRolle,MATCH(C241,Aktiviteter,0))&amp;"",INDEX(TekRoller,MATCH(B241,Teknikere,0))))),"Mangler rollen "&amp;INDEX(AktRolle,MATCH(C241,Aktiviteter,0))&amp;"",IF(AND(C241="LMS",F241&gt;0,OR(D241="",E241="")),"Mangler maskin eller arbeid",IF(AND(OR(C241="LMS",C241="Mod"),D241&lt;&gt;""),IF(IFERROR(INDEX(MaskinStatus,MATCH(D241,Maskiner,0)),"")="I dokk","","Maskinen er ikke i dokk"),""))))))</f>
        <v/>
      </c>
      <c r="L241" s="2">
        <f>IF(B241="","",IFERROR(INT((MATCH(B241,Teknikere,0)-1)/18)+1,""))</f>
        <v/>
      </c>
      <c r="M241" s="2">
        <f>IF(OR(A241="",B241=""),"",B241&amp;"|"&amp;A241)</f>
        <v/>
      </c>
      <c r="N241" s="2">
        <f>IF(M241="","",SUMIFS(TF_Timer,TF_Nokkel,M241,TF_Akt,C241))</f>
        <v/>
      </c>
      <c r="O241" s="2">
        <f>IF(M241="","",IF(AND(N241=_xlfn.MAXIFS(TF_AktSum,TF_Nokkel,M241),COUNTIFS(M$3:M240,M241,N$3:N240,N241)=0),M241,""))</f>
        <v/>
      </c>
    </row>
    <row r="242">
      <c r="A242" s="34" t="n"/>
      <c r="B242" s="35" t="n"/>
      <c r="C242" s="35" t="n"/>
      <c r="D242" s="35" t="n"/>
      <c r="E242" s="35" t="n"/>
      <c r="F242" s="36" t="n"/>
      <c r="G242" s="35" t="n"/>
      <c r="H242" s="30">
        <f>IF(L242="","",INDEX(SkiftNavn,L242))</f>
        <v/>
      </c>
      <c r="I242" s="30">
        <f>IF(OR(A242="",L242=""),"",IF(MOD(A242-INDEX(SkiftStart,L242),Syklus)&lt;DagK,"Kveld",IF(MOD(A242-INDEX(SkiftStart,L242),Syklus)&lt;DagK+DagH,"Helg",IF(MOD(A242-INDEX(SkiftStart,L242),Syklus)&lt;DagK+DagH+DagD,"Dag","Fri"))))</f>
        <v/>
      </c>
      <c r="J242" s="30">
        <f>IF(I242="Fri","Ja","")</f>
        <v/>
      </c>
      <c r="K242" s="30">
        <f>IF(B242="","",IF(L242="","Ukjent tekniker",IF(ISNA(MATCH(C242,Aktiviteter,0)),"Ukjent aktivitet",IF(AND(INDEX(AktRolle,MATCH(C242,Aktiviteter,0))&amp;""&lt;&gt;"",ISERROR(SEARCH(INDEX(AktRolle,MATCH(C242,Aktiviteter,0))&amp;"",INDEX(TekRoller,MATCH(B242,Teknikere,0))))),"Mangler rollen "&amp;INDEX(AktRolle,MATCH(C242,Aktiviteter,0))&amp;"",IF(AND(C242="LMS",F242&gt;0,OR(D242="",E242="")),"Mangler maskin eller arbeid",IF(AND(OR(C242="LMS",C242="Mod"),D242&lt;&gt;""),IF(IFERROR(INDEX(MaskinStatus,MATCH(D242,Maskiner,0)),"")="I dokk","","Maskinen er ikke i dokk"),""))))))</f>
        <v/>
      </c>
      <c r="L242" s="2">
        <f>IF(B242="","",IFERROR(INT((MATCH(B242,Teknikere,0)-1)/18)+1,""))</f>
        <v/>
      </c>
      <c r="M242" s="2">
        <f>IF(OR(A242="",B242=""),"",B242&amp;"|"&amp;A242)</f>
        <v/>
      </c>
      <c r="N242" s="2">
        <f>IF(M242="","",SUMIFS(TF_Timer,TF_Nokkel,M242,TF_Akt,C242))</f>
        <v/>
      </c>
      <c r="O242" s="2">
        <f>IF(M242="","",IF(AND(N242=_xlfn.MAXIFS(TF_AktSum,TF_Nokkel,M242),COUNTIFS(M$3:M241,M242,N$3:N241,N242)=0),M242,""))</f>
        <v/>
      </c>
    </row>
    <row r="243">
      <c r="A243" s="34" t="n"/>
      <c r="B243" s="35" t="n"/>
      <c r="C243" s="35" t="n"/>
      <c r="D243" s="35" t="n"/>
      <c r="E243" s="35" t="n"/>
      <c r="F243" s="36" t="n"/>
      <c r="G243" s="35" t="n"/>
      <c r="H243" s="30">
        <f>IF(L243="","",INDEX(SkiftNavn,L243))</f>
        <v/>
      </c>
      <c r="I243" s="30">
        <f>IF(OR(A243="",L243=""),"",IF(MOD(A243-INDEX(SkiftStart,L243),Syklus)&lt;DagK,"Kveld",IF(MOD(A243-INDEX(SkiftStart,L243),Syklus)&lt;DagK+DagH,"Helg",IF(MOD(A243-INDEX(SkiftStart,L243),Syklus)&lt;DagK+DagH+DagD,"Dag","Fri"))))</f>
        <v/>
      </c>
      <c r="J243" s="30">
        <f>IF(I243="Fri","Ja","")</f>
        <v/>
      </c>
      <c r="K243" s="30">
        <f>IF(B243="","",IF(L243="","Ukjent tekniker",IF(ISNA(MATCH(C243,Aktiviteter,0)),"Ukjent aktivitet",IF(AND(INDEX(AktRolle,MATCH(C243,Aktiviteter,0))&amp;""&lt;&gt;"",ISERROR(SEARCH(INDEX(AktRolle,MATCH(C243,Aktiviteter,0))&amp;"",INDEX(TekRoller,MATCH(B243,Teknikere,0))))),"Mangler rollen "&amp;INDEX(AktRolle,MATCH(C243,Aktiviteter,0))&amp;"",IF(AND(C243="LMS",F243&gt;0,OR(D243="",E243="")),"Mangler maskin eller arbeid",IF(AND(OR(C243="LMS",C243="Mod"),D243&lt;&gt;""),IF(IFERROR(INDEX(MaskinStatus,MATCH(D243,Maskiner,0)),"")="I dokk","","Maskinen er ikke i dokk"),""))))))</f>
        <v/>
      </c>
      <c r="L243" s="2">
        <f>IF(B243="","",IFERROR(INT((MATCH(B243,Teknikere,0)-1)/18)+1,""))</f>
        <v/>
      </c>
      <c r="M243" s="2">
        <f>IF(OR(A243="",B243=""),"",B243&amp;"|"&amp;A243)</f>
        <v/>
      </c>
      <c r="N243" s="2">
        <f>IF(M243="","",SUMIFS(TF_Timer,TF_Nokkel,M243,TF_Akt,C243))</f>
        <v/>
      </c>
      <c r="O243" s="2">
        <f>IF(M243="","",IF(AND(N243=_xlfn.MAXIFS(TF_AktSum,TF_Nokkel,M243),COUNTIFS(M$3:M242,M243,N$3:N242,N243)=0),M243,""))</f>
        <v/>
      </c>
    </row>
    <row r="244">
      <c r="A244" s="34" t="n"/>
      <c r="B244" s="35" t="n"/>
      <c r="C244" s="35" t="n"/>
      <c r="D244" s="35" t="n"/>
      <c r="E244" s="35" t="n"/>
      <c r="F244" s="36" t="n"/>
      <c r="G244" s="35" t="n"/>
      <c r="H244" s="30">
        <f>IF(L244="","",INDEX(SkiftNavn,L244))</f>
        <v/>
      </c>
      <c r="I244" s="30">
        <f>IF(OR(A244="",L244=""),"",IF(MOD(A244-INDEX(SkiftStart,L244),Syklus)&lt;DagK,"Kveld",IF(MOD(A244-INDEX(SkiftStart,L244),Syklus)&lt;DagK+DagH,"Helg",IF(MOD(A244-INDEX(SkiftStart,L244),Syklus)&lt;DagK+DagH+DagD,"Dag","Fri"))))</f>
        <v/>
      </c>
      <c r="J244" s="30">
        <f>IF(I244="Fri","Ja","")</f>
        <v/>
      </c>
      <c r="K244" s="30">
        <f>IF(B244="","",IF(L244="","Ukjent tekniker",IF(ISNA(MATCH(C244,Aktiviteter,0)),"Ukjent aktivitet",IF(AND(INDEX(AktRolle,MATCH(C244,Aktiviteter,0))&amp;""&lt;&gt;"",ISERROR(SEARCH(INDEX(AktRolle,MATCH(C244,Aktiviteter,0))&amp;"",INDEX(TekRoller,MATCH(B244,Teknikere,0))))),"Mangler rollen "&amp;INDEX(AktRolle,MATCH(C244,Aktiviteter,0))&amp;"",IF(AND(C244="LMS",F244&gt;0,OR(D244="",E244="")),"Mangler maskin eller arbeid",IF(AND(OR(C244="LMS",C244="Mod"),D244&lt;&gt;""),IF(IFERROR(INDEX(MaskinStatus,MATCH(D244,Maskiner,0)),"")="I dokk","","Maskinen er ikke i dokk"),""))))))</f>
        <v/>
      </c>
      <c r="L244" s="2">
        <f>IF(B244="","",IFERROR(INT((MATCH(B244,Teknikere,0)-1)/18)+1,""))</f>
        <v/>
      </c>
      <c r="M244" s="2">
        <f>IF(OR(A244="",B244=""),"",B244&amp;"|"&amp;A244)</f>
        <v/>
      </c>
      <c r="N244" s="2">
        <f>IF(M244="","",SUMIFS(TF_Timer,TF_Nokkel,M244,TF_Akt,C244))</f>
        <v/>
      </c>
      <c r="O244" s="2">
        <f>IF(M244="","",IF(AND(N244=_xlfn.MAXIFS(TF_AktSum,TF_Nokkel,M244),COUNTIFS(M$3:M243,M244,N$3:N243,N244)=0),M244,""))</f>
        <v/>
      </c>
    </row>
    <row r="245">
      <c r="A245" s="34" t="n"/>
      <c r="B245" s="35" t="n"/>
      <c r="C245" s="35" t="n"/>
      <c r="D245" s="35" t="n"/>
      <c r="E245" s="35" t="n"/>
      <c r="F245" s="36" t="n"/>
      <c r="G245" s="35" t="n"/>
      <c r="H245" s="30">
        <f>IF(L245="","",INDEX(SkiftNavn,L245))</f>
        <v/>
      </c>
      <c r="I245" s="30">
        <f>IF(OR(A245="",L245=""),"",IF(MOD(A245-INDEX(SkiftStart,L245),Syklus)&lt;DagK,"Kveld",IF(MOD(A245-INDEX(SkiftStart,L245),Syklus)&lt;DagK+DagH,"Helg",IF(MOD(A245-INDEX(SkiftStart,L245),Syklus)&lt;DagK+DagH+DagD,"Dag","Fri"))))</f>
        <v/>
      </c>
      <c r="J245" s="30">
        <f>IF(I245="Fri","Ja","")</f>
        <v/>
      </c>
      <c r="K245" s="30">
        <f>IF(B245="","",IF(L245="","Ukjent tekniker",IF(ISNA(MATCH(C245,Aktiviteter,0)),"Ukjent aktivitet",IF(AND(INDEX(AktRolle,MATCH(C245,Aktiviteter,0))&amp;""&lt;&gt;"",ISERROR(SEARCH(INDEX(AktRolle,MATCH(C245,Aktiviteter,0))&amp;"",INDEX(TekRoller,MATCH(B245,Teknikere,0))))),"Mangler rollen "&amp;INDEX(AktRolle,MATCH(C245,Aktiviteter,0))&amp;"",IF(AND(C245="LMS",F245&gt;0,OR(D245="",E245="")),"Mangler maskin eller arbeid",IF(AND(OR(C245="LMS",C245="Mod"),D245&lt;&gt;""),IF(IFERROR(INDEX(MaskinStatus,MATCH(D245,Maskiner,0)),"")="I dokk","","Maskinen er ikke i dokk"),""))))))</f>
        <v/>
      </c>
      <c r="L245" s="2">
        <f>IF(B245="","",IFERROR(INT((MATCH(B245,Teknikere,0)-1)/18)+1,""))</f>
        <v/>
      </c>
      <c r="M245" s="2">
        <f>IF(OR(A245="",B245=""),"",B245&amp;"|"&amp;A245)</f>
        <v/>
      </c>
      <c r="N245" s="2">
        <f>IF(M245="","",SUMIFS(TF_Timer,TF_Nokkel,M245,TF_Akt,C245))</f>
        <v/>
      </c>
      <c r="O245" s="2">
        <f>IF(M245="","",IF(AND(N245=_xlfn.MAXIFS(TF_AktSum,TF_Nokkel,M245),COUNTIFS(M$3:M244,M245,N$3:N244,N245)=0),M245,""))</f>
        <v/>
      </c>
    </row>
    <row r="246">
      <c r="A246" s="34" t="n"/>
      <c r="B246" s="35" t="n"/>
      <c r="C246" s="35" t="n"/>
      <c r="D246" s="35" t="n"/>
      <c r="E246" s="35" t="n"/>
      <c r="F246" s="36" t="n"/>
      <c r="G246" s="35" t="n"/>
      <c r="H246" s="30">
        <f>IF(L246="","",INDEX(SkiftNavn,L246))</f>
        <v/>
      </c>
      <c r="I246" s="30">
        <f>IF(OR(A246="",L246=""),"",IF(MOD(A246-INDEX(SkiftStart,L246),Syklus)&lt;DagK,"Kveld",IF(MOD(A246-INDEX(SkiftStart,L246),Syklus)&lt;DagK+DagH,"Helg",IF(MOD(A246-INDEX(SkiftStart,L246),Syklus)&lt;DagK+DagH+DagD,"Dag","Fri"))))</f>
        <v/>
      </c>
      <c r="J246" s="30">
        <f>IF(I246="Fri","Ja","")</f>
        <v/>
      </c>
      <c r="K246" s="30">
        <f>IF(B246="","",IF(L246="","Ukjent tekniker",IF(ISNA(MATCH(C246,Aktiviteter,0)),"Ukjent aktivitet",IF(AND(INDEX(AktRolle,MATCH(C246,Aktiviteter,0))&amp;""&lt;&gt;"",ISERROR(SEARCH(INDEX(AktRolle,MATCH(C246,Aktiviteter,0))&amp;"",INDEX(TekRoller,MATCH(B246,Teknikere,0))))),"Mangler rollen "&amp;INDEX(AktRolle,MATCH(C246,Aktiviteter,0))&amp;"",IF(AND(C246="LMS",F246&gt;0,OR(D246="",E246="")),"Mangler maskin eller arbeid",IF(AND(OR(C246="LMS",C246="Mod"),D246&lt;&gt;""),IF(IFERROR(INDEX(MaskinStatus,MATCH(D246,Maskiner,0)),"")="I dokk","","Maskinen er ikke i dokk"),""))))))</f>
        <v/>
      </c>
      <c r="L246" s="2">
        <f>IF(B246="","",IFERROR(INT((MATCH(B246,Teknikere,0)-1)/18)+1,""))</f>
        <v/>
      </c>
      <c r="M246" s="2">
        <f>IF(OR(A246="",B246=""),"",B246&amp;"|"&amp;A246)</f>
        <v/>
      </c>
      <c r="N246" s="2">
        <f>IF(M246="","",SUMIFS(TF_Timer,TF_Nokkel,M246,TF_Akt,C246))</f>
        <v/>
      </c>
      <c r="O246" s="2">
        <f>IF(M246="","",IF(AND(N246=_xlfn.MAXIFS(TF_AktSum,TF_Nokkel,M246),COUNTIFS(M$3:M245,M246,N$3:N245,N246)=0),M246,""))</f>
        <v/>
      </c>
    </row>
    <row r="247">
      <c r="A247" s="34" t="n"/>
      <c r="B247" s="35" t="n"/>
      <c r="C247" s="35" t="n"/>
      <c r="D247" s="35" t="n"/>
      <c r="E247" s="35" t="n"/>
      <c r="F247" s="36" t="n"/>
      <c r="G247" s="35" t="n"/>
      <c r="H247" s="30">
        <f>IF(L247="","",INDEX(SkiftNavn,L247))</f>
        <v/>
      </c>
      <c r="I247" s="30">
        <f>IF(OR(A247="",L247=""),"",IF(MOD(A247-INDEX(SkiftStart,L247),Syklus)&lt;DagK,"Kveld",IF(MOD(A247-INDEX(SkiftStart,L247),Syklus)&lt;DagK+DagH,"Helg",IF(MOD(A247-INDEX(SkiftStart,L247),Syklus)&lt;DagK+DagH+DagD,"Dag","Fri"))))</f>
        <v/>
      </c>
      <c r="J247" s="30">
        <f>IF(I247="Fri","Ja","")</f>
        <v/>
      </c>
      <c r="K247" s="30">
        <f>IF(B247="","",IF(L247="","Ukjent tekniker",IF(ISNA(MATCH(C247,Aktiviteter,0)),"Ukjent aktivitet",IF(AND(INDEX(AktRolle,MATCH(C247,Aktiviteter,0))&amp;""&lt;&gt;"",ISERROR(SEARCH(INDEX(AktRolle,MATCH(C247,Aktiviteter,0))&amp;"",INDEX(TekRoller,MATCH(B247,Teknikere,0))))),"Mangler rollen "&amp;INDEX(AktRolle,MATCH(C247,Aktiviteter,0))&amp;"",IF(AND(C247="LMS",F247&gt;0,OR(D247="",E247="")),"Mangler maskin eller arbeid",IF(AND(OR(C247="LMS",C247="Mod"),D247&lt;&gt;""),IF(IFERROR(INDEX(MaskinStatus,MATCH(D247,Maskiner,0)),"")="I dokk","","Maskinen er ikke i dokk"),""))))))</f>
        <v/>
      </c>
      <c r="L247" s="2">
        <f>IF(B247="","",IFERROR(INT((MATCH(B247,Teknikere,0)-1)/18)+1,""))</f>
        <v/>
      </c>
      <c r="M247" s="2">
        <f>IF(OR(A247="",B247=""),"",B247&amp;"|"&amp;A247)</f>
        <v/>
      </c>
      <c r="N247" s="2">
        <f>IF(M247="","",SUMIFS(TF_Timer,TF_Nokkel,M247,TF_Akt,C247))</f>
        <v/>
      </c>
      <c r="O247" s="2">
        <f>IF(M247="","",IF(AND(N247=_xlfn.MAXIFS(TF_AktSum,TF_Nokkel,M247),COUNTIFS(M$3:M246,M247,N$3:N246,N247)=0),M247,""))</f>
        <v/>
      </c>
    </row>
    <row r="248">
      <c r="A248" s="34" t="n"/>
      <c r="B248" s="35" t="n"/>
      <c r="C248" s="35" t="n"/>
      <c r="D248" s="35" t="n"/>
      <c r="E248" s="35" t="n"/>
      <c r="F248" s="36" t="n"/>
      <c r="G248" s="35" t="n"/>
      <c r="H248" s="30">
        <f>IF(L248="","",INDEX(SkiftNavn,L248))</f>
        <v/>
      </c>
      <c r="I248" s="30">
        <f>IF(OR(A248="",L248=""),"",IF(MOD(A248-INDEX(SkiftStart,L248),Syklus)&lt;DagK,"Kveld",IF(MOD(A248-INDEX(SkiftStart,L248),Syklus)&lt;DagK+DagH,"Helg",IF(MOD(A248-INDEX(SkiftStart,L248),Syklus)&lt;DagK+DagH+DagD,"Dag","Fri"))))</f>
        <v/>
      </c>
      <c r="J248" s="30">
        <f>IF(I248="Fri","Ja","")</f>
        <v/>
      </c>
      <c r="K248" s="30">
        <f>IF(B248="","",IF(L248="","Ukjent tekniker",IF(ISNA(MATCH(C248,Aktiviteter,0)),"Ukjent aktivitet",IF(AND(INDEX(AktRolle,MATCH(C248,Aktiviteter,0))&amp;""&lt;&gt;"",ISERROR(SEARCH(INDEX(AktRolle,MATCH(C248,Aktiviteter,0))&amp;"",INDEX(TekRoller,MATCH(B248,Teknikere,0))))),"Mangler rollen "&amp;INDEX(AktRolle,MATCH(C248,Aktiviteter,0))&amp;"",IF(AND(C248="LMS",F248&gt;0,OR(D248="",E248="")),"Mangler maskin eller arbeid",IF(AND(OR(C248="LMS",C248="Mod"),D248&lt;&gt;""),IF(IFERROR(INDEX(MaskinStatus,MATCH(D248,Maskiner,0)),"")="I dokk","","Maskinen er ikke i dokk"),""))))))</f>
        <v/>
      </c>
      <c r="L248" s="2">
        <f>IF(B248="","",IFERROR(INT((MATCH(B248,Teknikere,0)-1)/18)+1,""))</f>
        <v/>
      </c>
      <c r="M248" s="2">
        <f>IF(OR(A248="",B248=""),"",B248&amp;"|"&amp;A248)</f>
        <v/>
      </c>
      <c r="N248" s="2">
        <f>IF(M248="","",SUMIFS(TF_Timer,TF_Nokkel,M248,TF_Akt,C248))</f>
        <v/>
      </c>
      <c r="O248" s="2">
        <f>IF(M248="","",IF(AND(N248=_xlfn.MAXIFS(TF_AktSum,TF_Nokkel,M248),COUNTIFS(M$3:M247,M248,N$3:N247,N248)=0),M248,""))</f>
        <v/>
      </c>
    </row>
    <row r="249">
      <c r="A249" s="34" t="n"/>
      <c r="B249" s="35" t="n"/>
      <c r="C249" s="35" t="n"/>
      <c r="D249" s="35" t="n"/>
      <c r="E249" s="35" t="n"/>
      <c r="F249" s="36" t="n"/>
      <c r="G249" s="35" t="n"/>
      <c r="H249" s="30">
        <f>IF(L249="","",INDEX(SkiftNavn,L249))</f>
        <v/>
      </c>
      <c r="I249" s="30">
        <f>IF(OR(A249="",L249=""),"",IF(MOD(A249-INDEX(SkiftStart,L249),Syklus)&lt;DagK,"Kveld",IF(MOD(A249-INDEX(SkiftStart,L249),Syklus)&lt;DagK+DagH,"Helg",IF(MOD(A249-INDEX(SkiftStart,L249),Syklus)&lt;DagK+DagH+DagD,"Dag","Fri"))))</f>
        <v/>
      </c>
      <c r="J249" s="30">
        <f>IF(I249="Fri","Ja","")</f>
        <v/>
      </c>
      <c r="K249" s="30">
        <f>IF(B249="","",IF(L249="","Ukjent tekniker",IF(ISNA(MATCH(C249,Aktiviteter,0)),"Ukjent aktivitet",IF(AND(INDEX(AktRolle,MATCH(C249,Aktiviteter,0))&amp;""&lt;&gt;"",ISERROR(SEARCH(INDEX(AktRolle,MATCH(C249,Aktiviteter,0))&amp;"",INDEX(TekRoller,MATCH(B249,Teknikere,0))))),"Mangler rollen "&amp;INDEX(AktRolle,MATCH(C249,Aktiviteter,0))&amp;"",IF(AND(C249="LMS",F249&gt;0,OR(D249="",E249="")),"Mangler maskin eller arbeid",IF(AND(OR(C249="LMS",C249="Mod"),D249&lt;&gt;""),IF(IFERROR(INDEX(MaskinStatus,MATCH(D249,Maskiner,0)),"")="I dokk","","Maskinen er ikke i dokk"),""))))))</f>
        <v/>
      </c>
      <c r="L249" s="2">
        <f>IF(B249="","",IFERROR(INT((MATCH(B249,Teknikere,0)-1)/18)+1,""))</f>
        <v/>
      </c>
      <c r="M249" s="2">
        <f>IF(OR(A249="",B249=""),"",B249&amp;"|"&amp;A249)</f>
        <v/>
      </c>
      <c r="N249" s="2">
        <f>IF(M249="","",SUMIFS(TF_Timer,TF_Nokkel,M249,TF_Akt,C249))</f>
        <v/>
      </c>
      <c r="O249" s="2">
        <f>IF(M249="","",IF(AND(N249=_xlfn.MAXIFS(TF_AktSum,TF_Nokkel,M249),COUNTIFS(M$3:M248,M249,N$3:N248,N249)=0),M249,""))</f>
        <v/>
      </c>
    </row>
    <row r="250">
      <c r="A250" s="34" t="n"/>
      <c r="B250" s="35" t="n"/>
      <c r="C250" s="35" t="n"/>
      <c r="D250" s="35" t="n"/>
      <c r="E250" s="35" t="n"/>
      <c r="F250" s="36" t="n"/>
      <c r="G250" s="35" t="n"/>
      <c r="H250" s="30">
        <f>IF(L250="","",INDEX(SkiftNavn,L250))</f>
        <v/>
      </c>
      <c r="I250" s="30">
        <f>IF(OR(A250="",L250=""),"",IF(MOD(A250-INDEX(SkiftStart,L250),Syklus)&lt;DagK,"Kveld",IF(MOD(A250-INDEX(SkiftStart,L250),Syklus)&lt;DagK+DagH,"Helg",IF(MOD(A250-INDEX(SkiftStart,L250),Syklus)&lt;DagK+DagH+DagD,"Dag","Fri"))))</f>
        <v/>
      </c>
      <c r="J250" s="30">
        <f>IF(I250="Fri","Ja","")</f>
        <v/>
      </c>
      <c r="K250" s="30">
        <f>IF(B250="","",IF(L250="","Ukjent tekniker",IF(ISNA(MATCH(C250,Aktiviteter,0)),"Ukjent aktivitet",IF(AND(INDEX(AktRolle,MATCH(C250,Aktiviteter,0))&amp;""&lt;&gt;"",ISERROR(SEARCH(INDEX(AktRolle,MATCH(C250,Aktiviteter,0))&amp;"",INDEX(TekRoller,MATCH(B250,Teknikere,0))))),"Mangler rollen "&amp;INDEX(AktRolle,MATCH(C250,Aktiviteter,0))&amp;"",IF(AND(C250="LMS",F250&gt;0,OR(D250="",E250="")),"Mangler maskin eller arbeid",IF(AND(OR(C250="LMS",C250="Mod"),D250&lt;&gt;""),IF(IFERROR(INDEX(MaskinStatus,MATCH(D250,Maskiner,0)),"")="I dokk","","Maskinen er ikke i dokk"),""))))))</f>
        <v/>
      </c>
      <c r="L250" s="2">
        <f>IF(B250="","",IFERROR(INT((MATCH(B250,Teknikere,0)-1)/18)+1,""))</f>
        <v/>
      </c>
      <c r="M250" s="2">
        <f>IF(OR(A250="",B250=""),"",B250&amp;"|"&amp;A250)</f>
        <v/>
      </c>
      <c r="N250" s="2">
        <f>IF(M250="","",SUMIFS(TF_Timer,TF_Nokkel,M250,TF_Akt,C250))</f>
        <v/>
      </c>
      <c r="O250" s="2">
        <f>IF(M250="","",IF(AND(N250=_xlfn.MAXIFS(TF_AktSum,TF_Nokkel,M250),COUNTIFS(M$3:M249,M250,N$3:N249,N250)=0),M250,""))</f>
        <v/>
      </c>
    </row>
    <row r="251">
      <c r="A251" s="34" t="n"/>
      <c r="B251" s="35" t="n"/>
      <c r="C251" s="35" t="n"/>
      <c r="D251" s="35" t="n"/>
      <c r="E251" s="35" t="n"/>
      <c r="F251" s="36" t="n"/>
      <c r="G251" s="35" t="n"/>
      <c r="H251" s="30">
        <f>IF(L251="","",INDEX(SkiftNavn,L251))</f>
        <v/>
      </c>
      <c r="I251" s="30">
        <f>IF(OR(A251="",L251=""),"",IF(MOD(A251-INDEX(SkiftStart,L251),Syklus)&lt;DagK,"Kveld",IF(MOD(A251-INDEX(SkiftStart,L251),Syklus)&lt;DagK+DagH,"Helg",IF(MOD(A251-INDEX(SkiftStart,L251),Syklus)&lt;DagK+DagH+DagD,"Dag","Fri"))))</f>
        <v/>
      </c>
      <c r="J251" s="30">
        <f>IF(I251="Fri","Ja","")</f>
        <v/>
      </c>
      <c r="K251" s="30">
        <f>IF(B251="","",IF(L251="","Ukjent tekniker",IF(ISNA(MATCH(C251,Aktiviteter,0)),"Ukjent aktivitet",IF(AND(INDEX(AktRolle,MATCH(C251,Aktiviteter,0))&amp;""&lt;&gt;"",ISERROR(SEARCH(INDEX(AktRolle,MATCH(C251,Aktiviteter,0))&amp;"",INDEX(TekRoller,MATCH(B251,Teknikere,0))))),"Mangler rollen "&amp;INDEX(AktRolle,MATCH(C251,Aktiviteter,0))&amp;"",IF(AND(C251="LMS",F251&gt;0,OR(D251="",E251="")),"Mangler maskin eller arbeid",IF(AND(OR(C251="LMS",C251="Mod"),D251&lt;&gt;""),IF(IFERROR(INDEX(MaskinStatus,MATCH(D251,Maskiner,0)),"")="I dokk","","Maskinen er ikke i dokk"),""))))))</f>
        <v/>
      </c>
      <c r="L251" s="2">
        <f>IF(B251="","",IFERROR(INT((MATCH(B251,Teknikere,0)-1)/18)+1,""))</f>
        <v/>
      </c>
      <c r="M251" s="2">
        <f>IF(OR(A251="",B251=""),"",B251&amp;"|"&amp;A251)</f>
        <v/>
      </c>
      <c r="N251" s="2">
        <f>IF(M251="","",SUMIFS(TF_Timer,TF_Nokkel,M251,TF_Akt,C251))</f>
        <v/>
      </c>
      <c r="O251" s="2">
        <f>IF(M251="","",IF(AND(N251=_xlfn.MAXIFS(TF_AktSum,TF_Nokkel,M251),COUNTIFS(M$3:M250,M251,N$3:N250,N251)=0),M251,""))</f>
        <v/>
      </c>
    </row>
    <row r="252">
      <c r="A252" s="34" t="n"/>
      <c r="B252" s="35" t="n"/>
      <c r="C252" s="35" t="n"/>
      <c r="D252" s="35" t="n"/>
      <c r="E252" s="35" t="n"/>
      <c r="F252" s="36" t="n"/>
      <c r="G252" s="35" t="n"/>
      <c r="H252" s="30">
        <f>IF(L252="","",INDEX(SkiftNavn,L252))</f>
        <v/>
      </c>
      <c r="I252" s="30">
        <f>IF(OR(A252="",L252=""),"",IF(MOD(A252-INDEX(SkiftStart,L252),Syklus)&lt;DagK,"Kveld",IF(MOD(A252-INDEX(SkiftStart,L252),Syklus)&lt;DagK+DagH,"Helg",IF(MOD(A252-INDEX(SkiftStart,L252),Syklus)&lt;DagK+DagH+DagD,"Dag","Fri"))))</f>
        <v/>
      </c>
      <c r="J252" s="30">
        <f>IF(I252="Fri","Ja","")</f>
        <v/>
      </c>
      <c r="K252" s="30">
        <f>IF(B252="","",IF(L252="","Ukjent tekniker",IF(ISNA(MATCH(C252,Aktiviteter,0)),"Ukjent aktivitet",IF(AND(INDEX(AktRolle,MATCH(C252,Aktiviteter,0))&amp;""&lt;&gt;"",ISERROR(SEARCH(INDEX(AktRolle,MATCH(C252,Aktiviteter,0))&amp;"",INDEX(TekRoller,MATCH(B252,Teknikere,0))))),"Mangler rollen "&amp;INDEX(AktRolle,MATCH(C252,Aktiviteter,0))&amp;"",IF(AND(C252="LMS",F252&gt;0,OR(D252="",E252="")),"Mangler maskin eller arbeid",IF(AND(OR(C252="LMS",C252="Mod"),D252&lt;&gt;""),IF(IFERROR(INDEX(MaskinStatus,MATCH(D252,Maskiner,0)),"")="I dokk","","Maskinen er ikke i dokk"),""))))))</f>
        <v/>
      </c>
      <c r="L252" s="2">
        <f>IF(B252="","",IFERROR(INT((MATCH(B252,Teknikere,0)-1)/18)+1,""))</f>
        <v/>
      </c>
      <c r="M252" s="2">
        <f>IF(OR(A252="",B252=""),"",B252&amp;"|"&amp;A252)</f>
        <v/>
      </c>
      <c r="N252" s="2">
        <f>IF(M252="","",SUMIFS(TF_Timer,TF_Nokkel,M252,TF_Akt,C252))</f>
        <v/>
      </c>
      <c r="O252" s="2">
        <f>IF(M252="","",IF(AND(N252=_xlfn.MAXIFS(TF_AktSum,TF_Nokkel,M252),COUNTIFS(M$3:M251,M252,N$3:N251,N252)=0),M252,""))</f>
        <v/>
      </c>
    </row>
    <row r="253">
      <c r="A253" s="34" t="n"/>
      <c r="B253" s="35" t="n"/>
      <c r="C253" s="35" t="n"/>
      <c r="D253" s="35" t="n"/>
      <c r="E253" s="35" t="n"/>
      <c r="F253" s="36" t="n"/>
      <c r="G253" s="35" t="n"/>
      <c r="H253" s="30">
        <f>IF(L253="","",INDEX(SkiftNavn,L253))</f>
        <v/>
      </c>
      <c r="I253" s="30">
        <f>IF(OR(A253="",L253=""),"",IF(MOD(A253-INDEX(SkiftStart,L253),Syklus)&lt;DagK,"Kveld",IF(MOD(A253-INDEX(SkiftStart,L253),Syklus)&lt;DagK+DagH,"Helg",IF(MOD(A253-INDEX(SkiftStart,L253),Syklus)&lt;DagK+DagH+DagD,"Dag","Fri"))))</f>
        <v/>
      </c>
      <c r="J253" s="30">
        <f>IF(I253="Fri","Ja","")</f>
        <v/>
      </c>
      <c r="K253" s="30">
        <f>IF(B253="","",IF(L253="","Ukjent tekniker",IF(ISNA(MATCH(C253,Aktiviteter,0)),"Ukjent aktivitet",IF(AND(INDEX(AktRolle,MATCH(C253,Aktiviteter,0))&amp;""&lt;&gt;"",ISERROR(SEARCH(INDEX(AktRolle,MATCH(C253,Aktiviteter,0))&amp;"",INDEX(TekRoller,MATCH(B253,Teknikere,0))))),"Mangler rollen "&amp;INDEX(AktRolle,MATCH(C253,Aktiviteter,0))&amp;"",IF(AND(C253="LMS",F253&gt;0,OR(D253="",E253="")),"Mangler maskin eller arbeid",IF(AND(OR(C253="LMS",C253="Mod"),D253&lt;&gt;""),IF(IFERROR(INDEX(MaskinStatus,MATCH(D253,Maskiner,0)),"")="I dokk","","Maskinen er ikke i dokk"),""))))))</f>
        <v/>
      </c>
      <c r="L253" s="2">
        <f>IF(B253="","",IFERROR(INT((MATCH(B253,Teknikere,0)-1)/18)+1,""))</f>
        <v/>
      </c>
      <c r="M253" s="2">
        <f>IF(OR(A253="",B253=""),"",B253&amp;"|"&amp;A253)</f>
        <v/>
      </c>
      <c r="N253" s="2">
        <f>IF(M253="","",SUMIFS(TF_Timer,TF_Nokkel,M253,TF_Akt,C253))</f>
        <v/>
      </c>
      <c r="O253" s="2">
        <f>IF(M253="","",IF(AND(N253=_xlfn.MAXIFS(TF_AktSum,TF_Nokkel,M253),COUNTIFS(M$3:M252,M253,N$3:N252,N253)=0),M253,""))</f>
        <v/>
      </c>
    </row>
    <row r="254">
      <c r="A254" s="34" t="n"/>
      <c r="B254" s="35" t="n"/>
      <c r="C254" s="35" t="n"/>
      <c r="D254" s="35" t="n"/>
      <c r="E254" s="35" t="n"/>
      <c r="F254" s="36" t="n"/>
      <c r="G254" s="35" t="n"/>
      <c r="H254" s="30">
        <f>IF(L254="","",INDEX(SkiftNavn,L254))</f>
        <v/>
      </c>
      <c r="I254" s="30">
        <f>IF(OR(A254="",L254=""),"",IF(MOD(A254-INDEX(SkiftStart,L254),Syklus)&lt;DagK,"Kveld",IF(MOD(A254-INDEX(SkiftStart,L254),Syklus)&lt;DagK+DagH,"Helg",IF(MOD(A254-INDEX(SkiftStart,L254),Syklus)&lt;DagK+DagH+DagD,"Dag","Fri"))))</f>
        <v/>
      </c>
      <c r="J254" s="30">
        <f>IF(I254="Fri","Ja","")</f>
        <v/>
      </c>
      <c r="K254" s="30">
        <f>IF(B254="","",IF(L254="","Ukjent tekniker",IF(ISNA(MATCH(C254,Aktiviteter,0)),"Ukjent aktivitet",IF(AND(INDEX(AktRolle,MATCH(C254,Aktiviteter,0))&amp;""&lt;&gt;"",ISERROR(SEARCH(INDEX(AktRolle,MATCH(C254,Aktiviteter,0))&amp;"",INDEX(TekRoller,MATCH(B254,Teknikere,0))))),"Mangler rollen "&amp;INDEX(AktRolle,MATCH(C254,Aktiviteter,0))&amp;"",IF(AND(C254="LMS",F254&gt;0,OR(D254="",E254="")),"Mangler maskin eller arbeid",IF(AND(OR(C254="LMS",C254="Mod"),D254&lt;&gt;""),IF(IFERROR(INDEX(MaskinStatus,MATCH(D254,Maskiner,0)),"")="I dokk","","Maskinen er ikke i dokk"),""))))))</f>
        <v/>
      </c>
      <c r="L254" s="2">
        <f>IF(B254="","",IFERROR(INT((MATCH(B254,Teknikere,0)-1)/18)+1,""))</f>
        <v/>
      </c>
      <c r="M254" s="2">
        <f>IF(OR(A254="",B254=""),"",B254&amp;"|"&amp;A254)</f>
        <v/>
      </c>
      <c r="N254" s="2">
        <f>IF(M254="","",SUMIFS(TF_Timer,TF_Nokkel,M254,TF_Akt,C254))</f>
        <v/>
      </c>
      <c r="O254" s="2">
        <f>IF(M254="","",IF(AND(N254=_xlfn.MAXIFS(TF_AktSum,TF_Nokkel,M254),COUNTIFS(M$3:M253,M254,N$3:N253,N254)=0),M254,""))</f>
        <v/>
      </c>
    </row>
    <row r="255">
      <c r="A255" s="34" t="n"/>
      <c r="B255" s="35" t="n"/>
      <c r="C255" s="35" t="n"/>
      <c r="D255" s="35" t="n"/>
      <c r="E255" s="35" t="n"/>
      <c r="F255" s="36" t="n"/>
      <c r="G255" s="35" t="n"/>
      <c r="H255" s="30">
        <f>IF(L255="","",INDEX(SkiftNavn,L255))</f>
        <v/>
      </c>
      <c r="I255" s="30">
        <f>IF(OR(A255="",L255=""),"",IF(MOD(A255-INDEX(SkiftStart,L255),Syklus)&lt;DagK,"Kveld",IF(MOD(A255-INDEX(SkiftStart,L255),Syklus)&lt;DagK+DagH,"Helg",IF(MOD(A255-INDEX(SkiftStart,L255),Syklus)&lt;DagK+DagH+DagD,"Dag","Fri"))))</f>
        <v/>
      </c>
      <c r="J255" s="30">
        <f>IF(I255="Fri","Ja","")</f>
        <v/>
      </c>
      <c r="K255" s="30">
        <f>IF(B255="","",IF(L255="","Ukjent tekniker",IF(ISNA(MATCH(C255,Aktiviteter,0)),"Ukjent aktivitet",IF(AND(INDEX(AktRolle,MATCH(C255,Aktiviteter,0))&amp;""&lt;&gt;"",ISERROR(SEARCH(INDEX(AktRolle,MATCH(C255,Aktiviteter,0))&amp;"",INDEX(TekRoller,MATCH(B255,Teknikere,0))))),"Mangler rollen "&amp;INDEX(AktRolle,MATCH(C255,Aktiviteter,0))&amp;"",IF(AND(C255="LMS",F255&gt;0,OR(D255="",E255="")),"Mangler maskin eller arbeid",IF(AND(OR(C255="LMS",C255="Mod"),D255&lt;&gt;""),IF(IFERROR(INDEX(MaskinStatus,MATCH(D255,Maskiner,0)),"")="I dokk","","Maskinen er ikke i dokk"),""))))))</f>
        <v/>
      </c>
      <c r="L255" s="2">
        <f>IF(B255="","",IFERROR(INT((MATCH(B255,Teknikere,0)-1)/18)+1,""))</f>
        <v/>
      </c>
      <c r="M255" s="2">
        <f>IF(OR(A255="",B255=""),"",B255&amp;"|"&amp;A255)</f>
        <v/>
      </c>
      <c r="N255" s="2">
        <f>IF(M255="","",SUMIFS(TF_Timer,TF_Nokkel,M255,TF_Akt,C255))</f>
        <v/>
      </c>
      <c r="O255" s="2">
        <f>IF(M255="","",IF(AND(N255=_xlfn.MAXIFS(TF_AktSum,TF_Nokkel,M255),COUNTIFS(M$3:M254,M255,N$3:N254,N255)=0),M255,""))</f>
        <v/>
      </c>
    </row>
    <row r="256">
      <c r="A256" s="34" t="n"/>
      <c r="B256" s="35" t="n"/>
      <c r="C256" s="35" t="n"/>
      <c r="D256" s="35" t="n"/>
      <c r="E256" s="35" t="n"/>
      <c r="F256" s="36" t="n"/>
      <c r="G256" s="35" t="n"/>
      <c r="H256" s="30">
        <f>IF(L256="","",INDEX(SkiftNavn,L256))</f>
        <v/>
      </c>
      <c r="I256" s="30">
        <f>IF(OR(A256="",L256=""),"",IF(MOD(A256-INDEX(SkiftStart,L256),Syklus)&lt;DagK,"Kveld",IF(MOD(A256-INDEX(SkiftStart,L256),Syklus)&lt;DagK+DagH,"Helg",IF(MOD(A256-INDEX(SkiftStart,L256),Syklus)&lt;DagK+DagH+DagD,"Dag","Fri"))))</f>
        <v/>
      </c>
      <c r="J256" s="30">
        <f>IF(I256="Fri","Ja","")</f>
        <v/>
      </c>
      <c r="K256" s="30">
        <f>IF(B256="","",IF(L256="","Ukjent tekniker",IF(ISNA(MATCH(C256,Aktiviteter,0)),"Ukjent aktivitet",IF(AND(INDEX(AktRolle,MATCH(C256,Aktiviteter,0))&amp;""&lt;&gt;"",ISERROR(SEARCH(INDEX(AktRolle,MATCH(C256,Aktiviteter,0))&amp;"",INDEX(TekRoller,MATCH(B256,Teknikere,0))))),"Mangler rollen "&amp;INDEX(AktRolle,MATCH(C256,Aktiviteter,0))&amp;"",IF(AND(C256="LMS",F256&gt;0,OR(D256="",E256="")),"Mangler maskin eller arbeid",IF(AND(OR(C256="LMS",C256="Mod"),D256&lt;&gt;""),IF(IFERROR(INDEX(MaskinStatus,MATCH(D256,Maskiner,0)),"")="I dokk","","Maskinen er ikke i dokk"),""))))))</f>
        <v/>
      </c>
      <c r="L256" s="2">
        <f>IF(B256="","",IFERROR(INT((MATCH(B256,Teknikere,0)-1)/18)+1,""))</f>
        <v/>
      </c>
      <c r="M256" s="2">
        <f>IF(OR(A256="",B256=""),"",B256&amp;"|"&amp;A256)</f>
        <v/>
      </c>
      <c r="N256" s="2">
        <f>IF(M256="","",SUMIFS(TF_Timer,TF_Nokkel,M256,TF_Akt,C256))</f>
        <v/>
      </c>
      <c r="O256" s="2">
        <f>IF(M256="","",IF(AND(N256=_xlfn.MAXIFS(TF_AktSum,TF_Nokkel,M256),COUNTIFS(M$3:M255,M256,N$3:N255,N256)=0),M256,""))</f>
        <v/>
      </c>
    </row>
    <row r="257">
      <c r="A257" s="34" t="n"/>
      <c r="B257" s="35" t="n"/>
      <c r="C257" s="35" t="n"/>
      <c r="D257" s="35" t="n"/>
      <c r="E257" s="35" t="n"/>
      <c r="F257" s="36" t="n"/>
      <c r="G257" s="35" t="n"/>
      <c r="H257" s="30">
        <f>IF(L257="","",INDEX(SkiftNavn,L257))</f>
        <v/>
      </c>
      <c r="I257" s="30">
        <f>IF(OR(A257="",L257=""),"",IF(MOD(A257-INDEX(SkiftStart,L257),Syklus)&lt;DagK,"Kveld",IF(MOD(A257-INDEX(SkiftStart,L257),Syklus)&lt;DagK+DagH,"Helg",IF(MOD(A257-INDEX(SkiftStart,L257),Syklus)&lt;DagK+DagH+DagD,"Dag","Fri"))))</f>
        <v/>
      </c>
      <c r="J257" s="30">
        <f>IF(I257="Fri","Ja","")</f>
        <v/>
      </c>
      <c r="K257" s="30">
        <f>IF(B257="","",IF(L257="","Ukjent tekniker",IF(ISNA(MATCH(C257,Aktiviteter,0)),"Ukjent aktivitet",IF(AND(INDEX(AktRolle,MATCH(C257,Aktiviteter,0))&amp;""&lt;&gt;"",ISERROR(SEARCH(INDEX(AktRolle,MATCH(C257,Aktiviteter,0))&amp;"",INDEX(TekRoller,MATCH(B257,Teknikere,0))))),"Mangler rollen "&amp;INDEX(AktRolle,MATCH(C257,Aktiviteter,0))&amp;"",IF(AND(C257="LMS",F257&gt;0,OR(D257="",E257="")),"Mangler maskin eller arbeid",IF(AND(OR(C257="LMS",C257="Mod"),D257&lt;&gt;""),IF(IFERROR(INDEX(MaskinStatus,MATCH(D257,Maskiner,0)),"")="I dokk","","Maskinen er ikke i dokk"),""))))))</f>
        <v/>
      </c>
      <c r="L257" s="2">
        <f>IF(B257="","",IFERROR(INT((MATCH(B257,Teknikere,0)-1)/18)+1,""))</f>
        <v/>
      </c>
      <c r="M257" s="2">
        <f>IF(OR(A257="",B257=""),"",B257&amp;"|"&amp;A257)</f>
        <v/>
      </c>
      <c r="N257" s="2">
        <f>IF(M257="","",SUMIFS(TF_Timer,TF_Nokkel,M257,TF_Akt,C257))</f>
        <v/>
      </c>
      <c r="O257" s="2">
        <f>IF(M257="","",IF(AND(N257=_xlfn.MAXIFS(TF_AktSum,TF_Nokkel,M257),COUNTIFS(M$3:M256,M257,N$3:N256,N257)=0),M257,""))</f>
        <v/>
      </c>
    </row>
    <row r="258">
      <c r="A258" s="34" t="n"/>
      <c r="B258" s="35" t="n"/>
      <c r="C258" s="35" t="n"/>
      <c r="D258" s="35" t="n"/>
      <c r="E258" s="35" t="n"/>
      <c r="F258" s="36" t="n"/>
      <c r="G258" s="35" t="n"/>
      <c r="H258" s="30">
        <f>IF(L258="","",INDEX(SkiftNavn,L258))</f>
        <v/>
      </c>
      <c r="I258" s="30">
        <f>IF(OR(A258="",L258=""),"",IF(MOD(A258-INDEX(SkiftStart,L258),Syklus)&lt;DagK,"Kveld",IF(MOD(A258-INDEX(SkiftStart,L258),Syklus)&lt;DagK+DagH,"Helg",IF(MOD(A258-INDEX(SkiftStart,L258),Syklus)&lt;DagK+DagH+DagD,"Dag","Fri"))))</f>
        <v/>
      </c>
      <c r="J258" s="30">
        <f>IF(I258="Fri","Ja","")</f>
        <v/>
      </c>
      <c r="K258" s="30">
        <f>IF(B258="","",IF(L258="","Ukjent tekniker",IF(ISNA(MATCH(C258,Aktiviteter,0)),"Ukjent aktivitet",IF(AND(INDEX(AktRolle,MATCH(C258,Aktiviteter,0))&amp;""&lt;&gt;"",ISERROR(SEARCH(INDEX(AktRolle,MATCH(C258,Aktiviteter,0))&amp;"",INDEX(TekRoller,MATCH(B258,Teknikere,0))))),"Mangler rollen "&amp;INDEX(AktRolle,MATCH(C258,Aktiviteter,0))&amp;"",IF(AND(C258="LMS",F258&gt;0,OR(D258="",E258="")),"Mangler maskin eller arbeid",IF(AND(OR(C258="LMS",C258="Mod"),D258&lt;&gt;""),IF(IFERROR(INDEX(MaskinStatus,MATCH(D258,Maskiner,0)),"")="I dokk","","Maskinen er ikke i dokk"),""))))))</f>
        <v/>
      </c>
      <c r="L258" s="2">
        <f>IF(B258="","",IFERROR(INT((MATCH(B258,Teknikere,0)-1)/18)+1,""))</f>
        <v/>
      </c>
      <c r="M258" s="2">
        <f>IF(OR(A258="",B258=""),"",B258&amp;"|"&amp;A258)</f>
        <v/>
      </c>
      <c r="N258" s="2">
        <f>IF(M258="","",SUMIFS(TF_Timer,TF_Nokkel,M258,TF_Akt,C258))</f>
        <v/>
      </c>
      <c r="O258" s="2">
        <f>IF(M258="","",IF(AND(N258=_xlfn.MAXIFS(TF_AktSum,TF_Nokkel,M258),COUNTIFS(M$3:M257,M258,N$3:N257,N258)=0),M258,""))</f>
        <v/>
      </c>
    </row>
    <row r="259">
      <c r="A259" s="34" t="n"/>
      <c r="B259" s="35" t="n"/>
      <c r="C259" s="35" t="n"/>
      <c r="D259" s="35" t="n"/>
      <c r="E259" s="35" t="n"/>
      <c r="F259" s="36" t="n"/>
      <c r="G259" s="35" t="n"/>
      <c r="H259" s="30">
        <f>IF(L259="","",INDEX(SkiftNavn,L259))</f>
        <v/>
      </c>
      <c r="I259" s="30">
        <f>IF(OR(A259="",L259=""),"",IF(MOD(A259-INDEX(SkiftStart,L259),Syklus)&lt;DagK,"Kveld",IF(MOD(A259-INDEX(SkiftStart,L259),Syklus)&lt;DagK+DagH,"Helg",IF(MOD(A259-INDEX(SkiftStart,L259),Syklus)&lt;DagK+DagH+DagD,"Dag","Fri"))))</f>
        <v/>
      </c>
      <c r="J259" s="30">
        <f>IF(I259="Fri","Ja","")</f>
        <v/>
      </c>
      <c r="K259" s="30">
        <f>IF(B259="","",IF(L259="","Ukjent tekniker",IF(ISNA(MATCH(C259,Aktiviteter,0)),"Ukjent aktivitet",IF(AND(INDEX(AktRolle,MATCH(C259,Aktiviteter,0))&amp;""&lt;&gt;"",ISERROR(SEARCH(INDEX(AktRolle,MATCH(C259,Aktiviteter,0))&amp;"",INDEX(TekRoller,MATCH(B259,Teknikere,0))))),"Mangler rollen "&amp;INDEX(AktRolle,MATCH(C259,Aktiviteter,0))&amp;"",IF(AND(C259="LMS",F259&gt;0,OR(D259="",E259="")),"Mangler maskin eller arbeid",IF(AND(OR(C259="LMS",C259="Mod"),D259&lt;&gt;""),IF(IFERROR(INDEX(MaskinStatus,MATCH(D259,Maskiner,0)),"")="I dokk","","Maskinen er ikke i dokk"),""))))))</f>
        <v/>
      </c>
      <c r="L259" s="2">
        <f>IF(B259="","",IFERROR(INT((MATCH(B259,Teknikere,0)-1)/18)+1,""))</f>
        <v/>
      </c>
      <c r="M259" s="2">
        <f>IF(OR(A259="",B259=""),"",B259&amp;"|"&amp;A259)</f>
        <v/>
      </c>
      <c r="N259" s="2">
        <f>IF(M259="","",SUMIFS(TF_Timer,TF_Nokkel,M259,TF_Akt,C259))</f>
        <v/>
      </c>
      <c r="O259" s="2">
        <f>IF(M259="","",IF(AND(N259=_xlfn.MAXIFS(TF_AktSum,TF_Nokkel,M259),COUNTIFS(M$3:M258,M259,N$3:N258,N259)=0),M259,""))</f>
        <v/>
      </c>
    </row>
    <row r="260">
      <c r="A260" s="34" t="n"/>
      <c r="B260" s="35" t="n"/>
      <c r="C260" s="35" t="n"/>
      <c r="D260" s="35" t="n"/>
      <c r="E260" s="35" t="n"/>
      <c r="F260" s="36" t="n"/>
      <c r="G260" s="35" t="n"/>
      <c r="H260" s="30">
        <f>IF(L260="","",INDEX(SkiftNavn,L260))</f>
        <v/>
      </c>
      <c r="I260" s="30">
        <f>IF(OR(A260="",L260=""),"",IF(MOD(A260-INDEX(SkiftStart,L260),Syklus)&lt;DagK,"Kveld",IF(MOD(A260-INDEX(SkiftStart,L260),Syklus)&lt;DagK+DagH,"Helg",IF(MOD(A260-INDEX(SkiftStart,L260),Syklus)&lt;DagK+DagH+DagD,"Dag","Fri"))))</f>
        <v/>
      </c>
      <c r="J260" s="30">
        <f>IF(I260="Fri","Ja","")</f>
        <v/>
      </c>
      <c r="K260" s="30">
        <f>IF(B260="","",IF(L260="","Ukjent tekniker",IF(ISNA(MATCH(C260,Aktiviteter,0)),"Ukjent aktivitet",IF(AND(INDEX(AktRolle,MATCH(C260,Aktiviteter,0))&amp;""&lt;&gt;"",ISERROR(SEARCH(INDEX(AktRolle,MATCH(C260,Aktiviteter,0))&amp;"",INDEX(TekRoller,MATCH(B260,Teknikere,0))))),"Mangler rollen "&amp;INDEX(AktRolle,MATCH(C260,Aktiviteter,0))&amp;"",IF(AND(C260="LMS",F260&gt;0,OR(D260="",E260="")),"Mangler maskin eller arbeid",IF(AND(OR(C260="LMS",C260="Mod"),D260&lt;&gt;""),IF(IFERROR(INDEX(MaskinStatus,MATCH(D260,Maskiner,0)),"")="I dokk","","Maskinen er ikke i dokk"),""))))))</f>
        <v/>
      </c>
      <c r="L260" s="2">
        <f>IF(B260="","",IFERROR(INT((MATCH(B260,Teknikere,0)-1)/18)+1,""))</f>
        <v/>
      </c>
      <c r="M260" s="2">
        <f>IF(OR(A260="",B260=""),"",B260&amp;"|"&amp;A260)</f>
        <v/>
      </c>
      <c r="N260" s="2">
        <f>IF(M260="","",SUMIFS(TF_Timer,TF_Nokkel,M260,TF_Akt,C260))</f>
        <v/>
      </c>
      <c r="O260" s="2">
        <f>IF(M260="","",IF(AND(N260=_xlfn.MAXIFS(TF_AktSum,TF_Nokkel,M260),COUNTIFS(M$3:M259,M260,N$3:N259,N260)=0),M260,""))</f>
        <v/>
      </c>
    </row>
    <row r="261">
      <c r="A261" s="34" t="n"/>
      <c r="B261" s="35" t="n"/>
      <c r="C261" s="35" t="n"/>
      <c r="D261" s="35" t="n"/>
      <c r="E261" s="35" t="n"/>
      <c r="F261" s="36" t="n"/>
      <c r="G261" s="35" t="n"/>
      <c r="H261" s="30">
        <f>IF(L261="","",INDEX(SkiftNavn,L261))</f>
        <v/>
      </c>
      <c r="I261" s="30">
        <f>IF(OR(A261="",L261=""),"",IF(MOD(A261-INDEX(SkiftStart,L261),Syklus)&lt;DagK,"Kveld",IF(MOD(A261-INDEX(SkiftStart,L261),Syklus)&lt;DagK+DagH,"Helg",IF(MOD(A261-INDEX(SkiftStart,L261),Syklus)&lt;DagK+DagH+DagD,"Dag","Fri"))))</f>
        <v/>
      </c>
      <c r="J261" s="30">
        <f>IF(I261="Fri","Ja","")</f>
        <v/>
      </c>
      <c r="K261" s="30">
        <f>IF(B261="","",IF(L261="","Ukjent tekniker",IF(ISNA(MATCH(C261,Aktiviteter,0)),"Ukjent aktivitet",IF(AND(INDEX(AktRolle,MATCH(C261,Aktiviteter,0))&amp;""&lt;&gt;"",ISERROR(SEARCH(INDEX(AktRolle,MATCH(C261,Aktiviteter,0))&amp;"",INDEX(TekRoller,MATCH(B261,Teknikere,0))))),"Mangler rollen "&amp;INDEX(AktRolle,MATCH(C261,Aktiviteter,0))&amp;"",IF(AND(C261="LMS",F261&gt;0,OR(D261="",E261="")),"Mangler maskin eller arbeid",IF(AND(OR(C261="LMS",C261="Mod"),D261&lt;&gt;""),IF(IFERROR(INDEX(MaskinStatus,MATCH(D261,Maskiner,0)),"")="I dokk","","Maskinen er ikke i dokk"),""))))))</f>
        <v/>
      </c>
      <c r="L261" s="2">
        <f>IF(B261="","",IFERROR(INT((MATCH(B261,Teknikere,0)-1)/18)+1,""))</f>
        <v/>
      </c>
      <c r="M261" s="2">
        <f>IF(OR(A261="",B261=""),"",B261&amp;"|"&amp;A261)</f>
        <v/>
      </c>
      <c r="N261" s="2">
        <f>IF(M261="","",SUMIFS(TF_Timer,TF_Nokkel,M261,TF_Akt,C261))</f>
        <v/>
      </c>
      <c r="O261" s="2">
        <f>IF(M261="","",IF(AND(N261=_xlfn.MAXIFS(TF_AktSum,TF_Nokkel,M261),COUNTIFS(M$3:M260,M261,N$3:N260,N261)=0),M261,""))</f>
        <v/>
      </c>
    </row>
    <row r="262">
      <c r="A262" s="34" t="n"/>
      <c r="B262" s="35" t="n"/>
      <c r="C262" s="35" t="n"/>
      <c r="D262" s="35" t="n"/>
      <c r="E262" s="35" t="n"/>
      <c r="F262" s="36" t="n"/>
      <c r="G262" s="35" t="n"/>
      <c r="H262" s="30">
        <f>IF(L262="","",INDEX(SkiftNavn,L262))</f>
        <v/>
      </c>
      <c r="I262" s="30">
        <f>IF(OR(A262="",L262=""),"",IF(MOD(A262-INDEX(SkiftStart,L262),Syklus)&lt;DagK,"Kveld",IF(MOD(A262-INDEX(SkiftStart,L262),Syklus)&lt;DagK+DagH,"Helg",IF(MOD(A262-INDEX(SkiftStart,L262),Syklus)&lt;DagK+DagH+DagD,"Dag","Fri"))))</f>
        <v/>
      </c>
      <c r="J262" s="30">
        <f>IF(I262="Fri","Ja","")</f>
        <v/>
      </c>
      <c r="K262" s="30">
        <f>IF(B262="","",IF(L262="","Ukjent tekniker",IF(ISNA(MATCH(C262,Aktiviteter,0)),"Ukjent aktivitet",IF(AND(INDEX(AktRolle,MATCH(C262,Aktiviteter,0))&amp;""&lt;&gt;"",ISERROR(SEARCH(INDEX(AktRolle,MATCH(C262,Aktiviteter,0))&amp;"",INDEX(TekRoller,MATCH(B262,Teknikere,0))))),"Mangler rollen "&amp;INDEX(AktRolle,MATCH(C262,Aktiviteter,0))&amp;"",IF(AND(C262="LMS",F262&gt;0,OR(D262="",E262="")),"Mangler maskin eller arbeid",IF(AND(OR(C262="LMS",C262="Mod"),D262&lt;&gt;""),IF(IFERROR(INDEX(MaskinStatus,MATCH(D262,Maskiner,0)),"")="I dokk","","Maskinen er ikke i dokk"),""))))))</f>
        <v/>
      </c>
      <c r="L262" s="2">
        <f>IF(B262="","",IFERROR(INT((MATCH(B262,Teknikere,0)-1)/18)+1,""))</f>
        <v/>
      </c>
      <c r="M262" s="2">
        <f>IF(OR(A262="",B262=""),"",B262&amp;"|"&amp;A262)</f>
        <v/>
      </c>
      <c r="N262" s="2">
        <f>IF(M262="","",SUMIFS(TF_Timer,TF_Nokkel,M262,TF_Akt,C262))</f>
        <v/>
      </c>
      <c r="O262" s="2">
        <f>IF(M262="","",IF(AND(N262=_xlfn.MAXIFS(TF_AktSum,TF_Nokkel,M262),COUNTIFS(M$3:M261,M262,N$3:N261,N262)=0),M262,""))</f>
        <v/>
      </c>
    </row>
    <row r="263">
      <c r="A263" s="34" t="n"/>
      <c r="B263" s="35" t="n"/>
      <c r="C263" s="35" t="n"/>
      <c r="D263" s="35" t="n"/>
      <c r="E263" s="35" t="n"/>
      <c r="F263" s="36" t="n"/>
      <c r="G263" s="35" t="n"/>
      <c r="H263" s="30">
        <f>IF(L263="","",INDEX(SkiftNavn,L263))</f>
        <v/>
      </c>
      <c r="I263" s="30">
        <f>IF(OR(A263="",L263=""),"",IF(MOD(A263-INDEX(SkiftStart,L263),Syklus)&lt;DagK,"Kveld",IF(MOD(A263-INDEX(SkiftStart,L263),Syklus)&lt;DagK+DagH,"Helg",IF(MOD(A263-INDEX(SkiftStart,L263),Syklus)&lt;DagK+DagH+DagD,"Dag","Fri"))))</f>
        <v/>
      </c>
      <c r="J263" s="30">
        <f>IF(I263="Fri","Ja","")</f>
        <v/>
      </c>
      <c r="K263" s="30">
        <f>IF(B263="","",IF(L263="","Ukjent tekniker",IF(ISNA(MATCH(C263,Aktiviteter,0)),"Ukjent aktivitet",IF(AND(INDEX(AktRolle,MATCH(C263,Aktiviteter,0))&amp;""&lt;&gt;"",ISERROR(SEARCH(INDEX(AktRolle,MATCH(C263,Aktiviteter,0))&amp;"",INDEX(TekRoller,MATCH(B263,Teknikere,0))))),"Mangler rollen "&amp;INDEX(AktRolle,MATCH(C263,Aktiviteter,0))&amp;"",IF(AND(C263="LMS",F263&gt;0,OR(D263="",E263="")),"Mangler maskin eller arbeid",IF(AND(OR(C263="LMS",C263="Mod"),D263&lt;&gt;""),IF(IFERROR(INDEX(MaskinStatus,MATCH(D263,Maskiner,0)),"")="I dokk","","Maskinen er ikke i dokk"),""))))))</f>
        <v/>
      </c>
      <c r="L263" s="2">
        <f>IF(B263="","",IFERROR(INT((MATCH(B263,Teknikere,0)-1)/18)+1,""))</f>
        <v/>
      </c>
      <c r="M263" s="2">
        <f>IF(OR(A263="",B263=""),"",B263&amp;"|"&amp;A263)</f>
        <v/>
      </c>
      <c r="N263" s="2">
        <f>IF(M263="","",SUMIFS(TF_Timer,TF_Nokkel,M263,TF_Akt,C263))</f>
        <v/>
      </c>
      <c r="O263" s="2">
        <f>IF(M263="","",IF(AND(N263=_xlfn.MAXIFS(TF_AktSum,TF_Nokkel,M263),COUNTIFS(M$3:M262,M263,N$3:N262,N263)=0),M263,""))</f>
        <v/>
      </c>
    </row>
    <row r="264">
      <c r="A264" s="34" t="n"/>
      <c r="B264" s="35" t="n"/>
      <c r="C264" s="35" t="n"/>
      <c r="D264" s="35" t="n"/>
      <c r="E264" s="35" t="n"/>
      <c r="F264" s="36" t="n"/>
      <c r="G264" s="35" t="n"/>
      <c r="H264" s="30">
        <f>IF(L264="","",INDEX(SkiftNavn,L264))</f>
        <v/>
      </c>
      <c r="I264" s="30">
        <f>IF(OR(A264="",L264=""),"",IF(MOD(A264-INDEX(SkiftStart,L264),Syklus)&lt;DagK,"Kveld",IF(MOD(A264-INDEX(SkiftStart,L264),Syklus)&lt;DagK+DagH,"Helg",IF(MOD(A264-INDEX(SkiftStart,L264),Syklus)&lt;DagK+DagH+DagD,"Dag","Fri"))))</f>
        <v/>
      </c>
      <c r="J264" s="30">
        <f>IF(I264="Fri","Ja","")</f>
        <v/>
      </c>
      <c r="K264" s="30">
        <f>IF(B264="","",IF(L264="","Ukjent tekniker",IF(ISNA(MATCH(C264,Aktiviteter,0)),"Ukjent aktivitet",IF(AND(INDEX(AktRolle,MATCH(C264,Aktiviteter,0))&amp;""&lt;&gt;"",ISERROR(SEARCH(INDEX(AktRolle,MATCH(C264,Aktiviteter,0))&amp;"",INDEX(TekRoller,MATCH(B264,Teknikere,0))))),"Mangler rollen "&amp;INDEX(AktRolle,MATCH(C264,Aktiviteter,0))&amp;"",IF(AND(C264="LMS",F264&gt;0,OR(D264="",E264="")),"Mangler maskin eller arbeid",IF(AND(OR(C264="LMS",C264="Mod"),D264&lt;&gt;""),IF(IFERROR(INDEX(MaskinStatus,MATCH(D264,Maskiner,0)),"")="I dokk","","Maskinen er ikke i dokk"),""))))))</f>
        <v/>
      </c>
      <c r="L264" s="2">
        <f>IF(B264="","",IFERROR(INT((MATCH(B264,Teknikere,0)-1)/18)+1,""))</f>
        <v/>
      </c>
      <c r="M264" s="2">
        <f>IF(OR(A264="",B264=""),"",B264&amp;"|"&amp;A264)</f>
        <v/>
      </c>
      <c r="N264" s="2">
        <f>IF(M264="","",SUMIFS(TF_Timer,TF_Nokkel,M264,TF_Akt,C264))</f>
        <v/>
      </c>
      <c r="O264" s="2">
        <f>IF(M264="","",IF(AND(N264=_xlfn.MAXIFS(TF_AktSum,TF_Nokkel,M264),COUNTIFS(M$3:M263,M264,N$3:N263,N264)=0),M264,""))</f>
        <v/>
      </c>
    </row>
    <row r="265">
      <c r="A265" s="34" t="n"/>
      <c r="B265" s="35" t="n"/>
      <c r="C265" s="35" t="n"/>
      <c r="D265" s="35" t="n"/>
      <c r="E265" s="35" t="n"/>
      <c r="F265" s="36" t="n"/>
      <c r="G265" s="35" t="n"/>
      <c r="H265" s="30">
        <f>IF(L265="","",INDEX(SkiftNavn,L265))</f>
        <v/>
      </c>
      <c r="I265" s="30">
        <f>IF(OR(A265="",L265=""),"",IF(MOD(A265-INDEX(SkiftStart,L265),Syklus)&lt;DagK,"Kveld",IF(MOD(A265-INDEX(SkiftStart,L265),Syklus)&lt;DagK+DagH,"Helg",IF(MOD(A265-INDEX(SkiftStart,L265),Syklus)&lt;DagK+DagH+DagD,"Dag","Fri"))))</f>
        <v/>
      </c>
      <c r="J265" s="30">
        <f>IF(I265="Fri","Ja","")</f>
        <v/>
      </c>
      <c r="K265" s="30">
        <f>IF(B265="","",IF(L265="","Ukjent tekniker",IF(ISNA(MATCH(C265,Aktiviteter,0)),"Ukjent aktivitet",IF(AND(INDEX(AktRolle,MATCH(C265,Aktiviteter,0))&amp;""&lt;&gt;"",ISERROR(SEARCH(INDEX(AktRolle,MATCH(C265,Aktiviteter,0))&amp;"",INDEX(TekRoller,MATCH(B265,Teknikere,0))))),"Mangler rollen "&amp;INDEX(AktRolle,MATCH(C265,Aktiviteter,0))&amp;"",IF(AND(C265="LMS",F265&gt;0,OR(D265="",E265="")),"Mangler maskin eller arbeid",IF(AND(OR(C265="LMS",C265="Mod"),D265&lt;&gt;""),IF(IFERROR(INDEX(MaskinStatus,MATCH(D265,Maskiner,0)),"")="I dokk","","Maskinen er ikke i dokk"),""))))))</f>
        <v/>
      </c>
      <c r="L265" s="2">
        <f>IF(B265="","",IFERROR(INT((MATCH(B265,Teknikere,0)-1)/18)+1,""))</f>
        <v/>
      </c>
      <c r="M265" s="2">
        <f>IF(OR(A265="",B265=""),"",B265&amp;"|"&amp;A265)</f>
        <v/>
      </c>
      <c r="N265" s="2">
        <f>IF(M265="","",SUMIFS(TF_Timer,TF_Nokkel,M265,TF_Akt,C265))</f>
        <v/>
      </c>
      <c r="O265" s="2">
        <f>IF(M265="","",IF(AND(N265=_xlfn.MAXIFS(TF_AktSum,TF_Nokkel,M265),COUNTIFS(M$3:M264,M265,N$3:N264,N265)=0),M265,""))</f>
        <v/>
      </c>
    </row>
    <row r="266">
      <c r="A266" s="34" t="n"/>
      <c r="B266" s="35" t="n"/>
      <c r="C266" s="35" t="n"/>
      <c r="D266" s="35" t="n"/>
      <c r="E266" s="35" t="n"/>
      <c r="F266" s="36" t="n"/>
      <c r="G266" s="35" t="n"/>
      <c r="H266" s="30">
        <f>IF(L266="","",INDEX(SkiftNavn,L266))</f>
        <v/>
      </c>
      <c r="I266" s="30">
        <f>IF(OR(A266="",L266=""),"",IF(MOD(A266-INDEX(SkiftStart,L266),Syklus)&lt;DagK,"Kveld",IF(MOD(A266-INDEX(SkiftStart,L266),Syklus)&lt;DagK+DagH,"Helg",IF(MOD(A266-INDEX(SkiftStart,L266),Syklus)&lt;DagK+DagH+DagD,"Dag","Fri"))))</f>
        <v/>
      </c>
      <c r="J266" s="30">
        <f>IF(I266="Fri","Ja","")</f>
        <v/>
      </c>
      <c r="K266" s="30">
        <f>IF(B266="","",IF(L266="","Ukjent tekniker",IF(ISNA(MATCH(C266,Aktiviteter,0)),"Ukjent aktivitet",IF(AND(INDEX(AktRolle,MATCH(C266,Aktiviteter,0))&amp;""&lt;&gt;"",ISERROR(SEARCH(INDEX(AktRolle,MATCH(C266,Aktiviteter,0))&amp;"",INDEX(TekRoller,MATCH(B266,Teknikere,0))))),"Mangler rollen "&amp;INDEX(AktRolle,MATCH(C266,Aktiviteter,0))&amp;"",IF(AND(C266="LMS",F266&gt;0,OR(D266="",E266="")),"Mangler maskin eller arbeid",IF(AND(OR(C266="LMS",C266="Mod"),D266&lt;&gt;""),IF(IFERROR(INDEX(MaskinStatus,MATCH(D266,Maskiner,0)),"")="I dokk","","Maskinen er ikke i dokk"),""))))))</f>
        <v/>
      </c>
      <c r="L266" s="2">
        <f>IF(B266="","",IFERROR(INT((MATCH(B266,Teknikere,0)-1)/18)+1,""))</f>
        <v/>
      </c>
      <c r="M266" s="2">
        <f>IF(OR(A266="",B266=""),"",B266&amp;"|"&amp;A266)</f>
        <v/>
      </c>
      <c r="N266" s="2">
        <f>IF(M266="","",SUMIFS(TF_Timer,TF_Nokkel,M266,TF_Akt,C266))</f>
        <v/>
      </c>
      <c r="O266" s="2">
        <f>IF(M266="","",IF(AND(N266=_xlfn.MAXIFS(TF_AktSum,TF_Nokkel,M266),COUNTIFS(M$3:M265,M266,N$3:N265,N266)=0),M266,""))</f>
        <v/>
      </c>
    </row>
    <row r="267">
      <c r="A267" s="34" t="n"/>
      <c r="B267" s="35" t="n"/>
      <c r="C267" s="35" t="n"/>
      <c r="D267" s="35" t="n"/>
      <c r="E267" s="35" t="n"/>
      <c r="F267" s="36" t="n"/>
      <c r="G267" s="35" t="n"/>
      <c r="H267" s="30">
        <f>IF(L267="","",INDEX(SkiftNavn,L267))</f>
        <v/>
      </c>
      <c r="I267" s="30">
        <f>IF(OR(A267="",L267=""),"",IF(MOD(A267-INDEX(SkiftStart,L267),Syklus)&lt;DagK,"Kveld",IF(MOD(A267-INDEX(SkiftStart,L267),Syklus)&lt;DagK+DagH,"Helg",IF(MOD(A267-INDEX(SkiftStart,L267),Syklus)&lt;DagK+DagH+DagD,"Dag","Fri"))))</f>
        <v/>
      </c>
      <c r="J267" s="30">
        <f>IF(I267="Fri","Ja","")</f>
        <v/>
      </c>
      <c r="K267" s="30">
        <f>IF(B267="","",IF(L267="","Ukjent tekniker",IF(ISNA(MATCH(C267,Aktiviteter,0)),"Ukjent aktivitet",IF(AND(INDEX(AktRolle,MATCH(C267,Aktiviteter,0))&amp;""&lt;&gt;"",ISERROR(SEARCH(INDEX(AktRolle,MATCH(C267,Aktiviteter,0))&amp;"",INDEX(TekRoller,MATCH(B267,Teknikere,0))))),"Mangler rollen "&amp;INDEX(AktRolle,MATCH(C267,Aktiviteter,0))&amp;"",IF(AND(C267="LMS",F267&gt;0,OR(D267="",E267="")),"Mangler maskin eller arbeid",IF(AND(OR(C267="LMS",C267="Mod"),D267&lt;&gt;""),IF(IFERROR(INDEX(MaskinStatus,MATCH(D267,Maskiner,0)),"")="I dokk","","Maskinen er ikke i dokk"),""))))))</f>
        <v/>
      </c>
      <c r="L267" s="2">
        <f>IF(B267="","",IFERROR(INT((MATCH(B267,Teknikere,0)-1)/18)+1,""))</f>
        <v/>
      </c>
      <c r="M267" s="2">
        <f>IF(OR(A267="",B267=""),"",B267&amp;"|"&amp;A267)</f>
        <v/>
      </c>
      <c r="N267" s="2">
        <f>IF(M267="","",SUMIFS(TF_Timer,TF_Nokkel,M267,TF_Akt,C267))</f>
        <v/>
      </c>
      <c r="O267" s="2">
        <f>IF(M267="","",IF(AND(N267=_xlfn.MAXIFS(TF_AktSum,TF_Nokkel,M267),COUNTIFS(M$3:M266,M267,N$3:N266,N267)=0),M267,""))</f>
        <v/>
      </c>
    </row>
    <row r="268">
      <c r="A268" s="34" t="n"/>
      <c r="B268" s="35" t="n"/>
      <c r="C268" s="35" t="n"/>
      <c r="D268" s="35" t="n"/>
      <c r="E268" s="35" t="n"/>
      <c r="F268" s="36" t="n"/>
      <c r="G268" s="35" t="n"/>
      <c r="H268" s="30">
        <f>IF(L268="","",INDEX(SkiftNavn,L268))</f>
        <v/>
      </c>
      <c r="I268" s="30">
        <f>IF(OR(A268="",L268=""),"",IF(MOD(A268-INDEX(SkiftStart,L268),Syklus)&lt;DagK,"Kveld",IF(MOD(A268-INDEX(SkiftStart,L268),Syklus)&lt;DagK+DagH,"Helg",IF(MOD(A268-INDEX(SkiftStart,L268),Syklus)&lt;DagK+DagH+DagD,"Dag","Fri"))))</f>
        <v/>
      </c>
      <c r="J268" s="30">
        <f>IF(I268="Fri","Ja","")</f>
        <v/>
      </c>
      <c r="K268" s="30">
        <f>IF(B268="","",IF(L268="","Ukjent tekniker",IF(ISNA(MATCH(C268,Aktiviteter,0)),"Ukjent aktivitet",IF(AND(INDEX(AktRolle,MATCH(C268,Aktiviteter,0))&amp;""&lt;&gt;"",ISERROR(SEARCH(INDEX(AktRolle,MATCH(C268,Aktiviteter,0))&amp;"",INDEX(TekRoller,MATCH(B268,Teknikere,0))))),"Mangler rollen "&amp;INDEX(AktRolle,MATCH(C268,Aktiviteter,0))&amp;"",IF(AND(C268="LMS",F268&gt;0,OR(D268="",E268="")),"Mangler maskin eller arbeid",IF(AND(OR(C268="LMS",C268="Mod"),D268&lt;&gt;""),IF(IFERROR(INDEX(MaskinStatus,MATCH(D268,Maskiner,0)),"")="I dokk","","Maskinen er ikke i dokk"),""))))))</f>
        <v/>
      </c>
      <c r="L268" s="2">
        <f>IF(B268="","",IFERROR(INT((MATCH(B268,Teknikere,0)-1)/18)+1,""))</f>
        <v/>
      </c>
      <c r="M268" s="2">
        <f>IF(OR(A268="",B268=""),"",B268&amp;"|"&amp;A268)</f>
        <v/>
      </c>
      <c r="N268" s="2">
        <f>IF(M268="","",SUMIFS(TF_Timer,TF_Nokkel,M268,TF_Akt,C268))</f>
        <v/>
      </c>
      <c r="O268" s="2">
        <f>IF(M268="","",IF(AND(N268=_xlfn.MAXIFS(TF_AktSum,TF_Nokkel,M268),COUNTIFS(M$3:M267,M268,N$3:N267,N268)=0),M268,""))</f>
        <v/>
      </c>
    </row>
    <row r="269">
      <c r="A269" s="34" t="n"/>
      <c r="B269" s="35" t="n"/>
      <c r="C269" s="35" t="n"/>
      <c r="D269" s="35" t="n"/>
      <c r="E269" s="35" t="n"/>
      <c r="F269" s="36" t="n"/>
      <c r="G269" s="35" t="n"/>
      <c r="H269" s="30">
        <f>IF(L269="","",INDEX(SkiftNavn,L269))</f>
        <v/>
      </c>
      <c r="I269" s="30">
        <f>IF(OR(A269="",L269=""),"",IF(MOD(A269-INDEX(SkiftStart,L269),Syklus)&lt;DagK,"Kveld",IF(MOD(A269-INDEX(SkiftStart,L269),Syklus)&lt;DagK+DagH,"Helg",IF(MOD(A269-INDEX(SkiftStart,L269),Syklus)&lt;DagK+DagH+DagD,"Dag","Fri"))))</f>
        <v/>
      </c>
      <c r="J269" s="30">
        <f>IF(I269="Fri","Ja","")</f>
        <v/>
      </c>
      <c r="K269" s="30">
        <f>IF(B269="","",IF(L269="","Ukjent tekniker",IF(ISNA(MATCH(C269,Aktiviteter,0)),"Ukjent aktivitet",IF(AND(INDEX(AktRolle,MATCH(C269,Aktiviteter,0))&amp;""&lt;&gt;"",ISERROR(SEARCH(INDEX(AktRolle,MATCH(C269,Aktiviteter,0))&amp;"",INDEX(TekRoller,MATCH(B269,Teknikere,0))))),"Mangler rollen "&amp;INDEX(AktRolle,MATCH(C269,Aktiviteter,0))&amp;"",IF(AND(C269="LMS",F269&gt;0,OR(D269="",E269="")),"Mangler maskin eller arbeid",IF(AND(OR(C269="LMS",C269="Mod"),D269&lt;&gt;""),IF(IFERROR(INDEX(MaskinStatus,MATCH(D269,Maskiner,0)),"")="I dokk","","Maskinen er ikke i dokk"),""))))))</f>
        <v/>
      </c>
      <c r="L269" s="2">
        <f>IF(B269="","",IFERROR(INT((MATCH(B269,Teknikere,0)-1)/18)+1,""))</f>
        <v/>
      </c>
      <c r="M269" s="2">
        <f>IF(OR(A269="",B269=""),"",B269&amp;"|"&amp;A269)</f>
        <v/>
      </c>
      <c r="N269" s="2">
        <f>IF(M269="","",SUMIFS(TF_Timer,TF_Nokkel,M269,TF_Akt,C269))</f>
        <v/>
      </c>
      <c r="O269" s="2">
        <f>IF(M269="","",IF(AND(N269=_xlfn.MAXIFS(TF_AktSum,TF_Nokkel,M269),COUNTIFS(M$3:M268,M269,N$3:N268,N269)=0),M269,""))</f>
        <v/>
      </c>
    </row>
    <row r="270">
      <c r="A270" s="34" t="n"/>
      <c r="B270" s="35" t="n"/>
      <c r="C270" s="35" t="n"/>
      <c r="D270" s="35" t="n"/>
      <c r="E270" s="35" t="n"/>
      <c r="F270" s="36" t="n"/>
      <c r="G270" s="35" t="n"/>
      <c r="H270" s="30">
        <f>IF(L270="","",INDEX(SkiftNavn,L270))</f>
        <v/>
      </c>
      <c r="I270" s="30">
        <f>IF(OR(A270="",L270=""),"",IF(MOD(A270-INDEX(SkiftStart,L270),Syklus)&lt;DagK,"Kveld",IF(MOD(A270-INDEX(SkiftStart,L270),Syklus)&lt;DagK+DagH,"Helg",IF(MOD(A270-INDEX(SkiftStart,L270),Syklus)&lt;DagK+DagH+DagD,"Dag","Fri"))))</f>
        <v/>
      </c>
      <c r="J270" s="30">
        <f>IF(I270="Fri","Ja","")</f>
        <v/>
      </c>
      <c r="K270" s="30">
        <f>IF(B270="","",IF(L270="","Ukjent tekniker",IF(ISNA(MATCH(C270,Aktiviteter,0)),"Ukjent aktivitet",IF(AND(INDEX(AktRolle,MATCH(C270,Aktiviteter,0))&amp;""&lt;&gt;"",ISERROR(SEARCH(INDEX(AktRolle,MATCH(C270,Aktiviteter,0))&amp;"",INDEX(TekRoller,MATCH(B270,Teknikere,0))))),"Mangler rollen "&amp;INDEX(AktRolle,MATCH(C270,Aktiviteter,0))&amp;"",IF(AND(C270="LMS",F270&gt;0,OR(D270="",E270="")),"Mangler maskin eller arbeid",IF(AND(OR(C270="LMS",C270="Mod"),D270&lt;&gt;""),IF(IFERROR(INDEX(MaskinStatus,MATCH(D270,Maskiner,0)),"")="I dokk","","Maskinen er ikke i dokk"),""))))))</f>
        <v/>
      </c>
      <c r="L270" s="2">
        <f>IF(B270="","",IFERROR(INT((MATCH(B270,Teknikere,0)-1)/18)+1,""))</f>
        <v/>
      </c>
      <c r="M270" s="2">
        <f>IF(OR(A270="",B270=""),"",B270&amp;"|"&amp;A270)</f>
        <v/>
      </c>
      <c r="N270" s="2">
        <f>IF(M270="","",SUMIFS(TF_Timer,TF_Nokkel,M270,TF_Akt,C270))</f>
        <v/>
      </c>
      <c r="O270" s="2">
        <f>IF(M270="","",IF(AND(N270=_xlfn.MAXIFS(TF_AktSum,TF_Nokkel,M270),COUNTIFS(M$3:M269,M270,N$3:N269,N270)=0),M270,""))</f>
        <v/>
      </c>
    </row>
    <row r="271">
      <c r="A271" s="34" t="n"/>
      <c r="B271" s="35" t="n"/>
      <c r="C271" s="35" t="n"/>
      <c r="D271" s="35" t="n"/>
      <c r="E271" s="35" t="n"/>
      <c r="F271" s="36" t="n"/>
      <c r="G271" s="35" t="n"/>
      <c r="H271" s="30">
        <f>IF(L271="","",INDEX(SkiftNavn,L271))</f>
        <v/>
      </c>
      <c r="I271" s="30">
        <f>IF(OR(A271="",L271=""),"",IF(MOD(A271-INDEX(SkiftStart,L271),Syklus)&lt;DagK,"Kveld",IF(MOD(A271-INDEX(SkiftStart,L271),Syklus)&lt;DagK+DagH,"Helg",IF(MOD(A271-INDEX(SkiftStart,L271),Syklus)&lt;DagK+DagH+DagD,"Dag","Fri"))))</f>
        <v/>
      </c>
      <c r="J271" s="30">
        <f>IF(I271="Fri","Ja","")</f>
        <v/>
      </c>
      <c r="K271" s="30">
        <f>IF(B271="","",IF(L271="","Ukjent tekniker",IF(ISNA(MATCH(C271,Aktiviteter,0)),"Ukjent aktivitet",IF(AND(INDEX(AktRolle,MATCH(C271,Aktiviteter,0))&amp;""&lt;&gt;"",ISERROR(SEARCH(INDEX(AktRolle,MATCH(C271,Aktiviteter,0))&amp;"",INDEX(TekRoller,MATCH(B271,Teknikere,0))))),"Mangler rollen "&amp;INDEX(AktRolle,MATCH(C271,Aktiviteter,0))&amp;"",IF(AND(C271="LMS",F271&gt;0,OR(D271="",E271="")),"Mangler maskin eller arbeid",IF(AND(OR(C271="LMS",C271="Mod"),D271&lt;&gt;""),IF(IFERROR(INDEX(MaskinStatus,MATCH(D271,Maskiner,0)),"")="I dokk","","Maskinen er ikke i dokk"),""))))))</f>
        <v/>
      </c>
      <c r="L271" s="2">
        <f>IF(B271="","",IFERROR(INT((MATCH(B271,Teknikere,0)-1)/18)+1,""))</f>
        <v/>
      </c>
      <c r="M271" s="2">
        <f>IF(OR(A271="",B271=""),"",B271&amp;"|"&amp;A271)</f>
        <v/>
      </c>
      <c r="N271" s="2">
        <f>IF(M271="","",SUMIFS(TF_Timer,TF_Nokkel,M271,TF_Akt,C271))</f>
        <v/>
      </c>
      <c r="O271" s="2">
        <f>IF(M271="","",IF(AND(N271=_xlfn.MAXIFS(TF_AktSum,TF_Nokkel,M271),COUNTIFS(M$3:M270,M271,N$3:N270,N271)=0),M271,""))</f>
        <v/>
      </c>
    </row>
    <row r="272">
      <c r="A272" s="34" t="n"/>
      <c r="B272" s="35" t="n"/>
      <c r="C272" s="35" t="n"/>
      <c r="D272" s="35" t="n"/>
      <c r="E272" s="35" t="n"/>
      <c r="F272" s="36" t="n"/>
      <c r="G272" s="35" t="n"/>
      <c r="H272" s="30">
        <f>IF(L272="","",INDEX(SkiftNavn,L272))</f>
        <v/>
      </c>
      <c r="I272" s="30">
        <f>IF(OR(A272="",L272=""),"",IF(MOD(A272-INDEX(SkiftStart,L272),Syklus)&lt;DagK,"Kveld",IF(MOD(A272-INDEX(SkiftStart,L272),Syklus)&lt;DagK+DagH,"Helg",IF(MOD(A272-INDEX(SkiftStart,L272),Syklus)&lt;DagK+DagH+DagD,"Dag","Fri"))))</f>
        <v/>
      </c>
      <c r="J272" s="30">
        <f>IF(I272="Fri","Ja","")</f>
        <v/>
      </c>
      <c r="K272" s="30">
        <f>IF(B272="","",IF(L272="","Ukjent tekniker",IF(ISNA(MATCH(C272,Aktiviteter,0)),"Ukjent aktivitet",IF(AND(INDEX(AktRolle,MATCH(C272,Aktiviteter,0))&amp;""&lt;&gt;"",ISERROR(SEARCH(INDEX(AktRolle,MATCH(C272,Aktiviteter,0))&amp;"",INDEX(TekRoller,MATCH(B272,Teknikere,0))))),"Mangler rollen "&amp;INDEX(AktRolle,MATCH(C272,Aktiviteter,0))&amp;"",IF(AND(C272="LMS",F272&gt;0,OR(D272="",E272="")),"Mangler maskin eller arbeid",IF(AND(OR(C272="LMS",C272="Mod"),D272&lt;&gt;""),IF(IFERROR(INDEX(MaskinStatus,MATCH(D272,Maskiner,0)),"")="I dokk","","Maskinen er ikke i dokk"),""))))))</f>
        <v/>
      </c>
      <c r="L272" s="2">
        <f>IF(B272="","",IFERROR(INT((MATCH(B272,Teknikere,0)-1)/18)+1,""))</f>
        <v/>
      </c>
      <c r="M272" s="2">
        <f>IF(OR(A272="",B272=""),"",B272&amp;"|"&amp;A272)</f>
        <v/>
      </c>
      <c r="N272" s="2">
        <f>IF(M272="","",SUMIFS(TF_Timer,TF_Nokkel,M272,TF_Akt,C272))</f>
        <v/>
      </c>
      <c r="O272" s="2">
        <f>IF(M272="","",IF(AND(N272=_xlfn.MAXIFS(TF_AktSum,TF_Nokkel,M272),COUNTIFS(M$3:M271,M272,N$3:N271,N272)=0),M272,""))</f>
        <v/>
      </c>
    </row>
    <row r="273">
      <c r="A273" s="34" t="n"/>
      <c r="B273" s="35" t="n"/>
      <c r="C273" s="35" t="n"/>
      <c r="D273" s="35" t="n"/>
      <c r="E273" s="35" t="n"/>
      <c r="F273" s="36" t="n"/>
      <c r="G273" s="35" t="n"/>
      <c r="H273" s="30">
        <f>IF(L273="","",INDEX(SkiftNavn,L273))</f>
        <v/>
      </c>
      <c r="I273" s="30">
        <f>IF(OR(A273="",L273=""),"",IF(MOD(A273-INDEX(SkiftStart,L273),Syklus)&lt;DagK,"Kveld",IF(MOD(A273-INDEX(SkiftStart,L273),Syklus)&lt;DagK+DagH,"Helg",IF(MOD(A273-INDEX(SkiftStart,L273),Syklus)&lt;DagK+DagH+DagD,"Dag","Fri"))))</f>
        <v/>
      </c>
      <c r="J273" s="30">
        <f>IF(I273="Fri","Ja","")</f>
        <v/>
      </c>
      <c r="K273" s="30">
        <f>IF(B273="","",IF(L273="","Ukjent tekniker",IF(ISNA(MATCH(C273,Aktiviteter,0)),"Ukjent aktivitet",IF(AND(INDEX(AktRolle,MATCH(C273,Aktiviteter,0))&amp;""&lt;&gt;"",ISERROR(SEARCH(INDEX(AktRolle,MATCH(C273,Aktiviteter,0))&amp;"",INDEX(TekRoller,MATCH(B273,Teknikere,0))))),"Mangler rollen "&amp;INDEX(AktRolle,MATCH(C273,Aktiviteter,0))&amp;"",IF(AND(C273="LMS",F273&gt;0,OR(D273="",E273="")),"Mangler maskin eller arbeid",IF(AND(OR(C273="LMS",C273="Mod"),D273&lt;&gt;""),IF(IFERROR(INDEX(MaskinStatus,MATCH(D273,Maskiner,0)),"")="I dokk","","Maskinen er ikke i dokk"),""))))))</f>
        <v/>
      </c>
      <c r="L273" s="2">
        <f>IF(B273="","",IFERROR(INT((MATCH(B273,Teknikere,0)-1)/18)+1,""))</f>
        <v/>
      </c>
      <c r="M273" s="2">
        <f>IF(OR(A273="",B273=""),"",B273&amp;"|"&amp;A273)</f>
        <v/>
      </c>
      <c r="N273" s="2">
        <f>IF(M273="","",SUMIFS(TF_Timer,TF_Nokkel,M273,TF_Akt,C273))</f>
        <v/>
      </c>
      <c r="O273" s="2">
        <f>IF(M273="","",IF(AND(N273=_xlfn.MAXIFS(TF_AktSum,TF_Nokkel,M273),COUNTIFS(M$3:M272,M273,N$3:N272,N273)=0),M273,""))</f>
        <v/>
      </c>
    </row>
    <row r="274">
      <c r="A274" s="34" t="n"/>
      <c r="B274" s="35" t="n"/>
      <c r="C274" s="35" t="n"/>
      <c r="D274" s="35" t="n"/>
      <c r="E274" s="35" t="n"/>
      <c r="F274" s="36" t="n"/>
      <c r="G274" s="35" t="n"/>
      <c r="H274" s="30">
        <f>IF(L274="","",INDEX(SkiftNavn,L274))</f>
        <v/>
      </c>
      <c r="I274" s="30">
        <f>IF(OR(A274="",L274=""),"",IF(MOD(A274-INDEX(SkiftStart,L274),Syklus)&lt;DagK,"Kveld",IF(MOD(A274-INDEX(SkiftStart,L274),Syklus)&lt;DagK+DagH,"Helg",IF(MOD(A274-INDEX(SkiftStart,L274),Syklus)&lt;DagK+DagH+DagD,"Dag","Fri"))))</f>
        <v/>
      </c>
      <c r="J274" s="30">
        <f>IF(I274="Fri","Ja","")</f>
        <v/>
      </c>
      <c r="K274" s="30">
        <f>IF(B274="","",IF(L274="","Ukjent tekniker",IF(ISNA(MATCH(C274,Aktiviteter,0)),"Ukjent aktivitet",IF(AND(INDEX(AktRolle,MATCH(C274,Aktiviteter,0))&amp;""&lt;&gt;"",ISERROR(SEARCH(INDEX(AktRolle,MATCH(C274,Aktiviteter,0))&amp;"",INDEX(TekRoller,MATCH(B274,Teknikere,0))))),"Mangler rollen "&amp;INDEX(AktRolle,MATCH(C274,Aktiviteter,0))&amp;"",IF(AND(C274="LMS",F274&gt;0,OR(D274="",E274="")),"Mangler maskin eller arbeid",IF(AND(OR(C274="LMS",C274="Mod"),D274&lt;&gt;""),IF(IFERROR(INDEX(MaskinStatus,MATCH(D274,Maskiner,0)),"")="I dokk","","Maskinen er ikke i dokk"),""))))))</f>
        <v/>
      </c>
      <c r="L274" s="2">
        <f>IF(B274="","",IFERROR(INT((MATCH(B274,Teknikere,0)-1)/18)+1,""))</f>
        <v/>
      </c>
      <c r="M274" s="2">
        <f>IF(OR(A274="",B274=""),"",B274&amp;"|"&amp;A274)</f>
        <v/>
      </c>
      <c r="N274" s="2">
        <f>IF(M274="","",SUMIFS(TF_Timer,TF_Nokkel,M274,TF_Akt,C274))</f>
        <v/>
      </c>
      <c r="O274" s="2">
        <f>IF(M274="","",IF(AND(N274=_xlfn.MAXIFS(TF_AktSum,TF_Nokkel,M274),COUNTIFS(M$3:M273,M274,N$3:N273,N274)=0),M274,""))</f>
        <v/>
      </c>
    </row>
    <row r="275">
      <c r="A275" s="34" t="n"/>
      <c r="B275" s="35" t="n"/>
      <c r="C275" s="35" t="n"/>
      <c r="D275" s="35" t="n"/>
      <c r="E275" s="35" t="n"/>
      <c r="F275" s="36" t="n"/>
      <c r="G275" s="35" t="n"/>
      <c r="H275" s="30">
        <f>IF(L275="","",INDEX(SkiftNavn,L275))</f>
        <v/>
      </c>
      <c r="I275" s="30">
        <f>IF(OR(A275="",L275=""),"",IF(MOD(A275-INDEX(SkiftStart,L275),Syklus)&lt;DagK,"Kveld",IF(MOD(A275-INDEX(SkiftStart,L275),Syklus)&lt;DagK+DagH,"Helg",IF(MOD(A275-INDEX(SkiftStart,L275),Syklus)&lt;DagK+DagH+DagD,"Dag","Fri"))))</f>
        <v/>
      </c>
      <c r="J275" s="30">
        <f>IF(I275="Fri","Ja","")</f>
        <v/>
      </c>
      <c r="K275" s="30">
        <f>IF(B275="","",IF(L275="","Ukjent tekniker",IF(ISNA(MATCH(C275,Aktiviteter,0)),"Ukjent aktivitet",IF(AND(INDEX(AktRolle,MATCH(C275,Aktiviteter,0))&amp;""&lt;&gt;"",ISERROR(SEARCH(INDEX(AktRolle,MATCH(C275,Aktiviteter,0))&amp;"",INDEX(TekRoller,MATCH(B275,Teknikere,0))))),"Mangler rollen "&amp;INDEX(AktRolle,MATCH(C275,Aktiviteter,0))&amp;"",IF(AND(C275="LMS",F275&gt;0,OR(D275="",E275="")),"Mangler maskin eller arbeid",IF(AND(OR(C275="LMS",C275="Mod"),D275&lt;&gt;""),IF(IFERROR(INDEX(MaskinStatus,MATCH(D275,Maskiner,0)),"")="I dokk","","Maskinen er ikke i dokk"),""))))))</f>
        <v/>
      </c>
      <c r="L275" s="2">
        <f>IF(B275="","",IFERROR(INT((MATCH(B275,Teknikere,0)-1)/18)+1,""))</f>
        <v/>
      </c>
      <c r="M275" s="2">
        <f>IF(OR(A275="",B275=""),"",B275&amp;"|"&amp;A275)</f>
        <v/>
      </c>
      <c r="N275" s="2">
        <f>IF(M275="","",SUMIFS(TF_Timer,TF_Nokkel,M275,TF_Akt,C275))</f>
        <v/>
      </c>
      <c r="O275" s="2">
        <f>IF(M275="","",IF(AND(N275=_xlfn.MAXIFS(TF_AktSum,TF_Nokkel,M275),COUNTIFS(M$3:M274,M275,N$3:N274,N275)=0),M275,""))</f>
        <v/>
      </c>
    </row>
    <row r="276">
      <c r="A276" s="34" t="n"/>
      <c r="B276" s="35" t="n"/>
      <c r="C276" s="35" t="n"/>
      <c r="D276" s="35" t="n"/>
      <c r="E276" s="35" t="n"/>
      <c r="F276" s="36" t="n"/>
      <c r="G276" s="35" t="n"/>
      <c r="H276" s="30">
        <f>IF(L276="","",INDEX(SkiftNavn,L276))</f>
        <v/>
      </c>
      <c r="I276" s="30">
        <f>IF(OR(A276="",L276=""),"",IF(MOD(A276-INDEX(SkiftStart,L276),Syklus)&lt;DagK,"Kveld",IF(MOD(A276-INDEX(SkiftStart,L276),Syklus)&lt;DagK+DagH,"Helg",IF(MOD(A276-INDEX(SkiftStart,L276),Syklus)&lt;DagK+DagH+DagD,"Dag","Fri"))))</f>
        <v/>
      </c>
      <c r="J276" s="30">
        <f>IF(I276="Fri","Ja","")</f>
        <v/>
      </c>
      <c r="K276" s="30">
        <f>IF(B276="","",IF(L276="","Ukjent tekniker",IF(ISNA(MATCH(C276,Aktiviteter,0)),"Ukjent aktivitet",IF(AND(INDEX(AktRolle,MATCH(C276,Aktiviteter,0))&amp;""&lt;&gt;"",ISERROR(SEARCH(INDEX(AktRolle,MATCH(C276,Aktiviteter,0))&amp;"",INDEX(TekRoller,MATCH(B276,Teknikere,0))))),"Mangler rollen "&amp;INDEX(AktRolle,MATCH(C276,Aktiviteter,0))&amp;"",IF(AND(C276="LMS",F276&gt;0,OR(D276="",E276="")),"Mangler maskin eller arbeid",IF(AND(OR(C276="LMS",C276="Mod"),D276&lt;&gt;""),IF(IFERROR(INDEX(MaskinStatus,MATCH(D276,Maskiner,0)),"")="I dokk","","Maskinen er ikke i dokk"),""))))))</f>
        <v/>
      </c>
      <c r="L276" s="2">
        <f>IF(B276="","",IFERROR(INT((MATCH(B276,Teknikere,0)-1)/18)+1,""))</f>
        <v/>
      </c>
      <c r="M276" s="2">
        <f>IF(OR(A276="",B276=""),"",B276&amp;"|"&amp;A276)</f>
        <v/>
      </c>
      <c r="N276" s="2">
        <f>IF(M276="","",SUMIFS(TF_Timer,TF_Nokkel,M276,TF_Akt,C276))</f>
        <v/>
      </c>
      <c r="O276" s="2">
        <f>IF(M276="","",IF(AND(N276=_xlfn.MAXIFS(TF_AktSum,TF_Nokkel,M276),COUNTIFS(M$3:M275,M276,N$3:N275,N276)=0),M276,""))</f>
        <v/>
      </c>
    </row>
    <row r="277">
      <c r="A277" s="34" t="n"/>
      <c r="B277" s="35" t="n"/>
      <c r="C277" s="35" t="n"/>
      <c r="D277" s="35" t="n"/>
      <c r="E277" s="35" t="n"/>
      <c r="F277" s="36" t="n"/>
      <c r="G277" s="35" t="n"/>
      <c r="H277" s="30">
        <f>IF(L277="","",INDEX(SkiftNavn,L277))</f>
        <v/>
      </c>
      <c r="I277" s="30">
        <f>IF(OR(A277="",L277=""),"",IF(MOD(A277-INDEX(SkiftStart,L277),Syklus)&lt;DagK,"Kveld",IF(MOD(A277-INDEX(SkiftStart,L277),Syklus)&lt;DagK+DagH,"Helg",IF(MOD(A277-INDEX(SkiftStart,L277),Syklus)&lt;DagK+DagH+DagD,"Dag","Fri"))))</f>
        <v/>
      </c>
      <c r="J277" s="30">
        <f>IF(I277="Fri","Ja","")</f>
        <v/>
      </c>
      <c r="K277" s="30">
        <f>IF(B277="","",IF(L277="","Ukjent tekniker",IF(ISNA(MATCH(C277,Aktiviteter,0)),"Ukjent aktivitet",IF(AND(INDEX(AktRolle,MATCH(C277,Aktiviteter,0))&amp;""&lt;&gt;"",ISERROR(SEARCH(INDEX(AktRolle,MATCH(C277,Aktiviteter,0))&amp;"",INDEX(TekRoller,MATCH(B277,Teknikere,0))))),"Mangler rollen "&amp;INDEX(AktRolle,MATCH(C277,Aktiviteter,0))&amp;"",IF(AND(C277="LMS",F277&gt;0,OR(D277="",E277="")),"Mangler maskin eller arbeid",IF(AND(OR(C277="LMS",C277="Mod"),D277&lt;&gt;""),IF(IFERROR(INDEX(MaskinStatus,MATCH(D277,Maskiner,0)),"")="I dokk","","Maskinen er ikke i dokk"),""))))))</f>
        <v/>
      </c>
      <c r="L277" s="2">
        <f>IF(B277="","",IFERROR(INT((MATCH(B277,Teknikere,0)-1)/18)+1,""))</f>
        <v/>
      </c>
      <c r="M277" s="2">
        <f>IF(OR(A277="",B277=""),"",B277&amp;"|"&amp;A277)</f>
        <v/>
      </c>
      <c r="N277" s="2">
        <f>IF(M277="","",SUMIFS(TF_Timer,TF_Nokkel,M277,TF_Akt,C277))</f>
        <v/>
      </c>
      <c r="O277" s="2">
        <f>IF(M277="","",IF(AND(N277=_xlfn.MAXIFS(TF_AktSum,TF_Nokkel,M277),COUNTIFS(M$3:M276,M277,N$3:N276,N277)=0),M277,""))</f>
        <v/>
      </c>
    </row>
    <row r="278">
      <c r="A278" s="34" t="n"/>
      <c r="B278" s="35" t="n"/>
      <c r="C278" s="35" t="n"/>
      <c r="D278" s="35" t="n"/>
      <c r="E278" s="35" t="n"/>
      <c r="F278" s="36" t="n"/>
      <c r="G278" s="35" t="n"/>
      <c r="H278" s="30">
        <f>IF(L278="","",INDEX(SkiftNavn,L278))</f>
        <v/>
      </c>
      <c r="I278" s="30">
        <f>IF(OR(A278="",L278=""),"",IF(MOD(A278-INDEX(SkiftStart,L278),Syklus)&lt;DagK,"Kveld",IF(MOD(A278-INDEX(SkiftStart,L278),Syklus)&lt;DagK+DagH,"Helg",IF(MOD(A278-INDEX(SkiftStart,L278),Syklus)&lt;DagK+DagH+DagD,"Dag","Fri"))))</f>
        <v/>
      </c>
      <c r="J278" s="30">
        <f>IF(I278="Fri","Ja","")</f>
        <v/>
      </c>
      <c r="K278" s="30">
        <f>IF(B278="","",IF(L278="","Ukjent tekniker",IF(ISNA(MATCH(C278,Aktiviteter,0)),"Ukjent aktivitet",IF(AND(INDEX(AktRolle,MATCH(C278,Aktiviteter,0))&amp;""&lt;&gt;"",ISERROR(SEARCH(INDEX(AktRolle,MATCH(C278,Aktiviteter,0))&amp;"",INDEX(TekRoller,MATCH(B278,Teknikere,0))))),"Mangler rollen "&amp;INDEX(AktRolle,MATCH(C278,Aktiviteter,0))&amp;"",IF(AND(C278="LMS",F278&gt;0,OR(D278="",E278="")),"Mangler maskin eller arbeid",IF(AND(OR(C278="LMS",C278="Mod"),D278&lt;&gt;""),IF(IFERROR(INDEX(MaskinStatus,MATCH(D278,Maskiner,0)),"")="I dokk","","Maskinen er ikke i dokk"),""))))))</f>
        <v/>
      </c>
      <c r="L278" s="2">
        <f>IF(B278="","",IFERROR(INT((MATCH(B278,Teknikere,0)-1)/18)+1,""))</f>
        <v/>
      </c>
      <c r="M278" s="2">
        <f>IF(OR(A278="",B278=""),"",B278&amp;"|"&amp;A278)</f>
        <v/>
      </c>
      <c r="N278" s="2">
        <f>IF(M278="","",SUMIFS(TF_Timer,TF_Nokkel,M278,TF_Akt,C278))</f>
        <v/>
      </c>
      <c r="O278" s="2">
        <f>IF(M278="","",IF(AND(N278=_xlfn.MAXIFS(TF_AktSum,TF_Nokkel,M278),COUNTIFS(M$3:M277,M278,N$3:N277,N278)=0),M278,""))</f>
        <v/>
      </c>
    </row>
    <row r="279">
      <c r="A279" s="34" t="n"/>
      <c r="B279" s="35" t="n"/>
      <c r="C279" s="35" t="n"/>
      <c r="D279" s="35" t="n"/>
      <c r="E279" s="35" t="n"/>
      <c r="F279" s="36" t="n"/>
      <c r="G279" s="35" t="n"/>
      <c r="H279" s="30">
        <f>IF(L279="","",INDEX(SkiftNavn,L279))</f>
        <v/>
      </c>
      <c r="I279" s="30">
        <f>IF(OR(A279="",L279=""),"",IF(MOD(A279-INDEX(SkiftStart,L279),Syklus)&lt;DagK,"Kveld",IF(MOD(A279-INDEX(SkiftStart,L279),Syklus)&lt;DagK+DagH,"Helg",IF(MOD(A279-INDEX(SkiftStart,L279),Syklus)&lt;DagK+DagH+DagD,"Dag","Fri"))))</f>
        <v/>
      </c>
      <c r="J279" s="30">
        <f>IF(I279="Fri","Ja","")</f>
        <v/>
      </c>
      <c r="K279" s="30">
        <f>IF(B279="","",IF(L279="","Ukjent tekniker",IF(ISNA(MATCH(C279,Aktiviteter,0)),"Ukjent aktivitet",IF(AND(INDEX(AktRolle,MATCH(C279,Aktiviteter,0))&amp;""&lt;&gt;"",ISERROR(SEARCH(INDEX(AktRolle,MATCH(C279,Aktiviteter,0))&amp;"",INDEX(TekRoller,MATCH(B279,Teknikere,0))))),"Mangler rollen "&amp;INDEX(AktRolle,MATCH(C279,Aktiviteter,0))&amp;"",IF(AND(C279="LMS",F279&gt;0,OR(D279="",E279="")),"Mangler maskin eller arbeid",IF(AND(OR(C279="LMS",C279="Mod"),D279&lt;&gt;""),IF(IFERROR(INDEX(MaskinStatus,MATCH(D279,Maskiner,0)),"")="I dokk","","Maskinen er ikke i dokk"),""))))))</f>
        <v/>
      </c>
      <c r="L279" s="2">
        <f>IF(B279="","",IFERROR(INT((MATCH(B279,Teknikere,0)-1)/18)+1,""))</f>
        <v/>
      </c>
      <c r="M279" s="2">
        <f>IF(OR(A279="",B279=""),"",B279&amp;"|"&amp;A279)</f>
        <v/>
      </c>
      <c r="N279" s="2">
        <f>IF(M279="","",SUMIFS(TF_Timer,TF_Nokkel,M279,TF_Akt,C279))</f>
        <v/>
      </c>
      <c r="O279" s="2">
        <f>IF(M279="","",IF(AND(N279=_xlfn.MAXIFS(TF_AktSum,TF_Nokkel,M279),COUNTIFS(M$3:M278,M279,N$3:N278,N279)=0),M279,""))</f>
        <v/>
      </c>
    </row>
    <row r="280">
      <c r="A280" s="34" t="n"/>
      <c r="B280" s="35" t="n"/>
      <c r="C280" s="35" t="n"/>
      <c r="D280" s="35" t="n"/>
      <c r="E280" s="35" t="n"/>
      <c r="F280" s="36" t="n"/>
      <c r="G280" s="35" t="n"/>
      <c r="H280" s="30">
        <f>IF(L280="","",INDEX(SkiftNavn,L280))</f>
        <v/>
      </c>
      <c r="I280" s="30">
        <f>IF(OR(A280="",L280=""),"",IF(MOD(A280-INDEX(SkiftStart,L280),Syklus)&lt;DagK,"Kveld",IF(MOD(A280-INDEX(SkiftStart,L280),Syklus)&lt;DagK+DagH,"Helg",IF(MOD(A280-INDEX(SkiftStart,L280),Syklus)&lt;DagK+DagH+DagD,"Dag","Fri"))))</f>
        <v/>
      </c>
      <c r="J280" s="30">
        <f>IF(I280="Fri","Ja","")</f>
        <v/>
      </c>
      <c r="K280" s="30">
        <f>IF(B280="","",IF(L280="","Ukjent tekniker",IF(ISNA(MATCH(C280,Aktiviteter,0)),"Ukjent aktivitet",IF(AND(INDEX(AktRolle,MATCH(C280,Aktiviteter,0))&amp;""&lt;&gt;"",ISERROR(SEARCH(INDEX(AktRolle,MATCH(C280,Aktiviteter,0))&amp;"",INDEX(TekRoller,MATCH(B280,Teknikere,0))))),"Mangler rollen "&amp;INDEX(AktRolle,MATCH(C280,Aktiviteter,0))&amp;"",IF(AND(C280="LMS",F280&gt;0,OR(D280="",E280="")),"Mangler maskin eller arbeid",IF(AND(OR(C280="LMS",C280="Mod"),D280&lt;&gt;""),IF(IFERROR(INDEX(MaskinStatus,MATCH(D280,Maskiner,0)),"")="I dokk","","Maskinen er ikke i dokk"),""))))))</f>
        <v/>
      </c>
      <c r="L280" s="2">
        <f>IF(B280="","",IFERROR(INT((MATCH(B280,Teknikere,0)-1)/18)+1,""))</f>
        <v/>
      </c>
      <c r="M280" s="2">
        <f>IF(OR(A280="",B280=""),"",B280&amp;"|"&amp;A280)</f>
        <v/>
      </c>
      <c r="N280" s="2">
        <f>IF(M280="","",SUMIFS(TF_Timer,TF_Nokkel,M280,TF_Akt,C280))</f>
        <v/>
      </c>
      <c r="O280" s="2">
        <f>IF(M280="","",IF(AND(N280=_xlfn.MAXIFS(TF_AktSum,TF_Nokkel,M280),COUNTIFS(M$3:M279,M280,N$3:N279,N280)=0),M280,""))</f>
        <v/>
      </c>
    </row>
    <row r="281">
      <c r="A281" s="34" t="n"/>
      <c r="B281" s="35" t="n"/>
      <c r="C281" s="35" t="n"/>
      <c r="D281" s="35" t="n"/>
      <c r="E281" s="35" t="n"/>
      <c r="F281" s="36" t="n"/>
      <c r="G281" s="35" t="n"/>
      <c r="H281" s="30">
        <f>IF(L281="","",INDEX(SkiftNavn,L281))</f>
        <v/>
      </c>
      <c r="I281" s="30">
        <f>IF(OR(A281="",L281=""),"",IF(MOD(A281-INDEX(SkiftStart,L281),Syklus)&lt;DagK,"Kveld",IF(MOD(A281-INDEX(SkiftStart,L281),Syklus)&lt;DagK+DagH,"Helg",IF(MOD(A281-INDEX(SkiftStart,L281),Syklus)&lt;DagK+DagH+DagD,"Dag","Fri"))))</f>
        <v/>
      </c>
      <c r="J281" s="30">
        <f>IF(I281="Fri","Ja","")</f>
        <v/>
      </c>
      <c r="K281" s="30">
        <f>IF(B281="","",IF(L281="","Ukjent tekniker",IF(ISNA(MATCH(C281,Aktiviteter,0)),"Ukjent aktivitet",IF(AND(INDEX(AktRolle,MATCH(C281,Aktiviteter,0))&amp;""&lt;&gt;"",ISERROR(SEARCH(INDEX(AktRolle,MATCH(C281,Aktiviteter,0))&amp;"",INDEX(TekRoller,MATCH(B281,Teknikere,0))))),"Mangler rollen "&amp;INDEX(AktRolle,MATCH(C281,Aktiviteter,0))&amp;"",IF(AND(C281="LMS",F281&gt;0,OR(D281="",E281="")),"Mangler maskin eller arbeid",IF(AND(OR(C281="LMS",C281="Mod"),D281&lt;&gt;""),IF(IFERROR(INDEX(MaskinStatus,MATCH(D281,Maskiner,0)),"")="I dokk","","Maskinen er ikke i dokk"),""))))))</f>
        <v/>
      </c>
      <c r="L281" s="2">
        <f>IF(B281="","",IFERROR(INT((MATCH(B281,Teknikere,0)-1)/18)+1,""))</f>
        <v/>
      </c>
      <c r="M281" s="2">
        <f>IF(OR(A281="",B281=""),"",B281&amp;"|"&amp;A281)</f>
        <v/>
      </c>
      <c r="N281" s="2">
        <f>IF(M281="","",SUMIFS(TF_Timer,TF_Nokkel,M281,TF_Akt,C281))</f>
        <v/>
      </c>
      <c r="O281" s="2">
        <f>IF(M281="","",IF(AND(N281=_xlfn.MAXIFS(TF_AktSum,TF_Nokkel,M281),COUNTIFS(M$3:M280,M281,N$3:N280,N281)=0),M281,""))</f>
        <v/>
      </c>
    </row>
    <row r="282">
      <c r="A282" s="34" t="n"/>
      <c r="B282" s="35" t="n"/>
      <c r="C282" s="35" t="n"/>
      <c r="D282" s="35" t="n"/>
      <c r="E282" s="35" t="n"/>
      <c r="F282" s="36" t="n"/>
      <c r="G282" s="35" t="n"/>
      <c r="H282" s="30">
        <f>IF(L282="","",INDEX(SkiftNavn,L282))</f>
        <v/>
      </c>
      <c r="I282" s="30">
        <f>IF(OR(A282="",L282=""),"",IF(MOD(A282-INDEX(SkiftStart,L282),Syklus)&lt;DagK,"Kveld",IF(MOD(A282-INDEX(SkiftStart,L282),Syklus)&lt;DagK+DagH,"Helg",IF(MOD(A282-INDEX(SkiftStart,L282),Syklus)&lt;DagK+DagH+DagD,"Dag","Fri"))))</f>
        <v/>
      </c>
      <c r="J282" s="30">
        <f>IF(I282="Fri","Ja","")</f>
        <v/>
      </c>
      <c r="K282" s="30">
        <f>IF(B282="","",IF(L282="","Ukjent tekniker",IF(ISNA(MATCH(C282,Aktiviteter,0)),"Ukjent aktivitet",IF(AND(INDEX(AktRolle,MATCH(C282,Aktiviteter,0))&amp;""&lt;&gt;"",ISERROR(SEARCH(INDEX(AktRolle,MATCH(C282,Aktiviteter,0))&amp;"",INDEX(TekRoller,MATCH(B282,Teknikere,0))))),"Mangler rollen "&amp;INDEX(AktRolle,MATCH(C282,Aktiviteter,0))&amp;"",IF(AND(C282="LMS",F282&gt;0,OR(D282="",E282="")),"Mangler maskin eller arbeid",IF(AND(OR(C282="LMS",C282="Mod"),D282&lt;&gt;""),IF(IFERROR(INDEX(MaskinStatus,MATCH(D282,Maskiner,0)),"")="I dokk","","Maskinen er ikke i dokk"),""))))))</f>
        <v/>
      </c>
      <c r="L282" s="2">
        <f>IF(B282="","",IFERROR(INT((MATCH(B282,Teknikere,0)-1)/18)+1,""))</f>
        <v/>
      </c>
      <c r="M282" s="2">
        <f>IF(OR(A282="",B282=""),"",B282&amp;"|"&amp;A282)</f>
        <v/>
      </c>
      <c r="N282" s="2">
        <f>IF(M282="","",SUMIFS(TF_Timer,TF_Nokkel,M282,TF_Akt,C282))</f>
        <v/>
      </c>
      <c r="O282" s="2">
        <f>IF(M282="","",IF(AND(N282=_xlfn.MAXIFS(TF_AktSum,TF_Nokkel,M282),COUNTIFS(M$3:M281,M282,N$3:N281,N282)=0),M282,""))</f>
        <v/>
      </c>
    </row>
    <row r="283">
      <c r="A283" s="34" t="n"/>
      <c r="B283" s="35" t="n"/>
      <c r="C283" s="35" t="n"/>
      <c r="D283" s="35" t="n"/>
      <c r="E283" s="35" t="n"/>
      <c r="F283" s="36" t="n"/>
      <c r="G283" s="35" t="n"/>
      <c r="H283" s="30">
        <f>IF(L283="","",INDEX(SkiftNavn,L283))</f>
        <v/>
      </c>
      <c r="I283" s="30">
        <f>IF(OR(A283="",L283=""),"",IF(MOD(A283-INDEX(SkiftStart,L283),Syklus)&lt;DagK,"Kveld",IF(MOD(A283-INDEX(SkiftStart,L283),Syklus)&lt;DagK+DagH,"Helg",IF(MOD(A283-INDEX(SkiftStart,L283),Syklus)&lt;DagK+DagH+DagD,"Dag","Fri"))))</f>
        <v/>
      </c>
      <c r="J283" s="30">
        <f>IF(I283="Fri","Ja","")</f>
        <v/>
      </c>
      <c r="K283" s="30">
        <f>IF(B283="","",IF(L283="","Ukjent tekniker",IF(ISNA(MATCH(C283,Aktiviteter,0)),"Ukjent aktivitet",IF(AND(INDEX(AktRolle,MATCH(C283,Aktiviteter,0))&amp;""&lt;&gt;"",ISERROR(SEARCH(INDEX(AktRolle,MATCH(C283,Aktiviteter,0))&amp;"",INDEX(TekRoller,MATCH(B283,Teknikere,0))))),"Mangler rollen "&amp;INDEX(AktRolle,MATCH(C283,Aktiviteter,0))&amp;"",IF(AND(C283="LMS",F283&gt;0,OR(D283="",E283="")),"Mangler maskin eller arbeid",IF(AND(OR(C283="LMS",C283="Mod"),D283&lt;&gt;""),IF(IFERROR(INDEX(MaskinStatus,MATCH(D283,Maskiner,0)),"")="I dokk","","Maskinen er ikke i dokk"),""))))))</f>
        <v/>
      </c>
      <c r="L283" s="2">
        <f>IF(B283="","",IFERROR(INT((MATCH(B283,Teknikere,0)-1)/18)+1,""))</f>
        <v/>
      </c>
      <c r="M283" s="2">
        <f>IF(OR(A283="",B283=""),"",B283&amp;"|"&amp;A283)</f>
        <v/>
      </c>
      <c r="N283" s="2">
        <f>IF(M283="","",SUMIFS(TF_Timer,TF_Nokkel,M283,TF_Akt,C283))</f>
        <v/>
      </c>
      <c r="O283" s="2">
        <f>IF(M283="","",IF(AND(N283=_xlfn.MAXIFS(TF_AktSum,TF_Nokkel,M283),COUNTIFS(M$3:M282,M283,N$3:N282,N283)=0),M283,""))</f>
        <v/>
      </c>
    </row>
    <row r="284">
      <c r="A284" s="34" t="n"/>
      <c r="B284" s="35" t="n"/>
      <c r="C284" s="35" t="n"/>
      <c r="D284" s="35" t="n"/>
      <c r="E284" s="35" t="n"/>
      <c r="F284" s="36" t="n"/>
      <c r="G284" s="35" t="n"/>
      <c r="H284" s="30">
        <f>IF(L284="","",INDEX(SkiftNavn,L284))</f>
        <v/>
      </c>
      <c r="I284" s="30">
        <f>IF(OR(A284="",L284=""),"",IF(MOD(A284-INDEX(SkiftStart,L284),Syklus)&lt;DagK,"Kveld",IF(MOD(A284-INDEX(SkiftStart,L284),Syklus)&lt;DagK+DagH,"Helg",IF(MOD(A284-INDEX(SkiftStart,L284),Syklus)&lt;DagK+DagH+DagD,"Dag","Fri"))))</f>
        <v/>
      </c>
      <c r="J284" s="30">
        <f>IF(I284="Fri","Ja","")</f>
        <v/>
      </c>
      <c r="K284" s="30">
        <f>IF(B284="","",IF(L284="","Ukjent tekniker",IF(ISNA(MATCH(C284,Aktiviteter,0)),"Ukjent aktivitet",IF(AND(INDEX(AktRolle,MATCH(C284,Aktiviteter,0))&amp;""&lt;&gt;"",ISERROR(SEARCH(INDEX(AktRolle,MATCH(C284,Aktiviteter,0))&amp;"",INDEX(TekRoller,MATCH(B284,Teknikere,0))))),"Mangler rollen "&amp;INDEX(AktRolle,MATCH(C284,Aktiviteter,0))&amp;"",IF(AND(C284="LMS",F284&gt;0,OR(D284="",E284="")),"Mangler maskin eller arbeid",IF(AND(OR(C284="LMS",C284="Mod"),D284&lt;&gt;""),IF(IFERROR(INDEX(MaskinStatus,MATCH(D284,Maskiner,0)),"")="I dokk","","Maskinen er ikke i dokk"),""))))))</f>
        <v/>
      </c>
      <c r="L284" s="2">
        <f>IF(B284="","",IFERROR(INT((MATCH(B284,Teknikere,0)-1)/18)+1,""))</f>
        <v/>
      </c>
      <c r="M284" s="2">
        <f>IF(OR(A284="",B284=""),"",B284&amp;"|"&amp;A284)</f>
        <v/>
      </c>
      <c r="N284" s="2">
        <f>IF(M284="","",SUMIFS(TF_Timer,TF_Nokkel,M284,TF_Akt,C284))</f>
        <v/>
      </c>
      <c r="O284" s="2">
        <f>IF(M284="","",IF(AND(N284=_xlfn.MAXIFS(TF_AktSum,TF_Nokkel,M284),COUNTIFS(M$3:M283,M284,N$3:N283,N284)=0),M284,""))</f>
        <v/>
      </c>
    </row>
    <row r="285">
      <c r="A285" s="34" t="n"/>
      <c r="B285" s="35" t="n"/>
      <c r="C285" s="35" t="n"/>
      <c r="D285" s="35" t="n"/>
      <c r="E285" s="35" t="n"/>
      <c r="F285" s="36" t="n"/>
      <c r="G285" s="35" t="n"/>
      <c r="H285" s="30">
        <f>IF(L285="","",INDEX(SkiftNavn,L285))</f>
        <v/>
      </c>
      <c r="I285" s="30">
        <f>IF(OR(A285="",L285=""),"",IF(MOD(A285-INDEX(SkiftStart,L285),Syklus)&lt;DagK,"Kveld",IF(MOD(A285-INDEX(SkiftStart,L285),Syklus)&lt;DagK+DagH,"Helg",IF(MOD(A285-INDEX(SkiftStart,L285),Syklus)&lt;DagK+DagH+DagD,"Dag","Fri"))))</f>
        <v/>
      </c>
      <c r="J285" s="30">
        <f>IF(I285="Fri","Ja","")</f>
        <v/>
      </c>
      <c r="K285" s="30">
        <f>IF(B285="","",IF(L285="","Ukjent tekniker",IF(ISNA(MATCH(C285,Aktiviteter,0)),"Ukjent aktivitet",IF(AND(INDEX(AktRolle,MATCH(C285,Aktiviteter,0))&amp;""&lt;&gt;"",ISERROR(SEARCH(INDEX(AktRolle,MATCH(C285,Aktiviteter,0))&amp;"",INDEX(TekRoller,MATCH(B285,Teknikere,0))))),"Mangler rollen "&amp;INDEX(AktRolle,MATCH(C285,Aktiviteter,0))&amp;"",IF(AND(C285="LMS",F285&gt;0,OR(D285="",E285="")),"Mangler maskin eller arbeid",IF(AND(OR(C285="LMS",C285="Mod"),D285&lt;&gt;""),IF(IFERROR(INDEX(MaskinStatus,MATCH(D285,Maskiner,0)),"")="I dokk","","Maskinen er ikke i dokk"),""))))))</f>
        <v/>
      </c>
      <c r="L285" s="2">
        <f>IF(B285="","",IFERROR(INT((MATCH(B285,Teknikere,0)-1)/18)+1,""))</f>
        <v/>
      </c>
      <c r="M285" s="2">
        <f>IF(OR(A285="",B285=""),"",B285&amp;"|"&amp;A285)</f>
        <v/>
      </c>
      <c r="N285" s="2">
        <f>IF(M285="","",SUMIFS(TF_Timer,TF_Nokkel,M285,TF_Akt,C285))</f>
        <v/>
      </c>
      <c r="O285" s="2">
        <f>IF(M285="","",IF(AND(N285=_xlfn.MAXIFS(TF_AktSum,TF_Nokkel,M285),COUNTIFS(M$3:M284,M285,N$3:N284,N285)=0),M285,""))</f>
        <v/>
      </c>
    </row>
    <row r="286">
      <c r="A286" s="34" t="n"/>
      <c r="B286" s="35" t="n"/>
      <c r="C286" s="35" t="n"/>
      <c r="D286" s="35" t="n"/>
      <c r="E286" s="35" t="n"/>
      <c r="F286" s="36" t="n"/>
      <c r="G286" s="35" t="n"/>
      <c r="H286" s="30">
        <f>IF(L286="","",INDEX(SkiftNavn,L286))</f>
        <v/>
      </c>
      <c r="I286" s="30">
        <f>IF(OR(A286="",L286=""),"",IF(MOD(A286-INDEX(SkiftStart,L286),Syklus)&lt;DagK,"Kveld",IF(MOD(A286-INDEX(SkiftStart,L286),Syklus)&lt;DagK+DagH,"Helg",IF(MOD(A286-INDEX(SkiftStart,L286),Syklus)&lt;DagK+DagH+DagD,"Dag","Fri"))))</f>
        <v/>
      </c>
      <c r="J286" s="30">
        <f>IF(I286="Fri","Ja","")</f>
        <v/>
      </c>
      <c r="K286" s="30">
        <f>IF(B286="","",IF(L286="","Ukjent tekniker",IF(ISNA(MATCH(C286,Aktiviteter,0)),"Ukjent aktivitet",IF(AND(INDEX(AktRolle,MATCH(C286,Aktiviteter,0))&amp;""&lt;&gt;"",ISERROR(SEARCH(INDEX(AktRolle,MATCH(C286,Aktiviteter,0))&amp;"",INDEX(TekRoller,MATCH(B286,Teknikere,0))))),"Mangler rollen "&amp;INDEX(AktRolle,MATCH(C286,Aktiviteter,0))&amp;"",IF(AND(C286="LMS",F286&gt;0,OR(D286="",E286="")),"Mangler maskin eller arbeid",IF(AND(OR(C286="LMS",C286="Mod"),D286&lt;&gt;""),IF(IFERROR(INDEX(MaskinStatus,MATCH(D286,Maskiner,0)),"")="I dokk","","Maskinen er ikke i dokk"),""))))))</f>
        <v/>
      </c>
      <c r="L286" s="2">
        <f>IF(B286="","",IFERROR(INT((MATCH(B286,Teknikere,0)-1)/18)+1,""))</f>
        <v/>
      </c>
      <c r="M286" s="2">
        <f>IF(OR(A286="",B286=""),"",B286&amp;"|"&amp;A286)</f>
        <v/>
      </c>
      <c r="N286" s="2">
        <f>IF(M286="","",SUMIFS(TF_Timer,TF_Nokkel,M286,TF_Akt,C286))</f>
        <v/>
      </c>
      <c r="O286" s="2">
        <f>IF(M286="","",IF(AND(N286=_xlfn.MAXIFS(TF_AktSum,TF_Nokkel,M286),COUNTIFS(M$3:M285,M286,N$3:N285,N286)=0),M286,""))</f>
        <v/>
      </c>
    </row>
    <row r="287">
      <c r="A287" s="34" t="n"/>
      <c r="B287" s="35" t="n"/>
      <c r="C287" s="35" t="n"/>
      <c r="D287" s="35" t="n"/>
      <c r="E287" s="35" t="n"/>
      <c r="F287" s="36" t="n"/>
      <c r="G287" s="35" t="n"/>
      <c r="H287" s="30">
        <f>IF(L287="","",INDEX(SkiftNavn,L287))</f>
        <v/>
      </c>
      <c r="I287" s="30">
        <f>IF(OR(A287="",L287=""),"",IF(MOD(A287-INDEX(SkiftStart,L287),Syklus)&lt;DagK,"Kveld",IF(MOD(A287-INDEX(SkiftStart,L287),Syklus)&lt;DagK+DagH,"Helg",IF(MOD(A287-INDEX(SkiftStart,L287),Syklus)&lt;DagK+DagH+DagD,"Dag","Fri"))))</f>
        <v/>
      </c>
      <c r="J287" s="30">
        <f>IF(I287="Fri","Ja","")</f>
        <v/>
      </c>
      <c r="K287" s="30">
        <f>IF(B287="","",IF(L287="","Ukjent tekniker",IF(ISNA(MATCH(C287,Aktiviteter,0)),"Ukjent aktivitet",IF(AND(INDEX(AktRolle,MATCH(C287,Aktiviteter,0))&amp;""&lt;&gt;"",ISERROR(SEARCH(INDEX(AktRolle,MATCH(C287,Aktiviteter,0))&amp;"",INDEX(TekRoller,MATCH(B287,Teknikere,0))))),"Mangler rollen "&amp;INDEX(AktRolle,MATCH(C287,Aktiviteter,0))&amp;"",IF(AND(C287="LMS",F287&gt;0,OR(D287="",E287="")),"Mangler maskin eller arbeid",IF(AND(OR(C287="LMS",C287="Mod"),D287&lt;&gt;""),IF(IFERROR(INDEX(MaskinStatus,MATCH(D287,Maskiner,0)),"")="I dokk","","Maskinen er ikke i dokk"),""))))))</f>
        <v/>
      </c>
      <c r="L287" s="2">
        <f>IF(B287="","",IFERROR(INT((MATCH(B287,Teknikere,0)-1)/18)+1,""))</f>
        <v/>
      </c>
      <c r="M287" s="2">
        <f>IF(OR(A287="",B287=""),"",B287&amp;"|"&amp;A287)</f>
        <v/>
      </c>
      <c r="N287" s="2">
        <f>IF(M287="","",SUMIFS(TF_Timer,TF_Nokkel,M287,TF_Akt,C287))</f>
        <v/>
      </c>
      <c r="O287" s="2">
        <f>IF(M287="","",IF(AND(N287=_xlfn.MAXIFS(TF_AktSum,TF_Nokkel,M287),COUNTIFS(M$3:M286,M287,N$3:N286,N287)=0),M287,""))</f>
        <v/>
      </c>
    </row>
    <row r="288">
      <c r="A288" s="34" t="n"/>
      <c r="B288" s="35" t="n"/>
      <c r="C288" s="35" t="n"/>
      <c r="D288" s="35" t="n"/>
      <c r="E288" s="35" t="n"/>
      <c r="F288" s="36" t="n"/>
      <c r="G288" s="35" t="n"/>
      <c r="H288" s="30">
        <f>IF(L288="","",INDEX(SkiftNavn,L288))</f>
        <v/>
      </c>
      <c r="I288" s="30">
        <f>IF(OR(A288="",L288=""),"",IF(MOD(A288-INDEX(SkiftStart,L288),Syklus)&lt;DagK,"Kveld",IF(MOD(A288-INDEX(SkiftStart,L288),Syklus)&lt;DagK+DagH,"Helg",IF(MOD(A288-INDEX(SkiftStart,L288),Syklus)&lt;DagK+DagH+DagD,"Dag","Fri"))))</f>
        <v/>
      </c>
      <c r="J288" s="30">
        <f>IF(I288="Fri","Ja","")</f>
        <v/>
      </c>
      <c r="K288" s="30">
        <f>IF(B288="","",IF(L288="","Ukjent tekniker",IF(ISNA(MATCH(C288,Aktiviteter,0)),"Ukjent aktivitet",IF(AND(INDEX(AktRolle,MATCH(C288,Aktiviteter,0))&amp;""&lt;&gt;"",ISERROR(SEARCH(INDEX(AktRolle,MATCH(C288,Aktiviteter,0))&amp;"",INDEX(TekRoller,MATCH(B288,Teknikere,0))))),"Mangler rollen "&amp;INDEX(AktRolle,MATCH(C288,Aktiviteter,0))&amp;"",IF(AND(C288="LMS",F288&gt;0,OR(D288="",E288="")),"Mangler maskin eller arbeid",IF(AND(OR(C288="LMS",C288="Mod"),D288&lt;&gt;""),IF(IFERROR(INDEX(MaskinStatus,MATCH(D288,Maskiner,0)),"")="I dokk","","Maskinen er ikke i dokk"),""))))))</f>
        <v/>
      </c>
      <c r="L288" s="2">
        <f>IF(B288="","",IFERROR(INT((MATCH(B288,Teknikere,0)-1)/18)+1,""))</f>
        <v/>
      </c>
      <c r="M288" s="2">
        <f>IF(OR(A288="",B288=""),"",B288&amp;"|"&amp;A288)</f>
        <v/>
      </c>
      <c r="N288" s="2">
        <f>IF(M288="","",SUMIFS(TF_Timer,TF_Nokkel,M288,TF_Akt,C288))</f>
        <v/>
      </c>
      <c r="O288" s="2">
        <f>IF(M288="","",IF(AND(N288=_xlfn.MAXIFS(TF_AktSum,TF_Nokkel,M288),COUNTIFS(M$3:M287,M288,N$3:N287,N288)=0),M288,""))</f>
        <v/>
      </c>
    </row>
    <row r="289">
      <c r="A289" s="34" t="n"/>
      <c r="B289" s="35" t="n"/>
      <c r="C289" s="35" t="n"/>
      <c r="D289" s="35" t="n"/>
      <c r="E289" s="35" t="n"/>
      <c r="F289" s="36" t="n"/>
      <c r="G289" s="35" t="n"/>
      <c r="H289" s="30">
        <f>IF(L289="","",INDEX(SkiftNavn,L289))</f>
        <v/>
      </c>
      <c r="I289" s="30">
        <f>IF(OR(A289="",L289=""),"",IF(MOD(A289-INDEX(SkiftStart,L289),Syklus)&lt;DagK,"Kveld",IF(MOD(A289-INDEX(SkiftStart,L289),Syklus)&lt;DagK+DagH,"Helg",IF(MOD(A289-INDEX(SkiftStart,L289),Syklus)&lt;DagK+DagH+DagD,"Dag","Fri"))))</f>
        <v/>
      </c>
      <c r="J289" s="30">
        <f>IF(I289="Fri","Ja","")</f>
        <v/>
      </c>
      <c r="K289" s="30">
        <f>IF(B289="","",IF(L289="","Ukjent tekniker",IF(ISNA(MATCH(C289,Aktiviteter,0)),"Ukjent aktivitet",IF(AND(INDEX(AktRolle,MATCH(C289,Aktiviteter,0))&amp;""&lt;&gt;"",ISERROR(SEARCH(INDEX(AktRolle,MATCH(C289,Aktiviteter,0))&amp;"",INDEX(TekRoller,MATCH(B289,Teknikere,0))))),"Mangler rollen "&amp;INDEX(AktRolle,MATCH(C289,Aktiviteter,0))&amp;"",IF(AND(C289="LMS",F289&gt;0,OR(D289="",E289="")),"Mangler maskin eller arbeid",IF(AND(OR(C289="LMS",C289="Mod"),D289&lt;&gt;""),IF(IFERROR(INDEX(MaskinStatus,MATCH(D289,Maskiner,0)),"")="I dokk","","Maskinen er ikke i dokk"),""))))))</f>
        <v/>
      </c>
      <c r="L289" s="2">
        <f>IF(B289="","",IFERROR(INT((MATCH(B289,Teknikere,0)-1)/18)+1,""))</f>
        <v/>
      </c>
      <c r="M289" s="2">
        <f>IF(OR(A289="",B289=""),"",B289&amp;"|"&amp;A289)</f>
        <v/>
      </c>
      <c r="N289" s="2">
        <f>IF(M289="","",SUMIFS(TF_Timer,TF_Nokkel,M289,TF_Akt,C289))</f>
        <v/>
      </c>
      <c r="O289" s="2">
        <f>IF(M289="","",IF(AND(N289=_xlfn.MAXIFS(TF_AktSum,TF_Nokkel,M289),COUNTIFS(M$3:M288,M289,N$3:N288,N289)=0),M289,""))</f>
        <v/>
      </c>
    </row>
    <row r="290">
      <c r="A290" s="34" t="n"/>
      <c r="B290" s="35" t="n"/>
      <c r="C290" s="35" t="n"/>
      <c r="D290" s="35" t="n"/>
      <c r="E290" s="35" t="n"/>
      <c r="F290" s="36" t="n"/>
      <c r="G290" s="35" t="n"/>
      <c r="H290" s="30">
        <f>IF(L290="","",INDEX(SkiftNavn,L290))</f>
        <v/>
      </c>
      <c r="I290" s="30">
        <f>IF(OR(A290="",L290=""),"",IF(MOD(A290-INDEX(SkiftStart,L290),Syklus)&lt;DagK,"Kveld",IF(MOD(A290-INDEX(SkiftStart,L290),Syklus)&lt;DagK+DagH,"Helg",IF(MOD(A290-INDEX(SkiftStart,L290),Syklus)&lt;DagK+DagH+DagD,"Dag","Fri"))))</f>
        <v/>
      </c>
      <c r="J290" s="30">
        <f>IF(I290="Fri","Ja","")</f>
        <v/>
      </c>
      <c r="K290" s="30">
        <f>IF(B290="","",IF(L290="","Ukjent tekniker",IF(ISNA(MATCH(C290,Aktiviteter,0)),"Ukjent aktivitet",IF(AND(INDEX(AktRolle,MATCH(C290,Aktiviteter,0))&amp;""&lt;&gt;"",ISERROR(SEARCH(INDEX(AktRolle,MATCH(C290,Aktiviteter,0))&amp;"",INDEX(TekRoller,MATCH(B290,Teknikere,0))))),"Mangler rollen "&amp;INDEX(AktRolle,MATCH(C290,Aktiviteter,0))&amp;"",IF(AND(C290="LMS",F290&gt;0,OR(D290="",E290="")),"Mangler maskin eller arbeid",IF(AND(OR(C290="LMS",C290="Mod"),D290&lt;&gt;""),IF(IFERROR(INDEX(MaskinStatus,MATCH(D290,Maskiner,0)),"")="I dokk","","Maskinen er ikke i dokk"),""))))))</f>
        <v/>
      </c>
      <c r="L290" s="2">
        <f>IF(B290="","",IFERROR(INT((MATCH(B290,Teknikere,0)-1)/18)+1,""))</f>
        <v/>
      </c>
      <c r="M290" s="2">
        <f>IF(OR(A290="",B290=""),"",B290&amp;"|"&amp;A290)</f>
        <v/>
      </c>
      <c r="N290" s="2">
        <f>IF(M290="","",SUMIFS(TF_Timer,TF_Nokkel,M290,TF_Akt,C290))</f>
        <v/>
      </c>
      <c r="O290" s="2">
        <f>IF(M290="","",IF(AND(N290=_xlfn.MAXIFS(TF_AktSum,TF_Nokkel,M290),COUNTIFS(M$3:M289,M290,N$3:N289,N290)=0),M290,""))</f>
        <v/>
      </c>
    </row>
    <row r="291">
      <c r="A291" s="34" t="n"/>
      <c r="B291" s="35" t="n"/>
      <c r="C291" s="35" t="n"/>
      <c r="D291" s="35" t="n"/>
      <c r="E291" s="35" t="n"/>
      <c r="F291" s="36" t="n"/>
      <c r="G291" s="35" t="n"/>
      <c r="H291" s="30">
        <f>IF(L291="","",INDEX(SkiftNavn,L291))</f>
        <v/>
      </c>
      <c r="I291" s="30">
        <f>IF(OR(A291="",L291=""),"",IF(MOD(A291-INDEX(SkiftStart,L291),Syklus)&lt;DagK,"Kveld",IF(MOD(A291-INDEX(SkiftStart,L291),Syklus)&lt;DagK+DagH,"Helg",IF(MOD(A291-INDEX(SkiftStart,L291),Syklus)&lt;DagK+DagH+DagD,"Dag","Fri"))))</f>
        <v/>
      </c>
      <c r="J291" s="30">
        <f>IF(I291="Fri","Ja","")</f>
        <v/>
      </c>
      <c r="K291" s="30">
        <f>IF(B291="","",IF(L291="","Ukjent tekniker",IF(ISNA(MATCH(C291,Aktiviteter,0)),"Ukjent aktivitet",IF(AND(INDEX(AktRolle,MATCH(C291,Aktiviteter,0))&amp;""&lt;&gt;"",ISERROR(SEARCH(INDEX(AktRolle,MATCH(C291,Aktiviteter,0))&amp;"",INDEX(TekRoller,MATCH(B291,Teknikere,0))))),"Mangler rollen "&amp;INDEX(AktRolle,MATCH(C291,Aktiviteter,0))&amp;"",IF(AND(C291="LMS",F291&gt;0,OR(D291="",E291="")),"Mangler maskin eller arbeid",IF(AND(OR(C291="LMS",C291="Mod"),D291&lt;&gt;""),IF(IFERROR(INDEX(MaskinStatus,MATCH(D291,Maskiner,0)),"")="I dokk","","Maskinen er ikke i dokk"),""))))))</f>
        <v/>
      </c>
      <c r="L291" s="2">
        <f>IF(B291="","",IFERROR(INT((MATCH(B291,Teknikere,0)-1)/18)+1,""))</f>
        <v/>
      </c>
      <c r="M291" s="2">
        <f>IF(OR(A291="",B291=""),"",B291&amp;"|"&amp;A291)</f>
        <v/>
      </c>
      <c r="N291" s="2">
        <f>IF(M291="","",SUMIFS(TF_Timer,TF_Nokkel,M291,TF_Akt,C291))</f>
        <v/>
      </c>
      <c r="O291" s="2">
        <f>IF(M291="","",IF(AND(N291=_xlfn.MAXIFS(TF_AktSum,TF_Nokkel,M291),COUNTIFS(M$3:M290,M291,N$3:N290,N291)=0),M291,""))</f>
        <v/>
      </c>
    </row>
    <row r="292">
      <c r="A292" s="34" t="n"/>
      <c r="B292" s="35" t="n"/>
      <c r="C292" s="35" t="n"/>
      <c r="D292" s="35" t="n"/>
      <c r="E292" s="35" t="n"/>
      <c r="F292" s="36" t="n"/>
      <c r="G292" s="35" t="n"/>
      <c r="H292" s="30">
        <f>IF(L292="","",INDEX(SkiftNavn,L292))</f>
        <v/>
      </c>
      <c r="I292" s="30">
        <f>IF(OR(A292="",L292=""),"",IF(MOD(A292-INDEX(SkiftStart,L292),Syklus)&lt;DagK,"Kveld",IF(MOD(A292-INDEX(SkiftStart,L292),Syklus)&lt;DagK+DagH,"Helg",IF(MOD(A292-INDEX(SkiftStart,L292),Syklus)&lt;DagK+DagH+DagD,"Dag","Fri"))))</f>
        <v/>
      </c>
      <c r="J292" s="30">
        <f>IF(I292="Fri","Ja","")</f>
        <v/>
      </c>
      <c r="K292" s="30">
        <f>IF(B292="","",IF(L292="","Ukjent tekniker",IF(ISNA(MATCH(C292,Aktiviteter,0)),"Ukjent aktivitet",IF(AND(INDEX(AktRolle,MATCH(C292,Aktiviteter,0))&amp;""&lt;&gt;"",ISERROR(SEARCH(INDEX(AktRolle,MATCH(C292,Aktiviteter,0))&amp;"",INDEX(TekRoller,MATCH(B292,Teknikere,0))))),"Mangler rollen "&amp;INDEX(AktRolle,MATCH(C292,Aktiviteter,0))&amp;"",IF(AND(C292="LMS",F292&gt;0,OR(D292="",E292="")),"Mangler maskin eller arbeid",IF(AND(OR(C292="LMS",C292="Mod"),D292&lt;&gt;""),IF(IFERROR(INDEX(MaskinStatus,MATCH(D292,Maskiner,0)),"")="I dokk","","Maskinen er ikke i dokk"),""))))))</f>
        <v/>
      </c>
      <c r="L292" s="2">
        <f>IF(B292="","",IFERROR(INT((MATCH(B292,Teknikere,0)-1)/18)+1,""))</f>
        <v/>
      </c>
      <c r="M292" s="2">
        <f>IF(OR(A292="",B292=""),"",B292&amp;"|"&amp;A292)</f>
        <v/>
      </c>
      <c r="N292" s="2">
        <f>IF(M292="","",SUMIFS(TF_Timer,TF_Nokkel,M292,TF_Akt,C292))</f>
        <v/>
      </c>
      <c r="O292" s="2">
        <f>IF(M292="","",IF(AND(N292=_xlfn.MAXIFS(TF_AktSum,TF_Nokkel,M292),COUNTIFS(M$3:M291,M292,N$3:N291,N292)=0),M292,""))</f>
        <v/>
      </c>
    </row>
    <row r="293">
      <c r="A293" s="34" t="n"/>
      <c r="B293" s="35" t="n"/>
      <c r="C293" s="35" t="n"/>
      <c r="D293" s="35" t="n"/>
      <c r="E293" s="35" t="n"/>
      <c r="F293" s="36" t="n"/>
      <c r="G293" s="35" t="n"/>
      <c r="H293" s="30">
        <f>IF(L293="","",INDEX(SkiftNavn,L293))</f>
        <v/>
      </c>
      <c r="I293" s="30">
        <f>IF(OR(A293="",L293=""),"",IF(MOD(A293-INDEX(SkiftStart,L293),Syklus)&lt;DagK,"Kveld",IF(MOD(A293-INDEX(SkiftStart,L293),Syklus)&lt;DagK+DagH,"Helg",IF(MOD(A293-INDEX(SkiftStart,L293),Syklus)&lt;DagK+DagH+DagD,"Dag","Fri"))))</f>
        <v/>
      </c>
      <c r="J293" s="30">
        <f>IF(I293="Fri","Ja","")</f>
        <v/>
      </c>
      <c r="K293" s="30">
        <f>IF(B293="","",IF(L293="","Ukjent tekniker",IF(ISNA(MATCH(C293,Aktiviteter,0)),"Ukjent aktivitet",IF(AND(INDEX(AktRolle,MATCH(C293,Aktiviteter,0))&amp;""&lt;&gt;"",ISERROR(SEARCH(INDEX(AktRolle,MATCH(C293,Aktiviteter,0))&amp;"",INDEX(TekRoller,MATCH(B293,Teknikere,0))))),"Mangler rollen "&amp;INDEX(AktRolle,MATCH(C293,Aktiviteter,0))&amp;"",IF(AND(C293="LMS",F293&gt;0,OR(D293="",E293="")),"Mangler maskin eller arbeid",IF(AND(OR(C293="LMS",C293="Mod"),D293&lt;&gt;""),IF(IFERROR(INDEX(MaskinStatus,MATCH(D293,Maskiner,0)),"")="I dokk","","Maskinen er ikke i dokk"),""))))))</f>
        <v/>
      </c>
      <c r="L293" s="2">
        <f>IF(B293="","",IFERROR(INT((MATCH(B293,Teknikere,0)-1)/18)+1,""))</f>
        <v/>
      </c>
      <c r="M293" s="2">
        <f>IF(OR(A293="",B293=""),"",B293&amp;"|"&amp;A293)</f>
        <v/>
      </c>
      <c r="N293" s="2">
        <f>IF(M293="","",SUMIFS(TF_Timer,TF_Nokkel,M293,TF_Akt,C293))</f>
        <v/>
      </c>
      <c r="O293" s="2">
        <f>IF(M293="","",IF(AND(N293=_xlfn.MAXIFS(TF_AktSum,TF_Nokkel,M293),COUNTIFS(M$3:M292,M293,N$3:N292,N293)=0),M293,""))</f>
        <v/>
      </c>
    </row>
    <row r="294">
      <c r="A294" s="34" t="n"/>
      <c r="B294" s="35" t="n"/>
      <c r="C294" s="35" t="n"/>
      <c r="D294" s="35" t="n"/>
      <c r="E294" s="35" t="n"/>
      <c r="F294" s="36" t="n"/>
      <c r="G294" s="35" t="n"/>
      <c r="H294" s="30">
        <f>IF(L294="","",INDEX(SkiftNavn,L294))</f>
        <v/>
      </c>
      <c r="I294" s="30">
        <f>IF(OR(A294="",L294=""),"",IF(MOD(A294-INDEX(SkiftStart,L294),Syklus)&lt;DagK,"Kveld",IF(MOD(A294-INDEX(SkiftStart,L294),Syklus)&lt;DagK+DagH,"Helg",IF(MOD(A294-INDEX(SkiftStart,L294),Syklus)&lt;DagK+DagH+DagD,"Dag","Fri"))))</f>
        <v/>
      </c>
      <c r="J294" s="30">
        <f>IF(I294="Fri","Ja","")</f>
        <v/>
      </c>
      <c r="K294" s="30">
        <f>IF(B294="","",IF(L294="","Ukjent tekniker",IF(ISNA(MATCH(C294,Aktiviteter,0)),"Ukjent aktivitet",IF(AND(INDEX(AktRolle,MATCH(C294,Aktiviteter,0))&amp;""&lt;&gt;"",ISERROR(SEARCH(INDEX(AktRolle,MATCH(C294,Aktiviteter,0))&amp;"",INDEX(TekRoller,MATCH(B294,Teknikere,0))))),"Mangler rollen "&amp;INDEX(AktRolle,MATCH(C294,Aktiviteter,0))&amp;"",IF(AND(C294="LMS",F294&gt;0,OR(D294="",E294="")),"Mangler maskin eller arbeid",IF(AND(OR(C294="LMS",C294="Mod"),D294&lt;&gt;""),IF(IFERROR(INDEX(MaskinStatus,MATCH(D294,Maskiner,0)),"")="I dokk","","Maskinen er ikke i dokk"),""))))))</f>
        <v/>
      </c>
      <c r="L294" s="2">
        <f>IF(B294="","",IFERROR(INT((MATCH(B294,Teknikere,0)-1)/18)+1,""))</f>
        <v/>
      </c>
      <c r="M294" s="2">
        <f>IF(OR(A294="",B294=""),"",B294&amp;"|"&amp;A294)</f>
        <v/>
      </c>
      <c r="N294" s="2">
        <f>IF(M294="","",SUMIFS(TF_Timer,TF_Nokkel,M294,TF_Akt,C294))</f>
        <v/>
      </c>
      <c r="O294" s="2">
        <f>IF(M294="","",IF(AND(N294=_xlfn.MAXIFS(TF_AktSum,TF_Nokkel,M294),COUNTIFS(M$3:M293,M294,N$3:N293,N294)=0),M294,""))</f>
        <v/>
      </c>
    </row>
    <row r="295">
      <c r="A295" s="34" t="n"/>
      <c r="B295" s="35" t="n"/>
      <c r="C295" s="35" t="n"/>
      <c r="D295" s="35" t="n"/>
      <c r="E295" s="35" t="n"/>
      <c r="F295" s="36" t="n"/>
      <c r="G295" s="35" t="n"/>
      <c r="H295" s="30">
        <f>IF(L295="","",INDEX(SkiftNavn,L295))</f>
        <v/>
      </c>
      <c r="I295" s="30">
        <f>IF(OR(A295="",L295=""),"",IF(MOD(A295-INDEX(SkiftStart,L295),Syklus)&lt;DagK,"Kveld",IF(MOD(A295-INDEX(SkiftStart,L295),Syklus)&lt;DagK+DagH,"Helg",IF(MOD(A295-INDEX(SkiftStart,L295),Syklus)&lt;DagK+DagH+DagD,"Dag","Fri"))))</f>
        <v/>
      </c>
      <c r="J295" s="30">
        <f>IF(I295="Fri","Ja","")</f>
        <v/>
      </c>
      <c r="K295" s="30">
        <f>IF(B295="","",IF(L295="","Ukjent tekniker",IF(ISNA(MATCH(C295,Aktiviteter,0)),"Ukjent aktivitet",IF(AND(INDEX(AktRolle,MATCH(C295,Aktiviteter,0))&amp;""&lt;&gt;"",ISERROR(SEARCH(INDEX(AktRolle,MATCH(C295,Aktiviteter,0))&amp;"",INDEX(TekRoller,MATCH(B295,Teknikere,0))))),"Mangler rollen "&amp;INDEX(AktRolle,MATCH(C295,Aktiviteter,0))&amp;"",IF(AND(C295="LMS",F295&gt;0,OR(D295="",E295="")),"Mangler maskin eller arbeid",IF(AND(OR(C295="LMS",C295="Mod"),D295&lt;&gt;""),IF(IFERROR(INDEX(MaskinStatus,MATCH(D295,Maskiner,0)),"")="I dokk","","Maskinen er ikke i dokk"),""))))))</f>
        <v/>
      </c>
      <c r="L295" s="2">
        <f>IF(B295="","",IFERROR(INT((MATCH(B295,Teknikere,0)-1)/18)+1,""))</f>
        <v/>
      </c>
      <c r="M295" s="2">
        <f>IF(OR(A295="",B295=""),"",B295&amp;"|"&amp;A295)</f>
        <v/>
      </c>
      <c r="N295" s="2">
        <f>IF(M295="","",SUMIFS(TF_Timer,TF_Nokkel,M295,TF_Akt,C295))</f>
        <v/>
      </c>
      <c r="O295" s="2">
        <f>IF(M295="","",IF(AND(N295=_xlfn.MAXIFS(TF_AktSum,TF_Nokkel,M295),COUNTIFS(M$3:M294,M295,N$3:N294,N295)=0),M295,""))</f>
        <v/>
      </c>
    </row>
    <row r="296">
      <c r="A296" s="34" t="n"/>
      <c r="B296" s="35" t="n"/>
      <c r="C296" s="35" t="n"/>
      <c r="D296" s="35" t="n"/>
      <c r="E296" s="35" t="n"/>
      <c r="F296" s="36" t="n"/>
      <c r="G296" s="35" t="n"/>
      <c r="H296" s="30">
        <f>IF(L296="","",INDEX(SkiftNavn,L296))</f>
        <v/>
      </c>
      <c r="I296" s="30">
        <f>IF(OR(A296="",L296=""),"",IF(MOD(A296-INDEX(SkiftStart,L296),Syklus)&lt;DagK,"Kveld",IF(MOD(A296-INDEX(SkiftStart,L296),Syklus)&lt;DagK+DagH,"Helg",IF(MOD(A296-INDEX(SkiftStart,L296),Syklus)&lt;DagK+DagH+DagD,"Dag","Fri"))))</f>
        <v/>
      </c>
      <c r="J296" s="30">
        <f>IF(I296="Fri","Ja","")</f>
        <v/>
      </c>
      <c r="K296" s="30">
        <f>IF(B296="","",IF(L296="","Ukjent tekniker",IF(ISNA(MATCH(C296,Aktiviteter,0)),"Ukjent aktivitet",IF(AND(INDEX(AktRolle,MATCH(C296,Aktiviteter,0))&amp;""&lt;&gt;"",ISERROR(SEARCH(INDEX(AktRolle,MATCH(C296,Aktiviteter,0))&amp;"",INDEX(TekRoller,MATCH(B296,Teknikere,0))))),"Mangler rollen "&amp;INDEX(AktRolle,MATCH(C296,Aktiviteter,0))&amp;"",IF(AND(C296="LMS",F296&gt;0,OR(D296="",E296="")),"Mangler maskin eller arbeid",IF(AND(OR(C296="LMS",C296="Mod"),D296&lt;&gt;""),IF(IFERROR(INDEX(MaskinStatus,MATCH(D296,Maskiner,0)),"")="I dokk","","Maskinen er ikke i dokk"),""))))))</f>
        <v/>
      </c>
      <c r="L296" s="2">
        <f>IF(B296="","",IFERROR(INT((MATCH(B296,Teknikere,0)-1)/18)+1,""))</f>
        <v/>
      </c>
      <c r="M296" s="2">
        <f>IF(OR(A296="",B296=""),"",B296&amp;"|"&amp;A296)</f>
        <v/>
      </c>
      <c r="N296" s="2">
        <f>IF(M296="","",SUMIFS(TF_Timer,TF_Nokkel,M296,TF_Akt,C296))</f>
        <v/>
      </c>
      <c r="O296" s="2">
        <f>IF(M296="","",IF(AND(N296=_xlfn.MAXIFS(TF_AktSum,TF_Nokkel,M296),COUNTIFS(M$3:M295,M296,N$3:N295,N296)=0),M296,""))</f>
        <v/>
      </c>
    </row>
    <row r="297">
      <c r="A297" s="34" t="n"/>
      <c r="B297" s="35" t="n"/>
      <c r="C297" s="35" t="n"/>
      <c r="D297" s="35" t="n"/>
      <c r="E297" s="35" t="n"/>
      <c r="F297" s="36" t="n"/>
      <c r="G297" s="35" t="n"/>
      <c r="H297" s="30">
        <f>IF(L297="","",INDEX(SkiftNavn,L297))</f>
        <v/>
      </c>
      <c r="I297" s="30">
        <f>IF(OR(A297="",L297=""),"",IF(MOD(A297-INDEX(SkiftStart,L297),Syklus)&lt;DagK,"Kveld",IF(MOD(A297-INDEX(SkiftStart,L297),Syklus)&lt;DagK+DagH,"Helg",IF(MOD(A297-INDEX(SkiftStart,L297),Syklus)&lt;DagK+DagH+DagD,"Dag","Fri"))))</f>
        <v/>
      </c>
      <c r="J297" s="30">
        <f>IF(I297="Fri","Ja","")</f>
        <v/>
      </c>
      <c r="K297" s="30">
        <f>IF(B297="","",IF(L297="","Ukjent tekniker",IF(ISNA(MATCH(C297,Aktiviteter,0)),"Ukjent aktivitet",IF(AND(INDEX(AktRolle,MATCH(C297,Aktiviteter,0))&amp;""&lt;&gt;"",ISERROR(SEARCH(INDEX(AktRolle,MATCH(C297,Aktiviteter,0))&amp;"",INDEX(TekRoller,MATCH(B297,Teknikere,0))))),"Mangler rollen "&amp;INDEX(AktRolle,MATCH(C297,Aktiviteter,0))&amp;"",IF(AND(C297="LMS",F297&gt;0,OR(D297="",E297="")),"Mangler maskin eller arbeid",IF(AND(OR(C297="LMS",C297="Mod"),D297&lt;&gt;""),IF(IFERROR(INDEX(MaskinStatus,MATCH(D297,Maskiner,0)),"")="I dokk","","Maskinen er ikke i dokk"),""))))))</f>
        <v/>
      </c>
      <c r="L297" s="2">
        <f>IF(B297="","",IFERROR(INT((MATCH(B297,Teknikere,0)-1)/18)+1,""))</f>
        <v/>
      </c>
      <c r="M297" s="2">
        <f>IF(OR(A297="",B297=""),"",B297&amp;"|"&amp;A297)</f>
        <v/>
      </c>
      <c r="N297" s="2">
        <f>IF(M297="","",SUMIFS(TF_Timer,TF_Nokkel,M297,TF_Akt,C297))</f>
        <v/>
      </c>
      <c r="O297" s="2">
        <f>IF(M297="","",IF(AND(N297=_xlfn.MAXIFS(TF_AktSum,TF_Nokkel,M297),COUNTIFS(M$3:M296,M297,N$3:N296,N297)=0),M297,""))</f>
        <v/>
      </c>
    </row>
    <row r="298">
      <c r="A298" s="34" t="n"/>
      <c r="B298" s="35" t="n"/>
      <c r="C298" s="35" t="n"/>
      <c r="D298" s="35" t="n"/>
      <c r="E298" s="35" t="n"/>
      <c r="F298" s="36" t="n"/>
      <c r="G298" s="35" t="n"/>
      <c r="H298" s="30">
        <f>IF(L298="","",INDEX(SkiftNavn,L298))</f>
        <v/>
      </c>
      <c r="I298" s="30">
        <f>IF(OR(A298="",L298=""),"",IF(MOD(A298-INDEX(SkiftStart,L298),Syklus)&lt;DagK,"Kveld",IF(MOD(A298-INDEX(SkiftStart,L298),Syklus)&lt;DagK+DagH,"Helg",IF(MOD(A298-INDEX(SkiftStart,L298),Syklus)&lt;DagK+DagH+DagD,"Dag","Fri"))))</f>
        <v/>
      </c>
      <c r="J298" s="30">
        <f>IF(I298="Fri","Ja","")</f>
        <v/>
      </c>
      <c r="K298" s="30">
        <f>IF(B298="","",IF(L298="","Ukjent tekniker",IF(ISNA(MATCH(C298,Aktiviteter,0)),"Ukjent aktivitet",IF(AND(INDEX(AktRolle,MATCH(C298,Aktiviteter,0))&amp;""&lt;&gt;"",ISERROR(SEARCH(INDEX(AktRolle,MATCH(C298,Aktiviteter,0))&amp;"",INDEX(TekRoller,MATCH(B298,Teknikere,0))))),"Mangler rollen "&amp;INDEX(AktRolle,MATCH(C298,Aktiviteter,0))&amp;"",IF(AND(C298="LMS",F298&gt;0,OR(D298="",E298="")),"Mangler maskin eller arbeid",IF(AND(OR(C298="LMS",C298="Mod"),D298&lt;&gt;""),IF(IFERROR(INDEX(MaskinStatus,MATCH(D298,Maskiner,0)),"")="I dokk","","Maskinen er ikke i dokk"),""))))))</f>
        <v/>
      </c>
      <c r="L298" s="2">
        <f>IF(B298="","",IFERROR(INT((MATCH(B298,Teknikere,0)-1)/18)+1,""))</f>
        <v/>
      </c>
      <c r="M298" s="2">
        <f>IF(OR(A298="",B298=""),"",B298&amp;"|"&amp;A298)</f>
        <v/>
      </c>
      <c r="N298" s="2">
        <f>IF(M298="","",SUMIFS(TF_Timer,TF_Nokkel,M298,TF_Akt,C298))</f>
        <v/>
      </c>
      <c r="O298" s="2">
        <f>IF(M298="","",IF(AND(N298=_xlfn.MAXIFS(TF_AktSum,TF_Nokkel,M298),COUNTIFS(M$3:M297,M298,N$3:N297,N298)=0),M298,""))</f>
        <v/>
      </c>
    </row>
    <row r="299">
      <c r="A299" s="34" t="n"/>
      <c r="B299" s="35" t="n"/>
      <c r="C299" s="35" t="n"/>
      <c r="D299" s="35" t="n"/>
      <c r="E299" s="35" t="n"/>
      <c r="F299" s="36" t="n"/>
      <c r="G299" s="35" t="n"/>
      <c r="H299" s="30">
        <f>IF(L299="","",INDEX(SkiftNavn,L299))</f>
        <v/>
      </c>
      <c r="I299" s="30">
        <f>IF(OR(A299="",L299=""),"",IF(MOD(A299-INDEX(SkiftStart,L299),Syklus)&lt;DagK,"Kveld",IF(MOD(A299-INDEX(SkiftStart,L299),Syklus)&lt;DagK+DagH,"Helg",IF(MOD(A299-INDEX(SkiftStart,L299),Syklus)&lt;DagK+DagH+DagD,"Dag","Fri"))))</f>
        <v/>
      </c>
      <c r="J299" s="30">
        <f>IF(I299="Fri","Ja","")</f>
        <v/>
      </c>
      <c r="K299" s="30">
        <f>IF(B299="","",IF(L299="","Ukjent tekniker",IF(ISNA(MATCH(C299,Aktiviteter,0)),"Ukjent aktivitet",IF(AND(INDEX(AktRolle,MATCH(C299,Aktiviteter,0))&amp;""&lt;&gt;"",ISERROR(SEARCH(INDEX(AktRolle,MATCH(C299,Aktiviteter,0))&amp;"",INDEX(TekRoller,MATCH(B299,Teknikere,0))))),"Mangler rollen "&amp;INDEX(AktRolle,MATCH(C299,Aktiviteter,0))&amp;"",IF(AND(C299="LMS",F299&gt;0,OR(D299="",E299="")),"Mangler maskin eller arbeid",IF(AND(OR(C299="LMS",C299="Mod"),D299&lt;&gt;""),IF(IFERROR(INDEX(MaskinStatus,MATCH(D299,Maskiner,0)),"")="I dokk","","Maskinen er ikke i dokk"),""))))))</f>
        <v/>
      </c>
      <c r="L299" s="2">
        <f>IF(B299="","",IFERROR(INT((MATCH(B299,Teknikere,0)-1)/18)+1,""))</f>
        <v/>
      </c>
      <c r="M299" s="2">
        <f>IF(OR(A299="",B299=""),"",B299&amp;"|"&amp;A299)</f>
        <v/>
      </c>
      <c r="N299" s="2">
        <f>IF(M299="","",SUMIFS(TF_Timer,TF_Nokkel,M299,TF_Akt,C299))</f>
        <v/>
      </c>
      <c r="O299" s="2">
        <f>IF(M299="","",IF(AND(N299=_xlfn.MAXIFS(TF_AktSum,TF_Nokkel,M299),COUNTIFS(M$3:M298,M299,N$3:N298,N299)=0),M299,""))</f>
        <v/>
      </c>
    </row>
    <row r="300">
      <c r="A300" s="34" t="n"/>
      <c r="B300" s="35" t="n"/>
      <c r="C300" s="35" t="n"/>
      <c r="D300" s="35" t="n"/>
      <c r="E300" s="35" t="n"/>
      <c r="F300" s="36" t="n"/>
      <c r="G300" s="35" t="n"/>
      <c r="H300" s="30">
        <f>IF(L300="","",INDEX(SkiftNavn,L300))</f>
        <v/>
      </c>
      <c r="I300" s="30">
        <f>IF(OR(A300="",L300=""),"",IF(MOD(A300-INDEX(SkiftStart,L300),Syklus)&lt;DagK,"Kveld",IF(MOD(A300-INDEX(SkiftStart,L300),Syklus)&lt;DagK+DagH,"Helg",IF(MOD(A300-INDEX(SkiftStart,L300),Syklus)&lt;DagK+DagH+DagD,"Dag","Fri"))))</f>
        <v/>
      </c>
      <c r="J300" s="30">
        <f>IF(I300="Fri","Ja","")</f>
        <v/>
      </c>
      <c r="K300" s="30">
        <f>IF(B300="","",IF(L300="","Ukjent tekniker",IF(ISNA(MATCH(C300,Aktiviteter,0)),"Ukjent aktivitet",IF(AND(INDEX(AktRolle,MATCH(C300,Aktiviteter,0))&amp;""&lt;&gt;"",ISERROR(SEARCH(INDEX(AktRolle,MATCH(C300,Aktiviteter,0))&amp;"",INDEX(TekRoller,MATCH(B300,Teknikere,0))))),"Mangler rollen "&amp;INDEX(AktRolle,MATCH(C300,Aktiviteter,0))&amp;"",IF(AND(C300="LMS",F300&gt;0,OR(D300="",E300="")),"Mangler maskin eller arbeid",IF(AND(OR(C300="LMS",C300="Mod"),D300&lt;&gt;""),IF(IFERROR(INDEX(MaskinStatus,MATCH(D300,Maskiner,0)),"")="I dokk","","Maskinen er ikke i dokk"),""))))))</f>
        <v/>
      </c>
      <c r="L300" s="2">
        <f>IF(B300="","",IFERROR(INT((MATCH(B300,Teknikere,0)-1)/18)+1,""))</f>
        <v/>
      </c>
      <c r="M300" s="2">
        <f>IF(OR(A300="",B300=""),"",B300&amp;"|"&amp;A300)</f>
        <v/>
      </c>
      <c r="N300" s="2">
        <f>IF(M300="","",SUMIFS(TF_Timer,TF_Nokkel,M300,TF_Akt,C300))</f>
        <v/>
      </c>
      <c r="O300" s="2">
        <f>IF(M300="","",IF(AND(N300=_xlfn.MAXIFS(TF_AktSum,TF_Nokkel,M300),COUNTIFS(M$3:M299,M300,N$3:N299,N300)=0),M300,""))</f>
        <v/>
      </c>
    </row>
    <row r="301">
      <c r="A301" s="34" t="n"/>
      <c r="B301" s="35" t="n"/>
      <c r="C301" s="35" t="n"/>
      <c r="D301" s="35" t="n"/>
      <c r="E301" s="35" t="n"/>
      <c r="F301" s="36" t="n"/>
      <c r="G301" s="35" t="n"/>
      <c r="H301" s="30">
        <f>IF(L301="","",INDEX(SkiftNavn,L301))</f>
        <v/>
      </c>
      <c r="I301" s="30">
        <f>IF(OR(A301="",L301=""),"",IF(MOD(A301-INDEX(SkiftStart,L301),Syklus)&lt;DagK,"Kveld",IF(MOD(A301-INDEX(SkiftStart,L301),Syklus)&lt;DagK+DagH,"Helg",IF(MOD(A301-INDEX(SkiftStart,L301),Syklus)&lt;DagK+DagH+DagD,"Dag","Fri"))))</f>
        <v/>
      </c>
      <c r="J301" s="30">
        <f>IF(I301="Fri","Ja","")</f>
        <v/>
      </c>
      <c r="K301" s="30">
        <f>IF(B301="","",IF(L301="","Ukjent tekniker",IF(ISNA(MATCH(C301,Aktiviteter,0)),"Ukjent aktivitet",IF(AND(INDEX(AktRolle,MATCH(C301,Aktiviteter,0))&amp;""&lt;&gt;"",ISERROR(SEARCH(INDEX(AktRolle,MATCH(C301,Aktiviteter,0))&amp;"",INDEX(TekRoller,MATCH(B301,Teknikere,0))))),"Mangler rollen "&amp;INDEX(AktRolle,MATCH(C301,Aktiviteter,0))&amp;"",IF(AND(C301="LMS",F301&gt;0,OR(D301="",E301="")),"Mangler maskin eller arbeid",IF(AND(OR(C301="LMS",C301="Mod"),D301&lt;&gt;""),IF(IFERROR(INDEX(MaskinStatus,MATCH(D301,Maskiner,0)),"")="I dokk","","Maskinen er ikke i dokk"),""))))))</f>
        <v/>
      </c>
      <c r="L301" s="2">
        <f>IF(B301="","",IFERROR(INT((MATCH(B301,Teknikere,0)-1)/18)+1,""))</f>
        <v/>
      </c>
      <c r="M301" s="2">
        <f>IF(OR(A301="",B301=""),"",B301&amp;"|"&amp;A301)</f>
        <v/>
      </c>
      <c r="N301" s="2">
        <f>IF(M301="","",SUMIFS(TF_Timer,TF_Nokkel,M301,TF_Akt,C301))</f>
        <v/>
      </c>
      <c r="O301" s="2">
        <f>IF(M301="","",IF(AND(N301=_xlfn.MAXIFS(TF_AktSum,TF_Nokkel,M301),COUNTIFS(M$3:M300,M301,N$3:N300,N301)=0),M301,""))</f>
        <v/>
      </c>
    </row>
    <row r="302">
      <c r="A302" s="34" t="n"/>
      <c r="B302" s="35" t="n"/>
      <c r="C302" s="35" t="n"/>
      <c r="D302" s="35" t="n"/>
      <c r="E302" s="35" t="n"/>
      <c r="F302" s="36" t="n"/>
      <c r="G302" s="35" t="n"/>
      <c r="H302" s="30">
        <f>IF(L302="","",INDEX(SkiftNavn,L302))</f>
        <v/>
      </c>
      <c r="I302" s="30">
        <f>IF(OR(A302="",L302=""),"",IF(MOD(A302-INDEX(SkiftStart,L302),Syklus)&lt;DagK,"Kveld",IF(MOD(A302-INDEX(SkiftStart,L302),Syklus)&lt;DagK+DagH,"Helg",IF(MOD(A302-INDEX(SkiftStart,L302),Syklus)&lt;DagK+DagH+DagD,"Dag","Fri"))))</f>
        <v/>
      </c>
      <c r="J302" s="30">
        <f>IF(I302="Fri","Ja","")</f>
        <v/>
      </c>
      <c r="K302" s="30">
        <f>IF(B302="","",IF(L302="","Ukjent tekniker",IF(ISNA(MATCH(C302,Aktiviteter,0)),"Ukjent aktivitet",IF(AND(INDEX(AktRolle,MATCH(C302,Aktiviteter,0))&amp;""&lt;&gt;"",ISERROR(SEARCH(INDEX(AktRolle,MATCH(C302,Aktiviteter,0))&amp;"",INDEX(TekRoller,MATCH(B302,Teknikere,0))))),"Mangler rollen "&amp;INDEX(AktRolle,MATCH(C302,Aktiviteter,0))&amp;"",IF(AND(C302="LMS",F302&gt;0,OR(D302="",E302="")),"Mangler maskin eller arbeid",IF(AND(OR(C302="LMS",C302="Mod"),D302&lt;&gt;""),IF(IFERROR(INDEX(MaskinStatus,MATCH(D302,Maskiner,0)),"")="I dokk","","Maskinen er ikke i dokk"),""))))))</f>
        <v/>
      </c>
      <c r="L302" s="2">
        <f>IF(B302="","",IFERROR(INT((MATCH(B302,Teknikere,0)-1)/18)+1,""))</f>
        <v/>
      </c>
      <c r="M302" s="2">
        <f>IF(OR(A302="",B302=""),"",B302&amp;"|"&amp;A302)</f>
        <v/>
      </c>
      <c r="N302" s="2">
        <f>IF(M302="","",SUMIFS(TF_Timer,TF_Nokkel,M302,TF_Akt,C302))</f>
        <v/>
      </c>
      <c r="O302" s="2">
        <f>IF(M302="","",IF(AND(N302=_xlfn.MAXIFS(TF_AktSum,TF_Nokkel,M302),COUNTIFS(M$3:M301,M302,N$3:N301,N302)=0),M302,""))</f>
        <v/>
      </c>
    </row>
    <row r="303">
      <c r="A303" s="34" t="n"/>
      <c r="B303" s="35" t="n"/>
      <c r="C303" s="35" t="n"/>
      <c r="D303" s="35" t="n"/>
      <c r="E303" s="35" t="n"/>
      <c r="F303" s="36" t="n"/>
      <c r="G303" s="35" t="n"/>
      <c r="H303" s="30">
        <f>IF(L303="","",INDEX(SkiftNavn,L303))</f>
        <v/>
      </c>
      <c r="I303" s="30">
        <f>IF(OR(A303="",L303=""),"",IF(MOD(A303-INDEX(SkiftStart,L303),Syklus)&lt;DagK,"Kveld",IF(MOD(A303-INDEX(SkiftStart,L303),Syklus)&lt;DagK+DagH,"Helg",IF(MOD(A303-INDEX(SkiftStart,L303),Syklus)&lt;DagK+DagH+DagD,"Dag","Fri"))))</f>
        <v/>
      </c>
      <c r="J303" s="30">
        <f>IF(I303="Fri","Ja","")</f>
        <v/>
      </c>
      <c r="K303" s="30">
        <f>IF(B303="","",IF(L303="","Ukjent tekniker",IF(ISNA(MATCH(C303,Aktiviteter,0)),"Ukjent aktivitet",IF(AND(INDEX(AktRolle,MATCH(C303,Aktiviteter,0))&amp;""&lt;&gt;"",ISERROR(SEARCH(INDEX(AktRolle,MATCH(C303,Aktiviteter,0))&amp;"",INDEX(TekRoller,MATCH(B303,Teknikere,0))))),"Mangler rollen "&amp;INDEX(AktRolle,MATCH(C303,Aktiviteter,0))&amp;"",IF(AND(C303="LMS",F303&gt;0,OR(D303="",E303="")),"Mangler maskin eller arbeid",IF(AND(OR(C303="LMS",C303="Mod"),D303&lt;&gt;""),IF(IFERROR(INDEX(MaskinStatus,MATCH(D303,Maskiner,0)),"")="I dokk","","Maskinen er ikke i dokk"),""))))))</f>
        <v/>
      </c>
      <c r="L303" s="2">
        <f>IF(B303="","",IFERROR(INT((MATCH(B303,Teknikere,0)-1)/18)+1,""))</f>
        <v/>
      </c>
      <c r="M303" s="2">
        <f>IF(OR(A303="",B303=""),"",B303&amp;"|"&amp;A303)</f>
        <v/>
      </c>
      <c r="N303" s="2">
        <f>IF(M303="","",SUMIFS(TF_Timer,TF_Nokkel,M303,TF_Akt,C303))</f>
        <v/>
      </c>
      <c r="O303" s="2">
        <f>IF(M303="","",IF(AND(N303=_xlfn.MAXIFS(TF_AktSum,TF_Nokkel,M303),COUNTIFS(M$3:M302,M303,N$3:N302,N303)=0),M303,""))</f>
        <v/>
      </c>
    </row>
    <row r="304">
      <c r="A304" s="34" t="n"/>
      <c r="B304" s="35" t="n"/>
      <c r="C304" s="35" t="n"/>
      <c r="D304" s="35" t="n"/>
      <c r="E304" s="35" t="n"/>
      <c r="F304" s="36" t="n"/>
      <c r="G304" s="35" t="n"/>
      <c r="H304" s="30">
        <f>IF(L304="","",INDEX(SkiftNavn,L304))</f>
        <v/>
      </c>
      <c r="I304" s="30">
        <f>IF(OR(A304="",L304=""),"",IF(MOD(A304-INDEX(SkiftStart,L304),Syklus)&lt;DagK,"Kveld",IF(MOD(A304-INDEX(SkiftStart,L304),Syklus)&lt;DagK+DagH,"Helg",IF(MOD(A304-INDEX(SkiftStart,L304),Syklus)&lt;DagK+DagH+DagD,"Dag","Fri"))))</f>
        <v/>
      </c>
      <c r="J304" s="30">
        <f>IF(I304="Fri","Ja","")</f>
        <v/>
      </c>
      <c r="K304" s="30">
        <f>IF(B304="","",IF(L304="","Ukjent tekniker",IF(ISNA(MATCH(C304,Aktiviteter,0)),"Ukjent aktivitet",IF(AND(INDEX(AktRolle,MATCH(C304,Aktiviteter,0))&amp;""&lt;&gt;"",ISERROR(SEARCH(INDEX(AktRolle,MATCH(C304,Aktiviteter,0))&amp;"",INDEX(TekRoller,MATCH(B304,Teknikere,0))))),"Mangler rollen "&amp;INDEX(AktRolle,MATCH(C304,Aktiviteter,0))&amp;"",IF(AND(C304="LMS",F304&gt;0,OR(D304="",E304="")),"Mangler maskin eller arbeid",IF(AND(OR(C304="LMS",C304="Mod"),D304&lt;&gt;""),IF(IFERROR(INDEX(MaskinStatus,MATCH(D304,Maskiner,0)),"")="I dokk","","Maskinen er ikke i dokk"),""))))))</f>
        <v/>
      </c>
      <c r="L304" s="2">
        <f>IF(B304="","",IFERROR(INT((MATCH(B304,Teknikere,0)-1)/18)+1,""))</f>
        <v/>
      </c>
      <c r="M304" s="2">
        <f>IF(OR(A304="",B304=""),"",B304&amp;"|"&amp;A304)</f>
        <v/>
      </c>
      <c r="N304" s="2">
        <f>IF(M304="","",SUMIFS(TF_Timer,TF_Nokkel,M304,TF_Akt,C304))</f>
        <v/>
      </c>
      <c r="O304" s="2">
        <f>IF(M304="","",IF(AND(N304=_xlfn.MAXIFS(TF_AktSum,TF_Nokkel,M304),COUNTIFS(M$3:M303,M304,N$3:N303,N304)=0),M304,""))</f>
        <v/>
      </c>
    </row>
    <row r="305">
      <c r="A305" s="34" t="n"/>
      <c r="B305" s="35" t="n"/>
      <c r="C305" s="35" t="n"/>
      <c r="D305" s="35" t="n"/>
      <c r="E305" s="35" t="n"/>
      <c r="F305" s="36" t="n"/>
      <c r="G305" s="35" t="n"/>
      <c r="H305" s="30">
        <f>IF(L305="","",INDEX(SkiftNavn,L305))</f>
        <v/>
      </c>
      <c r="I305" s="30">
        <f>IF(OR(A305="",L305=""),"",IF(MOD(A305-INDEX(SkiftStart,L305),Syklus)&lt;DagK,"Kveld",IF(MOD(A305-INDEX(SkiftStart,L305),Syklus)&lt;DagK+DagH,"Helg",IF(MOD(A305-INDEX(SkiftStart,L305),Syklus)&lt;DagK+DagH+DagD,"Dag","Fri"))))</f>
        <v/>
      </c>
      <c r="J305" s="30">
        <f>IF(I305="Fri","Ja","")</f>
        <v/>
      </c>
      <c r="K305" s="30">
        <f>IF(B305="","",IF(L305="","Ukjent tekniker",IF(ISNA(MATCH(C305,Aktiviteter,0)),"Ukjent aktivitet",IF(AND(INDEX(AktRolle,MATCH(C305,Aktiviteter,0))&amp;""&lt;&gt;"",ISERROR(SEARCH(INDEX(AktRolle,MATCH(C305,Aktiviteter,0))&amp;"",INDEX(TekRoller,MATCH(B305,Teknikere,0))))),"Mangler rollen "&amp;INDEX(AktRolle,MATCH(C305,Aktiviteter,0))&amp;"",IF(AND(C305="LMS",F305&gt;0,OR(D305="",E305="")),"Mangler maskin eller arbeid",IF(AND(OR(C305="LMS",C305="Mod"),D305&lt;&gt;""),IF(IFERROR(INDEX(MaskinStatus,MATCH(D305,Maskiner,0)),"")="I dokk","","Maskinen er ikke i dokk"),""))))))</f>
        <v/>
      </c>
      <c r="L305" s="2">
        <f>IF(B305="","",IFERROR(INT((MATCH(B305,Teknikere,0)-1)/18)+1,""))</f>
        <v/>
      </c>
      <c r="M305" s="2">
        <f>IF(OR(A305="",B305=""),"",B305&amp;"|"&amp;A305)</f>
        <v/>
      </c>
      <c r="N305" s="2">
        <f>IF(M305="","",SUMIFS(TF_Timer,TF_Nokkel,M305,TF_Akt,C305))</f>
        <v/>
      </c>
      <c r="O305" s="2">
        <f>IF(M305="","",IF(AND(N305=_xlfn.MAXIFS(TF_AktSum,TF_Nokkel,M305),COUNTIFS(M$3:M304,M305,N$3:N304,N305)=0),M305,""))</f>
        <v/>
      </c>
    </row>
    <row r="306">
      <c r="A306" s="34" t="n"/>
      <c r="B306" s="35" t="n"/>
      <c r="C306" s="35" t="n"/>
      <c r="D306" s="35" t="n"/>
      <c r="E306" s="35" t="n"/>
      <c r="F306" s="36" t="n"/>
      <c r="G306" s="35" t="n"/>
      <c r="H306" s="30">
        <f>IF(L306="","",INDEX(SkiftNavn,L306))</f>
        <v/>
      </c>
      <c r="I306" s="30">
        <f>IF(OR(A306="",L306=""),"",IF(MOD(A306-INDEX(SkiftStart,L306),Syklus)&lt;DagK,"Kveld",IF(MOD(A306-INDEX(SkiftStart,L306),Syklus)&lt;DagK+DagH,"Helg",IF(MOD(A306-INDEX(SkiftStart,L306),Syklus)&lt;DagK+DagH+DagD,"Dag","Fri"))))</f>
        <v/>
      </c>
      <c r="J306" s="30">
        <f>IF(I306="Fri","Ja","")</f>
        <v/>
      </c>
      <c r="K306" s="30">
        <f>IF(B306="","",IF(L306="","Ukjent tekniker",IF(ISNA(MATCH(C306,Aktiviteter,0)),"Ukjent aktivitet",IF(AND(INDEX(AktRolle,MATCH(C306,Aktiviteter,0))&amp;""&lt;&gt;"",ISERROR(SEARCH(INDEX(AktRolle,MATCH(C306,Aktiviteter,0))&amp;"",INDEX(TekRoller,MATCH(B306,Teknikere,0))))),"Mangler rollen "&amp;INDEX(AktRolle,MATCH(C306,Aktiviteter,0))&amp;"",IF(AND(C306="LMS",F306&gt;0,OR(D306="",E306="")),"Mangler maskin eller arbeid",IF(AND(OR(C306="LMS",C306="Mod"),D306&lt;&gt;""),IF(IFERROR(INDEX(MaskinStatus,MATCH(D306,Maskiner,0)),"")="I dokk","","Maskinen er ikke i dokk"),""))))))</f>
        <v/>
      </c>
      <c r="L306" s="2">
        <f>IF(B306="","",IFERROR(INT((MATCH(B306,Teknikere,0)-1)/18)+1,""))</f>
        <v/>
      </c>
      <c r="M306" s="2">
        <f>IF(OR(A306="",B306=""),"",B306&amp;"|"&amp;A306)</f>
        <v/>
      </c>
      <c r="N306" s="2">
        <f>IF(M306="","",SUMIFS(TF_Timer,TF_Nokkel,M306,TF_Akt,C306))</f>
        <v/>
      </c>
      <c r="O306" s="2">
        <f>IF(M306="","",IF(AND(N306=_xlfn.MAXIFS(TF_AktSum,TF_Nokkel,M306),COUNTIFS(M$3:M305,M306,N$3:N305,N306)=0),M306,""))</f>
        <v/>
      </c>
    </row>
    <row r="307">
      <c r="A307" s="34" t="n"/>
      <c r="B307" s="35" t="n"/>
      <c r="C307" s="35" t="n"/>
      <c r="D307" s="35" t="n"/>
      <c r="E307" s="35" t="n"/>
      <c r="F307" s="36" t="n"/>
      <c r="G307" s="35" t="n"/>
      <c r="H307" s="30">
        <f>IF(L307="","",INDEX(SkiftNavn,L307))</f>
        <v/>
      </c>
      <c r="I307" s="30">
        <f>IF(OR(A307="",L307=""),"",IF(MOD(A307-INDEX(SkiftStart,L307),Syklus)&lt;DagK,"Kveld",IF(MOD(A307-INDEX(SkiftStart,L307),Syklus)&lt;DagK+DagH,"Helg",IF(MOD(A307-INDEX(SkiftStart,L307),Syklus)&lt;DagK+DagH+DagD,"Dag","Fri"))))</f>
        <v/>
      </c>
      <c r="J307" s="30">
        <f>IF(I307="Fri","Ja","")</f>
        <v/>
      </c>
      <c r="K307" s="30">
        <f>IF(B307="","",IF(L307="","Ukjent tekniker",IF(ISNA(MATCH(C307,Aktiviteter,0)),"Ukjent aktivitet",IF(AND(INDEX(AktRolle,MATCH(C307,Aktiviteter,0))&amp;""&lt;&gt;"",ISERROR(SEARCH(INDEX(AktRolle,MATCH(C307,Aktiviteter,0))&amp;"",INDEX(TekRoller,MATCH(B307,Teknikere,0))))),"Mangler rollen "&amp;INDEX(AktRolle,MATCH(C307,Aktiviteter,0))&amp;"",IF(AND(C307="LMS",F307&gt;0,OR(D307="",E307="")),"Mangler maskin eller arbeid",IF(AND(OR(C307="LMS",C307="Mod"),D307&lt;&gt;""),IF(IFERROR(INDEX(MaskinStatus,MATCH(D307,Maskiner,0)),"")="I dokk","","Maskinen er ikke i dokk"),""))))))</f>
        <v/>
      </c>
      <c r="L307" s="2">
        <f>IF(B307="","",IFERROR(INT((MATCH(B307,Teknikere,0)-1)/18)+1,""))</f>
        <v/>
      </c>
      <c r="M307" s="2">
        <f>IF(OR(A307="",B307=""),"",B307&amp;"|"&amp;A307)</f>
        <v/>
      </c>
      <c r="N307" s="2">
        <f>IF(M307="","",SUMIFS(TF_Timer,TF_Nokkel,M307,TF_Akt,C307))</f>
        <v/>
      </c>
      <c r="O307" s="2">
        <f>IF(M307="","",IF(AND(N307=_xlfn.MAXIFS(TF_AktSum,TF_Nokkel,M307),COUNTIFS(M$3:M306,M307,N$3:N306,N307)=0),M307,""))</f>
        <v/>
      </c>
    </row>
    <row r="308">
      <c r="A308" s="34" t="n"/>
      <c r="B308" s="35" t="n"/>
      <c r="C308" s="35" t="n"/>
      <c r="D308" s="35" t="n"/>
      <c r="E308" s="35" t="n"/>
      <c r="F308" s="36" t="n"/>
      <c r="G308" s="35" t="n"/>
      <c r="H308" s="30">
        <f>IF(L308="","",INDEX(SkiftNavn,L308))</f>
        <v/>
      </c>
      <c r="I308" s="30">
        <f>IF(OR(A308="",L308=""),"",IF(MOD(A308-INDEX(SkiftStart,L308),Syklus)&lt;DagK,"Kveld",IF(MOD(A308-INDEX(SkiftStart,L308),Syklus)&lt;DagK+DagH,"Helg",IF(MOD(A308-INDEX(SkiftStart,L308),Syklus)&lt;DagK+DagH+DagD,"Dag","Fri"))))</f>
        <v/>
      </c>
      <c r="J308" s="30">
        <f>IF(I308="Fri","Ja","")</f>
        <v/>
      </c>
      <c r="K308" s="30">
        <f>IF(B308="","",IF(L308="","Ukjent tekniker",IF(ISNA(MATCH(C308,Aktiviteter,0)),"Ukjent aktivitet",IF(AND(INDEX(AktRolle,MATCH(C308,Aktiviteter,0))&amp;""&lt;&gt;"",ISERROR(SEARCH(INDEX(AktRolle,MATCH(C308,Aktiviteter,0))&amp;"",INDEX(TekRoller,MATCH(B308,Teknikere,0))))),"Mangler rollen "&amp;INDEX(AktRolle,MATCH(C308,Aktiviteter,0))&amp;"",IF(AND(C308="LMS",F308&gt;0,OR(D308="",E308="")),"Mangler maskin eller arbeid",IF(AND(OR(C308="LMS",C308="Mod"),D308&lt;&gt;""),IF(IFERROR(INDEX(MaskinStatus,MATCH(D308,Maskiner,0)),"")="I dokk","","Maskinen er ikke i dokk"),""))))))</f>
        <v/>
      </c>
      <c r="L308" s="2">
        <f>IF(B308="","",IFERROR(INT((MATCH(B308,Teknikere,0)-1)/18)+1,""))</f>
        <v/>
      </c>
      <c r="M308" s="2">
        <f>IF(OR(A308="",B308=""),"",B308&amp;"|"&amp;A308)</f>
        <v/>
      </c>
      <c r="N308" s="2">
        <f>IF(M308="","",SUMIFS(TF_Timer,TF_Nokkel,M308,TF_Akt,C308))</f>
        <v/>
      </c>
      <c r="O308" s="2">
        <f>IF(M308="","",IF(AND(N308=_xlfn.MAXIFS(TF_AktSum,TF_Nokkel,M308),COUNTIFS(M$3:M307,M308,N$3:N307,N308)=0),M308,""))</f>
        <v/>
      </c>
    </row>
    <row r="309">
      <c r="A309" s="34" t="n"/>
      <c r="B309" s="35" t="n"/>
      <c r="C309" s="35" t="n"/>
      <c r="D309" s="35" t="n"/>
      <c r="E309" s="35" t="n"/>
      <c r="F309" s="36" t="n"/>
      <c r="G309" s="35" t="n"/>
      <c r="H309" s="30">
        <f>IF(L309="","",INDEX(SkiftNavn,L309))</f>
        <v/>
      </c>
      <c r="I309" s="30">
        <f>IF(OR(A309="",L309=""),"",IF(MOD(A309-INDEX(SkiftStart,L309),Syklus)&lt;DagK,"Kveld",IF(MOD(A309-INDEX(SkiftStart,L309),Syklus)&lt;DagK+DagH,"Helg",IF(MOD(A309-INDEX(SkiftStart,L309),Syklus)&lt;DagK+DagH+DagD,"Dag","Fri"))))</f>
        <v/>
      </c>
      <c r="J309" s="30">
        <f>IF(I309="Fri","Ja","")</f>
        <v/>
      </c>
      <c r="K309" s="30">
        <f>IF(B309="","",IF(L309="","Ukjent tekniker",IF(ISNA(MATCH(C309,Aktiviteter,0)),"Ukjent aktivitet",IF(AND(INDEX(AktRolle,MATCH(C309,Aktiviteter,0))&amp;""&lt;&gt;"",ISERROR(SEARCH(INDEX(AktRolle,MATCH(C309,Aktiviteter,0))&amp;"",INDEX(TekRoller,MATCH(B309,Teknikere,0))))),"Mangler rollen "&amp;INDEX(AktRolle,MATCH(C309,Aktiviteter,0))&amp;"",IF(AND(C309="LMS",F309&gt;0,OR(D309="",E309="")),"Mangler maskin eller arbeid",IF(AND(OR(C309="LMS",C309="Mod"),D309&lt;&gt;""),IF(IFERROR(INDEX(MaskinStatus,MATCH(D309,Maskiner,0)),"")="I dokk","","Maskinen er ikke i dokk"),""))))))</f>
        <v/>
      </c>
      <c r="L309" s="2">
        <f>IF(B309="","",IFERROR(INT((MATCH(B309,Teknikere,0)-1)/18)+1,""))</f>
        <v/>
      </c>
      <c r="M309" s="2">
        <f>IF(OR(A309="",B309=""),"",B309&amp;"|"&amp;A309)</f>
        <v/>
      </c>
      <c r="N309" s="2">
        <f>IF(M309="","",SUMIFS(TF_Timer,TF_Nokkel,M309,TF_Akt,C309))</f>
        <v/>
      </c>
      <c r="O309" s="2">
        <f>IF(M309="","",IF(AND(N309=_xlfn.MAXIFS(TF_AktSum,TF_Nokkel,M309),COUNTIFS(M$3:M308,M309,N$3:N308,N309)=0),M309,""))</f>
        <v/>
      </c>
    </row>
    <row r="310">
      <c r="A310" s="34" t="n"/>
      <c r="B310" s="35" t="n"/>
      <c r="C310" s="35" t="n"/>
      <c r="D310" s="35" t="n"/>
      <c r="E310" s="35" t="n"/>
      <c r="F310" s="36" t="n"/>
      <c r="G310" s="35" t="n"/>
      <c r="H310" s="30">
        <f>IF(L310="","",INDEX(SkiftNavn,L310))</f>
        <v/>
      </c>
      <c r="I310" s="30">
        <f>IF(OR(A310="",L310=""),"",IF(MOD(A310-INDEX(SkiftStart,L310),Syklus)&lt;DagK,"Kveld",IF(MOD(A310-INDEX(SkiftStart,L310),Syklus)&lt;DagK+DagH,"Helg",IF(MOD(A310-INDEX(SkiftStart,L310),Syklus)&lt;DagK+DagH+DagD,"Dag","Fri"))))</f>
        <v/>
      </c>
      <c r="J310" s="30">
        <f>IF(I310="Fri","Ja","")</f>
        <v/>
      </c>
      <c r="K310" s="30">
        <f>IF(B310="","",IF(L310="","Ukjent tekniker",IF(ISNA(MATCH(C310,Aktiviteter,0)),"Ukjent aktivitet",IF(AND(INDEX(AktRolle,MATCH(C310,Aktiviteter,0))&amp;""&lt;&gt;"",ISERROR(SEARCH(INDEX(AktRolle,MATCH(C310,Aktiviteter,0))&amp;"",INDEX(TekRoller,MATCH(B310,Teknikere,0))))),"Mangler rollen "&amp;INDEX(AktRolle,MATCH(C310,Aktiviteter,0))&amp;"",IF(AND(C310="LMS",F310&gt;0,OR(D310="",E310="")),"Mangler maskin eller arbeid",IF(AND(OR(C310="LMS",C310="Mod"),D310&lt;&gt;""),IF(IFERROR(INDEX(MaskinStatus,MATCH(D310,Maskiner,0)),"")="I dokk","","Maskinen er ikke i dokk"),""))))))</f>
        <v/>
      </c>
      <c r="L310" s="2">
        <f>IF(B310="","",IFERROR(INT((MATCH(B310,Teknikere,0)-1)/18)+1,""))</f>
        <v/>
      </c>
      <c r="M310" s="2">
        <f>IF(OR(A310="",B310=""),"",B310&amp;"|"&amp;A310)</f>
        <v/>
      </c>
      <c r="N310" s="2">
        <f>IF(M310="","",SUMIFS(TF_Timer,TF_Nokkel,M310,TF_Akt,C310))</f>
        <v/>
      </c>
      <c r="O310" s="2">
        <f>IF(M310="","",IF(AND(N310=_xlfn.MAXIFS(TF_AktSum,TF_Nokkel,M310),COUNTIFS(M$3:M309,M310,N$3:N309,N310)=0),M310,""))</f>
        <v/>
      </c>
    </row>
    <row r="311">
      <c r="A311" s="34" t="n"/>
      <c r="B311" s="35" t="n"/>
      <c r="C311" s="35" t="n"/>
      <c r="D311" s="35" t="n"/>
      <c r="E311" s="35" t="n"/>
      <c r="F311" s="36" t="n"/>
      <c r="G311" s="35" t="n"/>
      <c r="H311" s="30">
        <f>IF(L311="","",INDEX(SkiftNavn,L311))</f>
        <v/>
      </c>
      <c r="I311" s="30">
        <f>IF(OR(A311="",L311=""),"",IF(MOD(A311-INDEX(SkiftStart,L311),Syklus)&lt;DagK,"Kveld",IF(MOD(A311-INDEX(SkiftStart,L311),Syklus)&lt;DagK+DagH,"Helg",IF(MOD(A311-INDEX(SkiftStart,L311),Syklus)&lt;DagK+DagH+DagD,"Dag","Fri"))))</f>
        <v/>
      </c>
      <c r="J311" s="30">
        <f>IF(I311="Fri","Ja","")</f>
        <v/>
      </c>
      <c r="K311" s="30">
        <f>IF(B311="","",IF(L311="","Ukjent tekniker",IF(ISNA(MATCH(C311,Aktiviteter,0)),"Ukjent aktivitet",IF(AND(INDEX(AktRolle,MATCH(C311,Aktiviteter,0))&amp;""&lt;&gt;"",ISERROR(SEARCH(INDEX(AktRolle,MATCH(C311,Aktiviteter,0))&amp;"",INDEX(TekRoller,MATCH(B311,Teknikere,0))))),"Mangler rollen "&amp;INDEX(AktRolle,MATCH(C311,Aktiviteter,0))&amp;"",IF(AND(C311="LMS",F311&gt;0,OR(D311="",E311="")),"Mangler maskin eller arbeid",IF(AND(OR(C311="LMS",C311="Mod"),D311&lt;&gt;""),IF(IFERROR(INDEX(MaskinStatus,MATCH(D311,Maskiner,0)),"")="I dokk","","Maskinen er ikke i dokk"),""))))))</f>
        <v/>
      </c>
      <c r="L311" s="2">
        <f>IF(B311="","",IFERROR(INT((MATCH(B311,Teknikere,0)-1)/18)+1,""))</f>
        <v/>
      </c>
      <c r="M311" s="2">
        <f>IF(OR(A311="",B311=""),"",B311&amp;"|"&amp;A311)</f>
        <v/>
      </c>
      <c r="N311" s="2">
        <f>IF(M311="","",SUMIFS(TF_Timer,TF_Nokkel,M311,TF_Akt,C311))</f>
        <v/>
      </c>
      <c r="O311" s="2">
        <f>IF(M311="","",IF(AND(N311=_xlfn.MAXIFS(TF_AktSum,TF_Nokkel,M311),COUNTIFS(M$3:M310,M311,N$3:N310,N311)=0),M311,""))</f>
        <v/>
      </c>
    </row>
    <row r="312">
      <c r="A312" s="34" t="n"/>
      <c r="B312" s="35" t="n"/>
      <c r="C312" s="35" t="n"/>
      <c r="D312" s="35" t="n"/>
      <c r="E312" s="35" t="n"/>
      <c r="F312" s="36" t="n"/>
      <c r="G312" s="35" t="n"/>
      <c r="H312" s="30">
        <f>IF(L312="","",INDEX(SkiftNavn,L312))</f>
        <v/>
      </c>
      <c r="I312" s="30">
        <f>IF(OR(A312="",L312=""),"",IF(MOD(A312-INDEX(SkiftStart,L312),Syklus)&lt;DagK,"Kveld",IF(MOD(A312-INDEX(SkiftStart,L312),Syklus)&lt;DagK+DagH,"Helg",IF(MOD(A312-INDEX(SkiftStart,L312),Syklus)&lt;DagK+DagH+DagD,"Dag","Fri"))))</f>
        <v/>
      </c>
      <c r="J312" s="30">
        <f>IF(I312="Fri","Ja","")</f>
        <v/>
      </c>
      <c r="K312" s="30">
        <f>IF(B312="","",IF(L312="","Ukjent tekniker",IF(ISNA(MATCH(C312,Aktiviteter,0)),"Ukjent aktivitet",IF(AND(INDEX(AktRolle,MATCH(C312,Aktiviteter,0))&amp;""&lt;&gt;"",ISERROR(SEARCH(INDEX(AktRolle,MATCH(C312,Aktiviteter,0))&amp;"",INDEX(TekRoller,MATCH(B312,Teknikere,0))))),"Mangler rollen "&amp;INDEX(AktRolle,MATCH(C312,Aktiviteter,0))&amp;"",IF(AND(C312="LMS",F312&gt;0,OR(D312="",E312="")),"Mangler maskin eller arbeid",IF(AND(OR(C312="LMS",C312="Mod"),D312&lt;&gt;""),IF(IFERROR(INDEX(MaskinStatus,MATCH(D312,Maskiner,0)),"")="I dokk","","Maskinen er ikke i dokk"),""))))))</f>
        <v/>
      </c>
      <c r="L312" s="2">
        <f>IF(B312="","",IFERROR(INT((MATCH(B312,Teknikere,0)-1)/18)+1,""))</f>
        <v/>
      </c>
      <c r="M312" s="2">
        <f>IF(OR(A312="",B312=""),"",B312&amp;"|"&amp;A312)</f>
        <v/>
      </c>
      <c r="N312" s="2">
        <f>IF(M312="","",SUMIFS(TF_Timer,TF_Nokkel,M312,TF_Akt,C312))</f>
        <v/>
      </c>
      <c r="O312" s="2">
        <f>IF(M312="","",IF(AND(N312=_xlfn.MAXIFS(TF_AktSum,TF_Nokkel,M312),COUNTIFS(M$3:M311,M312,N$3:N311,N312)=0),M312,""))</f>
        <v/>
      </c>
    </row>
    <row r="313">
      <c r="A313" s="34" t="n"/>
      <c r="B313" s="35" t="n"/>
      <c r="C313" s="35" t="n"/>
      <c r="D313" s="35" t="n"/>
      <c r="E313" s="35" t="n"/>
      <c r="F313" s="36" t="n"/>
      <c r="G313" s="35" t="n"/>
      <c r="H313" s="30">
        <f>IF(L313="","",INDEX(SkiftNavn,L313))</f>
        <v/>
      </c>
      <c r="I313" s="30">
        <f>IF(OR(A313="",L313=""),"",IF(MOD(A313-INDEX(SkiftStart,L313),Syklus)&lt;DagK,"Kveld",IF(MOD(A313-INDEX(SkiftStart,L313),Syklus)&lt;DagK+DagH,"Helg",IF(MOD(A313-INDEX(SkiftStart,L313),Syklus)&lt;DagK+DagH+DagD,"Dag","Fri"))))</f>
        <v/>
      </c>
      <c r="J313" s="30">
        <f>IF(I313="Fri","Ja","")</f>
        <v/>
      </c>
      <c r="K313" s="30">
        <f>IF(B313="","",IF(L313="","Ukjent tekniker",IF(ISNA(MATCH(C313,Aktiviteter,0)),"Ukjent aktivitet",IF(AND(INDEX(AktRolle,MATCH(C313,Aktiviteter,0))&amp;""&lt;&gt;"",ISERROR(SEARCH(INDEX(AktRolle,MATCH(C313,Aktiviteter,0))&amp;"",INDEX(TekRoller,MATCH(B313,Teknikere,0))))),"Mangler rollen "&amp;INDEX(AktRolle,MATCH(C313,Aktiviteter,0))&amp;"",IF(AND(C313="LMS",F313&gt;0,OR(D313="",E313="")),"Mangler maskin eller arbeid",IF(AND(OR(C313="LMS",C313="Mod"),D313&lt;&gt;""),IF(IFERROR(INDEX(MaskinStatus,MATCH(D313,Maskiner,0)),"")="I dokk","","Maskinen er ikke i dokk"),""))))))</f>
        <v/>
      </c>
      <c r="L313" s="2">
        <f>IF(B313="","",IFERROR(INT((MATCH(B313,Teknikere,0)-1)/18)+1,""))</f>
        <v/>
      </c>
      <c r="M313" s="2">
        <f>IF(OR(A313="",B313=""),"",B313&amp;"|"&amp;A313)</f>
        <v/>
      </c>
      <c r="N313" s="2">
        <f>IF(M313="","",SUMIFS(TF_Timer,TF_Nokkel,M313,TF_Akt,C313))</f>
        <v/>
      </c>
      <c r="O313" s="2">
        <f>IF(M313="","",IF(AND(N313=_xlfn.MAXIFS(TF_AktSum,TF_Nokkel,M313),COUNTIFS(M$3:M312,M313,N$3:N312,N313)=0),M313,""))</f>
        <v/>
      </c>
    </row>
    <row r="314">
      <c r="A314" s="34" t="n"/>
      <c r="B314" s="35" t="n"/>
      <c r="C314" s="35" t="n"/>
      <c r="D314" s="35" t="n"/>
      <c r="E314" s="35" t="n"/>
      <c r="F314" s="36" t="n"/>
      <c r="G314" s="35" t="n"/>
      <c r="H314" s="30">
        <f>IF(L314="","",INDEX(SkiftNavn,L314))</f>
        <v/>
      </c>
      <c r="I314" s="30">
        <f>IF(OR(A314="",L314=""),"",IF(MOD(A314-INDEX(SkiftStart,L314),Syklus)&lt;DagK,"Kveld",IF(MOD(A314-INDEX(SkiftStart,L314),Syklus)&lt;DagK+DagH,"Helg",IF(MOD(A314-INDEX(SkiftStart,L314),Syklus)&lt;DagK+DagH+DagD,"Dag","Fri"))))</f>
        <v/>
      </c>
      <c r="J314" s="30">
        <f>IF(I314="Fri","Ja","")</f>
        <v/>
      </c>
      <c r="K314" s="30">
        <f>IF(B314="","",IF(L314="","Ukjent tekniker",IF(ISNA(MATCH(C314,Aktiviteter,0)),"Ukjent aktivitet",IF(AND(INDEX(AktRolle,MATCH(C314,Aktiviteter,0))&amp;""&lt;&gt;"",ISERROR(SEARCH(INDEX(AktRolle,MATCH(C314,Aktiviteter,0))&amp;"",INDEX(TekRoller,MATCH(B314,Teknikere,0))))),"Mangler rollen "&amp;INDEX(AktRolle,MATCH(C314,Aktiviteter,0))&amp;"",IF(AND(C314="LMS",F314&gt;0,OR(D314="",E314="")),"Mangler maskin eller arbeid",IF(AND(OR(C314="LMS",C314="Mod"),D314&lt;&gt;""),IF(IFERROR(INDEX(MaskinStatus,MATCH(D314,Maskiner,0)),"")="I dokk","","Maskinen er ikke i dokk"),""))))))</f>
        <v/>
      </c>
      <c r="L314" s="2">
        <f>IF(B314="","",IFERROR(INT((MATCH(B314,Teknikere,0)-1)/18)+1,""))</f>
        <v/>
      </c>
      <c r="M314" s="2">
        <f>IF(OR(A314="",B314=""),"",B314&amp;"|"&amp;A314)</f>
        <v/>
      </c>
      <c r="N314" s="2">
        <f>IF(M314="","",SUMIFS(TF_Timer,TF_Nokkel,M314,TF_Akt,C314))</f>
        <v/>
      </c>
      <c r="O314" s="2">
        <f>IF(M314="","",IF(AND(N314=_xlfn.MAXIFS(TF_AktSum,TF_Nokkel,M314),COUNTIFS(M$3:M313,M314,N$3:N313,N314)=0),M314,""))</f>
        <v/>
      </c>
    </row>
    <row r="315">
      <c r="A315" s="34" t="n"/>
      <c r="B315" s="35" t="n"/>
      <c r="C315" s="35" t="n"/>
      <c r="D315" s="35" t="n"/>
      <c r="E315" s="35" t="n"/>
      <c r="F315" s="36" t="n"/>
      <c r="G315" s="35" t="n"/>
      <c r="H315" s="30">
        <f>IF(L315="","",INDEX(SkiftNavn,L315))</f>
        <v/>
      </c>
      <c r="I315" s="30">
        <f>IF(OR(A315="",L315=""),"",IF(MOD(A315-INDEX(SkiftStart,L315),Syklus)&lt;DagK,"Kveld",IF(MOD(A315-INDEX(SkiftStart,L315),Syklus)&lt;DagK+DagH,"Helg",IF(MOD(A315-INDEX(SkiftStart,L315),Syklus)&lt;DagK+DagH+DagD,"Dag","Fri"))))</f>
        <v/>
      </c>
      <c r="J315" s="30">
        <f>IF(I315="Fri","Ja","")</f>
        <v/>
      </c>
      <c r="K315" s="30">
        <f>IF(B315="","",IF(L315="","Ukjent tekniker",IF(ISNA(MATCH(C315,Aktiviteter,0)),"Ukjent aktivitet",IF(AND(INDEX(AktRolle,MATCH(C315,Aktiviteter,0))&amp;""&lt;&gt;"",ISERROR(SEARCH(INDEX(AktRolle,MATCH(C315,Aktiviteter,0))&amp;"",INDEX(TekRoller,MATCH(B315,Teknikere,0))))),"Mangler rollen "&amp;INDEX(AktRolle,MATCH(C315,Aktiviteter,0))&amp;"",IF(AND(C315="LMS",F315&gt;0,OR(D315="",E315="")),"Mangler maskin eller arbeid",IF(AND(OR(C315="LMS",C315="Mod"),D315&lt;&gt;""),IF(IFERROR(INDEX(MaskinStatus,MATCH(D315,Maskiner,0)),"")="I dokk","","Maskinen er ikke i dokk"),""))))))</f>
        <v/>
      </c>
      <c r="L315" s="2">
        <f>IF(B315="","",IFERROR(INT((MATCH(B315,Teknikere,0)-1)/18)+1,""))</f>
        <v/>
      </c>
      <c r="M315" s="2">
        <f>IF(OR(A315="",B315=""),"",B315&amp;"|"&amp;A315)</f>
        <v/>
      </c>
      <c r="N315" s="2">
        <f>IF(M315="","",SUMIFS(TF_Timer,TF_Nokkel,M315,TF_Akt,C315))</f>
        <v/>
      </c>
      <c r="O315" s="2">
        <f>IF(M315="","",IF(AND(N315=_xlfn.MAXIFS(TF_AktSum,TF_Nokkel,M315),COUNTIFS(M$3:M314,M315,N$3:N314,N315)=0),M315,""))</f>
        <v/>
      </c>
    </row>
    <row r="316">
      <c r="A316" s="34" t="n"/>
      <c r="B316" s="35" t="n"/>
      <c r="C316" s="35" t="n"/>
      <c r="D316" s="35" t="n"/>
      <c r="E316" s="35" t="n"/>
      <c r="F316" s="36" t="n"/>
      <c r="G316" s="35" t="n"/>
      <c r="H316" s="30">
        <f>IF(L316="","",INDEX(SkiftNavn,L316))</f>
        <v/>
      </c>
      <c r="I316" s="30">
        <f>IF(OR(A316="",L316=""),"",IF(MOD(A316-INDEX(SkiftStart,L316),Syklus)&lt;DagK,"Kveld",IF(MOD(A316-INDEX(SkiftStart,L316),Syklus)&lt;DagK+DagH,"Helg",IF(MOD(A316-INDEX(SkiftStart,L316),Syklus)&lt;DagK+DagH+DagD,"Dag","Fri"))))</f>
        <v/>
      </c>
      <c r="J316" s="30">
        <f>IF(I316="Fri","Ja","")</f>
        <v/>
      </c>
      <c r="K316" s="30">
        <f>IF(B316="","",IF(L316="","Ukjent tekniker",IF(ISNA(MATCH(C316,Aktiviteter,0)),"Ukjent aktivitet",IF(AND(INDEX(AktRolle,MATCH(C316,Aktiviteter,0))&amp;""&lt;&gt;"",ISERROR(SEARCH(INDEX(AktRolle,MATCH(C316,Aktiviteter,0))&amp;"",INDEX(TekRoller,MATCH(B316,Teknikere,0))))),"Mangler rollen "&amp;INDEX(AktRolle,MATCH(C316,Aktiviteter,0))&amp;"",IF(AND(C316="LMS",F316&gt;0,OR(D316="",E316="")),"Mangler maskin eller arbeid",IF(AND(OR(C316="LMS",C316="Mod"),D316&lt;&gt;""),IF(IFERROR(INDEX(MaskinStatus,MATCH(D316,Maskiner,0)),"")="I dokk","","Maskinen er ikke i dokk"),""))))))</f>
        <v/>
      </c>
      <c r="L316" s="2">
        <f>IF(B316="","",IFERROR(INT((MATCH(B316,Teknikere,0)-1)/18)+1,""))</f>
        <v/>
      </c>
      <c r="M316" s="2">
        <f>IF(OR(A316="",B316=""),"",B316&amp;"|"&amp;A316)</f>
        <v/>
      </c>
      <c r="N316" s="2">
        <f>IF(M316="","",SUMIFS(TF_Timer,TF_Nokkel,M316,TF_Akt,C316))</f>
        <v/>
      </c>
      <c r="O316" s="2">
        <f>IF(M316="","",IF(AND(N316=_xlfn.MAXIFS(TF_AktSum,TF_Nokkel,M316),COUNTIFS(M$3:M315,M316,N$3:N315,N316)=0),M316,""))</f>
        <v/>
      </c>
    </row>
    <row r="317">
      <c r="A317" s="34" t="n"/>
      <c r="B317" s="35" t="n"/>
      <c r="C317" s="35" t="n"/>
      <c r="D317" s="35" t="n"/>
      <c r="E317" s="35" t="n"/>
      <c r="F317" s="36" t="n"/>
      <c r="G317" s="35" t="n"/>
      <c r="H317" s="30">
        <f>IF(L317="","",INDEX(SkiftNavn,L317))</f>
        <v/>
      </c>
      <c r="I317" s="30">
        <f>IF(OR(A317="",L317=""),"",IF(MOD(A317-INDEX(SkiftStart,L317),Syklus)&lt;DagK,"Kveld",IF(MOD(A317-INDEX(SkiftStart,L317),Syklus)&lt;DagK+DagH,"Helg",IF(MOD(A317-INDEX(SkiftStart,L317),Syklus)&lt;DagK+DagH+DagD,"Dag","Fri"))))</f>
        <v/>
      </c>
      <c r="J317" s="30">
        <f>IF(I317="Fri","Ja","")</f>
        <v/>
      </c>
      <c r="K317" s="30">
        <f>IF(B317="","",IF(L317="","Ukjent tekniker",IF(ISNA(MATCH(C317,Aktiviteter,0)),"Ukjent aktivitet",IF(AND(INDEX(AktRolle,MATCH(C317,Aktiviteter,0))&amp;""&lt;&gt;"",ISERROR(SEARCH(INDEX(AktRolle,MATCH(C317,Aktiviteter,0))&amp;"",INDEX(TekRoller,MATCH(B317,Teknikere,0))))),"Mangler rollen "&amp;INDEX(AktRolle,MATCH(C317,Aktiviteter,0))&amp;"",IF(AND(C317="LMS",F317&gt;0,OR(D317="",E317="")),"Mangler maskin eller arbeid",IF(AND(OR(C317="LMS",C317="Mod"),D317&lt;&gt;""),IF(IFERROR(INDEX(MaskinStatus,MATCH(D317,Maskiner,0)),"")="I dokk","","Maskinen er ikke i dokk"),""))))))</f>
        <v/>
      </c>
      <c r="L317" s="2">
        <f>IF(B317="","",IFERROR(INT((MATCH(B317,Teknikere,0)-1)/18)+1,""))</f>
        <v/>
      </c>
      <c r="M317" s="2">
        <f>IF(OR(A317="",B317=""),"",B317&amp;"|"&amp;A317)</f>
        <v/>
      </c>
      <c r="N317" s="2">
        <f>IF(M317="","",SUMIFS(TF_Timer,TF_Nokkel,M317,TF_Akt,C317))</f>
        <v/>
      </c>
      <c r="O317" s="2">
        <f>IF(M317="","",IF(AND(N317=_xlfn.MAXIFS(TF_AktSum,TF_Nokkel,M317),COUNTIFS(M$3:M316,M317,N$3:N316,N317)=0),M317,""))</f>
        <v/>
      </c>
    </row>
    <row r="318">
      <c r="A318" s="34" t="n"/>
      <c r="B318" s="35" t="n"/>
      <c r="C318" s="35" t="n"/>
      <c r="D318" s="35" t="n"/>
      <c r="E318" s="35" t="n"/>
      <c r="F318" s="36" t="n"/>
      <c r="G318" s="35" t="n"/>
      <c r="H318" s="30">
        <f>IF(L318="","",INDEX(SkiftNavn,L318))</f>
        <v/>
      </c>
      <c r="I318" s="30">
        <f>IF(OR(A318="",L318=""),"",IF(MOD(A318-INDEX(SkiftStart,L318),Syklus)&lt;DagK,"Kveld",IF(MOD(A318-INDEX(SkiftStart,L318),Syklus)&lt;DagK+DagH,"Helg",IF(MOD(A318-INDEX(SkiftStart,L318),Syklus)&lt;DagK+DagH+DagD,"Dag","Fri"))))</f>
        <v/>
      </c>
      <c r="J318" s="30">
        <f>IF(I318="Fri","Ja","")</f>
        <v/>
      </c>
      <c r="K318" s="30">
        <f>IF(B318="","",IF(L318="","Ukjent tekniker",IF(ISNA(MATCH(C318,Aktiviteter,0)),"Ukjent aktivitet",IF(AND(INDEX(AktRolle,MATCH(C318,Aktiviteter,0))&amp;""&lt;&gt;"",ISERROR(SEARCH(INDEX(AktRolle,MATCH(C318,Aktiviteter,0))&amp;"",INDEX(TekRoller,MATCH(B318,Teknikere,0))))),"Mangler rollen "&amp;INDEX(AktRolle,MATCH(C318,Aktiviteter,0))&amp;"",IF(AND(C318="LMS",F318&gt;0,OR(D318="",E318="")),"Mangler maskin eller arbeid",IF(AND(OR(C318="LMS",C318="Mod"),D318&lt;&gt;""),IF(IFERROR(INDEX(MaskinStatus,MATCH(D318,Maskiner,0)),"")="I dokk","","Maskinen er ikke i dokk"),""))))))</f>
        <v/>
      </c>
      <c r="L318" s="2">
        <f>IF(B318="","",IFERROR(INT((MATCH(B318,Teknikere,0)-1)/18)+1,""))</f>
        <v/>
      </c>
      <c r="M318" s="2">
        <f>IF(OR(A318="",B318=""),"",B318&amp;"|"&amp;A318)</f>
        <v/>
      </c>
      <c r="N318" s="2">
        <f>IF(M318="","",SUMIFS(TF_Timer,TF_Nokkel,M318,TF_Akt,C318))</f>
        <v/>
      </c>
      <c r="O318" s="2">
        <f>IF(M318="","",IF(AND(N318=_xlfn.MAXIFS(TF_AktSum,TF_Nokkel,M318),COUNTIFS(M$3:M317,M318,N$3:N317,N318)=0),M318,""))</f>
        <v/>
      </c>
    </row>
    <row r="319">
      <c r="A319" s="34" t="n"/>
      <c r="B319" s="35" t="n"/>
      <c r="C319" s="35" t="n"/>
      <c r="D319" s="35" t="n"/>
      <c r="E319" s="35" t="n"/>
      <c r="F319" s="36" t="n"/>
      <c r="G319" s="35" t="n"/>
      <c r="H319" s="30">
        <f>IF(L319="","",INDEX(SkiftNavn,L319))</f>
        <v/>
      </c>
      <c r="I319" s="30">
        <f>IF(OR(A319="",L319=""),"",IF(MOD(A319-INDEX(SkiftStart,L319),Syklus)&lt;DagK,"Kveld",IF(MOD(A319-INDEX(SkiftStart,L319),Syklus)&lt;DagK+DagH,"Helg",IF(MOD(A319-INDEX(SkiftStart,L319),Syklus)&lt;DagK+DagH+DagD,"Dag","Fri"))))</f>
        <v/>
      </c>
      <c r="J319" s="30">
        <f>IF(I319="Fri","Ja","")</f>
        <v/>
      </c>
      <c r="K319" s="30">
        <f>IF(B319="","",IF(L319="","Ukjent tekniker",IF(ISNA(MATCH(C319,Aktiviteter,0)),"Ukjent aktivitet",IF(AND(INDEX(AktRolle,MATCH(C319,Aktiviteter,0))&amp;""&lt;&gt;"",ISERROR(SEARCH(INDEX(AktRolle,MATCH(C319,Aktiviteter,0))&amp;"",INDEX(TekRoller,MATCH(B319,Teknikere,0))))),"Mangler rollen "&amp;INDEX(AktRolle,MATCH(C319,Aktiviteter,0))&amp;"",IF(AND(C319="LMS",F319&gt;0,OR(D319="",E319="")),"Mangler maskin eller arbeid",IF(AND(OR(C319="LMS",C319="Mod"),D319&lt;&gt;""),IF(IFERROR(INDEX(MaskinStatus,MATCH(D319,Maskiner,0)),"")="I dokk","","Maskinen er ikke i dokk"),""))))))</f>
        <v/>
      </c>
      <c r="L319" s="2">
        <f>IF(B319="","",IFERROR(INT((MATCH(B319,Teknikere,0)-1)/18)+1,""))</f>
        <v/>
      </c>
      <c r="M319" s="2">
        <f>IF(OR(A319="",B319=""),"",B319&amp;"|"&amp;A319)</f>
        <v/>
      </c>
      <c r="N319" s="2">
        <f>IF(M319="","",SUMIFS(TF_Timer,TF_Nokkel,M319,TF_Akt,C319))</f>
        <v/>
      </c>
      <c r="O319" s="2">
        <f>IF(M319="","",IF(AND(N319=_xlfn.MAXIFS(TF_AktSum,TF_Nokkel,M319),COUNTIFS(M$3:M318,M319,N$3:N318,N319)=0),M319,""))</f>
        <v/>
      </c>
    </row>
    <row r="320">
      <c r="A320" s="34" t="n"/>
      <c r="B320" s="35" t="n"/>
      <c r="C320" s="35" t="n"/>
      <c r="D320" s="35" t="n"/>
      <c r="E320" s="35" t="n"/>
      <c r="F320" s="36" t="n"/>
      <c r="G320" s="35" t="n"/>
      <c r="H320" s="30">
        <f>IF(L320="","",INDEX(SkiftNavn,L320))</f>
        <v/>
      </c>
      <c r="I320" s="30">
        <f>IF(OR(A320="",L320=""),"",IF(MOD(A320-INDEX(SkiftStart,L320),Syklus)&lt;DagK,"Kveld",IF(MOD(A320-INDEX(SkiftStart,L320),Syklus)&lt;DagK+DagH,"Helg",IF(MOD(A320-INDEX(SkiftStart,L320),Syklus)&lt;DagK+DagH+DagD,"Dag","Fri"))))</f>
        <v/>
      </c>
      <c r="J320" s="30">
        <f>IF(I320="Fri","Ja","")</f>
        <v/>
      </c>
      <c r="K320" s="30">
        <f>IF(B320="","",IF(L320="","Ukjent tekniker",IF(ISNA(MATCH(C320,Aktiviteter,0)),"Ukjent aktivitet",IF(AND(INDEX(AktRolle,MATCH(C320,Aktiviteter,0))&amp;""&lt;&gt;"",ISERROR(SEARCH(INDEX(AktRolle,MATCH(C320,Aktiviteter,0))&amp;"",INDEX(TekRoller,MATCH(B320,Teknikere,0))))),"Mangler rollen "&amp;INDEX(AktRolle,MATCH(C320,Aktiviteter,0))&amp;"",IF(AND(C320="LMS",F320&gt;0,OR(D320="",E320="")),"Mangler maskin eller arbeid",IF(AND(OR(C320="LMS",C320="Mod"),D320&lt;&gt;""),IF(IFERROR(INDEX(MaskinStatus,MATCH(D320,Maskiner,0)),"")="I dokk","","Maskinen er ikke i dokk"),""))))))</f>
        <v/>
      </c>
      <c r="L320" s="2">
        <f>IF(B320="","",IFERROR(INT((MATCH(B320,Teknikere,0)-1)/18)+1,""))</f>
        <v/>
      </c>
      <c r="M320" s="2">
        <f>IF(OR(A320="",B320=""),"",B320&amp;"|"&amp;A320)</f>
        <v/>
      </c>
      <c r="N320" s="2">
        <f>IF(M320="","",SUMIFS(TF_Timer,TF_Nokkel,M320,TF_Akt,C320))</f>
        <v/>
      </c>
      <c r="O320" s="2">
        <f>IF(M320="","",IF(AND(N320=_xlfn.MAXIFS(TF_AktSum,TF_Nokkel,M320),COUNTIFS(M$3:M319,M320,N$3:N319,N320)=0),M320,""))</f>
        <v/>
      </c>
    </row>
    <row r="321">
      <c r="A321" s="34" t="n"/>
      <c r="B321" s="35" t="n"/>
      <c r="C321" s="35" t="n"/>
      <c r="D321" s="35" t="n"/>
      <c r="E321" s="35" t="n"/>
      <c r="F321" s="36" t="n"/>
      <c r="G321" s="35" t="n"/>
      <c r="H321" s="30">
        <f>IF(L321="","",INDEX(SkiftNavn,L321))</f>
        <v/>
      </c>
      <c r="I321" s="30">
        <f>IF(OR(A321="",L321=""),"",IF(MOD(A321-INDEX(SkiftStart,L321),Syklus)&lt;DagK,"Kveld",IF(MOD(A321-INDEX(SkiftStart,L321),Syklus)&lt;DagK+DagH,"Helg",IF(MOD(A321-INDEX(SkiftStart,L321),Syklus)&lt;DagK+DagH+DagD,"Dag","Fri"))))</f>
        <v/>
      </c>
      <c r="J321" s="30">
        <f>IF(I321="Fri","Ja","")</f>
        <v/>
      </c>
      <c r="K321" s="30">
        <f>IF(B321="","",IF(L321="","Ukjent tekniker",IF(ISNA(MATCH(C321,Aktiviteter,0)),"Ukjent aktivitet",IF(AND(INDEX(AktRolle,MATCH(C321,Aktiviteter,0))&amp;""&lt;&gt;"",ISERROR(SEARCH(INDEX(AktRolle,MATCH(C321,Aktiviteter,0))&amp;"",INDEX(TekRoller,MATCH(B321,Teknikere,0))))),"Mangler rollen "&amp;INDEX(AktRolle,MATCH(C321,Aktiviteter,0))&amp;"",IF(AND(C321="LMS",F321&gt;0,OR(D321="",E321="")),"Mangler maskin eller arbeid",IF(AND(OR(C321="LMS",C321="Mod"),D321&lt;&gt;""),IF(IFERROR(INDEX(MaskinStatus,MATCH(D321,Maskiner,0)),"")="I dokk","","Maskinen er ikke i dokk"),""))))))</f>
        <v/>
      </c>
      <c r="L321" s="2">
        <f>IF(B321="","",IFERROR(INT((MATCH(B321,Teknikere,0)-1)/18)+1,""))</f>
        <v/>
      </c>
      <c r="M321" s="2">
        <f>IF(OR(A321="",B321=""),"",B321&amp;"|"&amp;A321)</f>
        <v/>
      </c>
      <c r="N321" s="2">
        <f>IF(M321="","",SUMIFS(TF_Timer,TF_Nokkel,M321,TF_Akt,C321))</f>
        <v/>
      </c>
      <c r="O321" s="2">
        <f>IF(M321="","",IF(AND(N321=_xlfn.MAXIFS(TF_AktSum,TF_Nokkel,M321),COUNTIFS(M$3:M320,M321,N$3:N320,N321)=0),M321,""))</f>
        <v/>
      </c>
    </row>
    <row r="322">
      <c r="A322" s="34" t="n"/>
      <c r="B322" s="35" t="n"/>
      <c r="C322" s="35" t="n"/>
      <c r="D322" s="35" t="n"/>
      <c r="E322" s="35" t="n"/>
      <c r="F322" s="36" t="n"/>
      <c r="G322" s="35" t="n"/>
      <c r="H322" s="30">
        <f>IF(L322="","",INDEX(SkiftNavn,L322))</f>
        <v/>
      </c>
      <c r="I322" s="30">
        <f>IF(OR(A322="",L322=""),"",IF(MOD(A322-INDEX(SkiftStart,L322),Syklus)&lt;DagK,"Kveld",IF(MOD(A322-INDEX(SkiftStart,L322),Syklus)&lt;DagK+DagH,"Helg",IF(MOD(A322-INDEX(SkiftStart,L322),Syklus)&lt;DagK+DagH+DagD,"Dag","Fri"))))</f>
        <v/>
      </c>
      <c r="J322" s="30">
        <f>IF(I322="Fri","Ja","")</f>
        <v/>
      </c>
      <c r="K322" s="30">
        <f>IF(B322="","",IF(L322="","Ukjent tekniker",IF(ISNA(MATCH(C322,Aktiviteter,0)),"Ukjent aktivitet",IF(AND(INDEX(AktRolle,MATCH(C322,Aktiviteter,0))&amp;""&lt;&gt;"",ISERROR(SEARCH(INDEX(AktRolle,MATCH(C322,Aktiviteter,0))&amp;"",INDEX(TekRoller,MATCH(B322,Teknikere,0))))),"Mangler rollen "&amp;INDEX(AktRolle,MATCH(C322,Aktiviteter,0))&amp;"",IF(AND(C322="LMS",F322&gt;0,OR(D322="",E322="")),"Mangler maskin eller arbeid",IF(AND(OR(C322="LMS",C322="Mod"),D322&lt;&gt;""),IF(IFERROR(INDEX(MaskinStatus,MATCH(D322,Maskiner,0)),"")="I dokk","","Maskinen er ikke i dokk"),""))))))</f>
        <v/>
      </c>
      <c r="L322" s="2">
        <f>IF(B322="","",IFERROR(INT((MATCH(B322,Teknikere,0)-1)/18)+1,""))</f>
        <v/>
      </c>
      <c r="M322" s="2">
        <f>IF(OR(A322="",B322=""),"",B322&amp;"|"&amp;A322)</f>
        <v/>
      </c>
      <c r="N322" s="2">
        <f>IF(M322="","",SUMIFS(TF_Timer,TF_Nokkel,M322,TF_Akt,C322))</f>
        <v/>
      </c>
      <c r="O322" s="2">
        <f>IF(M322="","",IF(AND(N322=_xlfn.MAXIFS(TF_AktSum,TF_Nokkel,M322),COUNTIFS(M$3:M321,M322,N$3:N321,N322)=0),M322,""))</f>
        <v/>
      </c>
    </row>
    <row r="323">
      <c r="A323" s="34" t="n"/>
      <c r="B323" s="35" t="n"/>
      <c r="C323" s="35" t="n"/>
      <c r="D323" s="35" t="n"/>
      <c r="E323" s="35" t="n"/>
      <c r="F323" s="36" t="n"/>
      <c r="G323" s="35" t="n"/>
      <c r="H323" s="30">
        <f>IF(L323="","",INDEX(SkiftNavn,L323))</f>
        <v/>
      </c>
      <c r="I323" s="30">
        <f>IF(OR(A323="",L323=""),"",IF(MOD(A323-INDEX(SkiftStart,L323),Syklus)&lt;DagK,"Kveld",IF(MOD(A323-INDEX(SkiftStart,L323),Syklus)&lt;DagK+DagH,"Helg",IF(MOD(A323-INDEX(SkiftStart,L323),Syklus)&lt;DagK+DagH+DagD,"Dag","Fri"))))</f>
        <v/>
      </c>
      <c r="J323" s="30">
        <f>IF(I323="Fri","Ja","")</f>
        <v/>
      </c>
      <c r="K323" s="30">
        <f>IF(B323="","",IF(L323="","Ukjent tekniker",IF(ISNA(MATCH(C323,Aktiviteter,0)),"Ukjent aktivitet",IF(AND(INDEX(AktRolle,MATCH(C323,Aktiviteter,0))&amp;""&lt;&gt;"",ISERROR(SEARCH(INDEX(AktRolle,MATCH(C323,Aktiviteter,0))&amp;"",INDEX(TekRoller,MATCH(B323,Teknikere,0))))),"Mangler rollen "&amp;INDEX(AktRolle,MATCH(C323,Aktiviteter,0))&amp;"",IF(AND(C323="LMS",F323&gt;0,OR(D323="",E323="")),"Mangler maskin eller arbeid",IF(AND(OR(C323="LMS",C323="Mod"),D323&lt;&gt;""),IF(IFERROR(INDEX(MaskinStatus,MATCH(D323,Maskiner,0)),"")="I dokk","","Maskinen er ikke i dokk"),""))))))</f>
        <v/>
      </c>
      <c r="L323" s="2">
        <f>IF(B323="","",IFERROR(INT((MATCH(B323,Teknikere,0)-1)/18)+1,""))</f>
        <v/>
      </c>
      <c r="M323" s="2">
        <f>IF(OR(A323="",B323=""),"",B323&amp;"|"&amp;A323)</f>
        <v/>
      </c>
      <c r="N323" s="2">
        <f>IF(M323="","",SUMIFS(TF_Timer,TF_Nokkel,M323,TF_Akt,C323))</f>
        <v/>
      </c>
      <c r="O323" s="2">
        <f>IF(M323="","",IF(AND(N323=_xlfn.MAXIFS(TF_AktSum,TF_Nokkel,M323),COUNTIFS(M$3:M322,M323,N$3:N322,N323)=0),M323,""))</f>
        <v/>
      </c>
    </row>
    <row r="324">
      <c r="A324" s="34" t="n"/>
      <c r="B324" s="35" t="n"/>
      <c r="C324" s="35" t="n"/>
      <c r="D324" s="35" t="n"/>
      <c r="E324" s="35" t="n"/>
      <c r="F324" s="36" t="n"/>
      <c r="G324" s="35" t="n"/>
      <c r="H324" s="30">
        <f>IF(L324="","",INDEX(SkiftNavn,L324))</f>
        <v/>
      </c>
      <c r="I324" s="30">
        <f>IF(OR(A324="",L324=""),"",IF(MOD(A324-INDEX(SkiftStart,L324),Syklus)&lt;DagK,"Kveld",IF(MOD(A324-INDEX(SkiftStart,L324),Syklus)&lt;DagK+DagH,"Helg",IF(MOD(A324-INDEX(SkiftStart,L324),Syklus)&lt;DagK+DagH+DagD,"Dag","Fri"))))</f>
        <v/>
      </c>
      <c r="J324" s="30">
        <f>IF(I324="Fri","Ja","")</f>
        <v/>
      </c>
      <c r="K324" s="30">
        <f>IF(B324="","",IF(L324="","Ukjent tekniker",IF(ISNA(MATCH(C324,Aktiviteter,0)),"Ukjent aktivitet",IF(AND(INDEX(AktRolle,MATCH(C324,Aktiviteter,0))&amp;""&lt;&gt;"",ISERROR(SEARCH(INDEX(AktRolle,MATCH(C324,Aktiviteter,0))&amp;"",INDEX(TekRoller,MATCH(B324,Teknikere,0))))),"Mangler rollen "&amp;INDEX(AktRolle,MATCH(C324,Aktiviteter,0))&amp;"",IF(AND(C324="LMS",F324&gt;0,OR(D324="",E324="")),"Mangler maskin eller arbeid",IF(AND(OR(C324="LMS",C324="Mod"),D324&lt;&gt;""),IF(IFERROR(INDEX(MaskinStatus,MATCH(D324,Maskiner,0)),"")="I dokk","","Maskinen er ikke i dokk"),""))))))</f>
        <v/>
      </c>
      <c r="L324" s="2">
        <f>IF(B324="","",IFERROR(INT((MATCH(B324,Teknikere,0)-1)/18)+1,""))</f>
        <v/>
      </c>
      <c r="M324" s="2">
        <f>IF(OR(A324="",B324=""),"",B324&amp;"|"&amp;A324)</f>
        <v/>
      </c>
      <c r="N324" s="2">
        <f>IF(M324="","",SUMIFS(TF_Timer,TF_Nokkel,M324,TF_Akt,C324))</f>
        <v/>
      </c>
      <c r="O324" s="2">
        <f>IF(M324="","",IF(AND(N324=_xlfn.MAXIFS(TF_AktSum,TF_Nokkel,M324),COUNTIFS(M$3:M323,M324,N$3:N323,N324)=0),M324,""))</f>
        <v/>
      </c>
    </row>
    <row r="325">
      <c r="A325" s="34" t="n"/>
      <c r="B325" s="35" t="n"/>
      <c r="C325" s="35" t="n"/>
      <c r="D325" s="35" t="n"/>
      <c r="E325" s="35" t="n"/>
      <c r="F325" s="36" t="n"/>
      <c r="G325" s="35" t="n"/>
      <c r="H325" s="30">
        <f>IF(L325="","",INDEX(SkiftNavn,L325))</f>
        <v/>
      </c>
      <c r="I325" s="30">
        <f>IF(OR(A325="",L325=""),"",IF(MOD(A325-INDEX(SkiftStart,L325),Syklus)&lt;DagK,"Kveld",IF(MOD(A325-INDEX(SkiftStart,L325),Syklus)&lt;DagK+DagH,"Helg",IF(MOD(A325-INDEX(SkiftStart,L325),Syklus)&lt;DagK+DagH+DagD,"Dag","Fri"))))</f>
        <v/>
      </c>
      <c r="J325" s="30">
        <f>IF(I325="Fri","Ja","")</f>
        <v/>
      </c>
      <c r="K325" s="30">
        <f>IF(B325="","",IF(L325="","Ukjent tekniker",IF(ISNA(MATCH(C325,Aktiviteter,0)),"Ukjent aktivitet",IF(AND(INDEX(AktRolle,MATCH(C325,Aktiviteter,0))&amp;""&lt;&gt;"",ISERROR(SEARCH(INDEX(AktRolle,MATCH(C325,Aktiviteter,0))&amp;"",INDEX(TekRoller,MATCH(B325,Teknikere,0))))),"Mangler rollen "&amp;INDEX(AktRolle,MATCH(C325,Aktiviteter,0))&amp;"",IF(AND(C325="LMS",F325&gt;0,OR(D325="",E325="")),"Mangler maskin eller arbeid",IF(AND(OR(C325="LMS",C325="Mod"),D325&lt;&gt;""),IF(IFERROR(INDEX(MaskinStatus,MATCH(D325,Maskiner,0)),"")="I dokk","","Maskinen er ikke i dokk"),""))))))</f>
        <v/>
      </c>
      <c r="L325" s="2">
        <f>IF(B325="","",IFERROR(INT((MATCH(B325,Teknikere,0)-1)/18)+1,""))</f>
        <v/>
      </c>
      <c r="M325" s="2">
        <f>IF(OR(A325="",B325=""),"",B325&amp;"|"&amp;A325)</f>
        <v/>
      </c>
      <c r="N325" s="2">
        <f>IF(M325="","",SUMIFS(TF_Timer,TF_Nokkel,M325,TF_Akt,C325))</f>
        <v/>
      </c>
      <c r="O325" s="2">
        <f>IF(M325="","",IF(AND(N325=_xlfn.MAXIFS(TF_AktSum,TF_Nokkel,M325),COUNTIFS(M$3:M324,M325,N$3:N324,N325)=0),M325,""))</f>
        <v/>
      </c>
    </row>
    <row r="326">
      <c r="A326" s="34" t="n"/>
      <c r="B326" s="35" t="n"/>
      <c r="C326" s="35" t="n"/>
      <c r="D326" s="35" t="n"/>
      <c r="E326" s="35" t="n"/>
      <c r="F326" s="36" t="n"/>
      <c r="G326" s="35" t="n"/>
      <c r="H326" s="30">
        <f>IF(L326="","",INDEX(SkiftNavn,L326))</f>
        <v/>
      </c>
      <c r="I326" s="30">
        <f>IF(OR(A326="",L326=""),"",IF(MOD(A326-INDEX(SkiftStart,L326),Syklus)&lt;DagK,"Kveld",IF(MOD(A326-INDEX(SkiftStart,L326),Syklus)&lt;DagK+DagH,"Helg",IF(MOD(A326-INDEX(SkiftStart,L326),Syklus)&lt;DagK+DagH+DagD,"Dag","Fri"))))</f>
        <v/>
      </c>
      <c r="J326" s="30">
        <f>IF(I326="Fri","Ja","")</f>
        <v/>
      </c>
      <c r="K326" s="30">
        <f>IF(B326="","",IF(L326="","Ukjent tekniker",IF(ISNA(MATCH(C326,Aktiviteter,0)),"Ukjent aktivitet",IF(AND(INDEX(AktRolle,MATCH(C326,Aktiviteter,0))&amp;""&lt;&gt;"",ISERROR(SEARCH(INDEX(AktRolle,MATCH(C326,Aktiviteter,0))&amp;"",INDEX(TekRoller,MATCH(B326,Teknikere,0))))),"Mangler rollen "&amp;INDEX(AktRolle,MATCH(C326,Aktiviteter,0))&amp;"",IF(AND(C326="LMS",F326&gt;0,OR(D326="",E326="")),"Mangler maskin eller arbeid",IF(AND(OR(C326="LMS",C326="Mod"),D326&lt;&gt;""),IF(IFERROR(INDEX(MaskinStatus,MATCH(D326,Maskiner,0)),"")="I dokk","","Maskinen er ikke i dokk"),""))))))</f>
        <v/>
      </c>
      <c r="L326" s="2">
        <f>IF(B326="","",IFERROR(INT((MATCH(B326,Teknikere,0)-1)/18)+1,""))</f>
        <v/>
      </c>
      <c r="M326" s="2">
        <f>IF(OR(A326="",B326=""),"",B326&amp;"|"&amp;A326)</f>
        <v/>
      </c>
      <c r="N326" s="2">
        <f>IF(M326="","",SUMIFS(TF_Timer,TF_Nokkel,M326,TF_Akt,C326))</f>
        <v/>
      </c>
      <c r="O326" s="2">
        <f>IF(M326="","",IF(AND(N326=_xlfn.MAXIFS(TF_AktSum,TF_Nokkel,M326),COUNTIFS(M$3:M325,M326,N$3:N325,N326)=0),M326,""))</f>
        <v/>
      </c>
    </row>
    <row r="327">
      <c r="A327" s="34" t="n"/>
      <c r="B327" s="35" t="n"/>
      <c r="C327" s="35" t="n"/>
      <c r="D327" s="35" t="n"/>
      <c r="E327" s="35" t="n"/>
      <c r="F327" s="36" t="n"/>
      <c r="G327" s="35" t="n"/>
      <c r="H327" s="30">
        <f>IF(L327="","",INDEX(SkiftNavn,L327))</f>
        <v/>
      </c>
      <c r="I327" s="30">
        <f>IF(OR(A327="",L327=""),"",IF(MOD(A327-INDEX(SkiftStart,L327),Syklus)&lt;DagK,"Kveld",IF(MOD(A327-INDEX(SkiftStart,L327),Syklus)&lt;DagK+DagH,"Helg",IF(MOD(A327-INDEX(SkiftStart,L327),Syklus)&lt;DagK+DagH+DagD,"Dag","Fri"))))</f>
        <v/>
      </c>
      <c r="J327" s="30">
        <f>IF(I327="Fri","Ja","")</f>
        <v/>
      </c>
      <c r="K327" s="30">
        <f>IF(B327="","",IF(L327="","Ukjent tekniker",IF(ISNA(MATCH(C327,Aktiviteter,0)),"Ukjent aktivitet",IF(AND(INDEX(AktRolle,MATCH(C327,Aktiviteter,0))&amp;""&lt;&gt;"",ISERROR(SEARCH(INDEX(AktRolle,MATCH(C327,Aktiviteter,0))&amp;"",INDEX(TekRoller,MATCH(B327,Teknikere,0))))),"Mangler rollen "&amp;INDEX(AktRolle,MATCH(C327,Aktiviteter,0))&amp;"",IF(AND(C327="LMS",F327&gt;0,OR(D327="",E327="")),"Mangler maskin eller arbeid",IF(AND(OR(C327="LMS",C327="Mod"),D327&lt;&gt;""),IF(IFERROR(INDEX(MaskinStatus,MATCH(D327,Maskiner,0)),"")="I dokk","","Maskinen er ikke i dokk"),""))))))</f>
        <v/>
      </c>
      <c r="L327" s="2">
        <f>IF(B327="","",IFERROR(INT((MATCH(B327,Teknikere,0)-1)/18)+1,""))</f>
        <v/>
      </c>
      <c r="M327" s="2">
        <f>IF(OR(A327="",B327=""),"",B327&amp;"|"&amp;A327)</f>
        <v/>
      </c>
      <c r="N327" s="2">
        <f>IF(M327="","",SUMIFS(TF_Timer,TF_Nokkel,M327,TF_Akt,C327))</f>
        <v/>
      </c>
      <c r="O327" s="2">
        <f>IF(M327="","",IF(AND(N327=_xlfn.MAXIFS(TF_AktSum,TF_Nokkel,M327),COUNTIFS(M$3:M326,M327,N$3:N326,N327)=0),M327,""))</f>
        <v/>
      </c>
    </row>
    <row r="328">
      <c r="A328" s="34" t="n"/>
      <c r="B328" s="35" t="n"/>
      <c r="C328" s="35" t="n"/>
      <c r="D328" s="35" t="n"/>
      <c r="E328" s="35" t="n"/>
      <c r="F328" s="36" t="n"/>
      <c r="G328" s="35" t="n"/>
      <c r="H328" s="30">
        <f>IF(L328="","",INDEX(SkiftNavn,L328))</f>
        <v/>
      </c>
      <c r="I328" s="30">
        <f>IF(OR(A328="",L328=""),"",IF(MOD(A328-INDEX(SkiftStart,L328),Syklus)&lt;DagK,"Kveld",IF(MOD(A328-INDEX(SkiftStart,L328),Syklus)&lt;DagK+DagH,"Helg",IF(MOD(A328-INDEX(SkiftStart,L328),Syklus)&lt;DagK+DagH+DagD,"Dag","Fri"))))</f>
        <v/>
      </c>
      <c r="J328" s="30">
        <f>IF(I328="Fri","Ja","")</f>
        <v/>
      </c>
      <c r="K328" s="30">
        <f>IF(B328="","",IF(L328="","Ukjent tekniker",IF(ISNA(MATCH(C328,Aktiviteter,0)),"Ukjent aktivitet",IF(AND(INDEX(AktRolle,MATCH(C328,Aktiviteter,0))&amp;""&lt;&gt;"",ISERROR(SEARCH(INDEX(AktRolle,MATCH(C328,Aktiviteter,0))&amp;"",INDEX(TekRoller,MATCH(B328,Teknikere,0))))),"Mangler rollen "&amp;INDEX(AktRolle,MATCH(C328,Aktiviteter,0))&amp;"",IF(AND(C328="LMS",F328&gt;0,OR(D328="",E328="")),"Mangler maskin eller arbeid",IF(AND(OR(C328="LMS",C328="Mod"),D328&lt;&gt;""),IF(IFERROR(INDEX(MaskinStatus,MATCH(D328,Maskiner,0)),"")="I dokk","","Maskinen er ikke i dokk"),""))))))</f>
        <v/>
      </c>
      <c r="L328" s="2">
        <f>IF(B328="","",IFERROR(INT((MATCH(B328,Teknikere,0)-1)/18)+1,""))</f>
        <v/>
      </c>
      <c r="M328" s="2">
        <f>IF(OR(A328="",B328=""),"",B328&amp;"|"&amp;A328)</f>
        <v/>
      </c>
      <c r="N328" s="2">
        <f>IF(M328="","",SUMIFS(TF_Timer,TF_Nokkel,M328,TF_Akt,C328))</f>
        <v/>
      </c>
      <c r="O328" s="2">
        <f>IF(M328="","",IF(AND(N328=_xlfn.MAXIFS(TF_AktSum,TF_Nokkel,M328),COUNTIFS(M$3:M327,M328,N$3:N327,N328)=0),M328,""))</f>
        <v/>
      </c>
    </row>
    <row r="329">
      <c r="A329" s="34" t="n"/>
      <c r="B329" s="35" t="n"/>
      <c r="C329" s="35" t="n"/>
      <c r="D329" s="35" t="n"/>
      <c r="E329" s="35" t="n"/>
      <c r="F329" s="36" t="n"/>
      <c r="G329" s="35" t="n"/>
      <c r="H329" s="30">
        <f>IF(L329="","",INDEX(SkiftNavn,L329))</f>
        <v/>
      </c>
      <c r="I329" s="30">
        <f>IF(OR(A329="",L329=""),"",IF(MOD(A329-INDEX(SkiftStart,L329),Syklus)&lt;DagK,"Kveld",IF(MOD(A329-INDEX(SkiftStart,L329),Syklus)&lt;DagK+DagH,"Helg",IF(MOD(A329-INDEX(SkiftStart,L329),Syklus)&lt;DagK+DagH+DagD,"Dag","Fri"))))</f>
        <v/>
      </c>
      <c r="J329" s="30">
        <f>IF(I329="Fri","Ja","")</f>
        <v/>
      </c>
      <c r="K329" s="30">
        <f>IF(B329="","",IF(L329="","Ukjent tekniker",IF(ISNA(MATCH(C329,Aktiviteter,0)),"Ukjent aktivitet",IF(AND(INDEX(AktRolle,MATCH(C329,Aktiviteter,0))&amp;""&lt;&gt;"",ISERROR(SEARCH(INDEX(AktRolle,MATCH(C329,Aktiviteter,0))&amp;"",INDEX(TekRoller,MATCH(B329,Teknikere,0))))),"Mangler rollen "&amp;INDEX(AktRolle,MATCH(C329,Aktiviteter,0))&amp;"",IF(AND(C329="LMS",F329&gt;0,OR(D329="",E329="")),"Mangler maskin eller arbeid",IF(AND(OR(C329="LMS",C329="Mod"),D329&lt;&gt;""),IF(IFERROR(INDEX(MaskinStatus,MATCH(D329,Maskiner,0)),"")="I dokk","","Maskinen er ikke i dokk"),""))))))</f>
        <v/>
      </c>
      <c r="L329" s="2">
        <f>IF(B329="","",IFERROR(INT((MATCH(B329,Teknikere,0)-1)/18)+1,""))</f>
        <v/>
      </c>
      <c r="M329" s="2">
        <f>IF(OR(A329="",B329=""),"",B329&amp;"|"&amp;A329)</f>
        <v/>
      </c>
      <c r="N329" s="2">
        <f>IF(M329="","",SUMIFS(TF_Timer,TF_Nokkel,M329,TF_Akt,C329))</f>
        <v/>
      </c>
      <c r="O329" s="2">
        <f>IF(M329="","",IF(AND(N329=_xlfn.MAXIFS(TF_AktSum,TF_Nokkel,M329),COUNTIFS(M$3:M328,M329,N$3:N328,N329)=0),M329,""))</f>
        <v/>
      </c>
    </row>
    <row r="330">
      <c r="A330" s="34" t="n"/>
      <c r="B330" s="35" t="n"/>
      <c r="C330" s="35" t="n"/>
      <c r="D330" s="35" t="n"/>
      <c r="E330" s="35" t="n"/>
      <c r="F330" s="36" t="n"/>
      <c r="G330" s="35" t="n"/>
      <c r="H330" s="30">
        <f>IF(L330="","",INDEX(SkiftNavn,L330))</f>
        <v/>
      </c>
      <c r="I330" s="30">
        <f>IF(OR(A330="",L330=""),"",IF(MOD(A330-INDEX(SkiftStart,L330),Syklus)&lt;DagK,"Kveld",IF(MOD(A330-INDEX(SkiftStart,L330),Syklus)&lt;DagK+DagH,"Helg",IF(MOD(A330-INDEX(SkiftStart,L330),Syklus)&lt;DagK+DagH+DagD,"Dag","Fri"))))</f>
        <v/>
      </c>
      <c r="J330" s="30">
        <f>IF(I330="Fri","Ja","")</f>
        <v/>
      </c>
      <c r="K330" s="30">
        <f>IF(B330="","",IF(L330="","Ukjent tekniker",IF(ISNA(MATCH(C330,Aktiviteter,0)),"Ukjent aktivitet",IF(AND(INDEX(AktRolle,MATCH(C330,Aktiviteter,0))&amp;""&lt;&gt;"",ISERROR(SEARCH(INDEX(AktRolle,MATCH(C330,Aktiviteter,0))&amp;"",INDEX(TekRoller,MATCH(B330,Teknikere,0))))),"Mangler rollen "&amp;INDEX(AktRolle,MATCH(C330,Aktiviteter,0))&amp;"",IF(AND(C330="LMS",F330&gt;0,OR(D330="",E330="")),"Mangler maskin eller arbeid",IF(AND(OR(C330="LMS",C330="Mod"),D330&lt;&gt;""),IF(IFERROR(INDEX(MaskinStatus,MATCH(D330,Maskiner,0)),"")="I dokk","","Maskinen er ikke i dokk"),""))))))</f>
        <v/>
      </c>
      <c r="L330" s="2">
        <f>IF(B330="","",IFERROR(INT((MATCH(B330,Teknikere,0)-1)/18)+1,""))</f>
        <v/>
      </c>
      <c r="M330" s="2">
        <f>IF(OR(A330="",B330=""),"",B330&amp;"|"&amp;A330)</f>
        <v/>
      </c>
      <c r="N330" s="2">
        <f>IF(M330="","",SUMIFS(TF_Timer,TF_Nokkel,M330,TF_Akt,C330))</f>
        <v/>
      </c>
      <c r="O330" s="2">
        <f>IF(M330="","",IF(AND(N330=_xlfn.MAXIFS(TF_AktSum,TF_Nokkel,M330),COUNTIFS(M$3:M329,M330,N$3:N329,N330)=0),M330,""))</f>
        <v/>
      </c>
    </row>
    <row r="331">
      <c r="A331" s="34" t="n"/>
      <c r="B331" s="35" t="n"/>
      <c r="C331" s="35" t="n"/>
      <c r="D331" s="35" t="n"/>
      <c r="E331" s="35" t="n"/>
      <c r="F331" s="36" t="n"/>
      <c r="G331" s="35" t="n"/>
      <c r="H331" s="30">
        <f>IF(L331="","",INDEX(SkiftNavn,L331))</f>
        <v/>
      </c>
      <c r="I331" s="30">
        <f>IF(OR(A331="",L331=""),"",IF(MOD(A331-INDEX(SkiftStart,L331),Syklus)&lt;DagK,"Kveld",IF(MOD(A331-INDEX(SkiftStart,L331),Syklus)&lt;DagK+DagH,"Helg",IF(MOD(A331-INDEX(SkiftStart,L331),Syklus)&lt;DagK+DagH+DagD,"Dag","Fri"))))</f>
        <v/>
      </c>
      <c r="J331" s="30">
        <f>IF(I331="Fri","Ja","")</f>
        <v/>
      </c>
      <c r="K331" s="30">
        <f>IF(B331="","",IF(L331="","Ukjent tekniker",IF(ISNA(MATCH(C331,Aktiviteter,0)),"Ukjent aktivitet",IF(AND(INDEX(AktRolle,MATCH(C331,Aktiviteter,0))&amp;""&lt;&gt;"",ISERROR(SEARCH(INDEX(AktRolle,MATCH(C331,Aktiviteter,0))&amp;"",INDEX(TekRoller,MATCH(B331,Teknikere,0))))),"Mangler rollen "&amp;INDEX(AktRolle,MATCH(C331,Aktiviteter,0))&amp;"",IF(AND(C331="LMS",F331&gt;0,OR(D331="",E331="")),"Mangler maskin eller arbeid",IF(AND(OR(C331="LMS",C331="Mod"),D331&lt;&gt;""),IF(IFERROR(INDEX(MaskinStatus,MATCH(D331,Maskiner,0)),"")="I dokk","","Maskinen er ikke i dokk"),""))))))</f>
        <v/>
      </c>
      <c r="L331" s="2">
        <f>IF(B331="","",IFERROR(INT((MATCH(B331,Teknikere,0)-1)/18)+1,""))</f>
        <v/>
      </c>
      <c r="M331" s="2">
        <f>IF(OR(A331="",B331=""),"",B331&amp;"|"&amp;A331)</f>
        <v/>
      </c>
      <c r="N331" s="2">
        <f>IF(M331="","",SUMIFS(TF_Timer,TF_Nokkel,M331,TF_Akt,C331))</f>
        <v/>
      </c>
      <c r="O331" s="2">
        <f>IF(M331="","",IF(AND(N331=_xlfn.MAXIFS(TF_AktSum,TF_Nokkel,M331),COUNTIFS(M$3:M330,M331,N$3:N330,N331)=0),M331,""))</f>
        <v/>
      </c>
    </row>
    <row r="332">
      <c r="A332" s="34" t="n"/>
      <c r="B332" s="35" t="n"/>
      <c r="C332" s="35" t="n"/>
      <c r="D332" s="35" t="n"/>
      <c r="E332" s="35" t="n"/>
      <c r="F332" s="36" t="n"/>
      <c r="G332" s="35" t="n"/>
      <c r="H332" s="30">
        <f>IF(L332="","",INDEX(SkiftNavn,L332))</f>
        <v/>
      </c>
      <c r="I332" s="30">
        <f>IF(OR(A332="",L332=""),"",IF(MOD(A332-INDEX(SkiftStart,L332),Syklus)&lt;DagK,"Kveld",IF(MOD(A332-INDEX(SkiftStart,L332),Syklus)&lt;DagK+DagH,"Helg",IF(MOD(A332-INDEX(SkiftStart,L332),Syklus)&lt;DagK+DagH+DagD,"Dag","Fri"))))</f>
        <v/>
      </c>
      <c r="J332" s="30">
        <f>IF(I332="Fri","Ja","")</f>
        <v/>
      </c>
      <c r="K332" s="30">
        <f>IF(B332="","",IF(L332="","Ukjent tekniker",IF(ISNA(MATCH(C332,Aktiviteter,0)),"Ukjent aktivitet",IF(AND(INDEX(AktRolle,MATCH(C332,Aktiviteter,0))&amp;""&lt;&gt;"",ISERROR(SEARCH(INDEX(AktRolle,MATCH(C332,Aktiviteter,0))&amp;"",INDEX(TekRoller,MATCH(B332,Teknikere,0))))),"Mangler rollen "&amp;INDEX(AktRolle,MATCH(C332,Aktiviteter,0))&amp;"",IF(AND(C332="LMS",F332&gt;0,OR(D332="",E332="")),"Mangler maskin eller arbeid",IF(AND(OR(C332="LMS",C332="Mod"),D332&lt;&gt;""),IF(IFERROR(INDEX(MaskinStatus,MATCH(D332,Maskiner,0)),"")="I dokk","","Maskinen er ikke i dokk"),""))))))</f>
        <v/>
      </c>
      <c r="L332" s="2">
        <f>IF(B332="","",IFERROR(INT((MATCH(B332,Teknikere,0)-1)/18)+1,""))</f>
        <v/>
      </c>
      <c r="M332" s="2">
        <f>IF(OR(A332="",B332=""),"",B332&amp;"|"&amp;A332)</f>
        <v/>
      </c>
      <c r="N332" s="2">
        <f>IF(M332="","",SUMIFS(TF_Timer,TF_Nokkel,M332,TF_Akt,C332))</f>
        <v/>
      </c>
      <c r="O332" s="2">
        <f>IF(M332="","",IF(AND(N332=_xlfn.MAXIFS(TF_AktSum,TF_Nokkel,M332),COUNTIFS(M$3:M331,M332,N$3:N331,N332)=0),M332,""))</f>
        <v/>
      </c>
    </row>
    <row r="333">
      <c r="A333" s="34" t="n"/>
      <c r="B333" s="35" t="n"/>
      <c r="C333" s="35" t="n"/>
      <c r="D333" s="35" t="n"/>
      <c r="E333" s="35" t="n"/>
      <c r="F333" s="36" t="n"/>
      <c r="G333" s="35" t="n"/>
      <c r="H333" s="30">
        <f>IF(L333="","",INDEX(SkiftNavn,L333))</f>
        <v/>
      </c>
      <c r="I333" s="30">
        <f>IF(OR(A333="",L333=""),"",IF(MOD(A333-INDEX(SkiftStart,L333),Syklus)&lt;DagK,"Kveld",IF(MOD(A333-INDEX(SkiftStart,L333),Syklus)&lt;DagK+DagH,"Helg",IF(MOD(A333-INDEX(SkiftStart,L333),Syklus)&lt;DagK+DagH+DagD,"Dag","Fri"))))</f>
        <v/>
      </c>
      <c r="J333" s="30">
        <f>IF(I333="Fri","Ja","")</f>
        <v/>
      </c>
      <c r="K333" s="30">
        <f>IF(B333="","",IF(L333="","Ukjent tekniker",IF(ISNA(MATCH(C333,Aktiviteter,0)),"Ukjent aktivitet",IF(AND(INDEX(AktRolle,MATCH(C333,Aktiviteter,0))&amp;""&lt;&gt;"",ISERROR(SEARCH(INDEX(AktRolle,MATCH(C333,Aktiviteter,0))&amp;"",INDEX(TekRoller,MATCH(B333,Teknikere,0))))),"Mangler rollen "&amp;INDEX(AktRolle,MATCH(C333,Aktiviteter,0))&amp;"",IF(AND(C333="LMS",F333&gt;0,OR(D333="",E333="")),"Mangler maskin eller arbeid",IF(AND(OR(C333="LMS",C333="Mod"),D333&lt;&gt;""),IF(IFERROR(INDEX(MaskinStatus,MATCH(D333,Maskiner,0)),"")="I dokk","","Maskinen er ikke i dokk"),""))))))</f>
        <v/>
      </c>
      <c r="L333" s="2">
        <f>IF(B333="","",IFERROR(INT((MATCH(B333,Teknikere,0)-1)/18)+1,""))</f>
        <v/>
      </c>
      <c r="M333" s="2">
        <f>IF(OR(A333="",B333=""),"",B333&amp;"|"&amp;A333)</f>
        <v/>
      </c>
      <c r="N333" s="2">
        <f>IF(M333="","",SUMIFS(TF_Timer,TF_Nokkel,M333,TF_Akt,C333))</f>
        <v/>
      </c>
      <c r="O333" s="2">
        <f>IF(M333="","",IF(AND(N333=_xlfn.MAXIFS(TF_AktSum,TF_Nokkel,M333),COUNTIFS(M$3:M332,M333,N$3:N332,N333)=0),M333,""))</f>
        <v/>
      </c>
    </row>
    <row r="334">
      <c r="A334" s="34" t="n"/>
      <c r="B334" s="35" t="n"/>
      <c r="C334" s="35" t="n"/>
      <c r="D334" s="35" t="n"/>
      <c r="E334" s="35" t="n"/>
      <c r="F334" s="36" t="n"/>
      <c r="G334" s="35" t="n"/>
      <c r="H334" s="30">
        <f>IF(L334="","",INDEX(SkiftNavn,L334))</f>
        <v/>
      </c>
      <c r="I334" s="30">
        <f>IF(OR(A334="",L334=""),"",IF(MOD(A334-INDEX(SkiftStart,L334),Syklus)&lt;DagK,"Kveld",IF(MOD(A334-INDEX(SkiftStart,L334),Syklus)&lt;DagK+DagH,"Helg",IF(MOD(A334-INDEX(SkiftStart,L334),Syklus)&lt;DagK+DagH+DagD,"Dag","Fri"))))</f>
        <v/>
      </c>
      <c r="J334" s="30">
        <f>IF(I334="Fri","Ja","")</f>
        <v/>
      </c>
      <c r="K334" s="30">
        <f>IF(B334="","",IF(L334="","Ukjent tekniker",IF(ISNA(MATCH(C334,Aktiviteter,0)),"Ukjent aktivitet",IF(AND(INDEX(AktRolle,MATCH(C334,Aktiviteter,0))&amp;""&lt;&gt;"",ISERROR(SEARCH(INDEX(AktRolle,MATCH(C334,Aktiviteter,0))&amp;"",INDEX(TekRoller,MATCH(B334,Teknikere,0))))),"Mangler rollen "&amp;INDEX(AktRolle,MATCH(C334,Aktiviteter,0))&amp;"",IF(AND(C334="LMS",F334&gt;0,OR(D334="",E334="")),"Mangler maskin eller arbeid",IF(AND(OR(C334="LMS",C334="Mod"),D334&lt;&gt;""),IF(IFERROR(INDEX(MaskinStatus,MATCH(D334,Maskiner,0)),"")="I dokk","","Maskinen er ikke i dokk"),""))))))</f>
        <v/>
      </c>
      <c r="L334" s="2">
        <f>IF(B334="","",IFERROR(INT((MATCH(B334,Teknikere,0)-1)/18)+1,""))</f>
        <v/>
      </c>
      <c r="M334" s="2">
        <f>IF(OR(A334="",B334=""),"",B334&amp;"|"&amp;A334)</f>
        <v/>
      </c>
      <c r="N334" s="2">
        <f>IF(M334="","",SUMIFS(TF_Timer,TF_Nokkel,M334,TF_Akt,C334))</f>
        <v/>
      </c>
      <c r="O334" s="2">
        <f>IF(M334="","",IF(AND(N334=_xlfn.MAXIFS(TF_AktSum,TF_Nokkel,M334),COUNTIFS(M$3:M333,M334,N$3:N333,N334)=0),M334,""))</f>
        <v/>
      </c>
    </row>
    <row r="335">
      <c r="A335" s="34" t="n"/>
      <c r="B335" s="35" t="n"/>
      <c r="C335" s="35" t="n"/>
      <c r="D335" s="35" t="n"/>
      <c r="E335" s="35" t="n"/>
      <c r="F335" s="36" t="n"/>
      <c r="G335" s="35" t="n"/>
      <c r="H335" s="30">
        <f>IF(L335="","",INDEX(SkiftNavn,L335))</f>
        <v/>
      </c>
      <c r="I335" s="30">
        <f>IF(OR(A335="",L335=""),"",IF(MOD(A335-INDEX(SkiftStart,L335),Syklus)&lt;DagK,"Kveld",IF(MOD(A335-INDEX(SkiftStart,L335),Syklus)&lt;DagK+DagH,"Helg",IF(MOD(A335-INDEX(SkiftStart,L335),Syklus)&lt;DagK+DagH+DagD,"Dag","Fri"))))</f>
        <v/>
      </c>
      <c r="J335" s="30">
        <f>IF(I335="Fri","Ja","")</f>
        <v/>
      </c>
      <c r="K335" s="30">
        <f>IF(B335="","",IF(L335="","Ukjent tekniker",IF(ISNA(MATCH(C335,Aktiviteter,0)),"Ukjent aktivitet",IF(AND(INDEX(AktRolle,MATCH(C335,Aktiviteter,0))&amp;""&lt;&gt;"",ISERROR(SEARCH(INDEX(AktRolle,MATCH(C335,Aktiviteter,0))&amp;"",INDEX(TekRoller,MATCH(B335,Teknikere,0))))),"Mangler rollen "&amp;INDEX(AktRolle,MATCH(C335,Aktiviteter,0))&amp;"",IF(AND(C335="LMS",F335&gt;0,OR(D335="",E335="")),"Mangler maskin eller arbeid",IF(AND(OR(C335="LMS",C335="Mod"),D335&lt;&gt;""),IF(IFERROR(INDEX(MaskinStatus,MATCH(D335,Maskiner,0)),"")="I dokk","","Maskinen er ikke i dokk"),""))))))</f>
        <v/>
      </c>
      <c r="L335" s="2">
        <f>IF(B335="","",IFERROR(INT((MATCH(B335,Teknikere,0)-1)/18)+1,""))</f>
        <v/>
      </c>
      <c r="M335" s="2">
        <f>IF(OR(A335="",B335=""),"",B335&amp;"|"&amp;A335)</f>
        <v/>
      </c>
      <c r="N335" s="2">
        <f>IF(M335="","",SUMIFS(TF_Timer,TF_Nokkel,M335,TF_Akt,C335))</f>
        <v/>
      </c>
      <c r="O335" s="2">
        <f>IF(M335="","",IF(AND(N335=_xlfn.MAXIFS(TF_AktSum,TF_Nokkel,M335),COUNTIFS(M$3:M334,M335,N$3:N334,N335)=0),M335,""))</f>
        <v/>
      </c>
    </row>
    <row r="336">
      <c r="A336" s="34" t="n"/>
      <c r="B336" s="35" t="n"/>
      <c r="C336" s="35" t="n"/>
      <c r="D336" s="35" t="n"/>
      <c r="E336" s="35" t="n"/>
      <c r="F336" s="36" t="n"/>
      <c r="G336" s="35" t="n"/>
      <c r="H336" s="30">
        <f>IF(L336="","",INDEX(SkiftNavn,L336))</f>
        <v/>
      </c>
      <c r="I336" s="30">
        <f>IF(OR(A336="",L336=""),"",IF(MOD(A336-INDEX(SkiftStart,L336),Syklus)&lt;DagK,"Kveld",IF(MOD(A336-INDEX(SkiftStart,L336),Syklus)&lt;DagK+DagH,"Helg",IF(MOD(A336-INDEX(SkiftStart,L336),Syklus)&lt;DagK+DagH+DagD,"Dag","Fri"))))</f>
        <v/>
      </c>
      <c r="J336" s="30">
        <f>IF(I336="Fri","Ja","")</f>
        <v/>
      </c>
      <c r="K336" s="30">
        <f>IF(B336="","",IF(L336="","Ukjent tekniker",IF(ISNA(MATCH(C336,Aktiviteter,0)),"Ukjent aktivitet",IF(AND(INDEX(AktRolle,MATCH(C336,Aktiviteter,0))&amp;""&lt;&gt;"",ISERROR(SEARCH(INDEX(AktRolle,MATCH(C336,Aktiviteter,0))&amp;"",INDEX(TekRoller,MATCH(B336,Teknikere,0))))),"Mangler rollen "&amp;INDEX(AktRolle,MATCH(C336,Aktiviteter,0))&amp;"",IF(AND(C336="LMS",F336&gt;0,OR(D336="",E336="")),"Mangler maskin eller arbeid",IF(AND(OR(C336="LMS",C336="Mod"),D336&lt;&gt;""),IF(IFERROR(INDEX(MaskinStatus,MATCH(D336,Maskiner,0)),"")="I dokk","","Maskinen er ikke i dokk"),""))))))</f>
        <v/>
      </c>
      <c r="L336" s="2">
        <f>IF(B336="","",IFERROR(INT((MATCH(B336,Teknikere,0)-1)/18)+1,""))</f>
        <v/>
      </c>
      <c r="M336" s="2">
        <f>IF(OR(A336="",B336=""),"",B336&amp;"|"&amp;A336)</f>
        <v/>
      </c>
      <c r="N336" s="2">
        <f>IF(M336="","",SUMIFS(TF_Timer,TF_Nokkel,M336,TF_Akt,C336))</f>
        <v/>
      </c>
      <c r="O336" s="2">
        <f>IF(M336="","",IF(AND(N336=_xlfn.MAXIFS(TF_AktSum,TF_Nokkel,M336),COUNTIFS(M$3:M335,M336,N$3:N335,N336)=0),M336,""))</f>
        <v/>
      </c>
    </row>
    <row r="337">
      <c r="A337" s="34" t="n"/>
      <c r="B337" s="35" t="n"/>
      <c r="C337" s="35" t="n"/>
      <c r="D337" s="35" t="n"/>
      <c r="E337" s="35" t="n"/>
      <c r="F337" s="36" t="n"/>
      <c r="G337" s="35" t="n"/>
      <c r="H337" s="30">
        <f>IF(L337="","",INDEX(SkiftNavn,L337))</f>
        <v/>
      </c>
      <c r="I337" s="30">
        <f>IF(OR(A337="",L337=""),"",IF(MOD(A337-INDEX(SkiftStart,L337),Syklus)&lt;DagK,"Kveld",IF(MOD(A337-INDEX(SkiftStart,L337),Syklus)&lt;DagK+DagH,"Helg",IF(MOD(A337-INDEX(SkiftStart,L337),Syklus)&lt;DagK+DagH+DagD,"Dag","Fri"))))</f>
        <v/>
      </c>
      <c r="J337" s="30">
        <f>IF(I337="Fri","Ja","")</f>
        <v/>
      </c>
      <c r="K337" s="30">
        <f>IF(B337="","",IF(L337="","Ukjent tekniker",IF(ISNA(MATCH(C337,Aktiviteter,0)),"Ukjent aktivitet",IF(AND(INDEX(AktRolle,MATCH(C337,Aktiviteter,0))&amp;""&lt;&gt;"",ISERROR(SEARCH(INDEX(AktRolle,MATCH(C337,Aktiviteter,0))&amp;"",INDEX(TekRoller,MATCH(B337,Teknikere,0))))),"Mangler rollen "&amp;INDEX(AktRolle,MATCH(C337,Aktiviteter,0))&amp;"",IF(AND(C337="LMS",F337&gt;0,OR(D337="",E337="")),"Mangler maskin eller arbeid",IF(AND(OR(C337="LMS",C337="Mod"),D337&lt;&gt;""),IF(IFERROR(INDEX(MaskinStatus,MATCH(D337,Maskiner,0)),"")="I dokk","","Maskinen er ikke i dokk"),""))))))</f>
        <v/>
      </c>
      <c r="L337" s="2">
        <f>IF(B337="","",IFERROR(INT((MATCH(B337,Teknikere,0)-1)/18)+1,""))</f>
        <v/>
      </c>
      <c r="M337" s="2">
        <f>IF(OR(A337="",B337=""),"",B337&amp;"|"&amp;A337)</f>
        <v/>
      </c>
      <c r="N337" s="2">
        <f>IF(M337="","",SUMIFS(TF_Timer,TF_Nokkel,M337,TF_Akt,C337))</f>
        <v/>
      </c>
      <c r="O337" s="2">
        <f>IF(M337="","",IF(AND(N337=_xlfn.MAXIFS(TF_AktSum,TF_Nokkel,M337),COUNTIFS(M$3:M336,M337,N$3:N336,N337)=0),M337,""))</f>
        <v/>
      </c>
    </row>
    <row r="338">
      <c r="A338" s="34" t="n"/>
      <c r="B338" s="35" t="n"/>
      <c r="C338" s="35" t="n"/>
      <c r="D338" s="35" t="n"/>
      <c r="E338" s="35" t="n"/>
      <c r="F338" s="36" t="n"/>
      <c r="G338" s="35" t="n"/>
      <c r="H338" s="30">
        <f>IF(L338="","",INDEX(SkiftNavn,L338))</f>
        <v/>
      </c>
      <c r="I338" s="30">
        <f>IF(OR(A338="",L338=""),"",IF(MOD(A338-INDEX(SkiftStart,L338),Syklus)&lt;DagK,"Kveld",IF(MOD(A338-INDEX(SkiftStart,L338),Syklus)&lt;DagK+DagH,"Helg",IF(MOD(A338-INDEX(SkiftStart,L338),Syklus)&lt;DagK+DagH+DagD,"Dag","Fri"))))</f>
        <v/>
      </c>
      <c r="J338" s="30">
        <f>IF(I338="Fri","Ja","")</f>
        <v/>
      </c>
      <c r="K338" s="30">
        <f>IF(B338="","",IF(L338="","Ukjent tekniker",IF(ISNA(MATCH(C338,Aktiviteter,0)),"Ukjent aktivitet",IF(AND(INDEX(AktRolle,MATCH(C338,Aktiviteter,0))&amp;""&lt;&gt;"",ISERROR(SEARCH(INDEX(AktRolle,MATCH(C338,Aktiviteter,0))&amp;"",INDEX(TekRoller,MATCH(B338,Teknikere,0))))),"Mangler rollen "&amp;INDEX(AktRolle,MATCH(C338,Aktiviteter,0))&amp;"",IF(AND(C338="LMS",F338&gt;0,OR(D338="",E338="")),"Mangler maskin eller arbeid",IF(AND(OR(C338="LMS",C338="Mod"),D338&lt;&gt;""),IF(IFERROR(INDEX(MaskinStatus,MATCH(D338,Maskiner,0)),"")="I dokk","","Maskinen er ikke i dokk"),""))))))</f>
        <v/>
      </c>
      <c r="L338" s="2">
        <f>IF(B338="","",IFERROR(INT((MATCH(B338,Teknikere,0)-1)/18)+1,""))</f>
        <v/>
      </c>
      <c r="M338" s="2">
        <f>IF(OR(A338="",B338=""),"",B338&amp;"|"&amp;A338)</f>
        <v/>
      </c>
      <c r="N338" s="2">
        <f>IF(M338="","",SUMIFS(TF_Timer,TF_Nokkel,M338,TF_Akt,C338))</f>
        <v/>
      </c>
      <c r="O338" s="2">
        <f>IF(M338="","",IF(AND(N338=_xlfn.MAXIFS(TF_AktSum,TF_Nokkel,M338),COUNTIFS(M$3:M337,M338,N$3:N337,N338)=0),M338,""))</f>
        <v/>
      </c>
    </row>
    <row r="339">
      <c r="A339" s="34" t="n"/>
      <c r="B339" s="35" t="n"/>
      <c r="C339" s="35" t="n"/>
      <c r="D339" s="35" t="n"/>
      <c r="E339" s="35" t="n"/>
      <c r="F339" s="36" t="n"/>
      <c r="G339" s="35" t="n"/>
      <c r="H339" s="30">
        <f>IF(L339="","",INDEX(SkiftNavn,L339))</f>
        <v/>
      </c>
      <c r="I339" s="30">
        <f>IF(OR(A339="",L339=""),"",IF(MOD(A339-INDEX(SkiftStart,L339),Syklus)&lt;DagK,"Kveld",IF(MOD(A339-INDEX(SkiftStart,L339),Syklus)&lt;DagK+DagH,"Helg",IF(MOD(A339-INDEX(SkiftStart,L339),Syklus)&lt;DagK+DagH+DagD,"Dag","Fri"))))</f>
        <v/>
      </c>
      <c r="J339" s="30">
        <f>IF(I339="Fri","Ja","")</f>
        <v/>
      </c>
      <c r="K339" s="30">
        <f>IF(B339="","",IF(L339="","Ukjent tekniker",IF(ISNA(MATCH(C339,Aktiviteter,0)),"Ukjent aktivitet",IF(AND(INDEX(AktRolle,MATCH(C339,Aktiviteter,0))&amp;""&lt;&gt;"",ISERROR(SEARCH(INDEX(AktRolle,MATCH(C339,Aktiviteter,0))&amp;"",INDEX(TekRoller,MATCH(B339,Teknikere,0))))),"Mangler rollen "&amp;INDEX(AktRolle,MATCH(C339,Aktiviteter,0))&amp;"",IF(AND(C339="LMS",F339&gt;0,OR(D339="",E339="")),"Mangler maskin eller arbeid",IF(AND(OR(C339="LMS",C339="Mod"),D339&lt;&gt;""),IF(IFERROR(INDEX(MaskinStatus,MATCH(D339,Maskiner,0)),"")="I dokk","","Maskinen er ikke i dokk"),""))))))</f>
        <v/>
      </c>
      <c r="L339" s="2">
        <f>IF(B339="","",IFERROR(INT((MATCH(B339,Teknikere,0)-1)/18)+1,""))</f>
        <v/>
      </c>
      <c r="M339" s="2">
        <f>IF(OR(A339="",B339=""),"",B339&amp;"|"&amp;A339)</f>
        <v/>
      </c>
      <c r="N339" s="2">
        <f>IF(M339="","",SUMIFS(TF_Timer,TF_Nokkel,M339,TF_Akt,C339))</f>
        <v/>
      </c>
      <c r="O339" s="2">
        <f>IF(M339="","",IF(AND(N339=_xlfn.MAXIFS(TF_AktSum,TF_Nokkel,M339),COUNTIFS(M$3:M338,M339,N$3:N338,N339)=0),M339,""))</f>
        <v/>
      </c>
    </row>
    <row r="340">
      <c r="A340" s="34" t="n"/>
      <c r="B340" s="35" t="n"/>
      <c r="C340" s="35" t="n"/>
      <c r="D340" s="35" t="n"/>
      <c r="E340" s="35" t="n"/>
      <c r="F340" s="36" t="n"/>
      <c r="G340" s="35" t="n"/>
      <c r="H340" s="30">
        <f>IF(L340="","",INDEX(SkiftNavn,L340))</f>
        <v/>
      </c>
      <c r="I340" s="30">
        <f>IF(OR(A340="",L340=""),"",IF(MOD(A340-INDEX(SkiftStart,L340),Syklus)&lt;DagK,"Kveld",IF(MOD(A340-INDEX(SkiftStart,L340),Syklus)&lt;DagK+DagH,"Helg",IF(MOD(A340-INDEX(SkiftStart,L340),Syklus)&lt;DagK+DagH+DagD,"Dag","Fri"))))</f>
        <v/>
      </c>
      <c r="J340" s="30">
        <f>IF(I340="Fri","Ja","")</f>
        <v/>
      </c>
      <c r="K340" s="30">
        <f>IF(B340="","",IF(L340="","Ukjent tekniker",IF(ISNA(MATCH(C340,Aktiviteter,0)),"Ukjent aktivitet",IF(AND(INDEX(AktRolle,MATCH(C340,Aktiviteter,0))&amp;""&lt;&gt;"",ISERROR(SEARCH(INDEX(AktRolle,MATCH(C340,Aktiviteter,0))&amp;"",INDEX(TekRoller,MATCH(B340,Teknikere,0))))),"Mangler rollen "&amp;INDEX(AktRolle,MATCH(C340,Aktiviteter,0))&amp;"",IF(AND(C340="LMS",F340&gt;0,OR(D340="",E340="")),"Mangler maskin eller arbeid",IF(AND(OR(C340="LMS",C340="Mod"),D340&lt;&gt;""),IF(IFERROR(INDEX(MaskinStatus,MATCH(D340,Maskiner,0)),"")="I dokk","","Maskinen er ikke i dokk"),""))))))</f>
        <v/>
      </c>
      <c r="L340" s="2">
        <f>IF(B340="","",IFERROR(INT((MATCH(B340,Teknikere,0)-1)/18)+1,""))</f>
        <v/>
      </c>
      <c r="M340" s="2">
        <f>IF(OR(A340="",B340=""),"",B340&amp;"|"&amp;A340)</f>
        <v/>
      </c>
      <c r="N340" s="2">
        <f>IF(M340="","",SUMIFS(TF_Timer,TF_Nokkel,M340,TF_Akt,C340))</f>
        <v/>
      </c>
      <c r="O340" s="2">
        <f>IF(M340="","",IF(AND(N340=_xlfn.MAXIFS(TF_AktSum,TF_Nokkel,M340),COUNTIFS(M$3:M339,M340,N$3:N339,N340)=0),M340,""))</f>
        <v/>
      </c>
    </row>
    <row r="341">
      <c r="A341" s="34" t="n"/>
      <c r="B341" s="35" t="n"/>
      <c r="C341" s="35" t="n"/>
      <c r="D341" s="35" t="n"/>
      <c r="E341" s="35" t="n"/>
      <c r="F341" s="36" t="n"/>
      <c r="G341" s="35" t="n"/>
      <c r="H341" s="30">
        <f>IF(L341="","",INDEX(SkiftNavn,L341))</f>
        <v/>
      </c>
      <c r="I341" s="30">
        <f>IF(OR(A341="",L341=""),"",IF(MOD(A341-INDEX(SkiftStart,L341),Syklus)&lt;DagK,"Kveld",IF(MOD(A341-INDEX(SkiftStart,L341),Syklus)&lt;DagK+DagH,"Helg",IF(MOD(A341-INDEX(SkiftStart,L341),Syklus)&lt;DagK+DagH+DagD,"Dag","Fri"))))</f>
        <v/>
      </c>
      <c r="J341" s="30">
        <f>IF(I341="Fri","Ja","")</f>
        <v/>
      </c>
      <c r="K341" s="30">
        <f>IF(B341="","",IF(L341="","Ukjent tekniker",IF(ISNA(MATCH(C341,Aktiviteter,0)),"Ukjent aktivitet",IF(AND(INDEX(AktRolle,MATCH(C341,Aktiviteter,0))&amp;""&lt;&gt;"",ISERROR(SEARCH(INDEX(AktRolle,MATCH(C341,Aktiviteter,0))&amp;"",INDEX(TekRoller,MATCH(B341,Teknikere,0))))),"Mangler rollen "&amp;INDEX(AktRolle,MATCH(C341,Aktiviteter,0))&amp;"",IF(AND(C341="LMS",F341&gt;0,OR(D341="",E341="")),"Mangler maskin eller arbeid",IF(AND(OR(C341="LMS",C341="Mod"),D341&lt;&gt;""),IF(IFERROR(INDEX(MaskinStatus,MATCH(D341,Maskiner,0)),"")="I dokk","","Maskinen er ikke i dokk"),""))))))</f>
        <v/>
      </c>
      <c r="L341" s="2">
        <f>IF(B341="","",IFERROR(INT((MATCH(B341,Teknikere,0)-1)/18)+1,""))</f>
        <v/>
      </c>
      <c r="M341" s="2">
        <f>IF(OR(A341="",B341=""),"",B341&amp;"|"&amp;A341)</f>
        <v/>
      </c>
      <c r="N341" s="2">
        <f>IF(M341="","",SUMIFS(TF_Timer,TF_Nokkel,M341,TF_Akt,C341))</f>
        <v/>
      </c>
      <c r="O341" s="2">
        <f>IF(M341="","",IF(AND(N341=_xlfn.MAXIFS(TF_AktSum,TF_Nokkel,M341),COUNTIFS(M$3:M340,M341,N$3:N340,N341)=0),M341,""))</f>
        <v/>
      </c>
    </row>
    <row r="342">
      <c r="A342" s="34" t="n"/>
      <c r="B342" s="35" t="n"/>
      <c r="C342" s="35" t="n"/>
      <c r="D342" s="35" t="n"/>
      <c r="E342" s="35" t="n"/>
      <c r="F342" s="36" t="n"/>
      <c r="G342" s="35" t="n"/>
      <c r="H342" s="30">
        <f>IF(L342="","",INDEX(SkiftNavn,L342))</f>
        <v/>
      </c>
      <c r="I342" s="30">
        <f>IF(OR(A342="",L342=""),"",IF(MOD(A342-INDEX(SkiftStart,L342),Syklus)&lt;DagK,"Kveld",IF(MOD(A342-INDEX(SkiftStart,L342),Syklus)&lt;DagK+DagH,"Helg",IF(MOD(A342-INDEX(SkiftStart,L342),Syklus)&lt;DagK+DagH+DagD,"Dag","Fri"))))</f>
        <v/>
      </c>
      <c r="J342" s="30">
        <f>IF(I342="Fri","Ja","")</f>
        <v/>
      </c>
      <c r="K342" s="30">
        <f>IF(B342="","",IF(L342="","Ukjent tekniker",IF(ISNA(MATCH(C342,Aktiviteter,0)),"Ukjent aktivitet",IF(AND(INDEX(AktRolle,MATCH(C342,Aktiviteter,0))&amp;""&lt;&gt;"",ISERROR(SEARCH(INDEX(AktRolle,MATCH(C342,Aktiviteter,0))&amp;"",INDEX(TekRoller,MATCH(B342,Teknikere,0))))),"Mangler rollen "&amp;INDEX(AktRolle,MATCH(C342,Aktiviteter,0))&amp;"",IF(AND(C342="LMS",F342&gt;0,OR(D342="",E342="")),"Mangler maskin eller arbeid",IF(AND(OR(C342="LMS",C342="Mod"),D342&lt;&gt;""),IF(IFERROR(INDEX(MaskinStatus,MATCH(D342,Maskiner,0)),"")="I dokk","","Maskinen er ikke i dokk"),""))))))</f>
        <v/>
      </c>
      <c r="L342" s="2">
        <f>IF(B342="","",IFERROR(INT((MATCH(B342,Teknikere,0)-1)/18)+1,""))</f>
        <v/>
      </c>
      <c r="M342" s="2">
        <f>IF(OR(A342="",B342=""),"",B342&amp;"|"&amp;A342)</f>
        <v/>
      </c>
      <c r="N342" s="2">
        <f>IF(M342="","",SUMIFS(TF_Timer,TF_Nokkel,M342,TF_Akt,C342))</f>
        <v/>
      </c>
      <c r="O342" s="2">
        <f>IF(M342="","",IF(AND(N342=_xlfn.MAXIFS(TF_AktSum,TF_Nokkel,M342),COUNTIFS(M$3:M341,M342,N$3:N341,N342)=0),M342,""))</f>
        <v/>
      </c>
    </row>
    <row r="343">
      <c r="A343" s="34" t="n"/>
      <c r="B343" s="35" t="n"/>
      <c r="C343" s="35" t="n"/>
      <c r="D343" s="35" t="n"/>
      <c r="E343" s="35" t="n"/>
      <c r="F343" s="36" t="n"/>
      <c r="G343" s="35" t="n"/>
      <c r="H343" s="30">
        <f>IF(L343="","",INDEX(SkiftNavn,L343))</f>
        <v/>
      </c>
      <c r="I343" s="30">
        <f>IF(OR(A343="",L343=""),"",IF(MOD(A343-INDEX(SkiftStart,L343),Syklus)&lt;DagK,"Kveld",IF(MOD(A343-INDEX(SkiftStart,L343),Syklus)&lt;DagK+DagH,"Helg",IF(MOD(A343-INDEX(SkiftStart,L343),Syklus)&lt;DagK+DagH+DagD,"Dag","Fri"))))</f>
        <v/>
      </c>
      <c r="J343" s="30">
        <f>IF(I343="Fri","Ja","")</f>
        <v/>
      </c>
      <c r="K343" s="30">
        <f>IF(B343="","",IF(L343="","Ukjent tekniker",IF(ISNA(MATCH(C343,Aktiviteter,0)),"Ukjent aktivitet",IF(AND(INDEX(AktRolle,MATCH(C343,Aktiviteter,0))&amp;""&lt;&gt;"",ISERROR(SEARCH(INDEX(AktRolle,MATCH(C343,Aktiviteter,0))&amp;"",INDEX(TekRoller,MATCH(B343,Teknikere,0))))),"Mangler rollen "&amp;INDEX(AktRolle,MATCH(C343,Aktiviteter,0))&amp;"",IF(AND(C343="LMS",F343&gt;0,OR(D343="",E343="")),"Mangler maskin eller arbeid",IF(AND(OR(C343="LMS",C343="Mod"),D343&lt;&gt;""),IF(IFERROR(INDEX(MaskinStatus,MATCH(D343,Maskiner,0)),"")="I dokk","","Maskinen er ikke i dokk"),""))))))</f>
        <v/>
      </c>
      <c r="L343" s="2">
        <f>IF(B343="","",IFERROR(INT((MATCH(B343,Teknikere,0)-1)/18)+1,""))</f>
        <v/>
      </c>
      <c r="M343" s="2">
        <f>IF(OR(A343="",B343=""),"",B343&amp;"|"&amp;A343)</f>
        <v/>
      </c>
      <c r="N343" s="2">
        <f>IF(M343="","",SUMIFS(TF_Timer,TF_Nokkel,M343,TF_Akt,C343))</f>
        <v/>
      </c>
      <c r="O343" s="2">
        <f>IF(M343="","",IF(AND(N343=_xlfn.MAXIFS(TF_AktSum,TF_Nokkel,M343),COUNTIFS(M$3:M342,M343,N$3:N342,N343)=0),M343,""))</f>
        <v/>
      </c>
    </row>
    <row r="344">
      <c r="A344" s="34" t="n"/>
      <c r="B344" s="35" t="n"/>
      <c r="C344" s="35" t="n"/>
      <c r="D344" s="35" t="n"/>
      <c r="E344" s="35" t="n"/>
      <c r="F344" s="36" t="n"/>
      <c r="G344" s="35" t="n"/>
      <c r="H344" s="30">
        <f>IF(L344="","",INDEX(SkiftNavn,L344))</f>
        <v/>
      </c>
      <c r="I344" s="30">
        <f>IF(OR(A344="",L344=""),"",IF(MOD(A344-INDEX(SkiftStart,L344),Syklus)&lt;DagK,"Kveld",IF(MOD(A344-INDEX(SkiftStart,L344),Syklus)&lt;DagK+DagH,"Helg",IF(MOD(A344-INDEX(SkiftStart,L344),Syklus)&lt;DagK+DagH+DagD,"Dag","Fri"))))</f>
        <v/>
      </c>
      <c r="J344" s="30">
        <f>IF(I344="Fri","Ja","")</f>
        <v/>
      </c>
      <c r="K344" s="30">
        <f>IF(B344="","",IF(L344="","Ukjent tekniker",IF(ISNA(MATCH(C344,Aktiviteter,0)),"Ukjent aktivitet",IF(AND(INDEX(AktRolle,MATCH(C344,Aktiviteter,0))&amp;""&lt;&gt;"",ISERROR(SEARCH(INDEX(AktRolle,MATCH(C344,Aktiviteter,0))&amp;"",INDEX(TekRoller,MATCH(B344,Teknikere,0))))),"Mangler rollen "&amp;INDEX(AktRolle,MATCH(C344,Aktiviteter,0))&amp;"",IF(AND(C344="LMS",F344&gt;0,OR(D344="",E344="")),"Mangler maskin eller arbeid",IF(AND(OR(C344="LMS",C344="Mod"),D344&lt;&gt;""),IF(IFERROR(INDEX(MaskinStatus,MATCH(D344,Maskiner,0)),"")="I dokk","","Maskinen er ikke i dokk"),""))))))</f>
        <v/>
      </c>
      <c r="L344" s="2">
        <f>IF(B344="","",IFERROR(INT((MATCH(B344,Teknikere,0)-1)/18)+1,""))</f>
        <v/>
      </c>
      <c r="M344" s="2">
        <f>IF(OR(A344="",B344=""),"",B344&amp;"|"&amp;A344)</f>
        <v/>
      </c>
      <c r="N344" s="2">
        <f>IF(M344="","",SUMIFS(TF_Timer,TF_Nokkel,M344,TF_Akt,C344))</f>
        <v/>
      </c>
      <c r="O344" s="2">
        <f>IF(M344="","",IF(AND(N344=_xlfn.MAXIFS(TF_AktSum,TF_Nokkel,M344),COUNTIFS(M$3:M343,M344,N$3:N343,N344)=0),M344,""))</f>
        <v/>
      </c>
    </row>
    <row r="345">
      <c r="A345" s="34" t="n"/>
      <c r="B345" s="35" t="n"/>
      <c r="C345" s="35" t="n"/>
      <c r="D345" s="35" t="n"/>
      <c r="E345" s="35" t="n"/>
      <c r="F345" s="36" t="n"/>
      <c r="G345" s="35" t="n"/>
      <c r="H345" s="30">
        <f>IF(L345="","",INDEX(SkiftNavn,L345))</f>
        <v/>
      </c>
      <c r="I345" s="30">
        <f>IF(OR(A345="",L345=""),"",IF(MOD(A345-INDEX(SkiftStart,L345),Syklus)&lt;DagK,"Kveld",IF(MOD(A345-INDEX(SkiftStart,L345),Syklus)&lt;DagK+DagH,"Helg",IF(MOD(A345-INDEX(SkiftStart,L345),Syklus)&lt;DagK+DagH+DagD,"Dag","Fri"))))</f>
        <v/>
      </c>
      <c r="J345" s="30">
        <f>IF(I345="Fri","Ja","")</f>
        <v/>
      </c>
      <c r="K345" s="30">
        <f>IF(B345="","",IF(L345="","Ukjent tekniker",IF(ISNA(MATCH(C345,Aktiviteter,0)),"Ukjent aktivitet",IF(AND(INDEX(AktRolle,MATCH(C345,Aktiviteter,0))&amp;""&lt;&gt;"",ISERROR(SEARCH(INDEX(AktRolle,MATCH(C345,Aktiviteter,0))&amp;"",INDEX(TekRoller,MATCH(B345,Teknikere,0))))),"Mangler rollen "&amp;INDEX(AktRolle,MATCH(C345,Aktiviteter,0))&amp;"",IF(AND(C345="LMS",F345&gt;0,OR(D345="",E345="")),"Mangler maskin eller arbeid",IF(AND(OR(C345="LMS",C345="Mod"),D345&lt;&gt;""),IF(IFERROR(INDEX(MaskinStatus,MATCH(D345,Maskiner,0)),"")="I dokk","","Maskinen er ikke i dokk"),""))))))</f>
        <v/>
      </c>
      <c r="L345" s="2">
        <f>IF(B345="","",IFERROR(INT((MATCH(B345,Teknikere,0)-1)/18)+1,""))</f>
        <v/>
      </c>
      <c r="M345" s="2">
        <f>IF(OR(A345="",B345=""),"",B345&amp;"|"&amp;A345)</f>
        <v/>
      </c>
      <c r="N345" s="2">
        <f>IF(M345="","",SUMIFS(TF_Timer,TF_Nokkel,M345,TF_Akt,C345))</f>
        <v/>
      </c>
      <c r="O345" s="2">
        <f>IF(M345="","",IF(AND(N345=_xlfn.MAXIFS(TF_AktSum,TF_Nokkel,M345),COUNTIFS(M$3:M344,M345,N$3:N344,N345)=0),M345,""))</f>
        <v/>
      </c>
    </row>
    <row r="346">
      <c r="A346" s="34" t="n"/>
      <c r="B346" s="35" t="n"/>
      <c r="C346" s="35" t="n"/>
      <c r="D346" s="35" t="n"/>
      <c r="E346" s="35" t="n"/>
      <c r="F346" s="36" t="n"/>
      <c r="G346" s="35" t="n"/>
      <c r="H346" s="30">
        <f>IF(L346="","",INDEX(SkiftNavn,L346))</f>
        <v/>
      </c>
      <c r="I346" s="30">
        <f>IF(OR(A346="",L346=""),"",IF(MOD(A346-INDEX(SkiftStart,L346),Syklus)&lt;DagK,"Kveld",IF(MOD(A346-INDEX(SkiftStart,L346),Syklus)&lt;DagK+DagH,"Helg",IF(MOD(A346-INDEX(SkiftStart,L346),Syklus)&lt;DagK+DagH+DagD,"Dag","Fri"))))</f>
        <v/>
      </c>
      <c r="J346" s="30">
        <f>IF(I346="Fri","Ja","")</f>
        <v/>
      </c>
      <c r="K346" s="30">
        <f>IF(B346="","",IF(L346="","Ukjent tekniker",IF(ISNA(MATCH(C346,Aktiviteter,0)),"Ukjent aktivitet",IF(AND(INDEX(AktRolle,MATCH(C346,Aktiviteter,0))&amp;""&lt;&gt;"",ISERROR(SEARCH(INDEX(AktRolle,MATCH(C346,Aktiviteter,0))&amp;"",INDEX(TekRoller,MATCH(B346,Teknikere,0))))),"Mangler rollen "&amp;INDEX(AktRolle,MATCH(C346,Aktiviteter,0))&amp;"",IF(AND(C346="LMS",F346&gt;0,OR(D346="",E346="")),"Mangler maskin eller arbeid",IF(AND(OR(C346="LMS",C346="Mod"),D346&lt;&gt;""),IF(IFERROR(INDEX(MaskinStatus,MATCH(D346,Maskiner,0)),"")="I dokk","","Maskinen er ikke i dokk"),""))))))</f>
        <v/>
      </c>
      <c r="L346" s="2">
        <f>IF(B346="","",IFERROR(INT((MATCH(B346,Teknikere,0)-1)/18)+1,""))</f>
        <v/>
      </c>
      <c r="M346" s="2">
        <f>IF(OR(A346="",B346=""),"",B346&amp;"|"&amp;A346)</f>
        <v/>
      </c>
      <c r="N346" s="2">
        <f>IF(M346="","",SUMIFS(TF_Timer,TF_Nokkel,M346,TF_Akt,C346))</f>
        <v/>
      </c>
      <c r="O346" s="2">
        <f>IF(M346="","",IF(AND(N346=_xlfn.MAXIFS(TF_AktSum,TF_Nokkel,M346),COUNTIFS(M$3:M345,M346,N$3:N345,N346)=0),M346,""))</f>
        <v/>
      </c>
    </row>
    <row r="347">
      <c r="A347" s="34" t="n"/>
      <c r="B347" s="35" t="n"/>
      <c r="C347" s="35" t="n"/>
      <c r="D347" s="35" t="n"/>
      <c r="E347" s="35" t="n"/>
      <c r="F347" s="36" t="n"/>
      <c r="G347" s="35" t="n"/>
      <c r="H347" s="30">
        <f>IF(L347="","",INDEX(SkiftNavn,L347))</f>
        <v/>
      </c>
      <c r="I347" s="30">
        <f>IF(OR(A347="",L347=""),"",IF(MOD(A347-INDEX(SkiftStart,L347),Syklus)&lt;DagK,"Kveld",IF(MOD(A347-INDEX(SkiftStart,L347),Syklus)&lt;DagK+DagH,"Helg",IF(MOD(A347-INDEX(SkiftStart,L347),Syklus)&lt;DagK+DagH+DagD,"Dag","Fri"))))</f>
        <v/>
      </c>
      <c r="J347" s="30">
        <f>IF(I347="Fri","Ja","")</f>
        <v/>
      </c>
      <c r="K347" s="30">
        <f>IF(B347="","",IF(L347="","Ukjent tekniker",IF(ISNA(MATCH(C347,Aktiviteter,0)),"Ukjent aktivitet",IF(AND(INDEX(AktRolle,MATCH(C347,Aktiviteter,0))&amp;""&lt;&gt;"",ISERROR(SEARCH(INDEX(AktRolle,MATCH(C347,Aktiviteter,0))&amp;"",INDEX(TekRoller,MATCH(B347,Teknikere,0))))),"Mangler rollen "&amp;INDEX(AktRolle,MATCH(C347,Aktiviteter,0))&amp;"",IF(AND(C347="LMS",F347&gt;0,OR(D347="",E347="")),"Mangler maskin eller arbeid",IF(AND(OR(C347="LMS",C347="Mod"),D347&lt;&gt;""),IF(IFERROR(INDEX(MaskinStatus,MATCH(D347,Maskiner,0)),"")="I dokk","","Maskinen er ikke i dokk"),""))))))</f>
        <v/>
      </c>
      <c r="L347" s="2">
        <f>IF(B347="","",IFERROR(INT((MATCH(B347,Teknikere,0)-1)/18)+1,""))</f>
        <v/>
      </c>
      <c r="M347" s="2">
        <f>IF(OR(A347="",B347=""),"",B347&amp;"|"&amp;A347)</f>
        <v/>
      </c>
      <c r="N347" s="2">
        <f>IF(M347="","",SUMIFS(TF_Timer,TF_Nokkel,M347,TF_Akt,C347))</f>
        <v/>
      </c>
      <c r="O347" s="2">
        <f>IF(M347="","",IF(AND(N347=_xlfn.MAXIFS(TF_AktSum,TF_Nokkel,M347),COUNTIFS(M$3:M346,M347,N$3:N346,N347)=0),M347,""))</f>
        <v/>
      </c>
    </row>
    <row r="348">
      <c r="A348" s="34" t="n"/>
      <c r="B348" s="35" t="n"/>
      <c r="C348" s="35" t="n"/>
      <c r="D348" s="35" t="n"/>
      <c r="E348" s="35" t="n"/>
      <c r="F348" s="36" t="n"/>
      <c r="G348" s="35" t="n"/>
      <c r="H348" s="30">
        <f>IF(L348="","",INDEX(SkiftNavn,L348))</f>
        <v/>
      </c>
      <c r="I348" s="30">
        <f>IF(OR(A348="",L348=""),"",IF(MOD(A348-INDEX(SkiftStart,L348),Syklus)&lt;DagK,"Kveld",IF(MOD(A348-INDEX(SkiftStart,L348),Syklus)&lt;DagK+DagH,"Helg",IF(MOD(A348-INDEX(SkiftStart,L348),Syklus)&lt;DagK+DagH+DagD,"Dag","Fri"))))</f>
        <v/>
      </c>
      <c r="J348" s="30">
        <f>IF(I348="Fri","Ja","")</f>
        <v/>
      </c>
      <c r="K348" s="30">
        <f>IF(B348="","",IF(L348="","Ukjent tekniker",IF(ISNA(MATCH(C348,Aktiviteter,0)),"Ukjent aktivitet",IF(AND(INDEX(AktRolle,MATCH(C348,Aktiviteter,0))&amp;""&lt;&gt;"",ISERROR(SEARCH(INDEX(AktRolle,MATCH(C348,Aktiviteter,0))&amp;"",INDEX(TekRoller,MATCH(B348,Teknikere,0))))),"Mangler rollen "&amp;INDEX(AktRolle,MATCH(C348,Aktiviteter,0))&amp;"",IF(AND(C348="LMS",F348&gt;0,OR(D348="",E348="")),"Mangler maskin eller arbeid",IF(AND(OR(C348="LMS",C348="Mod"),D348&lt;&gt;""),IF(IFERROR(INDEX(MaskinStatus,MATCH(D348,Maskiner,0)),"")="I dokk","","Maskinen er ikke i dokk"),""))))))</f>
        <v/>
      </c>
      <c r="L348" s="2">
        <f>IF(B348="","",IFERROR(INT((MATCH(B348,Teknikere,0)-1)/18)+1,""))</f>
        <v/>
      </c>
      <c r="M348" s="2">
        <f>IF(OR(A348="",B348=""),"",B348&amp;"|"&amp;A348)</f>
        <v/>
      </c>
      <c r="N348" s="2">
        <f>IF(M348="","",SUMIFS(TF_Timer,TF_Nokkel,M348,TF_Akt,C348))</f>
        <v/>
      </c>
      <c r="O348" s="2">
        <f>IF(M348="","",IF(AND(N348=_xlfn.MAXIFS(TF_AktSum,TF_Nokkel,M348),COUNTIFS(M$3:M347,M348,N$3:N347,N348)=0),M348,""))</f>
        <v/>
      </c>
    </row>
    <row r="349">
      <c r="A349" s="34" t="n"/>
      <c r="B349" s="35" t="n"/>
      <c r="C349" s="35" t="n"/>
      <c r="D349" s="35" t="n"/>
      <c r="E349" s="35" t="n"/>
      <c r="F349" s="36" t="n"/>
      <c r="G349" s="35" t="n"/>
      <c r="H349" s="30">
        <f>IF(L349="","",INDEX(SkiftNavn,L349))</f>
        <v/>
      </c>
      <c r="I349" s="30">
        <f>IF(OR(A349="",L349=""),"",IF(MOD(A349-INDEX(SkiftStart,L349),Syklus)&lt;DagK,"Kveld",IF(MOD(A349-INDEX(SkiftStart,L349),Syklus)&lt;DagK+DagH,"Helg",IF(MOD(A349-INDEX(SkiftStart,L349),Syklus)&lt;DagK+DagH+DagD,"Dag","Fri"))))</f>
        <v/>
      </c>
      <c r="J349" s="30">
        <f>IF(I349="Fri","Ja","")</f>
        <v/>
      </c>
      <c r="K349" s="30">
        <f>IF(B349="","",IF(L349="","Ukjent tekniker",IF(ISNA(MATCH(C349,Aktiviteter,0)),"Ukjent aktivitet",IF(AND(INDEX(AktRolle,MATCH(C349,Aktiviteter,0))&amp;""&lt;&gt;"",ISERROR(SEARCH(INDEX(AktRolle,MATCH(C349,Aktiviteter,0))&amp;"",INDEX(TekRoller,MATCH(B349,Teknikere,0))))),"Mangler rollen "&amp;INDEX(AktRolle,MATCH(C349,Aktiviteter,0))&amp;"",IF(AND(C349="LMS",F349&gt;0,OR(D349="",E349="")),"Mangler maskin eller arbeid",IF(AND(OR(C349="LMS",C349="Mod"),D349&lt;&gt;""),IF(IFERROR(INDEX(MaskinStatus,MATCH(D349,Maskiner,0)),"")="I dokk","","Maskinen er ikke i dokk"),""))))))</f>
        <v/>
      </c>
      <c r="L349" s="2">
        <f>IF(B349="","",IFERROR(INT((MATCH(B349,Teknikere,0)-1)/18)+1,""))</f>
        <v/>
      </c>
      <c r="M349" s="2">
        <f>IF(OR(A349="",B349=""),"",B349&amp;"|"&amp;A349)</f>
        <v/>
      </c>
      <c r="N349" s="2">
        <f>IF(M349="","",SUMIFS(TF_Timer,TF_Nokkel,M349,TF_Akt,C349))</f>
        <v/>
      </c>
      <c r="O349" s="2">
        <f>IF(M349="","",IF(AND(N349=_xlfn.MAXIFS(TF_AktSum,TF_Nokkel,M349),COUNTIFS(M$3:M348,M349,N$3:N348,N349)=0),M349,""))</f>
        <v/>
      </c>
    </row>
    <row r="350">
      <c r="A350" s="34" t="n"/>
      <c r="B350" s="35" t="n"/>
      <c r="C350" s="35" t="n"/>
      <c r="D350" s="35" t="n"/>
      <c r="E350" s="35" t="n"/>
      <c r="F350" s="36" t="n"/>
      <c r="G350" s="35" t="n"/>
      <c r="H350" s="30">
        <f>IF(L350="","",INDEX(SkiftNavn,L350))</f>
        <v/>
      </c>
      <c r="I350" s="30">
        <f>IF(OR(A350="",L350=""),"",IF(MOD(A350-INDEX(SkiftStart,L350),Syklus)&lt;DagK,"Kveld",IF(MOD(A350-INDEX(SkiftStart,L350),Syklus)&lt;DagK+DagH,"Helg",IF(MOD(A350-INDEX(SkiftStart,L350),Syklus)&lt;DagK+DagH+DagD,"Dag","Fri"))))</f>
        <v/>
      </c>
      <c r="J350" s="30">
        <f>IF(I350="Fri","Ja","")</f>
        <v/>
      </c>
      <c r="K350" s="30">
        <f>IF(B350="","",IF(L350="","Ukjent tekniker",IF(ISNA(MATCH(C350,Aktiviteter,0)),"Ukjent aktivitet",IF(AND(INDEX(AktRolle,MATCH(C350,Aktiviteter,0))&amp;""&lt;&gt;"",ISERROR(SEARCH(INDEX(AktRolle,MATCH(C350,Aktiviteter,0))&amp;"",INDEX(TekRoller,MATCH(B350,Teknikere,0))))),"Mangler rollen "&amp;INDEX(AktRolle,MATCH(C350,Aktiviteter,0))&amp;"",IF(AND(C350="LMS",F350&gt;0,OR(D350="",E350="")),"Mangler maskin eller arbeid",IF(AND(OR(C350="LMS",C350="Mod"),D350&lt;&gt;""),IF(IFERROR(INDEX(MaskinStatus,MATCH(D350,Maskiner,0)),"")="I dokk","","Maskinen er ikke i dokk"),""))))))</f>
        <v/>
      </c>
      <c r="L350" s="2">
        <f>IF(B350="","",IFERROR(INT((MATCH(B350,Teknikere,0)-1)/18)+1,""))</f>
        <v/>
      </c>
      <c r="M350" s="2">
        <f>IF(OR(A350="",B350=""),"",B350&amp;"|"&amp;A350)</f>
        <v/>
      </c>
      <c r="N350" s="2">
        <f>IF(M350="","",SUMIFS(TF_Timer,TF_Nokkel,M350,TF_Akt,C350))</f>
        <v/>
      </c>
      <c r="O350" s="2">
        <f>IF(M350="","",IF(AND(N350=_xlfn.MAXIFS(TF_AktSum,TF_Nokkel,M350),COUNTIFS(M$3:M349,M350,N$3:N349,N350)=0),M350,""))</f>
        <v/>
      </c>
    </row>
    <row r="351">
      <c r="A351" s="34" t="n"/>
      <c r="B351" s="35" t="n"/>
      <c r="C351" s="35" t="n"/>
      <c r="D351" s="35" t="n"/>
      <c r="E351" s="35" t="n"/>
      <c r="F351" s="36" t="n"/>
      <c r="G351" s="35" t="n"/>
      <c r="H351" s="30">
        <f>IF(L351="","",INDEX(SkiftNavn,L351))</f>
        <v/>
      </c>
      <c r="I351" s="30">
        <f>IF(OR(A351="",L351=""),"",IF(MOD(A351-INDEX(SkiftStart,L351),Syklus)&lt;DagK,"Kveld",IF(MOD(A351-INDEX(SkiftStart,L351),Syklus)&lt;DagK+DagH,"Helg",IF(MOD(A351-INDEX(SkiftStart,L351),Syklus)&lt;DagK+DagH+DagD,"Dag","Fri"))))</f>
        <v/>
      </c>
      <c r="J351" s="30">
        <f>IF(I351="Fri","Ja","")</f>
        <v/>
      </c>
      <c r="K351" s="30">
        <f>IF(B351="","",IF(L351="","Ukjent tekniker",IF(ISNA(MATCH(C351,Aktiviteter,0)),"Ukjent aktivitet",IF(AND(INDEX(AktRolle,MATCH(C351,Aktiviteter,0))&amp;""&lt;&gt;"",ISERROR(SEARCH(INDEX(AktRolle,MATCH(C351,Aktiviteter,0))&amp;"",INDEX(TekRoller,MATCH(B351,Teknikere,0))))),"Mangler rollen "&amp;INDEX(AktRolle,MATCH(C351,Aktiviteter,0))&amp;"",IF(AND(C351="LMS",F351&gt;0,OR(D351="",E351="")),"Mangler maskin eller arbeid",IF(AND(OR(C351="LMS",C351="Mod"),D351&lt;&gt;""),IF(IFERROR(INDEX(MaskinStatus,MATCH(D351,Maskiner,0)),"")="I dokk","","Maskinen er ikke i dokk"),""))))))</f>
        <v/>
      </c>
      <c r="L351" s="2">
        <f>IF(B351="","",IFERROR(INT((MATCH(B351,Teknikere,0)-1)/18)+1,""))</f>
        <v/>
      </c>
      <c r="M351" s="2">
        <f>IF(OR(A351="",B351=""),"",B351&amp;"|"&amp;A351)</f>
        <v/>
      </c>
      <c r="N351" s="2">
        <f>IF(M351="","",SUMIFS(TF_Timer,TF_Nokkel,M351,TF_Akt,C351))</f>
        <v/>
      </c>
      <c r="O351" s="2">
        <f>IF(M351="","",IF(AND(N351=_xlfn.MAXIFS(TF_AktSum,TF_Nokkel,M351),COUNTIFS(M$3:M350,M351,N$3:N350,N351)=0),M351,""))</f>
        <v/>
      </c>
    </row>
    <row r="352">
      <c r="A352" s="34" t="n"/>
      <c r="B352" s="35" t="n"/>
      <c r="C352" s="35" t="n"/>
      <c r="D352" s="35" t="n"/>
      <c r="E352" s="35" t="n"/>
      <c r="F352" s="36" t="n"/>
      <c r="G352" s="35" t="n"/>
      <c r="H352" s="30">
        <f>IF(L352="","",INDEX(SkiftNavn,L352))</f>
        <v/>
      </c>
      <c r="I352" s="30">
        <f>IF(OR(A352="",L352=""),"",IF(MOD(A352-INDEX(SkiftStart,L352),Syklus)&lt;DagK,"Kveld",IF(MOD(A352-INDEX(SkiftStart,L352),Syklus)&lt;DagK+DagH,"Helg",IF(MOD(A352-INDEX(SkiftStart,L352),Syklus)&lt;DagK+DagH+DagD,"Dag","Fri"))))</f>
        <v/>
      </c>
      <c r="J352" s="30">
        <f>IF(I352="Fri","Ja","")</f>
        <v/>
      </c>
      <c r="K352" s="30">
        <f>IF(B352="","",IF(L352="","Ukjent tekniker",IF(ISNA(MATCH(C352,Aktiviteter,0)),"Ukjent aktivitet",IF(AND(INDEX(AktRolle,MATCH(C352,Aktiviteter,0))&amp;""&lt;&gt;"",ISERROR(SEARCH(INDEX(AktRolle,MATCH(C352,Aktiviteter,0))&amp;"",INDEX(TekRoller,MATCH(B352,Teknikere,0))))),"Mangler rollen "&amp;INDEX(AktRolle,MATCH(C352,Aktiviteter,0))&amp;"",IF(AND(C352="LMS",F352&gt;0,OR(D352="",E352="")),"Mangler maskin eller arbeid",IF(AND(OR(C352="LMS",C352="Mod"),D352&lt;&gt;""),IF(IFERROR(INDEX(MaskinStatus,MATCH(D352,Maskiner,0)),"")="I dokk","","Maskinen er ikke i dokk"),""))))))</f>
        <v/>
      </c>
      <c r="L352" s="2">
        <f>IF(B352="","",IFERROR(INT((MATCH(B352,Teknikere,0)-1)/18)+1,""))</f>
        <v/>
      </c>
      <c r="M352" s="2">
        <f>IF(OR(A352="",B352=""),"",B352&amp;"|"&amp;A352)</f>
        <v/>
      </c>
      <c r="N352" s="2">
        <f>IF(M352="","",SUMIFS(TF_Timer,TF_Nokkel,M352,TF_Akt,C352))</f>
        <v/>
      </c>
      <c r="O352" s="2">
        <f>IF(M352="","",IF(AND(N352=_xlfn.MAXIFS(TF_AktSum,TF_Nokkel,M352),COUNTIFS(M$3:M351,M352,N$3:N351,N352)=0),M352,""))</f>
        <v/>
      </c>
    </row>
    <row r="353">
      <c r="A353" s="34" t="n"/>
      <c r="B353" s="35" t="n"/>
      <c r="C353" s="35" t="n"/>
      <c r="D353" s="35" t="n"/>
      <c r="E353" s="35" t="n"/>
      <c r="F353" s="36" t="n"/>
      <c r="G353" s="35" t="n"/>
      <c r="H353" s="30">
        <f>IF(L353="","",INDEX(SkiftNavn,L353))</f>
        <v/>
      </c>
      <c r="I353" s="30">
        <f>IF(OR(A353="",L353=""),"",IF(MOD(A353-INDEX(SkiftStart,L353),Syklus)&lt;DagK,"Kveld",IF(MOD(A353-INDEX(SkiftStart,L353),Syklus)&lt;DagK+DagH,"Helg",IF(MOD(A353-INDEX(SkiftStart,L353),Syklus)&lt;DagK+DagH+DagD,"Dag","Fri"))))</f>
        <v/>
      </c>
      <c r="J353" s="30">
        <f>IF(I353="Fri","Ja","")</f>
        <v/>
      </c>
      <c r="K353" s="30">
        <f>IF(B353="","",IF(L353="","Ukjent tekniker",IF(ISNA(MATCH(C353,Aktiviteter,0)),"Ukjent aktivitet",IF(AND(INDEX(AktRolle,MATCH(C353,Aktiviteter,0))&amp;""&lt;&gt;"",ISERROR(SEARCH(INDEX(AktRolle,MATCH(C353,Aktiviteter,0))&amp;"",INDEX(TekRoller,MATCH(B353,Teknikere,0))))),"Mangler rollen "&amp;INDEX(AktRolle,MATCH(C353,Aktiviteter,0))&amp;"",IF(AND(C353="LMS",F353&gt;0,OR(D353="",E353="")),"Mangler maskin eller arbeid",IF(AND(OR(C353="LMS",C353="Mod"),D353&lt;&gt;""),IF(IFERROR(INDEX(MaskinStatus,MATCH(D353,Maskiner,0)),"")="I dokk","","Maskinen er ikke i dokk"),""))))))</f>
        <v/>
      </c>
      <c r="L353" s="2">
        <f>IF(B353="","",IFERROR(INT((MATCH(B353,Teknikere,0)-1)/18)+1,""))</f>
        <v/>
      </c>
      <c r="M353" s="2">
        <f>IF(OR(A353="",B353=""),"",B353&amp;"|"&amp;A353)</f>
        <v/>
      </c>
      <c r="N353" s="2">
        <f>IF(M353="","",SUMIFS(TF_Timer,TF_Nokkel,M353,TF_Akt,C353))</f>
        <v/>
      </c>
      <c r="O353" s="2">
        <f>IF(M353="","",IF(AND(N353=_xlfn.MAXIFS(TF_AktSum,TF_Nokkel,M353),COUNTIFS(M$3:M352,M353,N$3:N352,N353)=0),M353,""))</f>
        <v/>
      </c>
    </row>
    <row r="354">
      <c r="A354" s="34" t="n"/>
      <c r="B354" s="35" t="n"/>
      <c r="C354" s="35" t="n"/>
      <c r="D354" s="35" t="n"/>
      <c r="E354" s="35" t="n"/>
      <c r="F354" s="36" t="n"/>
      <c r="G354" s="35" t="n"/>
      <c r="H354" s="30">
        <f>IF(L354="","",INDEX(SkiftNavn,L354))</f>
        <v/>
      </c>
      <c r="I354" s="30">
        <f>IF(OR(A354="",L354=""),"",IF(MOD(A354-INDEX(SkiftStart,L354),Syklus)&lt;DagK,"Kveld",IF(MOD(A354-INDEX(SkiftStart,L354),Syklus)&lt;DagK+DagH,"Helg",IF(MOD(A354-INDEX(SkiftStart,L354),Syklus)&lt;DagK+DagH+DagD,"Dag","Fri"))))</f>
        <v/>
      </c>
      <c r="J354" s="30">
        <f>IF(I354="Fri","Ja","")</f>
        <v/>
      </c>
      <c r="K354" s="30">
        <f>IF(B354="","",IF(L354="","Ukjent tekniker",IF(ISNA(MATCH(C354,Aktiviteter,0)),"Ukjent aktivitet",IF(AND(INDEX(AktRolle,MATCH(C354,Aktiviteter,0))&amp;""&lt;&gt;"",ISERROR(SEARCH(INDEX(AktRolle,MATCH(C354,Aktiviteter,0))&amp;"",INDEX(TekRoller,MATCH(B354,Teknikere,0))))),"Mangler rollen "&amp;INDEX(AktRolle,MATCH(C354,Aktiviteter,0))&amp;"",IF(AND(C354="LMS",F354&gt;0,OR(D354="",E354="")),"Mangler maskin eller arbeid",IF(AND(OR(C354="LMS",C354="Mod"),D354&lt;&gt;""),IF(IFERROR(INDEX(MaskinStatus,MATCH(D354,Maskiner,0)),"")="I dokk","","Maskinen er ikke i dokk"),""))))))</f>
        <v/>
      </c>
      <c r="L354" s="2">
        <f>IF(B354="","",IFERROR(INT((MATCH(B354,Teknikere,0)-1)/18)+1,""))</f>
        <v/>
      </c>
      <c r="M354" s="2">
        <f>IF(OR(A354="",B354=""),"",B354&amp;"|"&amp;A354)</f>
        <v/>
      </c>
      <c r="N354" s="2">
        <f>IF(M354="","",SUMIFS(TF_Timer,TF_Nokkel,M354,TF_Akt,C354))</f>
        <v/>
      </c>
      <c r="O354" s="2">
        <f>IF(M354="","",IF(AND(N354=_xlfn.MAXIFS(TF_AktSum,TF_Nokkel,M354),COUNTIFS(M$3:M353,M354,N$3:N353,N354)=0),M354,""))</f>
        <v/>
      </c>
    </row>
    <row r="355">
      <c r="A355" s="34" t="n"/>
      <c r="B355" s="35" t="n"/>
      <c r="C355" s="35" t="n"/>
      <c r="D355" s="35" t="n"/>
      <c r="E355" s="35" t="n"/>
      <c r="F355" s="36" t="n"/>
      <c r="G355" s="35" t="n"/>
      <c r="H355" s="30">
        <f>IF(L355="","",INDEX(SkiftNavn,L355))</f>
        <v/>
      </c>
      <c r="I355" s="30">
        <f>IF(OR(A355="",L355=""),"",IF(MOD(A355-INDEX(SkiftStart,L355),Syklus)&lt;DagK,"Kveld",IF(MOD(A355-INDEX(SkiftStart,L355),Syklus)&lt;DagK+DagH,"Helg",IF(MOD(A355-INDEX(SkiftStart,L355),Syklus)&lt;DagK+DagH+DagD,"Dag","Fri"))))</f>
        <v/>
      </c>
      <c r="J355" s="30">
        <f>IF(I355="Fri","Ja","")</f>
        <v/>
      </c>
      <c r="K355" s="30">
        <f>IF(B355="","",IF(L355="","Ukjent tekniker",IF(ISNA(MATCH(C355,Aktiviteter,0)),"Ukjent aktivitet",IF(AND(INDEX(AktRolle,MATCH(C355,Aktiviteter,0))&amp;""&lt;&gt;"",ISERROR(SEARCH(INDEX(AktRolle,MATCH(C355,Aktiviteter,0))&amp;"",INDEX(TekRoller,MATCH(B355,Teknikere,0))))),"Mangler rollen "&amp;INDEX(AktRolle,MATCH(C355,Aktiviteter,0))&amp;"",IF(AND(C355="LMS",F355&gt;0,OR(D355="",E355="")),"Mangler maskin eller arbeid",IF(AND(OR(C355="LMS",C355="Mod"),D355&lt;&gt;""),IF(IFERROR(INDEX(MaskinStatus,MATCH(D355,Maskiner,0)),"")="I dokk","","Maskinen er ikke i dokk"),""))))))</f>
        <v/>
      </c>
      <c r="L355" s="2">
        <f>IF(B355="","",IFERROR(INT((MATCH(B355,Teknikere,0)-1)/18)+1,""))</f>
        <v/>
      </c>
      <c r="M355" s="2">
        <f>IF(OR(A355="",B355=""),"",B355&amp;"|"&amp;A355)</f>
        <v/>
      </c>
      <c r="N355" s="2">
        <f>IF(M355="","",SUMIFS(TF_Timer,TF_Nokkel,M355,TF_Akt,C355))</f>
        <v/>
      </c>
      <c r="O355" s="2">
        <f>IF(M355="","",IF(AND(N355=_xlfn.MAXIFS(TF_AktSum,TF_Nokkel,M355),COUNTIFS(M$3:M354,M355,N$3:N354,N355)=0),M355,""))</f>
        <v/>
      </c>
    </row>
    <row r="356">
      <c r="A356" s="34" t="n"/>
      <c r="B356" s="35" t="n"/>
      <c r="C356" s="35" t="n"/>
      <c r="D356" s="35" t="n"/>
      <c r="E356" s="35" t="n"/>
      <c r="F356" s="36" t="n"/>
      <c r="G356" s="35" t="n"/>
      <c r="H356" s="30">
        <f>IF(L356="","",INDEX(SkiftNavn,L356))</f>
        <v/>
      </c>
      <c r="I356" s="30">
        <f>IF(OR(A356="",L356=""),"",IF(MOD(A356-INDEX(SkiftStart,L356),Syklus)&lt;DagK,"Kveld",IF(MOD(A356-INDEX(SkiftStart,L356),Syklus)&lt;DagK+DagH,"Helg",IF(MOD(A356-INDEX(SkiftStart,L356),Syklus)&lt;DagK+DagH+DagD,"Dag","Fri"))))</f>
        <v/>
      </c>
      <c r="J356" s="30">
        <f>IF(I356="Fri","Ja","")</f>
        <v/>
      </c>
      <c r="K356" s="30">
        <f>IF(B356="","",IF(L356="","Ukjent tekniker",IF(ISNA(MATCH(C356,Aktiviteter,0)),"Ukjent aktivitet",IF(AND(INDEX(AktRolle,MATCH(C356,Aktiviteter,0))&amp;""&lt;&gt;"",ISERROR(SEARCH(INDEX(AktRolle,MATCH(C356,Aktiviteter,0))&amp;"",INDEX(TekRoller,MATCH(B356,Teknikere,0))))),"Mangler rollen "&amp;INDEX(AktRolle,MATCH(C356,Aktiviteter,0))&amp;"",IF(AND(C356="LMS",F356&gt;0,OR(D356="",E356="")),"Mangler maskin eller arbeid",IF(AND(OR(C356="LMS",C356="Mod"),D356&lt;&gt;""),IF(IFERROR(INDEX(MaskinStatus,MATCH(D356,Maskiner,0)),"")="I dokk","","Maskinen er ikke i dokk"),""))))))</f>
        <v/>
      </c>
      <c r="L356" s="2">
        <f>IF(B356="","",IFERROR(INT((MATCH(B356,Teknikere,0)-1)/18)+1,""))</f>
        <v/>
      </c>
      <c r="M356" s="2">
        <f>IF(OR(A356="",B356=""),"",B356&amp;"|"&amp;A356)</f>
        <v/>
      </c>
      <c r="N356" s="2">
        <f>IF(M356="","",SUMIFS(TF_Timer,TF_Nokkel,M356,TF_Akt,C356))</f>
        <v/>
      </c>
      <c r="O356" s="2">
        <f>IF(M356="","",IF(AND(N356=_xlfn.MAXIFS(TF_AktSum,TF_Nokkel,M356),COUNTIFS(M$3:M355,M356,N$3:N355,N356)=0),M356,""))</f>
        <v/>
      </c>
    </row>
    <row r="357">
      <c r="A357" s="34" t="n"/>
      <c r="B357" s="35" t="n"/>
      <c r="C357" s="35" t="n"/>
      <c r="D357" s="35" t="n"/>
      <c r="E357" s="35" t="n"/>
      <c r="F357" s="36" t="n"/>
      <c r="G357" s="35" t="n"/>
      <c r="H357" s="30">
        <f>IF(L357="","",INDEX(SkiftNavn,L357))</f>
        <v/>
      </c>
      <c r="I357" s="30">
        <f>IF(OR(A357="",L357=""),"",IF(MOD(A357-INDEX(SkiftStart,L357),Syklus)&lt;DagK,"Kveld",IF(MOD(A357-INDEX(SkiftStart,L357),Syklus)&lt;DagK+DagH,"Helg",IF(MOD(A357-INDEX(SkiftStart,L357),Syklus)&lt;DagK+DagH+DagD,"Dag","Fri"))))</f>
        <v/>
      </c>
      <c r="J357" s="30">
        <f>IF(I357="Fri","Ja","")</f>
        <v/>
      </c>
      <c r="K357" s="30">
        <f>IF(B357="","",IF(L357="","Ukjent tekniker",IF(ISNA(MATCH(C357,Aktiviteter,0)),"Ukjent aktivitet",IF(AND(INDEX(AktRolle,MATCH(C357,Aktiviteter,0))&amp;""&lt;&gt;"",ISERROR(SEARCH(INDEX(AktRolle,MATCH(C357,Aktiviteter,0))&amp;"",INDEX(TekRoller,MATCH(B357,Teknikere,0))))),"Mangler rollen "&amp;INDEX(AktRolle,MATCH(C357,Aktiviteter,0))&amp;"",IF(AND(C357="LMS",F357&gt;0,OR(D357="",E357="")),"Mangler maskin eller arbeid",IF(AND(OR(C357="LMS",C357="Mod"),D357&lt;&gt;""),IF(IFERROR(INDEX(MaskinStatus,MATCH(D357,Maskiner,0)),"")="I dokk","","Maskinen er ikke i dokk"),""))))))</f>
        <v/>
      </c>
      <c r="L357" s="2">
        <f>IF(B357="","",IFERROR(INT((MATCH(B357,Teknikere,0)-1)/18)+1,""))</f>
        <v/>
      </c>
      <c r="M357" s="2">
        <f>IF(OR(A357="",B357=""),"",B357&amp;"|"&amp;A357)</f>
        <v/>
      </c>
      <c r="N357" s="2">
        <f>IF(M357="","",SUMIFS(TF_Timer,TF_Nokkel,M357,TF_Akt,C357))</f>
        <v/>
      </c>
      <c r="O357" s="2">
        <f>IF(M357="","",IF(AND(N357=_xlfn.MAXIFS(TF_AktSum,TF_Nokkel,M357),COUNTIFS(M$3:M356,M357,N$3:N356,N357)=0),M357,""))</f>
        <v/>
      </c>
    </row>
    <row r="358">
      <c r="A358" s="34" t="n"/>
      <c r="B358" s="35" t="n"/>
      <c r="C358" s="35" t="n"/>
      <c r="D358" s="35" t="n"/>
      <c r="E358" s="35" t="n"/>
      <c r="F358" s="36" t="n"/>
      <c r="G358" s="35" t="n"/>
      <c r="H358" s="30">
        <f>IF(L358="","",INDEX(SkiftNavn,L358))</f>
        <v/>
      </c>
      <c r="I358" s="30">
        <f>IF(OR(A358="",L358=""),"",IF(MOD(A358-INDEX(SkiftStart,L358),Syklus)&lt;DagK,"Kveld",IF(MOD(A358-INDEX(SkiftStart,L358),Syklus)&lt;DagK+DagH,"Helg",IF(MOD(A358-INDEX(SkiftStart,L358),Syklus)&lt;DagK+DagH+DagD,"Dag","Fri"))))</f>
        <v/>
      </c>
      <c r="J358" s="30">
        <f>IF(I358="Fri","Ja","")</f>
        <v/>
      </c>
      <c r="K358" s="30">
        <f>IF(B358="","",IF(L358="","Ukjent tekniker",IF(ISNA(MATCH(C358,Aktiviteter,0)),"Ukjent aktivitet",IF(AND(INDEX(AktRolle,MATCH(C358,Aktiviteter,0))&amp;""&lt;&gt;"",ISERROR(SEARCH(INDEX(AktRolle,MATCH(C358,Aktiviteter,0))&amp;"",INDEX(TekRoller,MATCH(B358,Teknikere,0))))),"Mangler rollen "&amp;INDEX(AktRolle,MATCH(C358,Aktiviteter,0))&amp;"",IF(AND(C358="LMS",F358&gt;0,OR(D358="",E358="")),"Mangler maskin eller arbeid",IF(AND(OR(C358="LMS",C358="Mod"),D358&lt;&gt;""),IF(IFERROR(INDEX(MaskinStatus,MATCH(D358,Maskiner,0)),"")="I dokk","","Maskinen er ikke i dokk"),""))))))</f>
        <v/>
      </c>
      <c r="L358" s="2">
        <f>IF(B358="","",IFERROR(INT((MATCH(B358,Teknikere,0)-1)/18)+1,""))</f>
        <v/>
      </c>
      <c r="M358" s="2">
        <f>IF(OR(A358="",B358=""),"",B358&amp;"|"&amp;A358)</f>
        <v/>
      </c>
      <c r="N358" s="2">
        <f>IF(M358="","",SUMIFS(TF_Timer,TF_Nokkel,M358,TF_Akt,C358))</f>
        <v/>
      </c>
      <c r="O358" s="2">
        <f>IF(M358="","",IF(AND(N358=_xlfn.MAXIFS(TF_AktSum,TF_Nokkel,M358),COUNTIFS(M$3:M357,M358,N$3:N357,N358)=0),M358,""))</f>
        <v/>
      </c>
    </row>
    <row r="359">
      <c r="A359" s="34" t="n"/>
      <c r="B359" s="35" t="n"/>
      <c r="C359" s="35" t="n"/>
      <c r="D359" s="35" t="n"/>
      <c r="E359" s="35" t="n"/>
      <c r="F359" s="36" t="n"/>
      <c r="G359" s="35" t="n"/>
      <c r="H359" s="30">
        <f>IF(L359="","",INDEX(SkiftNavn,L359))</f>
        <v/>
      </c>
      <c r="I359" s="30">
        <f>IF(OR(A359="",L359=""),"",IF(MOD(A359-INDEX(SkiftStart,L359),Syklus)&lt;DagK,"Kveld",IF(MOD(A359-INDEX(SkiftStart,L359),Syklus)&lt;DagK+DagH,"Helg",IF(MOD(A359-INDEX(SkiftStart,L359),Syklus)&lt;DagK+DagH+DagD,"Dag","Fri"))))</f>
        <v/>
      </c>
      <c r="J359" s="30">
        <f>IF(I359="Fri","Ja","")</f>
        <v/>
      </c>
      <c r="K359" s="30">
        <f>IF(B359="","",IF(L359="","Ukjent tekniker",IF(ISNA(MATCH(C359,Aktiviteter,0)),"Ukjent aktivitet",IF(AND(INDEX(AktRolle,MATCH(C359,Aktiviteter,0))&amp;""&lt;&gt;"",ISERROR(SEARCH(INDEX(AktRolle,MATCH(C359,Aktiviteter,0))&amp;"",INDEX(TekRoller,MATCH(B359,Teknikere,0))))),"Mangler rollen "&amp;INDEX(AktRolle,MATCH(C359,Aktiviteter,0))&amp;"",IF(AND(C359="LMS",F359&gt;0,OR(D359="",E359="")),"Mangler maskin eller arbeid",IF(AND(OR(C359="LMS",C359="Mod"),D359&lt;&gt;""),IF(IFERROR(INDEX(MaskinStatus,MATCH(D359,Maskiner,0)),"")="I dokk","","Maskinen er ikke i dokk"),""))))))</f>
        <v/>
      </c>
      <c r="L359" s="2">
        <f>IF(B359="","",IFERROR(INT((MATCH(B359,Teknikere,0)-1)/18)+1,""))</f>
        <v/>
      </c>
      <c r="M359" s="2">
        <f>IF(OR(A359="",B359=""),"",B359&amp;"|"&amp;A359)</f>
        <v/>
      </c>
      <c r="N359" s="2">
        <f>IF(M359="","",SUMIFS(TF_Timer,TF_Nokkel,M359,TF_Akt,C359))</f>
        <v/>
      </c>
      <c r="O359" s="2">
        <f>IF(M359="","",IF(AND(N359=_xlfn.MAXIFS(TF_AktSum,TF_Nokkel,M359),COUNTIFS(M$3:M358,M359,N$3:N358,N359)=0),M359,""))</f>
        <v/>
      </c>
    </row>
    <row r="360">
      <c r="A360" s="34" t="n"/>
      <c r="B360" s="35" t="n"/>
      <c r="C360" s="35" t="n"/>
      <c r="D360" s="35" t="n"/>
      <c r="E360" s="35" t="n"/>
      <c r="F360" s="36" t="n"/>
      <c r="G360" s="35" t="n"/>
      <c r="H360" s="30">
        <f>IF(L360="","",INDEX(SkiftNavn,L360))</f>
        <v/>
      </c>
      <c r="I360" s="30">
        <f>IF(OR(A360="",L360=""),"",IF(MOD(A360-INDEX(SkiftStart,L360),Syklus)&lt;DagK,"Kveld",IF(MOD(A360-INDEX(SkiftStart,L360),Syklus)&lt;DagK+DagH,"Helg",IF(MOD(A360-INDEX(SkiftStart,L360),Syklus)&lt;DagK+DagH+DagD,"Dag","Fri"))))</f>
        <v/>
      </c>
      <c r="J360" s="30">
        <f>IF(I360="Fri","Ja","")</f>
        <v/>
      </c>
      <c r="K360" s="30">
        <f>IF(B360="","",IF(L360="","Ukjent tekniker",IF(ISNA(MATCH(C360,Aktiviteter,0)),"Ukjent aktivitet",IF(AND(INDEX(AktRolle,MATCH(C360,Aktiviteter,0))&amp;""&lt;&gt;"",ISERROR(SEARCH(INDEX(AktRolle,MATCH(C360,Aktiviteter,0))&amp;"",INDEX(TekRoller,MATCH(B360,Teknikere,0))))),"Mangler rollen "&amp;INDEX(AktRolle,MATCH(C360,Aktiviteter,0))&amp;"",IF(AND(C360="LMS",F360&gt;0,OR(D360="",E360="")),"Mangler maskin eller arbeid",IF(AND(OR(C360="LMS",C360="Mod"),D360&lt;&gt;""),IF(IFERROR(INDEX(MaskinStatus,MATCH(D360,Maskiner,0)),"")="I dokk","","Maskinen er ikke i dokk"),""))))))</f>
        <v/>
      </c>
      <c r="L360" s="2">
        <f>IF(B360="","",IFERROR(INT((MATCH(B360,Teknikere,0)-1)/18)+1,""))</f>
        <v/>
      </c>
      <c r="M360" s="2">
        <f>IF(OR(A360="",B360=""),"",B360&amp;"|"&amp;A360)</f>
        <v/>
      </c>
      <c r="N360" s="2">
        <f>IF(M360="","",SUMIFS(TF_Timer,TF_Nokkel,M360,TF_Akt,C360))</f>
        <v/>
      </c>
      <c r="O360" s="2">
        <f>IF(M360="","",IF(AND(N360=_xlfn.MAXIFS(TF_AktSum,TF_Nokkel,M360),COUNTIFS(M$3:M359,M360,N$3:N359,N360)=0),M360,""))</f>
        <v/>
      </c>
    </row>
    <row r="361">
      <c r="A361" s="34" t="n"/>
      <c r="B361" s="35" t="n"/>
      <c r="C361" s="35" t="n"/>
      <c r="D361" s="35" t="n"/>
      <c r="E361" s="35" t="n"/>
      <c r="F361" s="36" t="n"/>
      <c r="G361" s="35" t="n"/>
      <c r="H361" s="30">
        <f>IF(L361="","",INDEX(SkiftNavn,L361))</f>
        <v/>
      </c>
      <c r="I361" s="30">
        <f>IF(OR(A361="",L361=""),"",IF(MOD(A361-INDEX(SkiftStart,L361),Syklus)&lt;DagK,"Kveld",IF(MOD(A361-INDEX(SkiftStart,L361),Syklus)&lt;DagK+DagH,"Helg",IF(MOD(A361-INDEX(SkiftStart,L361),Syklus)&lt;DagK+DagH+DagD,"Dag","Fri"))))</f>
        <v/>
      </c>
      <c r="J361" s="30">
        <f>IF(I361="Fri","Ja","")</f>
        <v/>
      </c>
      <c r="K361" s="30">
        <f>IF(B361="","",IF(L361="","Ukjent tekniker",IF(ISNA(MATCH(C361,Aktiviteter,0)),"Ukjent aktivitet",IF(AND(INDEX(AktRolle,MATCH(C361,Aktiviteter,0))&amp;""&lt;&gt;"",ISERROR(SEARCH(INDEX(AktRolle,MATCH(C361,Aktiviteter,0))&amp;"",INDEX(TekRoller,MATCH(B361,Teknikere,0))))),"Mangler rollen "&amp;INDEX(AktRolle,MATCH(C361,Aktiviteter,0))&amp;"",IF(AND(C361="LMS",F361&gt;0,OR(D361="",E361="")),"Mangler maskin eller arbeid",IF(AND(OR(C361="LMS",C361="Mod"),D361&lt;&gt;""),IF(IFERROR(INDEX(MaskinStatus,MATCH(D361,Maskiner,0)),"")="I dokk","","Maskinen er ikke i dokk"),""))))))</f>
        <v/>
      </c>
      <c r="L361" s="2">
        <f>IF(B361="","",IFERROR(INT((MATCH(B361,Teknikere,0)-1)/18)+1,""))</f>
        <v/>
      </c>
      <c r="M361" s="2">
        <f>IF(OR(A361="",B361=""),"",B361&amp;"|"&amp;A361)</f>
        <v/>
      </c>
      <c r="N361" s="2">
        <f>IF(M361="","",SUMIFS(TF_Timer,TF_Nokkel,M361,TF_Akt,C361))</f>
        <v/>
      </c>
      <c r="O361" s="2">
        <f>IF(M361="","",IF(AND(N361=_xlfn.MAXIFS(TF_AktSum,TF_Nokkel,M361),COUNTIFS(M$3:M360,M361,N$3:N360,N361)=0),M361,""))</f>
        <v/>
      </c>
    </row>
    <row r="362">
      <c r="A362" s="34" t="n"/>
      <c r="B362" s="35" t="n"/>
      <c r="C362" s="35" t="n"/>
      <c r="D362" s="35" t="n"/>
      <c r="E362" s="35" t="n"/>
      <c r="F362" s="36" t="n"/>
      <c r="G362" s="35" t="n"/>
      <c r="H362" s="30">
        <f>IF(L362="","",INDEX(SkiftNavn,L362))</f>
        <v/>
      </c>
      <c r="I362" s="30">
        <f>IF(OR(A362="",L362=""),"",IF(MOD(A362-INDEX(SkiftStart,L362),Syklus)&lt;DagK,"Kveld",IF(MOD(A362-INDEX(SkiftStart,L362),Syklus)&lt;DagK+DagH,"Helg",IF(MOD(A362-INDEX(SkiftStart,L362),Syklus)&lt;DagK+DagH+DagD,"Dag","Fri"))))</f>
        <v/>
      </c>
      <c r="J362" s="30">
        <f>IF(I362="Fri","Ja","")</f>
        <v/>
      </c>
      <c r="K362" s="30">
        <f>IF(B362="","",IF(L362="","Ukjent tekniker",IF(ISNA(MATCH(C362,Aktiviteter,0)),"Ukjent aktivitet",IF(AND(INDEX(AktRolle,MATCH(C362,Aktiviteter,0))&amp;""&lt;&gt;"",ISERROR(SEARCH(INDEX(AktRolle,MATCH(C362,Aktiviteter,0))&amp;"",INDEX(TekRoller,MATCH(B362,Teknikere,0))))),"Mangler rollen "&amp;INDEX(AktRolle,MATCH(C362,Aktiviteter,0))&amp;"",IF(AND(C362="LMS",F362&gt;0,OR(D362="",E362="")),"Mangler maskin eller arbeid",IF(AND(OR(C362="LMS",C362="Mod"),D362&lt;&gt;""),IF(IFERROR(INDEX(MaskinStatus,MATCH(D362,Maskiner,0)),"")="I dokk","","Maskinen er ikke i dokk"),""))))))</f>
        <v/>
      </c>
      <c r="L362" s="2">
        <f>IF(B362="","",IFERROR(INT((MATCH(B362,Teknikere,0)-1)/18)+1,""))</f>
        <v/>
      </c>
      <c r="M362" s="2">
        <f>IF(OR(A362="",B362=""),"",B362&amp;"|"&amp;A362)</f>
        <v/>
      </c>
      <c r="N362" s="2">
        <f>IF(M362="","",SUMIFS(TF_Timer,TF_Nokkel,M362,TF_Akt,C362))</f>
        <v/>
      </c>
      <c r="O362" s="2">
        <f>IF(M362="","",IF(AND(N362=_xlfn.MAXIFS(TF_AktSum,TF_Nokkel,M362),COUNTIFS(M$3:M361,M362,N$3:N361,N362)=0),M362,""))</f>
        <v/>
      </c>
    </row>
    <row r="363">
      <c r="A363" s="34" t="n"/>
      <c r="B363" s="35" t="n"/>
      <c r="C363" s="35" t="n"/>
      <c r="D363" s="35" t="n"/>
      <c r="E363" s="35" t="n"/>
      <c r="F363" s="36" t="n"/>
      <c r="G363" s="35" t="n"/>
      <c r="H363" s="30">
        <f>IF(L363="","",INDEX(SkiftNavn,L363))</f>
        <v/>
      </c>
      <c r="I363" s="30">
        <f>IF(OR(A363="",L363=""),"",IF(MOD(A363-INDEX(SkiftStart,L363),Syklus)&lt;DagK,"Kveld",IF(MOD(A363-INDEX(SkiftStart,L363),Syklus)&lt;DagK+DagH,"Helg",IF(MOD(A363-INDEX(SkiftStart,L363),Syklus)&lt;DagK+DagH+DagD,"Dag","Fri"))))</f>
        <v/>
      </c>
      <c r="J363" s="30">
        <f>IF(I363="Fri","Ja","")</f>
        <v/>
      </c>
      <c r="K363" s="30">
        <f>IF(B363="","",IF(L363="","Ukjent tekniker",IF(ISNA(MATCH(C363,Aktiviteter,0)),"Ukjent aktivitet",IF(AND(INDEX(AktRolle,MATCH(C363,Aktiviteter,0))&amp;""&lt;&gt;"",ISERROR(SEARCH(INDEX(AktRolle,MATCH(C363,Aktiviteter,0))&amp;"",INDEX(TekRoller,MATCH(B363,Teknikere,0))))),"Mangler rollen "&amp;INDEX(AktRolle,MATCH(C363,Aktiviteter,0))&amp;"",IF(AND(C363="LMS",F363&gt;0,OR(D363="",E363="")),"Mangler maskin eller arbeid",IF(AND(OR(C363="LMS",C363="Mod"),D363&lt;&gt;""),IF(IFERROR(INDEX(MaskinStatus,MATCH(D363,Maskiner,0)),"")="I dokk","","Maskinen er ikke i dokk"),""))))))</f>
        <v/>
      </c>
      <c r="L363" s="2">
        <f>IF(B363="","",IFERROR(INT((MATCH(B363,Teknikere,0)-1)/18)+1,""))</f>
        <v/>
      </c>
      <c r="M363" s="2">
        <f>IF(OR(A363="",B363=""),"",B363&amp;"|"&amp;A363)</f>
        <v/>
      </c>
      <c r="N363" s="2">
        <f>IF(M363="","",SUMIFS(TF_Timer,TF_Nokkel,M363,TF_Akt,C363))</f>
        <v/>
      </c>
      <c r="O363" s="2">
        <f>IF(M363="","",IF(AND(N363=_xlfn.MAXIFS(TF_AktSum,TF_Nokkel,M363),COUNTIFS(M$3:M362,M363,N$3:N362,N363)=0),M363,""))</f>
        <v/>
      </c>
    </row>
    <row r="364">
      <c r="A364" s="34" t="n"/>
      <c r="B364" s="35" t="n"/>
      <c r="C364" s="35" t="n"/>
      <c r="D364" s="35" t="n"/>
      <c r="E364" s="35" t="n"/>
      <c r="F364" s="36" t="n"/>
      <c r="G364" s="35" t="n"/>
      <c r="H364" s="30">
        <f>IF(L364="","",INDEX(SkiftNavn,L364))</f>
        <v/>
      </c>
      <c r="I364" s="30">
        <f>IF(OR(A364="",L364=""),"",IF(MOD(A364-INDEX(SkiftStart,L364),Syklus)&lt;DagK,"Kveld",IF(MOD(A364-INDEX(SkiftStart,L364),Syklus)&lt;DagK+DagH,"Helg",IF(MOD(A364-INDEX(SkiftStart,L364),Syklus)&lt;DagK+DagH+DagD,"Dag","Fri"))))</f>
        <v/>
      </c>
      <c r="J364" s="30">
        <f>IF(I364="Fri","Ja","")</f>
        <v/>
      </c>
      <c r="K364" s="30">
        <f>IF(B364="","",IF(L364="","Ukjent tekniker",IF(ISNA(MATCH(C364,Aktiviteter,0)),"Ukjent aktivitet",IF(AND(INDEX(AktRolle,MATCH(C364,Aktiviteter,0))&amp;""&lt;&gt;"",ISERROR(SEARCH(INDEX(AktRolle,MATCH(C364,Aktiviteter,0))&amp;"",INDEX(TekRoller,MATCH(B364,Teknikere,0))))),"Mangler rollen "&amp;INDEX(AktRolle,MATCH(C364,Aktiviteter,0))&amp;"",IF(AND(C364="LMS",F364&gt;0,OR(D364="",E364="")),"Mangler maskin eller arbeid",IF(AND(OR(C364="LMS",C364="Mod"),D364&lt;&gt;""),IF(IFERROR(INDEX(MaskinStatus,MATCH(D364,Maskiner,0)),"")="I dokk","","Maskinen er ikke i dokk"),""))))))</f>
        <v/>
      </c>
      <c r="L364" s="2">
        <f>IF(B364="","",IFERROR(INT((MATCH(B364,Teknikere,0)-1)/18)+1,""))</f>
        <v/>
      </c>
      <c r="M364" s="2">
        <f>IF(OR(A364="",B364=""),"",B364&amp;"|"&amp;A364)</f>
        <v/>
      </c>
      <c r="N364" s="2">
        <f>IF(M364="","",SUMIFS(TF_Timer,TF_Nokkel,M364,TF_Akt,C364))</f>
        <v/>
      </c>
      <c r="O364" s="2">
        <f>IF(M364="","",IF(AND(N364=_xlfn.MAXIFS(TF_AktSum,TF_Nokkel,M364),COUNTIFS(M$3:M363,M364,N$3:N363,N364)=0),M364,""))</f>
        <v/>
      </c>
    </row>
    <row r="365">
      <c r="A365" s="34" t="n"/>
      <c r="B365" s="35" t="n"/>
      <c r="C365" s="35" t="n"/>
      <c r="D365" s="35" t="n"/>
      <c r="E365" s="35" t="n"/>
      <c r="F365" s="36" t="n"/>
      <c r="G365" s="35" t="n"/>
      <c r="H365" s="30">
        <f>IF(L365="","",INDEX(SkiftNavn,L365))</f>
        <v/>
      </c>
      <c r="I365" s="30">
        <f>IF(OR(A365="",L365=""),"",IF(MOD(A365-INDEX(SkiftStart,L365),Syklus)&lt;DagK,"Kveld",IF(MOD(A365-INDEX(SkiftStart,L365),Syklus)&lt;DagK+DagH,"Helg",IF(MOD(A365-INDEX(SkiftStart,L365),Syklus)&lt;DagK+DagH+DagD,"Dag","Fri"))))</f>
        <v/>
      </c>
      <c r="J365" s="30">
        <f>IF(I365="Fri","Ja","")</f>
        <v/>
      </c>
      <c r="K365" s="30">
        <f>IF(B365="","",IF(L365="","Ukjent tekniker",IF(ISNA(MATCH(C365,Aktiviteter,0)),"Ukjent aktivitet",IF(AND(INDEX(AktRolle,MATCH(C365,Aktiviteter,0))&amp;""&lt;&gt;"",ISERROR(SEARCH(INDEX(AktRolle,MATCH(C365,Aktiviteter,0))&amp;"",INDEX(TekRoller,MATCH(B365,Teknikere,0))))),"Mangler rollen "&amp;INDEX(AktRolle,MATCH(C365,Aktiviteter,0))&amp;"",IF(AND(C365="LMS",F365&gt;0,OR(D365="",E365="")),"Mangler maskin eller arbeid",IF(AND(OR(C365="LMS",C365="Mod"),D365&lt;&gt;""),IF(IFERROR(INDEX(MaskinStatus,MATCH(D365,Maskiner,0)),"")="I dokk","","Maskinen er ikke i dokk"),""))))))</f>
        <v/>
      </c>
      <c r="L365" s="2">
        <f>IF(B365="","",IFERROR(INT((MATCH(B365,Teknikere,0)-1)/18)+1,""))</f>
        <v/>
      </c>
      <c r="M365" s="2">
        <f>IF(OR(A365="",B365=""),"",B365&amp;"|"&amp;A365)</f>
        <v/>
      </c>
      <c r="N365" s="2">
        <f>IF(M365="","",SUMIFS(TF_Timer,TF_Nokkel,M365,TF_Akt,C365))</f>
        <v/>
      </c>
      <c r="O365" s="2">
        <f>IF(M365="","",IF(AND(N365=_xlfn.MAXIFS(TF_AktSum,TF_Nokkel,M365),COUNTIFS(M$3:M364,M365,N$3:N364,N365)=0),M365,""))</f>
        <v/>
      </c>
    </row>
    <row r="366">
      <c r="A366" s="34" t="n"/>
      <c r="B366" s="35" t="n"/>
      <c r="C366" s="35" t="n"/>
      <c r="D366" s="35" t="n"/>
      <c r="E366" s="35" t="n"/>
      <c r="F366" s="36" t="n"/>
      <c r="G366" s="35" t="n"/>
      <c r="H366" s="30">
        <f>IF(L366="","",INDEX(SkiftNavn,L366))</f>
        <v/>
      </c>
      <c r="I366" s="30">
        <f>IF(OR(A366="",L366=""),"",IF(MOD(A366-INDEX(SkiftStart,L366),Syklus)&lt;DagK,"Kveld",IF(MOD(A366-INDEX(SkiftStart,L366),Syklus)&lt;DagK+DagH,"Helg",IF(MOD(A366-INDEX(SkiftStart,L366),Syklus)&lt;DagK+DagH+DagD,"Dag","Fri"))))</f>
        <v/>
      </c>
      <c r="J366" s="30">
        <f>IF(I366="Fri","Ja","")</f>
        <v/>
      </c>
      <c r="K366" s="30">
        <f>IF(B366="","",IF(L366="","Ukjent tekniker",IF(ISNA(MATCH(C366,Aktiviteter,0)),"Ukjent aktivitet",IF(AND(INDEX(AktRolle,MATCH(C366,Aktiviteter,0))&amp;""&lt;&gt;"",ISERROR(SEARCH(INDEX(AktRolle,MATCH(C366,Aktiviteter,0))&amp;"",INDEX(TekRoller,MATCH(B366,Teknikere,0))))),"Mangler rollen "&amp;INDEX(AktRolle,MATCH(C366,Aktiviteter,0))&amp;"",IF(AND(C366="LMS",F366&gt;0,OR(D366="",E366="")),"Mangler maskin eller arbeid",IF(AND(OR(C366="LMS",C366="Mod"),D366&lt;&gt;""),IF(IFERROR(INDEX(MaskinStatus,MATCH(D366,Maskiner,0)),"")="I dokk","","Maskinen er ikke i dokk"),""))))))</f>
        <v/>
      </c>
      <c r="L366" s="2">
        <f>IF(B366="","",IFERROR(INT((MATCH(B366,Teknikere,0)-1)/18)+1,""))</f>
        <v/>
      </c>
      <c r="M366" s="2">
        <f>IF(OR(A366="",B366=""),"",B366&amp;"|"&amp;A366)</f>
        <v/>
      </c>
      <c r="N366" s="2">
        <f>IF(M366="","",SUMIFS(TF_Timer,TF_Nokkel,M366,TF_Akt,C366))</f>
        <v/>
      </c>
      <c r="O366" s="2">
        <f>IF(M366="","",IF(AND(N366=_xlfn.MAXIFS(TF_AktSum,TF_Nokkel,M366),COUNTIFS(M$3:M365,M366,N$3:N365,N366)=0),M366,""))</f>
        <v/>
      </c>
    </row>
    <row r="367">
      <c r="A367" s="34" t="n"/>
      <c r="B367" s="35" t="n"/>
      <c r="C367" s="35" t="n"/>
      <c r="D367" s="35" t="n"/>
      <c r="E367" s="35" t="n"/>
      <c r="F367" s="36" t="n"/>
      <c r="G367" s="35" t="n"/>
      <c r="H367" s="30">
        <f>IF(L367="","",INDEX(SkiftNavn,L367))</f>
        <v/>
      </c>
      <c r="I367" s="30">
        <f>IF(OR(A367="",L367=""),"",IF(MOD(A367-INDEX(SkiftStart,L367),Syklus)&lt;DagK,"Kveld",IF(MOD(A367-INDEX(SkiftStart,L367),Syklus)&lt;DagK+DagH,"Helg",IF(MOD(A367-INDEX(SkiftStart,L367),Syklus)&lt;DagK+DagH+DagD,"Dag","Fri"))))</f>
        <v/>
      </c>
      <c r="J367" s="30">
        <f>IF(I367="Fri","Ja","")</f>
        <v/>
      </c>
      <c r="K367" s="30">
        <f>IF(B367="","",IF(L367="","Ukjent tekniker",IF(ISNA(MATCH(C367,Aktiviteter,0)),"Ukjent aktivitet",IF(AND(INDEX(AktRolle,MATCH(C367,Aktiviteter,0))&amp;""&lt;&gt;"",ISERROR(SEARCH(INDEX(AktRolle,MATCH(C367,Aktiviteter,0))&amp;"",INDEX(TekRoller,MATCH(B367,Teknikere,0))))),"Mangler rollen "&amp;INDEX(AktRolle,MATCH(C367,Aktiviteter,0))&amp;"",IF(AND(C367="LMS",F367&gt;0,OR(D367="",E367="")),"Mangler maskin eller arbeid",IF(AND(OR(C367="LMS",C367="Mod"),D367&lt;&gt;""),IF(IFERROR(INDEX(MaskinStatus,MATCH(D367,Maskiner,0)),"")="I dokk","","Maskinen er ikke i dokk"),""))))))</f>
        <v/>
      </c>
      <c r="L367" s="2">
        <f>IF(B367="","",IFERROR(INT((MATCH(B367,Teknikere,0)-1)/18)+1,""))</f>
        <v/>
      </c>
      <c r="M367" s="2">
        <f>IF(OR(A367="",B367=""),"",B367&amp;"|"&amp;A367)</f>
        <v/>
      </c>
      <c r="N367" s="2">
        <f>IF(M367="","",SUMIFS(TF_Timer,TF_Nokkel,M367,TF_Akt,C367))</f>
        <v/>
      </c>
      <c r="O367" s="2">
        <f>IF(M367="","",IF(AND(N367=_xlfn.MAXIFS(TF_AktSum,TF_Nokkel,M367),COUNTIFS(M$3:M366,M367,N$3:N366,N367)=0),M367,""))</f>
        <v/>
      </c>
    </row>
    <row r="368">
      <c r="A368" s="34" t="n"/>
      <c r="B368" s="35" t="n"/>
      <c r="C368" s="35" t="n"/>
      <c r="D368" s="35" t="n"/>
      <c r="E368" s="35" t="n"/>
      <c r="F368" s="36" t="n"/>
      <c r="G368" s="35" t="n"/>
      <c r="H368" s="30">
        <f>IF(L368="","",INDEX(SkiftNavn,L368))</f>
        <v/>
      </c>
      <c r="I368" s="30">
        <f>IF(OR(A368="",L368=""),"",IF(MOD(A368-INDEX(SkiftStart,L368),Syklus)&lt;DagK,"Kveld",IF(MOD(A368-INDEX(SkiftStart,L368),Syklus)&lt;DagK+DagH,"Helg",IF(MOD(A368-INDEX(SkiftStart,L368),Syklus)&lt;DagK+DagH+DagD,"Dag","Fri"))))</f>
        <v/>
      </c>
      <c r="J368" s="30">
        <f>IF(I368="Fri","Ja","")</f>
        <v/>
      </c>
      <c r="K368" s="30">
        <f>IF(B368="","",IF(L368="","Ukjent tekniker",IF(ISNA(MATCH(C368,Aktiviteter,0)),"Ukjent aktivitet",IF(AND(INDEX(AktRolle,MATCH(C368,Aktiviteter,0))&amp;""&lt;&gt;"",ISERROR(SEARCH(INDEX(AktRolle,MATCH(C368,Aktiviteter,0))&amp;"",INDEX(TekRoller,MATCH(B368,Teknikere,0))))),"Mangler rollen "&amp;INDEX(AktRolle,MATCH(C368,Aktiviteter,0))&amp;"",IF(AND(C368="LMS",F368&gt;0,OR(D368="",E368="")),"Mangler maskin eller arbeid",IF(AND(OR(C368="LMS",C368="Mod"),D368&lt;&gt;""),IF(IFERROR(INDEX(MaskinStatus,MATCH(D368,Maskiner,0)),"")="I dokk","","Maskinen er ikke i dokk"),""))))))</f>
        <v/>
      </c>
      <c r="L368" s="2">
        <f>IF(B368="","",IFERROR(INT((MATCH(B368,Teknikere,0)-1)/18)+1,""))</f>
        <v/>
      </c>
      <c r="M368" s="2">
        <f>IF(OR(A368="",B368=""),"",B368&amp;"|"&amp;A368)</f>
        <v/>
      </c>
      <c r="N368" s="2">
        <f>IF(M368="","",SUMIFS(TF_Timer,TF_Nokkel,M368,TF_Akt,C368))</f>
        <v/>
      </c>
      <c r="O368" s="2">
        <f>IF(M368="","",IF(AND(N368=_xlfn.MAXIFS(TF_AktSum,TF_Nokkel,M368),COUNTIFS(M$3:M367,M368,N$3:N367,N368)=0),M368,""))</f>
        <v/>
      </c>
    </row>
    <row r="369">
      <c r="A369" s="34" t="n"/>
      <c r="B369" s="35" t="n"/>
      <c r="C369" s="35" t="n"/>
      <c r="D369" s="35" t="n"/>
      <c r="E369" s="35" t="n"/>
      <c r="F369" s="36" t="n"/>
      <c r="G369" s="35" t="n"/>
      <c r="H369" s="30">
        <f>IF(L369="","",INDEX(SkiftNavn,L369))</f>
        <v/>
      </c>
      <c r="I369" s="30">
        <f>IF(OR(A369="",L369=""),"",IF(MOD(A369-INDEX(SkiftStart,L369),Syklus)&lt;DagK,"Kveld",IF(MOD(A369-INDEX(SkiftStart,L369),Syklus)&lt;DagK+DagH,"Helg",IF(MOD(A369-INDEX(SkiftStart,L369),Syklus)&lt;DagK+DagH+DagD,"Dag","Fri"))))</f>
        <v/>
      </c>
      <c r="J369" s="30">
        <f>IF(I369="Fri","Ja","")</f>
        <v/>
      </c>
      <c r="K369" s="30">
        <f>IF(B369="","",IF(L369="","Ukjent tekniker",IF(ISNA(MATCH(C369,Aktiviteter,0)),"Ukjent aktivitet",IF(AND(INDEX(AktRolle,MATCH(C369,Aktiviteter,0))&amp;""&lt;&gt;"",ISERROR(SEARCH(INDEX(AktRolle,MATCH(C369,Aktiviteter,0))&amp;"",INDEX(TekRoller,MATCH(B369,Teknikere,0))))),"Mangler rollen "&amp;INDEX(AktRolle,MATCH(C369,Aktiviteter,0))&amp;"",IF(AND(C369="LMS",F369&gt;0,OR(D369="",E369="")),"Mangler maskin eller arbeid",IF(AND(OR(C369="LMS",C369="Mod"),D369&lt;&gt;""),IF(IFERROR(INDEX(MaskinStatus,MATCH(D369,Maskiner,0)),"")="I dokk","","Maskinen er ikke i dokk"),""))))))</f>
        <v/>
      </c>
      <c r="L369" s="2">
        <f>IF(B369="","",IFERROR(INT((MATCH(B369,Teknikere,0)-1)/18)+1,""))</f>
        <v/>
      </c>
      <c r="M369" s="2">
        <f>IF(OR(A369="",B369=""),"",B369&amp;"|"&amp;A369)</f>
        <v/>
      </c>
      <c r="N369" s="2">
        <f>IF(M369="","",SUMIFS(TF_Timer,TF_Nokkel,M369,TF_Akt,C369))</f>
        <v/>
      </c>
      <c r="O369" s="2">
        <f>IF(M369="","",IF(AND(N369=_xlfn.MAXIFS(TF_AktSum,TF_Nokkel,M369),COUNTIFS(M$3:M368,M369,N$3:N368,N369)=0),M369,""))</f>
        <v/>
      </c>
    </row>
    <row r="370">
      <c r="A370" s="34" t="n"/>
      <c r="B370" s="35" t="n"/>
      <c r="C370" s="35" t="n"/>
      <c r="D370" s="35" t="n"/>
      <c r="E370" s="35" t="n"/>
      <c r="F370" s="36" t="n"/>
      <c r="G370" s="35" t="n"/>
      <c r="H370" s="30">
        <f>IF(L370="","",INDEX(SkiftNavn,L370))</f>
        <v/>
      </c>
      <c r="I370" s="30">
        <f>IF(OR(A370="",L370=""),"",IF(MOD(A370-INDEX(SkiftStart,L370),Syklus)&lt;DagK,"Kveld",IF(MOD(A370-INDEX(SkiftStart,L370),Syklus)&lt;DagK+DagH,"Helg",IF(MOD(A370-INDEX(SkiftStart,L370),Syklus)&lt;DagK+DagH+DagD,"Dag","Fri"))))</f>
        <v/>
      </c>
      <c r="J370" s="30">
        <f>IF(I370="Fri","Ja","")</f>
        <v/>
      </c>
      <c r="K370" s="30">
        <f>IF(B370="","",IF(L370="","Ukjent tekniker",IF(ISNA(MATCH(C370,Aktiviteter,0)),"Ukjent aktivitet",IF(AND(INDEX(AktRolle,MATCH(C370,Aktiviteter,0))&amp;""&lt;&gt;"",ISERROR(SEARCH(INDEX(AktRolle,MATCH(C370,Aktiviteter,0))&amp;"",INDEX(TekRoller,MATCH(B370,Teknikere,0))))),"Mangler rollen "&amp;INDEX(AktRolle,MATCH(C370,Aktiviteter,0))&amp;"",IF(AND(C370="LMS",F370&gt;0,OR(D370="",E370="")),"Mangler maskin eller arbeid",IF(AND(OR(C370="LMS",C370="Mod"),D370&lt;&gt;""),IF(IFERROR(INDEX(MaskinStatus,MATCH(D370,Maskiner,0)),"")="I dokk","","Maskinen er ikke i dokk"),""))))))</f>
        <v/>
      </c>
      <c r="L370" s="2">
        <f>IF(B370="","",IFERROR(INT((MATCH(B370,Teknikere,0)-1)/18)+1,""))</f>
        <v/>
      </c>
      <c r="M370" s="2">
        <f>IF(OR(A370="",B370=""),"",B370&amp;"|"&amp;A370)</f>
        <v/>
      </c>
      <c r="N370" s="2">
        <f>IF(M370="","",SUMIFS(TF_Timer,TF_Nokkel,M370,TF_Akt,C370))</f>
        <v/>
      </c>
      <c r="O370" s="2">
        <f>IF(M370="","",IF(AND(N370=_xlfn.MAXIFS(TF_AktSum,TF_Nokkel,M370),COUNTIFS(M$3:M369,M370,N$3:N369,N370)=0),M370,""))</f>
        <v/>
      </c>
    </row>
    <row r="371">
      <c r="A371" s="34" t="n"/>
      <c r="B371" s="35" t="n"/>
      <c r="C371" s="35" t="n"/>
      <c r="D371" s="35" t="n"/>
      <c r="E371" s="35" t="n"/>
      <c r="F371" s="36" t="n"/>
      <c r="G371" s="35" t="n"/>
      <c r="H371" s="30">
        <f>IF(L371="","",INDEX(SkiftNavn,L371))</f>
        <v/>
      </c>
      <c r="I371" s="30">
        <f>IF(OR(A371="",L371=""),"",IF(MOD(A371-INDEX(SkiftStart,L371),Syklus)&lt;DagK,"Kveld",IF(MOD(A371-INDEX(SkiftStart,L371),Syklus)&lt;DagK+DagH,"Helg",IF(MOD(A371-INDEX(SkiftStart,L371),Syklus)&lt;DagK+DagH+DagD,"Dag","Fri"))))</f>
        <v/>
      </c>
      <c r="J371" s="30">
        <f>IF(I371="Fri","Ja","")</f>
        <v/>
      </c>
      <c r="K371" s="30">
        <f>IF(B371="","",IF(L371="","Ukjent tekniker",IF(ISNA(MATCH(C371,Aktiviteter,0)),"Ukjent aktivitet",IF(AND(INDEX(AktRolle,MATCH(C371,Aktiviteter,0))&amp;""&lt;&gt;"",ISERROR(SEARCH(INDEX(AktRolle,MATCH(C371,Aktiviteter,0))&amp;"",INDEX(TekRoller,MATCH(B371,Teknikere,0))))),"Mangler rollen "&amp;INDEX(AktRolle,MATCH(C371,Aktiviteter,0))&amp;"",IF(AND(C371="LMS",F371&gt;0,OR(D371="",E371="")),"Mangler maskin eller arbeid",IF(AND(OR(C371="LMS",C371="Mod"),D371&lt;&gt;""),IF(IFERROR(INDEX(MaskinStatus,MATCH(D371,Maskiner,0)),"")="I dokk","","Maskinen er ikke i dokk"),""))))))</f>
        <v/>
      </c>
      <c r="L371" s="2">
        <f>IF(B371="","",IFERROR(INT((MATCH(B371,Teknikere,0)-1)/18)+1,""))</f>
        <v/>
      </c>
      <c r="M371" s="2">
        <f>IF(OR(A371="",B371=""),"",B371&amp;"|"&amp;A371)</f>
        <v/>
      </c>
      <c r="N371" s="2">
        <f>IF(M371="","",SUMIFS(TF_Timer,TF_Nokkel,M371,TF_Akt,C371))</f>
        <v/>
      </c>
      <c r="O371" s="2">
        <f>IF(M371="","",IF(AND(N371=_xlfn.MAXIFS(TF_AktSum,TF_Nokkel,M371),COUNTIFS(M$3:M370,M371,N$3:N370,N371)=0),M371,""))</f>
        <v/>
      </c>
    </row>
    <row r="372">
      <c r="A372" s="34" t="n"/>
      <c r="B372" s="35" t="n"/>
      <c r="C372" s="35" t="n"/>
      <c r="D372" s="35" t="n"/>
      <c r="E372" s="35" t="n"/>
      <c r="F372" s="36" t="n"/>
      <c r="G372" s="35" t="n"/>
      <c r="H372" s="30">
        <f>IF(L372="","",INDEX(SkiftNavn,L372))</f>
        <v/>
      </c>
      <c r="I372" s="30">
        <f>IF(OR(A372="",L372=""),"",IF(MOD(A372-INDEX(SkiftStart,L372),Syklus)&lt;DagK,"Kveld",IF(MOD(A372-INDEX(SkiftStart,L372),Syklus)&lt;DagK+DagH,"Helg",IF(MOD(A372-INDEX(SkiftStart,L372),Syklus)&lt;DagK+DagH+DagD,"Dag","Fri"))))</f>
        <v/>
      </c>
      <c r="J372" s="30">
        <f>IF(I372="Fri","Ja","")</f>
        <v/>
      </c>
      <c r="K372" s="30">
        <f>IF(B372="","",IF(L372="","Ukjent tekniker",IF(ISNA(MATCH(C372,Aktiviteter,0)),"Ukjent aktivitet",IF(AND(INDEX(AktRolle,MATCH(C372,Aktiviteter,0))&amp;""&lt;&gt;"",ISERROR(SEARCH(INDEX(AktRolle,MATCH(C372,Aktiviteter,0))&amp;"",INDEX(TekRoller,MATCH(B372,Teknikere,0))))),"Mangler rollen "&amp;INDEX(AktRolle,MATCH(C372,Aktiviteter,0))&amp;"",IF(AND(C372="LMS",F372&gt;0,OR(D372="",E372="")),"Mangler maskin eller arbeid",IF(AND(OR(C372="LMS",C372="Mod"),D372&lt;&gt;""),IF(IFERROR(INDEX(MaskinStatus,MATCH(D372,Maskiner,0)),"")="I dokk","","Maskinen er ikke i dokk"),""))))))</f>
        <v/>
      </c>
      <c r="L372" s="2">
        <f>IF(B372="","",IFERROR(INT((MATCH(B372,Teknikere,0)-1)/18)+1,""))</f>
        <v/>
      </c>
      <c r="M372" s="2">
        <f>IF(OR(A372="",B372=""),"",B372&amp;"|"&amp;A372)</f>
        <v/>
      </c>
      <c r="N372" s="2">
        <f>IF(M372="","",SUMIFS(TF_Timer,TF_Nokkel,M372,TF_Akt,C372))</f>
        <v/>
      </c>
      <c r="O372" s="2">
        <f>IF(M372="","",IF(AND(N372=_xlfn.MAXIFS(TF_AktSum,TF_Nokkel,M372),COUNTIFS(M$3:M371,M372,N$3:N371,N372)=0),M372,""))</f>
        <v/>
      </c>
    </row>
    <row r="373">
      <c r="A373" s="34" t="n"/>
      <c r="B373" s="35" t="n"/>
      <c r="C373" s="35" t="n"/>
      <c r="D373" s="35" t="n"/>
      <c r="E373" s="35" t="n"/>
      <c r="F373" s="36" t="n"/>
      <c r="G373" s="35" t="n"/>
      <c r="H373" s="30">
        <f>IF(L373="","",INDEX(SkiftNavn,L373))</f>
        <v/>
      </c>
      <c r="I373" s="30">
        <f>IF(OR(A373="",L373=""),"",IF(MOD(A373-INDEX(SkiftStart,L373),Syklus)&lt;DagK,"Kveld",IF(MOD(A373-INDEX(SkiftStart,L373),Syklus)&lt;DagK+DagH,"Helg",IF(MOD(A373-INDEX(SkiftStart,L373),Syklus)&lt;DagK+DagH+DagD,"Dag","Fri"))))</f>
        <v/>
      </c>
      <c r="J373" s="30">
        <f>IF(I373="Fri","Ja","")</f>
        <v/>
      </c>
      <c r="K373" s="30">
        <f>IF(B373="","",IF(L373="","Ukjent tekniker",IF(ISNA(MATCH(C373,Aktiviteter,0)),"Ukjent aktivitet",IF(AND(INDEX(AktRolle,MATCH(C373,Aktiviteter,0))&amp;""&lt;&gt;"",ISERROR(SEARCH(INDEX(AktRolle,MATCH(C373,Aktiviteter,0))&amp;"",INDEX(TekRoller,MATCH(B373,Teknikere,0))))),"Mangler rollen "&amp;INDEX(AktRolle,MATCH(C373,Aktiviteter,0))&amp;"",IF(AND(C373="LMS",F373&gt;0,OR(D373="",E373="")),"Mangler maskin eller arbeid",IF(AND(OR(C373="LMS",C373="Mod"),D373&lt;&gt;""),IF(IFERROR(INDEX(MaskinStatus,MATCH(D373,Maskiner,0)),"")="I dokk","","Maskinen er ikke i dokk"),""))))))</f>
        <v/>
      </c>
      <c r="L373" s="2">
        <f>IF(B373="","",IFERROR(INT((MATCH(B373,Teknikere,0)-1)/18)+1,""))</f>
        <v/>
      </c>
      <c r="M373" s="2">
        <f>IF(OR(A373="",B373=""),"",B373&amp;"|"&amp;A373)</f>
        <v/>
      </c>
      <c r="N373" s="2">
        <f>IF(M373="","",SUMIFS(TF_Timer,TF_Nokkel,M373,TF_Akt,C373))</f>
        <v/>
      </c>
      <c r="O373" s="2">
        <f>IF(M373="","",IF(AND(N373=_xlfn.MAXIFS(TF_AktSum,TF_Nokkel,M373),COUNTIFS(M$3:M372,M373,N$3:N372,N373)=0),M373,""))</f>
        <v/>
      </c>
    </row>
    <row r="374">
      <c r="A374" s="34" t="n"/>
      <c r="B374" s="35" t="n"/>
      <c r="C374" s="35" t="n"/>
      <c r="D374" s="35" t="n"/>
      <c r="E374" s="35" t="n"/>
      <c r="F374" s="36" t="n"/>
      <c r="G374" s="35" t="n"/>
      <c r="H374" s="30">
        <f>IF(L374="","",INDEX(SkiftNavn,L374))</f>
        <v/>
      </c>
      <c r="I374" s="30">
        <f>IF(OR(A374="",L374=""),"",IF(MOD(A374-INDEX(SkiftStart,L374),Syklus)&lt;DagK,"Kveld",IF(MOD(A374-INDEX(SkiftStart,L374),Syklus)&lt;DagK+DagH,"Helg",IF(MOD(A374-INDEX(SkiftStart,L374),Syklus)&lt;DagK+DagH+DagD,"Dag","Fri"))))</f>
        <v/>
      </c>
      <c r="J374" s="30">
        <f>IF(I374="Fri","Ja","")</f>
        <v/>
      </c>
      <c r="K374" s="30">
        <f>IF(B374="","",IF(L374="","Ukjent tekniker",IF(ISNA(MATCH(C374,Aktiviteter,0)),"Ukjent aktivitet",IF(AND(INDEX(AktRolle,MATCH(C374,Aktiviteter,0))&amp;""&lt;&gt;"",ISERROR(SEARCH(INDEX(AktRolle,MATCH(C374,Aktiviteter,0))&amp;"",INDEX(TekRoller,MATCH(B374,Teknikere,0))))),"Mangler rollen "&amp;INDEX(AktRolle,MATCH(C374,Aktiviteter,0))&amp;"",IF(AND(C374="LMS",F374&gt;0,OR(D374="",E374="")),"Mangler maskin eller arbeid",IF(AND(OR(C374="LMS",C374="Mod"),D374&lt;&gt;""),IF(IFERROR(INDEX(MaskinStatus,MATCH(D374,Maskiner,0)),"")="I dokk","","Maskinen er ikke i dokk"),""))))))</f>
        <v/>
      </c>
      <c r="L374" s="2">
        <f>IF(B374="","",IFERROR(INT((MATCH(B374,Teknikere,0)-1)/18)+1,""))</f>
        <v/>
      </c>
      <c r="M374" s="2">
        <f>IF(OR(A374="",B374=""),"",B374&amp;"|"&amp;A374)</f>
        <v/>
      </c>
      <c r="N374" s="2">
        <f>IF(M374="","",SUMIFS(TF_Timer,TF_Nokkel,M374,TF_Akt,C374))</f>
        <v/>
      </c>
      <c r="O374" s="2">
        <f>IF(M374="","",IF(AND(N374=_xlfn.MAXIFS(TF_AktSum,TF_Nokkel,M374),COUNTIFS(M$3:M373,M374,N$3:N373,N374)=0),M374,""))</f>
        <v/>
      </c>
    </row>
    <row r="375">
      <c r="A375" s="34" t="n"/>
      <c r="B375" s="35" t="n"/>
      <c r="C375" s="35" t="n"/>
      <c r="D375" s="35" t="n"/>
      <c r="E375" s="35" t="n"/>
      <c r="F375" s="36" t="n"/>
      <c r="G375" s="35" t="n"/>
      <c r="H375" s="30">
        <f>IF(L375="","",INDEX(SkiftNavn,L375))</f>
        <v/>
      </c>
      <c r="I375" s="30">
        <f>IF(OR(A375="",L375=""),"",IF(MOD(A375-INDEX(SkiftStart,L375),Syklus)&lt;DagK,"Kveld",IF(MOD(A375-INDEX(SkiftStart,L375),Syklus)&lt;DagK+DagH,"Helg",IF(MOD(A375-INDEX(SkiftStart,L375),Syklus)&lt;DagK+DagH+DagD,"Dag","Fri"))))</f>
        <v/>
      </c>
      <c r="J375" s="30">
        <f>IF(I375="Fri","Ja","")</f>
        <v/>
      </c>
      <c r="K375" s="30">
        <f>IF(B375="","",IF(L375="","Ukjent tekniker",IF(ISNA(MATCH(C375,Aktiviteter,0)),"Ukjent aktivitet",IF(AND(INDEX(AktRolle,MATCH(C375,Aktiviteter,0))&amp;""&lt;&gt;"",ISERROR(SEARCH(INDEX(AktRolle,MATCH(C375,Aktiviteter,0))&amp;"",INDEX(TekRoller,MATCH(B375,Teknikere,0))))),"Mangler rollen "&amp;INDEX(AktRolle,MATCH(C375,Aktiviteter,0))&amp;"",IF(AND(C375="LMS",F375&gt;0,OR(D375="",E375="")),"Mangler maskin eller arbeid",IF(AND(OR(C375="LMS",C375="Mod"),D375&lt;&gt;""),IF(IFERROR(INDEX(MaskinStatus,MATCH(D375,Maskiner,0)),"")="I dokk","","Maskinen er ikke i dokk"),""))))))</f>
        <v/>
      </c>
      <c r="L375" s="2">
        <f>IF(B375="","",IFERROR(INT((MATCH(B375,Teknikere,0)-1)/18)+1,""))</f>
        <v/>
      </c>
      <c r="M375" s="2">
        <f>IF(OR(A375="",B375=""),"",B375&amp;"|"&amp;A375)</f>
        <v/>
      </c>
      <c r="N375" s="2">
        <f>IF(M375="","",SUMIFS(TF_Timer,TF_Nokkel,M375,TF_Akt,C375))</f>
        <v/>
      </c>
      <c r="O375" s="2">
        <f>IF(M375="","",IF(AND(N375=_xlfn.MAXIFS(TF_AktSum,TF_Nokkel,M375),COUNTIFS(M$3:M374,M375,N$3:N374,N375)=0),M375,""))</f>
        <v/>
      </c>
    </row>
    <row r="376">
      <c r="A376" s="34" t="n"/>
      <c r="B376" s="35" t="n"/>
      <c r="C376" s="35" t="n"/>
      <c r="D376" s="35" t="n"/>
      <c r="E376" s="35" t="n"/>
      <c r="F376" s="36" t="n"/>
      <c r="G376" s="35" t="n"/>
      <c r="H376" s="30">
        <f>IF(L376="","",INDEX(SkiftNavn,L376))</f>
        <v/>
      </c>
      <c r="I376" s="30">
        <f>IF(OR(A376="",L376=""),"",IF(MOD(A376-INDEX(SkiftStart,L376),Syklus)&lt;DagK,"Kveld",IF(MOD(A376-INDEX(SkiftStart,L376),Syklus)&lt;DagK+DagH,"Helg",IF(MOD(A376-INDEX(SkiftStart,L376),Syklus)&lt;DagK+DagH+DagD,"Dag","Fri"))))</f>
        <v/>
      </c>
      <c r="J376" s="30">
        <f>IF(I376="Fri","Ja","")</f>
        <v/>
      </c>
      <c r="K376" s="30">
        <f>IF(B376="","",IF(L376="","Ukjent tekniker",IF(ISNA(MATCH(C376,Aktiviteter,0)),"Ukjent aktivitet",IF(AND(INDEX(AktRolle,MATCH(C376,Aktiviteter,0))&amp;""&lt;&gt;"",ISERROR(SEARCH(INDEX(AktRolle,MATCH(C376,Aktiviteter,0))&amp;"",INDEX(TekRoller,MATCH(B376,Teknikere,0))))),"Mangler rollen "&amp;INDEX(AktRolle,MATCH(C376,Aktiviteter,0))&amp;"",IF(AND(C376="LMS",F376&gt;0,OR(D376="",E376="")),"Mangler maskin eller arbeid",IF(AND(OR(C376="LMS",C376="Mod"),D376&lt;&gt;""),IF(IFERROR(INDEX(MaskinStatus,MATCH(D376,Maskiner,0)),"")="I dokk","","Maskinen er ikke i dokk"),""))))))</f>
        <v/>
      </c>
      <c r="L376" s="2">
        <f>IF(B376="","",IFERROR(INT((MATCH(B376,Teknikere,0)-1)/18)+1,""))</f>
        <v/>
      </c>
      <c r="M376" s="2">
        <f>IF(OR(A376="",B376=""),"",B376&amp;"|"&amp;A376)</f>
        <v/>
      </c>
      <c r="N376" s="2">
        <f>IF(M376="","",SUMIFS(TF_Timer,TF_Nokkel,M376,TF_Akt,C376))</f>
        <v/>
      </c>
      <c r="O376" s="2">
        <f>IF(M376="","",IF(AND(N376=_xlfn.MAXIFS(TF_AktSum,TF_Nokkel,M376),COUNTIFS(M$3:M375,M376,N$3:N375,N376)=0),M376,""))</f>
        <v/>
      </c>
    </row>
    <row r="377">
      <c r="A377" s="34" t="n"/>
      <c r="B377" s="35" t="n"/>
      <c r="C377" s="35" t="n"/>
      <c r="D377" s="35" t="n"/>
      <c r="E377" s="35" t="n"/>
      <c r="F377" s="36" t="n"/>
      <c r="G377" s="35" t="n"/>
      <c r="H377" s="30">
        <f>IF(L377="","",INDEX(SkiftNavn,L377))</f>
        <v/>
      </c>
      <c r="I377" s="30">
        <f>IF(OR(A377="",L377=""),"",IF(MOD(A377-INDEX(SkiftStart,L377),Syklus)&lt;DagK,"Kveld",IF(MOD(A377-INDEX(SkiftStart,L377),Syklus)&lt;DagK+DagH,"Helg",IF(MOD(A377-INDEX(SkiftStart,L377),Syklus)&lt;DagK+DagH+DagD,"Dag","Fri"))))</f>
        <v/>
      </c>
      <c r="J377" s="30">
        <f>IF(I377="Fri","Ja","")</f>
        <v/>
      </c>
      <c r="K377" s="30">
        <f>IF(B377="","",IF(L377="","Ukjent tekniker",IF(ISNA(MATCH(C377,Aktiviteter,0)),"Ukjent aktivitet",IF(AND(INDEX(AktRolle,MATCH(C377,Aktiviteter,0))&amp;""&lt;&gt;"",ISERROR(SEARCH(INDEX(AktRolle,MATCH(C377,Aktiviteter,0))&amp;"",INDEX(TekRoller,MATCH(B377,Teknikere,0))))),"Mangler rollen "&amp;INDEX(AktRolle,MATCH(C377,Aktiviteter,0))&amp;"",IF(AND(C377="LMS",F377&gt;0,OR(D377="",E377="")),"Mangler maskin eller arbeid",IF(AND(OR(C377="LMS",C377="Mod"),D377&lt;&gt;""),IF(IFERROR(INDEX(MaskinStatus,MATCH(D377,Maskiner,0)),"")="I dokk","","Maskinen er ikke i dokk"),""))))))</f>
        <v/>
      </c>
      <c r="L377" s="2">
        <f>IF(B377="","",IFERROR(INT((MATCH(B377,Teknikere,0)-1)/18)+1,""))</f>
        <v/>
      </c>
      <c r="M377" s="2">
        <f>IF(OR(A377="",B377=""),"",B377&amp;"|"&amp;A377)</f>
        <v/>
      </c>
      <c r="N377" s="2">
        <f>IF(M377="","",SUMIFS(TF_Timer,TF_Nokkel,M377,TF_Akt,C377))</f>
        <v/>
      </c>
      <c r="O377" s="2">
        <f>IF(M377="","",IF(AND(N377=_xlfn.MAXIFS(TF_AktSum,TF_Nokkel,M377),COUNTIFS(M$3:M376,M377,N$3:N376,N377)=0),M377,""))</f>
        <v/>
      </c>
    </row>
    <row r="378">
      <c r="A378" s="34" t="n"/>
      <c r="B378" s="35" t="n"/>
      <c r="C378" s="35" t="n"/>
      <c r="D378" s="35" t="n"/>
      <c r="E378" s="35" t="n"/>
      <c r="F378" s="36" t="n"/>
      <c r="G378" s="35" t="n"/>
      <c r="H378" s="30">
        <f>IF(L378="","",INDEX(SkiftNavn,L378))</f>
        <v/>
      </c>
      <c r="I378" s="30">
        <f>IF(OR(A378="",L378=""),"",IF(MOD(A378-INDEX(SkiftStart,L378),Syklus)&lt;DagK,"Kveld",IF(MOD(A378-INDEX(SkiftStart,L378),Syklus)&lt;DagK+DagH,"Helg",IF(MOD(A378-INDEX(SkiftStart,L378),Syklus)&lt;DagK+DagH+DagD,"Dag","Fri"))))</f>
        <v/>
      </c>
      <c r="J378" s="30">
        <f>IF(I378="Fri","Ja","")</f>
        <v/>
      </c>
      <c r="K378" s="30">
        <f>IF(B378="","",IF(L378="","Ukjent tekniker",IF(ISNA(MATCH(C378,Aktiviteter,0)),"Ukjent aktivitet",IF(AND(INDEX(AktRolle,MATCH(C378,Aktiviteter,0))&amp;""&lt;&gt;"",ISERROR(SEARCH(INDEX(AktRolle,MATCH(C378,Aktiviteter,0))&amp;"",INDEX(TekRoller,MATCH(B378,Teknikere,0))))),"Mangler rollen "&amp;INDEX(AktRolle,MATCH(C378,Aktiviteter,0))&amp;"",IF(AND(C378="LMS",F378&gt;0,OR(D378="",E378="")),"Mangler maskin eller arbeid",IF(AND(OR(C378="LMS",C378="Mod"),D378&lt;&gt;""),IF(IFERROR(INDEX(MaskinStatus,MATCH(D378,Maskiner,0)),"")="I dokk","","Maskinen er ikke i dokk"),""))))))</f>
        <v/>
      </c>
      <c r="L378" s="2">
        <f>IF(B378="","",IFERROR(INT((MATCH(B378,Teknikere,0)-1)/18)+1,""))</f>
        <v/>
      </c>
      <c r="M378" s="2">
        <f>IF(OR(A378="",B378=""),"",B378&amp;"|"&amp;A378)</f>
        <v/>
      </c>
      <c r="N378" s="2">
        <f>IF(M378="","",SUMIFS(TF_Timer,TF_Nokkel,M378,TF_Akt,C378))</f>
        <v/>
      </c>
      <c r="O378" s="2">
        <f>IF(M378="","",IF(AND(N378=_xlfn.MAXIFS(TF_AktSum,TF_Nokkel,M378),COUNTIFS(M$3:M377,M378,N$3:N377,N378)=0),M378,""))</f>
        <v/>
      </c>
    </row>
    <row r="379">
      <c r="A379" s="34" t="n"/>
      <c r="B379" s="35" t="n"/>
      <c r="C379" s="35" t="n"/>
      <c r="D379" s="35" t="n"/>
      <c r="E379" s="35" t="n"/>
      <c r="F379" s="36" t="n"/>
      <c r="G379" s="35" t="n"/>
      <c r="H379" s="30">
        <f>IF(L379="","",INDEX(SkiftNavn,L379))</f>
        <v/>
      </c>
      <c r="I379" s="30">
        <f>IF(OR(A379="",L379=""),"",IF(MOD(A379-INDEX(SkiftStart,L379),Syklus)&lt;DagK,"Kveld",IF(MOD(A379-INDEX(SkiftStart,L379),Syklus)&lt;DagK+DagH,"Helg",IF(MOD(A379-INDEX(SkiftStart,L379),Syklus)&lt;DagK+DagH+DagD,"Dag","Fri"))))</f>
        <v/>
      </c>
      <c r="J379" s="30">
        <f>IF(I379="Fri","Ja","")</f>
        <v/>
      </c>
      <c r="K379" s="30">
        <f>IF(B379="","",IF(L379="","Ukjent tekniker",IF(ISNA(MATCH(C379,Aktiviteter,0)),"Ukjent aktivitet",IF(AND(INDEX(AktRolle,MATCH(C379,Aktiviteter,0))&amp;""&lt;&gt;"",ISERROR(SEARCH(INDEX(AktRolle,MATCH(C379,Aktiviteter,0))&amp;"",INDEX(TekRoller,MATCH(B379,Teknikere,0))))),"Mangler rollen "&amp;INDEX(AktRolle,MATCH(C379,Aktiviteter,0))&amp;"",IF(AND(C379="LMS",F379&gt;0,OR(D379="",E379="")),"Mangler maskin eller arbeid",IF(AND(OR(C379="LMS",C379="Mod"),D379&lt;&gt;""),IF(IFERROR(INDEX(MaskinStatus,MATCH(D379,Maskiner,0)),"")="I dokk","","Maskinen er ikke i dokk"),""))))))</f>
        <v/>
      </c>
      <c r="L379" s="2">
        <f>IF(B379="","",IFERROR(INT((MATCH(B379,Teknikere,0)-1)/18)+1,""))</f>
        <v/>
      </c>
      <c r="M379" s="2">
        <f>IF(OR(A379="",B379=""),"",B379&amp;"|"&amp;A379)</f>
        <v/>
      </c>
      <c r="N379" s="2">
        <f>IF(M379="","",SUMIFS(TF_Timer,TF_Nokkel,M379,TF_Akt,C379))</f>
        <v/>
      </c>
      <c r="O379" s="2">
        <f>IF(M379="","",IF(AND(N379=_xlfn.MAXIFS(TF_AktSum,TF_Nokkel,M379),COUNTIFS(M$3:M378,M379,N$3:N378,N379)=0),M379,""))</f>
        <v/>
      </c>
    </row>
    <row r="380">
      <c r="A380" s="34" t="n"/>
      <c r="B380" s="35" t="n"/>
      <c r="C380" s="35" t="n"/>
      <c r="D380" s="35" t="n"/>
      <c r="E380" s="35" t="n"/>
      <c r="F380" s="36" t="n"/>
      <c r="G380" s="35" t="n"/>
      <c r="H380" s="30">
        <f>IF(L380="","",INDEX(SkiftNavn,L380))</f>
        <v/>
      </c>
      <c r="I380" s="30">
        <f>IF(OR(A380="",L380=""),"",IF(MOD(A380-INDEX(SkiftStart,L380),Syklus)&lt;DagK,"Kveld",IF(MOD(A380-INDEX(SkiftStart,L380),Syklus)&lt;DagK+DagH,"Helg",IF(MOD(A380-INDEX(SkiftStart,L380),Syklus)&lt;DagK+DagH+DagD,"Dag","Fri"))))</f>
        <v/>
      </c>
      <c r="J380" s="30">
        <f>IF(I380="Fri","Ja","")</f>
        <v/>
      </c>
      <c r="K380" s="30">
        <f>IF(B380="","",IF(L380="","Ukjent tekniker",IF(ISNA(MATCH(C380,Aktiviteter,0)),"Ukjent aktivitet",IF(AND(INDEX(AktRolle,MATCH(C380,Aktiviteter,0))&amp;""&lt;&gt;"",ISERROR(SEARCH(INDEX(AktRolle,MATCH(C380,Aktiviteter,0))&amp;"",INDEX(TekRoller,MATCH(B380,Teknikere,0))))),"Mangler rollen "&amp;INDEX(AktRolle,MATCH(C380,Aktiviteter,0))&amp;"",IF(AND(C380="LMS",F380&gt;0,OR(D380="",E380="")),"Mangler maskin eller arbeid",IF(AND(OR(C380="LMS",C380="Mod"),D380&lt;&gt;""),IF(IFERROR(INDEX(MaskinStatus,MATCH(D380,Maskiner,0)),"")="I dokk","","Maskinen er ikke i dokk"),""))))))</f>
        <v/>
      </c>
      <c r="L380" s="2">
        <f>IF(B380="","",IFERROR(INT((MATCH(B380,Teknikere,0)-1)/18)+1,""))</f>
        <v/>
      </c>
      <c r="M380" s="2">
        <f>IF(OR(A380="",B380=""),"",B380&amp;"|"&amp;A380)</f>
        <v/>
      </c>
      <c r="N380" s="2">
        <f>IF(M380="","",SUMIFS(TF_Timer,TF_Nokkel,M380,TF_Akt,C380))</f>
        <v/>
      </c>
      <c r="O380" s="2">
        <f>IF(M380="","",IF(AND(N380=_xlfn.MAXIFS(TF_AktSum,TF_Nokkel,M380),COUNTIFS(M$3:M379,M380,N$3:N379,N380)=0),M380,""))</f>
        <v/>
      </c>
    </row>
    <row r="381">
      <c r="A381" s="34" t="n"/>
      <c r="B381" s="35" t="n"/>
      <c r="C381" s="35" t="n"/>
      <c r="D381" s="35" t="n"/>
      <c r="E381" s="35" t="n"/>
      <c r="F381" s="36" t="n"/>
      <c r="G381" s="35" t="n"/>
      <c r="H381" s="30">
        <f>IF(L381="","",INDEX(SkiftNavn,L381))</f>
        <v/>
      </c>
      <c r="I381" s="30">
        <f>IF(OR(A381="",L381=""),"",IF(MOD(A381-INDEX(SkiftStart,L381),Syklus)&lt;DagK,"Kveld",IF(MOD(A381-INDEX(SkiftStart,L381),Syklus)&lt;DagK+DagH,"Helg",IF(MOD(A381-INDEX(SkiftStart,L381),Syklus)&lt;DagK+DagH+DagD,"Dag","Fri"))))</f>
        <v/>
      </c>
      <c r="J381" s="30">
        <f>IF(I381="Fri","Ja","")</f>
        <v/>
      </c>
      <c r="K381" s="30">
        <f>IF(B381="","",IF(L381="","Ukjent tekniker",IF(ISNA(MATCH(C381,Aktiviteter,0)),"Ukjent aktivitet",IF(AND(INDEX(AktRolle,MATCH(C381,Aktiviteter,0))&amp;""&lt;&gt;"",ISERROR(SEARCH(INDEX(AktRolle,MATCH(C381,Aktiviteter,0))&amp;"",INDEX(TekRoller,MATCH(B381,Teknikere,0))))),"Mangler rollen "&amp;INDEX(AktRolle,MATCH(C381,Aktiviteter,0))&amp;"",IF(AND(C381="LMS",F381&gt;0,OR(D381="",E381="")),"Mangler maskin eller arbeid",IF(AND(OR(C381="LMS",C381="Mod"),D381&lt;&gt;""),IF(IFERROR(INDEX(MaskinStatus,MATCH(D381,Maskiner,0)),"")="I dokk","","Maskinen er ikke i dokk"),""))))))</f>
        <v/>
      </c>
      <c r="L381" s="2">
        <f>IF(B381="","",IFERROR(INT((MATCH(B381,Teknikere,0)-1)/18)+1,""))</f>
        <v/>
      </c>
      <c r="M381" s="2">
        <f>IF(OR(A381="",B381=""),"",B381&amp;"|"&amp;A381)</f>
        <v/>
      </c>
      <c r="N381" s="2">
        <f>IF(M381="","",SUMIFS(TF_Timer,TF_Nokkel,M381,TF_Akt,C381))</f>
        <v/>
      </c>
      <c r="O381" s="2">
        <f>IF(M381="","",IF(AND(N381=_xlfn.MAXIFS(TF_AktSum,TF_Nokkel,M381),COUNTIFS(M$3:M380,M381,N$3:N380,N381)=0),M381,""))</f>
        <v/>
      </c>
    </row>
    <row r="382">
      <c r="A382" s="34" t="n"/>
      <c r="B382" s="35" t="n"/>
      <c r="C382" s="35" t="n"/>
      <c r="D382" s="35" t="n"/>
      <c r="E382" s="35" t="n"/>
      <c r="F382" s="36" t="n"/>
      <c r="G382" s="35" t="n"/>
      <c r="H382" s="30">
        <f>IF(L382="","",INDEX(SkiftNavn,L382))</f>
        <v/>
      </c>
      <c r="I382" s="30">
        <f>IF(OR(A382="",L382=""),"",IF(MOD(A382-INDEX(SkiftStart,L382),Syklus)&lt;DagK,"Kveld",IF(MOD(A382-INDEX(SkiftStart,L382),Syklus)&lt;DagK+DagH,"Helg",IF(MOD(A382-INDEX(SkiftStart,L382),Syklus)&lt;DagK+DagH+DagD,"Dag","Fri"))))</f>
        <v/>
      </c>
      <c r="J382" s="30">
        <f>IF(I382="Fri","Ja","")</f>
        <v/>
      </c>
      <c r="K382" s="30">
        <f>IF(B382="","",IF(L382="","Ukjent tekniker",IF(ISNA(MATCH(C382,Aktiviteter,0)),"Ukjent aktivitet",IF(AND(INDEX(AktRolle,MATCH(C382,Aktiviteter,0))&amp;""&lt;&gt;"",ISERROR(SEARCH(INDEX(AktRolle,MATCH(C382,Aktiviteter,0))&amp;"",INDEX(TekRoller,MATCH(B382,Teknikere,0))))),"Mangler rollen "&amp;INDEX(AktRolle,MATCH(C382,Aktiviteter,0))&amp;"",IF(AND(C382="LMS",F382&gt;0,OR(D382="",E382="")),"Mangler maskin eller arbeid",IF(AND(OR(C382="LMS",C382="Mod"),D382&lt;&gt;""),IF(IFERROR(INDEX(MaskinStatus,MATCH(D382,Maskiner,0)),"")="I dokk","","Maskinen er ikke i dokk"),""))))))</f>
        <v/>
      </c>
      <c r="L382" s="2">
        <f>IF(B382="","",IFERROR(INT((MATCH(B382,Teknikere,0)-1)/18)+1,""))</f>
        <v/>
      </c>
      <c r="M382" s="2">
        <f>IF(OR(A382="",B382=""),"",B382&amp;"|"&amp;A382)</f>
        <v/>
      </c>
      <c r="N382" s="2">
        <f>IF(M382="","",SUMIFS(TF_Timer,TF_Nokkel,M382,TF_Akt,C382))</f>
        <v/>
      </c>
      <c r="O382" s="2">
        <f>IF(M382="","",IF(AND(N382=_xlfn.MAXIFS(TF_AktSum,TF_Nokkel,M382),COUNTIFS(M$3:M381,M382,N$3:N381,N382)=0),M382,""))</f>
        <v/>
      </c>
    </row>
    <row r="383">
      <c r="A383" s="34" t="n"/>
      <c r="B383" s="35" t="n"/>
      <c r="C383" s="35" t="n"/>
      <c r="D383" s="35" t="n"/>
      <c r="E383" s="35" t="n"/>
      <c r="F383" s="36" t="n"/>
      <c r="G383" s="35" t="n"/>
      <c r="H383" s="30">
        <f>IF(L383="","",INDEX(SkiftNavn,L383))</f>
        <v/>
      </c>
      <c r="I383" s="30">
        <f>IF(OR(A383="",L383=""),"",IF(MOD(A383-INDEX(SkiftStart,L383),Syklus)&lt;DagK,"Kveld",IF(MOD(A383-INDEX(SkiftStart,L383),Syklus)&lt;DagK+DagH,"Helg",IF(MOD(A383-INDEX(SkiftStart,L383),Syklus)&lt;DagK+DagH+DagD,"Dag","Fri"))))</f>
        <v/>
      </c>
      <c r="J383" s="30">
        <f>IF(I383="Fri","Ja","")</f>
        <v/>
      </c>
      <c r="K383" s="30">
        <f>IF(B383="","",IF(L383="","Ukjent tekniker",IF(ISNA(MATCH(C383,Aktiviteter,0)),"Ukjent aktivitet",IF(AND(INDEX(AktRolle,MATCH(C383,Aktiviteter,0))&amp;""&lt;&gt;"",ISERROR(SEARCH(INDEX(AktRolle,MATCH(C383,Aktiviteter,0))&amp;"",INDEX(TekRoller,MATCH(B383,Teknikere,0))))),"Mangler rollen "&amp;INDEX(AktRolle,MATCH(C383,Aktiviteter,0))&amp;"",IF(AND(C383="LMS",F383&gt;0,OR(D383="",E383="")),"Mangler maskin eller arbeid",IF(AND(OR(C383="LMS",C383="Mod"),D383&lt;&gt;""),IF(IFERROR(INDEX(MaskinStatus,MATCH(D383,Maskiner,0)),"")="I dokk","","Maskinen er ikke i dokk"),""))))))</f>
        <v/>
      </c>
      <c r="L383" s="2">
        <f>IF(B383="","",IFERROR(INT((MATCH(B383,Teknikere,0)-1)/18)+1,""))</f>
        <v/>
      </c>
      <c r="M383" s="2">
        <f>IF(OR(A383="",B383=""),"",B383&amp;"|"&amp;A383)</f>
        <v/>
      </c>
      <c r="N383" s="2">
        <f>IF(M383="","",SUMIFS(TF_Timer,TF_Nokkel,M383,TF_Akt,C383))</f>
        <v/>
      </c>
      <c r="O383" s="2">
        <f>IF(M383="","",IF(AND(N383=_xlfn.MAXIFS(TF_AktSum,TF_Nokkel,M383),COUNTIFS(M$3:M382,M383,N$3:N382,N383)=0),M383,""))</f>
        <v/>
      </c>
    </row>
    <row r="384">
      <c r="A384" s="34" t="n"/>
      <c r="B384" s="35" t="n"/>
      <c r="C384" s="35" t="n"/>
      <c r="D384" s="35" t="n"/>
      <c r="E384" s="35" t="n"/>
      <c r="F384" s="36" t="n"/>
      <c r="G384" s="35" t="n"/>
      <c r="H384" s="30">
        <f>IF(L384="","",INDEX(SkiftNavn,L384))</f>
        <v/>
      </c>
      <c r="I384" s="30">
        <f>IF(OR(A384="",L384=""),"",IF(MOD(A384-INDEX(SkiftStart,L384),Syklus)&lt;DagK,"Kveld",IF(MOD(A384-INDEX(SkiftStart,L384),Syklus)&lt;DagK+DagH,"Helg",IF(MOD(A384-INDEX(SkiftStart,L384),Syklus)&lt;DagK+DagH+DagD,"Dag","Fri"))))</f>
        <v/>
      </c>
      <c r="J384" s="30">
        <f>IF(I384="Fri","Ja","")</f>
        <v/>
      </c>
      <c r="K384" s="30">
        <f>IF(B384="","",IF(L384="","Ukjent tekniker",IF(ISNA(MATCH(C384,Aktiviteter,0)),"Ukjent aktivitet",IF(AND(INDEX(AktRolle,MATCH(C384,Aktiviteter,0))&amp;""&lt;&gt;"",ISERROR(SEARCH(INDEX(AktRolle,MATCH(C384,Aktiviteter,0))&amp;"",INDEX(TekRoller,MATCH(B384,Teknikere,0))))),"Mangler rollen "&amp;INDEX(AktRolle,MATCH(C384,Aktiviteter,0))&amp;"",IF(AND(C384="LMS",F384&gt;0,OR(D384="",E384="")),"Mangler maskin eller arbeid",IF(AND(OR(C384="LMS",C384="Mod"),D384&lt;&gt;""),IF(IFERROR(INDEX(MaskinStatus,MATCH(D384,Maskiner,0)),"")="I dokk","","Maskinen er ikke i dokk"),""))))))</f>
        <v/>
      </c>
      <c r="L384" s="2">
        <f>IF(B384="","",IFERROR(INT((MATCH(B384,Teknikere,0)-1)/18)+1,""))</f>
        <v/>
      </c>
      <c r="M384" s="2">
        <f>IF(OR(A384="",B384=""),"",B384&amp;"|"&amp;A384)</f>
        <v/>
      </c>
      <c r="N384" s="2">
        <f>IF(M384="","",SUMIFS(TF_Timer,TF_Nokkel,M384,TF_Akt,C384))</f>
        <v/>
      </c>
      <c r="O384" s="2">
        <f>IF(M384="","",IF(AND(N384=_xlfn.MAXIFS(TF_AktSum,TF_Nokkel,M384),COUNTIFS(M$3:M383,M384,N$3:N383,N384)=0),M384,""))</f>
        <v/>
      </c>
    </row>
    <row r="385">
      <c r="A385" s="34" t="n"/>
      <c r="B385" s="35" t="n"/>
      <c r="C385" s="35" t="n"/>
      <c r="D385" s="35" t="n"/>
      <c r="E385" s="35" t="n"/>
      <c r="F385" s="36" t="n"/>
      <c r="G385" s="35" t="n"/>
      <c r="H385" s="30">
        <f>IF(L385="","",INDEX(SkiftNavn,L385))</f>
        <v/>
      </c>
      <c r="I385" s="30">
        <f>IF(OR(A385="",L385=""),"",IF(MOD(A385-INDEX(SkiftStart,L385),Syklus)&lt;DagK,"Kveld",IF(MOD(A385-INDEX(SkiftStart,L385),Syklus)&lt;DagK+DagH,"Helg",IF(MOD(A385-INDEX(SkiftStart,L385),Syklus)&lt;DagK+DagH+DagD,"Dag","Fri"))))</f>
        <v/>
      </c>
      <c r="J385" s="30">
        <f>IF(I385="Fri","Ja","")</f>
        <v/>
      </c>
      <c r="K385" s="30">
        <f>IF(B385="","",IF(L385="","Ukjent tekniker",IF(ISNA(MATCH(C385,Aktiviteter,0)),"Ukjent aktivitet",IF(AND(INDEX(AktRolle,MATCH(C385,Aktiviteter,0))&amp;""&lt;&gt;"",ISERROR(SEARCH(INDEX(AktRolle,MATCH(C385,Aktiviteter,0))&amp;"",INDEX(TekRoller,MATCH(B385,Teknikere,0))))),"Mangler rollen "&amp;INDEX(AktRolle,MATCH(C385,Aktiviteter,0))&amp;"",IF(AND(C385="LMS",F385&gt;0,OR(D385="",E385="")),"Mangler maskin eller arbeid",IF(AND(OR(C385="LMS",C385="Mod"),D385&lt;&gt;""),IF(IFERROR(INDEX(MaskinStatus,MATCH(D385,Maskiner,0)),"")="I dokk","","Maskinen er ikke i dokk"),""))))))</f>
        <v/>
      </c>
      <c r="L385" s="2">
        <f>IF(B385="","",IFERROR(INT((MATCH(B385,Teknikere,0)-1)/18)+1,""))</f>
        <v/>
      </c>
      <c r="M385" s="2">
        <f>IF(OR(A385="",B385=""),"",B385&amp;"|"&amp;A385)</f>
        <v/>
      </c>
      <c r="N385" s="2">
        <f>IF(M385="","",SUMIFS(TF_Timer,TF_Nokkel,M385,TF_Akt,C385))</f>
        <v/>
      </c>
      <c r="O385" s="2">
        <f>IF(M385="","",IF(AND(N385=_xlfn.MAXIFS(TF_AktSum,TF_Nokkel,M385),COUNTIFS(M$3:M384,M385,N$3:N384,N385)=0),M385,""))</f>
        <v/>
      </c>
    </row>
    <row r="386">
      <c r="A386" s="34" t="n"/>
      <c r="B386" s="35" t="n"/>
      <c r="C386" s="35" t="n"/>
      <c r="D386" s="35" t="n"/>
      <c r="E386" s="35" t="n"/>
      <c r="F386" s="36" t="n"/>
      <c r="G386" s="35" t="n"/>
      <c r="H386" s="30">
        <f>IF(L386="","",INDEX(SkiftNavn,L386))</f>
        <v/>
      </c>
      <c r="I386" s="30">
        <f>IF(OR(A386="",L386=""),"",IF(MOD(A386-INDEX(SkiftStart,L386),Syklus)&lt;DagK,"Kveld",IF(MOD(A386-INDEX(SkiftStart,L386),Syklus)&lt;DagK+DagH,"Helg",IF(MOD(A386-INDEX(SkiftStart,L386),Syklus)&lt;DagK+DagH+DagD,"Dag","Fri"))))</f>
        <v/>
      </c>
      <c r="J386" s="30">
        <f>IF(I386="Fri","Ja","")</f>
        <v/>
      </c>
      <c r="K386" s="30">
        <f>IF(B386="","",IF(L386="","Ukjent tekniker",IF(ISNA(MATCH(C386,Aktiviteter,0)),"Ukjent aktivitet",IF(AND(INDEX(AktRolle,MATCH(C386,Aktiviteter,0))&amp;""&lt;&gt;"",ISERROR(SEARCH(INDEX(AktRolle,MATCH(C386,Aktiviteter,0))&amp;"",INDEX(TekRoller,MATCH(B386,Teknikere,0))))),"Mangler rollen "&amp;INDEX(AktRolle,MATCH(C386,Aktiviteter,0))&amp;"",IF(AND(C386="LMS",F386&gt;0,OR(D386="",E386="")),"Mangler maskin eller arbeid",IF(AND(OR(C386="LMS",C386="Mod"),D386&lt;&gt;""),IF(IFERROR(INDEX(MaskinStatus,MATCH(D386,Maskiner,0)),"")="I dokk","","Maskinen er ikke i dokk"),""))))))</f>
        <v/>
      </c>
      <c r="L386" s="2">
        <f>IF(B386="","",IFERROR(INT((MATCH(B386,Teknikere,0)-1)/18)+1,""))</f>
        <v/>
      </c>
      <c r="M386" s="2">
        <f>IF(OR(A386="",B386=""),"",B386&amp;"|"&amp;A386)</f>
        <v/>
      </c>
      <c r="N386" s="2">
        <f>IF(M386="","",SUMIFS(TF_Timer,TF_Nokkel,M386,TF_Akt,C386))</f>
        <v/>
      </c>
      <c r="O386" s="2">
        <f>IF(M386="","",IF(AND(N386=_xlfn.MAXIFS(TF_AktSum,TF_Nokkel,M386),COUNTIFS(M$3:M385,M386,N$3:N385,N386)=0),M386,""))</f>
        <v/>
      </c>
    </row>
    <row r="387">
      <c r="A387" s="34" t="n"/>
      <c r="B387" s="35" t="n"/>
      <c r="C387" s="35" t="n"/>
      <c r="D387" s="35" t="n"/>
      <c r="E387" s="35" t="n"/>
      <c r="F387" s="36" t="n"/>
      <c r="G387" s="35" t="n"/>
      <c r="H387" s="30">
        <f>IF(L387="","",INDEX(SkiftNavn,L387))</f>
        <v/>
      </c>
      <c r="I387" s="30">
        <f>IF(OR(A387="",L387=""),"",IF(MOD(A387-INDEX(SkiftStart,L387),Syklus)&lt;DagK,"Kveld",IF(MOD(A387-INDEX(SkiftStart,L387),Syklus)&lt;DagK+DagH,"Helg",IF(MOD(A387-INDEX(SkiftStart,L387),Syklus)&lt;DagK+DagH+DagD,"Dag","Fri"))))</f>
        <v/>
      </c>
      <c r="J387" s="30">
        <f>IF(I387="Fri","Ja","")</f>
        <v/>
      </c>
      <c r="K387" s="30">
        <f>IF(B387="","",IF(L387="","Ukjent tekniker",IF(ISNA(MATCH(C387,Aktiviteter,0)),"Ukjent aktivitet",IF(AND(INDEX(AktRolle,MATCH(C387,Aktiviteter,0))&amp;""&lt;&gt;"",ISERROR(SEARCH(INDEX(AktRolle,MATCH(C387,Aktiviteter,0))&amp;"",INDEX(TekRoller,MATCH(B387,Teknikere,0))))),"Mangler rollen "&amp;INDEX(AktRolle,MATCH(C387,Aktiviteter,0))&amp;"",IF(AND(C387="LMS",F387&gt;0,OR(D387="",E387="")),"Mangler maskin eller arbeid",IF(AND(OR(C387="LMS",C387="Mod"),D387&lt;&gt;""),IF(IFERROR(INDEX(MaskinStatus,MATCH(D387,Maskiner,0)),"")="I dokk","","Maskinen er ikke i dokk"),""))))))</f>
        <v/>
      </c>
      <c r="L387" s="2">
        <f>IF(B387="","",IFERROR(INT((MATCH(B387,Teknikere,0)-1)/18)+1,""))</f>
        <v/>
      </c>
      <c r="M387" s="2">
        <f>IF(OR(A387="",B387=""),"",B387&amp;"|"&amp;A387)</f>
        <v/>
      </c>
      <c r="N387" s="2">
        <f>IF(M387="","",SUMIFS(TF_Timer,TF_Nokkel,M387,TF_Akt,C387))</f>
        <v/>
      </c>
      <c r="O387" s="2">
        <f>IF(M387="","",IF(AND(N387=_xlfn.MAXIFS(TF_AktSum,TF_Nokkel,M387),COUNTIFS(M$3:M386,M387,N$3:N386,N387)=0),M387,""))</f>
        <v/>
      </c>
    </row>
    <row r="388">
      <c r="A388" s="34" t="n"/>
      <c r="B388" s="35" t="n"/>
      <c r="C388" s="35" t="n"/>
      <c r="D388" s="35" t="n"/>
      <c r="E388" s="35" t="n"/>
      <c r="F388" s="36" t="n"/>
      <c r="G388" s="35" t="n"/>
      <c r="H388" s="30">
        <f>IF(L388="","",INDEX(SkiftNavn,L388))</f>
        <v/>
      </c>
      <c r="I388" s="30">
        <f>IF(OR(A388="",L388=""),"",IF(MOD(A388-INDEX(SkiftStart,L388),Syklus)&lt;DagK,"Kveld",IF(MOD(A388-INDEX(SkiftStart,L388),Syklus)&lt;DagK+DagH,"Helg",IF(MOD(A388-INDEX(SkiftStart,L388),Syklus)&lt;DagK+DagH+DagD,"Dag","Fri"))))</f>
        <v/>
      </c>
      <c r="J388" s="30">
        <f>IF(I388="Fri","Ja","")</f>
        <v/>
      </c>
      <c r="K388" s="30">
        <f>IF(B388="","",IF(L388="","Ukjent tekniker",IF(ISNA(MATCH(C388,Aktiviteter,0)),"Ukjent aktivitet",IF(AND(INDEX(AktRolle,MATCH(C388,Aktiviteter,0))&amp;""&lt;&gt;"",ISERROR(SEARCH(INDEX(AktRolle,MATCH(C388,Aktiviteter,0))&amp;"",INDEX(TekRoller,MATCH(B388,Teknikere,0))))),"Mangler rollen "&amp;INDEX(AktRolle,MATCH(C388,Aktiviteter,0))&amp;"",IF(AND(C388="LMS",F388&gt;0,OR(D388="",E388="")),"Mangler maskin eller arbeid",IF(AND(OR(C388="LMS",C388="Mod"),D388&lt;&gt;""),IF(IFERROR(INDEX(MaskinStatus,MATCH(D388,Maskiner,0)),"")="I dokk","","Maskinen er ikke i dokk"),""))))))</f>
        <v/>
      </c>
      <c r="L388" s="2">
        <f>IF(B388="","",IFERROR(INT((MATCH(B388,Teknikere,0)-1)/18)+1,""))</f>
        <v/>
      </c>
      <c r="M388" s="2">
        <f>IF(OR(A388="",B388=""),"",B388&amp;"|"&amp;A388)</f>
        <v/>
      </c>
      <c r="N388" s="2">
        <f>IF(M388="","",SUMIFS(TF_Timer,TF_Nokkel,M388,TF_Akt,C388))</f>
        <v/>
      </c>
      <c r="O388" s="2">
        <f>IF(M388="","",IF(AND(N388=_xlfn.MAXIFS(TF_AktSum,TF_Nokkel,M388),COUNTIFS(M$3:M387,M388,N$3:N387,N388)=0),M388,""))</f>
        <v/>
      </c>
    </row>
    <row r="389">
      <c r="A389" s="34" t="n"/>
      <c r="B389" s="35" t="n"/>
      <c r="C389" s="35" t="n"/>
      <c r="D389" s="35" t="n"/>
      <c r="E389" s="35" t="n"/>
      <c r="F389" s="36" t="n"/>
      <c r="G389" s="35" t="n"/>
      <c r="H389" s="30">
        <f>IF(L389="","",INDEX(SkiftNavn,L389))</f>
        <v/>
      </c>
      <c r="I389" s="30">
        <f>IF(OR(A389="",L389=""),"",IF(MOD(A389-INDEX(SkiftStart,L389),Syklus)&lt;DagK,"Kveld",IF(MOD(A389-INDEX(SkiftStart,L389),Syklus)&lt;DagK+DagH,"Helg",IF(MOD(A389-INDEX(SkiftStart,L389),Syklus)&lt;DagK+DagH+DagD,"Dag","Fri"))))</f>
        <v/>
      </c>
      <c r="J389" s="30">
        <f>IF(I389="Fri","Ja","")</f>
        <v/>
      </c>
      <c r="K389" s="30">
        <f>IF(B389="","",IF(L389="","Ukjent tekniker",IF(ISNA(MATCH(C389,Aktiviteter,0)),"Ukjent aktivitet",IF(AND(INDEX(AktRolle,MATCH(C389,Aktiviteter,0))&amp;""&lt;&gt;"",ISERROR(SEARCH(INDEX(AktRolle,MATCH(C389,Aktiviteter,0))&amp;"",INDEX(TekRoller,MATCH(B389,Teknikere,0))))),"Mangler rollen "&amp;INDEX(AktRolle,MATCH(C389,Aktiviteter,0))&amp;"",IF(AND(C389="LMS",F389&gt;0,OR(D389="",E389="")),"Mangler maskin eller arbeid",IF(AND(OR(C389="LMS",C389="Mod"),D389&lt;&gt;""),IF(IFERROR(INDEX(MaskinStatus,MATCH(D389,Maskiner,0)),"")="I dokk","","Maskinen er ikke i dokk"),""))))))</f>
        <v/>
      </c>
      <c r="L389" s="2">
        <f>IF(B389="","",IFERROR(INT((MATCH(B389,Teknikere,0)-1)/18)+1,""))</f>
        <v/>
      </c>
      <c r="M389" s="2">
        <f>IF(OR(A389="",B389=""),"",B389&amp;"|"&amp;A389)</f>
        <v/>
      </c>
      <c r="N389" s="2">
        <f>IF(M389="","",SUMIFS(TF_Timer,TF_Nokkel,M389,TF_Akt,C389))</f>
        <v/>
      </c>
      <c r="O389" s="2">
        <f>IF(M389="","",IF(AND(N389=_xlfn.MAXIFS(TF_AktSum,TF_Nokkel,M389),COUNTIFS(M$3:M388,M389,N$3:N388,N389)=0),M389,""))</f>
        <v/>
      </c>
    </row>
    <row r="390">
      <c r="A390" s="34" t="n"/>
      <c r="B390" s="35" t="n"/>
      <c r="C390" s="35" t="n"/>
      <c r="D390" s="35" t="n"/>
      <c r="E390" s="35" t="n"/>
      <c r="F390" s="36" t="n"/>
      <c r="G390" s="35" t="n"/>
      <c r="H390" s="30">
        <f>IF(L390="","",INDEX(SkiftNavn,L390))</f>
        <v/>
      </c>
      <c r="I390" s="30">
        <f>IF(OR(A390="",L390=""),"",IF(MOD(A390-INDEX(SkiftStart,L390),Syklus)&lt;DagK,"Kveld",IF(MOD(A390-INDEX(SkiftStart,L390),Syklus)&lt;DagK+DagH,"Helg",IF(MOD(A390-INDEX(SkiftStart,L390),Syklus)&lt;DagK+DagH+DagD,"Dag","Fri"))))</f>
        <v/>
      </c>
      <c r="J390" s="30">
        <f>IF(I390="Fri","Ja","")</f>
        <v/>
      </c>
      <c r="K390" s="30">
        <f>IF(B390="","",IF(L390="","Ukjent tekniker",IF(ISNA(MATCH(C390,Aktiviteter,0)),"Ukjent aktivitet",IF(AND(INDEX(AktRolle,MATCH(C390,Aktiviteter,0))&amp;""&lt;&gt;"",ISERROR(SEARCH(INDEX(AktRolle,MATCH(C390,Aktiviteter,0))&amp;"",INDEX(TekRoller,MATCH(B390,Teknikere,0))))),"Mangler rollen "&amp;INDEX(AktRolle,MATCH(C390,Aktiviteter,0))&amp;"",IF(AND(C390="LMS",F390&gt;0,OR(D390="",E390="")),"Mangler maskin eller arbeid",IF(AND(OR(C390="LMS",C390="Mod"),D390&lt;&gt;""),IF(IFERROR(INDEX(MaskinStatus,MATCH(D390,Maskiner,0)),"")="I dokk","","Maskinen er ikke i dokk"),""))))))</f>
        <v/>
      </c>
      <c r="L390" s="2">
        <f>IF(B390="","",IFERROR(INT((MATCH(B390,Teknikere,0)-1)/18)+1,""))</f>
        <v/>
      </c>
      <c r="M390" s="2">
        <f>IF(OR(A390="",B390=""),"",B390&amp;"|"&amp;A390)</f>
        <v/>
      </c>
      <c r="N390" s="2">
        <f>IF(M390="","",SUMIFS(TF_Timer,TF_Nokkel,M390,TF_Akt,C390))</f>
        <v/>
      </c>
      <c r="O390" s="2">
        <f>IF(M390="","",IF(AND(N390=_xlfn.MAXIFS(TF_AktSum,TF_Nokkel,M390),COUNTIFS(M$3:M389,M390,N$3:N389,N390)=0),M390,""))</f>
        <v/>
      </c>
    </row>
    <row r="391">
      <c r="A391" s="34" t="n"/>
      <c r="B391" s="35" t="n"/>
      <c r="C391" s="35" t="n"/>
      <c r="D391" s="35" t="n"/>
      <c r="E391" s="35" t="n"/>
      <c r="F391" s="36" t="n"/>
      <c r="G391" s="35" t="n"/>
      <c r="H391" s="30">
        <f>IF(L391="","",INDEX(SkiftNavn,L391))</f>
        <v/>
      </c>
      <c r="I391" s="30">
        <f>IF(OR(A391="",L391=""),"",IF(MOD(A391-INDEX(SkiftStart,L391),Syklus)&lt;DagK,"Kveld",IF(MOD(A391-INDEX(SkiftStart,L391),Syklus)&lt;DagK+DagH,"Helg",IF(MOD(A391-INDEX(SkiftStart,L391),Syklus)&lt;DagK+DagH+DagD,"Dag","Fri"))))</f>
        <v/>
      </c>
      <c r="J391" s="30">
        <f>IF(I391="Fri","Ja","")</f>
        <v/>
      </c>
      <c r="K391" s="30">
        <f>IF(B391="","",IF(L391="","Ukjent tekniker",IF(ISNA(MATCH(C391,Aktiviteter,0)),"Ukjent aktivitet",IF(AND(INDEX(AktRolle,MATCH(C391,Aktiviteter,0))&amp;""&lt;&gt;"",ISERROR(SEARCH(INDEX(AktRolle,MATCH(C391,Aktiviteter,0))&amp;"",INDEX(TekRoller,MATCH(B391,Teknikere,0))))),"Mangler rollen "&amp;INDEX(AktRolle,MATCH(C391,Aktiviteter,0))&amp;"",IF(AND(C391="LMS",F391&gt;0,OR(D391="",E391="")),"Mangler maskin eller arbeid",IF(AND(OR(C391="LMS",C391="Mod"),D391&lt;&gt;""),IF(IFERROR(INDEX(MaskinStatus,MATCH(D391,Maskiner,0)),"")="I dokk","","Maskinen er ikke i dokk"),""))))))</f>
        <v/>
      </c>
      <c r="L391" s="2">
        <f>IF(B391="","",IFERROR(INT((MATCH(B391,Teknikere,0)-1)/18)+1,""))</f>
        <v/>
      </c>
      <c r="M391" s="2">
        <f>IF(OR(A391="",B391=""),"",B391&amp;"|"&amp;A391)</f>
        <v/>
      </c>
      <c r="N391" s="2">
        <f>IF(M391="","",SUMIFS(TF_Timer,TF_Nokkel,M391,TF_Akt,C391))</f>
        <v/>
      </c>
      <c r="O391" s="2">
        <f>IF(M391="","",IF(AND(N391=_xlfn.MAXIFS(TF_AktSum,TF_Nokkel,M391),COUNTIFS(M$3:M390,M391,N$3:N390,N391)=0),M391,""))</f>
        <v/>
      </c>
    </row>
    <row r="392">
      <c r="A392" s="34" t="n"/>
      <c r="B392" s="35" t="n"/>
      <c r="C392" s="35" t="n"/>
      <c r="D392" s="35" t="n"/>
      <c r="E392" s="35" t="n"/>
      <c r="F392" s="36" t="n"/>
      <c r="G392" s="35" t="n"/>
      <c r="H392" s="30">
        <f>IF(L392="","",INDEX(SkiftNavn,L392))</f>
        <v/>
      </c>
      <c r="I392" s="30">
        <f>IF(OR(A392="",L392=""),"",IF(MOD(A392-INDEX(SkiftStart,L392),Syklus)&lt;DagK,"Kveld",IF(MOD(A392-INDEX(SkiftStart,L392),Syklus)&lt;DagK+DagH,"Helg",IF(MOD(A392-INDEX(SkiftStart,L392),Syklus)&lt;DagK+DagH+DagD,"Dag","Fri"))))</f>
        <v/>
      </c>
      <c r="J392" s="30">
        <f>IF(I392="Fri","Ja","")</f>
        <v/>
      </c>
      <c r="K392" s="30">
        <f>IF(B392="","",IF(L392="","Ukjent tekniker",IF(ISNA(MATCH(C392,Aktiviteter,0)),"Ukjent aktivitet",IF(AND(INDEX(AktRolle,MATCH(C392,Aktiviteter,0))&amp;""&lt;&gt;"",ISERROR(SEARCH(INDEX(AktRolle,MATCH(C392,Aktiviteter,0))&amp;"",INDEX(TekRoller,MATCH(B392,Teknikere,0))))),"Mangler rollen "&amp;INDEX(AktRolle,MATCH(C392,Aktiviteter,0))&amp;"",IF(AND(C392="LMS",F392&gt;0,OR(D392="",E392="")),"Mangler maskin eller arbeid",IF(AND(OR(C392="LMS",C392="Mod"),D392&lt;&gt;""),IF(IFERROR(INDEX(MaskinStatus,MATCH(D392,Maskiner,0)),"")="I dokk","","Maskinen er ikke i dokk"),""))))))</f>
        <v/>
      </c>
      <c r="L392" s="2">
        <f>IF(B392="","",IFERROR(INT((MATCH(B392,Teknikere,0)-1)/18)+1,""))</f>
        <v/>
      </c>
      <c r="M392" s="2">
        <f>IF(OR(A392="",B392=""),"",B392&amp;"|"&amp;A392)</f>
        <v/>
      </c>
      <c r="N392" s="2">
        <f>IF(M392="","",SUMIFS(TF_Timer,TF_Nokkel,M392,TF_Akt,C392))</f>
        <v/>
      </c>
      <c r="O392" s="2">
        <f>IF(M392="","",IF(AND(N392=_xlfn.MAXIFS(TF_AktSum,TF_Nokkel,M392),COUNTIFS(M$3:M391,M392,N$3:N391,N392)=0),M392,""))</f>
        <v/>
      </c>
    </row>
    <row r="393">
      <c r="A393" s="34" t="n"/>
      <c r="B393" s="35" t="n"/>
      <c r="C393" s="35" t="n"/>
      <c r="D393" s="35" t="n"/>
      <c r="E393" s="35" t="n"/>
      <c r="F393" s="36" t="n"/>
      <c r="G393" s="35" t="n"/>
      <c r="H393" s="30">
        <f>IF(L393="","",INDEX(SkiftNavn,L393))</f>
        <v/>
      </c>
      <c r="I393" s="30">
        <f>IF(OR(A393="",L393=""),"",IF(MOD(A393-INDEX(SkiftStart,L393),Syklus)&lt;DagK,"Kveld",IF(MOD(A393-INDEX(SkiftStart,L393),Syklus)&lt;DagK+DagH,"Helg",IF(MOD(A393-INDEX(SkiftStart,L393),Syklus)&lt;DagK+DagH+DagD,"Dag","Fri"))))</f>
        <v/>
      </c>
      <c r="J393" s="30">
        <f>IF(I393="Fri","Ja","")</f>
        <v/>
      </c>
      <c r="K393" s="30">
        <f>IF(B393="","",IF(L393="","Ukjent tekniker",IF(ISNA(MATCH(C393,Aktiviteter,0)),"Ukjent aktivitet",IF(AND(INDEX(AktRolle,MATCH(C393,Aktiviteter,0))&amp;""&lt;&gt;"",ISERROR(SEARCH(INDEX(AktRolle,MATCH(C393,Aktiviteter,0))&amp;"",INDEX(TekRoller,MATCH(B393,Teknikere,0))))),"Mangler rollen "&amp;INDEX(AktRolle,MATCH(C393,Aktiviteter,0))&amp;"",IF(AND(C393="LMS",F393&gt;0,OR(D393="",E393="")),"Mangler maskin eller arbeid",IF(AND(OR(C393="LMS",C393="Mod"),D393&lt;&gt;""),IF(IFERROR(INDEX(MaskinStatus,MATCH(D393,Maskiner,0)),"")="I dokk","","Maskinen er ikke i dokk"),""))))))</f>
        <v/>
      </c>
      <c r="L393" s="2">
        <f>IF(B393="","",IFERROR(INT((MATCH(B393,Teknikere,0)-1)/18)+1,""))</f>
        <v/>
      </c>
      <c r="M393" s="2">
        <f>IF(OR(A393="",B393=""),"",B393&amp;"|"&amp;A393)</f>
        <v/>
      </c>
      <c r="N393" s="2">
        <f>IF(M393="","",SUMIFS(TF_Timer,TF_Nokkel,M393,TF_Akt,C393))</f>
        <v/>
      </c>
      <c r="O393" s="2">
        <f>IF(M393="","",IF(AND(N393=_xlfn.MAXIFS(TF_AktSum,TF_Nokkel,M393),COUNTIFS(M$3:M392,M393,N$3:N392,N393)=0),M393,""))</f>
        <v/>
      </c>
    </row>
    <row r="394">
      <c r="A394" s="34" t="n"/>
      <c r="B394" s="35" t="n"/>
      <c r="C394" s="35" t="n"/>
      <c r="D394" s="35" t="n"/>
      <c r="E394" s="35" t="n"/>
      <c r="F394" s="36" t="n"/>
      <c r="G394" s="35" t="n"/>
      <c r="H394" s="30">
        <f>IF(L394="","",INDEX(SkiftNavn,L394))</f>
        <v/>
      </c>
      <c r="I394" s="30">
        <f>IF(OR(A394="",L394=""),"",IF(MOD(A394-INDEX(SkiftStart,L394),Syklus)&lt;DagK,"Kveld",IF(MOD(A394-INDEX(SkiftStart,L394),Syklus)&lt;DagK+DagH,"Helg",IF(MOD(A394-INDEX(SkiftStart,L394),Syklus)&lt;DagK+DagH+DagD,"Dag","Fri"))))</f>
        <v/>
      </c>
      <c r="J394" s="30">
        <f>IF(I394="Fri","Ja","")</f>
        <v/>
      </c>
      <c r="K394" s="30">
        <f>IF(B394="","",IF(L394="","Ukjent tekniker",IF(ISNA(MATCH(C394,Aktiviteter,0)),"Ukjent aktivitet",IF(AND(INDEX(AktRolle,MATCH(C394,Aktiviteter,0))&amp;""&lt;&gt;"",ISERROR(SEARCH(INDEX(AktRolle,MATCH(C394,Aktiviteter,0))&amp;"",INDEX(TekRoller,MATCH(B394,Teknikere,0))))),"Mangler rollen "&amp;INDEX(AktRolle,MATCH(C394,Aktiviteter,0))&amp;"",IF(AND(C394="LMS",F394&gt;0,OR(D394="",E394="")),"Mangler maskin eller arbeid",IF(AND(OR(C394="LMS",C394="Mod"),D394&lt;&gt;""),IF(IFERROR(INDEX(MaskinStatus,MATCH(D394,Maskiner,0)),"")="I dokk","","Maskinen er ikke i dokk"),""))))))</f>
        <v/>
      </c>
      <c r="L394" s="2">
        <f>IF(B394="","",IFERROR(INT((MATCH(B394,Teknikere,0)-1)/18)+1,""))</f>
        <v/>
      </c>
      <c r="M394" s="2">
        <f>IF(OR(A394="",B394=""),"",B394&amp;"|"&amp;A394)</f>
        <v/>
      </c>
      <c r="N394" s="2">
        <f>IF(M394="","",SUMIFS(TF_Timer,TF_Nokkel,M394,TF_Akt,C394))</f>
        <v/>
      </c>
      <c r="O394" s="2">
        <f>IF(M394="","",IF(AND(N394=_xlfn.MAXIFS(TF_AktSum,TF_Nokkel,M394),COUNTIFS(M$3:M393,M394,N$3:N393,N394)=0),M394,""))</f>
        <v/>
      </c>
    </row>
    <row r="395">
      <c r="A395" s="34" t="n"/>
      <c r="B395" s="35" t="n"/>
      <c r="C395" s="35" t="n"/>
      <c r="D395" s="35" t="n"/>
      <c r="E395" s="35" t="n"/>
      <c r="F395" s="36" t="n"/>
      <c r="G395" s="35" t="n"/>
      <c r="H395" s="30">
        <f>IF(L395="","",INDEX(SkiftNavn,L395))</f>
        <v/>
      </c>
      <c r="I395" s="30">
        <f>IF(OR(A395="",L395=""),"",IF(MOD(A395-INDEX(SkiftStart,L395),Syklus)&lt;DagK,"Kveld",IF(MOD(A395-INDEX(SkiftStart,L395),Syklus)&lt;DagK+DagH,"Helg",IF(MOD(A395-INDEX(SkiftStart,L395),Syklus)&lt;DagK+DagH+DagD,"Dag","Fri"))))</f>
        <v/>
      </c>
      <c r="J395" s="30">
        <f>IF(I395="Fri","Ja","")</f>
        <v/>
      </c>
      <c r="K395" s="30">
        <f>IF(B395="","",IF(L395="","Ukjent tekniker",IF(ISNA(MATCH(C395,Aktiviteter,0)),"Ukjent aktivitet",IF(AND(INDEX(AktRolle,MATCH(C395,Aktiviteter,0))&amp;""&lt;&gt;"",ISERROR(SEARCH(INDEX(AktRolle,MATCH(C395,Aktiviteter,0))&amp;"",INDEX(TekRoller,MATCH(B395,Teknikere,0))))),"Mangler rollen "&amp;INDEX(AktRolle,MATCH(C395,Aktiviteter,0))&amp;"",IF(AND(C395="LMS",F395&gt;0,OR(D395="",E395="")),"Mangler maskin eller arbeid",IF(AND(OR(C395="LMS",C395="Mod"),D395&lt;&gt;""),IF(IFERROR(INDEX(MaskinStatus,MATCH(D395,Maskiner,0)),"")="I dokk","","Maskinen er ikke i dokk"),""))))))</f>
        <v/>
      </c>
      <c r="L395" s="2">
        <f>IF(B395="","",IFERROR(INT((MATCH(B395,Teknikere,0)-1)/18)+1,""))</f>
        <v/>
      </c>
      <c r="M395" s="2">
        <f>IF(OR(A395="",B395=""),"",B395&amp;"|"&amp;A395)</f>
        <v/>
      </c>
      <c r="N395" s="2">
        <f>IF(M395="","",SUMIFS(TF_Timer,TF_Nokkel,M395,TF_Akt,C395))</f>
        <v/>
      </c>
      <c r="O395" s="2">
        <f>IF(M395="","",IF(AND(N395=_xlfn.MAXIFS(TF_AktSum,TF_Nokkel,M395),COUNTIFS(M$3:M394,M395,N$3:N394,N395)=0),M395,""))</f>
        <v/>
      </c>
    </row>
    <row r="396">
      <c r="A396" s="34" t="n"/>
      <c r="B396" s="35" t="n"/>
      <c r="C396" s="35" t="n"/>
      <c r="D396" s="35" t="n"/>
      <c r="E396" s="35" t="n"/>
      <c r="F396" s="36" t="n"/>
      <c r="G396" s="35" t="n"/>
      <c r="H396" s="30">
        <f>IF(L396="","",INDEX(SkiftNavn,L396))</f>
        <v/>
      </c>
      <c r="I396" s="30">
        <f>IF(OR(A396="",L396=""),"",IF(MOD(A396-INDEX(SkiftStart,L396),Syklus)&lt;DagK,"Kveld",IF(MOD(A396-INDEX(SkiftStart,L396),Syklus)&lt;DagK+DagH,"Helg",IF(MOD(A396-INDEX(SkiftStart,L396),Syklus)&lt;DagK+DagH+DagD,"Dag","Fri"))))</f>
        <v/>
      </c>
      <c r="J396" s="30">
        <f>IF(I396="Fri","Ja","")</f>
        <v/>
      </c>
      <c r="K396" s="30">
        <f>IF(B396="","",IF(L396="","Ukjent tekniker",IF(ISNA(MATCH(C396,Aktiviteter,0)),"Ukjent aktivitet",IF(AND(INDEX(AktRolle,MATCH(C396,Aktiviteter,0))&amp;""&lt;&gt;"",ISERROR(SEARCH(INDEX(AktRolle,MATCH(C396,Aktiviteter,0))&amp;"",INDEX(TekRoller,MATCH(B396,Teknikere,0))))),"Mangler rollen "&amp;INDEX(AktRolle,MATCH(C396,Aktiviteter,0))&amp;"",IF(AND(C396="LMS",F396&gt;0,OR(D396="",E396="")),"Mangler maskin eller arbeid",IF(AND(OR(C396="LMS",C396="Mod"),D396&lt;&gt;""),IF(IFERROR(INDEX(MaskinStatus,MATCH(D396,Maskiner,0)),"")="I dokk","","Maskinen er ikke i dokk"),""))))))</f>
        <v/>
      </c>
      <c r="L396" s="2">
        <f>IF(B396="","",IFERROR(INT((MATCH(B396,Teknikere,0)-1)/18)+1,""))</f>
        <v/>
      </c>
      <c r="M396" s="2">
        <f>IF(OR(A396="",B396=""),"",B396&amp;"|"&amp;A396)</f>
        <v/>
      </c>
      <c r="N396" s="2">
        <f>IF(M396="","",SUMIFS(TF_Timer,TF_Nokkel,M396,TF_Akt,C396))</f>
        <v/>
      </c>
      <c r="O396" s="2">
        <f>IF(M396="","",IF(AND(N396=_xlfn.MAXIFS(TF_AktSum,TF_Nokkel,M396),COUNTIFS(M$3:M395,M396,N$3:N395,N396)=0),M396,""))</f>
        <v/>
      </c>
    </row>
    <row r="397">
      <c r="A397" s="34" t="n"/>
      <c r="B397" s="35" t="n"/>
      <c r="C397" s="35" t="n"/>
      <c r="D397" s="35" t="n"/>
      <c r="E397" s="35" t="n"/>
      <c r="F397" s="36" t="n"/>
      <c r="G397" s="35" t="n"/>
      <c r="H397" s="30">
        <f>IF(L397="","",INDEX(SkiftNavn,L397))</f>
        <v/>
      </c>
      <c r="I397" s="30">
        <f>IF(OR(A397="",L397=""),"",IF(MOD(A397-INDEX(SkiftStart,L397),Syklus)&lt;DagK,"Kveld",IF(MOD(A397-INDEX(SkiftStart,L397),Syklus)&lt;DagK+DagH,"Helg",IF(MOD(A397-INDEX(SkiftStart,L397),Syklus)&lt;DagK+DagH+DagD,"Dag","Fri"))))</f>
        <v/>
      </c>
      <c r="J397" s="30">
        <f>IF(I397="Fri","Ja","")</f>
        <v/>
      </c>
      <c r="K397" s="30">
        <f>IF(B397="","",IF(L397="","Ukjent tekniker",IF(ISNA(MATCH(C397,Aktiviteter,0)),"Ukjent aktivitet",IF(AND(INDEX(AktRolle,MATCH(C397,Aktiviteter,0))&amp;""&lt;&gt;"",ISERROR(SEARCH(INDEX(AktRolle,MATCH(C397,Aktiviteter,0))&amp;"",INDEX(TekRoller,MATCH(B397,Teknikere,0))))),"Mangler rollen "&amp;INDEX(AktRolle,MATCH(C397,Aktiviteter,0))&amp;"",IF(AND(C397="LMS",F397&gt;0,OR(D397="",E397="")),"Mangler maskin eller arbeid",IF(AND(OR(C397="LMS",C397="Mod"),D397&lt;&gt;""),IF(IFERROR(INDEX(MaskinStatus,MATCH(D397,Maskiner,0)),"")="I dokk","","Maskinen er ikke i dokk"),""))))))</f>
        <v/>
      </c>
      <c r="L397" s="2">
        <f>IF(B397="","",IFERROR(INT((MATCH(B397,Teknikere,0)-1)/18)+1,""))</f>
        <v/>
      </c>
      <c r="M397" s="2">
        <f>IF(OR(A397="",B397=""),"",B397&amp;"|"&amp;A397)</f>
        <v/>
      </c>
      <c r="N397" s="2">
        <f>IF(M397="","",SUMIFS(TF_Timer,TF_Nokkel,M397,TF_Akt,C397))</f>
        <v/>
      </c>
      <c r="O397" s="2">
        <f>IF(M397="","",IF(AND(N397=_xlfn.MAXIFS(TF_AktSum,TF_Nokkel,M397),COUNTIFS(M$3:M396,M397,N$3:N396,N397)=0),M397,""))</f>
        <v/>
      </c>
    </row>
    <row r="398">
      <c r="A398" s="34" t="n"/>
      <c r="B398" s="35" t="n"/>
      <c r="C398" s="35" t="n"/>
      <c r="D398" s="35" t="n"/>
      <c r="E398" s="35" t="n"/>
      <c r="F398" s="36" t="n"/>
      <c r="G398" s="35" t="n"/>
      <c r="H398" s="30">
        <f>IF(L398="","",INDEX(SkiftNavn,L398))</f>
        <v/>
      </c>
      <c r="I398" s="30">
        <f>IF(OR(A398="",L398=""),"",IF(MOD(A398-INDEX(SkiftStart,L398),Syklus)&lt;DagK,"Kveld",IF(MOD(A398-INDEX(SkiftStart,L398),Syklus)&lt;DagK+DagH,"Helg",IF(MOD(A398-INDEX(SkiftStart,L398),Syklus)&lt;DagK+DagH+DagD,"Dag","Fri"))))</f>
        <v/>
      </c>
      <c r="J398" s="30">
        <f>IF(I398="Fri","Ja","")</f>
        <v/>
      </c>
      <c r="K398" s="30">
        <f>IF(B398="","",IF(L398="","Ukjent tekniker",IF(ISNA(MATCH(C398,Aktiviteter,0)),"Ukjent aktivitet",IF(AND(INDEX(AktRolle,MATCH(C398,Aktiviteter,0))&amp;""&lt;&gt;"",ISERROR(SEARCH(INDEX(AktRolle,MATCH(C398,Aktiviteter,0))&amp;"",INDEX(TekRoller,MATCH(B398,Teknikere,0))))),"Mangler rollen "&amp;INDEX(AktRolle,MATCH(C398,Aktiviteter,0))&amp;"",IF(AND(C398="LMS",F398&gt;0,OR(D398="",E398="")),"Mangler maskin eller arbeid",IF(AND(OR(C398="LMS",C398="Mod"),D398&lt;&gt;""),IF(IFERROR(INDEX(MaskinStatus,MATCH(D398,Maskiner,0)),"")="I dokk","","Maskinen er ikke i dokk"),""))))))</f>
        <v/>
      </c>
      <c r="L398" s="2">
        <f>IF(B398="","",IFERROR(INT((MATCH(B398,Teknikere,0)-1)/18)+1,""))</f>
        <v/>
      </c>
      <c r="M398" s="2">
        <f>IF(OR(A398="",B398=""),"",B398&amp;"|"&amp;A398)</f>
        <v/>
      </c>
      <c r="N398" s="2">
        <f>IF(M398="","",SUMIFS(TF_Timer,TF_Nokkel,M398,TF_Akt,C398))</f>
        <v/>
      </c>
      <c r="O398" s="2">
        <f>IF(M398="","",IF(AND(N398=_xlfn.MAXIFS(TF_AktSum,TF_Nokkel,M398),COUNTIFS(M$3:M397,M398,N$3:N397,N398)=0),M398,""))</f>
        <v/>
      </c>
    </row>
    <row r="399">
      <c r="A399" s="34" t="n"/>
      <c r="B399" s="35" t="n"/>
      <c r="C399" s="35" t="n"/>
      <c r="D399" s="35" t="n"/>
      <c r="E399" s="35" t="n"/>
      <c r="F399" s="36" t="n"/>
      <c r="G399" s="35" t="n"/>
      <c r="H399" s="30">
        <f>IF(L399="","",INDEX(SkiftNavn,L399))</f>
        <v/>
      </c>
      <c r="I399" s="30">
        <f>IF(OR(A399="",L399=""),"",IF(MOD(A399-INDEX(SkiftStart,L399),Syklus)&lt;DagK,"Kveld",IF(MOD(A399-INDEX(SkiftStart,L399),Syklus)&lt;DagK+DagH,"Helg",IF(MOD(A399-INDEX(SkiftStart,L399),Syklus)&lt;DagK+DagH+DagD,"Dag","Fri"))))</f>
        <v/>
      </c>
      <c r="J399" s="30">
        <f>IF(I399="Fri","Ja","")</f>
        <v/>
      </c>
      <c r="K399" s="30">
        <f>IF(B399="","",IF(L399="","Ukjent tekniker",IF(ISNA(MATCH(C399,Aktiviteter,0)),"Ukjent aktivitet",IF(AND(INDEX(AktRolle,MATCH(C399,Aktiviteter,0))&amp;""&lt;&gt;"",ISERROR(SEARCH(INDEX(AktRolle,MATCH(C399,Aktiviteter,0))&amp;"",INDEX(TekRoller,MATCH(B399,Teknikere,0))))),"Mangler rollen "&amp;INDEX(AktRolle,MATCH(C399,Aktiviteter,0))&amp;"",IF(AND(C399="LMS",F399&gt;0,OR(D399="",E399="")),"Mangler maskin eller arbeid",IF(AND(OR(C399="LMS",C399="Mod"),D399&lt;&gt;""),IF(IFERROR(INDEX(MaskinStatus,MATCH(D399,Maskiner,0)),"")="I dokk","","Maskinen er ikke i dokk"),""))))))</f>
        <v/>
      </c>
      <c r="L399" s="2">
        <f>IF(B399="","",IFERROR(INT((MATCH(B399,Teknikere,0)-1)/18)+1,""))</f>
        <v/>
      </c>
      <c r="M399" s="2">
        <f>IF(OR(A399="",B399=""),"",B399&amp;"|"&amp;A399)</f>
        <v/>
      </c>
      <c r="N399" s="2">
        <f>IF(M399="","",SUMIFS(TF_Timer,TF_Nokkel,M399,TF_Akt,C399))</f>
        <v/>
      </c>
      <c r="O399" s="2">
        <f>IF(M399="","",IF(AND(N399=_xlfn.MAXIFS(TF_AktSum,TF_Nokkel,M399),COUNTIFS(M$3:M398,M399,N$3:N398,N399)=0),M399,""))</f>
        <v/>
      </c>
    </row>
    <row r="400">
      <c r="A400" s="34" t="n"/>
      <c r="B400" s="35" t="n"/>
      <c r="C400" s="35" t="n"/>
      <c r="D400" s="35" t="n"/>
      <c r="E400" s="35" t="n"/>
      <c r="F400" s="36" t="n"/>
      <c r="G400" s="35" t="n"/>
      <c r="H400" s="30">
        <f>IF(L400="","",INDEX(SkiftNavn,L400))</f>
        <v/>
      </c>
      <c r="I400" s="30">
        <f>IF(OR(A400="",L400=""),"",IF(MOD(A400-INDEX(SkiftStart,L400),Syklus)&lt;DagK,"Kveld",IF(MOD(A400-INDEX(SkiftStart,L400),Syklus)&lt;DagK+DagH,"Helg",IF(MOD(A400-INDEX(SkiftStart,L400),Syklus)&lt;DagK+DagH+DagD,"Dag","Fri"))))</f>
        <v/>
      </c>
      <c r="J400" s="30">
        <f>IF(I400="Fri","Ja","")</f>
        <v/>
      </c>
      <c r="K400" s="30">
        <f>IF(B400="","",IF(L400="","Ukjent tekniker",IF(ISNA(MATCH(C400,Aktiviteter,0)),"Ukjent aktivitet",IF(AND(INDEX(AktRolle,MATCH(C400,Aktiviteter,0))&amp;""&lt;&gt;"",ISERROR(SEARCH(INDEX(AktRolle,MATCH(C400,Aktiviteter,0))&amp;"",INDEX(TekRoller,MATCH(B400,Teknikere,0))))),"Mangler rollen "&amp;INDEX(AktRolle,MATCH(C400,Aktiviteter,0))&amp;"",IF(AND(C400="LMS",F400&gt;0,OR(D400="",E400="")),"Mangler maskin eller arbeid",IF(AND(OR(C400="LMS",C400="Mod"),D400&lt;&gt;""),IF(IFERROR(INDEX(MaskinStatus,MATCH(D400,Maskiner,0)),"")="I dokk","","Maskinen er ikke i dokk"),""))))))</f>
        <v/>
      </c>
      <c r="L400" s="2">
        <f>IF(B400="","",IFERROR(INT((MATCH(B400,Teknikere,0)-1)/18)+1,""))</f>
        <v/>
      </c>
      <c r="M400" s="2">
        <f>IF(OR(A400="",B400=""),"",B400&amp;"|"&amp;A400)</f>
        <v/>
      </c>
      <c r="N400" s="2">
        <f>IF(M400="","",SUMIFS(TF_Timer,TF_Nokkel,M400,TF_Akt,C400))</f>
        <v/>
      </c>
      <c r="O400" s="2">
        <f>IF(M400="","",IF(AND(N400=_xlfn.MAXIFS(TF_AktSum,TF_Nokkel,M400),COUNTIFS(M$3:M399,M400,N$3:N399,N400)=0),M400,""))</f>
        <v/>
      </c>
    </row>
    <row r="401">
      <c r="A401" s="34" t="n"/>
      <c r="B401" s="35" t="n"/>
      <c r="C401" s="35" t="n"/>
      <c r="D401" s="35" t="n"/>
      <c r="E401" s="35" t="n"/>
      <c r="F401" s="36" t="n"/>
      <c r="G401" s="35" t="n"/>
      <c r="H401" s="30">
        <f>IF(L401="","",INDEX(SkiftNavn,L401))</f>
        <v/>
      </c>
      <c r="I401" s="30">
        <f>IF(OR(A401="",L401=""),"",IF(MOD(A401-INDEX(SkiftStart,L401),Syklus)&lt;DagK,"Kveld",IF(MOD(A401-INDEX(SkiftStart,L401),Syklus)&lt;DagK+DagH,"Helg",IF(MOD(A401-INDEX(SkiftStart,L401),Syklus)&lt;DagK+DagH+DagD,"Dag","Fri"))))</f>
        <v/>
      </c>
      <c r="J401" s="30">
        <f>IF(I401="Fri","Ja","")</f>
        <v/>
      </c>
      <c r="K401" s="30">
        <f>IF(B401="","",IF(L401="","Ukjent tekniker",IF(ISNA(MATCH(C401,Aktiviteter,0)),"Ukjent aktivitet",IF(AND(INDEX(AktRolle,MATCH(C401,Aktiviteter,0))&amp;""&lt;&gt;"",ISERROR(SEARCH(INDEX(AktRolle,MATCH(C401,Aktiviteter,0))&amp;"",INDEX(TekRoller,MATCH(B401,Teknikere,0))))),"Mangler rollen "&amp;INDEX(AktRolle,MATCH(C401,Aktiviteter,0))&amp;"",IF(AND(C401="LMS",F401&gt;0,OR(D401="",E401="")),"Mangler maskin eller arbeid",IF(AND(OR(C401="LMS",C401="Mod"),D401&lt;&gt;""),IF(IFERROR(INDEX(MaskinStatus,MATCH(D401,Maskiner,0)),"")="I dokk","","Maskinen er ikke i dokk"),""))))))</f>
        <v/>
      </c>
      <c r="L401" s="2">
        <f>IF(B401="","",IFERROR(INT((MATCH(B401,Teknikere,0)-1)/18)+1,""))</f>
        <v/>
      </c>
      <c r="M401" s="2">
        <f>IF(OR(A401="",B401=""),"",B401&amp;"|"&amp;A401)</f>
        <v/>
      </c>
      <c r="N401" s="2">
        <f>IF(M401="","",SUMIFS(TF_Timer,TF_Nokkel,M401,TF_Akt,C401))</f>
        <v/>
      </c>
      <c r="O401" s="2">
        <f>IF(M401="","",IF(AND(N401=_xlfn.MAXIFS(TF_AktSum,TF_Nokkel,M401),COUNTIFS(M$3:M400,M401,N$3:N400,N401)=0),M401,""))</f>
        <v/>
      </c>
    </row>
    <row r="402">
      <c r="A402" s="34" t="n"/>
      <c r="B402" s="35" t="n"/>
      <c r="C402" s="35" t="n"/>
      <c r="D402" s="35" t="n"/>
      <c r="E402" s="35" t="n"/>
      <c r="F402" s="36" t="n"/>
      <c r="G402" s="35" t="n"/>
      <c r="H402" s="30">
        <f>IF(L402="","",INDEX(SkiftNavn,L402))</f>
        <v/>
      </c>
      <c r="I402" s="30">
        <f>IF(OR(A402="",L402=""),"",IF(MOD(A402-INDEX(SkiftStart,L402),Syklus)&lt;DagK,"Kveld",IF(MOD(A402-INDEX(SkiftStart,L402),Syklus)&lt;DagK+DagH,"Helg",IF(MOD(A402-INDEX(SkiftStart,L402),Syklus)&lt;DagK+DagH+DagD,"Dag","Fri"))))</f>
        <v/>
      </c>
      <c r="J402" s="30">
        <f>IF(I402="Fri","Ja","")</f>
        <v/>
      </c>
      <c r="K402" s="30">
        <f>IF(B402="","",IF(L402="","Ukjent tekniker",IF(ISNA(MATCH(C402,Aktiviteter,0)),"Ukjent aktivitet",IF(AND(INDEX(AktRolle,MATCH(C402,Aktiviteter,0))&amp;""&lt;&gt;"",ISERROR(SEARCH(INDEX(AktRolle,MATCH(C402,Aktiviteter,0))&amp;"",INDEX(TekRoller,MATCH(B402,Teknikere,0))))),"Mangler rollen "&amp;INDEX(AktRolle,MATCH(C402,Aktiviteter,0))&amp;"",IF(AND(C402="LMS",F402&gt;0,OR(D402="",E402="")),"Mangler maskin eller arbeid",IF(AND(OR(C402="LMS",C402="Mod"),D402&lt;&gt;""),IF(IFERROR(INDEX(MaskinStatus,MATCH(D402,Maskiner,0)),"")="I dokk","","Maskinen er ikke i dokk"),""))))))</f>
        <v/>
      </c>
      <c r="L402" s="2">
        <f>IF(B402="","",IFERROR(INT((MATCH(B402,Teknikere,0)-1)/18)+1,""))</f>
        <v/>
      </c>
      <c r="M402" s="2">
        <f>IF(OR(A402="",B402=""),"",B402&amp;"|"&amp;A402)</f>
        <v/>
      </c>
      <c r="N402" s="2">
        <f>IF(M402="","",SUMIFS(TF_Timer,TF_Nokkel,M402,TF_Akt,C402))</f>
        <v/>
      </c>
      <c r="O402" s="2">
        <f>IF(M402="","",IF(AND(N402=_xlfn.MAXIFS(TF_AktSum,TF_Nokkel,M402),COUNTIFS(M$3:M401,M402,N$3:N401,N402)=0),M402,""))</f>
        <v/>
      </c>
    </row>
    <row r="403">
      <c r="A403" s="34" t="n"/>
      <c r="B403" s="35" t="n"/>
      <c r="C403" s="35" t="n"/>
      <c r="D403" s="35" t="n"/>
      <c r="E403" s="35" t="n"/>
      <c r="F403" s="36" t="n"/>
      <c r="G403" s="35" t="n"/>
      <c r="H403" s="30">
        <f>IF(L403="","",INDEX(SkiftNavn,L403))</f>
        <v/>
      </c>
      <c r="I403" s="30">
        <f>IF(OR(A403="",L403=""),"",IF(MOD(A403-INDEX(SkiftStart,L403),Syklus)&lt;DagK,"Kveld",IF(MOD(A403-INDEX(SkiftStart,L403),Syklus)&lt;DagK+DagH,"Helg",IF(MOD(A403-INDEX(SkiftStart,L403),Syklus)&lt;DagK+DagH+DagD,"Dag","Fri"))))</f>
        <v/>
      </c>
      <c r="J403" s="30">
        <f>IF(I403="Fri","Ja","")</f>
        <v/>
      </c>
      <c r="K403" s="30">
        <f>IF(B403="","",IF(L403="","Ukjent tekniker",IF(ISNA(MATCH(C403,Aktiviteter,0)),"Ukjent aktivitet",IF(AND(INDEX(AktRolle,MATCH(C403,Aktiviteter,0))&amp;""&lt;&gt;"",ISERROR(SEARCH(INDEX(AktRolle,MATCH(C403,Aktiviteter,0))&amp;"",INDEX(TekRoller,MATCH(B403,Teknikere,0))))),"Mangler rollen "&amp;INDEX(AktRolle,MATCH(C403,Aktiviteter,0))&amp;"",IF(AND(C403="LMS",F403&gt;0,OR(D403="",E403="")),"Mangler maskin eller arbeid",IF(AND(OR(C403="LMS",C403="Mod"),D403&lt;&gt;""),IF(IFERROR(INDEX(MaskinStatus,MATCH(D403,Maskiner,0)),"")="I dokk","","Maskinen er ikke i dokk"),""))))))</f>
        <v/>
      </c>
      <c r="L403" s="2">
        <f>IF(B403="","",IFERROR(INT((MATCH(B403,Teknikere,0)-1)/18)+1,""))</f>
        <v/>
      </c>
      <c r="M403" s="2">
        <f>IF(OR(A403="",B403=""),"",B403&amp;"|"&amp;A403)</f>
        <v/>
      </c>
      <c r="N403" s="2">
        <f>IF(M403="","",SUMIFS(TF_Timer,TF_Nokkel,M403,TF_Akt,C403))</f>
        <v/>
      </c>
      <c r="O403" s="2">
        <f>IF(M403="","",IF(AND(N403=_xlfn.MAXIFS(TF_AktSum,TF_Nokkel,M403),COUNTIFS(M$3:M402,M403,N$3:N402,N403)=0),M403,""))</f>
        <v/>
      </c>
    </row>
    <row r="404">
      <c r="A404" s="34" t="n"/>
      <c r="B404" s="35" t="n"/>
      <c r="C404" s="35" t="n"/>
      <c r="D404" s="35" t="n"/>
      <c r="E404" s="35" t="n"/>
      <c r="F404" s="36" t="n"/>
      <c r="G404" s="35" t="n"/>
      <c r="H404" s="30">
        <f>IF(L404="","",INDEX(SkiftNavn,L404))</f>
        <v/>
      </c>
      <c r="I404" s="30">
        <f>IF(OR(A404="",L404=""),"",IF(MOD(A404-INDEX(SkiftStart,L404),Syklus)&lt;DagK,"Kveld",IF(MOD(A404-INDEX(SkiftStart,L404),Syklus)&lt;DagK+DagH,"Helg",IF(MOD(A404-INDEX(SkiftStart,L404),Syklus)&lt;DagK+DagH+DagD,"Dag","Fri"))))</f>
        <v/>
      </c>
      <c r="J404" s="30">
        <f>IF(I404="Fri","Ja","")</f>
        <v/>
      </c>
      <c r="K404" s="30">
        <f>IF(B404="","",IF(L404="","Ukjent tekniker",IF(ISNA(MATCH(C404,Aktiviteter,0)),"Ukjent aktivitet",IF(AND(INDEX(AktRolle,MATCH(C404,Aktiviteter,0))&amp;""&lt;&gt;"",ISERROR(SEARCH(INDEX(AktRolle,MATCH(C404,Aktiviteter,0))&amp;"",INDEX(TekRoller,MATCH(B404,Teknikere,0))))),"Mangler rollen "&amp;INDEX(AktRolle,MATCH(C404,Aktiviteter,0))&amp;"",IF(AND(C404="LMS",F404&gt;0,OR(D404="",E404="")),"Mangler maskin eller arbeid",IF(AND(OR(C404="LMS",C404="Mod"),D404&lt;&gt;""),IF(IFERROR(INDEX(MaskinStatus,MATCH(D404,Maskiner,0)),"")="I dokk","","Maskinen er ikke i dokk"),""))))))</f>
        <v/>
      </c>
      <c r="L404" s="2">
        <f>IF(B404="","",IFERROR(INT((MATCH(B404,Teknikere,0)-1)/18)+1,""))</f>
        <v/>
      </c>
      <c r="M404" s="2">
        <f>IF(OR(A404="",B404=""),"",B404&amp;"|"&amp;A404)</f>
        <v/>
      </c>
      <c r="N404" s="2">
        <f>IF(M404="","",SUMIFS(TF_Timer,TF_Nokkel,M404,TF_Akt,C404))</f>
        <v/>
      </c>
      <c r="O404" s="2">
        <f>IF(M404="","",IF(AND(N404=_xlfn.MAXIFS(TF_AktSum,TF_Nokkel,M404),COUNTIFS(M$3:M403,M404,N$3:N403,N404)=0),M404,""))</f>
        <v/>
      </c>
    </row>
    <row r="405">
      <c r="A405" s="34" t="n"/>
      <c r="B405" s="35" t="n"/>
      <c r="C405" s="35" t="n"/>
      <c r="D405" s="35" t="n"/>
      <c r="E405" s="35" t="n"/>
      <c r="F405" s="36" t="n"/>
      <c r="G405" s="35" t="n"/>
      <c r="H405" s="30">
        <f>IF(L405="","",INDEX(SkiftNavn,L405))</f>
        <v/>
      </c>
      <c r="I405" s="30">
        <f>IF(OR(A405="",L405=""),"",IF(MOD(A405-INDEX(SkiftStart,L405),Syklus)&lt;DagK,"Kveld",IF(MOD(A405-INDEX(SkiftStart,L405),Syklus)&lt;DagK+DagH,"Helg",IF(MOD(A405-INDEX(SkiftStart,L405),Syklus)&lt;DagK+DagH+DagD,"Dag","Fri"))))</f>
        <v/>
      </c>
      <c r="J405" s="30">
        <f>IF(I405="Fri","Ja","")</f>
        <v/>
      </c>
      <c r="K405" s="30">
        <f>IF(B405="","",IF(L405="","Ukjent tekniker",IF(ISNA(MATCH(C405,Aktiviteter,0)),"Ukjent aktivitet",IF(AND(INDEX(AktRolle,MATCH(C405,Aktiviteter,0))&amp;""&lt;&gt;"",ISERROR(SEARCH(INDEX(AktRolle,MATCH(C405,Aktiviteter,0))&amp;"",INDEX(TekRoller,MATCH(B405,Teknikere,0))))),"Mangler rollen "&amp;INDEX(AktRolle,MATCH(C405,Aktiviteter,0))&amp;"",IF(AND(C405="LMS",F405&gt;0,OR(D405="",E405="")),"Mangler maskin eller arbeid",IF(AND(OR(C405="LMS",C405="Mod"),D405&lt;&gt;""),IF(IFERROR(INDEX(MaskinStatus,MATCH(D405,Maskiner,0)),"")="I dokk","","Maskinen er ikke i dokk"),""))))))</f>
        <v/>
      </c>
      <c r="L405" s="2">
        <f>IF(B405="","",IFERROR(INT((MATCH(B405,Teknikere,0)-1)/18)+1,""))</f>
        <v/>
      </c>
      <c r="M405" s="2">
        <f>IF(OR(A405="",B405=""),"",B405&amp;"|"&amp;A405)</f>
        <v/>
      </c>
      <c r="N405" s="2">
        <f>IF(M405="","",SUMIFS(TF_Timer,TF_Nokkel,M405,TF_Akt,C405))</f>
        <v/>
      </c>
      <c r="O405" s="2">
        <f>IF(M405="","",IF(AND(N405=_xlfn.MAXIFS(TF_AktSum,TF_Nokkel,M405),COUNTIFS(M$3:M404,M405,N$3:N404,N405)=0),M405,""))</f>
        <v/>
      </c>
    </row>
    <row r="406">
      <c r="A406" s="34" t="n"/>
      <c r="B406" s="35" t="n"/>
      <c r="C406" s="35" t="n"/>
      <c r="D406" s="35" t="n"/>
      <c r="E406" s="35" t="n"/>
      <c r="F406" s="36" t="n"/>
      <c r="G406" s="35" t="n"/>
      <c r="H406" s="30">
        <f>IF(L406="","",INDEX(SkiftNavn,L406))</f>
        <v/>
      </c>
      <c r="I406" s="30">
        <f>IF(OR(A406="",L406=""),"",IF(MOD(A406-INDEX(SkiftStart,L406),Syklus)&lt;DagK,"Kveld",IF(MOD(A406-INDEX(SkiftStart,L406),Syklus)&lt;DagK+DagH,"Helg",IF(MOD(A406-INDEX(SkiftStart,L406),Syklus)&lt;DagK+DagH+DagD,"Dag","Fri"))))</f>
        <v/>
      </c>
      <c r="J406" s="30">
        <f>IF(I406="Fri","Ja","")</f>
        <v/>
      </c>
      <c r="K406" s="30">
        <f>IF(B406="","",IF(L406="","Ukjent tekniker",IF(ISNA(MATCH(C406,Aktiviteter,0)),"Ukjent aktivitet",IF(AND(INDEX(AktRolle,MATCH(C406,Aktiviteter,0))&amp;""&lt;&gt;"",ISERROR(SEARCH(INDEX(AktRolle,MATCH(C406,Aktiviteter,0))&amp;"",INDEX(TekRoller,MATCH(B406,Teknikere,0))))),"Mangler rollen "&amp;INDEX(AktRolle,MATCH(C406,Aktiviteter,0))&amp;"",IF(AND(C406="LMS",F406&gt;0,OR(D406="",E406="")),"Mangler maskin eller arbeid",IF(AND(OR(C406="LMS",C406="Mod"),D406&lt;&gt;""),IF(IFERROR(INDEX(MaskinStatus,MATCH(D406,Maskiner,0)),"")="I dokk","","Maskinen er ikke i dokk"),""))))))</f>
        <v/>
      </c>
      <c r="L406" s="2">
        <f>IF(B406="","",IFERROR(INT((MATCH(B406,Teknikere,0)-1)/18)+1,""))</f>
        <v/>
      </c>
      <c r="M406" s="2">
        <f>IF(OR(A406="",B406=""),"",B406&amp;"|"&amp;A406)</f>
        <v/>
      </c>
      <c r="N406" s="2">
        <f>IF(M406="","",SUMIFS(TF_Timer,TF_Nokkel,M406,TF_Akt,C406))</f>
        <v/>
      </c>
      <c r="O406" s="2">
        <f>IF(M406="","",IF(AND(N406=_xlfn.MAXIFS(TF_AktSum,TF_Nokkel,M406),COUNTIFS(M$3:M405,M406,N$3:N405,N406)=0),M406,""))</f>
        <v/>
      </c>
    </row>
    <row r="407">
      <c r="A407" s="34" t="n"/>
      <c r="B407" s="35" t="n"/>
      <c r="C407" s="35" t="n"/>
      <c r="D407" s="35" t="n"/>
      <c r="E407" s="35" t="n"/>
      <c r="F407" s="36" t="n"/>
      <c r="G407" s="35" t="n"/>
      <c r="H407" s="30">
        <f>IF(L407="","",INDEX(SkiftNavn,L407))</f>
        <v/>
      </c>
      <c r="I407" s="30">
        <f>IF(OR(A407="",L407=""),"",IF(MOD(A407-INDEX(SkiftStart,L407),Syklus)&lt;DagK,"Kveld",IF(MOD(A407-INDEX(SkiftStart,L407),Syklus)&lt;DagK+DagH,"Helg",IF(MOD(A407-INDEX(SkiftStart,L407),Syklus)&lt;DagK+DagH+DagD,"Dag","Fri"))))</f>
        <v/>
      </c>
      <c r="J407" s="30">
        <f>IF(I407="Fri","Ja","")</f>
        <v/>
      </c>
      <c r="K407" s="30">
        <f>IF(B407="","",IF(L407="","Ukjent tekniker",IF(ISNA(MATCH(C407,Aktiviteter,0)),"Ukjent aktivitet",IF(AND(INDEX(AktRolle,MATCH(C407,Aktiviteter,0))&amp;""&lt;&gt;"",ISERROR(SEARCH(INDEX(AktRolle,MATCH(C407,Aktiviteter,0))&amp;"",INDEX(TekRoller,MATCH(B407,Teknikere,0))))),"Mangler rollen "&amp;INDEX(AktRolle,MATCH(C407,Aktiviteter,0))&amp;"",IF(AND(C407="LMS",F407&gt;0,OR(D407="",E407="")),"Mangler maskin eller arbeid",IF(AND(OR(C407="LMS",C407="Mod"),D407&lt;&gt;""),IF(IFERROR(INDEX(MaskinStatus,MATCH(D407,Maskiner,0)),"")="I dokk","","Maskinen er ikke i dokk"),""))))))</f>
        <v/>
      </c>
      <c r="L407" s="2">
        <f>IF(B407="","",IFERROR(INT((MATCH(B407,Teknikere,0)-1)/18)+1,""))</f>
        <v/>
      </c>
      <c r="M407" s="2">
        <f>IF(OR(A407="",B407=""),"",B407&amp;"|"&amp;A407)</f>
        <v/>
      </c>
      <c r="N407" s="2">
        <f>IF(M407="","",SUMIFS(TF_Timer,TF_Nokkel,M407,TF_Akt,C407))</f>
        <v/>
      </c>
      <c r="O407" s="2">
        <f>IF(M407="","",IF(AND(N407=_xlfn.MAXIFS(TF_AktSum,TF_Nokkel,M407),COUNTIFS(M$3:M406,M407,N$3:N406,N407)=0),M407,""))</f>
        <v/>
      </c>
    </row>
    <row r="408">
      <c r="A408" s="34" t="n"/>
      <c r="B408" s="35" t="n"/>
      <c r="C408" s="35" t="n"/>
      <c r="D408" s="35" t="n"/>
      <c r="E408" s="35" t="n"/>
      <c r="F408" s="36" t="n"/>
      <c r="G408" s="35" t="n"/>
      <c r="H408" s="30">
        <f>IF(L408="","",INDEX(SkiftNavn,L408))</f>
        <v/>
      </c>
      <c r="I408" s="30">
        <f>IF(OR(A408="",L408=""),"",IF(MOD(A408-INDEX(SkiftStart,L408),Syklus)&lt;DagK,"Kveld",IF(MOD(A408-INDEX(SkiftStart,L408),Syklus)&lt;DagK+DagH,"Helg",IF(MOD(A408-INDEX(SkiftStart,L408),Syklus)&lt;DagK+DagH+DagD,"Dag","Fri"))))</f>
        <v/>
      </c>
      <c r="J408" s="30">
        <f>IF(I408="Fri","Ja","")</f>
        <v/>
      </c>
      <c r="K408" s="30">
        <f>IF(B408="","",IF(L408="","Ukjent tekniker",IF(ISNA(MATCH(C408,Aktiviteter,0)),"Ukjent aktivitet",IF(AND(INDEX(AktRolle,MATCH(C408,Aktiviteter,0))&amp;""&lt;&gt;"",ISERROR(SEARCH(INDEX(AktRolle,MATCH(C408,Aktiviteter,0))&amp;"",INDEX(TekRoller,MATCH(B408,Teknikere,0))))),"Mangler rollen "&amp;INDEX(AktRolle,MATCH(C408,Aktiviteter,0))&amp;"",IF(AND(C408="LMS",F408&gt;0,OR(D408="",E408="")),"Mangler maskin eller arbeid",IF(AND(OR(C408="LMS",C408="Mod"),D408&lt;&gt;""),IF(IFERROR(INDEX(MaskinStatus,MATCH(D408,Maskiner,0)),"")="I dokk","","Maskinen er ikke i dokk"),""))))))</f>
        <v/>
      </c>
      <c r="L408" s="2">
        <f>IF(B408="","",IFERROR(INT((MATCH(B408,Teknikere,0)-1)/18)+1,""))</f>
        <v/>
      </c>
      <c r="M408" s="2">
        <f>IF(OR(A408="",B408=""),"",B408&amp;"|"&amp;A408)</f>
        <v/>
      </c>
      <c r="N408" s="2">
        <f>IF(M408="","",SUMIFS(TF_Timer,TF_Nokkel,M408,TF_Akt,C408))</f>
        <v/>
      </c>
      <c r="O408" s="2">
        <f>IF(M408="","",IF(AND(N408=_xlfn.MAXIFS(TF_AktSum,TF_Nokkel,M408),COUNTIFS(M$3:M407,M408,N$3:N407,N408)=0),M408,""))</f>
        <v/>
      </c>
    </row>
    <row r="409">
      <c r="A409" s="34" t="n"/>
      <c r="B409" s="35" t="n"/>
      <c r="C409" s="35" t="n"/>
      <c r="D409" s="35" t="n"/>
      <c r="E409" s="35" t="n"/>
      <c r="F409" s="36" t="n"/>
      <c r="G409" s="35" t="n"/>
      <c r="H409" s="30">
        <f>IF(L409="","",INDEX(SkiftNavn,L409))</f>
        <v/>
      </c>
      <c r="I409" s="30">
        <f>IF(OR(A409="",L409=""),"",IF(MOD(A409-INDEX(SkiftStart,L409),Syklus)&lt;DagK,"Kveld",IF(MOD(A409-INDEX(SkiftStart,L409),Syklus)&lt;DagK+DagH,"Helg",IF(MOD(A409-INDEX(SkiftStart,L409),Syklus)&lt;DagK+DagH+DagD,"Dag","Fri"))))</f>
        <v/>
      </c>
      <c r="J409" s="30">
        <f>IF(I409="Fri","Ja","")</f>
        <v/>
      </c>
      <c r="K409" s="30">
        <f>IF(B409="","",IF(L409="","Ukjent tekniker",IF(ISNA(MATCH(C409,Aktiviteter,0)),"Ukjent aktivitet",IF(AND(INDEX(AktRolle,MATCH(C409,Aktiviteter,0))&amp;""&lt;&gt;"",ISERROR(SEARCH(INDEX(AktRolle,MATCH(C409,Aktiviteter,0))&amp;"",INDEX(TekRoller,MATCH(B409,Teknikere,0))))),"Mangler rollen "&amp;INDEX(AktRolle,MATCH(C409,Aktiviteter,0))&amp;"",IF(AND(C409="LMS",F409&gt;0,OR(D409="",E409="")),"Mangler maskin eller arbeid",IF(AND(OR(C409="LMS",C409="Mod"),D409&lt;&gt;""),IF(IFERROR(INDEX(MaskinStatus,MATCH(D409,Maskiner,0)),"")="I dokk","","Maskinen er ikke i dokk"),""))))))</f>
        <v/>
      </c>
      <c r="L409" s="2">
        <f>IF(B409="","",IFERROR(INT((MATCH(B409,Teknikere,0)-1)/18)+1,""))</f>
        <v/>
      </c>
      <c r="M409" s="2">
        <f>IF(OR(A409="",B409=""),"",B409&amp;"|"&amp;A409)</f>
        <v/>
      </c>
      <c r="N409" s="2">
        <f>IF(M409="","",SUMIFS(TF_Timer,TF_Nokkel,M409,TF_Akt,C409))</f>
        <v/>
      </c>
      <c r="O409" s="2">
        <f>IF(M409="","",IF(AND(N409=_xlfn.MAXIFS(TF_AktSum,TF_Nokkel,M409),COUNTIFS(M$3:M408,M409,N$3:N408,N409)=0),M409,""))</f>
        <v/>
      </c>
    </row>
    <row r="410">
      <c r="A410" s="34" t="n"/>
      <c r="B410" s="35" t="n"/>
      <c r="C410" s="35" t="n"/>
      <c r="D410" s="35" t="n"/>
      <c r="E410" s="35" t="n"/>
      <c r="F410" s="36" t="n"/>
      <c r="G410" s="35" t="n"/>
      <c r="H410" s="30">
        <f>IF(L410="","",INDEX(SkiftNavn,L410))</f>
        <v/>
      </c>
      <c r="I410" s="30">
        <f>IF(OR(A410="",L410=""),"",IF(MOD(A410-INDEX(SkiftStart,L410),Syklus)&lt;DagK,"Kveld",IF(MOD(A410-INDEX(SkiftStart,L410),Syklus)&lt;DagK+DagH,"Helg",IF(MOD(A410-INDEX(SkiftStart,L410),Syklus)&lt;DagK+DagH+DagD,"Dag","Fri"))))</f>
        <v/>
      </c>
      <c r="J410" s="30">
        <f>IF(I410="Fri","Ja","")</f>
        <v/>
      </c>
      <c r="K410" s="30">
        <f>IF(B410="","",IF(L410="","Ukjent tekniker",IF(ISNA(MATCH(C410,Aktiviteter,0)),"Ukjent aktivitet",IF(AND(INDEX(AktRolle,MATCH(C410,Aktiviteter,0))&amp;""&lt;&gt;"",ISERROR(SEARCH(INDEX(AktRolle,MATCH(C410,Aktiviteter,0))&amp;"",INDEX(TekRoller,MATCH(B410,Teknikere,0))))),"Mangler rollen "&amp;INDEX(AktRolle,MATCH(C410,Aktiviteter,0))&amp;"",IF(AND(C410="LMS",F410&gt;0,OR(D410="",E410="")),"Mangler maskin eller arbeid",IF(AND(OR(C410="LMS",C410="Mod"),D410&lt;&gt;""),IF(IFERROR(INDEX(MaskinStatus,MATCH(D410,Maskiner,0)),"")="I dokk","","Maskinen er ikke i dokk"),""))))))</f>
        <v/>
      </c>
      <c r="L410" s="2">
        <f>IF(B410="","",IFERROR(INT((MATCH(B410,Teknikere,0)-1)/18)+1,""))</f>
        <v/>
      </c>
      <c r="M410" s="2">
        <f>IF(OR(A410="",B410=""),"",B410&amp;"|"&amp;A410)</f>
        <v/>
      </c>
      <c r="N410" s="2">
        <f>IF(M410="","",SUMIFS(TF_Timer,TF_Nokkel,M410,TF_Akt,C410))</f>
        <v/>
      </c>
      <c r="O410" s="2">
        <f>IF(M410="","",IF(AND(N410=_xlfn.MAXIFS(TF_AktSum,TF_Nokkel,M410),COUNTIFS(M$3:M409,M410,N$3:N409,N410)=0),M410,""))</f>
        <v/>
      </c>
    </row>
    <row r="411">
      <c r="A411" s="34" t="n"/>
      <c r="B411" s="35" t="n"/>
      <c r="C411" s="35" t="n"/>
      <c r="D411" s="35" t="n"/>
      <c r="E411" s="35" t="n"/>
      <c r="F411" s="36" t="n"/>
      <c r="G411" s="35" t="n"/>
      <c r="H411" s="30">
        <f>IF(L411="","",INDEX(SkiftNavn,L411))</f>
        <v/>
      </c>
      <c r="I411" s="30">
        <f>IF(OR(A411="",L411=""),"",IF(MOD(A411-INDEX(SkiftStart,L411),Syklus)&lt;DagK,"Kveld",IF(MOD(A411-INDEX(SkiftStart,L411),Syklus)&lt;DagK+DagH,"Helg",IF(MOD(A411-INDEX(SkiftStart,L411),Syklus)&lt;DagK+DagH+DagD,"Dag","Fri"))))</f>
        <v/>
      </c>
      <c r="J411" s="30">
        <f>IF(I411="Fri","Ja","")</f>
        <v/>
      </c>
      <c r="K411" s="30">
        <f>IF(B411="","",IF(L411="","Ukjent tekniker",IF(ISNA(MATCH(C411,Aktiviteter,0)),"Ukjent aktivitet",IF(AND(INDEX(AktRolle,MATCH(C411,Aktiviteter,0))&amp;""&lt;&gt;"",ISERROR(SEARCH(INDEX(AktRolle,MATCH(C411,Aktiviteter,0))&amp;"",INDEX(TekRoller,MATCH(B411,Teknikere,0))))),"Mangler rollen "&amp;INDEX(AktRolle,MATCH(C411,Aktiviteter,0))&amp;"",IF(AND(C411="LMS",F411&gt;0,OR(D411="",E411="")),"Mangler maskin eller arbeid",IF(AND(OR(C411="LMS",C411="Mod"),D411&lt;&gt;""),IF(IFERROR(INDEX(MaskinStatus,MATCH(D411,Maskiner,0)),"")="I dokk","","Maskinen er ikke i dokk"),""))))))</f>
        <v/>
      </c>
      <c r="L411" s="2">
        <f>IF(B411="","",IFERROR(INT((MATCH(B411,Teknikere,0)-1)/18)+1,""))</f>
        <v/>
      </c>
      <c r="M411" s="2">
        <f>IF(OR(A411="",B411=""),"",B411&amp;"|"&amp;A411)</f>
        <v/>
      </c>
      <c r="N411" s="2">
        <f>IF(M411="","",SUMIFS(TF_Timer,TF_Nokkel,M411,TF_Akt,C411))</f>
        <v/>
      </c>
      <c r="O411" s="2">
        <f>IF(M411="","",IF(AND(N411=_xlfn.MAXIFS(TF_AktSum,TF_Nokkel,M411),COUNTIFS(M$3:M410,M411,N$3:N410,N411)=0),M411,""))</f>
        <v/>
      </c>
    </row>
    <row r="412">
      <c r="A412" s="34" t="n"/>
      <c r="B412" s="35" t="n"/>
      <c r="C412" s="35" t="n"/>
      <c r="D412" s="35" t="n"/>
      <c r="E412" s="35" t="n"/>
      <c r="F412" s="36" t="n"/>
      <c r="G412" s="35" t="n"/>
      <c r="H412" s="30">
        <f>IF(L412="","",INDEX(SkiftNavn,L412))</f>
        <v/>
      </c>
      <c r="I412" s="30">
        <f>IF(OR(A412="",L412=""),"",IF(MOD(A412-INDEX(SkiftStart,L412),Syklus)&lt;DagK,"Kveld",IF(MOD(A412-INDEX(SkiftStart,L412),Syklus)&lt;DagK+DagH,"Helg",IF(MOD(A412-INDEX(SkiftStart,L412),Syklus)&lt;DagK+DagH+DagD,"Dag","Fri"))))</f>
        <v/>
      </c>
      <c r="J412" s="30">
        <f>IF(I412="Fri","Ja","")</f>
        <v/>
      </c>
      <c r="K412" s="30">
        <f>IF(B412="","",IF(L412="","Ukjent tekniker",IF(ISNA(MATCH(C412,Aktiviteter,0)),"Ukjent aktivitet",IF(AND(INDEX(AktRolle,MATCH(C412,Aktiviteter,0))&amp;""&lt;&gt;"",ISERROR(SEARCH(INDEX(AktRolle,MATCH(C412,Aktiviteter,0))&amp;"",INDEX(TekRoller,MATCH(B412,Teknikere,0))))),"Mangler rollen "&amp;INDEX(AktRolle,MATCH(C412,Aktiviteter,0))&amp;"",IF(AND(C412="LMS",F412&gt;0,OR(D412="",E412="")),"Mangler maskin eller arbeid",IF(AND(OR(C412="LMS",C412="Mod"),D412&lt;&gt;""),IF(IFERROR(INDEX(MaskinStatus,MATCH(D412,Maskiner,0)),"")="I dokk","","Maskinen er ikke i dokk"),""))))))</f>
        <v/>
      </c>
      <c r="L412" s="2">
        <f>IF(B412="","",IFERROR(INT((MATCH(B412,Teknikere,0)-1)/18)+1,""))</f>
        <v/>
      </c>
      <c r="M412" s="2">
        <f>IF(OR(A412="",B412=""),"",B412&amp;"|"&amp;A412)</f>
        <v/>
      </c>
      <c r="N412" s="2">
        <f>IF(M412="","",SUMIFS(TF_Timer,TF_Nokkel,M412,TF_Akt,C412))</f>
        <v/>
      </c>
      <c r="O412" s="2">
        <f>IF(M412="","",IF(AND(N412=_xlfn.MAXIFS(TF_AktSum,TF_Nokkel,M412),COUNTIFS(M$3:M411,M412,N$3:N411,N412)=0),M412,""))</f>
        <v/>
      </c>
    </row>
    <row r="413">
      <c r="A413" s="34" t="n"/>
      <c r="B413" s="35" t="n"/>
      <c r="C413" s="35" t="n"/>
      <c r="D413" s="35" t="n"/>
      <c r="E413" s="35" t="n"/>
      <c r="F413" s="36" t="n"/>
      <c r="G413" s="35" t="n"/>
      <c r="H413" s="30">
        <f>IF(L413="","",INDEX(SkiftNavn,L413))</f>
        <v/>
      </c>
      <c r="I413" s="30">
        <f>IF(OR(A413="",L413=""),"",IF(MOD(A413-INDEX(SkiftStart,L413),Syklus)&lt;DagK,"Kveld",IF(MOD(A413-INDEX(SkiftStart,L413),Syklus)&lt;DagK+DagH,"Helg",IF(MOD(A413-INDEX(SkiftStart,L413),Syklus)&lt;DagK+DagH+DagD,"Dag","Fri"))))</f>
        <v/>
      </c>
      <c r="J413" s="30">
        <f>IF(I413="Fri","Ja","")</f>
        <v/>
      </c>
      <c r="K413" s="30">
        <f>IF(B413="","",IF(L413="","Ukjent tekniker",IF(ISNA(MATCH(C413,Aktiviteter,0)),"Ukjent aktivitet",IF(AND(INDEX(AktRolle,MATCH(C413,Aktiviteter,0))&amp;""&lt;&gt;"",ISERROR(SEARCH(INDEX(AktRolle,MATCH(C413,Aktiviteter,0))&amp;"",INDEX(TekRoller,MATCH(B413,Teknikere,0))))),"Mangler rollen "&amp;INDEX(AktRolle,MATCH(C413,Aktiviteter,0))&amp;"",IF(AND(C413="LMS",F413&gt;0,OR(D413="",E413="")),"Mangler maskin eller arbeid",IF(AND(OR(C413="LMS",C413="Mod"),D413&lt;&gt;""),IF(IFERROR(INDEX(MaskinStatus,MATCH(D413,Maskiner,0)),"")="I dokk","","Maskinen er ikke i dokk"),""))))))</f>
        <v/>
      </c>
      <c r="L413" s="2">
        <f>IF(B413="","",IFERROR(INT((MATCH(B413,Teknikere,0)-1)/18)+1,""))</f>
        <v/>
      </c>
      <c r="M413" s="2">
        <f>IF(OR(A413="",B413=""),"",B413&amp;"|"&amp;A413)</f>
        <v/>
      </c>
      <c r="N413" s="2">
        <f>IF(M413="","",SUMIFS(TF_Timer,TF_Nokkel,M413,TF_Akt,C413))</f>
        <v/>
      </c>
      <c r="O413" s="2">
        <f>IF(M413="","",IF(AND(N413=_xlfn.MAXIFS(TF_AktSum,TF_Nokkel,M413),COUNTIFS(M$3:M412,M413,N$3:N412,N413)=0),M413,""))</f>
        <v/>
      </c>
    </row>
    <row r="414">
      <c r="A414" s="34" t="n"/>
      <c r="B414" s="35" t="n"/>
      <c r="C414" s="35" t="n"/>
      <c r="D414" s="35" t="n"/>
      <c r="E414" s="35" t="n"/>
      <c r="F414" s="36" t="n"/>
      <c r="G414" s="35" t="n"/>
      <c r="H414" s="30">
        <f>IF(L414="","",INDEX(SkiftNavn,L414))</f>
        <v/>
      </c>
      <c r="I414" s="30">
        <f>IF(OR(A414="",L414=""),"",IF(MOD(A414-INDEX(SkiftStart,L414),Syklus)&lt;DagK,"Kveld",IF(MOD(A414-INDEX(SkiftStart,L414),Syklus)&lt;DagK+DagH,"Helg",IF(MOD(A414-INDEX(SkiftStart,L414),Syklus)&lt;DagK+DagH+DagD,"Dag","Fri"))))</f>
        <v/>
      </c>
      <c r="J414" s="30">
        <f>IF(I414="Fri","Ja","")</f>
        <v/>
      </c>
      <c r="K414" s="30">
        <f>IF(B414="","",IF(L414="","Ukjent tekniker",IF(ISNA(MATCH(C414,Aktiviteter,0)),"Ukjent aktivitet",IF(AND(INDEX(AktRolle,MATCH(C414,Aktiviteter,0))&amp;""&lt;&gt;"",ISERROR(SEARCH(INDEX(AktRolle,MATCH(C414,Aktiviteter,0))&amp;"",INDEX(TekRoller,MATCH(B414,Teknikere,0))))),"Mangler rollen "&amp;INDEX(AktRolle,MATCH(C414,Aktiviteter,0))&amp;"",IF(AND(C414="LMS",F414&gt;0,OR(D414="",E414="")),"Mangler maskin eller arbeid",IF(AND(OR(C414="LMS",C414="Mod"),D414&lt;&gt;""),IF(IFERROR(INDEX(MaskinStatus,MATCH(D414,Maskiner,0)),"")="I dokk","","Maskinen er ikke i dokk"),""))))))</f>
        <v/>
      </c>
      <c r="L414" s="2">
        <f>IF(B414="","",IFERROR(INT((MATCH(B414,Teknikere,0)-1)/18)+1,""))</f>
        <v/>
      </c>
      <c r="M414" s="2">
        <f>IF(OR(A414="",B414=""),"",B414&amp;"|"&amp;A414)</f>
        <v/>
      </c>
      <c r="N414" s="2">
        <f>IF(M414="","",SUMIFS(TF_Timer,TF_Nokkel,M414,TF_Akt,C414))</f>
        <v/>
      </c>
      <c r="O414" s="2">
        <f>IF(M414="","",IF(AND(N414=_xlfn.MAXIFS(TF_AktSum,TF_Nokkel,M414),COUNTIFS(M$3:M413,M414,N$3:N413,N414)=0),M414,""))</f>
        <v/>
      </c>
    </row>
    <row r="415">
      <c r="A415" s="34" t="n"/>
      <c r="B415" s="35" t="n"/>
      <c r="C415" s="35" t="n"/>
      <c r="D415" s="35" t="n"/>
      <c r="E415" s="35" t="n"/>
      <c r="F415" s="36" t="n"/>
      <c r="G415" s="35" t="n"/>
      <c r="H415" s="30">
        <f>IF(L415="","",INDEX(SkiftNavn,L415))</f>
        <v/>
      </c>
      <c r="I415" s="30">
        <f>IF(OR(A415="",L415=""),"",IF(MOD(A415-INDEX(SkiftStart,L415),Syklus)&lt;DagK,"Kveld",IF(MOD(A415-INDEX(SkiftStart,L415),Syklus)&lt;DagK+DagH,"Helg",IF(MOD(A415-INDEX(SkiftStart,L415),Syklus)&lt;DagK+DagH+DagD,"Dag","Fri"))))</f>
        <v/>
      </c>
      <c r="J415" s="30">
        <f>IF(I415="Fri","Ja","")</f>
        <v/>
      </c>
      <c r="K415" s="30">
        <f>IF(B415="","",IF(L415="","Ukjent tekniker",IF(ISNA(MATCH(C415,Aktiviteter,0)),"Ukjent aktivitet",IF(AND(INDEX(AktRolle,MATCH(C415,Aktiviteter,0))&amp;""&lt;&gt;"",ISERROR(SEARCH(INDEX(AktRolle,MATCH(C415,Aktiviteter,0))&amp;"",INDEX(TekRoller,MATCH(B415,Teknikere,0))))),"Mangler rollen "&amp;INDEX(AktRolle,MATCH(C415,Aktiviteter,0))&amp;"",IF(AND(C415="LMS",F415&gt;0,OR(D415="",E415="")),"Mangler maskin eller arbeid",IF(AND(OR(C415="LMS",C415="Mod"),D415&lt;&gt;""),IF(IFERROR(INDEX(MaskinStatus,MATCH(D415,Maskiner,0)),"")="I dokk","","Maskinen er ikke i dokk"),""))))))</f>
        <v/>
      </c>
      <c r="L415" s="2">
        <f>IF(B415="","",IFERROR(INT((MATCH(B415,Teknikere,0)-1)/18)+1,""))</f>
        <v/>
      </c>
      <c r="M415" s="2">
        <f>IF(OR(A415="",B415=""),"",B415&amp;"|"&amp;A415)</f>
        <v/>
      </c>
      <c r="N415" s="2">
        <f>IF(M415="","",SUMIFS(TF_Timer,TF_Nokkel,M415,TF_Akt,C415))</f>
        <v/>
      </c>
      <c r="O415" s="2">
        <f>IF(M415="","",IF(AND(N415=_xlfn.MAXIFS(TF_AktSum,TF_Nokkel,M415),COUNTIFS(M$3:M414,M415,N$3:N414,N415)=0),M415,""))</f>
        <v/>
      </c>
    </row>
    <row r="416">
      <c r="A416" s="34" t="n"/>
      <c r="B416" s="35" t="n"/>
      <c r="C416" s="35" t="n"/>
      <c r="D416" s="35" t="n"/>
      <c r="E416" s="35" t="n"/>
      <c r="F416" s="36" t="n"/>
      <c r="G416" s="35" t="n"/>
      <c r="H416" s="30">
        <f>IF(L416="","",INDEX(SkiftNavn,L416))</f>
        <v/>
      </c>
      <c r="I416" s="30">
        <f>IF(OR(A416="",L416=""),"",IF(MOD(A416-INDEX(SkiftStart,L416),Syklus)&lt;DagK,"Kveld",IF(MOD(A416-INDEX(SkiftStart,L416),Syklus)&lt;DagK+DagH,"Helg",IF(MOD(A416-INDEX(SkiftStart,L416),Syklus)&lt;DagK+DagH+DagD,"Dag","Fri"))))</f>
        <v/>
      </c>
      <c r="J416" s="30">
        <f>IF(I416="Fri","Ja","")</f>
        <v/>
      </c>
      <c r="K416" s="30">
        <f>IF(B416="","",IF(L416="","Ukjent tekniker",IF(ISNA(MATCH(C416,Aktiviteter,0)),"Ukjent aktivitet",IF(AND(INDEX(AktRolle,MATCH(C416,Aktiviteter,0))&amp;""&lt;&gt;"",ISERROR(SEARCH(INDEX(AktRolle,MATCH(C416,Aktiviteter,0))&amp;"",INDEX(TekRoller,MATCH(B416,Teknikere,0))))),"Mangler rollen "&amp;INDEX(AktRolle,MATCH(C416,Aktiviteter,0))&amp;"",IF(AND(C416="LMS",F416&gt;0,OR(D416="",E416="")),"Mangler maskin eller arbeid",IF(AND(OR(C416="LMS",C416="Mod"),D416&lt;&gt;""),IF(IFERROR(INDEX(MaskinStatus,MATCH(D416,Maskiner,0)),"")="I dokk","","Maskinen er ikke i dokk"),""))))))</f>
        <v/>
      </c>
      <c r="L416" s="2">
        <f>IF(B416="","",IFERROR(INT((MATCH(B416,Teknikere,0)-1)/18)+1,""))</f>
        <v/>
      </c>
      <c r="M416" s="2">
        <f>IF(OR(A416="",B416=""),"",B416&amp;"|"&amp;A416)</f>
        <v/>
      </c>
      <c r="N416" s="2">
        <f>IF(M416="","",SUMIFS(TF_Timer,TF_Nokkel,M416,TF_Akt,C416))</f>
        <v/>
      </c>
      <c r="O416" s="2">
        <f>IF(M416="","",IF(AND(N416=_xlfn.MAXIFS(TF_AktSum,TF_Nokkel,M416),COUNTIFS(M$3:M415,M416,N$3:N415,N416)=0),M416,""))</f>
        <v/>
      </c>
    </row>
    <row r="417">
      <c r="A417" s="34" t="n"/>
      <c r="B417" s="35" t="n"/>
      <c r="C417" s="35" t="n"/>
      <c r="D417" s="35" t="n"/>
      <c r="E417" s="35" t="n"/>
      <c r="F417" s="36" t="n"/>
      <c r="G417" s="35" t="n"/>
      <c r="H417" s="30">
        <f>IF(L417="","",INDEX(SkiftNavn,L417))</f>
        <v/>
      </c>
      <c r="I417" s="30">
        <f>IF(OR(A417="",L417=""),"",IF(MOD(A417-INDEX(SkiftStart,L417),Syklus)&lt;DagK,"Kveld",IF(MOD(A417-INDEX(SkiftStart,L417),Syklus)&lt;DagK+DagH,"Helg",IF(MOD(A417-INDEX(SkiftStart,L417),Syklus)&lt;DagK+DagH+DagD,"Dag","Fri"))))</f>
        <v/>
      </c>
      <c r="J417" s="30">
        <f>IF(I417="Fri","Ja","")</f>
        <v/>
      </c>
      <c r="K417" s="30">
        <f>IF(B417="","",IF(L417="","Ukjent tekniker",IF(ISNA(MATCH(C417,Aktiviteter,0)),"Ukjent aktivitet",IF(AND(INDEX(AktRolle,MATCH(C417,Aktiviteter,0))&amp;""&lt;&gt;"",ISERROR(SEARCH(INDEX(AktRolle,MATCH(C417,Aktiviteter,0))&amp;"",INDEX(TekRoller,MATCH(B417,Teknikere,0))))),"Mangler rollen "&amp;INDEX(AktRolle,MATCH(C417,Aktiviteter,0))&amp;"",IF(AND(C417="LMS",F417&gt;0,OR(D417="",E417="")),"Mangler maskin eller arbeid",IF(AND(OR(C417="LMS",C417="Mod"),D417&lt;&gt;""),IF(IFERROR(INDEX(MaskinStatus,MATCH(D417,Maskiner,0)),"")="I dokk","","Maskinen er ikke i dokk"),""))))))</f>
        <v/>
      </c>
      <c r="L417" s="2">
        <f>IF(B417="","",IFERROR(INT((MATCH(B417,Teknikere,0)-1)/18)+1,""))</f>
        <v/>
      </c>
      <c r="M417" s="2">
        <f>IF(OR(A417="",B417=""),"",B417&amp;"|"&amp;A417)</f>
        <v/>
      </c>
      <c r="N417" s="2">
        <f>IF(M417="","",SUMIFS(TF_Timer,TF_Nokkel,M417,TF_Akt,C417))</f>
        <v/>
      </c>
      <c r="O417" s="2">
        <f>IF(M417="","",IF(AND(N417=_xlfn.MAXIFS(TF_AktSum,TF_Nokkel,M417),COUNTIFS(M$3:M416,M417,N$3:N416,N417)=0),M417,""))</f>
        <v/>
      </c>
    </row>
    <row r="418">
      <c r="A418" s="34" t="n"/>
      <c r="B418" s="35" t="n"/>
      <c r="C418" s="35" t="n"/>
      <c r="D418" s="35" t="n"/>
      <c r="E418" s="35" t="n"/>
      <c r="F418" s="36" t="n"/>
      <c r="G418" s="35" t="n"/>
      <c r="H418" s="30">
        <f>IF(L418="","",INDEX(SkiftNavn,L418))</f>
        <v/>
      </c>
      <c r="I418" s="30">
        <f>IF(OR(A418="",L418=""),"",IF(MOD(A418-INDEX(SkiftStart,L418),Syklus)&lt;DagK,"Kveld",IF(MOD(A418-INDEX(SkiftStart,L418),Syklus)&lt;DagK+DagH,"Helg",IF(MOD(A418-INDEX(SkiftStart,L418),Syklus)&lt;DagK+DagH+DagD,"Dag","Fri"))))</f>
        <v/>
      </c>
      <c r="J418" s="30">
        <f>IF(I418="Fri","Ja","")</f>
        <v/>
      </c>
      <c r="K418" s="30">
        <f>IF(B418="","",IF(L418="","Ukjent tekniker",IF(ISNA(MATCH(C418,Aktiviteter,0)),"Ukjent aktivitet",IF(AND(INDEX(AktRolle,MATCH(C418,Aktiviteter,0))&amp;""&lt;&gt;"",ISERROR(SEARCH(INDEX(AktRolle,MATCH(C418,Aktiviteter,0))&amp;"",INDEX(TekRoller,MATCH(B418,Teknikere,0))))),"Mangler rollen "&amp;INDEX(AktRolle,MATCH(C418,Aktiviteter,0))&amp;"",IF(AND(C418="LMS",F418&gt;0,OR(D418="",E418="")),"Mangler maskin eller arbeid",IF(AND(OR(C418="LMS",C418="Mod"),D418&lt;&gt;""),IF(IFERROR(INDEX(MaskinStatus,MATCH(D418,Maskiner,0)),"")="I dokk","","Maskinen er ikke i dokk"),""))))))</f>
        <v/>
      </c>
      <c r="L418" s="2">
        <f>IF(B418="","",IFERROR(INT((MATCH(B418,Teknikere,0)-1)/18)+1,""))</f>
        <v/>
      </c>
      <c r="M418" s="2">
        <f>IF(OR(A418="",B418=""),"",B418&amp;"|"&amp;A418)</f>
        <v/>
      </c>
      <c r="N418" s="2">
        <f>IF(M418="","",SUMIFS(TF_Timer,TF_Nokkel,M418,TF_Akt,C418))</f>
        <v/>
      </c>
      <c r="O418" s="2">
        <f>IF(M418="","",IF(AND(N418=_xlfn.MAXIFS(TF_AktSum,TF_Nokkel,M418),COUNTIFS(M$3:M417,M418,N$3:N417,N418)=0),M418,""))</f>
        <v/>
      </c>
    </row>
    <row r="419">
      <c r="A419" s="34" t="n"/>
      <c r="B419" s="35" t="n"/>
      <c r="C419" s="35" t="n"/>
      <c r="D419" s="35" t="n"/>
      <c r="E419" s="35" t="n"/>
      <c r="F419" s="36" t="n"/>
      <c r="G419" s="35" t="n"/>
      <c r="H419" s="30">
        <f>IF(L419="","",INDEX(SkiftNavn,L419))</f>
        <v/>
      </c>
      <c r="I419" s="30">
        <f>IF(OR(A419="",L419=""),"",IF(MOD(A419-INDEX(SkiftStart,L419),Syklus)&lt;DagK,"Kveld",IF(MOD(A419-INDEX(SkiftStart,L419),Syklus)&lt;DagK+DagH,"Helg",IF(MOD(A419-INDEX(SkiftStart,L419),Syklus)&lt;DagK+DagH+DagD,"Dag","Fri"))))</f>
        <v/>
      </c>
      <c r="J419" s="30">
        <f>IF(I419="Fri","Ja","")</f>
        <v/>
      </c>
      <c r="K419" s="30">
        <f>IF(B419="","",IF(L419="","Ukjent tekniker",IF(ISNA(MATCH(C419,Aktiviteter,0)),"Ukjent aktivitet",IF(AND(INDEX(AktRolle,MATCH(C419,Aktiviteter,0))&amp;""&lt;&gt;"",ISERROR(SEARCH(INDEX(AktRolle,MATCH(C419,Aktiviteter,0))&amp;"",INDEX(TekRoller,MATCH(B419,Teknikere,0))))),"Mangler rollen "&amp;INDEX(AktRolle,MATCH(C419,Aktiviteter,0))&amp;"",IF(AND(C419="LMS",F419&gt;0,OR(D419="",E419="")),"Mangler maskin eller arbeid",IF(AND(OR(C419="LMS",C419="Mod"),D419&lt;&gt;""),IF(IFERROR(INDEX(MaskinStatus,MATCH(D419,Maskiner,0)),"")="I dokk","","Maskinen er ikke i dokk"),""))))))</f>
        <v/>
      </c>
      <c r="L419" s="2">
        <f>IF(B419="","",IFERROR(INT((MATCH(B419,Teknikere,0)-1)/18)+1,""))</f>
        <v/>
      </c>
      <c r="M419" s="2">
        <f>IF(OR(A419="",B419=""),"",B419&amp;"|"&amp;A419)</f>
        <v/>
      </c>
      <c r="N419" s="2">
        <f>IF(M419="","",SUMIFS(TF_Timer,TF_Nokkel,M419,TF_Akt,C419))</f>
        <v/>
      </c>
      <c r="O419" s="2">
        <f>IF(M419="","",IF(AND(N419=_xlfn.MAXIFS(TF_AktSum,TF_Nokkel,M419),COUNTIFS(M$3:M418,M419,N$3:N418,N419)=0),M419,""))</f>
        <v/>
      </c>
    </row>
    <row r="420">
      <c r="A420" s="34" t="n"/>
      <c r="B420" s="35" t="n"/>
      <c r="C420" s="35" t="n"/>
      <c r="D420" s="35" t="n"/>
      <c r="E420" s="35" t="n"/>
      <c r="F420" s="36" t="n"/>
      <c r="G420" s="35" t="n"/>
      <c r="H420" s="30">
        <f>IF(L420="","",INDEX(SkiftNavn,L420))</f>
        <v/>
      </c>
      <c r="I420" s="30">
        <f>IF(OR(A420="",L420=""),"",IF(MOD(A420-INDEX(SkiftStart,L420),Syklus)&lt;DagK,"Kveld",IF(MOD(A420-INDEX(SkiftStart,L420),Syklus)&lt;DagK+DagH,"Helg",IF(MOD(A420-INDEX(SkiftStart,L420),Syklus)&lt;DagK+DagH+DagD,"Dag","Fri"))))</f>
        <v/>
      </c>
      <c r="J420" s="30">
        <f>IF(I420="Fri","Ja","")</f>
        <v/>
      </c>
      <c r="K420" s="30">
        <f>IF(B420="","",IF(L420="","Ukjent tekniker",IF(ISNA(MATCH(C420,Aktiviteter,0)),"Ukjent aktivitet",IF(AND(INDEX(AktRolle,MATCH(C420,Aktiviteter,0))&amp;""&lt;&gt;"",ISERROR(SEARCH(INDEX(AktRolle,MATCH(C420,Aktiviteter,0))&amp;"",INDEX(TekRoller,MATCH(B420,Teknikere,0))))),"Mangler rollen "&amp;INDEX(AktRolle,MATCH(C420,Aktiviteter,0))&amp;"",IF(AND(C420="LMS",F420&gt;0,OR(D420="",E420="")),"Mangler maskin eller arbeid",IF(AND(OR(C420="LMS",C420="Mod"),D420&lt;&gt;""),IF(IFERROR(INDEX(MaskinStatus,MATCH(D420,Maskiner,0)),"")="I dokk","","Maskinen er ikke i dokk"),""))))))</f>
        <v/>
      </c>
      <c r="L420" s="2">
        <f>IF(B420="","",IFERROR(INT((MATCH(B420,Teknikere,0)-1)/18)+1,""))</f>
        <v/>
      </c>
      <c r="M420" s="2">
        <f>IF(OR(A420="",B420=""),"",B420&amp;"|"&amp;A420)</f>
        <v/>
      </c>
      <c r="N420" s="2">
        <f>IF(M420="","",SUMIFS(TF_Timer,TF_Nokkel,M420,TF_Akt,C420))</f>
        <v/>
      </c>
      <c r="O420" s="2">
        <f>IF(M420="","",IF(AND(N420=_xlfn.MAXIFS(TF_AktSum,TF_Nokkel,M420),COUNTIFS(M$3:M419,M420,N$3:N419,N420)=0),M420,""))</f>
        <v/>
      </c>
    </row>
    <row r="421">
      <c r="A421" s="34" t="n"/>
      <c r="B421" s="35" t="n"/>
      <c r="C421" s="35" t="n"/>
      <c r="D421" s="35" t="n"/>
      <c r="E421" s="35" t="n"/>
      <c r="F421" s="36" t="n"/>
      <c r="G421" s="35" t="n"/>
      <c r="H421" s="30">
        <f>IF(L421="","",INDEX(SkiftNavn,L421))</f>
        <v/>
      </c>
      <c r="I421" s="30">
        <f>IF(OR(A421="",L421=""),"",IF(MOD(A421-INDEX(SkiftStart,L421),Syklus)&lt;DagK,"Kveld",IF(MOD(A421-INDEX(SkiftStart,L421),Syklus)&lt;DagK+DagH,"Helg",IF(MOD(A421-INDEX(SkiftStart,L421),Syklus)&lt;DagK+DagH+DagD,"Dag","Fri"))))</f>
        <v/>
      </c>
      <c r="J421" s="30">
        <f>IF(I421="Fri","Ja","")</f>
        <v/>
      </c>
      <c r="K421" s="30">
        <f>IF(B421="","",IF(L421="","Ukjent tekniker",IF(ISNA(MATCH(C421,Aktiviteter,0)),"Ukjent aktivitet",IF(AND(INDEX(AktRolle,MATCH(C421,Aktiviteter,0))&amp;""&lt;&gt;"",ISERROR(SEARCH(INDEX(AktRolle,MATCH(C421,Aktiviteter,0))&amp;"",INDEX(TekRoller,MATCH(B421,Teknikere,0))))),"Mangler rollen "&amp;INDEX(AktRolle,MATCH(C421,Aktiviteter,0))&amp;"",IF(AND(C421="LMS",F421&gt;0,OR(D421="",E421="")),"Mangler maskin eller arbeid",IF(AND(OR(C421="LMS",C421="Mod"),D421&lt;&gt;""),IF(IFERROR(INDEX(MaskinStatus,MATCH(D421,Maskiner,0)),"")="I dokk","","Maskinen er ikke i dokk"),""))))))</f>
        <v/>
      </c>
      <c r="L421" s="2">
        <f>IF(B421="","",IFERROR(INT((MATCH(B421,Teknikere,0)-1)/18)+1,""))</f>
        <v/>
      </c>
      <c r="M421" s="2">
        <f>IF(OR(A421="",B421=""),"",B421&amp;"|"&amp;A421)</f>
        <v/>
      </c>
      <c r="N421" s="2">
        <f>IF(M421="","",SUMIFS(TF_Timer,TF_Nokkel,M421,TF_Akt,C421))</f>
        <v/>
      </c>
      <c r="O421" s="2">
        <f>IF(M421="","",IF(AND(N421=_xlfn.MAXIFS(TF_AktSum,TF_Nokkel,M421),COUNTIFS(M$3:M420,M421,N$3:N420,N421)=0),M421,""))</f>
        <v/>
      </c>
    </row>
    <row r="422">
      <c r="A422" s="34" t="n"/>
      <c r="B422" s="35" t="n"/>
      <c r="C422" s="35" t="n"/>
      <c r="D422" s="35" t="n"/>
      <c r="E422" s="35" t="n"/>
      <c r="F422" s="36" t="n"/>
      <c r="G422" s="35" t="n"/>
      <c r="H422" s="30">
        <f>IF(L422="","",INDEX(SkiftNavn,L422))</f>
        <v/>
      </c>
      <c r="I422" s="30">
        <f>IF(OR(A422="",L422=""),"",IF(MOD(A422-INDEX(SkiftStart,L422),Syklus)&lt;DagK,"Kveld",IF(MOD(A422-INDEX(SkiftStart,L422),Syklus)&lt;DagK+DagH,"Helg",IF(MOD(A422-INDEX(SkiftStart,L422),Syklus)&lt;DagK+DagH+DagD,"Dag","Fri"))))</f>
        <v/>
      </c>
      <c r="J422" s="30">
        <f>IF(I422="Fri","Ja","")</f>
        <v/>
      </c>
      <c r="K422" s="30">
        <f>IF(B422="","",IF(L422="","Ukjent tekniker",IF(ISNA(MATCH(C422,Aktiviteter,0)),"Ukjent aktivitet",IF(AND(INDEX(AktRolle,MATCH(C422,Aktiviteter,0))&amp;""&lt;&gt;"",ISERROR(SEARCH(INDEX(AktRolle,MATCH(C422,Aktiviteter,0))&amp;"",INDEX(TekRoller,MATCH(B422,Teknikere,0))))),"Mangler rollen "&amp;INDEX(AktRolle,MATCH(C422,Aktiviteter,0))&amp;"",IF(AND(C422="LMS",F422&gt;0,OR(D422="",E422="")),"Mangler maskin eller arbeid",IF(AND(OR(C422="LMS",C422="Mod"),D422&lt;&gt;""),IF(IFERROR(INDEX(MaskinStatus,MATCH(D422,Maskiner,0)),"")="I dokk","","Maskinen er ikke i dokk"),""))))))</f>
        <v/>
      </c>
      <c r="L422" s="2">
        <f>IF(B422="","",IFERROR(INT((MATCH(B422,Teknikere,0)-1)/18)+1,""))</f>
        <v/>
      </c>
      <c r="M422" s="2">
        <f>IF(OR(A422="",B422=""),"",B422&amp;"|"&amp;A422)</f>
        <v/>
      </c>
      <c r="N422" s="2">
        <f>IF(M422="","",SUMIFS(TF_Timer,TF_Nokkel,M422,TF_Akt,C422))</f>
        <v/>
      </c>
      <c r="O422" s="2">
        <f>IF(M422="","",IF(AND(N422=_xlfn.MAXIFS(TF_AktSum,TF_Nokkel,M422),COUNTIFS(M$3:M421,M422,N$3:N421,N422)=0),M422,""))</f>
        <v/>
      </c>
    </row>
    <row r="423">
      <c r="A423" s="34" t="n"/>
      <c r="B423" s="35" t="n"/>
      <c r="C423" s="35" t="n"/>
      <c r="D423" s="35" t="n"/>
      <c r="E423" s="35" t="n"/>
      <c r="F423" s="36" t="n"/>
      <c r="G423" s="35" t="n"/>
      <c r="H423" s="30">
        <f>IF(L423="","",INDEX(SkiftNavn,L423))</f>
        <v/>
      </c>
      <c r="I423" s="30">
        <f>IF(OR(A423="",L423=""),"",IF(MOD(A423-INDEX(SkiftStart,L423),Syklus)&lt;DagK,"Kveld",IF(MOD(A423-INDEX(SkiftStart,L423),Syklus)&lt;DagK+DagH,"Helg",IF(MOD(A423-INDEX(SkiftStart,L423),Syklus)&lt;DagK+DagH+DagD,"Dag","Fri"))))</f>
        <v/>
      </c>
      <c r="J423" s="30">
        <f>IF(I423="Fri","Ja","")</f>
        <v/>
      </c>
      <c r="K423" s="30">
        <f>IF(B423="","",IF(L423="","Ukjent tekniker",IF(ISNA(MATCH(C423,Aktiviteter,0)),"Ukjent aktivitet",IF(AND(INDEX(AktRolle,MATCH(C423,Aktiviteter,0))&amp;""&lt;&gt;"",ISERROR(SEARCH(INDEX(AktRolle,MATCH(C423,Aktiviteter,0))&amp;"",INDEX(TekRoller,MATCH(B423,Teknikere,0))))),"Mangler rollen "&amp;INDEX(AktRolle,MATCH(C423,Aktiviteter,0))&amp;"",IF(AND(C423="LMS",F423&gt;0,OR(D423="",E423="")),"Mangler maskin eller arbeid",IF(AND(OR(C423="LMS",C423="Mod"),D423&lt;&gt;""),IF(IFERROR(INDEX(MaskinStatus,MATCH(D423,Maskiner,0)),"")="I dokk","","Maskinen er ikke i dokk"),""))))))</f>
        <v/>
      </c>
      <c r="L423" s="2">
        <f>IF(B423="","",IFERROR(INT((MATCH(B423,Teknikere,0)-1)/18)+1,""))</f>
        <v/>
      </c>
      <c r="M423" s="2">
        <f>IF(OR(A423="",B423=""),"",B423&amp;"|"&amp;A423)</f>
        <v/>
      </c>
      <c r="N423" s="2">
        <f>IF(M423="","",SUMIFS(TF_Timer,TF_Nokkel,M423,TF_Akt,C423))</f>
        <v/>
      </c>
      <c r="O423" s="2">
        <f>IF(M423="","",IF(AND(N423=_xlfn.MAXIFS(TF_AktSum,TF_Nokkel,M423),COUNTIFS(M$3:M422,M423,N$3:N422,N423)=0),M423,""))</f>
        <v/>
      </c>
    </row>
    <row r="424">
      <c r="A424" s="34" t="n"/>
      <c r="B424" s="35" t="n"/>
      <c r="C424" s="35" t="n"/>
      <c r="D424" s="35" t="n"/>
      <c r="E424" s="35" t="n"/>
      <c r="F424" s="36" t="n"/>
      <c r="G424" s="35" t="n"/>
      <c r="H424" s="30">
        <f>IF(L424="","",INDEX(SkiftNavn,L424))</f>
        <v/>
      </c>
      <c r="I424" s="30">
        <f>IF(OR(A424="",L424=""),"",IF(MOD(A424-INDEX(SkiftStart,L424),Syklus)&lt;DagK,"Kveld",IF(MOD(A424-INDEX(SkiftStart,L424),Syklus)&lt;DagK+DagH,"Helg",IF(MOD(A424-INDEX(SkiftStart,L424),Syklus)&lt;DagK+DagH+DagD,"Dag","Fri"))))</f>
        <v/>
      </c>
      <c r="J424" s="30">
        <f>IF(I424="Fri","Ja","")</f>
        <v/>
      </c>
      <c r="K424" s="30">
        <f>IF(B424="","",IF(L424="","Ukjent tekniker",IF(ISNA(MATCH(C424,Aktiviteter,0)),"Ukjent aktivitet",IF(AND(INDEX(AktRolle,MATCH(C424,Aktiviteter,0))&amp;""&lt;&gt;"",ISERROR(SEARCH(INDEX(AktRolle,MATCH(C424,Aktiviteter,0))&amp;"",INDEX(TekRoller,MATCH(B424,Teknikere,0))))),"Mangler rollen "&amp;INDEX(AktRolle,MATCH(C424,Aktiviteter,0))&amp;"",IF(AND(C424="LMS",F424&gt;0,OR(D424="",E424="")),"Mangler maskin eller arbeid",IF(AND(OR(C424="LMS",C424="Mod"),D424&lt;&gt;""),IF(IFERROR(INDEX(MaskinStatus,MATCH(D424,Maskiner,0)),"")="I dokk","","Maskinen er ikke i dokk"),""))))))</f>
        <v/>
      </c>
      <c r="L424" s="2">
        <f>IF(B424="","",IFERROR(INT((MATCH(B424,Teknikere,0)-1)/18)+1,""))</f>
        <v/>
      </c>
      <c r="M424" s="2">
        <f>IF(OR(A424="",B424=""),"",B424&amp;"|"&amp;A424)</f>
        <v/>
      </c>
      <c r="N424" s="2">
        <f>IF(M424="","",SUMIFS(TF_Timer,TF_Nokkel,M424,TF_Akt,C424))</f>
        <v/>
      </c>
      <c r="O424" s="2">
        <f>IF(M424="","",IF(AND(N424=_xlfn.MAXIFS(TF_AktSum,TF_Nokkel,M424),COUNTIFS(M$3:M423,M424,N$3:N423,N424)=0),M424,""))</f>
        <v/>
      </c>
    </row>
    <row r="425">
      <c r="A425" s="34" t="n"/>
      <c r="B425" s="35" t="n"/>
      <c r="C425" s="35" t="n"/>
      <c r="D425" s="35" t="n"/>
      <c r="E425" s="35" t="n"/>
      <c r="F425" s="36" t="n"/>
      <c r="G425" s="35" t="n"/>
      <c r="H425" s="30">
        <f>IF(L425="","",INDEX(SkiftNavn,L425))</f>
        <v/>
      </c>
      <c r="I425" s="30">
        <f>IF(OR(A425="",L425=""),"",IF(MOD(A425-INDEX(SkiftStart,L425),Syklus)&lt;DagK,"Kveld",IF(MOD(A425-INDEX(SkiftStart,L425),Syklus)&lt;DagK+DagH,"Helg",IF(MOD(A425-INDEX(SkiftStart,L425),Syklus)&lt;DagK+DagH+DagD,"Dag","Fri"))))</f>
        <v/>
      </c>
      <c r="J425" s="30">
        <f>IF(I425="Fri","Ja","")</f>
        <v/>
      </c>
      <c r="K425" s="30">
        <f>IF(B425="","",IF(L425="","Ukjent tekniker",IF(ISNA(MATCH(C425,Aktiviteter,0)),"Ukjent aktivitet",IF(AND(INDEX(AktRolle,MATCH(C425,Aktiviteter,0))&amp;""&lt;&gt;"",ISERROR(SEARCH(INDEX(AktRolle,MATCH(C425,Aktiviteter,0))&amp;"",INDEX(TekRoller,MATCH(B425,Teknikere,0))))),"Mangler rollen "&amp;INDEX(AktRolle,MATCH(C425,Aktiviteter,0))&amp;"",IF(AND(C425="LMS",F425&gt;0,OR(D425="",E425="")),"Mangler maskin eller arbeid",IF(AND(OR(C425="LMS",C425="Mod"),D425&lt;&gt;""),IF(IFERROR(INDEX(MaskinStatus,MATCH(D425,Maskiner,0)),"")="I dokk","","Maskinen er ikke i dokk"),""))))))</f>
        <v/>
      </c>
      <c r="L425" s="2">
        <f>IF(B425="","",IFERROR(INT((MATCH(B425,Teknikere,0)-1)/18)+1,""))</f>
        <v/>
      </c>
      <c r="M425" s="2">
        <f>IF(OR(A425="",B425=""),"",B425&amp;"|"&amp;A425)</f>
        <v/>
      </c>
      <c r="N425" s="2">
        <f>IF(M425="","",SUMIFS(TF_Timer,TF_Nokkel,M425,TF_Akt,C425))</f>
        <v/>
      </c>
      <c r="O425" s="2">
        <f>IF(M425="","",IF(AND(N425=_xlfn.MAXIFS(TF_AktSum,TF_Nokkel,M425),COUNTIFS(M$3:M424,M425,N$3:N424,N425)=0),M425,""))</f>
        <v/>
      </c>
    </row>
    <row r="426">
      <c r="A426" s="34" t="n"/>
      <c r="B426" s="35" t="n"/>
      <c r="C426" s="35" t="n"/>
      <c r="D426" s="35" t="n"/>
      <c r="E426" s="35" t="n"/>
      <c r="F426" s="36" t="n"/>
      <c r="G426" s="35" t="n"/>
      <c r="H426" s="30">
        <f>IF(L426="","",INDEX(SkiftNavn,L426))</f>
        <v/>
      </c>
      <c r="I426" s="30">
        <f>IF(OR(A426="",L426=""),"",IF(MOD(A426-INDEX(SkiftStart,L426),Syklus)&lt;DagK,"Kveld",IF(MOD(A426-INDEX(SkiftStart,L426),Syklus)&lt;DagK+DagH,"Helg",IF(MOD(A426-INDEX(SkiftStart,L426),Syklus)&lt;DagK+DagH+DagD,"Dag","Fri"))))</f>
        <v/>
      </c>
      <c r="J426" s="30">
        <f>IF(I426="Fri","Ja","")</f>
        <v/>
      </c>
      <c r="K426" s="30">
        <f>IF(B426="","",IF(L426="","Ukjent tekniker",IF(ISNA(MATCH(C426,Aktiviteter,0)),"Ukjent aktivitet",IF(AND(INDEX(AktRolle,MATCH(C426,Aktiviteter,0))&amp;""&lt;&gt;"",ISERROR(SEARCH(INDEX(AktRolle,MATCH(C426,Aktiviteter,0))&amp;"",INDEX(TekRoller,MATCH(B426,Teknikere,0))))),"Mangler rollen "&amp;INDEX(AktRolle,MATCH(C426,Aktiviteter,0))&amp;"",IF(AND(C426="LMS",F426&gt;0,OR(D426="",E426="")),"Mangler maskin eller arbeid",IF(AND(OR(C426="LMS",C426="Mod"),D426&lt;&gt;""),IF(IFERROR(INDEX(MaskinStatus,MATCH(D426,Maskiner,0)),"")="I dokk","","Maskinen er ikke i dokk"),""))))))</f>
        <v/>
      </c>
      <c r="L426" s="2">
        <f>IF(B426="","",IFERROR(INT((MATCH(B426,Teknikere,0)-1)/18)+1,""))</f>
        <v/>
      </c>
      <c r="M426" s="2">
        <f>IF(OR(A426="",B426=""),"",B426&amp;"|"&amp;A426)</f>
        <v/>
      </c>
      <c r="N426" s="2">
        <f>IF(M426="","",SUMIFS(TF_Timer,TF_Nokkel,M426,TF_Akt,C426))</f>
        <v/>
      </c>
      <c r="O426" s="2">
        <f>IF(M426="","",IF(AND(N426=_xlfn.MAXIFS(TF_AktSum,TF_Nokkel,M426),COUNTIFS(M$3:M425,M426,N$3:N425,N426)=0),M426,""))</f>
        <v/>
      </c>
    </row>
    <row r="427">
      <c r="A427" s="34" t="n"/>
      <c r="B427" s="35" t="n"/>
      <c r="C427" s="35" t="n"/>
      <c r="D427" s="35" t="n"/>
      <c r="E427" s="35" t="n"/>
      <c r="F427" s="36" t="n"/>
      <c r="G427" s="35" t="n"/>
      <c r="H427" s="30">
        <f>IF(L427="","",INDEX(SkiftNavn,L427))</f>
        <v/>
      </c>
      <c r="I427" s="30">
        <f>IF(OR(A427="",L427=""),"",IF(MOD(A427-INDEX(SkiftStart,L427),Syklus)&lt;DagK,"Kveld",IF(MOD(A427-INDEX(SkiftStart,L427),Syklus)&lt;DagK+DagH,"Helg",IF(MOD(A427-INDEX(SkiftStart,L427),Syklus)&lt;DagK+DagH+DagD,"Dag","Fri"))))</f>
        <v/>
      </c>
      <c r="J427" s="30">
        <f>IF(I427="Fri","Ja","")</f>
        <v/>
      </c>
      <c r="K427" s="30">
        <f>IF(B427="","",IF(L427="","Ukjent tekniker",IF(ISNA(MATCH(C427,Aktiviteter,0)),"Ukjent aktivitet",IF(AND(INDEX(AktRolle,MATCH(C427,Aktiviteter,0))&amp;""&lt;&gt;"",ISERROR(SEARCH(INDEX(AktRolle,MATCH(C427,Aktiviteter,0))&amp;"",INDEX(TekRoller,MATCH(B427,Teknikere,0))))),"Mangler rollen "&amp;INDEX(AktRolle,MATCH(C427,Aktiviteter,0))&amp;"",IF(AND(C427="LMS",F427&gt;0,OR(D427="",E427="")),"Mangler maskin eller arbeid",IF(AND(OR(C427="LMS",C427="Mod"),D427&lt;&gt;""),IF(IFERROR(INDEX(MaskinStatus,MATCH(D427,Maskiner,0)),"")="I dokk","","Maskinen er ikke i dokk"),""))))))</f>
        <v/>
      </c>
      <c r="L427" s="2">
        <f>IF(B427="","",IFERROR(INT((MATCH(B427,Teknikere,0)-1)/18)+1,""))</f>
        <v/>
      </c>
      <c r="M427" s="2">
        <f>IF(OR(A427="",B427=""),"",B427&amp;"|"&amp;A427)</f>
        <v/>
      </c>
      <c r="N427" s="2">
        <f>IF(M427="","",SUMIFS(TF_Timer,TF_Nokkel,M427,TF_Akt,C427))</f>
        <v/>
      </c>
      <c r="O427" s="2">
        <f>IF(M427="","",IF(AND(N427=_xlfn.MAXIFS(TF_AktSum,TF_Nokkel,M427),COUNTIFS(M$3:M426,M427,N$3:N426,N427)=0),M427,""))</f>
        <v/>
      </c>
    </row>
    <row r="428">
      <c r="A428" s="34" t="n"/>
      <c r="B428" s="35" t="n"/>
      <c r="C428" s="35" t="n"/>
      <c r="D428" s="35" t="n"/>
      <c r="E428" s="35" t="n"/>
      <c r="F428" s="36" t="n"/>
      <c r="G428" s="35" t="n"/>
      <c r="H428" s="30">
        <f>IF(L428="","",INDEX(SkiftNavn,L428))</f>
        <v/>
      </c>
      <c r="I428" s="30">
        <f>IF(OR(A428="",L428=""),"",IF(MOD(A428-INDEX(SkiftStart,L428),Syklus)&lt;DagK,"Kveld",IF(MOD(A428-INDEX(SkiftStart,L428),Syklus)&lt;DagK+DagH,"Helg",IF(MOD(A428-INDEX(SkiftStart,L428),Syklus)&lt;DagK+DagH+DagD,"Dag","Fri"))))</f>
        <v/>
      </c>
      <c r="J428" s="30">
        <f>IF(I428="Fri","Ja","")</f>
        <v/>
      </c>
      <c r="K428" s="30">
        <f>IF(B428="","",IF(L428="","Ukjent tekniker",IF(ISNA(MATCH(C428,Aktiviteter,0)),"Ukjent aktivitet",IF(AND(INDEX(AktRolle,MATCH(C428,Aktiviteter,0))&amp;""&lt;&gt;"",ISERROR(SEARCH(INDEX(AktRolle,MATCH(C428,Aktiviteter,0))&amp;"",INDEX(TekRoller,MATCH(B428,Teknikere,0))))),"Mangler rollen "&amp;INDEX(AktRolle,MATCH(C428,Aktiviteter,0))&amp;"",IF(AND(C428="LMS",F428&gt;0,OR(D428="",E428="")),"Mangler maskin eller arbeid",IF(AND(OR(C428="LMS",C428="Mod"),D428&lt;&gt;""),IF(IFERROR(INDEX(MaskinStatus,MATCH(D428,Maskiner,0)),"")="I dokk","","Maskinen er ikke i dokk"),""))))))</f>
        <v/>
      </c>
      <c r="L428" s="2">
        <f>IF(B428="","",IFERROR(INT((MATCH(B428,Teknikere,0)-1)/18)+1,""))</f>
        <v/>
      </c>
      <c r="M428" s="2">
        <f>IF(OR(A428="",B428=""),"",B428&amp;"|"&amp;A428)</f>
        <v/>
      </c>
      <c r="N428" s="2">
        <f>IF(M428="","",SUMIFS(TF_Timer,TF_Nokkel,M428,TF_Akt,C428))</f>
        <v/>
      </c>
      <c r="O428" s="2">
        <f>IF(M428="","",IF(AND(N428=_xlfn.MAXIFS(TF_AktSum,TF_Nokkel,M428),COUNTIFS(M$3:M427,M428,N$3:N427,N428)=0),M428,""))</f>
        <v/>
      </c>
    </row>
    <row r="429">
      <c r="A429" s="34" t="n"/>
      <c r="B429" s="35" t="n"/>
      <c r="C429" s="35" t="n"/>
      <c r="D429" s="35" t="n"/>
      <c r="E429" s="35" t="n"/>
      <c r="F429" s="36" t="n"/>
      <c r="G429" s="35" t="n"/>
      <c r="H429" s="30">
        <f>IF(L429="","",INDEX(SkiftNavn,L429))</f>
        <v/>
      </c>
      <c r="I429" s="30">
        <f>IF(OR(A429="",L429=""),"",IF(MOD(A429-INDEX(SkiftStart,L429),Syklus)&lt;DagK,"Kveld",IF(MOD(A429-INDEX(SkiftStart,L429),Syklus)&lt;DagK+DagH,"Helg",IF(MOD(A429-INDEX(SkiftStart,L429),Syklus)&lt;DagK+DagH+DagD,"Dag","Fri"))))</f>
        <v/>
      </c>
      <c r="J429" s="30">
        <f>IF(I429="Fri","Ja","")</f>
        <v/>
      </c>
      <c r="K429" s="30">
        <f>IF(B429="","",IF(L429="","Ukjent tekniker",IF(ISNA(MATCH(C429,Aktiviteter,0)),"Ukjent aktivitet",IF(AND(INDEX(AktRolle,MATCH(C429,Aktiviteter,0))&amp;""&lt;&gt;"",ISERROR(SEARCH(INDEX(AktRolle,MATCH(C429,Aktiviteter,0))&amp;"",INDEX(TekRoller,MATCH(B429,Teknikere,0))))),"Mangler rollen "&amp;INDEX(AktRolle,MATCH(C429,Aktiviteter,0))&amp;"",IF(AND(C429="LMS",F429&gt;0,OR(D429="",E429="")),"Mangler maskin eller arbeid",IF(AND(OR(C429="LMS",C429="Mod"),D429&lt;&gt;""),IF(IFERROR(INDEX(MaskinStatus,MATCH(D429,Maskiner,0)),"")="I dokk","","Maskinen er ikke i dokk"),""))))))</f>
        <v/>
      </c>
      <c r="L429" s="2">
        <f>IF(B429="","",IFERROR(INT((MATCH(B429,Teknikere,0)-1)/18)+1,""))</f>
        <v/>
      </c>
      <c r="M429" s="2">
        <f>IF(OR(A429="",B429=""),"",B429&amp;"|"&amp;A429)</f>
        <v/>
      </c>
      <c r="N429" s="2">
        <f>IF(M429="","",SUMIFS(TF_Timer,TF_Nokkel,M429,TF_Akt,C429))</f>
        <v/>
      </c>
      <c r="O429" s="2">
        <f>IF(M429="","",IF(AND(N429=_xlfn.MAXIFS(TF_AktSum,TF_Nokkel,M429),COUNTIFS(M$3:M428,M429,N$3:N428,N429)=0),M429,""))</f>
        <v/>
      </c>
    </row>
    <row r="430">
      <c r="A430" s="34" t="n"/>
      <c r="B430" s="35" t="n"/>
      <c r="C430" s="35" t="n"/>
      <c r="D430" s="35" t="n"/>
      <c r="E430" s="35" t="n"/>
      <c r="F430" s="36" t="n"/>
      <c r="G430" s="35" t="n"/>
      <c r="H430" s="30">
        <f>IF(L430="","",INDEX(SkiftNavn,L430))</f>
        <v/>
      </c>
      <c r="I430" s="30">
        <f>IF(OR(A430="",L430=""),"",IF(MOD(A430-INDEX(SkiftStart,L430),Syklus)&lt;DagK,"Kveld",IF(MOD(A430-INDEX(SkiftStart,L430),Syklus)&lt;DagK+DagH,"Helg",IF(MOD(A430-INDEX(SkiftStart,L430),Syklus)&lt;DagK+DagH+DagD,"Dag","Fri"))))</f>
        <v/>
      </c>
      <c r="J430" s="30">
        <f>IF(I430="Fri","Ja","")</f>
        <v/>
      </c>
      <c r="K430" s="30">
        <f>IF(B430="","",IF(L430="","Ukjent tekniker",IF(ISNA(MATCH(C430,Aktiviteter,0)),"Ukjent aktivitet",IF(AND(INDEX(AktRolle,MATCH(C430,Aktiviteter,0))&amp;""&lt;&gt;"",ISERROR(SEARCH(INDEX(AktRolle,MATCH(C430,Aktiviteter,0))&amp;"",INDEX(TekRoller,MATCH(B430,Teknikere,0))))),"Mangler rollen "&amp;INDEX(AktRolle,MATCH(C430,Aktiviteter,0))&amp;"",IF(AND(C430="LMS",F430&gt;0,OR(D430="",E430="")),"Mangler maskin eller arbeid",IF(AND(OR(C430="LMS",C430="Mod"),D430&lt;&gt;""),IF(IFERROR(INDEX(MaskinStatus,MATCH(D430,Maskiner,0)),"")="I dokk","","Maskinen er ikke i dokk"),""))))))</f>
        <v/>
      </c>
      <c r="L430" s="2">
        <f>IF(B430="","",IFERROR(INT((MATCH(B430,Teknikere,0)-1)/18)+1,""))</f>
        <v/>
      </c>
      <c r="M430" s="2">
        <f>IF(OR(A430="",B430=""),"",B430&amp;"|"&amp;A430)</f>
        <v/>
      </c>
      <c r="N430" s="2">
        <f>IF(M430="","",SUMIFS(TF_Timer,TF_Nokkel,M430,TF_Akt,C430))</f>
        <v/>
      </c>
      <c r="O430" s="2">
        <f>IF(M430="","",IF(AND(N430=_xlfn.MAXIFS(TF_AktSum,TF_Nokkel,M430),COUNTIFS(M$3:M429,M430,N$3:N429,N430)=0),M430,""))</f>
        <v/>
      </c>
    </row>
    <row r="431">
      <c r="A431" s="34" t="n"/>
      <c r="B431" s="35" t="n"/>
      <c r="C431" s="35" t="n"/>
      <c r="D431" s="35" t="n"/>
      <c r="E431" s="35" t="n"/>
      <c r="F431" s="36" t="n"/>
      <c r="G431" s="35" t="n"/>
      <c r="H431" s="30">
        <f>IF(L431="","",INDEX(SkiftNavn,L431))</f>
        <v/>
      </c>
      <c r="I431" s="30">
        <f>IF(OR(A431="",L431=""),"",IF(MOD(A431-INDEX(SkiftStart,L431),Syklus)&lt;DagK,"Kveld",IF(MOD(A431-INDEX(SkiftStart,L431),Syklus)&lt;DagK+DagH,"Helg",IF(MOD(A431-INDEX(SkiftStart,L431),Syklus)&lt;DagK+DagH+DagD,"Dag","Fri"))))</f>
        <v/>
      </c>
      <c r="J431" s="30">
        <f>IF(I431="Fri","Ja","")</f>
        <v/>
      </c>
      <c r="K431" s="30">
        <f>IF(B431="","",IF(L431="","Ukjent tekniker",IF(ISNA(MATCH(C431,Aktiviteter,0)),"Ukjent aktivitet",IF(AND(INDEX(AktRolle,MATCH(C431,Aktiviteter,0))&amp;""&lt;&gt;"",ISERROR(SEARCH(INDEX(AktRolle,MATCH(C431,Aktiviteter,0))&amp;"",INDEX(TekRoller,MATCH(B431,Teknikere,0))))),"Mangler rollen "&amp;INDEX(AktRolle,MATCH(C431,Aktiviteter,0))&amp;"",IF(AND(C431="LMS",F431&gt;0,OR(D431="",E431="")),"Mangler maskin eller arbeid",IF(AND(OR(C431="LMS",C431="Mod"),D431&lt;&gt;""),IF(IFERROR(INDEX(MaskinStatus,MATCH(D431,Maskiner,0)),"")="I dokk","","Maskinen er ikke i dokk"),""))))))</f>
        <v/>
      </c>
      <c r="L431" s="2">
        <f>IF(B431="","",IFERROR(INT((MATCH(B431,Teknikere,0)-1)/18)+1,""))</f>
        <v/>
      </c>
      <c r="M431" s="2">
        <f>IF(OR(A431="",B431=""),"",B431&amp;"|"&amp;A431)</f>
        <v/>
      </c>
      <c r="N431" s="2">
        <f>IF(M431="","",SUMIFS(TF_Timer,TF_Nokkel,M431,TF_Akt,C431))</f>
        <v/>
      </c>
      <c r="O431" s="2">
        <f>IF(M431="","",IF(AND(N431=_xlfn.MAXIFS(TF_AktSum,TF_Nokkel,M431),COUNTIFS(M$3:M430,M431,N$3:N430,N431)=0),M431,""))</f>
        <v/>
      </c>
    </row>
    <row r="432">
      <c r="A432" s="34" t="n"/>
      <c r="B432" s="35" t="n"/>
      <c r="C432" s="35" t="n"/>
      <c r="D432" s="35" t="n"/>
      <c r="E432" s="35" t="n"/>
      <c r="F432" s="36" t="n"/>
      <c r="G432" s="35" t="n"/>
      <c r="H432" s="30">
        <f>IF(L432="","",INDEX(SkiftNavn,L432))</f>
        <v/>
      </c>
      <c r="I432" s="30">
        <f>IF(OR(A432="",L432=""),"",IF(MOD(A432-INDEX(SkiftStart,L432),Syklus)&lt;DagK,"Kveld",IF(MOD(A432-INDEX(SkiftStart,L432),Syklus)&lt;DagK+DagH,"Helg",IF(MOD(A432-INDEX(SkiftStart,L432),Syklus)&lt;DagK+DagH+DagD,"Dag","Fri"))))</f>
        <v/>
      </c>
      <c r="J432" s="30">
        <f>IF(I432="Fri","Ja","")</f>
        <v/>
      </c>
      <c r="K432" s="30">
        <f>IF(B432="","",IF(L432="","Ukjent tekniker",IF(ISNA(MATCH(C432,Aktiviteter,0)),"Ukjent aktivitet",IF(AND(INDEX(AktRolle,MATCH(C432,Aktiviteter,0))&amp;""&lt;&gt;"",ISERROR(SEARCH(INDEX(AktRolle,MATCH(C432,Aktiviteter,0))&amp;"",INDEX(TekRoller,MATCH(B432,Teknikere,0))))),"Mangler rollen "&amp;INDEX(AktRolle,MATCH(C432,Aktiviteter,0))&amp;"",IF(AND(C432="LMS",F432&gt;0,OR(D432="",E432="")),"Mangler maskin eller arbeid",IF(AND(OR(C432="LMS",C432="Mod"),D432&lt;&gt;""),IF(IFERROR(INDEX(MaskinStatus,MATCH(D432,Maskiner,0)),"")="I dokk","","Maskinen er ikke i dokk"),""))))))</f>
        <v/>
      </c>
      <c r="L432" s="2">
        <f>IF(B432="","",IFERROR(INT((MATCH(B432,Teknikere,0)-1)/18)+1,""))</f>
        <v/>
      </c>
      <c r="M432" s="2">
        <f>IF(OR(A432="",B432=""),"",B432&amp;"|"&amp;A432)</f>
        <v/>
      </c>
      <c r="N432" s="2">
        <f>IF(M432="","",SUMIFS(TF_Timer,TF_Nokkel,M432,TF_Akt,C432))</f>
        <v/>
      </c>
      <c r="O432" s="2">
        <f>IF(M432="","",IF(AND(N432=_xlfn.MAXIFS(TF_AktSum,TF_Nokkel,M432),COUNTIFS(M$3:M431,M432,N$3:N431,N432)=0),M432,""))</f>
        <v/>
      </c>
    </row>
    <row r="433">
      <c r="A433" s="34" t="n"/>
      <c r="B433" s="35" t="n"/>
      <c r="C433" s="35" t="n"/>
      <c r="D433" s="35" t="n"/>
      <c r="E433" s="35" t="n"/>
      <c r="F433" s="36" t="n"/>
      <c r="G433" s="35" t="n"/>
      <c r="H433" s="30">
        <f>IF(L433="","",INDEX(SkiftNavn,L433))</f>
        <v/>
      </c>
      <c r="I433" s="30">
        <f>IF(OR(A433="",L433=""),"",IF(MOD(A433-INDEX(SkiftStart,L433),Syklus)&lt;DagK,"Kveld",IF(MOD(A433-INDEX(SkiftStart,L433),Syklus)&lt;DagK+DagH,"Helg",IF(MOD(A433-INDEX(SkiftStart,L433),Syklus)&lt;DagK+DagH+DagD,"Dag","Fri"))))</f>
        <v/>
      </c>
      <c r="J433" s="30">
        <f>IF(I433="Fri","Ja","")</f>
        <v/>
      </c>
      <c r="K433" s="30">
        <f>IF(B433="","",IF(L433="","Ukjent tekniker",IF(ISNA(MATCH(C433,Aktiviteter,0)),"Ukjent aktivitet",IF(AND(INDEX(AktRolle,MATCH(C433,Aktiviteter,0))&amp;""&lt;&gt;"",ISERROR(SEARCH(INDEX(AktRolle,MATCH(C433,Aktiviteter,0))&amp;"",INDEX(TekRoller,MATCH(B433,Teknikere,0))))),"Mangler rollen "&amp;INDEX(AktRolle,MATCH(C433,Aktiviteter,0))&amp;"",IF(AND(C433="LMS",F433&gt;0,OR(D433="",E433="")),"Mangler maskin eller arbeid",IF(AND(OR(C433="LMS",C433="Mod"),D433&lt;&gt;""),IF(IFERROR(INDEX(MaskinStatus,MATCH(D433,Maskiner,0)),"")="I dokk","","Maskinen er ikke i dokk"),""))))))</f>
        <v/>
      </c>
      <c r="L433" s="2">
        <f>IF(B433="","",IFERROR(INT((MATCH(B433,Teknikere,0)-1)/18)+1,""))</f>
        <v/>
      </c>
      <c r="M433" s="2">
        <f>IF(OR(A433="",B433=""),"",B433&amp;"|"&amp;A433)</f>
        <v/>
      </c>
      <c r="N433" s="2">
        <f>IF(M433="","",SUMIFS(TF_Timer,TF_Nokkel,M433,TF_Akt,C433))</f>
        <v/>
      </c>
      <c r="O433" s="2">
        <f>IF(M433="","",IF(AND(N433=_xlfn.MAXIFS(TF_AktSum,TF_Nokkel,M433),COUNTIFS(M$3:M432,M433,N$3:N432,N433)=0),M433,""))</f>
        <v/>
      </c>
    </row>
    <row r="434">
      <c r="A434" s="34" t="n"/>
      <c r="B434" s="35" t="n"/>
      <c r="C434" s="35" t="n"/>
      <c r="D434" s="35" t="n"/>
      <c r="E434" s="35" t="n"/>
      <c r="F434" s="36" t="n"/>
      <c r="G434" s="35" t="n"/>
      <c r="H434" s="30">
        <f>IF(L434="","",INDEX(SkiftNavn,L434))</f>
        <v/>
      </c>
      <c r="I434" s="30">
        <f>IF(OR(A434="",L434=""),"",IF(MOD(A434-INDEX(SkiftStart,L434),Syklus)&lt;DagK,"Kveld",IF(MOD(A434-INDEX(SkiftStart,L434),Syklus)&lt;DagK+DagH,"Helg",IF(MOD(A434-INDEX(SkiftStart,L434),Syklus)&lt;DagK+DagH+DagD,"Dag","Fri"))))</f>
        <v/>
      </c>
      <c r="J434" s="30">
        <f>IF(I434="Fri","Ja","")</f>
        <v/>
      </c>
      <c r="K434" s="30">
        <f>IF(B434="","",IF(L434="","Ukjent tekniker",IF(ISNA(MATCH(C434,Aktiviteter,0)),"Ukjent aktivitet",IF(AND(INDEX(AktRolle,MATCH(C434,Aktiviteter,0))&amp;""&lt;&gt;"",ISERROR(SEARCH(INDEX(AktRolle,MATCH(C434,Aktiviteter,0))&amp;"",INDEX(TekRoller,MATCH(B434,Teknikere,0))))),"Mangler rollen "&amp;INDEX(AktRolle,MATCH(C434,Aktiviteter,0))&amp;"",IF(AND(C434="LMS",F434&gt;0,OR(D434="",E434="")),"Mangler maskin eller arbeid",IF(AND(OR(C434="LMS",C434="Mod"),D434&lt;&gt;""),IF(IFERROR(INDEX(MaskinStatus,MATCH(D434,Maskiner,0)),"")="I dokk","","Maskinen er ikke i dokk"),""))))))</f>
        <v/>
      </c>
      <c r="L434" s="2">
        <f>IF(B434="","",IFERROR(INT((MATCH(B434,Teknikere,0)-1)/18)+1,""))</f>
        <v/>
      </c>
      <c r="M434" s="2">
        <f>IF(OR(A434="",B434=""),"",B434&amp;"|"&amp;A434)</f>
        <v/>
      </c>
      <c r="N434" s="2">
        <f>IF(M434="","",SUMIFS(TF_Timer,TF_Nokkel,M434,TF_Akt,C434))</f>
        <v/>
      </c>
      <c r="O434" s="2">
        <f>IF(M434="","",IF(AND(N434=_xlfn.MAXIFS(TF_AktSum,TF_Nokkel,M434),COUNTIFS(M$3:M433,M434,N$3:N433,N434)=0),M434,""))</f>
        <v/>
      </c>
    </row>
    <row r="435">
      <c r="A435" s="34" t="n"/>
      <c r="B435" s="35" t="n"/>
      <c r="C435" s="35" t="n"/>
      <c r="D435" s="35" t="n"/>
      <c r="E435" s="35" t="n"/>
      <c r="F435" s="36" t="n"/>
      <c r="G435" s="35" t="n"/>
      <c r="H435" s="30">
        <f>IF(L435="","",INDEX(SkiftNavn,L435))</f>
        <v/>
      </c>
      <c r="I435" s="30">
        <f>IF(OR(A435="",L435=""),"",IF(MOD(A435-INDEX(SkiftStart,L435),Syklus)&lt;DagK,"Kveld",IF(MOD(A435-INDEX(SkiftStart,L435),Syklus)&lt;DagK+DagH,"Helg",IF(MOD(A435-INDEX(SkiftStart,L435),Syklus)&lt;DagK+DagH+DagD,"Dag","Fri"))))</f>
        <v/>
      </c>
      <c r="J435" s="30">
        <f>IF(I435="Fri","Ja","")</f>
        <v/>
      </c>
      <c r="K435" s="30">
        <f>IF(B435="","",IF(L435="","Ukjent tekniker",IF(ISNA(MATCH(C435,Aktiviteter,0)),"Ukjent aktivitet",IF(AND(INDEX(AktRolle,MATCH(C435,Aktiviteter,0))&amp;""&lt;&gt;"",ISERROR(SEARCH(INDEX(AktRolle,MATCH(C435,Aktiviteter,0))&amp;"",INDEX(TekRoller,MATCH(B435,Teknikere,0))))),"Mangler rollen "&amp;INDEX(AktRolle,MATCH(C435,Aktiviteter,0))&amp;"",IF(AND(C435="LMS",F435&gt;0,OR(D435="",E435="")),"Mangler maskin eller arbeid",IF(AND(OR(C435="LMS",C435="Mod"),D435&lt;&gt;""),IF(IFERROR(INDEX(MaskinStatus,MATCH(D435,Maskiner,0)),"")="I dokk","","Maskinen er ikke i dokk"),""))))))</f>
        <v/>
      </c>
      <c r="L435" s="2">
        <f>IF(B435="","",IFERROR(INT((MATCH(B435,Teknikere,0)-1)/18)+1,""))</f>
        <v/>
      </c>
      <c r="M435" s="2">
        <f>IF(OR(A435="",B435=""),"",B435&amp;"|"&amp;A435)</f>
        <v/>
      </c>
      <c r="N435" s="2">
        <f>IF(M435="","",SUMIFS(TF_Timer,TF_Nokkel,M435,TF_Akt,C435))</f>
        <v/>
      </c>
      <c r="O435" s="2">
        <f>IF(M435="","",IF(AND(N435=_xlfn.MAXIFS(TF_AktSum,TF_Nokkel,M435),COUNTIFS(M$3:M434,M435,N$3:N434,N435)=0),M435,""))</f>
        <v/>
      </c>
    </row>
    <row r="436">
      <c r="A436" s="34" t="n"/>
      <c r="B436" s="35" t="n"/>
      <c r="C436" s="35" t="n"/>
      <c r="D436" s="35" t="n"/>
      <c r="E436" s="35" t="n"/>
      <c r="F436" s="36" t="n"/>
      <c r="G436" s="35" t="n"/>
      <c r="H436" s="30">
        <f>IF(L436="","",INDEX(SkiftNavn,L436))</f>
        <v/>
      </c>
      <c r="I436" s="30">
        <f>IF(OR(A436="",L436=""),"",IF(MOD(A436-INDEX(SkiftStart,L436),Syklus)&lt;DagK,"Kveld",IF(MOD(A436-INDEX(SkiftStart,L436),Syklus)&lt;DagK+DagH,"Helg",IF(MOD(A436-INDEX(SkiftStart,L436),Syklus)&lt;DagK+DagH+DagD,"Dag","Fri"))))</f>
        <v/>
      </c>
      <c r="J436" s="30">
        <f>IF(I436="Fri","Ja","")</f>
        <v/>
      </c>
      <c r="K436" s="30">
        <f>IF(B436="","",IF(L436="","Ukjent tekniker",IF(ISNA(MATCH(C436,Aktiviteter,0)),"Ukjent aktivitet",IF(AND(INDEX(AktRolle,MATCH(C436,Aktiviteter,0))&amp;""&lt;&gt;"",ISERROR(SEARCH(INDEX(AktRolle,MATCH(C436,Aktiviteter,0))&amp;"",INDEX(TekRoller,MATCH(B436,Teknikere,0))))),"Mangler rollen "&amp;INDEX(AktRolle,MATCH(C436,Aktiviteter,0))&amp;"",IF(AND(C436="LMS",F436&gt;0,OR(D436="",E436="")),"Mangler maskin eller arbeid",IF(AND(OR(C436="LMS",C436="Mod"),D436&lt;&gt;""),IF(IFERROR(INDEX(MaskinStatus,MATCH(D436,Maskiner,0)),"")="I dokk","","Maskinen er ikke i dokk"),""))))))</f>
        <v/>
      </c>
      <c r="L436" s="2">
        <f>IF(B436="","",IFERROR(INT((MATCH(B436,Teknikere,0)-1)/18)+1,""))</f>
        <v/>
      </c>
      <c r="M436" s="2">
        <f>IF(OR(A436="",B436=""),"",B436&amp;"|"&amp;A436)</f>
        <v/>
      </c>
      <c r="N436" s="2">
        <f>IF(M436="","",SUMIFS(TF_Timer,TF_Nokkel,M436,TF_Akt,C436))</f>
        <v/>
      </c>
      <c r="O436" s="2">
        <f>IF(M436="","",IF(AND(N436=_xlfn.MAXIFS(TF_AktSum,TF_Nokkel,M436),COUNTIFS(M$3:M435,M436,N$3:N435,N436)=0),M436,""))</f>
        <v/>
      </c>
    </row>
    <row r="437">
      <c r="A437" s="34" t="n"/>
      <c r="B437" s="35" t="n"/>
      <c r="C437" s="35" t="n"/>
      <c r="D437" s="35" t="n"/>
      <c r="E437" s="35" t="n"/>
      <c r="F437" s="36" t="n"/>
      <c r="G437" s="35" t="n"/>
      <c r="H437" s="30">
        <f>IF(L437="","",INDEX(SkiftNavn,L437))</f>
        <v/>
      </c>
      <c r="I437" s="30">
        <f>IF(OR(A437="",L437=""),"",IF(MOD(A437-INDEX(SkiftStart,L437),Syklus)&lt;DagK,"Kveld",IF(MOD(A437-INDEX(SkiftStart,L437),Syklus)&lt;DagK+DagH,"Helg",IF(MOD(A437-INDEX(SkiftStart,L437),Syklus)&lt;DagK+DagH+DagD,"Dag","Fri"))))</f>
        <v/>
      </c>
      <c r="J437" s="30">
        <f>IF(I437="Fri","Ja","")</f>
        <v/>
      </c>
      <c r="K437" s="30">
        <f>IF(B437="","",IF(L437="","Ukjent tekniker",IF(ISNA(MATCH(C437,Aktiviteter,0)),"Ukjent aktivitet",IF(AND(INDEX(AktRolle,MATCH(C437,Aktiviteter,0))&amp;""&lt;&gt;"",ISERROR(SEARCH(INDEX(AktRolle,MATCH(C437,Aktiviteter,0))&amp;"",INDEX(TekRoller,MATCH(B437,Teknikere,0))))),"Mangler rollen "&amp;INDEX(AktRolle,MATCH(C437,Aktiviteter,0))&amp;"",IF(AND(C437="LMS",F437&gt;0,OR(D437="",E437="")),"Mangler maskin eller arbeid",IF(AND(OR(C437="LMS",C437="Mod"),D437&lt;&gt;""),IF(IFERROR(INDEX(MaskinStatus,MATCH(D437,Maskiner,0)),"")="I dokk","","Maskinen er ikke i dokk"),""))))))</f>
        <v/>
      </c>
      <c r="L437" s="2">
        <f>IF(B437="","",IFERROR(INT((MATCH(B437,Teknikere,0)-1)/18)+1,""))</f>
        <v/>
      </c>
      <c r="M437" s="2">
        <f>IF(OR(A437="",B437=""),"",B437&amp;"|"&amp;A437)</f>
        <v/>
      </c>
      <c r="N437" s="2">
        <f>IF(M437="","",SUMIFS(TF_Timer,TF_Nokkel,M437,TF_Akt,C437))</f>
        <v/>
      </c>
      <c r="O437" s="2">
        <f>IF(M437="","",IF(AND(N437=_xlfn.MAXIFS(TF_AktSum,TF_Nokkel,M437),COUNTIFS(M$3:M436,M437,N$3:N436,N437)=0),M437,""))</f>
        <v/>
      </c>
    </row>
    <row r="438">
      <c r="A438" s="34" t="n"/>
      <c r="B438" s="35" t="n"/>
      <c r="C438" s="35" t="n"/>
      <c r="D438" s="35" t="n"/>
      <c r="E438" s="35" t="n"/>
      <c r="F438" s="36" t="n"/>
      <c r="G438" s="35" t="n"/>
      <c r="H438" s="30">
        <f>IF(L438="","",INDEX(SkiftNavn,L438))</f>
        <v/>
      </c>
      <c r="I438" s="30">
        <f>IF(OR(A438="",L438=""),"",IF(MOD(A438-INDEX(SkiftStart,L438),Syklus)&lt;DagK,"Kveld",IF(MOD(A438-INDEX(SkiftStart,L438),Syklus)&lt;DagK+DagH,"Helg",IF(MOD(A438-INDEX(SkiftStart,L438),Syklus)&lt;DagK+DagH+DagD,"Dag","Fri"))))</f>
        <v/>
      </c>
      <c r="J438" s="30">
        <f>IF(I438="Fri","Ja","")</f>
        <v/>
      </c>
      <c r="K438" s="30">
        <f>IF(B438="","",IF(L438="","Ukjent tekniker",IF(ISNA(MATCH(C438,Aktiviteter,0)),"Ukjent aktivitet",IF(AND(INDEX(AktRolle,MATCH(C438,Aktiviteter,0))&amp;""&lt;&gt;"",ISERROR(SEARCH(INDEX(AktRolle,MATCH(C438,Aktiviteter,0))&amp;"",INDEX(TekRoller,MATCH(B438,Teknikere,0))))),"Mangler rollen "&amp;INDEX(AktRolle,MATCH(C438,Aktiviteter,0))&amp;"",IF(AND(C438="LMS",F438&gt;0,OR(D438="",E438="")),"Mangler maskin eller arbeid",IF(AND(OR(C438="LMS",C438="Mod"),D438&lt;&gt;""),IF(IFERROR(INDEX(MaskinStatus,MATCH(D438,Maskiner,0)),"")="I dokk","","Maskinen er ikke i dokk"),""))))))</f>
        <v/>
      </c>
      <c r="L438" s="2">
        <f>IF(B438="","",IFERROR(INT((MATCH(B438,Teknikere,0)-1)/18)+1,""))</f>
        <v/>
      </c>
      <c r="M438" s="2">
        <f>IF(OR(A438="",B438=""),"",B438&amp;"|"&amp;A438)</f>
        <v/>
      </c>
      <c r="N438" s="2">
        <f>IF(M438="","",SUMIFS(TF_Timer,TF_Nokkel,M438,TF_Akt,C438))</f>
        <v/>
      </c>
      <c r="O438" s="2">
        <f>IF(M438="","",IF(AND(N438=_xlfn.MAXIFS(TF_AktSum,TF_Nokkel,M438),COUNTIFS(M$3:M437,M438,N$3:N437,N438)=0),M438,""))</f>
        <v/>
      </c>
    </row>
    <row r="439">
      <c r="A439" s="34" t="n"/>
      <c r="B439" s="35" t="n"/>
      <c r="C439" s="35" t="n"/>
      <c r="D439" s="35" t="n"/>
      <c r="E439" s="35" t="n"/>
      <c r="F439" s="36" t="n"/>
      <c r="G439" s="35" t="n"/>
      <c r="H439" s="30">
        <f>IF(L439="","",INDEX(SkiftNavn,L439))</f>
        <v/>
      </c>
      <c r="I439" s="30">
        <f>IF(OR(A439="",L439=""),"",IF(MOD(A439-INDEX(SkiftStart,L439),Syklus)&lt;DagK,"Kveld",IF(MOD(A439-INDEX(SkiftStart,L439),Syklus)&lt;DagK+DagH,"Helg",IF(MOD(A439-INDEX(SkiftStart,L439),Syklus)&lt;DagK+DagH+DagD,"Dag","Fri"))))</f>
        <v/>
      </c>
      <c r="J439" s="30">
        <f>IF(I439="Fri","Ja","")</f>
        <v/>
      </c>
      <c r="K439" s="30">
        <f>IF(B439="","",IF(L439="","Ukjent tekniker",IF(ISNA(MATCH(C439,Aktiviteter,0)),"Ukjent aktivitet",IF(AND(INDEX(AktRolle,MATCH(C439,Aktiviteter,0))&amp;""&lt;&gt;"",ISERROR(SEARCH(INDEX(AktRolle,MATCH(C439,Aktiviteter,0))&amp;"",INDEX(TekRoller,MATCH(B439,Teknikere,0))))),"Mangler rollen "&amp;INDEX(AktRolle,MATCH(C439,Aktiviteter,0))&amp;"",IF(AND(C439="LMS",F439&gt;0,OR(D439="",E439="")),"Mangler maskin eller arbeid",IF(AND(OR(C439="LMS",C439="Mod"),D439&lt;&gt;""),IF(IFERROR(INDEX(MaskinStatus,MATCH(D439,Maskiner,0)),"")="I dokk","","Maskinen er ikke i dokk"),""))))))</f>
        <v/>
      </c>
      <c r="L439" s="2">
        <f>IF(B439="","",IFERROR(INT((MATCH(B439,Teknikere,0)-1)/18)+1,""))</f>
        <v/>
      </c>
      <c r="M439" s="2">
        <f>IF(OR(A439="",B439=""),"",B439&amp;"|"&amp;A439)</f>
        <v/>
      </c>
      <c r="N439" s="2">
        <f>IF(M439="","",SUMIFS(TF_Timer,TF_Nokkel,M439,TF_Akt,C439))</f>
        <v/>
      </c>
      <c r="O439" s="2">
        <f>IF(M439="","",IF(AND(N439=_xlfn.MAXIFS(TF_AktSum,TF_Nokkel,M439),COUNTIFS(M$3:M438,M439,N$3:N438,N439)=0),M439,""))</f>
        <v/>
      </c>
    </row>
    <row r="440">
      <c r="A440" s="34" t="n"/>
      <c r="B440" s="35" t="n"/>
      <c r="C440" s="35" t="n"/>
      <c r="D440" s="35" t="n"/>
      <c r="E440" s="35" t="n"/>
      <c r="F440" s="36" t="n"/>
      <c r="G440" s="35" t="n"/>
      <c r="H440" s="30">
        <f>IF(L440="","",INDEX(SkiftNavn,L440))</f>
        <v/>
      </c>
      <c r="I440" s="30">
        <f>IF(OR(A440="",L440=""),"",IF(MOD(A440-INDEX(SkiftStart,L440),Syklus)&lt;DagK,"Kveld",IF(MOD(A440-INDEX(SkiftStart,L440),Syklus)&lt;DagK+DagH,"Helg",IF(MOD(A440-INDEX(SkiftStart,L440),Syklus)&lt;DagK+DagH+DagD,"Dag","Fri"))))</f>
        <v/>
      </c>
      <c r="J440" s="30">
        <f>IF(I440="Fri","Ja","")</f>
        <v/>
      </c>
      <c r="K440" s="30">
        <f>IF(B440="","",IF(L440="","Ukjent tekniker",IF(ISNA(MATCH(C440,Aktiviteter,0)),"Ukjent aktivitet",IF(AND(INDEX(AktRolle,MATCH(C440,Aktiviteter,0))&amp;""&lt;&gt;"",ISERROR(SEARCH(INDEX(AktRolle,MATCH(C440,Aktiviteter,0))&amp;"",INDEX(TekRoller,MATCH(B440,Teknikere,0))))),"Mangler rollen "&amp;INDEX(AktRolle,MATCH(C440,Aktiviteter,0))&amp;"",IF(AND(C440="LMS",F440&gt;0,OR(D440="",E440="")),"Mangler maskin eller arbeid",IF(AND(OR(C440="LMS",C440="Mod"),D440&lt;&gt;""),IF(IFERROR(INDEX(MaskinStatus,MATCH(D440,Maskiner,0)),"")="I dokk","","Maskinen er ikke i dokk"),""))))))</f>
        <v/>
      </c>
      <c r="L440" s="2">
        <f>IF(B440="","",IFERROR(INT((MATCH(B440,Teknikere,0)-1)/18)+1,""))</f>
        <v/>
      </c>
      <c r="M440" s="2">
        <f>IF(OR(A440="",B440=""),"",B440&amp;"|"&amp;A440)</f>
        <v/>
      </c>
      <c r="N440" s="2">
        <f>IF(M440="","",SUMIFS(TF_Timer,TF_Nokkel,M440,TF_Akt,C440))</f>
        <v/>
      </c>
      <c r="O440" s="2">
        <f>IF(M440="","",IF(AND(N440=_xlfn.MAXIFS(TF_AktSum,TF_Nokkel,M440),COUNTIFS(M$3:M439,M440,N$3:N439,N440)=0),M440,""))</f>
        <v/>
      </c>
    </row>
    <row r="441">
      <c r="A441" s="34" t="n"/>
      <c r="B441" s="35" t="n"/>
      <c r="C441" s="35" t="n"/>
      <c r="D441" s="35" t="n"/>
      <c r="E441" s="35" t="n"/>
      <c r="F441" s="36" t="n"/>
      <c r="G441" s="35" t="n"/>
      <c r="H441" s="30">
        <f>IF(L441="","",INDEX(SkiftNavn,L441))</f>
        <v/>
      </c>
      <c r="I441" s="30">
        <f>IF(OR(A441="",L441=""),"",IF(MOD(A441-INDEX(SkiftStart,L441),Syklus)&lt;DagK,"Kveld",IF(MOD(A441-INDEX(SkiftStart,L441),Syklus)&lt;DagK+DagH,"Helg",IF(MOD(A441-INDEX(SkiftStart,L441),Syklus)&lt;DagK+DagH+DagD,"Dag","Fri"))))</f>
        <v/>
      </c>
      <c r="J441" s="30">
        <f>IF(I441="Fri","Ja","")</f>
        <v/>
      </c>
      <c r="K441" s="30">
        <f>IF(B441="","",IF(L441="","Ukjent tekniker",IF(ISNA(MATCH(C441,Aktiviteter,0)),"Ukjent aktivitet",IF(AND(INDEX(AktRolle,MATCH(C441,Aktiviteter,0))&amp;""&lt;&gt;"",ISERROR(SEARCH(INDEX(AktRolle,MATCH(C441,Aktiviteter,0))&amp;"",INDEX(TekRoller,MATCH(B441,Teknikere,0))))),"Mangler rollen "&amp;INDEX(AktRolle,MATCH(C441,Aktiviteter,0))&amp;"",IF(AND(C441="LMS",F441&gt;0,OR(D441="",E441="")),"Mangler maskin eller arbeid",IF(AND(OR(C441="LMS",C441="Mod"),D441&lt;&gt;""),IF(IFERROR(INDEX(MaskinStatus,MATCH(D441,Maskiner,0)),"")="I dokk","","Maskinen er ikke i dokk"),""))))))</f>
        <v/>
      </c>
      <c r="L441" s="2">
        <f>IF(B441="","",IFERROR(INT((MATCH(B441,Teknikere,0)-1)/18)+1,""))</f>
        <v/>
      </c>
      <c r="M441" s="2">
        <f>IF(OR(A441="",B441=""),"",B441&amp;"|"&amp;A441)</f>
        <v/>
      </c>
      <c r="N441" s="2">
        <f>IF(M441="","",SUMIFS(TF_Timer,TF_Nokkel,M441,TF_Akt,C441))</f>
        <v/>
      </c>
      <c r="O441" s="2">
        <f>IF(M441="","",IF(AND(N441=_xlfn.MAXIFS(TF_AktSum,TF_Nokkel,M441),COUNTIFS(M$3:M440,M441,N$3:N440,N441)=0),M441,""))</f>
        <v/>
      </c>
    </row>
    <row r="442">
      <c r="A442" s="34" t="n"/>
      <c r="B442" s="35" t="n"/>
      <c r="C442" s="35" t="n"/>
      <c r="D442" s="35" t="n"/>
      <c r="E442" s="35" t="n"/>
      <c r="F442" s="36" t="n"/>
      <c r="G442" s="35" t="n"/>
      <c r="H442" s="30">
        <f>IF(L442="","",INDEX(SkiftNavn,L442))</f>
        <v/>
      </c>
      <c r="I442" s="30">
        <f>IF(OR(A442="",L442=""),"",IF(MOD(A442-INDEX(SkiftStart,L442),Syklus)&lt;DagK,"Kveld",IF(MOD(A442-INDEX(SkiftStart,L442),Syklus)&lt;DagK+DagH,"Helg",IF(MOD(A442-INDEX(SkiftStart,L442),Syklus)&lt;DagK+DagH+DagD,"Dag","Fri"))))</f>
        <v/>
      </c>
      <c r="J442" s="30">
        <f>IF(I442="Fri","Ja","")</f>
        <v/>
      </c>
      <c r="K442" s="30">
        <f>IF(B442="","",IF(L442="","Ukjent tekniker",IF(ISNA(MATCH(C442,Aktiviteter,0)),"Ukjent aktivitet",IF(AND(INDEX(AktRolle,MATCH(C442,Aktiviteter,0))&amp;""&lt;&gt;"",ISERROR(SEARCH(INDEX(AktRolle,MATCH(C442,Aktiviteter,0))&amp;"",INDEX(TekRoller,MATCH(B442,Teknikere,0))))),"Mangler rollen "&amp;INDEX(AktRolle,MATCH(C442,Aktiviteter,0))&amp;"",IF(AND(C442="LMS",F442&gt;0,OR(D442="",E442="")),"Mangler maskin eller arbeid",IF(AND(OR(C442="LMS",C442="Mod"),D442&lt;&gt;""),IF(IFERROR(INDEX(MaskinStatus,MATCH(D442,Maskiner,0)),"")="I dokk","","Maskinen er ikke i dokk"),""))))))</f>
        <v/>
      </c>
      <c r="L442" s="2">
        <f>IF(B442="","",IFERROR(INT((MATCH(B442,Teknikere,0)-1)/18)+1,""))</f>
        <v/>
      </c>
      <c r="M442" s="2">
        <f>IF(OR(A442="",B442=""),"",B442&amp;"|"&amp;A442)</f>
        <v/>
      </c>
      <c r="N442" s="2">
        <f>IF(M442="","",SUMIFS(TF_Timer,TF_Nokkel,M442,TF_Akt,C442))</f>
        <v/>
      </c>
      <c r="O442" s="2">
        <f>IF(M442="","",IF(AND(N442=_xlfn.MAXIFS(TF_AktSum,TF_Nokkel,M442),COUNTIFS(M$3:M441,M442,N$3:N441,N442)=0),M442,""))</f>
        <v/>
      </c>
    </row>
    <row r="443">
      <c r="A443" s="34" t="n"/>
      <c r="B443" s="35" t="n"/>
      <c r="C443" s="35" t="n"/>
      <c r="D443" s="35" t="n"/>
      <c r="E443" s="35" t="n"/>
      <c r="F443" s="36" t="n"/>
      <c r="G443" s="35" t="n"/>
      <c r="H443" s="30">
        <f>IF(L443="","",INDEX(SkiftNavn,L443))</f>
        <v/>
      </c>
      <c r="I443" s="30">
        <f>IF(OR(A443="",L443=""),"",IF(MOD(A443-INDEX(SkiftStart,L443),Syklus)&lt;DagK,"Kveld",IF(MOD(A443-INDEX(SkiftStart,L443),Syklus)&lt;DagK+DagH,"Helg",IF(MOD(A443-INDEX(SkiftStart,L443),Syklus)&lt;DagK+DagH+DagD,"Dag","Fri"))))</f>
        <v/>
      </c>
      <c r="J443" s="30">
        <f>IF(I443="Fri","Ja","")</f>
        <v/>
      </c>
      <c r="K443" s="30">
        <f>IF(B443="","",IF(L443="","Ukjent tekniker",IF(ISNA(MATCH(C443,Aktiviteter,0)),"Ukjent aktivitet",IF(AND(INDEX(AktRolle,MATCH(C443,Aktiviteter,0))&amp;""&lt;&gt;"",ISERROR(SEARCH(INDEX(AktRolle,MATCH(C443,Aktiviteter,0))&amp;"",INDEX(TekRoller,MATCH(B443,Teknikere,0))))),"Mangler rollen "&amp;INDEX(AktRolle,MATCH(C443,Aktiviteter,0))&amp;"",IF(AND(C443="LMS",F443&gt;0,OR(D443="",E443="")),"Mangler maskin eller arbeid",IF(AND(OR(C443="LMS",C443="Mod"),D443&lt;&gt;""),IF(IFERROR(INDEX(MaskinStatus,MATCH(D443,Maskiner,0)),"")="I dokk","","Maskinen er ikke i dokk"),""))))))</f>
        <v/>
      </c>
      <c r="L443" s="2">
        <f>IF(B443="","",IFERROR(INT((MATCH(B443,Teknikere,0)-1)/18)+1,""))</f>
        <v/>
      </c>
      <c r="M443" s="2">
        <f>IF(OR(A443="",B443=""),"",B443&amp;"|"&amp;A443)</f>
        <v/>
      </c>
      <c r="N443" s="2">
        <f>IF(M443="","",SUMIFS(TF_Timer,TF_Nokkel,M443,TF_Akt,C443))</f>
        <v/>
      </c>
      <c r="O443" s="2">
        <f>IF(M443="","",IF(AND(N443=_xlfn.MAXIFS(TF_AktSum,TF_Nokkel,M443),COUNTIFS(M$3:M442,M443,N$3:N442,N443)=0),M443,""))</f>
        <v/>
      </c>
    </row>
    <row r="444">
      <c r="A444" s="34" t="n"/>
      <c r="B444" s="35" t="n"/>
      <c r="C444" s="35" t="n"/>
      <c r="D444" s="35" t="n"/>
      <c r="E444" s="35" t="n"/>
      <c r="F444" s="36" t="n"/>
      <c r="G444" s="35" t="n"/>
      <c r="H444" s="30">
        <f>IF(L444="","",INDEX(SkiftNavn,L444))</f>
        <v/>
      </c>
      <c r="I444" s="30">
        <f>IF(OR(A444="",L444=""),"",IF(MOD(A444-INDEX(SkiftStart,L444),Syklus)&lt;DagK,"Kveld",IF(MOD(A444-INDEX(SkiftStart,L444),Syklus)&lt;DagK+DagH,"Helg",IF(MOD(A444-INDEX(SkiftStart,L444),Syklus)&lt;DagK+DagH+DagD,"Dag","Fri"))))</f>
        <v/>
      </c>
      <c r="J444" s="30">
        <f>IF(I444="Fri","Ja","")</f>
        <v/>
      </c>
      <c r="K444" s="30">
        <f>IF(B444="","",IF(L444="","Ukjent tekniker",IF(ISNA(MATCH(C444,Aktiviteter,0)),"Ukjent aktivitet",IF(AND(INDEX(AktRolle,MATCH(C444,Aktiviteter,0))&amp;""&lt;&gt;"",ISERROR(SEARCH(INDEX(AktRolle,MATCH(C444,Aktiviteter,0))&amp;"",INDEX(TekRoller,MATCH(B444,Teknikere,0))))),"Mangler rollen "&amp;INDEX(AktRolle,MATCH(C444,Aktiviteter,0))&amp;"",IF(AND(C444="LMS",F444&gt;0,OR(D444="",E444="")),"Mangler maskin eller arbeid",IF(AND(OR(C444="LMS",C444="Mod"),D444&lt;&gt;""),IF(IFERROR(INDEX(MaskinStatus,MATCH(D444,Maskiner,0)),"")="I dokk","","Maskinen er ikke i dokk"),""))))))</f>
        <v/>
      </c>
      <c r="L444" s="2">
        <f>IF(B444="","",IFERROR(INT((MATCH(B444,Teknikere,0)-1)/18)+1,""))</f>
        <v/>
      </c>
      <c r="M444" s="2">
        <f>IF(OR(A444="",B444=""),"",B444&amp;"|"&amp;A444)</f>
        <v/>
      </c>
      <c r="N444" s="2">
        <f>IF(M444="","",SUMIFS(TF_Timer,TF_Nokkel,M444,TF_Akt,C444))</f>
        <v/>
      </c>
      <c r="O444" s="2">
        <f>IF(M444="","",IF(AND(N444=_xlfn.MAXIFS(TF_AktSum,TF_Nokkel,M444),COUNTIFS(M$3:M443,M444,N$3:N443,N444)=0),M444,""))</f>
        <v/>
      </c>
    </row>
    <row r="445">
      <c r="A445" s="34" t="n"/>
      <c r="B445" s="35" t="n"/>
      <c r="C445" s="35" t="n"/>
      <c r="D445" s="35" t="n"/>
      <c r="E445" s="35" t="n"/>
      <c r="F445" s="36" t="n"/>
      <c r="G445" s="35" t="n"/>
      <c r="H445" s="30">
        <f>IF(L445="","",INDEX(SkiftNavn,L445))</f>
        <v/>
      </c>
      <c r="I445" s="30">
        <f>IF(OR(A445="",L445=""),"",IF(MOD(A445-INDEX(SkiftStart,L445),Syklus)&lt;DagK,"Kveld",IF(MOD(A445-INDEX(SkiftStart,L445),Syklus)&lt;DagK+DagH,"Helg",IF(MOD(A445-INDEX(SkiftStart,L445),Syklus)&lt;DagK+DagH+DagD,"Dag","Fri"))))</f>
        <v/>
      </c>
      <c r="J445" s="30">
        <f>IF(I445="Fri","Ja","")</f>
        <v/>
      </c>
      <c r="K445" s="30">
        <f>IF(B445="","",IF(L445="","Ukjent tekniker",IF(ISNA(MATCH(C445,Aktiviteter,0)),"Ukjent aktivitet",IF(AND(INDEX(AktRolle,MATCH(C445,Aktiviteter,0))&amp;""&lt;&gt;"",ISERROR(SEARCH(INDEX(AktRolle,MATCH(C445,Aktiviteter,0))&amp;"",INDEX(TekRoller,MATCH(B445,Teknikere,0))))),"Mangler rollen "&amp;INDEX(AktRolle,MATCH(C445,Aktiviteter,0))&amp;"",IF(AND(C445="LMS",F445&gt;0,OR(D445="",E445="")),"Mangler maskin eller arbeid",IF(AND(OR(C445="LMS",C445="Mod"),D445&lt;&gt;""),IF(IFERROR(INDEX(MaskinStatus,MATCH(D445,Maskiner,0)),"")="I dokk","","Maskinen er ikke i dokk"),""))))))</f>
        <v/>
      </c>
      <c r="L445" s="2">
        <f>IF(B445="","",IFERROR(INT((MATCH(B445,Teknikere,0)-1)/18)+1,""))</f>
        <v/>
      </c>
      <c r="M445" s="2">
        <f>IF(OR(A445="",B445=""),"",B445&amp;"|"&amp;A445)</f>
        <v/>
      </c>
      <c r="N445" s="2">
        <f>IF(M445="","",SUMIFS(TF_Timer,TF_Nokkel,M445,TF_Akt,C445))</f>
        <v/>
      </c>
      <c r="O445" s="2">
        <f>IF(M445="","",IF(AND(N445=_xlfn.MAXIFS(TF_AktSum,TF_Nokkel,M445),COUNTIFS(M$3:M444,M445,N$3:N444,N445)=0),M445,""))</f>
        <v/>
      </c>
    </row>
    <row r="446">
      <c r="A446" s="34" t="n"/>
      <c r="B446" s="35" t="n"/>
      <c r="C446" s="35" t="n"/>
      <c r="D446" s="35" t="n"/>
      <c r="E446" s="35" t="n"/>
      <c r="F446" s="36" t="n"/>
      <c r="G446" s="35" t="n"/>
      <c r="H446" s="30">
        <f>IF(L446="","",INDEX(SkiftNavn,L446))</f>
        <v/>
      </c>
      <c r="I446" s="30">
        <f>IF(OR(A446="",L446=""),"",IF(MOD(A446-INDEX(SkiftStart,L446),Syklus)&lt;DagK,"Kveld",IF(MOD(A446-INDEX(SkiftStart,L446),Syklus)&lt;DagK+DagH,"Helg",IF(MOD(A446-INDEX(SkiftStart,L446),Syklus)&lt;DagK+DagH+DagD,"Dag","Fri"))))</f>
        <v/>
      </c>
      <c r="J446" s="30">
        <f>IF(I446="Fri","Ja","")</f>
        <v/>
      </c>
      <c r="K446" s="30">
        <f>IF(B446="","",IF(L446="","Ukjent tekniker",IF(ISNA(MATCH(C446,Aktiviteter,0)),"Ukjent aktivitet",IF(AND(INDEX(AktRolle,MATCH(C446,Aktiviteter,0))&amp;""&lt;&gt;"",ISERROR(SEARCH(INDEX(AktRolle,MATCH(C446,Aktiviteter,0))&amp;"",INDEX(TekRoller,MATCH(B446,Teknikere,0))))),"Mangler rollen "&amp;INDEX(AktRolle,MATCH(C446,Aktiviteter,0))&amp;"",IF(AND(C446="LMS",F446&gt;0,OR(D446="",E446="")),"Mangler maskin eller arbeid",IF(AND(OR(C446="LMS",C446="Mod"),D446&lt;&gt;""),IF(IFERROR(INDEX(MaskinStatus,MATCH(D446,Maskiner,0)),"")="I dokk","","Maskinen er ikke i dokk"),""))))))</f>
        <v/>
      </c>
      <c r="L446" s="2">
        <f>IF(B446="","",IFERROR(INT((MATCH(B446,Teknikere,0)-1)/18)+1,""))</f>
        <v/>
      </c>
      <c r="M446" s="2">
        <f>IF(OR(A446="",B446=""),"",B446&amp;"|"&amp;A446)</f>
        <v/>
      </c>
      <c r="N446" s="2">
        <f>IF(M446="","",SUMIFS(TF_Timer,TF_Nokkel,M446,TF_Akt,C446))</f>
        <v/>
      </c>
      <c r="O446" s="2">
        <f>IF(M446="","",IF(AND(N446=_xlfn.MAXIFS(TF_AktSum,TF_Nokkel,M446),COUNTIFS(M$3:M445,M446,N$3:N445,N446)=0),M446,""))</f>
        <v/>
      </c>
    </row>
    <row r="447">
      <c r="A447" s="34" t="n"/>
      <c r="B447" s="35" t="n"/>
      <c r="C447" s="35" t="n"/>
      <c r="D447" s="35" t="n"/>
      <c r="E447" s="35" t="n"/>
      <c r="F447" s="36" t="n"/>
      <c r="G447" s="35" t="n"/>
      <c r="H447" s="30">
        <f>IF(L447="","",INDEX(SkiftNavn,L447))</f>
        <v/>
      </c>
      <c r="I447" s="30">
        <f>IF(OR(A447="",L447=""),"",IF(MOD(A447-INDEX(SkiftStart,L447),Syklus)&lt;DagK,"Kveld",IF(MOD(A447-INDEX(SkiftStart,L447),Syklus)&lt;DagK+DagH,"Helg",IF(MOD(A447-INDEX(SkiftStart,L447),Syklus)&lt;DagK+DagH+DagD,"Dag","Fri"))))</f>
        <v/>
      </c>
      <c r="J447" s="30">
        <f>IF(I447="Fri","Ja","")</f>
        <v/>
      </c>
      <c r="K447" s="30">
        <f>IF(B447="","",IF(L447="","Ukjent tekniker",IF(ISNA(MATCH(C447,Aktiviteter,0)),"Ukjent aktivitet",IF(AND(INDEX(AktRolle,MATCH(C447,Aktiviteter,0))&amp;""&lt;&gt;"",ISERROR(SEARCH(INDEX(AktRolle,MATCH(C447,Aktiviteter,0))&amp;"",INDEX(TekRoller,MATCH(B447,Teknikere,0))))),"Mangler rollen "&amp;INDEX(AktRolle,MATCH(C447,Aktiviteter,0))&amp;"",IF(AND(C447="LMS",F447&gt;0,OR(D447="",E447="")),"Mangler maskin eller arbeid",IF(AND(OR(C447="LMS",C447="Mod"),D447&lt;&gt;""),IF(IFERROR(INDEX(MaskinStatus,MATCH(D447,Maskiner,0)),"")="I dokk","","Maskinen er ikke i dokk"),""))))))</f>
        <v/>
      </c>
      <c r="L447" s="2">
        <f>IF(B447="","",IFERROR(INT((MATCH(B447,Teknikere,0)-1)/18)+1,""))</f>
        <v/>
      </c>
      <c r="M447" s="2">
        <f>IF(OR(A447="",B447=""),"",B447&amp;"|"&amp;A447)</f>
        <v/>
      </c>
      <c r="N447" s="2">
        <f>IF(M447="","",SUMIFS(TF_Timer,TF_Nokkel,M447,TF_Akt,C447))</f>
        <v/>
      </c>
      <c r="O447" s="2">
        <f>IF(M447="","",IF(AND(N447=_xlfn.MAXIFS(TF_AktSum,TF_Nokkel,M447),COUNTIFS(M$3:M446,M447,N$3:N446,N447)=0),M447,""))</f>
        <v/>
      </c>
    </row>
    <row r="448">
      <c r="A448" s="34" t="n"/>
      <c r="B448" s="35" t="n"/>
      <c r="C448" s="35" t="n"/>
      <c r="D448" s="35" t="n"/>
      <c r="E448" s="35" t="n"/>
      <c r="F448" s="36" t="n"/>
      <c r="G448" s="35" t="n"/>
      <c r="H448" s="30">
        <f>IF(L448="","",INDEX(SkiftNavn,L448))</f>
        <v/>
      </c>
      <c r="I448" s="30">
        <f>IF(OR(A448="",L448=""),"",IF(MOD(A448-INDEX(SkiftStart,L448),Syklus)&lt;DagK,"Kveld",IF(MOD(A448-INDEX(SkiftStart,L448),Syklus)&lt;DagK+DagH,"Helg",IF(MOD(A448-INDEX(SkiftStart,L448),Syklus)&lt;DagK+DagH+DagD,"Dag","Fri"))))</f>
        <v/>
      </c>
      <c r="J448" s="30">
        <f>IF(I448="Fri","Ja","")</f>
        <v/>
      </c>
      <c r="K448" s="30">
        <f>IF(B448="","",IF(L448="","Ukjent tekniker",IF(ISNA(MATCH(C448,Aktiviteter,0)),"Ukjent aktivitet",IF(AND(INDEX(AktRolle,MATCH(C448,Aktiviteter,0))&amp;""&lt;&gt;"",ISERROR(SEARCH(INDEX(AktRolle,MATCH(C448,Aktiviteter,0))&amp;"",INDEX(TekRoller,MATCH(B448,Teknikere,0))))),"Mangler rollen "&amp;INDEX(AktRolle,MATCH(C448,Aktiviteter,0))&amp;"",IF(AND(C448="LMS",F448&gt;0,OR(D448="",E448="")),"Mangler maskin eller arbeid",IF(AND(OR(C448="LMS",C448="Mod"),D448&lt;&gt;""),IF(IFERROR(INDEX(MaskinStatus,MATCH(D448,Maskiner,0)),"")="I dokk","","Maskinen er ikke i dokk"),""))))))</f>
        <v/>
      </c>
      <c r="L448" s="2">
        <f>IF(B448="","",IFERROR(INT((MATCH(B448,Teknikere,0)-1)/18)+1,""))</f>
        <v/>
      </c>
      <c r="M448" s="2">
        <f>IF(OR(A448="",B448=""),"",B448&amp;"|"&amp;A448)</f>
        <v/>
      </c>
      <c r="N448" s="2">
        <f>IF(M448="","",SUMIFS(TF_Timer,TF_Nokkel,M448,TF_Akt,C448))</f>
        <v/>
      </c>
      <c r="O448" s="2">
        <f>IF(M448="","",IF(AND(N448=_xlfn.MAXIFS(TF_AktSum,TF_Nokkel,M448),COUNTIFS(M$3:M447,M448,N$3:N447,N448)=0),M448,""))</f>
        <v/>
      </c>
    </row>
    <row r="449">
      <c r="A449" s="34" t="n"/>
      <c r="B449" s="35" t="n"/>
      <c r="C449" s="35" t="n"/>
      <c r="D449" s="35" t="n"/>
      <c r="E449" s="35" t="n"/>
      <c r="F449" s="36" t="n"/>
      <c r="G449" s="35" t="n"/>
      <c r="H449" s="30">
        <f>IF(L449="","",INDEX(SkiftNavn,L449))</f>
        <v/>
      </c>
      <c r="I449" s="30">
        <f>IF(OR(A449="",L449=""),"",IF(MOD(A449-INDEX(SkiftStart,L449),Syklus)&lt;DagK,"Kveld",IF(MOD(A449-INDEX(SkiftStart,L449),Syklus)&lt;DagK+DagH,"Helg",IF(MOD(A449-INDEX(SkiftStart,L449),Syklus)&lt;DagK+DagH+DagD,"Dag","Fri"))))</f>
        <v/>
      </c>
      <c r="J449" s="30">
        <f>IF(I449="Fri","Ja","")</f>
        <v/>
      </c>
      <c r="K449" s="30">
        <f>IF(B449="","",IF(L449="","Ukjent tekniker",IF(ISNA(MATCH(C449,Aktiviteter,0)),"Ukjent aktivitet",IF(AND(INDEX(AktRolle,MATCH(C449,Aktiviteter,0))&amp;""&lt;&gt;"",ISERROR(SEARCH(INDEX(AktRolle,MATCH(C449,Aktiviteter,0))&amp;"",INDEX(TekRoller,MATCH(B449,Teknikere,0))))),"Mangler rollen "&amp;INDEX(AktRolle,MATCH(C449,Aktiviteter,0))&amp;"",IF(AND(C449="LMS",F449&gt;0,OR(D449="",E449="")),"Mangler maskin eller arbeid",IF(AND(OR(C449="LMS",C449="Mod"),D449&lt;&gt;""),IF(IFERROR(INDEX(MaskinStatus,MATCH(D449,Maskiner,0)),"")="I dokk","","Maskinen er ikke i dokk"),""))))))</f>
        <v/>
      </c>
      <c r="L449" s="2">
        <f>IF(B449="","",IFERROR(INT((MATCH(B449,Teknikere,0)-1)/18)+1,""))</f>
        <v/>
      </c>
      <c r="M449" s="2">
        <f>IF(OR(A449="",B449=""),"",B449&amp;"|"&amp;A449)</f>
        <v/>
      </c>
      <c r="N449" s="2">
        <f>IF(M449="","",SUMIFS(TF_Timer,TF_Nokkel,M449,TF_Akt,C449))</f>
        <v/>
      </c>
      <c r="O449" s="2">
        <f>IF(M449="","",IF(AND(N449=_xlfn.MAXIFS(TF_AktSum,TF_Nokkel,M449),COUNTIFS(M$3:M448,M449,N$3:N448,N449)=0),M449,""))</f>
        <v/>
      </c>
    </row>
    <row r="450">
      <c r="A450" s="34" t="n"/>
      <c r="B450" s="35" t="n"/>
      <c r="C450" s="35" t="n"/>
      <c r="D450" s="35" t="n"/>
      <c r="E450" s="35" t="n"/>
      <c r="F450" s="36" t="n"/>
      <c r="G450" s="35" t="n"/>
      <c r="H450" s="30">
        <f>IF(L450="","",INDEX(SkiftNavn,L450))</f>
        <v/>
      </c>
      <c r="I450" s="30">
        <f>IF(OR(A450="",L450=""),"",IF(MOD(A450-INDEX(SkiftStart,L450),Syklus)&lt;DagK,"Kveld",IF(MOD(A450-INDEX(SkiftStart,L450),Syklus)&lt;DagK+DagH,"Helg",IF(MOD(A450-INDEX(SkiftStart,L450),Syklus)&lt;DagK+DagH+DagD,"Dag","Fri"))))</f>
        <v/>
      </c>
      <c r="J450" s="30">
        <f>IF(I450="Fri","Ja","")</f>
        <v/>
      </c>
      <c r="K450" s="30">
        <f>IF(B450="","",IF(L450="","Ukjent tekniker",IF(ISNA(MATCH(C450,Aktiviteter,0)),"Ukjent aktivitet",IF(AND(INDEX(AktRolle,MATCH(C450,Aktiviteter,0))&amp;""&lt;&gt;"",ISERROR(SEARCH(INDEX(AktRolle,MATCH(C450,Aktiviteter,0))&amp;"",INDEX(TekRoller,MATCH(B450,Teknikere,0))))),"Mangler rollen "&amp;INDEX(AktRolle,MATCH(C450,Aktiviteter,0))&amp;"",IF(AND(C450="LMS",F450&gt;0,OR(D450="",E450="")),"Mangler maskin eller arbeid",IF(AND(OR(C450="LMS",C450="Mod"),D450&lt;&gt;""),IF(IFERROR(INDEX(MaskinStatus,MATCH(D450,Maskiner,0)),"")="I dokk","","Maskinen er ikke i dokk"),""))))))</f>
        <v/>
      </c>
      <c r="L450" s="2">
        <f>IF(B450="","",IFERROR(INT((MATCH(B450,Teknikere,0)-1)/18)+1,""))</f>
        <v/>
      </c>
      <c r="M450" s="2">
        <f>IF(OR(A450="",B450=""),"",B450&amp;"|"&amp;A450)</f>
        <v/>
      </c>
      <c r="N450" s="2">
        <f>IF(M450="","",SUMIFS(TF_Timer,TF_Nokkel,M450,TF_Akt,C450))</f>
        <v/>
      </c>
      <c r="O450" s="2">
        <f>IF(M450="","",IF(AND(N450=_xlfn.MAXIFS(TF_AktSum,TF_Nokkel,M450),COUNTIFS(M$3:M449,M450,N$3:N449,N450)=0),M450,""))</f>
        <v/>
      </c>
    </row>
    <row r="451">
      <c r="A451" s="34" t="n"/>
      <c r="B451" s="35" t="n"/>
      <c r="C451" s="35" t="n"/>
      <c r="D451" s="35" t="n"/>
      <c r="E451" s="35" t="n"/>
      <c r="F451" s="36" t="n"/>
      <c r="G451" s="35" t="n"/>
      <c r="H451" s="30">
        <f>IF(L451="","",INDEX(SkiftNavn,L451))</f>
        <v/>
      </c>
      <c r="I451" s="30">
        <f>IF(OR(A451="",L451=""),"",IF(MOD(A451-INDEX(SkiftStart,L451),Syklus)&lt;DagK,"Kveld",IF(MOD(A451-INDEX(SkiftStart,L451),Syklus)&lt;DagK+DagH,"Helg",IF(MOD(A451-INDEX(SkiftStart,L451),Syklus)&lt;DagK+DagH+DagD,"Dag","Fri"))))</f>
        <v/>
      </c>
      <c r="J451" s="30">
        <f>IF(I451="Fri","Ja","")</f>
        <v/>
      </c>
      <c r="K451" s="30">
        <f>IF(B451="","",IF(L451="","Ukjent tekniker",IF(ISNA(MATCH(C451,Aktiviteter,0)),"Ukjent aktivitet",IF(AND(INDEX(AktRolle,MATCH(C451,Aktiviteter,0))&amp;""&lt;&gt;"",ISERROR(SEARCH(INDEX(AktRolle,MATCH(C451,Aktiviteter,0))&amp;"",INDEX(TekRoller,MATCH(B451,Teknikere,0))))),"Mangler rollen "&amp;INDEX(AktRolle,MATCH(C451,Aktiviteter,0))&amp;"",IF(AND(C451="LMS",F451&gt;0,OR(D451="",E451="")),"Mangler maskin eller arbeid",IF(AND(OR(C451="LMS",C451="Mod"),D451&lt;&gt;""),IF(IFERROR(INDEX(MaskinStatus,MATCH(D451,Maskiner,0)),"")="I dokk","","Maskinen er ikke i dokk"),""))))))</f>
        <v/>
      </c>
      <c r="L451" s="2">
        <f>IF(B451="","",IFERROR(INT((MATCH(B451,Teknikere,0)-1)/18)+1,""))</f>
        <v/>
      </c>
      <c r="M451" s="2">
        <f>IF(OR(A451="",B451=""),"",B451&amp;"|"&amp;A451)</f>
        <v/>
      </c>
      <c r="N451" s="2">
        <f>IF(M451="","",SUMIFS(TF_Timer,TF_Nokkel,M451,TF_Akt,C451))</f>
        <v/>
      </c>
      <c r="O451" s="2">
        <f>IF(M451="","",IF(AND(N451=_xlfn.MAXIFS(TF_AktSum,TF_Nokkel,M451),COUNTIFS(M$3:M450,M451,N$3:N450,N451)=0),M451,""))</f>
        <v/>
      </c>
    </row>
    <row r="452">
      <c r="A452" s="34" t="n"/>
      <c r="B452" s="35" t="n"/>
      <c r="C452" s="35" t="n"/>
      <c r="D452" s="35" t="n"/>
      <c r="E452" s="35" t="n"/>
      <c r="F452" s="36" t="n"/>
      <c r="G452" s="35" t="n"/>
      <c r="H452" s="30">
        <f>IF(L452="","",INDEX(SkiftNavn,L452))</f>
        <v/>
      </c>
      <c r="I452" s="30">
        <f>IF(OR(A452="",L452=""),"",IF(MOD(A452-INDEX(SkiftStart,L452),Syklus)&lt;DagK,"Kveld",IF(MOD(A452-INDEX(SkiftStart,L452),Syklus)&lt;DagK+DagH,"Helg",IF(MOD(A452-INDEX(SkiftStart,L452),Syklus)&lt;DagK+DagH+DagD,"Dag","Fri"))))</f>
        <v/>
      </c>
      <c r="J452" s="30">
        <f>IF(I452="Fri","Ja","")</f>
        <v/>
      </c>
      <c r="K452" s="30">
        <f>IF(B452="","",IF(L452="","Ukjent tekniker",IF(ISNA(MATCH(C452,Aktiviteter,0)),"Ukjent aktivitet",IF(AND(INDEX(AktRolle,MATCH(C452,Aktiviteter,0))&amp;""&lt;&gt;"",ISERROR(SEARCH(INDEX(AktRolle,MATCH(C452,Aktiviteter,0))&amp;"",INDEX(TekRoller,MATCH(B452,Teknikere,0))))),"Mangler rollen "&amp;INDEX(AktRolle,MATCH(C452,Aktiviteter,0))&amp;"",IF(AND(C452="LMS",F452&gt;0,OR(D452="",E452="")),"Mangler maskin eller arbeid",IF(AND(OR(C452="LMS",C452="Mod"),D452&lt;&gt;""),IF(IFERROR(INDEX(MaskinStatus,MATCH(D452,Maskiner,0)),"")="I dokk","","Maskinen er ikke i dokk"),""))))))</f>
        <v/>
      </c>
      <c r="L452" s="2">
        <f>IF(B452="","",IFERROR(INT((MATCH(B452,Teknikere,0)-1)/18)+1,""))</f>
        <v/>
      </c>
      <c r="M452" s="2">
        <f>IF(OR(A452="",B452=""),"",B452&amp;"|"&amp;A452)</f>
        <v/>
      </c>
      <c r="N452" s="2">
        <f>IF(M452="","",SUMIFS(TF_Timer,TF_Nokkel,M452,TF_Akt,C452))</f>
        <v/>
      </c>
      <c r="O452" s="2">
        <f>IF(M452="","",IF(AND(N452=_xlfn.MAXIFS(TF_AktSum,TF_Nokkel,M452),COUNTIFS(M$3:M451,M452,N$3:N451,N452)=0),M452,""))</f>
        <v/>
      </c>
    </row>
    <row r="453">
      <c r="A453" s="34" t="n"/>
      <c r="B453" s="35" t="n"/>
      <c r="C453" s="35" t="n"/>
      <c r="D453" s="35" t="n"/>
      <c r="E453" s="35" t="n"/>
      <c r="F453" s="36" t="n"/>
      <c r="G453" s="35" t="n"/>
      <c r="H453" s="30">
        <f>IF(L453="","",INDEX(SkiftNavn,L453))</f>
        <v/>
      </c>
      <c r="I453" s="30">
        <f>IF(OR(A453="",L453=""),"",IF(MOD(A453-INDEX(SkiftStart,L453),Syklus)&lt;DagK,"Kveld",IF(MOD(A453-INDEX(SkiftStart,L453),Syklus)&lt;DagK+DagH,"Helg",IF(MOD(A453-INDEX(SkiftStart,L453),Syklus)&lt;DagK+DagH+DagD,"Dag","Fri"))))</f>
        <v/>
      </c>
      <c r="J453" s="30">
        <f>IF(I453="Fri","Ja","")</f>
        <v/>
      </c>
      <c r="K453" s="30">
        <f>IF(B453="","",IF(L453="","Ukjent tekniker",IF(ISNA(MATCH(C453,Aktiviteter,0)),"Ukjent aktivitet",IF(AND(INDEX(AktRolle,MATCH(C453,Aktiviteter,0))&amp;""&lt;&gt;"",ISERROR(SEARCH(INDEX(AktRolle,MATCH(C453,Aktiviteter,0))&amp;"",INDEX(TekRoller,MATCH(B453,Teknikere,0))))),"Mangler rollen "&amp;INDEX(AktRolle,MATCH(C453,Aktiviteter,0))&amp;"",IF(AND(C453="LMS",F453&gt;0,OR(D453="",E453="")),"Mangler maskin eller arbeid",IF(AND(OR(C453="LMS",C453="Mod"),D453&lt;&gt;""),IF(IFERROR(INDEX(MaskinStatus,MATCH(D453,Maskiner,0)),"")="I dokk","","Maskinen er ikke i dokk"),""))))))</f>
        <v/>
      </c>
      <c r="L453" s="2">
        <f>IF(B453="","",IFERROR(INT((MATCH(B453,Teknikere,0)-1)/18)+1,""))</f>
        <v/>
      </c>
      <c r="M453" s="2">
        <f>IF(OR(A453="",B453=""),"",B453&amp;"|"&amp;A453)</f>
        <v/>
      </c>
      <c r="N453" s="2">
        <f>IF(M453="","",SUMIFS(TF_Timer,TF_Nokkel,M453,TF_Akt,C453))</f>
        <v/>
      </c>
      <c r="O453" s="2">
        <f>IF(M453="","",IF(AND(N453=_xlfn.MAXIFS(TF_AktSum,TF_Nokkel,M453),COUNTIFS(M$3:M452,M453,N$3:N452,N453)=0),M453,""))</f>
        <v/>
      </c>
    </row>
    <row r="454">
      <c r="A454" s="34" t="n"/>
      <c r="B454" s="35" t="n"/>
      <c r="C454" s="35" t="n"/>
      <c r="D454" s="35" t="n"/>
      <c r="E454" s="35" t="n"/>
      <c r="F454" s="36" t="n"/>
      <c r="G454" s="35" t="n"/>
      <c r="H454" s="30">
        <f>IF(L454="","",INDEX(SkiftNavn,L454))</f>
        <v/>
      </c>
      <c r="I454" s="30">
        <f>IF(OR(A454="",L454=""),"",IF(MOD(A454-INDEX(SkiftStart,L454),Syklus)&lt;DagK,"Kveld",IF(MOD(A454-INDEX(SkiftStart,L454),Syklus)&lt;DagK+DagH,"Helg",IF(MOD(A454-INDEX(SkiftStart,L454),Syklus)&lt;DagK+DagH+DagD,"Dag","Fri"))))</f>
        <v/>
      </c>
      <c r="J454" s="30">
        <f>IF(I454="Fri","Ja","")</f>
        <v/>
      </c>
      <c r="K454" s="30">
        <f>IF(B454="","",IF(L454="","Ukjent tekniker",IF(ISNA(MATCH(C454,Aktiviteter,0)),"Ukjent aktivitet",IF(AND(INDEX(AktRolle,MATCH(C454,Aktiviteter,0))&amp;""&lt;&gt;"",ISERROR(SEARCH(INDEX(AktRolle,MATCH(C454,Aktiviteter,0))&amp;"",INDEX(TekRoller,MATCH(B454,Teknikere,0))))),"Mangler rollen "&amp;INDEX(AktRolle,MATCH(C454,Aktiviteter,0))&amp;"",IF(AND(C454="LMS",F454&gt;0,OR(D454="",E454="")),"Mangler maskin eller arbeid",IF(AND(OR(C454="LMS",C454="Mod"),D454&lt;&gt;""),IF(IFERROR(INDEX(MaskinStatus,MATCH(D454,Maskiner,0)),"")="I dokk","","Maskinen er ikke i dokk"),""))))))</f>
        <v/>
      </c>
      <c r="L454" s="2">
        <f>IF(B454="","",IFERROR(INT((MATCH(B454,Teknikere,0)-1)/18)+1,""))</f>
        <v/>
      </c>
      <c r="M454" s="2">
        <f>IF(OR(A454="",B454=""),"",B454&amp;"|"&amp;A454)</f>
        <v/>
      </c>
      <c r="N454" s="2">
        <f>IF(M454="","",SUMIFS(TF_Timer,TF_Nokkel,M454,TF_Akt,C454))</f>
        <v/>
      </c>
      <c r="O454" s="2">
        <f>IF(M454="","",IF(AND(N454=_xlfn.MAXIFS(TF_AktSum,TF_Nokkel,M454),COUNTIFS(M$3:M453,M454,N$3:N453,N454)=0),M454,""))</f>
        <v/>
      </c>
    </row>
    <row r="455">
      <c r="A455" s="34" t="n"/>
      <c r="B455" s="35" t="n"/>
      <c r="C455" s="35" t="n"/>
      <c r="D455" s="35" t="n"/>
      <c r="E455" s="35" t="n"/>
      <c r="F455" s="36" t="n"/>
      <c r="G455" s="35" t="n"/>
      <c r="H455" s="30">
        <f>IF(L455="","",INDEX(SkiftNavn,L455))</f>
        <v/>
      </c>
      <c r="I455" s="30">
        <f>IF(OR(A455="",L455=""),"",IF(MOD(A455-INDEX(SkiftStart,L455),Syklus)&lt;DagK,"Kveld",IF(MOD(A455-INDEX(SkiftStart,L455),Syklus)&lt;DagK+DagH,"Helg",IF(MOD(A455-INDEX(SkiftStart,L455),Syklus)&lt;DagK+DagH+DagD,"Dag","Fri"))))</f>
        <v/>
      </c>
      <c r="J455" s="30">
        <f>IF(I455="Fri","Ja","")</f>
        <v/>
      </c>
      <c r="K455" s="30">
        <f>IF(B455="","",IF(L455="","Ukjent tekniker",IF(ISNA(MATCH(C455,Aktiviteter,0)),"Ukjent aktivitet",IF(AND(INDEX(AktRolle,MATCH(C455,Aktiviteter,0))&amp;""&lt;&gt;"",ISERROR(SEARCH(INDEX(AktRolle,MATCH(C455,Aktiviteter,0))&amp;"",INDEX(TekRoller,MATCH(B455,Teknikere,0))))),"Mangler rollen "&amp;INDEX(AktRolle,MATCH(C455,Aktiviteter,0))&amp;"",IF(AND(C455="LMS",F455&gt;0,OR(D455="",E455="")),"Mangler maskin eller arbeid",IF(AND(OR(C455="LMS",C455="Mod"),D455&lt;&gt;""),IF(IFERROR(INDEX(MaskinStatus,MATCH(D455,Maskiner,0)),"")="I dokk","","Maskinen er ikke i dokk"),""))))))</f>
        <v/>
      </c>
      <c r="L455" s="2">
        <f>IF(B455="","",IFERROR(INT((MATCH(B455,Teknikere,0)-1)/18)+1,""))</f>
        <v/>
      </c>
      <c r="M455" s="2">
        <f>IF(OR(A455="",B455=""),"",B455&amp;"|"&amp;A455)</f>
        <v/>
      </c>
      <c r="N455" s="2">
        <f>IF(M455="","",SUMIFS(TF_Timer,TF_Nokkel,M455,TF_Akt,C455))</f>
        <v/>
      </c>
      <c r="O455" s="2">
        <f>IF(M455="","",IF(AND(N455=_xlfn.MAXIFS(TF_AktSum,TF_Nokkel,M455),COUNTIFS(M$3:M454,M455,N$3:N454,N455)=0),M455,""))</f>
        <v/>
      </c>
    </row>
    <row r="456">
      <c r="A456" s="34" t="n"/>
      <c r="B456" s="35" t="n"/>
      <c r="C456" s="35" t="n"/>
      <c r="D456" s="35" t="n"/>
      <c r="E456" s="35" t="n"/>
      <c r="F456" s="36" t="n"/>
      <c r="G456" s="35" t="n"/>
      <c r="H456" s="30">
        <f>IF(L456="","",INDEX(SkiftNavn,L456))</f>
        <v/>
      </c>
      <c r="I456" s="30">
        <f>IF(OR(A456="",L456=""),"",IF(MOD(A456-INDEX(SkiftStart,L456),Syklus)&lt;DagK,"Kveld",IF(MOD(A456-INDEX(SkiftStart,L456),Syklus)&lt;DagK+DagH,"Helg",IF(MOD(A456-INDEX(SkiftStart,L456),Syklus)&lt;DagK+DagH+DagD,"Dag","Fri"))))</f>
        <v/>
      </c>
      <c r="J456" s="30">
        <f>IF(I456="Fri","Ja","")</f>
        <v/>
      </c>
      <c r="K456" s="30">
        <f>IF(B456="","",IF(L456="","Ukjent tekniker",IF(ISNA(MATCH(C456,Aktiviteter,0)),"Ukjent aktivitet",IF(AND(INDEX(AktRolle,MATCH(C456,Aktiviteter,0))&amp;""&lt;&gt;"",ISERROR(SEARCH(INDEX(AktRolle,MATCH(C456,Aktiviteter,0))&amp;"",INDEX(TekRoller,MATCH(B456,Teknikere,0))))),"Mangler rollen "&amp;INDEX(AktRolle,MATCH(C456,Aktiviteter,0))&amp;"",IF(AND(C456="LMS",F456&gt;0,OR(D456="",E456="")),"Mangler maskin eller arbeid",IF(AND(OR(C456="LMS",C456="Mod"),D456&lt;&gt;""),IF(IFERROR(INDEX(MaskinStatus,MATCH(D456,Maskiner,0)),"")="I dokk","","Maskinen er ikke i dokk"),""))))))</f>
        <v/>
      </c>
      <c r="L456" s="2">
        <f>IF(B456="","",IFERROR(INT((MATCH(B456,Teknikere,0)-1)/18)+1,""))</f>
        <v/>
      </c>
      <c r="M456" s="2">
        <f>IF(OR(A456="",B456=""),"",B456&amp;"|"&amp;A456)</f>
        <v/>
      </c>
      <c r="N456" s="2">
        <f>IF(M456="","",SUMIFS(TF_Timer,TF_Nokkel,M456,TF_Akt,C456))</f>
        <v/>
      </c>
      <c r="O456" s="2">
        <f>IF(M456="","",IF(AND(N456=_xlfn.MAXIFS(TF_AktSum,TF_Nokkel,M456),COUNTIFS(M$3:M455,M456,N$3:N455,N456)=0),M456,""))</f>
        <v/>
      </c>
    </row>
    <row r="457">
      <c r="A457" s="34" t="n"/>
      <c r="B457" s="35" t="n"/>
      <c r="C457" s="35" t="n"/>
      <c r="D457" s="35" t="n"/>
      <c r="E457" s="35" t="n"/>
      <c r="F457" s="36" t="n"/>
      <c r="G457" s="35" t="n"/>
      <c r="H457" s="30">
        <f>IF(L457="","",INDEX(SkiftNavn,L457))</f>
        <v/>
      </c>
      <c r="I457" s="30">
        <f>IF(OR(A457="",L457=""),"",IF(MOD(A457-INDEX(SkiftStart,L457),Syklus)&lt;DagK,"Kveld",IF(MOD(A457-INDEX(SkiftStart,L457),Syklus)&lt;DagK+DagH,"Helg",IF(MOD(A457-INDEX(SkiftStart,L457),Syklus)&lt;DagK+DagH+DagD,"Dag","Fri"))))</f>
        <v/>
      </c>
      <c r="J457" s="30">
        <f>IF(I457="Fri","Ja","")</f>
        <v/>
      </c>
      <c r="K457" s="30">
        <f>IF(B457="","",IF(L457="","Ukjent tekniker",IF(ISNA(MATCH(C457,Aktiviteter,0)),"Ukjent aktivitet",IF(AND(INDEX(AktRolle,MATCH(C457,Aktiviteter,0))&amp;""&lt;&gt;"",ISERROR(SEARCH(INDEX(AktRolle,MATCH(C457,Aktiviteter,0))&amp;"",INDEX(TekRoller,MATCH(B457,Teknikere,0))))),"Mangler rollen "&amp;INDEX(AktRolle,MATCH(C457,Aktiviteter,0))&amp;"",IF(AND(C457="LMS",F457&gt;0,OR(D457="",E457="")),"Mangler maskin eller arbeid",IF(AND(OR(C457="LMS",C457="Mod"),D457&lt;&gt;""),IF(IFERROR(INDEX(MaskinStatus,MATCH(D457,Maskiner,0)),"")="I dokk","","Maskinen er ikke i dokk"),""))))))</f>
        <v/>
      </c>
      <c r="L457" s="2">
        <f>IF(B457="","",IFERROR(INT((MATCH(B457,Teknikere,0)-1)/18)+1,""))</f>
        <v/>
      </c>
      <c r="M457" s="2">
        <f>IF(OR(A457="",B457=""),"",B457&amp;"|"&amp;A457)</f>
        <v/>
      </c>
      <c r="N457" s="2">
        <f>IF(M457="","",SUMIFS(TF_Timer,TF_Nokkel,M457,TF_Akt,C457))</f>
        <v/>
      </c>
      <c r="O457" s="2">
        <f>IF(M457="","",IF(AND(N457=_xlfn.MAXIFS(TF_AktSum,TF_Nokkel,M457),COUNTIFS(M$3:M456,M457,N$3:N456,N457)=0),M457,""))</f>
        <v/>
      </c>
    </row>
    <row r="458">
      <c r="A458" s="34" t="n"/>
      <c r="B458" s="35" t="n"/>
      <c r="C458" s="35" t="n"/>
      <c r="D458" s="35" t="n"/>
      <c r="E458" s="35" t="n"/>
      <c r="F458" s="36" t="n"/>
      <c r="G458" s="35" t="n"/>
      <c r="H458" s="30">
        <f>IF(L458="","",INDEX(SkiftNavn,L458))</f>
        <v/>
      </c>
      <c r="I458" s="30">
        <f>IF(OR(A458="",L458=""),"",IF(MOD(A458-INDEX(SkiftStart,L458),Syklus)&lt;DagK,"Kveld",IF(MOD(A458-INDEX(SkiftStart,L458),Syklus)&lt;DagK+DagH,"Helg",IF(MOD(A458-INDEX(SkiftStart,L458),Syklus)&lt;DagK+DagH+DagD,"Dag","Fri"))))</f>
        <v/>
      </c>
      <c r="J458" s="30">
        <f>IF(I458="Fri","Ja","")</f>
        <v/>
      </c>
      <c r="K458" s="30">
        <f>IF(B458="","",IF(L458="","Ukjent tekniker",IF(ISNA(MATCH(C458,Aktiviteter,0)),"Ukjent aktivitet",IF(AND(INDEX(AktRolle,MATCH(C458,Aktiviteter,0))&amp;""&lt;&gt;"",ISERROR(SEARCH(INDEX(AktRolle,MATCH(C458,Aktiviteter,0))&amp;"",INDEX(TekRoller,MATCH(B458,Teknikere,0))))),"Mangler rollen "&amp;INDEX(AktRolle,MATCH(C458,Aktiviteter,0))&amp;"",IF(AND(C458="LMS",F458&gt;0,OR(D458="",E458="")),"Mangler maskin eller arbeid",IF(AND(OR(C458="LMS",C458="Mod"),D458&lt;&gt;""),IF(IFERROR(INDEX(MaskinStatus,MATCH(D458,Maskiner,0)),"")="I dokk","","Maskinen er ikke i dokk"),""))))))</f>
        <v/>
      </c>
      <c r="L458" s="2">
        <f>IF(B458="","",IFERROR(INT((MATCH(B458,Teknikere,0)-1)/18)+1,""))</f>
        <v/>
      </c>
      <c r="M458" s="2">
        <f>IF(OR(A458="",B458=""),"",B458&amp;"|"&amp;A458)</f>
        <v/>
      </c>
      <c r="N458" s="2">
        <f>IF(M458="","",SUMIFS(TF_Timer,TF_Nokkel,M458,TF_Akt,C458))</f>
        <v/>
      </c>
      <c r="O458" s="2">
        <f>IF(M458="","",IF(AND(N458=_xlfn.MAXIFS(TF_AktSum,TF_Nokkel,M458),COUNTIFS(M$3:M457,M458,N$3:N457,N458)=0),M458,""))</f>
        <v/>
      </c>
    </row>
    <row r="459">
      <c r="A459" s="34" t="n"/>
      <c r="B459" s="35" t="n"/>
      <c r="C459" s="35" t="n"/>
      <c r="D459" s="35" t="n"/>
      <c r="E459" s="35" t="n"/>
      <c r="F459" s="36" t="n"/>
      <c r="G459" s="35" t="n"/>
      <c r="H459" s="30">
        <f>IF(L459="","",INDEX(SkiftNavn,L459))</f>
        <v/>
      </c>
      <c r="I459" s="30">
        <f>IF(OR(A459="",L459=""),"",IF(MOD(A459-INDEX(SkiftStart,L459),Syklus)&lt;DagK,"Kveld",IF(MOD(A459-INDEX(SkiftStart,L459),Syklus)&lt;DagK+DagH,"Helg",IF(MOD(A459-INDEX(SkiftStart,L459),Syklus)&lt;DagK+DagH+DagD,"Dag","Fri"))))</f>
        <v/>
      </c>
      <c r="J459" s="30">
        <f>IF(I459="Fri","Ja","")</f>
        <v/>
      </c>
      <c r="K459" s="30">
        <f>IF(B459="","",IF(L459="","Ukjent tekniker",IF(ISNA(MATCH(C459,Aktiviteter,0)),"Ukjent aktivitet",IF(AND(INDEX(AktRolle,MATCH(C459,Aktiviteter,0))&amp;""&lt;&gt;"",ISERROR(SEARCH(INDEX(AktRolle,MATCH(C459,Aktiviteter,0))&amp;"",INDEX(TekRoller,MATCH(B459,Teknikere,0))))),"Mangler rollen "&amp;INDEX(AktRolle,MATCH(C459,Aktiviteter,0))&amp;"",IF(AND(C459="LMS",F459&gt;0,OR(D459="",E459="")),"Mangler maskin eller arbeid",IF(AND(OR(C459="LMS",C459="Mod"),D459&lt;&gt;""),IF(IFERROR(INDEX(MaskinStatus,MATCH(D459,Maskiner,0)),"")="I dokk","","Maskinen er ikke i dokk"),""))))))</f>
        <v/>
      </c>
      <c r="L459" s="2">
        <f>IF(B459="","",IFERROR(INT((MATCH(B459,Teknikere,0)-1)/18)+1,""))</f>
        <v/>
      </c>
      <c r="M459" s="2">
        <f>IF(OR(A459="",B459=""),"",B459&amp;"|"&amp;A459)</f>
        <v/>
      </c>
      <c r="N459" s="2">
        <f>IF(M459="","",SUMIFS(TF_Timer,TF_Nokkel,M459,TF_Akt,C459))</f>
        <v/>
      </c>
      <c r="O459" s="2">
        <f>IF(M459="","",IF(AND(N459=_xlfn.MAXIFS(TF_AktSum,TF_Nokkel,M459),COUNTIFS(M$3:M458,M459,N$3:N458,N459)=0),M459,""))</f>
        <v/>
      </c>
    </row>
    <row r="460">
      <c r="A460" s="34" t="n"/>
      <c r="B460" s="35" t="n"/>
      <c r="C460" s="35" t="n"/>
      <c r="D460" s="35" t="n"/>
      <c r="E460" s="35" t="n"/>
      <c r="F460" s="36" t="n"/>
      <c r="G460" s="35" t="n"/>
      <c r="H460" s="30">
        <f>IF(L460="","",INDEX(SkiftNavn,L460))</f>
        <v/>
      </c>
      <c r="I460" s="30">
        <f>IF(OR(A460="",L460=""),"",IF(MOD(A460-INDEX(SkiftStart,L460),Syklus)&lt;DagK,"Kveld",IF(MOD(A460-INDEX(SkiftStart,L460),Syklus)&lt;DagK+DagH,"Helg",IF(MOD(A460-INDEX(SkiftStart,L460),Syklus)&lt;DagK+DagH+DagD,"Dag","Fri"))))</f>
        <v/>
      </c>
      <c r="J460" s="30">
        <f>IF(I460="Fri","Ja","")</f>
        <v/>
      </c>
      <c r="K460" s="30">
        <f>IF(B460="","",IF(L460="","Ukjent tekniker",IF(ISNA(MATCH(C460,Aktiviteter,0)),"Ukjent aktivitet",IF(AND(INDEX(AktRolle,MATCH(C460,Aktiviteter,0))&amp;""&lt;&gt;"",ISERROR(SEARCH(INDEX(AktRolle,MATCH(C460,Aktiviteter,0))&amp;"",INDEX(TekRoller,MATCH(B460,Teknikere,0))))),"Mangler rollen "&amp;INDEX(AktRolle,MATCH(C460,Aktiviteter,0))&amp;"",IF(AND(C460="LMS",F460&gt;0,OR(D460="",E460="")),"Mangler maskin eller arbeid",IF(AND(OR(C460="LMS",C460="Mod"),D460&lt;&gt;""),IF(IFERROR(INDEX(MaskinStatus,MATCH(D460,Maskiner,0)),"")="I dokk","","Maskinen er ikke i dokk"),""))))))</f>
        <v/>
      </c>
      <c r="L460" s="2">
        <f>IF(B460="","",IFERROR(INT((MATCH(B460,Teknikere,0)-1)/18)+1,""))</f>
        <v/>
      </c>
      <c r="M460" s="2">
        <f>IF(OR(A460="",B460=""),"",B460&amp;"|"&amp;A460)</f>
        <v/>
      </c>
      <c r="N460" s="2">
        <f>IF(M460="","",SUMIFS(TF_Timer,TF_Nokkel,M460,TF_Akt,C460))</f>
        <v/>
      </c>
      <c r="O460" s="2">
        <f>IF(M460="","",IF(AND(N460=_xlfn.MAXIFS(TF_AktSum,TF_Nokkel,M460),COUNTIFS(M$3:M459,M460,N$3:N459,N460)=0),M460,""))</f>
        <v/>
      </c>
    </row>
    <row r="461">
      <c r="A461" s="34" t="n"/>
      <c r="B461" s="35" t="n"/>
      <c r="C461" s="35" t="n"/>
      <c r="D461" s="35" t="n"/>
      <c r="E461" s="35" t="n"/>
      <c r="F461" s="36" t="n"/>
      <c r="G461" s="35" t="n"/>
      <c r="H461" s="30">
        <f>IF(L461="","",INDEX(SkiftNavn,L461))</f>
        <v/>
      </c>
      <c r="I461" s="30">
        <f>IF(OR(A461="",L461=""),"",IF(MOD(A461-INDEX(SkiftStart,L461),Syklus)&lt;DagK,"Kveld",IF(MOD(A461-INDEX(SkiftStart,L461),Syklus)&lt;DagK+DagH,"Helg",IF(MOD(A461-INDEX(SkiftStart,L461),Syklus)&lt;DagK+DagH+DagD,"Dag","Fri"))))</f>
        <v/>
      </c>
      <c r="J461" s="30">
        <f>IF(I461="Fri","Ja","")</f>
        <v/>
      </c>
      <c r="K461" s="30">
        <f>IF(B461="","",IF(L461="","Ukjent tekniker",IF(ISNA(MATCH(C461,Aktiviteter,0)),"Ukjent aktivitet",IF(AND(INDEX(AktRolle,MATCH(C461,Aktiviteter,0))&amp;""&lt;&gt;"",ISERROR(SEARCH(INDEX(AktRolle,MATCH(C461,Aktiviteter,0))&amp;"",INDEX(TekRoller,MATCH(B461,Teknikere,0))))),"Mangler rollen "&amp;INDEX(AktRolle,MATCH(C461,Aktiviteter,0))&amp;"",IF(AND(C461="LMS",F461&gt;0,OR(D461="",E461="")),"Mangler maskin eller arbeid",IF(AND(OR(C461="LMS",C461="Mod"),D461&lt;&gt;""),IF(IFERROR(INDEX(MaskinStatus,MATCH(D461,Maskiner,0)),"")="I dokk","","Maskinen er ikke i dokk"),""))))))</f>
        <v/>
      </c>
      <c r="L461" s="2">
        <f>IF(B461="","",IFERROR(INT((MATCH(B461,Teknikere,0)-1)/18)+1,""))</f>
        <v/>
      </c>
      <c r="M461" s="2">
        <f>IF(OR(A461="",B461=""),"",B461&amp;"|"&amp;A461)</f>
        <v/>
      </c>
      <c r="N461" s="2">
        <f>IF(M461="","",SUMIFS(TF_Timer,TF_Nokkel,M461,TF_Akt,C461))</f>
        <v/>
      </c>
      <c r="O461" s="2">
        <f>IF(M461="","",IF(AND(N461=_xlfn.MAXIFS(TF_AktSum,TF_Nokkel,M461),COUNTIFS(M$3:M460,M461,N$3:N460,N461)=0),M461,""))</f>
        <v/>
      </c>
    </row>
    <row r="462">
      <c r="A462" s="34" t="n"/>
      <c r="B462" s="35" t="n"/>
      <c r="C462" s="35" t="n"/>
      <c r="D462" s="35" t="n"/>
      <c r="E462" s="35" t="n"/>
      <c r="F462" s="36" t="n"/>
      <c r="G462" s="35" t="n"/>
      <c r="H462" s="30">
        <f>IF(L462="","",INDEX(SkiftNavn,L462))</f>
        <v/>
      </c>
      <c r="I462" s="30">
        <f>IF(OR(A462="",L462=""),"",IF(MOD(A462-INDEX(SkiftStart,L462),Syklus)&lt;DagK,"Kveld",IF(MOD(A462-INDEX(SkiftStart,L462),Syklus)&lt;DagK+DagH,"Helg",IF(MOD(A462-INDEX(SkiftStart,L462),Syklus)&lt;DagK+DagH+DagD,"Dag","Fri"))))</f>
        <v/>
      </c>
      <c r="J462" s="30">
        <f>IF(I462="Fri","Ja","")</f>
        <v/>
      </c>
      <c r="K462" s="30">
        <f>IF(B462="","",IF(L462="","Ukjent tekniker",IF(ISNA(MATCH(C462,Aktiviteter,0)),"Ukjent aktivitet",IF(AND(INDEX(AktRolle,MATCH(C462,Aktiviteter,0))&amp;""&lt;&gt;"",ISERROR(SEARCH(INDEX(AktRolle,MATCH(C462,Aktiviteter,0))&amp;"",INDEX(TekRoller,MATCH(B462,Teknikere,0))))),"Mangler rollen "&amp;INDEX(AktRolle,MATCH(C462,Aktiviteter,0))&amp;"",IF(AND(C462="LMS",F462&gt;0,OR(D462="",E462="")),"Mangler maskin eller arbeid",IF(AND(OR(C462="LMS",C462="Mod"),D462&lt;&gt;""),IF(IFERROR(INDEX(MaskinStatus,MATCH(D462,Maskiner,0)),"")="I dokk","","Maskinen er ikke i dokk"),""))))))</f>
        <v/>
      </c>
      <c r="L462" s="2">
        <f>IF(B462="","",IFERROR(INT((MATCH(B462,Teknikere,0)-1)/18)+1,""))</f>
        <v/>
      </c>
      <c r="M462" s="2">
        <f>IF(OR(A462="",B462=""),"",B462&amp;"|"&amp;A462)</f>
        <v/>
      </c>
      <c r="N462" s="2">
        <f>IF(M462="","",SUMIFS(TF_Timer,TF_Nokkel,M462,TF_Akt,C462))</f>
        <v/>
      </c>
      <c r="O462" s="2">
        <f>IF(M462="","",IF(AND(N462=_xlfn.MAXIFS(TF_AktSum,TF_Nokkel,M462),COUNTIFS(M$3:M461,M462,N$3:N461,N462)=0),M462,""))</f>
        <v/>
      </c>
    </row>
    <row r="463">
      <c r="A463" s="34" t="n"/>
      <c r="B463" s="35" t="n"/>
      <c r="C463" s="35" t="n"/>
      <c r="D463" s="35" t="n"/>
      <c r="E463" s="35" t="n"/>
      <c r="F463" s="36" t="n"/>
      <c r="G463" s="35" t="n"/>
      <c r="H463" s="30">
        <f>IF(L463="","",INDEX(SkiftNavn,L463))</f>
        <v/>
      </c>
      <c r="I463" s="30">
        <f>IF(OR(A463="",L463=""),"",IF(MOD(A463-INDEX(SkiftStart,L463),Syklus)&lt;DagK,"Kveld",IF(MOD(A463-INDEX(SkiftStart,L463),Syklus)&lt;DagK+DagH,"Helg",IF(MOD(A463-INDEX(SkiftStart,L463),Syklus)&lt;DagK+DagH+DagD,"Dag","Fri"))))</f>
        <v/>
      </c>
      <c r="J463" s="30">
        <f>IF(I463="Fri","Ja","")</f>
        <v/>
      </c>
      <c r="K463" s="30">
        <f>IF(B463="","",IF(L463="","Ukjent tekniker",IF(ISNA(MATCH(C463,Aktiviteter,0)),"Ukjent aktivitet",IF(AND(INDEX(AktRolle,MATCH(C463,Aktiviteter,0))&amp;""&lt;&gt;"",ISERROR(SEARCH(INDEX(AktRolle,MATCH(C463,Aktiviteter,0))&amp;"",INDEX(TekRoller,MATCH(B463,Teknikere,0))))),"Mangler rollen "&amp;INDEX(AktRolle,MATCH(C463,Aktiviteter,0))&amp;"",IF(AND(C463="LMS",F463&gt;0,OR(D463="",E463="")),"Mangler maskin eller arbeid",IF(AND(OR(C463="LMS",C463="Mod"),D463&lt;&gt;""),IF(IFERROR(INDEX(MaskinStatus,MATCH(D463,Maskiner,0)),"")="I dokk","","Maskinen er ikke i dokk"),""))))))</f>
        <v/>
      </c>
      <c r="L463" s="2">
        <f>IF(B463="","",IFERROR(INT((MATCH(B463,Teknikere,0)-1)/18)+1,""))</f>
        <v/>
      </c>
      <c r="M463" s="2">
        <f>IF(OR(A463="",B463=""),"",B463&amp;"|"&amp;A463)</f>
        <v/>
      </c>
      <c r="N463" s="2">
        <f>IF(M463="","",SUMIFS(TF_Timer,TF_Nokkel,M463,TF_Akt,C463))</f>
        <v/>
      </c>
      <c r="O463" s="2">
        <f>IF(M463="","",IF(AND(N463=_xlfn.MAXIFS(TF_AktSum,TF_Nokkel,M463),COUNTIFS(M$3:M462,M463,N$3:N462,N463)=0),M463,""))</f>
        <v/>
      </c>
    </row>
    <row r="464">
      <c r="A464" s="34" t="n"/>
      <c r="B464" s="35" t="n"/>
      <c r="C464" s="35" t="n"/>
      <c r="D464" s="35" t="n"/>
      <c r="E464" s="35" t="n"/>
      <c r="F464" s="36" t="n"/>
      <c r="G464" s="35" t="n"/>
      <c r="H464" s="30">
        <f>IF(L464="","",INDEX(SkiftNavn,L464))</f>
        <v/>
      </c>
      <c r="I464" s="30">
        <f>IF(OR(A464="",L464=""),"",IF(MOD(A464-INDEX(SkiftStart,L464),Syklus)&lt;DagK,"Kveld",IF(MOD(A464-INDEX(SkiftStart,L464),Syklus)&lt;DagK+DagH,"Helg",IF(MOD(A464-INDEX(SkiftStart,L464),Syklus)&lt;DagK+DagH+DagD,"Dag","Fri"))))</f>
        <v/>
      </c>
      <c r="J464" s="30">
        <f>IF(I464="Fri","Ja","")</f>
        <v/>
      </c>
      <c r="K464" s="30">
        <f>IF(B464="","",IF(L464="","Ukjent tekniker",IF(ISNA(MATCH(C464,Aktiviteter,0)),"Ukjent aktivitet",IF(AND(INDEX(AktRolle,MATCH(C464,Aktiviteter,0))&amp;""&lt;&gt;"",ISERROR(SEARCH(INDEX(AktRolle,MATCH(C464,Aktiviteter,0))&amp;"",INDEX(TekRoller,MATCH(B464,Teknikere,0))))),"Mangler rollen "&amp;INDEX(AktRolle,MATCH(C464,Aktiviteter,0))&amp;"",IF(AND(C464="LMS",F464&gt;0,OR(D464="",E464="")),"Mangler maskin eller arbeid",IF(AND(OR(C464="LMS",C464="Mod"),D464&lt;&gt;""),IF(IFERROR(INDEX(MaskinStatus,MATCH(D464,Maskiner,0)),"")="I dokk","","Maskinen er ikke i dokk"),""))))))</f>
        <v/>
      </c>
      <c r="L464" s="2">
        <f>IF(B464="","",IFERROR(INT((MATCH(B464,Teknikere,0)-1)/18)+1,""))</f>
        <v/>
      </c>
      <c r="M464" s="2">
        <f>IF(OR(A464="",B464=""),"",B464&amp;"|"&amp;A464)</f>
        <v/>
      </c>
      <c r="N464" s="2">
        <f>IF(M464="","",SUMIFS(TF_Timer,TF_Nokkel,M464,TF_Akt,C464))</f>
        <v/>
      </c>
      <c r="O464" s="2">
        <f>IF(M464="","",IF(AND(N464=_xlfn.MAXIFS(TF_AktSum,TF_Nokkel,M464),COUNTIFS(M$3:M463,M464,N$3:N463,N464)=0),M464,""))</f>
        <v/>
      </c>
    </row>
    <row r="465">
      <c r="A465" s="34" t="n"/>
      <c r="B465" s="35" t="n"/>
      <c r="C465" s="35" t="n"/>
      <c r="D465" s="35" t="n"/>
      <c r="E465" s="35" t="n"/>
      <c r="F465" s="36" t="n"/>
      <c r="G465" s="35" t="n"/>
      <c r="H465" s="30">
        <f>IF(L465="","",INDEX(SkiftNavn,L465))</f>
        <v/>
      </c>
      <c r="I465" s="30">
        <f>IF(OR(A465="",L465=""),"",IF(MOD(A465-INDEX(SkiftStart,L465),Syklus)&lt;DagK,"Kveld",IF(MOD(A465-INDEX(SkiftStart,L465),Syklus)&lt;DagK+DagH,"Helg",IF(MOD(A465-INDEX(SkiftStart,L465),Syklus)&lt;DagK+DagH+DagD,"Dag","Fri"))))</f>
        <v/>
      </c>
      <c r="J465" s="30">
        <f>IF(I465="Fri","Ja","")</f>
        <v/>
      </c>
      <c r="K465" s="30">
        <f>IF(B465="","",IF(L465="","Ukjent tekniker",IF(ISNA(MATCH(C465,Aktiviteter,0)),"Ukjent aktivitet",IF(AND(INDEX(AktRolle,MATCH(C465,Aktiviteter,0))&amp;""&lt;&gt;"",ISERROR(SEARCH(INDEX(AktRolle,MATCH(C465,Aktiviteter,0))&amp;"",INDEX(TekRoller,MATCH(B465,Teknikere,0))))),"Mangler rollen "&amp;INDEX(AktRolle,MATCH(C465,Aktiviteter,0))&amp;"",IF(AND(C465="LMS",F465&gt;0,OR(D465="",E465="")),"Mangler maskin eller arbeid",IF(AND(OR(C465="LMS",C465="Mod"),D465&lt;&gt;""),IF(IFERROR(INDEX(MaskinStatus,MATCH(D465,Maskiner,0)),"")="I dokk","","Maskinen er ikke i dokk"),""))))))</f>
        <v/>
      </c>
      <c r="L465" s="2">
        <f>IF(B465="","",IFERROR(INT((MATCH(B465,Teknikere,0)-1)/18)+1,""))</f>
        <v/>
      </c>
      <c r="M465" s="2">
        <f>IF(OR(A465="",B465=""),"",B465&amp;"|"&amp;A465)</f>
        <v/>
      </c>
      <c r="N465" s="2">
        <f>IF(M465="","",SUMIFS(TF_Timer,TF_Nokkel,M465,TF_Akt,C465))</f>
        <v/>
      </c>
      <c r="O465" s="2">
        <f>IF(M465="","",IF(AND(N465=_xlfn.MAXIFS(TF_AktSum,TF_Nokkel,M465),COUNTIFS(M$3:M464,M465,N$3:N464,N465)=0),M465,""))</f>
        <v/>
      </c>
    </row>
    <row r="466">
      <c r="A466" s="34" t="n"/>
      <c r="B466" s="35" t="n"/>
      <c r="C466" s="35" t="n"/>
      <c r="D466" s="35" t="n"/>
      <c r="E466" s="35" t="n"/>
      <c r="F466" s="36" t="n"/>
      <c r="G466" s="35" t="n"/>
      <c r="H466" s="30">
        <f>IF(L466="","",INDEX(SkiftNavn,L466))</f>
        <v/>
      </c>
      <c r="I466" s="30">
        <f>IF(OR(A466="",L466=""),"",IF(MOD(A466-INDEX(SkiftStart,L466),Syklus)&lt;DagK,"Kveld",IF(MOD(A466-INDEX(SkiftStart,L466),Syklus)&lt;DagK+DagH,"Helg",IF(MOD(A466-INDEX(SkiftStart,L466),Syklus)&lt;DagK+DagH+DagD,"Dag","Fri"))))</f>
        <v/>
      </c>
      <c r="J466" s="30">
        <f>IF(I466="Fri","Ja","")</f>
        <v/>
      </c>
      <c r="K466" s="30">
        <f>IF(B466="","",IF(L466="","Ukjent tekniker",IF(ISNA(MATCH(C466,Aktiviteter,0)),"Ukjent aktivitet",IF(AND(INDEX(AktRolle,MATCH(C466,Aktiviteter,0))&amp;""&lt;&gt;"",ISERROR(SEARCH(INDEX(AktRolle,MATCH(C466,Aktiviteter,0))&amp;"",INDEX(TekRoller,MATCH(B466,Teknikere,0))))),"Mangler rollen "&amp;INDEX(AktRolle,MATCH(C466,Aktiviteter,0))&amp;"",IF(AND(C466="LMS",F466&gt;0,OR(D466="",E466="")),"Mangler maskin eller arbeid",IF(AND(OR(C466="LMS",C466="Mod"),D466&lt;&gt;""),IF(IFERROR(INDEX(MaskinStatus,MATCH(D466,Maskiner,0)),"")="I dokk","","Maskinen er ikke i dokk"),""))))))</f>
        <v/>
      </c>
      <c r="L466" s="2">
        <f>IF(B466="","",IFERROR(INT((MATCH(B466,Teknikere,0)-1)/18)+1,""))</f>
        <v/>
      </c>
      <c r="M466" s="2">
        <f>IF(OR(A466="",B466=""),"",B466&amp;"|"&amp;A466)</f>
        <v/>
      </c>
      <c r="N466" s="2">
        <f>IF(M466="","",SUMIFS(TF_Timer,TF_Nokkel,M466,TF_Akt,C466))</f>
        <v/>
      </c>
      <c r="O466" s="2">
        <f>IF(M466="","",IF(AND(N466=_xlfn.MAXIFS(TF_AktSum,TF_Nokkel,M466),COUNTIFS(M$3:M465,M466,N$3:N465,N466)=0),M466,""))</f>
        <v/>
      </c>
    </row>
    <row r="467">
      <c r="A467" s="34" t="n"/>
      <c r="B467" s="35" t="n"/>
      <c r="C467" s="35" t="n"/>
      <c r="D467" s="35" t="n"/>
      <c r="E467" s="35" t="n"/>
      <c r="F467" s="36" t="n"/>
      <c r="G467" s="35" t="n"/>
      <c r="H467" s="30">
        <f>IF(L467="","",INDEX(SkiftNavn,L467))</f>
        <v/>
      </c>
      <c r="I467" s="30">
        <f>IF(OR(A467="",L467=""),"",IF(MOD(A467-INDEX(SkiftStart,L467),Syklus)&lt;DagK,"Kveld",IF(MOD(A467-INDEX(SkiftStart,L467),Syklus)&lt;DagK+DagH,"Helg",IF(MOD(A467-INDEX(SkiftStart,L467),Syklus)&lt;DagK+DagH+DagD,"Dag","Fri"))))</f>
        <v/>
      </c>
      <c r="J467" s="30">
        <f>IF(I467="Fri","Ja","")</f>
        <v/>
      </c>
      <c r="K467" s="30">
        <f>IF(B467="","",IF(L467="","Ukjent tekniker",IF(ISNA(MATCH(C467,Aktiviteter,0)),"Ukjent aktivitet",IF(AND(INDEX(AktRolle,MATCH(C467,Aktiviteter,0))&amp;""&lt;&gt;"",ISERROR(SEARCH(INDEX(AktRolle,MATCH(C467,Aktiviteter,0))&amp;"",INDEX(TekRoller,MATCH(B467,Teknikere,0))))),"Mangler rollen "&amp;INDEX(AktRolle,MATCH(C467,Aktiviteter,0))&amp;"",IF(AND(C467="LMS",F467&gt;0,OR(D467="",E467="")),"Mangler maskin eller arbeid",IF(AND(OR(C467="LMS",C467="Mod"),D467&lt;&gt;""),IF(IFERROR(INDEX(MaskinStatus,MATCH(D467,Maskiner,0)),"")="I dokk","","Maskinen er ikke i dokk"),""))))))</f>
        <v/>
      </c>
      <c r="L467" s="2">
        <f>IF(B467="","",IFERROR(INT((MATCH(B467,Teknikere,0)-1)/18)+1,""))</f>
        <v/>
      </c>
      <c r="M467" s="2">
        <f>IF(OR(A467="",B467=""),"",B467&amp;"|"&amp;A467)</f>
        <v/>
      </c>
      <c r="N467" s="2">
        <f>IF(M467="","",SUMIFS(TF_Timer,TF_Nokkel,M467,TF_Akt,C467))</f>
        <v/>
      </c>
      <c r="O467" s="2">
        <f>IF(M467="","",IF(AND(N467=_xlfn.MAXIFS(TF_AktSum,TF_Nokkel,M467),COUNTIFS(M$3:M466,M467,N$3:N466,N467)=0),M467,""))</f>
        <v/>
      </c>
    </row>
    <row r="468">
      <c r="A468" s="34" t="n"/>
      <c r="B468" s="35" t="n"/>
      <c r="C468" s="35" t="n"/>
      <c r="D468" s="35" t="n"/>
      <c r="E468" s="35" t="n"/>
      <c r="F468" s="36" t="n"/>
      <c r="G468" s="35" t="n"/>
      <c r="H468" s="30">
        <f>IF(L468="","",INDEX(SkiftNavn,L468))</f>
        <v/>
      </c>
      <c r="I468" s="30">
        <f>IF(OR(A468="",L468=""),"",IF(MOD(A468-INDEX(SkiftStart,L468),Syklus)&lt;DagK,"Kveld",IF(MOD(A468-INDEX(SkiftStart,L468),Syklus)&lt;DagK+DagH,"Helg",IF(MOD(A468-INDEX(SkiftStart,L468),Syklus)&lt;DagK+DagH+DagD,"Dag","Fri"))))</f>
        <v/>
      </c>
      <c r="J468" s="30">
        <f>IF(I468="Fri","Ja","")</f>
        <v/>
      </c>
      <c r="K468" s="30">
        <f>IF(B468="","",IF(L468="","Ukjent tekniker",IF(ISNA(MATCH(C468,Aktiviteter,0)),"Ukjent aktivitet",IF(AND(INDEX(AktRolle,MATCH(C468,Aktiviteter,0))&amp;""&lt;&gt;"",ISERROR(SEARCH(INDEX(AktRolle,MATCH(C468,Aktiviteter,0))&amp;"",INDEX(TekRoller,MATCH(B468,Teknikere,0))))),"Mangler rollen "&amp;INDEX(AktRolle,MATCH(C468,Aktiviteter,0))&amp;"",IF(AND(C468="LMS",F468&gt;0,OR(D468="",E468="")),"Mangler maskin eller arbeid",IF(AND(OR(C468="LMS",C468="Mod"),D468&lt;&gt;""),IF(IFERROR(INDEX(MaskinStatus,MATCH(D468,Maskiner,0)),"")="I dokk","","Maskinen er ikke i dokk"),""))))))</f>
        <v/>
      </c>
      <c r="L468" s="2">
        <f>IF(B468="","",IFERROR(INT((MATCH(B468,Teknikere,0)-1)/18)+1,""))</f>
        <v/>
      </c>
      <c r="M468" s="2">
        <f>IF(OR(A468="",B468=""),"",B468&amp;"|"&amp;A468)</f>
        <v/>
      </c>
      <c r="N468" s="2">
        <f>IF(M468="","",SUMIFS(TF_Timer,TF_Nokkel,M468,TF_Akt,C468))</f>
        <v/>
      </c>
      <c r="O468" s="2">
        <f>IF(M468="","",IF(AND(N468=_xlfn.MAXIFS(TF_AktSum,TF_Nokkel,M468),COUNTIFS(M$3:M467,M468,N$3:N467,N468)=0),M468,""))</f>
        <v/>
      </c>
    </row>
    <row r="469">
      <c r="A469" s="34" t="n"/>
      <c r="B469" s="35" t="n"/>
      <c r="C469" s="35" t="n"/>
      <c r="D469" s="35" t="n"/>
      <c r="E469" s="35" t="n"/>
      <c r="F469" s="36" t="n"/>
      <c r="G469" s="35" t="n"/>
      <c r="H469" s="30">
        <f>IF(L469="","",INDEX(SkiftNavn,L469))</f>
        <v/>
      </c>
      <c r="I469" s="30">
        <f>IF(OR(A469="",L469=""),"",IF(MOD(A469-INDEX(SkiftStart,L469),Syklus)&lt;DagK,"Kveld",IF(MOD(A469-INDEX(SkiftStart,L469),Syklus)&lt;DagK+DagH,"Helg",IF(MOD(A469-INDEX(SkiftStart,L469),Syklus)&lt;DagK+DagH+DagD,"Dag","Fri"))))</f>
        <v/>
      </c>
      <c r="J469" s="30">
        <f>IF(I469="Fri","Ja","")</f>
        <v/>
      </c>
      <c r="K469" s="30">
        <f>IF(B469="","",IF(L469="","Ukjent tekniker",IF(ISNA(MATCH(C469,Aktiviteter,0)),"Ukjent aktivitet",IF(AND(INDEX(AktRolle,MATCH(C469,Aktiviteter,0))&amp;""&lt;&gt;"",ISERROR(SEARCH(INDEX(AktRolle,MATCH(C469,Aktiviteter,0))&amp;"",INDEX(TekRoller,MATCH(B469,Teknikere,0))))),"Mangler rollen "&amp;INDEX(AktRolle,MATCH(C469,Aktiviteter,0))&amp;"",IF(AND(C469="LMS",F469&gt;0,OR(D469="",E469="")),"Mangler maskin eller arbeid",IF(AND(OR(C469="LMS",C469="Mod"),D469&lt;&gt;""),IF(IFERROR(INDEX(MaskinStatus,MATCH(D469,Maskiner,0)),"")="I dokk","","Maskinen er ikke i dokk"),""))))))</f>
        <v/>
      </c>
      <c r="L469" s="2">
        <f>IF(B469="","",IFERROR(INT((MATCH(B469,Teknikere,0)-1)/18)+1,""))</f>
        <v/>
      </c>
      <c r="M469" s="2">
        <f>IF(OR(A469="",B469=""),"",B469&amp;"|"&amp;A469)</f>
        <v/>
      </c>
      <c r="N469" s="2">
        <f>IF(M469="","",SUMIFS(TF_Timer,TF_Nokkel,M469,TF_Akt,C469))</f>
        <v/>
      </c>
      <c r="O469" s="2">
        <f>IF(M469="","",IF(AND(N469=_xlfn.MAXIFS(TF_AktSum,TF_Nokkel,M469),COUNTIFS(M$3:M468,M469,N$3:N468,N469)=0),M469,""))</f>
        <v/>
      </c>
    </row>
    <row r="470">
      <c r="A470" s="34" t="n"/>
      <c r="B470" s="35" t="n"/>
      <c r="C470" s="35" t="n"/>
      <c r="D470" s="35" t="n"/>
      <c r="E470" s="35" t="n"/>
      <c r="F470" s="36" t="n"/>
      <c r="G470" s="35" t="n"/>
      <c r="H470" s="30">
        <f>IF(L470="","",INDEX(SkiftNavn,L470))</f>
        <v/>
      </c>
      <c r="I470" s="30">
        <f>IF(OR(A470="",L470=""),"",IF(MOD(A470-INDEX(SkiftStart,L470),Syklus)&lt;DagK,"Kveld",IF(MOD(A470-INDEX(SkiftStart,L470),Syklus)&lt;DagK+DagH,"Helg",IF(MOD(A470-INDEX(SkiftStart,L470),Syklus)&lt;DagK+DagH+DagD,"Dag","Fri"))))</f>
        <v/>
      </c>
      <c r="J470" s="30">
        <f>IF(I470="Fri","Ja","")</f>
        <v/>
      </c>
      <c r="K470" s="30">
        <f>IF(B470="","",IF(L470="","Ukjent tekniker",IF(ISNA(MATCH(C470,Aktiviteter,0)),"Ukjent aktivitet",IF(AND(INDEX(AktRolle,MATCH(C470,Aktiviteter,0))&amp;""&lt;&gt;"",ISERROR(SEARCH(INDEX(AktRolle,MATCH(C470,Aktiviteter,0))&amp;"",INDEX(TekRoller,MATCH(B470,Teknikere,0))))),"Mangler rollen "&amp;INDEX(AktRolle,MATCH(C470,Aktiviteter,0))&amp;"",IF(AND(C470="LMS",F470&gt;0,OR(D470="",E470="")),"Mangler maskin eller arbeid",IF(AND(OR(C470="LMS",C470="Mod"),D470&lt;&gt;""),IF(IFERROR(INDEX(MaskinStatus,MATCH(D470,Maskiner,0)),"")="I dokk","","Maskinen er ikke i dokk"),""))))))</f>
        <v/>
      </c>
      <c r="L470" s="2">
        <f>IF(B470="","",IFERROR(INT((MATCH(B470,Teknikere,0)-1)/18)+1,""))</f>
        <v/>
      </c>
      <c r="M470" s="2">
        <f>IF(OR(A470="",B470=""),"",B470&amp;"|"&amp;A470)</f>
        <v/>
      </c>
      <c r="N470" s="2">
        <f>IF(M470="","",SUMIFS(TF_Timer,TF_Nokkel,M470,TF_Akt,C470))</f>
        <v/>
      </c>
      <c r="O470" s="2">
        <f>IF(M470="","",IF(AND(N470=_xlfn.MAXIFS(TF_AktSum,TF_Nokkel,M470),COUNTIFS(M$3:M469,M470,N$3:N469,N470)=0),M470,""))</f>
        <v/>
      </c>
    </row>
    <row r="471">
      <c r="A471" s="34" t="n"/>
      <c r="B471" s="35" t="n"/>
      <c r="C471" s="35" t="n"/>
      <c r="D471" s="35" t="n"/>
      <c r="E471" s="35" t="n"/>
      <c r="F471" s="36" t="n"/>
      <c r="G471" s="35" t="n"/>
      <c r="H471" s="30">
        <f>IF(L471="","",INDEX(SkiftNavn,L471))</f>
        <v/>
      </c>
      <c r="I471" s="30">
        <f>IF(OR(A471="",L471=""),"",IF(MOD(A471-INDEX(SkiftStart,L471),Syklus)&lt;DagK,"Kveld",IF(MOD(A471-INDEX(SkiftStart,L471),Syklus)&lt;DagK+DagH,"Helg",IF(MOD(A471-INDEX(SkiftStart,L471),Syklus)&lt;DagK+DagH+DagD,"Dag","Fri"))))</f>
        <v/>
      </c>
      <c r="J471" s="30">
        <f>IF(I471="Fri","Ja","")</f>
        <v/>
      </c>
      <c r="K471" s="30">
        <f>IF(B471="","",IF(L471="","Ukjent tekniker",IF(ISNA(MATCH(C471,Aktiviteter,0)),"Ukjent aktivitet",IF(AND(INDEX(AktRolle,MATCH(C471,Aktiviteter,0))&amp;""&lt;&gt;"",ISERROR(SEARCH(INDEX(AktRolle,MATCH(C471,Aktiviteter,0))&amp;"",INDEX(TekRoller,MATCH(B471,Teknikere,0))))),"Mangler rollen "&amp;INDEX(AktRolle,MATCH(C471,Aktiviteter,0))&amp;"",IF(AND(C471="LMS",F471&gt;0,OR(D471="",E471="")),"Mangler maskin eller arbeid",IF(AND(OR(C471="LMS",C471="Mod"),D471&lt;&gt;""),IF(IFERROR(INDEX(MaskinStatus,MATCH(D471,Maskiner,0)),"")="I dokk","","Maskinen er ikke i dokk"),""))))))</f>
        <v/>
      </c>
      <c r="L471" s="2">
        <f>IF(B471="","",IFERROR(INT((MATCH(B471,Teknikere,0)-1)/18)+1,""))</f>
        <v/>
      </c>
      <c r="M471" s="2">
        <f>IF(OR(A471="",B471=""),"",B471&amp;"|"&amp;A471)</f>
        <v/>
      </c>
      <c r="N471" s="2">
        <f>IF(M471="","",SUMIFS(TF_Timer,TF_Nokkel,M471,TF_Akt,C471))</f>
        <v/>
      </c>
      <c r="O471" s="2">
        <f>IF(M471="","",IF(AND(N471=_xlfn.MAXIFS(TF_AktSum,TF_Nokkel,M471),COUNTIFS(M$3:M470,M471,N$3:N470,N471)=0),M471,""))</f>
        <v/>
      </c>
    </row>
    <row r="472">
      <c r="A472" s="34" t="n"/>
      <c r="B472" s="35" t="n"/>
      <c r="C472" s="35" t="n"/>
      <c r="D472" s="35" t="n"/>
      <c r="E472" s="35" t="n"/>
      <c r="F472" s="36" t="n"/>
      <c r="G472" s="35" t="n"/>
      <c r="H472" s="30">
        <f>IF(L472="","",INDEX(SkiftNavn,L472))</f>
        <v/>
      </c>
      <c r="I472" s="30">
        <f>IF(OR(A472="",L472=""),"",IF(MOD(A472-INDEX(SkiftStart,L472),Syklus)&lt;DagK,"Kveld",IF(MOD(A472-INDEX(SkiftStart,L472),Syklus)&lt;DagK+DagH,"Helg",IF(MOD(A472-INDEX(SkiftStart,L472),Syklus)&lt;DagK+DagH+DagD,"Dag","Fri"))))</f>
        <v/>
      </c>
      <c r="J472" s="30">
        <f>IF(I472="Fri","Ja","")</f>
        <v/>
      </c>
      <c r="K472" s="30">
        <f>IF(B472="","",IF(L472="","Ukjent tekniker",IF(ISNA(MATCH(C472,Aktiviteter,0)),"Ukjent aktivitet",IF(AND(INDEX(AktRolle,MATCH(C472,Aktiviteter,0))&amp;""&lt;&gt;"",ISERROR(SEARCH(INDEX(AktRolle,MATCH(C472,Aktiviteter,0))&amp;"",INDEX(TekRoller,MATCH(B472,Teknikere,0))))),"Mangler rollen "&amp;INDEX(AktRolle,MATCH(C472,Aktiviteter,0))&amp;"",IF(AND(C472="LMS",F472&gt;0,OR(D472="",E472="")),"Mangler maskin eller arbeid",IF(AND(OR(C472="LMS",C472="Mod"),D472&lt;&gt;""),IF(IFERROR(INDEX(MaskinStatus,MATCH(D472,Maskiner,0)),"")="I dokk","","Maskinen er ikke i dokk"),""))))))</f>
        <v/>
      </c>
      <c r="L472" s="2">
        <f>IF(B472="","",IFERROR(INT((MATCH(B472,Teknikere,0)-1)/18)+1,""))</f>
        <v/>
      </c>
      <c r="M472" s="2">
        <f>IF(OR(A472="",B472=""),"",B472&amp;"|"&amp;A472)</f>
        <v/>
      </c>
      <c r="N472" s="2">
        <f>IF(M472="","",SUMIFS(TF_Timer,TF_Nokkel,M472,TF_Akt,C472))</f>
        <v/>
      </c>
      <c r="O472" s="2">
        <f>IF(M472="","",IF(AND(N472=_xlfn.MAXIFS(TF_AktSum,TF_Nokkel,M472),COUNTIFS(M$3:M471,M472,N$3:N471,N472)=0),M472,""))</f>
        <v/>
      </c>
    </row>
    <row r="473">
      <c r="A473" s="34" t="n"/>
      <c r="B473" s="35" t="n"/>
      <c r="C473" s="35" t="n"/>
      <c r="D473" s="35" t="n"/>
      <c r="E473" s="35" t="n"/>
      <c r="F473" s="36" t="n"/>
      <c r="G473" s="35" t="n"/>
      <c r="H473" s="30">
        <f>IF(L473="","",INDEX(SkiftNavn,L473))</f>
        <v/>
      </c>
      <c r="I473" s="30">
        <f>IF(OR(A473="",L473=""),"",IF(MOD(A473-INDEX(SkiftStart,L473),Syklus)&lt;DagK,"Kveld",IF(MOD(A473-INDEX(SkiftStart,L473),Syklus)&lt;DagK+DagH,"Helg",IF(MOD(A473-INDEX(SkiftStart,L473),Syklus)&lt;DagK+DagH+DagD,"Dag","Fri"))))</f>
        <v/>
      </c>
      <c r="J473" s="30">
        <f>IF(I473="Fri","Ja","")</f>
        <v/>
      </c>
      <c r="K473" s="30">
        <f>IF(B473="","",IF(L473="","Ukjent tekniker",IF(ISNA(MATCH(C473,Aktiviteter,0)),"Ukjent aktivitet",IF(AND(INDEX(AktRolle,MATCH(C473,Aktiviteter,0))&amp;""&lt;&gt;"",ISERROR(SEARCH(INDEX(AktRolle,MATCH(C473,Aktiviteter,0))&amp;"",INDEX(TekRoller,MATCH(B473,Teknikere,0))))),"Mangler rollen "&amp;INDEX(AktRolle,MATCH(C473,Aktiviteter,0))&amp;"",IF(AND(C473="LMS",F473&gt;0,OR(D473="",E473="")),"Mangler maskin eller arbeid",IF(AND(OR(C473="LMS",C473="Mod"),D473&lt;&gt;""),IF(IFERROR(INDEX(MaskinStatus,MATCH(D473,Maskiner,0)),"")="I dokk","","Maskinen er ikke i dokk"),""))))))</f>
        <v/>
      </c>
      <c r="L473" s="2">
        <f>IF(B473="","",IFERROR(INT((MATCH(B473,Teknikere,0)-1)/18)+1,""))</f>
        <v/>
      </c>
      <c r="M473" s="2">
        <f>IF(OR(A473="",B473=""),"",B473&amp;"|"&amp;A473)</f>
        <v/>
      </c>
      <c r="N473" s="2">
        <f>IF(M473="","",SUMIFS(TF_Timer,TF_Nokkel,M473,TF_Akt,C473))</f>
        <v/>
      </c>
      <c r="O473" s="2">
        <f>IF(M473="","",IF(AND(N473=_xlfn.MAXIFS(TF_AktSum,TF_Nokkel,M473),COUNTIFS(M$3:M472,M473,N$3:N472,N473)=0),M473,""))</f>
        <v/>
      </c>
    </row>
    <row r="474">
      <c r="A474" s="34" t="n"/>
      <c r="B474" s="35" t="n"/>
      <c r="C474" s="35" t="n"/>
      <c r="D474" s="35" t="n"/>
      <c r="E474" s="35" t="n"/>
      <c r="F474" s="36" t="n"/>
      <c r="G474" s="35" t="n"/>
      <c r="H474" s="30">
        <f>IF(L474="","",INDEX(SkiftNavn,L474))</f>
        <v/>
      </c>
      <c r="I474" s="30">
        <f>IF(OR(A474="",L474=""),"",IF(MOD(A474-INDEX(SkiftStart,L474),Syklus)&lt;DagK,"Kveld",IF(MOD(A474-INDEX(SkiftStart,L474),Syklus)&lt;DagK+DagH,"Helg",IF(MOD(A474-INDEX(SkiftStart,L474),Syklus)&lt;DagK+DagH+DagD,"Dag","Fri"))))</f>
        <v/>
      </c>
      <c r="J474" s="30">
        <f>IF(I474="Fri","Ja","")</f>
        <v/>
      </c>
      <c r="K474" s="30">
        <f>IF(B474="","",IF(L474="","Ukjent tekniker",IF(ISNA(MATCH(C474,Aktiviteter,0)),"Ukjent aktivitet",IF(AND(INDEX(AktRolle,MATCH(C474,Aktiviteter,0))&amp;""&lt;&gt;"",ISERROR(SEARCH(INDEX(AktRolle,MATCH(C474,Aktiviteter,0))&amp;"",INDEX(TekRoller,MATCH(B474,Teknikere,0))))),"Mangler rollen "&amp;INDEX(AktRolle,MATCH(C474,Aktiviteter,0))&amp;"",IF(AND(C474="LMS",F474&gt;0,OR(D474="",E474="")),"Mangler maskin eller arbeid",IF(AND(OR(C474="LMS",C474="Mod"),D474&lt;&gt;""),IF(IFERROR(INDEX(MaskinStatus,MATCH(D474,Maskiner,0)),"")="I dokk","","Maskinen er ikke i dokk"),""))))))</f>
        <v/>
      </c>
      <c r="L474" s="2">
        <f>IF(B474="","",IFERROR(INT((MATCH(B474,Teknikere,0)-1)/18)+1,""))</f>
        <v/>
      </c>
      <c r="M474" s="2">
        <f>IF(OR(A474="",B474=""),"",B474&amp;"|"&amp;A474)</f>
        <v/>
      </c>
      <c r="N474" s="2">
        <f>IF(M474="","",SUMIFS(TF_Timer,TF_Nokkel,M474,TF_Akt,C474))</f>
        <v/>
      </c>
      <c r="O474" s="2">
        <f>IF(M474="","",IF(AND(N474=_xlfn.MAXIFS(TF_AktSum,TF_Nokkel,M474),COUNTIFS(M$3:M473,M474,N$3:N473,N474)=0),M474,""))</f>
        <v/>
      </c>
    </row>
    <row r="475">
      <c r="A475" s="34" t="n"/>
      <c r="B475" s="35" t="n"/>
      <c r="C475" s="35" t="n"/>
      <c r="D475" s="35" t="n"/>
      <c r="E475" s="35" t="n"/>
      <c r="F475" s="36" t="n"/>
      <c r="G475" s="35" t="n"/>
      <c r="H475" s="30">
        <f>IF(L475="","",INDEX(SkiftNavn,L475))</f>
        <v/>
      </c>
      <c r="I475" s="30">
        <f>IF(OR(A475="",L475=""),"",IF(MOD(A475-INDEX(SkiftStart,L475),Syklus)&lt;DagK,"Kveld",IF(MOD(A475-INDEX(SkiftStart,L475),Syklus)&lt;DagK+DagH,"Helg",IF(MOD(A475-INDEX(SkiftStart,L475),Syklus)&lt;DagK+DagH+DagD,"Dag","Fri"))))</f>
        <v/>
      </c>
      <c r="J475" s="30">
        <f>IF(I475="Fri","Ja","")</f>
        <v/>
      </c>
      <c r="K475" s="30">
        <f>IF(B475="","",IF(L475="","Ukjent tekniker",IF(ISNA(MATCH(C475,Aktiviteter,0)),"Ukjent aktivitet",IF(AND(INDEX(AktRolle,MATCH(C475,Aktiviteter,0))&amp;""&lt;&gt;"",ISERROR(SEARCH(INDEX(AktRolle,MATCH(C475,Aktiviteter,0))&amp;"",INDEX(TekRoller,MATCH(B475,Teknikere,0))))),"Mangler rollen "&amp;INDEX(AktRolle,MATCH(C475,Aktiviteter,0))&amp;"",IF(AND(C475="LMS",F475&gt;0,OR(D475="",E475="")),"Mangler maskin eller arbeid",IF(AND(OR(C475="LMS",C475="Mod"),D475&lt;&gt;""),IF(IFERROR(INDEX(MaskinStatus,MATCH(D475,Maskiner,0)),"")="I dokk","","Maskinen er ikke i dokk"),""))))))</f>
        <v/>
      </c>
      <c r="L475" s="2">
        <f>IF(B475="","",IFERROR(INT((MATCH(B475,Teknikere,0)-1)/18)+1,""))</f>
        <v/>
      </c>
      <c r="M475" s="2">
        <f>IF(OR(A475="",B475=""),"",B475&amp;"|"&amp;A475)</f>
        <v/>
      </c>
      <c r="N475" s="2">
        <f>IF(M475="","",SUMIFS(TF_Timer,TF_Nokkel,M475,TF_Akt,C475))</f>
        <v/>
      </c>
      <c r="O475" s="2">
        <f>IF(M475="","",IF(AND(N475=_xlfn.MAXIFS(TF_AktSum,TF_Nokkel,M475),COUNTIFS(M$3:M474,M475,N$3:N474,N475)=0),M475,""))</f>
        <v/>
      </c>
    </row>
    <row r="476">
      <c r="A476" s="34" t="n"/>
      <c r="B476" s="35" t="n"/>
      <c r="C476" s="35" t="n"/>
      <c r="D476" s="35" t="n"/>
      <c r="E476" s="35" t="n"/>
      <c r="F476" s="36" t="n"/>
      <c r="G476" s="35" t="n"/>
      <c r="H476" s="30">
        <f>IF(L476="","",INDEX(SkiftNavn,L476))</f>
        <v/>
      </c>
      <c r="I476" s="30">
        <f>IF(OR(A476="",L476=""),"",IF(MOD(A476-INDEX(SkiftStart,L476),Syklus)&lt;DagK,"Kveld",IF(MOD(A476-INDEX(SkiftStart,L476),Syklus)&lt;DagK+DagH,"Helg",IF(MOD(A476-INDEX(SkiftStart,L476),Syklus)&lt;DagK+DagH+DagD,"Dag","Fri"))))</f>
        <v/>
      </c>
      <c r="J476" s="30">
        <f>IF(I476="Fri","Ja","")</f>
        <v/>
      </c>
      <c r="K476" s="30">
        <f>IF(B476="","",IF(L476="","Ukjent tekniker",IF(ISNA(MATCH(C476,Aktiviteter,0)),"Ukjent aktivitet",IF(AND(INDEX(AktRolle,MATCH(C476,Aktiviteter,0))&amp;""&lt;&gt;"",ISERROR(SEARCH(INDEX(AktRolle,MATCH(C476,Aktiviteter,0))&amp;"",INDEX(TekRoller,MATCH(B476,Teknikere,0))))),"Mangler rollen "&amp;INDEX(AktRolle,MATCH(C476,Aktiviteter,0))&amp;"",IF(AND(C476="LMS",F476&gt;0,OR(D476="",E476="")),"Mangler maskin eller arbeid",IF(AND(OR(C476="LMS",C476="Mod"),D476&lt;&gt;""),IF(IFERROR(INDEX(MaskinStatus,MATCH(D476,Maskiner,0)),"")="I dokk","","Maskinen er ikke i dokk"),""))))))</f>
        <v/>
      </c>
      <c r="L476" s="2">
        <f>IF(B476="","",IFERROR(INT((MATCH(B476,Teknikere,0)-1)/18)+1,""))</f>
        <v/>
      </c>
      <c r="M476" s="2">
        <f>IF(OR(A476="",B476=""),"",B476&amp;"|"&amp;A476)</f>
        <v/>
      </c>
      <c r="N476" s="2">
        <f>IF(M476="","",SUMIFS(TF_Timer,TF_Nokkel,M476,TF_Akt,C476))</f>
        <v/>
      </c>
      <c r="O476" s="2">
        <f>IF(M476="","",IF(AND(N476=_xlfn.MAXIFS(TF_AktSum,TF_Nokkel,M476),COUNTIFS(M$3:M475,M476,N$3:N475,N476)=0),M476,""))</f>
        <v/>
      </c>
    </row>
    <row r="477">
      <c r="A477" s="34" t="n"/>
      <c r="B477" s="35" t="n"/>
      <c r="C477" s="35" t="n"/>
      <c r="D477" s="35" t="n"/>
      <c r="E477" s="35" t="n"/>
      <c r="F477" s="36" t="n"/>
      <c r="G477" s="35" t="n"/>
      <c r="H477" s="30">
        <f>IF(L477="","",INDEX(SkiftNavn,L477))</f>
        <v/>
      </c>
      <c r="I477" s="30">
        <f>IF(OR(A477="",L477=""),"",IF(MOD(A477-INDEX(SkiftStart,L477),Syklus)&lt;DagK,"Kveld",IF(MOD(A477-INDEX(SkiftStart,L477),Syklus)&lt;DagK+DagH,"Helg",IF(MOD(A477-INDEX(SkiftStart,L477),Syklus)&lt;DagK+DagH+DagD,"Dag","Fri"))))</f>
        <v/>
      </c>
      <c r="J477" s="30">
        <f>IF(I477="Fri","Ja","")</f>
        <v/>
      </c>
      <c r="K477" s="30">
        <f>IF(B477="","",IF(L477="","Ukjent tekniker",IF(ISNA(MATCH(C477,Aktiviteter,0)),"Ukjent aktivitet",IF(AND(INDEX(AktRolle,MATCH(C477,Aktiviteter,0))&amp;""&lt;&gt;"",ISERROR(SEARCH(INDEX(AktRolle,MATCH(C477,Aktiviteter,0))&amp;"",INDEX(TekRoller,MATCH(B477,Teknikere,0))))),"Mangler rollen "&amp;INDEX(AktRolle,MATCH(C477,Aktiviteter,0))&amp;"",IF(AND(C477="LMS",F477&gt;0,OR(D477="",E477="")),"Mangler maskin eller arbeid",IF(AND(OR(C477="LMS",C477="Mod"),D477&lt;&gt;""),IF(IFERROR(INDEX(MaskinStatus,MATCH(D477,Maskiner,0)),"")="I dokk","","Maskinen er ikke i dokk"),""))))))</f>
        <v/>
      </c>
      <c r="L477" s="2">
        <f>IF(B477="","",IFERROR(INT((MATCH(B477,Teknikere,0)-1)/18)+1,""))</f>
        <v/>
      </c>
      <c r="M477" s="2">
        <f>IF(OR(A477="",B477=""),"",B477&amp;"|"&amp;A477)</f>
        <v/>
      </c>
      <c r="N477" s="2">
        <f>IF(M477="","",SUMIFS(TF_Timer,TF_Nokkel,M477,TF_Akt,C477))</f>
        <v/>
      </c>
      <c r="O477" s="2">
        <f>IF(M477="","",IF(AND(N477=_xlfn.MAXIFS(TF_AktSum,TF_Nokkel,M477),COUNTIFS(M$3:M476,M477,N$3:N476,N477)=0),M477,""))</f>
        <v/>
      </c>
    </row>
    <row r="478">
      <c r="A478" s="34" t="n"/>
      <c r="B478" s="35" t="n"/>
      <c r="C478" s="35" t="n"/>
      <c r="D478" s="35" t="n"/>
      <c r="E478" s="35" t="n"/>
      <c r="F478" s="36" t="n"/>
      <c r="G478" s="35" t="n"/>
      <c r="H478" s="30">
        <f>IF(L478="","",INDEX(SkiftNavn,L478))</f>
        <v/>
      </c>
      <c r="I478" s="30">
        <f>IF(OR(A478="",L478=""),"",IF(MOD(A478-INDEX(SkiftStart,L478),Syklus)&lt;DagK,"Kveld",IF(MOD(A478-INDEX(SkiftStart,L478),Syklus)&lt;DagK+DagH,"Helg",IF(MOD(A478-INDEX(SkiftStart,L478),Syklus)&lt;DagK+DagH+DagD,"Dag","Fri"))))</f>
        <v/>
      </c>
      <c r="J478" s="30">
        <f>IF(I478="Fri","Ja","")</f>
        <v/>
      </c>
      <c r="K478" s="30">
        <f>IF(B478="","",IF(L478="","Ukjent tekniker",IF(ISNA(MATCH(C478,Aktiviteter,0)),"Ukjent aktivitet",IF(AND(INDEX(AktRolle,MATCH(C478,Aktiviteter,0))&amp;""&lt;&gt;"",ISERROR(SEARCH(INDEX(AktRolle,MATCH(C478,Aktiviteter,0))&amp;"",INDEX(TekRoller,MATCH(B478,Teknikere,0))))),"Mangler rollen "&amp;INDEX(AktRolle,MATCH(C478,Aktiviteter,0))&amp;"",IF(AND(C478="LMS",F478&gt;0,OR(D478="",E478="")),"Mangler maskin eller arbeid",IF(AND(OR(C478="LMS",C478="Mod"),D478&lt;&gt;""),IF(IFERROR(INDEX(MaskinStatus,MATCH(D478,Maskiner,0)),"")="I dokk","","Maskinen er ikke i dokk"),""))))))</f>
        <v/>
      </c>
      <c r="L478" s="2">
        <f>IF(B478="","",IFERROR(INT((MATCH(B478,Teknikere,0)-1)/18)+1,""))</f>
        <v/>
      </c>
      <c r="M478" s="2">
        <f>IF(OR(A478="",B478=""),"",B478&amp;"|"&amp;A478)</f>
        <v/>
      </c>
      <c r="N478" s="2">
        <f>IF(M478="","",SUMIFS(TF_Timer,TF_Nokkel,M478,TF_Akt,C478))</f>
        <v/>
      </c>
      <c r="O478" s="2">
        <f>IF(M478="","",IF(AND(N478=_xlfn.MAXIFS(TF_AktSum,TF_Nokkel,M478),COUNTIFS(M$3:M477,M478,N$3:N477,N478)=0),M478,""))</f>
        <v/>
      </c>
    </row>
    <row r="479">
      <c r="A479" s="34" t="n"/>
      <c r="B479" s="35" t="n"/>
      <c r="C479" s="35" t="n"/>
      <c r="D479" s="35" t="n"/>
      <c r="E479" s="35" t="n"/>
      <c r="F479" s="36" t="n"/>
      <c r="G479" s="35" t="n"/>
      <c r="H479" s="30">
        <f>IF(L479="","",INDEX(SkiftNavn,L479))</f>
        <v/>
      </c>
      <c r="I479" s="30">
        <f>IF(OR(A479="",L479=""),"",IF(MOD(A479-INDEX(SkiftStart,L479),Syklus)&lt;DagK,"Kveld",IF(MOD(A479-INDEX(SkiftStart,L479),Syklus)&lt;DagK+DagH,"Helg",IF(MOD(A479-INDEX(SkiftStart,L479),Syklus)&lt;DagK+DagH+DagD,"Dag","Fri"))))</f>
        <v/>
      </c>
      <c r="J479" s="30">
        <f>IF(I479="Fri","Ja","")</f>
        <v/>
      </c>
      <c r="K479" s="30">
        <f>IF(B479="","",IF(L479="","Ukjent tekniker",IF(ISNA(MATCH(C479,Aktiviteter,0)),"Ukjent aktivitet",IF(AND(INDEX(AktRolle,MATCH(C479,Aktiviteter,0))&amp;""&lt;&gt;"",ISERROR(SEARCH(INDEX(AktRolle,MATCH(C479,Aktiviteter,0))&amp;"",INDEX(TekRoller,MATCH(B479,Teknikere,0))))),"Mangler rollen "&amp;INDEX(AktRolle,MATCH(C479,Aktiviteter,0))&amp;"",IF(AND(C479="LMS",F479&gt;0,OR(D479="",E479="")),"Mangler maskin eller arbeid",IF(AND(OR(C479="LMS",C479="Mod"),D479&lt;&gt;""),IF(IFERROR(INDEX(MaskinStatus,MATCH(D479,Maskiner,0)),"")="I dokk","","Maskinen er ikke i dokk"),""))))))</f>
        <v/>
      </c>
      <c r="L479" s="2">
        <f>IF(B479="","",IFERROR(INT((MATCH(B479,Teknikere,0)-1)/18)+1,""))</f>
        <v/>
      </c>
      <c r="M479" s="2">
        <f>IF(OR(A479="",B479=""),"",B479&amp;"|"&amp;A479)</f>
        <v/>
      </c>
      <c r="N479" s="2">
        <f>IF(M479="","",SUMIFS(TF_Timer,TF_Nokkel,M479,TF_Akt,C479))</f>
        <v/>
      </c>
      <c r="O479" s="2">
        <f>IF(M479="","",IF(AND(N479=_xlfn.MAXIFS(TF_AktSum,TF_Nokkel,M479),COUNTIFS(M$3:M478,M479,N$3:N478,N479)=0),M479,""))</f>
        <v/>
      </c>
    </row>
    <row r="480">
      <c r="A480" s="34" t="n"/>
      <c r="B480" s="35" t="n"/>
      <c r="C480" s="35" t="n"/>
      <c r="D480" s="35" t="n"/>
      <c r="E480" s="35" t="n"/>
      <c r="F480" s="36" t="n"/>
      <c r="G480" s="35" t="n"/>
      <c r="H480" s="30">
        <f>IF(L480="","",INDEX(SkiftNavn,L480))</f>
        <v/>
      </c>
      <c r="I480" s="30">
        <f>IF(OR(A480="",L480=""),"",IF(MOD(A480-INDEX(SkiftStart,L480),Syklus)&lt;DagK,"Kveld",IF(MOD(A480-INDEX(SkiftStart,L480),Syklus)&lt;DagK+DagH,"Helg",IF(MOD(A480-INDEX(SkiftStart,L480),Syklus)&lt;DagK+DagH+DagD,"Dag","Fri"))))</f>
        <v/>
      </c>
      <c r="J480" s="30">
        <f>IF(I480="Fri","Ja","")</f>
        <v/>
      </c>
      <c r="K480" s="30">
        <f>IF(B480="","",IF(L480="","Ukjent tekniker",IF(ISNA(MATCH(C480,Aktiviteter,0)),"Ukjent aktivitet",IF(AND(INDEX(AktRolle,MATCH(C480,Aktiviteter,0))&amp;""&lt;&gt;"",ISERROR(SEARCH(INDEX(AktRolle,MATCH(C480,Aktiviteter,0))&amp;"",INDEX(TekRoller,MATCH(B480,Teknikere,0))))),"Mangler rollen "&amp;INDEX(AktRolle,MATCH(C480,Aktiviteter,0))&amp;"",IF(AND(C480="LMS",F480&gt;0,OR(D480="",E480="")),"Mangler maskin eller arbeid",IF(AND(OR(C480="LMS",C480="Mod"),D480&lt;&gt;""),IF(IFERROR(INDEX(MaskinStatus,MATCH(D480,Maskiner,0)),"")="I dokk","","Maskinen er ikke i dokk"),""))))))</f>
        <v/>
      </c>
      <c r="L480" s="2">
        <f>IF(B480="","",IFERROR(INT((MATCH(B480,Teknikere,0)-1)/18)+1,""))</f>
        <v/>
      </c>
      <c r="M480" s="2">
        <f>IF(OR(A480="",B480=""),"",B480&amp;"|"&amp;A480)</f>
        <v/>
      </c>
      <c r="N480" s="2">
        <f>IF(M480="","",SUMIFS(TF_Timer,TF_Nokkel,M480,TF_Akt,C480))</f>
        <v/>
      </c>
      <c r="O480" s="2">
        <f>IF(M480="","",IF(AND(N480=_xlfn.MAXIFS(TF_AktSum,TF_Nokkel,M480),COUNTIFS(M$3:M479,M480,N$3:N479,N480)=0),M480,""))</f>
        <v/>
      </c>
    </row>
    <row r="481">
      <c r="A481" s="34" t="n"/>
      <c r="B481" s="35" t="n"/>
      <c r="C481" s="35" t="n"/>
      <c r="D481" s="35" t="n"/>
      <c r="E481" s="35" t="n"/>
      <c r="F481" s="36" t="n"/>
      <c r="G481" s="35" t="n"/>
      <c r="H481" s="30">
        <f>IF(L481="","",INDEX(SkiftNavn,L481))</f>
        <v/>
      </c>
      <c r="I481" s="30">
        <f>IF(OR(A481="",L481=""),"",IF(MOD(A481-INDEX(SkiftStart,L481),Syklus)&lt;DagK,"Kveld",IF(MOD(A481-INDEX(SkiftStart,L481),Syklus)&lt;DagK+DagH,"Helg",IF(MOD(A481-INDEX(SkiftStart,L481),Syklus)&lt;DagK+DagH+DagD,"Dag","Fri"))))</f>
        <v/>
      </c>
      <c r="J481" s="30">
        <f>IF(I481="Fri","Ja","")</f>
        <v/>
      </c>
      <c r="K481" s="30">
        <f>IF(B481="","",IF(L481="","Ukjent tekniker",IF(ISNA(MATCH(C481,Aktiviteter,0)),"Ukjent aktivitet",IF(AND(INDEX(AktRolle,MATCH(C481,Aktiviteter,0))&amp;""&lt;&gt;"",ISERROR(SEARCH(INDEX(AktRolle,MATCH(C481,Aktiviteter,0))&amp;"",INDEX(TekRoller,MATCH(B481,Teknikere,0))))),"Mangler rollen "&amp;INDEX(AktRolle,MATCH(C481,Aktiviteter,0))&amp;"",IF(AND(C481="LMS",F481&gt;0,OR(D481="",E481="")),"Mangler maskin eller arbeid",IF(AND(OR(C481="LMS",C481="Mod"),D481&lt;&gt;""),IF(IFERROR(INDEX(MaskinStatus,MATCH(D481,Maskiner,0)),"")="I dokk","","Maskinen er ikke i dokk"),""))))))</f>
        <v/>
      </c>
      <c r="L481" s="2">
        <f>IF(B481="","",IFERROR(INT((MATCH(B481,Teknikere,0)-1)/18)+1,""))</f>
        <v/>
      </c>
      <c r="M481" s="2">
        <f>IF(OR(A481="",B481=""),"",B481&amp;"|"&amp;A481)</f>
        <v/>
      </c>
      <c r="N481" s="2">
        <f>IF(M481="","",SUMIFS(TF_Timer,TF_Nokkel,M481,TF_Akt,C481))</f>
        <v/>
      </c>
      <c r="O481" s="2">
        <f>IF(M481="","",IF(AND(N481=_xlfn.MAXIFS(TF_AktSum,TF_Nokkel,M481),COUNTIFS(M$3:M480,M481,N$3:N480,N481)=0),M481,""))</f>
        <v/>
      </c>
    </row>
    <row r="482">
      <c r="A482" s="34" t="n"/>
      <c r="B482" s="35" t="n"/>
      <c r="C482" s="35" t="n"/>
      <c r="D482" s="35" t="n"/>
      <c r="E482" s="35" t="n"/>
      <c r="F482" s="36" t="n"/>
      <c r="G482" s="35" t="n"/>
      <c r="H482" s="30">
        <f>IF(L482="","",INDEX(SkiftNavn,L482))</f>
        <v/>
      </c>
      <c r="I482" s="30">
        <f>IF(OR(A482="",L482=""),"",IF(MOD(A482-INDEX(SkiftStart,L482),Syklus)&lt;DagK,"Kveld",IF(MOD(A482-INDEX(SkiftStart,L482),Syklus)&lt;DagK+DagH,"Helg",IF(MOD(A482-INDEX(SkiftStart,L482),Syklus)&lt;DagK+DagH+DagD,"Dag","Fri"))))</f>
        <v/>
      </c>
      <c r="J482" s="30">
        <f>IF(I482="Fri","Ja","")</f>
        <v/>
      </c>
      <c r="K482" s="30">
        <f>IF(B482="","",IF(L482="","Ukjent tekniker",IF(ISNA(MATCH(C482,Aktiviteter,0)),"Ukjent aktivitet",IF(AND(INDEX(AktRolle,MATCH(C482,Aktiviteter,0))&amp;""&lt;&gt;"",ISERROR(SEARCH(INDEX(AktRolle,MATCH(C482,Aktiviteter,0))&amp;"",INDEX(TekRoller,MATCH(B482,Teknikere,0))))),"Mangler rollen "&amp;INDEX(AktRolle,MATCH(C482,Aktiviteter,0))&amp;"",IF(AND(C482="LMS",F482&gt;0,OR(D482="",E482="")),"Mangler maskin eller arbeid",IF(AND(OR(C482="LMS",C482="Mod"),D482&lt;&gt;""),IF(IFERROR(INDEX(MaskinStatus,MATCH(D482,Maskiner,0)),"")="I dokk","","Maskinen er ikke i dokk"),""))))))</f>
        <v/>
      </c>
      <c r="L482" s="2">
        <f>IF(B482="","",IFERROR(INT((MATCH(B482,Teknikere,0)-1)/18)+1,""))</f>
        <v/>
      </c>
      <c r="M482" s="2">
        <f>IF(OR(A482="",B482=""),"",B482&amp;"|"&amp;A482)</f>
        <v/>
      </c>
      <c r="N482" s="2">
        <f>IF(M482="","",SUMIFS(TF_Timer,TF_Nokkel,M482,TF_Akt,C482))</f>
        <v/>
      </c>
      <c r="O482" s="2">
        <f>IF(M482="","",IF(AND(N482=_xlfn.MAXIFS(TF_AktSum,TF_Nokkel,M482),COUNTIFS(M$3:M481,M482,N$3:N481,N482)=0),M482,""))</f>
        <v/>
      </c>
    </row>
    <row r="483">
      <c r="A483" s="34" t="n"/>
      <c r="B483" s="35" t="n"/>
      <c r="C483" s="35" t="n"/>
      <c r="D483" s="35" t="n"/>
      <c r="E483" s="35" t="n"/>
      <c r="F483" s="36" t="n"/>
      <c r="G483" s="35" t="n"/>
      <c r="H483" s="30">
        <f>IF(L483="","",INDEX(SkiftNavn,L483))</f>
        <v/>
      </c>
      <c r="I483" s="30">
        <f>IF(OR(A483="",L483=""),"",IF(MOD(A483-INDEX(SkiftStart,L483),Syklus)&lt;DagK,"Kveld",IF(MOD(A483-INDEX(SkiftStart,L483),Syklus)&lt;DagK+DagH,"Helg",IF(MOD(A483-INDEX(SkiftStart,L483),Syklus)&lt;DagK+DagH+DagD,"Dag","Fri"))))</f>
        <v/>
      </c>
      <c r="J483" s="30">
        <f>IF(I483="Fri","Ja","")</f>
        <v/>
      </c>
      <c r="K483" s="30">
        <f>IF(B483="","",IF(L483="","Ukjent tekniker",IF(ISNA(MATCH(C483,Aktiviteter,0)),"Ukjent aktivitet",IF(AND(INDEX(AktRolle,MATCH(C483,Aktiviteter,0))&amp;""&lt;&gt;"",ISERROR(SEARCH(INDEX(AktRolle,MATCH(C483,Aktiviteter,0))&amp;"",INDEX(TekRoller,MATCH(B483,Teknikere,0))))),"Mangler rollen "&amp;INDEX(AktRolle,MATCH(C483,Aktiviteter,0))&amp;"",IF(AND(C483="LMS",F483&gt;0,OR(D483="",E483="")),"Mangler maskin eller arbeid",IF(AND(OR(C483="LMS",C483="Mod"),D483&lt;&gt;""),IF(IFERROR(INDEX(MaskinStatus,MATCH(D483,Maskiner,0)),"")="I dokk","","Maskinen er ikke i dokk"),""))))))</f>
        <v/>
      </c>
      <c r="L483" s="2">
        <f>IF(B483="","",IFERROR(INT((MATCH(B483,Teknikere,0)-1)/18)+1,""))</f>
        <v/>
      </c>
      <c r="M483" s="2">
        <f>IF(OR(A483="",B483=""),"",B483&amp;"|"&amp;A483)</f>
        <v/>
      </c>
      <c r="N483" s="2">
        <f>IF(M483="","",SUMIFS(TF_Timer,TF_Nokkel,M483,TF_Akt,C483))</f>
        <v/>
      </c>
      <c r="O483" s="2">
        <f>IF(M483="","",IF(AND(N483=_xlfn.MAXIFS(TF_AktSum,TF_Nokkel,M483),COUNTIFS(M$3:M482,M483,N$3:N482,N483)=0),M483,""))</f>
        <v/>
      </c>
    </row>
    <row r="484">
      <c r="A484" s="34" t="n"/>
      <c r="B484" s="35" t="n"/>
      <c r="C484" s="35" t="n"/>
      <c r="D484" s="35" t="n"/>
      <c r="E484" s="35" t="n"/>
      <c r="F484" s="36" t="n"/>
      <c r="G484" s="35" t="n"/>
      <c r="H484" s="30">
        <f>IF(L484="","",INDEX(SkiftNavn,L484))</f>
        <v/>
      </c>
      <c r="I484" s="30">
        <f>IF(OR(A484="",L484=""),"",IF(MOD(A484-INDEX(SkiftStart,L484),Syklus)&lt;DagK,"Kveld",IF(MOD(A484-INDEX(SkiftStart,L484),Syklus)&lt;DagK+DagH,"Helg",IF(MOD(A484-INDEX(SkiftStart,L484),Syklus)&lt;DagK+DagH+DagD,"Dag","Fri"))))</f>
        <v/>
      </c>
      <c r="J484" s="30">
        <f>IF(I484="Fri","Ja","")</f>
        <v/>
      </c>
      <c r="K484" s="30">
        <f>IF(B484="","",IF(L484="","Ukjent tekniker",IF(ISNA(MATCH(C484,Aktiviteter,0)),"Ukjent aktivitet",IF(AND(INDEX(AktRolle,MATCH(C484,Aktiviteter,0))&amp;""&lt;&gt;"",ISERROR(SEARCH(INDEX(AktRolle,MATCH(C484,Aktiviteter,0))&amp;"",INDEX(TekRoller,MATCH(B484,Teknikere,0))))),"Mangler rollen "&amp;INDEX(AktRolle,MATCH(C484,Aktiviteter,0))&amp;"",IF(AND(C484="LMS",F484&gt;0,OR(D484="",E484="")),"Mangler maskin eller arbeid",IF(AND(OR(C484="LMS",C484="Mod"),D484&lt;&gt;""),IF(IFERROR(INDEX(MaskinStatus,MATCH(D484,Maskiner,0)),"")="I dokk","","Maskinen er ikke i dokk"),""))))))</f>
        <v/>
      </c>
      <c r="L484" s="2">
        <f>IF(B484="","",IFERROR(INT((MATCH(B484,Teknikere,0)-1)/18)+1,""))</f>
        <v/>
      </c>
      <c r="M484" s="2">
        <f>IF(OR(A484="",B484=""),"",B484&amp;"|"&amp;A484)</f>
        <v/>
      </c>
      <c r="N484" s="2">
        <f>IF(M484="","",SUMIFS(TF_Timer,TF_Nokkel,M484,TF_Akt,C484))</f>
        <v/>
      </c>
      <c r="O484" s="2">
        <f>IF(M484="","",IF(AND(N484=_xlfn.MAXIFS(TF_AktSum,TF_Nokkel,M484),COUNTIFS(M$3:M483,M484,N$3:N483,N484)=0),M484,""))</f>
        <v/>
      </c>
    </row>
    <row r="485">
      <c r="A485" s="34" t="n"/>
      <c r="B485" s="35" t="n"/>
      <c r="C485" s="35" t="n"/>
      <c r="D485" s="35" t="n"/>
      <c r="E485" s="35" t="n"/>
      <c r="F485" s="36" t="n"/>
      <c r="G485" s="35" t="n"/>
      <c r="H485" s="30">
        <f>IF(L485="","",INDEX(SkiftNavn,L485))</f>
        <v/>
      </c>
      <c r="I485" s="30">
        <f>IF(OR(A485="",L485=""),"",IF(MOD(A485-INDEX(SkiftStart,L485),Syklus)&lt;DagK,"Kveld",IF(MOD(A485-INDEX(SkiftStart,L485),Syklus)&lt;DagK+DagH,"Helg",IF(MOD(A485-INDEX(SkiftStart,L485),Syklus)&lt;DagK+DagH+DagD,"Dag","Fri"))))</f>
        <v/>
      </c>
      <c r="J485" s="30">
        <f>IF(I485="Fri","Ja","")</f>
        <v/>
      </c>
      <c r="K485" s="30">
        <f>IF(B485="","",IF(L485="","Ukjent tekniker",IF(ISNA(MATCH(C485,Aktiviteter,0)),"Ukjent aktivitet",IF(AND(INDEX(AktRolle,MATCH(C485,Aktiviteter,0))&amp;""&lt;&gt;"",ISERROR(SEARCH(INDEX(AktRolle,MATCH(C485,Aktiviteter,0))&amp;"",INDEX(TekRoller,MATCH(B485,Teknikere,0))))),"Mangler rollen "&amp;INDEX(AktRolle,MATCH(C485,Aktiviteter,0))&amp;"",IF(AND(C485="LMS",F485&gt;0,OR(D485="",E485="")),"Mangler maskin eller arbeid",IF(AND(OR(C485="LMS",C485="Mod"),D485&lt;&gt;""),IF(IFERROR(INDEX(MaskinStatus,MATCH(D485,Maskiner,0)),"")="I dokk","","Maskinen er ikke i dokk"),""))))))</f>
        <v/>
      </c>
      <c r="L485" s="2">
        <f>IF(B485="","",IFERROR(INT((MATCH(B485,Teknikere,0)-1)/18)+1,""))</f>
        <v/>
      </c>
      <c r="M485" s="2">
        <f>IF(OR(A485="",B485=""),"",B485&amp;"|"&amp;A485)</f>
        <v/>
      </c>
      <c r="N485" s="2">
        <f>IF(M485="","",SUMIFS(TF_Timer,TF_Nokkel,M485,TF_Akt,C485))</f>
        <v/>
      </c>
      <c r="O485" s="2">
        <f>IF(M485="","",IF(AND(N485=_xlfn.MAXIFS(TF_AktSum,TF_Nokkel,M485),COUNTIFS(M$3:M484,M485,N$3:N484,N485)=0),M485,""))</f>
        <v/>
      </c>
    </row>
    <row r="486">
      <c r="A486" s="34" t="n"/>
      <c r="B486" s="35" t="n"/>
      <c r="C486" s="35" t="n"/>
      <c r="D486" s="35" t="n"/>
      <c r="E486" s="35" t="n"/>
      <c r="F486" s="36" t="n"/>
      <c r="G486" s="35" t="n"/>
      <c r="H486" s="30">
        <f>IF(L486="","",INDEX(SkiftNavn,L486))</f>
        <v/>
      </c>
      <c r="I486" s="30">
        <f>IF(OR(A486="",L486=""),"",IF(MOD(A486-INDEX(SkiftStart,L486),Syklus)&lt;DagK,"Kveld",IF(MOD(A486-INDEX(SkiftStart,L486),Syklus)&lt;DagK+DagH,"Helg",IF(MOD(A486-INDEX(SkiftStart,L486),Syklus)&lt;DagK+DagH+DagD,"Dag","Fri"))))</f>
        <v/>
      </c>
      <c r="J486" s="30">
        <f>IF(I486="Fri","Ja","")</f>
        <v/>
      </c>
      <c r="K486" s="30">
        <f>IF(B486="","",IF(L486="","Ukjent tekniker",IF(ISNA(MATCH(C486,Aktiviteter,0)),"Ukjent aktivitet",IF(AND(INDEX(AktRolle,MATCH(C486,Aktiviteter,0))&amp;""&lt;&gt;"",ISERROR(SEARCH(INDEX(AktRolle,MATCH(C486,Aktiviteter,0))&amp;"",INDEX(TekRoller,MATCH(B486,Teknikere,0))))),"Mangler rollen "&amp;INDEX(AktRolle,MATCH(C486,Aktiviteter,0))&amp;"",IF(AND(C486="LMS",F486&gt;0,OR(D486="",E486="")),"Mangler maskin eller arbeid",IF(AND(OR(C486="LMS",C486="Mod"),D486&lt;&gt;""),IF(IFERROR(INDEX(MaskinStatus,MATCH(D486,Maskiner,0)),"")="I dokk","","Maskinen er ikke i dokk"),""))))))</f>
        <v/>
      </c>
      <c r="L486" s="2">
        <f>IF(B486="","",IFERROR(INT((MATCH(B486,Teknikere,0)-1)/18)+1,""))</f>
        <v/>
      </c>
      <c r="M486" s="2">
        <f>IF(OR(A486="",B486=""),"",B486&amp;"|"&amp;A486)</f>
        <v/>
      </c>
      <c r="N486" s="2">
        <f>IF(M486="","",SUMIFS(TF_Timer,TF_Nokkel,M486,TF_Akt,C486))</f>
        <v/>
      </c>
      <c r="O486" s="2">
        <f>IF(M486="","",IF(AND(N486=_xlfn.MAXIFS(TF_AktSum,TF_Nokkel,M486),COUNTIFS(M$3:M485,M486,N$3:N485,N486)=0),M486,""))</f>
        <v/>
      </c>
    </row>
    <row r="487">
      <c r="A487" s="34" t="n"/>
      <c r="B487" s="35" t="n"/>
      <c r="C487" s="35" t="n"/>
      <c r="D487" s="35" t="n"/>
      <c r="E487" s="35" t="n"/>
      <c r="F487" s="36" t="n"/>
      <c r="G487" s="35" t="n"/>
      <c r="H487" s="30">
        <f>IF(L487="","",INDEX(SkiftNavn,L487))</f>
        <v/>
      </c>
      <c r="I487" s="30">
        <f>IF(OR(A487="",L487=""),"",IF(MOD(A487-INDEX(SkiftStart,L487),Syklus)&lt;DagK,"Kveld",IF(MOD(A487-INDEX(SkiftStart,L487),Syklus)&lt;DagK+DagH,"Helg",IF(MOD(A487-INDEX(SkiftStart,L487),Syklus)&lt;DagK+DagH+DagD,"Dag","Fri"))))</f>
        <v/>
      </c>
      <c r="J487" s="30">
        <f>IF(I487="Fri","Ja","")</f>
        <v/>
      </c>
      <c r="K487" s="30">
        <f>IF(B487="","",IF(L487="","Ukjent tekniker",IF(ISNA(MATCH(C487,Aktiviteter,0)),"Ukjent aktivitet",IF(AND(INDEX(AktRolle,MATCH(C487,Aktiviteter,0))&amp;""&lt;&gt;"",ISERROR(SEARCH(INDEX(AktRolle,MATCH(C487,Aktiviteter,0))&amp;"",INDEX(TekRoller,MATCH(B487,Teknikere,0))))),"Mangler rollen "&amp;INDEX(AktRolle,MATCH(C487,Aktiviteter,0))&amp;"",IF(AND(C487="LMS",F487&gt;0,OR(D487="",E487="")),"Mangler maskin eller arbeid",IF(AND(OR(C487="LMS",C487="Mod"),D487&lt;&gt;""),IF(IFERROR(INDEX(MaskinStatus,MATCH(D487,Maskiner,0)),"")="I dokk","","Maskinen er ikke i dokk"),""))))))</f>
        <v/>
      </c>
      <c r="L487" s="2">
        <f>IF(B487="","",IFERROR(INT((MATCH(B487,Teknikere,0)-1)/18)+1,""))</f>
        <v/>
      </c>
      <c r="M487" s="2">
        <f>IF(OR(A487="",B487=""),"",B487&amp;"|"&amp;A487)</f>
        <v/>
      </c>
      <c r="N487" s="2">
        <f>IF(M487="","",SUMIFS(TF_Timer,TF_Nokkel,M487,TF_Akt,C487))</f>
        <v/>
      </c>
      <c r="O487" s="2">
        <f>IF(M487="","",IF(AND(N487=_xlfn.MAXIFS(TF_AktSum,TF_Nokkel,M487),COUNTIFS(M$3:M486,M487,N$3:N486,N487)=0),M487,""))</f>
        <v/>
      </c>
    </row>
    <row r="488">
      <c r="A488" s="34" t="n"/>
      <c r="B488" s="35" t="n"/>
      <c r="C488" s="35" t="n"/>
      <c r="D488" s="35" t="n"/>
      <c r="E488" s="35" t="n"/>
      <c r="F488" s="36" t="n"/>
      <c r="G488" s="35" t="n"/>
      <c r="H488" s="30">
        <f>IF(L488="","",INDEX(SkiftNavn,L488))</f>
        <v/>
      </c>
      <c r="I488" s="30">
        <f>IF(OR(A488="",L488=""),"",IF(MOD(A488-INDEX(SkiftStart,L488),Syklus)&lt;DagK,"Kveld",IF(MOD(A488-INDEX(SkiftStart,L488),Syklus)&lt;DagK+DagH,"Helg",IF(MOD(A488-INDEX(SkiftStart,L488),Syklus)&lt;DagK+DagH+DagD,"Dag","Fri"))))</f>
        <v/>
      </c>
      <c r="J488" s="30">
        <f>IF(I488="Fri","Ja","")</f>
        <v/>
      </c>
      <c r="K488" s="30">
        <f>IF(B488="","",IF(L488="","Ukjent tekniker",IF(ISNA(MATCH(C488,Aktiviteter,0)),"Ukjent aktivitet",IF(AND(INDEX(AktRolle,MATCH(C488,Aktiviteter,0))&amp;""&lt;&gt;"",ISERROR(SEARCH(INDEX(AktRolle,MATCH(C488,Aktiviteter,0))&amp;"",INDEX(TekRoller,MATCH(B488,Teknikere,0))))),"Mangler rollen "&amp;INDEX(AktRolle,MATCH(C488,Aktiviteter,0))&amp;"",IF(AND(C488="LMS",F488&gt;0,OR(D488="",E488="")),"Mangler maskin eller arbeid",IF(AND(OR(C488="LMS",C488="Mod"),D488&lt;&gt;""),IF(IFERROR(INDEX(MaskinStatus,MATCH(D488,Maskiner,0)),"")="I dokk","","Maskinen er ikke i dokk"),""))))))</f>
        <v/>
      </c>
      <c r="L488" s="2">
        <f>IF(B488="","",IFERROR(INT((MATCH(B488,Teknikere,0)-1)/18)+1,""))</f>
        <v/>
      </c>
      <c r="M488" s="2">
        <f>IF(OR(A488="",B488=""),"",B488&amp;"|"&amp;A488)</f>
        <v/>
      </c>
      <c r="N488" s="2">
        <f>IF(M488="","",SUMIFS(TF_Timer,TF_Nokkel,M488,TF_Akt,C488))</f>
        <v/>
      </c>
      <c r="O488" s="2">
        <f>IF(M488="","",IF(AND(N488=_xlfn.MAXIFS(TF_AktSum,TF_Nokkel,M488),COUNTIFS(M$3:M487,M488,N$3:N487,N488)=0),M488,""))</f>
        <v/>
      </c>
    </row>
    <row r="489">
      <c r="A489" s="34" t="n"/>
      <c r="B489" s="35" t="n"/>
      <c r="C489" s="35" t="n"/>
      <c r="D489" s="35" t="n"/>
      <c r="E489" s="35" t="n"/>
      <c r="F489" s="36" t="n"/>
      <c r="G489" s="35" t="n"/>
      <c r="H489" s="30">
        <f>IF(L489="","",INDEX(SkiftNavn,L489))</f>
        <v/>
      </c>
      <c r="I489" s="30">
        <f>IF(OR(A489="",L489=""),"",IF(MOD(A489-INDEX(SkiftStart,L489),Syklus)&lt;DagK,"Kveld",IF(MOD(A489-INDEX(SkiftStart,L489),Syklus)&lt;DagK+DagH,"Helg",IF(MOD(A489-INDEX(SkiftStart,L489),Syklus)&lt;DagK+DagH+DagD,"Dag","Fri"))))</f>
        <v/>
      </c>
      <c r="J489" s="30">
        <f>IF(I489="Fri","Ja","")</f>
        <v/>
      </c>
      <c r="K489" s="30">
        <f>IF(B489="","",IF(L489="","Ukjent tekniker",IF(ISNA(MATCH(C489,Aktiviteter,0)),"Ukjent aktivitet",IF(AND(INDEX(AktRolle,MATCH(C489,Aktiviteter,0))&amp;""&lt;&gt;"",ISERROR(SEARCH(INDEX(AktRolle,MATCH(C489,Aktiviteter,0))&amp;"",INDEX(TekRoller,MATCH(B489,Teknikere,0))))),"Mangler rollen "&amp;INDEX(AktRolle,MATCH(C489,Aktiviteter,0))&amp;"",IF(AND(C489="LMS",F489&gt;0,OR(D489="",E489="")),"Mangler maskin eller arbeid",IF(AND(OR(C489="LMS",C489="Mod"),D489&lt;&gt;""),IF(IFERROR(INDEX(MaskinStatus,MATCH(D489,Maskiner,0)),"")="I dokk","","Maskinen er ikke i dokk"),""))))))</f>
        <v/>
      </c>
      <c r="L489" s="2">
        <f>IF(B489="","",IFERROR(INT((MATCH(B489,Teknikere,0)-1)/18)+1,""))</f>
        <v/>
      </c>
      <c r="M489" s="2">
        <f>IF(OR(A489="",B489=""),"",B489&amp;"|"&amp;A489)</f>
        <v/>
      </c>
      <c r="N489" s="2">
        <f>IF(M489="","",SUMIFS(TF_Timer,TF_Nokkel,M489,TF_Akt,C489))</f>
        <v/>
      </c>
      <c r="O489" s="2">
        <f>IF(M489="","",IF(AND(N489=_xlfn.MAXIFS(TF_AktSum,TF_Nokkel,M489),COUNTIFS(M$3:M488,M489,N$3:N488,N489)=0),M489,""))</f>
        <v/>
      </c>
    </row>
    <row r="490">
      <c r="A490" s="34" t="n"/>
      <c r="B490" s="35" t="n"/>
      <c r="C490" s="35" t="n"/>
      <c r="D490" s="35" t="n"/>
      <c r="E490" s="35" t="n"/>
      <c r="F490" s="36" t="n"/>
      <c r="G490" s="35" t="n"/>
      <c r="H490" s="30">
        <f>IF(L490="","",INDEX(SkiftNavn,L490))</f>
        <v/>
      </c>
      <c r="I490" s="30">
        <f>IF(OR(A490="",L490=""),"",IF(MOD(A490-INDEX(SkiftStart,L490),Syklus)&lt;DagK,"Kveld",IF(MOD(A490-INDEX(SkiftStart,L490),Syklus)&lt;DagK+DagH,"Helg",IF(MOD(A490-INDEX(SkiftStart,L490),Syklus)&lt;DagK+DagH+DagD,"Dag","Fri"))))</f>
        <v/>
      </c>
      <c r="J490" s="30">
        <f>IF(I490="Fri","Ja","")</f>
        <v/>
      </c>
      <c r="K490" s="30">
        <f>IF(B490="","",IF(L490="","Ukjent tekniker",IF(ISNA(MATCH(C490,Aktiviteter,0)),"Ukjent aktivitet",IF(AND(INDEX(AktRolle,MATCH(C490,Aktiviteter,0))&amp;""&lt;&gt;"",ISERROR(SEARCH(INDEX(AktRolle,MATCH(C490,Aktiviteter,0))&amp;"",INDEX(TekRoller,MATCH(B490,Teknikere,0))))),"Mangler rollen "&amp;INDEX(AktRolle,MATCH(C490,Aktiviteter,0))&amp;"",IF(AND(C490="LMS",F490&gt;0,OR(D490="",E490="")),"Mangler maskin eller arbeid",IF(AND(OR(C490="LMS",C490="Mod"),D490&lt;&gt;""),IF(IFERROR(INDEX(MaskinStatus,MATCH(D490,Maskiner,0)),"")="I dokk","","Maskinen er ikke i dokk"),""))))))</f>
        <v/>
      </c>
      <c r="L490" s="2">
        <f>IF(B490="","",IFERROR(INT((MATCH(B490,Teknikere,0)-1)/18)+1,""))</f>
        <v/>
      </c>
      <c r="M490" s="2">
        <f>IF(OR(A490="",B490=""),"",B490&amp;"|"&amp;A490)</f>
        <v/>
      </c>
      <c r="N490" s="2">
        <f>IF(M490="","",SUMIFS(TF_Timer,TF_Nokkel,M490,TF_Akt,C490))</f>
        <v/>
      </c>
      <c r="O490" s="2">
        <f>IF(M490="","",IF(AND(N490=_xlfn.MAXIFS(TF_AktSum,TF_Nokkel,M490),COUNTIFS(M$3:M489,M490,N$3:N489,N490)=0),M490,""))</f>
        <v/>
      </c>
    </row>
    <row r="491">
      <c r="A491" s="34" t="n"/>
      <c r="B491" s="35" t="n"/>
      <c r="C491" s="35" t="n"/>
      <c r="D491" s="35" t="n"/>
      <c r="E491" s="35" t="n"/>
      <c r="F491" s="36" t="n"/>
      <c r="G491" s="35" t="n"/>
      <c r="H491" s="30">
        <f>IF(L491="","",INDEX(SkiftNavn,L491))</f>
        <v/>
      </c>
      <c r="I491" s="30">
        <f>IF(OR(A491="",L491=""),"",IF(MOD(A491-INDEX(SkiftStart,L491),Syklus)&lt;DagK,"Kveld",IF(MOD(A491-INDEX(SkiftStart,L491),Syklus)&lt;DagK+DagH,"Helg",IF(MOD(A491-INDEX(SkiftStart,L491),Syklus)&lt;DagK+DagH+DagD,"Dag","Fri"))))</f>
        <v/>
      </c>
      <c r="J491" s="30">
        <f>IF(I491="Fri","Ja","")</f>
        <v/>
      </c>
      <c r="K491" s="30">
        <f>IF(B491="","",IF(L491="","Ukjent tekniker",IF(ISNA(MATCH(C491,Aktiviteter,0)),"Ukjent aktivitet",IF(AND(INDEX(AktRolle,MATCH(C491,Aktiviteter,0))&amp;""&lt;&gt;"",ISERROR(SEARCH(INDEX(AktRolle,MATCH(C491,Aktiviteter,0))&amp;"",INDEX(TekRoller,MATCH(B491,Teknikere,0))))),"Mangler rollen "&amp;INDEX(AktRolle,MATCH(C491,Aktiviteter,0))&amp;"",IF(AND(C491="LMS",F491&gt;0,OR(D491="",E491="")),"Mangler maskin eller arbeid",IF(AND(OR(C491="LMS",C491="Mod"),D491&lt;&gt;""),IF(IFERROR(INDEX(MaskinStatus,MATCH(D491,Maskiner,0)),"")="I dokk","","Maskinen er ikke i dokk"),""))))))</f>
        <v/>
      </c>
      <c r="L491" s="2">
        <f>IF(B491="","",IFERROR(INT((MATCH(B491,Teknikere,0)-1)/18)+1,""))</f>
        <v/>
      </c>
      <c r="M491" s="2">
        <f>IF(OR(A491="",B491=""),"",B491&amp;"|"&amp;A491)</f>
        <v/>
      </c>
      <c r="N491" s="2">
        <f>IF(M491="","",SUMIFS(TF_Timer,TF_Nokkel,M491,TF_Akt,C491))</f>
        <v/>
      </c>
      <c r="O491" s="2">
        <f>IF(M491="","",IF(AND(N491=_xlfn.MAXIFS(TF_AktSum,TF_Nokkel,M491),COUNTIFS(M$3:M490,M491,N$3:N490,N491)=0),M491,""))</f>
        <v/>
      </c>
    </row>
    <row r="492">
      <c r="A492" s="34" t="n"/>
      <c r="B492" s="35" t="n"/>
      <c r="C492" s="35" t="n"/>
      <c r="D492" s="35" t="n"/>
      <c r="E492" s="35" t="n"/>
      <c r="F492" s="36" t="n"/>
      <c r="G492" s="35" t="n"/>
      <c r="H492" s="30">
        <f>IF(L492="","",INDEX(SkiftNavn,L492))</f>
        <v/>
      </c>
      <c r="I492" s="30">
        <f>IF(OR(A492="",L492=""),"",IF(MOD(A492-INDEX(SkiftStart,L492),Syklus)&lt;DagK,"Kveld",IF(MOD(A492-INDEX(SkiftStart,L492),Syklus)&lt;DagK+DagH,"Helg",IF(MOD(A492-INDEX(SkiftStart,L492),Syklus)&lt;DagK+DagH+DagD,"Dag","Fri"))))</f>
        <v/>
      </c>
      <c r="J492" s="30">
        <f>IF(I492="Fri","Ja","")</f>
        <v/>
      </c>
      <c r="K492" s="30">
        <f>IF(B492="","",IF(L492="","Ukjent tekniker",IF(ISNA(MATCH(C492,Aktiviteter,0)),"Ukjent aktivitet",IF(AND(INDEX(AktRolle,MATCH(C492,Aktiviteter,0))&amp;""&lt;&gt;"",ISERROR(SEARCH(INDEX(AktRolle,MATCH(C492,Aktiviteter,0))&amp;"",INDEX(TekRoller,MATCH(B492,Teknikere,0))))),"Mangler rollen "&amp;INDEX(AktRolle,MATCH(C492,Aktiviteter,0))&amp;"",IF(AND(C492="LMS",F492&gt;0,OR(D492="",E492="")),"Mangler maskin eller arbeid",IF(AND(OR(C492="LMS",C492="Mod"),D492&lt;&gt;""),IF(IFERROR(INDEX(MaskinStatus,MATCH(D492,Maskiner,0)),"")="I dokk","","Maskinen er ikke i dokk"),""))))))</f>
        <v/>
      </c>
      <c r="L492" s="2">
        <f>IF(B492="","",IFERROR(INT((MATCH(B492,Teknikere,0)-1)/18)+1,""))</f>
        <v/>
      </c>
      <c r="M492" s="2">
        <f>IF(OR(A492="",B492=""),"",B492&amp;"|"&amp;A492)</f>
        <v/>
      </c>
      <c r="N492" s="2">
        <f>IF(M492="","",SUMIFS(TF_Timer,TF_Nokkel,M492,TF_Akt,C492))</f>
        <v/>
      </c>
      <c r="O492" s="2">
        <f>IF(M492="","",IF(AND(N492=_xlfn.MAXIFS(TF_AktSum,TF_Nokkel,M492),COUNTIFS(M$3:M491,M492,N$3:N491,N492)=0),M492,""))</f>
        <v/>
      </c>
    </row>
    <row r="493">
      <c r="A493" s="34" t="n"/>
      <c r="B493" s="35" t="n"/>
      <c r="C493" s="35" t="n"/>
      <c r="D493" s="35" t="n"/>
      <c r="E493" s="35" t="n"/>
      <c r="F493" s="36" t="n"/>
      <c r="G493" s="35" t="n"/>
      <c r="H493" s="30">
        <f>IF(L493="","",INDEX(SkiftNavn,L493))</f>
        <v/>
      </c>
      <c r="I493" s="30">
        <f>IF(OR(A493="",L493=""),"",IF(MOD(A493-INDEX(SkiftStart,L493),Syklus)&lt;DagK,"Kveld",IF(MOD(A493-INDEX(SkiftStart,L493),Syklus)&lt;DagK+DagH,"Helg",IF(MOD(A493-INDEX(SkiftStart,L493),Syklus)&lt;DagK+DagH+DagD,"Dag","Fri"))))</f>
        <v/>
      </c>
      <c r="J493" s="30">
        <f>IF(I493="Fri","Ja","")</f>
        <v/>
      </c>
      <c r="K493" s="30">
        <f>IF(B493="","",IF(L493="","Ukjent tekniker",IF(ISNA(MATCH(C493,Aktiviteter,0)),"Ukjent aktivitet",IF(AND(INDEX(AktRolle,MATCH(C493,Aktiviteter,0))&amp;""&lt;&gt;"",ISERROR(SEARCH(INDEX(AktRolle,MATCH(C493,Aktiviteter,0))&amp;"",INDEX(TekRoller,MATCH(B493,Teknikere,0))))),"Mangler rollen "&amp;INDEX(AktRolle,MATCH(C493,Aktiviteter,0))&amp;"",IF(AND(C493="LMS",F493&gt;0,OR(D493="",E493="")),"Mangler maskin eller arbeid",IF(AND(OR(C493="LMS",C493="Mod"),D493&lt;&gt;""),IF(IFERROR(INDEX(MaskinStatus,MATCH(D493,Maskiner,0)),"")="I dokk","","Maskinen er ikke i dokk"),""))))))</f>
        <v/>
      </c>
      <c r="L493" s="2">
        <f>IF(B493="","",IFERROR(INT((MATCH(B493,Teknikere,0)-1)/18)+1,""))</f>
        <v/>
      </c>
      <c r="M493" s="2">
        <f>IF(OR(A493="",B493=""),"",B493&amp;"|"&amp;A493)</f>
        <v/>
      </c>
      <c r="N493" s="2">
        <f>IF(M493="","",SUMIFS(TF_Timer,TF_Nokkel,M493,TF_Akt,C493))</f>
        <v/>
      </c>
      <c r="O493" s="2">
        <f>IF(M493="","",IF(AND(N493=_xlfn.MAXIFS(TF_AktSum,TF_Nokkel,M493),COUNTIFS(M$3:M492,M493,N$3:N492,N493)=0),M493,""))</f>
        <v/>
      </c>
    </row>
    <row r="494">
      <c r="A494" s="34" t="n"/>
      <c r="B494" s="35" t="n"/>
      <c r="C494" s="35" t="n"/>
      <c r="D494" s="35" t="n"/>
      <c r="E494" s="35" t="n"/>
      <c r="F494" s="36" t="n"/>
      <c r="G494" s="35" t="n"/>
      <c r="H494" s="30">
        <f>IF(L494="","",INDEX(SkiftNavn,L494))</f>
        <v/>
      </c>
      <c r="I494" s="30">
        <f>IF(OR(A494="",L494=""),"",IF(MOD(A494-INDEX(SkiftStart,L494),Syklus)&lt;DagK,"Kveld",IF(MOD(A494-INDEX(SkiftStart,L494),Syklus)&lt;DagK+DagH,"Helg",IF(MOD(A494-INDEX(SkiftStart,L494),Syklus)&lt;DagK+DagH+DagD,"Dag","Fri"))))</f>
        <v/>
      </c>
      <c r="J494" s="30">
        <f>IF(I494="Fri","Ja","")</f>
        <v/>
      </c>
      <c r="K494" s="30">
        <f>IF(B494="","",IF(L494="","Ukjent tekniker",IF(ISNA(MATCH(C494,Aktiviteter,0)),"Ukjent aktivitet",IF(AND(INDEX(AktRolle,MATCH(C494,Aktiviteter,0))&amp;""&lt;&gt;"",ISERROR(SEARCH(INDEX(AktRolle,MATCH(C494,Aktiviteter,0))&amp;"",INDEX(TekRoller,MATCH(B494,Teknikere,0))))),"Mangler rollen "&amp;INDEX(AktRolle,MATCH(C494,Aktiviteter,0))&amp;"",IF(AND(C494="LMS",F494&gt;0,OR(D494="",E494="")),"Mangler maskin eller arbeid",IF(AND(OR(C494="LMS",C494="Mod"),D494&lt;&gt;""),IF(IFERROR(INDEX(MaskinStatus,MATCH(D494,Maskiner,0)),"")="I dokk","","Maskinen er ikke i dokk"),""))))))</f>
        <v/>
      </c>
      <c r="L494" s="2">
        <f>IF(B494="","",IFERROR(INT((MATCH(B494,Teknikere,0)-1)/18)+1,""))</f>
        <v/>
      </c>
      <c r="M494" s="2">
        <f>IF(OR(A494="",B494=""),"",B494&amp;"|"&amp;A494)</f>
        <v/>
      </c>
      <c r="N494" s="2">
        <f>IF(M494="","",SUMIFS(TF_Timer,TF_Nokkel,M494,TF_Akt,C494))</f>
        <v/>
      </c>
      <c r="O494" s="2">
        <f>IF(M494="","",IF(AND(N494=_xlfn.MAXIFS(TF_AktSum,TF_Nokkel,M494),COUNTIFS(M$3:M493,M494,N$3:N493,N494)=0),M494,""))</f>
        <v/>
      </c>
    </row>
    <row r="495">
      <c r="A495" s="34" t="n"/>
      <c r="B495" s="35" t="n"/>
      <c r="C495" s="35" t="n"/>
      <c r="D495" s="35" t="n"/>
      <c r="E495" s="35" t="n"/>
      <c r="F495" s="36" t="n"/>
      <c r="G495" s="35" t="n"/>
      <c r="H495" s="30">
        <f>IF(L495="","",INDEX(SkiftNavn,L495))</f>
        <v/>
      </c>
      <c r="I495" s="30">
        <f>IF(OR(A495="",L495=""),"",IF(MOD(A495-INDEX(SkiftStart,L495),Syklus)&lt;DagK,"Kveld",IF(MOD(A495-INDEX(SkiftStart,L495),Syklus)&lt;DagK+DagH,"Helg",IF(MOD(A495-INDEX(SkiftStart,L495),Syklus)&lt;DagK+DagH+DagD,"Dag","Fri"))))</f>
        <v/>
      </c>
      <c r="J495" s="30">
        <f>IF(I495="Fri","Ja","")</f>
        <v/>
      </c>
      <c r="K495" s="30">
        <f>IF(B495="","",IF(L495="","Ukjent tekniker",IF(ISNA(MATCH(C495,Aktiviteter,0)),"Ukjent aktivitet",IF(AND(INDEX(AktRolle,MATCH(C495,Aktiviteter,0))&amp;""&lt;&gt;"",ISERROR(SEARCH(INDEX(AktRolle,MATCH(C495,Aktiviteter,0))&amp;"",INDEX(TekRoller,MATCH(B495,Teknikere,0))))),"Mangler rollen "&amp;INDEX(AktRolle,MATCH(C495,Aktiviteter,0))&amp;"",IF(AND(C495="LMS",F495&gt;0,OR(D495="",E495="")),"Mangler maskin eller arbeid",IF(AND(OR(C495="LMS",C495="Mod"),D495&lt;&gt;""),IF(IFERROR(INDEX(MaskinStatus,MATCH(D495,Maskiner,0)),"")="I dokk","","Maskinen er ikke i dokk"),""))))))</f>
        <v/>
      </c>
      <c r="L495" s="2">
        <f>IF(B495="","",IFERROR(INT((MATCH(B495,Teknikere,0)-1)/18)+1,""))</f>
        <v/>
      </c>
      <c r="M495" s="2">
        <f>IF(OR(A495="",B495=""),"",B495&amp;"|"&amp;A495)</f>
        <v/>
      </c>
      <c r="N495" s="2">
        <f>IF(M495="","",SUMIFS(TF_Timer,TF_Nokkel,M495,TF_Akt,C495))</f>
        <v/>
      </c>
      <c r="O495" s="2">
        <f>IF(M495="","",IF(AND(N495=_xlfn.MAXIFS(TF_AktSum,TF_Nokkel,M495),COUNTIFS(M$3:M494,M495,N$3:N494,N495)=0),M495,""))</f>
        <v/>
      </c>
    </row>
    <row r="496">
      <c r="A496" s="34" t="n"/>
      <c r="B496" s="35" t="n"/>
      <c r="C496" s="35" t="n"/>
      <c r="D496" s="35" t="n"/>
      <c r="E496" s="35" t="n"/>
      <c r="F496" s="36" t="n"/>
      <c r="G496" s="35" t="n"/>
      <c r="H496" s="30">
        <f>IF(L496="","",INDEX(SkiftNavn,L496))</f>
        <v/>
      </c>
      <c r="I496" s="30">
        <f>IF(OR(A496="",L496=""),"",IF(MOD(A496-INDEX(SkiftStart,L496),Syklus)&lt;DagK,"Kveld",IF(MOD(A496-INDEX(SkiftStart,L496),Syklus)&lt;DagK+DagH,"Helg",IF(MOD(A496-INDEX(SkiftStart,L496),Syklus)&lt;DagK+DagH+DagD,"Dag","Fri"))))</f>
        <v/>
      </c>
      <c r="J496" s="30">
        <f>IF(I496="Fri","Ja","")</f>
        <v/>
      </c>
      <c r="K496" s="30">
        <f>IF(B496="","",IF(L496="","Ukjent tekniker",IF(ISNA(MATCH(C496,Aktiviteter,0)),"Ukjent aktivitet",IF(AND(INDEX(AktRolle,MATCH(C496,Aktiviteter,0))&amp;""&lt;&gt;"",ISERROR(SEARCH(INDEX(AktRolle,MATCH(C496,Aktiviteter,0))&amp;"",INDEX(TekRoller,MATCH(B496,Teknikere,0))))),"Mangler rollen "&amp;INDEX(AktRolle,MATCH(C496,Aktiviteter,0))&amp;"",IF(AND(C496="LMS",F496&gt;0,OR(D496="",E496="")),"Mangler maskin eller arbeid",IF(AND(OR(C496="LMS",C496="Mod"),D496&lt;&gt;""),IF(IFERROR(INDEX(MaskinStatus,MATCH(D496,Maskiner,0)),"")="I dokk","","Maskinen er ikke i dokk"),""))))))</f>
        <v/>
      </c>
      <c r="L496" s="2">
        <f>IF(B496="","",IFERROR(INT((MATCH(B496,Teknikere,0)-1)/18)+1,""))</f>
        <v/>
      </c>
      <c r="M496" s="2">
        <f>IF(OR(A496="",B496=""),"",B496&amp;"|"&amp;A496)</f>
        <v/>
      </c>
      <c r="N496" s="2">
        <f>IF(M496="","",SUMIFS(TF_Timer,TF_Nokkel,M496,TF_Akt,C496))</f>
        <v/>
      </c>
      <c r="O496" s="2">
        <f>IF(M496="","",IF(AND(N496=_xlfn.MAXIFS(TF_AktSum,TF_Nokkel,M496),COUNTIFS(M$3:M495,M496,N$3:N495,N496)=0),M496,""))</f>
        <v/>
      </c>
    </row>
    <row r="497">
      <c r="A497" s="34" t="n"/>
      <c r="B497" s="35" t="n"/>
      <c r="C497" s="35" t="n"/>
      <c r="D497" s="35" t="n"/>
      <c r="E497" s="35" t="n"/>
      <c r="F497" s="36" t="n"/>
      <c r="G497" s="35" t="n"/>
      <c r="H497" s="30">
        <f>IF(L497="","",INDEX(SkiftNavn,L497))</f>
        <v/>
      </c>
      <c r="I497" s="30">
        <f>IF(OR(A497="",L497=""),"",IF(MOD(A497-INDEX(SkiftStart,L497),Syklus)&lt;DagK,"Kveld",IF(MOD(A497-INDEX(SkiftStart,L497),Syklus)&lt;DagK+DagH,"Helg",IF(MOD(A497-INDEX(SkiftStart,L497),Syklus)&lt;DagK+DagH+DagD,"Dag","Fri"))))</f>
        <v/>
      </c>
      <c r="J497" s="30">
        <f>IF(I497="Fri","Ja","")</f>
        <v/>
      </c>
      <c r="K497" s="30">
        <f>IF(B497="","",IF(L497="","Ukjent tekniker",IF(ISNA(MATCH(C497,Aktiviteter,0)),"Ukjent aktivitet",IF(AND(INDEX(AktRolle,MATCH(C497,Aktiviteter,0))&amp;""&lt;&gt;"",ISERROR(SEARCH(INDEX(AktRolle,MATCH(C497,Aktiviteter,0))&amp;"",INDEX(TekRoller,MATCH(B497,Teknikere,0))))),"Mangler rollen "&amp;INDEX(AktRolle,MATCH(C497,Aktiviteter,0))&amp;"",IF(AND(C497="LMS",F497&gt;0,OR(D497="",E497="")),"Mangler maskin eller arbeid",IF(AND(OR(C497="LMS",C497="Mod"),D497&lt;&gt;""),IF(IFERROR(INDEX(MaskinStatus,MATCH(D497,Maskiner,0)),"")="I dokk","","Maskinen er ikke i dokk"),""))))))</f>
        <v/>
      </c>
      <c r="L497" s="2">
        <f>IF(B497="","",IFERROR(INT((MATCH(B497,Teknikere,0)-1)/18)+1,""))</f>
        <v/>
      </c>
      <c r="M497" s="2">
        <f>IF(OR(A497="",B497=""),"",B497&amp;"|"&amp;A497)</f>
        <v/>
      </c>
      <c r="N497" s="2">
        <f>IF(M497="","",SUMIFS(TF_Timer,TF_Nokkel,M497,TF_Akt,C497))</f>
        <v/>
      </c>
      <c r="O497" s="2">
        <f>IF(M497="","",IF(AND(N497=_xlfn.MAXIFS(TF_AktSum,TF_Nokkel,M497),COUNTIFS(M$3:M496,M497,N$3:N496,N497)=0),M497,""))</f>
        <v/>
      </c>
    </row>
    <row r="498">
      <c r="A498" s="34" t="n"/>
      <c r="B498" s="35" t="n"/>
      <c r="C498" s="35" t="n"/>
      <c r="D498" s="35" t="n"/>
      <c r="E498" s="35" t="n"/>
      <c r="F498" s="36" t="n"/>
      <c r="G498" s="35" t="n"/>
      <c r="H498" s="30">
        <f>IF(L498="","",INDEX(SkiftNavn,L498))</f>
        <v/>
      </c>
      <c r="I498" s="30">
        <f>IF(OR(A498="",L498=""),"",IF(MOD(A498-INDEX(SkiftStart,L498),Syklus)&lt;DagK,"Kveld",IF(MOD(A498-INDEX(SkiftStart,L498),Syklus)&lt;DagK+DagH,"Helg",IF(MOD(A498-INDEX(SkiftStart,L498),Syklus)&lt;DagK+DagH+DagD,"Dag","Fri"))))</f>
        <v/>
      </c>
      <c r="J498" s="30">
        <f>IF(I498="Fri","Ja","")</f>
        <v/>
      </c>
      <c r="K498" s="30">
        <f>IF(B498="","",IF(L498="","Ukjent tekniker",IF(ISNA(MATCH(C498,Aktiviteter,0)),"Ukjent aktivitet",IF(AND(INDEX(AktRolle,MATCH(C498,Aktiviteter,0))&amp;""&lt;&gt;"",ISERROR(SEARCH(INDEX(AktRolle,MATCH(C498,Aktiviteter,0))&amp;"",INDEX(TekRoller,MATCH(B498,Teknikere,0))))),"Mangler rollen "&amp;INDEX(AktRolle,MATCH(C498,Aktiviteter,0))&amp;"",IF(AND(C498="LMS",F498&gt;0,OR(D498="",E498="")),"Mangler maskin eller arbeid",IF(AND(OR(C498="LMS",C498="Mod"),D498&lt;&gt;""),IF(IFERROR(INDEX(MaskinStatus,MATCH(D498,Maskiner,0)),"")="I dokk","","Maskinen er ikke i dokk"),""))))))</f>
        <v/>
      </c>
      <c r="L498" s="2">
        <f>IF(B498="","",IFERROR(INT((MATCH(B498,Teknikere,0)-1)/18)+1,""))</f>
        <v/>
      </c>
      <c r="M498" s="2">
        <f>IF(OR(A498="",B498=""),"",B498&amp;"|"&amp;A498)</f>
        <v/>
      </c>
      <c r="N498" s="2">
        <f>IF(M498="","",SUMIFS(TF_Timer,TF_Nokkel,M498,TF_Akt,C498))</f>
        <v/>
      </c>
      <c r="O498" s="2">
        <f>IF(M498="","",IF(AND(N498=_xlfn.MAXIFS(TF_AktSum,TF_Nokkel,M498),COUNTIFS(M$3:M497,M498,N$3:N497,N498)=0),M498,""))</f>
        <v/>
      </c>
    </row>
    <row r="499">
      <c r="A499" s="34" t="n"/>
      <c r="B499" s="35" t="n"/>
      <c r="C499" s="35" t="n"/>
      <c r="D499" s="35" t="n"/>
      <c r="E499" s="35" t="n"/>
      <c r="F499" s="36" t="n"/>
      <c r="G499" s="35" t="n"/>
      <c r="H499" s="30">
        <f>IF(L499="","",INDEX(SkiftNavn,L499))</f>
        <v/>
      </c>
      <c r="I499" s="30">
        <f>IF(OR(A499="",L499=""),"",IF(MOD(A499-INDEX(SkiftStart,L499),Syklus)&lt;DagK,"Kveld",IF(MOD(A499-INDEX(SkiftStart,L499),Syklus)&lt;DagK+DagH,"Helg",IF(MOD(A499-INDEX(SkiftStart,L499),Syklus)&lt;DagK+DagH+DagD,"Dag","Fri"))))</f>
        <v/>
      </c>
      <c r="J499" s="30">
        <f>IF(I499="Fri","Ja","")</f>
        <v/>
      </c>
      <c r="K499" s="30">
        <f>IF(B499="","",IF(L499="","Ukjent tekniker",IF(ISNA(MATCH(C499,Aktiviteter,0)),"Ukjent aktivitet",IF(AND(INDEX(AktRolle,MATCH(C499,Aktiviteter,0))&amp;""&lt;&gt;"",ISERROR(SEARCH(INDEX(AktRolle,MATCH(C499,Aktiviteter,0))&amp;"",INDEX(TekRoller,MATCH(B499,Teknikere,0))))),"Mangler rollen "&amp;INDEX(AktRolle,MATCH(C499,Aktiviteter,0))&amp;"",IF(AND(C499="LMS",F499&gt;0,OR(D499="",E499="")),"Mangler maskin eller arbeid",IF(AND(OR(C499="LMS",C499="Mod"),D499&lt;&gt;""),IF(IFERROR(INDEX(MaskinStatus,MATCH(D499,Maskiner,0)),"")="I dokk","","Maskinen er ikke i dokk"),""))))))</f>
        <v/>
      </c>
      <c r="L499" s="2">
        <f>IF(B499="","",IFERROR(INT((MATCH(B499,Teknikere,0)-1)/18)+1,""))</f>
        <v/>
      </c>
      <c r="M499" s="2">
        <f>IF(OR(A499="",B499=""),"",B499&amp;"|"&amp;A499)</f>
        <v/>
      </c>
      <c r="N499" s="2">
        <f>IF(M499="","",SUMIFS(TF_Timer,TF_Nokkel,M499,TF_Akt,C499))</f>
        <v/>
      </c>
      <c r="O499" s="2">
        <f>IF(M499="","",IF(AND(N499=_xlfn.MAXIFS(TF_AktSum,TF_Nokkel,M499),COUNTIFS(M$3:M498,M499,N$3:N498,N499)=0),M499,""))</f>
        <v/>
      </c>
    </row>
    <row r="500">
      <c r="A500" s="34" t="n"/>
      <c r="B500" s="35" t="n"/>
      <c r="C500" s="35" t="n"/>
      <c r="D500" s="35" t="n"/>
      <c r="E500" s="35" t="n"/>
      <c r="F500" s="36" t="n"/>
      <c r="G500" s="35" t="n"/>
      <c r="H500" s="30">
        <f>IF(L500="","",INDEX(SkiftNavn,L500))</f>
        <v/>
      </c>
      <c r="I500" s="30">
        <f>IF(OR(A500="",L500=""),"",IF(MOD(A500-INDEX(SkiftStart,L500),Syklus)&lt;DagK,"Kveld",IF(MOD(A500-INDEX(SkiftStart,L500),Syklus)&lt;DagK+DagH,"Helg",IF(MOD(A500-INDEX(SkiftStart,L500),Syklus)&lt;DagK+DagH+DagD,"Dag","Fri"))))</f>
        <v/>
      </c>
      <c r="J500" s="30">
        <f>IF(I500="Fri","Ja","")</f>
        <v/>
      </c>
      <c r="K500" s="30">
        <f>IF(B500="","",IF(L500="","Ukjent tekniker",IF(ISNA(MATCH(C500,Aktiviteter,0)),"Ukjent aktivitet",IF(AND(INDEX(AktRolle,MATCH(C500,Aktiviteter,0))&amp;""&lt;&gt;"",ISERROR(SEARCH(INDEX(AktRolle,MATCH(C500,Aktiviteter,0))&amp;"",INDEX(TekRoller,MATCH(B500,Teknikere,0))))),"Mangler rollen "&amp;INDEX(AktRolle,MATCH(C500,Aktiviteter,0))&amp;"",IF(AND(C500="LMS",F500&gt;0,OR(D500="",E500="")),"Mangler maskin eller arbeid",IF(AND(OR(C500="LMS",C500="Mod"),D500&lt;&gt;""),IF(IFERROR(INDEX(MaskinStatus,MATCH(D500,Maskiner,0)),"")="I dokk","","Maskinen er ikke i dokk"),""))))))</f>
        <v/>
      </c>
      <c r="L500" s="2">
        <f>IF(B500="","",IFERROR(INT((MATCH(B500,Teknikere,0)-1)/18)+1,""))</f>
        <v/>
      </c>
      <c r="M500" s="2">
        <f>IF(OR(A500="",B500=""),"",B500&amp;"|"&amp;A500)</f>
        <v/>
      </c>
      <c r="N500" s="2">
        <f>IF(M500="","",SUMIFS(TF_Timer,TF_Nokkel,M500,TF_Akt,C500))</f>
        <v/>
      </c>
      <c r="O500" s="2">
        <f>IF(M500="","",IF(AND(N500=_xlfn.MAXIFS(TF_AktSum,TF_Nokkel,M500),COUNTIFS(M$3:M499,M500,N$3:N499,N500)=0),M500,""))</f>
        <v/>
      </c>
    </row>
    <row r="501">
      <c r="A501" s="34" t="n"/>
      <c r="B501" s="35" t="n"/>
      <c r="C501" s="35" t="n"/>
      <c r="D501" s="35" t="n"/>
      <c r="E501" s="35" t="n"/>
      <c r="F501" s="36" t="n"/>
      <c r="G501" s="35" t="n"/>
      <c r="H501" s="30">
        <f>IF(L501="","",INDEX(SkiftNavn,L501))</f>
        <v/>
      </c>
      <c r="I501" s="30">
        <f>IF(OR(A501="",L501=""),"",IF(MOD(A501-INDEX(SkiftStart,L501),Syklus)&lt;DagK,"Kveld",IF(MOD(A501-INDEX(SkiftStart,L501),Syklus)&lt;DagK+DagH,"Helg",IF(MOD(A501-INDEX(SkiftStart,L501),Syklus)&lt;DagK+DagH+DagD,"Dag","Fri"))))</f>
        <v/>
      </c>
      <c r="J501" s="30">
        <f>IF(I501="Fri","Ja","")</f>
        <v/>
      </c>
      <c r="K501" s="30">
        <f>IF(B501="","",IF(L501="","Ukjent tekniker",IF(ISNA(MATCH(C501,Aktiviteter,0)),"Ukjent aktivitet",IF(AND(INDEX(AktRolle,MATCH(C501,Aktiviteter,0))&amp;""&lt;&gt;"",ISERROR(SEARCH(INDEX(AktRolle,MATCH(C501,Aktiviteter,0))&amp;"",INDEX(TekRoller,MATCH(B501,Teknikere,0))))),"Mangler rollen "&amp;INDEX(AktRolle,MATCH(C501,Aktiviteter,0))&amp;"",IF(AND(C501="LMS",F501&gt;0,OR(D501="",E501="")),"Mangler maskin eller arbeid",IF(AND(OR(C501="LMS",C501="Mod"),D501&lt;&gt;""),IF(IFERROR(INDEX(MaskinStatus,MATCH(D501,Maskiner,0)),"")="I dokk","","Maskinen er ikke i dokk"),""))))))</f>
        <v/>
      </c>
      <c r="L501" s="2">
        <f>IF(B501="","",IFERROR(INT((MATCH(B501,Teknikere,0)-1)/18)+1,""))</f>
        <v/>
      </c>
      <c r="M501" s="2">
        <f>IF(OR(A501="",B501=""),"",B501&amp;"|"&amp;A501)</f>
        <v/>
      </c>
      <c r="N501" s="2">
        <f>IF(M501="","",SUMIFS(TF_Timer,TF_Nokkel,M501,TF_Akt,C501))</f>
        <v/>
      </c>
      <c r="O501" s="2">
        <f>IF(M501="","",IF(AND(N501=_xlfn.MAXIFS(TF_AktSum,TF_Nokkel,M501),COUNTIFS(M$3:M500,M501,N$3:N500,N501)=0),M501,""))</f>
        <v/>
      </c>
    </row>
    <row r="502">
      <c r="A502" s="34" t="n"/>
      <c r="B502" s="35" t="n"/>
      <c r="C502" s="35" t="n"/>
      <c r="D502" s="35" t="n"/>
      <c r="E502" s="35" t="n"/>
      <c r="F502" s="36" t="n"/>
      <c r="G502" s="35" t="n"/>
      <c r="H502" s="30">
        <f>IF(L502="","",INDEX(SkiftNavn,L502))</f>
        <v/>
      </c>
      <c r="I502" s="30">
        <f>IF(OR(A502="",L502=""),"",IF(MOD(A502-INDEX(SkiftStart,L502),Syklus)&lt;DagK,"Kveld",IF(MOD(A502-INDEX(SkiftStart,L502),Syklus)&lt;DagK+DagH,"Helg",IF(MOD(A502-INDEX(SkiftStart,L502),Syklus)&lt;DagK+DagH+DagD,"Dag","Fri"))))</f>
        <v/>
      </c>
      <c r="J502" s="30">
        <f>IF(I502="Fri","Ja","")</f>
        <v/>
      </c>
      <c r="K502" s="30">
        <f>IF(B502="","",IF(L502="","Ukjent tekniker",IF(ISNA(MATCH(C502,Aktiviteter,0)),"Ukjent aktivitet",IF(AND(INDEX(AktRolle,MATCH(C502,Aktiviteter,0))&amp;""&lt;&gt;"",ISERROR(SEARCH(INDEX(AktRolle,MATCH(C502,Aktiviteter,0))&amp;"",INDEX(TekRoller,MATCH(B502,Teknikere,0))))),"Mangler rollen "&amp;INDEX(AktRolle,MATCH(C502,Aktiviteter,0))&amp;"",IF(AND(C502="LMS",F502&gt;0,OR(D502="",E502="")),"Mangler maskin eller arbeid",IF(AND(OR(C502="LMS",C502="Mod"),D502&lt;&gt;""),IF(IFERROR(INDEX(MaskinStatus,MATCH(D502,Maskiner,0)),"")="I dokk","","Maskinen er ikke i dokk"),""))))))</f>
        <v/>
      </c>
      <c r="L502" s="2">
        <f>IF(B502="","",IFERROR(INT((MATCH(B502,Teknikere,0)-1)/18)+1,""))</f>
        <v/>
      </c>
      <c r="M502" s="2">
        <f>IF(OR(A502="",B502=""),"",B502&amp;"|"&amp;A502)</f>
        <v/>
      </c>
      <c r="N502" s="2">
        <f>IF(M502="","",SUMIFS(TF_Timer,TF_Nokkel,M502,TF_Akt,C502))</f>
        <v/>
      </c>
      <c r="O502" s="2">
        <f>IF(M502="","",IF(AND(N502=_xlfn.MAXIFS(TF_AktSum,TF_Nokkel,M502),COUNTIFS(M$3:M501,M502,N$3:N501,N502)=0),M502,""))</f>
        <v/>
      </c>
    </row>
    <row r="503">
      <c r="A503" s="34" t="n"/>
      <c r="B503" s="35" t="n"/>
      <c r="C503" s="35" t="n"/>
      <c r="D503" s="35" t="n"/>
      <c r="E503" s="35" t="n"/>
      <c r="F503" s="36" t="n"/>
      <c r="G503" s="35" t="n"/>
      <c r="H503" s="30">
        <f>IF(L503="","",INDEX(SkiftNavn,L503))</f>
        <v/>
      </c>
      <c r="I503" s="30">
        <f>IF(OR(A503="",L503=""),"",IF(MOD(A503-INDEX(SkiftStart,L503),Syklus)&lt;DagK,"Kveld",IF(MOD(A503-INDEX(SkiftStart,L503),Syklus)&lt;DagK+DagH,"Helg",IF(MOD(A503-INDEX(SkiftStart,L503),Syklus)&lt;DagK+DagH+DagD,"Dag","Fri"))))</f>
        <v/>
      </c>
      <c r="J503" s="30">
        <f>IF(I503="Fri","Ja","")</f>
        <v/>
      </c>
      <c r="K503" s="30">
        <f>IF(B503="","",IF(L503="","Ukjent tekniker",IF(ISNA(MATCH(C503,Aktiviteter,0)),"Ukjent aktivitet",IF(AND(INDEX(AktRolle,MATCH(C503,Aktiviteter,0))&amp;""&lt;&gt;"",ISERROR(SEARCH(INDEX(AktRolle,MATCH(C503,Aktiviteter,0))&amp;"",INDEX(TekRoller,MATCH(B503,Teknikere,0))))),"Mangler rollen "&amp;INDEX(AktRolle,MATCH(C503,Aktiviteter,0))&amp;"",IF(AND(C503="LMS",F503&gt;0,OR(D503="",E503="")),"Mangler maskin eller arbeid",IF(AND(OR(C503="LMS",C503="Mod"),D503&lt;&gt;""),IF(IFERROR(INDEX(MaskinStatus,MATCH(D503,Maskiner,0)),"")="I dokk","","Maskinen er ikke i dokk"),""))))))</f>
        <v/>
      </c>
      <c r="L503" s="2">
        <f>IF(B503="","",IFERROR(INT((MATCH(B503,Teknikere,0)-1)/18)+1,""))</f>
        <v/>
      </c>
      <c r="M503" s="2">
        <f>IF(OR(A503="",B503=""),"",B503&amp;"|"&amp;A503)</f>
        <v/>
      </c>
      <c r="N503" s="2">
        <f>IF(M503="","",SUMIFS(TF_Timer,TF_Nokkel,M503,TF_Akt,C503))</f>
        <v/>
      </c>
      <c r="O503" s="2">
        <f>IF(M503="","",IF(AND(N503=_xlfn.MAXIFS(TF_AktSum,TF_Nokkel,M503),COUNTIFS(M$3:M502,M503,N$3:N502,N503)=0),M503,""))</f>
        <v/>
      </c>
    </row>
    <row r="504">
      <c r="A504" s="34" t="n"/>
      <c r="B504" s="35" t="n"/>
      <c r="C504" s="35" t="n"/>
      <c r="D504" s="35" t="n"/>
      <c r="E504" s="35" t="n"/>
      <c r="F504" s="36" t="n"/>
      <c r="G504" s="35" t="n"/>
      <c r="H504" s="30">
        <f>IF(L504="","",INDEX(SkiftNavn,L504))</f>
        <v/>
      </c>
      <c r="I504" s="30">
        <f>IF(OR(A504="",L504=""),"",IF(MOD(A504-INDEX(SkiftStart,L504),Syklus)&lt;DagK,"Kveld",IF(MOD(A504-INDEX(SkiftStart,L504),Syklus)&lt;DagK+DagH,"Helg",IF(MOD(A504-INDEX(SkiftStart,L504),Syklus)&lt;DagK+DagH+DagD,"Dag","Fri"))))</f>
        <v/>
      </c>
      <c r="J504" s="30">
        <f>IF(I504="Fri","Ja","")</f>
        <v/>
      </c>
      <c r="K504" s="30">
        <f>IF(B504="","",IF(L504="","Ukjent tekniker",IF(ISNA(MATCH(C504,Aktiviteter,0)),"Ukjent aktivitet",IF(AND(INDEX(AktRolle,MATCH(C504,Aktiviteter,0))&amp;""&lt;&gt;"",ISERROR(SEARCH(INDEX(AktRolle,MATCH(C504,Aktiviteter,0))&amp;"",INDEX(TekRoller,MATCH(B504,Teknikere,0))))),"Mangler rollen "&amp;INDEX(AktRolle,MATCH(C504,Aktiviteter,0))&amp;"",IF(AND(C504="LMS",F504&gt;0,OR(D504="",E504="")),"Mangler maskin eller arbeid",IF(AND(OR(C504="LMS",C504="Mod"),D504&lt;&gt;""),IF(IFERROR(INDEX(MaskinStatus,MATCH(D504,Maskiner,0)),"")="I dokk","","Maskinen er ikke i dokk"),""))))))</f>
        <v/>
      </c>
      <c r="L504" s="2">
        <f>IF(B504="","",IFERROR(INT((MATCH(B504,Teknikere,0)-1)/18)+1,""))</f>
        <v/>
      </c>
      <c r="M504" s="2">
        <f>IF(OR(A504="",B504=""),"",B504&amp;"|"&amp;A504)</f>
        <v/>
      </c>
      <c r="N504" s="2">
        <f>IF(M504="","",SUMIFS(TF_Timer,TF_Nokkel,M504,TF_Akt,C504))</f>
        <v/>
      </c>
      <c r="O504" s="2">
        <f>IF(M504="","",IF(AND(N504=_xlfn.MAXIFS(TF_AktSum,TF_Nokkel,M504),COUNTIFS(M$3:M503,M504,N$3:N503,N504)=0),M504,""))</f>
        <v/>
      </c>
    </row>
    <row r="505">
      <c r="A505" s="34" t="n"/>
      <c r="B505" s="35" t="n"/>
      <c r="C505" s="35" t="n"/>
      <c r="D505" s="35" t="n"/>
      <c r="E505" s="35" t="n"/>
      <c r="F505" s="36" t="n"/>
      <c r="G505" s="35" t="n"/>
      <c r="H505" s="30">
        <f>IF(L505="","",INDEX(SkiftNavn,L505))</f>
        <v/>
      </c>
      <c r="I505" s="30">
        <f>IF(OR(A505="",L505=""),"",IF(MOD(A505-INDEX(SkiftStart,L505),Syklus)&lt;DagK,"Kveld",IF(MOD(A505-INDEX(SkiftStart,L505),Syklus)&lt;DagK+DagH,"Helg",IF(MOD(A505-INDEX(SkiftStart,L505),Syklus)&lt;DagK+DagH+DagD,"Dag","Fri"))))</f>
        <v/>
      </c>
      <c r="J505" s="30">
        <f>IF(I505="Fri","Ja","")</f>
        <v/>
      </c>
      <c r="K505" s="30">
        <f>IF(B505="","",IF(L505="","Ukjent tekniker",IF(ISNA(MATCH(C505,Aktiviteter,0)),"Ukjent aktivitet",IF(AND(INDEX(AktRolle,MATCH(C505,Aktiviteter,0))&amp;""&lt;&gt;"",ISERROR(SEARCH(INDEX(AktRolle,MATCH(C505,Aktiviteter,0))&amp;"",INDEX(TekRoller,MATCH(B505,Teknikere,0))))),"Mangler rollen "&amp;INDEX(AktRolle,MATCH(C505,Aktiviteter,0))&amp;"",IF(AND(C505="LMS",F505&gt;0,OR(D505="",E505="")),"Mangler maskin eller arbeid",IF(AND(OR(C505="LMS",C505="Mod"),D505&lt;&gt;""),IF(IFERROR(INDEX(MaskinStatus,MATCH(D505,Maskiner,0)),"")="I dokk","","Maskinen er ikke i dokk"),""))))))</f>
        <v/>
      </c>
      <c r="L505" s="2">
        <f>IF(B505="","",IFERROR(INT((MATCH(B505,Teknikere,0)-1)/18)+1,""))</f>
        <v/>
      </c>
      <c r="M505" s="2">
        <f>IF(OR(A505="",B505=""),"",B505&amp;"|"&amp;A505)</f>
        <v/>
      </c>
      <c r="N505" s="2">
        <f>IF(M505="","",SUMIFS(TF_Timer,TF_Nokkel,M505,TF_Akt,C505))</f>
        <v/>
      </c>
      <c r="O505" s="2">
        <f>IF(M505="","",IF(AND(N505=_xlfn.MAXIFS(TF_AktSum,TF_Nokkel,M505),COUNTIFS(M$3:M504,M505,N$3:N504,N505)=0),M505,""))</f>
        <v/>
      </c>
    </row>
    <row r="506">
      <c r="A506" s="34" t="n"/>
      <c r="B506" s="35" t="n"/>
      <c r="C506" s="35" t="n"/>
      <c r="D506" s="35" t="n"/>
      <c r="E506" s="35" t="n"/>
      <c r="F506" s="36" t="n"/>
      <c r="G506" s="35" t="n"/>
      <c r="H506" s="30">
        <f>IF(L506="","",INDEX(SkiftNavn,L506))</f>
        <v/>
      </c>
      <c r="I506" s="30">
        <f>IF(OR(A506="",L506=""),"",IF(MOD(A506-INDEX(SkiftStart,L506),Syklus)&lt;DagK,"Kveld",IF(MOD(A506-INDEX(SkiftStart,L506),Syklus)&lt;DagK+DagH,"Helg",IF(MOD(A506-INDEX(SkiftStart,L506),Syklus)&lt;DagK+DagH+DagD,"Dag","Fri"))))</f>
        <v/>
      </c>
      <c r="J506" s="30">
        <f>IF(I506="Fri","Ja","")</f>
        <v/>
      </c>
      <c r="K506" s="30">
        <f>IF(B506="","",IF(L506="","Ukjent tekniker",IF(ISNA(MATCH(C506,Aktiviteter,0)),"Ukjent aktivitet",IF(AND(INDEX(AktRolle,MATCH(C506,Aktiviteter,0))&amp;""&lt;&gt;"",ISERROR(SEARCH(INDEX(AktRolle,MATCH(C506,Aktiviteter,0))&amp;"",INDEX(TekRoller,MATCH(B506,Teknikere,0))))),"Mangler rollen "&amp;INDEX(AktRolle,MATCH(C506,Aktiviteter,0))&amp;"",IF(AND(C506="LMS",F506&gt;0,OR(D506="",E506="")),"Mangler maskin eller arbeid",IF(AND(OR(C506="LMS",C506="Mod"),D506&lt;&gt;""),IF(IFERROR(INDEX(MaskinStatus,MATCH(D506,Maskiner,0)),"")="I dokk","","Maskinen er ikke i dokk"),""))))))</f>
        <v/>
      </c>
      <c r="L506" s="2">
        <f>IF(B506="","",IFERROR(INT((MATCH(B506,Teknikere,0)-1)/18)+1,""))</f>
        <v/>
      </c>
      <c r="M506" s="2">
        <f>IF(OR(A506="",B506=""),"",B506&amp;"|"&amp;A506)</f>
        <v/>
      </c>
      <c r="N506" s="2">
        <f>IF(M506="","",SUMIFS(TF_Timer,TF_Nokkel,M506,TF_Akt,C506))</f>
        <v/>
      </c>
      <c r="O506" s="2">
        <f>IF(M506="","",IF(AND(N506=_xlfn.MAXIFS(TF_AktSum,TF_Nokkel,M506),COUNTIFS(M$3:M505,M506,N$3:N505,N506)=0),M506,""))</f>
        <v/>
      </c>
    </row>
    <row r="507">
      <c r="A507" s="34" t="n"/>
      <c r="B507" s="35" t="n"/>
      <c r="C507" s="35" t="n"/>
      <c r="D507" s="35" t="n"/>
      <c r="E507" s="35" t="n"/>
      <c r="F507" s="36" t="n"/>
      <c r="G507" s="35" t="n"/>
      <c r="H507" s="30">
        <f>IF(L507="","",INDEX(SkiftNavn,L507))</f>
        <v/>
      </c>
      <c r="I507" s="30">
        <f>IF(OR(A507="",L507=""),"",IF(MOD(A507-INDEX(SkiftStart,L507),Syklus)&lt;DagK,"Kveld",IF(MOD(A507-INDEX(SkiftStart,L507),Syklus)&lt;DagK+DagH,"Helg",IF(MOD(A507-INDEX(SkiftStart,L507),Syklus)&lt;DagK+DagH+DagD,"Dag","Fri"))))</f>
        <v/>
      </c>
      <c r="J507" s="30">
        <f>IF(I507="Fri","Ja","")</f>
        <v/>
      </c>
      <c r="K507" s="30">
        <f>IF(B507="","",IF(L507="","Ukjent tekniker",IF(ISNA(MATCH(C507,Aktiviteter,0)),"Ukjent aktivitet",IF(AND(INDEX(AktRolle,MATCH(C507,Aktiviteter,0))&amp;""&lt;&gt;"",ISERROR(SEARCH(INDEX(AktRolle,MATCH(C507,Aktiviteter,0))&amp;"",INDEX(TekRoller,MATCH(B507,Teknikere,0))))),"Mangler rollen "&amp;INDEX(AktRolle,MATCH(C507,Aktiviteter,0))&amp;"",IF(AND(C507="LMS",F507&gt;0,OR(D507="",E507="")),"Mangler maskin eller arbeid",IF(AND(OR(C507="LMS",C507="Mod"),D507&lt;&gt;""),IF(IFERROR(INDEX(MaskinStatus,MATCH(D507,Maskiner,0)),"")="I dokk","","Maskinen er ikke i dokk"),""))))))</f>
        <v/>
      </c>
      <c r="L507" s="2">
        <f>IF(B507="","",IFERROR(INT((MATCH(B507,Teknikere,0)-1)/18)+1,""))</f>
        <v/>
      </c>
      <c r="M507" s="2">
        <f>IF(OR(A507="",B507=""),"",B507&amp;"|"&amp;A507)</f>
        <v/>
      </c>
      <c r="N507" s="2">
        <f>IF(M507="","",SUMIFS(TF_Timer,TF_Nokkel,M507,TF_Akt,C507))</f>
        <v/>
      </c>
      <c r="O507" s="2">
        <f>IF(M507="","",IF(AND(N507=_xlfn.MAXIFS(TF_AktSum,TF_Nokkel,M507),COUNTIFS(M$3:M506,M507,N$3:N506,N507)=0),M507,""))</f>
        <v/>
      </c>
    </row>
    <row r="508">
      <c r="A508" s="34" t="n"/>
      <c r="B508" s="35" t="n"/>
      <c r="C508" s="35" t="n"/>
      <c r="D508" s="35" t="n"/>
      <c r="E508" s="35" t="n"/>
      <c r="F508" s="36" t="n"/>
      <c r="G508" s="35" t="n"/>
      <c r="H508" s="30">
        <f>IF(L508="","",INDEX(SkiftNavn,L508))</f>
        <v/>
      </c>
      <c r="I508" s="30">
        <f>IF(OR(A508="",L508=""),"",IF(MOD(A508-INDEX(SkiftStart,L508),Syklus)&lt;DagK,"Kveld",IF(MOD(A508-INDEX(SkiftStart,L508),Syklus)&lt;DagK+DagH,"Helg",IF(MOD(A508-INDEX(SkiftStart,L508),Syklus)&lt;DagK+DagH+DagD,"Dag","Fri"))))</f>
        <v/>
      </c>
      <c r="J508" s="30">
        <f>IF(I508="Fri","Ja","")</f>
        <v/>
      </c>
      <c r="K508" s="30">
        <f>IF(B508="","",IF(L508="","Ukjent tekniker",IF(ISNA(MATCH(C508,Aktiviteter,0)),"Ukjent aktivitet",IF(AND(INDEX(AktRolle,MATCH(C508,Aktiviteter,0))&amp;""&lt;&gt;"",ISERROR(SEARCH(INDEX(AktRolle,MATCH(C508,Aktiviteter,0))&amp;"",INDEX(TekRoller,MATCH(B508,Teknikere,0))))),"Mangler rollen "&amp;INDEX(AktRolle,MATCH(C508,Aktiviteter,0))&amp;"",IF(AND(C508="LMS",F508&gt;0,OR(D508="",E508="")),"Mangler maskin eller arbeid",IF(AND(OR(C508="LMS",C508="Mod"),D508&lt;&gt;""),IF(IFERROR(INDEX(MaskinStatus,MATCH(D508,Maskiner,0)),"")="I dokk","","Maskinen er ikke i dokk"),""))))))</f>
        <v/>
      </c>
      <c r="L508" s="2">
        <f>IF(B508="","",IFERROR(INT((MATCH(B508,Teknikere,0)-1)/18)+1,""))</f>
        <v/>
      </c>
      <c r="M508" s="2">
        <f>IF(OR(A508="",B508=""),"",B508&amp;"|"&amp;A508)</f>
        <v/>
      </c>
      <c r="N508" s="2">
        <f>IF(M508="","",SUMIFS(TF_Timer,TF_Nokkel,M508,TF_Akt,C508))</f>
        <v/>
      </c>
      <c r="O508" s="2">
        <f>IF(M508="","",IF(AND(N508=_xlfn.MAXIFS(TF_AktSum,TF_Nokkel,M508),COUNTIFS(M$3:M507,M508,N$3:N507,N508)=0),M508,""))</f>
        <v/>
      </c>
    </row>
    <row r="509">
      <c r="A509" s="34" t="n"/>
      <c r="B509" s="35" t="n"/>
      <c r="C509" s="35" t="n"/>
      <c r="D509" s="35" t="n"/>
      <c r="E509" s="35" t="n"/>
      <c r="F509" s="36" t="n"/>
      <c r="G509" s="35" t="n"/>
      <c r="H509" s="30">
        <f>IF(L509="","",INDEX(SkiftNavn,L509))</f>
        <v/>
      </c>
      <c r="I509" s="30">
        <f>IF(OR(A509="",L509=""),"",IF(MOD(A509-INDEX(SkiftStart,L509),Syklus)&lt;DagK,"Kveld",IF(MOD(A509-INDEX(SkiftStart,L509),Syklus)&lt;DagK+DagH,"Helg",IF(MOD(A509-INDEX(SkiftStart,L509),Syklus)&lt;DagK+DagH+DagD,"Dag","Fri"))))</f>
        <v/>
      </c>
      <c r="J509" s="30">
        <f>IF(I509="Fri","Ja","")</f>
        <v/>
      </c>
      <c r="K509" s="30">
        <f>IF(B509="","",IF(L509="","Ukjent tekniker",IF(ISNA(MATCH(C509,Aktiviteter,0)),"Ukjent aktivitet",IF(AND(INDEX(AktRolle,MATCH(C509,Aktiviteter,0))&amp;""&lt;&gt;"",ISERROR(SEARCH(INDEX(AktRolle,MATCH(C509,Aktiviteter,0))&amp;"",INDEX(TekRoller,MATCH(B509,Teknikere,0))))),"Mangler rollen "&amp;INDEX(AktRolle,MATCH(C509,Aktiviteter,0))&amp;"",IF(AND(C509="LMS",F509&gt;0,OR(D509="",E509="")),"Mangler maskin eller arbeid",IF(AND(OR(C509="LMS",C509="Mod"),D509&lt;&gt;""),IF(IFERROR(INDEX(MaskinStatus,MATCH(D509,Maskiner,0)),"")="I dokk","","Maskinen er ikke i dokk"),""))))))</f>
        <v/>
      </c>
      <c r="L509" s="2">
        <f>IF(B509="","",IFERROR(INT((MATCH(B509,Teknikere,0)-1)/18)+1,""))</f>
        <v/>
      </c>
      <c r="M509" s="2">
        <f>IF(OR(A509="",B509=""),"",B509&amp;"|"&amp;A509)</f>
        <v/>
      </c>
      <c r="N509" s="2">
        <f>IF(M509="","",SUMIFS(TF_Timer,TF_Nokkel,M509,TF_Akt,C509))</f>
        <v/>
      </c>
      <c r="O509" s="2">
        <f>IF(M509="","",IF(AND(N509=_xlfn.MAXIFS(TF_AktSum,TF_Nokkel,M509),COUNTIFS(M$3:M508,M509,N$3:N508,N509)=0),M509,""))</f>
        <v/>
      </c>
    </row>
    <row r="510">
      <c r="A510" s="34" t="n"/>
      <c r="B510" s="35" t="n"/>
      <c r="C510" s="35" t="n"/>
      <c r="D510" s="35" t="n"/>
      <c r="E510" s="35" t="n"/>
      <c r="F510" s="36" t="n"/>
      <c r="G510" s="35" t="n"/>
      <c r="H510" s="30">
        <f>IF(L510="","",INDEX(SkiftNavn,L510))</f>
        <v/>
      </c>
      <c r="I510" s="30">
        <f>IF(OR(A510="",L510=""),"",IF(MOD(A510-INDEX(SkiftStart,L510),Syklus)&lt;DagK,"Kveld",IF(MOD(A510-INDEX(SkiftStart,L510),Syklus)&lt;DagK+DagH,"Helg",IF(MOD(A510-INDEX(SkiftStart,L510),Syklus)&lt;DagK+DagH+DagD,"Dag","Fri"))))</f>
        <v/>
      </c>
      <c r="J510" s="30">
        <f>IF(I510="Fri","Ja","")</f>
        <v/>
      </c>
      <c r="K510" s="30">
        <f>IF(B510="","",IF(L510="","Ukjent tekniker",IF(ISNA(MATCH(C510,Aktiviteter,0)),"Ukjent aktivitet",IF(AND(INDEX(AktRolle,MATCH(C510,Aktiviteter,0))&amp;""&lt;&gt;"",ISERROR(SEARCH(INDEX(AktRolle,MATCH(C510,Aktiviteter,0))&amp;"",INDEX(TekRoller,MATCH(B510,Teknikere,0))))),"Mangler rollen "&amp;INDEX(AktRolle,MATCH(C510,Aktiviteter,0))&amp;"",IF(AND(C510="LMS",F510&gt;0,OR(D510="",E510="")),"Mangler maskin eller arbeid",IF(AND(OR(C510="LMS",C510="Mod"),D510&lt;&gt;""),IF(IFERROR(INDEX(MaskinStatus,MATCH(D510,Maskiner,0)),"")="I dokk","","Maskinen er ikke i dokk"),""))))))</f>
        <v/>
      </c>
      <c r="L510" s="2">
        <f>IF(B510="","",IFERROR(INT((MATCH(B510,Teknikere,0)-1)/18)+1,""))</f>
        <v/>
      </c>
      <c r="M510" s="2">
        <f>IF(OR(A510="",B510=""),"",B510&amp;"|"&amp;A510)</f>
        <v/>
      </c>
      <c r="N510" s="2">
        <f>IF(M510="","",SUMIFS(TF_Timer,TF_Nokkel,M510,TF_Akt,C510))</f>
        <v/>
      </c>
      <c r="O510" s="2">
        <f>IF(M510="","",IF(AND(N510=_xlfn.MAXIFS(TF_AktSum,TF_Nokkel,M510),COUNTIFS(M$3:M509,M510,N$3:N509,N510)=0),M510,""))</f>
        <v/>
      </c>
    </row>
    <row r="511">
      <c r="A511" s="34" t="n"/>
      <c r="B511" s="35" t="n"/>
      <c r="C511" s="35" t="n"/>
      <c r="D511" s="35" t="n"/>
      <c r="E511" s="35" t="n"/>
      <c r="F511" s="36" t="n"/>
      <c r="G511" s="35" t="n"/>
      <c r="H511" s="30">
        <f>IF(L511="","",INDEX(SkiftNavn,L511))</f>
        <v/>
      </c>
      <c r="I511" s="30">
        <f>IF(OR(A511="",L511=""),"",IF(MOD(A511-INDEX(SkiftStart,L511),Syklus)&lt;DagK,"Kveld",IF(MOD(A511-INDEX(SkiftStart,L511),Syklus)&lt;DagK+DagH,"Helg",IF(MOD(A511-INDEX(SkiftStart,L511),Syklus)&lt;DagK+DagH+DagD,"Dag","Fri"))))</f>
        <v/>
      </c>
      <c r="J511" s="30">
        <f>IF(I511="Fri","Ja","")</f>
        <v/>
      </c>
      <c r="K511" s="30">
        <f>IF(B511="","",IF(L511="","Ukjent tekniker",IF(ISNA(MATCH(C511,Aktiviteter,0)),"Ukjent aktivitet",IF(AND(INDEX(AktRolle,MATCH(C511,Aktiviteter,0))&amp;""&lt;&gt;"",ISERROR(SEARCH(INDEX(AktRolle,MATCH(C511,Aktiviteter,0))&amp;"",INDEX(TekRoller,MATCH(B511,Teknikere,0))))),"Mangler rollen "&amp;INDEX(AktRolle,MATCH(C511,Aktiviteter,0))&amp;"",IF(AND(C511="LMS",F511&gt;0,OR(D511="",E511="")),"Mangler maskin eller arbeid",IF(AND(OR(C511="LMS",C511="Mod"),D511&lt;&gt;""),IF(IFERROR(INDEX(MaskinStatus,MATCH(D511,Maskiner,0)),"")="I dokk","","Maskinen er ikke i dokk"),""))))))</f>
        <v/>
      </c>
      <c r="L511" s="2">
        <f>IF(B511="","",IFERROR(INT((MATCH(B511,Teknikere,0)-1)/18)+1,""))</f>
        <v/>
      </c>
      <c r="M511" s="2">
        <f>IF(OR(A511="",B511=""),"",B511&amp;"|"&amp;A511)</f>
        <v/>
      </c>
      <c r="N511" s="2">
        <f>IF(M511="","",SUMIFS(TF_Timer,TF_Nokkel,M511,TF_Akt,C511))</f>
        <v/>
      </c>
      <c r="O511" s="2">
        <f>IF(M511="","",IF(AND(N511=_xlfn.MAXIFS(TF_AktSum,TF_Nokkel,M511),COUNTIFS(M$3:M510,M511,N$3:N510,N511)=0),M511,""))</f>
        <v/>
      </c>
    </row>
    <row r="512">
      <c r="A512" s="34" t="n"/>
      <c r="B512" s="35" t="n"/>
      <c r="C512" s="35" t="n"/>
      <c r="D512" s="35" t="n"/>
      <c r="E512" s="35" t="n"/>
      <c r="F512" s="36" t="n"/>
      <c r="G512" s="35" t="n"/>
      <c r="H512" s="30">
        <f>IF(L512="","",INDEX(SkiftNavn,L512))</f>
        <v/>
      </c>
      <c r="I512" s="30">
        <f>IF(OR(A512="",L512=""),"",IF(MOD(A512-INDEX(SkiftStart,L512),Syklus)&lt;DagK,"Kveld",IF(MOD(A512-INDEX(SkiftStart,L512),Syklus)&lt;DagK+DagH,"Helg",IF(MOD(A512-INDEX(SkiftStart,L512),Syklus)&lt;DagK+DagH+DagD,"Dag","Fri"))))</f>
        <v/>
      </c>
      <c r="J512" s="30">
        <f>IF(I512="Fri","Ja","")</f>
        <v/>
      </c>
      <c r="K512" s="30">
        <f>IF(B512="","",IF(L512="","Ukjent tekniker",IF(ISNA(MATCH(C512,Aktiviteter,0)),"Ukjent aktivitet",IF(AND(INDEX(AktRolle,MATCH(C512,Aktiviteter,0))&amp;""&lt;&gt;"",ISERROR(SEARCH(INDEX(AktRolle,MATCH(C512,Aktiviteter,0))&amp;"",INDEX(TekRoller,MATCH(B512,Teknikere,0))))),"Mangler rollen "&amp;INDEX(AktRolle,MATCH(C512,Aktiviteter,0))&amp;"",IF(AND(C512="LMS",F512&gt;0,OR(D512="",E512="")),"Mangler maskin eller arbeid",IF(AND(OR(C512="LMS",C512="Mod"),D512&lt;&gt;""),IF(IFERROR(INDEX(MaskinStatus,MATCH(D512,Maskiner,0)),"")="I dokk","","Maskinen er ikke i dokk"),""))))))</f>
        <v/>
      </c>
      <c r="L512" s="2">
        <f>IF(B512="","",IFERROR(INT((MATCH(B512,Teknikere,0)-1)/18)+1,""))</f>
        <v/>
      </c>
      <c r="M512" s="2">
        <f>IF(OR(A512="",B512=""),"",B512&amp;"|"&amp;A512)</f>
        <v/>
      </c>
      <c r="N512" s="2">
        <f>IF(M512="","",SUMIFS(TF_Timer,TF_Nokkel,M512,TF_Akt,C512))</f>
        <v/>
      </c>
      <c r="O512" s="2">
        <f>IF(M512="","",IF(AND(N512=_xlfn.MAXIFS(TF_AktSum,TF_Nokkel,M512),COUNTIFS(M$3:M511,M512,N$3:N511,N512)=0),M512,""))</f>
        <v/>
      </c>
    </row>
    <row r="513">
      <c r="A513" s="34" t="n"/>
      <c r="B513" s="35" t="n"/>
      <c r="C513" s="35" t="n"/>
      <c r="D513" s="35" t="n"/>
      <c r="E513" s="35" t="n"/>
      <c r="F513" s="36" t="n"/>
      <c r="G513" s="35" t="n"/>
      <c r="H513" s="30">
        <f>IF(L513="","",INDEX(SkiftNavn,L513))</f>
        <v/>
      </c>
      <c r="I513" s="30">
        <f>IF(OR(A513="",L513=""),"",IF(MOD(A513-INDEX(SkiftStart,L513),Syklus)&lt;DagK,"Kveld",IF(MOD(A513-INDEX(SkiftStart,L513),Syklus)&lt;DagK+DagH,"Helg",IF(MOD(A513-INDEX(SkiftStart,L513),Syklus)&lt;DagK+DagH+DagD,"Dag","Fri"))))</f>
        <v/>
      </c>
      <c r="J513" s="30">
        <f>IF(I513="Fri","Ja","")</f>
        <v/>
      </c>
      <c r="K513" s="30">
        <f>IF(B513="","",IF(L513="","Ukjent tekniker",IF(ISNA(MATCH(C513,Aktiviteter,0)),"Ukjent aktivitet",IF(AND(INDEX(AktRolle,MATCH(C513,Aktiviteter,0))&amp;""&lt;&gt;"",ISERROR(SEARCH(INDEX(AktRolle,MATCH(C513,Aktiviteter,0))&amp;"",INDEX(TekRoller,MATCH(B513,Teknikere,0))))),"Mangler rollen "&amp;INDEX(AktRolle,MATCH(C513,Aktiviteter,0))&amp;"",IF(AND(C513="LMS",F513&gt;0,OR(D513="",E513="")),"Mangler maskin eller arbeid",IF(AND(OR(C513="LMS",C513="Mod"),D513&lt;&gt;""),IF(IFERROR(INDEX(MaskinStatus,MATCH(D513,Maskiner,0)),"")="I dokk","","Maskinen er ikke i dokk"),""))))))</f>
        <v/>
      </c>
      <c r="L513" s="2">
        <f>IF(B513="","",IFERROR(INT((MATCH(B513,Teknikere,0)-1)/18)+1,""))</f>
        <v/>
      </c>
      <c r="M513" s="2">
        <f>IF(OR(A513="",B513=""),"",B513&amp;"|"&amp;A513)</f>
        <v/>
      </c>
      <c r="N513" s="2">
        <f>IF(M513="","",SUMIFS(TF_Timer,TF_Nokkel,M513,TF_Akt,C513))</f>
        <v/>
      </c>
      <c r="O513" s="2">
        <f>IF(M513="","",IF(AND(N513=_xlfn.MAXIFS(TF_AktSum,TF_Nokkel,M513),COUNTIFS(M$3:M512,M513,N$3:N512,N513)=0),M513,""))</f>
        <v/>
      </c>
    </row>
    <row r="514">
      <c r="A514" s="34" t="n"/>
      <c r="B514" s="35" t="n"/>
      <c r="C514" s="35" t="n"/>
      <c r="D514" s="35" t="n"/>
      <c r="E514" s="35" t="n"/>
      <c r="F514" s="36" t="n"/>
      <c r="G514" s="35" t="n"/>
      <c r="H514" s="30">
        <f>IF(L514="","",INDEX(SkiftNavn,L514))</f>
        <v/>
      </c>
      <c r="I514" s="30">
        <f>IF(OR(A514="",L514=""),"",IF(MOD(A514-INDEX(SkiftStart,L514),Syklus)&lt;DagK,"Kveld",IF(MOD(A514-INDEX(SkiftStart,L514),Syklus)&lt;DagK+DagH,"Helg",IF(MOD(A514-INDEX(SkiftStart,L514),Syklus)&lt;DagK+DagH+DagD,"Dag","Fri"))))</f>
        <v/>
      </c>
      <c r="J514" s="30">
        <f>IF(I514="Fri","Ja","")</f>
        <v/>
      </c>
      <c r="K514" s="30">
        <f>IF(B514="","",IF(L514="","Ukjent tekniker",IF(ISNA(MATCH(C514,Aktiviteter,0)),"Ukjent aktivitet",IF(AND(INDEX(AktRolle,MATCH(C514,Aktiviteter,0))&amp;""&lt;&gt;"",ISERROR(SEARCH(INDEX(AktRolle,MATCH(C514,Aktiviteter,0))&amp;"",INDEX(TekRoller,MATCH(B514,Teknikere,0))))),"Mangler rollen "&amp;INDEX(AktRolle,MATCH(C514,Aktiviteter,0))&amp;"",IF(AND(C514="LMS",F514&gt;0,OR(D514="",E514="")),"Mangler maskin eller arbeid",IF(AND(OR(C514="LMS",C514="Mod"),D514&lt;&gt;""),IF(IFERROR(INDEX(MaskinStatus,MATCH(D514,Maskiner,0)),"")="I dokk","","Maskinen er ikke i dokk"),""))))))</f>
        <v/>
      </c>
      <c r="L514" s="2">
        <f>IF(B514="","",IFERROR(INT((MATCH(B514,Teknikere,0)-1)/18)+1,""))</f>
        <v/>
      </c>
      <c r="M514" s="2">
        <f>IF(OR(A514="",B514=""),"",B514&amp;"|"&amp;A514)</f>
        <v/>
      </c>
      <c r="N514" s="2">
        <f>IF(M514="","",SUMIFS(TF_Timer,TF_Nokkel,M514,TF_Akt,C514))</f>
        <v/>
      </c>
      <c r="O514" s="2">
        <f>IF(M514="","",IF(AND(N514=_xlfn.MAXIFS(TF_AktSum,TF_Nokkel,M514),COUNTIFS(M$3:M513,M514,N$3:N513,N514)=0),M514,""))</f>
        <v/>
      </c>
    </row>
    <row r="515">
      <c r="A515" s="34" t="n"/>
      <c r="B515" s="35" t="n"/>
      <c r="C515" s="35" t="n"/>
      <c r="D515" s="35" t="n"/>
      <c r="E515" s="35" t="n"/>
      <c r="F515" s="36" t="n"/>
      <c r="G515" s="35" t="n"/>
      <c r="H515" s="30">
        <f>IF(L515="","",INDEX(SkiftNavn,L515))</f>
        <v/>
      </c>
      <c r="I515" s="30">
        <f>IF(OR(A515="",L515=""),"",IF(MOD(A515-INDEX(SkiftStart,L515),Syklus)&lt;DagK,"Kveld",IF(MOD(A515-INDEX(SkiftStart,L515),Syklus)&lt;DagK+DagH,"Helg",IF(MOD(A515-INDEX(SkiftStart,L515),Syklus)&lt;DagK+DagH+DagD,"Dag","Fri"))))</f>
        <v/>
      </c>
      <c r="J515" s="30">
        <f>IF(I515="Fri","Ja","")</f>
        <v/>
      </c>
      <c r="K515" s="30">
        <f>IF(B515="","",IF(L515="","Ukjent tekniker",IF(ISNA(MATCH(C515,Aktiviteter,0)),"Ukjent aktivitet",IF(AND(INDEX(AktRolle,MATCH(C515,Aktiviteter,0))&amp;""&lt;&gt;"",ISERROR(SEARCH(INDEX(AktRolle,MATCH(C515,Aktiviteter,0))&amp;"",INDEX(TekRoller,MATCH(B515,Teknikere,0))))),"Mangler rollen "&amp;INDEX(AktRolle,MATCH(C515,Aktiviteter,0))&amp;"",IF(AND(C515="LMS",F515&gt;0,OR(D515="",E515="")),"Mangler maskin eller arbeid",IF(AND(OR(C515="LMS",C515="Mod"),D515&lt;&gt;""),IF(IFERROR(INDEX(MaskinStatus,MATCH(D515,Maskiner,0)),"")="I dokk","","Maskinen er ikke i dokk"),""))))))</f>
        <v/>
      </c>
      <c r="L515" s="2">
        <f>IF(B515="","",IFERROR(INT((MATCH(B515,Teknikere,0)-1)/18)+1,""))</f>
        <v/>
      </c>
      <c r="M515" s="2">
        <f>IF(OR(A515="",B515=""),"",B515&amp;"|"&amp;A515)</f>
        <v/>
      </c>
      <c r="N515" s="2">
        <f>IF(M515="","",SUMIFS(TF_Timer,TF_Nokkel,M515,TF_Akt,C515))</f>
        <v/>
      </c>
      <c r="O515" s="2">
        <f>IF(M515="","",IF(AND(N515=_xlfn.MAXIFS(TF_AktSum,TF_Nokkel,M515),COUNTIFS(M$3:M514,M515,N$3:N514,N515)=0),M515,""))</f>
        <v/>
      </c>
    </row>
    <row r="516">
      <c r="A516" s="34" t="n"/>
      <c r="B516" s="35" t="n"/>
      <c r="C516" s="35" t="n"/>
      <c r="D516" s="35" t="n"/>
      <c r="E516" s="35" t="n"/>
      <c r="F516" s="36" t="n"/>
      <c r="G516" s="35" t="n"/>
      <c r="H516" s="30">
        <f>IF(L516="","",INDEX(SkiftNavn,L516))</f>
        <v/>
      </c>
      <c r="I516" s="30">
        <f>IF(OR(A516="",L516=""),"",IF(MOD(A516-INDEX(SkiftStart,L516),Syklus)&lt;DagK,"Kveld",IF(MOD(A516-INDEX(SkiftStart,L516),Syklus)&lt;DagK+DagH,"Helg",IF(MOD(A516-INDEX(SkiftStart,L516),Syklus)&lt;DagK+DagH+DagD,"Dag","Fri"))))</f>
        <v/>
      </c>
      <c r="J516" s="30">
        <f>IF(I516="Fri","Ja","")</f>
        <v/>
      </c>
      <c r="K516" s="30">
        <f>IF(B516="","",IF(L516="","Ukjent tekniker",IF(ISNA(MATCH(C516,Aktiviteter,0)),"Ukjent aktivitet",IF(AND(INDEX(AktRolle,MATCH(C516,Aktiviteter,0))&amp;""&lt;&gt;"",ISERROR(SEARCH(INDEX(AktRolle,MATCH(C516,Aktiviteter,0))&amp;"",INDEX(TekRoller,MATCH(B516,Teknikere,0))))),"Mangler rollen "&amp;INDEX(AktRolle,MATCH(C516,Aktiviteter,0))&amp;"",IF(AND(C516="LMS",F516&gt;0,OR(D516="",E516="")),"Mangler maskin eller arbeid",IF(AND(OR(C516="LMS",C516="Mod"),D516&lt;&gt;""),IF(IFERROR(INDEX(MaskinStatus,MATCH(D516,Maskiner,0)),"")="I dokk","","Maskinen er ikke i dokk"),""))))))</f>
        <v/>
      </c>
      <c r="L516" s="2">
        <f>IF(B516="","",IFERROR(INT((MATCH(B516,Teknikere,0)-1)/18)+1,""))</f>
        <v/>
      </c>
      <c r="M516" s="2">
        <f>IF(OR(A516="",B516=""),"",B516&amp;"|"&amp;A516)</f>
        <v/>
      </c>
      <c r="N516" s="2">
        <f>IF(M516="","",SUMIFS(TF_Timer,TF_Nokkel,M516,TF_Akt,C516))</f>
        <v/>
      </c>
      <c r="O516" s="2">
        <f>IF(M516="","",IF(AND(N516=_xlfn.MAXIFS(TF_AktSum,TF_Nokkel,M516),COUNTIFS(M$3:M515,M516,N$3:N515,N516)=0),M516,""))</f>
        <v/>
      </c>
    </row>
    <row r="517">
      <c r="A517" s="34" t="n"/>
      <c r="B517" s="35" t="n"/>
      <c r="C517" s="35" t="n"/>
      <c r="D517" s="35" t="n"/>
      <c r="E517" s="35" t="n"/>
      <c r="F517" s="36" t="n"/>
      <c r="G517" s="35" t="n"/>
      <c r="H517" s="30">
        <f>IF(L517="","",INDEX(SkiftNavn,L517))</f>
        <v/>
      </c>
      <c r="I517" s="30">
        <f>IF(OR(A517="",L517=""),"",IF(MOD(A517-INDEX(SkiftStart,L517),Syklus)&lt;DagK,"Kveld",IF(MOD(A517-INDEX(SkiftStart,L517),Syklus)&lt;DagK+DagH,"Helg",IF(MOD(A517-INDEX(SkiftStart,L517),Syklus)&lt;DagK+DagH+DagD,"Dag","Fri"))))</f>
        <v/>
      </c>
      <c r="J517" s="30">
        <f>IF(I517="Fri","Ja","")</f>
        <v/>
      </c>
      <c r="K517" s="30">
        <f>IF(B517="","",IF(L517="","Ukjent tekniker",IF(ISNA(MATCH(C517,Aktiviteter,0)),"Ukjent aktivitet",IF(AND(INDEX(AktRolle,MATCH(C517,Aktiviteter,0))&amp;""&lt;&gt;"",ISERROR(SEARCH(INDEX(AktRolle,MATCH(C517,Aktiviteter,0))&amp;"",INDEX(TekRoller,MATCH(B517,Teknikere,0))))),"Mangler rollen "&amp;INDEX(AktRolle,MATCH(C517,Aktiviteter,0))&amp;"",IF(AND(C517="LMS",F517&gt;0,OR(D517="",E517="")),"Mangler maskin eller arbeid",IF(AND(OR(C517="LMS",C517="Mod"),D517&lt;&gt;""),IF(IFERROR(INDEX(MaskinStatus,MATCH(D517,Maskiner,0)),"")="I dokk","","Maskinen er ikke i dokk"),""))))))</f>
        <v/>
      </c>
      <c r="L517" s="2">
        <f>IF(B517="","",IFERROR(INT((MATCH(B517,Teknikere,0)-1)/18)+1,""))</f>
        <v/>
      </c>
      <c r="M517" s="2">
        <f>IF(OR(A517="",B517=""),"",B517&amp;"|"&amp;A517)</f>
        <v/>
      </c>
      <c r="N517" s="2">
        <f>IF(M517="","",SUMIFS(TF_Timer,TF_Nokkel,M517,TF_Akt,C517))</f>
        <v/>
      </c>
      <c r="O517" s="2">
        <f>IF(M517="","",IF(AND(N517=_xlfn.MAXIFS(TF_AktSum,TF_Nokkel,M517),COUNTIFS(M$3:M516,M517,N$3:N516,N517)=0),M517,""))</f>
        <v/>
      </c>
    </row>
    <row r="518">
      <c r="A518" s="34" t="n"/>
      <c r="B518" s="35" t="n"/>
      <c r="C518" s="35" t="n"/>
      <c r="D518" s="35" t="n"/>
      <c r="E518" s="35" t="n"/>
      <c r="F518" s="36" t="n"/>
      <c r="G518" s="35" t="n"/>
      <c r="H518" s="30">
        <f>IF(L518="","",INDEX(SkiftNavn,L518))</f>
        <v/>
      </c>
      <c r="I518" s="30">
        <f>IF(OR(A518="",L518=""),"",IF(MOD(A518-INDEX(SkiftStart,L518),Syklus)&lt;DagK,"Kveld",IF(MOD(A518-INDEX(SkiftStart,L518),Syklus)&lt;DagK+DagH,"Helg",IF(MOD(A518-INDEX(SkiftStart,L518),Syklus)&lt;DagK+DagH+DagD,"Dag","Fri"))))</f>
        <v/>
      </c>
      <c r="J518" s="30">
        <f>IF(I518="Fri","Ja","")</f>
        <v/>
      </c>
      <c r="K518" s="30">
        <f>IF(B518="","",IF(L518="","Ukjent tekniker",IF(ISNA(MATCH(C518,Aktiviteter,0)),"Ukjent aktivitet",IF(AND(INDEX(AktRolle,MATCH(C518,Aktiviteter,0))&amp;""&lt;&gt;"",ISERROR(SEARCH(INDEX(AktRolle,MATCH(C518,Aktiviteter,0))&amp;"",INDEX(TekRoller,MATCH(B518,Teknikere,0))))),"Mangler rollen "&amp;INDEX(AktRolle,MATCH(C518,Aktiviteter,0))&amp;"",IF(AND(C518="LMS",F518&gt;0,OR(D518="",E518="")),"Mangler maskin eller arbeid",IF(AND(OR(C518="LMS",C518="Mod"),D518&lt;&gt;""),IF(IFERROR(INDEX(MaskinStatus,MATCH(D518,Maskiner,0)),"")="I dokk","","Maskinen er ikke i dokk"),""))))))</f>
        <v/>
      </c>
      <c r="L518" s="2">
        <f>IF(B518="","",IFERROR(INT((MATCH(B518,Teknikere,0)-1)/18)+1,""))</f>
        <v/>
      </c>
      <c r="M518" s="2">
        <f>IF(OR(A518="",B518=""),"",B518&amp;"|"&amp;A518)</f>
        <v/>
      </c>
      <c r="N518" s="2">
        <f>IF(M518="","",SUMIFS(TF_Timer,TF_Nokkel,M518,TF_Akt,C518))</f>
        <v/>
      </c>
      <c r="O518" s="2">
        <f>IF(M518="","",IF(AND(N518=_xlfn.MAXIFS(TF_AktSum,TF_Nokkel,M518),COUNTIFS(M$3:M517,M518,N$3:N517,N518)=0),M518,""))</f>
        <v/>
      </c>
    </row>
    <row r="519">
      <c r="A519" s="34" t="n"/>
      <c r="B519" s="35" t="n"/>
      <c r="C519" s="35" t="n"/>
      <c r="D519" s="35" t="n"/>
      <c r="E519" s="35" t="n"/>
      <c r="F519" s="36" t="n"/>
      <c r="G519" s="35" t="n"/>
      <c r="H519" s="30">
        <f>IF(L519="","",INDEX(SkiftNavn,L519))</f>
        <v/>
      </c>
      <c r="I519" s="30">
        <f>IF(OR(A519="",L519=""),"",IF(MOD(A519-INDEX(SkiftStart,L519),Syklus)&lt;DagK,"Kveld",IF(MOD(A519-INDEX(SkiftStart,L519),Syklus)&lt;DagK+DagH,"Helg",IF(MOD(A519-INDEX(SkiftStart,L519),Syklus)&lt;DagK+DagH+DagD,"Dag","Fri"))))</f>
        <v/>
      </c>
      <c r="J519" s="30">
        <f>IF(I519="Fri","Ja","")</f>
        <v/>
      </c>
      <c r="K519" s="30">
        <f>IF(B519="","",IF(L519="","Ukjent tekniker",IF(ISNA(MATCH(C519,Aktiviteter,0)),"Ukjent aktivitet",IF(AND(INDEX(AktRolle,MATCH(C519,Aktiviteter,0))&amp;""&lt;&gt;"",ISERROR(SEARCH(INDEX(AktRolle,MATCH(C519,Aktiviteter,0))&amp;"",INDEX(TekRoller,MATCH(B519,Teknikere,0))))),"Mangler rollen "&amp;INDEX(AktRolle,MATCH(C519,Aktiviteter,0))&amp;"",IF(AND(C519="LMS",F519&gt;0,OR(D519="",E519="")),"Mangler maskin eller arbeid",IF(AND(OR(C519="LMS",C519="Mod"),D519&lt;&gt;""),IF(IFERROR(INDEX(MaskinStatus,MATCH(D519,Maskiner,0)),"")="I dokk","","Maskinen er ikke i dokk"),""))))))</f>
        <v/>
      </c>
      <c r="L519" s="2">
        <f>IF(B519="","",IFERROR(INT((MATCH(B519,Teknikere,0)-1)/18)+1,""))</f>
        <v/>
      </c>
      <c r="M519" s="2">
        <f>IF(OR(A519="",B519=""),"",B519&amp;"|"&amp;A519)</f>
        <v/>
      </c>
      <c r="N519" s="2">
        <f>IF(M519="","",SUMIFS(TF_Timer,TF_Nokkel,M519,TF_Akt,C519))</f>
        <v/>
      </c>
      <c r="O519" s="2">
        <f>IF(M519="","",IF(AND(N519=_xlfn.MAXIFS(TF_AktSum,TF_Nokkel,M519),COUNTIFS(M$3:M518,M519,N$3:N518,N519)=0),M519,""))</f>
        <v/>
      </c>
    </row>
    <row r="520">
      <c r="A520" s="34" t="n"/>
      <c r="B520" s="35" t="n"/>
      <c r="C520" s="35" t="n"/>
      <c r="D520" s="35" t="n"/>
      <c r="E520" s="35" t="n"/>
      <c r="F520" s="36" t="n"/>
      <c r="G520" s="35" t="n"/>
      <c r="H520" s="30">
        <f>IF(L520="","",INDEX(SkiftNavn,L520))</f>
        <v/>
      </c>
      <c r="I520" s="30">
        <f>IF(OR(A520="",L520=""),"",IF(MOD(A520-INDEX(SkiftStart,L520),Syklus)&lt;DagK,"Kveld",IF(MOD(A520-INDEX(SkiftStart,L520),Syklus)&lt;DagK+DagH,"Helg",IF(MOD(A520-INDEX(SkiftStart,L520),Syklus)&lt;DagK+DagH+DagD,"Dag","Fri"))))</f>
        <v/>
      </c>
      <c r="J520" s="30">
        <f>IF(I520="Fri","Ja","")</f>
        <v/>
      </c>
      <c r="K520" s="30">
        <f>IF(B520="","",IF(L520="","Ukjent tekniker",IF(ISNA(MATCH(C520,Aktiviteter,0)),"Ukjent aktivitet",IF(AND(INDEX(AktRolle,MATCH(C520,Aktiviteter,0))&amp;""&lt;&gt;"",ISERROR(SEARCH(INDEX(AktRolle,MATCH(C520,Aktiviteter,0))&amp;"",INDEX(TekRoller,MATCH(B520,Teknikere,0))))),"Mangler rollen "&amp;INDEX(AktRolle,MATCH(C520,Aktiviteter,0))&amp;"",IF(AND(C520="LMS",F520&gt;0,OR(D520="",E520="")),"Mangler maskin eller arbeid",IF(AND(OR(C520="LMS",C520="Mod"),D520&lt;&gt;""),IF(IFERROR(INDEX(MaskinStatus,MATCH(D520,Maskiner,0)),"")="I dokk","","Maskinen er ikke i dokk"),""))))))</f>
        <v/>
      </c>
      <c r="L520" s="2">
        <f>IF(B520="","",IFERROR(INT((MATCH(B520,Teknikere,0)-1)/18)+1,""))</f>
        <v/>
      </c>
      <c r="M520" s="2">
        <f>IF(OR(A520="",B520=""),"",B520&amp;"|"&amp;A520)</f>
        <v/>
      </c>
      <c r="N520" s="2">
        <f>IF(M520="","",SUMIFS(TF_Timer,TF_Nokkel,M520,TF_Akt,C520))</f>
        <v/>
      </c>
      <c r="O520" s="2">
        <f>IF(M520="","",IF(AND(N520=_xlfn.MAXIFS(TF_AktSum,TF_Nokkel,M520),COUNTIFS(M$3:M519,M520,N$3:N519,N520)=0),M520,""))</f>
        <v/>
      </c>
    </row>
    <row r="521">
      <c r="A521" s="34" t="n"/>
      <c r="B521" s="35" t="n"/>
      <c r="C521" s="35" t="n"/>
      <c r="D521" s="35" t="n"/>
      <c r="E521" s="35" t="n"/>
      <c r="F521" s="36" t="n"/>
      <c r="G521" s="35" t="n"/>
      <c r="H521" s="30">
        <f>IF(L521="","",INDEX(SkiftNavn,L521))</f>
        <v/>
      </c>
      <c r="I521" s="30">
        <f>IF(OR(A521="",L521=""),"",IF(MOD(A521-INDEX(SkiftStart,L521),Syklus)&lt;DagK,"Kveld",IF(MOD(A521-INDEX(SkiftStart,L521),Syklus)&lt;DagK+DagH,"Helg",IF(MOD(A521-INDEX(SkiftStart,L521),Syklus)&lt;DagK+DagH+DagD,"Dag","Fri"))))</f>
        <v/>
      </c>
      <c r="J521" s="30">
        <f>IF(I521="Fri","Ja","")</f>
        <v/>
      </c>
      <c r="K521" s="30">
        <f>IF(B521="","",IF(L521="","Ukjent tekniker",IF(ISNA(MATCH(C521,Aktiviteter,0)),"Ukjent aktivitet",IF(AND(INDEX(AktRolle,MATCH(C521,Aktiviteter,0))&amp;""&lt;&gt;"",ISERROR(SEARCH(INDEX(AktRolle,MATCH(C521,Aktiviteter,0))&amp;"",INDEX(TekRoller,MATCH(B521,Teknikere,0))))),"Mangler rollen "&amp;INDEX(AktRolle,MATCH(C521,Aktiviteter,0))&amp;"",IF(AND(C521="LMS",F521&gt;0,OR(D521="",E521="")),"Mangler maskin eller arbeid",IF(AND(OR(C521="LMS",C521="Mod"),D521&lt;&gt;""),IF(IFERROR(INDEX(MaskinStatus,MATCH(D521,Maskiner,0)),"")="I dokk","","Maskinen er ikke i dokk"),""))))))</f>
        <v/>
      </c>
      <c r="L521" s="2">
        <f>IF(B521="","",IFERROR(INT((MATCH(B521,Teknikere,0)-1)/18)+1,""))</f>
        <v/>
      </c>
      <c r="M521" s="2">
        <f>IF(OR(A521="",B521=""),"",B521&amp;"|"&amp;A521)</f>
        <v/>
      </c>
      <c r="N521" s="2">
        <f>IF(M521="","",SUMIFS(TF_Timer,TF_Nokkel,M521,TF_Akt,C521))</f>
        <v/>
      </c>
      <c r="O521" s="2">
        <f>IF(M521="","",IF(AND(N521=_xlfn.MAXIFS(TF_AktSum,TF_Nokkel,M521),COUNTIFS(M$3:M520,M521,N$3:N520,N521)=0),M521,""))</f>
        <v/>
      </c>
    </row>
    <row r="522">
      <c r="A522" s="34" t="n"/>
      <c r="B522" s="35" t="n"/>
      <c r="C522" s="35" t="n"/>
      <c r="D522" s="35" t="n"/>
      <c r="E522" s="35" t="n"/>
      <c r="F522" s="36" t="n"/>
      <c r="G522" s="35" t="n"/>
      <c r="H522" s="30">
        <f>IF(L522="","",INDEX(SkiftNavn,L522))</f>
        <v/>
      </c>
      <c r="I522" s="30">
        <f>IF(OR(A522="",L522=""),"",IF(MOD(A522-INDEX(SkiftStart,L522),Syklus)&lt;DagK,"Kveld",IF(MOD(A522-INDEX(SkiftStart,L522),Syklus)&lt;DagK+DagH,"Helg",IF(MOD(A522-INDEX(SkiftStart,L522),Syklus)&lt;DagK+DagH+DagD,"Dag","Fri"))))</f>
        <v/>
      </c>
      <c r="J522" s="30">
        <f>IF(I522="Fri","Ja","")</f>
        <v/>
      </c>
      <c r="K522" s="30">
        <f>IF(B522="","",IF(L522="","Ukjent tekniker",IF(ISNA(MATCH(C522,Aktiviteter,0)),"Ukjent aktivitet",IF(AND(INDEX(AktRolle,MATCH(C522,Aktiviteter,0))&amp;""&lt;&gt;"",ISERROR(SEARCH(INDEX(AktRolle,MATCH(C522,Aktiviteter,0))&amp;"",INDEX(TekRoller,MATCH(B522,Teknikere,0))))),"Mangler rollen "&amp;INDEX(AktRolle,MATCH(C522,Aktiviteter,0))&amp;"",IF(AND(C522="LMS",F522&gt;0,OR(D522="",E522="")),"Mangler maskin eller arbeid",IF(AND(OR(C522="LMS",C522="Mod"),D522&lt;&gt;""),IF(IFERROR(INDEX(MaskinStatus,MATCH(D522,Maskiner,0)),"")="I dokk","","Maskinen er ikke i dokk"),""))))))</f>
        <v/>
      </c>
      <c r="L522" s="2">
        <f>IF(B522="","",IFERROR(INT((MATCH(B522,Teknikere,0)-1)/18)+1,""))</f>
        <v/>
      </c>
      <c r="M522" s="2">
        <f>IF(OR(A522="",B522=""),"",B522&amp;"|"&amp;A522)</f>
        <v/>
      </c>
      <c r="N522" s="2">
        <f>IF(M522="","",SUMIFS(TF_Timer,TF_Nokkel,M522,TF_Akt,C522))</f>
        <v/>
      </c>
      <c r="O522" s="2">
        <f>IF(M522="","",IF(AND(N522=_xlfn.MAXIFS(TF_AktSum,TF_Nokkel,M522),COUNTIFS(M$3:M521,M522,N$3:N521,N522)=0),M522,""))</f>
        <v/>
      </c>
    </row>
    <row r="523">
      <c r="A523" s="34" t="n"/>
      <c r="B523" s="35" t="n"/>
      <c r="C523" s="35" t="n"/>
      <c r="D523" s="35" t="n"/>
      <c r="E523" s="35" t="n"/>
      <c r="F523" s="36" t="n"/>
      <c r="G523" s="35" t="n"/>
      <c r="H523" s="30">
        <f>IF(L523="","",INDEX(SkiftNavn,L523))</f>
        <v/>
      </c>
      <c r="I523" s="30">
        <f>IF(OR(A523="",L523=""),"",IF(MOD(A523-INDEX(SkiftStart,L523),Syklus)&lt;DagK,"Kveld",IF(MOD(A523-INDEX(SkiftStart,L523),Syklus)&lt;DagK+DagH,"Helg",IF(MOD(A523-INDEX(SkiftStart,L523),Syklus)&lt;DagK+DagH+DagD,"Dag","Fri"))))</f>
        <v/>
      </c>
      <c r="J523" s="30">
        <f>IF(I523="Fri","Ja","")</f>
        <v/>
      </c>
      <c r="K523" s="30">
        <f>IF(B523="","",IF(L523="","Ukjent tekniker",IF(ISNA(MATCH(C523,Aktiviteter,0)),"Ukjent aktivitet",IF(AND(INDEX(AktRolle,MATCH(C523,Aktiviteter,0))&amp;""&lt;&gt;"",ISERROR(SEARCH(INDEX(AktRolle,MATCH(C523,Aktiviteter,0))&amp;"",INDEX(TekRoller,MATCH(B523,Teknikere,0))))),"Mangler rollen "&amp;INDEX(AktRolle,MATCH(C523,Aktiviteter,0))&amp;"",IF(AND(C523="LMS",F523&gt;0,OR(D523="",E523="")),"Mangler maskin eller arbeid",IF(AND(OR(C523="LMS",C523="Mod"),D523&lt;&gt;""),IF(IFERROR(INDEX(MaskinStatus,MATCH(D523,Maskiner,0)),"")="I dokk","","Maskinen er ikke i dokk"),""))))))</f>
        <v/>
      </c>
      <c r="L523" s="2">
        <f>IF(B523="","",IFERROR(INT((MATCH(B523,Teknikere,0)-1)/18)+1,""))</f>
        <v/>
      </c>
      <c r="M523" s="2">
        <f>IF(OR(A523="",B523=""),"",B523&amp;"|"&amp;A523)</f>
        <v/>
      </c>
      <c r="N523" s="2">
        <f>IF(M523="","",SUMIFS(TF_Timer,TF_Nokkel,M523,TF_Akt,C523))</f>
        <v/>
      </c>
      <c r="O523" s="2">
        <f>IF(M523="","",IF(AND(N523=_xlfn.MAXIFS(TF_AktSum,TF_Nokkel,M523),COUNTIFS(M$3:M522,M523,N$3:N522,N523)=0),M523,""))</f>
        <v/>
      </c>
    </row>
    <row r="524">
      <c r="A524" s="34" t="n"/>
      <c r="B524" s="35" t="n"/>
      <c r="C524" s="35" t="n"/>
      <c r="D524" s="35" t="n"/>
      <c r="E524" s="35" t="n"/>
      <c r="F524" s="36" t="n"/>
      <c r="G524" s="35" t="n"/>
      <c r="H524" s="30">
        <f>IF(L524="","",INDEX(SkiftNavn,L524))</f>
        <v/>
      </c>
      <c r="I524" s="30">
        <f>IF(OR(A524="",L524=""),"",IF(MOD(A524-INDEX(SkiftStart,L524),Syklus)&lt;DagK,"Kveld",IF(MOD(A524-INDEX(SkiftStart,L524),Syklus)&lt;DagK+DagH,"Helg",IF(MOD(A524-INDEX(SkiftStart,L524),Syklus)&lt;DagK+DagH+DagD,"Dag","Fri"))))</f>
        <v/>
      </c>
      <c r="J524" s="30">
        <f>IF(I524="Fri","Ja","")</f>
        <v/>
      </c>
      <c r="K524" s="30">
        <f>IF(B524="","",IF(L524="","Ukjent tekniker",IF(ISNA(MATCH(C524,Aktiviteter,0)),"Ukjent aktivitet",IF(AND(INDEX(AktRolle,MATCH(C524,Aktiviteter,0))&amp;""&lt;&gt;"",ISERROR(SEARCH(INDEX(AktRolle,MATCH(C524,Aktiviteter,0))&amp;"",INDEX(TekRoller,MATCH(B524,Teknikere,0))))),"Mangler rollen "&amp;INDEX(AktRolle,MATCH(C524,Aktiviteter,0))&amp;"",IF(AND(C524="LMS",F524&gt;0,OR(D524="",E524="")),"Mangler maskin eller arbeid",IF(AND(OR(C524="LMS",C524="Mod"),D524&lt;&gt;""),IF(IFERROR(INDEX(MaskinStatus,MATCH(D524,Maskiner,0)),"")="I dokk","","Maskinen er ikke i dokk"),""))))))</f>
        <v/>
      </c>
      <c r="L524" s="2">
        <f>IF(B524="","",IFERROR(INT((MATCH(B524,Teknikere,0)-1)/18)+1,""))</f>
        <v/>
      </c>
      <c r="M524" s="2">
        <f>IF(OR(A524="",B524=""),"",B524&amp;"|"&amp;A524)</f>
        <v/>
      </c>
      <c r="N524" s="2">
        <f>IF(M524="","",SUMIFS(TF_Timer,TF_Nokkel,M524,TF_Akt,C524))</f>
        <v/>
      </c>
      <c r="O524" s="2">
        <f>IF(M524="","",IF(AND(N524=_xlfn.MAXIFS(TF_AktSum,TF_Nokkel,M524),COUNTIFS(M$3:M523,M524,N$3:N523,N524)=0),M524,""))</f>
        <v/>
      </c>
    </row>
    <row r="525">
      <c r="A525" s="34" t="n"/>
      <c r="B525" s="35" t="n"/>
      <c r="C525" s="35" t="n"/>
      <c r="D525" s="35" t="n"/>
      <c r="E525" s="35" t="n"/>
      <c r="F525" s="36" t="n"/>
      <c r="G525" s="35" t="n"/>
      <c r="H525" s="30">
        <f>IF(L525="","",INDEX(SkiftNavn,L525))</f>
        <v/>
      </c>
      <c r="I525" s="30">
        <f>IF(OR(A525="",L525=""),"",IF(MOD(A525-INDEX(SkiftStart,L525),Syklus)&lt;DagK,"Kveld",IF(MOD(A525-INDEX(SkiftStart,L525),Syklus)&lt;DagK+DagH,"Helg",IF(MOD(A525-INDEX(SkiftStart,L525),Syklus)&lt;DagK+DagH+DagD,"Dag","Fri"))))</f>
        <v/>
      </c>
      <c r="J525" s="30">
        <f>IF(I525="Fri","Ja","")</f>
        <v/>
      </c>
      <c r="K525" s="30">
        <f>IF(B525="","",IF(L525="","Ukjent tekniker",IF(ISNA(MATCH(C525,Aktiviteter,0)),"Ukjent aktivitet",IF(AND(INDEX(AktRolle,MATCH(C525,Aktiviteter,0))&amp;""&lt;&gt;"",ISERROR(SEARCH(INDEX(AktRolle,MATCH(C525,Aktiviteter,0))&amp;"",INDEX(TekRoller,MATCH(B525,Teknikere,0))))),"Mangler rollen "&amp;INDEX(AktRolle,MATCH(C525,Aktiviteter,0))&amp;"",IF(AND(C525="LMS",F525&gt;0,OR(D525="",E525="")),"Mangler maskin eller arbeid",IF(AND(OR(C525="LMS",C525="Mod"),D525&lt;&gt;""),IF(IFERROR(INDEX(MaskinStatus,MATCH(D525,Maskiner,0)),"")="I dokk","","Maskinen er ikke i dokk"),""))))))</f>
        <v/>
      </c>
      <c r="L525" s="2">
        <f>IF(B525="","",IFERROR(INT((MATCH(B525,Teknikere,0)-1)/18)+1,""))</f>
        <v/>
      </c>
      <c r="M525" s="2">
        <f>IF(OR(A525="",B525=""),"",B525&amp;"|"&amp;A525)</f>
        <v/>
      </c>
      <c r="N525" s="2">
        <f>IF(M525="","",SUMIFS(TF_Timer,TF_Nokkel,M525,TF_Akt,C525))</f>
        <v/>
      </c>
      <c r="O525" s="2">
        <f>IF(M525="","",IF(AND(N525=_xlfn.MAXIFS(TF_AktSum,TF_Nokkel,M525),COUNTIFS(M$3:M524,M525,N$3:N524,N525)=0),M525,""))</f>
        <v/>
      </c>
    </row>
    <row r="526">
      <c r="A526" s="34" t="n"/>
      <c r="B526" s="35" t="n"/>
      <c r="C526" s="35" t="n"/>
      <c r="D526" s="35" t="n"/>
      <c r="E526" s="35" t="n"/>
      <c r="F526" s="36" t="n"/>
      <c r="G526" s="35" t="n"/>
      <c r="H526" s="30">
        <f>IF(L526="","",INDEX(SkiftNavn,L526))</f>
        <v/>
      </c>
      <c r="I526" s="30">
        <f>IF(OR(A526="",L526=""),"",IF(MOD(A526-INDEX(SkiftStart,L526),Syklus)&lt;DagK,"Kveld",IF(MOD(A526-INDEX(SkiftStart,L526),Syklus)&lt;DagK+DagH,"Helg",IF(MOD(A526-INDEX(SkiftStart,L526),Syklus)&lt;DagK+DagH+DagD,"Dag","Fri"))))</f>
        <v/>
      </c>
      <c r="J526" s="30">
        <f>IF(I526="Fri","Ja","")</f>
        <v/>
      </c>
      <c r="K526" s="30">
        <f>IF(B526="","",IF(L526="","Ukjent tekniker",IF(ISNA(MATCH(C526,Aktiviteter,0)),"Ukjent aktivitet",IF(AND(INDEX(AktRolle,MATCH(C526,Aktiviteter,0))&amp;""&lt;&gt;"",ISERROR(SEARCH(INDEX(AktRolle,MATCH(C526,Aktiviteter,0))&amp;"",INDEX(TekRoller,MATCH(B526,Teknikere,0))))),"Mangler rollen "&amp;INDEX(AktRolle,MATCH(C526,Aktiviteter,0))&amp;"",IF(AND(C526="LMS",F526&gt;0,OR(D526="",E526="")),"Mangler maskin eller arbeid",IF(AND(OR(C526="LMS",C526="Mod"),D526&lt;&gt;""),IF(IFERROR(INDEX(MaskinStatus,MATCH(D526,Maskiner,0)),"")="I dokk","","Maskinen er ikke i dokk"),""))))))</f>
        <v/>
      </c>
      <c r="L526" s="2">
        <f>IF(B526="","",IFERROR(INT((MATCH(B526,Teknikere,0)-1)/18)+1,""))</f>
        <v/>
      </c>
      <c r="M526" s="2">
        <f>IF(OR(A526="",B526=""),"",B526&amp;"|"&amp;A526)</f>
        <v/>
      </c>
      <c r="N526" s="2">
        <f>IF(M526="","",SUMIFS(TF_Timer,TF_Nokkel,M526,TF_Akt,C526))</f>
        <v/>
      </c>
      <c r="O526" s="2">
        <f>IF(M526="","",IF(AND(N526=_xlfn.MAXIFS(TF_AktSum,TF_Nokkel,M526),COUNTIFS(M$3:M525,M526,N$3:N525,N526)=0),M526,""))</f>
        <v/>
      </c>
    </row>
    <row r="527">
      <c r="A527" s="34" t="n"/>
      <c r="B527" s="35" t="n"/>
      <c r="C527" s="35" t="n"/>
      <c r="D527" s="35" t="n"/>
      <c r="E527" s="35" t="n"/>
      <c r="F527" s="36" t="n"/>
      <c r="G527" s="35" t="n"/>
      <c r="H527" s="30">
        <f>IF(L527="","",INDEX(SkiftNavn,L527))</f>
        <v/>
      </c>
      <c r="I527" s="30">
        <f>IF(OR(A527="",L527=""),"",IF(MOD(A527-INDEX(SkiftStart,L527),Syklus)&lt;DagK,"Kveld",IF(MOD(A527-INDEX(SkiftStart,L527),Syklus)&lt;DagK+DagH,"Helg",IF(MOD(A527-INDEX(SkiftStart,L527),Syklus)&lt;DagK+DagH+DagD,"Dag","Fri"))))</f>
        <v/>
      </c>
      <c r="J527" s="30">
        <f>IF(I527="Fri","Ja","")</f>
        <v/>
      </c>
      <c r="K527" s="30">
        <f>IF(B527="","",IF(L527="","Ukjent tekniker",IF(ISNA(MATCH(C527,Aktiviteter,0)),"Ukjent aktivitet",IF(AND(INDEX(AktRolle,MATCH(C527,Aktiviteter,0))&amp;""&lt;&gt;"",ISERROR(SEARCH(INDEX(AktRolle,MATCH(C527,Aktiviteter,0))&amp;"",INDEX(TekRoller,MATCH(B527,Teknikere,0))))),"Mangler rollen "&amp;INDEX(AktRolle,MATCH(C527,Aktiviteter,0))&amp;"",IF(AND(C527="LMS",F527&gt;0,OR(D527="",E527="")),"Mangler maskin eller arbeid",IF(AND(OR(C527="LMS",C527="Mod"),D527&lt;&gt;""),IF(IFERROR(INDEX(MaskinStatus,MATCH(D527,Maskiner,0)),"")="I dokk","","Maskinen er ikke i dokk"),""))))))</f>
        <v/>
      </c>
      <c r="L527" s="2">
        <f>IF(B527="","",IFERROR(INT((MATCH(B527,Teknikere,0)-1)/18)+1,""))</f>
        <v/>
      </c>
      <c r="M527" s="2">
        <f>IF(OR(A527="",B527=""),"",B527&amp;"|"&amp;A527)</f>
        <v/>
      </c>
      <c r="N527" s="2">
        <f>IF(M527="","",SUMIFS(TF_Timer,TF_Nokkel,M527,TF_Akt,C527))</f>
        <v/>
      </c>
      <c r="O527" s="2">
        <f>IF(M527="","",IF(AND(N527=_xlfn.MAXIFS(TF_AktSum,TF_Nokkel,M527),COUNTIFS(M$3:M526,M527,N$3:N526,N527)=0),M527,""))</f>
        <v/>
      </c>
    </row>
    <row r="528">
      <c r="A528" s="34" t="n"/>
      <c r="B528" s="35" t="n"/>
      <c r="C528" s="35" t="n"/>
      <c r="D528" s="35" t="n"/>
      <c r="E528" s="35" t="n"/>
      <c r="F528" s="36" t="n"/>
      <c r="G528" s="35" t="n"/>
      <c r="H528" s="30">
        <f>IF(L528="","",INDEX(SkiftNavn,L528))</f>
        <v/>
      </c>
      <c r="I528" s="30">
        <f>IF(OR(A528="",L528=""),"",IF(MOD(A528-INDEX(SkiftStart,L528),Syklus)&lt;DagK,"Kveld",IF(MOD(A528-INDEX(SkiftStart,L528),Syklus)&lt;DagK+DagH,"Helg",IF(MOD(A528-INDEX(SkiftStart,L528),Syklus)&lt;DagK+DagH+DagD,"Dag","Fri"))))</f>
        <v/>
      </c>
      <c r="J528" s="30">
        <f>IF(I528="Fri","Ja","")</f>
        <v/>
      </c>
      <c r="K528" s="30">
        <f>IF(B528="","",IF(L528="","Ukjent tekniker",IF(ISNA(MATCH(C528,Aktiviteter,0)),"Ukjent aktivitet",IF(AND(INDEX(AktRolle,MATCH(C528,Aktiviteter,0))&amp;""&lt;&gt;"",ISERROR(SEARCH(INDEX(AktRolle,MATCH(C528,Aktiviteter,0))&amp;"",INDEX(TekRoller,MATCH(B528,Teknikere,0))))),"Mangler rollen "&amp;INDEX(AktRolle,MATCH(C528,Aktiviteter,0))&amp;"",IF(AND(C528="LMS",F528&gt;0,OR(D528="",E528="")),"Mangler maskin eller arbeid",IF(AND(OR(C528="LMS",C528="Mod"),D528&lt;&gt;""),IF(IFERROR(INDEX(MaskinStatus,MATCH(D528,Maskiner,0)),"")="I dokk","","Maskinen er ikke i dokk"),""))))))</f>
        <v/>
      </c>
      <c r="L528" s="2">
        <f>IF(B528="","",IFERROR(INT((MATCH(B528,Teknikere,0)-1)/18)+1,""))</f>
        <v/>
      </c>
      <c r="M528" s="2">
        <f>IF(OR(A528="",B528=""),"",B528&amp;"|"&amp;A528)</f>
        <v/>
      </c>
      <c r="N528" s="2">
        <f>IF(M528="","",SUMIFS(TF_Timer,TF_Nokkel,M528,TF_Akt,C528))</f>
        <v/>
      </c>
      <c r="O528" s="2">
        <f>IF(M528="","",IF(AND(N528=_xlfn.MAXIFS(TF_AktSum,TF_Nokkel,M528),COUNTIFS(M$3:M527,M528,N$3:N527,N528)=0),M528,""))</f>
        <v/>
      </c>
    </row>
    <row r="529">
      <c r="A529" s="34" t="n"/>
      <c r="B529" s="35" t="n"/>
      <c r="C529" s="35" t="n"/>
      <c r="D529" s="35" t="n"/>
      <c r="E529" s="35" t="n"/>
      <c r="F529" s="36" t="n"/>
      <c r="G529" s="35" t="n"/>
      <c r="H529" s="30">
        <f>IF(L529="","",INDEX(SkiftNavn,L529))</f>
        <v/>
      </c>
      <c r="I529" s="30">
        <f>IF(OR(A529="",L529=""),"",IF(MOD(A529-INDEX(SkiftStart,L529),Syklus)&lt;DagK,"Kveld",IF(MOD(A529-INDEX(SkiftStart,L529),Syklus)&lt;DagK+DagH,"Helg",IF(MOD(A529-INDEX(SkiftStart,L529),Syklus)&lt;DagK+DagH+DagD,"Dag","Fri"))))</f>
        <v/>
      </c>
      <c r="J529" s="30">
        <f>IF(I529="Fri","Ja","")</f>
        <v/>
      </c>
      <c r="K529" s="30">
        <f>IF(B529="","",IF(L529="","Ukjent tekniker",IF(ISNA(MATCH(C529,Aktiviteter,0)),"Ukjent aktivitet",IF(AND(INDEX(AktRolle,MATCH(C529,Aktiviteter,0))&amp;""&lt;&gt;"",ISERROR(SEARCH(INDEX(AktRolle,MATCH(C529,Aktiviteter,0))&amp;"",INDEX(TekRoller,MATCH(B529,Teknikere,0))))),"Mangler rollen "&amp;INDEX(AktRolle,MATCH(C529,Aktiviteter,0))&amp;"",IF(AND(C529="LMS",F529&gt;0,OR(D529="",E529="")),"Mangler maskin eller arbeid",IF(AND(OR(C529="LMS",C529="Mod"),D529&lt;&gt;""),IF(IFERROR(INDEX(MaskinStatus,MATCH(D529,Maskiner,0)),"")="I dokk","","Maskinen er ikke i dokk"),""))))))</f>
        <v/>
      </c>
      <c r="L529" s="2">
        <f>IF(B529="","",IFERROR(INT((MATCH(B529,Teknikere,0)-1)/18)+1,""))</f>
        <v/>
      </c>
      <c r="M529" s="2">
        <f>IF(OR(A529="",B529=""),"",B529&amp;"|"&amp;A529)</f>
        <v/>
      </c>
      <c r="N529" s="2">
        <f>IF(M529="","",SUMIFS(TF_Timer,TF_Nokkel,M529,TF_Akt,C529))</f>
        <v/>
      </c>
      <c r="O529" s="2">
        <f>IF(M529="","",IF(AND(N529=_xlfn.MAXIFS(TF_AktSum,TF_Nokkel,M529),COUNTIFS(M$3:M528,M529,N$3:N528,N529)=0),M529,""))</f>
        <v/>
      </c>
    </row>
    <row r="530">
      <c r="A530" s="34" t="n"/>
      <c r="B530" s="35" t="n"/>
      <c r="C530" s="35" t="n"/>
      <c r="D530" s="35" t="n"/>
      <c r="E530" s="35" t="n"/>
      <c r="F530" s="36" t="n"/>
      <c r="G530" s="35" t="n"/>
      <c r="H530" s="30">
        <f>IF(L530="","",INDEX(SkiftNavn,L530))</f>
        <v/>
      </c>
      <c r="I530" s="30">
        <f>IF(OR(A530="",L530=""),"",IF(MOD(A530-INDEX(SkiftStart,L530),Syklus)&lt;DagK,"Kveld",IF(MOD(A530-INDEX(SkiftStart,L530),Syklus)&lt;DagK+DagH,"Helg",IF(MOD(A530-INDEX(SkiftStart,L530),Syklus)&lt;DagK+DagH+DagD,"Dag","Fri"))))</f>
        <v/>
      </c>
      <c r="J530" s="30">
        <f>IF(I530="Fri","Ja","")</f>
        <v/>
      </c>
      <c r="K530" s="30">
        <f>IF(B530="","",IF(L530="","Ukjent tekniker",IF(ISNA(MATCH(C530,Aktiviteter,0)),"Ukjent aktivitet",IF(AND(INDEX(AktRolle,MATCH(C530,Aktiviteter,0))&amp;""&lt;&gt;"",ISERROR(SEARCH(INDEX(AktRolle,MATCH(C530,Aktiviteter,0))&amp;"",INDEX(TekRoller,MATCH(B530,Teknikere,0))))),"Mangler rollen "&amp;INDEX(AktRolle,MATCH(C530,Aktiviteter,0))&amp;"",IF(AND(C530="LMS",F530&gt;0,OR(D530="",E530="")),"Mangler maskin eller arbeid",IF(AND(OR(C530="LMS",C530="Mod"),D530&lt;&gt;""),IF(IFERROR(INDEX(MaskinStatus,MATCH(D530,Maskiner,0)),"")="I dokk","","Maskinen er ikke i dokk"),""))))))</f>
        <v/>
      </c>
      <c r="L530" s="2">
        <f>IF(B530="","",IFERROR(INT((MATCH(B530,Teknikere,0)-1)/18)+1,""))</f>
        <v/>
      </c>
      <c r="M530" s="2">
        <f>IF(OR(A530="",B530=""),"",B530&amp;"|"&amp;A530)</f>
        <v/>
      </c>
      <c r="N530" s="2">
        <f>IF(M530="","",SUMIFS(TF_Timer,TF_Nokkel,M530,TF_Akt,C530))</f>
        <v/>
      </c>
      <c r="O530" s="2">
        <f>IF(M530="","",IF(AND(N530=_xlfn.MAXIFS(TF_AktSum,TF_Nokkel,M530),COUNTIFS(M$3:M529,M530,N$3:N529,N530)=0),M530,""))</f>
        <v/>
      </c>
    </row>
    <row r="531">
      <c r="A531" s="34" t="n"/>
      <c r="B531" s="35" t="n"/>
      <c r="C531" s="35" t="n"/>
      <c r="D531" s="35" t="n"/>
      <c r="E531" s="35" t="n"/>
      <c r="F531" s="36" t="n"/>
      <c r="G531" s="35" t="n"/>
      <c r="H531" s="30">
        <f>IF(L531="","",INDEX(SkiftNavn,L531))</f>
        <v/>
      </c>
      <c r="I531" s="30">
        <f>IF(OR(A531="",L531=""),"",IF(MOD(A531-INDEX(SkiftStart,L531),Syklus)&lt;DagK,"Kveld",IF(MOD(A531-INDEX(SkiftStart,L531),Syklus)&lt;DagK+DagH,"Helg",IF(MOD(A531-INDEX(SkiftStart,L531),Syklus)&lt;DagK+DagH+DagD,"Dag","Fri"))))</f>
        <v/>
      </c>
      <c r="J531" s="30">
        <f>IF(I531="Fri","Ja","")</f>
        <v/>
      </c>
      <c r="K531" s="30">
        <f>IF(B531="","",IF(L531="","Ukjent tekniker",IF(ISNA(MATCH(C531,Aktiviteter,0)),"Ukjent aktivitet",IF(AND(INDEX(AktRolle,MATCH(C531,Aktiviteter,0))&amp;""&lt;&gt;"",ISERROR(SEARCH(INDEX(AktRolle,MATCH(C531,Aktiviteter,0))&amp;"",INDEX(TekRoller,MATCH(B531,Teknikere,0))))),"Mangler rollen "&amp;INDEX(AktRolle,MATCH(C531,Aktiviteter,0))&amp;"",IF(AND(C531="LMS",F531&gt;0,OR(D531="",E531="")),"Mangler maskin eller arbeid",IF(AND(OR(C531="LMS",C531="Mod"),D531&lt;&gt;""),IF(IFERROR(INDEX(MaskinStatus,MATCH(D531,Maskiner,0)),"")="I dokk","","Maskinen er ikke i dokk"),""))))))</f>
        <v/>
      </c>
      <c r="L531" s="2">
        <f>IF(B531="","",IFERROR(INT((MATCH(B531,Teknikere,0)-1)/18)+1,""))</f>
        <v/>
      </c>
      <c r="M531" s="2">
        <f>IF(OR(A531="",B531=""),"",B531&amp;"|"&amp;A531)</f>
        <v/>
      </c>
      <c r="N531" s="2">
        <f>IF(M531="","",SUMIFS(TF_Timer,TF_Nokkel,M531,TF_Akt,C531))</f>
        <v/>
      </c>
      <c r="O531" s="2">
        <f>IF(M531="","",IF(AND(N531=_xlfn.MAXIFS(TF_AktSum,TF_Nokkel,M531),COUNTIFS(M$3:M530,M531,N$3:N530,N531)=0),M531,""))</f>
        <v/>
      </c>
    </row>
    <row r="532">
      <c r="A532" s="34" t="n"/>
      <c r="B532" s="35" t="n"/>
      <c r="C532" s="35" t="n"/>
      <c r="D532" s="35" t="n"/>
      <c r="E532" s="35" t="n"/>
      <c r="F532" s="36" t="n"/>
      <c r="G532" s="35" t="n"/>
      <c r="H532" s="30">
        <f>IF(L532="","",INDEX(SkiftNavn,L532))</f>
        <v/>
      </c>
      <c r="I532" s="30">
        <f>IF(OR(A532="",L532=""),"",IF(MOD(A532-INDEX(SkiftStart,L532),Syklus)&lt;DagK,"Kveld",IF(MOD(A532-INDEX(SkiftStart,L532),Syklus)&lt;DagK+DagH,"Helg",IF(MOD(A532-INDEX(SkiftStart,L532),Syklus)&lt;DagK+DagH+DagD,"Dag","Fri"))))</f>
        <v/>
      </c>
      <c r="J532" s="30">
        <f>IF(I532="Fri","Ja","")</f>
        <v/>
      </c>
      <c r="K532" s="30">
        <f>IF(B532="","",IF(L532="","Ukjent tekniker",IF(ISNA(MATCH(C532,Aktiviteter,0)),"Ukjent aktivitet",IF(AND(INDEX(AktRolle,MATCH(C532,Aktiviteter,0))&amp;""&lt;&gt;"",ISERROR(SEARCH(INDEX(AktRolle,MATCH(C532,Aktiviteter,0))&amp;"",INDEX(TekRoller,MATCH(B532,Teknikere,0))))),"Mangler rollen "&amp;INDEX(AktRolle,MATCH(C532,Aktiviteter,0))&amp;"",IF(AND(C532="LMS",F532&gt;0,OR(D532="",E532="")),"Mangler maskin eller arbeid",IF(AND(OR(C532="LMS",C532="Mod"),D532&lt;&gt;""),IF(IFERROR(INDEX(MaskinStatus,MATCH(D532,Maskiner,0)),"")="I dokk","","Maskinen er ikke i dokk"),""))))))</f>
        <v/>
      </c>
      <c r="L532" s="2">
        <f>IF(B532="","",IFERROR(INT((MATCH(B532,Teknikere,0)-1)/18)+1,""))</f>
        <v/>
      </c>
      <c r="M532" s="2">
        <f>IF(OR(A532="",B532=""),"",B532&amp;"|"&amp;A532)</f>
        <v/>
      </c>
      <c r="N532" s="2">
        <f>IF(M532="","",SUMIFS(TF_Timer,TF_Nokkel,M532,TF_Akt,C532))</f>
        <v/>
      </c>
      <c r="O532" s="2">
        <f>IF(M532="","",IF(AND(N532=_xlfn.MAXIFS(TF_AktSum,TF_Nokkel,M532),COUNTIFS(M$3:M531,M532,N$3:N531,N532)=0),M532,""))</f>
        <v/>
      </c>
    </row>
    <row r="533">
      <c r="A533" s="34" t="n"/>
      <c r="B533" s="35" t="n"/>
      <c r="C533" s="35" t="n"/>
      <c r="D533" s="35" t="n"/>
      <c r="E533" s="35" t="n"/>
      <c r="F533" s="36" t="n"/>
      <c r="G533" s="35" t="n"/>
      <c r="H533" s="30">
        <f>IF(L533="","",INDEX(SkiftNavn,L533))</f>
        <v/>
      </c>
      <c r="I533" s="30">
        <f>IF(OR(A533="",L533=""),"",IF(MOD(A533-INDEX(SkiftStart,L533),Syklus)&lt;DagK,"Kveld",IF(MOD(A533-INDEX(SkiftStart,L533),Syklus)&lt;DagK+DagH,"Helg",IF(MOD(A533-INDEX(SkiftStart,L533),Syklus)&lt;DagK+DagH+DagD,"Dag","Fri"))))</f>
        <v/>
      </c>
      <c r="J533" s="30">
        <f>IF(I533="Fri","Ja","")</f>
        <v/>
      </c>
      <c r="K533" s="30">
        <f>IF(B533="","",IF(L533="","Ukjent tekniker",IF(ISNA(MATCH(C533,Aktiviteter,0)),"Ukjent aktivitet",IF(AND(INDEX(AktRolle,MATCH(C533,Aktiviteter,0))&amp;""&lt;&gt;"",ISERROR(SEARCH(INDEX(AktRolle,MATCH(C533,Aktiviteter,0))&amp;"",INDEX(TekRoller,MATCH(B533,Teknikere,0))))),"Mangler rollen "&amp;INDEX(AktRolle,MATCH(C533,Aktiviteter,0))&amp;"",IF(AND(C533="LMS",F533&gt;0,OR(D533="",E533="")),"Mangler maskin eller arbeid",IF(AND(OR(C533="LMS",C533="Mod"),D533&lt;&gt;""),IF(IFERROR(INDEX(MaskinStatus,MATCH(D533,Maskiner,0)),"")="I dokk","","Maskinen er ikke i dokk"),""))))))</f>
        <v/>
      </c>
      <c r="L533" s="2">
        <f>IF(B533="","",IFERROR(INT((MATCH(B533,Teknikere,0)-1)/18)+1,""))</f>
        <v/>
      </c>
      <c r="M533" s="2">
        <f>IF(OR(A533="",B533=""),"",B533&amp;"|"&amp;A533)</f>
        <v/>
      </c>
      <c r="N533" s="2">
        <f>IF(M533="","",SUMIFS(TF_Timer,TF_Nokkel,M533,TF_Akt,C533))</f>
        <v/>
      </c>
      <c r="O533" s="2">
        <f>IF(M533="","",IF(AND(N533=_xlfn.MAXIFS(TF_AktSum,TF_Nokkel,M533),COUNTIFS(M$3:M532,M533,N$3:N532,N533)=0),M533,""))</f>
        <v/>
      </c>
    </row>
    <row r="534">
      <c r="A534" s="34" t="n"/>
      <c r="B534" s="35" t="n"/>
      <c r="C534" s="35" t="n"/>
      <c r="D534" s="35" t="n"/>
      <c r="E534" s="35" t="n"/>
      <c r="F534" s="36" t="n"/>
      <c r="G534" s="35" t="n"/>
      <c r="H534" s="30">
        <f>IF(L534="","",INDEX(SkiftNavn,L534))</f>
        <v/>
      </c>
      <c r="I534" s="30">
        <f>IF(OR(A534="",L534=""),"",IF(MOD(A534-INDEX(SkiftStart,L534),Syklus)&lt;DagK,"Kveld",IF(MOD(A534-INDEX(SkiftStart,L534),Syklus)&lt;DagK+DagH,"Helg",IF(MOD(A534-INDEX(SkiftStart,L534),Syklus)&lt;DagK+DagH+DagD,"Dag","Fri"))))</f>
        <v/>
      </c>
      <c r="J534" s="30">
        <f>IF(I534="Fri","Ja","")</f>
        <v/>
      </c>
      <c r="K534" s="30">
        <f>IF(B534="","",IF(L534="","Ukjent tekniker",IF(ISNA(MATCH(C534,Aktiviteter,0)),"Ukjent aktivitet",IF(AND(INDEX(AktRolle,MATCH(C534,Aktiviteter,0))&amp;""&lt;&gt;"",ISERROR(SEARCH(INDEX(AktRolle,MATCH(C534,Aktiviteter,0))&amp;"",INDEX(TekRoller,MATCH(B534,Teknikere,0))))),"Mangler rollen "&amp;INDEX(AktRolle,MATCH(C534,Aktiviteter,0))&amp;"",IF(AND(C534="LMS",F534&gt;0,OR(D534="",E534="")),"Mangler maskin eller arbeid",IF(AND(OR(C534="LMS",C534="Mod"),D534&lt;&gt;""),IF(IFERROR(INDEX(MaskinStatus,MATCH(D534,Maskiner,0)),"")="I dokk","","Maskinen er ikke i dokk"),""))))))</f>
        <v/>
      </c>
      <c r="L534" s="2">
        <f>IF(B534="","",IFERROR(INT((MATCH(B534,Teknikere,0)-1)/18)+1,""))</f>
        <v/>
      </c>
      <c r="M534" s="2">
        <f>IF(OR(A534="",B534=""),"",B534&amp;"|"&amp;A534)</f>
        <v/>
      </c>
      <c r="N534" s="2">
        <f>IF(M534="","",SUMIFS(TF_Timer,TF_Nokkel,M534,TF_Akt,C534))</f>
        <v/>
      </c>
      <c r="O534" s="2">
        <f>IF(M534="","",IF(AND(N534=_xlfn.MAXIFS(TF_AktSum,TF_Nokkel,M534),COUNTIFS(M$3:M533,M534,N$3:N533,N534)=0),M534,""))</f>
        <v/>
      </c>
    </row>
    <row r="535">
      <c r="A535" s="34" t="n"/>
      <c r="B535" s="35" t="n"/>
      <c r="C535" s="35" t="n"/>
      <c r="D535" s="35" t="n"/>
      <c r="E535" s="35" t="n"/>
      <c r="F535" s="36" t="n"/>
      <c r="G535" s="35" t="n"/>
      <c r="H535" s="30">
        <f>IF(L535="","",INDEX(SkiftNavn,L535))</f>
        <v/>
      </c>
      <c r="I535" s="30">
        <f>IF(OR(A535="",L535=""),"",IF(MOD(A535-INDEX(SkiftStart,L535),Syklus)&lt;DagK,"Kveld",IF(MOD(A535-INDEX(SkiftStart,L535),Syklus)&lt;DagK+DagH,"Helg",IF(MOD(A535-INDEX(SkiftStart,L535),Syklus)&lt;DagK+DagH+DagD,"Dag","Fri"))))</f>
        <v/>
      </c>
      <c r="J535" s="30">
        <f>IF(I535="Fri","Ja","")</f>
        <v/>
      </c>
      <c r="K535" s="30">
        <f>IF(B535="","",IF(L535="","Ukjent tekniker",IF(ISNA(MATCH(C535,Aktiviteter,0)),"Ukjent aktivitet",IF(AND(INDEX(AktRolle,MATCH(C535,Aktiviteter,0))&amp;""&lt;&gt;"",ISERROR(SEARCH(INDEX(AktRolle,MATCH(C535,Aktiviteter,0))&amp;"",INDEX(TekRoller,MATCH(B535,Teknikere,0))))),"Mangler rollen "&amp;INDEX(AktRolle,MATCH(C535,Aktiviteter,0))&amp;"",IF(AND(C535="LMS",F535&gt;0,OR(D535="",E535="")),"Mangler maskin eller arbeid",IF(AND(OR(C535="LMS",C535="Mod"),D535&lt;&gt;""),IF(IFERROR(INDEX(MaskinStatus,MATCH(D535,Maskiner,0)),"")="I dokk","","Maskinen er ikke i dokk"),""))))))</f>
        <v/>
      </c>
      <c r="L535" s="2">
        <f>IF(B535="","",IFERROR(INT((MATCH(B535,Teknikere,0)-1)/18)+1,""))</f>
        <v/>
      </c>
      <c r="M535" s="2">
        <f>IF(OR(A535="",B535=""),"",B535&amp;"|"&amp;A535)</f>
        <v/>
      </c>
      <c r="N535" s="2">
        <f>IF(M535="","",SUMIFS(TF_Timer,TF_Nokkel,M535,TF_Akt,C535))</f>
        <v/>
      </c>
      <c r="O535" s="2">
        <f>IF(M535="","",IF(AND(N535=_xlfn.MAXIFS(TF_AktSum,TF_Nokkel,M535),COUNTIFS(M$3:M534,M535,N$3:N534,N535)=0),M535,""))</f>
        <v/>
      </c>
    </row>
    <row r="536">
      <c r="A536" s="34" t="n"/>
      <c r="B536" s="35" t="n"/>
      <c r="C536" s="35" t="n"/>
      <c r="D536" s="35" t="n"/>
      <c r="E536" s="35" t="n"/>
      <c r="F536" s="36" t="n"/>
      <c r="G536" s="35" t="n"/>
      <c r="H536" s="30">
        <f>IF(L536="","",INDEX(SkiftNavn,L536))</f>
        <v/>
      </c>
      <c r="I536" s="30">
        <f>IF(OR(A536="",L536=""),"",IF(MOD(A536-INDEX(SkiftStart,L536),Syklus)&lt;DagK,"Kveld",IF(MOD(A536-INDEX(SkiftStart,L536),Syklus)&lt;DagK+DagH,"Helg",IF(MOD(A536-INDEX(SkiftStart,L536),Syklus)&lt;DagK+DagH+DagD,"Dag","Fri"))))</f>
        <v/>
      </c>
      <c r="J536" s="30">
        <f>IF(I536="Fri","Ja","")</f>
        <v/>
      </c>
      <c r="K536" s="30">
        <f>IF(B536="","",IF(L536="","Ukjent tekniker",IF(ISNA(MATCH(C536,Aktiviteter,0)),"Ukjent aktivitet",IF(AND(INDEX(AktRolle,MATCH(C536,Aktiviteter,0))&amp;""&lt;&gt;"",ISERROR(SEARCH(INDEX(AktRolle,MATCH(C536,Aktiviteter,0))&amp;"",INDEX(TekRoller,MATCH(B536,Teknikere,0))))),"Mangler rollen "&amp;INDEX(AktRolle,MATCH(C536,Aktiviteter,0))&amp;"",IF(AND(C536="LMS",F536&gt;0,OR(D536="",E536="")),"Mangler maskin eller arbeid",IF(AND(OR(C536="LMS",C536="Mod"),D536&lt;&gt;""),IF(IFERROR(INDEX(MaskinStatus,MATCH(D536,Maskiner,0)),"")="I dokk","","Maskinen er ikke i dokk"),""))))))</f>
        <v/>
      </c>
      <c r="L536" s="2">
        <f>IF(B536="","",IFERROR(INT((MATCH(B536,Teknikere,0)-1)/18)+1,""))</f>
        <v/>
      </c>
      <c r="M536" s="2">
        <f>IF(OR(A536="",B536=""),"",B536&amp;"|"&amp;A536)</f>
        <v/>
      </c>
      <c r="N536" s="2">
        <f>IF(M536="","",SUMIFS(TF_Timer,TF_Nokkel,M536,TF_Akt,C536))</f>
        <v/>
      </c>
      <c r="O536" s="2">
        <f>IF(M536="","",IF(AND(N536=_xlfn.MAXIFS(TF_AktSum,TF_Nokkel,M536),COUNTIFS(M$3:M535,M536,N$3:N535,N536)=0),M536,""))</f>
        <v/>
      </c>
    </row>
    <row r="537">
      <c r="A537" s="34" t="n"/>
      <c r="B537" s="35" t="n"/>
      <c r="C537" s="35" t="n"/>
      <c r="D537" s="35" t="n"/>
      <c r="E537" s="35" t="n"/>
      <c r="F537" s="36" t="n"/>
      <c r="G537" s="35" t="n"/>
      <c r="H537" s="30">
        <f>IF(L537="","",INDEX(SkiftNavn,L537))</f>
        <v/>
      </c>
      <c r="I537" s="30">
        <f>IF(OR(A537="",L537=""),"",IF(MOD(A537-INDEX(SkiftStart,L537),Syklus)&lt;DagK,"Kveld",IF(MOD(A537-INDEX(SkiftStart,L537),Syklus)&lt;DagK+DagH,"Helg",IF(MOD(A537-INDEX(SkiftStart,L537),Syklus)&lt;DagK+DagH+DagD,"Dag","Fri"))))</f>
        <v/>
      </c>
      <c r="J537" s="30">
        <f>IF(I537="Fri","Ja","")</f>
        <v/>
      </c>
      <c r="K537" s="30">
        <f>IF(B537="","",IF(L537="","Ukjent tekniker",IF(ISNA(MATCH(C537,Aktiviteter,0)),"Ukjent aktivitet",IF(AND(INDEX(AktRolle,MATCH(C537,Aktiviteter,0))&amp;""&lt;&gt;"",ISERROR(SEARCH(INDEX(AktRolle,MATCH(C537,Aktiviteter,0))&amp;"",INDEX(TekRoller,MATCH(B537,Teknikere,0))))),"Mangler rollen "&amp;INDEX(AktRolle,MATCH(C537,Aktiviteter,0))&amp;"",IF(AND(C537="LMS",F537&gt;0,OR(D537="",E537="")),"Mangler maskin eller arbeid",IF(AND(OR(C537="LMS",C537="Mod"),D537&lt;&gt;""),IF(IFERROR(INDEX(MaskinStatus,MATCH(D537,Maskiner,0)),"")="I dokk","","Maskinen er ikke i dokk"),""))))))</f>
        <v/>
      </c>
      <c r="L537" s="2">
        <f>IF(B537="","",IFERROR(INT((MATCH(B537,Teknikere,0)-1)/18)+1,""))</f>
        <v/>
      </c>
      <c r="M537" s="2">
        <f>IF(OR(A537="",B537=""),"",B537&amp;"|"&amp;A537)</f>
        <v/>
      </c>
      <c r="N537" s="2">
        <f>IF(M537="","",SUMIFS(TF_Timer,TF_Nokkel,M537,TF_Akt,C537))</f>
        <v/>
      </c>
      <c r="O537" s="2">
        <f>IF(M537="","",IF(AND(N537=_xlfn.MAXIFS(TF_AktSum,TF_Nokkel,M537),COUNTIFS(M$3:M536,M537,N$3:N536,N537)=0),M537,""))</f>
        <v/>
      </c>
    </row>
    <row r="538">
      <c r="A538" s="34" t="n"/>
      <c r="B538" s="35" t="n"/>
      <c r="C538" s="35" t="n"/>
      <c r="D538" s="35" t="n"/>
      <c r="E538" s="35" t="n"/>
      <c r="F538" s="36" t="n"/>
      <c r="G538" s="35" t="n"/>
      <c r="H538" s="30">
        <f>IF(L538="","",INDEX(SkiftNavn,L538))</f>
        <v/>
      </c>
      <c r="I538" s="30">
        <f>IF(OR(A538="",L538=""),"",IF(MOD(A538-INDEX(SkiftStart,L538),Syklus)&lt;DagK,"Kveld",IF(MOD(A538-INDEX(SkiftStart,L538),Syklus)&lt;DagK+DagH,"Helg",IF(MOD(A538-INDEX(SkiftStart,L538),Syklus)&lt;DagK+DagH+DagD,"Dag","Fri"))))</f>
        <v/>
      </c>
      <c r="J538" s="30">
        <f>IF(I538="Fri","Ja","")</f>
        <v/>
      </c>
      <c r="K538" s="30">
        <f>IF(B538="","",IF(L538="","Ukjent tekniker",IF(ISNA(MATCH(C538,Aktiviteter,0)),"Ukjent aktivitet",IF(AND(INDEX(AktRolle,MATCH(C538,Aktiviteter,0))&amp;""&lt;&gt;"",ISERROR(SEARCH(INDEX(AktRolle,MATCH(C538,Aktiviteter,0))&amp;"",INDEX(TekRoller,MATCH(B538,Teknikere,0))))),"Mangler rollen "&amp;INDEX(AktRolle,MATCH(C538,Aktiviteter,0))&amp;"",IF(AND(C538="LMS",F538&gt;0,OR(D538="",E538="")),"Mangler maskin eller arbeid",IF(AND(OR(C538="LMS",C538="Mod"),D538&lt;&gt;""),IF(IFERROR(INDEX(MaskinStatus,MATCH(D538,Maskiner,0)),"")="I dokk","","Maskinen er ikke i dokk"),""))))))</f>
        <v/>
      </c>
      <c r="L538" s="2">
        <f>IF(B538="","",IFERROR(INT((MATCH(B538,Teknikere,0)-1)/18)+1,""))</f>
        <v/>
      </c>
      <c r="M538" s="2">
        <f>IF(OR(A538="",B538=""),"",B538&amp;"|"&amp;A538)</f>
        <v/>
      </c>
      <c r="N538" s="2">
        <f>IF(M538="","",SUMIFS(TF_Timer,TF_Nokkel,M538,TF_Akt,C538))</f>
        <v/>
      </c>
      <c r="O538" s="2">
        <f>IF(M538="","",IF(AND(N538=_xlfn.MAXIFS(TF_AktSum,TF_Nokkel,M538),COUNTIFS(M$3:M537,M538,N$3:N537,N538)=0),M538,""))</f>
        <v/>
      </c>
    </row>
    <row r="539">
      <c r="A539" s="34" t="n"/>
      <c r="B539" s="35" t="n"/>
      <c r="C539" s="35" t="n"/>
      <c r="D539" s="35" t="n"/>
      <c r="E539" s="35" t="n"/>
      <c r="F539" s="36" t="n"/>
      <c r="G539" s="35" t="n"/>
      <c r="H539" s="30">
        <f>IF(L539="","",INDEX(SkiftNavn,L539))</f>
        <v/>
      </c>
      <c r="I539" s="30">
        <f>IF(OR(A539="",L539=""),"",IF(MOD(A539-INDEX(SkiftStart,L539),Syklus)&lt;DagK,"Kveld",IF(MOD(A539-INDEX(SkiftStart,L539),Syklus)&lt;DagK+DagH,"Helg",IF(MOD(A539-INDEX(SkiftStart,L539),Syklus)&lt;DagK+DagH+DagD,"Dag","Fri"))))</f>
        <v/>
      </c>
      <c r="J539" s="30">
        <f>IF(I539="Fri","Ja","")</f>
        <v/>
      </c>
      <c r="K539" s="30">
        <f>IF(B539="","",IF(L539="","Ukjent tekniker",IF(ISNA(MATCH(C539,Aktiviteter,0)),"Ukjent aktivitet",IF(AND(INDEX(AktRolle,MATCH(C539,Aktiviteter,0))&amp;""&lt;&gt;"",ISERROR(SEARCH(INDEX(AktRolle,MATCH(C539,Aktiviteter,0))&amp;"",INDEX(TekRoller,MATCH(B539,Teknikere,0))))),"Mangler rollen "&amp;INDEX(AktRolle,MATCH(C539,Aktiviteter,0))&amp;"",IF(AND(C539="LMS",F539&gt;0,OR(D539="",E539="")),"Mangler maskin eller arbeid",IF(AND(OR(C539="LMS",C539="Mod"),D539&lt;&gt;""),IF(IFERROR(INDEX(MaskinStatus,MATCH(D539,Maskiner,0)),"")="I dokk","","Maskinen er ikke i dokk"),""))))))</f>
        <v/>
      </c>
      <c r="L539" s="2">
        <f>IF(B539="","",IFERROR(INT((MATCH(B539,Teknikere,0)-1)/18)+1,""))</f>
        <v/>
      </c>
      <c r="M539" s="2">
        <f>IF(OR(A539="",B539=""),"",B539&amp;"|"&amp;A539)</f>
        <v/>
      </c>
      <c r="N539" s="2">
        <f>IF(M539="","",SUMIFS(TF_Timer,TF_Nokkel,M539,TF_Akt,C539))</f>
        <v/>
      </c>
      <c r="O539" s="2">
        <f>IF(M539="","",IF(AND(N539=_xlfn.MAXIFS(TF_AktSum,TF_Nokkel,M539),COUNTIFS(M$3:M538,M539,N$3:N538,N539)=0),M539,""))</f>
        <v/>
      </c>
    </row>
    <row r="540">
      <c r="A540" s="34" t="n"/>
      <c r="B540" s="35" t="n"/>
      <c r="C540" s="35" t="n"/>
      <c r="D540" s="35" t="n"/>
      <c r="E540" s="35" t="n"/>
      <c r="F540" s="36" t="n"/>
      <c r="G540" s="35" t="n"/>
      <c r="H540" s="30">
        <f>IF(L540="","",INDEX(SkiftNavn,L540))</f>
        <v/>
      </c>
      <c r="I540" s="30">
        <f>IF(OR(A540="",L540=""),"",IF(MOD(A540-INDEX(SkiftStart,L540),Syklus)&lt;DagK,"Kveld",IF(MOD(A540-INDEX(SkiftStart,L540),Syklus)&lt;DagK+DagH,"Helg",IF(MOD(A540-INDEX(SkiftStart,L540),Syklus)&lt;DagK+DagH+DagD,"Dag","Fri"))))</f>
        <v/>
      </c>
      <c r="J540" s="30">
        <f>IF(I540="Fri","Ja","")</f>
        <v/>
      </c>
      <c r="K540" s="30">
        <f>IF(B540="","",IF(L540="","Ukjent tekniker",IF(ISNA(MATCH(C540,Aktiviteter,0)),"Ukjent aktivitet",IF(AND(INDEX(AktRolle,MATCH(C540,Aktiviteter,0))&amp;""&lt;&gt;"",ISERROR(SEARCH(INDEX(AktRolle,MATCH(C540,Aktiviteter,0))&amp;"",INDEX(TekRoller,MATCH(B540,Teknikere,0))))),"Mangler rollen "&amp;INDEX(AktRolle,MATCH(C540,Aktiviteter,0))&amp;"",IF(AND(C540="LMS",F540&gt;0,OR(D540="",E540="")),"Mangler maskin eller arbeid",IF(AND(OR(C540="LMS",C540="Mod"),D540&lt;&gt;""),IF(IFERROR(INDEX(MaskinStatus,MATCH(D540,Maskiner,0)),"")="I dokk","","Maskinen er ikke i dokk"),""))))))</f>
        <v/>
      </c>
      <c r="L540" s="2">
        <f>IF(B540="","",IFERROR(INT((MATCH(B540,Teknikere,0)-1)/18)+1,""))</f>
        <v/>
      </c>
      <c r="M540" s="2">
        <f>IF(OR(A540="",B540=""),"",B540&amp;"|"&amp;A540)</f>
        <v/>
      </c>
      <c r="N540" s="2">
        <f>IF(M540="","",SUMIFS(TF_Timer,TF_Nokkel,M540,TF_Akt,C540))</f>
        <v/>
      </c>
      <c r="O540" s="2">
        <f>IF(M540="","",IF(AND(N540=_xlfn.MAXIFS(TF_AktSum,TF_Nokkel,M540),COUNTIFS(M$3:M539,M540,N$3:N539,N540)=0),M540,""))</f>
        <v/>
      </c>
    </row>
    <row r="541">
      <c r="A541" s="34" t="n"/>
      <c r="B541" s="35" t="n"/>
      <c r="C541" s="35" t="n"/>
      <c r="D541" s="35" t="n"/>
      <c r="E541" s="35" t="n"/>
      <c r="F541" s="36" t="n"/>
      <c r="G541" s="35" t="n"/>
      <c r="H541" s="30">
        <f>IF(L541="","",INDEX(SkiftNavn,L541))</f>
        <v/>
      </c>
      <c r="I541" s="30">
        <f>IF(OR(A541="",L541=""),"",IF(MOD(A541-INDEX(SkiftStart,L541),Syklus)&lt;DagK,"Kveld",IF(MOD(A541-INDEX(SkiftStart,L541),Syklus)&lt;DagK+DagH,"Helg",IF(MOD(A541-INDEX(SkiftStart,L541),Syklus)&lt;DagK+DagH+DagD,"Dag","Fri"))))</f>
        <v/>
      </c>
      <c r="J541" s="30">
        <f>IF(I541="Fri","Ja","")</f>
        <v/>
      </c>
      <c r="K541" s="30">
        <f>IF(B541="","",IF(L541="","Ukjent tekniker",IF(ISNA(MATCH(C541,Aktiviteter,0)),"Ukjent aktivitet",IF(AND(INDEX(AktRolle,MATCH(C541,Aktiviteter,0))&amp;""&lt;&gt;"",ISERROR(SEARCH(INDEX(AktRolle,MATCH(C541,Aktiviteter,0))&amp;"",INDEX(TekRoller,MATCH(B541,Teknikere,0))))),"Mangler rollen "&amp;INDEX(AktRolle,MATCH(C541,Aktiviteter,0))&amp;"",IF(AND(C541="LMS",F541&gt;0,OR(D541="",E541="")),"Mangler maskin eller arbeid",IF(AND(OR(C541="LMS",C541="Mod"),D541&lt;&gt;""),IF(IFERROR(INDEX(MaskinStatus,MATCH(D541,Maskiner,0)),"")="I dokk","","Maskinen er ikke i dokk"),""))))))</f>
        <v/>
      </c>
      <c r="L541" s="2">
        <f>IF(B541="","",IFERROR(INT((MATCH(B541,Teknikere,0)-1)/18)+1,""))</f>
        <v/>
      </c>
      <c r="M541" s="2">
        <f>IF(OR(A541="",B541=""),"",B541&amp;"|"&amp;A541)</f>
        <v/>
      </c>
      <c r="N541" s="2">
        <f>IF(M541="","",SUMIFS(TF_Timer,TF_Nokkel,M541,TF_Akt,C541))</f>
        <v/>
      </c>
      <c r="O541" s="2">
        <f>IF(M541="","",IF(AND(N541=_xlfn.MAXIFS(TF_AktSum,TF_Nokkel,M541),COUNTIFS(M$3:M540,M541,N$3:N540,N541)=0),M541,""))</f>
        <v/>
      </c>
    </row>
    <row r="542">
      <c r="A542" s="34" t="n"/>
      <c r="B542" s="35" t="n"/>
      <c r="C542" s="35" t="n"/>
      <c r="D542" s="35" t="n"/>
      <c r="E542" s="35" t="n"/>
      <c r="F542" s="36" t="n"/>
      <c r="G542" s="35" t="n"/>
      <c r="H542" s="30">
        <f>IF(L542="","",INDEX(SkiftNavn,L542))</f>
        <v/>
      </c>
      <c r="I542" s="30">
        <f>IF(OR(A542="",L542=""),"",IF(MOD(A542-INDEX(SkiftStart,L542),Syklus)&lt;DagK,"Kveld",IF(MOD(A542-INDEX(SkiftStart,L542),Syklus)&lt;DagK+DagH,"Helg",IF(MOD(A542-INDEX(SkiftStart,L542),Syklus)&lt;DagK+DagH+DagD,"Dag","Fri"))))</f>
        <v/>
      </c>
      <c r="J542" s="30">
        <f>IF(I542="Fri","Ja","")</f>
        <v/>
      </c>
      <c r="K542" s="30">
        <f>IF(B542="","",IF(L542="","Ukjent tekniker",IF(ISNA(MATCH(C542,Aktiviteter,0)),"Ukjent aktivitet",IF(AND(INDEX(AktRolle,MATCH(C542,Aktiviteter,0))&amp;""&lt;&gt;"",ISERROR(SEARCH(INDEX(AktRolle,MATCH(C542,Aktiviteter,0))&amp;"",INDEX(TekRoller,MATCH(B542,Teknikere,0))))),"Mangler rollen "&amp;INDEX(AktRolle,MATCH(C542,Aktiviteter,0))&amp;"",IF(AND(C542="LMS",F542&gt;0,OR(D542="",E542="")),"Mangler maskin eller arbeid",IF(AND(OR(C542="LMS",C542="Mod"),D542&lt;&gt;""),IF(IFERROR(INDEX(MaskinStatus,MATCH(D542,Maskiner,0)),"")="I dokk","","Maskinen er ikke i dokk"),""))))))</f>
        <v/>
      </c>
      <c r="L542" s="2">
        <f>IF(B542="","",IFERROR(INT((MATCH(B542,Teknikere,0)-1)/18)+1,""))</f>
        <v/>
      </c>
      <c r="M542" s="2">
        <f>IF(OR(A542="",B542=""),"",B542&amp;"|"&amp;A542)</f>
        <v/>
      </c>
      <c r="N542" s="2">
        <f>IF(M542="","",SUMIFS(TF_Timer,TF_Nokkel,M542,TF_Akt,C542))</f>
        <v/>
      </c>
      <c r="O542" s="2">
        <f>IF(M542="","",IF(AND(N542=_xlfn.MAXIFS(TF_AktSum,TF_Nokkel,M542),COUNTIFS(M$3:M541,M542,N$3:N541,N542)=0),M542,""))</f>
        <v/>
      </c>
    </row>
    <row r="543">
      <c r="A543" s="34" t="n"/>
      <c r="B543" s="35" t="n"/>
      <c r="C543" s="35" t="n"/>
      <c r="D543" s="35" t="n"/>
      <c r="E543" s="35" t="n"/>
      <c r="F543" s="36" t="n"/>
      <c r="G543" s="35" t="n"/>
      <c r="H543" s="30">
        <f>IF(L543="","",INDEX(SkiftNavn,L543))</f>
        <v/>
      </c>
      <c r="I543" s="30">
        <f>IF(OR(A543="",L543=""),"",IF(MOD(A543-INDEX(SkiftStart,L543),Syklus)&lt;DagK,"Kveld",IF(MOD(A543-INDEX(SkiftStart,L543),Syklus)&lt;DagK+DagH,"Helg",IF(MOD(A543-INDEX(SkiftStart,L543),Syklus)&lt;DagK+DagH+DagD,"Dag","Fri"))))</f>
        <v/>
      </c>
      <c r="J543" s="30">
        <f>IF(I543="Fri","Ja","")</f>
        <v/>
      </c>
      <c r="K543" s="30">
        <f>IF(B543="","",IF(L543="","Ukjent tekniker",IF(ISNA(MATCH(C543,Aktiviteter,0)),"Ukjent aktivitet",IF(AND(INDEX(AktRolle,MATCH(C543,Aktiviteter,0))&amp;""&lt;&gt;"",ISERROR(SEARCH(INDEX(AktRolle,MATCH(C543,Aktiviteter,0))&amp;"",INDEX(TekRoller,MATCH(B543,Teknikere,0))))),"Mangler rollen "&amp;INDEX(AktRolle,MATCH(C543,Aktiviteter,0))&amp;"",IF(AND(C543="LMS",F543&gt;0,OR(D543="",E543="")),"Mangler maskin eller arbeid",IF(AND(OR(C543="LMS",C543="Mod"),D543&lt;&gt;""),IF(IFERROR(INDEX(MaskinStatus,MATCH(D543,Maskiner,0)),"")="I dokk","","Maskinen er ikke i dokk"),""))))))</f>
        <v/>
      </c>
      <c r="L543" s="2">
        <f>IF(B543="","",IFERROR(INT((MATCH(B543,Teknikere,0)-1)/18)+1,""))</f>
        <v/>
      </c>
      <c r="M543" s="2">
        <f>IF(OR(A543="",B543=""),"",B543&amp;"|"&amp;A543)</f>
        <v/>
      </c>
      <c r="N543" s="2">
        <f>IF(M543="","",SUMIFS(TF_Timer,TF_Nokkel,M543,TF_Akt,C543))</f>
        <v/>
      </c>
      <c r="O543" s="2">
        <f>IF(M543="","",IF(AND(N543=_xlfn.MAXIFS(TF_AktSum,TF_Nokkel,M543),COUNTIFS(M$3:M542,M543,N$3:N542,N543)=0),M543,""))</f>
        <v/>
      </c>
    </row>
    <row r="544">
      <c r="A544" s="34" t="n"/>
      <c r="B544" s="35" t="n"/>
      <c r="C544" s="35" t="n"/>
      <c r="D544" s="35" t="n"/>
      <c r="E544" s="35" t="n"/>
      <c r="F544" s="36" t="n"/>
      <c r="G544" s="35" t="n"/>
      <c r="H544" s="30">
        <f>IF(L544="","",INDEX(SkiftNavn,L544))</f>
        <v/>
      </c>
      <c r="I544" s="30">
        <f>IF(OR(A544="",L544=""),"",IF(MOD(A544-INDEX(SkiftStart,L544),Syklus)&lt;DagK,"Kveld",IF(MOD(A544-INDEX(SkiftStart,L544),Syklus)&lt;DagK+DagH,"Helg",IF(MOD(A544-INDEX(SkiftStart,L544),Syklus)&lt;DagK+DagH+DagD,"Dag","Fri"))))</f>
        <v/>
      </c>
      <c r="J544" s="30">
        <f>IF(I544="Fri","Ja","")</f>
        <v/>
      </c>
      <c r="K544" s="30">
        <f>IF(B544="","",IF(L544="","Ukjent tekniker",IF(ISNA(MATCH(C544,Aktiviteter,0)),"Ukjent aktivitet",IF(AND(INDEX(AktRolle,MATCH(C544,Aktiviteter,0))&amp;""&lt;&gt;"",ISERROR(SEARCH(INDEX(AktRolle,MATCH(C544,Aktiviteter,0))&amp;"",INDEX(TekRoller,MATCH(B544,Teknikere,0))))),"Mangler rollen "&amp;INDEX(AktRolle,MATCH(C544,Aktiviteter,0))&amp;"",IF(AND(C544="LMS",F544&gt;0,OR(D544="",E544="")),"Mangler maskin eller arbeid",IF(AND(OR(C544="LMS",C544="Mod"),D544&lt;&gt;""),IF(IFERROR(INDEX(MaskinStatus,MATCH(D544,Maskiner,0)),"")="I dokk","","Maskinen er ikke i dokk"),""))))))</f>
        <v/>
      </c>
      <c r="L544" s="2">
        <f>IF(B544="","",IFERROR(INT((MATCH(B544,Teknikere,0)-1)/18)+1,""))</f>
        <v/>
      </c>
      <c r="M544" s="2">
        <f>IF(OR(A544="",B544=""),"",B544&amp;"|"&amp;A544)</f>
        <v/>
      </c>
      <c r="N544" s="2">
        <f>IF(M544="","",SUMIFS(TF_Timer,TF_Nokkel,M544,TF_Akt,C544))</f>
        <v/>
      </c>
      <c r="O544" s="2">
        <f>IF(M544="","",IF(AND(N544=_xlfn.MAXIFS(TF_AktSum,TF_Nokkel,M544),COUNTIFS(M$3:M543,M544,N$3:N543,N544)=0),M544,""))</f>
        <v/>
      </c>
    </row>
    <row r="545">
      <c r="A545" s="34" t="n"/>
      <c r="B545" s="35" t="n"/>
      <c r="C545" s="35" t="n"/>
      <c r="D545" s="35" t="n"/>
      <c r="E545" s="35" t="n"/>
      <c r="F545" s="36" t="n"/>
      <c r="G545" s="35" t="n"/>
      <c r="H545" s="30">
        <f>IF(L545="","",INDEX(SkiftNavn,L545))</f>
        <v/>
      </c>
      <c r="I545" s="30">
        <f>IF(OR(A545="",L545=""),"",IF(MOD(A545-INDEX(SkiftStart,L545),Syklus)&lt;DagK,"Kveld",IF(MOD(A545-INDEX(SkiftStart,L545),Syklus)&lt;DagK+DagH,"Helg",IF(MOD(A545-INDEX(SkiftStart,L545),Syklus)&lt;DagK+DagH+DagD,"Dag","Fri"))))</f>
        <v/>
      </c>
      <c r="J545" s="30">
        <f>IF(I545="Fri","Ja","")</f>
        <v/>
      </c>
      <c r="K545" s="30">
        <f>IF(B545="","",IF(L545="","Ukjent tekniker",IF(ISNA(MATCH(C545,Aktiviteter,0)),"Ukjent aktivitet",IF(AND(INDEX(AktRolle,MATCH(C545,Aktiviteter,0))&amp;""&lt;&gt;"",ISERROR(SEARCH(INDEX(AktRolle,MATCH(C545,Aktiviteter,0))&amp;"",INDEX(TekRoller,MATCH(B545,Teknikere,0))))),"Mangler rollen "&amp;INDEX(AktRolle,MATCH(C545,Aktiviteter,0))&amp;"",IF(AND(C545="LMS",F545&gt;0,OR(D545="",E545="")),"Mangler maskin eller arbeid",IF(AND(OR(C545="LMS",C545="Mod"),D545&lt;&gt;""),IF(IFERROR(INDEX(MaskinStatus,MATCH(D545,Maskiner,0)),"")="I dokk","","Maskinen er ikke i dokk"),""))))))</f>
        <v/>
      </c>
      <c r="L545" s="2">
        <f>IF(B545="","",IFERROR(INT((MATCH(B545,Teknikere,0)-1)/18)+1,""))</f>
        <v/>
      </c>
      <c r="M545" s="2">
        <f>IF(OR(A545="",B545=""),"",B545&amp;"|"&amp;A545)</f>
        <v/>
      </c>
      <c r="N545" s="2">
        <f>IF(M545="","",SUMIFS(TF_Timer,TF_Nokkel,M545,TF_Akt,C545))</f>
        <v/>
      </c>
      <c r="O545" s="2">
        <f>IF(M545="","",IF(AND(N545=_xlfn.MAXIFS(TF_AktSum,TF_Nokkel,M545),COUNTIFS(M$3:M544,M545,N$3:N544,N545)=0),M545,""))</f>
        <v/>
      </c>
    </row>
    <row r="546">
      <c r="A546" s="34" t="n"/>
      <c r="B546" s="35" t="n"/>
      <c r="C546" s="35" t="n"/>
      <c r="D546" s="35" t="n"/>
      <c r="E546" s="35" t="n"/>
      <c r="F546" s="36" t="n"/>
      <c r="G546" s="35" t="n"/>
      <c r="H546" s="30">
        <f>IF(L546="","",INDEX(SkiftNavn,L546))</f>
        <v/>
      </c>
      <c r="I546" s="30">
        <f>IF(OR(A546="",L546=""),"",IF(MOD(A546-INDEX(SkiftStart,L546),Syklus)&lt;DagK,"Kveld",IF(MOD(A546-INDEX(SkiftStart,L546),Syklus)&lt;DagK+DagH,"Helg",IF(MOD(A546-INDEX(SkiftStart,L546),Syklus)&lt;DagK+DagH+DagD,"Dag","Fri"))))</f>
        <v/>
      </c>
      <c r="J546" s="30">
        <f>IF(I546="Fri","Ja","")</f>
        <v/>
      </c>
      <c r="K546" s="30">
        <f>IF(B546="","",IF(L546="","Ukjent tekniker",IF(ISNA(MATCH(C546,Aktiviteter,0)),"Ukjent aktivitet",IF(AND(INDEX(AktRolle,MATCH(C546,Aktiviteter,0))&amp;""&lt;&gt;"",ISERROR(SEARCH(INDEX(AktRolle,MATCH(C546,Aktiviteter,0))&amp;"",INDEX(TekRoller,MATCH(B546,Teknikere,0))))),"Mangler rollen "&amp;INDEX(AktRolle,MATCH(C546,Aktiviteter,0))&amp;"",IF(AND(C546="LMS",F546&gt;0,OR(D546="",E546="")),"Mangler maskin eller arbeid",IF(AND(OR(C546="LMS",C546="Mod"),D546&lt;&gt;""),IF(IFERROR(INDEX(MaskinStatus,MATCH(D546,Maskiner,0)),"")="I dokk","","Maskinen er ikke i dokk"),""))))))</f>
        <v/>
      </c>
      <c r="L546" s="2">
        <f>IF(B546="","",IFERROR(INT((MATCH(B546,Teknikere,0)-1)/18)+1,""))</f>
        <v/>
      </c>
      <c r="M546" s="2">
        <f>IF(OR(A546="",B546=""),"",B546&amp;"|"&amp;A546)</f>
        <v/>
      </c>
      <c r="N546" s="2">
        <f>IF(M546="","",SUMIFS(TF_Timer,TF_Nokkel,M546,TF_Akt,C546))</f>
        <v/>
      </c>
      <c r="O546" s="2">
        <f>IF(M546="","",IF(AND(N546=_xlfn.MAXIFS(TF_AktSum,TF_Nokkel,M546),COUNTIFS(M$3:M545,M546,N$3:N545,N546)=0),M546,""))</f>
        <v/>
      </c>
    </row>
    <row r="547">
      <c r="A547" s="34" t="n"/>
      <c r="B547" s="35" t="n"/>
      <c r="C547" s="35" t="n"/>
      <c r="D547" s="35" t="n"/>
      <c r="E547" s="35" t="n"/>
      <c r="F547" s="36" t="n"/>
      <c r="G547" s="35" t="n"/>
      <c r="H547" s="30">
        <f>IF(L547="","",INDEX(SkiftNavn,L547))</f>
        <v/>
      </c>
      <c r="I547" s="30">
        <f>IF(OR(A547="",L547=""),"",IF(MOD(A547-INDEX(SkiftStart,L547),Syklus)&lt;DagK,"Kveld",IF(MOD(A547-INDEX(SkiftStart,L547),Syklus)&lt;DagK+DagH,"Helg",IF(MOD(A547-INDEX(SkiftStart,L547),Syklus)&lt;DagK+DagH+DagD,"Dag","Fri"))))</f>
        <v/>
      </c>
      <c r="J547" s="30">
        <f>IF(I547="Fri","Ja","")</f>
        <v/>
      </c>
      <c r="K547" s="30">
        <f>IF(B547="","",IF(L547="","Ukjent tekniker",IF(ISNA(MATCH(C547,Aktiviteter,0)),"Ukjent aktivitet",IF(AND(INDEX(AktRolle,MATCH(C547,Aktiviteter,0))&amp;""&lt;&gt;"",ISERROR(SEARCH(INDEX(AktRolle,MATCH(C547,Aktiviteter,0))&amp;"",INDEX(TekRoller,MATCH(B547,Teknikere,0))))),"Mangler rollen "&amp;INDEX(AktRolle,MATCH(C547,Aktiviteter,0))&amp;"",IF(AND(C547="LMS",F547&gt;0,OR(D547="",E547="")),"Mangler maskin eller arbeid",IF(AND(OR(C547="LMS",C547="Mod"),D547&lt;&gt;""),IF(IFERROR(INDEX(MaskinStatus,MATCH(D547,Maskiner,0)),"")="I dokk","","Maskinen er ikke i dokk"),""))))))</f>
        <v/>
      </c>
      <c r="L547" s="2">
        <f>IF(B547="","",IFERROR(INT((MATCH(B547,Teknikere,0)-1)/18)+1,""))</f>
        <v/>
      </c>
      <c r="M547" s="2">
        <f>IF(OR(A547="",B547=""),"",B547&amp;"|"&amp;A547)</f>
        <v/>
      </c>
      <c r="N547" s="2">
        <f>IF(M547="","",SUMIFS(TF_Timer,TF_Nokkel,M547,TF_Akt,C547))</f>
        <v/>
      </c>
      <c r="O547" s="2">
        <f>IF(M547="","",IF(AND(N547=_xlfn.MAXIFS(TF_AktSum,TF_Nokkel,M547),COUNTIFS(M$3:M546,M547,N$3:N546,N547)=0),M547,""))</f>
        <v/>
      </c>
    </row>
    <row r="548">
      <c r="A548" s="34" t="n"/>
      <c r="B548" s="35" t="n"/>
      <c r="C548" s="35" t="n"/>
      <c r="D548" s="35" t="n"/>
      <c r="E548" s="35" t="n"/>
      <c r="F548" s="36" t="n"/>
      <c r="G548" s="35" t="n"/>
      <c r="H548" s="30">
        <f>IF(L548="","",INDEX(SkiftNavn,L548))</f>
        <v/>
      </c>
      <c r="I548" s="30">
        <f>IF(OR(A548="",L548=""),"",IF(MOD(A548-INDEX(SkiftStart,L548),Syklus)&lt;DagK,"Kveld",IF(MOD(A548-INDEX(SkiftStart,L548),Syklus)&lt;DagK+DagH,"Helg",IF(MOD(A548-INDEX(SkiftStart,L548),Syklus)&lt;DagK+DagH+DagD,"Dag","Fri"))))</f>
        <v/>
      </c>
      <c r="J548" s="30">
        <f>IF(I548="Fri","Ja","")</f>
        <v/>
      </c>
      <c r="K548" s="30">
        <f>IF(B548="","",IF(L548="","Ukjent tekniker",IF(ISNA(MATCH(C548,Aktiviteter,0)),"Ukjent aktivitet",IF(AND(INDEX(AktRolle,MATCH(C548,Aktiviteter,0))&amp;""&lt;&gt;"",ISERROR(SEARCH(INDEX(AktRolle,MATCH(C548,Aktiviteter,0))&amp;"",INDEX(TekRoller,MATCH(B548,Teknikere,0))))),"Mangler rollen "&amp;INDEX(AktRolle,MATCH(C548,Aktiviteter,0))&amp;"",IF(AND(C548="LMS",F548&gt;0,OR(D548="",E548="")),"Mangler maskin eller arbeid",IF(AND(OR(C548="LMS",C548="Mod"),D548&lt;&gt;""),IF(IFERROR(INDEX(MaskinStatus,MATCH(D548,Maskiner,0)),"")="I dokk","","Maskinen er ikke i dokk"),""))))))</f>
        <v/>
      </c>
      <c r="L548" s="2">
        <f>IF(B548="","",IFERROR(INT((MATCH(B548,Teknikere,0)-1)/18)+1,""))</f>
        <v/>
      </c>
      <c r="M548" s="2">
        <f>IF(OR(A548="",B548=""),"",B548&amp;"|"&amp;A548)</f>
        <v/>
      </c>
      <c r="N548" s="2">
        <f>IF(M548="","",SUMIFS(TF_Timer,TF_Nokkel,M548,TF_Akt,C548))</f>
        <v/>
      </c>
      <c r="O548" s="2">
        <f>IF(M548="","",IF(AND(N548=_xlfn.MAXIFS(TF_AktSum,TF_Nokkel,M548),COUNTIFS(M$3:M547,M548,N$3:N547,N548)=0),M548,""))</f>
        <v/>
      </c>
    </row>
    <row r="549">
      <c r="A549" s="34" t="n"/>
      <c r="B549" s="35" t="n"/>
      <c r="C549" s="35" t="n"/>
      <c r="D549" s="35" t="n"/>
      <c r="E549" s="35" t="n"/>
      <c r="F549" s="36" t="n"/>
      <c r="G549" s="35" t="n"/>
      <c r="H549" s="30">
        <f>IF(L549="","",INDEX(SkiftNavn,L549))</f>
        <v/>
      </c>
      <c r="I549" s="30">
        <f>IF(OR(A549="",L549=""),"",IF(MOD(A549-INDEX(SkiftStart,L549),Syklus)&lt;DagK,"Kveld",IF(MOD(A549-INDEX(SkiftStart,L549),Syklus)&lt;DagK+DagH,"Helg",IF(MOD(A549-INDEX(SkiftStart,L549),Syklus)&lt;DagK+DagH+DagD,"Dag","Fri"))))</f>
        <v/>
      </c>
      <c r="J549" s="30">
        <f>IF(I549="Fri","Ja","")</f>
        <v/>
      </c>
      <c r="K549" s="30">
        <f>IF(B549="","",IF(L549="","Ukjent tekniker",IF(ISNA(MATCH(C549,Aktiviteter,0)),"Ukjent aktivitet",IF(AND(INDEX(AktRolle,MATCH(C549,Aktiviteter,0))&amp;""&lt;&gt;"",ISERROR(SEARCH(INDEX(AktRolle,MATCH(C549,Aktiviteter,0))&amp;"",INDEX(TekRoller,MATCH(B549,Teknikere,0))))),"Mangler rollen "&amp;INDEX(AktRolle,MATCH(C549,Aktiviteter,0))&amp;"",IF(AND(C549="LMS",F549&gt;0,OR(D549="",E549="")),"Mangler maskin eller arbeid",IF(AND(OR(C549="LMS",C549="Mod"),D549&lt;&gt;""),IF(IFERROR(INDEX(MaskinStatus,MATCH(D549,Maskiner,0)),"")="I dokk","","Maskinen er ikke i dokk"),""))))))</f>
        <v/>
      </c>
      <c r="L549" s="2">
        <f>IF(B549="","",IFERROR(INT((MATCH(B549,Teknikere,0)-1)/18)+1,""))</f>
        <v/>
      </c>
      <c r="M549" s="2">
        <f>IF(OR(A549="",B549=""),"",B549&amp;"|"&amp;A549)</f>
        <v/>
      </c>
      <c r="N549" s="2">
        <f>IF(M549="","",SUMIFS(TF_Timer,TF_Nokkel,M549,TF_Akt,C549))</f>
        <v/>
      </c>
      <c r="O549" s="2">
        <f>IF(M549="","",IF(AND(N549=_xlfn.MAXIFS(TF_AktSum,TF_Nokkel,M549),COUNTIFS(M$3:M548,M549,N$3:N548,N549)=0),M549,""))</f>
        <v/>
      </c>
    </row>
    <row r="550">
      <c r="A550" s="34" t="n"/>
      <c r="B550" s="35" t="n"/>
      <c r="C550" s="35" t="n"/>
      <c r="D550" s="35" t="n"/>
      <c r="E550" s="35" t="n"/>
      <c r="F550" s="36" t="n"/>
      <c r="G550" s="35" t="n"/>
      <c r="H550" s="30">
        <f>IF(L550="","",INDEX(SkiftNavn,L550))</f>
        <v/>
      </c>
      <c r="I550" s="30">
        <f>IF(OR(A550="",L550=""),"",IF(MOD(A550-INDEX(SkiftStart,L550),Syklus)&lt;DagK,"Kveld",IF(MOD(A550-INDEX(SkiftStart,L550),Syklus)&lt;DagK+DagH,"Helg",IF(MOD(A550-INDEX(SkiftStart,L550),Syklus)&lt;DagK+DagH+DagD,"Dag","Fri"))))</f>
        <v/>
      </c>
      <c r="J550" s="30">
        <f>IF(I550="Fri","Ja","")</f>
        <v/>
      </c>
      <c r="K550" s="30">
        <f>IF(B550="","",IF(L550="","Ukjent tekniker",IF(ISNA(MATCH(C550,Aktiviteter,0)),"Ukjent aktivitet",IF(AND(INDEX(AktRolle,MATCH(C550,Aktiviteter,0))&amp;""&lt;&gt;"",ISERROR(SEARCH(INDEX(AktRolle,MATCH(C550,Aktiviteter,0))&amp;"",INDEX(TekRoller,MATCH(B550,Teknikere,0))))),"Mangler rollen "&amp;INDEX(AktRolle,MATCH(C550,Aktiviteter,0))&amp;"",IF(AND(C550="LMS",F550&gt;0,OR(D550="",E550="")),"Mangler maskin eller arbeid",IF(AND(OR(C550="LMS",C550="Mod"),D550&lt;&gt;""),IF(IFERROR(INDEX(MaskinStatus,MATCH(D550,Maskiner,0)),"")="I dokk","","Maskinen er ikke i dokk"),""))))))</f>
        <v/>
      </c>
      <c r="L550" s="2">
        <f>IF(B550="","",IFERROR(INT((MATCH(B550,Teknikere,0)-1)/18)+1,""))</f>
        <v/>
      </c>
      <c r="M550" s="2">
        <f>IF(OR(A550="",B550=""),"",B550&amp;"|"&amp;A550)</f>
        <v/>
      </c>
      <c r="N550" s="2">
        <f>IF(M550="","",SUMIFS(TF_Timer,TF_Nokkel,M550,TF_Akt,C550))</f>
        <v/>
      </c>
      <c r="O550" s="2">
        <f>IF(M550="","",IF(AND(N550=_xlfn.MAXIFS(TF_AktSum,TF_Nokkel,M550),COUNTIFS(M$3:M549,M550,N$3:N549,N550)=0),M550,""))</f>
        <v/>
      </c>
    </row>
    <row r="551">
      <c r="A551" s="34" t="n"/>
      <c r="B551" s="35" t="n"/>
      <c r="C551" s="35" t="n"/>
      <c r="D551" s="35" t="n"/>
      <c r="E551" s="35" t="n"/>
      <c r="F551" s="36" t="n"/>
      <c r="G551" s="35" t="n"/>
      <c r="H551" s="30">
        <f>IF(L551="","",INDEX(SkiftNavn,L551))</f>
        <v/>
      </c>
      <c r="I551" s="30">
        <f>IF(OR(A551="",L551=""),"",IF(MOD(A551-INDEX(SkiftStart,L551),Syklus)&lt;DagK,"Kveld",IF(MOD(A551-INDEX(SkiftStart,L551),Syklus)&lt;DagK+DagH,"Helg",IF(MOD(A551-INDEX(SkiftStart,L551),Syklus)&lt;DagK+DagH+DagD,"Dag","Fri"))))</f>
        <v/>
      </c>
      <c r="J551" s="30">
        <f>IF(I551="Fri","Ja","")</f>
        <v/>
      </c>
      <c r="K551" s="30">
        <f>IF(B551="","",IF(L551="","Ukjent tekniker",IF(ISNA(MATCH(C551,Aktiviteter,0)),"Ukjent aktivitet",IF(AND(INDEX(AktRolle,MATCH(C551,Aktiviteter,0))&amp;""&lt;&gt;"",ISERROR(SEARCH(INDEX(AktRolle,MATCH(C551,Aktiviteter,0))&amp;"",INDEX(TekRoller,MATCH(B551,Teknikere,0))))),"Mangler rollen "&amp;INDEX(AktRolle,MATCH(C551,Aktiviteter,0))&amp;"",IF(AND(C551="LMS",F551&gt;0,OR(D551="",E551="")),"Mangler maskin eller arbeid",IF(AND(OR(C551="LMS",C551="Mod"),D551&lt;&gt;""),IF(IFERROR(INDEX(MaskinStatus,MATCH(D551,Maskiner,0)),"")="I dokk","","Maskinen er ikke i dokk"),""))))))</f>
        <v/>
      </c>
      <c r="L551" s="2">
        <f>IF(B551="","",IFERROR(INT((MATCH(B551,Teknikere,0)-1)/18)+1,""))</f>
        <v/>
      </c>
      <c r="M551" s="2">
        <f>IF(OR(A551="",B551=""),"",B551&amp;"|"&amp;A551)</f>
        <v/>
      </c>
      <c r="N551" s="2">
        <f>IF(M551="","",SUMIFS(TF_Timer,TF_Nokkel,M551,TF_Akt,C551))</f>
        <v/>
      </c>
      <c r="O551" s="2">
        <f>IF(M551="","",IF(AND(N551=_xlfn.MAXIFS(TF_AktSum,TF_Nokkel,M551),COUNTIFS(M$3:M550,M551,N$3:N550,N551)=0),M551,""))</f>
        <v/>
      </c>
    </row>
    <row r="552">
      <c r="A552" s="34" t="n"/>
      <c r="B552" s="35" t="n"/>
      <c r="C552" s="35" t="n"/>
      <c r="D552" s="35" t="n"/>
      <c r="E552" s="35" t="n"/>
      <c r="F552" s="36" t="n"/>
      <c r="G552" s="35" t="n"/>
      <c r="H552" s="30">
        <f>IF(L552="","",INDEX(SkiftNavn,L552))</f>
        <v/>
      </c>
      <c r="I552" s="30">
        <f>IF(OR(A552="",L552=""),"",IF(MOD(A552-INDEX(SkiftStart,L552),Syklus)&lt;DagK,"Kveld",IF(MOD(A552-INDEX(SkiftStart,L552),Syklus)&lt;DagK+DagH,"Helg",IF(MOD(A552-INDEX(SkiftStart,L552),Syklus)&lt;DagK+DagH+DagD,"Dag","Fri"))))</f>
        <v/>
      </c>
      <c r="J552" s="30">
        <f>IF(I552="Fri","Ja","")</f>
        <v/>
      </c>
      <c r="K552" s="30">
        <f>IF(B552="","",IF(L552="","Ukjent tekniker",IF(ISNA(MATCH(C552,Aktiviteter,0)),"Ukjent aktivitet",IF(AND(INDEX(AktRolle,MATCH(C552,Aktiviteter,0))&amp;""&lt;&gt;"",ISERROR(SEARCH(INDEX(AktRolle,MATCH(C552,Aktiviteter,0))&amp;"",INDEX(TekRoller,MATCH(B552,Teknikere,0))))),"Mangler rollen "&amp;INDEX(AktRolle,MATCH(C552,Aktiviteter,0))&amp;"",IF(AND(C552="LMS",F552&gt;0,OR(D552="",E552="")),"Mangler maskin eller arbeid",IF(AND(OR(C552="LMS",C552="Mod"),D552&lt;&gt;""),IF(IFERROR(INDEX(MaskinStatus,MATCH(D552,Maskiner,0)),"")="I dokk","","Maskinen er ikke i dokk"),""))))))</f>
        <v/>
      </c>
      <c r="L552" s="2">
        <f>IF(B552="","",IFERROR(INT((MATCH(B552,Teknikere,0)-1)/18)+1,""))</f>
        <v/>
      </c>
      <c r="M552" s="2">
        <f>IF(OR(A552="",B552=""),"",B552&amp;"|"&amp;A552)</f>
        <v/>
      </c>
      <c r="N552" s="2">
        <f>IF(M552="","",SUMIFS(TF_Timer,TF_Nokkel,M552,TF_Akt,C552))</f>
        <v/>
      </c>
      <c r="O552" s="2">
        <f>IF(M552="","",IF(AND(N552=_xlfn.MAXIFS(TF_AktSum,TF_Nokkel,M552),COUNTIFS(M$3:M551,M552,N$3:N551,N552)=0),M552,""))</f>
        <v/>
      </c>
    </row>
    <row r="553">
      <c r="A553" s="34" t="n"/>
      <c r="B553" s="35" t="n"/>
      <c r="C553" s="35" t="n"/>
      <c r="D553" s="35" t="n"/>
      <c r="E553" s="35" t="n"/>
      <c r="F553" s="36" t="n"/>
      <c r="G553" s="35" t="n"/>
      <c r="H553" s="30">
        <f>IF(L553="","",INDEX(SkiftNavn,L553))</f>
        <v/>
      </c>
      <c r="I553" s="30">
        <f>IF(OR(A553="",L553=""),"",IF(MOD(A553-INDEX(SkiftStart,L553),Syklus)&lt;DagK,"Kveld",IF(MOD(A553-INDEX(SkiftStart,L553),Syklus)&lt;DagK+DagH,"Helg",IF(MOD(A553-INDEX(SkiftStart,L553),Syklus)&lt;DagK+DagH+DagD,"Dag","Fri"))))</f>
        <v/>
      </c>
      <c r="J553" s="30">
        <f>IF(I553="Fri","Ja","")</f>
        <v/>
      </c>
      <c r="K553" s="30">
        <f>IF(B553="","",IF(L553="","Ukjent tekniker",IF(ISNA(MATCH(C553,Aktiviteter,0)),"Ukjent aktivitet",IF(AND(INDEX(AktRolle,MATCH(C553,Aktiviteter,0))&amp;""&lt;&gt;"",ISERROR(SEARCH(INDEX(AktRolle,MATCH(C553,Aktiviteter,0))&amp;"",INDEX(TekRoller,MATCH(B553,Teknikere,0))))),"Mangler rollen "&amp;INDEX(AktRolle,MATCH(C553,Aktiviteter,0))&amp;"",IF(AND(C553="LMS",F553&gt;0,OR(D553="",E553="")),"Mangler maskin eller arbeid",IF(AND(OR(C553="LMS",C553="Mod"),D553&lt;&gt;""),IF(IFERROR(INDEX(MaskinStatus,MATCH(D553,Maskiner,0)),"")="I dokk","","Maskinen er ikke i dokk"),""))))))</f>
        <v/>
      </c>
      <c r="L553" s="2">
        <f>IF(B553="","",IFERROR(INT((MATCH(B553,Teknikere,0)-1)/18)+1,""))</f>
        <v/>
      </c>
      <c r="M553" s="2">
        <f>IF(OR(A553="",B553=""),"",B553&amp;"|"&amp;A553)</f>
        <v/>
      </c>
      <c r="N553" s="2">
        <f>IF(M553="","",SUMIFS(TF_Timer,TF_Nokkel,M553,TF_Akt,C553))</f>
        <v/>
      </c>
      <c r="O553" s="2">
        <f>IF(M553="","",IF(AND(N553=_xlfn.MAXIFS(TF_AktSum,TF_Nokkel,M553),COUNTIFS(M$3:M552,M553,N$3:N552,N553)=0),M553,""))</f>
        <v/>
      </c>
    </row>
    <row r="554">
      <c r="A554" s="34" t="n"/>
      <c r="B554" s="35" t="n"/>
      <c r="C554" s="35" t="n"/>
      <c r="D554" s="35" t="n"/>
      <c r="E554" s="35" t="n"/>
      <c r="F554" s="36" t="n"/>
      <c r="G554" s="35" t="n"/>
      <c r="H554" s="30">
        <f>IF(L554="","",INDEX(SkiftNavn,L554))</f>
        <v/>
      </c>
      <c r="I554" s="30">
        <f>IF(OR(A554="",L554=""),"",IF(MOD(A554-INDEX(SkiftStart,L554),Syklus)&lt;DagK,"Kveld",IF(MOD(A554-INDEX(SkiftStart,L554),Syklus)&lt;DagK+DagH,"Helg",IF(MOD(A554-INDEX(SkiftStart,L554),Syklus)&lt;DagK+DagH+DagD,"Dag","Fri"))))</f>
        <v/>
      </c>
      <c r="J554" s="30">
        <f>IF(I554="Fri","Ja","")</f>
        <v/>
      </c>
      <c r="K554" s="30">
        <f>IF(B554="","",IF(L554="","Ukjent tekniker",IF(ISNA(MATCH(C554,Aktiviteter,0)),"Ukjent aktivitet",IF(AND(INDEX(AktRolle,MATCH(C554,Aktiviteter,0))&amp;""&lt;&gt;"",ISERROR(SEARCH(INDEX(AktRolle,MATCH(C554,Aktiviteter,0))&amp;"",INDEX(TekRoller,MATCH(B554,Teknikere,0))))),"Mangler rollen "&amp;INDEX(AktRolle,MATCH(C554,Aktiviteter,0))&amp;"",IF(AND(C554="LMS",F554&gt;0,OR(D554="",E554="")),"Mangler maskin eller arbeid",IF(AND(OR(C554="LMS",C554="Mod"),D554&lt;&gt;""),IF(IFERROR(INDEX(MaskinStatus,MATCH(D554,Maskiner,0)),"")="I dokk","","Maskinen er ikke i dokk"),""))))))</f>
        <v/>
      </c>
      <c r="L554" s="2">
        <f>IF(B554="","",IFERROR(INT((MATCH(B554,Teknikere,0)-1)/18)+1,""))</f>
        <v/>
      </c>
      <c r="M554" s="2">
        <f>IF(OR(A554="",B554=""),"",B554&amp;"|"&amp;A554)</f>
        <v/>
      </c>
      <c r="N554" s="2">
        <f>IF(M554="","",SUMIFS(TF_Timer,TF_Nokkel,M554,TF_Akt,C554))</f>
        <v/>
      </c>
      <c r="O554" s="2">
        <f>IF(M554="","",IF(AND(N554=_xlfn.MAXIFS(TF_AktSum,TF_Nokkel,M554),COUNTIFS(M$3:M553,M554,N$3:N553,N554)=0),M554,""))</f>
        <v/>
      </c>
    </row>
    <row r="555">
      <c r="A555" s="34" t="n"/>
      <c r="B555" s="35" t="n"/>
      <c r="C555" s="35" t="n"/>
      <c r="D555" s="35" t="n"/>
      <c r="E555" s="35" t="n"/>
      <c r="F555" s="36" t="n"/>
      <c r="G555" s="35" t="n"/>
      <c r="H555" s="30">
        <f>IF(L555="","",INDEX(SkiftNavn,L555))</f>
        <v/>
      </c>
      <c r="I555" s="30">
        <f>IF(OR(A555="",L555=""),"",IF(MOD(A555-INDEX(SkiftStart,L555),Syklus)&lt;DagK,"Kveld",IF(MOD(A555-INDEX(SkiftStart,L555),Syklus)&lt;DagK+DagH,"Helg",IF(MOD(A555-INDEX(SkiftStart,L555),Syklus)&lt;DagK+DagH+DagD,"Dag","Fri"))))</f>
        <v/>
      </c>
      <c r="J555" s="30">
        <f>IF(I555="Fri","Ja","")</f>
        <v/>
      </c>
      <c r="K555" s="30">
        <f>IF(B555="","",IF(L555="","Ukjent tekniker",IF(ISNA(MATCH(C555,Aktiviteter,0)),"Ukjent aktivitet",IF(AND(INDEX(AktRolle,MATCH(C555,Aktiviteter,0))&amp;""&lt;&gt;"",ISERROR(SEARCH(INDEX(AktRolle,MATCH(C555,Aktiviteter,0))&amp;"",INDEX(TekRoller,MATCH(B555,Teknikere,0))))),"Mangler rollen "&amp;INDEX(AktRolle,MATCH(C555,Aktiviteter,0))&amp;"",IF(AND(C555="LMS",F555&gt;0,OR(D555="",E555="")),"Mangler maskin eller arbeid",IF(AND(OR(C555="LMS",C555="Mod"),D555&lt;&gt;""),IF(IFERROR(INDEX(MaskinStatus,MATCH(D555,Maskiner,0)),"")="I dokk","","Maskinen er ikke i dokk"),""))))))</f>
        <v/>
      </c>
      <c r="L555" s="2">
        <f>IF(B555="","",IFERROR(INT((MATCH(B555,Teknikere,0)-1)/18)+1,""))</f>
        <v/>
      </c>
      <c r="M555" s="2">
        <f>IF(OR(A555="",B555=""),"",B555&amp;"|"&amp;A555)</f>
        <v/>
      </c>
      <c r="N555" s="2">
        <f>IF(M555="","",SUMIFS(TF_Timer,TF_Nokkel,M555,TF_Akt,C555))</f>
        <v/>
      </c>
      <c r="O555" s="2">
        <f>IF(M555="","",IF(AND(N555=_xlfn.MAXIFS(TF_AktSum,TF_Nokkel,M555),COUNTIFS(M$3:M554,M555,N$3:N554,N555)=0),M555,""))</f>
        <v/>
      </c>
    </row>
    <row r="556">
      <c r="A556" s="34" t="n"/>
      <c r="B556" s="35" t="n"/>
      <c r="C556" s="35" t="n"/>
      <c r="D556" s="35" t="n"/>
      <c r="E556" s="35" t="n"/>
      <c r="F556" s="36" t="n"/>
      <c r="G556" s="35" t="n"/>
      <c r="H556" s="30">
        <f>IF(L556="","",INDEX(SkiftNavn,L556))</f>
        <v/>
      </c>
      <c r="I556" s="30">
        <f>IF(OR(A556="",L556=""),"",IF(MOD(A556-INDEX(SkiftStart,L556),Syklus)&lt;DagK,"Kveld",IF(MOD(A556-INDEX(SkiftStart,L556),Syklus)&lt;DagK+DagH,"Helg",IF(MOD(A556-INDEX(SkiftStart,L556),Syklus)&lt;DagK+DagH+DagD,"Dag","Fri"))))</f>
        <v/>
      </c>
      <c r="J556" s="30">
        <f>IF(I556="Fri","Ja","")</f>
        <v/>
      </c>
      <c r="K556" s="30">
        <f>IF(B556="","",IF(L556="","Ukjent tekniker",IF(ISNA(MATCH(C556,Aktiviteter,0)),"Ukjent aktivitet",IF(AND(INDEX(AktRolle,MATCH(C556,Aktiviteter,0))&amp;""&lt;&gt;"",ISERROR(SEARCH(INDEX(AktRolle,MATCH(C556,Aktiviteter,0))&amp;"",INDEX(TekRoller,MATCH(B556,Teknikere,0))))),"Mangler rollen "&amp;INDEX(AktRolle,MATCH(C556,Aktiviteter,0))&amp;"",IF(AND(C556="LMS",F556&gt;0,OR(D556="",E556="")),"Mangler maskin eller arbeid",IF(AND(OR(C556="LMS",C556="Mod"),D556&lt;&gt;""),IF(IFERROR(INDEX(MaskinStatus,MATCH(D556,Maskiner,0)),"")="I dokk","","Maskinen er ikke i dokk"),""))))))</f>
        <v/>
      </c>
      <c r="L556" s="2">
        <f>IF(B556="","",IFERROR(INT((MATCH(B556,Teknikere,0)-1)/18)+1,""))</f>
        <v/>
      </c>
      <c r="M556" s="2">
        <f>IF(OR(A556="",B556=""),"",B556&amp;"|"&amp;A556)</f>
        <v/>
      </c>
      <c r="N556" s="2">
        <f>IF(M556="","",SUMIFS(TF_Timer,TF_Nokkel,M556,TF_Akt,C556))</f>
        <v/>
      </c>
      <c r="O556" s="2">
        <f>IF(M556="","",IF(AND(N556=_xlfn.MAXIFS(TF_AktSum,TF_Nokkel,M556),COUNTIFS(M$3:M555,M556,N$3:N555,N556)=0),M556,""))</f>
        <v/>
      </c>
    </row>
    <row r="557">
      <c r="A557" s="34" t="n"/>
      <c r="B557" s="35" t="n"/>
      <c r="C557" s="35" t="n"/>
      <c r="D557" s="35" t="n"/>
      <c r="E557" s="35" t="n"/>
      <c r="F557" s="36" t="n"/>
      <c r="G557" s="35" t="n"/>
      <c r="H557" s="30">
        <f>IF(L557="","",INDEX(SkiftNavn,L557))</f>
        <v/>
      </c>
      <c r="I557" s="30">
        <f>IF(OR(A557="",L557=""),"",IF(MOD(A557-INDEX(SkiftStart,L557),Syklus)&lt;DagK,"Kveld",IF(MOD(A557-INDEX(SkiftStart,L557),Syklus)&lt;DagK+DagH,"Helg",IF(MOD(A557-INDEX(SkiftStart,L557),Syklus)&lt;DagK+DagH+DagD,"Dag","Fri"))))</f>
        <v/>
      </c>
      <c r="J557" s="30">
        <f>IF(I557="Fri","Ja","")</f>
        <v/>
      </c>
      <c r="K557" s="30">
        <f>IF(B557="","",IF(L557="","Ukjent tekniker",IF(ISNA(MATCH(C557,Aktiviteter,0)),"Ukjent aktivitet",IF(AND(INDEX(AktRolle,MATCH(C557,Aktiviteter,0))&amp;""&lt;&gt;"",ISERROR(SEARCH(INDEX(AktRolle,MATCH(C557,Aktiviteter,0))&amp;"",INDEX(TekRoller,MATCH(B557,Teknikere,0))))),"Mangler rollen "&amp;INDEX(AktRolle,MATCH(C557,Aktiviteter,0))&amp;"",IF(AND(C557="LMS",F557&gt;0,OR(D557="",E557="")),"Mangler maskin eller arbeid",IF(AND(OR(C557="LMS",C557="Mod"),D557&lt;&gt;""),IF(IFERROR(INDEX(MaskinStatus,MATCH(D557,Maskiner,0)),"")="I dokk","","Maskinen er ikke i dokk"),""))))))</f>
        <v/>
      </c>
      <c r="L557" s="2">
        <f>IF(B557="","",IFERROR(INT((MATCH(B557,Teknikere,0)-1)/18)+1,""))</f>
        <v/>
      </c>
      <c r="M557" s="2">
        <f>IF(OR(A557="",B557=""),"",B557&amp;"|"&amp;A557)</f>
        <v/>
      </c>
      <c r="N557" s="2">
        <f>IF(M557="","",SUMIFS(TF_Timer,TF_Nokkel,M557,TF_Akt,C557))</f>
        <v/>
      </c>
      <c r="O557" s="2">
        <f>IF(M557="","",IF(AND(N557=_xlfn.MAXIFS(TF_AktSum,TF_Nokkel,M557),COUNTIFS(M$3:M556,M557,N$3:N556,N557)=0),M557,""))</f>
        <v/>
      </c>
    </row>
    <row r="558">
      <c r="A558" s="34" t="n"/>
      <c r="B558" s="35" t="n"/>
      <c r="C558" s="35" t="n"/>
      <c r="D558" s="35" t="n"/>
      <c r="E558" s="35" t="n"/>
      <c r="F558" s="36" t="n"/>
      <c r="G558" s="35" t="n"/>
      <c r="H558" s="30">
        <f>IF(L558="","",INDEX(SkiftNavn,L558))</f>
        <v/>
      </c>
      <c r="I558" s="30">
        <f>IF(OR(A558="",L558=""),"",IF(MOD(A558-INDEX(SkiftStart,L558),Syklus)&lt;DagK,"Kveld",IF(MOD(A558-INDEX(SkiftStart,L558),Syklus)&lt;DagK+DagH,"Helg",IF(MOD(A558-INDEX(SkiftStart,L558),Syklus)&lt;DagK+DagH+DagD,"Dag","Fri"))))</f>
        <v/>
      </c>
      <c r="J558" s="30">
        <f>IF(I558="Fri","Ja","")</f>
        <v/>
      </c>
      <c r="K558" s="30">
        <f>IF(B558="","",IF(L558="","Ukjent tekniker",IF(ISNA(MATCH(C558,Aktiviteter,0)),"Ukjent aktivitet",IF(AND(INDEX(AktRolle,MATCH(C558,Aktiviteter,0))&amp;""&lt;&gt;"",ISERROR(SEARCH(INDEX(AktRolle,MATCH(C558,Aktiviteter,0))&amp;"",INDEX(TekRoller,MATCH(B558,Teknikere,0))))),"Mangler rollen "&amp;INDEX(AktRolle,MATCH(C558,Aktiviteter,0))&amp;"",IF(AND(C558="LMS",F558&gt;0,OR(D558="",E558="")),"Mangler maskin eller arbeid",IF(AND(OR(C558="LMS",C558="Mod"),D558&lt;&gt;""),IF(IFERROR(INDEX(MaskinStatus,MATCH(D558,Maskiner,0)),"")="I dokk","","Maskinen er ikke i dokk"),""))))))</f>
        <v/>
      </c>
      <c r="L558" s="2">
        <f>IF(B558="","",IFERROR(INT((MATCH(B558,Teknikere,0)-1)/18)+1,""))</f>
        <v/>
      </c>
      <c r="M558" s="2">
        <f>IF(OR(A558="",B558=""),"",B558&amp;"|"&amp;A558)</f>
        <v/>
      </c>
      <c r="N558" s="2">
        <f>IF(M558="","",SUMIFS(TF_Timer,TF_Nokkel,M558,TF_Akt,C558))</f>
        <v/>
      </c>
      <c r="O558" s="2">
        <f>IF(M558="","",IF(AND(N558=_xlfn.MAXIFS(TF_AktSum,TF_Nokkel,M558),COUNTIFS(M$3:M557,M558,N$3:N557,N558)=0),M558,""))</f>
        <v/>
      </c>
    </row>
    <row r="559">
      <c r="A559" s="34" t="n"/>
      <c r="B559" s="35" t="n"/>
      <c r="C559" s="35" t="n"/>
      <c r="D559" s="35" t="n"/>
      <c r="E559" s="35" t="n"/>
      <c r="F559" s="36" t="n"/>
      <c r="G559" s="35" t="n"/>
      <c r="H559" s="30">
        <f>IF(L559="","",INDEX(SkiftNavn,L559))</f>
        <v/>
      </c>
      <c r="I559" s="30">
        <f>IF(OR(A559="",L559=""),"",IF(MOD(A559-INDEX(SkiftStart,L559),Syklus)&lt;DagK,"Kveld",IF(MOD(A559-INDEX(SkiftStart,L559),Syklus)&lt;DagK+DagH,"Helg",IF(MOD(A559-INDEX(SkiftStart,L559),Syklus)&lt;DagK+DagH+DagD,"Dag","Fri"))))</f>
        <v/>
      </c>
      <c r="J559" s="30">
        <f>IF(I559="Fri","Ja","")</f>
        <v/>
      </c>
      <c r="K559" s="30">
        <f>IF(B559="","",IF(L559="","Ukjent tekniker",IF(ISNA(MATCH(C559,Aktiviteter,0)),"Ukjent aktivitet",IF(AND(INDEX(AktRolle,MATCH(C559,Aktiviteter,0))&amp;""&lt;&gt;"",ISERROR(SEARCH(INDEX(AktRolle,MATCH(C559,Aktiviteter,0))&amp;"",INDEX(TekRoller,MATCH(B559,Teknikere,0))))),"Mangler rollen "&amp;INDEX(AktRolle,MATCH(C559,Aktiviteter,0))&amp;"",IF(AND(C559="LMS",F559&gt;0,OR(D559="",E559="")),"Mangler maskin eller arbeid",IF(AND(OR(C559="LMS",C559="Mod"),D559&lt;&gt;""),IF(IFERROR(INDEX(MaskinStatus,MATCH(D559,Maskiner,0)),"")="I dokk","","Maskinen er ikke i dokk"),""))))))</f>
        <v/>
      </c>
      <c r="L559" s="2">
        <f>IF(B559="","",IFERROR(INT((MATCH(B559,Teknikere,0)-1)/18)+1,""))</f>
        <v/>
      </c>
      <c r="M559" s="2">
        <f>IF(OR(A559="",B559=""),"",B559&amp;"|"&amp;A559)</f>
        <v/>
      </c>
      <c r="N559" s="2">
        <f>IF(M559="","",SUMIFS(TF_Timer,TF_Nokkel,M559,TF_Akt,C559))</f>
        <v/>
      </c>
      <c r="O559" s="2">
        <f>IF(M559="","",IF(AND(N559=_xlfn.MAXIFS(TF_AktSum,TF_Nokkel,M559),COUNTIFS(M$3:M558,M559,N$3:N558,N559)=0),M559,""))</f>
        <v/>
      </c>
    </row>
    <row r="560">
      <c r="A560" s="34" t="n"/>
      <c r="B560" s="35" t="n"/>
      <c r="C560" s="35" t="n"/>
      <c r="D560" s="35" t="n"/>
      <c r="E560" s="35" t="n"/>
      <c r="F560" s="36" t="n"/>
      <c r="G560" s="35" t="n"/>
      <c r="H560" s="30">
        <f>IF(L560="","",INDEX(SkiftNavn,L560))</f>
        <v/>
      </c>
      <c r="I560" s="30">
        <f>IF(OR(A560="",L560=""),"",IF(MOD(A560-INDEX(SkiftStart,L560),Syklus)&lt;DagK,"Kveld",IF(MOD(A560-INDEX(SkiftStart,L560),Syklus)&lt;DagK+DagH,"Helg",IF(MOD(A560-INDEX(SkiftStart,L560),Syklus)&lt;DagK+DagH+DagD,"Dag","Fri"))))</f>
        <v/>
      </c>
      <c r="J560" s="30">
        <f>IF(I560="Fri","Ja","")</f>
        <v/>
      </c>
      <c r="K560" s="30">
        <f>IF(B560="","",IF(L560="","Ukjent tekniker",IF(ISNA(MATCH(C560,Aktiviteter,0)),"Ukjent aktivitet",IF(AND(INDEX(AktRolle,MATCH(C560,Aktiviteter,0))&amp;""&lt;&gt;"",ISERROR(SEARCH(INDEX(AktRolle,MATCH(C560,Aktiviteter,0))&amp;"",INDEX(TekRoller,MATCH(B560,Teknikere,0))))),"Mangler rollen "&amp;INDEX(AktRolle,MATCH(C560,Aktiviteter,0))&amp;"",IF(AND(C560="LMS",F560&gt;0,OR(D560="",E560="")),"Mangler maskin eller arbeid",IF(AND(OR(C560="LMS",C560="Mod"),D560&lt;&gt;""),IF(IFERROR(INDEX(MaskinStatus,MATCH(D560,Maskiner,0)),"")="I dokk","","Maskinen er ikke i dokk"),""))))))</f>
        <v/>
      </c>
      <c r="L560" s="2">
        <f>IF(B560="","",IFERROR(INT((MATCH(B560,Teknikere,0)-1)/18)+1,""))</f>
        <v/>
      </c>
      <c r="M560" s="2">
        <f>IF(OR(A560="",B560=""),"",B560&amp;"|"&amp;A560)</f>
        <v/>
      </c>
      <c r="N560" s="2">
        <f>IF(M560="","",SUMIFS(TF_Timer,TF_Nokkel,M560,TF_Akt,C560))</f>
        <v/>
      </c>
      <c r="O560" s="2">
        <f>IF(M560="","",IF(AND(N560=_xlfn.MAXIFS(TF_AktSum,TF_Nokkel,M560),COUNTIFS(M$3:M559,M560,N$3:N559,N560)=0),M560,""))</f>
        <v/>
      </c>
    </row>
    <row r="561">
      <c r="A561" s="34" t="n"/>
      <c r="B561" s="35" t="n"/>
      <c r="C561" s="35" t="n"/>
      <c r="D561" s="35" t="n"/>
      <c r="E561" s="35" t="n"/>
      <c r="F561" s="36" t="n"/>
      <c r="G561" s="35" t="n"/>
      <c r="H561" s="30">
        <f>IF(L561="","",INDEX(SkiftNavn,L561))</f>
        <v/>
      </c>
      <c r="I561" s="30">
        <f>IF(OR(A561="",L561=""),"",IF(MOD(A561-INDEX(SkiftStart,L561),Syklus)&lt;DagK,"Kveld",IF(MOD(A561-INDEX(SkiftStart,L561),Syklus)&lt;DagK+DagH,"Helg",IF(MOD(A561-INDEX(SkiftStart,L561),Syklus)&lt;DagK+DagH+DagD,"Dag","Fri"))))</f>
        <v/>
      </c>
      <c r="J561" s="30">
        <f>IF(I561="Fri","Ja","")</f>
        <v/>
      </c>
      <c r="K561" s="30">
        <f>IF(B561="","",IF(L561="","Ukjent tekniker",IF(ISNA(MATCH(C561,Aktiviteter,0)),"Ukjent aktivitet",IF(AND(INDEX(AktRolle,MATCH(C561,Aktiviteter,0))&amp;""&lt;&gt;"",ISERROR(SEARCH(INDEX(AktRolle,MATCH(C561,Aktiviteter,0))&amp;"",INDEX(TekRoller,MATCH(B561,Teknikere,0))))),"Mangler rollen "&amp;INDEX(AktRolle,MATCH(C561,Aktiviteter,0))&amp;"",IF(AND(C561="LMS",F561&gt;0,OR(D561="",E561="")),"Mangler maskin eller arbeid",IF(AND(OR(C561="LMS",C561="Mod"),D561&lt;&gt;""),IF(IFERROR(INDEX(MaskinStatus,MATCH(D561,Maskiner,0)),"")="I dokk","","Maskinen er ikke i dokk"),""))))))</f>
        <v/>
      </c>
      <c r="L561" s="2">
        <f>IF(B561="","",IFERROR(INT((MATCH(B561,Teknikere,0)-1)/18)+1,""))</f>
        <v/>
      </c>
      <c r="M561" s="2">
        <f>IF(OR(A561="",B561=""),"",B561&amp;"|"&amp;A561)</f>
        <v/>
      </c>
      <c r="N561" s="2">
        <f>IF(M561="","",SUMIFS(TF_Timer,TF_Nokkel,M561,TF_Akt,C561))</f>
        <v/>
      </c>
      <c r="O561" s="2">
        <f>IF(M561="","",IF(AND(N561=_xlfn.MAXIFS(TF_AktSum,TF_Nokkel,M561),COUNTIFS(M$3:M560,M561,N$3:N560,N561)=0),M561,""))</f>
        <v/>
      </c>
    </row>
    <row r="562">
      <c r="A562" s="34" t="n"/>
      <c r="B562" s="35" t="n"/>
      <c r="C562" s="35" t="n"/>
      <c r="D562" s="35" t="n"/>
      <c r="E562" s="35" t="n"/>
      <c r="F562" s="36" t="n"/>
      <c r="G562" s="35" t="n"/>
      <c r="H562" s="30">
        <f>IF(L562="","",INDEX(SkiftNavn,L562))</f>
        <v/>
      </c>
      <c r="I562" s="30">
        <f>IF(OR(A562="",L562=""),"",IF(MOD(A562-INDEX(SkiftStart,L562),Syklus)&lt;DagK,"Kveld",IF(MOD(A562-INDEX(SkiftStart,L562),Syklus)&lt;DagK+DagH,"Helg",IF(MOD(A562-INDEX(SkiftStart,L562),Syklus)&lt;DagK+DagH+DagD,"Dag","Fri"))))</f>
        <v/>
      </c>
      <c r="J562" s="30">
        <f>IF(I562="Fri","Ja","")</f>
        <v/>
      </c>
      <c r="K562" s="30">
        <f>IF(B562="","",IF(L562="","Ukjent tekniker",IF(ISNA(MATCH(C562,Aktiviteter,0)),"Ukjent aktivitet",IF(AND(INDEX(AktRolle,MATCH(C562,Aktiviteter,0))&amp;""&lt;&gt;"",ISERROR(SEARCH(INDEX(AktRolle,MATCH(C562,Aktiviteter,0))&amp;"",INDEX(TekRoller,MATCH(B562,Teknikere,0))))),"Mangler rollen "&amp;INDEX(AktRolle,MATCH(C562,Aktiviteter,0))&amp;"",IF(AND(C562="LMS",F562&gt;0,OR(D562="",E562="")),"Mangler maskin eller arbeid",IF(AND(OR(C562="LMS",C562="Mod"),D562&lt;&gt;""),IF(IFERROR(INDEX(MaskinStatus,MATCH(D562,Maskiner,0)),"")="I dokk","","Maskinen er ikke i dokk"),""))))))</f>
        <v/>
      </c>
      <c r="L562" s="2">
        <f>IF(B562="","",IFERROR(INT((MATCH(B562,Teknikere,0)-1)/18)+1,""))</f>
        <v/>
      </c>
      <c r="M562" s="2">
        <f>IF(OR(A562="",B562=""),"",B562&amp;"|"&amp;A562)</f>
        <v/>
      </c>
      <c r="N562" s="2">
        <f>IF(M562="","",SUMIFS(TF_Timer,TF_Nokkel,M562,TF_Akt,C562))</f>
        <v/>
      </c>
      <c r="O562" s="2">
        <f>IF(M562="","",IF(AND(N562=_xlfn.MAXIFS(TF_AktSum,TF_Nokkel,M562),COUNTIFS(M$3:M561,M562,N$3:N561,N562)=0),M562,""))</f>
        <v/>
      </c>
    </row>
    <row r="563">
      <c r="A563" s="34" t="n"/>
      <c r="B563" s="35" t="n"/>
      <c r="C563" s="35" t="n"/>
      <c r="D563" s="35" t="n"/>
      <c r="E563" s="35" t="n"/>
      <c r="F563" s="36" t="n"/>
      <c r="G563" s="35" t="n"/>
      <c r="H563" s="30">
        <f>IF(L563="","",INDEX(SkiftNavn,L563))</f>
        <v/>
      </c>
      <c r="I563" s="30">
        <f>IF(OR(A563="",L563=""),"",IF(MOD(A563-INDEX(SkiftStart,L563),Syklus)&lt;DagK,"Kveld",IF(MOD(A563-INDEX(SkiftStart,L563),Syklus)&lt;DagK+DagH,"Helg",IF(MOD(A563-INDEX(SkiftStart,L563),Syklus)&lt;DagK+DagH+DagD,"Dag","Fri"))))</f>
        <v/>
      </c>
      <c r="J563" s="30">
        <f>IF(I563="Fri","Ja","")</f>
        <v/>
      </c>
      <c r="K563" s="30">
        <f>IF(B563="","",IF(L563="","Ukjent tekniker",IF(ISNA(MATCH(C563,Aktiviteter,0)),"Ukjent aktivitet",IF(AND(INDEX(AktRolle,MATCH(C563,Aktiviteter,0))&amp;""&lt;&gt;"",ISERROR(SEARCH(INDEX(AktRolle,MATCH(C563,Aktiviteter,0))&amp;"",INDEX(TekRoller,MATCH(B563,Teknikere,0))))),"Mangler rollen "&amp;INDEX(AktRolle,MATCH(C563,Aktiviteter,0))&amp;"",IF(AND(C563="LMS",F563&gt;0,OR(D563="",E563="")),"Mangler maskin eller arbeid",IF(AND(OR(C563="LMS",C563="Mod"),D563&lt;&gt;""),IF(IFERROR(INDEX(MaskinStatus,MATCH(D563,Maskiner,0)),"")="I dokk","","Maskinen er ikke i dokk"),""))))))</f>
        <v/>
      </c>
      <c r="L563" s="2">
        <f>IF(B563="","",IFERROR(INT((MATCH(B563,Teknikere,0)-1)/18)+1,""))</f>
        <v/>
      </c>
      <c r="M563" s="2">
        <f>IF(OR(A563="",B563=""),"",B563&amp;"|"&amp;A563)</f>
        <v/>
      </c>
      <c r="N563" s="2">
        <f>IF(M563="","",SUMIFS(TF_Timer,TF_Nokkel,M563,TF_Akt,C563))</f>
        <v/>
      </c>
      <c r="O563" s="2">
        <f>IF(M563="","",IF(AND(N563=_xlfn.MAXIFS(TF_AktSum,TF_Nokkel,M563),COUNTIFS(M$3:M562,M563,N$3:N562,N563)=0),M563,""))</f>
        <v/>
      </c>
    </row>
    <row r="564">
      <c r="A564" s="34" t="n"/>
      <c r="B564" s="35" t="n"/>
      <c r="C564" s="35" t="n"/>
      <c r="D564" s="35" t="n"/>
      <c r="E564" s="35" t="n"/>
      <c r="F564" s="36" t="n"/>
      <c r="G564" s="35" t="n"/>
      <c r="H564" s="30">
        <f>IF(L564="","",INDEX(SkiftNavn,L564))</f>
        <v/>
      </c>
      <c r="I564" s="30">
        <f>IF(OR(A564="",L564=""),"",IF(MOD(A564-INDEX(SkiftStart,L564),Syklus)&lt;DagK,"Kveld",IF(MOD(A564-INDEX(SkiftStart,L564),Syklus)&lt;DagK+DagH,"Helg",IF(MOD(A564-INDEX(SkiftStart,L564),Syklus)&lt;DagK+DagH+DagD,"Dag","Fri"))))</f>
        <v/>
      </c>
      <c r="J564" s="30">
        <f>IF(I564="Fri","Ja","")</f>
        <v/>
      </c>
      <c r="K564" s="30">
        <f>IF(B564="","",IF(L564="","Ukjent tekniker",IF(ISNA(MATCH(C564,Aktiviteter,0)),"Ukjent aktivitet",IF(AND(INDEX(AktRolle,MATCH(C564,Aktiviteter,0))&amp;""&lt;&gt;"",ISERROR(SEARCH(INDEX(AktRolle,MATCH(C564,Aktiviteter,0))&amp;"",INDEX(TekRoller,MATCH(B564,Teknikere,0))))),"Mangler rollen "&amp;INDEX(AktRolle,MATCH(C564,Aktiviteter,0))&amp;"",IF(AND(C564="LMS",F564&gt;0,OR(D564="",E564="")),"Mangler maskin eller arbeid",IF(AND(OR(C564="LMS",C564="Mod"),D564&lt;&gt;""),IF(IFERROR(INDEX(MaskinStatus,MATCH(D564,Maskiner,0)),"")="I dokk","","Maskinen er ikke i dokk"),""))))))</f>
        <v/>
      </c>
      <c r="L564" s="2">
        <f>IF(B564="","",IFERROR(INT((MATCH(B564,Teknikere,0)-1)/18)+1,""))</f>
        <v/>
      </c>
      <c r="M564" s="2">
        <f>IF(OR(A564="",B564=""),"",B564&amp;"|"&amp;A564)</f>
        <v/>
      </c>
      <c r="N564" s="2">
        <f>IF(M564="","",SUMIFS(TF_Timer,TF_Nokkel,M564,TF_Akt,C564))</f>
        <v/>
      </c>
      <c r="O564" s="2">
        <f>IF(M564="","",IF(AND(N564=_xlfn.MAXIFS(TF_AktSum,TF_Nokkel,M564),COUNTIFS(M$3:M563,M564,N$3:N563,N564)=0),M564,""))</f>
        <v/>
      </c>
    </row>
    <row r="565">
      <c r="A565" s="34" t="n"/>
      <c r="B565" s="35" t="n"/>
      <c r="C565" s="35" t="n"/>
      <c r="D565" s="35" t="n"/>
      <c r="E565" s="35" t="n"/>
      <c r="F565" s="36" t="n"/>
      <c r="G565" s="35" t="n"/>
      <c r="H565" s="30">
        <f>IF(L565="","",INDEX(SkiftNavn,L565))</f>
        <v/>
      </c>
      <c r="I565" s="30">
        <f>IF(OR(A565="",L565=""),"",IF(MOD(A565-INDEX(SkiftStart,L565),Syklus)&lt;DagK,"Kveld",IF(MOD(A565-INDEX(SkiftStart,L565),Syklus)&lt;DagK+DagH,"Helg",IF(MOD(A565-INDEX(SkiftStart,L565),Syklus)&lt;DagK+DagH+DagD,"Dag","Fri"))))</f>
        <v/>
      </c>
      <c r="J565" s="30">
        <f>IF(I565="Fri","Ja","")</f>
        <v/>
      </c>
      <c r="K565" s="30">
        <f>IF(B565="","",IF(L565="","Ukjent tekniker",IF(ISNA(MATCH(C565,Aktiviteter,0)),"Ukjent aktivitet",IF(AND(INDEX(AktRolle,MATCH(C565,Aktiviteter,0))&amp;""&lt;&gt;"",ISERROR(SEARCH(INDEX(AktRolle,MATCH(C565,Aktiviteter,0))&amp;"",INDEX(TekRoller,MATCH(B565,Teknikere,0))))),"Mangler rollen "&amp;INDEX(AktRolle,MATCH(C565,Aktiviteter,0))&amp;"",IF(AND(C565="LMS",F565&gt;0,OR(D565="",E565="")),"Mangler maskin eller arbeid",IF(AND(OR(C565="LMS",C565="Mod"),D565&lt;&gt;""),IF(IFERROR(INDEX(MaskinStatus,MATCH(D565,Maskiner,0)),"")="I dokk","","Maskinen er ikke i dokk"),""))))))</f>
        <v/>
      </c>
      <c r="L565" s="2">
        <f>IF(B565="","",IFERROR(INT((MATCH(B565,Teknikere,0)-1)/18)+1,""))</f>
        <v/>
      </c>
      <c r="M565" s="2">
        <f>IF(OR(A565="",B565=""),"",B565&amp;"|"&amp;A565)</f>
        <v/>
      </c>
      <c r="N565" s="2">
        <f>IF(M565="","",SUMIFS(TF_Timer,TF_Nokkel,M565,TF_Akt,C565))</f>
        <v/>
      </c>
      <c r="O565" s="2">
        <f>IF(M565="","",IF(AND(N565=_xlfn.MAXIFS(TF_AktSum,TF_Nokkel,M565),COUNTIFS(M$3:M564,M565,N$3:N564,N565)=0),M565,""))</f>
        <v/>
      </c>
    </row>
    <row r="566">
      <c r="A566" s="34" t="n"/>
      <c r="B566" s="35" t="n"/>
      <c r="C566" s="35" t="n"/>
      <c r="D566" s="35" t="n"/>
      <c r="E566" s="35" t="n"/>
      <c r="F566" s="36" t="n"/>
      <c r="G566" s="35" t="n"/>
      <c r="H566" s="30">
        <f>IF(L566="","",INDEX(SkiftNavn,L566))</f>
        <v/>
      </c>
      <c r="I566" s="30">
        <f>IF(OR(A566="",L566=""),"",IF(MOD(A566-INDEX(SkiftStart,L566),Syklus)&lt;DagK,"Kveld",IF(MOD(A566-INDEX(SkiftStart,L566),Syklus)&lt;DagK+DagH,"Helg",IF(MOD(A566-INDEX(SkiftStart,L566),Syklus)&lt;DagK+DagH+DagD,"Dag","Fri"))))</f>
        <v/>
      </c>
      <c r="J566" s="30">
        <f>IF(I566="Fri","Ja","")</f>
        <v/>
      </c>
      <c r="K566" s="30">
        <f>IF(B566="","",IF(L566="","Ukjent tekniker",IF(ISNA(MATCH(C566,Aktiviteter,0)),"Ukjent aktivitet",IF(AND(INDEX(AktRolle,MATCH(C566,Aktiviteter,0))&amp;""&lt;&gt;"",ISERROR(SEARCH(INDEX(AktRolle,MATCH(C566,Aktiviteter,0))&amp;"",INDEX(TekRoller,MATCH(B566,Teknikere,0))))),"Mangler rollen "&amp;INDEX(AktRolle,MATCH(C566,Aktiviteter,0))&amp;"",IF(AND(C566="LMS",F566&gt;0,OR(D566="",E566="")),"Mangler maskin eller arbeid",IF(AND(OR(C566="LMS",C566="Mod"),D566&lt;&gt;""),IF(IFERROR(INDEX(MaskinStatus,MATCH(D566,Maskiner,0)),"")="I dokk","","Maskinen er ikke i dokk"),""))))))</f>
        <v/>
      </c>
      <c r="L566" s="2">
        <f>IF(B566="","",IFERROR(INT((MATCH(B566,Teknikere,0)-1)/18)+1,""))</f>
        <v/>
      </c>
      <c r="M566" s="2">
        <f>IF(OR(A566="",B566=""),"",B566&amp;"|"&amp;A566)</f>
        <v/>
      </c>
      <c r="N566" s="2">
        <f>IF(M566="","",SUMIFS(TF_Timer,TF_Nokkel,M566,TF_Akt,C566))</f>
        <v/>
      </c>
      <c r="O566" s="2">
        <f>IF(M566="","",IF(AND(N566=_xlfn.MAXIFS(TF_AktSum,TF_Nokkel,M566),COUNTIFS(M$3:M565,M566,N$3:N565,N566)=0),M566,""))</f>
        <v/>
      </c>
    </row>
    <row r="567">
      <c r="A567" s="34" t="n"/>
      <c r="B567" s="35" t="n"/>
      <c r="C567" s="35" t="n"/>
      <c r="D567" s="35" t="n"/>
      <c r="E567" s="35" t="n"/>
      <c r="F567" s="36" t="n"/>
      <c r="G567" s="35" t="n"/>
      <c r="H567" s="30">
        <f>IF(L567="","",INDEX(SkiftNavn,L567))</f>
        <v/>
      </c>
      <c r="I567" s="30">
        <f>IF(OR(A567="",L567=""),"",IF(MOD(A567-INDEX(SkiftStart,L567),Syklus)&lt;DagK,"Kveld",IF(MOD(A567-INDEX(SkiftStart,L567),Syklus)&lt;DagK+DagH,"Helg",IF(MOD(A567-INDEX(SkiftStart,L567),Syklus)&lt;DagK+DagH+DagD,"Dag","Fri"))))</f>
        <v/>
      </c>
      <c r="J567" s="30">
        <f>IF(I567="Fri","Ja","")</f>
        <v/>
      </c>
      <c r="K567" s="30">
        <f>IF(B567="","",IF(L567="","Ukjent tekniker",IF(ISNA(MATCH(C567,Aktiviteter,0)),"Ukjent aktivitet",IF(AND(INDEX(AktRolle,MATCH(C567,Aktiviteter,0))&amp;""&lt;&gt;"",ISERROR(SEARCH(INDEX(AktRolle,MATCH(C567,Aktiviteter,0))&amp;"",INDEX(TekRoller,MATCH(B567,Teknikere,0))))),"Mangler rollen "&amp;INDEX(AktRolle,MATCH(C567,Aktiviteter,0))&amp;"",IF(AND(C567="LMS",F567&gt;0,OR(D567="",E567="")),"Mangler maskin eller arbeid",IF(AND(OR(C567="LMS",C567="Mod"),D567&lt;&gt;""),IF(IFERROR(INDEX(MaskinStatus,MATCH(D567,Maskiner,0)),"")="I dokk","","Maskinen er ikke i dokk"),""))))))</f>
        <v/>
      </c>
      <c r="L567" s="2">
        <f>IF(B567="","",IFERROR(INT((MATCH(B567,Teknikere,0)-1)/18)+1,""))</f>
        <v/>
      </c>
      <c r="M567" s="2">
        <f>IF(OR(A567="",B567=""),"",B567&amp;"|"&amp;A567)</f>
        <v/>
      </c>
      <c r="N567" s="2">
        <f>IF(M567="","",SUMIFS(TF_Timer,TF_Nokkel,M567,TF_Akt,C567))</f>
        <v/>
      </c>
      <c r="O567" s="2">
        <f>IF(M567="","",IF(AND(N567=_xlfn.MAXIFS(TF_AktSum,TF_Nokkel,M567),COUNTIFS(M$3:M566,M567,N$3:N566,N567)=0),M567,""))</f>
        <v/>
      </c>
    </row>
    <row r="568">
      <c r="A568" s="34" t="n"/>
      <c r="B568" s="35" t="n"/>
      <c r="C568" s="35" t="n"/>
      <c r="D568" s="35" t="n"/>
      <c r="E568" s="35" t="n"/>
      <c r="F568" s="36" t="n"/>
      <c r="G568" s="35" t="n"/>
      <c r="H568" s="30">
        <f>IF(L568="","",INDEX(SkiftNavn,L568))</f>
        <v/>
      </c>
      <c r="I568" s="30">
        <f>IF(OR(A568="",L568=""),"",IF(MOD(A568-INDEX(SkiftStart,L568),Syklus)&lt;DagK,"Kveld",IF(MOD(A568-INDEX(SkiftStart,L568),Syklus)&lt;DagK+DagH,"Helg",IF(MOD(A568-INDEX(SkiftStart,L568),Syklus)&lt;DagK+DagH+DagD,"Dag","Fri"))))</f>
        <v/>
      </c>
      <c r="J568" s="30">
        <f>IF(I568="Fri","Ja","")</f>
        <v/>
      </c>
      <c r="K568" s="30">
        <f>IF(B568="","",IF(L568="","Ukjent tekniker",IF(ISNA(MATCH(C568,Aktiviteter,0)),"Ukjent aktivitet",IF(AND(INDEX(AktRolle,MATCH(C568,Aktiviteter,0))&amp;""&lt;&gt;"",ISERROR(SEARCH(INDEX(AktRolle,MATCH(C568,Aktiviteter,0))&amp;"",INDEX(TekRoller,MATCH(B568,Teknikere,0))))),"Mangler rollen "&amp;INDEX(AktRolle,MATCH(C568,Aktiviteter,0))&amp;"",IF(AND(C568="LMS",F568&gt;0,OR(D568="",E568="")),"Mangler maskin eller arbeid",IF(AND(OR(C568="LMS",C568="Mod"),D568&lt;&gt;""),IF(IFERROR(INDEX(MaskinStatus,MATCH(D568,Maskiner,0)),"")="I dokk","","Maskinen er ikke i dokk"),""))))))</f>
        <v/>
      </c>
      <c r="L568" s="2">
        <f>IF(B568="","",IFERROR(INT((MATCH(B568,Teknikere,0)-1)/18)+1,""))</f>
        <v/>
      </c>
      <c r="M568" s="2">
        <f>IF(OR(A568="",B568=""),"",B568&amp;"|"&amp;A568)</f>
        <v/>
      </c>
      <c r="N568" s="2">
        <f>IF(M568="","",SUMIFS(TF_Timer,TF_Nokkel,M568,TF_Akt,C568))</f>
        <v/>
      </c>
      <c r="O568" s="2">
        <f>IF(M568="","",IF(AND(N568=_xlfn.MAXIFS(TF_AktSum,TF_Nokkel,M568),COUNTIFS(M$3:M567,M568,N$3:N567,N568)=0),M568,""))</f>
        <v/>
      </c>
    </row>
    <row r="569">
      <c r="A569" s="34" t="n"/>
      <c r="B569" s="35" t="n"/>
      <c r="C569" s="35" t="n"/>
      <c r="D569" s="35" t="n"/>
      <c r="E569" s="35" t="n"/>
      <c r="F569" s="36" t="n"/>
      <c r="G569" s="35" t="n"/>
      <c r="H569" s="30">
        <f>IF(L569="","",INDEX(SkiftNavn,L569))</f>
        <v/>
      </c>
      <c r="I569" s="30">
        <f>IF(OR(A569="",L569=""),"",IF(MOD(A569-INDEX(SkiftStart,L569),Syklus)&lt;DagK,"Kveld",IF(MOD(A569-INDEX(SkiftStart,L569),Syklus)&lt;DagK+DagH,"Helg",IF(MOD(A569-INDEX(SkiftStart,L569),Syklus)&lt;DagK+DagH+DagD,"Dag","Fri"))))</f>
        <v/>
      </c>
      <c r="J569" s="30">
        <f>IF(I569="Fri","Ja","")</f>
        <v/>
      </c>
      <c r="K569" s="30">
        <f>IF(B569="","",IF(L569="","Ukjent tekniker",IF(ISNA(MATCH(C569,Aktiviteter,0)),"Ukjent aktivitet",IF(AND(INDEX(AktRolle,MATCH(C569,Aktiviteter,0))&amp;""&lt;&gt;"",ISERROR(SEARCH(INDEX(AktRolle,MATCH(C569,Aktiviteter,0))&amp;"",INDEX(TekRoller,MATCH(B569,Teknikere,0))))),"Mangler rollen "&amp;INDEX(AktRolle,MATCH(C569,Aktiviteter,0))&amp;"",IF(AND(C569="LMS",F569&gt;0,OR(D569="",E569="")),"Mangler maskin eller arbeid",IF(AND(OR(C569="LMS",C569="Mod"),D569&lt;&gt;""),IF(IFERROR(INDEX(MaskinStatus,MATCH(D569,Maskiner,0)),"")="I dokk","","Maskinen er ikke i dokk"),""))))))</f>
        <v/>
      </c>
      <c r="L569" s="2">
        <f>IF(B569="","",IFERROR(INT((MATCH(B569,Teknikere,0)-1)/18)+1,""))</f>
        <v/>
      </c>
      <c r="M569" s="2">
        <f>IF(OR(A569="",B569=""),"",B569&amp;"|"&amp;A569)</f>
        <v/>
      </c>
      <c r="N569" s="2">
        <f>IF(M569="","",SUMIFS(TF_Timer,TF_Nokkel,M569,TF_Akt,C569))</f>
        <v/>
      </c>
      <c r="O569" s="2">
        <f>IF(M569="","",IF(AND(N569=_xlfn.MAXIFS(TF_AktSum,TF_Nokkel,M569),COUNTIFS(M$3:M568,M569,N$3:N568,N569)=0),M569,""))</f>
        <v/>
      </c>
    </row>
    <row r="570">
      <c r="A570" s="34" t="n"/>
      <c r="B570" s="35" t="n"/>
      <c r="C570" s="35" t="n"/>
      <c r="D570" s="35" t="n"/>
      <c r="E570" s="35" t="n"/>
      <c r="F570" s="36" t="n"/>
      <c r="G570" s="35" t="n"/>
      <c r="H570" s="30">
        <f>IF(L570="","",INDEX(SkiftNavn,L570))</f>
        <v/>
      </c>
      <c r="I570" s="30">
        <f>IF(OR(A570="",L570=""),"",IF(MOD(A570-INDEX(SkiftStart,L570),Syklus)&lt;DagK,"Kveld",IF(MOD(A570-INDEX(SkiftStart,L570),Syklus)&lt;DagK+DagH,"Helg",IF(MOD(A570-INDEX(SkiftStart,L570),Syklus)&lt;DagK+DagH+DagD,"Dag","Fri"))))</f>
        <v/>
      </c>
      <c r="J570" s="30">
        <f>IF(I570="Fri","Ja","")</f>
        <v/>
      </c>
      <c r="K570" s="30">
        <f>IF(B570="","",IF(L570="","Ukjent tekniker",IF(ISNA(MATCH(C570,Aktiviteter,0)),"Ukjent aktivitet",IF(AND(INDEX(AktRolle,MATCH(C570,Aktiviteter,0))&amp;""&lt;&gt;"",ISERROR(SEARCH(INDEX(AktRolle,MATCH(C570,Aktiviteter,0))&amp;"",INDEX(TekRoller,MATCH(B570,Teknikere,0))))),"Mangler rollen "&amp;INDEX(AktRolle,MATCH(C570,Aktiviteter,0))&amp;"",IF(AND(C570="LMS",F570&gt;0,OR(D570="",E570="")),"Mangler maskin eller arbeid",IF(AND(OR(C570="LMS",C570="Mod"),D570&lt;&gt;""),IF(IFERROR(INDEX(MaskinStatus,MATCH(D570,Maskiner,0)),"")="I dokk","","Maskinen er ikke i dokk"),""))))))</f>
        <v/>
      </c>
      <c r="L570" s="2">
        <f>IF(B570="","",IFERROR(INT((MATCH(B570,Teknikere,0)-1)/18)+1,""))</f>
        <v/>
      </c>
      <c r="M570" s="2">
        <f>IF(OR(A570="",B570=""),"",B570&amp;"|"&amp;A570)</f>
        <v/>
      </c>
      <c r="N570" s="2">
        <f>IF(M570="","",SUMIFS(TF_Timer,TF_Nokkel,M570,TF_Akt,C570))</f>
        <v/>
      </c>
      <c r="O570" s="2">
        <f>IF(M570="","",IF(AND(N570=_xlfn.MAXIFS(TF_AktSum,TF_Nokkel,M570),COUNTIFS(M$3:M569,M570,N$3:N569,N570)=0),M570,""))</f>
        <v/>
      </c>
    </row>
    <row r="571">
      <c r="A571" s="34" t="n"/>
      <c r="B571" s="35" t="n"/>
      <c r="C571" s="35" t="n"/>
      <c r="D571" s="35" t="n"/>
      <c r="E571" s="35" t="n"/>
      <c r="F571" s="36" t="n"/>
      <c r="G571" s="35" t="n"/>
      <c r="H571" s="30">
        <f>IF(L571="","",INDEX(SkiftNavn,L571))</f>
        <v/>
      </c>
      <c r="I571" s="30">
        <f>IF(OR(A571="",L571=""),"",IF(MOD(A571-INDEX(SkiftStart,L571),Syklus)&lt;DagK,"Kveld",IF(MOD(A571-INDEX(SkiftStart,L571),Syklus)&lt;DagK+DagH,"Helg",IF(MOD(A571-INDEX(SkiftStart,L571),Syklus)&lt;DagK+DagH+DagD,"Dag","Fri"))))</f>
        <v/>
      </c>
      <c r="J571" s="30">
        <f>IF(I571="Fri","Ja","")</f>
        <v/>
      </c>
      <c r="K571" s="30">
        <f>IF(B571="","",IF(L571="","Ukjent tekniker",IF(ISNA(MATCH(C571,Aktiviteter,0)),"Ukjent aktivitet",IF(AND(INDEX(AktRolle,MATCH(C571,Aktiviteter,0))&amp;""&lt;&gt;"",ISERROR(SEARCH(INDEX(AktRolle,MATCH(C571,Aktiviteter,0))&amp;"",INDEX(TekRoller,MATCH(B571,Teknikere,0))))),"Mangler rollen "&amp;INDEX(AktRolle,MATCH(C571,Aktiviteter,0))&amp;"",IF(AND(C571="LMS",F571&gt;0,OR(D571="",E571="")),"Mangler maskin eller arbeid",IF(AND(OR(C571="LMS",C571="Mod"),D571&lt;&gt;""),IF(IFERROR(INDEX(MaskinStatus,MATCH(D571,Maskiner,0)),"")="I dokk","","Maskinen er ikke i dokk"),""))))))</f>
        <v/>
      </c>
      <c r="L571" s="2">
        <f>IF(B571="","",IFERROR(INT((MATCH(B571,Teknikere,0)-1)/18)+1,""))</f>
        <v/>
      </c>
      <c r="M571" s="2">
        <f>IF(OR(A571="",B571=""),"",B571&amp;"|"&amp;A571)</f>
        <v/>
      </c>
      <c r="N571" s="2">
        <f>IF(M571="","",SUMIFS(TF_Timer,TF_Nokkel,M571,TF_Akt,C571))</f>
        <v/>
      </c>
      <c r="O571" s="2">
        <f>IF(M571="","",IF(AND(N571=_xlfn.MAXIFS(TF_AktSum,TF_Nokkel,M571),COUNTIFS(M$3:M570,M571,N$3:N570,N571)=0),M571,""))</f>
        <v/>
      </c>
    </row>
    <row r="572">
      <c r="A572" s="34" t="n"/>
      <c r="B572" s="35" t="n"/>
      <c r="C572" s="35" t="n"/>
      <c r="D572" s="35" t="n"/>
      <c r="E572" s="35" t="n"/>
      <c r="F572" s="36" t="n"/>
      <c r="G572" s="35" t="n"/>
      <c r="H572" s="30">
        <f>IF(L572="","",INDEX(SkiftNavn,L572))</f>
        <v/>
      </c>
      <c r="I572" s="30">
        <f>IF(OR(A572="",L572=""),"",IF(MOD(A572-INDEX(SkiftStart,L572),Syklus)&lt;DagK,"Kveld",IF(MOD(A572-INDEX(SkiftStart,L572),Syklus)&lt;DagK+DagH,"Helg",IF(MOD(A572-INDEX(SkiftStart,L572),Syklus)&lt;DagK+DagH+DagD,"Dag","Fri"))))</f>
        <v/>
      </c>
      <c r="J572" s="30">
        <f>IF(I572="Fri","Ja","")</f>
        <v/>
      </c>
      <c r="K572" s="30">
        <f>IF(B572="","",IF(L572="","Ukjent tekniker",IF(ISNA(MATCH(C572,Aktiviteter,0)),"Ukjent aktivitet",IF(AND(INDEX(AktRolle,MATCH(C572,Aktiviteter,0))&amp;""&lt;&gt;"",ISERROR(SEARCH(INDEX(AktRolle,MATCH(C572,Aktiviteter,0))&amp;"",INDEX(TekRoller,MATCH(B572,Teknikere,0))))),"Mangler rollen "&amp;INDEX(AktRolle,MATCH(C572,Aktiviteter,0))&amp;"",IF(AND(C572="LMS",F572&gt;0,OR(D572="",E572="")),"Mangler maskin eller arbeid",IF(AND(OR(C572="LMS",C572="Mod"),D572&lt;&gt;""),IF(IFERROR(INDEX(MaskinStatus,MATCH(D572,Maskiner,0)),"")="I dokk","","Maskinen er ikke i dokk"),""))))))</f>
        <v/>
      </c>
      <c r="L572" s="2">
        <f>IF(B572="","",IFERROR(INT((MATCH(B572,Teknikere,0)-1)/18)+1,""))</f>
        <v/>
      </c>
      <c r="M572" s="2">
        <f>IF(OR(A572="",B572=""),"",B572&amp;"|"&amp;A572)</f>
        <v/>
      </c>
      <c r="N572" s="2">
        <f>IF(M572="","",SUMIFS(TF_Timer,TF_Nokkel,M572,TF_Akt,C572))</f>
        <v/>
      </c>
      <c r="O572" s="2">
        <f>IF(M572="","",IF(AND(N572=_xlfn.MAXIFS(TF_AktSum,TF_Nokkel,M572),COUNTIFS(M$3:M571,M572,N$3:N571,N572)=0),M572,""))</f>
        <v/>
      </c>
    </row>
    <row r="573">
      <c r="A573" s="34" t="n"/>
      <c r="B573" s="35" t="n"/>
      <c r="C573" s="35" t="n"/>
      <c r="D573" s="35" t="n"/>
      <c r="E573" s="35" t="n"/>
      <c r="F573" s="36" t="n"/>
      <c r="G573" s="35" t="n"/>
      <c r="H573" s="30">
        <f>IF(L573="","",INDEX(SkiftNavn,L573))</f>
        <v/>
      </c>
      <c r="I573" s="30">
        <f>IF(OR(A573="",L573=""),"",IF(MOD(A573-INDEX(SkiftStart,L573),Syklus)&lt;DagK,"Kveld",IF(MOD(A573-INDEX(SkiftStart,L573),Syklus)&lt;DagK+DagH,"Helg",IF(MOD(A573-INDEX(SkiftStart,L573),Syklus)&lt;DagK+DagH+DagD,"Dag","Fri"))))</f>
        <v/>
      </c>
      <c r="J573" s="30">
        <f>IF(I573="Fri","Ja","")</f>
        <v/>
      </c>
      <c r="K573" s="30">
        <f>IF(B573="","",IF(L573="","Ukjent tekniker",IF(ISNA(MATCH(C573,Aktiviteter,0)),"Ukjent aktivitet",IF(AND(INDEX(AktRolle,MATCH(C573,Aktiviteter,0))&amp;""&lt;&gt;"",ISERROR(SEARCH(INDEX(AktRolle,MATCH(C573,Aktiviteter,0))&amp;"",INDEX(TekRoller,MATCH(B573,Teknikere,0))))),"Mangler rollen "&amp;INDEX(AktRolle,MATCH(C573,Aktiviteter,0))&amp;"",IF(AND(C573="LMS",F573&gt;0,OR(D573="",E573="")),"Mangler maskin eller arbeid",IF(AND(OR(C573="LMS",C573="Mod"),D573&lt;&gt;""),IF(IFERROR(INDEX(MaskinStatus,MATCH(D573,Maskiner,0)),"")="I dokk","","Maskinen er ikke i dokk"),""))))))</f>
        <v/>
      </c>
      <c r="L573" s="2">
        <f>IF(B573="","",IFERROR(INT((MATCH(B573,Teknikere,0)-1)/18)+1,""))</f>
        <v/>
      </c>
      <c r="M573" s="2">
        <f>IF(OR(A573="",B573=""),"",B573&amp;"|"&amp;A573)</f>
        <v/>
      </c>
      <c r="N573" s="2">
        <f>IF(M573="","",SUMIFS(TF_Timer,TF_Nokkel,M573,TF_Akt,C573))</f>
        <v/>
      </c>
      <c r="O573" s="2">
        <f>IF(M573="","",IF(AND(N573=_xlfn.MAXIFS(TF_AktSum,TF_Nokkel,M573),COUNTIFS(M$3:M572,M573,N$3:N572,N573)=0),M573,""))</f>
        <v/>
      </c>
    </row>
    <row r="574">
      <c r="A574" s="34" t="n"/>
      <c r="B574" s="35" t="n"/>
      <c r="C574" s="35" t="n"/>
      <c r="D574" s="35" t="n"/>
      <c r="E574" s="35" t="n"/>
      <c r="F574" s="36" t="n"/>
      <c r="G574" s="35" t="n"/>
      <c r="H574" s="30">
        <f>IF(L574="","",INDEX(SkiftNavn,L574))</f>
        <v/>
      </c>
      <c r="I574" s="30">
        <f>IF(OR(A574="",L574=""),"",IF(MOD(A574-INDEX(SkiftStart,L574),Syklus)&lt;DagK,"Kveld",IF(MOD(A574-INDEX(SkiftStart,L574),Syklus)&lt;DagK+DagH,"Helg",IF(MOD(A574-INDEX(SkiftStart,L574),Syklus)&lt;DagK+DagH+DagD,"Dag","Fri"))))</f>
        <v/>
      </c>
      <c r="J574" s="30">
        <f>IF(I574="Fri","Ja","")</f>
        <v/>
      </c>
      <c r="K574" s="30">
        <f>IF(B574="","",IF(L574="","Ukjent tekniker",IF(ISNA(MATCH(C574,Aktiviteter,0)),"Ukjent aktivitet",IF(AND(INDEX(AktRolle,MATCH(C574,Aktiviteter,0))&amp;""&lt;&gt;"",ISERROR(SEARCH(INDEX(AktRolle,MATCH(C574,Aktiviteter,0))&amp;"",INDEX(TekRoller,MATCH(B574,Teknikere,0))))),"Mangler rollen "&amp;INDEX(AktRolle,MATCH(C574,Aktiviteter,0))&amp;"",IF(AND(C574="LMS",F574&gt;0,OR(D574="",E574="")),"Mangler maskin eller arbeid",IF(AND(OR(C574="LMS",C574="Mod"),D574&lt;&gt;""),IF(IFERROR(INDEX(MaskinStatus,MATCH(D574,Maskiner,0)),"")="I dokk","","Maskinen er ikke i dokk"),""))))))</f>
        <v/>
      </c>
      <c r="L574" s="2">
        <f>IF(B574="","",IFERROR(INT((MATCH(B574,Teknikere,0)-1)/18)+1,""))</f>
        <v/>
      </c>
      <c r="M574" s="2">
        <f>IF(OR(A574="",B574=""),"",B574&amp;"|"&amp;A574)</f>
        <v/>
      </c>
      <c r="N574" s="2">
        <f>IF(M574="","",SUMIFS(TF_Timer,TF_Nokkel,M574,TF_Akt,C574))</f>
        <v/>
      </c>
      <c r="O574" s="2">
        <f>IF(M574="","",IF(AND(N574=_xlfn.MAXIFS(TF_AktSum,TF_Nokkel,M574),COUNTIFS(M$3:M573,M574,N$3:N573,N574)=0),M574,""))</f>
        <v/>
      </c>
    </row>
    <row r="575">
      <c r="A575" s="34" t="n"/>
      <c r="B575" s="35" t="n"/>
      <c r="C575" s="35" t="n"/>
      <c r="D575" s="35" t="n"/>
      <c r="E575" s="35" t="n"/>
      <c r="F575" s="36" t="n"/>
      <c r="G575" s="35" t="n"/>
      <c r="H575" s="30">
        <f>IF(L575="","",INDEX(SkiftNavn,L575))</f>
        <v/>
      </c>
      <c r="I575" s="30">
        <f>IF(OR(A575="",L575=""),"",IF(MOD(A575-INDEX(SkiftStart,L575),Syklus)&lt;DagK,"Kveld",IF(MOD(A575-INDEX(SkiftStart,L575),Syklus)&lt;DagK+DagH,"Helg",IF(MOD(A575-INDEX(SkiftStart,L575),Syklus)&lt;DagK+DagH+DagD,"Dag","Fri"))))</f>
        <v/>
      </c>
      <c r="J575" s="30">
        <f>IF(I575="Fri","Ja","")</f>
        <v/>
      </c>
      <c r="K575" s="30">
        <f>IF(B575="","",IF(L575="","Ukjent tekniker",IF(ISNA(MATCH(C575,Aktiviteter,0)),"Ukjent aktivitet",IF(AND(INDEX(AktRolle,MATCH(C575,Aktiviteter,0))&amp;""&lt;&gt;"",ISERROR(SEARCH(INDEX(AktRolle,MATCH(C575,Aktiviteter,0))&amp;"",INDEX(TekRoller,MATCH(B575,Teknikere,0))))),"Mangler rollen "&amp;INDEX(AktRolle,MATCH(C575,Aktiviteter,0))&amp;"",IF(AND(C575="LMS",F575&gt;0,OR(D575="",E575="")),"Mangler maskin eller arbeid",IF(AND(OR(C575="LMS",C575="Mod"),D575&lt;&gt;""),IF(IFERROR(INDEX(MaskinStatus,MATCH(D575,Maskiner,0)),"")="I dokk","","Maskinen er ikke i dokk"),""))))))</f>
        <v/>
      </c>
      <c r="L575" s="2">
        <f>IF(B575="","",IFERROR(INT((MATCH(B575,Teknikere,0)-1)/18)+1,""))</f>
        <v/>
      </c>
      <c r="M575" s="2">
        <f>IF(OR(A575="",B575=""),"",B575&amp;"|"&amp;A575)</f>
        <v/>
      </c>
      <c r="N575" s="2">
        <f>IF(M575="","",SUMIFS(TF_Timer,TF_Nokkel,M575,TF_Akt,C575))</f>
        <v/>
      </c>
      <c r="O575" s="2">
        <f>IF(M575="","",IF(AND(N575=_xlfn.MAXIFS(TF_AktSum,TF_Nokkel,M575),COUNTIFS(M$3:M574,M575,N$3:N574,N575)=0),M575,""))</f>
        <v/>
      </c>
    </row>
    <row r="576">
      <c r="A576" s="34" t="n"/>
      <c r="B576" s="35" t="n"/>
      <c r="C576" s="35" t="n"/>
      <c r="D576" s="35" t="n"/>
      <c r="E576" s="35" t="n"/>
      <c r="F576" s="36" t="n"/>
      <c r="G576" s="35" t="n"/>
      <c r="H576" s="30">
        <f>IF(L576="","",INDEX(SkiftNavn,L576))</f>
        <v/>
      </c>
      <c r="I576" s="30">
        <f>IF(OR(A576="",L576=""),"",IF(MOD(A576-INDEX(SkiftStart,L576),Syklus)&lt;DagK,"Kveld",IF(MOD(A576-INDEX(SkiftStart,L576),Syklus)&lt;DagK+DagH,"Helg",IF(MOD(A576-INDEX(SkiftStart,L576),Syklus)&lt;DagK+DagH+DagD,"Dag","Fri"))))</f>
        <v/>
      </c>
      <c r="J576" s="30">
        <f>IF(I576="Fri","Ja","")</f>
        <v/>
      </c>
      <c r="K576" s="30">
        <f>IF(B576="","",IF(L576="","Ukjent tekniker",IF(ISNA(MATCH(C576,Aktiviteter,0)),"Ukjent aktivitet",IF(AND(INDEX(AktRolle,MATCH(C576,Aktiviteter,0))&amp;""&lt;&gt;"",ISERROR(SEARCH(INDEX(AktRolle,MATCH(C576,Aktiviteter,0))&amp;"",INDEX(TekRoller,MATCH(B576,Teknikere,0))))),"Mangler rollen "&amp;INDEX(AktRolle,MATCH(C576,Aktiviteter,0))&amp;"",IF(AND(C576="LMS",F576&gt;0,OR(D576="",E576="")),"Mangler maskin eller arbeid",IF(AND(OR(C576="LMS",C576="Mod"),D576&lt;&gt;""),IF(IFERROR(INDEX(MaskinStatus,MATCH(D576,Maskiner,0)),"")="I dokk","","Maskinen er ikke i dokk"),""))))))</f>
        <v/>
      </c>
      <c r="L576" s="2">
        <f>IF(B576="","",IFERROR(INT((MATCH(B576,Teknikere,0)-1)/18)+1,""))</f>
        <v/>
      </c>
      <c r="M576" s="2">
        <f>IF(OR(A576="",B576=""),"",B576&amp;"|"&amp;A576)</f>
        <v/>
      </c>
      <c r="N576" s="2">
        <f>IF(M576="","",SUMIFS(TF_Timer,TF_Nokkel,M576,TF_Akt,C576))</f>
        <v/>
      </c>
      <c r="O576" s="2">
        <f>IF(M576="","",IF(AND(N576=_xlfn.MAXIFS(TF_AktSum,TF_Nokkel,M576),COUNTIFS(M$3:M575,M576,N$3:N575,N576)=0),M576,""))</f>
        <v/>
      </c>
    </row>
    <row r="577">
      <c r="A577" s="34" t="n"/>
      <c r="B577" s="35" t="n"/>
      <c r="C577" s="35" t="n"/>
      <c r="D577" s="35" t="n"/>
      <c r="E577" s="35" t="n"/>
      <c r="F577" s="36" t="n"/>
      <c r="G577" s="35" t="n"/>
      <c r="H577" s="30">
        <f>IF(L577="","",INDEX(SkiftNavn,L577))</f>
        <v/>
      </c>
      <c r="I577" s="30">
        <f>IF(OR(A577="",L577=""),"",IF(MOD(A577-INDEX(SkiftStart,L577),Syklus)&lt;DagK,"Kveld",IF(MOD(A577-INDEX(SkiftStart,L577),Syklus)&lt;DagK+DagH,"Helg",IF(MOD(A577-INDEX(SkiftStart,L577),Syklus)&lt;DagK+DagH+DagD,"Dag","Fri"))))</f>
        <v/>
      </c>
      <c r="J577" s="30">
        <f>IF(I577="Fri","Ja","")</f>
        <v/>
      </c>
      <c r="K577" s="30">
        <f>IF(B577="","",IF(L577="","Ukjent tekniker",IF(ISNA(MATCH(C577,Aktiviteter,0)),"Ukjent aktivitet",IF(AND(INDEX(AktRolle,MATCH(C577,Aktiviteter,0))&amp;""&lt;&gt;"",ISERROR(SEARCH(INDEX(AktRolle,MATCH(C577,Aktiviteter,0))&amp;"",INDEX(TekRoller,MATCH(B577,Teknikere,0))))),"Mangler rollen "&amp;INDEX(AktRolle,MATCH(C577,Aktiviteter,0))&amp;"",IF(AND(C577="LMS",F577&gt;0,OR(D577="",E577="")),"Mangler maskin eller arbeid",IF(AND(OR(C577="LMS",C577="Mod"),D577&lt;&gt;""),IF(IFERROR(INDEX(MaskinStatus,MATCH(D577,Maskiner,0)),"")="I dokk","","Maskinen er ikke i dokk"),""))))))</f>
        <v/>
      </c>
      <c r="L577" s="2">
        <f>IF(B577="","",IFERROR(INT((MATCH(B577,Teknikere,0)-1)/18)+1,""))</f>
        <v/>
      </c>
      <c r="M577" s="2">
        <f>IF(OR(A577="",B577=""),"",B577&amp;"|"&amp;A577)</f>
        <v/>
      </c>
      <c r="N577" s="2">
        <f>IF(M577="","",SUMIFS(TF_Timer,TF_Nokkel,M577,TF_Akt,C577))</f>
        <v/>
      </c>
      <c r="O577" s="2">
        <f>IF(M577="","",IF(AND(N577=_xlfn.MAXIFS(TF_AktSum,TF_Nokkel,M577),COUNTIFS(M$3:M576,M577,N$3:N576,N577)=0),M577,""))</f>
        <v/>
      </c>
    </row>
    <row r="578">
      <c r="A578" s="34" t="n"/>
      <c r="B578" s="35" t="n"/>
      <c r="C578" s="35" t="n"/>
      <c r="D578" s="35" t="n"/>
      <c r="E578" s="35" t="n"/>
      <c r="F578" s="36" t="n"/>
      <c r="G578" s="35" t="n"/>
      <c r="H578" s="30">
        <f>IF(L578="","",INDEX(SkiftNavn,L578))</f>
        <v/>
      </c>
      <c r="I578" s="30">
        <f>IF(OR(A578="",L578=""),"",IF(MOD(A578-INDEX(SkiftStart,L578),Syklus)&lt;DagK,"Kveld",IF(MOD(A578-INDEX(SkiftStart,L578),Syklus)&lt;DagK+DagH,"Helg",IF(MOD(A578-INDEX(SkiftStart,L578),Syklus)&lt;DagK+DagH+DagD,"Dag","Fri"))))</f>
        <v/>
      </c>
      <c r="J578" s="30">
        <f>IF(I578="Fri","Ja","")</f>
        <v/>
      </c>
      <c r="K578" s="30">
        <f>IF(B578="","",IF(L578="","Ukjent tekniker",IF(ISNA(MATCH(C578,Aktiviteter,0)),"Ukjent aktivitet",IF(AND(INDEX(AktRolle,MATCH(C578,Aktiviteter,0))&amp;""&lt;&gt;"",ISERROR(SEARCH(INDEX(AktRolle,MATCH(C578,Aktiviteter,0))&amp;"",INDEX(TekRoller,MATCH(B578,Teknikere,0))))),"Mangler rollen "&amp;INDEX(AktRolle,MATCH(C578,Aktiviteter,0))&amp;"",IF(AND(C578="LMS",F578&gt;0,OR(D578="",E578="")),"Mangler maskin eller arbeid",IF(AND(OR(C578="LMS",C578="Mod"),D578&lt;&gt;""),IF(IFERROR(INDEX(MaskinStatus,MATCH(D578,Maskiner,0)),"")="I dokk","","Maskinen er ikke i dokk"),""))))))</f>
        <v/>
      </c>
      <c r="L578" s="2">
        <f>IF(B578="","",IFERROR(INT((MATCH(B578,Teknikere,0)-1)/18)+1,""))</f>
        <v/>
      </c>
      <c r="M578" s="2">
        <f>IF(OR(A578="",B578=""),"",B578&amp;"|"&amp;A578)</f>
        <v/>
      </c>
      <c r="N578" s="2">
        <f>IF(M578="","",SUMIFS(TF_Timer,TF_Nokkel,M578,TF_Akt,C578))</f>
        <v/>
      </c>
      <c r="O578" s="2">
        <f>IF(M578="","",IF(AND(N578=_xlfn.MAXIFS(TF_AktSum,TF_Nokkel,M578),COUNTIFS(M$3:M577,M578,N$3:N577,N578)=0),M578,""))</f>
        <v/>
      </c>
    </row>
    <row r="579">
      <c r="A579" s="34" t="n"/>
      <c r="B579" s="35" t="n"/>
      <c r="C579" s="35" t="n"/>
      <c r="D579" s="35" t="n"/>
      <c r="E579" s="35" t="n"/>
      <c r="F579" s="36" t="n"/>
      <c r="G579" s="35" t="n"/>
      <c r="H579" s="30">
        <f>IF(L579="","",INDEX(SkiftNavn,L579))</f>
        <v/>
      </c>
      <c r="I579" s="30">
        <f>IF(OR(A579="",L579=""),"",IF(MOD(A579-INDEX(SkiftStart,L579),Syklus)&lt;DagK,"Kveld",IF(MOD(A579-INDEX(SkiftStart,L579),Syklus)&lt;DagK+DagH,"Helg",IF(MOD(A579-INDEX(SkiftStart,L579),Syklus)&lt;DagK+DagH+DagD,"Dag","Fri"))))</f>
        <v/>
      </c>
      <c r="J579" s="30">
        <f>IF(I579="Fri","Ja","")</f>
        <v/>
      </c>
      <c r="K579" s="30">
        <f>IF(B579="","",IF(L579="","Ukjent tekniker",IF(ISNA(MATCH(C579,Aktiviteter,0)),"Ukjent aktivitet",IF(AND(INDEX(AktRolle,MATCH(C579,Aktiviteter,0))&amp;""&lt;&gt;"",ISERROR(SEARCH(INDEX(AktRolle,MATCH(C579,Aktiviteter,0))&amp;"",INDEX(TekRoller,MATCH(B579,Teknikere,0))))),"Mangler rollen "&amp;INDEX(AktRolle,MATCH(C579,Aktiviteter,0))&amp;"",IF(AND(C579="LMS",F579&gt;0,OR(D579="",E579="")),"Mangler maskin eller arbeid",IF(AND(OR(C579="LMS",C579="Mod"),D579&lt;&gt;""),IF(IFERROR(INDEX(MaskinStatus,MATCH(D579,Maskiner,0)),"")="I dokk","","Maskinen er ikke i dokk"),""))))))</f>
        <v/>
      </c>
      <c r="L579" s="2">
        <f>IF(B579="","",IFERROR(INT((MATCH(B579,Teknikere,0)-1)/18)+1,""))</f>
        <v/>
      </c>
      <c r="M579" s="2">
        <f>IF(OR(A579="",B579=""),"",B579&amp;"|"&amp;A579)</f>
        <v/>
      </c>
      <c r="N579" s="2">
        <f>IF(M579="","",SUMIFS(TF_Timer,TF_Nokkel,M579,TF_Akt,C579))</f>
        <v/>
      </c>
      <c r="O579" s="2">
        <f>IF(M579="","",IF(AND(N579=_xlfn.MAXIFS(TF_AktSum,TF_Nokkel,M579),COUNTIFS(M$3:M578,M579,N$3:N578,N579)=0),M579,""))</f>
        <v/>
      </c>
    </row>
    <row r="580">
      <c r="A580" s="34" t="n"/>
      <c r="B580" s="35" t="n"/>
      <c r="C580" s="35" t="n"/>
      <c r="D580" s="35" t="n"/>
      <c r="E580" s="35" t="n"/>
      <c r="F580" s="36" t="n"/>
      <c r="G580" s="35" t="n"/>
      <c r="H580" s="30">
        <f>IF(L580="","",INDEX(SkiftNavn,L580))</f>
        <v/>
      </c>
      <c r="I580" s="30">
        <f>IF(OR(A580="",L580=""),"",IF(MOD(A580-INDEX(SkiftStart,L580),Syklus)&lt;DagK,"Kveld",IF(MOD(A580-INDEX(SkiftStart,L580),Syklus)&lt;DagK+DagH,"Helg",IF(MOD(A580-INDEX(SkiftStart,L580),Syklus)&lt;DagK+DagH+DagD,"Dag","Fri"))))</f>
        <v/>
      </c>
      <c r="J580" s="30">
        <f>IF(I580="Fri","Ja","")</f>
        <v/>
      </c>
      <c r="K580" s="30">
        <f>IF(B580="","",IF(L580="","Ukjent tekniker",IF(ISNA(MATCH(C580,Aktiviteter,0)),"Ukjent aktivitet",IF(AND(INDEX(AktRolle,MATCH(C580,Aktiviteter,0))&amp;""&lt;&gt;"",ISERROR(SEARCH(INDEX(AktRolle,MATCH(C580,Aktiviteter,0))&amp;"",INDEX(TekRoller,MATCH(B580,Teknikere,0))))),"Mangler rollen "&amp;INDEX(AktRolle,MATCH(C580,Aktiviteter,0))&amp;"",IF(AND(C580="LMS",F580&gt;0,OR(D580="",E580="")),"Mangler maskin eller arbeid",IF(AND(OR(C580="LMS",C580="Mod"),D580&lt;&gt;""),IF(IFERROR(INDEX(MaskinStatus,MATCH(D580,Maskiner,0)),"")="I dokk","","Maskinen er ikke i dokk"),""))))))</f>
        <v/>
      </c>
      <c r="L580" s="2">
        <f>IF(B580="","",IFERROR(INT((MATCH(B580,Teknikere,0)-1)/18)+1,""))</f>
        <v/>
      </c>
      <c r="M580" s="2">
        <f>IF(OR(A580="",B580=""),"",B580&amp;"|"&amp;A580)</f>
        <v/>
      </c>
      <c r="N580" s="2">
        <f>IF(M580="","",SUMIFS(TF_Timer,TF_Nokkel,M580,TF_Akt,C580))</f>
        <v/>
      </c>
      <c r="O580" s="2">
        <f>IF(M580="","",IF(AND(N580=_xlfn.MAXIFS(TF_AktSum,TF_Nokkel,M580),COUNTIFS(M$3:M579,M580,N$3:N579,N580)=0),M580,""))</f>
        <v/>
      </c>
    </row>
    <row r="581">
      <c r="A581" s="34" t="n"/>
      <c r="B581" s="35" t="n"/>
      <c r="C581" s="35" t="n"/>
      <c r="D581" s="35" t="n"/>
      <c r="E581" s="35" t="n"/>
      <c r="F581" s="36" t="n"/>
      <c r="G581" s="35" t="n"/>
      <c r="H581" s="30">
        <f>IF(L581="","",INDEX(SkiftNavn,L581))</f>
        <v/>
      </c>
      <c r="I581" s="30">
        <f>IF(OR(A581="",L581=""),"",IF(MOD(A581-INDEX(SkiftStart,L581),Syklus)&lt;DagK,"Kveld",IF(MOD(A581-INDEX(SkiftStart,L581),Syklus)&lt;DagK+DagH,"Helg",IF(MOD(A581-INDEX(SkiftStart,L581),Syklus)&lt;DagK+DagH+DagD,"Dag","Fri"))))</f>
        <v/>
      </c>
      <c r="J581" s="30">
        <f>IF(I581="Fri","Ja","")</f>
        <v/>
      </c>
      <c r="K581" s="30">
        <f>IF(B581="","",IF(L581="","Ukjent tekniker",IF(ISNA(MATCH(C581,Aktiviteter,0)),"Ukjent aktivitet",IF(AND(INDEX(AktRolle,MATCH(C581,Aktiviteter,0))&amp;""&lt;&gt;"",ISERROR(SEARCH(INDEX(AktRolle,MATCH(C581,Aktiviteter,0))&amp;"",INDEX(TekRoller,MATCH(B581,Teknikere,0))))),"Mangler rollen "&amp;INDEX(AktRolle,MATCH(C581,Aktiviteter,0))&amp;"",IF(AND(C581="LMS",F581&gt;0,OR(D581="",E581="")),"Mangler maskin eller arbeid",IF(AND(OR(C581="LMS",C581="Mod"),D581&lt;&gt;""),IF(IFERROR(INDEX(MaskinStatus,MATCH(D581,Maskiner,0)),"")="I dokk","","Maskinen er ikke i dokk"),""))))))</f>
        <v/>
      </c>
      <c r="L581" s="2">
        <f>IF(B581="","",IFERROR(INT((MATCH(B581,Teknikere,0)-1)/18)+1,""))</f>
        <v/>
      </c>
      <c r="M581" s="2">
        <f>IF(OR(A581="",B581=""),"",B581&amp;"|"&amp;A581)</f>
        <v/>
      </c>
      <c r="N581" s="2">
        <f>IF(M581="","",SUMIFS(TF_Timer,TF_Nokkel,M581,TF_Akt,C581))</f>
        <v/>
      </c>
      <c r="O581" s="2">
        <f>IF(M581="","",IF(AND(N581=_xlfn.MAXIFS(TF_AktSum,TF_Nokkel,M581),COUNTIFS(M$3:M580,M581,N$3:N580,N581)=0),M581,""))</f>
        <v/>
      </c>
    </row>
    <row r="582">
      <c r="A582" s="34" t="n"/>
      <c r="B582" s="35" t="n"/>
      <c r="C582" s="35" t="n"/>
      <c r="D582" s="35" t="n"/>
      <c r="E582" s="35" t="n"/>
      <c r="F582" s="36" t="n"/>
      <c r="G582" s="35" t="n"/>
      <c r="H582" s="30">
        <f>IF(L582="","",INDEX(SkiftNavn,L582))</f>
        <v/>
      </c>
      <c r="I582" s="30">
        <f>IF(OR(A582="",L582=""),"",IF(MOD(A582-INDEX(SkiftStart,L582),Syklus)&lt;DagK,"Kveld",IF(MOD(A582-INDEX(SkiftStart,L582),Syklus)&lt;DagK+DagH,"Helg",IF(MOD(A582-INDEX(SkiftStart,L582),Syklus)&lt;DagK+DagH+DagD,"Dag","Fri"))))</f>
        <v/>
      </c>
      <c r="J582" s="30">
        <f>IF(I582="Fri","Ja","")</f>
        <v/>
      </c>
      <c r="K582" s="30">
        <f>IF(B582="","",IF(L582="","Ukjent tekniker",IF(ISNA(MATCH(C582,Aktiviteter,0)),"Ukjent aktivitet",IF(AND(INDEX(AktRolle,MATCH(C582,Aktiviteter,0))&amp;""&lt;&gt;"",ISERROR(SEARCH(INDEX(AktRolle,MATCH(C582,Aktiviteter,0))&amp;"",INDEX(TekRoller,MATCH(B582,Teknikere,0))))),"Mangler rollen "&amp;INDEX(AktRolle,MATCH(C582,Aktiviteter,0))&amp;"",IF(AND(C582="LMS",F582&gt;0,OR(D582="",E582="")),"Mangler maskin eller arbeid",IF(AND(OR(C582="LMS",C582="Mod"),D582&lt;&gt;""),IF(IFERROR(INDEX(MaskinStatus,MATCH(D582,Maskiner,0)),"")="I dokk","","Maskinen er ikke i dokk"),""))))))</f>
        <v/>
      </c>
      <c r="L582" s="2">
        <f>IF(B582="","",IFERROR(INT((MATCH(B582,Teknikere,0)-1)/18)+1,""))</f>
        <v/>
      </c>
      <c r="M582" s="2">
        <f>IF(OR(A582="",B582=""),"",B582&amp;"|"&amp;A582)</f>
        <v/>
      </c>
      <c r="N582" s="2">
        <f>IF(M582="","",SUMIFS(TF_Timer,TF_Nokkel,M582,TF_Akt,C582))</f>
        <v/>
      </c>
      <c r="O582" s="2">
        <f>IF(M582="","",IF(AND(N582=_xlfn.MAXIFS(TF_AktSum,TF_Nokkel,M582),COUNTIFS(M$3:M581,M582,N$3:N581,N582)=0),M582,""))</f>
        <v/>
      </c>
    </row>
    <row r="583">
      <c r="A583" s="34" t="n"/>
      <c r="B583" s="35" t="n"/>
      <c r="C583" s="35" t="n"/>
      <c r="D583" s="35" t="n"/>
      <c r="E583" s="35" t="n"/>
      <c r="F583" s="36" t="n"/>
      <c r="G583" s="35" t="n"/>
      <c r="H583" s="30">
        <f>IF(L583="","",INDEX(SkiftNavn,L583))</f>
        <v/>
      </c>
      <c r="I583" s="30">
        <f>IF(OR(A583="",L583=""),"",IF(MOD(A583-INDEX(SkiftStart,L583),Syklus)&lt;DagK,"Kveld",IF(MOD(A583-INDEX(SkiftStart,L583),Syklus)&lt;DagK+DagH,"Helg",IF(MOD(A583-INDEX(SkiftStart,L583),Syklus)&lt;DagK+DagH+DagD,"Dag","Fri"))))</f>
        <v/>
      </c>
      <c r="J583" s="30">
        <f>IF(I583="Fri","Ja","")</f>
        <v/>
      </c>
      <c r="K583" s="30">
        <f>IF(B583="","",IF(L583="","Ukjent tekniker",IF(ISNA(MATCH(C583,Aktiviteter,0)),"Ukjent aktivitet",IF(AND(INDEX(AktRolle,MATCH(C583,Aktiviteter,0))&amp;""&lt;&gt;"",ISERROR(SEARCH(INDEX(AktRolle,MATCH(C583,Aktiviteter,0))&amp;"",INDEX(TekRoller,MATCH(B583,Teknikere,0))))),"Mangler rollen "&amp;INDEX(AktRolle,MATCH(C583,Aktiviteter,0))&amp;"",IF(AND(C583="LMS",F583&gt;0,OR(D583="",E583="")),"Mangler maskin eller arbeid",IF(AND(OR(C583="LMS",C583="Mod"),D583&lt;&gt;""),IF(IFERROR(INDEX(MaskinStatus,MATCH(D583,Maskiner,0)),"")="I dokk","","Maskinen er ikke i dokk"),""))))))</f>
        <v/>
      </c>
      <c r="L583" s="2">
        <f>IF(B583="","",IFERROR(INT((MATCH(B583,Teknikere,0)-1)/18)+1,""))</f>
        <v/>
      </c>
      <c r="M583" s="2">
        <f>IF(OR(A583="",B583=""),"",B583&amp;"|"&amp;A583)</f>
        <v/>
      </c>
      <c r="N583" s="2">
        <f>IF(M583="","",SUMIFS(TF_Timer,TF_Nokkel,M583,TF_Akt,C583))</f>
        <v/>
      </c>
      <c r="O583" s="2">
        <f>IF(M583="","",IF(AND(N583=_xlfn.MAXIFS(TF_AktSum,TF_Nokkel,M583),COUNTIFS(M$3:M582,M583,N$3:N582,N583)=0),M583,""))</f>
        <v/>
      </c>
    </row>
    <row r="584">
      <c r="A584" s="34" t="n"/>
      <c r="B584" s="35" t="n"/>
      <c r="C584" s="35" t="n"/>
      <c r="D584" s="35" t="n"/>
      <c r="E584" s="35" t="n"/>
      <c r="F584" s="36" t="n"/>
      <c r="G584" s="35" t="n"/>
      <c r="H584" s="30">
        <f>IF(L584="","",INDEX(SkiftNavn,L584))</f>
        <v/>
      </c>
      <c r="I584" s="30">
        <f>IF(OR(A584="",L584=""),"",IF(MOD(A584-INDEX(SkiftStart,L584),Syklus)&lt;DagK,"Kveld",IF(MOD(A584-INDEX(SkiftStart,L584),Syklus)&lt;DagK+DagH,"Helg",IF(MOD(A584-INDEX(SkiftStart,L584),Syklus)&lt;DagK+DagH+DagD,"Dag","Fri"))))</f>
        <v/>
      </c>
      <c r="J584" s="30">
        <f>IF(I584="Fri","Ja","")</f>
        <v/>
      </c>
      <c r="K584" s="30">
        <f>IF(B584="","",IF(L584="","Ukjent tekniker",IF(ISNA(MATCH(C584,Aktiviteter,0)),"Ukjent aktivitet",IF(AND(INDEX(AktRolle,MATCH(C584,Aktiviteter,0))&amp;""&lt;&gt;"",ISERROR(SEARCH(INDEX(AktRolle,MATCH(C584,Aktiviteter,0))&amp;"",INDEX(TekRoller,MATCH(B584,Teknikere,0))))),"Mangler rollen "&amp;INDEX(AktRolle,MATCH(C584,Aktiviteter,0))&amp;"",IF(AND(C584="LMS",F584&gt;0,OR(D584="",E584="")),"Mangler maskin eller arbeid",IF(AND(OR(C584="LMS",C584="Mod"),D584&lt;&gt;""),IF(IFERROR(INDEX(MaskinStatus,MATCH(D584,Maskiner,0)),"")="I dokk","","Maskinen er ikke i dokk"),""))))))</f>
        <v/>
      </c>
      <c r="L584" s="2">
        <f>IF(B584="","",IFERROR(INT((MATCH(B584,Teknikere,0)-1)/18)+1,""))</f>
        <v/>
      </c>
      <c r="M584" s="2">
        <f>IF(OR(A584="",B584=""),"",B584&amp;"|"&amp;A584)</f>
        <v/>
      </c>
      <c r="N584" s="2">
        <f>IF(M584="","",SUMIFS(TF_Timer,TF_Nokkel,M584,TF_Akt,C584))</f>
        <v/>
      </c>
      <c r="O584" s="2">
        <f>IF(M584="","",IF(AND(N584=_xlfn.MAXIFS(TF_AktSum,TF_Nokkel,M584),COUNTIFS(M$3:M583,M584,N$3:N583,N584)=0),M584,""))</f>
        <v/>
      </c>
    </row>
    <row r="585">
      <c r="A585" s="34" t="n"/>
      <c r="B585" s="35" t="n"/>
      <c r="C585" s="35" t="n"/>
      <c r="D585" s="35" t="n"/>
      <c r="E585" s="35" t="n"/>
      <c r="F585" s="36" t="n"/>
      <c r="G585" s="35" t="n"/>
      <c r="H585" s="30">
        <f>IF(L585="","",INDEX(SkiftNavn,L585))</f>
        <v/>
      </c>
      <c r="I585" s="30">
        <f>IF(OR(A585="",L585=""),"",IF(MOD(A585-INDEX(SkiftStart,L585),Syklus)&lt;DagK,"Kveld",IF(MOD(A585-INDEX(SkiftStart,L585),Syklus)&lt;DagK+DagH,"Helg",IF(MOD(A585-INDEX(SkiftStart,L585),Syklus)&lt;DagK+DagH+DagD,"Dag","Fri"))))</f>
        <v/>
      </c>
      <c r="J585" s="30">
        <f>IF(I585="Fri","Ja","")</f>
        <v/>
      </c>
      <c r="K585" s="30">
        <f>IF(B585="","",IF(L585="","Ukjent tekniker",IF(ISNA(MATCH(C585,Aktiviteter,0)),"Ukjent aktivitet",IF(AND(INDEX(AktRolle,MATCH(C585,Aktiviteter,0))&amp;""&lt;&gt;"",ISERROR(SEARCH(INDEX(AktRolle,MATCH(C585,Aktiviteter,0))&amp;"",INDEX(TekRoller,MATCH(B585,Teknikere,0))))),"Mangler rollen "&amp;INDEX(AktRolle,MATCH(C585,Aktiviteter,0))&amp;"",IF(AND(C585="LMS",F585&gt;0,OR(D585="",E585="")),"Mangler maskin eller arbeid",IF(AND(OR(C585="LMS",C585="Mod"),D585&lt;&gt;""),IF(IFERROR(INDEX(MaskinStatus,MATCH(D585,Maskiner,0)),"")="I dokk","","Maskinen er ikke i dokk"),""))))))</f>
        <v/>
      </c>
      <c r="L585" s="2">
        <f>IF(B585="","",IFERROR(INT((MATCH(B585,Teknikere,0)-1)/18)+1,""))</f>
        <v/>
      </c>
      <c r="M585" s="2">
        <f>IF(OR(A585="",B585=""),"",B585&amp;"|"&amp;A585)</f>
        <v/>
      </c>
      <c r="N585" s="2">
        <f>IF(M585="","",SUMIFS(TF_Timer,TF_Nokkel,M585,TF_Akt,C585))</f>
        <v/>
      </c>
      <c r="O585" s="2">
        <f>IF(M585="","",IF(AND(N585=_xlfn.MAXIFS(TF_AktSum,TF_Nokkel,M585),COUNTIFS(M$3:M584,M585,N$3:N584,N585)=0),M585,""))</f>
        <v/>
      </c>
    </row>
    <row r="586">
      <c r="A586" s="34" t="n"/>
      <c r="B586" s="35" t="n"/>
      <c r="C586" s="35" t="n"/>
      <c r="D586" s="35" t="n"/>
      <c r="E586" s="35" t="n"/>
      <c r="F586" s="36" t="n"/>
      <c r="G586" s="35" t="n"/>
      <c r="H586" s="30">
        <f>IF(L586="","",INDEX(SkiftNavn,L586))</f>
        <v/>
      </c>
      <c r="I586" s="30">
        <f>IF(OR(A586="",L586=""),"",IF(MOD(A586-INDEX(SkiftStart,L586),Syklus)&lt;DagK,"Kveld",IF(MOD(A586-INDEX(SkiftStart,L586),Syklus)&lt;DagK+DagH,"Helg",IF(MOD(A586-INDEX(SkiftStart,L586),Syklus)&lt;DagK+DagH+DagD,"Dag","Fri"))))</f>
        <v/>
      </c>
      <c r="J586" s="30">
        <f>IF(I586="Fri","Ja","")</f>
        <v/>
      </c>
      <c r="K586" s="30">
        <f>IF(B586="","",IF(L586="","Ukjent tekniker",IF(ISNA(MATCH(C586,Aktiviteter,0)),"Ukjent aktivitet",IF(AND(INDEX(AktRolle,MATCH(C586,Aktiviteter,0))&amp;""&lt;&gt;"",ISERROR(SEARCH(INDEX(AktRolle,MATCH(C586,Aktiviteter,0))&amp;"",INDEX(TekRoller,MATCH(B586,Teknikere,0))))),"Mangler rollen "&amp;INDEX(AktRolle,MATCH(C586,Aktiviteter,0))&amp;"",IF(AND(C586="LMS",F586&gt;0,OR(D586="",E586="")),"Mangler maskin eller arbeid",IF(AND(OR(C586="LMS",C586="Mod"),D586&lt;&gt;""),IF(IFERROR(INDEX(MaskinStatus,MATCH(D586,Maskiner,0)),"")="I dokk","","Maskinen er ikke i dokk"),""))))))</f>
        <v/>
      </c>
      <c r="L586" s="2">
        <f>IF(B586="","",IFERROR(INT((MATCH(B586,Teknikere,0)-1)/18)+1,""))</f>
        <v/>
      </c>
      <c r="M586" s="2">
        <f>IF(OR(A586="",B586=""),"",B586&amp;"|"&amp;A586)</f>
        <v/>
      </c>
      <c r="N586" s="2">
        <f>IF(M586="","",SUMIFS(TF_Timer,TF_Nokkel,M586,TF_Akt,C586))</f>
        <v/>
      </c>
      <c r="O586" s="2">
        <f>IF(M586="","",IF(AND(N586=_xlfn.MAXIFS(TF_AktSum,TF_Nokkel,M586),COUNTIFS(M$3:M585,M586,N$3:N585,N586)=0),M586,""))</f>
        <v/>
      </c>
    </row>
    <row r="587">
      <c r="A587" s="34" t="n"/>
      <c r="B587" s="35" t="n"/>
      <c r="C587" s="35" t="n"/>
      <c r="D587" s="35" t="n"/>
      <c r="E587" s="35" t="n"/>
      <c r="F587" s="36" t="n"/>
      <c r="G587" s="35" t="n"/>
      <c r="H587" s="30">
        <f>IF(L587="","",INDEX(SkiftNavn,L587))</f>
        <v/>
      </c>
      <c r="I587" s="30">
        <f>IF(OR(A587="",L587=""),"",IF(MOD(A587-INDEX(SkiftStart,L587),Syklus)&lt;DagK,"Kveld",IF(MOD(A587-INDEX(SkiftStart,L587),Syklus)&lt;DagK+DagH,"Helg",IF(MOD(A587-INDEX(SkiftStart,L587),Syklus)&lt;DagK+DagH+DagD,"Dag","Fri"))))</f>
        <v/>
      </c>
      <c r="J587" s="30">
        <f>IF(I587="Fri","Ja","")</f>
        <v/>
      </c>
      <c r="K587" s="30">
        <f>IF(B587="","",IF(L587="","Ukjent tekniker",IF(ISNA(MATCH(C587,Aktiviteter,0)),"Ukjent aktivitet",IF(AND(INDEX(AktRolle,MATCH(C587,Aktiviteter,0))&amp;""&lt;&gt;"",ISERROR(SEARCH(INDEX(AktRolle,MATCH(C587,Aktiviteter,0))&amp;"",INDEX(TekRoller,MATCH(B587,Teknikere,0))))),"Mangler rollen "&amp;INDEX(AktRolle,MATCH(C587,Aktiviteter,0))&amp;"",IF(AND(C587="LMS",F587&gt;0,OR(D587="",E587="")),"Mangler maskin eller arbeid",IF(AND(OR(C587="LMS",C587="Mod"),D587&lt;&gt;""),IF(IFERROR(INDEX(MaskinStatus,MATCH(D587,Maskiner,0)),"")="I dokk","","Maskinen er ikke i dokk"),""))))))</f>
        <v/>
      </c>
      <c r="L587" s="2">
        <f>IF(B587="","",IFERROR(INT((MATCH(B587,Teknikere,0)-1)/18)+1,""))</f>
        <v/>
      </c>
      <c r="M587" s="2">
        <f>IF(OR(A587="",B587=""),"",B587&amp;"|"&amp;A587)</f>
        <v/>
      </c>
      <c r="N587" s="2">
        <f>IF(M587="","",SUMIFS(TF_Timer,TF_Nokkel,M587,TF_Akt,C587))</f>
        <v/>
      </c>
      <c r="O587" s="2">
        <f>IF(M587="","",IF(AND(N587=_xlfn.MAXIFS(TF_AktSum,TF_Nokkel,M587),COUNTIFS(M$3:M586,M587,N$3:N586,N587)=0),M587,""))</f>
        <v/>
      </c>
    </row>
    <row r="588">
      <c r="A588" s="34" t="n"/>
      <c r="B588" s="35" t="n"/>
      <c r="C588" s="35" t="n"/>
      <c r="D588" s="35" t="n"/>
      <c r="E588" s="35" t="n"/>
      <c r="F588" s="36" t="n"/>
      <c r="G588" s="35" t="n"/>
      <c r="H588" s="30">
        <f>IF(L588="","",INDEX(SkiftNavn,L588))</f>
        <v/>
      </c>
      <c r="I588" s="30">
        <f>IF(OR(A588="",L588=""),"",IF(MOD(A588-INDEX(SkiftStart,L588),Syklus)&lt;DagK,"Kveld",IF(MOD(A588-INDEX(SkiftStart,L588),Syklus)&lt;DagK+DagH,"Helg",IF(MOD(A588-INDEX(SkiftStart,L588),Syklus)&lt;DagK+DagH+DagD,"Dag","Fri"))))</f>
        <v/>
      </c>
      <c r="J588" s="30">
        <f>IF(I588="Fri","Ja","")</f>
        <v/>
      </c>
      <c r="K588" s="30">
        <f>IF(B588="","",IF(L588="","Ukjent tekniker",IF(ISNA(MATCH(C588,Aktiviteter,0)),"Ukjent aktivitet",IF(AND(INDEX(AktRolle,MATCH(C588,Aktiviteter,0))&amp;""&lt;&gt;"",ISERROR(SEARCH(INDEX(AktRolle,MATCH(C588,Aktiviteter,0))&amp;"",INDEX(TekRoller,MATCH(B588,Teknikere,0))))),"Mangler rollen "&amp;INDEX(AktRolle,MATCH(C588,Aktiviteter,0))&amp;"",IF(AND(C588="LMS",F588&gt;0,OR(D588="",E588="")),"Mangler maskin eller arbeid",IF(AND(OR(C588="LMS",C588="Mod"),D588&lt;&gt;""),IF(IFERROR(INDEX(MaskinStatus,MATCH(D588,Maskiner,0)),"")="I dokk","","Maskinen er ikke i dokk"),""))))))</f>
        <v/>
      </c>
      <c r="L588" s="2">
        <f>IF(B588="","",IFERROR(INT((MATCH(B588,Teknikere,0)-1)/18)+1,""))</f>
        <v/>
      </c>
      <c r="M588" s="2">
        <f>IF(OR(A588="",B588=""),"",B588&amp;"|"&amp;A588)</f>
        <v/>
      </c>
      <c r="N588" s="2">
        <f>IF(M588="","",SUMIFS(TF_Timer,TF_Nokkel,M588,TF_Akt,C588))</f>
        <v/>
      </c>
      <c r="O588" s="2">
        <f>IF(M588="","",IF(AND(N588=_xlfn.MAXIFS(TF_AktSum,TF_Nokkel,M588),COUNTIFS(M$3:M587,M588,N$3:N587,N588)=0),M588,""))</f>
        <v/>
      </c>
    </row>
    <row r="589">
      <c r="A589" s="34" t="n"/>
      <c r="B589" s="35" t="n"/>
      <c r="C589" s="35" t="n"/>
      <c r="D589" s="35" t="n"/>
      <c r="E589" s="35" t="n"/>
      <c r="F589" s="36" t="n"/>
      <c r="G589" s="35" t="n"/>
      <c r="H589" s="30">
        <f>IF(L589="","",INDEX(SkiftNavn,L589))</f>
        <v/>
      </c>
      <c r="I589" s="30">
        <f>IF(OR(A589="",L589=""),"",IF(MOD(A589-INDEX(SkiftStart,L589),Syklus)&lt;DagK,"Kveld",IF(MOD(A589-INDEX(SkiftStart,L589),Syklus)&lt;DagK+DagH,"Helg",IF(MOD(A589-INDEX(SkiftStart,L589),Syklus)&lt;DagK+DagH+DagD,"Dag","Fri"))))</f>
        <v/>
      </c>
      <c r="J589" s="30">
        <f>IF(I589="Fri","Ja","")</f>
        <v/>
      </c>
      <c r="K589" s="30">
        <f>IF(B589="","",IF(L589="","Ukjent tekniker",IF(ISNA(MATCH(C589,Aktiviteter,0)),"Ukjent aktivitet",IF(AND(INDEX(AktRolle,MATCH(C589,Aktiviteter,0))&amp;""&lt;&gt;"",ISERROR(SEARCH(INDEX(AktRolle,MATCH(C589,Aktiviteter,0))&amp;"",INDEX(TekRoller,MATCH(B589,Teknikere,0))))),"Mangler rollen "&amp;INDEX(AktRolle,MATCH(C589,Aktiviteter,0))&amp;"",IF(AND(C589="LMS",F589&gt;0,OR(D589="",E589="")),"Mangler maskin eller arbeid",IF(AND(OR(C589="LMS",C589="Mod"),D589&lt;&gt;""),IF(IFERROR(INDEX(MaskinStatus,MATCH(D589,Maskiner,0)),"")="I dokk","","Maskinen er ikke i dokk"),""))))))</f>
        <v/>
      </c>
      <c r="L589" s="2">
        <f>IF(B589="","",IFERROR(INT((MATCH(B589,Teknikere,0)-1)/18)+1,""))</f>
        <v/>
      </c>
      <c r="M589" s="2">
        <f>IF(OR(A589="",B589=""),"",B589&amp;"|"&amp;A589)</f>
        <v/>
      </c>
      <c r="N589" s="2">
        <f>IF(M589="","",SUMIFS(TF_Timer,TF_Nokkel,M589,TF_Akt,C589))</f>
        <v/>
      </c>
      <c r="O589" s="2">
        <f>IF(M589="","",IF(AND(N589=_xlfn.MAXIFS(TF_AktSum,TF_Nokkel,M589),COUNTIFS(M$3:M588,M589,N$3:N588,N589)=0),M589,""))</f>
        <v/>
      </c>
    </row>
    <row r="590">
      <c r="A590" s="34" t="n"/>
      <c r="B590" s="35" t="n"/>
      <c r="C590" s="35" t="n"/>
      <c r="D590" s="35" t="n"/>
      <c r="E590" s="35" t="n"/>
      <c r="F590" s="36" t="n"/>
      <c r="G590" s="35" t="n"/>
      <c r="H590" s="30">
        <f>IF(L590="","",INDEX(SkiftNavn,L590))</f>
        <v/>
      </c>
      <c r="I590" s="30">
        <f>IF(OR(A590="",L590=""),"",IF(MOD(A590-INDEX(SkiftStart,L590),Syklus)&lt;DagK,"Kveld",IF(MOD(A590-INDEX(SkiftStart,L590),Syklus)&lt;DagK+DagH,"Helg",IF(MOD(A590-INDEX(SkiftStart,L590),Syklus)&lt;DagK+DagH+DagD,"Dag","Fri"))))</f>
        <v/>
      </c>
      <c r="J590" s="30">
        <f>IF(I590="Fri","Ja","")</f>
        <v/>
      </c>
      <c r="K590" s="30">
        <f>IF(B590="","",IF(L590="","Ukjent tekniker",IF(ISNA(MATCH(C590,Aktiviteter,0)),"Ukjent aktivitet",IF(AND(INDEX(AktRolle,MATCH(C590,Aktiviteter,0))&amp;""&lt;&gt;"",ISERROR(SEARCH(INDEX(AktRolle,MATCH(C590,Aktiviteter,0))&amp;"",INDEX(TekRoller,MATCH(B590,Teknikere,0))))),"Mangler rollen "&amp;INDEX(AktRolle,MATCH(C590,Aktiviteter,0))&amp;"",IF(AND(C590="LMS",F590&gt;0,OR(D590="",E590="")),"Mangler maskin eller arbeid",IF(AND(OR(C590="LMS",C590="Mod"),D590&lt;&gt;""),IF(IFERROR(INDEX(MaskinStatus,MATCH(D590,Maskiner,0)),"")="I dokk","","Maskinen er ikke i dokk"),""))))))</f>
        <v/>
      </c>
      <c r="L590" s="2">
        <f>IF(B590="","",IFERROR(INT((MATCH(B590,Teknikere,0)-1)/18)+1,""))</f>
        <v/>
      </c>
      <c r="M590" s="2">
        <f>IF(OR(A590="",B590=""),"",B590&amp;"|"&amp;A590)</f>
        <v/>
      </c>
      <c r="N590" s="2">
        <f>IF(M590="","",SUMIFS(TF_Timer,TF_Nokkel,M590,TF_Akt,C590))</f>
        <v/>
      </c>
      <c r="O590" s="2">
        <f>IF(M590="","",IF(AND(N590=_xlfn.MAXIFS(TF_AktSum,TF_Nokkel,M590),COUNTIFS(M$3:M589,M590,N$3:N589,N590)=0),M590,""))</f>
        <v/>
      </c>
    </row>
    <row r="591">
      <c r="A591" s="34" t="n"/>
      <c r="B591" s="35" t="n"/>
      <c r="C591" s="35" t="n"/>
      <c r="D591" s="35" t="n"/>
      <c r="E591" s="35" t="n"/>
      <c r="F591" s="36" t="n"/>
      <c r="G591" s="35" t="n"/>
      <c r="H591" s="30">
        <f>IF(L591="","",INDEX(SkiftNavn,L591))</f>
        <v/>
      </c>
      <c r="I591" s="30">
        <f>IF(OR(A591="",L591=""),"",IF(MOD(A591-INDEX(SkiftStart,L591),Syklus)&lt;DagK,"Kveld",IF(MOD(A591-INDEX(SkiftStart,L591),Syklus)&lt;DagK+DagH,"Helg",IF(MOD(A591-INDEX(SkiftStart,L591),Syklus)&lt;DagK+DagH+DagD,"Dag","Fri"))))</f>
        <v/>
      </c>
      <c r="J591" s="30">
        <f>IF(I591="Fri","Ja","")</f>
        <v/>
      </c>
      <c r="K591" s="30">
        <f>IF(B591="","",IF(L591="","Ukjent tekniker",IF(ISNA(MATCH(C591,Aktiviteter,0)),"Ukjent aktivitet",IF(AND(INDEX(AktRolle,MATCH(C591,Aktiviteter,0))&amp;""&lt;&gt;"",ISERROR(SEARCH(INDEX(AktRolle,MATCH(C591,Aktiviteter,0))&amp;"",INDEX(TekRoller,MATCH(B591,Teknikere,0))))),"Mangler rollen "&amp;INDEX(AktRolle,MATCH(C591,Aktiviteter,0))&amp;"",IF(AND(C591="LMS",F591&gt;0,OR(D591="",E591="")),"Mangler maskin eller arbeid",IF(AND(OR(C591="LMS",C591="Mod"),D591&lt;&gt;""),IF(IFERROR(INDEX(MaskinStatus,MATCH(D591,Maskiner,0)),"")="I dokk","","Maskinen er ikke i dokk"),""))))))</f>
        <v/>
      </c>
      <c r="L591" s="2">
        <f>IF(B591="","",IFERROR(INT((MATCH(B591,Teknikere,0)-1)/18)+1,""))</f>
        <v/>
      </c>
      <c r="M591" s="2">
        <f>IF(OR(A591="",B591=""),"",B591&amp;"|"&amp;A591)</f>
        <v/>
      </c>
      <c r="N591" s="2">
        <f>IF(M591="","",SUMIFS(TF_Timer,TF_Nokkel,M591,TF_Akt,C591))</f>
        <v/>
      </c>
      <c r="O591" s="2">
        <f>IF(M591="","",IF(AND(N591=_xlfn.MAXIFS(TF_AktSum,TF_Nokkel,M591),COUNTIFS(M$3:M590,M591,N$3:N590,N591)=0),M591,""))</f>
        <v/>
      </c>
    </row>
    <row r="592">
      <c r="A592" s="34" t="n"/>
      <c r="B592" s="35" t="n"/>
      <c r="C592" s="35" t="n"/>
      <c r="D592" s="35" t="n"/>
      <c r="E592" s="35" t="n"/>
      <c r="F592" s="36" t="n"/>
      <c r="G592" s="35" t="n"/>
      <c r="H592" s="30">
        <f>IF(L592="","",INDEX(SkiftNavn,L592))</f>
        <v/>
      </c>
      <c r="I592" s="30">
        <f>IF(OR(A592="",L592=""),"",IF(MOD(A592-INDEX(SkiftStart,L592),Syklus)&lt;DagK,"Kveld",IF(MOD(A592-INDEX(SkiftStart,L592),Syklus)&lt;DagK+DagH,"Helg",IF(MOD(A592-INDEX(SkiftStart,L592),Syklus)&lt;DagK+DagH+DagD,"Dag","Fri"))))</f>
        <v/>
      </c>
      <c r="J592" s="30">
        <f>IF(I592="Fri","Ja","")</f>
        <v/>
      </c>
      <c r="K592" s="30">
        <f>IF(B592="","",IF(L592="","Ukjent tekniker",IF(ISNA(MATCH(C592,Aktiviteter,0)),"Ukjent aktivitet",IF(AND(INDEX(AktRolle,MATCH(C592,Aktiviteter,0))&amp;""&lt;&gt;"",ISERROR(SEARCH(INDEX(AktRolle,MATCH(C592,Aktiviteter,0))&amp;"",INDEX(TekRoller,MATCH(B592,Teknikere,0))))),"Mangler rollen "&amp;INDEX(AktRolle,MATCH(C592,Aktiviteter,0))&amp;"",IF(AND(C592="LMS",F592&gt;0,OR(D592="",E592="")),"Mangler maskin eller arbeid",IF(AND(OR(C592="LMS",C592="Mod"),D592&lt;&gt;""),IF(IFERROR(INDEX(MaskinStatus,MATCH(D592,Maskiner,0)),"")="I dokk","","Maskinen er ikke i dokk"),""))))))</f>
        <v/>
      </c>
      <c r="L592" s="2">
        <f>IF(B592="","",IFERROR(INT((MATCH(B592,Teknikere,0)-1)/18)+1,""))</f>
        <v/>
      </c>
      <c r="M592" s="2">
        <f>IF(OR(A592="",B592=""),"",B592&amp;"|"&amp;A592)</f>
        <v/>
      </c>
      <c r="N592" s="2">
        <f>IF(M592="","",SUMIFS(TF_Timer,TF_Nokkel,M592,TF_Akt,C592))</f>
        <v/>
      </c>
      <c r="O592" s="2">
        <f>IF(M592="","",IF(AND(N592=_xlfn.MAXIFS(TF_AktSum,TF_Nokkel,M592),COUNTIFS(M$3:M591,M592,N$3:N591,N592)=0),M592,""))</f>
        <v/>
      </c>
    </row>
    <row r="593">
      <c r="A593" s="34" t="n"/>
      <c r="B593" s="35" t="n"/>
      <c r="C593" s="35" t="n"/>
      <c r="D593" s="35" t="n"/>
      <c r="E593" s="35" t="n"/>
      <c r="F593" s="36" t="n"/>
      <c r="G593" s="35" t="n"/>
      <c r="H593" s="30">
        <f>IF(L593="","",INDEX(SkiftNavn,L593))</f>
        <v/>
      </c>
      <c r="I593" s="30">
        <f>IF(OR(A593="",L593=""),"",IF(MOD(A593-INDEX(SkiftStart,L593),Syklus)&lt;DagK,"Kveld",IF(MOD(A593-INDEX(SkiftStart,L593),Syklus)&lt;DagK+DagH,"Helg",IF(MOD(A593-INDEX(SkiftStart,L593),Syklus)&lt;DagK+DagH+DagD,"Dag","Fri"))))</f>
        <v/>
      </c>
      <c r="J593" s="30">
        <f>IF(I593="Fri","Ja","")</f>
        <v/>
      </c>
      <c r="K593" s="30">
        <f>IF(B593="","",IF(L593="","Ukjent tekniker",IF(ISNA(MATCH(C593,Aktiviteter,0)),"Ukjent aktivitet",IF(AND(INDEX(AktRolle,MATCH(C593,Aktiviteter,0))&amp;""&lt;&gt;"",ISERROR(SEARCH(INDEX(AktRolle,MATCH(C593,Aktiviteter,0))&amp;"",INDEX(TekRoller,MATCH(B593,Teknikere,0))))),"Mangler rollen "&amp;INDEX(AktRolle,MATCH(C593,Aktiviteter,0))&amp;"",IF(AND(C593="LMS",F593&gt;0,OR(D593="",E593="")),"Mangler maskin eller arbeid",IF(AND(OR(C593="LMS",C593="Mod"),D593&lt;&gt;""),IF(IFERROR(INDEX(MaskinStatus,MATCH(D593,Maskiner,0)),"")="I dokk","","Maskinen er ikke i dokk"),""))))))</f>
        <v/>
      </c>
      <c r="L593" s="2">
        <f>IF(B593="","",IFERROR(INT((MATCH(B593,Teknikere,0)-1)/18)+1,""))</f>
        <v/>
      </c>
      <c r="M593" s="2">
        <f>IF(OR(A593="",B593=""),"",B593&amp;"|"&amp;A593)</f>
        <v/>
      </c>
      <c r="N593" s="2">
        <f>IF(M593="","",SUMIFS(TF_Timer,TF_Nokkel,M593,TF_Akt,C593))</f>
        <v/>
      </c>
      <c r="O593" s="2">
        <f>IF(M593="","",IF(AND(N593=_xlfn.MAXIFS(TF_AktSum,TF_Nokkel,M593),COUNTIFS(M$3:M592,M593,N$3:N592,N593)=0),M593,""))</f>
        <v/>
      </c>
    </row>
    <row r="594">
      <c r="A594" s="34" t="n"/>
      <c r="B594" s="35" t="n"/>
      <c r="C594" s="35" t="n"/>
      <c r="D594" s="35" t="n"/>
      <c r="E594" s="35" t="n"/>
      <c r="F594" s="36" t="n"/>
      <c r="G594" s="35" t="n"/>
      <c r="H594" s="30">
        <f>IF(L594="","",INDEX(SkiftNavn,L594))</f>
        <v/>
      </c>
      <c r="I594" s="30">
        <f>IF(OR(A594="",L594=""),"",IF(MOD(A594-INDEX(SkiftStart,L594),Syklus)&lt;DagK,"Kveld",IF(MOD(A594-INDEX(SkiftStart,L594),Syklus)&lt;DagK+DagH,"Helg",IF(MOD(A594-INDEX(SkiftStart,L594),Syklus)&lt;DagK+DagH+DagD,"Dag","Fri"))))</f>
        <v/>
      </c>
      <c r="J594" s="30">
        <f>IF(I594="Fri","Ja","")</f>
        <v/>
      </c>
      <c r="K594" s="30">
        <f>IF(B594="","",IF(L594="","Ukjent tekniker",IF(ISNA(MATCH(C594,Aktiviteter,0)),"Ukjent aktivitet",IF(AND(INDEX(AktRolle,MATCH(C594,Aktiviteter,0))&amp;""&lt;&gt;"",ISERROR(SEARCH(INDEX(AktRolle,MATCH(C594,Aktiviteter,0))&amp;"",INDEX(TekRoller,MATCH(B594,Teknikere,0))))),"Mangler rollen "&amp;INDEX(AktRolle,MATCH(C594,Aktiviteter,0))&amp;"",IF(AND(C594="LMS",F594&gt;0,OR(D594="",E594="")),"Mangler maskin eller arbeid",IF(AND(OR(C594="LMS",C594="Mod"),D594&lt;&gt;""),IF(IFERROR(INDEX(MaskinStatus,MATCH(D594,Maskiner,0)),"")="I dokk","","Maskinen er ikke i dokk"),""))))))</f>
        <v/>
      </c>
      <c r="L594" s="2">
        <f>IF(B594="","",IFERROR(INT((MATCH(B594,Teknikere,0)-1)/18)+1,""))</f>
        <v/>
      </c>
      <c r="M594" s="2">
        <f>IF(OR(A594="",B594=""),"",B594&amp;"|"&amp;A594)</f>
        <v/>
      </c>
      <c r="N594" s="2">
        <f>IF(M594="","",SUMIFS(TF_Timer,TF_Nokkel,M594,TF_Akt,C594))</f>
        <v/>
      </c>
      <c r="O594" s="2">
        <f>IF(M594="","",IF(AND(N594=_xlfn.MAXIFS(TF_AktSum,TF_Nokkel,M594),COUNTIFS(M$3:M593,M594,N$3:N593,N594)=0),M594,""))</f>
        <v/>
      </c>
    </row>
    <row r="595">
      <c r="A595" s="34" t="n"/>
      <c r="B595" s="35" t="n"/>
      <c r="C595" s="35" t="n"/>
      <c r="D595" s="35" t="n"/>
      <c r="E595" s="35" t="n"/>
      <c r="F595" s="36" t="n"/>
      <c r="G595" s="35" t="n"/>
      <c r="H595" s="30">
        <f>IF(L595="","",INDEX(SkiftNavn,L595))</f>
        <v/>
      </c>
      <c r="I595" s="30">
        <f>IF(OR(A595="",L595=""),"",IF(MOD(A595-INDEX(SkiftStart,L595),Syklus)&lt;DagK,"Kveld",IF(MOD(A595-INDEX(SkiftStart,L595),Syklus)&lt;DagK+DagH,"Helg",IF(MOD(A595-INDEX(SkiftStart,L595),Syklus)&lt;DagK+DagH+DagD,"Dag","Fri"))))</f>
        <v/>
      </c>
      <c r="J595" s="30">
        <f>IF(I595="Fri","Ja","")</f>
        <v/>
      </c>
      <c r="K595" s="30">
        <f>IF(B595="","",IF(L595="","Ukjent tekniker",IF(ISNA(MATCH(C595,Aktiviteter,0)),"Ukjent aktivitet",IF(AND(INDEX(AktRolle,MATCH(C595,Aktiviteter,0))&amp;""&lt;&gt;"",ISERROR(SEARCH(INDEX(AktRolle,MATCH(C595,Aktiviteter,0))&amp;"",INDEX(TekRoller,MATCH(B595,Teknikere,0))))),"Mangler rollen "&amp;INDEX(AktRolle,MATCH(C595,Aktiviteter,0))&amp;"",IF(AND(C595="LMS",F595&gt;0,OR(D595="",E595="")),"Mangler maskin eller arbeid",IF(AND(OR(C595="LMS",C595="Mod"),D595&lt;&gt;""),IF(IFERROR(INDEX(MaskinStatus,MATCH(D595,Maskiner,0)),"")="I dokk","","Maskinen er ikke i dokk"),""))))))</f>
        <v/>
      </c>
      <c r="L595" s="2">
        <f>IF(B595="","",IFERROR(INT((MATCH(B595,Teknikere,0)-1)/18)+1,""))</f>
        <v/>
      </c>
      <c r="M595" s="2">
        <f>IF(OR(A595="",B595=""),"",B595&amp;"|"&amp;A595)</f>
        <v/>
      </c>
      <c r="N595" s="2">
        <f>IF(M595="","",SUMIFS(TF_Timer,TF_Nokkel,M595,TF_Akt,C595))</f>
        <v/>
      </c>
      <c r="O595" s="2">
        <f>IF(M595="","",IF(AND(N595=_xlfn.MAXIFS(TF_AktSum,TF_Nokkel,M595),COUNTIFS(M$3:M594,M595,N$3:N594,N595)=0),M595,""))</f>
        <v/>
      </c>
    </row>
    <row r="596">
      <c r="A596" s="34" t="n"/>
      <c r="B596" s="35" t="n"/>
      <c r="C596" s="35" t="n"/>
      <c r="D596" s="35" t="n"/>
      <c r="E596" s="35" t="n"/>
      <c r="F596" s="36" t="n"/>
      <c r="G596" s="35" t="n"/>
      <c r="H596" s="30">
        <f>IF(L596="","",INDEX(SkiftNavn,L596))</f>
        <v/>
      </c>
      <c r="I596" s="30">
        <f>IF(OR(A596="",L596=""),"",IF(MOD(A596-INDEX(SkiftStart,L596),Syklus)&lt;DagK,"Kveld",IF(MOD(A596-INDEX(SkiftStart,L596),Syklus)&lt;DagK+DagH,"Helg",IF(MOD(A596-INDEX(SkiftStart,L596),Syklus)&lt;DagK+DagH+DagD,"Dag","Fri"))))</f>
        <v/>
      </c>
      <c r="J596" s="30">
        <f>IF(I596="Fri","Ja","")</f>
        <v/>
      </c>
      <c r="K596" s="30">
        <f>IF(B596="","",IF(L596="","Ukjent tekniker",IF(ISNA(MATCH(C596,Aktiviteter,0)),"Ukjent aktivitet",IF(AND(INDEX(AktRolle,MATCH(C596,Aktiviteter,0))&amp;""&lt;&gt;"",ISERROR(SEARCH(INDEX(AktRolle,MATCH(C596,Aktiviteter,0))&amp;"",INDEX(TekRoller,MATCH(B596,Teknikere,0))))),"Mangler rollen "&amp;INDEX(AktRolle,MATCH(C596,Aktiviteter,0))&amp;"",IF(AND(C596="LMS",F596&gt;0,OR(D596="",E596="")),"Mangler maskin eller arbeid",IF(AND(OR(C596="LMS",C596="Mod"),D596&lt;&gt;""),IF(IFERROR(INDEX(MaskinStatus,MATCH(D596,Maskiner,0)),"")="I dokk","","Maskinen er ikke i dokk"),""))))))</f>
        <v/>
      </c>
      <c r="L596" s="2">
        <f>IF(B596="","",IFERROR(INT((MATCH(B596,Teknikere,0)-1)/18)+1,""))</f>
        <v/>
      </c>
      <c r="M596" s="2">
        <f>IF(OR(A596="",B596=""),"",B596&amp;"|"&amp;A596)</f>
        <v/>
      </c>
      <c r="N596" s="2">
        <f>IF(M596="","",SUMIFS(TF_Timer,TF_Nokkel,M596,TF_Akt,C596))</f>
        <v/>
      </c>
      <c r="O596" s="2">
        <f>IF(M596="","",IF(AND(N596=_xlfn.MAXIFS(TF_AktSum,TF_Nokkel,M596),COUNTIFS(M$3:M595,M596,N$3:N595,N596)=0),M596,""))</f>
        <v/>
      </c>
    </row>
    <row r="597">
      <c r="A597" s="34" t="n"/>
      <c r="B597" s="35" t="n"/>
      <c r="C597" s="35" t="n"/>
      <c r="D597" s="35" t="n"/>
      <c r="E597" s="35" t="n"/>
      <c r="F597" s="36" t="n"/>
      <c r="G597" s="35" t="n"/>
      <c r="H597" s="30">
        <f>IF(L597="","",INDEX(SkiftNavn,L597))</f>
        <v/>
      </c>
      <c r="I597" s="30">
        <f>IF(OR(A597="",L597=""),"",IF(MOD(A597-INDEX(SkiftStart,L597),Syklus)&lt;DagK,"Kveld",IF(MOD(A597-INDEX(SkiftStart,L597),Syklus)&lt;DagK+DagH,"Helg",IF(MOD(A597-INDEX(SkiftStart,L597),Syklus)&lt;DagK+DagH+DagD,"Dag","Fri"))))</f>
        <v/>
      </c>
      <c r="J597" s="30">
        <f>IF(I597="Fri","Ja","")</f>
        <v/>
      </c>
      <c r="K597" s="30">
        <f>IF(B597="","",IF(L597="","Ukjent tekniker",IF(ISNA(MATCH(C597,Aktiviteter,0)),"Ukjent aktivitet",IF(AND(INDEX(AktRolle,MATCH(C597,Aktiviteter,0))&amp;""&lt;&gt;"",ISERROR(SEARCH(INDEX(AktRolle,MATCH(C597,Aktiviteter,0))&amp;"",INDEX(TekRoller,MATCH(B597,Teknikere,0))))),"Mangler rollen "&amp;INDEX(AktRolle,MATCH(C597,Aktiviteter,0))&amp;"",IF(AND(C597="LMS",F597&gt;0,OR(D597="",E597="")),"Mangler maskin eller arbeid",IF(AND(OR(C597="LMS",C597="Mod"),D597&lt;&gt;""),IF(IFERROR(INDEX(MaskinStatus,MATCH(D597,Maskiner,0)),"")="I dokk","","Maskinen er ikke i dokk"),""))))))</f>
        <v/>
      </c>
      <c r="L597" s="2">
        <f>IF(B597="","",IFERROR(INT((MATCH(B597,Teknikere,0)-1)/18)+1,""))</f>
        <v/>
      </c>
      <c r="M597" s="2">
        <f>IF(OR(A597="",B597=""),"",B597&amp;"|"&amp;A597)</f>
        <v/>
      </c>
      <c r="N597" s="2">
        <f>IF(M597="","",SUMIFS(TF_Timer,TF_Nokkel,M597,TF_Akt,C597))</f>
        <v/>
      </c>
      <c r="O597" s="2">
        <f>IF(M597="","",IF(AND(N597=_xlfn.MAXIFS(TF_AktSum,TF_Nokkel,M597),COUNTIFS(M$3:M596,M597,N$3:N596,N597)=0),M597,""))</f>
        <v/>
      </c>
    </row>
    <row r="598">
      <c r="A598" s="34" t="n"/>
      <c r="B598" s="35" t="n"/>
      <c r="C598" s="35" t="n"/>
      <c r="D598" s="35" t="n"/>
      <c r="E598" s="35" t="n"/>
      <c r="F598" s="36" t="n"/>
      <c r="G598" s="35" t="n"/>
      <c r="H598" s="30">
        <f>IF(L598="","",INDEX(SkiftNavn,L598))</f>
        <v/>
      </c>
      <c r="I598" s="30">
        <f>IF(OR(A598="",L598=""),"",IF(MOD(A598-INDEX(SkiftStart,L598),Syklus)&lt;DagK,"Kveld",IF(MOD(A598-INDEX(SkiftStart,L598),Syklus)&lt;DagK+DagH,"Helg",IF(MOD(A598-INDEX(SkiftStart,L598),Syklus)&lt;DagK+DagH+DagD,"Dag","Fri"))))</f>
        <v/>
      </c>
      <c r="J598" s="30">
        <f>IF(I598="Fri","Ja","")</f>
        <v/>
      </c>
      <c r="K598" s="30">
        <f>IF(B598="","",IF(L598="","Ukjent tekniker",IF(ISNA(MATCH(C598,Aktiviteter,0)),"Ukjent aktivitet",IF(AND(INDEX(AktRolle,MATCH(C598,Aktiviteter,0))&amp;""&lt;&gt;"",ISERROR(SEARCH(INDEX(AktRolle,MATCH(C598,Aktiviteter,0))&amp;"",INDEX(TekRoller,MATCH(B598,Teknikere,0))))),"Mangler rollen "&amp;INDEX(AktRolle,MATCH(C598,Aktiviteter,0))&amp;"",IF(AND(C598="LMS",F598&gt;0,OR(D598="",E598="")),"Mangler maskin eller arbeid",IF(AND(OR(C598="LMS",C598="Mod"),D598&lt;&gt;""),IF(IFERROR(INDEX(MaskinStatus,MATCH(D598,Maskiner,0)),"")="I dokk","","Maskinen er ikke i dokk"),""))))))</f>
        <v/>
      </c>
      <c r="L598" s="2">
        <f>IF(B598="","",IFERROR(INT((MATCH(B598,Teknikere,0)-1)/18)+1,""))</f>
        <v/>
      </c>
      <c r="M598" s="2">
        <f>IF(OR(A598="",B598=""),"",B598&amp;"|"&amp;A598)</f>
        <v/>
      </c>
      <c r="N598" s="2">
        <f>IF(M598="","",SUMIFS(TF_Timer,TF_Nokkel,M598,TF_Akt,C598))</f>
        <v/>
      </c>
      <c r="O598" s="2">
        <f>IF(M598="","",IF(AND(N598=_xlfn.MAXIFS(TF_AktSum,TF_Nokkel,M598),COUNTIFS(M$3:M597,M598,N$3:N597,N598)=0),M598,""))</f>
        <v/>
      </c>
    </row>
    <row r="599">
      <c r="A599" s="34" t="n"/>
      <c r="B599" s="35" t="n"/>
      <c r="C599" s="35" t="n"/>
      <c r="D599" s="35" t="n"/>
      <c r="E599" s="35" t="n"/>
      <c r="F599" s="36" t="n"/>
      <c r="G599" s="35" t="n"/>
      <c r="H599" s="30">
        <f>IF(L599="","",INDEX(SkiftNavn,L599))</f>
        <v/>
      </c>
      <c r="I599" s="30">
        <f>IF(OR(A599="",L599=""),"",IF(MOD(A599-INDEX(SkiftStart,L599),Syklus)&lt;DagK,"Kveld",IF(MOD(A599-INDEX(SkiftStart,L599),Syklus)&lt;DagK+DagH,"Helg",IF(MOD(A599-INDEX(SkiftStart,L599),Syklus)&lt;DagK+DagH+DagD,"Dag","Fri"))))</f>
        <v/>
      </c>
      <c r="J599" s="30">
        <f>IF(I599="Fri","Ja","")</f>
        <v/>
      </c>
      <c r="K599" s="30">
        <f>IF(B599="","",IF(L599="","Ukjent tekniker",IF(ISNA(MATCH(C599,Aktiviteter,0)),"Ukjent aktivitet",IF(AND(INDEX(AktRolle,MATCH(C599,Aktiviteter,0))&amp;""&lt;&gt;"",ISERROR(SEARCH(INDEX(AktRolle,MATCH(C599,Aktiviteter,0))&amp;"",INDEX(TekRoller,MATCH(B599,Teknikere,0))))),"Mangler rollen "&amp;INDEX(AktRolle,MATCH(C599,Aktiviteter,0))&amp;"",IF(AND(C599="LMS",F599&gt;0,OR(D599="",E599="")),"Mangler maskin eller arbeid",IF(AND(OR(C599="LMS",C599="Mod"),D599&lt;&gt;""),IF(IFERROR(INDEX(MaskinStatus,MATCH(D599,Maskiner,0)),"")="I dokk","","Maskinen er ikke i dokk"),""))))))</f>
        <v/>
      </c>
      <c r="L599" s="2">
        <f>IF(B599="","",IFERROR(INT((MATCH(B599,Teknikere,0)-1)/18)+1,""))</f>
        <v/>
      </c>
      <c r="M599" s="2">
        <f>IF(OR(A599="",B599=""),"",B599&amp;"|"&amp;A599)</f>
        <v/>
      </c>
      <c r="N599" s="2">
        <f>IF(M599="","",SUMIFS(TF_Timer,TF_Nokkel,M599,TF_Akt,C599))</f>
        <v/>
      </c>
      <c r="O599" s="2">
        <f>IF(M599="","",IF(AND(N599=_xlfn.MAXIFS(TF_AktSum,TF_Nokkel,M599),COUNTIFS(M$3:M598,M599,N$3:N598,N599)=0),M599,""))</f>
        <v/>
      </c>
    </row>
    <row r="600">
      <c r="A600" s="34" t="n"/>
      <c r="B600" s="35" t="n"/>
      <c r="C600" s="35" t="n"/>
      <c r="D600" s="35" t="n"/>
      <c r="E600" s="35" t="n"/>
      <c r="F600" s="36" t="n"/>
      <c r="G600" s="35" t="n"/>
      <c r="H600" s="30">
        <f>IF(L600="","",INDEX(SkiftNavn,L600))</f>
        <v/>
      </c>
      <c r="I600" s="30">
        <f>IF(OR(A600="",L600=""),"",IF(MOD(A600-INDEX(SkiftStart,L600),Syklus)&lt;DagK,"Kveld",IF(MOD(A600-INDEX(SkiftStart,L600),Syklus)&lt;DagK+DagH,"Helg",IF(MOD(A600-INDEX(SkiftStart,L600),Syklus)&lt;DagK+DagH+DagD,"Dag","Fri"))))</f>
        <v/>
      </c>
      <c r="J600" s="30">
        <f>IF(I600="Fri","Ja","")</f>
        <v/>
      </c>
      <c r="K600" s="30">
        <f>IF(B600="","",IF(L600="","Ukjent tekniker",IF(ISNA(MATCH(C600,Aktiviteter,0)),"Ukjent aktivitet",IF(AND(INDEX(AktRolle,MATCH(C600,Aktiviteter,0))&amp;""&lt;&gt;"",ISERROR(SEARCH(INDEX(AktRolle,MATCH(C600,Aktiviteter,0))&amp;"",INDEX(TekRoller,MATCH(B600,Teknikere,0))))),"Mangler rollen "&amp;INDEX(AktRolle,MATCH(C600,Aktiviteter,0))&amp;"",IF(AND(C600="LMS",F600&gt;0,OR(D600="",E600="")),"Mangler maskin eller arbeid",IF(AND(OR(C600="LMS",C600="Mod"),D600&lt;&gt;""),IF(IFERROR(INDEX(MaskinStatus,MATCH(D600,Maskiner,0)),"")="I dokk","","Maskinen er ikke i dokk"),""))))))</f>
        <v/>
      </c>
      <c r="L600" s="2">
        <f>IF(B600="","",IFERROR(INT((MATCH(B600,Teknikere,0)-1)/18)+1,""))</f>
        <v/>
      </c>
      <c r="M600" s="2">
        <f>IF(OR(A600="",B600=""),"",B600&amp;"|"&amp;A600)</f>
        <v/>
      </c>
      <c r="N600" s="2">
        <f>IF(M600="","",SUMIFS(TF_Timer,TF_Nokkel,M600,TF_Akt,C600))</f>
        <v/>
      </c>
      <c r="O600" s="2">
        <f>IF(M600="","",IF(AND(N600=_xlfn.MAXIFS(TF_AktSum,TF_Nokkel,M600),COUNTIFS(M$3:M599,M600,N$3:N599,N600)=0),M600,""))</f>
        <v/>
      </c>
    </row>
    <row r="601">
      <c r="A601" s="34" t="n"/>
      <c r="B601" s="35" t="n"/>
      <c r="C601" s="35" t="n"/>
      <c r="D601" s="35" t="n"/>
      <c r="E601" s="35" t="n"/>
      <c r="F601" s="36" t="n"/>
      <c r="G601" s="35" t="n"/>
      <c r="H601" s="30">
        <f>IF(L601="","",INDEX(SkiftNavn,L601))</f>
        <v/>
      </c>
      <c r="I601" s="30">
        <f>IF(OR(A601="",L601=""),"",IF(MOD(A601-INDEX(SkiftStart,L601),Syklus)&lt;DagK,"Kveld",IF(MOD(A601-INDEX(SkiftStart,L601),Syklus)&lt;DagK+DagH,"Helg",IF(MOD(A601-INDEX(SkiftStart,L601),Syklus)&lt;DagK+DagH+DagD,"Dag","Fri"))))</f>
        <v/>
      </c>
      <c r="J601" s="30">
        <f>IF(I601="Fri","Ja","")</f>
        <v/>
      </c>
      <c r="K601" s="30">
        <f>IF(B601="","",IF(L601="","Ukjent tekniker",IF(ISNA(MATCH(C601,Aktiviteter,0)),"Ukjent aktivitet",IF(AND(INDEX(AktRolle,MATCH(C601,Aktiviteter,0))&amp;""&lt;&gt;"",ISERROR(SEARCH(INDEX(AktRolle,MATCH(C601,Aktiviteter,0))&amp;"",INDEX(TekRoller,MATCH(B601,Teknikere,0))))),"Mangler rollen "&amp;INDEX(AktRolle,MATCH(C601,Aktiviteter,0))&amp;"",IF(AND(C601="LMS",F601&gt;0,OR(D601="",E601="")),"Mangler maskin eller arbeid",IF(AND(OR(C601="LMS",C601="Mod"),D601&lt;&gt;""),IF(IFERROR(INDEX(MaskinStatus,MATCH(D601,Maskiner,0)),"")="I dokk","","Maskinen er ikke i dokk"),""))))))</f>
        <v/>
      </c>
      <c r="L601" s="2">
        <f>IF(B601="","",IFERROR(INT((MATCH(B601,Teknikere,0)-1)/18)+1,""))</f>
        <v/>
      </c>
      <c r="M601" s="2">
        <f>IF(OR(A601="",B601=""),"",B601&amp;"|"&amp;A601)</f>
        <v/>
      </c>
      <c r="N601" s="2">
        <f>IF(M601="","",SUMIFS(TF_Timer,TF_Nokkel,M601,TF_Akt,C601))</f>
        <v/>
      </c>
      <c r="O601" s="2">
        <f>IF(M601="","",IF(AND(N601=_xlfn.MAXIFS(TF_AktSum,TF_Nokkel,M601),COUNTIFS(M$3:M600,M601,N$3:N600,N601)=0),M601,""))</f>
        <v/>
      </c>
    </row>
    <row r="602">
      <c r="A602" s="34" t="n"/>
      <c r="B602" s="35" t="n"/>
      <c r="C602" s="35" t="n"/>
      <c r="D602" s="35" t="n"/>
      <c r="E602" s="35" t="n"/>
      <c r="F602" s="36" t="n"/>
      <c r="G602" s="35" t="n"/>
      <c r="H602" s="30">
        <f>IF(L602="","",INDEX(SkiftNavn,L602))</f>
        <v/>
      </c>
      <c r="I602" s="30">
        <f>IF(OR(A602="",L602=""),"",IF(MOD(A602-INDEX(SkiftStart,L602),Syklus)&lt;DagK,"Kveld",IF(MOD(A602-INDEX(SkiftStart,L602),Syklus)&lt;DagK+DagH,"Helg",IF(MOD(A602-INDEX(SkiftStart,L602),Syklus)&lt;DagK+DagH+DagD,"Dag","Fri"))))</f>
        <v/>
      </c>
      <c r="J602" s="30">
        <f>IF(I602="Fri","Ja","")</f>
        <v/>
      </c>
      <c r="K602" s="30">
        <f>IF(B602="","",IF(L602="","Ukjent tekniker",IF(ISNA(MATCH(C602,Aktiviteter,0)),"Ukjent aktivitet",IF(AND(INDEX(AktRolle,MATCH(C602,Aktiviteter,0))&amp;""&lt;&gt;"",ISERROR(SEARCH(INDEX(AktRolle,MATCH(C602,Aktiviteter,0))&amp;"",INDEX(TekRoller,MATCH(B602,Teknikere,0))))),"Mangler rollen "&amp;INDEX(AktRolle,MATCH(C602,Aktiviteter,0))&amp;"",IF(AND(C602="LMS",F602&gt;0,OR(D602="",E602="")),"Mangler maskin eller arbeid",IF(AND(OR(C602="LMS",C602="Mod"),D602&lt;&gt;""),IF(IFERROR(INDEX(MaskinStatus,MATCH(D602,Maskiner,0)),"")="I dokk","","Maskinen er ikke i dokk"),""))))))</f>
        <v/>
      </c>
      <c r="L602" s="2">
        <f>IF(B602="","",IFERROR(INT((MATCH(B602,Teknikere,0)-1)/18)+1,""))</f>
        <v/>
      </c>
      <c r="M602" s="2">
        <f>IF(OR(A602="",B602=""),"",B602&amp;"|"&amp;A602)</f>
        <v/>
      </c>
      <c r="N602" s="2">
        <f>IF(M602="","",SUMIFS(TF_Timer,TF_Nokkel,M602,TF_Akt,C602))</f>
        <v/>
      </c>
      <c r="O602" s="2">
        <f>IF(M602="","",IF(AND(N602=_xlfn.MAXIFS(TF_AktSum,TF_Nokkel,M602),COUNTIFS(M$3:M601,M602,N$3:N601,N602)=0),M602,""))</f>
        <v/>
      </c>
    </row>
    <row r="603">
      <c r="A603" s="34" t="n"/>
      <c r="B603" s="35" t="n"/>
      <c r="C603" s="35" t="n"/>
      <c r="D603" s="35" t="n"/>
      <c r="E603" s="35" t="n"/>
      <c r="F603" s="36" t="n"/>
      <c r="G603" s="35" t="n"/>
      <c r="H603" s="30">
        <f>IF(L603="","",INDEX(SkiftNavn,L603))</f>
        <v/>
      </c>
      <c r="I603" s="30">
        <f>IF(OR(A603="",L603=""),"",IF(MOD(A603-INDEX(SkiftStart,L603),Syklus)&lt;DagK,"Kveld",IF(MOD(A603-INDEX(SkiftStart,L603),Syklus)&lt;DagK+DagH,"Helg",IF(MOD(A603-INDEX(SkiftStart,L603),Syklus)&lt;DagK+DagH+DagD,"Dag","Fri"))))</f>
        <v/>
      </c>
      <c r="J603" s="30">
        <f>IF(I603="Fri","Ja","")</f>
        <v/>
      </c>
      <c r="K603" s="30">
        <f>IF(B603="","",IF(L603="","Ukjent tekniker",IF(ISNA(MATCH(C603,Aktiviteter,0)),"Ukjent aktivitet",IF(AND(INDEX(AktRolle,MATCH(C603,Aktiviteter,0))&amp;""&lt;&gt;"",ISERROR(SEARCH(INDEX(AktRolle,MATCH(C603,Aktiviteter,0))&amp;"",INDEX(TekRoller,MATCH(B603,Teknikere,0))))),"Mangler rollen "&amp;INDEX(AktRolle,MATCH(C603,Aktiviteter,0))&amp;"",IF(AND(C603="LMS",F603&gt;0,OR(D603="",E603="")),"Mangler maskin eller arbeid",IF(AND(OR(C603="LMS",C603="Mod"),D603&lt;&gt;""),IF(IFERROR(INDEX(MaskinStatus,MATCH(D603,Maskiner,0)),"")="I dokk","","Maskinen er ikke i dokk"),""))))))</f>
        <v/>
      </c>
      <c r="L603" s="2">
        <f>IF(B603="","",IFERROR(INT((MATCH(B603,Teknikere,0)-1)/18)+1,""))</f>
        <v/>
      </c>
      <c r="M603" s="2">
        <f>IF(OR(A603="",B603=""),"",B603&amp;"|"&amp;A603)</f>
        <v/>
      </c>
      <c r="N603" s="2">
        <f>IF(M603="","",SUMIFS(TF_Timer,TF_Nokkel,M603,TF_Akt,C603))</f>
        <v/>
      </c>
      <c r="O603" s="2">
        <f>IF(M603="","",IF(AND(N603=_xlfn.MAXIFS(TF_AktSum,TF_Nokkel,M603),COUNTIFS(M$3:M602,M603,N$3:N602,N603)=0),M603,""))</f>
        <v/>
      </c>
    </row>
    <row r="604">
      <c r="A604" s="34" t="n"/>
      <c r="B604" s="35" t="n"/>
      <c r="C604" s="35" t="n"/>
      <c r="D604" s="35" t="n"/>
      <c r="E604" s="35" t="n"/>
      <c r="F604" s="36" t="n"/>
      <c r="G604" s="35" t="n"/>
      <c r="H604" s="30">
        <f>IF(L604="","",INDEX(SkiftNavn,L604))</f>
        <v/>
      </c>
      <c r="I604" s="30">
        <f>IF(OR(A604="",L604=""),"",IF(MOD(A604-INDEX(SkiftStart,L604),Syklus)&lt;DagK,"Kveld",IF(MOD(A604-INDEX(SkiftStart,L604),Syklus)&lt;DagK+DagH,"Helg",IF(MOD(A604-INDEX(SkiftStart,L604),Syklus)&lt;DagK+DagH+DagD,"Dag","Fri"))))</f>
        <v/>
      </c>
      <c r="J604" s="30">
        <f>IF(I604="Fri","Ja","")</f>
        <v/>
      </c>
      <c r="K604" s="30">
        <f>IF(B604="","",IF(L604="","Ukjent tekniker",IF(ISNA(MATCH(C604,Aktiviteter,0)),"Ukjent aktivitet",IF(AND(INDEX(AktRolle,MATCH(C604,Aktiviteter,0))&amp;""&lt;&gt;"",ISERROR(SEARCH(INDEX(AktRolle,MATCH(C604,Aktiviteter,0))&amp;"",INDEX(TekRoller,MATCH(B604,Teknikere,0))))),"Mangler rollen "&amp;INDEX(AktRolle,MATCH(C604,Aktiviteter,0))&amp;"",IF(AND(C604="LMS",F604&gt;0,OR(D604="",E604="")),"Mangler maskin eller arbeid",IF(AND(OR(C604="LMS",C604="Mod"),D604&lt;&gt;""),IF(IFERROR(INDEX(MaskinStatus,MATCH(D604,Maskiner,0)),"")="I dokk","","Maskinen er ikke i dokk"),""))))))</f>
        <v/>
      </c>
      <c r="L604" s="2">
        <f>IF(B604="","",IFERROR(INT((MATCH(B604,Teknikere,0)-1)/18)+1,""))</f>
        <v/>
      </c>
      <c r="M604" s="2">
        <f>IF(OR(A604="",B604=""),"",B604&amp;"|"&amp;A604)</f>
        <v/>
      </c>
      <c r="N604" s="2">
        <f>IF(M604="","",SUMIFS(TF_Timer,TF_Nokkel,M604,TF_Akt,C604))</f>
        <v/>
      </c>
      <c r="O604" s="2">
        <f>IF(M604="","",IF(AND(N604=_xlfn.MAXIFS(TF_AktSum,TF_Nokkel,M604),COUNTIFS(M$3:M603,M604,N$3:N603,N604)=0),M604,""))</f>
        <v/>
      </c>
    </row>
    <row r="605">
      <c r="A605" s="34" t="n"/>
      <c r="B605" s="35" t="n"/>
      <c r="C605" s="35" t="n"/>
      <c r="D605" s="35" t="n"/>
      <c r="E605" s="35" t="n"/>
      <c r="F605" s="36" t="n"/>
      <c r="G605" s="35" t="n"/>
      <c r="H605" s="30">
        <f>IF(L605="","",INDEX(SkiftNavn,L605))</f>
        <v/>
      </c>
      <c r="I605" s="30">
        <f>IF(OR(A605="",L605=""),"",IF(MOD(A605-INDEX(SkiftStart,L605),Syklus)&lt;DagK,"Kveld",IF(MOD(A605-INDEX(SkiftStart,L605),Syklus)&lt;DagK+DagH,"Helg",IF(MOD(A605-INDEX(SkiftStart,L605),Syklus)&lt;DagK+DagH+DagD,"Dag","Fri"))))</f>
        <v/>
      </c>
      <c r="J605" s="30">
        <f>IF(I605="Fri","Ja","")</f>
        <v/>
      </c>
      <c r="K605" s="30">
        <f>IF(B605="","",IF(L605="","Ukjent tekniker",IF(ISNA(MATCH(C605,Aktiviteter,0)),"Ukjent aktivitet",IF(AND(INDEX(AktRolle,MATCH(C605,Aktiviteter,0))&amp;""&lt;&gt;"",ISERROR(SEARCH(INDEX(AktRolle,MATCH(C605,Aktiviteter,0))&amp;"",INDEX(TekRoller,MATCH(B605,Teknikere,0))))),"Mangler rollen "&amp;INDEX(AktRolle,MATCH(C605,Aktiviteter,0))&amp;"",IF(AND(C605="LMS",F605&gt;0,OR(D605="",E605="")),"Mangler maskin eller arbeid",IF(AND(OR(C605="LMS",C605="Mod"),D605&lt;&gt;""),IF(IFERROR(INDEX(MaskinStatus,MATCH(D605,Maskiner,0)),"")="I dokk","","Maskinen er ikke i dokk"),""))))))</f>
        <v/>
      </c>
      <c r="L605" s="2">
        <f>IF(B605="","",IFERROR(INT((MATCH(B605,Teknikere,0)-1)/18)+1,""))</f>
        <v/>
      </c>
      <c r="M605" s="2">
        <f>IF(OR(A605="",B605=""),"",B605&amp;"|"&amp;A605)</f>
        <v/>
      </c>
      <c r="N605" s="2">
        <f>IF(M605="","",SUMIFS(TF_Timer,TF_Nokkel,M605,TF_Akt,C605))</f>
        <v/>
      </c>
      <c r="O605" s="2">
        <f>IF(M605="","",IF(AND(N605=_xlfn.MAXIFS(TF_AktSum,TF_Nokkel,M605),COUNTIFS(M$3:M604,M605,N$3:N604,N605)=0),M605,""))</f>
        <v/>
      </c>
    </row>
    <row r="606">
      <c r="A606" s="34" t="n"/>
      <c r="B606" s="35" t="n"/>
      <c r="C606" s="35" t="n"/>
      <c r="D606" s="35" t="n"/>
      <c r="E606" s="35" t="n"/>
      <c r="F606" s="36" t="n"/>
      <c r="G606" s="35" t="n"/>
      <c r="H606" s="30">
        <f>IF(L606="","",INDEX(SkiftNavn,L606))</f>
        <v/>
      </c>
      <c r="I606" s="30">
        <f>IF(OR(A606="",L606=""),"",IF(MOD(A606-INDEX(SkiftStart,L606),Syklus)&lt;DagK,"Kveld",IF(MOD(A606-INDEX(SkiftStart,L606),Syklus)&lt;DagK+DagH,"Helg",IF(MOD(A606-INDEX(SkiftStart,L606),Syklus)&lt;DagK+DagH+DagD,"Dag","Fri"))))</f>
        <v/>
      </c>
      <c r="J606" s="30">
        <f>IF(I606="Fri","Ja","")</f>
        <v/>
      </c>
      <c r="K606" s="30">
        <f>IF(B606="","",IF(L606="","Ukjent tekniker",IF(ISNA(MATCH(C606,Aktiviteter,0)),"Ukjent aktivitet",IF(AND(INDEX(AktRolle,MATCH(C606,Aktiviteter,0))&amp;""&lt;&gt;"",ISERROR(SEARCH(INDEX(AktRolle,MATCH(C606,Aktiviteter,0))&amp;"",INDEX(TekRoller,MATCH(B606,Teknikere,0))))),"Mangler rollen "&amp;INDEX(AktRolle,MATCH(C606,Aktiviteter,0))&amp;"",IF(AND(C606="LMS",F606&gt;0,OR(D606="",E606="")),"Mangler maskin eller arbeid",IF(AND(OR(C606="LMS",C606="Mod"),D606&lt;&gt;""),IF(IFERROR(INDEX(MaskinStatus,MATCH(D606,Maskiner,0)),"")="I dokk","","Maskinen er ikke i dokk"),""))))))</f>
        <v/>
      </c>
      <c r="L606" s="2">
        <f>IF(B606="","",IFERROR(INT((MATCH(B606,Teknikere,0)-1)/18)+1,""))</f>
        <v/>
      </c>
      <c r="M606" s="2">
        <f>IF(OR(A606="",B606=""),"",B606&amp;"|"&amp;A606)</f>
        <v/>
      </c>
      <c r="N606" s="2">
        <f>IF(M606="","",SUMIFS(TF_Timer,TF_Nokkel,M606,TF_Akt,C606))</f>
        <v/>
      </c>
      <c r="O606" s="2">
        <f>IF(M606="","",IF(AND(N606=_xlfn.MAXIFS(TF_AktSum,TF_Nokkel,M606),COUNTIFS(M$3:M605,M606,N$3:N605,N606)=0),M606,""))</f>
        <v/>
      </c>
    </row>
    <row r="607">
      <c r="A607" s="34" t="n"/>
      <c r="B607" s="35" t="n"/>
      <c r="C607" s="35" t="n"/>
      <c r="D607" s="35" t="n"/>
      <c r="E607" s="35" t="n"/>
      <c r="F607" s="36" t="n"/>
      <c r="G607" s="35" t="n"/>
      <c r="H607" s="30">
        <f>IF(L607="","",INDEX(SkiftNavn,L607))</f>
        <v/>
      </c>
      <c r="I607" s="30">
        <f>IF(OR(A607="",L607=""),"",IF(MOD(A607-INDEX(SkiftStart,L607),Syklus)&lt;DagK,"Kveld",IF(MOD(A607-INDEX(SkiftStart,L607),Syklus)&lt;DagK+DagH,"Helg",IF(MOD(A607-INDEX(SkiftStart,L607),Syklus)&lt;DagK+DagH+DagD,"Dag","Fri"))))</f>
        <v/>
      </c>
      <c r="J607" s="30">
        <f>IF(I607="Fri","Ja","")</f>
        <v/>
      </c>
      <c r="K607" s="30">
        <f>IF(B607="","",IF(L607="","Ukjent tekniker",IF(ISNA(MATCH(C607,Aktiviteter,0)),"Ukjent aktivitet",IF(AND(INDEX(AktRolle,MATCH(C607,Aktiviteter,0))&amp;""&lt;&gt;"",ISERROR(SEARCH(INDEX(AktRolle,MATCH(C607,Aktiviteter,0))&amp;"",INDEX(TekRoller,MATCH(B607,Teknikere,0))))),"Mangler rollen "&amp;INDEX(AktRolle,MATCH(C607,Aktiviteter,0))&amp;"",IF(AND(C607="LMS",F607&gt;0,OR(D607="",E607="")),"Mangler maskin eller arbeid",IF(AND(OR(C607="LMS",C607="Mod"),D607&lt;&gt;""),IF(IFERROR(INDEX(MaskinStatus,MATCH(D607,Maskiner,0)),"")="I dokk","","Maskinen er ikke i dokk"),""))))))</f>
        <v/>
      </c>
      <c r="L607" s="2">
        <f>IF(B607="","",IFERROR(INT((MATCH(B607,Teknikere,0)-1)/18)+1,""))</f>
        <v/>
      </c>
      <c r="M607" s="2">
        <f>IF(OR(A607="",B607=""),"",B607&amp;"|"&amp;A607)</f>
        <v/>
      </c>
      <c r="N607" s="2">
        <f>IF(M607="","",SUMIFS(TF_Timer,TF_Nokkel,M607,TF_Akt,C607))</f>
        <v/>
      </c>
      <c r="O607" s="2">
        <f>IF(M607="","",IF(AND(N607=_xlfn.MAXIFS(TF_AktSum,TF_Nokkel,M607),COUNTIFS(M$3:M606,M607,N$3:N606,N607)=0),M607,""))</f>
        <v/>
      </c>
    </row>
    <row r="608">
      <c r="A608" s="34" t="n"/>
      <c r="B608" s="35" t="n"/>
      <c r="C608" s="35" t="n"/>
      <c r="D608" s="35" t="n"/>
      <c r="E608" s="35" t="n"/>
      <c r="F608" s="36" t="n"/>
      <c r="G608" s="35" t="n"/>
      <c r="H608" s="30">
        <f>IF(L608="","",INDEX(SkiftNavn,L608))</f>
        <v/>
      </c>
      <c r="I608" s="30">
        <f>IF(OR(A608="",L608=""),"",IF(MOD(A608-INDEX(SkiftStart,L608),Syklus)&lt;DagK,"Kveld",IF(MOD(A608-INDEX(SkiftStart,L608),Syklus)&lt;DagK+DagH,"Helg",IF(MOD(A608-INDEX(SkiftStart,L608),Syklus)&lt;DagK+DagH+DagD,"Dag","Fri"))))</f>
        <v/>
      </c>
      <c r="J608" s="30">
        <f>IF(I608="Fri","Ja","")</f>
        <v/>
      </c>
      <c r="K608" s="30">
        <f>IF(B608="","",IF(L608="","Ukjent tekniker",IF(ISNA(MATCH(C608,Aktiviteter,0)),"Ukjent aktivitet",IF(AND(INDEX(AktRolle,MATCH(C608,Aktiviteter,0))&amp;""&lt;&gt;"",ISERROR(SEARCH(INDEX(AktRolle,MATCH(C608,Aktiviteter,0))&amp;"",INDEX(TekRoller,MATCH(B608,Teknikere,0))))),"Mangler rollen "&amp;INDEX(AktRolle,MATCH(C608,Aktiviteter,0))&amp;"",IF(AND(C608="LMS",F608&gt;0,OR(D608="",E608="")),"Mangler maskin eller arbeid",IF(AND(OR(C608="LMS",C608="Mod"),D608&lt;&gt;""),IF(IFERROR(INDEX(MaskinStatus,MATCH(D608,Maskiner,0)),"")="I dokk","","Maskinen er ikke i dokk"),""))))))</f>
        <v/>
      </c>
      <c r="L608" s="2">
        <f>IF(B608="","",IFERROR(INT((MATCH(B608,Teknikere,0)-1)/18)+1,""))</f>
        <v/>
      </c>
      <c r="M608" s="2">
        <f>IF(OR(A608="",B608=""),"",B608&amp;"|"&amp;A608)</f>
        <v/>
      </c>
      <c r="N608" s="2">
        <f>IF(M608="","",SUMIFS(TF_Timer,TF_Nokkel,M608,TF_Akt,C608))</f>
        <v/>
      </c>
      <c r="O608" s="2">
        <f>IF(M608="","",IF(AND(N608=_xlfn.MAXIFS(TF_AktSum,TF_Nokkel,M608),COUNTIFS(M$3:M607,M608,N$3:N607,N608)=0),M608,""))</f>
        <v/>
      </c>
    </row>
    <row r="609">
      <c r="A609" s="34" t="n"/>
      <c r="B609" s="35" t="n"/>
      <c r="C609" s="35" t="n"/>
      <c r="D609" s="35" t="n"/>
      <c r="E609" s="35" t="n"/>
      <c r="F609" s="36" t="n"/>
      <c r="G609" s="35" t="n"/>
      <c r="H609" s="30">
        <f>IF(L609="","",INDEX(SkiftNavn,L609))</f>
        <v/>
      </c>
      <c r="I609" s="30">
        <f>IF(OR(A609="",L609=""),"",IF(MOD(A609-INDEX(SkiftStart,L609),Syklus)&lt;DagK,"Kveld",IF(MOD(A609-INDEX(SkiftStart,L609),Syklus)&lt;DagK+DagH,"Helg",IF(MOD(A609-INDEX(SkiftStart,L609),Syklus)&lt;DagK+DagH+DagD,"Dag","Fri"))))</f>
        <v/>
      </c>
      <c r="J609" s="30">
        <f>IF(I609="Fri","Ja","")</f>
        <v/>
      </c>
      <c r="K609" s="30">
        <f>IF(B609="","",IF(L609="","Ukjent tekniker",IF(ISNA(MATCH(C609,Aktiviteter,0)),"Ukjent aktivitet",IF(AND(INDEX(AktRolle,MATCH(C609,Aktiviteter,0))&amp;""&lt;&gt;"",ISERROR(SEARCH(INDEX(AktRolle,MATCH(C609,Aktiviteter,0))&amp;"",INDEX(TekRoller,MATCH(B609,Teknikere,0))))),"Mangler rollen "&amp;INDEX(AktRolle,MATCH(C609,Aktiviteter,0))&amp;"",IF(AND(C609="LMS",F609&gt;0,OR(D609="",E609="")),"Mangler maskin eller arbeid",IF(AND(OR(C609="LMS",C609="Mod"),D609&lt;&gt;""),IF(IFERROR(INDEX(MaskinStatus,MATCH(D609,Maskiner,0)),"")="I dokk","","Maskinen er ikke i dokk"),""))))))</f>
        <v/>
      </c>
      <c r="L609" s="2">
        <f>IF(B609="","",IFERROR(INT((MATCH(B609,Teknikere,0)-1)/18)+1,""))</f>
        <v/>
      </c>
      <c r="M609" s="2">
        <f>IF(OR(A609="",B609=""),"",B609&amp;"|"&amp;A609)</f>
        <v/>
      </c>
      <c r="N609" s="2">
        <f>IF(M609="","",SUMIFS(TF_Timer,TF_Nokkel,M609,TF_Akt,C609))</f>
        <v/>
      </c>
      <c r="O609" s="2">
        <f>IF(M609="","",IF(AND(N609=_xlfn.MAXIFS(TF_AktSum,TF_Nokkel,M609),COUNTIFS(M$3:M608,M609,N$3:N608,N609)=0),M609,""))</f>
        <v/>
      </c>
    </row>
    <row r="610">
      <c r="A610" s="34" t="n"/>
      <c r="B610" s="35" t="n"/>
      <c r="C610" s="35" t="n"/>
      <c r="D610" s="35" t="n"/>
      <c r="E610" s="35" t="n"/>
      <c r="F610" s="36" t="n"/>
      <c r="G610" s="35" t="n"/>
      <c r="H610" s="30">
        <f>IF(L610="","",INDEX(SkiftNavn,L610))</f>
        <v/>
      </c>
      <c r="I610" s="30">
        <f>IF(OR(A610="",L610=""),"",IF(MOD(A610-INDEX(SkiftStart,L610),Syklus)&lt;DagK,"Kveld",IF(MOD(A610-INDEX(SkiftStart,L610),Syklus)&lt;DagK+DagH,"Helg",IF(MOD(A610-INDEX(SkiftStart,L610),Syklus)&lt;DagK+DagH+DagD,"Dag","Fri"))))</f>
        <v/>
      </c>
      <c r="J610" s="30">
        <f>IF(I610="Fri","Ja","")</f>
        <v/>
      </c>
      <c r="K610" s="30">
        <f>IF(B610="","",IF(L610="","Ukjent tekniker",IF(ISNA(MATCH(C610,Aktiviteter,0)),"Ukjent aktivitet",IF(AND(INDEX(AktRolle,MATCH(C610,Aktiviteter,0))&amp;""&lt;&gt;"",ISERROR(SEARCH(INDEX(AktRolle,MATCH(C610,Aktiviteter,0))&amp;"",INDEX(TekRoller,MATCH(B610,Teknikere,0))))),"Mangler rollen "&amp;INDEX(AktRolle,MATCH(C610,Aktiviteter,0))&amp;"",IF(AND(C610="LMS",F610&gt;0,OR(D610="",E610="")),"Mangler maskin eller arbeid",IF(AND(OR(C610="LMS",C610="Mod"),D610&lt;&gt;""),IF(IFERROR(INDEX(MaskinStatus,MATCH(D610,Maskiner,0)),"")="I dokk","","Maskinen er ikke i dokk"),""))))))</f>
        <v/>
      </c>
      <c r="L610" s="2">
        <f>IF(B610="","",IFERROR(INT((MATCH(B610,Teknikere,0)-1)/18)+1,""))</f>
        <v/>
      </c>
      <c r="M610" s="2">
        <f>IF(OR(A610="",B610=""),"",B610&amp;"|"&amp;A610)</f>
        <v/>
      </c>
      <c r="N610" s="2">
        <f>IF(M610="","",SUMIFS(TF_Timer,TF_Nokkel,M610,TF_Akt,C610))</f>
        <v/>
      </c>
      <c r="O610" s="2">
        <f>IF(M610="","",IF(AND(N610=_xlfn.MAXIFS(TF_AktSum,TF_Nokkel,M610),COUNTIFS(M$3:M609,M610,N$3:N609,N610)=0),M610,""))</f>
        <v/>
      </c>
    </row>
    <row r="611">
      <c r="A611" s="34" t="n"/>
      <c r="B611" s="35" t="n"/>
      <c r="C611" s="35" t="n"/>
      <c r="D611" s="35" t="n"/>
      <c r="E611" s="35" t="n"/>
      <c r="F611" s="36" t="n"/>
      <c r="G611" s="35" t="n"/>
      <c r="H611" s="30">
        <f>IF(L611="","",INDEX(SkiftNavn,L611))</f>
        <v/>
      </c>
      <c r="I611" s="30">
        <f>IF(OR(A611="",L611=""),"",IF(MOD(A611-INDEX(SkiftStart,L611),Syklus)&lt;DagK,"Kveld",IF(MOD(A611-INDEX(SkiftStart,L611),Syklus)&lt;DagK+DagH,"Helg",IF(MOD(A611-INDEX(SkiftStart,L611),Syklus)&lt;DagK+DagH+DagD,"Dag","Fri"))))</f>
        <v/>
      </c>
      <c r="J611" s="30">
        <f>IF(I611="Fri","Ja","")</f>
        <v/>
      </c>
      <c r="K611" s="30">
        <f>IF(B611="","",IF(L611="","Ukjent tekniker",IF(ISNA(MATCH(C611,Aktiviteter,0)),"Ukjent aktivitet",IF(AND(INDEX(AktRolle,MATCH(C611,Aktiviteter,0))&amp;""&lt;&gt;"",ISERROR(SEARCH(INDEX(AktRolle,MATCH(C611,Aktiviteter,0))&amp;"",INDEX(TekRoller,MATCH(B611,Teknikere,0))))),"Mangler rollen "&amp;INDEX(AktRolle,MATCH(C611,Aktiviteter,0))&amp;"",IF(AND(C611="LMS",F611&gt;0,OR(D611="",E611="")),"Mangler maskin eller arbeid",IF(AND(OR(C611="LMS",C611="Mod"),D611&lt;&gt;""),IF(IFERROR(INDEX(MaskinStatus,MATCH(D611,Maskiner,0)),"")="I dokk","","Maskinen er ikke i dokk"),""))))))</f>
        <v/>
      </c>
      <c r="L611" s="2">
        <f>IF(B611="","",IFERROR(INT((MATCH(B611,Teknikere,0)-1)/18)+1,""))</f>
        <v/>
      </c>
      <c r="M611" s="2">
        <f>IF(OR(A611="",B611=""),"",B611&amp;"|"&amp;A611)</f>
        <v/>
      </c>
      <c r="N611" s="2">
        <f>IF(M611="","",SUMIFS(TF_Timer,TF_Nokkel,M611,TF_Akt,C611))</f>
        <v/>
      </c>
      <c r="O611" s="2">
        <f>IF(M611="","",IF(AND(N611=_xlfn.MAXIFS(TF_AktSum,TF_Nokkel,M611),COUNTIFS(M$3:M610,M611,N$3:N610,N611)=0),M611,""))</f>
        <v/>
      </c>
    </row>
    <row r="612">
      <c r="A612" s="34" t="n"/>
      <c r="B612" s="35" t="n"/>
      <c r="C612" s="35" t="n"/>
      <c r="D612" s="35" t="n"/>
      <c r="E612" s="35" t="n"/>
      <c r="F612" s="36" t="n"/>
      <c r="G612" s="35" t="n"/>
      <c r="H612" s="30">
        <f>IF(L612="","",INDEX(SkiftNavn,L612))</f>
        <v/>
      </c>
      <c r="I612" s="30">
        <f>IF(OR(A612="",L612=""),"",IF(MOD(A612-INDEX(SkiftStart,L612),Syklus)&lt;DagK,"Kveld",IF(MOD(A612-INDEX(SkiftStart,L612),Syklus)&lt;DagK+DagH,"Helg",IF(MOD(A612-INDEX(SkiftStart,L612),Syklus)&lt;DagK+DagH+DagD,"Dag","Fri"))))</f>
        <v/>
      </c>
      <c r="J612" s="30">
        <f>IF(I612="Fri","Ja","")</f>
        <v/>
      </c>
      <c r="K612" s="30">
        <f>IF(B612="","",IF(L612="","Ukjent tekniker",IF(ISNA(MATCH(C612,Aktiviteter,0)),"Ukjent aktivitet",IF(AND(INDEX(AktRolle,MATCH(C612,Aktiviteter,0))&amp;""&lt;&gt;"",ISERROR(SEARCH(INDEX(AktRolle,MATCH(C612,Aktiviteter,0))&amp;"",INDEX(TekRoller,MATCH(B612,Teknikere,0))))),"Mangler rollen "&amp;INDEX(AktRolle,MATCH(C612,Aktiviteter,0))&amp;"",IF(AND(C612="LMS",F612&gt;0,OR(D612="",E612="")),"Mangler maskin eller arbeid",IF(AND(OR(C612="LMS",C612="Mod"),D612&lt;&gt;""),IF(IFERROR(INDEX(MaskinStatus,MATCH(D612,Maskiner,0)),"")="I dokk","","Maskinen er ikke i dokk"),""))))))</f>
        <v/>
      </c>
      <c r="L612" s="2">
        <f>IF(B612="","",IFERROR(INT((MATCH(B612,Teknikere,0)-1)/18)+1,""))</f>
        <v/>
      </c>
      <c r="M612" s="2">
        <f>IF(OR(A612="",B612=""),"",B612&amp;"|"&amp;A612)</f>
        <v/>
      </c>
      <c r="N612" s="2">
        <f>IF(M612="","",SUMIFS(TF_Timer,TF_Nokkel,M612,TF_Akt,C612))</f>
        <v/>
      </c>
      <c r="O612" s="2">
        <f>IF(M612="","",IF(AND(N612=_xlfn.MAXIFS(TF_AktSum,TF_Nokkel,M612),COUNTIFS(M$3:M611,M612,N$3:N611,N612)=0),M612,""))</f>
        <v/>
      </c>
    </row>
    <row r="613">
      <c r="A613" s="34" t="n"/>
      <c r="B613" s="35" t="n"/>
      <c r="C613" s="35" t="n"/>
      <c r="D613" s="35" t="n"/>
      <c r="E613" s="35" t="n"/>
      <c r="F613" s="36" t="n"/>
      <c r="G613" s="35" t="n"/>
      <c r="H613" s="30">
        <f>IF(L613="","",INDEX(SkiftNavn,L613))</f>
        <v/>
      </c>
      <c r="I613" s="30">
        <f>IF(OR(A613="",L613=""),"",IF(MOD(A613-INDEX(SkiftStart,L613),Syklus)&lt;DagK,"Kveld",IF(MOD(A613-INDEX(SkiftStart,L613),Syklus)&lt;DagK+DagH,"Helg",IF(MOD(A613-INDEX(SkiftStart,L613),Syklus)&lt;DagK+DagH+DagD,"Dag","Fri"))))</f>
        <v/>
      </c>
      <c r="J613" s="30">
        <f>IF(I613="Fri","Ja","")</f>
        <v/>
      </c>
      <c r="K613" s="30">
        <f>IF(B613="","",IF(L613="","Ukjent tekniker",IF(ISNA(MATCH(C613,Aktiviteter,0)),"Ukjent aktivitet",IF(AND(INDEX(AktRolle,MATCH(C613,Aktiviteter,0))&amp;""&lt;&gt;"",ISERROR(SEARCH(INDEX(AktRolle,MATCH(C613,Aktiviteter,0))&amp;"",INDEX(TekRoller,MATCH(B613,Teknikere,0))))),"Mangler rollen "&amp;INDEX(AktRolle,MATCH(C613,Aktiviteter,0))&amp;"",IF(AND(C613="LMS",F613&gt;0,OR(D613="",E613="")),"Mangler maskin eller arbeid",IF(AND(OR(C613="LMS",C613="Mod"),D613&lt;&gt;""),IF(IFERROR(INDEX(MaskinStatus,MATCH(D613,Maskiner,0)),"")="I dokk","","Maskinen er ikke i dokk"),""))))))</f>
        <v/>
      </c>
      <c r="L613" s="2">
        <f>IF(B613="","",IFERROR(INT((MATCH(B613,Teknikere,0)-1)/18)+1,""))</f>
        <v/>
      </c>
      <c r="M613" s="2">
        <f>IF(OR(A613="",B613=""),"",B613&amp;"|"&amp;A613)</f>
        <v/>
      </c>
      <c r="N613" s="2">
        <f>IF(M613="","",SUMIFS(TF_Timer,TF_Nokkel,M613,TF_Akt,C613))</f>
        <v/>
      </c>
      <c r="O613" s="2">
        <f>IF(M613="","",IF(AND(N613=_xlfn.MAXIFS(TF_AktSum,TF_Nokkel,M613),COUNTIFS(M$3:M612,M613,N$3:N612,N613)=0),M613,""))</f>
        <v/>
      </c>
    </row>
    <row r="614">
      <c r="A614" s="34" t="n"/>
      <c r="B614" s="35" t="n"/>
      <c r="C614" s="35" t="n"/>
      <c r="D614" s="35" t="n"/>
      <c r="E614" s="35" t="n"/>
      <c r="F614" s="36" t="n"/>
      <c r="G614" s="35" t="n"/>
      <c r="H614" s="30">
        <f>IF(L614="","",INDEX(SkiftNavn,L614))</f>
        <v/>
      </c>
      <c r="I614" s="30">
        <f>IF(OR(A614="",L614=""),"",IF(MOD(A614-INDEX(SkiftStart,L614),Syklus)&lt;DagK,"Kveld",IF(MOD(A614-INDEX(SkiftStart,L614),Syklus)&lt;DagK+DagH,"Helg",IF(MOD(A614-INDEX(SkiftStart,L614),Syklus)&lt;DagK+DagH+DagD,"Dag","Fri"))))</f>
        <v/>
      </c>
      <c r="J614" s="30">
        <f>IF(I614="Fri","Ja","")</f>
        <v/>
      </c>
      <c r="K614" s="30">
        <f>IF(B614="","",IF(L614="","Ukjent tekniker",IF(ISNA(MATCH(C614,Aktiviteter,0)),"Ukjent aktivitet",IF(AND(INDEX(AktRolle,MATCH(C614,Aktiviteter,0))&amp;""&lt;&gt;"",ISERROR(SEARCH(INDEX(AktRolle,MATCH(C614,Aktiviteter,0))&amp;"",INDEX(TekRoller,MATCH(B614,Teknikere,0))))),"Mangler rollen "&amp;INDEX(AktRolle,MATCH(C614,Aktiviteter,0))&amp;"",IF(AND(C614="LMS",F614&gt;0,OR(D614="",E614="")),"Mangler maskin eller arbeid",IF(AND(OR(C614="LMS",C614="Mod"),D614&lt;&gt;""),IF(IFERROR(INDEX(MaskinStatus,MATCH(D614,Maskiner,0)),"")="I dokk","","Maskinen er ikke i dokk"),""))))))</f>
        <v/>
      </c>
      <c r="L614" s="2">
        <f>IF(B614="","",IFERROR(INT((MATCH(B614,Teknikere,0)-1)/18)+1,""))</f>
        <v/>
      </c>
      <c r="M614" s="2">
        <f>IF(OR(A614="",B614=""),"",B614&amp;"|"&amp;A614)</f>
        <v/>
      </c>
      <c r="N614" s="2">
        <f>IF(M614="","",SUMIFS(TF_Timer,TF_Nokkel,M614,TF_Akt,C614))</f>
        <v/>
      </c>
      <c r="O614" s="2">
        <f>IF(M614="","",IF(AND(N614=_xlfn.MAXIFS(TF_AktSum,TF_Nokkel,M614),COUNTIFS(M$3:M613,M614,N$3:N613,N614)=0),M614,""))</f>
        <v/>
      </c>
    </row>
    <row r="615">
      <c r="A615" s="34" t="n"/>
      <c r="B615" s="35" t="n"/>
      <c r="C615" s="35" t="n"/>
      <c r="D615" s="35" t="n"/>
      <c r="E615" s="35" t="n"/>
      <c r="F615" s="36" t="n"/>
      <c r="G615" s="35" t="n"/>
      <c r="H615" s="30">
        <f>IF(L615="","",INDEX(SkiftNavn,L615))</f>
        <v/>
      </c>
      <c r="I615" s="30">
        <f>IF(OR(A615="",L615=""),"",IF(MOD(A615-INDEX(SkiftStart,L615),Syklus)&lt;DagK,"Kveld",IF(MOD(A615-INDEX(SkiftStart,L615),Syklus)&lt;DagK+DagH,"Helg",IF(MOD(A615-INDEX(SkiftStart,L615),Syklus)&lt;DagK+DagH+DagD,"Dag","Fri"))))</f>
        <v/>
      </c>
      <c r="J615" s="30">
        <f>IF(I615="Fri","Ja","")</f>
        <v/>
      </c>
      <c r="K615" s="30">
        <f>IF(B615="","",IF(L615="","Ukjent tekniker",IF(ISNA(MATCH(C615,Aktiviteter,0)),"Ukjent aktivitet",IF(AND(INDEX(AktRolle,MATCH(C615,Aktiviteter,0))&amp;""&lt;&gt;"",ISERROR(SEARCH(INDEX(AktRolle,MATCH(C615,Aktiviteter,0))&amp;"",INDEX(TekRoller,MATCH(B615,Teknikere,0))))),"Mangler rollen "&amp;INDEX(AktRolle,MATCH(C615,Aktiviteter,0))&amp;"",IF(AND(C615="LMS",F615&gt;0,OR(D615="",E615="")),"Mangler maskin eller arbeid",IF(AND(OR(C615="LMS",C615="Mod"),D615&lt;&gt;""),IF(IFERROR(INDEX(MaskinStatus,MATCH(D615,Maskiner,0)),"")="I dokk","","Maskinen er ikke i dokk"),""))))))</f>
        <v/>
      </c>
      <c r="L615" s="2">
        <f>IF(B615="","",IFERROR(INT((MATCH(B615,Teknikere,0)-1)/18)+1,""))</f>
        <v/>
      </c>
      <c r="M615" s="2">
        <f>IF(OR(A615="",B615=""),"",B615&amp;"|"&amp;A615)</f>
        <v/>
      </c>
      <c r="N615" s="2">
        <f>IF(M615="","",SUMIFS(TF_Timer,TF_Nokkel,M615,TF_Akt,C615))</f>
        <v/>
      </c>
      <c r="O615" s="2">
        <f>IF(M615="","",IF(AND(N615=_xlfn.MAXIFS(TF_AktSum,TF_Nokkel,M615),COUNTIFS(M$3:M614,M615,N$3:N614,N615)=0),M615,""))</f>
        <v/>
      </c>
    </row>
    <row r="616">
      <c r="A616" s="34" t="n"/>
      <c r="B616" s="35" t="n"/>
      <c r="C616" s="35" t="n"/>
      <c r="D616" s="35" t="n"/>
      <c r="E616" s="35" t="n"/>
      <c r="F616" s="36" t="n"/>
      <c r="G616" s="35" t="n"/>
      <c r="H616" s="30">
        <f>IF(L616="","",INDEX(SkiftNavn,L616))</f>
        <v/>
      </c>
      <c r="I616" s="30">
        <f>IF(OR(A616="",L616=""),"",IF(MOD(A616-INDEX(SkiftStart,L616),Syklus)&lt;DagK,"Kveld",IF(MOD(A616-INDEX(SkiftStart,L616),Syklus)&lt;DagK+DagH,"Helg",IF(MOD(A616-INDEX(SkiftStart,L616),Syklus)&lt;DagK+DagH+DagD,"Dag","Fri"))))</f>
        <v/>
      </c>
      <c r="J616" s="30">
        <f>IF(I616="Fri","Ja","")</f>
        <v/>
      </c>
      <c r="K616" s="30">
        <f>IF(B616="","",IF(L616="","Ukjent tekniker",IF(ISNA(MATCH(C616,Aktiviteter,0)),"Ukjent aktivitet",IF(AND(INDEX(AktRolle,MATCH(C616,Aktiviteter,0))&amp;""&lt;&gt;"",ISERROR(SEARCH(INDEX(AktRolle,MATCH(C616,Aktiviteter,0))&amp;"",INDEX(TekRoller,MATCH(B616,Teknikere,0))))),"Mangler rollen "&amp;INDEX(AktRolle,MATCH(C616,Aktiviteter,0))&amp;"",IF(AND(C616="LMS",F616&gt;0,OR(D616="",E616="")),"Mangler maskin eller arbeid",IF(AND(OR(C616="LMS",C616="Mod"),D616&lt;&gt;""),IF(IFERROR(INDEX(MaskinStatus,MATCH(D616,Maskiner,0)),"")="I dokk","","Maskinen er ikke i dokk"),""))))))</f>
        <v/>
      </c>
      <c r="L616" s="2">
        <f>IF(B616="","",IFERROR(INT((MATCH(B616,Teknikere,0)-1)/18)+1,""))</f>
        <v/>
      </c>
      <c r="M616" s="2">
        <f>IF(OR(A616="",B616=""),"",B616&amp;"|"&amp;A616)</f>
        <v/>
      </c>
      <c r="N616" s="2">
        <f>IF(M616="","",SUMIFS(TF_Timer,TF_Nokkel,M616,TF_Akt,C616))</f>
        <v/>
      </c>
      <c r="O616" s="2">
        <f>IF(M616="","",IF(AND(N616=_xlfn.MAXIFS(TF_AktSum,TF_Nokkel,M616),COUNTIFS(M$3:M615,M616,N$3:N615,N616)=0),M616,""))</f>
        <v/>
      </c>
    </row>
    <row r="617">
      <c r="A617" s="34" t="n"/>
      <c r="B617" s="35" t="n"/>
      <c r="C617" s="35" t="n"/>
      <c r="D617" s="35" t="n"/>
      <c r="E617" s="35" t="n"/>
      <c r="F617" s="36" t="n"/>
      <c r="G617" s="35" t="n"/>
      <c r="H617" s="30">
        <f>IF(L617="","",INDEX(SkiftNavn,L617))</f>
        <v/>
      </c>
      <c r="I617" s="30">
        <f>IF(OR(A617="",L617=""),"",IF(MOD(A617-INDEX(SkiftStart,L617),Syklus)&lt;DagK,"Kveld",IF(MOD(A617-INDEX(SkiftStart,L617),Syklus)&lt;DagK+DagH,"Helg",IF(MOD(A617-INDEX(SkiftStart,L617),Syklus)&lt;DagK+DagH+DagD,"Dag","Fri"))))</f>
        <v/>
      </c>
      <c r="J617" s="30">
        <f>IF(I617="Fri","Ja","")</f>
        <v/>
      </c>
      <c r="K617" s="30">
        <f>IF(B617="","",IF(L617="","Ukjent tekniker",IF(ISNA(MATCH(C617,Aktiviteter,0)),"Ukjent aktivitet",IF(AND(INDEX(AktRolle,MATCH(C617,Aktiviteter,0))&amp;""&lt;&gt;"",ISERROR(SEARCH(INDEX(AktRolle,MATCH(C617,Aktiviteter,0))&amp;"",INDEX(TekRoller,MATCH(B617,Teknikere,0))))),"Mangler rollen "&amp;INDEX(AktRolle,MATCH(C617,Aktiviteter,0))&amp;"",IF(AND(C617="LMS",F617&gt;0,OR(D617="",E617="")),"Mangler maskin eller arbeid",IF(AND(OR(C617="LMS",C617="Mod"),D617&lt;&gt;""),IF(IFERROR(INDEX(MaskinStatus,MATCH(D617,Maskiner,0)),"")="I dokk","","Maskinen er ikke i dokk"),""))))))</f>
        <v/>
      </c>
      <c r="L617" s="2">
        <f>IF(B617="","",IFERROR(INT((MATCH(B617,Teknikere,0)-1)/18)+1,""))</f>
        <v/>
      </c>
      <c r="M617" s="2">
        <f>IF(OR(A617="",B617=""),"",B617&amp;"|"&amp;A617)</f>
        <v/>
      </c>
      <c r="N617" s="2">
        <f>IF(M617="","",SUMIFS(TF_Timer,TF_Nokkel,M617,TF_Akt,C617))</f>
        <v/>
      </c>
      <c r="O617" s="2">
        <f>IF(M617="","",IF(AND(N617=_xlfn.MAXIFS(TF_AktSum,TF_Nokkel,M617),COUNTIFS(M$3:M616,M617,N$3:N616,N617)=0),M617,""))</f>
        <v/>
      </c>
    </row>
    <row r="618">
      <c r="A618" s="34" t="n"/>
      <c r="B618" s="35" t="n"/>
      <c r="C618" s="35" t="n"/>
      <c r="D618" s="35" t="n"/>
      <c r="E618" s="35" t="n"/>
      <c r="F618" s="36" t="n"/>
      <c r="G618" s="35" t="n"/>
      <c r="H618" s="30">
        <f>IF(L618="","",INDEX(SkiftNavn,L618))</f>
        <v/>
      </c>
      <c r="I618" s="30">
        <f>IF(OR(A618="",L618=""),"",IF(MOD(A618-INDEX(SkiftStart,L618),Syklus)&lt;DagK,"Kveld",IF(MOD(A618-INDEX(SkiftStart,L618),Syklus)&lt;DagK+DagH,"Helg",IF(MOD(A618-INDEX(SkiftStart,L618),Syklus)&lt;DagK+DagH+DagD,"Dag","Fri"))))</f>
        <v/>
      </c>
      <c r="J618" s="30">
        <f>IF(I618="Fri","Ja","")</f>
        <v/>
      </c>
      <c r="K618" s="30">
        <f>IF(B618="","",IF(L618="","Ukjent tekniker",IF(ISNA(MATCH(C618,Aktiviteter,0)),"Ukjent aktivitet",IF(AND(INDEX(AktRolle,MATCH(C618,Aktiviteter,0))&amp;""&lt;&gt;"",ISERROR(SEARCH(INDEX(AktRolle,MATCH(C618,Aktiviteter,0))&amp;"",INDEX(TekRoller,MATCH(B618,Teknikere,0))))),"Mangler rollen "&amp;INDEX(AktRolle,MATCH(C618,Aktiviteter,0))&amp;"",IF(AND(C618="LMS",F618&gt;0,OR(D618="",E618="")),"Mangler maskin eller arbeid",IF(AND(OR(C618="LMS",C618="Mod"),D618&lt;&gt;""),IF(IFERROR(INDEX(MaskinStatus,MATCH(D618,Maskiner,0)),"")="I dokk","","Maskinen er ikke i dokk"),""))))))</f>
        <v/>
      </c>
      <c r="L618" s="2">
        <f>IF(B618="","",IFERROR(INT((MATCH(B618,Teknikere,0)-1)/18)+1,""))</f>
        <v/>
      </c>
      <c r="M618" s="2">
        <f>IF(OR(A618="",B618=""),"",B618&amp;"|"&amp;A618)</f>
        <v/>
      </c>
      <c r="N618" s="2">
        <f>IF(M618="","",SUMIFS(TF_Timer,TF_Nokkel,M618,TF_Akt,C618))</f>
        <v/>
      </c>
      <c r="O618" s="2">
        <f>IF(M618="","",IF(AND(N618=_xlfn.MAXIFS(TF_AktSum,TF_Nokkel,M618),COUNTIFS(M$3:M617,M618,N$3:N617,N618)=0),M618,""))</f>
        <v/>
      </c>
    </row>
    <row r="619">
      <c r="A619" s="34" t="n"/>
      <c r="B619" s="35" t="n"/>
      <c r="C619" s="35" t="n"/>
      <c r="D619" s="35" t="n"/>
      <c r="E619" s="35" t="n"/>
      <c r="F619" s="36" t="n"/>
      <c r="G619" s="35" t="n"/>
      <c r="H619" s="30">
        <f>IF(L619="","",INDEX(SkiftNavn,L619))</f>
        <v/>
      </c>
      <c r="I619" s="30">
        <f>IF(OR(A619="",L619=""),"",IF(MOD(A619-INDEX(SkiftStart,L619),Syklus)&lt;DagK,"Kveld",IF(MOD(A619-INDEX(SkiftStart,L619),Syklus)&lt;DagK+DagH,"Helg",IF(MOD(A619-INDEX(SkiftStart,L619),Syklus)&lt;DagK+DagH+DagD,"Dag","Fri"))))</f>
        <v/>
      </c>
      <c r="J619" s="30">
        <f>IF(I619="Fri","Ja","")</f>
        <v/>
      </c>
      <c r="K619" s="30">
        <f>IF(B619="","",IF(L619="","Ukjent tekniker",IF(ISNA(MATCH(C619,Aktiviteter,0)),"Ukjent aktivitet",IF(AND(INDEX(AktRolle,MATCH(C619,Aktiviteter,0))&amp;""&lt;&gt;"",ISERROR(SEARCH(INDEX(AktRolle,MATCH(C619,Aktiviteter,0))&amp;"",INDEX(TekRoller,MATCH(B619,Teknikere,0))))),"Mangler rollen "&amp;INDEX(AktRolle,MATCH(C619,Aktiviteter,0))&amp;"",IF(AND(C619="LMS",F619&gt;0,OR(D619="",E619="")),"Mangler maskin eller arbeid",IF(AND(OR(C619="LMS",C619="Mod"),D619&lt;&gt;""),IF(IFERROR(INDEX(MaskinStatus,MATCH(D619,Maskiner,0)),"")="I dokk","","Maskinen er ikke i dokk"),""))))))</f>
        <v/>
      </c>
      <c r="L619" s="2">
        <f>IF(B619="","",IFERROR(INT((MATCH(B619,Teknikere,0)-1)/18)+1,""))</f>
        <v/>
      </c>
      <c r="M619" s="2">
        <f>IF(OR(A619="",B619=""),"",B619&amp;"|"&amp;A619)</f>
        <v/>
      </c>
      <c r="N619" s="2">
        <f>IF(M619="","",SUMIFS(TF_Timer,TF_Nokkel,M619,TF_Akt,C619))</f>
        <v/>
      </c>
      <c r="O619" s="2">
        <f>IF(M619="","",IF(AND(N619=_xlfn.MAXIFS(TF_AktSum,TF_Nokkel,M619),COUNTIFS(M$3:M618,M619,N$3:N618,N619)=0),M619,""))</f>
        <v/>
      </c>
    </row>
    <row r="620">
      <c r="A620" s="34" t="n"/>
      <c r="B620" s="35" t="n"/>
      <c r="C620" s="35" t="n"/>
      <c r="D620" s="35" t="n"/>
      <c r="E620" s="35" t="n"/>
      <c r="F620" s="36" t="n"/>
      <c r="G620" s="35" t="n"/>
      <c r="H620" s="30">
        <f>IF(L620="","",INDEX(SkiftNavn,L620))</f>
        <v/>
      </c>
      <c r="I620" s="30">
        <f>IF(OR(A620="",L620=""),"",IF(MOD(A620-INDEX(SkiftStart,L620),Syklus)&lt;DagK,"Kveld",IF(MOD(A620-INDEX(SkiftStart,L620),Syklus)&lt;DagK+DagH,"Helg",IF(MOD(A620-INDEX(SkiftStart,L620),Syklus)&lt;DagK+DagH+DagD,"Dag","Fri"))))</f>
        <v/>
      </c>
      <c r="J620" s="30">
        <f>IF(I620="Fri","Ja","")</f>
        <v/>
      </c>
      <c r="K620" s="30">
        <f>IF(B620="","",IF(L620="","Ukjent tekniker",IF(ISNA(MATCH(C620,Aktiviteter,0)),"Ukjent aktivitet",IF(AND(INDEX(AktRolle,MATCH(C620,Aktiviteter,0))&amp;""&lt;&gt;"",ISERROR(SEARCH(INDEX(AktRolle,MATCH(C620,Aktiviteter,0))&amp;"",INDEX(TekRoller,MATCH(B620,Teknikere,0))))),"Mangler rollen "&amp;INDEX(AktRolle,MATCH(C620,Aktiviteter,0))&amp;"",IF(AND(C620="LMS",F620&gt;0,OR(D620="",E620="")),"Mangler maskin eller arbeid",IF(AND(OR(C620="LMS",C620="Mod"),D620&lt;&gt;""),IF(IFERROR(INDEX(MaskinStatus,MATCH(D620,Maskiner,0)),"")="I dokk","","Maskinen er ikke i dokk"),""))))))</f>
        <v/>
      </c>
      <c r="L620" s="2">
        <f>IF(B620="","",IFERROR(INT((MATCH(B620,Teknikere,0)-1)/18)+1,""))</f>
        <v/>
      </c>
      <c r="M620" s="2">
        <f>IF(OR(A620="",B620=""),"",B620&amp;"|"&amp;A620)</f>
        <v/>
      </c>
      <c r="N620" s="2">
        <f>IF(M620="","",SUMIFS(TF_Timer,TF_Nokkel,M620,TF_Akt,C620))</f>
        <v/>
      </c>
      <c r="O620" s="2">
        <f>IF(M620="","",IF(AND(N620=_xlfn.MAXIFS(TF_AktSum,TF_Nokkel,M620),COUNTIFS(M$3:M619,M620,N$3:N619,N620)=0),M620,""))</f>
        <v/>
      </c>
    </row>
    <row r="621">
      <c r="A621" s="34" t="n"/>
      <c r="B621" s="35" t="n"/>
      <c r="C621" s="35" t="n"/>
      <c r="D621" s="35" t="n"/>
      <c r="E621" s="35" t="n"/>
      <c r="F621" s="36" t="n"/>
      <c r="G621" s="35" t="n"/>
      <c r="H621" s="30">
        <f>IF(L621="","",INDEX(SkiftNavn,L621))</f>
        <v/>
      </c>
      <c r="I621" s="30">
        <f>IF(OR(A621="",L621=""),"",IF(MOD(A621-INDEX(SkiftStart,L621),Syklus)&lt;DagK,"Kveld",IF(MOD(A621-INDEX(SkiftStart,L621),Syklus)&lt;DagK+DagH,"Helg",IF(MOD(A621-INDEX(SkiftStart,L621),Syklus)&lt;DagK+DagH+DagD,"Dag","Fri"))))</f>
        <v/>
      </c>
      <c r="J621" s="30">
        <f>IF(I621="Fri","Ja","")</f>
        <v/>
      </c>
      <c r="K621" s="30">
        <f>IF(B621="","",IF(L621="","Ukjent tekniker",IF(ISNA(MATCH(C621,Aktiviteter,0)),"Ukjent aktivitet",IF(AND(INDEX(AktRolle,MATCH(C621,Aktiviteter,0))&amp;""&lt;&gt;"",ISERROR(SEARCH(INDEX(AktRolle,MATCH(C621,Aktiviteter,0))&amp;"",INDEX(TekRoller,MATCH(B621,Teknikere,0))))),"Mangler rollen "&amp;INDEX(AktRolle,MATCH(C621,Aktiviteter,0))&amp;"",IF(AND(C621="LMS",F621&gt;0,OR(D621="",E621="")),"Mangler maskin eller arbeid",IF(AND(OR(C621="LMS",C621="Mod"),D621&lt;&gt;""),IF(IFERROR(INDEX(MaskinStatus,MATCH(D621,Maskiner,0)),"")="I dokk","","Maskinen er ikke i dokk"),""))))))</f>
        <v/>
      </c>
      <c r="L621" s="2">
        <f>IF(B621="","",IFERROR(INT((MATCH(B621,Teknikere,0)-1)/18)+1,""))</f>
        <v/>
      </c>
      <c r="M621" s="2">
        <f>IF(OR(A621="",B621=""),"",B621&amp;"|"&amp;A621)</f>
        <v/>
      </c>
      <c r="N621" s="2">
        <f>IF(M621="","",SUMIFS(TF_Timer,TF_Nokkel,M621,TF_Akt,C621))</f>
        <v/>
      </c>
      <c r="O621" s="2">
        <f>IF(M621="","",IF(AND(N621=_xlfn.MAXIFS(TF_AktSum,TF_Nokkel,M621),COUNTIFS(M$3:M620,M621,N$3:N620,N621)=0),M621,""))</f>
        <v/>
      </c>
    </row>
    <row r="622">
      <c r="A622" s="34" t="n"/>
      <c r="B622" s="35" t="n"/>
      <c r="C622" s="35" t="n"/>
      <c r="D622" s="35" t="n"/>
      <c r="E622" s="35" t="n"/>
      <c r="F622" s="36" t="n"/>
      <c r="G622" s="35" t="n"/>
      <c r="H622" s="30">
        <f>IF(L622="","",INDEX(SkiftNavn,L622))</f>
        <v/>
      </c>
      <c r="I622" s="30">
        <f>IF(OR(A622="",L622=""),"",IF(MOD(A622-INDEX(SkiftStart,L622),Syklus)&lt;DagK,"Kveld",IF(MOD(A622-INDEX(SkiftStart,L622),Syklus)&lt;DagK+DagH,"Helg",IF(MOD(A622-INDEX(SkiftStart,L622),Syklus)&lt;DagK+DagH+DagD,"Dag","Fri"))))</f>
        <v/>
      </c>
      <c r="J622" s="30">
        <f>IF(I622="Fri","Ja","")</f>
        <v/>
      </c>
      <c r="K622" s="30">
        <f>IF(B622="","",IF(L622="","Ukjent tekniker",IF(ISNA(MATCH(C622,Aktiviteter,0)),"Ukjent aktivitet",IF(AND(INDEX(AktRolle,MATCH(C622,Aktiviteter,0))&amp;""&lt;&gt;"",ISERROR(SEARCH(INDEX(AktRolle,MATCH(C622,Aktiviteter,0))&amp;"",INDEX(TekRoller,MATCH(B622,Teknikere,0))))),"Mangler rollen "&amp;INDEX(AktRolle,MATCH(C622,Aktiviteter,0))&amp;"",IF(AND(C622="LMS",F622&gt;0,OR(D622="",E622="")),"Mangler maskin eller arbeid",IF(AND(OR(C622="LMS",C622="Mod"),D622&lt;&gt;""),IF(IFERROR(INDEX(MaskinStatus,MATCH(D622,Maskiner,0)),"")="I dokk","","Maskinen er ikke i dokk"),""))))))</f>
        <v/>
      </c>
      <c r="L622" s="2">
        <f>IF(B622="","",IFERROR(INT((MATCH(B622,Teknikere,0)-1)/18)+1,""))</f>
        <v/>
      </c>
      <c r="M622" s="2">
        <f>IF(OR(A622="",B622=""),"",B622&amp;"|"&amp;A622)</f>
        <v/>
      </c>
      <c r="N622" s="2">
        <f>IF(M622="","",SUMIFS(TF_Timer,TF_Nokkel,M622,TF_Akt,C622))</f>
        <v/>
      </c>
      <c r="O622" s="2">
        <f>IF(M622="","",IF(AND(N622=_xlfn.MAXIFS(TF_AktSum,TF_Nokkel,M622),COUNTIFS(M$3:M621,M622,N$3:N621,N622)=0),M622,""))</f>
        <v/>
      </c>
    </row>
    <row r="623">
      <c r="A623" s="34" t="n"/>
      <c r="B623" s="35" t="n"/>
      <c r="C623" s="35" t="n"/>
      <c r="D623" s="35" t="n"/>
      <c r="E623" s="35" t="n"/>
      <c r="F623" s="36" t="n"/>
      <c r="G623" s="35" t="n"/>
      <c r="H623" s="30">
        <f>IF(L623="","",INDEX(SkiftNavn,L623))</f>
        <v/>
      </c>
      <c r="I623" s="30">
        <f>IF(OR(A623="",L623=""),"",IF(MOD(A623-INDEX(SkiftStart,L623),Syklus)&lt;DagK,"Kveld",IF(MOD(A623-INDEX(SkiftStart,L623),Syklus)&lt;DagK+DagH,"Helg",IF(MOD(A623-INDEX(SkiftStart,L623),Syklus)&lt;DagK+DagH+DagD,"Dag","Fri"))))</f>
        <v/>
      </c>
      <c r="J623" s="30">
        <f>IF(I623="Fri","Ja","")</f>
        <v/>
      </c>
      <c r="K623" s="30">
        <f>IF(B623="","",IF(L623="","Ukjent tekniker",IF(ISNA(MATCH(C623,Aktiviteter,0)),"Ukjent aktivitet",IF(AND(INDEX(AktRolle,MATCH(C623,Aktiviteter,0))&amp;""&lt;&gt;"",ISERROR(SEARCH(INDEX(AktRolle,MATCH(C623,Aktiviteter,0))&amp;"",INDEX(TekRoller,MATCH(B623,Teknikere,0))))),"Mangler rollen "&amp;INDEX(AktRolle,MATCH(C623,Aktiviteter,0))&amp;"",IF(AND(C623="LMS",F623&gt;0,OR(D623="",E623="")),"Mangler maskin eller arbeid",IF(AND(OR(C623="LMS",C623="Mod"),D623&lt;&gt;""),IF(IFERROR(INDEX(MaskinStatus,MATCH(D623,Maskiner,0)),"")="I dokk","","Maskinen er ikke i dokk"),""))))))</f>
        <v/>
      </c>
      <c r="L623" s="2">
        <f>IF(B623="","",IFERROR(INT((MATCH(B623,Teknikere,0)-1)/18)+1,""))</f>
        <v/>
      </c>
      <c r="M623" s="2">
        <f>IF(OR(A623="",B623=""),"",B623&amp;"|"&amp;A623)</f>
        <v/>
      </c>
      <c r="N623" s="2">
        <f>IF(M623="","",SUMIFS(TF_Timer,TF_Nokkel,M623,TF_Akt,C623))</f>
        <v/>
      </c>
      <c r="O623" s="2">
        <f>IF(M623="","",IF(AND(N623=_xlfn.MAXIFS(TF_AktSum,TF_Nokkel,M623),COUNTIFS(M$3:M622,M623,N$3:N622,N623)=0),M623,""))</f>
        <v/>
      </c>
    </row>
    <row r="624">
      <c r="A624" s="34" t="n"/>
      <c r="B624" s="35" t="n"/>
      <c r="C624" s="35" t="n"/>
      <c r="D624" s="35" t="n"/>
      <c r="E624" s="35" t="n"/>
      <c r="F624" s="36" t="n"/>
      <c r="G624" s="35" t="n"/>
      <c r="H624" s="30">
        <f>IF(L624="","",INDEX(SkiftNavn,L624))</f>
        <v/>
      </c>
      <c r="I624" s="30">
        <f>IF(OR(A624="",L624=""),"",IF(MOD(A624-INDEX(SkiftStart,L624),Syklus)&lt;DagK,"Kveld",IF(MOD(A624-INDEX(SkiftStart,L624),Syklus)&lt;DagK+DagH,"Helg",IF(MOD(A624-INDEX(SkiftStart,L624),Syklus)&lt;DagK+DagH+DagD,"Dag","Fri"))))</f>
        <v/>
      </c>
      <c r="J624" s="30">
        <f>IF(I624="Fri","Ja","")</f>
        <v/>
      </c>
      <c r="K624" s="30">
        <f>IF(B624="","",IF(L624="","Ukjent tekniker",IF(ISNA(MATCH(C624,Aktiviteter,0)),"Ukjent aktivitet",IF(AND(INDEX(AktRolle,MATCH(C624,Aktiviteter,0))&amp;""&lt;&gt;"",ISERROR(SEARCH(INDEX(AktRolle,MATCH(C624,Aktiviteter,0))&amp;"",INDEX(TekRoller,MATCH(B624,Teknikere,0))))),"Mangler rollen "&amp;INDEX(AktRolle,MATCH(C624,Aktiviteter,0))&amp;"",IF(AND(C624="LMS",F624&gt;0,OR(D624="",E624="")),"Mangler maskin eller arbeid",IF(AND(OR(C624="LMS",C624="Mod"),D624&lt;&gt;""),IF(IFERROR(INDEX(MaskinStatus,MATCH(D624,Maskiner,0)),"")="I dokk","","Maskinen er ikke i dokk"),""))))))</f>
        <v/>
      </c>
      <c r="L624" s="2">
        <f>IF(B624="","",IFERROR(INT((MATCH(B624,Teknikere,0)-1)/18)+1,""))</f>
        <v/>
      </c>
      <c r="M624" s="2">
        <f>IF(OR(A624="",B624=""),"",B624&amp;"|"&amp;A624)</f>
        <v/>
      </c>
      <c r="N624" s="2">
        <f>IF(M624="","",SUMIFS(TF_Timer,TF_Nokkel,M624,TF_Akt,C624))</f>
        <v/>
      </c>
      <c r="O624" s="2">
        <f>IF(M624="","",IF(AND(N624=_xlfn.MAXIFS(TF_AktSum,TF_Nokkel,M624),COUNTIFS(M$3:M623,M624,N$3:N623,N624)=0),M624,""))</f>
        <v/>
      </c>
    </row>
    <row r="625">
      <c r="A625" s="34" t="n"/>
      <c r="B625" s="35" t="n"/>
      <c r="C625" s="35" t="n"/>
      <c r="D625" s="35" t="n"/>
      <c r="E625" s="35" t="n"/>
      <c r="F625" s="36" t="n"/>
      <c r="G625" s="35" t="n"/>
      <c r="H625" s="30">
        <f>IF(L625="","",INDEX(SkiftNavn,L625))</f>
        <v/>
      </c>
      <c r="I625" s="30">
        <f>IF(OR(A625="",L625=""),"",IF(MOD(A625-INDEX(SkiftStart,L625),Syklus)&lt;DagK,"Kveld",IF(MOD(A625-INDEX(SkiftStart,L625),Syklus)&lt;DagK+DagH,"Helg",IF(MOD(A625-INDEX(SkiftStart,L625),Syklus)&lt;DagK+DagH+DagD,"Dag","Fri"))))</f>
        <v/>
      </c>
      <c r="J625" s="30">
        <f>IF(I625="Fri","Ja","")</f>
        <v/>
      </c>
      <c r="K625" s="30">
        <f>IF(B625="","",IF(L625="","Ukjent tekniker",IF(ISNA(MATCH(C625,Aktiviteter,0)),"Ukjent aktivitet",IF(AND(INDEX(AktRolle,MATCH(C625,Aktiviteter,0))&amp;""&lt;&gt;"",ISERROR(SEARCH(INDEX(AktRolle,MATCH(C625,Aktiviteter,0))&amp;"",INDEX(TekRoller,MATCH(B625,Teknikere,0))))),"Mangler rollen "&amp;INDEX(AktRolle,MATCH(C625,Aktiviteter,0))&amp;"",IF(AND(C625="LMS",F625&gt;0,OR(D625="",E625="")),"Mangler maskin eller arbeid",IF(AND(OR(C625="LMS",C625="Mod"),D625&lt;&gt;""),IF(IFERROR(INDEX(MaskinStatus,MATCH(D625,Maskiner,0)),"")="I dokk","","Maskinen er ikke i dokk"),""))))))</f>
        <v/>
      </c>
      <c r="L625" s="2">
        <f>IF(B625="","",IFERROR(INT((MATCH(B625,Teknikere,0)-1)/18)+1,""))</f>
        <v/>
      </c>
      <c r="M625" s="2">
        <f>IF(OR(A625="",B625=""),"",B625&amp;"|"&amp;A625)</f>
        <v/>
      </c>
      <c r="N625" s="2">
        <f>IF(M625="","",SUMIFS(TF_Timer,TF_Nokkel,M625,TF_Akt,C625))</f>
        <v/>
      </c>
      <c r="O625" s="2">
        <f>IF(M625="","",IF(AND(N625=_xlfn.MAXIFS(TF_AktSum,TF_Nokkel,M625),COUNTIFS(M$3:M624,M625,N$3:N624,N625)=0),M625,""))</f>
        <v/>
      </c>
    </row>
    <row r="626">
      <c r="A626" s="34" t="n"/>
      <c r="B626" s="35" t="n"/>
      <c r="C626" s="35" t="n"/>
      <c r="D626" s="35" t="n"/>
      <c r="E626" s="35" t="n"/>
      <c r="F626" s="36" t="n"/>
      <c r="G626" s="35" t="n"/>
      <c r="H626" s="30">
        <f>IF(L626="","",INDEX(SkiftNavn,L626))</f>
        <v/>
      </c>
      <c r="I626" s="30">
        <f>IF(OR(A626="",L626=""),"",IF(MOD(A626-INDEX(SkiftStart,L626),Syklus)&lt;DagK,"Kveld",IF(MOD(A626-INDEX(SkiftStart,L626),Syklus)&lt;DagK+DagH,"Helg",IF(MOD(A626-INDEX(SkiftStart,L626),Syklus)&lt;DagK+DagH+DagD,"Dag","Fri"))))</f>
        <v/>
      </c>
      <c r="J626" s="30">
        <f>IF(I626="Fri","Ja","")</f>
        <v/>
      </c>
      <c r="K626" s="30">
        <f>IF(B626="","",IF(L626="","Ukjent tekniker",IF(ISNA(MATCH(C626,Aktiviteter,0)),"Ukjent aktivitet",IF(AND(INDEX(AktRolle,MATCH(C626,Aktiviteter,0))&amp;""&lt;&gt;"",ISERROR(SEARCH(INDEX(AktRolle,MATCH(C626,Aktiviteter,0))&amp;"",INDEX(TekRoller,MATCH(B626,Teknikere,0))))),"Mangler rollen "&amp;INDEX(AktRolle,MATCH(C626,Aktiviteter,0))&amp;"",IF(AND(C626="LMS",F626&gt;0,OR(D626="",E626="")),"Mangler maskin eller arbeid",IF(AND(OR(C626="LMS",C626="Mod"),D626&lt;&gt;""),IF(IFERROR(INDEX(MaskinStatus,MATCH(D626,Maskiner,0)),"")="I dokk","","Maskinen er ikke i dokk"),""))))))</f>
        <v/>
      </c>
      <c r="L626" s="2">
        <f>IF(B626="","",IFERROR(INT((MATCH(B626,Teknikere,0)-1)/18)+1,""))</f>
        <v/>
      </c>
      <c r="M626" s="2">
        <f>IF(OR(A626="",B626=""),"",B626&amp;"|"&amp;A626)</f>
        <v/>
      </c>
      <c r="N626" s="2">
        <f>IF(M626="","",SUMIFS(TF_Timer,TF_Nokkel,M626,TF_Akt,C626))</f>
        <v/>
      </c>
      <c r="O626" s="2">
        <f>IF(M626="","",IF(AND(N626=_xlfn.MAXIFS(TF_AktSum,TF_Nokkel,M626),COUNTIFS(M$3:M625,M626,N$3:N625,N626)=0),M626,""))</f>
        <v/>
      </c>
    </row>
    <row r="627">
      <c r="A627" s="34" t="n"/>
      <c r="B627" s="35" t="n"/>
      <c r="C627" s="35" t="n"/>
      <c r="D627" s="35" t="n"/>
      <c r="E627" s="35" t="n"/>
      <c r="F627" s="36" t="n"/>
      <c r="G627" s="35" t="n"/>
      <c r="H627" s="30">
        <f>IF(L627="","",INDEX(SkiftNavn,L627))</f>
        <v/>
      </c>
      <c r="I627" s="30">
        <f>IF(OR(A627="",L627=""),"",IF(MOD(A627-INDEX(SkiftStart,L627),Syklus)&lt;DagK,"Kveld",IF(MOD(A627-INDEX(SkiftStart,L627),Syklus)&lt;DagK+DagH,"Helg",IF(MOD(A627-INDEX(SkiftStart,L627),Syklus)&lt;DagK+DagH+DagD,"Dag","Fri"))))</f>
        <v/>
      </c>
      <c r="J627" s="30">
        <f>IF(I627="Fri","Ja","")</f>
        <v/>
      </c>
      <c r="K627" s="30">
        <f>IF(B627="","",IF(L627="","Ukjent tekniker",IF(ISNA(MATCH(C627,Aktiviteter,0)),"Ukjent aktivitet",IF(AND(INDEX(AktRolle,MATCH(C627,Aktiviteter,0))&amp;""&lt;&gt;"",ISERROR(SEARCH(INDEX(AktRolle,MATCH(C627,Aktiviteter,0))&amp;"",INDEX(TekRoller,MATCH(B627,Teknikere,0))))),"Mangler rollen "&amp;INDEX(AktRolle,MATCH(C627,Aktiviteter,0))&amp;"",IF(AND(C627="LMS",F627&gt;0,OR(D627="",E627="")),"Mangler maskin eller arbeid",IF(AND(OR(C627="LMS",C627="Mod"),D627&lt;&gt;""),IF(IFERROR(INDEX(MaskinStatus,MATCH(D627,Maskiner,0)),"")="I dokk","","Maskinen er ikke i dokk"),""))))))</f>
        <v/>
      </c>
      <c r="L627" s="2">
        <f>IF(B627="","",IFERROR(INT((MATCH(B627,Teknikere,0)-1)/18)+1,""))</f>
        <v/>
      </c>
      <c r="M627" s="2">
        <f>IF(OR(A627="",B627=""),"",B627&amp;"|"&amp;A627)</f>
        <v/>
      </c>
      <c r="N627" s="2">
        <f>IF(M627="","",SUMIFS(TF_Timer,TF_Nokkel,M627,TF_Akt,C627))</f>
        <v/>
      </c>
      <c r="O627" s="2">
        <f>IF(M627="","",IF(AND(N627=_xlfn.MAXIFS(TF_AktSum,TF_Nokkel,M627),COUNTIFS(M$3:M626,M627,N$3:N626,N627)=0),M627,""))</f>
        <v/>
      </c>
    </row>
    <row r="628">
      <c r="A628" s="34" t="n"/>
      <c r="B628" s="35" t="n"/>
      <c r="C628" s="35" t="n"/>
      <c r="D628" s="35" t="n"/>
      <c r="E628" s="35" t="n"/>
      <c r="F628" s="36" t="n"/>
      <c r="G628" s="35" t="n"/>
      <c r="H628" s="30">
        <f>IF(L628="","",INDEX(SkiftNavn,L628))</f>
        <v/>
      </c>
      <c r="I628" s="30">
        <f>IF(OR(A628="",L628=""),"",IF(MOD(A628-INDEX(SkiftStart,L628),Syklus)&lt;DagK,"Kveld",IF(MOD(A628-INDEX(SkiftStart,L628),Syklus)&lt;DagK+DagH,"Helg",IF(MOD(A628-INDEX(SkiftStart,L628),Syklus)&lt;DagK+DagH+DagD,"Dag","Fri"))))</f>
        <v/>
      </c>
      <c r="J628" s="30">
        <f>IF(I628="Fri","Ja","")</f>
        <v/>
      </c>
      <c r="K628" s="30">
        <f>IF(B628="","",IF(L628="","Ukjent tekniker",IF(ISNA(MATCH(C628,Aktiviteter,0)),"Ukjent aktivitet",IF(AND(INDEX(AktRolle,MATCH(C628,Aktiviteter,0))&amp;""&lt;&gt;"",ISERROR(SEARCH(INDEX(AktRolle,MATCH(C628,Aktiviteter,0))&amp;"",INDEX(TekRoller,MATCH(B628,Teknikere,0))))),"Mangler rollen "&amp;INDEX(AktRolle,MATCH(C628,Aktiviteter,0))&amp;"",IF(AND(C628="LMS",F628&gt;0,OR(D628="",E628="")),"Mangler maskin eller arbeid",IF(AND(OR(C628="LMS",C628="Mod"),D628&lt;&gt;""),IF(IFERROR(INDEX(MaskinStatus,MATCH(D628,Maskiner,0)),"")="I dokk","","Maskinen er ikke i dokk"),""))))))</f>
        <v/>
      </c>
      <c r="L628" s="2">
        <f>IF(B628="","",IFERROR(INT((MATCH(B628,Teknikere,0)-1)/18)+1,""))</f>
        <v/>
      </c>
      <c r="M628" s="2">
        <f>IF(OR(A628="",B628=""),"",B628&amp;"|"&amp;A628)</f>
        <v/>
      </c>
      <c r="N628" s="2">
        <f>IF(M628="","",SUMIFS(TF_Timer,TF_Nokkel,M628,TF_Akt,C628))</f>
        <v/>
      </c>
      <c r="O628" s="2">
        <f>IF(M628="","",IF(AND(N628=_xlfn.MAXIFS(TF_AktSum,TF_Nokkel,M628),COUNTIFS(M$3:M627,M628,N$3:N627,N628)=0),M628,""))</f>
        <v/>
      </c>
    </row>
    <row r="629">
      <c r="A629" s="34" t="n"/>
      <c r="B629" s="35" t="n"/>
      <c r="C629" s="35" t="n"/>
      <c r="D629" s="35" t="n"/>
      <c r="E629" s="35" t="n"/>
      <c r="F629" s="36" t="n"/>
      <c r="G629" s="35" t="n"/>
      <c r="H629" s="30">
        <f>IF(L629="","",INDEX(SkiftNavn,L629))</f>
        <v/>
      </c>
      <c r="I629" s="30">
        <f>IF(OR(A629="",L629=""),"",IF(MOD(A629-INDEX(SkiftStart,L629),Syklus)&lt;DagK,"Kveld",IF(MOD(A629-INDEX(SkiftStart,L629),Syklus)&lt;DagK+DagH,"Helg",IF(MOD(A629-INDEX(SkiftStart,L629),Syklus)&lt;DagK+DagH+DagD,"Dag","Fri"))))</f>
        <v/>
      </c>
      <c r="J629" s="30">
        <f>IF(I629="Fri","Ja","")</f>
        <v/>
      </c>
      <c r="K629" s="30">
        <f>IF(B629="","",IF(L629="","Ukjent tekniker",IF(ISNA(MATCH(C629,Aktiviteter,0)),"Ukjent aktivitet",IF(AND(INDEX(AktRolle,MATCH(C629,Aktiviteter,0))&amp;""&lt;&gt;"",ISERROR(SEARCH(INDEX(AktRolle,MATCH(C629,Aktiviteter,0))&amp;"",INDEX(TekRoller,MATCH(B629,Teknikere,0))))),"Mangler rollen "&amp;INDEX(AktRolle,MATCH(C629,Aktiviteter,0))&amp;"",IF(AND(C629="LMS",F629&gt;0,OR(D629="",E629="")),"Mangler maskin eller arbeid",IF(AND(OR(C629="LMS",C629="Mod"),D629&lt;&gt;""),IF(IFERROR(INDEX(MaskinStatus,MATCH(D629,Maskiner,0)),"")="I dokk","","Maskinen er ikke i dokk"),""))))))</f>
        <v/>
      </c>
      <c r="L629" s="2">
        <f>IF(B629="","",IFERROR(INT((MATCH(B629,Teknikere,0)-1)/18)+1,""))</f>
        <v/>
      </c>
      <c r="M629" s="2">
        <f>IF(OR(A629="",B629=""),"",B629&amp;"|"&amp;A629)</f>
        <v/>
      </c>
      <c r="N629" s="2">
        <f>IF(M629="","",SUMIFS(TF_Timer,TF_Nokkel,M629,TF_Akt,C629))</f>
        <v/>
      </c>
      <c r="O629" s="2">
        <f>IF(M629="","",IF(AND(N629=_xlfn.MAXIFS(TF_AktSum,TF_Nokkel,M629),COUNTIFS(M$3:M628,M629,N$3:N628,N629)=0),M629,""))</f>
        <v/>
      </c>
    </row>
    <row r="630">
      <c r="A630" s="34" t="n"/>
      <c r="B630" s="35" t="n"/>
      <c r="C630" s="35" t="n"/>
      <c r="D630" s="35" t="n"/>
      <c r="E630" s="35" t="n"/>
      <c r="F630" s="36" t="n"/>
      <c r="G630" s="35" t="n"/>
      <c r="H630" s="30">
        <f>IF(L630="","",INDEX(SkiftNavn,L630))</f>
        <v/>
      </c>
      <c r="I630" s="30">
        <f>IF(OR(A630="",L630=""),"",IF(MOD(A630-INDEX(SkiftStart,L630),Syklus)&lt;DagK,"Kveld",IF(MOD(A630-INDEX(SkiftStart,L630),Syklus)&lt;DagK+DagH,"Helg",IF(MOD(A630-INDEX(SkiftStart,L630),Syklus)&lt;DagK+DagH+DagD,"Dag","Fri"))))</f>
        <v/>
      </c>
      <c r="J630" s="30">
        <f>IF(I630="Fri","Ja","")</f>
        <v/>
      </c>
      <c r="K630" s="30">
        <f>IF(B630="","",IF(L630="","Ukjent tekniker",IF(ISNA(MATCH(C630,Aktiviteter,0)),"Ukjent aktivitet",IF(AND(INDEX(AktRolle,MATCH(C630,Aktiviteter,0))&amp;""&lt;&gt;"",ISERROR(SEARCH(INDEX(AktRolle,MATCH(C630,Aktiviteter,0))&amp;"",INDEX(TekRoller,MATCH(B630,Teknikere,0))))),"Mangler rollen "&amp;INDEX(AktRolle,MATCH(C630,Aktiviteter,0))&amp;"",IF(AND(C630="LMS",F630&gt;0,OR(D630="",E630="")),"Mangler maskin eller arbeid",IF(AND(OR(C630="LMS",C630="Mod"),D630&lt;&gt;""),IF(IFERROR(INDEX(MaskinStatus,MATCH(D630,Maskiner,0)),"")="I dokk","","Maskinen er ikke i dokk"),""))))))</f>
        <v/>
      </c>
      <c r="L630" s="2">
        <f>IF(B630="","",IFERROR(INT((MATCH(B630,Teknikere,0)-1)/18)+1,""))</f>
        <v/>
      </c>
      <c r="M630" s="2">
        <f>IF(OR(A630="",B630=""),"",B630&amp;"|"&amp;A630)</f>
        <v/>
      </c>
      <c r="N630" s="2">
        <f>IF(M630="","",SUMIFS(TF_Timer,TF_Nokkel,M630,TF_Akt,C630))</f>
        <v/>
      </c>
      <c r="O630" s="2">
        <f>IF(M630="","",IF(AND(N630=_xlfn.MAXIFS(TF_AktSum,TF_Nokkel,M630),COUNTIFS(M$3:M629,M630,N$3:N629,N630)=0),M630,""))</f>
        <v/>
      </c>
    </row>
    <row r="631">
      <c r="A631" s="34" t="n"/>
      <c r="B631" s="35" t="n"/>
      <c r="C631" s="35" t="n"/>
      <c r="D631" s="35" t="n"/>
      <c r="E631" s="35" t="n"/>
      <c r="F631" s="36" t="n"/>
      <c r="G631" s="35" t="n"/>
      <c r="H631" s="30">
        <f>IF(L631="","",INDEX(SkiftNavn,L631))</f>
        <v/>
      </c>
      <c r="I631" s="30">
        <f>IF(OR(A631="",L631=""),"",IF(MOD(A631-INDEX(SkiftStart,L631),Syklus)&lt;DagK,"Kveld",IF(MOD(A631-INDEX(SkiftStart,L631),Syklus)&lt;DagK+DagH,"Helg",IF(MOD(A631-INDEX(SkiftStart,L631),Syklus)&lt;DagK+DagH+DagD,"Dag","Fri"))))</f>
        <v/>
      </c>
      <c r="J631" s="30">
        <f>IF(I631="Fri","Ja","")</f>
        <v/>
      </c>
      <c r="K631" s="30">
        <f>IF(B631="","",IF(L631="","Ukjent tekniker",IF(ISNA(MATCH(C631,Aktiviteter,0)),"Ukjent aktivitet",IF(AND(INDEX(AktRolle,MATCH(C631,Aktiviteter,0))&amp;""&lt;&gt;"",ISERROR(SEARCH(INDEX(AktRolle,MATCH(C631,Aktiviteter,0))&amp;"",INDEX(TekRoller,MATCH(B631,Teknikere,0))))),"Mangler rollen "&amp;INDEX(AktRolle,MATCH(C631,Aktiviteter,0))&amp;"",IF(AND(C631="LMS",F631&gt;0,OR(D631="",E631="")),"Mangler maskin eller arbeid",IF(AND(OR(C631="LMS",C631="Mod"),D631&lt;&gt;""),IF(IFERROR(INDEX(MaskinStatus,MATCH(D631,Maskiner,0)),"")="I dokk","","Maskinen er ikke i dokk"),""))))))</f>
        <v/>
      </c>
      <c r="L631" s="2">
        <f>IF(B631="","",IFERROR(INT((MATCH(B631,Teknikere,0)-1)/18)+1,""))</f>
        <v/>
      </c>
      <c r="M631" s="2">
        <f>IF(OR(A631="",B631=""),"",B631&amp;"|"&amp;A631)</f>
        <v/>
      </c>
      <c r="N631" s="2">
        <f>IF(M631="","",SUMIFS(TF_Timer,TF_Nokkel,M631,TF_Akt,C631))</f>
        <v/>
      </c>
      <c r="O631" s="2">
        <f>IF(M631="","",IF(AND(N631=_xlfn.MAXIFS(TF_AktSum,TF_Nokkel,M631),COUNTIFS(M$3:M630,M631,N$3:N630,N631)=0),M631,""))</f>
        <v/>
      </c>
    </row>
    <row r="632">
      <c r="A632" s="34" t="n"/>
      <c r="B632" s="35" t="n"/>
      <c r="C632" s="35" t="n"/>
      <c r="D632" s="35" t="n"/>
      <c r="E632" s="35" t="n"/>
      <c r="F632" s="36" t="n"/>
      <c r="G632" s="35" t="n"/>
      <c r="H632" s="30">
        <f>IF(L632="","",INDEX(SkiftNavn,L632))</f>
        <v/>
      </c>
      <c r="I632" s="30">
        <f>IF(OR(A632="",L632=""),"",IF(MOD(A632-INDEX(SkiftStart,L632),Syklus)&lt;DagK,"Kveld",IF(MOD(A632-INDEX(SkiftStart,L632),Syklus)&lt;DagK+DagH,"Helg",IF(MOD(A632-INDEX(SkiftStart,L632),Syklus)&lt;DagK+DagH+DagD,"Dag","Fri"))))</f>
        <v/>
      </c>
      <c r="J632" s="30">
        <f>IF(I632="Fri","Ja","")</f>
        <v/>
      </c>
      <c r="K632" s="30">
        <f>IF(B632="","",IF(L632="","Ukjent tekniker",IF(ISNA(MATCH(C632,Aktiviteter,0)),"Ukjent aktivitet",IF(AND(INDEX(AktRolle,MATCH(C632,Aktiviteter,0))&amp;""&lt;&gt;"",ISERROR(SEARCH(INDEX(AktRolle,MATCH(C632,Aktiviteter,0))&amp;"",INDEX(TekRoller,MATCH(B632,Teknikere,0))))),"Mangler rollen "&amp;INDEX(AktRolle,MATCH(C632,Aktiviteter,0))&amp;"",IF(AND(C632="LMS",F632&gt;0,OR(D632="",E632="")),"Mangler maskin eller arbeid",IF(AND(OR(C632="LMS",C632="Mod"),D632&lt;&gt;""),IF(IFERROR(INDEX(MaskinStatus,MATCH(D632,Maskiner,0)),"")="I dokk","","Maskinen er ikke i dokk"),""))))))</f>
        <v/>
      </c>
      <c r="L632" s="2">
        <f>IF(B632="","",IFERROR(INT((MATCH(B632,Teknikere,0)-1)/18)+1,""))</f>
        <v/>
      </c>
      <c r="M632" s="2">
        <f>IF(OR(A632="",B632=""),"",B632&amp;"|"&amp;A632)</f>
        <v/>
      </c>
      <c r="N632" s="2">
        <f>IF(M632="","",SUMIFS(TF_Timer,TF_Nokkel,M632,TF_Akt,C632))</f>
        <v/>
      </c>
      <c r="O632" s="2">
        <f>IF(M632="","",IF(AND(N632=_xlfn.MAXIFS(TF_AktSum,TF_Nokkel,M632),COUNTIFS(M$3:M631,M632,N$3:N631,N632)=0),M632,""))</f>
        <v/>
      </c>
    </row>
    <row r="633">
      <c r="A633" s="34" t="n"/>
      <c r="B633" s="35" t="n"/>
      <c r="C633" s="35" t="n"/>
      <c r="D633" s="35" t="n"/>
      <c r="E633" s="35" t="n"/>
      <c r="F633" s="36" t="n"/>
      <c r="G633" s="35" t="n"/>
      <c r="H633" s="30">
        <f>IF(L633="","",INDEX(SkiftNavn,L633))</f>
        <v/>
      </c>
      <c r="I633" s="30">
        <f>IF(OR(A633="",L633=""),"",IF(MOD(A633-INDEX(SkiftStart,L633),Syklus)&lt;DagK,"Kveld",IF(MOD(A633-INDEX(SkiftStart,L633),Syklus)&lt;DagK+DagH,"Helg",IF(MOD(A633-INDEX(SkiftStart,L633),Syklus)&lt;DagK+DagH+DagD,"Dag","Fri"))))</f>
        <v/>
      </c>
      <c r="J633" s="30">
        <f>IF(I633="Fri","Ja","")</f>
        <v/>
      </c>
      <c r="K633" s="30">
        <f>IF(B633="","",IF(L633="","Ukjent tekniker",IF(ISNA(MATCH(C633,Aktiviteter,0)),"Ukjent aktivitet",IF(AND(INDEX(AktRolle,MATCH(C633,Aktiviteter,0))&amp;""&lt;&gt;"",ISERROR(SEARCH(INDEX(AktRolle,MATCH(C633,Aktiviteter,0))&amp;"",INDEX(TekRoller,MATCH(B633,Teknikere,0))))),"Mangler rollen "&amp;INDEX(AktRolle,MATCH(C633,Aktiviteter,0))&amp;"",IF(AND(C633="LMS",F633&gt;0,OR(D633="",E633="")),"Mangler maskin eller arbeid",IF(AND(OR(C633="LMS",C633="Mod"),D633&lt;&gt;""),IF(IFERROR(INDEX(MaskinStatus,MATCH(D633,Maskiner,0)),"")="I dokk","","Maskinen er ikke i dokk"),""))))))</f>
        <v/>
      </c>
      <c r="L633" s="2">
        <f>IF(B633="","",IFERROR(INT((MATCH(B633,Teknikere,0)-1)/18)+1,""))</f>
        <v/>
      </c>
      <c r="M633" s="2">
        <f>IF(OR(A633="",B633=""),"",B633&amp;"|"&amp;A633)</f>
        <v/>
      </c>
      <c r="N633" s="2">
        <f>IF(M633="","",SUMIFS(TF_Timer,TF_Nokkel,M633,TF_Akt,C633))</f>
        <v/>
      </c>
      <c r="O633" s="2">
        <f>IF(M633="","",IF(AND(N633=_xlfn.MAXIFS(TF_AktSum,TF_Nokkel,M633),COUNTIFS(M$3:M632,M633,N$3:N632,N633)=0),M633,""))</f>
        <v/>
      </c>
    </row>
    <row r="634">
      <c r="A634" s="34" t="n"/>
      <c r="B634" s="35" t="n"/>
      <c r="C634" s="35" t="n"/>
      <c r="D634" s="35" t="n"/>
      <c r="E634" s="35" t="n"/>
      <c r="F634" s="36" t="n"/>
      <c r="G634" s="35" t="n"/>
      <c r="H634" s="30">
        <f>IF(L634="","",INDEX(SkiftNavn,L634))</f>
        <v/>
      </c>
      <c r="I634" s="30">
        <f>IF(OR(A634="",L634=""),"",IF(MOD(A634-INDEX(SkiftStart,L634),Syklus)&lt;DagK,"Kveld",IF(MOD(A634-INDEX(SkiftStart,L634),Syklus)&lt;DagK+DagH,"Helg",IF(MOD(A634-INDEX(SkiftStart,L634),Syklus)&lt;DagK+DagH+DagD,"Dag","Fri"))))</f>
        <v/>
      </c>
      <c r="J634" s="30">
        <f>IF(I634="Fri","Ja","")</f>
        <v/>
      </c>
      <c r="K634" s="30">
        <f>IF(B634="","",IF(L634="","Ukjent tekniker",IF(ISNA(MATCH(C634,Aktiviteter,0)),"Ukjent aktivitet",IF(AND(INDEX(AktRolle,MATCH(C634,Aktiviteter,0))&amp;""&lt;&gt;"",ISERROR(SEARCH(INDEX(AktRolle,MATCH(C634,Aktiviteter,0))&amp;"",INDEX(TekRoller,MATCH(B634,Teknikere,0))))),"Mangler rollen "&amp;INDEX(AktRolle,MATCH(C634,Aktiviteter,0))&amp;"",IF(AND(C634="LMS",F634&gt;0,OR(D634="",E634="")),"Mangler maskin eller arbeid",IF(AND(OR(C634="LMS",C634="Mod"),D634&lt;&gt;""),IF(IFERROR(INDEX(MaskinStatus,MATCH(D634,Maskiner,0)),"")="I dokk","","Maskinen er ikke i dokk"),""))))))</f>
        <v/>
      </c>
      <c r="L634" s="2">
        <f>IF(B634="","",IFERROR(INT((MATCH(B634,Teknikere,0)-1)/18)+1,""))</f>
        <v/>
      </c>
      <c r="M634" s="2">
        <f>IF(OR(A634="",B634=""),"",B634&amp;"|"&amp;A634)</f>
        <v/>
      </c>
      <c r="N634" s="2">
        <f>IF(M634="","",SUMIFS(TF_Timer,TF_Nokkel,M634,TF_Akt,C634))</f>
        <v/>
      </c>
      <c r="O634" s="2">
        <f>IF(M634="","",IF(AND(N634=_xlfn.MAXIFS(TF_AktSum,TF_Nokkel,M634),COUNTIFS(M$3:M633,M634,N$3:N633,N634)=0),M634,""))</f>
        <v/>
      </c>
    </row>
    <row r="635">
      <c r="A635" s="34" t="n"/>
      <c r="B635" s="35" t="n"/>
      <c r="C635" s="35" t="n"/>
      <c r="D635" s="35" t="n"/>
      <c r="E635" s="35" t="n"/>
      <c r="F635" s="36" t="n"/>
      <c r="G635" s="35" t="n"/>
      <c r="H635" s="30">
        <f>IF(L635="","",INDEX(SkiftNavn,L635))</f>
        <v/>
      </c>
      <c r="I635" s="30">
        <f>IF(OR(A635="",L635=""),"",IF(MOD(A635-INDEX(SkiftStart,L635),Syklus)&lt;DagK,"Kveld",IF(MOD(A635-INDEX(SkiftStart,L635),Syklus)&lt;DagK+DagH,"Helg",IF(MOD(A635-INDEX(SkiftStart,L635),Syklus)&lt;DagK+DagH+DagD,"Dag","Fri"))))</f>
        <v/>
      </c>
      <c r="J635" s="30">
        <f>IF(I635="Fri","Ja","")</f>
        <v/>
      </c>
      <c r="K635" s="30">
        <f>IF(B635="","",IF(L635="","Ukjent tekniker",IF(ISNA(MATCH(C635,Aktiviteter,0)),"Ukjent aktivitet",IF(AND(INDEX(AktRolle,MATCH(C635,Aktiviteter,0))&amp;""&lt;&gt;"",ISERROR(SEARCH(INDEX(AktRolle,MATCH(C635,Aktiviteter,0))&amp;"",INDEX(TekRoller,MATCH(B635,Teknikere,0))))),"Mangler rollen "&amp;INDEX(AktRolle,MATCH(C635,Aktiviteter,0))&amp;"",IF(AND(C635="LMS",F635&gt;0,OR(D635="",E635="")),"Mangler maskin eller arbeid",IF(AND(OR(C635="LMS",C635="Mod"),D635&lt;&gt;""),IF(IFERROR(INDEX(MaskinStatus,MATCH(D635,Maskiner,0)),"")="I dokk","","Maskinen er ikke i dokk"),""))))))</f>
        <v/>
      </c>
      <c r="L635" s="2">
        <f>IF(B635="","",IFERROR(INT((MATCH(B635,Teknikere,0)-1)/18)+1,""))</f>
        <v/>
      </c>
      <c r="M635" s="2">
        <f>IF(OR(A635="",B635=""),"",B635&amp;"|"&amp;A635)</f>
        <v/>
      </c>
      <c r="N635" s="2">
        <f>IF(M635="","",SUMIFS(TF_Timer,TF_Nokkel,M635,TF_Akt,C635))</f>
        <v/>
      </c>
      <c r="O635" s="2">
        <f>IF(M635="","",IF(AND(N635=_xlfn.MAXIFS(TF_AktSum,TF_Nokkel,M635),COUNTIFS(M$3:M634,M635,N$3:N634,N635)=0),M635,""))</f>
        <v/>
      </c>
    </row>
    <row r="636">
      <c r="A636" s="34" t="n"/>
      <c r="B636" s="35" t="n"/>
      <c r="C636" s="35" t="n"/>
      <c r="D636" s="35" t="n"/>
      <c r="E636" s="35" t="n"/>
      <c r="F636" s="36" t="n"/>
      <c r="G636" s="35" t="n"/>
      <c r="H636" s="30">
        <f>IF(L636="","",INDEX(SkiftNavn,L636))</f>
        <v/>
      </c>
      <c r="I636" s="30">
        <f>IF(OR(A636="",L636=""),"",IF(MOD(A636-INDEX(SkiftStart,L636),Syklus)&lt;DagK,"Kveld",IF(MOD(A636-INDEX(SkiftStart,L636),Syklus)&lt;DagK+DagH,"Helg",IF(MOD(A636-INDEX(SkiftStart,L636),Syklus)&lt;DagK+DagH+DagD,"Dag","Fri"))))</f>
        <v/>
      </c>
      <c r="J636" s="30">
        <f>IF(I636="Fri","Ja","")</f>
        <v/>
      </c>
      <c r="K636" s="30">
        <f>IF(B636="","",IF(L636="","Ukjent tekniker",IF(ISNA(MATCH(C636,Aktiviteter,0)),"Ukjent aktivitet",IF(AND(INDEX(AktRolle,MATCH(C636,Aktiviteter,0))&amp;""&lt;&gt;"",ISERROR(SEARCH(INDEX(AktRolle,MATCH(C636,Aktiviteter,0))&amp;"",INDEX(TekRoller,MATCH(B636,Teknikere,0))))),"Mangler rollen "&amp;INDEX(AktRolle,MATCH(C636,Aktiviteter,0))&amp;"",IF(AND(C636="LMS",F636&gt;0,OR(D636="",E636="")),"Mangler maskin eller arbeid",IF(AND(OR(C636="LMS",C636="Mod"),D636&lt;&gt;""),IF(IFERROR(INDEX(MaskinStatus,MATCH(D636,Maskiner,0)),"")="I dokk","","Maskinen er ikke i dokk"),""))))))</f>
        <v/>
      </c>
      <c r="L636" s="2">
        <f>IF(B636="","",IFERROR(INT((MATCH(B636,Teknikere,0)-1)/18)+1,""))</f>
        <v/>
      </c>
      <c r="M636" s="2">
        <f>IF(OR(A636="",B636=""),"",B636&amp;"|"&amp;A636)</f>
        <v/>
      </c>
      <c r="N636" s="2">
        <f>IF(M636="","",SUMIFS(TF_Timer,TF_Nokkel,M636,TF_Akt,C636))</f>
        <v/>
      </c>
      <c r="O636" s="2">
        <f>IF(M636="","",IF(AND(N636=_xlfn.MAXIFS(TF_AktSum,TF_Nokkel,M636),COUNTIFS(M$3:M635,M636,N$3:N635,N636)=0),M636,""))</f>
        <v/>
      </c>
    </row>
    <row r="637">
      <c r="A637" s="34" t="n"/>
      <c r="B637" s="35" t="n"/>
      <c r="C637" s="35" t="n"/>
      <c r="D637" s="35" t="n"/>
      <c r="E637" s="35" t="n"/>
      <c r="F637" s="36" t="n"/>
      <c r="G637" s="35" t="n"/>
      <c r="H637" s="30">
        <f>IF(L637="","",INDEX(SkiftNavn,L637))</f>
        <v/>
      </c>
      <c r="I637" s="30">
        <f>IF(OR(A637="",L637=""),"",IF(MOD(A637-INDEX(SkiftStart,L637),Syklus)&lt;DagK,"Kveld",IF(MOD(A637-INDEX(SkiftStart,L637),Syklus)&lt;DagK+DagH,"Helg",IF(MOD(A637-INDEX(SkiftStart,L637),Syklus)&lt;DagK+DagH+DagD,"Dag","Fri"))))</f>
        <v/>
      </c>
      <c r="J637" s="30">
        <f>IF(I637="Fri","Ja","")</f>
        <v/>
      </c>
      <c r="K637" s="30">
        <f>IF(B637="","",IF(L637="","Ukjent tekniker",IF(ISNA(MATCH(C637,Aktiviteter,0)),"Ukjent aktivitet",IF(AND(INDEX(AktRolle,MATCH(C637,Aktiviteter,0))&amp;""&lt;&gt;"",ISERROR(SEARCH(INDEX(AktRolle,MATCH(C637,Aktiviteter,0))&amp;"",INDEX(TekRoller,MATCH(B637,Teknikere,0))))),"Mangler rollen "&amp;INDEX(AktRolle,MATCH(C637,Aktiviteter,0))&amp;"",IF(AND(C637="LMS",F637&gt;0,OR(D637="",E637="")),"Mangler maskin eller arbeid",IF(AND(OR(C637="LMS",C637="Mod"),D637&lt;&gt;""),IF(IFERROR(INDEX(MaskinStatus,MATCH(D637,Maskiner,0)),"")="I dokk","","Maskinen er ikke i dokk"),""))))))</f>
        <v/>
      </c>
      <c r="L637" s="2">
        <f>IF(B637="","",IFERROR(INT((MATCH(B637,Teknikere,0)-1)/18)+1,""))</f>
        <v/>
      </c>
      <c r="M637" s="2">
        <f>IF(OR(A637="",B637=""),"",B637&amp;"|"&amp;A637)</f>
        <v/>
      </c>
      <c r="N637" s="2">
        <f>IF(M637="","",SUMIFS(TF_Timer,TF_Nokkel,M637,TF_Akt,C637))</f>
        <v/>
      </c>
      <c r="O637" s="2">
        <f>IF(M637="","",IF(AND(N637=_xlfn.MAXIFS(TF_AktSum,TF_Nokkel,M637),COUNTIFS(M$3:M636,M637,N$3:N636,N637)=0),M637,""))</f>
        <v/>
      </c>
    </row>
    <row r="638">
      <c r="A638" s="34" t="n"/>
      <c r="B638" s="35" t="n"/>
      <c r="C638" s="35" t="n"/>
      <c r="D638" s="35" t="n"/>
      <c r="E638" s="35" t="n"/>
      <c r="F638" s="36" t="n"/>
      <c r="G638" s="35" t="n"/>
      <c r="H638" s="30">
        <f>IF(L638="","",INDEX(SkiftNavn,L638))</f>
        <v/>
      </c>
      <c r="I638" s="30">
        <f>IF(OR(A638="",L638=""),"",IF(MOD(A638-INDEX(SkiftStart,L638),Syklus)&lt;DagK,"Kveld",IF(MOD(A638-INDEX(SkiftStart,L638),Syklus)&lt;DagK+DagH,"Helg",IF(MOD(A638-INDEX(SkiftStart,L638),Syklus)&lt;DagK+DagH+DagD,"Dag","Fri"))))</f>
        <v/>
      </c>
      <c r="J638" s="30">
        <f>IF(I638="Fri","Ja","")</f>
        <v/>
      </c>
      <c r="K638" s="30">
        <f>IF(B638="","",IF(L638="","Ukjent tekniker",IF(ISNA(MATCH(C638,Aktiviteter,0)),"Ukjent aktivitet",IF(AND(INDEX(AktRolle,MATCH(C638,Aktiviteter,0))&amp;""&lt;&gt;"",ISERROR(SEARCH(INDEX(AktRolle,MATCH(C638,Aktiviteter,0))&amp;"",INDEX(TekRoller,MATCH(B638,Teknikere,0))))),"Mangler rollen "&amp;INDEX(AktRolle,MATCH(C638,Aktiviteter,0))&amp;"",IF(AND(C638="LMS",F638&gt;0,OR(D638="",E638="")),"Mangler maskin eller arbeid",IF(AND(OR(C638="LMS",C638="Mod"),D638&lt;&gt;""),IF(IFERROR(INDEX(MaskinStatus,MATCH(D638,Maskiner,0)),"")="I dokk","","Maskinen er ikke i dokk"),""))))))</f>
        <v/>
      </c>
      <c r="L638" s="2">
        <f>IF(B638="","",IFERROR(INT((MATCH(B638,Teknikere,0)-1)/18)+1,""))</f>
        <v/>
      </c>
      <c r="M638" s="2">
        <f>IF(OR(A638="",B638=""),"",B638&amp;"|"&amp;A638)</f>
        <v/>
      </c>
      <c r="N638" s="2">
        <f>IF(M638="","",SUMIFS(TF_Timer,TF_Nokkel,M638,TF_Akt,C638))</f>
        <v/>
      </c>
      <c r="O638" s="2">
        <f>IF(M638="","",IF(AND(N638=_xlfn.MAXIFS(TF_AktSum,TF_Nokkel,M638),COUNTIFS(M$3:M637,M638,N$3:N637,N638)=0),M638,""))</f>
        <v/>
      </c>
    </row>
    <row r="639">
      <c r="A639" s="34" t="n"/>
      <c r="B639" s="35" t="n"/>
      <c r="C639" s="35" t="n"/>
      <c r="D639" s="35" t="n"/>
      <c r="E639" s="35" t="n"/>
      <c r="F639" s="36" t="n"/>
      <c r="G639" s="35" t="n"/>
      <c r="H639" s="30">
        <f>IF(L639="","",INDEX(SkiftNavn,L639))</f>
        <v/>
      </c>
      <c r="I639" s="30">
        <f>IF(OR(A639="",L639=""),"",IF(MOD(A639-INDEX(SkiftStart,L639),Syklus)&lt;DagK,"Kveld",IF(MOD(A639-INDEX(SkiftStart,L639),Syklus)&lt;DagK+DagH,"Helg",IF(MOD(A639-INDEX(SkiftStart,L639),Syklus)&lt;DagK+DagH+DagD,"Dag","Fri"))))</f>
        <v/>
      </c>
      <c r="J639" s="30">
        <f>IF(I639="Fri","Ja","")</f>
        <v/>
      </c>
      <c r="K639" s="30">
        <f>IF(B639="","",IF(L639="","Ukjent tekniker",IF(ISNA(MATCH(C639,Aktiviteter,0)),"Ukjent aktivitet",IF(AND(INDEX(AktRolle,MATCH(C639,Aktiviteter,0))&amp;""&lt;&gt;"",ISERROR(SEARCH(INDEX(AktRolle,MATCH(C639,Aktiviteter,0))&amp;"",INDEX(TekRoller,MATCH(B639,Teknikere,0))))),"Mangler rollen "&amp;INDEX(AktRolle,MATCH(C639,Aktiviteter,0))&amp;"",IF(AND(C639="LMS",F639&gt;0,OR(D639="",E639="")),"Mangler maskin eller arbeid",IF(AND(OR(C639="LMS",C639="Mod"),D639&lt;&gt;""),IF(IFERROR(INDEX(MaskinStatus,MATCH(D639,Maskiner,0)),"")="I dokk","","Maskinen er ikke i dokk"),""))))))</f>
        <v/>
      </c>
      <c r="L639" s="2">
        <f>IF(B639="","",IFERROR(INT((MATCH(B639,Teknikere,0)-1)/18)+1,""))</f>
        <v/>
      </c>
      <c r="M639" s="2">
        <f>IF(OR(A639="",B639=""),"",B639&amp;"|"&amp;A639)</f>
        <v/>
      </c>
      <c r="N639" s="2">
        <f>IF(M639="","",SUMIFS(TF_Timer,TF_Nokkel,M639,TF_Akt,C639))</f>
        <v/>
      </c>
      <c r="O639" s="2">
        <f>IF(M639="","",IF(AND(N639=_xlfn.MAXIFS(TF_AktSum,TF_Nokkel,M639),COUNTIFS(M$3:M638,M639,N$3:N638,N639)=0),M639,""))</f>
        <v/>
      </c>
    </row>
    <row r="640">
      <c r="A640" s="34" t="n"/>
      <c r="B640" s="35" t="n"/>
      <c r="C640" s="35" t="n"/>
      <c r="D640" s="35" t="n"/>
      <c r="E640" s="35" t="n"/>
      <c r="F640" s="36" t="n"/>
      <c r="G640" s="35" t="n"/>
      <c r="H640" s="30">
        <f>IF(L640="","",INDEX(SkiftNavn,L640))</f>
        <v/>
      </c>
      <c r="I640" s="30">
        <f>IF(OR(A640="",L640=""),"",IF(MOD(A640-INDEX(SkiftStart,L640),Syklus)&lt;DagK,"Kveld",IF(MOD(A640-INDEX(SkiftStart,L640),Syklus)&lt;DagK+DagH,"Helg",IF(MOD(A640-INDEX(SkiftStart,L640),Syklus)&lt;DagK+DagH+DagD,"Dag","Fri"))))</f>
        <v/>
      </c>
      <c r="J640" s="30">
        <f>IF(I640="Fri","Ja","")</f>
        <v/>
      </c>
      <c r="K640" s="30">
        <f>IF(B640="","",IF(L640="","Ukjent tekniker",IF(ISNA(MATCH(C640,Aktiviteter,0)),"Ukjent aktivitet",IF(AND(INDEX(AktRolle,MATCH(C640,Aktiviteter,0))&amp;""&lt;&gt;"",ISERROR(SEARCH(INDEX(AktRolle,MATCH(C640,Aktiviteter,0))&amp;"",INDEX(TekRoller,MATCH(B640,Teknikere,0))))),"Mangler rollen "&amp;INDEX(AktRolle,MATCH(C640,Aktiviteter,0))&amp;"",IF(AND(C640="LMS",F640&gt;0,OR(D640="",E640="")),"Mangler maskin eller arbeid",IF(AND(OR(C640="LMS",C640="Mod"),D640&lt;&gt;""),IF(IFERROR(INDEX(MaskinStatus,MATCH(D640,Maskiner,0)),"")="I dokk","","Maskinen er ikke i dokk"),""))))))</f>
        <v/>
      </c>
      <c r="L640" s="2">
        <f>IF(B640="","",IFERROR(INT((MATCH(B640,Teknikere,0)-1)/18)+1,""))</f>
        <v/>
      </c>
      <c r="M640" s="2">
        <f>IF(OR(A640="",B640=""),"",B640&amp;"|"&amp;A640)</f>
        <v/>
      </c>
      <c r="N640" s="2">
        <f>IF(M640="","",SUMIFS(TF_Timer,TF_Nokkel,M640,TF_Akt,C640))</f>
        <v/>
      </c>
      <c r="O640" s="2">
        <f>IF(M640="","",IF(AND(N640=_xlfn.MAXIFS(TF_AktSum,TF_Nokkel,M640),COUNTIFS(M$3:M639,M640,N$3:N639,N640)=0),M640,""))</f>
        <v/>
      </c>
    </row>
    <row r="641">
      <c r="A641" s="34" t="n"/>
      <c r="B641" s="35" t="n"/>
      <c r="C641" s="35" t="n"/>
      <c r="D641" s="35" t="n"/>
      <c r="E641" s="35" t="n"/>
      <c r="F641" s="36" t="n"/>
      <c r="G641" s="35" t="n"/>
      <c r="H641" s="30">
        <f>IF(L641="","",INDEX(SkiftNavn,L641))</f>
        <v/>
      </c>
      <c r="I641" s="30">
        <f>IF(OR(A641="",L641=""),"",IF(MOD(A641-INDEX(SkiftStart,L641),Syklus)&lt;DagK,"Kveld",IF(MOD(A641-INDEX(SkiftStart,L641),Syklus)&lt;DagK+DagH,"Helg",IF(MOD(A641-INDEX(SkiftStart,L641),Syklus)&lt;DagK+DagH+DagD,"Dag","Fri"))))</f>
        <v/>
      </c>
      <c r="J641" s="30">
        <f>IF(I641="Fri","Ja","")</f>
        <v/>
      </c>
      <c r="K641" s="30">
        <f>IF(B641="","",IF(L641="","Ukjent tekniker",IF(ISNA(MATCH(C641,Aktiviteter,0)),"Ukjent aktivitet",IF(AND(INDEX(AktRolle,MATCH(C641,Aktiviteter,0))&amp;""&lt;&gt;"",ISERROR(SEARCH(INDEX(AktRolle,MATCH(C641,Aktiviteter,0))&amp;"",INDEX(TekRoller,MATCH(B641,Teknikere,0))))),"Mangler rollen "&amp;INDEX(AktRolle,MATCH(C641,Aktiviteter,0))&amp;"",IF(AND(C641="LMS",F641&gt;0,OR(D641="",E641="")),"Mangler maskin eller arbeid",IF(AND(OR(C641="LMS",C641="Mod"),D641&lt;&gt;""),IF(IFERROR(INDEX(MaskinStatus,MATCH(D641,Maskiner,0)),"")="I dokk","","Maskinen er ikke i dokk"),""))))))</f>
        <v/>
      </c>
      <c r="L641" s="2">
        <f>IF(B641="","",IFERROR(INT((MATCH(B641,Teknikere,0)-1)/18)+1,""))</f>
        <v/>
      </c>
      <c r="M641" s="2">
        <f>IF(OR(A641="",B641=""),"",B641&amp;"|"&amp;A641)</f>
        <v/>
      </c>
      <c r="N641" s="2">
        <f>IF(M641="","",SUMIFS(TF_Timer,TF_Nokkel,M641,TF_Akt,C641))</f>
        <v/>
      </c>
      <c r="O641" s="2">
        <f>IF(M641="","",IF(AND(N641=_xlfn.MAXIFS(TF_AktSum,TF_Nokkel,M641),COUNTIFS(M$3:M640,M641,N$3:N640,N641)=0),M641,""))</f>
        <v/>
      </c>
    </row>
    <row r="642">
      <c r="A642" s="34" t="n"/>
      <c r="B642" s="35" t="n"/>
      <c r="C642" s="35" t="n"/>
      <c r="D642" s="35" t="n"/>
      <c r="E642" s="35" t="n"/>
      <c r="F642" s="36" t="n"/>
      <c r="G642" s="35" t="n"/>
      <c r="H642" s="30">
        <f>IF(L642="","",INDEX(SkiftNavn,L642))</f>
        <v/>
      </c>
      <c r="I642" s="30">
        <f>IF(OR(A642="",L642=""),"",IF(MOD(A642-INDEX(SkiftStart,L642),Syklus)&lt;DagK,"Kveld",IF(MOD(A642-INDEX(SkiftStart,L642),Syklus)&lt;DagK+DagH,"Helg",IF(MOD(A642-INDEX(SkiftStart,L642),Syklus)&lt;DagK+DagH+DagD,"Dag","Fri"))))</f>
        <v/>
      </c>
      <c r="J642" s="30">
        <f>IF(I642="Fri","Ja","")</f>
        <v/>
      </c>
      <c r="K642" s="30">
        <f>IF(B642="","",IF(L642="","Ukjent tekniker",IF(ISNA(MATCH(C642,Aktiviteter,0)),"Ukjent aktivitet",IF(AND(INDEX(AktRolle,MATCH(C642,Aktiviteter,0))&amp;""&lt;&gt;"",ISERROR(SEARCH(INDEX(AktRolle,MATCH(C642,Aktiviteter,0))&amp;"",INDEX(TekRoller,MATCH(B642,Teknikere,0))))),"Mangler rollen "&amp;INDEX(AktRolle,MATCH(C642,Aktiviteter,0))&amp;"",IF(AND(C642="LMS",F642&gt;0,OR(D642="",E642="")),"Mangler maskin eller arbeid",IF(AND(OR(C642="LMS",C642="Mod"),D642&lt;&gt;""),IF(IFERROR(INDEX(MaskinStatus,MATCH(D642,Maskiner,0)),"")="I dokk","","Maskinen er ikke i dokk"),""))))))</f>
        <v/>
      </c>
      <c r="L642" s="2">
        <f>IF(B642="","",IFERROR(INT((MATCH(B642,Teknikere,0)-1)/18)+1,""))</f>
        <v/>
      </c>
      <c r="M642" s="2">
        <f>IF(OR(A642="",B642=""),"",B642&amp;"|"&amp;A642)</f>
        <v/>
      </c>
      <c r="N642" s="2">
        <f>IF(M642="","",SUMIFS(TF_Timer,TF_Nokkel,M642,TF_Akt,C642))</f>
        <v/>
      </c>
      <c r="O642" s="2">
        <f>IF(M642="","",IF(AND(N642=_xlfn.MAXIFS(TF_AktSum,TF_Nokkel,M642),COUNTIFS(M$3:M641,M642,N$3:N641,N642)=0),M642,""))</f>
        <v/>
      </c>
    </row>
    <row r="643">
      <c r="A643" s="34" t="n"/>
      <c r="B643" s="35" t="n"/>
      <c r="C643" s="35" t="n"/>
      <c r="D643" s="35" t="n"/>
      <c r="E643" s="35" t="n"/>
      <c r="F643" s="36" t="n"/>
      <c r="G643" s="35" t="n"/>
      <c r="H643" s="30">
        <f>IF(L643="","",INDEX(SkiftNavn,L643))</f>
        <v/>
      </c>
      <c r="I643" s="30">
        <f>IF(OR(A643="",L643=""),"",IF(MOD(A643-INDEX(SkiftStart,L643),Syklus)&lt;DagK,"Kveld",IF(MOD(A643-INDEX(SkiftStart,L643),Syklus)&lt;DagK+DagH,"Helg",IF(MOD(A643-INDEX(SkiftStart,L643),Syklus)&lt;DagK+DagH+DagD,"Dag","Fri"))))</f>
        <v/>
      </c>
      <c r="J643" s="30">
        <f>IF(I643="Fri","Ja","")</f>
        <v/>
      </c>
      <c r="K643" s="30">
        <f>IF(B643="","",IF(L643="","Ukjent tekniker",IF(ISNA(MATCH(C643,Aktiviteter,0)),"Ukjent aktivitet",IF(AND(INDEX(AktRolle,MATCH(C643,Aktiviteter,0))&amp;""&lt;&gt;"",ISERROR(SEARCH(INDEX(AktRolle,MATCH(C643,Aktiviteter,0))&amp;"",INDEX(TekRoller,MATCH(B643,Teknikere,0))))),"Mangler rollen "&amp;INDEX(AktRolle,MATCH(C643,Aktiviteter,0))&amp;"",IF(AND(C643="LMS",F643&gt;0,OR(D643="",E643="")),"Mangler maskin eller arbeid",IF(AND(OR(C643="LMS",C643="Mod"),D643&lt;&gt;""),IF(IFERROR(INDEX(MaskinStatus,MATCH(D643,Maskiner,0)),"")="I dokk","","Maskinen er ikke i dokk"),""))))))</f>
        <v/>
      </c>
      <c r="L643" s="2">
        <f>IF(B643="","",IFERROR(INT((MATCH(B643,Teknikere,0)-1)/18)+1,""))</f>
        <v/>
      </c>
      <c r="M643" s="2">
        <f>IF(OR(A643="",B643=""),"",B643&amp;"|"&amp;A643)</f>
        <v/>
      </c>
      <c r="N643" s="2">
        <f>IF(M643="","",SUMIFS(TF_Timer,TF_Nokkel,M643,TF_Akt,C643))</f>
        <v/>
      </c>
      <c r="O643" s="2">
        <f>IF(M643="","",IF(AND(N643=_xlfn.MAXIFS(TF_AktSum,TF_Nokkel,M643),COUNTIFS(M$3:M642,M643,N$3:N642,N643)=0),M643,""))</f>
        <v/>
      </c>
    </row>
    <row r="644">
      <c r="A644" s="34" t="n"/>
      <c r="B644" s="35" t="n"/>
      <c r="C644" s="35" t="n"/>
      <c r="D644" s="35" t="n"/>
      <c r="E644" s="35" t="n"/>
      <c r="F644" s="36" t="n"/>
      <c r="G644" s="35" t="n"/>
      <c r="H644" s="30">
        <f>IF(L644="","",INDEX(SkiftNavn,L644))</f>
        <v/>
      </c>
      <c r="I644" s="30">
        <f>IF(OR(A644="",L644=""),"",IF(MOD(A644-INDEX(SkiftStart,L644),Syklus)&lt;DagK,"Kveld",IF(MOD(A644-INDEX(SkiftStart,L644),Syklus)&lt;DagK+DagH,"Helg",IF(MOD(A644-INDEX(SkiftStart,L644),Syklus)&lt;DagK+DagH+DagD,"Dag","Fri"))))</f>
        <v/>
      </c>
      <c r="J644" s="30">
        <f>IF(I644="Fri","Ja","")</f>
        <v/>
      </c>
      <c r="K644" s="30">
        <f>IF(B644="","",IF(L644="","Ukjent tekniker",IF(ISNA(MATCH(C644,Aktiviteter,0)),"Ukjent aktivitet",IF(AND(INDEX(AktRolle,MATCH(C644,Aktiviteter,0))&amp;""&lt;&gt;"",ISERROR(SEARCH(INDEX(AktRolle,MATCH(C644,Aktiviteter,0))&amp;"",INDEX(TekRoller,MATCH(B644,Teknikere,0))))),"Mangler rollen "&amp;INDEX(AktRolle,MATCH(C644,Aktiviteter,0))&amp;"",IF(AND(C644="LMS",F644&gt;0,OR(D644="",E644="")),"Mangler maskin eller arbeid",IF(AND(OR(C644="LMS",C644="Mod"),D644&lt;&gt;""),IF(IFERROR(INDEX(MaskinStatus,MATCH(D644,Maskiner,0)),"")="I dokk","","Maskinen er ikke i dokk"),""))))))</f>
        <v/>
      </c>
      <c r="L644" s="2">
        <f>IF(B644="","",IFERROR(INT((MATCH(B644,Teknikere,0)-1)/18)+1,""))</f>
        <v/>
      </c>
      <c r="M644" s="2">
        <f>IF(OR(A644="",B644=""),"",B644&amp;"|"&amp;A644)</f>
        <v/>
      </c>
      <c r="N644" s="2">
        <f>IF(M644="","",SUMIFS(TF_Timer,TF_Nokkel,M644,TF_Akt,C644))</f>
        <v/>
      </c>
      <c r="O644" s="2">
        <f>IF(M644="","",IF(AND(N644=_xlfn.MAXIFS(TF_AktSum,TF_Nokkel,M644),COUNTIFS(M$3:M643,M644,N$3:N643,N644)=0),M644,""))</f>
        <v/>
      </c>
    </row>
    <row r="645">
      <c r="A645" s="34" t="n"/>
      <c r="B645" s="35" t="n"/>
      <c r="C645" s="35" t="n"/>
      <c r="D645" s="35" t="n"/>
      <c r="E645" s="35" t="n"/>
      <c r="F645" s="36" t="n"/>
      <c r="G645" s="35" t="n"/>
      <c r="H645" s="30">
        <f>IF(L645="","",INDEX(SkiftNavn,L645))</f>
        <v/>
      </c>
      <c r="I645" s="30">
        <f>IF(OR(A645="",L645=""),"",IF(MOD(A645-INDEX(SkiftStart,L645),Syklus)&lt;DagK,"Kveld",IF(MOD(A645-INDEX(SkiftStart,L645),Syklus)&lt;DagK+DagH,"Helg",IF(MOD(A645-INDEX(SkiftStart,L645),Syklus)&lt;DagK+DagH+DagD,"Dag","Fri"))))</f>
        <v/>
      </c>
      <c r="J645" s="30">
        <f>IF(I645="Fri","Ja","")</f>
        <v/>
      </c>
      <c r="K645" s="30">
        <f>IF(B645="","",IF(L645="","Ukjent tekniker",IF(ISNA(MATCH(C645,Aktiviteter,0)),"Ukjent aktivitet",IF(AND(INDEX(AktRolle,MATCH(C645,Aktiviteter,0))&amp;""&lt;&gt;"",ISERROR(SEARCH(INDEX(AktRolle,MATCH(C645,Aktiviteter,0))&amp;"",INDEX(TekRoller,MATCH(B645,Teknikere,0))))),"Mangler rollen "&amp;INDEX(AktRolle,MATCH(C645,Aktiviteter,0))&amp;"",IF(AND(C645="LMS",F645&gt;0,OR(D645="",E645="")),"Mangler maskin eller arbeid",IF(AND(OR(C645="LMS",C645="Mod"),D645&lt;&gt;""),IF(IFERROR(INDEX(MaskinStatus,MATCH(D645,Maskiner,0)),"")="I dokk","","Maskinen er ikke i dokk"),""))))))</f>
        <v/>
      </c>
      <c r="L645" s="2">
        <f>IF(B645="","",IFERROR(INT((MATCH(B645,Teknikere,0)-1)/18)+1,""))</f>
        <v/>
      </c>
      <c r="M645" s="2">
        <f>IF(OR(A645="",B645=""),"",B645&amp;"|"&amp;A645)</f>
        <v/>
      </c>
      <c r="N645" s="2">
        <f>IF(M645="","",SUMIFS(TF_Timer,TF_Nokkel,M645,TF_Akt,C645))</f>
        <v/>
      </c>
      <c r="O645" s="2">
        <f>IF(M645="","",IF(AND(N645=_xlfn.MAXIFS(TF_AktSum,TF_Nokkel,M645),COUNTIFS(M$3:M644,M645,N$3:N644,N645)=0),M645,""))</f>
        <v/>
      </c>
    </row>
    <row r="646">
      <c r="A646" s="34" t="n"/>
      <c r="B646" s="35" t="n"/>
      <c r="C646" s="35" t="n"/>
      <c r="D646" s="35" t="n"/>
      <c r="E646" s="35" t="n"/>
      <c r="F646" s="36" t="n"/>
      <c r="G646" s="35" t="n"/>
      <c r="H646" s="30">
        <f>IF(L646="","",INDEX(SkiftNavn,L646))</f>
        <v/>
      </c>
      <c r="I646" s="30">
        <f>IF(OR(A646="",L646=""),"",IF(MOD(A646-INDEX(SkiftStart,L646),Syklus)&lt;DagK,"Kveld",IF(MOD(A646-INDEX(SkiftStart,L646),Syklus)&lt;DagK+DagH,"Helg",IF(MOD(A646-INDEX(SkiftStart,L646),Syklus)&lt;DagK+DagH+DagD,"Dag","Fri"))))</f>
        <v/>
      </c>
      <c r="J646" s="30">
        <f>IF(I646="Fri","Ja","")</f>
        <v/>
      </c>
      <c r="K646" s="30">
        <f>IF(B646="","",IF(L646="","Ukjent tekniker",IF(ISNA(MATCH(C646,Aktiviteter,0)),"Ukjent aktivitet",IF(AND(INDEX(AktRolle,MATCH(C646,Aktiviteter,0))&amp;""&lt;&gt;"",ISERROR(SEARCH(INDEX(AktRolle,MATCH(C646,Aktiviteter,0))&amp;"",INDEX(TekRoller,MATCH(B646,Teknikere,0))))),"Mangler rollen "&amp;INDEX(AktRolle,MATCH(C646,Aktiviteter,0))&amp;"",IF(AND(C646="LMS",F646&gt;0,OR(D646="",E646="")),"Mangler maskin eller arbeid",IF(AND(OR(C646="LMS",C646="Mod"),D646&lt;&gt;""),IF(IFERROR(INDEX(MaskinStatus,MATCH(D646,Maskiner,0)),"")="I dokk","","Maskinen er ikke i dokk"),""))))))</f>
        <v/>
      </c>
      <c r="L646" s="2">
        <f>IF(B646="","",IFERROR(INT((MATCH(B646,Teknikere,0)-1)/18)+1,""))</f>
        <v/>
      </c>
      <c r="M646" s="2">
        <f>IF(OR(A646="",B646=""),"",B646&amp;"|"&amp;A646)</f>
        <v/>
      </c>
      <c r="N646" s="2">
        <f>IF(M646="","",SUMIFS(TF_Timer,TF_Nokkel,M646,TF_Akt,C646))</f>
        <v/>
      </c>
      <c r="O646" s="2">
        <f>IF(M646="","",IF(AND(N646=_xlfn.MAXIFS(TF_AktSum,TF_Nokkel,M646),COUNTIFS(M$3:M645,M646,N$3:N645,N646)=0),M646,""))</f>
        <v/>
      </c>
    </row>
    <row r="647">
      <c r="A647" s="34" t="n"/>
      <c r="B647" s="35" t="n"/>
      <c r="C647" s="35" t="n"/>
      <c r="D647" s="35" t="n"/>
      <c r="E647" s="35" t="n"/>
      <c r="F647" s="36" t="n"/>
      <c r="G647" s="35" t="n"/>
      <c r="H647" s="30">
        <f>IF(L647="","",INDEX(SkiftNavn,L647))</f>
        <v/>
      </c>
      <c r="I647" s="30">
        <f>IF(OR(A647="",L647=""),"",IF(MOD(A647-INDEX(SkiftStart,L647),Syklus)&lt;DagK,"Kveld",IF(MOD(A647-INDEX(SkiftStart,L647),Syklus)&lt;DagK+DagH,"Helg",IF(MOD(A647-INDEX(SkiftStart,L647),Syklus)&lt;DagK+DagH+DagD,"Dag","Fri"))))</f>
        <v/>
      </c>
      <c r="J647" s="30">
        <f>IF(I647="Fri","Ja","")</f>
        <v/>
      </c>
      <c r="K647" s="30">
        <f>IF(B647="","",IF(L647="","Ukjent tekniker",IF(ISNA(MATCH(C647,Aktiviteter,0)),"Ukjent aktivitet",IF(AND(INDEX(AktRolle,MATCH(C647,Aktiviteter,0))&amp;""&lt;&gt;"",ISERROR(SEARCH(INDEX(AktRolle,MATCH(C647,Aktiviteter,0))&amp;"",INDEX(TekRoller,MATCH(B647,Teknikere,0))))),"Mangler rollen "&amp;INDEX(AktRolle,MATCH(C647,Aktiviteter,0))&amp;"",IF(AND(C647="LMS",F647&gt;0,OR(D647="",E647="")),"Mangler maskin eller arbeid",IF(AND(OR(C647="LMS",C647="Mod"),D647&lt;&gt;""),IF(IFERROR(INDEX(MaskinStatus,MATCH(D647,Maskiner,0)),"")="I dokk","","Maskinen er ikke i dokk"),""))))))</f>
        <v/>
      </c>
      <c r="L647" s="2">
        <f>IF(B647="","",IFERROR(INT((MATCH(B647,Teknikere,0)-1)/18)+1,""))</f>
        <v/>
      </c>
      <c r="M647" s="2">
        <f>IF(OR(A647="",B647=""),"",B647&amp;"|"&amp;A647)</f>
        <v/>
      </c>
      <c r="N647" s="2">
        <f>IF(M647="","",SUMIFS(TF_Timer,TF_Nokkel,M647,TF_Akt,C647))</f>
        <v/>
      </c>
      <c r="O647" s="2">
        <f>IF(M647="","",IF(AND(N647=_xlfn.MAXIFS(TF_AktSum,TF_Nokkel,M647),COUNTIFS(M$3:M646,M647,N$3:N646,N647)=0),M647,""))</f>
        <v/>
      </c>
    </row>
    <row r="648">
      <c r="A648" s="34" t="n"/>
      <c r="B648" s="35" t="n"/>
      <c r="C648" s="35" t="n"/>
      <c r="D648" s="35" t="n"/>
      <c r="E648" s="35" t="n"/>
      <c r="F648" s="36" t="n"/>
      <c r="G648" s="35" t="n"/>
      <c r="H648" s="30">
        <f>IF(L648="","",INDEX(SkiftNavn,L648))</f>
        <v/>
      </c>
      <c r="I648" s="30">
        <f>IF(OR(A648="",L648=""),"",IF(MOD(A648-INDEX(SkiftStart,L648),Syklus)&lt;DagK,"Kveld",IF(MOD(A648-INDEX(SkiftStart,L648),Syklus)&lt;DagK+DagH,"Helg",IF(MOD(A648-INDEX(SkiftStart,L648),Syklus)&lt;DagK+DagH+DagD,"Dag","Fri"))))</f>
        <v/>
      </c>
      <c r="J648" s="30">
        <f>IF(I648="Fri","Ja","")</f>
        <v/>
      </c>
      <c r="K648" s="30">
        <f>IF(B648="","",IF(L648="","Ukjent tekniker",IF(ISNA(MATCH(C648,Aktiviteter,0)),"Ukjent aktivitet",IF(AND(INDEX(AktRolle,MATCH(C648,Aktiviteter,0))&amp;""&lt;&gt;"",ISERROR(SEARCH(INDEX(AktRolle,MATCH(C648,Aktiviteter,0))&amp;"",INDEX(TekRoller,MATCH(B648,Teknikere,0))))),"Mangler rollen "&amp;INDEX(AktRolle,MATCH(C648,Aktiviteter,0))&amp;"",IF(AND(C648="LMS",F648&gt;0,OR(D648="",E648="")),"Mangler maskin eller arbeid",IF(AND(OR(C648="LMS",C648="Mod"),D648&lt;&gt;""),IF(IFERROR(INDEX(MaskinStatus,MATCH(D648,Maskiner,0)),"")="I dokk","","Maskinen er ikke i dokk"),""))))))</f>
        <v/>
      </c>
      <c r="L648" s="2">
        <f>IF(B648="","",IFERROR(INT((MATCH(B648,Teknikere,0)-1)/18)+1,""))</f>
        <v/>
      </c>
      <c r="M648" s="2">
        <f>IF(OR(A648="",B648=""),"",B648&amp;"|"&amp;A648)</f>
        <v/>
      </c>
      <c r="N648" s="2">
        <f>IF(M648="","",SUMIFS(TF_Timer,TF_Nokkel,M648,TF_Akt,C648))</f>
        <v/>
      </c>
      <c r="O648" s="2">
        <f>IF(M648="","",IF(AND(N648=_xlfn.MAXIFS(TF_AktSum,TF_Nokkel,M648),COUNTIFS(M$3:M647,M648,N$3:N647,N648)=0),M648,""))</f>
        <v/>
      </c>
    </row>
    <row r="649">
      <c r="A649" s="34" t="n"/>
      <c r="B649" s="35" t="n"/>
      <c r="C649" s="35" t="n"/>
      <c r="D649" s="35" t="n"/>
      <c r="E649" s="35" t="n"/>
      <c r="F649" s="36" t="n"/>
      <c r="G649" s="35" t="n"/>
      <c r="H649" s="30">
        <f>IF(L649="","",INDEX(SkiftNavn,L649))</f>
        <v/>
      </c>
      <c r="I649" s="30">
        <f>IF(OR(A649="",L649=""),"",IF(MOD(A649-INDEX(SkiftStart,L649),Syklus)&lt;DagK,"Kveld",IF(MOD(A649-INDEX(SkiftStart,L649),Syklus)&lt;DagK+DagH,"Helg",IF(MOD(A649-INDEX(SkiftStart,L649),Syklus)&lt;DagK+DagH+DagD,"Dag","Fri"))))</f>
        <v/>
      </c>
      <c r="J649" s="30">
        <f>IF(I649="Fri","Ja","")</f>
        <v/>
      </c>
      <c r="K649" s="30">
        <f>IF(B649="","",IF(L649="","Ukjent tekniker",IF(ISNA(MATCH(C649,Aktiviteter,0)),"Ukjent aktivitet",IF(AND(INDEX(AktRolle,MATCH(C649,Aktiviteter,0))&amp;""&lt;&gt;"",ISERROR(SEARCH(INDEX(AktRolle,MATCH(C649,Aktiviteter,0))&amp;"",INDEX(TekRoller,MATCH(B649,Teknikere,0))))),"Mangler rollen "&amp;INDEX(AktRolle,MATCH(C649,Aktiviteter,0))&amp;"",IF(AND(C649="LMS",F649&gt;0,OR(D649="",E649="")),"Mangler maskin eller arbeid",IF(AND(OR(C649="LMS",C649="Mod"),D649&lt;&gt;""),IF(IFERROR(INDEX(MaskinStatus,MATCH(D649,Maskiner,0)),"")="I dokk","","Maskinen er ikke i dokk"),""))))))</f>
        <v/>
      </c>
      <c r="L649" s="2">
        <f>IF(B649="","",IFERROR(INT((MATCH(B649,Teknikere,0)-1)/18)+1,""))</f>
        <v/>
      </c>
      <c r="M649" s="2">
        <f>IF(OR(A649="",B649=""),"",B649&amp;"|"&amp;A649)</f>
        <v/>
      </c>
      <c r="N649" s="2">
        <f>IF(M649="","",SUMIFS(TF_Timer,TF_Nokkel,M649,TF_Akt,C649))</f>
        <v/>
      </c>
      <c r="O649" s="2">
        <f>IF(M649="","",IF(AND(N649=_xlfn.MAXIFS(TF_AktSum,TF_Nokkel,M649),COUNTIFS(M$3:M648,M649,N$3:N648,N649)=0),M649,""))</f>
        <v/>
      </c>
    </row>
    <row r="650">
      <c r="A650" s="34" t="n"/>
      <c r="B650" s="35" t="n"/>
      <c r="C650" s="35" t="n"/>
      <c r="D650" s="35" t="n"/>
      <c r="E650" s="35" t="n"/>
      <c r="F650" s="36" t="n"/>
      <c r="G650" s="35" t="n"/>
      <c r="H650" s="30">
        <f>IF(L650="","",INDEX(SkiftNavn,L650))</f>
        <v/>
      </c>
      <c r="I650" s="30">
        <f>IF(OR(A650="",L650=""),"",IF(MOD(A650-INDEX(SkiftStart,L650),Syklus)&lt;DagK,"Kveld",IF(MOD(A650-INDEX(SkiftStart,L650),Syklus)&lt;DagK+DagH,"Helg",IF(MOD(A650-INDEX(SkiftStart,L650),Syklus)&lt;DagK+DagH+DagD,"Dag","Fri"))))</f>
        <v/>
      </c>
      <c r="J650" s="30">
        <f>IF(I650="Fri","Ja","")</f>
        <v/>
      </c>
      <c r="K650" s="30">
        <f>IF(B650="","",IF(L650="","Ukjent tekniker",IF(ISNA(MATCH(C650,Aktiviteter,0)),"Ukjent aktivitet",IF(AND(INDEX(AktRolle,MATCH(C650,Aktiviteter,0))&amp;""&lt;&gt;"",ISERROR(SEARCH(INDEX(AktRolle,MATCH(C650,Aktiviteter,0))&amp;"",INDEX(TekRoller,MATCH(B650,Teknikere,0))))),"Mangler rollen "&amp;INDEX(AktRolle,MATCH(C650,Aktiviteter,0))&amp;"",IF(AND(C650="LMS",F650&gt;0,OR(D650="",E650="")),"Mangler maskin eller arbeid",IF(AND(OR(C650="LMS",C650="Mod"),D650&lt;&gt;""),IF(IFERROR(INDEX(MaskinStatus,MATCH(D650,Maskiner,0)),"")="I dokk","","Maskinen er ikke i dokk"),""))))))</f>
        <v/>
      </c>
      <c r="L650" s="2">
        <f>IF(B650="","",IFERROR(INT((MATCH(B650,Teknikere,0)-1)/18)+1,""))</f>
        <v/>
      </c>
      <c r="M650" s="2">
        <f>IF(OR(A650="",B650=""),"",B650&amp;"|"&amp;A650)</f>
        <v/>
      </c>
      <c r="N650" s="2">
        <f>IF(M650="","",SUMIFS(TF_Timer,TF_Nokkel,M650,TF_Akt,C650))</f>
        <v/>
      </c>
      <c r="O650" s="2">
        <f>IF(M650="","",IF(AND(N650=_xlfn.MAXIFS(TF_AktSum,TF_Nokkel,M650),COUNTIFS(M$3:M649,M650,N$3:N649,N650)=0),M650,""))</f>
        <v/>
      </c>
    </row>
    <row r="651">
      <c r="A651" s="34" t="n"/>
      <c r="B651" s="35" t="n"/>
      <c r="C651" s="35" t="n"/>
      <c r="D651" s="35" t="n"/>
      <c r="E651" s="35" t="n"/>
      <c r="F651" s="36" t="n"/>
      <c r="G651" s="35" t="n"/>
      <c r="H651" s="30">
        <f>IF(L651="","",INDEX(SkiftNavn,L651))</f>
        <v/>
      </c>
      <c r="I651" s="30">
        <f>IF(OR(A651="",L651=""),"",IF(MOD(A651-INDEX(SkiftStart,L651),Syklus)&lt;DagK,"Kveld",IF(MOD(A651-INDEX(SkiftStart,L651),Syklus)&lt;DagK+DagH,"Helg",IF(MOD(A651-INDEX(SkiftStart,L651),Syklus)&lt;DagK+DagH+DagD,"Dag","Fri"))))</f>
        <v/>
      </c>
      <c r="J651" s="30">
        <f>IF(I651="Fri","Ja","")</f>
        <v/>
      </c>
      <c r="K651" s="30">
        <f>IF(B651="","",IF(L651="","Ukjent tekniker",IF(ISNA(MATCH(C651,Aktiviteter,0)),"Ukjent aktivitet",IF(AND(INDEX(AktRolle,MATCH(C651,Aktiviteter,0))&amp;""&lt;&gt;"",ISERROR(SEARCH(INDEX(AktRolle,MATCH(C651,Aktiviteter,0))&amp;"",INDEX(TekRoller,MATCH(B651,Teknikere,0))))),"Mangler rollen "&amp;INDEX(AktRolle,MATCH(C651,Aktiviteter,0))&amp;"",IF(AND(C651="LMS",F651&gt;0,OR(D651="",E651="")),"Mangler maskin eller arbeid",IF(AND(OR(C651="LMS",C651="Mod"),D651&lt;&gt;""),IF(IFERROR(INDEX(MaskinStatus,MATCH(D651,Maskiner,0)),"")="I dokk","","Maskinen er ikke i dokk"),""))))))</f>
        <v/>
      </c>
      <c r="L651" s="2">
        <f>IF(B651="","",IFERROR(INT((MATCH(B651,Teknikere,0)-1)/18)+1,""))</f>
        <v/>
      </c>
      <c r="M651" s="2">
        <f>IF(OR(A651="",B651=""),"",B651&amp;"|"&amp;A651)</f>
        <v/>
      </c>
      <c r="N651" s="2">
        <f>IF(M651="","",SUMIFS(TF_Timer,TF_Nokkel,M651,TF_Akt,C651))</f>
        <v/>
      </c>
      <c r="O651" s="2">
        <f>IF(M651="","",IF(AND(N651=_xlfn.MAXIFS(TF_AktSum,TF_Nokkel,M651),COUNTIFS(M$3:M650,M651,N$3:N650,N651)=0),M651,""))</f>
        <v/>
      </c>
    </row>
    <row r="652">
      <c r="A652" s="34" t="n"/>
      <c r="B652" s="35" t="n"/>
      <c r="C652" s="35" t="n"/>
      <c r="D652" s="35" t="n"/>
      <c r="E652" s="35" t="n"/>
      <c r="F652" s="36" t="n"/>
      <c r="G652" s="35" t="n"/>
      <c r="H652" s="30">
        <f>IF(L652="","",INDEX(SkiftNavn,L652))</f>
        <v/>
      </c>
      <c r="I652" s="30">
        <f>IF(OR(A652="",L652=""),"",IF(MOD(A652-INDEX(SkiftStart,L652),Syklus)&lt;DagK,"Kveld",IF(MOD(A652-INDEX(SkiftStart,L652),Syklus)&lt;DagK+DagH,"Helg",IF(MOD(A652-INDEX(SkiftStart,L652),Syklus)&lt;DagK+DagH+DagD,"Dag","Fri"))))</f>
        <v/>
      </c>
      <c r="J652" s="30">
        <f>IF(I652="Fri","Ja","")</f>
        <v/>
      </c>
      <c r="K652" s="30">
        <f>IF(B652="","",IF(L652="","Ukjent tekniker",IF(ISNA(MATCH(C652,Aktiviteter,0)),"Ukjent aktivitet",IF(AND(INDEX(AktRolle,MATCH(C652,Aktiviteter,0))&amp;""&lt;&gt;"",ISERROR(SEARCH(INDEX(AktRolle,MATCH(C652,Aktiviteter,0))&amp;"",INDEX(TekRoller,MATCH(B652,Teknikere,0))))),"Mangler rollen "&amp;INDEX(AktRolle,MATCH(C652,Aktiviteter,0))&amp;"",IF(AND(C652="LMS",F652&gt;0,OR(D652="",E652="")),"Mangler maskin eller arbeid",IF(AND(OR(C652="LMS",C652="Mod"),D652&lt;&gt;""),IF(IFERROR(INDEX(MaskinStatus,MATCH(D652,Maskiner,0)),"")="I dokk","","Maskinen er ikke i dokk"),""))))))</f>
        <v/>
      </c>
      <c r="L652" s="2">
        <f>IF(B652="","",IFERROR(INT((MATCH(B652,Teknikere,0)-1)/18)+1,""))</f>
        <v/>
      </c>
      <c r="M652" s="2">
        <f>IF(OR(A652="",B652=""),"",B652&amp;"|"&amp;A652)</f>
        <v/>
      </c>
      <c r="N652" s="2">
        <f>IF(M652="","",SUMIFS(TF_Timer,TF_Nokkel,M652,TF_Akt,C652))</f>
        <v/>
      </c>
      <c r="O652" s="2">
        <f>IF(M652="","",IF(AND(N652=_xlfn.MAXIFS(TF_AktSum,TF_Nokkel,M652),COUNTIFS(M$3:M651,M652,N$3:N651,N652)=0),M652,""))</f>
        <v/>
      </c>
    </row>
    <row r="653">
      <c r="A653" s="34" t="n"/>
      <c r="B653" s="35" t="n"/>
      <c r="C653" s="35" t="n"/>
      <c r="D653" s="35" t="n"/>
      <c r="E653" s="35" t="n"/>
      <c r="F653" s="36" t="n"/>
      <c r="G653" s="35" t="n"/>
      <c r="H653" s="30">
        <f>IF(L653="","",INDEX(SkiftNavn,L653))</f>
        <v/>
      </c>
      <c r="I653" s="30">
        <f>IF(OR(A653="",L653=""),"",IF(MOD(A653-INDEX(SkiftStart,L653),Syklus)&lt;DagK,"Kveld",IF(MOD(A653-INDEX(SkiftStart,L653),Syklus)&lt;DagK+DagH,"Helg",IF(MOD(A653-INDEX(SkiftStart,L653),Syklus)&lt;DagK+DagH+DagD,"Dag","Fri"))))</f>
        <v/>
      </c>
      <c r="J653" s="30">
        <f>IF(I653="Fri","Ja","")</f>
        <v/>
      </c>
      <c r="K653" s="30">
        <f>IF(B653="","",IF(L653="","Ukjent tekniker",IF(ISNA(MATCH(C653,Aktiviteter,0)),"Ukjent aktivitet",IF(AND(INDEX(AktRolle,MATCH(C653,Aktiviteter,0))&amp;""&lt;&gt;"",ISERROR(SEARCH(INDEX(AktRolle,MATCH(C653,Aktiviteter,0))&amp;"",INDEX(TekRoller,MATCH(B653,Teknikere,0))))),"Mangler rollen "&amp;INDEX(AktRolle,MATCH(C653,Aktiviteter,0))&amp;"",IF(AND(C653="LMS",F653&gt;0,OR(D653="",E653="")),"Mangler maskin eller arbeid",IF(AND(OR(C653="LMS",C653="Mod"),D653&lt;&gt;""),IF(IFERROR(INDEX(MaskinStatus,MATCH(D653,Maskiner,0)),"")="I dokk","","Maskinen er ikke i dokk"),""))))))</f>
        <v/>
      </c>
      <c r="L653" s="2">
        <f>IF(B653="","",IFERROR(INT((MATCH(B653,Teknikere,0)-1)/18)+1,""))</f>
        <v/>
      </c>
      <c r="M653" s="2">
        <f>IF(OR(A653="",B653=""),"",B653&amp;"|"&amp;A653)</f>
        <v/>
      </c>
      <c r="N653" s="2">
        <f>IF(M653="","",SUMIFS(TF_Timer,TF_Nokkel,M653,TF_Akt,C653))</f>
        <v/>
      </c>
      <c r="O653" s="2">
        <f>IF(M653="","",IF(AND(N653=_xlfn.MAXIFS(TF_AktSum,TF_Nokkel,M653),COUNTIFS(M$3:M652,M653,N$3:N652,N653)=0),M653,""))</f>
        <v/>
      </c>
    </row>
    <row r="654">
      <c r="A654" s="34" t="n"/>
      <c r="B654" s="35" t="n"/>
      <c r="C654" s="35" t="n"/>
      <c r="D654" s="35" t="n"/>
      <c r="E654" s="35" t="n"/>
      <c r="F654" s="36" t="n"/>
      <c r="G654" s="35" t="n"/>
      <c r="H654" s="30">
        <f>IF(L654="","",INDEX(SkiftNavn,L654))</f>
        <v/>
      </c>
      <c r="I654" s="30">
        <f>IF(OR(A654="",L654=""),"",IF(MOD(A654-INDEX(SkiftStart,L654),Syklus)&lt;DagK,"Kveld",IF(MOD(A654-INDEX(SkiftStart,L654),Syklus)&lt;DagK+DagH,"Helg",IF(MOD(A654-INDEX(SkiftStart,L654),Syklus)&lt;DagK+DagH+DagD,"Dag","Fri"))))</f>
        <v/>
      </c>
      <c r="J654" s="30">
        <f>IF(I654="Fri","Ja","")</f>
        <v/>
      </c>
      <c r="K654" s="30">
        <f>IF(B654="","",IF(L654="","Ukjent tekniker",IF(ISNA(MATCH(C654,Aktiviteter,0)),"Ukjent aktivitet",IF(AND(INDEX(AktRolle,MATCH(C654,Aktiviteter,0))&amp;""&lt;&gt;"",ISERROR(SEARCH(INDEX(AktRolle,MATCH(C654,Aktiviteter,0))&amp;"",INDEX(TekRoller,MATCH(B654,Teknikere,0))))),"Mangler rollen "&amp;INDEX(AktRolle,MATCH(C654,Aktiviteter,0))&amp;"",IF(AND(C654="LMS",F654&gt;0,OR(D654="",E654="")),"Mangler maskin eller arbeid",IF(AND(OR(C654="LMS",C654="Mod"),D654&lt;&gt;""),IF(IFERROR(INDEX(MaskinStatus,MATCH(D654,Maskiner,0)),"")="I dokk","","Maskinen er ikke i dokk"),""))))))</f>
        <v/>
      </c>
      <c r="L654" s="2">
        <f>IF(B654="","",IFERROR(INT((MATCH(B654,Teknikere,0)-1)/18)+1,""))</f>
        <v/>
      </c>
      <c r="M654" s="2">
        <f>IF(OR(A654="",B654=""),"",B654&amp;"|"&amp;A654)</f>
        <v/>
      </c>
      <c r="N654" s="2">
        <f>IF(M654="","",SUMIFS(TF_Timer,TF_Nokkel,M654,TF_Akt,C654))</f>
        <v/>
      </c>
      <c r="O654" s="2">
        <f>IF(M654="","",IF(AND(N654=_xlfn.MAXIFS(TF_AktSum,TF_Nokkel,M654),COUNTIFS(M$3:M653,M654,N$3:N653,N654)=0),M654,""))</f>
        <v/>
      </c>
    </row>
    <row r="655">
      <c r="A655" s="34" t="n"/>
      <c r="B655" s="35" t="n"/>
      <c r="C655" s="35" t="n"/>
      <c r="D655" s="35" t="n"/>
      <c r="E655" s="35" t="n"/>
      <c r="F655" s="36" t="n"/>
      <c r="G655" s="35" t="n"/>
      <c r="H655" s="30">
        <f>IF(L655="","",INDEX(SkiftNavn,L655))</f>
        <v/>
      </c>
      <c r="I655" s="30">
        <f>IF(OR(A655="",L655=""),"",IF(MOD(A655-INDEX(SkiftStart,L655),Syklus)&lt;DagK,"Kveld",IF(MOD(A655-INDEX(SkiftStart,L655),Syklus)&lt;DagK+DagH,"Helg",IF(MOD(A655-INDEX(SkiftStart,L655),Syklus)&lt;DagK+DagH+DagD,"Dag","Fri"))))</f>
        <v/>
      </c>
      <c r="J655" s="30">
        <f>IF(I655="Fri","Ja","")</f>
        <v/>
      </c>
      <c r="K655" s="30">
        <f>IF(B655="","",IF(L655="","Ukjent tekniker",IF(ISNA(MATCH(C655,Aktiviteter,0)),"Ukjent aktivitet",IF(AND(INDEX(AktRolle,MATCH(C655,Aktiviteter,0))&amp;""&lt;&gt;"",ISERROR(SEARCH(INDEX(AktRolle,MATCH(C655,Aktiviteter,0))&amp;"",INDEX(TekRoller,MATCH(B655,Teknikere,0))))),"Mangler rollen "&amp;INDEX(AktRolle,MATCH(C655,Aktiviteter,0))&amp;"",IF(AND(C655="LMS",F655&gt;0,OR(D655="",E655="")),"Mangler maskin eller arbeid",IF(AND(OR(C655="LMS",C655="Mod"),D655&lt;&gt;""),IF(IFERROR(INDEX(MaskinStatus,MATCH(D655,Maskiner,0)),"")="I dokk","","Maskinen er ikke i dokk"),""))))))</f>
        <v/>
      </c>
      <c r="L655" s="2">
        <f>IF(B655="","",IFERROR(INT((MATCH(B655,Teknikere,0)-1)/18)+1,""))</f>
        <v/>
      </c>
      <c r="M655" s="2">
        <f>IF(OR(A655="",B655=""),"",B655&amp;"|"&amp;A655)</f>
        <v/>
      </c>
      <c r="N655" s="2">
        <f>IF(M655="","",SUMIFS(TF_Timer,TF_Nokkel,M655,TF_Akt,C655))</f>
        <v/>
      </c>
      <c r="O655" s="2">
        <f>IF(M655="","",IF(AND(N655=_xlfn.MAXIFS(TF_AktSum,TF_Nokkel,M655),COUNTIFS(M$3:M654,M655,N$3:N654,N655)=0),M655,""))</f>
        <v/>
      </c>
    </row>
    <row r="656">
      <c r="A656" s="34" t="n"/>
      <c r="B656" s="35" t="n"/>
      <c r="C656" s="35" t="n"/>
      <c r="D656" s="35" t="n"/>
      <c r="E656" s="35" t="n"/>
      <c r="F656" s="36" t="n"/>
      <c r="G656" s="35" t="n"/>
      <c r="H656" s="30">
        <f>IF(L656="","",INDEX(SkiftNavn,L656))</f>
        <v/>
      </c>
      <c r="I656" s="30">
        <f>IF(OR(A656="",L656=""),"",IF(MOD(A656-INDEX(SkiftStart,L656),Syklus)&lt;DagK,"Kveld",IF(MOD(A656-INDEX(SkiftStart,L656),Syklus)&lt;DagK+DagH,"Helg",IF(MOD(A656-INDEX(SkiftStart,L656),Syklus)&lt;DagK+DagH+DagD,"Dag","Fri"))))</f>
        <v/>
      </c>
      <c r="J656" s="30">
        <f>IF(I656="Fri","Ja","")</f>
        <v/>
      </c>
      <c r="K656" s="30">
        <f>IF(B656="","",IF(L656="","Ukjent tekniker",IF(ISNA(MATCH(C656,Aktiviteter,0)),"Ukjent aktivitet",IF(AND(INDEX(AktRolle,MATCH(C656,Aktiviteter,0))&amp;""&lt;&gt;"",ISERROR(SEARCH(INDEX(AktRolle,MATCH(C656,Aktiviteter,0))&amp;"",INDEX(TekRoller,MATCH(B656,Teknikere,0))))),"Mangler rollen "&amp;INDEX(AktRolle,MATCH(C656,Aktiviteter,0))&amp;"",IF(AND(C656="LMS",F656&gt;0,OR(D656="",E656="")),"Mangler maskin eller arbeid",IF(AND(OR(C656="LMS",C656="Mod"),D656&lt;&gt;""),IF(IFERROR(INDEX(MaskinStatus,MATCH(D656,Maskiner,0)),"")="I dokk","","Maskinen er ikke i dokk"),""))))))</f>
        <v/>
      </c>
      <c r="L656" s="2">
        <f>IF(B656="","",IFERROR(INT((MATCH(B656,Teknikere,0)-1)/18)+1,""))</f>
        <v/>
      </c>
      <c r="M656" s="2">
        <f>IF(OR(A656="",B656=""),"",B656&amp;"|"&amp;A656)</f>
        <v/>
      </c>
      <c r="N656" s="2">
        <f>IF(M656="","",SUMIFS(TF_Timer,TF_Nokkel,M656,TF_Akt,C656))</f>
        <v/>
      </c>
      <c r="O656" s="2">
        <f>IF(M656="","",IF(AND(N656=_xlfn.MAXIFS(TF_AktSum,TF_Nokkel,M656),COUNTIFS(M$3:M655,M656,N$3:N655,N656)=0),M656,""))</f>
        <v/>
      </c>
    </row>
    <row r="657">
      <c r="A657" s="34" t="n"/>
      <c r="B657" s="35" t="n"/>
      <c r="C657" s="35" t="n"/>
      <c r="D657" s="35" t="n"/>
      <c r="E657" s="35" t="n"/>
      <c r="F657" s="36" t="n"/>
      <c r="G657" s="35" t="n"/>
      <c r="H657" s="30">
        <f>IF(L657="","",INDEX(SkiftNavn,L657))</f>
        <v/>
      </c>
      <c r="I657" s="30">
        <f>IF(OR(A657="",L657=""),"",IF(MOD(A657-INDEX(SkiftStart,L657),Syklus)&lt;DagK,"Kveld",IF(MOD(A657-INDEX(SkiftStart,L657),Syklus)&lt;DagK+DagH,"Helg",IF(MOD(A657-INDEX(SkiftStart,L657),Syklus)&lt;DagK+DagH+DagD,"Dag","Fri"))))</f>
        <v/>
      </c>
      <c r="J657" s="30">
        <f>IF(I657="Fri","Ja","")</f>
        <v/>
      </c>
      <c r="K657" s="30">
        <f>IF(B657="","",IF(L657="","Ukjent tekniker",IF(ISNA(MATCH(C657,Aktiviteter,0)),"Ukjent aktivitet",IF(AND(INDEX(AktRolle,MATCH(C657,Aktiviteter,0))&amp;""&lt;&gt;"",ISERROR(SEARCH(INDEX(AktRolle,MATCH(C657,Aktiviteter,0))&amp;"",INDEX(TekRoller,MATCH(B657,Teknikere,0))))),"Mangler rollen "&amp;INDEX(AktRolle,MATCH(C657,Aktiviteter,0))&amp;"",IF(AND(C657="LMS",F657&gt;0,OR(D657="",E657="")),"Mangler maskin eller arbeid",IF(AND(OR(C657="LMS",C657="Mod"),D657&lt;&gt;""),IF(IFERROR(INDEX(MaskinStatus,MATCH(D657,Maskiner,0)),"")="I dokk","","Maskinen er ikke i dokk"),""))))))</f>
        <v/>
      </c>
      <c r="L657" s="2">
        <f>IF(B657="","",IFERROR(INT((MATCH(B657,Teknikere,0)-1)/18)+1,""))</f>
        <v/>
      </c>
      <c r="M657" s="2">
        <f>IF(OR(A657="",B657=""),"",B657&amp;"|"&amp;A657)</f>
        <v/>
      </c>
      <c r="N657" s="2">
        <f>IF(M657="","",SUMIFS(TF_Timer,TF_Nokkel,M657,TF_Akt,C657))</f>
        <v/>
      </c>
      <c r="O657" s="2">
        <f>IF(M657="","",IF(AND(N657=_xlfn.MAXIFS(TF_AktSum,TF_Nokkel,M657),COUNTIFS(M$3:M656,M657,N$3:N656,N657)=0),M657,""))</f>
        <v/>
      </c>
    </row>
    <row r="658">
      <c r="A658" s="34" t="n"/>
      <c r="B658" s="35" t="n"/>
      <c r="C658" s="35" t="n"/>
      <c r="D658" s="35" t="n"/>
      <c r="E658" s="35" t="n"/>
      <c r="F658" s="36" t="n"/>
      <c r="G658" s="35" t="n"/>
      <c r="H658" s="30">
        <f>IF(L658="","",INDEX(SkiftNavn,L658))</f>
        <v/>
      </c>
      <c r="I658" s="30">
        <f>IF(OR(A658="",L658=""),"",IF(MOD(A658-INDEX(SkiftStart,L658),Syklus)&lt;DagK,"Kveld",IF(MOD(A658-INDEX(SkiftStart,L658),Syklus)&lt;DagK+DagH,"Helg",IF(MOD(A658-INDEX(SkiftStart,L658),Syklus)&lt;DagK+DagH+DagD,"Dag","Fri"))))</f>
        <v/>
      </c>
      <c r="J658" s="30">
        <f>IF(I658="Fri","Ja","")</f>
        <v/>
      </c>
      <c r="K658" s="30">
        <f>IF(B658="","",IF(L658="","Ukjent tekniker",IF(ISNA(MATCH(C658,Aktiviteter,0)),"Ukjent aktivitet",IF(AND(INDEX(AktRolle,MATCH(C658,Aktiviteter,0))&amp;""&lt;&gt;"",ISERROR(SEARCH(INDEX(AktRolle,MATCH(C658,Aktiviteter,0))&amp;"",INDEX(TekRoller,MATCH(B658,Teknikere,0))))),"Mangler rollen "&amp;INDEX(AktRolle,MATCH(C658,Aktiviteter,0))&amp;"",IF(AND(C658="LMS",F658&gt;0,OR(D658="",E658="")),"Mangler maskin eller arbeid",IF(AND(OR(C658="LMS",C658="Mod"),D658&lt;&gt;""),IF(IFERROR(INDEX(MaskinStatus,MATCH(D658,Maskiner,0)),"")="I dokk","","Maskinen er ikke i dokk"),""))))))</f>
        <v/>
      </c>
      <c r="L658" s="2">
        <f>IF(B658="","",IFERROR(INT((MATCH(B658,Teknikere,0)-1)/18)+1,""))</f>
        <v/>
      </c>
      <c r="M658" s="2">
        <f>IF(OR(A658="",B658=""),"",B658&amp;"|"&amp;A658)</f>
        <v/>
      </c>
      <c r="N658" s="2">
        <f>IF(M658="","",SUMIFS(TF_Timer,TF_Nokkel,M658,TF_Akt,C658))</f>
        <v/>
      </c>
      <c r="O658" s="2">
        <f>IF(M658="","",IF(AND(N658=_xlfn.MAXIFS(TF_AktSum,TF_Nokkel,M658),COUNTIFS(M$3:M657,M658,N$3:N657,N658)=0),M658,""))</f>
        <v/>
      </c>
    </row>
    <row r="659">
      <c r="A659" s="34" t="n"/>
      <c r="B659" s="35" t="n"/>
      <c r="C659" s="35" t="n"/>
      <c r="D659" s="35" t="n"/>
      <c r="E659" s="35" t="n"/>
      <c r="F659" s="36" t="n"/>
      <c r="G659" s="35" t="n"/>
      <c r="H659" s="30">
        <f>IF(L659="","",INDEX(SkiftNavn,L659))</f>
        <v/>
      </c>
      <c r="I659" s="30">
        <f>IF(OR(A659="",L659=""),"",IF(MOD(A659-INDEX(SkiftStart,L659),Syklus)&lt;DagK,"Kveld",IF(MOD(A659-INDEX(SkiftStart,L659),Syklus)&lt;DagK+DagH,"Helg",IF(MOD(A659-INDEX(SkiftStart,L659),Syklus)&lt;DagK+DagH+DagD,"Dag","Fri"))))</f>
        <v/>
      </c>
      <c r="J659" s="30">
        <f>IF(I659="Fri","Ja","")</f>
        <v/>
      </c>
      <c r="K659" s="30">
        <f>IF(B659="","",IF(L659="","Ukjent tekniker",IF(ISNA(MATCH(C659,Aktiviteter,0)),"Ukjent aktivitet",IF(AND(INDEX(AktRolle,MATCH(C659,Aktiviteter,0))&amp;""&lt;&gt;"",ISERROR(SEARCH(INDEX(AktRolle,MATCH(C659,Aktiviteter,0))&amp;"",INDEX(TekRoller,MATCH(B659,Teknikere,0))))),"Mangler rollen "&amp;INDEX(AktRolle,MATCH(C659,Aktiviteter,0))&amp;"",IF(AND(C659="LMS",F659&gt;0,OR(D659="",E659="")),"Mangler maskin eller arbeid",IF(AND(OR(C659="LMS",C659="Mod"),D659&lt;&gt;""),IF(IFERROR(INDEX(MaskinStatus,MATCH(D659,Maskiner,0)),"")="I dokk","","Maskinen er ikke i dokk"),""))))))</f>
        <v/>
      </c>
      <c r="L659" s="2">
        <f>IF(B659="","",IFERROR(INT((MATCH(B659,Teknikere,0)-1)/18)+1,""))</f>
        <v/>
      </c>
      <c r="M659" s="2">
        <f>IF(OR(A659="",B659=""),"",B659&amp;"|"&amp;A659)</f>
        <v/>
      </c>
      <c r="N659" s="2">
        <f>IF(M659="","",SUMIFS(TF_Timer,TF_Nokkel,M659,TF_Akt,C659))</f>
        <v/>
      </c>
      <c r="O659" s="2">
        <f>IF(M659="","",IF(AND(N659=_xlfn.MAXIFS(TF_AktSum,TF_Nokkel,M659),COUNTIFS(M$3:M658,M659,N$3:N658,N659)=0),M659,""))</f>
        <v/>
      </c>
    </row>
    <row r="660">
      <c r="A660" s="34" t="n"/>
      <c r="B660" s="35" t="n"/>
      <c r="C660" s="35" t="n"/>
      <c r="D660" s="35" t="n"/>
      <c r="E660" s="35" t="n"/>
      <c r="F660" s="36" t="n"/>
      <c r="G660" s="35" t="n"/>
      <c r="H660" s="30">
        <f>IF(L660="","",INDEX(SkiftNavn,L660))</f>
        <v/>
      </c>
      <c r="I660" s="30">
        <f>IF(OR(A660="",L660=""),"",IF(MOD(A660-INDEX(SkiftStart,L660),Syklus)&lt;DagK,"Kveld",IF(MOD(A660-INDEX(SkiftStart,L660),Syklus)&lt;DagK+DagH,"Helg",IF(MOD(A660-INDEX(SkiftStart,L660),Syklus)&lt;DagK+DagH+DagD,"Dag","Fri"))))</f>
        <v/>
      </c>
      <c r="J660" s="30">
        <f>IF(I660="Fri","Ja","")</f>
        <v/>
      </c>
      <c r="K660" s="30">
        <f>IF(B660="","",IF(L660="","Ukjent tekniker",IF(ISNA(MATCH(C660,Aktiviteter,0)),"Ukjent aktivitet",IF(AND(INDEX(AktRolle,MATCH(C660,Aktiviteter,0))&amp;""&lt;&gt;"",ISERROR(SEARCH(INDEX(AktRolle,MATCH(C660,Aktiviteter,0))&amp;"",INDEX(TekRoller,MATCH(B660,Teknikere,0))))),"Mangler rollen "&amp;INDEX(AktRolle,MATCH(C660,Aktiviteter,0))&amp;"",IF(AND(C660="LMS",F660&gt;0,OR(D660="",E660="")),"Mangler maskin eller arbeid",IF(AND(OR(C660="LMS",C660="Mod"),D660&lt;&gt;""),IF(IFERROR(INDEX(MaskinStatus,MATCH(D660,Maskiner,0)),"")="I dokk","","Maskinen er ikke i dokk"),""))))))</f>
        <v/>
      </c>
      <c r="L660" s="2">
        <f>IF(B660="","",IFERROR(INT((MATCH(B660,Teknikere,0)-1)/18)+1,""))</f>
        <v/>
      </c>
      <c r="M660" s="2">
        <f>IF(OR(A660="",B660=""),"",B660&amp;"|"&amp;A660)</f>
        <v/>
      </c>
      <c r="N660" s="2">
        <f>IF(M660="","",SUMIFS(TF_Timer,TF_Nokkel,M660,TF_Akt,C660))</f>
        <v/>
      </c>
      <c r="O660" s="2">
        <f>IF(M660="","",IF(AND(N660=_xlfn.MAXIFS(TF_AktSum,TF_Nokkel,M660),COUNTIFS(M$3:M659,M660,N$3:N659,N660)=0),M660,""))</f>
        <v/>
      </c>
    </row>
    <row r="661">
      <c r="A661" s="34" t="n"/>
      <c r="B661" s="35" t="n"/>
      <c r="C661" s="35" t="n"/>
      <c r="D661" s="35" t="n"/>
      <c r="E661" s="35" t="n"/>
      <c r="F661" s="36" t="n"/>
      <c r="G661" s="35" t="n"/>
      <c r="H661" s="30">
        <f>IF(L661="","",INDEX(SkiftNavn,L661))</f>
        <v/>
      </c>
      <c r="I661" s="30">
        <f>IF(OR(A661="",L661=""),"",IF(MOD(A661-INDEX(SkiftStart,L661),Syklus)&lt;DagK,"Kveld",IF(MOD(A661-INDEX(SkiftStart,L661),Syklus)&lt;DagK+DagH,"Helg",IF(MOD(A661-INDEX(SkiftStart,L661),Syklus)&lt;DagK+DagH+DagD,"Dag","Fri"))))</f>
        <v/>
      </c>
      <c r="J661" s="30">
        <f>IF(I661="Fri","Ja","")</f>
        <v/>
      </c>
      <c r="K661" s="30">
        <f>IF(B661="","",IF(L661="","Ukjent tekniker",IF(ISNA(MATCH(C661,Aktiviteter,0)),"Ukjent aktivitet",IF(AND(INDEX(AktRolle,MATCH(C661,Aktiviteter,0))&amp;""&lt;&gt;"",ISERROR(SEARCH(INDEX(AktRolle,MATCH(C661,Aktiviteter,0))&amp;"",INDEX(TekRoller,MATCH(B661,Teknikere,0))))),"Mangler rollen "&amp;INDEX(AktRolle,MATCH(C661,Aktiviteter,0))&amp;"",IF(AND(C661="LMS",F661&gt;0,OR(D661="",E661="")),"Mangler maskin eller arbeid",IF(AND(OR(C661="LMS",C661="Mod"),D661&lt;&gt;""),IF(IFERROR(INDEX(MaskinStatus,MATCH(D661,Maskiner,0)),"")="I dokk","","Maskinen er ikke i dokk"),""))))))</f>
        <v/>
      </c>
      <c r="L661" s="2">
        <f>IF(B661="","",IFERROR(INT((MATCH(B661,Teknikere,0)-1)/18)+1,""))</f>
        <v/>
      </c>
      <c r="M661" s="2">
        <f>IF(OR(A661="",B661=""),"",B661&amp;"|"&amp;A661)</f>
        <v/>
      </c>
      <c r="N661" s="2">
        <f>IF(M661="","",SUMIFS(TF_Timer,TF_Nokkel,M661,TF_Akt,C661))</f>
        <v/>
      </c>
      <c r="O661" s="2">
        <f>IF(M661="","",IF(AND(N661=_xlfn.MAXIFS(TF_AktSum,TF_Nokkel,M661),COUNTIFS(M$3:M660,M661,N$3:N660,N661)=0),M661,""))</f>
        <v/>
      </c>
    </row>
    <row r="662">
      <c r="A662" s="34" t="n"/>
      <c r="B662" s="35" t="n"/>
      <c r="C662" s="35" t="n"/>
      <c r="D662" s="35" t="n"/>
      <c r="E662" s="35" t="n"/>
      <c r="F662" s="36" t="n"/>
      <c r="G662" s="35" t="n"/>
      <c r="H662" s="30">
        <f>IF(L662="","",INDEX(SkiftNavn,L662))</f>
        <v/>
      </c>
      <c r="I662" s="30">
        <f>IF(OR(A662="",L662=""),"",IF(MOD(A662-INDEX(SkiftStart,L662),Syklus)&lt;DagK,"Kveld",IF(MOD(A662-INDEX(SkiftStart,L662),Syklus)&lt;DagK+DagH,"Helg",IF(MOD(A662-INDEX(SkiftStart,L662),Syklus)&lt;DagK+DagH+DagD,"Dag","Fri"))))</f>
        <v/>
      </c>
      <c r="J662" s="30">
        <f>IF(I662="Fri","Ja","")</f>
        <v/>
      </c>
      <c r="K662" s="30">
        <f>IF(B662="","",IF(L662="","Ukjent tekniker",IF(ISNA(MATCH(C662,Aktiviteter,0)),"Ukjent aktivitet",IF(AND(INDEX(AktRolle,MATCH(C662,Aktiviteter,0))&amp;""&lt;&gt;"",ISERROR(SEARCH(INDEX(AktRolle,MATCH(C662,Aktiviteter,0))&amp;"",INDEX(TekRoller,MATCH(B662,Teknikere,0))))),"Mangler rollen "&amp;INDEX(AktRolle,MATCH(C662,Aktiviteter,0))&amp;"",IF(AND(C662="LMS",F662&gt;0,OR(D662="",E662="")),"Mangler maskin eller arbeid",IF(AND(OR(C662="LMS",C662="Mod"),D662&lt;&gt;""),IF(IFERROR(INDEX(MaskinStatus,MATCH(D662,Maskiner,0)),"")="I dokk","","Maskinen er ikke i dokk"),""))))))</f>
        <v/>
      </c>
      <c r="L662" s="2">
        <f>IF(B662="","",IFERROR(INT((MATCH(B662,Teknikere,0)-1)/18)+1,""))</f>
        <v/>
      </c>
      <c r="M662" s="2">
        <f>IF(OR(A662="",B662=""),"",B662&amp;"|"&amp;A662)</f>
        <v/>
      </c>
      <c r="N662" s="2">
        <f>IF(M662="","",SUMIFS(TF_Timer,TF_Nokkel,M662,TF_Akt,C662))</f>
        <v/>
      </c>
      <c r="O662" s="2">
        <f>IF(M662="","",IF(AND(N662=_xlfn.MAXIFS(TF_AktSum,TF_Nokkel,M662),COUNTIFS(M$3:M661,M662,N$3:N661,N662)=0),M662,""))</f>
        <v/>
      </c>
    </row>
    <row r="663">
      <c r="A663" s="34" t="n"/>
      <c r="B663" s="35" t="n"/>
      <c r="C663" s="35" t="n"/>
      <c r="D663" s="35" t="n"/>
      <c r="E663" s="35" t="n"/>
      <c r="F663" s="36" t="n"/>
      <c r="G663" s="35" t="n"/>
      <c r="H663" s="30">
        <f>IF(L663="","",INDEX(SkiftNavn,L663))</f>
        <v/>
      </c>
      <c r="I663" s="30">
        <f>IF(OR(A663="",L663=""),"",IF(MOD(A663-INDEX(SkiftStart,L663),Syklus)&lt;DagK,"Kveld",IF(MOD(A663-INDEX(SkiftStart,L663),Syklus)&lt;DagK+DagH,"Helg",IF(MOD(A663-INDEX(SkiftStart,L663),Syklus)&lt;DagK+DagH+DagD,"Dag","Fri"))))</f>
        <v/>
      </c>
      <c r="J663" s="30">
        <f>IF(I663="Fri","Ja","")</f>
        <v/>
      </c>
      <c r="K663" s="30">
        <f>IF(B663="","",IF(L663="","Ukjent tekniker",IF(ISNA(MATCH(C663,Aktiviteter,0)),"Ukjent aktivitet",IF(AND(INDEX(AktRolle,MATCH(C663,Aktiviteter,0))&amp;""&lt;&gt;"",ISERROR(SEARCH(INDEX(AktRolle,MATCH(C663,Aktiviteter,0))&amp;"",INDEX(TekRoller,MATCH(B663,Teknikere,0))))),"Mangler rollen "&amp;INDEX(AktRolle,MATCH(C663,Aktiviteter,0))&amp;"",IF(AND(C663="LMS",F663&gt;0,OR(D663="",E663="")),"Mangler maskin eller arbeid",IF(AND(OR(C663="LMS",C663="Mod"),D663&lt;&gt;""),IF(IFERROR(INDEX(MaskinStatus,MATCH(D663,Maskiner,0)),"")="I dokk","","Maskinen er ikke i dokk"),""))))))</f>
        <v/>
      </c>
      <c r="L663" s="2">
        <f>IF(B663="","",IFERROR(INT((MATCH(B663,Teknikere,0)-1)/18)+1,""))</f>
        <v/>
      </c>
      <c r="M663" s="2">
        <f>IF(OR(A663="",B663=""),"",B663&amp;"|"&amp;A663)</f>
        <v/>
      </c>
      <c r="N663" s="2">
        <f>IF(M663="","",SUMIFS(TF_Timer,TF_Nokkel,M663,TF_Akt,C663))</f>
        <v/>
      </c>
      <c r="O663" s="2">
        <f>IF(M663="","",IF(AND(N663=_xlfn.MAXIFS(TF_AktSum,TF_Nokkel,M663),COUNTIFS(M$3:M662,M663,N$3:N662,N663)=0),M663,""))</f>
        <v/>
      </c>
    </row>
    <row r="664">
      <c r="A664" s="34" t="n"/>
      <c r="B664" s="35" t="n"/>
      <c r="C664" s="35" t="n"/>
      <c r="D664" s="35" t="n"/>
      <c r="E664" s="35" t="n"/>
      <c r="F664" s="36" t="n"/>
      <c r="G664" s="35" t="n"/>
      <c r="H664" s="30">
        <f>IF(L664="","",INDEX(SkiftNavn,L664))</f>
        <v/>
      </c>
      <c r="I664" s="30">
        <f>IF(OR(A664="",L664=""),"",IF(MOD(A664-INDEX(SkiftStart,L664),Syklus)&lt;DagK,"Kveld",IF(MOD(A664-INDEX(SkiftStart,L664),Syklus)&lt;DagK+DagH,"Helg",IF(MOD(A664-INDEX(SkiftStart,L664),Syklus)&lt;DagK+DagH+DagD,"Dag","Fri"))))</f>
        <v/>
      </c>
      <c r="J664" s="30">
        <f>IF(I664="Fri","Ja","")</f>
        <v/>
      </c>
      <c r="K664" s="30">
        <f>IF(B664="","",IF(L664="","Ukjent tekniker",IF(ISNA(MATCH(C664,Aktiviteter,0)),"Ukjent aktivitet",IF(AND(INDEX(AktRolle,MATCH(C664,Aktiviteter,0))&amp;""&lt;&gt;"",ISERROR(SEARCH(INDEX(AktRolle,MATCH(C664,Aktiviteter,0))&amp;"",INDEX(TekRoller,MATCH(B664,Teknikere,0))))),"Mangler rollen "&amp;INDEX(AktRolle,MATCH(C664,Aktiviteter,0))&amp;"",IF(AND(C664="LMS",F664&gt;0,OR(D664="",E664="")),"Mangler maskin eller arbeid",IF(AND(OR(C664="LMS",C664="Mod"),D664&lt;&gt;""),IF(IFERROR(INDEX(MaskinStatus,MATCH(D664,Maskiner,0)),"")="I dokk","","Maskinen er ikke i dokk"),""))))))</f>
        <v/>
      </c>
      <c r="L664" s="2">
        <f>IF(B664="","",IFERROR(INT((MATCH(B664,Teknikere,0)-1)/18)+1,""))</f>
        <v/>
      </c>
      <c r="M664" s="2">
        <f>IF(OR(A664="",B664=""),"",B664&amp;"|"&amp;A664)</f>
        <v/>
      </c>
      <c r="N664" s="2">
        <f>IF(M664="","",SUMIFS(TF_Timer,TF_Nokkel,M664,TF_Akt,C664))</f>
        <v/>
      </c>
      <c r="O664" s="2">
        <f>IF(M664="","",IF(AND(N664=_xlfn.MAXIFS(TF_AktSum,TF_Nokkel,M664),COUNTIFS(M$3:M663,M664,N$3:N663,N664)=0),M664,""))</f>
        <v/>
      </c>
    </row>
    <row r="665">
      <c r="A665" s="34" t="n"/>
      <c r="B665" s="35" t="n"/>
      <c r="C665" s="35" t="n"/>
      <c r="D665" s="35" t="n"/>
      <c r="E665" s="35" t="n"/>
      <c r="F665" s="36" t="n"/>
      <c r="G665" s="35" t="n"/>
      <c r="H665" s="30">
        <f>IF(L665="","",INDEX(SkiftNavn,L665))</f>
        <v/>
      </c>
      <c r="I665" s="30">
        <f>IF(OR(A665="",L665=""),"",IF(MOD(A665-INDEX(SkiftStart,L665),Syklus)&lt;DagK,"Kveld",IF(MOD(A665-INDEX(SkiftStart,L665),Syklus)&lt;DagK+DagH,"Helg",IF(MOD(A665-INDEX(SkiftStart,L665),Syklus)&lt;DagK+DagH+DagD,"Dag","Fri"))))</f>
        <v/>
      </c>
      <c r="J665" s="30">
        <f>IF(I665="Fri","Ja","")</f>
        <v/>
      </c>
      <c r="K665" s="30">
        <f>IF(B665="","",IF(L665="","Ukjent tekniker",IF(ISNA(MATCH(C665,Aktiviteter,0)),"Ukjent aktivitet",IF(AND(INDEX(AktRolle,MATCH(C665,Aktiviteter,0))&amp;""&lt;&gt;"",ISERROR(SEARCH(INDEX(AktRolle,MATCH(C665,Aktiviteter,0))&amp;"",INDEX(TekRoller,MATCH(B665,Teknikere,0))))),"Mangler rollen "&amp;INDEX(AktRolle,MATCH(C665,Aktiviteter,0))&amp;"",IF(AND(C665="LMS",F665&gt;0,OR(D665="",E665="")),"Mangler maskin eller arbeid",IF(AND(OR(C665="LMS",C665="Mod"),D665&lt;&gt;""),IF(IFERROR(INDEX(MaskinStatus,MATCH(D665,Maskiner,0)),"")="I dokk","","Maskinen er ikke i dokk"),""))))))</f>
        <v/>
      </c>
      <c r="L665" s="2">
        <f>IF(B665="","",IFERROR(INT((MATCH(B665,Teknikere,0)-1)/18)+1,""))</f>
        <v/>
      </c>
      <c r="M665" s="2">
        <f>IF(OR(A665="",B665=""),"",B665&amp;"|"&amp;A665)</f>
        <v/>
      </c>
      <c r="N665" s="2">
        <f>IF(M665="","",SUMIFS(TF_Timer,TF_Nokkel,M665,TF_Akt,C665))</f>
        <v/>
      </c>
      <c r="O665" s="2">
        <f>IF(M665="","",IF(AND(N665=_xlfn.MAXIFS(TF_AktSum,TF_Nokkel,M665),COUNTIFS(M$3:M664,M665,N$3:N664,N665)=0),M665,""))</f>
        <v/>
      </c>
    </row>
    <row r="666">
      <c r="A666" s="34" t="n"/>
      <c r="B666" s="35" t="n"/>
      <c r="C666" s="35" t="n"/>
      <c r="D666" s="35" t="n"/>
      <c r="E666" s="35" t="n"/>
      <c r="F666" s="36" t="n"/>
      <c r="G666" s="35" t="n"/>
      <c r="H666" s="30">
        <f>IF(L666="","",INDEX(SkiftNavn,L666))</f>
        <v/>
      </c>
      <c r="I666" s="30">
        <f>IF(OR(A666="",L666=""),"",IF(MOD(A666-INDEX(SkiftStart,L666),Syklus)&lt;DagK,"Kveld",IF(MOD(A666-INDEX(SkiftStart,L666),Syklus)&lt;DagK+DagH,"Helg",IF(MOD(A666-INDEX(SkiftStart,L666),Syklus)&lt;DagK+DagH+DagD,"Dag","Fri"))))</f>
        <v/>
      </c>
      <c r="J666" s="30">
        <f>IF(I666="Fri","Ja","")</f>
        <v/>
      </c>
      <c r="K666" s="30">
        <f>IF(B666="","",IF(L666="","Ukjent tekniker",IF(ISNA(MATCH(C666,Aktiviteter,0)),"Ukjent aktivitet",IF(AND(INDEX(AktRolle,MATCH(C666,Aktiviteter,0))&amp;""&lt;&gt;"",ISERROR(SEARCH(INDEX(AktRolle,MATCH(C666,Aktiviteter,0))&amp;"",INDEX(TekRoller,MATCH(B666,Teknikere,0))))),"Mangler rollen "&amp;INDEX(AktRolle,MATCH(C666,Aktiviteter,0))&amp;"",IF(AND(C666="LMS",F666&gt;0,OR(D666="",E666="")),"Mangler maskin eller arbeid",IF(AND(OR(C666="LMS",C666="Mod"),D666&lt;&gt;""),IF(IFERROR(INDEX(MaskinStatus,MATCH(D666,Maskiner,0)),"")="I dokk","","Maskinen er ikke i dokk"),""))))))</f>
        <v/>
      </c>
      <c r="L666" s="2">
        <f>IF(B666="","",IFERROR(INT((MATCH(B666,Teknikere,0)-1)/18)+1,""))</f>
        <v/>
      </c>
      <c r="M666" s="2">
        <f>IF(OR(A666="",B666=""),"",B666&amp;"|"&amp;A666)</f>
        <v/>
      </c>
      <c r="N666" s="2">
        <f>IF(M666="","",SUMIFS(TF_Timer,TF_Nokkel,M666,TF_Akt,C666))</f>
        <v/>
      </c>
      <c r="O666" s="2">
        <f>IF(M666="","",IF(AND(N666=_xlfn.MAXIFS(TF_AktSum,TF_Nokkel,M666),COUNTIFS(M$3:M665,M666,N$3:N665,N666)=0),M666,""))</f>
        <v/>
      </c>
    </row>
    <row r="667">
      <c r="A667" s="34" t="n"/>
      <c r="B667" s="35" t="n"/>
      <c r="C667" s="35" t="n"/>
      <c r="D667" s="35" t="n"/>
      <c r="E667" s="35" t="n"/>
      <c r="F667" s="36" t="n"/>
      <c r="G667" s="35" t="n"/>
      <c r="H667" s="30">
        <f>IF(L667="","",INDEX(SkiftNavn,L667))</f>
        <v/>
      </c>
      <c r="I667" s="30">
        <f>IF(OR(A667="",L667=""),"",IF(MOD(A667-INDEX(SkiftStart,L667),Syklus)&lt;DagK,"Kveld",IF(MOD(A667-INDEX(SkiftStart,L667),Syklus)&lt;DagK+DagH,"Helg",IF(MOD(A667-INDEX(SkiftStart,L667),Syklus)&lt;DagK+DagH+DagD,"Dag","Fri"))))</f>
        <v/>
      </c>
      <c r="J667" s="30">
        <f>IF(I667="Fri","Ja","")</f>
        <v/>
      </c>
      <c r="K667" s="30">
        <f>IF(B667="","",IF(L667="","Ukjent tekniker",IF(ISNA(MATCH(C667,Aktiviteter,0)),"Ukjent aktivitet",IF(AND(INDEX(AktRolle,MATCH(C667,Aktiviteter,0))&amp;""&lt;&gt;"",ISERROR(SEARCH(INDEX(AktRolle,MATCH(C667,Aktiviteter,0))&amp;"",INDEX(TekRoller,MATCH(B667,Teknikere,0))))),"Mangler rollen "&amp;INDEX(AktRolle,MATCH(C667,Aktiviteter,0))&amp;"",IF(AND(C667="LMS",F667&gt;0,OR(D667="",E667="")),"Mangler maskin eller arbeid",IF(AND(OR(C667="LMS",C667="Mod"),D667&lt;&gt;""),IF(IFERROR(INDEX(MaskinStatus,MATCH(D667,Maskiner,0)),"")="I dokk","","Maskinen er ikke i dokk"),""))))))</f>
        <v/>
      </c>
      <c r="L667" s="2">
        <f>IF(B667="","",IFERROR(INT((MATCH(B667,Teknikere,0)-1)/18)+1,""))</f>
        <v/>
      </c>
      <c r="M667" s="2">
        <f>IF(OR(A667="",B667=""),"",B667&amp;"|"&amp;A667)</f>
        <v/>
      </c>
      <c r="N667" s="2">
        <f>IF(M667="","",SUMIFS(TF_Timer,TF_Nokkel,M667,TF_Akt,C667))</f>
        <v/>
      </c>
      <c r="O667" s="2">
        <f>IF(M667="","",IF(AND(N667=_xlfn.MAXIFS(TF_AktSum,TF_Nokkel,M667),COUNTIFS(M$3:M666,M667,N$3:N666,N667)=0),M667,""))</f>
        <v/>
      </c>
    </row>
    <row r="668">
      <c r="A668" s="34" t="n"/>
      <c r="B668" s="35" t="n"/>
      <c r="C668" s="35" t="n"/>
      <c r="D668" s="35" t="n"/>
      <c r="E668" s="35" t="n"/>
      <c r="F668" s="36" t="n"/>
      <c r="G668" s="35" t="n"/>
      <c r="H668" s="30">
        <f>IF(L668="","",INDEX(SkiftNavn,L668))</f>
        <v/>
      </c>
      <c r="I668" s="30">
        <f>IF(OR(A668="",L668=""),"",IF(MOD(A668-INDEX(SkiftStart,L668),Syklus)&lt;DagK,"Kveld",IF(MOD(A668-INDEX(SkiftStart,L668),Syklus)&lt;DagK+DagH,"Helg",IF(MOD(A668-INDEX(SkiftStart,L668),Syklus)&lt;DagK+DagH+DagD,"Dag","Fri"))))</f>
        <v/>
      </c>
      <c r="J668" s="30">
        <f>IF(I668="Fri","Ja","")</f>
        <v/>
      </c>
      <c r="K668" s="30">
        <f>IF(B668="","",IF(L668="","Ukjent tekniker",IF(ISNA(MATCH(C668,Aktiviteter,0)),"Ukjent aktivitet",IF(AND(INDEX(AktRolle,MATCH(C668,Aktiviteter,0))&amp;""&lt;&gt;"",ISERROR(SEARCH(INDEX(AktRolle,MATCH(C668,Aktiviteter,0))&amp;"",INDEX(TekRoller,MATCH(B668,Teknikere,0))))),"Mangler rollen "&amp;INDEX(AktRolle,MATCH(C668,Aktiviteter,0))&amp;"",IF(AND(C668="LMS",F668&gt;0,OR(D668="",E668="")),"Mangler maskin eller arbeid",IF(AND(OR(C668="LMS",C668="Mod"),D668&lt;&gt;""),IF(IFERROR(INDEX(MaskinStatus,MATCH(D668,Maskiner,0)),"")="I dokk","","Maskinen er ikke i dokk"),""))))))</f>
        <v/>
      </c>
      <c r="L668" s="2">
        <f>IF(B668="","",IFERROR(INT((MATCH(B668,Teknikere,0)-1)/18)+1,""))</f>
        <v/>
      </c>
      <c r="M668" s="2">
        <f>IF(OR(A668="",B668=""),"",B668&amp;"|"&amp;A668)</f>
        <v/>
      </c>
      <c r="N668" s="2">
        <f>IF(M668="","",SUMIFS(TF_Timer,TF_Nokkel,M668,TF_Akt,C668))</f>
        <v/>
      </c>
      <c r="O668" s="2">
        <f>IF(M668="","",IF(AND(N668=_xlfn.MAXIFS(TF_AktSum,TF_Nokkel,M668),COUNTIFS(M$3:M667,M668,N$3:N667,N668)=0),M668,""))</f>
        <v/>
      </c>
    </row>
    <row r="669">
      <c r="A669" s="34" t="n"/>
      <c r="B669" s="35" t="n"/>
      <c r="C669" s="35" t="n"/>
      <c r="D669" s="35" t="n"/>
      <c r="E669" s="35" t="n"/>
      <c r="F669" s="36" t="n"/>
      <c r="G669" s="35" t="n"/>
      <c r="H669" s="30">
        <f>IF(L669="","",INDEX(SkiftNavn,L669))</f>
        <v/>
      </c>
      <c r="I669" s="30">
        <f>IF(OR(A669="",L669=""),"",IF(MOD(A669-INDEX(SkiftStart,L669),Syklus)&lt;DagK,"Kveld",IF(MOD(A669-INDEX(SkiftStart,L669),Syklus)&lt;DagK+DagH,"Helg",IF(MOD(A669-INDEX(SkiftStart,L669),Syklus)&lt;DagK+DagH+DagD,"Dag","Fri"))))</f>
        <v/>
      </c>
      <c r="J669" s="30">
        <f>IF(I669="Fri","Ja","")</f>
        <v/>
      </c>
      <c r="K669" s="30">
        <f>IF(B669="","",IF(L669="","Ukjent tekniker",IF(ISNA(MATCH(C669,Aktiviteter,0)),"Ukjent aktivitet",IF(AND(INDEX(AktRolle,MATCH(C669,Aktiviteter,0))&amp;""&lt;&gt;"",ISERROR(SEARCH(INDEX(AktRolle,MATCH(C669,Aktiviteter,0))&amp;"",INDEX(TekRoller,MATCH(B669,Teknikere,0))))),"Mangler rollen "&amp;INDEX(AktRolle,MATCH(C669,Aktiviteter,0))&amp;"",IF(AND(C669="LMS",F669&gt;0,OR(D669="",E669="")),"Mangler maskin eller arbeid",IF(AND(OR(C669="LMS",C669="Mod"),D669&lt;&gt;""),IF(IFERROR(INDEX(MaskinStatus,MATCH(D669,Maskiner,0)),"")="I dokk","","Maskinen er ikke i dokk"),""))))))</f>
        <v/>
      </c>
      <c r="L669" s="2">
        <f>IF(B669="","",IFERROR(INT((MATCH(B669,Teknikere,0)-1)/18)+1,""))</f>
        <v/>
      </c>
      <c r="M669" s="2">
        <f>IF(OR(A669="",B669=""),"",B669&amp;"|"&amp;A669)</f>
        <v/>
      </c>
      <c r="N669" s="2">
        <f>IF(M669="","",SUMIFS(TF_Timer,TF_Nokkel,M669,TF_Akt,C669))</f>
        <v/>
      </c>
      <c r="O669" s="2">
        <f>IF(M669="","",IF(AND(N669=_xlfn.MAXIFS(TF_AktSum,TF_Nokkel,M669),COUNTIFS(M$3:M668,M669,N$3:N668,N669)=0),M669,""))</f>
        <v/>
      </c>
    </row>
    <row r="670">
      <c r="A670" s="34" t="n"/>
      <c r="B670" s="35" t="n"/>
      <c r="C670" s="35" t="n"/>
      <c r="D670" s="35" t="n"/>
      <c r="E670" s="35" t="n"/>
      <c r="F670" s="36" t="n"/>
      <c r="G670" s="35" t="n"/>
      <c r="H670" s="30">
        <f>IF(L670="","",INDEX(SkiftNavn,L670))</f>
        <v/>
      </c>
      <c r="I670" s="30">
        <f>IF(OR(A670="",L670=""),"",IF(MOD(A670-INDEX(SkiftStart,L670),Syklus)&lt;DagK,"Kveld",IF(MOD(A670-INDEX(SkiftStart,L670),Syklus)&lt;DagK+DagH,"Helg",IF(MOD(A670-INDEX(SkiftStart,L670),Syklus)&lt;DagK+DagH+DagD,"Dag","Fri"))))</f>
        <v/>
      </c>
      <c r="J670" s="30">
        <f>IF(I670="Fri","Ja","")</f>
        <v/>
      </c>
      <c r="K670" s="30">
        <f>IF(B670="","",IF(L670="","Ukjent tekniker",IF(ISNA(MATCH(C670,Aktiviteter,0)),"Ukjent aktivitet",IF(AND(INDEX(AktRolle,MATCH(C670,Aktiviteter,0))&amp;""&lt;&gt;"",ISERROR(SEARCH(INDEX(AktRolle,MATCH(C670,Aktiviteter,0))&amp;"",INDEX(TekRoller,MATCH(B670,Teknikere,0))))),"Mangler rollen "&amp;INDEX(AktRolle,MATCH(C670,Aktiviteter,0))&amp;"",IF(AND(C670="LMS",F670&gt;0,OR(D670="",E670="")),"Mangler maskin eller arbeid",IF(AND(OR(C670="LMS",C670="Mod"),D670&lt;&gt;""),IF(IFERROR(INDEX(MaskinStatus,MATCH(D670,Maskiner,0)),"")="I dokk","","Maskinen er ikke i dokk"),""))))))</f>
        <v/>
      </c>
      <c r="L670" s="2">
        <f>IF(B670="","",IFERROR(INT((MATCH(B670,Teknikere,0)-1)/18)+1,""))</f>
        <v/>
      </c>
      <c r="M670" s="2">
        <f>IF(OR(A670="",B670=""),"",B670&amp;"|"&amp;A670)</f>
        <v/>
      </c>
      <c r="N670" s="2">
        <f>IF(M670="","",SUMIFS(TF_Timer,TF_Nokkel,M670,TF_Akt,C670))</f>
        <v/>
      </c>
      <c r="O670" s="2">
        <f>IF(M670="","",IF(AND(N670=_xlfn.MAXIFS(TF_AktSum,TF_Nokkel,M670),COUNTIFS(M$3:M669,M670,N$3:N669,N670)=0),M670,""))</f>
        <v/>
      </c>
    </row>
    <row r="671">
      <c r="A671" s="34" t="n"/>
      <c r="B671" s="35" t="n"/>
      <c r="C671" s="35" t="n"/>
      <c r="D671" s="35" t="n"/>
      <c r="E671" s="35" t="n"/>
      <c r="F671" s="36" t="n"/>
      <c r="G671" s="35" t="n"/>
      <c r="H671" s="30">
        <f>IF(L671="","",INDEX(SkiftNavn,L671))</f>
        <v/>
      </c>
      <c r="I671" s="30">
        <f>IF(OR(A671="",L671=""),"",IF(MOD(A671-INDEX(SkiftStart,L671),Syklus)&lt;DagK,"Kveld",IF(MOD(A671-INDEX(SkiftStart,L671),Syklus)&lt;DagK+DagH,"Helg",IF(MOD(A671-INDEX(SkiftStart,L671),Syklus)&lt;DagK+DagH+DagD,"Dag","Fri"))))</f>
        <v/>
      </c>
      <c r="J671" s="30">
        <f>IF(I671="Fri","Ja","")</f>
        <v/>
      </c>
      <c r="K671" s="30">
        <f>IF(B671="","",IF(L671="","Ukjent tekniker",IF(ISNA(MATCH(C671,Aktiviteter,0)),"Ukjent aktivitet",IF(AND(INDEX(AktRolle,MATCH(C671,Aktiviteter,0))&amp;""&lt;&gt;"",ISERROR(SEARCH(INDEX(AktRolle,MATCH(C671,Aktiviteter,0))&amp;"",INDEX(TekRoller,MATCH(B671,Teknikere,0))))),"Mangler rollen "&amp;INDEX(AktRolle,MATCH(C671,Aktiviteter,0))&amp;"",IF(AND(C671="LMS",F671&gt;0,OR(D671="",E671="")),"Mangler maskin eller arbeid",IF(AND(OR(C671="LMS",C671="Mod"),D671&lt;&gt;""),IF(IFERROR(INDEX(MaskinStatus,MATCH(D671,Maskiner,0)),"")="I dokk","","Maskinen er ikke i dokk"),""))))))</f>
        <v/>
      </c>
      <c r="L671" s="2">
        <f>IF(B671="","",IFERROR(INT((MATCH(B671,Teknikere,0)-1)/18)+1,""))</f>
        <v/>
      </c>
      <c r="M671" s="2">
        <f>IF(OR(A671="",B671=""),"",B671&amp;"|"&amp;A671)</f>
        <v/>
      </c>
      <c r="N671" s="2">
        <f>IF(M671="","",SUMIFS(TF_Timer,TF_Nokkel,M671,TF_Akt,C671))</f>
        <v/>
      </c>
      <c r="O671" s="2">
        <f>IF(M671="","",IF(AND(N671=_xlfn.MAXIFS(TF_AktSum,TF_Nokkel,M671),COUNTIFS(M$3:M670,M671,N$3:N670,N671)=0),M671,""))</f>
        <v/>
      </c>
    </row>
    <row r="672">
      <c r="A672" s="34" t="n"/>
      <c r="B672" s="35" t="n"/>
      <c r="C672" s="35" t="n"/>
      <c r="D672" s="35" t="n"/>
      <c r="E672" s="35" t="n"/>
      <c r="F672" s="36" t="n"/>
      <c r="G672" s="35" t="n"/>
      <c r="H672" s="30">
        <f>IF(L672="","",INDEX(SkiftNavn,L672))</f>
        <v/>
      </c>
      <c r="I672" s="30">
        <f>IF(OR(A672="",L672=""),"",IF(MOD(A672-INDEX(SkiftStart,L672),Syklus)&lt;DagK,"Kveld",IF(MOD(A672-INDEX(SkiftStart,L672),Syklus)&lt;DagK+DagH,"Helg",IF(MOD(A672-INDEX(SkiftStart,L672),Syklus)&lt;DagK+DagH+DagD,"Dag","Fri"))))</f>
        <v/>
      </c>
      <c r="J672" s="30">
        <f>IF(I672="Fri","Ja","")</f>
        <v/>
      </c>
      <c r="K672" s="30">
        <f>IF(B672="","",IF(L672="","Ukjent tekniker",IF(ISNA(MATCH(C672,Aktiviteter,0)),"Ukjent aktivitet",IF(AND(INDEX(AktRolle,MATCH(C672,Aktiviteter,0))&amp;""&lt;&gt;"",ISERROR(SEARCH(INDEX(AktRolle,MATCH(C672,Aktiviteter,0))&amp;"",INDEX(TekRoller,MATCH(B672,Teknikere,0))))),"Mangler rollen "&amp;INDEX(AktRolle,MATCH(C672,Aktiviteter,0))&amp;"",IF(AND(C672="LMS",F672&gt;0,OR(D672="",E672="")),"Mangler maskin eller arbeid",IF(AND(OR(C672="LMS",C672="Mod"),D672&lt;&gt;""),IF(IFERROR(INDEX(MaskinStatus,MATCH(D672,Maskiner,0)),"")="I dokk","","Maskinen er ikke i dokk"),""))))))</f>
        <v/>
      </c>
      <c r="L672" s="2">
        <f>IF(B672="","",IFERROR(INT((MATCH(B672,Teknikere,0)-1)/18)+1,""))</f>
        <v/>
      </c>
      <c r="M672" s="2">
        <f>IF(OR(A672="",B672=""),"",B672&amp;"|"&amp;A672)</f>
        <v/>
      </c>
      <c r="N672" s="2">
        <f>IF(M672="","",SUMIFS(TF_Timer,TF_Nokkel,M672,TF_Akt,C672))</f>
        <v/>
      </c>
      <c r="O672" s="2">
        <f>IF(M672="","",IF(AND(N672=_xlfn.MAXIFS(TF_AktSum,TF_Nokkel,M672),COUNTIFS(M$3:M671,M672,N$3:N671,N672)=0),M672,""))</f>
        <v/>
      </c>
    </row>
    <row r="673">
      <c r="A673" s="34" t="n"/>
      <c r="B673" s="35" t="n"/>
      <c r="C673" s="35" t="n"/>
      <c r="D673" s="35" t="n"/>
      <c r="E673" s="35" t="n"/>
      <c r="F673" s="36" t="n"/>
      <c r="G673" s="35" t="n"/>
      <c r="H673" s="30">
        <f>IF(L673="","",INDEX(SkiftNavn,L673))</f>
        <v/>
      </c>
      <c r="I673" s="30">
        <f>IF(OR(A673="",L673=""),"",IF(MOD(A673-INDEX(SkiftStart,L673),Syklus)&lt;DagK,"Kveld",IF(MOD(A673-INDEX(SkiftStart,L673),Syklus)&lt;DagK+DagH,"Helg",IF(MOD(A673-INDEX(SkiftStart,L673),Syklus)&lt;DagK+DagH+DagD,"Dag","Fri"))))</f>
        <v/>
      </c>
      <c r="J673" s="30">
        <f>IF(I673="Fri","Ja","")</f>
        <v/>
      </c>
      <c r="K673" s="30">
        <f>IF(B673="","",IF(L673="","Ukjent tekniker",IF(ISNA(MATCH(C673,Aktiviteter,0)),"Ukjent aktivitet",IF(AND(INDEX(AktRolle,MATCH(C673,Aktiviteter,0))&amp;""&lt;&gt;"",ISERROR(SEARCH(INDEX(AktRolle,MATCH(C673,Aktiviteter,0))&amp;"",INDEX(TekRoller,MATCH(B673,Teknikere,0))))),"Mangler rollen "&amp;INDEX(AktRolle,MATCH(C673,Aktiviteter,0))&amp;"",IF(AND(C673="LMS",F673&gt;0,OR(D673="",E673="")),"Mangler maskin eller arbeid",IF(AND(OR(C673="LMS",C673="Mod"),D673&lt;&gt;""),IF(IFERROR(INDEX(MaskinStatus,MATCH(D673,Maskiner,0)),"")="I dokk","","Maskinen er ikke i dokk"),""))))))</f>
        <v/>
      </c>
      <c r="L673" s="2">
        <f>IF(B673="","",IFERROR(INT((MATCH(B673,Teknikere,0)-1)/18)+1,""))</f>
        <v/>
      </c>
      <c r="M673" s="2">
        <f>IF(OR(A673="",B673=""),"",B673&amp;"|"&amp;A673)</f>
        <v/>
      </c>
      <c r="N673" s="2">
        <f>IF(M673="","",SUMIFS(TF_Timer,TF_Nokkel,M673,TF_Akt,C673))</f>
        <v/>
      </c>
      <c r="O673" s="2">
        <f>IF(M673="","",IF(AND(N673=_xlfn.MAXIFS(TF_AktSum,TF_Nokkel,M673),COUNTIFS(M$3:M672,M673,N$3:N672,N673)=0),M673,""))</f>
        <v/>
      </c>
    </row>
    <row r="674">
      <c r="A674" s="34" t="n"/>
      <c r="B674" s="35" t="n"/>
      <c r="C674" s="35" t="n"/>
      <c r="D674" s="35" t="n"/>
      <c r="E674" s="35" t="n"/>
      <c r="F674" s="36" t="n"/>
      <c r="G674" s="35" t="n"/>
      <c r="H674" s="30">
        <f>IF(L674="","",INDEX(SkiftNavn,L674))</f>
        <v/>
      </c>
      <c r="I674" s="30">
        <f>IF(OR(A674="",L674=""),"",IF(MOD(A674-INDEX(SkiftStart,L674),Syklus)&lt;DagK,"Kveld",IF(MOD(A674-INDEX(SkiftStart,L674),Syklus)&lt;DagK+DagH,"Helg",IF(MOD(A674-INDEX(SkiftStart,L674),Syklus)&lt;DagK+DagH+DagD,"Dag","Fri"))))</f>
        <v/>
      </c>
      <c r="J674" s="30">
        <f>IF(I674="Fri","Ja","")</f>
        <v/>
      </c>
      <c r="K674" s="30">
        <f>IF(B674="","",IF(L674="","Ukjent tekniker",IF(ISNA(MATCH(C674,Aktiviteter,0)),"Ukjent aktivitet",IF(AND(INDEX(AktRolle,MATCH(C674,Aktiviteter,0))&amp;""&lt;&gt;"",ISERROR(SEARCH(INDEX(AktRolle,MATCH(C674,Aktiviteter,0))&amp;"",INDEX(TekRoller,MATCH(B674,Teknikere,0))))),"Mangler rollen "&amp;INDEX(AktRolle,MATCH(C674,Aktiviteter,0))&amp;"",IF(AND(C674="LMS",F674&gt;0,OR(D674="",E674="")),"Mangler maskin eller arbeid",IF(AND(OR(C674="LMS",C674="Mod"),D674&lt;&gt;""),IF(IFERROR(INDEX(MaskinStatus,MATCH(D674,Maskiner,0)),"")="I dokk","","Maskinen er ikke i dokk"),""))))))</f>
        <v/>
      </c>
      <c r="L674" s="2">
        <f>IF(B674="","",IFERROR(INT((MATCH(B674,Teknikere,0)-1)/18)+1,""))</f>
        <v/>
      </c>
      <c r="M674" s="2">
        <f>IF(OR(A674="",B674=""),"",B674&amp;"|"&amp;A674)</f>
        <v/>
      </c>
      <c r="N674" s="2">
        <f>IF(M674="","",SUMIFS(TF_Timer,TF_Nokkel,M674,TF_Akt,C674))</f>
        <v/>
      </c>
      <c r="O674" s="2">
        <f>IF(M674="","",IF(AND(N674=_xlfn.MAXIFS(TF_AktSum,TF_Nokkel,M674),COUNTIFS(M$3:M673,M674,N$3:N673,N674)=0),M674,""))</f>
        <v/>
      </c>
    </row>
    <row r="675">
      <c r="A675" s="34" t="n"/>
      <c r="B675" s="35" t="n"/>
      <c r="C675" s="35" t="n"/>
      <c r="D675" s="35" t="n"/>
      <c r="E675" s="35" t="n"/>
      <c r="F675" s="36" t="n"/>
      <c r="G675" s="35" t="n"/>
      <c r="H675" s="30">
        <f>IF(L675="","",INDEX(SkiftNavn,L675))</f>
        <v/>
      </c>
      <c r="I675" s="30">
        <f>IF(OR(A675="",L675=""),"",IF(MOD(A675-INDEX(SkiftStart,L675),Syklus)&lt;DagK,"Kveld",IF(MOD(A675-INDEX(SkiftStart,L675),Syklus)&lt;DagK+DagH,"Helg",IF(MOD(A675-INDEX(SkiftStart,L675),Syklus)&lt;DagK+DagH+DagD,"Dag","Fri"))))</f>
        <v/>
      </c>
      <c r="J675" s="30">
        <f>IF(I675="Fri","Ja","")</f>
        <v/>
      </c>
      <c r="K675" s="30">
        <f>IF(B675="","",IF(L675="","Ukjent tekniker",IF(ISNA(MATCH(C675,Aktiviteter,0)),"Ukjent aktivitet",IF(AND(INDEX(AktRolle,MATCH(C675,Aktiviteter,0))&amp;""&lt;&gt;"",ISERROR(SEARCH(INDEX(AktRolle,MATCH(C675,Aktiviteter,0))&amp;"",INDEX(TekRoller,MATCH(B675,Teknikere,0))))),"Mangler rollen "&amp;INDEX(AktRolle,MATCH(C675,Aktiviteter,0))&amp;"",IF(AND(C675="LMS",F675&gt;0,OR(D675="",E675="")),"Mangler maskin eller arbeid",IF(AND(OR(C675="LMS",C675="Mod"),D675&lt;&gt;""),IF(IFERROR(INDEX(MaskinStatus,MATCH(D675,Maskiner,0)),"")="I dokk","","Maskinen er ikke i dokk"),""))))))</f>
        <v/>
      </c>
      <c r="L675" s="2">
        <f>IF(B675="","",IFERROR(INT((MATCH(B675,Teknikere,0)-1)/18)+1,""))</f>
        <v/>
      </c>
      <c r="M675" s="2">
        <f>IF(OR(A675="",B675=""),"",B675&amp;"|"&amp;A675)</f>
        <v/>
      </c>
      <c r="N675" s="2">
        <f>IF(M675="","",SUMIFS(TF_Timer,TF_Nokkel,M675,TF_Akt,C675))</f>
        <v/>
      </c>
      <c r="O675" s="2">
        <f>IF(M675="","",IF(AND(N675=_xlfn.MAXIFS(TF_AktSum,TF_Nokkel,M675),COUNTIFS(M$3:M674,M675,N$3:N674,N675)=0),M675,""))</f>
        <v/>
      </c>
    </row>
    <row r="676">
      <c r="A676" s="34" t="n"/>
      <c r="B676" s="35" t="n"/>
      <c r="C676" s="35" t="n"/>
      <c r="D676" s="35" t="n"/>
      <c r="E676" s="35" t="n"/>
      <c r="F676" s="36" t="n"/>
      <c r="G676" s="35" t="n"/>
      <c r="H676" s="30">
        <f>IF(L676="","",INDEX(SkiftNavn,L676))</f>
        <v/>
      </c>
      <c r="I676" s="30">
        <f>IF(OR(A676="",L676=""),"",IF(MOD(A676-INDEX(SkiftStart,L676),Syklus)&lt;DagK,"Kveld",IF(MOD(A676-INDEX(SkiftStart,L676),Syklus)&lt;DagK+DagH,"Helg",IF(MOD(A676-INDEX(SkiftStart,L676),Syklus)&lt;DagK+DagH+DagD,"Dag","Fri"))))</f>
        <v/>
      </c>
      <c r="J676" s="30">
        <f>IF(I676="Fri","Ja","")</f>
        <v/>
      </c>
      <c r="K676" s="30">
        <f>IF(B676="","",IF(L676="","Ukjent tekniker",IF(ISNA(MATCH(C676,Aktiviteter,0)),"Ukjent aktivitet",IF(AND(INDEX(AktRolle,MATCH(C676,Aktiviteter,0))&amp;""&lt;&gt;"",ISERROR(SEARCH(INDEX(AktRolle,MATCH(C676,Aktiviteter,0))&amp;"",INDEX(TekRoller,MATCH(B676,Teknikere,0))))),"Mangler rollen "&amp;INDEX(AktRolle,MATCH(C676,Aktiviteter,0))&amp;"",IF(AND(C676="LMS",F676&gt;0,OR(D676="",E676="")),"Mangler maskin eller arbeid",IF(AND(OR(C676="LMS",C676="Mod"),D676&lt;&gt;""),IF(IFERROR(INDEX(MaskinStatus,MATCH(D676,Maskiner,0)),"")="I dokk","","Maskinen er ikke i dokk"),""))))))</f>
        <v/>
      </c>
      <c r="L676" s="2">
        <f>IF(B676="","",IFERROR(INT((MATCH(B676,Teknikere,0)-1)/18)+1,""))</f>
        <v/>
      </c>
      <c r="M676" s="2">
        <f>IF(OR(A676="",B676=""),"",B676&amp;"|"&amp;A676)</f>
        <v/>
      </c>
      <c r="N676" s="2">
        <f>IF(M676="","",SUMIFS(TF_Timer,TF_Nokkel,M676,TF_Akt,C676))</f>
        <v/>
      </c>
      <c r="O676" s="2">
        <f>IF(M676="","",IF(AND(N676=_xlfn.MAXIFS(TF_AktSum,TF_Nokkel,M676),COUNTIFS(M$3:M675,M676,N$3:N675,N676)=0),M676,""))</f>
        <v/>
      </c>
    </row>
    <row r="677">
      <c r="A677" s="34" t="n"/>
      <c r="B677" s="35" t="n"/>
      <c r="C677" s="35" t="n"/>
      <c r="D677" s="35" t="n"/>
      <c r="E677" s="35" t="n"/>
      <c r="F677" s="36" t="n"/>
      <c r="G677" s="35" t="n"/>
      <c r="H677" s="30">
        <f>IF(L677="","",INDEX(SkiftNavn,L677))</f>
        <v/>
      </c>
      <c r="I677" s="30">
        <f>IF(OR(A677="",L677=""),"",IF(MOD(A677-INDEX(SkiftStart,L677),Syklus)&lt;DagK,"Kveld",IF(MOD(A677-INDEX(SkiftStart,L677),Syklus)&lt;DagK+DagH,"Helg",IF(MOD(A677-INDEX(SkiftStart,L677),Syklus)&lt;DagK+DagH+DagD,"Dag","Fri"))))</f>
        <v/>
      </c>
      <c r="J677" s="30">
        <f>IF(I677="Fri","Ja","")</f>
        <v/>
      </c>
      <c r="K677" s="30">
        <f>IF(B677="","",IF(L677="","Ukjent tekniker",IF(ISNA(MATCH(C677,Aktiviteter,0)),"Ukjent aktivitet",IF(AND(INDEX(AktRolle,MATCH(C677,Aktiviteter,0))&amp;""&lt;&gt;"",ISERROR(SEARCH(INDEX(AktRolle,MATCH(C677,Aktiviteter,0))&amp;"",INDEX(TekRoller,MATCH(B677,Teknikere,0))))),"Mangler rollen "&amp;INDEX(AktRolle,MATCH(C677,Aktiviteter,0))&amp;"",IF(AND(C677="LMS",F677&gt;0,OR(D677="",E677="")),"Mangler maskin eller arbeid",IF(AND(OR(C677="LMS",C677="Mod"),D677&lt;&gt;""),IF(IFERROR(INDEX(MaskinStatus,MATCH(D677,Maskiner,0)),"")="I dokk","","Maskinen er ikke i dokk"),""))))))</f>
        <v/>
      </c>
      <c r="L677" s="2">
        <f>IF(B677="","",IFERROR(INT((MATCH(B677,Teknikere,0)-1)/18)+1,""))</f>
        <v/>
      </c>
      <c r="M677" s="2">
        <f>IF(OR(A677="",B677=""),"",B677&amp;"|"&amp;A677)</f>
        <v/>
      </c>
      <c r="N677" s="2">
        <f>IF(M677="","",SUMIFS(TF_Timer,TF_Nokkel,M677,TF_Akt,C677))</f>
        <v/>
      </c>
      <c r="O677" s="2">
        <f>IF(M677="","",IF(AND(N677=_xlfn.MAXIFS(TF_AktSum,TF_Nokkel,M677),COUNTIFS(M$3:M676,M677,N$3:N676,N677)=0),M677,""))</f>
        <v/>
      </c>
    </row>
    <row r="678">
      <c r="A678" s="34" t="n"/>
      <c r="B678" s="35" t="n"/>
      <c r="C678" s="35" t="n"/>
      <c r="D678" s="35" t="n"/>
      <c r="E678" s="35" t="n"/>
      <c r="F678" s="36" t="n"/>
      <c r="G678" s="35" t="n"/>
      <c r="H678" s="30">
        <f>IF(L678="","",INDEX(SkiftNavn,L678))</f>
        <v/>
      </c>
      <c r="I678" s="30">
        <f>IF(OR(A678="",L678=""),"",IF(MOD(A678-INDEX(SkiftStart,L678),Syklus)&lt;DagK,"Kveld",IF(MOD(A678-INDEX(SkiftStart,L678),Syklus)&lt;DagK+DagH,"Helg",IF(MOD(A678-INDEX(SkiftStart,L678),Syklus)&lt;DagK+DagH+DagD,"Dag","Fri"))))</f>
        <v/>
      </c>
      <c r="J678" s="30">
        <f>IF(I678="Fri","Ja","")</f>
        <v/>
      </c>
      <c r="K678" s="30">
        <f>IF(B678="","",IF(L678="","Ukjent tekniker",IF(ISNA(MATCH(C678,Aktiviteter,0)),"Ukjent aktivitet",IF(AND(INDEX(AktRolle,MATCH(C678,Aktiviteter,0))&amp;""&lt;&gt;"",ISERROR(SEARCH(INDEX(AktRolle,MATCH(C678,Aktiviteter,0))&amp;"",INDEX(TekRoller,MATCH(B678,Teknikere,0))))),"Mangler rollen "&amp;INDEX(AktRolle,MATCH(C678,Aktiviteter,0))&amp;"",IF(AND(C678="LMS",F678&gt;0,OR(D678="",E678="")),"Mangler maskin eller arbeid",IF(AND(OR(C678="LMS",C678="Mod"),D678&lt;&gt;""),IF(IFERROR(INDEX(MaskinStatus,MATCH(D678,Maskiner,0)),"")="I dokk","","Maskinen er ikke i dokk"),""))))))</f>
        <v/>
      </c>
      <c r="L678" s="2">
        <f>IF(B678="","",IFERROR(INT((MATCH(B678,Teknikere,0)-1)/18)+1,""))</f>
        <v/>
      </c>
      <c r="M678" s="2">
        <f>IF(OR(A678="",B678=""),"",B678&amp;"|"&amp;A678)</f>
        <v/>
      </c>
      <c r="N678" s="2">
        <f>IF(M678="","",SUMIFS(TF_Timer,TF_Nokkel,M678,TF_Akt,C678))</f>
        <v/>
      </c>
      <c r="O678" s="2">
        <f>IF(M678="","",IF(AND(N678=_xlfn.MAXIFS(TF_AktSum,TF_Nokkel,M678),COUNTIFS(M$3:M677,M678,N$3:N677,N678)=0),M678,""))</f>
        <v/>
      </c>
    </row>
    <row r="679">
      <c r="A679" s="34" t="n"/>
      <c r="B679" s="35" t="n"/>
      <c r="C679" s="35" t="n"/>
      <c r="D679" s="35" t="n"/>
      <c r="E679" s="35" t="n"/>
      <c r="F679" s="36" t="n"/>
      <c r="G679" s="35" t="n"/>
      <c r="H679" s="30">
        <f>IF(L679="","",INDEX(SkiftNavn,L679))</f>
        <v/>
      </c>
      <c r="I679" s="30">
        <f>IF(OR(A679="",L679=""),"",IF(MOD(A679-INDEX(SkiftStart,L679),Syklus)&lt;DagK,"Kveld",IF(MOD(A679-INDEX(SkiftStart,L679),Syklus)&lt;DagK+DagH,"Helg",IF(MOD(A679-INDEX(SkiftStart,L679),Syklus)&lt;DagK+DagH+DagD,"Dag","Fri"))))</f>
        <v/>
      </c>
      <c r="J679" s="30">
        <f>IF(I679="Fri","Ja","")</f>
        <v/>
      </c>
      <c r="K679" s="30">
        <f>IF(B679="","",IF(L679="","Ukjent tekniker",IF(ISNA(MATCH(C679,Aktiviteter,0)),"Ukjent aktivitet",IF(AND(INDEX(AktRolle,MATCH(C679,Aktiviteter,0))&amp;""&lt;&gt;"",ISERROR(SEARCH(INDEX(AktRolle,MATCH(C679,Aktiviteter,0))&amp;"",INDEX(TekRoller,MATCH(B679,Teknikere,0))))),"Mangler rollen "&amp;INDEX(AktRolle,MATCH(C679,Aktiviteter,0))&amp;"",IF(AND(C679="LMS",F679&gt;0,OR(D679="",E679="")),"Mangler maskin eller arbeid",IF(AND(OR(C679="LMS",C679="Mod"),D679&lt;&gt;""),IF(IFERROR(INDEX(MaskinStatus,MATCH(D679,Maskiner,0)),"")="I dokk","","Maskinen er ikke i dokk"),""))))))</f>
        <v/>
      </c>
      <c r="L679" s="2">
        <f>IF(B679="","",IFERROR(INT((MATCH(B679,Teknikere,0)-1)/18)+1,""))</f>
        <v/>
      </c>
      <c r="M679" s="2">
        <f>IF(OR(A679="",B679=""),"",B679&amp;"|"&amp;A679)</f>
        <v/>
      </c>
      <c r="N679" s="2">
        <f>IF(M679="","",SUMIFS(TF_Timer,TF_Nokkel,M679,TF_Akt,C679))</f>
        <v/>
      </c>
      <c r="O679" s="2">
        <f>IF(M679="","",IF(AND(N679=_xlfn.MAXIFS(TF_AktSum,TF_Nokkel,M679),COUNTIFS(M$3:M678,M679,N$3:N678,N679)=0),M679,""))</f>
        <v/>
      </c>
    </row>
    <row r="680">
      <c r="A680" s="34" t="n"/>
      <c r="B680" s="35" t="n"/>
      <c r="C680" s="35" t="n"/>
      <c r="D680" s="35" t="n"/>
      <c r="E680" s="35" t="n"/>
      <c r="F680" s="36" t="n"/>
      <c r="G680" s="35" t="n"/>
      <c r="H680" s="30">
        <f>IF(L680="","",INDEX(SkiftNavn,L680))</f>
        <v/>
      </c>
      <c r="I680" s="30">
        <f>IF(OR(A680="",L680=""),"",IF(MOD(A680-INDEX(SkiftStart,L680),Syklus)&lt;DagK,"Kveld",IF(MOD(A680-INDEX(SkiftStart,L680),Syklus)&lt;DagK+DagH,"Helg",IF(MOD(A680-INDEX(SkiftStart,L680),Syklus)&lt;DagK+DagH+DagD,"Dag","Fri"))))</f>
        <v/>
      </c>
      <c r="J680" s="30">
        <f>IF(I680="Fri","Ja","")</f>
        <v/>
      </c>
      <c r="K680" s="30">
        <f>IF(B680="","",IF(L680="","Ukjent tekniker",IF(ISNA(MATCH(C680,Aktiviteter,0)),"Ukjent aktivitet",IF(AND(INDEX(AktRolle,MATCH(C680,Aktiviteter,0))&amp;""&lt;&gt;"",ISERROR(SEARCH(INDEX(AktRolle,MATCH(C680,Aktiviteter,0))&amp;"",INDEX(TekRoller,MATCH(B680,Teknikere,0))))),"Mangler rollen "&amp;INDEX(AktRolle,MATCH(C680,Aktiviteter,0))&amp;"",IF(AND(C680="LMS",F680&gt;0,OR(D680="",E680="")),"Mangler maskin eller arbeid",IF(AND(OR(C680="LMS",C680="Mod"),D680&lt;&gt;""),IF(IFERROR(INDEX(MaskinStatus,MATCH(D680,Maskiner,0)),"")="I dokk","","Maskinen er ikke i dokk"),""))))))</f>
        <v/>
      </c>
      <c r="L680" s="2">
        <f>IF(B680="","",IFERROR(INT((MATCH(B680,Teknikere,0)-1)/18)+1,""))</f>
        <v/>
      </c>
      <c r="M680" s="2">
        <f>IF(OR(A680="",B680=""),"",B680&amp;"|"&amp;A680)</f>
        <v/>
      </c>
      <c r="N680" s="2">
        <f>IF(M680="","",SUMIFS(TF_Timer,TF_Nokkel,M680,TF_Akt,C680))</f>
        <v/>
      </c>
      <c r="O680" s="2">
        <f>IF(M680="","",IF(AND(N680=_xlfn.MAXIFS(TF_AktSum,TF_Nokkel,M680),COUNTIFS(M$3:M679,M680,N$3:N679,N680)=0),M680,""))</f>
        <v/>
      </c>
    </row>
    <row r="681">
      <c r="A681" s="34" t="n"/>
      <c r="B681" s="35" t="n"/>
      <c r="C681" s="35" t="n"/>
      <c r="D681" s="35" t="n"/>
      <c r="E681" s="35" t="n"/>
      <c r="F681" s="36" t="n"/>
      <c r="G681" s="35" t="n"/>
      <c r="H681" s="30">
        <f>IF(L681="","",INDEX(SkiftNavn,L681))</f>
        <v/>
      </c>
      <c r="I681" s="30">
        <f>IF(OR(A681="",L681=""),"",IF(MOD(A681-INDEX(SkiftStart,L681),Syklus)&lt;DagK,"Kveld",IF(MOD(A681-INDEX(SkiftStart,L681),Syklus)&lt;DagK+DagH,"Helg",IF(MOD(A681-INDEX(SkiftStart,L681),Syklus)&lt;DagK+DagH+DagD,"Dag","Fri"))))</f>
        <v/>
      </c>
      <c r="J681" s="30">
        <f>IF(I681="Fri","Ja","")</f>
        <v/>
      </c>
      <c r="K681" s="30">
        <f>IF(B681="","",IF(L681="","Ukjent tekniker",IF(ISNA(MATCH(C681,Aktiviteter,0)),"Ukjent aktivitet",IF(AND(INDEX(AktRolle,MATCH(C681,Aktiviteter,0))&amp;""&lt;&gt;"",ISERROR(SEARCH(INDEX(AktRolle,MATCH(C681,Aktiviteter,0))&amp;"",INDEX(TekRoller,MATCH(B681,Teknikere,0))))),"Mangler rollen "&amp;INDEX(AktRolle,MATCH(C681,Aktiviteter,0))&amp;"",IF(AND(C681="LMS",F681&gt;0,OR(D681="",E681="")),"Mangler maskin eller arbeid",IF(AND(OR(C681="LMS",C681="Mod"),D681&lt;&gt;""),IF(IFERROR(INDEX(MaskinStatus,MATCH(D681,Maskiner,0)),"")="I dokk","","Maskinen er ikke i dokk"),""))))))</f>
        <v/>
      </c>
      <c r="L681" s="2">
        <f>IF(B681="","",IFERROR(INT((MATCH(B681,Teknikere,0)-1)/18)+1,""))</f>
        <v/>
      </c>
      <c r="M681" s="2">
        <f>IF(OR(A681="",B681=""),"",B681&amp;"|"&amp;A681)</f>
        <v/>
      </c>
      <c r="N681" s="2">
        <f>IF(M681="","",SUMIFS(TF_Timer,TF_Nokkel,M681,TF_Akt,C681))</f>
        <v/>
      </c>
      <c r="O681" s="2">
        <f>IF(M681="","",IF(AND(N681=_xlfn.MAXIFS(TF_AktSum,TF_Nokkel,M681),COUNTIFS(M$3:M680,M681,N$3:N680,N681)=0),M681,""))</f>
        <v/>
      </c>
    </row>
    <row r="682">
      <c r="A682" s="34" t="n"/>
      <c r="B682" s="35" t="n"/>
      <c r="C682" s="35" t="n"/>
      <c r="D682" s="35" t="n"/>
      <c r="E682" s="35" t="n"/>
      <c r="F682" s="36" t="n"/>
      <c r="G682" s="35" t="n"/>
      <c r="H682" s="30">
        <f>IF(L682="","",INDEX(SkiftNavn,L682))</f>
        <v/>
      </c>
      <c r="I682" s="30">
        <f>IF(OR(A682="",L682=""),"",IF(MOD(A682-INDEX(SkiftStart,L682),Syklus)&lt;DagK,"Kveld",IF(MOD(A682-INDEX(SkiftStart,L682),Syklus)&lt;DagK+DagH,"Helg",IF(MOD(A682-INDEX(SkiftStart,L682),Syklus)&lt;DagK+DagH+DagD,"Dag","Fri"))))</f>
        <v/>
      </c>
      <c r="J682" s="30">
        <f>IF(I682="Fri","Ja","")</f>
        <v/>
      </c>
      <c r="K682" s="30">
        <f>IF(B682="","",IF(L682="","Ukjent tekniker",IF(ISNA(MATCH(C682,Aktiviteter,0)),"Ukjent aktivitet",IF(AND(INDEX(AktRolle,MATCH(C682,Aktiviteter,0))&amp;""&lt;&gt;"",ISERROR(SEARCH(INDEX(AktRolle,MATCH(C682,Aktiviteter,0))&amp;"",INDEX(TekRoller,MATCH(B682,Teknikere,0))))),"Mangler rollen "&amp;INDEX(AktRolle,MATCH(C682,Aktiviteter,0))&amp;"",IF(AND(C682="LMS",F682&gt;0,OR(D682="",E682="")),"Mangler maskin eller arbeid",IF(AND(OR(C682="LMS",C682="Mod"),D682&lt;&gt;""),IF(IFERROR(INDEX(MaskinStatus,MATCH(D682,Maskiner,0)),"")="I dokk","","Maskinen er ikke i dokk"),""))))))</f>
        <v/>
      </c>
      <c r="L682" s="2">
        <f>IF(B682="","",IFERROR(INT((MATCH(B682,Teknikere,0)-1)/18)+1,""))</f>
        <v/>
      </c>
      <c r="M682" s="2">
        <f>IF(OR(A682="",B682=""),"",B682&amp;"|"&amp;A682)</f>
        <v/>
      </c>
      <c r="N682" s="2">
        <f>IF(M682="","",SUMIFS(TF_Timer,TF_Nokkel,M682,TF_Akt,C682))</f>
        <v/>
      </c>
      <c r="O682" s="2">
        <f>IF(M682="","",IF(AND(N682=_xlfn.MAXIFS(TF_AktSum,TF_Nokkel,M682),COUNTIFS(M$3:M681,M682,N$3:N681,N682)=0),M682,""))</f>
        <v/>
      </c>
    </row>
    <row r="683">
      <c r="A683" s="34" t="n"/>
      <c r="B683" s="35" t="n"/>
      <c r="C683" s="35" t="n"/>
      <c r="D683" s="35" t="n"/>
      <c r="E683" s="35" t="n"/>
      <c r="F683" s="36" t="n"/>
      <c r="G683" s="35" t="n"/>
      <c r="H683" s="30">
        <f>IF(L683="","",INDEX(SkiftNavn,L683))</f>
        <v/>
      </c>
      <c r="I683" s="30">
        <f>IF(OR(A683="",L683=""),"",IF(MOD(A683-INDEX(SkiftStart,L683),Syklus)&lt;DagK,"Kveld",IF(MOD(A683-INDEX(SkiftStart,L683),Syklus)&lt;DagK+DagH,"Helg",IF(MOD(A683-INDEX(SkiftStart,L683),Syklus)&lt;DagK+DagH+DagD,"Dag","Fri"))))</f>
        <v/>
      </c>
      <c r="J683" s="30">
        <f>IF(I683="Fri","Ja","")</f>
        <v/>
      </c>
      <c r="K683" s="30">
        <f>IF(B683="","",IF(L683="","Ukjent tekniker",IF(ISNA(MATCH(C683,Aktiviteter,0)),"Ukjent aktivitet",IF(AND(INDEX(AktRolle,MATCH(C683,Aktiviteter,0))&amp;""&lt;&gt;"",ISERROR(SEARCH(INDEX(AktRolle,MATCH(C683,Aktiviteter,0))&amp;"",INDEX(TekRoller,MATCH(B683,Teknikere,0))))),"Mangler rollen "&amp;INDEX(AktRolle,MATCH(C683,Aktiviteter,0))&amp;"",IF(AND(C683="LMS",F683&gt;0,OR(D683="",E683="")),"Mangler maskin eller arbeid",IF(AND(OR(C683="LMS",C683="Mod"),D683&lt;&gt;""),IF(IFERROR(INDEX(MaskinStatus,MATCH(D683,Maskiner,0)),"")="I dokk","","Maskinen er ikke i dokk"),""))))))</f>
        <v/>
      </c>
      <c r="L683" s="2">
        <f>IF(B683="","",IFERROR(INT((MATCH(B683,Teknikere,0)-1)/18)+1,""))</f>
        <v/>
      </c>
      <c r="M683" s="2">
        <f>IF(OR(A683="",B683=""),"",B683&amp;"|"&amp;A683)</f>
        <v/>
      </c>
      <c r="N683" s="2">
        <f>IF(M683="","",SUMIFS(TF_Timer,TF_Nokkel,M683,TF_Akt,C683))</f>
        <v/>
      </c>
      <c r="O683" s="2">
        <f>IF(M683="","",IF(AND(N683=_xlfn.MAXIFS(TF_AktSum,TF_Nokkel,M683),COUNTIFS(M$3:M682,M683,N$3:N682,N683)=0),M683,""))</f>
        <v/>
      </c>
    </row>
    <row r="684">
      <c r="A684" s="34" t="n"/>
      <c r="B684" s="35" t="n"/>
      <c r="C684" s="35" t="n"/>
      <c r="D684" s="35" t="n"/>
      <c r="E684" s="35" t="n"/>
      <c r="F684" s="36" t="n"/>
      <c r="G684" s="35" t="n"/>
      <c r="H684" s="30">
        <f>IF(L684="","",INDEX(SkiftNavn,L684))</f>
        <v/>
      </c>
      <c r="I684" s="30">
        <f>IF(OR(A684="",L684=""),"",IF(MOD(A684-INDEX(SkiftStart,L684),Syklus)&lt;DagK,"Kveld",IF(MOD(A684-INDEX(SkiftStart,L684),Syklus)&lt;DagK+DagH,"Helg",IF(MOD(A684-INDEX(SkiftStart,L684),Syklus)&lt;DagK+DagH+DagD,"Dag","Fri"))))</f>
        <v/>
      </c>
      <c r="J684" s="30">
        <f>IF(I684="Fri","Ja","")</f>
        <v/>
      </c>
      <c r="K684" s="30">
        <f>IF(B684="","",IF(L684="","Ukjent tekniker",IF(ISNA(MATCH(C684,Aktiviteter,0)),"Ukjent aktivitet",IF(AND(INDEX(AktRolle,MATCH(C684,Aktiviteter,0))&amp;""&lt;&gt;"",ISERROR(SEARCH(INDEX(AktRolle,MATCH(C684,Aktiviteter,0))&amp;"",INDEX(TekRoller,MATCH(B684,Teknikere,0))))),"Mangler rollen "&amp;INDEX(AktRolle,MATCH(C684,Aktiviteter,0))&amp;"",IF(AND(C684="LMS",F684&gt;0,OR(D684="",E684="")),"Mangler maskin eller arbeid",IF(AND(OR(C684="LMS",C684="Mod"),D684&lt;&gt;""),IF(IFERROR(INDEX(MaskinStatus,MATCH(D684,Maskiner,0)),"")="I dokk","","Maskinen er ikke i dokk"),""))))))</f>
        <v/>
      </c>
      <c r="L684" s="2">
        <f>IF(B684="","",IFERROR(INT((MATCH(B684,Teknikere,0)-1)/18)+1,""))</f>
        <v/>
      </c>
      <c r="M684" s="2">
        <f>IF(OR(A684="",B684=""),"",B684&amp;"|"&amp;A684)</f>
        <v/>
      </c>
      <c r="N684" s="2">
        <f>IF(M684="","",SUMIFS(TF_Timer,TF_Nokkel,M684,TF_Akt,C684))</f>
        <v/>
      </c>
      <c r="O684" s="2">
        <f>IF(M684="","",IF(AND(N684=_xlfn.MAXIFS(TF_AktSum,TF_Nokkel,M684),COUNTIFS(M$3:M683,M684,N$3:N683,N684)=0),M684,""))</f>
        <v/>
      </c>
    </row>
    <row r="685">
      <c r="A685" s="34" t="n"/>
      <c r="B685" s="35" t="n"/>
      <c r="C685" s="35" t="n"/>
      <c r="D685" s="35" t="n"/>
      <c r="E685" s="35" t="n"/>
      <c r="F685" s="36" t="n"/>
      <c r="G685" s="35" t="n"/>
      <c r="H685" s="30">
        <f>IF(L685="","",INDEX(SkiftNavn,L685))</f>
        <v/>
      </c>
      <c r="I685" s="30">
        <f>IF(OR(A685="",L685=""),"",IF(MOD(A685-INDEX(SkiftStart,L685),Syklus)&lt;DagK,"Kveld",IF(MOD(A685-INDEX(SkiftStart,L685),Syklus)&lt;DagK+DagH,"Helg",IF(MOD(A685-INDEX(SkiftStart,L685),Syklus)&lt;DagK+DagH+DagD,"Dag","Fri"))))</f>
        <v/>
      </c>
      <c r="J685" s="30">
        <f>IF(I685="Fri","Ja","")</f>
        <v/>
      </c>
      <c r="K685" s="30">
        <f>IF(B685="","",IF(L685="","Ukjent tekniker",IF(ISNA(MATCH(C685,Aktiviteter,0)),"Ukjent aktivitet",IF(AND(INDEX(AktRolle,MATCH(C685,Aktiviteter,0))&amp;""&lt;&gt;"",ISERROR(SEARCH(INDEX(AktRolle,MATCH(C685,Aktiviteter,0))&amp;"",INDEX(TekRoller,MATCH(B685,Teknikere,0))))),"Mangler rollen "&amp;INDEX(AktRolle,MATCH(C685,Aktiviteter,0))&amp;"",IF(AND(C685="LMS",F685&gt;0,OR(D685="",E685="")),"Mangler maskin eller arbeid",IF(AND(OR(C685="LMS",C685="Mod"),D685&lt;&gt;""),IF(IFERROR(INDEX(MaskinStatus,MATCH(D685,Maskiner,0)),"")="I dokk","","Maskinen er ikke i dokk"),""))))))</f>
        <v/>
      </c>
      <c r="L685" s="2">
        <f>IF(B685="","",IFERROR(INT((MATCH(B685,Teknikere,0)-1)/18)+1,""))</f>
        <v/>
      </c>
      <c r="M685" s="2">
        <f>IF(OR(A685="",B685=""),"",B685&amp;"|"&amp;A685)</f>
        <v/>
      </c>
      <c r="N685" s="2">
        <f>IF(M685="","",SUMIFS(TF_Timer,TF_Nokkel,M685,TF_Akt,C685))</f>
        <v/>
      </c>
      <c r="O685" s="2">
        <f>IF(M685="","",IF(AND(N685=_xlfn.MAXIFS(TF_AktSum,TF_Nokkel,M685),COUNTIFS(M$3:M684,M685,N$3:N684,N685)=0),M685,""))</f>
        <v/>
      </c>
    </row>
    <row r="686">
      <c r="A686" s="34" t="n"/>
      <c r="B686" s="35" t="n"/>
      <c r="C686" s="35" t="n"/>
      <c r="D686" s="35" t="n"/>
      <c r="E686" s="35" t="n"/>
      <c r="F686" s="36" t="n"/>
      <c r="G686" s="35" t="n"/>
      <c r="H686" s="30">
        <f>IF(L686="","",INDEX(SkiftNavn,L686))</f>
        <v/>
      </c>
      <c r="I686" s="30">
        <f>IF(OR(A686="",L686=""),"",IF(MOD(A686-INDEX(SkiftStart,L686),Syklus)&lt;DagK,"Kveld",IF(MOD(A686-INDEX(SkiftStart,L686),Syklus)&lt;DagK+DagH,"Helg",IF(MOD(A686-INDEX(SkiftStart,L686),Syklus)&lt;DagK+DagH+DagD,"Dag","Fri"))))</f>
        <v/>
      </c>
      <c r="J686" s="30">
        <f>IF(I686="Fri","Ja","")</f>
        <v/>
      </c>
      <c r="K686" s="30">
        <f>IF(B686="","",IF(L686="","Ukjent tekniker",IF(ISNA(MATCH(C686,Aktiviteter,0)),"Ukjent aktivitet",IF(AND(INDEX(AktRolle,MATCH(C686,Aktiviteter,0))&amp;""&lt;&gt;"",ISERROR(SEARCH(INDEX(AktRolle,MATCH(C686,Aktiviteter,0))&amp;"",INDEX(TekRoller,MATCH(B686,Teknikere,0))))),"Mangler rollen "&amp;INDEX(AktRolle,MATCH(C686,Aktiviteter,0))&amp;"",IF(AND(C686="LMS",F686&gt;0,OR(D686="",E686="")),"Mangler maskin eller arbeid",IF(AND(OR(C686="LMS",C686="Mod"),D686&lt;&gt;""),IF(IFERROR(INDEX(MaskinStatus,MATCH(D686,Maskiner,0)),"")="I dokk","","Maskinen er ikke i dokk"),""))))))</f>
        <v/>
      </c>
      <c r="L686" s="2">
        <f>IF(B686="","",IFERROR(INT((MATCH(B686,Teknikere,0)-1)/18)+1,""))</f>
        <v/>
      </c>
      <c r="M686" s="2">
        <f>IF(OR(A686="",B686=""),"",B686&amp;"|"&amp;A686)</f>
        <v/>
      </c>
      <c r="N686" s="2">
        <f>IF(M686="","",SUMIFS(TF_Timer,TF_Nokkel,M686,TF_Akt,C686))</f>
        <v/>
      </c>
      <c r="O686" s="2">
        <f>IF(M686="","",IF(AND(N686=_xlfn.MAXIFS(TF_AktSum,TF_Nokkel,M686),COUNTIFS(M$3:M685,M686,N$3:N685,N686)=0),M686,""))</f>
        <v/>
      </c>
    </row>
    <row r="687">
      <c r="A687" s="34" t="n"/>
      <c r="B687" s="35" t="n"/>
      <c r="C687" s="35" t="n"/>
      <c r="D687" s="35" t="n"/>
      <c r="E687" s="35" t="n"/>
      <c r="F687" s="36" t="n"/>
      <c r="G687" s="35" t="n"/>
      <c r="H687" s="30">
        <f>IF(L687="","",INDEX(SkiftNavn,L687))</f>
        <v/>
      </c>
      <c r="I687" s="30">
        <f>IF(OR(A687="",L687=""),"",IF(MOD(A687-INDEX(SkiftStart,L687),Syklus)&lt;DagK,"Kveld",IF(MOD(A687-INDEX(SkiftStart,L687),Syklus)&lt;DagK+DagH,"Helg",IF(MOD(A687-INDEX(SkiftStart,L687),Syklus)&lt;DagK+DagH+DagD,"Dag","Fri"))))</f>
        <v/>
      </c>
      <c r="J687" s="30">
        <f>IF(I687="Fri","Ja","")</f>
        <v/>
      </c>
      <c r="K687" s="30">
        <f>IF(B687="","",IF(L687="","Ukjent tekniker",IF(ISNA(MATCH(C687,Aktiviteter,0)),"Ukjent aktivitet",IF(AND(INDEX(AktRolle,MATCH(C687,Aktiviteter,0))&amp;""&lt;&gt;"",ISERROR(SEARCH(INDEX(AktRolle,MATCH(C687,Aktiviteter,0))&amp;"",INDEX(TekRoller,MATCH(B687,Teknikere,0))))),"Mangler rollen "&amp;INDEX(AktRolle,MATCH(C687,Aktiviteter,0))&amp;"",IF(AND(C687="LMS",F687&gt;0,OR(D687="",E687="")),"Mangler maskin eller arbeid",IF(AND(OR(C687="LMS",C687="Mod"),D687&lt;&gt;""),IF(IFERROR(INDEX(MaskinStatus,MATCH(D687,Maskiner,0)),"")="I dokk","","Maskinen er ikke i dokk"),""))))))</f>
        <v/>
      </c>
      <c r="L687" s="2">
        <f>IF(B687="","",IFERROR(INT((MATCH(B687,Teknikere,0)-1)/18)+1,""))</f>
        <v/>
      </c>
      <c r="M687" s="2">
        <f>IF(OR(A687="",B687=""),"",B687&amp;"|"&amp;A687)</f>
        <v/>
      </c>
      <c r="N687" s="2">
        <f>IF(M687="","",SUMIFS(TF_Timer,TF_Nokkel,M687,TF_Akt,C687))</f>
        <v/>
      </c>
      <c r="O687" s="2">
        <f>IF(M687="","",IF(AND(N687=_xlfn.MAXIFS(TF_AktSum,TF_Nokkel,M687),COUNTIFS(M$3:M686,M687,N$3:N686,N687)=0),M687,""))</f>
        <v/>
      </c>
    </row>
    <row r="688">
      <c r="A688" s="34" t="n"/>
      <c r="B688" s="35" t="n"/>
      <c r="C688" s="35" t="n"/>
      <c r="D688" s="35" t="n"/>
      <c r="E688" s="35" t="n"/>
      <c r="F688" s="36" t="n"/>
      <c r="G688" s="35" t="n"/>
      <c r="H688" s="30">
        <f>IF(L688="","",INDEX(SkiftNavn,L688))</f>
        <v/>
      </c>
      <c r="I688" s="30">
        <f>IF(OR(A688="",L688=""),"",IF(MOD(A688-INDEX(SkiftStart,L688),Syklus)&lt;DagK,"Kveld",IF(MOD(A688-INDEX(SkiftStart,L688),Syklus)&lt;DagK+DagH,"Helg",IF(MOD(A688-INDEX(SkiftStart,L688),Syklus)&lt;DagK+DagH+DagD,"Dag","Fri"))))</f>
        <v/>
      </c>
      <c r="J688" s="30">
        <f>IF(I688="Fri","Ja","")</f>
        <v/>
      </c>
      <c r="K688" s="30">
        <f>IF(B688="","",IF(L688="","Ukjent tekniker",IF(ISNA(MATCH(C688,Aktiviteter,0)),"Ukjent aktivitet",IF(AND(INDEX(AktRolle,MATCH(C688,Aktiviteter,0))&amp;""&lt;&gt;"",ISERROR(SEARCH(INDEX(AktRolle,MATCH(C688,Aktiviteter,0))&amp;"",INDEX(TekRoller,MATCH(B688,Teknikere,0))))),"Mangler rollen "&amp;INDEX(AktRolle,MATCH(C688,Aktiviteter,0))&amp;"",IF(AND(C688="LMS",F688&gt;0,OR(D688="",E688="")),"Mangler maskin eller arbeid",IF(AND(OR(C688="LMS",C688="Mod"),D688&lt;&gt;""),IF(IFERROR(INDEX(MaskinStatus,MATCH(D688,Maskiner,0)),"")="I dokk","","Maskinen er ikke i dokk"),""))))))</f>
        <v/>
      </c>
      <c r="L688" s="2">
        <f>IF(B688="","",IFERROR(INT((MATCH(B688,Teknikere,0)-1)/18)+1,""))</f>
        <v/>
      </c>
      <c r="M688" s="2">
        <f>IF(OR(A688="",B688=""),"",B688&amp;"|"&amp;A688)</f>
        <v/>
      </c>
      <c r="N688" s="2">
        <f>IF(M688="","",SUMIFS(TF_Timer,TF_Nokkel,M688,TF_Akt,C688))</f>
        <v/>
      </c>
      <c r="O688" s="2">
        <f>IF(M688="","",IF(AND(N688=_xlfn.MAXIFS(TF_AktSum,TF_Nokkel,M688),COUNTIFS(M$3:M687,M688,N$3:N687,N688)=0),M688,""))</f>
        <v/>
      </c>
    </row>
    <row r="689">
      <c r="A689" s="34" t="n"/>
      <c r="B689" s="35" t="n"/>
      <c r="C689" s="35" t="n"/>
      <c r="D689" s="35" t="n"/>
      <c r="E689" s="35" t="n"/>
      <c r="F689" s="36" t="n"/>
      <c r="G689" s="35" t="n"/>
      <c r="H689" s="30">
        <f>IF(L689="","",INDEX(SkiftNavn,L689))</f>
        <v/>
      </c>
      <c r="I689" s="30">
        <f>IF(OR(A689="",L689=""),"",IF(MOD(A689-INDEX(SkiftStart,L689),Syklus)&lt;DagK,"Kveld",IF(MOD(A689-INDEX(SkiftStart,L689),Syklus)&lt;DagK+DagH,"Helg",IF(MOD(A689-INDEX(SkiftStart,L689),Syklus)&lt;DagK+DagH+DagD,"Dag","Fri"))))</f>
        <v/>
      </c>
      <c r="J689" s="30">
        <f>IF(I689="Fri","Ja","")</f>
        <v/>
      </c>
      <c r="K689" s="30">
        <f>IF(B689="","",IF(L689="","Ukjent tekniker",IF(ISNA(MATCH(C689,Aktiviteter,0)),"Ukjent aktivitet",IF(AND(INDEX(AktRolle,MATCH(C689,Aktiviteter,0))&amp;""&lt;&gt;"",ISERROR(SEARCH(INDEX(AktRolle,MATCH(C689,Aktiviteter,0))&amp;"",INDEX(TekRoller,MATCH(B689,Teknikere,0))))),"Mangler rollen "&amp;INDEX(AktRolle,MATCH(C689,Aktiviteter,0))&amp;"",IF(AND(C689="LMS",F689&gt;0,OR(D689="",E689="")),"Mangler maskin eller arbeid",IF(AND(OR(C689="LMS",C689="Mod"),D689&lt;&gt;""),IF(IFERROR(INDEX(MaskinStatus,MATCH(D689,Maskiner,0)),"")="I dokk","","Maskinen er ikke i dokk"),""))))))</f>
        <v/>
      </c>
      <c r="L689" s="2">
        <f>IF(B689="","",IFERROR(INT((MATCH(B689,Teknikere,0)-1)/18)+1,""))</f>
        <v/>
      </c>
      <c r="M689" s="2">
        <f>IF(OR(A689="",B689=""),"",B689&amp;"|"&amp;A689)</f>
        <v/>
      </c>
      <c r="N689" s="2">
        <f>IF(M689="","",SUMIFS(TF_Timer,TF_Nokkel,M689,TF_Akt,C689))</f>
        <v/>
      </c>
      <c r="O689" s="2">
        <f>IF(M689="","",IF(AND(N689=_xlfn.MAXIFS(TF_AktSum,TF_Nokkel,M689),COUNTIFS(M$3:M688,M689,N$3:N688,N689)=0),M689,""))</f>
        <v/>
      </c>
    </row>
    <row r="690">
      <c r="A690" s="34" t="n"/>
      <c r="B690" s="35" t="n"/>
      <c r="C690" s="35" t="n"/>
      <c r="D690" s="35" t="n"/>
      <c r="E690" s="35" t="n"/>
      <c r="F690" s="36" t="n"/>
      <c r="G690" s="35" t="n"/>
      <c r="H690" s="30">
        <f>IF(L690="","",INDEX(SkiftNavn,L690))</f>
        <v/>
      </c>
      <c r="I690" s="30">
        <f>IF(OR(A690="",L690=""),"",IF(MOD(A690-INDEX(SkiftStart,L690),Syklus)&lt;DagK,"Kveld",IF(MOD(A690-INDEX(SkiftStart,L690),Syklus)&lt;DagK+DagH,"Helg",IF(MOD(A690-INDEX(SkiftStart,L690),Syklus)&lt;DagK+DagH+DagD,"Dag","Fri"))))</f>
        <v/>
      </c>
      <c r="J690" s="30">
        <f>IF(I690="Fri","Ja","")</f>
        <v/>
      </c>
      <c r="K690" s="30">
        <f>IF(B690="","",IF(L690="","Ukjent tekniker",IF(ISNA(MATCH(C690,Aktiviteter,0)),"Ukjent aktivitet",IF(AND(INDEX(AktRolle,MATCH(C690,Aktiviteter,0))&amp;""&lt;&gt;"",ISERROR(SEARCH(INDEX(AktRolle,MATCH(C690,Aktiviteter,0))&amp;"",INDEX(TekRoller,MATCH(B690,Teknikere,0))))),"Mangler rollen "&amp;INDEX(AktRolle,MATCH(C690,Aktiviteter,0))&amp;"",IF(AND(C690="LMS",F690&gt;0,OR(D690="",E690="")),"Mangler maskin eller arbeid",IF(AND(OR(C690="LMS",C690="Mod"),D690&lt;&gt;""),IF(IFERROR(INDEX(MaskinStatus,MATCH(D690,Maskiner,0)),"")="I dokk","","Maskinen er ikke i dokk"),""))))))</f>
        <v/>
      </c>
      <c r="L690" s="2">
        <f>IF(B690="","",IFERROR(INT((MATCH(B690,Teknikere,0)-1)/18)+1,""))</f>
        <v/>
      </c>
      <c r="M690" s="2">
        <f>IF(OR(A690="",B690=""),"",B690&amp;"|"&amp;A690)</f>
        <v/>
      </c>
      <c r="N690" s="2">
        <f>IF(M690="","",SUMIFS(TF_Timer,TF_Nokkel,M690,TF_Akt,C690))</f>
        <v/>
      </c>
      <c r="O690" s="2">
        <f>IF(M690="","",IF(AND(N690=_xlfn.MAXIFS(TF_AktSum,TF_Nokkel,M690),COUNTIFS(M$3:M689,M690,N$3:N689,N690)=0),M690,""))</f>
        <v/>
      </c>
    </row>
    <row r="691">
      <c r="A691" s="34" t="n"/>
      <c r="B691" s="35" t="n"/>
      <c r="C691" s="35" t="n"/>
      <c r="D691" s="35" t="n"/>
      <c r="E691" s="35" t="n"/>
      <c r="F691" s="36" t="n"/>
      <c r="G691" s="35" t="n"/>
      <c r="H691" s="30">
        <f>IF(L691="","",INDEX(SkiftNavn,L691))</f>
        <v/>
      </c>
      <c r="I691" s="30">
        <f>IF(OR(A691="",L691=""),"",IF(MOD(A691-INDEX(SkiftStart,L691),Syklus)&lt;DagK,"Kveld",IF(MOD(A691-INDEX(SkiftStart,L691),Syklus)&lt;DagK+DagH,"Helg",IF(MOD(A691-INDEX(SkiftStart,L691),Syklus)&lt;DagK+DagH+DagD,"Dag","Fri"))))</f>
        <v/>
      </c>
      <c r="J691" s="30">
        <f>IF(I691="Fri","Ja","")</f>
        <v/>
      </c>
      <c r="K691" s="30">
        <f>IF(B691="","",IF(L691="","Ukjent tekniker",IF(ISNA(MATCH(C691,Aktiviteter,0)),"Ukjent aktivitet",IF(AND(INDEX(AktRolle,MATCH(C691,Aktiviteter,0))&amp;""&lt;&gt;"",ISERROR(SEARCH(INDEX(AktRolle,MATCH(C691,Aktiviteter,0))&amp;"",INDEX(TekRoller,MATCH(B691,Teknikere,0))))),"Mangler rollen "&amp;INDEX(AktRolle,MATCH(C691,Aktiviteter,0))&amp;"",IF(AND(C691="LMS",F691&gt;0,OR(D691="",E691="")),"Mangler maskin eller arbeid",IF(AND(OR(C691="LMS",C691="Mod"),D691&lt;&gt;""),IF(IFERROR(INDEX(MaskinStatus,MATCH(D691,Maskiner,0)),"")="I dokk","","Maskinen er ikke i dokk"),""))))))</f>
        <v/>
      </c>
      <c r="L691" s="2">
        <f>IF(B691="","",IFERROR(INT((MATCH(B691,Teknikere,0)-1)/18)+1,""))</f>
        <v/>
      </c>
      <c r="M691" s="2">
        <f>IF(OR(A691="",B691=""),"",B691&amp;"|"&amp;A691)</f>
        <v/>
      </c>
      <c r="N691" s="2">
        <f>IF(M691="","",SUMIFS(TF_Timer,TF_Nokkel,M691,TF_Akt,C691))</f>
        <v/>
      </c>
      <c r="O691" s="2">
        <f>IF(M691="","",IF(AND(N691=_xlfn.MAXIFS(TF_AktSum,TF_Nokkel,M691),COUNTIFS(M$3:M690,M691,N$3:N690,N691)=0),M691,""))</f>
        <v/>
      </c>
    </row>
    <row r="692">
      <c r="A692" s="34" t="n"/>
      <c r="B692" s="35" t="n"/>
      <c r="C692" s="35" t="n"/>
      <c r="D692" s="35" t="n"/>
      <c r="E692" s="35" t="n"/>
      <c r="F692" s="36" t="n"/>
      <c r="G692" s="35" t="n"/>
      <c r="H692" s="30">
        <f>IF(L692="","",INDEX(SkiftNavn,L692))</f>
        <v/>
      </c>
      <c r="I692" s="30">
        <f>IF(OR(A692="",L692=""),"",IF(MOD(A692-INDEX(SkiftStart,L692),Syklus)&lt;DagK,"Kveld",IF(MOD(A692-INDEX(SkiftStart,L692),Syklus)&lt;DagK+DagH,"Helg",IF(MOD(A692-INDEX(SkiftStart,L692),Syklus)&lt;DagK+DagH+DagD,"Dag","Fri"))))</f>
        <v/>
      </c>
      <c r="J692" s="30">
        <f>IF(I692="Fri","Ja","")</f>
        <v/>
      </c>
      <c r="K692" s="30">
        <f>IF(B692="","",IF(L692="","Ukjent tekniker",IF(ISNA(MATCH(C692,Aktiviteter,0)),"Ukjent aktivitet",IF(AND(INDEX(AktRolle,MATCH(C692,Aktiviteter,0))&amp;""&lt;&gt;"",ISERROR(SEARCH(INDEX(AktRolle,MATCH(C692,Aktiviteter,0))&amp;"",INDEX(TekRoller,MATCH(B692,Teknikere,0))))),"Mangler rollen "&amp;INDEX(AktRolle,MATCH(C692,Aktiviteter,0))&amp;"",IF(AND(C692="LMS",F692&gt;0,OR(D692="",E692="")),"Mangler maskin eller arbeid",IF(AND(OR(C692="LMS",C692="Mod"),D692&lt;&gt;""),IF(IFERROR(INDEX(MaskinStatus,MATCH(D692,Maskiner,0)),"")="I dokk","","Maskinen er ikke i dokk"),""))))))</f>
        <v/>
      </c>
      <c r="L692" s="2">
        <f>IF(B692="","",IFERROR(INT((MATCH(B692,Teknikere,0)-1)/18)+1,""))</f>
        <v/>
      </c>
      <c r="M692" s="2">
        <f>IF(OR(A692="",B692=""),"",B692&amp;"|"&amp;A692)</f>
        <v/>
      </c>
      <c r="N692" s="2">
        <f>IF(M692="","",SUMIFS(TF_Timer,TF_Nokkel,M692,TF_Akt,C692))</f>
        <v/>
      </c>
      <c r="O692" s="2">
        <f>IF(M692="","",IF(AND(N692=_xlfn.MAXIFS(TF_AktSum,TF_Nokkel,M692),COUNTIFS(M$3:M691,M692,N$3:N691,N692)=0),M692,""))</f>
        <v/>
      </c>
    </row>
    <row r="693">
      <c r="A693" s="34" t="n"/>
      <c r="B693" s="35" t="n"/>
      <c r="C693" s="35" t="n"/>
      <c r="D693" s="35" t="n"/>
      <c r="E693" s="35" t="n"/>
      <c r="F693" s="36" t="n"/>
      <c r="G693" s="35" t="n"/>
      <c r="H693" s="30">
        <f>IF(L693="","",INDEX(SkiftNavn,L693))</f>
        <v/>
      </c>
      <c r="I693" s="30">
        <f>IF(OR(A693="",L693=""),"",IF(MOD(A693-INDEX(SkiftStart,L693),Syklus)&lt;DagK,"Kveld",IF(MOD(A693-INDEX(SkiftStart,L693),Syklus)&lt;DagK+DagH,"Helg",IF(MOD(A693-INDEX(SkiftStart,L693),Syklus)&lt;DagK+DagH+DagD,"Dag","Fri"))))</f>
        <v/>
      </c>
      <c r="J693" s="30">
        <f>IF(I693="Fri","Ja","")</f>
        <v/>
      </c>
      <c r="K693" s="30">
        <f>IF(B693="","",IF(L693="","Ukjent tekniker",IF(ISNA(MATCH(C693,Aktiviteter,0)),"Ukjent aktivitet",IF(AND(INDEX(AktRolle,MATCH(C693,Aktiviteter,0))&amp;""&lt;&gt;"",ISERROR(SEARCH(INDEX(AktRolle,MATCH(C693,Aktiviteter,0))&amp;"",INDEX(TekRoller,MATCH(B693,Teknikere,0))))),"Mangler rollen "&amp;INDEX(AktRolle,MATCH(C693,Aktiviteter,0))&amp;"",IF(AND(C693="LMS",F693&gt;0,OR(D693="",E693="")),"Mangler maskin eller arbeid",IF(AND(OR(C693="LMS",C693="Mod"),D693&lt;&gt;""),IF(IFERROR(INDEX(MaskinStatus,MATCH(D693,Maskiner,0)),"")="I dokk","","Maskinen er ikke i dokk"),""))))))</f>
        <v/>
      </c>
      <c r="L693" s="2">
        <f>IF(B693="","",IFERROR(INT((MATCH(B693,Teknikere,0)-1)/18)+1,""))</f>
        <v/>
      </c>
      <c r="M693" s="2">
        <f>IF(OR(A693="",B693=""),"",B693&amp;"|"&amp;A693)</f>
        <v/>
      </c>
      <c r="N693" s="2">
        <f>IF(M693="","",SUMIFS(TF_Timer,TF_Nokkel,M693,TF_Akt,C693))</f>
        <v/>
      </c>
      <c r="O693" s="2">
        <f>IF(M693="","",IF(AND(N693=_xlfn.MAXIFS(TF_AktSum,TF_Nokkel,M693),COUNTIFS(M$3:M692,M693,N$3:N692,N693)=0),M693,""))</f>
        <v/>
      </c>
    </row>
    <row r="694">
      <c r="A694" s="34" t="n"/>
      <c r="B694" s="35" t="n"/>
      <c r="C694" s="35" t="n"/>
      <c r="D694" s="35" t="n"/>
      <c r="E694" s="35" t="n"/>
      <c r="F694" s="36" t="n"/>
      <c r="G694" s="35" t="n"/>
      <c r="H694" s="30">
        <f>IF(L694="","",INDEX(SkiftNavn,L694))</f>
        <v/>
      </c>
      <c r="I694" s="30">
        <f>IF(OR(A694="",L694=""),"",IF(MOD(A694-INDEX(SkiftStart,L694),Syklus)&lt;DagK,"Kveld",IF(MOD(A694-INDEX(SkiftStart,L694),Syklus)&lt;DagK+DagH,"Helg",IF(MOD(A694-INDEX(SkiftStart,L694),Syklus)&lt;DagK+DagH+DagD,"Dag","Fri"))))</f>
        <v/>
      </c>
      <c r="J694" s="30">
        <f>IF(I694="Fri","Ja","")</f>
        <v/>
      </c>
      <c r="K694" s="30">
        <f>IF(B694="","",IF(L694="","Ukjent tekniker",IF(ISNA(MATCH(C694,Aktiviteter,0)),"Ukjent aktivitet",IF(AND(INDEX(AktRolle,MATCH(C694,Aktiviteter,0))&amp;""&lt;&gt;"",ISERROR(SEARCH(INDEX(AktRolle,MATCH(C694,Aktiviteter,0))&amp;"",INDEX(TekRoller,MATCH(B694,Teknikere,0))))),"Mangler rollen "&amp;INDEX(AktRolle,MATCH(C694,Aktiviteter,0))&amp;"",IF(AND(C694="LMS",F694&gt;0,OR(D694="",E694="")),"Mangler maskin eller arbeid",IF(AND(OR(C694="LMS",C694="Mod"),D694&lt;&gt;""),IF(IFERROR(INDEX(MaskinStatus,MATCH(D694,Maskiner,0)),"")="I dokk","","Maskinen er ikke i dokk"),""))))))</f>
        <v/>
      </c>
      <c r="L694" s="2">
        <f>IF(B694="","",IFERROR(INT((MATCH(B694,Teknikere,0)-1)/18)+1,""))</f>
        <v/>
      </c>
      <c r="M694" s="2">
        <f>IF(OR(A694="",B694=""),"",B694&amp;"|"&amp;A694)</f>
        <v/>
      </c>
      <c r="N694" s="2">
        <f>IF(M694="","",SUMIFS(TF_Timer,TF_Nokkel,M694,TF_Akt,C694))</f>
        <v/>
      </c>
      <c r="O694" s="2">
        <f>IF(M694="","",IF(AND(N694=_xlfn.MAXIFS(TF_AktSum,TF_Nokkel,M694),COUNTIFS(M$3:M693,M694,N$3:N693,N694)=0),M694,""))</f>
        <v/>
      </c>
    </row>
    <row r="695">
      <c r="A695" s="34" t="n"/>
      <c r="B695" s="35" t="n"/>
      <c r="C695" s="35" t="n"/>
      <c r="D695" s="35" t="n"/>
      <c r="E695" s="35" t="n"/>
      <c r="F695" s="36" t="n"/>
      <c r="G695" s="35" t="n"/>
      <c r="H695" s="30">
        <f>IF(L695="","",INDEX(SkiftNavn,L695))</f>
        <v/>
      </c>
      <c r="I695" s="30">
        <f>IF(OR(A695="",L695=""),"",IF(MOD(A695-INDEX(SkiftStart,L695),Syklus)&lt;DagK,"Kveld",IF(MOD(A695-INDEX(SkiftStart,L695),Syklus)&lt;DagK+DagH,"Helg",IF(MOD(A695-INDEX(SkiftStart,L695),Syklus)&lt;DagK+DagH+DagD,"Dag","Fri"))))</f>
        <v/>
      </c>
      <c r="J695" s="30">
        <f>IF(I695="Fri","Ja","")</f>
        <v/>
      </c>
      <c r="K695" s="30">
        <f>IF(B695="","",IF(L695="","Ukjent tekniker",IF(ISNA(MATCH(C695,Aktiviteter,0)),"Ukjent aktivitet",IF(AND(INDEX(AktRolle,MATCH(C695,Aktiviteter,0))&amp;""&lt;&gt;"",ISERROR(SEARCH(INDEX(AktRolle,MATCH(C695,Aktiviteter,0))&amp;"",INDEX(TekRoller,MATCH(B695,Teknikere,0))))),"Mangler rollen "&amp;INDEX(AktRolle,MATCH(C695,Aktiviteter,0))&amp;"",IF(AND(C695="LMS",F695&gt;0,OR(D695="",E695="")),"Mangler maskin eller arbeid",IF(AND(OR(C695="LMS",C695="Mod"),D695&lt;&gt;""),IF(IFERROR(INDEX(MaskinStatus,MATCH(D695,Maskiner,0)),"")="I dokk","","Maskinen er ikke i dokk"),""))))))</f>
        <v/>
      </c>
      <c r="L695" s="2">
        <f>IF(B695="","",IFERROR(INT((MATCH(B695,Teknikere,0)-1)/18)+1,""))</f>
        <v/>
      </c>
      <c r="M695" s="2">
        <f>IF(OR(A695="",B695=""),"",B695&amp;"|"&amp;A695)</f>
        <v/>
      </c>
      <c r="N695" s="2">
        <f>IF(M695="","",SUMIFS(TF_Timer,TF_Nokkel,M695,TF_Akt,C695))</f>
        <v/>
      </c>
      <c r="O695" s="2">
        <f>IF(M695="","",IF(AND(N695=_xlfn.MAXIFS(TF_AktSum,TF_Nokkel,M695),COUNTIFS(M$3:M694,M695,N$3:N694,N695)=0),M695,""))</f>
        <v/>
      </c>
    </row>
    <row r="696">
      <c r="A696" s="34" t="n"/>
      <c r="B696" s="35" t="n"/>
      <c r="C696" s="35" t="n"/>
      <c r="D696" s="35" t="n"/>
      <c r="E696" s="35" t="n"/>
      <c r="F696" s="36" t="n"/>
      <c r="G696" s="35" t="n"/>
      <c r="H696" s="30">
        <f>IF(L696="","",INDEX(SkiftNavn,L696))</f>
        <v/>
      </c>
      <c r="I696" s="30">
        <f>IF(OR(A696="",L696=""),"",IF(MOD(A696-INDEX(SkiftStart,L696),Syklus)&lt;DagK,"Kveld",IF(MOD(A696-INDEX(SkiftStart,L696),Syklus)&lt;DagK+DagH,"Helg",IF(MOD(A696-INDEX(SkiftStart,L696),Syklus)&lt;DagK+DagH+DagD,"Dag","Fri"))))</f>
        <v/>
      </c>
      <c r="J696" s="30">
        <f>IF(I696="Fri","Ja","")</f>
        <v/>
      </c>
      <c r="K696" s="30">
        <f>IF(B696="","",IF(L696="","Ukjent tekniker",IF(ISNA(MATCH(C696,Aktiviteter,0)),"Ukjent aktivitet",IF(AND(INDEX(AktRolle,MATCH(C696,Aktiviteter,0))&amp;""&lt;&gt;"",ISERROR(SEARCH(INDEX(AktRolle,MATCH(C696,Aktiviteter,0))&amp;"",INDEX(TekRoller,MATCH(B696,Teknikere,0))))),"Mangler rollen "&amp;INDEX(AktRolle,MATCH(C696,Aktiviteter,0))&amp;"",IF(AND(C696="LMS",F696&gt;0,OR(D696="",E696="")),"Mangler maskin eller arbeid",IF(AND(OR(C696="LMS",C696="Mod"),D696&lt;&gt;""),IF(IFERROR(INDEX(MaskinStatus,MATCH(D696,Maskiner,0)),"")="I dokk","","Maskinen er ikke i dokk"),""))))))</f>
        <v/>
      </c>
      <c r="L696" s="2">
        <f>IF(B696="","",IFERROR(INT((MATCH(B696,Teknikere,0)-1)/18)+1,""))</f>
        <v/>
      </c>
      <c r="M696" s="2">
        <f>IF(OR(A696="",B696=""),"",B696&amp;"|"&amp;A696)</f>
        <v/>
      </c>
      <c r="N696" s="2">
        <f>IF(M696="","",SUMIFS(TF_Timer,TF_Nokkel,M696,TF_Akt,C696))</f>
        <v/>
      </c>
      <c r="O696" s="2">
        <f>IF(M696="","",IF(AND(N696=_xlfn.MAXIFS(TF_AktSum,TF_Nokkel,M696),COUNTIFS(M$3:M695,M696,N$3:N695,N696)=0),M696,""))</f>
        <v/>
      </c>
    </row>
    <row r="697">
      <c r="A697" s="34" t="n"/>
      <c r="B697" s="35" t="n"/>
      <c r="C697" s="35" t="n"/>
      <c r="D697" s="35" t="n"/>
      <c r="E697" s="35" t="n"/>
      <c r="F697" s="36" t="n"/>
      <c r="G697" s="35" t="n"/>
      <c r="H697" s="30">
        <f>IF(L697="","",INDEX(SkiftNavn,L697))</f>
        <v/>
      </c>
      <c r="I697" s="30">
        <f>IF(OR(A697="",L697=""),"",IF(MOD(A697-INDEX(SkiftStart,L697),Syklus)&lt;DagK,"Kveld",IF(MOD(A697-INDEX(SkiftStart,L697),Syklus)&lt;DagK+DagH,"Helg",IF(MOD(A697-INDEX(SkiftStart,L697),Syklus)&lt;DagK+DagH+DagD,"Dag","Fri"))))</f>
        <v/>
      </c>
      <c r="J697" s="30">
        <f>IF(I697="Fri","Ja","")</f>
        <v/>
      </c>
      <c r="K697" s="30">
        <f>IF(B697="","",IF(L697="","Ukjent tekniker",IF(ISNA(MATCH(C697,Aktiviteter,0)),"Ukjent aktivitet",IF(AND(INDEX(AktRolle,MATCH(C697,Aktiviteter,0))&amp;""&lt;&gt;"",ISERROR(SEARCH(INDEX(AktRolle,MATCH(C697,Aktiviteter,0))&amp;"",INDEX(TekRoller,MATCH(B697,Teknikere,0))))),"Mangler rollen "&amp;INDEX(AktRolle,MATCH(C697,Aktiviteter,0))&amp;"",IF(AND(C697="LMS",F697&gt;0,OR(D697="",E697="")),"Mangler maskin eller arbeid",IF(AND(OR(C697="LMS",C697="Mod"),D697&lt;&gt;""),IF(IFERROR(INDEX(MaskinStatus,MATCH(D697,Maskiner,0)),"")="I dokk","","Maskinen er ikke i dokk"),""))))))</f>
        <v/>
      </c>
      <c r="L697" s="2">
        <f>IF(B697="","",IFERROR(INT((MATCH(B697,Teknikere,0)-1)/18)+1,""))</f>
        <v/>
      </c>
      <c r="M697" s="2">
        <f>IF(OR(A697="",B697=""),"",B697&amp;"|"&amp;A697)</f>
        <v/>
      </c>
      <c r="N697" s="2">
        <f>IF(M697="","",SUMIFS(TF_Timer,TF_Nokkel,M697,TF_Akt,C697))</f>
        <v/>
      </c>
      <c r="O697" s="2">
        <f>IF(M697="","",IF(AND(N697=_xlfn.MAXIFS(TF_AktSum,TF_Nokkel,M697),COUNTIFS(M$3:M696,M697,N$3:N696,N697)=0),M697,""))</f>
        <v/>
      </c>
    </row>
    <row r="698">
      <c r="A698" s="34" t="n"/>
      <c r="B698" s="35" t="n"/>
      <c r="C698" s="35" t="n"/>
      <c r="D698" s="35" t="n"/>
      <c r="E698" s="35" t="n"/>
      <c r="F698" s="36" t="n"/>
      <c r="G698" s="35" t="n"/>
      <c r="H698" s="30">
        <f>IF(L698="","",INDEX(SkiftNavn,L698))</f>
        <v/>
      </c>
      <c r="I698" s="30">
        <f>IF(OR(A698="",L698=""),"",IF(MOD(A698-INDEX(SkiftStart,L698),Syklus)&lt;DagK,"Kveld",IF(MOD(A698-INDEX(SkiftStart,L698),Syklus)&lt;DagK+DagH,"Helg",IF(MOD(A698-INDEX(SkiftStart,L698),Syklus)&lt;DagK+DagH+DagD,"Dag","Fri"))))</f>
        <v/>
      </c>
      <c r="J698" s="30">
        <f>IF(I698="Fri","Ja","")</f>
        <v/>
      </c>
      <c r="K698" s="30">
        <f>IF(B698="","",IF(L698="","Ukjent tekniker",IF(ISNA(MATCH(C698,Aktiviteter,0)),"Ukjent aktivitet",IF(AND(INDEX(AktRolle,MATCH(C698,Aktiviteter,0))&amp;""&lt;&gt;"",ISERROR(SEARCH(INDEX(AktRolle,MATCH(C698,Aktiviteter,0))&amp;"",INDEX(TekRoller,MATCH(B698,Teknikere,0))))),"Mangler rollen "&amp;INDEX(AktRolle,MATCH(C698,Aktiviteter,0))&amp;"",IF(AND(C698="LMS",F698&gt;0,OR(D698="",E698="")),"Mangler maskin eller arbeid",IF(AND(OR(C698="LMS",C698="Mod"),D698&lt;&gt;""),IF(IFERROR(INDEX(MaskinStatus,MATCH(D698,Maskiner,0)),"")="I dokk","","Maskinen er ikke i dokk"),""))))))</f>
        <v/>
      </c>
      <c r="L698" s="2">
        <f>IF(B698="","",IFERROR(INT((MATCH(B698,Teknikere,0)-1)/18)+1,""))</f>
        <v/>
      </c>
      <c r="M698" s="2">
        <f>IF(OR(A698="",B698=""),"",B698&amp;"|"&amp;A698)</f>
        <v/>
      </c>
      <c r="N698" s="2">
        <f>IF(M698="","",SUMIFS(TF_Timer,TF_Nokkel,M698,TF_Akt,C698))</f>
        <v/>
      </c>
      <c r="O698" s="2">
        <f>IF(M698="","",IF(AND(N698=_xlfn.MAXIFS(TF_AktSum,TF_Nokkel,M698),COUNTIFS(M$3:M697,M698,N$3:N697,N698)=0),M698,""))</f>
        <v/>
      </c>
    </row>
    <row r="699">
      <c r="A699" s="34" t="n"/>
      <c r="B699" s="35" t="n"/>
      <c r="C699" s="35" t="n"/>
      <c r="D699" s="35" t="n"/>
      <c r="E699" s="35" t="n"/>
      <c r="F699" s="36" t="n"/>
      <c r="G699" s="35" t="n"/>
      <c r="H699" s="30">
        <f>IF(L699="","",INDEX(SkiftNavn,L699))</f>
        <v/>
      </c>
      <c r="I699" s="30">
        <f>IF(OR(A699="",L699=""),"",IF(MOD(A699-INDEX(SkiftStart,L699),Syklus)&lt;DagK,"Kveld",IF(MOD(A699-INDEX(SkiftStart,L699),Syklus)&lt;DagK+DagH,"Helg",IF(MOD(A699-INDEX(SkiftStart,L699),Syklus)&lt;DagK+DagH+DagD,"Dag","Fri"))))</f>
        <v/>
      </c>
      <c r="J699" s="30">
        <f>IF(I699="Fri","Ja","")</f>
        <v/>
      </c>
      <c r="K699" s="30">
        <f>IF(B699="","",IF(L699="","Ukjent tekniker",IF(ISNA(MATCH(C699,Aktiviteter,0)),"Ukjent aktivitet",IF(AND(INDEX(AktRolle,MATCH(C699,Aktiviteter,0))&amp;""&lt;&gt;"",ISERROR(SEARCH(INDEX(AktRolle,MATCH(C699,Aktiviteter,0))&amp;"",INDEX(TekRoller,MATCH(B699,Teknikere,0))))),"Mangler rollen "&amp;INDEX(AktRolle,MATCH(C699,Aktiviteter,0))&amp;"",IF(AND(C699="LMS",F699&gt;0,OR(D699="",E699="")),"Mangler maskin eller arbeid",IF(AND(OR(C699="LMS",C699="Mod"),D699&lt;&gt;""),IF(IFERROR(INDEX(MaskinStatus,MATCH(D699,Maskiner,0)),"")="I dokk","","Maskinen er ikke i dokk"),""))))))</f>
        <v/>
      </c>
      <c r="L699" s="2">
        <f>IF(B699="","",IFERROR(INT((MATCH(B699,Teknikere,0)-1)/18)+1,""))</f>
        <v/>
      </c>
      <c r="M699" s="2">
        <f>IF(OR(A699="",B699=""),"",B699&amp;"|"&amp;A699)</f>
        <v/>
      </c>
      <c r="N699" s="2">
        <f>IF(M699="","",SUMIFS(TF_Timer,TF_Nokkel,M699,TF_Akt,C699))</f>
        <v/>
      </c>
      <c r="O699" s="2">
        <f>IF(M699="","",IF(AND(N699=_xlfn.MAXIFS(TF_AktSum,TF_Nokkel,M699),COUNTIFS(M$3:M698,M699,N$3:N698,N699)=0),M699,""))</f>
        <v/>
      </c>
    </row>
    <row r="700">
      <c r="A700" s="34" t="n"/>
      <c r="B700" s="35" t="n"/>
      <c r="C700" s="35" t="n"/>
      <c r="D700" s="35" t="n"/>
      <c r="E700" s="35" t="n"/>
      <c r="F700" s="36" t="n"/>
      <c r="G700" s="35" t="n"/>
      <c r="H700" s="30">
        <f>IF(L700="","",INDEX(SkiftNavn,L700))</f>
        <v/>
      </c>
      <c r="I700" s="30">
        <f>IF(OR(A700="",L700=""),"",IF(MOD(A700-INDEX(SkiftStart,L700),Syklus)&lt;DagK,"Kveld",IF(MOD(A700-INDEX(SkiftStart,L700),Syklus)&lt;DagK+DagH,"Helg",IF(MOD(A700-INDEX(SkiftStart,L700),Syklus)&lt;DagK+DagH+DagD,"Dag","Fri"))))</f>
        <v/>
      </c>
      <c r="J700" s="30">
        <f>IF(I700="Fri","Ja","")</f>
        <v/>
      </c>
      <c r="K700" s="30">
        <f>IF(B700="","",IF(L700="","Ukjent tekniker",IF(ISNA(MATCH(C700,Aktiviteter,0)),"Ukjent aktivitet",IF(AND(INDEX(AktRolle,MATCH(C700,Aktiviteter,0))&amp;""&lt;&gt;"",ISERROR(SEARCH(INDEX(AktRolle,MATCH(C700,Aktiviteter,0))&amp;"",INDEX(TekRoller,MATCH(B700,Teknikere,0))))),"Mangler rollen "&amp;INDEX(AktRolle,MATCH(C700,Aktiviteter,0))&amp;"",IF(AND(C700="LMS",F700&gt;0,OR(D700="",E700="")),"Mangler maskin eller arbeid",IF(AND(OR(C700="LMS",C700="Mod"),D700&lt;&gt;""),IF(IFERROR(INDEX(MaskinStatus,MATCH(D700,Maskiner,0)),"")="I dokk","","Maskinen er ikke i dokk"),""))))))</f>
        <v/>
      </c>
      <c r="L700" s="2">
        <f>IF(B700="","",IFERROR(INT((MATCH(B700,Teknikere,0)-1)/18)+1,""))</f>
        <v/>
      </c>
      <c r="M700" s="2">
        <f>IF(OR(A700="",B700=""),"",B700&amp;"|"&amp;A700)</f>
        <v/>
      </c>
      <c r="N700" s="2">
        <f>IF(M700="","",SUMIFS(TF_Timer,TF_Nokkel,M700,TF_Akt,C700))</f>
        <v/>
      </c>
      <c r="O700" s="2">
        <f>IF(M700="","",IF(AND(N700=_xlfn.MAXIFS(TF_AktSum,TF_Nokkel,M700),COUNTIFS(M$3:M699,M700,N$3:N699,N700)=0),M700,""))</f>
        <v/>
      </c>
    </row>
    <row r="701">
      <c r="A701" s="34" t="n"/>
      <c r="B701" s="35" t="n"/>
      <c r="C701" s="35" t="n"/>
      <c r="D701" s="35" t="n"/>
      <c r="E701" s="35" t="n"/>
      <c r="F701" s="36" t="n"/>
      <c r="G701" s="35" t="n"/>
      <c r="H701" s="30">
        <f>IF(L701="","",INDEX(SkiftNavn,L701))</f>
        <v/>
      </c>
      <c r="I701" s="30">
        <f>IF(OR(A701="",L701=""),"",IF(MOD(A701-INDEX(SkiftStart,L701),Syklus)&lt;DagK,"Kveld",IF(MOD(A701-INDEX(SkiftStart,L701),Syklus)&lt;DagK+DagH,"Helg",IF(MOD(A701-INDEX(SkiftStart,L701),Syklus)&lt;DagK+DagH+DagD,"Dag","Fri"))))</f>
        <v/>
      </c>
      <c r="J701" s="30">
        <f>IF(I701="Fri","Ja","")</f>
        <v/>
      </c>
      <c r="K701" s="30">
        <f>IF(B701="","",IF(L701="","Ukjent tekniker",IF(ISNA(MATCH(C701,Aktiviteter,0)),"Ukjent aktivitet",IF(AND(INDEX(AktRolle,MATCH(C701,Aktiviteter,0))&amp;""&lt;&gt;"",ISERROR(SEARCH(INDEX(AktRolle,MATCH(C701,Aktiviteter,0))&amp;"",INDEX(TekRoller,MATCH(B701,Teknikere,0))))),"Mangler rollen "&amp;INDEX(AktRolle,MATCH(C701,Aktiviteter,0))&amp;"",IF(AND(C701="LMS",F701&gt;0,OR(D701="",E701="")),"Mangler maskin eller arbeid",IF(AND(OR(C701="LMS",C701="Mod"),D701&lt;&gt;""),IF(IFERROR(INDEX(MaskinStatus,MATCH(D701,Maskiner,0)),"")="I dokk","","Maskinen er ikke i dokk"),""))))))</f>
        <v/>
      </c>
      <c r="L701" s="2">
        <f>IF(B701="","",IFERROR(INT((MATCH(B701,Teknikere,0)-1)/18)+1,""))</f>
        <v/>
      </c>
      <c r="M701" s="2">
        <f>IF(OR(A701="",B701=""),"",B701&amp;"|"&amp;A701)</f>
        <v/>
      </c>
      <c r="N701" s="2">
        <f>IF(M701="","",SUMIFS(TF_Timer,TF_Nokkel,M701,TF_Akt,C701))</f>
        <v/>
      </c>
      <c r="O701" s="2">
        <f>IF(M701="","",IF(AND(N701=_xlfn.MAXIFS(TF_AktSum,TF_Nokkel,M701),COUNTIFS(M$3:M700,M701,N$3:N700,N701)=0),M701,""))</f>
        <v/>
      </c>
    </row>
    <row r="702">
      <c r="A702" s="34" t="n"/>
      <c r="B702" s="35" t="n"/>
      <c r="C702" s="35" t="n"/>
      <c r="D702" s="35" t="n"/>
      <c r="E702" s="35" t="n"/>
      <c r="F702" s="36" t="n"/>
      <c r="G702" s="35" t="n"/>
      <c r="H702" s="30">
        <f>IF(L702="","",INDEX(SkiftNavn,L702))</f>
        <v/>
      </c>
      <c r="I702" s="30">
        <f>IF(OR(A702="",L702=""),"",IF(MOD(A702-INDEX(SkiftStart,L702),Syklus)&lt;DagK,"Kveld",IF(MOD(A702-INDEX(SkiftStart,L702),Syklus)&lt;DagK+DagH,"Helg",IF(MOD(A702-INDEX(SkiftStart,L702),Syklus)&lt;DagK+DagH+DagD,"Dag","Fri"))))</f>
        <v/>
      </c>
      <c r="J702" s="30">
        <f>IF(I702="Fri","Ja","")</f>
        <v/>
      </c>
      <c r="K702" s="30">
        <f>IF(B702="","",IF(L702="","Ukjent tekniker",IF(ISNA(MATCH(C702,Aktiviteter,0)),"Ukjent aktivitet",IF(AND(INDEX(AktRolle,MATCH(C702,Aktiviteter,0))&amp;""&lt;&gt;"",ISERROR(SEARCH(INDEX(AktRolle,MATCH(C702,Aktiviteter,0))&amp;"",INDEX(TekRoller,MATCH(B702,Teknikere,0))))),"Mangler rollen "&amp;INDEX(AktRolle,MATCH(C702,Aktiviteter,0))&amp;"",IF(AND(C702="LMS",F702&gt;0,OR(D702="",E702="")),"Mangler maskin eller arbeid",IF(AND(OR(C702="LMS",C702="Mod"),D702&lt;&gt;""),IF(IFERROR(INDEX(MaskinStatus,MATCH(D702,Maskiner,0)),"")="I dokk","","Maskinen er ikke i dokk"),""))))))</f>
        <v/>
      </c>
      <c r="L702" s="2">
        <f>IF(B702="","",IFERROR(INT((MATCH(B702,Teknikere,0)-1)/18)+1,""))</f>
        <v/>
      </c>
      <c r="M702" s="2">
        <f>IF(OR(A702="",B702=""),"",B702&amp;"|"&amp;A702)</f>
        <v/>
      </c>
      <c r="N702" s="2">
        <f>IF(M702="","",SUMIFS(TF_Timer,TF_Nokkel,M702,TF_Akt,C702))</f>
        <v/>
      </c>
      <c r="O702" s="2">
        <f>IF(M702="","",IF(AND(N702=_xlfn.MAXIFS(TF_AktSum,TF_Nokkel,M702),COUNTIFS(M$3:M701,M702,N$3:N701,N702)=0),M702,""))</f>
        <v/>
      </c>
    </row>
    <row r="703">
      <c r="A703" s="34" t="n"/>
      <c r="B703" s="35" t="n"/>
      <c r="C703" s="35" t="n"/>
      <c r="D703" s="35" t="n"/>
      <c r="E703" s="35" t="n"/>
      <c r="F703" s="36" t="n"/>
      <c r="G703" s="35" t="n"/>
      <c r="H703" s="30">
        <f>IF(L703="","",INDEX(SkiftNavn,L703))</f>
        <v/>
      </c>
      <c r="I703" s="30">
        <f>IF(OR(A703="",L703=""),"",IF(MOD(A703-INDEX(SkiftStart,L703),Syklus)&lt;DagK,"Kveld",IF(MOD(A703-INDEX(SkiftStart,L703),Syklus)&lt;DagK+DagH,"Helg",IF(MOD(A703-INDEX(SkiftStart,L703),Syklus)&lt;DagK+DagH+DagD,"Dag","Fri"))))</f>
        <v/>
      </c>
      <c r="J703" s="30">
        <f>IF(I703="Fri","Ja","")</f>
        <v/>
      </c>
      <c r="K703" s="30">
        <f>IF(B703="","",IF(L703="","Ukjent tekniker",IF(ISNA(MATCH(C703,Aktiviteter,0)),"Ukjent aktivitet",IF(AND(INDEX(AktRolle,MATCH(C703,Aktiviteter,0))&amp;""&lt;&gt;"",ISERROR(SEARCH(INDEX(AktRolle,MATCH(C703,Aktiviteter,0))&amp;"",INDEX(TekRoller,MATCH(B703,Teknikere,0))))),"Mangler rollen "&amp;INDEX(AktRolle,MATCH(C703,Aktiviteter,0))&amp;"",IF(AND(C703="LMS",F703&gt;0,OR(D703="",E703="")),"Mangler maskin eller arbeid",IF(AND(OR(C703="LMS",C703="Mod"),D703&lt;&gt;""),IF(IFERROR(INDEX(MaskinStatus,MATCH(D703,Maskiner,0)),"")="I dokk","","Maskinen er ikke i dokk"),""))))))</f>
        <v/>
      </c>
      <c r="L703" s="2">
        <f>IF(B703="","",IFERROR(INT((MATCH(B703,Teknikere,0)-1)/18)+1,""))</f>
        <v/>
      </c>
      <c r="M703" s="2">
        <f>IF(OR(A703="",B703=""),"",B703&amp;"|"&amp;A703)</f>
        <v/>
      </c>
      <c r="N703" s="2">
        <f>IF(M703="","",SUMIFS(TF_Timer,TF_Nokkel,M703,TF_Akt,C703))</f>
        <v/>
      </c>
      <c r="O703" s="2">
        <f>IF(M703="","",IF(AND(N703=_xlfn.MAXIFS(TF_AktSum,TF_Nokkel,M703),COUNTIFS(M$3:M702,M703,N$3:N702,N703)=0),M703,""))</f>
        <v/>
      </c>
    </row>
    <row r="704">
      <c r="A704" s="34" t="n"/>
      <c r="B704" s="35" t="n"/>
      <c r="C704" s="35" t="n"/>
      <c r="D704" s="35" t="n"/>
      <c r="E704" s="35" t="n"/>
      <c r="F704" s="36" t="n"/>
      <c r="G704" s="35" t="n"/>
      <c r="H704" s="30">
        <f>IF(L704="","",INDEX(SkiftNavn,L704))</f>
        <v/>
      </c>
      <c r="I704" s="30">
        <f>IF(OR(A704="",L704=""),"",IF(MOD(A704-INDEX(SkiftStart,L704),Syklus)&lt;DagK,"Kveld",IF(MOD(A704-INDEX(SkiftStart,L704),Syklus)&lt;DagK+DagH,"Helg",IF(MOD(A704-INDEX(SkiftStart,L704),Syklus)&lt;DagK+DagH+DagD,"Dag","Fri"))))</f>
        <v/>
      </c>
      <c r="J704" s="30">
        <f>IF(I704="Fri","Ja","")</f>
        <v/>
      </c>
      <c r="K704" s="30">
        <f>IF(B704="","",IF(L704="","Ukjent tekniker",IF(ISNA(MATCH(C704,Aktiviteter,0)),"Ukjent aktivitet",IF(AND(INDEX(AktRolle,MATCH(C704,Aktiviteter,0))&amp;""&lt;&gt;"",ISERROR(SEARCH(INDEX(AktRolle,MATCH(C704,Aktiviteter,0))&amp;"",INDEX(TekRoller,MATCH(B704,Teknikere,0))))),"Mangler rollen "&amp;INDEX(AktRolle,MATCH(C704,Aktiviteter,0))&amp;"",IF(AND(C704="LMS",F704&gt;0,OR(D704="",E704="")),"Mangler maskin eller arbeid",IF(AND(OR(C704="LMS",C704="Mod"),D704&lt;&gt;""),IF(IFERROR(INDEX(MaskinStatus,MATCH(D704,Maskiner,0)),"")="I dokk","","Maskinen er ikke i dokk"),""))))))</f>
        <v/>
      </c>
      <c r="L704" s="2">
        <f>IF(B704="","",IFERROR(INT((MATCH(B704,Teknikere,0)-1)/18)+1,""))</f>
        <v/>
      </c>
      <c r="M704" s="2">
        <f>IF(OR(A704="",B704=""),"",B704&amp;"|"&amp;A704)</f>
        <v/>
      </c>
      <c r="N704" s="2">
        <f>IF(M704="","",SUMIFS(TF_Timer,TF_Nokkel,M704,TF_Akt,C704))</f>
        <v/>
      </c>
      <c r="O704" s="2">
        <f>IF(M704="","",IF(AND(N704=_xlfn.MAXIFS(TF_AktSum,TF_Nokkel,M704),COUNTIFS(M$3:M703,M704,N$3:N703,N704)=0),M704,""))</f>
        <v/>
      </c>
    </row>
    <row r="705">
      <c r="A705" s="34" t="n"/>
      <c r="B705" s="35" t="n"/>
      <c r="C705" s="35" t="n"/>
      <c r="D705" s="35" t="n"/>
      <c r="E705" s="35" t="n"/>
      <c r="F705" s="36" t="n"/>
      <c r="G705" s="35" t="n"/>
      <c r="H705" s="30">
        <f>IF(L705="","",INDEX(SkiftNavn,L705))</f>
        <v/>
      </c>
      <c r="I705" s="30">
        <f>IF(OR(A705="",L705=""),"",IF(MOD(A705-INDEX(SkiftStart,L705),Syklus)&lt;DagK,"Kveld",IF(MOD(A705-INDEX(SkiftStart,L705),Syklus)&lt;DagK+DagH,"Helg",IF(MOD(A705-INDEX(SkiftStart,L705),Syklus)&lt;DagK+DagH+DagD,"Dag","Fri"))))</f>
        <v/>
      </c>
      <c r="J705" s="30">
        <f>IF(I705="Fri","Ja","")</f>
        <v/>
      </c>
      <c r="K705" s="30">
        <f>IF(B705="","",IF(L705="","Ukjent tekniker",IF(ISNA(MATCH(C705,Aktiviteter,0)),"Ukjent aktivitet",IF(AND(INDEX(AktRolle,MATCH(C705,Aktiviteter,0))&amp;""&lt;&gt;"",ISERROR(SEARCH(INDEX(AktRolle,MATCH(C705,Aktiviteter,0))&amp;"",INDEX(TekRoller,MATCH(B705,Teknikere,0))))),"Mangler rollen "&amp;INDEX(AktRolle,MATCH(C705,Aktiviteter,0))&amp;"",IF(AND(C705="LMS",F705&gt;0,OR(D705="",E705="")),"Mangler maskin eller arbeid",IF(AND(OR(C705="LMS",C705="Mod"),D705&lt;&gt;""),IF(IFERROR(INDEX(MaskinStatus,MATCH(D705,Maskiner,0)),"")="I dokk","","Maskinen er ikke i dokk"),""))))))</f>
        <v/>
      </c>
      <c r="L705" s="2">
        <f>IF(B705="","",IFERROR(INT((MATCH(B705,Teknikere,0)-1)/18)+1,""))</f>
        <v/>
      </c>
      <c r="M705" s="2">
        <f>IF(OR(A705="",B705=""),"",B705&amp;"|"&amp;A705)</f>
        <v/>
      </c>
      <c r="N705" s="2">
        <f>IF(M705="","",SUMIFS(TF_Timer,TF_Nokkel,M705,TF_Akt,C705))</f>
        <v/>
      </c>
      <c r="O705" s="2">
        <f>IF(M705="","",IF(AND(N705=_xlfn.MAXIFS(TF_AktSum,TF_Nokkel,M705),COUNTIFS(M$3:M704,M705,N$3:N704,N705)=0),M705,""))</f>
        <v/>
      </c>
    </row>
    <row r="706">
      <c r="A706" s="34" t="n"/>
      <c r="B706" s="35" t="n"/>
      <c r="C706" s="35" t="n"/>
      <c r="D706" s="35" t="n"/>
      <c r="E706" s="35" t="n"/>
      <c r="F706" s="36" t="n"/>
      <c r="G706" s="35" t="n"/>
      <c r="H706" s="30">
        <f>IF(L706="","",INDEX(SkiftNavn,L706))</f>
        <v/>
      </c>
      <c r="I706" s="30">
        <f>IF(OR(A706="",L706=""),"",IF(MOD(A706-INDEX(SkiftStart,L706),Syklus)&lt;DagK,"Kveld",IF(MOD(A706-INDEX(SkiftStart,L706),Syklus)&lt;DagK+DagH,"Helg",IF(MOD(A706-INDEX(SkiftStart,L706),Syklus)&lt;DagK+DagH+DagD,"Dag","Fri"))))</f>
        <v/>
      </c>
      <c r="J706" s="30">
        <f>IF(I706="Fri","Ja","")</f>
        <v/>
      </c>
      <c r="K706" s="30">
        <f>IF(B706="","",IF(L706="","Ukjent tekniker",IF(ISNA(MATCH(C706,Aktiviteter,0)),"Ukjent aktivitet",IF(AND(INDEX(AktRolle,MATCH(C706,Aktiviteter,0))&amp;""&lt;&gt;"",ISERROR(SEARCH(INDEX(AktRolle,MATCH(C706,Aktiviteter,0))&amp;"",INDEX(TekRoller,MATCH(B706,Teknikere,0))))),"Mangler rollen "&amp;INDEX(AktRolle,MATCH(C706,Aktiviteter,0))&amp;"",IF(AND(C706="LMS",F706&gt;0,OR(D706="",E706="")),"Mangler maskin eller arbeid",IF(AND(OR(C706="LMS",C706="Mod"),D706&lt;&gt;""),IF(IFERROR(INDEX(MaskinStatus,MATCH(D706,Maskiner,0)),"")="I dokk","","Maskinen er ikke i dokk"),""))))))</f>
        <v/>
      </c>
      <c r="L706" s="2">
        <f>IF(B706="","",IFERROR(INT((MATCH(B706,Teknikere,0)-1)/18)+1,""))</f>
        <v/>
      </c>
      <c r="M706" s="2">
        <f>IF(OR(A706="",B706=""),"",B706&amp;"|"&amp;A706)</f>
        <v/>
      </c>
      <c r="N706" s="2">
        <f>IF(M706="","",SUMIFS(TF_Timer,TF_Nokkel,M706,TF_Akt,C706))</f>
        <v/>
      </c>
      <c r="O706" s="2">
        <f>IF(M706="","",IF(AND(N706=_xlfn.MAXIFS(TF_AktSum,TF_Nokkel,M706),COUNTIFS(M$3:M705,M706,N$3:N705,N706)=0),M706,""))</f>
        <v/>
      </c>
    </row>
    <row r="707">
      <c r="A707" s="34" t="n"/>
      <c r="B707" s="35" t="n"/>
      <c r="C707" s="35" t="n"/>
      <c r="D707" s="35" t="n"/>
      <c r="E707" s="35" t="n"/>
      <c r="F707" s="36" t="n"/>
      <c r="G707" s="35" t="n"/>
      <c r="H707" s="30">
        <f>IF(L707="","",INDEX(SkiftNavn,L707))</f>
        <v/>
      </c>
      <c r="I707" s="30">
        <f>IF(OR(A707="",L707=""),"",IF(MOD(A707-INDEX(SkiftStart,L707),Syklus)&lt;DagK,"Kveld",IF(MOD(A707-INDEX(SkiftStart,L707),Syklus)&lt;DagK+DagH,"Helg",IF(MOD(A707-INDEX(SkiftStart,L707),Syklus)&lt;DagK+DagH+DagD,"Dag","Fri"))))</f>
        <v/>
      </c>
      <c r="J707" s="30">
        <f>IF(I707="Fri","Ja","")</f>
        <v/>
      </c>
      <c r="K707" s="30">
        <f>IF(B707="","",IF(L707="","Ukjent tekniker",IF(ISNA(MATCH(C707,Aktiviteter,0)),"Ukjent aktivitet",IF(AND(INDEX(AktRolle,MATCH(C707,Aktiviteter,0))&amp;""&lt;&gt;"",ISERROR(SEARCH(INDEX(AktRolle,MATCH(C707,Aktiviteter,0))&amp;"",INDEX(TekRoller,MATCH(B707,Teknikere,0))))),"Mangler rollen "&amp;INDEX(AktRolle,MATCH(C707,Aktiviteter,0))&amp;"",IF(AND(C707="LMS",F707&gt;0,OR(D707="",E707="")),"Mangler maskin eller arbeid",IF(AND(OR(C707="LMS",C707="Mod"),D707&lt;&gt;""),IF(IFERROR(INDEX(MaskinStatus,MATCH(D707,Maskiner,0)),"")="I dokk","","Maskinen er ikke i dokk"),""))))))</f>
        <v/>
      </c>
      <c r="L707" s="2">
        <f>IF(B707="","",IFERROR(INT((MATCH(B707,Teknikere,0)-1)/18)+1,""))</f>
        <v/>
      </c>
      <c r="M707" s="2">
        <f>IF(OR(A707="",B707=""),"",B707&amp;"|"&amp;A707)</f>
        <v/>
      </c>
      <c r="N707" s="2">
        <f>IF(M707="","",SUMIFS(TF_Timer,TF_Nokkel,M707,TF_Akt,C707))</f>
        <v/>
      </c>
      <c r="O707" s="2">
        <f>IF(M707="","",IF(AND(N707=_xlfn.MAXIFS(TF_AktSum,TF_Nokkel,M707),COUNTIFS(M$3:M706,M707,N$3:N706,N707)=0),M707,""))</f>
        <v/>
      </c>
    </row>
    <row r="708">
      <c r="A708" s="34" t="n"/>
      <c r="B708" s="35" t="n"/>
      <c r="C708" s="35" t="n"/>
      <c r="D708" s="35" t="n"/>
      <c r="E708" s="35" t="n"/>
      <c r="F708" s="36" t="n"/>
      <c r="G708" s="35" t="n"/>
      <c r="H708" s="30">
        <f>IF(L708="","",INDEX(SkiftNavn,L708))</f>
        <v/>
      </c>
      <c r="I708" s="30">
        <f>IF(OR(A708="",L708=""),"",IF(MOD(A708-INDEX(SkiftStart,L708),Syklus)&lt;DagK,"Kveld",IF(MOD(A708-INDEX(SkiftStart,L708),Syklus)&lt;DagK+DagH,"Helg",IF(MOD(A708-INDEX(SkiftStart,L708),Syklus)&lt;DagK+DagH+DagD,"Dag","Fri"))))</f>
        <v/>
      </c>
      <c r="J708" s="30">
        <f>IF(I708="Fri","Ja","")</f>
        <v/>
      </c>
      <c r="K708" s="30">
        <f>IF(B708="","",IF(L708="","Ukjent tekniker",IF(ISNA(MATCH(C708,Aktiviteter,0)),"Ukjent aktivitet",IF(AND(INDEX(AktRolle,MATCH(C708,Aktiviteter,0))&amp;""&lt;&gt;"",ISERROR(SEARCH(INDEX(AktRolle,MATCH(C708,Aktiviteter,0))&amp;"",INDEX(TekRoller,MATCH(B708,Teknikere,0))))),"Mangler rollen "&amp;INDEX(AktRolle,MATCH(C708,Aktiviteter,0))&amp;"",IF(AND(C708="LMS",F708&gt;0,OR(D708="",E708="")),"Mangler maskin eller arbeid",IF(AND(OR(C708="LMS",C708="Mod"),D708&lt;&gt;""),IF(IFERROR(INDEX(MaskinStatus,MATCH(D708,Maskiner,0)),"")="I dokk","","Maskinen er ikke i dokk"),""))))))</f>
        <v/>
      </c>
      <c r="L708" s="2">
        <f>IF(B708="","",IFERROR(INT((MATCH(B708,Teknikere,0)-1)/18)+1,""))</f>
        <v/>
      </c>
      <c r="M708" s="2">
        <f>IF(OR(A708="",B708=""),"",B708&amp;"|"&amp;A708)</f>
        <v/>
      </c>
      <c r="N708" s="2">
        <f>IF(M708="","",SUMIFS(TF_Timer,TF_Nokkel,M708,TF_Akt,C708))</f>
        <v/>
      </c>
      <c r="O708" s="2">
        <f>IF(M708="","",IF(AND(N708=_xlfn.MAXIFS(TF_AktSum,TF_Nokkel,M708),COUNTIFS(M$3:M707,M708,N$3:N707,N708)=0),M708,""))</f>
        <v/>
      </c>
    </row>
    <row r="709">
      <c r="A709" s="34" t="n"/>
      <c r="B709" s="35" t="n"/>
      <c r="C709" s="35" t="n"/>
      <c r="D709" s="35" t="n"/>
      <c r="E709" s="35" t="n"/>
      <c r="F709" s="36" t="n"/>
      <c r="G709" s="35" t="n"/>
      <c r="H709" s="30">
        <f>IF(L709="","",INDEX(SkiftNavn,L709))</f>
        <v/>
      </c>
      <c r="I709" s="30">
        <f>IF(OR(A709="",L709=""),"",IF(MOD(A709-INDEX(SkiftStart,L709),Syklus)&lt;DagK,"Kveld",IF(MOD(A709-INDEX(SkiftStart,L709),Syklus)&lt;DagK+DagH,"Helg",IF(MOD(A709-INDEX(SkiftStart,L709),Syklus)&lt;DagK+DagH+DagD,"Dag","Fri"))))</f>
        <v/>
      </c>
      <c r="J709" s="30">
        <f>IF(I709="Fri","Ja","")</f>
        <v/>
      </c>
      <c r="K709" s="30">
        <f>IF(B709="","",IF(L709="","Ukjent tekniker",IF(ISNA(MATCH(C709,Aktiviteter,0)),"Ukjent aktivitet",IF(AND(INDEX(AktRolle,MATCH(C709,Aktiviteter,0))&amp;""&lt;&gt;"",ISERROR(SEARCH(INDEX(AktRolle,MATCH(C709,Aktiviteter,0))&amp;"",INDEX(TekRoller,MATCH(B709,Teknikere,0))))),"Mangler rollen "&amp;INDEX(AktRolle,MATCH(C709,Aktiviteter,0))&amp;"",IF(AND(C709="LMS",F709&gt;0,OR(D709="",E709="")),"Mangler maskin eller arbeid",IF(AND(OR(C709="LMS",C709="Mod"),D709&lt;&gt;""),IF(IFERROR(INDEX(MaskinStatus,MATCH(D709,Maskiner,0)),"")="I dokk","","Maskinen er ikke i dokk"),""))))))</f>
        <v/>
      </c>
      <c r="L709" s="2">
        <f>IF(B709="","",IFERROR(INT((MATCH(B709,Teknikere,0)-1)/18)+1,""))</f>
        <v/>
      </c>
      <c r="M709" s="2">
        <f>IF(OR(A709="",B709=""),"",B709&amp;"|"&amp;A709)</f>
        <v/>
      </c>
      <c r="N709" s="2">
        <f>IF(M709="","",SUMIFS(TF_Timer,TF_Nokkel,M709,TF_Akt,C709))</f>
        <v/>
      </c>
      <c r="O709" s="2">
        <f>IF(M709="","",IF(AND(N709=_xlfn.MAXIFS(TF_AktSum,TF_Nokkel,M709),COUNTIFS(M$3:M708,M709,N$3:N708,N709)=0),M709,""))</f>
        <v/>
      </c>
    </row>
    <row r="710">
      <c r="A710" s="34" t="n"/>
      <c r="B710" s="35" t="n"/>
      <c r="C710" s="35" t="n"/>
      <c r="D710" s="35" t="n"/>
      <c r="E710" s="35" t="n"/>
      <c r="F710" s="36" t="n"/>
      <c r="G710" s="35" t="n"/>
      <c r="H710" s="30">
        <f>IF(L710="","",INDEX(SkiftNavn,L710))</f>
        <v/>
      </c>
      <c r="I710" s="30">
        <f>IF(OR(A710="",L710=""),"",IF(MOD(A710-INDEX(SkiftStart,L710),Syklus)&lt;DagK,"Kveld",IF(MOD(A710-INDEX(SkiftStart,L710),Syklus)&lt;DagK+DagH,"Helg",IF(MOD(A710-INDEX(SkiftStart,L710),Syklus)&lt;DagK+DagH+DagD,"Dag","Fri"))))</f>
        <v/>
      </c>
      <c r="J710" s="30">
        <f>IF(I710="Fri","Ja","")</f>
        <v/>
      </c>
      <c r="K710" s="30">
        <f>IF(B710="","",IF(L710="","Ukjent tekniker",IF(ISNA(MATCH(C710,Aktiviteter,0)),"Ukjent aktivitet",IF(AND(INDEX(AktRolle,MATCH(C710,Aktiviteter,0))&amp;""&lt;&gt;"",ISERROR(SEARCH(INDEX(AktRolle,MATCH(C710,Aktiviteter,0))&amp;"",INDEX(TekRoller,MATCH(B710,Teknikere,0))))),"Mangler rollen "&amp;INDEX(AktRolle,MATCH(C710,Aktiviteter,0))&amp;"",IF(AND(C710="LMS",F710&gt;0,OR(D710="",E710="")),"Mangler maskin eller arbeid",IF(AND(OR(C710="LMS",C710="Mod"),D710&lt;&gt;""),IF(IFERROR(INDEX(MaskinStatus,MATCH(D710,Maskiner,0)),"")="I dokk","","Maskinen er ikke i dokk"),""))))))</f>
        <v/>
      </c>
      <c r="L710" s="2">
        <f>IF(B710="","",IFERROR(INT((MATCH(B710,Teknikere,0)-1)/18)+1,""))</f>
        <v/>
      </c>
      <c r="M710" s="2">
        <f>IF(OR(A710="",B710=""),"",B710&amp;"|"&amp;A710)</f>
        <v/>
      </c>
      <c r="N710" s="2">
        <f>IF(M710="","",SUMIFS(TF_Timer,TF_Nokkel,M710,TF_Akt,C710))</f>
        <v/>
      </c>
      <c r="O710" s="2">
        <f>IF(M710="","",IF(AND(N710=_xlfn.MAXIFS(TF_AktSum,TF_Nokkel,M710),COUNTIFS(M$3:M709,M710,N$3:N709,N710)=0),M710,""))</f>
        <v/>
      </c>
    </row>
    <row r="711">
      <c r="A711" s="34" t="n"/>
      <c r="B711" s="35" t="n"/>
      <c r="C711" s="35" t="n"/>
      <c r="D711" s="35" t="n"/>
      <c r="E711" s="35" t="n"/>
      <c r="F711" s="36" t="n"/>
      <c r="G711" s="35" t="n"/>
      <c r="H711" s="30">
        <f>IF(L711="","",INDEX(SkiftNavn,L711))</f>
        <v/>
      </c>
      <c r="I711" s="30">
        <f>IF(OR(A711="",L711=""),"",IF(MOD(A711-INDEX(SkiftStart,L711),Syklus)&lt;DagK,"Kveld",IF(MOD(A711-INDEX(SkiftStart,L711),Syklus)&lt;DagK+DagH,"Helg",IF(MOD(A711-INDEX(SkiftStart,L711),Syklus)&lt;DagK+DagH+DagD,"Dag","Fri"))))</f>
        <v/>
      </c>
      <c r="J711" s="30">
        <f>IF(I711="Fri","Ja","")</f>
        <v/>
      </c>
      <c r="K711" s="30">
        <f>IF(B711="","",IF(L711="","Ukjent tekniker",IF(ISNA(MATCH(C711,Aktiviteter,0)),"Ukjent aktivitet",IF(AND(INDEX(AktRolle,MATCH(C711,Aktiviteter,0))&amp;""&lt;&gt;"",ISERROR(SEARCH(INDEX(AktRolle,MATCH(C711,Aktiviteter,0))&amp;"",INDEX(TekRoller,MATCH(B711,Teknikere,0))))),"Mangler rollen "&amp;INDEX(AktRolle,MATCH(C711,Aktiviteter,0))&amp;"",IF(AND(C711="LMS",F711&gt;0,OR(D711="",E711="")),"Mangler maskin eller arbeid",IF(AND(OR(C711="LMS",C711="Mod"),D711&lt;&gt;""),IF(IFERROR(INDEX(MaskinStatus,MATCH(D711,Maskiner,0)),"")="I dokk","","Maskinen er ikke i dokk"),""))))))</f>
        <v/>
      </c>
      <c r="L711" s="2">
        <f>IF(B711="","",IFERROR(INT((MATCH(B711,Teknikere,0)-1)/18)+1,""))</f>
        <v/>
      </c>
      <c r="M711" s="2">
        <f>IF(OR(A711="",B711=""),"",B711&amp;"|"&amp;A711)</f>
        <v/>
      </c>
      <c r="N711" s="2">
        <f>IF(M711="","",SUMIFS(TF_Timer,TF_Nokkel,M711,TF_Akt,C711))</f>
        <v/>
      </c>
      <c r="O711" s="2">
        <f>IF(M711="","",IF(AND(N711=_xlfn.MAXIFS(TF_AktSum,TF_Nokkel,M711),COUNTIFS(M$3:M710,M711,N$3:N710,N711)=0),M711,""))</f>
        <v/>
      </c>
    </row>
    <row r="712">
      <c r="A712" s="34" t="n"/>
      <c r="B712" s="35" t="n"/>
      <c r="C712" s="35" t="n"/>
      <c r="D712" s="35" t="n"/>
      <c r="E712" s="35" t="n"/>
      <c r="F712" s="36" t="n"/>
      <c r="G712" s="35" t="n"/>
      <c r="H712" s="30">
        <f>IF(L712="","",INDEX(SkiftNavn,L712))</f>
        <v/>
      </c>
      <c r="I712" s="30">
        <f>IF(OR(A712="",L712=""),"",IF(MOD(A712-INDEX(SkiftStart,L712),Syklus)&lt;DagK,"Kveld",IF(MOD(A712-INDEX(SkiftStart,L712),Syklus)&lt;DagK+DagH,"Helg",IF(MOD(A712-INDEX(SkiftStart,L712),Syklus)&lt;DagK+DagH+DagD,"Dag","Fri"))))</f>
        <v/>
      </c>
      <c r="J712" s="30">
        <f>IF(I712="Fri","Ja","")</f>
        <v/>
      </c>
      <c r="K712" s="30">
        <f>IF(B712="","",IF(L712="","Ukjent tekniker",IF(ISNA(MATCH(C712,Aktiviteter,0)),"Ukjent aktivitet",IF(AND(INDEX(AktRolle,MATCH(C712,Aktiviteter,0))&amp;""&lt;&gt;"",ISERROR(SEARCH(INDEX(AktRolle,MATCH(C712,Aktiviteter,0))&amp;"",INDEX(TekRoller,MATCH(B712,Teknikere,0))))),"Mangler rollen "&amp;INDEX(AktRolle,MATCH(C712,Aktiviteter,0))&amp;"",IF(AND(C712="LMS",F712&gt;0,OR(D712="",E712="")),"Mangler maskin eller arbeid",IF(AND(OR(C712="LMS",C712="Mod"),D712&lt;&gt;""),IF(IFERROR(INDEX(MaskinStatus,MATCH(D712,Maskiner,0)),"")="I dokk","","Maskinen er ikke i dokk"),""))))))</f>
        <v/>
      </c>
      <c r="L712" s="2">
        <f>IF(B712="","",IFERROR(INT((MATCH(B712,Teknikere,0)-1)/18)+1,""))</f>
        <v/>
      </c>
      <c r="M712" s="2">
        <f>IF(OR(A712="",B712=""),"",B712&amp;"|"&amp;A712)</f>
        <v/>
      </c>
      <c r="N712" s="2">
        <f>IF(M712="","",SUMIFS(TF_Timer,TF_Nokkel,M712,TF_Akt,C712))</f>
        <v/>
      </c>
      <c r="O712" s="2">
        <f>IF(M712="","",IF(AND(N712=_xlfn.MAXIFS(TF_AktSum,TF_Nokkel,M712),COUNTIFS(M$3:M711,M712,N$3:N711,N712)=0),M712,""))</f>
        <v/>
      </c>
    </row>
    <row r="713">
      <c r="A713" s="34" t="n"/>
      <c r="B713" s="35" t="n"/>
      <c r="C713" s="35" t="n"/>
      <c r="D713" s="35" t="n"/>
      <c r="E713" s="35" t="n"/>
      <c r="F713" s="36" t="n"/>
      <c r="G713" s="35" t="n"/>
      <c r="H713" s="30">
        <f>IF(L713="","",INDEX(SkiftNavn,L713))</f>
        <v/>
      </c>
      <c r="I713" s="30">
        <f>IF(OR(A713="",L713=""),"",IF(MOD(A713-INDEX(SkiftStart,L713),Syklus)&lt;DagK,"Kveld",IF(MOD(A713-INDEX(SkiftStart,L713),Syklus)&lt;DagK+DagH,"Helg",IF(MOD(A713-INDEX(SkiftStart,L713),Syklus)&lt;DagK+DagH+DagD,"Dag","Fri"))))</f>
        <v/>
      </c>
      <c r="J713" s="30">
        <f>IF(I713="Fri","Ja","")</f>
        <v/>
      </c>
      <c r="K713" s="30">
        <f>IF(B713="","",IF(L713="","Ukjent tekniker",IF(ISNA(MATCH(C713,Aktiviteter,0)),"Ukjent aktivitet",IF(AND(INDEX(AktRolle,MATCH(C713,Aktiviteter,0))&amp;""&lt;&gt;"",ISERROR(SEARCH(INDEX(AktRolle,MATCH(C713,Aktiviteter,0))&amp;"",INDEX(TekRoller,MATCH(B713,Teknikere,0))))),"Mangler rollen "&amp;INDEX(AktRolle,MATCH(C713,Aktiviteter,0))&amp;"",IF(AND(C713="LMS",F713&gt;0,OR(D713="",E713="")),"Mangler maskin eller arbeid",IF(AND(OR(C713="LMS",C713="Mod"),D713&lt;&gt;""),IF(IFERROR(INDEX(MaskinStatus,MATCH(D713,Maskiner,0)),"")="I dokk","","Maskinen er ikke i dokk"),""))))))</f>
        <v/>
      </c>
      <c r="L713" s="2">
        <f>IF(B713="","",IFERROR(INT((MATCH(B713,Teknikere,0)-1)/18)+1,""))</f>
        <v/>
      </c>
      <c r="M713" s="2">
        <f>IF(OR(A713="",B713=""),"",B713&amp;"|"&amp;A713)</f>
        <v/>
      </c>
      <c r="N713" s="2">
        <f>IF(M713="","",SUMIFS(TF_Timer,TF_Nokkel,M713,TF_Akt,C713))</f>
        <v/>
      </c>
      <c r="O713" s="2">
        <f>IF(M713="","",IF(AND(N713=_xlfn.MAXIFS(TF_AktSum,TF_Nokkel,M713),COUNTIFS(M$3:M712,M713,N$3:N712,N713)=0),M713,""))</f>
        <v/>
      </c>
    </row>
    <row r="714">
      <c r="A714" s="34" t="n"/>
      <c r="B714" s="35" t="n"/>
      <c r="C714" s="35" t="n"/>
      <c r="D714" s="35" t="n"/>
      <c r="E714" s="35" t="n"/>
      <c r="F714" s="36" t="n"/>
      <c r="G714" s="35" t="n"/>
      <c r="H714" s="30">
        <f>IF(L714="","",INDEX(SkiftNavn,L714))</f>
        <v/>
      </c>
      <c r="I714" s="30">
        <f>IF(OR(A714="",L714=""),"",IF(MOD(A714-INDEX(SkiftStart,L714),Syklus)&lt;DagK,"Kveld",IF(MOD(A714-INDEX(SkiftStart,L714),Syklus)&lt;DagK+DagH,"Helg",IF(MOD(A714-INDEX(SkiftStart,L714),Syklus)&lt;DagK+DagH+DagD,"Dag","Fri"))))</f>
        <v/>
      </c>
      <c r="J714" s="30">
        <f>IF(I714="Fri","Ja","")</f>
        <v/>
      </c>
      <c r="K714" s="30">
        <f>IF(B714="","",IF(L714="","Ukjent tekniker",IF(ISNA(MATCH(C714,Aktiviteter,0)),"Ukjent aktivitet",IF(AND(INDEX(AktRolle,MATCH(C714,Aktiviteter,0))&amp;""&lt;&gt;"",ISERROR(SEARCH(INDEX(AktRolle,MATCH(C714,Aktiviteter,0))&amp;"",INDEX(TekRoller,MATCH(B714,Teknikere,0))))),"Mangler rollen "&amp;INDEX(AktRolle,MATCH(C714,Aktiviteter,0))&amp;"",IF(AND(C714="LMS",F714&gt;0,OR(D714="",E714="")),"Mangler maskin eller arbeid",IF(AND(OR(C714="LMS",C714="Mod"),D714&lt;&gt;""),IF(IFERROR(INDEX(MaskinStatus,MATCH(D714,Maskiner,0)),"")="I dokk","","Maskinen er ikke i dokk"),""))))))</f>
        <v/>
      </c>
      <c r="L714" s="2">
        <f>IF(B714="","",IFERROR(INT((MATCH(B714,Teknikere,0)-1)/18)+1,""))</f>
        <v/>
      </c>
      <c r="M714" s="2">
        <f>IF(OR(A714="",B714=""),"",B714&amp;"|"&amp;A714)</f>
        <v/>
      </c>
      <c r="N714" s="2">
        <f>IF(M714="","",SUMIFS(TF_Timer,TF_Nokkel,M714,TF_Akt,C714))</f>
        <v/>
      </c>
      <c r="O714" s="2">
        <f>IF(M714="","",IF(AND(N714=_xlfn.MAXIFS(TF_AktSum,TF_Nokkel,M714),COUNTIFS(M$3:M713,M714,N$3:N713,N714)=0),M714,""))</f>
        <v/>
      </c>
    </row>
    <row r="715">
      <c r="A715" s="34" t="n"/>
      <c r="B715" s="35" t="n"/>
      <c r="C715" s="35" t="n"/>
      <c r="D715" s="35" t="n"/>
      <c r="E715" s="35" t="n"/>
      <c r="F715" s="36" t="n"/>
      <c r="G715" s="35" t="n"/>
      <c r="H715" s="30">
        <f>IF(L715="","",INDEX(SkiftNavn,L715))</f>
        <v/>
      </c>
      <c r="I715" s="30">
        <f>IF(OR(A715="",L715=""),"",IF(MOD(A715-INDEX(SkiftStart,L715),Syklus)&lt;DagK,"Kveld",IF(MOD(A715-INDEX(SkiftStart,L715),Syklus)&lt;DagK+DagH,"Helg",IF(MOD(A715-INDEX(SkiftStart,L715),Syklus)&lt;DagK+DagH+DagD,"Dag","Fri"))))</f>
        <v/>
      </c>
      <c r="J715" s="30">
        <f>IF(I715="Fri","Ja","")</f>
        <v/>
      </c>
      <c r="K715" s="30">
        <f>IF(B715="","",IF(L715="","Ukjent tekniker",IF(ISNA(MATCH(C715,Aktiviteter,0)),"Ukjent aktivitet",IF(AND(INDEX(AktRolle,MATCH(C715,Aktiviteter,0))&amp;""&lt;&gt;"",ISERROR(SEARCH(INDEX(AktRolle,MATCH(C715,Aktiviteter,0))&amp;"",INDEX(TekRoller,MATCH(B715,Teknikere,0))))),"Mangler rollen "&amp;INDEX(AktRolle,MATCH(C715,Aktiviteter,0))&amp;"",IF(AND(C715="LMS",F715&gt;0,OR(D715="",E715="")),"Mangler maskin eller arbeid",IF(AND(OR(C715="LMS",C715="Mod"),D715&lt;&gt;""),IF(IFERROR(INDEX(MaskinStatus,MATCH(D715,Maskiner,0)),"")="I dokk","","Maskinen er ikke i dokk"),""))))))</f>
        <v/>
      </c>
      <c r="L715" s="2">
        <f>IF(B715="","",IFERROR(INT((MATCH(B715,Teknikere,0)-1)/18)+1,""))</f>
        <v/>
      </c>
      <c r="M715" s="2">
        <f>IF(OR(A715="",B715=""),"",B715&amp;"|"&amp;A715)</f>
        <v/>
      </c>
      <c r="N715" s="2">
        <f>IF(M715="","",SUMIFS(TF_Timer,TF_Nokkel,M715,TF_Akt,C715))</f>
        <v/>
      </c>
      <c r="O715" s="2">
        <f>IF(M715="","",IF(AND(N715=_xlfn.MAXIFS(TF_AktSum,TF_Nokkel,M715),COUNTIFS(M$3:M714,M715,N$3:N714,N715)=0),M715,""))</f>
        <v/>
      </c>
    </row>
    <row r="716">
      <c r="A716" s="34" t="n"/>
      <c r="B716" s="35" t="n"/>
      <c r="C716" s="35" t="n"/>
      <c r="D716" s="35" t="n"/>
      <c r="E716" s="35" t="n"/>
      <c r="F716" s="36" t="n"/>
      <c r="G716" s="35" t="n"/>
      <c r="H716" s="30">
        <f>IF(L716="","",INDEX(SkiftNavn,L716))</f>
        <v/>
      </c>
      <c r="I716" s="30">
        <f>IF(OR(A716="",L716=""),"",IF(MOD(A716-INDEX(SkiftStart,L716),Syklus)&lt;DagK,"Kveld",IF(MOD(A716-INDEX(SkiftStart,L716),Syklus)&lt;DagK+DagH,"Helg",IF(MOD(A716-INDEX(SkiftStart,L716),Syklus)&lt;DagK+DagH+DagD,"Dag","Fri"))))</f>
        <v/>
      </c>
      <c r="J716" s="30">
        <f>IF(I716="Fri","Ja","")</f>
        <v/>
      </c>
      <c r="K716" s="30">
        <f>IF(B716="","",IF(L716="","Ukjent tekniker",IF(ISNA(MATCH(C716,Aktiviteter,0)),"Ukjent aktivitet",IF(AND(INDEX(AktRolle,MATCH(C716,Aktiviteter,0))&amp;""&lt;&gt;"",ISERROR(SEARCH(INDEX(AktRolle,MATCH(C716,Aktiviteter,0))&amp;"",INDEX(TekRoller,MATCH(B716,Teknikere,0))))),"Mangler rollen "&amp;INDEX(AktRolle,MATCH(C716,Aktiviteter,0))&amp;"",IF(AND(C716="LMS",F716&gt;0,OR(D716="",E716="")),"Mangler maskin eller arbeid",IF(AND(OR(C716="LMS",C716="Mod"),D716&lt;&gt;""),IF(IFERROR(INDEX(MaskinStatus,MATCH(D716,Maskiner,0)),"")="I dokk","","Maskinen er ikke i dokk"),""))))))</f>
        <v/>
      </c>
      <c r="L716" s="2">
        <f>IF(B716="","",IFERROR(INT((MATCH(B716,Teknikere,0)-1)/18)+1,""))</f>
        <v/>
      </c>
      <c r="M716" s="2">
        <f>IF(OR(A716="",B716=""),"",B716&amp;"|"&amp;A716)</f>
        <v/>
      </c>
      <c r="N716" s="2">
        <f>IF(M716="","",SUMIFS(TF_Timer,TF_Nokkel,M716,TF_Akt,C716))</f>
        <v/>
      </c>
      <c r="O716" s="2">
        <f>IF(M716="","",IF(AND(N716=_xlfn.MAXIFS(TF_AktSum,TF_Nokkel,M716),COUNTIFS(M$3:M715,M716,N$3:N715,N716)=0),M716,""))</f>
        <v/>
      </c>
    </row>
    <row r="717">
      <c r="A717" s="34" t="n"/>
      <c r="B717" s="35" t="n"/>
      <c r="C717" s="35" t="n"/>
      <c r="D717" s="35" t="n"/>
      <c r="E717" s="35" t="n"/>
      <c r="F717" s="36" t="n"/>
      <c r="G717" s="35" t="n"/>
      <c r="H717" s="30">
        <f>IF(L717="","",INDEX(SkiftNavn,L717))</f>
        <v/>
      </c>
      <c r="I717" s="30">
        <f>IF(OR(A717="",L717=""),"",IF(MOD(A717-INDEX(SkiftStart,L717),Syklus)&lt;DagK,"Kveld",IF(MOD(A717-INDEX(SkiftStart,L717),Syklus)&lt;DagK+DagH,"Helg",IF(MOD(A717-INDEX(SkiftStart,L717),Syklus)&lt;DagK+DagH+DagD,"Dag","Fri"))))</f>
        <v/>
      </c>
      <c r="J717" s="30">
        <f>IF(I717="Fri","Ja","")</f>
        <v/>
      </c>
      <c r="K717" s="30">
        <f>IF(B717="","",IF(L717="","Ukjent tekniker",IF(ISNA(MATCH(C717,Aktiviteter,0)),"Ukjent aktivitet",IF(AND(INDEX(AktRolle,MATCH(C717,Aktiviteter,0))&amp;""&lt;&gt;"",ISERROR(SEARCH(INDEX(AktRolle,MATCH(C717,Aktiviteter,0))&amp;"",INDEX(TekRoller,MATCH(B717,Teknikere,0))))),"Mangler rollen "&amp;INDEX(AktRolle,MATCH(C717,Aktiviteter,0))&amp;"",IF(AND(C717="LMS",F717&gt;0,OR(D717="",E717="")),"Mangler maskin eller arbeid",IF(AND(OR(C717="LMS",C717="Mod"),D717&lt;&gt;""),IF(IFERROR(INDEX(MaskinStatus,MATCH(D717,Maskiner,0)),"")="I dokk","","Maskinen er ikke i dokk"),""))))))</f>
        <v/>
      </c>
      <c r="L717" s="2">
        <f>IF(B717="","",IFERROR(INT((MATCH(B717,Teknikere,0)-1)/18)+1,""))</f>
        <v/>
      </c>
      <c r="M717" s="2">
        <f>IF(OR(A717="",B717=""),"",B717&amp;"|"&amp;A717)</f>
        <v/>
      </c>
      <c r="N717" s="2">
        <f>IF(M717="","",SUMIFS(TF_Timer,TF_Nokkel,M717,TF_Akt,C717))</f>
        <v/>
      </c>
      <c r="O717" s="2">
        <f>IF(M717="","",IF(AND(N717=_xlfn.MAXIFS(TF_AktSum,TF_Nokkel,M717),COUNTIFS(M$3:M716,M717,N$3:N716,N717)=0),M717,""))</f>
        <v/>
      </c>
    </row>
    <row r="718">
      <c r="A718" s="34" t="n"/>
      <c r="B718" s="35" t="n"/>
      <c r="C718" s="35" t="n"/>
      <c r="D718" s="35" t="n"/>
      <c r="E718" s="35" t="n"/>
      <c r="F718" s="36" t="n"/>
      <c r="G718" s="35" t="n"/>
      <c r="H718" s="30">
        <f>IF(L718="","",INDEX(SkiftNavn,L718))</f>
        <v/>
      </c>
      <c r="I718" s="30">
        <f>IF(OR(A718="",L718=""),"",IF(MOD(A718-INDEX(SkiftStart,L718),Syklus)&lt;DagK,"Kveld",IF(MOD(A718-INDEX(SkiftStart,L718),Syklus)&lt;DagK+DagH,"Helg",IF(MOD(A718-INDEX(SkiftStart,L718),Syklus)&lt;DagK+DagH+DagD,"Dag","Fri"))))</f>
        <v/>
      </c>
      <c r="J718" s="30">
        <f>IF(I718="Fri","Ja","")</f>
        <v/>
      </c>
      <c r="K718" s="30">
        <f>IF(B718="","",IF(L718="","Ukjent tekniker",IF(ISNA(MATCH(C718,Aktiviteter,0)),"Ukjent aktivitet",IF(AND(INDEX(AktRolle,MATCH(C718,Aktiviteter,0))&amp;""&lt;&gt;"",ISERROR(SEARCH(INDEX(AktRolle,MATCH(C718,Aktiviteter,0))&amp;"",INDEX(TekRoller,MATCH(B718,Teknikere,0))))),"Mangler rollen "&amp;INDEX(AktRolle,MATCH(C718,Aktiviteter,0))&amp;"",IF(AND(C718="LMS",F718&gt;0,OR(D718="",E718="")),"Mangler maskin eller arbeid",IF(AND(OR(C718="LMS",C718="Mod"),D718&lt;&gt;""),IF(IFERROR(INDEX(MaskinStatus,MATCH(D718,Maskiner,0)),"")="I dokk","","Maskinen er ikke i dokk"),""))))))</f>
        <v/>
      </c>
      <c r="L718" s="2">
        <f>IF(B718="","",IFERROR(INT((MATCH(B718,Teknikere,0)-1)/18)+1,""))</f>
        <v/>
      </c>
      <c r="M718" s="2">
        <f>IF(OR(A718="",B718=""),"",B718&amp;"|"&amp;A718)</f>
        <v/>
      </c>
      <c r="N718" s="2">
        <f>IF(M718="","",SUMIFS(TF_Timer,TF_Nokkel,M718,TF_Akt,C718))</f>
        <v/>
      </c>
      <c r="O718" s="2">
        <f>IF(M718="","",IF(AND(N718=_xlfn.MAXIFS(TF_AktSum,TF_Nokkel,M718),COUNTIFS(M$3:M717,M718,N$3:N717,N718)=0),M718,""))</f>
        <v/>
      </c>
    </row>
    <row r="719">
      <c r="A719" s="34" t="n"/>
      <c r="B719" s="35" t="n"/>
      <c r="C719" s="35" t="n"/>
      <c r="D719" s="35" t="n"/>
      <c r="E719" s="35" t="n"/>
      <c r="F719" s="36" t="n"/>
      <c r="G719" s="35" t="n"/>
      <c r="H719" s="30">
        <f>IF(L719="","",INDEX(SkiftNavn,L719))</f>
        <v/>
      </c>
      <c r="I719" s="30">
        <f>IF(OR(A719="",L719=""),"",IF(MOD(A719-INDEX(SkiftStart,L719),Syklus)&lt;DagK,"Kveld",IF(MOD(A719-INDEX(SkiftStart,L719),Syklus)&lt;DagK+DagH,"Helg",IF(MOD(A719-INDEX(SkiftStart,L719),Syklus)&lt;DagK+DagH+DagD,"Dag","Fri"))))</f>
        <v/>
      </c>
      <c r="J719" s="30">
        <f>IF(I719="Fri","Ja","")</f>
        <v/>
      </c>
      <c r="K719" s="30">
        <f>IF(B719="","",IF(L719="","Ukjent tekniker",IF(ISNA(MATCH(C719,Aktiviteter,0)),"Ukjent aktivitet",IF(AND(INDEX(AktRolle,MATCH(C719,Aktiviteter,0))&amp;""&lt;&gt;"",ISERROR(SEARCH(INDEX(AktRolle,MATCH(C719,Aktiviteter,0))&amp;"",INDEX(TekRoller,MATCH(B719,Teknikere,0))))),"Mangler rollen "&amp;INDEX(AktRolle,MATCH(C719,Aktiviteter,0))&amp;"",IF(AND(C719="LMS",F719&gt;0,OR(D719="",E719="")),"Mangler maskin eller arbeid",IF(AND(OR(C719="LMS",C719="Mod"),D719&lt;&gt;""),IF(IFERROR(INDEX(MaskinStatus,MATCH(D719,Maskiner,0)),"")="I dokk","","Maskinen er ikke i dokk"),""))))))</f>
        <v/>
      </c>
      <c r="L719" s="2">
        <f>IF(B719="","",IFERROR(INT((MATCH(B719,Teknikere,0)-1)/18)+1,""))</f>
        <v/>
      </c>
      <c r="M719" s="2">
        <f>IF(OR(A719="",B719=""),"",B719&amp;"|"&amp;A719)</f>
        <v/>
      </c>
      <c r="N719" s="2">
        <f>IF(M719="","",SUMIFS(TF_Timer,TF_Nokkel,M719,TF_Akt,C719))</f>
        <v/>
      </c>
      <c r="O719" s="2">
        <f>IF(M719="","",IF(AND(N719=_xlfn.MAXIFS(TF_AktSum,TF_Nokkel,M719),COUNTIFS(M$3:M718,M719,N$3:N718,N719)=0),M719,""))</f>
        <v/>
      </c>
    </row>
    <row r="720">
      <c r="A720" s="34" t="n"/>
      <c r="B720" s="35" t="n"/>
      <c r="C720" s="35" t="n"/>
      <c r="D720" s="35" t="n"/>
      <c r="E720" s="35" t="n"/>
      <c r="F720" s="36" t="n"/>
      <c r="G720" s="35" t="n"/>
      <c r="H720" s="30">
        <f>IF(L720="","",INDEX(SkiftNavn,L720))</f>
        <v/>
      </c>
      <c r="I720" s="30">
        <f>IF(OR(A720="",L720=""),"",IF(MOD(A720-INDEX(SkiftStart,L720),Syklus)&lt;DagK,"Kveld",IF(MOD(A720-INDEX(SkiftStart,L720),Syklus)&lt;DagK+DagH,"Helg",IF(MOD(A720-INDEX(SkiftStart,L720),Syklus)&lt;DagK+DagH+DagD,"Dag","Fri"))))</f>
        <v/>
      </c>
      <c r="J720" s="30">
        <f>IF(I720="Fri","Ja","")</f>
        <v/>
      </c>
      <c r="K720" s="30">
        <f>IF(B720="","",IF(L720="","Ukjent tekniker",IF(ISNA(MATCH(C720,Aktiviteter,0)),"Ukjent aktivitet",IF(AND(INDEX(AktRolle,MATCH(C720,Aktiviteter,0))&amp;""&lt;&gt;"",ISERROR(SEARCH(INDEX(AktRolle,MATCH(C720,Aktiviteter,0))&amp;"",INDEX(TekRoller,MATCH(B720,Teknikere,0))))),"Mangler rollen "&amp;INDEX(AktRolle,MATCH(C720,Aktiviteter,0))&amp;"",IF(AND(C720="LMS",F720&gt;0,OR(D720="",E720="")),"Mangler maskin eller arbeid",IF(AND(OR(C720="LMS",C720="Mod"),D720&lt;&gt;""),IF(IFERROR(INDEX(MaskinStatus,MATCH(D720,Maskiner,0)),"")="I dokk","","Maskinen er ikke i dokk"),""))))))</f>
        <v/>
      </c>
      <c r="L720" s="2">
        <f>IF(B720="","",IFERROR(INT((MATCH(B720,Teknikere,0)-1)/18)+1,""))</f>
        <v/>
      </c>
      <c r="M720" s="2">
        <f>IF(OR(A720="",B720=""),"",B720&amp;"|"&amp;A720)</f>
        <v/>
      </c>
      <c r="N720" s="2">
        <f>IF(M720="","",SUMIFS(TF_Timer,TF_Nokkel,M720,TF_Akt,C720))</f>
        <v/>
      </c>
      <c r="O720" s="2">
        <f>IF(M720="","",IF(AND(N720=_xlfn.MAXIFS(TF_AktSum,TF_Nokkel,M720),COUNTIFS(M$3:M719,M720,N$3:N719,N720)=0),M720,""))</f>
        <v/>
      </c>
    </row>
    <row r="721">
      <c r="A721" s="34" t="n"/>
      <c r="B721" s="35" t="n"/>
      <c r="C721" s="35" t="n"/>
      <c r="D721" s="35" t="n"/>
      <c r="E721" s="35" t="n"/>
      <c r="F721" s="36" t="n"/>
      <c r="G721" s="35" t="n"/>
      <c r="H721" s="30">
        <f>IF(L721="","",INDEX(SkiftNavn,L721))</f>
        <v/>
      </c>
      <c r="I721" s="30">
        <f>IF(OR(A721="",L721=""),"",IF(MOD(A721-INDEX(SkiftStart,L721),Syklus)&lt;DagK,"Kveld",IF(MOD(A721-INDEX(SkiftStart,L721),Syklus)&lt;DagK+DagH,"Helg",IF(MOD(A721-INDEX(SkiftStart,L721),Syklus)&lt;DagK+DagH+DagD,"Dag","Fri"))))</f>
        <v/>
      </c>
      <c r="J721" s="30">
        <f>IF(I721="Fri","Ja","")</f>
        <v/>
      </c>
      <c r="K721" s="30">
        <f>IF(B721="","",IF(L721="","Ukjent tekniker",IF(ISNA(MATCH(C721,Aktiviteter,0)),"Ukjent aktivitet",IF(AND(INDEX(AktRolle,MATCH(C721,Aktiviteter,0))&amp;""&lt;&gt;"",ISERROR(SEARCH(INDEX(AktRolle,MATCH(C721,Aktiviteter,0))&amp;"",INDEX(TekRoller,MATCH(B721,Teknikere,0))))),"Mangler rollen "&amp;INDEX(AktRolle,MATCH(C721,Aktiviteter,0))&amp;"",IF(AND(C721="LMS",F721&gt;0,OR(D721="",E721="")),"Mangler maskin eller arbeid",IF(AND(OR(C721="LMS",C721="Mod"),D721&lt;&gt;""),IF(IFERROR(INDEX(MaskinStatus,MATCH(D721,Maskiner,0)),"")="I dokk","","Maskinen er ikke i dokk"),""))))))</f>
        <v/>
      </c>
      <c r="L721" s="2">
        <f>IF(B721="","",IFERROR(INT((MATCH(B721,Teknikere,0)-1)/18)+1,""))</f>
        <v/>
      </c>
      <c r="M721" s="2">
        <f>IF(OR(A721="",B721=""),"",B721&amp;"|"&amp;A721)</f>
        <v/>
      </c>
      <c r="N721" s="2">
        <f>IF(M721="","",SUMIFS(TF_Timer,TF_Nokkel,M721,TF_Akt,C721))</f>
        <v/>
      </c>
      <c r="O721" s="2">
        <f>IF(M721="","",IF(AND(N721=_xlfn.MAXIFS(TF_AktSum,TF_Nokkel,M721),COUNTIFS(M$3:M720,M721,N$3:N720,N721)=0),M721,""))</f>
        <v/>
      </c>
    </row>
    <row r="722">
      <c r="A722" s="34" t="n"/>
      <c r="B722" s="35" t="n"/>
      <c r="C722" s="35" t="n"/>
      <c r="D722" s="35" t="n"/>
      <c r="E722" s="35" t="n"/>
      <c r="F722" s="36" t="n"/>
      <c r="G722" s="35" t="n"/>
      <c r="H722" s="30">
        <f>IF(L722="","",INDEX(SkiftNavn,L722))</f>
        <v/>
      </c>
      <c r="I722" s="30">
        <f>IF(OR(A722="",L722=""),"",IF(MOD(A722-INDEX(SkiftStart,L722),Syklus)&lt;DagK,"Kveld",IF(MOD(A722-INDEX(SkiftStart,L722),Syklus)&lt;DagK+DagH,"Helg",IF(MOD(A722-INDEX(SkiftStart,L722),Syklus)&lt;DagK+DagH+DagD,"Dag","Fri"))))</f>
        <v/>
      </c>
      <c r="J722" s="30">
        <f>IF(I722="Fri","Ja","")</f>
        <v/>
      </c>
      <c r="K722" s="30">
        <f>IF(B722="","",IF(L722="","Ukjent tekniker",IF(ISNA(MATCH(C722,Aktiviteter,0)),"Ukjent aktivitet",IF(AND(INDEX(AktRolle,MATCH(C722,Aktiviteter,0))&amp;""&lt;&gt;"",ISERROR(SEARCH(INDEX(AktRolle,MATCH(C722,Aktiviteter,0))&amp;"",INDEX(TekRoller,MATCH(B722,Teknikere,0))))),"Mangler rollen "&amp;INDEX(AktRolle,MATCH(C722,Aktiviteter,0))&amp;"",IF(AND(C722="LMS",F722&gt;0,OR(D722="",E722="")),"Mangler maskin eller arbeid",IF(AND(OR(C722="LMS",C722="Mod"),D722&lt;&gt;""),IF(IFERROR(INDEX(MaskinStatus,MATCH(D722,Maskiner,0)),"")="I dokk","","Maskinen er ikke i dokk"),""))))))</f>
        <v/>
      </c>
      <c r="L722" s="2">
        <f>IF(B722="","",IFERROR(INT((MATCH(B722,Teknikere,0)-1)/18)+1,""))</f>
        <v/>
      </c>
      <c r="M722" s="2">
        <f>IF(OR(A722="",B722=""),"",B722&amp;"|"&amp;A722)</f>
        <v/>
      </c>
      <c r="N722" s="2">
        <f>IF(M722="","",SUMIFS(TF_Timer,TF_Nokkel,M722,TF_Akt,C722))</f>
        <v/>
      </c>
      <c r="O722" s="2">
        <f>IF(M722="","",IF(AND(N722=_xlfn.MAXIFS(TF_AktSum,TF_Nokkel,M722),COUNTIFS(M$3:M721,M722,N$3:N721,N722)=0),M722,""))</f>
        <v/>
      </c>
    </row>
    <row r="723">
      <c r="A723" s="34" t="n"/>
      <c r="B723" s="35" t="n"/>
      <c r="C723" s="35" t="n"/>
      <c r="D723" s="35" t="n"/>
      <c r="E723" s="35" t="n"/>
      <c r="F723" s="36" t="n"/>
      <c r="G723" s="35" t="n"/>
      <c r="H723" s="30">
        <f>IF(L723="","",INDEX(SkiftNavn,L723))</f>
        <v/>
      </c>
      <c r="I723" s="30">
        <f>IF(OR(A723="",L723=""),"",IF(MOD(A723-INDEX(SkiftStart,L723),Syklus)&lt;DagK,"Kveld",IF(MOD(A723-INDEX(SkiftStart,L723),Syklus)&lt;DagK+DagH,"Helg",IF(MOD(A723-INDEX(SkiftStart,L723),Syklus)&lt;DagK+DagH+DagD,"Dag","Fri"))))</f>
        <v/>
      </c>
      <c r="J723" s="30">
        <f>IF(I723="Fri","Ja","")</f>
        <v/>
      </c>
      <c r="K723" s="30">
        <f>IF(B723="","",IF(L723="","Ukjent tekniker",IF(ISNA(MATCH(C723,Aktiviteter,0)),"Ukjent aktivitet",IF(AND(INDEX(AktRolle,MATCH(C723,Aktiviteter,0))&amp;""&lt;&gt;"",ISERROR(SEARCH(INDEX(AktRolle,MATCH(C723,Aktiviteter,0))&amp;"",INDEX(TekRoller,MATCH(B723,Teknikere,0))))),"Mangler rollen "&amp;INDEX(AktRolle,MATCH(C723,Aktiviteter,0))&amp;"",IF(AND(C723="LMS",F723&gt;0,OR(D723="",E723="")),"Mangler maskin eller arbeid",IF(AND(OR(C723="LMS",C723="Mod"),D723&lt;&gt;""),IF(IFERROR(INDEX(MaskinStatus,MATCH(D723,Maskiner,0)),"")="I dokk","","Maskinen er ikke i dokk"),""))))))</f>
        <v/>
      </c>
      <c r="L723" s="2">
        <f>IF(B723="","",IFERROR(INT((MATCH(B723,Teknikere,0)-1)/18)+1,""))</f>
        <v/>
      </c>
      <c r="M723" s="2">
        <f>IF(OR(A723="",B723=""),"",B723&amp;"|"&amp;A723)</f>
        <v/>
      </c>
      <c r="N723" s="2">
        <f>IF(M723="","",SUMIFS(TF_Timer,TF_Nokkel,M723,TF_Akt,C723))</f>
        <v/>
      </c>
      <c r="O723" s="2">
        <f>IF(M723="","",IF(AND(N723=_xlfn.MAXIFS(TF_AktSum,TF_Nokkel,M723),COUNTIFS(M$3:M722,M723,N$3:N722,N723)=0),M723,""))</f>
        <v/>
      </c>
    </row>
    <row r="724">
      <c r="A724" s="34" t="n"/>
      <c r="B724" s="35" t="n"/>
      <c r="C724" s="35" t="n"/>
      <c r="D724" s="35" t="n"/>
      <c r="E724" s="35" t="n"/>
      <c r="F724" s="36" t="n"/>
      <c r="G724" s="35" t="n"/>
      <c r="H724" s="30">
        <f>IF(L724="","",INDEX(SkiftNavn,L724))</f>
        <v/>
      </c>
      <c r="I724" s="30">
        <f>IF(OR(A724="",L724=""),"",IF(MOD(A724-INDEX(SkiftStart,L724),Syklus)&lt;DagK,"Kveld",IF(MOD(A724-INDEX(SkiftStart,L724),Syklus)&lt;DagK+DagH,"Helg",IF(MOD(A724-INDEX(SkiftStart,L724),Syklus)&lt;DagK+DagH+DagD,"Dag","Fri"))))</f>
        <v/>
      </c>
      <c r="J724" s="30">
        <f>IF(I724="Fri","Ja","")</f>
        <v/>
      </c>
      <c r="K724" s="30">
        <f>IF(B724="","",IF(L724="","Ukjent tekniker",IF(ISNA(MATCH(C724,Aktiviteter,0)),"Ukjent aktivitet",IF(AND(INDEX(AktRolle,MATCH(C724,Aktiviteter,0))&amp;""&lt;&gt;"",ISERROR(SEARCH(INDEX(AktRolle,MATCH(C724,Aktiviteter,0))&amp;"",INDEX(TekRoller,MATCH(B724,Teknikere,0))))),"Mangler rollen "&amp;INDEX(AktRolle,MATCH(C724,Aktiviteter,0))&amp;"",IF(AND(C724="LMS",F724&gt;0,OR(D724="",E724="")),"Mangler maskin eller arbeid",IF(AND(OR(C724="LMS",C724="Mod"),D724&lt;&gt;""),IF(IFERROR(INDEX(MaskinStatus,MATCH(D724,Maskiner,0)),"")="I dokk","","Maskinen er ikke i dokk"),""))))))</f>
        <v/>
      </c>
      <c r="L724" s="2">
        <f>IF(B724="","",IFERROR(INT((MATCH(B724,Teknikere,0)-1)/18)+1,""))</f>
        <v/>
      </c>
      <c r="M724" s="2">
        <f>IF(OR(A724="",B724=""),"",B724&amp;"|"&amp;A724)</f>
        <v/>
      </c>
      <c r="N724" s="2">
        <f>IF(M724="","",SUMIFS(TF_Timer,TF_Nokkel,M724,TF_Akt,C724))</f>
        <v/>
      </c>
      <c r="O724" s="2">
        <f>IF(M724="","",IF(AND(N724=_xlfn.MAXIFS(TF_AktSum,TF_Nokkel,M724),COUNTIFS(M$3:M723,M724,N$3:N723,N724)=0),M724,""))</f>
        <v/>
      </c>
    </row>
    <row r="725">
      <c r="A725" s="34" t="n"/>
      <c r="B725" s="35" t="n"/>
      <c r="C725" s="35" t="n"/>
      <c r="D725" s="35" t="n"/>
      <c r="E725" s="35" t="n"/>
      <c r="F725" s="36" t="n"/>
      <c r="G725" s="35" t="n"/>
      <c r="H725" s="30">
        <f>IF(L725="","",INDEX(SkiftNavn,L725))</f>
        <v/>
      </c>
      <c r="I725" s="30">
        <f>IF(OR(A725="",L725=""),"",IF(MOD(A725-INDEX(SkiftStart,L725),Syklus)&lt;DagK,"Kveld",IF(MOD(A725-INDEX(SkiftStart,L725),Syklus)&lt;DagK+DagH,"Helg",IF(MOD(A725-INDEX(SkiftStart,L725),Syklus)&lt;DagK+DagH+DagD,"Dag","Fri"))))</f>
        <v/>
      </c>
      <c r="J725" s="30">
        <f>IF(I725="Fri","Ja","")</f>
        <v/>
      </c>
      <c r="K725" s="30">
        <f>IF(B725="","",IF(L725="","Ukjent tekniker",IF(ISNA(MATCH(C725,Aktiviteter,0)),"Ukjent aktivitet",IF(AND(INDEX(AktRolle,MATCH(C725,Aktiviteter,0))&amp;""&lt;&gt;"",ISERROR(SEARCH(INDEX(AktRolle,MATCH(C725,Aktiviteter,0))&amp;"",INDEX(TekRoller,MATCH(B725,Teknikere,0))))),"Mangler rollen "&amp;INDEX(AktRolle,MATCH(C725,Aktiviteter,0))&amp;"",IF(AND(C725="LMS",F725&gt;0,OR(D725="",E725="")),"Mangler maskin eller arbeid",IF(AND(OR(C725="LMS",C725="Mod"),D725&lt;&gt;""),IF(IFERROR(INDEX(MaskinStatus,MATCH(D725,Maskiner,0)),"")="I dokk","","Maskinen er ikke i dokk"),""))))))</f>
        <v/>
      </c>
      <c r="L725" s="2">
        <f>IF(B725="","",IFERROR(INT((MATCH(B725,Teknikere,0)-1)/18)+1,""))</f>
        <v/>
      </c>
      <c r="M725" s="2">
        <f>IF(OR(A725="",B725=""),"",B725&amp;"|"&amp;A725)</f>
        <v/>
      </c>
      <c r="N725" s="2">
        <f>IF(M725="","",SUMIFS(TF_Timer,TF_Nokkel,M725,TF_Akt,C725))</f>
        <v/>
      </c>
      <c r="O725" s="2">
        <f>IF(M725="","",IF(AND(N725=_xlfn.MAXIFS(TF_AktSum,TF_Nokkel,M725),COUNTIFS(M$3:M724,M725,N$3:N724,N725)=0),M725,""))</f>
        <v/>
      </c>
    </row>
    <row r="726">
      <c r="A726" s="34" t="n"/>
      <c r="B726" s="35" t="n"/>
      <c r="C726" s="35" t="n"/>
      <c r="D726" s="35" t="n"/>
      <c r="E726" s="35" t="n"/>
      <c r="F726" s="36" t="n"/>
      <c r="G726" s="35" t="n"/>
      <c r="H726" s="30">
        <f>IF(L726="","",INDEX(SkiftNavn,L726))</f>
        <v/>
      </c>
      <c r="I726" s="30">
        <f>IF(OR(A726="",L726=""),"",IF(MOD(A726-INDEX(SkiftStart,L726),Syklus)&lt;DagK,"Kveld",IF(MOD(A726-INDEX(SkiftStart,L726),Syklus)&lt;DagK+DagH,"Helg",IF(MOD(A726-INDEX(SkiftStart,L726),Syklus)&lt;DagK+DagH+DagD,"Dag","Fri"))))</f>
        <v/>
      </c>
      <c r="J726" s="30">
        <f>IF(I726="Fri","Ja","")</f>
        <v/>
      </c>
      <c r="K726" s="30">
        <f>IF(B726="","",IF(L726="","Ukjent tekniker",IF(ISNA(MATCH(C726,Aktiviteter,0)),"Ukjent aktivitet",IF(AND(INDEX(AktRolle,MATCH(C726,Aktiviteter,0))&amp;""&lt;&gt;"",ISERROR(SEARCH(INDEX(AktRolle,MATCH(C726,Aktiviteter,0))&amp;"",INDEX(TekRoller,MATCH(B726,Teknikere,0))))),"Mangler rollen "&amp;INDEX(AktRolle,MATCH(C726,Aktiviteter,0))&amp;"",IF(AND(C726="LMS",F726&gt;0,OR(D726="",E726="")),"Mangler maskin eller arbeid",IF(AND(OR(C726="LMS",C726="Mod"),D726&lt;&gt;""),IF(IFERROR(INDEX(MaskinStatus,MATCH(D726,Maskiner,0)),"")="I dokk","","Maskinen er ikke i dokk"),""))))))</f>
        <v/>
      </c>
      <c r="L726" s="2">
        <f>IF(B726="","",IFERROR(INT((MATCH(B726,Teknikere,0)-1)/18)+1,""))</f>
        <v/>
      </c>
      <c r="M726" s="2">
        <f>IF(OR(A726="",B726=""),"",B726&amp;"|"&amp;A726)</f>
        <v/>
      </c>
      <c r="N726" s="2">
        <f>IF(M726="","",SUMIFS(TF_Timer,TF_Nokkel,M726,TF_Akt,C726))</f>
        <v/>
      </c>
      <c r="O726" s="2">
        <f>IF(M726="","",IF(AND(N726=_xlfn.MAXIFS(TF_AktSum,TF_Nokkel,M726),COUNTIFS(M$3:M725,M726,N$3:N725,N726)=0),M726,""))</f>
        <v/>
      </c>
    </row>
    <row r="727">
      <c r="A727" s="34" t="n"/>
      <c r="B727" s="35" t="n"/>
      <c r="C727" s="35" t="n"/>
      <c r="D727" s="35" t="n"/>
      <c r="E727" s="35" t="n"/>
      <c r="F727" s="36" t="n"/>
      <c r="G727" s="35" t="n"/>
      <c r="H727" s="30">
        <f>IF(L727="","",INDEX(SkiftNavn,L727))</f>
        <v/>
      </c>
      <c r="I727" s="30">
        <f>IF(OR(A727="",L727=""),"",IF(MOD(A727-INDEX(SkiftStart,L727),Syklus)&lt;DagK,"Kveld",IF(MOD(A727-INDEX(SkiftStart,L727),Syklus)&lt;DagK+DagH,"Helg",IF(MOD(A727-INDEX(SkiftStart,L727),Syklus)&lt;DagK+DagH+DagD,"Dag","Fri"))))</f>
        <v/>
      </c>
      <c r="J727" s="30">
        <f>IF(I727="Fri","Ja","")</f>
        <v/>
      </c>
      <c r="K727" s="30">
        <f>IF(B727="","",IF(L727="","Ukjent tekniker",IF(ISNA(MATCH(C727,Aktiviteter,0)),"Ukjent aktivitet",IF(AND(INDEX(AktRolle,MATCH(C727,Aktiviteter,0))&amp;""&lt;&gt;"",ISERROR(SEARCH(INDEX(AktRolle,MATCH(C727,Aktiviteter,0))&amp;"",INDEX(TekRoller,MATCH(B727,Teknikere,0))))),"Mangler rollen "&amp;INDEX(AktRolle,MATCH(C727,Aktiviteter,0))&amp;"",IF(AND(C727="LMS",F727&gt;0,OR(D727="",E727="")),"Mangler maskin eller arbeid",IF(AND(OR(C727="LMS",C727="Mod"),D727&lt;&gt;""),IF(IFERROR(INDEX(MaskinStatus,MATCH(D727,Maskiner,0)),"")="I dokk","","Maskinen er ikke i dokk"),""))))))</f>
        <v/>
      </c>
      <c r="L727" s="2">
        <f>IF(B727="","",IFERROR(INT((MATCH(B727,Teknikere,0)-1)/18)+1,""))</f>
        <v/>
      </c>
      <c r="M727" s="2">
        <f>IF(OR(A727="",B727=""),"",B727&amp;"|"&amp;A727)</f>
        <v/>
      </c>
      <c r="N727" s="2">
        <f>IF(M727="","",SUMIFS(TF_Timer,TF_Nokkel,M727,TF_Akt,C727))</f>
        <v/>
      </c>
      <c r="O727" s="2">
        <f>IF(M727="","",IF(AND(N727=_xlfn.MAXIFS(TF_AktSum,TF_Nokkel,M727),COUNTIFS(M$3:M726,M727,N$3:N726,N727)=0),M727,""))</f>
        <v/>
      </c>
    </row>
    <row r="728">
      <c r="A728" s="34" t="n"/>
      <c r="B728" s="35" t="n"/>
      <c r="C728" s="35" t="n"/>
      <c r="D728" s="35" t="n"/>
      <c r="E728" s="35" t="n"/>
      <c r="F728" s="36" t="n"/>
      <c r="G728" s="35" t="n"/>
      <c r="H728" s="30">
        <f>IF(L728="","",INDEX(SkiftNavn,L728))</f>
        <v/>
      </c>
      <c r="I728" s="30">
        <f>IF(OR(A728="",L728=""),"",IF(MOD(A728-INDEX(SkiftStart,L728),Syklus)&lt;DagK,"Kveld",IF(MOD(A728-INDEX(SkiftStart,L728),Syklus)&lt;DagK+DagH,"Helg",IF(MOD(A728-INDEX(SkiftStart,L728),Syklus)&lt;DagK+DagH+DagD,"Dag","Fri"))))</f>
        <v/>
      </c>
      <c r="J728" s="30">
        <f>IF(I728="Fri","Ja","")</f>
        <v/>
      </c>
      <c r="K728" s="30">
        <f>IF(B728="","",IF(L728="","Ukjent tekniker",IF(ISNA(MATCH(C728,Aktiviteter,0)),"Ukjent aktivitet",IF(AND(INDEX(AktRolle,MATCH(C728,Aktiviteter,0))&amp;""&lt;&gt;"",ISERROR(SEARCH(INDEX(AktRolle,MATCH(C728,Aktiviteter,0))&amp;"",INDEX(TekRoller,MATCH(B728,Teknikere,0))))),"Mangler rollen "&amp;INDEX(AktRolle,MATCH(C728,Aktiviteter,0))&amp;"",IF(AND(C728="LMS",F728&gt;0,OR(D728="",E728="")),"Mangler maskin eller arbeid",IF(AND(OR(C728="LMS",C728="Mod"),D728&lt;&gt;""),IF(IFERROR(INDEX(MaskinStatus,MATCH(D728,Maskiner,0)),"")="I dokk","","Maskinen er ikke i dokk"),""))))))</f>
        <v/>
      </c>
      <c r="L728" s="2">
        <f>IF(B728="","",IFERROR(INT((MATCH(B728,Teknikere,0)-1)/18)+1,""))</f>
        <v/>
      </c>
      <c r="M728" s="2">
        <f>IF(OR(A728="",B728=""),"",B728&amp;"|"&amp;A728)</f>
        <v/>
      </c>
      <c r="N728" s="2">
        <f>IF(M728="","",SUMIFS(TF_Timer,TF_Nokkel,M728,TF_Akt,C728))</f>
        <v/>
      </c>
      <c r="O728" s="2">
        <f>IF(M728="","",IF(AND(N728=_xlfn.MAXIFS(TF_AktSum,TF_Nokkel,M728),COUNTIFS(M$3:M727,M728,N$3:N727,N728)=0),M728,""))</f>
        <v/>
      </c>
    </row>
    <row r="729">
      <c r="A729" s="34" t="n"/>
      <c r="B729" s="35" t="n"/>
      <c r="C729" s="35" t="n"/>
      <c r="D729" s="35" t="n"/>
      <c r="E729" s="35" t="n"/>
      <c r="F729" s="36" t="n"/>
      <c r="G729" s="35" t="n"/>
      <c r="H729" s="30">
        <f>IF(L729="","",INDEX(SkiftNavn,L729))</f>
        <v/>
      </c>
      <c r="I729" s="30">
        <f>IF(OR(A729="",L729=""),"",IF(MOD(A729-INDEX(SkiftStart,L729),Syklus)&lt;DagK,"Kveld",IF(MOD(A729-INDEX(SkiftStart,L729),Syklus)&lt;DagK+DagH,"Helg",IF(MOD(A729-INDEX(SkiftStart,L729),Syklus)&lt;DagK+DagH+DagD,"Dag","Fri"))))</f>
        <v/>
      </c>
      <c r="J729" s="30">
        <f>IF(I729="Fri","Ja","")</f>
        <v/>
      </c>
      <c r="K729" s="30">
        <f>IF(B729="","",IF(L729="","Ukjent tekniker",IF(ISNA(MATCH(C729,Aktiviteter,0)),"Ukjent aktivitet",IF(AND(INDEX(AktRolle,MATCH(C729,Aktiviteter,0))&amp;""&lt;&gt;"",ISERROR(SEARCH(INDEX(AktRolle,MATCH(C729,Aktiviteter,0))&amp;"",INDEX(TekRoller,MATCH(B729,Teknikere,0))))),"Mangler rollen "&amp;INDEX(AktRolle,MATCH(C729,Aktiviteter,0))&amp;"",IF(AND(C729="LMS",F729&gt;0,OR(D729="",E729="")),"Mangler maskin eller arbeid",IF(AND(OR(C729="LMS",C729="Mod"),D729&lt;&gt;""),IF(IFERROR(INDEX(MaskinStatus,MATCH(D729,Maskiner,0)),"")="I dokk","","Maskinen er ikke i dokk"),""))))))</f>
        <v/>
      </c>
      <c r="L729" s="2">
        <f>IF(B729="","",IFERROR(INT((MATCH(B729,Teknikere,0)-1)/18)+1,""))</f>
        <v/>
      </c>
      <c r="M729" s="2">
        <f>IF(OR(A729="",B729=""),"",B729&amp;"|"&amp;A729)</f>
        <v/>
      </c>
      <c r="N729" s="2">
        <f>IF(M729="","",SUMIFS(TF_Timer,TF_Nokkel,M729,TF_Akt,C729))</f>
        <v/>
      </c>
      <c r="O729" s="2">
        <f>IF(M729="","",IF(AND(N729=_xlfn.MAXIFS(TF_AktSum,TF_Nokkel,M729),COUNTIFS(M$3:M728,M729,N$3:N728,N729)=0),M729,""))</f>
        <v/>
      </c>
    </row>
    <row r="730">
      <c r="A730" s="34" t="n"/>
      <c r="B730" s="35" t="n"/>
      <c r="C730" s="35" t="n"/>
      <c r="D730" s="35" t="n"/>
      <c r="E730" s="35" t="n"/>
      <c r="F730" s="36" t="n"/>
      <c r="G730" s="35" t="n"/>
      <c r="H730" s="30">
        <f>IF(L730="","",INDEX(SkiftNavn,L730))</f>
        <v/>
      </c>
      <c r="I730" s="30">
        <f>IF(OR(A730="",L730=""),"",IF(MOD(A730-INDEX(SkiftStart,L730),Syklus)&lt;DagK,"Kveld",IF(MOD(A730-INDEX(SkiftStart,L730),Syklus)&lt;DagK+DagH,"Helg",IF(MOD(A730-INDEX(SkiftStart,L730),Syklus)&lt;DagK+DagH+DagD,"Dag","Fri"))))</f>
        <v/>
      </c>
      <c r="J730" s="30">
        <f>IF(I730="Fri","Ja","")</f>
        <v/>
      </c>
      <c r="K730" s="30">
        <f>IF(B730="","",IF(L730="","Ukjent tekniker",IF(ISNA(MATCH(C730,Aktiviteter,0)),"Ukjent aktivitet",IF(AND(INDEX(AktRolle,MATCH(C730,Aktiviteter,0))&amp;""&lt;&gt;"",ISERROR(SEARCH(INDEX(AktRolle,MATCH(C730,Aktiviteter,0))&amp;"",INDEX(TekRoller,MATCH(B730,Teknikere,0))))),"Mangler rollen "&amp;INDEX(AktRolle,MATCH(C730,Aktiviteter,0))&amp;"",IF(AND(C730="LMS",F730&gt;0,OR(D730="",E730="")),"Mangler maskin eller arbeid",IF(AND(OR(C730="LMS",C730="Mod"),D730&lt;&gt;""),IF(IFERROR(INDEX(MaskinStatus,MATCH(D730,Maskiner,0)),"")="I dokk","","Maskinen er ikke i dokk"),""))))))</f>
        <v/>
      </c>
      <c r="L730" s="2">
        <f>IF(B730="","",IFERROR(INT((MATCH(B730,Teknikere,0)-1)/18)+1,""))</f>
        <v/>
      </c>
      <c r="M730" s="2">
        <f>IF(OR(A730="",B730=""),"",B730&amp;"|"&amp;A730)</f>
        <v/>
      </c>
      <c r="N730" s="2">
        <f>IF(M730="","",SUMIFS(TF_Timer,TF_Nokkel,M730,TF_Akt,C730))</f>
        <v/>
      </c>
      <c r="O730" s="2">
        <f>IF(M730="","",IF(AND(N730=_xlfn.MAXIFS(TF_AktSum,TF_Nokkel,M730),COUNTIFS(M$3:M729,M730,N$3:N729,N730)=0),M730,""))</f>
        <v/>
      </c>
    </row>
    <row r="731">
      <c r="A731" s="34" t="n"/>
      <c r="B731" s="35" t="n"/>
      <c r="C731" s="35" t="n"/>
      <c r="D731" s="35" t="n"/>
      <c r="E731" s="35" t="n"/>
      <c r="F731" s="36" t="n"/>
      <c r="G731" s="35" t="n"/>
      <c r="H731" s="30">
        <f>IF(L731="","",INDEX(SkiftNavn,L731))</f>
        <v/>
      </c>
      <c r="I731" s="30">
        <f>IF(OR(A731="",L731=""),"",IF(MOD(A731-INDEX(SkiftStart,L731),Syklus)&lt;DagK,"Kveld",IF(MOD(A731-INDEX(SkiftStart,L731),Syklus)&lt;DagK+DagH,"Helg",IF(MOD(A731-INDEX(SkiftStart,L731),Syklus)&lt;DagK+DagH+DagD,"Dag","Fri"))))</f>
        <v/>
      </c>
      <c r="J731" s="30">
        <f>IF(I731="Fri","Ja","")</f>
        <v/>
      </c>
      <c r="K731" s="30">
        <f>IF(B731="","",IF(L731="","Ukjent tekniker",IF(ISNA(MATCH(C731,Aktiviteter,0)),"Ukjent aktivitet",IF(AND(INDEX(AktRolle,MATCH(C731,Aktiviteter,0))&amp;""&lt;&gt;"",ISERROR(SEARCH(INDEX(AktRolle,MATCH(C731,Aktiviteter,0))&amp;"",INDEX(TekRoller,MATCH(B731,Teknikere,0))))),"Mangler rollen "&amp;INDEX(AktRolle,MATCH(C731,Aktiviteter,0))&amp;"",IF(AND(C731="LMS",F731&gt;0,OR(D731="",E731="")),"Mangler maskin eller arbeid",IF(AND(OR(C731="LMS",C731="Mod"),D731&lt;&gt;""),IF(IFERROR(INDEX(MaskinStatus,MATCH(D731,Maskiner,0)),"")="I dokk","","Maskinen er ikke i dokk"),""))))))</f>
        <v/>
      </c>
      <c r="L731" s="2">
        <f>IF(B731="","",IFERROR(INT((MATCH(B731,Teknikere,0)-1)/18)+1,""))</f>
        <v/>
      </c>
      <c r="M731" s="2">
        <f>IF(OR(A731="",B731=""),"",B731&amp;"|"&amp;A731)</f>
        <v/>
      </c>
      <c r="N731" s="2">
        <f>IF(M731="","",SUMIFS(TF_Timer,TF_Nokkel,M731,TF_Akt,C731))</f>
        <v/>
      </c>
      <c r="O731" s="2">
        <f>IF(M731="","",IF(AND(N731=_xlfn.MAXIFS(TF_AktSum,TF_Nokkel,M731),COUNTIFS(M$3:M730,M731,N$3:N730,N731)=0),M731,""))</f>
        <v/>
      </c>
    </row>
    <row r="732">
      <c r="A732" s="34" t="n"/>
      <c r="B732" s="35" t="n"/>
      <c r="C732" s="35" t="n"/>
      <c r="D732" s="35" t="n"/>
      <c r="E732" s="35" t="n"/>
      <c r="F732" s="36" t="n"/>
      <c r="G732" s="35" t="n"/>
      <c r="H732" s="30">
        <f>IF(L732="","",INDEX(SkiftNavn,L732))</f>
        <v/>
      </c>
      <c r="I732" s="30">
        <f>IF(OR(A732="",L732=""),"",IF(MOD(A732-INDEX(SkiftStart,L732),Syklus)&lt;DagK,"Kveld",IF(MOD(A732-INDEX(SkiftStart,L732),Syklus)&lt;DagK+DagH,"Helg",IF(MOD(A732-INDEX(SkiftStart,L732),Syklus)&lt;DagK+DagH+DagD,"Dag","Fri"))))</f>
        <v/>
      </c>
      <c r="J732" s="30">
        <f>IF(I732="Fri","Ja","")</f>
        <v/>
      </c>
      <c r="K732" s="30">
        <f>IF(B732="","",IF(L732="","Ukjent tekniker",IF(ISNA(MATCH(C732,Aktiviteter,0)),"Ukjent aktivitet",IF(AND(INDEX(AktRolle,MATCH(C732,Aktiviteter,0))&amp;""&lt;&gt;"",ISERROR(SEARCH(INDEX(AktRolle,MATCH(C732,Aktiviteter,0))&amp;"",INDEX(TekRoller,MATCH(B732,Teknikere,0))))),"Mangler rollen "&amp;INDEX(AktRolle,MATCH(C732,Aktiviteter,0))&amp;"",IF(AND(C732="LMS",F732&gt;0,OR(D732="",E732="")),"Mangler maskin eller arbeid",IF(AND(OR(C732="LMS",C732="Mod"),D732&lt;&gt;""),IF(IFERROR(INDEX(MaskinStatus,MATCH(D732,Maskiner,0)),"")="I dokk","","Maskinen er ikke i dokk"),""))))))</f>
        <v/>
      </c>
      <c r="L732" s="2">
        <f>IF(B732="","",IFERROR(INT((MATCH(B732,Teknikere,0)-1)/18)+1,""))</f>
        <v/>
      </c>
      <c r="M732" s="2">
        <f>IF(OR(A732="",B732=""),"",B732&amp;"|"&amp;A732)</f>
        <v/>
      </c>
      <c r="N732" s="2">
        <f>IF(M732="","",SUMIFS(TF_Timer,TF_Nokkel,M732,TF_Akt,C732))</f>
        <v/>
      </c>
      <c r="O732" s="2">
        <f>IF(M732="","",IF(AND(N732=_xlfn.MAXIFS(TF_AktSum,TF_Nokkel,M732),COUNTIFS(M$3:M731,M732,N$3:N731,N732)=0),M732,""))</f>
        <v/>
      </c>
    </row>
    <row r="733">
      <c r="A733" s="34" t="n"/>
      <c r="B733" s="35" t="n"/>
      <c r="C733" s="35" t="n"/>
      <c r="D733" s="35" t="n"/>
      <c r="E733" s="35" t="n"/>
      <c r="F733" s="36" t="n"/>
      <c r="G733" s="35" t="n"/>
      <c r="H733" s="30">
        <f>IF(L733="","",INDEX(SkiftNavn,L733))</f>
        <v/>
      </c>
      <c r="I733" s="30">
        <f>IF(OR(A733="",L733=""),"",IF(MOD(A733-INDEX(SkiftStart,L733),Syklus)&lt;DagK,"Kveld",IF(MOD(A733-INDEX(SkiftStart,L733),Syklus)&lt;DagK+DagH,"Helg",IF(MOD(A733-INDEX(SkiftStart,L733),Syklus)&lt;DagK+DagH+DagD,"Dag","Fri"))))</f>
        <v/>
      </c>
      <c r="J733" s="30">
        <f>IF(I733="Fri","Ja","")</f>
        <v/>
      </c>
      <c r="K733" s="30">
        <f>IF(B733="","",IF(L733="","Ukjent tekniker",IF(ISNA(MATCH(C733,Aktiviteter,0)),"Ukjent aktivitet",IF(AND(INDEX(AktRolle,MATCH(C733,Aktiviteter,0))&amp;""&lt;&gt;"",ISERROR(SEARCH(INDEX(AktRolle,MATCH(C733,Aktiviteter,0))&amp;"",INDEX(TekRoller,MATCH(B733,Teknikere,0))))),"Mangler rollen "&amp;INDEX(AktRolle,MATCH(C733,Aktiviteter,0))&amp;"",IF(AND(C733="LMS",F733&gt;0,OR(D733="",E733="")),"Mangler maskin eller arbeid",IF(AND(OR(C733="LMS",C733="Mod"),D733&lt;&gt;""),IF(IFERROR(INDEX(MaskinStatus,MATCH(D733,Maskiner,0)),"")="I dokk","","Maskinen er ikke i dokk"),""))))))</f>
        <v/>
      </c>
      <c r="L733" s="2">
        <f>IF(B733="","",IFERROR(INT((MATCH(B733,Teknikere,0)-1)/18)+1,""))</f>
        <v/>
      </c>
      <c r="M733" s="2">
        <f>IF(OR(A733="",B733=""),"",B733&amp;"|"&amp;A733)</f>
        <v/>
      </c>
      <c r="N733" s="2">
        <f>IF(M733="","",SUMIFS(TF_Timer,TF_Nokkel,M733,TF_Akt,C733))</f>
        <v/>
      </c>
      <c r="O733" s="2">
        <f>IF(M733="","",IF(AND(N733=_xlfn.MAXIFS(TF_AktSum,TF_Nokkel,M733),COUNTIFS(M$3:M732,M733,N$3:N732,N733)=0),M733,""))</f>
        <v/>
      </c>
    </row>
    <row r="734">
      <c r="A734" s="34" t="n"/>
      <c r="B734" s="35" t="n"/>
      <c r="C734" s="35" t="n"/>
      <c r="D734" s="35" t="n"/>
      <c r="E734" s="35" t="n"/>
      <c r="F734" s="36" t="n"/>
      <c r="G734" s="35" t="n"/>
      <c r="H734" s="30">
        <f>IF(L734="","",INDEX(SkiftNavn,L734))</f>
        <v/>
      </c>
      <c r="I734" s="30">
        <f>IF(OR(A734="",L734=""),"",IF(MOD(A734-INDEX(SkiftStart,L734),Syklus)&lt;DagK,"Kveld",IF(MOD(A734-INDEX(SkiftStart,L734),Syklus)&lt;DagK+DagH,"Helg",IF(MOD(A734-INDEX(SkiftStart,L734),Syklus)&lt;DagK+DagH+DagD,"Dag","Fri"))))</f>
        <v/>
      </c>
      <c r="J734" s="30">
        <f>IF(I734="Fri","Ja","")</f>
        <v/>
      </c>
      <c r="K734" s="30">
        <f>IF(B734="","",IF(L734="","Ukjent tekniker",IF(ISNA(MATCH(C734,Aktiviteter,0)),"Ukjent aktivitet",IF(AND(INDEX(AktRolle,MATCH(C734,Aktiviteter,0))&amp;""&lt;&gt;"",ISERROR(SEARCH(INDEX(AktRolle,MATCH(C734,Aktiviteter,0))&amp;"",INDEX(TekRoller,MATCH(B734,Teknikere,0))))),"Mangler rollen "&amp;INDEX(AktRolle,MATCH(C734,Aktiviteter,0))&amp;"",IF(AND(C734="LMS",F734&gt;0,OR(D734="",E734="")),"Mangler maskin eller arbeid",IF(AND(OR(C734="LMS",C734="Mod"),D734&lt;&gt;""),IF(IFERROR(INDEX(MaskinStatus,MATCH(D734,Maskiner,0)),"")="I dokk","","Maskinen er ikke i dokk"),""))))))</f>
        <v/>
      </c>
      <c r="L734" s="2">
        <f>IF(B734="","",IFERROR(INT((MATCH(B734,Teknikere,0)-1)/18)+1,""))</f>
        <v/>
      </c>
      <c r="M734" s="2">
        <f>IF(OR(A734="",B734=""),"",B734&amp;"|"&amp;A734)</f>
        <v/>
      </c>
      <c r="N734" s="2">
        <f>IF(M734="","",SUMIFS(TF_Timer,TF_Nokkel,M734,TF_Akt,C734))</f>
        <v/>
      </c>
      <c r="O734" s="2">
        <f>IF(M734="","",IF(AND(N734=_xlfn.MAXIFS(TF_AktSum,TF_Nokkel,M734),COUNTIFS(M$3:M733,M734,N$3:N733,N734)=0),M734,""))</f>
        <v/>
      </c>
    </row>
    <row r="735">
      <c r="A735" s="34" t="n"/>
      <c r="B735" s="35" t="n"/>
      <c r="C735" s="35" t="n"/>
      <c r="D735" s="35" t="n"/>
      <c r="E735" s="35" t="n"/>
      <c r="F735" s="36" t="n"/>
      <c r="G735" s="35" t="n"/>
      <c r="H735" s="30">
        <f>IF(L735="","",INDEX(SkiftNavn,L735))</f>
        <v/>
      </c>
      <c r="I735" s="30">
        <f>IF(OR(A735="",L735=""),"",IF(MOD(A735-INDEX(SkiftStart,L735),Syklus)&lt;DagK,"Kveld",IF(MOD(A735-INDEX(SkiftStart,L735),Syklus)&lt;DagK+DagH,"Helg",IF(MOD(A735-INDEX(SkiftStart,L735),Syklus)&lt;DagK+DagH+DagD,"Dag","Fri"))))</f>
        <v/>
      </c>
      <c r="J735" s="30">
        <f>IF(I735="Fri","Ja","")</f>
        <v/>
      </c>
      <c r="K735" s="30">
        <f>IF(B735="","",IF(L735="","Ukjent tekniker",IF(ISNA(MATCH(C735,Aktiviteter,0)),"Ukjent aktivitet",IF(AND(INDEX(AktRolle,MATCH(C735,Aktiviteter,0))&amp;""&lt;&gt;"",ISERROR(SEARCH(INDEX(AktRolle,MATCH(C735,Aktiviteter,0))&amp;"",INDEX(TekRoller,MATCH(B735,Teknikere,0))))),"Mangler rollen "&amp;INDEX(AktRolle,MATCH(C735,Aktiviteter,0))&amp;"",IF(AND(C735="LMS",F735&gt;0,OR(D735="",E735="")),"Mangler maskin eller arbeid",IF(AND(OR(C735="LMS",C735="Mod"),D735&lt;&gt;""),IF(IFERROR(INDEX(MaskinStatus,MATCH(D735,Maskiner,0)),"")="I dokk","","Maskinen er ikke i dokk"),""))))))</f>
        <v/>
      </c>
      <c r="L735" s="2">
        <f>IF(B735="","",IFERROR(INT((MATCH(B735,Teknikere,0)-1)/18)+1,""))</f>
        <v/>
      </c>
      <c r="M735" s="2">
        <f>IF(OR(A735="",B735=""),"",B735&amp;"|"&amp;A735)</f>
        <v/>
      </c>
      <c r="N735" s="2">
        <f>IF(M735="","",SUMIFS(TF_Timer,TF_Nokkel,M735,TF_Akt,C735))</f>
        <v/>
      </c>
      <c r="O735" s="2">
        <f>IF(M735="","",IF(AND(N735=_xlfn.MAXIFS(TF_AktSum,TF_Nokkel,M735),COUNTIFS(M$3:M734,M735,N$3:N734,N735)=0),M735,""))</f>
        <v/>
      </c>
    </row>
    <row r="736">
      <c r="A736" s="34" t="n"/>
      <c r="B736" s="35" t="n"/>
      <c r="C736" s="35" t="n"/>
      <c r="D736" s="35" t="n"/>
      <c r="E736" s="35" t="n"/>
      <c r="F736" s="36" t="n"/>
      <c r="G736" s="35" t="n"/>
      <c r="H736" s="30">
        <f>IF(L736="","",INDEX(SkiftNavn,L736))</f>
        <v/>
      </c>
      <c r="I736" s="30">
        <f>IF(OR(A736="",L736=""),"",IF(MOD(A736-INDEX(SkiftStart,L736),Syklus)&lt;DagK,"Kveld",IF(MOD(A736-INDEX(SkiftStart,L736),Syklus)&lt;DagK+DagH,"Helg",IF(MOD(A736-INDEX(SkiftStart,L736),Syklus)&lt;DagK+DagH+DagD,"Dag","Fri"))))</f>
        <v/>
      </c>
      <c r="J736" s="30">
        <f>IF(I736="Fri","Ja","")</f>
        <v/>
      </c>
      <c r="K736" s="30">
        <f>IF(B736="","",IF(L736="","Ukjent tekniker",IF(ISNA(MATCH(C736,Aktiviteter,0)),"Ukjent aktivitet",IF(AND(INDEX(AktRolle,MATCH(C736,Aktiviteter,0))&amp;""&lt;&gt;"",ISERROR(SEARCH(INDEX(AktRolle,MATCH(C736,Aktiviteter,0))&amp;"",INDEX(TekRoller,MATCH(B736,Teknikere,0))))),"Mangler rollen "&amp;INDEX(AktRolle,MATCH(C736,Aktiviteter,0))&amp;"",IF(AND(C736="LMS",F736&gt;0,OR(D736="",E736="")),"Mangler maskin eller arbeid",IF(AND(OR(C736="LMS",C736="Mod"),D736&lt;&gt;""),IF(IFERROR(INDEX(MaskinStatus,MATCH(D736,Maskiner,0)),"")="I dokk","","Maskinen er ikke i dokk"),""))))))</f>
        <v/>
      </c>
      <c r="L736" s="2">
        <f>IF(B736="","",IFERROR(INT((MATCH(B736,Teknikere,0)-1)/18)+1,""))</f>
        <v/>
      </c>
      <c r="M736" s="2">
        <f>IF(OR(A736="",B736=""),"",B736&amp;"|"&amp;A736)</f>
        <v/>
      </c>
      <c r="N736" s="2">
        <f>IF(M736="","",SUMIFS(TF_Timer,TF_Nokkel,M736,TF_Akt,C736))</f>
        <v/>
      </c>
      <c r="O736" s="2">
        <f>IF(M736="","",IF(AND(N736=_xlfn.MAXIFS(TF_AktSum,TF_Nokkel,M736),COUNTIFS(M$3:M735,M736,N$3:N735,N736)=0),M736,""))</f>
        <v/>
      </c>
    </row>
    <row r="737">
      <c r="A737" s="34" t="n"/>
      <c r="B737" s="35" t="n"/>
      <c r="C737" s="35" t="n"/>
      <c r="D737" s="35" t="n"/>
      <c r="E737" s="35" t="n"/>
      <c r="F737" s="36" t="n"/>
      <c r="G737" s="35" t="n"/>
      <c r="H737" s="30">
        <f>IF(L737="","",INDEX(SkiftNavn,L737))</f>
        <v/>
      </c>
      <c r="I737" s="30">
        <f>IF(OR(A737="",L737=""),"",IF(MOD(A737-INDEX(SkiftStart,L737),Syklus)&lt;DagK,"Kveld",IF(MOD(A737-INDEX(SkiftStart,L737),Syklus)&lt;DagK+DagH,"Helg",IF(MOD(A737-INDEX(SkiftStart,L737),Syklus)&lt;DagK+DagH+DagD,"Dag","Fri"))))</f>
        <v/>
      </c>
      <c r="J737" s="30">
        <f>IF(I737="Fri","Ja","")</f>
        <v/>
      </c>
      <c r="K737" s="30">
        <f>IF(B737="","",IF(L737="","Ukjent tekniker",IF(ISNA(MATCH(C737,Aktiviteter,0)),"Ukjent aktivitet",IF(AND(INDEX(AktRolle,MATCH(C737,Aktiviteter,0))&amp;""&lt;&gt;"",ISERROR(SEARCH(INDEX(AktRolle,MATCH(C737,Aktiviteter,0))&amp;"",INDEX(TekRoller,MATCH(B737,Teknikere,0))))),"Mangler rollen "&amp;INDEX(AktRolle,MATCH(C737,Aktiviteter,0))&amp;"",IF(AND(C737="LMS",F737&gt;0,OR(D737="",E737="")),"Mangler maskin eller arbeid",IF(AND(OR(C737="LMS",C737="Mod"),D737&lt;&gt;""),IF(IFERROR(INDEX(MaskinStatus,MATCH(D737,Maskiner,0)),"")="I dokk","","Maskinen er ikke i dokk"),""))))))</f>
        <v/>
      </c>
      <c r="L737" s="2">
        <f>IF(B737="","",IFERROR(INT((MATCH(B737,Teknikere,0)-1)/18)+1,""))</f>
        <v/>
      </c>
      <c r="M737" s="2">
        <f>IF(OR(A737="",B737=""),"",B737&amp;"|"&amp;A737)</f>
        <v/>
      </c>
      <c r="N737" s="2">
        <f>IF(M737="","",SUMIFS(TF_Timer,TF_Nokkel,M737,TF_Akt,C737))</f>
        <v/>
      </c>
      <c r="O737" s="2">
        <f>IF(M737="","",IF(AND(N737=_xlfn.MAXIFS(TF_AktSum,TF_Nokkel,M737),COUNTIFS(M$3:M736,M737,N$3:N736,N737)=0),M737,""))</f>
        <v/>
      </c>
    </row>
    <row r="738">
      <c r="A738" s="34" t="n"/>
      <c r="B738" s="35" t="n"/>
      <c r="C738" s="35" t="n"/>
      <c r="D738" s="35" t="n"/>
      <c r="E738" s="35" t="n"/>
      <c r="F738" s="36" t="n"/>
      <c r="G738" s="35" t="n"/>
      <c r="H738" s="30">
        <f>IF(L738="","",INDEX(SkiftNavn,L738))</f>
        <v/>
      </c>
      <c r="I738" s="30">
        <f>IF(OR(A738="",L738=""),"",IF(MOD(A738-INDEX(SkiftStart,L738),Syklus)&lt;DagK,"Kveld",IF(MOD(A738-INDEX(SkiftStart,L738),Syklus)&lt;DagK+DagH,"Helg",IF(MOD(A738-INDEX(SkiftStart,L738),Syklus)&lt;DagK+DagH+DagD,"Dag","Fri"))))</f>
        <v/>
      </c>
      <c r="J738" s="30">
        <f>IF(I738="Fri","Ja","")</f>
        <v/>
      </c>
      <c r="K738" s="30">
        <f>IF(B738="","",IF(L738="","Ukjent tekniker",IF(ISNA(MATCH(C738,Aktiviteter,0)),"Ukjent aktivitet",IF(AND(INDEX(AktRolle,MATCH(C738,Aktiviteter,0))&amp;""&lt;&gt;"",ISERROR(SEARCH(INDEX(AktRolle,MATCH(C738,Aktiviteter,0))&amp;"",INDEX(TekRoller,MATCH(B738,Teknikere,0))))),"Mangler rollen "&amp;INDEX(AktRolle,MATCH(C738,Aktiviteter,0))&amp;"",IF(AND(C738="LMS",F738&gt;0,OR(D738="",E738="")),"Mangler maskin eller arbeid",IF(AND(OR(C738="LMS",C738="Mod"),D738&lt;&gt;""),IF(IFERROR(INDEX(MaskinStatus,MATCH(D738,Maskiner,0)),"")="I dokk","","Maskinen er ikke i dokk"),""))))))</f>
        <v/>
      </c>
      <c r="L738" s="2">
        <f>IF(B738="","",IFERROR(INT((MATCH(B738,Teknikere,0)-1)/18)+1,""))</f>
        <v/>
      </c>
      <c r="M738" s="2">
        <f>IF(OR(A738="",B738=""),"",B738&amp;"|"&amp;A738)</f>
        <v/>
      </c>
      <c r="N738" s="2">
        <f>IF(M738="","",SUMIFS(TF_Timer,TF_Nokkel,M738,TF_Akt,C738))</f>
        <v/>
      </c>
      <c r="O738" s="2">
        <f>IF(M738="","",IF(AND(N738=_xlfn.MAXIFS(TF_AktSum,TF_Nokkel,M738),COUNTIFS(M$3:M737,M738,N$3:N737,N738)=0),M738,""))</f>
        <v/>
      </c>
    </row>
    <row r="739">
      <c r="A739" s="34" t="n"/>
      <c r="B739" s="35" t="n"/>
      <c r="C739" s="35" t="n"/>
      <c r="D739" s="35" t="n"/>
      <c r="E739" s="35" t="n"/>
      <c r="F739" s="36" t="n"/>
      <c r="G739" s="35" t="n"/>
      <c r="H739" s="30">
        <f>IF(L739="","",INDEX(SkiftNavn,L739))</f>
        <v/>
      </c>
      <c r="I739" s="30">
        <f>IF(OR(A739="",L739=""),"",IF(MOD(A739-INDEX(SkiftStart,L739),Syklus)&lt;DagK,"Kveld",IF(MOD(A739-INDEX(SkiftStart,L739),Syklus)&lt;DagK+DagH,"Helg",IF(MOD(A739-INDEX(SkiftStart,L739),Syklus)&lt;DagK+DagH+DagD,"Dag","Fri"))))</f>
        <v/>
      </c>
      <c r="J739" s="30">
        <f>IF(I739="Fri","Ja","")</f>
        <v/>
      </c>
      <c r="K739" s="30">
        <f>IF(B739="","",IF(L739="","Ukjent tekniker",IF(ISNA(MATCH(C739,Aktiviteter,0)),"Ukjent aktivitet",IF(AND(INDEX(AktRolle,MATCH(C739,Aktiviteter,0))&amp;""&lt;&gt;"",ISERROR(SEARCH(INDEX(AktRolle,MATCH(C739,Aktiviteter,0))&amp;"",INDEX(TekRoller,MATCH(B739,Teknikere,0))))),"Mangler rollen "&amp;INDEX(AktRolle,MATCH(C739,Aktiviteter,0))&amp;"",IF(AND(C739="LMS",F739&gt;0,OR(D739="",E739="")),"Mangler maskin eller arbeid",IF(AND(OR(C739="LMS",C739="Mod"),D739&lt;&gt;""),IF(IFERROR(INDEX(MaskinStatus,MATCH(D739,Maskiner,0)),"")="I dokk","","Maskinen er ikke i dokk"),""))))))</f>
        <v/>
      </c>
      <c r="L739" s="2">
        <f>IF(B739="","",IFERROR(INT((MATCH(B739,Teknikere,0)-1)/18)+1,""))</f>
        <v/>
      </c>
      <c r="M739" s="2">
        <f>IF(OR(A739="",B739=""),"",B739&amp;"|"&amp;A739)</f>
        <v/>
      </c>
      <c r="N739" s="2">
        <f>IF(M739="","",SUMIFS(TF_Timer,TF_Nokkel,M739,TF_Akt,C739))</f>
        <v/>
      </c>
      <c r="O739" s="2">
        <f>IF(M739="","",IF(AND(N739=_xlfn.MAXIFS(TF_AktSum,TF_Nokkel,M739),COUNTIFS(M$3:M738,M739,N$3:N738,N739)=0),M739,""))</f>
        <v/>
      </c>
    </row>
    <row r="740">
      <c r="A740" s="34" t="n"/>
      <c r="B740" s="35" t="n"/>
      <c r="C740" s="35" t="n"/>
      <c r="D740" s="35" t="n"/>
      <c r="E740" s="35" t="n"/>
      <c r="F740" s="36" t="n"/>
      <c r="G740" s="35" t="n"/>
      <c r="H740" s="30">
        <f>IF(L740="","",INDEX(SkiftNavn,L740))</f>
        <v/>
      </c>
      <c r="I740" s="30">
        <f>IF(OR(A740="",L740=""),"",IF(MOD(A740-INDEX(SkiftStart,L740),Syklus)&lt;DagK,"Kveld",IF(MOD(A740-INDEX(SkiftStart,L740),Syklus)&lt;DagK+DagH,"Helg",IF(MOD(A740-INDEX(SkiftStart,L740),Syklus)&lt;DagK+DagH+DagD,"Dag","Fri"))))</f>
        <v/>
      </c>
      <c r="J740" s="30">
        <f>IF(I740="Fri","Ja","")</f>
        <v/>
      </c>
      <c r="K740" s="30">
        <f>IF(B740="","",IF(L740="","Ukjent tekniker",IF(ISNA(MATCH(C740,Aktiviteter,0)),"Ukjent aktivitet",IF(AND(INDEX(AktRolle,MATCH(C740,Aktiviteter,0))&amp;""&lt;&gt;"",ISERROR(SEARCH(INDEX(AktRolle,MATCH(C740,Aktiviteter,0))&amp;"",INDEX(TekRoller,MATCH(B740,Teknikere,0))))),"Mangler rollen "&amp;INDEX(AktRolle,MATCH(C740,Aktiviteter,0))&amp;"",IF(AND(C740="LMS",F740&gt;0,OR(D740="",E740="")),"Mangler maskin eller arbeid",IF(AND(OR(C740="LMS",C740="Mod"),D740&lt;&gt;""),IF(IFERROR(INDEX(MaskinStatus,MATCH(D740,Maskiner,0)),"")="I dokk","","Maskinen er ikke i dokk"),""))))))</f>
        <v/>
      </c>
      <c r="L740" s="2">
        <f>IF(B740="","",IFERROR(INT((MATCH(B740,Teknikere,0)-1)/18)+1,""))</f>
        <v/>
      </c>
      <c r="M740" s="2">
        <f>IF(OR(A740="",B740=""),"",B740&amp;"|"&amp;A740)</f>
        <v/>
      </c>
      <c r="N740" s="2">
        <f>IF(M740="","",SUMIFS(TF_Timer,TF_Nokkel,M740,TF_Akt,C740))</f>
        <v/>
      </c>
      <c r="O740" s="2">
        <f>IF(M740="","",IF(AND(N740=_xlfn.MAXIFS(TF_AktSum,TF_Nokkel,M740),COUNTIFS(M$3:M739,M740,N$3:N739,N740)=0),M740,""))</f>
        <v/>
      </c>
    </row>
    <row r="741">
      <c r="A741" s="34" t="n"/>
      <c r="B741" s="35" t="n"/>
      <c r="C741" s="35" t="n"/>
      <c r="D741" s="35" t="n"/>
      <c r="E741" s="35" t="n"/>
      <c r="F741" s="36" t="n"/>
      <c r="G741" s="35" t="n"/>
      <c r="H741" s="30">
        <f>IF(L741="","",INDEX(SkiftNavn,L741))</f>
        <v/>
      </c>
      <c r="I741" s="30">
        <f>IF(OR(A741="",L741=""),"",IF(MOD(A741-INDEX(SkiftStart,L741),Syklus)&lt;DagK,"Kveld",IF(MOD(A741-INDEX(SkiftStart,L741),Syklus)&lt;DagK+DagH,"Helg",IF(MOD(A741-INDEX(SkiftStart,L741),Syklus)&lt;DagK+DagH+DagD,"Dag","Fri"))))</f>
        <v/>
      </c>
      <c r="J741" s="30">
        <f>IF(I741="Fri","Ja","")</f>
        <v/>
      </c>
      <c r="K741" s="30">
        <f>IF(B741="","",IF(L741="","Ukjent tekniker",IF(ISNA(MATCH(C741,Aktiviteter,0)),"Ukjent aktivitet",IF(AND(INDEX(AktRolle,MATCH(C741,Aktiviteter,0))&amp;""&lt;&gt;"",ISERROR(SEARCH(INDEX(AktRolle,MATCH(C741,Aktiviteter,0))&amp;"",INDEX(TekRoller,MATCH(B741,Teknikere,0))))),"Mangler rollen "&amp;INDEX(AktRolle,MATCH(C741,Aktiviteter,0))&amp;"",IF(AND(C741="LMS",F741&gt;0,OR(D741="",E741="")),"Mangler maskin eller arbeid",IF(AND(OR(C741="LMS",C741="Mod"),D741&lt;&gt;""),IF(IFERROR(INDEX(MaskinStatus,MATCH(D741,Maskiner,0)),"")="I dokk","","Maskinen er ikke i dokk"),""))))))</f>
        <v/>
      </c>
      <c r="L741" s="2">
        <f>IF(B741="","",IFERROR(INT((MATCH(B741,Teknikere,0)-1)/18)+1,""))</f>
        <v/>
      </c>
      <c r="M741" s="2">
        <f>IF(OR(A741="",B741=""),"",B741&amp;"|"&amp;A741)</f>
        <v/>
      </c>
      <c r="N741" s="2">
        <f>IF(M741="","",SUMIFS(TF_Timer,TF_Nokkel,M741,TF_Akt,C741))</f>
        <v/>
      </c>
      <c r="O741" s="2">
        <f>IF(M741="","",IF(AND(N741=_xlfn.MAXIFS(TF_AktSum,TF_Nokkel,M741),COUNTIFS(M$3:M740,M741,N$3:N740,N741)=0),M741,""))</f>
        <v/>
      </c>
    </row>
    <row r="742">
      <c r="A742" s="34" t="n"/>
      <c r="B742" s="35" t="n"/>
      <c r="C742" s="35" t="n"/>
      <c r="D742" s="35" t="n"/>
      <c r="E742" s="35" t="n"/>
      <c r="F742" s="36" t="n"/>
      <c r="G742" s="35" t="n"/>
      <c r="H742" s="30">
        <f>IF(L742="","",INDEX(SkiftNavn,L742))</f>
        <v/>
      </c>
      <c r="I742" s="30">
        <f>IF(OR(A742="",L742=""),"",IF(MOD(A742-INDEX(SkiftStart,L742),Syklus)&lt;DagK,"Kveld",IF(MOD(A742-INDEX(SkiftStart,L742),Syklus)&lt;DagK+DagH,"Helg",IF(MOD(A742-INDEX(SkiftStart,L742),Syklus)&lt;DagK+DagH+DagD,"Dag","Fri"))))</f>
        <v/>
      </c>
      <c r="J742" s="30">
        <f>IF(I742="Fri","Ja","")</f>
        <v/>
      </c>
      <c r="K742" s="30">
        <f>IF(B742="","",IF(L742="","Ukjent tekniker",IF(ISNA(MATCH(C742,Aktiviteter,0)),"Ukjent aktivitet",IF(AND(INDEX(AktRolle,MATCH(C742,Aktiviteter,0))&amp;""&lt;&gt;"",ISERROR(SEARCH(INDEX(AktRolle,MATCH(C742,Aktiviteter,0))&amp;"",INDEX(TekRoller,MATCH(B742,Teknikere,0))))),"Mangler rollen "&amp;INDEX(AktRolle,MATCH(C742,Aktiviteter,0))&amp;"",IF(AND(C742="LMS",F742&gt;0,OR(D742="",E742="")),"Mangler maskin eller arbeid",IF(AND(OR(C742="LMS",C742="Mod"),D742&lt;&gt;""),IF(IFERROR(INDEX(MaskinStatus,MATCH(D742,Maskiner,0)),"")="I dokk","","Maskinen er ikke i dokk"),""))))))</f>
        <v/>
      </c>
      <c r="L742" s="2">
        <f>IF(B742="","",IFERROR(INT((MATCH(B742,Teknikere,0)-1)/18)+1,""))</f>
        <v/>
      </c>
      <c r="M742" s="2">
        <f>IF(OR(A742="",B742=""),"",B742&amp;"|"&amp;A742)</f>
        <v/>
      </c>
      <c r="N742" s="2">
        <f>IF(M742="","",SUMIFS(TF_Timer,TF_Nokkel,M742,TF_Akt,C742))</f>
        <v/>
      </c>
      <c r="O742" s="2">
        <f>IF(M742="","",IF(AND(N742=_xlfn.MAXIFS(TF_AktSum,TF_Nokkel,M742),COUNTIFS(M$3:M741,M742,N$3:N741,N742)=0),M742,""))</f>
        <v/>
      </c>
    </row>
    <row r="743">
      <c r="A743" s="34" t="n"/>
      <c r="B743" s="35" t="n"/>
      <c r="C743" s="35" t="n"/>
      <c r="D743" s="35" t="n"/>
      <c r="E743" s="35" t="n"/>
      <c r="F743" s="36" t="n"/>
      <c r="G743" s="35" t="n"/>
      <c r="H743" s="30">
        <f>IF(L743="","",INDEX(SkiftNavn,L743))</f>
        <v/>
      </c>
      <c r="I743" s="30">
        <f>IF(OR(A743="",L743=""),"",IF(MOD(A743-INDEX(SkiftStart,L743),Syklus)&lt;DagK,"Kveld",IF(MOD(A743-INDEX(SkiftStart,L743),Syklus)&lt;DagK+DagH,"Helg",IF(MOD(A743-INDEX(SkiftStart,L743),Syklus)&lt;DagK+DagH+DagD,"Dag","Fri"))))</f>
        <v/>
      </c>
      <c r="J743" s="30">
        <f>IF(I743="Fri","Ja","")</f>
        <v/>
      </c>
      <c r="K743" s="30">
        <f>IF(B743="","",IF(L743="","Ukjent tekniker",IF(ISNA(MATCH(C743,Aktiviteter,0)),"Ukjent aktivitet",IF(AND(INDEX(AktRolle,MATCH(C743,Aktiviteter,0))&amp;""&lt;&gt;"",ISERROR(SEARCH(INDEX(AktRolle,MATCH(C743,Aktiviteter,0))&amp;"",INDEX(TekRoller,MATCH(B743,Teknikere,0))))),"Mangler rollen "&amp;INDEX(AktRolle,MATCH(C743,Aktiviteter,0))&amp;"",IF(AND(C743="LMS",F743&gt;0,OR(D743="",E743="")),"Mangler maskin eller arbeid",IF(AND(OR(C743="LMS",C743="Mod"),D743&lt;&gt;""),IF(IFERROR(INDEX(MaskinStatus,MATCH(D743,Maskiner,0)),"")="I dokk","","Maskinen er ikke i dokk"),""))))))</f>
        <v/>
      </c>
      <c r="L743" s="2">
        <f>IF(B743="","",IFERROR(INT((MATCH(B743,Teknikere,0)-1)/18)+1,""))</f>
        <v/>
      </c>
      <c r="M743" s="2">
        <f>IF(OR(A743="",B743=""),"",B743&amp;"|"&amp;A743)</f>
        <v/>
      </c>
      <c r="N743" s="2">
        <f>IF(M743="","",SUMIFS(TF_Timer,TF_Nokkel,M743,TF_Akt,C743))</f>
        <v/>
      </c>
      <c r="O743" s="2">
        <f>IF(M743="","",IF(AND(N743=_xlfn.MAXIFS(TF_AktSum,TF_Nokkel,M743),COUNTIFS(M$3:M742,M743,N$3:N742,N743)=0),M743,""))</f>
        <v/>
      </c>
    </row>
    <row r="744">
      <c r="A744" s="34" t="n"/>
      <c r="B744" s="35" t="n"/>
      <c r="C744" s="35" t="n"/>
      <c r="D744" s="35" t="n"/>
      <c r="E744" s="35" t="n"/>
      <c r="F744" s="36" t="n"/>
      <c r="G744" s="35" t="n"/>
      <c r="H744" s="30">
        <f>IF(L744="","",INDEX(SkiftNavn,L744))</f>
        <v/>
      </c>
      <c r="I744" s="30">
        <f>IF(OR(A744="",L744=""),"",IF(MOD(A744-INDEX(SkiftStart,L744),Syklus)&lt;DagK,"Kveld",IF(MOD(A744-INDEX(SkiftStart,L744),Syklus)&lt;DagK+DagH,"Helg",IF(MOD(A744-INDEX(SkiftStart,L744),Syklus)&lt;DagK+DagH+DagD,"Dag","Fri"))))</f>
        <v/>
      </c>
      <c r="J744" s="30">
        <f>IF(I744="Fri","Ja","")</f>
        <v/>
      </c>
      <c r="K744" s="30">
        <f>IF(B744="","",IF(L744="","Ukjent tekniker",IF(ISNA(MATCH(C744,Aktiviteter,0)),"Ukjent aktivitet",IF(AND(INDEX(AktRolle,MATCH(C744,Aktiviteter,0))&amp;""&lt;&gt;"",ISERROR(SEARCH(INDEX(AktRolle,MATCH(C744,Aktiviteter,0))&amp;"",INDEX(TekRoller,MATCH(B744,Teknikere,0))))),"Mangler rollen "&amp;INDEX(AktRolle,MATCH(C744,Aktiviteter,0))&amp;"",IF(AND(C744="LMS",F744&gt;0,OR(D744="",E744="")),"Mangler maskin eller arbeid",IF(AND(OR(C744="LMS",C744="Mod"),D744&lt;&gt;""),IF(IFERROR(INDEX(MaskinStatus,MATCH(D744,Maskiner,0)),"")="I dokk","","Maskinen er ikke i dokk"),""))))))</f>
        <v/>
      </c>
      <c r="L744" s="2">
        <f>IF(B744="","",IFERROR(INT((MATCH(B744,Teknikere,0)-1)/18)+1,""))</f>
        <v/>
      </c>
      <c r="M744" s="2">
        <f>IF(OR(A744="",B744=""),"",B744&amp;"|"&amp;A744)</f>
        <v/>
      </c>
      <c r="N744" s="2">
        <f>IF(M744="","",SUMIFS(TF_Timer,TF_Nokkel,M744,TF_Akt,C744))</f>
        <v/>
      </c>
      <c r="O744" s="2">
        <f>IF(M744="","",IF(AND(N744=_xlfn.MAXIFS(TF_AktSum,TF_Nokkel,M744),COUNTIFS(M$3:M743,M744,N$3:N743,N744)=0),M744,""))</f>
        <v/>
      </c>
    </row>
    <row r="745">
      <c r="A745" s="34" t="n"/>
      <c r="B745" s="35" t="n"/>
      <c r="C745" s="35" t="n"/>
      <c r="D745" s="35" t="n"/>
      <c r="E745" s="35" t="n"/>
      <c r="F745" s="36" t="n"/>
      <c r="G745" s="35" t="n"/>
      <c r="H745" s="30">
        <f>IF(L745="","",INDEX(SkiftNavn,L745))</f>
        <v/>
      </c>
      <c r="I745" s="30">
        <f>IF(OR(A745="",L745=""),"",IF(MOD(A745-INDEX(SkiftStart,L745),Syklus)&lt;DagK,"Kveld",IF(MOD(A745-INDEX(SkiftStart,L745),Syklus)&lt;DagK+DagH,"Helg",IF(MOD(A745-INDEX(SkiftStart,L745),Syklus)&lt;DagK+DagH+DagD,"Dag","Fri"))))</f>
        <v/>
      </c>
      <c r="J745" s="30">
        <f>IF(I745="Fri","Ja","")</f>
        <v/>
      </c>
      <c r="K745" s="30">
        <f>IF(B745="","",IF(L745="","Ukjent tekniker",IF(ISNA(MATCH(C745,Aktiviteter,0)),"Ukjent aktivitet",IF(AND(INDEX(AktRolle,MATCH(C745,Aktiviteter,0))&amp;""&lt;&gt;"",ISERROR(SEARCH(INDEX(AktRolle,MATCH(C745,Aktiviteter,0))&amp;"",INDEX(TekRoller,MATCH(B745,Teknikere,0))))),"Mangler rollen "&amp;INDEX(AktRolle,MATCH(C745,Aktiviteter,0))&amp;"",IF(AND(C745="LMS",F745&gt;0,OR(D745="",E745="")),"Mangler maskin eller arbeid",IF(AND(OR(C745="LMS",C745="Mod"),D745&lt;&gt;""),IF(IFERROR(INDEX(MaskinStatus,MATCH(D745,Maskiner,0)),"")="I dokk","","Maskinen er ikke i dokk"),""))))))</f>
        <v/>
      </c>
      <c r="L745" s="2">
        <f>IF(B745="","",IFERROR(INT((MATCH(B745,Teknikere,0)-1)/18)+1,""))</f>
        <v/>
      </c>
      <c r="M745" s="2">
        <f>IF(OR(A745="",B745=""),"",B745&amp;"|"&amp;A745)</f>
        <v/>
      </c>
      <c r="N745" s="2">
        <f>IF(M745="","",SUMIFS(TF_Timer,TF_Nokkel,M745,TF_Akt,C745))</f>
        <v/>
      </c>
      <c r="O745" s="2">
        <f>IF(M745="","",IF(AND(N745=_xlfn.MAXIFS(TF_AktSum,TF_Nokkel,M745),COUNTIFS(M$3:M744,M745,N$3:N744,N745)=0),M745,""))</f>
        <v/>
      </c>
    </row>
    <row r="746">
      <c r="A746" s="34" t="n"/>
      <c r="B746" s="35" t="n"/>
      <c r="C746" s="35" t="n"/>
      <c r="D746" s="35" t="n"/>
      <c r="E746" s="35" t="n"/>
      <c r="F746" s="36" t="n"/>
      <c r="G746" s="35" t="n"/>
      <c r="H746" s="30">
        <f>IF(L746="","",INDEX(SkiftNavn,L746))</f>
        <v/>
      </c>
      <c r="I746" s="30">
        <f>IF(OR(A746="",L746=""),"",IF(MOD(A746-INDEX(SkiftStart,L746),Syklus)&lt;DagK,"Kveld",IF(MOD(A746-INDEX(SkiftStart,L746),Syklus)&lt;DagK+DagH,"Helg",IF(MOD(A746-INDEX(SkiftStart,L746),Syklus)&lt;DagK+DagH+DagD,"Dag","Fri"))))</f>
        <v/>
      </c>
      <c r="J746" s="30">
        <f>IF(I746="Fri","Ja","")</f>
        <v/>
      </c>
      <c r="K746" s="30">
        <f>IF(B746="","",IF(L746="","Ukjent tekniker",IF(ISNA(MATCH(C746,Aktiviteter,0)),"Ukjent aktivitet",IF(AND(INDEX(AktRolle,MATCH(C746,Aktiviteter,0))&amp;""&lt;&gt;"",ISERROR(SEARCH(INDEX(AktRolle,MATCH(C746,Aktiviteter,0))&amp;"",INDEX(TekRoller,MATCH(B746,Teknikere,0))))),"Mangler rollen "&amp;INDEX(AktRolle,MATCH(C746,Aktiviteter,0))&amp;"",IF(AND(C746="LMS",F746&gt;0,OR(D746="",E746="")),"Mangler maskin eller arbeid",IF(AND(OR(C746="LMS",C746="Mod"),D746&lt;&gt;""),IF(IFERROR(INDEX(MaskinStatus,MATCH(D746,Maskiner,0)),"")="I dokk","","Maskinen er ikke i dokk"),""))))))</f>
        <v/>
      </c>
      <c r="L746" s="2">
        <f>IF(B746="","",IFERROR(INT((MATCH(B746,Teknikere,0)-1)/18)+1,""))</f>
        <v/>
      </c>
      <c r="M746" s="2">
        <f>IF(OR(A746="",B746=""),"",B746&amp;"|"&amp;A746)</f>
        <v/>
      </c>
      <c r="N746" s="2">
        <f>IF(M746="","",SUMIFS(TF_Timer,TF_Nokkel,M746,TF_Akt,C746))</f>
        <v/>
      </c>
      <c r="O746" s="2">
        <f>IF(M746="","",IF(AND(N746=_xlfn.MAXIFS(TF_AktSum,TF_Nokkel,M746),COUNTIFS(M$3:M745,M746,N$3:N745,N746)=0),M746,""))</f>
        <v/>
      </c>
    </row>
    <row r="747">
      <c r="A747" s="34" t="n"/>
      <c r="B747" s="35" t="n"/>
      <c r="C747" s="35" t="n"/>
      <c r="D747" s="35" t="n"/>
      <c r="E747" s="35" t="n"/>
      <c r="F747" s="36" t="n"/>
      <c r="G747" s="35" t="n"/>
      <c r="H747" s="30">
        <f>IF(L747="","",INDEX(SkiftNavn,L747))</f>
        <v/>
      </c>
      <c r="I747" s="30">
        <f>IF(OR(A747="",L747=""),"",IF(MOD(A747-INDEX(SkiftStart,L747),Syklus)&lt;DagK,"Kveld",IF(MOD(A747-INDEX(SkiftStart,L747),Syklus)&lt;DagK+DagH,"Helg",IF(MOD(A747-INDEX(SkiftStart,L747),Syklus)&lt;DagK+DagH+DagD,"Dag","Fri"))))</f>
        <v/>
      </c>
      <c r="J747" s="30">
        <f>IF(I747="Fri","Ja","")</f>
        <v/>
      </c>
      <c r="K747" s="30">
        <f>IF(B747="","",IF(L747="","Ukjent tekniker",IF(ISNA(MATCH(C747,Aktiviteter,0)),"Ukjent aktivitet",IF(AND(INDEX(AktRolle,MATCH(C747,Aktiviteter,0))&amp;""&lt;&gt;"",ISERROR(SEARCH(INDEX(AktRolle,MATCH(C747,Aktiviteter,0))&amp;"",INDEX(TekRoller,MATCH(B747,Teknikere,0))))),"Mangler rollen "&amp;INDEX(AktRolle,MATCH(C747,Aktiviteter,0))&amp;"",IF(AND(C747="LMS",F747&gt;0,OR(D747="",E747="")),"Mangler maskin eller arbeid",IF(AND(OR(C747="LMS",C747="Mod"),D747&lt;&gt;""),IF(IFERROR(INDEX(MaskinStatus,MATCH(D747,Maskiner,0)),"")="I dokk","","Maskinen er ikke i dokk"),""))))))</f>
        <v/>
      </c>
      <c r="L747" s="2">
        <f>IF(B747="","",IFERROR(INT((MATCH(B747,Teknikere,0)-1)/18)+1,""))</f>
        <v/>
      </c>
      <c r="M747" s="2">
        <f>IF(OR(A747="",B747=""),"",B747&amp;"|"&amp;A747)</f>
        <v/>
      </c>
      <c r="N747" s="2">
        <f>IF(M747="","",SUMIFS(TF_Timer,TF_Nokkel,M747,TF_Akt,C747))</f>
        <v/>
      </c>
      <c r="O747" s="2">
        <f>IF(M747="","",IF(AND(N747=_xlfn.MAXIFS(TF_AktSum,TF_Nokkel,M747),COUNTIFS(M$3:M746,M747,N$3:N746,N747)=0),M747,""))</f>
        <v/>
      </c>
    </row>
    <row r="748">
      <c r="A748" s="34" t="n"/>
      <c r="B748" s="35" t="n"/>
      <c r="C748" s="35" t="n"/>
      <c r="D748" s="35" t="n"/>
      <c r="E748" s="35" t="n"/>
      <c r="F748" s="36" t="n"/>
      <c r="G748" s="35" t="n"/>
      <c r="H748" s="30">
        <f>IF(L748="","",INDEX(SkiftNavn,L748))</f>
        <v/>
      </c>
      <c r="I748" s="30">
        <f>IF(OR(A748="",L748=""),"",IF(MOD(A748-INDEX(SkiftStart,L748),Syklus)&lt;DagK,"Kveld",IF(MOD(A748-INDEX(SkiftStart,L748),Syklus)&lt;DagK+DagH,"Helg",IF(MOD(A748-INDEX(SkiftStart,L748),Syklus)&lt;DagK+DagH+DagD,"Dag","Fri"))))</f>
        <v/>
      </c>
      <c r="J748" s="30">
        <f>IF(I748="Fri","Ja","")</f>
        <v/>
      </c>
      <c r="K748" s="30">
        <f>IF(B748="","",IF(L748="","Ukjent tekniker",IF(ISNA(MATCH(C748,Aktiviteter,0)),"Ukjent aktivitet",IF(AND(INDEX(AktRolle,MATCH(C748,Aktiviteter,0))&amp;""&lt;&gt;"",ISERROR(SEARCH(INDEX(AktRolle,MATCH(C748,Aktiviteter,0))&amp;"",INDEX(TekRoller,MATCH(B748,Teknikere,0))))),"Mangler rollen "&amp;INDEX(AktRolle,MATCH(C748,Aktiviteter,0))&amp;"",IF(AND(C748="LMS",F748&gt;0,OR(D748="",E748="")),"Mangler maskin eller arbeid",IF(AND(OR(C748="LMS",C748="Mod"),D748&lt;&gt;""),IF(IFERROR(INDEX(MaskinStatus,MATCH(D748,Maskiner,0)),"")="I dokk","","Maskinen er ikke i dokk"),""))))))</f>
        <v/>
      </c>
      <c r="L748" s="2">
        <f>IF(B748="","",IFERROR(INT((MATCH(B748,Teknikere,0)-1)/18)+1,""))</f>
        <v/>
      </c>
      <c r="M748" s="2">
        <f>IF(OR(A748="",B748=""),"",B748&amp;"|"&amp;A748)</f>
        <v/>
      </c>
      <c r="N748" s="2">
        <f>IF(M748="","",SUMIFS(TF_Timer,TF_Nokkel,M748,TF_Akt,C748))</f>
        <v/>
      </c>
      <c r="O748" s="2">
        <f>IF(M748="","",IF(AND(N748=_xlfn.MAXIFS(TF_AktSum,TF_Nokkel,M748),COUNTIFS(M$3:M747,M748,N$3:N747,N748)=0),M748,""))</f>
        <v/>
      </c>
    </row>
    <row r="749">
      <c r="A749" s="34" t="n"/>
      <c r="B749" s="35" t="n"/>
      <c r="C749" s="35" t="n"/>
      <c r="D749" s="35" t="n"/>
      <c r="E749" s="35" t="n"/>
      <c r="F749" s="36" t="n"/>
      <c r="G749" s="35" t="n"/>
      <c r="H749" s="30">
        <f>IF(L749="","",INDEX(SkiftNavn,L749))</f>
        <v/>
      </c>
      <c r="I749" s="30">
        <f>IF(OR(A749="",L749=""),"",IF(MOD(A749-INDEX(SkiftStart,L749),Syklus)&lt;DagK,"Kveld",IF(MOD(A749-INDEX(SkiftStart,L749),Syklus)&lt;DagK+DagH,"Helg",IF(MOD(A749-INDEX(SkiftStart,L749),Syklus)&lt;DagK+DagH+DagD,"Dag","Fri"))))</f>
        <v/>
      </c>
      <c r="J749" s="30">
        <f>IF(I749="Fri","Ja","")</f>
        <v/>
      </c>
      <c r="K749" s="30">
        <f>IF(B749="","",IF(L749="","Ukjent tekniker",IF(ISNA(MATCH(C749,Aktiviteter,0)),"Ukjent aktivitet",IF(AND(INDEX(AktRolle,MATCH(C749,Aktiviteter,0))&amp;""&lt;&gt;"",ISERROR(SEARCH(INDEX(AktRolle,MATCH(C749,Aktiviteter,0))&amp;"",INDEX(TekRoller,MATCH(B749,Teknikere,0))))),"Mangler rollen "&amp;INDEX(AktRolle,MATCH(C749,Aktiviteter,0))&amp;"",IF(AND(C749="LMS",F749&gt;0,OR(D749="",E749="")),"Mangler maskin eller arbeid",IF(AND(OR(C749="LMS",C749="Mod"),D749&lt;&gt;""),IF(IFERROR(INDEX(MaskinStatus,MATCH(D749,Maskiner,0)),"")="I dokk","","Maskinen er ikke i dokk"),""))))))</f>
        <v/>
      </c>
      <c r="L749" s="2">
        <f>IF(B749="","",IFERROR(INT((MATCH(B749,Teknikere,0)-1)/18)+1,""))</f>
        <v/>
      </c>
      <c r="M749" s="2">
        <f>IF(OR(A749="",B749=""),"",B749&amp;"|"&amp;A749)</f>
        <v/>
      </c>
      <c r="N749" s="2">
        <f>IF(M749="","",SUMIFS(TF_Timer,TF_Nokkel,M749,TF_Akt,C749))</f>
        <v/>
      </c>
      <c r="O749" s="2">
        <f>IF(M749="","",IF(AND(N749=_xlfn.MAXIFS(TF_AktSum,TF_Nokkel,M749),COUNTIFS(M$3:M748,M749,N$3:N748,N749)=0),M749,""))</f>
        <v/>
      </c>
    </row>
    <row r="750">
      <c r="A750" s="34" t="n"/>
      <c r="B750" s="35" t="n"/>
      <c r="C750" s="35" t="n"/>
      <c r="D750" s="35" t="n"/>
      <c r="E750" s="35" t="n"/>
      <c r="F750" s="36" t="n"/>
      <c r="G750" s="35" t="n"/>
      <c r="H750" s="30">
        <f>IF(L750="","",INDEX(SkiftNavn,L750))</f>
        <v/>
      </c>
      <c r="I750" s="30">
        <f>IF(OR(A750="",L750=""),"",IF(MOD(A750-INDEX(SkiftStart,L750),Syklus)&lt;DagK,"Kveld",IF(MOD(A750-INDEX(SkiftStart,L750),Syklus)&lt;DagK+DagH,"Helg",IF(MOD(A750-INDEX(SkiftStart,L750),Syklus)&lt;DagK+DagH+DagD,"Dag","Fri"))))</f>
        <v/>
      </c>
      <c r="J750" s="30">
        <f>IF(I750="Fri","Ja","")</f>
        <v/>
      </c>
      <c r="K750" s="30">
        <f>IF(B750="","",IF(L750="","Ukjent tekniker",IF(ISNA(MATCH(C750,Aktiviteter,0)),"Ukjent aktivitet",IF(AND(INDEX(AktRolle,MATCH(C750,Aktiviteter,0))&amp;""&lt;&gt;"",ISERROR(SEARCH(INDEX(AktRolle,MATCH(C750,Aktiviteter,0))&amp;"",INDEX(TekRoller,MATCH(B750,Teknikere,0))))),"Mangler rollen "&amp;INDEX(AktRolle,MATCH(C750,Aktiviteter,0))&amp;"",IF(AND(C750="LMS",F750&gt;0,OR(D750="",E750="")),"Mangler maskin eller arbeid",IF(AND(OR(C750="LMS",C750="Mod"),D750&lt;&gt;""),IF(IFERROR(INDEX(MaskinStatus,MATCH(D750,Maskiner,0)),"")="I dokk","","Maskinen er ikke i dokk"),""))))))</f>
        <v/>
      </c>
      <c r="L750" s="2">
        <f>IF(B750="","",IFERROR(INT((MATCH(B750,Teknikere,0)-1)/18)+1,""))</f>
        <v/>
      </c>
      <c r="M750" s="2">
        <f>IF(OR(A750="",B750=""),"",B750&amp;"|"&amp;A750)</f>
        <v/>
      </c>
      <c r="N750" s="2">
        <f>IF(M750="","",SUMIFS(TF_Timer,TF_Nokkel,M750,TF_Akt,C750))</f>
        <v/>
      </c>
      <c r="O750" s="2">
        <f>IF(M750="","",IF(AND(N750=_xlfn.MAXIFS(TF_AktSum,TF_Nokkel,M750),COUNTIFS(M$3:M749,M750,N$3:N749,N750)=0),M750,""))</f>
        <v/>
      </c>
    </row>
    <row r="751">
      <c r="A751" s="34" t="n"/>
      <c r="B751" s="35" t="n"/>
      <c r="C751" s="35" t="n"/>
      <c r="D751" s="35" t="n"/>
      <c r="E751" s="35" t="n"/>
      <c r="F751" s="36" t="n"/>
      <c r="G751" s="35" t="n"/>
      <c r="H751" s="30">
        <f>IF(L751="","",INDEX(SkiftNavn,L751))</f>
        <v/>
      </c>
      <c r="I751" s="30">
        <f>IF(OR(A751="",L751=""),"",IF(MOD(A751-INDEX(SkiftStart,L751),Syklus)&lt;DagK,"Kveld",IF(MOD(A751-INDEX(SkiftStart,L751),Syklus)&lt;DagK+DagH,"Helg",IF(MOD(A751-INDEX(SkiftStart,L751),Syklus)&lt;DagK+DagH+DagD,"Dag","Fri"))))</f>
        <v/>
      </c>
      <c r="J751" s="30">
        <f>IF(I751="Fri","Ja","")</f>
        <v/>
      </c>
      <c r="K751" s="30">
        <f>IF(B751="","",IF(L751="","Ukjent tekniker",IF(ISNA(MATCH(C751,Aktiviteter,0)),"Ukjent aktivitet",IF(AND(INDEX(AktRolle,MATCH(C751,Aktiviteter,0))&amp;""&lt;&gt;"",ISERROR(SEARCH(INDEX(AktRolle,MATCH(C751,Aktiviteter,0))&amp;"",INDEX(TekRoller,MATCH(B751,Teknikere,0))))),"Mangler rollen "&amp;INDEX(AktRolle,MATCH(C751,Aktiviteter,0))&amp;"",IF(AND(C751="LMS",F751&gt;0,OR(D751="",E751="")),"Mangler maskin eller arbeid",IF(AND(OR(C751="LMS",C751="Mod"),D751&lt;&gt;""),IF(IFERROR(INDEX(MaskinStatus,MATCH(D751,Maskiner,0)),"")="I dokk","","Maskinen er ikke i dokk"),""))))))</f>
        <v/>
      </c>
      <c r="L751" s="2">
        <f>IF(B751="","",IFERROR(INT((MATCH(B751,Teknikere,0)-1)/18)+1,""))</f>
        <v/>
      </c>
      <c r="M751" s="2">
        <f>IF(OR(A751="",B751=""),"",B751&amp;"|"&amp;A751)</f>
        <v/>
      </c>
      <c r="N751" s="2">
        <f>IF(M751="","",SUMIFS(TF_Timer,TF_Nokkel,M751,TF_Akt,C751))</f>
        <v/>
      </c>
      <c r="O751" s="2">
        <f>IF(M751="","",IF(AND(N751=_xlfn.MAXIFS(TF_AktSum,TF_Nokkel,M751),COUNTIFS(M$3:M750,M751,N$3:N750,N751)=0),M751,""))</f>
        <v/>
      </c>
    </row>
    <row r="752">
      <c r="A752" s="34" t="n"/>
      <c r="B752" s="35" t="n"/>
      <c r="C752" s="35" t="n"/>
      <c r="D752" s="35" t="n"/>
      <c r="E752" s="35" t="n"/>
      <c r="F752" s="36" t="n"/>
      <c r="G752" s="35" t="n"/>
      <c r="H752" s="30">
        <f>IF(L752="","",INDEX(SkiftNavn,L752))</f>
        <v/>
      </c>
      <c r="I752" s="30">
        <f>IF(OR(A752="",L752=""),"",IF(MOD(A752-INDEX(SkiftStart,L752),Syklus)&lt;DagK,"Kveld",IF(MOD(A752-INDEX(SkiftStart,L752),Syklus)&lt;DagK+DagH,"Helg",IF(MOD(A752-INDEX(SkiftStart,L752),Syklus)&lt;DagK+DagH+DagD,"Dag","Fri"))))</f>
        <v/>
      </c>
      <c r="J752" s="30">
        <f>IF(I752="Fri","Ja","")</f>
        <v/>
      </c>
      <c r="K752" s="30">
        <f>IF(B752="","",IF(L752="","Ukjent tekniker",IF(ISNA(MATCH(C752,Aktiviteter,0)),"Ukjent aktivitet",IF(AND(INDEX(AktRolle,MATCH(C752,Aktiviteter,0))&amp;""&lt;&gt;"",ISERROR(SEARCH(INDEX(AktRolle,MATCH(C752,Aktiviteter,0))&amp;"",INDEX(TekRoller,MATCH(B752,Teknikere,0))))),"Mangler rollen "&amp;INDEX(AktRolle,MATCH(C752,Aktiviteter,0))&amp;"",IF(AND(C752="LMS",F752&gt;0,OR(D752="",E752="")),"Mangler maskin eller arbeid",IF(AND(OR(C752="LMS",C752="Mod"),D752&lt;&gt;""),IF(IFERROR(INDEX(MaskinStatus,MATCH(D752,Maskiner,0)),"")="I dokk","","Maskinen er ikke i dokk"),""))))))</f>
        <v/>
      </c>
      <c r="L752" s="2">
        <f>IF(B752="","",IFERROR(INT((MATCH(B752,Teknikere,0)-1)/18)+1,""))</f>
        <v/>
      </c>
      <c r="M752" s="2">
        <f>IF(OR(A752="",B752=""),"",B752&amp;"|"&amp;A752)</f>
        <v/>
      </c>
      <c r="N752" s="2">
        <f>IF(M752="","",SUMIFS(TF_Timer,TF_Nokkel,M752,TF_Akt,C752))</f>
        <v/>
      </c>
      <c r="O752" s="2">
        <f>IF(M752="","",IF(AND(N752=_xlfn.MAXIFS(TF_AktSum,TF_Nokkel,M752),COUNTIFS(M$3:M751,M752,N$3:N751,N752)=0),M752,""))</f>
        <v/>
      </c>
    </row>
    <row r="753">
      <c r="A753" s="34" t="n"/>
      <c r="B753" s="35" t="n"/>
      <c r="C753" s="35" t="n"/>
      <c r="D753" s="35" t="n"/>
      <c r="E753" s="35" t="n"/>
      <c r="F753" s="36" t="n"/>
      <c r="G753" s="35" t="n"/>
      <c r="H753" s="30">
        <f>IF(L753="","",INDEX(SkiftNavn,L753))</f>
        <v/>
      </c>
      <c r="I753" s="30">
        <f>IF(OR(A753="",L753=""),"",IF(MOD(A753-INDEX(SkiftStart,L753),Syklus)&lt;DagK,"Kveld",IF(MOD(A753-INDEX(SkiftStart,L753),Syklus)&lt;DagK+DagH,"Helg",IF(MOD(A753-INDEX(SkiftStart,L753),Syklus)&lt;DagK+DagH+DagD,"Dag","Fri"))))</f>
        <v/>
      </c>
      <c r="J753" s="30">
        <f>IF(I753="Fri","Ja","")</f>
        <v/>
      </c>
      <c r="K753" s="30">
        <f>IF(B753="","",IF(L753="","Ukjent tekniker",IF(ISNA(MATCH(C753,Aktiviteter,0)),"Ukjent aktivitet",IF(AND(INDEX(AktRolle,MATCH(C753,Aktiviteter,0))&amp;""&lt;&gt;"",ISERROR(SEARCH(INDEX(AktRolle,MATCH(C753,Aktiviteter,0))&amp;"",INDEX(TekRoller,MATCH(B753,Teknikere,0))))),"Mangler rollen "&amp;INDEX(AktRolle,MATCH(C753,Aktiviteter,0))&amp;"",IF(AND(C753="LMS",F753&gt;0,OR(D753="",E753="")),"Mangler maskin eller arbeid",IF(AND(OR(C753="LMS",C753="Mod"),D753&lt;&gt;""),IF(IFERROR(INDEX(MaskinStatus,MATCH(D753,Maskiner,0)),"")="I dokk","","Maskinen er ikke i dokk"),""))))))</f>
        <v/>
      </c>
      <c r="L753" s="2">
        <f>IF(B753="","",IFERROR(INT((MATCH(B753,Teknikere,0)-1)/18)+1,""))</f>
        <v/>
      </c>
      <c r="M753" s="2">
        <f>IF(OR(A753="",B753=""),"",B753&amp;"|"&amp;A753)</f>
        <v/>
      </c>
      <c r="N753" s="2">
        <f>IF(M753="","",SUMIFS(TF_Timer,TF_Nokkel,M753,TF_Akt,C753))</f>
        <v/>
      </c>
      <c r="O753" s="2">
        <f>IF(M753="","",IF(AND(N753=_xlfn.MAXIFS(TF_AktSum,TF_Nokkel,M753),COUNTIFS(M$3:M752,M753,N$3:N752,N753)=0),M753,""))</f>
        <v/>
      </c>
    </row>
    <row r="754">
      <c r="A754" s="34" t="n"/>
      <c r="B754" s="35" t="n"/>
      <c r="C754" s="35" t="n"/>
      <c r="D754" s="35" t="n"/>
      <c r="E754" s="35" t="n"/>
      <c r="F754" s="36" t="n"/>
      <c r="G754" s="35" t="n"/>
      <c r="H754" s="30">
        <f>IF(L754="","",INDEX(SkiftNavn,L754))</f>
        <v/>
      </c>
      <c r="I754" s="30">
        <f>IF(OR(A754="",L754=""),"",IF(MOD(A754-INDEX(SkiftStart,L754),Syklus)&lt;DagK,"Kveld",IF(MOD(A754-INDEX(SkiftStart,L754),Syklus)&lt;DagK+DagH,"Helg",IF(MOD(A754-INDEX(SkiftStart,L754),Syklus)&lt;DagK+DagH+DagD,"Dag","Fri"))))</f>
        <v/>
      </c>
      <c r="J754" s="30">
        <f>IF(I754="Fri","Ja","")</f>
        <v/>
      </c>
      <c r="K754" s="30">
        <f>IF(B754="","",IF(L754="","Ukjent tekniker",IF(ISNA(MATCH(C754,Aktiviteter,0)),"Ukjent aktivitet",IF(AND(INDEX(AktRolle,MATCH(C754,Aktiviteter,0))&amp;""&lt;&gt;"",ISERROR(SEARCH(INDEX(AktRolle,MATCH(C754,Aktiviteter,0))&amp;"",INDEX(TekRoller,MATCH(B754,Teknikere,0))))),"Mangler rollen "&amp;INDEX(AktRolle,MATCH(C754,Aktiviteter,0))&amp;"",IF(AND(C754="LMS",F754&gt;0,OR(D754="",E754="")),"Mangler maskin eller arbeid",IF(AND(OR(C754="LMS",C754="Mod"),D754&lt;&gt;""),IF(IFERROR(INDEX(MaskinStatus,MATCH(D754,Maskiner,0)),"")="I dokk","","Maskinen er ikke i dokk"),""))))))</f>
        <v/>
      </c>
      <c r="L754" s="2">
        <f>IF(B754="","",IFERROR(INT((MATCH(B754,Teknikere,0)-1)/18)+1,""))</f>
        <v/>
      </c>
      <c r="M754" s="2">
        <f>IF(OR(A754="",B754=""),"",B754&amp;"|"&amp;A754)</f>
        <v/>
      </c>
      <c r="N754" s="2">
        <f>IF(M754="","",SUMIFS(TF_Timer,TF_Nokkel,M754,TF_Akt,C754))</f>
        <v/>
      </c>
      <c r="O754" s="2">
        <f>IF(M754="","",IF(AND(N754=_xlfn.MAXIFS(TF_AktSum,TF_Nokkel,M754),COUNTIFS(M$3:M753,M754,N$3:N753,N754)=0),M754,""))</f>
        <v/>
      </c>
    </row>
    <row r="755">
      <c r="A755" s="34" t="n"/>
      <c r="B755" s="35" t="n"/>
      <c r="C755" s="35" t="n"/>
      <c r="D755" s="35" t="n"/>
      <c r="E755" s="35" t="n"/>
      <c r="F755" s="36" t="n"/>
      <c r="G755" s="35" t="n"/>
      <c r="H755" s="30">
        <f>IF(L755="","",INDEX(SkiftNavn,L755))</f>
        <v/>
      </c>
      <c r="I755" s="30">
        <f>IF(OR(A755="",L755=""),"",IF(MOD(A755-INDEX(SkiftStart,L755),Syklus)&lt;DagK,"Kveld",IF(MOD(A755-INDEX(SkiftStart,L755),Syklus)&lt;DagK+DagH,"Helg",IF(MOD(A755-INDEX(SkiftStart,L755),Syklus)&lt;DagK+DagH+DagD,"Dag","Fri"))))</f>
        <v/>
      </c>
      <c r="J755" s="30">
        <f>IF(I755="Fri","Ja","")</f>
        <v/>
      </c>
      <c r="K755" s="30">
        <f>IF(B755="","",IF(L755="","Ukjent tekniker",IF(ISNA(MATCH(C755,Aktiviteter,0)),"Ukjent aktivitet",IF(AND(INDEX(AktRolle,MATCH(C755,Aktiviteter,0))&amp;""&lt;&gt;"",ISERROR(SEARCH(INDEX(AktRolle,MATCH(C755,Aktiviteter,0))&amp;"",INDEX(TekRoller,MATCH(B755,Teknikere,0))))),"Mangler rollen "&amp;INDEX(AktRolle,MATCH(C755,Aktiviteter,0))&amp;"",IF(AND(C755="LMS",F755&gt;0,OR(D755="",E755="")),"Mangler maskin eller arbeid",IF(AND(OR(C755="LMS",C755="Mod"),D755&lt;&gt;""),IF(IFERROR(INDEX(MaskinStatus,MATCH(D755,Maskiner,0)),"")="I dokk","","Maskinen er ikke i dokk"),""))))))</f>
        <v/>
      </c>
      <c r="L755" s="2">
        <f>IF(B755="","",IFERROR(INT((MATCH(B755,Teknikere,0)-1)/18)+1,""))</f>
        <v/>
      </c>
      <c r="M755" s="2">
        <f>IF(OR(A755="",B755=""),"",B755&amp;"|"&amp;A755)</f>
        <v/>
      </c>
      <c r="N755" s="2">
        <f>IF(M755="","",SUMIFS(TF_Timer,TF_Nokkel,M755,TF_Akt,C755))</f>
        <v/>
      </c>
      <c r="O755" s="2">
        <f>IF(M755="","",IF(AND(N755=_xlfn.MAXIFS(TF_AktSum,TF_Nokkel,M755),COUNTIFS(M$3:M754,M755,N$3:N754,N755)=0),M755,""))</f>
        <v/>
      </c>
    </row>
    <row r="756">
      <c r="A756" s="34" t="n"/>
      <c r="B756" s="35" t="n"/>
      <c r="C756" s="35" t="n"/>
      <c r="D756" s="35" t="n"/>
      <c r="E756" s="35" t="n"/>
      <c r="F756" s="36" t="n"/>
      <c r="G756" s="35" t="n"/>
      <c r="H756" s="30">
        <f>IF(L756="","",INDEX(SkiftNavn,L756))</f>
        <v/>
      </c>
      <c r="I756" s="30">
        <f>IF(OR(A756="",L756=""),"",IF(MOD(A756-INDEX(SkiftStart,L756),Syklus)&lt;DagK,"Kveld",IF(MOD(A756-INDEX(SkiftStart,L756),Syklus)&lt;DagK+DagH,"Helg",IF(MOD(A756-INDEX(SkiftStart,L756),Syklus)&lt;DagK+DagH+DagD,"Dag","Fri"))))</f>
        <v/>
      </c>
      <c r="J756" s="30">
        <f>IF(I756="Fri","Ja","")</f>
        <v/>
      </c>
      <c r="K756" s="30">
        <f>IF(B756="","",IF(L756="","Ukjent tekniker",IF(ISNA(MATCH(C756,Aktiviteter,0)),"Ukjent aktivitet",IF(AND(INDEX(AktRolle,MATCH(C756,Aktiviteter,0))&amp;""&lt;&gt;"",ISERROR(SEARCH(INDEX(AktRolle,MATCH(C756,Aktiviteter,0))&amp;"",INDEX(TekRoller,MATCH(B756,Teknikere,0))))),"Mangler rollen "&amp;INDEX(AktRolle,MATCH(C756,Aktiviteter,0))&amp;"",IF(AND(C756="LMS",F756&gt;0,OR(D756="",E756="")),"Mangler maskin eller arbeid",IF(AND(OR(C756="LMS",C756="Mod"),D756&lt;&gt;""),IF(IFERROR(INDEX(MaskinStatus,MATCH(D756,Maskiner,0)),"")="I dokk","","Maskinen er ikke i dokk"),""))))))</f>
        <v/>
      </c>
      <c r="L756" s="2">
        <f>IF(B756="","",IFERROR(INT((MATCH(B756,Teknikere,0)-1)/18)+1,""))</f>
        <v/>
      </c>
      <c r="M756" s="2">
        <f>IF(OR(A756="",B756=""),"",B756&amp;"|"&amp;A756)</f>
        <v/>
      </c>
      <c r="N756" s="2">
        <f>IF(M756="","",SUMIFS(TF_Timer,TF_Nokkel,M756,TF_Akt,C756))</f>
        <v/>
      </c>
      <c r="O756" s="2">
        <f>IF(M756="","",IF(AND(N756=_xlfn.MAXIFS(TF_AktSum,TF_Nokkel,M756),COUNTIFS(M$3:M755,M756,N$3:N755,N756)=0),M756,""))</f>
        <v/>
      </c>
    </row>
    <row r="757">
      <c r="A757" s="34" t="n"/>
      <c r="B757" s="35" t="n"/>
      <c r="C757" s="35" t="n"/>
      <c r="D757" s="35" t="n"/>
      <c r="E757" s="35" t="n"/>
      <c r="F757" s="36" t="n"/>
      <c r="G757" s="35" t="n"/>
      <c r="H757" s="30">
        <f>IF(L757="","",INDEX(SkiftNavn,L757))</f>
        <v/>
      </c>
      <c r="I757" s="30">
        <f>IF(OR(A757="",L757=""),"",IF(MOD(A757-INDEX(SkiftStart,L757),Syklus)&lt;DagK,"Kveld",IF(MOD(A757-INDEX(SkiftStart,L757),Syklus)&lt;DagK+DagH,"Helg",IF(MOD(A757-INDEX(SkiftStart,L757),Syklus)&lt;DagK+DagH+DagD,"Dag","Fri"))))</f>
        <v/>
      </c>
      <c r="J757" s="30">
        <f>IF(I757="Fri","Ja","")</f>
        <v/>
      </c>
      <c r="K757" s="30">
        <f>IF(B757="","",IF(L757="","Ukjent tekniker",IF(ISNA(MATCH(C757,Aktiviteter,0)),"Ukjent aktivitet",IF(AND(INDEX(AktRolle,MATCH(C757,Aktiviteter,0))&amp;""&lt;&gt;"",ISERROR(SEARCH(INDEX(AktRolle,MATCH(C757,Aktiviteter,0))&amp;"",INDEX(TekRoller,MATCH(B757,Teknikere,0))))),"Mangler rollen "&amp;INDEX(AktRolle,MATCH(C757,Aktiviteter,0))&amp;"",IF(AND(C757="LMS",F757&gt;0,OR(D757="",E757="")),"Mangler maskin eller arbeid",IF(AND(OR(C757="LMS",C757="Mod"),D757&lt;&gt;""),IF(IFERROR(INDEX(MaskinStatus,MATCH(D757,Maskiner,0)),"")="I dokk","","Maskinen er ikke i dokk"),""))))))</f>
        <v/>
      </c>
      <c r="L757" s="2">
        <f>IF(B757="","",IFERROR(INT((MATCH(B757,Teknikere,0)-1)/18)+1,""))</f>
        <v/>
      </c>
      <c r="M757" s="2">
        <f>IF(OR(A757="",B757=""),"",B757&amp;"|"&amp;A757)</f>
        <v/>
      </c>
      <c r="N757" s="2">
        <f>IF(M757="","",SUMIFS(TF_Timer,TF_Nokkel,M757,TF_Akt,C757))</f>
        <v/>
      </c>
      <c r="O757" s="2">
        <f>IF(M757="","",IF(AND(N757=_xlfn.MAXIFS(TF_AktSum,TF_Nokkel,M757),COUNTIFS(M$3:M756,M757,N$3:N756,N757)=0),M757,""))</f>
        <v/>
      </c>
    </row>
    <row r="758">
      <c r="A758" s="34" t="n"/>
      <c r="B758" s="35" t="n"/>
      <c r="C758" s="35" t="n"/>
      <c r="D758" s="35" t="n"/>
      <c r="E758" s="35" t="n"/>
      <c r="F758" s="36" t="n"/>
      <c r="G758" s="35" t="n"/>
      <c r="H758" s="30">
        <f>IF(L758="","",INDEX(SkiftNavn,L758))</f>
        <v/>
      </c>
      <c r="I758" s="30">
        <f>IF(OR(A758="",L758=""),"",IF(MOD(A758-INDEX(SkiftStart,L758),Syklus)&lt;DagK,"Kveld",IF(MOD(A758-INDEX(SkiftStart,L758),Syklus)&lt;DagK+DagH,"Helg",IF(MOD(A758-INDEX(SkiftStart,L758),Syklus)&lt;DagK+DagH+DagD,"Dag","Fri"))))</f>
        <v/>
      </c>
      <c r="J758" s="30">
        <f>IF(I758="Fri","Ja","")</f>
        <v/>
      </c>
      <c r="K758" s="30">
        <f>IF(B758="","",IF(L758="","Ukjent tekniker",IF(ISNA(MATCH(C758,Aktiviteter,0)),"Ukjent aktivitet",IF(AND(INDEX(AktRolle,MATCH(C758,Aktiviteter,0))&amp;""&lt;&gt;"",ISERROR(SEARCH(INDEX(AktRolle,MATCH(C758,Aktiviteter,0))&amp;"",INDEX(TekRoller,MATCH(B758,Teknikere,0))))),"Mangler rollen "&amp;INDEX(AktRolle,MATCH(C758,Aktiviteter,0))&amp;"",IF(AND(C758="LMS",F758&gt;0,OR(D758="",E758="")),"Mangler maskin eller arbeid",IF(AND(OR(C758="LMS",C758="Mod"),D758&lt;&gt;""),IF(IFERROR(INDEX(MaskinStatus,MATCH(D758,Maskiner,0)),"")="I dokk","","Maskinen er ikke i dokk"),""))))))</f>
        <v/>
      </c>
      <c r="L758" s="2">
        <f>IF(B758="","",IFERROR(INT((MATCH(B758,Teknikere,0)-1)/18)+1,""))</f>
        <v/>
      </c>
      <c r="M758" s="2">
        <f>IF(OR(A758="",B758=""),"",B758&amp;"|"&amp;A758)</f>
        <v/>
      </c>
      <c r="N758" s="2">
        <f>IF(M758="","",SUMIFS(TF_Timer,TF_Nokkel,M758,TF_Akt,C758))</f>
        <v/>
      </c>
      <c r="O758" s="2">
        <f>IF(M758="","",IF(AND(N758=_xlfn.MAXIFS(TF_AktSum,TF_Nokkel,M758),COUNTIFS(M$3:M757,M758,N$3:N757,N758)=0),M758,""))</f>
        <v/>
      </c>
    </row>
    <row r="759">
      <c r="A759" s="34" t="n"/>
      <c r="B759" s="35" t="n"/>
      <c r="C759" s="35" t="n"/>
      <c r="D759" s="35" t="n"/>
      <c r="E759" s="35" t="n"/>
      <c r="F759" s="36" t="n"/>
      <c r="G759" s="35" t="n"/>
      <c r="H759" s="30">
        <f>IF(L759="","",INDEX(SkiftNavn,L759))</f>
        <v/>
      </c>
      <c r="I759" s="30">
        <f>IF(OR(A759="",L759=""),"",IF(MOD(A759-INDEX(SkiftStart,L759),Syklus)&lt;DagK,"Kveld",IF(MOD(A759-INDEX(SkiftStart,L759),Syklus)&lt;DagK+DagH,"Helg",IF(MOD(A759-INDEX(SkiftStart,L759),Syklus)&lt;DagK+DagH+DagD,"Dag","Fri"))))</f>
        <v/>
      </c>
      <c r="J759" s="30">
        <f>IF(I759="Fri","Ja","")</f>
        <v/>
      </c>
      <c r="K759" s="30">
        <f>IF(B759="","",IF(L759="","Ukjent tekniker",IF(ISNA(MATCH(C759,Aktiviteter,0)),"Ukjent aktivitet",IF(AND(INDEX(AktRolle,MATCH(C759,Aktiviteter,0))&amp;""&lt;&gt;"",ISERROR(SEARCH(INDEX(AktRolle,MATCH(C759,Aktiviteter,0))&amp;"",INDEX(TekRoller,MATCH(B759,Teknikere,0))))),"Mangler rollen "&amp;INDEX(AktRolle,MATCH(C759,Aktiviteter,0))&amp;"",IF(AND(C759="LMS",F759&gt;0,OR(D759="",E759="")),"Mangler maskin eller arbeid",IF(AND(OR(C759="LMS",C759="Mod"),D759&lt;&gt;""),IF(IFERROR(INDEX(MaskinStatus,MATCH(D759,Maskiner,0)),"")="I dokk","","Maskinen er ikke i dokk"),""))))))</f>
        <v/>
      </c>
      <c r="L759" s="2">
        <f>IF(B759="","",IFERROR(INT((MATCH(B759,Teknikere,0)-1)/18)+1,""))</f>
        <v/>
      </c>
      <c r="M759" s="2">
        <f>IF(OR(A759="",B759=""),"",B759&amp;"|"&amp;A759)</f>
        <v/>
      </c>
      <c r="N759" s="2">
        <f>IF(M759="","",SUMIFS(TF_Timer,TF_Nokkel,M759,TF_Akt,C759))</f>
        <v/>
      </c>
      <c r="O759" s="2">
        <f>IF(M759="","",IF(AND(N759=_xlfn.MAXIFS(TF_AktSum,TF_Nokkel,M759),COUNTIFS(M$3:M758,M759,N$3:N758,N759)=0),M759,""))</f>
        <v/>
      </c>
    </row>
    <row r="760">
      <c r="A760" s="34" t="n"/>
      <c r="B760" s="35" t="n"/>
      <c r="C760" s="35" t="n"/>
      <c r="D760" s="35" t="n"/>
      <c r="E760" s="35" t="n"/>
      <c r="F760" s="36" t="n"/>
      <c r="G760" s="35" t="n"/>
      <c r="H760" s="30">
        <f>IF(L760="","",INDEX(SkiftNavn,L760))</f>
        <v/>
      </c>
      <c r="I760" s="30">
        <f>IF(OR(A760="",L760=""),"",IF(MOD(A760-INDEX(SkiftStart,L760),Syklus)&lt;DagK,"Kveld",IF(MOD(A760-INDEX(SkiftStart,L760),Syklus)&lt;DagK+DagH,"Helg",IF(MOD(A760-INDEX(SkiftStart,L760),Syklus)&lt;DagK+DagH+DagD,"Dag","Fri"))))</f>
        <v/>
      </c>
      <c r="J760" s="30">
        <f>IF(I760="Fri","Ja","")</f>
        <v/>
      </c>
      <c r="K760" s="30">
        <f>IF(B760="","",IF(L760="","Ukjent tekniker",IF(ISNA(MATCH(C760,Aktiviteter,0)),"Ukjent aktivitet",IF(AND(INDEX(AktRolle,MATCH(C760,Aktiviteter,0))&amp;""&lt;&gt;"",ISERROR(SEARCH(INDEX(AktRolle,MATCH(C760,Aktiviteter,0))&amp;"",INDEX(TekRoller,MATCH(B760,Teknikere,0))))),"Mangler rollen "&amp;INDEX(AktRolle,MATCH(C760,Aktiviteter,0))&amp;"",IF(AND(C760="LMS",F760&gt;0,OR(D760="",E760="")),"Mangler maskin eller arbeid",IF(AND(OR(C760="LMS",C760="Mod"),D760&lt;&gt;""),IF(IFERROR(INDEX(MaskinStatus,MATCH(D760,Maskiner,0)),"")="I dokk","","Maskinen er ikke i dokk"),""))))))</f>
        <v/>
      </c>
      <c r="L760" s="2">
        <f>IF(B760="","",IFERROR(INT((MATCH(B760,Teknikere,0)-1)/18)+1,""))</f>
        <v/>
      </c>
      <c r="M760" s="2">
        <f>IF(OR(A760="",B760=""),"",B760&amp;"|"&amp;A760)</f>
        <v/>
      </c>
      <c r="N760" s="2">
        <f>IF(M760="","",SUMIFS(TF_Timer,TF_Nokkel,M760,TF_Akt,C760))</f>
        <v/>
      </c>
      <c r="O760" s="2">
        <f>IF(M760="","",IF(AND(N760=_xlfn.MAXIFS(TF_AktSum,TF_Nokkel,M760),COUNTIFS(M$3:M759,M760,N$3:N759,N760)=0),M760,""))</f>
        <v/>
      </c>
    </row>
    <row r="761">
      <c r="A761" s="34" t="n"/>
      <c r="B761" s="35" t="n"/>
      <c r="C761" s="35" t="n"/>
      <c r="D761" s="35" t="n"/>
      <c r="E761" s="35" t="n"/>
      <c r="F761" s="36" t="n"/>
      <c r="G761" s="35" t="n"/>
      <c r="H761" s="30">
        <f>IF(L761="","",INDEX(SkiftNavn,L761))</f>
        <v/>
      </c>
      <c r="I761" s="30">
        <f>IF(OR(A761="",L761=""),"",IF(MOD(A761-INDEX(SkiftStart,L761),Syklus)&lt;DagK,"Kveld",IF(MOD(A761-INDEX(SkiftStart,L761),Syklus)&lt;DagK+DagH,"Helg",IF(MOD(A761-INDEX(SkiftStart,L761),Syklus)&lt;DagK+DagH+DagD,"Dag","Fri"))))</f>
        <v/>
      </c>
      <c r="J761" s="30">
        <f>IF(I761="Fri","Ja","")</f>
        <v/>
      </c>
      <c r="K761" s="30">
        <f>IF(B761="","",IF(L761="","Ukjent tekniker",IF(ISNA(MATCH(C761,Aktiviteter,0)),"Ukjent aktivitet",IF(AND(INDEX(AktRolle,MATCH(C761,Aktiviteter,0))&amp;""&lt;&gt;"",ISERROR(SEARCH(INDEX(AktRolle,MATCH(C761,Aktiviteter,0))&amp;"",INDEX(TekRoller,MATCH(B761,Teknikere,0))))),"Mangler rollen "&amp;INDEX(AktRolle,MATCH(C761,Aktiviteter,0))&amp;"",IF(AND(C761="LMS",F761&gt;0,OR(D761="",E761="")),"Mangler maskin eller arbeid",IF(AND(OR(C761="LMS",C761="Mod"),D761&lt;&gt;""),IF(IFERROR(INDEX(MaskinStatus,MATCH(D761,Maskiner,0)),"")="I dokk","","Maskinen er ikke i dokk"),""))))))</f>
        <v/>
      </c>
      <c r="L761" s="2">
        <f>IF(B761="","",IFERROR(INT((MATCH(B761,Teknikere,0)-1)/18)+1,""))</f>
        <v/>
      </c>
      <c r="M761" s="2">
        <f>IF(OR(A761="",B761=""),"",B761&amp;"|"&amp;A761)</f>
        <v/>
      </c>
      <c r="N761" s="2">
        <f>IF(M761="","",SUMIFS(TF_Timer,TF_Nokkel,M761,TF_Akt,C761))</f>
        <v/>
      </c>
      <c r="O761" s="2">
        <f>IF(M761="","",IF(AND(N761=_xlfn.MAXIFS(TF_AktSum,TF_Nokkel,M761),COUNTIFS(M$3:M760,M761,N$3:N760,N761)=0),M761,""))</f>
        <v/>
      </c>
    </row>
    <row r="762">
      <c r="A762" s="34" t="n"/>
      <c r="B762" s="35" t="n"/>
      <c r="C762" s="35" t="n"/>
      <c r="D762" s="35" t="n"/>
      <c r="E762" s="35" t="n"/>
      <c r="F762" s="36" t="n"/>
      <c r="G762" s="35" t="n"/>
      <c r="H762" s="30">
        <f>IF(L762="","",INDEX(SkiftNavn,L762))</f>
        <v/>
      </c>
      <c r="I762" s="30">
        <f>IF(OR(A762="",L762=""),"",IF(MOD(A762-INDEX(SkiftStart,L762),Syklus)&lt;DagK,"Kveld",IF(MOD(A762-INDEX(SkiftStart,L762),Syklus)&lt;DagK+DagH,"Helg",IF(MOD(A762-INDEX(SkiftStart,L762),Syklus)&lt;DagK+DagH+DagD,"Dag","Fri"))))</f>
        <v/>
      </c>
      <c r="J762" s="30">
        <f>IF(I762="Fri","Ja","")</f>
        <v/>
      </c>
      <c r="K762" s="30">
        <f>IF(B762="","",IF(L762="","Ukjent tekniker",IF(ISNA(MATCH(C762,Aktiviteter,0)),"Ukjent aktivitet",IF(AND(INDEX(AktRolle,MATCH(C762,Aktiviteter,0))&amp;""&lt;&gt;"",ISERROR(SEARCH(INDEX(AktRolle,MATCH(C762,Aktiviteter,0))&amp;"",INDEX(TekRoller,MATCH(B762,Teknikere,0))))),"Mangler rollen "&amp;INDEX(AktRolle,MATCH(C762,Aktiviteter,0))&amp;"",IF(AND(C762="LMS",F762&gt;0,OR(D762="",E762="")),"Mangler maskin eller arbeid",IF(AND(OR(C762="LMS",C762="Mod"),D762&lt;&gt;""),IF(IFERROR(INDEX(MaskinStatus,MATCH(D762,Maskiner,0)),"")="I dokk","","Maskinen er ikke i dokk"),""))))))</f>
        <v/>
      </c>
      <c r="L762" s="2">
        <f>IF(B762="","",IFERROR(INT((MATCH(B762,Teknikere,0)-1)/18)+1,""))</f>
        <v/>
      </c>
      <c r="M762" s="2">
        <f>IF(OR(A762="",B762=""),"",B762&amp;"|"&amp;A762)</f>
        <v/>
      </c>
      <c r="N762" s="2">
        <f>IF(M762="","",SUMIFS(TF_Timer,TF_Nokkel,M762,TF_Akt,C762))</f>
        <v/>
      </c>
      <c r="O762" s="2">
        <f>IF(M762="","",IF(AND(N762=_xlfn.MAXIFS(TF_AktSum,TF_Nokkel,M762),COUNTIFS(M$3:M761,M762,N$3:N761,N762)=0),M762,""))</f>
        <v/>
      </c>
    </row>
    <row r="763">
      <c r="A763" s="34" t="n"/>
      <c r="B763" s="35" t="n"/>
      <c r="C763" s="35" t="n"/>
      <c r="D763" s="35" t="n"/>
      <c r="E763" s="35" t="n"/>
      <c r="F763" s="36" t="n"/>
      <c r="G763" s="35" t="n"/>
      <c r="H763" s="30">
        <f>IF(L763="","",INDEX(SkiftNavn,L763))</f>
        <v/>
      </c>
      <c r="I763" s="30">
        <f>IF(OR(A763="",L763=""),"",IF(MOD(A763-INDEX(SkiftStart,L763),Syklus)&lt;DagK,"Kveld",IF(MOD(A763-INDEX(SkiftStart,L763),Syklus)&lt;DagK+DagH,"Helg",IF(MOD(A763-INDEX(SkiftStart,L763),Syklus)&lt;DagK+DagH+DagD,"Dag","Fri"))))</f>
        <v/>
      </c>
      <c r="J763" s="30">
        <f>IF(I763="Fri","Ja","")</f>
        <v/>
      </c>
      <c r="K763" s="30">
        <f>IF(B763="","",IF(L763="","Ukjent tekniker",IF(ISNA(MATCH(C763,Aktiviteter,0)),"Ukjent aktivitet",IF(AND(INDEX(AktRolle,MATCH(C763,Aktiviteter,0))&amp;""&lt;&gt;"",ISERROR(SEARCH(INDEX(AktRolle,MATCH(C763,Aktiviteter,0))&amp;"",INDEX(TekRoller,MATCH(B763,Teknikere,0))))),"Mangler rollen "&amp;INDEX(AktRolle,MATCH(C763,Aktiviteter,0))&amp;"",IF(AND(C763="LMS",F763&gt;0,OR(D763="",E763="")),"Mangler maskin eller arbeid",IF(AND(OR(C763="LMS",C763="Mod"),D763&lt;&gt;""),IF(IFERROR(INDEX(MaskinStatus,MATCH(D763,Maskiner,0)),"")="I dokk","","Maskinen er ikke i dokk"),""))))))</f>
        <v/>
      </c>
      <c r="L763" s="2">
        <f>IF(B763="","",IFERROR(INT((MATCH(B763,Teknikere,0)-1)/18)+1,""))</f>
        <v/>
      </c>
      <c r="M763" s="2">
        <f>IF(OR(A763="",B763=""),"",B763&amp;"|"&amp;A763)</f>
        <v/>
      </c>
      <c r="N763" s="2">
        <f>IF(M763="","",SUMIFS(TF_Timer,TF_Nokkel,M763,TF_Akt,C763))</f>
        <v/>
      </c>
      <c r="O763" s="2">
        <f>IF(M763="","",IF(AND(N763=_xlfn.MAXIFS(TF_AktSum,TF_Nokkel,M763),COUNTIFS(M$3:M762,M763,N$3:N762,N763)=0),M763,""))</f>
        <v/>
      </c>
    </row>
    <row r="764">
      <c r="A764" s="34" t="n"/>
      <c r="B764" s="35" t="n"/>
      <c r="C764" s="35" t="n"/>
      <c r="D764" s="35" t="n"/>
      <c r="E764" s="35" t="n"/>
      <c r="F764" s="36" t="n"/>
      <c r="G764" s="35" t="n"/>
      <c r="H764" s="30">
        <f>IF(L764="","",INDEX(SkiftNavn,L764))</f>
        <v/>
      </c>
      <c r="I764" s="30">
        <f>IF(OR(A764="",L764=""),"",IF(MOD(A764-INDEX(SkiftStart,L764),Syklus)&lt;DagK,"Kveld",IF(MOD(A764-INDEX(SkiftStart,L764),Syklus)&lt;DagK+DagH,"Helg",IF(MOD(A764-INDEX(SkiftStart,L764),Syklus)&lt;DagK+DagH+DagD,"Dag","Fri"))))</f>
        <v/>
      </c>
      <c r="J764" s="30">
        <f>IF(I764="Fri","Ja","")</f>
        <v/>
      </c>
      <c r="K764" s="30">
        <f>IF(B764="","",IF(L764="","Ukjent tekniker",IF(ISNA(MATCH(C764,Aktiviteter,0)),"Ukjent aktivitet",IF(AND(INDEX(AktRolle,MATCH(C764,Aktiviteter,0))&amp;""&lt;&gt;"",ISERROR(SEARCH(INDEX(AktRolle,MATCH(C764,Aktiviteter,0))&amp;"",INDEX(TekRoller,MATCH(B764,Teknikere,0))))),"Mangler rollen "&amp;INDEX(AktRolle,MATCH(C764,Aktiviteter,0))&amp;"",IF(AND(C764="LMS",F764&gt;0,OR(D764="",E764="")),"Mangler maskin eller arbeid",IF(AND(OR(C764="LMS",C764="Mod"),D764&lt;&gt;""),IF(IFERROR(INDEX(MaskinStatus,MATCH(D764,Maskiner,0)),"")="I dokk","","Maskinen er ikke i dokk"),""))))))</f>
        <v/>
      </c>
      <c r="L764" s="2">
        <f>IF(B764="","",IFERROR(INT((MATCH(B764,Teknikere,0)-1)/18)+1,""))</f>
        <v/>
      </c>
      <c r="M764" s="2">
        <f>IF(OR(A764="",B764=""),"",B764&amp;"|"&amp;A764)</f>
        <v/>
      </c>
      <c r="N764" s="2">
        <f>IF(M764="","",SUMIFS(TF_Timer,TF_Nokkel,M764,TF_Akt,C764))</f>
        <v/>
      </c>
      <c r="O764" s="2">
        <f>IF(M764="","",IF(AND(N764=_xlfn.MAXIFS(TF_AktSum,TF_Nokkel,M764),COUNTIFS(M$3:M763,M764,N$3:N763,N764)=0),M764,""))</f>
        <v/>
      </c>
    </row>
    <row r="765">
      <c r="A765" s="34" t="n"/>
      <c r="B765" s="35" t="n"/>
      <c r="C765" s="35" t="n"/>
      <c r="D765" s="35" t="n"/>
      <c r="E765" s="35" t="n"/>
      <c r="F765" s="36" t="n"/>
      <c r="G765" s="35" t="n"/>
      <c r="H765" s="30">
        <f>IF(L765="","",INDEX(SkiftNavn,L765))</f>
        <v/>
      </c>
      <c r="I765" s="30">
        <f>IF(OR(A765="",L765=""),"",IF(MOD(A765-INDEX(SkiftStart,L765),Syklus)&lt;DagK,"Kveld",IF(MOD(A765-INDEX(SkiftStart,L765),Syklus)&lt;DagK+DagH,"Helg",IF(MOD(A765-INDEX(SkiftStart,L765),Syklus)&lt;DagK+DagH+DagD,"Dag","Fri"))))</f>
        <v/>
      </c>
      <c r="J765" s="30">
        <f>IF(I765="Fri","Ja","")</f>
        <v/>
      </c>
      <c r="K765" s="30">
        <f>IF(B765="","",IF(L765="","Ukjent tekniker",IF(ISNA(MATCH(C765,Aktiviteter,0)),"Ukjent aktivitet",IF(AND(INDEX(AktRolle,MATCH(C765,Aktiviteter,0))&amp;""&lt;&gt;"",ISERROR(SEARCH(INDEX(AktRolle,MATCH(C765,Aktiviteter,0))&amp;"",INDEX(TekRoller,MATCH(B765,Teknikere,0))))),"Mangler rollen "&amp;INDEX(AktRolle,MATCH(C765,Aktiviteter,0))&amp;"",IF(AND(C765="LMS",F765&gt;0,OR(D765="",E765="")),"Mangler maskin eller arbeid",IF(AND(OR(C765="LMS",C765="Mod"),D765&lt;&gt;""),IF(IFERROR(INDEX(MaskinStatus,MATCH(D765,Maskiner,0)),"")="I dokk","","Maskinen er ikke i dokk"),""))))))</f>
        <v/>
      </c>
      <c r="L765" s="2">
        <f>IF(B765="","",IFERROR(INT((MATCH(B765,Teknikere,0)-1)/18)+1,""))</f>
        <v/>
      </c>
      <c r="M765" s="2">
        <f>IF(OR(A765="",B765=""),"",B765&amp;"|"&amp;A765)</f>
        <v/>
      </c>
      <c r="N765" s="2">
        <f>IF(M765="","",SUMIFS(TF_Timer,TF_Nokkel,M765,TF_Akt,C765))</f>
        <v/>
      </c>
      <c r="O765" s="2">
        <f>IF(M765="","",IF(AND(N765=_xlfn.MAXIFS(TF_AktSum,TF_Nokkel,M765),COUNTIFS(M$3:M764,M765,N$3:N764,N765)=0),M765,""))</f>
        <v/>
      </c>
    </row>
    <row r="766">
      <c r="A766" s="34" t="n"/>
      <c r="B766" s="35" t="n"/>
      <c r="C766" s="35" t="n"/>
      <c r="D766" s="35" t="n"/>
      <c r="E766" s="35" t="n"/>
      <c r="F766" s="36" t="n"/>
      <c r="G766" s="35" t="n"/>
      <c r="H766" s="30">
        <f>IF(L766="","",INDEX(SkiftNavn,L766))</f>
        <v/>
      </c>
      <c r="I766" s="30">
        <f>IF(OR(A766="",L766=""),"",IF(MOD(A766-INDEX(SkiftStart,L766),Syklus)&lt;DagK,"Kveld",IF(MOD(A766-INDEX(SkiftStart,L766),Syklus)&lt;DagK+DagH,"Helg",IF(MOD(A766-INDEX(SkiftStart,L766),Syklus)&lt;DagK+DagH+DagD,"Dag","Fri"))))</f>
        <v/>
      </c>
      <c r="J766" s="30">
        <f>IF(I766="Fri","Ja","")</f>
        <v/>
      </c>
      <c r="K766" s="30">
        <f>IF(B766="","",IF(L766="","Ukjent tekniker",IF(ISNA(MATCH(C766,Aktiviteter,0)),"Ukjent aktivitet",IF(AND(INDEX(AktRolle,MATCH(C766,Aktiviteter,0))&amp;""&lt;&gt;"",ISERROR(SEARCH(INDEX(AktRolle,MATCH(C766,Aktiviteter,0))&amp;"",INDEX(TekRoller,MATCH(B766,Teknikere,0))))),"Mangler rollen "&amp;INDEX(AktRolle,MATCH(C766,Aktiviteter,0))&amp;"",IF(AND(C766="LMS",F766&gt;0,OR(D766="",E766="")),"Mangler maskin eller arbeid",IF(AND(OR(C766="LMS",C766="Mod"),D766&lt;&gt;""),IF(IFERROR(INDEX(MaskinStatus,MATCH(D766,Maskiner,0)),"")="I dokk","","Maskinen er ikke i dokk"),""))))))</f>
        <v/>
      </c>
      <c r="L766" s="2">
        <f>IF(B766="","",IFERROR(INT((MATCH(B766,Teknikere,0)-1)/18)+1,""))</f>
        <v/>
      </c>
      <c r="M766" s="2">
        <f>IF(OR(A766="",B766=""),"",B766&amp;"|"&amp;A766)</f>
        <v/>
      </c>
      <c r="N766" s="2">
        <f>IF(M766="","",SUMIFS(TF_Timer,TF_Nokkel,M766,TF_Akt,C766))</f>
        <v/>
      </c>
      <c r="O766" s="2">
        <f>IF(M766="","",IF(AND(N766=_xlfn.MAXIFS(TF_AktSum,TF_Nokkel,M766),COUNTIFS(M$3:M765,M766,N$3:N765,N766)=0),M766,""))</f>
        <v/>
      </c>
    </row>
    <row r="767">
      <c r="A767" s="34" t="n"/>
      <c r="B767" s="35" t="n"/>
      <c r="C767" s="35" t="n"/>
      <c r="D767" s="35" t="n"/>
      <c r="E767" s="35" t="n"/>
      <c r="F767" s="36" t="n"/>
      <c r="G767" s="35" t="n"/>
      <c r="H767" s="30">
        <f>IF(L767="","",INDEX(SkiftNavn,L767))</f>
        <v/>
      </c>
      <c r="I767" s="30">
        <f>IF(OR(A767="",L767=""),"",IF(MOD(A767-INDEX(SkiftStart,L767),Syklus)&lt;DagK,"Kveld",IF(MOD(A767-INDEX(SkiftStart,L767),Syklus)&lt;DagK+DagH,"Helg",IF(MOD(A767-INDEX(SkiftStart,L767),Syklus)&lt;DagK+DagH+DagD,"Dag","Fri"))))</f>
        <v/>
      </c>
      <c r="J767" s="30">
        <f>IF(I767="Fri","Ja","")</f>
        <v/>
      </c>
      <c r="K767" s="30">
        <f>IF(B767="","",IF(L767="","Ukjent tekniker",IF(ISNA(MATCH(C767,Aktiviteter,0)),"Ukjent aktivitet",IF(AND(INDEX(AktRolle,MATCH(C767,Aktiviteter,0))&amp;""&lt;&gt;"",ISERROR(SEARCH(INDEX(AktRolle,MATCH(C767,Aktiviteter,0))&amp;"",INDEX(TekRoller,MATCH(B767,Teknikere,0))))),"Mangler rollen "&amp;INDEX(AktRolle,MATCH(C767,Aktiviteter,0))&amp;"",IF(AND(C767="LMS",F767&gt;0,OR(D767="",E767="")),"Mangler maskin eller arbeid",IF(AND(OR(C767="LMS",C767="Mod"),D767&lt;&gt;""),IF(IFERROR(INDEX(MaskinStatus,MATCH(D767,Maskiner,0)),"")="I dokk","","Maskinen er ikke i dokk"),""))))))</f>
        <v/>
      </c>
      <c r="L767" s="2">
        <f>IF(B767="","",IFERROR(INT((MATCH(B767,Teknikere,0)-1)/18)+1,""))</f>
        <v/>
      </c>
      <c r="M767" s="2">
        <f>IF(OR(A767="",B767=""),"",B767&amp;"|"&amp;A767)</f>
        <v/>
      </c>
      <c r="N767" s="2">
        <f>IF(M767="","",SUMIFS(TF_Timer,TF_Nokkel,M767,TF_Akt,C767))</f>
        <v/>
      </c>
      <c r="O767" s="2">
        <f>IF(M767="","",IF(AND(N767=_xlfn.MAXIFS(TF_AktSum,TF_Nokkel,M767),COUNTIFS(M$3:M766,M767,N$3:N766,N767)=0),M767,""))</f>
        <v/>
      </c>
    </row>
    <row r="768">
      <c r="A768" s="34" t="n"/>
      <c r="B768" s="35" t="n"/>
      <c r="C768" s="35" t="n"/>
      <c r="D768" s="35" t="n"/>
      <c r="E768" s="35" t="n"/>
      <c r="F768" s="36" t="n"/>
      <c r="G768" s="35" t="n"/>
      <c r="H768" s="30">
        <f>IF(L768="","",INDEX(SkiftNavn,L768))</f>
        <v/>
      </c>
      <c r="I768" s="30">
        <f>IF(OR(A768="",L768=""),"",IF(MOD(A768-INDEX(SkiftStart,L768),Syklus)&lt;DagK,"Kveld",IF(MOD(A768-INDEX(SkiftStart,L768),Syklus)&lt;DagK+DagH,"Helg",IF(MOD(A768-INDEX(SkiftStart,L768),Syklus)&lt;DagK+DagH+DagD,"Dag","Fri"))))</f>
        <v/>
      </c>
      <c r="J768" s="30">
        <f>IF(I768="Fri","Ja","")</f>
        <v/>
      </c>
      <c r="K768" s="30">
        <f>IF(B768="","",IF(L768="","Ukjent tekniker",IF(ISNA(MATCH(C768,Aktiviteter,0)),"Ukjent aktivitet",IF(AND(INDEX(AktRolle,MATCH(C768,Aktiviteter,0))&amp;""&lt;&gt;"",ISERROR(SEARCH(INDEX(AktRolle,MATCH(C768,Aktiviteter,0))&amp;"",INDEX(TekRoller,MATCH(B768,Teknikere,0))))),"Mangler rollen "&amp;INDEX(AktRolle,MATCH(C768,Aktiviteter,0))&amp;"",IF(AND(C768="LMS",F768&gt;0,OR(D768="",E768="")),"Mangler maskin eller arbeid",IF(AND(OR(C768="LMS",C768="Mod"),D768&lt;&gt;""),IF(IFERROR(INDEX(MaskinStatus,MATCH(D768,Maskiner,0)),"")="I dokk","","Maskinen er ikke i dokk"),""))))))</f>
        <v/>
      </c>
      <c r="L768" s="2">
        <f>IF(B768="","",IFERROR(INT((MATCH(B768,Teknikere,0)-1)/18)+1,""))</f>
        <v/>
      </c>
      <c r="M768" s="2">
        <f>IF(OR(A768="",B768=""),"",B768&amp;"|"&amp;A768)</f>
        <v/>
      </c>
      <c r="N768" s="2">
        <f>IF(M768="","",SUMIFS(TF_Timer,TF_Nokkel,M768,TF_Akt,C768))</f>
        <v/>
      </c>
      <c r="O768" s="2">
        <f>IF(M768="","",IF(AND(N768=_xlfn.MAXIFS(TF_AktSum,TF_Nokkel,M768),COUNTIFS(M$3:M767,M768,N$3:N767,N768)=0),M768,""))</f>
        <v/>
      </c>
    </row>
    <row r="769">
      <c r="A769" s="34" t="n"/>
      <c r="B769" s="35" t="n"/>
      <c r="C769" s="35" t="n"/>
      <c r="D769" s="35" t="n"/>
      <c r="E769" s="35" t="n"/>
      <c r="F769" s="36" t="n"/>
      <c r="G769" s="35" t="n"/>
      <c r="H769" s="30">
        <f>IF(L769="","",INDEX(SkiftNavn,L769))</f>
        <v/>
      </c>
      <c r="I769" s="30">
        <f>IF(OR(A769="",L769=""),"",IF(MOD(A769-INDEX(SkiftStart,L769),Syklus)&lt;DagK,"Kveld",IF(MOD(A769-INDEX(SkiftStart,L769),Syklus)&lt;DagK+DagH,"Helg",IF(MOD(A769-INDEX(SkiftStart,L769),Syklus)&lt;DagK+DagH+DagD,"Dag","Fri"))))</f>
        <v/>
      </c>
      <c r="J769" s="30">
        <f>IF(I769="Fri","Ja","")</f>
        <v/>
      </c>
      <c r="K769" s="30">
        <f>IF(B769="","",IF(L769="","Ukjent tekniker",IF(ISNA(MATCH(C769,Aktiviteter,0)),"Ukjent aktivitet",IF(AND(INDEX(AktRolle,MATCH(C769,Aktiviteter,0))&amp;""&lt;&gt;"",ISERROR(SEARCH(INDEX(AktRolle,MATCH(C769,Aktiviteter,0))&amp;"",INDEX(TekRoller,MATCH(B769,Teknikere,0))))),"Mangler rollen "&amp;INDEX(AktRolle,MATCH(C769,Aktiviteter,0))&amp;"",IF(AND(C769="LMS",F769&gt;0,OR(D769="",E769="")),"Mangler maskin eller arbeid",IF(AND(OR(C769="LMS",C769="Mod"),D769&lt;&gt;""),IF(IFERROR(INDEX(MaskinStatus,MATCH(D769,Maskiner,0)),"")="I dokk","","Maskinen er ikke i dokk"),""))))))</f>
        <v/>
      </c>
      <c r="L769" s="2">
        <f>IF(B769="","",IFERROR(INT((MATCH(B769,Teknikere,0)-1)/18)+1,""))</f>
        <v/>
      </c>
      <c r="M769" s="2">
        <f>IF(OR(A769="",B769=""),"",B769&amp;"|"&amp;A769)</f>
        <v/>
      </c>
      <c r="N769" s="2">
        <f>IF(M769="","",SUMIFS(TF_Timer,TF_Nokkel,M769,TF_Akt,C769))</f>
        <v/>
      </c>
      <c r="O769" s="2">
        <f>IF(M769="","",IF(AND(N769=_xlfn.MAXIFS(TF_AktSum,TF_Nokkel,M769),COUNTIFS(M$3:M768,M769,N$3:N768,N769)=0),M769,""))</f>
        <v/>
      </c>
    </row>
    <row r="770">
      <c r="A770" s="34" t="n"/>
      <c r="B770" s="35" t="n"/>
      <c r="C770" s="35" t="n"/>
      <c r="D770" s="35" t="n"/>
      <c r="E770" s="35" t="n"/>
      <c r="F770" s="36" t="n"/>
      <c r="G770" s="35" t="n"/>
      <c r="H770" s="30">
        <f>IF(L770="","",INDEX(SkiftNavn,L770))</f>
        <v/>
      </c>
      <c r="I770" s="30">
        <f>IF(OR(A770="",L770=""),"",IF(MOD(A770-INDEX(SkiftStart,L770),Syklus)&lt;DagK,"Kveld",IF(MOD(A770-INDEX(SkiftStart,L770),Syklus)&lt;DagK+DagH,"Helg",IF(MOD(A770-INDEX(SkiftStart,L770),Syklus)&lt;DagK+DagH+DagD,"Dag","Fri"))))</f>
        <v/>
      </c>
      <c r="J770" s="30">
        <f>IF(I770="Fri","Ja","")</f>
        <v/>
      </c>
      <c r="K770" s="30">
        <f>IF(B770="","",IF(L770="","Ukjent tekniker",IF(ISNA(MATCH(C770,Aktiviteter,0)),"Ukjent aktivitet",IF(AND(INDEX(AktRolle,MATCH(C770,Aktiviteter,0))&amp;""&lt;&gt;"",ISERROR(SEARCH(INDEX(AktRolle,MATCH(C770,Aktiviteter,0))&amp;"",INDEX(TekRoller,MATCH(B770,Teknikere,0))))),"Mangler rollen "&amp;INDEX(AktRolle,MATCH(C770,Aktiviteter,0))&amp;"",IF(AND(C770="LMS",F770&gt;0,OR(D770="",E770="")),"Mangler maskin eller arbeid",IF(AND(OR(C770="LMS",C770="Mod"),D770&lt;&gt;""),IF(IFERROR(INDEX(MaskinStatus,MATCH(D770,Maskiner,0)),"")="I dokk","","Maskinen er ikke i dokk"),""))))))</f>
        <v/>
      </c>
      <c r="L770" s="2">
        <f>IF(B770="","",IFERROR(INT((MATCH(B770,Teknikere,0)-1)/18)+1,""))</f>
        <v/>
      </c>
      <c r="M770" s="2">
        <f>IF(OR(A770="",B770=""),"",B770&amp;"|"&amp;A770)</f>
        <v/>
      </c>
      <c r="N770" s="2">
        <f>IF(M770="","",SUMIFS(TF_Timer,TF_Nokkel,M770,TF_Akt,C770))</f>
        <v/>
      </c>
      <c r="O770" s="2">
        <f>IF(M770="","",IF(AND(N770=_xlfn.MAXIFS(TF_AktSum,TF_Nokkel,M770),COUNTIFS(M$3:M769,M770,N$3:N769,N770)=0),M770,""))</f>
        <v/>
      </c>
    </row>
    <row r="771">
      <c r="A771" s="34" t="n"/>
      <c r="B771" s="35" t="n"/>
      <c r="C771" s="35" t="n"/>
      <c r="D771" s="35" t="n"/>
      <c r="E771" s="35" t="n"/>
      <c r="F771" s="36" t="n"/>
      <c r="G771" s="35" t="n"/>
      <c r="H771" s="30">
        <f>IF(L771="","",INDEX(SkiftNavn,L771))</f>
        <v/>
      </c>
      <c r="I771" s="30">
        <f>IF(OR(A771="",L771=""),"",IF(MOD(A771-INDEX(SkiftStart,L771),Syklus)&lt;DagK,"Kveld",IF(MOD(A771-INDEX(SkiftStart,L771),Syklus)&lt;DagK+DagH,"Helg",IF(MOD(A771-INDEX(SkiftStart,L771),Syklus)&lt;DagK+DagH+DagD,"Dag","Fri"))))</f>
        <v/>
      </c>
      <c r="J771" s="30">
        <f>IF(I771="Fri","Ja","")</f>
        <v/>
      </c>
      <c r="K771" s="30">
        <f>IF(B771="","",IF(L771="","Ukjent tekniker",IF(ISNA(MATCH(C771,Aktiviteter,0)),"Ukjent aktivitet",IF(AND(INDEX(AktRolle,MATCH(C771,Aktiviteter,0))&amp;""&lt;&gt;"",ISERROR(SEARCH(INDEX(AktRolle,MATCH(C771,Aktiviteter,0))&amp;"",INDEX(TekRoller,MATCH(B771,Teknikere,0))))),"Mangler rollen "&amp;INDEX(AktRolle,MATCH(C771,Aktiviteter,0))&amp;"",IF(AND(C771="LMS",F771&gt;0,OR(D771="",E771="")),"Mangler maskin eller arbeid",IF(AND(OR(C771="LMS",C771="Mod"),D771&lt;&gt;""),IF(IFERROR(INDEX(MaskinStatus,MATCH(D771,Maskiner,0)),"")="I dokk","","Maskinen er ikke i dokk"),""))))))</f>
        <v/>
      </c>
      <c r="L771" s="2">
        <f>IF(B771="","",IFERROR(INT((MATCH(B771,Teknikere,0)-1)/18)+1,""))</f>
        <v/>
      </c>
      <c r="M771" s="2">
        <f>IF(OR(A771="",B771=""),"",B771&amp;"|"&amp;A771)</f>
        <v/>
      </c>
      <c r="N771" s="2">
        <f>IF(M771="","",SUMIFS(TF_Timer,TF_Nokkel,M771,TF_Akt,C771))</f>
        <v/>
      </c>
      <c r="O771" s="2">
        <f>IF(M771="","",IF(AND(N771=_xlfn.MAXIFS(TF_AktSum,TF_Nokkel,M771),COUNTIFS(M$3:M770,M771,N$3:N770,N771)=0),M771,""))</f>
        <v/>
      </c>
    </row>
    <row r="772">
      <c r="A772" s="34" t="n"/>
      <c r="B772" s="35" t="n"/>
      <c r="C772" s="35" t="n"/>
      <c r="D772" s="35" t="n"/>
      <c r="E772" s="35" t="n"/>
      <c r="F772" s="36" t="n"/>
      <c r="G772" s="35" t="n"/>
      <c r="H772" s="30">
        <f>IF(L772="","",INDEX(SkiftNavn,L772))</f>
        <v/>
      </c>
      <c r="I772" s="30">
        <f>IF(OR(A772="",L772=""),"",IF(MOD(A772-INDEX(SkiftStart,L772),Syklus)&lt;DagK,"Kveld",IF(MOD(A772-INDEX(SkiftStart,L772),Syklus)&lt;DagK+DagH,"Helg",IF(MOD(A772-INDEX(SkiftStart,L772),Syklus)&lt;DagK+DagH+DagD,"Dag","Fri"))))</f>
        <v/>
      </c>
      <c r="J772" s="30">
        <f>IF(I772="Fri","Ja","")</f>
        <v/>
      </c>
      <c r="K772" s="30">
        <f>IF(B772="","",IF(L772="","Ukjent tekniker",IF(ISNA(MATCH(C772,Aktiviteter,0)),"Ukjent aktivitet",IF(AND(INDEX(AktRolle,MATCH(C772,Aktiviteter,0))&amp;""&lt;&gt;"",ISERROR(SEARCH(INDEX(AktRolle,MATCH(C772,Aktiviteter,0))&amp;"",INDEX(TekRoller,MATCH(B772,Teknikere,0))))),"Mangler rollen "&amp;INDEX(AktRolle,MATCH(C772,Aktiviteter,0))&amp;"",IF(AND(C772="LMS",F772&gt;0,OR(D772="",E772="")),"Mangler maskin eller arbeid",IF(AND(OR(C772="LMS",C772="Mod"),D772&lt;&gt;""),IF(IFERROR(INDEX(MaskinStatus,MATCH(D772,Maskiner,0)),"")="I dokk","","Maskinen er ikke i dokk"),""))))))</f>
        <v/>
      </c>
      <c r="L772" s="2">
        <f>IF(B772="","",IFERROR(INT((MATCH(B772,Teknikere,0)-1)/18)+1,""))</f>
        <v/>
      </c>
      <c r="M772" s="2">
        <f>IF(OR(A772="",B772=""),"",B772&amp;"|"&amp;A772)</f>
        <v/>
      </c>
      <c r="N772" s="2">
        <f>IF(M772="","",SUMIFS(TF_Timer,TF_Nokkel,M772,TF_Akt,C772))</f>
        <v/>
      </c>
      <c r="O772" s="2">
        <f>IF(M772="","",IF(AND(N772=_xlfn.MAXIFS(TF_AktSum,TF_Nokkel,M772),COUNTIFS(M$3:M771,M772,N$3:N771,N772)=0),M772,""))</f>
        <v/>
      </c>
    </row>
    <row r="773">
      <c r="A773" s="34" t="n"/>
      <c r="B773" s="35" t="n"/>
      <c r="C773" s="35" t="n"/>
      <c r="D773" s="35" t="n"/>
      <c r="E773" s="35" t="n"/>
      <c r="F773" s="36" t="n"/>
      <c r="G773" s="35" t="n"/>
      <c r="H773" s="30">
        <f>IF(L773="","",INDEX(SkiftNavn,L773))</f>
        <v/>
      </c>
      <c r="I773" s="30">
        <f>IF(OR(A773="",L773=""),"",IF(MOD(A773-INDEX(SkiftStart,L773),Syklus)&lt;DagK,"Kveld",IF(MOD(A773-INDEX(SkiftStart,L773),Syklus)&lt;DagK+DagH,"Helg",IF(MOD(A773-INDEX(SkiftStart,L773),Syklus)&lt;DagK+DagH+DagD,"Dag","Fri"))))</f>
        <v/>
      </c>
      <c r="J773" s="30">
        <f>IF(I773="Fri","Ja","")</f>
        <v/>
      </c>
      <c r="K773" s="30">
        <f>IF(B773="","",IF(L773="","Ukjent tekniker",IF(ISNA(MATCH(C773,Aktiviteter,0)),"Ukjent aktivitet",IF(AND(INDEX(AktRolle,MATCH(C773,Aktiviteter,0))&amp;""&lt;&gt;"",ISERROR(SEARCH(INDEX(AktRolle,MATCH(C773,Aktiviteter,0))&amp;"",INDEX(TekRoller,MATCH(B773,Teknikere,0))))),"Mangler rollen "&amp;INDEX(AktRolle,MATCH(C773,Aktiviteter,0))&amp;"",IF(AND(C773="LMS",F773&gt;0,OR(D773="",E773="")),"Mangler maskin eller arbeid",IF(AND(OR(C773="LMS",C773="Mod"),D773&lt;&gt;""),IF(IFERROR(INDEX(MaskinStatus,MATCH(D773,Maskiner,0)),"")="I dokk","","Maskinen er ikke i dokk"),""))))))</f>
        <v/>
      </c>
      <c r="L773" s="2">
        <f>IF(B773="","",IFERROR(INT((MATCH(B773,Teknikere,0)-1)/18)+1,""))</f>
        <v/>
      </c>
      <c r="M773" s="2">
        <f>IF(OR(A773="",B773=""),"",B773&amp;"|"&amp;A773)</f>
        <v/>
      </c>
      <c r="N773" s="2">
        <f>IF(M773="","",SUMIFS(TF_Timer,TF_Nokkel,M773,TF_Akt,C773))</f>
        <v/>
      </c>
      <c r="O773" s="2">
        <f>IF(M773="","",IF(AND(N773=_xlfn.MAXIFS(TF_AktSum,TF_Nokkel,M773),COUNTIFS(M$3:M772,M773,N$3:N772,N773)=0),M773,""))</f>
        <v/>
      </c>
    </row>
    <row r="774">
      <c r="A774" s="34" t="n"/>
      <c r="B774" s="35" t="n"/>
      <c r="C774" s="35" t="n"/>
      <c r="D774" s="35" t="n"/>
      <c r="E774" s="35" t="n"/>
      <c r="F774" s="36" t="n"/>
      <c r="G774" s="35" t="n"/>
      <c r="H774" s="30">
        <f>IF(L774="","",INDEX(SkiftNavn,L774))</f>
        <v/>
      </c>
      <c r="I774" s="30">
        <f>IF(OR(A774="",L774=""),"",IF(MOD(A774-INDEX(SkiftStart,L774),Syklus)&lt;DagK,"Kveld",IF(MOD(A774-INDEX(SkiftStart,L774),Syklus)&lt;DagK+DagH,"Helg",IF(MOD(A774-INDEX(SkiftStart,L774),Syklus)&lt;DagK+DagH+DagD,"Dag","Fri"))))</f>
        <v/>
      </c>
      <c r="J774" s="30">
        <f>IF(I774="Fri","Ja","")</f>
        <v/>
      </c>
      <c r="K774" s="30">
        <f>IF(B774="","",IF(L774="","Ukjent tekniker",IF(ISNA(MATCH(C774,Aktiviteter,0)),"Ukjent aktivitet",IF(AND(INDEX(AktRolle,MATCH(C774,Aktiviteter,0))&amp;""&lt;&gt;"",ISERROR(SEARCH(INDEX(AktRolle,MATCH(C774,Aktiviteter,0))&amp;"",INDEX(TekRoller,MATCH(B774,Teknikere,0))))),"Mangler rollen "&amp;INDEX(AktRolle,MATCH(C774,Aktiviteter,0))&amp;"",IF(AND(C774="LMS",F774&gt;0,OR(D774="",E774="")),"Mangler maskin eller arbeid",IF(AND(OR(C774="LMS",C774="Mod"),D774&lt;&gt;""),IF(IFERROR(INDEX(MaskinStatus,MATCH(D774,Maskiner,0)),"")="I dokk","","Maskinen er ikke i dokk"),""))))))</f>
        <v/>
      </c>
      <c r="L774" s="2">
        <f>IF(B774="","",IFERROR(INT((MATCH(B774,Teknikere,0)-1)/18)+1,""))</f>
        <v/>
      </c>
      <c r="M774" s="2">
        <f>IF(OR(A774="",B774=""),"",B774&amp;"|"&amp;A774)</f>
        <v/>
      </c>
      <c r="N774" s="2">
        <f>IF(M774="","",SUMIFS(TF_Timer,TF_Nokkel,M774,TF_Akt,C774))</f>
        <v/>
      </c>
      <c r="O774" s="2">
        <f>IF(M774="","",IF(AND(N774=_xlfn.MAXIFS(TF_AktSum,TF_Nokkel,M774),COUNTIFS(M$3:M773,M774,N$3:N773,N774)=0),M774,""))</f>
        <v/>
      </c>
    </row>
    <row r="775">
      <c r="A775" s="34" t="n"/>
      <c r="B775" s="35" t="n"/>
      <c r="C775" s="35" t="n"/>
      <c r="D775" s="35" t="n"/>
      <c r="E775" s="35" t="n"/>
      <c r="F775" s="36" t="n"/>
      <c r="G775" s="35" t="n"/>
      <c r="H775" s="30">
        <f>IF(L775="","",INDEX(SkiftNavn,L775))</f>
        <v/>
      </c>
      <c r="I775" s="30">
        <f>IF(OR(A775="",L775=""),"",IF(MOD(A775-INDEX(SkiftStart,L775),Syklus)&lt;DagK,"Kveld",IF(MOD(A775-INDEX(SkiftStart,L775),Syklus)&lt;DagK+DagH,"Helg",IF(MOD(A775-INDEX(SkiftStart,L775),Syklus)&lt;DagK+DagH+DagD,"Dag","Fri"))))</f>
        <v/>
      </c>
      <c r="J775" s="30">
        <f>IF(I775="Fri","Ja","")</f>
        <v/>
      </c>
      <c r="K775" s="30">
        <f>IF(B775="","",IF(L775="","Ukjent tekniker",IF(ISNA(MATCH(C775,Aktiviteter,0)),"Ukjent aktivitet",IF(AND(INDEX(AktRolle,MATCH(C775,Aktiviteter,0))&amp;""&lt;&gt;"",ISERROR(SEARCH(INDEX(AktRolle,MATCH(C775,Aktiviteter,0))&amp;"",INDEX(TekRoller,MATCH(B775,Teknikere,0))))),"Mangler rollen "&amp;INDEX(AktRolle,MATCH(C775,Aktiviteter,0))&amp;"",IF(AND(C775="LMS",F775&gt;0,OR(D775="",E775="")),"Mangler maskin eller arbeid",IF(AND(OR(C775="LMS",C775="Mod"),D775&lt;&gt;""),IF(IFERROR(INDEX(MaskinStatus,MATCH(D775,Maskiner,0)),"")="I dokk","","Maskinen er ikke i dokk"),""))))))</f>
        <v/>
      </c>
      <c r="L775" s="2">
        <f>IF(B775="","",IFERROR(INT((MATCH(B775,Teknikere,0)-1)/18)+1,""))</f>
        <v/>
      </c>
      <c r="M775" s="2">
        <f>IF(OR(A775="",B775=""),"",B775&amp;"|"&amp;A775)</f>
        <v/>
      </c>
      <c r="N775" s="2">
        <f>IF(M775="","",SUMIFS(TF_Timer,TF_Nokkel,M775,TF_Akt,C775))</f>
        <v/>
      </c>
      <c r="O775" s="2">
        <f>IF(M775="","",IF(AND(N775=_xlfn.MAXIFS(TF_AktSum,TF_Nokkel,M775),COUNTIFS(M$3:M774,M775,N$3:N774,N775)=0),M775,""))</f>
        <v/>
      </c>
    </row>
    <row r="776">
      <c r="A776" s="34" t="n"/>
      <c r="B776" s="35" t="n"/>
      <c r="C776" s="35" t="n"/>
      <c r="D776" s="35" t="n"/>
      <c r="E776" s="35" t="n"/>
      <c r="F776" s="36" t="n"/>
      <c r="G776" s="35" t="n"/>
      <c r="H776" s="30">
        <f>IF(L776="","",INDEX(SkiftNavn,L776))</f>
        <v/>
      </c>
      <c r="I776" s="30">
        <f>IF(OR(A776="",L776=""),"",IF(MOD(A776-INDEX(SkiftStart,L776),Syklus)&lt;DagK,"Kveld",IF(MOD(A776-INDEX(SkiftStart,L776),Syklus)&lt;DagK+DagH,"Helg",IF(MOD(A776-INDEX(SkiftStart,L776),Syklus)&lt;DagK+DagH+DagD,"Dag","Fri"))))</f>
        <v/>
      </c>
      <c r="J776" s="30">
        <f>IF(I776="Fri","Ja","")</f>
        <v/>
      </c>
      <c r="K776" s="30">
        <f>IF(B776="","",IF(L776="","Ukjent tekniker",IF(ISNA(MATCH(C776,Aktiviteter,0)),"Ukjent aktivitet",IF(AND(INDEX(AktRolle,MATCH(C776,Aktiviteter,0))&amp;""&lt;&gt;"",ISERROR(SEARCH(INDEX(AktRolle,MATCH(C776,Aktiviteter,0))&amp;"",INDEX(TekRoller,MATCH(B776,Teknikere,0))))),"Mangler rollen "&amp;INDEX(AktRolle,MATCH(C776,Aktiviteter,0))&amp;"",IF(AND(C776="LMS",F776&gt;0,OR(D776="",E776="")),"Mangler maskin eller arbeid",IF(AND(OR(C776="LMS",C776="Mod"),D776&lt;&gt;""),IF(IFERROR(INDEX(MaskinStatus,MATCH(D776,Maskiner,0)),"")="I dokk","","Maskinen er ikke i dokk"),""))))))</f>
        <v/>
      </c>
      <c r="L776" s="2">
        <f>IF(B776="","",IFERROR(INT((MATCH(B776,Teknikere,0)-1)/18)+1,""))</f>
        <v/>
      </c>
      <c r="M776" s="2">
        <f>IF(OR(A776="",B776=""),"",B776&amp;"|"&amp;A776)</f>
        <v/>
      </c>
      <c r="N776" s="2">
        <f>IF(M776="","",SUMIFS(TF_Timer,TF_Nokkel,M776,TF_Akt,C776))</f>
        <v/>
      </c>
      <c r="O776" s="2">
        <f>IF(M776="","",IF(AND(N776=_xlfn.MAXIFS(TF_AktSum,TF_Nokkel,M776),COUNTIFS(M$3:M775,M776,N$3:N775,N776)=0),M776,""))</f>
        <v/>
      </c>
    </row>
    <row r="777">
      <c r="A777" s="34" t="n"/>
      <c r="B777" s="35" t="n"/>
      <c r="C777" s="35" t="n"/>
      <c r="D777" s="35" t="n"/>
      <c r="E777" s="35" t="n"/>
      <c r="F777" s="36" t="n"/>
      <c r="G777" s="35" t="n"/>
      <c r="H777" s="30">
        <f>IF(L777="","",INDEX(SkiftNavn,L777))</f>
        <v/>
      </c>
      <c r="I777" s="30">
        <f>IF(OR(A777="",L777=""),"",IF(MOD(A777-INDEX(SkiftStart,L777),Syklus)&lt;DagK,"Kveld",IF(MOD(A777-INDEX(SkiftStart,L777),Syklus)&lt;DagK+DagH,"Helg",IF(MOD(A777-INDEX(SkiftStart,L777),Syklus)&lt;DagK+DagH+DagD,"Dag","Fri"))))</f>
        <v/>
      </c>
      <c r="J777" s="30">
        <f>IF(I777="Fri","Ja","")</f>
        <v/>
      </c>
      <c r="K777" s="30">
        <f>IF(B777="","",IF(L777="","Ukjent tekniker",IF(ISNA(MATCH(C777,Aktiviteter,0)),"Ukjent aktivitet",IF(AND(INDEX(AktRolle,MATCH(C777,Aktiviteter,0))&amp;""&lt;&gt;"",ISERROR(SEARCH(INDEX(AktRolle,MATCH(C777,Aktiviteter,0))&amp;"",INDEX(TekRoller,MATCH(B777,Teknikere,0))))),"Mangler rollen "&amp;INDEX(AktRolle,MATCH(C777,Aktiviteter,0))&amp;"",IF(AND(C777="LMS",F777&gt;0,OR(D777="",E777="")),"Mangler maskin eller arbeid",IF(AND(OR(C777="LMS",C777="Mod"),D777&lt;&gt;""),IF(IFERROR(INDEX(MaskinStatus,MATCH(D777,Maskiner,0)),"")="I dokk","","Maskinen er ikke i dokk"),""))))))</f>
        <v/>
      </c>
      <c r="L777" s="2">
        <f>IF(B777="","",IFERROR(INT((MATCH(B777,Teknikere,0)-1)/18)+1,""))</f>
        <v/>
      </c>
      <c r="M777" s="2">
        <f>IF(OR(A777="",B777=""),"",B777&amp;"|"&amp;A777)</f>
        <v/>
      </c>
      <c r="N777" s="2">
        <f>IF(M777="","",SUMIFS(TF_Timer,TF_Nokkel,M777,TF_Akt,C777))</f>
        <v/>
      </c>
      <c r="O777" s="2">
        <f>IF(M777="","",IF(AND(N777=_xlfn.MAXIFS(TF_AktSum,TF_Nokkel,M777),COUNTIFS(M$3:M776,M777,N$3:N776,N777)=0),M777,""))</f>
        <v/>
      </c>
    </row>
    <row r="778">
      <c r="A778" s="34" t="n"/>
      <c r="B778" s="35" t="n"/>
      <c r="C778" s="35" t="n"/>
      <c r="D778" s="35" t="n"/>
      <c r="E778" s="35" t="n"/>
      <c r="F778" s="36" t="n"/>
      <c r="G778" s="35" t="n"/>
      <c r="H778" s="30">
        <f>IF(L778="","",INDEX(SkiftNavn,L778))</f>
        <v/>
      </c>
      <c r="I778" s="30">
        <f>IF(OR(A778="",L778=""),"",IF(MOD(A778-INDEX(SkiftStart,L778),Syklus)&lt;DagK,"Kveld",IF(MOD(A778-INDEX(SkiftStart,L778),Syklus)&lt;DagK+DagH,"Helg",IF(MOD(A778-INDEX(SkiftStart,L778),Syklus)&lt;DagK+DagH+DagD,"Dag","Fri"))))</f>
        <v/>
      </c>
      <c r="J778" s="30">
        <f>IF(I778="Fri","Ja","")</f>
        <v/>
      </c>
      <c r="K778" s="30">
        <f>IF(B778="","",IF(L778="","Ukjent tekniker",IF(ISNA(MATCH(C778,Aktiviteter,0)),"Ukjent aktivitet",IF(AND(INDEX(AktRolle,MATCH(C778,Aktiviteter,0))&amp;""&lt;&gt;"",ISERROR(SEARCH(INDEX(AktRolle,MATCH(C778,Aktiviteter,0))&amp;"",INDEX(TekRoller,MATCH(B778,Teknikere,0))))),"Mangler rollen "&amp;INDEX(AktRolle,MATCH(C778,Aktiviteter,0))&amp;"",IF(AND(C778="LMS",F778&gt;0,OR(D778="",E778="")),"Mangler maskin eller arbeid",IF(AND(OR(C778="LMS",C778="Mod"),D778&lt;&gt;""),IF(IFERROR(INDEX(MaskinStatus,MATCH(D778,Maskiner,0)),"")="I dokk","","Maskinen er ikke i dokk"),""))))))</f>
        <v/>
      </c>
      <c r="L778" s="2">
        <f>IF(B778="","",IFERROR(INT((MATCH(B778,Teknikere,0)-1)/18)+1,""))</f>
        <v/>
      </c>
      <c r="M778" s="2">
        <f>IF(OR(A778="",B778=""),"",B778&amp;"|"&amp;A778)</f>
        <v/>
      </c>
      <c r="N778" s="2">
        <f>IF(M778="","",SUMIFS(TF_Timer,TF_Nokkel,M778,TF_Akt,C778))</f>
        <v/>
      </c>
      <c r="O778" s="2">
        <f>IF(M778="","",IF(AND(N778=_xlfn.MAXIFS(TF_AktSum,TF_Nokkel,M778),COUNTIFS(M$3:M777,M778,N$3:N777,N778)=0),M778,""))</f>
        <v/>
      </c>
    </row>
    <row r="779">
      <c r="A779" s="34" t="n"/>
      <c r="B779" s="35" t="n"/>
      <c r="C779" s="35" t="n"/>
      <c r="D779" s="35" t="n"/>
      <c r="E779" s="35" t="n"/>
      <c r="F779" s="36" t="n"/>
      <c r="G779" s="35" t="n"/>
      <c r="H779" s="30">
        <f>IF(L779="","",INDEX(SkiftNavn,L779))</f>
        <v/>
      </c>
      <c r="I779" s="30">
        <f>IF(OR(A779="",L779=""),"",IF(MOD(A779-INDEX(SkiftStart,L779),Syklus)&lt;DagK,"Kveld",IF(MOD(A779-INDEX(SkiftStart,L779),Syklus)&lt;DagK+DagH,"Helg",IF(MOD(A779-INDEX(SkiftStart,L779),Syklus)&lt;DagK+DagH+DagD,"Dag","Fri"))))</f>
        <v/>
      </c>
      <c r="J779" s="30">
        <f>IF(I779="Fri","Ja","")</f>
        <v/>
      </c>
      <c r="K779" s="30">
        <f>IF(B779="","",IF(L779="","Ukjent tekniker",IF(ISNA(MATCH(C779,Aktiviteter,0)),"Ukjent aktivitet",IF(AND(INDEX(AktRolle,MATCH(C779,Aktiviteter,0))&amp;""&lt;&gt;"",ISERROR(SEARCH(INDEX(AktRolle,MATCH(C779,Aktiviteter,0))&amp;"",INDEX(TekRoller,MATCH(B779,Teknikere,0))))),"Mangler rollen "&amp;INDEX(AktRolle,MATCH(C779,Aktiviteter,0))&amp;"",IF(AND(C779="LMS",F779&gt;0,OR(D779="",E779="")),"Mangler maskin eller arbeid",IF(AND(OR(C779="LMS",C779="Mod"),D779&lt;&gt;""),IF(IFERROR(INDEX(MaskinStatus,MATCH(D779,Maskiner,0)),"")="I dokk","","Maskinen er ikke i dokk"),""))))))</f>
        <v/>
      </c>
      <c r="L779" s="2">
        <f>IF(B779="","",IFERROR(INT((MATCH(B779,Teknikere,0)-1)/18)+1,""))</f>
        <v/>
      </c>
      <c r="M779" s="2">
        <f>IF(OR(A779="",B779=""),"",B779&amp;"|"&amp;A779)</f>
        <v/>
      </c>
      <c r="N779" s="2">
        <f>IF(M779="","",SUMIFS(TF_Timer,TF_Nokkel,M779,TF_Akt,C779))</f>
        <v/>
      </c>
      <c r="O779" s="2">
        <f>IF(M779="","",IF(AND(N779=_xlfn.MAXIFS(TF_AktSum,TF_Nokkel,M779),COUNTIFS(M$3:M778,M779,N$3:N778,N779)=0),M779,""))</f>
        <v/>
      </c>
    </row>
    <row r="780">
      <c r="A780" s="34" t="n"/>
      <c r="B780" s="35" t="n"/>
      <c r="C780" s="35" t="n"/>
      <c r="D780" s="35" t="n"/>
      <c r="E780" s="35" t="n"/>
      <c r="F780" s="36" t="n"/>
      <c r="G780" s="35" t="n"/>
      <c r="H780" s="30">
        <f>IF(L780="","",INDEX(SkiftNavn,L780))</f>
        <v/>
      </c>
      <c r="I780" s="30">
        <f>IF(OR(A780="",L780=""),"",IF(MOD(A780-INDEX(SkiftStart,L780),Syklus)&lt;DagK,"Kveld",IF(MOD(A780-INDEX(SkiftStart,L780),Syklus)&lt;DagK+DagH,"Helg",IF(MOD(A780-INDEX(SkiftStart,L780),Syklus)&lt;DagK+DagH+DagD,"Dag","Fri"))))</f>
        <v/>
      </c>
      <c r="J780" s="30">
        <f>IF(I780="Fri","Ja","")</f>
        <v/>
      </c>
      <c r="K780" s="30">
        <f>IF(B780="","",IF(L780="","Ukjent tekniker",IF(ISNA(MATCH(C780,Aktiviteter,0)),"Ukjent aktivitet",IF(AND(INDEX(AktRolle,MATCH(C780,Aktiviteter,0))&amp;""&lt;&gt;"",ISERROR(SEARCH(INDEX(AktRolle,MATCH(C780,Aktiviteter,0))&amp;"",INDEX(TekRoller,MATCH(B780,Teknikere,0))))),"Mangler rollen "&amp;INDEX(AktRolle,MATCH(C780,Aktiviteter,0))&amp;"",IF(AND(C780="LMS",F780&gt;0,OR(D780="",E780="")),"Mangler maskin eller arbeid",IF(AND(OR(C780="LMS",C780="Mod"),D780&lt;&gt;""),IF(IFERROR(INDEX(MaskinStatus,MATCH(D780,Maskiner,0)),"")="I dokk","","Maskinen er ikke i dokk"),""))))))</f>
        <v/>
      </c>
      <c r="L780" s="2">
        <f>IF(B780="","",IFERROR(INT((MATCH(B780,Teknikere,0)-1)/18)+1,""))</f>
        <v/>
      </c>
      <c r="M780" s="2">
        <f>IF(OR(A780="",B780=""),"",B780&amp;"|"&amp;A780)</f>
        <v/>
      </c>
      <c r="N780" s="2">
        <f>IF(M780="","",SUMIFS(TF_Timer,TF_Nokkel,M780,TF_Akt,C780))</f>
        <v/>
      </c>
      <c r="O780" s="2">
        <f>IF(M780="","",IF(AND(N780=_xlfn.MAXIFS(TF_AktSum,TF_Nokkel,M780),COUNTIFS(M$3:M779,M780,N$3:N779,N780)=0),M780,""))</f>
        <v/>
      </c>
    </row>
    <row r="781">
      <c r="A781" s="34" t="n"/>
      <c r="B781" s="35" t="n"/>
      <c r="C781" s="35" t="n"/>
      <c r="D781" s="35" t="n"/>
      <c r="E781" s="35" t="n"/>
      <c r="F781" s="36" t="n"/>
      <c r="G781" s="35" t="n"/>
      <c r="H781" s="30">
        <f>IF(L781="","",INDEX(SkiftNavn,L781))</f>
        <v/>
      </c>
      <c r="I781" s="30">
        <f>IF(OR(A781="",L781=""),"",IF(MOD(A781-INDEX(SkiftStart,L781),Syklus)&lt;DagK,"Kveld",IF(MOD(A781-INDEX(SkiftStart,L781),Syklus)&lt;DagK+DagH,"Helg",IF(MOD(A781-INDEX(SkiftStart,L781),Syklus)&lt;DagK+DagH+DagD,"Dag","Fri"))))</f>
        <v/>
      </c>
      <c r="J781" s="30">
        <f>IF(I781="Fri","Ja","")</f>
        <v/>
      </c>
      <c r="K781" s="30">
        <f>IF(B781="","",IF(L781="","Ukjent tekniker",IF(ISNA(MATCH(C781,Aktiviteter,0)),"Ukjent aktivitet",IF(AND(INDEX(AktRolle,MATCH(C781,Aktiviteter,0))&amp;""&lt;&gt;"",ISERROR(SEARCH(INDEX(AktRolle,MATCH(C781,Aktiviteter,0))&amp;"",INDEX(TekRoller,MATCH(B781,Teknikere,0))))),"Mangler rollen "&amp;INDEX(AktRolle,MATCH(C781,Aktiviteter,0))&amp;"",IF(AND(C781="LMS",F781&gt;0,OR(D781="",E781="")),"Mangler maskin eller arbeid",IF(AND(OR(C781="LMS",C781="Mod"),D781&lt;&gt;""),IF(IFERROR(INDEX(MaskinStatus,MATCH(D781,Maskiner,0)),"")="I dokk","","Maskinen er ikke i dokk"),""))))))</f>
        <v/>
      </c>
      <c r="L781" s="2">
        <f>IF(B781="","",IFERROR(INT((MATCH(B781,Teknikere,0)-1)/18)+1,""))</f>
        <v/>
      </c>
      <c r="M781" s="2">
        <f>IF(OR(A781="",B781=""),"",B781&amp;"|"&amp;A781)</f>
        <v/>
      </c>
      <c r="N781" s="2">
        <f>IF(M781="","",SUMIFS(TF_Timer,TF_Nokkel,M781,TF_Akt,C781))</f>
        <v/>
      </c>
      <c r="O781" s="2">
        <f>IF(M781="","",IF(AND(N781=_xlfn.MAXIFS(TF_AktSum,TF_Nokkel,M781),COUNTIFS(M$3:M780,M781,N$3:N780,N781)=0),M781,""))</f>
        <v/>
      </c>
    </row>
    <row r="782">
      <c r="A782" s="34" t="n"/>
      <c r="B782" s="35" t="n"/>
      <c r="C782" s="35" t="n"/>
      <c r="D782" s="35" t="n"/>
      <c r="E782" s="35" t="n"/>
      <c r="F782" s="36" t="n"/>
      <c r="G782" s="35" t="n"/>
      <c r="H782" s="30">
        <f>IF(L782="","",INDEX(SkiftNavn,L782))</f>
        <v/>
      </c>
      <c r="I782" s="30">
        <f>IF(OR(A782="",L782=""),"",IF(MOD(A782-INDEX(SkiftStart,L782),Syklus)&lt;DagK,"Kveld",IF(MOD(A782-INDEX(SkiftStart,L782),Syklus)&lt;DagK+DagH,"Helg",IF(MOD(A782-INDEX(SkiftStart,L782),Syklus)&lt;DagK+DagH+DagD,"Dag","Fri"))))</f>
        <v/>
      </c>
      <c r="J782" s="30">
        <f>IF(I782="Fri","Ja","")</f>
        <v/>
      </c>
      <c r="K782" s="30">
        <f>IF(B782="","",IF(L782="","Ukjent tekniker",IF(ISNA(MATCH(C782,Aktiviteter,0)),"Ukjent aktivitet",IF(AND(INDEX(AktRolle,MATCH(C782,Aktiviteter,0))&amp;""&lt;&gt;"",ISERROR(SEARCH(INDEX(AktRolle,MATCH(C782,Aktiviteter,0))&amp;"",INDEX(TekRoller,MATCH(B782,Teknikere,0))))),"Mangler rollen "&amp;INDEX(AktRolle,MATCH(C782,Aktiviteter,0))&amp;"",IF(AND(C782="LMS",F782&gt;0,OR(D782="",E782="")),"Mangler maskin eller arbeid",IF(AND(OR(C782="LMS",C782="Mod"),D782&lt;&gt;""),IF(IFERROR(INDEX(MaskinStatus,MATCH(D782,Maskiner,0)),"")="I dokk","","Maskinen er ikke i dokk"),""))))))</f>
        <v/>
      </c>
      <c r="L782" s="2">
        <f>IF(B782="","",IFERROR(INT((MATCH(B782,Teknikere,0)-1)/18)+1,""))</f>
        <v/>
      </c>
      <c r="M782" s="2">
        <f>IF(OR(A782="",B782=""),"",B782&amp;"|"&amp;A782)</f>
        <v/>
      </c>
      <c r="N782" s="2">
        <f>IF(M782="","",SUMIFS(TF_Timer,TF_Nokkel,M782,TF_Akt,C782))</f>
        <v/>
      </c>
      <c r="O782" s="2">
        <f>IF(M782="","",IF(AND(N782=_xlfn.MAXIFS(TF_AktSum,TF_Nokkel,M782),COUNTIFS(M$3:M781,M782,N$3:N781,N782)=0),M782,""))</f>
        <v/>
      </c>
    </row>
    <row r="783">
      <c r="A783" s="34" t="n"/>
      <c r="B783" s="35" t="n"/>
      <c r="C783" s="35" t="n"/>
      <c r="D783" s="35" t="n"/>
      <c r="E783" s="35" t="n"/>
      <c r="F783" s="36" t="n"/>
      <c r="G783" s="35" t="n"/>
      <c r="H783" s="30">
        <f>IF(L783="","",INDEX(SkiftNavn,L783))</f>
        <v/>
      </c>
      <c r="I783" s="30">
        <f>IF(OR(A783="",L783=""),"",IF(MOD(A783-INDEX(SkiftStart,L783),Syklus)&lt;DagK,"Kveld",IF(MOD(A783-INDEX(SkiftStart,L783),Syklus)&lt;DagK+DagH,"Helg",IF(MOD(A783-INDEX(SkiftStart,L783),Syklus)&lt;DagK+DagH+DagD,"Dag","Fri"))))</f>
        <v/>
      </c>
      <c r="J783" s="30">
        <f>IF(I783="Fri","Ja","")</f>
        <v/>
      </c>
      <c r="K783" s="30">
        <f>IF(B783="","",IF(L783="","Ukjent tekniker",IF(ISNA(MATCH(C783,Aktiviteter,0)),"Ukjent aktivitet",IF(AND(INDEX(AktRolle,MATCH(C783,Aktiviteter,0))&amp;""&lt;&gt;"",ISERROR(SEARCH(INDEX(AktRolle,MATCH(C783,Aktiviteter,0))&amp;"",INDEX(TekRoller,MATCH(B783,Teknikere,0))))),"Mangler rollen "&amp;INDEX(AktRolle,MATCH(C783,Aktiviteter,0))&amp;"",IF(AND(C783="LMS",F783&gt;0,OR(D783="",E783="")),"Mangler maskin eller arbeid",IF(AND(OR(C783="LMS",C783="Mod"),D783&lt;&gt;""),IF(IFERROR(INDEX(MaskinStatus,MATCH(D783,Maskiner,0)),"")="I dokk","","Maskinen er ikke i dokk"),""))))))</f>
        <v/>
      </c>
      <c r="L783" s="2">
        <f>IF(B783="","",IFERROR(INT((MATCH(B783,Teknikere,0)-1)/18)+1,""))</f>
        <v/>
      </c>
      <c r="M783" s="2">
        <f>IF(OR(A783="",B783=""),"",B783&amp;"|"&amp;A783)</f>
        <v/>
      </c>
      <c r="N783" s="2">
        <f>IF(M783="","",SUMIFS(TF_Timer,TF_Nokkel,M783,TF_Akt,C783))</f>
        <v/>
      </c>
      <c r="O783" s="2">
        <f>IF(M783="","",IF(AND(N783=_xlfn.MAXIFS(TF_AktSum,TF_Nokkel,M783),COUNTIFS(M$3:M782,M783,N$3:N782,N783)=0),M783,""))</f>
        <v/>
      </c>
    </row>
    <row r="784">
      <c r="A784" s="34" t="n"/>
      <c r="B784" s="35" t="n"/>
      <c r="C784" s="35" t="n"/>
      <c r="D784" s="35" t="n"/>
      <c r="E784" s="35" t="n"/>
      <c r="F784" s="36" t="n"/>
      <c r="G784" s="35" t="n"/>
      <c r="H784" s="30">
        <f>IF(L784="","",INDEX(SkiftNavn,L784))</f>
        <v/>
      </c>
      <c r="I784" s="30">
        <f>IF(OR(A784="",L784=""),"",IF(MOD(A784-INDEX(SkiftStart,L784),Syklus)&lt;DagK,"Kveld",IF(MOD(A784-INDEX(SkiftStart,L784),Syklus)&lt;DagK+DagH,"Helg",IF(MOD(A784-INDEX(SkiftStart,L784),Syklus)&lt;DagK+DagH+DagD,"Dag","Fri"))))</f>
        <v/>
      </c>
      <c r="J784" s="30">
        <f>IF(I784="Fri","Ja","")</f>
        <v/>
      </c>
      <c r="K784" s="30">
        <f>IF(B784="","",IF(L784="","Ukjent tekniker",IF(ISNA(MATCH(C784,Aktiviteter,0)),"Ukjent aktivitet",IF(AND(INDEX(AktRolle,MATCH(C784,Aktiviteter,0))&amp;""&lt;&gt;"",ISERROR(SEARCH(INDEX(AktRolle,MATCH(C784,Aktiviteter,0))&amp;"",INDEX(TekRoller,MATCH(B784,Teknikere,0))))),"Mangler rollen "&amp;INDEX(AktRolle,MATCH(C784,Aktiviteter,0))&amp;"",IF(AND(C784="LMS",F784&gt;0,OR(D784="",E784="")),"Mangler maskin eller arbeid",IF(AND(OR(C784="LMS",C784="Mod"),D784&lt;&gt;""),IF(IFERROR(INDEX(MaskinStatus,MATCH(D784,Maskiner,0)),"")="I dokk","","Maskinen er ikke i dokk"),""))))))</f>
        <v/>
      </c>
      <c r="L784" s="2">
        <f>IF(B784="","",IFERROR(INT((MATCH(B784,Teknikere,0)-1)/18)+1,""))</f>
        <v/>
      </c>
      <c r="M784" s="2">
        <f>IF(OR(A784="",B784=""),"",B784&amp;"|"&amp;A784)</f>
        <v/>
      </c>
      <c r="N784" s="2">
        <f>IF(M784="","",SUMIFS(TF_Timer,TF_Nokkel,M784,TF_Akt,C784))</f>
        <v/>
      </c>
      <c r="O784" s="2">
        <f>IF(M784="","",IF(AND(N784=_xlfn.MAXIFS(TF_AktSum,TF_Nokkel,M784),COUNTIFS(M$3:M783,M784,N$3:N783,N784)=0),M784,""))</f>
        <v/>
      </c>
    </row>
    <row r="785">
      <c r="A785" s="34" t="n"/>
      <c r="B785" s="35" t="n"/>
      <c r="C785" s="35" t="n"/>
      <c r="D785" s="35" t="n"/>
      <c r="E785" s="35" t="n"/>
      <c r="F785" s="36" t="n"/>
      <c r="G785" s="35" t="n"/>
      <c r="H785" s="30">
        <f>IF(L785="","",INDEX(SkiftNavn,L785))</f>
        <v/>
      </c>
      <c r="I785" s="30">
        <f>IF(OR(A785="",L785=""),"",IF(MOD(A785-INDEX(SkiftStart,L785),Syklus)&lt;DagK,"Kveld",IF(MOD(A785-INDEX(SkiftStart,L785),Syklus)&lt;DagK+DagH,"Helg",IF(MOD(A785-INDEX(SkiftStart,L785),Syklus)&lt;DagK+DagH+DagD,"Dag","Fri"))))</f>
        <v/>
      </c>
      <c r="J785" s="30">
        <f>IF(I785="Fri","Ja","")</f>
        <v/>
      </c>
      <c r="K785" s="30">
        <f>IF(B785="","",IF(L785="","Ukjent tekniker",IF(ISNA(MATCH(C785,Aktiviteter,0)),"Ukjent aktivitet",IF(AND(INDEX(AktRolle,MATCH(C785,Aktiviteter,0))&amp;""&lt;&gt;"",ISERROR(SEARCH(INDEX(AktRolle,MATCH(C785,Aktiviteter,0))&amp;"",INDEX(TekRoller,MATCH(B785,Teknikere,0))))),"Mangler rollen "&amp;INDEX(AktRolle,MATCH(C785,Aktiviteter,0))&amp;"",IF(AND(C785="LMS",F785&gt;0,OR(D785="",E785="")),"Mangler maskin eller arbeid",IF(AND(OR(C785="LMS",C785="Mod"),D785&lt;&gt;""),IF(IFERROR(INDEX(MaskinStatus,MATCH(D785,Maskiner,0)),"")="I dokk","","Maskinen er ikke i dokk"),""))))))</f>
        <v/>
      </c>
      <c r="L785" s="2">
        <f>IF(B785="","",IFERROR(INT((MATCH(B785,Teknikere,0)-1)/18)+1,""))</f>
        <v/>
      </c>
      <c r="M785" s="2">
        <f>IF(OR(A785="",B785=""),"",B785&amp;"|"&amp;A785)</f>
        <v/>
      </c>
      <c r="N785" s="2">
        <f>IF(M785="","",SUMIFS(TF_Timer,TF_Nokkel,M785,TF_Akt,C785))</f>
        <v/>
      </c>
      <c r="O785" s="2">
        <f>IF(M785="","",IF(AND(N785=_xlfn.MAXIFS(TF_AktSum,TF_Nokkel,M785),COUNTIFS(M$3:M784,M785,N$3:N784,N785)=0),M785,""))</f>
        <v/>
      </c>
    </row>
    <row r="786">
      <c r="A786" s="34" t="n"/>
      <c r="B786" s="35" t="n"/>
      <c r="C786" s="35" t="n"/>
      <c r="D786" s="35" t="n"/>
      <c r="E786" s="35" t="n"/>
      <c r="F786" s="36" t="n"/>
      <c r="G786" s="35" t="n"/>
      <c r="H786" s="30">
        <f>IF(L786="","",INDEX(SkiftNavn,L786))</f>
        <v/>
      </c>
      <c r="I786" s="30">
        <f>IF(OR(A786="",L786=""),"",IF(MOD(A786-INDEX(SkiftStart,L786),Syklus)&lt;DagK,"Kveld",IF(MOD(A786-INDEX(SkiftStart,L786),Syklus)&lt;DagK+DagH,"Helg",IF(MOD(A786-INDEX(SkiftStart,L786),Syklus)&lt;DagK+DagH+DagD,"Dag","Fri"))))</f>
        <v/>
      </c>
      <c r="J786" s="30">
        <f>IF(I786="Fri","Ja","")</f>
        <v/>
      </c>
      <c r="K786" s="30">
        <f>IF(B786="","",IF(L786="","Ukjent tekniker",IF(ISNA(MATCH(C786,Aktiviteter,0)),"Ukjent aktivitet",IF(AND(INDEX(AktRolle,MATCH(C786,Aktiviteter,0))&amp;""&lt;&gt;"",ISERROR(SEARCH(INDEX(AktRolle,MATCH(C786,Aktiviteter,0))&amp;"",INDEX(TekRoller,MATCH(B786,Teknikere,0))))),"Mangler rollen "&amp;INDEX(AktRolle,MATCH(C786,Aktiviteter,0))&amp;"",IF(AND(C786="LMS",F786&gt;0,OR(D786="",E786="")),"Mangler maskin eller arbeid",IF(AND(OR(C786="LMS",C786="Mod"),D786&lt;&gt;""),IF(IFERROR(INDEX(MaskinStatus,MATCH(D786,Maskiner,0)),"")="I dokk","","Maskinen er ikke i dokk"),""))))))</f>
        <v/>
      </c>
      <c r="L786" s="2">
        <f>IF(B786="","",IFERROR(INT((MATCH(B786,Teknikere,0)-1)/18)+1,""))</f>
        <v/>
      </c>
      <c r="M786" s="2">
        <f>IF(OR(A786="",B786=""),"",B786&amp;"|"&amp;A786)</f>
        <v/>
      </c>
      <c r="N786" s="2">
        <f>IF(M786="","",SUMIFS(TF_Timer,TF_Nokkel,M786,TF_Akt,C786))</f>
        <v/>
      </c>
      <c r="O786" s="2">
        <f>IF(M786="","",IF(AND(N786=_xlfn.MAXIFS(TF_AktSum,TF_Nokkel,M786),COUNTIFS(M$3:M785,M786,N$3:N785,N786)=0),M786,""))</f>
        <v/>
      </c>
    </row>
    <row r="787">
      <c r="A787" s="34" t="n"/>
      <c r="B787" s="35" t="n"/>
      <c r="C787" s="35" t="n"/>
      <c r="D787" s="35" t="n"/>
      <c r="E787" s="35" t="n"/>
      <c r="F787" s="36" t="n"/>
      <c r="G787" s="35" t="n"/>
      <c r="H787" s="30">
        <f>IF(L787="","",INDEX(SkiftNavn,L787))</f>
        <v/>
      </c>
      <c r="I787" s="30">
        <f>IF(OR(A787="",L787=""),"",IF(MOD(A787-INDEX(SkiftStart,L787),Syklus)&lt;DagK,"Kveld",IF(MOD(A787-INDEX(SkiftStart,L787),Syklus)&lt;DagK+DagH,"Helg",IF(MOD(A787-INDEX(SkiftStart,L787),Syklus)&lt;DagK+DagH+DagD,"Dag","Fri"))))</f>
        <v/>
      </c>
      <c r="J787" s="30">
        <f>IF(I787="Fri","Ja","")</f>
        <v/>
      </c>
      <c r="K787" s="30">
        <f>IF(B787="","",IF(L787="","Ukjent tekniker",IF(ISNA(MATCH(C787,Aktiviteter,0)),"Ukjent aktivitet",IF(AND(INDEX(AktRolle,MATCH(C787,Aktiviteter,0))&amp;""&lt;&gt;"",ISERROR(SEARCH(INDEX(AktRolle,MATCH(C787,Aktiviteter,0))&amp;"",INDEX(TekRoller,MATCH(B787,Teknikere,0))))),"Mangler rollen "&amp;INDEX(AktRolle,MATCH(C787,Aktiviteter,0))&amp;"",IF(AND(C787="LMS",F787&gt;0,OR(D787="",E787="")),"Mangler maskin eller arbeid",IF(AND(OR(C787="LMS",C787="Mod"),D787&lt;&gt;""),IF(IFERROR(INDEX(MaskinStatus,MATCH(D787,Maskiner,0)),"")="I dokk","","Maskinen er ikke i dokk"),""))))))</f>
        <v/>
      </c>
      <c r="L787" s="2">
        <f>IF(B787="","",IFERROR(INT((MATCH(B787,Teknikere,0)-1)/18)+1,""))</f>
        <v/>
      </c>
      <c r="M787" s="2">
        <f>IF(OR(A787="",B787=""),"",B787&amp;"|"&amp;A787)</f>
        <v/>
      </c>
      <c r="N787" s="2">
        <f>IF(M787="","",SUMIFS(TF_Timer,TF_Nokkel,M787,TF_Akt,C787))</f>
        <v/>
      </c>
      <c r="O787" s="2">
        <f>IF(M787="","",IF(AND(N787=_xlfn.MAXIFS(TF_AktSum,TF_Nokkel,M787),COUNTIFS(M$3:M786,M787,N$3:N786,N787)=0),M787,""))</f>
        <v/>
      </c>
    </row>
    <row r="788">
      <c r="A788" s="34" t="n"/>
      <c r="B788" s="35" t="n"/>
      <c r="C788" s="35" t="n"/>
      <c r="D788" s="35" t="n"/>
      <c r="E788" s="35" t="n"/>
      <c r="F788" s="36" t="n"/>
      <c r="G788" s="35" t="n"/>
      <c r="H788" s="30">
        <f>IF(L788="","",INDEX(SkiftNavn,L788))</f>
        <v/>
      </c>
      <c r="I788" s="30">
        <f>IF(OR(A788="",L788=""),"",IF(MOD(A788-INDEX(SkiftStart,L788),Syklus)&lt;DagK,"Kveld",IF(MOD(A788-INDEX(SkiftStart,L788),Syklus)&lt;DagK+DagH,"Helg",IF(MOD(A788-INDEX(SkiftStart,L788),Syklus)&lt;DagK+DagH+DagD,"Dag","Fri"))))</f>
        <v/>
      </c>
      <c r="J788" s="30">
        <f>IF(I788="Fri","Ja","")</f>
        <v/>
      </c>
      <c r="K788" s="30">
        <f>IF(B788="","",IF(L788="","Ukjent tekniker",IF(ISNA(MATCH(C788,Aktiviteter,0)),"Ukjent aktivitet",IF(AND(INDEX(AktRolle,MATCH(C788,Aktiviteter,0))&amp;""&lt;&gt;"",ISERROR(SEARCH(INDEX(AktRolle,MATCH(C788,Aktiviteter,0))&amp;"",INDEX(TekRoller,MATCH(B788,Teknikere,0))))),"Mangler rollen "&amp;INDEX(AktRolle,MATCH(C788,Aktiviteter,0))&amp;"",IF(AND(C788="LMS",F788&gt;0,OR(D788="",E788="")),"Mangler maskin eller arbeid",IF(AND(OR(C788="LMS",C788="Mod"),D788&lt;&gt;""),IF(IFERROR(INDEX(MaskinStatus,MATCH(D788,Maskiner,0)),"")="I dokk","","Maskinen er ikke i dokk"),""))))))</f>
        <v/>
      </c>
      <c r="L788" s="2">
        <f>IF(B788="","",IFERROR(INT((MATCH(B788,Teknikere,0)-1)/18)+1,""))</f>
        <v/>
      </c>
      <c r="M788" s="2">
        <f>IF(OR(A788="",B788=""),"",B788&amp;"|"&amp;A788)</f>
        <v/>
      </c>
      <c r="N788" s="2">
        <f>IF(M788="","",SUMIFS(TF_Timer,TF_Nokkel,M788,TF_Akt,C788))</f>
        <v/>
      </c>
      <c r="O788" s="2">
        <f>IF(M788="","",IF(AND(N788=_xlfn.MAXIFS(TF_AktSum,TF_Nokkel,M788),COUNTIFS(M$3:M787,M788,N$3:N787,N788)=0),M788,""))</f>
        <v/>
      </c>
    </row>
    <row r="789">
      <c r="A789" s="34" t="n"/>
      <c r="B789" s="35" t="n"/>
      <c r="C789" s="35" t="n"/>
      <c r="D789" s="35" t="n"/>
      <c r="E789" s="35" t="n"/>
      <c r="F789" s="36" t="n"/>
      <c r="G789" s="35" t="n"/>
      <c r="H789" s="30">
        <f>IF(L789="","",INDEX(SkiftNavn,L789))</f>
        <v/>
      </c>
      <c r="I789" s="30">
        <f>IF(OR(A789="",L789=""),"",IF(MOD(A789-INDEX(SkiftStart,L789),Syklus)&lt;DagK,"Kveld",IF(MOD(A789-INDEX(SkiftStart,L789),Syklus)&lt;DagK+DagH,"Helg",IF(MOD(A789-INDEX(SkiftStart,L789),Syklus)&lt;DagK+DagH+DagD,"Dag","Fri"))))</f>
        <v/>
      </c>
      <c r="J789" s="30">
        <f>IF(I789="Fri","Ja","")</f>
        <v/>
      </c>
      <c r="K789" s="30">
        <f>IF(B789="","",IF(L789="","Ukjent tekniker",IF(ISNA(MATCH(C789,Aktiviteter,0)),"Ukjent aktivitet",IF(AND(INDEX(AktRolle,MATCH(C789,Aktiviteter,0))&amp;""&lt;&gt;"",ISERROR(SEARCH(INDEX(AktRolle,MATCH(C789,Aktiviteter,0))&amp;"",INDEX(TekRoller,MATCH(B789,Teknikere,0))))),"Mangler rollen "&amp;INDEX(AktRolle,MATCH(C789,Aktiviteter,0))&amp;"",IF(AND(C789="LMS",F789&gt;0,OR(D789="",E789="")),"Mangler maskin eller arbeid",IF(AND(OR(C789="LMS",C789="Mod"),D789&lt;&gt;""),IF(IFERROR(INDEX(MaskinStatus,MATCH(D789,Maskiner,0)),"")="I dokk","","Maskinen er ikke i dokk"),""))))))</f>
        <v/>
      </c>
      <c r="L789" s="2">
        <f>IF(B789="","",IFERROR(INT((MATCH(B789,Teknikere,0)-1)/18)+1,""))</f>
        <v/>
      </c>
      <c r="M789" s="2">
        <f>IF(OR(A789="",B789=""),"",B789&amp;"|"&amp;A789)</f>
        <v/>
      </c>
      <c r="N789" s="2">
        <f>IF(M789="","",SUMIFS(TF_Timer,TF_Nokkel,M789,TF_Akt,C789))</f>
        <v/>
      </c>
      <c r="O789" s="2">
        <f>IF(M789="","",IF(AND(N789=_xlfn.MAXIFS(TF_AktSum,TF_Nokkel,M789),COUNTIFS(M$3:M788,M789,N$3:N788,N789)=0),M789,""))</f>
        <v/>
      </c>
    </row>
    <row r="790">
      <c r="A790" s="34" t="n"/>
      <c r="B790" s="35" t="n"/>
      <c r="C790" s="35" t="n"/>
      <c r="D790" s="35" t="n"/>
      <c r="E790" s="35" t="n"/>
      <c r="F790" s="36" t="n"/>
      <c r="G790" s="35" t="n"/>
      <c r="H790" s="30">
        <f>IF(L790="","",INDEX(SkiftNavn,L790))</f>
        <v/>
      </c>
      <c r="I790" s="30">
        <f>IF(OR(A790="",L790=""),"",IF(MOD(A790-INDEX(SkiftStart,L790),Syklus)&lt;DagK,"Kveld",IF(MOD(A790-INDEX(SkiftStart,L790),Syklus)&lt;DagK+DagH,"Helg",IF(MOD(A790-INDEX(SkiftStart,L790),Syklus)&lt;DagK+DagH+DagD,"Dag","Fri"))))</f>
        <v/>
      </c>
      <c r="J790" s="30">
        <f>IF(I790="Fri","Ja","")</f>
        <v/>
      </c>
      <c r="K790" s="30">
        <f>IF(B790="","",IF(L790="","Ukjent tekniker",IF(ISNA(MATCH(C790,Aktiviteter,0)),"Ukjent aktivitet",IF(AND(INDEX(AktRolle,MATCH(C790,Aktiviteter,0))&amp;""&lt;&gt;"",ISERROR(SEARCH(INDEX(AktRolle,MATCH(C790,Aktiviteter,0))&amp;"",INDEX(TekRoller,MATCH(B790,Teknikere,0))))),"Mangler rollen "&amp;INDEX(AktRolle,MATCH(C790,Aktiviteter,0))&amp;"",IF(AND(C790="LMS",F790&gt;0,OR(D790="",E790="")),"Mangler maskin eller arbeid",IF(AND(OR(C790="LMS",C790="Mod"),D790&lt;&gt;""),IF(IFERROR(INDEX(MaskinStatus,MATCH(D790,Maskiner,0)),"")="I dokk","","Maskinen er ikke i dokk"),""))))))</f>
        <v/>
      </c>
      <c r="L790" s="2">
        <f>IF(B790="","",IFERROR(INT((MATCH(B790,Teknikere,0)-1)/18)+1,""))</f>
        <v/>
      </c>
      <c r="M790" s="2">
        <f>IF(OR(A790="",B790=""),"",B790&amp;"|"&amp;A790)</f>
        <v/>
      </c>
      <c r="N790" s="2">
        <f>IF(M790="","",SUMIFS(TF_Timer,TF_Nokkel,M790,TF_Akt,C790))</f>
        <v/>
      </c>
      <c r="O790" s="2">
        <f>IF(M790="","",IF(AND(N790=_xlfn.MAXIFS(TF_AktSum,TF_Nokkel,M790),COUNTIFS(M$3:M789,M790,N$3:N789,N790)=0),M790,""))</f>
        <v/>
      </c>
    </row>
    <row r="791">
      <c r="A791" s="34" t="n"/>
      <c r="B791" s="35" t="n"/>
      <c r="C791" s="35" t="n"/>
      <c r="D791" s="35" t="n"/>
      <c r="E791" s="35" t="n"/>
      <c r="F791" s="36" t="n"/>
      <c r="G791" s="35" t="n"/>
      <c r="H791" s="30">
        <f>IF(L791="","",INDEX(SkiftNavn,L791))</f>
        <v/>
      </c>
      <c r="I791" s="30">
        <f>IF(OR(A791="",L791=""),"",IF(MOD(A791-INDEX(SkiftStart,L791),Syklus)&lt;DagK,"Kveld",IF(MOD(A791-INDEX(SkiftStart,L791),Syklus)&lt;DagK+DagH,"Helg",IF(MOD(A791-INDEX(SkiftStart,L791),Syklus)&lt;DagK+DagH+DagD,"Dag","Fri"))))</f>
        <v/>
      </c>
      <c r="J791" s="30">
        <f>IF(I791="Fri","Ja","")</f>
        <v/>
      </c>
      <c r="K791" s="30">
        <f>IF(B791="","",IF(L791="","Ukjent tekniker",IF(ISNA(MATCH(C791,Aktiviteter,0)),"Ukjent aktivitet",IF(AND(INDEX(AktRolle,MATCH(C791,Aktiviteter,0))&amp;""&lt;&gt;"",ISERROR(SEARCH(INDEX(AktRolle,MATCH(C791,Aktiviteter,0))&amp;"",INDEX(TekRoller,MATCH(B791,Teknikere,0))))),"Mangler rollen "&amp;INDEX(AktRolle,MATCH(C791,Aktiviteter,0))&amp;"",IF(AND(C791="LMS",F791&gt;0,OR(D791="",E791="")),"Mangler maskin eller arbeid",IF(AND(OR(C791="LMS",C791="Mod"),D791&lt;&gt;""),IF(IFERROR(INDEX(MaskinStatus,MATCH(D791,Maskiner,0)),"")="I dokk","","Maskinen er ikke i dokk"),""))))))</f>
        <v/>
      </c>
      <c r="L791" s="2">
        <f>IF(B791="","",IFERROR(INT((MATCH(B791,Teknikere,0)-1)/18)+1,""))</f>
        <v/>
      </c>
      <c r="M791" s="2">
        <f>IF(OR(A791="",B791=""),"",B791&amp;"|"&amp;A791)</f>
        <v/>
      </c>
      <c r="N791" s="2">
        <f>IF(M791="","",SUMIFS(TF_Timer,TF_Nokkel,M791,TF_Akt,C791))</f>
        <v/>
      </c>
      <c r="O791" s="2">
        <f>IF(M791="","",IF(AND(N791=_xlfn.MAXIFS(TF_AktSum,TF_Nokkel,M791),COUNTIFS(M$3:M790,M791,N$3:N790,N791)=0),M791,""))</f>
        <v/>
      </c>
    </row>
    <row r="792">
      <c r="A792" s="34" t="n"/>
      <c r="B792" s="35" t="n"/>
      <c r="C792" s="35" t="n"/>
      <c r="D792" s="35" t="n"/>
      <c r="E792" s="35" t="n"/>
      <c r="F792" s="36" t="n"/>
      <c r="G792" s="35" t="n"/>
      <c r="H792" s="30">
        <f>IF(L792="","",INDEX(SkiftNavn,L792))</f>
        <v/>
      </c>
      <c r="I792" s="30">
        <f>IF(OR(A792="",L792=""),"",IF(MOD(A792-INDEX(SkiftStart,L792),Syklus)&lt;DagK,"Kveld",IF(MOD(A792-INDEX(SkiftStart,L792),Syklus)&lt;DagK+DagH,"Helg",IF(MOD(A792-INDEX(SkiftStart,L792),Syklus)&lt;DagK+DagH+DagD,"Dag","Fri"))))</f>
        <v/>
      </c>
      <c r="J792" s="30">
        <f>IF(I792="Fri","Ja","")</f>
        <v/>
      </c>
      <c r="K792" s="30">
        <f>IF(B792="","",IF(L792="","Ukjent tekniker",IF(ISNA(MATCH(C792,Aktiviteter,0)),"Ukjent aktivitet",IF(AND(INDEX(AktRolle,MATCH(C792,Aktiviteter,0))&amp;""&lt;&gt;"",ISERROR(SEARCH(INDEX(AktRolle,MATCH(C792,Aktiviteter,0))&amp;"",INDEX(TekRoller,MATCH(B792,Teknikere,0))))),"Mangler rollen "&amp;INDEX(AktRolle,MATCH(C792,Aktiviteter,0))&amp;"",IF(AND(C792="LMS",F792&gt;0,OR(D792="",E792="")),"Mangler maskin eller arbeid",IF(AND(OR(C792="LMS",C792="Mod"),D792&lt;&gt;""),IF(IFERROR(INDEX(MaskinStatus,MATCH(D792,Maskiner,0)),"")="I dokk","","Maskinen er ikke i dokk"),""))))))</f>
        <v/>
      </c>
      <c r="L792" s="2">
        <f>IF(B792="","",IFERROR(INT((MATCH(B792,Teknikere,0)-1)/18)+1,""))</f>
        <v/>
      </c>
      <c r="M792" s="2">
        <f>IF(OR(A792="",B792=""),"",B792&amp;"|"&amp;A792)</f>
        <v/>
      </c>
      <c r="N792" s="2">
        <f>IF(M792="","",SUMIFS(TF_Timer,TF_Nokkel,M792,TF_Akt,C792))</f>
        <v/>
      </c>
      <c r="O792" s="2">
        <f>IF(M792="","",IF(AND(N792=_xlfn.MAXIFS(TF_AktSum,TF_Nokkel,M792),COUNTIFS(M$3:M791,M792,N$3:N791,N792)=0),M792,""))</f>
        <v/>
      </c>
    </row>
    <row r="793">
      <c r="A793" s="34" t="n"/>
      <c r="B793" s="35" t="n"/>
      <c r="C793" s="35" t="n"/>
      <c r="D793" s="35" t="n"/>
      <c r="E793" s="35" t="n"/>
      <c r="F793" s="36" t="n"/>
      <c r="G793" s="35" t="n"/>
      <c r="H793" s="30">
        <f>IF(L793="","",INDEX(SkiftNavn,L793))</f>
        <v/>
      </c>
      <c r="I793" s="30">
        <f>IF(OR(A793="",L793=""),"",IF(MOD(A793-INDEX(SkiftStart,L793),Syklus)&lt;DagK,"Kveld",IF(MOD(A793-INDEX(SkiftStart,L793),Syklus)&lt;DagK+DagH,"Helg",IF(MOD(A793-INDEX(SkiftStart,L793),Syklus)&lt;DagK+DagH+DagD,"Dag","Fri"))))</f>
        <v/>
      </c>
      <c r="J793" s="30">
        <f>IF(I793="Fri","Ja","")</f>
        <v/>
      </c>
      <c r="K793" s="30">
        <f>IF(B793="","",IF(L793="","Ukjent tekniker",IF(ISNA(MATCH(C793,Aktiviteter,0)),"Ukjent aktivitet",IF(AND(INDEX(AktRolle,MATCH(C793,Aktiviteter,0))&amp;""&lt;&gt;"",ISERROR(SEARCH(INDEX(AktRolle,MATCH(C793,Aktiviteter,0))&amp;"",INDEX(TekRoller,MATCH(B793,Teknikere,0))))),"Mangler rollen "&amp;INDEX(AktRolle,MATCH(C793,Aktiviteter,0))&amp;"",IF(AND(C793="LMS",F793&gt;0,OR(D793="",E793="")),"Mangler maskin eller arbeid",IF(AND(OR(C793="LMS",C793="Mod"),D793&lt;&gt;""),IF(IFERROR(INDEX(MaskinStatus,MATCH(D793,Maskiner,0)),"")="I dokk","","Maskinen er ikke i dokk"),""))))))</f>
        <v/>
      </c>
      <c r="L793" s="2">
        <f>IF(B793="","",IFERROR(INT((MATCH(B793,Teknikere,0)-1)/18)+1,""))</f>
        <v/>
      </c>
      <c r="M793" s="2">
        <f>IF(OR(A793="",B793=""),"",B793&amp;"|"&amp;A793)</f>
        <v/>
      </c>
      <c r="N793" s="2">
        <f>IF(M793="","",SUMIFS(TF_Timer,TF_Nokkel,M793,TF_Akt,C793))</f>
        <v/>
      </c>
      <c r="O793" s="2">
        <f>IF(M793="","",IF(AND(N793=_xlfn.MAXIFS(TF_AktSum,TF_Nokkel,M793),COUNTIFS(M$3:M792,M793,N$3:N792,N793)=0),M793,""))</f>
        <v/>
      </c>
    </row>
    <row r="794">
      <c r="A794" s="34" t="n"/>
      <c r="B794" s="35" t="n"/>
      <c r="C794" s="35" t="n"/>
      <c r="D794" s="35" t="n"/>
      <c r="E794" s="35" t="n"/>
      <c r="F794" s="36" t="n"/>
      <c r="G794" s="35" t="n"/>
      <c r="H794" s="30">
        <f>IF(L794="","",INDEX(SkiftNavn,L794))</f>
        <v/>
      </c>
      <c r="I794" s="30">
        <f>IF(OR(A794="",L794=""),"",IF(MOD(A794-INDEX(SkiftStart,L794),Syklus)&lt;DagK,"Kveld",IF(MOD(A794-INDEX(SkiftStart,L794),Syklus)&lt;DagK+DagH,"Helg",IF(MOD(A794-INDEX(SkiftStart,L794),Syklus)&lt;DagK+DagH+DagD,"Dag","Fri"))))</f>
        <v/>
      </c>
      <c r="J794" s="30">
        <f>IF(I794="Fri","Ja","")</f>
        <v/>
      </c>
      <c r="K794" s="30">
        <f>IF(B794="","",IF(L794="","Ukjent tekniker",IF(ISNA(MATCH(C794,Aktiviteter,0)),"Ukjent aktivitet",IF(AND(INDEX(AktRolle,MATCH(C794,Aktiviteter,0))&amp;""&lt;&gt;"",ISERROR(SEARCH(INDEX(AktRolle,MATCH(C794,Aktiviteter,0))&amp;"",INDEX(TekRoller,MATCH(B794,Teknikere,0))))),"Mangler rollen "&amp;INDEX(AktRolle,MATCH(C794,Aktiviteter,0))&amp;"",IF(AND(C794="LMS",F794&gt;0,OR(D794="",E794="")),"Mangler maskin eller arbeid",IF(AND(OR(C794="LMS",C794="Mod"),D794&lt;&gt;""),IF(IFERROR(INDEX(MaskinStatus,MATCH(D794,Maskiner,0)),"")="I dokk","","Maskinen er ikke i dokk"),""))))))</f>
        <v/>
      </c>
      <c r="L794" s="2">
        <f>IF(B794="","",IFERROR(INT((MATCH(B794,Teknikere,0)-1)/18)+1,""))</f>
        <v/>
      </c>
      <c r="M794" s="2">
        <f>IF(OR(A794="",B794=""),"",B794&amp;"|"&amp;A794)</f>
        <v/>
      </c>
      <c r="N794" s="2">
        <f>IF(M794="","",SUMIFS(TF_Timer,TF_Nokkel,M794,TF_Akt,C794))</f>
        <v/>
      </c>
      <c r="O794" s="2">
        <f>IF(M794="","",IF(AND(N794=_xlfn.MAXIFS(TF_AktSum,TF_Nokkel,M794),COUNTIFS(M$3:M793,M794,N$3:N793,N794)=0),M794,""))</f>
        <v/>
      </c>
    </row>
    <row r="795">
      <c r="A795" s="34" t="n"/>
      <c r="B795" s="35" t="n"/>
      <c r="C795" s="35" t="n"/>
      <c r="D795" s="35" t="n"/>
      <c r="E795" s="35" t="n"/>
      <c r="F795" s="36" t="n"/>
      <c r="G795" s="35" t="n"/>
      <c r="H795" s="30">
        <f>IF(L795="","",INDEX(SkiftNavn,L795))</f>
        <v/>
      </c>
      <c r="I795" s="30">
        <f>IF(OR(A795="",L795=""),"",IF(MOD(A795-INDEX(SkiftStart,L795),Syklus)&lt;DagK,"Kveld",IF(MOD(A795-INDEX(SkiftStart,L795),Syklus)&lt;DagK+DagH,"Helg",IF(MOD(A795-INDEX(SkiftStart,L795),Syklus)&lt;DagK+DagH+DagD,"Dag","Fri"))))</f>
        <v/>
      </c>
      <c r="J795" s="30">
        <f>IF(I795="Fri","Ja","")</f>
        <v/>
      </c>
      <c r="K795" s="30">
        <f>IF(B795="","",IF(L795="","Ukjent tekniker",IF(ISNA(MATCH(C795,Aktiviteter,0)),"Ukjent aktivitet",IF(AND(INDEX(AktRolle,MATCH(C795,Aktiviteter,0))&amp;""&lt;&gt;"",ISERROR(SEARCH(INDEX(AktRolle,MATCH(C795,Aktiviteter,0))&amp;"",INDEX(TekRoller,MATCH(B795,Teknikere,0))))),"Mangler rollen "&amp;INDEX(AktRolle,MATCH(C795,Aktiviteter,0))&amp;"",IF(AND(C795="LMS",F795&gt;0,OR(D795="",E795="")),"Mangler maskin eller arbeid",IF(AND(OR(C795="LMS",C795="Mod"),D795&lt;&gt;""),IF(IFERROR(INDEX(MaskinStatus,MATCH(D795,Maskiner,0)),"")="I dokk","","Maskinen er ikke i dokk"),""))))))</f>
        <v/>
      </c>
      <c r="L795" s="2">
        <f>IF(B795="","",IFERROR(INT((MATCH(B795,Teknikere,0)-1)/18)+1,""))</f>
        <v/>
      </c>
      <c r="M795" s="2">
        <f>IF(OR(A795="",B795=""),"",B795&amp;"|"&amp;A795)</f>
        <v/>
      </c>
      <c r="N795" s="2">
        <f>IF(M795="","",SUMIFS(TF_Timer,TF_Nokkel,M795,TF_Akt,C795))</f>
        <v/>
      </c>
      <c r="O795" s="2">
        <f>IF(M795="","",IF(AND(N795=_xlfn.MAXIFS(TF_AktSum,TF_Nokkel,M795),COUNTIFS(M$3:M794,M795,N$3:N794,N795)=0),M795,""))</f>
        <v/>
      </c>
    </row>
    <row r="796">
      <c r="A796" s="34" t="n"/>
      <c r="B796" s="35" t="n"/>
      <c r="C796" s="35" t="n"/>
      <c r="D796" s="35" t="n"/>
      <c r="E796" s="35" t="n"/>
      <c r="F796" s="36" t="n"/>
      <c r="G796" s="35" t="n"/>
      <c r="H796" s="30">
        <f>IF(L796="","",INDEX(SkiftNavn,L796))</f>
        <v/>
      </c>
      <c r="I796" s="30">
        <f>IF(OR(A796="",L796=""),"",IF(MOD(A796-INDEX(SkiftStart,L796),Syklus)&lt;DagK,"Kveld",IF(MOD(A796-INDEX(SkiftStart,L796),Syklus)&lt;DagK+DagH,"Helg",IF(MOD(A796-INDEX(SkiftStart,L796),Syklus)&lt;DagK+DagH+DagD,"Dag","Fri"))))</f>
        <v/>
      </c>
      <c r="J796" s="30">
        <f>IF(I796="Fri","Ja","")</f>
        <v/>
      </c>
      <c r="K796" s="30">
        <f>IF(B796="","",IF(L796="","Ukjent tekniker",IF(ISNA(MATCH(C796,Aktiviteter,0)),"Ukjent aktivitet",IF(AND(INDEX(AktRolle,MATCH(C796,Aktiviteter,0))&amp;""&lt;&gt;"",ISERROR(SEARCH(INDEX(AktRolle,MATCH(C796,Aktiviteter,0))&amp;"",INDEX(TekRoller,MATCH(B796,Teknikere,0))))),"Mangler rollen "&amp;INDEX(AktRolle,MATCH(C796,Aktiviteter,0))&amp;"",IF(AND(C796="LMS",F796&gt;0,OR(D796="",E796="")),"Mangler maskin eller arbeid",IF(AND(OR(C796="LMS",C796="Mod"),D796&lt;&gt;""),IF(IFERROR(INDEX(MaskinStatus,MATCH(D796,Maskiner,0)),"")="I dokk","","Maskinen er ikke i dokk"),""))))))</f>
        <v/>
      </c>
      <c r="L796" s="2">
        <f>IF(B796="","",IFERROR(INT((MATCH(B796,Teknikere,0)-1)/18)+1,""))</f>
        <v/>
      </c>
      <c r="M796" s="2">
        <f>IF(OR(A796="",B796=""),"",B796&amp;"|"&amp;A796)</f>
        <v/>
      </c>
      <c r="N796" s="2">
        <f>IF(M796="","",SUMIFS(TF_Timer,TF_Nokkel,M796,TF_Akt,C796))</f>
        <v/>
      </c>
      <c r="O796" s="2">
        <f>IF(M796="","",IF(AND(N796=_xlfn.MAXIFS(TF_AktSum,TF_Nokkel,M796),COUNTIFS(M$3:M795,M796,N$3:N795,N796)=0),M796,""))</f>
        <v/>
      </c>
    </row>
    <row r="797">
      <c r="A797" s="34" t="n"/>
      <c r="B797" s="35" t="n"/>
      <c r="C797" s="35" t="n"/>
      <c r="D797" s="35" t="n"/>
      <c r="E797" s="35" t="n"/>
      <c r="F797" s="36" t="n"/>
      <c r="G797" s="35" t="n"/>
      <c r="H797" s="30">
        <f>IF(L797="","",INDEX(SkiftNavn,L797))</f>
        <v/>
      </c>
      <c r="I797" s="30">
        <f>IF(OR(A797="",L797=""),"",IF(MOD(A797-INDEX(SkiftStart,L797),Syklus)&lt;DagK,"Kveld",IF(MOD(A797-INDEX(SkiftStart,L797),Syklus)&lt;DagK+DagH,"Helg",IF(MOD(A797-INDEX(SkiftStart,L797),Syklus)&lt;DagK+DagH+DagD,"Dag","Fri"))))</f>
        <v/>
      </c>
      <c r="J797" s="30">
        <f>IF(I797="Fri","Ja","")</f>
        <v/>
      </c>
      <c r="K797" s="30">
        <f>IF(B797="","",IF(L797="","Ukjent tekniker",IF(ISNA(MATCH(C797,Aktiviteter,0)),"Ukjent aktivitet",IF(AND(INDEX(AktRolle,MATCH(C797,Aktiviteter,0))&amp;""&lt;&gt;"",ISERROR(SEARCH(INDEX(AktRolle,MATCH(C797,Aktiviteter,0))&amp;"",INDEX(TekRoller,MATCH(B797,Teknikere,0))))),"Mangler rollen "&amp;INDEX(AktRolle,MATCH(C797,Aktiviteter,0))&amp;"",IF(AND(C797="LMS",F797&gt;0,OR(D797="",E797="")),"Mangler maskin eller arbeid",IF(AND(OR(C797="LMS",C797="Mod"),D797&lt;&gt;""),IF(IFERROR(INDEX(MaskinStatus,MATCH(D797,Maskiner,0)),"")="I dokk","","Maskinen er ikke i dokk"),""))))))</f>
        <v/>
      </c>
      <c r="L797" s="2">
        <f>IF(B797="","",IFERROR(INT((MATCH(B797,Teknikere,0)-1)/18)+1,""))</f>
        <v/>
      </c>
      <c r="M797" s="2">
        <f>IF(OR(A797="",B797=""),"",B797&amp;"|"&amp;A797)</f>
        <v/>
      </c>
      <c r="N797" s="2">
        <f>IF(M797="","",SUMIFS(TF_Timer,TF_Nokkel,M797,TF_Akt,C797))</f>
        <v/>
      </c>
      <c r="O797" s="2">
        <f>IF(M797="","",IF(AND(N797=_xlfn.MAXIFS(TF_AktSum,TF_Nokkel,M797),COUNTIFS(M$3:M796,M797,N$3:N796,N797)=0),M797,""))</f>
        <v/>
      </c>
    </row>
    <row r="798">
      <c r="A798" s="34" t="n"/>
      <c r="B798" s="35" t="n"/>
      <c r="C798" s="35" t="n"/>
      <c r="D798" s="35" t="n"/>
      <c r="E798" s="35" t="n"/>
      <c r="F798" s="36" t="n"/>
      <c r="G798" s="35" t="n"/>
      <c r="H798" s="30">
        <f>IF(L798="","",INDEX(SkiftNavn,L798))</f>
        <v/>
      </c>
      <c r="I798" s="30">
        <f>IF(OR(A798="",L798=""),"",IF(MOD(A798-INDEX(SkiftStart,L798),Syklus)&lt;DagK,"Kveld",IF(MOD(A798-INDEX(SkiftStart,L798),Syklus)&lt;DagK+DagH,"Helg",IF(MOD(A798-INDEX(SkiftStart,L798),Syklus)&lt;DagK+DagH+DagD,"Dag","Fri"))))</f>
        <v/>
      </c>
      <c r="J798" s="30">
        <f>IF(I798="Fri","Ja","")</f>
        <v/>
      </c>
      <c r="K798" s="30">
        <f>IF(B798="","",IF(L798="","Ukjent tekniker",IF(ISNA(MATCH(C798,Aktiviteter,0)),"Ukjent aktivitet",IF(AND(INDEX(AktRolle,MATCH(C798,Aktiviteter,0))&amp;""&lt;&gt;"",ISERROR(SEARCH(INDEX(AktRolle,MATCH(C798,Aktiviteter,0))&amp;"",INDEX(TekRoller,MATCH(B798,Teknikere,0))))),"Mangler rollen "&amp;INDEX(AktRolle,MATCH(C798,Aktiviteter,0))&amp;"",IF(AND(C798="LMS",F798&gt;0,OR(D798="",E798="")),"Mangler maskin eller arbeid",IF(AND(OR(C798="LMS",C798="Mod"),D798&lt;&gt;""),IF(IFERROR(INDEX(MaskinStatus,MATCH(D798,Maskiner,0)),"")="I dokk","","Maskinen er ikke i dokk"),""))))))</f>
        <v/>
      </c>
      <c r="L798" s="2">
        <f>IF(B798="","",IFERROR(INT((MATCH(B798,Teknikere,0)-1)/18)+1,""))</f>
        <v/>
      </c>
      <c r="M798" s="2">
        <f>IF(OR(A798="",B798=""),"",B798&amp;"|"&amp;A798)</f>
        <v/>
      </c>
      <c r="N798" s="2">
        <f>IF(M798="","",SUMIFS(TF_Timer,TF_Nokkel,M798,TF_Akt,C798))</f>
        <v/>
      </c>
      <c r="O798" s="2">
        <f>IF(M798="","",IF(AND(N798=_xlfn.MAXIFS(TF_AktSum,TF_Nokkel,M798),COUNTIFS(M$3:M797,M798,N$3:N797,N798)=0),M798,""))</f>
        <v/>
      </c>
    </row>
    <row r="799">
      <c r="A799" s="34" t="n"/>
      <c r="B799" s="35" t="n"/>
      <c r="C799" s="35" t="n"/>
      <c r="D799" s="35" t="n"/>
      <c r="E799" s="35" t="n"/>
      <c r="F799" s="36" t="n"/>
      <c r="G799" s="35" t="n"/>
      <c r="H799" s="30">
        <f>IF(L799="","",INDEX(SkiftNavn,L799))</f>
        <v/>
      </c>
      <c r="I799" s="30">
        <f>IF(OR(A799="",L799=""),"",IF(MOD(A799-INDEX(SkiftStart,L799),Syklus)&lt;DagK,"Kveld",IF(MOD(A799-INDEX(SkiftStart,L799),Syklus)&lt;DagK+DagH,"Helg",IF(MOD(A799-INDEX(SkiftStart,L799),Syklus)&lt;DagK+DagH+DagD,"Dag","Fri"))))</f>
        <v/>
      </c>
      <c r="J799" s="30">
        <f>IF(I799="Fri","Ja","")</f>
        <v/>
      </c>
      <c r="K799" s="30">
        <f>IF(B799="","",IF(L799="","Ukjent tekniker",IF(ISNA(MATCH(C799,Aktiviteter,0)),"Ukjent aktivitet",IF(AND(INDEX(AktRolle,MATCH(C799,Aktiviteter,0))&amp;""&lt;&gt;"",ISERROR(SEARCH(INDEX(AktRolle,MATCH(C799,Aktiviteter,0))&amp;"",INDEX(TekRoller,MATCH(B799,Teknikere,0))))),"Mangler rollen "&amp;INDEX(AktRolle,MATCH(C799,Aktiviteter,0))&amp;"",IF(AND(C799="LMS",F799&gt;0,OR(D799="",E799="")),"Mangler maskin eller arbeid",IF(AND(OR(C799="LMS",C799="Mod"),D799&lt;&gt;""),IF(IFERROR(INDEX(MaskinStatus,MATCH(D799,Maskiner,0)),"")="I dokk","","Maskinen er ikke i dokk"),""))))))</f>
        <v/>
      </c>
      <c r="L799" s="2">
        <f>IF(B799="","",IFERROR(INT((MATCH(B799,Teknikere,0)-1)/18)+1,""))</f>
        <v/>
      </c>
      <c r="M799" s="2">
        <f>IF(OR(A799="",B799=""),"",B799&amp;"|"&amp;A799)</f>
        <v/>
      </c>
      <c r="N799" s="2">
        <f>IF(M799="","",SUMIFS(TF_Timer,TF_Nokkel,M799,TF_Akt,C799))</f>
        <v/>
      </c>
      <c r="O799" s="2">
        <f>IF(M799="","",IF(AND(N799=_xlfn.MAXIFS(TF_AktSum,TF_Nokkel,M799),COUNTIFS(M$3:M798,M799,N$3:N798,N799)=0),M799,""))</f>
        <v/>
      </c>
    </row>
    <row r="800">
      <c r="A800" s="34" t="n"/>
      <c r="B800" s="35" t="n"/>
      <c r="C800" s="35" t="n"/>
      <c r="D800" s="35" t="n"/>
      <c r="E800" s="35" t="n"/>
      <c r="F800" s="36" t="n"/>
      <c r="G800" s="35" t="n"/>
      <c r="H800" s="30">
        <f>IF(L800="","",INDEX(SkiftNavn,L800))</f>
        <v/>
      </c>
      <c r="I800" s="30">
        <f>IF(OR(A800="",L800=""),"",IF(MOD(A800-INDEX(SkiftStart,L800),Syklus)&lt;DagK,"Kveld",IF(MOD(A800-INDEX(SkiftStart,L800),Syklus)&lt;DagK+DagH,"Helg",IF(MOD(A800-INDEX(SkiftStart,L800),Syklus)&lt;DagK+DagH+DagD,"Dag","Fri"))))</f>
        <v/>
      </c>
      <c r="J800" s="30">
        <f>IF(I800="Fri","Ja","")</f>
        <v/>
      </c>
      <c r="K800" s="30">
        <f>IF(B800="","",IF(L800="","Ukjent tekniker",IF(ISNA(MATCH(C800,Aktiviteter,0)),"Ukjent aktivitet",IF(AND(INDEX(AktRolle,MATCH(C800,Aktiviteter,0))&amp;""&lt;&gt;"",ISERROR(SEARCH(INDEX(AktRolle,MATCH(C800,Aktiviteter,0))&amp;"",INDEX(TekRoller,MATCH(B800,Teknikere,0))))),"Mangler rollen "&amp;INDEX(AktRolle,MATCH(C800,Aktiviteter,0))&amp;"",IF(AND(C800="LMS",F800&gt;0,OR(D800="",E800="")),"Mangler maskin eller arbeid",IF(AND(OR(C800="LMS",C800="Mod"),D800&lt;&gt;""),IF(IFERROR(INDEX(MaskinStatus,MATCH(D800,Maskiner,0)),"")="I dokk","","Maskinen er ikke i dokk"),""))))))</f>
        <v/>
      </c>
      <c r="L800" s="2">
        <f>IF(B800="","",IFERROR(INT((MATCH(B800,Teknikere,0)-1)/18)+1,""))</f>
        <v/>
      </c>
      <c r="M800" s="2">
        <f>IF(OR(A800="",B800=""),"",B800&amp;"|"&amp;A800)</f>
        <v/>
      </c>
      <c r="N800" s="2">
        <f>IF(M800="","",SUMIFS(TF_Timer,TF_Nokkel,M800,TF_Akt,C800))</f>
        <v/>
      </c>
      <c r="O800" s="2">
        <f>IF(M800="","",IF(AND(N800=_xlfn.MAXIFS(TF_AktSum,TF_Nokkel,M800),COUNTIFS(M$3:M799,M800,N$3:N799,N800)=0),M800,""))</f>
        <v/>
      </c>
    </row>
    <row r="801">
      <c r="A801" s="34" t="n"/>
      <c r="B801" s="35" t="n"/>
      <c r="C801" s="35" t="n"/>
      <c r="D801" s="35" t="n"/>
      <c r="E801" s="35" t="n"/>
      <c r="F801" s="36" t="n"/>
      <c r="G801" s="35" t="n"/>
      <c r="H801" s="30">
        <f>IF(L801="","",INDEX(SkiftNavn,L801))</f>
        <v/>
      </c>
      <c r="I801" s="30">
        <f>IF(OR(A801="",L801=""),"",IF(MOD(A801-INDEX(SkiftStart,L801),Syklus)&lt;DagK,"Kveld",IF(MOD(A801-INDEX(SkiftStart,L801),Syklus)&lt;DagK+DagH,"Helg",IF(MOD(A801-INDEX(SkiftStart,L801),Syklus)&lt;DagK+DagH+DagD,"Dag","Fri"))))</f>
        <v/>
      </c>
      <c r="J801" s="30">
        <f>IF(I801="Fri","Ja","")</f>
        <v/>
      </c>
      <c r="K801" s="30">
        <f>IF(B801="","",IF(L801="","Ukjent tekniker",IF(ISNA(MATCH(C801,Aktiviteter,0)),"Ukjent aktivitet",IF(AND(INDEX(AktRolle,MATCH(C801,Aktiviteter,0))&amp;""&lt;&gt;"",ISERROR(SEARCH(INDEX(AktRolle,MATCH(C801,Aktiviteter,0))&amp;"",INDEX(TekRoller,MATCH(B801,Teknikere,0))))),"Mangler rollen "&amp;INDEX(AktRolle,MATCH(C801,Aktiviteter,0))&amp;"",IF(AND(C801="LMS",F801&gt;0,OR(D801="",E801="")),"Mangler maskin eller arbeid",IF(AND(OR(C801="LMS",C801="Mod"),D801&lt;&gt;""),IF(IFERROR(INDEX(MaskinStatus,MATCH(D801,Maskiner,0)),"")="I dokk","","Maskinen er ikke i dokk"),""))))))</f>
        <v/>
      </c>
      <c r="L801" s="2">
        <f>IF(B801="","",IFERROR(INT((MATCH(B801,Teknikere,0)-1)/18)+1,""))</f>
        <v/>
      </c>
      <c r="M801" s="2">
        <f>IF(OR(A801="",B801=""),"",B801&amp;"|"&amp;A801)</f>
        <v/>
      </c>
      <c r="N801" s="2">
        <f>IF(M801="","",SUMIFS(TF_Timer,TF_Nokkel,M801,TF_Akt,C801))</f>
        <v/>
      </c>
      <c r="O801" s="2">
        <f>IF(M801="","",IF(AND(N801=_xlfn.MAXIFS(TF_AktSum,TF_Nokkel,M801),COUNTIFS(M$3:M800,M801,N$3:N800,N801)=0),M801,""))</f>
        <v/>
      </c>
    </row>
    <row r="802">
      <c r="A802" s="34" t="n"/>
      <c r="B802" s="35" t="n"/>
      <c r="C802" s="35" t="n"/>
      <c r="D802" s="35" t="n"/>
      <c r="E802" s="35" t="n"/>
      <c r="F802" s="36" t="n"/>
      <c r="G802" s="35" t="n"/>
      <c r="H802" s="30">
        <f>IF(L802="","",INDEX(SkiftNavn,L802))</f>
        <v/>
      </c>
      <c r="I802" s="30">
        <f>IF(OR(A802="",L802=""),"",IF(MOD(A802-INDEX(SkiftStart,L802),Syklus)&lt;DagK,"Kveld",IF(MOD(A802-INDEX(SkiftStart,L802),Syklus)&lt;DagK+DagH,"Helg",IF(MOD(A802-INDEX(SkiftStart,L802),Syklus)&lt;DagK+DagH+DagD,"Dag","Fri"))))</f>
        <v/>
      </c>
      <c r="J802" s="30">
        <f>IF(I802="Fri","Ja","")</f>
        <v/>
      </c>
      <c r="K802" s="30">
        <f>IF(B802="","",IF(L802="","Ukjent tekniker",IF(ISNA(MATCH(C802,Aktiviteter,0)),"Ukjent aktivitet",IF(AND(INDEX(AktRolle,MATCH(C802,Aktiviteter,0))&amp;""&lt;&gt;"",ISERROR(SEARCH(INDEX(AktRolle,MATCH(C802,Aktiviteter,0))&amp;"",INDEX(TekRoller,MATCH(B802,Teknikere,0))))),"Mangler rollen "&amp;INDEX(AktRolle,MATCH(C802,Aktiviteter,0))&amp;"",IF(AND(C802="LMS",F802&gt;0,OR(D802="",E802="")),"Mangler maskin eller arbeid",IF(AND(OR(C802="LMS",C802="Mod"),D802&lt;&gt;""),IF(IFERROR(INDEX(MaskinStatus,MATCH(D802,Maskiner,0)),"")="I dokk","","Maskinen er ikke i dokk"),""))))))</f>
        <v/>
      </c>
      <c r="L802" s="2">
        <f>IF(B802="","",IFERROR(INT((MATCH(B802,Teknikere,0)-1)/18)+1,""))</f>
        <v/>
      </c>
      <c r="M802" s="2">
        <f>IF(OR(A802="",B802=""),"",B802&amp;"|"&amp;A802)</f>
        <v/>
      </c>
      <c r="N802" s="2">
        <f>IF(M802="","",SUMIFS(TF_Timer,TF_Nokkel,M802,TF_Akt,C802))</f>
        <v/>
      </c>
      <c r="O802" s="2">
        <f>IF(M802="","",IF(AND(N802=_xlfn.MAXIFS(TF_AktSum,TF_Nokkel,M802),COUNTIFS(M$3:M801,M802,N$3:N801,N802)=0),M802,""))</f>
        <v/>
      </c>
    </row>
    <row r="803">
      <c r="A803" s="34" t="n"/>
      <c r="B803" s="35" t="n"/>
      <c r="C803" s="35" t="n"/>
      <c r="D803" s="35" t="n"/>
      <c r="E803" s="35" t="n"/>
      <c r="F803" s="36" t="n"/>
      <c r="G803" s="35" t="n"/>
      <c r="H803" s="30">
        <f>IF(L803="","",INDEX(SkiftNavn,L803))</f>
        <v/>
      </c>
      <c r="I803" s="30">
        <f>IF(OR(A803="",L803=""),"",IF(MOD(A803-INDEX(SkiftStart,L803),Syklus)&lt;DagK,"Kveld",IF(MOD(A803-INDEX(SkiftStart,L803),Syklus)&lt;DagK+DagH,"Helg",IF(MOD(A803-INDEX(SkiftStart,L803),Syklus)&lt;DagK+DagH+DagD,"Dag","Fri"))))</f>
        <v/>
      </c>
      <c r="J803" s="30">
        <f>IF(I803="Fri","Ja","")</f>
        <v/>
      </c>
      <c r="K803" s="30">
        <f>IF(B803="","",IF(L803="","Ukjent tekniker",IF(ISNA(MATCH(C803,Aktiviteter,0)),"Ukjent aktivitet",IF(AND(INDEX(AktRolle,MATCH(C803,Aktiviteter,0))&amp;""&lt;&gt;"",ISERROR(SEARCH(INDEX(AktRolle,MATCH(C803,Aktiviteter,0))&amp;"",INDEX(TekRoller,MATCH(B803,Teknikere,0))))),"Mangler rollen "&amp;INDEX(AktRolle,MATCH(C803,Aktiviteter,0))&amp;"",IF(AND(C803="LMS",F803&gt;0,OR(D803="",E803="")),"Mangler maskin eller arbeid",IF(AND(OR(C803="LMS",C803="Mod"),D803&lt;&gt;""),IF(IFERROR(INDEX(MaskinStatus,MATCH(D803,Maskiner,0)),"")="I dokk","","Maskinen er ikke i dokk"),""))))))</f>
        <v/>
      </c>
      <c r="L803" s="2">
        <f>IF(B803="","",IFERROR(INT((MATCH(B803,Teknikere,0)-1)/18)+1,""))</f>
        <v/>
      </c>
      <c r="M803" s="2">
        <f>IF(OR(A803="",B803=""),"",B803&amp;"|"&amp;A803)</f>
        <v/>
      </c>
      <c r="N803" s="2">
        <f>IF(M803="","",SUMIFS(TF_Timer,TF_Nokkel,M803,TF_Akt,C803))</f>
        <v/>
      </c>
      <c r="O803" s="2">
        <f>IF(M803="","",IF(AND(N803=_xlfn.MAXIFS(TF_AktSum,TF_Nokkel,M803),COUNTIFS(M$3:M802,M803,N$3:N802,N803)=0),M803,""))</f>
        <v/>
      </c>
    </row>
    <row r="804">
      <c r="A804" s="34" t="n"/>
      <c r="B804" s="35" t="n"/>
      <c r="C804" s="35" t="n"/>
      <c r="D804" s="35" t="n"/>
      <c r="E804" s="35" t="n"/>
      <c r="F804" s="36" t="n"/>
      <c r="G804" s="35" t="n"/>
      <c r="H804" s="30">
        <f>IF(L804="","",INDEX(SkiftNavn,L804))</f>
        <v/>
      </c>
      <c r="I804" s="30">
        <f>IF(OR(A804="",L804=""),"",IF(MOD(A804-INDEX(SkiftStart,L804),Syklus)&lt;DagK,"Kveld",IF(MOD(A804-INDEX(SkiftStart,L804),Syklus)&lt;DagK+DagH,"Helg",IF(MOD(A804-INDEX(SkiftStart,L804),Syklus)&lt;DagK+DagH+DagD,"Dag","Fri"))))</f>
        <v/>
      </c>
      <c r="J804" s="30">
        <f>IF(I804="Fri","Ja","")</f>
        <v/>
      </c>
      <c r="K804" s="30">
        <f>IF(B804="","",IF(L804="","Ukjent tekniker",IF(ISNA(MATCH(C804,Aktiviteter,0)),"Ukjent aktivitet",IF(AND(INDEX(AktRolle,MATCH(C804,Aktiviteter,0))&amp;""&lt;&gt;"",ISERROR(SEARCH(INDEX(AktRolle,MATCH(C804,Aktiviteter,0))&amp;"",INDEX(TekRoller,MATCH(B804,Teknikere,0))))),"Mangler rollen "&amp;INDEX(AktRolle,MATCH(C804,Aktiviteter,0))&amp;"",IF(AND(C804="LMS",F804&gt;0,OR(D804="",E804="")),"Mangler maskin eller arbeid",IF(AND(OR(C804="LMS",C804="Mod"),D804&lt;&gt;""),IF(IFERROR(INDEX(MaskinStatus,MATCH(D804,Maskiner,0)),"")="I dokk","","Maskinen er ikke i dokk"),""))))))</f>
        <v/>
      </c>
      <c r="L804" s="2">
        <f>IF(B804="","",IFERROR(INT((MATCH(B804,Teknikere,0)-1)/18)+1,""))</f>
        <v/>
      </c>
      <c r="M804" s="2">
        <f>IF(OR(A804="",B804=""),"",B804&amp;"|"&amp;A804)</f>
        <v/>
      </c>
      <c r="N804" s="2">
        <f>IF(M804="","",SUMIFS(TF_Timer,TF_Nokkel,M804,TF_Akt,C804))</f>
        <v/>
      </c>
      <c r="O804" s="2">
        <f>IF(M804="","",IF(AND(N804=_xlfn.MAXIFS(TF_AktSum,TF_Nokkel,M804),COUNTIFS(M$3:M803,M804,N$3:N803,N804)=0),M804,""))</f>
        <v/>
      </c>
    </row>
    <row r="805">
      <c r="A805" s="34" t="n"/>
      <c r="B805" s="35" t="n"/>
      <c r="C805" s="35" t="n"/>
      <c r="D805" s="35" t="n"/>
      <c r="E805" s="35" t="n"/>
      <c r="F805" s="36" t="n"/>
      <c r="G805" s="35" t="n"/>
      <c r="H805" s="30">
        <f>IF(L805="","",INDEX(SkiftNavn,L805))</f>
        <v/>
      </c>
      <c r="I805" s="30">
        <f>IF(OR(A805="",L805=""),"",IF(MOD(A805-INDEX(SkiftStart,L805),Syklus)&lt;DagK,"Kveld",IF(MOD(A805-INDEX(SkiftStart,L805),Syklus)&lt;DagK+DagH,"Helg",IF(MOD(A805-INDEX(SkiftStart,L805),Syklus)&lt;DagK+DagH+DagD,"Dag","Fri"))))</f>
        <v/>
      </c>
      <c r="J805" s="30">
        <f>IF(I805="Fri","Ja","")</f>
        <v/>
      </c>
      <c r="K805" s="30">
        <f>IF(B805="","",IF(L805="","Ukjent tekniker",IF(ISNA(MATCH(C805,Aktiviteter,0)),"Ukjent aktivitet",IF(AND(INDEX(AktRolle,MATCH(C805,Aktiviteter,0))&amp;""&lt;&gt;"",ISERROR(SEARCH(INDEX(AktRolle,MATCH(C805,Aktiviteter,0))&amp;"",INDEX(TekRoller,MATCH(B805,Teknikere,0))))),"Mangler rollen "&amp;INDEX(AktRolle,MATCH(C805,Aktiviteter,0))&amp;"",IF(AND(C805="LMS",F805&gt;0,OR(D805="",E805="")),"Mangler maskin eller arbeid",IF(AND(OR(C805="LMS",C805="Mod"),D805&lt;&gt;""),IF(IFERROR(INDEX(MaskinStatus,MATCH(D805,Maskiner,0)),"")="I dokk","","Maskinen er ikke i dokk"),""))))))</f>
        <v/>
      </c>
      <c r="L805" s="2">
        <f>IF(B805="","",IFERROR(INT((MATCH(B805,Teknikere,0)-1)/18)+1,""))</f>
        <v/>
      </c>
      <c r="M805" s="2">
        <f>IF(OR(A805="",B805=""),"",B805&amp;"|"&amp;A805)</f>
        <v/>
      </c>
      <c r="N805" s="2">
        <f>IF(M805="","",SUMIFS(TF_Timer,TF_Nokkel,M805,TF_Akt,C805))</f>
        <v/>
      </c>
      <c r="O805" s="2">
        <f>IF(M805="","",IF(AND(N805=_xlfn.MAXIFS(TF_AktSum,TF_Nokkel,M805),COUNTIFS(M$3:M804,M805,N$3:N804,N805)=0),M805,""))</f>
        <v/>
      </c>
    </row>
    <row r="806">
      <c r="A806" s="34" t="n"/>
      <c r="B806" s="35" t="n"/>
      <c r="C806" s="35" t="n"/>
      <c r="D806" s="35" t="n"/>
      <c r="E806" s="35" t="n"/>
      <c r="F806" s="36" t="n"/>
      <c r="G806" s="35" t="n"/>
      <c r="H806" s="30">
        <f>IF(L806="","",INDEX(SkiftNavn,L806))</f>
        <v/>
      </c>
      <c r="I806" s="30">
        <f>IF(OR(A806="",L806=""),"",IF(MOD(A806-INDEX(SkiftStart,L806),Syklus)&lt;DagK,"Kveld",IF(MOD(A806-INDEX(SkiftStart,L806),Syklus)&lt;DagK+DagH,"Helg",IF(MOD(A806-INDEX(SkiftStart,L806),Syklus)&lt;DagK+DagH+DagD,"Dag","Fri"))))</f>
        <v/>
      </c>
      <c r="J806" s="30">
        <f>IF(I806="Fri","Ja","")</f>
        <v/>
      </c>
      <c r="K806" s="30">
        <f>IF(B806="","",IF(L806="","Ukjent tekniker",IF(ISNA(MATCH(C806,Aktiviteter,0)),"Ukjent aktivitet",IF(AND(INDEX(AktRolle,MATCH(C806,Aktiviteter,0))&amp;""&lt;&gt;"",ISERROR(SEARCH(INDEX(AktRolle,MATCH(C806,Aktiviteter,0))&amp;"",INDEX(TekRoller,MATCH(B806,Teknikere,0))))),"Mangler rollen "&amp;INDEX(AktRolle,MATCH(C806,Aktiviteter,0))&amp;"",IF(AND(C806="LMS",F806&gt;0,OR(D806="",E806="")),"Mangler maskin eller arbeid",IF(AND(OR(C806="LMS",C806="Mod"),D806&lt;&gt;""),IF(IFERROR(INDEX(MaskinStatus,MATCH(D806,Maskiner,0)),"")="I dokk","","Maskinen er ikke i dokk"),""))))))</f>
        <v/>
      </c>
      <c r="L806" s="2">
        <f>IF(B806="","",IFERROR(INT((MATCH(B806,Teknikere,0)-1)/18)+1,""))</f>
        <v/>
      </c>
      <c r="M806" s="2">
        <f>IF(OR(A806="",B806=""),"",B806&amp;"|"&amp;A806)</f>
        <v/>
      </c>
      <c r="N806" s="2">
        <f>IF(M806="","",SUMIFS(TF_Timer,TF_Nokkel,M806,TF_Akt,C806))</f>
        <v/>
      </c>
      <c r="O806" s="2">
        <f>IF(M806="","",IF(AND(N806=_xlfn.MAXIFS(TF_AktSum,TF_Nokkel,M806),COUNTIFS(M$3:M805,M806,N$3:N805,N806)=0),M806,""))</f>
        <v/>
      </c>
    </row>
    <row r="807">
      <c r="A807" s="34" t="n"/>
      <c r="B807" s="35" t="n"/>
      <c r="C807" s="35" t="n"/>
      <c r="D807" s="35" t="n"/>
      <c r="E807" s="35" t="n"/>
      <c r="F807" s="36" t="n"/>
      <c r="G807" s="35" t="n"/>
      <c r="H807" s="30">
        <f>IF(L807="","",INDEX(SkiftNavn,L807))</f>
        <v/>
      </c>
      <c r="I807" s="30">
        <f>IF(OR(A807="",L807=""),"",IF(MOD(A807-INDEX(SkiftStart,L807),Syklus)&lt;DagK,"Kveld",IF(MOD(A807-INDEX(SkiftStart,L807),Syklus)&lt;DagK+DagH,"Helg",IF(MOD(A807-INDEX(SkiftStart,L807),Syklus)&lt;DagK+DagH+DagD,"Dag","Fri"))))</f>
        <v/>
      </c>
      <c r="J807" s="30">
        <f>IF(I807="Fri","Ja","")</f>
        <v/>
      </c>
      <c r="K807" s="30">
        <f>IF(B807="","",IF(L807="","Ukjent tekniker",IF(ISNA(MATCH(C807,Aktiviteter,0)),"Ukjent aktivitet",IF(AND(INDEX(AktRolle,MATCH(C807,Aktiviteter,0))&amp;""&lt;&gt;"",ISERROR(SEARCH(INDEX(AktRolle,MATCH(C807,Aktiviteter,0))&amp;"",INDEX(TekRoller,MATCH(B807,Teknikere,0))))),"Mangler rollen "&amp;INDEX(AktRolle,MATCH(C807,Aktiviteter,0))&amp;"",IF(AND(C807="LMS",F807&gt;0,OR(D807="",E807="")),"Mangler maskin eller arbeid",IF(AND(OR(C807="LMS",C807="Mod"),D807&lt;&gt;""),IF(IFERROR(INDEX(MaskinStatus,MATCH(D807,Maskiner,0)),"")="I dokk","","Maskinen er ikke i dokk"),""))))))</f>
        <v/>
      </c>
      <c r="L807" s="2">
        <f>IF(B807="","",IFERROR(INT((MATCH(B807,Teknikere,0)-1)/18)+1,""))</f>
        <v/>
      </c>
      <c r="M807" s="2">
        <f>IF(OR(A807="",B807=""),"",B807&amp;"|"&amp;A807)</f>
        <v/>
      </c>
      <c r="N807" s="2">
        <f>IF(M807="","",SUMIFS(TF_Timer,TF_Nokkel,M807,TF_Akt,C807))</f>
        <v/>
      </c>
      <c r="O807" s="2">
        <f>IF(M807="","",IF(AND(N807=_xlfn.MAXIFS(TF_AktSum,TF_Nokkel,M807),COUNTIFS(M$3:M806,M807,N$3:N806,N807)=0),M807,""))</f>
        <v/>
      </c>
    </row>
    <row r="808">
      <c r="A808" s="34" t="n"/>
      <c r="B808" s="35" t="n"/>
      <c r="C808" s="35" t="n"/>
      <c r="D808" s="35" t="n"/>
      <c r="E808" s="35" t="n"/>
      <c r="F808" s="36" t="n"/>
      <c r="G808" s="35" t="n"/>
      <c r="H808" s="30">
        <f>IF(L808="","",INDEX(SkiftNavn,L808))</f>
        <v/>
      </c>
      <c r="I808" s="30">
        <f>IF(OR(A808="",L808=""),"",IF(MOD(A808-INDEX(SkiftStart,L808),Syklus)&lt;DagK,"Kveld",IF(MOD(A808-INDEX(SkiftStart,L808),Syklus)&lt;DagK+DagH,"Helg",IF(MOD(A808-INDEX(SkiftStart,L808),Syklus)&lt;DagK+DagH+DagD,"Dag","Fri"))))</f>
        <v/>
      </c>
      <c r="J808" s="30">
        <f>IF(I808="Fri","Ja","")</f>
        <v/>
      </c>
      <c r="K808" s="30">
        <f>IF(B808="","",IF(L808="","Ukjent tekniker",IF(ISNA(MATCH(C808,Aktiviteter,0)),"Ukjent aktivitet",IF(AND(INDEX(AktRolle,MATCH(C808,Aktiviteter,0))&amp;""&lt;&gt;"",ISERROR(SEARCH(INDEX(AktRolle,MATCH(C808,Aktiviteter,0))&amp;"",INDEX(TekRoller,MATCH(B808,Teknikere,0))))),"Mangler rollen "&amp;INDEX(AktRolle,MATCH(C808,Aktiviteter,0))&amp;"",IF(AND(C808="LMS",F808&gt;0,OR(D808="",E808="")),"Mangler maskin eller arbeid",IF(AND(OR(C808="LMS",C808="Mod"),D808&lt;&gt;""),IF(IFERROR(INDEX(MaskinStatus,MATCH(D808,Maskiner,0)),"")="I dokk","","Maskinen er ikke i dokk"),""))))))</f>
        <v/>
      </c>
      <c r="L808" s="2">
        <f>IF(B808="","",IFERROR(INT((MATCH(B808,Teknikere,0)-1)/18)+1,""))</f>
        <v/>
      </c>
      <c r="M808" s="2">
        <f>IF(OR(A808="",B808=""),"",B808&amp;"|"&amp;A808)</f>
        <v/>
      </c>
      <c r="N808" s="2">
        <f>IF(M808="","",SUMIFS(TF_Timer,TF_Nokkel,M808,TF_Akt,C808))</f>
        <v/>
      </c>
      <c r="O808" s="2">
        <f>IF(M808="","",IF(AND(N808=_xlfn.MAXIFS(TF_AktSum,TF_Nokkel,M808),COUNTIFS(M$3:M807,M808,N$3:N807,N808)=0),M808,""))</f>
        <v/>
      </c>
    </row>
    <row r="809">
      <c r="A809" s="34" t="n"/>
      <c r="B809" s="35" t="n"/>
      <c r="C809" s="35" t="n"/>
      <c r="D809" s="35" t="n"/>
      <c r="E809" s="35" t="n"/>
      <c r="F809" s="36" t="n"/>
      <c r="G809" s="35" t="n"/>
      <c r="H809" s="30">
        <f>IF(L809="","",INDEX(SkiftNavn,L809))</f>
        <v/>
      </c>
      <c r="I809" s="30">
        <f>IF(OR(A809="",L809=""),"",IF(MOD(A809-INDEX(SkiftStart,L809),Syklus)&lt;DagK,"Kveld",IF(MOD(A809-INDEX(SkiftStart,L809),Syklus)&lt;DagK+DagH,"Helg",IF(MOD(A809-INDEX(SkiftStart,L809),Syklus)&lt;DagK+DagH+DagD,"Dag","Fri"))))</f>
        <v/>
      </c>
      <c r="J809" s="30">
        <f>IF(I809="Fri","Ja","")</f>
        <v/>
      </c>
      <c r="K809" s="30">
        <f>IF(B809="","",IF(L809="","Ukjent tekniker",IF(ISNA(MATCH(C809,Aktiviteter,0)),"Ukjent aktivitet",IF(AND(INDEX(AktRolle,MATCH(C809,Aktiviteter,0))&amp;""&lt;&gt;"",ISERROR(SEARCH(INDEX(AktRolle,MATCH(C809,Aktiviteter,0))&amp;"",INDEX(TekRoller,MATCH(B809,Teknikere,0))))),"Mangler rollen "&amp;INDEX(AktRolle,MATCH(C809,Aktiviteter,0))&amp;"",IF(AND(C809="LMS",F809&gt;0,OR(D809="",E809="")),"Mangler maskin eller arbeid",IF(AND(OR(C809="LMS",C809="Mod"),D809&lt;&gt;""),IF(IFERROR(INDEX(MaskinStatus,MATCH(D809,Maskiner,0)),"")="I dokk","","Maskinen er ikke i dokk"),""))))))</f>
        <v/>
      </c>
      <c r="L809" s="2">
        <f>IF(B809="","",IFERROR(INT((MATCH(B809,Teknikere,0)-1)/18)+1,""))</f>
        <v/>
      </c>
      <c r="M809" s="2">
        <f>IF(OR(A809="",B809=""),"",B809&amp;"|"&amp;A809)</f>
        <v/>
      </c>
      <c r="N809" s="2">
        <f>IF(M809="","",SUMIFS(TF_Timer,TF_Nokkel,M809,TF_Akt,C809))</f>
        <v/>
      </c>
      <c r="O809" s="2">
        <f>IF(M809="","",IF(AND(N809=_xlfn.MAXIFS(TF_AktSum,TF_Nokkel,M809),COUNTIFS(M$3:M808,M809,N$3:N808,N809)=0),M809,""))</f>
        <v/>
      </c>
    </row>
    <row r="810">
      <c r="A810" s="34" t="n"/>
      <c r="B810" s="35" t="n"/>
      <c r="C810" s="35" t="n"/>
      <c r="D810" s="35" t="n"/>
      <c r="E810" s="35" t="n"/>
      <c r="F810" s="36" t="n"/>
      <c r="G810" s="35" t="n"/>
      <c r="H810" s="30">
        <f>IF(L810="","",INDEX(SkiftNavn,L810))</f>
        <v/>
      </c>
      <c r="I810" s="30">
        <f>IF(OR(A810="",L810=""),"",IF(MOD(A810-INDEX(SkiftStart,L810),Syklus)&lt;DagK,"Kveld",IF(MOD(A810-INDEX(SkiftStart,L810),Syklus)&lt;DagK+DagH,"Helg",IF(MOD(A810-INDEX(SkiftStart,L810),Syklus)&lt;DagK+DagH+DagD,"Dag","Fri"))))</f>
        <v/>
      </c>
      <c r="J810" s="30">
        <f>IF(I810="Fri","Ja","")</f>
        <v/>
      </c>
      <c r="K810" s="30">
        <f>IF(B810="","",IF(L810="","Ukjent tekniker",IF(ISNA(MATCH(C810,Aktiviteter,0)),"Ukjent aktivitet",IF(AND(INDEX(AktRolle,MATCH(C810,Aktiviteter,0))&amp;""&lt;&gt;"",ISERROR(SEARCH(INDEX(AktRolle,MATCH(C810,Aktiviteter,0))&amp;"",INDEX(TekRoller,MATCH(B810,Teknikere,0))))),"Mangler rollen "&amp;INDEX(AktRolle,MATCH(C810,Aktiviteter,0))&amp;"",IF(AND(C810="LMS",F810&gt;0,OR(D810="",E810="")),"Mangler maskin eller arbeid",IF(AND(OR(C810="LMS",C810="Mod"),D810&lt;&gt;""),IF(IFERROR(INDEX(MaskinStatus,MATCH(D810,Maskiner,0)),"")="I dokk","","Maskinen er ikke i dokk"),""))))))</f>
        <v/>
      </c>
      <c r="L810" s="2">
        <f>IF(B810="","",IFERROR(INT((MATCH(B810,Teknikere,0)-1)/18)+1,""))</f>
        <v/>
      </c>
      <c r="M810" s="2">
        <f>IF(OR(A810="",B810=""),"",B810&amp;"|"&amp;A810)</f>
        <v/>
      </c>
      <c r="N810" s="2">
        <f>IF(M810="","",SUMIFS(TF_Timer,TF_Nokkel,M810,TF_Akt,C810))</f>
        <v/>
      </c>
      <c r="O810" s="2">
        <f>IF(M810="","",IF(AND(N810=_xlfn.MAXIFS(TF_AktSum,TF_Nokkel,M810),COUNTIFS(M$3:M809,M810,N$3:N809,N810)=0),M810,""))</f>
        <v/>
      </c>
    </row>
    <row r="811">
      <c r="A811" s="34" t="n"/>
      <c r="B811" s="35" t="n"/>
      <c r="C811" s="35" t="n"/>
      <c r="D811" s="35" t="n"/>
      <c r="E811" s="35" t="n"/>
      <c r="F811" s="36" t="n"/>
      <c r="G811" s="35" t="n"/>
      <c r="H811" s="30">
        <f>IF(L811="","",INDEX(SkiftNavn,L811))</f>
        <v/>
      </c>
      <c r="I811" s="30">
        <f>IF(OR(A811="",L811=""),"",IF(MOD(A811-INDEX(SkiftStart,L811),Syklus)&lt;DagK,"Kveld",IF(MOD(A811-INDEX(SkiftStart,L811),Syklus)&lt;DagK+DagH,"Helg",IF(MOD(A811-INDEX(SkiftStart,L811),Syklus)&lt;DagK+DagH+DagD,"Dag","Fri"))))</f>
        <v/>
      </c>
      <c r="J811" s="30">
        <f>IF(I811="Fri","Ja","")</f>
        <v/>
      </c>
      <c r="K811" s="30">
        <f>IF(B811="","",IF(L811="","Ukjent tekniker",IF(ISNA(MATCH(C811,Aktiviteter,0)),"Ukjent aktivitet",IF(AND(INDEX(AktRolle,MATCH(C811,Aktiviteter,0))&amp;""&lt;&gt;"",ISERROR(SEARCH(INDEX(AktRolle,MATCH(C811,Aktiviteter,0))&amp;"",INDEX(TekRoller,MATCH(B811,Teknikere,0))))),"Mangler rollen "&amp;INDEX(AktRolle,MATCH(C811,Aktiviteter,0))&amp;"",IF(AND(C811="LMS",F811&gt;0,OR(D811="",E811="")),"Mangler maskin eller arbeid",IF(AND(OR(C811="LMS",C811="Mod"),D811&lt;&gt;""),IF(IFERROR(INDEX(MaskinStatus,MATCH(D811,Maskiner,0)),"")="I dokk","","Maskinen er ikke i dokk"),""))))))</f>
        <v/>
      </c>
      <c r="L811" s="2">
        <f>IF(B811="","",IFERROR(INT((MATCH(B811,Teknikere,0)-1)/18)+1,""))</f>
        <v/>
      </c>
      <c r="M811" s="2">
        <f>IF(OR(A811="",B811=""),"",B811&amp;"|"&amp;A811)</f>
        <v/>
      </c>
      <c r="N811" s="2">
        <f>IF(M811="","",SUMIFS(TF_Timer,TF_Nokkel,M811,TF_Akt,C811))</f>
        <v/>
      </c>
      <c r="O811" s="2">
        <f>IF(M811="","",IF(AND(N811=_xlfn.MAXIFS(TF_AktSum,TF_Nokkel,M811),COUNTIFS(M$3:M810,M811,N$3:N810,N811)=0),M811,""))</f>
        <v/>
      </c>
    </row>
    <row r="812">
      <c r="A812" s="34" t="n"/>
      <c r="B812" s="35" t="n"/>
      <c r="C812" s="35" t="n"/>
      <c r="D812" s="35" t="n"/>
      <c r="E812" s="35" t="n"/>
      <c r="F812" s="36" t="n"/>
      <c r="G812" s="35" t="n"/>
      <c r="H812" s="30">
        <f>IF(L812="","",INDEX(SkiftNavn,L812))</f>
        <v/>
      </c>
      <c r="I812" s="30">
        <f>IF(OR(A812="",L812=""),"",IF(MOD(A812-INDEX(SkiftStart,L812),Syklus)&lt;DagK,"Kveld",IF(MOD(A812-INDEX(SkiftStart,L812),Syklus)&lt;DagK+DagH,"Helg",IF(MOD(A812-INDEX(SkiftStart,L812),Syklus)&lt;DagK+DagH+DagD,"Dag","Fri"))))</f>
        <v/>
      </c>
      <c r="J812" s="30">
        <f>IF(I812="Fri","Ja","")</f>
        <v/>
      </c>
      <c r="K812" s="30">
        <f>IF(B812="","",IF(L812="","Ukjent tekniker",IF(ISNA(MATCH(C812,Aktiviteter,0)),"Ukjent aktivitet",IF(AND(INDEX(AktRolle,MATCH(C812,Aktiviteter,0))&amp;""&lt;&gt;"",ISERROR(SEARCH(INDEX(AktRolle,MATCH(C812,Aktiviteter,0))&amp;"",INDEX(TekRoller,MATCH(B812,Teknikere,0))))),"Mangler rollen "&amp;INDEX(AktRolle,MATCH(C812,Aktiviteter,0))&amp;"",IF(AND(C812="LMS",F812&gt;0,OR(D812="",E812="")),"Mangler maskin eller arbeid",IF(AND(OR(C812="LMS",C812="Mod"),D812&lt;&gt;""),IF(IFERROR(INDEX(MaskinStatus,MATCH(D812,Maskiner,0)),"")="I dokk","","Maskinen er ikke i dokk"),""))))))</f>
        <v/>
      </c>
      <c r="L812" s="2">
        <f>IF(B812="","",IFERROR(INT((MATCH(B812,Teknikere,0)-1)/18)+1,""))</f>
        <v/>
      </c>
      <c r="M812" s="2">
        <f>IF(OR(A812="",B812=""),"",B812&amp;"|"&amp;A812)</f>
        <v/>
      </c>
      <c r="N812" s="2">
        <f>IF(M812="","",SUMIFS(TF_Timer,TF_Nokkel,M812,TF_Akt,C812))</f>
        <v/>
      </c>
      <c r="O812" s="2">
        <f>IF(M812="","",IF(AND(N812=_xlfn.MAXIFS(TF_AktSum,TF_Nokkel,M812),COUNTIFS(M$3:M811,M812,N$3:N811,N812)=0),M812,""))</f>
        <v/>
      </c>
    </row>
    <row r="813">
      <c r="A813" s="34" t="n"/>
      <c r="B813" s="35" t="n"/>
      <c r="C813" s="35" t="n"/>
      <c r="D813" s="35" t="n"/>
      <c r="E813" s="35" t="n"/>
      <c r="F813" s="36" t="n"/>
      <c r="G813" s="35" t="n"/>
      <c r="H813" s="30">
        <f>IF(L813="","",INDEX(SkiftNavn,L813))</f>
        <v/>
      </c>
      <c r="I813" s="30">
        <f>IF(OR(A813="",L813=""),"",IF(MOD(A813-INDEX(SkiftStart,L813),Syklus)&lt;DagK,"Kveld",IF(MOD(A813-INDEX(SkiftStart,L813),Syklus)&lt;DagK+DagH,"Helg",IF(MOD(A813-INDEX(SkiftStart,L813),Syklus)&lt;DagK+DagH+DagD,"Dag","Fri"))))</f>
        <v/>
      </c>
      <c r="J813" s="30">
        <f>IF(I813="Fri","Ja","")</f>
        <v/>
      </c>
      <c r="K813" s="30">
        <f>IF(B813="","",IF(L813="","Ukjent tekniker",IF(ISNA(MATCH(C813,Aktiviteter,0)),"Ukjent aktivitet",IF(AND(INDEX(AktRolle,MATCH(C813,Aktiviteter,0))&amp;""&lt;&gt;"",ISERROR(SEARCH(INDEX(AktRolle,MATCH(C813,Aktiviteter,0))&amp;"",INDEX(TekRoller,MATCH(B813,Teknikere,0))))),"Mangler rollen "&amp;INDEX(AktRolle,MATCH(C813,Aktiviteter,0))&amp;"",IF(AND(C813="LMS",F813&gt;0,OR(D813="",E813="")),"Mangler maskin eller arbeid",IF(AND(OR(C813="LMS",C813="Mod"),D813&lt;&gt;""),IF(IFERROR(INDEX(MaskinStatus,MATCH(D813,Maskiner,0)),"")="I dokk","","Maskinen er ikke i dokk"),""))))))</f>
        <v/>
      </c>
      <c r="L813" s="2">
        <f>IF(B813="","",IFERROR(INT((MATCH(B813,Teknikere,0)-1)/18)+1,""))</f>
        <v/>
      </c>
      <c r="M813" s="2">
        <f>IF(OR(A813="",B813=""),"",B813&amp;"|"&amp;A813)</f>
        <v/>
      </c>
      <c r="N813" s="2">
        <f>IF(M813="","",SUMIFS(TF_Timer,TF_Nokkel,M813,TF_Akt,C813))</f>
        <v/>
      </c>
      <c r="O813" s="2">
        <f>IF(M813="","",IF(AND(N813=_xlfn.MAXIFS(TF_AktSum,TF_Nokkel,M813),COUNTIFS(M$3:M812,M813,N$3:N812,N813)=0),M813,""))</f>
        <v/>
      </c>
    </row>
    <row r="814">
      <c r="A814" s="34" t="n"/>
      <c r="B814" s="35" t="n"/>
      <c r="C814" s="35" t="n"/>
      <c r="D814" s="35" t="n"/>
      <c r="E814" s="35" t="n"/>
      <c r="F814" s="36" t="n"/>
      <c r="G814" s="35" t="n"/>
      <c r="H814" s="30">
        <f>IF(L814="","",INDEX(SkiftNavn,L814))</f>
        <v/>
      </c>
      <c r="I814" s="30">
        <f>IF(OR(A814="",L814=""),"",IF(MOD(A814-INDEX(SkiftStart,L814),Syklus)&lt;DagK,"Kveld",IF(MOD(A814-INDEX(SkiftStart,L814),Syklus)&lt;DagK+DagH,"Helg",IF(MOD(A814-INDEX(SkiftStart,L814),Syklus)&lt;DagK+DagH+DagD,"Dag","Fri"))))</f>
        <v/>
      </c>
      <c r="J814" s="30">
        <f>IF(I814="Fri","Ja","")</f>
        <v/>
      </c>
      <c r="K814" s="30">
        <f>IF(B814="","",IF(L814="","Ukjent tekniker",IF(ISNA(MATCH(C814,Aktiviteter,0)),"Ukjent aktivitet",IF(AND(INDEX(AktRolle,MATCH(C814,Aktiviteter,0))&amp;""&lt;&gt;"",ISERROR(SEARCH(INDEX(AktRolle,MATCH(C814,Aktiviteter,0))&amp;"",INDEX(TekRoller,MATCH(B814,Teknikere,0))))),"Mangler rollen "&amp;INDEX(AktRolle,MATCH(C814,Aktiviteter,0))&amp;"",IF(AND(C814="LMS",F814&gt;0,OR(D814="",E814="")),"Mangler maskin eller arbeid",IF(AND(OR(C814="LMS",C814="Mod"),D814&lt;&gt;""),IF(IFERROR(INDEX(MaskinStatus,MATCH(D814,Maskiner,0)),"")="I dokk","","Maskinen er ikke i dokk"),""))))))</f>
        <v/>
      </c>
      <c r="L814" s="2">
        <f>IF(B814="","",IFERROR(INT((MATCH(B814,Teknikere,0)-1)/18)+1,""))</f>
        <v/>
      </c>
      <c r="M814" s="2">
        <f>IF(OR(A814="",B814=""),"",B814&amp;"|"&amp;A814)</f>
        <v/>
      </c>
      <c r="N814" s="2">
        <f>IF(M814="","",SUMIFS(TF_Timer,TF_Nokkel,M814,TF_Akt,C814))</f>
        <v/>
      </c>
      <c r="O814" s="2">
        <f>IF(M814="","",IF(AND(N814=_xlfn.MAXIFS(TF_AktSum,TF_Nokkel,M814),COUNTIFS(M$3:M813,M814,N$3:N813,N814)=0),M814,""))</f>
        <v/>
      </c>
    </row>
    <row r="815">
      <c r="A815" s="34" t="n"/>
      <c r="B815" s="35" t="n"/>
      <c r="C815" s="35" t="n"/>
      <c r="D815" s="35" t="n"/>
      <c r="E815" s="35" t="n"/>
      <c r="F815" s="36" t="n"/>
      <c r="G815" s="35" t="n"/>
      <c r="H815" s="30">
        <f>IF(L815="","",INDEX(SkiftNavn,L815))</f>
        <v/>
      </c>
      <c r="I815" s="30">
        <f>IF(OR(A815="",L815=""),"",IF(MOD(A815-INDEX(SkiftStart,L815),Syklus)&lt;DagK,"Kveld",IF(MOD(A815-INDEX(SkiftStart,L815),Syklus)&lt;DagK+DagH,"Helg",IF(MOD(A815-INDEX(SkiftStart,L815),Syklus)&lt;DagK+DagH+DagD,"Dag","Fri"))))</f>
        <v/>
      </c>
      <c r="J815" s="30">
        <f>IF(I815="Fri","Ja","")</f>
        <v/>
      </c>
      <c r="K815" s="30">
        <f>IF(B815="","",IF(L815="","Ukjent tekniker",IF(ISNA(MATCH(C815,Aktiviteter,0)),"Ukjent aktivitet",IF(AND(INDEX(AktRolle,MATCH(C815,Aktiviteter,0))&amp;""&lt;&gt;"",ISERROR(SEARCH(INDEX(AktRolle,MATCH(C815,Aktiviteter,0))&amp;"",INDEX(TekRoller,MATCH(B815,Teknikere,0))))),"Mangler rollen "&amp;INDEX(AktRolle,MATCH(C815,Aktiviteter,0))&amp;"",IF(AND(C815="LMS",F815&gt;0,OR(D815="",E815="")),"Mangler maskin eller arbeid",IF(AND(OR(C815="LMS",C815="Mod"),D815&lt;&gt;""),IF(IFERROR(INDEX(MaskinStatus,MATCH(D815,Maskiner,0)),"")="I dokk","","Maskinen er ikke i dokk"),""))))))</f>
        <v/>
      </c>
      <c r="L815" s="2">
        <f>IF(B815="","",IFERROR(INT((MATCH(B815,Teknikere,0)-1)/18)+1,""))</f>
        <v/>
      </c>
      <c r="M815" s="2">
        <f>IF(OR(A815="",B815=""),"",B815&amp;"|"&amp;A815)</f>
        <v/>
      </c>
      <c r="N815" s="2">
        <f>IF(M815="","",SUMIFS(TF_Timer,TF_Nokkel,M815,TF_Akt,C815))</f>
        <v/>
      </c>
      <c r="O815" s="2">
        <f>IF(M815="","",IF(AND(N815=_xlfn.MAXIFS(TF_AktSum,TF_Nokkel,M815),COUNTIFS(M$3:M814,M815,N$3:N814,N815)=0),M815,""))</f>
        <v/>
      </c>
    </row>
    <row r="816">
      <c r="A816" s="34" t="n"/>
      <c r="B816" s="35" t="n"/>
      <c r="C816" s="35" t="n"/>
      <c r="D816" s="35" t="n"/>
      <c r="E816" s="35" t="n"/>
      <c r="F816" s="36" t="n"/>
      <c r="G816" s="35" t="n"/>
      <c r="H816" s="30">
        <f>IF(L816="","",INDEX(SkiftNavn,L816))</f>
        <v/>
      </c>
      <c r="I816" s="30">
        <f>IF(OR(A816="",L816=""),"",IF(MOD(A816-INDEX(SkiftStart,L816),Syklus)&lt;DagK,"Kveld",IF(MOD(A816-INDEX(SkiftStart,L816),Syklus)&lt;DagK+DagH,"Helg",IF(MOD(A816-INDEX(SkiftStart,L816),Syklus)&lt;DagK+DagH+DagD,"Dag","Fri"))))</f>
        <v/>
      </c>
      <c r="J816" s="30">
        <f>IF(I816="Fri","Ja","")</f>
        <v/>
      </c>
      <c r="K816" s="30">
        <f>IF(B816="","",IF(L816="","Ukjent tekniker",IF(ISNA(MATCH(C816,Aktiviteter,0)),"Ukjent aktivitet",IF(AND(INDEX(AktRolle,MATCH(C816,Aktiviteter,0))&amp;""&lt;&gt;"",ISERROR(SEARCH(INDEX(AktRolle,MATCH(C816,Aktiviteter,0))&amp;"",INDEX(TekRoller,MATCH(B816,Teknikere,0))))),"Mangler rollen "&amp;INDEX(AktRolle,MATCH(C816,Aktiviteter,0))&amp;"",IF(AND(C816="LMS",F816&gt;0,OR(D816="",E816="")),"Mangler maskin eller arbeid",IF(AND(OR(C816="LMS",C816="Mod"),D816&lt;&gt;""),IF(IFERROR(INDEX(MaskinStatus,MATCH(D816,Maskiner,0)),"")="I dokk","","Maskinen er ikke i dokk"),""))))))</f>
        <v/>
      </c>
      <c r="L816" s="2">
        <f>IF(B816="","",IFERROR(INT((MATCH(B816,Teknikere,0)-1)/18)+1,""))</f>
        <v/>
      </c>
      <c r="M816" s="2">
        <f>IF(OR(A816="",B816=""),"",B816&amp;"|"&amp;A816)</f>
        <v/>
      </c>
      <c r="N816" s="2">
        <f>IF(M816="","",SUMIFS(TF_Timer,TF_Nokkel,M816,TF_Akt,C816))</f>
        <v/>
      </c>
      <c r="O816" s="2">
        <f>IF(M816="","",IF(AND(N816=_xlfn.MAXIFS(TF_AktSum,TF_Nokkel,M816),COUNTIFS(M$3:M815,M816,N$3:N815,N816)=0),M816,""))</f>
        <v/>
      </c>
    </row>
    <row r="817">
      <c r="A817" s="34" t="n"/>
      <c r="B817" s="35" t="n"/>
      <c r="C817" s="35" t="n"/>
      <c r="D817" s="35" t="n"/>
      <c r="E817" s="35" t="n"/>
      <c r="F817" s="36" t="n"/>
      <c r="G817" s="35" t="n"/>
      <c r="H817" s="30">
        <f>IF(L817="","",INDEX(SkiftNavn,L817))</f>
        <v/>
      </c>
      <c r="I817" s="30">
        <f>IF(OR(A817="",L817=""),"",IF(MOD(A817-INDEX(SkiftStart,L817),Syklus)&lt;DagK,"Kveld",IF(MOD(A817-INDEX(SkiftStart,L817),Syklus)&lt;DagK+DagH,"Helg",IF(MOD(A817-INDEX(SkiftStart,L817),Syklus)&lt;DagK+DagH+DagD,"Dag","Fri"))))</f>
        <v/>
      </c>
      <c r="J817" s="30">
        <f>IF(I817="Fri","Ja","")</f>
        <v/>
      </c>
      <c r="K817" s="30">
        <f>IF(B817="","",IF(L817="","Ukjent tekniker",IF(ISNA(MATCH(C817,Aktiviteter,0)),"Ukjent aktivitet",IF(AND(INDEX(AktRolle,MATCH(C817,Aktiviteter,0))&amp;""&lt;&gt;"",ISERROR(SEARCH(INDEX(AktRolle,MATCH(C817,Aktiviteter,0))&amp;"",INDEX(TekRoller,MATCH(B817,Teknikere,0))))),"Mangler rollen "&amp;INDEX(AktRolle,MATCH(C817,Aktiviteter,0))&amp;"",IF(AND(C817="LMS",F817&gt;0,OR(D817="",E817="")),"Mangler maskin eller arbeid",IF(AND(OR(C817="LMS",C817="Mod"),D817&lt;&gt;""),IF(IFERROR(INDEX(MaskinStatus,MATCH(D817,Maskiner,0)),"")="I dokk","","Maskinen er ikke i dokk"),""))))))</f>
        <v/>
      </c>
      <c r="L817" s="2">
        <f>IF(B817="","",IFERROR(INT((MATCH(B817,Teknikere,0)-1)/18)+1,""))</f>
        <v/>
      </c>
      <c r="M817" s="2">
        <f>IF(OR(A817="",B817=""),"",B817&amp;"|"&amp;A817)</f>
        <v/>
      </c>
      <c r="N817" s="2">
        <f>IF(M817="","",SUMIFS(TF_Timer,TF_Nokkel,M817,TF_Akt,C817))</f>
        <v/>
      </c>
      <c r="O817" s="2">
        <f>IF(M817="","",IF(AND(N817=_xlfn.MAXIFS(TF_AktSum,TF_Nokkel,M817),COUNTIFS(M$3:M816,M817,N$3:N816,N817)=0),M817,""))</f>
        <v/>
      </c>
    </row>
    <row r="818">
      <c r="A818" s="34" t="n"/>
      <c r="B818" s="35" t="n"/>
      <c r="C818" s="35" t="n"/>
      <c r="D818" s="35" t="n"/>
      <c r="E818" s="35" t="n"/>
      <c r="F818" s="36" t="n"/>
      <c r="G818" s="35" t="n"/>
      <c r="H818" s="30">
        <f>IF(L818="","",INDEX(SkiftNavn,L818))</f>
        <v/>
      </c>
      <c r="I818" s="30">
        <f>IF(OR(A818="",L818=""),"",IF(MOD(A818-INDEX(SkiftStart,L818),Syklus)&lt;DagK,"Kveld",IF(MOD(A818-INDEX(SkiftStart,L818),Syklus)&lt;DagK+DagH,"Helg",IF(MOD(A818-INDEX(SkiftStart,L818),Syklus)&lt;DagK+DagH+DagD,"Dag","Fri"))))</f>
        <v/>
      </c>
      <c r="J818" s="30">
        <f>IF(I818="Fri","Ja","")</f>
        <v/>
      </c>
      <c r="K818" s="30">
        <f>IF(B818="","",IF(L818="","Ukjent tekniker",IF(ISNA(MATCH(C818,Aktiviteter,0)),"Ukjent aktivitet",IF(AND(INDEX(AktRolle,MATCH(C818,Aktiviteter,0))&amp;""&lt;&gt;"",ISERROR(SEARCH(INDEX(AktRolle,MATCH(C818,Aktiviteter,0))&amp;"",INDEX(TekRoller,MATCH(B818,Teknikere,0))))),"Mangler rollen "&amp;INDEX(AktRolle,MATCH(C818,Aktiviteter,0))&amp;"",IF(AND(C818="LMS",F818&gt;0,OR(D818="",E818="")),"Mangler maskin eller arbeid",IF(AND(OR(C818="LMS",C818="Mod"),D818&lt;&gt;""),IF(IFERROR(INDEX(MaskinStatus,MATCH(D818,Maskiner,0)),"")="I dokk","","Maskinen er ikke i dokk"),""))))))</f>
        <v/>
      </c>
      <c r="L818" s="2">
        <f>IF(B818="","",IFERROR(INT((MATCH(B818,Teknikere,0)-1)/18)+1,""))</f>
        <v/>
      </c>
      <c r="M818" s="2">
        <f>IF(OR(A818="",B818=""),"",B818&amp;"|"&amp;A818)</f>
        <v/>
      </c>
      <c r="N818" s="2">
        <f>IF(M818="","",SUMIFS(TF_Timer,TF_Nokkel,M818,TF_Akt,C818))</f>
        <v/>
      </c>
      <c r="O818" s="2">
        <f>IF(M818="","",IF(AND(N818=_xlfn.MAXIFS(TF_AktSum,TF_Nokkel,M818),COUNTIFS(M$3:M817,M818,N$3:N817,N818)=0),M818,""))</f>
        <v/>
      </c>
    </row>
    <row r="819">
      <c r="A819" s="34" t="n"/>
      <c r="B819" s="35" t="n"/>
      <c r="C819" s="35" t="n"/>
      <c r="D819" s="35" t="n"/>
      <c r="E819" s="35" t="n"/>
      <c r="F819" s="36" t="n"/>
      <c r="G819" s="35" t="n"/>
      <c r="H819" s="30">
        <f>IF(L819="","",INDEX(SkiftNavn,L819))</f>
        <v/>
      </c>
      <c r="I819" s="30">
        <f>IF(OR(A819="",L819=""),"",IF(MOD(A819-INDEX(SkiftStart,L819),Syklus)&lt;DagK,"Kveld",IF(MOD(A819-INDEX(SkiftStart,L819),Syklus)&lt;DagK+DagH,"Helg",IF(MOD(A819-INDEX(SkiftStart,L819),Syklus)&lt;DagK+DagH+DagD,"Dag","Fri"))))</f>
        <v/>
      </c>
      <c r="J819" s="30">
        <f>IF(I819="Fri","Ja","")</f>
        <v/>
      </c>
      <c r="K819" s="30">
        <f>IF(B819="","",IF(L819="","Ukjent tekniker",IF(ISNA(MATCH(C819,Aktiviteter,0)),"Ukjent aktivitet",IF(AND(INDEX(AktRolle,MATCH(C819,Aktiviteter,0))&amp;""&lt;&gt;"",ISERROR(SEARCH(INDEX(AktRolle,MATCH(C819,Aktiviteter,0))&amp;"",INDEX(TekRoller,MATCH(B819,Teknikere,0))))),"Mangler rollen "&amp;INDEX(AktRolle,MATCH(C819,Aktiviteter,0))&amp;"",IF(AND(C819="LMS",F819&gt;0,OR(D819="",E819="")),"Mangler maskin eller arbeid",IF(AND(OR(C819="LMS",C819="Mod"),D819&lt;&gt;""),IF(IFERROR(INDEX(MaskinStatus,MATCH(D819,Maskiner,0)),"")="I dokk","","Maskinen er ikke i dokk"),""))))))</f>
        <v/>
      </c>
      <c r="L819" s="2">
        <f>IF(B819="","",IFERROR(INT((MATCH(B819,Teknikere,0)-1)/18)+1,""))</f>
        <v/>
      </c>
      <c r="M819" s="2">
        <f>IF(OR(A819="",B819=""),"",B819&amp;"|"&amp;A819)</f>
        <v/>
      </c>
      <c r="N819" s="2">
        <f>IF(M819="","",SUMIFS(TF_Timer,TF_Nokkel,M819,TF_Akt,C819))</f>
        <v/>
      </c>
      <c r="O819" s="2">
        <f>IF(M819="","",IF(AND(N819=_xlfn.MAXIFS(TF_AktSum,TF_Nokkel,M819),COUNTIFS(M$3:M818,M819,N$3:N818,N819)=0),M819,""))</f>
        <v/>
      </c>
    </row>
    <row r="820">
      <c r="A820" s="34" t="n"/>
      <c r="B820" s="35" t="n"/>
      <c r="C820" s="35" t="n"/>
      <c r="D820" s="35" t="n"/>
      <c r="E820" s="35" t="n"/>
      <c r="F820" s="36" t="n"/>
      <c r="G820" s="35" t="n"/>
      <c r="H820" s="30">
        <f>IF(L820="","",INDEX(SkiftNavn,L820))</f>
        <v/>
      </c>
      <c r="I820" s="30">
        <f>IF(OR(A820="",L820=""),"",IF(MOD(A820-INDEX(SkiftStart,L820),Syklus)&lt;DagK,"Kveld",IF(MOD(A820-INDEX(SkiftStart,L820),Syklus)&lt;DagK+DagH,"Helg",IF(MOD(A820-INDEX(SkiftStart,L820),Syklus)&lt;DagK+DagH+DagD,"Dag","Fri"))))</f>
        <v/>
      </c>
      <c r="J820" s="30">
        <f>IF(I820="Fri","Ja","")</f>
        <v/>
      </c>
      <c r="K820" s="30">
        <f>IF(B820="","",IF(L820="","Ukjent tekniker",IF(ISNA(MATCH(C820,Aktiviteter,0)),"Ukjent aktivitet",IF(AND(INDEX(AktRolle,MATCH(C820,Aktiviteter,0))&amp;""&lt;&gt;"",ISERROR(SEARCH(INDEX(AktRolle,MATCH(C820,Aktiviteter,0))&amp;"",INDEX(TekRoller,MATCH(B820,Teknikere,0))))),"Mangler rollen "&amp;INDEX(AktRolle,MATCH(C820,Aktiviteter,0))&amp;"",IF(AND(C820="LMS",F820&gt;0,OR(D820="",E820="")),"Mangler maskin eller arbeid",IF(AND(OR(C820="LMS",C820="Mod"),D820&lt;&gt;""),IF(IFERROR(INDEX(MaskinStatus,MATCH(D820,Maskiner,0)),"")="I dokk","","Maskinen er ikke i dokk"),""))))))</f>
        <v/>
      </c>
      <c r="L820" s="2">
        <f>IF(B820="","",IFERROR(INT((MATCH(B820,Teknikere,0)-1)/18)+1,""))</f>
        <v/>
      </c>
      <c r="M820" s="2">
        <f>IF(OR(A820="",B820=""),"",B820&amp;"|"&amp;A820)</f>
        <v/>
      </c>
      <c r="N820" s="2">
        <f>IF(M820="","",SUMIFS(TF_Timer,TF_Nokkel,M820,TF_Akt,C820))</f>
        <v/>
      </c>
      <c r="O820" s="2">
        <f>IF(M820="","",IF(AND(N820=_xlfn.MAXIFS(TF_AktSum,TF_Nokkel,M820),COUNTIFS(M$3:M819,M820,N$3:N819,N820)=0),M820,""))</f>
        <v/>
      </c>
    </row>
    <row r="821">
      <c r="A821" s="34" t="n"/>
      <c r="B821" s="35" t="n"/>
      <c r="C821" s="35" t="n"/>
      <c r="D821" s="35" t="n"/>
      <c r="E821" s="35" t="n"/>
      <c r="F821" s="36" t="n"/>
      <c r="G821" s="35" t="n"/>
      <c r="H821" s="30">
        <f>IF(L821="","",INDEX(SkiftNavn,L821))</f>
        <v/>
      </c>
      <c r="I821" s="30">
        <f>IF(OR(A821="",L821=""),"",IF(MOD(A821-INDEX(SkiftStart,L821),Syklus)&lt;DagK,"Kveld",IF(MOD(A821-INDEX(SkiftStart,L821),Syklus)&lt;DagK+DagH,"Helg",IF(MOD(A821-INDEX(SkiftStart,L821),Syklus)&lt;DagK+DagH+DagD,"Dag","Fri"))))</f>
        <v/>
      </c>
      <c r="J821" s="30">
        <f>IF(I821="Fri","Ja","")</f>
        <v/>
      </c>
      <c r="K821" s="30">
        <f>IF(B821="","",IF(L821="","Ukjent tekniker",IF(ISNA(MATCH(C821,Aktiviteter,0)),"Ukjent aktivitet",IF(AND(INDEX(AktRolle,MATCH(C821,Aktiviteter,0))&amp;""&lt;&gt;"",ISERROR(SEARCH(INDEX(AktRolle,MATCH(C821,Aktiviteter,0))&amp;"",INDEX(TekRoller,MATCH(B821,Teknikere,0))))),"Mangler rollen "&amp;INDEX(AktRolle,MATCH(C821,Aktiviteter,0))&amp;"",IF(AND(C821="LMS",F821&gt;0,OR(D821="",E821="")),"Mangler maskin eller arbeid",IF(AND(OR(C821="LMS",C821="Mod"),D821&lt;&gt;""),IF(IFERROR(INDEX(MaskinStatus,MATCH(D821,Maskiner,0)),"")="I dokk","","Maskinen er ikke i dokk"),""))))))</f>
        <v/>
      </c>
      <c r="L821" s="2">
        <f>IF(B821="","",IFERROR(INT((MATCH(B821,Teknikere,0)-1)/18)+1,""))</f>
        <v/>
      </c>
      <c r="M821" s="2">
        <f>IF(OR(A821="",B821=""),"",B821&amp;"|"&amp;A821)</f>
        <v/>
      </c>
      <c r="N821" s="2">
        <f>IF(M821="","",SUMIFS(TF_Timer,TF_Nokkel,M821,TF_Akt,C821))</f>
        <v/>
      </c>
      <c r="O821" s="2">
        <f>IF(M821="","",IF(AND(N821=_xlfn.MAXIFS(TF_AktSum,TF_Nokkel,M821),COUNTIFS(M$3:M820,M821,N$3:N820,N821)=0),M821,""))</f>
        <v/>
      </c>
    </row>
    <row r="822">
      <c r="A822" s="34" t="n"/>
      <c r="B822" s="35" t="n"/>
      <c r="C822" s="35" t="n"/>
      <c r="D822" s="35" t="n"/>
      <c r="E822" s="35" t="n"/>
      <c r="F822" s="36" t="n"/>
      <c r="G822" s="35" t="n"/>
      <c r="H822" s="30">
        <f>IF(L822="","",INDEX(SkiftNavn,L822))</f>
        <v/>
      </c>
      <c r="I822" s="30">
        <f>IF(OR(A822="",L822=""),"",IF(MOD(A822-INDEX(SkiftStart,L822),Syklus)&lt;DagK,"Kveld",IF(MOD(A822-INDEX(SkiftStart,L822),Syklus)&lt;DagK+DagH,"Helg",IF(MOD(A822-INDEX(SkiftStart,L822),Syklus)&lt;DagK+DagH+DagD,"Dag","Fri"))))</f>
        <v/>
      </c>
      <c r="J822" s="30">
        <f>IF(I822="Fri","Ja","")</f>
        <v/>
      </c>
      <c r="K822" s="30">
        <f>IF(B822="","",IF(L822="","Ukjent tekniker",IF(ISNA(MATCH(C822,Aktiviteter,0)),"Ukjent aktivitet",IF(AND(INDEX(AktRolle,MATCH(C822,Aktiviteter,0))&amp;""&lt;&gt;"",ISERROR(SEARCH(INDEX(AktRolle,MATCH(C822,Aktiviteter,0))&amp;"",INDEX(TekRoller,MATCH(B822,Teknikere,0))))),"Mangler rollen "&amp;INDEX(AktRolle,MATCH(C822,Aktiviteter,0))&amp;"",IF(AND(C822="LMS",F822&gt;0,OR(D822="",E822="")),"Mangler maskin eller arbeid",IF(AND(OR(C822="LMS",C822="Mod"),D822&lt;&gt;""),IF(IFERROR(INDEX(MaskinStatus,MATCH(D822,Maskiner,0)),"")="I dokk","","Maskinen er ikke i dokk"),""))))))</f>
        <v/>
      </c>
      <c r="L822" s="2">
        <f>IF(B822="","",IFERROR(INT((MATCH(B822,Teknikere,0)-1)/18)+1,""))</f>
        <v/>
      </c>
      <c r="M822" s="2">
        <f>IF(OR(A822="",B822=""),"",B822&amp;"|"&amp;A822)</f>
        <v/>
      </c>
      <c r="N822" s="2">
        <f>IF(M822="","",SUMIFS(TF_Timer,TF_Nokkel,M822,TF_Akt,C822))</f>
        <v/>
      </c>
      <c r="O822" s="2">
        <f>IF(M822="","",IF(AND(N822=_xlfn.MAXIFS(TF_AktSum,TF_Nokkel,M822),COUNTIFS(M$3:M821,M822,N$3:N821,N822)=0),M822,""))</f>
        <v/>
      </c>
    </row>
    <row r="823">
      <c r="A823" s="34" t="n"/>
      <c r="B823" s="35" t="n"/>
      <c r="C823" s="35" t="n"/>
      <c r="D823" s="35" t="n"/>
      <c r="E823" s="35" t="n"/>
      <c r="F823" s="36" t="n"/>
      <c r="G823" s="35" t="n"/>
      <c r="H823" s="30">
        <f>IF(L823="","",INDEX(SkiftNavn,L823))</f>
        <v/>
      </c>
      <c r="I823" s="30">
        <f>IF(OR(A823="",L823=""),"",IF(MOD(A823-INDEX(SkiftStart,L823),Syklus)&lt;DagK,"Kveld",IF(MOD(A823-INDEX(SkiftStart,L823),Syklus)&lt;DagK+DagH,"Helg",IF(MOD(A823-INDEX(SkiftStart,L823),Syklus)&lt;DagK+DagH+DagD,"Dag","Fri"))))</f>
        <v/>
      </c>
      <c r="J823" s="30">
        <f>IF(I823="Fri","Ja","")</f>
        <v/>
      </c>
      <c r="K823" s="30">
        <f>IF(B823="","",IF(L823="","Ukjent tekniker",IF(ISNA(MATCH(C823,Aktiviteter,0)),"Ukjent aktivitet",IF(AND(INDEX(AktRolle,MATCH(C823,Aktiviteter,0))&amp;""&lt;&gt;"",ISERROR(SEARCH(INDEX(AktRolle,MATCH(C823,Aktiviteter,0))&amp;"",INDEX(TekRoller,MATCH(B823,Teknikere,0))))),"Mangler rollen "&amp;INDEX(AktRolle,MATCH(C823,Aktiviteter,0))&amp;"",IF(AND(C823="LMS",F823&gt;0,OR(D823="",E823="")),"Mangler maskin eller arbeid",IF(AND(OR(C823="LMS",C823="Mod"),D823&lt;&gt;""),IF(IFERROR(INDEX(MaskinStatus,MATCH(D823,Maskiner,0)),"")="I dokk","","Maskinen er ikke i dokk"),""))))))</f>
        <v/>
      </c>
      <c r="L823" s="2">
        <f>IF(B823="","",IFERROR(INT((MATCH(B823,Teknikere,0)-1)/18)+1,""))</f>
        <v/>
      </c>
      <c r="M823" s="2">
        <f>IF(OR(A823="",B823=""),"",B823&amp;"|"&amp;A823)</f>
        <v/>
      </c>
      <c r="N823" s="2">
        <f>IF(M823="","",SUMIFS(TF_Timer,TF_Nokkel,M823,TF_Akt,C823))</f>
        <v/>
      </c>
      <c r="O823" s="2">
        <f>IF(M823="","",IF(AND(N823=_xlfn.MAXIFS(TF_AktSum,TF_Nokkel,M823),COUNTIFS(M$3:M822,M823,N$3:N822,N823)=0),M823,""))</f>
        <v/>
      </c>
    </row>
    <row r="824">
      <c r="A824" s="34" t="n"/>
      <c r="B824" s="35" t="n"/>
      <c r="C824" s="35" t="n"/>
      <c r="D824" s="35" t="n"/>
      <c r="E824" s="35" t="n"/>
      <c r="F824" s="36" t="n"/>
      <c r="G824" s="35" t="n"/>
      <c r="H824" s="30">
        <f>IF(L824="","",INDEX(SkiftNavn,L824))</f>
        <v/>
      </c>
      <c r="I824" s="30">
        <f>IF(OR(A824="",L824=""),"",IF(MOD(A824-INDEX(SkiftStart,L824),Syklus)&lt;DagK,"Kveld",IF(MOD(A824-INDEX(SkiftStart,L824),Syklus)&lt;DagK+DagH,"Helg",IF(MOD(A824-INDEX(SkiftStart,L824),Syklus)&lt;DagK+DagH+DagD,"Dag","Fri"))))</f>
        <v/>
      </c>
      <c r="J824" s="30">
        <f>IF(I824="Fri","Ja","")</f>
        <v/>
      </c>
      <c r="K824" s="30">
        <f>IF(B824="","",IF(L824="","Ukjent tekniker",IF(ISNA(MATCH(C824,Aktiviteter,0)),"Ukjent aktivitet",IF(AND(INDEX(AktRolle,MATCH(C824,Aktiviteter,0))&amp;""&lt;&gt;"",ISERROR(SEARCH(INDEX(AktRolle,MATCH(C824,Aktiviteter,0))&amp;"",INDEX(TekRoller,MATCH(B824,Teknikere,0))))),"Mangler rollen "&amp;INDEX(AktRolle,MATCH(C824,Aktiviteter,0))&amp;"",IF(AND(C824="LMS",F824&gt;0,OR(D824="",E824="")),"Mangler maskin eller arbeid",IF(AND(OR(C824="LMS",C824="Mod"),D824&lt;&gt;""),IF(IFERROR(INDEX(MaskinStatus,MATCH(D824,Maskiner,0)),"")="I dokk","","Maskinen er ikke i dokk"),""))))))</f>
        <v/>
      </c>
      <c r="L824" s="2">
        <f>IF(B824="","",IFERROR(INT((MATCH(B824,Teknikere,0)-1)/18)+1,""))</f>
        <v/>
      </c>
      <c r="M824" s="2">
        <f>IF(OR(A824="",B824=""),"",B824&amp;"|"&amp;A824)</f>
        <v/>
      </c>
      <c r="N824" s="2">
        <f>IF(M824="","",SUMIFS(TF_Timer,TF_Nokkel,M824,TF_Akt,C824))</f>
        <v/>
      </c>
      <c r="O824" s="2">
        <f>IF(M824="","",IF(AND(N824=_xlfn.MAXIFS(TF_AktSum,TF_Nokkel,M824),COUNTIFS(M$3:M823,M824,N$3:N823,N824)=0),M824,""))</f>
        <v/>
      </c>
    </row>
    <row r="825">
      <c r="A825" s="34" t="n"/>
      <c r="B825" s="35" t="n"/>
      <c r="C825" s="35" t="n"/>
      <c r="D825" s="35" t="n"/>
      <c r="E825" s="35" t="n"/>
      <c r="F825" s="36" t="n"/>
      <c r="G825" s="35" t="n"/>
      <c r="H825" s="30">
        <f>IF(L825="","",INDEX(SkiftNavn,L825))</f>
        <v/>
      </c>
      <c r="I825" s="30">
        <f>IF(OR(A825="",L825=""),"",IF(MOD(A825-INDEX(SkiftStart,L825),Syklus)&lt;DagK,"Kveld",IF(MOD(A825-INDEX(SkiftStart,L825),Syklus)&lt;DagK+DagH,"Helg",IF(MOD(A825-INDEX(SkiftStart,L825),Syklus)&lt;DagK+DagH+DagD,"Dag","Fri"))))</f>
        <v/>
      </c>
      <c r="J825" s="30">
        <f>IF(I825="Fri","Ja","")</f>
        <v/>
      </c>
      <c r="K825" s="30">
        <f>IF(B825="","",IF(L825="","Ukjent tekniker",IF(ISNA(MATCH(C825,Aktiviteter,0)),"Ukjent aktivitet",IF(AND(INDEX(AktRolle,MATCH(C825,Aktiviteter,0))&amp;""&lt;&gt;"",ISERROR(SEARCH(INDEX(AktRolle,MATCH(C825,Aktiviteter,0))&amp;"",INDEX(TekRoller,MATCH(B825,Teknikere,0))))),"Mangler rollen "&amp;INDEX(AktRolle,MATCH(C825,Aktiviteter,0))&amp;"",IF(AND(C825="LMS",F825&gt;0,OR(D825="",E825="")),"Mangler maskin eller arbeid",IF(AND(OR(C825="LMS",C825="Mod"),D825&lt;&gt;""),IF(IFERROR(INDEX(MaskinStatus,MATCH(D825,Maskiner,0)),"")="I dokk","","Maskinen er ikke i dokk"),""))))))</f>
        <v/>
      </c>
      <c r="L825" s="2">
        <f>IF(B825="","",IFERROR(INT((MATCH(B825,Teknikere,0)-1)/18)+1,""))</f>
        <v/>
      </c>
      <c r="M825" s="2">
        <f>IF(OR(A825="",B825=""),"",B825&amp;"|"&amp;A825)</f>
        <v/>
      </c>
      <c r="N825" s="2">
        <f>IF(M825="","",SUMIFS(TF_Timer,TF_Nokkel,M825,TF_Akt,C825))</f>
        <v/>
      </c>
      <c r="O825" s="2">
        <f>IF(M825="","",IF(AND(N825=_xlfn.MAXIFS(TF_AktSum,TF_Nokkel,M825),COUNTIFS(M$3:M824,M825,N$3:N824,N825)=0),M825,""))</f>
        <v/>
      </c>
    </row>
    <row r="826">
      <c r="A826" s="34" t="n"/>
      <c r="B826" s="35" t="n"/>
      <c r="C826" s="35" t="n"/>
      <c r="D826" s="35" t="n"/>
      <c r="E826" s="35" t="n"/>
      <c r="F826" s="36" t="n"/>
      <c r="G826" s="35" t="n"/>
      <c r="H826" s="30">
        <f>IF(L826="","",INDEX(SkiftNavn,L826))</f>
        <v/>
      </c>
      <c r="I826" s="30">
        <f>IF(OR(A826="",L826=""),"",IF(MOD(A826-INDEX(SkiftStart,L826),Syklus)&lt;DagK,"Kveld",IF(MOD(A826-INDEX(SkiftStart,L826),Syklus)&lt;DagK+DagH,"Helg",IF(MOD(A826-INDEX(SkiftStart,L826),Syklus)&lt;DagK+DagH+DagD,"Dag","Fri"))))</f>
        <v/>
      </c>
      <c r="J826" s="30">
        <f>IF(I826="Fri","Ja","")</f>
        <v/>
      </c>
      <c r="K826" s="30">
        <f>IF(B826="","",IF(L826="","Ukjent tekniker",IF(ISNA(MATCH(C826,Aktiviteter,0)),"Ukjent aktivitet",IF(AND(INDEX(AktRolle,MATCH(C826,Aktiviteter,0))&amp;""&lt;&gt;"",ISERROR(SEARCH(INDEX(AktRolle,MATCH(C826,Aktiviteter,0))&amp;"",INDEX(TekRoller,MATCH(B826,Teknikere,0))))),"Mangler rollen "&amp;INDEX(AktRolle,MATCH(C826,Aktiviteter,0))&amp;"",IF(AND(C826="LMS",F826&gt;0,OR(D826="",E826="")),"Mangler maskin eller arbeid",IF(AND(OR(C826="LMS",C826="Mod"),D826&lt;&gt;""),IF(IFERROR(INDEX(MaskinStatus,MATCH(D826,Maskiner,0)),"")="I dokk","","Maskinen er ikke i dokk"),""))))))</f>
        <v/>
      </c>
      <c r="L826" s="2">
        <f>IF(B826="","",IFERROR(INT((MATCH(B826,Teknikere,0)-1)/18)+1,""))</f>
        <v/>
      </c>
      <c r="M826" s="2">
        <f>IF(OR(A826="",B826=""),"",B826&amp;"|"&amp;A826)</f>
        <v/>
      </c>
      <c r="N826" s="2">
        <f>IF(M826="","",SUMIFS(TF_Timer,TF_Nokkel,M826,TF_Akt,C826))</f>
        <v/>
      </c>
      <c r="O826" s="2">
        <f>IF(M826="","",IF(AND(N826=_xlfn.MAXIFS(TF_AktSum,TF_Nokkel,M826),COUNTIFS(M$3:M825,M826,N$3:N825,N826)=0),M826,""))</f>
        <v/>
      </c>
    </row>
    <row r="827">
      <c r="A827" s="34" t="n"/>
      <c r="B827" s="35" t="n"/>
      <c r="C827" s="35" t="n"/>
      <c r="D827" s="35" t="n"/>
      <c r="E827" s="35" t="n"/>
      <c r="F827" s="36" t="n"/>
      <c r="G827" s="35" t="n"/>
      <c r="H827" s="30">
        <f>IF(L827="","",INDEX(SkiftNavn,L827))</f>
        <v/>
      </c>
      <c r="I827" s="30">
        <f>IF(OR(A827="",L827=""),"",IF(MOD(A827-INDEX(SkiftStart,L827),Syklus)&lt;DagK,"Kveld",IF(MOD(A827-INDEX(SkiftStart,L827),Syklus)&lt;DagK+DagH,"Helg",IF(MOD(A827-INDEX(SkiftStart,L827),Syklus)&lt;DagK+DagH+DagD,"Dag","Fri"))))</f>
        <v/>
      </c>
      <c r="J827" s="30">
        <f>IF(I827="Fri","Ja","")</f>
        <v/>
      </c>
      <c r="K827" s="30">
        <f>IF(B827="","",IF(L827="","Ukjent tekniker",IF(ISNA(MATCH(C827,Aktiviteter,0)),"Ukjent aktivitet",IF(AND(INDEX(AktRolle,MATCH(C827,Aktiviteter,0))&amp;""&lt;&gt;"",ISERROR(SEARCH(INDEX(AktRolle,MATCH(C827,Aktiviteter,0))&amp;"",INDEX(TekRoller,MATCH(B827,Teknikere,0))))),"Mangler rollen "&amp;INDEX(AktRolle,MATCH(C827,Aktiviteter,0))&amp;"",IF(AND(C827="LMS",F827&gt;0,OR(D827="",E827="")),"Mangler maskin eller arbeid",IF(AND(OR(C827="LMS",C827="Mod"),D827&lt;&gt;""),IF(IFERROR(INDEX(MaskinStatus,MATCH(D827,Maskiner,0)),"")="I dokk","","Maskinen er ikke i dokk"),""))))))</f>
        <v/>
      </c>
      <c r="L827" s="2">
        <f>IF(B827="","",IFERROR(INT((MATCH(B827,Teknikere,0)-1)/18)+1,""))</f>
        <v/>
      </c>
      <c r="M827" s="2">
        <f>IF(OR(A827="",B827=""),"",B827&amp;"|"&amp;A827)</f>
        <v/>
      </c>
      <c r="N827" s="2">
        <f>IF(M827="","",SUMIFS(TF_Timer,TF_Nokkel,M827,TF_Akt,C827))</f>
        <v/>
      </c>
      <c r="O827" s="2">
        <f>IF(M827="","",IF(AND(N827=_xlfn.MAXIFS(TF_AktSum,TF_Nokkel,M827),COUNTIFS(M$3:M826,M827,N$3:N826,N827)=0),M827,""))</f>
        <v/>
      </c>
    </row>
    <row r="828">
      <c r="A828" s="34" t="n"/>
      <c r="B828" s="35" t="n"/>
      <c r="C828" s="35" t="n"/>
      <c r="D828" s="35" t="n"/>
      <c r="E828" s="35" t="n"/>
      <c r="F828" s="36" t="n"/>
      <c r="G828" s="35" t="n"/>
      <c r="H828" s="30">
        <f>IF(L828="","",INDEX(SkiftNavn,L828))</f>
        <v/>
      </c>
      <c r="I828" s="30">
        <f>IF(OR(A828="",L828=""),"",IF(MOD(A828-INDEX(SkiftStart,L828),Syklus)&lt;DagK,"Kveld",IF(MOD(A828-INDEX(SkiftStart,L828),Syklus)&lt;DagK+DagH,"Helg",IF(MOD(A828-INDEX(SkiftStart,L828),Syklus)&lt;DagK+DagH+DagD,"Dag","Fri"))))</f>
        <v/>
      </c>
      <c r="J828" s="30">
        <f>IF(I828="Fri","Ja","")</f>
        <v/>
      </c>
      <c r="K828" s="30">
        <f>IF(B828="","",IF(L828="","Ukjent tekniker",IF(ISNA(MATCH(C828,Aktiviteter,0)),"Ukjent aktivitet",IF(AND(INDEX(AktRolle,MATCH(C828,Aktiviteter,0))&amp;""&lt;&gt;"",ISERROR(SEARCH(INDEX(AktRolle,MATCH(C828,Aktiviteter,0))&amp;"",INDEX(TekRoller,MATCH(B828,Teknikere,0))))),"Mangler rollen "&amp;INDEX(AktRolle,MATCH(C828,Aktiviteter,0))&amp;"",IF(AND(C828="LMS",F828&gt;0,OR(D828="",E828="")),"Mangler maskin eller arbeid",IF(AND(OR(C828="LMS",C828="Mod"),D828&lt;&gt;""),IF(IFERROR(INDEX(MaskinStatus,MATCH(D828,Maskiner,0)),"")="I dokk","","Maskinen er ikke i dokk"),""))))))</f>
        <v/>
      </c>
      <c r="L828" s="2">
        <f>IF(B828="","",IFERROR(INT((MATCH(B828,Teknikere,0)-1)/18)+1,""))</f>
        <v/>
      </c>
      <c r="M828" s="2">
        <f>IF(OR(A828="",B828=""),"",B828&amp;"|"&amp;A828)</f>
        <v/>
      </c>
      <c r="N828" s="2">
        <f>IF(M828="","",SUMIFS(TF_Timer,TF_Nokkel,M828,TF_Akt,C828))</f>
        <v/>
      </c>
      <c r="O828" s="2">
        <f>IF(M828="","",IF(AND(N828=_xlfn.MAXIFS(TF_AktSum,TF_Nokkel,M828),COUNTIFS(M$3:M827,M828,N$3:N827,N828)=0),M828,""))</f>
        <v/>
      </c>
    </row>
    <row r="829">
      <c r="A829" s="34" t="n"/>
      <c r="B829" s="35" t="n"/>
      <c r="C829" s="35" t="n"/>
      <c r="D829" s="35" t="n"/>
      <c r="E829" s="35" t="n"/>
      <c r="F829" s="36" t="n"/>
      <c r="G829" s="35" t="n"/>
      <c r="H829" s="30">
        <f>IF(L829="","",INDEX(SkiftNavn,L829))</f>
        <v/>
      </c>
      <c r="I829" s="30">
        <f>IF(OR(A829="",L829=""),"",IF(MOD(A829-INDEX(SkiftStart,L829),Syklus)&lt;DagK,"Kveld",IF(MOD(A829-INDEX(SkiftStart,L829),Syklus)&lt;DagK+DagH,"Helg",IF(MOD(A829-INDEX(SkiftStart,L829),Syklus)&lt;DagK+DagH+DagD,"Dag","Fri"))))</f>
        <v/>
      </c>
      <c r="J829" s="30">
        <f>IF(I829="Fri","Ja","")</f>
        <v/>
      </c>
      <c r="K829" s="30">
        <f>IF(B829="","",IF(L829="","Ukjent tekniker",IF(ISNA(MATCH(C829,Aktiviteter,0)),"Ukjent aktivitet",IF(AND(INDEX(AktRolle,MATCH(C829,Aktiviteter,0))&amp;""&lt;&gt;"",ISERROR(SEARCH(INDEX(AktRolle,MATCH(C829,Aktiviteter,0))&amp;"",INDEX(TekRoller,MATCH(B829,Teknikere,0))))),"Mangler rollen "&amp;INDEX(AktRolle,MATCH(C829,Aktiviteter,0))&amp;"",IF(AND(C829="LMS",F829&gt;0,OR(D829="",E829="")),"Mangler maskin eller arbeid",IF(AND(OR(C829="LMS",C829="Mod"),D829&lt;&gt;""),IF(IFERROR(INDEX(MaskinStatus,MATCH(D829,Maskiner,0)),"")="I dokk","","Maskinen er ikke i dokk"),""))))))</f>
        <v/>
      </c>
      <c r="L829" s="2">
        <f>IF(B829="","",IFERROR(INT((MATCH(B829,Teknikere,0)-1)/18)+1,""))</f>
        <v/>
      </c>
      <c r="M829" s="2">
        <f>IF(OR(A829="",B829=""),"",B829&amp;"|"&amp;A829)</f>
        <v/>
      </c>
      <c r="N829" s="2">
        <f>IF(M829="","",SUMIFS(TF_Timer,TF_Nokkel,M829,TF_Akt,C829))</f>
        <v/>
      </c>
      <c r="O829" s="2">
        <f>IF(M829="","",IF(AND(N829=_xlfn.MAXIFS(TF_AktSum,TF_Nokkel,M829),COUNTIFS(M$3:M828,M829,N$3:N828,N829)=0),M829,""))</f>
        <v/>
      </c>
    </row>
    <row r="830">
      <c r="A830" s="34" t="n"/>
      <c r="B830" s="35" t="n"/>
      <c r="C830" s="35" t="n"/>
      <c r="D830" s="35" t="n"/>
      <c r="E830" s="35" t="n"/>
      <c r="F830" s="36" t="n"/>
      <c r="G830" s="35" t="n"/>
      <c r="H830" s="30">
        <f>IF(L830="","",INDEX(SkiftNavn,L830))</f>
        <v/>
      </c>
      <c r="I830" s="30">
        <f>IF(OR(A830="",L830=""),"",IF(MOD(A830-INDEX(SkiftStart,L830),Syklus)&lt;DagK,"Kveld",IF(MOD(A830-INDEX(SkiftStart,L830),Syklus)&lt;DagK+DagH,"Helg",IF(MOD(A830-INDEX(SkiftStart,L830),Syklus)&lt;DagK+DagH+DagD,"Dag","Fri"))))</f>
        <v/>
      </c>
      <c r="J830" s="30">
        <f>IF(I830="Fri","Ja","")</f>
        <v/>
      </c>
      <c r="K830" s="30">
        <f>IF(B830="","",IF(L830="","Ukjent tekniker",IF(ISNA(MATCH(C830,Aktiviteter,0)),"Ukjent aktivitet",IF(AND(INDEX(AktRolle,MATCH(C830,Aktiviteter,0))&amp;""&lt;&gt;"",ISERROR(SEARCH(INDEX(AktRolle,MATCH(C830,Aktiviteter,0))&amp;"",INDEX(TekRoller,MATCH(B830,Teknikere,0))))),"Mangler rollen "&amp;INDEX(AktRolle,MATCH(C830,Aktiviteter,0))&amp;"",IF(AND(C830="LMS",F830&gt;0,OR(D830="",E830="")),"Mangler maskin eller arbeid",IF(AND(OR(C830="LMS",C830="Mod"),D830&lt;&gt;""),IF(IFERROR(INDEX(MaskinStatus,MATCH(D830,Maskiner,0)),"")="I dokk","","Maskinen er ikke i dokk"),""))))))</f>
        <v/>
      </c>
      <c r="L830" s="2">
        <f>IF(B830="","",IFERROR(INT((MATCH(B830,Teknikere,0)-1)/18)+1,""))</f>
        <v/>
      </c>
      <c r="M830" s="2">
        <f>IF(OR(A830="",B830=""),"",B830&amp;"|"&amp;A830)</f>
        <v/>
      </c>
      <c r="N830" s="2">
        <f>IF(M830="","",SUMIFS(TF_Timer,TF_Nokkel,M830,TF_Akt,C830))</f>
        <v/>
      </c>
      <c r="O830" s="2">
        <f>IF(M830="","",IF(AND(N830=_xlfn.MAXIFS(TF_AktSum,TF_Nokkel,M830),COUNTIFS(M$3:M829,M830,N$3:N829,N830)=0),M830,""))</f>
        <v/>
      </c>
    </row>
    <row r="831">
      <c r="A831" s="34" t="n"/>
      <c r="B831" s="35" t="n"/>
      <c r="C831" s="35" t="n"/>
      <c r="D831" s="35" t="n"/>
      <c r="E831" s="35" t="n"/>
      <c r="F831" s="36" t="n"/>
      <c r="G831" s="35" t="n"/>
      <c r="H831" s="30">
        <f>IF(L831="","",INDEX(SkiftNavn,L831))</f>
        <v/>
      </c>
      <c r="I831" s="30">
        <f>IF(OR(A831="",L831=""),"",IF(MOD(A831-INDEX(SkiftStart,L831),Syklus)&lt;DagK,"Kveld",IF(MOD(A831-INDEX(SkiftStart,L831),Syklus)&lt;DagK+DagH,"Helg",IF(MOD(A831-INDEX(SkiftStart,L831),Syklus)&lt;DagK+DagH+DagD,"Dag","Fri"))))</f>
        <v/>
      </c>
      <c r="J831" s="30">
        <f>IF(I831="Fri","Ja","")</f>
        <v/>
      </c>
      <c r="K831" s="30">
        <f>IF(B831="","",IF(L831="","Ukjent tekniker",IF(ISNA(MATCH(C831,Aktiviteter,0)),"Ukjent aktivitet",IF(AND(INDEX(AktRolle,MATCH(C831,Aktiviteter,0))&amp;""&lt;&gt;"",ISERROR(SEARCH(INDEX(AktRolle,MATCH(C831,Aktiviteter,0))&amp;"",INDEX(TekRoller,MATCH(B831,Teknikere,0))))),"Mangler rollen "&amp;INDEX(AktRolle,MATCH(C831,Aktiviteter,0))&amp;"",IF(AND(C831="LMS",F831&gt;0,OR(D831="",E831="")),"Mangler maskin eller arbeid",IF(AND(OR(C831="LMS",C831="Mod"),D831&lt;&gt;""),IF(IFERROR(INDEX(MaskinStatus,MATCH(D831,Maskiner,0)),"")="I dokk","","Maskinen er ikke i dokk"),""))))))</f>
        <v/>
      </c>
      <c r="L831" s="2">
        <f>IF(B831="","",IFERROR(INT((MATCH(B831,Teknikere,0)-1)/18)+1,""))</f>
        <v/>
      </c>
      <c r="M831" s="2">
        <f>IF(OR(A831="",B831=""),"",B831&amp;"|"&amp;A831)</f>
        <v/>
      </c>
      <c r="N831" s="2">
        <f>IF(M831="","",SUMIFS(TF_Timer,TF_Nokkel,M831,TF_Akt,C831))</f>
        <v/>
      </c>
      <c r="O831" s="2">
        <f>IF(M831="","",IF(AND(N831=_xlfn.MAXIFS(TF_AktSum,TF_Nokkel,M831),COUNTIFS(M$3:M830,M831,N$3:N830,N831)=0),M831,""))</f>
        <v/>
      </c>
    </row>
    <row r="832">
      <c r="A832" s="34" t="n"/>
      <c r="B832" s="35" t="n"/>
      <c r="C832" s="35" t="n"/>
      <c r="D832" s="35" t="n"/>
      <c r="E832" s="35" t="n"/>
      <c r="F832" s="36" t="n"/>
      <c r="G832" s="35" t="n"/>
      <c r="H832" s="30">
        <f>IF(L832="","",INDEX(SkiftNavn,L832))</f>
        <v/>
      </c>
      <c r="I832" s="30">
        <f>IF(OR(A832="",L832=""),"",IF(MOD(A832-INDEX(SkiftStart,L832),Syklus)&lt;DagK,"Kveld",IF(MOD(A832-INDEX(SkiftStart,L832),Syklus)&lt;DagK+DagH,"Helg",IF(MOD(A832-INDEX(SkiftStart,L832),Syklus)&lt;DagK+DagH+DagD,"Dag","Fri"))))</f>
        <v/>
      </c>
      <c r="J832" s="30">
        <f>IF(I832="Fri","Ja","")</f>
        <v/>
      </c>
      <c r="K832" s="30">
        <f>IF(B832="","",IF(L832="","Ukjent tekniker",IF(ISNA(MATCH(C832,Aktiviteter,0)),"Ukjent aktivitet",IF(AND(INDEX(AktRolle,MATCH(C832,Aktiviteter,0))&amp;""&lt;&gt;"",ISERROR(SEARCH(INDEX(AktRolle,MATCH(C832,Aktiviteter,0))&amp;"",INDEX(TekRoller,MATCH(B832,Teknikere,0))))),"Mangler rollen "&amp;INDEX(AktRolle,MATCH(C832,Aktiviteter,0))&amp;"",IF(AND(C832="LMS",F832&gt;0,OR(D832="",E832="")),"Mangler maskin eller arbeid",IF(AND(OR(C832="LMS",C832="Mod"),D832&lt;&gt;""),IF(IFERROR(INDEX(MaskinStatus,MATCH(D832,Maskiner,0)),"")="I dokk","","Maskinen er ikke i dokk"),""))))))</f>
        <v/>
      </c>
      <c r="L832" s="2">
        <f>IF(B832="","",IFERROR(INT((MATCH(B832,Teknikere,0)-1)/18)+1,""))</f>
        <v/>
      </c>
      <c r="M832" s="2">
        <f>IF(OR(A832="",B832=""),"",B832&amp;"|"&amp;A832)</f>
        <v/>
      </c>
      <c r="N832" s="2">
        <f>IF(M832="","",SUMIFS(TF_Timer,TF_Nokkel,M832,TF_Akt,C832))</f>
        <v/>
      </c>
      <c r="O832" s="2">
        <f>IF(M832="","",IF(AND(N832=_xlfn.MAXIFS(TF_AktSum,TF_Nokkel,M832),COUNTIFS(M$3:M831,M832,N$3:N831,N832)=0),M832,""))</f>
        <v/>
      </c>
    </row>
    <row r="833">
      <c r="A833" s="34" t="n"/>
      <c r="B833" s="35" t="n"/>
      <c r="C833" s="35" t="n"/>
      <c r="D833" s="35" t="n"/>
      <c r="E833" s="35" t="n"/>
      <c r="F833" s="36" t="n"/>
      <c r="G833" s="35" t="n"/>
      <c r="H833" s="30">
        <f>IF(L833="","",INDEX(SkiftNavn,L833))</f>
        <v/>
      </c>
      <c r="I833" s="30">
        <f>IF(OR(A833="",L833=""),"",IF(MOD(A833-INDEX(SkiftStart,L833),Syklus)&lt;DagK,"Kveld",IF(MOD(A833-INDEX(SkiftStart,L833),Syklus)&lt;DagK+DagH,"Helg",IF(MOD(A833-INDEX(SkiftStart,L833),Syklus)&lt;DagK+DagH+DagD,"Dag","Fri"))))</f>
        <v/>
      </c>
      <c r="J833" s="30">
        <f>IF(I833="Fri","Ja","")</f>
        <v/>
      </c>
      <c r="K833" s="30">
        <f>IF(B833="","",IF(L833="","Ukjent tekniker",IF(ISNA(MATCH(C833,Aktiviteter,0)),"Ukjent aktivitet",IF(AND(INDEX(AktRolle,MATCH(C833,Aktiviteter,0))&amp;""&lt;&gt;"",ISERROR(SEARCH(INDEX(AktRolle,MATCH(C833,Aktiviteter,0))&amp;"",INDEX(TekRoller,MATCH(B833,Teknikere,0))))),"Mangler rollen "&amp;INDEX(AktRolle,MATCH(C833,Aktiviteter,0))&amp;"",IF(AND(C833="LMS",F833&gt;0,OR(D833="",E833="")),"Mangler maskin eller arbeid",IF(AND(OR(C833="LMS",C833="Mod"),D833&lt;&gt;""),IF(IFERROR(INDEX(MaskinStatus,MATCH(D833,Maskiner,0)),"")="I dokk","","Maskinen er ikke i dokk"),""))))))</f>
        <v/>
      </c>
      <c r="L833" s="2">
        <f>IF(B833="","",IFERROR(INT((MATCH(B833,Teknikere,0)-1)/18)+1,""))</f>
        <v/>
      </c>
      <c r="M833" s="2">
        <f>IF(OR(A833="",B833=""),"",B833&amp;"|"&amp;A833)</f>
        <v/>
      </c>
      <c r="N833" s="2">
        <f>IF(M833="","",SUMIFS(TF_Timer,TF_Nokkel,M833,TF_Akt,C833))</f>
        <v/>
      </c>
      <c r="O833" s="2">
        <f>IF(M833="","",IF(AND(N833=_xlfn.MAXIFS(TF_AktSum,TF_Nokkel,M833),COUNTIFS(M$3:M832,M833,N$3:N832,N833)=0),M833,""))</f>
        <v/>
      </c>
    </row>
    <row r="834">
      <c r="A834" s="34" t="n"/>
      <c r="B834" s="35" t="n"/>
      <c r="C834" s="35" t="n"/>
      <c r="D834" s="35" t="n"/>
      <c r="E834" s="35" t="n"/>
      <c r="F834" s="36" t="n"/>
      <c r="G834" s="35" t="n"/>
      <c r="H834" s="30">
        <f>IF(L834="","",INDEX(SkiftNavn,L834))</f>
        <v/>
      </c>
      <c r="I834" s="30">
        <f>IF(OR(A834="",L834=""),"",IF(MOD(A834-INDEX(SkiftStart,L834),Syklus)&lt;DagK,"Kveld",IF(MOD(A834-INDEX(SkiftStart,L834),Syklus)&lt;DagK+DagH,"Helg",IF(MOD(A834-INDEX(SkiftStart,L834),Syklus)&lt;DagK+DagH+DagD,"Dag","Fri"))))</f>
        <v/>
      </c>
      <c r="J834" s="30">
        <f>IF(I834="Fri","Ja","")</f>
        <v/>
      </c>
      <c r="K834" s="30">
        <f>IF(B834="","",IF(L834="","Ukjent tekniker",IF(ISNA(MATCH(C834,Aktiviteter,0)),"Ukjent aktivitet",IF(AND(INDEX(AktRolle,MATCH(C834,Aktiviteter,0))&amp;""&lt;&gt;"",ISERROR(SEARCH(INDEX(AktRolle,MATCH(C834,Aktiviteter,0))&amp;"",INDEX(TekRoller,MATCH(B834,Teknikere,0))))),"Mangler rollen "&amp;INDEX(AktRolle,MATCH(C834,Aktiviteter,0))&amp;"",IF(AND(C834="LMS",F834&gt;0,OR(D834="",E834="")),"Mangler maskin eller arbeid",IF(AND(OR(C834="LMS",C834="Mod"),D834&lt;&gt;""),IF(IFERROR(INDEX(MaskinStatus,MATCH(D834,Maskiner,0)),"")="I dokk","","Maskinen er ikke i dokk"),""))))))</f>
        <v/>
      </c>
      <c r="L834" s="2">
        <f>IF(B834="","",IFERROR(INT((MATCH(B834,Teknikere,0)-1)/18)+1,""))</f>
        <v/>
      </c>
      <c r="M834" s="2">
        <f>IF(OR(A834="",B834=""),"",B834&amp;"|"&amp;A834)</f>
        <v/>
      </c>
      <c r="N834" s="2">
        <f>IF(M834="","",SUMIFS(TF_Timer,TF_Nokkel,M834,TF_Akt,C834))</f>
        <v/>
      </c>
      <c r="O834" s="2">
        <f>IF(M834="","",IF(AND(N834=_xlfn.MAXIFS(TF_AktSum,TF_Nokkel,M834),COUNTIFS(M$3:M833,M834,N$3:N833,N834)=0),M834,""))</f>
        <v/>
      </c>
    </row>
    <row r="835">
      <c r="A835" s="34" t="n"/>
      <c r="B835" s="35" t="n"/>
      <c r="C835" s="35" t="n"/>
      <c r="D835" s="35" t="n"/>
      <c r="E835" s="35" t="n"/>
      <c r="F835" s="36" t="n"/>
      <c r="G835" s="35" t="n"/>
      <c r="H835" s="30">
        <f>IF(L835="","",INDEX(SkiftNavn,L835))</f>
        <v/>
      </c>
      <c r="I835" s="30">
        <f>IF(OR(A835="",L835=""),"",IF(MOD(A835-INDEX(SkiftStart,L835),Syklus)&lt;DagK,"Kveld",IF(MOD(A835-INDEX(SkiftStart,L835),Syklus)&lt;DagK+DagH,"Helg",IF(MOD(A835-INDEX(SkiftStart,L835),Syklus)&lt;DagK+DagH+DagD,"Dag","Fri"))))</f>
        <v/>
      </c>
      <c r="J835" s="30">
        <f>IF(I835="Fri","Ja","")</f>
        <v/>
      </c>
      <c r="K835" s="30">
        <f>IF(B835="","",IF(L835="","Ukjent tekniker",IF(ISNA(MATCH(C835,Aktiviteter,0)),"Ukjent aktivitet",IF(AND(INDEX(AktRolle,MATCH(C835,Aktiviteter,0))&amp;""&lt;&gt;"",ISERROR(SEARCH(INDEX(AktRolle,MATCH(C835,Aktiviteter,0))&amp;"",INDEX(TekRoller,MATCH(B835,Teknikere,0))))),"Mangler rollen "&amp;INDEX(AktRolle,MATCH(C835,Aktiviteter,0))&amp;"",IF(AND(C835="LMS",F835&gt;0,OR(D835="",E835="")),"Mangler maskin eller arbeid",IF(AND(OR(C835="LMS",C835="Mod"),D835&lt;&gt;""),IF(IFERROR(INDEX(MaskinStatus,MATCH(D835,Maskiner,0)),"")="I dokk","","Maskinen er ikke i dokk"),""))))))</f>
        <v/>
      </c>
      <c r="L835" s="2">
        <f>IF(B835="","",IFERROR(INT((MATCH(B835,Teknikere,0)-1)/18)+1,""))</f>
        <v/>
      </c>
      <c r="M835" s="2">
        <f>IF(OR(A835="",B835=""),"",B835&amp;"|"&amp;A835)</f>
        <v/>
      </c>
      <c r="N835" s="2">
        <f>IF(M835="","",SUMIFS(TF_Timer,TF_Nokkel,M835,TF_Akt,C835))</f>
        <v/>
      </c>
      <c r="O835" s="2">
        <f>IF(M835="","",IF(AND(N835=_xlfn.MAXIFS(TF_AktSum,TF_Nokkel,M835),COUNTIFS(M$3:M834,M835,N$3:N834,N835)=0),M835,""))</f>
        <v/>
      </c>
    </row>
    <row r="836">
      <c r="A836" s="34" t="n"/>
      <c r="B836" s="35" t="n"/>
      <c r="C836" s="35" t="n"/>
      <c r="D836" s="35" t="n"/>
      <c r="E836" s="35" t="n"/>
      <c r="F836" s="36" t="n"/>
      <c r="G836" s="35" t="n"/>
      <c r="H836" s="30">
        <f>IF(L836="","",INDEX(SkiftNavn,L836))</f>
        <v/>
      </c>
      <c r="I836" s="30">
        <f>IF(OR(A836="",L836=""),"",IF(MOD(A836-INDEX(SkiftStart,L836),Syklus)&lt;DagK,"Kveld",IF(MOD(A836-INDEX(SkiftStart,L836),Syklus)&lt;DagK+DagH,"Helg",IF(MOD(A836-INDEX(SkiftStart,L836),Syklus)&lt;DagK+DagH+DagD,"Dag","Fri"))))</f>
        <v/>
      </c>
      <c r="J836" s="30">
        <f>IF(I836="Fri","Ja","")</f>
        <v/>
      </c>
      <c r="K836" s="30">
        <f>IF(B836="","",IF(L836="","Ukjent tekniker",IF(ISNA(MATCH(C836,Aktiviteter,0)),"Ukjent aktivitet",IF(AND(INDEX(AktRolle,MATCH(C836,Aktiviteter,0))&amp;""&lt;&gt;"",ISERROR(SEARCH(INDEX(AktRolle,MATCH(C836,Aktiviteter,0))&amp;"",INDEX(TekRoller,MATCH(B836,Teknikere,0))))),"Mangler rollen "&amp;INDEX(AktRolle,MATCH(C836,Aktiviteter,0))&amp;"",IF(AND(C836="LMS",F836&gt;0,OR(D836="",E836="")),"Mangler maskin eller arbeid",IF(AND(OR(C836="LMS",C836="Mod"),D836&lt;&gt;""),IF(IFERROR(INDEX(MaskinStatus,MATCH(D836,Maskiner,0)),"")="I dokk","","Maskinen er ikke i dokk"),""))))))</f>
        <v/>
      </c>
      <c r="L836" s="2">
        <f>IF(B836="","",IFERROR(INT((MATCH(B836,Teknikere,0)-1)/18)+1,""))</f>
        <v/>
      </c>
      <c r="M836" s="2">
        <f>IF(OR(A836="",B836=""),"",B836&amp;"|"&amp;A836)</f>
        <v/>
      </c>
      <c r="N836" s="2">
        <f>IF(M836="","",SUMIFS(TF_Timer,TF_Nokkel,M836,TF_Akt,C836))</f>
        <v/>
      </c>
      <c r="O836" s="2">
        <f>IF(M836="","",IF(AND(N836=_xlfn.MAXIFS(TF_AktSum,TF_Nokkel,M836),COUNTIFS(M$3:M835,M836,N$3:N835,N836)=0),M836,""))</f>
        <v/>
      </c>
    </row>
    <row r="837">
      <c r="A837" s="34" t="n"/>
      <c r="B837" s="35" t="n"/>
      <c r="C837" s="35" t="n"/>
      <c r="D837" s="35" t="n"/>
      <c r="E837" s="35" t="n"/>
      <c r="F837" s="36" t="n"/>
      <c r="G837" s="35" t="n"/>
      <c r="H837" s="30">
        <f>IF(L837="","",INDEX(SkiftNavn,L837))</f>
        <v/>
      </c>
      <c r="I837" s="30">
        <f>IF(OR(A837="",L837=""),"",IF(MOD(A837-INDEX(SkiftStart,L837),Syklus)&lt;DagK,"Kveld",IF(MOD(A837-INDEX(SkiftStart,L837),Syklus)&lt;DagK+DagH,"Helg",IF(MOD(A837-INDEX(SkiftStart,L837),Syklus)&lt;DagK+DagH+DagD,"Dag","Fri"))))</f>
        <v/>
      </c>
      <c r="J837" s="30">
        <f>IF(I837="Fri","Ja","")</f>
        <v/>
      </c>
      <c r="K837" s="30">
        <f>IF(B837="","",IF(L837="","Ukjent tekniker",IF(ISNA(MATCH(C837,Aktiviteter,0)),"Ukjent aktivitet",IF(AND(INDEX(AktRolle,MATCH(C837,Aktiviteter,0))&amp;""&lt;&gt;"",ISERROR(SEARCH(INDEX(AktRolle,MATCH(C837,Aktiviteter,0))&amp;"",INDEX(TekRoller,MATCH(B837,Teknikere,0))))),"Mangler rollen "&amp;INDEX(AktRolle,MATCH(C837,Aktiviteter,0))&amp;"",IF(AND(C837="LMS",F837&gt;0,OR(D837="",E837="")),"Mangler maskin eller arbeid",IF(AND(OR(C837="LMS",C837="Mod"),D837&lt;&gt;""),IF(IFERROR(INDEX(MaskinStatus,MATCH(D837,Maskiner,0)),"")="I dokk","","Maskinen er ikke i dokk"),""))))))</f>
        <v/>
      </c>
      <c r="L837" s="2">
        <f>IF(B837="","",IFERROR(INT((MATCH(B837,Teknikere,0)-1)/18)+1,""))</f>
        <v/>
      </c>
      <c r="M837" s="2">
        <f>IF(OR(A837="",B837=""),"",B837&amp;"|"&amp;A837)</f>
        <v/>
      </c>
      <c r="N837" s="2">
        <f>IF(M837="","",SUMIFS(TF_Timer,TF_Nokkel,M837,TF_Akt,C837))</f>
        <v/>
      </c>
      <c r="O837" s="2">
        <f>IF(M837="","",IF(AND(N837=_xlfn.MAXIFS(TF_AktSum,TF_Nokkel,M837),COUNTIFS(M$3:M836,M837,N$3:N836,N837)=0),M837,""))</f>
        <v/>
      </c>
    </row>
    <row r="838">
      <c r="A838" s="34" t="n"/>
      <c r="B838" s="35" t="n"/>
      <c r="C838" s="35" t="n"/>
      <c r="D838" s="35" t="n"/>
      <c r="E838" s="35" t="n"/>
      <c r="F838" s="36" t="n"/>
      <c r="G838" s="35" t="n"/>
      <c r="H838" s="30">
        <f>IF(L838="","",INDEX(SkiftNavn,L838))</f>
        <v/>
      </c>
      <c r="I838" s="30">
        <f>IF(OR(A838="",L838=""),"",IF(MOD(A838-INDEX(SkiftStart,L838),Syklus)&lt;DagK,"Kveld",IF(MOD(A838-INDEX(SkiftStart,L838),Syklus)&lt;DagK+DagH,"Helg",IF(MOD(A838-INDEX(SkiftStart,L838),Syklus)&lt;DagK+DagH+DagD,"Dag","Fri"))))</f>
        <v/>
      </c>
      <c r="J838" s="30">
        <f>IF(I838="Fri","Ja","")</f>
        <v/>
      </c>
      <c r="K838" s="30">
        <f>IF(B838="","",IF(L838="","Ukjent tekniker",IF(ISNA(MATCH(C838,Aktiviteter,0)),"Ukjent aktivitet",IF(AND(INDEX(AktRolle,MATCH(C838,Aktiviteter,0))&amp;""&lt;&gt;"",ISERROR(SEARCH(INDEX(AktRolle,MATCH(C838,Aktiviteter,0))&amp;"",INDEX(TekRoller,MATCH(B838,Teknikere,0))))),"Mangler rollen "&amp;INDEX(AktRolle,MATCH(C838,Aktiviteter,0))&amp;"",IF(AND(C838="LMS",F838&gt;0,OR(D838="",E838="")),"Mangler maskin eller arbeid",IF(AND(OR(C838="LMS",C838="Mod"),D838&lt;&gt;""),IF(IFERROR(INDEX(MaskinStatus,MATCH(D838,Maskiner,0)),"")="I dokk","","Maskinen er ikke i dokk"),""))))))</f>
        <v/>
      </c>
      <c r="L838" s="2">
        <f>IF(B838="","",IFERROR(INT((MATCH(B838,Teknikere,0)-1)/18)+1,""))</f>
        <v/>
      </c>
      <c r="M838" s="2">
        <f>IF(OR(A838="",B838=""),"",B838&amp;"|"&amp;A838)</f>
        <v/>
      </c>
      <c r="N838" s="2">
        <f>IF(M838="","",SUMIFS(TF_Timer,TF_Nokkel,M838,TF_Akt,C838))</f>
        <v/>
      </c>
      <c r="O838" s="2">
        <f>IF(M838="","",IF(AND(N838=_xlfn.MAXIFS(TF_AktSum,TF_Nokkel,M838),COUNTIFS(M$3:M837,M838,N$3:N837,N838)=0),M838,""))</f>
        <v/>
      </c>
    </row>
    <row r="839">
      <c r="A839" s="34" t="n"/>
      <c r="B839" s="35" t="n"/>
      <c r="C839" s="35" t="n"/>
      <c r="D839" s="35" t="n"/>
      <c r="E839" s="35" t="n"/>
      <c r="F839" s="36" t="n"/>
      <c r="G839" s="35" t="n"/>
      <c r="H839" s="30">
        <f>IF(L839="","",INDEX(SkiftNavn,L839))</f>
        <v/>
      </c>
      <c r="I839" s="30">
        <f>IF(OR(A839="",L839=""),"",IF(MOD(A839-INDEX(SkiftStart,L839),Syklus)&lt;DagK,"Kveld",IF(MOD(A839-INDEX(SkiftStart,L839),Syklus)&lt;DagK+DagH,"Helg",IF(MOD(A839-INDEX(SkiftStart,L839),Syklus)&lt;DagK+DagH+DagD,"Dag","Fri"))))</f>
        <v/>
      </c>
      <c r="J839" s="30">
        <f>IF(I839="Fri","Ja","")</f>
        <v/>
      </c>
      <c r="K839" s="30">
        <f>IF(B839="","",IF(L839="","Ukjent tekniker",IF(ISNA(MATCH(C839,Aktiviteter,0)),"Ukjent aktivitet",IF(AND(INDEX(AktRolle,MATCH(C839,Aktiviteter,0))&amp;""&lt;&gt;"",ISERROR(SEARCH(INDEX(AktRolle,MATCH(C839,Aktiviteter,0))&amp;"",INDEX(TekRoller,MATCH(B839,Teknikere,0))))),"Mangler rollen "&amp;INDEX(AktRolle,MATCH(C839,Aktiviteter,0))&amp;"",IF(AND(C839="LMS",F839&gt;0,OR(D839="",E839="")),"Mangler maskin eller arbeid",IF(AND(OR(C839="LMS",C839="Mod"),D839&lt;&gt;""),IF(IFERROR(INDEX(MaskinStatus,MATCH(D839,Maskiner,0)),"")="I dokk","","Maskinen er ikke i dokk"),""))))))</f>
        <v/>
      </c>
      <c r="L839" s="2">
        <f>IF(B839="","",IFERROR(INT((MATCH(B839,Teknikere,0)-1)/18)+1,""))</f>
        <v/>
      </c>
      <c r="M839" s="2">
        <f>IF(OR(A839="",B839=""),"",B839&amp;"|"&amp;A839)</f>
        <v/>
      </c>
      <c r="N839" s="2">
        <f>IF(M839="","",SUMIFS(TF_Timer,TF_Nokkel,M839,TF_Akt,C839))</f>
        <v/>
      </c>
      <c r="O839" s="2">
        <f>IF(M839="","",IF(AND(N839=_xlfn.MAXIFS(TF_AktSum,TF_Nokkel,M839),COUNTIFS(M$3:M838,M839,N$3:N838,N839)=0),M839,""))</f>
        <v/>
      </c>
    </row>
    <row r="840">
      <c r="A840" s="34" t="n"/>
      <c r="B840" s="35" t="n"/>
      <c r="C840" s="35" t="n"/>
      <c r="D840" s="35" t="n"/>
      <c r="E840" s="35" t="n"/>
      <c r="F840" s="36" t="n"/>
      <c r="G840" s="35" t="n"/>
      <c r="H840" s="30">
        <f>IF(L840="","",INDEX(SkiftNavn,L840))</f>
        <v/>
      </c>
      <c r="I840" s="30">
        <f>IF(OR(A840="",L840=""),"",IF(MOD(A840-INDEX(SkiftStart,L840),Syklus)&lt;DagK,"Kveld",IF(MOD(A840-INDEX(SkiftStart,L840),Syklus)&lt;DagK+DagH,"Helg",IF(MOD(A840-INDEX(SkiftStart,L840),Syklus)&lt;DagK+DagH+DagD,"Dag","Fri"))))</f>
        <v/>
      </c>
      <c r="J840" s="30">
        <f>IF(I840="Fri","Ja","")</f>
        <v/>
      </c>
      <c r="K840" s="30">
        <f>IF(B840="","",IF(L840="","Ukjent tekniker",IF(ISNA(MATCH(C840,Aktiviteter,0)),"Ukjent aktivitet",IF(AND(INDEX(AktRolle,MATCH(C840,Aktiviteter,0))&amp;""&lt;&gt;"",ISERROR(SEARCH(INDEX(AktRolle,MATCH(C840,Aktiviteter,0))&amp;"",INDEX(TekRoller,MATCH(B840,Teknikere,0))))),"Mangler rollen "&amp;INDEX(AktRolle,MATCH(C840,Aktiviteter,0))&amp;"",IF(AND(C840="LMS",F840&gt;0,OR(D840="",E840="")),"Mangler maskin eller arbeid",IF(AND(OR(C840="LMS",C840="Mod"),D840&lt;&gt;""),IF(IFERROR(INDEX(MaskinStatus,MATCH(D840,Maskiner,0)),"")="I dokk","","Maskinen er ikke i dokk"),""))))))</f>
        <v/>
      </c>
      <c r="L840" s="2">
        <f>IF(B840="","",IFERROR(INT((MATCH(B840,Teknikere,0)-1)/18)+1,""))</f>
        <v/>
      </c>
      <c r="M840" s="2">
        <f>IF(OR(A840="",B840=""),"",B840&amp;"|"&amp;A840)</f>
        <v/>
      </c>
      <c r="N840" s="2">
        <f>IF(M840="","",SUMIFS(TF_Timer,TF_Nokkel,M840,TF_Akt,C840))</f>
        <v/>
      </c>
      <c r="O840" s="2">
        <f>IF(M840="","",IF(AND(N840=_xlfn.MAXIFS(TF_AktSum,TF_Nokkel,M840),COUNTIFS(M$3:M839,M840,N$3:N839,N840)=0),M840,""))</f>
        <v/>
      </c>
    </row>
    <row r="841">
      <c r="A841" s="34" t="n"/>
      <c r="B841" s="35" t="n"/>
      <c r="C841" s="35" t="n"/>
      <c r="D841" s="35" t="n"/>
      <c r="E841" s="35" t="n"/>
      <c r="F841" s="36" t="n"/>
      <c r="G841" s="35" t="n"/>
      <c r="H841" s="30">
        <f>IF(L841="","",INDEX(SkiftNavn,L841))</f>
        <v/>
      </c>
      <c r="I841" s="30">
        <f>IF(OR(A841="",L841=""),"",IF(MOD(A841-INDEX(SkiftStart,L841),Syklus)&lt;DagK,"Kveld",IF(MOD(A841-INDEX(SkiftStart,L841),Syklus)&lt;DagK+DagH,"Helg",IF(MOD(A841-INDEX(SkiftStart,L841),Syklus)&lt;DagK+DagH+DagD,"Dag","Fri"))))</f>
        <v/>
      </c>
      <c r="J841" s="30">
        <f>IF(I841="Fri","Ja","")</f>
        <v/>
      </c>
      <c r="K841" s="30">
        <f>IF(B841="","",IF(L841="","Ukjent tekniker",IF(ISNA(MATCH(C841,Aktiviteter,0)),"Ukjent aktivitet",IF(AND(INDEX(AktRolle,MATCH(C841,Aktiviteter,0))&amp;""&lt;&gt;"",ISERROR(SEARCH(INDEX(AktRolle,MATCH(C841,Aktiviteter,0))&amp;"",INDEX(TekRoller,MATCH(B841,Teknikere,0))))),"Mangler rollen "&amp;INDEX(AktRolle,MATCH(C841,Aktiviteter,0))&amp;"",IF(AND(C841="LMS",F841&gt;0,OR(D841="",E841="")),"Mangler maskin eller arbeid",IF(AND(OR(C841="LMS",C841="Mod"),D841&lt;&gt;""),IF(IFERROR(INDEX(MaskinStatus,MATCH(D841,Maskiner,0)),"")="I dokk","","Maskinen er ikke i dokk"),""))))))</f>
        <v/>
      </c>
      <c r="L841" s="2">
        <f>IF(B841="","",IFERROR(INT((MATCH(B841,Teknikere,0)-1)/18)+1,""))</f>
        <v/>
      </c>
      <c r="M841" s="2">
        <f>IF(OR(A841="",B841=""),"",B841&amp;"|"&amp;A841)</f>
        <v/>
      </c>
      <c r="N841" s="2">
        <f>IF(M841="","",SUMIFS(TF_Timer,TF_Nokkel,M841,TF_Akt,C841))</f>
        <v/>
      </c>
      <c r="O841" s="2">
        <f>IF(M841="","",IF(AND(N841=_xlfn.MAXIFS(TF_AktSum,TF_Nokkel,M841),COUNTIFS(M$3:M840,M841,N$3:N840,N841)=0),M841,""))</f>
        <v/>
      </c>
    </row>
    <row r="842">
      <c r="A842" s="34" t="n"/>
      <c r="B842" s="35" t="n"/>
      <c r="C842" s="35" t="n"/>
      <c r="D842" s="35" t="n"/>
      <c r="E842" s="35" t="n"/>
      <c r="F842" s="36" t="n"/>
      <c r="G842" s="35" t="n"/>
      <c r="H842" s="30">
        <f>IF(L842="","",INDEX(SkiftNavn,L842))</f>
        <v/>
      </c>
      <c r="I842" s="30">
        <f>IF(OR(A842="",L842=""),"",IF(MOD(A842-INDEX(SkiftStart,L842),Syklus)&lt;DagK,"Kveld",IF(MOD(A842-INDEX(SkiftStart,L842),Syklus)&lt;DagK+DagH,"Helg",IF(MOD(A842-INDEX(SkiftStart,L842),Syklus)&lt;DagK+DagH+DagD,"Dag","Fri"))))</f>
        <v/>
      </c>
      <c r="J842" s="30">
        <f>IF(I842="Fri","Ja","")</f>
        <v/>
      </c>
      <c r="K842" s="30">
        <f>IF(B842="","",IF(L842="","Ukjent tekniker",IF(ISNA(MATCH(C842,Aktiviteter,0)),"Ukjent aktivitet",IF(AND(INDEX(AktRolle,MATCH(C842,Aktiviteter,0))&amp;""&lt;&gt;"",ISERROR(SEARCH(INDEX(AktRolle,MATCH(C842,Aktiviteter,0))&amp;"",INDEX(TekRoller,MATCH(B842,Teknikere,0))))),"Mangler rollen "&amp;INDEX(AktRolle,MATCH(C842,Aktiviteter,0))&amp;"",IF(AND(C842="LMS",F842&gt;0,OR(D842="",E842="")),"Mangler maskin eller arbeid",IF(AND(OR(C842="LMS",C842="Mod"),D842&lt;&gt;""),IF(IFERROR(INDEX(MaskinStatus,MATCH(D842,Maskiner,0)),"")="I dokk","","Maskinen er ikke i dokk"),""))))))</f>
        <v/>
      </c>
      <c r="L842" s="2">
        <f>IF(B842="","",IFERROR(INT((MATCH(B842,Teknikere,0)-1)/18)+1,""))</f>
        <v/>
      </c>
      <c r="M842" s="2">
        <f>IF(OR(A842="",B842=""),"",B842&amp;"|"&amp;A842)</f>
        <v/>
      </c>
      <c r="N842" s="2">
        <f>IF(M842="","",SUMIFS(TF_Timer,TF_Nokkel,M842,TF_Akt,C842))</f>
        <v/>
      </c>
      <c r="O842" s="2">
        <f>IF(M842="","",IF(AND(N842=_xlfn.MAXIFS(TF_AktSum,TF_Nokkel,M842),COUNTIFS(M$3:M841,M842,N$3:N841,N842)=0),M842,""))</f>
        <v/>
      </c>
    </row>
    <row r="843">
      <c r="A843" s="34" t="n"/>
      <c r="B843" s="35" t="n"/>
      <c r="C843" s="35" t="n"/>
      <c r="D843" s="35" t="n"/>
      <c r="E843" s="35" t="n"/>
      <c r="F843" s="36" t="n"/>
      <c r="G843" s="35" t="n"/>
      <c r="H843" s="30">
        <f>IF(L843="","",INDEX(SkiftNavn,L843))</f>
        <v/>
      </c>
      <c r="I843" s="30">
        <f>IF(OR(A843="",L843=""),"",IF(MOD(A843-INDEX(SkiftStart,L843),Syklus)&lt;DagK,"Kveld",IF(MOD(A843-INDEX(SkiftStart,L843),Syklus)&lt;DagK+DagH,"Helg",IF(MOD(A843-INDEX(SkiftStart,L843),Syklus)&lt;DagK+DagH+DagD,"Dag","Fri"))))</f>
        <v/>
      </c>
      <c r="J843" s="30">
        <f>IF(I843="Fri","Ja","")</f>
        <v/>
      </c>
      <c r="K843" s="30">
        <f>IF(B843="","",IF(L843="","Ukjent tekniker",IF(ISNA(MATCH(C843,Aktiviteter,0)),"Ukjent aktivitet",IF(AND(INDEX(AktRolle,MATCH(C843,Aktiviteter,0))&amp;""&lt;&gt;"",ISERROR(SEARCH(INDEX(AktRolle,MATCH(C843,Aktiviteter,0))&amp;"",INDEX(TekRoller,MATCH(B843,Teknikere,0))))),"Mangler rollen "&amp;INDEX(AktRolle,MATCH(C843,Aktiviteter,0))&amp;"",IF(AND(C843="LMS",F843&gt;0,OR(D843="",E843="")),"Mangler maskin eller arbeid",IF(AND(OR(C843="LMS",C843="Mod"),D843&lt;&gt;""),IF(IFERROR(INDEX(MaskinStatus,MATCH(D843,Maskiner,0)),"")="I dokk","","Maskinen er ikke i dokk"),""))))))</f>
        <v/>
      </c>
      <c r="L843" s="2">
        <f>IF(B843="","",IFERROR(INT((MATCH(B843,Teknikere,0)-1)/18)+1,""))</f>
        <v/>
      </c>
      <c r="M843" s="2">
        <f>IF(OR(A843="",B843=""),"",B843&amp;"|"&amp;A843)</f>
        <v/>
      </c>
      <c r="N843" s="2">
        <f>IF(M843="","",SUMIFS(TF_Timer,TF_Nokkel,M843,TF_Akt,C843))</f>
        <v/>
      </c>
      <c r="O843" s="2">
        <f>IF(M843="","",IF(AND(N843=_xlfn.MAXIFS(TF_AktSum,TF_Nokkel,M843),COUNTIFS(M$3:M842,M843,N$3:N842,N843)=0),M843,""))</f>
        <v/>
      </c>
    </row>
    <row r="844">
      <c r="A844" s="34" t="n"/>
      <c r="B844" s="35" t="n"/>
      <c r="C844" s="35" t="n"/>
      <c r="D844" s="35" t="n"/>
      <c r="E844" s="35" t="n"/>
      <c r="F844" s="36" t="n"/>
      <c r="G844" s="35" t="n"/>
      <c r="H844" s="30">
        <f>IF(L844="","",INDEX(SkiftNavn,L844))</f>
        <v/>
      </c>
      <c r="I844" s="30">
        <f>IF(OR(A844="",L844=""),"",IF(MOD(A844-INDEX(SkiftStart,L844),Syklus)&lt;DagK,"Kveld",IF(MOD(A844-INDEX(SkiftStart,L844),Syklus)&lt;DagK+DagH,"Helg",IF(MOD(A844-INDEX(SkiftStart,L844),Syklus)&lt;DagK+DagH+DagD,"Dag","Fri"))))</f>
        <v/>
      </c>
      <c r="J844" s="30">
        <f>IF(I844="Fri","Ja","")</f>
        <v/>
      </c>
      <c r="K844" s="30">
        <f>IF(B844="","",IF(L844="","Ukjent tekniker",IF(ISNA(MATCH(C844,Aktiviteter,0)),"Ukjent aktivitet",IF(AND(INDEX(AktRolle,MATCH(C844,Aktiviteter,0))&amp;""&lt;&gt;"",ISERROR(SEARCH(INDEX(AktRolle,MATCH(C844,Aktiviteter,0))&amp;"",INDEX(TekRoller,MATCH(B844,Teknikere,0))))),"Mangler rollen "&amp;INDEX(AktRolle,MATCH(C844,Aktiviteter,0))&amp;"",IF(AND(C844="LMS",F844&gt;0,OR(D844="",E844="")),"Mangler maskin eller arbeid",IF(AND(OR(C844="LMS",C844="Mod"),D844&lt;&gt;""),IF(IFERROR(INDEX(MaskinStatus,MATCH(D844,Maskiner,0)),"")="I dokk","","Maskinen er ikke i dokk"),""))))))</f>
        <v/>
      </c>
      <c r="L844" s="2">
        <f>IF(B844="","",IFERROR(INT((MATCH(B844,Teknikere,0)-1)/18)+1,""))</f>
        <v/>
      </c>
      <c r="M844" s="2">
        <f>IF(OR(A844="",B844=""),"",B844&amp;"|"&amp;A844)</f>
        <v/>
      </c>
      <c r="N844" s="2">
        <f>IF(M844="","",SUMIFS(TF_Timer,TF_Nokkel,M844,TF_Akt,C844))</f>
        <v/>
      </c>
      <c r="O844" s="2">
        <f>IF(M844="","",IF(AND(N844=_xlfn.MAXIFS(TF_AktSum,TF_Nokkel,M844),COUNTIFS(M$3:M843,M844,N$3:N843,N844)=0),M844,""))</f>
        <v/>
      </c>
    </row>
    <row r="845">
      <c r="A845" s="34" t="n"/>
      <c r="B845" s="35" t="n"/>
      <c r="C845" s="35" t="n"/>
      <c r="D845" s="35" t="n"/>
      <c r="E845" s="35" t="n"/>
      <c r="F845" s="36" t="n"/>
      <c r="G845" s="35" t="n"/>
      <c r="H845" s="30">
        <f>IF(L845="","",INDEX(SkiftNavn,L845))</f>
        <v/>
      </c>
      <c r="I845" s="30">
        <f>IF(OR(A845="",L845=""),"",IF(MOD(A845-INDEX(SkiftStart,L845),Syklus)&lt;DagK,"Kveld",IF(MOD(A845-INDEX(SkiftStart,L845),Syklus)&lt;DagK+DagH,"Helg",IF(MOD(A845-INDEX(SkiftStart,L845),Syklus)&lt;DagK+DagH+DagD,"Dag","Fri"))))</f>
        <v/>
      </c>
      <c r="J845" s="30">
        <f>IF(I845="Fri","Ja","")</f>
        <v/>
      </c>
      <c r="K845" s="30">
        <f>IF(B845="","",IF(L845="","Ukjent tekniker",IF(ISNA(MATCH(C845,Aktiviteter,0)),"Ukjent aktivitet",IF(AND(INDEX(AktRolle,MATCH(C845,Aktiviteter,0))&amp;""&lt;&gt;"",ISERROR(SEARCH(INDEX(AktRolle,MATCH(C845,Aktiviteter,0))&amp;"",INDEX(TekRoller,MATCH(B845,Teknikere,0))))),"Mangler rollen "&amp;INDEX(AktRolle,MATCH(C845,Aktiviteter,0))&amp;"",IF(AND(C845="LMS",F845&gt;0,OR(D845="",E845="")),"Mangler maskin eller arbeid",IF(AND(OR(C845="LMS",C845="Mod"),D845&lt;&gt;""),IF(IFERROR(INDEX(MaskinStatus,MATCH(D845,Maskiner,0)),"")="I dokk","","Maskinen er ikke i dokk"),""))))))</f>
        <v/>
      </c>
      <c r="L845" s="2">
        <f>IF(B845="","",IFERROR(INT((MATCH(B845,Teknikere,0)-1)/18)+1,""))</f>
        <v/>
      </c>
      <c r="M845" s="2">
        <f>IF(OR(A845="",B845=""),"",B845&amp;"|"&amp;A845)</f>
        <v/>
      </c>
      <c r="N845" s="2">
        <f>IF(M845="","",SUMIFS(TF_Timer,TF_Nokkel,M845,TF_Akt,C845))</f>
        <v/>
      </c>
      <c r="O845" s="2">
        <f>IF(M845="","",IF(AND(N845=_xlfn.MAXIFS(TF_AktSum,TF_Nokkel,M845),COUNTIFS(M$3:M844,M845,N$3:N844,N845)=0),M845,""))</f>
        <v/>
      </c>
    </row>
    <row r="846">
      <c r="A846" s="34" t="n"/>
      <c r="B846" s="35" t="n"/>
      <c r="C846" s="35" t="n"/>
      <c r="D846" s="35" t="n"/>
      <c r="E846" s="35" t="n"/>
      <c r="F846" s="36" t="n"/>
      <c r="G846" s="35" t="n"/>
      <c r="H846" s="30">
        <f>IF(L846="","",INDEX(SkiftNavn,L846))</f>
        <v/>
      </c>
      <c r="I846" s="30">
        <f>IF(OR(A846="",L846=""),"",IF(MOD(A846-INDEX(SkiftStart,L846),Syklus)&lt;DagK,"Kveld",IF(MOD(A846-INDEX(SkiftStart,L846),Syklus)&lt;DagK+DagH,"Helg",IF(MOD(A846-INDEX(SkiftStart,L846),Syklus)&lt;DagK+DagH+DagD,"Dag","Fri"))))</f>
        <v/>
      </c>
      <c r="J846" s="30">
        <f>IF(I846="Fri","Ja","")</f>
        <v/>
      </c>
      <c r="K846" s="30">
        <f>IF(B846="","",IF(L846="","Ukjent tekniker",IF(ISNA(MATCH(C846,Aktiviteter,0)),"Ukjent aktivitet",IF(AND(INDEX(AktRolle,MATCH(C846,Aktiviteter,0))&amp;""&lt;&gt;"",ISERROR(SEARCH(INDEX(AktRolle,MATCH(C846,Aktiviteter,0))&amp;"",INDEX(TekRoller,MATCH(B846,Teknikere,0))))),"Mangler rollen "&amp;INDEX(AktRolle,MATCH(C846,Aktiviteter,0))&amp;"",IF(AND(C846="LMS",F846&gt;0,OR(D846="",E846="")),"Mangler maskin eller arbeid",IF(AND(OR(C846="LMS",C846="Mod"),D846&lt;&gt;""),IF(IFERROR(INDEX(MaskinStatus,MATCH(D846,Maskiner,0)),"")="I dokk","","Maskinen er ikke i dokk"),""))))))</f>
        <v/>
      </c>
      <c r="L846" s="2">
        <f>IF(B846="","",IFERROR(INT((MATCH(B846,Teknikere,0)-1)/18)+1,""))</f>
        <v/>
      </c>
      <c r="M846" s="2">
        <f>IF(OR(A846="",B846=""),"",B846&amp;"|"&amp;A846)</f>
        <v/>
      </c>
      <c r="N846" s="2">
        <f>IF(M846="","",SUMIFS(TF_Timer,TF_Nokkel,M846,TF_Akt,C846))</f>
        <v/>
      </c>
      <c r="O846" s="2">
        <f>IF(M846="","",IF(AND(N846=_xlfn.MAXIFS(TF_AktSum,TF_Nokkel,M846),COUNTIFS(M$3:M845,M846,N$3:N845,N846)=0),M846,""))</f>
        <v/>
      </c>
    </row>
    <row r="847">
      <c r="A847" s="34" t="n"/>
      <c r="B847" s="35" t="n"/>
      <c r="C847" s="35" t="n"/>
      <c r="D847" s="35" t="n"/>
      <c r="E847" s="35" t="n"/>
      <c r="F847" s="36" t="n"/>
      <c r="G847" s="35" t="n"/>
      <c r="H847" s="30">
        <f>IF(L847="","",INDEX(SkiftNavn,L847))</f>
        <v/>
      </c>
      <c r="I847" s="30">
        <f>IF(OR(A847="",L847=""),"",IF(MOD(A847-INDEX(SkiftStart,L847),Syklus)&lt;DagK,"Kveld",IF(MOD(A847-INDEX(SkiftStart,L847),Syklus)&lt;DagK+DagH,"Helg",IF(MOD(A847-INDEX(SkiftStart,L847),Syklus)&lt;DagK+DagH+DagD,"Dag","Fri"))))</f>
        <v/>
      </c>
      <c r="J847" s="30">
        <f>IF(I847="Fri","Ja","")</f>
        <v/>
      </c>
      <c r="K847" s="30">
        <f>IF(B847="","",IF(L847="","Ukjent tekniker",IF(ISNA(MATCH(C847,Aktiviteter,0)),"Ukjent aktivitet",IF(AND(INDEX(AktRolle,MATCH(C847,Aktiviteter,0))&amp;""&lt;&gt;"",ISERROR(SEARCH(INDEX(AktRolle,MATCH(C847,Aktiviteter,0))&amp;"",INDEX(TekRoller,MATCH(B847,Teknikere,0))))),"Mangler rollen "&amp;INDEX(AktRolle,MATCH(C847,Aktiviteter,0))&amp;"",IF(AND(C847="LMS",F847&gt;0,OR(D847="",E847="")),"Mangler maskin eller arbeid",IF(AND(OR(C847="LMS",C847="Mod"),D847&lt;&gt;""),IF(IFERROR(INDEX(MaskinStatus,MATCH(D847,Maskiner,0)),"")="I dokk","","Maskinen er ikke i dokk"),""))))))</f>
        <v/>
      </c>
      <c r="L847" s="2">
        <f>IF(B847="","",IFERROR(INT((MATCH(B847,Teknikere,0)-1)/18)+1,""))</f>
        <v/>
      </c>
      <c r="M847" s="2">
        <f>IF(OR(A847="",B847=""),"",B847&amp;"|"&amp;A847)</f>
        <v/>
      </c>
      <c r="N847" s="2">
        <f>IF(M847="","",SUMIFS(TF_Timer,TF_Nokkel,M847,TF_Akt,C847))</f>
        <v/>
      </c>
      <c r="O847" s="2">
        <f>IF(M847="","",IF(AND(N847=_xlfn.MAXIFS(TF_AktSum,TF_Nokkel,M847),COUNTIFS(M$3:M846,M847,N$3:N846,N847)=0),M847,""))</f>
        <v/>
      </c>
    </row>
    <row r="848">
      <c r="A848" s="34" t="n"/>
      <c r="B848" s="35" t="n"/>
      <c r="C848" s="35" t="n"/>
      <c r="D848" s="35" t="n"/>
      <c r="E848" s="35" t="n"/>
      <c r="F848" s="36" t="n"/>
      <c r="G848" s="35" t="n"/>
      <c r="H848" s="30">
        <f>IF(L848="","",INDEX(SkiftNavn,L848))</f>
        <v/>
      </c>
      <c r="I848" s="30">
        <f>IF(OR(A848="",L848=""),"",IF(MOD(A848-INDEX(SkiftStart,L848),Syklus)&lt;DagK,"Kveld",IF(MOD(A848-INDEX(SkiftStart,L848),Syklus)&lt;DagK+DagH,"Helg",IF(MOD(A848-INDEX(SkiftStart,L848),Syklus)&lt;DagK+DagH+DagD,"Dag","Fri"))))</f>
        <v/>
      </c>
      <c r="J848" s="30">
        <f>IF(I848="Fri","Ja","")</f>
        <v/>
      </c>
      <c r="K848" s="30">
        <f>IF(B848="","",IF(L848="","Ukjent tekniker",IF(ISNA(MATCH(C848,Aktiviteter,0)),"Ukjent aktivitet",IF(AND(INDEX(AktRolle,MATCH(C848,Aktiviteter,0))&amp;""&lt;&gt;"",ISERROR(SEARCH(INDEX(AktRolle,MATCH(C848,Aktiviteter,0))&amp;"",INDEX(TekRoller,MATCH(B848,Teknikere,0))))),"Mangler rollen "&amp;INDEX(AktRolle,MATCH(C848,Aktiviteter,0))&amp;"",IF(AND(C848="LMS",F848&gt;0,OR(D848="",E848="")),"Mangler maskin eller arbeid",IF(AND(OR(C848="LMS",C848="Mod"),D848&lt;&gt;""),IF(IFERROR(INDEX(MaskinStatus,MATCH(D848,Maskiner,0)),"")="I dokk","","Maskinen er ikke i dokk"),""))))))</f>
        <v/>
      </c>
      <c r="L848" s="2">
        <f>IF(B848="","",IFERROR(INT((MATCH(B848,Teknikere,0)-1)/18)+1,""))</f>
        <v/>
      </c>
      <c r="M848" s="2">
        <f>IF(OR(A848="",B848=""),"",B848&amp;"|"&amp;A848)</f>
        <v/>
      </c>
      <c r="N848" s="2">
        <f>IF(M848="","",SUMIFS(TF_Timer,TF_Nokkel,M848,TF_Akt,C848))</f>
        <v/>
      </c>
      <c r="O848" s="2">
        <f>IF(M848="","",IF(AND(N848=_xlfn.MAXIFS(TF_AktSum,TF_Nokkel,M848),COUNTIFS(M$3:M847,M848,N$3:N847,N848)=0),M848,""))</f>
        <v/>
      </c>
    </row>
    <row r="849">
      <c r="A849" s="34" t="n"/>
      <c r="B849" s="35" t="n"/>
      <c r="C849" s="35" t="n"/>
      <c r="D849" s="35" t="n"/>
      <c r="E849" s="35" t="n"/>
      <c r="F849" s="36" t="n"/>
      <c r="G849" s="35" t="n"/>
      <c r="H849" s="30">
        <f>IF(L849="","",INDEX(SkiftNavn,L849))</f>
        <v/>
      </c>
      <c r="I849" s="30">
        <f>IF(OR(A849="",L849=""),"",IF(MOD(A849-INDEX(SkiftStart,L849),Syklus)&lt;DagK,"Kveld",IF(MOD(A849-INDEX(SkiftStart,L849),Syklus)&lt;DagK+DagH,"Helg",IF(MOD(A849-INDEX(SkiftStart,L849),Syklus)&lt;DagK+DagH+DagD,"Dag","Fri"))))</f>
        <v/>
      </c>
      <c r="J849" s="30">
        <f>IF(I849="Fri","Ja","")</f>
        <v/>
      </c>
      <c r="K849" s="30">
        <f>IF(B849="","",IF(L849="","Ukjent tekniker",IF(ISNA(MATCH(C849,Aktiviteter,0)),"Ukjent aktivitet",IF(AND(INDEX(AktRolle,MATCH(C849,Aktiviteter,0))&amp;""&lt;&gt;"",ISERROR(SEARCH(INDEX(AktRolle,MATCH(C849,Aktiviteter,0))&amp;"",INDEX(TekRoller,MATCH(B849,Teknikere,0))))),"Mangler rollen "&amp;INDEX(AktRolle,MATCH(C849,Aktiviteter,0))&amp;"",IF(AND(C849="LMS",F849&gt;0,OR(D849="",E849="")),"Mangler maskin eller arbeid",IF(AND(OR(C849="LMS",C849="Mod"),D849&lt;&gt;""),IF(IFERROR(INDEX(MaskinStatus,MATCH(D849,Maskiner,0)),"")="I dokk","","Maskinen er ikke i dokk"),""))))))</f>
        <v/>
      </c>
      <c r="L849" s="2">
        <f>IF(B849="","",IFERROR(INT((MATCH(B849,Teknikere,0)-1)/18)+1,""))</f>
        <v/>
      </c>
      <c r="M849" s="2">
        <f>IF(OR(A849="",B849=""),"",B849&amp;"|"&amp;A849)</f>
        <v/>
      </c>
      <c r="N849" s="2">
        <f>IF(M849="","",SUMIFS(TF_Timer,TF_Nokkel,M849,TF_Akt,C849))</f>
        <v/>
      </c>
      <c r="O849" s="2">
        <f>IF(M849="","",IF(AND(N849=_xlfn.MAXIFS(TF_AktSum,TF_Nokkel,M849),COUNTIFS(M$3:M848,M849,N$3:N848,N849)=0),M849,""))</f>
        <v/>
      </c>
    </row>
    <row r="850">
      <c r="A850" s="34" t="n"/>
      <c r="B850" s="35" t="n"/>
      <c r="C850" s="35" t="n"/>
      <c r="D850" s="35" t="n"/>
      <c r="E850" s="35" t="n"/>
      <c r="F850" s="36" t="n"/>
      <c r="G850" s="35" t="n"/>
      <c r="H850" s="30">
        <f>IF(L850="","",INDEX(SkiftNavn,L850))</f>
        <v/>
      </c>
      <c r="I850" s="30">
        <f>IF(OR(A850="",L850=""),"",IF(MOD(A850-INDEX(SkiftStart,L850),Syklus)&lt;DagK,"Kveld",IF(MOD(A850-INDEX(SkiftStart,L850),Syklus)&lt;DagK+DagH,"Helg",IF(MOD(A850-INDEX(SkiftStart,L850),Syklus)&lt;DagK+DagH+DagD,"Dag","Fri"))))</f>
        <v/>
      </c>
      <c r="J850" s="30">
        <f>IF(I850="Fri","Ja","")</f>
        <v/>
      </c>
      <c r="K850" s="30">
        <f>IF(B850="","",IF(L850="","Ukjent tekniker",IF(ISNA(MATCH(C850,Aktiviteter,0)),"Ukjent aktivitet",IF(AND(INDEX(AktRolle,MATCH(C850,Aktiviteter,0))&amp;""&lt;&gt;"",ISERROR(SEARCH(INDEX(AktRolle,MATCH(C850,Aktiviteter,0))&amp;"",INDEX(TekRoller,MATCH(B850,Teknikere,0))))),"Mangler rollen "&amp;INDEX(AktRolle,MATCH(C850,Aktiviteter,0))&amp;"",IF(AND(C850="LMS",F850&gt;0,OR(D850="",E850="")),"Mangler maskin eller arbeid",IF(AND(OR(C850="LMS",C850="Mod"),D850&lt;&gt;""),IF(IFERROR(INDEX(MaskinStatus,MATCH(D850,Maskiner,0)),"")="I dokk","","Maskinen er ikke i dokk"),""))))))</f>
        <v/>
      </c>
      <c r="L850" s="2">
        <f>IF(B850="","",IFERROR(INT((MATCH(B850,Teknikere,0)-1)/18)+1,""))</f>
        <v/>
      </c>
      <c r="M850" s="2">
        <f>IF(OR(A850="",B850=""),"",B850&amp;"|"&amp;A850)</f>
        <v/>
      </c>
      <c r="N850" s="2">
        <f>IF(M850="","",SUMIFS(TF_Timer,TF_Nokkel,M850,TF_Akt,C850))</f>
        <v/>
      </c>
      <c r="O850" s="2">
        <f>IF(M850="","",IF(AND(N850=_xlfn.MAXIFS(TF_AktSum,TF_Nokkel,M850),COUNTIFS(M$3:M849,M850,N$3:N849,N850)=0),M850,""))</f>
        <v/>
      </c>
    </row>
    <row r="851">
      <c r="A851" s="34" t="n"/>
      <c r="B851" s="35" t="n"/>
      <c r="C851" s="35" t="n"/>
      <c r="D851" s="35" t="n"/>
      <c r="E851" s="35" t="n"/>
      <c r="F851" s="36" t="n"/>
      <c r="G851" s="35" t="n"/>
      <c r="H851" s="30">
        <f>IF(L851="","",INDEX(SkiftNavn,L851))</f>
        <v/>
      </c>
      <c r="I851" s="30">
        <f>IF(OR(A851="",L851=""),"",IF(MOD(A851-INDEX(SkiftStart,L851),Syklus)&lt;DagK,"Kveld",IF(MOD(A851-INDEX(SkiftStart,L851),Syklus)&lt;DagK+DagH,"Helg",IF(MOD(A851-INDEX(SkiftStart,L851),Syklus)&lt;DagK+DagH+DagD,"Dag","Fri"))))</f>
        <v/>
      </c>
      <c r="J851" s="30">
        <f>IF(I851="Fri","Ja","")</f>
        <v/>
      </c>
      <c r="K851" s="30">
        <f>IF(B851="","",IF(L851="","Ukjent tekniker",IF(ISNA(MATCH(C851,Aktiviteter,0)),"Ukjent aktivitet",IF(AND(INDEX(AktRolle,MATCH(C851,Aktiviteter,0))&amp;""&lt;&gt;"",ISERROR(SEARCH(INDEX(AktRolle,MATCH(C851,Aktiviteter,0))&amp;"",INDEX(TekRoller,MATCH(B851,Teknikere,0))))),"Mangler rollen "&amp;INDEX(AktRolle,MATCH(C851,Aktiviteter,0))&amp;"",IF(AND(C851="LMS",F851&gt;0,OR(D851="",E851="")),"Mangler maskin eller arbeid",IF(AND(OR(C851="LMS",C851="Mod"),D851&lt;&gt;""),IF(IFERROR(INDEX(MaskinStatus,MATCH(D851,Maskiner,0)),"")="I dokk","","Maskinen er ikke i dokk"),""))))))</f>
        <v/>
      </c>
      <c r="L851" s="2">
        <f>IF(B851="","",IFERROR(INT((MATCH(B851,Teknikere,0)-1)/18)+1,""))</f>
        <v/>
      </c>
      <c r="M851" s="2">
        <f>IF(OR(A851="",B851=""),"",B851&amp;"|"&amp;A851)</f>
        <v/>
      </c>
      <c r="N851" s="2">
        <f>IF(M851="","",SUMIFS(TF_Timer,TF_Nokkel,M851,TF_Akt,C851))</f>
        <v/>
      </c>
      <c r="O851" s="2">
        <f>IF(M851="","",IF(AND(N851=_xlfn.MAXIFS(TF_AktSum,TF_Nokkel,M851),COUNTIFS(M$3:M850,M851,N$3:N850,N851)=0),M851,""))</f>
        <v/>
      </c>
    </row>
    <row r="852">
      <c r="A852" s="34" t="n"/>
      <c r="B852" s="35" t="n"/>
      <c r="C852" s="35" t="n"/>
      <c r="D852" s="35" t="n"/>
      <c r="E852" s="35" t="n"/>
      <c r="F852" s="36" t="n"/>
      <c r="G852" s="35" t="n"/>
      <c r="H852" s="30">
        <f>IF(L852="","",INDEX(SkiftNavn,L852))</f>
        <v/>
      </c>
      <c r="I852" s="30">
        <f>IF(OR(A852="",L852=""),"",IF(MOD(A852-INDEX(SkiftStart,L852),Syklus)&lt;DagK,"Kveld",IF(MOD(A852-INDEX(SkiftStart,L852),Syklus)&lt;DagK+DagH,"Helg",IF(MOD(A852-INDEX(SkiftStart,L852),Syklus)&lt;DagK+DagH+DagD,"Dag","Fri"))))</f>
        <v/>
      </c>
      <c r="J852" s="30">
        <f>IF(I852="Fri","Ja","")</f>
        <v/>
      </c>
      <c r="K852" s="30">
        <f>IF(B852="","",IF(L852="","Ukjent tekniker",IF(ISNA(MATCH(C852,Aktiviteter,0)),"Ukjent aktivitet",IF(AND(INDEX(AktRolle,MATCH(C852,Aktiviteter,0))&amp;""&lt;&gt;"",ISERROR(SEARCH(INDEX(AktRolle,MATCH(C852,Aktiviteter,0))&amp;"",INDEX(TekRoller,MATCH(B852,Teknikere,0))))),"Mangler rollen "&amp;INDEX(AktRolle,MATCH(C852,Aktiviteter,0))&amp;"",IF(AND(C852="LMS",F852&gt;0,OR(D852="",E852="")),"Mangler maskin eller arbeid",IF(AND(OR(C852="LMS",C852="Mod"),D852&lt;&gt;""),IF(IFERROR(INDEX(MaskinStatus,MATCH(D852,Maskiner,0)),"")="I dokk","","Maskinen er ikke i dokk"),""))))))</f>
        <v/>
      </c>
      <c r="L852" s="2">
        <f>IF(B852="","",IFERROR(INT((MATCH(B852,Teknikere,0)-1)/18)+1,""))</f>
        <v/>
      </c>
      <c r="M852" s="2">
        <f>IF(OR(A852="",B852=""),"",B852&amp;"|"&amp;A852)</f>
        <v/>
      </c>
      <c r="N852" s="2">
        <f>IF(M852="","",SUMIFS(TF_Timer,TF_Nokkel,M852,TF_Akt,C852))</f>
        <v/>
      </c>
      <c r="O852" s="2">
        <f>IF(M852="","",IF(AND(N852=_xlfn.MAXIFS(TF_AktSum,TF_Nokkel,M852),COUNTIFS(M$3:M851,M852,N$3:N851,N852)=0),M852,""))</f>
        <v/>
      </c>
    </row>
    <row r="853">
      <c r="A853" s="34" t="n"/>
      <c r="B853" s="35" t="n"/>
      <c r="C853" s="35" t="n"/>
      <c r="D853" s="35" t="n"/>
      <c r="E853" s="35" t="n"/>
      <c r="F853" s="36" t="n"/>
      <c r="G853" s="35" t="n"/>
      <c r="H853" s="30">
        <f>IF(L853="","",INDEX(SkiftNavn,L853))</f>
        <v/>
      </c>
      <c r="I853" s="30">
        <f>IF(OR(A853="",L853=""),"",IF(MOD(A853-INDEX(SkiftStart,L853),Syklus)&lt;DagK,"Kveld",IF(MOD(A853-INDEX(SkiftStart,L853),Syklus)&lt;DagK+DagH,"Helg",IF(MOD(A853-INDEX(SkiftStart,L853),Syklus)&lt;DagK+DagH+DagD,"Dag","Fri"))))</f>
        <v/>
      </c>
      <c r="J853" s="30">
        <f>IF(I853="Fri","Ja","")</f>
        <v/>
      </c>
      <c r="K853" s="30">
        <f>IF(B853="","",IF(L853="","Ukjent tekniker",IF(ISNA(MATCH(C853,Aktiviteter,0)),"Ukjent aktivitet",IF(AND(INDEX(AktRolle,MATCH(C853,Aktiviteter,0))&amp;""&lt;&gt;"",ISERROR(SEARCH(INDEX(AktRolle,MATCH(C853,Aktiviteter,0))&amp;"",INDEX(TekRoller,MATCH(B853,Teknikere,0))))),"Mangler rollen "&amp;INDEX(AktRolle,MATCH(C853,Aktiviteter,0))&amp;"",IF(AND(C853="LMS",F853&gt;0,OR(D853="",E853="")),"Mangler maskin eller arbeid",IF(AND(OR(C853="LMS",C853="Mod"),D853&lt;&gt;""),IF(IFERROR(INDEX(MaskinStatus,MATCH(D853,Maskiner,0)),"")="I dokk","","Maskinen er ikke i dokk"),""))))))</f>
        <v/>
      </c>
      <c r="L853" s="2">
        <f>IF(B853="","",IFERROR(INT((MATCH(B853,Teknikere,0)-1)/18)+1,""))</f>
        <v/>
      </c>
      <c r="M853" s="2">
        <f>IF(OR(A853="",B853=""),"",B853&amp;"|"&amp;A853)</f>
        <v/>
      </c>
      <c r="N853" s="2">
        <f>IF(M853="","",SUMIFS(TF_Timer,TF_Nokkel,M853,TF_Akt,C853))</f>
        <v/>
      </c>
      <c r="O853" s="2">
        <f>IF(M853="","",IF(AND(N853=_xlfn.MAXIFS(TF_AktSum,TF_Nokkel,M853),COUNTIFS(M$3:M852,M853,N$3:N852,N853)=0),M853,""))</f>
        <v/>
      </c>
    </row>
    <row r="854">
      <c r="A854" s="34" t="n"/>
      <c r="B854" s="35" t="n"/>
      <c r="C854" s="35" t="n"/>
      <c r="D854" s="35" t="n"/>
      <c r="E854" s="35" t="n"/>
      <c r="F854" s="36" t="n"/>
      <c r="G854" s="35" t="n"/>
      <c r="H854" s="30">
        <f>IF(L854="","",INDEX(SkiftNavn,L854))</f>
        <v/>
      </c>
      <c r="I854" s="30">
        <f>IF(OR(A854="",L854=""),"",IF(MOD(A854-INDEX(SkiftStart,L854),Syklus)&lt;DagK,"Kveld",IF(MOD(A854-INDEX(SkiftStart,L854),Syklus)&lt;DagK+DagH,"Helg",IF(MOD(A854-INDEX(SkiftStart,L854),Syklus)&lt;DagK+DagH+DagD,"Dag","Fri"))))</f>
        <v/>
      </c>
      <c r="J854" s="30">
        <f>IF(I854="Fri","Ja","")</f>
        <v/>
      </c>
      <c r="K854" s="30">
        <f>IF(B854="","",IF(L854="","Ukjent tekniker",IF(ISNA(MATCH(C854,Aktiviteter,0)),"Ukjent aktivitet",IF(AND(INDEX(AktRolle,MATCH(C854,Aktiviteter,0))&amp;""&lt;&gt;"",ISERROR(SEARCH(INDEX(AktRolle,MATCH(C854,Aktiviteter,0))&amp;"",INDEX(TekRoller,MATCH(B854,Teknikere,0))))),"Mangler rollen "&amp;INDEX(AktRolle,MATCH(C854,Aktiviteter,0))&amp;"",IF(AND(C854="LMS",F854&gt;0,OR(D854="",E854="")),"Mangler maskin eller arbeid",IF(AND(OR(C854="LMS",C854="Mod"),D854&lt;&gt;""),IF(IFERROR(INDEX(MaskinStatus,MATCH(D854,Maskiner,0)),"")="I dokk","","Maskinen er ikke i dokk"),""))))))</f>
        <v/>
      </c>
      <c r="L854" s="2">
        <f>IF(B854="","",IFERROR(INT((MATCH(B854,Teknikere,0)-1)/18)+1,""))</f>
        <v/>
      </c>
      <c r="M854" s="2">
        <f>IF(OR(A854="",B854=""),"",B854&amp;"|"&amp;A854)</f>
        <v/>
      </c>
      <c r="N854" s="2">
        <f>IF(M854="","",SUMIFS(TF_Timer,TF_Nokkel,M854,TF_Akt,C854))</f>
        <v/>
      </c>
      <c r="O854" s="2">
        <f>IF(M854="","",IF(AND(N854=_xlfn.MAXIFS(TF_AktSum,TF_Nokkel,M854),COUNTIFS(M$3:M853,M854,N$3:N853,N854)=0),M854,""))</f>
        <v/>
      </c>
    </row>
    <row r="855">
      <c r="A855" s="34" t="n"/>
      <c r="B855" s="35" t="n"/>
      <c r="C855" s="35" t="n"/>
      <c r="D855" s="35" t="n"/>
      <c r="E855" s="35" t="n"/>
      <c r="F855" s="36" t="n"/>
      <c r="G855" s="35" t="n"/>
      <c r="H855" s="30">
        <f>IF(L855="","",INDEX(SkiftNavn,L855))</f>
        <v/>
      </c>
      <c r="I855" s="30">
        <f>IF(OR(A855="",L855=""),"",IF(MOD(A855-INDEX(SkiftStart,L855),Syklus)&lt;DagK,"Kveld",IF(MOD(A855-INDEX(SkiftStart,L855),Syklus)&lt;DagK+DagH,"Helg",IF(MOD(A855-INDEX(SkiftStart,L855),Syklus)&lt;DagK+DagH+DagD,"Dag","Fri"))))</f>
        <v/>
      </c>
      <c r="J855" s="30">
        <f>IF(I855="Fri","Ja","")</f>
        <v/>
      </c>
      <c r="K855" s="30">
        <f>IF(B855="","",IF(L855="","Ukjent tekniker",IF(ISNA(MATCH(C855,Aktiviteter,0)),"Ukjent aktivitet",IF(AND(INDEX(AktRolle,MATCH(C855,Aktiviteter,0))&amp;""&lt;&gt;"",ISERROR(SEARCH(INDEX(AktRolle,MATCH(C855,Aktiviteter,0))&amp;"",INDEX(TekRoller,MATCH(B855,Teknikere,0))))),"Mangler rollen "&amp;INDEX(AktRolle,MATCH(C855,Aktiviteter,0))&amp;"",IF(AND(C855="LMS",F855&gt;0,OR(D855="",E855="")),"Mangler maskin eller arbeid",IF(AND(OR(C855="LMS",C855="Mod"),D855&lt;&gt;""),IF(IFERROR(INDEX(MaskinStatus,MATCH(D855,Maskiner,0)),"")="I dokk","","Maskinen er ikke i dokk"),""))))))</f>
        <v/>
      </c>
      <c r="L855" s="2">
        <f>IF(B855="","",IFERROR(INT((MATCH(B855,Teknikere,0)-1)/18)+1,""))</f>
        <v/>
      </c>
      <c r="M855" s="2">
        <f>IF(OR(A855="",B855=""),"",B855&amp;"|"&amp;A855)</f>
        <v/>
      </c>
      <c r="N855" s="2">
        <f>IF(M855="","",SUMIFS(TF_Timer,TF_Nokkel,M855,TF_Akt,C855))</f>
        <v/>
      </c>
      <c r="O855" s="2">
        <f>IF(M855="","",IF(AND(N855=_xlfn.MAXIFS(TF_AktSum,TF_Nokkel,M855),COUNTIFS(M$3:M854,M855,N$3:N854,N855)=0),M855,""))</f>
        <v/>
      </c>
    </row>
    <row r="856">
      <c r="A856" s="34" t="n"/>
      <c r="B856" s="35" t="n"/>
      <c r="C856" s="35" t="n"/>
      <c r="D856" s="35" t="n"/>
      <c r="E856" s="35" t="n"/>
      <c r="F856" s="36" t="n"/>
      <c r="G856" s="35" t="n"/>
      <c r="H856" s="30">
        <f>IF(L856="","",INDEX(SkiftNavn,L856))</f>
        <v/>
      </c>
      <c r="I856" s="30">
        <f>IF(OR(A856="",L856=""),"",IF(MOD(A856-INDEX(SkiftStart,L856),Syklus)&lt;DagK,"Kveld",IF(MOD(A856-INDEX(SkiftStart,L856),Syklus)&lt;DagK+DagH,"Helg",IF(MOD(A856-INDEX(SkiftStart,L856),Syklus)&lt;DagK+DagH+DagD,"Dag","Fri"))))</f>
        <v/>
      </c>
      <c r="J856" s="30">
        <f>IF(I856="Fri","Ja","")</f>
        <v/>
      </c>
      <c r="K856" s="30">
        <f>IF(B856="","",IF(L856="","Ukjent tekniker",IF(ISNA(MATCH(C856,Aktiviteter,0)),"Ukjent aktivitet",IF(AND(INDEX(AktRolle,MATCH(C856,Aktiviteter,0))&amp;""&lt;&gt;"",ISERROR(SEARCH(INDEX(AktRolle,MATCH(C856,Aktiviteter,0))&amp;"",INDEX(TekRoller,MATCH(B856,Teknikere,0))))),"Mangler rollen "&amp;INDEX(AktRolle,MATCH(C856,Aktiviteter,0))&amp;"",IF(AND(C856="LMS",F856&gt;0,OR(D856="",E856="")),"Mangler maskin eller arbeid",IF(AND(OR(C856="LMS",C856="Mod"),D856&lt;&gt;""),IF(IFERROR(INDEX(MaskinStatus,MATCH(D856,Maskiner,0)),"")="I dokk","","Maskinen er ikke i dokk"),""))))))</f>
        <v/>
      </c>
      <c r="L856" s="2">
        <f>IF(B856="","",IFERROR(INT((MATCH(B856,Teknikere,0)-1)/18)+1,""))</f>
        <v/>
      </c>
      <c r="M856" s="2">
        <f>IF(OR(A856="",B856=""),"",B856&amp;"|"&amp;A856)</f>
        <v/>
      </c>
      <c r="N856" s="2">
        <f>IF(M856="","",SUMIFS(TF_Timer,TF_Nokkel,M856,TF_Akt,C856))</f>
        <v/>
      </c>
      <c r="O856" s="2">
        <f>IF(M856="","",IF(AND(N856=_xlfn.MAXIFS(TF_AktSum,TF_Nokkel,M856),COUNTIFS(M$3:M855,M856,N$3:N855,N856)=0),M856,""))</f>
        <v/>
      </c>
    </row>
    <row r="857">
      <c r="A857" s="34" t="n"/>
      <c r="B857" s="35" t="n"/>
      <c r="C857" s="35" t="n"/>
      <c r="D857" s="35" t="n"/>
      <c r="E857" s="35" t="n"/>
      <c r="F857" s="36" t="n"/>
      <c r="G857" s="35" t="n"/>
      <c r="H857" s="30">
        <f>IF(L857="","",INDEX(SkiftNavn,L857))</f>
        <v/>
      </c>
      <c r="I857" s="30">
        <f>IF(OR(A857="",L857=""),"",IF(MOD(A857-INDEX(SkiftStart,L857),Syklus)&lt;DagK,"Kveld",IF(MOD(A857-INDEX(SkiftStart,L857),Syklus)&lt;DagK+DagH,"Helg",IF(MOD(A857-INDEX(SkiftStart,L857),Syklus)&lt;DagK+DagH+DagD,"Dag","Fri"))))</f>
        <v/>
      </c>
      <c r="J857" s="30">
        <f>IF(I857="Fri","Ja","")</f>
        <v/>
      </c>
      <c r="K857" s="30">
        <f>IF(B857="","",IF(L857="","Ukjent tekniker",IF(ISNA(MATCH(C857,Aktiviteter,0)),"Ukjent aktivitet",IF(AND(INDEX(AktRolle,MATCH(C857,Aktiviteter,0))&amp;""&lt;&gt;"",ISERROR(SEARCH(INDEX(AktRolle,MATCH(C857,Aktiviteter,0))&amp;"",INDEX(TekRoller,MATCH(B857,Teknikere,0))))),"Mangler rollen "&amp;INDEX(AktRolle,MATCH(C857,Aktiviteter,0))&amp;"",IF(AND(C857="LMS",F857&gt;0,OR(D857="",E857="")),"Mangler maskin eller arbeid",IF(AND(OR(C857="LMS",C857="Mod"),D857&lt;&gt;""),IF(IFERROR(INDEX(MaskinStatus,MATCH(D857,Maskiner,0)),"")="I dokk","","Maskinen er ikke i dokk"),""))))))</f>
        <v/>
      </c>
      <c r="L857" s="2">
        <f>IF(B857="","",IFERROR(INT((MATCH(B857,Teknikere,0)-1)/18)+1,""))</f>
        <v/>
      </c>
      <c r="M857" s="2">
        <f>IF(OR(A857="",B857=""),"",B857&amp;"|"&amp;A857)</f>
        <v/>
      </c>
      <c r="N857" s="2">
        <f>IF(M857="","",SUMIFS(TF_Timer,TF_Nokkel,M857,TF_Akt,C857))</f>
        <v/>
      </c>
      <c r="O857" s="2">
        <f>IF(M857="","",IF(AND(N857=_xlfn.MAXIFS(TF_AktSum,TF_Nokkel,M857),COUNTIFS(M$3:M856,M857,N$3:N856,N857)=0),M857,""))</f>
        <v/>
      </c>
    </row>
    <row r="858">
      <c r="A858" s="34" t="n"/>
      <c r="B858" s="35" t="n"/>
      <c r="C858" s="35" t="n"/>
      <c r="D858" s="35" t="n"/>
      <c r="E858" s="35" t="n"/>
      <c r="F858" s="36" t="n"/>
      <c r="G858" s="35" t="n"/>
      <c r="H858" s="30">
        <f>IF(L858="","",INDEX(SkiftNavn,L858))</f>
        <v/>
      </c>
      <c r="I858" s="30">
        <f>IF(OR(A858="",L858=""),"",IF(MOD(A858-INDEX(SkiftStart,L858),Syklus)&lt;DagK,"Kveld",IF(MOD(A858-INDEX(SkiftStart,L858),Syklus)&lt;DagK+DagH,"Helg",IF(MOD(A858-INDEX(SkiftStart,L858),Syklus)&lt;DagK+DagH+DagD,"Dag","Fri"))))</f>
        <v/>
      </c>
      <c r="J858" s="30">
        <f>IF(I858="Fri","Ja","")</f>
        <v/>
      </c>
      <c r="K858" s="30">
        <f>IF(B858="","",IF(L858="","Ukjent tekniker",IF(ISNA(MATCH(C858,Aktiviteter,0)),"Ukjent aktivitet",IF(AND(INDEX(AktRolle,MATCH(C858,Aktiviteter,0))&amp;""&lt;&gt;"",ISERROR(SEARCH(INDEX(AktRolle,MATCH(C858,Aktiviteter,0))&amp;"",INDEX(TekRoller,MATCH(B858,Teknikere,0))))),"Mangler rollen "&amp;INDEX(AktRolle,MATCH(C858,Aktiviteter,0))&amp;"",IF(AND(C858="LMS",F858&gt;0,OR(D858="",E858="")),"Mangler maskin eller arbeid",IF(AND(OR(C858="LMS",C858="Mod"),D858&lt;&gt;""),IF(IFERROR(INDEX(MaskinStatus,MATCH(D858,Maskiner,0)),"")="I dokk","","Maskinen er ikke i dokk"),""))))))</f>
        <v/>
      </c>
      <c r="L858" s="2">
        <f>IF(B858="","",IFERROR(INT((MATCH(B858,Teknikere,0)-1)/18)+1,""))</f>
        <v/>
      </c>
      <c r="M858" s="2">
        <f>IF(OR(A858="",B858=""),"",B858&amp;"|"&amp;A858)</f>
        <v/>
      </c>
      <c r="N858" s="2">
        <f>IF(M858="","",SUMIFS(TF_Timer,TF_Nokkel,M858,TF_Akt,C858))</f>
        <v/>
      </c>
      <c r="O858" s="2">
        <f>IF(M858="","",IF(AND(N858=_xlfn.MAXIFS(TF_AktSum,TF_Nokkel,M858),COUNTIFS(M$3:M857,M858,N$3:N857,N858)=0),M858,""))</f>
        <v/>
      </c>
    </row>
    <row r="859">
      <c r="A859" s="34" t="n"/>
      <c r="B859" s="35" t="n"/>
      <c r="C859" s="35" t="n"/>
      <c r="D859" s="35" t="n"/>
      <c r="E859" s="35" t="n"/>
      <c r="F859" s="36" t="n"/>
      <c r="G859" s="35" t="n"/>
      <c r="H859" s="30">
        <f>IF(L859="","",INDEX(SkiftNavn,L859))</f>
        <v/>
      </c>
      <c r="I859" s="30">
        <f>IF(OR(A859="",L859=""),"",IF(MOD(A859-INDEX(SkiftStart,L859),Syklus)&lt;DagK,"Kveld",IF(MOD(A859-INDEX(SkiftStart,L859),Syklus)&lt;DagK+DagH,"Helg",IF(MOD(A859-INDEX(SkiftStart,L859),Syklus)&lt;DagK+DagH+DagD,"Dag","Fri"))))</f>
        <v/>
      </c>
      <c r="J859" s="30">
        <f>IF(I859="Fri","Ja","")</f>
        <v/>
      </c>
      <c r="K859" s="30">
        <f>IF(B859="","",IF(L859="","Ukjent tekniker",IF(ISNA(MATCH(C859,Aktiviteter,0)),"Ukjent aktivitet",IF(AND(INDEX(AktRolle,MATCH(C859,Aktiviteter,0))&amp;""&lt;&gt;"",ISERROR(SEARCH(INDEX(AktRolle,MATCH(C859,Aktiviteter,0))&amp;"",INDEX(TekRoller,MATCH(B859,Teknikere,0))))),"Mangler rollen "&amp;INDEX(AktRolle,MATCH(C859,Aktiviteter,0))&amp;"",IF(AND(C859="LMS",F859&gt;0,OR(D859="",E859="")),"Mangler maskin eller arbeid",IF(AND(OR(C859="LMS",C859="Mod"),D859&lt;&gt;""),IF(IFERROR(INDEX(MaskinStatus,MATCH(D859,Maskiner,0)),"")="I dokk","","Maskinen er ikke i dokk"),""))))))</f>
        <v/>
      </c>
      <c r="L859" s="2">
        <f>IF(B859="","",IFERROR(INT((MATCH(B859,Teknikere,0)-1)/18)+1,""))</f>
        <v/>
      </c>
      <c r="M859" s="2">
        <f>IF(OR(A859="",B859=""),"",B859&amp;"|"&amp;A859)</f>
        <v/>
      </c>
      <c r="N859" s="2">
        <f>IF(M859="","",SUMIFS(TF_Timer,TF_Nokkel,M859,TF_Akt,C859))</f>
        <v/>
      </c>
      <c r="O859" s="2">
        <f>IF(M859="","",IF(AND(N859=_xlfn.MAXIFS(TF_AktSum,TF_Nokkel,M859),COUNTIFS(M$3:M858,M859,N$3:N858,N859)=0),M859,""))</f>
        <v/>
      </c>
    </row>
    <row r="860">
      <c r="A860" s="34" t="n"/>
      <c r="B860" s="35" t="n"/>
      <c r="C860" s="35" t="n"/>
      <c r="D860" s="35" t="n"/>
      <c r="E860" s="35" t="n"/>
      <c r="F860" s="36" t="n"/>
      <c r="G860" s="35" t="n"/>
      <c r="H860" s="30">
        <f>IF(L860="","",INDEX(SkiftNavn,L860))</f>
        <v/>
      </c>
      <c r="I860" s="30">
        <f>IF(OR(A860="",L860=""),"",IF(MOD(A860-INDEX(SkiftStart,L860),Syklus)&lt;DagK,"Kveld",IF(MOD(A860-INDEX(SkiftStart,L860),Syklus)&lt;DagK+DagH,"Helg",IF(MOD(A860-INDEX(SkiftStart,L860),Syklus)&lt;DagK+DagH+DagD,"Dag","Fri"))))</f>
        <v/>
      </c>
      <c r="J860" s="30">
        <f>IF(I860="Fri","Ja","")</f>
        <v/>
      </c>
      <c r="K860" s="30">
        <f>IF(B860="","",IF(L860="","Ukjent tekniker",IF(ISNA(MATCH(C860,Aktiviteter,0)),"Ukjent aktivitet",IF(AND(INDEX(AktRolle,MATCH(C860,Aktiviteter,0))&amp;""&lt;&gt;"",ISERROR(SEARCH(INDEX(AktRolle,MATCH(C860,Aktiviteter,0))&amp;"",INDEX(TekRoller,MATCH(B860,Teknikere,0))))),"Mangler rollen "&amp;INDEX(AktRolle,MATCH(C860,Aktiviteter,0))&amp;"",IF(AND(C860="LMS",F860&gt;0,OR(D860="",E860="")),"Mangler maskin eller arbeid",IF(AND(OR(C860="LMS",C860="Mod"),D860&lt;&gt;""),IF(IFERROR(INDEX(MaskinStatus,MATCH(D860,Maskiner,0)),"")="I dokk","","Maskinen er ikke i dokk"),""))))))</f>
        <v/>
      </c>
      <c r="L860" s="2">
        <f>IF(B860="","",IFERROR(INT((MATCH(B860,Teknikere,0)-1)/18)+1,""))</f>
        <v/>
      </c>
      <c r="M860" s="2">
        <f>IF(OR(A860="",B860=""),"",B860&amp;"|"&amp;A860)</f>
        <v/>
      </c>
      <c r="N860" s="2">
        <f>IF(M860="","",SUMIFS(TF_Timer,TF_Nokkel,M860,TF_Akt,C860))</f>
        <v/>
      </c>
      <c r="O860" s="2">
        <f>IF(M860="","",IF(AND(N860=_xlfn.MAXIFS(TF_AktSum,TF_Nokkel,M860),COUNTIFS(M$3:M859,M860,N$3:N859,N860)=0),M860,""))</f>
        <v/>
      </c>
    </row>
    <row r="861">
      <c r="A861" s="34" t="n"/>
      <c r="B861" s="35" t="n"/>
      <c r="C861" s="35" t="n"/>
      <c r="D861" s="35" t="n"/>
      <c r="E861" s="35" t="n"/>
      <c r="F861" s="36" t="n"/>
      <c r="G861" s="35" t="n"/>
      <c r="H861" s="30">
        <f>IF(L861="","",INDEX(SkiftNavn,L861))</f>
        <v/>
      </c>
      <c r="I861" s="30">
        <f>IF(OR(A861="",L861=""),"",IF(MOD(A861-INDEX(SkiftStart,L861),Syklus)&lt;DagK,"Kveld",IF(MOD(A861-INDEX(SkiftStart,L861),Syklus)&lt;DagK+DagH,"Helg",IF(MOD(A861-INDEX(SkiftStart,L861),Syklus)&lt;DagK+DagH+DagD,"Dag","Fri"))))</f>
        <v/>
      </c>
      <c r="J861" s="30">
        <f>IF(I861="Fri","Ja","")</f>
        <v/>
      </c>
      <c r="K861" s="30">
        <f>IF(B861="","",IF(L861="","Ukjent tekniker",IF(ISNA(MATCH(C861,Aktiviteter,0)),"Ukjent aktivitet",IF(AND(INDEX(AktRolle,MATCH(C861,Aktiviteter,0))&amp;""&lt;&gt;"",ISERROR(SEARCH(INDEX(AktRolle,MATCH(C861,Aktiviteter,0))&amp;"",INDEX(TekRoller,MATCH(B861,Teknikere,0))))),"Mangler rollen "&amp;INDEX(AktRolle,MATCH(C861,Aktiviteter,0))&amp;"",IF(AND(C861="LMS",F861&gt;0,OR(D861="",E861="")),"Mangler maskin eller arbeid",IF(AND(OR(C861="LMS",C861="Mod"),D861&lt;&gt;""),IF(IFERROR(INDEX(MaskinStatus,MATCH(D861,Maskiner,0)),"")="I dokk","","Maskinen er ikke i dokk"),""))))))</f>
        <v/>
      </c>
      <c r="L861" s="2">
        <f>IF(B861="","",IFERROR(INT((MATCH(B861,Teknikere,0)-1)/18)+1,""))</f>
        <v/>
      </c>
      <c r="M861" s="2">
        <f>IF(OR(A861="",B861=""),"",B861&amp;"|"&amp;A861)</f>
        <v/>
      </c>
      <c r="N861" s="2">
        <f>IF(M861="","",SUMIFS(TF_Timer,TF_Nokkel,M861,TF_Akt,C861))</f>
        <v/>
      </c>
      <c r="O861" s="2">
        <f>IF(M861="","",IF(AND(N861=_xlfn.MAXIFS(TF_AktSum,TF_Nokkel,M861),COUNTIFS(M$3:M860,M861,N$3:N860,N861)=0),M861,""))</f>
        <v/>
      </c>
    </row>
    <row r="862">
      <c r="A862" s="34" t="n"/>
      <c r="B862" s="35" t="n"/>
      <c r="C862" s="35" t="n"/>
      <c r="D862" s="35" t="n"/>
      <c r="E862" s="35" t="n"/>
      <c r="F862" s="36" t="n"/>
      <c r="G862" s="35" t="n"/>
      <c r="H862" s="30">
        <f>IF(L862="","",INDEX(SkiftNavn,L862))</f>
        <v/>
      </c>
      <c r="I862" s="30">
        <f>IF(OR(A862="",L862=""),"",IF(MOD(A862-INDEX(SkiftStart,L862),Syklus)&lt;DagK,"Kveld",IF(MOD(A862-INDEX(SkiftStart,L862),Syklus)&lt;DagK+DagH,"Helg",IF(MOD(A862-INDEX(SkiftStart,L862),Syklus)&lt;DagK+DagH+DagD,"Dag","Fri"))))</f>
        <v/>
      </c>
      <c r="J862" s="30">
        <f>IF(I862="Fri","Ja","")</f>
        <v/>
      </c>
      <c r="K862" s="30">
        <f>IF(B862="","",IF(L862="","Ukjent tekniker",IF(ISNA(MATCH(C862,Aktiviteter,0)),"Ukjent aktivitet",IF(AND(INDEX(AktRolle,MATCH(C862,Aktiviteter,0))&amp;""&lt;&gt;"",ISERROR(SEARCH(INDEX(AktRolle,MATCH(C862,Aktiviteter,0))&amp;"",INDEX(TekRoller,MATCH(B862,Teknikere,0))))),"Mangler rollen "&amp;INDEX(AktRolle,MATCH(C862,Aktiviteter,0))&amp;"",IF(AND(C862="LMS",F862&gt;0,OR(D862="",E862="")),"Mangler maskin eller arbeid",IF(AND(OR(C862="LMS",C862="Mod"),D862&lt;&gt;""),IF(IFERROR(INDEX(MaskinStatus,MATCH(D862,Maskiner,0)),"")="I dokk","","Maskinen er ikke i dokk"),""))))))</f>
        <v/>
      </c>
      <c r="L862" s="2">
        <f>IF(B862="","",IFERROR(INT((MATCH(B862,Teknikere,0)-1)/18)+1,""))</f>
        <v/>
      </c>
      <c r="M862" s="2">
        <f>IF(OR(A862="",B862=""),"",B862&amp;"|"&amp;A862)</f>
        <v/>
      </c>
      <c r="N862" s="2">
        <f>IF(M862="","",SUMIFS(TF_Timer,TF_Nokkel,M862,TF_Akt,C862))</f>
        <v/>
      </c>
      <c r="O862" s="2">
        <f>IF(M862="","",IF(AND(N862=_xlfn.MAXIFS(TF_AktSum,TF_Nokkel,M862),COUNTIFS(M$3:M861,M862,N$3:N861,N862)=0),M862,""))</f>
        <v/>
      </c>
    </row>
    <row r="863">
      <c r="A863" s="34" t="n"/>
      <c r="B863" s="35" t="n"/>
      <c r="C863" s="35" t="n"/>
      <c r="D863" s="35" t="n"/>
      <c r="E863" s="35" t="n"/>
      <c r="F863" s="36" t="n"/>
      <c r="G863" s="35" t="n"/>
      <c r="H863" s="30">
        <f>IF(L863="","",INDEX(SkiftNavn,L863))</f>
        <v/>
      </c>
      <c r="I863" s="30">
        <f>IF(OR(A863="",L863=""),"",IF(MOD(A863-INDEX(SkiftStart,L863),Syklus)&lt;DagK,"Kveld",IF(MOD(A863-INDEX(SkiftStart,L863),Syklus)&lt;DagK+DagH,"Helg",IF(MOD(A863-INDEX(SkiftStart,L863),Syklus)&lt;DagK+DagH+DagD,"Dag","Fri"))))</f>
        <v/>
      </c>
      <c r="J863" s="30">
        <f>IF(I863="Fri","Ja","")</f>
        <v/>
      </c>
      <c r="K863" s="30">
        <f>IF(B863="","",IF(L863="","Ukjent tekniker",IF(ISNA(MATCH(C863,Aktiviteter,0)),"Ukjent aktivitet",IF(AND(INDEX(AktRolle,MATCH(C863,Aktiviteter,0))&amp;""&lt;&gt;"",ISERROR(SEARCH(INDEX(AktRolle,MATCH(C863,Aktiviteter,0))&amp;"",INDEX(TekRoller,MATCH(B863,Teknikere,0))))),"Mangler rollen "&amp;INDEX(AktRolle,MATCH(C863,Aktiviteter,0))&amp;"",IF(AND(C863="LMS",F863&gt;0,OR(D863="",E863="")),"Mangler maskin eller arbeid",IF(AND(OR(C863="LMS",C863="Mod"),D863&lt;&gt;""),IF(IFERROR(INDEX(MaskinStatus,MATCH(D863,Maskiner,0)),"")="I dokk","","Maskinen er ikke i dokk"),""))))))</f>
        <v/>
      </c>
      <c r="L863" s="2">
        <f>IF(B863="","",IFERROR(INT((MATCH(B863,Teknikere,0)-1)/18)+1,""))</f>
        <v/>
      </c>
      <c r="M863" s="2">
        <f>IF(OR(A863="",B863=""),"",B863&amp;"|"&amp;A863)</f>
        <v/>
      </c>
      <c r="N863" s="2">
        <f>IF(M863="","",SUMIFS(TF_Timer,TF_Nokkel,M863,TF_Akt,C863))</f>
        <v/>
      </c>
      <c r="O863" s="2">
        <f>IF(M863="","",IF(AND(N863=_xlfn.MAXIFS(TF_AktSum,TF_Nokkel,M863),COUNTIFS(M$3:M862,M863,N$3:N862,N863)=0),M863,""))</f>
        <v/>
      </c>
    </row>
    <row r="864">
      <c r="A864" s="34" t="n"/>
      <c r="B864" s="35" t="n"/>
      <c r="C864" s="35" t="n"/>
      <c r="D864" s="35" t="n"/>
      <c r="E864" s="35" t="n"/>
      <c r="F864" s="36" t="n"/>
      <c r="G864" s="35" t="n"/>
      <c r="H864" s="30">
        <f>IF(L864="","",INDEX(SkiftNavn,L864))</f>
        <v/>
      </c>
      <c r="I864" s="30">
        <f>IF(OR(A864="",L864=""),"",IF(MOD(A864-INDEX(SkiftStart,L864),Syklus)&lt;DagK,"Kveld",IF(MOD(A864-INDEX(SkiftStart,L864),Syklus)&lt;DagK+DagH,"Helg",IF(MOD(A864-INDEX(SkiftStart,L864),Syklus)&lt;DagK+DagH+DagD,"Dag","Fri"))))</f>
        <v/>
      </c>
      <c r="J864" s="30">
        <f>IF(I864="Fri","Ja","")</f>
        <v/>
      </c>
      <c r="K864" s="30">
        <f>IF(B864="","",IF(L864="","Ukjent tekniker",IF(ISNA(MATCH(C864,Aktiviteter,0)),"Ukjent aktivitet",IF(AND(INDEX(AktRolle,MATCH(C864,Aktiviteter,0))&amp;""&lt;&gt;"",ISERROR(SEARCH(INDEX(AktRolle,MATCH(C864,Aktiviteter,0))&amp;"",INDEX(TekRoller,MATCH(B864,Teknikere,0))))),"Mangler rollen "&amp;INDEX(AktRolle,MATCH(C864,Aktiviteter,0))&amp;"",IF(AND(C864="LMS",F864&gt;0,OR(D864="",E864="")),"Mangler maskin eller arbeid",IF(AND(OR(C864="LMS",C864="Mod"),D864&lt;&gt;""),IF(IFERROR(INDEX(MaskinStatus,MATCH(D864,Maskiner,0)),"")="I dokk","","Maskinen er ikke i dokk"),""))))))</f>
        <v/>
      </c>
      <c r="L864" s="2">
        <f>IF(B864="","",IFERROR(INT((MATCH(B864,Teknikere,0)-1)/18)+1,""))</f>
        <v/>
      </c>
      <c r="M864" s="2">
        <f>IF(OR(A864="",B864=""),"",B864&amp;"|"&amp;A864)</f>
        <v/>
      </c>
      <c r="N864" s="2">
        <f>IF(M864="","",SUMIFS(TF_Timer,TF_Nokkel,M864,TF_Akt,C864))</f>
        <v/>
      </c>
      <c r="O864" s="2">
        <f>IF(M864="","",IF(AND(N864=_xlfn.MAXIFS(TF_AktSum,TF_Nokkel,M864),COUNTIFS(M$3:M863,M864,N$3:N863,N864)=0),M864,""))</f>
        <v/>
      </c>
    </row>
    <row r="865">
      <c r="A865" s="34" t="n"/>
      <c r="B865" s="35" t="n"/>
      <c r="C865" s="35" t="n"/>
      <c r="D865" s="35" t="n"/>
      <c r="E865" s="35" t="n"/>
      <c r="F865" s="36" t="n"/>
      <c r="G865" s="35" t="n"/>
      <c r="H865" s="30">
        <f>IF(L865="","",INDEX(SkiftNavn,L865))</f>
        <v/>
      </c>
      <c r="I865" s="30">
        <f>IF(OR(A865="",L865=""),"",IF(MOD(A865-INDEX(SkiftStart,L865),Syklus)&lt;DagK,"Kveld",IF(MOD(A865-INDEX(SkiftStart,L865),Syklus)&lt;DagK+DagH,"Helg",IF(MOD(A865-INDEX(SkiftStart,L865),Syklus)&lt;DagK+DagH+DagD,"Dag","Fri"))))</f>
        <v/>
      </c>
      <c r="J865" s="30">
        <f>IF(I865="Fri","Ja","")</f>
        <v/>
      </c>
      <c r="K865" s="30">
        <f>IF(B865="","",IF(L865="","Ukjent tekniker",IF(ISNA(MATCH(C865,Aktiviteter,0)),"Ukjent aktivitet",IF(AND(INDEX(AktRolle,MATCH(C865,Aktiviteter,0))&amp;""&lt;&gt;"",ISERROR(SEARCH(INDEX(AktRolle,MATCH(C865,Aktiviteter,0))&amp;"",INDEX(TekRoller,MATCH(B865,Teknikere,0))))),"Mangler rollen "&amp;INDEX(AktRolle,MATCH(C865,Aktiviteter,0))&amp;"",IF(AND(C865="LMS",F865&gt;0,OR(D865="",E865="")),"Mangler maskin eller arbeid",IF(AND(OR(C865="LMS",C865="Mod"),D865&lt;&gt;""),IF(IFERROR(INDEX(MaskinStatus,MATCH(D865,Maskiner,0)),"")="I dokk","","Maskinen er ikke i dokk"),""))))))</f>
        <v/>
      </c>
      <c r="L865" s="2">
        <f>IF(B865="","",IFERROR(INT((MATCH(B865,Teknikere,0)-1)/18)+1,""))</f>
        <v/>
      </c>
      <c r="M865" s="2">
        <f>IF(OR(A865="",B865=""),"",B865&amp;"|"&amp;A865)</f>
        <v/>
      </c>
      <c r="N865" s="2">
        <f>IF(M865="","",SUMIFS(TF_Timer,TF_Nokkel,M865,TF_Akt,C865))</f>
        <v/>
      </c>
      <c r="O865" s="2">
        <f>IF(M865="","",IF(AND(N865=_xlfn.MAXIFS(TF_AktSum,TF_Nokkel,M865),COUNTIFS(M$3:M864,M865,N$3:N864,N865)=0),M865,""))</f>
        <v/>
      </c>
    </row>
    <row r="866">
      <c r="A866" s="34" t="n"/>
      <c r="B866" s="35" t="n"/>
      <c r="C866" s="35" t="n"/>
      <c r="D866" s="35" t="n"/>
      <c r="E866" s="35" t="n"/>
      <c r="F866" s="36" t="n"/>
      <c r="G866" s="35" t="n"/>
      <c r="H866" s="30">
        <f>IF(L866="","",INDEX(SkiftNavn,L866))</f>
        <v/>
      </c>
      <c r="I866" s="30">
        <f>IF(OR(A866="",L866=""),"",IF(MOD(A866-INDEX(SkiftStart,L866),Syklus)&lt;DagK,"Kveld",IF(MOD(A866-INDEX(SkiftStart,L866),Syklus)&lt;DagK+DagH,"Helg",IF(MOD(A866-INDEX(SkiftStart,L866),Syklus)&lt;DagK+DagH+DagD,"Dag","Fri"))))</f>
        <v/>
      </c>
      <c r="J866" s="30">
        <f>IF(I866="Fri","Ja","")</f>
        <v/>
      </c>
      <c r="K866" s="30">
        <f>IF(B866="","",IF(L866="","Ukjent tekniker",IF(ISNA(MATCH(C866,Aktiviteter,0)),"Ukjent aktivitet",IF(AND(INDEX(AktRolle,MATCH(C866,Aktiviteter,0))&amp;""&lt;&gt;"",ISERROR(SEARCH(INDEX(AktRolle,MATCH(C866,Aktiviteter,0))&amp;"",INDEX(TekRoller,MATCH(B866,Teknikere,0))))),"Mangler rollen "&amp;INDEX(AktRolle,MATCH(C866,Aktiviteter,0))&amp;"",IF(AND(C866="LMS",F866&gt;0,OR(D866="",E866="")),"Mangler maskin eller arbeid",IF(AND(OR(C866="LMS",C866="Mod"),D866&lt;&gt;""),IF(IFERROR(INDEX(MaskinStatus,MATCH(D866,Maskiner,0)),"")="I dokk","","Maskinen er ikke i dokk"),""))))))</f>
        <v/>
      </c>
      <c r="L866" s="2">
        <f>IF(B866="","",IFERROR(INT((MATCH(B866,Teknikere,0)-1)/18)+1,""))</f>
        <v/>
      </c>
      <c r="M866" s="2">
        <f>IF(OR(A866="",B866=""),"",B866&amp;"|"&amp;A866)</f>
        <v/>
      </c>
      <c r="N866" s="2">
        <f>IF(M866="","",SUMIFS(TF_Timer,TF_Nokkel,M866,TF_Akt,C866))</f>
        <v/>
      </c>
      <c r="O866" s="2">
        <f>IF(M866="","",IF(AND(N866=_xlfn.MAXIFS(TF_AktSum,TF_Nokkel,M866),COUNTIFS(M$3:M865,M866,N$3:N865,N866)=0),M866,""))</f>
        <v/>
      </c>
    </row>
    <row r="867">
      <c r="A867" s="34" t="n"/>
      <c r="B867" s="35" t="n"/>
      <c r="C867" s="35" t="n"/>
      <c r="D867" s="35" t="n"/>
      <c r="E867" s="35" t="n"/>
      <c r="F867" s="36" t="n"/>
      <c r="G867" s="35" t="n"/>
      <c r="H867" s="30">
        <f>IF(L867="","",INDEX(SkiftNavn,L867))</f>
        <v/>
      </c>
      <c r="I867" s="30">
        <f>IF(OR(A867="",L867=""),"",IF(MOD(A867-INDEX(SkiftStart,L867),Syklus)&lt;DagK,"Kveld",IF(MOD(A867-INDEX(SkiftStart,L867),Syklus)&lt;DagK+DagH,"Helg",IF(MOD(A867-INDEX(SkiftStart,L867),Syklus)&lt;DagK+DagH+DagD,"Dag","Fri"))))</f>
        <v/>
      </c>
      <c r="J867" s="30">
        <f>IF(I867="Fri","Ja","")</f>
        <v/>
      </c>
      <c r="K867" s="30">
        <f>IF(B867="","",IF(L867="","Ukjent tekniker",IF(ISNA(MATCH(C867,Aktiviteter,0)),"Ukjent aktivitet",IF(AND(INDEX(AktRolle,MATCH(C867,Aktiviteter,0))&amp;""&lt;&gt;"",ISERROR(SEARCH(INDEX(AktRolle,MATCH(C867,Aktiviteter,0))&amp;"",INDEX(TekRoller,MATCH(B867,Teknikere,0))))),"Mangler rollen "&amp;INDEX(AktRolle,MATCH(C867,Aktiviteter,0))&amp;"",IF(AND(C867="LMS",F867&gt;0,OR(D867="",E867="")),"Mangler maskin eller arbeid",IF(AND(OR(C867="LMS",C867="Mod"),D867&lt;&gt;""),IF(IFERROR(INDEX(MaskinStatus,MATCH(D867,Maskiner,0)),"")="I dokk","","Maskinen er ikke i dokk"),""))))))</f>
        <v/>
      </c>
      <c r="L867" s="2">
        <f>IF(B867="","",IFERROR(INT((MATCH(B867,Teknikere,0)-1)/18)+1,""))</f>
        <v/>
      </c>
      <c r="M867" s="2">
        <f>IF(OR(A867="",B867=""),"",B867&amp;"|"&amp;A867)</f>
        <v/>
      </c>
      <c r="N867" s="2">
        <f>IF(M867="","",SUMIFS(TF_Timer,TF_Nokkel,M867,TF_Akt,C867))</f>
        <v/>
      </c>
      <c r="O867" s="2">
        <f>IF(M867="","",IF(AND(N867=_xlfn.MAXIFS(TF_AktSum,TF_Nokkel,M867),COUNTIFS(M$3:M866,M867,N$3:N866,N867)=0),M867,""))</f>
        <v/>
      </c>
    </row>
    <row r="868">
      <c r="A868" s="34" t="n"/>
      <c r="B868" s="35" t="n"/>
      <c r="C868" s="35" t="n"/>
      <c r="D868" s="35" t="n"/>
      <c r="E868" s="35" t="n"/>
      <c r="F868" s="36" t="n"/>
      <c r="G868" s="35" t="n"/>
      <c r="H868" s="30">
        <f>IF(L868="","",INDEX(SkiftNavn,L868))</f>
        <v/>
      </c>
      <c r="I868" s="30">
        <f>IF(OR(A868="",L868=""),"",IF(MOD(A868-INDEX(SkiftStart,L868),Syklus)&lt;DagK,"Kveld",IF(MOD(A868-INDEX(SkiftStart,L868),Syklus)&lt;DagK+DagH,"Helg",IF(MOD(A868-INDEX(SkiftStart,L868),Syklus)&lt;DagK+DagH+DagD,"Dag","Fri"))))</f>
        <v/>
      </c>
      <c r="J868" s="30">
        <f>IF(I868="Fri","Ja","")</f>
        <v/>
      </c>
      <c r="K868" s="30">
        <f>IF(B868="","",IF(L868="","Ukjent tekniker",IF(ISNA(MATCH(C868,Aktiviteter,0)),"Ukjent aktivitet",IF(AND(INDEX(AktRolle,MATCH(C868,Aktiviteter,0))&amp;""&lt;&gt;"",ISERROR(SEARCH(INDEX(AktRolle,MATCH(C868,Aktiviteter,0))&amp;"",INDEX(TekRoller,MATCH(B868,Teknikere,0))))),"Mangler rollen "&amp;INDEX(AktRolle,MATCH(C868,Aktiviteter,0))&amp;"",IF(AND(C868="LMS",F868&gt;0,OR(D868="",E868="")),"Mangler maskin eller arbeid",IF(AND(OR(C868="LMS",C868="Mod"),D868&lt;&gt;""),IF(IFERROR(INDEX(MaskinStatus,MATCH(D868,Maskiner,0)),"")="I dokk","","Maskinen er ikke i dokk"),""))))))</f>
        <v/>
      </c>
      <c r="L868" s="2">
        <f>IF(B868="","",IFERROR(INT((MATCH(B868,Teknikere,0)-1)/18)+1,""))</f>
        <v/>
      </c>
      <c r="M868" s="2">
        <f>IF(OR(A868="",B868=""),"",B868&amp;"|"&amp;A868)</f>
        <v/>
      </c>
      <c r="N868" s="2">
        <f>IF(M868="","",SUMIFS(TF_Timer,TF_Nokkel,M868,TF_Akt,C868))</f>
        <v/>
      </c>
      <c r="O868" s="2">
        <f>IF(M868="","",IF(AND(N868=_xlfn.MAXIFS(TF_AktSum,TF_Nokkel,M868),COUNTIFS(M$3:M867,M868,N$3:N867,N868)=0),M868,""))</f>
        <v/>
      </c>
    </row>
    <row r="869">
      <c r="A869" s="34" t="n"/>
      <c r="B869" s="35" t="n"/>
      <c r="C869" s="35" t="n"/>
      <c r="D869" s="35" t="n"/>
      <c r="E869" s="35" t="n"/>
      <c r="F869" s="36" t="n"/>
      <c r="G869" s="35" t="n"/>
      <c r="H869" s="30">
        <f>IF(L869="","",INDEX(SkiftNavn,L869))</f>
        <v/>
      </c>
      <c r="I869" s="30">
        <f>IF(OR(A869="",L869=""),"",IF(MOD(A869-INDEX(SkiftStart,L869),Syklus)&lt;DagK,"Kveld",IF(MOD(A869-INDEX(SkiftStart,L869),Syklus)&lt;DagK+DagH,"Helg",IF(MOD(A869-INDEX(SkiftStart,L869),Syklus)&lt;DagK+DagH+DagD,"Dag","Fri"))))</f>
        <v/>
      </c>
      <c r="J869" s="30">
        <f>IF(I869="Fri","Ja","")</f>
        <v/>
      </c>
      <c r="K869" s="30">
        <f>IF(B869="","",IF(L869="","Ukjent tekniker",IF(ISNA(MATCH(C869,Aktiviteter,0)),"Ukjent aktivitet",IF(AND(INDEX(AktRolle,MATCH(C869,Aktiviteter,0))&amp;""&lt;&gt;"",ISERROR(SEARCH(INDEX(AktRolle,MATCH(C869,Aktiviteter,0))&amp;"",INDEX(TekRoller,MATCH(B869,Teknikere,0))))),"Mangler rollen "&amp;INDEX(AktRolle,MATCH(C869,Aktiviteter,0))&amp;"",IF(AND(C869="LMS",F869&gt;0,OR(D869="",E869="")),"Mangler maskin eller arbeid",IF(AND(OR(C869="LMS",C869="Mod"),D869&lt;&gt;""),IF(IFERROR(INDEX(MaskinStatus,MATCH(D869,Maskiner,0)),"")="I dokk","","Maskinen er ikke i dokk"),""))))))</f>
        <v/>
      </c>
      <c r="L869" s="2">
        <f>IF(B869="","",IFERROR(INT((MATCH(B869,Teknikere,0)-1)/18)+1,""))</f>
        <v/>
      </c>
      <c r="M869" s="2">
        <f>IF(OR(A869="",B869=""),"",B869&amp;"|"&amp;A869)</f>
        <v/>
      </c>
      <c r="N869" s="2">
        <f>IF(M869="","",SUMIFS(TF_Timer,TF_Nokkel,M869,TF_Akt,C869))</f>
        <v/>
      </c>
      <c r="O869" s="2">
        <f>IF(M869="","",IF(AND(N869=_xlfn.MAXIFS(TF_AktSum,TF_Nokkel,M869),COUNTIFS(M$3:M868,M869,N$3:N868,N869)=0),M869,""))</f>
        <v/>
      </c>
    </row>
    <row r="870">
      <c r="A870" s="34" t="n"/>
      <c r="B870" s="35" t="n"/>
      <c r="C870" s="35" t="n"/>
      <c r="D870" s="35" t="n"/>
      <c r="E870" s="35" t="n"/>
      <c r="F870" s="36" t="n"/>
      <c r="G870" s="35" t="n"/>
      <c r="H870" s="30">
        <f>IF(L870="","",INDEX(SkiftNavn,L870))</f>
        <v/>
      </c>
      <c r="I870" s="30">
        <f>IF(OR(A870="",L870=""),"",IF(MOD(A870-INDEX(SkiftStart,L870),Syklus)&lt;DagK,"Kveld",IF(MOD(A870-INDEX(SkiftStart,L870),Syklus)&lt;DagK+DagH,"Helg",IF(MOD(A870-INDEX(SkiftStart,L870),Syklus)&lt;DagK+DagH+DagD,"Dag","Fri"))))</f>
        <v/>
      </c>
      <c r="J870" s="30">
        <f>IF(I870="Fri","Ja","")</f>
        <v/>
      </c>
      <c r="K870" s="30">
        <f>IF(B870="","",IF(L870="","Ukjent tekniker",IF(ISNA(MATCH(C870,Aktiviteter,0)),"Ukjent aktivitet",IF(AND(INDEX(AktRolle,MATCH(C870,Aktiviteter,0))&amp;""&lt;&gt;"",ISERROR(SEARCH(INDEX(AktRolle,MATCH(C870,Aktiviteter,0))&amp;"",INDEX(TekRoller,MATCH(B870,Teknikere,0))))),"Mangler rollen "&amp;INDEX(AktRolle,MATCH(C870,Aktiviteter,0))&amp;"",IF(AND(C870="LMS",F870&gt;0,OR(D870="",E870="")),"Mangler maskin eller arbeid",IF(AND(OR(C870="LMS",C870="Mod"),D870&lt;&gt;""),IF(IFERROR(INDEX(MaskinStatus,MATCH(D870,Maskiner,0)),"")="I dokk","","Maskinen er ikke i dokk"),""))))))</f>
        <v/>
      </c>
      <c r="L870" s="2">
        <f>IF(B870="","",IFERROR(INT((MATCH(B870,Teknikere,0)-1)/18)+1,""))</f>
        <v/>
      </c>
      <c r="M870" s="2">
        <f>IF(OR(A870="",B870=""),"",B870&amp;"|"&amp;A870)</f>
        <v/>
      </c>
      <c r="N870" s="2">
        <f>IF(M870="","",SUMIFS(TF_Timer,TF_Nokkel,M870,TF_Akt,C870))</f>
        <v/>
      </c>
      <c r="O870" s="2">
        <f>IF(M870="","",IF(AND(N870=_xlfn.MAXIFS(TF_AktSum,TF_Nokkel,M870),COUNTIFS(M$3:M869,M870,N$3:N869,N870)=0),M870,""))</f>
        <v/>
      </c>
    </row>
    <row r="871">
      <c r="A871" s="34" t="n"/>
      <c r="B871" s="35" t="n"/>
      <c r="C871" s="35" t="n"/>
      <c r="D871" s="35" t="n"/>
      <c r="E871" s="35" t="n"/>
      <c r="F871" s="36" t="n"/>
      <c r="G871" s="35" t="n"/>
      <c r="H871" s="30">
        <f>IF(L871="","",INDEX(SkiftNavn,L871))</f>
        <v/>
      </c>
      <c r="I871" s="30">
        <f>IF(OR(A871="",L871=""),"",IF(MOD(A871-INDEX(SkiftStart,L871),Syklus)&lt;DagK,"Kveld",IF(MOD(A871-INDEX(SkiftStart,L871),Syklus)&lt;DagK+DagH,"Helg",IF(MOD(A871-INDEX(SkiftStart,L871),Syklus)&lt;DagK+DagH+DagD,"Dag","Fri"))))</f>
        <v/>
      </c>
      <c r="J871" s="30">
        <f>IF(I871="Fri","Ja","")</f>
        <v/>
      </c>
      <c r="K871" s="30">
        <f>IF(B871="","",IF(L871="","Ukjent tekniker",IF(ISNA(MATCH(C871,Aktiviteter,0)),"Ukjent aktivitet",IF(AND(INDEX(AktRolle,MATCH(C871,Aktiviteter,0))&amp;""&lt;&gt;"",ISERROR(SEARCH(INDEX(AktRolle,MATCH(C871,Aktiviteter,0))&amp;"",INDEX(TekRoller,MATCH(B871,Teknikere,0))))),"Mangler rollen "&amp;INDEX(AktRolle,MATCH(C871,Aktiviteter,0))&amp;"",IF(AND(C871="LMS",F871&gt;0,OR(D871="",E871="")),"Mangler maskin eller arbeid",IF(AND(OR(C871="LMS",C871="Mod"),D871&lt;&gt;""),IF(IFERROR(INDEX(MaskinStatus,MATCH(D871,Maskiner,0)),"")="I dokk","","Maskinen er ikke i dokk"),""))))))</f>
        <v/>
      </c>
      <c r="L871" s="2">
        <f>IF(B871="","",IFERROR(INT((MATCH(B871,Teknikere,0)-1)/18)+1,""))</f>
        <v/>
      </c>
      <c r="M871" s="2">
        <f>IF(OR(A871="",B871=""),"",B871&amp;"|"&amp;A871)</f>
        <v/>
      </c>
      <c r="N871" s="2">
        <f>IF(M871="","",SUMIFS(TF_Timer,TF_Nokkel,M871,TF_Akt,C871))</f>
        <v/>
      </c>
      <c r="O871" s="2">
        <f>IF(M871="","",IF(AND(N871=_xlfn.MAXIFS(TF_AktSum,TF_Nokkel,M871),COUNTIFS(M$3:M870,M871,N$3:N870,N871)=0),M871,""))</f>
        <v/>
      </c>
    </row>
    <row r="872">
      <c r="A872" s="34" t="n"/>
      <c r="B872" s="35" t="n"/>
      <c r="C872" s="35" t="n"/>
      <c r="D872" s="35" t="n"/>
      <c r="E872" s="35" t="n"/>
      <c r="F872" s="36" t="n"/>
      <c r="G872" s="35" t="n"/>
      <c r="H872" s="30">
        <f>IF(L872="","",INDEX(SkiftNavn,L872))</f>
        <v/>
      </c>
      <c r="I872" s="30">
        <f>IF(OR(A872="",L872=""),"",IF(MOD(A872-INDEX(SkiftStart,L872),Syklus)&lt;DagK,"Kveld",IF(MOD(A872-INDEX(SkiftStart,L872),Syklus)&lt;DagK+DagH,"Helg",IF(MOD(A872-INDEX(SkiftStart,L872),Syklus)&lt;DagK+DagH+DagD,"Dag","Fri"))))</f>
        <v/>
      </c>
      <c r="J872" s="30">
        <f>IF(I872="Fri","Ja","")</f>
        <v/>
      </c>
      <c r="K872" s="30">
        <f>IF(B872="","",IF(L872="","Ukjent tekniker",IF(ISNA(MATCH(C872,Aktiviteter,0)),"Ukjent aktivitet",IF(AND(INDEX(AktRolle,MATCH(C872,Aktiviteter,0))&amp;""&lt;&gt;"",ISERROR(SEARCH(INDEX(AktRolle,MATCH(C872,Aktiviteter,0))&amp;"",INDEX(TekRoller,MATCH(B872,Teknikere,0))))),"Mangler rollen "&amp;INDEX(AktRolle,MATCH(C872,Aktiviteter,0))&amp;"",IF(AND(C872="LMS",F872&gt;0,OR(D872="",E872="")),"Mangler maskin eller arbeid",IF(AND(OR(C872="LMS",C872="Mod"),D872&lt;&gt;""),IF(IFERROR(INDEX(MaskinStatus,MATCH(D872,Maskiner,0)),"")="I dokk","","Maskinen er ikke i dokk"),""))))))</f>
        <v/>
      </c>
      <c r="L872" s="2">
        <f>IF(B872="","",IFERROR(INT((MATCH(B872,Teknikere,0)-1)/18)+1,""))</f>
        <v/>
      </c>
      <c r="M872" s="2">
        <f>IF(OR(A872="",B872=""),"",B872&amp;"|"&amp;A872)</f>
        <v/>
      </c>
      <c r="N872" s="2">
        <f>IF(M872="","",SUMIFS(TF_Timer,TF_Nokkel,M872,TF_Akt,C872))</f>
        <v/>
      </c>
      <c r="O872" s="2">
        <f>IF(M872="","",IF(AND(N872=_xlfn.MAXIFS(TF_AktSum,TF_Nokkel,M872),COUNTIFS(M$3:M871,M872,N$3:N871,N872)=0),M872,""))</f>
        <v/>
      </c>
    </row>
    <row r="873">
      <c r="A873" s="34" t="n"/>
      <c r="B873" s="35" t="n"/>
      <c r="C873" s="35" t="n"/>
      <c r="D873" s="35" t="n"/>
      <c r="E873" s="35" t="n"/>
      <c r="F873" s="36" t="n"/>
      <c r="G873" s="35" t="n"/>
      <c r="H873" s="30">
        <f>IF(L873="","",INDEX(SkiftNavn,L873))</f>
        <v/>
      </c>
      <c r="I873" s="30">
        <f>IF(OR(A873="",L873=""),"",IF(MOD(A873-INDEX(SkiftStart,L873),Syklus)&lt;DagK,"Kveld",IF(MOD(A873-INDEX(SkiftStart,L873),Syklus)&lt;DagK+DagH,"Helg",IF(MOD(A873-INDEX(SkiftStart,L873),Syklus)&lt;DagK+DagH+DagD,"Dag","Fri"))))</f>
        <v/>
      </c>
      <c r="J873" s="30">
        <f>IF(I873="Fri","Ja","")</f>
        <v/>
      </c>
      <c r="K873" s="30">
        <f>IF(B873="","",IF(L873="","Ukjent tekniker",IF(ISNA(MATCH(C873,Aktiviteter,0)),"Ukjent aktivitet",IF(AND(INDEX(AktRolle,MATCH(C873,Aktiviteter,0))&amp;""&lt;&gt;"",ISERROR(SEARCH(INDEX(AktRolle,MATCH(C873,Aktiviteter,0))&amp;"",INDEX(TekRoller,MATCH(B873,Teknikere,0))))),"Mangler rollen "&amp;INDEX(AktRolle,MATCH(C873,Aktiviteter,0))&amp;"",IF(AND(C873="LMS",F873&gt;0,OR(D873="",E873="")),"Mangler maskin eller arbeid",IF(AND(OR(C873="LMS",C873="Mod"),D873&lt;&gt;""),IF(IFERROR(INDEX(MaskinStatus,MATCH(D873,Maskiner,0)),"")="I dokk","","Maskinen er ikke i dokk"),""))))))</f>
        <v/>
      </c>
      <c r="L873" s="2">
        <f>IF(B873="","",IFERROR(INT((MATCH(B873,Teknikere,0)-1)/18)+1,""))</f>
        <v/>
      </c>
      <c r="M873" s="2">
        <f>IF(OR(A873="",B873=""),"",B873&amp;"|"&amp;A873)</f>
        <v/>
      </c>
      <c r="N873" s="2">
        <f>IF(M873="","",SUMIFS(TF_Timer,TF_Nokkel,M873,TF_Akt,C873))</f>
        <v/>
      </c>
      <c r="O873" s="2">
        <f>IF(M873="","",IF(AND(N873=_xlfn.MAXIFS(TF_AktSum,TF_Nokkel,M873),COUNTIFS(M$3:M872,M873,N$3:N872,N873)=0),M873,""))</f>
        <v/>
      </c>
    </row>
    <row r="874">
      <c r="A874" s="34" t="n"/>
      <c r="B874" s="35" t="n"/>
      <c r="C874" s="35" t="n"/>
      <c r="D874" s="35" t="n"/>
      <c r="E874" s="35" t="n"/>
      <c r="F874" s="36" t="n"/>
      <c r="G874" s="35" t="n"/>
      <c r="H874" s="30">
        <f>IF(L874="","",INDEX(SkiftNavn,L874))</f>
        <v/>
      </c>
      <c r="I874" s="30">
        <f>IF(OR(A874="",L874=""),"",IF(MOD(A874-INDEX(SkiftStart,L874),Syklus)&lt;DagK,"Kveld",IF(MOD(A874-INDEX(SkiftStart,L874),Syklus)&lt;DagK+DagH,"Helg",IF(MOD(A874-INDEX(SkiftStart,L874),Syklus)&lt;DagK+DagH+DagD,"Dag","Fri"))))</f>
        <v/>
      </c>
      <c r="J874" s="30">
        <f>IF(I874="Fri","Ja","")</f>
        <v/>
      </c>
      <c r="K874" s="30">
        <f>IF(B874="","",IF(L874="","Ukjent tekniker",IF(ISNA(MATCH(C874,Aktiviteter,0)),"Ukjent aktivitet",IF(AND(INDEX(AktRolle,MATCH(C874,Aktiviteter,0))&amp;""&lt;&gt;"",ISERROR(SEARCH(INDEX(AktRolle,MATCH(C874,Aktiviteter,0))&amp;"",INDEX(TekRoller,MATCH(B874,Teknikere,0))))),"Mangler rollen "&amp;INDEX(AktRolle,MATCH(C874,Aktiviteter,0))&amp;"",IF(AND(C874="LMS",F874&gt;0,OR(D874="",E874="")),"Mangler maskin eller arbeid",IF(AND(OR(C874="LMS",C874="Mod"),D874&lt;&gt;""),IF(IFERROR(INDEX(MaskinStatus,MATCH(D874,Maskiner,0)),"")="I dokk","","Maskinen er ikke i dokk"),""))))))</f>
        <v/>
      </c>
      <c r="L874" s="2">
        <f>IF(B874="","",IFERROR(INT((MATCH(B874,Teknikere,0)-1)/18)+1,""))</f>
        <v/>
      </c>
      <c r="M874" s="2">
        <f>IF(OR(A874="",B874=""),"",B874&amp;"|"&amp;A874)</f>
        <v/>
      </c>
      <c r="N874" s="2">
        <f>IF(M874="","",SUMIFS(TF_Timer,TF_Nokkel,M874,TF_Akt,C874))</f>
        <v/>
      </c>
      <c r="O874" s="2">
        <f>IF(M874="","",IF(AND(N874=_xlfn.MAXIFS(TF_AktSum,TF_Nokkel,M874),COUNTIFS(M$3:M873,M874,N$3:N873,N874)=0),M874,""))</f>
        <v/>
      </c>
    </row>
    <row r="875">
      <c r="A875" s="34" t="n"/>
      <c r="B875" s="35" t="n"/>
      <c r="C875" s="35" t="n"/>
      <c r="D875" s="35" t="n"/>
      <c r="E875" s="35" t="n"/>
      <c r="F875" s="36" t="n"/>
      <c r="G875" s="35" t="n"/>
      <c r="H875" s="30">
        <f>IF(L875="","",INDEX(SkiftNavn,L875))</f>
        <v/>
      </c>
      <c r="I875" s="30">
        <f>IF(OR(A875="",L875=""),"",IF(MOD(A875-INDEX(SkiftStart,L875),Syklus)&lt;DagK,"Kveld",IF(MOD(A875-INDEX(SkiftStart,L875),Syklus)&lt;DagK+DagH,"Helg",IF(MOD(A875-INDEX(SkiftStart,L875),Syklus)&lt;DagK+DagH+DagD,"Dag","Fri"))))</f>
        <v/>
      </c>
      <c r="J875" s="30">
        <f>IF(I875="Fri","Ja","")</f>
        <v/>
      </c>
      <c r="K875" s="30">
        <f>IF(B875="","",IF(L875="","Ukjent tekniker",IF(ISNA(MATCH(C875,Aktiviteter,0)),"Ukjent aktivitet",IF(AND(INDEX(AktRolle,MATCH(C875,Aktiviteter,0))&amp;""&lt;&gt;"",ISERROR(SEARCH(INDEX(AktRolle,MATCH(C875,Aktiviteter,0))&amp;"",INDEX(TekRoller,MATCH(B875,Teknikere,0))))),"Mangler rollen "&amp;INDEX(AktRolle,MATCH(C875,Aktiviteter,0))&amp;"",IF(AND(C875="LMS",F875&gt;0,OR(D875="",E875="")),"Mangler maskin eller arbeid",IF(AND(OR(C875="LMS",C875="Mod"),D875&lt;&gt;""),IF(IFERROR(INDEX(MaskinStatus,MATCH(D875,Maskiner,0)),"")="I dokk","","Maskinen er ikke i dokk"),""))))))</f>
        <v/>
      </c>
      <c r="L875" s="2">
        <f>IF(B875="","",IFERROR(INT((MATCH(B875,Teknikere,0)-1)/18)+1,""))</f>
        <v/>
      </c>
      <c r="M875" s="2">
        <f>IF(OR(A875="",B875=""),"",B875&amp;"|"&amp;A875)</f>
        <v/>
      </c>
      <c r="N875" s="2">
        <f>IF(M875="","",SUMIFS(TF_Timer,TF_Nokkel,M875,TF_Akt,C875))</f>
        <v/>
      </c>
      <c r="O875" s="2">
        <f>IF(M875="","",IF(AND(N875=_xlfn.MAXIFS(TF_AktSum,TF_Nokkel,M875),COUNTIFS(M$3:M874,M875,N$3:N874,N875)=0),M875,""))</f>
        <v/>
      </c>
    </row>
    <row r="876">
      <c r="A876" s="34" t="n"/>
      <c r="B876" s="35" t="n"/>
      <c r="C876" s="35" t="n"/>
      <c r="D876" s="35" t="n"/>
      <c r="E876" s="35" t="n"/>
      <c r="F876" s="36" t="n"/>
      <c r="G876" s="35" t="n"/>
      <c r="H876" s="30">
        <f>IF(L876="","",INDEX(SkiftNavn,L876))</f>
        <v/>
      </c>
      <c r="I876" s="30">
        <f>IF(OR(A876="",L876=""),"",IF(MOD(A876-INDEX(SkiftStart,L876),Syklus)&lt;DagK,"Kveld",IF(MOD(A876-INDEX(SkiftStart,L876),Syklus)&lt;DagK+DagH,"Helg",IF(MOD(A876-INDEX(SkiftStart,L876),Syklus)&lt;DagK+DagH+DagD,"Dag","Fri"))))</f>
        <v/>
      </c>
      <c r="J876" s="30">
        <f>IF(I876="Fri","Ja","")</f>
        <v/>
      </c>
      <c r="K876" s="30">
        <f>IF(B876="","",IF(L876="","Ukjent tekniker",IF(ISNA(MATCH(C876,Aktiviteter,0)),"Ukjent aktivitet",IF(AND(INDEX(AktRolle,MATCH(C876,Aktiviteter,0))&amp;""&lt;&gt;"",ISERROR(SEARCH(INDEX(AktRolle,MATCH(C876,Aktiviteter,0))&amp;"",INDEX(TekRoller,MATCH(B876,Teknikere,0))))),"Mangler rollen "&amp;INDEX(AktRolle,MATCH(C876,Aktiviteter,0))&amp;"",IF(AND(C876="LMS",F876&gt;0,OR(D876="",E876="")),"Mangler maskin eller arbeid",IF(AND(OR(C876="LMS",C876="Mod"),D876&lt;&gt;""),IF(IFERROR(INDEX(MaskinStatus,MATCH(D876,Maskiner,0)),"")="I dokk","","Maskinen er ikke i dokk"),""))))))</f>
        <v/>
      </c>
      <c r="L876" s="2">
        <f>IF(B876="","",IFERROR(INT((MATCH(B876,Teknikere,0)-1)/18)+1,""))</f>
        <v/>
      </c>
      <c r="M876" s="2">
        <f>IF(OR(A876="",B876=""),"",B876&amp;"|"&amp;A876)</f>
        <v/>
      </c>
      <c r="N876" s="2">
        <f>IF(M876="","",SUMIFS(TF_Timer,TF_Nokkel,M876,TF_Akt,C876))</f>
        <v/>
      </c>
      <c r="O876" s="2">
        <f>IF(M876="","",IF(AND(N876=_xlfn.MAXIFS(TF_AktSum,TF_Nokkel,M876),COUNTIFS(M$3:M875,M876,N$3:N875,N876)=0),M876,""))</f>
        <v/>
      </c>
    </row>
    <row r="877">
      <c r="A877" s="34" t="n"/>
      <c r="B877" s="35" t="n"/>
      <c r="C877" s="35" t="n"/>
      <c r="D877" s="35" t="n"/>
      <c r="E877" s="35" t="n"/>
      <c r="F877" s="36" t="n"/>
      <c r="G877" s="35" t="n"/>
      <c r="H877" s="30">
        <f>IF(L877="","",INDEX(SkiftNavn,L877))</f>
        <v/>
      </c>
      <c r="I877" s="30">
        <f>IF(OR(A877="",L877=""),"",IF(MOD(A877-INDEX(SkiftStart,L877),Syklus)&lt;DagK,"Kveld",IF(MOD(A877-INDEX(SkiftStart,L877),Syklus)&lt;DagK+DagH,"Helg",IF(MOD(A877-INDEX(SkiftStart,L877),Syklus)&lt;DagK+DagH+DagD,"Dag","Fri"))))</f>
        <v/>
      </c>
      <c r="J877" s="30">
        <f>IF(I877="Fri","Ja","")</f>
        <v/>
      </c>
      <c r="K877" s="30">
        <f>IF(B877="","",IF(L877="","Ukjent tekniker",IF(ISNA(MATCH(C877,Aktiviteter,0)),"Ukjent aktivitet",IF(AND(INDEX(AktRolle,MATCH(C877,Aktiviteter,0))&amp;""&lt;&gt;"",ISERROR(SEARCH(INDEX(AktRolle,MATCH(C877,Aktiviteter,0))&amp;"",INDEX(TekRoller,MATCH(B877,Teknikere,0))))),"Mangler rollen "&amp;INDEX(AktRolle,MATCH(C877,Aktiviteter,0))&amp;"",IF(AND(C877="LMS",F877&gt;0,OR(D877="",E877="")),"Mangler maskin eller arbeid",IF(AND(OR(C877="LMS",C877="Mod"),D877&lt;&gt;""),IF(IFERROR(INDEX(MaskinStatus,MATCH(D877,Maskiner,0)),"")="I dokk","","Maskinen er ikke i dokk"),""))))))</f>
        <v/>
      </c>
      <c r="L877" s="2">
        <f>IF(B877="","",IFERROR(INT((MATCH(B877,Teknikere,0)-1)/18)+1,""))</f>
        <v/>
      </c>
      <c r="M877" s="2">
        <f>IF(OR(A877="",B877=""),"",B877&amp;"|"&amp;A877)</f>
        <v/>
      </c>
      <c r="N877" s="2">
        <f>IF(M877="","",SUMIFS(TF_Timer,TF_Nokkel,M877,TF_Akt,C877))</f>
        <v/>
      </c>
      <c r="O877" s="2">
        <f>IF(M877="","",IF(AND(N877=_xlfn.MAXIFS(TF_AktSum,TF_Nokkel,M877),COUNTIFS(M$3:M876,M877,N$3:N876,N877)=0),M877,""))</f>
        <v/>
      </c>
    </row>
    <row r="878">
      <c r="A878" s="34" t="n"/>
      <c r="B878" s="35" t="n"/>
      <c r="C878" s="35" t="n"/>
      <c r="D878" s="35" t="n"/>
      <c r="E878" s="35" t="n"/>
      <c r="F878" s="36" t="n"/>
      <c r="G878" s="35" t="n"/>
      <c r="H878" s="30">
        <f>IF(L878="","",INDEX(SkiftNavn,L878))</f>
        <v/>
      </c>
      <c r="I878" s="30">
        <f>IF(OR(A878="",L878=""),"",IF(MOD(A878-INDEX(SkiftStart,L878),Syklus)&lt;DagK,"Kveld",IF(MOD(A878-INDEX(SkiftStart,L878),Syklus)&lt;DagK+DagH,"Helg",IF(MOD(A878-INDEX(SkiftStart,L878),Syklus)&lt;DagK+DagH+DagD,"Dag","Fri"))))</f>
        <v/>
      </c>
      <c r="J878" s="30">
        <f>IF(I878="Fri","Ja","")</f>
        <v/>
      </c>
      <c r="K878" s="30">
        <f>IF(B878="","",IF(L878="","Ukjent tekniker",IF(ISNA(MATCH(C878,Aktiviteter,0)),"Ukjent aktivitet",IF(AND(INDEX(AktRolle,MATCH(C878,Aktiviteter,0))&amp;""&lt;&gt;"",ISERROR(SEARCH(INDEX(AktRolle,MATCH(C878,Aktiviteter,0))&amp;"",INDEX(TekRoller,MATCH(B878,Teknikere,0))))),"Mangler rollen "&amp;INDEX(AktRolle,MATCH(C878,Aktiviteter,0))&amp;"",IF(AND(C878="LMS",F878&gt;0,OR(D878="",E878="")),"Mangler maskin eller arbeid",IF(AND(OR(C878="LMS",C878="Mod"),D878&lt;&gt;""),IF(IFERROR(INDEX(MaskinStatus,MATCH(D878,Maskiner,0)),"")="I dokk","","Maskinen er ikke i dokk"),""))))))</f>
        <v/>
      </c>
      <c r="L878" s="2">
        <f>IF(B878="","",IFERROR(INT((MATCH(B878,Teknikere,0)-1)/18)+1,""))</f>
        <v/>
      </c>
      <c r="M878" s="2">
        <f>IF(OR(A878="",B878=""),"",B878&amp;"|"&amp;A878)</f>
        <v/>
      </c>
      <c r="N878" s="2">
        <f>IF(M878="","",SUMIFS(TF_Timer,TF_Nokkel,M878,TF_Akt,C878))</f>
        <v/>
      </c>
      <c r="O878" s="2">
        <f>IF(M878="","",IF(AND(N878=_xlfn.MAXIFS(TF_AktSum,TF_Nokkel,M878),COUNTIFS(M$3:M877,M878,N$3:N877,N878)=0),M878,""))</f>
        <v/>
      </c>
    </row>
    <row r="879">
      <c r="A879" s="34" t="n"/>
      <c r="B879" s="35" t="n"/>
      <c r="C879" s="35" t="n"/>
      <c r="D879" s="35" t="n"/>
      <c r="E879" s="35" t="n"/>
      <c r="F879" s="36" t="n"/>
      <c r="G879" s="35" t="n"/>
      <c r="H879" s="30">
        <f>IF(L879="","",INDEX(SkiftNavn,L879))</f>
        <v/>
      </c>
      <c r="I879" s="30">
        <f>IF(OR(A879="",L879=""),"",IF(MOD(A879-INDEX(SkiftStart,L879),Syklus)&lt;DagK,"Kveld",IF(MOD(A879-INDEX(SkiftStart,L879),Syklus)&lt;DagK+DagH,"Helg",IF(MOD(A879-INDEX(SkiftStart,L879),Syklus)&lt;DagK+DagH+DagD,"Dag","Fri"))))</f>
        <v/>
      </c>
      <c r="J879" s="30">
        <f>IF(I879="Fri","Ja","")</f>
        <v/>
      </c>
      <c r="K879" s="30">
        <f>IF(B879="","",IF(L879="","Ukjent tekniker",IF(ISNA(MATCH(C879,Aktiviteter,0)),"Ukjent aktivitet",IF(AND(INDEX(AktRolle,MATCH(C879,Aktiviteter,0))&amp;""&lt;&gt;"",ISERROR(SEARCH(INDEX(AktRolle,MATCH(C879,Aktiviteter,0))&amp;"",INDEX(TekRoller,MATCH(B879,Teknikere,0))))),"Mangler rollen "&amp;INDEX(AktRolle,MATCH(C879,Aktiviteter,0))&amp;"",IF(AND(C879="LMS",F879&gt;0,OR(D879="",E879="")),"Mangler maskin eller arbeid",IF(AND(OR(C879="LMS",C879="Mod"),D879&lt;&gt;""),IF(IFERROR(INDEX(MaskinStatus,MATCH(D879,Maskiner,0)),"")="I dokk","","Maskinen er ikke i dokk"),""))))))</f>
        <v/>
      </c>
      <c r="L879" s="2">
        <f>IF(B879="","",IFERROR(INT((MATCH(B879,Teknikere,0)-1)/18)+1,""))</f>
        <v/>
      </c>
      <c r="M879" s="2">
        <f>IF(OR(A879="",B879=""),"",B879&amp;"|"&amp;A879)</f>
        <v/>
      </c>
      <c r="N879" s="2">
        <f>IF(M879="","",SUMIFS(TF_Timer,TF_Nokkel,M879,TF_Akt,C879))</f>
        <v/>
      </c>
      <c r="O879" s="2">
        <f>IF(M879="","",IF(AND(N879=_xlfn.MAXIFS(TF_AktSum,TF_Nokkel,M879),COUNTIFS(M$3:M878,M879,N$3:N878,N879)=0),M879,""))</f>
        <v/>
      </c>
    </row>
    <row r="880">
      <c r="A880" s="34" t="n"/>
      <c r="B880" s="35" t="n"/>
      <c r="C880" s="35" t="n"/>
      <c r="D880" s="35" t="n"/>
      <c r="E880" s="35" t="n"/>
      <c r="F880" s="36" t="n"/>
      <c r="G880" s="35" t="n"/>
      <c r="H880" s="30">
        <f>IF(L880="","",INDEX(SkiftNavn,L880))</f>
        <v/>
      </c>
      <c r="I880" s="30">
        <f>IF(OR(A880="",L880=""),"",IF(MOD(A880-INDEX(SkiftStart,L880),Syklus)&lt;DagK,"Kveld",IF(MOD(A880-INDEX(SkiftStart,L880),Syklus)&lt;DagK+DagH,"Helg",IF(MOD(A880-INDEX(SkiftStart,L880),Syklus)&lt;DagK+DagH+DagD,"Dag","Fri"))))</f>
        <v/>
      </c>
      <c r="J880" s="30">
        <f>IF(I880="Fri","Ja","")</f>
        <v/>
      </c>
      <c r="K880" s="30">
        <f>IF(B880="","",IF(L880="","Ukjent tekniker",IF(ISNA(MATCH(C880,Aktiviteter,0)),"Ukjent aktivitet",IF(AND(INDEX(AktRolle,MATCH(C880,Aktiviteter,0))&amp;""&lt;&gt;"",ISERROR(SEARCH(INDEX(AktRolle,MATCH(C880,Aktiviteter,0))&amp;"",INDEX(TekRoller,MATCH(B880,Teknikere,0))))),"Mangler rollen "&amp;INDEX(AktRolle,MATCH(C880,Aktiviteter,0))&amp;"",IF(AND(C880="LMS",F880&gt;0,OR(D880="",E880="")),"Mangler maskin eller arbeid",IF(AND(OR(C880="LMS",C880="Mod"),D880&lt;&gt;""),IF(IFERROR(INDEX(MaskinStatus,MATCH(D880,Maskiner,0)),"")="I dokk","","Maskinen er ikke i dokk"),""))))))</f>
        <v/>
      </c>
      <c r="L880" s="2">
        <f>IF(B880="","",IFERROR(INT((MATCH(B880,Teknikere,0)-1)/18)+1,""))</f>
        <v/>
      </c>
      <c r="M880" s="2">
        <f>IF(OR(A880="",B880=""),"",B880&amp;"|"&amp;A880)</f>
        <v/>
      </c>
      <c r="N880" s="2">
        <f>IF(M880="","",SUMIFS(TF_Timer,TF_Nokkel,M880,TF_Akt,C880))</f>
        <v/>
      </c>
      <c r="O880" s="2">
        <f>IF(M880="","",IF(AND(N880=_xlfn.MAXIFS(TF_AktSum,TF_Nokkel,M880),COUNTIFS(M$3:M879,M880,N$3:N879,N880)=0),M880,""))</f>
        <v/>
      </c>
    </row>
    <row r="881">
      <c r="A881" s="34" t="n"/>
      <c r="B881" s="35" t="n"/>
      <c r="C881" s="35" t="n"/>
      <c r="D881" s="35" t="n"/>
      <c r="E881" s="35" t="n"/>
      <c r="F881" s="36" t="n"/>
      <c r="G881" s="35" t="n"/>
      <c r="H881" s="30">
        <f>IF(L881="","",INDEX(SkiftNavn,L881))</f>
        <v/>
      </c>
      <c r="I881" s="30">
        <f>IF(OR(A881="",L881=""),"",IF(MOD(A881-INDEX(SkiftStart,L881),Syklus)&lt;DagK,"Kveld",IF(MOD(A881-INDEX(SkiftStart,L881),Syklus)&lt;DagK+DagH,"Helg",IF(MOD(A881-INDEX(SkiftStart,L881),Syklus)&lt;DagK+DagH+DagD,"Dag","Fri"))))</f>
        <v/>
      </c>
      <c r="J881" s="30">
        <f>IF(I881="Fri","Ja","")</f>
        <v/>
      </c>
      <c r="K881" s="30">
        <f>IF(B881="","",IF(L881="","Ukjent tekniker",IF(ISNA(MATCH(C881,Aktiviteter,0)),"Ukjent aktivitet",IF(AND(INDEX(AktRolle,MATCH(C881,Aktiviteter,0))&amp;""&lt;&gt;"",ISERROR(SEARCH(INDEX(AktRolle,MATCH(C881,Aktiviteter,0))&amp;"",INDEX(TekRoller,MATCH(B881,Teknikere,0))))),"Mangler rollen "&amp;INDEX(AktRolle,MATCH(C881,Aktiviteter,0))&amp;"",IF(AND(C881="LMS",F881&gt;0,OR(D881="",E881="")),"Mangler maskin eller arbeid",IF(AND(OR(C881="LMS",C881="Mod"),D881&lt;&gt;""),IF(IFERROR(INDEX(MaskinStatus,MATCH(D881,Maskiner,0)),"")="I dokk","","Maskinen er ikke i dokk"),""))))))</f>
        <v/>
      </c>
      <c r="L881" s="2">
        <f>IF(B881="","",IFERROR(INT((MATCH(B881,Teknikere,0)-1)/18)+1,""))</f>
        <v/>
      </c>
      <c r="M881" s="2">
        <f>IF(OR(A881="",B881=""),"",B881&amp;"|"&amp;A881)</f>
        <v/>
      </c>
      <c r="N881" s="2">
        <f>IF(M881="","",SUMIFS(TF_Timer,TF_Nokkel,M881,TF_Akt,C881))</f>
        <v/>
      </c>
      <c r="O881" s="2">
        <f>IF(M881="","",IF(AND(N881=_xlfn.MAXIFS(TF_AktSum,TF_Nokkel,M881),COUNTIFS(M$3:M880,M881,N$3:N880,N881)=0),M881,""))</f>
        <v/>
      </c>
    </row>
    <row r="882">
      <c r="A882" s="34" t="n"/>
      <c r="B882" s="35" t="n"/>
      <c r="C882" s="35" t="n"/>
      <c r="D882" s="35" t="n"/>
      <c r="E882" s="35" t="n"/>
      <c r="F882" s="36" t="n"/>
      <c r="G882" s="35" t="n"/>
      <c r="H882" s="30">
        <f>IF(L882="","",INDEX(SkiftNavn,L882))</f>
        <v/>
      </c>
      <c r="I882" s="30">
        <f>IF(OR(A882="",L882=""),"",IF(MOD(A882-INDEX(SkiftStart,L882),Syklus)&lt;DagK,"Kveld",IF(MOD(A882-INDEX(SkiftStart,L882),Syklus)&lt;DagK+DagH,"Helg",IF(MOD(A882-INDEX(SkiftStart,L882),Syklus)&lt;DagK+DagH+DagD,"Dag","Fri"))))</f>
        <v/>
      </c>
      <c r="J882" s="30">
        <f>IF(I882="Fri","Ja","")</f>
        <v/>
      </c>
      <c r="K882" s="30">
        <f>IF(B882="","",IF(L882="","Ukjent tekniker",IF(ISNA(MATCH(C882,Aktiviteter,0)),"Ukjent aktivitet",IF(AND(INDEX(AktRolle,MATCH(C882,Aktiviteter,0))&amp;""&lt;&gt;"",ISERROR(SEARCH(INDEX(AktRolle,MATCH(C882,Aktiviteter,0))&amp;"",INDEX(TekRoller,MATCH(B882,Teknikere,0))))),"Mangler rollen "&amp;INDEX(AktRolle,MATCH(C882,Aktiviteter,0))&amp;"",IF(AND(C882="LMS",F882&gt;0,OR(D882="",E882="")),"Mangler maskin eller arbeid",IF(AND(OR(C882="LMS",C882="Mod"),D882&lt;&gt;""),IF(IFERROR(INDEX(MaskinStatus,MATCH(D882,Maskiner,0)),"")="I dokk","","Maskinen er ikke i dokk"),""))))))</f>
        <v/>
      </c>
      <c r="L882" s="2">
        <f>IF(B882="","",IFERROR(INT((MATCH(B882,Teknikere,0)-1)/18)+1,""))</f>
        <v/>
      </c>
      <c r="M882" s="2">
        <f>IF(OR(A882="",B882=""),"",B882&amp;"|"&amp;A882)</f>
        <v/>
      </c>
      <c r="N882" s="2">
        <f>IF(M882="","",SUMIFS(TF_Timer,TF_Nokkel,M882,TF_Akt,C882))</f>
        <v/>
      </c>
      <c r="O882" s="2">
        <f>IF(M882="","",IF(AND(N882=_xlfn.MAXIFS(TF_AktSum,TF_Nokkel,M882),COUNTIFS(M$3:M881,M882,N$3:N881,N882)=0),M882,""))</f>
        <v/>
      </c>
    </row>
    <row r="883">
      <c r="A883" s="34" t="n"/>
      <c r="B883" s="35" t="n"/>
      <c r="C883" s="35" t="n"/>
      <c r="D883" s="35" t="n"/>
      <c r="E883" s="35" t="n"/>
      <c r="F883" s="36" t="n"/>
      <c r="G883" s="35" t="n"/>
      <c r="H883" s="30">
        <f>IF(L883="","",INDEX(SkiftNavn,L883))</f>
        <v/>
      </c>
      <c r="I883" s="30">
        <f>IF(OR(A883="",L883=""),"",IF(MOD(A883-INDEX(SkiftStart,L883),Syklus)&lt;DagK,"Kveld",IF(MOD(A883-INDEX(SkiftStart,L883),Syklus)&lt;DagK+DagH,"Helg",IF(MOD(A883-INDEX(SkiftStart,L883),Syklus)&lt;DagK+DagH+DagD,"Dag","Fri"))))</f>
        <v/>
      </c>
      <c r="J883" s="30">
        <f>IF(I883="Fri","Ja","")</f>
        <v/>
      </c>
      <c r="K883" s="30">
        <f>IF(B883="","",IF(L883="","Ukjent tekniker",IF(ISNA(MATCH(C883,Aktiviteter,0)),"Ukjent aktivitet",IF(AND(INDEX(AktRolle,MATCH(C883,Aktiviteter,0))&amp;""&lt;&gt;"",ISERROR(SEARCH(INDEX(AktRolle,MATCH(C883,Aktiviteter,0))&amp;"",INDEX(TekRoller,MATCH(B883,Teknikere,0))))),"Mangler rollen "&amp;INDEX(AktRolle,MATCH(C883,Aktiviteter,0))&amp;"",IF(AND(C883="LMS",F883&gt;0,OR(D883="",E883="")),"Mangler maskin eller arbeid",IF(AND(OR(C883="LMS",C883="Mod"),D883&lt;&gt;""),IF(IFERROR(INDEX(MaskinStatus,MATCH(D883,Maskiner,0)),"")="I dokk","","Maskinen er ikke i dokk"),""))))))</f>
        <v/>
      </c>
      <c r="L883" s="2">
        <f>IF(B883="","",IFERROR(INT((MATCH(B883,Teknikere,0)-1)/18)+1,""))</f>
        <v/>
      </c>
      <c r="M883" s="2">
        <f>IF(OR(A883="",B883=""),"",B883&amp;"|"&amp;A883)</f>
        <v/>
      </c>
      <c r="N883" s="2">
        <f>IF(M883="","",SUMIFS(TF_Timer,TF_Nokkel,M883,TF_Akt,C883))</f>
        <v/>
      </c>
      <c r="O883" s="2">
        <f>IF(M883="","",IF(AND(N883=_xlfn.MAXIFS(TF_AktSum,TF_Nokkel,M883),COUNTIFS(M$3:M882,M883,N$3:N882,N883)=0),M883,""))</f>
        <v/>
      </c>
    </row>
    <row r="884">
      <c r="A884" s="34" t="n"/>
      <c r="B884" s="35" t="n"/>
      <c r="C884" s="35" t="n"/>
      <c r="D884" s="35" t="n"/>
      <c r="E884" s="35" t="n"/>
      <c r="F884" s="36" t="n"/>
      <c r="G884" s="35" t="n"/>
      <c r="H884" s="30">
        <f>IF(L884="","",INDEX(SkiftNavn,L884))</f>
        <v/>
      </c>
      <c r="I884" s="30">
        <f>IF(OR(A884="",L884=""),"",IF(MOD(A884-INDEX(SkiftStart,L884),Syklus)&lt;DagK,"Kveld",IF(MOD(A884-INDEX(SkiftStart,L884),Syklus)&lt;DagK+DagH,"Helg",IF(MOD(A884-INDEX(SkiftStart,L884),Syklus)&lt;DagK+DagH+DagD,"Dag","Fri"))))</f>
        <v/>
      </c>
      <c r="J884" s="30">
        <f>IF(I884="Fri","Ja","")</f>
        <v/>
      </c>
      <c r="K884" s="30">
        <f>IF(B884="","",IF(L884="","Ukjent tekniker",IF(ISNA(MATCH(C884,Aktiviteter,0)),"Ukjent aktivitet",IF(AND(INDEX(AktRolle,MATCH(C884,Aktiviteter,0))&amp;""&lt;&gt;"",ISERROR(SEARCH(INDEX(AktRolle,MATCH(C884,Aktiviteter,0))&amp;"",INDEX(TekRoller,MATCH(B884,Teknikere,0))))),"Mangler rollen "&amp;INDEX(AktRolle,MATCH(C884,Aktiviteter,0))&amp;"",IF(AND(C884="LMS",F884&gt;0,OR(D884="",E884="")),"Mangler maskin eller arbeid",IF(AND(OR(C884="LMS",C884="Mod"),D884&lt;&gt;""),IF(IFERROR(INDEX(MaskinStatus,MATCH(D884,Maskiner,0)),"")="I dokk","","Maskinen er ikke i dokk"),""))))))</f>
        <v/>
      </c>
      <c r="L884" s="2">
        <f>IF(B884="","",IFERROR(INT((MATCH(B884,Teknikere,0)-1)/18)+1,""))</f>
        <v/>
      </c>
      <c r="M884" s="2">
        <f>IF(OR(A884="",B884=""),"",B884&amp;"|"&amp;A884)</f>
        <v/>
      </c>
      <c r="N884" s="2">
        <f>IF(M884="","",SUMIFS(TF_Timer,TF_Nokkel,M884,TF_Akt,C884))</f>
        <v/>
      </c>
      <c r="O884" s="2">
        <f>IF(M884="","",IF(AND(N884=_xlfn.MAXIFS(TF_AktSum,TF_Nokkel,M884),COUNTIFS(M$3:M883,M884,N$3:N883,N884)=0),M884,""))</f>
        <v/>
      </c>
    </row>
    <row r="885">
      <c r="A885" s="34" t="n"/>
      <c r="B885" s="35" t="n"/>
      <c r="C885" s="35" t="n"/>
      <c r="D885" s="35" t="n"/>
      <c r="E885" s="35" t="n"/>
      <c r="F885" s="36" t="n"/>
      <c r="G885" s="35" t="n"/>
      <c r="H885" s="30">
        <f>IF(L885="","",INDEX(SkiftNavn,L885))</f>
        <v/>
      </c>
      <c r="I885" s="30">
        <f>IF(OR(A885="",L885=""),"",IF(MOD(A885-INDEX(SkiftStart,L885),Syklus)&lt;DagK,"Kveld",IF(MOD(A885-INDEX(SkiftStart,L885),Syklus)&lt;DagK+DagH,"Helg",IF(MOD(A885-INDEX(SkiftStart,L885),Syklus)&lt;DagK+DagH+DagD,"Dag","Fri"))))</f>
        <v/>
      </c>
      <c r="J885" s="30">
        <f>IF(I885="Fri","Ja","")</f>
        <v/>
      </c>
      <c r="K885" s="30">
        <f>IF(B885="","",IF(L885="","Ukjent tekniker",IF(ISNA(MATCH(C885,Aktiviteter,0)),"Ukjent aktivitet",IF(AND(INDEX(AktRolle,MATCH(C885,Aktiviteter,0))&amp;""&lt;&gt;"",ISERROR(SEARCH(INDEX(AktRolle,MATCH(C885,Aktiviteter,0))&amp;"",INDEX(TekRoller,MATCH(B885,Teknikere,0))))),"Mangler rollen "&amp;INDEX(AktRolle,MATCH(C885,Aktiviteter,0))&amp;"",IF(AND(C885="LMS",F885&gt;0,OR(D885="",E885="")),"Mangler maskin eller arbeid",IF(AND(OR(C885="LMS",C885="Mod"),D885&lt;&gt;""),IF(IFERROR(INDEX(MaskinStatus,MATCH(D885,Maskiner,0)),"")="I dokk","","Maskinen er ikke i dokk"),""))))))</f>
        <v/>
      </c>
      <c r="L885" s="2">
        <f>IF(B885="","",IFERROR(INT((MATCH(B885,Teknikere,0)-1)/18)+1,""))</f>
        <v/>
      </c>
      <c r="M885" s="2">
        <f>IF(OR(A885="",B885=""),"",B885&amp;"|"&amp;A885)</f>
        <v/>
      </c>
      <c r="N885" s="2">
        <f>IF(M885="","",SUMIFS(TF_Timer,TF_Nokkel,M885,TF_Akt,C885))</f>
        <v/>
      </c>
      <c r="O885" s="2">
        <f>IF(M885="","",IF(AND(N885=_xlfn.MAXIFS(TF_AktSum,TF_Nokkel,M885),COUNTIFS(M$3:M884,M885,N$3:N884,N885)=0),M885,""))</f>
        <v/>
      </c>
    </row>
    <row r="886">
      <c r="A886" s="34" t="n"/>
      <c r="B886" s="35" t="n"/>
      <c r="C886" s="35" t="n"/>
      <c r="D886" s="35" t="n"/>
      <c r="E886" s="35" t="n"/>
      <c r="F886" s="36" t="n"/>
      <c r="G886" s="35" t="n"/>
      <c r="H886" s="30">
        <f>IF(L886="","",INDEX(SkiftNavn,L886))</f>
        <v/>
      </c>
      <c r="I886" s="30">
        <f>IF(OR(A886="",L886=""),"",IF(MOD(A886-INDEX(SkiftStart,L886),Syklus)&lt;DagK,"Kveld",IF(MOD(A886-INDEX(SkiftStart,L886),Syklus)&lt;DagK+DagH,"Helg",IF(MOD(A886-INDEX(SkiftStart,L886),Syklus)&lt;DagK+DagH+DagD,"Dag","Fri"))))</f>
        <v/>
      </c>
      <c r="J886" s="30">
        <f>IF(I886="Fri","Ja","")</f>
        <v/>
      </c>
      <c r="K886" s="30">
        <f>IF(B886="","",IF(L886="","Ukjent tekniker",IF(ISNA(MATCH(C886,Aktiviteter,0)),"Ukjent aktivitet",IF(AND(INDEX(AktRolle,MATCH(C886,Aktiviteter,0))&amp;""&lt;&gt;"",ISERROR(SEARCH(INDEX(AktRolle,MATCH(C886,Aktiviteter,0))&amp;"",INDEX(TekRoller,MATCH(B886,Teknikere,0))))),"Mangler rollen "&amp;INDEX(AktRolle,MATCH(C886,Aktiviteter,0))&amp;"",IF(AND(C886="LMS",F886&gt;0,OR(D886="",E886="")),"Mangler maskin eller arbeid",IF(AND(OR(C886="LMS",C886="Mod"),D886&lt;&gt;""),IF(IFERROR(INDEX(MaskinStatus,MATCH(D886,Maskiner,0)),"")="I dokk","","Maskinen er ikke i dokk"),""))))))</f>
        <v/>
      </c>
      <c r="L886" s="2">
        <f>IF(B886="","",IFERROR(INT((MATCH(B886,Teknikere,0)-1)/18)+1,""))</f>
        <v/>
      </c>
      <c r="M886" s="2">
        <f>IF(OR(A886="",B886=""),"",B886&amp;"|"&amp;A886)</f>
        <v/>
      </c>
      <c r="N886" s="2">
        <f>IF(M886="","",SUMIFS(TF_Timer,TF_Nokkel,M886,TF_Akt,C886))</f>
        <v/>
      </c>
      <c r="O886" s="2">
        <f>IF(M886="","",IF(AND(N886=_xlfn.MAXIFS(TF_AktSum,TF_Nokkel,M886),COUNTIFS(M$3:M885,M886,N$3:N885,N886)=0),M886,""))</f>
        <v/>
      </c>
    </row>
    <row r="887">
      <c r="A887" s="34" t="n"/>
      <c r="B887" s="35" t="n"/>
      <c r="C887" s="35" t="n"/>
      <c r="D887" s="35" t="n"/>
      <c r="E887" s="35" t="n"/>
      <c r="F887" s="36" t="n"/>
      <c r="G887" s="35" t="n"/>
      <c r="H887" s="30">
        <f>IF(L887="","",INDEX(SkiftNavn,L887))</f>
        <v/>
      </c>
      <c r="I887" s="30">
        <f>IF(OR(A887="",L887=""),"",IF(MOD(A887-INDEX(SkiftStart,L887),Syklus)&lt;DagK,"Kveld",IF(MOD(A887-INDEX(SkiftStart,L887),Syklus)&lt;DagK+DagH,"Helg",IF(MOD(A887-INDEX(SkiftStart,L887),Syklus)&lt;DagK+DagH+DagD,"Dag","Fri"))))</f>
        <v/>
      </c>
      <c r="J887" s="30">
        <f>IF(I887="Fri","Ja","")</f>
        <v/>
      </c>
      <c r="K887" s="30">
        <f>IF(B887="","",IF(L887="","Ukjent tekniker",IF(ISNA(MATCH(C887,Aktiviteter,0)),"Ukjent aktivitet",IF(AND(INDEX(AktRolle,MATCH(C887,Aktiviteter,0))&amp;""&lt;&gt;"",ISERROR(SEARCH(INDEX(AktRolle,MATCH(C887,Aktiviteter,0))&amp;"",INDEX(TekRoller,MATCH(B887,Teknikere,0))))),"Mangler rollen "&amp;INDEX(AktRolle,MATCH(C887,Aktiviteter,0))&amp;"",IF(AND(C887="LMS",F887&gt;0,OR(D887="",E887="")),"Mangler maskin eller arbeid",IF(AND(OR(C887="LMS",C887="Mod"),D887&lt;&gt;""),IF(IFERROR(INDEX(MaskinStatus,MATCH(D887,Maskiner,0)),"")="I dokk","","Maskinen er ikke i dokk"),""))))))</f>
        <v/>
      </c>
      <c r="L887" s="2">
        <f>IF(B887="","",IFERROR(INT((MATCH(B887,Teknikere,0)-1)/18)+1,""))</f>
        <v/>
      </c>
      <c r="M887" s="2">
        <f>IF(OR(A887="",B887=""),"",B887&amp;"|"&amp;A887)</f>
        <v/>
      </c>
      <c r="N887" s="2">
        <f>IF(M887="","",SUMIFS(TF_Timer,TF_Nokkel,M887,TF_Akt,C887))</f>
        <v/>
      </c>
      <c r="O887" s="2">
        <f>IF(M887="","",IF(AND(N887=_xlfn.MAXIFS(TF_AktSum,TF_Nokkel,M887),COUNTIFS(M$3:M886,M887,N$3:N886,N887)=0),M887,""))</f>
        <v/>
      </c>
    </row>
    <row r="888">
      <c r="A888" s="34" t="n"/>
      <c r="B888" s="35" t="n"/>
      <c r="C888" s="35" t="n"/>
      <c r="D888" s="35" t="n"/>
      <c r="E888" s="35" t="n"/>
      <c r="F888" s="36" t="n"/>
      <c r="G888" s="35" t="n"/>
      <c r="H888" s="30">
        <f>IF(L888="","",INDEX(SkiftNavn,L888))</f>
        <v/>
      </c>
      <c r="I888" s="30">
        <f>IF(OR(A888="",L888=""),"",IF(MOD(A888-INDEX(SkiftStart,L888),Syklus)&lt;DagK,"Kveld",IF(MOD(A888-INDEX(SkiftStart,L888),Syklus)&lt;DagK+DagH,"Helg",IF(MOD(A888-INDEX(SkiftStart,L888),Syklus)&lt;DagK+DagH+DagD,"Dag","Fri"))))</f>
        <v/>
      </c>
      <c r="J888" s="30">
        <f>IF(I888="Fri","Ja","")</f>
        <v/>
      </c>
      <c r="K888" s="30">
        <f>IF(B888="","",IF(L888="","Ukjent tekniker",IF(ISNA(MATCH(C888,Aktiviteter,0)),"Ukjent aktivitet",IF(AND(INDEX(AktRolle,MATCH(C888,Aktiviteter,0))&amp;""&lt;&gt;"",ISERROR(SEARCH(INDEX(AktRolle,MATCH(C888,Aktiviteter,0))&amp;"",INDEX(TekRoller,MATCH(B888,Teknikere,0))))),"Mangler rollen "&amp;INDEX(AktRolle,MATCH(C888,Aktiviteter,0))&amp;"",IF(AND(C888="LMS",F888&gt;0,OR(D888="",E888="")),"Mangler maskin eller arbeid",IF(AND(OR(C888="LMS",C888="Mod"),D888&lt;&gt;""),IF(IFERROR(INDEX(MaskinStatus,MATCH(D888,Maskiner,0)),"")="I dokk","","Maskinen er ikke i dokk"),""))))))</f>
        <v/>
      </c>
      <c r="L888" s="2">
        <f>IF(B888="","",IFERROR(INT((MATCH(B888,Teknikere,0)-1)/18)+1,""))</f>
        <v/>
      </c>
      <c r="M888" s="2">
        <f>IF(OR(A888="",B888=""),"",B888&amp;"|"&amp;A888)</f>
        <v/>
      </c>
      <c r="N888" s="2">
        <f>IF(M888="","",SUMIFS(TF_Timer,TF_Nokkel,M888,TF_Akt,C888))</f>
        <v/>
      </c>
      <c r="O888" s="2">
        <f>IF(M888="","",IF(AND(N888=_xlfn.MAXIFS(TF_AktSum,TF_Nokkel,M888),COUNTIFS(M$3:M887,M888,N$3:N887,N888)=0),M888,""))</f>
        <v/>
      </c>
    </row>
    <row r="889">
      <c r="A889" s="34" t="n"/>
      <c r="B889" s="35" t="n"/>
      <c r="C889" s="35" t="n"/>
      <c r="D889" s="35" t="n"/>
      <c r="E889" s="35" t="n"/>
      <c r="F889" s="36" t="n"/>
      <c r="G889" s="35" t="n"/>
      <c r="H889" s="30">
        <f>IF(L889="","",INDEX(SkiftNavn,L889))</f>
        <v/>
      </c>
      <c r="I889" s="30">
        <f>IF(OR(A889="",L889=""),"",IF(MOD(A889-INDEX(SkiftStart,L889),Syklus)&lt;DagK,"Kveld",IF(MOD(A889-INDEX(SkiftStart,L889),Syklus)&lt;DagK+DagH,"Helg",IF(MOD(A889-INDEX(SkiftStart,L889),Syklus)&lt;DagK+DagH+DagD,"Dag","Fri"))))</f>
        <v/>
      </c>
      <c r="J889" s="30">
        <f>IF(I889="Fri","Ja","")</f>
        <v/>
      </c>
      <c r="K889" s="30">
        <f>IF(B889="","",IF(L889="","Ukjent tekniker",IF(ISNA(MATCH(C889,Aktiviteter,0)),"Ukjent aktivitet",IF(AND(INDEX(AktRolle,MATCH(C889,Aktiviteter,0))&amp;""&lt;&gt;"",ISERROR(SEARCH(INDEX(AktRolle,MATCH(C889,Aktiviteter,0))&amp;"",INDEX(TekRoller,MATCH(B889,Teknikere,0))))),"Mangler rollen "&amp;INDEX(AktRolle,MATCH(C889,Aktiviteter,0))&amp;"",IF(AND(C889="LMS",F889&gt;0,OR(D889="",E889="")),"Mangler maskin eller arbeid",IF(AND(OR(C889="LMS",C889="Mod"),D889&lt;&gt;""),IF(IFERROR(INDEX(MaskinStatus,MATCH(D889,Maskiner,0)),"")="I dokk","","Maskinen er ikke i dokk"),""))))))</f>
        <v/>
      </c>
      <c r="L889" s="2">
        <f>IF(B889="","",IFERROR(INT((MATCH(B889,Teknikere,0)-1)/18)+1,""))</f>
        <v/>
      </c>
      <c r="M889" s="2">
        <f>IF(OR(A889="",B889=""),"",B889&amp;"|"&amp;A889)</f>
        <v/>
      </c>
      <c r="N889" s="2">
        <f>IF(M889="","",SUMIFS(TF_Timer,TF_Nokkel,M889,TF_Akt,C889))</f>
        <v/>
      </c>
      <c r="O889" s="2">
        <f>IF(M889="","",IF(AND(N889=_xlfn.MAXIFS(TF_AktSum,TF_Nokkel,M889),COUNTIFS(M$3:M888,M889,N$3:N888,N889)=0),M889,""))</f>
        <v/>
      </c>
    </row>
    <row r="890">
      <c r="A890" s="34" t="n"/>
      <c r="B890" s="35" t="n"/>
      <c r="C890" s="35" t="n"/>
      <c r="D890" s="35" t="n"/>
      <c r="E890" s="35" t="n"/>
      <c r="F890" s="36" t="n"/>
      <c r="G890" s="35" t="n"/>
      <c r="H890" s="30">
        <f>IF(L890="","",INDEX(SkiftNavn,L890))</f>
        <v/>
      </c>
      <c r="I890" s="30">
        <f>IF(OR(A890="",L890=""),"",IF(MOD(A890-INDEX(SkiftStart,L890),Syklus)&lt;DagK,"Kveld",IF(MOD(A890-INDEX(SkiftStart,L890),Syklus)&lt;DagK+DagH,"Helg",IF(MOD(A890-INDEX(SkiftStart,L890),Syklus)&lt;DagK+DagH+DagD,"Dag","Fri"))))</f>
        <v/>
      </c>
      <c r="J890" s="30">
        <f>IF(I890="Fri","Ja","")</f>
        <v/>
      </c>
      <c r="K890" s="30">
        <f>IF(B890="","",IF(L890="","Ukjent tekniker",IF(ISNA(MATCH(C890,Aktiviteter,0)),"Ukjent aktivitet",IF(AND(INDEX(AktRolle,MATCH(C890,Aktiviteter,0))&amp;""&lt;&gt;"",ISERROR(SEARCH(INDEX(AktRolle,MATCH(C890,Aktiviteter,0))&amp;"",INDEX(TekRoller,MATCH(B890,Teknikere,0))))),"Mangler rollen "&amp;INDEX(AktRolle,MATCH(C890,Aktiviteter,0))&amp;"",IF(AND(C890="LMS",F890&gt;0,OR(D890="",E890="")),"Mangler maskin eller arbeid",IF(AND(OR(C890="LMS",C890="Mod"),D890&lt;&gt;""),IF(IFERROR(INDEX(MaskinStatus,MATCH(D890,Maskiner,0)),"")="I dokk","","Maskinen er ikke i dokk"),""))))))</f>
        <v/>
      </c>
      <c r="L890" s="2">
        <f>IF(B890="","",IFERROR(INT((MATCH(B890,Teknikere,0)-1)/18)+1,""))</f>
        <v/>
      </c>
      <c r="M890" s="2">
        <f>IF(OR(A890="",B890=""),"",B890&amp;"|"&amp;A890)</f>
        <v/>
      </c>
      <c r="N890" s="2">
        <f>IF(M890="","",SUMIFS(TF_Timer,TF_Nokkel,M890,TF_Akt,C890))</f>
        <v/>
      </c>
      <c r="O890" s="2">
        <f>IF(M890="","",IF(AND(N890=_xlfn.MAXIFS(TF_AktSum,TF_Nokkel,M890),COUNTIFS(M$3:M889,M890,N$3:N889,N890)=0),M890,""))</f>
        <v/>
      </c>
    </row>
    <row r="891">
      <c r="A891" s="34" t="n"/>
      <c r="B891" s="35" t="n"/>
      <c r="C891" s="35" t="n"/>
      <c r="D891" s="35" t="n"/>
      <c r="E891" s="35" t="n"/>
      <c r="F891" s="36" t="n"/>
      <c r="G891" s="35" t="n"/>
      <c r="H891" s="30">
        <f>IF(L891="","",INDEX(SkiftNavn,L891))</f>
        <v/>
      </c>
      <c r="I891" s="30">
        <f>IF(OR(A891="",L891=""),"",IF(MOD(A891-INDEX(SkiftStart,L891),Syklus)&lt;DagK,"Kveld",IF(MOD(A891-INDEX(SkiftStart,L891),Syklus)&lt;DagK+DagH,"Helg",IF(MOD(A891-INDEX(SkiftStart,L891),Syklus)&lt;DagK+DagH+DagD,"Dag","Fri"))))</f>
        <v/>
      </c>
      <c r="J891" s="30">
        <f>IF(I891="Fri","Ja","")</f>
        <v/>
      </c>
      <c r="K891" s="30">
        <f>IF(B891="","",IF(L891="","Ukjent tekniker",IF(ISNA(MATCH(C891,Aktiviteter,0)),"Ukjent aktivitet",IF(AND(INDEX(AktRolle,MATCH(C891,Aktiviteter,0))&amp;""&lt;&gt;"",ISERROR(SEARCH(INDEX(AktRolle,MATCH(C891,Aktiviteter,0))&amp;"",INDEX(TekRoller,MATCH(B891,Teknikere,0))))),"Mangler rollen "&amp;INDEX(AktRolle,MATCH(C891,Aktiviteter,0))&amp;"",IF(AND(C891="LMS",F891&gt;0,OR(D891="",E891="")),"Mangler maskin eller arbeid",IF(AND(OR(C891="LMS",C891="Mod"),D891&lt;&gt;""),IF(IFERROR(INDEX(MaskinStatus,MATCH(D891,Maskiner,0)),"")="I dokk","","Maskinen er ikke i dokk"),""))))))</f>
        <v/>
      </c>
      <c r="L891" s="2">
        <f>IF(B891="","",IFERROR(INT((MATCH(B891,Teknikere,0)-1)/18)+1,""))</f>
        <v/>
      </c>
      <c r="M891" s="2">
        <f>IF(OR(A891="",B891=""),"",B891&amp;"|"&amp;A891)</f>
        <v/>
      </c>
      <c r="N891" s="2">
        <f>IF(M891="","",SUMIFS(TF_Timer,TF_Nokkel,M891,TF_Akt,C891))</f>
        <v/>
      </c>
      <c r="O891" s="2">
        <f>IF(M891="","",IF(AND(N891=_xlfn.MAXIFS(TF_AktSum,TF_Nokkel,M891),COUNTIFS(M$3:M890,M891,N$3:N890,N891)=0),M891,""))</f>
        <v/>
      </c>
    </row>
    <row r="892">
      <c r="A892" s="34" t="n"/>
      <c r="B892" s="35" t="n"/>
      <c r="C892" s="35" t="n"/>
      <c r="D892" s="35" t="n"/>
      <c r="E892" s="35" t="n"/>
      <c r="F892" s="36" t="n"/>
      <c r="G892" s="35" t="n"/>
      <c r="H892" s="30">
        <f>IF(L892="","",INDEX(SkiftNavn,L892))</f>
        <v/>
      </c>
      <c r="I892" s="30">
        <f>IF(OR(A892="",L892=""),"",IF(MOD(A892-INDEX(SkiftStart,L892),Syklus)&lt;DagK,"Kveld",IF(MOD(A892-INDEX(SkiftStart,L892),Syklus)&lt;DagK+DagH,"Helg",IF(MOD(A892-INDEX(SkiftStart,L892),Syklus)&lt;DagK+DagH+DagD,"Dag","Fri"))))</f>
        <v/>
      </c>
      <c r="J892" s="30">
        <f>IF(I892="Fri","Ja","")</f>
        <v/>
      </c>
      <c r="K892" s="30">
        <f>IF(B892="","",IF(L892="","Ukjent tekniker",IF(ISNA(MATCH(C892,Aktiviteter,0)),"Ukjent aktivitet",IF(AND(INDEX(AktRolle,MATCH(C892,Aktiviteter,0))&amp;""&lt;&gt;"",ISERROR(SEARCH(INDEX(AktRolle,MATCH(C892,Aktiviteter,0))&amp;"",INDEX(TekRoller,MATCH(B892,Teknikere,0))))),"Mangler rollen "&amp;INDEX(AktRolle,MATCH(C892,Aktiviteter,0))&amp;"",IF(AND(C892="LMS",F892&gt;0,OR(D892="",E892="")),"Mangler maskin eller arbeid",IF(AND(OR(C892="LMS",C892="Mod"),D892&lt;&gt;""),IF(IFERROR(INDEX(MaskinStatus,MATCH(D892,Maskiner,0)),"")="I dokk","","Maskinen er ikke i dokk"),""))))))</f>
        <v/>
      </c>
      <c r="L892" s="2">
        <f>IF(B892="","",IFERROR(INT((MATCH(B892,Teknikere,0)-1)/18)+1,""))</f>
        <v/>
      </c>
      <c r="M892" s="2">
        <f>IF(OR(A892="",B892=""),"",B892&amp;"|"&amp;A892)</f>
        <v/>
      </c>
      <c r="N892" s="2">
        <f>IF(M892="","",SUMIFS(TF_Timer,TF_Nokkel,M892,TF_Akt,C892))</f>
        <v/>
      </c>
      <c r="O892" s="2">
        <f>IF(M892="","",IF(AND(N892=_xlfn.MAXIFS(TF_AktSum,TF_Nokkel,M892),COUNTIFS(M$3:M891,M892,N$3:N891,N892)=0),M892,""))</f>
        <v/>
      </c>
    </row>
    <row r="893">
      <c r="A893" s="34" t="n"/>
      <c r="B893" s="35" t="n"/>
      <c r="C893" s="35" t="n"/>
      <c r="D893" s="35" t="n"/>
      <c r="E893" s="35" t="n"/>
      <c r="F893" s="36" t="n"/>
      <c r="G893" s="35" t="n"/>
      <c r="H893" s="30">
        <f>IF(L893="","",INDEX(SkiftNavn,L893))</f>
        <v/>
      </c>
      <c r="I893" s="30">
        <f>IF(OR(A893="",L893=""),"",IF(MOD(A893-INDEX(SkiftStart,L893),Syklus)&lt;DagK,"Kveld",IF(MOD(A893-INDEX(SkiftStart,L893),Syklus)&lt;DagK+DagH,"Helg",IF(MOD(A893-INDEX(SkiftStart,L893),Syklus)&lt;DagK+DagH+DagD,"Dag","Fri"))))</f>
        <v/>
      </c>
      <c r="J893" s="30">
        <f>IF(I893="Fri","Ja","")</f>
        <v/>
      </c>
      <c r="K893" s="30">
        <f>IF(B893="","",IF(L893="","Ukjent tekniker",IF(ISNA(MATCH(C893,Aktiviteter,0)),"Ukjent aktivitet",IF(AND(INDEX(AktRolle,MATCH(C893,Aktiviteter,0))&amp;""&lt;&gt;"",ISERROR(SEARCH(INDEX(AktRolle,MATCH(C893,Aktiviteter,0))&amp;"",INDEX(TekRoller,MATCH(B893,Teknikere,0))))),"Mangler rollen "&amp;INDEX(AktRolle,MATCH(C893,Aktiviteter,0))&amp;"",IF(AND(C893="LMS",F893&gt;0,OR(D893="",E893="")),"Mangler maskin eller arbeid",IF(AND(OR(C893="LMS",C893="Mod"),D893&lt;&gt;""),IF(IFERROR(INDEX(MaskinStatus,MATCH(D893,Maskiner,0)),"")="I dokk","","Maskinen er ikke i dokk"),""))))))</f>
        <v/>
      </c>
      <c r="L893" s="2">
        <f>IF(B893="","",IFERROR(INT((MATCH(B893,Teknikere,0)-1)/18)+1,""))</f>
        <v/>
      </c>
      <c r="M893" s="2">
        <f>IF(OR(A893="",B893=""),"",B893&amp;"|"&amp;A893)</f>
        <v/>
      </c>
      <c r="N893" s="2">
        <f>IF(M893="","",SUMIFS(TF_Timer,TF_Nokkel,M893,TF_Akt,C893))</f>
        <v/>
      </c>
      <c r="O893" s="2">
        <f>IF(M893="","",IF(AND(N893=_xlfn.MAXIFS(TF_AktSum,TF_Nokkel,M893),COUNTIFS(M$3:M892,M893,N$3:N892,N893)=0),M893,""))</f>
        <v/>
      </c>
    </row>
    <row r="894">
      <c r="A894" s="34" t="n"/>
      <c r="B894" s="35" t="n"/>
      <c r="C894" s="35" t="n"/>
      <c r="D894" s="35" t="n"/>
      <c r="E894" s="35" t="n"/>
      <c r="F894" s="36" t="n"/>
      <c r="G894" s="35" t="n"/>
      <c r="H894" s="30">
        <f>IF(L894="","",INDEX(SkiftNavn,L894))</f>
        <v/>
      </c>
      <c r="I894" s="30">
        <f>IF(OR(A894="",L894=""),"",IF(MOD(A894-INDEX(SkiftStart,L894),Syklus)&lt;DagK,"Kveld",IF(MOD(A894-INDEX(SkiftStart,L894),Syklus)&lt;DagK+DagH,"Helg",IF(MOD(A894-INDEX(SkiftStart,L894),Syklus)&lt;DagK+DagH+DagD,"Dag","Fri"))))</f>
        <v/>
      </c>
      <c r="J894" s="30">
        <f>IF(I894="Fri","Ja","")</f>
        <v/>
      </c>
      <c r="K894" s="30">
        <f>IF(B894="","",IF(L894="","Ukjent tekniker",IF(ISNA(MATCH(C894,Aktiviteter,0)),"Ukjent aktivitet",IF(AND(INDEX(AktRolle,MATCH(C894,Aktiviteter,0))&amp;""&lt;&gt;"",ISERROR(SEARCH(INDEX(AktRolle,MATCH(C894,Aktiviteter,0))&amp;"",INDEX(TekRoller,MATCH(B894,Teknikere,0))))),"Mangler rollen "&amp;INDEX(AktRolle,MATCH(C894,Aktiviteter,0))&amp;"",IF(AND(C894="LMS",F894&gt;0,OR(D894="",E894="")),"Mangler maskin eller arbeid",IF(AND(OR(C894="LMS",C894="Mod"),D894&lt;&gt;""),IF(IFERROR(INDEX(MaskinStatus,MATCH(D894,Maskiner,0)),"")="I dokk","","Maskinen er ikke i dokk"),""))))))</f>
        <v/>
      </c>
      <c r="L894" s="2">
        <f>IF(B894="","",IFERROR(INT((MATCH(B894,Teknikere,0)-1)/18)+1,""))</f>
        <v/>
      </c>
      <c r="M894" s="2">
        <f>IF(OR(A894="",B894=""),"",B894&amp;"|"&amp;A894)</f>
        <v/>
      </c>
      <c r="N894" s="2">
        <f>IF(M894="","",SUMIFS(TF_Timer,TF_Nokkel,M894,TF_Akt,C894))</f>
        <v/>
      </c>
      <c r="O894" s="2">
        <f>IF(M894="","",IF(AND(N894=_xlfn.MAXIFS(TF_AktSum,TF_Nokkel,M894),COUNTIFS(M$3:M893,M894,N$3:N893,N894)=0),M894,""))</f>
        <v/>
      </c>
    </row>
    <row r="895">
      <c r="A895" s="34" t="n"/>
      <c r="B895" s="35" t="n"/>
      <c r="C895" s="35" t="n"/>
      <c r="D895" s="35" t="n"/>
      <c r="E895" s="35" t="n"/>
      <c r="F895" s="36" t="n"/>
      <c r="G895" s="35" t="n"/>
      <c r="H895" s="30">
        <f>IF(L895="","",INDEX(SkiftNavn,L895))</f>
        <v/>
      </c>
      <c r="I895" s="30">
        <f>IF(OR(A895="",L895=""),"",IF(MOD(A895-INDEX(SkiftStart,L895),Syklus)&lt;DagK,"Kveld",IF(MOD(A895-INDEX(SkiftStart,L895),Syklus)&lt;DagK+DagH,"Helg",IF(MOD(A895-INDEX(SkiftStart,L895),Syklus)&lt;DagK+DagH+DagD,"Dag","Fri"))))</f>
        <v/>
      </c>
      <c r="J895" s="30">
        <f>IF(I895="Fri","Ja","")</f>
        <v/>
      </c>
      <c r="K895" s="30">
        <f>IF(B895="","",IF(L895="","Ukjent tekniker",IF(ISNA(MATCH(C895,Aktiviteter,0)),"Ukjent aktivitet",IF(AND(INDEX(AktRolle,MATCH(C895,Aktiviteter,0))&amp;""&lt;&gt;"",ISERROR(SEARCH(INDEX(AktRolle,MATCH(C895,Aktiviteter,0))&amp;"",INDEX(TekRoller,MATCH(B895,Teknikere,0))))),"Mangler rollen "&amp;INDEX(AktRolle,MATCH(C895,Aktiviteter,0))&amp;"",IF(AND(C895="LMS",F895&gt;0,OR(D895="",E895="")),"Mangler maskin eller arbeid",IF(AND(OR(C895="LMS",C895="Mod"),D895&lt;&gt;""),IF(IFERROR(INDEX(MaskinStatus,MATCH(D895,Maskiner,0)),"")="I dokk","","Maskinen er ikke i dokk"),""))))))</f>
        <v/>
      </c>
      <c r="L895" s="2">
        <f>IF(B895="","",IFERROR(INT((MATCH(B895,Teknikere,0)-1)/18)+1,""))</f>
        <v/>
      </c>
      <c r="M895" s="2">
        <f>IF(OR(A895="",B895=""),"",B895&amp;"|"&amp;A895)</f>
        <v/>
      </c>
      <c r="N895" s="2">
        <f>IF(M895="","",SUMIFS(TF_Timer,TF_Nokkel,M895,TF_Akt,C895))</f>
        <v/>
      </c>
      <c r="O895" s="2">
        <f>IF(M895="","",IF(AND(N895=_xlfn.MAXIFS(TF_AktSum,TF_Nokkel,M895),COUNTIFS(M$3:M894,M895,N$3:N894,N895)=0),M895,""))</f>
        <v/>
      </c>
    </row>
    <row r="896">
      <c r="A896" s="34" t="n"/>
      <c r="B896" s="35" t="n"/>
      <c r="C896" s="35" t="n"/>
      <c r="D896" s="35" t="n"/>
      <c r="E896" s="35" t="n"/>
      <c r="F896" s="36" t="n"/>
      <c r="G896" s="35" t="n"/>
      <c r="H896" s="30">
        <f>IF(L896="","",INDEX(SkiftNavn,L896))</f>
        <v/>
      </c>
      <c r="I896" s="30">
        <f>IF(OR(A896="",L896=""),"",IF(MOD(A896-INDEX(SkiftStart,L896),Syklus)&lt;DagK,"Kveld",IF(MOD(A896-INDEX(SkiftStart,L896),Syklus)&lt;DagK+DagH,"Helg",IF(MOD(A896-INDEX(SkiftStart,L896),Syklus)&lt;DagK+DagH+DagD,"Dag","Fri"))))</f>
        <v/>
      </c>
      <c r="J896" s="30">
        <f>IF(I896="Fri","Ja","")</f>
        <v/>
      </c>
      <c r="K896" s="30">
        <f>IF(B896="","",IF(L896="","Ukjent tekniker",IF(ISNA(MATCH(C896,Aktiviteter,0)),"Ukjent aktivitet",IF(AND(INDEX(AktRolle,MATCH(C896,Aktiviteter,0))&amp;""&lt;&gt;"",ISERROR(SEARCH(INDEX(AktRolle,MATCH(C896,Aktiviteter,0))&amp;"",INDEX(TekRoller,MATCH(B896,Teknikere,0))))),"Mangler rollen "&amp;INDEX(AktRolle,MATCH(C896,Aktiviteter,0))&amp;"",IF(AND(C896="LMS",F896&gt;0,OR(D896="",E896="")),"Mangler maskin eller arbeid",IF(AND(OR(C896="LMS",C896="Mod"),D896&lt;&gt;""),IF(IFERROR(INDEX(MaskinStatus,MATCH(D896,Maskiner,0)),"")="I dokk","","Maskinen er ikke i dokk"),""))))))</f>
        <v/>
      </c>
      <c r="L896" s="2">
        <f>IF(B896="","",IFERROR(INT((MATCH(B896,Teknikere,0)-1)/18)+1,""))</f>
        <v/>
      </c>
      <c r="M896" s="2">
        <f>IF(OR(A896="",B896=""),"",B896&amp;"|"&amp;A896)</f>
        <v/>
      </c>
      <c r="N896" s="2">
        <f>IF(M896="","",SUMIFS(TF_Timer,TF_Nokkel,M896,TF_Akt,C896))</f>
        <v/>
      </c>
      <c r="O896" s="2">
        <f>IF(M896="","",IF(AND(N896=_xlfn.MAXIFS(TF_AktSum,TF_Nokkel,M896),COUNTIFS(M$3:M895,M896,N$3:N895,N896)=0),M896,""))</f>
        <v/>
      </c>
    </row>
    <row r="897">
      <c r="A897" s="34" t="n"/>
      <c r="B897" s="35" t="n"/>
      <c r="C897" s="35" t="n"/>
      <c r="D897" s="35" t="n"/>
      <c r="E897" s="35" t="n"/>
      <c r="F897" s="36" t="n"/>
      <c r="G897" s="35" t="n"/>
      <c r="H897" s="30">
        <f>IF(L897="","",INDEX(SkiftNavn,L897))</f>
        <v/>
      </c>
      <c r="I897" s="30">
        <f>IF(OR(A897="",L897=""),"",IF(MOD(A897-INDEX(SkiftStart,L897),Syklus)&lt;DagK,"Kveld",IF(MOD(A897-INDEX(SkiftStart,L897),Syklus)&lt;DagK+DagH,"Helg",IF(MOD(A897-INDEX(SkiftStart,L897),Syklus)&lt;DagK+DagH+DagD,"Dag","Fri"))))</f>
        <v/>
      </c>
      <c r="J897" s="30">
        <f>IF(I897="Fri","Ja","")</f>
        <v/>
      </c>
      <c r="K897" s="30">
        <f>IF(B897="","",IF(L897="","Ukjent tekniker",IF(ISNA(MATCH(C897,Aktiviteter,0)),"Ukjent aktivitet",IF(AND(INDEX(AktRolle,MATCH(C897,Aktiviteter,0))&amp;""&lt;&gt;"",ISERROR(SEARCH(INDEX(AktRolle,MATCH(C897,Aktiviteter,0))&amp;"",INDEX(TekRoller,MATCH(B897,Teknikere,0))))),"Mangler rollen "&amp;INDEX(AktRolle,MATCH(C897,Aktiviteter,0))&amp;"",IF(AND(C897="LMS",F897&gt;0,OR(D897="",E897="")),"Mangler maskin eller arbeid",IF(AND(OR(C897="LMS",C897="Mod"),D897&lt;&gt;""),IF(IFERROR(INDEX(MaskinStatus,MATCH(D897,Maskiner,0)),"")="I dokk","","Maskinen er ikke i dokk"),""))))))</f>
        <v/>
      </c>
      <c r="L897" s="2">
        <f>IF(B897="","",IFERROR(INT((MATCH(B897,Teknikere,0)-1)/18)+1,""))</f>
        <v/>
      </c>
      <c r="M897" s="2">
        <f>IF(OR(A897="",B897=""),"",B897&amp;"|"&amp;A897)</f>
        <v/>
      </c>
      <c r="N897" s="2">
        <f>IF(M897="","",SUMIFS(TF_Timer,TF_Nokkel,M897,TF_Akt,C897))</f>
        <v/>
      </c>
      <c r="O897" s="2">
        <f>IF(M897="","",IF(AND(N897=_xlfn.MAXIFS(TF_AktSum,TF_Nokkel,M897),COUNTIFS(M$3:M896,M897,N$3:N896,N897)=0),M897,""))</f>
        <v/>
      </c>
    </row>
    <row r="898">
      <c r="A898" s="34" t="n"/>
      <c r="B898" s="35" t="n"/>
      <c r="C898" s="35" t="n"/>
      <c r="D898" s="35" t="n"/>
      <c r="E898" s="35" t="n"/>
      <c r="F898" s="36" t="n"/>
      <c r="G898" s="35" t="n"/>
      <c r="H898" s="30">
        <f>IF(L898="","",INDEX(SkiftNavn,L898))</f>
        <v/>
      </c>
      <c r="I898" s="30">
        <f>IF(OR(A898="",L898=""),"",IF(MOD(A898-INDEX(SkiftStart,L898),Syklus)&lt;DagK,"Kveld",IF(MOD(A898-INDEX(SkiftStart,L898),Syklus)&lt;DagK+DagH,"Helg",IF(MOD(A898-INDEX(SkiftStart,L898),Syklus)&lt;DagK+DagH+DagD,"Dag","Fri"))))</f>
        <v/>
      </c>
      <c r="J898" s="30">
        <f>IF(I898="Fri","Ja","")</f>
        <v/>
      </c>
      <c r="K898" s="30">
        <f>IF(B898="","",IF(L898="","Ukjent tekniker",IF(ISNA(MATCH(C898,Aktiviteter,0)),"Ukjent aktivitet",IF(AND(INDEX(AktRolle,MATCH(C898,Aktiviteter,0))&amp;""&lt;&gt;"",ISERROR(SEARCH(INDEX(AktRolle,MATCH(C898,Aktiviteter,0))&amp;"",INDEX(TekRoller,MATCH(B898,Teknikere,0))))),"Mangler rollen "&amp;INDEX(AktRolle,MATCH(C898,Aktiviteter,0))&amp;"",IF(AND(C898="LMS",F898&gt;0,OR(D898="",E898="")),"Mangler maskin eller arbeid",IF(AND(OR(C898="LMS",C898="Mod"),D898&lt;&gt;""),IF(IFERROR(INDEX(MaskinStatus,MATCH(D898,Maskiner,0)),"")="I dokk","","Maskinen er ikke i dokk"),""))))))</f>
        <v/>
      </c>
      <c r="L898" s="2">
        <f>IF(B898="","",IFERROR(INT((MATCH(B898,Teknikere,0)-1)/18)+1,""))</f>
        <v/>
      </c>
      <c r="M898" s="2">
        <f>IF(OR(A898="",B898=""),"",B898&amp;"|"&amp;A898)</f>
        <v/>
      </c>
      <c r="N898" s="2">
        <f>IF(M898="","",SUMIFS(TF_Timer,TF_Nokkel,M898,TF_Akt,C898))</f>
        <v/>
      </c>
      <c r="O898" s="2">
        <f>IF(M898="","",IF(AND(N898=_xlfn.MAXIFS(TF_AktSum,TF_Nokkel,M898),COUNTIFS(M$3:M897,M898,N$3:N897,N898)=0),M898,""))</f>
        <v/>
      </c>
    </row>
    <row r="899">
      <c r="A899" s="34" t="n"/>
      <c r="B899" s="35" t="n"/>
      <c r="C899" s="35" t="n"/>
      <c r="D899" s="35" t="n"/>
      <c r="E899" s="35" t="n"/>
      <c r="F899" s="36" t="n"/>
      <c r="G899" s="35" t="n"/>
      <c r="H899" s="30">
        <f>IF(L899="","",INDEX(SkiftNavn,L899))</f>
        <v/>
      </c>
      <c r="I899" s="30">
        <f>IF(OR(A899="",L899=""),"",IF(MOD(A899-INDEX(SkiftStart,L899),Syklus)&lt;DagK,"Kveld",IF(MOD(A899-INDEX(SkiftStart,L899),Syklus)&lt;DagK+DagH,"Helg",IF(MOD(A899-INDEX(SkiftStart,L899),Syklus)&lt;DagK+DagH+DagD,"Dag","Fri"))))</f>
        <v/>
      </c>
      <c r="J899" s="30">
        <f>IF(I899="Fri","Ja","")</f>
        <v/>
      </c>
      <c r="K899" s="30">
        <f>IF(B899="","",IF(L899="","Ukjent tekniker",IF(ISNA(MATCH(C899,Aktiviteter,0)),"Ukjent aktivitet",IF(AND(INDEX(AktRolle,MATCH(C899,Aktiviteter,0))&amp;""&lt;&gt;"",ISERROR(SEARCH(INDEX(AktRolle,MATCH(C899,Aktiviteter,0))&amp;"",INDEX(TekRoller,MATCH(B899,Teknikere,0))))),"Mangler rollen "&amp;INDEX(AktRolle,MATCH(C899,Aktiviteter,0))&amp;"",IF(AND(C899="LMS",F899&gt;0,OR(D899="",E899="")),"Mangler maskin eller arbeid",IF(AND(OR(C899="LMS",C899="Mod"),D899&lt;&gt;""),IF(IFERROR(INDEX(MaskinStatus,MATCH(D899,Maskiner,0)),"")="I dokk","","Maskinen er ikke i dokk"),""))))))</f>
        <v/>
      </c>
      <c r="L899" s="2">
        <f>IF(B899="","",IFERROR(INT((MATCH(B899,Teknikere,0)-1)/18)+1,""))</f>
        <v/>
      </c>
      <c r="M899" s="2">
        <f>IF(OR(A899="",B899=""),"",B899&amp;"|"&amp;A899)</f>
        <v/>
      </c>
      <c r="N899" s="2">
        <f>IF(M899="","",SUMIFS(TF_Timer,TF_Nokkel,M899,TF_Akt,C899))</f>
        <v/>
      </c>
      <c r="O899" s="2">
        <f>IF(M899="","",IF(AND(N899=_xlfn.MAXIFS(TF_AktSum,TF_Nokkel,M899),COUNTIFS(M$3:M898,M899,N$3:N898,N899)=0),M899,""))</f>
        <v/>
      </c>
    </row>
    <row r="900">
      <c r="A900" s="34" t="n"/>
      <c r="B900" s="35" t="n"/>
      <c r="C900" s="35" t="n"/>
      <c r="D900" s="35" t="n"/>
      <c r="E900" s="35" t="n"/>
      <c r="F900" s="36" t="n"/>
      <c r="G900" s="35" t="n"/>
      <c r="H900" s="30">
        <f>IF(L900="","",INDEX(SkiftNavn,L900))</f>
        <v/>
      </c>
      <c r="I900" s="30">
        <f>IF(OR(A900="",L900=""),"",IF(MOD(A900-INDEX(SkiftStart,L900),Syklus)&lt;DagK,"Kveld",IF(MOD(A900-INDEX(SkiftStart,L900),Syklus)&lt;DagK+DagH,"Helg",IF(MOD(A900-INDEX(SkiftStart,L900),Syklus)&lt;DagK+DagH+DagD,"Dag","Fri"))))</f>
        <v/>
      </c>
      <c r="J900" s="30">
        <f>IF(I900="Fri","Ja","")</f>
        <v/>
      </c>
      <c r="K900" s="30">
        <f>IF(B900="","",IF(L900="","Ukjent tekniker",IF(ISNA(MATCH(C900,Aktiviteter,0)),"Ukjent aktivitet",IF(AND(INDEX(AktRolle,MATCH(C900,Aktiviteter,0))&amp;""&lt;&gt;"",ISERROR(SEARCH(INDEX(AktRolle,MATCH(C900,Aktiviteter,0))&amp;"",INDEX(TekRoller,MATCH(B900,Teknikere,0))))),"Mangler rollen "&amp;INDEX(AktRolle,MATCH(C900,Aktiviteter,0))&amp;"",IF(AND(C900="LMS",F900&gt;0,OR(D900="",E900="")),"Mangler maskin eller arbeid",IF(AND(OR(C900="LMS",C900="Mod"),D900&lt;&gt;""),IF(IFERROR(INDEX(MaskinStatus,MATCH(D900,Maskiner,0)),"")="I dokk","","Maskinen er ikke i dokk"),""))))))</f>
        <v/>
      </c>
      <c r="L900" s="2">
        <f>IF(B900="","",IFERROR(INT((MATCH(B900,Teknikere,0)-1)/18)+1,""))</f>
        <v/>
      </c>
      <c r="M900" s="2">
        <f>IF(OR(A900="",B900=""),"",B900&amp;"|"&amp;A900)</f>
        <v/>
      </c>
      <c r="N900" s="2">
        <f>IF(M900="","",SUMIFS(TF_Timer,TF_Nokkel,M900,TF_Akt,C900))</f>
        <v/>
      </c>
      <c r="O900" s="2">
        <f>IF(M900="","",IF(AND(N900=_xlfn.MAXIFS(TF_AktSum,TF_Nokkel,M900),COUNTIFS(M$3:M899,M900,N$3:N899,N900)=0),M900,""))</f>
        <v/>
      </c>
    </row>
    <row r="901">
      <c r="A901" s="34" t="n"/>
      <c r="B901" s="35" t="n"/>
      <c r="C901" s="35" t="n"/>
      <c r="D901" s="35" t="n"/>
      <c r="E901" s="35" t="n"/>
      <c r="F901" s="36" t="n"/>
      <c r="G901" s="35" t="n"/>
      <c r="H901" s="30">
        <f>IF(L901="","",INDEX(SkiftNavn,L901))</f>
        <v/>
      </c>
      <c r="I901" s="30">
        <f>IF(OR(A901="",L901=""),"",IF(MOD(A901-INDEX(SkiftStart,L901),Syklus)&lt;DagK,"Kveld",IF(MOD(A901-INDEX(SkiftStart,L901),Syklus)&lt;DagK+DagH,"Helg",IF(MOD(A901-INDEX(SkiftStart,L901),Syklus)&lt;DagK+DagH+DagD,"Dag","Fri"))))</f>
        <v/>
      </c>
      <c r="J901" s="30">
        <f>IF(I901="Fri","Ja","")</f>
        <v/>
      </c>
      <c r="K901" s="30">
        <f>IF(B901="","",IF(L901="","Ukjent tekniker",IF(ISNA(MATCH(C901,Aktiviteter,0)),"Ukjent aktivitet",IF(AND(INDEX(AktRolle,MATCH(C901,Aktiviteter,0))&amp;""&lt;&gt;"",ISERROR(SEARCH(INDEX(AktRolle,MATCH(C901,Aktiviteter,0))&amp;"",INDEX(TekRoller,MATCH(B901,Teknikere,0))))),"Mangler rollen "&amp;INDEX(AktRolle,MATCH(C901,Aktiviteter,0))&amp;"",IF(AND(C901="LMS",F901&gt;0,OR(D901="",E901="")),"Mangler maskin eller arbeid",IF(AND(OR(C901="LMS",C901="Mod"),D901&lt;&gt;""),IF(IFERROR(INDEX(MaskinStatus,MATCH(D901,Maskiner,0)),"")="I dokk","","Maskinen er ikke i dokk"),""))))))</f>
        <v/>
      </c>
      <c r="L901" s="2">
        <f>IF(B901="","",IFERROR(INT((MATCH(B901,Teknikere,0)-1)/18)+1,""))</f>
        <v/>
      </c>
      <c r="M901" s="2">
        <f>IF(OR(A901="",B901=""),"",B901&amp;"|"&amp;A901)</f>
        <v/>
      </c>
      <c r="N901" s="2">
        <f>IF(M901="","",SUMIFS(TF_Timer,TF_Nokkel,M901,TF_Akt,C901))</f>
        <v/>
      </c>
      <c r="O901" s="2">
        <f>IF(M901="","",IF(AND(N901=_xlfn.MAXIFS(TF_AktSum,TF_Nokkel,M901),COUNTIFS(M$3:M900,M901,N$3:N900,N901)=0),M901,""))</f>
        <v/>
      </c>
    </row>
    <row r="902">
      <c r="A902" s="34" t="n"/>
      <c r="B902" s="35" t="n"/>
      <c r="C902" s="35" t="n"/>
      <c r="D902" s="35" t="n"/>
      <c r="E902" s="35" t="n"/>
      <c r="F902" s="36" t="n"/>
      <c r="G902" s="35" t="n"/>
      <c r="H902" s="30">
        <f>IF(L902="","",INDEX(SkiftNavn,L902))</f>
        <v/>
      </c>
      <c r="I902" s="30">
        <f>IF(OR(A902="",L902=""),"",IF(MOD(A902-INDEX(SkiftStart,L902),Syklus)&lt;DagK,"Kveld",IF(MOD(A902-INDEX(SkiftStart,L902),Syklus)&lt;DagK+DagH,"Helg",IF(MOD(A902-INDEX(SkiftStart,L902),Syklus)&lt;DagK+DagH+DagD,"Dag","Fri"))))</f>
        <v/>
      </c>
      <c r="J902" s="30">
        <f>IF(I902="Fri","Ja","")</f>
        <v/>
      </c>
      <c r="K902" s="30">
        <f>IF(B902="","",IF(L902="","Ukjent tekniker",IF(ISNA(MATCH(C902,Aktiviteter,0)),"Ukjent aktivitet",IF(AND(INDEX(AktRolle,MATCH(C902,Aktiviteter,0))&amp;""&lt;&gt;"",ISERROR(SEARCH(INDEX(AktRolle,MATCH(C902,Aktiviteter,0))&amp;"",INDEX(TekRoller,MATCH(B902,Teknikere,0))))),"Mangler rollen "&amp;INDEX(AktRolle,MATCH(C902,Aktiviteter,0))&amp;"",IF(AND(C902="LMS",F902&gt;0,OR(D902="",E902="")),"Mangler maskin eller arbeid",IF(AND(OR(C902="LMS",C902="Mod"),D902&lt;&gt;""),IF(IFERROR(INDEX(MaskinStatus,MATCH(D902,Maskiner,0)),"")="I dokk","","Maskinen er ikke i dokk"),""))))))</f>
        <v/>
      </c>
      <c r="L902" s="2">
        <f>IF(B902="","",IFERROR(INT((MATCH(B902,Teknikere,0)-1)/18)+1,""))</f>
        <v/>
      </c>
      <c r="M902" s="2">
        <f>IF(OR(A902="",B902=""),"",B902&amp;"|"&amp;A902)</f>
        <v/>
      </c>
      <c r="N902" s="2">
        <f>IF(M902="","",SUMIFS(TF_Timer,TF_Nokkel,M902,TF_Akt,C902))</f>
        <v/>
      </c>
      <c r="O902" s="2">
        <f>IF(M902="","",IF(AND(N902=_xlfn.MAXIFS(TF_AktSum,TF_Nokkel,M902),COUNTIFS(M$3:M901,M902,N$3:N901,N902)=0),M902,""))</f>
        <v/>
      </c>
    </row>
    <row r="903">
      <c r="A903" s="34" t="n"/>
      <c r="B903" s="35" t="n"/>
      <c r="C903" s="35" t="n"/>
      <c r="D903" s="35" t="n"/>
      <c r="E903" s="35" t="n"/>
      <c r="F903" s="36" t="n"/>
      <c r="G903" s="35" t="n"/>
      <c r="H903" s="30">
        <f>IF(L903="","",INDEX(SkiftNavn,L903))</f>
        <v/>
      </c>
      <c r="I903" s="30">
        <f>IF(OR(A903="",L903=""),"",IF(MOD(A903-INDEX(SkiftStart,L903),Syklus)&lt;DagK,"Kveld",IF(MOD(A903-INDEX(SkiftStart,L903),Syklus)&lt;DagK+DagH,"Helg",IF(MOD(A903-INDEX(SkiftStart,L903),Syklus)&lt;DagK+DagH+DagD,"Dag","Fri"))))</f>
        <v/>
      </c>
      <c r="J903" s="30">
        <f>IF(I903="Fri","Ja","")</f>
        <v/>
      </c>
      <c r="K903" s="30">
        <f>IF(B903="","",IF(L903="","Ukjent tekniker",IF(ISNA(MATCH(C903,Aktiviteter,0)),"Ukjent aktivitet",IF(AND(INDEX(AktRolle,MATCH(C903,Aktiviteter,0))&amp;""&lt;&gt;"",ISERROR(SEARCH(INDEX(AktRolle,MATCH(C903,Aktiviteter,0))&amp;"",INDEX(TekRoller,MATCH(B903,Teknikere,0))))),"Mangler rollen "&amp;INDEX(AktRolle,MATCH(C903,Aktiviteter,0))&amp;"",IF(AND(C903="LMS",F903&gt;0,OR(D903="",E903="")),"Mangler maskin eller arbeid",IF(AND(OR(C903="LMS",C903="Mod"),D903&lt;&gt;""),IF(IFERROR(INDEX(MaskinStatus,MATCH(D903,Maskiner,0)),"")="I dokk","","Maskinen er ikke i dokk"),""))))))</f>
        <v/>
      </c>
      <c r="L903" s="2">
        <f>IF(B903="","",IFERROR(INT((MATCH(B903,Teknikere,0)-1)/18)+1,""))</f>
        <v/>
      </c>
      <c r="M903" s="2">
        <f>IF(OR(A903="",B903=""),"",B903&amp;"|"&amp;A903)</f>
        <v/>
      </c>
      <c r="N903" s="2">
        <f>IF(M903="","",SUMIFS(TF_Timer,TF_Nokkel,M903,TF_Akt,C903))</f>
        <v/>
      </c>
      <c r="O903" s="2">
        <f>IF(M903="","",IF(AND(N903=_xlfn.MAXIFS(TF_AktSum,TF_Nokkel,M903),COUNTIFS(M$3:M902,M903,N$3:N902,N903)=0),M903,""))</f>
        <v/>
      </c>
    </row>
    <row r="904">
      <c r="A904" s="34" t="n"/>
      <c r="B904" s="35" t="n"/>
      <c r="C904" s="35" t="n"/>
      <c r="D904" s="35" t="n"/>
      <c r="E904" s="35" t="n"/>
      <c r="F904" s="36" t="n"/>
      <c r="G904" s="35" t="n"/>
      <c r="H904" s="30">
        <f>IF(L904="","",INDEX(SkiftNavn,L904))</f>
        <v/>
      </c>
      <c r="I904" s="30">
        <f>IF(OR(A904="",L904=""),"",IF(MOD(A904-INDEX(SkiftStart,L904),Syklus)&lt;DagK,"Kveld",IF(MOD(A904-INDEX(SkiftStart,L904),Syklus)&lt;DagK+DagH,"Helg",IF(MOD(A904-INDEX(SkiftStart,L904),Syklus)&lt;DagK+DagH+DagD,"Dag","Fri"))))</f>
        <v/>
      </c>
      <c r="J904" s="30">
        <f>IF(I904="Fri","Ja","")</f>
        <v/>
      </c>
      <c r="K904" s="30">
        <f>IF(B904="","",IF(L904="","Ukjent tekniker",IF(ISNA(MATCH(C904,Aktiviteter,0)),"Ukjent aktivitet",IF(AND(INDEX(AktRolle,MATCH(C904,Aktiviteter,0))&amp;""&lt;&gt;"",ISERROR(SEARCH(INDEX(AktRolle,MATCH(C904,Aktiviteter,0))&amp;"",INDEX(TekRoller,MATCH(B904,Teknikere,0))))),"Mangler rollen "&amp;INDEX(AktRolle,MATCH(C904,Aktiviteter,0))&amp;"",IF(AND(C904="LMS",F904&gt;0,OR(D904="",E904="")),"Mangler maskin eller arbeid",IF(AND(OR(C904="LMS",C904="Mod"),D904&lt;&gt;""),IF(IFERROR(INDEX(MaskinStatus,MATCH(D904,Maskiner,0)),"")="I dokk","","Maskinen er ikke i dokk"),""))))))</f>
        <v/>
      </c>
      <c r="L904" s="2">
        <f>IF(B904="","",IFERROR(INT((MATCH(B904,Teknikere,0)-1)/18)+1,""))</f>
        <v/>
      </c>
      <c r="M904" s="2">
        <f>IF(OR(A904="",B904=""),"",B904&amp;"|"&amp;A904)</f>
        <v/>
      </c>
      <c r="N904" s="2">
        <f>IF(M904="","",SUMIFS(TF_Timer,TF_Nokkel,M904,TF_Akt,C904))</f>
        <v/>
      </c>
      <c r="O904" s="2">
        <f>IF(M904="","",IF(AND(N904=_xlfn.MAXIFS(TF_AktSum,TF_Nokkel,M904),COUNTIFS(M$3:M903,M904,N$3:N903,N904)=0),M904,""))</f>
        <v/>
      </c>
    </row>
    <row r="905">
      <c r="A905" s="34" t="n"/>
      <c r="B905" s="35" t="n"/>
      <c r="C905" s="35" t="n"/>
      <c r="D905" s="35" t="n"/>
      <c r="E905" s="35" t="n"/>
      <c r="F905" s="36" t="n"/>
      <c r="G905" s="35" t="n"/>
      <c r="H905" s="30">
        <f>IF(L905="","",INDEX(SkiftNavn,L905))</f>
        <v/>
      </c>
      <c r="I905" s="30">
        <f>IF(OR(A905="",L905=""),"",IF(MOD(A905-INDEX(SkiftStart,L905),Syklus)&lt;DagK,"Kveld",IF(MOD(A905-INDEX(SkiftStart,L905),Syklus)&lt;DagK+DagH,"Helg",IF(MOD(A905-INDEX(SkiftStart,L905),Syklus)&lt;DagK+DagH+DagD,"Dag","Fri"))))</f>
        <v/>
      </c>
      <c r="J905" s="30">
        <f>IF(I905="Fri","Ja","")</f>
        <v/>
      </c>
      <c r="K905" s="30">
        <f>IF(B905="","",IF(L905="","Ukjent tekniker",IF(ISNA(MATCH(C905,Aktiviteter,0)),"Ukjent aktivitet",IF(AND(INDEX(AktRolle,MATCH(C905,Aktiviteter,0))&amp;""&lt;&gt;"",ISERROR(SEARCH(INDEX(AktRolle,MATCH(C905,Aktiviteter,0))&amp;"",INDEX(TekRoller,MATCH(B905,Teknikere,0))))),"Mangler rollen "&amp;INDEX(AktRolle,MATCH(C905,Aktiviteter,0))&amp;"",IF(AND(C905="LMS",F905&gt;0,OR(D905="",E905="")),"Mangler maskin eller arbeid",IF(AND(OR(C905="LMS",C905="Mod"),D905&lt;&gt;""),IF(IFERROR(INDEX(MaskinStatus,MATCH(D905,Maskiner,0)),"")="I dokk","","Maskinen er ikke i dokk"),""))))))</f>
        <v/>
      </c>
      <c r="L905" s="2">
        <f>IF(B905="","",IFERROR(INT((MATCH(B905,Teknikere,0)-1)/18)+1,""))</f>
        <v/>
      </c>
      <c r="M905" s="2">
        <f>IF(OR(A905="",B905=""),"",B905&amp;"|"&amp;A905)</f>
        <v/>
      </c>
      <c r="N905" s="2">
        <f>IF(M905="","",SUMIFS(TF_Timer,TF_Nokkel,M905,TF_Akt,C905))</f>
        <v/>
      </c>
      <c r="O905" s="2">
        <f>IF(M905="","",IF(AND(N905=_xlfn.MAXIFS(TF_AktSum,TF_Nokkel,M905),COUNTIFS(M$3:M904,M905,N$3:N904,N905)=0),M905,""))</f>
        <v/>
      </c>
    </row>
    <row r="906">
      <c r="A906" s="34" t="n"/>
      <c r="B906" s="35" t="n"/>
      <c r="C906" s="35" t="n"/>
      <c r="D906" s="35" t="n"/>
      <c r="E906" s="35" t="n"/>
      <c r="F906" s="36" t="n"/>
      <c r="G906" s="35" t="n"/>
      <c r="H906" s="30">
        <f>IF(L906="","",INDEX(SkiftNavn,L906))</f>
        <v/>
      </c>
      <c r="I906" s="30">
        <f>IF(OR(A906="",L906=""),"",IF(MOD(A906-INDEX(SkiftStart,L906),Syklus)&lt;DagK,"Kveld",IF(MOD(A906-INDEX(SkiftStart,L906),Syklus)&lt;DagK+DagH,"Helg",IF(MOD(A906-INDEX(SkiftStart,L906),Syklus)&lt;DagK+DagH+DagD,"Dag","Fri"))))</f>
        <v/>
      </c>
      <c r="J906" s="30">
        <f>IF(I906="Fri","Ja","")</f>
        <v/>
      </c>
      <c r="K906" s="30">
        <f>IF(B906="","",IF(L906="","Ukjent tekniker",IF(ISNA(MATCH(C906,Aktiviteter,0)),"Ukjent aktivitet",IF(AND(INDEX(AktRolle,MATCH(C906,Aktiviteter,0))&amp;""&lt;&gt;"",ISERROR(SEARCH(INDEX(AktRolle,MATCH(C906,Aktiviteter,0))&amp;"",INDEX(TekRoller,MATCH(B906,Teknikere,0))))),"Mangler rollen "&amp;INDEX(AktRolle,MATCH(C906,Aktiviteter,0))&amp;"",IF(AND(C906="LMS",F906&gt;0,OR(D906="",E906="")),"Mangler maskin eller arbeid",IF(AND(OR(C906="LMS",C906="Mod"),D906&lt;&gt;""),IF(IFERROR(INDEX(MaskinStatus,MATCH(D906,Maskiner,0)),"")="I dokk","","Maskinen er ikke i dokk"),""))))))</f>
        <v/>
      </c>
      <c r="L906" s="2">
        <f>IF(B906="","",IFERROR(INT((MATCH(B906,Teknikere,0)-1)/18)+1,""))</f>
        <v/>
      </c>
      <c r="M906" s="2">
        <f>IF(OR(A906="",B906=""),"",B906&amp;"|"&amp;A906)</f>
        <v/>
      </c>
      <c r="N906" s="2">
        <f>IF(M906="","",SUMIFS(TF_Timer,TF_Nokkel,M906,TF_Akt,C906))</f>
        <v/>
      </c>
      <c r="O906" s="2">
        <f>IF(M906="","",IF(AND(N906=_xlfn.MAXIFS(TF_AktSum,TF_Nokkel,M906),COUNTIFS(M$3:M905,M906,N$3:N905,N906)=0),M906,""))</f>
        <v/>
      </c>
    </row>
    <row r="907">
      <c r="A907" s="34" t="n"/>
      <c r="B907" s="35" t="n"/>
      <c r="C907" s="35" t="n"/>
      <c r="D907" s="35" t="n"/>
      <c r="E907" s="35" t="n"/>
      <c r="F907" s="36" t="n"/>
      <c r="G907" s="35" t="n"/>
      <c r="H907" s="30">
        <f>IF(L907="","",INDEX(SkiftNavn,L907))</f>
        <v/>
      </c>
      <c r="I907" s="30">
        <f>IF(OR(A907="",L907=""),"",IF(MOD(A907-INDEX(SkiftStart,L907),Syklus)&lt;DagK,"Kveld",IF(MOD(A907-INDEX(SkiftStart,L907),Syklus)&lt;DagK+DagH,"Helg",IF(MOD(A907-INDEX(SkiftStart,L907),Syklus)&lt;DagK+DagH+DagD,"Dag","Fri"))))</f>
        <v/>
      </c>
      <c r="J907" s="30">
        <f>IF(I907="Fri","Ja","")</f>
        <v/>
      </c>
      <c r="K907" s="30">
        <f>IF(B907="","",IF(L907="","Ukjent tekniker",IF(ISNA(MATCH(C907,Aktiviteter,0)),"Ukjent aktivitet",IF(AND(INDEX(AktRolle,MATCH(C907,Aktiviteter,0))&amp;""&lt;&gt;"",ISERROR(SEARCH(INDEX(AktRolle,MATCH(C907,Aktiviteter,0))&amp;"",INDEX(TekRoller,MATCH(B907,Teknikere,0))))),"Mangler rollen "&amp;INDEX(AktRolle,MATCH(C907,Aktiviteter,0))&amp;"",IF(AND(C907="LMS",F907&gt;0,OR(D907="",E907="")),"Mangler maskin eller arbeid",IF(AND(OR(C907="LMS",C907="Mod"),D907&lt;&gt;""),IF(IFERROR(INDEX(MaskinStatus,MATCH(D907,Maskiner,0)),"")="I dokk","","Maskinen er ikke i dokk"),""))))))</f>
        <v/>
      </c>
      <c r="L907" s="2">
        <f>IF(B907="","",IFERROR(INT((MATCH(B907,Teknikere,0)-1)/18)+1,""))</f>
        <v/>
      </c>
      <c r="M907" s="2">
        <f>IF(OR(A907="",B907=""),"",B907&amp;"|"&amp;A907)</f>
        <v/>
      </c>
      <c r="N907" s="2">
        <f>IF(M907="","",SUMIFS(TF_Timer,TF_Nokkel,M907,TF_Akt,C907))</f>
        <v/>
      </c>
      <c r="O907" s="2">
        <f>IF(M907="","",IF(AND(N907=_xlfn.MAXIFS(TF_AktSum,TF_Nokkel,M907),COUNTIFS(M$3:M906,M907,N$3:N906,N907)=0),M907,""))</f>
        <v/>
      </c>
    </row>
    <row r="908">
      <c r="A908" s="34" t="n"/>
      <c r="B908" s="35" t="n"/>
      <c r="C908" s="35" t="n"/>
      <c r="D908" s="35" t="n"/>
      <c r="E908" s="35" t="n"/>
      <c r="F908" s="36" t="n"/>
      <c r="G908" s="35" t="n"/>
      <c r="H908" s="30">
        <f>IF(L908="","",INDEX(SkiftNavn,L908))</f>
        <v/>
      </c>
      <c r="I908" s="30">
        <f>IF(OR(A908="",L908=""),"",IF(MOD(A908-INDEX(SkiftStart,L908),Syklus)&lt;DagK,"Kveld",IF(MOD(A908-INDEX(SkiftStart,L908),Syklus)&lt;DagK+DagH,"Helg",IF(MOD(A908-INDEX(SkiftStart,L908),Syklus)&lt;DagK+DagH+DagD,"Dag","Fri"))))</f>
        <v/>
      </c>
      <c r="J908" s="30">
        <f>IF(I908="Fri","Ja","")</f>
        <v/>
      </c>
      <c r="K908" s="30">
        <f>IF(B908="","",IF(L908="","Ukjent tekniker",IF(ISNA(MATCH(C908,Aktiviteter,0)),"Ukjent aktivitet",IF(AND(INDEX(AktRolle,MATCH(C908,Aktiviteter,0))&amp;""&lt;&gt;"",ISERROR(SEARCH(INDEX(AktRolle,MATCH(C908,Aktiviteter,0))&amp;"",INDEX(TekRoller,MATCH(B908,Teknikere,0))))),"Mangler rollen "&amp;INDEX(AktRolle,MATCH(C908,Aktiviteter,0))&amp;"",IF(AND(C908="LMS",F908&gt;0,OR(D908="",E908="")),"Mangler maskin eller arbeid",IF(AND(OR(C908="LMS",C908="Mod"),D908&lt;&gt;""),IF(IFERROR(INDEX(MaskinStatus,MATCH(D908,Maskiner,0)),"")="I dokk","","Maskinen er ikke i dokk"),""))))))</f>
        <v/>
      </c>
      <c r="L908" s="2">
        <f>IF(B908="","",IFERROR(INT((MATCH(B908,Teknikere,0)-1)/18)+1,""))</f>
        <v/>
      </c>
      <c r="M908" s="2">
        <f>IF(OR(A908="",B908=""),"",B908&amp;"|"&amp;A908)</f>
        <v/>
      </c>
      <c r="N908" s="2">
        <f>IF(M908="","",SUMIFS(TF_Timer,TF_Nokkel,M908,TF_Akt,C908))</f>
        <v/>
      </c>
      <c r="O908" s="2">
        <f>IF(M908="","",IF(AND(N908=_xlfn.MAXIFS(TF_AktSum,TF_Nokkel,M908),COUNTIFS(M$3:M907,M908,N$3:N907,N908)=0),M908,""))</f>
        <v/>
      </c>
    </row>
    <row r="909">
      <c r="A909" s="34" t="n"/>
      <c r="B909" s="35" t="n"/>
      <c r="C909" s="35" t="n"/>
      <c r="D909" s="35" t="n"/>
      <c r="E909" s="35" t="n"/>
      <c r="F909" s="36" t="n"/>
      <c r="G909" s="35" t="n"/>
      <c r="H909" s="30">
        <f>IF(L909="","",INDEX(SkiftNavn,L909))</f>
        <v/>
      </c>
      <c r="I909" s="30">
        <f>IF(OR(A909="",L909=""),"",IF(MOD(A909-INDEX(SkiftStart,L909),Syklus)&lt;DagK,"Kveld",IF(MOD(A909-INDEX(SkiftStart,L909),Syklus)&lt;DagK+DagH,"Helg",IF(MOD(A909-INDEX(SkiftStart,L909),Syklus)&lt;DagK+DagH+DagD,"Dag","Fri"))))</f>
        <v/>
      </c>
      <c r="J909" s="30">
        <f>IF(I909="Fri","Ja","")</f>
        <v/>
      </c>
      <c r="K909" s="30">
        <f>IF(B909="","",IF(L909="","Ukjent tekniker",IF(ISNA(MATCH(C909,Aktiviteter,0)),"Ukjent aktivitet",IF(AND(INDEX(AktRolle,MATCH(C909,Aktiviteter,0))&amp;""&lt;&gt;"",ISERROR(SEARCH(INDEX(AktRolle,MATCH(C909,Aktiviteter,0))&amp;"",INDEX(TekRoller,MATCH(B909,Teknikere,0))))),"Mangler rollen "&amp;INDEX(AktRolle,MATCH(C909,Aktiviteter,0))&amp;"",IF(AND(C909="LMS",F909&gt;0,OR(D909="",E909="")),"Mangler maskin eller arbeid",IF(AND(OR(C909="LMS",C909="Mod"),D909&lt;&gt;""),IF(IFERROR(INDEX(MaskinStatus,MATCH(D909,Maskiner,0)),"")="I dokk","","Maskinen er ikke i dokk"),""))))))</f>
        <v/>
      </c>
      <c r="L909" s="2">
        <f>IF(B909="","",IFERROR(INT((MATCH(B909,Teknikere,0)-1)/18)+1,""))</f>
        <v/>
      </c>
      <c r="M909" s="2">
        <f>IF(OR(A909="",B909=""),"",B909&amp;"|"&amp;A909)</f>
        <v/>
      </c>
      <c r="N909" s="2">
        <f>IF(M909="","",SUMIFS(TF_Timer,TF_Nokkel,M909,TF_Akt,C909))</f>
        <v/>
      </c>
      <c r="O909" s="2">
        <f>IF(M909="","",IF(AND(N909=_xlfn.MAXIFS(TF_AktSum,TF_Nokkel,M909),COUNTIFS(M$3:M908,M909,N$3:N908,N909)=0),M909,""))</f>
        <v/>
      </c>
    </row>
    <row r="910">
      <c r="A910" s="34" t="n"/>
      <c r="B910" s="35" t="n"/>
      <c r="C910" s="35" t="n"/>
      <c r="D910" s="35" t="n"/>
      <c r="E910" s="35" t="n"/>
      <c r="F910" s="36" t="n"/>
      <c r="G910" s="35" t="n"/>
      <c r="H910" s="30">
        <f>IF(L910="","",INDEX(SkiftNavn,L910))</f>
        <v/>
      </c>
      <c r="I910" s="30">
        <f>IF(OR(A910="",L910=""),"",IF(MOD(A910-INDEX(SkiftStart,L910),Syklus)&lt;DagK,"Kveld",IF(MOD(A910-INDEX(SkiftStart,L910),Syklus)&lt;DagK+DagH,"Helg",IF(MOD(A910-INDEX(SkiftStart,L910),Syklus)&lt;DagK+DagH+DagD,"Dag","Fri"))))</f>
        <v/>
      </c>
      <c r="J910" s="30">
        <f>IF(I910="Fri","Ja","")</f>
        <v/>
      </c>
      <c r="K910" s="30">
        <f>IF(B910="","",IF(L910="","Ukjent tekniker",IF(ISNA(MATCH(C910,Aktiviteter,0)),"Ukjent aktivitet",IF(AND(INDEX(AktRolle,MATCH(C910,Aktiviteter,0))&amp;""&lt;&gt;"",ISERROR(SEARCH(INDEX(AktRolle,MATCH(C910,Aktiviteter,0))&amp;"",INDEX(TekRoller,MATCH(B910,Teknikere,0))))),"Mangler rollen "&amp;INDEX(AktRolle,MATCH(C910,Aktiviteter,0))&amp;"",IF(AND(C910="LMS",F910&gt;0,OR(D910="",E910="")),"Mangler maskin eller arbeid",IF(AND(OR(C910="LMS",C910="Mod"),D910&lt;&gt;""),IF(IFERROR(INDEX(MaskinStatus,MATCH(D910,Maskiner,0)),"")="I dokk","","Maskinen er ikke i dokk"),""))))))</f>
        <v/>
      </c>
      <c r="L910" s="2">
        <f>IF(B910="","",IFERROR(INT((MATCH(B910,Teknikere,0)-1)/18)+1,""))</f>
        <v/>
      </c>
      <c r="M910" s="2">
        <f>IF(OR(A910="",B910=""),"",B910&amp;"|"&amp;A910)</f>
        <v/>
      </c>
      <c r="N910" s="2">
        <f>IF(M910="","",SUMIFS(TF_Timer,TF_Nokkel,M910,TF_Akt,C910))</f>
        <v/>
      </c>
      <c r="O910" s="2">
        <f>IF(M910="","",IF(AND(N910=_xlfn.MAXIFS(TF_AktSum,TF_Nokkel,M910),COUNTIFS(M$3:M909,M910,N$3:N909,N910)=0),M910,""))</f>
        <v/>
      </c>
    </row>
    <row r="911">
      <c r="A911" s="34" t="n"/>
      <c r="B911" s="35" t="n"/>
      <c r="C911" s="35" t="n"/>
      <c r="D911" s="35" t="n"/>
      <c r="E911" s="35" t="n"/>
      <c r="F911" s="36" t="n"/>
      <c r="G911" s="35" t="n"/>
      <c r="H911" s="30">
        <f>IF(L911="","",INDEX(SkiftNavn,L911))</f>
        <v/>
      </c>
      <c r="I911" s="30">
        <f>IF(OR(A911="",L911=""),"",IF(MOD(A911-INDEX(SkiftStart,L911),Syklus)&lt;DagK,"Kveld",IF(MOD(A911-INDEX(SkiftStart,L911),Syklus)&lt;DagK+DagH,"Helg",IF(MOD(A911-INDEX(SkiftStart,L911),Syklus)&lt;DagK+DagH+DagD,"Dag","Fri"))))</f>
        <v/>
      </c>
      <c r="J911" s="30">
        <f>IF(I911="Fri","Ja","")</f>
        <v/>
      </c>
      <c r="K911" s="30">
        <f>IF(B911="","",IF(L911="","Ukjent tekniker",IF(ISNA(MATCH(C911,Aktiviteter,0)),"Ukjent aktivitet",IF(AND(INDEX(AktRolle,MATCH(C911,Aktiviteter,0))&amp;""&lt;&gt;"",ISERROR(SEARCH(INDEX(AktRolle,MATCH(C911,Aktiviteter,0))&amp;"",INDEX(TekRoller,MATCH(B911,Teknikere,0))))),"Mangler rollen "&amp;INDEX(AktRolle,MATCH(C911,Aktiviteter,0))&amp;"",IF(AND(C911="LMS",F911&gt;0,OR(D911="",E911="")),"Mangler maskin eller arbeid",IF(AND(OR(C911="LMS",C911="Mod"),D911&lt;&gt;""),IF(IFERROR(INDEX(MaskinStatus,MATCH(D911,Maskiner,0)),"")="I dokk","","Maskinen er ikke i dokk"),""))))))</f>
        <v/>
      </c>
      <c r="L911" s="2">
        <f>IF(B911="","",IFERROR(INT((MATCH(B911,Teknikere,0)-1)/18)+1,""))</f>
        <v/>
      </c>
      <c r="M911" s="2">
        <f>IF(OR(A911="",B911=""),"",B911&amp;"|"&amp;A911)</f>
        <v/>
      </c>
      <c r="N911" s="2">
        <f>IF(M911="","",SUMIFS(TF_Timer,TF_Nokkel,M911,TF_Akt,C911))</f>
        <v/>
      </c>
      <c r="O911" s="2">
        <f>IF(M911="","",IF(AND(N911=_xlfn.MAXIFS(TF_AktSum,TF_Nokkel,M911),COUNTIFS(M$3:M910,M911,N$3:N910,N911)=0),M911,""))</f>
        <v/>
      </c>
    </row>
    <row r="912">
      <c r="A912" s="34" t="n"/>
      <c r="B912" s="35" t="n"/>
      <c r="C912" s="35" t="n"/>
      <c r="D912" s="35" t="n"/>
      <c r="E912" s="35" t="n"/>
      <c r="F912" s="36" t="n"/>
      <c r="G912" s="35" t="n"/>
      <c r="H912" s="30">
        <f>IF(L912="","",INDEX(SkiftNavn,L912))</f>
        <v/>
      </c>
      <c r="I912" s="30">
        <f>IF(OR(A912="",L912=""),"",IF(MOD(A912-INDEX(SkiftStart,L912),Syklus)&lt;DagK,"Kveld",IF(MOD(A912-INDEX(SkiftStart,L912),Syklus)&lt;DagK+DagH,"Helg",IF(MOD(A912-INDEX(SkiftStart,L912),Syklus)&lt;DagK+DagH+DagD,"Dag","Fri"))))</f>
        <v/>
      </c>
      <c r="J912" s="30">
        <f>IF(I912="Fri","Ja","")</f>
        <v/>
      </c>
      <c r="K912" s="30">
        <f>IF(B912="","",IF(L912="","Ukjent tekniker",IF(ISNA(MATCH(C912,Aktiviteter,0)),"Ukjent aktivitet",IF(AND(INDEX(AktRolle,MATCH(C912,Aktiviteter,0))&amp;""&lt;&gt;"",ISERROR(SEARCH(INDEX(AktRolle,MATCH(C912,Aktiviteter,0))&amp;"",INDEX(TekRoller,MATCH(B912,Teknikere,0))))),"Mangler rollen "&amp;INDEX(AktRolle,MATCH(C912,Aktiviteter,0))&amp;"",IF(AND(C912="LMS",F912&gt;0,OR(D912="",E912="")),"Mangler maskin eller arbeid",IF(AND(OR(C912="LMS",C912="Mod"),D912&lt;&gt;""),IF(IFERROR(INDEX(MaskinStatus,MATCH(D912,Maskiner,0)),"")="I dokk","","Maskinen er ikke i dokk"),""))))))</f>
        <v/>
      </c>
      <c r="L912" s="2">
        <f>IF(B912="","",IFERROR(INT((MATCH(B912,Teknikere,0)-1)/18)+1,""))</f>
        <v/>
      </c>
      <c r="M912" s="2">
        <f>IF(OR(A912="",B912=""),"",B912&amp;"|"&amp;A912)</f>
        <v/>
      </c>
      <c r="N912" s="2">
        <f>IF(M912="","",SUMIFS(TF_Timer,TF_Nokkel,M912,TF_Akt,C912))</f>
        <v/>
      </c>
      <c r="O912" s="2">
        <f>IF(M912="","",IF(AND(N912=_xlfn.MAXIFS(TF_AktSum,TF_Nokkel,M912),COUNTIFS(M$3:M911,M912,N$3:N911,N912)=0),M912,""))</f>
        <v/>
      </c>
    </row>
    <row r="913">
      <c r="A913" s="34" t="n"/>
      <c r="B913" s="35" t="n"/>
      <c r="C913" s="35" t="n"/>
      <c r="D913" s="35" t="n"/>
      <c r="E913" s="35" t="n"/>
      <c r="F913" s="36" t="n"/>
      <c r="G913" s="35" t="n"/>
      <c r="H913" s="30">
        <f>IF(L913="","",INDEX(SkiftNavn,L913))</f>
        <v/>
      </c>
      <c r="I913" s="30">
        <f>IF(OR(A913="",L913=""),"",IF(MOD(A913-INDEX(SkiftStart,L913),Syklus)&lt;DagK,"Kveld",IF(MOD(A913-INDEX(SkiftStart,L913),Syklus)&lt;DagK+DagH,"Helg",IF(MOD(A913-INDEX(SkiftStart,L913),Syklus)&lt;DagK+DagH+DagD,"Dag","Fri"))))</f>
        <v/>
      </c>
      <c r="J913" s="30">
        <f>IF(I913="Fri","Ja","")</f>
        <v/>
      </c>
      <c r="K913" s="30">
        <f>IF(B913="","",IF(L913="","Ukjent tekniker",IF(ISNA(MATCH(C913,Aktiviteter,0)),"Ukjent aktivitet",IF(AND(INDEX(AktRolle,MATCH(C913,Aktiviteter,0))&amp;""&lt;&gt;"",ISERROR(SEARCH(INDEX(AktRolle,MATCH(C913,Aktiviteter,0))&amp;"",INDEX(TekRoller,MATCH(B913,Teknikere,0))))),"Mangler rollen "&amp;INDEX(AktRolle,MATCH(C913,Aktiviteter,0))&amp;"",IF(AND(C913="LMS",F913&gt;0,OR(D913="",E913="")),"Mangler maskin eller arbeid",IF(AND(OR(C913="LMS",C913="Mod"),D913&lt;&gt;""),IF(IFERROR(INDEX(MaskinStatus,MATCH(D913,Maskiner,0)),"")="I dokk","","Maskinen er ikke i dokk"),""))))))</f>
        <v/>
      </c>
      <c r="L913" s="2">
        <f>IF(B913="","",IFERROR(INT((MATCH(B913,Teknikere,0)-1)/18)+1,""))</f>
        <v/>
      </c>
      <c r="M913" s="2">
        <f>IF(OR(A913="",B913=""),"",B913&amp;"|"&amp;A913)</f>
        <v/>
      </c>
      <c r="N913" s="2">
        <f>IF(M913="","",SUMIFS(TF_Timer,TF_Nokkel,M913,TF_Akt,C913))</f>
        <v/>
      </c>
      <c r="O913" s="2">
        <f>IF(M913="","",IF(AND(N913=_xlfn.MAXIFS(TF_AktSum,TF_Nokkel,M913),COUNTIFS(M$3:M912,M913,N$3:N912,N913)=0),M913,""))</f>
        <v/>
      </c>
    </row>
    <row r="914">
      <c r="A914" s="34" t="n"/>
      <c r="B914" s="35" t="n"/>
      <c r="C914" s="35" t="n"/>
      <c r="D914" s="35" t="n"/>
      <c r="E914" s="35" t="n"/>
      <c r="F914" s="36" t="n"/>
      <c r="G914" s="35" t="n"/>
      <c r="H914" s="30">
        <f>IF(L914="","",INDEX(SkiftNavn,L914))</f>
        <v/>
      </c>
      <c r="I914" s="30">
        <f>IF(OR(A914="",L914=""),"",IF(MOD(A914-INDEX(SkiftStart,L914),Syklus)&lt;DagK,"Kveld",IF(MOD(A914-INDEX(SkiftStart,L914),Syklus)&lt;DagK+DagH,"Helg",IF(MOD(A914-INDEX(SkiftStart,L914),Syklus)&lt;DagK+DagH+DagD,"Dag","Fri"))))</f>
        <v/>
      </c>
      <c r="J914" s="30">
        <f>IF(I914="Fri","Ja","")</f>
        <v/>
      </c>
      <c r="K914" s="30">
        <f>IF(B914="","",IF(L914="","Ukjent tekniker",IF(ISNA(MATCH(C914,Aktiviteter,0)),"Ukjent aktivitet",IF(AND(INDEX(AktRolle,MATCH(C914,Aktiviteter,0))&amp;""&lt;&gt;"",ISERROR(SEARCH(INDEX(AktRolle,MATCH(C914,Aktiviteter,0))&amp;"",INDEX(TekRoller,MATCH(B914,Teknikere,0))))),"Mangler rollen "&amp;INDEX(AktRolle,MATCH(C914,Aktiviteter,0))&amp;"",IF(AND(C914="LMS",F914&gt;0,OR(D914="",E914="")),"Mangler maskin eller arbeid",IF(AND(OR(C914="LMS",C914="Mod"),D914&lt;&gt;""),IF(IFERROR(INDEX(MaskinStatus,MATCH(D914,Maskiner,0)),"")="I dokk","","Maskinen er ikke i dokk"),""))))))</f>
        <v/>
      </c>
      <c r="L914" s="2">
        <f>IF(B914="","",IFERROR(INT((MATCH(B914,Teknikere,0)-1)/18)+1,""))</f>
        <v/>
      </c>
      <c r="M914" s="2">
        <f>IF(OR(A914="",B914=""),"",B914&amp;"|"&amp;A914)</f>
        <v/>
      </c>
      <c r="N914" s="2">
        <f>IF(M914="","",SUMIFS(TF_Timer,TF_Nokkel,M914,TF_Akt,C914))</f>
        <v/>
      </c>
      <c r="O914" s="2">
        <f>IF(M914="","",IF(AND(N914=_xlfn.MAXIFS(TF_AktSum,TF_Nokkel,M914),COUNTIFS(M$3:M913,M914,N$3:N913,N914)=0),M914,""))</f>
        <v/>
      </c>
    </row>
    <row r="915">
      <c r="A915" s="34" t="n"/>
      <c r="B915" s="35" t="n"/>
      <c r="C915" s="35" t="n"/>
      <c r="D915" s="35" t="n"/>
      <c r="E915" s="35" t="n"/>
      <c r="F915" s="36" t="n"/>
      <c r="G915" s="35" t="n"/>
      <c r="H915" s="30">
        <f>IF(L915="","",INDEX(SkiftNavn,L915))</f>
        <v/>
      </c>
      <c r="I915" s="30">
        <f>IF(OR(A915="",L915=""),"",IF(MOD(A915-INDEX(SkiftStart,L915),Syklus)&lt;DagK,"Kveld",IF(MOD(A915-INDEX(SkiftStart,L915),Syklus)&lt;DagK+DagH,"Helg",IF(MOD(A915-INDEX(SkiftStart,L915),Syklus)&lt;DagK+DagH+DagD,"Dag","Fri"))))</f>
        <v/>
      </c>
      <c r="J915" s="30">
        <f>IF(I915="Fri","Ja","")</f>
        <v/>
      </c>
      <c r="K915" s="30">
        <f>IF(B915="","",IF(L915="","Ukjent tekniker",IF(ISNA(MATCH(C915,Aktiviteter,0)),"Ukjent aktivitet",IF(AND(INDEX(AktRolle,MATCH(C915,Aktiviteter,0))&amp;""&lt;&gt;"",ISERROR(SEARCH(INDEX(AktRolle,MATCH(C915,Aktiviteter,0))&amp;"",INDEX(TekRoller,MATCH(B915,Teknikere,0))))),"Mangler rollen "&amp;INDEX(AktRolle,MATCH(C915,Aktiviteter,0))&amp;"",IF(AND(C915="LMS",F915&gt;0,OR(D915="",E915="")),"Mangler maskin eller arbeid",IF(AND(OR(C915="LMS",C915="Mod"),D915&lt;&gt;""),IF(IFERROR(INDEX(MaskinStatus,MATCH(D915,Maskiner,0)),"")="I dokk","","Maskinen er ikke i dokk"),""))))))</f>
        <v/>
      </c>
      <c r="L915" s="2">
        <f>IF(B915="","",IFERROR(INT((MATCH(B915,Teknikere,0)-1)/18)+1,""))</f>
        <v/>
      </c>
      <c r="M915" s="2">
        <f>IF(OR(A915="",B915=""),"",B915&amp;"|"&amp;A915)</f>
        <v/>
      </c>
      <c r="N915" s="2">
        <f>IF(M915="","",SUMIFS(TF_Timer,TF_Nokkel,M915,TF_Akt,C915))</f>
        <v/>
      </c>
      <c r="O915" s="2">
        <f>IF(M915="","",IF(AND(N915=_xlfn.MAXIFS(TF_AktSum,TF_Nokkel,M915),COUNTIFS(M$3:M914,M915,N$3:N914,N915)=0),M915,""))</f>
        <v/>
      </c>
    </row>
    <row r="916">
      <c r="A916" s="34" t="n"/>
      <c r="B916" s="35" t="n"/>
      <c r="C916" s="35" t="n"/>
      <c r="D916" s="35" t="n"/>
      <c r="E916" s="35" t="n"/>
      <c r="F916" s="36" t="n"/>
      <c r="G916" s="35" t="n"/>
      <c r="H916" s="30">
        <f>IF(L916="","",INDEX(SkiftNavn,L916))</f>
        <v/>
      </c>
      <c r="I916" s="30">
        <f>IF(OR(A916="",L916=""),"",IF(MOD(A916-INDEX(SkiftStart,L916),Syklus)&lt;DagK,"Kveld",IF(MOD(A916-INDEX(SkiftStart,L916),Syklus)&lt;DagK+DagH,"Helg",IF(MOD(A916-INDEX(SkiftStart,L916),Syklus)&lt;DagK+DagH+DagD,"Dag","Fri"))))</f>
        <v/>
      </c>
      <c r="J916" s="30">
        <f>IF(I916="Fri","Ja","")</f>
        <v/>
      </c>
      <c r="K916" s="30">
        <f>IF(B916="","",IF(L916="","Ukjent tekniker",IF(ISNA(MATCH(C916,Aktiviteter,0)),"Ukjent aktivitet",IF(AND(INDEX(AktRolle,MATCH(C916,Aktiviteter,0))&amp;""&lt;&gt;"",ISERROR(SEARCH(INDEX(AktRolle,MATCH(C916,Aktiviteter,0))&amp;"",INDEX(TekRoller,MATCH(B916,Teknikere,0))))),"Mangler rollen "&amp;INDEX(AktRolle,MATCH(C916,Aktiviteter,0))&amp;"",IF(AND(C916="LMS",F916&gt;0,OR(D916="",E916="")),"Mangler maskin eller arbeid",IF(AND(OR(C916="LMS",C916="Mod"),D916&lt;&gt;""),IF(IFERROR(INDEX(MaskinStatus,MATCH(D916,Maskiner,0)),"")="I dokk","","Maskinen er ikke i dokk"),""))))))</f>
        <v/>
      </c>
      <c r="L916" s="2">
        <f>IF(B916="","",IFERROR(INT((MATCH(B916,Teknikere,0)-1)/18)+1,""))</f>
        <v/>
      </c>
      <c r="M916" s="2">
        <f>IF(OR(A916="",B916=""),"",B916&amp;"|"&amp;A916)</f>
        <v/>
      </c>
      <c r="N916" s="2">
        <f>IF(M916="","",SUMIFS(TF_Timer,TF_Nokkel,M916,TF_Akt,C916))</f>
        <v/>
      </c>
      <c r="O916" s="2">
        <f>IF(M916="","",IF(AND(N916=_xlfn.MAXIFS(TF_AktSum,TF_Nokkel,M916),COUNTIFS(M$3:M915,M916,N$3:N915,N916)=0),M916,""))</f>
        <v/>
      </c>
    </row>
    <row r="917">
      <c r="A917" s="34" t="n"/>
      <c r="B917" s="35" t="n"/>
      <c r="C917" s="35" t="n"/>
      <c r="D917" s="35" t="n"/>
      <c r="E917" s="35" t="n"/>
      <c r="F917" s="36" t="n"/>
      <c r="G917" s="35" t="n"/>
      <c r="H917" s="30">
        <f>IF(L917="","",INDEX(SkiftNavn,L917))</f>
        <v/>
      </c>
      <c r="I917" s="30">
        <f>IF(OR(A917="",L917=""),"",IF(MOD(A917-INDEX(SkiftStart,L917),Syklus)&lt;DagK,"Kveld",IF(MOD(A917-INDEX(SkiftStart,L917),Syklus)&lt;DagK+DagH,"Helg",IF(MOD(A917-INDEX(SkiftStart,L917),Syklus)&lt;DagK+DagH+DagD,"Dag","Fri"))))</f>
        <v/>
      </c>
      <c r="J917" s="30">
        <f>IF(I917="Fri","Ja","")</f>
        <v/>
      </c>
      <c r="K917" s="30">
        <f>IF(B917="","",IF(L917="","Ukjent tekniker",IF(ISNA(MATCH(C917,Aktiviteter,0)),"Ukjent aktivitet",IF(AND(INDEX(AktRolle,MATCH(C917,Aktiviteter,0))&amp;""&lt;&gt;"",ISERROR(SEARCH(INDEX(AktRolle,MATCH(C917,Aktiviteter,0))&amp;"",INDEX(TekRoller,MATCH(B917,Teknikere,0))))),"Mangler rollen "&amp;INDEX(AktRolle,MATCH(C917,Aktiviteter,0))&amp;"",IF(AND(C917="LMS",F917&gt;0,OR(D917="",E917="")),"Mangler maskin eller arbeid",IF(AND(OR(C917="LMS",C917="Mod"),D917&lt;&gt;""),IF(IFERROR(INDEX(MaskinStatus,MATCH(D917,Maskiner,0)),"")="I dokk","","Maskinen er ikke i dokk"),""))))))</f>
        <v/>
      </c>
      <c r="L917" s="2">
        <f>IF(B917="","",IFERROR(INT((MATCH(B917,Teknikere,0)-1)/18)+1,""))</f>
        <v/>
      </c>
      <c r="M917" s="2">
        <f>IF(OR(A917="",B917=""),"",B917&amp;"|"&amp;A917)</f>
        <v/>
      </c>
      <c r="N917" s="2">
        <f>IF(M917="","",SUMIFS(TF_Timer,TF_Nokkel,M917,TF_Akt,C917))</f>
        <v/>
      </c>
      <c r="O917" s="2">
        <f>IF(M917="","",IF(AND(N917=_xlfn.MAXIFS(TF_AktSum,TF_Nokkel,M917),COUNTIFS(M$3:M916,M917,N$3:N916,N917)=0),M917,""))</f>
        <v/>
      </c>
    </row>
    <row r="918">
      <c r="A918" s="34" t="n"/>
      <c r="B918" s="35" t="n"/>
      <c r="C918" s="35" t="n"/>
      <c r="D918" s="35" t="n"/>
      <c r="E918" s="35" t="n"/>
      <c r="F918" s="36" t="n"/>
      <c r="G918" s="35" t="n"/>
      <c r="H918" s="30">
        <f>IF(L918="","",INDEX(SkiftNavn,L918))</f>
        <v/>
      </c>
      <c r="I918" s="30">
        <f>IF(OR(A918="",L918=""),"",IF(MOD(A918-INDEX(SkiftStart,L918),Syklus)&lt;DagK,"Kveld",IF(MOD(A918-INDEX(SkiftStart,L918),Syklus)&lt;DagK+DagH,"Helg",IF(MOD(A918-INDEX(SkiftStart,L918),Syklus)&lt;DagK+DagH+DagD,"Dag","Fri"))))</f>
        <v/>
      </c>
      <c r="J918" s="30">
        <f>IF(I918="Fri","Ja","")</f>
        <v/>
      </c>
      <c r="K918" s="30">
        <f>IF(B918="","",IF(L918="","Ukjent tekniker",IF(ISNA(MATCH(C918,Aktiviteter,0)),"Ukjent aktivitet",IF(AND(INDEX(AktRolle,MATCH(C918,Aktiviteter,0))&amp;""&lt;&gt;"",ISERROR(SEARCH(INDEX(AktRolle,MATCH(C918,Aktiviteter,0))&amp;"",INDEX(TekRoller,MATCH(B918,Teknikere,0))))),"Mangler rollen "&amp;INDEX(AktRolle,MATCH(C918,Aktiviteter,0))&amp;"",IF(AND(C918="LMS",F918&gt;0,OR(D918="",E918="")),"Mangler maskin eller arbeid",IF(AND(OR(C918="LMS",C918="Mod"),D918&lt;&gt;""),IF(IFERROR(INDEX(MaskinStatus,MATCH(D918,Maskiner,0)),"")="I dokk","","Maskinen er ikke i dokk"),""))))))</f>
        <v/>
      </c>
      <c r="L918" s="2">
        <f>IF(B918="","",IFERROR(INT((MATCH(B918,Teknikere,0)-1)/18)+1,""))</f>
        <v/>
      </c>
      <c r="M918" s="2">
        <f>IF(OR(A918="",B918=""),"",B918&amp;"|"&amp;A918)</f>
        <v/>
      </c>
      <c r="N918" s="2">
        <f>IF(M918="","",SUMIFS(TF_Timer,TF_Nokkel,M918,TF_Akt,C918))</f>
        <v/>
      </c>
      <c r="O918" s="2">
        <f>IF(M918="","",IF(AND(N918=_xlfn.MAXIFS(TF_AktSum,TF_Nokkel,M918),COUNTIFS(M$3:M917,M918,N$3:N917,N918)=0),M918,""))</f>
        <v/>
      </c>
    </row>
    <row r="919">
      <c r="A919" s="34" t="n"/>
      <c r="B919" s="35" t="n"/>
      <c r="C919" s="35" t="n"/>
      <c r="D919" s="35" t="n"/>
      <c r="E919" s="35" t="n"/>
      <c r="F919" s="36" t="n"/>
      <c r="G919" s="35" t="n"/>
      <c r="H919" s="30">
        <f>IF(L919="","",INDEX(SkiftNavn,L919))</f>
        <v/>
      </c>
      <c r="I919" s="30">
        <f>IF(OR(A919="",L919=""),"",IF(MOD(A919-INDEX(SkiftStart,L919),Syklus)&lt;DagK,"Kveld",IF(MOD(A919-INDEX(SkiftStart,L919),Syklus)&lt;DagK+DagH,"Helg",IF(MOD(A919-INDEX(SkiftStart,L919),Syklus)&lt;DagK+DagH+DagD,"Dag","Fri"))))</f>
        <v/>
      </c>
      <c r="J919" s="30">
        <f>IF(I919="Fri","Ja","")</f>
        <v/>
      </c>
      <c r="K919" s="30">
        <f>IF(B919="","",IF(L919="","Ukjent tekniker",IF(ISNA(MATCH(C919,Aktiviteter,0)),"Ukjent aktivitet",IF(AND(INDEX(AktRolle,MATCH(C919,Aktiviteter,0))&amp;""&lt;&gt;"",ISERROR(SEARCH(INDEX(AktRolle,MATCH(C919,Aktiviteter,0))&amp;"",INDEX(TekRoller,MATCH(B919,Teknikere,0))))),"Mangler rollen "&amp;INDEX(AktRolle,MATCH(C919,Aktiviteter,0))&amp;"",IF(AND(C919="LMS",F919&gt;0,OR(D919="",E919="")),"Mangler maskin eller arbeid",IF(AND(OR(C919="LMS",C919="Mod"),D919&lt;&gt;""),IF(IFERROR(INDEX(MaskinStatus,MATCH(D919,Maskiner,0)),"")="I dokk","","Maskinen er ikke i dokk"),""))))))</f>
        <v/>
      </c>
      <c r="L919" s="2">
        <f>IF(B919="","",IFERROR(INT((MATCH(B919,Teknikere,0)-1)/18)+1,""))</f>
        <v/>
      </c>
      <c r="M919" s="2">
        <f>IF(OR(A919="",B919=""),"",B919&amp;"|"&amp;A919)</f>
        <v/>
      </c>
      <c r="N919" s="2">
        <f>IF(M919="","",SUMIFS(TF_Timer,TF_Nokkel,M919,TF_Akt,C919))</f>
        <v/>
      </c>
      <c r="O919" s="2">
        <f>IF(M919="","",IF(AND(N919=_xlfn.MAXIFS(TF_AktSum,TF_Nokkel,M919),COUNTIFS(M$3:M918,M919,N$3:N918,N919)=0),M919,""))</f>
        <v/>
      </c>
    </row>
    <row r="920">
      <c r="A920" s="34" t="n"/>
      <c r="B920" s="35" t="n"/>
      <c r="C920" s="35" t="n"/>
      <c r="D920" s="35" t="n"/>
      <c r="E920" s="35" t="n"/>
      <c r="F920" s="36" t="n"/>
      <c r="G920" s="35" t="n"/>
      <c r="H920" s="30">
        <f>IF(L920="","",INDEX(SkiftNavn,L920))</f>
        <v/>
      </c>
      <c r="I920" s="30">
        <f>IF(OR(A920="",L920=""),"",IF(MOD(A920-INDEX(SkiftStart,L920),Syklus)&lt;DagK,"Kveld",IF(MOD(A920-INDEX(SkiftStart,L920),Syklus)&lt;DagK+DagH,"Helg",IF(MOD(A920-INDEX(SkiftStart,L920),Syklus)&lt;DagK+DagH+DagD,"Dag","Fri"))))</f>
        <v/>
      </c>
      <c r="J920" s="30">
        <f>IF(I920="Fri","Ja","")</f>
        <v/>
      </c>
      <c r="K920" s="30">
        <f>IF(B920="","",IF(L920="","Ukjent tekniker",IF(ISNA(MATCH(C920,Aktiviteter,0)),"Ukjent aktivitet",IF(AND(INDEX(AktRolle,MATCH(C920,Aktiviteter,0))&amp;""&lt;&gt;"",ISERROR(SEARCH(INDEX(AktRolle,MATCH(C920,Aktiviteter,0))&amp;"",INDEX(TekRoller,MATCH(B920,Teknikere,0))))),"Mangler rollen "&amp;INDEX(AktRolle,MATCH(C920,Aktiviteter,0))&amp;"",IF(AND(C920="LMS",F920&gt;0,OR(D920="",E920="")),"Mangler maskin eller arbeid",IF(AND(OR(C920="LMS",C920="Mod"),D920&lt;&gt;""),IF(IFERROR(INDEX(MaskinStatus,MATCH(D920,Maskiner,0)),"")="I dokk","","Maskinen er ikke i dokk"),""))))))</f>
        <v/>
      </c>
      <c r="L920" s="2">
        <f>IF(B920="","",IFERROR(INT((MATCH(B920,Teknikere,0)-1)/18)+1,""))</f>
        <v/>
      </c>
      <c r="M920" s="2">
        <f>IF(OR(A920="",B920=""),"",B920&amp;"|"&amp;A920)</f>
        <v/>
      </c>
      <c r="N920" s="2">
        <f>IF(M920="","",SUMIFS(TF_Timer,TF_Nokkel,M920,TF_Akt,C920))</f>
        <v/>
      </c>
      <c r="O920" s="2">
        <f>IF(M920="","",IF(AND(N920=_xlfn.MAXIFS(TF_AktSum,TF_Nokkel,M920),COUNTIFS(M$3:M919,M920,N$3:N919,N920)=0),M920,""))</f>
        <v/>
      </c>
    </row>
    <row r="921">
      <c r="A921" s="34" t="n"/>
      <c r="B921" s="35" t="n"/>
      <c r="C921" s="35" t="n"/>
      <c r="D921" s="35" t="n"/>
      <c r="E921" s="35" t="n"/>
      <c r="F921" s="36" t="n"/>
      <c r="G921" s="35" t="n"/>
      <c r="H921" s="30">
        <f>IF(L921="","",INDEX(SkiftNavn,L921))</f>
        <v/>
      </c>
      <c r="I921" s="30">
        <f>IF(OR(A921="",L921=""),"",IF(MOD(A921-INDEX(SkiftStart,L921),Syklus)&lt;DagK,"Kveld",IF(MOD(A921-INDEX(SkiftStart,L921),Syklus)&lt;DagK+DagH,"Helg",IF(MOD(A921-INDEX(SkiftStart,L921),Syklus)&lt;DagK+DagH+DagD,"Dag","Fri"))))</f>
        <v/>
      </c>
      <c r="J921" s="30">
        <f>IF(I921="Fri","Ja","")</f>
        <v/>
      </c>
      <c r="K921" s="30">
        <f>IF(B921="","",IF(L921="","Ukjent tekniker",IF(ISNA(MATCH(C921,Aktiviteter,0)),"Ukjent aktivitet",IF(AND(INDEX(AktRolle,MATCH(C921,Aktiviteter,0))&amp;""&lt;&gt;"",ISERROR(SEARCH(INDEX(AktRolle,MATCH(C921,Aktiviteter,0))&amp;"",INDEX(TekRoller,MATCH(B921,Teknikere,0))))),"Mangler rollen "&amp;INDEX(AktRolle,MATCH(C921,Aktiviteter,0))&amp;"",IF(AND(C921="LMS",F921&gt;0,OR(D921="",E921="")),"Mangler maskin eller arbeid",IF(AND(OR(C921="LMS",C921="Mod"),D921&lt;&gt;""),IF(IFERROR(INDEX(MaskinStatus,MATCH(D921,Maskiner,0)),"")="I dokk","","Maskinen er ikke i dokk"),""))))))</f>
        <v/>
      </c>
      <c r="L921" s="2">
        <f>IF(B921="","",IFERROR(INT((MATCH(B921,Teknikere,0)-1)/18)+1,""))</f>
        <v/>
      </c>
      <c r="M921" s="2">
        <f>IF(OR(A921="",B921=""),"",B921&amp;"|"&amp;A921)</f>
        <v/>
      </c>
      <c r="N921" s="2">
        <f>IF(M921="","",SUMIFS(TF_Timer,TF_Nokkel,M921,TF_Akt,C921))</f>
        <v/>
      </c>
      <c r="O921" s="2">
        <f>IF(M921="","",IF(AND(N921=_xlfn.MAXIFS(TF_AktSum,TF_Nokkel,M921),COUNTIFS(M$3:M920,M921,N$3:N920,N921)=0),M921,""))</f>
        <v/>
      </c>
    </row>
    <row r="922">
      <c r="A922" s="34" t="n"/>
      <c r="B922" s="35" t="n"/>
      <c r="C922" s="35" t="n"/>
      <c r="D922" s="35" t="n"/>
      <c r="E922" s="35" t="n"/>
      <c r="F922" s="36" t="n"/>
      <c r="G922" s="35" t="n"/>
      <c r="H922" s="30">
        <f>IF(L922="","",INDEX(SkiftNavn,L922))</f>
        <v/>
      </c>
      <c r="I922" s="30">
        <f>IF(OR(A922="",L922=""),"",IF(MOD(A922-INDEX(SkiftStart,L922),Syklus)&lt;DagK,"Kveld",IF(MOD(A922-INDEX(SkiftStart,L922),Syklus)&lt;DagK+DagH,"Helg",IF(MOD(A922-INDEX(SkiftStart,L922),Syklus)&lt;DagK+DagH+DagD,"Dag","Fri"))))</f>
        <v/>
      </c>
      <c r="J922" s="30">
        <f>IF(I922="Fri","Ja","")</f>
        <v/>
      </c>
      <c r="K922" s="30">
        <f>IF(B922="","",IF(L922="","Ukjent tekniker",IF(ISNA(MATCH(C922,Aktiviteter,0)),"Ukjent aktivitet",IF(AND(INDEX(AktRolle,MATCH(C922,Aktiviteter,0))&amp;""&lt;&gt;"",ISERROR(SEARCH(INDEX(AktRolle,MATCH(C922,Aktiviteter,0))&amp;"",INDEX(TekRoller,MATCH(B922,Teknikere,0))))),"Mangler rollen "&amp;INDEX(AktRolle,MATCH(C922,Aktiviteter,0))&amp;"",IF(AND(C922="LMS",F922&gt;0,OR(D922="",E922="")),"Mangler maskin eller arbeid",IF(AND(OR(C922="LMS",C922="Mod"),D922&lt;&gt;""),IF(IFERROR(INDEX(MaskinStatus,MATCH(D922,Maskiner,0)),"")="I dokk","","Maskinen er ikke i dokk"),""))))))</f>
        <v/>
      </c>
      <c r="L922" s="2">
        <f>IF(B922="","",IFERROR(INT((MATCH(B922,Teknikere,0)-1)/18)+1,""))</f>
        <v/>
      </c>
      <c r="M922" s="2">
        <f>IF(OR(A922="",B922=""),"",B922&amp;"|"&amp;A922)</f>
        <v/>
      </c>
      <c r="N922" s="2">
        <f>IF(M922="","",SUMIFS(TF_Timer,TF_Nokkel,M922,TF_Akt,C922))</f>
        <v/>
      </c>
      <c r="O922" s="2">
        <f>IF(M922="","",IF(AND(N922=_xlfn.MAXIFS(TF_AktSum,TF_Nokkel,M922),COUNTIFS(M$3:M921,M922,N$3:N921,N922)=0),M922,""))</f>
        <v/>
      </c>
    </row>
    <row r="923">
      <c r="A923" s="34" t="n"/>
      <c r="B923" s="35" t="n"/>
      <c r="C923" s="35" t="n"/>
      <c r="D923" s="35" t="n"/>
      <c r="E923" s="35" t="n"/>
      <c r="F923" s="36" t="n"/>
      <c r="G923" s="35" t="n"/>
      <c r="H923" s="30">
        <f>IF(L923="","",INDEX(SkiftNavn,L923))</f>
        <v/>
      </c>
      <c r="I923" s="30">
        <f>IF(OR(A923="",L923=""),"",IF(MOD(A923-INDEX(SkiftStart,L923),Syklus)&lt;DagK,"Kveld",IF(MOD(A923-INDEX(SkiftStart,L923),Syklus)&lt;DagK+DagH,"Helg",IF(MOD(A923-INDEX(SkiftStart,L923),Syklus)&lt;DagK+DagH+DagD,"Dag","Fri"))))</f>
        <v/>
      </c>
      <c r="J923" s="30">
        <f>IF(I923="Fri","Ja","")</f>
        <v/>
      </c>
      <c r="K923" s="30">
        <f>IF(B923="","",IF(L923="","Ukjent tekniker",IF(ISNA(MATCH(C923,Aktiviteter,0)),"Ukjent aktivitet",IF(AND(INDEX(AktRolle,MATCH(C923,Aktiviteter,0))&amp;""&lt;&gt;"",ISERROR(SEARCH(INDEX(AktRolle,MATCH(C923,Aktiviteter,0))&amp;"",INDEX(TekRoller,MATCH(B923,Teknikere,0))))),"Mangler rollen "&amp;INDEX(AktRolle,MATCH(C923,Aktiviteter,0))&amp;"",IF(AND(C923="LMS",F923&gt;0,OR(D923="",E923="")),"Mangler maskin eller arbeid",IF(AND(OR(C923="LMS",C923="Mod"),D923&lt;&gt;""),IF(IFERROR(INDEX(MaskinStatus,MATCH(D923,Maskiner,0)),"")="I dokk","","Maskinen er ikke i dokk"),""))))))</f>
        <v/>
      </c>
      <c r="L923" s="2">
        <f>IF(B923="","",IFERROR(INT((MATCH(B923,Teknikere,0)-1)/18)+1,""))</f>
        <v/>
      </c>
      <c r="M923" s="2">
        <f>IF(OR(A923="",B923=""),"",B923&amp;"|"&amp;A923)</f>
        <v/>
      </c>
      <c r="N923" s="2">
        <f>IF(M923="","",SUMIFS(TF_Timer,TF_Nokkel,M923,TF_Akt,C923))</f>
        <v/>
      </c>
      <c r="O923" s="2">
        <f>IF(M923="","",IF(AND(N923=_xlfn.MAXIFS(TF_AktSum,TF_Nokkel,M923),COUNTIFS(M$3:M922,M923,N$3:N922,N923)=0),M923,""))</f>
        <v/>
      </c>
    </row>
    <row r="924">
      <c r="A924" s="34" t="n"/>
      <c r="B924" s="35" t="n"/>
      <c r="C924" s="35" t="n"/>
      <c r="D924" s="35" t="n"/>
      <c r="E924" s="35" t="n"/>
      <c r="F924" s="36" t="n"/>
      <c r="G924" s="35" t="n"/>
      <c r="H924" s="30">
        <f>IF(L924="","",INDEX(SkiftNavn,L924))</f>
        <v/>
      </c>
      <c r="I924" s="30">
        <f>IF(OR(A924="",L924=""),"",IF(MOD(A924-INDEX(SkiftStart,L924),Syklus)&lt;DagK,"Kveld",IF(MOD(A924-INDEX(SkiftStart,L924),Syklus)&lt;DagK+DagH,"Helg",IF(MOD(A924-INDEX(SkiftStart,L924),Syklus)&lt;DagK+DagH+DagD,"Dag","Fri"))))</f>
        <v/>
      </c>
      <c r="J924" s="30">
        <f>IF(I924="Fri","Ja","")</f>
        <v/>
      </c>
      <c r="K924" s="30">
        <f>IF(B924="","",IF(L924="","Ukjent tekniker",IF(ISNA(MATCH(C924,Aktiviteter,0)),"Ukjent aktivitet",IF(AND(INDEX(AktRolle,MATCH(C924,Aktiviteter,0))&amp;""&lt;&gt;"",ISERROR(SEARCH(INDEX(AktRolle,MATCH(C924,Aktiviteter,0))&amp;"",INDEX(TekRoller,MATCH(B924,Teknikere,0))))),"Mangler rollen "&amp;INDEX(AktRolle,MATCH(C924,Aktiviteter,0))&amp;"",IF(AND(C924="LMS",F924&gt;0,OR(D924="",E924="")),"Mangler maskin eller arbeid",IF(AND(OR(C924="LMS",C924="Mod"),D924&lt;&gt;""),IF(IFERROR(INDEX(MaskinStatus,MATCH(D924,Maskiner,0)),"")="I dokk","","Maskinen er ikke i dokk"),""))))))</f>
        <v/>
      </c>
      <c r="L924" s="2">
        <f>IF(B924="","",IFERROR(INT((MATCH(B924,Teknikere,0)-1)/18)+1,""))</f>
        <v/>
      </c>
      <c r="M924" s="2">
        <f>IF(OR(A924="",B924=""),"",B924&amp;"|"&amp;A924)</f>
        <v/>
      </c>
      <c r="N924" s="2">
        <f>IF(M924="","",SUMIFS(TF_Timer,TF_Nokkel,M924,TF_Akt,C924))</f>
        <v/>
      </c>
      <c r="O924" s="2">
        <f>IF(M924="","",IF(AND(N924=_xlfn.MAXIFS(TF_AktSum,TF_Nokkel,M924),COUNTIFS(M$3:M923,M924,N$3:N923,N924)=0),M924,""))</f>
        <v/>
      </c>
    </row>
    <row r="925">
      <c r="A925" s="34" t="n"/>
      <c r="B925" s="35" t="n"/>
      <c r="C925" s="35" t="n"/>
      <c r="D925" s="35" t="n"/>
      <c r="E925" s="35" t="n"/>
      <c r="F925" s="36" t="n"/>
      <c r="G925" s="35" t="n"/>
      <c r="H925" s="30">
        <f>IF(L925="","",INDEX(SkiftNavn,L925))</f>
        <v/>
      </c>
      <c r="I925" s="30">
        <f>IF(OR(A925="",L925=""),"",IF(MOD(A925-INDEX(SkiftStart,L925),Syklus)&lt;DagK,"Kveld",IF(MOD(A925-INDEX(SkiftStart,L925),Syklus)&lt;DagK+DagH,"Helg",IF(MOD(A925-INDEX(SkiftStart,L925),Syklus)&lt;DagK+DagH+DagD,"Dag","Fri"))))</f>
        <v/>
      </c>
      <c r="J925" s="30">
        <f>IF(I925="Fri","Ja","")</f>
        <v/>
      </c>
      <c r="K925" s="30">
        <f>IF(B925="","",IF(L925="","Ukjent tekniker",IF(ISNA(MATCH(C925,Aktiviteter,0)),"Ukjent aktivitet",IF(AND(INDEX(AktRolle,MATCH(C925,Aktiviteter,0))&amp;""&lt;&gt;"",ISERROR(SEARCH(INDEX(AktRolle,MATCH(C925,Aktiviteter,0))&amp;"",INDEX(TekRoller,MATCH(B925,Teknikere,0))))),"Mangler rollen "&amp;INDEX(AktRolle,MATCH(C925,Aktiviteter,0))&amp;"",IF(AND(C925="LMS",F925&gt;0,OR(D925="",E925="")),"Mangler maskin eller arbeid",IF(AND(OR(C925="LMS",C925="Mod"),D925&lt;&gt;""),IF(IFERROR(INDEX(MaskinStatus,MATCH(D925,Maskiner,0)),"")="I dokk","","Maskinen er ikke i dokk"),""))))))</f>
        <v/>
      </c>
      <c r="L925" s="2">
        <f>IF(B925="","",IFERROR(INT((MATCH(B925,Teknikere,0)-1)/18)+1,""))</f>
        <v/>
      </c>
      <c r="M925" s="2">
        <f>IF(OR(A925="",B925=""),"",B925&amp;"|"&amp;A925)</f>
        <v/>
      </c>
      <c r="N925" s="2">
        <f>IF(M925="","",SUMIFS(TF_Timer,TF_Nokkel,M925,TF_Akt,C925))</f>
        <v/>
      </c>
      <c r="O925" s="2">
        <f>IF(M925="","",IF(AND(N925=_xlfn.MAXIFS(TF_AktSum,TF_Nokkel,M925),COUNTIFS(M$3:M924,M925,N$3:N924,N925)=0),M925,""))</f>
        <v/>
      </c>
    </row>
    <row r="926">
      <c r="A926" s="34" t="n"/>
      <c r="B926" s="35" t="n"/>
      <c r="C926" s="35" t="n"/>
      <c r="D926" s="35" t="n"/>
      <c r="E926" s="35" t="n"/>
      <c r="F926" s="36" t="n"/>
      <c r="G926" s="35" t="n"/>
      <c r="H926" s="30">
        <f>IF(L926="","",INDEX(SkiftNavn,L926))</f>
        <v/>
      </c>
      <c r="I926" s="30">
        <f>IF(OR(A926="",L926=""),"",IF(MOD(A926-INDEX(SkiftStart,L926),Syklus)&lt;DagK,"Kveld",IF(MOD(A926-INDEX(SkiftStart,L926),Syklus)&lt;DagK+DagH,"Helg",IF(MOD(A926-INDEX(SkiftStart,L926),Syklus)&lt;DagK+DagH+DagD,"Dag","Fri"))))</f>
        <v/>
      </c>
      <c r="J926" s="30">
        <f>IF(I926="Fri","Ja","")</f>
        <v/>
      </c>
      <c r="K926" s="30">
        <f>IF(B926="","",IF(L926="","Ukjent tekniker",IF(ISNA(MATCH(C926,Aktiviteter,0)),"Ukjent aktivitet",IF(AND(INDEX(AktRolle,MATCH(C926,Aktiviteter,0))&amp;""&lt;&gt;"",ISERROR(SEARCH(INDEX(AktRolle,MATCH(C926,Aktiviteter,0))&amp;"",INDEX(TekRoller,MATCH(B926,Teknikere,0))))),"Mangler rollen "&amp;INDEX(AktRolle,MATCH(C926,Aktiviteter,0))&amp;"",IF(AND(C926="LMS",F926&gt;0,OR(D926="",E926="")),"Mangler maskin eller arbeid",IF(AND(OR(C926="LMS",C926="Mod"),D926&lt;&gt;""),IF(IFERROR(INDEX(MaskinStatus,MATCH(D926,Maskiner,0)),"")="I dokk","","Maskinen er ikke i dokk"),""))))))</f>
        <v/>
      </c>
      <c r="L926" s="2">
        <f>IF(B926="","",IFERROR(INT((MATCH(B926,Teknikere,0)-1)/18)+1,""))</f>
        <v/>
      </c>
      <c r="M926" s="2">
        <f>IF(OR(A926="",B926=""),"",B926&amp;"|"&amp;A926)</f>
        <v/>
      </c>
      <c r="N926" s="2">
        <f>IF(M926="","",SUMIFS(TF_Timer,TF_Nokkel,M926,TF_Akt,C926))</f>
        <v/>
      </c>
      <c r="O926" s="2">
        <f>IF(M926="","",IF(AND(N926=_xlfn.MAXIFS(TF_AktSum,TF_Nokkel,M926),COUNTIFS(M$3:M925,M926,N$3:N925,N926)=0),M926,""))</f>
        <v/>
      </c>
    </row>
    <row r="927">
      <c r="A927" s="34" t="n"/>
      <c r="B927" s="35" t="n"/>
      <c r="C927" s="35" t="n"/>
      <c r="D927" s="35" t="n"/>
      <c r="E927" s="35" t="n"/>
      <c r="F927" s="36" t="n"/>
      <c r="G927" s="35" t="n"/>
      <c r="H927" s="30">
        <f>IF(L927="","",INDEX(SkiftNavn,L927))</f>
        <v/>
      </c>
      <c r="I927" s="30">
        <f>IF(OR(A927="",L927=""),"",IF(MOD(A927-INDEX(SkiftStart,L927),Syklus)&lt;DagK,"Kveld",IF(MOD(A927-INDEX(SkiftStart,L927),Syklus)&lt;DagK+DagH,"Helg",IF(MOD(A927-INDEX(SkiftStart,L927),Syklus)&lt;DagK+DagH+DagD,"Dag","Fri"))))</f>
        <v/>
      </c>
      <c r="J927" s="30">
        <f>IF(I927="Fri","Ja","")</f>
        <v/>
      </c>
      <c r="K927" s="30">
        <f>IF(B927="","",IF(L927="","Ukjent tekniker",IF(ISNA(MATCH(C927,Aktiviteter,0)),"Ukjent aktivitet",IF(AND(INDEX(AktRolle,MATCH(C927,Aktiviteter,0))&amp;""&lt;&gt;"",ISERROR(SEARCH(INDEX(AktRolle,MATCH(C927,Aktiviteter,0))&amp;"",INDEX(TekRoller,MATCH(B927,Teknikere,0))))),"Mangler rollen "&amp;INDEX(AktRolle,MATCH(C927,Aktiviteter,0))&amp;"",IF(AND(C927="LMS",F927&gt;0,OR(D927="",E927="")),"Mangler maskin eller arbeid",IF(AND(OR(C927="LMS",C927="Mod"),D927&lt;&gt;""),IF(IFERROR(INDEX(MaskinStatus,MATCH(D927,Maskiner,0)),"")="I dokk","","Maskinen er ikke i dokk"),""))))))</f>
        <v/>
      </c>
      <c r="L927" s="2">
        <f>IF(B927="","",IFERROR(INT((MATCH(B927,Teknikere,0)-1)/18)+1,""))</f>
        <v/>
      </c>
      <c r="M927" s="2">
        <f>IF(OR(A927="",B927=""),"",B927&amp;"|"&amp;A927)</f>
        <v/>
      </c>
      <c r="N927" s="2">
        <f>IF(M927="","",SUMIFS(TF_Timer,TF_Nokkel,M927,TF_Akt,C927))</f>
        <v/>
      </c>
      <c r="O927" s="2">
        <f>IF(M927="","",IF(AND(N927=_xlfn.MAXIFS(TF_AktSum,TF_Nokkel,M927),COUNTIFS(M$3:M926,M927,N$3:N926,N927)=0),M927,""))</f>
        <v/>
      </c>
    </row>
    <row r="928">
      <c r="A928" s="34" t="n"/>
      <c r="B928" s="35" t="n"/>
      <c r="C928" s="35" t="n"/>
      <c r="D928" s="35" t="n"/>
      <c r="E928" s="35" t="n"/>
      <c r="F928" s="36" t="n"/>
      <c r="G928" s="35" t="n"/>
      <c r="H928" s="30">
        <f>IF(L928="","",INDEX(SkiftNavn,L928))</f>
        <v/>
      </c>
      <c r="I928" s="30">
        <f>IF(OR(A928="",L928=""),"",IF(MOD(A928-INDEX(SkiftStart,L928),Syklus)&lt;DagK,"Kveld",IF(MOD(A928-INDEX(SkiftStart,L928),Syklus)&lt;DagK+DagH,"Helg",IF(MOD(A928-INDEX(SkiftStart,L928),Syklus)&lt;DagK+DagH+DagD,"Dag","Fri"))))</f>
        <v/>
      </c>
      <c r="J928" s="30">
        <f>IF(I928="Fri","Ja","")</f>
        <v/>
      </c>
      <c r="K928" s="30">
        <f>IF(B928="","",IF(L928="","Ukjent tekniker",IF(ISNA(MATCH(C928,Aktiviteter,0)),"Ukjent aktivitet",IF(AND(INDEX(AktRolle,MATCH(C928,Aktiviteter,0))&amp;""&lt;&gt;"",ISERROR(SEARCH(INDEX(AktRolle,MATCH(C928,Aktiviteter,0))&amp;"",INDEX(TekRoller,MATCH(B928,Teknikere,0))))),"Mangler rollen "&amp;INDEX(AktRolle,MATCH(C928,Aktiviteter,0))&amp;"",IF(AND(C928="LMS",F928&gt;0,OR(D928="",E928="")),"Mangler maskin eller arbeid",IF(AND(OR(C928="LMS",C928="Mod"),D928&lt;&gt;""),IF(IFERROR(INDEX(MaskinStatus,MATCH(D928,Maskiner,0)),"")="I dokk","","Maskinen er ikke i dokk"),""))))))</f>
        <v/>
      </c>
      <c r="L928" s="2">
        <f>IF(B928="","",IFERROR(INT((MATCH(B928,Teknikere,0)-1)/18)+1,""))</f>
        <v/>
      </c>
      <c r="M928" s="2">
        <f>IF(OR(A928="",B928=""),"",B928&amp;"|"&amp;A928)</f>
        <v/>
      </c>
      <c r="N928" s="2">
        <f>IF(M928="","",SUMIFS(TF_Timer,TF_Nokkel,M928,TF_Akt,C928))</f>
        <v/>
      </c>
      <c r="O928" s="2">
        <f>IF(M928="","",IF(AND(N928=_xlfn.MAXIFS(TF_AktSum,TF_Nokkel,M928),COUNTIFS(M$3:M927,M928,N$3:N927,N928)=0),M928,""))</f>
        <v/>
      </c>
    </row>
    <row r="929">
      <c r="A929" s="34" t="n"/>
      <c r="B929" s="35" t="n"/>
      <c r="C929" s="35" t="n"/>
      <c r="D929" s="35" t="n"/>
      <c r="E929" s="35" t="n"/>
      <c r="F929" s="36" t="n"/>
      <c r="G929" s="35" t="n"/>
      <c r="H929" s="30">
        <f>IF(L929="","",INDEX(SkiftNavn,L929))</f>
        <v/>
      </c>
      <c r="I929" s="30">
        <f>IF(OR(A929="",L929=""),"",IF(MOD(A929-INDEX(SkiftStart,L929),Syklus)&lt;DagK,"Kveld",IF(MOD(A929-INDEX(SkiftStart,L929),Syklus)&lt;DagK+DagH,"Helg",IF(MOD(A929-INDEX(SkiftStart,L929),Syklus)&lt;DagK+DagH+DagD,"Dag","Fri"))))</f>
        <v/>
      </c>
      <c r="J929" s="30">
        <f>IF(I929="Fri","Ja","")</f>
        <v/>
      </c>
      <c r="K929" s="30">
        <f>IF(B929="","",IF(L929="","Ukjent tekniker",IF(ISNA(MATCH(C929,Aktiviteter,0)),"Ukjent aktivitet",IF(AND(INDEX(AktRolle,MATCH(C929,Aktiviteter,0))&amp;""&lt;&gt;"",ISERROR(SEARCH(INDEX(AktRolle,MATCH(C929,Aktiviteter,0))&amp;"",INDEX(TekRoller,MATCH(B929,Teknikere,0))))),"Mangler rollen "&amp;INDEX(AktRolle,MATCH(C929,Aktiviteter,0))&amp;"",IF(AND(C929="LMS",F929&gt;0,OR(D929="",E929="")),"Mangler maskin eller arbeid",IF(AND(OR(C929="LMS",C929="Mod"),D929&lt;&gt;""),IF(IFERROR(INDEX(MaskinStatus,MATCH(D929,Maskiner,0)),"")="I dokk","","Maskinen er ikke i dokk"),""))))))</f>
        <v/>
      </c>
      <c r="L929" s="2">
        <f>IF(B929="","",IFERROR(INT((MATCH(B929,Teknikere,0)-1)/18)+1,""))</f>
        <v/>
      </c>
      <c r="M929" s="2">
        <f>IF(OR(A929="",B929=""),"",B929&amp;"|"&amp;A929)</f>
        <v/>
      </c>
      <c r="N929" s="2">
        <f>IF(M929="","",SUMIFS(TF_Timer,TF_Nokkel,M929,TF_Akt,C929))</f>
        <v/>
      </c>
      <c r="O929" s="2">
        <f>IF(M929="","",IF(AND(N929=_xlfn.MAXIFS(TF_AktSum,TF_Nokkel,M929),COUNTIFS(M$3:M928,M929,N$3:N928,N929)=0),M929,""))</f>
        <v/>
      </c>
    </row>
    <row r="930">
      <c r="A930" s="34" t="n"/>
      <c r="B930" s="35" t="n"/>
      <c r="C930" s="35" t="n"/>
      <c r="D930" s="35" t="n"/>
      <c r="E930" s="35" t="n"/>
      <c r="F930" s="36" t="n"/>
      <c r="G930" s="35" t="n"/>
      <c r="H930" s="30">
        <f>IF(L930="","",INDEX(SkiftNavn,L930))</f>
        <v/>
      </c>
      <c r="I930" s="30">
        <f>IF(OR(A930="",L930=""),"",IF(MOD(A930-INDEX(SkiftStart,L930),Syklus)&lt;DagK,"Kveld",IF(MOD(A930-INDEX(SkiftStart,L930),Syklus)&lt;DagK+DagH,"Helg",IF(MOD(A930-INDEX(SkiftStart,L930),Syklus)&lt;DagK+DagH+DagD,"Dag","Fri"))))</f>
        <v/>
      </c>
      <c r="J930" s="30">
        <f>IF(I930="Fri","Ja","")</f>
        <v/>
      </c>
      <c r="K930" s="30">
        <f>IF(B930="","",IF(L930="","Ukjent tekniker",IF(ISNA(MATCH(C930,Aktiviteter,0)),"Ukjent aktivitet",IF(AND(INDEX(AktRolle,MATCH(C930,Aktiviteter,0))&amp;""&lt;&gt;"",ISERROR(SEARCH(INDEX(AktRolle,MATCH(C930,Aktiviteter,0))&amp;"",INDEX(TekRoller,MATCH(B930,Teknikere,0))))),"Mangler rollen "&amp;INDEX(AktRolle,MATCH(C930,Aktiviteter,0))&amp;"",IF(AND(C930="LMS",F930&gt;0,OR(D930="",E930="")),"Mangler maskin eller arbeid",IF(AND(OR(C930="LMS",C930="Mod"),D930&lt;&gt;""),IF(IFERROR(INDEX(MaskinStatus,MATCH(D930,Maskiner,0)),"")="I dokk","","Maskinen er ikke i dokk"),""))))))</f>
        <v/>
      </c>
      <c r="L930" s="2">
        <f>IF(B930="","",IFERROR(INT((MATCH(B930,Teknikere,0)-1)/18)+1,""))</f>
        <v/>
      </c>
      <c r="M930" s="2">
        <f>IF(OR(A930="",B930=""),"",B930&amp;"|"&amp;A930)</f>
        <v/>
      </c>
      <c r="N930" s="2">
        <f>IF(M930="","",SUMIFS(TF_Timer,TF_Nokkel,M930,TF_Akt,C930))</f>
        <v/>
      </c>
      <c r="O930" s="2">
        <f>IF(M930="","",IF(AND(N930=_xlfn.MAXIFS(TF_AktSum,TF_Nokkel,M930),COUNTIFS(M$3:M929,M930,N$3:N929,N930)=0),M930,""))</f>
        <v/>
      </c>
    </row>
    <row r="931">
      <c r="A931" s="34" t="n"/>
      <c r="B931" s="35" t="n"/>
      <c r="C931" s="35" t="n"/>
      <c r="D931" s="35" t="n"/>
      <c r="E931" s="35" t="n"/>
      <c r="F931" s="36" t="n"/>
      <c r="G931" s="35" t="n"/>
      <c r="H931" s="30">
        <f>IF(L931="","",INDEX(SkiftNavn,L931))</f>
        <v/>
      </c>
      <c r="I931" s="30">
        <f>IF(OR(A931="",L931=""),"",IF(MOD(A931-INDEX(SkiftStart,L931),Syklus)&lt;DagK,"Kveld",IF(MOD(A931-INDEX(SkiftStart,L931),Syklus)&lt;DagK+DagH,"Helg",IF(MOD(A931-INDEX(SkiftStart,L931),Syklus)&lt;DagK+DagH+DagD,"Dag","Fri"))))</f>
        <v/>
      </c>
      <c r="J931" s="30">
        <f>IF(I931="Fri","Ja","")</f>
        <v/>
      </c>
      <c r="K931" s="30">
        <f>IF(B931="","",IF(L931="","Ukjent tekniker",IF(ISNA(MATCH(C931,Aktiviteter,0)),"Ukjent aktivitet",IF(AND(INDEX(AktRolle,MATCH(C931,Aktiviteter,0))&amp;""&lt;&gt;"",ISERROR(SEARCH(INDEX(AktRolle,MATCH(C931,Aktiviteter,0))&amp;"",INDEX(TekRoller,MATCH(B931,Teknikere,0))))),"Mangler rollen "&amp;INDEX(AktRolle,MATCH(C931,Aktiviteter,0))&amp;"",IF(AND(C931="LMS",F931&gt;0,OR(D931="",E931="")),"Mangler maskin eller arbeid",IF(AND(OR(C931="LMS",C931="Mod"),D931&lt;&gt;""),IF(IFERROR(INDEX(MaskinStatus,MATCH(D931,Maskiner,0)),"")="I dokk","","Maskinen er ikke i dokk"),""))))))</f>
        <v/>
      </c>
      <c r="L931" s="2">
        <f>IF(B931="","",IFERROR(INT((MATCH(B931,Teknikere,0)-1)/18)+1,""))</f>
        <v/>
      </c>
      <c r="M931" s="2">
        <f>IF(OR(A931="",B931=""),"",B931&amp;"|"&amp;A931)</f>
        <v/>
      </c>
      <c r="N931" s="2">
        <f>IF(M931="","",SUMIFS(TF_Timer,TF_Nokkel,M931,TF_Akt,C931))</f>
        <v/>
      </c>
      <c r="O931" s="2">
        <f>IF(M931="","",IF(AND(N931=_xlfn.MAXIFS(TF_AktSum,TF_Nokkel,M931),COUNTIFS(M$3:M930,M931,N$3:N930,N931)=0),M931,""))</f>
        <v/>
      </c>
    </row>
    <row r="932">
      <c r="A932" s="34" t="n"/>
      <c r="B932" s="35" t="n"/>
      <c r="C932" s="35" t="n"/>
      <c r="D932" s="35" t="n"/>
      <c r="E932" s="35" t="n"/>
      <c r="F932" s="36" t="n"/>
      <c r="G932" s="35" t="n"/>
      <c r="H932" s="30">
        <f>IF(L932="","",INDEX(SkiftNavn,L932))</f>
        <v/>
      </c>
      <c r="I932" s="30">
        <f>IF(OR(A932="",L932=""),"",IF(MOD(A932-INDEX(SkiftStart,L932),Syklus)&lt;DagK,"Kveld",IF(MOD(A932-INDEX(SkiftStart,L932),Syklus)&lt;DagK+DagH,"Helg",IF(MOD(A932-INDEX(SkiftStart,L932),Syklus)&lt;DagK+DagH+DagD,"Dag","Fri"))))</f>
        <v/>
      </c>
      <c r="J932" s="30">
        <f>IF(I932="Fri","Ja","")</f>
        <v/>
      </c>
      <c r="K932" s="30">
        <f>IF(B932="","",IF(L932="","Ukjent tekniker",IF(ISNA(MATCH(C932,Aktiviteter,0)),"Ukjent aktivitet",IF(AND(INDEX(AktRolle,MATCH(C932,Aktiviteter,0))&amp;""&lt;&gt;"",ISERROR(SEARCH(INDEX(AktRolle,MATCH(C932,Aktiviteter,0))&amp;"",INDEX(TekRoller,MATCH(B932,Teknikere,0))))),"Mangler rollen "&amp;INDEX(AktRolle,MATCH(C932,Aktiviteter,0))&amp;"",IF(AND(C932="LMS",F932&gt;0,OR(D932="",E932="")),"Mangler maskin eller arbeid",IF(AND(OR(C932="LMS",C932="Mod"),D932&lt;&gt;""),IF(IFERROR(INDEX(MaskinStatus,MATCH(D932,Maskiner,0)),"")="I dokk","","Maskinen er ikke i dokk"),""))))))</f>
        <v/>
      </c>
      <c r="L932" s="2">
        <f>IF(B932="","",IFERROR(INT((MATCH(B932,Teknikere,0)-1)/18)+1,""))</f>
        <v/>
      </c>
      <c r="M932" s="2">
        <f>IF(OR(A932="",B932=""),"",B932&amp;"|"&amp;A932)</f>
        <v/>
      </c>
      <c r="N932" s="2">
        <f>IF(M932="","",SUMIFS(TF_Timer,TF_Nokkel,M932,TF_Akt,C932))</f>
        <v/>
      </c>
      <c r="O932" s="2">
        <f>IF(M932="","",IF(AND(N932=_xlfn.MAXIFS(TF_AktSum,TF_Nokkel,M932),COUNTIFS(M$3:M931,M932,N$3:N931,N932)=0),M932,""))</f>
        <v/>
      </c>
    </row>
    <row r="933">
      <c r="A933" s="34" t="n"/>
      <c r="B933" s="35" t="n"/>
      <c r="C933" s="35" t="n"/>
      <c r="D933" s="35" t="n"/>
      <c r="E933" s="35" t="n"/>
      <c r="F933" s="36" t="n"/>
      <c r="G933" s="35" t="n"/>
      <c r="H933" s="30">
        <f>IF(L933="","",INDEX(SkiftNavn,L933))</f>
        <v/>
      </c>
      <c r="I933" s="30">
        <f>IF(OR(A933="",L933=""),"",IF(MOD(A933-INDEX(SkiftStart,L933),Syklus)&lt;DagK,"Kveld",IF(MOD(A933-INDEX(SkiftStart,L933),Syklus)&lt;DagK+DagH,"Helg",IF(MOD(A933-INDEX(SkiftStart,L933),Syklus)&lt;DagK+DagH+DagD,"Dag","Fri"))))</f>
        <v/>
      </c>
      <c r="J933" s="30">
        <f>IF(I933="Fri","Ja","")</f>
        <v/>
      </c>
      <c r="K933" s="30">
        <f>IF(B933="","",IF(L933="","Ukjent tekniker",IF(ISNA(MATCH(C933,Aktiviteter,0)),"Ukjent aktivitet",IF(AND(INDEX(AktRolle,MATCH(C933,Aktiviteter,0))&amp;""&lt;&gt;"",ISERROR(SEARCH(INDEX(AktRolle,MATCH(C933,Aktiviteter,0))&amp;"",INDEX(TekRoller,MATCH(B933,Teknikere,0))))),"Mangler rollen "&amp;INDEX(AktRolle,MATCH(C933,Aktiviteter,0))&amp;"",IF(AND(C933="LMS",F933&gt;0,OR(D933="",E933="")),"Mangler maskin eller arbeid",IF(AND(OR(C933="LMS",C933="Mod"),D933&lt;&gt;""),IF(IFERROR(INDEX(MaskinStatus,MATCH(D933,Maskiner,0)),"")="I dokk","","Maskinen er ikke i dokk"),""))))))</f>
        <v/>
      </c>
      <c r="L933" s="2">
        <f>IF(B933="","",IFERROR(INT((MATCH(B933,Teknikere,0)-1)/18)+1,""))</f>
        <v/>
      </c>
      <c r="M933" s="2">
        <f>IF(OR(A933="",B933=""),"",B933&amp;"|"&amp;A933)</f>
        <v/>
      </c>
      <c r="N933" s="2">
        <f>IF(M933="","",SUMIFS(TF_Timer,TF_Nokkel,M933,TF_Akt,C933))</f>
        <v/>
      </c>
      <c r="O933" s="2">
        <f>IF(M933="","",IF(AND(N933=_xlfn.MAXIFS(TF_AktSum,TF_Nokkel,M933),COUNTIFS(M$3:M932,M933,N$3:N932,N933)=0),M933,""))</f>
        <v/>
      </c>
    </row>
    <row r="934">
      <c r="A934" s="34" t="n"/>
      <c r="B934" s="35" t="n"/>
      <c r="C934" s="35" t="n"/>
      <c r="D934" s="35" t="n"/>
      <c r="E934" s="35" t="n"/>
      <c r="F934" s="36" t="n"/>
      <c r="G934" s="35" t="n"/>
      <c r="H934" s="30">
        <f>IF(L934="","",INDEX(SkiftNavn,L934))</f>
        <v/>
      </c>
      <c r="I934" s="30">
        <f>IF(OR(A934="",L934=""),"",IF(MOD(A934-INDEX(SkiftStart,L934),Syklus)&lt;DagK,"Kveld",IF(MOD(A934-INDEX(SkiftStart,L934),Syklus)&lt;DagK+DagH,"Helg",IF(MOD(A934-INDEX(SkiftStart,L934),Syklus)&lt;DagK+DagH+DagD,"Dag","Fri"))))</f>
        <v/>
      </c>
      <c r="J934" s="30">
        <f>IF(I934="Fri","Ja","")</f>
        <v/>
      </c>
      <c r="K934" s="30">
        <f>IF(B934="","",IF(L934="","Ukjent tekniker",IF(ISNA(MATCH(C934,Aktiviteter,0)),"Ukjent aktivitet",IF(AND(INDEX(AktRolle,MATCH(C934,Aktiviteter,0))&amp;""&lt;&gt;"",ISERROR(SEARCH(INDEX(AktRolle,MATCH(C934,Aktiviteter,0))&amp;"",INDEX(TekRoller,MATCH(B934,Teknikere,0))))),"Mangler rollen "&amp;INDEX(AktRolle,MATCH(C934,Aktiviteter,0))&amp;"",IF(AND(C934="LMS",F934&gt;0,OR(D934="",E934="")),"Mangler maskin eller arbeid",IF(AND(OR(C934="LMS",C934="Mod"),D934&lt;&gt;""),IF(IFERROR(INDEX(MaskinStatus,MATCH(D934,Maskiner,0)),"")="I dokk","","Maskinen er ikke i dokk"),""))))))</f>
        <v/>
      </c>
      <c r="L934" s="2">
        <f>IF(B934="","",IFERROR(INT((MATCH(B934,Teknikere,0)-1)/18)+1,""))</f>
        <v/>
      </c>
      <c r="M934" s="2">
        <f>IF(OR(A934="",B934=""),"",B934&amp;"|"&amp;A934)</f>
        <v/>
      </c>
      <c r="N934" s="2">
        <f>IF(M934="","",SUMIFS(TF_Timer,TF_Nokkel,M934,TF_Akt,C934))</f>
        <v/>
      </c>
      <c r="O934" s="2">
        <f>IF(M934="","",IF(AND(N934=_xlfn.MAXIFS(TF_AktSum,TF_Nokkel,M934),COUNTIFS(M$3:M933,M934,N$3:N933,N934)=0),M934,""))</f>
        <v/>
      </c>
    </row>
    <row r="935">
      <c r="A935" s="34" t="n"/>
      <c r="B935" s="35" t="n"/>
      <c r="C935" s="35" t="n"/>
      <c r="D935" s="35" t="n"/>
      <c r="E935" s="35" t="n"/>
      <c r="F935" s="36" t="n"/>
      <c r="G935" s="35" t="n"/>
      <c r="H935" s="30">
        <f>IF(L935="","",INDEX(SkiftNavn,L935))</f>
        <v/>
      </c>
      <c r="I935" s="30">
        <f>IF(OR(A935="",L935=""),"",IF(MOD(A935-INDEX(SkiftStart,L935),Syklus)&lt;DagK,"Kveld",IF(MOD(A935-INDEX(SkiftStart,L935),Syklus)&lt;DagK+DagH,"Helg",IF(MOD(A935-INDEX(SkiftStart,L935),Syklus)&lt;DagK+DagH+DagD,"Dag","Fri"))))</f>
        <v/>
      </c>
      <c r="J935" s="30">
        <f>IF(I935="Fri","Ja","")</f>
        <v/>
      </c>
      <c r="K935" s="30">
        <f>IF(B935="","",IF(L935="","Ukjent tekniker",IF(ISNA(MATCH(C935,Aktiviteter,0)),"Ukjent aktivitet",IF(AND(INDEX(AktRolle,MATCH(C935,Aktiviteter,0))&amp;""&lt;&gt;"",ISERROR(SEARCH(INDEX(AktRolle,MATCH(C935,Aktiviteter,0))&amp;"",INDEX(TekRoller,MATCH(B935,Teknikere,0))))),"Mangler rollen "&amp;INDEX(AktRolle,MATCH(C935,Aktiviteter,0))&amp;"",IF(AND(C935="LMS",F935&gt;0,OR(D935="",E935="")),"Mangler maskin eller arbeid",IF(AND(OR(C935="LMS",C935="Mod"),D935&lt;&gt;""),IF(IFERROR(INDEX(MaskinStatus,MATCH(D935,Maskiner,0)),"")="I dokk","","Maskinen er ikke i dokk"),""))))))</f>
        <v/>
      </c>
      <c r="L935" s="2">
        <f>IF(B935="","",IFERROR(INT((MATCH(B935,Teknikere,0)-1)/18)+1,""))</f>
        <v/>
      </c>
      <c r="M935" s="2">
        <f>IF(OR(A935="",B935=""),"",B935&amp;"|"&amp;A935)</f>
        <v/>
      </c>
      <c r="N935" s="2">
        <f>IF(M935="","",SUMIFS(TF_Timer,TF_Nokkel,M935,TF_Akt,C935))</f>
        <v/>
      </c>
      <c r="O935" s="2">
        <f>IF(M935="","",IF(AND(N935=_xlfn.MAXIFS(TF_AktSum,TF_Nokkel,M935),COUNTIFS(M$3:M934,M935,N$3:N934,N935)=0),M935,""))</f>
        <v/>
      </c>
    </row>
    <row r="936">
      <c r="A936" s="34" t="n"/>
      <c r="B936" s="35" t="n"/>
      <c r="C936" s="35" t="n"/>
      <c r="D936" s="35" t="n"/>
      <c r="E936" s="35" t="n"/>
      <c r="F936" s="36" t="n"/>
      <c r="G936" s="35" t="n"/>
      <c r="H936" s="30">
        <f>IF(L936="","",INDEX(SkiftNavn,L936))</f>
        <v/>
      </c>
      <c r="I936" s="30">
        <f>IF(OR(A936="",L936=""),"",IF(MOD(A936-INDEX(SkiftStart,L936),Syklus)&lt;DagK,"Kveld",IF(MOD(A936-INDEX(SkiftStart,L936),Syklus)&lt;DagK+DagH,"Helg",IF(MOD(A936-INDEX(SkiftStart,L936),Syklus)&lt;DagK+DagH+DagD,"Dag","Fri"))))</f>
        <v/>
      </c>
      <c r="J936" s="30">
        <f>IF(I936="Fri","Ja","")</f>
        <v/>
      </c>
      <c r="K936" s="30">
        <f>IF(B936="","",IF(L936="","Ukjent tekniker",IF(ISNA(MATCH(C936,Aktiviteter,0)),"Ukjent aktivitet",IF(AND(INDEX(AktRolle,MATCH(C936,Aktiviteter,0))&amp;""&lt;&gt;"",ISERROR(SEARCH(INDEX(AktRolle,MATCH(C936,Aktiviteter,0))&amp;"",INDEX(TekRoller,MATCH(B936,Teknikere,0))))),"Mangler rollen "&amp;INDEX(AktRolle,MATCH(C936,Aktiviteter,0))&amp;"",IF(AND(C936="LMS",F936&gt;0,OR(D936="",E936="")),"Mangler maskin eller arbeid",IF(AND(OR(C936="LMS",C936="Mod"),D936&lt;&gt;""),IF(IFERROR(INDEX(MaskinStatus,MATCH(D936,Maskiner,0)),"")="I dokk","","Maskinen er ikke i dokk"),""))))))</f>
        <v/>
      </c>
      <c r="L936" s="2">
        <f>IF(B936="","",IFERROR(INT((MATCH(B936,Teknikere,0)-1)/18)+1,""))</f>
        <v/>
      </c>
      <c r="M936" s="2">
        <f>IF(OR(A936="",B936=""),"",B936&amp;"|"&amp;A936)</f>
        <v/>
      </c>
      <c r="N936" s="2">
        <f>IF(M936="","",SUMIFS(TF_Timer,TF_Nokkel,M936,TF_Akt,C936))</f>
        <v/>
      </c>
      <c r="O936" s="2">
        <f>IF(M936="","",IF(AND(N936=_xlfn.MAXIFS(TF_AktSum,TF_Nokkel,M936),COUNTIFS(M$3:M935,M936,N$3:N935,N936)=0),M936,""))</f>
        <v/>
      </c>
    </row>
    <row r="937">
      <c r="A937" s="34" t="n"/>
      <c r="B937" s="35" t="n"/>
      <c r="C937" s="35" t="n"/>
      <c r="D937" s="35" t="n"/>
      <c r="E937" s="35" t="n"/>
      <c r="F937" s="36" t="n"/>
      <c r="G937" s="35" t="n"/>
      <c r="H937" s="30">
        <f>IF(L937="","",INDEX(SkiftNavn,L937))</f>
        <v/>
      </c>
      <c r="I937" s="30">
        <f>IF(OR(A937="",L937=""),"",IF(MOD(A937-INDEX(SkiftStart,L937),Syklus)&lt;DagK,"Kveld",IF(MOD(A937-INDEX(SkiftStart,L937),Syklus)&lt;DagK+DagH,"Helg",IF(MOD(A937-INDEX(SkiftStart,L937),Syklus)&lt;DagK+DagH+DagD,"Dag","Fri"))))</f>
        <v/>
      </c>
      <c r="J937" s="30">
        <f>IF(I937="Fri","Ja","")</f>
        <v/>
      </c>
      <c r="K937" s="30">
        <f>IF(B937="","",IF(L937="","Ukjent tekniker",IF(ISNA(MATCH(C937,Aktiviteter,0)),"Ukjent aktivitet",IF(AND(INDEX(AktRolle,MATCH(C937,Aktiviteter,0))&amp;""&lt;&gt;"",ISERROR(SEARCH(INDEX(AktRolle,MATCH(C937,Aktiviteter,0))&amp;"",INDEX(TekRoller,MATCH(B937,Teknikere,0))))),"Mangler rollen "&amp;INDEX(AktRolle,MATCH(C937,Aktiviteter,0))&amp;"",IF(AND(C937="LMS",F937&gt;0,OR(D937="",E937="")),"Mangler maskin eller arbeid",IF(AND(OR(C937="LMS",C937="Mod"),D937&lt;&gt;""),IF(IFERROR(INDEX(MaskinStatus,MATCH(D937,Maskiner,0)),"")="I dokk","","Maskinen er ikke i dokk"),""))))))</f>
        <v/>
      </c>
      <c r="L937" s="2">
        <f>IF(B937="","",IFERROR(INT((MATCH(B937,Teknikere,0)-1)/18)+1,""))</f>
        <v/>
      </c>
      <c r="M937" s="2">
        <f>IF(OR(A937="",B937=""),"",B937&amp;"|"&amp;A937)</f>
        <v/>
      </c>
      <c r="N937" s="2">
        <f>IF(M937="","",SUMIFS(TF_Timer,TF_Nokkel,M937,TF_Akt,C937))</f>
        <v/>
      </c>
      <c r="O937" s="2">
        <f>IF(M937="","",IF(AND(N937=_xlfn.MAXIFS(TF_AktSum,TF_Nokkel,M937),COUNTIFS(M$3:M936,M937,N$3:N936,N937)=0),M937,""))</f>
        <v/>
      </c>
    </row>
    <row r="938">
      <c r="A938" s="34" t="n"/>
      <c r="B938" s="35" t="n"/>
      <c r="C938" s="35" t="n"/>
      <c r="D938" s="35" t="n"/>
      <c r="E938" s="35" t="n"/>
      <c r="F938" s="36" t="n"/>
      <c r="G938" s="35" t="n"/>
      <c r="H938" s="30">
        <f>IF(L938="","",INDEX(SkiftNavn,L938))</f>
        <v/>
      </c>
      <c r="I938" s="30">
        <f>IF(OR(A938="",L938=""),"",IF(MOD(A938-INDEX(SkiftStart,L938),Syklus)&lt;DagK,"Kveld",IF(MOD(A938-INDEX(SkiftStart,L938),Syklus)&lt;DagK+DagH,"Helg",IF(MOD(A938-INDEX(SkiftStart,L938),Syklus)&lt;DagK+DagH+DagD,"Dag","Fri"))))</f>
        <v/>
      </c>
      <c r="J938" s="30">
        <f>IF(I938="Fri","Ja","")</f>
        <v/>
      </c>
      <c r="K938" s="30">
        <f>IF(B938="","",IF(L938="","Ukjent tekniker",IF(ISNA(MATCH(C938,Aktiviteter,0)),"Ukjent aktivitet",IF(AND(INDEX(AktRolle,MATCH(C938,Aktiviteter,0))&amp;""&lt;&gt;"",ISERROR(SEARCH(INDEX(AktRolle,MATCH(C938,Aktiviteter,0))&amp;"",INDEX(TekRoller,MATCH(B938,Teknikere,0))))),"Mangler rollen "&amp;INDEX(AktRolle,MATCH(C938,Aktiviteter,0))&amp;"",IF(AND(C938="LMS",F938&gt;0,OR(D938="",E938="")),"Mangler maskin eller arbeid",IF(AND(OR(C938="LMS",C938="Mod"),D938&lt;&gt;""),IF(IFERROR(INDEX(MaskinStatus,MATCH(D938,Maskiner,0)),"")="I dokk","","Maskinen er ikke i dokk"),""))))))</f>
        <v/>
      </c>
      <c r="L938" s="2">
        <f>IF(B938="","",IFERROR(INT((MATCH(B938,Teknikere,0)-1)/18)+1,""))</f>
        <v/>
      </c>
      <c r="M938" s="2">
        <f>IF(OR(A938="",B938=""),"",B938&amp;"|"&amp;A938)</f>
        <v/>
      </c>
      <c r="N938" s="2">
        <f>IF(M938="","",SUMIFS(TF_Timer,TF_Nokkel,M938,TF_Akt,C938))</f>
        <v/>
      </c>
      <c r="O938" s="2">
        <f>IF(M938="","",IF(AND(N938=_xlfn.MAXIFS(TF_AktSum,TF_Nokkel,M938),COUNTIFS(M$3:M937,M938,N$3:N937,N938)=0),M938,""))</f>
        <v/>
      </c>
    </row>
    <row r="939">
      <c r="A939" s="34" t="n"/>
      <c r="B939" s="35" t="n"/>
      <c r="C939" s="35" t="n"/>
      <c r="D939" s="35" t="n"/>
      <c r="E939" s="35" t="n"/>
      <c r="F939" s="36" t="n"/>
      <c r="G939" s="35" t="n"/>
      <c r="H939" s="30">
        <f>IF(L939="","",INDEX(SkiftNavn,L939))</f>
        <v/>
      </c>
      <c r="I939" s="30">
        <f>IF(OR(A939="",L939=""),"",IF(MOD(A939-INDEX(SkiftStart,L939),Syklus)&lt;DagK,"Kveld",IF(MOD(A939-INDEX(SkiftStart,L939),Syklus)&lt;DagK+DagH,"Helg",IF(MOD(A939-INDEX(SkiftStart,L939),Syklus)&lt;DagK+DagH+DagD,"Dag","Fri"))))</f>
        <v/>
      </c>
      <c r="J939" s="30">
        <f>IF(I939="Fri","Ja","")</f>
        <v/>
      </c>
      <c r="K939" s="30">
        <f>IF(B939="","",IF(L939="","Ukjent tekniker",IF(ISNA(MATCH(C939,Aktiviteter,0)),"Ukjent aktivitet",IF(AND(INDEX(AktRolle,MATCH(C939,Aktiviteter,0))&amp;""&lt;&gt;"",ISERROR(SEARCH(INDEX(AktRolle,MATCH(C939,Aktiviteter,0))&amp;"",INDEX(TekRoller,MATCH(B939,Teknikere,0))))),"Mangler rollen "&amp;INDEX(AktRolle,MATCH(C939,Aktiviteter,0))&amp;"",IF(AND(C939="LMS",F939&gt;0,OR(D939="",E939="")),"Mangler maskin eller arbeid",IF(AND(OR(C939="LMS",C939="Mod"),D939&lt;&gt;""),IF(IFERROR(INDEX(MaskinStatus,MATCH(D939,Maskiner,0)),"")="I dokk","","Maskinen er ikke i dokk"),""))))))</f>
        <v/>
      </c>
      <c r="L939" s="2">
        <f>IF(B939="","",IFERROR(INT((MATCH(B939,Teknikere,0)-1)/18)+1,""))</f>
        <v/>
      </c>
      <c r="M939" s="2">
        <f>IF(OR(A939="",B939=""),"",B939&amp;"|"&amp;A939)</f>
        <v/>
      </c>
      <c r="N939" s="2">
        <f>IF(M939="","",SUMIFS(TF_Timer,TF_Nokkel,M939,TF_Akt,C939))</f>
        <v/>
      </c>
      <c r="O939" s="2">
        <f>IF(M939="","",IF(AND(N939=_xlfn.MAXIFS(TF_AktSum,TF_Nokkel,M939),COUNTIFS(M$3:M938,M939,N$3:N938,N939)=0),M939,""))</f>
        <v/>
      </c>
    </row>
    <row r="940">
      <c r="A940" s="34" t="n"/>
      <c r="B940" s="35" t="n"/>
      <c r="C940" s="35" t="n"/>
      <c r="D940" s="35" t="n"/>
      <c r="E940" s="35" t="n"/>
      <c r="F940" s="36" t="n"/>
      <c r="G940" s="35" t="n"/>
      <c r="H940" s="30">
        <f>IF(L940="","",INDEX(SkiftNavn,L940))</f>
        <v/>
      </c>
      <c r="I940" s="30">
        <f>IF(OR(A940="",L940=""),"",IF(MOD(A940-INDEX(SkiftStart,L940),Syklus)&lt;DagK,"Kveld",IF(MOD(A940-INDEX(SkiftStart,L940),Syklus)&lt;DagK+DagH,"Helg",IF(MOD(A940-INDEX(SkiftStart,L940),Syklus)&lt;DagK+DagH+DagD,"Dag","Fri"))))</f>
        <v/>
      </c>
      <c r="J940" s="30">
        <f>IF(I940="Fri","Ja","")</f>
        <v/>
      </c>
      <c r="K940" s="30">
        <f>IF(B940="","",IF(L940="","Ukjent tekniker",IF(ISNA(MATCH(C940,Aktiviteter,0)),"Ukjent aktivitet",IF(AND(INDEX(AktRolle,MATCH(C940,Aktiviteter,0))&amp;""&lt;&gt;"",ISERROR(SEARCH(INDEX(AktRolle,MATCH(C940,Aktiviteter,0))&amp;"",INDEX(TekRoller,MATCH(B940,Teknikere,0))))),"Mangler rollen "&amp;INDEX(AktRolle,MATCH(C940,Aktiviteter,0))&amp;"",IF(AND(C940="LMS",F940&gt;0,OR(D940="",E940="")),"Mangler maskin eller arbeid",IF(AND(OR(C940="LMS",C940="Mod"),D940&lt;&gt;""),IF(IFERROR(INDEX(MaskinStatus,MATCH(D940,Maskiner,0)),"")="I dokk","","Maskinen er ikke i dokk"),""))))))</f>
        <v/>
      </c>
      <c r="L940" s="2">
        <f>IF(B940="","",IFERROR(INT((MATCH(B940,Teknikere,0)-1)/18)+1,""))</f>
        <v/>
      </c>
      <c r="M940" s="2">
        <f>IF(OR(A940="",B940=""),"",B940&amp;"|"&amp;A940)</f>
        <v/>
      </c>
      <c r="N940" s="2">
        <f>IF(M940="","",SUMIFS(TF_Timer,TF_Nokkel,M940,TF_Akt,C940))</f>
        <v/>
      </c>
      <c r="O940" s="2">
        <f>IF(M940="","",IF(AND(N940=_xlfn.MAXIFS(TF_AktSum,TF_Nokkel,M940),COUNTIFS(M$3:M939,M940,N$3:N939,N940)=0),M940,""))</f>
        <v/>
      </c>
    </row>
    <row r="941">
      <c r="A941" s="34" t="n"/>
      <c r="B941" s="35" t="n"/>
      <c r="C941" s="35" t="n"/>
      <c r="D941" s="35" t="n"/>
      <c r="E941" s="35" t="n"/>
      <c r="F941" s="36" t="n"/>
      <c r="G941" s="35" t="n"/>
      <c r="H941" s="30">
        <f>IF(L941="","",INDEX(SkiftNavn,L941))</f>
        <v/>
      </c>
      <c r="I941" s="30">
        <f>IF(OR(A941="",L941=""),"",IF(MOD(A941-INDEX(SkiftStart,L941),Syklus)&lt;DagK,"Kveld",IF(MOD(A941-INDEX(SkiftStart,L941),Syklus)&lt;DagK+DagH,"Helg",IF(MOD(A941-INDEX(SkiftStart,L941),Syklus)&lt;DagK+DagH+DagD,"Dag","Fri"))))</f>
        <v/>
      </c>
      <c r="J941" s="30">
        <f>IF(I941="Fri","Ja","")</f>
        <v/>
      </c>
      <c r="K941" s="30">
        <f>IF(B941="","",IF(L941="","Ukjent tekniker",IF(ISNA(MATCH(C941,Aktiviteter,0)),"Ukjent aktivitet",IF(AND(INDEX(AktRolle,MATCH(C941,Aktiviteter,0))&amp;""&lt;&gt;"",ISERROR(SEARCH(INDEX(AktRolle,MATCH(C941,Aktiviteter,0))&amp;"",INDEX(TekRoller,MATCH(B941,Teknikere,0))))),"Mangler rollen "&amp;INDEX(AktRolle,MATCH(C941,Aktiviteter,0))&amp;"",IF(AND(C941="LMS",F941&gt;0,OR(D941="",E941="")),"Mangler maskin eller arbeid",IF(AND(OR(C941="LMS",C941="Mod"),D941&lt;&gt;""),IF(IFERROR(INDEX(MaskinStatus,MATCH(D941,Maskiner,0)),"")="I dokk","","Maskinen er ikke i dokk"),""))))))</f>
        <v/>
      </c>
      <c r="L941" s="2">
        <f>IF(B941="","",IFERROR(INT((MATCH(B941,Teknikere,0)-1)/18)+1,""))</f>
        <v/>
      </c>
      <c r="M941" s="2">
        <f>IF(OR(A941="",B941=""),"",B941&amp;"|"&amp;A941)</f>
        <v/>
      </c>
      <c r="N941" s="2">
        <f>IF(M941="","",SUMIFS(TF_Timer,TF_Nokkel,M941,TF_Akt,C941))</f>
        <v/>
      </c>
      <c r="O941" s="2">
        <f>IF(M941="","",IF(AND(N941=_xlfn.MAXIFS(TF_AktSum,TF_Nokkel,M941),COUNTIFS(M$3:M940,M941,N$3:N940,N941)=0),M941,""))</f>
        <v/>
      </c>
    </row>
    <row r="942">
      <c r="A942" s="34" t="n"/>
      <c r="B942" s="35" t="n"/>
      <c r="C942" s="35" t="n"/>
      <c r="D942" s="35" t="n"/>
      <c r="E942" s="35" t="n"/>
      <c r="F942" s="36" t="n"/>
      <c r="G942" s="35" t="n"/>
      <c r="H942" s="30">
        <f>IF(L942="","",INDEX(SkiftNavn,L942))</f>
        <v/>
      </c>
      <c r="I942" s="30">
        <f>IF(OR(A942="",L942=""),"",IF(MOD(A942-INDEX(SkiftStart,L942),Syklus)&lt;DagK,"Kveld",IF(MOD(A942-INDEX(SkiftStart,L942),Syklus)&lt;DagK+DagH,"Helg",IF(MOD(A942-INDEX(SkiftStart,L942),Syklus)&lt;DagK+DagH+DagD,"Dag","Fri"))))</f>
        <v/>
      </c>
      <c r="J942" s="30">
        <f>IF(I942="Fri","Ja","")</f>
        <v/>
      </c>
      <c r="K942" s="30">
        <f>IF(B942="","",IF(L942="","Ukjent tekniker",IF(ISNA(MATCH(C942,Aktiviteter,0)),"Ukjent aktivitet",IF(AND(INDEX(AktRolle,MATCH(C942,Aktiviteter,0))&amp;""&lt;&gt;"",ISERROR(SEARCH(INDEX(AktRolle,MATCH(C942,Aktiviteter,0))&amp;"",INDEX(TekRoller,MATCH(B942,Teknikere,0))))),"Mangler rollen "&amp;INDEX(AktRolle,MATCH(C942,Aktiviteter,0))&amp;"",IF(AND(C942="LMS",F942&gt;0,OR(D942="",E942="")),"Mangler maskin eller arbeid",IF(AND(OR(C942="LMS",C942="Mod"),D942&lt;&gt;""),IF(IFERROR(INDEX(MaskinStatus,MATCH(D942,Maskiner,0)),"")="I dokk","","Maskinen er ikke i dokk"),""))))))</f>
        <v/>
      </c>
      <c r="L942" s="2">
        <f>IF(B942="","",IFERROR(INT((MATCH(B942,Teknikere,0)-1)/18)+1,""))</f>
        <v/>
      </c>
      <c r="M942" s="2">
        <f>IF(OR(A942="",B942=""),"",B942&amp;"|"&amp;A942)</f>
        <v/>
      </c>
      <c r="N942" s="2">
        <f>IF(M942="","",SUMIFS(TF_Timer,TF_Nokkel,M942,TF_Akt,C942))</f>
        <v/>
      </c>
      <c r="O942" s="2">
        <f>IF(M942="","",IF(AND(N942=_xlfn.MAXIFS(TF_AktSum,TF_Nokkel,M942),COUNTIFS(M$3:M941,M942,N$3:N941,N942)=0),M942,""))</f>
        <v/>
      </c>
    </row>
    <row r="943">
      <c r="A943" s="34" t="n"/>
      <c r="B943" s="35" t="n"/>
      <c r="C943" s="35" t="n"/>
      <c r="D943" s="35" t="n"/>
      <c r="E943" s="35" t="n"/>
      <c r="F943" s="36" t="n"/>
      <c r="G943" s="35" t="n"/>
      <c r="H943" s="30">
        <f>IF(L943="","",INDEX(SkiftNavn,L943))</f>
        <v/>
      </c>
      <c r="I943" s="30">
        <f>IF(OR(A943="",L943=""),"",IF(MOD(A943-INDEX(SkiftStart,L943),Syklus)&lt;DagK,"Kveld",IF(MOD(A943-INDEX(SkiftStart,L943),Syklus)&lt;DagK+DagH,"Helg",IF(MOD(A943-INDEX(SkiftStart,L943),Syklus)&lt;DagK+DagH+DagD,"Dag","Fri"))))</f>
        <v/>
      </c>
      <c r="J943" s="30">
        <f>IF(I943="Fri","Ja","")</f>
        <v/>
      </c>
      <c r="K943" s="30">
        <f>IF(B943="","",IF(L943="","Ukjent tekniker",IF(ISNA(MATCH(C943,Aktiviteter,0)),"Ukjent aktivitet",IF(AND(INDEX(AktRolle,MATCH(C943,Aktiviteter,0))&amp;""&lt;&gt;"",ISERROR(SEARCH(INDEX(AktRolle,MATCH(C943,Aktiviteter,0))&amp;"",INDEX(TekRoller,MATCH(B943,Teknikere,0))))),"Mangler rollen "&amp;INDEX(AktRolle,MATCH(C943,Aktiviteter,0))&amp;"",IF(AND(C943="LMS",F943&gt;0,OR(D943="",E943="")),"Mangler maskin eller arbeid",IF(AND(OR(C943="LMS",C943="Mod"),D943&lt;&gt;""),IF(IFERROR(INDEX(MaskinStatus,MATCH(D943,Maskiner,0)),"")="I dokk","","Maskinen er ikke i dokk"),""))))))</f>
        <v/>
      </c>
      <c r="L943" s="2">
        <f>IF(B943="","",IFERROR(INT((MATCH(B943,Teknikere,0)-1)/18)+1,""))</f>
        <v/>
      </c>
      <c r="M943" s="2">
        <f>IF(OR(A943="",B943=""),"",B943&amp;"|"&amp;A943)</f>
        <v/>
      </c>
      <c r="N943" s="2">
        <f>IF(M943="","",SUMIFS(TF_Timer,TF_Nokkel,M943,TF_Akt,C943))</f>
        <v/>
      </c>
      <c r="O943" s="2">
        <f>IF(M943="","",IF(AND(N943=_xlfn.MAXIFS(TF_AktSum,TF_Nokkel,M943),COUNTIFS(M$3:M942,M943,N$3:N942,N943)=0),M943,""))</f>
        <v/>
      </c>
    </row>
    <row r="944">
      <c r="A944" s="34" t="n"/>
      <c r="B944" s="35" t="n"/>
      <c r="C944" s="35" t="n"/>
      <c r="D944" s="35" t="n"/>
      <c r="E944" s="35" t="n"/>
      <c r="F944" s="36" t="n"/>
      <c r="G944" s="35" t="n"/>
      <c r="H944" s="30">
        <f>IF(L944="","",INDEX(SkiftNavn,L944))</f>
        <v/>
      </c>
      <c r="I944" s="30">
        <f>IF(OR(A944="",L944=""),"",IF(MOD(A944-INDEX(SkiftStart,L944),Syklus)&lt;DagK,"Kveld",IF(MOD(A944-INDEX(SkiftStart,L944),Syklus)&lt;DagK+DagH,"Helg",IF(MOD(A944-INDEX(SkiftStart,L944),Syklus)&lt;DagK+DagH+DagD,"Dag","Fri"))))</f>
        <v/>
      </c>
      <c r="J944" s="30">
        <f>IF(I944="Fri","Ja","")</f>
        <v/>
      </c>
      <c r="K944" s="30">
        <f>IF(B944="","",IF(L944="","Ukjent tekniker",IF(ISNA(MATCH(C944,Aktiviteter,0)),"Ukjent aktivitet",IF(AND(INDEX(AktRolle,MATCH(C944,Aktiviteter,0))&amp;""&lt;&gt;"",ISERROR(SEARCH(INDEX(AktRolle,MATCH(C944,Aktiviteter,0))&amp;"",INDEX(TekRoller,MATCH(B944,Teknikere,0))))),"Mangler rollen "&amp;INDEX(AktRolle,MATCH(C944,Aktiviteter,0))&amp;"",IF(AND(C944="LMS",F944&gt;0,OR(D944="",E944="")),"Mangler maskin eller arbeid",IF(AND(OR(C944="LMS",C944="Mod"),D944&lt;&gt;""),IF(IFERROR(INDEX(MaskinStatus,MATCH(D944,Maskiner,0)),"")="I dokk","","Maskinen er ikke i dokk"),""))))))</f>
        <v/>
      </c>
      <c r="L944" s="2">
        <f>IF(B944="","",IFERROR(INT((MATCH(B944,Teknikere,0)-1)/18)+1,""))</f>
        <v/>
      </c>
      <c r="M944" s="2">
        <f>IF(OR(A944="",B944=""),"",B944&amp;"|"&amp;A944)</f>
        <v/>
      </c>
      <c r="N944" s="2">
        <f>IF(M944="","",SUMIFS(TF_Timer,TF_Nokkel,M944,TF_Akt,C944))</f>
        <v/>
      </c>
      <c r="O944" s="2">
        <f>IF(M944="","",IF(AND(N944=_xlfn.MAXIFS(TF_AktSum,TF_Nokkel,M944),COUNTIFS(M$3:M943,M944,N$3:N943,N944)=0),M944,""))</f>
        <v/>
      </c>
    </row>
    <row r="945">
      <c r="A945" s="34" t="n"/>
      <c r="B945" s="35" t="n"/>
      <c r="C945" s="35" t="n"/>
      <c r="D945" s="35" t="n"/>
      <c r="E945" s="35" t="n"/>
      <c r="F945" s="36" t="n"/>
      <c r="G945" s="35" t="n"/>
      <c r="H945" s="30">
        <f>IF(L945="","",INDEX(SkiftNavn,L945))</f>
        <v/>
      </c>
      <c r="I945" s="30">
        <f>IF(OR(A945="",L945=""),"",IF(MOD(A945-INDEX(SkiftStart,L945),Syklus)&lt;DagK,"Kveld",IF(MOD(A945-INDEX(SkiftStart,L945),Syklus)&lt;DagK+DagH,"Helg",IF(MOD(A945-INDEX(SkiftStart,L945),Syklus)&lt;DagK+DagH+DagD,"Dag","Fri"))))</f>
        <v/>
      </c>
      <c r="J945" s="30">
        <f>IF(I945="Fri","Ja","")</f>
        <v/>
      </c>
      <c r="K945" s="30">
        <f>IF(B945="","",IF(L945="","Ukjent tekniker",IF(ISNA(MATCH(C945,Aktiviteter,0)),"Ukjent aktivitet",IF(AND(INDEX(AktRolle,MATCH(C945,Aktiviteter,0))&amp;""&lt;&gt;"",ISERROR(SEARCH(INDEX(AktRolle,MATCH(C945,Aktiviteter,0))&amp;"",INDEX(TekRoller,MATCH(B945,Teknikere,0))))),"Mangler rollen "&amp;INDEX(AktRolle,MATCH(C945,Aktiviteter,0))&amp;"",IF(AND(C945="LMS",F945&gt;0,OR(D945="",E945="")),"Mangler maskin eller arbeid",IF(AND(OR(C945="LMS",C945="Mod"),D945&lt;&gt;""),IF(IFERROR(INDEX(MaskinStatus,MATCH(D945,Maskiner,0)),"")="I dokk","","Maskinen er ikke i dokk"),""))))))</f>
        <v/>
      </c>
      <c r="L945" s="2">
        <f>IF(B945="","",IFERROR(INT((MATCH(B945,Teknikere,0)-1)/18)+1,""))</f>
        <v/>
      </c>
      <c r="M945" s="2">
        <f>IF(OR(A945="",B945=""),"",B945&amp;"|"&amp;A945)</f>
        <v/>
      </c>
      <c r="N945" s="2">
        <f>IF(M945="","",SUMIFS(TF_Timer,TF_Nokkel,M945,TF_Akt,C945))</f>
        <v/>
      </c>
      <c r="O945" s="2">
        <f>IF(M945="","",IF(AND(N945=_xlfn.MAXIFS(TF_AktSum,TF_Nokkel,M945),COUNTIFS(M$3:M944,M945,N$3:N944,N945)=0),M945,""))</f>
        <v/>
      </c>
    </row>
    <row r="946">
      <c r="A946" s="34" t="n"/>
      <c r="B946" s="35" t="n"/>
      <c r="C946" s="35" t="n"/>
      <c r="D946" s="35" t="n"/>
      <c r="E946" s="35" t="n"/>
      <c r="F946" s="36" t="n"/>
      <c r="G946" s="35" t="n"/>
      <c r="H946" s="30">
        <f>IF(L946="","",INDEX(SkiftNavn,L946))</f>
        <v/>
      </c>
      <c r="I946" s="30">
        <f>IF(OR(A946="",L946=""),"",IF(MOD(A946-INDEX(SkiftStart,L946),Syklus)&lt;DagK,"Kveld",IF(MOD(A946-INDEX(SkiftStart,L946),Syklus)&lt;DagK+DagH,"Helg",IF(MOD(A946-INDEX(SkiftStart,L946),Syklus)&lt;DagK+DagH+DagD,"Dag","Fri"))))</f>
        <v/>
      </c>
      <c r="J946" s="30">
        <f>IF(I946="Fri","Ja","")</f>
        <v/>
      </c>
      <c r="K946" s="30">
        <f>IF(B946="","",IF(L946="","Ukjent tekniker",IF(ISNA(MATCH(C946,Aktiviteter,0)),"Ukjent aktivitet",IF(AND(INDEX(AktRolle,MATCH(C946,Aktiviteter,0))&amp;""&lt;&gt;"",ISERROR(SEARCH(INDEX(AktRolle,MATCH(C946,Aktiviteter,0))&amp;"",INDEX(TekRoller,MATCH(B946,Teknikere,0))))),"Mangler rollen "&amp;INDEX(AktRolle,MATCH(C946,Aktiviteter,0))&amp;"",IF(AND(C946="LMS",F946&gt;0,OR(D946="",E946="")),"Mangler maskin eller arbeid",IF(AND(OR(C946="LMS",C946="Mod"),D946&lt;&gt;""),IF(IFERROR(INDEX(MaskinStatus,MATCH(D946,Maskiner,0)),"")="I dokk","","Maskinen er ikke i dokk"),""))))))</f>
        <v/>
      </c>
      <c r="L946" s="2">
        <f>IF(B946="","",IFERROR(INT((MATCH(B946,Teknikere,0)-1)/18)+1,""))</f>
        <v/>
      </c>
      <c r="M946" s="2">
        <f>IF(OR(A946="",B946=""),"",B946&amp;"|"&amp;A946)</f>
        <v/>
      </c>
      <c r="N946" s="2">
        <f>IF(M946="","",SUMIFS(TF_Timer,TF_Nokkel,M946,TF_Akt,C946))</f>
        <v/>
      </c>
      <c r="O946" s="2">
        <f>IF(M946="","",IF(AND(N946=_xlfn.MAXIFS(TF_AktSum,TF_Nokkel,M946),COUNTIFS(M$3:M945,M946,N$3:N945,N946)=0),M946,""))</f>
        <v/>
      </c>
    </row>
    <row r="947">
      <c r="A947" s="34" t="n"/>
      <c r="B947" s="35" t="n"/>
      <c r="C947" s="35" t="n"/>
      <c r="D947" s="35" t="n"/>
      <c r="E947" s="35" t="n"/>
      <c r="F947" s="36" t="n"/>
      <c r="G947" s="35" t="n"/>
      <c r="H947" s="30">
        <f>IF(L947="","",INDEX(SkiftNavn,L947))</f>
        <v/>
      </c>
      <c r="I947" s="30">
        <f>IF(OR(A947="",L947=""),"",IF(MOD(A947-INDEX(SkiftStart,L947),Syklus)&lt;DagK,"Kveld",IF(MOD(A947-INDEX(SkiftStart,L947),Syklus)&lt;DagK+DagH,"Helg",IF(MOD(A947-INDEX(SkiftStart,L947),Syklus)&lt;DagK+DagH+DagD,"Dag","Fri"))))</f>
        <v/>
      </c>
      <c r="J947" s="30">
        <f>IF(I947="Fri","Ja","")</f>
        <v/>
      </c>
      <c r="K947" s="30">
        <f>IF(B947="","",IF(L947="","Ukjent tekniker",IF(ISNA(MATCH(C947,Aktiviteter,0)),"Ukjent aktivitet",IF(AND(INDEX(AktRolle,MATCH(C947,Aktiviteter,0))&amp;""&lt;&gt;"",ISERROR(SEARCH(INDEX(AktRolle,MATCH(C947,Aktiviteter,0))&amp;"",INDEX(TekRoller,MATCH(B947,Teknikere,0))))),"Mangler rollen "&amp;INDEX(AktRolle,MATCH(C947,Aktiviteter,0))&amp;"",IF(AND(C947="LMS",F947&gt;0,OR(D947="",E947="")),"Mangler maskin eller arbeid",IF(AND(OR(C947="LMS",C947="Mod"),D947&lt;&gt;""),IF(IFERROR(INDEX(MaskinStatus,MATCH(D947,Maskiner,0)),"")="I dokk","","Maskinen er ikke i dokk"),""))))))</f>
        <v/>
      </c>
      <c r="L947" s="2">
        <f>IF(B947="","",IFERROR(INT((MATCH(B947,Teknikere,0)-1)/18)+1,""))</f>
        <v/>
      </c>
      <c r="M947" s="2">
        <f>IF(OR(A947="",B947=""),"",B947&amp;"|"&amp;A947)</f>
        <v/>
      </c>
      <c r="N947" s="2">
        <f>IF(M947="","",SUMIFS(TF_Timer,TF_Nokkel,M947,TF_Akt,C947))</f>
        <v/>
      </c>
      <c r="O947" s="2">
        <f>IF(M947="","",IF(AND(N947=_xlfn.MAXIFS(TF_AktSum,TF_Nokkel,M947),COUNTIFS(M$3:M946,M947,N$3:N946,N947)=0),M947,""))</f>
        <v/>
      </c>
    </row>
    <row r="948">
      <c r="A948" s="34" t="n"/>
      <c r="B948" s="35" t="n"/>
      <c r="C948" s="35" t="n"/>
      <c r="D948" s="35" t="n"/>
      <c r="E948" s="35" t="n"/>
      <c r="F948" s="36" t="n"/>
      <c r="G948" s="35" t="n"/>
      <c r="H948" s="30">
        <f>IF(L948="","",INDEX(SkiftNavn,L948))</f>
        <v/>
      </c>
      <c r="I948" s="30">
        <f>IF(OR(A948="",L948=""),"",IF(MOD(A948-INDEX(SkiftStart,L948),Syklus)&lt;DagK,"Kveld",IF(MOD(A948-INDEX(SkiftStart,L948),Syklus)&lt;DagK+DagH,"Helg",IF(MOD(A948-INDEX(SkiftStart,L948),Syklus)&lt;DagK+DagH+DagD,"Dag","Fri"))))</f>
        <v/>
      </c>
      <c r="J948" s="30">
        <f>IF(I948="Fri","Ja","")</f>
        <v/>
      </c>
      <c r="K948" s="30">
        <f>IF(B948="","",IF(L948="","Ukjent tekniker",IF(ISNA(MATCH(C948,Aktiviteter,0)),"Ukjent aktivitet",IF(AND(INDEX(AktRolle,MATCH(C948,Aktiviteter,0))&amp;""&lt;&gt;"",ISERROR(SEARCH(INDEX(AktRolle,MATCH(C948,Aktiviteter,0))&amp;"",INDEX(TekRoller,MATCH(B948,Teknikere,0))))),"Mangler rollen "&amp;INDEX(AktRolle,MATCH(C948,Aktiviteter,0))&amp;"",IF(AND(C948="LMS",F948&gt;0,OR(D948="",E948="")),"Mangler maskin eller arbeid",IF(AND(OR(C948="LMS",C948="Mod"),D948&lt;&gt;""),IF(IFERROR(INDEX(MaskinStatus,MATCH(D948,Maskiner,0)),"")="I dokk","","Maskinen er ikke i dokk"),""))))))</f>
        <v/>
      </c>
      <c r="L948" s="2">
        <f>IF(B948="","",IFERROR(INT((MATCH(B948,Teknikere,0)-1)/18)+1,""))</f>
        <v/>
      </c>
      <c r="M948" s="2">
        <f>IF(OR(A948="",B948=""),"",B948&amp;"|"&amp;A948)</f>
        <v/>
      </c>
      <c r="N948" s="2">
        <f>IF(M948="","",SUMIFS(TF_Timer,TF_Nokkel,M948,TF_Akt,C948))</f>
        <v/>
      </c>
      <c r="O948" s="2">
        <f>IF(M948="","",IF(AND(N948=_xlfn.MAXIFS(TF_AktSum,TF_Nokkel,M948),COUNTIFS(M$3:M947,M948,N$3:N947,N948)=0),M948,""))</f>
        <v/>
      </c>
    </row>
    <row r="949">
      <c r="A949" s="34" t="n"/>
      <c r="B949" s="35" t="n"/>
      <c r="C949" s="35" t="n"/>
      <c r="D949" s="35" t="n"/>
      <c r="E949" s="35" t="n"/>
      <c r="F949" s="36" t="n"/>
      <c r="G949" s="35" t="n"/>
      <c r="H949" s="30">
        <f>IF(L949="","",INDEX(SkiftNavn,L949))</f>
        <v/>
      </c>
      <c r="I949" s="30">
        <f>IF(OR(A949="",L949=""),"",IF(MOD(A949-INDEX(SkiftStart,L949),Syklus)&lt;DagK,"Kveld",IF(MOD(A949-INDEX(SkiftStart,L949),Syklus)&lt;DagK+DagH,"Helg",IF(MOD(A949-INDEX(SkiftStart,L949),Syklus)&lt;DagK+DagH+DagD,"Dag","Fri"))))</f>
        <v/>
      </c>
      <c r="J949" s="30">
        <f>IF(I949="Fri","Ja","")</f>
        <v/>
      </c>
      <c r="K949" s="30">
        <f>IF(B949="","",IF(L949="","Ukjent tekniker",IF(ISNA(MATCH(C949,Aktiviteter,0)),"Ukjent aktivitet",IF(AND(INDEX(AktRolle,MATCH(C949,Aktiviteter,0))&amp;""&lt;&gt;"",ISERROR(SEARCH(INDEX(AktRolle,MATCH(C949,Aktiviteter,0))&amp;"",INDEX(TekRoller,MATCH(B949,Teknikere,0))))),"Mangler rollen "&amp;INDEX(AktRolle,MATCH(C949,Aktiviteter,0))&amp;"",IF(AND(C949="LMS",F949&gt;0,OR(D949="",E949="")),"Mangler maskin eller arbeid",IF(AND(OR(C949="LMS",C949="Mod"),D949&lt;&gt;""),IF(IFERROR(INDEX(MaskinStatus,MATCH(D949,Maskiner,0)),"")="I dokk","","Maskinen er ikke i dokk"),""))))))</f>
        <v/>
      </c>
      <c r="L949" s="2">
        <f>IF(B949="","",IFERROR(INT((MATCH(B949,Teknikere,0)-1)/18)+1,""))</f>
        <v/>
      </c>
      <c r="M949" s="2">
        <f>IF(OR(A949="",B949=""),"",B949&amp;"|"&amp;A949)</f>
        <v/>
      </c>
      <c r="N949" s="2">
        <f>IF(M949="","",SUMIFS(TF_Timer,TF_Nokkel,M949,TF_Akt,C949))</f>
        <v/>
      </c>
      <c r="O949" s="2">
        <f>IF(M949="","",IF(AND(N949=_xlfn.MAXIFS(TF_AktSum,TF_Nokkel,M949),COUNTIFS(M$3:M948,M949,N$3:N948,N949)=0),M949,""))</f>
        <v/>
      </c>
    </row>
    <row r="950">
      <c r="A950" s="34" t="n"/>
      <c r="B950" s="35" t="n"/>
      <c r="C950" s="35" t="n"/>
      <c r="D950" s="35" t="n"/>
      <c r="E950" s="35" t="n"/>
      <c r="F950" s="36" t="n"/>
      <c r="G950" s="35" t="n"/>
      <c r="H950" s="30">
        <f>IF(L950="","",INDEX(SkiftNavn,L950))</f>
        <v/>
      </c>
      <c r="I950" s="30">
        <f>IF(OR(A950="",L950=""),"",IF(MOD(A950-INDEX(SkiftStart,L950),Syklus)&lt;DagK,"Kveld",IF(MOD(A950-INDEX(SkiftStart,L950),Syklus)&lt;DagK+DagH,"Helg",IF(MOD(A950-INDEX(SkiftStart,L950),Syklus)&lt;DagK+DagH+DagD,"Dag","Fri"))))</f>
        <v/>
      </c>
      <c r="J950" s="30">
        <f>IF(I950="Fri","Ja","")</f>
        <v/>
      </c>
      <c r="K950" s="30">
        <f>IF(B950="","",IF(L950="","Ukjent tekniker",IF(ISNA(MATCH(C950,Aktiviteter,0)),"Ukjent aktivitet",IF(AND(INDEX(AktRolle,MATCH(C950,Aktiviteter,0))&amp;""&lt;&gt;"",ISERROR(SEARCH(INDEX(AktRolle,MATCH(C950,Aktiviteter,0))&amp;"",INDEX(TekRoller,MATCH(B950,Teknikere,0))))),"Mangler rollen "&amp;INDEX(AktRolle,MATCH(C950,Aktiviteter,0))&amp;"",IF(AND(C950="LMS",F950&gt;0,OR(D950="",E950="")),"Mangler maskin eller arbeid",IF(AND(OR(C950="LMS",C950="Mod"),D950&lt;&gt;""),IF(IFERROR(INDEX(MaskinStatus,MATCH(D950,Maskiner,0)),"")="I dokk","","Maskinen er ikke i dokk"),""))))))</f>
        <v/>
      </c>
      <c r="L950" s="2">
        <f>IF(B950="","",IFERROR(INT((MATCH(B950,Teknikere,0)-1)/18)+1,""))</f>
        <v/>
      </c>
      <c r="M950" s="2">
        <f>IF(OR(A950="",B950=""),"",B950&amp;"|"&amp;A950)</f>
        <v/>
      </c>
      <c r="N950" s="2">
        <f>IF(M950="","",SUMIFS(TF_Timer,TF_Nokkel,M950,TF_Akt,C950))</f>
        <v/>
      </c>
      <c r="O950" s="2">
        <f>IF(M950="","",IF(AND(N950=_xlfn.MAXIFS(TF_AktSum,TF_Nokkel,M950),COUNTIFS(M$3:M949,M950,N$3:N949,N950)=0),M950,""))</f>
        <v/>
      </c>
    </row>
    <row r="951">
      <c r="A951" s="34" t="n"/>
      <c r="B951" s="35" t="n"/>
      <c r="C951" s="35" t="n"/>
      <c r="D951" s="35" t="n"/>
      <c r="E951" s="35" t="n"/>
      <c r="F951" s="36" t="n"/>
      <c r="G951" s="35" t="n"/>
      <c r="H951" s="30">
        <f>IF(L951="","",INDEX(SkiftNavn,L951))</f>
        <v/>
      </c>
      <c r="I951" s="30">
        <f>IF(OR(A951="",L951=""),"",IF(MOD(A951-INDEX(SkiftStart,L951),Syklus)&lt;DagK,"Kveld",IF(MOD(A951-INDEX(SkiftStart,L951),Syklus)&lt;DagK+DagH,"Helg",IF(MOD(A951-INDEX(SkiftStart,L951),Syklus)&lt;DagK+DagH+DagD,"Dag","Fri"))))</f>
        <v/>
      </c>
      <c r="J951" s="30">
        <f>IF(I951="Fri","Ja","")</f>
        <v/>
      </c>
      <c r="K951" s="30">
        <f>IF(B951="","",IF(L951="","Ukjent tekniker",IF(ISNA(MATCH(C951,Aktiviteter,0)),"Ukjent aktivitet",IF(AND(INDEX(AktRolle,MATCH(C951,Aktiviteter,0))&amp;""&lt;&gt;"",ISERROR(SEARCH(INDEX(AktRolle,MATCH(C951,Aktiviteter,0))&amp;"",INDEX(TekRoller,MATCH(B951,Teknikere,0))))),"Mangler rollen "&amp;INDEX(AktRolle,MATCH(C951,Aktiviteter,0))&amp;"",IF(AND(C951="LMS",F951&gt;0,OR(D951="",E951="")),"Mangler maskin eller arbeid",IF(AND(OR(C951="LMS",C951="Mod"),D951&lt;&gt;""),IF(IFERROR(INDEX(MaskinStatus,MATCH(D951,Maskiner,0)),"")="I dokk","","Maskinen er ikke i dokk"),""))))))</f>
        <v/>
      </c>
      <c r="L951" s="2">
        <f>IF(B951="","",IFERROR(INT((MATCH(B951,Teknikere,0)-1)/18)+1,""))</f>
        <v/>
      </c>
      <c r="M951" s="2">
        <f>IF(OR(A951="",B951=""),"",B951&amp;"|"&amp;A951)</f>
        <v/>
      </c>
      <c r="N951" s="2">
        <f>IF(M951="","",SUMIFS(TF_Timer,TF_Nokkel,M951,TF_Akt,C951))</f>
        <v/>
      </c>
      <c r="O951" s="2">
        <f>IF(M951="","",IF(AND(N951=_xlfn.MAXIFS(TF_AktSum,TF_Nokkel,M951),COUNTIFS(M$3:M950,M951,N$3:N950,N951)=0),M951,""))</f>
        <v/>
      </c>
    </row>
    <row r="952">
      <c r="A952" s="34" t="n"/>
      <c r="B952" s="35" t="n"/>
      <c r="C952" s="35" t="n"/>
      <c r="D952" s="35" t="n"/>
      <c r="E952" s="35" t="n"/>
      <c r="F952" s="36" t="n"/>
      <c r="G952" s="35" t="n"/>
      <c r="H952" s="30">
        <f>IF(L952="","",INDEX(SkiftNavn,L952))</f>
        <v/>
      </c>
      <c r="I952" s="30">
        <f>IF(OR(A952="",L952=""),"",IF(MOD(A952-INDEX(SkiftStart,L952),Syklus)&lt;DagK,"Kveld",IF(MOD(A952-INDEX(SkiftStart,L952),Syklus)&lt;DagK+DagH,"Helg",IF(MOD(A952-INDEX(SkiftStart,L952),Syklus)&lt;DagK+DagH+DagD,"Dag","Fri"))))</f>
        <v/>
      </c>
      <c r="J952" s="30">
        <f>IF(I952="Fri","Ja","")</f>
        <v/>
      </c>
      <c r="K952" s="30">
        <f>IF(B952="","",IF(L952="","Ukjent tekniker",IF(ISNA(MATCH(C952,Aktiviteter,0)),"Ukjent aktivitet",IF(AND(INDEX(AktRolle,MATCH(C952,Aktiviteter,0))&amp;""&lt;&gt;"",ISERROR(SEARCH(INDEX(AktRolle,MATCH(C952,Aktiviteter,0))&amp;"",INDEX(TekRoller,MATCH(B952,Teknikere,0))))),"Mangler rollen "&amp;INDEX(AktRolle,MATCH(C952,Aktiviteter,0))&amp;"",IF(AND(C952="LMS",F952&gt;0,OR(D952="",E952="")),"Mangler maskin eller arbeid",IF(AND(OR(C952="LMS",C952="Mod"),D952&lt;&gt;""),IF(IFERROR(INDEX(MaskinStatus,MATCH(D952,Maskiner,0)),"")="I dokk","","Maskinen er ikke i dokk"),""))))))</f>
        <v/>
      </c>
      <c r="L952" s="2">
        <f>IF(B952="","",IFERROR(INT((MATCH(B952,Teknikere,0)-1)/18)+1,""))</f>
        <v/>
      </c>
      <c r="M952" s="2">
        <f>IF(OR(A952="",B952=""),"",B952&amp;"|"&amp;A952)</f>
        <v/>
      </c>
      <c r="N952" s="2">
        <f>IF(M952="","",SUMIFS(TF_Timer,TF_Nokkel,M952,TF_Akt,C952))</f>
        <v/>
      </c>
      <c r="O952" s="2">
        <f>IF(M952="","",IF(AND(N952=_xlfn.MAXIFS(TF_AktSum,TF_Nokkel,M952),COUNTIFS(M$3:M951,M952,N$3:N951,N952)=0),M952,""))</f>
        <v/>
      </c>
    </row>
    <row r="953">
      <c r="A953" s="34" t="n"/>
      <c r="B953" s="35" t="n"/>
      <c r="C953" s="35" t="n"/>
      <c r="D953" s="35" t="n"/>
      <c r="E953" s="35" t="n"/>
      <c r="F953" s="36" t="n"/>
      <c r="G953" s="35" t="n"/>
      <c r="H953" s="30">
        <f>IF(L953="","",INDEX(SkiftNavn,L953))</f>
        <v/>
      </c>
      <c r="I953" s="30">
        <f>IF(OR(A953="",L953=""),"",IF(MOD(A953-INDEX(SkiftStart,L953),Syklus)&lt;DagK,"Kveld",IF(MOD(A953-INDEX(SkiftStart,L953),Syklus)&lt;DagK+DagH,"Helg",IF(MOD(A953-INDEX(SkiftStart,L953),Syklus)&lt;DagK+DagH+DagD,"Dag","Fri"))))</f>
        <v/>
      </c>
      <c r="J953" s="30">
        <f>IF(I953="Fri","Ja","")</f>
        <v/>
      </c>
      <c r="K953" s="30">
        <f>IF(B953="","",IF(L953="","Ukjent tekniker",IF(ISNA(MATCH(C953,Aktiviteter,0)),"Ukjent aktivitet",IF(AND(INDEX(AktRolle,MATCH(C953,Aktiviteter,0))&amp;""&lt;&gt;"",ISERROR(SEARCH(INDEX(AktRolle,MATCH(C953,Aktiviteter,0))&amp;"",INDEX(TekRoller,MATCH(B953,Teknikere,0))))),"Mangler rollen "&amp;INDEX(AktRolle,MATCH(C953,Aktiviteter,0))&amp;"",IF(AND(C953="LMS",F953&gt;0,OR(D953="",E953="")),"Mangler maskin eller arbeid",IF(AND(OR(C953="LMS",C953="Mod"),D953&lt;&gt;""),IF(IFERROR(INDEX(MaskinStatus,MATCH(D953,Maskiner,0)),"")="I dokk","","Maskinen er ikke i dokk"),""))))))</f>
        <v/>
      </c>
      <c r="L953" s="2">
        <f>IF(B953="","",IFERROR(INT((MATCH(B953,Teknikere,0)-1)/18)+1,""))</f>
        <v/>
      </c>
      <c r="M953" s="2">
        <f>IF(OR(A953="",B953=""),"",B953&amp;"|"&amp;A953)</f>
        <v/>
      </c>
      <c r="N953" s="2">
        <f>IF(M953="","",SUMIFS(TF_Timer,TF_Nokkel,M953,TF_Akt,C953))</f>
        <v/>
      </c>
      <c r="O953" s="2">
        <f>IF(M953="","",IF(AND(N953=_xlfn.MAXIFS(TF_AktSum,TF_Nokkel,M953),COUNTIFS(M$3:M952,M953,N$3:N952,N953)=0),M953,""))</f>
        <v/>
      </c>
    </row>
    <row r="954">
      <c r="A954" s="34" t="n"/>
      <c r="B954" s="35" t="n"/>
      <c r="C954" s="35" t="n"/>
      <c r="D954" s="35" t="n"/>
      <c r="E954" s="35" t="n"/>
      <c r="F954" s="36" t="n"/>
      <c r="G954" s="35" t="n"/>
      <c r="H954" s="30">
        <f>IF(L954="","",INDEX(SkiftNavn,L954))</f>
        <v/>
      </c>
      <c r="I954" s="30">
        <f>IF(OR(A954="",L954=""),"",IF(MOD(A954-INDEX(SkiftStart,L954),Syklus)&lt;DagK,"Kveld",IF(MOD(A954-INDEX(SkiftStart,L954),Syklus)&lt;DagK+DagH,"Helg",IF(MOD(A954-INDEX(SkiftStart,L954),Syklus)&lt;DagK+DagH+DagD,"Dag","Fri"))))</f>
        <v/>
      </c>
      <c r="J954" s="30">
        <f>IF(I954="Fri","Ja","")</f>
        <v/>
      </c>
      <c r="K954" s="30">
        <f>IF(B954="","",IF(L954="","Ukjent tekniker",IF(ISNA(MATCH(C954,Aktiviteter,0)),"Ukjent aktivitet",IF(AND(INDEX(AktRolle,MATCH(C954,Aktiviteter,0))&amp;""&lt;&gt;"",ISERROR(SEARCH(INDEX(AktRolle,MATCH(C954,Aktiviteter,0))&amp;"",INDEX(TekRoller,MATCH(B954,Teknikere,0))))),"Mangler rollen "&amp;INDEX(AktRolle,MATCH(C954,Aktiviteter,0))&amp;"",IF(AND(C954="LMS",F954&gt;0,OR(D954="",E954="")),"Mangler maskin eller arbeid",IF(AND(OR(C954="LMS",C954="Mod"),D954&lt;&gt;""),IF(IFERROR(INDEX(MaskinStatus,MATCH(D954,Maskiner,0)),"")="I dokk","","Maskinen er ikke i dokk"),""))))))</f>
        <v/>
      </c>
      <c r="L954" s="2">
        <f>IF(B954="","",IFERROR(INT((MATCH(B954,Teknikere,0)-1)/18)+1,""))</f>
        <v/>
      </c>
      <c r="M954" s="2">
        <f>IF(OR(A954="",B954=""),"",B954&amp;"|"&amp;A954)</f>
        <v/>
      </c>
      <c r="N954" s="2">
        <f>IF(M954="","",SUMIFS(TF_Timer,TF_Nokkel,M954,TF_Akt,C954))</f>
        <v/>
      </c>
      <c r="O954" s="2">
        <f>IF(M954="","",IF(AND(N954=_xlfn.MAXIFS(TF_AktSum,TF_Nokkel,M954),COUNTIFS(M$3:M953,M954,N$3:N953,N954)=0),M954,""))</f>
        <v/>
      </c>
    </row>
    <row r="955">
      <c r="A955" s="34" t="n"/>
      <c r="B955" s="35" t="n"/>
      <c r="C955" s="35" t="n"/>
      <c r="D955" s="35" t="n"/>
      <c r="E955" s="35" t="n"/>
      <c r="F955" s="36" t="n"/>
      <c r="G955" s="35" t="n"/>
      <c r="H955" s="30">
        <f>IF(L955="","",INDEX(SkiftNavn,L955))</f>
        <v/>
      </c>
      <c r="I955" s="30">
        <f>IF(OR(A955="",L955=""),"",IF(MOD(A955-INDEX(SkiftStart,L955),Syklus)&lt;DagK,"Kveld",IF(MOD(A955-INDEX(SkiftStart,L955),Syklus)&lt;DagK+DagH,"Helg",IF(MOD(A955-INDEX(SkiftStart,L955),Syklus)&lt;DagK+DagH+DagD,"Dag","Fri"))))</f>
        <v/>
      </c>
      <c r="J955" s="30">
        <f>IF(I955="Fri","Ja","")</f>
        <v/>
      </c>
      <c r="K955" s="30">
        <f>IF(B955="","",IF(L955="","Ukjent tekniker",IF(ISNA(MATCH(C955,Aktiviteter,0)),"Ukjent aktivitet",IF(AND(INDEX(AktRolle,MATCH(C955,Aktiviteter,0))&amp;""&lt;&gt;"",ISERROR(SEARCH(INDEX(AktRolle,MATCH(C955,Aktiviteter,0))&amp;"",INDEX(TekRoller,MATCH(B955,Teknikere,0))))),"Mangler rollen "&amp;INDEX(AktRolle,MATCH(C955,Aktiviteter,0))&amp;"",IF(AND(C955="LMS",F955&gt;0,OR(D955="",E955="")),"Mangler maskin eller arbeid",IF(AND(OR(C955="LMS",C955="Mod"),D955&lt;&gt;""),IF(IFERROR(INDEX(MaskinStatus,MATCH(D955,Maskiner,0)),"")="I dokk","","Maskinen er ikke i dokk"),""))))))</f>
        <v/>
      </c>
      <c r="L955" s="2">
        <f>IF(B955="","",IFERROR(INT((MATCH(B955,Teknikere,0)-1)/18)+1,""))</f>
        <v/>
      </c>
      <c r="M955" s="2">
        <f>IF(OR(A955="",B955=""),"",B955&amp;"|"&amp;A955)</f>
        <v/>
      </c>
      <c r="N955" s="2">
        <f>IF(M955="","",SUMIFS(TF_Timer,TF_Nokkel,M955,TF_Akt,C955))</f>
        <v/>
      </c>
      <c r="O955" s="2">
        <f>IF(M955="","",IF(AND(N955=_xlfn.MAXIFS(TF_AktSum,TF_Nokkel,M955),COUNTIFS(M$3:M954,M955,N$3:N954,N955)=0),M955,""))</f>
        <v/>
      </c>
    </row>
    <row r="956">
      <c r="A956" s="34" t="n"/>
      <c r="B956" s="35" t="n"/>
      <c r="C956" s="35" t="n"/>
      <c r="D956" s="35" t="n"/>
      <c r="E956" s="35" t="n"/>
      <c r="F956" s="36" t="n"/>
      <c r="G956" s="35" t="n"/>
      <c r="H956" s="30">
        <f>IF(L956="","",INDEX(SkiftNavn,L956))</f>
        <v/>
      </c>
      <c r="I956" s="30">
        <f>IF(OR(A956="",L956=""),"",IF(MOD(A956-INDEX(SkiftStart,L956),Syklus)&lt;DagK,"Kveld",IF(MOD(A956-INDEX(SkiftStart,L956),Syklus)&lt;DagK+DagH,"Helg",IF(MOD(A956-INDEX(SkiftStart,L956),Syklus)&lt;DagK+DagH+DagD,"Dag","Fri"))))</f>
        <v/>
      </c>
      <c r="J956" s="30">
        <f>IF(I956="Fri","Ja","")</f>
        <v/>
      </c>
      <c r="K956" s="30">
        <f>IF(B956="","",IF(L956="","Ukjent tekniker",IF(ISNA(MATCH(C956,Aktiviteter,0)),"Ukjent aktivitet",IF(AND(INDEX(AktRolle,MATCH(C956,Aktiviteter,0))&amp;""&lt;&gt;"",ISERROR(SEARCH(INDEX(AktRolle,MATCH(C956,Aktiviteter,0))&amp;"",INDEX(TekRoller,MATCH(B956,Teknikere,0))))),"Mangler rollen "&amp;INDEX(AktRolle,MATCH(C956,Aktiviteter,0))&amp;"",IF(AND(C956="LMS",F956&gt;0,OR(D956="",E956="")),"Mangler maskin eller arbeid",IF(AND(OR(C956="LMS",C956="Mod"),D956&lt;&gt;""),IF(IFERROR(INDEX(MaskinStatus,MATCH(D956,Maskiner,0)),"")="I dokk","","Maskinen er ikke i dokk"),""))))))</f>
        <v/>
      </c>
      <c r="L956" s="2">
        <f>IF(B956="","",IFERROR(INT((MATCH(B956,Teknikere,0)-1)/18)+1,""))</f>
        <v/>
      </c>
      <c r="M956" s="2">
        <f>IF(OR(A956="",B956=""),"",B956&amp;"|"&amp;A956)</f>
        <v/>
      </c>
      <c r="N956" s="2">
        <f>IF(M956="","",SUMIFS(TF_Timer,TF_Nokkel,M956,TF_Akt,C956))</f>
        <v/>
      </c>
      <c r="O956" s="2">
        <f>IF(M956="","",IF(AND(N956=_xlfn.MAXIFS(TF_AktSum,TF_Nokkel,M956),COUNTIFS(M$3:M955,M956,N$3:N955,N956)=0),M956,""))</f>
        <v/>
      </c>
    </row>
    <row r="957">
      <c r="A957" s="34" t="n"/>
      <c r="B957" s="35" t="n"/>
      <c r="C957" s="35" t="n"/>
      <c r="D957" s="35" t="n"/>
      <c r="E957" s="35" t="n"/>
      <c r="F957" s="36" t="n"/>
      <c r="G957" s="35" t="n"/>
      <c r="H957" s="30">
        <f>IF(L957="","",INDEX(SkiftNavn,L957))</f>
        <v/>
      </c>
      <c r="I957" s="30">
        <f>IF(OR(A957="",L957=""),"",IF(MOD(A957-INDEX(SkiftStart,L957),Syklus)&lt;DagK,"Kveld",IF(MOD(A957-INDEX(SkiftStart,L957),Syklus)&lt;DagK+DagH,"Helg",IF(MOD(A957-INDEX(SkiftStart,L957),Syklus)&lt;DagK+DagH+DagD,"Dag","Fri"))))</f>
        <v/>
      </c>
      <c r="J957" s="30">
        <f>IF(I957="Fri","Ja","")</f>
        <v/>
      </c>
      <c r="K957" s="30">
        <f>IF(B957="","",IF(L957="","Ukjent tekniker",IF(ISNA(MATCH(C957,Aktiviteter,0)),"Ukjent aktivitet",IF(AND(INDEX(AktRolle,MATCH(C957,Aktiviteter,0))&amp;""&lt;&gt;"",ISERROR(SEARCH(INDEX(AktRolle,MATCH(C957,Aktiviteter,0))&amp;"",INDEX(TekRoller,MATCH(B957,Teknikere,0))))),"Mangler rollen "&amp;INDEX(AktRolle,MATCH(C957,Aktiviteter,0))&amp;"",IF(AND(C957="LMS",F957&gt;0,OR(D957="",E957="")),"Mangler maskin eller arbeid",IF(AND(OR(C957="LMS",C957="Mod"),D957&lt;&gt;""),IF(IFERROR(INDEX(MaskinStatus,MATCH(D957,Maskiner,0)),"")="I dokk","","Maskinen er ikke i dokk"),""))))))</f>
        <v/>
      </c>
      <c r="L957" s="2">
        <f>IF(B957="","",IFERROR(INT((MATCH(B957,Teknikere,0)-1)/18)+1,""))</f>
        <v/>
      </c>
      <c r="M957" s="2">
        <f>IF(OR(A957="",B957=""),"",B957&amp;"|"&amp;A957)</f>
        <v/>
      </c>
      <c r="N957" s="2">
        <f>IF(M957="","",SUMIFS(TF_Timer,TF_Nokkel,M957,TF_Akt,C957))</f>
        <v/>
      </c>
      <c r="O957" s="2">
        <f>IF(M957="","",IF(AND(N957=_xlfn.MAXIFS(TF_AktSum,TF_Nokkel,M957),COUNTIFS(M$3:M956,M957,N$3:N956,N957)=0),M957,""))</f>
        <v/>
      </c>
    </row>
    <row r="958">
      <c r="A958" s="34" t="n"/>
      <c r="B958" s="35" t="n"/>
      <c r="C958" s="35" t="n"/>
      <c r="D958" s="35" t="n"/>
      <c r="E958" s="35" t="n"/>
      <c r="F958" s="36" t="n"/>
      <c r="G958" s="35" t="n"/>
      <c r="H958" s="30">
        <f>IF(L958="","",INDEX(SkiftNavn,L958))</f>
        <v/>
      </c>
      <c r="I958" s="30">
        <f>IF(OR(A958="",L958=""),"",IF(MOD(A958-INDEX(SkiftStart,L958),Syklus)&lt;DagK,"Kveld",IF(MOD(A958-INDEX(SkiftStart,L958),Syklus)&lt;DagK+DagH,"Helg",IF(MOD(A958-INDEX(SkiftStart,L958),Syklus)&lt;DagK+DagH+DagD,"Dag","Fri"))))</f>
        <v/>
      </c>
      <c r="J958" s="30">
        <f>IF(I958="Fri","Ja","")</f>
        <v/>
      </c>
      <c r="K958" s="30">
        <f>IF(B958="","",IF(L958="","Ukjent tekniker",IF(ISNA(MATCH(C958,Aktiviteter,0)),"Ukjent aktivitet",IF(AND(INDEX(AktRolle,MATCH(C958,Aktiviteter,0))&amp;""&lt;&gt;"",ISERROR(SEARCH(INDEX(AktRolle,MATCH(C958,Aktiviteter,0))&amp;"",INDEX(TekRoller,MATCH(B958,Teknikere,0))))),"Mangler rollen "&amp;INDEX(AktRolle,MATCH(C958,Aktiviteter,0))&amp;"",IF(AND(C958="LMS",F958&gt;0,OR(D958="",E958="")),"Mangler maskin eller arbeid",IF(AND(OR(C958="LMS",C958="Mod"),D958&lt;&gt;""),IF(IFERROR(INDEX(MaskinStatus,MATCH(D958,Maskiner,0)),"")="I dokk","","Maskinen er ikke i dokk"),""))))))</f>
        <v/>
      </c>
      <c r="L958" s="2">
        <f>IF(B958="","",IFERROR(INT((MATCH(B958,Teknikere,0)-1)/18)+1,""))</f>
        <v/>
      </c>
      <c r="M958" s="2">
        <f>IF(OR(A958="",B958=""),"",B958&amp;"|"&amp;A958)</f>
        <v/>
      </c>
      <c r="N958" s="2">
        <f>IF(M958="","",SUMIFS(TF_Timer,TF_Nokkel,M958,TF_Akt,C958))</f>
        <v/>
      </c>
      <c r="O958" s="2">
        <f>IF(M958="","",IF(AND(N958=_xlfn.MAXIFS(TF_AktSum,TF_Nokkel,M958),COUNTIFS(M$3:M957,M958,N$3:N957,N958)=0),M958,""))</f>
        <v/>
      </c>
    </row>
    <row r="959">
      <c r="A959" s="34" t="n"/>
      <c r="B959" s="35" t="n"/>
      <c r="C959" s="35" t="n"/>
      <c r="D959" s="35" t="n"/>
      <c r="E959" s="35" t="n"/>
      <c r="F959" s="36" t="n"/>
      <c r="G959" s="35" t="n"/>
      <c r="H959" s="30">
        <f>IF(L959="","",INDEX(SkiftNavn,L959))</f>
        <v/>
      </c>
      <c r="I959" s="30">
        <f>IF(OR(A959="",L959=""),"",IF(MOD(A959-INDEX(SkiftStart,L959),Syklus)&lt;DagK,"Kveld",IF(MOD(A959-INDEX(SkiftStart,L959),Syklus)&lt;DagK+DagH,"Helg",IF(MOD(A959-INDEX(SkiftStart,L959),Syklus)&lt;DagK+DagH+DagD,"Dag","Fri"))))</f>
        <v/>
      </c>
      <c r="J959" s="30">
        <f>IF(I959="Fri","Ja","")</f>
        <v/>
      </c>
      <c r="K959" s="30">
        <f>IF(B959="","",IF(L959="","Ukjent tekniker",IF(ISNA(MATCH(C959,Aktiviteter,0)),"Ukjent aktivitet",IF(AND(INDEX(AktRolle,MATCH(C959,Aktiviteter,0))&amp;""&lt;&gt;"",ISERROR(SEARCH(INDEX(AktRolle,MATCH(C959,Aktiviteter,0))&amp;"",INDEX(TekRoller,MATCH(B959,Teknikere,0))))),"Mangler rollen "&amp;INDEX(AktRolle,MATCH(C959,Aktiviteter,0))&amp;"",IF(AND(C959="LMS",F959&gt;0,OR(D959="",E959="")),"Mangler maskin eller arbeid",IF(AND(OR(C959="LMS",C959="Mod"),D959&lt;&gt;""),IF(IFERROR(INDEX(MaskinStatus,MATCH(D959,Maskiner,0)),"")="I dokk","","Maskinen er ikke i dokk"),""))))))</f>
        <v/>
      </c>
      <c r="L959" s="2">
        <f>IF(B959="","",IFERROR(INT((MATCH(B959,Teknikere,0)-1)/18)+1,""))</f>
        <v/>
      </c>
      <c r="M959" s="2">
        <f>IF(OR(A959="",B959=""),"",B959&amp;"|"&amp;A959)</f>
        <v/>
      </c>
      <c r="N959" s="2">
        <f>IF(M959="","",SUMIFS(TF_Timer,TF_Nokkel,M959,TF_Akt,C959))</f>
        <v/>
      </c>
      <c r="O959" s="2">
        <f>IF(M959="","",IF(AND(N959=_xlfn.MAXIFS(TF_AktSum,TF_Nokkel,M959),COUNTIFS(M$3:M958,M959,N$3:N958,N959)=0),M959,""))</f>
        <v/>
      </c>
    </row>
    <row r="960">
      <c r="A960" s="34" t="n"/>
      <c r="B960" s="35" t="n"/>
      <c r="C960" s="35" t="n"/>
      <c r="D960" s="35" t="n"/>
      <c r="E960" s="35" t="n"/>
      <c r="F960" s="36" t="n"/>
      <c r="G960" s="35" t="n"/>
      <c r="H960" s="30">
        <f>IF(L960="","",INDEX(SkiftNavn,L960))</f>
        <v/>
      </c>
      <c r="I960" s="30">
        <f>IF(OR(A960="",L960=""),"",IF(MOD(A960-INDEX(SkiftStart,L960),Syklus)&lt;DagK,"Kveld",IF(MOD(A960-INDEX(SkiftStart,L960),Syklus)&lt;DagK+DagH,"Helg",IF(MOD(A960-INDEX(SkiftStart,L960),Syklus)&lt;DagK+DagH+DagD,"Dag","Fri"))))</f>
        <v/>
      </c>
      <c r="J960" s="30">
        <f>IF(I960="Fri","Ja","")</f>
        <v/>
      </c>
      <c r="K960" s="30">
        <f>IF(B960="","",IF(L960="","Ukjent tekniker",IF(ISNA(MATCH(C960,Aktiviteter,0)),"Ukjent aktivitet",IF(AND(INDEX(AktRolle,MATCH(C960,Aktiviteter,0))&amp;""&lt;&gt;"",ISERROR(SEARCH(INDEX(AktRolle,MATCH(C960,Aktiviteter,0))&amp;"",INDEX(TekRoller,MATCH(B960,Teknikere,0))))),"Mangler rollen "&amp;INDEX(AktRolle,MATCH(C960,Aktiviteter,0))&amp;"",IF(AND(C960="LMS",F960&gt;0,OR(D960="",E960="")),"Mangler maskin eller arbeid",IF(AND(OR(C960="LMS",C960="Mod"),D960&lt;&gt;""),IF(IFERROR(INDEX(MaskinStatus,MATCH(D960,Maskiner,0)),"")="I dokk","","Maskinen er ikke i dokk"),""))))))</f>
        <v/>
      </c>
      <c r="L960" s="2">
        <f>IF(B960="","",IFERROR(INT((MATCH(B960,Teknikere,0)-1)/18)+1,""))</f>
        <v/>
      </c>
      <c r="M960" s="2">
        <f>IF(OR(A960="",B960=""),"",B960&amp;"|"&amp;A960)</f>
        <v/>
      </c>
      <c r="N960" s="2">
        <f>IF(M960="","",SUMIFS(TF_Timer,TF_Nokkel,M960,TF_Akt,C960))</f>
        <v/>
      </c>
      <c r="O960" s="2">
        <f>IF(M960="","",IF(AND(N960=_xlfn.MAXIFS(TF_AktSum,TF_Nokkel,M960),COUNTIFS(M$3:M959,M960,N$3:N959,N960)=0),M960,""))</f>
        <v/>
      </c>
    </row>
    <row r="961">
      <c r="A961" s="34" t="n"/>
      <c r="B961" s="35" t="n"/>
      <c r="C961" s="35" t="n"/>
      <c r="D961" s="35" t="n"/>
      <c r="E961" s="35" t="n"/>
      <c r="F961" s="36" t="n"/>
      <c r="G961" s="35" t="n"/>
      <c r="H961" s="30">
        <f>IF(L961="","",INDEX(SkiftNavn,L961))</f>
        <v/>
      </c>
      <c r="I961" s="30">
        <f>IF(OR(A961="",L961=""),"",IF(MOD(A961-INDEX(SkiftStart,L961),Syklus)&lt;DagK,"Kveld",IF(MOD(A961-INDEX(SkiftStart,L961),Syklus)&lt;DagK+DagH,"Helg",IF(MOD(A961-INDEX(SkiftStart,L961),Syklus)&lt;DagK+DagH+DagD,"Dag","Fri"))))</f>
        <v/>
      </c>
      <c r="J961" s="30">
        <f>IF(I961="Fri","Ja","")</f>
        <v/>
      </c>
      <c r="K961" s="30">
        <f>IF(B961="","",IF(L961="","Ukjent tekniker",IF(ISNA(MATCH(C961,Aktiviteter,0)),"Ukjent aktivitet",IF(AND(INDEX(AktRolle,MATCH(C961,Aktiviteter,0))&amp;""&lt;&gt;"",ISERROR(SEARCH(INDEX(AktRolle,MATCH(C961,Aktiviteter,0))&amp;"",INDEX(TekRoller,MATCH(B961,Teknikere,0))))),"Mangler rollen "&amp;INDEX(AktRolle,MATCH(C961,Aktiviteter,0))&amp;"",IF(AND(C961="LMS",F961&gt;0,OR(D961="",E961="")),"Mangler maskin eller arbeid",IF(AND(OR(C961="LMS",C961="Mod"),D961&lt;&gt;""),IF(IFERROR(INDEX(MaskinStatus,MATCH(D961,Maskiner,0)),"")="I dokk","","Maskinen er ikke i dokk"),""))))))</f>
        <v/>
      </c>
      <c r="L961" s="2">
        <f>IF(B961="","",IFERROR(INT((MATCH(B961,Teknikere,0)-1)/18)+1,""))</f>
        <v/>
      </c>
      <c r="M961" s="2">
        <f>IF(OR(A961="",B961=""),"",B961&amp;"|"&amp;A961)</f>
        <v/>
      </c>
      <c r="N961" s="2">
        <f>IF(M961="","",SUMIFS(TF_Timer,TF_Nokkel,M961,TF_Akt,C961))</f>
        <v/>
      </c>
      <c r="O961" s="2">
        <f>IF(M961="","",IF(AND(N961=_xlfn.MAXIFS(TF_AktSum,TF_Nokkel,M961),COUNTIFS(M$3:M960,M961,N$3:N960,N961)=0),M961,""))</f>
        <v/>
      </c>
    </row>
    <row r="962">
      <c r="A962" s="34" t="n"/>
      <c r="B962" s="35" t="n"/>
      <c r="C962" s="35" t="n"/>
      <c r="D962" s="35" t="n"/>
      <c r="E962" s="35" t="n"/>
      <c r="F962" s="36" t="n"/>
      <c r="G962" s="35" t="n"/>
      <c r="H962" s="30">
        <f>IF(L962="","",INDEX(SkiftNavn,L962))</f>
        <v/>
      </c>
      <c r="I962" s="30">
        <f>IF(OR(A962="",L962=""),"",IF(MOD(A962-INDEX(SkiftStart,L962),Syklus)&lt;DagK,"Kveld",IF(MOD(A962-INDEX(SkiftStart,L962),Syklus)&lt;DagK+DagH,"Helg",IF(MOD(A962-INDEX(SkiftStart,L962),Syklus)&lt;DagK+DagH+DagD,"Dag","Fri"))))</f>
        <v/>
      </c>
      <c r="J962" s="30">
        <f>IF(I962="Fri","Ja","")</f>
        <v/>
      </c>
      <c r="K962" s="30">
        <f>IF(B962="","",IF(L962="","Ukjent tekniker",IF(ISNA(MATCH(C962,Aktiviteter,0)),"Ukjent aktivitet",IF(AND(INDEX(AktRolle,MATCH(C962,Aktiviteter,0))&amp;""&lt;&gt;"",ISERROR(SEARCH(INDEX(AktRolle,MATCH(C962,Aktiviteter,0))&amp;"",INDEX(TekRoller,MATCH(B962,Teknikere,0))))),"Mangler rollen "&amp;INDEX(AktRolle,MATCH(C962,Aktiviteter,0))&amp;"",IF(AND(C962="LMS",F962&gt;0,OR(D962="",E962="")),"Mangler maskin eller arbeid",IF(AND(OR(C962="LMS",C962="Mod"),D962&lt;&gt;""),IF(IFERROR(INDEX(MaskinStatus,MATCH(D962,Maskiner,0)),"")="I dokk","","Maskinen er ikke i dokk"),""))))))</f>
        <v/>
      </c>
      <c r="L962" s="2">
        <f>IF(B962="","",IFERROR(INT((MATCH(B962,Teknikere,0)-1)/18)+1,""))</f>
        <v/>
      </c>
      <c r="M962" s="2">
        <f>IF(OR(A962="",B962=""),"",B962&amp;"|"&amp;A962)</f>
        <v/>
      </c>
      <c r="N962" s="2">
        <f>IF(M962="","",SUMIFS(TF_Timer,TF_Nokkel,M962,TF_Akt,C962))</f>
        <v/>
      </c>
      <c r="O962" s="2">
        <f>IF(M962="","",IF(AND(N962=_xlfn.MAXIFS(TF_AktSum,TF_Nokkel,M962),COUNTIFS(M$3:M961,M962,N$3:N961,N962)=0),M962,""))</f>
        <v/>
      </c>
    </row>
    <row r="963">
      <c r="A963" s="34" t="n"/>
      <c r="B963" s="35" t="n"/>
      <c r="C963" s="35" t="n"/>
      <c r="D963" s="35" t="n"/>
      <c r="E963" s="35" t="n"/>
      <c r="F963" s="36" t="n"/>
      <c r="G963" s="35" t="n"/>
      <c r="H963" s="30">
        <f>IF(L963="","",INDEX(SkiftNavn,L963))</f>
        <v/>
      </c>
      <c r="I963" s="30">
        <f>IF(OR(A963="",L963=""),"",IF(MOD(A963-INDEX(SkiftStart,L963),Syklus)&lt;DagK,"Kveld",IF(MOD(A963-INDEX(SkiftStart,L963),Syklus)&lt;DagK+DagH,"Helg",IF(MOD(A963-INDEX(SkiftStart,L963),Syklus)&lt;DagK+DagH+DagD,"Dag","Fri"))))</f>
        <v/>
      </c>
      <c r="J963" s="30">
        <f>IF(I963="Fri","Ja","")</f>
        <v/>
      </c>
      <c r="K963" s="30">
        <f>IF(B963="","",IF(L963="","Ukjent tekniker",IF(ISNA(MATCH(C963,Aktiviteter,0)),"Ukjent aktivitet",IF(AND(INDEX(AktRolle,MATCH(C963,Aktiviteter,0))&amp;""&lt;&gt;"",ISERROR(SEARCH(INDEX(AktRolle,MATCH(C963,Aktiviteter,0))&amp;"",INDEX(TekRoller,MATCH(B963,Teknikere,0))))),"Mangler rollen "&amp;INDEX(AktRolle,MATCH(C963,Aktiviteter,0))&amp;"",IF(AND(C963="LMS",F963&gt;0,OR(D963="",E963="")),"Mangler maskin eller arbeid",IF(AND(OR(C963="LMS",C963="Mod"),D963&lt;&gt;""),IF(IFERROR(INDEX(MaskinStatus,MATCH(D963,Maskiner,0)),"")="I dokk","","Maskinen er ikke i dokk"),""))))))</f>
        <v/>
      </c>
      <c r="L963" s="2">
        <f>IF(B963="","",IFERROR(INT((MATCH(B963,Teknikere,0)-1)/18)+1,""))</f>
        <v/>
      </c>
      <c r="M963" s="2">
        <f>IF(OR(A963="",B963=""),"",B963&amp;"|"&amp;A963)</f>
        <v/>
      </c>
      <c r="N963" s="2">
        <f>IF(M963="","",SUMIFS(TF_Timer,TF_Nokkel,M963,TF_Akt,C963))</f>
        <v/>
      </c>
      <c r="O963" s="2">
        <f>IF(M963="","",IF(AND(N963=_xlfn.MAXIFS(TF_AktSum,TF_Nokkel,M963),COUNTIFS(M$3:M962,M963,N$3:N962,N963)=0),M963,""))</f>
        <v/>
      </c>
    </row>
    <row r="964">
      <c r="A964" s="34" t="n"/>
      <c r="B964" s="35" t="n"/>
      <c r="C964" s="35" t="n"/>
      <c r="D964" s="35" t="n"/>
      <c r="E964" s="35" t="n"/>
      <c r="F964" s="36" t="n"/>
      <c r="G964" s="35" t="n"/>
      <c r="H964" s="30">
        <f>IF(L964="","",INDEX(SkiftNavn,L964))</f>
        <v/>
      </c>
      <c r="I964" s="30">
        <f>IF(OR(A964="",L964=""),"",IF(MOD(A964-INDEX(SkiftStart,L964),Syklus)&lt;DagK,"Kveld",IF(MOD(A964-INDEX(SkiftStart,L964),Syklus)&lt;DagK+DagH,"Helg",IF(MOD(A964-INDEX(SkiftStart,L964),Syklus)&lt;DagK+DagH+DagD,"Dag","Fri"))))</f>
        <v/>
      </c>
      <c r="J964" s="30">
        <f>IF(I964="Fri","Ja","")</f>
        <v/>
      </c>
      <c r="K964" s="30">
        <f>IF(B964="","",IF(L964="","Ukjent tekniker",IF(ISNA(MATCH(C964,Aktiviteter,0)),"Ukjent aktivitet",IF(AND(INDEX(AktRolle,MATCH(C964,Aktiviteter,0))&amp;""&lt;&gt;"",ISERROR(SEARCH(INDEX(AktRolle,MATCH(C964,Aktiviteter,0))&amp;"",INDEX(TekRoller,MATCH(B964,Teknikere,0))))),"Mangler rollen "&amp;INDEX(AktRolle,MATCH(C964,Aktiviteter,0))&amp;"",IF(AND(C964="LMS",F964&gt;0,OR(D964="",E964="")),"Mangler maskin eller arbeid",IF(AND(OR(C964="LMS",C964="Mod"),D964&lt;&gt;""),IF(IFERROR(INDEX(MaskinStatus,MATCH(D964,Maskiner,0)),"")="I dokk","","Maskinen er ikke i dokk"),""))))))</f>
        <v/>
      </c>
      <c r="L964" s="2">
        <f>IF(B964="","",IFERROR(INT((MATCH(B964,Teknikere,0)-1)/18)+1,""))</f>
        <v/>
      </c>
      <c r="M964" s="2">
        <f>IF(OR(A964="",B964=""),"",B964&amp;"|"&amp;A964)</f>
        <v/>
      </c>
      <c r="N964" s="2">
        <f>IF(M964="","",SUMIFS(TF_Timer,TF_Nokkel,M964,TF_Akt,C964))</f>
        <v/>
      </c>
      <c r="O964" s="2">
        <f>IF(M964="","",IF(AND(N964=_xlfn.MAXIFS(TF_AktSum,TF_Nokkel,M964),COUNTIFS(M$3:M963,M964,N$3:N963,N964)=0),M964,""))</f>
        <v/>
      </c>
    </row>
    <row r="965">
      <c r="A965" s="34" t="n"/>
      <c r="B965" s="35" t="n"/>
      <c r="C965" s="35" t="n"/>
      <c r="D965" s="35" t="n"/>
      <c r="E965" s="35" t="n"/>
      <c r="F965" s="36" t="n"/>
      <c r="G965" s="35" t="n"/>
      <c r="H965" s="30">
        <f>IF(L965="","",INDEX(SkiftNavn,L965))</f>
        <v/>
      </c>
      <c r="I965" s="30">
        <f>IF(OR(A965="",L965=""),"",IF(MOD(A965-INDEX(SkiftStart,L965),Syklus)&lt;DagK,"Kveld",IF(MOD(A965-INDEX(SkiftStart,L965),Syklus)&lt;DagK+DagH,"Helg",IF(MOD(A965-INDEX(SkiftStart,L965),Syklus)&lt;DagK+DagH+DagD,"Dag","Fri"))))</f>
        <v/>
      </c>
      <c r="J965" s="30">
        <f>IF(I965="Fri","Ja","")</f>
        <v/>
      </c>
      <c r="K965" s="30">
        <f>IF(B965="","",IF(L965="","Ukjent tekniker",IF(ISNA(MATCH(C965,Aktiviteter,0)),"Ukjent aktivitet",IF(AND(INDEX(AktRolle,MATCH(C965,Aktiviteter,0))&amp;""&lt;&gt;"",ISERROR(SEARCH(INDEX(AktRolle,MATCH(C965,Aktiviteter,0))&amp;"",INDEX(TekRoller,MATCH(B965,Teknikere,0))))),"Mangler rollen "&amp;INDEX(AktRolle,MATCH(C965,Aktiviteter,0))&amp;"",IF(AND(C965="LMS",F965&gt;0,OR(D965="",E965="")),"Mangler maskin eller arbeid",IF(AND(OR(C965="LMS",C965="Mod"),D965&lt;&gt;""),IF(IFERROR(INDEX(MaskinStatus,MATCH(D965,Maskiner,0)),"")="I dokk","","Maskinen er ikke i dokk"),""))))))</f>
        <v/>
      </c>
      <c r="L965" s="2">
        <f>IF(B965="","",IFERROR(INT((MATCH(B965,Teknikere,0)-1)/18)+1,""))</f>
        <v/>
      </c>
      <c r="M965" s="2">
        <f>IF(OR(A965="",B965=""),"",B965&amp;"|"&amp;A965)</f>
        <v/>
      </c>
      <c r="N965" s="2">
        <f>IF(M965="","",SUMIFS(TF_Timer,TF_Nokkel,M965,TF_Akt,C965))</f>
        <v/>
      </c>
      <c r="O965" s="2">
        <f>IF(M965="","",IF(AND(N965=_xlfn.MAXIFS(TF_AktSum,TF_Nokkel,M965),COUNTIFS(M$3:M964,M965,N$3:N964,N965)=0),M965,""))</f>
        <v/>
      </c>
    </row>
    <row r="966">
      <c r="A966" s="34" t="n"/>
      <c r="B966" s="35" t="n"/>
      <c r="C966" s="35" t="n"/>
      <c r="D966" s="35" t="n"/>
      <c r="E966" s="35" t="n"/>
      <c r="F966" s="36" t="n"/>
      <c r="G966" s="35" t="n"/>
      <c r="H966" s="30">
        <f>IF(L966="","",INDEX(SkiftNavn,L966))</f>
        <v/>
      </c>
      <c r="I966" s="30">
        <f>IF(OR(A966="",L966=""),"",IF(MOD(A966-INDEX(SkiftStart,L966),Syklus)&lt;DagK,"Kveld",IF(MOD(A966-INDEX(SkiftStart,L966),Syklus)&lt;DagK+DagH,"Helg",IF(MOD(A966-INDEX(SkiftStart,L966),Syklus)&lt;DagK+DagH+DagD,"Dag","Fri"))))</f>
        <v/>
      </c>
      <c r="J966" s="30">
        <f>IF(I966="Fri","Ja","")</f>
        <v/>
      </c>
      <c r="K966" s="30">
        <f>IF(B966="","",IF(L966="","Ukjent tekniker",IF(ISNA(MATCH(C966,Aktiviteter,0)),"Ukjent aktivitet",IF(AND(INDEX(AktRolle,MATCH(C966,Aktiviteter,0))&amp;""&lt;&gt;"",ISERROR(SEARCH(INDEX(AktRolle,MATCH(C966,Aktiviteter,0))&amp;"",INDEX(TekRoller,MATCH(B966,Teknikere,0))))),"Mangler rollen "&amp;INDEX(AktRolle,MATCH(C966,Aktiviteter,0))&amp;"",IF(AND(C966="LMS",F966&gt;0,OR(D966="",E966="")),"Mangler maskin eller arbeid",IF(AND(OR(C966="LMS",C966="Mod"),D966&lt;&gt;""),IF(IFERROR(INDEX(MaskinStatus,MATCH(D966,Maskiner,0)),"")="I dokk","","Maskinen er ikke i dokk"),""))))))</f>
        <v/>
      </c>
      <c r="L966" s="2">
        <f>IF(B966="","",IFERROR(INT((MATCH(B966,Teknikere,0)-1)/18)+1,""))</f>
        <v/>
      </c>
      <c r="M966" s="2">
        <f>IF(OR(A966="",B966=""),"",B966&amp;"|"&amp;A966)</f>
        <v/>
      </c>
      <c r="N966" s="2">
        <f>IF(M966="","",SUMIFS(TF_Timer,TF_Nokkel,M966,TF_Akt,C966))</f>
        <v/>
      </c>
      <c r="O966" s="2">
        <f>IF(M966="","",IF(AND(N966=_xlfn.MAXIFS(TF_AktSum,TF_Nokkel,M966),COUNTIFS(M$3:M965,M966,N$3:N965,N966)=0),M966,""))</f>
        <v/>
      </c>
    </row>
    <row r="967">
      <c r="A967" s="34" t="n"/>
      <c r="B967" s="35" t="n"/>
      <c r="C967" s="35" t="n"/>
      <c r="D967" s="35" t="n"/>
      <c r="E967" s="35" t="n"/>
      <c r="F967" s="36" t="n"/>
      <c r="G967" s="35" t="n"/>
      <c r="H967" s="30">
        <f>IF(L967="","",INDEX(SkiftNavn,L967))</f>
        <v/>
      </c>
      <c r="I967" s="30">
        <f>IF(OR(A967="",L967=""),"",IF(MOD(A967-INDEX(SkiftStart,L967),Syklus)&lt;DagK,"Kveld",IF(MOD(A967-INDEX(SkiftStart,L967),Syklus)&lt;DagK+DagH,"Helg",IF(MOD(A967-INDEX(SkiftStart,L967),Syklus)&lt;DagK+DagH+DagD,"Dag","Fri"))))</f>
        <v/>
      </c>
      <c r="J967" s="30">
        <f>IF(I967="Fri","Ja","")</f>
        <v/>
      </c>
      <c r="K967" s="30">
        <f>IF(B967="","",IF(L967="","Ukjent tekniker",IF(ISNA(MATCH(C967,Aktiviteter,0)),"Ukjent aktivitet",IF(AND(INDEX(AktRolle,MATCH(C967,Aktiviteter,0))&amp;""&lt;&gt;"",ISERROR(SEARCH(INDEX(AktRolle,MATCH(C967,Aktiviteter,0))&amp;"",INDEX(TekRoller,MATCH(B967,Teknikere,0))))),"Mangler rollen "&amp;INDEX(AktRolle,MATCH(C967,Aktiviteter,0))&amp;"",IF(AND(C967="LMS",F967&gt;0,OR(D967="",E967="")),"Mangler maskin eller arbeid",IF(AND(OR(C967="LMS",C967="Mod"),D967&lt;&gt;""),IF(IFERROR(INDEX(MaskinStatus,MATCH(D967,Maskiner,0)),"")="I dokk","","Maskinen er ikke i dokk"),""))))))</f>
        <v/>
      </c>
      <c r="L967" s="2">
        <f>IF(B967="","",IFERROR(INT((MATCH(B967,Teknikere,0)-1)/18)+1,""))</f>
        <v/>
      </c>
      <c r="M967" s="2">
        <f>IF(OR(A967="",B967=""),"",B967&amp;"|"&amp;A967)</f>
        <v/>
      </c>
      <c r="N967" s="2">
        <f>IF(M967="","",SUMIFS(TF_Timer,TF_Nokkel,M967,TF_Akt,C967))</f>
        <v/>
      </c>
      <c r="O967" s="2">
        <f>IF(M967="","",IF(AND(N967=_xlfn.MAXIFS(TF_AktSum,TF_Nokkel,M967),COUNTIFS(M$3:M966,M967,N$3:N966,N967)=0),M967,""))</f>
        <v/>
      </c>
    </row>
    <row r="968">
      <c r="A968" s="34" t="n"/>
      <c r="B968" s="35" t="n"/>
      <c r="C968" s="35" t="n"/>
      <c r="D968" s="35" t="n"/>
      <c r="E968" s="35" t="n"/>
      <c r="F968" s="36" t="n"/>
      <c r="G968" s="35" t="n"/>
      <c r="H968" s="30">
        <f>IF(L968="","",INDEX(SkiftNavn,L968))</f>
        <v/>
      </c>
      <c r="I968" s="30">
        <f>IF(OR(A968="",L968=""),"",IF(MOD(A968-INDEX(SkiftStart,L968),Syklus)&lt;DagK,"Kveld",IF(MOD(A968-INDEX(SkiftStart,L968),Syklus)&lt;DagK+DagH,"Helg",IF(MOD(A968-INDEX(SkiftStart,L968),Syklus)&lt;DagK+DagH+DagD,"Dag","Fri"))))</f>
        <v/>
      </c>
      <c r="J968" s="30">
        <f>IF(I968="Fri","Ja","")</f>
        <v/>
      </c>
      <c r="K968" s="30">
        <f>IF(B968="","",IF(L968="","Ukjent tekniker",IF(ISNA(MATCH(C968,Aktiviteter,0)),"Ukjent aktivitet",IF(AND(INDEX(AktRolle,MATCH(C968,Aktiviteter,0))&amp;""&lt;&gt;"",ISERROR(SEARCH(INDEX(AktRolle,MATCH(C968,Aktiviteter,0))&amp;"",INDEX(TekRoller,MATCH(B968,Teknikere,0))))),"Mangler rollen "&amp;INDEX(AktRolle,MATCH(C968,Aktiviteter,0))&amp;"",IF(AND(C968="LMS",F968&gt;0,OR(D968="",E968="")),"Mangler maskin eller arbeid",IF(AND(OR(C968="LMS",C968="Mod"),D968&lt;&gt;""),IF(IFERROR(INDEX(MaskinStatus,MATCH(D968,Maskiner,0)),"")="I dokk","","Maskinen er ikke i dokk"),""))))))</f>
        <v/>
      </c>
      <c r="L968" s="2">
        <f>IF(B968="","",IFERROR(INT((MATCH(B968,Teknikere,0)-1)/18)+1,""))</f>
        <v/>
      </c>
      <c r="M968" s="2">
        <f>IF(OR(A968="",B968=""),"",B968&amp;"|"&amp;A968)</f>
        <v/>
      </c>
      <c r="N968" s="2">
        <f>IF(M968="","",SUMIFS(TF_Timer,TF_Nokkel,M968,TF_Akt,C968))</f>
        <v/>
      </c>
      <c r="O968" s="2">
        <f>IF(M968="","",IF(AND(N968=_xlfn.MAXIFS(TF_AktSum,TF_Nokkel,M968),COUNTIFS(M$3:M967,M968,N$3:N967,N968)=0),M968,""))</f>
        <v/>
      </c>
    </row>
    <row r="969">
      <c r="A969" s="34" t="n"/>
      <c r="B969" s="35" t="n"/>
      <c r="C969" s="35" t="n"/>
      <c r="D969" s="35" t="n"/>
      <c r="E969" s="35" t="n"/>
      <c r="F969" s="36" t="n"/>
      <c r="G969" s="35" t="n"/>
      <c r="H969" s="30">
        <f>IF(L969="","",INDEX(SkiftNavn,L969))</f>
        <v/>
      </c>
      <c r="I969" s="30">
        <f>IF(OR(A969="",L969=""),"",IF(MOD(A969-INDEX(SkiftStart,L969),Syklus)&lt;DagK,"Kveld",IF(MOD(A969-INDEX(SkiftStart,L969),Syklus)&lt;DagK+DagH,"Helg",IF(MOD(A969-INDEX(SkiftStart,L969),Syklus)&lt;DagK+DagH+DagD,"Dag","Fri"))))</f>
        <v/>
      </c>
      <c r="J969" s="30">
        <f>IF(I969="Fri","Ja","")</f>
        <v/>
      </c>
      <c r="K969" s="30">
        <f>IF(B969="","",IF(L969="","Ukjent tekniker",IF(ISNA(MATCH(C969,Aktiviteter,0)),"Ukjent aktivitet",IF(AND(INDEX(AktRolle,MATCH(C969,Aktiviteter,0))&amp;""&lt;&gt;"",ISERROR(SEARCH(INDEX(AktRolle,MATCH(C969,Aktiviteter,0))&amp;"",INDEX(TekRoller,MATCH(B969,Teknikere,0))))),"Mangler rollen "&amp;INDEX(AktRolle,MATCH(C969,Aktiviteter,0))&amp;"",IF(AND(C969="LMS",F969&gt;0,OR(D969="",E969="")),"Mangler maskin eller arbeid",IF(AND(OR(C969="LMS",C969="Mod"),D969&lt;&gt;""),IF(IFERROR(INDEX(MaskinStatus,MATCH(D969,Maskiner,0)),"")="I dokk","","Maskinen er ikke i dokk"),""))))))</f>
        <v/>
      </c>
      <c r="L969" s="2">
        <f>IF(B969="","",IFERROR(INT((MATCH(B969,Teknikere,0)-1)/18)+1,""))</f>
        <v/>
      </c>
      <c r="M969" s="2">
        <f>IF(OR(A969="",B969=""),"",B969&amp;"|"&amp;A969)</f>
        <v/>
      </c>
      <c r="N969" s="2">
        <f>IF(M969="","",SUMIFS(TF_Timer,TF_Nokkel,M969,TF_Akt,C969))</f>
        <v/>
      </c>
      <c r="O969" s="2">
        <f>IF(M969="","",IF(AND(N969=_xlfn.MAXIFS(TF_AktSum,TF_Nokkel,M969),COUNTIFS(M$3:M968,M969,N$3:N968,N969)=0),M969,""))</f>
        <v/>
      </c>
    </row>
    <row r="970">
      <c r="A970" s="34" t="n"/>
      <c r="B970" s="35" t="n"/>
      <c r="C970" s="35" t="n"/>
      <c r="D970" s="35" t="n"/>
      <c r="E970" s="35" t="n"/>
      <c r="F970" s="36" t="n"/>
      <c r="G970" s="35" t="n"/>
      <c r="H970" s="30">
        <f>IF(L970="","",INDEX(SkiftNavn,L970))</f>
        <v/>
      </c>
      <c r="I970" s="30">
        <f>IF(OR(A970="",L970=""),"",IF(MOD(A970-INDEX(SkiftStart,L970),Syklus)&lt;DagK,"Kveld",IF(MOD(A970-INDEX(SkiftStart,L970),Syklus)&lt;DagK+DagH,"Helg",IF(MOD(A970-INDEX(SkiftStart,L970),Syklus)&lt;DagK+DagH+DagD,"Dag","Fri"))))</f>
        <v/>
      </c>
      <c r="J970" s="30">
        <f>IF(I970="Fri","Ja","")</f>
        <v/>
      </c>
      <c r="K970" s="30">
        <f>IF(B970="","",IF(L970="","Ukjent tekniker",IF(ISNA(MATCH(C970,Aktiviteter,0)),"Ukjent aktivitet",IF(AND(INDEX(AktRolle,MATCH(C970,Aktiviteter,0))&amp;""&lt;&gt;"",ISERROR(SEARCH(INDEX(AktRolle,MATCH(C970,Aktiviteter,0))&amp;"",INDEX(TekRoller,MATCH(B970,Teknikere,0))))),"Mangler rollen "&amp;INDEX(AktRolle,MATCH(C970,Aktiviteter,0))&amp;"",IF(AND(C970="LMS",F970&gt;0,OR(D970="",E970="")),"Mangler maskin eller arbeid",IF(AND(OR(C970="LMS",C970="Mod"),D970&lt;&gt;""),IF(IFERROR(INDEX(MaskinStatus,MATCH(D970,Maskiner,0)),"")="I dokk","","Maskinen er ikke i dokk"),""))))))</f>
        <v/>
      </c>
      <c r="L970" s="2">
        <f>IF(B970="","",IFERROR(INT((MATCH(B970,Teknikere,0)-1)/18)+1,""))</f>
        <v/>
      </c>
      <c r="M970" s="2">
        <f>IF(OR(A970="",B970=""),"",B970&amp;"|"&amp;A970)</f>
        <v/>
      </c>
      <c r="N970" s="2">
        <f>IF(M970="","",SUMIFS(TF_Timer,TF_Nokkel,M970,TF_Akt,C970))</f>
        <v/>
      </c>
      <c r="O970" s="2">
        <f>IF(M970="","",IF(AND(N970=_xlfn.MAXIFS(TF_AktSum,TF_Nokkel,M970),COUNTIFS(M$3:M969,M970,N$3:N969,N970)=0),M970,""))</f>
        <v/>
      </c>
    </row>
    <row r="971">
      <c r="A971" s="34" t="n"/>
      <c r="B971" s="35" t="n"/>
      <c r="C971" s="35" t="n"/>
      <c r="D971" s="35" t="n"/>
      <c r="E971" s="35" t="n"/>
      <c r="F971" s="36" t="n"/>
      <c r="G971" s="35" t="n"/>
      <c r="H971" s="30">
        <f>IF(L971="","",INDEX(SkiftNavn,L971))</f>
        <v/>
      </c>
      <c r="I971" s="30">
        <f>IF(OR(A971="",L971=""),"",IF(MOD(A971-INDEX(SkiftStart,L971),Syklus)&lt;DagK,"Kveld",IF(MOD(A971-INDEX(SkiftStart,L971),Syklus)&lt;DagK+DagH,"Helg",IF(MOD(A971-INDEX(SkiftStart,L971),Syklus)&lt;DagK+DagH+DagD,"Dag","Fri"))))</f>
        <v/>
      </c>
      <c r="J971" s="30">
        <f>IF(I971="Fri","Ja","")</f>
        <v/>
      </c>
      <c r="K971" s="30">
        <f>IF(B971="","",IF(L971="","Ukjent tekniker",IF(ISNA(MATCH(C971,Aktiviteter,0)),"Ukjent aktivitet",IF(AND(INDEX(AktRolle,MATCH(C971,Aktiviteter,0))&amp;""&lt;&gt;"",ISERROR(SEARCH(INDEX(AktRolle,MATCH(C971,Aktiviteter,0))&amp;"",INDEX(TekRoller,MATCH(B971,Teknikere,0))))),"Mangler rollen "&amp;INDEX(AktRolle,MATCH(C971,Aktiviteter,0))&amp;"",IF(AND(C971="LMS",F971&gt;0,OR(D971="",E971="")),"Mangler maskin eller arbeid",IF(AND(OR(C971="LMS",C971="Mod"),D971&lt;&gt;""),IF(IFERROR(INDEX(MaskinStatus,MATCH(D971,Maskiner,0)),"")="I dokk","","Maskinen er ikke i dokk"),""))))))</f>
        <v/>
      </c>
      <c r="L971" s="2">
        <f>IF(B971="","",IFERROR(INT((MATCH(B971,Teknikere,0)-1)/18)+1,""))</f>
        <v/>
      </c>
      <c r="M971" s="2">
        <f>IF(OR(A971="",B971=""),"",B971&amp;"|"&amp;A971)</f>
        <v/>
      </c>
      <c r="N971" s="2">
        <f>IF(M971="","",SUMIFS(TF_Timer,TF_Nokkel,M971,TF_Akt,C971))</f>
        <v/>
      </c>
      <c r="O971" s="2">
        <f>IF(M971="","",IF(AND(N971=_xlfn.MAXIFS(TF_AktSum,TF_Nokkel,M971),COUNTIFS(M$3:M970,M971,N$3:N970,N971)=0),M971,""))</f>
        <v/>
      </c>
    </row>
    <row r="972">
      <c r="A972" s="34" t="n"/>
      <c r="B972" s="35" t="n"/>
      <c r="C972" s="35" t="n"/>
      <c r="D972" s="35" t="n"/>
      <c r="E972" s="35" t="n"/>
      <c r="F972" s="36" t="n"/>
      <c r="G972" s="35" t="n"/>
      <c r="H972" s="30">
        <f>IF(L972="","",INDEX(SkiftNavn,L972))</f>
        <v/>
      </c>
      <c r="I972" s="30">
        <f>IF(OR(A972="",L972=""),"",IF(MOD(A972-INDEX(SkiftStart,L972),Syklus)&lt;DagK,"Kveld",IF(MOD(A972-INDEX(SkiftStart,L972),Syklus)&lt;DagK+DagH,"Helg",IF(MOD(A972-INDEX(SkiftStart,L972),Syklus)&lt;DagK+DagH+DagD,"Dag","Fri"))))</f>
        <v/>
      </c>
      <c r="J972" s="30">
        <f>IF(I972="Fri","Ja","")</f>
        <v/>
      </c>
      <c r="K972" s="30">
        <f>IF(B972="","",IF(L972="","Ukjent tekniker",IF(ISNA(MATCH(C972,Aktiviteter,0)),"Ukjent aktivitet",IF(AND(INDEX(AktRolle,MATCH(C972,Aktiviteter,0))&amp;""&lt;&gt;"",ISERROR(SEARCH(INDEX(AktRolle,MATCH(C972,Aktiviteter,0))&amp;"",INDEX(TekRoller,MATCH(B972,Teknikere,0))))),"Mangler rollen "&amp;INDEX(AktRolle,MATCH(C972,Aktiviteter,0))&amp;"",IF(AND(C972="LMS",F972&gt;0,OR(D972="",E972="")),"Mangler maskin eller arbeid",IF(AND(OR(C972="LMS",C972="Mod"),D972&lt;&gt;""),IF(IFERROR(INDEX(MaskinStatus,MATCH(D972,Maskiner,0)),"")="I dokk","","Maskinen er ikke i dokk"),""))))))</f>
        <v/>
      </c>
      <c r="L972" s="2">
        <f>IF(B972="","",IFERROR(INT((MATCH(B972,Teknikere,0)-1)/18)+1,""))</f>
        <v/>
      </c>
      <c r="M972" s="2">
        <f>IF(OR(A972="",B972=""),"",B972&amp;"|"&amp;A972)</f>
        <v/>
      </c>
      <c r="N972" s="2">
        <f>IF(M972="","",SUMIFS(TF_Timer,TF_Nokkel,M972,TF_Akt,C972))</f>
        <v/>
      </c>
      <c r="O972" s="2">
        <f>IF(M972="","",IF(AND(N972=_xlfn.MAXIFS(TF_AktSum,TF_Nokkel,M972),COUNTIFS(M$3:M971,M972,N$3:N971,N972)=0),M972,""))</f>
        <v/>
      </c>
    </row>
    <row r="973">
      <c r="A973" s="34" t="n"/>
      <c r="B973" s="35" t="n"/>
      <c r="C973" s="35" t="n"/>
      <c r="D973" s="35" t="n"/>
      <c r="E973" s="35" t="n"/>
      <c r="F973" s="36" t="n"/>
      <c r="G973" s="35" t="n"/>
      <c r="H973" s="30">
        <f>IF(L973="","",INDEX(SkiftNavn,L973))</f>
        <v/>
      </c>
      <c r="I973" s="30">
        <f>IF(OR(A973="",L973=""),"",IF(MOD(A973-INDEX(SkiftStart,L973),Syklus)&lt;DagK,"Kveld",IF(MOD(A973-INDEX(SkiftStart,L973),Syklus)&lt;DagK+DagH,"Helg",IF(MOD(A973-INDEX(SkiftStart,L973),Syklus)&lt;DagK+DagH+DagD,"Dag","Fri"))))</f>
        <v/>
      </c>
      <c r="J973" s="30">
        <f>IF(I973="Fri","Ja","")</f>
        <v/>
      </c>
      <c r="K973" s="30">
        <f>IF(B973="","",IF(L973="","Ukjent tekniker",IF(ISNA(MATCH(C973,Aktiviteter,0)),"Ukjent aktivitet",IF(AND(INDEX(AktRolle,MATCH(C973,Aktiviteter,0))&amp;""&lt;&gt;"",ISERROR(SEARCH(INDEX(AktRolle,MATCH(C973,Aktiviteter,0))&amp;"",INDEX(TekRoller,MATCH(B973,Teknikere,0))))),"Mangler rollen "&amp;INDEX(AktRolle,MATCH(C973,Aktiviteter,0))&amp;"",IF(AND(C973="LMS",F973&gt;0,OR(D973="",E973="")),"Mangler maskin eller arbeid",IF(AND(OR(C973="LMS",C973="Mod"),D973&lt;&gt;""),IF(IFERROR(INDEX(MaskinStatus,MATCH(D973,Maskiner,0)),"")="I dokk","","Maskinen er ikke i dokk"),""))))))</f>
        <v/>
      </c>
      <c r="L973" s="2">
        <f>IF(B973="","",IFERROR(INT((MATCH(B973,Teknikere,0)-1)/18)+1,""))</f>
        <v/>
      </c>
      <c r="M973" s="2">
        <f>IF(OR(A973="",B973=""),"",B973&amp;"|"&amp;A973)</f>
        <v/>
      </c>
      <c r="N973" s="2">
        <f>IF(M973="","",SUMIFS(TF_Timer,TF_Nokkel,M973,TF_Akt,C973))</f>
        <v/>
      </c>
      <c r="O973" s="2">
        <f>IF(M973="","",IF(AND(N973=_xlfn.MAXIFS(TF_AktSum,TF_Nokkel,M973),COUNTIFS(M$3:M972,M973,N$3:N972,N973)=0),M973,""))</f>
        <v/>
      </c>
    </row>
    <row r="974">
      <c r="A974" s="34" t="n"/>
      <c r="B974" s="35" t="n"/>
      <c r="C974" s="35" t="n"/>
      <c r="D974" s="35" t="n"/>
      <c r="E974" s="35" t="n"/>
      <c r="F974" s="36" t="n"/>
      <c r="G974" s="35" t="n"/>
      <c r="H974" s="30">
        <f>IF(L974="","",INDEX(SkiftNavn,L974))</f>
        <v/>
      </c>
      <c r="I974" s="30">
        <f>IF(OR(A974="",L974=""),"",IF(MOD(A974-INDEX(SkiftStart,L974),Syklus)&lt;DagK,"Kveld",IF(MOD(A974-INDEX(SkiftStart,L974),Syklus)&lt;DagK+DagH,"Helg",IF(MOD(A974-INDEX(SkiftStart,L974),Syklus)&lt;DagK+DagH+DagD,"Dag","Fri"))))</f>
        <v/>
      </c>
      <c r="J974" s="30">
        <f>IF(I974="Fri","Ja","")</f>
        <v/>
      </c>
      <c r="K974" s="30">
        <f>IF(B974="","",IF(L974="","Ukjent tekniker",IF(ISNA(MATCH(C974,Aktiviteter,0)),"Ukjent aktivitet",IF(AND(INDEX(AktRolle,MATCH(C974,Aktiviteter,0))&amp;""&lt;&gt;"",ISERROR(SEARCH(INDEX(AktRolle,MATCH(C974,Aktiviteter,0))&amp;"",INDEX(TekRoller,MATCH(B974,Teknikere,0))))),"Mangler rollen "&amp;INDEX(AktRolle,MATCH(C974,Aktiviteter,0))&amp;"",IF(AND(C974="LMS",F974&gt;0,OR(D974="",E974="")),"Mangler maskin eller arbeid",IF(AND(OR(C974="LMS",C974="Mod"),D974&lt;&gt;""),IF(IFERROR(INDEX(MaskinStatus,MATCH(D974,Maskiner,0)),"")="I dokk","","Maskinen er ikke i dokk"),""))))))</f>
        <v/>
      </c>
      <c r="L974" s="2">
        <f>IF(B974="","",IFERROR(INT((MATCH(B974,Teknikere,0)-1)/18)+1,""))</f>
        <v/>
      </c>
      <c r="M974" s="2">
        <f>IF(OR(A974="",B974=""),"",B974&amp;"|"&amp;A974)</f>
        <v/>
      </c>
      <c r="N974" s="2">
        <f>IF(M974="","",SUMIFS(TF_Timer,TF_Nokkel,M974,TF_Akt,C974))</f>
        <v/>
      </c>
      <c r="O974" s="2">
        <f>IF(M974="","",IF(AND(N974=_xlfn.MAXIFS(TF_AktSum,TF_Nokkel,M974),COUNTIFS(M$3:M973,M974,N$3:N973,N974)=0),M974,""))</f>
        <v/>
      </c>
    </row>
    <row r="975">
      <c r="A975" s="34" t="n"/>
      <c r="B975" s="35" t="n"/>
      <c r="C975" s="35" t="n"/>
      <c r="D975" s="35" t="n"/>
      <c r="E975" s="35" t="n"/>
      <c r="F975" s="36" t="n"/>
      <c r="G975" s="35" t="n"/>
      <c r="H975" s="30">
        <f>IF(L975="","",INDEX(SkiftNavn,L975))</f>
        <v/>
      </c>
      <c r="I975" s="30">
        <f>IF(OR(A975="",L975=""),"",IF(MOD(A975-INDEX(SkiftStart,L975),Syklus)&lt;DagK,"Kveld",IF(MOD(A975-INDEX(SkiftStart,L975),Syklus)&lt;DagK+DagH,"Helg",IF(MOD(A975-INDEX(SkiftStart,L975),Syklus)&lt;DagK+DagH+DagD,"Dag","Fri"))))</f>
        <v/>
      </c>
      <c r="J975" s="30">
        <f>IF(I975="Fri","Ja","")</f>
        <v/>
      </c>
      <c r="K975" s="30">
        <f>IF(B975="","",IF(L975="","Ukjent tekniker",IF(ISNA(MATCH(C975,Aktiviteter,0)),"Ukjent aktivitet",IF(AND(INDEX(AktRolle,MATCH(C975,Aktiviteter,0))&amp;""&lt;&gt;"",ISERROR(SEARCH(INDEX(AktRolle,MATCH(C975,Aktiviteter,0))&amp;"",INDEX(TekRoller,MATCH(B975,Teknikere,0))))),"Mangler rollen "&amp;INDEX(AktRolle,MATCH(C975,Aktiviteter,0))&amp;"",IF(AND(C975="LMS",F975&gt;0,OR(D975="",E975="")),"Mangler maskin eller arbeid",IF(AND(OR(C975="LMS",C975="Mod"),D975&lt;&gt;""),IF(IFERROR(INDEX(MaskinStatus,MATCH(D975,Maskiner,0)),"")="I dokk","","Maskinen er ikke i dokk"),""))))))</f>
        <v/>
      </c>
      <c r="L975" s="2">
        <f>IF(B975="","",IFERROR(INT((MATCH(B975,Teknikere,0)-1)/18)+1,""))</f>
        <v/>
      </c>
      <c r="M975" s="2">
        <f>IF(OR(A975="",B975=""),"",B975&amp;"|"&amp;A975)</f>
        <v/>
      </c>
      <c r="N975" s="2">
        <f>IF(M975="","",SUMIFS(TF_Timer,TF_Nokkel,M975,TF_Akt,C975))</f>
        <v/>
      </c>
      <c r="O975" s="2">
        <f>IF(M975="","",IF(AND(N975=_xlfn.MAXIFS(TF_AktSum,TF_Nokkel,M975),COUNTIFS(M$3:M974,M975,N$3:N974,N975)=0),M975,""))</f>
        <v/>
      </c>
    </row>
    <row r="976">
      <c r="A976" s="34" t="n"/>
      <c r="B976" s="35" t="n"/>
      <c r="C976" s="35" t="n"/>
      <c r="D976" s="35" t="n"/>
      <c r="E976" s="35" t="n"/>
      <c r="F976" s="36" t="n"/>
      <c r="G976" s="35" t="n"/>
      <c r="H976" s="30">
        <f>IF(L976="","",INDEX(SkiftNavn,L976))</f>
        <v/>
      </c>
      <c r="I976" s="30">
        <f>IF(OR(A976="",L976=""),"",IF(MOD(A976-INDEX(SkiftStart,L976),Syklus)&lt;DagK,"Kveld",IF(MOD(A976-INDEX(SkiftStart,L976),Syklus)&lt;DagK+DagH,"Helg",IF(MOD(A976-INDEX(SkiftStart,L976),Syklus)&lt;DagK+DagH+DagD,"Dag","Fri"))))</f>
        <v/>
      </c>
      <c r="J976" s="30">
        <f>IF(I976="Fri","Ja","")</f>
        <v/>
      </c>
      <c r="K976" s="30">
        <f>IF(B976="","",IF(L976="","Ukjent tekniker",IF(ISNA(MATCH(C976,Aktiviteter,0)),"Ukjent aktivitet",IF(AND(INDEX(AktRolle,MATCH(C976,Aktiviteter,0))&amp;""&lt;&gt;"",ISERROR(SEARCH(INDEX(AktRolle,MATCH(C976,Aktiviteter,0))&amp;"",INDEX(TekRoller,MATCH(B976,Teknikere,0))))),"Mangler rollen "&amp;INDEX(AktRolle,MATCH(C976,Aktiviteter,0))&amp;"",IF(AND(C976="LMS",F976&gt;0,OR(D976="",E976="")),"Mangler maskin eller arbeid",IF(AND(OR(C976="LMS",C976="Mod"),D976&lt;&gt;""),IF(IFERROR(INDEX(MaskinStatus,MATCH(D976,Maskiner,0)),"")="I dokk","","Maskinen er ikke i dokk"),""))))))</f>
        <v/>
      </c>
      <c r="L976" s="2">
        <f>IF(B976="","",IFERROR(INT((MATCH(B976,Teknikere,0)-1)/18)+1,""))</f>
        <v/>
      </c>
      <c r="M976" s="2">
        <f>IF(OR(A976="",B976=""),"",B976&amp;"|"&amp;A976)</f>
        <v/>
      </c>
      <c r="N976" s="2">
        <f>IF(M976="","",SUMIFS(TF_Timer,TF_Nokkel,M976,TF_Akt,C976))</f>
        <v/>
      </c>
      <c r="O976" s="2">
        <f>IF(M976="","",IF(AND(N976=_xlfn.MAXIFS(TF_AktSum,TF_Nokkel,M976),COUNTIFS(M$3:M975,M976,N$3:N975,N976)=0),M976,""))</f>
        <v/>
      </c>
    </row>
    <row r="977">
      <c r="A977" s="34" t="n"/>
      <c r="B977" s="35" t="n"/>
      <c r="C977" s="35" t="n"/>
      <c r="D977" s="35" t="n"/>
      <c r="E977" s="35" t="n"/>
      <c r="F977" s="36" t="n"/>
      <c r="G977" s="35" t="n"/>
      <c r="H977" s="30">
        <f>IF(L977="","",INDEX(SkiftNavn,L977))</f>
        <v/>
      </c>
      <c r="I977" s="30">
        <f>IF(OR(A977="",L977=""),"",IF(MOD(A977-INDEX(SkiftStart,L977),Syklus)&lt;DagK,"Kveld",IF(MOD(A977-INDEX(SkiftStart,L977),Syklus)&lt;DagK+DagH,"Helg",IF(MOD(A977-INDEX(SkiftStart,L977),Syklus)&lt;DagK+DagH+DagD,"Dag","Fri"))))</f>
        <v/>
      </c>
      <c r="J977" s="30">
        <f>IF(I977="Fri","Ja","")</f>
        <v/>
      </c>
      <c r="K977" s="30">
        <f>IF(B977="","",IF(L977="","Ukjent tekniker",IF(ISNA(MATCH(C977,Aktiviteter,0)),"Ukjent aktivitet",IF(AND(INDEX(AktRolle,MATCH(C977,Aktiviteter,0))&amp;""&lt;&gt;"",ISERROR(SEARCH(INDEX(AktRolle,MATCH(C977,Aktiviteter,0))&amp;"",INDEX(TekRoller,MATCH(B977,Teknikere,0))))),"Mangler rollen "&amp;INDEX(AktRolle,MATCH(C977,Aktiviteter,0))&amp;"",IF(AND(C977="LMS",F977&gt;0,OR(D977="",E977="")),"Mangler maskin eller arbeid",IF(AND(OR(C977="LMS",C977="Mod"),D977&lt;&gt;""),IF(IFERROR(INDEX(MaskinStatus,MATCH(D977,Maskiner,0)),"")="I dokk","","Maskinen er ikke i dokk"),""))))))</f>
        <v/>
      </c>
      <c r="L977" s="2">
        <f>IF(B977="","",IFERROR(INT((MATCH(B977,Teknikere,0)-1)/18)+1,""))</f>
        <v/>
      </c>
      <c r="M977" s="2">
        <f>IF(OR(A977="",B977=""),"",B977&amp;"|"&amp;A977)</f>
        <v/>
      </c>
      <c r="N977" s="2">
        <f>IF(M977="","",SUMIFS(TF_Timer,TF_Nokkel,M977,TF_Akt,C977))</f>
        <v/>
      </c>
      <c r="O977" s="2">
        <f>IF(M977="","",IF(AND(N977=_xlfn.MAXIFS(TF_AktSum,TF_Nokkel,M977),COUNTIFS(M$3:M976,M977,N$3:N976,N977)=0),M977,""))</f>
        <v/>
      </c>
    </row>
    <row r="978">
      <c r="A978" s="34" t="n"/>
      <c r="B978" s="35" t="n"/>
      <c r="C978" s="35" t="n"/>
      <c r="D978" s="35" t="n"/>
      <c r="E978" s="35" t="n"/>
      <c r="F978" s="36" t="n"/>
      <c r="G978" s="35" t="n"/>
      <c r="H978" s="30">
        <f>IF(L978="","",INDEX(SkiftNavn,L978))</f>
        <v/>
      </c>
      <c r="I978" s="30">
        <f>IF(OR(A978="",L978=""),"",IF(MOD(A978-INDEX(SkiftStart,L978),Syklus)&lt;DagK,"Kveld",IF(MOD(A978-INDEX(SkiftStart,L978),Syklus)&lt;DagK+DagH,"Helg",IF(MOD(A978-INDEX(SkiftStart,L978),Syklus)&lt;DagK+DagH+DagD,"Dag","Fri"))))</f>
        <v/>
      </c>
      <c r="J978" s="30">
        <f>IF(I978="Fri","Ja","")</f>
        <v/>
      </c>
      <c r="K978" s="30">
        <f>IF(B978="","",IF(L978="","Ukjent tekniker",IF(ISNA(MATCH(C978,Aktiviteter,0)),"Ukjent aktivitet",IF(AND(INDEX(AktRolle,MATCH(C978,Aktiviteter,0))&amp;""&lt;&gt;"",ISERROR(SEARCH(INDEX(AktRolle,MATCH(C978,Aktiviteter,0))&amp;"",INDEX(TekRoller,MATCH(B978,Teknikere,0))))),"Mangler rollen "&amp;INDEX(AktRolle,MATCH(C978,Aktiviteter,0))&amp;"",IF(AND(C978="LMS",F978&gt;0,OR(D978="",E978="")),"Mangler maskin eller arbeid",IF(AND(OR(C978="LMS",C978="Mod"),D978&lt;&gt;""),IF(IFERROR(INDEX(MaskinStatus,MATCH(D978,Maskiner,0)),"")="I dokk","","Maskinen er ikke i dokk"),""))))))</f>
        <v/>
      </c>
      <c r="L978" s="2">
        <f>IF(B978="","",IFERROR(INT((MATCH(B978,Teknikere,0)-1)/18)+1,""))</f>
        <v/>
      </c>
      <c r="M978" s="2">
        <f>IF(OR(A978="",B978=""),"",B978&amp;"|"&amp;A978)</f>
        <v/>
      </c>
      <c r="N978" s="2">
        <f>IF(M978="","",SUMIFS(TF_Timer,TF_Nokkel,M978,TF_Akt,C978))</f>
        <v/>
      </c>
      <c r="O978" s="2">
        <f>IF(M978="","",IF(AND(N978=_xlfn.MAXIFS(TF_AktSum,TF_Nokkel,M978),COUNTIFS(M$3:M977,M978,N$3:N977,N978)=0),M978,""))</f>
        <v/>
      </c>
    </row>
    <row r="979">
      <c r="A979" s="34" t="n"/>
      <c r="B979" s="35" t="n"/>
      <c r="C979" s="35" t="n"/>
      <c r="D979" s="35" t="n"/>
      <c r="E979" s="35" t="n"/>
      <c r="F979" s="36" t="n"/>
      <c r="G979" s="35" t="n"/>
      <c r="H979" s="30">
        <f>IF(L979="","",INDEX(SkiftNavn,L979))</f>
        <v/>
      </c>
      <c r="I979" s="30">
        <f>IF(OR(A979="",L979=""),"",IF(MOD(A979-INDEX(SkiftStart,L979),Syklus)&lt;DagK,"Kveld",IF(MOD(A979-INDEX(SkiftStart,L979),Syklus)&lt;DagK+DagH,"Helg",IF(MOD(A979-INDEX(SkiftStart,L979),Syklus)&lt;DagK+DagH+DagD,"Dag","Fri"))))</f>
        <v/>
      </c>
      <c r="J979" s="30">
        <f>IF(I979="Fri","Ja","")</f>
        <v/>
      </c>
      <c r="K979" s="30">
        <f>IF(B979="","",IF(L979="","Ukjent tekniker",IF(ISNA(MATCH(C979,Aktiviteter,0)),"Ukjent aktivitet",IF(AND(INDEX(AktRolle,MATCH(C979,Aktiviteter,0))&amp;""&lt;&gt;"",ISERROR(SEARCH(INDEX(AktRolle,MATCH(C979,Aktiviteter,0))&amp;"",INDEX(TekRoller,MATCH(B979,Teknikere,0))))),"Mangler rollen "&amp;INDEX(AktRolle,MATCH(C979,Aktiviteter,0))&amp;"",IF(AND(C979="LMS",F979&gt;0,OR(D979="",E979="")),"Mangler maskin eller arbeid",IF(AND(OR(C979="LMS",C979="Mod"),D979&lt;&gt;""),IF(IFERROR(INDEX(MaskinStatus,MATCH(D979,Maskiner,0)),"")="I dokk","","Maskinen er ikke i dokk"),""))))))</f>
        <v/>
      </c>
      <c r="L979" s="2">
        <f>IF(B979="","",IFERROR(INT((MATCH(B979,Teknikere,0)-1)/18)+1,""))</f>
        <v/>
      </c>
      <c r="M979" s="2">
        <f>IF(OR(A979="",B979=""),"",B979&amp;"|"&amp;A979)</f>
        <v/>
      </c>
      <c r="N979" s="2">
        <f>IF(M979="","",SUMIFS(TF_Timer,TF_Nokkel,M979,TF_Akt,C979))</f>
        <v/>
      </c>
      <c r="O979" s="2">
        <f>IF(M979="","",IF(AND(N979=_xlfn.MAXIFS(TF_AktSum,TF_Nokkel,M979),COUNTIFS(M$3:M978,M979,N$3:N978,N979)=0),M979,""))</f>
        <v/>
      </c>
    </row>
    <row r="980">
      <c r="A980" s="34" t="n"/>
      <c r="B980" s="35" t="n"/>
      <c r="C980" s="35" t="n"/>
      <c r="D980" s="35" t="n"/>
      <c r="E980" s="35" t="n"/>
      <c r="F980" s="36" t="n"/>
      <c r="G980" s="35" t="n"/>
      <c r="H980" s="30">
        <f>IF(L980="","",INDEX(SkiftNavn,L980))</f>
        <v/>
      </c>
      <c r="I980" s="30">
        <f>IF(OR(A980="",L980=""),"",IF(MOD(A980-INDEX(SkiftStart,L980),Syklus)&lt;DagK,"Kveld",IF(MOD(A980-INDEX(SkiftStart,L980),Syklus)&lt;DagK+DagH,"Helg",IF(MOD(A980-INDEX(SkiftStart,L980),Syklus)&lt;DagK+DagH+DagD,"Dag","Fri"))))</f>
        <v/>
      </c>
      <c r="J980" s="30">
        <f>IF(I980="Fri","Ja","")</f>
        <v/>
      </c>
      <c r="K980" s="30">
        <f>IF(B980="","",IF(L980="","Ukjent tekniker",IF(ISNA(MATCH(C980,Aktiviteter,0)),"Ukjent aktivitet",IF(AND(INDEX(AktRolle,MATCH(C980,Aktiviteter,0))&amp;""&lt;&gt;"",ISERROR(SEARCH(INDEX(AktRolle,MATCH(C980,Aktiviteter,0))&amp;"",INDEX(TekRoller,MATCH(B980,Teknikere,0))))),"Mangler rollen "&amp;INDEX(AktRolle,MATCH(C980,Aktiviteter,0))&amp;"",IF(AND(C980="LMS",F980&gt;0,OR(D980="",E980="")),"Mangler maskin eller arbeid",IF(AND(OR(C980="LMS",C980="Mod"),D980&lt;&gt;""),IF(IFERROR(INDEX(MaskinStatus,MATCH(D980,Maskiner,0)),"")="I dokk","","Maskinen er ikke i dokk"),""))))))</f>
        <v/>
      </c>
      <c r="L980" s="2">
        <f>IF(B980="","",IFERROR(INT((MATCH(B980,Teknikere,0)-1)/18)+1,""))</f>
        <v/>
      </c>
      <c r="M980" s="2">
        <f>IF(OR(A980="",B980=""),"",B980&amp;"|"&amp;A980)</f>
        <v/>
      </c>
      <c r="N980" s="2">
        <f>IF(M980="","",SUMIFS(TF_Timer,TF_Nokkel,M980,TF_Akt,C980))</f>
        <v/>
      </c>
      <c r="O980" s="2">
        <f>IF(M980="","",IF(AND(N980=_xlfn.MAXIFS(TF_AktSum,TF_Nokkel,M980),COUNTIFS(M$3:M979,M980,N$3:N979,N980)=0),M980,""))</f>
        <v/>
      </c>
    </row>
    <row r="981">
      <c r="A981" s="34" t="n"/>
      <c r="B981" s="35" t="n"/>
      <c r="C981" s="35" t="n"/>
      <c r="D981" s="35" t="n"/>
      <c r="E981" s="35" t="n"/>
      <c r="F981" s="36" t="n"/>
      <c r="G981" s="35" t="n"/>
      <c r="H981" s="30">
        <f>IF(L981="","",INDEX(SkiftNavn,L981))</f>
        <v/>
      </c>
      <c r="I981" s="30">
        <f>IF(OR(A981="",L981=""),"",IF(MOD(A981-INDEX(SkiftStart,L981),Syklus)&lt;DagK,"Kveld",IF(MOD(A981-INDEX(SkiftStart,L981),Syklus)&lt;DagK+DagH,"Helg",IF(MOD(A981-INDEX(SkiftStart,L981),Syklus)&lt;DagK+DagH+DagD,"Dag","Fri"))))</f>
        <v/>
      </c>
      <c r="J981" s="30">
        <f>IF(I981="Fri","Ja","")</f>
        <v/>
      </c>
      <c r="K981" s="30">
        <f>IF(B981="","",IF(L981="","Ukjent tekniker",IF(ISNA(MATCH(C981,Aktiviteter,0)),"Ukjent aktivitet",IF(AND(INDEX(AktRolle,MATCH(C981,Aktiviteter,0))&amp;""&lt;&gt;"",ISERROR(SEARCH(INDEX(AktRolle,MATCH(C981,Aktiviteter,0))&amp;"",INDEX(TekRoller,MATCH(B981,Teknikere,0))))),"Mangler rollen "&amp;INDEX(AktRolle,MATCH(C981,Aktiviteter,0))&amp;"",IF(AND(C981="LMS",F981&gt;0,OR(D981="",E981="")),"Mangler maskin eller arbeid",IF(AND(OR(C981="LMS",C981="Mod"),D981&lt;&gt;""),IF(IFERROR(INDEX(MaskinStatus,MATCH(D981,Maskiner,0)),"")="I dokk","","Maskinen er ikke i dokk"),""))))))</f>
        <v/>
      </c>
      <c r="L981" s="2">
        <f>IF(B981="","",IFERROR(INT((MATCH(B981,Teknikere,0)-1)/18)+1,""))</f>
        <v/>
      </c>
      <c r="M981" s="2">
        <f>IF(OR(A981="",B981=""),"",B981&amp;"|"&amp;A981)</f>
        <v/>
      </c>
      <c r="N981" s="2">
        <f>IF(M981="","",SUMIFS(TF_Timer,TF_Nokkel,M981,TF_Akt,C981))</f>
        <v/>
      </c>
      <c r="O981" s="2">
        <f>IF(M981="","",IF(AND(N981=_xlfn.MAXIFS(TF_AktSum,TF_Nokkel,M981),COUNTIFS(M$3:M980,M981,N$3:N980,N981)=0),M981,""))</f>
        <v/>
      </c>
    </row>
    <row r="982">
      <c r="A982" s="34" t="n"/>
      <c r="B982" s="35" t="n"/>
      <c r="C982" s="35" t="n"/>
      <c r="D982" s="35" t="n"/>
      <c r="E982" s="35" t="n"/>
      <c r="F982" s="36" t="n"/>
      <c r="G982" s="35" t="n"/>
      <c r="H982" s="30">
        <f>IF(L982="","",INDEX(SkiftNavn,L982))</f>
        <v/>
      </c>
      <c r="I982" s="30">
        <f>IF(OR(A982="",L982=""),"",IF(MOD(A982-INDEX(SkiftStart,L982),Syklus)&lt;DagK,"Kveld",IF(MOD(A982-INDEX(SkiftStart,L982),Syklus)&lt;DagK+DagH,"Helg",IF(MOD(A982-INDEX(SkiftStart,L982),Syklus)&lt;DagK+DagH+DagD,"Dag","Fri"))))</f>
        <v/>
      </c>
      <c r="J982" s="30">
        <f>IF(I982="Fri","Ja","")</f>
        <v/>
      </c>
      <c r="K982" s="30">
        <f>IF(B982="","",IF(L982="","Ukjent tekniker",IF(ISNA(MATCH(C982,Aktiviteter,0)),"Ukjent aktivitet",IF(AND(INDEX(AktRolle,MATCH(C982,Aktiviteter,0))&amp;""&lt;&gt;"",ISERROR(SEARCH(INDEX(AktRolle,MATCH(C982,Aktiviteter,0))&amp;"",INDEX(TekRoller,MATCH(B982,Teknikere,0))))),"Mangler rollen "&amp;INDEX(AktRolle,MATCH(C982,Aktiviteter,0))&amp;"",IF(AND(C982="LMS",F982&gt;0,OR(D982="",E982="")),"Mangler maskin eller arbeid",IF(AND(OR(C982="LMS",C982="Mod"),D982&lt;&gt;""),IF(IFERROR(INDEX(MaskinStatus,MATCH(D982,Maskiner,0)),"")="I dokk","","Maskinen er ikke i dokk"),""))))))</f>
        <v/>
      </c>
      <c r="L982" s="2">
        <f>IF(B982="","",IFERROR(INT((MATCH(B982,Teknikere,0)-1)/18)+1,""))</f>
        <v/>
      </c>
      <c r="M982" s="2">
        <f>IF(OR(A982="",B982=""),"",B982&amp;"|"&amp;A982)</f>
        <v/>
      </c>
      <c r="N982" s="2">
        <f>IF(M982="","",SUMIFS(TF_Timer,TF_Nokkel,M982,TF_Akt,C982))</f>
        <v/>
      </c>
      <c r="O982" s="2">
        <f>IF(M982="","",IF(AND(N982=_xlfn.MAXIFS(TF_AktSum,TF_Nokkel,M982),COUNTIFS(M$3:M981,M982,N$3:N981,N982)=0),M982,""))</f>
        <v/>
      </c>
    </row>
    <row r="983">
      <c r="A983" s="34" t="n"/>
      <c r="B983" s="35" t="n"/>
      <c r="C983" s="35" t="n"/>
      <c r="D983" s="35" t="n"/>
      <c r="E983" s="35" t="n"/>
      <c r="F983" s="36" t="n"/>
      <c r="G983" s="35" t="n"/>
      <c r="H983" s="30">
        <f>IF(L983="","",INDEX(SkiftNavn,L983))</f>
        <v/>
      </c>
      <c r="I983" s="30">
        <f>IF(OR(A983="",L983=""),"",IF(MOD(A983-INDEX(SkiftStart,L983),Syklus)&lt;DagK,"Kveld",IF(MOD(A983-INDEX(SkiftStart,L983),Syklus)&lt;DagK+DagH,"Helg",IF(MOD(A983-INDEX(SkiftStart,L983),Syklus)&lt;DagK+DagH+DagD,"Dag","Fri"))))</f>
        <v/>
      </c>
      <c r="J983" s="30">
        <f>IF(I983="Fri","Ja","")</f>
        <v/>
      </c>
      <c r="K983" s="30">
        <f>IF(B983="","",IF(L983="","Ukjent tekniker",IF(ISNA(MATCH(C983,Aktiviteter,0)),"Ukjent aktivitet",IF(AND(INDEX(AktRolle,MATCH(C983,Aktiviteter,0))&amp;""&lt;&gt;"",ISERROR(SEARCH(INDEX(AktRolle,MATCH(C983,Aktiviteter,0))&amp;"",INDEX(TekRoller,MATCH(B983,Teknikere,0))))),"Mangler rollen "&amp;INDEX(AktRolle,MATCH(C983,Aktiviteter,0))&amp;"",IF(AND(C983="LMS",F983&gt;0,OR(D983="",E983="")),"Mangler maskin eller arbeid",IF(AND(OR(C983="LMS",C983="Mod"),D983&lt;&gt;""),IF(IFERROR(INDEX(MaskinStatus,MATCH(D983,Maskiner,0)),"")="I dokk","","Maskinen er ikke i dokk"),""))))))</f>
        <v/>
      </c>
      <c r="L983" s="2">
        <f>IF(B983="","",IFERROR(INT((MATCH(B983,Teknikere,0)-1)/18)+1,""))</f>
        <v/>
      </c>
      <c r="M983" s="2">
        <f>IF(OR(A983="",B983=""),"",B983&amp;"|"&amp;A983)</f>
        <v/>
      </c>
      <c r="N983" s="2">
        <f>IF(M983="","",SUMIFS(TF_Timer,TF_Nokkel,M983,TF_Akt,C983))</f>
        <v/>
      </c>
      <c r="O983" s="2">
        <f>IF(M983="","",IF(AND(N983=_xlfn.MAXIFS(TF_AktSum,TF_Nokkel,M983),COUNTIFS(M$3:M982,M983,N$3:N982,N983)=0),M983,""))</f>
        <v/>
      </c>
    </row>
    <row r="984">
      <c r="A984" s="34" t="n"/>
      <c r="B984" s="35" t="n"/>
      <c r="C984" s="35" t="n"/>
      <c r="D984" s="35" t="n"/>
      <c r="E984" s="35" t="n"/>
      <c r="F984" s="36" t="n"/>
      <c r="G984" s="35" t="n"/>
      <c r="H984" s="30">
        <f>IF(L984="","",INDEX(SkiftNavn,L984))</f>
        <v/>
      </c>
      <c r="I984" s="30">
        <f>IF(OR(A984="",L984=""),"",IF(MOD(A984-INDEX(SkiftStart,L984),Syklus)&lt;DagK,"Kveld",IF(MOD(A984-INDEX(SkiftStart,L984),Syklus)&lt;DagK+DagH,"Helg",IF(MOD(A984-INDEX(SkiftStart,L984),Syklus)&lt;DagK+DagH+DagD,"Dag","Fri"))))</f>
        <v/>
      </c>
      <c r="J984" s="30">
        <f>IF(I984="Fri","Ja","")</f>
        <v/>
      </c>
      <c r="K984" s="30">
        <f>IF(B984="","",IF(L984="","Ukjent tekniker",IF(ISNA(MATCH(C984,Aktiviteter,0)),"Ukjent aktivitet",IF(AND(INDEX(AktRolle,MATCH(C984,Aktiviteter,0))&amp;""&lt;&gt;"",ISERROR(SEARCH(INDEX(AktRolle,MATCH(C984,Aktiviteter,0))&amp;"",INDEX(TekRoller,MATCH(B984,Teknikere,0))))),"Mangler rollen "&amp;INDEX(AktRolle,MATCH(C984,Aktiviteter,0))&amp;"",IF(AND(C984="LMS",F984&gt;0,OR(D984="",E984="")),"Mangler maskin eller arbeid",IF(AND(OR(C984="LMS",C984="Mod"),D984&lt;&gt;""),IF(IFERROR(INDEX(MaskinStatus,MATCH(D984,Maskiner,0)),"")="I dokk","","Maskinen er ikke i dokk"),""))))))</f>
        <v/>
      </c>
      <c r="L984" s="2">
        <f>IF(B984="","",IFERROR(INT((MATCH(B984,Teknikere,0)-1)/18)+1,""))</f>
        <v/>
      </c>
      <c r="M984" s="2">
        <f>IF(OR(A984="",B984=""),"",B984&amp;"|"&amp;A984)</f>
        <v/>
      </c>
      <c r="N984" s="2">
        <f>IF(M984="","",SUMIFS(TF_Timer,TF_Nokkel,M984,TF_Akt,C984))</f>
        <v/>
      </c>
      <c r="O984" s="2">
        <f>IF(M984="","",IF(AND(N984=_xlfn.MAXIFS(TF_AktSum,TF_Nokkel,M984),COUNTIFS(M$3:M983,M984,N$3:N983,N984)=0),M984,""))</f>
        <v/>
      </c>
    </row>
    <row r="985">
      <c r="A985" s="34" t="n"/>
      <c r="B985" s="35" t="n"/>
      <c r="C985" s="35" t="n"/>
      <c r="D985" s="35" t="n"/>
      <c r="E985" s="35" t="n"/>
      <c r="F985" s="36" t="n"/>
      <c r="G985" s="35" t="n"/>
      <c r="H985" s="30">
        <f>IF(L985="","",INDEX(SkiftNavn,L985))</f>
        <v/>
      </c>
      <c r="I985" s="30">
        <f>IF(OR(A985="",L985=""),"",IF(MOD(A985-INDEX(SkiftStart,L985),Syklus)&lt;DagK,"Kveld",IF(MOD(A985-INDEX(SkiftStart,L985),Syklus)&lt;DagK+DagH,"Helg",IF(MOD(A985-INDEX(SkiftStart,L985),Syklus)&lt;DagK+DagH+DagD,"Dag","Fri"))))</f>
        <v/>
      </c>
      <c r="J985" s="30">
        <f>IF(I985="Fri","Ja","")</f>
        <v/>
      </c>
      <c r="K985" s="30">
        <f>IF(B985="","",IF(L985="","Ukjent tekniker",IF(ISNA(MATCH(C985,Aktiviteter,0)),"Ukjent aktivitet",IF(AND(INDEX(AktRolle,MATCH(C985,Aktiviteter,0))&amp;""&lt;&gt;"",ISERROR(SEARCH(INDEX(AktRolle,MATCH(C985,Aktiviteter,0))&amp;"",INDEX(TekRoller,MATCH(B985,Teknikere,0))))),"Mangler rollen "&amp;INDEX(AktRolle,MATCH(C985,Aktiviteter,0))&amp;"",IF(AND(C985="LMS",F985&gt;0,OR(D985="",E985="")),"Mangler maskin eller arbeid",IF(AND(OR(C985="LMS",C985="Mod"),D985&lt;&gt;""),IF(IFERROR(INDEX(MaskinStatus,MATCH(D985,Maskiner,0)),"")="I dokk","","Maskinen er ikke i dokk"),""))))))</f>
        <v/>
      </c>
      <c r="L985" s="2">
        <f>IF(B985="","",IFERROR(INT((MATCH(B985,Teknikere,0)-1)/18)+1,""))</f>
        <v/>
      </c>
      <c r="M985" s="2">
        <f>IF(OR(A985="",B985=""),"",B985&amp;"|"&amp;A985)</f>
        <v/>
      </c>
      <c r="N985" s="2">
        <f>IF(M985="","",SUMIFS(TF_Timer,TF_Nokkel,M985,TF_Akt,C985))</f>
        <v/>
      </c>
      <c r="O985" s="2">
        <f>IF(M985="","",IF(AND(N985=_xlfn.MAXIFS(TF_AktSum,TF_Nokkel,M985),COUNTIFS(M$3:M984,M985,N$3:N984,N985)=0),M985,""))</f>
        <v/>
      </c>
    </row>
    <row r="986">
      <c r="A986" s="34" t="n"/>
      <c r="B986" s="35" t="n"/>
      <c r="C986" s="35" t="n"/>
      <c r="D986" s="35" t="n"/>
      <c r="E986" s="35" t="n"/>
      <c r="F986" s="36" t="n"/>
      <c r="G986" s="35" t="n"/>
      <c r="H986" s="30">
        <f>IF(L986="","",INDEX(SkiftNavn,L986))</f>
        <v/>
      </c>
      <c r="I986" s="30">
        <f>IF(OR(A986="",L986=""),"",IF(MOD(A986-INDEX(SkiftStart,L986),Syklus)&lt;DagK,"Kveld",IF(MOD(A986-INDEX(SkiftStart,L986),Syklus)&lt;DagK+DagH,"Helg",IF(MOD(A986-INDEX(SkiftStart,L986),Syklus)&lt;DagK+DagH+DagD,"Dag","Fri"))))</f>
        <v/>
      </c>
      <c r="J986" s="30">
        <f>IF(I986="Fri","Ja","")</f>
        <v/>
      </c>
      <c r="K986" s="30">
        <f>IF(B986="","",IF(L986="","Ukjent tekniker",IF(ISNA(MATCH(C986,Aktiviteter,0)),"Ukjent aktivitet",IF(AND(INDEX(AktRolle,MATCH(C986,Aktiviteter,0))&amp;""&lt;&gt;"",ISERROR(SEARCH(INDEX(AktRolle,MATCH(C986,Aktiviteter,0))&amp;"",INDEX(TekRoller,MATCH(B986,Teknikere,0))))),"Mangler rollen "&amp;INDEX(AktRolle,MATCH(C986,Aktiviteter,0))&amp;"",IF(AND(C986="LMS",F986&gt;0,OR(D986="",E986="")),"Mangler maskin eller arbeid",IF(AND(OR(C986="LMS",C986="Mod"),D986&lt;&gt;""),IF(IFERROR(INDEX(MaskinStatus,MATCH(D986,Maskiner,0)),"")="I dokk","","Maskinen er ikke i dokk"),""))))))</f>
        <v/>
      </c>
      <c r="L986" s="2">
        <f>IF(B986="","",IFERROR(INT((MATCH(B986,Teknikere,0)-1)/18)+1,""))</f>
        <v/>
      </c>
      <c r="M986" s="2">
        <f>IF(OR(A986="",B986=""),"",B986&amp;"|"&amp;A986)</f>
        <v/>
      </c>
      <c r="N986" s="2">
        <f>IF(M986="","",SUMIFS(TF_Timer,TF_Nokkel,M986,TF_Akt,C986))</f>
        <v/>
      </c>
      <c r="O986" s="2">
        <f>IF(M986="","",IF(AND(N986=_xlfn.MAXIFS(TF_AktSum,TF_Nokkel,M986),COUNTIFS(M$3:M985,M986,N$3:N985,N986)=0),M986,""))</f>
        <v/>
      </c>
    </row>
    <row r="987">
      <c r="A987" s="34" t="n"/>
      <c r="B987" s="35" t="n"/>
      <c r="C987" s="35" t="n"/>
      <c r="D987" s="35" t="n"/>
      <c r="E987" s="35" t="n"/>
      <c r="F987" s="36" t="n"/>
      <c r="G987" s="35" t="n"/>
      <c r="H987" s="30">
        <f>IF(L987="","",INDEX(SkiftNavn,L987))</f>
        <v/>
      </c>
      <c r="I987" s="30">
        <f>IF(OR(A987="",L987=""),"",IF(MOD(A987-INDEX(SkiftStart,L987),Syklus)&lt;DagK,"Kveld",IF(MOD(A987-INDEX(SkiftStart,L987),Syklus)&lt;DagK+DagH,"Helg",IF(MOD(A987-INDEX(SkiftStart,L987),Syklus)&lt;DagK+DagH+DagD,"Dag","Fri"))))</f>
        <v/>
      </c>
      <c r="J987" s="30">
        <f>IF(I987="Fri","Ja","")</f>
        <v/>
      </c>
      <c r="K987" s="30">
        <f>IF(B987="","",IF(L987="","Ukjent tekniker",IF(ISNA(MATCH(C987,Aktiviteter,0)),"Ukjent aktivitet",IF(AND(INDEX(AktRolle,MATCH(C987,Aktiviteter,0))&amp;""&lt;&gt;"",ISERROR(SEARCH(INDEX(AktRolle,MATCH(C987,Aktiviteter,0))&amp;"",INDEX(TekRoller,MATCH(B987,Teknikere,0))))),"Mangler rollen "&amp;INDEX(AktRolle,MATCH(C987,Aktiviteter,0))&amp;"",IF(AND(C987="LMS",F987&gt;0,OR(D987="",E987="")),"Mangler maskin eller arbeid",IF(AND(OR(C987="LMS",C987="Mod"),D987&lt;&gt;""),IF(IFERROR(INDEX(MaskinStatus,MATCH(D987,Maskiner,0)),"")="I dokk","","Maskinen er ikke i dokk"),""))))))</f>
        <v/>
      </c>
      <c r="L987" s="2">
        <f>IF(B987="","",IFERROR(INT((MATCH(B987,Teknikere,0)-1)/18)+1,""))</f>
        <v/>
      </c>
      <c r="M987" s="2">
        <f>IF(OR(A987="",B987=""),"",B987&amp;"|"&amp;A987)</f>
        <v/>
      </c>
      <c r="N987" s="2">
        <f>IF(M987="","",SUMIFS(TF_Timer,TF_Nokkel,M987,TF_Akt,C987))</f>
        <v/>
      </c>
      <c r="O987" s="2">
        <f>IF(M987="","",IF(AND(N987=_xlfn.MAXIFS(TF_AktSum,TF_Nokkel,M987),COUNTIFS(M$3:M986,M987,N$3:N986,N987)=0),M987,""))</f>
        <v/>
      </c>
    </row>
    <row r="988">
      <c r="A988" s="34" t="n"/>
      <c r="B988" s="35" t="n"/>
      <c r="C988" s="35" t="n"/>
      <c r="D988" s="35" t="n"/>
      <c r="E988" s="35" t="n"/>
      <c r="F988" s="36" t="n"/>
      <c r="G988" s="35" t="n"/>
      <c r="H988" s="30">
        <f>IF(L988="","",INDEX(SkiftNavn,L988))</f>
        <v/>
      </c>
      <c r="I988" s="30">
        <f>IF(OR(A988="",L988=""),"",IF(MOD(A988-INDEX(SkiftStart,L988),Syklus)&lt;DagK,"Kveld",IF(MOD(A988-INDEX(SkiftStart,L988),Syklus)&lt;DagK+DagH,"Helg",IF(MOD(A988-INDEX(SkiftStart,L988),Syklus)&lt;DagK+DagH+DagD,"Dag","Fri"))))</f>
        <v/>
      </c>
      <c r="J988" s="30">
        <f>IF(I988="Fri","Ja","")</f>
        <v/>
      </c>
      <c r="K988" s="30">
        <f>IF(B988="","",IF(L988="","Ukjent tekniker",IF(ISNA(MATCH(C988,Aktiviteter,0)),"Ukjent aktivitet",IF(AND(INDEX(AktRolle,MATCH(C988,Aktiviteter,0))&amp;""&lt;&gt;"",ISERROR(SEARCH(INDEX(AktRolle,MATCH(C988,Aktiviteter,0))&amp;"",INDEX(TekRoller,MATCH(B988,Teknikere,0))))),"Mangler rollen "&amp;INDEX(AktRolle,MATCH(C988,Aktiviteter,0))&amp;"",IF(AND(C988="LMS",F988&gt;0,OR(D988="",E988="")),"Mangler maskin eller arbeid",IF(AND(OR(C988="LMS",C988="Mod"),D988&lt;&gt;""),IF(IFERROR(INDEX(MaskinStatus,MATCH(D988,Maskiner,0)),"")="I dokk","","Maskinen er ikke i dokk"),""))))))</f>
        <v/>
      </c>
      <c r="L988" s="2">
        <f>IF(B988="","",IFERROR(INT((MATCH(B988,Teknikere,0)-1)/18)+1,""))</f>
        <v/>
      </c>
      <c r="M988" s="2">
        <f>IF(OR(A988="",B988=""),"",B988&amp;"|"&amp;A988)</f>
        <v/>
      </c>
      <c r="N988" s="2">
        <f>IF(M988="","",SUMIFS(TF_Timer,TF_Nokkel,M988,TF_Akt,C988))</f>
        <v/>
      </c>
      <c r="O988" s="2">
        <f>IF(M988="","",IF(AND(N988=_xlfn.MAXIFS(TF_AktSum,TF_Nokkel,M988),COUNTIFS(M$3:M987,M988,N$3:N987,N988)=0),M988,""))</f>
        <v/>
      </c>
    </row>
    <row r="989">
      <c r="A989" s="34" t="n"/>
      <c r="B989" s="35" t="n"/>
      <c r="C989" s="35" t="n"/>
      <c r="D989" s="35" t="n"/>
      <c r="E989" s="35" t="n"/>
      <c r="F989" s="36" t="n"/>
      <c r="G989" s="35" t="n"/>
      <c r="H989" s="30">
        <f>IF(L989="","",INDEX(SkiftNavn,L989))</f>
        <v/>
      </c>
      <c r="I989" s="30">
        <f>IF(OR(A989="",L989=""),"",IF(MOD(A989-INDEX(SkiftStart,L989),Syklus)&lt;DagK,"Kveld",IF(MOD(A989-INDEX(SkiftStart,L989),Syklus)&lt;DagK+DagH,"Helg",IF(MOD(A989-INDEX(SkiftStart,L989),Syklus)&lt;DagK+DagH+DagD,"Dag","Fri"))))</f>
        <v/>
      </c>
      <c r="J989" s="30">
        <f>IF(I989="Fri","Ja","")</f>
        <v/>
      </c>
      <c r="K989" s="30">
        <f>IF(B989="","",IF(L989="","Ukjent tekniker",IF(ISNA(MATCH(C989,Aktiviteter,0)),"Ukjent aktivitet",IF(AND(INDEX(AktRolle,MATCH(C989,Aktiviteter,0))&amp;""&lt;&gt;"",ISERROR(SEARCH(INDEX(AktRolle,MATCH(C989,Aktiviteter,0))&amp;"",INDEX(TekRoller,MATCH(B989,Teknikere,0))))),"Mangler rollen "&amp;INDEX(AktRolle,MATCH(C989,Aktiviteter,0))&amp;"",IF(AND(C989="LMS",F989&gt;0,OR(D989="",E989="")),"Mangler maskin eller arbeid",IF(AND(OR(C989="LMS",C989="Mod"),D989&lt;&gt;""),IF(IFERROR(INDEX(MaskinStatus,MATCH(D989,Maskiner,0)),"")="I dokk","","Maskinen er ikke i dokk"),""))))))</f>
        <v/>
      </c>
      <c r="L989" s="2">
        <f>IF(B989="","",IFERROR(INT((MATCH(B989,Teknikere,0)-1)/18)+1,""))</f>
        <v/>
      </c>
      <c r="M989" s="2">
        <f>IF(OR(A989="",B989=""),"",B989&amp;"|"&amp;A989)</f>
        <v/>
      </c>
      <c r="N989" s="2">
        <f>IF(M989="","",SUMIFS(TF_Timer,TF_Nokkel,M989,TF_Akt,C989))</f>
        <v/>
      </c>
      <c r="O989" s="2">
        <f>IF(M989="","",IF(AND(N989=_xlfn.MAXIFS(TF_AktSum,TF_Nokkel,M989),COUNTIFS(M$3:M988,M989,N$3:N988,N989)=0),M989,""))</f>
        <v/>
      </c>
    </row>
    <row r="990">
      <c r="A990" s="34" t="n"/>
      <c r="B990" s="35" t="n"/>
      <c r="C990" s="35" t="n"/>
      <c r="D990" s="35" t="n"/>
      <c r="E990" s="35" t="n"/>
      <c r="F990" s="36" t="n"/>
      <c r="G990" s="35" t="n"/>
      <c r="H990" s="30">
        <f>IF(L990="","",INDEX(SkiftNavn,L990))</f>
        <v/>
      </c>
      <c r="I990" s="30">
        <f>IF(OR(A990="",L990=""),"",IF(MOD(A990-INDEX(SkiftStart,L990),Syklus)&lt;DagK,"Kveld",IF(MOD(A990-INDEX(SkiftStart,L990),Syklus)&lt;DagK+DagH,"Helg",IF(MOD(A990-INDEX(SkiftStart,L990),Syklus)&lt;DagK+DagH+DagD,"Dag","Fri"))))</f>
        <v/>
      </c>
      <c r="J990" s="30">
        <f>IF(I990="Fri","Ja","")</f>
        <v/>
      </c>
      <c r="K990" s="30">
        <f>IF(B990="","",IF(L990="","Ukjent tekniker",IF(ISNA(MATCH(C990,Aktiviteter,0)),"Ukjent aktivitet",IF(AND(INDEX(AktRolle,MATCH(C990,Aktiviteter,0))&amp;""&lt;&gt;"",ISERROR(SEARCH(INDEX(AktRolle,MATCH(C990,Aktiviteter,0))&amp;"",INDEX(TekRoller,MATCH(B990,Teknikere,0))))),"Mangler rollen "&amp;INDEX(AktRolle,MATCH(C990,Aktiviteter,0))&amp;"",IF(AND(C990="LMS",F990&gt;0,OR(D990="",E990="")),"Mangler maskin eller arbeid",IF(AND(OR(C990="LMS",C990="Mod"),D990&lt;&gt;""),IF(IFERROR(INDEX(MaskinStatus,MATCH(D990,Maskiner,0)),"")="I dokk","","Maskinen er ikke i dokk"),""))))))</f>
        <v/>
      </c>
      <c r="L990" s="2">
        <f>IF(B990="","",IFERROR(INT((MATCH(B990,Teknikere,0)-1)/18)+1,""))</f>
        <v/>
      </c>
      <c r="M990" s="2">
        <f>IF(OR(A990="",B990=""),"",B990&amp;"|"&amp;A990)</f>
        <v/>
      </c>
      <c r="N990" s="2">
        <f>IF(M990="","",SUMIFS(TF_Timer,TF_Nokkel,M990,TF_Akt,C990))</f>
        <v/>
      </c>
      <c r="O990" s="2">
        <f>IF(M990="","",IF(AND(N990=_xlfn.MAXIFS(TF_AktSum,TF_Nokkel,M990),COUNTIFS(M$3:M989,M990,N$3:N989,N990)=0),M990,""))</f>
        <v/>
      </c>
    </row>
    <row r="991">
      <c r="A991" s="34" t="n"/>
      <c r="B991" s="35" t="n"/>
      <c r="C991" s="35" t="n"/>
      <c r="D991" s="35" t="n"/>
      <c r="E991" s="35" t="n"/>
      <c r="F991" s="36" t="n"/>
      <c r="G991" s="35" t="n"/>
      <c r="H991" s="30">
        <f>IF(L991="","",INDEX(SkiftNavn,L991))</f>
        <v/>
      </c>
      <c r="I991" s="30">
        <f>IF(OR(A991="",L991=""),"",IF(MOD(A991-INDEX(SkiftStart,L991),Syklus)&lt;DagK,"Kveld",IF(MOD(A991-INDEX(SkiftStart,L991),Syklus)&lt;DagK+DagH,"Helg",IF(MOD(A991-INDEX(SkiftStart,L991),Syklus)&lt;DagK+DagH+DagD,"Dag","Fri"))))</f>
        <v/>
      </c>
      <c r="J991" s="30">
        <f>IF(I991="Fri","Ja","")</f>
        <v/>
      </c>
      <c r="K991" s="30">
        <f>IF(B991="","",IF(L991="","Ukjent tekniker",IF(ISNA(MATCH(C991,Aktiviteter,0)),"Ukjent aktivitet",IF(AND(INDEX(AktRolle,MATCH(C991,Aktiviteter,0))&amp;""&lt;&gt;"",ISERROR(SEARCH(INDEX(AktRolle,MATCH(C991,Aktiviteter,0))&amp;"",INDEX(TekRoller,MATCH(B991,Teknikere,0))))),"Mangler rollen "&amp;INDEX(AktRolle,MATCH(C991,Aktiviteter,0))&amp;"",IF(AND(C991="LMS",F991&gt;0,OR(D991="",E991="")),"Mangler maskin eller arbeid",IF(AND(OR(C991="LMS",C991="Mod"),D991&lt;&gt;""),IF(IFERROR(INDEX(MaskinStatus,MATCH(D991,Maskiner,0)),"")="I dokk","","Maskinen er ikke i dokk"),""))))))</f>
        <v/>
      </c>
      <c r="L991" s="2">
        <f>IF(B991="","",IFERROR(INT((MATCH(B991,Teknikere,0)-1)/18)+1,""))</f>
        <v/>
      </c>
      <c r="M991" s="2">
        <f>IF(OR(A991="",B991=""),"",B991&amp;"|"&amp;A991)</f>
        <v/>
      </c>
      <c r="N991" s="2">
        <f>IF(M991="","",SUMIFS(TF_Timer,TF_Nokkel,M991,TF_Akt,C991))</f>
        <v/>
      </c>
      <c r="O991" s="2">
        <f>IF(M991="","",IF(AND(N991=_xlfn.MAXIFS(TF_AktSum,TF_Nokkel,M991),COUNTIFS(M$3:M990,M991,N$3:N990,N991)=0),M991,""))</f>
        <v/>
      </c>
    </row>
    <row r="992">
      <c r="A992" s="34" t="n"/>
      <c r="B992" s="35" t="n"/>
      <c r="C992" s="35" t="n"/>
      <c r="D992" s="35" t="n"/>
      <c r="E992" s="35" t="n"/>
      <c r="F992" s="36" t="n"/>
      <c r="G992" s="35" t="n"/>
      <c r="H992" s="30">
        <f>IF(L992="","",INDEX(SkiftNavn,L992))</f>
        <v/>
      </c>
      <c r="I992" s="30">
        <f>IF(OR(A992="",L992=""),"",IF(MOD(A992-INDEX(SkiftStart,L992),Syklus)&lt;DagK,"Kveld",IF(MOD(A992-INDEX(SkiftStart,L992),Syklus)&lt;DagK+DagH,"Helg",IF(MOD(A992-INDEX(SkiftStart,L992),Syklus)&lt;DagK+DagH+DagD,"Dag","Fri"))))</f>
        <v/>
      </c>
      <c r="J992" s="30">
        <f>IF(I992="Fri","Ja","")</f>
        <v/>
      </c>
      <c r="K992" s="30">
        <f>IF(B992="","",IF(L992="","Ukjent tekniker",IF(ISNA(MATCH(C992,Aktiviteter,0)),"Ukjent aktivitet",IF(AND(INDEX(AktRolle,MATCH(C992,Aktiviteter,0))&amp;""&lt;&gt;"",ISERROR(SEARCH(INDEX(AktRolle,MATCH(C992,Aktiviteter,0))&amp;"",INDEX(TekRoller,MATCH(B992,Teknikere,0))))),"Mangler rollen "&amp;INDEX(AktRolle,MATCH(C992,Aktiviteter,0))&amp;"",IF(AND(C992="LMS",F992&gt;0,OR(D992="",E992="")),"Mangler maskin eller arbeid",IF(AND(OR(C992="LMS",C992="Mod"),D992&lt;&gt;""),IF(IFERROR(INDEX(MaskinStatus,MATCH(D992,Maskiner,0)),"")="I dokk","","Maskinen er ikke i dokk"),""))))))</f>
        <v/>
      </c>
      <c r="L992" s="2">
        <f>IF(B992="","",IFERROR(INT((MATCH(B992,Teknikere,0)-1)/18)+1,""))</f>
        <v/>
      </c>
      <c r="M992" s="2">
        <f>IF(OR(A992="",B992=""),"",B992&amp;"|"&amp;A992)</f>
        <v/>
      </c>
      <c r="N992" s="2">
        <f>IF(M992="","",SUMIFS(TF_Timer,TF_Nokkel,M992,TF_Akt,C992))</f>
        <v/>
      </c>
      <c r="O992" s="2">
        <f>IF(M992="","",IF(AND(N992=_xlfn.MAXIFS(TF_AktSum,TF_Nokkel,M992),COUNTIFS(M$3:M991,M992,N$3:N991,N992)=0),M992,""))</f>
        <v/>
      </c>
    </row>
    <row r="993">
      <c r="A993" s="34" t="n"/>
      <c r="B993" s="35" t="n"/>
      <c r="C993" s="35" t="n"/>
      <c r="D993" s="35" t="n"/>
      <c r="E993" s="35" t="n"/>
      <c r="F993" s="36" t="n"/>
      <c r="G993" s="35" t="n"/>
      <c r="H993" s="30">
        <f>IF(L993="","",INDEX(SkiftNavn,L993))</f>
        <v/>
      </c>
      <c r="I993" s="30">
        <f>IF(OR(A993="",L993=""),"",IF(MOD(A993-INDEX(SkiftStart,L993),Syklus)&lt;DagK,"Kveld",IF(MOD(A993-INDEX(SkiftStart,L993),Syklus)&lt;DagK+DagH,"Helg",IF(MOD(A993-INDEX(SkiftStart,L993),Syklus)&lt;DagK+DagH+DagD,"Dag","Fri"))))</f>
        <v/>
      </c>
      <c r="J993" s="30">
        <f>IF(I993="Fri","Ja","")</f>
        <v/>
      </c>
      <c r="K993" s="30">
        <f>IF(B993="","",IF(L993="","Ukjent tekniker",IF(ISNA(MATCH(C993,Aktiviteter,0)),"Ukjent aktivitet",IF(AND(INDEX(AktRolle,MATCH(C993,Aktiviteter,0))&amp;""&lt;&gt;"",ISERROR(SEARCH(INDEX(AktRolle,MATCH(C993,Aktiviteter,0))&amp;"",INDEX(TekRoller,MATCH(B993,Teknikere,0))))),"Mangler rollen "&amp;INDEX(AktRolle,MATCH(C993,Aktiviteter,0))&amp;"",IF(AND(C993="LMS",F993&gt;0,OR(D993="",E993="")),"Mangler maskin eller arbeid",IF(AND(OR(C993="LMS",C993="Mod"),D993&lt;&gt;""),IF(IFERROR(INDEX(MaskinStatus,MATCH(D993,Maskiner,0)),"")="I dokk","","Maskinen er ikke i dokk"),""))))))</f>
        <v/>
      </c>
      <c r="L993" s="2">
        <f>IF(B993="","",IFERROR(INT((MATCH(B993,Teknikere,0)-1)/18)+1,""))</f>
        <v/>
      </c>
      <c r="M993" s="2">
        <f>IF(OR(A993="",B993=""),"",B993&amp;"|"&amp;A993)</f>
        <v/>
      </c>
      <c r="N993" s="2">
        <f>IF(M993="","",SUMIFS(TF_Timer,TF_Nokkel,M993,TF_Akt,C993))</f>
        <v/>
      </c>
      <c r="O993" s="2">
        <f>IF(M993="","",IF(AND(N993=_xlfn.MAXIFS(TF_AktSum,TF_Nokkel,M993),COUNTIFS(M$3:M992,M993,N$3:N992,N993)=0),M993,""))</f>
        <v/>
      </c>
    </row>
    <row r="994">
      <c r="A994" s="34" t="n"/>
      <c r="B994" s="35" t="n"/>
      <c r="C994" s="35" t="n"/>
      <c r="D994" s="35" t="n"/>
      <c r="E994" s="35" t="n"/>
      <c r="F994" s="36" t="n"/>
      <c r="G994" s="35" t="n"/>
      <c r="H994" s="30">
        <f>IF(L994="","",INDEX(SkiftNavn,L994))</f>
        <v/>
      </c>
      <c r="I994" s="30">
        <f>IF(OR(A994="",L994=""),"",IF(MOD(A994-INDEX(SkiftStart,L994),Syklus)&lt;DagK,"Kveld",IF(MOD(A994-INDEX(SkiftStart,L994),Syklus)&lt;DagK+DagH,"Helg",IF(MOD(A994-INDEX(SkiftStart,L994),Syklus)&lt;DagK+DagH+DagD,"Dag","Fri"))))</f>
        <v/>
      </c>
      <c r="J994" s="30">
        <f>IF(I994="Fri","Ja","")</f>
        <v/>
      </c>
      <c r="K994" s="30">
        <f>IF(B994="","",IF(L994="","Ukjent tekniker",IF(ISNA(MATCH(C994,Aktiviteter,0)),"Ukjent aktivitet",IF(AND(INDEX(AktRolle,MATCH(C994,Aktiviteter,0))&amp;""&lt;&gt;"",ISERROR(SEARCH(INDEX(AktRolle,MATCH(C994,Aktiviteter,0))&amp;"",INDEX(TekRoller,MATCH(B994,Teknikere,0))))),"Mangler rollen "&amp;INDEX(AktRolle,MATCH(C994,Aktiviteter,0))&amp;"",IF(AND(C994="LMS",F994&gt;0,OR(D994="",E994="")),"Mangler maskin eller arbeid",IF(AND(OR(C994="LMS",C994="Mod"),D994&lt;&gt;""),IF(IFERROR(INDEX(MaskinStatus,MATCH(D994,Maskiner,0)),"")="I dokk","","Maskinen er ikke i dokk"),""))))))</f>
        <v/>
      </c>
      <c r="L994" s="2">
        <f>IF(B994="","",IFERROR(INT((MATCH(B994,Teknikere,0)-1)/18)+1,""))</f>
        <v/>
      </c>
      <c r="M994" s="2">
        <f>IF(OR(A994="",B994=""),"",B994&amp;"|"&amp;A994)</f>
        <v/>
      </c>
      <c r="N994" s="2">
        <f>IF(M994="","",SUMIFS(TF_Timer,TF_Nokkel,M994,TF_Akt,C994))</f>
        <v/>
      </c>
      <c r="O994" s="2">
        <f>IF(M994="","",IF(AND(N994=_xlfn.MAXIFS(TF_AktSum,TF_Nokkel,M994),COUNTIFS(M$3:M993,M994,N$3:N993,N994)=0),M994,""))</f>
        <v/>
      </c>
    </row>
    <row r="995">
      <c r="A995" s="34" t="n"/>
      <c r="B995" s="35" t="n"/>
      <c r="C995" s="35" t="n"/>
      <c r="D995" s="35" t="n"/>
      <c r="E995" s="35" t="n"/>
      <c r="F995" s="36" t="n"/>
      <c r="G995" s="35" t="n"/>
      <c r="H995" s="30">
        <f>IF(L995="","",INDEX(SkiftNavn,L995))</f>
        <v/>
      </c>
      <c r="I995" s="30">
        <f>IF(OR(A995="",L995=""),"",IF(MOD(A995-INDEX(SkiftStart,L995),Syklus)&lt;DagK,"Kveld",IF(MOD(A995-INDEX(SkiftStart,L995),Syklus)&lt;DagK+DagH,"Helg",IF(MOD(A995-INDEX(SkiftStart,L995),Syklus)&lt;DagK+DagH+DagD,"Dag","Fri"))))</f>
        <v/>
      </c>
      <c r="J995" s="30">
        <f>IF(I995="Fri","Ja","")</f>
        <v/>
      </c>
      <c r="K995" s="30">
        <f>IF(B995="","",IF(L995="","Ukjent tekniker",IF(ISNA(MATCH(C995,Aktiviteter,0)),"Ukjent aktivitet",IF(AND(INDEX(AktRolle,MATCH(C995,Aktiviteter,0))&amp;""&lt;&gt;"",ISERROR(SEARCH(INDEX(AktRolle,MATCH(C995,Aktiviteter,0))&amp;"",INDEX(TekRoller,MATCH(B995,Teknikere,0))))),"Mangler rollen "&amp;INDEX(AktRolle,MATCH(C995,Aktiviteter,0))&amp;"",IF(AND(C995="LMS",F995&gt;0,OR(D995="",E995="")),"Mangler maskin eller arbeid",IF(AND(OR(C995="LMS",C995="Mod"),D995&lt;&gt;""),IF(IFERROR(INDEX(MaskinStatus,MATCH(D995,Maskiner,0)),"")="I dokk","","Maskinen er ikke i dokk"),""))))))</f>
        <v/>
      </c>
      <c r="L995" s="2">
        <f>IF(B995="","",IFERROR(INT((MATCH(B995,Teknikere,0)-1)/18)+1,""))</f>
        <v/>
      </c>
      <c r="M995" s="2">
        <f>IF(OR(A995="",B995=""),"",B995&amp;"|"&amp;A995)</f>
        <v/>
      </c>
      <c r="N995" s="2">
        <f>IF(M995="","",SUMIFS(TF_Timer,TF_Nokkel,M995,TF_Akt,C995))</f>
        <v/>
      </c>
      <c r="O995" s="2">
        <f>IF(M995="","",IF(AND(N995=_xlfn.MAXIFS(TF_AktSum,TF_Nokkel,M995),COUNTIFS(M$3:M994,M995,N$3:N994,N995)=0),M995,""))</f>
        <v/>
      </c>
    </row>
    <row r="996">
      <c r="A996" s="34" t="n"/>
      <c r="B996" s="35" t="n"/>
      <c r="C996" s="35" t="n"/>
      <c r="D996" s="35" t="n"/>
      <c r="E996" s="35" t="n"/>
      <c r="F996" s="36" t="n"/>
      <c r="G996" s="35" t="n"/>
      <c r="H996" s="30">
        <f>IF(L996="","",INDEX(SkiftNavn,L996))</f>
        <v/>
      </c>
      <c r="I996" s="30">
        <f>IF(OR(A996="",L996=""),"",IF(MOD(A996-INDEX(SkiftStart,L996),Syklus)&lt;DagK,"Kveld",IF(MOD(A996-INDEX(SkiftStart,L996),Syklus)&lt;DagK+DagH,"Helg",IF(MOD(A996-INDEX(SkiftStart,L996),Syklus)&lt;DagK+DagH+DagD,"Dag","Fri"))))</f>
        <v/>
      </c>
      <c r="J996" s="30">
        <f>IF(I996="Fri","Ja","")</f>
        <v/>
      </c>
      <c r="K996" s="30">
        <f>IF(B996="","",IF(L996="","Ukjent tekniker",IF(ISNA(MATCH(C996,Aktiviteter,0)),"Ukjent aktivitet",IF(AND(INDEX(AktRolle,MATCH(C996,Aktiviteter,0))&amp;""&lt;&gt;"",ISERROR(SEARCH(INDEX(AktRolle,MATCH(C996,Aktiviteter,0))&amp;"",INDEX(TekRoller,MATCH(B996,Teknikere,0))))),"Mangler rollen "&amp;INDEX(AktRolle,MATCH(C996,Aktiviteter,0))&amp;"",IF(AND(C996="LMS",F996&gt;0,OR(D996="",E996="")),"Mangler maskin eller arbeid",IF(AND(OR(C996="LMS",C996="Mod"),D996&lt;&gt;""),IF(IFERROR(INDEX(MaskinStatus,MATCH(D996,Maskiner,0)),"")="I dokk","","Maskinen er ikke i dokk"),""))))))</f>
        <v/>
      </c>
      <c r="L996" s="2">
        <f>IF(B996="","",IFERROR(INT((MATCH(B996,Teknikere,0)-1)/18)+1,""))</f>
        <v/>
      </c>
      <c r="M996" s="2">
        <f>IF(OR(A996="",B996=""),"",B996&amp;"|"&amp;A996)</f>
        <v/>
      </c>
      <c r="N996" s="2">
        <f>IF(M996="","",SUMIFS(TF_Timer,TF_Nokkel,M996,TF_Akt,C996))</f>
        <v/>
      </c>
      <c r="O996" s="2">
        <f>IF(M996="","",IF(AND(N996=_xlfn.MAXIFS(TF_AktSum,TF_Nokkel,M996),COUNTIFS(M$3:M995,M996,N$3:N995,N996)=0),M996,""))</f>
        <v/>
      </c>
    </row>
    <row r="997">
      <c r="A997" s="34" t="n"/>
      <c r="B997" s="35" t="n"/>
      <c r="C997" s="35" t="n"/>
      <c r="D997" s="35" t="n"/>
      <c r="E997" s="35" t="n"/>
      <c r="F997" s="36" t="n"/>
      <c r="G997" s="35" t="n"/>
      <c r="H997" s="30">
        <f>IF(L997="","",INDEX(SkiftNavn,L997))</f>
        <v/>
      </c>
      <c r="I997" s="30">
        <f>IF(OR(A997="",L997=""),"",IF(MOD(A997-INDEX(SkiftStart,L997),Syklus)&lt;DagK,"Kveld",IF(MOD(A997-INDEX(SkiftStart,L997),Syklus)&lt;DagK+DagH,"Helg",IF(MOD(A997-INDEX(SkiftStart,L997),Syklus)&lt;DagK+DagH+DagD,"Dag","Fri"))))</f>
        <v/>
      </c>
      <c r="J997" s="30">
        <f>IF(I997="Fri","Ja","")</f>
        <v/>
      </c>
      <c r="K997" s="30">
        <f>IF(B997="","",IF(L997="","Ukjent tekniker",IF(ISNA(MATCH(C997,Aktiviteter,0)),"Ukjent aktivitet",IF(AND(INDEX(AktRolle,MATCH(C997,Aktiviteter,0))&amp;""&lt;&gt;"",ISERROR(SEARCH(INDEX(AktRolle,MATCH(C997,Aktiviteter,0))&amp;"",INDEX(TekRoller,MATCH(B997,Teknikere,0))))),"Mangler rollen "&amp;INDEX(AktRolle,MATCH(C997,Aktiviteter,0))&amp;"",IF(AND(C997="LMS",F997&gt;0,OR(D997="",E997="")),"Mangler maskin eller arbeid",IF(AND(OR(C997="LMS",C997="Mod"),D997&lt;&gt;""),IF(IFERROR(INDEX(MaskinStatus,MATCH(D997,Maskiner,0)),"")="I dokk","","Maskinen er ikke i dokk"),""))))))</f>
        <v/>
      </c>
      <c r="L997" s="2">
        <f>IF(B997="","",IFERROR(INT((MATCH(B997,Teknikere,0)-1)/18)+1,""))</f>
        <v/>
      </c>
      <c r="M997" s="2">
        <f>IF(OR(A997="",B997=""),"",B997&amp;"|"&amp;A997)</f>
        <v/>
      </c>
      <c r="N997" s="2">
        <f>IF(M997="","",SUMIFS(TF_Timer,TF_Nokkel,M997,TF_Akt,C997))</f>
        <v/>
      </c>
      <c r="O997" s="2">
        <f>IF(M997="","",IF(AND(N997=_xlfn.MAXIFS(TF_AktSum,TF_Nokkel,M997),COUNTIFS(M$3:M996,M997,N$3:N996,N997)=0),M997,""))</f>
        <v/>
      </c>
    </row>
    <row r="998">
      <c r="A998" s="34" t="n"/>
      <c r="B998" s="35" t="n"/>
      <c r="C998" s="35" t="n"/>
      <c r="D998" s="35" t="n"/>
      <c r="E998" s="35" t="n"/>
      <c r="F998" s="36" t="n"/>
      <c r="G998" s="35" t="n"/>
      <c r="H998" s="30">
        <f>IF(L998="","",INDEX(SkiftNavn,L998))</f>
        <v/>
      </c>
      <c r="I998" s="30">
        <f>IF(OR(A998="",L998=""),"",IF(MOD(A998-INDEX(SkiftStart,L998),Syklus)&lt;DagK,"Kveld",IF(MOD(A998-INDEX(SkiftStart,L998),Syklus)&lt;DagK+DagH,"Helg",IF(MOD(A998-INDEX(SkiftStart,L998),Syklus)&lt;DagK+DagH+DagD,"Dag","Fri"))))</f>
        <v/>
      </c>
      <c r="J998" s="30">
        <f>IF(I998="Fri","Ja","")</f>
        <v/>
      </c>
      <c r="K998" s="30">
        <f>IF(B998="","",IF(L998="","Ukjent tekniker",IF(ISNA(MATCH(C998,Aktiviteter,0)),"Ukjent aktivitet",IF(AND(INDEX(AktRolle,MATCH(C998,Aktiviteter,0))&amp;""&lt;&gt;"",ISERROR(SEARCH(INDEX(AktRolle,MATCH(C998,Aktiviteter,0))&amp;"",INDEX(TekRoller,MATCH(B998,Teknikere,0))))),"Mangler rollen "&amp;INDEX(AktRolle,MATCH(C998,Aktiviteter,0))&amp;"",IF(AND(C998="LMS",F998&gt;0,OR(D998="",E998="")),"Mangler maskin eller arbeid",IF(AND(OR(C998="LMS",C998="Mod"),D998&lt;&gt;""),IF(IFERROR(INDEX(MaskinStatus,MATCH(D998,Maskiner,0)),"")="I dokk","","Maskinen er ikke i dokk"),""))))))</f>
        <v/>
      </c>
      <c r="L998" s="2">
        <f>IF(B998="","",IFERROR(INT((MATCH(B998,Teknikere,0)-1)/18)+1,""))</f>
        <v/>
      </c>
      <c r="M998" s="2">
        <f>IF(OR(A998="",B998=""),"",B998&amp;"|"&amp;A998)</f>
        <v/>
      </c>
      <c r="N998" s="2">
        <f>IF(M998="","",SUMIFS(TF_Timer,TF_Nokkel,M998,TF_Akt,C998))</f>
        <v/>
      </c>
      <c r="O998" s="2">
        <f>IF(M998="","",IF(AND(N998=_xlfn.MAXIFS(TF_AktSum,TF_Nokkel,M998),COUNTIFS(M$3:M997,M998,N$3:N997,N998)=0),M998,""))</f>
        <v/>
      </c>
    </row>
    <row r="999">
      <c r="A999" s="34" t="n"/>
      <c r="B999" s="35" t="n"/>
      <c r="C999" s="35" t="n"/>
      <c r="D999" s="35" t="n"/>
      <c r="E999" s="35" t="n"/>
      <c r="F999" s="36" t="n"/>
      <c r="G999" s="35" t="n"/>
      <c r="H999" s="30">
        <f>IF(L999="","",INDEX(SkiftNavn,L999))</f>
        <v/>
      </c>
      <c r="I999" s="30">
        <f>IF(OR(A999="",L999=""),"",IF(MOD(A999-INDEX(SkiftStart,L999),Syklus)&lt;DagK,"Kveld",IF(MOD(A999-INDEX(SkiftStart,L999),Syklus)&lt;DagK+DagH,"Helg",IF(MOD(A999-INDEX(SkiftStart,L999),Syklus)&lt;DagK+DagH+DagD,"Dag","Fri"))))</f>
        <v/>
      </c>
      <c r="J999" s="30">
        <f>IF(I999="Fri","Ja","")</f>
        <v/>
      </c>
      <c r="K999" s="30">
        <f>IF(B999="","",IF(L999="","Ukjent tekniker",IF(ISNA(MATCH(C999,Aktiviteter,0)),"Ukjent aktivitet",IF(AND(INDEX(AktRolle,MATCH(C999,Aktiviteter,0))&amp;""&lt;&gt;"",ISERROR(SEARCH(INDEX(AktRolle,MATCH(C999,Aktiviteter,0))&amp;"",INDEX(TekRoller,MATCH(B999,Teknikere,0))))),"Mangler rollen "&amp;INDEX(AktRolle,MATCH(C999,Aktiviteter,0))&amp;"",IF(AND(C999="LMS",F999&gt;0,OR(D999="",E999="")),"Mangler maskin eller arbeid",IF(AND(OR(C999="LMS",C999="Mod"),D999&lt;&gt;""),IF(IFERROR(INDEX(MaskinStatus,MATCH(D999,Maskiner,0)),"")="I dokk","","Maskinen er ikke i dokk"),""))))))</f>
        <v/>
      </c>
      <c r="L999" s="2">
        <f>IF(B999="","",IFERROR(INT((MATCH(B999,Teknikere,0)-1)/18)+1,""))</f>
        <v/>
      </c>
      <c r="M999" s="2">
        <f>IF(OR(A999="",B999=""),"",B999&amp;"|"&amp;A999)</f>
        <v/>
      </c>
      <c r="N999" s="2">
        <f>IF(M999="","",SUMIFS(TF_Timer,TF_Nokkel,M999,TF_Akt,C999))</f>
        <v/>
      </c>
      <c r="O999" s="2">
        <f>IF(M999="","",IF(AND(N999=_xlfn.MAXIFS(TF_AktSum,TF_Nokkel,M999),COUNTIFS(M$3:M998,M999,N$3:N998,N999)=0),M999,""))</f>
        <v/>
      </c>
    </row>
    <row r="1000">
      <c r="A1000" s="34" t="n"/>
      <c r="B1000" s="35" t="n"/>
      <c r="C1000" s="35" t="n"/>
      <c r="D1000" s="35" t="n"/>
      <c r="E1000" s="35" t="n"/>
      <c r="F1000" s="36" t="n"/>
      <c r="G1000" s="35" t="n"/>
      <c r="H1000" s="30">
        <f>IF(L1000="","",INDEX(SkiftNavn,L1000))</f>
        <v/>
      </c>
      <c r="I1000" s="30">
        <f>IF(OR(A1000="",L1000=""),"",IF(MOD(A1000-INDEX(SkiftStart,L1000),Syklus)&lt;DagK,"Kveld",IF(MOD(A1000-INDEX(SkiftStart,L1000),Syklus)&lt;DagK+DagH,"Helg",IF(MOD(A1000-INDEX(SkiftStart,L1000),Syklus)&lt;DagK+DagH+DagD,"Dag","Fri"))))</f>
        <v/>
      </c>
      <c r="J1000" s="30">
        <f>IF(I1000="Fri","Ja","")</f>
        <v/>
      </c>
      <c r="K1000" s="30">
        <f>IF(B1000="","",IF(L1000="","Ukjent tekniker",IF(ISNA(MATCH(C1000,Aktiviteter,0)),"Ukjent aktivitet",IF(AND(INDEX(AktRolle,MATCH(C1000,Aktiviteter,0))&amp;""&lt;&gt;"",ISERROR(SEARCH(INDEX(AktRolle,MATCH(C1000,Aktiviteter,0))&amp;"",INDEX(TekRoller,MATCH(B1000,Teknikere,0))))),"Mangler rollen "&amp;INDEX(AktRolle,MATCH(C1000,Aktiviteter,0))&amp;"",IF(AND(C1000="LMS",F1000&gt;0,OR(D1000="",E1000="")),"Mangler maskin eller arbeid",IF(AND(OR(C1000="LMS",C1000="Mod"),D1000&lt;&gt;""),IF(IFERROR(INDEX(MaskinStatus,MATCH(D1000,Maskiner,0)),"")="I dokk","","Maskinen er ikke i dokk"),""))))))</f>
        <v/>
      </c>
      <c r="L1000" s="2">
        <f>IF(B1000="","",IFERROR(INT((MATCH(B1000,Teknikere,0)-1)/18)+1,""))</f>
        <v/>
      </c>
      <c r="M1000" s="2">
        <f>IF(OR(A1000="",B1000=""),"",B1000&amp;"|"&amp;A1000)</f>
        <v/>
      </c>
      <c r="N1000" s="2">
        <f>IF(M1000="","",SUMIFS(TF_Timer,TF_Nokkel,M1000,TF_Akt,C1000))</f>
        <v/>
      </c>
      <c r="O1000" s="2">
        <f>IF(M1000="","",IF(AND(N1000=_xlfn.MAXIFS(TF_AktSum,TF_Nokkel,M1000),COUNTIFS(M$3:M999,M1000,N$3:N999,N1000)=0),M1000,""))</f>
        <v/>
      </c>
    </row>
    <row r="1001">
      <c r="A1001" s="34" t="n"/>
      <c r="B1001" s="35" t="n"/>
      <c r="C1001" s="35" t="n"/>
      <c r="D1001" s="35" t="n"/>
      <c r="E1001" s="35" t="n"/>
      <c r="F1001" s="36" t="n"/>
      <c r="G1001" s="35" t="n"/>
      <c r="H1001" s="30">
        <f>IF(L1001="","",INDEX(SkiftNavn,L1001))</f>
        <v/>
      </c>
      <c r="I1001" s="30">
        <f>IF(OR(A1001="",L1001=""),"",IF(MOD(A1001-INDEX(SkiftStart,L1001),Syklus)&lt;DagK,"Kveld",IF(MOD(A1001-INDEX(SkiftStart,L1001),Syklus)&lt;DagK+DagH,"Helg",IF(MOD(A1001-INDEX(SkiftStart,L1001),Syklus)&lt;DagK+DagH+DagD,"Dag","Fri"))))</f>
        <v/>
      </c>
      <c r="J1001" s="30">
        <f>IF(I1001="Fri","Ja","")</f>
        <v/>
      </c>
      <c r="K1001" s="30">
        <f>IF(B1001="","",IF(L1001="","Ukjent tekniker",IF(ISNA(MATCH(C1001,Aktiviteter,0)),"Ukjent aktivitet",IF(AND(INDEX(AktRolle,MATCH(C1001,Aktiviteter,0))&amp;""&lt;&gt;"",ISERROR(SEARCH(INDEX(AktRolle,MATCH(C1001,Aktiviteter,0))&amp;"",INDEX(TekRoller,MATCH(B1001,Teknikere,0))))),"Mangler rollen "&amp;INDEX(AktRolle,MATCH(C1001,Aktiviteter,0))&amp;"",IF(AND(C1001="LMS",F1001&gt;0,OR(D1001="",E1001="")),"Mangler maskin eller arbeid",IF(AND(OR(C1001="LMS",C1001="Mod"),D1001&lt;&gt;""),IF(IFERROR(INDEX(MaskinStatus,MATCH(D1001,Maskiner,0)),"")="I dokk","","Maskinen er ikke i dokk"),""))))))</f>
        <v/>
      </c>
      <c r="L1001" s="2">
        <f>IF(B1001="","",IFERROR(INT((MATCH(B1001,Teknikere,0)-1)/18)+1,""))</f>
        <v/>
      </c>
      <c r="M1001" s="2">
        <f>IF(OR(A1001="",B1001=""),"",B1001&amp;"|"&amp;A1001)</f>
        <v/>
      </c>
      <c r="N1001" s="2">
        <f>IF(M1001="","",SUMIFS(TF_Timer,TF_Nokkel,M1001,TF_Akt,C1001))</f>
        <v/>
      </c>
      <c r="O1001" s="2">
        <f>IF(M1001="","",IF(AND(N1001=_xlfn.MAXIFS(TF_AktSum,TF_Nokkel,M1001),COUNTIFS(M$3:M1000,M1001,N$3:N1000,N1001)=0),M1001,""))</f>
        <v/>
      </c>
    </row>
    <row r="1002">
      <c r="A1002" s="34" t="n"/>
      <c r="B1002" s="35" t="n"/>
      <c r="C1002" s="35" t="n"/>
      <c r="D1002" s="35" t="n"/>
      <c r="E1002" s="35" t="n"/>
      <c r="F1002" s="36" t="n"/>
      <c r="G1002" s="35" t="n"/>
      <c r="H1002" s="30">
        <f>IF(L1002="","",INDEX(SkiftNavn,L1002))</f>
        <v/>
      </c>
      <c r="I1002" s="30">
        <f>IF(OR(A1002="",L1002=""),"",IF(MOD(A1002-INDEX(SkiftStart,L1002),Syklus)&lt;DagK,"Kveld",IF(MOD(A1002-INDEX(SkiftStart,L1002),Syklus)&lt;DagK+DagH,"Helg",IF(MOD(A1002-INDEX(SkiftStart,L1002),Syklus)&lt;DagK+DagH+DagD,"Dag","Fri"))))</f>
        <v/>
      </c>
      <c r="J1002" s="30">
        <f>IF(I1002="Fri","Ja","")</f>
        <v/>
      </c>
      <c r="K1002" s="30">
        <f>IF(B1002="","",IF(L1002="","Ukjent tekniker",IF(ISNA(MATCH(C1002,Aktiviteter,0)),"Ukjent aktivitet",IF(AND(INDEX(AktRolle,MATCH(C1002,Aktiviteter,0))&amp;""&lt;&gt;"",ISERROR(SEARCH(INDEX(AktRolle,MATCH(C1002,Aktiviteter,0))&amp;"",INDEX(TekRoller,MATCH(B1002,Teknikere,0))))),"Mangler rollen "&amp;INDEX(AktRolle,MATCH(C1002,Aktiviteter,0))&amp;"",IF(AND(C1002="LMS",F1002&gt;0,OR(D1002="",E1002="")),"Mangler maskin eller arbeid",IF(AND(OR(C1002="LMS",C1002="Mod"),D1002&lt;&gt;""),IF(IFERROR(INDEX(MaskinStatus,MATCH(D1002,Maskiner,0)),"")="I dokk","","Maskinen er ikke i dokk"),""))))))</f>
        <v/>
      </c>
      <c r="L1002" s="2">
        <f>IF(B1002="","",IFERROR(INT((MATCH(B1002,Teknikere,0)-1)/18)+1,""))</f>
        <v/>
      </c>
      <c r="M1002" s="2">
        <f>IF(OR(A1002="",B1002=""),"",B1002&amp;"|"&amp;A1002)</f>
        <v/>
      </c>
      <c r="N1002" s="2">
        <f>IF(M1002="","",SUMIFS(TF_Timer,TF_Nokkel,M1002,TF_Akt,C1002))</f>
        <v/>
      </c>
      <c r="O1002" s="2">
        <f>IF(M1002="","",IF(AND(N1002=_xlfn.MAXIFS(TF_AktSum,TF_Nokkel,M1002),COUNTIFS(M$3:M1001,M1002,N$3:N1001,N1002)=0),M1002,""))</f>
        <v/>
      </c>
    </row>
    <row r="1003">
      <c r="A1003" s="34" t="n"/>
      <c r="B1003" s="35" t="n"/>
      <c r="C1003" s="35" t="n"/>
      <c r="D1003" s="35" t="n"/>
      <c r="E1003" s="35" t="n"/>
      <c r="F1003" s="36" t="n"/>
      <c r="G1003" s="35" t="n"/>
      <c r="H1003" s="30">
        <f>IF(L1003="","",INDEX(SkiftNavn,L1003))</f>
        <v/>
      </c>
      <c r="I1003" s="30">
        <f>IF(OR(A1003="",L1003=""),"",IF(MOD(A1003-INDEX(SkiftStart,L1003),Syklus)&lt;DagK,"Kveld",IF(MOD(A1003-INDEX(SkiftStart,L1003),Syklus)&lt;DagK+DagH,"Helg",IF(MOD(A1003-INDEX(SkiftStart,L1003),Syklus)&lt;DagK+DagH+DagD,"Dag","Fri"))))</f>
        <v/>
      </c>
      <c r="J1003" s="30">
        <f>IF(I1003="Fri","Ja","")</f>
        <v/>
      </c>
      <c r="K1003" s="30">
        <f>IF(B1003="","",IF(L1003="","Ukjent tekniker",IF(ISNA(MATCH(C1003,Aktiviteter,0)),"Ukjent aktivitet",IF(AND(INDEX(AktRolle,MATCH(C1003,Aktiviteter,0))&amp;""&lt;&gt;"",ISERROR(SEARCH(INDEX(AktRolle,MATCH(C1003,Aktiviteter,0))&amp;"",INDEX(TekRoller,MATCH(B1003,Teknikere,0))))),"Mangler rollen "&amp;INDEX(AktRolle,MATCH(C1003,Aktiviteter,0))&amp;"",IF(AND(C1003="LMS",F1003&gt;0,OR(D1003="",E1003="")),"Mangler maskin eller arbeid",IF(AND(OR(C1003="LMS",C1003="Mod"),D1003&lt;&gt;""),IF(IFERROR(INDEX(MaskinStatus,MATCH(D1003,Maskiner,0)),"")="I dokk","","Maskinen er ikke i dokk"),""))))))</f>
        <v/>
      </c>
      <c r="L1003" s="2">
        <f>IF(B1003="","",IFERROR(INT((MATCH(B1003,Teknikere,0)-1)/18)+1,""))</f>
        <v/>
      </c>
      <c r="M1003" s="2">
        <f>IF(OR(A1003="",B1003=""),"",B1003&amp;"|"&amp;A1003)</f>
        <v/>
      </c>
      <c r="N1003" s="2">
        <f>IF(M1003="","",SUMIFS(TF_Timer,TF_Nokkel,M1003,TF_Akt,C1003))</f>
        <v/>
      </c>
      <c r="O1003" s="2">
        <f>IF(M1003="","",IF(AND(N1003=_xlfn.MAXIFS(TF_AktSum,TF_Nokkel,M1003),COUNTIFS(M$3:M1002,M1003,N$3:N1002,N1003)=0),M1003,""))</f>
        <v/>
      </c>
    </row>
    <row r="1004">
      <c r="A1004" s="34" t="n"/>
      <c r="B1004" s="35" t="n"/>
      <c r="C1004" s="35" t="n"/>
      <c r="D1004" s="35" t="n"/>
      <c r="E1004" s="35" t="n"/>
      <c r="F1004" s="36" t="n"/>
      <c r="G1004" s="35" t="n"/>
      <c r="H1004" s="30">
        <f>IF(L1004="","",INDEX(SkiftNavn,L1004))</f>
        <v/>
      </c>
      <c r="I1004" s="30">
        <f>IF(OR(A1004="",L1004=""),"",IF(MOD(A1004-INDEX(SkiftStart,L1004),Syklus)&lt;DagK,"Kveld",IF(MOD(A1004-INDEX(SkiftStart,L1004),Syklus)&lt;DagK+DagH,"Helg",IF(MOD(A1004-INDEX(SkiftStart,L1004),Syklus)&lt;DagK+DagH+DagD,"Dag","Fri"))))</f>
        <v/>
      </c>
      <c r="J1004" s="30">
        <f>IF(I1004="Fri","Ja","")</f>
        <v/>
      </c>
      <c r="K1004" s="30">
        <f>IF(B1004="","",IF(L1004="","Ukjent tekniker",IF(ISNA(MATCH(C1004,Aktiviteter,0)),"Ukjent aktivitet",IF(AND(INDEX(AktRolle,MATCH(C1004,Aktiviteter,0))&amp;""&lt;&gt;"",ISERROR(SEARCH(INDEX(AktRolle,MATCH(C1004,Aktiviteter,0))&amp;"",INDEX(TekRoller,MATCH(B1004,Teknikere,0))))),"Mangler rollen "&amp;INDEX(AktRolle,MATCH(C1004,Aktiviteter,0))&amp;"",IF(AND(C1004="LMS",F1004&gt;0,OR(D1004="",E1004="")),"Mangler maskin eller arbeid",IF(AND(OR(C1004="LMS",C1004="Mod"),D1004&lt;&gt;""),IF(IFERROR(INDEX(MaskinStatus,MATCH(D1004,Maskiner,0)),"")="I dokk","","Maskinen er ikke i dokk"),""))))))</f>
        <v/>
      </c>
      <c r="L1004" s="2">
        <f>IF(B1004="","",IFERROR(INT((MATCH(B1004,Teknikere,0)-1)/18)+1,""))</f>
        <v/>
      </c>
      <c r="M1004" s="2">
        <f>IF(OR(A1004="",B1004=""),"",B1004&amp;"|"&amp;A1004)</f>
        <v/>
      </c>
      <c r="N1004" s="2">
        <f>IF(M1004="","",SUMIFS(TF_Timer,TF_Nokkel,M1004,TF_Akt,C1004))</f>
        <v/>
      </c>
      <c r="O1004" s="2">
        <f>IF(M1004="","",IF(AND(N1004=_xlfn.MAXIFS(TF_AktSum,TF_Nokkel,M1004),COUNTIFS(M$3:M1003,M1004,N$3:N1003,N1004)=0),M1004,""))</f>
        <v/>
      </c>
    </row>
    <row r="1005">
      <c r="A1005" s="34" t="n"/>
      <c r="B1005" s="35" t="n"/>
      <c r="C1005" s="35" t="n"/>
      <c r="D1005" s="35" t="n"/>
      <c r="E1005" s="35" t="n"/>
      <c r="F1005" s="36" t="n"/>
      <c r="G1005" s="35" t="n"/>
      <c r="H1005" s="30">
        <f>IF(L1005="","",INDEX(SkiftNavn,L1005))</f>
        <v/>
      </c>
      <c r="I1005" s="30">
        <f>IF(OR(A1005="",L1005=""),"",IF(MOD(A1005-INDEX(SkiftStart,L1005),Syklus)&lt;DagK,"Kveld",IF(MOD(A1005-INDEX(SkiftStart,L1005),Syklus)&lt;DagK+DagH,"Helg",IF(MOD(A1005-INDEX(SkiftStart,L1005),Syklus)&lt;DagK+DagH+DagD,"Dag","Fri"))))</f>
        <v/>
      </c>
      <c r="J1005" s="30">
        <f>IF(I1005="Fri","Ja","")</f>
        <v/>
      </c>
      <c r="K1005" s="30">
        <f>IF(B1005="","",IF(L1005="","Ukjent tekniker",IF(ISNA(MATCH(C1005,Aktiviteter,0)),"Ukjent aktivitet",IF(AND(INDEX(AktRolle,MATCH(C1005,Aktiviteter,0))&amp;""&lt;&gt;"",ISERROR(SEARCH(INDEX(AktRolle,MATCH(C1005,Aktiviteter,0))&amp;"",INDEX(TekRoller,MATCH(B1005,Teknikere,0))))),"Mangler rollen "&amp;INDEX(AktRolle,MATCH(C1005,Aktiviteter,0))&amp;"",IF(AND(C1005="LMS",F1005&gt;0,OR(D1005="",E1005="")),"Mangler maskin eller arbeid",IF(AND(OR(C1005="LMS",C1005="Mod"),D1005&lt;&gt;""),IF(IFERROR(INDEX(MaskinStatus,MATCH(D1005,Maskiner,0)),"")="I dokk","","Maskinen er ikke i dokk"),""))))))</f>
        <v/>
      </c>
      <c r="L1005" s="2">
        <f>IF(B1005="","",IFERROR(INT((MATCH(B1005,Teknikere,0)-1)/18)+1,""))</f>
        <v/>
      </c>
      <c r="M1005" s="2">
        <f>IF(OR(A1005="",B1005=""),"",B1005&amp;"|"&amp;A1005)</f>
        <v/>
      </c>
      <c r="N1005" s="2">
        <f>IF(M1005="","",SUMIFS(TF_Timer,TF_Nokkel,M1005,TF_Akt,C1005))</f>
        <v/>
      </c>
      <c r="O1005" s="2">
        <f>IF(M1005="","",IF(AND(N1005=_xlfn.MAXIFS(TF_AktSum,TF_Nokkel,M1005),COUNTIFS(M$3:M1004,M1005,N$3:N1004,N1005)=0),M1005,""))</f>
        <v/>
      </c>
    </row>
    <row r="1006">
      <c r="A1006" s="34" t="n"/>
      <c r="B1006" s="35" t="n"/>
      <c r="C1006" s="35" t="n"/>
      <c r="D1006" s="35" t="n"/>
      <c r="E1006" s="35" t="n"/>
      <c r="F1006" s="36" t="n"/>
      <c r="G1006" s="35" t="n"/>
      <c r="H1006" s="30">
        <f>IF(L1006="","",INDEX(SkiftNavn,L1006))</f>
        <v/>
      </c>
      <c r="I1006" s="30">
        <f>IF(OR(A1006="",L1006=""),"",IF(MOD(A1006-INDEX(SkiftStart,L1006),Syklus)&lt;DagK,"Kveld",IF(MOD(A1006-INDEX(SkiftStart,L1006),Syklus)&lt;DagK+DagH,"Helg",IF(MOD(A1006-INDEX(SkiftStart,L1006),Syklus)&lt;DagK+DagH+DagD,"Dag","Fri"))))</f>
        <v/>
      </c>
      <c r="J1006" s="30">
        <f>IF(I1006="Fri","Ja","")</f>
        <v/>
      </c>
      <c r="K1006" s="30">
        <f>IF(B1006="","",IF(L1006="","Ukjent tekniker",IF(ISNA(MATCH(C1006,Aktiviteter,0)),"Ukjent aktivitet",IF(AND(INDEX(AktRolle,MATCH(C1006,Aktiviteter,0))&amp;""&lt;&gt;"",ISERROR(SEARCH(INDEX(AktRolle,MATCH(C1006,Aktiviteter,0))&amp;"",INDEX(TekRoller,MATCH(B1006,Teknikere,0))))),"Mangler rollen "&amp;INDEX(AktRolle,MATCH(C1006,Aktiviteter,0))&amp;"",IF(AND(C1006="LMS",F1006&gt;0,OR(D1006="",E1006="")),"Mangler maskin eller arbeid",IF(AND(OR(C1006="LMS",C1006="Mod"),D1006&lt;&gt;""),IF(IFERROR(INDEX(MaskinStatus,MATCH(D1006,Maskiner,0)),"")="I dokk","","Maskinen er ikke i dokk"),""))))))</f>
        <v/>
      </c>
      <c r="L1006" s="2">
        <f>IF(B1006="","",IFERROR(INT((MATCH(B1006,Teknikere,0)-1)/18)+1,""))</f>
        <v/>
      </c>
      <c r="M1006" s="2">
        <f>IF(OR(A1006="",B1006=""),"",B1006&amp;"|"&amp;A1006)</f>
        <v/>
      </c>
      <c r="N1006" s="2">
        <f>IF(M1006="","",SUMIFS(TF_Timer,TF_Nokkel,M1006,TF_Akt,C1006))</f>
        <v/>
      </c>
      <c r="O1006" s="2">
        <f>IF(M1006="","",IF(AND(N1006=_xlfn.MAXIFS(TF_AktSum,TF_Nokkel,M1006),COUNTIFS(M$3:M1005,M1006,N$3:N1005,N1006)=0),M1006,""))</f>
        <v/>
      </c>
    </row>
    <row r="1007">
      <c r="A1007" s="34" t="n"/>
      <c r="B1007" s="35" t="n"/>
      <c r="C1007" s="35" t="n"/>
      <c r="D1007" s="35" t="n"/>
      <c r="E1007" s="35" t="n"/>
      <c r="F1007" s="36" t="n"/>
      <c r="G1007" s="35" t="n"/>
      <c r="H1007" s="30">
        <f>IF(L1007="","",INDEX(SkiftNavn,L1007))</f>
        <v/>
      </c>
      <c r="I1007" s="30">
        <f>IF(OR(A1007="",L1007=""),"",IF(MOD(A1007-INDEX(SkiftStart,L1007),Syklus)&lt;DagK,"Kveld",IF(MOD(A1007-INDEX(SkiftStart,L1007),Syklus)&lt;DagK+DagH,"Helg",IF(MOD(A1007-INDEX(SkiftStart,L1007),Syklus)&lt;DagK+DagH+DagD,"Dag","Fri"))))</f>
        <v/>
      </c>
      <c r="J1007" s="30">
        <f>IF(I1007="Fri","Ja","")</f>
        <v/>
      </c>
      <c r="K1007" s="30">
        <f>IF(B1007="","",IF(L1007="","Ukjent tekniker",IF(ISNA(MATCH(C1007,Aktiviteter,0)),"Ukjent aktivitet",IF(AND(INDEX(AktRolle,MATCH(C1007,Aktiviteter,0))&amp;""&lt;&gt;"",ISERROR(SEARCH(INDEX(AktRolle,MATCH(C1007,Aktiviteter,0))&amp;"",INDEX(TekRoller,MATCH(B1007,Teknikere,0))))),"Mangler rollen "&amp;INDEX(AktRolle,MATCH(C1007,Aktiviteter,0))&amp;"",IF(AND(C1007="LMS",F1007&gt;0,OR(D1007="",E1007="")),"Mangler maskin eller arbeid",IF(AND(OR(C1007="LMS",C1007="Mod"),D1007&lt;&gt;""),IF(IFERROR(INDEX(MaskinStatus,MATCH(D1007,Maskiner,0)),"")="I dokk","","Maskinen er ikke i dokk"),""))))))</f>
        <v/>
      </c>
      <c r="L1007" s="2">
        <f>IF(B1007="","",IFERROR(INT((MATCH(B1007,Teknikere,0)-1)/18)+1,""))</f>
        <v/>
      </c>
      <c r="M1007" s="2">
        <f>IF(OR(A1007="",B1007=""),"",B1007&amp;"|"&amp;A1007)</f>
        <v/>
      </c>
      <c r="N1007" s="2">
        <f>IF(M1007="","",SUMIFS(TF_Timer,TF_Nokkel,M1007,TF_Akt,C1007))</f>
        <v/>
      </c>
      <c r="O1007" s="2">
        <f>IF(M1007="","",IF(AND(N1007=_xlfn.MAXIFS(TF_AktSum,TF_Nokkel,M1007),COUNTIFS(M$3:M1006,M1007,N$3:N1006,N1007)=0),M1007,""))</f>
        <v/>
      </c>
    </row>
    <row r="1008">
      <c r="A1008" s="34" t="n"/>
      <c r="B1008" s="35" t="n"/>
      <c r="C1008" s="35" t="n"/>
      <c r="D1008" s="35" t="n"/>
      <c r="E1008" s="35" t="n"/>
      <c r="F1008" s="36" t="n"/>
      <c r="G1008" s="35" t="n"/>
      <c r="H1008" s="30">
        <f>IF(L1008="","",INDEX(SkiftNavn,L1008))</f>
        <v/>
      </c>
      <c r="I1008" s="30">
        <f>IF(OR(A1008="",L1008=""),"",IF(MOD(A1008-INDEX(SkiftStart,L1008),Syklus)&lt;DagK,"Kveld",IF(MOD(A1008-INDEX(SkiftStart,L1008),Syklus)&lt;DagK+DagH,"Helg",IF(MOD(A1008-INDEX(SkiftStart,L1008),Syklus)&lt;DagK+DagH+DagD,"Dag","Fri"))))</f>
        <v/>
      </c>
      <c r="J1008" s="30">
        <f>IF(I1008="Fri","Ja","")</f>
        <v/>
      </c>
      <c r="K1008" s="30">
        <f>IF(B1008="","",IF(L1008="","Ukjent tekniker",IF(ISNA(MATCH(C1008,Aktiviteter,0)),"Ukjent aktivitet",IF(AND(INDEX(AktRolle,MATCH(C1008,Aktiviteter,0))&amp;""&lt;&gt;"",ISERROR(SEARCH(INDEX(AktRolle,MATCH(C1008,Aktiviteter,0))&amp;"",INDEX(TekRoller,MATCH(B1008,Teknikere,0))))),"Mangler rollen "&amp;INDEX(AktRolle,MATCH(C1008,Aktiviteter,0))&amp;"",IF(AND(C1008="LMS",F1008&gt;0,OR(D1008="",E1008="")),"Mangler maskin eller arbeid",IF(AND(OR(C1008="LMS",C1008="Mod"),D1008&lt;&gt;""),IF(IFERROR(INDEX(MaskinStatus,MATCH(D1008,Maskiner,0)),"")="I dokk","","Maskinen er ikke i dokk"),""))))))</f>
        <v/>
      </c>
      <c r="L1008" s="2">
        <f>IF(B1008="","",IFERROR(INT((MATCH(B1008,Teknikere,0)-1)/18)+1,""))</f>
        <v/>
      </c>
      <c r="M1008" s="2">
        <f>IF(OR(A1008="",B1008=""),"",B1008&amp;"|"&amp;A1008)</f>
        <v/>
      </c>
      <c r="N1008" s="2">
        <f>IF(M1008="","",SUMIFS(TF_Timer,TF_Nokkel,M1008,TF_Akt,C1008))</f>
        <v/>
      </c>
      <c r="O1008" s="2">
        <f>IF(M1008="","",IF(AND(N1008=_xlfn.MAXIFS(TF_AktSum,TF_Nokkel,M1008),COUNTIFS(M$3:M1007,M1008,N$3:N1007,N1008)=0),M1008,""))</f>
        <v/>
      </c>
    </row>
    <row r="1009">
      <c r="A1009" s="34" t="n"/>
      <c r="B1009" s="35" t="n"/>
      <c r="C1009" s="35" t="n"/>
      <c r="D1009" s="35" t="n"/>
      <c r="E1009" s="35" t="n"/>
      <c r="F1009" s="36" t="n"/>
      <c r="G1009" s="35" t="n"/>
      <c r="H1009" s="30">
        <f>IF(L1009="","",INDEX(SkiftNavn,L1009))</f>
        <v/>
      </c>
      <c r="I1009" s="30">
        <f>IF(OR(A1009="",L1009=""),"",IF(MOD(A1009-INDEX(SkiftStart,L1009),Syklus)&lt;DagK,"Kveld",IF(MOD(A1009-INDEX(SkiftStart,L1009),Syklus)&lt;DagK+DagH,"Helg",IF(MOD(A1009-INDEX(SkiftStart,L1009),Syklus)&lt;DagK+DagH+DagD,"Dag","Fri"))))</f>
        <v/>
      </c>
      <c r="J1009" s="30">
        <f>IF(I1009="Fri","Ja","")</f>
        <v/>
      </c>
      <c r="K1009" s="30">
        <f>IF(B1009="","",IF(L1009="","Ukjent tekniker",IF(ISNA(MATCH(C1009,Aktiviteter,0)),"Ukjent aktivitet",IF(AND(INDEX(AktRolle,MATCH(C1009,Aktiviteter,0))&amp;""&lt;&gt;"",ISERROR(SEARCH(INDEX(AktRolle,MATCH(C1009,Aktiviteter,0))&amp;"",INDEX(TekRoller,MATCH(B1009,Teknikere,0))))),"Mangler rollen "&amp;INDEX(AktRolle,MATCH(C1009,Aktiviteter,0))&amp;"",IF(AND(C1009="LMS",F1009&gt;0,OR(D1009="",E1009="")),"Mangler maskin eller arbeid",IF(AND(OR(C1009="LMS",C1009="Mod"),D1009&lt;&gt;""),IF(IFERROR(INDEX(MaskinStatus,MATCH(D1009,Maskiner,0)),"")="I dokk","","Maskinen er ikke i dokk"),""))))))</f>
        <v/>
      </c>
      <c r="L1009" s="2">
        <f>IF(B1009="","",IFERROR(INT((MATCH(B1009,Teknikere,0)-1)/18)+1,""))</f>
        <v/>
      </c>
      <c r="M1009" s="2">
        <f>IF(OR(A1009="",B1009=""),"",B1009&amp;"|"&amp;A1009)</f>
        <v/>
      </c>
      <c r="N1009" s="2">
        <f>IF(M1009="","",SUMIFS(TF_Timer,TF_Nokkel,M1009,TF_Akt,C1009))</f>
        <v/>
      </c>
      <c r="O1009" s="2">
        <f>IF(M1009="","",IF(AND(N1009=_xlfn.MAXIFS(TF_AktSum,TF_Nokkel,M1009),COUNTIFS(M$3:M1008,M1009,N$3:N1008,N1009)=0),M1009,""))</f>
        <v/>
      </c>
    </row>
    <row r="1010">
      <c r="A1010" s="34" t="n"/>
      <c r="B1010" s="35" t="n"/>
      <c r="C1010" s="35" t="n"/>
      <c r="D1010" s="35" t="n"/>
      <c r="E1010" s="35" t="n"/>
      <c r="F1010" s="36" t="n"/>
      <c r="G1010" s="35" t="n"/>
      <c r="H1010" s="30">
        <f>IF(L1010="","",INDEX(SkiftNavn,L1010))</f>
        <v/>
      </c>
      <c r="I1010" s="30">
        <f>IF(OR(A1010="",L1010=""),"",IF(MOD(A1010-INDEX(SkiftStart,L1010),Syklus)&lt;DagK,"Kveld",IF(MOD(A1010-INDEX(SkiftStart,L1010),Syklus)&lt;DagK+DagH,"Helg",IF(MOD(A1010-INDEX(SkiftStart,L1010),Syklus)&lt;DagK+DagH+DagD,"Dag","Fri"))))</f>
        <v/>
      </c>
      <c r="J1010" s="30">
        <f>IF(I1010="Fri","Ja","")</f>
        <v/>
      </c>
      <c r="K1010" s="30">
        <f>IF(B1010="","",IF(L1010="","Ukjent tekniker",IF(ISNA(MATCH(C1010,Aktiviteter,0)),"Ukjent aktivitet",IF(AND(INDEX(AktRolle,MATCH(C1010,Aktiviteter,0))&amp;""&lt;&gt;"",ISERROR(SEARCH(INDEX(AktRolle,MATCH(C1010,Aktiviteter,0))&amp;"",INDEX(TekRoller,MATCH(B1010,Teknikere,0))))),"Mangler rollen "&amp;INDEX(AktRolle,MATCH(C1010,Aktiviteter,0))&amp;"",IF(AND(C1010="LMS",F1010&gt;0,OR(D1010="",E1010="")),"Mangler maskin eller arbeid",IF(AND(OR(C1010="LMS",C1010="Mod"),D1010&lt;&gt;""),IF(IFERROR(INDEX(MaskinStatus,MATCH(D1010,Maskiner,0)),"")="I dokk","","Maskinen er ikke i dokk"),""))))))</f>
        <v/>
      </c>
      <c r="L1010" s="2">
        <f>IF(B1010="","",IFERROR(INT((MATCH(B1010,Teknikere,0)-1)/18)+1,""))</f>
        <v/>
      </c>
      <c r="M1010" s="2">
        <f>IF(OR(A1010="",B1010=""),"",B1010&amp;"|"&amp;A1010)</f>
        <v/>
      </c>
      <c r="N1010" s="2">
        <f>IF(M1010="","",SUMIFS(TF_Timer,TF_Nokkel,M1010,TF_Akt,C1010))</f>
        <v/>
      </c>
      <c r="O1010" s="2">
        <f>IF(M1010="","",IF(AND(N1010=_xlfn.MAXIFS(TF_AktSum,TF_Nokkel,M1010),COUNTIFS(M$3:M1009,M1010,N$3:N1009,N1010)=0),M1010,""))</f>
        <v/>
      </c>
    </row>
    <row r="1011">
      <c r="A1011" s="34" t="n"/>
      <c r="B1011" s="35" t="n"/>
      <c r="C1011" s="35" t="n"/>
      <c r="D1011" s="35" t="n"/>
      <c r="E1011" s="35" t="n"/>
      <c r="F1011" s="36" t="n"/>
      <c r="G1011" s="35" t="n"/>
      <c r="H1011" s="30">
        <f>IF(L1011="","",INDEX(SkiftNavn,L1011))</f>
        <v/>
      </c>
      <c r="I1011" s="30">
        <f>IF(OR(A1011="",L1011=""),"",IF(MOD(A1011-INDEX(SkiftStart,L1011),Syklus)&lt;DagK,"Kveld",IF(MOD(A1011-INDEX(SkiftStart,L1011),Syklus)&lt;DagK+DagH,"Helg",IF(MOD(A1011-INDEX(SkiftStart,L1011),Syklus)&lt;DagK+DagH+DagD,"Dag","Fri"))))</f>
        <v/>
      </c>
      <c r="J1011" s="30">
        <f>IF(I1011="Fri","Ja","")</f>
        <v/>
      </c>
      <c r="K1011" s="30">
        <f>IF(B1011="","",IF(L1011="","Ukjent tekniker",IF(ISNA(MATCH(C1011,Aktiviteter,0)),"Ukjent aktivitet",IF(AND(INDEX(AktRolle,MATCH(C1011,Aktiviteter,0))&amp;""&lt;&gt;"",ISERROR(SEARCH(INDEX(AktRolle,MATCH(C1011,Aktiviteter,0))&amp;"",INDEX(TekRoller,MATCH(B1011,Teknikere,0))))),"Mangler rollen "&amp;INDEX(AktRolle,MATCH(C1011,Aktiviteter,0))&amp;"",IF(AND(C1011="LMS",F1011&gt;0,OR(D1011="",E1011="")),"Mangler maskin eller arbeid",IF(AND(OR(C1011="LMS",C1011="Mod"),D1011&lt;&gt;""),IF(IFERROR(INDEX(MaskinStatus,MATCH(D1011,Maskiner,0)),"")="I dokk","","Maskinen er ikke i dokk"),""))))))</f>
        <v/>
      </c>
      <c r="L1011" s="2">
        <f>IF(B1011="","",IFERROR(INT((MATCH(B1011,Teknikere,0)-1)/18)+1,""))</f>
        <v/>
      </c>
      <c r="M1011" s="2">
        <f>IF(OR(A1011="",B1011=""),"",B1011&amp;"|"&amp;A1011)</f>
        <v/>
      </c>
      <c r="N1011" s="2">
        <f>IF(M1011="","",SUMIFS(TF_Timer,TF_Nokkel,M1011,TF_Akt,C1011))</f>
        <v/>
      </c>
      <c r="O1011" s="2">
        <f>IF(M1011="","",IF(AND(N1011=_xlfn.MAXIFS(TF_AktSum,TF_Nokkel,M1011),COUNTIFS(M$3:M1010,M1011,N$3:N1010,N1011)=0),M1011,""))</f>
        <v/>
      </c>
    </row>
    <row r="1012">
      <c r="A1012" s="34" t="n"/>
      <c r="B1012" s="35" t="n"/>
      <c r="C1012" s="35" t="n"/>
      <c r="D1012" s="35" t="n"/>
      <c r="E1012" s="35" t="n"/>
      <c r="F1012" s="36" t="n"/>
      <c r="G1012" s="35" t="n"/>
      <c r="H1012" s="30">
        <f>IF(L1012="","",INDEX(SkiftNavn,L1012))</f>
        <v/>
      </c>
      <c r="I1012" s="30">
        <f>IF(OR(A1012="",L1012=""),"",IF(MOD(A1012-INDEX(SkiftStart,L1012),Syklus)&lt;DagK,"Kveld",IF(MOD(A1012-INDEX(SkiftStart,L1012),Syklus)&lt;DagK+DagH,"Helg",IF(MOD(A1012-INDEX(SkiftStart,L1012),Syklus)&lt;DagK+DagH+DagD,"Dag","Fri"))))</f>
        <v/>
      </c>
      <c r="J1012" s="30">
        <f>IF(I1012="Fri","Ja","")</f>
        <v/>
      </c>
      <c r="K1012" s="30">
        <f>IF(B1012="","",IF(L1012="","Ukjent tekniker",IF(ISNA(MATCH(C1012,Aktiviteter,0)),"Ukjent aktivitet",IF(AND(INDEX(AktRolle,MATCH(C1012,Aktiviteter,0))&amp;""&lt;&gt;"",ISERROR(SEARCH(INDEX(AktRolle,MATCH(C1012,Aktiviteter,0))&amp;"",INDEX(TekRoller,MATCH(B1012,Teknikere,0))))),"Mangler rollen "&amp;INDEX(AktRolle,MATCH(C1012,Aktiviteter,0))&amp;"",IF(AND(C1012="LMS",F1012&gt;0,OR(D1012="",E1012="")),"Mangler maskin eller arbeid",IF(AND(OR(C1012="LMS",C1012="Mod"),D1012&lt;&gt;""),IF(IFERROR(INDEX(MaskinStatus,MATCH(D1012,Maskiner,0)),"")="I dokk","","Maskinen er ikke i dokk"),""))))))</f>
        <v/>
      </c>
      <c r="L1012" s="2">
        <f>IF(B1012="","",IFERROR(INT((MATCH(B1012,Teknikere,0)-1)/18)+1,""))</f>
        <v/>
      </c>
      <c r="M1012" s="2">
        <f>IF(OR(A1012="",B1012=""),"",B1012&amp;"|"&amp;A1012)</f>
        <v/>
      </c>
      <c r="N1012" s="2">
        <f>IF(M1012="","",SUMIFS(TF_Timer,TF_Nokkel,M1012,TF_Akt,C1012))</f>
        <v/>
      </c>
      <c r="O1012" s="2">
        <f>IF(M1012="","",IF(AND(N1012=_xlfn.MAXIFS(TF_AktSum,TF_Nokkel,M1012),COUNTIFS(M$3:M1011,M1012,N$3:N1011,N1012)=0),M1012,""))</f>
        <v/>
      </c>
    </row>
    <row r="1013">
      <c r="A1013" s="34" t="n"/>
      <c r="B1013" s="35" t="n"/>
      <c r="C1013" s="35" t="n"/>
      <c r="D1013" s="35" t="n"/>
      <c r="E1013" s="35" t="n"/>
      <c r="F1013" s="36" t="n"/>
      <c r="G1013" s="35" t="n"/>
      <c r="H1013" s="30">
        <f>IF(L1013="","",INDEX(SkiftNavn,L1013))</f>
        <v/>
      </c>
      <c r="I1013" s="30">
        <f>IF(OR(A1013="",L1013=""),"",IF(MOD(A1013-INDEX(SkiftStart,L1013),Syklus)&lt;DagK,"Kveld",IF(MOD(A1013-INDEX(SkiftStart,L1013),Syklus)&lt;DagK+DagH,"Helg",IF(MOD(A1013-INDEX(SkiftStart,L1013),Syklus)&lt;DagK+DagH+DagD,"Dag","Fri"))))</f>
        <v/>
      </c>
      <c r="J1013" s="30">
        <f>IF(I1013="Fri","Ja","")</f>
        <v/>
      </c>
      <c r="K1013" s="30">
        <f>IF(B1013="","",IF(L1013="","Ukjent tekniker",IF(ISNA(MATCH(C1013,Aktiviteter,0)),"Ukjent aktivitet",IF(AND(INDEX(AktRolle,MATCH(C1013,Aktiviteter,0))&amp;""&lt;&gt;"",ISERROR(SEARCH(INDEX(AktRolle,MATCH(C1013,Aktiviteter,0))&amp;"",INDEX(TekRoller,MATCH(B1013,Teknikere,0))))),"Mangler rollen "&amp;INDEX(AktRolle,MATCH(C1013,Aktiviteter,0))&amp;"",IF(AND(C1013="LMS",F1013&gt;0,OR(D1013="",E1013="")),"Mangler maskin eller arbeid",IF(AND(OR(C1013="LMS",C1013="Mod"),D1013&lt;&gt;""),IF(IFERROR(INDEX(MaskinStatus,MATCH(D1013,Maskiner,0)),"")="I dokk","","Maskinen er ikke i dokk"),""))))))</f>
        <v/>
      </c>
      <c r="L1013" s="2">
        <f>IF(B1013="","",IFERROR(INT((MATCH(B1013,Teknikere,0)-1)/18)+1,""))</f>
        <v/>
      </c>
      <c r="M1013" s="2">
        <f>IF(OR(A1013="",B1013=""),"",B1013&amp;"|"&amp;A1013)</f>
        <v/>
      </c>
      <c r="N1013" s="2">
        <f>IF(M1013="","",SUMIFS(TF_Timer,TF_Nokkel,M1013,TF_Akt,C1013))</f>
        <v/>
      </c>
      <c r="O1013" s="2">
        <f>IF(M1013="","",IF(AND(N1013=_xlfn.MAXIFS(TF_AktSum,TF_Nokkel,M1013),COUNTIFS(M$3:M1012,M1013,N$3:N1012,N1013)=0),M1013,""))</f>
        <v/>
      </c>
    </row>
    <row r="1014">
      <c r="A1014" s="34" t="n"/>
      <c r="B1014" s="35" t="n"/>
      <c r="C1014" s="35" t="n"/>
      <c r="D1014" s="35" t="n"/>
      <c r="E1014" s="35" t="n"/>
      <c r="F1014" s="36" t="n"/>
      <c r="G1014" s="35" t="n"/>
      <c r="H1014" s="30">
        <f>IF(L1014="","",INDEX(SkiftNavn,L1014))</f>
        <v/>
      </c>
      <c r="I1014" s="30">
        <f>IF(OR(A1014="",L1014=""),"",IF(MOD(A1014-INDEX(SkiftStart,L1014),Syklus)&lt;DagK,"Kveld",IF(MOD(A1014-INDEX(SkiftStart,L1014),Syklus)&lt;DagK+DagH,"Helg",IF(MOD(A1014-INDEX(SkiftStart,L1014),Syklus)&lt;DagK+DagH+DagD,"Dag","Fri"))))</f>
        <v/>
      </c>
      <c r="J1014" s="30">
        <f>IF(I1014="Fri","Ja","")</f>
        <v/>
      </c>
      <c r="K1014" s="30">
        <f>IF(B1014="","",IF(L1014="","Ukjent tekniker",IF(ISNA(MATCH(C1014,Aktiviteter,0)),"Ukjent aktivitet",IF(AND(INDEX(AktRolle,MATCH(C1014,Aktiviteter,0))&amp;""&lt;&gt;"",ISERROR(SEARCH(INDEX(AktRolle,MATCH(C1014,Aktiviteter,0))&amp;"",INDEX(TekRoller,MATCH(B1014,Teknikere,0))))),"Mangler rollen "&amp;INDEX(AktRolle,MATCH(C1014,Aktiviteter,0))&amp;"",IF(AND(C1014="LMS",F1014&gt;0,OR(D1014="",E1014="")),"Mangler maskin eller arbeid",IF(AND(OR(C1014="LMS",C1014="Mod"),D1014&lt;&gt;""),IF(IFERROR(INDEX(MaskinStatus,MATCH(D1014,Maskiner,0)),"")="I dokk","","Maskinen er ikke i dokk"),""))))))</f>
        <v/>
      </c>
      <c r="L1014" s="2">
        <f>IF(B1014="","",IFERROR(INT((MATCH(B1014,Teknikere,0)-1)/18)+1,""))</f>
        <v/>
      </c>
      <c r="M1014" s="2">
        <f>IF(OR(A1014="",B1014=""),"",B1014&amp;"|"&amp;A1014)</f>
        <v/>
      </c>
      <c r="N1014" s="2">
        <f>IF(M1014="","",SUMIFS(TF_Timer,TF_Nokkel,M1014,TF_Akt,C1014))</f>
        <v/>
      </c>
      <c r="O1014" s="2">
        <f>IF(M1014="","",IF(AND(N1014=_xlfn.MAXIFS(TF_AktSum,TF_Nokkel,M1014),COUNTIFS(M$3:M1013,M1014,N$3:N1013,N1014)=0),M1014,""))</f>
        <v/>
      </c>
    </row>
    <row r="1015">
      <c r="A1015" s="34" t="n"/>
      <c r="B1015" s="35" t="n"/>
      <c r="C1015" s="35" t="n"/>
      <c r="D1015" s="35" t="n"/>
      <c r="E1015" s="35" t="n"/>
      <c r="F1015" s="36" t="n"/>
      <c r="G1015" s="35" t="n"/>
      <c r="H1015" s="30">
        <f>IF(L1015="","",INDEX(SkiftNavn,L1015))</f>
        <v/>
      </c>
      <c r="I1015" s="30">
        <f>IF(OR(A1015="",L1015=""),"",IF(MOD(A1015-INDEX(SkiftStart,L1015),Syklus)&lt;DagK,"Kveld",IF(MOD(A1015-INDEX(SkiftStart,L1015),Syklus)&lt;DagK+DagH,"Helg",IF(MOD(A1015-INDEX(SkiftStart,L1015),Syklus)&lt;DagK+DagH+DagD,"Dag","Fri"))))</f>
        <v/>
      </c>
      <c r="J1015" s="30">
        <f>IF(I1015="Fri","Ja","")</f>
        <v/>
      </c>
      <c r="K1015" s="30">
        <f>IF(B1015="","",IF(L1015="","Ukjent tekniker",IF(ISNA(MATCH(C1015,Aktiviteter,0)),"Ukjent aktivitet",IF(AND(INDEX(AktRolle,MATCH(C1015,Aktiviteter,0))&amp;""&lt;&gt;"",ISERROR(SEARCH(INDEX(AktRolle,MATCH(C1015,Aktiviteter,0))&amp;"",INDEX(TekRoller,MATCH(B1015,Teknikere,0))))),"Mangler rollen "&amp;INDEX(AktRolle,MATCH(C1015,Aktiviteter,0))&amp;"",IF(AND(C1015="LMS",F1015&gt;0,OR(D1015="",E1015="")),"Mangler maskin eller arbeid",IF(AND(OR(C1015="LMS",C1015="Mod"),D1015&lt;&gt;""),IF(IFERROR(INDEX(MaskinStatus,MATCH(D1015,Maskiner,0)),"")="I dokk","","Maskinen er ikke i dokk"),""))))))</f>
        <v/>
      </c>
      <c r="L1015" s="2">
        <f>IF(B1015="","",IFERROR(INT((MATCH(B1015,Teknikere,0)-1)/18)+1,""))</f>
        <v/>
      </c>
      <c r="M1015" s="2">
        <f>IF(OR(A1015="",B1015=""),"",B1015&amp;"|"&amp;A1015)</f>
        <v/>
      </c>
      <c r="N1015" s="2">
        <f>IF(M1015="","",SUMIFS(TF_Timer,TF_Nokkel,M1015,TF_Akt,C1015))</f>
        <v/>
      </c>
      <c r="O1015" s="2">
        <f>IF(M1015="","",IF(AND(N1015=_xlfn.MAXIFS(TF_AktSum,TF_Nokkel,M1015),COUNTIFS(M$3:M1014,M1015,N$3:N1014,N1015)=0),M1015,""))</f>
        <v/>
      </c>
    </row>
    <row r="1016">
      <c r="A1016" s="34" t="n"/>
      <c r="B1016" s="35" t="n"/>
      <c r="C1016" s="35" t="n"/>
      <c r="D1016" s="35" t="n"/>
      <c r="E1016" s="35" t="n"/>
      <c r="F1016" s="36" t="n"/>
      <c r="G1016" s="35" t="n"/>
      <c r="H1016" s="30">
        <f>IF(L1016="","",INDEX(SkiftNavn,L1016))</f>
        <v/>
      </c>
      <c r="I1016" s="30">
        <f>IF(OR(A1016="",L1016=""),"",IF(MOD(A1016-INDEX(SkiftStart,L1016),Syklus)&lt;DagK,"Kveld",IF(MOD(A1016-INDEX(SkiftStart,L1016),Syklus)&lt;DagK+DagH,"Helg",IF(MOD(A1016-INDEX(SkiftStart,L1016),Syklus)&lt;DagK+DagH+DagD,"Dag","Fri"))))</f>
        <v/>
      </c>
      <c r="J1016" s="30">
        <f>IF(I1016="Fri","Ja","")</f>
        <v/>
      </c>
      <c r="K1016" s="30">
        <f>IF(B1016="","",IF(L1016="","Ukjent tekniker",IF(ISNA(MATCH(C1016,Aktiviteter,0)),"Ukjent aktivitet",IF(AND(INDEX(AktRolle,MATCH(C1016,Aktiviteter,0))&amp;""&lt;&gt;"",ISERROR(SEARCH(INDEX(AktRolle,MATCH(C1016,Aktiviteter,0))&amp;"",INDEX(TekRoller,MATCH(B1016,Teknikere,0))))),"Mangler rollen "&amp;INDEX(AktRolle,MATCH(C1016,Aktiviteter,0))&amp;"",IF(AND(C1016="LMS",F1016&gt;0,OR(D1016="",E1016="")),"Mangler maskin eller arbeid",IF(AND(OR(C1016="LMS",C1016="Mod"),D1016&lt;&gt;""),IF(IFERROR(INDEX(MaskinStatus,MATCH(D1016,Maskiner,0)),"")="I dokk","","Maskinen er ikke i dokk"),""))))))</f>
        <v/>
      </c>
      <c r="L1016" s="2">
        <f>IF(B1016="","",IFERROR(INT((MATCH(B1016,Teknikere,0)-1)/18)+1,""))</f>
        <v/>
      </c>
      <c r="M1016" s="2">
        <f>IF(OR(A1016="",B1016=""),"",B1016&amp;"|"&amp;A1016)</f>
        <v/>
      </c>
      <c r="N1016" s="2">
        <f>IF(M1016="","",SUMIFS(TF_Timer,TF_Nokkel,M1016,TF_Akt,C1016))</f>
        <v/>
      </c>
      <c r="O1016" s="2">
        <f>IF(M1016="","",IF(AND(N1016=_xlfn.MAXIFS(TF_AktSum,TF_Nokkel,M1016),COUNTIFS(M$3:M1015,M1016,N$3:N1015,N1016)=0),M1016,""))</f>
        <v/>
      </c>
    </row>
    <row r="1017">
      <c r="A1017" s="34" t="n"/>
      <c r="B1017" s="35" t="n"/>
      <c r="C1017" s="35" t="n"/>
      <c r="D1017" s="35" t="n"/>
      <c r="E1017" s="35" t="n"/>
      <c r="F1017" s="36" t="n"/>
      <c r="G1017" s="35" t="n"/>
      <c r="H1017" s="30">
        <f>IF(L1017="","",INDEX(SkiftNavn,L1017))</f>
        <v/>
      </c>
      <c r="I1017" s="30">
        <f>IF(OR(A1017="",L1017=""),"",IF(MOD(A1017-INDEX(SkiftStart,L1017),Syklus)&lt;DagK,"Kveld",IF(MOD(A1017-INDEX(SkiftStart,L1017),Syklus)&lt;DagK+DagH,"Helg",IF(MOD(A1017-INDEX(SkiftStart,L1017),Syklus)&lt;DagK+DagH+DagD,"Dag","Fri"))))</f>
        <v/>
      </c>
      <c r="J1017" s="30">
        <f>IF(I1017="Fri","Ja","")</f>
        <v/>
      </c>
      <c r="K1017" s="30">
        <f>IF(B1017="","",IF(L1017="","Ukjent tekniker",IF(ISNA(MATCH(C1017,Aktiviteter,0)),"Ukjent aktivitet",IF(AND(INDEX(AktRolle,MATCH(C1017,Aktiviteter,0))&amp;""&lt;&gt;"",ISERROR(SEARCH(INDEX(AktRolle,MATCH(C1017,Aktiviteter,0))&amp;"",INDEX(TekRoller,MATCH(B1017,Teknikere,0))))),"Mangler rollen "&amp;INDEX(AktRolle,MATCH(C1017,Aktiviteter,0))&amp;"",IF(AND(C1017="LMS",F1017&gt;0,OR(D1017="",E1017="")),"Mangler maskin eller arbeid",IF(AND(OR(C1017="LMS",C1017="Mod"),D1017&lt;&gt;""),IF(IFERROR(INDEX(MaskinStatus,MATCH(D1017,Maskiner,0)),"")="I dokk","","Maskinen er ikke i dokk"),""))))))</f>
        <v/>
      </c>
      <c r="L1017" s="2">
        <f>IF(B1017="","",IFERROR(INT((MATCH(B1017,Teknikere,0)-1)/18)+1,""))</f>
        <v/>
      </c>
      <c r="M1017" s="2">
        <f>IF(OR(A1017="",B1017=""),"",B1017&amp;"|"&amp;A1017)</f>
        <v/>
      </c>
      <c r="N1017" s="2">
        <f>IF(M1017="","",SUMIFS(TF_Timer,TF_Nokkel,M1017,TF_Akt,C1017))</f>
        <v/>
      </c>
      <c r="O1017" s="2">
        <f>IF(M1017="","",IF(AND(N1017=_xlfn.MAXIFS(TF_AktSum,TF_Nokkel,M1017),COUNTIFS(M$3:M1016,M1017,N$3:N1016,N1017)=0),M1017,""))</f>
        <v/>
      </c>
    </row>
    <row r="1018">
      <c r="A1018" s="34" t="n"/>
      <c r="B1018" s="35" t="n"/>
      <c r="C1018" s="35" t="n"/>
      <c r="D1018" s="35" t="n"/>
      <c r="E1018" s="35" t="n"/>
      <c r="F1018" s="36" t="n"/>
      <c r="G1018" s="35" t="n"/>
      <c r="H1018" s="30">
        <f>IF(L1018="","",INDEX(SkiftNavn,L1018))</f>
        <v/>
      </c>
      <c r="I1018" s="30">
        <f>IF(OR(A1018="",L1018=""),"",IF(MOD(A1018-INDEX(SkiftStart,L1018),Syklus)&lt;DagK,"Kveld",IF(MOD(A1018-INDEX(SkiftStart,L1018),Syklus)&lt;DagK+DagH,"Helg",IF(MOD(A1018-INDEX(SkiftStart,L1018),Syklus)&lt;DagK+DagH+DagD,"Dag","Fri"))))</f>
        <v/>
      </c>
      <c r="J1018" s="30">
        <f>IF(I1018="Fri","Ja","")</f>
        <v/>
      </c>
      <c r="K1018" s="30">
        <f>IF(B1018="","",IF(L1018="","Ukjent tekniker",IF(ISNA(MATCH(C1018,Aktiviteter,0)),"Ukjent aktivitet",IF(AND(INDEX(AktRolle,MATCH(C1018,Aktiviteter,0))&amp;""&lt;&gt;"",ISERROR(SEARCH(INDEX(AktRolle,MATCH(C1018,Aktiviteter,0))&amp;"",INDEX(TekRoller,MATCH(B1018,Teknikere,0))))),"Mangler rollen "&amp;INDEX(AktRolle,MATCH(C1018,Aktiviteter,0))&amp;"",IF(AND(C1018="LMS",F1018&gt;0,OR(D1018="",E1018="")),"Mangler maskin eller arbeid",IF(AND(OR(C1018="LMS",C1018="Mod"),D1018&lt;&gt;""),IF(IFERROR(INDEX(MaskinStatus,MATCH(D1018,Maskiner,0)),"")="I dokk","","Maskinen er ikke i dokk"),""))))))</f>
        <v/>
      </c>
      <c r="L1018" s="2">
        <f>IF(B1018="","",IFERROR(INT((MATCH(B1018,Teknikere,0)-1)/18)+1,""))</f>
        <v/>
      </c>
      <c r="M1018" s="2">
        <f>IF(OR(A1018="",B1018=""),"",B1018&amp;"|"&amp;A1018)</f>
        <v/>
      </c>
      <c r="N1018" s="2">
        <f>IF(M1018="","",SUMIFS(TF_Timer,TF_Nokkel,M1018,TF_Akt,C1018))</f>
        <v/>
      </c>
      <c r="O1018" s="2">
        <f>IF(M1018="","",IF(AND(N1018=_xlfn.MAXIFS(TF_AktSum,TF_Nokkel,M1018),COUNTIFS(M$3:M1017,M1018,N$3:N1017,N1018)=0),M1018,""))</f>
        <v/>
      </c>
    </row>
    <row r="1019">
      <c r="A1019" s="34" t="n"/>
      <c r="B1019" s="35" t="n"/>
      <c r="C1019" s="35" t="n"/>
      <c r="D1019" s="35" t="n"/>
      <c r="E1019" s="35" t="n"/>
      <c r="F1019" s="36" t="n"/>
      <c r="G1019" s="35" t="n"/>
      <c r="H1019" s="30">
        <f>IF(L1019="","",INDEX(SkiftNavn,L1019))</f>
        <v/>
      </c>
      <c r="I1019" s="30">
        <f>IF(OR(A1019="",L1019=""),"",IF(MOD(A1019-INDEX(SkiftStart,L1019),Syklus)&lt;DagK,"Kveld",IF(MOD(A1019-INDEX(SkiftStart,L1019),Syklus)&lt;DagK+DagH,"Helg",IF(MOD(A1019-INDEX(SkiftStart,L1019),Syklus)&lt;DagK+DagH+DagD,"Dag","Fri"))))</f>
        <v/>
      </c>
      <c r="J1019" s="30">
        <f>IF(I1019="Fri","Ja","")</f>
        <v/>
      </c>
      <c r="K1019" s="30">
        <f>IF(B1019="","",IF(L1019="","Ukjent tekniker",IF(ISNA(MATCH(C1019,Aktiviteter,0)),"Ukjent aktivitet",IF(AND(INDEX(AktRolle,MATCH(C1019,Aktiviteter,0))&amp;""&lt;&gt;"",ISERROR(SEARCH(INDEX(AktRolle,MATCH(C1019,Aktiviteter,0))&amp;"",INDEX(TekRoller,MATCH(B1019,Teknikere,0))))),"Mangler rollen "&amp;INDEX(AktRolle,MATCH(C1019,Aktiviteter,0))&amp;"",IF(AND(C1019="LMS",F1019&gt;0,OR(D1019="",E1019="")),"Mangler maskin eller arbeid",IF(AND(OR(C1019="LMS",C1019="Mod"),D1019&lt;&gt;""),IF(IFERROR(INDEX(MaskinStatus,MATCH(D1019,Maskiner,0)),"")="I dokk","","Maskinen er ikke i dokk"),""))))))</f>
        <v/>
      </c>
      <c r="L1019" s="2">
        <f>IF(B1019="","",IFERROR(INT((MATCH(B1019,Teknikere,0)-1)/18)+1,""))</f>
        <v/>
      </c>
      <c r="M1019" s="2">
        <f>IF(OR(A1019="",B1019=""),"",B1019&amp;"|"&amp;A1019)</f>
        <v/>
      </c>
      <c r="N1019" s="2">
        <f>IF(M1019="","",SUMIFS(TF_Timer,TF_Nokkel,M1019,TF_Akt,C1019))</f>
        <v/>
      </c>
      <c r="O1019" s="2">
        <f>IF(M1019="","",IF(AND(N1019=_xlfn.MAXIFS(TF_AktSum,TF_Nokkel,M1019),COUNTIFS(M$3:M1018,M1019,N$3:N1018,N1019)=0),M1019,""))</f>
        <v/>
      </c>
    </row>
    <row r="1020">
      <c r="A1020" s="34" t="n"/>
      <c r="B1020" s="35" t="n"/>
      <c r="C1020" s="35" t="n"/>
      <c r="D1020" s="35" t="n"/>
      <c r="E1020" s="35" t="n"/>
      <c r="F1020" s="36" t="n"/>
      <c r="G1020" s="35" t="n"/>
      <c r="H1020" s="30">
        <f>IF(L1020="","",INDEX(SkiftNavn,L1020))</f>
        <v/>
      </c>
      <c r="I1020" s="30">
        <f>IF(OR(A1020="",L1020=""),"",IF(MOD(A1020-INDEX(SkiftStart,L1020),Syklus)&lt;DagK,"Kveld",IF(MOD(A1020-INDEX(SkiftStart,L1020),Syklus)&lt;DagK+DagH,"Helg",IF(MOD(A1020-INDEX(SkiftStart,L1020),Syklus)&lt;DagK+DagH+DagD,"Dag","Fri"))))</f>
        <v/>
      </c>
      <c r="J1020" s="30">
        <f>IF(I1020="Fri","Ja","")</f>
        <v/>
      </c>
      <c r="K1020" s="30">
        <f>IF(B1020="","",IF(L1020="","Ukjent tekniker",IF(ISNA(MATCH(C1020,Aktiviteter,0)),"Ukjent aktivitet",IF(AND(INDEX(AktRolle,MATCH(C1020,Aktiviteter,0))&amp;""&lt;&gt;"",ISERROR(SEARCH(INDEX(AktRolle,MATCH(C1020,Aktiviteter,0))&amp;"",INDEX(TekRoller,MATCH(B1020,Teknikere,0))))),"Mangler rollen "&amp;INDEX(AktRolle,MATCH(C1020,Aktiviteter,0))&amp;"",IF(AND(C1020="LMS",F1020&gt;0,OR(D1020="",E1020="")),"Mangler maskin eller arbeid",IF(AND(OR(C1020="LMS",C1020="Mod"),D1020&lt;&gt;""),IF(IFERROR(INDEX(MaskinStatus,MATCH(D1020,Maskiner,0)),"")="I dokk","","Maskinen er ikke i dokk"),""))))))</f>
        <v/>
      </c>
      <c r="L1020" s="2">
        <f>IF(B1020="","",IFERROR(INT((MATCH(B1020,Teknikere,0)-1)/18)+1,""))</f>
        <v/>
      </c>
      <c r="M1020" s="2">
        <f>IF(OR(A1020="",B1020=""),"",B1020&amp;"|"&amp;A1020)</f>
        <v/>
      </c>
      <c r="N1020" s="2">
        <f>IF(M1020="","",SUMIFS(TF_Timer,TF_Nokkel,M1020,TF_Akt,C1020))</f>
        <v/>
      </c>
      <c r="O1020" s="2">
        <f>IF(M1020="","",IF(AND(N1020=_xlfn.MAXIFS(TF_AktSum,TF_Nokkel,M1020),COUNTIFS(M$3:M1019,M1020,N$3:N1019,N1020)=0),M1020,""))</f>
        <v/>
      </c>
    </row>
    <row r="1021">
      <c r="A1021" s="34" t="n"/>
      <c r="B1021" s="35" t="n"/>
      <c r="C1021" s="35" t="n"/>
      <c r="D1021" s="35" t="n"/>
      <c r="E1021" s="35" t="n"/>
      <c r="F1021" s="36" t="n"/>
      <c r="G1021" s="35" t="n"/>
      <c r="H1021" s="30">
        <f>IF(L1021="","",INDEX(SkiftNavn,L1021))</f>
        <v/>
      </c>
      <c r="I1021" s="30">
        <f>IF(OR(A1021="",L1021=""),"",IF(MOD(A1021-INDEX(SkiftStart,L1021),Syklus)&lt;DagK,"Kveld",IF(MOD(A1021-INDEX(SkiftStart,L1021),Syklus)&lt;DagK+DagH,"Helg",IF(MOD(A1021-INDEX(SkiftStart,L1021),Syklus)&lt;DagK+DagH+DagD,"Dag","Fri"))))</f>
        <v/>
      </c>
      <c r="J1021" s="30">
        <f>IF(I1021="Fri","Ja","")</f>
        <v/>
      </c>
      <c r="K1021" s="30">
        <f>IF(B1021="","",IF(L1021="","Ukjent tekniker",IF(ISNA(MATCH(C1021,Aktiviteter,0)),"Ukjent aktivitet",IF(AND(INDEX(AktRolle,MATCH(C1021,Aktiviteter,0))&amp;""&lt;&gt;"",ISERROR(SEARCH(INDEX(AktRolle,MATCH(C1021,Aktiviteter,0))&amp;"",INDEX(TekRoller,MATCH(B1021,Teknikere,0))))),"Mangler rollen "&amp;INDEX(AktRolle,MATCH(C1021,Aktiviteter,0))&amp;"",IF(AND(C1021="LMS",F1021&gt;0,OR(D1021="",E1021="")),"Mangler maskin eller arbeid",IF(AND(OR(C1021="LMS",C1021="Mod"),D1021&lt;&gt;""),IF(IFERROR(INDEX(MaskinStatus,MATCH(D1021,Maskiner,0)),"")="I dokk","","Maskinen er ikke i dokk"),""))))))</f>
        <v/>
      </c>
      <c r="L1021" s="2">
        <f>IF(B1021="","",IFERROR(INT((MATCH(B1021,Teknikere,0)-1)/18)+1,""))</f>
        <v/>
      </c>
      <c r="M1021" s="2">
        <f>IF(OR(A1021="",B1021=""),"",B1021&amp;"|"&amp;A1021)</f>
        <v/>
      </c>
      <c r="N1021" s="2">
        <f>IF(M1021="","",SUMIFS(TF_Timer,TF_Nokkel,M1021,TF_Akt,C1021))</f>
        <v/>
      </c>
      <c r="O1021" s="2">
        <f>IF(M1021="","",IF(AND(N1021=_xlfn.MAXIFS(TF_AktSum,TF_Nokkel,M1021),COUNTIFS(M$3:M1020,M1021,N$3:N1020,N1021)=0),M1021,""))</f>
        <v/>
      </c>
    </row>
    <row r="1022">
      <c r="A1022" s="34" t="n"/>
      <c r="B1022" s="35" t="n"/>
      <c r="C1022" s="35" t="n"/>
      <c r="D1022" s="35" t="n"/>
      <c r="E1022" s="35" t="n"/>
      <c r="F1022" s="36" t="n"/>
      <c r="G1022" s="35" t="n"/>
      <c r="H1022" s="30">
        <f>IF(L1022="","",INDEX(SkiftNavn,L1022))</f>
        <v/>
      </c>
      <c r="I1022" s="30">
        <f>IF(OR(A1022="",L1022=""),"",IF(MOD(A1022-INDEX(SkiftStart,L1022),Syklus)&lt;DagK,"Kveld",IF(MOD(A1022-INDEX(SkiftStart,L1022),Syklus)&lt;DagK+DagH,"Helg",IF(MOD(A1022-INDEX(SkiftStart,L1022),Syklus)&lt;DagK+DagH+DagD,"Dag","Fri"))))</f>
        <v/>
      </c>
      <c r="J1022" s="30">
        <f>IF(I1022="Fri","Ja","")</f>
        <v/>
      </c>
      <c r="K1022" s="30">
        <f>IF(B1022="","",IF(L1022="","Ukjent tekniker",IF(ISNA(MATCH(C1022,Aktiviteter,0)),"Ukjent aktivitet",IF(AND(INDEX(AktRolle,MATCH(C1022,Aktiviteter,0))&amp;""&lt;&gt;"",ISERROR(SEARCH(INDEX(AktRolle,MATCH(C1022,Aktiviteter,0))&amp;"",INDEX(TekRoller,MATCH(B1022,Teknikere,0))))),"Mangler rollen "&amp;INDEX(AktRolle,MATCH(C1022,Aktiviteter,0))&amp;"",IF(AND(C1022="LMS",F1022&gt;0,OR(D1022="",E1022="")),"Mangler maskin eller arbeid",IF(AND(OR(C1022="LMS",C1022="Mod"),D1022&lt;&gt;""),IF(IFERROR(INDEX(MaskinStatus,MATCH(D1022,Maskiner,0)),"")="I dokk","","Maskinen er ikke i dokk"),""))))))</f>
        <v/>
      </c>
      <c r="L1022" s="2">
        <f>IF(B1022="","",IFERROR(INT((MATCH(B1022,Teknikere,0)-1)/18)+1,""))</f>
        <v/>
      </c>
      <c r="M1022" s="2">
        <f>IF(OR(A1022="",B1022=""),"",B1022&amp;"|"&amp;A1022)</f>
        <v/>
      </c>
      <c r="N1022" s="2">
        <f>IF(M1022="","",SUMIFS(TF_Timer,TF_Nokkel,M1022,TF_Akt,C1022))</f>
        <v/>
      </c>
      <c r="O1022" s="2">
        <f>IF(M1022="","",IF(AND(N1022=_xlfn.MAXIFS(TF_AktSum,TF_Nokkel,M1022),COUNTIFS(M$3:M1021,M1022,N$3:N1021,N1022)=0),M1022,""))</f>
        <v/>
      </c>
    </row>
    <row r="1023">
      <c r="A1023" s="34" t="n"/>
      <c r="B1023" s="35" t="n"/>
      <c r="C1023" s="35" t="n"/>
      <c r="D1023" s="35" t="n"/>
      <c r="E1023" s="35" t="n"/>
      <c r="F1023" s="36" t="n"/>
      <c r="G1023" s="35" t="n"/>
      <c r="H1023" s="30">
        <f>IF(L1023="","",INDEX(SkiftNavn,L1023))</f>
        <v/>
      </c>
      <c r="I1023" s="30">
        <f>IF(OR(A1023="",L1023=""),"",IF(MOD(A1023-INDEX(SkiftStart,L1023),Syklus)&lt;DagK,"Kveld",IF(MOD(A1023-INDEX(SkiftStart,L1023),Syklus)&lt;DagK+DagH,"Helg",IF(MOD(A1023-INDEX(SkiftStart,L1023),Syklus)&lt;DagK+DagH+DagD,"Dag","Fri"))))</f>
        <v/>
      </c>
      <c r="J1023" s="30">
        <f>IF(I1023="Fri","Ja","")</f>
        <v/>
      </c>
      <c r="K1023" s="30">
        <f>IF(B1023="","",IF(L1023="","Ukjent tekniker",IF(ISNA(MATCH(C1023,Aktiviteter,0)),"Ukjent aktivitet",IF(AND(INDEX(AktRolle,MATCH(C1023,Aktiviteter,0))&amp;""&lt;&gt;"",ISERROR(SEARCH(INDEX(AktRolle,MATCH(C1023,Aktiviteter,0))&amp;"",INDEX(TekRoller,MATCH(B1023,Teknikere,0))))),"Mangler rollen "&amp;INDEX(AktRolle,MATCH(C1023,Aktiviteter,0))&amp;"",IF(AND(C1023="LMS",F1023&gt;0,OR(D1023="",E1023="")),"Mangler maskin eller arbeid",IF(AND(OR(C1023="LMS",C1023="Mod"),D1023&lt;&gt;""),IF(IFERROR(INDEX(MaskinStatus,MATCH(D1023,Maskiner,0)),"")="I dokk","","Maskinen er ikke i dokk"),""))))))</f>
        <v/>
      </c>
      <c r="L1023" s="2">
        <f>IF(B1023="","",IFERROR(INT((MATCH(B1023,Teknikere,0)-1)/18)+1,""))</f>
        <v/>
      </c>
      <c r="M1023" s="2">
        <f>IF(OR(A1023="",B1023=""),"",B1023&amp;"|"&amp;A1023)</f>
        <v/>
      </c>
      <c r="N1023" s="2">
        <f>IF(M1023="","",SUMIFS(TF_Timer,TF_Nokkel,M1023,TF_Akt,C1023))</f>
        <v/>
      </c>
      <c r="O1023" s="2">
        <f>IF(M1023="","",IF(AND(N1023=_xlfn.MAXIFS(TF_AktSum,TF_Nokkel,M1023),COUNTIFS(M$3:M1022,M1023,N$3:N1022,N1023)=0),M1023,""))</f>
        <v/>
      </c>
    </row>
    <row r="1024">
      <c r="A1024" s="34" t="n"/>
      <c r="B1024" s="35" t="n"/>
      <c r="C1024" s="35" t="n"/>
      <c r="D1024" s="35" t="n"/>
      <c r="E1024" s="35" t="n"/>
      <c r="F1024" s="36" t="n"/>
      <c r="G1024" s="35" t="n"/>
      <c r="H1024" s="30">
        <f>IF(L1024="","",INDEX(SkiftNavn,L1024))</f>
        <v/>
      </c>
      <c r="I1024" s="30">
        <f>IF(OR(A1024="",L1024=""),"",IF(MOD(A1024-INDEX(SkiftStart,L1024),Syklus)&lt;DagK,"Kveld",IF(MOD(A1024-INDEX(SkiftStart,L1024),Syklus)&lt;DagK+DagH,"Helg",IF(MOD(A1024-INDEX(SkiftStart,L1024),Syklus)&lt;DagK+DagH+DagD,"Dag","Fri"))))</f>
        <v/>
      </c>
      <c r="J1024" s="30">
        <f>IF(I1024="Fri","Ja","")</f>
        <v/>
      </c>
      <c r="K1024" s="30">
        <f>IF(B1024="","",IF(L1024="","Ukjent tekniker",IF(ISNA(MATCH(C1024,Aktiviteter,0)),"Ukjent aktivitet",IF(AND(INDEX(AktRolle,MATCH(C1024,Aktiviteter,0))&amp;""&lt;&gt;"",ISERROR(SEARCH(INDEX(AktRolle,MATCH(C1024,Aktiviteter,0))&amp;"",INDEX(TekRoller,MATCH(B1024,Teknikere,0))))),"Mangler rollen "&amp;INDEX(AktRolle,MATCH(C1024,Aktiviteter,0))&amp;"",IF(AND(C1024="LMS",F1024&gt;0,OR(D1024="",E1024="")),"Mangler maskin eller arbeid",IF(AND(OR(C1024="LMS",C1024="Mod"),D1024&lt;&gt;""),IF(IFERROR(INDEX(MaskinStatus,MATCH(D1024,Maskiner,0)),"")="I dokk","","Maskinen er ikke i dokk"),""))))))</f>
        <v/>
      </c>
      <c r="L1024" s="2">
        <f>IF(B1024="","",IFERROR(INT((MATCH(B1024,Teknikere,0)-1)/18)+1,""))</f>
        <v/>
      </c>
      <c r="M1024" s="2">
        <f>IF(OR(A1024="",B1024=""),"",B1024&amp;"|"&amp;A1024)</f>
        <v/>
      </c>
      <c r="N1024" s="2">
        <f>IF(M1024="","",SUMIFS(TF_Timer,TF_Nokkel,M1024,TF_Akt,C1024))</f>
        <v/>
      </c>
      <c r="O1024" s="2">
        <f>IF(M1024="","",IF(AND(N1024=_xlfn.MAXIFS(TF_AktSum,TF_Nokkel,M1024),COUNTIFS(M$3:M1023,M1024,N$3:N1023,N1024)=0),M1024,""))</f>
        <v/>
      </c>
    </row>
    <row r="1025">
      <c r="A1025" s="34" t="n"/>
      <c r="B1025" s="35" t="n"/>
      <c r="C1025" s="35" t="n"/>
      <c r="D1025" s="35" t="n"/>
      <c r="E1025" s="35" t="n"/>
      <c r="F1025" s="36" t="n"/>
      <c r="G1025" s="35" t="n"/>
      <c r="H1025" s="30">
        <f>IF(L1025="","",INDEX(SkiftNavn,L1025))</f>
        <v/>
      </c>
      <c r="I1025" s="30">
        <f>IF(OR(A1025="",L1025=""),"",IF(MOD(A1025-INDEX(SkiftStart,L1025),Syklus)&lt;DagK,"Kveld",IF(MOD(A1025-INDEX(SkiftStart,L1025),Syklus)&lt;DagK+DagH,"Helg",IF(MOD(A1025-INDEX(SkiftStart,L1025),Syklus)&lt;DagK+DagH+DagD,"Dag","Fri"))))</f>
        <v/>
      </c>
      <c r="J1025" s="30">
        <f>IF(I1025="Fri","Ja","")</f>
        <v/>
      </c>
      <c r="K1025" s="30">
        <f>IF(B1025="","",IF(L1025="","Ukjent tekniker",IF(ISNA(MATCH(C1025,Aktiviteter,0)),"Ukjent aktivitet",IF(AND(INDEX(AktRolle,MATCH(C1025,Aktiviteter,0))&amp;""&lt;&gt;"",ISERROR(SEARCH(INDEX(AktRolle,MATCH(C1025,Aktiviteter,0))&amp;"",INDEX(TekRoller,MATCH(B1025,Teknikere,0))))),"Mangler rollen "&amp;INDEX(AktRolle,MATCH(C1025,Aktiviteter,0))&amp;"",IF(AND(C1025="LMS",F1025&gt;0,OR(D1025="",E1025="")),"Mangler maskin eller arbeid",IF(AND(OR(C1025="LMS",C1025="Mod"),D1025&lt;&gt;""),IF(IFERROR(INDEX(MaskinStatus,MATCH(D1025,Maskiner,0)),"")="I dokk","","Maskinen er ikke i dokk"),""))))))</f>
        <v/>
      </c>
      <c r="L1025" s="2">
        <f>IF(B1025="","",IFERROR(INT((MATCH(B1025,Teknikere,0)-1)/18)+1,""))</f>
        <v/>
      </c>
      <c r="M1025" s="2">
        <f>IF(OR(A1025="",B1025=""),"",B1025&amp;"|"&amp;A1025)</f>
        <v/>
      </c>
      <c r="N1025" s="2">
        <f>IF(M1025="","",SUMIFS(TF_Timer,TF_Nokkel,M1025,TF_Akt,C1025))</f>
        <v/>
      </c>
      <c r="O1025" s="2">
        <f>IF(M1025="","",IF(AND(N1025=_xlfn.MAXIFS(TF_AktSum,TF_Nokkel,M1025),COUNTIFS(M$3:M1024,M1025,N$3:N1024,N1025)=0),M1025,""))</f>
        <v/>
      </c>
    </row>
    <row r="1026">
      <c r="A1026" s="34" t="n"/>
      <c r="B1026" s="35" t="n"/>
      <c r="C1026" s="35" t="n"/>
      <c r="D1026" s="35" t="n"/>
      <c r="E1026" s="35" t="n"/>
      <c r="F1026" s="36" t="n"/>
      <c r="G1026" s="35" t="n"/>
      <c r="H1026" s="30">
        <f>IF(L1026="","",INDEX(SkiftNavn,L1026))</f>
        <v/>
      </c>
      <c r="I1026" s="30">
        <f>IF(OR(A1026="",L1026=""),"",IF(MOD(A1026-INDEX(SkiftStart,L1026),Syklus)&lt;DagK,"Kveld",IF(MOD(A1026-INDEX(SkiftStart,L1026),Syklus)&lt;DagK+DagH,"Helg",IF(MOD(A1026-INDEX(SkiftStart,L1026),Syklus)&lt;DagK+DagH+DagD,"Dag","Fri"))))</f>
        <v/>
      </c>
      <c r="J1026" s="30">
        <f>IF(I1026="Fri","Ja","")</f>
        <v/>
      </c>
      <c r="K1026" s="30">
        <f>IF(B1026="","",IF(L1026="","Ukjent tekniker",IF(ISNA(MATCH(C1026,Aktiviteter,0)),"Ukjent aktivitet",IF(AND(INDEX(AktRolle,MATCH(C1026,Aktiviteter,0))&amp;""&lt;&gt;"",ISERROR(SEARCH(INDEX(AktRolle,MATCH(C1026,Aktiviteter,0))&amp;"",INDEX(TekRoller,MATCH(B1026,Teknikere,0))))),"Mangler rollen "&amp;INDEX(AktRolle,MATCH(C1026,Aktiviteter,0))&amp;"",IF(AND(C1026="LMS",F1026&gt;0,OR(D1026="",E1026="")),"Mangler maskin eller arbeid",IF(AND(OR(C1026="LMS",C1026="Mod"),D1026&lt;&gt;""),IF(IFERROR(INDEX(MaskinStatus,MATCH(D1026,Maskiner,0)),"")="I dokk","","Maskinen er ikke i dokk"),""))))))</f>
        <v/>
      </c>
      <c r="L1026" s="2">
        <f>IF(B1026="","",IFERROR(INT((MATCH(B1026,Teknikere,0)-1)/18)+1,""))</f>
        <v/>
      </c>
      <c r="M1026" s="2">
        <f>IF(OR(A1026="",B1026=""),"",B1026&amp;"|"&amp;A1026)</f>
        <v/>
      </c>
      <c r="N1026" s="2">
        <f>IF(M1026="","",SUMIFS(TF_Timer,TF_Nokkel,M1026,TF_Akt,C1026))</f>
        <v/>
      </c>
      <c r="O1026" s="2">
        <f>IF(M1026="","",IF(AND(N1026=_xlfn.MAXIFS(TF_AktSum,TF_Nokkel,M1026),COUNTIFS(M$3:M1025,M1026,N$3:N1025,N1026)=0),M1026,""))</f>
        <v/>
      </c>
    </row>
    <row r="1027">
      <c r="A1027" s="34" t="n"/>
      <c r="B1027" s="35" t="n"/>
      <c r="C1027" s="35" t="n"/>
      <c r="D1027" s="35" t="n"/>
      <c r="E1027" s="35" t="n"/>
      <c r="F1027" s="36" t="n"/>
      <c r="G1027" s="35" t="n"/>
      <c r="H1027" s="30">
        <f>IF(L1027="","",INDEX(SkiftNavn,L1027))</f>
        <v/>
      </c>
      <c r="I1027" s="30">
        <f>IF(OR(A1027="",L1027=""),"",IF(MOD(A1027-INDEX(SkiftStart,L1027),Syklus)&lt;DagK,"Kveld",IF(MOD(A1027-INDEX(SkiftStart,L1027),Syklus)&lt;DagK+DagH,"Helg",IF(MOD(A1027-INDEX(SkiftStart,L1027),Syklus)&lt;DagK+DagH+DagD,"Dag","Fri"))))</f>
        <v/>
      </c>
      <c r="J1027" s="30">
        <f>IF(I1027="Fri","Ja","")</f>
        <v/>
      </c>
      <c r="K1027" s="30">
        <f>IF(B1027="","",IF(L1027="","Ukjent tekniker",IF(ISNA(MATCH(C1027,Aktiviteter,0)),"Ukjent aktivitet",IF(AND(INDEX(AktRolle,MATCH(C1027,Aktiviteter,0))&amp;""&lt;&gt;"",ISERROR(SEARCH(INDEX(AktRolle,MATCH(C1027,Aktiviteter,0))&amp;"",INDEX(TekRoller,MATCH(B1027,Teknikere,0))))),"Mangler rollen "&amp;INDEX(AktRolle,MATCH(C1027,Aktiviteter,0))&amp;"",IF(AND(C1027="LMS",F1027&gt;0,OR(D1027="",E1027="")),"Mangler maskin eller arbeid",IF(AND(OR(C1027="LMS",C1027="Mod"),D1027&lt;&gt;""),IF(IFERROR(INDEX(MaskinStatus,MATCH(D1027,Maskiner,0)),"")="I dokk","","Maskinen er ikke i dokk"),""))))))</f>
        <v/>
      </c>
      <c r="L1027" s="2">
        <f>IF(B1027="","",IFERROR(INT((MATCH(B1027,Teknikere,0)-1)/18)+1,""))</f>
        <v/>
      </c>
      <c r="M1027" s="2">
        <f>IF(OR(A1027="",B1027=""),"",B1027&amp;"|"&amp;A1027)</f>
        <v/>
      </c>
      <c r="N1027" s="2">
        <f>IF(M1027="","",SUMIFS(TF_Timer,TF_Nokkel,M1027,TF_Akt,C1027))</f>
        <v/>
      </c>
      <c r="O1027" s="2">
        <f>IF(M1027="","",IF(AND(N1027=_xlfn.MAXIFS(TF_AktSum,TF_Nokkel,M1027),COUNTIFS(M$3:M1026,M1027,N$3:N1026,N1027)=0),M1027,""))</f>
        <v/>
      </c>
    </row>
    <row r="1028">
      <c r="A1028" s="34" t="n"/>
      <c r="B1028" s="35" t="n"/>
      <c r="C1028" s="35" t="n"/>
      <c r="D1028" s="35" t="n"/>
      <c r="E1028" s="35" t="n"/>
      <c r="F1028" s="36" t="n"/>
      <c r="G1028" s="35" t="n"/>
      <c r="H1028" s="30">
        <f>IF(L1028="","",INDEX(SkiftNavn,L1028))</f>
        <v/>
      </c>
      <c r="I1028" s="30">
        <f>IF(OR(A1028="",L1028=""),"",IF(MOD(A1028-INDEX(SkiftStart,L1028),Syklus)&lt;DagK,"Kveld",IF(MOD(A1028-INDEX(SkiftStart,L1028),Syklus)&lt;DagK+DagH,"Helg",IF(MOD(A1028-INDEX(SkiftStart,L1028),Syklus)&lt;DagK+DagH+DagD,"Dag","Fri"))))</f>
        <v/>
      </c>
      <c r="J1028" s="30">
        <f>IF(I1028="Fri","Ja","")</f>
        <v/>
      </c>
      <c r="K1028" s="30">
        <f>IF(B1028="","",IF(L1028="","Ukjent tekniker",IF(ISNA(MATCH(C1028,Aktiviteter,0)),"Ukjent aktivitet",IF(AND(INDEX(AktRolle,MATCH(C1028,Aktiviteter,0))&amp;""&lt;&gt;"",ISERROR(SEARCH(INDEX(AktRolle,MATCH(C1028,Aktiviteter,0))&amp;"",INDEX(TekRoller,MATCH(B1028,Teknikere,0))))),"Mangler rollen "&amp;INDEX(AktRolle,MATCH(C1028,Aktiviteter,0))&amp;"",IF(AND(C1028="LMS",F1028&gt;0,OR(D1028="",E1028="")),"Mangler maskin eller arbeid",IF(AND(OR(C1028="LMS",C1028="Mod"),D1028&lt;&gt;""),IF(IFERROR(INDEX(MaskinStatus,MATCH(D1028,Maskiner,0)),"")="I dokk","","Maskinen er ikke i dokk"),""))))))</f>
        <v/>
      </c>
      <c r="L1028" s="2">
        <f>IF(B1028="","",IFERROR(INT((MATCH(B1028,Teknikere,0)-1)/18)+1,""))</f>
        <v/>
      </c>
      <c r="M1028" s="2">
        <f>IF(OR(A1028="",B1028=""),"",B1028&amp;"|"&amp;A1028)</f>
        <v/>
      </c>
      <c r="N1028" s="2">
        <f>IF(M1028="","",SUMIFS(TF_Timer,TF_Nokkel,M1028,TF_Akt,C1028))</f>
        <v/>
      </c>
      <c r="O1028" s="2">
        <f>IF(M1028="","",IF(AND(N1028=_xlfn.MAXIFS(TF_AktSum,TF_Nokkel,M1028),COUNTIFS(M$3:M1027,M1028,N$3:N1027,N1028)=0),M1028,""))</f>
        <v/>
      </c>
    </row>
    <row r="1029">
      <c r="A1029" s="34" t="n"/>
      <c r="B1029" s="35" t="n"/>
      <c r="C1029" s="35" t="n"/>
      <c r="D1029" s="35" t="n"/>
      <c r="E1029" s="35" t="n"/>
      <c r="F1029" s="36" t="n"/>
      <c r="G1029" s="35" t="n"/>
      <c r="H1029" s="30">
        <f>IF(L1029="","",INDEX(SkiftNavn,L1029))</f>
        <v/>
      </c>
      <c r="I1029" s="30">
        <f>IF(OR(A1029="",L1029=""),"",IF(MOD(A1029-INDEX(SkiftStart,L1029),Syklus)&lt;DagK,"Kveld",IF(MOD(A1029-INDEX(SkiftStart,L1029),Syklus)&lt;DagK+DagH,"Helg",IF(MOD(A1029-INDEX(SkiftStart,L1029),Syklus)&lt;DagK+DagH+DagD,"Dag","Fri"))))</f>
        <v/>
      </c>
      <c r="J1029" s="30">
        <f>IF(I1029="Fri","Ja","")</f>
        <v/>
      </c>
      <c r="K1029" s="30">
        <f>IF(B1029="","",IF(L1029="","Ukjent tekniker",IF(ISNA(MATCH(C1029,Aktiviteter,0)),"Ukjent aktivitet",IF(AND(INDEX(AktRolle,MATCH(C1029,Aktiviteter,0))&amp;""&lt;&gt;"",ISERROR(SEARCH(INDEX(AktRolle,MATCH(C1029,Aktiviteter,0))&amp;"",INDEX(TekRoller,MATCH(B1029,Teknikere,0))))),"Mangler rollen "&amp;INDEX(AktRolle,MATCH(C1029,Aktiviteter,0))&amp;"",IF(AND(C1029="LMS",F1029&gt;0,OR(D1029="",E1029="")),"Mangler maskin eller arbeid",IF(AND(OR(C1029="LMS",C1029="Mod"),D1029&lt;&gt;""),IF(IFERROR(INDEX(MaskinStatus,MATCH(D1029,Maskiner,0)),"")="I dokk","","Maskinen er ikke i dokk"),""))))))</f>
        <v/>
      </c>
      <c r="L1029" s="2">
        <f>IF(B1029="","",IFERROR(INT((MATCH(B1029,Teknikere,0)-1)/18)+1,""))</f>
        <v/>
      </c>
      <c r="M1029" s="2">
        <f>IF(OR(A1029="",B1029=""),"",B1029&amp;"|"&amp;A1029)</f>
        <v/>
      </c>
      <c r="N1029" s="2">
        <f>IF(M1029="","",SUMIFS(TF_Timer,TF_Nokkel,M1029,TF_Akt,C1029))</f>
        <v/>
      </c>
      <c r="O1029" s="2">
        <f>IF(M1029="","",IF(AND(N1029=_xlfn.MAXIFS(TF_AktSum,TF_Nokkel,M1029),COUNTIFS(M$3:M1028,M1029,N$3:N1028,N1029)=0),M1029,""))</f>
        <v/>
      </c>
    </row>
    <row r="1030">
      <c r="A1030" s="34" t="n"/>
      <c r="B1030" s="35" t="n"/>
      <c r="C1030" s="35" t="n"/>
      <c r="D1030" s="35" t="n"/>
      <c r="E1030" s="35" t="n"/>
      <c r="F1030" s="36" t="n"/>
      <c r="G1030" s="35" t="n"/>
      <c r="H1030" s="30">
        <f>IF(L1030="","",INDEX(SkiftNavn,L1030))</f>
        <v/>
      </c>
      <c r="I1030" s="30">
        <f>IF(OR(A1030="",L1030=""),"",IF(MOD(A1030-INDEX(SkiftStart,L1030),Syklus)&lt;DagK,"Kveld",IF(MOD(A1030-INDEX(SkiftStart,L1030),Syklus)&lt;DagK+DagH,"Helg",IF(MOD(A1030-INDEX(SkiftStart,L1030),Syklus)&lt;DagK+DagH+DagD,"Dag","Fri"))))</f>
        <v/>
      </c>
      <c r="J1030" s="30">
        <f>IF(I1030="Fri","Ja","")</f>
        <v/>
      </c>
      <c r="K1030" s="30">
        <f>IF(B1030="","",IF(L1030="","Ukjent tekniker",IF(ISNA(MATCH(C1030,Aktiviteter,0)),"Ukjent aktivitet",IF(AND(INDEX(AktRolle,MATCH(C1030,Aktiviteter,0))&amp;""&lt;&gt;"",ISERROR(SEARCH(INDEX(AktRolle,MATCH(C1030,Aktiviteter,0))&amp;"",INDEX(TekRoller,MATCH(B1030,Teknikere,0))))),"Mangler rollen "&amp;INDEX(AktRolle,MATCH(C1030,Aktiviteter,0))&amp;"",IF(AND(C1030="LMS",F1030&gt;0,OR(D1030="",E1030="")),"Mangler maskin eller arbeid",IF(AND(OR(C1030="LMS",C1030="Mod"),D1030&lt;&gt;""),IF(IFERROR(INDEX(MaskinStatus,MATCH(D1030,Maskiner,0)),"")="I dokk","","Maskinen er ikke i dokk"),""))))))</f>
        <v/>
      </c>
      <c r="L1030" s="2">
        <f>IF(B1030="","",IFERROR(INT((MATCH(B1030,Teknikere,0)-1)/18)+1,""))</f>
        <v/>
      </c>
      <c r="M1030" s="2">
        <f>IF(OR(A1030="",B1030=""),"",B1030&amp;"|"&amp;A1030)</f>
        <v/>
      </c>
      <c r="N1030" s="2">
        <f>IF(M1030="","",SUMIFS(TF_Timer,TF_Nokkel,M1030,TF_Akt,C1030))</f>
        <v/>
      </c>
      <c r="O1030" s="2">
        <f>IF(M1030="","",IF(AND(N1030=_xlfn.MAXIFS(TF_AktSum,TF_Nokkel,M1030),COUNTIFS(M$3:M1029,M1030,N$3:N1029,N1030)=0),M1030,""))</f>
        <v/>
      </c>
    </row>
    <row r="1031">
      <c r="A1031" s="34" t="n"/>
      <c r="B1031" s="35" t="n"/>
      <c r="C1031" s="35" t="n"/>
      <c r="D1031" s="35" t="n"/>
      <c r="E1031" s="35" t="n"/>
      <c r="F1031" s="36" t="n"/>
      <c r="G1031" s="35" t="n"/>
      <c r="H1031" s="30">
        <f>IF(L1031="","",INDEX(SkiftNavn,L1031))</f>
        <v/>
      </c>
      <c r="I1031" s="30">
        <f>IF(OR(A1031="",L1031=""),"",IF(MOD(A1031-INDEX(SkiftStart,L1031),Syklus)&lt;DagK,"Kveld",IF(MOD(A1031-INDEX(SkiftStart,L1031),Syklus)&lt;DagK+DagH,"Helg",IF(MOD(A1031-INDEX(SkiftStart,L1031),Syklus)&lt;DagK+DagH+DagD,"Dag","Fri"))))</f>
        <v/>
      </c>
      <c r="J1031" s="30">
        <f>IF(I1031="Fri","Ja","")</f>
        <v/>
      </c>
      <c r="K1031" s="30">
        <f>IF(B1031="","",IF(L1031="","Ukjent tekniker",IF(ISNA(MATCH(C1031,Aktiviteter,0)),"Ukjent aktivitet",IF(AND(INDEX(AktRolle,MATCH(C1031,Aktiviteter,0))&amp;""&lt;&gt;"",ISERROR(SEARCH(INDEX(AktRolle,MATCH(C1031,Aktiviteter,0))&amp;"",INDEX(TekRoller,MATCH(B1031,Teknikere,0))))),"Mangler rollen "&amp;INDEX(AktRolle,MATCH(C1031,Aktiviteter,0))&amp;"",IF(AND(C1031="LMS",F1031&gt;0,OR(D1031="",E1031="")),"Mangler maskin eller arbeid",IF(AND(OR(C1031="LMS",C1031="Mod"),D1031&lt;&gt;""),IF(IFERROR(INDEX(MaskinStatus,MATCH(D1031,Maskiner,0)),"")="I dokk","","Maskinen er ikke i dokk"),""))))))</f>
        <v/>
      </c>
      <c r="L1031" s="2">
        <f>IF(B1031="","",IFERROR(INT((MATCH(B1031,Teknikere,0)-1)/18)+1,""))</f>
        <v/>
      </c>
      <c r="M1031" s="2">
        <f>IF(OR(A1031="",B1031=""),"",B1031&amp;"|"&amp;A1031)</f>
        <v/>
      </c>
      <c r="N1031" s="2">
        <f>IF(M1031="","",SUMIFS(TF_Timer,TF_Nokkel,M1031,TF_Akt,C1031))</f>
        <v/>
      </c>
      <c r="O1031" s="2">
        <f>IF(M1031="","",IF(AND(N1031=_xlfn.MAXIFS(TF_AktSum,TF_Nokkel,M1031),COUNTIFS(M$3:M1030,M1031,N$3:N1030,N1031)=0),M1031,""))</f>
        <v/>
      </c>
    </row>
    <row r="1032">
      <c r="A1032" s="34" t="n"/>
      <c r="B1032" s="35" t="n"/>
      <c r="C1032" s="35" t="n"/>
      <c r="D1032" s="35" t="n"/>
      <c r="E1032" s="35" t="n"/>
      <c r="F1032" s="36" t="n"/>
      <c r="G1032" s="35" t="n"/>
      <c r="H1032" s="30">
        <f>IF(L1032="","",INDEX(SkiftNavn,L1032))</f>
        <v/>
      </c>
      <c r="I1032" s="30">
        <f>IF(OR(A1032="",L1032=""),"",IF(MOD(A1032-INDEX(SkiftStart,L1032),Syklus)&lt;DagK,"Kveld",IF(MOD(A1032-INDEX(SkiftStart,L1032),Syklus)&lt;DagK+DagH,"Helg",IF(MOD(A1032-INDEX(SkiftStart,L1032),Syklus)&lt;DagK+DagH+DagD,"Dag","Fri"))))</f>
        <v/>
      </c>
      <c r="J1032" s="30">
        <f>IF(I1032="Fri","Ja","")</f>
        <v/>
      </c>
      <c r="K1032" s="30">
        <f>IF(B1032="","",IF(L1032="","Ukjent tekniker",IF(ISNA(MATCH(C1032,Aktiviteter,0)),"Ukjent aktivitet",IF(AND(INDEX(AktRolle,MATCH(C1032,Aktiviteter,0))&amp;""&lt;&gt;"",ISERROR(SEARCH(INDEX(AktRolle,MATCH(C1032,Aktiviteter,0))&amp;"",INDEX(TekRoller,MATCH(B1032,Teknikere,0))))),"Mangler rollen "&amp;INDEX(AktRolle,MATCH(C1032,Aktiviteter,0))&amp;"",IF(AND(C1032="LMS",F1032&gt;0,OR(D1032="",E1032="")),"Mangler maskin eller arbeid",IF(AND(OR(C1032="LMS",C1032="Mod"),D1032&lt;&gt;""),IF(IFERROR(INDEX(MaskinStatus,MATCH(D1032,Maskiner,0)),"")="I dokk","","Maskinen er ikke i dokk"),""))))))</f>
        <v/>
      </c>
      <c r="L1032" s="2">
        <f>IF(B1032="","",IFERROR(INT((MATCH(B1032,Teknikere,0)-1)/18)+1,""))</f>
        <v/>
      </c>
      <c r="M1032" s="2">
        <f>IF(OR(A1032="",B1032=""),"",B1032&amp;"|"&amp;A1032)</f>
        <v/>
      </c>
      <c r="N1032" s="2">
        <f>IF(M1032="","",SUMIFS(TF_Timer,TF_Nokkel,M1032,TF_Akt,C1032))</f>
        <v/>
      </c>
      <c r="O1032" s="2">
        <f>IF(M1032="","",IF(AND(N1032=_xlfn.MAXIFS(TF_AktSum,TF_Nokkel,M1032),COUNTIFS(M$3:M1031,M1032,N$3:N1031,N1032)=0),M1032,""))</f>
        <v/>
      </c>
    </row>
    <row r="1033">
      <c r="A1033" s="34" t="n"/>
      <c r="B1033" s="35" t="n"/>
      <c r="C1033" s="35" t="n"/>
      <c r="D1033" s="35" t="n"/>
      <c r="E1033" s="35" t="n"/>
      <c r="F1033" s="36" t="n"/>
      <c r="G1033" s="35" t="n"/>
      <c r="H1033" s="30">
        <f>IF(L1033="","",INDEX(SkiftNavn,L1033))</f>
        <v/>
      </c>
      <c r="I1033" s="30">
        <f>IF(OR(A1033="",L1033=""),"",IF(MOD(A1033-INDEX(SkiftStart,L1033),Syklus)&lt;DagK,"Kveld",IF(MOD(A1033-INDEX(SkiftStart,L1033),Syklus)&lt;DagK+DagH,"Helg",IF(MOD(A1033-INDEX(SkiftStart,L1033),Syklus)&lt;DagK+DagH+DagD,"Dag","Fri"))))</f>
        <v/>
      </c>
      <c r="J1033" s="30">
        <f>IF(I1033="Fri","Ja","")</f>
        <v/>
      </c>
      <c r="K1033" s="30">
        <f>IF(B1033="","",IF(L1033="","Ukjent tekniker",IF(ISNA(MATCH(C1033,Aktiviteter,0)),"Ukjent aktivitet",IF(AND(INDEX(AktRolle,MATCH(C1033,Aktiviteter,0))&amp;""&lt;&gt;"",ISERROR(SEARCH(INDEX(AktRolle,MATCH(C1033,Aktiviteter,0))&amp;"",INDEX(TekRoller,MATCH(B1033,Teknikere,0))))),"Mangler rollen "&amp;INDEX(AktRolle,MATCH(C1033,Aktiviteter,0))&amp;"",IF(AND(C1033="LMS",F1033&gt;0,OR(D1033="",E1033="")),"Mangler maskin eller arbeid",IF(AND(OR(C1033="LMS",C1033="Mod"),D1033&lt;&gt;""),IF(IFERROR(INDEX(MaskinStatus,MATCH(D1033,Maskiner,0)),"")="I dokk","","Maskinen er ikke i dokk"),""))))))</f>
        <v/>
      </c>
      <c r="L1033" s="2">
        <f>IF(B1033="","",IFERROR(INT((MATCH(B1033,Teknikere,0)-1)/18)+1,""))</f>
        <v/>
      </c>
      <c r="M1033" s="2">
        <f>IF(OR(A1033="",B1033=""),"",B1033&amp;"|"&amp;A1033)</f>
        <v/>
      </c>
      <c r="N1033" s="2">
        <f>IF(M1033="","",SUMIFS(TF_Timer,TF_Nokkel,M1033,TF_Akt,C1033))</f>
        <v/>
      </c>
      <c r="O1033" s="2">
        <f>IF(M1033="","",IF(AND(N1033=_xlfn.MAXIFS(TF_AktSum,TF_Nokkel,M1033),COUNTIFS(M$3:M1032,M1033,N$3:N1032,N1033)=0),M1033,""))</f>
        <v/>
      </c>
    </row>
    <row r="1034">
      <c r="A1034" s="34" t="n"/>
      <c r="B1034" s="35" t="n"/>
      <c r="C1034" s="35" t="n"/>
      <c r="D1034" s="35" t="n"/>
      <c r="E1034" s="35" t="n"/>
      <c r="F1034" s="36" t="n"/>
      <c r="G1034" s="35" t="n"/>
      <c r="H1034" s="30">
        <f>IF(L1034="","",INDEX(SkiftNavn,L1034))</f>
        <v/>
      </c>
      <c r="I1034" s="30">
        <f>IF(OR(A1034="",L1034=""),"",IF(MOD(A1034-INDEX(SkiftStart,L1034),Syklus)&lt;DagK,"Kveld",IF(MOD(A1034-INDEX(SkiftStart,L1034),Syklus)&lt;DagK+DagH,"Helg",IF(MOD(A1034-INDEX(SkiftStart,L1034),Syklus)&lt;DagK+DagH+DagD,"Dag","Fri"))))</f>
        <v/>
      </c>
      <c r="J1034" s="30">
        <f>IF(I1034="Fri","Ja","")</f>
        <v/>
      </c>
      <c r="K1034" s="30">
        <f>IF(B1034="","",IF(L1034="","Ukjent tekniker",IF(ISNA(MATCH(C1034,Aktiviteter,0)),"Ukjent aktivitet",IF(AND(INDEX(AktRolle,MATCH(C1034,Aktiviteter,0))&amp;""&lt;&gt;"",ISERROR(SEARCH(INDEX(AktRolle,MATCH(C1034,Aktiviteter,0))&amp;"",INDEX(TekRoller,MATCH(B1034,Teknikere,0))))),"Mangler rollen "&amp;INDEX(AktRolle,MATCH(C1034,Aktiviteter,0))&amp;"",IF(AND(C1034="LMS",F1034&gt;0,OR(D1034="",E1034="")),"Mangler maskin eller arbeid",IF(AND(OR(C1034="LMS",C1034="Mod"),D1034&lt;&gt;""),IF(IFERROR(INDEX(MaskinStatus,MATCH(D1034,Maskiner,0)),"")="I dokk","","Maskinen er ikke i dokk"),""))))))</f>
        <v/>
      </c>
      <c r="L1034" s="2">
        <f>IF(B1034="","",IFERROR(INT((MATCH(B1034,Teknikere,0)-1)/18)+1,""))</f>
        <v/>
      </c>
      <c r="M1034" s="2">
        <f>IF(OR(A1034="",B1034=""),"",B1034&amp;"|"&amp;A1034)</f>
        <v/>
      </c>
      <c r="N1034" s="2">
        <f>IF(M1034="","",SUMIFS(TF_Timer,TF_Nokkel,M1034,TF_Akt,C1034))</f>
        <v/>
      </c>
      <c r="O1034" s="2">
        <f>IF(M1034="","",IF(AND(N1034=_xlfn.MAXIFS(TF_AktSum,TF_Nokkel,M1034),COUNTIFS(M$3:M1033,M1034,N$3:N1033,N1034)=0),M1034,""))</f>
        <v/>
      </c>
    </row>
    <row r="1035">
      <c r="A1035" s="34" t="n"/>
      <c r="B1035" s="35" t="n"/>
      <c r="C1035" s="35" t="n"/>
      <c r="D1035" s="35" t="n"/>
      <c r="E1035" s="35" t="n"/>
      <c r="F1035" s="36" t="n"/>
      <c r="G1035" s="35" t="n"/>
      <c r="H1035" s="30">
        <f>IF(L1035="","",INDEX(SkiftNavn,L1035))</f>
        <v/>
      </c>
      <c r="I1035" s="30">
        <f>IF(OR(A1035="",L1035=""),"",IF(MOD(A1035-INDEX(SkiftStart,L1035),Syklus)&lt;DagK,"Kveld",IF(MOD(A1035-INDEX(SkiftStart,L1035),Syklus)&lt;DagK+DagH,"Helg",IF(MOD(A1035-INDEX(SkiftStart,L1035),Syklus)&lt;DagK+DagH+DagD,"Dag","Fri"))))</f>
        <v/>
      </c>
      <c r="J1035" s="30">
        <f>IF(I1035="Fri","Ja","")</f>
        <v/>
      </c>
      <c r="K1035" s="30">
        <f>IF(B1035="","",IF(L1035="","Ukjent tekniker",IF(ISNA(MATCH(C1035,Aktiviteter,0)),"Ukjent aktivitet",IF(AND(INDEX(AktRolle,MATCH(C1035,Aktiviteter,0))&amp;""&lt;&gt;"",ISERROR(SEARCH(INDEX(AktRolle,MATCH(C1035,Aktiviteter,0))&amp;"",INDEX(TekRoller,MATCH(B1035,Teknikere,0))))),"Mangler rollen "&amp;INDEX(AktRolle,MATCH(C1035,Aktiviteter,0))&amp;"",IF(AND(C1035="LMS",F1035&gt;0,OR(D1035="",E1035="")),"Mangler maskin eller arbeid",IF(AND(OR(C1035="LMS",C1035="Mod"),D1035&lt;&gt;""),IF(IFERROR(INDEX(MaskinStatus,MATCH(D1035,Maskiner,0)),"")="I dokk","","Maskinen er ikke i dokk"),""))))))</f>
        <v/>
      </c>
      <c r="L1035" s="2">
        <f>IF(B1035="","",IFERROR(INT((MATCH(B1035,Teknikere,0)-1)/18)+1,""))</f>
        <v/>
      </c>
      <c r="M1035" s="2">
        <f>IF(OR(A1035="",B1035=""),"",B1035&amp;"|"&amp;A1035)</f>
        <v/>
      </c>
      <c r="N1035" s="2">
        <f>IF(M1035="","",SUMIFS(TF_Timer,TF_Nokkel,M1035,TF_Akt,C1035))</f>
        <v/>
      </c>
      <c r="O1035" s="2">
        <f>IF(M1035="","",IF(AND(N1035=_xlfn.MAXIFS(TF_AktSum,TF_Nokkel,M1035),COUNTIFS(M$3:M1034,M1035,N$3:N1034,N1035)=0),M1035,""))</f>
        <v/>
      </c>
    </row>
    <row r="1036">
      <c r="A1036" s="34" t="n"/>
      <c r="B1036" s="35" t="n"/>
      <c r="C1036" s="35" t="n"/>
      <c r="D1036" s="35" t="n"/>
      <c r="E1036" s="35" t="n"/>
      <c r="F1036" s="36" t="n"/>
      <c r="G1036" s="35" t="n"/>
      <c r="H1036" s="30">
        <f>IF(L1036="","",INDEX(SkiftNavn,L1036))</f>
        <v/>
      </c>
      <c r="I1036" s="30">
        <f>IF(OR(A1036="",L1036=""),"",IF(MOD(A1036-INDEX(SkiftStart,L1036),Syklus)&lt;DagK,"Kveld",IF(MOD(A1036-INDEX(SkiftStart,L1036),Syklus)&lt;DagK+DagH,"Helg",IF(MOD(A1036-INDEX(SkiftStart,L1036),Syklus)&lt;DagK+DagH+DagD,"Dag","Fri"))))</f>
        <v/>
      </c>
      <c r="J1036" s="30">
        <f>IF(I1036="Fri","Ja","")</f>
        <v/>
      </c>
      <c r="K1036" s="30">
        <f>IF(B1036="","",IF(L1036="","Ukjent tekniker",IF(ISNA(MATCH(C1036,Aktiviteter,0)),"Ukjent aktivitet",IF(AND(INDEX(AktRolle,MATCH(C1036,Aktiviteter,0))&amp;""&lt;&gt;"",ISERROR(SEARCH(INDEX(AktRolle,MATCH(C1036,Aktiviteter,0))&amp;"",INDEX(TekRoller,MATCH(B1036,Teknikere,0))))),"Mangler rollen "&amp;INDEX(AktRolle,MATCH(C1036,Aktiviteter,0))&amp;"",IF(AND(C1036="LMS",F1036&gt;0,OR(D1036="",E1036="")),"Mangler maskin eller arbeid",IF(AND(OR(C1036="LMS",C1036="Mod"),D1036&lt;&gt;""),IF(IFERROR(INDEX(MaskinStatus,MATCH(D1036,Maskiner,0)),"")="I dokk","","Maskinen er ikke i dokk"),""))))))</f>
        <v/>
      </c>
      <c r="L1036" s="2">
        <f>IF(B1036="","",IFERROR(INT((MATCH(B1036,Teknikere,0)-1)/18)+1,""))</f>
        <v/>
      </c>
      <c r="M1036" s="2">
        <f>IF(OR(A1036="",B1036=""),"",B1036&amp;"|"&amp;A1036)</f>
        <v/>
      </c>
      <c r="N1036" s="2">
        <f>IF(M1036="","",SUMIFS(TF_Timer,TF_Nokkel,M1036,TF_Akt,C1036))</f>
        <v/>
      </c>
      <c r="O1036" s="2">
        <f>IF(M1036="","",IF(AND(N1036=_xlfn.MAXIFS(TF_AktSum,TF_Nokkel,M1036),COUNTIFS(M$3:M1035,M1036,N$3:N1035,N1036)=0),M1036,""))</f>
        <v/>
      </c>
    </row>
    <row r="1037">
      <c r="A1037" s="34" t="n"/>
      <c r="B1037" s="35" t="n"/>
      <c r="C1037" s="35" t="n"/>
      <c r="D1037" s="35" t="n"/>
      <c r="E1037" s="35" t="n"/>
      <c r="F1037" s="36" t="n"/>
      <c r="G1037" s="35" t="n"/>
      <c r="H1037" s="30">
        <f>IF(L1037="","",INDEX(SkiftNavn,L1037))</f>
        <v/>
      </c>
      <c r="I1037" s="30">
        <f>IF(OR(A1037="",L1037=""),"",IF(MOD(A1037-INDEX(SkiftStart,L1037),Syklus)&lt;DagK,"Kveld",IF(MOD(A1037-INDEX(SkiftStart,L1037),Syklus)&lt;DagK+DagH,"Helg",IF(MOD(A1037-INDEX(SkiftStart,L1037),Syklus)&lt;DagK+DagH+DagD,"Dag","Fri"))))</f>
        <v/>
      </c>
      <c r="J1037" s="30">
        <f>IF(I1037="Fri","Ja","")</f>
        <v/>
      </c>
      <c r="K1037" s="30">
        <f>IF(B1037="","",IF(L1037="","Ukjent tekniker",IF(ISNA(MATCH(C1037,Aktiviteter,0)),"Ukjent aktivitet",IF(AND(INDEX(AktRolle,MATCH(C1037,Aktiviteter,0))&amp;""&lt;&gt;"",ISERROR(SEARCH(INDEX(AktRolle,MATCH(C1037,Aktiviteter,0))&amp;"",INDEX(TekRoller,MATCH(B1037,Teknikere,0))))),"Mangler rollen "&amp;INDEX(AktRolle,MATCH(C1037,Aktiviteter,0))&amp;"",IF(AND(C1037="LMS",F1037&gt;0,OR(D1037="",E1037="")),"Mangler maskin eller arbeid",IF(AND(OR(C1037="LMS",C1037="Mod"),D1037&lt;&gt;""),IF(IFERROR(INDEX(MaskinStatus,MATCH(D1037,Maskiner,0)),"")="I dokk","","Maskinen er ikke i dokk"),""))))))</f>
        <v/>
      </c>
      <c r="L1037" s="2">
        <f>IF(B1037="","",IFERROR(INT((MATCH(B1037,Teknikere,0)-1)/18)+1,""))</f>
        <v/>
      </c>
      <c r="M1037" s="2">
        <f>IF(OR(A1037="",B1037=""),"",B1037&amp;"|"&amp;A1037)</f>
        <v/>
      </c>
      <c r="N1037" s="2">
        <f>IF(M1037="","",SUMIFS(TF_Timer,TF_Nokkel,M1037,TF_Akt,C1037))</f>
        <v/>
      </c>
      <c r="O1037" s="2">
        <f>IF(M1037="","",IF(AND(N1037=_xlfn.MAXIFS(TF_AktSum,TF_Nokkel,M1037),COUNTIFS(M$3:M1036,M1037,N$3:N1036,N1037)=0),M1037,""))</f>
        <v/>
      </c>
    </row>
    <row r="1038">
      <c r="A1038" s="34" t="n"/>
      <c r="B1038" s="35" t="n"/>
      <c r="C1038" s="35" t="n"/>
      <c r="D1038" s="35" t="n"/>
      <c r="E1038" s="35" t="n"/>
      <c r="F1038" s="36" t="n"/>
      <c r="G1038" s="35" t="n"/>
      <c r="H1038" s="30">
        <f>IF(L1038="","",INDEX(SkiftNavn,L1038))</f>
        <v/>
      </c>
      <c r="I1038" s="30">
        <f>IF(OR(A1038="",L1038=""),"",IF(MOD(A1038-INDEX(SkiftStart,L1038),Syklus)&lt;DagK,"Kveld",IF(MOD(A1038-INDEX(SkiftStart,L1038),Syklus)&lt;DagK+DagH,"Helg",IF(MOD(A1038-INDEX(SkiftStart,L1038),Syklus)&lt;DagK+DagH+DagD,"Dag","Fri"))))</f>
        <v/>
      </c>
      <c r="J1038" s="30">
        <f>IF(I1038="Fri","Ja","")</f>
        <v/>
      </c>
      <c r="K1038" s="30">
        <f>IF(B1038="","",IF(L1038="","Ukjent tekniker",IF(ISNA(MATCH(C1038,Aktiviteter,0)),"Ukjent aktivitet",IF(AND(INDEX(AktRolle,MATCH(C1038,Aktiviteter,0))&amp;""&lt;&gt;"",ISERROR(SEARCH(INDEX(AktRolle,MATCH(C1038,Aktiviteter,0))&amp;"",INDEX(TekRoller,MATCH(B1038,Teknikere,0))))),"Mangler rollen "&amp;INDEX(AktRolle,MATCH(C1038,Aktiviteter,0))&amp;"",IF(AND(C1038="LMS",F1038&gt;0,OR(D1038="",E1038="")),"Mangler maskin eller arbeid",IF(AND(OR(C1038="LMS",C1038="Mod"),D1038&lt;&gt;""),IF(IFERROR(INDEX(MaskinStatus,MATCH(D1038,Maskiner,0)),"")="I dokk","","Maskinen er ikke i dokk"),""))))))</f>
        <v/>
      </c>
      <c r="L1038" s="2">
        <f>IF(B1038="","",IFERROR(INT((MATCH(B1038,Teknikere,0)-1)/18)+1,""))</f>
        <v/>
      </c>
      <c r="M1038" s="2">
        <f>IF(OR(A1038="",B1038=""),"",B1038&amp;"|"&amp;A1038)</f>
        <v/>
      </c>
      <c r="N1038" s="2">
        <f>IF(M1038="","",SUMIFS(TF_Timer,TF_Nokkel,M1038,TF_Akt,C1038))</f>
        <v/>
      </c>
      <c r="O1038" s="2">
        <f>IF(M1038="","",IF(AND(N1038=_xlfn.MAXIFS(TF_AktSum,TF_Nokkel,M1038),COUNTIFS(M$3:M1037,M1038,N$3:N1037,N1038)=0),M1038,""))</f>
        <v/>
      </c>
    </row>
    <row r="1039">
      <c r="A1039" s="34" t="n"/>
      <c r="B1039" s="35" t="n"/>
      <c r="C1039" s="35" t="n"/>
      <c r="D1039" s="35" t="n"/>
      <c r="E1039" s="35" t="n"/>
      <c r="F1039" s="36" t="n"/>
      <c r="G1039" s="35" t="n"/>
      <c r="H1039" s="30">
        <f>IF(L1039="","",INDEX(SkiftNavn,L1039))</f>
        <v/>
      </c>
      <c r="I1039" s="30">
        <f>IF(OR(A1039="",L1039=""),"",IF(MOD(A1039-INDEX(SkiftStart,L1039),Syklus)&lt;DagK,"Kveld",IF(MOD(A1039-INDEX(SkiftStart,L1039),Syklus)&lt;DagK+DagH,"Helg",IF(MOD(A1039-INDEX(SkiftStart,L1039),Syklus)&lt;DagK+DagH+DagD,"Dag","Fri"))))</f>
        <v/>
      </c>
      <c r="J1039" s="30">
        <f>IF(I1039="Fri","Ja","")</f>
        <v/>
      </c>
      <c r="K1039" s="30">
        <f>IF(B1039="","",IF(L1039="","Ukjent tekniker",IF(ISNA(MATCH(C1039,Aktiviteter,0)),"Ukjent aktivitet",IF(AND(INDEX(AktRolle,MATCH(C1039,Aktiviteter,0))&amp;""&lt;&gt;"",ISERROR(SEARCH(INDEX(AktRolle,MATCH(C1039,Aktiviteter,0))&amp;"",INDEX(TekRoller,MATCH(B1039,Teknikere,0))))),"Mangler rollen "&amp;INDEX(AktRolle,MATCH(C1039,Aktiviteter,0))&amp;"",IF(AND(C1039="LMS",F1039&gt;0,OR(D1039="",E1039="")),"Mangler maskin eller arbeid",IF(AND(OR(C1039="LMS",C1039="Mod"),D1039&lt;&gt;""),IF(IFERROR(INDEX(MaskinStatus,MATCH(D1039,Maskiner,0)),"")="I dokk","","Maskinen er ikke i dokk"),""))))))</f>
        <v/>
      </c>
      <c r="L1039" s="2">
        <f>IF(B1039="","",IFERROR(INT((MATCH(B1039,Teknikere,0)-1)/18)+1,""))</f>
        <v/>
      </c>
      <c r="M1039" s="2">
        <f>IF(OR(A1039="",B1039=""),"",B1039&amp;"|"&amp;A1039)</f>
        <v/>
      </c>
      <c r="N1039" s="2">
        <f>IF(M1039="","",SUMIFS(TF_Timer,TF_Nokkel,M1039,TF_Akt,C1039))</f>
        <v/>
      </c>
      <c r="O1039" s="2">
        <f>IF(M1039="","",IF(AND(N1039=_xlfn.MAXIFS(TF_AktSum,TF_Nokkel,M1039),COUNTIFS(M$3:M1038,M1039,N$3:N1038,N1039)=0),M1039,""))</f>
        <v/>
      </c>
    </row>
    <row r="1040">
      <c r="A1040" s="34" t="n"/>
      <c r="B1040" s="35" t="n"/>
      <c r="C1040" s="35" t="n"/>
      <c r="D1040" s="35" t="n"/>
      <c r="E1040" s="35" t="n"/>
      <c r="F1040" s="36" t="n"/>
      <c r="G1040" s="35" t="n"/>
      <c r="H1040" s="30">
        <f>IF(L1040="","",INDEX(SkiftNavn,L1040))</f>
        <v/>
      </c>
      <c r="I1040" s="30">
        <f>IF(OR(A1040="",L1040=""),"",IF(MOD(A1040-INDEX(SkiftStart,L1040),Syklus)&lt;DagK,"Kveld",IF(MOD(A1040-INDEX(SkiftStart,L1040),Syklus)&lt;DagK+DagH,"Helg",IF(MOD(A1040-INDEX(SkiftStart,L1040),Syklus)&lt;DagK+DagH+DagD,"Dag","Fri"))))</f>
        <v/>
      </c>
      <c r="J1040" s="30">
        <f>IF(I1040="Fri","Ja","")</f>
        <v/>
      </c>
      <c r="K1040" s="30">
        <f>IF(B1040="","",IF(L1040="","Ukjent tekniker",IF(ISNA(MATCH(C1040,Aktiviteter,0)),"Ukjent aktivitet",IF(AND(INDEX(AktRolle,MATCH(C1040,Aktiviteter,0))&amp;""&lt;&gt;"",ISERROR(SEARCH(INDEX(AktRolle,MATCH(C1040,Aktiviteter,0))&amp;"",INDEX(TekRoller,MATCH(B1040,Teknikere,0))))),"Mangler rollen "&amp;INDEX(AktRolle,MATCH(C1040,Aktiviteter,0))&amp;"",IF(AND(C1040="LMS",F1040&gt;0,OR(D1040="",E1040="")),"Mangler maskin eller arbeid",IF(AND(OR(C1040="LMS",C1040="Mod"),D1040&lt;&gt;""),IF(IFERROR(INDEX(MaskinStatus,MATCH(D1040,Maskiner,0)),"")="I dokk","","Maskinen er ikke i dokk"),""))))))</f>
        <v/>
      </c>
      <c r="L1040" s="2">
        <f>IF(B1040="","",IFERROR(INT((MATCH(B1040,Teknikere,0)-1)/18)+1,""))</f>
        <v/>
      </c>
      <c r="M1040" s="2">
        <f>IF(OR(A1040="",B1040=""),"",B1040&amp;"|"&amp;A1040)</f>
        <v/>
      </c>
      <c r="N1040" s="2">
        <f>IF(M1040="","",SUMIFS(TF_Timer,TF_Nokkel,M1040,TF_Akt,C1040))</f>
        <v/>
      </c>
      <c r="O1040" s="2">
        <f>IF(M1040="","",IF(AND(N1040=_xlfn.MAXIFS(TF_AktSum,TF_Nokkel,M1040),COUNTIFS(M$3:M1039,M1040,N$3:N1039,N1040)=0),M1040,""))</f>
        <v/>
      </c>
    </row>
    <row r="1041">
      <c r="A1041" s="34" t="n"/>
      <c r="B1041" s="35" t="n"/>
      <c r="C1041" s="35" t="n"/>
      <c r="D1041" s="35" t="n"/>
      <c r="E1041" s="35" t="n"/>
      <c r="F1041" s="36" t="n"/>
      <c r="G1041" s="35" t="n"/>
      <c r="H1041" s="30">
        <f>IF(L1041="","",INDEX(SkiftNavn,L1041))</f>
        <v/>
      </c>
      <c r="I1041" s="30">
        <f>IF(OR(A1041="",L1041=""),"",IF(MOD(A1041-INDEX(SkiftStart,L1041),Syklus)&lt;DagK,"Kveld",IF(MOD(A1041-INDEX(SkiftStart,L1041),Syklus)&lt;DagK+DagH,"Helg",IF(MOD(A1041-INDEX(SkiftStart,L1041),Syklus)&lt;DagK+DagH+DagD,"Dag","Fri"))))</f>
        <v/>
      </c>
      <c r="J1041" s="30">
        <f>IF(I1041="Fri","Ja","")</f>
        <v/>
      </c>
      <c r="K1041" s="30">
        <f>IF(B1041="","",IF(L1041="","Ukjent tekniker",IF(ISNA(MATCH(C1041,Aktiviteter,0)),"Ukjent aktivitet",IF(AND(INDEX(AktRolle,MATCH(C1041,Aktiviteter,0))&amp;""&lt;&gt;"",ISERROR(SEARCH(INDEX(AktRolle,MATCH(C1041,Aktiviteter,0))&amp;"",INDEX(TekRoller,MATCH(B1041,Teknikere,0))))),"Mangler rollen "&amp;INDEX(AktRolle,MATCH(C1041,Aktiviteter,0))&amp;"",IF(AND(C1041="LMS",F1041&gt;0,OR(D1041="",E1041="")),"Mangler maskin eller arbeid",IF(AND(OR(C1041="LMS",C1041="Mod"),D1041&lt;&gt;""),IF(IFERROR(INDEX(MaskinStatus,MATCH(D1041,Maskiner,0)),"")="I dokk","","Maskinen er ikke i dokk"),""))))))</f>
        <v/>
      </c>
      <c r="L1041" s="2">
        <f>IF(B1041="","",IFERROR(INT((MATCH(B1041,Teknikere,0)-1)/18)+1,""))</f>
        <v/>
      </c>
      <c r="M1041" s="2">
        <f>IF(OR(A1041="",B1041=""),"",B1041&amp;"|"&amp;A1041)</f>
        <v/>
      </c>
      <c r="N1041" s="2">
        <f>IF(M1041="","",SUMIFS(TF_Timer,TF_Nokkel,M1041,TF_Akt,C1041))</f>
        <v/>
      </c>
      <c r="O1041" s="2">
        <f>IF(M1041="","",IF(AND(N1041=_xlfn.MAXIFS(TF_AktSum,TF_Nokkel,M1041),COUNTIFS(M$3:M1040,M1041,N$3:N1040,N1041)=0),M1041,""))</f>
        <v/>
      </c>
    </row>
    <row r="1042">
      <c r="A1042" s="34" t="n"/>
      <c r="B1042" s="35" t="n"/>
      <c r="C1042" s="35" t="n"/>
      <c r="D1042" s="35" t="n"/>
      <c r="E1042" s="35" t="n"/>
      <c r="F1042" s="36" t="n"/>
      <c r="G1042" s="35" t="n"/>
      <c r="H1042" s="30">
        <f>IF(L1042="","",INDEX(SkiftNavn,L1042))</f>
        <v/>
      </c>
      <c r="I1042" s="30">
        <f>IF(OR(A1042="",L1042=""),"",IF(MOD(A1042-INDEX(SkiftStart,L1042),Syklus)&lt;DagK,"Kveld",IF(MOD(A1042-INDEX(SkiftStart,L1042),Syklus)&lt;DagK+DagH,"Helg",IF(MOD(A1042-INDEX(SkiftStart,L1042),Syklus)&lt;DagK+DagH+DagD,"Dag","Fri"))))</f>
        <v/>
      </c>
      <c r="J1042" s="30">
        <f>IF(I1042="Fri","Ja","")</f>
        <v/>
      </c>
      <c r="K1042" s="30">
        <f>IF(B1042="","",IF(L1042="","Ukjent tekniker",IF(ISNA(MATCH(C1042,Aktiviteter,0)),"Ukjent aktivitet",IF(AND(INDEX(AktRolle,MATCH(C1042,Aktiviteter,0))&amp;""&lt;&gt;"",ISERROR(SEARCH(INDEX(AktRolle,MATCH(C1042,Aktiviteter,0))&amp;"",INDEX(TekRoller,MATCH(B1042,Teknikere,0))))),"Mangler rollen "&amp;INDEX(AktRolle,MATCH(C1042,Aktiviteter,0))&amp;"",IF(AND(C1042="LMS",F1042&gt;0,OR(D1042="",E1042="")),"Mangler maskin eller arbeid",IF(AND(OR(C1042="LMS",C1042="Mod"),D1042&lt;&gt;""),IF(IFERROR(INDEX(MaskinStatus,MATCH(D1042,Maskiner,0)),"")="I dokk","","Maskinen er ikke i dokk"),""))))))</f>
        <v/>
      </c>
      <c r="L1042" s="2">
        <f>IF(B1042="","",IFERROR(INT((MATCH(B1042,Teknikere,0)-1)/18)+1,""))</f>
        <v/>
      </c>
      <c r="M1042" s="2">
        <f>IF(OR(A1042="",B1042=""),"",B1042&amp;"|"&amp;A1042)</f>
        <v/>
      </c>
      <c r="N1042" s="2">
        <f>IF(M1042="","",SUMIFS(TF_Timer,TF_Nokkel,M1042,TF_Akt,C1042))</f>
        <v/>
      </c>
      <c r="O1042" s="2">
        <f>IF(M1042="","",IF(AND(N1042=_xlfn.MAXIFS(TF_AktSum,TF_Nokkel,M1042),COUNTIFS(M$3:M1041,M1042,N$3:N1041,N1042)=0),M1042,""))</f>
        <v/>
      </c>
    </row>
    <row r="1043">
      <c r="A1043" s="34" t="n"/>
      <c r="B1043" s="35" t="n"/>
      <c r="C1043" s="35" t="n"/>
      <c r="D1043" s="35" t="n"/>
      <c r="E1043" s="35" t="n"/>
      <c r="F1043" s="36" t="n"/>
      <c r="G1043" s="35" t="n"/>
      <c r="H1043" s="30">
        <f>IF(L1043="","",INDEX(SkiftNavn,L1043))</f>
        <v/>
      </c>
      <c r="I1043" s="30">
        <f>IF(OR(A1043="",L1043=""),"",IF(MOD(A1043-INDEX(SkiftStart,L1043),Syklus)&lt;DagK,"Kveld",IF(MOD(A1043-INDEX(SkiftStart,L1043),Syklus)&lt;DagK+DagH,"Helg",IF(MOD(A1043-INDEX(SkiftStart,L1043),Syklus)&lt;DagK+DagH+DagD,"Dag","Fri"))))</f>
        <v/>
      </c>
      <c r="J1043" s="30">
        <f>IF(I1043="Fri","Ja","")</f>
        <v/>
      </c>
      <c r="K1043" s="30">
        <f>IF(B1043="","",IF(L1043="","Ukjent tekniker",IF(ISNA(MATCH(C1043,Aktiviteter,0)),"Ukjent aktivitet",IF(AND(INDEX(AktRolle,MATCH(C1043,Aktiviteter,0))&amp;""&lt;&gt;"",ISERROR(SEARCH(INDEX(AktRolle,MATCH(C1043,Aktiviteter,0))&amp;"",INDEX(TekRoller,MATCH(B1043,Teknikere,0))))),"Mangler rollen "&amp;INDEX(AktRolle,MATCH(C1043,Aktiviteter,0))&amp;"",IF(AND(C1043="LMS",F1043&gt;0,OR(D1043="",E1043="")),"Mangler maskin eller arbeid",IF(AND(OR(C1043="LMS",C1043="Mod"),D1043&lt;&gt;""),IF(IFERROR(INDEX(MaskinStatus,MATCH(D1043,Maskiner,0)),"")="I dokk","","Maskinen er ikke i dokk"),""))))))</f>
        <v/>
      </c>
      <c r="L1043" s="2">
        <f>IF(B1043="","",IFERROR(INT((MATCH(B1043,Teknikere,0)-1)/18)+1,""))</f>
        <v/>
      </c>
      <c r="M1043" s="2">
        <f>IF(OR(A1043="",B1043=""),"",B1043&amp;"|"&amp;A1043)</f>
        <v/>
      </c>
      <c r="N1043" s="2">
        <f>IF(M1043="","",SUMIFS(TF_Timer,TF_Nokkel,M1043,TF_Akt,C1043))</f>
        <v/>
      </c>
      <c r="O1043" s="2">
        <f>IF(M1043="","",IF(AND(N1043=_xlfn.MAXIFS(TF_AktSum,TF_Nokkel,M1043),COUNTIFS(M$3:M1042,M1043,N$3:N1042,N1043)=0),M1043,""))</f>
        <v/>
      </c>
    </row>
    <row r="1044">
      <c r="A1044" s="34" t="n"/>
      <c r="B1044" s="35" t="n"/>
      <c r="C1044" s="35" t="n"/>
      <c r="D1044" s="35" t="n"/>
      <c r="E1044" s="35" t="n"/>
      <c r="F1044" s="36" t="n"/>
      <c r="G1044" s="35" t="n"/>
      <c r="H1044" s="30">
        <f>IF(L1044="","",INDEX(SkiftNavn,L1044))</f>
        <v/>
      </c>
      <c r="I1044" s="30">
        <f>IF(OR(A1044="",L1044=""),"",IF(MOD(A1044-INDEX(SkiftStart,L1044),Syklus)&lt;DagK,"Kveld",IF(MOD(A1044-INDEX(SkiftStart,L1044),Syklus)&lt;DagK+DagH,"Helg",IF(MOD(A1044-INDEX(SkiftStart,L1044),Syklus)&lt;DagK+DagH+DagD,"Dag","Fri"))))</f>
        <v/>
      </c>
      <c r="J1044" s="30">
        <f>IF(I1044="Fri","Ja","")</f>
        <v/>
      </c>
      <c r="K1044" s="30">
        <f>IF(B1044="","",IF(L1044="","Ukjent tekniker",IF(ISNA(MATCH(C1044,Aktiviteter,0)),"Ukjent aktivitet",IF(AND(INDEX(AktRolle,MATCH(C1044,Aktiviteter,0))&amp;""&lt;&gt;"",ISERROR(SEARCH(INDEX(AktRolle,MATCH(C1044,Aktiviteter,0))&amp;"",INDEX(TekRoller,MATCH(B1044,Teknikere,0))))),"Mangler rollen "&amp;INDEX(AktRolle,MATCH(C1044,Aktiviteter,0))&amp;"",IF(AND(C1044="LMS",F1044&gt;0,OR(D1044="",E1044="")),"Mangler maskin eller arbeid",IF(AND(OR(C1044="LMS",C1044="Mod"),D1044&lt;&gt;""),IF(IFERROR(INDEX(MaskinStatus,MATCH(D1044,Maskiner,0)),"")="I dokk","","Maskinen er ikke i dokk"),""))))))</f>
        <v/>
      </c>
      <c r="L1044" s="2">
        <f>IF(B1044="","",IFERROR(INT((MATCH(B1044,Teknikere,0)-1)/18)+1,""))</f>
        <v/>
      </c>
      <c r="M1044" s="2">
        <f>IF(OR(A1044="",B1044=""),"",B1044&amp;"|"&amp;A1044)</f>
        <v/>
      </c>
      <c r="N1044" s="2">
        <f>IF(M1044="","",SUMIFS(TF_Timer,TF_Nokkel,M1044,TF_Akt,C1044))</f>
        <v/>
      </c>
      <c r="O1044" s="2">
        <f>IF(M1044="","",IF(AND(N1044=_xlfn.MAXIFS(TF_AktSum,TF_Nokkel,M1044),COUNTIFS(M$3:M1043,M1044,N$3:N1043,N1044)=0),M1044,""))</f>
        <v/>
      </c>
    </row>
    <row r="1045">
      <c r="A1045" s="34" t="n"/>
      <c r="B1045" s="35" t="n"/>
      <c r="C1045" s="35" t="n"/>
      <c r="D1045" s="35" t="n"/>
      <c r="E1045" s="35" t="n"/>
      <c r="F1045" s="36" t="n"/>
      <c r="G1045" s="35" t="n"/>
      <c r="H1045" s="30">
        <f>IF(L1045="","",INDEX(SkiftNavn,L1045))</f>
        <v/>
      </c>
      <c r="I1045" s="30">
        <f>IF(OR(A1045="",L1045=""),"",IF(MOD(A1045-INDEX(SkiftStart,L1045),Syklus)&lt;DagK,"Kveld",IF(MOD(A1045-INDEX(SkiftStart,L1045),Syklus)&lt;DagK+DagH,"Helg",IF(MOD(A1045-INDEX(SkiftStart,L1045),Syklus)&lt;DagK+DagH+DagD,"Dag","Fri"))))</f>
        <v/>
      </c>
      <c r="J1045" s="30">
        <f>IF(I1045="Fri","Ja","")</f>
        <v/>
      </c>
      <c r="K1045" s="30">
        <f>IF(B1045="","",IF(L1045="","Ukjent tekniker",IF(ISNA(MATCH(C1045,Aktiviteter,0)),"Ukjent aktivitet",IF(AND(INDEX(AktRolle,MATCH(C1045,Aktiviteter,0))&amp;""&lt;&gt;"",ISERROR(SEARCH(INDEX(AktRolle,MATCH(C1045,Aktiviteter,0))&amp;"",INDEX(TekRoller,MATCH(B1045,Teknikere,0))))),"Mangler rollen "&amp;INDEX(AktRolle,MATCH(C1045,Aktiviteter,0))&amp;"",IF(AND(C1045="LMS",F1045&gt;0,OR(D1045="",E1045="")),"Mangler maskin eller arbeid",IF(AND(OR(C1045="LMS",C1045="Mod"),D1045&lt;&gt;""),IF(IFERROR(INDEX(MaskinStatus,MATCH(D1045,Maskiner,0)),"")="I dokk","","Maskinen er ikke i dokk"),""))))))</f>
        <v/>
      </c>
      <c r="L1045" s="2">
        <f>IF(B1045="","",IFERROR(INT((MATCH(B1045,Teknikere,0)-1)/18)+1,""))</f>
        <v/>
      </c>
      <c r="M1045" s="2">
        <f>IF(OR(A1045="",B1045=""),"",B1045&amp;"|"&amp;A1045)</f>
        <v/>
      </c>
      <c r="N1045" s="2">
        <f>IF(M1045="","",SUMIFS(TF_Timer,TF_Nokkel,M1045,TF_Akt,C1045))</f>
        <v/>
      </c>
      <c r="O1045" s="2">
        <f>IF(M1045="","",IF(AND(N1045=_xlfn.MAXIFS(TF_AktSum,TF_Nokkel,M1045),COUNTIFS(M$3:M1044,M1045,N$3:N1044,N1045)=0),M1045,""))</f>
        <v/>
      </c>
    </row>
    <row r="1046">
      <c r="A1046" s="34" t="n"/>
      <c r="B1046" s="35" t="n"/>
      <c r="C1046" s="35" t="n"/>
      <c r="D1046" s="35" t="n"/>
      <c r="E1046" s="35" t="n"/>
      <c r="F1046" s="36" t="n"/>
      <c r="G1046" s="35" t="n"/>
      <c r="H1046" s="30">
        <f>IF(L1046="","",INDEX(SkiftNavn,L1046))</f>
        <v/>
      </c>
      <c r="I1046" s="30">
        <f>IF(OR(A1046="",L1046=""),"",IF(MOD(A1046-INDEX(SkiftStart,L1046),Syklus)&lt;DagK,"Kveld",IF(MOD(A1046-INDEX(SkiftStart,L1046),Syklus)&lt;DagK+DagH,"Helg",IF(MOD(A1046-INDEX(SkiftStart,L1046),Syklus)&lt;DagK+DagH+DagD,"Dag","Fri"))))</f>
        <v/>
      </c>
      <c r="J1046" s="30">
        <f>IF(I1046="Fri","Ja","")</f>
        <v/>
      </c>
      <c r="K1046" s="30">
        <f>IF(B1046="","",IF(L1046="","Ukjent tekniker",IF(ISNA(MATCH(C1046,Aktiviteter,0)),"Ukjent aktivitet",IF(AND(INDEX(AktRolle,MATCH(C1046,Aktiviteter,0))&amp;""&lt;&gt;"",ISERROR(SEARCH(INDEX(AktRolle,MATCH(C1046,Aktiviteter,0))&amp;"",INDEX(TekRoller,MATCH(B1046,Teknikere,0))))),"Mangler rollen "&amp;INDEX(AktRolle,MATCH(C1046,Aktiviteter,0))&amp;"",IF(AND(C1046="LMS",F1046&gt;0,OR(D1046="",E1046="")),"Mangler maskin eller arbeid",IF(AND(OR(C1046="LMS",C1046="Mod"),D1046&lt;&gt;""),IF(IFERROR(INDEX(MaskinStatus,MATCH(D1046,Maskiner,0)),"")="I dokk","","Maskinen er ikke i dokk"),""))))))</f>
        <v/>
      </c>
      <c r="L1046" s="2">
        <f>IF(B1046="","",IFERROR(INT((MATCH(B1046,Teknikere,0)-1)/18)+1,""))</f>
        <v/>
      </c>
      <c r="M1046" s="2">
        <f>IF(OR(A1046="",B1046=""),"",B1046&amp;"|"&amp;A1046)</f>
        <v/>
      </c>
      <c r="N1046" s="2">
        <f>IF(M1046="","",SUMIFS(TF_Timer,TF_Nokkel,M1046,TF_Akt,C1046))</f>
        <v/>
      </c>
      <c r="O1046" s="2">
        <f>IF(M1046="","",IF(AND(N1046=_xlfn.MAXIFS(TF_AktSum,TF_Nokkel,M1046),COUNTIFS(M$3:M1045,M1046,N$3:N1045,N1046)=0),M1046,""))</f>
        <v/>
      </c>
    </row>
    <row r="1047">
      <c r="A1047" s="34" t="n"/>
      <c r="B1047" s="35" t="n"/>
      <c r="C1047" s="35" t="n"/>
      <c r="D1047" s="35" t="n"/>
      <c r="E1047" s="35" t="n"/>
      <c r="F1047" s="36" t="n"/>
      <c r="G1047" s="35" t="n"/>
      <c r="H1047" s="30">
        <f>IF(L1047="","",INDEX(SkiftNavn,L1047))</f>
        <v/>
      </c>
      <c r="I1047" s="30">
        <f>IF(OR(A1047="",L1047=""),"",IF(MOD(A1047-INDEX(SkiftStart,L1047),Syklus)&lt;DagK,"Kveld",IF(MOD(A1047-INDEX(SkiftStart,L1047),Syklus)&lt;DagK+DagH,"Helg",IF(MOD(A1047-INDEX(SkiftStart,L1047),Syklus)&lt;DagK+DagH+DagD,"Dag","Fri"))))</f>
        <v/>
      </c>
      <c r="J1047" s="30">
        <f>IF(I1047="Fri","Ja","")</f>
        <v/>
      </c>
      <c r="K1047" s="30">
        <f>IF(B1047="","",IF(L1047="","Ukjent tekniker",IF(ISNA(MATCH(C1047,Aktiviteter,0)),"Ukjent aktivitet",IF(AND(INDEX(AktRolle,MATCH(C1047,Aktiviteter,0))&amp;""&lt;&gt;"",ISERROR(SEARCH(INDEX(AktRolle,MATCH(C1047,Aktiviteter,0))&amp;"",INDEX(TekRoller,MATCH(B1047,Teknikere,0))))),"Mangler rollen "&amp;INDEX(AktRolle,MATCH(C1047,Aktiviteter,0))&amp;"",IF(AND(C1047="LMS",F1047&gt;0,OR(D1047="",E1047="")),"Mangler maskin eller arbeid",IF(AND(OR(C1047="LMS",C1047="Mod"),D1047&lt;&gt;""),IF(IFERROR(INDEX(MaskinStatus,MATCH(D1047,Maskiner,0)),"")="I dokk","","Maskinen er ikke i dokk"),""))))))</f>
        <v/>
      </c>
      <c r="L1047" s="2">
        <f>IF(B1047="","",IFERROR(INT((MATCH(B1047,Teknikere,0)-1)/18)+1,""))</f>
        <v/>
      </c>
      <c r="M1047" s="2">
        <f>IF(OR(A1047="",B1047=""),"",B1047&amp;"|"&amp;A1047)</f>
        <v/>
      </c>
      <c r="N1047" s="2">
        <f>IF(M1047="","",SUMIFS(TF_Timer,TF_Nokkel,M1047,TF_Akt,C1047))</f>
        <v/>
      </c>
      <c r="O1047" s="2">
        <f>IF(M1047="","",IF(AND(N1047=_xlfn.MAXIFS(TF_AktSum,TF_Nokkel,M1047),COUNTIFS(M$3:M1046,M1047,N$3:N1046,N1047)=0),M1047,""))</f>
        <v/>
      </c>
    </row>
    <row r="1048">
      <c r="A1048" s="34" t="n"/>
      <c r="B1048" s="35" t="n"/>
      <c r="C1048" s="35" t="n"/>
      <c r="D1048" s="35" t="n"/>
      <c r="E1048" s="35" t="n"/>
      <c r="F1048" s="36" t="n"/>
      <c r="G1048" s="35" t="n"/>
      <c r="H1048" s="30">
        <f>IF(L1048="","",INDEX(SkiftNavn,L1048))</f>
        <v/>
      </c>
      <c r="I1048" s="30">
        <f>IF(OR(A1048="",L1048=""),"",IF(MOD(A1048-INDEX(SkiftStart,L1048),Syklus)&lt;DagK,"Kveld",IF(MOD(A1048-INDEX(SkiftStart,L1048),Syklus)&lt;DagK+DagH,"Helg",IF(MOD(A1048-INDEX(SkiftStart,L1048),Syklus)&lt;DagK+DagH+DagD,"Dag","Fri"))))</f>
        <v/>
      </c>
      <c r="J1048" s="30">
        <f>IF(I1048="Fri","Ja","")</f>
        <v/>
      </c>
      <c r="K1048" s="30">
        <f>IF(B1048="","",IF(L1048="","Ukjent tekniker",IF(ISNA(MATCH(C1048,Aktiviteter,0)),"Ukjent aktivitet",IF(AND(INDEX(AktRolle,MATCH(C1048,Aktiviteter,0))&amp;""&lt;&gt;"",ISERROR(SEARCH(INDEX(AktRolle,MATCH(C1048,Aktiviteter,0))&amp;"",INDEX(TekRoller,MATCH(B1048,Teknikere,0))))),"Mangler rollen "&amp;INDEX(AktRolle,MATCH(C1048,Aktiviteter,0))&amp;"",IF(AND(C1048="LMS",F1048&gt;0,OR(D1048="",E1048="")),"Mangler maskin eller arbeid",IF(AND(OR(C1048="LMS",C1048="Mod"),D1048&lt;&gt;""),IF(IFERROR(INDEX(MaskinStatus,MATCH(D1048,Maskiner,0)),"")="I dokk","","Maskinen er ikke i dokk"),""))))))</f>
        <v/>
      </c>
      <c r="L1048" s="2">
        <f>IF(B1048="","",IFERROR(INT((MATCH(B1048,Teknikere,0)-1)/18)+1,""))</f>
        <v/>
      </c>
      <c r="M1048" s="2">
        <f>IF(OR(A1048="",B1048=""),"",B1048&amp;"|"&amp;A1048)</f>
        <v/>
      </c>
      <c r="N1048" s="2">
        <f>IF(M1048="","",SUMIFS(TF_Timer,TF_Nokkel,M1048,TF_Akt,C1048))</f>
        <v/>
      </c>
      <c r="O1048" s="2">
        <f>IF(M1048="","",IF(AND(N1048=_xlfn.MAXIFS(TF_AktSum,TF_Nokkel,M1048),COUNTIFS(M$3:M1047,M1048,N$3:N1047,N1048)=0),M1048,""))</f>
        <v/>
      </c>
    </row>
    <row r="1049">
      <c r="A1049" s="34" t="n"/>
      <c r="B1049" s="35" t="n"/>
      <c r="C1049" s="35" t="n"/>
      <c r="D1049" s="35" t="n"/>
      <c r="E1049" s="35" t="n"/>
      <c r="F1049" s="36" t="n"/>
      <c r="G1049" s="35" t="n"/>
      <c r="H1049" s="30">
        <f>IF(L1049="","",INDEX(SkiftNavn,L1049))</f>
        <v/>
      </c>
      <c r="I1049" s="30">
        <f>IF(OR(A1049="",L1049=""),"",IF(MOD(A1049-INDEX(SkiftStart,L1049),Syklus)&lt;DagK,"Kveld",IF(MOD(A1049-INDEX(SkiftStart,L1049),Syklus)&lt;DagK+DagH,"Helg",IF(MOD(A1049-INDEX(SkiftStart,L1049),Syklus)&lt;DagK+DagH+DagD,"Dag","Fri"))))</f>
        <v/>
      </c>
      <c r="J1049" s="30">
        <f>IF(I1049="Fri","Ja","")</f>
        <v/>
      </c>
      <c r="K1049" s="30">
        <f>IF(B1049="","",IF(L1049="","Ukjent tekniker",IF(ISNA(MATCH(C1049,Aktiviteter,0)),"Ukjent aktivitet",IF(AND(INDEX(AktRolle,MATCH(C1049,Aktiviteter,0))&amp;""&lt;&gt;"",ISERROR(SEARCH(INDEX(AktRolle,MATCH(C1049,Aktiviteter,0))&amp;"",INDEX(TekRoller,MATCH(B1049,Teknikere,0))))),"Mangler rollen "&amp;INDEX(AktRolle,MATCH(C1049,Aktiviteter,0))&amp;"",IF(AND(C1049="LMS",F1049&gt;0,OR(D1049="",E1049="")),"Mangler maskin eller arbeid",IF(AND(OR(C1049="LMS",C1049="Mod"),D1049&lt;&gt;""),IF(IFERROR(INDEX(MaskinStatus,MATCH(D1049,Maskiner,0)),"")="I dokk","","Maskinen er ikke i dokk"),""))))))</f>
        <v/>
      </c>
      <c r="L1049" s="2">
        <f>IF(B1049="","",IFERROR(INT((MATCH(B1049,Teknikere,0)-1)/18)+1,""))</f>
        <v/>
      </c>
      <c r="M1049" s="2">
        <f>IF(OR(A1049="",B1049=""),"",B1049&amp;"|"&amp;A1049)</f>
        <v/>
      </c>
      <c r="N1049" s="2">
        <f>IF(M1049="","",SUMIFS(TF_Timer,TF_Nokkel,M1049,TF_Akt,C1049))</f>
        <v/>
      </c>
      <c r="O1049" s="2">
        <f>IF(M1049="","",IF(AND(N1049=_xlfn.MAXIFS(TF_AktSum,TF_Nokkel,M1049),COUNTIFS(M$3:M1048,M1049,N$3:N1048,N1049)=0),M1049,""))</f>
        <v/>
      </c>
    </row>
    <row r="1050">
      <c r="A1050" s="34" t="n"/>
      <c r="B1050" s="35" t="n"/>
      <c r="C1050" s="35" t="n"/>
      <c r="D1050" s="35" t="n"/>
      <c r="E1050" s="35" t="n"/>
      <c r="F1050" s="36" t="n"/>
      <c r="G1050" s="35" t="n"/>
      <c r="H1050" s="30">
        <f>IF(L1050="","",INDEX(SkiftNavn,L1050))</f>
        <v/>
      </c>
      <c r="I1050" s="30">
        <f>IF(OR(A1050="",L1050=""),"",IF(MOD(A1050-INDEX(SkiftStart,L1050),Syklus)&lt;DagK,"Kveld",IF(MOD(A1050-INDEX(SkiftStart,L1050),Syklus)&lt;DagK+DagH,"Helg",IF(MOD(A1050-INDEX(SkiftStart,L1050),Syklus)&lt;DagK+DagH+DagD,"Dag","Fri"))))</f>
        <v/>
      </c>
      <c r="J1050" s="30">
        <f>IF(I1050="Fri","Ja","")</f>
        <v/>
      </c>
      <c r="K1050" s="30">
        <f>IF(B1050="","",IF(L1050="","Ukjent tekniker",IF(ISNA(MATCH(C1050,Aktiviteter,0)),"Ukjent aktivitet",IF(AND(INDEX(AktRolle,MATCH(C1050,Aktiviteter,0))&amp;""&lt;&gt;"",ISERROR(SEARCH(INDEX(AktRolle,MATCH(C1050,Aktiviteter,0))&amp;"",INDEX(TekRoller,MATCH(B1050,Teknikere,0))))),"Mangler rollen "&amp;INDEX(AktRolle,MATCH(C1050,Aktiviteter,0))&amp;"",IF(AND(C1050="LMS",F1050&gt;0,OR(D1050="",E1050="")),"Mangler maskin eller arbeid",IF(AND(OR(C1050="LMS",C1050="Mod"),D1050&lt;&gt;""),IF(IFERROR(INDEX(MaskinStatus,MATCH(D1050,Maskiner,0)),"")="I dokk","","Maskinen er ikke i dokk"),""))))))</f>
        <v/>
      </c>
      <c r="L1050" s="2">
        <f>IF(B1050="","",IFERROR(INT((MATCH(B1050,Teknikere,0)-1)/18)+1,""))</f>
        <v/>
      </c>
      <c r="M1050" s="2">
        <f>IF(OR(A1050="",B1050=""),"",B1050&amp;"|"&amp;A1050)</f>
        <v/>
      </c>
      <c r="N1050" s="2">
        <f>IF(M1050="","",SUMIFS(TF_Timer,TF_Nokkel,M1050,TF_Akt,C1050))</f>
        <v/>
      </c>
      <c r="O1050" s="2">
        <f>IF(M1050="","",IF(AND(N1050=_xlfn.MAXIFS(TF_AktSum,TF_Nokkel,M1050),COUNTIFS(M$3:M1049,M1050,N$3:N1049,N1050)=0),M1050,""))</f>
        <v/>
      </c>
    </row>
    <row r="1051">
      <c r="A1051" s="34" t="n"/>
      <c r="B1051" s="35" t="n"/>
      <c r="C1051" s="35" t="n"/>
      <c r="D1051" s="35" t="n"/>
      <c r="E1051" s="35" t="n"/>
      <c r="F1051" s="36" t="n"/>
      <c r="G1051" s="35" t="n"/>
      <c r="H1051" s="30">
        <f>IF(L1051="","",INDEX(SkiftNavn,L1051))</f>
        <v/>
      </c>
      <c r="I1051" s="30">
        <f>IF(OR(A1051="",L1051=""),"",IF(MOD(A1051-INDEX(SkiftStart,L1051),Syklus)&lt;DagK,"Kveld",IF(MOD(A1051-INDEX(SkiftStart,L1051),Syklus)&lt;DagK+DagH,"Helg",IF(MOD(A1051-INDEX(SkiftStart,L1051),Syklus)&lt;DagK+DagH+DagD,"Dag","Fri"))))</f>
        <v/>
      </c>
      <c r="J1051" s="30">
        <f>IF(I1051="Fri","Ja","")</f>
        <v/>
      </c>
      <c r="K1051" s="30">
        <f>IF(B1051="","",IF(L1051="","Ukjent tekniker",IF(ISNA(MATCH(C1051,Aktiviteter,0)),"Ukjent aktivitet",IF(AND(INDEX(AktRolle,MATCH(C1051,Aktiviteter,0))&amp;""&lt;&gt;"",ISERROR(SEARCH(INDEX(AktRolle,MATCH(C1051,Aktiviteter,0))&amp;"",INDEX(TekRoller,MATCH(B1051,Teknikere,0))))),"Mangler rollen "&amp;INDEX(AktRolle,MATCH(C1051,Aktiviteter,0))&amp;"",IF(AND(C1051="LMS",F1051&gt;0,OR(D1051="",E1051="")),"Mangler maskin eller arbeid",IF(AND(OR(C1051="LMS",C1051="Mod"),D1051&lt;&gt;""),IF(IFERROR(INDEX(MaskinStatus,MATCH(D1051,Maskiner,0)),"")="I dokk","","Maskinen er ikke i dokk"),""))))))</f>
        <v/>
      </c>
      <c r="L1051" s="2">
        <f>IF(B1051="","",IFERROR(INT((MATCH(B1051,Teknikere,0)-1)/18)+1,""))</f>
        <v/>
      </c>
      <c r="M1051" s="2">
        <f>IF(OR(A1051="",B1051=""),"",B1051&amp;"|"&amp;A1051)</f>
        <v/>
      </c>
      <c r="N1051" s="2">
        <f>IF(M1051="","",SUMIFS(TF_Timer,TF_Nokkel,M1051,TF_Akt,C1051))</f>
        <v/>
      </c>
      <c r="O1051" s="2">
        <f>IF(M1051="","",IF(AND(N1051=_xlfn.MAXIFS(TF_AktSum,TF_Nokkel,M1051),COUNTIFS(M$3:M1050,M1051,N$3:N1050,N1051)=0),M1051,""))</f>
        <v/>
      </c>
    </row>
    <row r="1052">
      <c r="A1052" s="34" t="n"/>
      <c r="B1052" s="35" t="n"/>
      <c r="C1052" s="35" t="n"/>
      <c r="D1052" s="35" t="n"/>
      <c r="E1052" s="35" t="n"/>
      <c r="F1052" s="36" t="n"/>
      <c r="G1052" s="35" t="n"/>
      <c r="H1052" s="30">
        <f>IF(L1052="","",INDEX(SkiftNavn,L1052))</f>
        <v/>
      </c>
      <c r="I1052" s="30">
        <f>IF(OR(A1052="",L1052=""),"",IF(MOD(A1052-INDEX(SkiftStart,L1052),Syklus)&lt;DagK,"Kveld",IF(MOD(A1052-INDEX(SkiftStart,L1052),Syklus)&lt;DagK+DagH,"Helg",IF(MOD(A1052-INDEX(SkiftStart,L1052),Syklus)&lt;DagK+DagH+DagD,"Dag","Fri"))))</f>
        <v/>
      </c>
      <c r="J1052" s="30">
        <f>IF(I1052="Fri","Ja","")</f>
        <v/>
      </c>
      <c r="K1052" s="30">
        <f>IF(B1052="","",IF(L1052="","Ukjent tekniker",IF(ISNA(MATCH(C1052,Aktiviteter,0)),"Ukjent aktivitet",IF(AND(INDEX(AktRolle,MATCH(C1052,Aktiviteter,0))&amp;""&lt;&gt;"",ISERROR(SEARCH(INDEX(AktRolle,MATCH(C1052,Aktiviteter,0))&amp;"",INDEX(TekRoller,MATCH(B1052,Teknikere,0))))),"Mangler rollen "&amp;INDEX(AktRolle,MATCH(C1052,Aktiviteter,0))&amp;"",IF(AND(C1052="LMS",F1052&gt;0,OR(D1052="",E1052="")),"Mangler maskin eller arbeid",IF(AND(OR(C1052="LMS",C1052="Mod"),D1052&lt;&gt;""),IF(IFERROR(INDEX(MaskinStatus,MATCH(D1052,Maskiner,0)),"")="I dokk","","Maskinen er ikke i dokk"),""))))))</f>
        <v/>
      </c>
      <c r="L1052" s="2">
        <f>IF(B1052="","",IFERROR(INT((MATCH(B1052,Teknikere,0)-1)/18)+1,""))</f>
        <v/>
      </c>
      <c r="M1052" s="2">
        <f>IF(OR(A1052="",B1052=""),"",B1052&amp;"|"&amp;A1052)</f>
        <v/>
      </c>
      <c r="N1052" s="2">
        <f>IF(M1052="","",SUMIFS(TF_Timer,TF_Nokkel,M1052,TF_Akt,C1052))</f>
        <v/>
      </c>
      <c r="O1052" s="2">
        <f>IF(M1052="","",IF(AND(N1052=_xlfn.MAXIFS(TF_AktSum,TF_Nokkel,M1052),COUNTIFS(M$3:M1051,M1052,N$3:N1051,N1052)=0),M1052,""))</f>
        <v/>
      </c>
    </row>
    <row r="1053">
      <c r="A1053" s="34" t="n"/>
      <c r="B1053" s="35" t="n"/>
      <c r="C1053" s="35" t="n"/>
      <c r="D1053" s="35" t="n"/>
      <c r="E1053" s="35" t="n"/>
      <c r="F1053" s="36" t="n"/>
      <c r="G1053" s="35" t="n"/>
      <c r="H1053" s="30">
        <f>IF(L1053="","",INDEX(SkiftNavn,L1053))</f>
        <v/>
      </c>
      <c r="I1053" s="30">
        <f>IF(OR(A1053="",L1053=""),"",IF(MOD(A1053-INDEX(SkiftStart,L1053),Syklus)&lt;DagK,"Kveld",IF(MOD(A1053-INDEX(SkiftStart,L1053),Syklus)&lt;DagK+DagH,"Helg",IF(MOD(A1053-INDEX(SkiftStart,L1053),Syklus)&lt;DagK+DagH+DagD,"Dag","Fri"))))</f>
        <v/>
      </c>
      <c r="J1053" s="30">
        <f>IF(I1053="Fri","Ja","")</f>
        <v/>
      </c>
      <c r="K1053" s="30">
        <f>IF(B1053="","",IF(L1053="","Ukjent tekniker",IF(ISNA(MATCH(C1053,Aktiviteter,0)),"Ukjent aktivitet",IF(AND(INDEX(AktRolle,MATCH(C1053,Aktiviteter,0))&amp;""&lt;&gt;"",ISERROR(SEARCH(INDEX(AktRolle,MATCH(C1053,Aktiviteter,0))&amp;"",INDEX(TekRoller,MATCH(B1053,Teknikere,0))))),"Mangler rollen "&amp;INDEX(AktRolle,MATCH(C1053,Aktiviteter,0))&amp;"",IF(AND(C1053="LMS",F1053&gt;0,OR(D1053="",E1053="")),"Mangler maskin eller arbeid",IF(AND(OR(C1053="LMS",C1053="Mod"),D1053&lt;&gt;""),IF(IFERROR(INDEX(MaskinStatus,MATCH(D1053,Maskiner,0)),"")="I dokk","","Maskinen er ikke i dokk"),""))))))</f>
        <v/>
      </c>
      <c r="L1053" s="2">
        <f>IF(B1053="","",IFERROR(INT((MATCH(B1053,Teknikere,0)-1)/18)+1,""))</f>
        <v/>
      </c>
      <c r="M1053" s="2">
        <f>IF(OR(A1053="",B1053=""),"",B1053&amp;"|"&amp;A1053)</f>
        <v/>
      </c>
      <c r="N1053" s="2">
        <f>IF(M1053="","",SUMIFS(TF_Timer,TF_Nokkel,M1053,TF_Akt,C1053))</f>
        <v/>
      </c>
      <c r="O1053" s="2">
        <f>IF(M1053="","",IF(AND(N1053=_xlfn.MAXIFS(TF_AktSum,TF_Nokkel,M1053),COUNTIFS(M$3:M1052,M1053,N$3:N1052,N1053)=0),M1053,""))</f>
        <v/>
      </c>
    </row>
    <row r="1054">
      <c r="A1054" s="34" t="n"/>
      <c r="B1054" s="35" t="n"/>
      <c r="C1054" s="35" t="n"/>
      <c r="D1054" s="35" t="n"/>
      <c r="E1054" s="35" t="n"/>
      <c r="F1054" s="36" t="n"/>
      <c r="G1054" s="35" t="n"/>
      <c r="H1054" s="30">
        <f>IF(L1054="","",INDEX(SkiftNavn,L1054))</f>
        <v/>
      </c>
      <c r="I1054" s="30">
        <f>IF(OR(A1054="",L1054=""),"",IF(MOD(A1054-INDEX(SkiftStart,L1054),Syklus)&lt;DagK,"Kveld",IF(MOD(A1054-INDEX(SkiftStart,L1054),Syklus)&lt;DagK+DagH,"Helg",IF(MOD(A1054-INDEX(SkiftStart,L1054),Syklus)&lt;DagK+DagH+DagD,"Dag","Fri"))))</f>
        <v/>
      </c>
      <c r="J1054" s="30">
        <f>IF(I1054="Fri","Ja","")</f>
        <v/>
      </c>
      <c r="K1054" s="30">
        <f>IF(B1054="","",IF(L1054="","Ukjent tekniker",IF(ISNA(MATCH(C1054,Aktiviteter,0)),"Ukjent aktivitet",IF(AND(INDEX(AktRolle,MATCH(C1054,Aktiviteter,0))&amp;""&lt;&gt;"",ISERROR(SEARCH(INDEX(AktRolle,MATCH(C1054,Aktiviteter,0))&amp;"",INDEX(TekRoller,MATCH(B1054,Teknikere,0))))),"Mangler rollen "&amp;INDEX(AktRolle,MATCH(C1054,Aktiviteter,0))&amp;"",IF(AND(C1054="LMS",F1054&gt;0,OR(D1054="",E1054="")),"Mangler maskin eller arbeid",IF(AND(OR(C1054="LMS",C1054="Mod"),D1054&lt;&gt;""),IF(IFERROR(INDEX(MaskinStatus,MATCH(D1054,Maskiner,0)),"")="I dokk","","Maskinen er ikke i dokk"),""))))))</f>
        <v/>
      </c>
      <c r="L1054" s="2">
        <f>IF(B1054="","",IFERROR(INT((MATCH(B1054,Teknikere,0)-1)/18)+1,""))</f>
        <v/>
      </c>
      <c r="M1054" s="2">
        <f>IF(OR(A1054="",B1054=""),"",B1054&amp;"|"&amp;A1054)</f>
        <v/>
      </c>
      <c r="N1054" s="2">
        <f>IF(M1054="","",SUMIFS(TF_Timer,TF_Nokkel,M1054,TF_Akt,C1054))</f>
        <v/>
      </c>
      <c r="O1054" s="2">
        <f>IF(M1054="","",IF(AND(N1054=_xlfn.MAXIFS(TF_AktSum,TF_Nokkel,M1054),COUNTIFS(M$3:M1053,M1054,N$3:N1053,N1054)=0),M1054,""))</f>
        <v/>
      </c>
    </row>
    <row r="1055">
      <c r="A1055" s="34" t="n"/>
      <c r="B1055" s="35" t="n"/>
      <c r="C1055" s="35" t="n"/>
      <c r="D1055" s="35" t="n"/>
      <c r="E1055" s="35" t="n"/>
      <c r="F1055" s="36" t="n"/>
      <c r="G1055" s="35" t="n"/>
      <c r="H1055" s="30">
        <f>IF(L1055="","",INDEX(SkiftNavn,L1055))</f>
        <v/>
      </c>
      <c r="I1055" s="30">
        <f>IF(OR(A1055="",L1055=""),"",IF(MOD(A1055-INDEX(SkiftStart,L1055),Syklus)&lt;DagK,"Kveld",IF(MOD(A1055-INDEX(SkiftStart,L1055),Syklus)&lt;DagK+DagH,"Helg",IF(MOD(A1055-INDEX(SkiftStart,L1055),Syklus)&lt;DagK+DagH+DagD,"Dag","Fri"))))</f>
        <v/>
      </c>
      <c r="J1055" s="30">
        <f>IF(I1055="Fri","Ja","")</f>
        <v/>
      </c>
      <c r="K1055" s="30">
        <f>IF(B1055="","",IF(L1055="","Ukjent tekniker",IF(ISNA(MATCH(C1055,Aktiviteter,0)),"Ukjent aktivitet",IF(AND(INDEX(AktRolle,MATCH(C1055,Aktiviteter,0))&amp;""&lt;&gt;"",ISERROR(SEARCH(INDEX(AktRolle,MATCH(C1055,Aktiviteter,0))&amp;"",INDEX(TekRoller,MATCH(B1055,Teknikere,0))))),"Mangler rollen "&amp;INDEX(AktRolle,MATCH(C1055,Aktiviteter,0))&amp;"",IF(AND(C1055="LMS",F1055&gt;0,OR(D1055="",E1055="")),"Mangler maskin eller arbeid",IF(AND(OR(C1055="LMS",C1055="Mod"),D1055&lt;&gt;""),IF(IFERROR(INDEX(MaskinStatus,MATCH(D1055,Maskiner,0)),"")="I dokk","","Maskinen er ikke i dokk"),""))))))</f>
        <v/>
      </c>
      <c r="L1055" s="2">
        <f>IF(B1055="","",IFERROR(INT((MATCH(B1055,Teknikere,0)-1)/18)+1,""))</f>
        <v/>
      </c>
      <c r="M1055" s="2">
        <f>IF(OR(A1055="",B1055=""),"",B1055&amp;"|"&amp;A1055)</f>
        <v/>
      </c>
      <c r="N1055" s="2">
        <f>IF(M1055="","",SUMIFS(TF_Timer,TF_Nokkel,M1055,TF_Akt,C1055))</f>
        <v/>
      </c>
      <c r="O1055" s="2">
        <f>IF(M1055="","",IF(AND(N1055=_xlfn.MAXIFS(TF_AktSum,TF_Nokkel,M1055),COUNTIFS(M$3:M1054,M1055,N$3:N1054,N1055)=0),M1055,""))</f>
        <v/>
      </c>
    </row>
    <row r="1056">
      <c r="A1056" s="34" t="n"/>
      <c r="B1056" s="35" t="n"/>
      <c r="C1056" s="35" t="n"/>
      <c r="D1056" s="35" t="n"/>
      <c r="E1056" s="35" t="n"/>
      <c r="F1056" s="36" t="n"/>
      <c r="G1056" s="35" t="n"/>
      <c r="H1056" s="30">
        <f>IF(L1056="","",INDEX(SkiftNavn,L1056))</f>
        <v/>
      </c>
      <c r="I1056" s="30">
        <f>IF(OR(A1056="",L1056=""),"",IF(MOD(A1056-INDEX(SkiftStart,L1056),Syklus)&lt;DagK,"Kveld",IF(MOD(A1056-INDEX(SkiftStart,L1056),Syklus)&lt;DagK+DagH,"Helg",IF(MOD(A1056-INDEX(SkiftStart,L1056),Syklus)&lt;DagK+DagH+DagD,"Dag","Fri"))))</f>
        <v/>
      </c>
      <c r="J1056" s="30">
        <f>IF(I1056="Fri","Ja","")</f>
        <v/>
      </c>
      <c r="K1056" s="30">
        <f>IF(B1056="","",IF(L1056="","Ukjent tekniker",IF(ISNA(MATCH(C1056,Aktiviteter,0)),"Ukjent aktivitet",IF(AND(INDEX(AktRolle,MATCH(C1056,Aktiviteter,0))&amp;""&lt;&gt;"",ISERROR(SEARCH(INDEX(AktRolle,MATCH(C1056,Aktiviteter,0))&amp;"",INDEX(TekRoller,MATCH(B1056,Teknikere,0))))),"Mangler rollen "&amp;INDEX(AktRolle,MATCH(C1056,Aktiviteter,0))&amp;"",IF(AND(C1056="LMS",F1056&gt;0,OR(D1056="",E1056="")),"Mangler maskin eller arbeid",IF(AND(OR(C1056="LMS",C1056="Mod"),D1056&lt;&gt;""),IF(IFERROR(INDEX(MaskinStatus,MATCH(D1056,Maskiner,0)),"")="I dokk","","Maskinen er ikke i dokk"),""))))))</f>
        <v/>
      </c>
      <c r="L1056" s="2">
        <f>IF(B1056="","",IFERROR(INT((MATCH(B1056,Teknikere,0)-1)/18)+1,""))</f>
        <v/>
      </c>
      <c r="M1056" s="2">
        <f>IF(OR(A1056="",B1056=""),"",B1056&amp;"|"&amp;A1056)</f>
        <v/>
      </c>
      <c r="N1056" s="2">
        <f>IF(M1056="","",SUMIFS(TF_Timer,TF_Nokkel,M1056,TF_Akt,C1056))</f>
        <v/>
      </c>
      <c r="O1056" s="2">
        <f>IF(M1056="","",IF(AND(N1056=_xlfn.MAXIFS(TF_AktSum,TF_Nokkel,M1056),COUNTIFS(M$3:M1055,M1056,N$3:N1055,N1056)=0),M1056,""))</f>
        <v/>
      </c>
    </row>
    <row r="1057">
      <c r="A1057" s="34" t="n"/>
      <c r="B1057" s="35" t="n"/>
      <c r="C1057" s="35" t="n"/>
      <c r="D1057" s="35" t="n"/>
      <c r="E1057" s="35" t="n"/>
      <c r="F1057" s="36" t="n"/>
      <c r="G1057" s="35" t="n"/>
      <c r="H1057" s="30">
        <f>IF(L1057="","",INDEX(SkiftNavn,L1057))</f>
        <v/>
      </c>
      <c r="I1057" s="30">
        <f>IF(OR(A1057="",L1057=""),"",IF(MOD(A1057-INDEX(SkiftStart,L1057),Syklus)&lt;DagK,"Kveld",IF(MOD(A1057-INDEX(SkiftStart,L1057),Syklus)&lt;DagK+DagH,"Helg",IF(MOD(A1057-INDEX(SkiftStart,L1057),Syklus)&lt;DagK+DagH+DagD,"Dag","Fri"))))</f>
        <v/>
      </c>
      <c r="J1057" s="30">
        <f>IF(I1057="Fri","Ja","")</f>
        <v/>
      </c>
      <c r="K1057" s="30">
        <f>IF(B1057="","",IF(L1057="","Ukjent tekniker",IF(ISNA(MATCH(C1057,Aktiviteter,0)),"Ukjent aktivitet",IF(AND(INDEX(AktRolle,MATCH(C1057,Aktiviteter,0))&amp;""&lt;&gt;"",ISERROR(SEARCH(INDEX(AktRolle,MATCH(C1057,Aktiviteter,0))&amp;"",INDEX(TekRoller,MATCH(B1057,Teknikere,0))))),"Mangler rollen "&amp;INDEX(AktRolle,MATCH(C1057,Aktiviteter,0))&amp;"",IF(AND(C1057="LMS",F1057&gt;0,OR(D1057="",E1057="")),"Mangler maskin eller arbeid",IF(AND(OR(C1057="LMS",C1057="Mod"),D1057&lt;&gt;""),IF(IFERROR(INDEX(MaskinStatus,MATCH(D1057,Maskiner,0)),"")="I dokk","","Maskinen er ikke i dokk"),""))))))</f>
        <v/>
      </c>
      <c r="L1057" s="2">
        <f>IF(B1057="","",IFERROR(INT((MATCH(B1057,Teknikere,0)-1)/18)+1,""))</f>
        <v/>
      </c>
      <c r="M1057" s="2">
        <f>IF(OR(A1057="",B1057=""),"",B1057&amp;"|"&amp;A1057)</f>
        <v/>
      </c>
      <c r="N1057" s="2">
        <f>IF(M1057="","",SUMIFS(TF_Timer,TF_Nokkel,M1057,TF_Akt,C1057))</f>
        <v/>
      </c>
      <c r="O1057" s="2">
        <f>IF(M1057="","",IF(AND(N1057=_xlfn.MAXIFS(TF_AktSum,TF_Nokkel,M1057),COUNTIFS(M$3:M1056,M1057,N$3:N1056,N1057)=0),M1057,""))</f>
        <v/>
      </c>
    </row>
    <row r="1058">
      <c r="A1058" s="34" t="n"/>
      <c r="B1058" s="35" t="n"/>
      <c r="C1058" s="35" t="n"/>
      <c r="D1058" s="35" t="n"/>
      <c r="E1058" s="35" t="n"/>
      <c r="F1058" s="36" t="n"/>
      <c r="G1058" s="35" t="n"/>
      <c r="H1058" s="30">
        <f>IF(L1058="","",INDEX(SkiftNavn,L1058))</f>
        <v/>
      </c>
      <c r="I1058" s="30">
        <f>IF(OR(A1058="",L1058=""),"",IF(MOD(A1058-INDEX(SkiftStart,L1058),Syklus)&lt;DagK,"Kveld",IF(MOD(A1058-INDEX(SkiftStart,L1058),Syklus)&lt;DagK+DagH,"Helg",IF(MOD(A1058-INDEX(SkiftStart,L1058),Syklus)&lt;DagK+DagH+DagD,"Dag","Fri"))))</f>
        <v/>
      </c>
      <c r="J1058" s="30">
        <f>IF(I1058="Fri","Ja","")</f>
        <v/>
      </c>
      <c r="K1058" s="30">
        <f>IF(B1058="","",IF(L1058="","Ukjent tekniker",IF(ISNA(MATCH(C1058,Aktiviteter,0)),"Ukjent aktivitet",IF(AND(INDEX(AktRolle,MATCH(C1058,Aktiviteter,0))&amp;""&lt;&gt;"",ISERROR(SEARCH(INDEX(AktRolle,MATCH(C1058,Aktiviteter,0))&amp;"",INDEX(TekRoller,MATCH(B1058,Teknikere,0))))),"Mangler rollen "&amp;INDEX(AktRolle,MATCH(C1058,Aktiviteter,0))&amp;"",IF(AND(C1058="LMS",F1058&gt;0,OR(D1058="",E1058="")),"Mangler maskin eller arbeid",IF(AND(OR(C1058="LMS",C1058="Mod"),D1058&lt;&gt;""),IF(IFERROR(INDEX(MaskinStatus,MATCH(D1058,Maskiner,0)),"")="I dokk","","Maskinen er ikke i dokk"),""))))))</f>
        <v/>
      </c>
      <c r="L1058" s="2">
        <f>IF(B1058="","",IFERROR(INT((MATCH(B1058,Teknikere,0)-1)/18)+1,""))</f>
        <v/>
      </c>
      <c r="M1058" s="2">
        <f>IF(OR(A1058="",B1058=""),"",B1058&amp;"|"&amp;A1058)</f>
        <v/>
      </c>
      <c r="N1058" s="2">
        <f>IF(M1058="","",SUMIFS(TF_Timer,TF_Nokkel,M1058,TF_Akt,C1058))</f>
        <v/>
      </c>
      <c r="O1058" s="2">
        <f>IF(M1058="","",IF(AND(N1058=_xlfn.MAXIFS(TF_AktSum,TF_Nokkel,M1058),COUNTIFS(M$3:M1057,M1058,N$3:N1057,N1058)=0),M1058,""))</f>
        <v/>
      </c>
    </row>
    <row r="1059">
      <c r="A1059" s="34" t="n"/>
      <c r="B1059" s="35" t="n"/>
      <c r="C1059" s="35" t="n"/>
      <c r="D1059" s="35" t="n"/>
      <c r="E1059" s="35" t="n"/>
      <c r="F1059" s="36" t="n"/>
      <c r="G1059" s="35" t="n"/>
      <c r="H1059" s="30">
        <f>IF(L1059="","",INDEX(SkiftNavn,L1059))</f>
        <v/>
      </c>
      <c r="I1059" s="30">
        <f>IF(OR(A1059="",L1059=""),"",IF(MOD(A1059-INDEX(SkiftStart,L1059),Syklus)&lt;DagK,"Kveld",IF(MOD(A1059-INDEX(SkiftStart,L1059),Syklus)&lt;DagK+DagH,"Helg",IF(MOD(A1059-INDEX(SkiftStart,L1059),Syklus)&lt;DagK+DagH+DagD,"Dag","Fri"))))</f>
        <v/>
      </c>
      <c r="J1059" s="30">
        <f>IF(I1059="Fri","Ja","")</f>
        <v/>
      </c>
      <c r="K1059" s="30">
        <f>IF(B1059="","",IF(L1059="","Ukjent tekniker",IF(ISNA(MATCH(C1059,Aktiviteter,0)),"Ukjent aktivitet",IF(AND(INDEX(AktRolle,MATCH(C1059,Aktiviteter,0))&amp;""&lt;&gt;"",ISERROR(SEARCH(INDEX(AktRolle,MATCH(C1059,Aktiviteter,0))&amp;"",INDEX(TekRoller,MATCH(B1059,Teknikere,0))))),"Mangler rollen "&amp;INDEX(AktRolle,MATCH(C1059,Aktiviteter,0))&amp;"",IF(AND(C1059="LMS",F1059&gt;0,OR(D1059="",E1059="")),"Mangler maskin eller arbeid",IF(AND(OR(C1059="LMS",C1059="Mod"),D1059&lt;&gt;""),IF(IFERROR(INDEX(MaskinStatus,MATCH(D1059,Maskiner,0)),"")="I dokk","","Maskinen er ikke i dokk"),""))))))</f>
        <v/>
      </c>
      <c r="L1059" s="2">
        <f>IF(B1059="","",IFERROR(INT((MATCH(B1059,Teknikere,0)-1)/18)+1,""))</f>
        <v/>
      </c>
      <c r="M1059" s="2">
        <f>IF(OR(A1059="",B1059=""),"",B1059&amp;"|"&amp;A1059)</f>
        <v/>
      </c>
      <c r="N1059" s="2">
        <f>IF(M1059="","",SUMIFS(TF_Timer,TF_Nokkel,M1059,TF_Akt,C1059))</f>
        <v/>
      </c>
      <c r="O1059" s="2">
        <f>IF(M1059="","",IF(AND(N1059=_xlfn.MAXIFS(TF_AktSum,TF_Nokkel,M1059),COUNTIFS(M$3:M1058,M1059,N$3:N1058,N1059)=0),M1059,""))</f>
        <v/>
      </c>
    </row>
    <row r="1060">
      <c r="A1060" s="34" t="n"/>
      <c r="B1060" s="35" t="n"/>
      <c r="C1060" s="35" t="n"/>
      <c r="D1060" s="35" t="n"/>
      <c r="E1060" s="35" t="n"/>
      <c r="F1060" s="36" t="n"/>
      <c r="G1060" s="35" t="n"/>
      <c r="H1060" s="30">
        <f>IF(L1060="","",INDEX(SkiftNavn,L1060))</f>
        <v/>
      </c>
      <c r="I1060" s="30">
        <f>IF(OR(A1060="",L1060=""),"",IF(MOD(A1060-INDEX(SkiftStart,L1060),Syklus)&lt;DagK,"Kveld",IF(MOD(A1060-INDEX(SkiftStart,L1060),Syklus)&lt;DagK+DagH,"Helg",IF(MOD(A1060-INDEX(SkiftStart,L1060),Syklus)&lt;DagK+DagH+DagD,"Dag","Fri"))))</f>
        <v/>
      </c>
      <c r="J1060" s="30">
        <f>IF(I1060="Fri","Ja","")</f>
        <v/>
      </c>
      <c r="K1060" s="30">
        <f>IF(B1060="","",IF(L1060="","Ukjent tekniker",IF(ISNA(MATCH(C1060,Aktiviteter,0)),"Ukjent aktivitet",IF(AND(INDEX(AktRolle,MATCH(C1060,Aktiviteter,0))&amp;""&lt;&gt;"",ISERROR(SEARCH(INDEX(AktRolle,MATCH(C1060,Aktiviteter,0))&amp;"",INDEX(TekRoller,MATCH(B1060,Teknikere,0))))),"Mangler rollen "&amp;INDEX(AktRolle,MATCH(C1060,Aktiviteter,0))&amp;"",IF(AND(C1060="LMS",F1060&gt;0,OR(D1060="",E1060="")),"Mangler maskin eller arbeid",IF(AND(OR(C1060="LMS",C1060="Mod"),D1060&lt;&gt;""),IF(IFERROR(INDEX(MaskinStatus,MATCH(D1060,Maskiner,0)),"")="I dokk","","Maskinen er ikke i dokk"),""))))))</f>
        <v/>
      </c>
      <c r="L1060" s="2">
        <f>IF(B1060="","",IFERROR(INT((MATCH(B1060,Teknikere,0)-1)/18)+1,""))</f>
        <v/>
      </c>
      <c r="M1060" s="2">
        <f>IF(OR(A1060="",B1060=""),"",B1060&amp;"|"&amp;A1060)</f>
        <v/>
      </c>
      <c r="N1060" s="2">
        <f>IF(M1060="","",SUMIFS(TF_Timer,TF_Nokkel,M1060,TF_Akt,C1060))</f>
        <v/>
      </c>
      <c r="O1060" s="2">
        <f>IF(M1060="","",IF(AND(N1060=_xlfn.MAXIFS(TF_AktSum,TF_Nokkel,M1060),COUNTIFS(M$3:M1059,M1060,N$3:N1059,N1060)=0),M1060,""))</f>
        <v/>
      </c>
    </row>
    <row r="1061">
      <c r="A1061" s="34" t="n"/>
      <c r="B1061" s="35" t="n"/>
      <c r="C1061" s="35" t="n"/>
      <c r="D1061" s="35" t="n"/>
      <c r="E1061" s="35" t="n"/>
      <c r="F1061" s="36" t="n"/>
      <c r="G1061" s="35" t="n"/>
      <c r="H1061" s="30">
        <f>IF(L1061="","",INDEX(SkiftNavn,L1061))</f>
        <v/>
      </c>
      <c r="I1061" s="30">
        <f>IF(OR(A1061="",L1061=""),"",IF(MOD(A1061-INDEX(SkiftStart,L1061),Syklus)&lt;DagK,"Kveld",IF(MOD(A1061-INDEX(SkiftStart,L1061),Syklus)&lt;DagK+DagH,"Helg",IF(MOD(A1061-INDEX(SkiftStart,L1061),Syklus)&lt;DagK+DagH+DagD,"Dag","Fri"))))</f>
        <v/>
      </c>
      <c r="J1061" s="30">
        <f>IF(I1061="Fri","Ja","")</f>
        <v/>
      </c>
      <c r="K1061" s="30">
        <f>IF(B1061="","",IF(L1061="","Ukjent tekniker",IF(ISNA(MATCH(C1061,Aktiviteter,0)),"Ukjent aktivitet",IF(AND(INDEX(AktRolle,MATCH(C1061,Aktiviteter,0))&amp;""&lt;&gt;"",ISERROR(SEARCH(INDEX(AktRolle,MATCH(C1061,Aktiviteter,0))&amp;"",INDEX(TekRoller,MATCH(B1061,Teknikere,0))))),"Mangler rollen "&amp;INDEX(AktRolle,MATCH(C1061,Aktiviteter,0))&amp;"",IF(AND(C1061="LMS",F1061&gt;0,OR(D1061="",E1061="")),"Mangler maskin eller arbeid",IF(AND(OR(C1061="LMS",C1061="Mod"),D1061&lt;&gt;""),IF(IFERROR(INDEX(MaskinStatus,MATCH(D1061,Maskiner,0)),"")="I dokk","","Maskinen er ikke i dokk"),""))))))</f>
        <v/>
      </c>
      <c r="L1061" s="2">
        <f>IF(B1061="","",IFERROR(INT((MATCH(B1061,Teknikere,0)-1)/18)+1,""))</f>
        <v/>
      </c>
      <c r="M1061" s="2">
        <f>IF(OR(A1061="",B1061=""),"",B1061&amp;"|"&amp;A1061)</f>
        <v/>
      </c>
      <c r="N1061" s="2">
        <f>IF(M1061="","",SUMIFS(TF_Timer,TF_Nokkel,M1061,TF_Akt,C1061))</f>
        <v/>
      </c>
      <c r="O1061" s="2">
        <f>IF(M1061="","",IF(AND(N1061=_xlfn.MAXIFS(TF_AktSum,TF_Nokkel,M1061),COUNTIFS(M$3:M1060,M1061,N$3:N1060,N1061)=0),M1061,""))</f>
        <v/>
      </c>
    </row>
    <row r="1062">
      <c r="A1062" s="34" t="n"/>
      <c r="B1062" s="35" t="n"/>
      <c r="C1062" s="35" t="n"/>
      <c r="D1062" s="35" t="n"/>
      <c r="E1062" s="35" t="n"/>
      <c r="F1062" s="36" t="n"/>
      <c r="G1062" s="35" t="n"/>
      <c r="H1062" s="30">
        <f>IF(L1062="","",INDEX(SkiftNavn,L1062))</f>
        <v/>
      </c>
      <c r="I1062" s="30">
        <f>IF(OR(A1062="",L1062=""),"",IF(MOD(A1062-INDEX(SkiftStart,L1062),Syklus)&lt;DagK,"Kveld",IF(MOD(A1062-INDEX(SkiftStart,L1062),Syklus)&lt;DagK+DagH,"Helg",IF(MOD(A1062-INDEX(SkiftStart,L1062),Syklus)&lt;DagK+DagH+DagD,"Dag","Fri"))))</f>
        <v/>
      </c>
      <c r="J1062" s="30">
        <f>IF(I1062="Fri","Ja","")</f>
        <v/>
      </c>
      <c r="K1062" s="30">
        <f>IF(B1062="","",IF(L1062="","Ukjent tekniker",IF(ISNA(MATCH(C1062,Aktiviteter,0)),"Ukjent aktivitet",IF(AND(INDEX(AktRolle,MATCH(C1062,Aktiviteter,0))&amp;""&lt;&gt;"",ISERROR(SEARCH(INDEX(AktRolle,MATCH(C1062,Aktiviteter,0))&amp;"",INDEX(TekRoller,MATCH(B1062,Teknikere,0))))),"Mangler rollen "&amp;INDEX(AktRolle,MATCH(C1062,Aktiviteter,0))&amp;"",IF(AND(C1062="LMS",F1062&gt;0,OR(D1062="",E1062="")),"Mangler maskin eller arbeid",IF(AND(OR(C1062="LMS",C1062="Mod"),D1062&lt;&gt;""),IF(IFERROR(INDEX(MaskinStatus,MATCH(D1062,Maskiner,0)),"")="I dokk","","Maskinen er ikke i dokk"),""))))))</f>
        <v/>
      </c>
      <c r="L1062" s="2">
        <f>IF(B1062="","",IFERROR(INT((MATCH(B1062,Teknikere,0)-1)/18)+1,""))</f>
        <v/>
      </c>
      <c r="M1062" s="2">
        <f>IF(OR(A1062="",B1062=""),"",B1062&amp;"|"&amp;A1062)</f>
        <v/>
      </c>
      <c r="N1062" s="2">
        <f>IF(M1062="","",SUMIFS(TF_Timer,TF_Nokkel,M1062,TF_Akt,C1062))</f>
        <v/>
      </c>
      <c r="O1062" s="2">
        <f>IF(M1062="","",IF(AND(N1062=_xlfn.MAXIFS(TF_AktSum,TF_Nokkel,M1062),COUNTIFS(M$3:M1061,M1062,N$3:N1061,N1062)=0),M1062,""))</f>
        <v/>
      </c>
    </row>
    <row r="1063">
      <c r="A1063" s="34" t="n"/>
      <c r="B1063" s="35" t="n"/>
      <c r="C1063" s="35" t="n"/>
      <c r="D1063" s="35" t="n"/>
      <c r="E1063" s="35" t="n"/>
      <c r="F1063" s="36" t="n"/>
      <c r="G1063" s="35" t="n"/>
      <c r="H1063" s="30">
        <f>IF(L1063="","",INDEX(SkiftNavn,L1063))</f>
        <v/>
      </c>
      <c r="I1063" s="30">
        <f>IF(OR(A1063="",L1063=""),"",IF(MOD(A1063-INDEX(SkiftStart,L1063),Syklus)&lt;DagK,"Kveld",IF(MOD(A1063-INDEX(SkiftStart,L1063),Syklus)&lt;DagK+DagH,"Helg",IF(MOD(A1063-INDEX(SkiftStart,L1063),Syklus)&lt;DagK+DagH+DagD,"Dag","Fri"))))</f>
        <v/>
      </c>
      <c r="J1063" s="30">
        <f>IF(I1063="Fri","Ja","")</f>
        <v/>
      </c>
      <c r="K1063" s="30">
        <f>IF(B1063="","",IF(L1063="","Ukjent tekniker",IF(ISNA(MATCH(C1063,Aktiviteter,0)),"Ukjent aktivitet",IF(AND(INDEX(AktRolle,MATCH(C1063,Aktiviteter,0))&amp;""&lt;&gt;"",ISERROR(SEARCH(INDEX(AktRolle,MATCH(C1063,Aktiviteter,0))&amp;"",INDEX(TekRoller,MATCH(B1063,Teknikere,0))))),"Mangler rollen "&amp;INDEX(AktRolle,MATCH(C1063,Aktiviteter,0))&amp;"",IF(AND(C1063="LMS",F1063&gt;0,OR(D1063="",E1063="")),"Mangler maskin eller arbeid",IF(AND(OR(C1063="LMS",C1063="Mod"),D1063&lt;&gt;""),IF(IFERROR(INDEX(MaskinStatus,MATCH(D1063,Maskiner,0)),"")="I dokk","","Maskinen er ikke i dokk"),""))))))</f>
        <v/>
      </c>
      <c r="L1063" s="2">
        <f>IF(B1063="","",IFERROR(INT((MATCH(B1063,Teknikere,0)-1)/18)+1,""))</f>
        <v/>
      </c>
      <c r="M1063" s="2">
        <f>IF(OR(A1063="",B1063=""),"",B1063&amp;"|"&amp;A1063)</f>
        <v/>
      </c>
      <c r="N1063" s="2">
        <f>IF(M1063="","",SUMIFS(TF_Timer,TF_Nokkel,M1063,TF_Akt,C1063))</f>
        <v/>
      </c>
      <c r="O1063" s="2">
        <f>IF(M1063="","",IF(AND(N1063=_xlfn.MAXIFS(TF_AktSum,TF_Nokkel,M1063),COUNTIFS(M$3:M1062,M1063,N$3:N1062,N1063)=0),M1063,""))</f>
        <v/>
      </c>
    </row>
    <row r="1064">
      <c r="A1064" s="34" t="n"/>
      <c r="B1064" s="35" t="n"/>
      <c r="C1064" s="35" t="n"/>
      <c r="D1064" s="35" t="n"/>
      <c r="E1064" s="35" t="n"/>
      <c r="F1064" s="36" t="n"/>
      <c r="G1064" s="35" t="n"/>
      <c r="H1064" s="30">
        <f>IF(L1064="","",INDEX(SkiftNavn,L1064))</f>
        <v/>
      </c>
      <c r="I1064" s="30">
        <f>IF(OR(A1064="",L1064=""),"",IF(MOD(A1064-INDEX(SkiftStart,L1064),Syklus)&lt;DagK,"Kveld",IF(MOD(A1064-INDEX(SkiftStart,L1064),Syklus)&lt;DagK+DagH,"Helg",IF(MOD(A1064-INDEX(SkiftStart,L1064),Syklus)&lt;DagK+DagH+DagD,"Dag","Fri"))))</f>
        <v/>
      </c>
      <c r="J1064" s="30">
        <f>IF(I1064="Fri","Ja","")</f>
        <v/>
      </c>
      <c r="K1064" s="30">
        <f>IF(B1064="","",IF(L1064="","Ukjent tekniker",IF(ISNA(MATCH(C1064,Aktiviteter,0)),"Ukjent aktivitet",IF(AND(INDEX(AktRolle,MATCH(C1064,Aktiviteter,0))&amp;""&lt;&gt;"",ISERROR(SEARCH(INDEX(AktRolle,MATCH(C1064,Aktiviteter,0))&amp;"",INDEX(TekRoller,MATCH(B1064,Teknikere,0))))),"Mangler rollen "&amp;INDEX(AktRolle,MATCH(C1064,Aktiviteter,0))&amp;"",IF(AND(C1064="LMS",F1064&gt;0,OR(D1064="",E1064="")),"Mangler maskin eller arbeid",IF(AND(OR(C1064="LMS",C1064="Mod"),D1064&lt;&gt;""),IF(IFERROR(INDEX(MaskinStatus,MATCH(D1064,Maskiner,0)),"")="I dokk","","Maskinen er ikke i dokk"),""))))))</f>
        <v/>
      </c>
      <c r="L1064" s="2">
        <f>IF(B1064="","",IFERROR(INT((MATCH(B1064,Teknikere,0)-1)/18)+1,""))</f>
        <v/>
      </c>
      <c r="M1064" s="2">
        <f>IF(OR(A1064="",B1064=""),"",B1064&amp;"|"&amp;A1064)</f>
        <v/>
      </c>
      <c r="N1064" s="2">
        <f>IF(M1064="","",SUMIFS(TF_Timer,TF_Nokkel,M1064,TF_Akt,C1064))</f>
        <v/>
      </c>
      <c r="O1064" s="2">
        <f>IF(M1064="","",IF(AND(N1064=_xlfn.MAXIFS(TF_AktSum,TF_Nokkel,M1064),COUNTIFS(M$3:M1063,M1064,N$3:N1063,N1064)=0),M1064,""))</f>
        <v/>
      </c>
    </row>
    <row r="1065">
      <c r="A1065" s="34" t="n"/>
      <c r="B1065" s="35" t="n"/>
      <c r="C1065" s="35" t="n"/>
      <c r="D1065" s="35" t="n"/>
      <c r="E1065" s="35" t="n"/>
      <c r="F1065" s="36" t="n"/>
      <c r="G1065" s="35" t="n"/>
      <c r="H1065" s="30">
        <f>IF(L1065="","",INDEX(SkiftNavn,L1065))</f>
        <v/>
      </c>
      <c r="I1065" s="30">
        <f>IF(OR(A1065="",L1065=""),"",IF(MOD(A1065-INDEX(SkiftStart,L1065),Syklus)&lt;DagK,"Kveld",IF(MOD(A1065-INDEX(SkiftStart,L1065),Syklus)&lt;DagK+DagH,"Helg",IF(MOD(A1065-INDEX(SkiftStart,L1065),Syklus)&lt;DagK+DagH+DagD,"Dag","Fri"))))</f>
        <v/>
      </c>
      <c r="J1065" s="30">
        <f>IF(I1065="Fri","Ja","")</f>
        <v/>
      </c>
      <c r="K1065" s="30">
        <f>IF(B1065="","",IF(L1065="","Ukjent tekniker",IF(ISNA(MATCH(C1065,Aktiviteter,0)),"Ukjent aktivitet",IF(AND(INDEX(AktRolle,MATCH(C1065,Aktiviteter,0))&amp;""&lt;&gt;"",ISERROR(SEARCH(INDEX(AktRolle,MATCH(C1065,Aktiviteter,0))&amp;"",INDEX(TekRoller,MATCH(B1065,Teknikere,0))))),"Mangler rollen "&amp;INDEX(AktRolle,MATCH(C1065,Aktiviteter,0))&amp;"",IF(AND(C1065="LMS",F1065&gt;0,OR(D1065="",E1065="")),"Mangler maskin eller arbeid",IF(AND(OR(C1065="LMS",C1065="Mod"),D1065&lt;&gt;""),IF(IFERROR(INDEX(MaskinStatus,MATCH(D1065,Maskiner,0)),"")="I dokk","","Maskinen er ikke i dokk"),""))))))</f>
        <v/>
      </c>
      <c r="L1065" s="2">
        <f>IF(B1065="","",IFERROR(INT((MATCH(B1065,Teknikere,0)-1)/18)+1,""))</f>
        <v/>
      </c>
      <c r="M1065" s="2">
        <f>IF(OR(A1065="",B1065=""),"",B1065&amp;"|"&amp;A1065)</f>
        <v/>
      </c>
      <c r="N1065" s="2">
        <f>IF(M1065="","",SUMIFS(TF_Timer,TF_Nokkel,M1065,TF_Akt,C1065))</f>
        <v/>
      </c>
      <c r="O1065" s="2">
        <f>IF(M1065="","",IF(AND(N1065=_xlfn.MAXIFS(TF_AktSum,TF_Nokkel,M1065),COUNTIFS(M$3:M1064,M1065,N$3:N1064,N1065)=0),M1065,""))</f>
        <v/>
      </c>
    </row>
    <row r="1066">
      <c r="A1066" s="34" t="n"/>
      <c r="B1066" s="35" t="n"/>
      <c r="C1066" s="35" t="n"/>
      <c r="D1066" s="35" t="n"/>
      <c r="E1066" s="35" t="n"/>
      <c r="F1066" s="36" t="n"/>
      <c r="G1066" s="35" t="n"/>
      <c r="H1066" s="30">
        <f>IF(L1066="","",INDEX(SkiftNavn,L1066))</f>
        <v/>
      </c>
      <c r="I1066" s="30">
        <f>IF(OR(A1066="",L1066=""),"",IF(MOD(A1066-INDEX(SkiftStart,L1066),Syklus)&lt;DagK,"Kveld",IF(MOD(A1066-INDEX(SkiftStart,L1066),Syklus)&lt;DagK+DagH,"Helg",IF(MOD(A1066-INDEX(SkiftStart,L1066),Syklus)&lt;DagK+DagH+DagD,"Dag","Fri"))))</f>
        <v/>
      </c>
      <c r="J1066" s="30">
        <f>IF(I1066="Fri","Ja","")</f>
        <v/>
      </c>
      <c r="K1066" s="30">
        <f>IF(B1066="","",IF(L1066="","Ukjent tekniker",IF(ISNA(MATCH(C1066,Aktiviteter,0)),"Ukjent aktivitet",IF(AND(INDEX(AktRolle,MATCH(C1066,Aktiviteter,0))&amp;""&lt;&gt;"",ISERROR(SEARCH(INDEX(AktRolle,MATCH(C1066,Aktiviteter,0))&amp;"",INDEX(TekRoller,MATCH(B1066,Teknikere,0))))),"Mangler rollen "&amp;INDEX(AktRolle,MATCH(C1066,Aktiviteter,0))&amp;"",IF(AND(C1066="LMS",F1066&gt;0,OR(D1066="",E1066="")),"Mangler maskin eller arbeid",IF(AND(OR(C1066="LMS",C1066="Mod"),D1066&lt;&gt;""),IF(IFERROR(INDEX(MaskinStatus,MATCH(D1066,Maskiner,0)),"")="I dokk","","Maskinen er ikke i dokk"),""))))))</f>
        <v/>
      </c>
      <c r="L1066" s="2">
        <f>IF(B1066="","",IFERROR(INT((MATCH(B1066,Teknikere,0)-1)/18)+1,""))</f>
        <v/>
      </c>
      <c r="M1066" s="2">
        <f>IF(OR(A1066="",B1066=""),"",B1066&amp;"|"&amp;A1066)</f>
        <v/>
      </c>
      <c r="N1066" s="2">
        <f>IF(M1066="","",SUMIFS(TF_Timer,TF_Nokkel,M1066,TF_Akt,C1066))</f>
        <v/>
      </c>
      <c r="O1066" s="2">
        <f>IF(M1066="","",IF(AND(N1066=_xlfn.MAXIFS(TF_AktSum,TF_Nokkel,M1066),COUNTIFS(M$3:M1065,M1066,N$3:N1065,N1066)=0),M1066,""))</f>
        <v/>
      </c>
    </row>
    <row r="1067">
      <c r="A1067" s="34" t="n"/>
      <c r="B1067" s="35" t="n"/>
      <c r="C1067" s="35" t="n"/>
      <c r="D1067" s="35" t="n"/>
      <c r="E1067" s="35" t="n"/>
      <c r="F1067" s="36" t="n"/>
      <c r="G1067" s="35" t="n"/>
      <c r="H1067" s="30">
        <f>IF(L1067="","",INDEX(SkiftNavn,L1067))</f>
        <v/>
      </c>
      <c r="I1067" s="30">
        <f>IF(OR(A1067="",L1067=""),"",IF(MOD(A1067-INDEX(SkiftStart,L1067),Syklus)&lt;DagK,"Kveld",IF(MOD(A1067-INDEX(SkiftStart,L1067),Syklus)&lt;DagK+DagH,"Helg",IF(MOD(A1067-INDEX(SkiftStart,L1067),Syklus)&lt;DagK+DagH+DagD,"Dag","Fri"))))</f>
        <v/>
      </c>
      <c r="J1067" s="30">
        <f>IF(I1067="Fri","Ja","")</f>
        <v/>
      </c>
      <c r="K1067" s="30">
        <f>IF(B1067="","",IF(L1067="","Ukjent tekniker",IF(ISNA(MATCH(C1067,Aktiviteter,0)),"Ukjent aktivitet",IF(AND(INDEX(AktRolle,MATCH(C1067,Aktiviteter,0))&amp;""&lt;&gt;"",ISERROR(SEARCH(INDEX(AktRolle,MATCH(C1067,Aktiviteter,0))&amp;"",INDEX(TekRoller,MATCH(B1067,Teknikere,0))))),"Mangler rollen "&amp;INDEX(AktRolle,MATCH(C1067,Aktiviteter,0))&amp;"",IF(AND(C1067="LMS",F1067&gt;0,OR(D1067="",E1067="")),"Mangler maskin eller arbeid",IF(AND(OR(C1067="LMS",C1067="Mod"),D1067&lt;&gt;""),IF(IFERROR(INDEX(MaskinStatus,MATCH(D1067,Maskiner,0)),"")="I dokk","","Maskinen er ikke i dokk"),""))))))</f>
        <v/>
      </c>
      <c r="L1067" s="2">
        <f>IF(B1067="","",IFERROR(INT((MATCH(B1067,Teknikere,0)-1)/18)+1,""))</f>
        <v/>
      </c>
      <c r="M1067" s="2">
        <f>IF(OR(A1067="",B1067=""),"",B1067&amp;"|"&amp;A1067)</f>
        <v/>
      </c>
      <c r="N1067" s="2">
        <f>IF(M1067="","",SUMIFS(TF_Timer,TF_Nokkel,M1067,TF_Akt,C1067))</f>
        <v/>
      </c>
      <c r="O1067" s="2">
        <f>IF(M1067="","",IF(AND(N1067=_xlfn.MAXIFS(TF_AktSum,TF_Nokkel,M1067),COUNTIFS(M$3:M1066,M1067,N$3:N1066,N1067)=0),M1067,""))</f>
        <v/>
      </c>
    </row>
    <row r="1068">
      <c r="A1068" s="34" t="n"/>
      <c r="B1068" s="35" t="n"/>
      <c r="C1068" s="35" t="n"/>
      <c r="D1068" s="35" t="n"/>
      <c r="E1068" s="35" t="n"/>
      <c r="F1068" s="36" t="n"/>
      <c r="G1068" s="35" t="n"/>
      <c r="H1068" s="30">
        <f>IF(L1068="","",INDEX(SkiftNavn,L1068))</f>
        <v/>
      </c>
      <c r="I1068" s="30">
        <f>IF(OR(A1068="",L1068=""),"",IF(MOD(A1068-INDEX(SkiftStart,L1068),Syklus)&lt;DagK,"Kveld",IF(MOD(A1068-INDEX(SkiftStart,L1068),Syklus)&lt;DagK+DagH,"Helg",IF(MOD(A1068-INDEX(SkiftStart,L1068),Syklus)&lt;DagK+DagH+DagD,"Dag","Fri"))))</f>
        <v/>
      </c>
      <c r="J1068" s="30">
        <f>IF(I1068="Fri","Ja","")</f>
        <v/>
      </c>
      <c r="K1068" s="30">
        <f>IF(B1068="","",IF(L1068="","Ukjent tekniker",IF(ISNA(MATCH(C1068,Aktiviteter,0)),"Ukjent aktivitet",IF(AND(INDEX(AktRolle,MATCH(C1068,Aktiviteter,0))&amp;""&lt;&gt;"",ISERROR(SEARCH(INDEX(AktRolle,MATCH(C1068,Aktiviteter,0))&amp;"",INDEX(TekRoller,MATCH(B1068,Teknikere,0))))),"Mangler rollen "&amp;INDEX(AktRolle,MATCH(C1068,Aktiviteter,0))&amp;"",IF(AND(C1068="LMS",F1068&gt;0,OR(D1068="",E1068="")),"Mangler maskin eller arbeid",IF(AND(OR(C1068="LMS",C1068="Mod"),D1068&lt;&gt;""),IF(IFERROR(INDEX(MaskinStatus,MATCH(D1068,Maskiner,0)),"")="I dokk","","Maskinen er ikke i dokk"),""))))))</f>
        <v/>
      </c>
      <c r="L1068" s="2">
        <f>IF(B1068="","",IFERROR(INT((MATCH(B1068,Teknikere,0)-1)/18)+1,""))</f>
        <v/>
      </c>
      <c r="M1068" s="2">
        <f>IF(OR(A1068="",B1068=""),"",B1068&amp;"|"&amp;A1068)</f>
        <v/>
      </c>
      <c r="N1068" s="2">
        <f>IF(M1068="","",SUMIFS(TF_Timer,TF_Nokkel,M1068,TF_Akt,C1068))</f>
        <v/>
      </c>
      <c r="O1068" s="2">
        <f>IF(M1068="","",IF(AND(N1068=_xlfn.MAXIFS(TF_AktSum,TF_Nokkel,M1068),COUNTIFS(M$3:M1067,M1068,N$3:N1067,N1068)=0),M1068,""))</f>
        <v/>
      </c>
    </row>
    <row r="1069">
      <c r="A1069" s="34" t="n"/>
      <c r="B1069" s="35" t="n"/>
      <c r="C1069" s="35" t="n"/>
      <c r="D1069" s="35" t="n"/>
      <c r="E1069" s="35" t="n"/>
      <c r="F1069" s="36" t="n"/>
      <c r="G1069" s="35" t="n"/>
      <c r="H1069" s="30">
        <f>IF(L1069="","",INDEX(SkiftNavn,L1069))</f>
        <v/>
      </c>
      <c r="I1069" s="30">
        <f>IF(OR(A1069="",L1069=""),"",IF(MOD(A1069-INDEX(SkiftStart,L1069),Syklus)&lt;DagK,"Kveld",IF(MOD(A1069-INDEX(SkiftStart,L1069),Syklus)&lt;DagK+DagH,"Helg",IF(MOD(A1069-INDEX(SkiftStart,L1069),Syklus)&lt;DagK+DagH+DagD,"Dag","Fri"))))</f>
        <v/>
      </c>
      <c r="J1069" s="30">
        <f>IF(I1069="Fri","Ja","")</f>
        <v/>
      </c>
      <c r="K1069" s="30">
        <f>IF(B1069="","",IF(L1069="","Ukjent tekniker",IF(ISNA(MATCH(C1069,Aktiviteter,0)),"Ukjent aktivitet",IF(AND(INDEX(AktRolle,MATCH(C1069,Aktiviteter,0))&amp;""&lt;&gt;"",ISERROR(SEARCH(INDEX(AktRolle,MATCH(C1069,Aktiviteter,0))&amp;"",INDEX(TekRoller,MATCH(B1069,Teknikere,0))))),"Mangler rollen "&amp;INDEX(AktRolle,MATCH(C1069,Aktiviteter,0))&amp;"",IF(AND(C1069="LMS",F1069&gt;0,OR(D1069="",E1069="")),"Mangler maskin eller arbeid",IF(AND(OR(C1069="LMS",C1069="Mod"),D1069&lt;&gt;""),IF(IFERROR(INDEX(MaskinStatus,MATCH(D1069,Maskiner,0)),"")="I dokk","","Maskinen er ikke i dokk"),""))))))</f>
        <v/>
      </c>
      <c r="L1069" s="2">
        <f>IF(B1069="","",IFERROR(INT((MATCH(B1069,Teknikere,0)-1)/18)+1,""))</f>
        <v/>
      </c>
      <c r="M1069" s="2">
        <f>IF(OR(A1069="",B1069=""),"",B1069&amp;"|"&amp;A1069)</f>
        <v/>
      </c>
      <c r="N1069" s="2">
        <f>IF(M1069="","",SUMIFS(TF_Timer,TF_Nokkel,M1069,TF_Akt,C1069))</f>
        <v/>
      </c>
      <c r="O1069" s="2">
        <f>IF(M1069="","",IF(AND(N1069=_xlfn.MAXIFS(TF_AktSum,TF_Nokkel,M1069),COUNTIFS(M$3:M1068,M1069,N$3:N1068,N1069)=0),M1069,""))</f>
        <v/>
      </c>
    </row>
    <row r="1070">
      <c r="A1070" s="34" t="n"/>
      <c r="B1070" s="35" t="n"/>
      <c r="C1070" s="35" t="n"/>
      <c r="D1070" s="35" t="n"/>
      <c r="E1070" s="35" t="n"/>
      <c r="F1070" s="36" t="n"/>
      <c r="G1070" s="35" t="n"/>
      <c r="H1070" s="30">
        <f>IF(L1070="","",INDEX(SkiftNavn,L1070))</f>
        <v/>
      </c>
      <c r="I1070" s="30">
        <f>IF(OR(A1070="",L1070=""),"",IF(MOD(A1070-INDEX(SkiftStart,L1070),Syklus)&lt;DagK,"Kveld",IF(MOD(A1070-INDEX(SkiftStart,L1070),Syklus)&lt;DagK+DagH,"Helg",IF(MOD(A1070-INDEX(SkiftStart,L1070),Syklus)&lt;DagK+DagH+DagD,"Dag","Fri"))))</f>
        <v/>
      </c>
      <c r="J1070" s="30">
        <f>IF(I1070="Fri","Ja","")</f>
        <v/>
      </c>
      <c r="K1070" s="30">
        <f>IF(B1070="","",IF(L1070="","Ukjent tekniker",IF(ISNA(MATCH(C1070,Aktiviteter,0)),"Ukjent aktivitet",IF(AND(INDEX(AktRolle,MATCH(C1070,Aktiviteter,0))&amp;""&lt;&gt;"",ISERROR(SEARCH(INDEX(AktRolle,MATCH(C1070,Aktiviteter,0))&amp;"",INDEX(TekRoller,MATCH(B1070,Teknikere,0))))),"Mangler rollen "&amp;INDEX(AktRolle,MATCH(C1070,Aktiviteter,0))&amp;"",IF(AND(C1070="LMS",F1070&gt;0,OR(D1070="",E1070="")),"Mangler maskin eller arbeid",IF(AND(OR(C1070="LMS",C1070="Mod"),D1070&lt;&gt;""),IF(IFERROR(INDEX(MaskinStatus,MATCH(D1070,Maskiner,0)),"")="I dokk","","Maskinen er ikke i dokk"),""))))))</f>
        <v/>
      </c>
      <c r="L1070" s="2">
        <f>IF(B1070="","",IFERROR(INT((MATCH(B1070,Teknikere,0)-1)/18)+1,""))</f>
        <v/>
      </c>
      <c r="M1070" s="2">
        <f>IF(OR(A1070="",B1070=""),"",B1070&amp;"|"&amp;A1070)</f>
        <v/>
      </c>
      <c r="N1070" s="2">
        <f>IF(M1070="","",SUMIFS(TF_Timer,TF_Nokkel,M1070,TF_Akt,C1070))</f>
        <v/>
      </c>
      <c r="O1070" s="2">
        <f>IF(M1070="","",IF(AND(N1070=_xlfn.MAXIFS(TF_AktSum,TF_Nokkel,M1070),COUNTIFS(M$3:M1069,M1070,N$3:N1069,N1070)=0),M1070,""))</f>
        <v/>
      </c>
    </row>
    <row r="1071">
      <c r="A1071" s="34" t="n"/>
      <c r="B1071" s="35" t="n"/>
      <c r="C1071" s="35" t="n"/>
      <c r="D1071" s="35" t="n"/>
      <c r="E1071" s="35" t="n"/>
      <c r="F1071" s="36" t="n"/>
      <c r="G1071" s="35" t="n"/>
      <c r="H1071" s="30">
        <f>IF(L1071="","",INDEX(SkiftNavn,L1071))</f>
        <v/>
      </c>
      <c r="I1071" s="30">
        <f>IF(OR(A1071="",L1071=""),"",IF(MOD(A1071-INDEX(SkiftStart,L1071),Syklus)&lt;DagK,"Kveld",IF(MOD(A1071-INDEX(SkiftStart,L1071),Syklus)&lt;DagK+DagH,"Helg",IF(MOD(A1071-INDEX(SkiftStart,L1071),Syklus)&lt;DagK+DagH+DagD,"Dag","Fri"))))</f>
        <v/>
      </c>
      <c r="J1071" s="30">
        <f>IF(I1071="Fri","Ja","")</f>
        <v/>
      </c>
      <c r="K1071" s="30">
        <f>IF(B1071="","",IF(L1071="","Ukjent tekniker",IF(ISNA(MATCH(C1071,Aktiviteter,0)),"Ukjent aktivitet",IF(AND(INDEX(AktRolle,MATCH(C1071,Aktiviteter,0))&amp;""&lt;&gt;"",ISERROR(SEARCH(INDEX(AktRolle,MATCH(C1071,Aktiviteter,0))&amp;"",INDEX(TekRoller,MATCH(B1071,Teknikere,0))))),"Mangler rollen "&amp;INDEX(AktRolle,MATCH(C1071,Aktiviteter,0))&amp;"",IF(AND(C1071="LMS",F1071&gt;0,OR(D1071="",E1071="")),"Mangler maskin eller arbeid",IF(AND(OR(C1071="LMS",C1071="Mod"),D1071&lt;&gt;""),IF(IFERROR(INDEX(MaskinStatus,MATCH(D1071,Maskiner,0)),"")="I dokk","","Maskinen er ikke i dokk"),""))))))</f>
        <v/>
      </c>
      <c r="L1071" s="2">
        <f>IF(B1071="","",IFERROR(INT((MATCH(B1071,Teknikere,0)-1)/18)+1,""))</f>
        <v/>
      </c>
      <c r="M1071" s="2">
        <f>IF(OR(A1071="",B1071=""),"",B1071&amp;"|"&amp;A1071)</f>
        <v/>
      </c>
      <c r="N1071" s="2">
        <f>IF(M1071="","",SUMIFS(TF_Timer,TF_Nokkel,M1071,TF_Akt,C1071))</f>
        <v/>
      </c>
      <c r="O1071" s="2">
        <f>IF(M1071="","",IF(AND(N1071=_xlfn.MAXIFS(TF_AktSum,TF_Nokkel,M1071),COUNTIFS(M$3:M1070,M1071,N$3:N1070,N1071)=0),M1071,""))</f>
        <v/>
      </c>
    </row>
    <row r="1072">
      <c r="A1072" s="34" t="n"/>
      <c r="B1072" s="35" t="n"/>
      <c r="C1072" s="35" t="n"/>
      <c r="D1072" s="35" t="n"/>
      <c r="E1072" s="35" t="n"/>
      <c r="F1072" s="36" t="n"/>
      <c r="G1072" s="35" t="n"/>
      <c r="H1072" s="30">
        <f>IF(L1072="","",INDEX(SkiftNavn,L1072))</f>
        <v/>
      </c>
      <c r="I1072" s="30">
        <f>IF(OR(A1072="",L1072=""),"",IF(MOD(A1072-INDEX(SkiftStart,L1072),Syklus)&lt;DagK,"Kveld",IF(MOD(A1072-INDEX(SkiftStart,L1072),Syklus)&lt;DagK+DagH,"Helg",IF(MOD(A1072-INDEX(SkiftStart,L1072),Syklus)&lt;DagK+DagH+DagD,"Dag","Fri"))))</f>
        <v/>
      </c>
      <c r="J1072" s="30">
        <f>IF(I1072="Fri","Ja","")</f>
        <v/>
      </c>
      <c r="K1072" s="30">
        <f>IF(B1072="","",IF(L1072="","Ukjent tekniker",IF(ISNA(MATCH(C1072,Aktiviteter,0)),"Ukjent aktivitet",IF(AND(INDEX(AktRolle,MATCH(C1072,Aktiviteter,0))&amp;""&lt;&gt;"",ISERROR(SEARCH(INDEX(AktRolle,MATCH(C1072,Aktiviteter,0))&amp;"",INDEX(TekRoller,MATCH(B1072,Teknikere,0))))),"Mangler rollen "&amp;INDEX(AktRolle,MATCH(C1072,Aktiviteter,0))&amp;"",IF(AND(C1072="LMS",F1072&gt;0,OR(D1072="",E1072="")),"Mangler maskin eller arbeid",IF(AND(OR(C1072="LMS",C1072="Mod"),D1072&lt;&gt;""),IF(IFERROR(INDEX(MaskinStatus,MATCH(D1072,Maskiner,0)),"")="I dokk","","Maskinen er ikke i dokk"),""))))))</f>
        <v/>
      </c>
      <c r="L1072" s="2">
        <f>IF(B1072="","",IFERROR(INT((MATCH(B1072,Teknikere,0)-1)/18)+1,""))</f>
        <v/>
      </c>
      <c r="M1072" s="2">
        <f>IF(OR(A1072="",B1072=""),"",B1072&amp;"|"&amp;A1072)</f>
        <v/>
      </c>
      <c r="N1072" s="2">
        <f>IF(M1072="","",SUMIFS(TF_Timer,TF_Nokkel,M1072,TF_Akt,C1072))</f>
        <v/>
      </c>
      <c r="O1072" s="2">
        <f>IF(M1072="","",IF(AND(N1072=_xlfn.MAXIFS(TF_AktSum,TF_Nokkel,M1072),COUNTIFS(M$3:M1071,M1072,N$3:N1071,N1072)=0),M1072,""))</f>
        <v/>
      </c>
    </row>
    <row r="1073">
      <c r="A1073" s="34" t="n"/>
      <c r="B1073" s="35" t="n"/>
      <c r="C1073" s="35" t="n"/>
      <c r="D1073" s="35" t="n"/>
      <c r="E1073" s="35" t="n"/>
      <c r="F1073" s="36" t="n"/>
      <c r="G1073" s="35" t="n"/>
      <c r="H1073" s="30">
        <f>IF(L1073="","",INDEX(SkiftNavn,L1073))</f>
        <v/>
      </c>
      <c r="I1073" s="30">
        <f>IF(OR(A1073="",L1073=""),"",IF(MOD(A1073-INDEX(SkiftStart,L1073),Syklus)&lt;DagK,"Kveld",IF(MOD(A1073-INDEX(SkiftStart,L1073),Syklus)&lt;DagK+DagH,"Helg",IF(MOD(A1073-INDEX(SkiftStart,L1073),Syklus)&lt;DagK+DagH+DagD,"Dag","Fri"))))</f>
        <v/>
      </c>
      <c r="J1073" s="30">
        <f>IF(I1073="Fri","Ja","")</f>
        <v/>
      </c>
      <c r="K1073" s="30">
        <f>IF(B1073="","",IF(L1073="","Ukjent tekniker",IF(ISNA(MATCH(C1073,Aktiviteter,0)),"Ukjent aktivitet",IF(AND(INDEX(AktRolle,MATCH(C1073,Aktiviteter,0))&amp;""&lt;&gt;"",ISERROR(SEARCH(INDEX(AktRolle,MATCH(C1073,Aktiviteter,0))&amp;"",INDEX(TekRoller,MATCH(B1073,Teknikere,0))))),"Mangler rollen "&amp;INDEX(AktRolle,MATCH(C1073,Aktiviteter,0))&amp;"",IF(AND(C1073="LMS",F1073&gt;0,OR(D1073="",E1073="")),"Mangler maskin eller arbeid",IF(AND(OR(C1073="LMS",C1073="Mod"),D1073&lt;&gt;""),IF(IFERROR(INDEX(MaskinStatus,MATCH(D1073,Maskiner,0)),"")="I dokk","","Maskinen er ikke i dokk"),""))))))</f>
        <v/>
      </c>
      <c r="L1073" s="2">
        <f>IF(B1073="","",IFERROR(INT((MATCH(B1073,Teknikere,0)-1)/18)+1,""))</f>
        <v/>
      </c>
      <c r="M1073" s="2">
        <f>IF(OR(A1073="",B1073=""),"",B1073&amp;"|"&amp;A1073)</f>
        <v/>
      </c>
      <c r="N1073" s="2">
        <f>IF(M1073="","",SUMIFS(TF_Timer,TF_Nokkel,M1073,TF_Akt,C1073))</f>
        <v/>
      </c>
      <c r="O1073" s="2">
        <f>IF(M1073="","",IF(AND(N1073=_xlfn.MAXIFS(TF_AktSum,TF_Nokkel,M1073),COUNTIFS(M$3:M1072,M1073,N$3:N1072,N1073)=0),M1073,""))</f>
        <v/>
      </c>
    </row>
    <row r="1074">
      <c r="A1074" s="34" t="n"/>
      <c r="B1074" s="35" t="n"/>
      <c r="C1074" s="35" t="n"/>
      <c r="D1074" s="35" t="n"/>
      <c r="E1074" s="35" t="n"/>
      <c r="F1074" s="36" t="n"/>
      <c r="G1074" s="35" t="n"/>
      <c r="H1074" s="30">
        <f>IF(L1074="","",INDEX(SkiftNavn,L1074))</f>
        <v/>
      </c>
      <c r="I1074" s="30">
        <f>IF(OR(A1074="",L1074=""),"",IF(MOD(A1074-INDEX(SkiftStart,L1074),Syklus)&lt;DagK,"Kveld",IF(MOD(A1074-INDEX(SkiftStart,L1074),Syklus)&lt;DagK+DagH,"Helg",IF(MOD(A1074-INDEX(SkiftStart,L1074),Syklus)&lt;DagK+DagH+DagD,"Dag","Fri"))))</f>
        <v/>
      </c>
      <c r="J1074" s="30">
        <f>IF(I1074="Fri","Ja","")</f>
        <v/>
      </c>
      <c r="K1074" s="30">
        <f>IF(B1074="","",IF(L1074="","Ukjent tekniker",IF(ISNA(MATCH(C1074,Aktiviteter,0)),"Ukjent aktivitet",IF(AND(INDEX(AktRolle,MATCH(C1074,Aktiviteter,0))&amp;""&lt;&gt;"",ISERROR(SEARCH(INDEX(AktRolle,MATCH(C1074,Aktiviteter,0))&amp;"",INDEX(TekRoller,MATCH(B1074,Teknikere,0))))),"Mangler rollen "&amp;INDEX(AktRolle,MATCH(C1074,Aktiviteter,0))&amp;"",IF(AND(C1074="LMS",F1074&gt;0,OR(D1074="",E1074="")),"Mangler maskin eller arbeid",IF(AND(OR(C1074="LMS",C1074="Mod"),D1074&lt;&gt;""),IF(IFERROR(INDEX(MaskinStatus,MATCH(D1074,Maskiner,0)),"")="I dokk","","Maskinen er ikke i dokk"),""))))))</f>
        <v/>
      </c>
      <c r="L1074" s="2">
        <f>IF(B1074="","",IFERROR(INT((MATCH(B1074,Teknikere,0)-1)/18)+1,""))</f>
        <v/>
      </c>
      <c r="M1074" s="2">
        <f>IF(OR(A1074="",B1074=""),"",B1074&amp;"|"&amp;A1074)</f>
        <v/>
      </c>
      <c r="N1074" s="2">
        <f>IF(M1074="","",SUMIFS(TF_Timer,TF_Nokkel,M1074,TF_Akt,C1074))</f>
        <v/>
      </c>
      <c r="O1074" s="2">
        <f>IF(M1074="","",IF(AND(N1074=_xlfn.MAXIFS(TF_AktSum,TF_Nokkel,M1074),COUNTIFS(M$3:M1073,M1074,N$3:N1073,N1074)=0),M1074,""))</f>
        <v/>
      </c>
    </row>
    <row r="1075">
      <c r="A1075" s="34" t="n"/>
      <c r="B1075" s="35" t="n"/>
      <c r="C1075" s="35" t="n"/>
      <c r="D1075" s="35" t="n"/>
      <c r="E1075" s="35" t="n"/>
      <c r="F1075" s="36" t="n"/>
      <c r="G1075" s="35" t="n"/>
      <c r="H1075" s="30">
        <f>IF(L1075="","",INDEX(SkiftNavn,L1075))</f>
        <v/>
      </c>
      <c r="I1075" s="30">
        <f>IF(OR(A1075="",L1075=""),"",IF(MOD(A1075-INDEX(SkiftStart,L1075),Syklus)&lt;DagK,"Kveld",IF(MOD(A1075-INDEX(SkiftStart,L1075),Syklus)&lt;DagK+DagH,"Helg",IF(MOD(A1075-INDEX(SkiftStart,L1075),Syklus)&lt;DagK+DagH+DagD,"Dag","Fri"))))</f>
        <v/>
      </c>
      <c r="J1075" s="30">
        <f>IF(I1075="Fri","Ja","")</f>
        <v/>
      </c>
      <c r="K1075" s="30">
        <f>IF(B1075="","",IF(L1075="","Ukjent tekniker",IF(ISNA(MATCH(C1075,Aktiviteter,0)),"Ukjent aktivitet",IF(AND(INDEX(AktRolle,MATCH(C1075,Aktiviteter,0))&amp;""&lt;&gt;"",ISERROR(SEARCH(INDEX(AktRolle,MATCH(C1075,Aktiviteter,0))&amp;"",INDEX(TekRoller,MATCH(B1075,Teknikere,0))))),"Mangler rollen "&amp;INDEX(AktRolle,MATCH(C1075,Aktiviteter,0))&amp;"",IF(AND(C1075="LMS",F1075&gt;0,OR(D1075="",E1075="")),"Mangler maskin eller arbeid",IF(AND(OR(C1075="LMS",C1075="Mod"),D1075&lt;&gt;""),IF(IFERROR(INDEX(MaskinStatus,MATCH(D1075,Maskiner,0)),"")="I dokk","","Maskinen er ikke i dokk"),""))))))</f>
        <v/>
      </c>
      <c r="L1075" s="2">
        <f>IF(B1075="","",IFERROR(INT((MATCH(B1075,Teknikere,0)-1)/18)+1,""))</f>
        <v/>
      </c>
      <c r="M1075" s="2">
        <f>IF(OR(A1075="",B1075=""),"",B1075&amp;"|"&amp;A1075)</f>
        <v/>
      </c>
      <c r="N1075" s="2">
        <f>IF(M1075="","",SUMIFS(TF_Timer,TF_Nokkel,M1075,TF_Akt,C1075))</f>
        <v/>
      </c>
      <c r="O1075" s="2">
        <f>IF(M1075="","",IF(AND(N1075=_xlfn.MAXIFS(TF_AktSum,TF_Nokkel,M1075),COUNTIFS(M$3:M1074,M1075,N$3:N1074,N1075)=0),M1075,""))</f>
        <v/>
      </c>
    </row>
    <row r="1076">
      <c r="A1076" s="34" t="n"/>
      <c r="B1076" s="35" t="n"/>
      <c r="C1076" s="35" t="n"/>
      <c r="D1076" s="35" t="n"/>
      <c r="E1076" s="35" t="n"/>
      <c r="F1076" s="36" t="n"/>
      <c r="G1076" s="35" t="n"/>
      <c r="H1076" s="30">
        <f>IF(L1076="","",INDEX(SkiftNavn,L1076))</f>
        <v/>
      </c>
      <c r="I1076" s="30">
        <f>IF(OR(A1076="",L1076=""),"",IF(MOD(A1076-INDEX(SkiftStart,L1076),Syklus)&lt;DagK,"Kveld",IF(MOD(A1076-INDEX(SkiftStart,L1076),Syklus)&lt;DagK+DagH,"Helg",IF(MOD(A1076-INDEX(SkiftStart,L1076),Syklus)&lt;DagK+DagH+DagD,"Dag","Fri"))))</f>
        <v/>
      </c>
      <c r="J1076" s="30">
        <f>IF(I1076="Fri","Ja","")</f>
        <v/>
      </c>
      <c r="K1076" s="30">
        <f>IF(B1076="","",IF(L1076="","Ukjent tekniker",IF(ISNA(MATCH(C1076,Aktiviteter,0)),"Ukjent aktivitet",IF(AND(INDEX(AktRolle,MATCH(C1076,Aktiviteter,0))&amp;""&lt;&gt;"",ISERROR(SEARCH(INDEX(AktRolle,MATCH(C1076,Aktiviteter,0))&amp;"",INDEX(TekRoller,MATCH(B1076,Teknikere,0))))),"Mangler rollen "&amp;INDEX(AktRolle,MATCH(C1076,Aktiviteter,0))&amp;"",IF(AND(C1076="LMS",F1076&gt;0,OR(D1076="",E1076="")),"Mangler maskin eller arbeid",IF(AND(OR(C1076="LMS",C1076="Mod"),D1076&lt;&gt;""),IF(IFERROR(INDEX(MaskinStatus,MATCH(D1076,Maskiner,0)),"")="I dokk","","Maskinen er ikke i dokk"),""))))))</f>
        <v/>
      </c>
      <c r="L1076" s="2">
        <f>IF(B1076="","",IFERROR(INT((MATCH(B1076,Teknikere,0)-1)/18)+1,""))</f>
        <v/>
      </c>
      <c r="M1076" s="2">
        <f>IF(OR(A1076="",B1076=""),"",B1076&amp;"|"&amp;A1076)</f>
        <v/>
      </c>
      <c r="N1076" s="2">
        <f>IF(M1076="","",SUMIFS(TF_Timer,TF_Nokkel,M1076,TF_Akt,C1076))</f>
        <v/>
      </c>
      <c r="O1076" s="2">
        <f>IF(M1076="","",IF(AND(N1076=_xlfn.MAXIFS(TF_AktSum,TF_Nokkel,M1076),COUNTIFS(M$3:M1075,M1076,N$3:N1075,N1076)=0),M1076,""))</f>
        <v/>
      </c>
    </row>
    <row r="1077">
      <c r="A1077" s="34" t="n"/>
      <c r="B1077" s="35" t="n"/>
      <c r="C1077" s="35" t="n"/>
      <c r="D1077" s="35" t="n"/>
      <c r="E1077" s="35" t="n"/>
      <c r="F1077" s="36" t="n"/>
      <c r="G1077" s="35" t="n"/>
      <c r="H1077" s="30">
        <f>IF(L1077="","",INDEX(SkiftNavn,L1077))</f>
        <v/>
      </c>
      <c r="I1077" s="30">
        <f>IF(OR(A1077="",L1077=""),"",IF(MOD(A1077-INDEX(SkiftStart,L1077),Syklus)&lt;DagK,"Kveld",IF(MOD(A1077-INDEX(SkiftStart,L1077),Syklus)&lt;DagK+DagH,"Helg",IF(MOD(A1077-INDEX(SkiftStart,L1077),Syklus)&lt;DagK+DagH+DagD,"Dag","Fri"))))</f>
        <v/>
      </c>
      <c r="J1077" s="30">
        <f>IF(I1077="Fri","Ja","")</f>
        <v/>
      </c>
      <c r="K1077" s="30">
        <f>IF(B1077="","",IF(L1077="","Ukjent tekniker",IF(ISNA(MATCH(C1077,Aktiviteter,0)),"Ukjent aktivitet",IF(AND(INDEX(AktRolle,MATCH(C1077,Aktiviteter,0))&amp;""&lt;&gt;"",ISERROR(SEARCH(INDEX(AktRolle,MATCH(C1077,Aktiviteter,0))&amp;"",INDEX(TekRoller,MATCH(B1077,Teknikere,0))))),"Mangler rollen "&amp;INDEX(AktRolle,MATCH(C1077,Aktiviteter,0))&amp;"",IF(AND(C1077="LMS",F1077&gt;0,OR(D1077="",E1077="")),"Mangler maskin eller arbeid",IF(AND(OR(C1077="LMS",C1077="Mod"),D1077&lt;&gt;""),IF(IFERROR(INDEX(MaskinStatus,MATCH(D1077,Maskiner,0)),"")="I dokk","","Maskinen er ikke i dokk"),""))))))</f>
        <v/>
      </c>
      <c r="L1077" s="2">
        <f>IF(B1077="","",IFERROR(INT((MATCH(B1077,Teknikere,0)-1)/18)+1,""))</f>
        <v/>
      </c>
      <c r="M1077" s="2">
        <f>IF(OR(A1077="",B1077=""),"",B1077&amp;"|"&amp;A1077)</f>
        <v/>
      </c>
      <c r="N1077" s="2">
        <f>IF(M1077="","",SUMIFS(TF_Timer,TF_Nokkel,M1077,TF_Akt,C1077))</f>
        <v/>
      </c>
      <c r="O1077" s="2">
        <f>IF(M1077="","",IF(AND(N1077=_xlfn.MAXIFS(TF_AktSum,TF_Nokkel,M1077),COUNTIFS(M$3:M1076,M1077,N$3:N1076,N1077)=0),M1077,""))</f>
        <v/>
      </c>
    </row>
    <row r="1078">
      <c r="A1078" s="34" t="n"/>
      <c r="B1078" s="35" t="n"/>
      <c r="C1078" s="35" t="n"/>
      <c r="D1078" s="35" t="n"/>
      <c r="E1078" s="35" t="n"/>
      <c r="F1078" s="36" t="n"/>
      <c r="G1078" s="35" t="n"/>
      <c r="H1078" s="30">
        <f>IF(L1078="","",INDEX(SkiftNavn,L1078))</f>
        <v/>
      </c>
      <c r="I1078" s="30">
        <f>IF(OR(A1078="",L1078=""),"",IF(MOD(A1078-INDEX(SkiftStart,L1078),Syklus)&lt;DagK,"Kveld",IF(MOD(A1078-INDEX(SkiftStart,L1078),Syklus)&lt;DagK+DagH,"Helg",IF(MOD(A1078-INDEX(SkiftStart,L1078),Syklus)&lt;DagK+DagH+DagD,"Dag","Fri"))))</f>
        <v/>
      </c>
      <c r="J1078" s="30">
        <f>IF(I1078="Fri","Ja","")</f>
        <v/>
      </c>
      <c r="K1078" s="30">
        <f>IF(B1078="","",IF(L1078="","Ukjent tekniker",IF(ISNA(MATCH(C1078,Aktiviteter,0)),"Ukjent aktivitet",IF(AND(INDEX(AktRolle,MATCH(C1078,Aktiviteter,0))&amp;""&lt;&gt;"",ISERROR(SEARCH(INDEX(AktRolle,MATCH(C1078,Aktiviteter,0))&amp;"",INDEX(TekRoller,MATCH(B1078,Teknikere,0))))),"Mangler rollen "&amp;INDEX(AktRolle,MATCH(C1078,Aktiviteter,0))&amp;"",IF(AND(C1078="LMS",F1078&gt;0,OR(D1078="",E1078="")),"Mangler maskin eller arbeid",IF(AND(OR(C1078="LMS",C1078="Mod"),D1078&lt;&gt;""),IF(IFERROR(INDEX(MaskinStatus,MATCH(D1078,Maskiner,0)),"")="I dokk","","Maskinen er ikke i dokk"),""))))))</f>
        <v/>
      </c>
      <c r="L1078" s="2">
        <f>IF(B1078="","",IFERROR(INT((MATCH(B1078,Teknikere,0)-1)/18)+1,""))</f>
        <v/>
      </c>
      <c r="M1078" s="2">
        <f>IF(OR(A1078="",B1078=""),"",B1078&amp;"|"&amp;A1078)</f>
        <v/>
      </c>
      <c r="N1078" s="2">
        <f>IF(M1078="","",SUMIFS(TF_Timer,TF_Nokkel,M1078,TF_Akt,C1078))</f>
        <v/>
      </c>
      <c r="O1078" s="2">
        <f>IF(M1078="","",IF(AND(N1078=_xlfn.MAXIFS(TF_AktSum,TF_Nokkel,M1078),COUNTIFS(M$3:M1077,M1078,N$3:N1077,N1078)=0),M1078,""))</f>
        <v/>
      </c>
    </row>
    <row r="1079">
      <c r="A1079" s="34" t="n"/>
      <c r="B1079" s="35" t="n"/>
      <c r="C1079" s="35" t="n"/>
      <c r="D1079" s="35" t="n"/>
      <c r="E1079" s="35" t="n"/>
      <c r="F1079" s="36" t="n"/>
      <c r="G1079" s="35" t="n"/>
      <c r="H1079" s="30">
        <f>IF(L1079="","",INDEX(SkiftNavn,L1079))</f>
        <v/>
      </c>
      <c r="I1079" s="30">
        <f>IF(OR(A1079="",L1079=""),"",IF(MOD(A1079-INDEX(SkiftStart,L1079),Syklus)&lt;DagK,"Kveld",IF(MOD(A1079-INDEX(SkiftStart,L1079),Syklus)&lt;DagK+DagH,"Helg",IF(MOD(A1079-INDEX(SkiftStart,L1079),Syklus)&lt;DagK+DagH+DagD,"Dag","Fri"))))</f>
        <v/>
      </c>
      <c r="J1079" s="30">
        <f>IF(I1079="Fri","Ja","")</f>
        <v/>
      </c>
      <c r="K1079" s="30">
        <f>IF(B1079="","",IF(L1079="","Ukjent tekniker",IF(ISNA(MATCH(C1079,Aktiviteter,0)),"Ukjent aktivitet",IF(AND(INDEX(AktRolle,MATCH(C1079,Aktiviteter,0))&amp;""&lt;&gt;"",ISERROR(SEARCH(INDEX(AktRolle,MATCH(C1079,Aktiviteter,0))&amp;"",INDEX(TekRoller,MATCH(B1079,Teknikere,0))))),"Mangler rollen "&amp;INDEX(AktRolle,MATCH(C1079,Aktiviteter,0))&amp;"",IF(AND(C1079="LMS",F1079&gt;0,OR(D1079="",E1079="")),"Mangler maskin eller arbeid",IF(AND(OR(C1079="LMS",C1079="Mod"),D1079&lt;&gt;""),IF(IFERROR(INDEX(MaskinStatus,MATCH(D1079,Maskiner,0)),"")="I dokk","","Maskinen er ikke i dokk"),""))))))</f>
        <v/>
      </c>
      <c r="L1079" s="2">
        <f>IF(B1079="","",IFERROR(INT((MATCH(B1079,Teknikere,0)-1)/18)+1,""))</f>
        <v/>
      </c>
      <c r="M1079" s="2">
        <f>IF(OR(A1079="",B1079=""),"",B1079&amp;"|"&amp;A1079)</f>
        <v/>
      </c>
      <c r="N1079" s="2">
        <f>IF(M1079="","",SUMIFS(TF_Timer,TF_Nokkel,M1079,TF_Akt,C1079))</f>
        <v/>
      </c>
      <c r="O1079" s="2">
        <f>IF(M1079="","",IF(AND(N1079=_xlfn.MAXIFS(TF_AktSum,TF_Nokkel,M1079),COUNTIFS(M$3:M1078,M1079,N$3:N1078,N1079)=0),M1079,""))</f>
        <v/>
      </c>
    </row>
    <row r="1080">
      <c r="A1080" s="34" t="n"/>
      <c r="B1080" s="35" t="n"/>
      <c r="C1080" s="35" t="n"/>
      <c r="D1080" s="35" t="n"/>
      <c r="E1080" s="35" t="n"/>
      <c r="F1080" s="36" t="n"/>
      <c r="G1080" s="35" t="n"/>
      <c r="H1080" s="30">
        <f>IF(L1080="","",INDEX(SkiftNavn,L1080))</f>
        <v/>
      </c>
      <c r="I1080" s="30">
        <f>IF(OR(A1080="",L1080=""),"",IF(MOD(A1080-INDEX(SkiftStart,L1080),Syklus)&lt;DagK,"Kveld",IF(MOD(A1080-INDEX(SkiftStart,L1080),Syklus)&lt;DagK+DagH,"Helg",IF(MOD(A1080-INDEX(SkiftStart,L1080),Syklus)&lt;DagK+DagH+DagD,"Dag","Fri"))))</f>
        <v/>
      </c>
      <c r="J1080" s="30">
        <f>IF(I1080="Fri","Ja","")</f>
        <v/>
      </c>
      <c r="K1080" s="30">
        <f>IF(B1080="","",IF(L1080="","Ukjent tekniker",IF(ISNA(MATCH(C1080,Aktiviteter,0)),"Ukjent aktivitet",IF(AND(INDEX(AktRolle,MATCH(C1080,Aktiviteter,0))&amp;""&lt;&gt;"",ISERROR(SEARCH(INDEX(AktRolle,MATCH(C1080,Aktiviteter,0))&amp;"",INDEX(TekRoller,MATCH(B1080,Teknikere,0))))),"Mangler rollen "&amp;INDEX(AktRolle,MATCH(C1080,Aktiviteter,0))&amp;"",IF(AND(C1080="LMS",F1080&gt;0,OR(D1080="",E1080="")),"Mangler maskin eller arbeid",IF(AND(OR(C1080="LMS",C1080="Mod"),D1080&lt;&gt;""),IF(IFERROR(INDEX(MaskinStatus,MATCH(D1080,Maskiner,0)),"")="I dokk","","Maskinen er ikke i dokk"),""))))))</f>
        <v/>
      </c>
      <c r="L1080" s="2">
        <f>IF(B1080="","",IFERROR(INT((MATCH(B1080,Teknikere,0)-1)/18)+1,""))</f>
        <v/>
      </c>
      <c r="M1080" s="2">
        <f>IF(OR(A1080="",B1080=""),"",B1080&amp;"|"&amp;A1080)</f>
        <v/>
      </c>
      <c r="N1080" s="2">
        <f>IF(M1080="","",SUMIFS(TF_Timer,TF_Nokkel,M1080,TF_Akt,C1080))</f>
        <v/>
      </c>
      <c r="O1080" s="2">
        <f>IF(M1080="","",IF(AND(N1080=_xlfn.MAXIFS(TF_AktSum,TF_Nokkel,M1080),COUNTIFS(M$3:M1079,M1080,N$3:N1079,N1080)=0),M1080,""))</f>
        <v/>
      </c>
    </row>
    <row r="1081">
      <c r="A1081" s="34" t="n"/>
      <c r="B1081" s="35" t="n"/>
      <c r="C1081" s="35" t="n"/>
      <c r="D1081" s="35" t="n"/>
      <c r="E1081" s="35" t="n"/>
      <c r="F1081" s="36" t="n"/>
      <c r="G1081" s="35" t="n"/>
      <c r="H1081" s="30">
        <f>IF(L1081="","",INDEX(SkiftNavn,L1081))</f>
        <v/>
      </c>
      <c r="I1081" s="30">
        <f>IF(OR(A1081="",L1081=""),"",IF(MOD(A1081-INDEX(SkiftStart,L1081),Syklus)&lt;DagK,"Kveld",IF(MOD(A1081-INDEX(SkiftStart,L1081),Syklus)&lt;DagK+DagH,"Helg",IF(MOD(A1081-INDEX(SkiftStart,L1081),Syklus)&lt;DagK+DagH+DagD,"Dag","Fri"))))</f>
        <v/>
      </c>
      <c r="J1081" s="30">
        <f>IF(I1081="Fri","Ja","")</f>
        <v/>
      </c>
      <c r="K1081" s="30">
        <f>IF(B1081="","",IF(L1081="","Ukjent tekniker",IF(ISNA(MATCH(C1081,Aktiviteter,0)),"Ukjent aktivitet",IF(AND(INDEX(AktRolle,MATCH(C1081,Aktiviteter,0))&amp;""&lt;&gt;"",ISERROR(SEARCH(INDEX(AktRolle,MATCH(C1081,Aktiviteter,0))&amp;"",INDEX(TekRoller,MATCH(B1081,Teknikere,0))))),"Mangler rollen "&amp;INDEX(AktRolle,MATCH(C1081,Aktiviteter,0))&amp;"",IF(AND(C1081="LMS",F1081&gt;0,OR(D1081="",E1081="")),"Mangler maskin eller arbeid",IF(AND(OR(C1081="LMS",C1081="Mod"),D1081&lt;&gt;""),IF(IFERROR(INDEX(MaskinStatus,MATCH(D1081,Maskiner,0)),"")="I dokk","","Maskinen er ikke i dokk"),""))))))</f>
        <v/>
      </c>
      <c r="L1081" s="2">
        <f>IF(B1081="","",IFERROR(INT((MATCH(B1081,Teknikere,0)-1)/18)+1,""))</f>
        <v/>
      </c>
      <c r="M1081" s="2">
        <f>IF(OR(A1081="",B1081=""),"",B1081&amp;"|"&amp;A1081)</f>
        <v/>
      </c>
      <c r="N1081" s="2">
        <f>IF(M1081="","",SUMIFS(TF_Timer,TF_Nokkel,M1081,TF_Akt,C1081))</f>
        <v/>
      </c>
      <c r="O1081" s="2">
        <f>IF(M1081="","",IF(AND(N1081=_xlfn.MAXIFS(TF_AktSum,TF_Nokkel,M1081),COUNTIFS(M$3:M1080,M1081,N$3:N1080,N1081)=0),M1081,""))</f>
        <v/>
      </c>
    </row>
    <row r="1082">
      <c r="A1082" s="34" t="n"/>
      <c r="B1082" s="35" t="n"/>
      <c r="C1082" s="35" t="n"/>
      <c r="D1082" s="35" t="n"/>
      <c r="E1082" s="35" t="n"/>
      <c r="F1082" s="36" t="n"/>
      <c r="G1082" s="35" t="n"/>
      <c r="H1082" s="30">
        <f>IF(L1082="","",INDEX(SkiftNavn,L1082))</f>
        <v/>
      </c>
      <c r="I1082" s="30">
        <f>IF(OR(A1082="",L1082=""),"",IF(MOD(A1082-INDEX(SkiftStart,L1082),Syklus)&lt;DagK,"Kveld",IF(MOD(A1082-INDEX(SkiftStart,L1082),Syklus)&lt;DagK+DagH,"Helg",IF(MOD(A1082-INDEX(SkiftStart,L1082),Syklus)&lt;DagK+DagH+DagD,"Dag","Fri"))))</f>
        <v/>
      </c>
      <c r="J1082" s="30">
        <f>IF(I1082="Fri","Ja","")</f>
        <v/>
      </c>
      <c r="K1082" s="30">
        <f>IF(B1082="","",IF(L1082="","Ukjent tekniker",IF(ISNA(MATCH(C1082,Aktiviteter,0)),"Ukjent aktivitet",IF(AND(INDEX(AktRolle,MATCH(C1082,Aktiviteter,0))&amp;""&lt;&gt;"",ISERROR(SEARCH(INDEX(AktRolle,MATCH(C1082,Aktiviteter,0))&amp;"",INDEX(TekRoller,MATCH(B1082,Teknikere,0))))),"Mangler rollen "&amp;INDEX(AktRolle,MATCH(C1082,Aktiviteter,0))&amp;"",IF(AND(C1082="LMS",F1082&gt;0,OR(D1082="",E1082="")),"Mangler maskin eller arbeid",IF(AND(OR(C1082="LMS",C1082="Mod"),D1082&lt;&gt;""),IF(IFERROR(INDEX(MaskinStatus,MATCH(D1082,Maskiner,0)),"")="I dokk","","Maskinen er ikke i dokk"),""))))))</f>
        <v/>
      </c>
      <c r="L1082" s="2">
        <f>IF(B1082="","",IFERROR(INT((MATCH(B1082,Teknikere,0)-1)/18)+1,""))</f>
        <v/>
      </c>
      <c r="M1082" s="2">
        <f>IF(OR(A1082="",B1082=""),"",B1082&amp;"|"&amp;A1082)</f>
        <v/>
      </c>
      <c r="N1082" s="2">
        <f>IF(M1082="","",SUMIFS(TF_Timer,TF_Nokkel,M1082,TF_Akt,C1082))</f>
        <v/>
      </c>
      <c r="O1082" s="2">
        <f>IF(M1082="","",IF(AND(N1082=_xlfn.MAXIFS(TF_AktSum,TF_Nokkel,M1082),COUNTIFS(M$3:M1081,M1082,N$3:N1081,N1082)=0),M1082,""))</f>
        <v/>
      </c>
    </row>
    <row r="1083">
      <c r="A1083" s="34" t="n"/>
      <c r="B1083" s="35" t="n"/>
      <c r="C1083" s="35" t="n"/>
      <c r="D1083" s="35" t="n"/>
      <c r="E1083" s="35" t="n"/>
      <c r="F1083" s="36" t="n"/>
      <c r="G1083" s="35" t="n"/>
      <c r="H1083" s="30">
        <f>IF(L1083="","",INDEX(SkiftNavn,L1083))</f>
        <v/>
      </c>
      <c r="I1083" s="30">
        <f>IF(OR(A1083="",L1083=""),"",IF(MOD(A1083-INDEX(SkiftStart,L1083),Syklus)&lt;DagK,"Kveld",IF(MOD(A1083-INDEX(SkiftStart,L1083),Syklus)&lt;DagK+DagH,"Helg",IF(MOD(A1083-INDEX(SkiftStart,L1083),Syklus)&lt;DagK+DagH+DagD,"Dag","Fri"))))</f>
        <v/>
      </c>
      <c r="J1083" s="30">
        <f>IF(I1083="Fri","Ja","")</f>
        <v/>
      </c>
      <c r="K1083" s="30">
        <f>IF(B1083="","",IF(L1083="","Ukjent tekniker",IF(ISNA(MATCH(C1083,Aktiviteter,0)),"Ukjent aktivitet",IF(AND(INDEX(AktRolle,MATCH(C1083,Aktiviteter,0))&amp;""&lt;&gt;"",ISERROR(SEARCH(INDEX(AktRolle,MATCH(C1083,Aktiviteter,0))&amp;"",INDEX(TekRoller,MATCH(B1083,Teknikere,0))))),"Mangler rollen "&amp;INDEX(AktRolle,MATCH(C1083,Aktiviteter,0))&amp;"",IF(AND(C1083="LMS",F1083&gt;0,OR(D1083="",E1083="")),"Mangler maskin eller arbeid",IF(AND(OR(C1083="LMS",C1083="Mod"),D1083&lt;&gt;""),IF(IFERROR(INDEX(MaskinStatus,MATCH(D1083,Maskiner,0)),"")="I dokk","","Maskinen er ikke i dokk"),""))))))</f>
        <v/>
      </c>
      <c r="L1083" s="2">
        <f>IF(B1083="","",IFERROR(INT((MATCH(B1083,Teknikere,0)-1)/18)+1,""))</f>
        <v/>
      </c>
      <c r="M1083" s="2">
        <f>IF(OR(A1083="",B1083=""),"",B1083&amp;"|"&amp;A1083)</f>
        <v/>
      </c>
      <c r="N1083" s="2">
        <f>IF(M1083="","",SUMIFS(TF_Timer,TF_Nokkel,M1083,TF_Akt,C1083))</f>
        <v/>
      </c>
      <c r="O1083" s="2">
        <f>IF(M1083="","",IF(AND(N1083=_xlfn.MAXIFS(TF_AktSum,TF_Nokkel,M1083),COUNTIFS(M$3:M1082,M1083,N$3:N1082,N1083)=0),M1083,""))</f>
        <v/>
      </c>
    </row>
    <row r="1084">
      <c r="A1084" s="34" t="n"/>
      <c r="B1084" s="35" t="n"/>
      <c r="C1084" s="35" t="n"/>
      <c r="D1084" s="35" t="n"/>
      <c r="E1084" s="35" t="n"/>
      <c r="F1084" s="36" t="n"/>
      <c r="G1084" s="35" t="n"/>
      <c r="H1084" s="30">
        <f>IF(L1084="","",INDEX(SkiftNavn,L1084))</f>
        <v/>
      </c>
      <c r="I1084" s="30">
        <f>IF(OR(A1084="",L1084=""),"",IF(MOD(A1084-INDEX(SkiftStart,L1084),Syklus)&lt;DagK,"Kveld",IF(MOD(A1084-INDEX(SkiftStart,L1084),Syklus)&lt;DagK+DagH,"Helg",IF(MOD(A1084-INDEX(SkiftStart,L1084),Syklus)&lt;DagK+DagH+DagD,"Dag","Fri"))))</f>
        <v/>
      </c>
      <c r="J1084" s="30">
        <f>IF(I1084="Fri","Ja","")</f>
        <v/>
      </c>
      <c r="K1084" s="30">
        <f>IF(B1084="","",IF(L1084="","Ukjent tekniker",IF(ISNA(MATCH(C1084,Aktiviteter,0)),"Ukjent aktivitet",IF(AND(INDEX(AktRolle,MATCH(C1084,Aktiviteter,0))&amp;""&lt;&gt;"",ISERROR(SEARCH(INDEX(AktRolle,MATCH(C1084,Aktiviteter,0))&amp;"",INDEX(TekRoller,MATCH(B1084,Teknikere,0))))),"Mangler rollen "&amp;INDEX(AktRolle,MATCH(C1084,Aktiviteter,0))&amp;"",IF(AND(C1084="LMS",F1084&gt;0,OR(D1084="",E1084="")),"Mangler maskin eller arbeid",IF(AND(OR(C1084="LMS",C1084="Mod"),D1084&lt;&gt;""),IF(IFERROR(INDEX(MaskinStatus,MATCH(D1084,Maskiner,0)),"")="I dokk","","Maskinen er ikke i dokk"),""))))))</f>
        <v/>
      </c>
      <c r="L1084" s="2">
        <f>IF(B1084="","",IFERROR(INT((MATCH(B1084,Teknikere,0)-1)/18)+1,""))</f>
        <v/>
      </c>
      <c r="M1084" s="2">
        <f>IF(OR(A1084="",B1084=""),"",B1084&amp;"|"&amp;A1084)</f>
        <v/>
      </c>
      <c r="N1084" s="2">
        <f>IF(M1084="","",SUMIFS(TF_Timer,TF_Nokkel,M1084,TF_Akt,C1084))</f>
        <v/>
      </c>
      <c r="O1084" s="2">
        <f>IF(M1084="","",IF(AND(N1084=_xlfn.MAXIFS(TF_AktSum,TF_Nokkel,M1084),COUNTIFS(M$3:M1083,M1084,N$3:N1083,N1084)=0),M1084,""))</f>
        <v/>
      </c>
    </row>
    <row r="1085">
      <c r="A1085" s="34" t="n"/>
      <c r="B1085" s="35" t="n"/>
      <c r="C1085" s="35" t="n"/>
      <c r="D1085" s="35" t="n"/>
      <c r="E1085" s="35" t="n"/>
      <c r="F1085" s="36" t="n"/>
      <c r="G1085" s="35" t="n"/>
      <c r="H1085" s="30">
        <f>IF(L1085="","",INDEX(SkiftNavn,L1085))</f>
        <v/>
      </c>
      <c r="I1085" s="30">
        <f>IF(OR(A1085="",L1085=""),"",IF(MOD(A1085-INDEX(SkiftStart,L1085),Syklus)&lt;DagK,"Kveld",IF(MOD(A1085-INDEX(SkiftStart,L1085),Syklus)&lt;DagK+DagH,"Helg",IF(MOD(A1085-INDEX(SkiftStart,L1085),Syklus)&lt;DagK+DagH+DagD,"Dag","Fri"))))</f>
        <v/>
      </c>
      <c r="J1085" s="30">
        <f>IF(I1085="Fri","Ja","")</f>
        <v/>
      </c>
      <c r="K1085" s="30">
        <f>IF(B1085="","",IF(L1085="","Ukjent tekniker",IF(ISNA(MATCH(C1085,Aktiviteter,0)),"Ukjent aktivitet",IF(AND(INDEX(AktRolle,MATCH(C1085,Aktiviteter,0))&amp;""&lt;&gt;"",ISERROR(SEARCH(INDEX(AktRolle,MATCH(C1085,Aktiviteter,0))&amp;"",INDEX(TekRoller,MATCH(B1085,Teknikere,0))))),"Mangler rollen "&amp;INDEX(AktRolle,MATCH(C1085,Aktiviteter,0))&amp;"",IF(AND(C1085="LMS",F1085&gt;0,OR(D1085="",E1085="")),"Mangler maskin eller arbeid",IF(AND(OR(C1085="LMS",C1085="Mod"),D1085&lt;&gt;""),IF(IFERROR(INDEX(MaskinStatus,MATCH(D1085,Maskiner,0)),"")="I dokk","","Maskinen er ikke i dokk"),""))))))</f>
        <v/>
      </c>
      <c r="L1085" s="2">
        <f>IF(B1085="","",IFERROR(INT((MATCH(B1085,Teknikere,0)-1)/18)+1,""))</f>
        <v/>
      </c>
      <c r="M1085" s="2">
        <f>IF(OR(A1085="",B1085=""),"",B1085&amp;"|"&amp;A1085)</f>
        <v/>
      </c>
      <c r="N1085" s="2">
        <f>IF(M1085="","",SUMIFS(TF_Timer,TF_Nokkel,M1085,TF_Akt,C1085))</f>
        <v/>
      </c>
      <c r="O1085" s="2">
        <f>IF(M1085="","",IF(AND(N1085=_xlfn.MAXIFS(TF_AktSum,TF_Nokkel,M1085),COUNTIFS(M$3:M1084,M1085,N$3:N1084,N1085)=0),M1085,""))</f>
        <v/>
      </c>
    </row>
    <row r="1086">
      <c r="A1086" s="34" t="n"/>
      <c r="B1086" s="35" t="n"/>
      <c r="C1086" s="35" t="n"/>
      <c r="D1086" s="35" t="n"/>
      <c r="E1086" s="35" t="n"/>
      <c r="F1086" s="36" t="n"/>
      <c r="G1086" s="35" t="n"/>
      <c r="H1086" s="30">
        <f>IF(L1086="","",INDEX(SkiftNavn,L1086))</f>
        <v/>
      </c>
      <c r="I1086" s="30">
        <f>IF(OR(A1086="",L1086=""),"",IF(MOD(A1086-INDEX(SkiftStart,L1086),Syklus)&lt;DagK,"Kveld",IF(MOD(A1086-INDEX(SkiftStart,L1086),Syklus)&lt;DagK+DagH,"Helg",IF(MOD(A1086-INDEX(SkiftStart,L1086),Syklus)&lt;DagK+DagH+DagD,"Dag","Fri"))))</f>
        <v/>
      </c>
      <c r="J1086" s="30">
        <f>IF(I1086="Fri","Ja","")</f>
        <v/>
      </c>
      <c r="K1086" s="30">
        <f>IF(B1086="","",IF(L1086="","Ukjent tekniker",IF(ISNA(MATCH(C1086,Aktiviteter,0)),"Ukjent aktivitet",IF(AND(INDEX(AktRolle,MATCH(C1086,Aktiviteter,0))&amp;""&lt;&gt;"",ISERROR(SEARCH(INDEX(AktRolle,MATCH(C1086,Aktiviteter,0))&amp;"",INDEX(TekRoller,MATCH(B1086,Teknikere,0))))),"Mangler rollen "&amp;INDEX(AktRolle,MATCH(C1086,Aktiviteter,0))&amp;"",IF(AND(C1086="LMS",F1086&gt;0,OR(D1086="",E1086="")),"Mangler maskin eller arbeid",IF(AND(OR(C1086="LMS",C1086="Mod"),D1086&lt;&gt;""),IF(IFERROR(INDEX(MaskinStatus,MATCH(D1086,Maskiner,0)),"")="I dokk","","Maskinen er ikke i dokk"),""))))))</f>
        <v/>
      </c>
      <c r="L1086" s="2">
        <f>IF(B1086="","",IFERROR(INT((MATCH(B1086,Teknikere,0)-1)/18)+1,""))</f>
        <v/>
      </c>
      <c r="M1086" s="2">
        <f>IF(OR(A1086="",B1086=""),"",B1086&amp;"|"&amp;A1086)</f>
        <v/>
      </c>
      <c r="N1086" s="2">
        <f>IF(M1086="","",SUMIFS(TF_Timer,TF_Nokkel,M1086,TF_Akt,C1086))</f>
        <v/>
      </c>
      <c r="O1086" s="2">
        <f>IF(M1086="","",IF(AND(N1086=_xlfn.MAXIFS(TF_AktSum,TF_Nokkel,M1086),COUNTIFS(M$3:M1085,M1086,N$3:N1085,N1086)=0),M1086,""))</f>
        <v/>
      </c>
    </row>
    <row r="1087">
      <c r="A1087" s="34" t="n"/>
      <c r="B1087" s="35" t="n"/>
      <c r="C1087" s="35" t="n"/>
      <c r="D1087" s="35" t="n"/>
      <c r="E1087" s="35" t="n"/>
      <c r="F1087" s="36" t="n"/>
      <c r="G1087" s="35" t="n"/>
      <c r="H1087" s="30">
        <f>IF(L1087="","",INDEX(SkiftNavn,L1087))</f>
        <v/>
      </c>
      <c r="I1087" s="30">
        <f>IF(OR(A1087="",L1087=""),"",IF(MOD(A1087-INDEX(SkiftStart,L1087),Syklus)&lt;DagK,"Kveld",IF(MOD(A1087-INDEX(SkiftStart,L1087),Syklus)&lt;DagK+DagH,"Helg",IF(MOD(A1087-INDEX(SkiftStart,L1087),Syklus)&lt;DagK+DagH+DagD,"Dag","Fri"))))</f>
        <v/>
      </c>
      <c r="J1087" s="30">
        <f>IF(I1087="Fri","Ja","")</f>
        <v/>
      </c>
      <c r="K1087" s="30">
        <f>IF(B1087="","",IF(L1087="","Ukjent tekniker",IF(ISNA(MATCH(C1087,Aktiviteter,0)),"Ukjent aktivitet",IF(AND(INDEX(AktRolle,MATCH(C1087,Aktiviteter,0))&amp;""&lt;&gt;"",ISERROR(SEARCH(INDEX(AktRolle,MATCH(C1087,Aktiviteter,0))&amp;"",INDEX(TekRoller,MATCH(B1087,Teknikere,0))))),"Mangler rollen "&amp;INDEX(AktRolle,MATCH(C1087,Aktiviteter,0))&amp;"",IF(AND(C1087="LMS",F1087&gt;0,OR(D1087="",E1087="")),"Mangler maskin eller arbeid",IF(AND(OR(C1087="LMS",C1087="Mod"),D1087&lt;&gt;""),IF(IFERROR(INDEX(MaskinStatus,MATCH(D1087,Maskiner,0)),"")="I dokk","","Maskinen er ikke i dokk"),""))))))</f>
        <v/>
      </c>
      <c r="L1087" s="2">
        <f>IF(B1087="","",IFERROR(INT((MATCH(B1087,Teknikere,0)-1)/18)+1,""))</f>
        <v/>
      </c>
      <c r="M1087" s="2">
        <f>IF(OR(A1087="",B1087=""),"",B1087&amp;"|"&amp;A1087)</f>
        <v/>
      </c>
      <c r="N1087" s="2">
        <f>IF(M1087="","",SUMIFS(TF_Timer,TF_Nokkel,M1087,TF_Akt,C1087))</f>
        <v/>
      </c>
      <c r="O1087" s="2">
        <f>IF(M1087="","",IF(AND(N1087=_xlfn.MAXIFS(TF_AktSum,TF_Nokkel,M1087),COUNTIFS(M$3:M1086,M1087,N$3:N1086,N1087)=0),M1087,""))</f>
        <v/>
      </c>
    </row>
    <row r="1088">
      <c r="A1088" s="34" t="n"/>
      <c r="B1088" s="35" t="n"/>
      <c r="C1088" s="35" t="n"/>
      <c r="D1088" s="35" t="n"/>
      <c r="E1088" s="35" t="n"/>
      <c r="F1088" s="36" t="n"/>
      <c r="G1088" s="35" t="n"/>
      <c r="H1088" s="30">
        <f>IF(L1088="","",INDEX(SkiftNavn,L1088))</f>
        <v/>
      </c>
      <c r="I1088" s="30">
        <f>IF(OR(A1088="",L1088=""),"",IF(MOD(A1088-INDEX(SkiftStart,L1088),Syklus)&lt;DagK,"Kveld",IF(MOD(A1088-INDEX(SkiftStart,L1088),Syklus)&lt;DagK+DagH,"Helg",IF(MOD(A1088-INDEX(SkiftStart,L1088),Syklus)&lt;DagK+DagH+DagD,"Dag","Fri"))))</f>
        <v/>
      </c>
      <c r="J1088" s="30">
        <f>IF(I1088="Fri","Ja","")</f>
        <v/>
      </c>
      <c r="K1088" s="30">
        <f>IF(B1088="","",IF(L1088="","Ukjent tekniker",IF(ISNA(MATCH(C1088,Aktiviteter,0)),"Ukjent aktivitet",IF(AND(INDEX(AktRolle,MATCH(C1088,Aktiviteter,0))&amp;""&lt;&gt;"",ISERROR(SEARCH(INDEX(AktRolle,MATCH(C1088,Aktiviteter,0))&amp;"",INDEX(TekRoller,MATCH(B1088,Teknikere,0))))),"Mangler rollen "&amp;INDEX(AktRolle,MATCH(C1088,Aktiviteter,0))&amp;"",IF(AND(C1088="LMS",F1088&gt;0,OR(D1088="",E1088="")),"Mangler maskin eller arbeid",IF(AND(OR(C1088="LMS",C1088="Mod"),D1088&lt;&gt;""),IF(IFERROR(INDEX(MaskinStatus,MATCH(D1088,Maskiner,0)),"")="I dokk","","Maskinen er ikke i dokk"),""))))))</f>
        <v/>
      </c>
      <c r="L1088" s="2">
        <f>IF(B1088="","",IFERROR(INT((MATCH(B1088,Teknikere,0)-1)/18)+1,""))</f>
        <v/>
      </c>
      <c r="M1088" s="2">
        <f>IF(OR(A1088="",B1088=""),"",B1088&amp;"|"&amp;A1088)</f>
        <v/>
      </c>
      <c r="N1088" s="2">
        <f>IF(M1088="","",SUMIFS(TF_Timer,TF_Nokkel,M1088,TF_Akt,C1088))</f>
        <v/>
      </c>
      <c r="O1088" s="2">
        <f>IF(M1088="","",IF(AND(N1088=_xlfn.MAXIFS(TF_AktSum,TF_Nokkel,M1088),COUNTIFS(M$3:M1087,M1088,N$3:N1087,N1088)=0),M1088,""))</f>
        <v/>
      </c>
    </row>
    <row r="1089">
      <c r="A1089" s="34" t="n"/>
      <c r="B1089" s="35" t="n"/>
      <c r="C1089" s="35" t="n"/>
      <c r="D1089" s="35" t="n"/>
      <c r="E1089" s="35" t="n"/>
      <c r="F1089" s="36" t="n"/>
      <c r="G1089" s="35" t="n"/>
      <c r="H1089" s="30">
        <f>IF(L1089="","",INDEX(SkiftNavn,L1089))</f>
        <v/>
      </c>
      <c r="I1089" s="30">
        <f>IF(OR(A1089="",L1089=""),"",IF(MOD(A1089-INDEX(SkiftStart,L1089),Syklus)&lt;DagK,"Kveld",IF(MOD(A1089-INDEX(SkiftStart,L1089),Syklus)&lt;DagK+DagH,"Helg",IF(MOD(A1089-INDEX(SkiftStart,L1089),Syklus)&lt;DagK+DagH+DagD,"Dag","Fri"))))</f>
        <v/>
      </c>
      <c r="J1089" s="30">
        <f>IF(I1089="Fri","Ja","")</f>
        <v/>
      </c>
      <c r="K1089" s="30">
        <f>IF(B1089="","",IF(L1089="","Ukjent tekniker",IF(ISNA(MATCH(C1089,Aktiviteter,0)),"Ukjent aktivitet",IF(AND(INDEX(AktRolle,MATCH(C1089,Aktiviteter,0))&amp;""&lt;&gt;"",ISERROR(SEARCH(INDEX(AktRolle,MATCH(C1089,Aktiviteter,0))&amp;"",INDEX(TekRoller,MATCH(B1089,Teknikere,0))))),"Mangler rollen "&amp;INDEX(AktRolle,MATCH(C1089,Aktiviteter,0))&amp;"",IF(AND(C1089="LMS",F1089&gt;0,OR(D1089="",E1089="")),"Mangler maskin eller arbeid",IF(AND(OR(C1089="LMS",C1089="Mod"),D1089&lt;&gt;""),IF(IFERROR(INDEX(MaskinStatus,MATCH(D1089,Maskiner,0)),"")="I dokk","","Maskinen er ikke i dokk"),""))))))</f>
        <v/>
      </c>
      <c r="L1089" s="2">
        <f>IF(B1089="","",IFERROR(INT((MATCH(B1089,Teknikere,0)-1)/18)+1,""))</f>
        <v/>
      </c>
      <c r="M1089" s="2">
        <f>IF(OR(A1089="",B1089=""),"",B1089&amp;"|"&amp;A1089)</f>
        <v/>
      </c>
      <c r="N1089" s="2">
        <f>IF(M1089="","",SUMIFS(TF_Timer,TF_Nokkel,M1089,TF_Akt,C1089))</f>
        <v/>
      </c>
      <c r="O1089" s="2">
        <f>IF(M1089="","",IF(AND(N1089=_xlfn.MAXIFS(TF_AktSum,TF_Nokkel,M1089),COUNTIFS(M$3:M1088,M1089,N$3:N1088,N1089)=0),M1089,""))</f>
        <v/>
      </c>
    </row>
    <row r="1090">
      <c r="A1090" s="34" t="n"/>
      <c r="B1090" s="35" t="n"/>
      <c r="C1090" s="35" t="n"/>
      <c r="D1090" s="35" t="n"/>
      <c r="E1090" s="35" t="n"/>
      <c r="F1090" s="36" t="n"/>
      <c r="G1090" s="35" t="n"/>
      <c r="H1090" s="30">
        <f>IF(L1090="","",INDEX(SkiftNavn,L1090))</f>
        <v/>
      </c>
      <c r="I1090" s="30">
        <f>IF(OR(A1090="",L1090=""),"",IF(MOD(A1090-INDEX(SkiftStart,L1090),Syklus)&lt;DagK,"Kveld",IF(MOD(A1090-INDEX(SkiftStart,L1090),Syklus)&lt;DagK+DagH,"Helg",IF(MOD(A1090-INDEX(SkiftStart,L1090),Syklus)&lt;DagK+DagH+DagD,"Dag","Fri"))))</f>
        <v/>
      </c>
      <c r="J1090" s="30">
        <f>IF(I1090="Fri","Ja","")</f>
        <v/>
      </c>
      <c r="K1090" s="30">
        <f>IF(B1090="","",IF(L1090="","Ukjent tekniker",IF(ISNA(MATCH(C1090,Aktiviteter,0)),"Ukjent aktivitet",IF(AND(INDEX(AktRolle,MATCH(C1090,Aktiviteter,0))&amp;""&lt;&gt;"",ISERROR(SEARCH(INDEX(AktRolle,MATCH(C1090,Aktiviteter,0))&amp;"",INDEX(TekRoller,MATCH(B1090,Teknikere,0))))),"Mangler rollen "&amp;INDEX(AktRolle,MATCH(C1090,Aktiviteter,0))&amp;"",IF(AND(C1090="LMS",F1090&gt;0,OR(D1090="",E1090="")),"Mangler maskin eller arbeid",IF(AND(OR(C1090="LMS",C1090="Mod"),D1090&lt;&gt;""),IF(IFERROR(INDEX(MaskinStatus,MATCH(D1090,Maskiner,0)),"")="I dokk","","Maskinen er ikke i dokk"),""))))))</f>
        <v/>
      </c>
      <c r="L1090" s="2">
        <f>IF(B1090="","",IFERROR(INT((MATCH(B1090,Teknikere,0)-1)/18)+1,""))</f>
        <v/>
      </c>
      <c r="M1090" s="2">
        <f>IF(OR(A1090="",B1090=""),"",B1090&amp;"|"&amp;A1090)</f>
        <v/>
      </c>
      <c r="N1090" s="2">
        <f>IF(M1090="","",SUMIFS(TF_Timer,TF_Nokkel,M1090,TF_Akt,C1090))</f>
        <v/>
      </c>
      <c r="O1090" s="2">
        <f>IF(M1090="","",IF(AND(N1090=_xlfn.MAXIFS(TF_AktSum,TF_Nokkel,M1090),COUNTIFS(M$3:M1089,M1090,N$3:N1089,N1090)=0),M1090,""))</f>
        <v/>
      </c>
    </row>
    <row r="1091">
      <c r="A1091" s="34" t="n"/>
      <c r="B1091" s="35" t="n"/>
      <c r="C1091" s="35" t="n"/>
      <c r="D1091" s="35" t="n"/>
      <c r="E1091" s="35" t="n"/>
      <c r="F1091" s="36" t="n"/>
      <c r="G1091" s="35" t="n"/>
      <c r="H1091" s="30">
        <f>IF(L1091="","",INDEX(SkiftNavn,L1091))</f>
        <v/>
      </c>
      <c r="I1091" s="30">
        <f>IF(OR(A1091="",L1091=""),"",IF(MOD(A1091-INDEX(SkiftStart,L1091),Syklus)&lt;DagK,"Kveld",IF(MOD(A1091-INDEX(SkiftStart,L1091),Syklus)&lt;DagK+DagH,"Helg",IF(MOD(A1091-INDEX(SkiftStart,L1091),Syklus)&lt;DagK+DagH+DagD,"Dag","Fri"))))</f>
        <v/>
      </c>
      <c r="J1091" s="30">
        <f>IF(I1091="Fri","Ja","")</f>
        <v/>
      </c>
      <c r="K1091" s="30">
        <f>IF(B1091="","",IF(L1091="","Ukjent tekniker",IF(ISNA(MATCH(C1091,Aktiviteter,0)),"Ukjent aktivitet",IF(AND(INDEX(AktRolle,MATCH(C1091,Aktiviteter,0))&amp;""&lt;&gt;"",ISERROR(SEARCH(INDEX(AktRolle,MATCH(C1091,Aktiviteter,0))&amp;"",INDEX(TekRoller,MATCH(B1091,Teknikere,0))))),"Mangler rollen "&amp;INDEX(AktRolle,MATCH(C1091,Aktiviteter,0))&amp;"",IF(AND(C1091="LMS",F1091&gt;0,OR(D1091="",E1091="")),"Mangler maskin eller arbeid",IF(AND(OR(C1091="LMS",C1091="Mod"),D1091&lt;&gt;""),IF(IFERROR(INDEX(MaskinStatus,MATCH(D1091,Maskiner,0)),"")="I dokk","","Maskinen er ikke i dokk"),""))))))</f>
        <v/>
      </c>
      <c r="L1091" s="2">
        <f>IF(B1091="","",IFERROR(INT((MATCH(B1091,Teknikere,0)-1)/18)+1,""))</f>
        <v/>
      </c>
      <c r="M1091" s="2">
        <f>IF(OR(A1091="",B1091=""),"",B1091&amp;"|"&amp;A1091)</f>
        <v/>
      </c>
      <c r="N1091" s="2">
        <f>IF(M1091="","",SUMIFS(TF_Timer,TF_Nokkel,M1091,TF_Akt,C1091))</f>
        <v/>
      </c>
      <c r="O1091" s="2">
        <f>IF(M1091="","",IF(AND(N1091=_xlfn.MAXIFS(TF_AktSum,TF_Nokkel,M1091),COUNTIFS(M$3:M1090,M1091,N$3:N1090,N1091)=0),M1091,""))</f>
        <v/>
      </c>
    </row>
    <row r="1092">
      <c r="A1092" s="34" t="n"/>
      <c r="B1092" s="35" t="n"/>
      <c r="C1092" s="35" t="n"/>
      <c r="D1092" s="35" t="n"/>
      <c r="E1092" s="35" t="n"/>
      <c r="F1092" s="36" t="n"/>
      <c r="G1092" s="35" t="n"/>
      <c r="H1092" s="30">
        <f>IF(L1092="","",INDEX(SkiftNavn,L1092))</f>
        <v/>
      </c>
      <c r="I1092" s="30">
        <f>IF(OR(A1092="",L1092=""),"",IF(MOD(A1092-INDEX(SkiftStart,L1092),Syklus)&lt;DagK,"Kveld",IF(MOD(A1092-INDEX(SkiftStart,L1092),Syklus)&lt;DagK+DagH,"Helg",IF(MOD(A1092-INDEX(SkiftStart,L1092),Syklus)&lt;DagK+DagH+DagD,"Dag","Fri"))))</f>
        <v/>
      </c>
      <c r="J1092" s="30">
        <f>IF(I1092="Fri","Ja","")</f>
        <v/>
      </c>
      <c r="K1092" s="30">
        <f>IF(B1092="","",IF(L1092="","Ukjent tekniker",IF(ISNA(MATCH(C1092,Aktiviteter,0)),"Ukjent aktivitet",IF(AND(INDEX(AktRolle,MATCH(C1092,Aktiviteter,0))&amp;""&lt;&gt;"",ISERROR(SEARCH(INDEX(AktRolle,MATCH(C1092,Aktiviteter,0))&amp;"",INDEX(TekRoller,MATCH(B1092,Teknikere,0))))),"Mangler rollen "&amp;INDEX(AktRolle,MATCH(C1092,Aktiviteter,0))&amp;"",IF(AND(C1092="LMS",F1092&gt;0,OR(D1092="",E1092="")),"Mangler maskin eller arbeid",IF(AND(OR(C1092="LMS",C1092="Mod"),D1092&lt;&gt;""),IF(IFERROR(INDEX(MaskinStatus,MATCH(D1092,Maskiner,0)),"")="I dokk","","Maskinen er ikke i dokk"),""))))))</f>
        <v/>
      </c>
      <c r="L1092" s="2">
        <f>IF(B1092="","",IFERROR(INT((MATCH(B1092,Teknikere,0)-1)/18)+1,""))</f>
        <v/>
      </c>
      <c r="M1092" s="2">
        <f>IF(OR(A1092="",B1092=""),"",B1092&amp;"|"&amp;A1092)</f>
        <v/>
      </c>
      <c r="N1092" s="2">
        <f>IF(M1092="","",SUMIFS(TF_Timer,TF_Nokkel,M1092,TF_Akt,C1092))</f>
        <v/>
      </c>
      <c r="O1092" s="2">
        <f>IF(M1092="","",IF(AND(N1092=_xlfn.MAXIFS(TF_AktSum,TF_Nokkel,M1092),COUNTIFS(M$3:M1091,M1092,N$3:N1091,N1092)=0),M1092,""))</f>
        <v/>
      </c>
    </row>
    <row r="1093">
      <c r="A1093" s="34" t="n"/>
      <c r="B1093" s="35" t="n"/>
      <c r="C1093" s="35" t="n"/>
      <c r="D1093" s="35" t="n"/>
      <c r="E1093" s="35" t="n"/>
      <c r="F1093" s="36" t="n"/>
      <c r="G1093" s="35" t="n"/>
      <c r="H1093" s="30">
        <f>IF(L1093="","",INDEX(SkiftNavn,L1093))</f>
        <v/>
      </c>
      <c r="I1093" s="30">
        <f>IF(OR(A1093="",L1093=""),"",IF(MOD(A1093-INDEX(SkiftStart,L1093),Syklus)&lt;DagK,"Kveld",IF(MOD(A1093-INDEX(SkiftStart,L1093),Syklus)&lt;DagK+DagH,"Helg",IF(MOD(A1093-INDEX(SkiftStart,L1093),Syklus)&lt;DagK+DagH+DagD,"Dag","Fri"))))</f>
        <v/>
      </c>
      <c r="J1093" s="30">
        <f>IF(I1093="Fri","Ja","")</f>
        <v/>
      </c>
      <c r="K1093" s="30">
        <f>IF(B1093="","",IF(L1093="","Ukjent tekniker",IF(ISNA(MATCH(C1093,Aktiviteter,0)),"Ukjent aktivitet",IF(AND(INDEX(AktRolle,MATCH(C1093,Aktiviteter,0))&amp;""&lt;&gt;"",ISERROR(SEARCH(INDEX(AktRolle,MATCH(C1093,Aktiviteter,0))&amp;"",INDEX(TekRoller,MATCH(B1093,Teknikere,0))))),"Mangler rollen "&amp;INDEX(AktRolle,MATCH(C1093,Aktiviteter,0))&amp;"",IF(AND(C1093="LMS",F1093&gt;0,OR(D1093="",E1093="")),"Mangler maskin eller arbeid",IF(AND(OR(C1093="LMS",C1093="Mod"),D1093&lt;&gt;""),IF(IFERROR(INDEX(MaskinStatus,MATCH(D1093,Maskiner,0)),"")="I dokk","","Maskinen er ikke i dokk"),""))))))</f>
        <v/>
      </c>
      <c r="L1093" s="2">
        <f>IF(B1093="","",IFERROR(INT((MATCH(B1093,Teknikere,0)-1)/18)+1,""))</f>
        <v/>
      </c>
      <c r="M1093" s="2">
        <f>IF(OR(A1093="",B1093=""),"",B1093&amp;"|"&amp;A1093)</f>
        <v/>
      </c>
      <c r="N1093" s="2">
        <f>IF(M1093="","",SUMIFS(TF_Timer,TF_Nokkel,M1093,TF_Akt,C1093))</f>
        <v/>
      </c>
      <c r="O1093" s="2">
        <f>IF(M1093="","",IF(AND(N1093=_xlfn.MAXIFS(TF_AktSum,TF_Nokkel,M1093),COUNTIFS(M$3:M1092,M1093,N$3:N1092,N1093)=0),M1093,""))</f>
        <v/>
      </c>
    </row>
    <row r="1094">
      <c r="A1094" s="34" t="n"/>
      <c r="B1094" s="35" t="n"/>
      <c r="C1094" s="35" t="n"/>
      <c r="D1094" s="35" t="n"/>
      <c r="E1094" s="35" t="n"/>
      <c r="F1094" s="36" t="n"/>
      <c r="G1094" s="35" t="n"/>
      <c r="H1094" s="30">
        <f>IF(L1094="","",INDEX(SkiftNavn,L1094))</f>
        <v/>
      </c>
      <c r="I1094" s="30">
        <f>IF(OR(A1094="",L1094=""),"",IF(MOD(A1094-INDEX(SkiftStart,L1094),Syklus)&lt;DagK,"Kveld",IF(MOD(A1094-INDEX(SkiftStart,L1094),Syklus)&lt;DagK+DagH,"Helg",IF(MOD(A1094-INDEX(SkiftStart,L1094),Syklus)&lt;DagK+DagH+DagD,"Dag","Fri"))))</f>
        <v/>
      </c>
      <c r="J1094" s="30">
        <f>IF(I1094="Fri","Ja","")</f>
        <v/>
      </c>
      <c r="K1094" s="30">
        <f>IF(B1094="","",IF(L1094="","Ukjent tekniker",IF(ISNA(MATCH(C1094,Aktiviteter,0)),"Ukjent aktivitet",IF(AND(INDEX(AktRolle,MATCH(C1094,Aktiviteter,0))&amp;""&lt;&gt;"",ISERROR(SEARCH(INDEX(AktRolle,MATCH(C1094,Aktiviteter,0))&amp;"",INDEX(TekRoller,MATCH(B1094,Teknikere,0))))),"Mangler rollen "&amp;INDEX(AktRolle,MATCH(C1094,Aktiviteter,0))&amp;"",IF(AND(C1094="LMS",F1094&gt;0,OR(D1094="",E1094="")),"Mangler maskin eller arbeid",IF(AND(OR(C1094="LMS",C1094="Mod"),D1094&lt;&gt;""),IF(IFERROR(INDEX(MaskinStatus,MATCH(D1094,Maskiner,0)),"")="I dokk","","Maskinen er ikke i dokk"),""))))))</f>
        <v/>
      </c>
      <c r="L1094" s="2">
        <f>IF(B1094="","",IFERROR(INT((MATCH(B1094,Teknikere,0)-1)/18)+1,""))</f>
        <v/>
      </c>
      <c r="M1094" s="2">
        <f>IF(OR(A1094="",B1094=""),"",B1094&amp;"|"&amp;A1094)</f>
        <v/>
      </c>
      <c r="N1094" s="2">
        <f>IF(M1094="","",SUMIFS(TF_Timer,TF_Nokkel,M1094,TF_Akt,C1094))</f>
        <v/>
      </c>
      <c r="O1094" s="2">
        <f>IF(M1094="","",IF(AND(N1094=_xlfn.MAXIFS(TF_AktSum,TF_Nokkel,M1094),COUNTIFS(M$3:M1093,M1094,N$3:N1093,N1094)=0),M1094,""))</f>
        <v/>
      </c>
    </row>
    <row r="1095">
      <c r="A1095" s="34" t="n"/>
      <c r="B1095" s="35" t="n"/>
      <c r="C1095" s="35" t="n"/>
      <c r="D1095" s="35" t="n"/>
      <c r="E1095" s="35" t="n"/>
      <c r="F1095" s="36" t="n"/>
      <c r="G1095" s="35" t="n"/>
      <c r="H1095" s="30">
        <f>IF(L1095="","",INDEX(SkiftNavn,L1095))</f>
        <v/>
      </c>
      <c r="I1095" s="30">
        <f>IF(OR(A1095="",L1095=""),"",IF(MOD(A1095-INDEX(SkiftStart,L1095),Syklus)&lt;DagK,"Kveld",IF(MOD(A1095-INDEX(SkiftStart,L1095),Syklus)&lt;DagK+DagH,"Helg",IF(MOD(A1095-INDEX(SkiftStart,L1095),Syklus)&lt;DagK+DagH+DagD,"Dag","Fri"))))</f>
        <v/>
      </c>
      <c r="J1095" s="30">
        <f>IF(I1095="Fri","Ja","")</f>
        <v/>
      </c>
      <c r="K1095" s="30">
        <f>IF(B1095="","",IF(L1095="","Ukjent tekniker",IF(ISNA(MATCH(C1095,Aktiviteter,0)),"Ukjent aktivitet",IF(AND(INDEX(AktRolle,MATCH(C1095,Aktiviteter,0))&amp;""&lt;&gt;"",ISERROR(SEARCH(INDEX(AktRolle,MATCH(C1095,Aktiviteter,0))&amp;"",INDEX(TekRoller,MATCH(B1095,Teknikere,0))))),"Mangler rollen "&amp;INDEX(AktRolle,MATCH(C1095,Aktiviteter,0))&amp;"",IF(AND(C1095="LMS",F1095&gt;0,OR(D1095="",E1095="")),"Mangler maskin eller arbeid",IF(AND(OR(C1095="LMS",C1095="Mod"),D1095&lt;&gt;""),IF(IFERROR(INDEX(MaskinStatus,MATCH(D1095,Maskiner,0)),"")="I dokk","","Maskinen er ikke i dokk"),""))))))</f>
        <v/>
      </c>
      <c r="L1095" s="2">
        <f>IF(B1095="","",IFERROR(INT((MATCH(B1095,Teknikere,0)-1)/18)+1,""))</f>
        <v/>
      </c>
      <c r="M1095" s="2">
        <f>IF(OR(A1095="",B1095=""),"",B1095&amp;"|"&amp;A1095)</f>
        <v/>
      </c>
      <c r="N1095" s="2">
        <f>IF(M1095="","",SUMIFS(TF_Timer,TF_Nokkel,M1095,TF_Akt,C1095))</f>
        <v/>
      </c>
      <c r="O1095" s="2">
        <f>IF(M1095="","",IF(AND(N1095=_xlfn.MAXIFS(TF_AktSum,TF_Nokkel,M1095),COUNTIFS(M$3:M1094,M1095,N$3:N1094,N1095)=0),M1095,""))</f>
        <v/>
      </c>
    </row>
    <row r="1096">
      <c r="A1096" s="34" t="n"/>
      <c r="B1096" s="35" t="n"/>
      <c r="C1096" s="35" t="n"/>
      <c r="D1096" s="35" t="n"/>
      <c r="E1096" s="35" t="n"/>
      <c r="F1096" s="36" t="n"/>
      <c r="G1096" s="35" t="n"/>
      <c r="H1096" s="30">
        <f>IF(L1096="","",INDEX(SkiftNavn,L1096))</f>
        <v/>
      </c>
      <c r="I1096" s="30">
        <f>IF(OR(A1096="",L1096=""),"",IF(MOD(A1096-INDEX(SkiftStart,L1096),Syklus)&lt;DagK,"Kveld",IF(MOD(A1096-INDEX(SkiftStart,L1096),Syklus)&lt;DagK+DagH,"Helg",IF(MOD(A1096-INDEX(SkiftStart,L1096),Syklus)&lt;DagK+DagH+DagD,"Dag","Fri"))))</f>
        <v/>
      </c>
      <c r="J1096" s="30">
        <f>IF(I1096="Fri","Ja","")</f>
        <v/>
      </c>
      <c r="K1096" s="30">
        <f>IF(B1096="","",IF(L1096="","Ukjent tekniker",IF(ISNA(MATCH(C1096,Aktiviteter,0)),"Ukjent aktivitet",IF(AND(INDEX(AktRolle,MATCH(C1096,Aktiviteter,0))&amp;""&lt;&gt;"",ISERROR(SEARCH(INDEX(AktRolle,MATCH(C1096,Aktiviteter,0))&amp;"",INDEX(TekRoller,MATCH(B1096,Teknikere,0))))),"Mangler rollen "&amp;INDEX(AktRolle,MATCH(C1096,Aktiviteter,0))&amp;"",IF(AND(C1096="LMS",F1096&gt;0,OR(D1096="",E1096="")),"Mangler maskin eller arbeid",IF(AND(OR(C1096="LMS",C1096="Mod"),D1096&lt;&gt;""),IF(IFERROR(INDEX(MaskinStatus,MATCH(D1096,Maskiner,0)),"")="I dokk","","Maskinen er ikke i dokk"),""))))))</f>
        <v/>
      </c>
      <c r="L1096" s="2">
        <f>IF(B1096="","",IFERROR(INT((MATCH(B1096,Teknikere,0)-1)/18)+1,""))</f>
        <v/>
      </c>
      <c r="M1096" s="2">
        <f>IF(OR(A1096="",B1096=""),"",B1096&amp;"|"&amp;A1096)</f>
        <v/>
      </c>
      <c r="N1096" s="2">
        <f>IF(M1096="","",SUMIFS(TF_Timer,TF_Nokkel,M1096,TF_Akt,C1096))</f>
        <v/>
      </c>
      <c r="O1096" s="2">
        <f>IF(M1096="","",IF(AND(N1096=_xlfn.MAXIFS(TF_AktSum,TF_Nokkel,M1096),COUNTIFS(M$3:M1095,M1096,N$3:N1095,N1096)=0),M1096,""))</f>
        <v/>
      </c>
    </row>
    <row r="1097">
      <c r="A1097" s="34" t="n"/>
      <c r="B1097" s="35" t="n"/>
      <c r="C1097" s="35" t="n"/>
      <c r="D1097" s="35" t="n"/>
      <c r="E1097" s="35" t="n"/>
      <c r="F1097" s="36" t="n"/>
      <c r="G1097" s="35" t="n"/>
      <c r="H1097" s="30">
        <f>IF(L1097="","",INDEX(SkiftNavn,L1097))</f>
        <v/>
      </c>
      <c r="I1097" s="30">
        <f>IF(OR(A1097="",L1097=""),"",IF(MOD(A1097-INDEX(SkiftStart,L1097),Syklus)&lt;DagK,"Kveld",IF(MOD(A1097-INDEX(SkiftStart,L1097),Syklus)&lt;DagK+DagH,"Helg",IF(MOD(A1097-INDEX(SkiftStart,L1097),Syklus)&lt;DagK+DagH+DagD,"Dag","Fri"))))</f>
        <v/>
      </c>
      <c r="J1097" s="30">
        <f>IF(I1097="Fri","Ja","")</f>
        <v/>
      </c>
      <c r="K1097" s="30">
        <f>IF(B1097="","",IF(L1097="","Ukjent tekniker",IF(ISNA(MATCH(C1097,Aktiviteter,0)),"Ukjent aktivitet",IF(AND(INDEX(AktRolle,MATCH(C1097,Aktiviteter,0))&amp;""&lt;&gt;"",ISERROR(SEARCH(INDEX(AktRolle,MATCH(C1097,Aktiviteter,0))&amp;"",INDEX(TekRoller,MATCH(B1097,Teknikere,0))))),"Mangler rollen "&amp;INDEX(AktRolle,MATCH(C1097,Aktiviteter,0))&amp;"",IF(AND(C1097="LMS",F1097&gt;0,OR(D1097="",E1097="")),"Mangler maskin eller arbeid",IF(AND(OR(C1097="LMS",C1097="Mod"),D1097&lt;&gt;""),IF(IFERROR(INDEX(MaskinStatus,MATCH(D1097,Maskiner,0)),"")="I dokk","","Maskinen er ikke i dokk"),""))))))</f>
        <v/>
      </c>
      <c r="L1097" s="2">
        <f>IF(B1097="","",IFERROR(INT((MATCH(B1097,Teknikere,0)-1)/18)+1,""))</f>
        <v/>
      </c>
      <c r="M1097" s="2">
        <f>IF(OR(A1097="",B1097=""),"",B1097&amp;"|"&amp;A1097)</f>
        <v/>
      </c>
      <c r="N1097" s="2">
        <f>IF(M1097="","",SUMIFS(TF_Timer,TF_Nokkel,M1097,TF_Akt,C1097))</f>
        <v/>
      </c>
      <c r="O1097" s="2">
        <f>IF(M1097="","",IF(AND(N1097=_xlfn.MAXIFS(TF_AktSum,TF_Nokkel,M1097),COUNTIFS(M$3:M1096,M1097,N$3:N1096,N1097)=0),M1097,""))</f>
        <v/>
      </c>
    </row>
    <row r="1098">
      <c r="A1098" s="34" t="n"/>
      <c r="B1098" s="35" t="n"/>
      <c r="C1098" s="35" t="n"/>
      <c r="D1098" s="35" t="n"/>
      <c r="E1098" s="35" t="n"/>
      <c r="F1098" s="36" t="n"/>
      <c r="G1098" s="35" t="n"/>
      <c r="H1098" s="30">
        <f>IF(L1098="","",INDEX(SkiftNavn,L1098))</f>
        <v/>
      </c>
      <c r="I1098" s="30">
        <f>IF(OR(A1098="",L1098=""),"",IF(MOD(A1098-INDEX(SkiftStart,L1098),Syklus)&lt;DagK,"Kveld",IF(MOD(A1098-INDEX(SkiftStart,L1098),Syklus)&lt;DagK+DagH,"Helg",IF(MOD(A1098-INDEX(SkiftStart,L1098),Syklus)&lt;DagK+DagH+DagD,"Dag","Fri"))))</f>
        <v/>
      </c>
      <c r="J1098" s="30">
        <f>IF(I1098="Fri","Ja","")</f>
        <v/>
      </c>
      <c r="K1098" s="30">
        <f>IF(B1098="","",IF(L1098="","Ukjent tekniker",IF(ISNA(MATCH(C1098,Aktiviteter,0)),"Ukjent aktivitet",IF(AND(INDEX(AktRolle,MATCH(C1098,Aktiviteter,0))&amp;""&lt;&gt;"",ISERROR(SEARCH(INDEX(AktRolle,MATCH(C1098,Aktiviteter,0))&amp;"",INDEX(TekRoller,MATCH(B1098,Teknikere,0))))),"Mangler rollen "&amp;INDEX(AktRolle,MATCH(C1098,Aktiviteter,0))&amp;"",IF(AND(C1098="LMS",F1098&gt;0,OR(D1098="",E1098="")),"Mangler maskin eller arbeid",IF(AND(OR(C1098="LMS",C1098="Mod"),D1098&lt;&gt;""),IF(IFERROR(INDEX(MaskinStatus,MATCH(D1098,Maskiner,0)),"")="I dokk","","Maskinen er ikke i dokk"),""))))))</f>
        <v/>
      </c>
      <c r="L1098" s="2">
        <f>IF(B1098="","",IFERROR(INT((MATCH(B1098,Teknikere,0)-1)/18)+1,""))</f>
        <v/>
      </c>
      <c r="M1098" s="2">
        <f>IF(OR(A1098="",B1098=""),"",B1098&amp;"|"&amp;A1098)</f>
        <v/>
      </c>
      <c r="N1098" s="2">
        <f>IF(M1098="","",SUMIFS(TF_Timer,TF_Nokkel,M1098,TF_Akt,C1098))</f>
        <v/>
      </c>
      <c r="O1098" s="2">
        <f>IF(M1098="","",IF(AND(N1098=_xlfn.MAXIFS(TF_AktSum,TF_Nokkel,M1098),COUNTIFS(M$3:M1097,M1098,N$3:N1097,N1098)=0),M1098,""))</f>
        <v/>
      </c>
    </row>
    <row r="1099">
      <c r="A1099" s="34" t="n"/>
      <c r="B1099" s="35" t="n"/>
      <c r="C1099" s="35" t="n"/>
      <c r="D1099" s="35" t="n"/>
      <c r="E1099" s="35" t="n"/>
      <c r="F1099" s="36" t="n"/>
      <c r="G1099" s="35" t="n"/>
      <c r="H1099" s="30">
        <f>IF(L1099="","",INDEX(SkiftNavn,L1099))</f>
        <v/>
      </c>
      <c r="I1099" s="30">
        <f>IF(OR(A1099="",L1099=""),"",IF(MOD(A1099-INDEX(SkiftStart,L1099),Syklus)&lt;DagK,"Kveld",IF(MOD(A1099-INDEX(SkiftStart,L1099),Syklus)&lt;DagK+DagH,"Helg",IF(MOD(A1099-INDEX(SkiftStart,L1099),Syklus)&lt;DagK+DagH+DagD,"Dag","Fri"))))</f>
        <v/>
      </c>
      <c r="J1099" s="30">
        <f>IF(I1099="Fri","Ja","")</f>
        <v/>
      </c>
      <c r="K1099" s="30">
        <f>IF(B1099="","",IF(L1099="","Ukjent tekniker",IF(ISNA(MATCH(C1099,Aktiviteter,0)),"Ukjent aktivitet",IF(AND(INDEX(AktRolle,MATCH(C1099,Aktiviteter,0))&amp;""&lt;&gt;"",ISERROR(SEARCH(INDEX(AktRolle,MATCH(C1099,Aktiviteter,0))&amp;"",INDEX(TekRoller,MATCH(B1099,Teknikere,0))))),"Mangler rollen "&amp;INDEX(AktRolle,MATCH(C1099,Aktiviteter,0))&amp;"",IF(AND(C1099="LMS",F1099&gt;0,OR(D1099="",E1099="")),"Mangler maskin eller arbeid",IF(AND(OR(C1099="LMS",C1099="Mod"),D1099&lt;&gt;""),IF(IFERROR(INDEX(MaskinStatus,MATCH(D1099,Maskiner,0)),"")="I dokk","","Maskinen er ikke i dokk"),""))))))</f>
        <v/>
      </c>
      <c r="L1099" s="2">
        <f>IF(B1099="","",IFERROR(INT((MATCH(B1099,Teknikere,0)-1)/18)+1,""))</f>
        <v/>
      </c>
      <c r="M1099" s="2">
        <f>IF(OR(A1099="",B1099=""),"",B1099&amp;"|"&amp;A1099)</f>
        <v/>
      </c>
      <c r="N1099" s="2">
        <f>IF(M1099="","",SUMIFS(TF_Timer,TF_Nokkel,M1099,TF_Akt,C1099))</f>
        <v/>
      </c>
      <c r="O1099" s="2">
        <f>IF(M1099="","",IF(AND(N1099=_xlfn.MAXIFS(TF_AktSum,TF_Nokkel,M1099),COUNTIFS(M$3:M1098,M1099,N$3:N1098,N1099)=0),M1099,""))</f>
        <v/>
      </c>
    </row>
    <row r="1100">
      <c r="A1100" s="34" t="n"/>
      <c r="B1100" s="35" t="n"/>
      <c r="C1100" s="35" t="n"/>
      <c r="D1100" s="35" t="n"/>
      <c r="E1100" s="35" t="n"/>
      <c r="F1100" s="36" t="n"/>
      <c r="G1100" s="35" t="n"/>
      <c r="H1100" s="30">
        <f>IF(L1100="","",INDEX(SkiftNavn,L1100))</f>
        <v/>
      </c>
      <c r="I1100" s="30">
        <f>IF(OR(A1100="",L1100=""),"",IF(MOD(A1100-INDEX(SkiftStart,L1100),Syklus)&lt;DagK,"Kveld",IF(MOD(A1100-INDEX(SkiftStart,L1100),Syklus)&lt;DagK+DagH,"Helg",IF(MOD(A1100-INDEX(SkiftStart,L1100),Syklus)&lt;DagK+DagH+DagD,"Dag","Fri"))))</f>
        <v/>
      </c>
      <c r="J1100" s="30">
        <f>IF(I1100="Fri","Ja","")</f>
        <v/>
      </c>
      <c r="K1100" s="30">
        <f>IF(B1100="","",IF(L1100="","Ukjent tekniker",IF(ISNA(MATCH(C1100,Aktiviteter,0)),"Ukjent aktivitet",IF(AND(INDEX(AktRolle,MATCH(C1100,Aktiviteter,0))&amp;""&lt;&gt;"",ISERROR(SEARCH(INDEX(AktRolle,MATCH(C1100,Aktiviteter,0))&amp;"",INDEX(TekRoller,MATCH(B1100,Teknikere,0))))),"Mangler rollen "&amp;INDEX(AktRolle,MATCH(C1100,Aktiviteter,0))&amp;"",IF(AND(C1100="LMS",F1100&gt;0,OR(D1100="",E1100="")),"Mangler maskin eller arbeid",IF(AND(OR(C1100="LMS",C1100="Mod"),D1100&lt;&gt;""),IF(IFERROR(INDEX(MaskinStatus,MATCH(D1100,Maskiner,0)),"")="I dokk","","Maskinen er ikke i dokk"),""))))))</f>
        <v/>
      </c>
      <c r="L1100" s="2">
        <f>IF(B1100="","",IFERROR(INT((MATCH(B1100,Teknikere,0)-1)/18)+1,""))</f>
        <v/>
      </c>
      <c r="M1100" s="2">
        <f>IF(OR(A1100="",B1100=""),"",B1100&amp;"|"&amp;A1100)</f>
        <v/>
      </c>
      <c r="N1100" s="2">
        <f>IF(M1100="","",SUMIFS(TF_Timer,TF_Nokkel,M1100,TF_Akt,C1100))</f>
        <v/>
      </c>
      <c r="O1100" s="2">
        <f>IF(M1100="","",IF(AND(N1100=_xlfn.MAXIFS(TF_AktSum,TF_Nokkel,M1100),COUNTIFS(M$3:M1099,M1100,N$3:N1099,N1100)=0),M1100,""))</f>
        <v/>
      </c>
    </row>
    <row r="1101">
      <c r="A1101" s="34" t="n"/>
      <c r="B1101" s="35" t="n"/>
      <c r="C1101" s="35" t="n"/>
      <c r="D1101" s="35" t="n"/>
      <c r="E1101" s="35" t="n"/>
      <c r="F1101" s="36" t="n"/>
      <c r="G1101" s="35" t="n"/>
      <c r="H1101" s="30">
        <f>IF(L1101="","",INDEX(SkiftNavn,L1101))</f>
        <v/>
      </c>
      <c r="I1101" s="30">
        <f>IF(OR(A1101="",L1101=""),"",IF(MOD(A1101-INDEX(SkiftStart,L1101),Syklus)&lt;DagK,"Kveld",IF(MOD(A1101-INDEX(SkiftStart,L1101),Syklus)&lt;DagK+DagH,"Helg",IF(MOD(A1101-INDEX(SkiftStart,L1101),Syklus)&lt;DagK+DagH+DagD,"Dag","Fri"))))</f>
        <v/>
      </c>
      <c r="J1101" s="30">
        <f>IF(I1101="Fri","Ja","")</f>
        <v/>
      </c>
      <c r="K1101" s="30">
        <f>IF(B1101="","",IF(L1101="","Ukjent tekniker",IF(ISNA(MATCH(C1101,Aktiviteter,0)),"Ukjent aktivitet",IF(AND(INDEX(AktRolle,MATCH(C1101,Aktiviteter,0))&amp;""&lt;&gt;"",ISERROR(SEARCH(INDEX(AktRolle,MATCH(C1101,Aktiviteter,0))&amp;"",INDEX(TekRoller,MATCH(B1101,Teknikere,0))))),"Mangler rollen "&amp;INDEX(AktRolle,MATCH(C1101,Aktiviteter,0))&amp;"",IF(AND(C1101="LMS",F1101&gt;0,OR(D1101="",E1101="")),"Mangler maskin eller arbeid",IF(AND(OR(C1101="LMS",C1101="Mod"),D1101&lt;&gt;""),IF(IFERROR(INDEX(MaskinStatus,MATCH(D1101,Maskiner,0)),"")="I dokk","","Maskinen er ikke i dokk"),""))))))</f>
        <v/>
      </c>
      <c r="L1101" s="2">
        <f>IF(B1101="","",IFERROR(INT((MATCH(B1101,Teknikere,0)-1)/18)+1,""))</f>
        <v/>
      </c>
      <c r="M1101" s="2">
        <f>IF(OR(A1101="",B1101=""),"",B1101&amp;"|"&amp;A1101)</f>
        <v/>
      </c>
      <c r="N1101" s="2">
        <f>IF(M1101="","",SUMIFS(TF_Timer,TF_Nokkel,M1101,TF_Akt,C1101))</f>
        <v/>
      </c>
      <c r="O1101" s="2">
        <f>IF(M1101="","",IF(AND(N1101=_xlfn.MAXIFS(TF_AktSum,TF_Nokkel,M1101),COUNTIFS(M$3:M1100,M1101,N$3:N1100,N1101)=0),M1101,""))</f>
        <v/>
      </c>
    </row>
    <row r="1102">
      <c r="A1102" s="34" t="n"/>
      <c r="B1102" s="35" t="n"/>
      <c r="C1102" s="35" t="n"/>
      <c r="D1102" s="35" t="n"/>
      <c r="E1102" s="35" t="n"/>
      <c r="F1102" s="36" t="n"/>
      <c r="G1102" s="35" t="n"/>
      <c r="H1102" s="30">
        <f>IF(L1102="","",INDEX(SkiftNavn,L1102))</f>
        <v/>
      </c>
      <c r="I1102" s="30">
        <f>IF(OR(A1102="",L1102=""),"",IF(MOD(A1102-INDEX(SkiftStart,L1102),Syklus)&lt;DagK,"Kveld",IF(MOD(A1102-INDEX(SkiftStart,L1102),Syklus)&lt;DagK+DagH,"Helg",IF(MOD(A1102-INDEX(SkiftStart,L1102),Syklus)&lt;DagK+DagH+DagD,"Dag","Fri"))))</f>
        <v/>
      </c>
      <c r="J1102" s="30">
        <f>IF(I1102="Fri","Ja","")</f>
        <v/>
      </c>
      <c r="K1102" s="30">
        <f>IF(B1102="","",IF(L1102="","Ukjent tekniker",IF(ISNA(MATCH(C1102,Aktiviteter,0)),"Ukjent aktivitet",IF(AND(INDEX(AktRolle,MATCH(C1102,Aktiviteter,0))&amp;""&lt;&gt;"",ISERROR(SEARCH(INDEX(AktRolle,MATCH(C1102,Aktiviteter,0))&amp;"",INDEX(TekRoller,MATCH(B1102,Teknikere,0))))),"Mangler rollen "&amp;INDEX(AktRolle,MATCH(C1102,Aktiviteter,0))&amp;"",IF(AND(C1102="LMS",F1102&gt;0,OR(D1102="",E1102="")),"Mangler maskin eller arbeid",IF(AND(OR(C1102="LMS",C1102="Mod"),D1102&lt;&gt;""),IF(IFERROR(INDEX(MaskinStatus,MATCH(D1102,Maskiner,0)),"")="I dokk","","Maskinen er ikke i dokk"),""))))))</f>
        <v/>
      </c>
      <c r="L1102" s="2">
        <f>IF(B1102="","",IFERROR(INT((MATCH(B1102,Teknikere,0)-1)/18)+1,""))</f>
        <v/>
      </c>
      <c r="M1102" s="2">
        <f>IF(OR(A1102="",B1102=""),"",B1102&amp;"|"&amp;A1102)</f>
        <v/>
      </c>
      <c r="N1102" s="2">
        <f>IF(M1102="","",SUMIFS(TF_Timer,TF_Nokkel,M1102,TF_Akt,C1102))</f>
        <v/>
      </c>
      <c r="O1102" s="2">
        <f>IF(M1102="","",IF(AND(N1102=_xlfn.MAXIFS(TF_AktSum,TF_Nokkel,M1102),COUNTIFS(M$3:M1101,M1102,N$3:N1101,N1102)=0),M1102,""))</f>
        <v/>
      </c>
    </row>
    <row r="1103">
      <c r="A1103" s="34" t="n"/>
      <c r="B1103" s="35" t="n"/>
      <c r="C1103" s="35" t="n"/>
      <c r="D1103" s="35" t="n"/>
      <c r="E1103" s="35" t="n"/>
      <c r="F1103" s="36" t="n"/>
      <c r="G1103" s="35" t="n"/>
      <c r="H1103" s="30">
        <f>IF(L1103="","",INDEX(SkiftNavn,L1103))</f>
        <v/>
      </c>
      <c r="I1103" s="30">
        <f>IF(OR(A1103="",L1103=""),"",IF(MOD(A1103-INDEX(SkiftStart,L1103),Syklus)&lt;DagK,"Kveld",IF(MOD(A1103-INDEX(SkiftStart,L1103),Syklus)&lt;DagK+DagH,"Helg",IF(MOD(A1103-INDEX(SkiftStart,L1103),Syklus)&lt;DagK+DagH+DagD,"Dag","Fri"))))</f>
        <v/>
      </c>
      <c r="J1103" s="30">
        <f>IF(I1103="Fri","Ja","")</f>
        <v/>
      </c>
      <c r="K1103" s="30">
        <f>IF(B1103="","",IF(L1103="","Ukjent tekniker",IF(ISNA(MATCH(C1103,Aktiviteter,0)),"Ukjent aktivitet",IF(AND(INDEX(AktRolle,MATCH(C1103,Aktiviteter,0))&amp;""&lt;&gt;"",ISERROR(SEARCH(INDEX(AktRolle,MATCH(C1103,Aktiviteter,0))&amp;"",INDEX(TekRoller,MATCH(B1103,Teknikere,0))))),"Mangler rollen "&amp;INDEX(AktRolle,MATCH(C1103,Aktiviteter,0))&amp;"",IF(AND(C1103="LMS",F1103&gt;0,OR(D1103="",E1103="")),"Mangler maskin eller arbeid",IF(AND(OR(C1103="LMS",C1103="Mod"),D1103&lt;&gt;""),IF(IFERROR(INDEX(MaskinStatus,MATCH(D1103,Maskiner,0)),"")="I dokk","","Maskinen er ikke i dokk"),""))))))</f>
        <v/>
      </c>
      <c r="L1103" s="2">
        <f>IF(B1103="","",IFERROR(INT((MATCH(B1103,Teknikere,0)-1)/18)+1,""))</f>
        <v/>
      </c>
      <c r="M1103" s="2">
        <f>IF(OR(A1103="",B1103=""),"",B1103&amp;"|"&amp;A1103)</f>
        <v/>
      </c>
      <c r="N1103" s="2">
        <f>IF(M1103="","",SUMIFS(TF_Timer,TF_Nokkel,M1103,TF_Akt,C1103))</f>
        <v/>
      </c>
      <c r="O1103" s="2">
        <f>IF(M1103="","",IF(AND(N1103=_xlfn.MAXIFS(TF_AktSum,TF_Nokkel,M1103),COUNTIFS(M$3:M1102,M1103,N$3:N1102,N1103)=0),M1103,""))</f>
        <v/>
      </c>
    </row>
    <row r="1104">
      <c r="A1104" s="34" t="n"/>
      <c r="B1104" s="35" t="n"/>
      <c r="C1104" s="35" t="n"/>
      <c r="D1104" s="35" t="n"/>
      <c r="E1104" s="35" t="n"/>
      <c r="F1104" s="36" t="n"/>
      <c r="G1104" s="35" t="n"/>
      <c r="H1104" s="30">
        <f>IF(L1104="","",INDEX(SkiftNavn,L1104))</f>
        <v/>
      </c>
      <c r="I1104" s="30">
        <f>IF(OR(A1104="",L1104=""),"",IF(MOD(A1104-INDEX(SkiftStart,L1104),Syklus)&lt;DagK,"Kveld",IF(MOD(A1104-INDEX(SkiftStart,L1104),Syklus)&lt;DagK+DagH,"Helg",IF(MOD(A1104-INDEX(SkiftStart,L1104),Syklus)&lt;DagK+DagH+DagD,"Dag","Fri"))))</f>
        <v/>
      </c>
      <c r="J1104" s="30">
        <f>IF(I1104="Fri","Ja","")</f>
        <v/>
      </c>
      <c r="K1104" s="30">
        <f>IF(B1104="","",IF(L1104="","Ukjent tekniker",IF(ISNA(MATCH(C1104,Aktiviteter,0)),"Ukjent aktivitet",IF(AND(INDEX(AktRolle,MATCH(C1104,Aktiviteter,0))&amp;""&lt;&gt;"",ISERROR(SEARCH(INDEX(AktRolle,MATCH(C1104,Aktiviteter,0))&amp;"",INDEX(TekRoller,MATCH(B1104,Teknikere,0))))),"Mangler rollen "&amp;INDEX(AktRolle,MATCH(C1104,Aktiviteter,0))&amp;"",IF(AND(C1104="LMS",F1104&gt;0,OR(D1104="",E1104="")),"Mangler maskin eller arbeid",IF(AND(OR(C1104="LMS",C1104="Mod"),D1104&lt;&gt;""),IF(IFERROR(INDEX(MaskinStatus,MATCH(D1104,Maskiner,0)),"")="I dokk","","Maskinen er ikke i dokk"),""))))))</f>
        <v/>
      </c>
      <c r="L1104" s="2">
        <f>IF(B1104="","",IFERROR(INT((MATCH(B1104,Teknikere,0)-1)/18)+1,""))</f>
        <v/>
      </c>
      <c r="M1104" s="2">
        <f>IF(OR(A1104="",B1104=""),"",B1104&amp;"|"&amp;A1104)</f>
        <v/>
      </c>
      <c r="N1104" s="2">
        <f>IF(M1104="","",SUMIFS(TF_Timer,TF_Nokkel,M1104,TF_Akt,C1104))</f>
        <v/>
      </c>
      <c r="O1104" s="2">
        <f>IF(M1104="","",IF(AND(N1104=_xlfn.MAXIFS(TF_AktSum,TF_Nokkel,M1104),COUNTIFS(M$3:M1103,M1104,N$3:N1103,N1104)=0),M1104,""))</f>
        <v/>
      </c>
    </row>
    <row r="1105">
      <c r="A1105" s="34" t="n"/>
      <c r="B1105" s="35" t="n"/>
      <c r="C1105" s="35" t="n"/>
      <c r="D1105" s="35" t="n"/>
      <c r="E1105" s="35" t="n"/>
      <c r="F1105" s="36" t="n"/>
      <c r="G1105" s="35" t="n"/>
      <c r="H1105" s="30">
        <f>IF(L1105="","",INDEX(SkiftNavn,L1105))</f>
        <v/>
      </c>
      <c r="I1105" s="30">
        <f>IF(OR(A1105="",L1105=""),"",IF(MOD(A1105-INDEX(SkiftStart,L1105),Syklus)&lt;DagK,"Kveld",IF(MOD(A1105-INDEX(SkiftStart,L1105),Syklus)&lt;DagK+DagH,"Helg",IF(MOD(A1105-INDEX(SkiftStart,L1105),Syklus)&lt;DagK+DagH+DagD,"Dag","Fri"))))</f>
        <v/>
      </c>
      <c r="J1105" s="30">
        <f>IF(I1105="Fri","Ja","")</f>
        <v/>
      </c>
      <c r="K1105" s="30">
        <f>IF(B1105="","",IF(L1105="","Ukjent tekniker",IF(ISNA(MATCH(C1105,Aktiviteter,0)),"Ukjent aktivitet",IF(AND(INDEX(AktRolle,MATCH(C1105,Aktiviteter,0))&amp;""&lt;&gt;"",ISERROR(SEARCH(INDEX(AktRolle,MATCH(C1105,Aktiviteter,0))&amp;"",INDEX(TekRoller,MATCH(B1105,Teknikere,0))))),"Mangler rollen "&amp;INDEX(AktRolle,MATCH(C1105,Aktiviteter,0))&amp;"",IF(AND(C1105="LMS",F1105&gt;0,OR(D1105="",E1105="")),"Mangler maskin eller arbeid",IF(AND(OR(C1105="LMS",C1105="Mod"),D1105&lt;&gt;""),IF(IFERROR(INDEX(MaskinStatus,MATCH(D1105,Maskiner,0)),"")="I dokk","","Maskinen er ikke i dokk"),""))))))</f>
        <v/>
      </c>
      <c r="L1105" s="2">
        <f>IF(B1105="","",IFERROR(INT((MATCH(B1105,Teknikere,0)-1)/18)+1,""))</f>
        <v/>
      </c>
      <c r="M1105" s="2">
        <f>IF(OR(A1105="",B1105=""),"",B1105&amp;"|"&amp;A1105)</f>
        <v/>
      </c>
      <c r="N1105" s="2">
        <f>IF(M1105="","",SUMIFS(TF_Timer,TF_Nokkel,M1105,TF_Akt,C1105))</f>
        <v/>
      </c>
      <c r="O1105" s="2">
        <f>IF(M1105="","",IF(AND(N1105=_xlfn.MAXIFS(TF_AktSum,TF_Nokkel,M1105),COUNTIFS(M$3:M1104,M1105,N$3:N1104,N1105)=0),M1105,""))</f>
        <v/>
      </c>
    </row>
    <row r="1106">
      <c r="A1106" s="34" t="n"/>
      <c r="B1106" s="35" t="n"/>
      <c r="C1106" s="35" t="n"/>
      <c r="D1106" s="35" t="n"/>
      <c r="E1106" s="35" t="n"/>
      <c r="F1106" s="36" t="n"/>
      <c r="G1106" s="35" t="n"/>
      <c r="H1106" s="30">
        <f>IF(L1106="","",INDEX(SkiftNavn,L1106))</f>
        <v/>
      </c>
      <c r="I1106" s="30">
        <f>IF(OR(A1106="",L1106=""),"",IF(MOD(A1106-INDEX(SkiftStart,L1106),Syklus)&lt;DagK,"Kveld",IF(MOD(A1106-INDEX(SkiftStart,L1106),Syklus)&lt;DagK+DagH,"Helg",IF(MOD(A1106-INDEX(SkiftStart,L1106),Syklus)&lt;DagK+DagH+DagD,"Dag","Fri"))))</f>
        <v/>
      </c>
      <c r="J1106" s="30">
        <f>IF(I1106="Fri","Ja","")</f>
        <v/>
      </c>
      <c r="K1106" s="30">
        <f>IF(B1106="","",IF(L1106="","Ukjent tekniker",IF(ISNA(MATCH(C1106,Aktiviteter,0)),"Ukjent aktivitet",IF(AND(INDEX(AktRolle,MATCH(C1106,Aktiviteter,0))&amp;""&lt;&gt;"",ISERROR(SEARCH(INDEX(AktRolle,MATCH(C1106,Aktiviteter,0))&amp;"",INDEX(TekRoller,MATCH(B1106,Teknikere,0))))),"Mangler rollen "&amp;INDEX(AktRolle,MATCH(C1106,Aktiviteter,0))&amp;"",IF(AND(C1106="LMS",F1106&gt;0,OR(D1106="",E1106="")),"Mangler maskin eller arbeid",IF(AND(OR(C1106="LMS",C1106="Mod"),D1106&lt;&gt;""),IF(IFERROR(INDEX(MaskinStatus,MATCH(D1106,Maskiner,0)),"")="I dokk","","Maskinen er ikke i dokk"),""))))))</f>
        <v/>
      </c>
      <c r="L1106" s="2">
        <f>IF(B1106="","",IFERROR(INT((MATCH(B1106,Teknikere,0)-1)/18)+1,""))</f>
        <v/>
      </c>
      <c r="M1106" s="2">
        <f>IF(OR(A1106="",B1106=""),"",B1106&amp;"|"&amp;A1106)</f>
        <v/>
      </c>
      <c r="N1106" s="2">
        <f>IF(M1106="","",SUMIFS(TF_Timer,TF_Nokkel,M1106,TF_Akt,C1106))</f>
        <v/>
      </c>
      <c r="O1106" s="2">
        <f>IF(M1106="","",IF(AND(N1106=_xlfn.MAXIFS(TF_AktSum,TF_Nokkel,M1106),COUNTIFS(M$3:M1105,M1106,N$3:N1105,N1106)=0),M1106,""))</f>
        <v/>
      </c>
    </row>
    <row r="1107">
      <c r="A1107" s="34" t="n"/>
      <c r="B1107" s="35" t="n"/>
      <c r="C1107" s="35" t="n"/>
      <c r="D1107" s="35" t="n"/>
      <c r="E1107" s="35" t="n"/>
      <c r="F1107" s="36" t="n"/>
      <c r="G1107" s="35" t="n"/>
      <c r="H1107" s="30">
        <f>IF(L1107="","",INDEX(SkiftNavn,L1107))</f>
        <v/>
      </c>
      <c r="I1107" s="30">
        <f>IF(OR(A1107="",L1107=""),"",IF(MOD(A1107-INDEX(SkiftStart,L1107),Syklus)&lt;DagK,"Kveld",IF(MOD(A1107-INDEX(SkiftStart,L1107),Syklus)&lt;DagK+DagH,"Helg",IF(MOD(A1107-INDEX(SkiftStart,L1107),Syklus)&lt;DagK+DagH+DagD,"Dag","Fri"))))</f>
        <v/>
      </c>
      <c r="J1107" s="30">
        <f>IF(I1107="Fri","Ja","")</f>
        <v/>
      </c>
      <c r="K1107" s="30">
        <f>IF(B1107="","",IF(L1107="","Ukjent tekniker",IF(ISNA(MATCH(C1107,Aktiviteter,0)),"Ukjent aktivitet",IF(AND(INDEX(AktRolle,MATCH(C1107,Aktiviteter,0))&amp;""&lt;&gt;"",ISERROR(SEARCH(INDEX(AktRolle,MATCH(C1107,Aktiviteter,0))&amp;"",INDEX(TekRoller,MATCH(B1107,Teknikere,0))))),"Mangler rollen "&amp;INDEX(AktRolle,MATCH(C1107,Aktiviteter,0))&amp;"",IF(AND(C1107="LMS",F1107&gt;0,OR(D1107="",E1107="")),"Mangler maskin eller arbeid",IF(AND(OR(C1107="LMS",C1107="Mod"),D1107&lt;&gt;""),IF(IFERROR(INDEX(MaskinStatus,MATCH(D1107,Maskiner,0)),"")="I dokk","","Maskinen er ikke i dokk"),""))))))</f>
        <v/>
      </c>
      <c r="L1107" s="2">
        <f>IF(B1107="","",IFERROR(INT((MATCH(B1107,Teknikere,0)-1)/18)+1,""))</f>
        <v/>
      </c>
      <c r="M1107" s="2">
        <f>IF(OR(A1107="",B1107=""),"",B1107&amp;"|"&amp;A1107)</f>
        <v/>
      </c>
      <c r="N1107" s="2">
        <f>IF(M1107="","",SUMIFS(TF_Timer,TF_Nokkel,M1107,TF_Akt,C1107))</f>
        <v/>
      </c>
      <c r="O1107" s="2">
        <f>IF(M1107="","",IF(AND(N1107=_xlfn.MAXIFS(TF_AktSum,TF_Nokkel,M1107),COUNTIFS(M$3:M1106,M1107,N$3:N1106,N1107)=0),M1107,""))</f>
        <v/>
      </c>
    </row>
    <row r="1108">
      <c r="A1108" s="34" t="n"/>
      <c r="B1108" s="35" t="n"/>
      <c r="C1108" s="35" t="n"/>
      <c r="D1108" s="35" t="n"/>
      <c r="E1108" s="35" t="n"/>
      <c r="F1108" s="36" t="n"/>
      <c r="G1108" s="35" t="n"/>
      <c r="H1108" s="30">
        <f>IF(L1108="","",INDEX(SkiftNavn,L1108))</f>
        <v/>
      </c>
      <c r="I1108" s="30">
        <f>IF(OR(A1108="",L1108=""),"",IF(MOD(A1108-INDEX(SkiftStart,L1108),Syklus)&lt;DagK,"Kveld",IF(MOD(A1108-INDEX(SkiftStart,L1108),Syklus)&lt;DagK+DagH,"Helg",IF(MOD(A1108-INDEX(SkiftStart,L1108),Syklus)&lt;DagK+DagH+DagD,"Dag","Fri"))))</f>
        <v/>
      </c>
      <c r="J1108" s="30">
        <f>IF(I1108="Fri","Ja","")</f>
        <v/>
      </c>
      <c r="K1108" s="30">
        <f>IF(B1108="","",IF(L1108="","Ukjent tekniker",IF(ISNA(MATCH(C1108,Aktiviteter,0)),"Ukjent aktivitet",IF(AND(INDEX(AktRolle,MATCH(C1108,Aktiviteter,0))&amp;""&lt;&gt;"",ISERROR(SEARCH(INDEX(AktRolle,MATCH(C1108,Aktiviteter,0))&amp;"",INDEX(TekRoller,MATCH(B1108,Teknikere,0))))),"Mangler rollen "&amp;INDEX(AktRolle,MATCH(C1108,Aktiviteter,0))&amp;"",IF(AND(C1108="LMS",F1108&gt;0,OR(D1108="",E1108="")),"Mangler maskin eller arbeid",IF(AND(OR(C1108="LMS",C1108="Mod"),D1108&lt;&gt;""),IF(IFERROR(INDEX(MaskinStatus,MATCH(D1108,Maskiner,0)),"")="I dokk","","Maskinen er ikke i dokk"),""))))))</f>
        <v/>
      </c>
      <c r="L1108" s="2">
        <f>IF(B1108="","",IFERROR(INT((MATCH(B1108,Teknikere,0)-1)/18)+1,""))</f>
        <v/>
      </c>
      <c r="M1108" s="2">
        <f>IF(OR(A1108="",B1108=""),"",B1108&amp;"|"&amp;A1108)</f>
        <v/>
      </c>
      <c r="N1108" s="2">
        <f>IF(M1108="","",SUMIFS(TF_Timer,TF_Nokkel,M1108,TF_Akt,C1108))</f>
        <v/>
      </c>
      <c r="O1108" s="2">
        <f>IF(M1108="","",IF(AND(N1108=_xlfn.MAXIFS(TF_AktSum,TF_Nokkel,M1108),COUNTIFS(M$3:M1107,M1108,N$3:N1107,N1108)=0),M1108,""))</f>
        <v/>
      </c>
    </row>
    <row r="1109">
      <c r="A1109" s="34" t="n"/>
      <c r="B1109" s="35" t="n"/>
      <c r="C1109" s="35" t="n"/>
      <c r="D1109" s="35" t="n"/>
      <c r="E1109" s="35" t="n"/>
      <c r="F1109" s="36" t="n"/>
      <c r="G1109" s="35" t="n"/>
      <c r="H1109" s="30">
        <f>IF(L1109="","",INDEX(SkiftNavn,L1109))</f>
        <v/>
      </c>
      <c r="I1109" s="30">
        <f>IF(OR(A1109="",L1109=""),"",IF(MOD(A1109-INDEX(SkiftStart,L1109),Syklus)&lt;DagK,"Kveld",IF(MOD(A1109-INDEX(SkiftStart,L1109),Syklus)&lt;DagK+DagH,"Helg",IF(MOD(A1109-INDEX(SkiftStart,L1109),Syklus)&lt;DagK+DagH+DagD,"Dag","Fri"))))</f>
        <v/>
      </c>
      <c r="J1109" s="30">
        <f>IF(I1109="Fri","Ja","")</f>
        <v/>
      </c>
      <c r="K1109" s="30">
        <f>IF(B1109="","",IF(L1109="","Ukjent tekniker",IF(ISNA(MATCH(C1109,Aktiviteter,0)),"Ukjent aktivitet",IF(AND(INDEX(AktRolle,MATCH(C1109,Aktiviteter,0))&amp;""&lt;&gt;"",ISERROR(SEARCH(INDEX(AktRolle,MATCH(C1109,Aktiviteter,0))&amp;"",INDEX(TekRoller,MATCH(B1109,Teknikere,0))))),"Mangler rollen "&amp;INDEX(AktRolle,MATCH(C1109,Aktiviteter,0))&amp;"",IF(AND(C1109="LMS",F1109&gt;0,OR(D1109="",E1109="")),"Mangler maskin eller arbeid",IF(AND(OR(C1109="LMS",C1109="Mod"),D1109&lt;&gt;""),IF(IFERROR(INDEX(MaskinStatus,MATCH(D1109,Maskiner,0)),"")="I dokk","","Maskinen er ikke i dokk"),""))))))</f>
        <v/>
      </c>
      <c r="L1109" s="2">
        <f>IF(B1109="","",IFERROR(INT((MATCH(B1109,Teknikere,0)-1)/18)+1,""))</f>
        <v/>
      </c>
      <c r="M1109" s="2">
        <f>IF(OR(A1109="",B1109=""),"",B1109&amp;"|"&amp;A1109)</f>
        <v/>
      </c>
      <c r="N1109" s="2">
        <f>IF(M1109="","",SUMIFS(TF_Timer,TF_Nokkel,M1109,TF_Akt,C1109))</f>
        <v/>
      </c>
      <c r="O1109" s="2">
        <f>IF(M1109="","",IF(AND(N1109=_xlfn.MAXIFS(TF_AktSum,TF_Nokkel,M1109),COUNTIFS(M$3:M1108,M1109,N$3:N1108,N1109)=0),M1109,""))</f>
        <v/>
      </c>
    </row>
    <row r="1110">
      <c r="A1110" s="34" t="n"/>
      <c r="B1110" s="35" t="n"/>
      <c r="C1110" s="35" t="n"/>
      <c r="D1110" s="35" t="n"/>
      <c r="E1110" s="35" t="n"/>
      <c r="F1110" s="36" t="n"/>
      <c r="G1110" s="35" t="n"/>
      <c r="H1110" s="30">
        <f>IF(L1110="","",INDEX(SkiftNavn,L1110))</f>
        <v/>
      </c>
      <c r="I1110" s="30">
        <f>IF(OR(A1110="",L1110=""),"",IF(MOD(A1110-INDEX(SkiftStart,L1110),Syklus)&lt;DagK,"Kveld",IF(MOD(A1110-INDEX(SkiftStart,L1110),Syklus)&lt;DagK+DagH,"Helg",IF(MOD(A1110-INDEX(SkiftStart,L1110),Syklus)&lt;DagK+DagH+DagD,"Dag","Fri"))))</f>
        <v/>
      </c>
      <c r="J1110" s="30">
        <f>IF(I1110="Fri","Ja","")</f>
        <v/>
      </c>
      <c r="K1110" s="30">
        <f>IF(B1110="","",IF(L1110="","Ukjent tekniker",IF(ISNA(MATCH(C1110,Aktiviteter,0)),"Ukjent aktivitet",IF(AND(INDEX(AktRolle,MATCH(C1110,Aktiviteter,0))&amp;""&lt;&gt;"",ISERROR(SEARCH(INDEX(AktRolle,MATCH(C1110,Aktiviteter,0))&amp;"",INDEX(TekRoller,MATCH(B1110,Teknikere,0))))),"Mangler rollen "&amp;INDEX(AktRolle,MATCH(C1110,Aktiviteter,0))&amp;"",IF(AND(C1110="LMS",F1110&gt;0,OR(D1110="",E1110="")),"Mangler maskin eller arbeid",IF(AND(OR(C1110="LMS",C1110="Mod"),D1110&lt;&gt;""),IF(IFERROR(INDEX(MaskinStatus,MATCH(D1110,Maskiner,0)),"")="I dokk","","Maskinen er ikke i dokk"),""))))))</f>
        <v/>
      </c>
      <c r="L1110" s="2">
        <f>IF(B1110="","",IFERROR(INT((MATCH(B1110,Teknikere,0)-1)/18)+1,""))</f>
        <v/>
      </c>
      <c r="M1110" s="2">
        <f>IF(OR(A1110="",B1110=""),"",B1110&amp;"|"&amp;A1110)</f>
        <v/>
      </c>
      <c r="N1110" s="2">
        <f>IF(M1110="","",SUMIFS(TF_Timer,TF_Nokkel,M1110,TF_Akt,C1110))</f>
        <v/>
      </c>
      <c r="O1110" s="2">
        <f>IF(M1110="","",IF(AND(N1110=_xlfn.MAXIFS(TF_AktSum,TF_Nokkel,M1110),COUNTIFS(M$3:M1109,M1110,N$3:N1109,N1110)=0),M1110,""))</f>
        <v/>
      </c>
    </row>
    <row r="1111">
      <c r="A1111" s="34" t="n"/>
      <c r="B1111" s="35" t="n"/>
      <c r="C1111" s="35" t="n"/>
      <c r="D1111" s="35" t="n"/>
      <c r="E1111" s="35" t="n"/>
      <c r="F1111" s="36" t="n"/>
      <c r="G1111" s="35" t="n"/>
      <c r="H1111" s="30">
        <f>IF(L1111="","",INDEX(SkiftNavn,L1111))</f>
        <v/>
      </c>
      <c r="I1111" s="30">
        <f>IF(OR(A1111="",L1111=""),"",IF(MOD(A1111-INDEX(SkiftStart,L1111),Syklus)&lt;DagK,"Kveld",IF(MOD(A1111-INDEX(SkiftStart,L1111),Syklus)&lt;DagK+DagH,"Helg",IF(MOD(A1111-INDEX(SkiftStart,L1111),Syklus)&lt;DagK+DagH+DagD,"Dag","Fri"))))</f>
        <v/>
      </c>
      <c r="J1111" s="30">
        <f>IF(I1111="Fri","Ja","")</f>
        <v/>
      </c>
      <c r="K1111" s="30">
        <f>IF(B1111="","",IF(L1111="","Ukjent tekniker",IF(ISNA(MATCH(C1111,Aktiviteter,0)),"Ukjent aktivitet",IF(AND(INDEX(AktRolle,MATCH(C1111,Aktiviteter,0))&amp;""&lt;&gt;"",ISERROR(SEARCH(INDEX(AktRolle,MATCH(C1111,Aktiviteter,0))&amp;"",INDEX(TekRoller,MATCH(B1111,Teknikere,0))))),"Mangler rollen "&amp;INDEX(AktRolle,MATCH(C1111,Aktiviteter,0))&amp;"",IF(AND(C1111="LMS",F1111&gt;0,OR(D1111="",E1111="")),"Mangler maskin eller arbeid",IF(AND(OR(C1111="LMS",C1111="Mod"),D1111&lt;&gt;""),IF(IFERROR(INDEX(MaskinStatus,MATCH(D1111,Maskiner,0)),"")="I dokk","","Maskinen er ikke i dokk"),""))))))</f>
        <v/>
      </c>
      <c r="L1111" s="2">
        <f>IF(B1111="","",IFERROR(INT((MATCH(B1111,Teknikere,0)-1)/18)+1,""))</f>
        <v/>
      </c>
      <c r="M1111" s="2">
        <f>IF(OR(A1111="",B1111=""),"",B1111&amp;"|"&amp;A1111)</f>
        <v/>
      </c>
      <c r="N1111" s="2">
        <f>IF(M1111="","",SUMIFS(TF_Timer,TF_Nokkel,M1111,TF_Akt,C1111))</f>
        <v/>
      </c>
      <c r="O1111" s="2">
        <f>IF(M1111="","",IF(AND(N1111=_xlfn.MAXIFS(TF_AktSum,TF_Nokkel,M1111),COUNTIFS(M$3:M1110,M1111,N$3:N1110,N1111)=0),M1111,""))</f>
        <v/>
      </c>
    </row>
    <row r="1112">
      <c r="A1112" s="34" t="n"/>
      <c r="B1112" s="35" t="n"/>
      <c r="C1112" s="35" t="n"/>
      <c r="D1112" s="35" t="n"/>
      <c r="E1112" s="35" t="n"/>
      <c r="F1112" s="36" t="n"/>
      <c r="G1112" s="35" t="n"/>
      <c r="H1112" s="30">
        <f>IF(L1112="","",INDEX(SkiftNavn,L1112))</f>
        <v/>
      </c>
      <c r="I1112" s="30">
        <f>IF(OR(A1112="",L1112=""),"",IF(MOD(A1112-INDEX(SkiftStart,L1112),Syklus)&lt;DagK,"Kveld",IF(MOD(A1112-INDEX(SkiftStart,L1112),Syklus)&lt;DagK+DagH,"Helg",IF(MOD(A1112-INDEX(SkiftStart,L1112),Syklus)&lt;DagK+DagH+DagD,"Dag","Fri"))))</f>
        <v/>
      </c>
      <c r="J1112" s="30">
        <f>IF(I1112="Fri","Ja","")</f>
        <v/>
      </c>
      <c r="K1112" s="30">
        <f>IF(B1112="","",IF(L1112="","Ukjent tekniker",IF(ISNA(MATCH(C1112,Aktiviteter,0)),"Ukjent aktivitet",IF(AND(INDEX(AktRolle,MATCH(C1112,Aktiviteter,0))&amp;""&lt;&gt;"",ISERROR(SEARCH(INDEX(AktRolle,MATCH(C1112,Aktiviteter,0))&amp;"",INDEX(TekRoller,MATCH(B1112,Teknikere,0))))),"Mangler rollen "&amp;INDEX(AktRolle,MATCH(C1112,Aktiviteter,0))&amp;"",IF(AND(C1112="LMS",F1112&gt;0,OR(D1112="",E1112="")),"Mangler maskin eller arbeid",IF(AND(OR(C1112="LMS",C1112="Mod"),D1112&lt;&gt;""),IF(IFERROR(INDEX(MaskinStatus,MATCH(D1112,Maskiner,0)),"")="I dokk","","Maskinen er ikke i dokk"),""))))))</f>
        <v/>
      </c>
      <c r="L1112" s="2">
        <f>IF(B1112="","",IFERROR(INT((MATCH(B1112,Teknikere,0)-1)/18)+1,""))</f>
        <v/>
      </c>
      <c r="M1112" s="2">
        <f>IF(OR(A1112="",B1112=""),"",B1112&amp;"|"&amp;A1112)</f>
        <v/>
      </c>
      <c r="N1112" s="2">
        <f>IF(M1112="","",SUMIFS(TF_Timer,TF_Nokkel,M1112,TF_Akt,C1112))</f>
        <v/>
      </c>
      <c r="O1112" s="2">
        <f>IF(M1112="","",IF(AND(N1112=_xlfn.MAXIFS(TF_AktSum,TF_Nokkel,M1112),COUNTIFS(M$3:M1111,M1112,N$3:N1111,N1112)=0),M1112,""))</f>
        <v/>
      </c>
    </row>
    <row r="1113">
      <c r="A1113" s="34" t="n"/>
      <c r="B1113" s="35" t="n"/>
      <c r="C1113" s="35" t="n"/>
      <c r="D1113" s="35" t="n"/>
      <c r="E1113" s="35" t="n"/>
      <c r="F1113" s="36" t="n"/>
      <c r="G1113" s="35" t="n"/>
      <c r="H1113" s="30">
        <f>IF(L1113="","",INDEX(SkiftNavn,L1113))</f>
        <v/>
      </c>
      <c r="I1113" s="30">
        <f>IF(OR(A1113="",L1113=""),"",IF(MOD(A1113-INDEX(SkiftStart,L1113),Syklus)&lt;DagK,"Kveld",IF(MOD(A1113-INDEX(SkiftStart,L1113),Syklus)&lt;DagK+DagH,"Helg",IF(MOD(A1113-INDEX(SkiftStart,L1113),Syklus)&lt;DagK+DagH+DagD,"Dag","Fri"))))</f>
        <v/>
      </c>
      <c r="J1113" s="30">
        <f>IF(I1113="Fri","Ja","")</f>
        <v/>
      </c>
      <c r="K1113" s="30">
        <f>IF(B1113="","",IF(L1113="","Ukjent tekniker",IF(ISNA(MATCH(C1113,Aktiviteter,0)),"Ukjent aktivitet",IF(AND(INDEX(AktRolle,MATCH(C1113,Aktiviteter,0))&amp;""&lt;&gt;"",ISERROR(SEARCH(INDEX(AktRolle,MATCH(C1113,Aktiviteter,0))&amp;"",INDEX(TekRoller,MATCH(B1113,Teknikere,0))))),"Mangler rollen "&amp;INDEX(AktRolle,MATCH(C1113,Aktiviteter,0))&amp;"",IF(AND(C1113="LMS",F1113&gt;0,OR(D1113="",E1113="")),"Mangler maskin eller arbeid",IF(AND(OR(C1113="LMS",C1113="Mod"),D1113&lt;&gt;""),IF(IFERROR(INDEX(MaskinStatus,MATCH(D1113,Maskiner,0)),"")="I dokk","","Maskinen er ikke i dokk"),""))))))</f>
        <v/>
      </c>
      <c r="L1113" s="2">
        <f>IF(B1113="","",IFERROR(INT((MATCH(B1113,Teknikere,0)-1)/18)+1,""))</f>
        <v/>
      </c>
      <c r="M1113" s="2">
        <f>IF(OR(A1113="",B1113=""),"",B1113&amp;"|"&amp;A1113)</f>
        <v/>
      </c>
      <c r="N1113" s="2">
        <f>IF(M1113="","",SUMIFS(TF_Timer,TF_Nokkel,M1113,TF_Akt,C1113))</f>
        <v/>
      </c>
      <c r="O1113" s="2">
        <f>IF(M1113="","",IF(AND(N1113=_xlfn.MAXIFS(TF_AktSum,TF_Nokkel,M1113),COUNTIFS(M$3:M1112,M1113,N$3:N1112,N1113)=0),M1113,""))</f>
        <v/>
      </c>
    </row>
    <row r="1114">
      <c r="A1114" s="34" t="n"/>
      <c r="B1114" s="35" t="n"/>
      <c r="C1114" s="35" t="n"/>
      <c r="D1114" s="35" t="n"/>
      <c r="E1114" s="35" t="n"/>
      <c r="F1114" s="36" t="n"/>
      <c r="G1114" s="35" t="n"/>
      <c r="H1114" s="30">
        <f>IF(L1114="","",INDEX(SkiftNavn,L1114))</f>
        <v/>
      </c>
      <c r="I1114" s="30">
        <f>IF(OR(A1114="",L1114=""),"",IF(MOD(A1114-INDEX(SkiftStart,L1114),Syklus)&lt;DagK,"Kveld",IF(MOD(A1114-INDEX(SkiftStart,L1114),Syklus)&lt;DagK+DagH,"Helg",IF(MOD(A1114-INDEX(SkiftStart,L1114),Syklus)&lt;DagK+DagH+DagD,"Dag","Fri"))))</f>
        <v/>
      </c>
      <c r="J1114" s="30">
        <f>IF(I1114="Fri","Ja","")</f>
        <v/>
      </c>
      <c r="K1114" s="30">
        <f>IF(B1114="","",IF(L1114="","Ukjent tekniker",IF(ISNA(MATCH(C1114,Aktiviteter,0)),"Ukjent aktivitet",IF(AND(INDEX(AktRolle,MATCH(C1114,Aktiviteter,0))&amp;""&lt;&gt;"",ISERROR(SEARCH(INDEX(AktRolle,MATCH(C1114,Aktiviteter,0))&amp;"",INDEX(TekRoller,MATCH(B1114,Teknikere,0))))),"Mangler rollen "&amp;INDEX(AktRolle,MATCH(C1114,Aktiviteter,0))&amp;"",IF(AND(C1114="LMS",F1114&gt;0,OR(D1114="",E1114="")),"Mangler maskin eller arbeid",IF(AND(OR(C1114="LMS",C1114="Mod"),D1114&lt;&gt;""),IF(IFERROR(INDEX(MaskinStatus,MATCH(D1114,Maskiner,0)),"")="I dokk","","Maskinen er ikke i dokk"),""))))))</f>
        <v/>
      </c>
      <c r="L1114" s="2">
        <f>IF(B1114="","",IFERROR(INT((MATCH(B1114,Teknikere,0)-1)/18)+1,""))</f>
        <v/>
      </c>
      <c r="M1114" s="2">
        <f>IF(OR(A1114="",B1114=""),"",B1114&amp;"|"&amp;A1114)</f>
        <v/>
      </c>
      <c r="N1114" s="2">
        <f>IF(M1114="","",SUMIFS(TF_Timer,TF_Nokkel,M1114,TF_Akt,C1114))</f>
        <v/>
      </c>
      <c r="O1114" s="2">
        <f>IF(M1114="","",IF(AND(N1114=_xlfn.MAXIFS(TF_AktSum,TF_Nokkel,M1114),COUNTIFS(M$3:M1113,M1114,N$3:N1113,N1114)=0),M1114,""))</f>
        <v/>
      </c>
    </row>
    <row r="1115">
      <c r="A1115" s="34" t="n"/>
      <c r="B1115" s="35" t="n"/>
      <c r="C1115" s="35" t="n"/>
      <c r="D1115" s="35" t="n"/>
      <c r="E1115" s="35" t="n"/>
      <c r="F1115" s="36" t="n"/>
      <c r="G1115" s="35" t="n"/>
      <c r="H1115" s="30">
        <f>IF(L1115="","",INDEX(SkiftNavn,L1115))</f>
        <v/>
      </c>
      <c r="I1115" s="30">
        <f>IF(OR(A1115="",L1115=""),"",IF(MOD(A1115-INDEX(SkiftStart,L1115),Syklus)&lt;DagK,"Kveld",IF(MOD(A1115-INDEX(SkiftStart,L1115),Syklus)&lt;DagK+DagH,"Helg",IF(MOD(A1115-INDEX(SkiftStart,L1115),Syklus)&lt;DagK+DagH+DagD,"Dag","Fri"))))</f>
        <v/>
      </c>
      <c r="J1115" s="30">
        <f>IF(I1115="Fri","Ja","")</f>
        <v/>
      </c>
      <c r="K1115" s="30">
        <f>IF(B1115="","",IF(L1115="","Ukjent tekniker",IF(ISNA(MATCH(C1115,Aktiviteter,0)),"Ukjent aktivitet",IF(AND(INDEX(AktRolle,MATCH(C1115,Aktiviteter,0))&amp;""&lt;&gt;"",ISERROR(SEARCH(INDEX(AktRolle,MATCH(C1115,Aktiviteter,0))&amp;"",INDEX(TekRoller,MATCH(B1115,Teknikere,0))))),"Mangler rollen "&amp;INDEX(AktRolle,MATCH(C1115,Aktiviteter,0))&amp;"",IF(AND(C1115="LMS",F1115&gt;0,OR(D1115="",E1115="")),"Mangler maskin eller arbeid",IF(AND(OR(C1115="LMS",C1115="Mod"),D1115&lt;&gt;""),IF(IFERROR(INDEX(MaskinStatus,MATCH(D1115,Maskiner,0)),"")="I dokk","","Maskinen er ikke i dokk"),""))))))</f>
        <v/>
      </c>
      <c r="L1115" s="2">
        <f>IF(B1115="","",IFERROR(INT((MATCH(B1115,Teknikere,0)-1)/18)+1,""))</f>
        <v/>
      </c>
      <c r="M1115" s="2">
        <f>IF(OR(A1115="",B1115=""),"",B1115&amp;"|"&amp;A1115)</f>
        <v/>
      </c>
      <c r="N1115" s="2">
        <f>IF(M1115="","",SUMIFS(TF_Timer,TF_Nokkel,M1115,TF_Akt,C1115))</f>
        <v/>
      </c>
      <c r="O1115" s="2">
        <f>IF(M1115="","",IF(AND(N1115=_xlfn.MAXIFS(TF_AktSum,TF_Nokkel,M1115),COUNTIFS(M$3:M1114,M1115,N$3:N1114,N1115)=0),M1115,""))</f>
        <v/>
      </c>
    </row>
    <row r="1116">
      <c r="A1116" s="34" t="n"/>
      <c r="B1116" s="35" t="n"/>
      <c r="C1116" s="35" t="n"/>
      <c r="D1116" s="35" t="n"/>
      <c r="E1116" s="35" t="n"/>
      <c r="F1116" s="36" t="n"/>
      <c r="G1116" s="35" t="n"/>
      <c r="H1116" s="30">
        <f>IF(L1116="","",INDEX(SkiftNavn,L1116))</f>
        <v/>
      </c>
      <c r="I1116" s="30">
        <f>IF(OR(A1116="",L1116=""),"",IF(MOD(A1116-INDEX(SkiftStart,L1116),Syklus)&lt;DagK,"Kveld",IF(MOD(A1116-INDEX(SkiftStart,L1116),Syklus)&lt;DagK+DagH,"Helg",IF(MOD(A1116-INDEX(SkiftStart,L1116),Syklus)&lt;DagK+DagH+DagD,"Dag","Fri"))))</f>
        <v/>
      </c>
      <c r="J1116" s="30">
        <f>IF(I1116="Fri","Ja","")</f>
        <v/>
      </c>
      <c r="K1116" s="30">
        <f>IF(B1116="","",IF(L1116="","Ukjent tekniker",IF(ISNA(MATCH(C1116,Aktiviteter,0)),"Ukjent aktivitet",IF(AND(INDEX(AktRolle,MATCH(C1116,Aktiviteter,0))&amp;""&lt;&gt;"",ISERROR(SEARCH(INDEX(AktRolle,MATCH(C1116,Aktiviteter,0))&amp;"",INDEX(TekRoller,MATCH(B1116,Teknikere,0))))),"Mangler rollen "&amp;INDEX(AktRolle,MATCH(C1116,Aktiviteter,0))&amp;"",IF(AND(C1116="LMS",F1116&gt;0,OR(D1116="",E1116="")),"Mangler maskin eller arbeid",IF(AND(OR(C1116="LMS",C1116="Mod"),D1116&lt;&gt;""),IF(IFERROR(INDEX(MaskinStatus,MATCH(D1116,Maskiner,0)),"")="I dokk","","Maskinen er ikke i dokk"),""))))))</f>
        <v/>
      </c>
      <c r="L1116" s="2">
        <f>IF(B1116="","",IFERROR(INT((MATCH(B1116,Teknikere,0)-1)/18)+1,""))</f>
        <v/>
      </c>
      <c r="M1116" s="2">
        <f>IF(OR(A1116="",B1116=""),"",B1116&amp;"|"&amp;A1116)</f>
        <v/>
      </c>
      <c r="N1116" s="2">
        <f>IF(M1116="","",SUMIFS(TF_Timer,TF_Nokkel,M1116,TF_Akt,C1116))</f>
        <v/>
      </c>
      <c r="O1116" s="2">
        <f>IF(M1116="","",IF(AND(N1116=_xlfn.MAXIFS(TF_AktSum,TF_Nokkel,M1116),COUNTIFS(M$3:M1115,M1116,N$3:N1115,N1116)=0),M1116,""))</f>
        <v/>
      </c>
    </row>
    <row r="1117">
      <c r="A1117" s="34" t="n"/>
      <c r="B1117" s="35" t="n"/>
      <c r="C1117" s="35" t="n"/>
      <c r="D1117" s="35" t="n"/>
      <c r="E1117" s="35" t="n"/>
      <c r="F1117" s="36" t="n"/>
      <c r="G1117" s="35" t="n"/>
      <c r="H1117" s="30">
        <f>IF(L1117="","",INDEX(SkiftNavn,L1117))</f>
        <v/>
      </c>
      <c r="I1117" s="30">
        <f>IF(OR(A1117="",L1117=""),"",IF(MOD(A1117-INDEX(SkiftStart,L1117),Syklus)&lt;DagK,"Kveld",IF(MOD(A1117-INDEX(SkiftStart,L1117),Syklus)&lt;DagK+DagH,"Helg",IF(MOD(A1117-INDEX(SkiftStart,L1117),Syklus)&lt;DagK+DagH+DagD,"Dag","Fri"))))</f>
        <v/>
      </c>
      <c r="J1117" s="30">
        <f>IF(I1117="Fri","Ja","")</f>
        <v/>
      </c>
      <c r="K1117" s="30">
        <f>IF(B1117="","",IF(L1117="","Ukjent tekniker",IF(ISNA(MATCH(C1117,Aktiviteter,0)),"Ukjent aktivitet",IF(AND(INDEX(AktRolle,MATCH(C1117,Aktiviteter,0))&amp;""&lt;&gt;"",ISERROR(SEARCH(INDEX(AktRolle,MATCH(C1117,Aktiviteter,0))&amp;"",INDEX(TekRoller,MATCH(B1117,Teknikere,0))))),"Mangler rollen "&amp;INDEX(AktRolle,MATCH(C1117,Aktiviteter,0))&amp;"",IF(AND(C1117="LMS",F1117&gt;0,OR(D1117="",E1117="")),"Mangler maskin eller arbeid",IF(AND(OR(C1117="LMS",C1117="Mod"),D1117&lt;&gt;""),IF(IFERROR(INDEX(MaskinStatus,MATCH(D1117,Maskiner,0)),"")="I dokk","","Maskinen er ikke i dokk"),""))))))</f>
        <v/>
      </c>
      <c r="L1117" s="2">
        <f>IF(B1117="","",IFERROR(INT((MATCH(B1117,Teknikere,0)-1)/18)+1,""))</f>
        <v/>
      </c>
      <c r="M1117" s="2">
        <f>IF(OR(A1117="",B1117=""),"",B1117&amp;"|"&amp;A1117)</f>
        <v/>
      </c>
      <c r="N1117" s="2">
        <f>IF(M1117="","",SUMIFS(TF_Timer,TF_Nokkel,M1117,TF_Akt,C1117))</f>
        <v/>
      </c>
      <c r="O1117" s="2">
        <f>IF(M1117="","",IF(AND(N1117=_xlfn.MAXIFS(TF_AktSum,TF_Nokkel,M1117),COUNTIFS(M$3:M1116,M1117,N$3:N1116,N1117)=0),M1117,""))</f>
        <v/>
      </c>
    </row>
    <row r="1118">
      <c r="A1118" s="34" t="n"/>
      <c r="B1118" s="35" t="n"/>
      <c r="C1118" s="35" t="n"/>
      <c r="D1118" s="35" t="n"/>
      <c r="E1118" s="35" t="n"/>
      <c r="F1118" s="36" t="n"/>
      <c r="G1118" s="35" t="n"/>
      <c r="H1118" s="30">
        <f>IF(L1118="","",INDEX(SkiftNavn,L1118))</f>
        <v/>
      </c>
      <c r="I1118" s="30">
        <f>IF(OR(A1118="",L1118=""),"",IF(MOD(A1118-INDEX(SkiftStart,L1118),Syklus)&lt;DagK,"Kveld",IF(MOD(A1118-INDEX(SkiftStart,L1118),Syklus)&lt;DagK+DagH,"Helg",IF(MOD(A1118-INDEX(SkiftStart,L1118),Syklus)&lt;DagK+DagH+DagD,"Dag","Fri"))))</f>
        <v/>
      </c>
      <c r="J1118" s="30">
        <f>IF(I1118="Fri","Ja","")</f>
        <v/>
      </c>
      <c r="K1118" s="30">
        <f>IF(B1118="","",IF(L1118="","Ukjent tekniker",IF(ISNA(MATCH(C1118,Aktiviteter,0)),"Ukjent aktivitet",IF(AND(INDEX(AktRolle,MATCH(C1118,Aktiviteter,0))&amp;""&lt;&gt;"",ISERROR(SEARCH(INDEX(AktRolle,MATCH(C1118,Aktiviteter,0))&amp;"",INDEX(TekRoller,MATCH(B1118,Teknikere,0))))),"Mangler rollen "&amp;INDEX(AktRolle,MATCH(C1118,Aktiviteter,0))&amp;"",IF(AND(C1118="LMS",F1118&gt;0,OR(D1118="",E1118="")),"Mangler maskin eller arbeid",IF(AND(OR(C1118="LMS",C1118="Mod"),D1118&lt;&gt;""),IF(IFERROR(INDEX(MaskinStatus,MATCH(D1118,Maskiner,0)),"")="I dokk","","Maskinen er ikke i dokk"),""))))))</f>
        <v/>
      </c>
      <c r="L1118" s="2">
        <f>IF(B1118="","",IFERROR(INT((MATCH(B1118,Teknikere,0)-1)/18)+1,""))</f>
        <v/>
      </c>
      <c r="M1118" s="2">
        <f>IF(OR(A1118="",B1118=""),"",B1118&amp;"|"&amp;A1118)</f>
        <v/>
      </c>
      <c r="N1118" s="2">
        <f>IF(M1118="","",SUMIFS(TF_Timer,TF_Nokkel,M1118,TF_Akt,C1118))</f>
        <v/>
      </c>
      <c r="O1118" s="2">
        <f>IF(M1118="","",IF(AND(N1118=_xlfn.MAXIFS(TF_AktSum,TF_Nokkel,M1118),COUNTIFS(M$3:M1117,M1118,N$3:N1117,N1118)=0),M1118,""))</f>
        <v/>
      </c>
    </row>
    <row r="1119">
      <c r="A1119" s="34" t="n"/>
      <c r="B1119" s="35" t="n"/>
      <c r="C1119" s="35" t="n"/>
      <c r="D1119" s="35" t="n"/>
      <c r="E1119" s="35" t="n"/>
      <c r="F1119" s="36" t="n"/>
      <c r="G1119" s="35" t="n"/>
      <c r="H1119" s="30">
        <f>IF(L1119="","",INDEX(SkiftNavn,L1119))</f>
        <v/>
      </c>
      <c r="I1119" s="30">
        <f>IF(OR(A1119="",L1119=""),"",IF(MOD(A1119-INDEX(SkiftStart,L1119),Syklus)&lt;DagK,"Kveld",IF(MOD(A1119-INDEX(SkiftStart,L1119),Syklus)&lt;DagK+DagH,"Helg",IF(MOD(A1119-INDEX(SkiftStart,L1119),Syklus)&lt;DagK+DagH+DagD,"Dag","Fri"))))</f>
        <v/>
      </c>
      <c r="J1119" s="30">
        <f>IF(I1119="Fri","Ja","")</f>
        <v/>
      </c>
      <c r="K1119" s="30">
        <f>IF(B1119="","",IF(L1119="","Ukjent tekniker",IF(ISNA(MATCH(C1119,Aktiviteter,0)),"Ukjent aktivitet",IF(AND(INDEX(AktRolle,MATCH(C1119,Aktiviteter,0))&amp;""&lt;&gt;"",ISERROR(SEARCH(INDEX(AktRolle,MATCH(C1119,Aktiviteter,0))&amp;"",INDEX(TekRoller,MATCH(B1119,Teknikere,0))))),"Mangler rollen "&amp;INDEX(AktRolle,MATCH(C1119,Aktiviteter,0))&amp;"",IF(AND(C1119="LMS",F1119&gt;0,OR(D1119="",E1119="")),"Mangler maskin eller arbeid",IF(AND(OR(C1119="LMS",C1119="Mod"),D1119&lt;&gt;""),IF(IFERROR(INDEX(MaskinStatus,MATCH(D1119,Maskiner,0)),"")="I dokk","","Maskinen er ikke i dokk"),""))))))</f>
        <v/>
      </c>
      <c r="L1119" s="2">
        <f>IF(B1119="","",IFERROR(INT((MATCH(B1119,Teknikere,0)-1)/18)+1,""))</f>
        <v/>
      </c>
      <c r="M1119" s="2">
        <f>IF(OR(A1119="",B1119=""),"",B1119&amp;"|"&amp;A1119)</f>
        <v/>
      </c>
      <c r="N1119" s="2">
        <f>IF(M1119="","",SUMIFS(TF_Timer,TF_Nokkel,M1119,TF_Akt,C1119))</f>
        <v/>
      </c>
      <c r="O1119" s="2">
        <f>IF(M1119="","",IF(AND(N1119=_xlfn.MAXIFS(TF_AktSum,TF_Nokkel,M1119),COUNTIFS(M$3:M1118,M1119,N$3:N1118,N1119)=0),M1119,""))</f>
        <v/>
      </c>
    </row>
    <row r="1120">
      <c r="A1120" s="34" t="n"/>
      <c r="B1120" s="35" t="n"/>
      <c r="C1120" s="35" t="n"/>
      <c r="D1120" s="35" t="n"/>
      <c r="E1120" s="35" t="n"/>
      <c r="F1120" s="36" t="n"/>
      <c r="G1120" s="35" t="n"/>
      <c r="H1120" s="30">
        <f>IF(L1120="","",INDEX(SkiftNavn,L1120))</f>
        <v/>
      </c>
      <c r="I1120" s="30">
        <f>IF(OR(A1120="",L1120=""),"",IF(MOD(A1120-INDEX(SkiftStart,L1120),Syklus)&lt;DagK,"Kveld",IF(MOD(A1120-INDEX(SkiftStart,L1120),Syklus)&lt;DagK+DagH,"Helg",IF(MOD(A1120-INDEX(SkiftStart,L1120),Syklus)&lt;DagK+DagH+DagD,"Dag","Fri"))))</f>
        <v/>
      </c>
      <c r="J1120" s="30">
        <f>IF(I1120="Fri","Ja","")</f>
        <v/>
      </c>
      <c r="K1120" s="30">
        <f>IF(B1120="","",IF(L1120="","Ukjent tekniker",IF(ISNA(MATCH(C1120,Aktiviteter,0)),"Ukjent aktivitet",IF(AND(INDEX(AktRolle,MATCH(C1120,Aktiviteter,0))&amp;""&lt;&gt;"",ISERROR(SEARCH(INDEX(AktRolle,MATCH(C1120,Aktiviteter,0))&amp;"",INDEX(TekRoller,MATCH(B1120,Teknikere,0))))),"Mangler rollen "&amp;INDEX(AktRolle,MATCH(C1120,Aktiviteter,0))&amp;"",IF(AND(C1120="LMS",F1120&gt;0,OR(D1120="",E1120="")),"Mangler maskin eller arbeid",IF(AND(OR(C1120="LMS",C1120="Mod"),D1120&lt;&gt;""),IF(IFERROR(INDEX(MaskinStatus,MATCH(D1120,Maskiner,0)),"")="I dokk","","Maskinen er ikke i dokk"),""))))))</f>
        <v/>
      </c>
      <c r="L1120" s="2">
        <f>IF(B1120="","",IFERROR(INT((MATCH(B1120,Teknikere,0)-1)/18)+1,""))</f>
        <v/>
      </c>
      <c r="M1120" s="2">
        <f>IF(OR(A1120="",B1120=""),"",B1120&amp;"|"&amp;A1120)</f>
        <v/>
      </c>
      <c r="N1120" s="2">
        <f>IF(M1120="","",SUMIFS(TF_Timer,TF_Nokkel,M1120,TF_Akt,C1120))</f>
        <v/>
      </c>
      <c r="O1120" s="2">
        <f>IF(M1120="","",IF(AND(N1120=_xlfn.MAXIFS(TF_AktSum,TF_Nokkel,M1120),COUNTIFS(M$3:M1119,M1120,N$3:N1119,N1120)=0),M1120,""))</f>
        <v/>
      </c>
    </row>
    <row r="1121">
      <c r="A1121" s="34" t="n"/>
      <c r="B1121" s="35" t="n"/>
      <c r="C1121" s="35" t="n"/>
      <c r="D1121" s="35" t="n"/>
      <c r="E1121" s="35" t="n"/>
      <c r="F1121" s="36" t="n"/>
      <c r="G1121" s="35" t="n"/>
      <c r="H1121" s="30">
        <f>IF(L1121="","",INDEX(SkiftNavn,L1121))</f>
        <v/>
      </c>
      <c r="I1121" s="30">
        <f>IF(OR(A1121="",L1121=""),"",IF(MOD(A1121-INDEX(SkiftStart,L1121),Syklus)&lt;DagK,"Kveld",IF(MOD(A1121-INDEX(SkiftStart,L1121),Syklus)&lt;DagK+DagH,"Helg",IF(MOD(A1121-INDEX(SkiftStart,L1121),Syklus)&lt;DagK+DagH+DagD,"Dag","Fri"))))</f>
        <v/>
      </c>
      <c r="J1121" s="30">
        <f>IF(I1121="Fri","Ja","")</f>
        <v/>
      </c>
      <c r="K1121" s="30">
        <f>IF(B1121="","",IF(L1121="","Ukjent tekniker",IF(ISNA(MATCH(C1121,Aktiviteter,0)),"Ukjent aktivitet",IF(AND(INDEX(AktRolle,MATCH(C1121,Aktiviteter,0))&amp;""&lt;&gt;"",ISERROR(SEARCH(INDEX(AktRolle,MATCH(C1121,Aktiviteter,0))&amp;"",INDEX(TekRoller,MATCH(B1121,Teknikere,0))))),"Mangler rollen "&amp;INDEX(AktRolle,MATCH(C1121,Aktiviteter,0))&amp;"",IF(AND(C1121="LMS",F1121&gt;0,OR(D1121="",E1121="")),"Mangler maskin eller arbeid",IF(AND(OR(C1121="LMS",C1121="Mod"),D1121&lt;&gt;""),IF(IFERROR(INDEX(MaskinStatus,MATCH(D1121,Maskiner,0)),"")="I dokk","","Maskinen er ikke i dokk"),""))))))</f>
        <v/>
      </c>
      <c r="L1121" s="2">
        <f>IF(B1121="","",IFERROR(INT((MATCH(B1121,Teknikere,0)-1)/18)+1,""))</f>
        <v/>
      </c>
      <c r="M1121" s="2">
        <f>IF(OR(A1121="",B1121=""),"",B1121&amp;"|"&amp;A1121)</f>
        <v/>
      </c>
      <c r="N1121" s="2">
        <f>IF(M1121="","",SUMIFS(TF_Timer,TF_Nokkel,M1121,TF_Akt,C1121))</f>
        <v/>
      </c>
      <c r="O1121" s="2">
        <f>IF(M1121="","",IF(AND(N1121=_xlfn.MAXIFS(TF_AktSum,TF_Nokkel,M1121),COUNTIFS(M$3:M1120,M1121,N$3:N1120,N1121)=0),M1121,""))</f>
        <v/>
      </c>
    </row>
    <row r="1122">
      <c r="A1122" s="34" t="n"/>
      <c r="B1122" s="35" t="n"/>
      <c r="C1122" s="35" t="n"/>
      <c r="D1122" s="35" t="n"/>
      <c r="E1122" s="35" t="n"/>
      <c r="F1122" s="36" t="n"/>
      <c r="G1122" s="35" t="n"/>
      <c r="H1122" s="30">
        <f>IF(L1122="","",INDEX(SkiftNavn,L1122))</f>
        <v/>
      </c>
      <c r="I1122" s="30">
        <f>IF(OR(A1122="",L1122=""),"",IF(MOD(A1122-INDEX(SkiftStart,L1122),Syklus)&lt;DagK,"Kveld",IF(MOD(A1122-INDEX(SkiftStart,L1122),Syklus)&lt;DagK+DagH,"Helg",IF(MOD(A1122-INDEX(SkiftStart,L1122),Syklus)&lt;DagK+DagH+DagD,"Dag","Fri"))))</f>
        <v/>
      </c>
      <c r="J1122" s="30">
        <f>IF(I1122="Fri","Ja","")</f>
        <v/>
      </c>
      <c r="K1122" s="30">
        <f>IF(B1122="","",IF(L1122="","Ukjent tekniker",IF(ISNA(MATCH(C1122,Aktiviteter,0)),"Ukjent aktivitet",IF(AND(INDEX(AktRolle,MATCH(C1122,Aktiviteter,0))&amp;""&lt;&gt;"",ISERROR(SEARCH(INDEX(AktRolle,MATCH(C1122,Aktiviteter,0))&amp;"",INDEX(TekRoller,MATCH(B1122,Teknikere,0))))),"Mangler rollen "&amp;INDEX(AktRolle,MATCH(C1122,Aktiviteter,0))&amp;"",IF(AND(C1122="LMS",F1122&gt;0,OR(D1122="",E1122="")),"Mangler maskin eller arbeid",IF(AND(OR(C1122="LMS",C1122="Mod"),D1122&lt;&gt;""),IF(IFERROR(INDEX(MaskinStatus,MATCH(D1122,Maskiner,0)),"")="I dokk","","Maskinen er ikke i dokk"),""))))))</f>
        <v/>
      </c>
      <c r="L1122" s="2">
        <f>IF(B1122="","",IFERROR(INT((MATCH(B1122,Teknikere,0)-1)/18)+1,""))</f>
        <v/>
      </c>
      <c r="M1122" s="2">
        <f>IF(OR(A1122="",B1122=""),"",B1122&amp;"|"&amp;A1122)</f>
        <v/>
      </c>
      <c r="N1122" s="2">
        <f>IF(M1122="","",SUMIFS(TF_Timer,TF_Nokkel,M1122,TF_Akt,C1122))</f>
        <v/>
      </c>
      <c r="O1122" s="2">
        <f>IF(M1122="","",IF(AND(N1122=_xlfn.MAXIFS(TF_AktSum,TF_Nokkel,M1122),COUNTIFS(M$3:M1121,M1122,N$3:N1121,N1122)=0),M1122,""))</f>
        <v/>
      </c>
    </row>
    <row r="1123">
      <c r="A1123" s="34" t="n"/>
      <c r="B1123" s="35" t="n"/>
      <c r="C1123" s="35" t="n"/>
      <c r="D1123" s="35" t="n"/>
      <c r="E1123" s="35" t="n"/>
      <c r="F1123" s="36" t="n"/>
      <c r="G1123" s="35" t="n"/>
      <c r="H1123" s="30">
        <f>IF(L1123="","",INDEX(SkiftNavn,L1123))</f>
        <v/>
      </c>
      <c r="I1123" s="30">
        <f>IF(OR(A1123="",L1123=""),"",IF(MOD(A1123-INDEX(SkiftStart,L1123),Syklus)&lt;DagK,"Kveld",IF(MOD(A1123-INDEX(SkiftStart,L1123),Syklus)&lt;DagK+DagH,"Helg",IF(MOD(A1123-INDEX(SkiftStart,L1123),Syklus)&lt;DagK+DagH+DagD,"Dag","Fri"))))</f>
        <v/>
      </c>
      <c r="J1123" s="30">
        <f>IF(I1123="Fri","Ja","")</f>
        <v/>
      </c>
      <c r="K1123" s="30">
        <f>IF(B1123="","",IF(L1123="","Ukjent tekniker",IF(ISNA(MATCH(C1123,Aktiviteter,0)),"Ukjent aktivitet",IF(AND(INDEX(AktRolle,MATCH(C1123,Aktiviteter,0))&amp;""&lt;&gt;"",ISERROR(SEARCH(INDEX(AktRolle,MATCH(C1123,Aktiviteter,0))&amp;"",INDEX(TekRoller,MATCH(B1123,Teknikere,0))))),"Mangler rollen "&amp;INDEX(AktRolle,MATCH(C1123,Aktiviteter,0))&amp;"",IF(AND(C1123="LMS",F1123&gt;0,OR(D1123="",E1123="")),"Mangler maskin eller arbeid",IF(AND(OR(C1123="LMS",C1123="Mod"),D1123&lt;&gt;""),IF(IFERROR(INDEX(MaskinStatus,MATCH(D1123,Maskiner,0)),"")="I dokk","","Maskinen er ikke i dokk"),""))))))</f>
        <v/>
      </c>
      <c r="L1123" s="2">
        <f>IF(B1123="","",IFERROR(INT((MATCH(B1123,Teknikere,0)-1)/18)+1,""))</f>
        <v/>
      </c>
      <c r="M1123" s="2">
        <f>IF(OR(A1123="",B1123=""),"",B1123&amp;"|"&amp;A1123)</f>
        <v/>
      </c>
      <c r="N1123" s="2">
        <f>IF(M1123="","",SUMIFS(TF_Timer,TF_Nokkel,M1123,TF_Akt,C1123))</f>
        <v/>
      </c>
      <c r="O1123" s="2">
        <f>IF(M1123="","",IF(AND(N1123=_xlfn.MAXIFS(TF_AktSum,TF_Nokkel,M1123),COUNTIFS(M$3:M1122,M1123,N$3:N1122,N1123)=0),M1123,""))</f>
        <v/>
      </c>
    </row>
    <row r="1124">
      <c r="A1124" s="34" t="n"/>
      <c r="B1124" s="35" t="n"/>
      <c r="C1124" s="35" t="n"/>
      <c r="D1124" s="35" t="n"/>
      <c r="E1124" s="35" t="n"/>
      <c r="F1124" s="36" t="n"/>
      <c r="G1124" s="35" t="n"/>
      <c r="H1124" s="30">
        <f>IF(L1124="","",INDEX(SkiftNavn,L1124))</f>
        <v/>
      </c>
      <c r="I1124" s="30">
        <f>IF(OR(A1124="",L1124=""),"",IF(MOD(A1124-INDEX(SkiftStart,L1124),Syklus)&lt;DagK,"Kveld",IF(MOD(A1124-INDEX(SkiftStart,L1124),Syklus)&lt;DagK+DagH,"Helg",IF(MOD(A1124-INDEX(SkiftStart,L1124),Syklus)&lt;DagK+DagH+DagD,"Dag","Fri"))))</f>
        <v/>
      </c>
      <c r="J1124" s="30">
        <f>IF(I1124="Fri","Ja","")</f>
        <v/>
      </c>
      <c r="K1124" s="30">
        <f>IF(B1124="","",IF(L1124="","Ukjent tekniker",IF(ISNA(MATCH(C1124,Aktiviteter,0)),"Ukjent aktivitet",IF(AND(INDEX(AktRolle,MATCH(C1124,Aktiviteter,0))&amp;""&lt;&gt;"",ISERROR(SEARCH(INDEX(AktRolle,MATCH(C1124,Aktiviteter,0))&amp;"",INDEX(TekRoller,MATCH(B1124,Teknikere,0))))),"Mangler rollen "&amp;INDEX(AktRolle,MATCH(C1124,Aktiviteter,0))&amp;"",IF(AND(C1124="LMS",F1124&gt;0,OR(D1124="",E1124="")),"Mangler maskin eller arbeid",IF(AND(OR(C1124="LMS",C1124="Mod"),D1124&lt;&gt;""),IF(IFERROR(INDEX(MaskinStatus,MATCH(D1124,Maskiner,0)),"")="I dokk","","Maskinen er ikke i dokk"),""))))))</f>
        <v/>
      </c>
      <c r="L1124" s="2">
        <f>IF(B1124="","",IFERROR(INT((MATCH(B1124,Teknikere,0)-1)/18)+1,""))</f>
        <v/>
      </c>
      <c r="M1124" s="2">
        <f>IF(OR(A1124="",B1124=""),"",B1124&amp;"|"&amp;A1124)</f>
        <v/>
      </c>
      <c r="N1124" s="2">
        <f>IF(M1124="","",SUMIFS(TF_Timer,TF_Nokkel,M1124,TF_Akt,C1124))</f>
        <v/>
      </c>
      <c r="O1124" s="2">
        <f>IF(M1124="","",IF(AND(N1124=_xlfn.MAXIFS(TF_AktSum,TF_Nokkel,M1124),COUNTIFS(M$3:M1123,M1124,N$3:N1123,N1124)=0),M1124,""))</f>
        <v/>
      </c>
    </row>
    <row r="1125">
      <c r="A1125" s="34" t="n"/>
      <c r="B1125" s="35" t="n"/>
      <c r="C1125" s="35" t="n"/>
      <c r="D1125" s="35" t="n"/>
      <c r="E1125" s="35" t="n"/>
      <c r="F1125" s="36" t="n"/>
      <c r="G1125" s="35" t="n"/>
      <c r="H1125" s="30">
        <f>IF(L1125="","",INDEX(SkiftNavn,L1125))</f>
        <v/>
      </c>
      <c r="I1125" s="30">
        <f>IF(OR(A1125="",L1125=""),"",IF(MOD(A1125-INDEX(SkiftStart,L1125),Syklus)&lt;DagK,"Kveld",IF(MOD(A1125-INDEX(SkiftStart,L1125),Syklus)&lt;DagK+DagH,"Helg",IF(MOD(A1125-INDEX(SkiftStart,L1125),Syklus)&lt;DagK+DagH+DagD,"Dag","Fri"))))</f>
        <v/>
      </c>
      <c r="J1125" s="30">
        <f>IF(I1125="Fri","Ja","")</f>
        <v/>
      </c>
      <c r="K1125" s="30">
        <f>IF(B1125="","",IF(L1125="","Ukjent tekniker",IF(ISNA(MATCH(C1125,Aktiviteter,0)),"Ukjent aktivitet",IF(AND(INDEX(AktRolle,MATCH(C1125,Aktiviteter,0))&amp;""&lt;&gt;"",ISERROR(SEARCH(INDEX(AktRolle,MATCH(C1125,Aktiviteter,0))&amp;"",INDEX(TekRoller,MATCH(B1125,Teknikere,0))))),"Mangler rollen "&amp;INDEX(AktRolle,MATCH(C1125,Aktiviteter,0))&amp;"",IF(AND(C1125="LMS",F1125&gt;0,OR(D1125="",E1125="")),"Mangler maskin eller arbeid",IF(AND(OR(C1125="LMS",C1125="Mod"),D1125&lt;&gt;""),IF(IFERROR(INDEX(MaskinStatus,MATCH(D1125,Maskiner,0)),"")="I dokk","","Maskinen er ikke i dokk"),""))))))</f>
        <v/>
      </c>
      <c r="L1125" s="2">
        <f>IF(B1125="","",IFERROR(INT((MATCH(B1125,Teknikere,0)-1)/18)+1,""))</f>
        <v/>
      </c>
      <c r="M1125" s="2">
        <f>IF(OR(A1125="",B1125=""),"",B1125&amp;"|"&amp;A1125)</f>
        <v/>
      </c>
      <c r="N1125" s="2">
        <f>IF(M1125="","",SUMIFS(TF_Timer,TF_Nokkel,M1125,TF_Akt,C1125))</f>
        <v/>
      </c>
      <c r="O1125" s="2">
        <f>IF(M1125="","",IF(AND(N1125=_xlfn.MAXIFS(TF_AktSum,TF_Nokkel,M1125),COUNTIFS(M$3:M1124,M1125,N$3:N1124,N1125)=0),M1125,""))</f>
        <v/>
      </c>
    </row>
    <row r="1126">
      <c r="A1126" s="34" t="n"/>
      <c r="B1126" s="35" t="n"/>
      <c r="C1126" s="35" t="n"/>
      <c r="D1126" s="35" t="n"/>
      <c r="E1126" s="35" t="n"/>
      <c r="F1126" s="36" t="n"/>
      <c r="G1126" s="35" t="n"/>
      <c r="H1126" s="30">
        <f>IF(L1126="","",INDEX(SkiftNavn,L1126))</f>
        <v/>
      </c>
      <c r="I1126" s="30">
        <f>IF(OR(A1126="",L1126=""),"",IF(MOD(A1126-INDEX(SkiftStart,L1126),Syklus)&lt;DagK,"Kveld",IF(MOD(A1126-INDEX(SkiftStart,L1126),Syklus)&lt;DagK+DagH,"Helg",IF(MOD(A1126-INDEX(SkiftStart,L1126),Syklus)&lt;DagK+DagH+DagD,"Dag","Fri"))))</f>
        <v/>
      </c>
      <c r="J1126" s="30">
        <f>IF(I1126="Fri","Ja","")</f>
        <v/>
      </c>
      <c r="K1126" s="30">
        <f>IF(B1126="","",IF(L1126="","Ukjent tekniker",IF(ISNA(MATCH(C1126,Aktiviteter,0)),"Ukjent aktivitet",IF(AND(INDEX(AktRolle,MATCH(C1126,Aktiviteter,0))&amp;""&lt;&gt;"",ISERROR(SEARCH(INDEX(AktRolle,MATCH(C1126,Aktiviteter,0))&amp;"",INDEX(TekRoller,MATCH(B1126,Teknikere,0))))),"Mangler rollen "&amp;INDEX(AktRolle,MATCH(C1126,Aktiviteter,0))&amp;"",IF(AND(C1126="LMS",F1126&gt;0,OR(D1126="",E1126="")),"Mangler maskin eller arbeid",IF(AND(OR(C1126="LMS",C1126="Mod"),D1126&lt;&gt;""),IF(IFERROR(INDEX(MaskinStatus,MATCH(D1126,Maskiner,0)),"")="I dokk","","Maskinen er ikke i dokk"),""))))))</f>
        <v/>
      </c>
      <c r="L1126" s="2">
        <f>IF(B1126="","",IFERROR(INT((MATCH(B1126,Teknikere,0)-1)/18)+1,""))</f>
        <v/>
      </c>
      <c r="M1126" s="2">
        <f>IF(OR(A1126="",B1126=""),"",B1126&amp;"|"&amp;A1126)</f>
        <v/>
      </c>
      <c r="N1126" s="2">
        <f>IF(M1126="","",SUMIFS(TF_Timer,TF_Nokkel,M1126,TF_Akt,C1126))</f>
        <v/>
      </c>
      <c r="O1126" s="2">
        <f>IF(M1126="","",IF(AND(N1126=_xlfn.MAXIFS(TF_AktSum,TF_Nokkel,M1126),COUNTIFS(M$3:M1125,M1126,N$3:N1125,N1126)=0),M1126,""))</f>
        <v/>
      </c>
    </row>
    <row r="1127">
      <c r="A1127" s="34" t="n"/>
      <c r="B1127" s="35" t="n"/>
      <c r="C1127" s="35" t="n"/>
      <c r="D1127" s="35" t="n"/>
      <c r="E1127" s="35" t="n"/>
      <c r="F1127" s="36" t="n"/>
      <c r="G1127" s="35" t="n"/>
      <c r="H1127" s="30">
        <f>IF(L1127="","",INDEX(SkiftNavn,L1127))</f>
        <v/>
      </c>
      <c r="I1127" s="30">
        <f>IF(OR(A1127="",L1127=""),"",IF(MOD(A1127-INDEX(SkiftStart,L1127),Syklus)&lt;DagK,"Kveld",IF(MOD(A1127-INDEX(SkiftStart,L1127),Syklus)&lt;DagK+DagH,"Helg",IF(MOD(A1127-INDEX(SkiftStart,L1127),Syklus)&lt;DagK+DagH+DagD,"Dag","Fri"))))</f>
        <v/>
      </c>
      <c r="J1127" s="30">
        <f>IF(I1127="Fri","Ja","")</f>
        <v/>
      </c>
      <c r="K1127" s="30">
        <f>IF(B1127="","",IF(L1127="","Ukjent tekniker",IF(ISNA(MATCH(C1127,Aktiviteter,0)),"Ukjent aktivitet",IF(AND(INDEX(AktRolle,MATCH(C1127,Aktiviteter,0))&amp;""&lt;&gt;"",ISERROR(SEARCH(INDEX(AktRolle,MATCH(C1127,Aktiviteter,0))&amp;"",INDEX(TekRoller,MATCH(B1127,Teknikere,0))))),"Mangler rollen "&amp;INDEX(AktRolle,MATCH(C1127,Aktiviteter,0))&amp;"",IF(AND(C1127="LMS",F1127&gt;0,OR(D1127="",E1127="")),"Mangler maskin eller arbeid",IF(AND(OR(C1127="LMS",C1127="Mod"),D1127&lt;&gt;""),IF(IFERROR(INDEX(MaskinStatus,MATCH(D1127,Maskiner,0)),"")="I dokk","","Maskinen er ikke i dokk"),""))))))</f>
        <v/>
      </c>
      <c r="L1127" s="2">
        <f>IF(B1127="","",IFERROR(INT((MATCH(B1127,Teknikere,0)-1)/18)+1,""))</f>
        <v/>
      </c>
      <c r="M1127" s="2">
        <f>IF(OR(A1127="",B1127=""),"",B1127&amp;"|"&amp;A1127)</f>
        <v/>
      </c>
      <c r="N1127" s="2">
        <f>IF(M1127="","",SUMIFS(TF_Timer,TF_Nokkel,M1127,TF_Akt,C1127))</f>
        <v/>
      </c>
      <c r="O1127" s="2">
        <f>IF(M1127="","",IF(AND(N1127=_xlfn.MAXIFS(TF_AktSum,TF_Nokkel,M1127),COUNTIFS(M$3:M1126,M1127,N$3:N1126,N1127)=0),M1127,""))</f>
        <v/>
      </c>
    </row>
    <row r="1128">
      <c r="A1128" s="34" t="n"/>
      <c r="B1128" s="35" t="n"/>
      <c r="C1128" s="35" t="n"/>
      <c r="D1128" s="35" t="n"/>
      <c r="E1128" s="35" t="n"/>
      <c r="F1128" s="36" t="n"/>
      <c r="G1128" s="35" t="n"/>
      <c r="H1128" s="30">
        <f>IF(L1128="","",INDEX(SkiftNavn,L1128))</f>
        <v/>
      </c>
      <c r="I1128" s="30">
        <f>IF(OR(A1128="",L1128=""),"",IF(MOD(A1128-INDEX(SkiftStart,L1128),Syklus)&lt;DagK,"Kveld",IF(MOD(A1128-INDEX(SkiftStart,L1128),Syklus)&lt;DagK+DagH,"Helg",IF(MOD(A1128-INDEX(SkiftStart,L1128),Syklus)&lt;DagK+DagH+DagD,"Dag","Fri"))))</f>
        <v/>
      </c>
      <c r="J1128" s="30">
        <f>IF(I1128="Fri","Ja","")</f>
        <v/>
      </c>
      <c r="K1128" s="30">
        <f>IF(B1128="","",IF(L1128="","Ukjent tekniker",IF(ISNA(MATCH(C1128,Aktiviteter,0)),"Ukjent aktivitet",IF(AND(INDEX(AktRolle,MATCH(C1128,Aktiviteter,0))&amp;""&lt;&gt;"",ISERROR(SEARCH(INDEX(AktRolle,MATCH(C1128,Aktiviteter,0))&amp;"",INDEX(TekRoller,MATCH(B1128,Teknikere,0))))),"Mangler rollen "&amp;INDEX(AktRolle,MATCH(C1128,Aktiviteter,0))&amp;"",IF(AND(C1128="LMS",F1128&gt;0,OR(D1128="",E1128="")),"Mangler maskin eller arbeid",IF(AND(OR(C1128="LMS",C1128="Mod"),D1128&lt;&gt;""),IF(IFERROR(INDEX(MaskinStatus,MATCH(D1128,Maskiner,0)),"")="I dokk","","Maskinen er ikke i dokk"),""))))))</f>
        <v/>
      </c>
      <c r="L1128" s="2">
        <f>IF(B1128="","",IFERROR(INT((MATCH(B1128,Teknikere,0)-1)/18)+1,""))</f>
        <v/>
      </c>
      <c r="M1128" s="2">
        <f>IF(OR(A1128="",B1128=""),"",B1128&amp;"|"&amp;A1128)</f>
        <v/>
      </c>
      <c r="N1128" s="2">
        <f>IF(M1128="","",SUMIFS(TF_Timer,TF_Nokkel,M1128,TF_Akt,C1128))</f>
        <v/>
      </c>
      <c r="O1128" s="2">
        <f>IF(M1128="","",IF(AND(N1128=_xlfn.MAXIFS(TF_AktSum,TF_Nokkel,M1128),COUNTIFS(M$3:M1127,M1128,N$3:N1127,N1128)=0),M1128,""))</f>
        <v/>
      </c>
    </row>
    <row r="1129">
      <c r="A1129" s="34" t="n"/>
      <c r="B1129" s="35" t="n"/>
      <c r="C1129" s="35" t="n"/>
      <c r="D1129" s="35" t="n"/>
      <c r="E1129" s="35" t="n"/>
      <c r="F1129" s="36" t="n"/>
      <c r="G1129" s="35" t="n"/>
      <c r="H1129" s="30">
        <f>IF(L1129="","",INDEX(SkiftNavn,L1129))</f>
        <v/>
      </c>
      <c r="I1129" s="30">
        <f>IF(OR(A1129="",L1129=""),"",IF(MOD(A1129-INDEX(SkiftStart,L1129),Syklus)&lt;DagK,"Kveld",IF(MOD(A1129-INDEX(SkiftStart,L1129),Syklus)&lt;DagK+DagH,"Helg",IF(MOD(A1129-INDEX(SkiftStart,L1129),Syklus)&lt;DagK+DagH+DagD,"Dag","Fri"))))</f>
        <v/>
      </c>
      <c r="J1129" s="30">
        <f>IF(I1129="Fri","Ja","")</f>
        <v/>
      </c>
      <c r="K1129" s="30">
        <f>IF(B1129="","",IF(L1129="","Ukjent tekniker",IF(ISNA(MATCH(C1129,Aktiviteter,0)),"Ukjent aktivitet",IF(AND(INDEX(AktRolle,MATCH(C1129,Aktiviteter,0))&amp;""&lt;&gt;"",ISERROR(SEARCH(INDEX(AktRolle,MATCH(C1129,Aktiviteter,0))&amp;"",INDEX(TekRoller,MATCH(B1129,Teknikere,0))))),"Mangler rollen "&amp;INDEX(AktRolle,MATCH(C1129,Aktiviteter,0))&amp;"",IF(AND(C1129="LMS",F1129&gt;0,OR(D1129="",E1129="")),"Mangler maskin eller arbeid",IF(AND(OR(C1129="LMS",C1129="Mod"),D1129&lt;&gt;""),IF(IFERROR(INDEX(MaskinStatus,MATCH(D1129,Maskiner,0)),"")="I dokk","","Maskinen er ikke i dokk"),""))))))</f>
        <v/>
      </c>
      <c r="L1129" s="2">
        <f>IF(B1129="","",IFERROR(INT((MATCH(B1129,Teknikere,0)-1)/18)+1,""))</f>
        <v/>
      </c>
      <c r="M1129" s="2">
        <f>IF(OR(A1129="",B1129=""),"",B1129&amp;"|"&amp;A1129)</f>
        <v/>
      </c>
      <c r="N1129" s="2">
        <f>IF(M1129="","",SUMIFS(TF_Timer,TF_Nokkel,M1129,TF_Akt,C1129))</f>
        <v/>
      </c>
      <c r="O1129" s="2">
        <f>IF(M1129="","",IF(AND(N1129=_xlfn.MAXIFS(TF_AktSum,TF_Nokkel,M1129),COUNTIFS(M$3:M1128,M1129,N$3:N1128,N1129)=0),M1129,""))</f>
        <v/>
      </c>
    </row>
    <row r="1130">
      <c r="A1130" s="34" t="n"/>
      <c r="B1130" s="35" t="n"/>
      <c r="C1130" s="35" t="n"/>
      <c r="D1130" s="35" t="n"/>
      <c r="E1130" s="35" t="n"/>
      <c r="F1130" s="36" t="n"/>
      <c r="G1130" s="35" t="n"/>
      <c r="H1130" s="30">
        <f>IF(L1130="","",INDEX(SkiftNavn,L1130))</f>
        <v/>
      </c>
      <c r="I1130" s="30">
        <f>IF(OR(A1130="",L1130=""),"",IF(MOD(A1130-INDEX(SkiftStart,L1130),Syklus)&lt;DagK,"Kveld",IF(MOD(A1130-INDEX(SkiftStart,L1130),Syklus)&lt;DagK+DagH,"Helg",IF(MOD(A1130-INDEX(SkiftStart,L1130),Syklus)&lt;DagK+DagH+DagD,"Dag","Fri"))))</f>
        <v/>
      </c>
      <c r="J1130" s="30">
        <f>IF(I1130="Fri","Ja","")</f>
        <v/>
      </c>
      <c r="K1130" s="30">
        <f>IF(B1130="","",IF(L1130="","Ukjent tekniker",IF(ISNA(MATCH(C1130,Aktiviteter,0)),"Ukjent aktivitet",IF(AND(INDEX(AktRolle,MATCH(C1130,Aktiviteter,0))&amp;""&lt;&gt;"",ISERROR(SEARCH(INDEX(AktRolle,MATCH(C1130,Aktiviteter,0))&amp;"",INDEX(TekRoller,MATCH(B1130,Teknikere,0))))),"Mangler rollen "&amp;INDEX(AktRolle,MATCH(C1130,Aktiviteter,0))&amp;"",IF(AND(C1130="LMS",F1130&gt;0,OR(D1130="",E1130="")),"Mangler maskin eller arbeid",IF(AND(OR(C1130="LMS",C1130="Mod"),D1130&lt;&gt;""),IF(IFERROR(INDEX(MaskinStatus,MATCH(D1130,Maskiner,0)),"")="I dokk","","Maskinen er ikke i dokk"),""))))))</f>
        <v/>
      </c>
      <c r="L1130" s="2">
        <f>IF(B1130="","",IFERROR(INT((MATCH(B1130,Teknikere,0)-1)/18)+1,""))</f>
        <v/>
      </c>
      <c r="M1130" s="2">
        <f>IF(OR(A1130="",B1130=""),"",B1130&amp;"|"&amp;A1130)</f>
        <v/>
      </c>
      <c r="N1130" s="2">
        <f>IF(M1130="","",SUMIFS(TF_Timer,TF_Nokkel,M1130,TF_Akt,C1130))</f>
        <v/>
      </c>
      <c r="O1130" s="2">
        <f>IF(M1130="","",IF(AND(N1130=_xlfn.MAXIFS(TF_AktSum,TF_Nokkel,M1130),COUNTIFS(M$3:M1129,M1130,N$3:N1129,N1130)=0),M1130,""))</f>
        <v/>
      </c>
    </row>
    <row r="1131">
      <c r="A1131" s="34" t="n"/>
      <c r="B1131" s="35" t="n"/>
      <c r="C1131" s="35" t="n"/>
      <c r="D1131" s="35" t="n"/>
      <c r="E1131" s="35" t="n"/>
      <c r="F1131" s="36" t="n"/>
      <c r="G1131" s="35" t="n"/>
      <c r="H1131" s="30">
        <f>IF(L1131="","",INDEX(SkiftNavn,L1131))</f>
        <v/>
      </c>
      <c r="I1131" s="30">
        <f>IF(OR(A1131="",L1131=""),"",IF(MOD(A1131-INDEX(SkiftStart,L1131),Syklus)&lt;DagK,"Kveld",IF(MOD(A1131-INDEX(SkiftStart,L1131),Syklus)&lt;DagK+DagH,"Helg",IF(MOD(A1131-INDEX(SkiftStart,L1131),Syklus)&lt;DagK+DagH+DagD,"Dag","Fri"))))</f>
        <v/>
      </c>
      <c r="J1131" s="30">
        <f>IF(I1131="Fri","Ja","")</f>
        <v/>
      </c>
      <c r="K1131" s="30">
        <f>IF(B1131="","",IF(L1131="","Ukjent tekniker",IF(ISNA(MATCH(C1131,Aktiviteter,0)),"Ukjent aktivitet",IF(AND(INDEX(AktRolle,MATCH(C1131,Aktiviteter,0))&amp;""&lt;&gt;"",ISERROR(SEARCH(INDEX(AktRolle,MATCH(C1131,Aktiviteter,0))&amp;"",INDEX(TekRoller,MATCH(B1131,Teknikere,0))))),"Mangler rollen "&amp;INDEX(AktRolle,MATCH(C1131,Aktiviteter,0))&amp;"",IF(AND(C1131="LMS",F1131&gt;0,OR(D1131="",E1131="")),"Mangler maskin eller arbeid",IF(AND(OR(C1131="LMS",C1131="Mod"),D1131&lt;&gt;""),IF(IFERROR(INDEX(MaskinStatus,MATCH(D1131,Maskiner,0)),"")="I dokk","","Maskinen er ikke i dokk"),""))))))</f>
        <v/>
      </c>
      <c r="L1131" s="2">
        <f>IF(B1131="","",IFERROR(INT((MATCH(B1131,Teknikere,0)-1)/18)+1,""))</f>
        <v/>
      </c>
      <c r="M1131" s="2">
        <f>IF(OR(A1131="",B1131=""),"",B1131&amp;"|"&amp;A1131)</f>
        <v/>
      </c>
      <c r="N1131" s="2">
        <f>IF(M1131="","",SUMIFS(TF_Timer,TF_Nokkel,M1131,TF_Akt,C1131))</f>
        <v/>
      </c>
      <c r="O1131" s="2">
        <f>IF(M1131="","",IF(AND(N1131=_xlfn.MAXIFS(TF_AktSum,TF_Nokkel,M1131),COUNTIFS(M$3:M1130,M1131,N$3:N1130,N1131)=0),M1131,""))</f>
        <v/>
      </c>
    </row>
    <row r="1132">
      <c r="A1132" s="34" t="n"/>
      <c r="B1132" s="35" t="n"/>
      <c r="C1132" s="35" t="n"/>
      <c r="D1132" s="35" t="n"/>
      <c r="E1132" s="35" t="n"/>
      <c r="F1132" s="36" t="n"/>
      <c r="G1132" s="35" t="n"/>
      <c r="H1132" s="30">
        <f>IF(L1132="","",INDEX(SkiftNavn,L1132))</f>
        <v/>
      </c>
      <c r="I1132" s="30">
        <f>IF(OR(A1132="",L1132=""),"",IF(MOD(A1132-INDEX(SkiftStart,L1132),Syklus)&lt;DagK,"Kveld",IF(MOD(A1132-INDEX(SkiftStart,L1132),Syklus)&lt;DagK+DagH,"Helg",IF(MOD(A1132-INDEX(SkiftStart,L1132),Syklus)&lt;DagK+DagH+DagD,"Dag","Fri"))))</f>
        <v/>
      </c>
      <c r="J1132" s="30">
        <f>IF(I1132="Fri","Ja","")</f>
        <v/>
      </c>
      <c r="K1132" s="30">
        <f>IF(B1132="","",IF(L1132="","Ukjent tekniker",IF(ISNA(MATCH(C1132,Aktiviteter,0)),"Ukjent aktivitet",IF(AND(INDEX(AktRolle,MATCH(C1132,Aktiviteter,0))&amp;""&lt;&gt;"",ISERROR(SEARCH(INDEX(AktRolle,MATCH(C1132,Aktiviteter,0))&amp;"",INDEX(TekRoller,MATCH(B1132,Teknikere,0))))),"Mangler rollen "&amp;INDEX(AktRolle,MATCH(C1132,Aktiviteter,0))&amp;"",IF(AND(C1132="LMS",F1132&gt;0,OR(D1132="",E1132="")),"Mangler maskin eller arbeid",IF(AND(OR(C1132="LMS",C1132="Mod"),D1132&lt;&gt;""),IF(IFERROR(INDEX(MaskinStatus,MATCH(D1132,Maskiner,0)),"")="I dokk","","Maskinen er ikke i dokk"),""))))))</f>
        <v/>
      </c>
      <c r="L1132" s="2">
        <f>IF(B1132="","",IFERROR(INT((MATCH(B1132,Teknikere,0)-1)/18)+1,""))</f>
        <v/>
      </c>
      <c r="M1132" s="2">
        <f>IF(OR(A1132="",B1132=""),"",B1132&amp;"|"&amp;A1132)</f>
        <v/>
      </c>
      <c r="N1132" s="2">
        <f>IF(M1132="","",SUMIFS(TF_Timer,TF_Nokkel,M1132,TF_Akt,C1132))</f>
        <v/>
      </c>
      <c r="O1132" s="2">
        <f>IF(M1132="","",IF(AND(N1132=_xlfn.MAXIFS(TF_AktSum,TF_Nokkel,M1132),COUNTIFS(M$3:M1131,M1132,N$3:N1131,N1132)=0),M1132,""))</f>
        <v/>
      </c>
    </row>
    <row r="1133">
      <c r="A1133" s="34" t="n"/>
      <c r="B1133" s="35" t="n"/>
      <c r="C1133" s="35" t="n"/>
      <c r="D1133" s="35" t="n"/>
      <c r="E1133" s="35" t="n"/>
      <c r="F1133" s="36" t="n"/>
      <c r="G1133" s="35" t="n"/>
      <c r="H1133" s="30">
        <f>IF(L1133="","",INDEX(SkiftNavn,L1133))</f>
        <v/>
      </c>
      <c r="I1133" s="30">
        <f>IF(OR(A1133="",L1133=""),"",IF(MOD(A1133-INDEX(SkiftStart,L1133),Syklus)&lt;DagK,"Kveld",IF(MOD(A1133-INDEX(SkiftStart,L1133),Syklus)&lt;DagK+DagH,"Helg",IF(MOD(A1133-INDEX(SkiftStart,L1133),Syklus)&lt;DagK+DagH+DagD,"Dag","Fri"))))</f>
        <v/>
      </c>
      <c r="J1133" s="30">
        <f>IF(I1133="Fri","Ja","")</f>
        <v/>
      </c>
      <c r="K1133" s="30">
        <f>IF(B1133="","",IF(L1133="","Ukjent tekniker",IF(ISNA(MATCH(C1133,Aktiviteter,0)),"Ukjent aktivitet",IF(AND(INDEX(AktRolle,MATCH(C1133,Aktiviteter,0))&amp;""&lt;&gt;"",ISERROR(SEARCH(INDEX(AktRolle,MATCH(C1133,Aktiviteter,0))&amp;"",INDEX(TekRoller,MATCH(B1133,Teknikere,0))))),"Mangler rollen "&amp;INDEX(AktRolle,MATCH(C1133,Aktiviteter,0))&amp;"",IF(AND(C1133="LMS",F1133&gt;0,OR(D1133="",E1133="")),"Mangler maskin eller arbeid",IF(AND(OR(C1133="LMS",C1133="Mod"),D1133&lt;&gt;""),IF(IFERROR(INDEX(MaskinStatus,MATCH(D1133,Maskiner,0)),"")="I dokk","","Maskinen er ikke i dokk"),""))))))</f>
        <v/>
      </c>
      <c r="L1133" s="2">
        <f>IF(B1133="","",IFERROR(INT((MATCH(B1133,Teknikere,0)-1)/18)+1,""))</f>
        <v/>
      </c>
      <c r="M1133" s="2">
        <f>IF(OR(A1133="",B1133=""),"",B1133&amp;"|"&amp;A1133)</f>
        <v/>
      </c>
      <c r="N1133" s="2">
        <f>IF(M1133="","",SUMIFS(TF_Timer,TF_Nokkel,M1133,TF_Akt,C1133))</f>
        <v/>
      </c>
      <c r="O1133" s="2">
        <f>IF(M1133="","",IF(AND(N1133=_xlfn.MAXIFS(TF_AktSum,TF_Nokkel,M1133),COUNTIFS(M$3:M1132,M1133,N$3:N1132,N1133)=0),M1133,""))</f>
        <v/>
      </c>
    </row>
    <row r="1134">
      <c r="A1134" s="34" t="n"/>
      <c r="B1134" s="35" t="n"/>
      <c r="C1134" s="35" t="n"/>
      <c r="D1134" s="35" t="n"/>
      <c r="E1134" s="35" t="n"/>
      <c r="F1134" s="36" t="n"/>
      <c r="G1134" s="35" t="n"/>
      <c r="H1134" s="30">
        <f>IF(L1134="","",INDEX(SkiftNavn,L1134))</f>
        <v/>
      </c>
      <c r="I1134" s="30">
        <f>IF(OR(A1134="",L1134=""),"",IF(MOD(A1134-INDEX(SkiftStart,L1134),Syklus)&lt;DagK,"Kveld",IF(MOD(A1134-INDEX(SkiftStart,L1134),Syklus)&lt;DagK+DagH,"Helg",IF(MOD(A1134-INDEX(SkiftStart,L1134),Syklus)&lt;DagK+DagH+DagD,"Dag","Fri"))))</f>
        <v/>
      </c>
      <c r="J1134" s="30">
        <f>IF(I1134="Fri","Ja","")</f>
        <v/>
      </c>
      <c r="K1134" s="30">
        <f>IF(B1134="","",IF(L1134="","Ukjent tekniker",IF(ISNA(MATCH(C1134,Aktiviteter,0)),"Ukjent aktivitet",IF(AND(INDEX(AktRolle,MATCH(C1134,Aktiviteter,0))&amp;""&lt;&gt;"",ISERROR(SEARCH(INDEX(AktRolle,MATCH(C1134,Aktiviteter,0))&amp;"",INDEX(TekRoller,MATCH(B1134,Teknikere,0))))),"Mangler rollen "&amp;INDEX(AktRolle,MATCH(C1134,Aktiviteter,0))&amp;"",IF(AND(C1134="LMS",F1134&gt;0,OR(D1134="",E1134="")),"Mangler maskin eller arbeid",IF(AND(OR(C1134="LMS",C1134="Mod"),D1134&lt;&gt;""),IF(IFERROR(INDEX(MaskinStatus,MATCH(D1134,Maskiner,0)),"")="I dokk","","Maskinen er ikke i dokk"),""))))))</f>
        <v/>
      </c>
      <c r="L1134" s="2">
        <f>IF(B1134="","",IFERROR(INT((MATCH(B1134,Teknikere,0)-1)/18)+1,""))</f>
        <v/>
      </c>
      <c r="M1134" s="2">
        <f>IF(OR(A1134="",B1134=""),"",B1134&amp;"|"&amp;A1134)</f>
        <v/>
      </c>
      <c r="N1134" s="2">
        <f>IF(M1134="","",SUMIFS(TF_Timer,TF_Nokkel,M1134,TF_Akt,C1134))</f>
        <v/>
      </c>
      <c r="O1134" s="2">
        <f>IF(M1134="","",IF(AND(N1134=_xlfn.MAXIFS(TF_AktSum,TF_Nokkel,M1134),COUNTIFS(M$3:M1133,M1134,N$3:N1133,N1134)=0),M1134,""))</f>
        <v/>
      </c>
    </row>
    <row r="1135">
      <c r="A1135" s="34" t="n"/>
      <c r="B1135" s="35" t="n"/>
      <c r="C1135" s="35" t="n"/>
      <c r="D1135" s="35" t="n"/>
      <c r="E1135" s="35" t="n"/>
      <c r="F1135" s="36" t="n"/>
      <c r="G1135" s="35" t="n"/>
      <c r="H1135" s="30">
        <f>IF(L1135="","",INDEX(SkiftNavn,L1135))</f>
        <v/>
      </c>
      <c r="I1135" s="30">
        <f>IF(OR(A1135="",L1135=""),"",IF(MOD(A1135-INDEX(SkiftStart,L1135),Syklus)&lt;DagK,"Kveld",IF(MOD(A1135-INDEX(SkiftStart,L1135),Syklus)&lt;DagK+DagH,"Helg",IF(MOD(A1135-INDEX(SkiftStart,L1135),Syklus)&lt;DagK+DagH+DagD,"Dag","Fri"))))</f>
        <v/>
      </c>
      <c r="J1135" s="30">
        <f>IF(I1135="Fri","Ja","")</f>
        <v/>
      </c>
      <c r="K1135" s="30">
        <f>IF(B1135="","",IF(L1135="","Ukjent tekniker",IF(ISNA(MATCH(C1135,Aktiviteter,0)),"Ukjent aktivitet",IF(AND(INDEX(AktRolle,MATCH(C1135,Aktiviteter,0))&amp;""&lt;&gt;"",ISERROR(SEARCH(INDEX(AktRolle,MATCH(C1135,Aktiviteter,0))&amp;"",INDEX(TekRoller,MATCH(B1135,Teknikere,0))))),"Mangler rollen "&amp;INDEX(AktRolle,MATCH(C1135,Aktiviteter,0))&amp;"",IF(AND(C1135="LMS",F1135&gt;0,OR(D1135="",E1135="")),"Mangler maskin eller arbeid",IF(AND(OR(C1135="LMS",C1135="Mod"),D1135&lt;&gt;""),IF(IFERROR(INDEX(MaskinStatus,MATCH(D1135,Maskiner,0)),"")="I dokk","","Maskinen er ikke i dokk"),""))))))</f>
        <v/>
      </c>
      <c r="L1135" s="2">
        <f>IF(B1135="","",IFERROR(INT((MATCH(B1135,Teknikere,0)-1)/18)+1,""))</f>
        <v/>
      </c>
      <c r="M1135" s="2">
        <f>IF(OR(A1135="",B1135=""),"",B1135&amp;"|"&amp;A1135)</f>
        <v/>
      </c>
      <c r="N1135" s="2">
        <f>IF(M1135="","",SUMIFS(TF_Timer,TF_Nokkel,M1135,TF_Akt,C1135))</f>
        <v/>
      </c>
      <c r="O1135" s="2">
        <f>IF(M1135="","",IF(AND(N1135=_xlfn.MAXIFS(TF_AktSum,TF_Nokkel,M1135),COUNTIFS(M$3:M1134,M1135,N$3:N1134,N1135)=0),M1135,""))</f>
        <v/>
      </c>
    </row>
    <row r="1136">
      <c r="A1136" s="34" t="n"/>
      <c r="B1136" s="35" t="n"/>
      <c r="C1136" s="35" t="n"/>
      <c r="D1136" s="35" t="n"/>
      <c r="E1136" s="35" t="n"/>
      <c r="F1136" s="36" t="n"/>
      <c r="G1136" s="35" t="n"/>
      <c r="H1136" s="30">
        <f>IF(L1136="","",INDEX(SkiftNavn,L1136))</f>
        <v/>
      </c>
      <c r="I1136" s="30">
        <f>IF(OR(A1136="",L1136=""),"",IF(MOD(A1136-INDEX(SkiftStart,L1136),Syklus)&lt;DagK,"Kveld",IF(MOD(A1136-INDEX(SkiftStart,L1136),Syklus)&lt;DagK+DagH,"Helg",IF(MOD(A1136-INDEX(SkiftStart,L1136),Syklus)&lt;DagK+DagH+DagD,"Dag","Fri"))))</f>
        <v/>
      </c>
      <c r="J1136" s="30">
        <f>IF(I1136="Fri","Ja","")</f>
        <v/>
      </c>
      <c r="K1136" s="30">
        <f>IF(B1136="","",IF(L1136="","Ukjent tekniker",IF(ISNA(MATCH(C1136,Aktiviteter,0)),"Ukjent aktivitet",IF(AND(INDEX(AktRolle,MATCH(C1136,Aktiviteter,0))&amp;""&lt;&gt;"",ISERROR(SEARCH(INDEX(AktRolle,MATCH(C1136,Aktiviteter,0))&amp;"",INDEX(TekRoller,MATCH(B1136,Teknikere,0))))),"Mangler rollen "&amp;INDEX(AktRolle,MATCH(C1136,Aktiviteter,0))&amp;"",IF(AND(C1136="LMS",F1136&gt;0,OR(D1136="",E1136="")),"Mangler maskin eller arbeid",IF(AND(OR(C1136="LMS",C1136="Mod"),D1136&lt;&gt;""),IF(IFERROR(INDEX(MaskinStatus,MATCH(D1136,Maskiner,0)),"")="I dokk","","Maskinen er ikke i dokk"),""))))))</f>
        <v/>
      </c>
      <c r="L1136" s="2">
        <f>IF(B1136="","",IFERROR(INT((MATCH(B1136,Teknikere,0)-1)/18)+1,""))</f>
        <v/>
      </c>
      <c r="M1136" s="2">
        <f>IF(OR(A1136="",B1136=""),"",B1136&amp;"|"&amp;A1136)</f>
        <v/>
      </c>
      <c r="N1136" s="2">
        <f>IF(M1136="","",SUMIFS(TF_Timer,TF_Nokkel,M1136,TF_Akt,C1136))</f>
        <v/>
      </c>
      <c r="O1136" s="2">
        <f>IF(M1136="","",IF(AND(N1136=_xlfn.MAXIFS(TF_AktSum,TF_Nokkel,M1136),COUNTIFS(M$3:M1135,M1136,N$3:N1135,N1136)=0),M1136,""))</f>
        <v/>
      </c>
    </row>
    <row r="1137">
      <c r="A1137" s="34" t="n"/>
      <c r="B1137" s="35" t="n"/>
      <c r="C1137" s="35" t="n"/>
      <c r="D1137" s="35" t="n"/>
      <c r="E1137" s="35" t="n"/>
      <c r="F1137" s="36" t="n"/>
      <c r="G1137" s="35" t="n"/>
      <c r="H1137" s="30">
        <f>IF(L1137="","",INDEX(SkiftNavn,L1137))</f>
        <v/>
      </c>
      <c r="I1137" s="30">
        <f>IF(OR(A1137="",L1137=""),"",IF(MOD(A1137-INDEX(SkiftStart,L1137),Syklus)&lt;DagK,"Kveld",IF(MOD(A1137-INDEX(SkiftStart,L1137),Syklus)&lt;DagK+DagH,"Helg",IF(MOD(A1137-INDEX(SkiftStart,L1137),Syklus)&lt;DagK+DagH+DagD,"Dag","Fri"))))</f>
        <v/>
      </c>
      <c r="J1137" s="30">
        <f>IF(I1137="Fri","Ja","")</f>
        <v/>
      </c>
      <c r="K1137" s="30">
        <f>IF(B1137="","",IF(L1137="","Ukjent tekniker",IF(ISNA(MATCH(C1137,Aktiviteter,0)),"Ukjent aktivitet",IF(AND(INDEX(AktRolle,MATCH(C1137,Aktiviteter,0))&amp;""&lt;&gt;"",ISERROR(SEARCH(INDEX(AktRolle,MATCH(C1137,Aktiviteter,0))&amp;"",INDEX(TekRoller,MATCH(B1137,Teknikere,0))))),"Mangler rollen "&amp;INDEX(AktRolle,MATCH(C1137,Aktiviteter,0))&amp;"",IF(AND(C1137="LMS",F1137&gt;0,OR(D1137="",E1137="")),"Mangler maskin eller arbeid",IF(AND(OR(C1137="LMS",C1137="Mod"),D1137&lt;&gt;""),IF(IFERROR(INDEX(MaskinStatus,MATCH(D1137,Maskiner,0)),"")="I dokk","","Maskinen er ikke i dokk"),""))))))</f>
        <v/>
      </c>
      <c r="L1137" s="2">
        <f>IF(B1137="","",IFERROR(INT((MATCH(B1137,Teknikere,0)-1)/18)+1,""))</f>
        <v/>
      </c>
      <c r="M1137" s="2">
        <f>IF(OR(A1137="",B1137=""),"",B1137&amp;"|"&amp;A1137)</f>
        <v/>
      </c>
      <c r="N1137" s="2">
        <f>IF(M1137="","",SUMIFS(TF_Timer,TF_Nokkel,M1137,TF_Akt,C1137))</f>
        <v/>
      </c>
      <c r="O1137" s="2">
        <f>IF(M1137="","",IF(AND(N1137=_xlfn.MAXIFS(TF_AktSum,TF_Nokkel,M1137),COUNTIFS(M$3:M1136,M1137,N$3:N1136,N1137)=0),M1137,""))</f>
        <v/>
      </c>
    </row>
    <row r="1138">
      <c r="A1138" s="34" t="n"/>
      <c r="B1138" s="35" t="n"/>
      <c r="C1138" s="35" t="n"/>
      <c r="D1138" s="35" t="n"/>
      <c r="E1138" s="35" t="n"/>
      <c r="F1138" s="36" t="n"/>
      <c r="G1138" s="35" t="n"/>
      <c r="H1138" s="30">
        <f>IF(L1138="","",INDEX(SkiftNavn,L1138))</f>
        <v/>
      </c>
      <c r="I1138" s="30">
        <f>IF(OR(A1138="",L1138=""),"",IF(MOD(A1138-INDEX(SkiftStart,L1138),Syklus)&lt;DagK,"Kveld",IF(MOD(A1138-INDEX(SkiftStart,L1138),Syklus)&lt;DagK+DagH,"Helg",IF(MOD(A1138-INDEX(SkiftStart,L1138),Syklus)&lt;DagK+DagH+DagD,"Dag","Fri"))))</f>
        <v/>
      </c>
      <c r="J1138" s="30">
        <f>IF(I1138="Fri","Ja","")</f>
        <v/>
      </c>
      <c r="K1138" s="30">
        <f>IF(B1138="","",IF(L1138="","Ukjent tekniker",IF(ISNA(MATCH(C1138,Aktiviteter,0)),"Ukjent aktivitet",IF(AND(INDEX(AktRolle,MATCH(C1138,Aktiviteter,0))&amp;""&lt;&gt;"",ISERROR(SEARCH(INDEX(AktRolle,MATCH(C1138,Aktiviteter,0))&amp;"",INDEX(TekRoller,MATCH(B1138,Teknikere,0))))),"Mangler rollen "&amp;INDEX(AktRolle,MATCH(C1138,Aktiviteter,0))&amp;"",IF(AND(C1138="LMS",F1138&gt;0,OR(D1138="",E1138="")),"Mangler maskin eller arbeid",IF(AND(OR(C1138="LMS",C1138="Mod"),D1138&lt;&gt;""),IF(IFERROR(INDEX(MaskinStatus,MATCH(D1138,Maskiner,0)),"")="I dokk","","Maskinen er ikke i dokk"),""))))))</f>
        <v/>
      </c>
      <c r="L1138" s="2">
        <f>IF(B1138="","",IFERROR(INT((MATCH(B1138,Teknikere,0)-1)/18)+1,""))</f>
        <v/>
      </c>
      <c r="M1138" s="2">
        <f>IF(OR(A1138="",B1138=""),"",B1138&amp;"|"&amp;A1138)</f>
        <v/>
      </c>
      <c r="N1138" s="2">
        <f>IF(M1138="","",SUMIFS(TF_Timer,TF_Nokkel,M1138,TF_Akt,C1138))</f>
        <v/>
      </c>
      <c r="O1138" s="2">
        <f>IF(M1138="","",IF(AND(N1138=_xlfn.MAXIFS(TF_AktSum,TF_Nokkel,M1138),COUNTIFS(M$3:M1137,M1138,N$3:N1137,N1138)=0),M1138,""))</f>
        <v/>
      </c>
    </row>
    <row r="1139">
      <c r="A1139" s="34" t="n"/>
      <c r="B1139" s="35" t="n"/>
      <c r="C1139" s="35" t="n"/>
      <c r="D1139" s="35" t="n"/>
      <c r="E1139" s="35" t="n"/>
      <c r="F1139" s="36" t="n"/>
      <c r="G1139" s="35" t="n"/>
      <c r="H1139" s="30">
        <f>IF(L1139="","",INDEX(SkiftNavn,L1139))</f>
        <v/>
      </c>
      <c r="I1139" s="30">
        <f>IF(OR(A1139="",L1139=""),"",IF(MOD(A1139-INDEX(SkiftStart,L1139),Syklus)&lt;DagK,"Kveld",IF(MOD(A1139-INDEX(SkiftStart,L1139),Syklus)&lt;DagK+DagH,"Helg",IF(MOD(A1139-INDEX(SkiftStart,L1139),Syklus)&lt;DagK+DagH+DagD,"Dag","Fri"))))</f>
        <v/>
      </c>
      <c r="J1139" s="30">
        <f>IF(I1139="Fri","Ja","")</f>
        <v/>
      </c>
      <c r="K1139" s="30">
        <f>IF(B1139="","",IF(L1139="","Ukjent tekniker",IF(ISNA(MATCH(C1139,Aktiviteter,0)),"Ukjent aktivitet",IF(AND(INDEX(AktRolle,MATCH(C1139,Aktiviteter,0))&amp;""&lt;&gt;"",ISERROR(SEARCH(INDEX(AktRolle,MATCH(C1139,Aktiviteter,0))&amp;"",INDEX(TekRoller,MATCH(B1139,Teknikere,0))))),"Mangler rollen "&amp;INDEX(AktRolle,MATCH(C1139,Aktiviteter,0))&amp;"",IF(AND(C1139="LMS",F1139&gt;0,OR(D1139="",E1139="")),"Mangler maskin eller arbeid",IF(AND(OR(C1139="LMS",C1139="Mod"),D1139&lt;&gt;""),IF(IFERROR(INDEX(MaskinStatus,MATCH(D1139,Maskiner,0)),"")="I dokk","","Maskinen er ikke i dokk"),""))))))</f>
        <v/>
      </c>
      <c r="L1139" s="2">
        <f>IF(B1139="","",IFERROR(INT((MATCH(B1139,Teknikere,0)-1)/18)+1,""))</f>
        <v/>
      </c>
      <c r="M1139" s="2">
        <f>IF(OR(A1139="",B1139=""),"",B1139&amp;"|"&amp;A1139)</f>
        <v/>
      </c>
      <c r="N1139" s="2">
        <f>IF(M1139="","",SUMIFS(TF_Timer,TF_Nokkel,M1139,TF_Akt,C1139))</f>
        <v/>
      </c>
      <c r="O1139" s="2">
        <f>IF(M1139="","",IF(AND(N1139=_xlfn.MAXIFS(TF_AktSum,TF_Nokkel,M1139),COUNTIFS(M$3:M1138,M1139,N$3:N1138,N1139)=0),M1139,""))</f>
        <v/>
      </c>
    </row>
    <row r="1140">
      <c r="A1140" s="34" t="n"/>
      <c r="B1140" s="35" t="n"/>
      <c r="C1140" s="35" t="n"/>
      <c r="D1140" s="35" t="n"/>
      <c r="E1140" s="35" t="n"/>
      <c r="F1140" s="36" t="n"/>
      <c r="G1140" s="35" t="n"/>
      <c r="H1140" s="30">
        <f>IF(L1140="","",INDEX(SkiftNavn,L1140))</f>
        <v/>
      </c>
      <c r="I1140" s="30">
        <f>IF(OR(A1140="",L1140=""),"",IF(MOD(A1140-INDEX(SkiftStart,L1140),Syklus)&lt;DagK,"Kveld",IF(MOD(A1140-INDEX(SkiftStart,L1140),Syklus)&lt;DagK+DagH,"Helg",IF(MOD(A1140-INDEX(SkiftStart,L1140),Syklus)&lt;DagK+DagH+DagD,"Dag","Fri"))))</f>
        <v/>
      </c>
      <c r="J1140" s="30">
        <f>IF(I1140="Fri","Ja","")</f>
        <v/>
      </c>
      <c r="K1140" s="30">
        <f>IF(B1140="","",IF(L1140="","Ukjent tekniker",IF(ISNA(MATCH(C1140,Aktiviteter,0)),"Ukjent aktivitet",IF(AND(INDEX(AktRolle,MATCH(C1140,Aktiviteter,0))&amp;""&lt;&gt;"",ISERROR(SEARCH(INDEX(AktRolle,MATCH(C1140,Aktiviteter,0))&amp;"",INDEX(TekRoller,MATCH(B1140,Teknikere,0))))),"Mangler rollen "&amp;INDEX(AktRolle,MATCH(C1140,Aktiviteter,0))&amp;"",IF(AND(C1140="LMS",F1140&gt;0,OR(D1140="",E1140="")),"Mangler maskin eller arbeid",IF(AND(OR(C1140="LMS",C1140="Mod"),D1140&lt;&gt;""),IF(IFERROR(INDEX(MaskinStatus,MATCH(D1140,Maskiner,0)),"")="I dokk","","Maskinen er ikke i dokk"),""))))))</f>
        <v/>
      </c>
      <c r="L1140" s="2">
        <f>IF(B1140="","",IFERROR(INT((MATCH(B1140,Teknikere,0)-1)/18)+1,""))</f>
        <v/>
      </c>
      <c r="M1140" s="2">
        <f>IF(OR(A1140="",B1140=""),"",B1140&amp;"|"&amp;A1140)</f>
        <v/>
      </c>
      <c r="N1140" s="2">
        <f>IF(M1140="","",SUMIFS(TF_Timer,TF_Nokkel,M1140,TF_Akt,C1140))</f>
        <v/>
      </c>
      <c r="O1140" s="2">
        <f>IF(M1140="","",IF(AND(N1140=_xlfn.MAXIFS(TF_AktSum,TF_Nokkel,M1140),COUNTIFS(M$3:M1139,M1140,N$3:N1139,N1140)=0),M1140,""))</f>
        <v/>
      </c>
    </row>
    <row r="1141">
      <c r="A1141" s="34" t="n"/>
      <c r="B1141" s="35" t="n"/>
      <c r="C1141" s="35" t="n"/>
      <c r="D1141" s="35" t="n"/>
      <c r="E1141" s="35" t="n"/>
      <c r="F1141" s="36" t="n"/>
      <c r="G1141" s="35" t="n"/>
      <c r="H1141" s="30">
        <f>IF(L1141="","",INDEX(SkiftNavn,L1141))</f>
        <v/>
      </c>
      <c r="I1141" s="30">
        <f>IF(OR(A1141="",L1141=""),"",IF(MOD(A1141-INDEX(SkiftStart,L1141),Syklus)&lt;DagK,"Kveld",IF(MOD(A1141-INDEX(SkiftStart,L1141),Syklus)&lt;DagK+DagH,"Helg",IF(MOD(A1141-INDEX(SkiftStart,L1141),Syklus)&lt;DagK+DagH+DagD,"Dag","Fri"))))</f>
        <v/>
      </c>
      <c r="J1141" s="30">
        <f>IF(I1141="Fri","Ja","")</f>
        <v/>
      </c>
      <c r="K1141" s="30">
        <f>IF(B1141="","",IF(L1141="","Ukjent tekniker",IF(ISNA(MATCH(C1141,Aktiviteter,0)),"Ukjent aktivitet",IF(AND(INDEX(AktRolle,MATCH(C1141,Aktiviteter,0))&amp;""&lt;&gt;"",ISERROR(SEARCH(INDEX(AktRolle,MATCH(C1141,Aktiviteter,0))&amp;"",INDEX(TekRoller,MATCH(B1141,Teknikere,0))))),"Mangler rollen "&amp;INDEX(AktRolle,MATCH(C1141,Aktiviteter,0))&amp;"",IF(AND(C1141="LMS",F1141&gt;0,OR(D1141="",E1141="")),"Mangler maskin eller arbeid",IF(AND(OR(C1141="LMS",C1141="Mod"),D1141&lt;&gt;""),IF(IFERROR(INDEX(MaskinStatus,MATCH(D1141,Maskiner,0)),"")="I dokk","","Maskinen er ikke i dokk"),""))))))</f>
        <v/>
      </c>
      <c r="L1141" s="2">
        <f>IF(B1141="","",IFERROR(INT((MATCH(B1141,Teknikere,0)-1)/18)+1,""))</f>
        <v/>
      </c>
      <c r="M1141" s="2">
        <f>IF(OR(A1141="",B1141=""),"",B1141&amp;"|"&amp;A1141)</f>
        <v/>
      </c>
      <c r="N1141" s="2">
        <f>IF(M1141="","",SUMIFS(TF_Timer,TF_Nokkel,M1141,TF_Akt,C1141))</f>
        <v/>
      </c>
      <c r="O1141" s="2">
        <f>IF(M1141="","",IF(AND(N1141=_xlfn.MAXIFS(TF_AktSum,TF_Nokkel,M1141),COUNTIFS(M$3:M1140,M1141,N$3:N1140,N1141)=0),M1141,""))</f>
        <v/>
      </c>
    </row>
    <row r="1142">
      <c r="A1142" s="34" t="n"/>
      <c r="B1142" s="35" t="n"/>
      <c r="C1142" s="35" t="n"/>
      <c r="D1142" s="35" t="n"/>
      <c r="E1142" s="35" t="n"/>
      <c r="F1142" s="36" t="n"/>
      <c r="G1142" s="35" t="n"/>
      <c r="H1142" s="30">
        <f>IF(L1142="","",INDEX(SkiftNavn,L1142))</f>
        <v/>
      </c>
      <c r="I1142" s="30">
        <f>IF(OR(A1142="",L1142=""),"",IF(MOD(A1142-INDEX(SkiftStart,L1142),Syklus)&lt;DagK,"Kveld",IF(MOD(A1142-INDEX(SkiftStart,L1142),Syklus)&lt;DagK+DagH,"Helg",IF(MOD(A1142-INDEX(SkiftStart,L1142),Syklus)&lt;DagK+DagH+DagD,"Dag","Fri"))))</f>
        <v/>
      </c>
      <c r="J1142" s="30">
        <f>IF(I1142="Fri","Ja","")</f>
        <v/>
      </c>
      <c r="K1142" s="30">
        <f>IF(B1142="","",IF(L1142="","Ukjent tekniker",IF(ISNA(MATCH(C1142,Aktiviteter,0)),"Ukjent aktivitet",IF(AND(INDEX(AktRolle,MATCH(C1142,Aktiviteter,0))&amp;""&lt;&gt;"",ISERROR(SEARCH(INDEX(AktRolle,MATCH(C1142,Aktiviteter,0))&amp;"",INDEX(TekRoller,MATCH(B1142,Teknikere,0))))),"Mangler rollen "&amp;INDEX(AktRolle,MATCH(C1142,Aktiviteter,0))&amp;"",IF(AND(C1142="LMS",F1142&gt;0,OR(D1142="",E1142="")),"Mangler maskin eller arbeid",IF(AND(OR(C1142="LMS",C1142="Mod"),D1142&lt;&gt;""),IF(IFERROR(INDEX(MaskinStatus,MATCH(D1142,Maskiner,0)),"")="I dokk","","Maskinen er ikke i dokk"),""))))))</f>
        <v/>
      </c>
      <c r="L1142" s="2">
        <f>IF(B1142="","",IFERROR(INT((MATCH(B1142,Teknikere,0)-1)/18)+1,""))</f>
        <v/>
      </c>
      <c r="M1142" s="2">
        <f>IF(OR(A1142="",B1142=""),"",B1142&amp;"|"&amp;A1142)</f>
        <v/>
      </c>
      <c r="N1142" s="2">
        <f>IF(M1142="","",SUMIFS(TF_Timer,TF_Nokkel,M1142,TF_Akt,C1142))</f>
        <v/>
      </c>
      <c r="O1142" s="2">
        <f>IF(M1142="","",IF(AND(N1142=_xlfn.MAXIFS(TF_AktSum,TF_Nokkel,M1142),COUNTIFS(M$3:M1141,M1142,N$3:N1141,N1142)=0),M1142,""))</f>
        <v/>
      </c>
    </row>
    <row r="1143">
      <c r="A1143" s="34" t="n"/>
      <c r="B1143" s="35" t="n"/>
      <c r="C1143" s="35" t="n"/>
      <c r="D1143" s="35" t="n"/>
      <c r="E1143" s="35" t="n"/>
      <c r="F1143" s="36" t="n"/>
      <c r="G1143" s="35" t="n"/>
      <c r="H1143" s="30">
        <f>IF(L1143="","",INDEX(SkiftNavn,L1143))</f>
        <v/>
      </c>
      <c r="I1143" s="30">
        <f>IF(OR(A1143="",L1143=""),"",IF(MOD(A1143-INDEX(SkiftStart,L1143),Syklus)&lt;DagK,"Kveld",IF(MOD(A1143-INDEX(SkiftStart,L1143),Syklus)&lt;DagK+DagH,"Helg",IF(MOD(A1143-INDEX(SkiftStart,L1143),Syklus)&lt;DagK+DagH+DagD,"Dag","Fri"))))</f>
        <v/>
      </c>
      <c r="J1143" s="30">
        <f>IF(I1143="Fri","Ja","")</f>
        <v/>
      </c>
      <c r="K1143" s="30">
        <f>IF(B1143="","",IF(L1143="","Ukjent tekniker",IF(ISNA(MATCH(C1143,Aktiviteter,0)),"Ukjent aktivitet",IF(AND(INDEX(AktRolle,MATCH(C1143,Aktiviteter,0))&amp;""&lt;&gt;"",ISERROR(SEARCH(INDEX(AktRolle,MATCH(C1143,Aktiviteter,0))&amp;"",INDEX(TekRoller,MATCH(B1143,Teknikere,0))))),"Mangler rollen "&amp;INDEX(AktRolle,MATCH(C1143,Aktiviteter,0))&amp;"",IF(AND(C1143="LMS",F1143&gt;0,OR(D1143="",E1143="")),"Mangler maskin eller arbeid",IF(AND(OR(C1143="LMS",C1143="Mod"),D1143&lt;&gt;""),IF(IFERROR(INDEX(MaskinStatus,MATCH(D1143,Maskiner,0)),"")="I dokk","","Maskinen er ikke i dokk"),""))))))</f>
        <v/>
      </c>
      <c r="L1143" s="2">
        <f>IF(B1143="","",IFERROR(INT((MATCH(B1143,Teknikere,0)-1)/18)+1,""))</f>
        <v/>
      </c>
      <c r="M1143" s="2">
        <f>IF(OR(A1143="",B1143=""),"",B1143&amp;"|"&amp;A1143)</f>
        <v/>
      </c>
      <c r="N1143" s="2">
        <f>IF(M1143="","",SUMIFS(TF_Timer,TF_Nokkel,M1143,TF_Akt,C1143))</f>
        <v/>
      </c>
      <c r="O1143" s="2">
        <f>IF(M1143="","",IF(AND(N1143=_xlfn.MAXIFS(TF_AktSum,TF_Nokkel,M1143),COUNTIFS(M$3:M1142,M1143,N$3:N1142,N1143)=0),M1143,""))</f>
        <v/>
      </c>
    </row>
    <row r="1144">
      <c r="A1144" s="34" t="n"/>
      <c r="B1144" s="35" t="n"/>
      <c r="C1144" s="35" t="n"/>
      <c r="D1144" s="35" t="n"/>
      <c r="E1144" s="35" t="n"/>
      <c r="F1144" s="36" t="n"/>
      <c r="G1144" s="35" t="n"/>
      <c r="H1144" s="30">
        <f>IF(L1144="","",INDEX(SkiftNavn,L1144))</f>
        <v/>
      </c>
      <c r="I1144" s="30">
        <f>IF(OR(A1144="",L1144=""),"",IF(MOD(A1144-INDEX(SkiftStart,L1144),Syklus)&lt;DagK,"Kveld",IF(MOD(A1144-INDEX(SkiftStart,L1144),Syklus)&lt;DagK+DagH,"Helg",IF(MOD(A1144-INDEX(SkiftStart,L1144),Syklus)&lt;DagK+DagH+DagD,"Dag","Fri"))))</f>
        <v/>
      </c>
      <c r="J1144" s="30">
        <f>IF(I1144="Fri","Ja","")</f>
        <v/>
      </c>
      <c r="K1144" s="30">
        <f>IF(B1144="","",IF(L1144="","Ukjent tekniker",IF(ISNA(MATCH(C1144,Aktiviteter,0)),"Ukjent aktivitet",IF(AND(INDEX(AktRolle,MATCH(C1144,Aktiviteter,0))&amp;""&lt;&gt;"",ISERROR(SEARCH(INDEX(AktRolle,MATCH(C1144,Aktiviteter,0))&amp;"",INDEX(TekRoller,MATCH(B1144,Teknikere,0))))),"Mangler rollen "&amp;INDEX(AktRolle,MATCH(C1144,Aktiviteter,0))&amp;"",IF(AND(C1144="LMS",F1144&gt;0,OR(D1144="",E1144="")),"Mangler maskin eller arbeid",IF(AND(OR(C1144="LMS",C1144="Mod"),D1144&lt;&gt;""),IF(IFERROR(INDEX(MaskinStatus,MATCH(D1144,Maskiner,0)),"")="I dokk","","Maskinen er ikke i dokk"),""))))))</f>
        <v/>
      </c>
      <c r="L1144" s="2">
        <f>IF(B1144="","",IFERROR(INT((MATCH(B1144,Teknikere,0)-1)/18)+1,""))</f>
        <v/>
      </c>
      <c r="M1144" s="2">
        <f>IF(OR(A1144="",B1144=""),"",B1144&amp;"|"&amp;A1144)</f>
        <v/>
      </c>
      <c r="N1144" s="2">
        <f>IF(M1144="","",SUMIFS(TF_Timer,TF_Nokkel,M1144,TF_Akt,C1144))</f>
        <v/>
      </c>
      <c r="O1144" s="2">
        <f>IF(M1144="","",IF(AND(N1144=_xlfn.MAXIFS(TF_AktSum,TF_Nokkel,M1144),COUNTIFS(M$3:M1143,M1144,N$3:N1143,N1144)=0),M1144,""))</f>
        <v/>
      </c>
    </row>
    <row r="1145">
      <c r="A1145" s="34" t="n"/>
      <c r="B1145" s="35" t="n"/>
      <c r="C1145" s="35" t="n"/>
      <c r="D1145" s="35" t="n"/>
      <c r="E1145" s="35" t="n"/>
      <c r="F1145" s="36" t="n"/>
      <c r="G1145" s="35" t="n"/>
      <c r="H1145" s="30">
        <f>IF(L1145="","",INDEX(SkiftNavn,L1145))</f>
        <v/>
      </c>
      <c r="I1145" s="30">
        <f>IF(OR(A1145="",L1145=""),"",IF(MOD(A1145-INDEX(SkiftStart,L1145),Syklus)&lt;DagK,"Kveld",IF(MOD(A1145-INDEX(SkiftStart,L1145),Syklus)&lt;DagK+DagH,"Helg",IF(MOD(A1145-INDEX(SkiftStart,L1145),Syklus)&lt;DagK+DagH+DagD,"Dag","Fri"))))</f>
        <v/>
      </c>
      <c r="J1145" s="30">
        <f>IF(I1145="Fri","Ja","")</f>
        <v/>
      </c>
      <c r="K1145" s="30">
        <f>IF(B1145="","",IF(L1145="","Ukjent tekniker",IF(ISNA(MATCH(C1145,Aktiviteter,0)),"Ukjent aktivitet",IF(AND(INDEX(AktRolle,MATCH(C1145,Aktiviteter,0))&amp;""&lt;&gt;"",ISERROR(SEARCH(INDEX(AktRolle,MATCH(C1145,Aktiviteter,0))&amp;"",INDEX(TekRoller,MATCH(B1145,Teknikere,0))))),"Mangler rollen "&amp;INDEX(AktRolle,MATCH(C1145,Aktiviteter,0))&amp;"",IF(AND(C1145="LMS",F1145&gt;0,OR(D1145="",E1145="")),"Mangler maskin eller arbeid",IF(AND(OR(C1145="LMS",C1145="Mod"),D1145&lt;&gt;""),IF(IFERROR(INDEX(MaskinStatus,MATCH(D1145,Maskiner,0)),"")="I dokk","","Maskinen er ikke i dokk"),""))))))</f>
        <v/>
      </c>
      <c r="L1145" s="2">
        <f>IF(B1145="","",IFERROR(INT((MATCH(B1145,Teknikere,0)-1)/18)+1,""))</f>
        <v/>
      </c>
      <c r="M1145" s="2">
        <f>IF(OR(A1145="",B1145=""),"",B1145&amp;"|"&amp;A1145)</f>
        <v/>
      </c>
      <c r="N1145" s="2">
        <f>IF(M1145="","",SUMIFS(TF_Timer,TF_Nokkel,M1145,TF_Akt,C1145))</f>
        <v/>
      </c>
      <c r="O1145" s="2">
        <f>IF(M1145="","",IF(AND(N1145=_xlfn.MAXIFS(TF_AktSum,TF_Nokkel,M1145),COUNTIFS(M$3:M1144,M1145,N$3:N1144,N1145)=0),M1145,""))</f>
        <v/>
      </c>
    </row>
    <row r="1146">
      <c r="A1146" s="34" t="n"/>
      <c r="B1146" s="35" t="n"/>
      <c r="C1146" s="35" t="n"/>
      <c r="D1146" s="35" t="n"/>
      <c r="E1146" s="35" t="n"/>
      <c r="F1146" s="36" t="n"/>
      <c r="G1146" s="35" t="n"/>
      <c r="H1146" s="30">
        <f>IF(L1146="","",INDEX(SkiftNavn,L1146))</f>
        <v/>
      </c>
      <c r="I1146" s="30">
        <f>IF(OR(A1146="",L1146=""),"",IF(MOD(A1146-INDEX(SkiftStart,L1146),Syklus)&lt;DagK,"Kveld",IF(MOD(A1146-INDEX(SkiftStart,L1146),Syklus)&lt;DagK+DagH,"Helg",IF(MOD(A1146-INDEX(SkiftStart,L1146),Syklus)&lt;DagK+DagH+DagD,"Dag","Fri"))))</f>
        <v/>
      </c>
      <c r="J1146" s="30">
        <f>IF(I1146="Fri","Ja","")</f>
        <v/>
      </c>
      <c r="K1146" s="30">
        <f>IF(B1146="","",IF(L1146="","Ukjent tekniker",IF(ISNA(MATCH(C1146,Aktiviteter,0)),"Ukjent aktivitet",IF(AND(INDEX(AktRolle,MATCH(C1146,Aktiviteter,0))&amp;""&lt;&gt;"",ISERROR(SEARCH(INDEX(AktRolle,MATCH(C1146,Aktiviteter,0))&amp;"",INDEX(TekRoller,MATCH(B1146,Teknikere,0))))),"Mangler rollen "&amp;INDEX(AktRolle,MATCH(C1146,Aktiviteter,0))&amp;"",IF(AND(C1146="LMS",F1146&gt;0,OR(D1146="",E1146="")),"Mangler maskin eller arbeid",IF(AND(OR(C1146="LMS",C1146="Mod"),D1146&lt;&gt;""),IF(IFERROR(INDEX(MaskinStatus,MATCH(D1146,Maskiner,0)),"")="I dokk","","Maskinen er ikke i dokk"),""))))))</f>
        <v/>
      </c>
      <c r="L1146" s="2">
        <f>IF(B1146="","",IFERROR(INT((MATCH(B1146,Teknikere,0)-1)/18)+1,""))</f>
        <v/>
      </c>
      <c r="M1146" s="2">
        <f>IF(OR(A1146="",B1146=""),"",B1146&amp;"|"&amp;A1146)</f>
        <v/>
      </c>
      <c r="N1146" s="2">
        <f>IF(M1146="","",SUMIFS(TF_Timer,TF_Nokkel,M1146,TF_Akt,C1146))</f>
        <v/>
      </c>
      <c r="O1146" s="2">
        <f>IF(M1146="","",IF(AND(N1146=_xlfn.MAXIFS(TF_AktSum,TF_Nokkel,M1146),COUNTIFS(M$3:M1145,M1146,N$3:N1145,N1146)=0),M1146,""))</f>
        <v/>
      </c>
    </row>
    <row r="1147">
      <c r="A1147" s="34" t="n"/>
      <c r="B1147" s="35" t="n"/>
      <c r="C1147" s="35" t="n"/>
      <c r="D1147" s="35" t="n"/>
      <c r="E1147" s="35" t="n"/>
      <c r="F1147" s="36" t="n"/>
      <c r="G1147" s="35" t="n"/>
      <c r="H1147" s="30">
        <f>IF(L1147="","",INDEX(SkiftNavn,L1147))</f>
        <v/>
      </c>
      <c r="I1147" s="30">
        <f>IF(OR(A1147="",L1147=""),"",IF(MOD(A1147-INDEX(SkiftStart,L1147),Syklus)&lt;DagK,"Kveld",IF(MOD(A1147-INDEX(SkiftStart,L1147),Syklus)&lt;DagK+DagH,"Helg",IF(MOD(A1147-INDEX(SkiftStart,L1147),Syklus)&lt;DagK+DagH+DagD,"Dag","Fri"))))</f>
        <v/>
      </c>
      <c r="J1147" s="30">
        <f>IF(I1147="Fri","Ja","")</f>
        <v/>
      </c>
      <c r="K1147" s="30">
        <f>IF(B1147="","",IF(L1147="","Ukjent tekniker",IF(ISNA(MATCH(C1147,Aktiviteter,0)),"Ukjent aktivitet",IF(AND(INDEX(AktRolle,MATCH(C1147,Aktiviteter,0))&amp;""&lt;&gt;"",ISERROR(SEARCH(INDEX(AktRolle,MATCH(C1147,Aktiviteter,0))&amp;"",INDEX(TekRoller,MATCH(B1147,Teknikere,0))))),"Mangler rollen "&amp;INDEX(AktRolle,MATCH(C1147,Aktiviteter,0))&amp;"",IF(AND(C1147="LMS",F1147&gt;0,OR(D1147="",E1147="")),"Mangler maskin eller arbeid",IF(AND(OR(C1147="LMS",C1147="Mod"),D1147&lt;&gt;""),IF(IFERROR(INDEX(MaskinStatus,MATCH(D1147,Maskiner,0)),"")="I dokk","","Maskinen er ikke i dokk"),""))))))</f>
        <v/>
      </c>
      <c r="L1147" s="2">
        <f>IF(B1147="","",IFERROR(INT((MATCH(B1147,Teknikere,0)-1)/18)+1,""))</f>
        <v/>
      </c>
      <c r="M1147" s="2">
        <f>IF(OR(A1147="",B1147=""),"",B1147&amp;"|"&amp;A1147)</f>
        <v/>
      </c>
      <c r="N1147" s="2">
        <f>IF(M1147="","",SUMIFS(TF_Timer,TF_Nokkel,M1147,TF_Akt,C1147))</f>
        <v/>
      </c>
      <c r="O1147" s="2">
        <f>IF(M1147="","",IF(AND(N1147=_xlfn.MAXIFS(TF_AktSum,TF_Nokkel,M1147),COUNTIFS(M$3:M1146,M1147,N$3:N1146,N1147)=0),M1147,""))</f>
        <v/>
      </c>
    </row>
    <row r="1148">
      <c r="A1148" s="34" t="n"/>
      <c r="B1148" s="35" t="n"/>
      <c r="C1148" s="35" t="n"/>
      <c r="D1148" s="35" t="n"/>
      <c r="E1148" s="35" t="n"/>
      <c r="F1148" s="36" t="n"/>
      <c r="G1148" s="35" t="n"/>
      <c r="H1148" s="30">
        <f>IF(L1148="","",INDEX(SkiftNavn,L1148))</f>
        <v/>
      </c>
      <c r="I1148" s="30">
        <f>IF(OR(A1148="",L1148=""),"",IF(MOD(A1148-INDEX(SkiftStart,L1148),Syklus)&lt;DagK,"Kveld",IF(MOD(A1148-INDEX(SkiftStart,L1148),Syklus)&lt;DagK+DagH,"Helg",IF(MOD(A1148-INDEX(SkiftStart,L1148),Syklus)&lt;DagK+DagH+DagD,"Dag","Fri"))))</f>
        <v/>
      </c>
      <c r="J1148" s="30">
        <f>IF(I1148="Fri","Ja","")</f>
        <v/>
      </c>
      <c r="K1148" s="30">
        <f>IF(B1148="","",IF(L1148="","Ukjent tekniker",IF(ISNA(MATCH(C1148,Aktiviteter,0)),"Ukjent aktivitet",IF(AND(INDEX(AktRolle,MATCH(C1148,Aktiviteter,0))&amp;""&lt;&gt;"",ISERROR(SEARCH(INDEX(AktRolle,MATCH(C1148,Aktiviteter,0))&amp;"",INDEX(TekRoller,MATCH(B1148,Teknikere,0))))),"Mangler rollen "&amp;INDEX(AktRolle,MATCH(C1148,Aktiviteter,0))&amp;"",IF(AND(C1148="LMS",F1148&gt;0,OR(D1148="",E1148="")),"Mangler maskin eller arbeid",IF(AND(OR(C1148="LMS",C1148="Mod"),D1148&lt;&gt;""),IF(IFERROR(INDEX(MaskinStatus,MATCH(D1148,Maskiner,0)),"")="I dokk","","Maskinen er ikke i dokk"),""))))))</f>
        <v/>
      </c>
      <c r="L1148" s="2">
        <f>IF(B1148="","",IFERROR(INT((MATCH(B1148,Teknikere,0)-1)/18)+1,""))</f>
        <v/>
      </c>
      <c r="M1148" s="2">
        <f>IF(OR(A1148="",B1148=""),"",B1148&amp;"|"&amp;A1148)</f>
        <v/>
      </c>
      <c r="N1148" s="2">
        <f>IF(M1148="","",SUMIFS(TF_Timer,TF_Nokkel,M1148,TF_Akt,C1148))</f>
        <v/>
      </c>
      <c r="O1148" s="2">
        <f>IF(M1148="","",IF(AND(N1148=_xlfn.MAXIFS(TF_AktSum,TF_Nokkel,M1148),COUNTIFS(M$3:M1147,M1148,N$3:N1147,N1148)=0),M1148,""))</f>
        <v/>
      </c>
    </row>
    <row r="1149">
      <c r="A1149" s="34" t="n"/>
      <c r="B1149" s="35" t="n"/>
      <c r="C1149" s="35" t="n"/>
      <c r="D1149" s="35" t="n"/>
      <c r="E1149" s="35" t="n"/>
      <c r="F1149" s="36" t="n"/>
      <c r="G1149" s="35" t="n"/>
      <c r="H1149" s="30">
        <f>IF(L1149="","",INDEX(SkiftNavn,L1149))</f>
        <v/>
      </c>
      <c r="I1149" s="30">
        <f>IF(OR(A1149="",L1149=""),"",IF(MOD(A1149-INDEX(SkiftStart,L1149),Syklus)&lt;DagK,"Kveld",IF(MOD(A1149-INDEX(SkiftStart,L1149),Syklus)&lt;DagK+DagH,"Helg",IF(MOD(A1149-INDEX(SkiftStart,L1149),Syklus)&lt;DagK+DagH+DagD,"Dag","Fri"))))</f>
        <v/>
      </c>
      <c r="J1149" s="30">
        <f>IF(I1149="Fri","Ja","")</f>
        <v/>
      </c>
      <c r="K1149" s="30">
        <f>IF(B1149="","",IF(L1149="","Ukjent tekniker",IF(ISNA(MATCH(C1149,Aktiviteter,0)),"Ukjent aktivitet",IF(AND(INDEX(AktRolle,MATCH(C1149,Aktiviteter,0))&amp;""&lt;&gt;"",ISERROR(SEARCH(INDEX(AktRolle,MATCH(C1149,Aktiviteter,0))&amp;"",INDEX(TekRoller,MATCH(B1149,Teknikere,0))))),"Mangler rollen "&amp;INDEX(AktRolle,MATCH(C1149,Aktiviteter,0))&amp;"",IF(AND(C1149="LMS",F1149&gt;0,OR(D1149="",E1149="")),"Mangler maskin eller arbeid",IF(AND(OR(C1149="LMS",C1149="Mod"),D1149&lt;&gt;""),IF(IFERROR(INDEX(MaskinStatus,MATCH(D1149,Maskiner,0)),"")="I dokk","","Maskinen er ikke i dokk"),""))))))</f>
        <v/>
      </c>
      <c r="L1149" s="2">
        <f>IF(B1149="","",IFERROR(INT((MATCH(B1149,Teknikere,0)-1)/18)+1,""))</f>
        <v/>
      </c>
      <c r="M1149" s="2">
        <f>IF(OR(A1149="",B1149=""),"",B1149&amp;"|"&amp;A1149)</f>
        <v/>
      </c>
      <c r="N1149" s="2">
        <f>IF(M1149="","",SUMIFS(TF_Timer,TF_Nokkel,M1149,TF_Akt,C1149))</f>
        <v/>
      </c>
      <c r="O1149" s="2">
        <f>IF(M1149="","",IF(AND(N1149=_xlfn.MAXIFS(TF_AktSum,TF_Nokkel,M1149),COUNTIFS(M$3:M1148,M1149,N$3:N1148,N1149)=0),M1149,""))</f>
        <v/>
      </c>
    </row>
    <row r="1150">
      <c r="A1150" s="34" t="n"/>
      <c r="B1150" s="35" t="n"/>
      <c r="C1150" s="35" t="n"/>
      <c r="D1150" s="35" t="n"/>
      <c r="E1150" s="35" t="n"/>
      <c r="F1150" s="36" t="n"/>
      <c r="G1150" s="35" t="n"/>
      <c r="H1150" s="30">
        <f>IF(L1150="","",INDEX(SkiftNavn,L1150))</f>
        <v/>
      </c>
      <c r="I1150" s="30">
        <f>IF(OR(A1150="",L1150=""),"",IF(MOD(A1150-INDEX(SkiftStart,L1150),Syklus)&lt;DagK,"Kveld",IF(MOD(A1150-INDEX(SkiftStart,L1150),Syklus)&lt;DagK+DagH,"Helg",IF(MOD(A1150-INDEX(SkiftStart,L1150),Syklus)&lt;DagK+DagH+DagD,"Dag","Fri"))))</f>
        <v/>
      </c>
      <c r="J1150" s="30">
        <f>IF(I1150="Fri","Ja","")</f>
        <v/>
      </c>
      <c r="K1150" s="30">
        <f>IF(B1150="","",IF(L1150="","Ukjent tekniker",IF(ISNA(MATCH(C1150,Aktiviteter,0)),"Ukjent aktivitet",IF(AND(INDEX(AktRolle,MATCH(C1150,Aktiviteter,0))&amp;""&lt;&gt;"",ISERROR(SEARCH(INDEX(AktRolle,MATCH(C1150,Aktiviteter,0))&amp;"",INDEX(TekRoller,MATCH(B1150,Teknikere,0))))),"Mangler rollen "&amp;INDEX(AktRolle,MATCH(C1150,Aktiviteter,0))&amp;"",IF(AND(C1150="LMS",F1150&gt;0,OR(D1150="",E1150="")),"Mangler maskin eller arbeid",IF(AND(OR(C1150="LMS",C1150="Mod"),D1150&lt;&gt;""),IF(IFERROR(INDEX(MaskinStatus,MATCH(D1150,Maskiner,0)),"")="I dokk","","Maskinen er ikke i dokk"),""))))))</f>
        <v/>
      </c>
      <c r="L1150" s="2">
        <f>IF(B1150="","",IFERROR(INT((MATCH(B1150,Teknikere,0)-1)/18)+1,""))</f>
        <v/>
      </c>
      <c r="M1150" s="2">
        <f>IF(OR(A1150="",B1150=""),"",B1150&amp;"|"&amp;A1150)</f>
        <v/>
      </c>
      <c r="N1150" s="2">
        <f>IF(M1150="","",SUMIFS(TF_Timer,TF_Nokkel,M1150,TF_Akt,C1150))</f>
        <v/>
      </c>
      <c r="O1150" s="2">
        <f>IF(M1150="","",IF(AND(N1150=_xlfn.MAXIFS(TF_AktSum,TF_Nokkel,M1150),COUNTIFS(M$3:M1149,M1150,N$3:N1149,N1150)=0),M1150,""))</f>
        <v/>
      </c>
    </row>
    <row r="1151">
      <c r="A1151" s="34" t="n"/>
      <c r="B1151" s="35" t="n"/>
      <c r="C1151" s="35" t="n"/>
      <c r="D1151" s="35" t="n"/>
      <c r="E1151" s="35" t="n"/>
      <c r="F1151" s="36" t="n"/>
      <c r="G1151" s="35" t="n"/>
      <c r="H1151" s="30">
        <f>IF(L1151="","",INDEX(SkiftNavn,L1151))</f>
        <v/>
      </c>
      <c r="I1151" s="30">
        <f>IF(OR(A1151="",L1151=""),"",IF(MOD(A1151-INDEX(SkiftStart,L1151),Syklus)&lt;DagK,"Kveld",IF(MOD(A1151-INDEX(SkiftStart,L1151),Syklus)&lt;DagK+DagH,"Helg",IF(MOD(A1151-INDEX(SkiftStart,L1151),Syklus)&lt;DagK+DagH+DagD,"Dag","Fri"))))</f>
        <v/>
      </c>
      <c r="J1151" s="30">
        <f>IF(I1151="Fri","Ja","")</f>
        <v/>
      </c>
      <c r="K1151" s="30">
        <f>IF(B1151="","",IF(L1151="","Ukjent tekniker",IF(ISNA(MATCH(C1151,Aktiviteter,0)),"Ukjent aktivitet",IF(AND(INDEX(AktRolle,MATCH(C1151,Aktiviteter,0))&amp;""&lt;&gt;"",ISERROR(SEARCH(INDEX(AktRolle,MATCH(C1151,Aktiviteter,0))&amp;"",INDEX(TekRoller,MATCH(B1151,Teknikere,0))))),"Mangler rollen "&amp;INDEX(AktRolle,MATCH(C1151,Aktiviteter,0))&amp;"",IF(AND(C1151="LMS",F1151&gt;0,OR(D1151="",E1151="")),"Mangler maskin eller arbeid",IF(AND(OR(C1151="LMS",C1151="Mod"),D1151&lt;&gt;""),IF(IFERROR(INDEX(MaskinStatus,MATCH(D1151,Maskiner,0)),"")="I dokk","","Maskinen er ikke i dokk"),""))))))</f>
        <v/>
      </c>
      <c r="L1151" s="2">
        <f>IF(B1151="","",IFERROR(INT((MATCH(B1151,Teknikere,0)-1)/18)+1,""))</f>
        <v/>
      </c>
      <c r="M1151" s="2">
        <f>IF(OR(A1151="",B1151=""),"",B1151&amp;"|"&amp;A1151)</f>
        <v/>
      </c>
      <c r="N1151" s="2">
        <f>IF(M1151="","",SUMIFS(TF_Timer,TF_Nokkel,M1151,TF_Akt,C1151))</f>
        <v/>
      </c>
      <c r="O1151" s="2">
        <f>IF(M1151="","",IF(AND(N1151=_xlfn.MAXIFS(TF_AktSum,TF_Nokkel,M1151),COUNTIFS(M$3:M1150,M1151,N$3:N1150,N1151)=0),M1151,""))</f>
        <v/>
      </c>
    </row>
    <row r="1152">
      <c r="A1152" s="34" t="n"/>
      <c r="B1152" s="35" t="n"/>
      <c r="C1152" s="35" t="n"/>
      <c r="D1152" s="35" t="n"/>
      <c r="E1152" s="35" t="n"/>
      <c r="F1152" s="36" t="n"/>
      <c r="G1152" s="35" t="n"/>
      <c r="H1152" s="30">
        <f>IF(L1152="","",INDEX(SkiftNavn,L1152))</f>
        <v/>
      </c>
      <c r="I1152" s="30">
        <f>IF(OR(A1152="",L1152=""),"",IF(MOD(A1152-INDEX(SkiftStart,L1152),Syklus)&lt;DagK,"Kveld",IF(MOD(A1152-INDEX(SkiftStart,L1152),Syklus)&lt;DagK+DagH,"Helg",IF(MOD(A1152-INDEX(SkiftStart,L1152),Syklus)&lt;DagK+DagH+DagD,"Dag","Fri"))))</f>
        <v/>
      </c>
      <c r="J1152" s="30">
        <f>IF(I1152="Fri","Ja","")</f>
        <v/>
      </c>
      <c r="K1152" s="30">
        <f>IF(B1152="","",IF(L1152="","Ukjent tekniker",IF(ISNA(MATCH(C1152,Aktiviteter,0)),"Ukjent aktivitet",IF(AND(INDEX(AktRolle,MATCH(C1152,Aktiviteter,0))&amp;""&lt;&gt;"",ISERROR(SEARCH(INDEX(AktRolle,MATCH(C1152,Aktiviteter,0))&amp;"",INDEX(TekRoller,MATCH(B1152,Teknikere,0))))),"Mangler rollen "&amp;INDEX(AktRolle,MATCH(C1152,Aktiviteter,0))&amp;"",IF(AND(C1152="LMS",F1152&gt;0,OR(D1152="",E1152="")),"Mangler maskin eller arbeid",IF(AND(OR(C1152="LMS",C1152="Mod"),D1152&lt;&gt;""),IF(IFERROR(INDEX(MaskinStatus,MATCH(D1152,Maskiner,0)),"")="I dokk","","Maskinen er ikke i dokk"),""))))))</f>
        <v/>
      </c>
      <c r="L1152" s="2">
        <f>IF(B1152="","",IFERROR(INT((MATCH(B1152,Teknikere,0)-1)/18)+1,""))</f>
        <v/>
      </c>
      <c r="M1152" s="2">
        <f>IF(OR(A1152="",B1152=""),"",B1152&amp;"|"&amp;A1152)</f>
        <v/>
      </c>
      <c r="N1152" s="2">
        <f>IF(M1152="","",SUMIFS(TF_Timer,TF_Nokkel,M1152,TF_Akt,C1152))</f>
        <v/>
      </c>
      <c r="O1152" s="2">
        <f>IF(M1152="","",IF(AND(N1152=_xlfn.MAXIFS(TF_AktSum,TF_Nokkel,M1152),COUNTIFS(M$3:M1151,M1152,N$3:N1151,N1152)=0),M1152,""))</f>
        <v/>
      </c>
    </row>
    <row r="1153">
      <c r="A1153" s="34" t="n"/>
      <c r="B1153" s="35" t="n"/>
      <c r="C1153" s="35" t="n"/>
      <c r="D1153" s="35" t="n"/>
      <c r="E1153" s="35" t="n"/>
      <c r="F1153" s="36" t="n"/>
      <c r="G1153" s="35" t="n"/>
      <c r="H1153" s="30">
        <f>IF(L1153="","",INDEX(SkiftNavn,L1153))</f>
        <v/>
      </c>
      <c r="I1153" s="30">
        <f>IF(OR(A1153="",L1153=""),"",IF(MOD(A1153-INDEX(SkiftStart,L1153),Syklus)&lt;DagK,"Kveld",IF(MOD(A1153-INDEX(SkiftStart,L1153),Syklus)&lt;DagK+DagH,"Helg",IF(MOD(A1153-INDEX(SkiftStart,L1153),Syklus)&lt;DagK+DagH+DagD,"Dag","Fri"))))</f>
        <v/>
      </c>
      <c r="J1153" s="30">
        <f>IF(I1153="Fri","Ja","")</f>
        <v/>
      </c>
      <c r="K1153" s="30">
        <f>IF(B1153="","",IF(L1153="","Ukjent tekniker",IF(ISNA(MATCH(C1153,Aktiviteter,0)),"Ukjent aktivitet",IF(AND(INDEX(AktRolle,MATCH(C1153,Aktiviteter,0))&amp;""&lt;&gt;"",ISERROR(SEARCH(INDEX(AktRolle,MATCH(C1153,Aktiviteter,0))&amp;"",INDEX(TekRoller,MATCH(B1153,Teknikere,0))))),"Mangler rollen "&amp;INDEX(AktRolle,MATCH(C1153,Aktiviteter,0))&amp;"",IF(AND(C1153="LMS",F1153&gt;0,OR(D1153="",E1153="")),"Mangler maskin eller arbeid",IF(AND(OR(C1153="LMS",C1153="Mod"),D1153&lt;&gt;""),IF(IFERROR(INDEX(MaskinStatus,MATCH(D1153,Maskiner,0)),"")="I dokk","","Maskinen er ikke i dokk"),""))))))</f>
        <v/>
      </c>
      <c r="L1153" s="2">
        <f>IF(B1153="","",IFERROR(INT((MATCH(B1153,Teknikere,0)-1)/18)+1,""))</f>
        <v/>
      </c>
      <c r="M1153" s="2">
        <f>IF(OR(A1153="",B1153=""),"",B1153&amp;"|"&amp;A1153)</f>
        <v/>
      </c>
      <c r="N1153" s="2">
        <f>IF(M1153="","",SUMIFS(TF_Timer,TF_Nokkel,M1153,TF_Akt,C1153))</f>
        <v/>
      </c>
      <c r="O1153" s="2">
        <f>IF(M1153="","",IF(AND(N1153=_xlfn.MAXIFS(TF_AktSum,TF_Nokkel,M1153),COUNTIFS(M$3:M1152,M1153,N$3:N1152,N1153)=0),M1153,""))</f>
        <v/>
      </c>
    </row>
    <row r="1154">
      <c r="A1154" s="34" t="n"/>
      <c r="B1154" s="35" t="n"/>
      <c r="C1154" s="35" t="n"/>
      <c r="D1154" s="35" t="n"/>
      <c r="E1154" s="35" t="n"/>
      <c r="F1154" s="36" t="n"/>
      <c r="G1154" s="35" t="n"/>
      <c r="H1154" s="30">
        <f>IF(L1154="","",INDEX(SkiftNavn,L1154))</f>
        <v/>
      </c>
      <c r="I1154" s="30">
        <f>IF(OR(A1154="",L1154=""),"",IF(MOD(A1154-INDEX(SkiftStart,L1154),Syklus)&lt;DagK,"Kveld",IF(MOD(A1154-INDEX(SkiftStart,L1154),Syklus)&lt;DagK+DagH,"Helg",IF(MOD(A1154-INDEX(SkiftStart,L1154),Syklus)&lt;DagK+DagH+DagD,"Dag","Fri"))))</f>
        <v/>
      </c>
      <c r="J1154" s="30">
        <f>IF(I1154="Fri","Ja","")</f>
        <v/>
      </c>
      <c r="K1154" s="30">
        <f>IF(B1154="","",IF(L1154="","Ukjent tekniker",IF(ISNA(MATCH(C1154,Aktiviteter,0)),"Ukjent aktivitet",IF(AND(INDEX(AktRolle,MATCH(C1154,Aktiviteter,0))&amp;""&lt;&gt;"",ISERROR(SEARCH(INDEX(AktRolle,MATCH(C1154,Aktiviteter,0))&amp;"",INDEX(TekRoller,MATCH(B1154,Teknikere,0))))),"Mangler rollen "&amp;INDEX(AktRolle,MATCH(C1154,Aktiviteter,0))&amp;"",IF(AND(C1154="LMS",F1154&gt;0,OR(D1154="",E1154="")),"Mangler maskin eller arbeid",IF(AND(OR(C1154="LMS",C1154="Mod"),D1154&lt;&gt;""),IF(IFERROR(INDEX(MaskinStatus,MATCH(D1154,Maskiner,0)),"")="I dokk","","Maskinen er ikke i dokk"),""))))))</f>
        <v/>
      </c>
      <c r="L1154" s="2">
        <f>IF(B1154="","",IFERROR(INT((MATCH(B1154,Teknikere,0)-1)/18)+1,""))</f>
        <v/>
      </c>
      <c r="M1154" s="2">
        <f>IF(OR(A1154="",B1154=""),"",B1154&amp;"|"&amp;A1154)</f>
        <v/>
      </c>
      <c r="N1154" s="2">
        <f>IF(M1154="","",SUMIFS(TF_Timer,TF_Nokkel,M1154,TF_Akt,C1154))</f>
        <v/>
      </c>
      <c r="O1154" s="2">
        <f>IF(M1154="","",IF(AND(N1154=_xlfn.MAXIFS(TF_AktSum,TF_Nokkel,M1154),COUNTIFS(M$3:M1153,M1154,N$3:N1153,N1154)=0),M1154,""))</f>
        <v/>
      </c>
    </row>
    <row r="1155">
      <c r="A1155" s="34" t="n"/>
      <c r="B1155" s="35" t="n"/>
      <c r="C1155" s="35" t="n"/>
      <c r="D1155" s="35" t="n"/>
      <c r="E1155" s="35" t="n"/>
      <c r="F1155" s="36" t="n"/>
      <c r="G1155" s="35" t="n"/>
      <c r="H1155" s="30">
        <f>IF(L1155="","",INDEX(SkiftNavn,L1155))</f>
        <v/>
      </c>
      <c r="I1155" s="30">
        <f>IF(OR(A1155="",L1155=""),"",IF(MOD(A1155-INDEX(SkiftStart,L1155),Syklus)&lt;DagK,"Kveld",IF(MOD(A1155-INDEX(SkiftStart,L1155),Syklus)&lt;DagK+DagH,"Helg",IF(MOD(A1155-INDEX(SkiftStart,L1155),Syklus)&lt;DagK+DagH+DagD,"Dag","Fri"))))</f>
        <v/>
      </c>
      <c r="J1155" s="30">
        <f>IF(I1155="Fri","Ja","")</f>
        <v/>
      </c>
      <c r="K1155" s="30">
        <f>IF(B1155="","",IF(L1155="","Ukjent tekniker",IF(ISNA(MATCH(C1155,Aktiviteter,0)),"Ukjent aktivitet",IF(AND(INDEX(AktRolle,MATCH(C1155,Aktiviteter,0))&amp;""&lt;&gt;"",ISERROR(SEARCH(INDEX(AktRolle,MATCH(C1155,Aktiviteter,0))&amp;"",INDEX(TekRoller,MATCH(B1155,Teknikere,0))))),"Mangler rollen "&amp;INDEX(AktRolle,MATCH(C1155,Aktiviteter,0))&amp;"",IF(AND(C1155="LMS",F1155&gt;0,OR(D1155="",E1155="")),"Mangler maskin eller arbeid",IF(AND(OR(C1155="LMS",C1155="Mod"),D1155&lt;&gt;""),IF(IFERROR(INDEX(MaskinStatus,MATCH(D1155,Maskiner,0)),"")="I dokk","","Maskinen er ikke i dokk"),""))))))</f>
        <v/>
      </c>
      <c r="L1155" s="2">
        <f>IF(B1155="","",IFERROR(INT((MATCH(B1155,Teknikere,0)-1)/18)+1,""))</f>
        <v/>
      </c>
      <c r="M1155" s="2">
        <f>IF(OR(A1155="",B1155=""),"",B1155&amp;"|"&amp;A1155)</f>
        <v/>
      </c>
      <c r="N1155" s="2">
        <f>IF(M1155="","",SUMIFS(TF_Timer,TF_Nokkel,M1155,TF_Akt,C1155))</f>
        <v/>
      </c>
      <c r="O1155" s="2">
        <f>IF(M1155="","",IF(AND(N1155=_xlfn.MAXIFS(TF_AktSum,TF_Nokkel,M1155),COUNTIFS(M$3:M1154,M1155,N$3:N1154,N1155)=0),M1155,""))</f>
        <v/>
      </c>
    </row>
    <row r="1156">
      <c r="A1156" s="34" t="n"/>
      <c r="B1156" s="35" t="n"/>
      <c r="C1156" s="35" t="n"/>
      <c r="D1156" s="35" t="n"/>
      <c r="E1156" s="35" t="n"/>
      <c r="F1156" s="36" t="n"/>
      <c r="G1156" s="35" t="n"/>
      <c r="H1156" s="30">
        <f>IF(L1156="","",INDEX(SkiftNavn,L1156))</f>
        <v/>
      </c>
      <c r="I1156" s="30">
        <f>IF(OR(A1156="",L1156=""),"",IF(MOD(A1156-INDEX(SkiftStart,L1156),Syklus)&lt;DagK,"Kveld",IF(MOD(A1156-INDEX(SkiftStart,L1156),Syklus)&lt;DagK+DagH,"Helg",IF(MOD(A1156-INDEX(SkiftStart,L1156),Syklus)&lt;DagK+DagH+DagD,"Dag","Fri"))))</f>
        <v/>
      </c>
      <c r="J1156" s="30">
        <f>IF(I1156="Fri","Ja","")</f>
        <v/>
      </c>
      <c r="K1156" s="30">
        <f>IF(B1156="","",IF(L1156="","Ukjent tekniker",IF(ISNA(MATCH(C1156,Aktiviteter,0)),"Ukjent aktivitet",IF(AND(INDEX(AktRolle,MATCH(C1156,Aktiviteter,0))&amp;""&lt;&gt;"",ISERROR(SEARCH(INDEX(AktRolle,MATCH(C1156,Aktiviteter,0))&amp;"",INDEX(TekRoller,MATCH(B1156,Teknikere,0))))),"Mangler rollen "&amp;INDEX(AktRolle,MATCH(C1156,Aktiviteter,0))&amp;"",IF(AND(C1156="LMS",F1156&gt;0,OR(D1156="",E1156="")),"Mangler maskin eller arbeid",IF(AND(OR(C1156="LMS",C1156="Mod"),D1156&lt;&gt;""),IF(IFERROR(INDEX(MaskinStatus,MATCH(D1156,Maskiner,0)),"")="I dokk","","Maskinen er ikke i dokk"),""))))))</f>
        <v/>
      </c>
      <c r="L1156" s="2">
        <f>IF(B1156="","",IFERROR(INT((MATCH(B1156,Teknikere,0)-1)/18)+1,""))</f>
        <v/>
      </c>
      <c r="M1156" s="2">
        <f>IF(OR(A1156="",B1156=""),"",B1156&amp;"|"&amp;A1156)</f>
        <v/>
      </c>
      <c r="N1156" s="2">
        <f>IF(M1156="","",SUMIFS(TF_Timer,TF_Nokkel,M1156,TF_Akt,C1156))</f>
        <v/>
      </c>
      <c r="O1156" s="2">
        <f>IF(M1156="","",IF(AND(N1156=_xlfn.MAXIFS(TF_AktSum,TF_Nokkel,M1156),COUNTIFS(M$3:M1155,M1156,N$3:N1155,N1156)=0),M1156,""))</f>
        <v/>
      </c>
    </row>
    <row r="1157">
      <c r="A1157" s="34" t="n"/>
      <c r="B1157" s="35" t="n"/>
      <c r="C1157" s="35" t="n"/>
      <c r="D1157" s="35" t="n"/>
      <c r="E1157" s="35" t="n"/>
      <c r="F1157" s="36" t="n"/>
      <c r="G1157" s="35" t="n"/>
      <c r="H1157" s="30">
        <f>IF(L1157="","",INDEX(SkiftNavn,L1157))</f>
        <v/>
      </c>
      <c r="I1157" s="30">
        <f>IF(OR(A1157="",L1157=""),"",IF(MOD(A1157-INDEX(SkiftStart,L1157),Syklus)&lt;DagK,"Kveld",IF(MOD(A1157-INDEX(SkiftStart,L1157),Syklus)&lt;DagK+DagH,"Helg",IF(MOD(A1157-INDEX(SkiftStart,L1157),Syklus)&lt;DagK+DagH+DagD,"Dag","Fri"))))</f>
        <v/>
      </c>
      <c r="J1157" s="30">
        <f>IF(I1157="Fri","Ja","")</f>
        <v/>
      </c>
      <c r="K1157" s="30">
        <f>IF(B1157="","",IF(L1157="","Ukjent tekniker",IF(ISNA(MATCH(C1157,Aktiviteter,0)),"Ukjent aktivitet",IF(AND(INDEX(AktRolle,MATCH(C1157,Aktiviteter,0))&amp;""&lt;&gt;"",ISERROR(SEARCH(INDEX(AktRolle,MATCH(C1157,Aktiviteter,0))&amp;"",INDEX(TekRoller,MATCH(B1157,Teknikere,0))))),"Mangler rollen "&amp;INDEX(AktRolle,MATCH(C1157,Aktiviteter,0))&amp;"",IF(AND(C1157="LMS",F1157&gt;0,OR(D1157="",E1157="")),"Mangler maskin eller arbeid",IF(AND(OR(C1157="LMS",C1157="Mod"),D1157&lt;&gt;""),IF(IFERROR(INDEX(MaskinStatus,MATCH(D1157,Maskiner,0)),"")="I dokk","","Maskinen er ikke i dokk"),""))))))</f>
        <v/>
      </c>
      <c r="L1157" s="2">
        <f>IF(B1157="","",IFERROR(INT((MATCH(B1157,Teknikere,0)-1)/18)+1,""))</f>
        <v/>
      </c>
      <c r="M1157" s="2">
        <f>IF(OR(A1157="",B1157=""),"",B1157&amp;"|"&amp;A1157)</f>
        <v/>
      </c>
      <c r="N1157" s="2">
        <f>IF(M1157="","",SUMIFS(TF_Timer,TF_Nokkel,M1157,TF_Akt,C1157))</f>
        <v/>
      </c>
      <c r="O1157" s="2">
        <f>IF(M1157="","",IF(AND(N1157=_xlfn.MAXIFS(TF_AktSum,TF_Nokkel,M1157),COUNTIFS(M$3:M1156,M1157,N$3:N1156,N1157)=0),M1157,""))</f>
        <v/>
      </c>
    </row>
    <row r="1158">
      <c r="A1158" s="34" t="n"/>
      <c r="B1158" s="35" t="n"/>
      <c r="C1158" s="35" t="n"/>
      <c r="D1158" s="35" t="n"/>
      <c r="E1158" s="35" t="n"/>
      <c r="F1158" s="36" t="n"/>
      <c r="G1158" s="35" t="n"/>
      <c r="H1158" s="30">
        <f>IF(L1158="","",INDEX(SkiftNavn,L1158))</f>
        <v/>
      </c>
      <c r="I1158" s="30">
        <f>IF(OR(A1158="",L1158=""),"",IF(MOD(A1158-INDEX(SkiftStart,L1158),Syklus)&lt;DagK,"Kveld",IF(MOD(A1158-INDEX(SkiftStart,L1158),Syklus)&lt;DagK+DagH,"Helg",IF(MOD(A1158-INDEX(SkiftStart,L1158),Syklus)&lt;DagK+DagH+DagD,"Dag","Fri"))))</f>
        <v/>
      </c>
      <c r="J1158" s="30">
        <f>IF(I1158="Fri","Ja","")</f>
        <v/>
      </c>
      <c r="K1158" s="30">
        <f>IF(B1158="","",IF(L1158="","Ukjent tekniker",IF(ISNA(MATCH(C1158,Aktiviteter,0)),"Ukjent aktivitet",IF(AND(INDEX(AktRolle,MATCH(C1158,Aktiviteter,0))&amp;""&lt;&gt;"",ISERROR(SEARCH(INDEX(AktRolle,MATCH(C1158,Aktiviteter,0))&amp;"",INDEX(TekRoller,MATCH(B1158,Teknikere,0))))),"Mangler rollen "&amp;INDEX(AktRolle,MATCH(C1158,Aktiviteter,0))&amp;"",IF(AND(C1158="LMS",F1158&gt;0,OR(D1158="",E1158="")),"Mangler maskin eller arbeid",IF(AND(OR(C1158="LMS",C1158="Mod"),D1158&lt;&gt;""),IF(IFERROR(INDEX(MaskinStatus,MATCH(D1158,Maskiner,0)),"")="I dokk","","Maskinen er ikke i dokk"),""))))))</f>
        <v/>
      </c>
      <c r="L1158" s="2">
        <f>IF(B1158="","",IFERROR(INT((MATCH(B1158,Teknikere,0)-1)/18)+1,""))</f>
        <v/>
      </c>
      <c r="M1158" s="2">
        <f>IF(OR(A1158="",B1158=""),"",B1158&amp;"|"&amp;A1158)</f>
        <v/>
      </c>
      <c r="N1158" s="2">
        <f>IF(M1158="","",SUMIFS(TF_Timer,TF_Nokkel,M1158,TF_Akt,C1158))</f>
        <v/>
      </c>
      <c r="O1158" s="2">
        <f>IF(M1158="","",IF(AND(N1158=_xlfn.MAXIFS(TF_AktSum,TF_Nokkel,M1158),COUNTIFS(M$3:M1157,M1158,N$3:N1157,N1158)=0),M1158,""))</f>
        <v/>
      </c>
    </row>
    <row r="1159">
      <c r="A1159" s="34" t="n"/>
      <c r="B1159" s="35" t="n"/>
      <c r="C1159" s="35" t="n"/>
      <c r="D1159" s="35" t="n"/>
      <c r="E1159" s="35" t="n"/>
      <c r="F1159" s="36" t="n"/>
      <c r="G1159" s="35" t="n"/>
      <c r="H1159" s="30">
        <f>IF(L1159="","",INDEX(SkiftNavn,L1159))</f>
        <v/>
      </c>
      <c r="I1159" s="30">
        <f>IF(OR(A1159="",L1159=""),"",IF(MOD(A1159-INDEX(SkiftStart,L1159),Syklus)&lt;DagK,"Kveld",IF(MOD(A1159-INDEX(SkiftStart,L1159),Syklus)&lt;DagK+DagH,"Helg",IF(MOD(A1159-INDEX(SkiftStart,L1159),Syklus)&lt;DagK+DagH+DagD,"Dag","Fri"))))</f>
        <v/>
      </c>
      <c r="J1159" s="30">
        <f>IF(I1159="Fri","Ja","")</f>
        <v/>
      </c>
      <c r="K1159" s="30">
        <f>IF(B1159="","",IF(L1159="","Ukjent tekniker",IF(ISNA(MATCH(C1159,Aktiviteter,0)),"Ukjent aktivitet",IF(AND(INDEX(AktRolle,MATCH(C1159,Aktiviteter,0))&amp;""&lt;&gt;"",ISERROR(SEARCH(INDEX(AktRolle,MATCH(C1159,Aktiviteter,0))&amp;"",INDEX(TekRoller,MATCH(B1159,Teknikere,0))))),"Mangler rollen "&amp;INDEX(AktRolle,MATCH(C1159,Aktiviteter,0))&amp;"",IF(AND(C1159="LMS",F1159&gt;0,OR(D1159="",E1159="")),"Mangler maskin eller arbeid",IF(AND(OR(C1159="LMS",C1159="Mod"),D1159&lt;&gt;""),IF(IFERROR(INDEX(MaskinStatus,MATCH(D1159,Maskiner,0)),"")="I dokk","","Maskinen er ikke i dokk"),""))))))</f>
        <v/>
      </c>
      <c r="L1159" s="2">
        <f>IF(B1159="","",IFERROR(INT((MATCH(B1159,Teknikere,0)-1)/18)+1,""))</f>
        <v/>
      </c>
      <c r="M1159" s="2">
        <f>IF(OR(A1159="",B1159=""),"",B1159&amp;"|"&amp;A1159)</f>
        <v/>
      </c>
      <c r="N1159" s="2">
        <f>IF(M1159="","",SUMIFS(TF_Timer,TF_Nokkel,M1159,TF_Akt,C1159))</f>
        <v/>
      </c>
      <c r="O1159" s="2">
        <f>IF(M1159="","",IF(AND(N1159=_xlfn.MAXIFS(TF_AktSum,TF_Nokkel,M1159),COUNTIFS(M$3:M1158,M1159,N$3:N1158,N1159)=0),M1159,""))</f>
        <v/>
      </c>
    </row>
    <row r="1160">
      <c r="A1160" s="34" t="n"/>
      <c r="B1160" s="35" t="n"/>
      <c r="C1160" s="35" t="n"/>
      <c r="D1160" s="35" t="n"/>
      <c r="E1160" s="35" t="n"/>
      <c r="F1160" s="36" t="n"/>
      <c r="G1160" s="35" t="n"/>
      <c r="H1160" s="30">
        <f>IF(L1160="","",INDEX(SkiftNavn,L1160))</f>
        <v/>
      </c>
      <c r="I1160" s="30">
        <f>IF(OR(A1160="",L1160=""),"",IF(MOD(A1160-INDEX(SkiftStart,L1160),Syklus)&lt;DagK,"Kveld",IF(MOD(A1160-INDEX(SkiftStart,L1160),Syklus)&lt;DagK+DagH,"Helg",IF(MOD(A1160-INDEX(SkiftStart,L1160),Syklus)&lt;DagK+DagH+DagD,"Dag","Fri"))))</f>
        <v/>
      </c>
      <c r="J1160" s="30">
        <f>IF(I1160="Fri","Ja","")</f>
        <v/>
      </c>
      <c r="K1160" s="30">
        <f>IF(B1160="","",IF(L1160="","Ukjent tekniker",IF(ISNA(MATCH(C1160,Aktiviteter,0)),"Ukjent aktivitet",IF(AND(INDEX(AktRolle,MATCH(C1160,Aktiviteter,0))&amp;""&lt;&gt;"",ISERROR(SEARCH(INDEX(AktRolle,MATCH(C1160,Aktiviteter,0))&amp;"",INDEX(TekRoller,MATCH(B1160,Teknikere,0))))),"Mangler rollen "&amp;INDEX(AktRolle,MATCH(C1160,Aktiviteter,0))&amp;"",IF(AND(C1160="LMS",F1160&gt;0,OR(D1160="",E1160="")),"Mangler maskin eller arbeid",IF(AND(OR(C1160="LMS",C1160="Mod"),D1160&lt;&gt;""),IF(IFERROR(INDEX(MaskinStatus,MATCH(D1160,Maskiner,0)),"")="I dokk","","Maskinen er ikke i dokk"),""))))))</f>
        <v/>
      </c>
      <c r="L1160" s="2">
        <f>IF(B1160="","",IFERROR(INT((MATCH(B1160,Teknikere,0)-1)/18)+1,""))</f>
        <v/>
      </c>
      <c r="M1160" s="2">
        <f>IF(OR(A1160="",B1160=""),"",B1160&amp;"|"&amp;A1160)</f>
        <v/>
      </c>
      <c r="N1160" s="2">
        <f>IF(M1160="","",SUMIFS(TF_Timer,TF_Nokkel,M1160,TF_Akt,C1160))</f>
        <v/>
      </c>
      <c r="O1160" s="2">
        <f>IF(M1160="","",IF(AND(N1160=_xlfn.MAXIFS(TF_AktSum,TF_Nokkel,M1160),COUNTIFS(M$3:M1159,M1160,N$3:N1159,N1160)=0),M1160,""))</f>
        <v/>
      </c>
    </row>
    <row r="1161">
      <c r="A1161" s="34" t="n"/>
      <c r="B1161" s="35" t="n"/>
      <c r="C1161" s="35" t="n"/>
      <c r="D1161" s="35" t="n"/>
      <c r="E1161" s="35" t="n"/>
      <c r="F1161" s="36" t="n"/>
      <c r="G1161" s="35" t="n"/>
      <c r="H1161" s="30">
        <f>IF(L1161="","",INDEX(SkiftNavn,L1161))</f>
        <v/>
      </c>
      <c r="I1161" s="30">
        <f>IF(OR(A1161="",L1161=""),"",IF(MOD(A1161-INDEX(SkiftStart,L1161),Syklus)&lt;DagK,"Kveld",IF(MOD(A1161-INDEX(SkiftStart,L1161),Syklus)&lt;DagK+DagH,"Helg",IF(MOD(A1161-INDEX(SkiftStart,L1161),Syklus)&lt;DagK+DagH+DagD,"Dag","Fri"))))</f>
        <v/>
      </c>
      <c r="J1161" s="30">
        <f>IF(I1161="Fri","Ja","")</f>
        <v/>
      </c>
      <c r="K1161" s="30">
        <f>IF(B1161="","",IF(L1161="","Ukjent tekniker",IF(ISNA(MATCH(C1161,Aktiviteter,0)),"Ukjent aktivitet",IF(AND(INDEX(AktRolle,MATCH(C1161,Aktiviteter,0))&amp;""&lt;&gt;"",ISERROR(SEARCH(INDEX(AktRolle,MATCH(C1161,Aktiviteter,0))&amp;"",INDEX(TekRoller,MATCH(B1161,Teknikere,0))))),"Mangler rollen "&amp;INDEX(AktRolle,MATCH(C1161,Aktiviteter,0))&amp;"",IF(AND(C1161="LMS",F1161&gt;0,OR(D1161="",E1161="")),"Mangler maskin eller arbeid",IF(AND(OR(C1161="LMS",C1161="Mod"),D1161&lt;&gt;""),IF(IFERROR(INDEX(MaskinStatus,MATCH(D1161,Maskiner,0)),"")="I dokk","","Maskinen er ikke i dokk"),""))))))</f>
        <v/>
      </c>
      <c r="L1161" s="2">
        <f>IF(B1161="","",IFERROR(INT((MATCH(B1161,Teknikere,0)-1)/18)+1,""))</f>
        <v/>
      </c>
      <c r="M1161" s="2">
        <f>IF(OR(A1161="",B1161=""),"",B1161&amp;"|"&amp;A1161)</f>
        <v/>
      </c>
      <c r="N1161" s="2">
        <f>IF(M1161="","",SUMIFS(TF_Timer,TF_Nokkel,M1161,TF_Akt,C1161))</f>
        <v/>
      </c>
      <c r="O1161" s="2">
        <f>IF(M1161="","",IF(AND(N1161=_xlfn.MAXIFS(TF_AktSum,TF_Nokkel,M1161),COUNTIFS(M$3:M1160,M1161,N$3:N1160,N1161)=0),M1161,""))</f>
        <v/>
      </c>
    </row>
    <row r="1162">
      <c r="A1162" s="34" t="n"/>
      <c r="B1162" s="35" t="n"/>
      <c r="C1162" s="35" t="n"/>
      <c r="D1162" s="35" t="n"/>
      <c r="E1162" s="35" t="n"/>
      <c r="F1162" s="36" t="n"/>
      <c r="G1162" s="35" t="n"/>
      <c r="H1162" s="30">
        <f>IF(L1162="","",INDEX(SkiftNavn,L1162))</f>
        <v/>
      </c>
      <c r="I1162" s="30">
        <f>IF(OR(A1162="",L1162=""),"",IF(MOD(A1162-INDEX(SkiftStart,L1162),Syklus)&lt;DagK,"Kveld",IF(MOD(A1162-INDEX(SkiftStart,L1162),Syklus)&lt;DagK+DagH,"Helg",IF(MOD(A1162-INDEX(SkiftStart,L1162),Syklus)&lt;DagK+DagH+DagD,"Dag","Fri"))))</f>
        <v/>
      </c>
      <c r="J1162" s="30">
        <f>IF(I1162="Fri","Ja","")</f>
        <v/>
      </c>
      <c r="K1162" s="30">
        <f>IF(B1162="","",IF(L1162="","Ukjent tekniker",IF(ISNA(MATCH(C1162,Aktiviteter,0)),"Ukjent aktivitet",IF(AND(INDEX(AktRolle,MATCH(C1162,Aktiviteter,0))&amp;""&lt;&gt;"",ISERROR(SEARCH(INDEX(AktRolle,MATCH(C1162,Aktiviteter,0))&amp;"",INDEX(TekRoller,MATCH(B1162,Teknikere,0))))),"Mangler rollen "&amp;INDEX(AktRolle,MATCH(C1162,Aktiviteter,0))&amp;"",IF(AND(C1162="LMS",F1162&gt;0,OR(D1162="",E1162="")),"Mangler maskin eller arbeid",IF(AND(OR(C1162="LMS",C1162="Mod"),D1162&lt;&gt;""),IF(IFERROR(INDEX(MaskinStatus,MATCH(D1162,Maskiner,0)),"")="I dokk","","Maskinen er ikke i dokk"),""))))))</f>
        <v/>
      </c>
      <c r="L1162" s="2">
        <f>IF(B1162="","",IFERROR(INT((MATCH(B1162,Teknikere,0)-1)/18)+1,""))</f>
        <v/>
      </c>
      <c r="M1162" s="2">
        <f>IF(OR(A1162="",B1162=""),"",B1162&amp;"|"&amp;A1162)</f>
        <v/>
      </c>
      <c r="N1162" s="2">
        <f>IF(M1162="","",SUMIFS(TF_Timer,TF_Nokkel,M1162,TF_Akt,C1162))</f>
        <v/>
      </c>
      <c r="O1162" s="2">
        <f>IF(M1162="","",IF(AND(N1162=_xlfn.MAXIFS(TF_AktSum,TF_Nokkel,M1162),COUNTIFS(M$3:M1161,M1162,N$3:N1161,N1162)=0),M1162,""))</f>
        <v/>
      </c>
    </row>
    <row r="1163">
      <c r="A1163" s="34" t="n"/>
      <c r="B1163" s="35" t="n"/>
      <c r="C1163" s="35" t="n"/>
      <c r="D1163" s="35" t="n"/>
      <c r="E1163" s="35" t="n"/>
      <c r="F1163" s="36" t="n"/>
      <c r="G1163" s="35" t="n"/>
      <c r="H1163" s="30">
        <f>IF(L1163="","",INDEX(SkiftNavn,L1163))</f>
        <v/>
      </c>
      <c r="I1163" s="30">
        <f>IF(OR(A1163="",L1163=""),"",IF(MOD(A1163-INDEX(SkiftStart,L1163),Syklus)&lt;DagK,"Kveld",IF(MOD(A1163-INDEX(SkiftStart,L1163),Syklus)&lt;DagK+DagH,"Helg",IF(MOD(A1163-INDEX(SkiftStart,L1163),Syklus)&lt;DagK+DagH+DagD,"Dag","Fri"))))</f>
        <v/>
      </c>
      <c r="J1163" s="30">
        <f>IF(I1163="Fri","Ja","")</f>
        <v/>
      </c>
      <c r="K1163" s="30">
        <f>IF(B1163="","",IF(L1163="","Ukjent tekniker",IF(ISNA(MATCH(C1163,Aktiviteter,0)),"Ukjent aktivitet",IF(AND(INDEX(AktRolle,MATCH(C1163,Aktiviteter,0))&amp;""&lt;&gt;"",ISERROR(SEARCH(INDEX(AktRolle,MATCH(C1163,Aktiviteter,0))&amp;"",INDEX(TekRoller,MATCH(B1163,Teknikere,0))))),"Mangler rollen "&amp;INDEX(AktRolle,MATCH(C1163,Aktiviteter,0))&amp;"",IF(AND(C1163="LMS",F1163&gt;0,OR(D1163="",E1163="")),"Mangler maskin eller arbeid",IF(AND(OR(C1163="LMS",C1163="Mod"),D1163&lt;&gt;""),IF(IFERROR(INDEX(MaskinStatus,MATCH(D1163,Maskiner,0)),"")="I dokk","","Maskinen er ikke i dokk"),""))))))</f>
        <v/>
      </c>
      <c r="L1163" s="2">
        <f>IF(B1163="","",IFERROR(INT((MATCH(B1163,Teknikere,0)-1)/18)+1,""))</f>
        <v/>
      </c>
      <c r="M1163" s="2">
        <f>IF(OR(A1163="",B1163=""),"",B1163&amp;"|"&amp;A1163)</f>
        <v/>
      </c>
      <c r="N1163" s="2">
        <f>IF(M1163="","",SUMIFS(TF_Timer,TF_Nokkel,M1163,TF_Akt,C1163))</f>
        <v/>
      </c>
      <c r="O1163" s="2">
        <f>IF(M1163="","",IF(AND(N1163=_xlfn.MAXIFS(TF_AktSum,TF_Nokkel,M1163),COUNTIFS(M$3:M1162,M1163,N$3:N1162,N1163)=0),M1163,""))</f>
        <v/>
      </c>
    </row>
    <row r="1164">
      <c r="A1164" s="34" t="n"/>
      <c r="B1164" s="35" t="n"/>
      <c r="C1164" s="35" t="n"/>
      <c r="D1164" s="35" t="n"/>
      <c r="E1164" s="35" t="n"/>
      <c r="F1164" s="36" t="n"/>
      <c r="G1164" s="35" t="n"/>
      <c r="H1164" s="30">
        <f>IF(L1164="","",INDEX(SkiftNavn,L1164))</f>
        <v/>
      </c>
      <c r="I1164" s="30">
        <f>IF(OR(A1164="",L1164=""),"",IF(MOD(A1164-INDEX(SkiftStart,L1164),Syklus)&lt;DagK,"Kveld",IF(MOD(A1164-INDEX(SkiftStart,L1164),Syklus)&lt;DagK+DagH,"Helg",IF(MOD(A1164-INDEX(SkiftStart,L1164),Syklus)&lt;DagK+DagH+DagD,"Dag","Fri"))))</f>
        <v/>
      </c>
      <c r="J1164" s="30">
        <f>IF(I1164="Fri","Ja","")</f>
        <v/>
      </c>
      <c r="K1164" s="30">
        <f>IF(B1164="","",IF(L1164="","Ukjent tekniker",IF(ISNA(MATCH(C1164,Aktiviteter,0)),"Ukjent aktivitet",IF(AND(INDEX(AktRolle,MATCH(C1164,Aktiviteter,0))&amp;""&lt;&gt;"",ISERROR(SEARCH(INDEX(AktRolle,MATCH(C1164,Aktiviteter,0))&amp;"",INDEX(TekRoller,MATCH(B1164,Teknikere,0))))),"Mangler rollen "&amp;INDEX(AktRolle,MATCH(C1164,Aktiviteter,0))&amp;"",IF(AND(C1164="LMS",F1164&gt;0,OR(D1164="",E1164="")),"Mangler maskin eller arbeid",IF(AND(OR(C1164="LMS",C1164="Mod"),D1164&lt;&gt;""),IF(IFERROR(INDEX(MaskinStatus,MATCH(D1164,Maskiner,0)),"")="I dokk","","Maskinen er ikke i dokk"),""))))))</f>
        <v/>
      </c>
      <c r="L1164" s="2">
        <f>IF(B1164="","",IFERROR(INT((MATCH(B1164,Teknikere,0)-1)/18)+1,""))</f>
        <v/>
      </c>
      <c r="M1164" s="2">
        <f>IF(OR(A1164="",B1164=""),"",B1164&amp;"|"&amp;A1164)</f>
        <v/>
      </c>
      <c r="N1164" s="2">
        <f>IF(M1164="","",SUMIFS(TF_Timer,TF_Nokkel,M1164,TF_Akt,C1164))</f>
        <v/>
      </c>
      <c r="O1164" s="2">
        <f>IF(M1164="","",IF(AND(N1164=_xlfn.MAXIFS(TF_AktSum,TF_Nokkel,M1164),COUNTIFS(M$3:M1163,M1164,N$3:N1163,N1164)=0),M1164,""))</f>
        <v/>
      </c>
    </row>
    <row r="1165">
      <c r="A1165" s="34" t="n"/>
      <c r="B1165" s="35" t="n"/>
      <c r="C1165" s="35" t="n"/>
      <c r="D1165" s="35" t="n"/>
      <c r="E1165" s="35" t="n"/>
      <c r="F1165" s="36" t="n"/>
      <c r="G1165" s="35" t="n"/>
      <c r="H1165" s="30">
        <f>IF(L1165="","",INDEX(SkiftNavn,L1165))</f>
        <v/>
      </c>
      <c r="I1165" s="30">
        <f>IF(OR(A1165="",L1165=""),"",IF(MOD(A1165-INDEX(SkiftStart,L1165),Syklus)&lt;DagK,"Kveld",IF(MOD(A1165-INDEX(SkiftStart,L1165),Syklus)&lt;DagK+DagH,"Helg",IF(MOD(A1165-INDEX(SkiftStart,L1165),Syklus)&lt;DagK+DagH+DagD,"Dag","Fri"))))</f>
        <v/>
      </c>
      <c r="J1165" s="30">
        <f>IF(I1165="Fri","Ja","")</f>
        <v/>
      </c>
      <c r="K1165" s="30">
        <f>IF(B1165="","",IF(L1165="","Ukjent tekniker",IF(ISNA(MATCH(C1165,Aktiviteter,0)),"Ukjent aktivitet",IF(AND(INDEX(AktRolle,MATCH(C1165,Aktiviteter,0))&amp;""&lt;&gt;"",ISERROR(SEARCH(INDEX(AktRolle,MATCH(C1165,Aktiviteter,0))&amp;"",INDEX(TekRoller,MATCH(B1165,Teknikere,0))))),"Mangler rollen "&amp;INDEX(AktRolle,MATCH(C1165,Aktiviteter,0))&amp;"",IF(AND(C1165="LMS",F1165&gt;0,OR(D1165="",E1165="")),"Mangler maskin eller arbeid",IF(AND(OR(C1165="LMS",C1165="Mod"),D1165&lt;&gt;""),IF(IFERROR(INDEX(MaskinStatus,MATCH(D1165,Maskiner,0)),"")="I dokk","","Maskinen er ikke i dokk"),""))))))</f>
        <v/>
      </c>
      <c r="L1165" s="2">
        <f>IF(B1165="","",IFERROR(INT((MATCH(B1165,Teknikere,0)-1)/18)+1,""))</f>
        <v/>
      </c>
      <c r="M1165" s="2">
        <f>IF(OR(A1165="",B1165=""),"",B1165&amp;"|"&amp;A1165)</f>
        <v/>
      </c>
      <c r="N1165" s="2">
        <f>IF(M1165="","",SUMIFS(TF_Timer,TF_Nokkel,M1165,TF_Akt,C1165))</f>
        <v/>
      </c>
      <c r="O1165" s="2">
        <f>IF(M1165="","",IF(AND(N1165=_xlfn.MAXIFS(TF_AktSum,TF_Nokkel,M1165),COUNTIFS(M$3:M1164,M1165,N$3:N1164,N1165)=0),M1165,""))</f>
        <v/>
      </c>
    </row>
    <row r="1166">
      <c r="A1166" s="34" t="n"/>
      <c r="B1166" s="35" t="n"/>
      <c r="C1166" s="35" t="n"/>
      <c r="D1166" s="35" t="n"/>
      <c r="E1166" s="35" t="n"/>
      <c r="F1166" s="36" t="n"/>
      <c r="G1166" s="35" t="n"/>
      <c r="H1166" s="30">
        <f>IF(L1166="","",INDEX(SkiftNavn,L1166))</f>
        <v/>
      </c>
      <c r="I1166" s="30">
        <f>IF(OR(A1166="",L1166=""),"",IF(MOD(A1166-INDEX(SkiftStart,L1166),Syklus)&lt;DagK,"Kveld",IF(MOD(A1166-INDEX(SkiftStart,L1166),Syklus)&lt;DagK+DagH,"Helg",IF(MOD(A1166-INDEX(SkiftStart,L1166),Syklus)&lt;DagK+DagH+DagD,"Dag","Fri"))))</f>
        <v/>
      </c>
      <c r="J1166" s="30">
        <f>IF(I1166="Fri","Ja","")</f>
        <v/>
      </c>
      <c r="K1166" s="30">
        <f>IF(B1166="","",IF(L1166="","Ukjent tekniker",IF(ISNA(MATCH(C1166,Aktiviteter,0)),"Ukjent aktivitet",IF(AND(INDEX(AktRolle,MATCH(C1166,Aktiviteter,0))&amp;""&lt;&gt;"",ISERROR(SEARCH(INDEX(AktRolle,MATCH(C1166,Aktiviteter,0))&amp;"",INDEX(TekRoller,MATCH(B1166,Teknikere,0))))),"Mangler rollen "&amp;INDEX(AktRolle,MATCH(C1166,Aktiviteter,0))&amp;"",IF(AND(C1166="LMS",F1166&gt;0,OR(D1166="",E1166="")),"Mangler maskin eller arbeid",IF(AND(OR(C1166="LMS",C1166="Mod"),D1166&lt;&gt;""),IF(IFERROR(INDEX(MaskinStatus,MATCH(D1166,Maskiner,0)),"")="I dokk","","Maskinen er ikke i dokk"),""))))))</f>
        <v/>
      </c>
      <c r="L1166" s="2">
        <f>IF(B1166="","",IFERROR(INT((MATCH(B1166,Teknikere,0)-1)/18)+1,""))</f>
        <v/>
      </c>
      <c r="M1166" s="2">
        <f>IF(OR(A1166="",B1166=""),"",B1166&amp;"|"&amp;A1166)</f>
        <v/>
      </c>
      <c r="N1166" s="2">
        <f>IF(M1166="","",SUMIFS(TF_Timer,TF_Nokkel,M1166,TF_Akt,C1166))</f>
        <v/>
      </c>
      <c r="O1166" s="2">
        <f>IF(M1166="","",IF(AND(N1166=_xlfn.MAXIFS(TF_AktSum,TF_Nokkel,M1166),COUNTIFS(M$3:M1165,M1166,N$3:N1165,N1166)=0),M1166,""))</f>
        <v/>
      </c>
    </row>
    <row r="1167">
      <c r="A1167" s="34" t="n"/>
      <c r="B1167" s="35" t="n"/>
      <c r="C1167" s="35" t="n"/>
      <c r="D1167" s="35" t="n"/>
      <c r="E1167" s="35" t="n"/>
      <c r="F1167" s="36" t="n"/>
      <c r="G1167" s="35" t="n"/>
      <c r="H1167" s="30">
        <f>IF(L1167="","",INDEX(SkiftNavn,L1167))</f>
        <v/>
      </c>
      <c r="I1167" s="30">
        <f>IF(OR(A1167="",L1167=""),"",IF(MOD(A1167-INDEX(SkiftStart,L1167),Syklus)&lt;DagK,"Kveld",IF(MOD(A1167-INDEX(SkiftStart,L1167),Syklus)&lt;DagK+DagH,"Helg",IF(MOD(A1167-INDEX(SkiftStart,L1167),Syklus)&lt;DagK+DagH+DagD,"Dag","Fri"))))</f>
        <v/>
      </c>
      <c r="J1167" s="30">
        <f>IF(I1167="Fri","Ja","")</f>
        <v/>
      </c>
      <c r="K1167" s="30">
        <f>IF(B1167="","",IF(L1167="","Ukjent tekniker",IF(ISNA(MATCH(C1167,Aktiviteter,0)),"Ukjent aktivitet",IF(AND(INDEX(AktRolle,MATCH(C1167,Aktiviteter,0))&amp;""&lt;&gt;"",ISERROR(SEARCH(INDEX(AktRolle,MATCH(C1167,Aktiviteter,0))&amp;"",INDEX(TekRoller,MATCH(B1167,Teknikere,0))))),"Mangler rollen "&amp;INDEX(AktRolle,MATCH(C1167,Aktiviteter,0))&amp;"",IF(AND(C1167="LMS",F1167&gt;0,OR(D1167="",E1167="")),"Mangler maskin eller arbeid",IF(AND(OR(C1167="LMS",C1167="Mod"),D1167&lt;&gt;""),IF(IFERROR(INDEX(MaskinStatus,MATCH(D1167,Maskiner,0)),"")="I dokk","","Maskinen er ikke i dokk"),""))))))</f>
        <v/>
      </c>
      <c r="L1167" s="2">
        <f>IF(B1167="","",IFERROR(INT((MATCH(B1167,Teknikere,0)-1)/18)+1,""))</f>
        <v/>
      </c>
      <c r="M1167" s="2">
        <f>IF(OR(A1167="",B1167=""),"",B1167&amp;"|"&amp;A1167)</f>
        <v/>
      </c>
      <c r="N1167" s="2">
        <f>IF(M1167="","",SUMIFS(TF_Timer,TF_Nokkel,M1167,TF_Akt,C1167))</f>
        <v/>
      </c>
      <c r="O1167" s="2">
        <f>IF(M1167="","",IF(AND(N1167=_xlfn.MAXIFS(TF_AktSum,TF_Nokkel,M1167),COUNTIFS(M$3:M1166,M1167,N$3:N1166,N1167)=0),M1167,""))</f>
        <v/>
      </c>
    </row>
    <row r="1168">
      <c r="A1168" s="34" t="n"/>
      <c r="B1168" s="35" t="n"/>
      <c r="C1168" s="35" t="n"/>
      <c r="D1168" s="35" t="n"/>
      <c r="E1168" s="35" t="n"/>
      <c r="F1168" s="36" t="n"/>
      <c r="G1168" s="35" t="n"/>
      <c r="H1168" s="30">
        <f>IF(L1168="","",INDEX(SkiftNavn,L1168))</f>
        <v/>
      </c>
      <c r="I1168" s="30">
        <f>IF(OR(A1168="",L1168=""),"",IF(MOD(A1168-INDEX(SkiftStart,L1168),Syklus)&lt;DagK,"Kveld",IF(MOD(A1168-INDEX(SkiftStart,L1168),Syklus)&lt;DagK+DagH,"Helg",IF(MOD(A1168-INDEX(SkiftStart,L1168),Syklus)&lt;DagK+DagH+DagD,"Dag","Fri"))))</f>
        <v/>
      </c>
      <c r="J1168" s="30">
        <f>IF(I1168="Fri","Ja","")</f>
        <v/>
      </c>
      <c r="K1168" s="30">
        <f>IF(B1168="","",IF(L1168="","Ukjent tekniker",IF(ISNA(MATCH(C1168,Aktiviteter,0)),"Ukjent aktivitet",IF(AND(INDEX(AktRolle,MATCH(C1168,Aktiviteter,0))&amp;""&lt;&gt;"",ISERROR(SEARCH(INDEX(AktRolle,MATCH(C1168,Aktiviteter,0))&amp;"",INDEX(TekRoller,MATCH(B1168,Teknikere,0))))),"Mangler rollen "&amp;INDEX(AktRolle,MATCH(C1168,Aktiviteter,0))&amp;"",IF(AND(C1168="LMS",F1168&gt;0,OR(D1168="",E1168="")),"Mangler maskin eller arbeid",IF(AND(OR(C1168="LMS",C1168="Mod"),D1168&lt;&gt;""),IF(IFERROR(INDEX(MaskinStatus,MATCH(D1168,Maskiner,0)),"")="I dokk","","Maskinen er ikke i dokk"),""))))))</f>
        <v/>
      </c>
      <c r="L1168" s="2">
        <f>IF(B1168="","",IFERROR(INT((MATCH(B1168,Teknikere,0)-1)/18)+1,""))</f>
        <v/>
      </c>
      <c r="M1168" s="2">
        <f>IF(OR(A1168="",B1168=""),"",B1168&amp;"|"&amp;A1168)</f>
        <v/>
      </c>
      <c r="N1168" s="2">
        <f>IF(M1168="","",SUMIFS(TF_Timer,TF_Nokkel,M1168,TF_Akt,C1168))</f>
        <v/>
      </c>
      <c r="O1168" s="2">
        <f>IF(M1168="","",IF(AND(N1168=_xlfn.MAXIFS(TF_AktSum,TF_Nokkel,M1168),COUNTIFS(M$3:M1167,M1168,N$3:N1167,N1168)=0),M1168,""))</f>
        <v/>
      </c>
    </row>
    <row r="1169">
      <c r="A1169" s="34" t="n"/>
      <c r="B1169" s="35" t="n"/>
      <c r="C1169" s="35" t="n"/>
      <c r="D1169" s="35" t="n"/>
      <c r="E1169" s="35" t="n"/>
      <c r="F1169" s="36" t="n"/>
      <c r="G1169" s="35" t="n"/>
      <c r="H1169" s="30">
        <f>IF(L1169="","",INDEX(SkiftNavn,L1169))</f>
        <v/>
      </c>
      <c r="I1169" s="30">
        <f>IF(OR(A1169="",L1169=""),"",IF(MOD(A1169-INDEX(SkiftStart,L1169),Syklus)&lt;DagK,"Kveld",IF(MOD(A1169-INDEX(SkiftStart,L1169),Syklus)&lt;DagK+DagH,"Helg",IF(MOD(A1169-INDEX(SkiftStart,L1169),Syklus)&lt;DagK+DagH+DagD,"Dag","Fri"))))</f>
        <v/>
      </c>
      <c r="J1169" s="30">
        <f>IF(I1169="Fri","Ja","")</f>
        <v/>
      </c>
      <c r="K1169" s="30">
        <f>IF(B1169="","",IF(L1169="","Ukjent tekniker",IF(ISNA(MATCH(C1169,Aktiviteter,0)),"Ukjent aktivitet",IF(AND(INDEX(AktRolle,MATCH(C1169,Aktiviteter,0))&amp;""&lt;&gt;"",ISERROR(SEARCH(INDEX(AktRolle,MATCH(C1169,Aktiviteter,0))&amp;"",INDEX(TekRoller,MATCH(B1169,Teknikere,0))))),"Mangler rollen "&amp;INDEX(AktRolle,MATCH(C1169,Aktiviteter,0))&amp;"",IF(AND(C1169="LMS",F1169&gt;0,OR(D1169="",E1169="")),"Mangler maskin eller arbeid",IF(AND(OR(C1169="LMS",C1169="Mod"),D1169&lt;&gt;""),IF(IFERROR(INDEX(MaskinStatus,MATCH(D1169,Maskiner,0)),"")="I dokk","","Maskinen er ikke i dokk"),""))))))</f>
        <v/>
      </c>
      <c r="L1169" s="2">
        <f>IF(B1169="","",IFERROR(INT((MATCH(B1169,Teknikere,0)-1)/18)+1,""))</f>
        <v/>
      </c>
      <c r="M1169" s="2">
        <f>IF(OR(A1169="",B1169=""),"",B1169&amp;"|"&amp;A1169)</f>
        <v/>
      </c>
      <c r="N1169" s="2">
        <f>IF(M1169="","",SUMIFS(TF_Timer,TF_Nokkel,M1169,TF_Akt,C1169))</f>
        <v/>
      </c>
      <c r="O1169" s="2">
        <f>IF(M1169="","",IF(AND(N1169=_xlfn.MAXIFS(TF_AktSum,TF_Nokkel,M1169),COUNTIFS(M$3:M1168,M1169,N$3:N1168,N1169)=0),M1169,""))</f>
        <v/>
      </c>
    </row>
    <row r="1170">
      <c r="A1170" s="34" t="n"/>
      <c r="B1170" s="35" t="n"/>
      <c r="C1170" s="35" t="n"/>
      <c r="D1170" s="35" t="n"/>
      <c r="E1170" s="35" t="n"/>
      <c r="F1170" s="36" t="n"/>
      <c r="G1170" s="35" t="n"/>
      <c r="H1170" s="30">
        <f>IF(L1170="","",INDEX(SkiftNavn,L1170))</f>
        <v/>
      </c>
      <c r="I1170" s="30">
        <f>IF(OR(A1170="",L1170=""),"",IF(MOD(A1170-INDEX(SkiftStart,L1170),Syklus)&lt;DagK,"Kveld",IF(MOD(A1170-INDEX(SkiftStart,L1170),Syklus)&lt;DagK+DagH,"Helg",IF(MOD(A1170-INDEX(SkiftStart,L1170),Syklus)&lt;DagK+DagH+DagD,"Dag","Fri"))))</f>
        <v/>
      </c>
      <c r="J1170" s="30">
        <f>IF(I1170="Fri","Ja","")</f>
        <v/>
      </c>
      <c r="K1170" s="30">
        <f>IF(B1170="","",IF(L1170="","Ukjent tekniker",IF(ISNA(MATCH(C1170,Aktiviteter,0)),"Ukjent aktivitet",IF(AND(INDEX(AktRolle,MATCH(C1170,Aktiviteter,0))&amp;""&lt;&gt;"",ISERROR(SEARCH(INDEX(AktRolle,MATCH(C1170,Aktiviteter,0))&amp;"",INDEX(TekRoller,MATCH(B1170,Teknikere,0))))),"Mangler rollen "&amp;INDEX(AktRolle,MATCH(C1170,Aktiviteter,0))&amp;"",IF(AND(C1170="LMS",F1170&gt;0,OR(D1170="",E1170="")),"Mangler maskin eller arbeid",IF(AND(OR(C1170="LMS",C1170="Mod"),D1170&lt;&gt;""),IF(IFERROR(INDEX(MaskinStatus,MATCH(D1170,Maskiner,0)),"")="I dokk","","Maskinen er ikke i dokk"),""))))))</f>
        <v/>
      </c>
      <c r="L1170" s="2">
        <f>IF(B1170="","",IFERROR(INT((MATCH(B1170,Teknikere,0)-1)/18)+1,""))</f>
        <v/>
      </c>
      <c r="M1170" s="2">
        <f>IF(OR(A1170="",B1170=""),"",B1170&amp;"|"&amp;A1170)</f>
        <v/>
      </c>
      <c r="N1170" s="2">
        <f>IF(M1170="","",SUMIFS(TF_Timer,TF_Nokkel,M1170,TF_Akt,C1170))</f>
        <v/>
      </c>
      <c r="O1170" s="2">
        <f>IF(M1170="","",IF(AND(N1170=_xlfn.MAXIFS(TF_AktSum,TF_Nokkel,M1170),COUNTIFS(M$3:M1169,M1170,N$3:N1169,N1170)=0),M1170,""))</f>
        <v/>
      </c>
    </row>
    <row r="1171">
      <c r="A1171" s="34" t="n"/>
      <c r="B1171" s="35" t="n"/>
      <c r="C1171" s="35" t="n"/>
      <c r="D1171" s="35" t="n"/>
      <c r="E1171" s="35" t="n"/>
      <c r="F1171" s="36" t="n"/>
      <c r="G1171" s="35" t="n"/>
      <c r="H1171" s="30">
        <f>IF(L1171="","",INDEX(SkiftNavn,L1171))</f>
        <v/>
      </c>
      <c r="I1171" s="30">
        <f>IF(OR(A1171="",L1171=""),"",IF(MOD(A1171-INDEX(SkiftStart,L1171),Syklus)&lt;DagK,"Kveld",IF(MOD(A1171-INDEX(SkiftStart,L1171),Syklus)&lt;DagK+DagH,"Helg",IF(MOD(A1171-INDEX(SkiftStart,L1171),Syklus)&lt;DagK+DagH+DagD,"Dag","Fri"))))</f>
        <v/>
      </c>
      <c r="J1171" s="30">
        <f>IF(I1171="Fri","Ja","")</f>
        <v/>
      </c>
      <c r="K1171" s="30">
        <f>IF(B1171="","",IF(L1171="","Ukjent tekniker",IF(ISNA(MATCH(C1171,Aktiviteter,0)),"Ukjent aktivitet",IF(AND(INDEX(AktRolle,MATCH(C1171,Aktiviteter,0))&amp;""&lt;&gt;"",ISERROR(SEARCH(INDEX(AktRolle,MATCH(C1171,Aktiviteter,0))&amp;"",INDEX(TekRoller,MATCH(B1171,Teknikere,0))))),"Mangler rollen "&amp;INDEX(AktRolle,MATCH(C1171,Aktiviteter,0))&amp;"",IF(AND(C1171="LMS",F1171&gt;0,OR(D1171="",E1171="")),"Mangler maskin eller arbeid",IF(AND(OR(C1171="LMS",C1171="Mod"),D1171&lt;&gt;""),IF(IFERROR(INDEX(MaskinStatus,MATCH(D1171,Maskiner,0)),"")="I dokk","","Maskinen er ikke i dokk"),""))))))</f>
        <v/>
      </c>
      <c r="L1171" s="2">
        <f>IF(B1171="","",IFERROR(INT((MATCH(B1171,Teknikere,0)-1)/18)+1,""))</f>
        <v/>
      </c>
      <c r="M1171" s="2">
        <f>IF(OR(A1171="",B1171=""),"",B1171&amp;"|"&amp;A1171)</f>
        <v/>
      </c>
      <c r="N1171" s="2">
        <f>IF(M1171="","",SUMIFS(TF_Timer,TF_Nokkel,M1171,TF_Akt,C1171))</f>
        <v/>
      </c>
      <c r="O1171" s="2">
        <f>IF(M1171="","",IF(AND(N1171=_xlfn.MAXIFS(TF_AktSum,TF_Nokkel,M1171),COUNTIFS(M$3:M1170,M1171,N$3:N1170,N1171)=0),M1171,""))</f>
        <v/>
      </c>
    </row>
    <row r="1172">
      <c r="A1172" s="34" t="n"/>
      <c r="B1172" s="35" t="n"/>
      <c r="C1172" s="35" t="n"/>
      <c r="D1172" s="35" t="n"/>
      <c r="E1172" s="35" t="n"/>
      <c r="F1172" s="36" t="n"/>
      <c r="G1172" s="35" t="n"/>
      <c r="H1172" s="30">
        <f>IF(L1172="","",INDEX(SkiftNavn,L1172))</f>
        <v/>
      </c>
      <c r="I1172" s="30">
        <f>IF(OR(A1172="",L1172=""),"",IF(MOD(A1172-INDEX(SkiftStart,L1172),Syklus)&lt;DagK,"Kveld",IF(MOD(A1172-INDEX(SkiftStart,L1172),Syklus)&lt;DagK+DagH,"Helg",IF(MOD(A1172-INDEX(SkiftStart,L1172),Syklus)&lt;DagK+DagH+DagD,"Dag","Fri"))))</f>
        <v/>
      </c>
      <c r="J1172" s="30">
        <f>IF(I1172="Fri","Ja","")</f>
        <v/>
      </c>
      <c r="K1172" s="30">
        <f>IF(B1172="","",IF(L1172="","Ukjent tekniker",IF(ISNA(MATCH(C1172,Aktiviteter,0)),"Ukjent aktivitet",IF(AND(INDEX(AktRolle,MATCH(C1172,Aktiviteter,0))&amp;""&lt;&gt;"",ISERROR(SEARCH(INDEX(AktRolle,MATCH(C1172,Aktiviteter,0))&amp;"",INDEX(TekRoller,MATCH(B1172,Teknikere,0))))),"Mangler rollen "&amp;INDEX(AktRolle,MATCH(C1172,Aktiviteter,0))&amp;"",IF(AND(C1172="LMS",F1172&gt;0,OR(D1172="",E1172="")),"Mangler maskin eller arbeid",IF(AND(OR(C1172="LMS",C1172="Mod"),D1172&lt;&gt;""),IF(IFERROR(INDEX(MaskinStatus,MATCH(D1172,Maskiner,0)),"")="I dokk","","Maskinen er ikke i dokk"),""))))))</f>
        <v/>
      </c>
      <c r="L1172" s="2">
        <f>IF(B1172="","",IFERROR(INT((MATCH(B1172,Teknikere,0)-1)/18)+1,""))</f>
        <v/>
      </c>
      <c r="M1172" s="2">
        <f>IF(OR(A1172="",B1172=""),"",B1172&amp;"|"&amp;A1172)</f>
        <v/>
      </c>
      <c r="N1172" s="2">
        <f>IF(M1172="","",SUMIFS(TF_Timer,TF_Nokkel,M1172,TF_Akt,C1172))</f>
        <v/>
      </c>
      <c r="O1172" s="2">
        <f>IF(M1172="","",IF(AND(N1172=_xlfn.MAXIFS(TF_AktSum,TF_Nokkel,M1172),COUNTIFS(M$3:M1171,M1172,N$3:N1171,N1172)=0),M1172,""))</f>
        <v/>
      </c>
    </row>
    <row r="1173">
      <c r="A1173" s="34" t="n"/>
      <c r="B1173" s="35" t="n"/>
      <c r="C1173" s="35" t="n"/>
      <c r="D1173" s="35" t="n"/>
      <c r="E1173" s="35" t="n"/>
      <c r="F1173" s="36" t="n"/>
      <c r="G1173" s="35" t="n"/>
      <c r="H1173" s="30">
        <f>IF(L1173="","",INDEX(SkiftNavn,L1173))</f>
        <v/>
      </c>
      <c r="I1173" s="30">
        <f>IF(OR(A1173="",L1173=""),"",IF(MOD(A1173-INDEX(SkiftStart,L1173),Syklus)&lt;DagK,"Kveld",IF(MOD(A1173-INDEX(SkiftStart,L1173),Syklus)&lt;DagK+DagH,"Helg",IF(MOD(A1173-INDEX(SkiftStart,L1173),Syklus)&lt;DagK+DagH+DagD,"Dag","Fri"))))</f>
        <v/>
      </c>
      <c r="J1173" s="30">
        <f>IF(I1173="Fri","Ja","")</f>
        <v/>
      </c>
      <c r="K1173" s="30">
        <f>IF(B1173="","",IF(L1173="","Ukjent tekniker",IF(ISNA(MATCH(C1173,Aktiviteter,0)),"Ukjent aktivitet",IF(AND(INDEX(AktRolle,MATCH(C1173,Aktiviteter,0))&amp;""&lt;&gt;"",ISERROR(SEARCH(INDEX(AktRolle,MATCH(C1173,Aktiviteter,0))&amp;"",INDEX(TekRoller,MATCH(B1173,Teknikere,0))))),"Mangler rollen "&amp;INDEX(AktRolle,MATCH(C1173,Aktiviteter,0))&amp;"",IF(AND(C1173="LMS",F1173&gt;0,OR(D1173="",E1173="")),"Mangler maskin eller arbeid",IF(AND(OR(C1173="LMS",C1173="Mod"),D1173&lt;&gt;""),IF(IFERROR(INDEX(MaskinStatus,MATCH(D1173,Maskiner,0)),"")="I dokk","","Maskinen er ikke i dokk"),""))))))</f>
        <v/>
      </c>
      <c r="L1173" s="2">
        <f>IF(B1173="","",IFERROR(INT((MATCH(B1173,Teknikere,0)-1)/18)+1,""))</f>
        <v/>
      </c>
      <c r="M1173" s="2">
        <f>IF(OR(A1173="",B1173=""),"",B1173&amp;"|"&amp;A1173)</f>
        <v/>
      </c>
      <c r="N1173" s="2">
        <f>IF(M1173="","",SUMIFS(TF_Timer,TF_Nokkel,M1173,TF_Akt,C1173))</f>
        <v/>
      </c>
      <c r="O1173" s="2">
        <f>IF(M1173="","",IF(AND(N1173=_xlfn.MAXIFS(TF_AktSum,TF_Nokkel,M1173),COUNTIFS(M$3:M1172,M1173,N$3:N1172,N1173)=0),M1173,""))</f>
        <v/>
      </c>
    </row>
    <row r="1174">
      <c r="A1174" s="34" t="n"/>
      <c r="B1174" s="35" t="n"/>
      <c r="C1174" s="35" t="n"/>
      <c r="D1174" s="35" t="n"/>
      <c r="E1174" s="35" t="n"/>
      <c r="F1174" s="36" t="n"/>
      <c r="G1174" s="35" t="n"/>
      <c r="H1174" s="30">
        <f>IF(L1174="","",INDEX(SkiftNavn,L1174))</f>
        <v/>
      </c>
      <c r="I1174" s="30">
        <f>IF(OR(A1174="",L1174=""),"",IF(MOD(A1174-INDEX(SkiftStart,L1174),Syklus)&lt;DagK,"Kveld",IF(MOD(A1174-INDEX(SkiftStart,L1174),Syklus)&lt;DagK+DagH,"Helg",IF(MOD(A1174-INDEX(SkiftStart,L1174),Syklus)&lt;DagK+DagH+DagD,"Dag","Fri"))))</f>
        <v/>
      </c>
      <c r="J1174" s="30">
        <f>IF(I1174="Fri","Ja","")</f>
        <v/>
      </c>
      <c r="K1174" s="30">
        <f>IF(B1174="","",IF(L1174="","Ukjent tekniker",IF(ISNA(MATCH(C1174,Aktiviteter,0)),"Ukjent aktivitet",IF(AND(INDEX(AktRolle,MATCH(C1174,Aktiviteter,0))&amp;""&lt;&gt;"",ISERROR(SEARCH(INDEX(AktRolle,MATCH(C1174,Aktiviteter,0))&amp;"",INDEX(TekRoller,MATCH(B1174,Teknikere,0))))),"Mangler rollen "&amp;INDEX(AktRolle,MATCH(C1174,Aktiviteter,0))&amp;"",IF(AND(C1174="LMS",F1174&gt;0,OR(D1174="",E1174="")),"Mangler maskin eller arbeid",IF(AND(OR(C1174="LMS",C1174="Mod"),D1174&lt;&gt;""),IF(IFERROR(INDEX(MaskinStatus,MATCH(D1174,Maskiner,0)),"")="I dokk","","Maskinen er ikke i dokk"),""))))))</f>
        <v/>
      </c>
      <c r="L1174" s="2">
        <f>IF(B1174="","",IFERROR(INT((MATCH(B1174,Teknikere,0)-1)/18)+1,""))</f>
        <v/>
      </c>
      <c r="M1174" s="2">
        <f>IF(OR(A1174="",B1174=""),"",B1174&amp;"|"&amp;A1174)</f>
        <v/>
      </c>
      <c r="N1174" s="2">
        <f>IF(M1174="","",SUMIFS(TF_Timer,TF_Nokkel,M1174,TF_Akt,C1174))</f>
        <v/>
      </c>
      <c r="O1174" s="2">
        <f>IF(M1174="","",IF(AND(N1174=_xlfn.MAXIFS(TF_AktSum,TF_Nokkel,M1174),COUNTIFS(M$3:M1173,M1174,N$3:N1173,N1174)=0),M1174,""))</f>
        <v/>
      </c>
    </row>
    <row r="1175">
      <c r="A1175" s="34" t="n"/>
      <c r="B1175" s="35" t="n"/>
      <c r="C1175" s="35" t="n"/>
      <c r="D1175" s="35" t="n"/>
      <c r="E1175" s="35" t="n"/>
      <c r="F1175" s="36" t="n"/>
      <c r="G1175" s="35" t="n"/>
      <c r="H1175" s="30">
        <f>IF(L1175="","",INDEX(SkiftNavn,L1175))</f>
        <v/>
      </c>
      <c r="I1175" s="30">
        <f>IF(OR(A1175="",L1175=""),"",IF(MOD(A1175-INDEX(SkiftStart,L1175),Syklus)&lt;DagK,"Kveld",IF(MOD(A1175-INDEX(SkiftStart,L1175),Syklus)&lt;DagK+DagH,"Helg",IF(MOD(A1175-INDEX(SkiftStart,L1175),Syklus)&lt;DagK+DagH+DagD,"Dag","Fri"))))</f>
        <v/>
      </c>
      <c r="J1175" s="30">
        <f>IF(I1175="Fri","Ja","")</f>
        <v/>
      </c>
      <c r="K1175" s="30">
        <f>IF(B1175="","",IF(L1175="","Ukjent tekniker",IF(ISNA(MATCH(C1175,Aktiviteter,0)),"Ukjent aktivitet",IF(AND(INDEX(AktRolle,MATCH(C1175,Aktiviteter,0))&amp;""&lt;&gt;"",ISERROR(SEARCH(INDEX(AktRolle,MATCH(C1175,Aktiviteter,0))&amp;"",INDEX(TekRoller,MATCH(B1175,Teknikere,0))))),"Mangler rollen "&amp;INDEX(AktRolle,MATCH(C1175,Aktiviteter,0))&amp;"",IF(AND(C1175="LMS",F1175&gt;0,OR(D1175="",E1175="")),"Mangler maskin eller arbeid",IF(AND(OR(C1175="LMS",C1175="Mod"),D1175&lt;&gt;""),IF(IFERROR(INDEX(MaskinStatus,MATCH(D1175,Maskiner,0)),"")="I dokk","","Maskinen er ikke i dokk"),""))))))</f>
        <v/>
      </c>
      <c r="L1175" s="2">
        <f>IF(B1175="","",IFERROR(INT((MATCH(B1175,Teknikere,0)-1)/18)+1,""))</f>
        <v/>
      </c>
      <c r="M1175" s="2">
        <f>IF(OR(A1175="",B1175=""),"",B1175&amp;"|"&amp;A1175)</f>
        <v/>
      </c>
      <c r="N1175" s="2">
        <f>IF(M1175="","",SUMIFS(TF_Timer,TF_Nokkel,M1175,TF_Akt,C1175))</f>
        <v/>
      </c>
      <c r="O1175" s="2">
        <f>IF(M1175="","",IF(AND(N1175=_xlfn.MAXIFS(TF_AktSum,TF_Nokkel,M1175),COUNTIFS(M$3:M1174,M1175,N$3:N1174,N1175)=0),M1175,""))</f>
        <v/>
      </c>
    </row>
    <row r="1176">
      <c r="A1176" s="34" t="n"/>
      <c r="B1176" s="35" t="n"/>
      <c r="C1176" s="35" t="n"/>
      <c r="D1176" s="35" t="n"/>
      <c r="E1176" s="35" t="n"/>
      <c r="F1176" s="36" t="n"/>
      <c r="G1176" s="35" t="n"/>
      <c r="H1176" s="30">
        <f>IF(L1176="","",INDEX(SkiftNavn,L1176))</f>
        <v/>
      </c>
      <c r="I1176" s="30">
        <f>IF(OR(A1176="",L1176=""),"",IF(MOD(A1176-INDEX(SkiftStart,L1176),Syklus)&lt;DagK,"Kveld",IF(MOD(A1176-INDEX(SkiftStart,L1176),Syklus)&lt;DagK+DagH,"Helg",IF(MOD(A1176-INDEX(SkiftStart,L1176),Syklus)&lt;DagK+DagH+DagD,"Dag","Fri"))))</f>
        <v/>
      </c>
      <c r="J1176" s="30">
        <f>IF(I1176="Fri","Ja","")</f>
        <v/>
      </c>
      <c r="K1176" s="30">
        <f>IF(B1176="","",IF(L1176="","Ukjent tekniker",IF(ISNA(MATCH(C1176,Aktiviteter,0)),"Ukjent aktivitet",IF(AND(INDEX(AktRolle,MATCH(C1176,Aktiviteter,0))&amp;""&lt;&gt;"",ISERROR(SEARCH(INDEX(AktRolle,MATCH(C1176,Aktiviteter,0))&amp;"",INDEX(TekRoller,MATCH(B1176,Teknikere,0))))),"Mangler rollen "&amp;INDEX(AktRolle,MATCH(C1176,Aktiviteter,0))&amp;"",IF(AND(C1176="LMS",F1176&gt;0,OR(D1176="",E1176="")),"Mangler maskin eller arbeid",IF(AND(OR(C1176="LMS",C1176="Mod"),D1176&lt;&gt;""),IF(IFERROR(INDEX(MaskinStatus,MATCH(D1176,Maskiner,0)),"")="I dokk","","Maskinen er ikke i dokk"),""))))))</f>
        <v/>
      </c>
      <c r="L1176" s="2">
        <f>IF(B1176="","",IFERROR(INT((MATCH(B1176,Teknikere,0)-1)/18)+1,""))</f>
        <v/>
      </c>
      <c r="M1176" s="2">
        <f>IF(OR(A1176="",B1176=""),"",B1176&amp;"|"&amp;A1176)</f>
        <v/>
      </c>
      <c r="N1176" s="2">
        <f>IF(M1176="","",SUMIFS(TF_Timer,TF_Nokkel,M1176,TF_Akt,C1176))</f>
        <v/>
      </c>
      <c r="O1176" s="2">
        <f>IF(M1176="","",IF(AND(N1176=_xlfn.MAXIFS(TF_AktSum,TF_Nokkel,M1176),COUNTIFS(M$3:M1175,M1176,N$3:N1175,N1176)=0),M1176,""))</f>
        <v/>
      </c>
    </row>
    <row r="1177">
      <c r="A1177" s="34" t="n"/>
      <c r="B1177" s="35" t="n"/>
      <c r="C1177" s="35" t="n"/>
      <c r="D1177" s="35" t="n"/>
      <c r="E1177" s="35" t="n"/>
      <c r="F1177" s="36" t="n"/>
      <c r="G1177" s="35" t="n"/>
      <c r="H1177" s="30">
        <f>IF(L1177="","",INDEX(SkiftNavn,L1177))</f>
        <v/>
      </c>
      <c r="I1177" s="30">
        <f>IF(OR(A1177="",L1177=""),"",IF(MOD(A1177-INDEX(SkiftStart,L1177),Syklus)&lt;DagK,"Kveld",IF(MOD(A1177-INDEX(SkiftStart,L1177),Syklus)&lt;DagK+DagH,"Helg",IF(MOD(A1177-INDEX(SkiftStart,L1177),Syklus)&lt;DagK+DagH+DagD,"Dag","Fri"))))</f>
        <v/>
      </c>
      <c r="J1177" s="30">
        <f>IF(I1177="Fri","Ja","")</f>
        <v/>
      </c>
      <c r="K1177" s="30">
        <f>IF(B1177="","",IF(L1177="","Ukjent tekniker",IF(ISNA(MATCH(C1177,Aktiviteter,0)),"Ukjent aktivitet",IF(AND(INDEX(AktRolle,MATCH(C1177,Aktiviteter,0))&amp;""&lt;&gt;"",ISERROR(SEARCH(INDEX(AktRolle,MATCH(C1177,Aktiviteter,0))&amp;"",INDEX(TekRoller,MATCH(B1177,Teknikere,0))))),"Mangler rollen "&amp;INDEX(AktRolle,MATCH(C1177,Aktiviteter,0))&amp;"",IF(AND(C1177="LMS",F1177&gt;0,OR(D1177="",E1177="")),"Mangler maskin eller arbeid",IF(AND(OR(C1177="LMS",C1177="Mod"),D1177&lt;&gt;""),IF(IFERROR(INDEX(MaskinStatus,MATCH(D1177,Maskiner,0)),"")="I dokk","","Maskinen er ikke i dokk"),""))))))</f>
        <v/>
      </c>
      <c r="L1177" s="2">
        <f>IF(B1177="","",IFERROR(INT((MATCH(B1177,Teknikere,0)-1)/18)+1,""))</f>
        <v/>
      </c>
      <c r="M1177" s="2">
        <f>IF(OR(A1177="",B1177=""),"",B1177&amp;"|"&amp;A1177)</f>
        <v/>
      </c>
      <c r="N1177" s="2">
        <f>IF(M1177="","",SUMIFS(TF_Timer,TF_Nokkel,M1177,TF_Akt,C1177))</f>
        <v/>
      </c>
      <c r="O1177" s="2">
        <f>IF(M1177="","",IF(AND(N1177=_xlfn.MAXIFS(TF_AktSum,TF_Nokkel,M1177),COUNTIFS(M$3:M1176,M1177,N$3:N1176,N1177)=0),M1177,""))</f>
        <v/>
      </c>
    </row>
    <row r="1178">
      <c r="A1178" s="34" t="n"/>
      <c r="B1178" s="35" t="n"/>
      <c r="C1178" s="35" t="n"/>
      <c r="D1178" s="35" t="n"/>
      <c r="E1178" s="35" t="n"/>
      <c r="F1178" s="36" t="n"/>
      <c r="G1178" s="35" t="n"/>
      <c r="H1178" s="30">
        <f>IF(L1178="","",INDEX(SkiftNavn,L1178))</f>
        <v/>
      </c>
      <c r="I1178" s="30">
        <f>IF(OR(A1178="",L1178=""),"",IF(MOD(A1178-INDEX(SkiftStart,L1178),Syklus)&lt;DagK,"Kveld",IF(MOD(A1178-INDEX(SkiftStart,L1178),Syklus)&lt;DagK+DagH,"Helg",IF(MOD(A1178-INDEX(SkiftStart,L1178),Syklus)&lt;DagK+DagH+DagD,"Dag","Fri"))))</f>
        <v/>
      </c>
      <c r="J1178" s="30">
        <f>IF(I1178="Fri","Ja","")</f>
        <v/>
      </c>
      <c r="K1178" s="30">
        <f>IF(B1178="","",IF(L1178="","Ukjent tekniker",IF(ISNA(MATCH(C1178,Aktiviteter,0)),"Ukjent aktivitet",IF(AND(INDEX(AktRolle,MATCH(C1178,Aktiviteter,0))&amp;""&lt;&gt;"",ISERROR(SEARCH(INDEX(AktRolle,MATCH(C1178,Aktiviteter,0))&amp;"",INDEX(TekRoller,MATCH(B1178,Teknikere,0))))),"Mangler rollen "&amp;INDEX(AktRolle,MATCH(C1178,Aktiviteter,0))&amp;"",IF(AND(C1178="LMS",F1178&gt;0,OR(D1178="",E1178="")),"Mangler maskin eller arbeid",IF(AND(OR(C1178="LMS",C1178="Mod"),D1178&lt;&gt;""),IF(IFERROR(INDEX(MaskinStatus,MATCH(D1178,Maskiner,0)),"")="I dokk","","Maskinen er ikke i dokk"),""))))))</f>
        <v/>
      </c>
      <c r="L1178" s="2">
        <f>IF(B1178="","",IFERROR(INT((MATCH(B1178,Teknikere,0)-1)/18)+1,""))</f>
        <v/>
      </c>
      <c r="M1178" s="2">
        <f>IF(OR(A1178="",B1178=""),"",B1178&amp;"|"&amp;A1178)</f>
        <v/>
      </c>
      <c r="N1178" s="2">
        <f>IF(M1178="","",SUMIFS(TF_Timer,TF_Nokkel,M1178,TF_Akt,C1178))</f>
        <v/>
      </c>
      <c r="O1178" s="2">
        <f>IF(M1178="","",IF(AND(N1178=_xlfn.MAXIFS(TF_AktSum,TF_Nokkel,M1178),COUNTIFS(M$3:M1177,M1178,N$3:N1177,N1178)=0),M1178,""))</f>
        <v/>
      </c>
    </row>
    <row r="1179">
      <c r="A1179" s="34" t="n"/>
      <c r="B1179" s="35" t="n"/>
      <c r="C1179" s="35" t="n"/>
      <c r="D1179" s="35" t="n"/>
      <c r="E1179" s="35" t="n"/>
      <c r="F1179" s="36" t="n"/>
      <c r="G1179" s="35" t="n"/>
      <c r="H1179" s="30">
        <f>IF(L1179="","",INDEX(SkiftNavn,L1179))</f>
        <v/>
      </c>
      <c r="I1179" s="30">
        <f>IF(OR(A1179="",L1179=""),"",IF(MOD(A1179-INDEX(SkiftStart,L1179),Syklus)&lt;DagK,"Kveld",IF(MOD(A1179-INDEX(SkiftStart,L1179),Syklus)&lt;DagK+DagH,"Helg",IF(MOD(A1179-INDEX(SkiftStart,L1179),Syklus)&lt;DagK+DagH+DagD,"Dag","Fri"))))</f>
        <v/>
      </c>
      <c r="J1179" s="30">
        <f>IF(I1179="Fri","Ja","")</f>
        <v/>
      </c>
      <c r="K1179" s="30">
        <f>IF(B1179="","",IF(L1179="","Ukjent tekniker",IF(ISNA(MATCH(C1179,Aktiviteter,0)),"Ukjent aktivitet",IF(AND(INDEX(AktRolle,MATCH(C1179,Aktiviteter,0))&amp;""&lt;&gt;"",ISERROR(SEARCH(INDEX(AktRolle,MATCH(C1179,Aktiviteter,0))&amp;"",INDEX(TekRoller,MATCH(B1179,Teknikere,0))))),"Mangler rollen "&amp;INDEX(AktRolle,MATCH(C1179,Aktiviteter,0))&amp;"",IF(AND(C1179="LMS",F1179&gt;0,OR(D1179="",E1179="")),"Mangler maskin eller arbeid",IF(AND(OR(C1179="LMS",C1179="Mod"),D1179&lt;&gt;""),IF(IFERROR(INDEX(MaskinStatus,MATCH(D1179,Maskiner,0)),"")="I dokk","","Maskinen er ikke i dokk"),""))))))</f>
        <v/>
      </c>
      <c r="L1179" s="2">
        <f>IF(B1179="","",IFERROR(INT((MATCH(B1179,Teknikere,0)-1)/18)+1,""))</f>
        <v/>
      </c>
      <c r="M1179" s="2">
        <f>IF(OR(A1179="",B1179=""),"",B1179&amp;"|"&amp;A1179)</f>
        <v/>
      </c>
      <c r="N1179" s="2">
        <f>IF(M1179="","",SUMIFS(TF_Timer,TF_Nokkel,M1179,TF_Akt,C1179))</f>
        <v/>
      </c>
      <c r="O1179" s="2">
        <f>IF(M1179="","",IF(AND(N1179=_xlfn.MAXIFS(TF_AktSum,TF_Nokkel,M1179),COUNTIFS(M$3:M1178,M1179,N$3:N1178,N1179)=0),M1179,""))</f>
        <v/>
      </c>
    </row>
    <row r="1180">
      <c r="A1180" s="34" t="n"/>
      <c r="B1180" s="35" t="n"/>
      <c r="C1180" s="35" t="n"/>
      <c r="D1180" s="35" t="n"/>
      <c r="E1180" s="35" t="n"/>
      <c r="F1180" s="36" t="n"/>
      <c r="G1180" s="35" t="n"/>
      <c r="H1180" s="30">
        <f>IF(L1180="","",INDEX(SkiftNavn,L1180))</f>
        <v/>
      </c>
      <c r="I1180" s="30">
        <f>IF(OR(A1180="",L1180=""),"",IF(MOD(A1180-INDEX(SkiftStart,L1180),Syklus)&lt;DagK,"Kveld",IF(MOD(A1180-INDEX(SkiftStart,L1180),Syklus)&lt;DagK+DagH,"Helg",IF(MOD(A1180-INDEX(SkiftStart,L1180),Syklus)&lt;DagK+DagH+DagD,"Dag","Fri"))))</f>
        <v/>
      </c>
      <c r="J1180" s="30">
        <f>IF(I1180="Fri","Ja","")</f>
        <v/>
      </c>
      <c r="K1180" s="30">
        <f>IF(B1180="","",IF(L1180="","Ukjent tekniker",IF(ISNA(MATCH(C1180,Aktiviteter,0)),"Ukjent aktivitet",IF(AND(INDEX(AktRolle,MATCH(C1180,Aktiviteter,0))&amp;""&lt;&gt;"",ISERROR(SEARCH(INDEX(AktRolle,MATCH(C1180,Aktiviteter,0))&amp;"",INDEX(TekRoller,MATCH(B1180,Teknikere,0))))),"Mangler rollen "&amp;INDEX(AktRolle,MATCH(C1180,Aktiviteter,0))&amp;"",IF(AND(C1180="LMS",F1180&gt;0,OR(D1180="",E1180="")),"Mangler maskin eller arbeid",IF(AND(OR(C1180="LMS",C1180="Mod"),D1180&lt;&gt;""),IF(IFERROR(INDEX(MaskinStatus,MATCH(D1180,Maskiner,0)),"")="I dokk","","Maskinen er ikke i dokk"),""))))))</f>
        <v/>
      </c>
      <c r="L1180" s="2">
        <f>IF(B1180="","",IFERROR(INT((MATCH(B1180,Teknikere,0)-1)/18)+1,""))</f>
        <v/>
      </c>
      <c r="M1180" s="2">
        <f>IF(OR(A1180="",B1180=""),"",B1180&amp;"|"&amp;A1180)</f>
        <v/>
      </c>
      <c r="N1180" s="2">
        <f>IF(M1180="","",SUMIFS(TF_Timer,TF_Nokkel,M1180,TF_Akt,C1180))</f>
        <v/>
      </c>
      <c r="O1180" s="2">
        <f>IF(M1180="","",IF(AND(N1180=_xlfn.MAXIFS(TF_AktSum,TF_Nokkel,M1180),COUNTIFS(M$3:M1179,M1180,N$3:N1179,N1180)=0),M1180,""))</f>
        <v/>
      </c>
    </row>
    <row r="1181">
      <c r="A1181" s="34" t="n"/>
      <c r="B1181" s="35" t="n"/>
      <c r="C1181" s="35" t="n"/>
      <c r="D1181" s="35" t="n"/>
      <c r="E1181" s="35" t="n"/>
      <c r="F1181" s="36" t="n"/>
      <c r="G1181" s="35" t="n"/>
      <c r="H1181" s="30">
        <f>IF(L1181="","",INDEX(SkiftNavn,L1181))</f>
        <v/>
      </c>
      <c r="I1181" s="30">
        <f>IF(OR(A1181="",L1181=""),"",IF(MOD(A1181-INDEX(SkiftStart,L1181),Syklus)&lt;DagK,"Kveld",IF(MOD(A1181-INDEX(SkiftStart,L1181),Syklus)&lt;DagK+DagH,"Helg",IF(MOD(A1181-INDEX(SkiftStart,L1181),Syklus)&lt;DagK+DagH+DagD,"Dag","Fri"))))</f>
        <v/>
      </c>
      <c r="J1181" s="30">
        <f>IF(I1181="Fri","Ja","")</f>
        <v/>
      </c>
      <c r="K1181" s="30">
        <f>IF(B1181="","",IF(L1181="","Ukjent tekniker",IF(ISNA(MATCH(C1181,Aktiviteter,0)),"Ukjent aktivitet",IF(AND(INDEX(AktRolle,MATCH(C1181,Aktiviteter,0))&amp;""&lt;&gt;"",ISERROR(SEARCH(INDEX(AktRolle,MATCH(C1181,Aktiviteter,0))&amp;"",INDEX(TekRoller,MATCH(B1181,Teknikere,0))))),"Mangler rollen "&amp;INDEX(AktRolle,MATCH(C1181,Aktiviteter,0))&amp;"",IF(AND(C1181="LMS",F1181&gt;0,OR(D1181="",E1181="")),"Mangler maskin eller arbeid",IF(AND(OR(C1181="LMS",C1181="Mod"),D1181&lt;&gt;""),IF(IFERROR(INDEX(MaskinStatus,MATCH(D1181,Maskiner,0)),"")="I dokk","","Maskinen er ikke i dokk"),""))))))</f>
        <v/>
      </c>
      <c r="L1181" s="2">
        <f>IF(B1181="","",IFERROR(INT((MATCH(B1181,Teknikere,0)-1)/18)+1,""))</f>
        <v/>
      </c>
      <c r="M1181" s="2">
        <f>IF(OR(A1181="",B1181=""),"",B1181&amp;"|"&amp;A1181)</f>
        <v/>
      </c>
      <c r="N1181" s="2">
        <f>IF(M1181="","",SUMIFS(TF_Timer,TF_Nokkel,M1181,TF_Akt,C1181))</f>
        <v/>
      </c>
      <c r="O1181" s="2">
        <f>IF(M1181="","",IF(AND(N1181=_xlfn.MAXIFS(TF_AktSum,TF_Nokkel,M1181),COUNTIFS(M$3:M1180,M1181,N$3:N1180,N1181)=0),M1181,""))</f>
        <v/>
      </c>
    </row>
    <row r="1182">
      <c r="A1182" s="34" t="n"/>
      <c r="B1182" s="35" t="n"/>
      <c r="C1182" s="35" t="n"/>
      <c r="D1182" s="35" t="n"/>
      <c r="E1182" s="35" t="n"/>
      <c r="F1182" s="36" t="n"/>
      <c r="G1182" s="35" t="n"/>
      <c r="H1182" s="30">
        <f>IF(L1182="","",INDEX(SkiftNavn,L1182))</f>
        <v/>
      </c>
      <c r="I1182" s="30">
        <f>IF(OR(A1182="",L1182=""),"",IF(MOD(A1182-INDEX(SkiftStart,L1182),Syklus)&lt;DagK,"Kveld",IF(MOD(A1182-INDEX(SkiftStart,L1182),Syklus)&lt;DagK+DagH,"Helg",IF(MOD(A1182-INDEX(SkiftStart,L1182),Syklus)&lt;DagK+DagH+DagD,"Dag","Fri"))))</f>
        <v/>
      </c>
      <c r="J1182" s="30">
        <f>IF(I1182="Fri","Ja","")</f>
        <v/>
      </c>
      <c r="K1182" s="30">
        <f>IF(B1182="","",IF(L1182="","Ukjent tekniker",IF(ISNA(MATCH(C1182,Aktiviteter,0)),"Ukjent aktivitet",IF(AND(INDEX(AktRolle,MATCH(C1182,Aktiviteter,0))&amp;""&lt;&gt;"",ISERROR(SEARCH(INDEX(AktRolle,MATCH(C1182,Aktiviteter,0))&amp;"",INDEX(TekRoller,MATCH(B1182,Teknikere,0))))),"Mangler rollen "&amp;INDEX(AktRolle,MATCH(C1182,Aktiviteter,0))&amp;"",IF(AND(C1182="LMS",F1182&gt;0,OR(D1182="",E1182="")),"Mangler maskin eller arbeid",IF(AND(OR(C1182="LMS",C1182="Mod"),D1182&lt;&gt;""),IF(IFERROR(INDEX(MaskinStatus,MATCH(D1182,Maskiner,0)),"")="I dokk","","Maskinen er ikke i dokk"),""))))))</f>
        <v/>
      </c>
      <c r="L1182" s="2">
        <f>IF(B1182="","",IFERROR(INT((MATCH(B1182,Teknikere,0)-1)/18)+1,""))</f>
        <v/>
      </c>
      <c r="M1182" s="2">
        <f>IF(OR(A1182="",B1182=""),"",B1182&amp;"|"&amp;A1182)</f>
        <v/>
      </c>
      <c r="N1182" s="2">
        <f>IF(M1182="","",SUMIFS(TF_Timer,TF_Nokkel,M1182,TF_Akt,C1182))</f>
        <v/>
      </c>
      <c r="O1182" s="2">
        <f>IF(M1182="","",IF(AND(N1182=_xlfn.MAXIFS(TF_AktSum,TF_Nokkel,M1182),COUNTIFS(M$3:M1181,M1182,N$3:N1181,N1182)=0),M1182,""))</f>
        <v/>
      </c>
    </row>
    <row r="1183">
      <c r="A1183" s="34" t="n"/>
      <c r="B1183" s="35" t="n"/>
      <c r="C1183" s="35" t="n"/>
      <c r="D1183" s="35" t="n"/>
      <c r="E1183" s="35" t="n"/>
      <c r="F1183" s="36" t="n"/>
      <c r="G1183" s="35" t="n"/>
      <c r="H1183" s="30">
        <f>IF(L1183="","",INDEX(SkiftNavn,L1183))</f>
        <v/>
      </c>
      <c r="I1183" s="30">
        <f>IF(OR(A1183="",L1183=""),"",IF(MOD(A1183-INDEX(SkiftStart,L1183),Syklus)&lt;DagK,"Kveld",IF(MOD(A1183-INDEX(SkiftStart,L1183),Syklus)&lt;DagK+DagH,"Helg",IF(MOD(A1183-INDEX(SkiftStart,L1183),Syklus)&lt;DagK+DagH+DagD,"Dag","Fri"))))</f>
        <v/>
      </c>
      <c r="J1183" s="30">
        <f>IF(I1183="Fri","Ja","")</f>
        <v/>
      </c>
      <c r="K1183" s="30">
        <f>IF(B1183="","",IF(L1183="","Ukjent tekniker",IF(ISNA(MATCH(C1183,Aktiviteter,0)),"Ukjent aktivitet",IF(AND(INDEX(AktRolle,MATCH(C1183,Aktiviteter,0))&amp;""&lt;&gt;"",ISERROR(SEARCH(INDEX(AktRolle,MATCH(C1183,Aktiviteter,0))&amp;"",INDEX(TekRoller,MATCH(B1183,Teknikere,0))))),"Mangler rollen "&amp;INDEX(AktRolle,MATCH(C1183,Aktiviteter,0))&amp;"",IF(AND(C1183="LMS",F1183&gt;0,OR(D1183="",E1183="")),"Mangler maskin eller arbeid",IF(AND(OR(C1183="LMS",C1183="Mod"),D1183&lt;&gt;""),IF(IFERROR(INDEX(MaskinStatus,MATCH(D1183,Maskiner,0)),"")="I dokk","","Maskinen er ikke i dokk"),""))))))</f>
        <v/>
      </c>
      <c r="L1183" s="2">
        <f>IF(B1183="","",IFERROR(INT((MATCH(B1183,Teknikere,0)-1)/18)+1,""))</f>
        <v/>
      </c>
      <c r="M1183" s="2">
        <f>IF(OR(A1183="",B1183=""),"",B1183&amp;"|"&amp;A1183)</f>
        <v/>
      </c>
      <c r="N1183" s="2">
        <f>IF(M1183="","",SUMIFS(TF_Timer,TF_Nokkel,M1183,TF_Akt,C1183))</f>
        <v/>
      </c>
      <c r="O1183" s="2">
        <f>IF(M1183="","",IF(AND(N1183=_xlfn.MAXIFS(TF_AktSum,TF_Nokkel,M1183),COUNTIFS(M$3:M1182,M1183,N$3:N1182,N1183)=0),M1183,""))</f>
        <v/>
      </c>
    </row>
    <row r="1184">
      <c r="A1184" s="34" t="n"/>
      <c r="B1184" s="35" t="n"/>
      <c r="C1184" s="35" t="n"/>
      <c r="D1184" s="35" t="n"/>
      <c r="E1184" s="35" t="n"/>
      <c r="F1184" s="36" t="n"/>
      <c r="G1184" s="35" t="n"/>
      <c r="H1184" s="30">
        <f>IF(L1184="","",INDEX(SkiftNavn,L1184))</f>
        <v/>
      </c>
      <c r="I1184" s="30">
        <f>IF(OR(A1184="",L1184=""),"",IF(MOD(A1184-INDEX(SkiftStart,L1184),Syklus)&lt;DagK,"Kveld",IF(MOD(A1184-INDEX(SkiftStart,L1184),Syklus)&lt;DagK+DagH,"Helg",IF(MOD(A1184-INDEX(SkiftStart,L1184),Syklus)&lt;DagK+DagH+DagD,"Dag","Fri"))))</f>
        <v/>
      </c>
      <c r="J1184" s="30">
        <f>IF(I1184="Fri","Ja","")</f>
        <v/>
      </c>
      <c r="K1184" s="30">
        <f>IF(B1184="","",IF(L1184="","Ukjent tekniker",IF(ISNA(MATCH(C1184,Aktiviteter,0)),"Ukjent aktivitet",IF(AND(INDEX(AktRolle,MATCH(C1184,Aktiviteter,0))&amp;""&lt;&gt;"",ISERROR(SEARCH(INDEX(AktRolle,MATCH(C1184,Aktiviteter,0))&amp;"",INDEX(TekRoller,MATCH(B1184,Teknikere,0))))),"Mangler rollen "&amp;INDEX(AktRolle,MATCH(C1184,Aktiviteter,0))&amp;"",IF(AND(C1184="LMS",F1184&gt;0,OR(D1184="",E1184="")),"Mangler maskin eller arbeid",IF(AND(OR(C1184="LMS",C1184="Mod"),D1184&lt;&gt;""),IF(IFERROR(INDEX(MaskinStatus,MATCH(D1184,Maskiner,0)),"")="I dokk","","Maskinen er ikke i dokk"),""))))))</f>
        <v/>
      </c>
      <c r="L1184" s="2">
        <f>IF(B1184="","",IFERROR(INT((MATCH(B1184,Teknikere,0)-1)/18)+1,""))</f>
        <v/>
      </c>
      <c r="M1184" s="2">
        <f>IF(OR(A1184="",B1184=""),"",B1184&amp;"|"&amp;A1184)</f>
        <v/>
      </c>
      <c r="N1184" s="2">
        <f>IF(M1184="","",SUMIFS(TF_Timer,TF_Nokkel,M1184,TF_Akt,C1184))</f>
        <v/>
      </c>
      <c r="O1184" s="2">
        <f>IF(M1184="","",IF(AND(N1184=_xlfn.MAXIFS(TF_AktSum,TF_Nokkel,M1184),COUNTIFS(M$3:M1183,M1184,N$3:N1183,N1184)=0),M1184,""))</f>
        <v/>
      </c>
    </row>
    <row r="1185">
      <c r="A1185" s="34" t="n"/>
      <c r="B1185" s="35" t="n"/>
      <c r="C1185" s="35" t="n"/>
      <c r="D1185" s="35" t="n"/>
      <c r="E1185" s="35" t="n"/>
      <c r="F1185" s="36" t="n"/>
      <c r="G1185" s="35" t="n"/>
      <c r="H1185" s="30">
        <f>IF(L1185="","",INDEX(SkiftNavn,L1185))</f>
        <v/>
      </c>
      <c r="I1185" s="30">
        <f>IF(OR(A1185="",L1185=""),"",IF(MOD(A1185-INDEX(SkiftStart,L1185),Syklus)&lt;DagK,"Kveld",IF(MOD(A1185-INDEX(SkiftStart,L1185),Syklus)&lt;DagK+DagH,"Helg",IF(MOD(A1185-INDEX(SkiftStart,L1185),Syklus)&lt;DagK+DagH+DagD,"Dag","Fri"))))</f>
        <v/>
      </c>
      <c r="J1185" s="30">
        <f>IF(I1185="Fri","Ja","")</f>
        <v/>
      </c>
      <c r="K1185" s="30">
        <f>IF(B1185="","",IF(L1185="","Ukjent tekniker",IF(ISNA(MATCH(C1185,Aktiviteter,0)),"Ukjent aktivitet",IF(AND(INDEX(AktRolle,MATCH(C1185,Aktiviteter,0))&amp;""&lt;&gt;"",ISERROR(SEARCH(INDEX(AktRolle,MATCH(C1185,Aktiviteter,0))&amp;"",INDEX(TekRoller,MATCH(B1185,Teknikere,0))))),"Mangler rollen "&amp;INDEX(AktRolle,MATCH(C1185,Aktiviteter,0))&amp;"",IF(AND(C1185="LMS",F1185&gt;0,OR(D1185="",E1185="")),"Mangler maskin eller arbeid",IF(AND(OR(C1185="LMS",C1185="Mod"),D1185&lt;&gt;""),IF(IFERROR(INDEX(MaskinStatus,MATCH(D1185,Maskiner,0)),"")="I dokk","","Maskinen er ikke i dokk"),""))))))</f>
        <v/>
      </c>
      <c r="L1185" s="2">
        <f>IF(B1185="","",IFERROR(INT((MATCH(B1185,Teknikere,0)-1)/18)+1,""))</f>
        <v/>
      </c>
      <c r="M1185" s="2">
        <f>IF(OR(A1185="",B1185=""),"",B1185&amp;"|"&amp;A1185)</f>
        <v/>
      </c>
      <c r="N1185" s="2">
        <f>IF(M1185="","",SUMIFS(TF_Timer,TF_Nokkel,M1185,TF_Akt,C1185))</f>
        <v/>
      </c>
      <c r="O1185" s="2">
        <f>IF(M1185="","",IF(AND(N1185=_xlfn.MAXIFS(TF_AktSum,TF_Nokkel,M1185),COUNTIFS(M$3:M1184,M1185,N$3:N1184,N1185)=0),M1185,""))</f>
        <v/>
      </c>
    </row>
    <row r="1186">
      <c r="A1186" s="34" t="n"/>
      <c r="B1186" s="35" t="n"/>
      <c r="C1186" s="35" t="n"/>
      <c r="D1186" s="35" t="n"/>
      <c r="E1186" s="35" t="n"/>
      <c r="F1186" s="36" t="n"/>
      <c r="G1186" s="35" t="n"/>
      <c r="H1186" s="30">
        <f>IF(L1186="","",INDEX(SkiftNavn,L1186))</f>
        <v/>
      </c>
      <c r="I1186" s="30">
        <f>IF(OR(A1186="",L1186=""),"",IF(MOD(A1186-INDEX(SkiftStart,L1186),Syklus)&lt;DagK,"Kveld",IF(MOD(A1186-INDEX(SkiftStart,L1186),Syklus)&lt;DagK+DagH,"Helg",IF(MOD(A1186-INDEX(SkiftStart,L1186),Syklus)&lt;DagK+DagH+DagD,"Dag","Fri"))))</f>
        <v/>
      </c>
      <c r="J1186" s="30">
        <f>IF(I1186="Fri","Ja","")</f>
        <v/>
      </c>
      <c r="K1186" s="30">
        <f>IF(B1186="","",IF(L1186="","Ukjent tekniker",IF(ISNA(MATCH(C1186,Aktiviteter,0)),"Ukjent aktivitet",IF(AND(INDEX(AktRolle,MATCH(C1186,Aktiviteter,0))&amp;""&lt;&gt;"",ISERROR(SEARCH(INDEX(AktRolle,MATCH(C1186,Aktiviteter,0))&amp;"",INDEX(TekRoller,MATCH(B1186,Teknikere,0))))),"Mangler rollen "&amp;INDEX(AktRolle,MATCH(C1186,Aktiviteter,0))&amp;"",IF(AND(C1186="LMS",F1186&gt;0,OR(D1186="",E1186="")),"Mangler maskin eller arbeid",IF(AND(OR(C1186="LMS",C1186="Mod"),D1186&lt;&gt;""),IF(IFERROR(INDEX(MaskinStatus,MATCH(D1186,Maskiner,0)),"")="I dokk","","Maskinen er ikke i dokk"),""))))))</f>
        <v/>
      </c>
      <c r="L1186" s="2">
        <f>IF(B1186="","",IFERROR(INT((MATCH(B1186,Teknikere,0)-1)/18)+1,""))</f>
        <v/>
      </c>
      <c r="M1186" s="2">
        <f>IF(OR(A1186="",B1186=""),"",B1186&amp;"|"&amp;A1186)</f>
        <v/>
      </c>
      <c r="N1186" s="2">
        <f>IF(M1186="","",SUMIFS(TF_Timer,TF_Nokkel,M1186,TF_Akt,C1186))</f>
        <v/>
      </c>
      <c r="O1186" s="2">
        <f>IF(M1186="","",IF(AND(N1186=_xlfn.MAXIFS(TF_AktSum,TF_Nokkel,M1186),COUNTIFS(M$3:M1185,M1186,N$3:N1185,N1186)=0),M1186,""))</f>
        <v/>
      </c>
    </row>
    <row r="1187">
      <c r="A1187" s="34" t="n"/>
      <c r="B1187" s="35" t="n"/>
      <c r="C1187" s="35" t="n"/>
      <c r="D1187" s="35" t="n"/>
      <c r="E1187" s="35" t="n"/>
      <c r="F1187" s="36" t="n"/>
      <c r="G1187" s="35" t="n"/>
      <c r="H1187" s="30">
        <f>IF(L1187="","",INDEX(SkiftNavn,L1187))</f>
        <v/>
      </c>
      <c r="I1187" s="30">
        <f>IF(OR(A1187="",L1187=""),"",IF(MOD(A1187-INDEX(SkiftStart,L1187),Syklus)&lt;DagK,"Kveld",IF(MOD(A1187-INDEX(SkiftStart,L1187),Syklus)&lt;DagK+DagH,"Helg",IF(MOD(A1187-INDEX(SkiftStart,L1187),Syklus)&lt;DagK+DagH+DagD,"Dag","Fri"))))</f>
        <v/>
      </c>
      <c r="J1187" s="30">
        <f>IF(I1187="Fri","Ja","")</f>
        <v/>
      </c>
      <c r="K1187" s="30">
        <f>IF(B1187="","",IF(L1187="","Ukjent tekniker",IF(ISNA(MATCH(C1187,Aktiviteter,0)),"Ukjent aktivitet",IF(AND(INDEX(AktRolle,MATCH(C1187,Aktiviteter,0))&amp;""&lt;&gt;"",ISERROR(SEARCH(INDEX(AktRolle,MATCH(C1187,Aktiviteter,0))&amp;"",INDEX(TekRoller,MATCH(B1187,Teknikere,0))))),"Mangler rollen "&amp;INDEX(AktRolle,MATCH(C1187,Aktiviteter,0))&amp;"",IF(AND(C1187="LMS",F1187&gt;0,OR(D1187="",E1187="")),"Mangler maskin eller arbeid",IF(AND(OR(C1187="LMS",C1187="Mod"),D1187&lt;&gt;""),IF(IFERROR(INDEX(MaskinStatus,MATCH(D1187,Maskiner,0)),"")="I dokk","","Maskinen er ikke i dokk"),""))))))</f>
        <v/>
      </c>
      <c r="L1187" s="2">
        <f>IF(B1187="","",IFERROR(INT((MATCH(B1187,Teknikere,0)-1)/18)+1,""))</f>
        <v/>
      </c>
      <c r="M1187" s="2">
        <f>IF(OR(A1187="",B1187=""),"",B1187&amp;"|"&amp;A1187)</f>
        <v/>
      </c>
      <c r="N1187" s="2">
        <f>IF(M1187="","",SUMIFS(TF_Timer,TF_Nokkel,M1187,TF_Akt,C1187))</f>
        <v/>
      </c>
      <c r="O1187" s="2">
        <f>IF(M1187="","",IF(AND(N1187=_xlfn.MAXIFS(TF_AktSum,TF_Nokkel,M1187),COUNTIFS(M$3:M1186,M1187,N$3:N1186,N1187)=0),M1187,""))</f>
        <v/>
      </c>
    </row>
    <row r="1188">
      <c r="A1188" s="34" t="n"/>
      <c r="B1188" s="35" t="n"/>
      <c r="C1188" s="35" t="n"/>
      <c r="D1188" s="35" t="n"/>
      <c r="E1188" s="35" t="n"/>
      <c r="F1188" s="36" t="n"/>
      <c r="G1188" s="35" t="n"/>
      <c r="H1188" s="30">
        <f>IF(L1188="","",INDEX(SkiftNavn,L1188))</f>
        <v/>
      </c>
      <c r="I1188" s="30">
        <f>IF(OR(A1188="",L1188=""),"",IF(MOD(A1188-INDEX(SkiftStart,L1188),Syklus)&lt;DagK,"Kveld",IF(MOD(A1188-INDEX(SkiftStart,L1188),Syklus)&lt;DagK+DagH,"Helg",IF(MOD(A1188-INDEX(SkiftStart,L1188),Syklus)&lt;DagK+DagH+DagD,"Dag","Fri"))))</f>
        <v/>
      </c>
      <c r="J1188" s="30">
        <f>IF(I1188="Fri","Ja","")</f>
        <v/>
      </c>
      <c r="K1188" s="30">
        <f>IF(B1188="","",IF(L1188="","Ukjent tekniker",IF(ISNA(MATCH(C1188,Aktiviteter,0)),"Ukjent aktivitet",IF(AND(INDEX(AktRolle,MATCH(C1188,Aktiviteter,0))&amp;""&lt;&gt;"",ISERROR(SEARCH(INDEX(AktRolle,MATCH(C1188,Aktiviteter,0))&amp;"",INDEX(TekRoller,MATCH(B1188,Teknikere,0))))),"Mangler rollen "&amp;INDEX(AktRolle,MATCH(C1188,Aktiviteter,0))&amp;"",IF(AND(C1188="LMS",F1188&gt;0,OR(D1188="",E1188="")),"Mangler maskin eller arbeid",IF(AND(OR(C1188="LMS",C1188="Mod"),D1188&lt;&gt;""),IF(IFERROR(INDEX(MaskinStatus,MATCH(D1188,Maskiner,0)),"")="I dokk","","Maskinen er ikke i dokk"),""))))))</f>
        <v/>
      </c>
      <c r="L1188" s="2">
        <f>IF(B1188="","",IFERROR(INT((MATCH(B1188,Teknikere,0)-1)/18)+1,""))</f>
        <v/>
      </c>
      <c r="M1188" s="2">
        <f>IF(OR(A1188="",B1188=""),"",B1188&amp;"|"&amp;A1188)</f>
        <v/>
      </c>
      <c r="N1188" s="2">
        <f>IF(M1188="","",SUMIFS(TF_Timer,TF_Nokkel,M1188,TF_Akt,C1188))</f>
        <v/>
      </c>
      <c r="O1188" s="2">
        <f>IF(M1188="","",IF(AND(N1188=_xlfn.MAXIFS(TF_AktSum,TF_Nokkel,M1188),COUNTIFS(M$3:M1187,M1188,N$3:N1187,N1188)=0),M1188,""))</f>
        <v/>
      </c>
    </row>
    <row r="1189">
      <c r="A1189" s="34" t="n"/>
      <c r="B1189" s="35" t="n"/>
      <c r="C1189" s="35" t="n"/>
      <c r="D1189" s="35" t="n"/>
      <c r="E1189" s="35" t="n"/>
      <c r="F1189" s="36" t="n"/>
      <c r="G1189" s="35" t="n"/>
      <c r="H1189" s="30">
        <f>IF(L1189="","",INDEX(SkiftNavn,L1189))</f>
        <v/>
      </c>
      <c r="I1189" s="30">
        <f>IF(OR(A1189="",L1189=""),"",IF(MOD(A1189-INDEX(SkiftStart,L1189),Syklus)&lt;DagK,"Kveld",IF(MOD(A1189-INDEX(SkiftStart,L1189),Syklus)&lt;DagK+DagH,"Helg",IF(MOD(A1189-INDEX(SkiftStart,L1189),Syklus)&lt;DagK+DagH+DagD,"Dag","Fri"))))</f>
        <v/>
      </c>
      <c r="J1189" s="30">
        <f>IF(I1189="Fri","Ja","")</f>
        <v/>
      </c>
      <c r="K1189" s="30">
        <f>IF(B1189="","",IF(L1189="","Ukjent tekniker",IF(ISNA(MATCH(C1189,Aktiviteter,0)),"Ukjent aktivitet",IF(AND(INDEX(AktRolle,MATCH(C1189,Aktiviteter,0))&amp;""&lt;&gt;"",ISERROR(SEARCH(INDEX(AktRolle,MATCH(C1189,Aktiviteter,0))&amp;"",INDEX(TekRoller,MATCH(B1189,Teknikere,0))))),"Mangler rollen "&amp;INDEX(AktRolle,MATCH(C1189,Aktiviteter,0))&amp;"",IF(AND(C1189="LMS",F1189&gt;0,OR(D1189="",E1189="")),"Mangler maskin eller arbeid",IF(AND(OR(C1189="LMS",C1189="Mod"),D1189&lt;&gt;""),IF(IFERROR(INDEX(MaskinStatus,MATCH(D1189,Maskiner,0)),"")="I dokk","","Maskinen er ikke i dokk"),""))))))</f>
        <v/>
      </c>
      <c r="L1189" s="2">
        <f>IF(B1189="","",IFERROR(INT((MATCH(B1189,Teknikere,0)-1)/18)+1,""))</f>
        <v/>
      </c>
      <c r="M1189" s="2">
        <f>IF(OR(A1189="",B1189=""),"",B1189&amp;"|"&amp;A1189)</f>
        <v/>
      </c>
      <c r="N1189" s="2">
        <f>IF(M1189="","",SUMIFS(TF_Timer,TF_Nokkel,M1189,TF_Akt,C1189))</f>
        <v/>
      </c>
      <c r="O1189" s="2">
        <f>IF(M1189="","",IF(AND(N1189=_xlfn.MAXIFS(TF_AktSum,TF_Nokkel,M1189),COUNTIFS(M$3:M1188,M1189,N$3:N1188,N1189)=0),M1189,""))</f>
        <v/>
      </c>
    </row>
    <row r="1190">
      <c r="A1190" s="34" t="n"/>
      <c r="B1190" s="35" t="n"/>
      <c r="C1190" s="35" t="n"/>
      <c r="D1190" s="35" t="n"/>
      <c r="E1190" s="35" t="n"/>
      <c r="F1190" s="36" t="n"/>
      <c r="G1190" s="35" t="n"/>
      <c r="H1190" s="30">
        <f>IF(L1190="","",INDEX(SkiftNavn,L1190))</f>
        <v/>
      </c>
      <c r="I1190" s="30">
        <f>IF(OR(A1190="",L1190=""),"",IF(MOD(A1190-INDEX(SkiftStart,L1190),Syklus)&lt;DagK,"Kveld",IF(MOD(A1190-INDEX(SkiftStart,L1190),Syklus)&lt;DagK+DagH,"Helg",IF(MOD(A1190-INDEX(SkiftStart,L1190),Syklus)&lt;DagK+DagH+DagD,"Dag","Fri"))))</f>
        <v/>
      </c>
      <c r="J1190" s="30">
        <f>IF(I1190="Fri","Ja","")</f>
        <v/>
      </c>
      <c r="K1190" s="30">
        <f>IF(B1190="","",IF(L1190="","Ukjent tekniker",IF(ISNA(MATCH(C1190,Aktiviteter,0)),"Ukjent aktivitet",IF(AND(INDEX(AktRolle,MATCH(C1190,Aktiviteter,0))&amp;""&lt;&gt;"",ISERROR(SEARCH(INDEX(AktRolle,MATCH(C1190,Aktiviteter,0))&amp;"",INDEX(TekRoller,MATCH(B1190,Teknikere,0))))),"Mangler rollen "&amp;INDEX(AktRolle,MATCH(C1190,Aktiviteter,0))&amp;"",IF(AND(C1190="LMS",F1190&gt;0,OR(D1190="",E1190="")),"Mangler maskin eller arbeid",IF(AND(OR(C1190="LMS",C1190="Mod"),D1190&lt;&gt;""),IF(IFERROR(INDEX(MaskinStatus,MATCH(D1190,Maskiner,0)),"")="I dokk","","Maskinen er ikke i dokk"),""))))))</f>
        <v/>
      </c>
      <c r="L1190" s="2">
        <f>IF(B1190="","",IFERROR(INT((MATCH(B1190,Teknikere,0)-1)/18)+1,""))</f>
        <v/>
      </c>
      <c r="M1190" s="2">
        <f>IF(OR(A1190="",B1190=""),"",B1190&amp;"|"&amp;A1190)</f>
        <v/>
      </c>
      <c r="N1190" s="2">
        <f>IF(M1190="","",SUMIFS(TF_Timer,TF_Nokkel,M1190,TF_Akt,C1190))</f>
        <v/>
      </c>
      <c r="O1190" s="2">
        <f>IF(M1190="","",IF(AND(N1190=_xlfn.MAXIFS(TF_AktSum,TF_Nokkel,M1190),COUNTIFS(M$3:M1189,M1190,N$3:N1189,N1190)=0),M1190,""))</f>
        <v/>
      </c>
    </row>
    <row r="1191">
      <c r="A1191" s="34" t="n"/>
      <c r="B1191" s="35" t="n"/>
      <c r="C1191" s="35" t="n"/>
      <c r="D1191" s="35" t="n"/>
      <c r="E1191" s="35" t="n"/>
      <c r="F1191" s="36" t="n"/>
      <c r="G1191" s="35" t="n"/>
      <c r="H1191" s="30">
        <f>IF(L1191="","",INDEX(SkiftNavn,L1191))</f>
        <v/>
      </c>
      <c r="I1191" s="30">
        <f>IF(OR(A1191="",L1191=""),"",IF(MOD(A1191-INDEX(SkiftStart,L1191),Syklus)&lt;DagK,"Kveld",IF(MOD(A1191-INDEX(SkiftStart,L1191),Syklus)&lt;DagK+DagH,"Helg",IF(MOD(A1191-INDEX(SkiftStart,L1191),Syklus)&lt;DagK+DagH+DagD,"Dag","Fri"))))</f>
        <v/>
      </c>
      <c r="J1191" s="30">
        <f>IF(I1191="Fri","Ja","")</f>
        <v/>
      </c>
      <c r="K1191" s="30">
        <f>IF(B1191="","",IF(L1191="","Ukjent tekniker",IF(ISNA(MATCH(C1191,Aktiviteter,0)),"Ukjent aktivitet",IF(AND(INDEX(AktRolle,MATCH(C1191,Aktiviteter,0))&amp;""&lt;&gt;"",ISERROR(SEARCH(INDEX(AktRolle,MATCH(C1191,Aktiviteter,0))&amp;"",INDEX(TekRoller,MATCH(B1191,Teknikere,0))))),"Mangler rollen "&amp;INDEX(AktRolle,MATCH(C1191,Aktiviteter,0))&amp;"",IF(AND(C1191="LMS",F1191&gt;0,OR(D1191="",E1191="")),"Mangler maskin eller arbeid",IF(AND(OR(C1191="LMS",C1191="Mod"),D1191&lt;&gt;""),IF(IFERROR(INDEX(MaskinStatus,MATCH(D1191,Maskiner,0)),"")="I dokk","","Maskinen er ikke i dokk"),""))))))</f>
        <v/>
      </c>
      <c r="L1191" s="2">
        <f>IF(B1191="","",IFERROR(INT((MATCH(B1191,Teknikere,0)-1)/18)+1,""))</f>
        <v/>
      </c>
      <c r="M1191" s="2">
        <f>IF(OR(A1191="",B1191=""),"",B1191&amp;"|"&amp;A1191)</f>
        <v/>
      </c>
      <c r="N1191" s="2">
        <f>IF(M1191="","",SUMIFS(TF_Timer,TF_Nokkel,M1191,TF_Akt,C1191))</f>
        <v/>
      </c>
      <c r="O1191" s="2">
        <f>IF(M1191="","",IF(AND(N1191=_xlfn.MAXIFS(TF_AktSum,TF_Nokkel,M1191),COUNTIFS(M$3:M1190,M1191,N$3:N1190,N1191)=0),M1191,""))</f>
        <v/>
      </c>
    </row>
    <row r="1192">
      <c r="A1192" s="34" t="n"/>
      <c r="B1192" s="35" t="n"/>
      <c r="C1192" s="35" t="n"/>
      <c r="D1192" s="35" t="n"/>
      <c r="E1192" s="35" t="n"/>
      <c r="F1192" s="36" t="n"/>
      <c r="G1192" s="35" t="n"/>
      <c r="H1192" s="30">
        <f>IF(L1192="","",INDEX(SkiftNavn,L1192))</f>
        <v/>
      </c>
      <c r="I1192" s="30">
        <f>IF(OR(A1192="",L1192=""),"",IF(MOD(A1192-INDEX(SkiftStart,L1192),Syklus)&lt;DagK,"Kveld",IF(MOD(A1192-INDEX(SkiftStart,L1192),Syklus)&lt;DagK+DagH,"Helg",IF(MOD(A1192-INDEX(SkiftStart,L1192),Syklus)&lt;DagK+DagH+DagD,"Dag","Fri"))))</f>
        <v/>
      </c>
      <c r="J1192" s="30">
        <f>IF(I1192="Fri","Ja","")</f>
        <v/>
      </c>
      <c r="K1192" s="30">
        <f>IF(B1192="","",IF(L1192="","Ukjent tekniker",IF(ISNA(MATCH(C1192,Aktiviteter,0)),"Ukjent aktivitet",IF(AND(INDEX(AktRolle,MATCH(C1192,Aktiviteter,0))&amp;""&lt;&gt;"",ISERROR(SEARCH(INDEX(AktRolle,MATCH(C1192,Aktiviteter,0))&amp;"",INDEX(TekRoller,MATCH(B1192,Teknikere,0))))),"Mangler rollen "&amp;INDEX(AktRolle,MATCH(C1192,Aktiviteter,0))&amp;"",IF(AND(C1192="LMS",F1192&gt;0,OR(D1192="",E1192="")),"Mangler maskin eller arbeid",IF(AND(OR(C1192="LMS",C1192="Mod"),D1192&lt;&gt;""),IF(IFERROR(INDEX(MaskinStatus,MATCH(D1192,Maskiner,0)),"")="I dokk","","Maskinen er ikke i dokk"),""))))))</f>
        <v/>
      </c>
      <c r="L1192" s="2">
        <f>IF(B1192="","",IFERROR(INT((MATCH(B1192,Teknikere,0)-1)/18)+1,""))</f>
        <v/>
      </c>
      <c r="M1192" s="2">
        <f>IF(OR(A1192="",B1192=""),"",B1192&amp;"|"&amp;A1192)</f>
        <v/>
      </c>
      <c r="N1192" s="2">
        <f>IF(M1192="","",SUMIFS(TF_Timer,TF_Nokkel,M1192,TF_Akt,C1192))</f>
        <v/>
      </c>
      <c r="O1192" s="2">
        <f>IF(M1192="","",IF(AND(N1192=_xlfn.MAXIFS(TF_AktSum,TF_Nokkel,M1192),COUNTIFS(M$3:M1191,M1192,N$3:N1191,N1192)=0),M1192,""))</f>
        <v/>
      </c>
    </row>
    <row r="1193">
      <c r="A1193" s="34" t="n"/>
      <c r="B1193" s="35" t="n"/>
      <c r="C1193" s="35" t="n"/>
      <c r="D1193" s="35" t="n"/>
      <c r="E1193" s="35" t="n"/>
      <c r="F1193" s="36" t="n"/>
      <c r="G1193" s="35" t="n"/>
      <c r="H1193" s="30">
        <f>IF(L1193="","",INDEX(SkiftNavn,L1193))</f>
        <v/>
      </c>
      <c r="I1193" s="30">
        <f>IF(OR(A1193="",L1193=""),"",IF(MOD(A1193-INDEX(SkiftStart,L1193),Syklus)&lt;DagK,"Kveld",IF(MOD(A1193-INDEX(SkiftStart,L1193),Syklus)&lt;DagK+DagH,"Helg",IF(MOD(A1193-INDEX(SkiftStart,L1193),Syklus)&lt;DagK+DagH+DagD,"Dag","Fri"))))</f>
        <v/>
      </c>
      <c r="J1193" s="30">
        <f>IF(I1193="Fri","Ja","")</f>
        <v/>
      </c>
      <c r="K1193" s="30">
        <f>IF(B1193="","",IF(L1193="","Ukjent tekniker",IF(ISNA(MATCH(C1193,Aktiviteter,0)),"Ukjent aktivitet",IF(AND(INDEX(AktRolle,MATCH(C1193,Aktiviteter,0))&amp;""&lt;&gt;"",ISERROR(SEARCH(INDEX(AktRolle,MATCH(C1193,Aktiviteter,0))&amp;"",INDEX(TekRoller,MATCH(B1193,Teknikere,0))))),"Mangler rollen "&amp;INDEX(AktRolle,MATCH(C1193,Aktiviteter,0))&amp;"",IF(AND(C1193="LMS",F1193&gt;0,OR(D1193="",E1193="")),"Mangler maskin eller arbeid",IF(AND(OR(C1193="LMS",C1193="Mod"),D1193&lt;&gt;""),IF(IFERROR(INDEX(MaskinStatus,MATCH(D1193,Maskiner,0)),"")="I dokk","","Maskinen er ikke i dokk"),""))))))</f>
        <v/>
      </c>
      <c r="L1193" s="2">
        <f>IF(B1193="","",IFERROR(INT((MATCH(B1193,Teknikere,0)-1)/18)+1,""))</f>
        <v/>
      </c>
      <c r="M1193" s="2">
        <f>IF(OR(A1193="",B1193=""),"",B1193&amp;"|"&amp;A1193)</f>
        <v/>
      </c>
      <c r="N1193" s="2">
        <f>IF(M1193="","",SUMIFS(TF_Timer,TF_Nokkel,M1193,TF_Akt,C1193))</f>
        <v/>
      </c>
      <c r="O1193" s="2">
        <f>IF(M1193="","",IF(AND(N1193=_xlfn.MAXIFS(TF_AktSum,TF_Nokkel,M1193),COUNTIFS(M$3:M1192,M1193,N$3:N1192,N1193)=0),M1193,""))</f>
        <v/>
      </c>
    </row>
    <row r="1194">
      <c r="A1194" s="34" t="n"/>
      <c r="B1194" s="35" t="n"/>
      <c r="C1194" s="35" t="n"/>
      <c r="D1194" s="35" t="n"/>
      <c r="E1194" s="35" t="n"/>
      <c r="F1194" s="36" t="n"/>
      <c r="G1194" s="35" t="n"/>
      <c r="H1194" s="30">
        <f>IF(L1194="","",INDEX(SkiftNavn,L1194))</f>
        <v/>
      </c>
      <c r="I1194" s="30">
        <f>IF(OR(A1194="",L1194=""),"",IF(MOD(A1194-INDEX(SkiftStart,L1194),Syklus)&lt;DagK,"Kveld",IF(MOD(A1194-INDEX(SkiftStart,L1194),Syklus)&lt;DagK+DagH,"Helg",IF(MOD(A1194-INDEX(SkiftStart,L1194),Syklus)&lt;DagK+DagH+DagD,"Dag","Fri"))))</f>
        <v/>
      </c>
      <c r="J1194" s="30">
        <f>IF(I1194="Fri","Ja","")</f>
        <v/>
      </c>
      <c r="K1194" s="30">
        <f>IF(B1194="","",IF(L1194="","Ukjent tekniker",IF(ISNA(MATCH(C1194,Aktiviteter,0)),"Ukjent aktivitet",IF(AND(INDEX(AktRolle,MATCH(C1194,Aktiviteter,0))&amp;""&lt;&gt;"",ISERROR(SEARCH(INDEX(AktRolle,MATCH(C1194,Aktiviteter,0))&amp;"",INDEX(TekRoller,MATCH(B1194,Teknikere,0))))),"Mangler rollen "&amp;INDEX(AktRolle,MATCH(C1194,Aktiviteter,0))&amp;"",IF(AND(C1194="LMS",F1194&gt;0,OR(D1194="",E1194="")),"Mangler maskin eller arbeid",IF(AND(OR(C1194="LMS",C1194="Mod"),D1194&lt;&gt;""),IF(IFERROR(INDEX(MaskinStatus,MATCH(D1194,Maskiner,0)),"")="I dokk","","Maskinen er ikke i dokk"),""))))))</f>
        <v/>
      </c>
      <c r="L1194" s="2">
        <f>IF(B1194="","",IFERROR(INT((MATCH(B1194,Teknikere,0)-1)/18)+1,""))</f>
        <v/>
      </c>
      <c r="M1194" s="2">
        <f>IF(OR(A1194="",B1194=""),"",B1194&amp;"|"&amp;A1194)</f>
        <v/>
      </c>
      <c r="N1194" s="2">
        <f>IF(M1194="","",SUMIFS(TF_Timer,TF_Nokkel,M1194,TF_Akt,C1194))</f>
        <v/>
      </c>
      <c r="O1194" s="2">
        <f>IF(M1194="","",IF(AND(N1194=_xlfn.MAXIFS(TF_AktSum,TF_Nokkel,M1194),COUNTIFS(M$3:M1193,M1194,N$3:N1193,N1194)=0),M1194,""))</f>
        <v/>
      </c>
    </row>
    <row r="1195">
      <c r="A1195" s="34" t="n"/>
      <c r="B1195" s="35" t="n"/>
      <c r="C1195" s="35" t="n"/>
      <c r="D1195" s="35" t="n"/>
      <c r="E1195" s="35" t="n"/>
      <c r="F1195" s="36" t="n"/>
      <c r="G1195" s="35" t="n"/>
      <c r="H1195" s="30">
        <f>IF(L1195="","",INDEX(SkiftNavn,L1195))</f>
        <v/>
      </c>
      <c r="I1195" s="30">
        <f>IF(OR(A1195="",L1195=""),"",IF(MOD(A1195-INDEX(SkiftStart,L1195),Syklus)&lt;DagK,"Kveld",IF(MOD(A1195-INDEX(SkiftStart,L1195),Syklus)&lt;DagK+DagH,"Helg",IF(MOD(A1195-INDEX(SkiftStart,L1195),Syklus)&lt;DagK+DagH+DagD,"Dag","Fri"))))</f>
        <v/>
      </c>
      <c r="J1195" s="30">
        <f>IF(I1195="Fri","Ja","")</f>
        <v/>
      </c>
      <c r="K1195" s="30">
        <f>IF(B1195="","",IF(L1195="","Ukjent tekniker",IF(ISNA(MATCH(C1195,Aktiviteter,0)),"Ukjent aktivitet",IF(AND(INDEX(AktRolle,MATCH(C1195,Aktiviteter,0))&amp;""&lt;&gt;"",ISERROR(SEARCH(INDEX(AktRolle,MATCH(C1195,Aktiviteter,0))&amp;"",INDEX(TekRoller,MATCH(B1195,Teknikere,0))))),"Mangler rollen "&amp;INDEX(AktRolle,MATCH(C1195,Aktiviteter,0))&amp;"",IF(AND(C1195="LMS",F1195&gt;0,OR(D1195="",E1195="")),"Mangler maskin eller arbeid",IF(AND(OR(C1195="LMS",C1195="Mod"),D1195&lt;&gt;""),IF(IFERROR(INDEX(MaskinStatus,MATCH(D1195,Maskiner,0)),"")="I dokk","","Maskinen er ikke i dokk"),""))))))</f>
        <v/>
      </c>
      <c r="L1195" s="2">
        <f>IF(B1195="","",IFERROR(INT((MATCH(B1195,Teknikere,0)-1)/18)+1,""))</f>
        <v/>
      </c>
      <c r="M1195" s="2">
        <f>IF(OR(A1195="",B1195=""),"",B1195&amp;"|"&amp;A1195)</f>
        <v/>
      </c>
      <c r="N1195" s="2">
        <f>IF(M1195="","",SUMIFS(TF_Timer,TF_Nokkel,M1195,TF_Akt,C1195))</f>
        <v/>
      </c>
      <c r="O1195" s="2">
        <f>IF(M1195="","",IF(AND(N1195=_xlfn.MAXIFS(TF_AktSum,TF_Nokkel,M1195),COUNTIFS(M$3:M1194,M1195,N$3:N1194,N1195)=0),M1195,""))</f>
        <v/>
      </c>
    </row>
    <row r="1196">
      <c r="A1196" s="34" t="n"/>
      <c r="B1196" s="35" t="n"/>
      <c r="C1196" s="35" t="n"/>
      <c r="D1196" s="35" t="n"/>
      <c r="E1196" s="35" t="n"/>
      <c r="F1196" s="36" t="n"/>
      <c r="G1196" s="35" t="n"/>
      <c r="H1196" s="30">
        <f>IF(L1196="","",INDEX(SkiftNavn,L1196))</f>
        <v/>
      </c>
      <c r="I1196" s="30">
        <f>IF(OR(A1196="",L1196=""),"",IF(MOD(A1196-INDEX(SkiftStart,L1196),Syklus)&lt;DagK,"Kveld",IF(MOD(A1196-INDEX(SkiftStart,L1196),Syklus)&lt;DagK+DagH,"Helg",IF(MOD(A1196-INDEX(SkiftStart,L1196),Syklus)&lt;DagK+DagH+DagD,"Dag","Fri"))))</f>
        <v/>
      </c>
      <c r="J1196" s="30">
        <f>IF(I1196="Fri","Ja","")</f>
        <v/>
      </c>
      <c r="K1196" s="30">
        <f>IF(B1196="","",IF(L1196="","Ukjent tekniker",IF(ISNA(MATCH(C1196,Aktiviteter,0)),"Ukjent aktivitet",IF(AND(INDEX(AktRolle,MATCH(C1196,Aktiviteter,0))&amp;""&lt;&gt;"",ISERROR(SEARCH(INDEX(AktRolle,MATCH(C1196,Aktiviteter,0))&amp;"",INDEX(TekRoller,MATCH(B1196,Teknikere,0))))),"Mangler rollen "&amp;INDEX(AktRolle,MATCH(C1196,Aktiviteter,0))&amp;"",IF(AND(C1196="LMS",F1196&gt;0,OR(D1196="",E1196="")),"Mangler maskin eller arbeid",IF(AND(OR(C1196="LMS",C1196="Mod"),D1196&lt;&gt;""),IF(IFERROR(INDEX(MaskinStatus,MATCH(D1196,Maskiner,0)),"")="I dokk","","Maskinen er ikke i dokk"),""))))))</f>
        <v/>
      </c>
      <c r="L1196" s="2">
        <f>IF(B1196="","",IFERROR(INT((MATCH(B1196,Teknikere,0)-1)/18)+1,""))</f>
        <v/>
      </c>
      <c r="M1196" s="2">
        <f>IF(OR(A1196="",B1196=""),"",B1196&amp;"|"&amp;A1196)</f>
        <v/>
      </c>
      <c r="N1196" s="2">
        <f>IF(M1196="","",SUMIFS(TF_Timer,TF_Nokkel,M1196,TF_Akt,C1196))</f>
        <v/>
      </c>
      <c r="O1196" s="2">
        <f>IF(M1196="","",IF(AND(N1196=_xlfn.MAXIFS(TF_AktSum,TF_Nokkel,M1196),COUNTIFS(M$3:M1195,M1196,N$3:N1195,N1196)=0),M1196,""))</f>
        <v/>
      </c>
    </row>
    <row r="1197">
      <c r="A1197" s="34" t="n"/>
      <c r="B1197" s="35" t="n"/>
      <c r="C1197" s="35" t="n"/>
      <c r="D1197" s="35" t="n"/>
      <c r="E1197" s="35" t="n"/>
      <c r="F1197" s="36" t="n"/>
      <c r="G1197" s="35" t="n"/>
      <c r="H1197" s="30">
        <f>IF(L1197="","",INDEX(SkiftNavn,L1197))</f>
        <v/>
      </c>
      <c r="I1197" s="30">
        <f>IF(OR(A1197="",L1197=""),"",IF(MOD(A1197-INDEX(SkiftStart,L1197),Syklus)&lt;DagK,"Kveld",IF(MOD(A1197-INDEX(SkiftStart,L1197),Syklus)&lt;DagK+DagH,"Helg",IF(MOD(A1197-INDEX(SkiftStart,L1197),Syklus)&lt;DagK+DagH+DagD,"Dag","Fri"))))</f>
        <v/>
      </c>
      <c r="J1197" s="30">
        <f>IF(I1197="Fri","Ja","")</f>
        <v/>
      </c>
      <c r="K1197" s="30">
        <f>IF(B1197="","",IF(L1197="","Ukjent tekniker",IF(ISNA(MATCH(C1197,Aktiviteter,0)),"Ukjent aktivitet",IF(AND(INDEX(AktRolle,MATCH(C1197,Aktiviteter,0))&amp;""&lt;&gt;"",ISERROR(SEARCH(INDEX(AktRolle,MATCH(C1197,Aktiviteter,0))&amp;"",INDEX(TekRoller,MATCH(B1197,Teknikere,0))))),"Mangler rollen "&amp;INDEX(AktRolle,MATCH(C1197,Aktiviteter,0))&amp;"",IF(AND(C1197="LMS",F1197&gt;0,OR(D1197="",E1197="")),"Mangler maskin eller arbeid",IF(AND(OR(C1197="LMS",C1197="Mod"),D1197&lt;&gt;""),IF(IFERROR(INDEX(MaskinStatus,MATCH(D1197,Maskiner,0)),"")="I dokk","","Maskinen er ikke i dokk"),""))))))</f>
        <v/>
      </c>
      <c r="L1197" s="2">
        <f>IF(B1197="","",IFERROR(INT((MATCH(B1197,Teknikere,0)-1)/18)+1,""))</f>
        <v/>
      </c>
      <c r="M1197" s="2">
        <f>IF(OR(A1197="",B1197=""),"",B1197&amp;"|"&amp;A1197)</f>
        <v/>
      </c>
      <c r="N1197" s="2">
        <f>IF(M1197="","",SUMIFS(TF_Timer,TF_Nokkel,M1197,TF_Akt,C1197))</f>
        <v/>
      </c>
      <c r="O1197" s="2">
        <f>IF(M1197="","",IF(AND(N1197=_xlfn.MAXIFS(TF_AktSum,TF_Nokkel,M1197),COUNTIFS(M$3:M1196,M1197,N$3:N1196,N1197)=0),M1197,""))</f>
        <v/>
      </c>
    </row>
    <row r="1198">
      <c r="A1198" s="34" t="n"/>
      <c r="B1198" s="35" t="n"/>
      <c r="C1198" s="35" t="n"/>
      <c r="D1198" s="35" t="n"/>
      <c r="E1198" s="35" t="n"/>
      <c r="F1198" s="36" t="n"/>
      <c r="G1198" s="35" t="n"/>
      <c r="H1198" s="30">
        <f>IF(L1198="","",INDEX(SkiftNavn,L1198))</f>
        <v/>
      </c>
      <c r="I1198" s="30">
        <f>IF(OR(A1198="",L1198=""),"",IF(MOD(A1198-INDEX(SkiftStart,L1198),Syklus)&lt;DagK,"Kveld",IF(MOD(A1198-INDEX(SkiftStart,L1198),Syklus)&lt;DagK+DagH,"Helg",IF(MOD(A1198-INDEX(SkiftStart,L1198),Syklus)&lt;DagK+DagH+DagD,"Dag","Fri"))))</f>
        <v/>
      </c>
      <c r="J1198" s="30">
        <f>IF(I1198="Fri","Ja","")</f>
        <v/>
      </c>
      <c r="K1198" s="30">
        <f>IF(B1198="","",IF(L1198="","Ukjent tekniker",IF(ISNA(MATCH(C1198,Aktiviteter,0)),"Ukjent aktivitet",IF(AND(INDEX(AktRolle,MATCH(C1198,Aktiviteter,0))&amp;""&lt;&gt;"",ISERROR(SEARCH(INDEX(AktRolle,MATCH(C1198,Aktiviteter,0))&amp;"",INDEX(TekRoller,MATCH(B1198,Teknikere,0))))),"Mangler rollen "&amp;INDEX(AktRolle,MATCH(C1198,Aktiviteter,0))&amp;"",IF(AND(C1198="LMS",F1198&gt;0,OR(D1198="",E1198="")),"Mangler maskin eller arbeid",IF(AND(OR(C1198="LMS",C1198="Mod"),D1198&lt;&gt;""),IF(IFERROR(INDEX(MaskinStatus,MATCH(D1198,Maskiner,0)),"")="I dokk","","Maskinen er ikke i dokk"),""))))))</f>
        <v/>
      </c>
      <c r="L1198" s="2">
        <f>IF(B1198="","",IFERROR(INT((MATCH(B1198,Teknikere,0)-1)/18)+1,""))</f>
        <v/>
      </c>
      <c r="M1198" s="2">
        <f>IF(OR(A1198="",B1198=""),"",B1198&amp;"|"&amp;A1198)</f>
        <v/>
      </c>
      <c r="N1198" s="2">
        <f>IF(M1198="","",SUMIFS(TF_Timer,TF_Nokkel,M1198,TF_Akt,C1198))</f>
        <v/>
      </c>
      <c r="O1198" s="2">
        <f>IF(M1198="","",IF(AND(N1198=_xlfn.MAXIFS(TF_AktSum,TF_Nokkel,M1198),COUNTIFS(M$3:M1197,M1198,N$3:N1197,N1198)=0),M1198,""))</f>
        <v/>
      </c>
    </row>
    <row r="1199">
      <c r="A1199" s="34" t="n"/>
      <c r="B1199" s="35" t="n"/>
      <c r="C1199" s="35" t="n"/>
      <c r="D1199" s="35" t="n"/>
      <c r="E1199" s="35" t="n"/>
      <c r="F1199" s="36" t="n"/>
      <c r="G1199" s="35" t="n"/>
      <c r="H1199" s="30">
        <f>IF(L1199="","",INDEX(SkiftNavn,L1199))</f>
        <v/>
      </c>
      <c r="I1199" s="30">
        <f>IF(OR(A1199="",L1199=""),"",IF(MOD(A1199-INDEX(SkiftStart,L1199),Syklus)&lt;DagK,"Kveld",IF(MOD(A1199-INDEX(SkiftStart,L1199),Syklus)&lt;DagK+DagH,"Helg",IF(MOD(A1199-INDEX(SkiftStart,L1199),Syklus)&lt;DagK+DagH+DagD,"Dag","Fri"))))</f>
        <v/>
      </c>
      <c r="J1199" s="30">
        <f>IF(I1199="Fri","Ja","")</f>
        <v/>
      </c>
      <c r="K1199" s="30">
        <f>IF(B1199="","",IF(L1199="","Ukjent tekniker",IF(ISNA(MATCH(C1199,Aktiviteter,0)),"Ukjent aktivitet",IF(AND(INDEX(AktRolle,MATCH(C1199,Aktiviteter,0))&amp;""&lt;&gt;"",ISERROR(SEARCH(INDEX(AktRolle,MATCH(C1199,Aktiviteter,0))&amp;"",INDEX(TekRoller,MATCH(B1199,Teknikere,0))))),"Mangler rollen "&amp;INDEX(AktRolle,MATCH(C1199,Aktiviteter,0))&amp;"",IF(AND(C1199="LMS",F1199&gt;0,OR(D1199="",E1199="")),"Mangler maskin eller arbeid",IF(AND(OR(C1199="LMS",C1199="Mod"),D1199&lt;&gt;""),IF(IFERROR(INDEX(MaskinStatus,MATCH(D1199,Maskiner,0)),"")="I dokk","","Maskinen er ikke i dokk"),""))))))</f>
        <v/>
      </c>
      <c r="L1199" s="2">
        <f>IF(B1199="","",IFERROR(INT((MATCH(B1199,Teknikere,0)-1)/18)+1,""))</f>
        <v/>
      </c>
      <c r="M1199" s="2">
        <f>IF(OR(A1199="",B1199=""),"",B1199&amp;"|"&amp;A1199)</f>
        <v/>
      </c>
      <c r="N1199" s="2">
        <f>IF(M1199="","",SUMIFS(TF_Timer,TF_Nokkel,M1199,TF_Akt,C1199))</f>
        <v/>
      </c>
      <c r="O1199" s="2">
        <f>IF(M1199="","",IF(AND(N1199=_xlfn.MAXIFS(TF_AktSum,TF_Nokkel,M1199),COUNTIFS(M$3:M1198,M1199,N$3:N1198,N1199)=0),M1199,""))</f>
        <v/>
      </c>
    </row>
    <row r="1200">
      <c r="A1200" s="34" t="n"/>
      <c r="B1200" s="35" t="n"/>
      <c r="C1200" s="35" t="n"/>
      <c r="D1200" s="35" t="n"/>
      <c r="E1200" s="35" t="n"/>
      <c r="F1200" s="36" t="n"/>
      <c r="G1200" s="35" t="n"/>
      <c r="H1200" s="30">
        <f>IF(L1200="","",INDEX(SkiftNavn,L1200))</f>
        <v/>
      </c>
      <c r="I1200" s="30">
        <f>IF(OR(A1200="",L1200=""),"",IF(MOD(A1200-INDEX(SkiftStart,L1200),Syklus)&lt;DagK,"Kveld",IF(MOD(A1200-INDEX(SkiftStart,L1200),Syklus)&lt;DagK+DagH,"Helg",IF(MOD(A1200-INDEX(SkiftStart,L1200),Syklus)&lt;DagK+DagH+DagD,"Dag","Fri"))))</f>
        <v/>
      </c>
      <c r="J1200" s="30">
        <f>IF(I1200="Fri","Ja","")</f>
        <v/>
      </c>
      <c r="K1200" s="30">
        <f>IF(B1200="","",IF(L1200="","Ukjent tekniker",IF(ISNA(MATCH(C1200,Aktiviteter,0)),"Ukjent aktivitet",IF(AND(INDEX(AktRolle,MATCH(C1200,Aktiviteter,0))&amp;""&lt;&gt;"",ISERROR(SEARCH(INDEX(AktRolle,MATCH(C1200,Aktiviteter,0))&amp;"",INDEX(TekRoller,MATCH(B1200,Teknikere,0))))),"Mangler rollen "&amp;INDEX(AktRolle,MATCH(C1200,Aktiviteter,0))&amp;"",IF(AND(C1200="LMS",F1200&gt;0,OR(D1200="",E1200="")),"Mangler maskin eller arbeid",IF(AND(OR(C1200="LMS",C1200="Mod"),D1200&lt;&gt;""),IF(IFERROR(INDEX(MaskinStatus,MATCH(D1200,Maskiner,0)),"")="I dokk","","Maskinen er ikke i dokk"),""))))))</f>
        <v/>
      </c>
      <c r="L1200" s="2">
        <f>IF(B1200="","",IFERROR(INT((MATCH(B1200,Teknikere,0)-1)/18)+1,""))</f>
        <v/>
      </c>
      <c r="M1200" s="2">
        <f>IF(OR(A1200="",B1200=""),"",B1200&amp;"|"&amp;A1200)</f>
        <v/>
      </c>
      <c r="N1200" s="2">
        <f>IF(M1200="","",SUMIFS(TF_Timer,TF_Nokkel,M1200,TF_Akt,C1200))</f>
        <v/>
      </c>
      <c r="O1200" s="2">
        <f>IF(M1200="","",IF(AND(N1200=_xlfn.MAXIFS(TF_AktSum,TF_Nokkel,M1200),COUNTIFS(M$3:M1199,M1200,N$3:N1199,N1200)=0),M1200,""))</f>
        <v/>
      </c>
    </row>
    <row r="1201">
      <c r="A1201" s="34" t="n"/>
      <c r="B1201" s="35" t="n"/>
      <c r="C1201" s="35" t="n"/>
      <c r="D1201" s="35" t="n"/>
      <c r="E1201" s="35" t="n"/>
      <c r="F1201" s="36" t="n"/>
      <c r="G1201" s="35" t="n"/>
      <c r="H1201" s="30">
        <f>IF(L1201="","",INDEX(SkiftNavn,L1201))</f>
        <v/>
      </c>
      <c r="I1201" s="30">
        <f>IF(OR(A1201="",L1201=""),"",IF(MOD(A1201-INDEX(SkiftStart,L1201),Syklus)&lt;DagK,"Kveld",IF(MOD(A1201-INDEX(SkiftStart,L1201),Syklus)&lt;DagK+DagH,"Helg",IF(MOD(A1201-INDEX(SkiftStart,L1201),Syklus)&lt;DagK+DagH+DagD,"Dag","Fri"))))</f>
        <v/>
      </c>
      <c r="J1201" s="30">
        <f>IF(I1201="Fri","Ja","")</f>
        <v/>
      </c>
      <c r="K1201" s="30">
        <f>IF(B1201="","",IF(L1201="","Ukjent tekniker",IF(ISNA(MATCH(C1201,Aktiviteter,0)),"Ukjent aktivitet",IF(AND(INDEX(AktRolle,MATCH(C1201,Aktiviteter,0))&amp;""&lt;&gt;"",ISERROR(SEARCH(INDEX(AktRolle,MATCH(C1201,Aktiviteter,0))&amp;"",INDEX(TekRoller,MATCH(B1201,Teknikere,0))))),"Mangler rollen "&amp;INDEX(AktRolle,MATCH(C1201,Aktiviteter,0))&amp;"",IF(AND(C1201="LMS",F1201&gt;0,OR(D1201="",E1201="")),"Mangler maskin eller arbeid",IF(AND(OR(C1201="LMS",C1201="Mod"),D1201&lt;&gt;""),IF(IFERROR(INDEX(MaskinStatus,MATCH(D1201,Maskiner,0)),"")="I dokk","","Maskinen er ikke i dokk"),""))))))</f>
        <v/>
      </c>
      <c r="L1201" s="2">
        <f>IF(B1201="","",IFERROR(INT((MATCH(B1201,Teknikere,0)-1)/18)+1,""))</f>
        <v/>
      </c>
      <c r="M1201" s="2">
        <f>IF(OR(A1201="",B1201=""),"",B1201&amp;"|"&amp;A1201)</f>
        <v/>
      </c>
      <c r="N1201" s="2">
        <f>IF(M1201="","",SUMIFS(TF_Timer,TF_Nokkel,M1201,TF_Akt,C1201))</f>
        <v/>
      </c>
      <c r="O1201" s="2">
        <f>IF(M1201="","",IF(AND(N1201=_xlfn.MAXIFS(TF_AktSum,TF_Nokkel,M1201),COUNTIFS(M$3:M1200,M1201,N$3:N1200,N1201)=0),M1201,""))</f>
        <v/>
      </c>
    </row>
    <row r="1202">
      <c r="A1202" s="34" t="n"/>
      <c r="B1202" s="35" t="n"/>
      <c r="C1202" s="35" t="n"/>
      <c r="D1202" s="35" t="n"/>
      <c r="E1202" s="35" t="n"/>
      <c r="F1202" s="36" t="n"/>
      <c r="G1202" s="35" t="n"/>
      <c r="H1202" s="30">
        <f>IF(L1202="","",INDEX(SkiftNavn,L1202))</f>
        <v/>
      </c>
      <c r="I1202" s="30">
        <f>IF(OR(A1202="",L1202=""),"",IF(MOD(A1202-INDEX(SkiftStart,L1202),Syklus)&lt;DagK,"Kveld",IF(MOD(A1202-INDEX(SkiftStart,L1202),Syklus)&lt;DagK+DagH,"Helg",IF(MOD(A1202-INDEX(SkiftStart,L1202),Syklus)&lt;DagK+DagH+DagD,"Dag","Fri"))))</f>
        <v/>
      </c>
      <c r="J1202" s="30">
        <f>IF(I1202="Fri","Ja","")</f>
        <v/>
      </c>
      <c r="K1202" s="30">
        <f>IF(B1202="","",IF(L1202="","Ukjent tekniker",IF(ISNA(MATCH(C1202,Aktiviteter,0)),"Ukjent aktivitet",IF(AND(INDEX(AktRolle,MATCH(C1202,Aktiviteter,0))&amp;""&lt;&gt;"",ISERROR(SEARCH(INDEX(AktRolle,MATCH(C1202,Aktiviteter,0))&amp;"",INDEX(TekRoller,MATCH(B1202,Teknikere,0))))),"Mangler rollen "&amp;INDEX(AktRolle,MATCH(C1202,Aktiviteter,0))&amp;"",IF(AND(C1202="LMS",F1202&gt;0,OR(D1202="",E1202="")),"Mangler maskin eller arbeid",IF(AND(OR(C1202="LMS",C1202="Mod"),D1202&lt;&gt;""),IF(IFERROR(INDEX(MaskinStatus,MATCH(D1202,Maskiner,0)),"")="I dokk","","Maskinen er ikke i dokk"),""))))))</f>
        <v/>
      </c>
      <c r="L1202" s="2">
        <f>IF(B1202="","",IFERROR(INT((MATCH(B1202,Teknikere,0)-1)/18)+1,""))</f>
        <v/>
      </c>
      <c r="M1202" s="2">
        <f>IF(OR(A1202="",B1202=""),"",B1202&amp;"|"&amp;A1202)</f>
        <v/>
      </c>
      <c r="N1202" s="2">
        <f>IF(M1202="","",SUMIFS(TF_Timer,TF_Nokkel,M1202,TF_Akt,C1202))</f>
        <v/>
      </c>
      <c r="O1202" s="2">
        <f>IF(M1202="","",IF(AND(N1202=_xlfn.MAXIFS(TF_AktSum,TF_Nokkel,M1202),COUNTIFS(M$3:M1201,M1202,N$3:N1201,N1202)=0),M1202,""))</f>
        <v/>
      </c>
    </row>
    <row r="1203">
      <c r="A1203" s="34" t="n"/>
      <c r="B1203" s="35" t="n"/>
      <c r="C1203" s="35" t="n"/>
      <c r="D1203" s="35" t="n"/>
      <c r="E1203" s="35" t="n"/>
      <c r="F1203" s="36" t="n"/>
      <c r="G1203" s="35" t="n"/>
      <c r="H1203" s="30">
        <f>IF(L1203="","",INDEX(SkiftNavn,L1203))</f>
        <v/>
      </c>
      <c r="I1203" s="30">
        <f>IF(OR(A1203="",L1203=""),"",IF(MOD(A1203-INDEX(SkiftStart,L1203),Syklus)&lt;DagK,"Kveld",IF(MOD(A1203-INDEX(SkiftStart,L1203),Syklus)&lt;DagK+DagH,"Helg",IF(MOD(A1203-INDEX(SkiftStart,L1203),Syklus)&lt;DagK+DagH+DagD,"Dag","Fri"))))</f>
        <v/>
      </c>
      <c r="J1203" s="30">
        <f>IF(I1203="Fri","Ja","")</f>
        <v/>
      </c>
      <c r="K1203" s="30">
        <f>IF(B1203="","",IF(L1203="","Ukjent tekniker",IF(ISNA(MATCH(C1203,Aktiviteter,0)),"Ukjent aktivitet",IF(AND(INDEX(AktRolle,MATCH(C1203,Aktiviteter,0))&amp;""&lt;&gt;"",ISERROR(SEARCH(INDEX(AktRolle,MATCH(C1203,Aktiviteter,0))&amp;"",INDEX(TekRoller,MATCH(B1203,Teknikere,0))))),"Mangler rollen "&amp;INDEX(AktRolle,MATCH(C1203,Aktiviteter,0))&amp;"",IF(AND(C1203="LMS",F1203&gt;0,OR(D1203="",E1203="")),"Mangler maskin eller arbeid",IF(AND(OR(C1203="LMS",C1203="Mod"),D1203&lt;&gt;""),IF(IFERROR(INDEX(MaskinStatus,MATCH(D1203,Maskiner,0)),"")="I dokk","","Maskinen er ikke i dokk"),""))))))</f>
        <v/>
      </c>
      <c r="L1203" s="2">
        <f>IF(B1203="","",IFERROR(INT((MATCH(B1203,Teknikere,0)-1)/18)+1,""))</f>
        <v/>
      </c>
      <c r="M1203" s="2">
        <f>IF(OR(A1203="",B1203=""),"",B1203&amp;"|"&amp;A1203)</f>
        <v/>
      </c>
      <c r="N1203" s="2">
        <f>IF(M1203="","",SUMIFS(TF_Timer,TF_Nokkel,M1203,TF_Akt,C1203))</f>
        <v/>
      </c>
      <c r="O1203" s="2">
        <f>IF(M1203="","",IF(AND(N1203=_xlfn.MAXIFS(TF_AktSum,TF_Nokkel,M1203),COUNTIFS(M$3:M1202,M1203,N$3:N1202,N1203)=0),M1203,""))</f>
        <v/>
      </c>
    </row>
    <row r="1204">
      <c r="A1204" s="34" t="n"/>
      <c r="B1204" s="35" t="n"/>
      <c r="C1204" s="35" t="n"/>
      <c r="D1204" s="35" t="n"/>
      <c r="E1204" s="35" t="n"/>
      <c r="F1204" s="36" t="n"/>
      <c r="G1204" s="35" t="n"/>
      <c r="H1204" s="30">
        <f>IF(L1204="","",INDEX(SkiftNavn,L1204))</f>
        <v/>
      </c>
      <c r="I1204" s="30">
        <f>IF(OR(A1204="",L1204=""),"",IF(MOD(A1204-INDEX(SkiftStart,L1204),Syklus)&lt;DagK,"Kveld",IF(MOD(A1204-INDEX(SkiftStart,L1204),Syklus)&lt;DagK+DagH,"Helg",IF(MOD(A1204-INDEX(SkiftStart,L1204),Syklus)&lt;DagK+DagH+DagD,"Dag","Fri"))))</f>
        <v/>
      </c>
      <c r="J1204" s="30">
        <f>IF(I1204="Fri","Ja","")</f>
        <v/>
      </c>
      <c r="K1204" s="30">
        <f>IF(B1204="","",IF(L1204="","Ukjent tekniker",IF(ISNA(MATCH(C1204,Aktiviteter,0)),"Ukjent aktivitet",IF(AND(INDEX(AktRolle,MATCH(C1204,Aktiviteter,0))&amp;""&lt;&gt;"",ISERROR(SEARCH(INDEX(AktRolle,MATCH(C1204,Aktiviteter,0))&amp;"",INDEX(TekRoller,MATCH(B1204,Teknikere,0))))),"Mangler rollen "&amp;INDEX(AktRolle,MATCH(C1204,Aktiviteter,0))&amp;"",IF(AND(C1204="LMS",F1204&gt;0,OR(D1204="",E1204="")),"Mangler maskin eller arbeid",IF(AND(OR(C1204="LMS",C1204="Mod"),D1204&lt;&gt;""),IF(IFERROR(INDEX(MaskinStatus,MATCH(D1204,Maskiner,0)),"")="I dokk","","Maskinen er ikke i dokk"),""))))))</f>
        <v/>
      </c>
      <c r="L1204" s="2">
        <f>IF(B1204="","",IFERROR(INT((MATCH(B1204,Teknikere,0)-1)/18)+1,""))</f>
        <v/>
      </c>
      <c r="M1204" s="2">
        <f>IF(OR(A1204="",B1204=""),"",B1204&amp;"|"&amp;A1204)</f>
        <v/>
      </c>
      <c r="N1204" s="2">
        <f>IF(M1204="","",SUMIFS(TF_Timer,TF_Nokkel,M1204,TF_Akt,C1204))</f>
        <v/>
      </c>
      <c r="O1204" s="2">
        <f>IF(M1204="","",IF(AND(N1204=_xlfn.MAXIFS(TF_AktSum,TF_Nokkel,M1204),COUNTIFS(M$3:M1203,M1204,N$3:N1203,N1204)=0),M1204,""))</f>
        <v/>
      </c>
    </row>
    <row r="1205">
      <c r="A1205" s="34" t="n"/>
      <c r="B1205" s="35" t="n"/>
      <c r="C1205" s="35" t="n"/>
      <c r="D1205" s="35" t="n"/>
      <c r="E1205" s="35" t="n"/>
      <c r="F1205" s="36" t="n"/>
      <c r="G1205" s="35" t="n"/>
      <c r="H1205" s="30">
        <f>IF(L1205="","",INDEX(SkiftNavn,L1205))</f>
        <v/>
      </c>
      <c r="I1205" s="30">
        <f>IF(OR(A1205="",L1205=""),"",IF(MOD(A1205-INDEX(SkiftStart,L1205),Syklus)&lt;DagK,"Kveld",IF(MOD(A1205-INDEX(SkiftStart,L1205),Syklus)&lt;DagK+DagH,"Helg",IF(MOD(A1205-INDEX(SkiftStart,L1205),Syklus)&lt;DagK+DagH+DagD,"Dag","Fri"))))</f>
        <v/>
      </c>
      <c r="J1205" s="30">
        <f>IF(I1205="Fri","Ja","")</f>
        <v/>
      </c>
      <c r="K1205" s="30">
        <f>IF(B1205="","",IF(L1205="","Ukjent tekniker",IF(ISNA(MATCH(C1205,Aktiviteter,0)),"Ukjent aktivitet",IF(AND(INDEX(AktRolle,MATCH(C1205,Aktiviteter,0))&amp;""&lt;&gt;"",ISERROR(SEARCH(INDEX(AktRolle,MATCH(C1205,Aktiviteter,0))&amp;"",INDEX(TekRoller,MATCH(B1205,Teknikere,0))))),"Mangler rollen "&amp;INDEX(AktRolle,MATCH(C1205,Aktiviteter,0))&amp;"",IF(AND(C1205="LMS",F1205&gt;0,OR(D1205="",E1205="")),"Mangler maskin eller arbeid",IF(AND(OR(C1205="LMS",C1205="Mod"),D1205&lt;&gt;""),IF(IFERROR(INDEX(MaskinStatus,MATCH(D1205,Maskiner,0)),"")="I dokk","","Maskinen er ikke i dokk"),""))))))</f>
        <v/>
      </c>
      <c r="L1205" s="2">
        <f>IF(B1205="","",IFERROR(INT((MATCH(B1205,Teknikere,0)-1)/18)+1,""))</f>
        <v/>
      </c>
      <c r="M1205" s="2">
        <f>IF(OR(A1205="",B1205=""),"",B1205&amp;"|"&amp;A1205)</f>
        <v/>
      </c>
      <c r="N1205" s="2">
        <f>IF(M1205="","",SUMIFS(TF_Timer,TF_Nokkel,M1205,TF_Akt,C1205))</f>
        <v/>
      </c>
      <c r="O1205" s="2">
        <f>IF(M1205="","",IF(AND(N1205=_xlfn.MAXIFS(TF_AktSum,TF_Nokkel,M1205),COUNTIFS(M$3:M1204,M1205,N$3:N1204,N1205)=0),M1205,""))</f>
        <v/>
      </c>
    </row>
    <row r="1206">
      <c r="A1206" s="34" t="n"/>
      <c r="B1206" s="35" t="n"/>
      <c r="C1206" s="35" t="n"/>
      <c r="D1206" s="35" t="n"/>
      <c r="E1206" s="35" t="n"/>
      <c r="F1206" s="36" t="n"/>
      <c r="G1206" s="35" t="n"/>
      <c r="H1206" s="30">
        <f>IF(L1206="","",INDEX(SkiftNavn,L1206))</f>
        <v/>
      </c>
      <c r="I1206" s="30">
        <f>IF(OR(A1206="",L1206=""),"",IF(MOD(A1206-INDEX(SkiftStart,L1206),Syklus)&lt;DagK,"Kveld",IF(MOD(A1206-INDEX(SkiftStart,L1206),Syklus)&lt;DagK+DagH,"Helg",IF(MOD(A1206-INDEX(SkiftStart,L1206),Syklus)&lt;DagK+DagH+DagD,"Dag","Fri"))))</f>
        <v/>
      </c>
      <c r="J1206" s="30">
        <f>IF(I1206="Fri","Ja","")</f>
        <v/>
      </c>
      <c r="K1206" s="30">
        <f>IF(B1206="","",IF(L1206="","Ukjent tekniker",IF(ISNA(MATCH(C1206,Aktiviteter,0)),"Ukjent aktivitet",IF(AND(INDEX(AktRolle,MATCH(C1206,Aktiviteter,0))&amp;""&lt;&gt;"",ISERROR(SEARCH(INDEX(AktRolle,MATCH(C1206,Aktiviteter,0))&amp;"",INDEX(TekRoller,MATCH(B1206,Teknikere,0))))),"Mangler rollen "&amp;INDEX(AktRolle,MATCH(C1206,Aktiviteter,0))&amp;"",IF(AND(C1206="LMS",F1206&gt;0,OR(D1206="",E1206="")),"Mangler maskin eller arbeid",IF(AND(OR(C1206="LMS",C1206="Mod"),D1206&lt;&gt;""),IF(IFERROR(INDEX(MaskinStatus,MATCH(D1206,Maskiner,0)),"")="I dokk","","Maskinen er ikke i dokk"),""))))))</f>
        <v/>
      </c>
      <c r="L1206" s="2">
        <f>IF(B1206="","",IFERROR(INT((MATCH(B1206,Teknikere,0)-1)/18)+1,""))</f>
        <v/>
      </c>
      <c r="M1206" s="2">
        <f>IF(OR(A1206="",B1206=""),"",B1206&amp;"|"&amp;A1206)</f>
        <v/>
      </c>
      <c r="N1206" s="2">
        <f>IF(M1206="","",SUMIFS(TF_Timer,TF_Nokkel,M1206,TF_Akt,C1206))</f>
        <v/>
      </c>
      <c r="O1206" s="2">
        <f>IF(M1206="","",IF(AND(N1206=_xlfn.MAXIFS(TF_AktSum,TF_Nokkel,M1206),COUNTIFS(M$3:M1205,M1206,N$3:N1205,N1206)=0),M1206,""))</f>
        <v/>
      </c>
    </row>
    <row r="1207">
      <c r="A1207" s="34" t="n"/>
      <c r="B1207" s="35" t="n"/>
      <c r="C1207" s="35" t="n"/>
      <c r="D1207" s="35" t="n"/>
      <c r="E1207" s="35" t="n"/>
      <c r="F1207" s="36" t="n"/>
      <c r="G1207" s="35" t="n"/>
      <c r="H1207" s="30">
        <f>IF(L1207="","",INDEX(SkiftNavn,L1207))</f>
        <v/>
      </c>
      <c r="I1207" s="30">
        <f>IF(OR(A1207="",L1207=""),"",IF(MOD(A1207-INDEX(SkiftStart,L1207),Syklus)&lt;DagK,"Kveld",IF(MOD(A1207-INDEX(SkiftStart,L1207),Syklus)&lt;DagK+DagH,"Helg",IF(MOD(A1207-INDEX(SkiftStart,L1207),Syklus)&lt;DagK+DagH+DagD,"Dag","Fri"))))</f>
        <v/>
      </c>
      <c r="J1207" s="30">
        <f>IF(I1207="Fri","Ja","")</f>
        <v/>
      </c>
      <c r="K1207" s="30">
        <f>IF(B1207="","",IF(L1207="","Ukjent tekniker",IF(ISNA(MATCH(C1207,Aktiviteter,0)),"Ukjent aktivitet",IF(AND(INDEX(AktRolle,MATCH(C1207,Aktiviteter,0))&amp;""&lt;&gt;"",ISERROR(SEARCH(INDEX(AktRolle,MATCH(C1207,Aktiviteter,0))&amp;"",INDEX(TekRoller,MATCH(B1207,Teknikere,0))))),"Mangler rollen "&amp;INDEX(AktRolle,MATCH(C1207,Aktiviteter,0))&amp;"",IF(AND(C1207="LMS",F1207&gt;0,OR(D1207="",E1207="")),"Mangler maskin eller arbeid",IF(AND(OR(C1207="LMS",C1207="Mod"),D1207&lt;&gt;""),IF(IFERROR(INDEX(MaskinStatus,MATCH(D1207,Maskiner,0)),"")="I dokk","","Maskinen er ikke i dokk"),""))))))</f>
        <v/>
      </c>
      <c r="L1207" s="2">
        <f>IF(B1207="","",IFERROR(INT((MATCH(B1207,Teknikere,0)-1)/18)+1,""))</f>
        <v/>
      </c>
      <c r="M1207" s="2">
        <f>IF(OR(A1207="",B1207=""),"",B1207&amp;"|"&amp;A1207)</f>
        <v/>
      </c>
      <c r="N1207" s="2">
        <f>IF(M1207="","",SUMIFS(TF_Timer,TF_Nokkel,M1207,TF_Akt,C1207))</f>
        <v/>
      </c>
      <c r="O1207" s="2">
        <f>IF(M1207="","",IF(AND(N1207=_xlfn.MAXIFS(TF_AktSum,TF_Nokkel,M1207),COUNTIFS(M$3:M1206,M1207,N$3:N1206,N1207)=0),M1207,""))</f>
        <v/>
      </c>
    </row>
    <row r="1208">
      <c r="A1208" s="34" t="n"/>
      <c r="B1208" s="35" t="n"/>
      <c r="C1208" s="35" t="n"/>
      <c r="D1208" s="35" t="n"/>
      <c r="E1208" s="35" t="n"/>
      <c r="F1208" s="36" t="n"/>
      <c r="G1208" s="35" t="n"/>
      <c r="H1208" s="30">
        <f>IF(L1208="","",INDEX(SkiftNavn,L1208))</f>
        <v/>
      </c>
      <c r="I1208" s="30">
        <f>IF(OR(A1208="",L1208=""),"",IF(MOD(A1208-INDEX(SkiftStart,L1208),Syklus)&lt;DagK,"Kveld",IF(MOD(A1208-INDEX(SkiftStart,L1208),Syklus)&lt;DagK+DagH,"Helg",IF(MOD(A1208-INDEX(SkiftStart,L1208),Syklus)&lt;DagK+DagH+DagD,"Dag","Fri"))))</f>
        <v/>
      </c>
      <c r="J1208" s="30">
        <f>IF(I1208="Fri","Ja","")</f>
        <v/>
      </c>
      <c r="K1208" s="30">
        <f>IF(B1208="","",IF(L1208="","Ukjent tekniker",IF(ISNA(MATCH(C1208,Aktiviteter,0)),"Ukjent aktivitet",IF(AND(INDEX(AktRolle,MATCH(C1208,Aktiviteter,0))&amp;""&lt;&gt;"",ISERROR(SEARCH(INDEX(AktRolle,MATCH(C1208,Aktiviteter,0))&amp;"",INDEX(TekRoller,MATCH(B1208,Teknikere,0))))),"Mangler rollen "&amp;INDEX(AktRolle,MATCH(C1208,Aktiviteter,0))&amp;"",IF(AND(C1208="LMS",F1208&gt;0,OR(D1208="",E1208="")),"Mangler maskin eller arbeid",IF(AND(OR(C1208="LMS",C1208="Mod"),D1208&lt;&gt;""),IF(IFERROR(INDEX(MaskinStatus,MATCH(D1208,Maskiner,0)),"")="I dokk","","Maskinen er ikke i dokk"),""))))))</f>
        <v/>
      </c>
      <c r="L1208" s="2">
        <f>IF(B1208="","",IFERROR(INT((MATCH(B1208,Teknikere,0)-1)/18)+1,""))</f>
        <v/>
      </c>
      <c r="M1208" s="2">
        <f>IF(OR(A1208="",B1208=""),"",B1208&amp;"|"&amp;A1208)</f>
        <v/>
      </c>
      <c r="N1208" s="2">
        <f>IF(M1208="","",SUMIFS(TF_Timer,TF_Nokkel,M1208,TF_Akt,C1208))</f>
        <v/>
      </c>
      <c r="O1208" s="2">
        <f>IF(M1208="","",IF(AND(N1208=_xlfn.MAXIFS(TF_AktSum,TF_Nokkel,M1208),COUNTIFS(M$3:M1207,M1208,N$3:N1207,N1208)=0),M1208,""))</f>
        <v/>
      </c>
    </row>
    <row r="1209">
      <c r="A1209" s="34" t="n"/>
      <c r="B1209" s="35" t="n"/>
      <c r="C1209" s="35" t="n"/>
      <c r="D1209" s="35" t="n"/>
      <c r="E1209" s="35" t="n"/>
      <c r="F1209" s="36" t="n"/>
      <c r="G1209" s="35" t="n"/>
      <c r="H1209" s="30">
        <f>IF(L1209="","",INDEX(SkiftNavn,L1209))</f>
        <v/>
      </c>
      <c r="I1209" s="30">
        <f>IF(OR(A1209="",L1209=""),"",IF(MOD(A1209-INDEX(SkiftStart,L1209),Syklus)&lt;DagK,"Kveld",IF(MOD(A1209-INDEX(SkiftStart,L1209),Syklus)&lt;DagK+DagH,"Helg",IF(MOD(A1209-INDEX(SkiftStart,L1209),Syklus)&lt;DagK+DagH+DagD,"Dag","Fri"))))</f>
        <v/>
      </c>
      <c r="J1209" s="30">
        <f>IF(I1209="Fri","Ja","")</f>
        <v/>
      </c>
      <c r="K1209" s="30">
        <f>IF(B1209="","",IF(L1209="","Ukjent tekniker",IF(ISNA(MATCH(C1209,Aktiviteter,0)),"Ukjent aktivitet",IF(AND(INDEX(AktRolle,MATCH(C1209,Aktiviteter,0))&amp;""&lt;&gt;"",ISERROR(SEARCH(INDEX(AktRolle,MATCH(C1209,Aktiviteter,0))&amp;"",INDEX(TekRoller,MATCH(B1209,Teknikere,0))))),"Mangler rollen "&amp;INDEX(AktRolle,MATCH(C1209,Aktiviteter,0))&amp;"",IF(AND(C1209="LMS",F1209&gt;0,OR(D1209="",E1209="")),"Mangler maskin eller arbeid",IF(AND(OR(C1209="LMS",C1209="Mod"),D1209&lt;&gt;""),IF(IFERROR(INDEX(MaskinStatus,MATCH(D1209,Maskiner,0)),"")="I dokk","","Maskinen er ikke i dokk"),""))))))</f>
        <v/>
      </c>
      <c r="L1209" s="2">
        <f>IF(B1209="","",IFERROR(INT((MATCH(B1209,Teknikere,0)-1)/18)+1,""))</f>
        <v/>
      </c>
      <c r="M1209" s="2">
        <f>IF(OR(A1209="",B1209=""),"",B1209&amp;"|"&amp;A1209)</f>
        <v/>
      </c>
      <c r="N1209" s="2">
        <f>IF(M1209="","",SUMIFS(TF_Timer,TF_Nokkel,M1209,TF_Akt,C1209))</f>
        <v/>
      </c>
      <c r="O1209" s="2">
        <f>IF(M1209="","",IF(AND(N1209=_xlfn.MAXIFS(TF_AktSum,TF_Nokkel,M1209),COUNTIFS(M$3:M1208,M1209,N$3:N1208,N1209)=0),M1209,""))</f>
        <v/>
      </c>
    </row>
    <row r="1210">
      <c r="A1210" s="34" t="n"/>
      <c r="B1210" s="35" t="n"/>
      <c r="C1210" s="35" t="n"/>
      <c r="D1210" s="35" t="n"/>
      <c r="E1210" s="35" t="n"/>
      <c r="F1210" s="36" t="n"/>
      <c r="G1210" s="35" t="n"/>
      <c r="H1210" s="30">
        <f>IF(L1210="","",INDEX(SkiftNavn,L1210))</f>
        <v/>
      </c>
      <c r="I1210" s="30">
        <f>IF(OR(A1210="",L1210=""),"",IF(MOD(A1210-INDEX(SkiftStart,L1210),Syklus)&lt;DagK,"Kveld",IF(MOD(A1210-INDEX(SkiftStart,L1210),Syklus)&lt;DagK+DagH,"Helg",IF(MOD(A1210-INDEX(SkiftStart,L1210),Syklus)&lt;DagK+DagH+DagD,"Dag","Fri"))))</f>
        <v/>
      </c>
      <c r="J1210" s="30">
        <f>IF(I1210="Fri","Ja","")</f>
        <v/>
      </c>
      <c r="K1210" s="30">
        <f>IF(B1210="","",IF(L1210="","Ukjent tekniker",IF(ISNA(MATCH(C1210,Aktiviteter,0)),"Ukjent aktivitet",IF(AND(INDEX(AktRolle,MATCH(C1210,Aktiviteter,0))&amp;""&lt;&gt;"",ISERROR(SEARCH(INDEX(AktRolle,MATCH(C1210,Aktiviteter,0))&amp;"",INDEX(TekRoller,MATCH(B1210,Teknikere,0))))),"Mangler rollen "&amp;INDEX(AktRolle,MATCH(C1210,Aktiviteter,0))&amp;"",IF(AND(C1210="LMS",F1210&gt;0,OR(D1210="",E1210="")),"Mangler maskin eller arbeid",IF(AND(OR(C1210="LMS",C1210="Mod"),D1210&lt;&gt;""),IF(IFERROR(INDEX(MaskinStatus,MATCH(D1210,Maskiner,0)),"")="I dokk","","Maskinen er ikke i dokk"),""))))))</f>
        <v/>
      </c>
      <c r="L1210" s="2">
        <f>IF(B1210="","",IFERROR(INT((MATCH(B1210,Teknikere,0)-1)/18)+1,""))</f>
        <v/>
      </c>
      <c r="M1210" s="2">
        <f>IF(OR(A1210="",B1210=""),"",B1210&amp;"|"&amp;A1210)</f>
        <v/>
      </c>
      <c r="N1210" s="2">
        <f>IF(M1210="","",SUMIFS(TF_Timer,TF_Nokkel,M1210,TF_Akt,C1210))</f>
        <v/>
      </c>
      <c r="O1210" s="2">
        <f>IF(M1210="","",IF(AND(N1210=_xlfn.MAXIFS(TF_AktSum,TF_Nokkel,M1210),COUNTIFS(M$3:M1209,M1210,N$3:N1209,N1210)=0),M1210,""))</f>
        <v/>
      </c>
    </row>
    <row r="1211">
      <c r="A1211" s="34" t="n"/>
      <c r="B1211" s="35" t="n"/>
      <c r="C1211" s="35" t="n"/>
      <c r="D1211" s="35" t="n"/>
      <c r="E1211" s="35" t="n"/>
      <c r="F1211" s="36" t="n"/>
      <c r="G1211" s="35" t="n"/>
      <c r="H1211" s="30">
        <f>IF(L1211="","",INDEX(SkiftNavn,L1211))</f>
        <v/>
      </c>
      <c r="I1211" s="30">
        <f>IF(OR(A1211="",L1211=""),"",IF(MOD(A1211-INDEX(SkiftStart,L1211),Syklus)&lt;DagK,"Kveld",IF(MOD(A1211-INDEX(SkiftStart,L1211),Syklus)&lt;DagK+DagH,"Helg",IF(MOD(A1211-INDEX(SkiftStart,L1211),Syklus)&lt;DagK+DagH+DagD,"Dag","Fri"))))</f>
        <v/>
      </c>
      <c r="J1211" s="30">
        <f>IF(I1211="Fri","Ja","")</f>
        <v/>
      </c>
      <c r="K1211" s="30">
        <f>IF(B1211="","",IF(L1211="","Ukjent tekniker",IF(ISNA(MATCH(C1211,Aktiviteter,0)),"Ukjent aktivitet",IF(AND(INDEX(AktRolle,MATCH(C1211,Aktiviteter,0))&amp;""&lt;&gt;"",ISERROR(SEARCH(INDEX(AktRolle,MATCH(C1211,Aktiviteter,0))&amp;"",INDEX(TekRoller,MATCH(B1211,Teknikere,0))))),"Mangler rollen "&amp;INDEX(AktRolle,MATCH(C1211,Aktiviteter,0))&amp;"",IF(AND(C1211="LMS",F1211&gt;0,OR(D1211="",E1211="")),"Mangler maskin eller arbeid",IF(AND(OR(C1211="LMS",C1211="Mod"),D1211&lt;&gt;""),IF(IFERROR(INDEX(MaskinStatus,MATCH(D1211,Maskiner,0)),"")="I dokk","","Maskinen er ikke i dokk"),""))))))</f>
        <v/>
      </c>
      <c r="L1211" s="2">
        <f>IF(B1211="","",IFERROR(INT((MATCH(B1211,Teknikere,0)-1)/18)+1,""))</f>
        <v/>
      </c>
      <c r="M1211" s="2">
        <f>IF(OR(A1211="",B1211=""),"",B1211&amp;"|"&amp;A1211)</f>
        <v/>
      </c>
      <c r="N1211" s="2">
        <f>IF(M1211="","",SUMIFS(TF_Timer,TF_Nokkel,M1211,TF_Akt,C1211))</f>
        <v/>
      </c>
      <c r="O1211" s="2">
        <f>IF(M1211="","",IF(AND(N1211=_xlfn.MAXIFS(TF_AktSum,TF_Nokkel,M1211),COUNTIFS(M$3:M1210,M1211,N$3:N1210,N1211)=0),M1211,""))</f>
        <v/>
      </c>
    </row>
    <row r="1212">
      <c r="A1212" s="34" t="n"/>
      <c r="B1212" s="35" t="n"/>
      <c r="C1212" s="35" t="n"/>
      <c r="D1212" s="35" t="n"/>
      <c r="E1212" s="35" t="n"/>
      <c r="F1212" s="36" t="n"/>
      <c r="G1212" s="35" t="n"/>
      <c r="H1212" s="30">
        <f>IF(L1212="","",INDEX(SkiftNavn,L1212))</f>
        <v/>
      </c>
      <c r="I1212" s="30">
        <f>IF(OR(A1212="",L1212=""),"",IF(MOD(A1212-INDEX(SkiftStart,L1212),Syklus)&lt;DagK,"Kveld",IF(MOD(A1212-INDEX(SkiftStart,L1212),Syklus)&lt;DagK+DagH,"Helg",IF(MOD(A1212-INDEX(SkiftStart,L1212),Syklus)&lt;DagK+DagH+DagD,"Dag","Fri"))))</f>
        <v/>
      </c>
      <c r="J1212" s="30">
        <f>IF(I1212="Fri","Ja","")</f>
        <v/>
      </c>
      <c r="K1212" s="30">
        <f>IF(B1212="","",IF(L1212="","Ukjent tekniker",IF(ISNA(MATCH(C1212,Aktiviteter,0)),"Ukjent aktivitet",IF(AND(INDEX(AktRolle,MATCH(C1212,Aktiviteter,0))&amp;""&lt;&gt;"",ISERROR(SEARCH(INDEX(AktRolle,MATCH(C1212,Aktiviteter,0))&amp;"",INDEX(TekRoller,MATCH(B1212,Teknikere,0))))),"Mangler rollen "&amp;INDEX(AktRolle,MATCH(C1212,Aktiviteter,0))&amp;"",IF(AND(C1212="LMS",F1212&gt;0,OR(D1212="",E1212="")),"Mangler maskin eller arbeid",IF(AND(OR(C1212="LMS",C1212="Mod"),D1212&lt;&gt;""),IF(IFERROR(INDEX(MaskinStatus,MATCH(D1212,Maskiner,0)),"")="I dokk","","Maskinen er ikke i dokk"),""))))))</f>
        <v/>
      </c>
      <c r="L1212" s="2">
        <f>IF(B1212="","",IFERROR(INT((MATCH(B1212,Teknikere,0)-1)/18)+1,""))</f>
        <v/>
      </c>
      <c r="M1212" s="2">
        <f>IF(OR(A1212="",B1212=""),"",B1212&amp;"|"&amp;A1212)</f>
        <v/>
      </c>
      <c r="N1212" s="2">
        <f>IF(M1212="","",SUMIFS(TF_Timer,TF_Nokkel,M1212,TF_Akt,C1212))</f>
        <v/>
      </c>
      <c r="O1212" s="2">
        <f>IF(M1212="","",IF(AND(N1212=_xlfn.MAXIFS(TF_AktSum,TF_Nokkel,M1212),COUNTIFS(M$3:M1211,M1212,N$3:N1211,N1212)=0),M1212,""))</f>
        <v/>
      </c>
    </row>
    <row r="1213">
      <c r="A1213" s="34" t="n"/>
      <c r="B1213" s="35" t="n"/>
      <c r="C1213" s="35" t="n"/>
      <c r="D1213" s="35" t="n"/>
      <c r="E1213" s="35" t="n"/>
      <c r="F1213" s="36" t="n"/>
      <c r="G1213" s="35" t="n"/>
      <c r="H1213" s="30">
        <f>IF(L1213="","",INDEX(SkiftNavn,L1213))</f>
        <v/>
      </c>
      <c r="I1213" s="30">
        <f>IF(OR(A1213="",L1213=""),"",IF(MOD(A1213-INDEX(SkiftStart,L1213),Syklus)&lt;DagK,"Kveld",IF(MOD(A1213-INDEX(SkiftStart,L1213),Syklus)&lt;DagK+DagH,"Helg",IF(MOD(A1213-INDEX(SkiftStart,L1213),Syklus)&lt;DagK+DagH+DagD,"Dag","Fri"))))</f>
        <v/>
      </c>
      <c r="J1213" s="30">
        <f>IF(I1213="Fri","Ja","")</f>
        <v/>
      </c>
      <c r="K1213" s="30">
        <f>IF(B1213="","",IF(L1213="","Ukjent tekniker",IF(ISNA(MATCH(C1213,Aktiviteter,0)),"Ukjent aktivitet",IF(AND(INDEX(AktRolle,MATCH(C1213,Aktiviteter,0))&amp;""&lt;&gt;"",ISERROR(SEARCH(INDEX(AktRolle,MATCH(C1213,Aktiviteter,0))&amp;"",INDEX(TekRoller,MATCH(B1213,Teknikere,0))))),"Mangler rollen "&amp;INDEX(AktRolle,MATCH(C1213,Aktiviteter,0))&amp;"",IF(AND(C1213="LMS",F1213&gt;0,OR(D1213="",E1213="")),"Mangler maskin eller arbeid",IF(AND(OR(C1213="LMS",C1213="Mod"),D1213&lt;&gt;""),IF(IFERROR(INDEX(MaskinStatus,MATCH(D1213,Maskiner,0)),"")="I dokk","","Maskinen er ikke i dokk"),""))))))</f>
        <v/>
      </c>
      <c r="L1213" s="2">
        <f>IF(B1213="","",IFERROR(INT((MATCH(B1213,Teknikere,0)-1)/18)+1,""))</f>
        <v/>
      </c>
      <c r="M1213" s="2">
        <f>IF(OR(A1213="",B1213=""),"",B1213&amp;"|"&amp;A1213)</f>
        <v/>
      </c>
      <c r="N1213" s="2">
        <f>IF(M1213="","",SUMIFS(TF_Timer,TF_Nokkel,M1213,TF_Akt,C1213))</f>
        <v/>
      </c>
      <c r="O1213" s="2">
        <f>IF(M1213="","",IF(AND(N1213=_xlfn.MAXIFS(TF_AktSum,TF_Nokkel,M1213),COUNTIFS(M$3:M1212,M1213,N$3:N1212,N1213)=0),M1213,""))</f>
        <v/>
      </c>
    </row>
    <row r="1214">
      <c r="A1214" s="34" t="n"/>
      <c r="B1214" s="35" t="n"/>
      <c r="C1214" s="35" t="n"/>
      <c r="D1214" s="35" t="n"/>
      <c r="E1214" s="35" t="n"/>
      <c r="F1214" s="36" t="n"/>
      <c r="G1214" s="35" t="n"/>
      <c r="H1214" s="30">
        <f>IF(L1214="","",INDEX(SkiftNavn,L1214))</f>
        <v/>
      </c>
      <c r="I1214" s="30">
        <f>IF(OR(A1214="",L1214=""),"",IF(MOD(A1214-INDEX(SkiftStart,L1214),Syklus)&lt;DagK,"Kveld",IF(MOD(A1214-INDEX(SkiftStart,L1214),Syklus)&lt;DagK+DagH,"Helg",IF(MOD(A1214-INDEX(SkiftStart,L1214),Syklus)&lt;DagK+DagH+DagD,"Dag","Fri"))))</f>
        <v/>
      </c>
      <c r="J1214" s="30">
        <f>IF(I1214="Fri","Ja","")</f>
        <v/>
      </c>
      <c r="K1214" s="30">
        <f>IF(B1214="","",IF(L1214="","Ukjent tekniker",IF(ISNA(MATCH(C1214,Aktiviteter,0)),"Ukjent aktivitet",IF(AND(INDEX(AktRolle,MATCH(C1214,Aktiviteter,0))&amp;""&lt;&gt;"",ISERROR(SEARCH(INDEX(AktRolle,MATCH(C1214,Aktiviteter,0))&amp;"",INDEX(TekRoller,MATCH(B1214,Teknikere,0))))),"Mangler rollen "&amp;INDEX(AktRolle,MATCH(C1214,Aktiviteter,0))&amp;"",IF(AND(C1214="LMS",F1214&gt;0,OR(D1214="",E1214="")),"Mangler maskin eller arbeid",IF(AND(OR(C1214="LMS",C1214="Mod"),D1214&lt;&gt;""),IF(IFERROR(INDEX(MaskinStatus,MATCH(D1214,Maskiner,0)),"")="I dokk","","Maskinen er ikke i dokk"),""))))))</f>
        <v/>
      </c>
      <c r="L1214" s="2">
        <f>IF(B1214="","",IFERROR(INT((MATCH(B1214,Teknikere,0)-1)/18)+1,""))</f>
        <v/>
      </c>
      <c r="M1214" s="2">
        <f>IF(OR(A1214="",B1214=""),"",B1214&amp;"|"&amp;A1214)</f>
        <v/>
      </c>
      <c r="N1214" s="2">
        <f>IF(M1214="","",SUMIFS(TF_Timer,TF_Nokkel,M1214,TF_Akt,C1214))</f>
        <v/>
      </c>
      <c r="O1214" s="2">
        <f>IF(M1214="","",IF(AND(N1214=_xlfn.MAXIFS(TF_AktSum,TF_Nokkel,M1214),COUNTIFS(M$3:M1213,M1214,N$3:N1213,N1214)=0),M1214,""))</f>
        <v/>
      </c>
    </row>
    <row r="1215">
      <c r="A1215" s="34" t="n"/>
      <c r="B1215" s="35" t="n"/>
      <c r="C1215" s="35" t="n"/>
      <c r="D1215" s="35" t="n"/>
      <c r="E1215" s="35" t="n"/>
      <c r="F1215" s="36" t="n"/>
      <c r="G1215" s="35" t="n"/>
      <c r="H1215" s="30">
        <f>IF(L1215="","",INDEX(SkiftNavn,L1215))</f>
        <v/>
      </c>
      <c r="I1215" s="30">
        <f>IF(OR(A1215="",L1215=""),"",IF(MOD(A1215-INDEX(SkiftStart,L1215),Syklus)&lt;DagK,"Kveld",IF(MOD(A1215-INDEX(SkiftStart,L1215),Syklus)&lt;DagK+DagH,"Helg",IF(MOD(A1215-INDEX(SkiftStart,L1215),Syklus)&lt;DagK+DagH+DagD,"Dag","Fri"))))</f>
        <v/>
      </c>
      <c r="J1215" s="30">
        <f>IF(I1215="Fri","Ja","")</f>
        <v/>
      </c>
      <c r="K1215" s="30">
        <f>IF(B1215="","",IF(L1215="","Ukjent tekniker",IF(ISNA(MATCH(C1215,Aktiviteter,0)),"Ukjent aktivitet",IF(AND(INDEX(AktRolle,MATCH(C1215,Aktiviteter,0))&amp;""&lt;&gt;"",ISERROR(SEARCH(INDEX(AktRolle,MATCH(C1215,Aktiviteter,0))&amp;"",INDEX(TekRoller,MATCH(B1215,Teknikere,0))))),"Mangler rollen "&amp;INDEX(AktRolle,MATCH(C1215,Aktiviteter,0))&amp;"",IF(AND(C1215="LMS",F1215&gt;0,OR(D1215="",E1215="")),"Mangler maskin eller arbeid",IF(AND(OR(C1215="LMS",C1215="Mod"),D1215&lt;&gt;""),IF(IFERROR(INDEX(MaskinStatus,MATCH(D1215,Maskiner,0)),"")="I dokk","","Maskinen er ikke i dokk"),""))))))</f>
        <v/>
      </c>
      <c r="L1215" s="2">
        <f>IF(B1215="","",IFERROR(INT((MATCH(B1215,Teknikere,0)-1)/18)+1,""))</f>
        <v/>
      </c>
      <c r="M1215" s="2">
        <f>IF(OR(A1215="",B1215=""),"",B1215&amp;"|"&amp;A1215)</f>
        <v/>
      </c>
      <c r="N1215" s="2">
        <f>IF(M1215="","",SUMIFS(TF_Timer,TF_Nokkel,M1215,TF_Akt,C1215))</f>
        <v/>
      </c>
      <c r="O1215" s="2">
        <f>IF(M1215="","",IF(AND(N1215=_xlfn.MAXIFS(TF_AktSum,TF_Nokkel,M1215),COUNTIFS(M$3:M1214,M1215,N$3:N1214,N1215)=0),M1215,""))</f>
        <v/>
      </c>
    </row>
    <row r="1216">
      <c r="A1216" s="34" t="n"/>
      <c r="B1216" s="35" t="n"/>
      <c r="C1216" s="35" t="n"/>
      <c r="D1216" s="35" t="n"/>
      <c r="E1216" s="35" t="n"/>
      <c r="F1216" s="36" t="n"/>
      <c r="G1216" s="35" t="n"/>
      <c r="H1216" s="30">
        <f>IF(L1216="","",INDEX(SkiftNavn,L1216))</f>
        <v/>
      </c>
      <c r="I1216" s="30">
        <f>IF(OR(A1216="",L1216=""),"",IF(MOD(A1216-INDEX(SkiftStart,L1216),Syklus)&lt;DagK,"Kveld",IF(MOD(A1216-INDEX(SkiftStart,L1216),Syklus)&lt;DagK+DagH,"Helg",IF(MOD(A1216-INDEX(SkiftStart,L1216),Syklus)&lt;DagK+DagH+DagD,"Dag","Fri"))))</f>
        <v/>
      </c>
      <c r="J1216" s="30">
        <f>IF(I1216="Fri","Ja","")</f>
        <v/>
      </c>
      <c r="K1216" s="30">
        <f>IF(B1216="","",IF(L1216="","Ukjent tekniker",IF(ISNA(MATCH(C1216,Aktiviteter,0)),"Ukjent aktivitet",IF(AND(INDEX(AktRolle,MATCH(C1216,Aktiviteter,0))&amp;""&lt;&gt;"",ISERROR(SEARCH(INDEX(AktRolle,MATCH(C1216,Aktiviteter,0))&amp;"",INDEX(TekRoller,MATCH(B1216,Teknikere,0))))),"Mangler rollen "&amp;INDEX(AktRolle,MATCH(C1216,Aktiviteter,0))&amp;"",IF(AND(C1216="LMS",F1216&gt;0,OR(D1216="",E1216="")),"Mangler maskin eller arbeid",IF(AND(OR(C1216="LMS",C1216="Mod"),D1216&lt;&gt;""),IF(IFERROR(INDEX(MaskinStatus,MATCH(D1216,Maskiner,0)),"")="I dokk","","Maskinen er ikke i dokk"),""))))))</f>
        <v/>
      </c>
      <c r="L1216" s="2">
        <f>IF(B1216="","",IFERROR(INT((MATCH(B1216,Teknikere,0)-1)/18)+1,""))</f>
        <v/>
      </c>
      <c r="M1216" s="2">
        <f>IF(OR(A1216="",B1216=""),"",B1216&amp;"|"&amp;A1216)</f>
        <v/>
      </c>
      <c r="N1216" s="2">
        <f>IF(M1216="","",SUMIFS(TF_Timer,TF_Nokkel,M1216,TF_Akt,C1216))</f>
        <v/>
      </c>
      <c r="O1216" s="2">
        <f>IF(M1216="","",IF(AND(N1216=_xlfn.MAXIFS(TF_AktSum,TF_Nokkel,M1216),COUNTIFS(M$3:M1215,M1216,N$3:N1215,N1216)=0),M1216,""))</f>
        <v/>
      </c>
    </row>
    <row r="1217">
      <c r="A1217" s="34" t="n"/>
      <c r="B1217" s="35" t="n"/>
      <c r="C1217" s="35" t="n"/>
      <c r="D1217" s="35" t="n"/>
      <c r="E1217" s="35" t="n"/>
      <c r="F1217" s="36" t="n"/>
      <c r="G1217" s="35" t="n"/>
      <c r="H1217" s="30">
        <f>IF(L1217="","",INDEX(SkiftNavn,L1217))</f>
        <v/>
      </c>
      <c r="I1217" s="30">
        <f>IF(OR(A1217="",L1217=""),"",IF(MOD(A1217-INDEX(SkiftStart,L1217),Syklus)&lt;DagK,"Kveld",IF(MOD(A1217-INDEX(SkiftStart,L1217),Syklus)&lt;DagK+DagH,"Helg",IF(MOD(A1217-INDEX(SkiftStart,L1217),Syklus)&lt;DagK+DagH+DagD,"Dag","Fri"))))</f>
        <v/>
      </c>
      <c r="J1217" s="30">
        <f>IF(I1217="Fri","Ja","")</f>
        <v/>
      </c>
      <c r="K1217" s="30">
        <f>IF(B1217="","",IF(L1217="","Ukjent tekniker",IF(ISNA(MATCH(C1217,Aktiviteter,0)),"Ukjent aktivitet",IF(AND(INDEX(AktRolle,MATCH(C1217,Aktiviteter,0))&amp;""&lt;&gt;"",ISERROR(SEARCH(INDEX(AktRolle,MATCH(C1217,Aktiviteter,0))&amp;"",INDEX(TekRoller,MATCH(B1217,Teknikere,0))))),"Mangler rollen "&amp;INDEX(AktRolle,MATCH(C1217,Aktiviteter,0))&amp;"",IF(AND(C1217="LMS",F1217&gt;0,OR(D1217="",E1217="")),"Mangler maskin eller arbeid",IF(AND(OR(C1217="LMS",C1217="Mod"),D1217&lt;&gt;""),IF(IFERROR(INDEX(MaskinStatus,MATCH(D1217,Maskiner,0)),"")="I dokk","","Maskinen er ikke i dokk"),""))))))</f>
        <v/>
      </c>
      <c r="L1217" s="2">
        <f>IF(B1217="","",IFERROR(INT((MATCH(B1217,Teknikere,0)-1)/18)+1,""))</f>
        <v/>
      </c>
      <c r="M1217" s="2">
        <f>IF(OR(A1217="",B1217=""),"",B1217&amp;"|"&amp;A1217)</f>
        <v/>
      </c>
      <c r="N1217" s="2">
        <f>IF(M1217="","",SUMIFS(TF_Timer,TF_Nokkel,M1217,TF_Akt,C1217))</f>
        <v/>
      </c>
      <c r="O1217" s="2">
        <f>IF(M1217="","",IF(AND(N1217=_xlfn.MAXIFS(TF_AktSum,TF_Nokkel,M1217),COUNTIFS(M$3:M1216,M1217,N$3:N1216,N1217)=0),M1217,""))</f>
        <v/>
      </c>
    </row>
    <row r="1218">
      <c r="A1218" s="34" t="n"/>
      <c r="B1218" s="35" t="n"/>
      <c r="C1218" s="35" t="n"/>
      <c r="D1218" s="35" t="n"/>
      <c r="E1218" s="35" t="n"/>
      <c r="F1218" s="36" t="n"/>
      <c r="G1218" s="35" t="n"/>
      <c r="H1218" s="30">
        <f>IF(L1218="","",INDEX(SkiftNavn,L1218))</f>
        <v/>
      </c>
      <c r="I1218" s="30">
        <f>IF(OR(A1218="",L1218=""),"",IF(MOD(A1218-INDEX(SkiftStart,L1218),Syklus)&lt;DagK,"Kveld",IF(MOD(A1218-INDEX(SkiftStart,L1218),Syklus)&lt;DagK+DagH,"Helg",IF(MOD(A1218-INDEX(SkiftStart,L1218),Syklus)&lt;DagK+DagH+DagD,"Dag","Fri"))))</f>
        <v/>
      </c>
      <c r="J1218" s="30">
        <f>IF(I1218="Fri","Ja","")</f>
        <v/>
      </c>
      <c r="K1218" s="30">
        <f>IF(B1218="","",IF(L1218="","Ukjent tekniker",IF(ISNA(MATCH(C1218,Aktiviteter,0)),"Ukjent aktivitet",IF(AND(INDEX(AktRolle,MATCH(C1218,Aktiviteter,0))&amp;""&lt;&gt;"",ISERROR(SEARCH(INDEX(AktRolle,MATCH(C1218,Aktiviteter,0))&amp;"",INDEX(TekRoller,MATCH(B1218,Teknikere,0))))),"Mangler rollen "&amp;INDEX(AktRolle,MATCH(C1218,Aktiviteter,0))&amp;"",IF(AND(C1218="LMS",F1218&gt;0,OR(D1218="",E1218="")),"Mangler maskin eller arbeid",IF(AND(OR(C1218="LMS",C1218="Mod"),D1218&lt;&gt;""),IF(IFERROR(INDEX(MaskinStatus,MATCH(D1218,Maskiner,0)),"")="I dokk","","Maskinen er ikke i dokk"),""))))))</f>
        <v/>
      </c>
      <c r="L1218" s="2">
        <f>IF(B1218="","",IFERROR(INT((MATCH(B1218,Teknikere,0)-1)/18)+1,""))</f>
        <v/>
      </c>
      <c r="M1218" s="2">
        <f>IF(OR(A1218="",B1218=""),"",B1218&amp;"|"&amp;A1218)</f>
        <v/>
      </c>
      <c r="N1218" s="2">
        <f>IF(M1218="","",SUMIFS(TF_Timer,TF_Nokkel,M1218,TF_Akt,C1218))</f>
        <v/>
      </c>
      <c r="O1218" s="2">
        <f>IF(M1218="","",IF(AND(N1218=_xlfn.MAXIFS(TF_AktSum,TF_Nokkel,M1218),COUNTIFS(M$3:M1217,M1218,N$3:N1217,N1218)=0),M1218,""))</f>
        <v/>
      </c>
    </row>
    <row r="1219">
      <c r="A1219" s="34" t="n"/>
      <c r="B1219" s="35" t="n"/>
      <c r="C1219" s="35" t="n"/>
      <c r="D1219" s="35" t="n"/>
      <c r="E1219" s="35" t="n"/>
      <c r="F1219" s="36" t="n"/>
      <c r="G1219" s="35" t="n"/>
      <c r="H1219" s="30">
        <f>IF(L1219="","",INDEX(SkiftNavn,L1219))</f>
        <v/>
      </c>
      <c r="I1219" s="30">
        <f>IF(OR(A1219="",L1219=""),"",IF(MOD(A1219-INDEX(SkiftStart,L1219),Syklus)&lt;DagK,"Kveld",IF(MOD(A1219-INDEX(SkiftStart,L1219),Syklus)&lt;DagK+DagH,"Helg",IF(MOD(A1219-INDEX(SkiftStart,L1219),Syklus)&lt;DagK+DagH+DagD,"Dag","Fri"))))</f>
        <v/>
      </c>
      <c r="J1219" s="30">
        <f>IF(I1219="Fri","Ja","")</f>
        <v/>
      </c>
      <c r="K1219" s="30">
        <f>IF(B1219="","",IF(L1219="","Ukjent tekniker",IF(ISNA(MATCH(C1219,Aktiviteter,0)),"Ukjent aktivitet",IF(AND(INDEX(AktRolle,MATCH(C1219,Aktiviteter,0))&amp;""&lt;&gt;"",ISERROR(SEARCH(INDEX(AktRolle,MATCH(C1219,Aktiviteter,0))&amp;"",INDEX(TekRoller,MATCH(B1219,Teknikere,0))))),"Mangler rollen "&amp;INDEX(AktRolle,MATCH(C1219,Aktiviteter,0))&amp;"",IF(AND(C1219="LMS",F1219&gt;0,OR(D1219="",E1219="")),"Mangler maskin eller arbeid",IF(AND(OR(C1219="LMS",C1219="Mod"),D1219&lt;&gt;""),IF(IFERROR(INDEX(MaskinStatus,MATCH(D1219,Maskiner,0)),"")="I dokk","","Maskinen er ikke i dokk"),""))))))</f>
        <v/>
      </c>
      <c r="L1219" s="2">
        <f>IF(B1219="","",IFERROR(INT((MATCH(B1219,Teknikere,0)-1)/18)+1,""))</f>
        <v/>
      </c>
      <c r="M1219" s="2">
        <f>IF(OR(A1219="",B1219=""),"",B1219&amp;"|"&amp;A1219)</f>
        <v/>
      </c>
      <c r="N1219" s="2">
        <f>IF(M1219="","",SUMIFS(TF_Timer,TF_Nokkel,M1219,TF_Akt,C1219))</f>
        <v/>
      </c>
      <c r="O1219" s="2">
        <f>IF(M1219="","",IF(AND(N1219=_xlfn.MAXIFS(TF_AktSum,TF_Nokkel,M1219),COUNTIFS(M$3:M1218,M1219,N$3:N1218,N1219)=0),M1219,""))</f>
        <v/>
      </c>
    </row>
    <row r="1220">
      <c r="A1220" s="34" t="n"/>
      <c r="B1220" s="35" t="n"/>
      <c r="C1220" s="35" t="n"/>
      <c r="D1220" s="35" t="n"/>
      <c r="E1220" s="35" t="n"/>
      <c r="F1220" s="36" t="n"/>
      <c r="G1220" s="35" t="n"/>
      <c r="H1220" s="30">
        <f>IF(L1220="","",INDEX(SkiftNavn,L1220))</f>
        <v/>
      </c>
      <c r="I1220" s="30">
        <f>IF(OR(A1220="",L1220=""),"",IF(MOD(A1220-INDEX(SkiftStart,L1220),Syklus)&lt;DagK,"Kveld",IF(MOD(A1220-INDEX(SkiftStart,L1220),Syklus)&lt;DagK+DagH,"Helg",IF(MOD(A1220-INDEX(SkiftStart,L1220),Syklus)&lt;DagK+DagH+DagD,"Dag","Fri"))))</f>
        <v/>
      </c>
      <c r="J1220" s="30">
        <f>IF(I1220="Fri","Ja","")</f>
        <v/>
      </c>
      <c r="K1220" s="30">
        <f>IF(B1220="","",IF(L1220="","Ukjent tekniker",IF(ISNA(MATCH(C1220,Aktiviteter,0)),"Ukjent aktivitet",IF(AND(INDEX(AktRolle,MATCH(C1220,Aktiviteter,0))&amp;""&lt;&gt;"",ISERROR(SEARCH(INDEX(AktRolle,MATCH(C1220,Aktiviteter,0))&amp;"",INDEX(TekRoller,MATCH(B1220,Teknikere,0))))),"Mangler rollen "&amp;INDEX(AktRolle,MATCH(C1220,Aktiviteter,0))&amp;"",IF(AND(C1220="LMS",F1220&gt;0,OR(D1220="",E1220="")),"Mangler maskin eller arbeid",IF(AND(OR(C1220="LMS",C1220="Mod"),D1220&lt;&gt;""),IF(IFERROR(INDEX(MaskinStatus,MATCH(D1220,Maskiner,0)),"")="I dokk","","Maskinen er ikke i dokk"),""))))))</f>
        <v/>
      </c>
      <c r="L1220" s="2">
        <f>IF(B1220="","",IFERROR(INT((MATCH(B1220,Teknikere,0)-1)/18)+1,""))</f>
        <v/>
      </c>
      <c r="M1220" s="2">
        <f>IF(OR(A1220="",B1220=""),"",B1220&amp;"|"&amp;A1220)</f>
        <v/>
      </c>
      <c r="N1220" s="2">
        <f>IF(M1220="","",SUMIFS(TF_Timer,TF_Nokkel,M1220,TF_Akt,C1220))</f>
        <v/>
      </c>
      <c r="O1220" s="2">
        <f>IF(M1220="","",IF(AND(N1220=_xlfn.MAXIFS(TF_AktSum,TF_Nokkel,M1220),COUNTIFS(M$3:M1219,M1220,N$3:N1219,N1220)=0),M1220,""))</f>
        <v/>
      </c>
    </row>
    <row r="1221">
      <c r="A1221" s="34" t="n"/>
      <c r="B1221" s="35" t="n"/>
      <c r="C1221" s="35" t="n"/>
      <c r="D1221" s="35" t="n"/>
      <c r="E1221" s="35" t="n"/>
      <c r="F1221" s="36" t="n"/>
      <c r="G1221" s="35" t="n"/>
      <c r="H1221" s="30">
        <f>IF(L1221="","",INDEX(SkiftNavn,L1221))</f>
        <v/>
      </c>
      <c r="I1221" s="30">
        <f>IF(OR(A1221="",L1221=""),"",IF(MOD(A1221-INDEX(SkiftStart,L1221),Syklus)&lt;DagK,"Kveld",IF(MOD(A1221-INDEX(SkiftStart,L1221),Syklus)&lt;DagK+DagH,"Helg",IF(MOD(A1221-INDEX(SkiftStart,L1221),Syklus)&lt;DagK+DagH+DagD,"Dag","Fri"))))</f>
        <v/>
      </c>
      <c r="J1221" s="30">
        <f>IF(I1221="Fri","Ja","")</f>
        <v/>
      </c>
      <c r="K1221" s="30">
        <f>IF(B1221="","",IF(L1221="","Ukjent tekniker",IF(ISNA(MATCH(C1221,Aktiviteter,0)),"Ukjent aktivitet",IF(AND(INDEX(AktRolle,MATCH(C1221,Aktiviteter,0))&amp;""&lt;&gt;"",ISERROR(SEARCH(INDEX(AktRolle,MATCH(C1221,Aktiviteter,0))&amp;"",INDEX(TekRoller,MATCH(B1221,Teknikere,0))))),"Mangler rollen "&amp;INDEX(AktRolle,MATCH(C1221,Aktiviteter,0))&amp;"",IF(AND(C1221="LMS",F1221&gt;0,OR(D1221="",E1221="")),"Mangler maskin eller arbeid",IF(AND(OR(C1221="LMS",C1221="Mod"),D1221&lt;&gt;""),IF(IFERROR(INDEX(MaskinStatus,MATCH(D1221,Maskiner,0)),"")="I dokk","","Maskinen er ikke i dokk"),""))))))</f>
        <v/>
      </c>
      <c r="L1221" s="2">
        <f>IF(B1221="","",IFERROR(INT((MATCH(B1221,Teknikere,0)-1)/18)+1,""))</f>
        <v/>
      </c>
      <c r="M1221" s="2">
        <f>IF(OR(A1221="",B1221=""),"",B1221&amp;"|"&amp;A1221)</f>
        <v/>
      </c>
      <c r="N1221" s="2">
        <f>IF(M1221="","",SUMIFS(TF_Timer,TF_Nokkel,M1221,TF_Akt,C1221))</f>
        <v/>
      </c>
      <c r="O1221" s="2">
        <f>IF(M1221="","",IF(AND(N1221=_xlfn.MAXIFS(TF_AktSum,TF_Nokkel,M1221),COUNTIFS(M$3:M1220,M1221,N$3:N1220,N1221)=0),M1221,""))</f>
        <v/>
      </c>
    </row>
    <row r="1222">
      <c r="A1222" s="34" t="n"/>
      <c r="B1222" s="35" t="n"/>
      <c r="C1222" s="35" t="n"/>
      <c r="D1222" s="35" t="n"/>
      <c r="E1222" s="35" t="n"/>
      <c r="F1222" s="36" t="n"/>
      <c r="G1222" s="35" t="n"/>
      <c r="H1222" s="30">
        <f>IF(L1222="","",INDEX(SkiftNavn,L1222))</f>
        <v/>
      </c>
      <c r="I1222" s="30">
        <f>IF(OR(A1222="",L1222=""),"",IF(MOD(A1222-INDEX(SkiftStart,L1222),Syklus)&lt;DagK,"Kveld",IF(MOD(A1222-INDEX(SkiftStart,L1222),Syklus)&lt;DagK+DagH,"Helg",IF(MOD(A1222-INDEX(SkiftStart,L1222),Syklus)&lt;DagK+DagH+DagD,"Dag","Fri"))))</f>
        <v/>
      </c>
      <c r="J1222" s="30">
        <f>IF(I1222="Fri","Ja","")</f>
        <v/>
      </c>
      <c r="K1222" s="30">
        <f>IF(B1222="","",IF(L1222="","Ukjent tekniker",IF(ISNA(MATCH(C1222,Aktiviteter,0)),"Ukjent aktivitet",IF(AND(INDEX(AktRolle,MATCH(C1222,Aktiviteter,0))&amp;""&lt;&gt;"",ISERROR(SEARCH(INDEX(AktRolle,MATCH(C1222,Aktiviteter,0))&amp;"",INDEX(TekRoller,MATCH(B1222,Teknikere,0))))),"Mangler rollen "&amp;INDEX(AktRolle,MATCH(C1222,Aktiviteter,0))&amp;"",IF(AND(C1222="LMS",F1222&gt;0,OR(D1222="",E1222="")),"Mangler maskin eller arbeid",IF(AND(OR(C1222="LMS",C1222="Mod"),D1222&lt;&gt;""),IF(IFERROR(INDEX(MaskinStatus,MATCH(D1222,Maskiner,0)),"")="I dokk","","Maskinen er ikke i dokk"),""))))))</f>
        <v/>
      </c>
      <c r="L1222" s="2">
        <f>IF(B1222="","",IFERROR(INT((MATCH(B1222,Teknikere,0)-1)/18)+1,""))</f>
        <v/>
      </c>
      <c r="M1222" s="2">
        <f>IF(OR(A1222="",B1222=""),"",B1222&amp;"|"&amp;A1222)</f>
        <v/>
      </c>
      <c r="N1222" s="2">
        <f>IF(M1222="","",SUMIFS(TF_Timer,TF_Nokkel,M1222,TF_Akt,C1222))</f>
        <v/>
      </c>
      <c r="O1222" s="2">
        <f>IF(M1222="","",IF(AND(N1222=_xlfn.MAXIFS(TF_AktSum,TF_Nokkel,M1222),COUNTIFS(M$3:M1221,M1222,N$3:N1221,N1222)=0),M1222,""))</f>
        <v/>
      </c>
    </row>
    <row r="1223">
      <c r="A1223" s="34" t="n"/>
      <c r="B1223" s="35" t="n"/>
      <c r="C1223" s="35" t="n"/>
      <c r="D1223" s="35" t="n"/>
      <c r="E1223" s="35" t="n"/>
      <c r="F1223" s="36" t="n"/>
      <c r="G1223" s="35" t="n"/>
      <c r="H1223" s="30">
        <f>IF(L1223="","",INDEX(SkiftNavn,L1223))</f>
        <v/>
      </c>
      <c r="I1223" s="30">
        <f>IF(OR(A1223="",L1223=""),"",IF(MOD(A1223-INDEX(SkiftStart,L1223),Syklus)&lt;DagK,"Kveld",IF(MOD(A1223-INDEX(SkiftStart,L1223),Syklus)&lt;DagK+DagH,"Helg",IF(MOD(A1223-INDEX(SkiftStart,L1223),Syklus)&lt;DagK+DagH+DagD,"Dag","Fri"))))</f>
        <v/>
      </c>
      <c r="J1223" s="30">
        <f>IF(I1223="Fri","Ja","")</f>
        <v/>
      </c>
      <c r="K1223" s="30">
        <f>IF(B1223="","",IF(L1223="","Ukjent tekniker",IF(ISNA(MATCH(C1223,Aktiviteter,0)),"Ukjent aktivitet",IF(AND(INDEX(AktRolle,MATCH(C1223,Aktiviteter,0))&amp;""&lt;&gt;"",ISERROR(SEARCH(INDEX(AktRolle,MATCH(C1223,Aktiviteter,0))&amp;"",INDEX(TekRoller,MATCH(B1223,Teknikere,0))))),"Mangler rollen "&amp;INDEX(AktRolle,MATCH(C1223,Aktiviteter,0))&amp;"",IF(AND(C1223="LMS",F1223&gt;0,OR(D1223="",E1223="")),"Mangler maskin eller arbeid",IF(AND(OR(C1223="LMS",C1223="Mod"),D1223&lt;&gt;""),IF(IFERROR(INDEX(MaskinStatus,MATCH(D1223,Maskiner,0)),"")="I dokk","","Maskinen er ikke i dokk"),""))))))</f>
        <v/>
      </c>
      <c r="L1223" s="2">
        <f>IF(B1223="","",IFERROR(INT((MATCH(B1223,Teknikere,0)-1)/18)+1,""))</f>
        <v/>
      </c>
      <c r="M1223" s="2">
        <f>IF(OR(A1223="",B1223=""),"",B1223&amp;"|"&amp;A1223)</f>
        <v/>
      </c>
      <c r="N1223" s="2">
        <f>IF(M1223="","",SUMIFS(TF_Timer,TF_Nokkel,M1223,TF_Akt,C1223))</f>
        <v/>
      </c>
      <c r="O1223" s="2">
        <f>IF(M1223="","",IF(AND(N1223=_xlfn.MAXIFS(TF_AktSum,TF_Nokkel,M1223),COUNTIFS(M$3:M1222,M1223,N$3:N1222,N1223)=0),M1223,""))</f>
        <v/>
      </c>
    </row>
    <row r="1224">
      <c r="A1224" s="34" t="n"/>
      <c r="B1224" s="35" t="n"/>
      <c r="C1224" s="35" t="n"/>
      <c r="D1224" s="35" t="n"/>
      <c r="E1224" s="35" t="n"/>
      <c r="F1224" s="36" t="n"/>
      <c r="G1224" s="35" t="n"/>
      <c r="H1224" s="30">
        <f>IF(L1224="","",INDEX(SkiftNavn,L1224))</f>
        <v/>
      </c>
      <c r="I1224" s="30">
        <f>IF(OR(A1224="",L1224=""),"",IF(MOD(A1224-INDEX(SkiftStart,L1224),Syklus)&lt;DagK,"Kveld",IF(MOD(A1224-INDEX(SkiftStart,L1224),Syklus)&lt;DagK+DagH,"Helg",IF(MOD(A1224-INDEX(SkiftStart,L1224),Syklus)&lt;DagK+DagH+DagD,"Dag","Fri"))))</f>
        <v/>
      </c>
      <c r="J1224" s="30">
        <f>IF(I1224="Fri","Ja","")</f>
        <v/>
      </c>
      <c r="K1224" s="30">
        <f>IF(B1224="","",IF(L1224="","Ukjent tekniker",IF(ISNA(MATCH(C1224,Aktiviteter,0)),"Ukjent aktivitet",IF(AND(INDEX(AktRolle,MATCH(C1224,Aktiviteter,0))&amp;""&lt;&gt;"",ISERROR(SEARCH(INDEX(AktRolle,MATCH(C1224,Aktiviteter,0))&amp;"",INDEX(TekRoller,MATCH(B1224,Teknikere,0))))),"Mangler rollen "&amp;INDEX(AktRolle,MATCH(C1224,Aktiviteter,0))&amp;"",IF(AND(C1224="LMS",F1224&gt;0,OR(D1224="",E1224="")),"Mangler maskin eller arbeid",IF(AND(OR(C1224="LMS",C1224="Mod"),D1224&lt;&gt;""),IF(IFERROR(INDEX(MaskinStatus,MATCH(D1224,Maskiner,0)),"")="I dokk","","Maskinen er ikke i dokk"),""))))))</f>
        <v/>
      </c>
      <c r="L1224" s="2">
        <f>IF(B1224="","",IFERROR(INT((MATCH(B1224,Teknikere,0)-1)/18)+1,""))</f>
        <v/>
      </c>
      <c r="M1224" s="2">
        <f>IF(OR(A1224="",B1224=""),"",B1224&amp;"|"&amp;A1224)</f>
        <v/>
      </c>
      <c r="N1224" s="2">
        <f>IF(M1224="","",SUMIFS(TF_Timer,TF_Nokkel,M1224,TF_Akt,C1224))</f>
        <v/>
      </c>
      <c r="O1224" s="2">
        <f>IF(M1224="","",IF(AND(N1224=_xlfn.MAXIFS(TF_AktSum,TF_Nokkel,M1224),COUNTIFS(M$3:M1223,M1224,N$3:N1223,N1224)=0),M1224,""))</f>
        <v/>
      </c>
    </row>
    <row r="1225">
      <c r="A1225" s="34" t="n"/>
      <c r="B1225" s="35" t="n"/>
      <c r="C1225" s="35" t="n"/>
      <c r="D1225" s="35" t="n"/>
      <c r="E1225" s="35" t="n"/>
      <c r="F1225" s="36" t="n"/>
      <c r="G1225" s="35" t="n"/>
      <c r="H1225" s="30">
        <f>IF(L1225="","",INDEX(SkiftNavn,L1225))</f>
        <v/>
      </c>
      <c r="I1225" s="30">
        <f>IF(OR(A1225="",L1225=""),"",IF(MOD(A1225-INDEX(SkiftStart,L1225),Syklus)&lt;DagK,"Kveld",IF(MOD(A1225-INDEX(SkiftStart,L1225),Syklus)&lt;DagK+DagH,"Helg",IF(MOD(A1225-INDEX(SkiftStart,L1225),Syklus)&lt;DagK+DagH+DagD,"Dag","Fri"))))</f>
        <v/>
      </c>
      <c r="J1225" s="30">
        <f>IF(I1225="Fri","Ja","")</f>
        <v/>
      </c>
      <c r="K1225" s="30">
        <f>IF(B1225="","",IF(L1225="","Ukjent tekniker",IF(ISNA(MATCH(C1225,Aktiviteter,0)),"Ukjent aktivitet",IF(AND(INDEX(AktRolle,MATCH(C1225,Aktiviteter,0))&amp;""&lt;&gt;"",ISERROR(SEARCH(INDEX(AktRolle,MATCH(C1225,Aktiviteter,0))&amp;"",INDEX(TekRoller,MATCH(B1225,Teknikere,0))))),"Mangler rollen "&amp;INDEX(AktRolle,MATCH(C1225,Aktiviteter,0))&amp;"",IF(AND(C1225="LMS",F1225&gt;0,OR(D1225="",E1225="")),"Mangler maskin eller arbeid",IF(AND(OR(C1225="LMS",C1225="Mod"),D1225&lt;&gt;""),IF(IFERROR(INDEX(MaskinStatus,MATCH(D1225,Maskiner,0)),"")="I dokk","","Maskinen er ikke i dokk"),""))))))</f>
        <v/>
      </c>
      <c r="L1225" s="2">
        <f>IF(B1225="","",IFERROR(INT((MATCH(B1225,Teknikere,0)-1)/18)+1,""))</f>
        <v/>
      </c>
      <c r="M1225" s="2">
        <f>IF(OR(A1225="",B1225=""),"",B1225&amp;"|"&amp;A1225)</f>
        <v/>
      </c>
      <c r="N1225" s="2">
        <f>IF(M1225="","",SUMIFS(TF_Timer,TF_Nokkel,M1225,TF_Akt,C1225))</f>
        <v/>
      </c>
      <c r="O1225" s="2">
        <f>IF(M1225="","",IF(AND(N1225=_xlfn.MAXIFS(TF_AktSum,TF_Nokkel,M1225),COUNTIFS(M$3:M1224,M1225,N$3:N1224,N1225)=0),M1225,""))</f>
        <v/>
      </c>
    </row>
    <row r="1226">
      <c r="A1226" s="34" t="n"/>
      <c r="B1226" s="35" t="n"/>
      <c r="C1226" s="35" t="n"/>
      <c r="D1226" s="35" t="n"/>
      <c r="E1226" s="35" t="n"/>
      <c r="F1226" s="36" t="n"/>
      <c r="G1226" s="35" t="n"/>
      <c r="H1226" s="30">
        <f>IF(L1226="","",INDEX(SkiftNavn,L1226))</f>
        <v/>
      </c>
      <c r="I1226" s="30">
        <f>IF(OR(A1226="",L1226=""),"",IF(MOD(A1226-INDEX(SkiftStart,L1226),Syklus)&lt;DagK,"Kveld",IF(MOD(A1226-INDEX(SkiftStart,L1226),Syklus)&lt;DagK+DagH,"Helg",IF(MOD(A1226-INDEX(SkiftStart,L1226),Syklus)&lt;DagK+DagH+DagD,"Dag","Fri"))))</f>
        <v/>
      </c>
      <c r="J1226" s="30">
        <f>IF(I1226="Fri","Ja","")</f>
        <v/>
      </c>
      <c r="K1226" s="30">
        <f>IF(B1226="","",IF(L1226="","Ukjent tekniker",IF(ISNA(MATCH(C1226,Aktiviteter,0)),"Ukjent aktivitet",IF(AND(INDEX(AktRolle,MATCH(C1226,Aktiviteter,0))&amp;""&lt;&gt;"",ISERROR(SEARCH(INDEX(AktRolle,MATCH(C1226,Aktiviteter,0))&amp;"",INDEX(TekRoller,MATCH(B1226,Teknikere,0))))),"Mangler rollen "&amp;INDEX(AktRolle,MATCH(C1226,Aktiviteter,0))&amp;"",IF(AND(C1226="LMS",F1226&gt;0,OR(D1226="",E1226="")),"Mangler maskin eller arbeid",IF(AND(OR(C1226="LMS",C1226="Mod"),D1226&lt;&gt;""),IF(IFERROR(INDEX(MaskinStatus,MATCH(D1226,Maskiner,0)),"")="I dokk","","Maskinen er ikke i dokk"),""))))))</f>
        <v/>
      </c>
      <c r="L1226" s="2">
        <f>IF(B1226="","",IFERROR(INT((MATCH(B1226,Teknikere,0)-1)/18)+1,""))</f>
        <v/>
      </c>
      <c r="M1226" s="2">
        <f>IF(OR(A1226="",B1226=""),"",B1226&amp;"|"&amp;A1226)</f>
        <v/>
      </c>
      <c r="N1226" s="2">
        <f>IF(M1226="","",SUMIFS(TF_Timer,TF_Nokkel,M1226,TF_Akt,C1226))</f>
        <v/>
      </c>
      <c r="O1226" s="2">
        <f>IF(M1226="","",IF(AND(N1226=_xlfn.MAXIFS(TF_AktSum,TF_Nokkel,M1226),COUNTIFS(M$3:M1225,M1226,N$3:N1225,N1226)=0),M1226,""))</f>
        <v/>
      </c>
    </row>
    <row r="1227">
      <c r="A1227" s="34" t="n"/>
      <c r="B1227" s="35" t="n"/>
      <c r="C1227" s="35" t="n"/>
      <c r="D1227" s="35" t="n"/>
      <c r="E1227" s="35" t="n"/>
      <c r="F1227" s="36" t="n"/>
      <c r="G1227" s="35" t="n"/>
      <c r="H1227" s="30">
        <f>IF(L1227="","",INDEX(SkiftNavn,L1227))</f>
        <v/>
      </c>
      <c r="I1227" s="30">
        <f>IF(OR(A1227="",L1227=""),"",IF(MOD(A1227-INDEX(SkiftStart,L1227),Syklus)&lt;DagK,"Kveld",IF(MOD(A1227-INDEX(SkiftStart,L1227),Syklus)&lt;DagK+DagH,"Helg",IF(MOD(A1227-INDEX(SkiftStart,L1227),Syklus)&lt;DagK+DagH+DagD,"Dag","Fri"))))</f>
        <v/>
      </c>
      <c r="J1227" s="30">
        <f>IF(I1227="Fri","Ja","")</f>
        <v/>
      </c>
      <c r="K1227" s="30">
        <f>IF(B1227="","",IF(L1227="","Ukjent tekniker",IF(ISNA(MATCH(C1227,Aktiviteter,0)),"Ukjent aktivitet",IF(AND(INDEX(AktRolle,MATCH(C1227,Aktiviteter,0))&amp;""&lt;&gt;"",ISERROR(SEARCH(INDEX(AktRolle,MATCH(C1227,Aktiviteter,0))&amp;"",INDEX(TekRoller,MATCH(B1227,Teknikere,0))))),"Mangler rollen "&amp;INDEX(AktRolle,MATCH(C1227,Aktiviteter,0))&amp;"",IF(AND(C1227="LMS",F1227&gt;0,OR(D1227="",E1227="")),"Mangler maskin eller arbeid",IF(AND(OR(C1227="LMS",C1227="Mod"),D1227&lt;&gt;""),IF(IFERROR(INDEX(MaskinStatus,MATCH(D1227,Maskiner,0)),"")="I dokk","","Maskinen er ikke i dokk"),""))))))</f>
        <v/>
      </c>
      <c r="L1227" s="2">
        <f>IF(B1227="","",IFERROR(INT((MATCH(B1227,Teknikere,0)-1)/18)+1,""))</f>
        <v/>
      </c>
      <c r="M1227" s="2">
        <f>IF(OR(A1227="",B1227=""),"",B1227&amp;"|"&amp;A1227)</f>
        <v/>
      </c>
      <c r="N1227" s="2">
        <f>IF(M1227="","",SUMIFS(TF_Timer,TF_Nokkel,M1227,TF_Akt,C1227))</f>
        <v/>
      </c>
      <c r="O1227" s="2">
        <f>IF(M1227="","",IF(AND(N1227=_xlfn.MAXIFS(TF_AktSum,TF_Nokkel,M1227),COUNTIFS(M$3:M1226,M1227,N$3:N1226,N1227)=0),M1227,""))</f>
        <v/>
      </c>
    </row>
    <row r="1228">
      <c r="A1228" s="34" t="n"/>
      <c r="B1228" s="35" t="n"/>
      <c r="C1228" s="35" t="n"/>
      <c r="D1228" s="35" t="n"/>
      <c r="E1228" s="35" t="n"/>
      <c r="F1228" s="36" t="n"/>
      <c r="G1228" s="35" t="n"/>
      <c r="H1228" s="30">
        <f>IF(L1228="","",INDEX(SkiftNavn,L1228))</f>
        <v/>
      </c>
      <c r="I1228" s="30">
        <f>IF(OR(A1228="",L1228=""),"",IF(MOD(A1228-INDEX(SkiftStart,L1228),Syklus)&lt;DagK,"Kveld",IF(MOD(A1228-INDEX(SkiftStart,L1228),Syklus)&lt;DagK+DagH,"Helg",IF(MOD(A1228-INDEX(SkiftStart,L1228),Syklus)&lt;DagK+DagH+DagD,"Dag","Fri"))))</f>
        <v/>
      </c>
      <c r="J1228" s="30">
        <f>IF(I1228="Fri","Ja","")</f>
        <v/>
      </c>
      <c r="K1228" s="30">
        <f>IF(B1228="","",IF(L1228="","Ukjent tekniker",IF(ISNA(MATCH(C1228,Aktiviteter,0)),"Ukjent aktivitet",IF(AND(INDEX(AktRolle,MATCH(C1228,Aktiviteter,0))&amp;""&lt;&gt;"",ISERROR(SEARCH(INDEX(AktRolle,MATCH(C1228,Aktiviteter,0))&amp;"",INDEX(TekRoller,MATCH(B1228,Teknikere,0))))),"Mangler rollen "&amp;INDEX(AktRolle,MATCH(C1228,Aktiviteter,0))&amp;"",IF(AND(C1228="LMS",F1228&gt;0,OR(D1228="",E1228="")),"Mangler maskin eller arbeid",IF(AND(OR(C1228="LMS",C1228="Mod"),D1228&lt;&gt;""),IF(IFERROR(INDEX(MaskinStatus,MATCH(D1228,Maskiner,0)),"")="I dokk","","Maskinen er ikke i dokk"),""))))))</f>
        <v/>
      </c>
      <c r="L1228" s="2">
        <f>IF(B1228="","",IFERROR(INT((MATCH(B1228,Teknikere,0)-1)/18)+1,""))</f>
        <v/>
      </c>
      <c r="M1228" s="2">
        <f>IF(OR(A1228="",B1228=""),"",B1228&amp;"|"&amp;A1228)</f>
        <v/>
      </c>
      <c r="N1228" s="2">
        <f>IF(M1228="","",SUMIFS(TF_Timer,TF_Nokkel,M1228,TF_Akt,C1228))</f>
        <v/>
      </c>
      <c r="O1228" s="2">
        <f>IF(M1228="","",IF(AND(N1228=_xlfn.MAXIFS(TF_AktSum,TF_Nokkel,M1228),COUNTIFS(M$3:M1227,M1228,N$3:N1227,N1228)=0),M1228,""))</f>
        <v/>
      </c>
    </row>
    <row r="1229">
      <c r="A1229" s="34" t="n"/>
      <c r="B1229" s="35" t="n"/>
      <c r="C1229" s="35" t="n"/>
      <c r="D1229" s="35" t="n"/>
      <c r="E1229" s="35" t="n"/>
      <c r="F1229" s="36" t="n"/>
      <c r="G1229" s="35" t="n"/>
      <c r="H1229" s="30">
        <f>IF(L1229="","",INDEX(SkiftNavn,L1229))</f>
        <v/>
      </c>
      <c r="I1229" s="30">
        <f>IF(OR(A1229="",L1229=""),"",IF(MOD(A1229-INDEX(SkiftStart,L1229),Syklus)&lt;DagK,"Kveld",IF(MOD(A1229-INDEX(SkiftStart,L1229),Syklus)&lt;DagK+DagH,"Helg",IF(MOD(A1229-INDEX(SkiftStart,L1229),Syklus)&lt;DagK+DagH+DagD,"Dag","Fri"))))</f>
        <v/>
      </c>
      <c r="J1229" s="30">
        <f>IF(I1229="Fri","Ja","")</f>
        <v/>
      </c>
      <c r="K1229" s="30">
        <f>IF(B1229="","",IF(L1229="","Ukjent tekniker",IF(ISNA(MATCH(C1229,Aktiviteter,0)),"Ukjent aktivitet",IF(AND(INDEX(AktRolle,MATCH(C1229,Aktiviteter,0))&amp;""&lt;&gt;"",ISERROR(SEARCH(INDEX(AktRolle,MATCH(C1229,Aktiviteter,0))&amp;"",INDEX(TekRoller,MATCH(B1229,Teknikere,0))))),"Mangler rollen "&amp;INDEX(AktRolle,MATCH(C1229,Aktiviteter,0))&amp;"",IF(AND(C1229="LMS",F1229&gt;0,OR(D1229="",E1229="")),"Mangler maskin eller arbeid",IF(AND(OR(C1229="LMS",C1229="Mod"),D1229&lt;&gt;""),IF(IFERROR(INDEX(MaskinStatus,MATCH(D1229,Maskiner,0)),"")="I dokk","","Maskinen er ikke i dokk"),""))))))</f>
        <v/>
      </c>
      <c r="L1229" s="2">
        <f>IF(B1229="","",IFERROR(INT((MATCH(B1229,Teknikere,0)-1)/18)+1,""))</f>
        <v/>
      </c>
      <c r="M1229" s="2">
        <f>IF(OR(A1229="",B1229=""),"",B1229&amp;"|"&amp;A1229)</f>
        <v/>
      </c>
      <c r="N1229" s="2">
        <f>IF(M1229="","",SUMIFS(TF_Timer,TF_Nokkel,M1229,TF_Akt,C1229))</f>
        <v/>
      </c>
      <c r="O1229" s="2">
        <f>IF(M1229="","",IF(AND(N1229=_xlfn.MAXIFS(TF_AktSum,TF_Nokkel,M1229),COUNTIFS(M$3:M1228,M1229,N$3:N1228,N1229)=0),M1229,""))</f>
        <v/>
      </c>
    </row>
    <row r="1230">
      <c r="A1230" s="34" t="n"/>
      <c r="B1230" s="35" t="n"/>
      <c r="C1230" s="35" t="n"/>
      <c r="D1230" s="35" t="n"/>
      <c r="E1230" s="35" t="n"/>
      <c r="F1230" s="36" t="n"/>
      <c r="G1230" s="35" t="n"/>
      <c r="H1230" s="30">
        <f>IF(L1230="","",INDEX(SkiftNavn,L1230))</f>
        <v/>
      </c>
      <c r="I1230" s="30">
        <f>IF(OR(A1230="",L1230=""),"",IF(MOD(A1230-INDEX(SkiftStart,L1230),Syklus)&lt;DagK,"Kveld",IF(MOD(A1230-INDEX(SkiftStart,L1230),Syklus)&lt;DagK+DagH,"Helg",IF(MOD(A1230-INDEX(SkiftStart,L1230),Syklus)&lt;DagK+DagH+DagD,"Dag","Fri"))))</f>
        <v/>
      </c>
      <c r="J1230" s="30">
        <f>IF(I1230="Fri","Ja","")</f>
        <v/>
      </c>
      <c r="K1230" s="30">
        <f>IF(B1230="","",IF(L1230="","Ukjent tekniker",IF(ISNA(MATCH(C1230,Aktiviteter,0)),"Ukjent aktivitet",IF(AND(INDEX(AktRolle,MATCH(C1230,Aktiviteter,0))&amp;""&lt;&gt;"",ISERROR(SEARCH(INDEX(AktRolle,MATCH(C1230,Aktiviteter,0))&amp;"",INDEX(TekRoller,MATCH(B1230,Teknikere,0))))),"Mangler rollen "&amp;INDEX(AktRolle,MATCH(C1230,Aktiviteter,0))&amp;"",IF(AND(C1230="LMS",F1230&gt;0,OR(D1230="",E1230="")),"Mangler maskin eller arbeid",IF(AND(OR(C1230="LMS",C1230="Mod"),D1230&lt;&gt;""),IF(IFERROR(INDEX(MaskinStatus,MATCH(D1230,Maskiner,0)),"")="I dokk","","Maskinen er ikke i dokk"),""))))))</f>
        <v/>
      </c>
      <c r="L1230" s="2">
        <f>IF(B1230="","",IFERROR(INT((MATCH(B1230,Teknikere,0)-1)/18)+1,""))</f>
        <v/>
      </c>
      <c r="M1230" s="2">
        <f>IF(OR(A1230="",B1230=""),"",B1230&amp;"|"&amp;A1230)</f>
        <v/>
      </c>
      <c r="N1230" s="2">
        <f>IF(M1230="","",SUMIFS(TF_Timer,TF_Nokkel,M1230,TF_Akt,C1230))</f>
        <v/>
      </c>
      <c r="O1230" s="2">
        <f>IF(M1230="","",IF(AND(N1230=_xlfn.MAXIFS(TF_AktSum,TF_Nokkel,M1230),COUNTIFS(M$3:M1229,M1230,N$3:N1229,N1230)=0),M1230,""))</f>
        <v/>
      </c>
    </row>
    <row r="1231">
      <c r="A1231" s="34" t="n"/>
      <c r="B1231" s="35" t="n"/>
      <c r="C1231" s="35" t="n"/>
      <c r="D1231" s="35" t="n"/>
      <c r="E1231" s="35" t="n"/>
      <c r="F1231" s="36" t="n"/>
      <c r="G1231" s="35" t="n"/>
      <c r="H1231" s="30">
        <f>IF(L1231="","",INDEX(SkiftNavn,L1231))</f>
        <v/>
      </c>
      <c r="I1231" s="30">
        <f>IF(OR(A1231="",L1231=""),"",IF(MOD(A1231-INDEX(SkiftStart,L1231),Syklus)&lt;DagK,"Kveld",IF(MOD(A1231-INDEX(SkiftStart,L1231),Syklus)&lt;DagK+DagH,"Helg",IF(MOD(A1231-INDEX(SkiftStart,L1231),Syklus)&lt;DagK+DagH+DagD,"Dag","Fri"))))</f>
        <v/>
      </c>
      <c r="J1231" s="30">
        <f>IF(I1231="Fri","Ja","")</f>
        <v/>
      </c>
      <c r="K1231" s="30">
        <f>IF(B1231="","",IF(L1231="","Ukjent tekniker",IF(ISNA(MATCH(C1231,Aktiviteter,0)),"Ukjent aktivitet",IF(AND(INDEX(AktRolle,MATCH(C1231,Aktiviteter,0))&amp;""&lt;&gt;"",ISERROR(SEARCH(INDEX(AktRolle,MATCH(C1231,Aktiviteter,0))&amp;"",INDEX(TekRoller,MATCH(B1231,Teknikere,0))))),"Mangler rollen "&amp;INDEX(AktRolle,MATCH(C1231,Aktiviteter,0))&amp;"",IF(AND(C1231="LMS",F1231&gt;0,OR(D1231="",E1231="")),"Mangler maskin eller arbeid",IF(AND(OR(C1231="LMS",C1231="Mod"),D1231&lt;&gt;""),IF(IFERROR(INDEX(MaskinStatus,MATCH(D1231,Maskiner,0)),"")="I dokk","","Maskinen er ikke i dokk"),""))))))</f>
        <v/>
      </c>
      <c r="L1231" s="2">
        <f>IF(B1231="","",IFERROR(INT((MATCH(B1231,Teknikere,0)-1)/18)+1,""))</f>
        <v/>
      </c>
      <c r="M1231" s="2">
        <f>IF(OR(A1231="",B1231=""),"",B1231&amp;"|"&amp;A1231)</f>
        <v/>
      </c>
      <c r="N1231" s="2">
        <f>IF(M1231="","",SUMIFS(TF_Timer,TF_Nokkel,M1231,TF_Akt,C1231))</f>
        <v/>
      </c>
      <c r="O1231" s="2">
        <f>IF(M1231="","",IF(AND(N1231=_xlfn.MAXIFS(TF_AktSum,TF_Nokkel,M1231),COUNTIFS(M$3:M1230,M1231,N$3:N1230,N1231)=0),M1231,""))</f>
        <v/>
      </c>
    </row>
    <row r="1232">
      <c r="A1232" s="34" t="n"/>
      <c r="B1232" s="35" t="n"/>
      <c r="C1232" s="35" t="n"/>
      <c r="D1232" s="35" t="n"/>
      <c r="E1232" s="35" t="n"/>
      <c r="F1232" s="36" t="n"/>
      <c r="G1232" s="35" t="n"/>
      <c r="H1232" s="30">
        <f>IF(L1232="","",INDEX(SkiftNavn,L1232))</f>
        <v/>
      </c>
      <c r="I1232" s="30">
        <f>IF(OR(A1232="",L1232=""),"",IF(MOD(A1232-INDEX(SkiftStart,L1232),Syklus)&lt;DagK,"Kveld",IF(MOD(A1232-INDEX(SkiftStart,L1232),Syklus)&lt;DagK+DagH,"Helg",IF(MOD(A1232-INDEX(SkiftStart,L1232),Syklus)&lt;DagK+DagH+DagD,"Dag","Fri"))))</f>
        <v/>
      </c>
      <c r="J1232" s="30">
        <f>IF(I1232="Fri","Ja","")</f>
        <v/>
      </c>
      <c r="K1232" s="30">
        <f>IF(B1232="","",IF(L1232="","Ukjent tekniker",IF(ISNA(MATCH(C1232,Aktiviteter,0)),"Ukjent aktivitet",IF(AND(INDEX(AktRolle,MATCH(C1232,Aktiviteter,0))&amp;""&lt;&gt;"",ISERROR(SEARCH(INDEX(AktRolle,MATCH(C1232,Aktiviteter,0))&amp;"",INDEX(TekRoller,MATCH(B1232,Teknikere,0))))),"Mangler rollen "&amp;INDEX(AktRolle,MATCH(C1232,Aktiviteter,0))&amp;"",IF(AND(C1232="LMS",F1232&gt;0,OR(D1232="",E1232="")),"Mangler maskin eller arbeid",IF(AND(OR(C1232="LMS",C1232="Mod"),D1232&lt;&gt;""),IF(IFERROR(INDEX(MaskinStatus,MATCH(D1232,Maskiner,0)),"")="I dokk","","Maskinen er ikke i dokk"),""))))))</f>
        <v/>
      </c>
      <c r="L1232" s="2">
        <f>IF(B1232="","",IFERROR(INT((MATCH(B1232,Teknikere,0)-1)/18)+1,""))</f>
        <v/>
      </c>
      <c r="M1232" s="2">
        <f>IF(OR(A1232="",B1232=""),"",B1232&amp;"|"&amp;A1232)</f>
        <v/>
      </c>
      <c r="N1232" s="2">
        <f>IF(M1232="","",SUMIFS(TF_Timer,TF_Nokkel,M1232,TF_Akt,C1232))</f>
        <v/>
      </c>
      <c r="O1232" s="2">
        <f>IF(M1232="","",IF(AND(N1232=_xlfn.MAXIFS(TF_AktSum,TF_Nokkel,M1232),COUNTIFS(M$3:M1231,M1232,N$3:N1231,N1232)=0),M1232,""))</f>
        <v/>
      </c>
    </row>
    <row r="1233">
      <c r="A1233" s="34" t="n"/>
      <c r="B1233" s="35" t="n"/>
      <c r="C1233" s="35" t="n"/>
      <c r="D1233" s="35" t="n"/>
      <c r="E1233" s="35" t="n"/>
      <c r="F1233" s="36" t="n"/>
      <c r="G1233" s="35" t="n"/>
      <c r="H1233" s="30">
        <f>IF(L1233="","",INDEX(SkiftNavn,L1233))</f>
        <v/>
      </c>
      <c r="I1233" s="30">
        <f>IF(OR(A1233="",L1233=""),"",IF(MOD(A1233-INDEX(SkiftStart,L1233),Syklus)&lt;DagK,"Kveld",IF(MOD(A1233-INDEX(SkiftStart,L1233),Syklus)&lt;DagK+DagH,"Helg",IF(MOD(A1233-INDEX(SkiftStart,L1233),Syklus)&lt;DagK+DagH+DagD,"Dag","Fri"))))</f>
        <v/>
      </c>
      <c r="J1233" s="30">
        <f>IF(I1233="Fri","Ja","")</f>
        <v/>
      </c>
      <c r="K1233" s="30">
        <f>IF(B1233="","",IF(L1233="","Ukjent tekniker",IF(ISNA(MATCH(C1233,Aktiviteter,0)),"Ukjent aktivitet",IF(AND(INDEX(AktRolle,MATCH(C1233,Aktiviteter,0))&amp;""&lt;&gt;"",ISERROR(SEARCH(INDEX(AktRolle,MATCH(C1233,Aktiviteter,0))&amp;"",INDEX(TekRoller,MATCH(B1233,Teknikere,0))))),"Mangler rollen "&amp;INDEX(AktRolle,MATCH(C1233,Aktiviteter,0))&amp;"",IF(AND(C1233="LMS",F1233&gt;0,OR(D1233="",E1233="")),"Mangler maskin eller arbeid",IF(AND(OR(C1233="LMS",C1233="Mod"),D1233&lt;&gt;""),IF(IFERROR(INDEX(MaskinStatus,MATCH(D1233,Maskiner,0)),"")="I dokk","","Maskinen er ikke i dokk"),""))))))</f>
        <v/>
      </c>
      <c r="L1233" s="2">
        <f>IF(B1233="","",IFERROR(INT((MATCH(B1233,Teknikere,0)-1)/18)+1,""))</f>
        <v/>
      </c>
      <c r="M1233" s="2">
        <f>IF(OR(A1233="",B1233=""),"",B1233&amp;"|"&amp;A1233)</f>
        <v/>
      </c>
      <c r="N1233" s="2">
        <f>IF(M1233="","",SUMIFS(TF_Timer,TF_Nokkel,M1233,TF_Akt,C1233))</f>
        <v/>
      </c>
      <c r="O1233" s="2">
        <f>IF(M1233="","",IF(AND(N1233=_xlfn.MAXIFS(TF_AktSum,TF_Nokkel,M1233),COUNTIFS(M$3:M1232,M1233,N$3:N1232,N1233)=0),M1233,""))</f>
        <v/>
      </c>
    </row>
    <row r="1234">
      <c r="A1234" s="34" t="n"/>
      <c r="B1234" s="35" t="n"/>
      <c r="C1234" s="35" t="n"/>
      <c r="D1234" s="35" t="n"/>
      <c r="E1234" s="35" t="n"/>
      <c r="F1234" s="36" t="n"/>
      <c r="G1234" s="35" t="n"/>
      <c r="H1234" s="30">
        <f>IF(L1234="","",INDEX(SkiftNavn,L1234))</f>
        <v/>
      </c>
      <c r="I1234" s="30">
        <f>IF(OR(A1234="",L1234=""),"",IF(MOD(A1234-INDEX(SkiftStart,L1234),Syklus)&lt;DagK,"Kveld",IF(MOD(A1234-INDEX(SkiftStart,L1234),Syklus)&lt;DagK+DagH,"Helg",IF(MOD(A1234-INDEX(SkiftStart,L1234),Syklus)&lt;DagK+DagH+DagD,"Dag","Fri"))))</f>
        <v/>
      </c>
      <c r="J1234" s="30">
        <f>IF(I1234="Fri","Ja","")</f>
        <v/>
      </c>
      <c r="K1234" s="30">
        <f>IF(B1234="","",IF(L1234="","Ukjent tekniker",IF(ISNA(MATCH(C1234,Aktiviteter,0)),"Ukjent aktivitet",IF(AND(INDEX(AktRolle,MATCH(C1234,Aktiviteter,0))&amp;""&lt;&gt;"",ISERROR(SEARCH(INDEX(AktRolle,MATCH(C1234,Aktiviteter,0))&amp;"",INDEX(TekRoller,MATCH(B1234,Teknikere,0))))),"Mangler rollen "&amp;INDEX(AktRolle,MATCH(C1234,Aktiviteter,0))&amp;"",IF(AND(C1234="LMS",F1234&gt;0,OR(D1234="",E1234="")),"Mangler maskin eller arbeid",IF(AND(OR(C1234="LMS",C1234="Mod"),D1234&lt;&gt;""),IF(IFERROR(INDEX(MaskinStatus,MATCH(D1234,Maskiner,0)),"")="I dokk","","Maskinen er ikke i dokk"),""))))))</f>
        <v/>
      </c>
      <c r="L1234" s="2">
        <f>IF(B1234="","",IFERROR(INT((MATCH(B1234,Teknikere,0)-1)/18)+1,""))</f>
        <v/>
      </c>
      <c r="M1234" s="2">
        <f>IF(OR(A1234="",B1234=""),"",B1234&amp;"|"&amp;A1234)</f>
        <v/>
      </c>
      <c r="N1234" s="2">
        <f>IF(M1234="","",SUMIFS(TF_Timer,TF_Nokkel,M1234,TF_Akt,C1234))</f>
        <v/>
      </c>
      <c r="O1234" s="2">
        <f>IF(M1234="","",IF(AND(N1234=_xlfn.MAXIFS(TF_AktSum,TF_Nokkel,M1234),COUNTIFS(M$3:M1233,M1234,N$3:N1233,N1234)=0),M1234,""))</f>
        <v/>
      </c>
    </row>
    <row r="1235">
      <c r="A1235" s="34" t="n"/>
      <c r="B1235" s="35" t="n"/>
      <c r="C1235" s="35" t="n"/>
      <c r="D1235" s="35" t="n"/>
      <c r="E1235" s="35" t="n"/>
      <c r="F1235" s="36" t="n"/>
      <c r="G1235" s="35" t="n"/>
      <c r="H1235" s="30">
        <f>IF(L1235="","",INDEX(SkiftNavn,L1235))</f>
        <v/>
      </c>
      <c r="I1235" s="30">
        <f>IF(OR(A1235="",L1235=""),"",IF(MOD(A1235-INDEX(SkiftStart,L1235),Syklus)&lt;DagK,"Kveld",IF(MOD(A1235-INDEX(SkiftStart,L1235),Syklus)&lt;DagK+DagH,"Helg",IF(MOD(A1235-INDEX(SkiftStart,L1235),Syklus)&lt;DagK+DagH+DagD,"Dag","Fri"))))</f>
        <v/>
      </c>
      <c r="J1235" s="30">
        <f>IF(I1235="Fri","Ja","")</f>
        <v/>
      </c>
      <c r="K1235" s="30">
        <f>IF(B1235="","",IF(L1235="","Ukjent tekniker",IF(ISNA(MATCH(C1235,Aktiviteter,0)),"Ukjent aktivitet",IF(AND(INDEX(AktRolle,MATCH(C1235,Aktiviteter,0))&amp;""&lt;&gt;"",ISERROR(SEARCH(INDEX(AktRolle,MATCH(C1235,Aktiviteter,0))&amp;"",INDEX(TekRoller,MATCH(B1235,Teknikere,0))))),"Mangler rollen "&amp;INDEX(AktRolle,MATCH(C1235,Aktiviteter,0))&amp;"",IF(AND(C1235="LMS",F1235&gt;0,OR(D1235="",E1235="")),"Mangler maskin eller arbeid",IF(AND(OR(C1235="LMS",C1235="Mod"),D1235&lt;&gt;""),IF(IFERROR(INDEX(MaskinStatus,MATCH(D1235,Maskiner,0)),"")="I dokk","","Maskinen er ikke i dokk"),""))))))</f>
        <v/>
      </c>
      <c r="L1235" s="2">
        <f>IF(B1235="","",IFERROR(INT((MATCH(B1235,Teknikere,0)-1)/18)+1,""))</f>
        <v/>
      </c>
      <c r="M1235" s="2">
        <f>IF(OR(A1235="",B1235=""),"",B1235&amp;"|"&amp;A1235)</f>
        <v/>
      </c>
      <c r="N1235" s="2">
        <f>IF(M1235="","",SUMIFS(TF_Timer,TF_Nokkel,M1235,TF_Akt,C1235))</f>
        <v/>
      </c>
      <c r="O1235" s="2">
        <f>IF(M1235="","",IF(AND(N1235=_xlfn.MAXIFS(TF_AktSum,TF_Nokkel,M1235),COUNTIFS(M$3:M1234,M1235,N$3:N1234,N1235)=0),M1235,""))</f>
        <v/>
      </c>
    </row>
    <row r="1236">
      <c r="A1236" s="34" t="n"/>
      <c r="B1236" s="35" t="n"/>
      <c r="C1236" s="35" t="n"/>
      <c r="D1236" s="35" t="n"/>
      <c r="E1236" s="35" t="n"/>
      <c r="F1236" s="36" t="n"/>
      <c r="G1236" s="35" t="n"/>
      <c r="H1236" s="30">
        <f>IF(L1236="","",INDEX(SkiftNavn,L1236))</f>
        <v/>
      </c>
      <c r="I1236" s="30">
        <f>IF(OR(A1236="",L1236=""),"",IF(MOD(A1236-INDEX(SkiftStart,L1236),Syklus)&lt;DagK,"Kveld",IF(MOD(A1236-INDEX(SkiftStart,L1236),Syklus)&lt;DagK+DagH,"Helg",IF(MOD(A1236-INDEX(SkiftStart,L1236),Syklus)&lt;DagK+DagH+DagD,"Dag","Fri"))))</f>
        <v/>
      </c>
      <c r="J1236" s="30">
        <f>IF(I1236="Fri","Ja","")</f>
        <v/>
      </c>
      <c r="K1236" s="30">
        <f>IF(B1236="","",IF(L1236="","Ukjent tekniker",IF(ISNA(MATCH(C1236,Aktiviteter,0)),"Ukjent aktivitet",IF(AND(INDEX(AktRolle,MATCH(C1236,Aktiviteter,0))&amp;""&lt;&gt;"",ISERROR(SEARCH(INDEX(AktRolle,MATCH(C1236,Aktiviteter,0))&amp;"",INDEX(TekRoller,MATCH(B1236,Teknikere,0))))),"Mangler rollen "&amp;INDEX(AktRolle,MATCH(C1236,Aktiviteter,0))&amp;"",IF(AND(C1236="LMS",F1236&gt;0,OR(D1236="",E1236="")),"Mangler maskin eller arbeid",IF(AND(OR(C1236="LMS",C1236="Mod"),D1236&lt;&gt;""),IF(IFERROR(INDEX(MaskinStatus,MATCH(D1236,Maskiner,0)),"")="I dokk","","Maskinen er ikke i dokk"),""))))))</f>
        <v/>
      </c>
      <c r="L1236" s="2">
        <f>IF(B1236="","",IFERROR(INT((MATCH(B1236,Teknikere,0)-1)/18)+1,""))</f>
        <v/>
      </c>
      <c r="M1236" s="2">
        <f>IF(OR(A1236="",B1236=""),"",B1236&amp;"|"&amp;A1236)</f>
        <v/>
      </c>
      <c r="N1236" s="2">
        <f>IF(M1236="","",SUMIFS(TF_Timer,TF_Nokkel,M1236,TF_Akt,C1236))</f>
        <v/>
      </c>
      <c r="O1236" s="2">
        <f>IF(M1236="","",IF(AND(N1236=_xlfn.MAXIFS(TF_AktSum,TF_Nokkel,M1236),COUNTIFS(M$3:M1235,M1236,N$3:N1235,N1236)=0),M1236,""))</f>
        <v/>
      </c>
    </row>
    <row r="1237">
      <c r="A1237" s="34" t="n"/>
      <c r="B1237" s="35" t="n"/>
      <c r="C1237" s="35" t="n"/>
      <c r="D1237" s="35" t="n"/>
      <c r="E1237" s="35" t="n"/>
      <c r="F1237" s="36" t="n"/>
      <c r="G1237" s="35" t="n"/>
      <c r="H1237" s="30">
        <f>IF(L1237="","",INDEX(SkiftNavn,L1237))</f>
        <v/>
      </c>
      <c r="I1237" s="30">
        <f>IF(OR(A1237="",L1237=""),"",IF(MOD(A1237-INDEX(SkiftStart,L1237),Syklus)&lt;DagK,"Kveld",IF(MOD(A1237-INDEX(SkiftStart,L1237),Syklus)&lt;DagK+DagH,"Helg",IF(MOD(A1237-INDEX(SkiftStart,L1237),Syklus)&lt;DagK+DagH+DagD,"Dag","Fri"))))</f>
        <v/>
      </c>
      <c r="J1237" s="30">
        <f>IF(I1237="Fri","Ja","")</f>
        <v/>
      </c>
      <c r="K1237" s="30">
        <f>IF(B1237="","",IF(L1237="","Ukjent tekniker",IF(ISNA(MATCH(C1237,Aktiviteter,0)),"Ukjent aktivitet",IF(AND(INDEX(AktRolle,MATCH(C1237,Aktiviteter,0))&amp;""&lt;&gt;"",ISERROR(SEARCH(INDEX(AktRolle,MATCH(C1237,Aktiviteter,0))&amp;"",INDEX(TekRoller,MATCH(B1237,Teknikere,0))))),"Mangler rollen "&amp;INDEX(AktRolle,MATCH(C1237,Aktiviteter,0))&amp;"",IF(AND(C1237="LMS",F1237&gt;0,OR(D1237="",E1237="")),"Mangler maskin eller arbeid",IF(AND(OR(C1237="LMS",C1237="Mod"),D1237&lt;&gt;""),IF(IFERROR(INDEX(MaskinStatus,MATCH(D1237,Maskiner,0)),"")="I dokk","","Maskinen er ikke i dokk"),""))))))</f>
        <v/>
      </c>
      <c r="L1237" s="2">
        <f>IF(B1237="","",IFERROR(INT((MATCH(B1237,Teknikere,0)-1)/18)+1,""))</f>
        <v/>
      </c>
      <c r="M1237" s="2">
        <f>IF(OR(A1237="",B1237=""),"",B1237&amp;"|"&amp;A1237)</f>
        <v/>
      </c>
      <c r="N1237" s="2">
        <f>IF(M1237="","",SUMIFS(TF_Timer,TF_Nokkel,M1237,TF_Akt,C1237))</f>
        <v/>
      </c>
      <c r="O1237" s="2">
        <f>IF(M1237="","",IF(AND(N1237=_xlfn.MAXIFS(TF_AktSum,TF_Nokkel,M1237),COUNTIFS(M$3:M1236,M1237,N$3:N1236,N1237)=0),M1237,""))</f>
        <v/>
      </c>
    </row>
    <row r="1238">
      <c r="A1238" s="34" t="n"/>
      <c r="B1238" s="35" t="n"/>
      <c r="C1238" s="35" t="n"/>
      <c r="D1238" s="35" t="n"/>
      <c r="E1238" s="35" t="n"/>
      <c r="F1238" s="36" t="n"/>
      <c r="G1238" s="35" t="n"/>
      <c r="H1238" s="30">
        <f>IF(L1238="","",INDEX(SkiftNavn,L1238))</f>
        <v/>
      </c>
      <c r="I1238" s="30">
        <f>IF(OR(A1238="",L1238=""),"",IF(MOD(A1238-INDEX(SkiftStart,L1238),Syklus)&lt;DagK,"Kveld",IF(MOD(A1238-INDEX(SkiftStart,L1238),Syklus)&lt;DagK+DagH,"Helg",IF(MOD(A1238-INDEX(SkiftStart,L1238),Syklus)&lt;DagK+DagH+DagD,"Dag","Fri"))))</f>
        <v/>
      </c>
      <c r="J1238" s="30">
        <f>IF(I1238="Fri","Ja","")</f>
        <v/>
      </c>
      <c r="K1238" s="30">
        <f>IF(B1238="","",IF(L1238="","Ukjent tekniker",IF(ISNA(MATCH(C1238,Aktiviteter,0)),"Ukjent aktivitet",IF(AND(INDEX(AktRolle,MATCH(C1238,Aktiviteter,0))&amp;""&lt;&gt;"",ISERROR(SEARCH(INDEX(AktRolle,MATCH(C1238,Aktiviteter,0))&amp;"",INDEX(TekRoller,MATCH(B1238,Teknikere,0))))),"Mangler rollen "&amp;INDEX(AktRolle,MATCH(C1238,Aktiviteter,0))&amp;"",IF(AND(C1238="LMS",F1238&gt;0,OR(D1238="",E1238="")),"Mangler maskin eller arbeid",IF(AND(OR(C1238="LMS",C1238="Mod"),D1238&lt;&gt;""),IF(IFERROR(INDEX(MaskinStatus,MATCH(D1238,Maskiner,0)),"")="I dokk","","Maskinen er ikke i dokk"),""))))))</f>
        <v/>
      </c>
      <c r="L1238" s="2">
        <f>IF(B1238="","",IFERROR(INT((MATCH(B1238,Teknikere,0)-1)/18)+1,""))</f>
        <v/>
      </c>
      <c r="M1238" s="2">
        <f>IF(OR(A1238="",B1238=""),"",B1238&amp;"|"&amp;A1238)</f>
        <v/>
      </c>
      <c r="N1238" s="2">
        <f>IF(M1238="","",SUMIFS(TF_Timer,TF_Nokkel,M1238,TF_Akt,C1238))</f>
        <v/>
      </c>
      <c r="O1238" s="2">
        <f>IF(M1238="","",IF(AND(N1238=_xlfn.MAXIFS(TF_AktSum,TF_Nokkel,M1238),COUNTIFS(M$3:M1237,M1238,N$3:N1237,N1238)=0),M1238,""))</f>
        <v/>
      </c>
    </row>
    <row r="1239">
      <c r="A1239" s="34" t="n"/>
      <c r="B1239" s="35" t="n"/>
      <c r="C1239" s="35" t="n"/>
      <c r="D1239" s="35" t="n"/>
      <c r="E1239" s="35" t="n"/>
      <c r="F1239" s="36" t="n"/>
      <c r="G1239" s="35" t="n"/>
      <c r="H1239" s="30">
        <f>IF(L1239="","",INDEX(SkiftNavn,L1239))</f>
        <v/>
      </c>
      <c r="I1239" s="30">
        <f>IF(OR(A1239="",L1239=""),"",IF(MOD(A1239-INDEX(SkiftStart,L1239),Syklus)&lt;DagK,"Kveld",IF(MOD(A1239-INDEX(SkiftStart,L1239),Syklus)&lt;DagK+DagH,"Helg",IF(MOD(A1239-INDEX(SkiftStart,L1239),Syklus)&lt;DagK+DagH+DagD,"Dag","Fri"))))</f>
        <v/>
      </c>
      <c r="J1239" s="30">
        <f>IF(I1239="Fri","Ja","")</f>
        <v/>
      </c>
      <c r="K1239" s="30">
        <f>IF(B1239="","",IF(L1239="","Ukjent tekniker",IF(ISNA(MATCH(C1239,Aktiviteter,0)),"Ukjent aktivitet",IF(AND(INDEX(AktRolle,MATCH(C1239,Aktiviteter,0))&amp;""&lt;&gt;"",ISERROR(SEARCH(INDEX(AktRolle,MATCH(C1239,Aktiviteter,0))&amp;"",INDEX(TekRoller,MATCH(B1239,Teknikere,0))))),"Mangler rollen "&amp;INDEX(AktRolle,MATCH(C1239,Aktiviteter,0))&amp;"",IF(AND(C1239="LMS",F1239&gt;0,OR(D1239="",E1239="")),"Mangler maskin eller arbeid",IF(AND(OR(C1239="LMS",C1239="Mod"),D1239&lt;&gt;""),IF(IFERROR(INDEX(MaskinStatus,MATCH(D1239,Maskiner,0)),"")="I dokk","","Maskinen er ikke i dokk"),""))))))</f>
        <v/>
      </c>
      <c r="L1239" s="2">
        <f>IF(B1239="","",IFERROR(INT((MATCH(B1239,Teknikere,0)-1)/18)+1,""))</f>
        <v/>
      </c>
      <c r="M1239" s="2">
        <f>IF(OR(A1239="",B1239=""),"",B1239&amp;"|"&amp;A1239)</f>
        <v/>
      </c>
      <c r="N1239" s="2">
        <f>IF(M1239="","",SUMIFS(TF_Timer,TF_Nokkel,M1239,TF_Akt,C1239))</f>
        <v/>
      </c>
      <c r="O1239" s="2">
        <f>IF(M1239="","",IF(AND(N1239=_xlfn.MAXIFS(TF_AktSum,TF_Nokkel,M1239),COUNTIFS(M$3:M1238,M1239,N$3:N1238,N1239)=0),M1239,""))</f>
        <v/>
      </c>
    </row>
    <row r="1240">
      <c r="A1240" s="34" t="n"/>
      <c r="B1240" s="35" t="n"/>
      <c r="C1240" s="35" t="n"/>
      <c r="D1240" s="35" t="n"/>
      <c r="E1240" s="35" t="n"/>
      <c r="F1240" s="36" t="n"/>
      <c r="G1240" s="35" t="n"/>
      <c r="H1240" s="30">
        <f>IF(L1240="","",INDEX(SkiftNavn,L1240))</f>
        <v/>
      </c>
      <c r="I1240" s="30">
        <f>IF(OR(A1240="",L1240=""),"",IF(MOD(A1240-INDEX(SkiftStart,L1240),Syklus)&lt;DagK,"Kveld",IF(MOD(A1240-INDEX(SkiftStart,L1240),Syklus)&lt;DagK+DagH,"Helg",IF(MOD(A1240-INDEX(SkiftStart,L1240),Syklus)&lt;DagK+DagH+DagD,"Dag","Fri"))))</f>
        <v/>
      </c>
      <c r="J1240" s="30">
        <f>IF(I1240="Fri","Ja","")</f>
        <v/>
      </c>
      <c r="K1240" s="30">
        <f>IF(B1240="","",IF(L1240="","Ukjent tekniker",IF(ISNA(MATCH(C1240,Aktiviteter,0)),"Ukjent aktivitet",IF(AND(INDEX(AktRolle,MATCH(C1240,Aktiviteter,0))&amp;""&lt;&gt;"",ISERROR(SEARCH(INDEX(AktRolle,MATCH(C1240,Aktiviteter,0))&amp;"",INDEX(TekRoller,MATCH(B1240,Teknikere,0))))),"Mangler rollen "&amp;INDEX(AktRolle,MATCH(C1240,Aktiviteter,0))&amp;"",IF(AND(C1240="LMS",F1240&gt;0,OR(D1240="",E1240="")),"Mangler maskin eller arbeid",IF(AND(OR(C1240="LMS",C1240="Mod"),D1240&lt;&gt;""),IF(IFERROR(INDEX(MaskinStatus,MATCH(D1240,Maskiner,0)),"")="I dokk","","Maskinen er ikke i dokk"),""))))))</f>
        <v/>
      </c>
      <c r="L1240" s="2">
        <f>IF(B1240="","",IFERROR(INT((MATCH(B1240,Teknikere,0)-1)/18)+1,""))</f>
        <v/>
      </c>
      <c r="M1240" s="2">
        <f>IF(OR(A1240="",B1240=""),"",B1240&amp;"|"&amp;A1240)</f>
        <v/>
      </c>
      <c r="N1240" s="2">
        <f>IF(M1240="","",SUMIFS(TF_Timer,TF_Nokkel,M1240,TF_Akt,C1240))</f>
        <v/>
      </c>
      <c r="O1240" s="2">
        <f>IF(M1240="","",IF(AND(N1240=_xlfn.MAXIFS(TF_AktSum,TF_Nokkel,M1240),COUNTIFS(M$3:M1239,M1240,N$3:N1239,N1240)=0),M1240,""))</f>
        <v/>
      </c>
    </row>
    <row r="1241">
      <c r="A1241" s="34" t="n"/>
      <c r="B1241" s="35" t="n"/>
      <c r="C1241" s="35" t="n"/>
      <c r="D1241" s="35" t="n"/>
      <c r="E1241" s="35" t="n"/>
      <c r="F1241" s="36" t="n"/>
      <c r="G1241" s="35" t="n"/>
      <c r="H1241" s="30">
        <f>IF(L1241="","",INDEX(SkiftNavn,L1241))</f>
        <v/>
      </c>
      <c r="I1241" s="30">
        <f>IF(OR(A1241="",L1241=""),"",IF(MOD(A1241-INDEX(SkiftStart,L1241),Syklus)&lt;DagK,"Kveld",IF(MOD(A1241-INDEX(SkiftStart,L1241),Syklus)&lt;DagK+DagH,"Helg",IF(MOD(A1241-INDEX(SkiftStart,L1241),Syklus)&lt;DagK+DagH+DagD,"Dag","Fri"))))</f>
        <v/>
      </c>
      <c r="J1241" s="30">
        <f>IF(I1241="Fri","Ja","")</f>
        <v/>
      </c>
      <c r="K1241" s="30">
        <f>IF(B1241="","",IF(L1241="","Ukjent tekniker",IF(ISNA(MATCH(C1241,Aktiviteter,0)),"Ukjent aktivitet",IF(AND(INDEX(AktRolle,MATCH(C1241,Aktiviteter,0))&amp;""&lt;&gt;"",ISERROR(SEARCH(INDEX(AktRolle,MATCH(C1241,Aktiviteter,0))&amp;"",INDEX(TekRoller,MATCH(B1241,Teknikere,0))))),"Mangler rollen "&amp;INDEX(AktRolle,MATCH(C1241,Aktiviteter,0))&amp;"",IF(AND(C1241="LMS",F1241&gt;0,OR(D1241="",E1241="")),"Mangler maskin eller arbeid",IF(AND(OR(C1241="LMS",C1241="Mod"),D1241&lt;&gt;""),IF(IFERROR(INDEX(MaskinStatus,MATCH(D1241,Maskiner,0)),"")="I dokk","","Maskinen er ikke i dokk"),""))))))</f>
        <v/>
      </c>
      <c r="L1241" s="2">
        <f>IF(B1241="","",IFERROR(INT((MATCH(B1241,Teknikere,0)-1)/18)+1,""))</f>
        <v/>
      </c>
      <c r="M1241" s="2">
        <f>IF(OR(A1241="",B1241=""),"",B1241&amp;"|"&amp;A1241)</f>
        <v/>
      </c>
      <c r="N1241" s="2">
        <f>IF(M1241="","",SUMIFS(TF_Timer,TF_Nokkel,M1241,TF_Akt,C1241))</f>
        <v/>
      </c>
      <c r="O1241" s="2">
        <f>IF(M1241="","",IF(AND(N1241=_xlfn.MAXIFS(TF_AktSum,TF_Nokkel,M1241),COUNTIFS(M$3:M1240,M1241,N$3:N1240,N1241)=0),M1241,""))</f>
        <v/>
      </c>
    </row>
    <row r="1242">
      <c r="A1242" s="34" t="n"/>
      <c r="B1242" s="35" t="n"/>
      <c r="C1242" s="35" t="n"/>
      <c r="D1242" s="35" t="n"/>
      <c r="E1242" s="35" t="n"/>
      <c r="F1242" s="36" t="n"/>
      <c r="G1242" s="35" t="n"/>
      <c r="H1242" s="30">
        <f>IF(L1242="","",INDEX(SkiftNavn,L1242))</f>
        <v/>
      </c>
      <c r="I1242" s="30">
        <f>IF(OR(A1242="",L1242=""),"",IF(MOD(A1242-INDEX(SkiftStart,L1242),Syklus)&lt;DagK,"Kveld",IF(MOD(A1242-INDEX(SkiftStart,L1242),Syklus)&lt;DagK+DagH,"Helg",IF(MOD(A1242-INDEX(SkiftStart,L1242),Syklus)&lt;DagK+DagH+DagD,"Dag","Fri"))))</f>
        <v/>
      </c>
      <c r="J1242" s="30">
        <f>IF(I1242="Fri","Ja","")</f>
        <v/>
      </c>
      <c r="K1242" s="30">
        <f>IF(B1242="","",IF(L1242="","Ukjent tekniker",IF(ISNA(MATCH(C1242,Aktiviteter,0)),"Ukjent aktivitet",IF(AND(INDEX(AktRolle,MATCH(C1242,Aktiviteter,0))&amp;""&lt;&gt;"",ISERROR(SEARCH(INDEX(AktRolle,MATCH(C1242,Aktiviteter,0))&amp;"",INDEX(TekRoller,MATCH(B1242,Teknikere,0))))),"Mangler rollen "&amp;INDEX(AktRolle,MATCH(C1242,Aktiviteter,0))&amp;"",IF(AND(C1242="LMS",F1242&gt;0,OR(D1242="",E1242="")),"Mangler maskin eller arbeid",IF(AND(OR(C1242="LMS",C1242="Mod"),D1242&lt;&gt;""),IF(IFERROR(INDEX(MaskinStatus,MATCH(D1242,Maskiner,0)),"")="I dokk","","Maskinen er ikke i dokk"),""))))))</f>
        <v/>
      </c>
      <c r="L1242" s="2">
        <f>IF(B1242="","",IFERROR(INT((MATCH(B1242,Teknikere,0)-1)/18)+1,""))</f>
        <v/>
      </c>
      <c r="M1242" s="2">
        <f>IF(OR(A1242="",B1242=""),"",B1242&amp;"|"&amp;A1242)</f>
        <v/>
      </c>
      <c r="N1242" s="2">
        <f>IF(M1242="","",SUMIFS(TF_Timer,TF_Nokkel,M1242,TF_Akt,C1242))</f>
        <v/>
      </c>
      <c r="O1242" s="2">
        <f>IF(M1242="","",IF(AND(N1242=_xlfn.MAXIFS(TF_AktSum,TF_Nokkel,M1242),COUNTIFS(M$3:M1241,M1242,N$3:N1241,N1242)=0),M1242,""))</f>
        <v/>
      </c>
    </row>
    <row r="1243">
      <c r="A1243" s="34" t="n"/>
      <c r="B1243" s="35" t="n"/>
      <c r="C1243" s="35" t="n"/>
      <c r="D1243" s="35" t="n"/>
      <c r="E1243" s="35" t="n"/>
      <c r="F1243" s="36" t="n"/>
      <c r="G1243" s="35" t="n"/>
      <c r="H1243" s="30">
        <f>IF(L1243="","",INDEX(SkiftNavn,L1243))</f>
        <v/>
      </c>
      <c r="I1243" s="30">
        <f>IF(OR(A1243="",L1243=""),"",IF(MOD(A1243-INDEX(SkiftStart,L1243),Syklus)&lt;DagK,"Kveld",IF(MOD(A1243-INDEX(SkiftStart,L1243),Syklus)&lt;DagK+DagH,"Helg",IF(MOD(A1243-INDEX(SkiftStart,L1243),Syklus)&lt;DagK+DagH+DagD,"Dag","Fri"))))</f>
        <v/>
      </c>
      <c r="J1243" s="30">
        <f>IF(I1243="Fri","Ja","")</f>
        <v/>
      </c>
      <c r="K1243" s="30">
        <f>IF(B1243="","",IF(L1243="","Ukjent tekniker",IF(ISNA(MATCH(C1243,Aktiviteter,0)),"Ukjent aktivitet",IF(AND(INDEX(AktRolle,MATCH(C1243,Aktiviteter,0))&amp;""&lt;&gt;"",ISERROR(SEARCH(INDEX(AktRolle,MATCH(C1243,Aktiviteter,0))&amp;"",INDEX(TekRoller,MATCH(B1243,Teknikere,0))))),"Mangler rollen "&amp;INDEX(AktRolle,MATCH(C1243,Aktiviteter,0))&amp;"",IF(AND(C1243="LMS",F1243&gt;0,OR(D1243="",E1243="")),"Mangler maskin eller arbeid",IF(AND(OR(C1243="LMS",C1243="Mod"),D1243&lt;&gt;""),IF(IFERROR(INDEX(MaskinStatus,MATCH(D1243,Maskiner,0)),"")="I dokk","","Maskinen er ikke i dokk"),""))))))</f>
        <v/>
      </c>
      <c r="L1243" s="2">
        <f>IF(B1243="","",IFERROR(INT((MATCH(B1243,Teknikere,0)-1)/18)+1,""))</f>
        <v/>
      </c>
      <c r="M1243" s="2">
        <f>IF(OR(A1243="",B1243=""),"",B1243&amp;"|"&amp;A1243)</f>
        <v/>
      </c>
      <c r="N1243" s="2">
        <f>IF(M1243="","",SUMIFS(TF_Timer,TF_Nokkel,M1243,TF_Akt,C1243))</f>
        <v/>
      </c>
      <c r="O1243" s="2">
        <f>IF(M1243="","",IF(AND(N1243=_xlfn.MAXIFS(TF_AktSum,TF_Nokkel,M1243),COUNTIFS(M$3:M1242,M1243,N$3:N1242,N1243)=0),M1243,""))</f>
        <v/>
      </c>
    </row>
    <row r="1244">
      <c r="A1244" s="34" t="n"/>
      <c r="B1244" s="35" t="n"/>
      <c r="C1244" s="35" t="n"/>
      <c r="D1244" s="35" t="n"/>
      <c r="E1244" s="35" t="n"/>
      <c r="F1244" s="36" t="n"/>
      <c r="G1244" s="35" t="n"/>
      <c r="H1244" s="30">
        <f>IF(L1244="","",INDEX(SkiftNavn,L1244))</f>
        <v/>
      </c>
      <c r="I1244" s="30">
        <f>IF(OR(A1244="",L1244=""),"",IF(MOD(A1244-INDEX(SkiftStart,L1244),Syklus)&lt;DagK,"Kveld",IF(MOD(A1244-INDEX(SkiftStart,L1244),Syklus)&lt;DagK+DagH,"Helg",IF(MOD(A1244-INDEX(SkiftStart,L1244),Syklus)&lt;DagK+DagH+DagD,"Dag","Fri"))))</f>
        <v/>
      </c>
      <c r="J1244" s="30">
        <f>IF(I1244="Fri","Ja","")</f>
        <v/>
      </c>
      <c r="K1244" s="30">
        <f>IF(B1244="","",IF(L1244="","Ukjent tekniker",IF(ISNA(MATCH(C1244,Aktiviteter,0)),"Ukjent aktivitet",IF(AND(INDEX(AktRolle,MATCH(C1244,Aktiviteter,0))&amp;""&lt;&gt;"",ISERROR(SEARCH(INDEX(AktRolle,MATCH(C1244,Aktiviteter,0))&amp;"",INDEX(TekRoller,MATCH(B1244,Teknikere,0))))),"Mangler rollen "&amp;INDEX(AktRolle,MATCH(C1244,Aktiviteter,0))&amp;"",IF(AND(C1244="LMS",F1244&gt;0,OR(D1244="",E1244="")),"Mangler maskin eller arbeid",IF(AND(OR(C1244="LMS",C1244="Mod"),D1244&lt;&gt;""),IF(IFERROR(INDEX(MaskinStatus,MATCH(D1244,Maskiner,0)),"")="I dokk","","Maskinen er ikke i dokk"),""))))))</f>
        <v/>
      </c>
      <c r="L1244" s="2">
        <f>IF(B1244="","",IFERROR(INT((MATCH(B1244,Teknikere,0)-1)/18)+1,""))</f>
        <v/>
      </c>
      <c r="M1244" s="2">
        <f>IF(OR(A1244="",B1244=""),"",B1244&amp;"|"&amp;A1244)</f>
        <v/>
      </c>
      <c r="N1244" s="2">
        <f>IF(M1244="","",SUMIFS(TF_Timer,TF_Nokkel,M1244,TF_Akt,C1244))</f>
        <v/>
      </c>
      <c r="O1244" s="2">
        <f>IF(M1244="","",IF(AND(N1244=_xlfn.MAXIFS(TF_AktSum,TF_Nokkel,M1244),COUNTIFS(M$3:M1243,M1244,N$3:N1243,N1244)=0),M1244,""))</f>
        <v/>
      </c>
    </row>
    <row r="1245">
      <c r="A1245" s="34" t="n"/>
      <c r="B1245" s="35" t="n"/>
      <c r="C1245" s="35" t="n"/>
      <c r="D1245" s="35" t="n"/>
      <c r="E1245" s="35" t="n"/>
      <c r="F1245" s="36" t="n"/>
      <c r="G1245" s="35" t="n"/>
      <c r="H1245" s="30">
        <f>IF(L1245="","",INDEX(SkiftNavn,L1245))</f>
        <v/>
      </c>
      <c r="I1245" s="30">
        <f>IF(OR(A1245="",L1245=""),"",IF(MOD(A1245-INDEX(SkiftStart,L1245),Syklus)&lt;DagK,"Kveld",IF(MOD(A1245-INDEX(SkiftStart,L1245),Syklus)&lt;DagK+DagH,"Helg",IF(MOD(A1245-INDEX(SkiftStart,L1245),Syklus)&lt;DagK+DagH+DagD,"Dag","Fri"))))</f>
        <v/>
      </c>
      <c r="J1245" s="30">
        <f>IF(I1245="Fri","Ja","")</f>
        <v/>
      </c>
      <c r="K1245" s="30">
        <f>IF(B1245="","",IF(L1245="","Ukjent tekniker",IF(ISNA(MATCH(C1245,Aktiviteter,0)),"Ukjent aktivitet",IF(AND(INDEX(AktRolle,MATCH(C1245,Aktiviteter,0))&amp;""&lt;&gt;"",ISERROR(SEARCH(INDEX(AktRolle,MATCH(C1245,Aktiviteter,0))&amp;"",INDEX(TekRoller,MATCH(B1245,Teknikere,0))))),"Mangler rollen "&amp;INDEX(AktRolle,MATCH(C1245,Aktiviteter,0))&amp;"",IF(AND(C1245="LMS",F1245&gt;0,OR(D1245="",E1245="")),"Mangler maskin eller arbeid",IF(AND(OR(C1245="LMS",C1245="Mod"),D1245&lt;&gt;""),IF(IFERROR(INDEX(MaskinStatus,MATCH(D1245,Maskiner,0)),"")="I dokk","","Maskinen er ikke i dokk"),""))))))</f>
        <v/>
      </c>
      <c r="L1245" s="2">
        <f>IF(B1245="","",IFERROR(INT((MATCH(B1245,Teknikere,0)-1)/18)+1,""))</f>
        <v/>
      </c>
      <c r="M1245" s="2">
        <f>IF(OR(A1245="",B1245=""),"",B1245&amp;"|"&amp;A1245)</f>
        <v/>
      </c>
      <c r="N1245" s="2">
        <f>IF(M1245="","",SUMIFS(TF_Timer,TF_Nokkel,M1245,TF_Akt,C1245))</f>
        <v/>
      </c>
      <c r="O1245" s="2">
        <f>IF(M1245="","",IF(AND(N1245=_xlfn.MAXIFS(TF_AktSum,TF_Nokkel,M1245),COUNTIFS(M$3:M1244,M1245,N$3:N1244,N1245)=0),M1245,""))</f>
        <v/>
      </c>
    </row>
    <row r="1246">
      <c r="A1246" s="34" t="n"/>
      <c r="B1246" s="35" t="n"/>
      <c r="C1246" s="35" t="n"/>
      <c r="D1246" s="35" t="n"/>
      <c r="E1246" s="35" t="n"/>
      <c r="F1246" s="36" t="n"/>
      <c r="G1246" s="35" t="n"/>
      <c r="H1246" s="30">
        <f>IF(L1246="","",INDEX(SkiftNavn,L1246))</f>
        <v/>
      </c>
      <c r="I1246" s="30">
        <f>IF(OR(A1246="",L1246=""),"",IF(MOD(A1246-INDEX(SkiftStart,L1246),Syklus)&lt;DagK,"Kveld",IF(MOD(A1246-INDEX(SkiftStart,L1246),Syklus)&lt;DagK+DagH,"Helg",IF(MOD(A1246-INDEX(SkiftStart,L1246),Syklus)&lt;DagK+DagH+DagD,"Dag","Fri"))))</f>
        <v/>
      </c>
      <c r="J1246" s="30">
        <f>IF(I1246="Fri","Ja","")</f>
        <v/>
      </c>
      <c r="K1246" s="30">
        <f>IF(B1246="","",IF(L1246="","Ukjent tekniker",IF(ISNA(MATCH(C1246,Aktiviteter,0)),"Ukjent aktivitet",IF(AND(INDEX(AktRolle,MATCH(C1246,Aktiviteter,0))&amp;""&lt;&gt;"",ISERROR(SEARCH(INDEX(AktRolle,MATCH(C1246,Aktiviteter,0))&amp;"",INDEX(TekRoller,MATCH(B1246,Teknikere,0))))),"Mangler rollen "&amp;INDEX(AktRolle,MATCH(C1246,Aktiviteter,0))&amp;"",IF(AND(C1246="LMS",F1246&gt;0,OR(D1246="",E1246="")),"Mangler maskin eller arbeid",IF(AND(OR(C1246="LMS",C1246="Mod"),D1246&lt;&gt;""),IF(IFERROR(INDEX(MaskinStatus,MATCH(D1246,Maskiner,0)),"")="I dokk","","Maskinen er ikke i dokk"),""))))))</f>
        <v/>
      </c>
      <c r="L1246" s="2">
        <f>IF(B1246="","",IFERROR(INT((MATCH(B1246,Teknikere,0)-1)/18)+1,""))</f>
        <v/>
      </c>
      <c r="M1246" s="2">
        <f>IF(OR(A1246="",B1246=""),"",B1246&amp;"|"&amp;A1246)</f>
        <v/>
      </c>
      <c r="N1246" s="2">
        <f>IF(M1246="","",SUMIFS(TF_Timer,TF_Nokkel,M1246,TF_Akt,C1246))</f>
        <v/>
      </c>
      <c r="O1246" s="2">
        <f>IF(M1246="","",IF(AND(N1246=_xlfn.MAXIFS(TF_AktSum,TF_Nokkel,M1246),COUNTIFS(M$3:M1245,M1246,N$3:N1245,N1246)=0),M1246,""))</f>
        <v/>
      </c>
    </row>
    <row r="1247">
      <c r="A1247" s="34" t="n"/>
      <c r="B1247" s="35" t="n"/>
      <c r="C1247" s="35" t="n"/>
      <c r="D1247" s="35" t="n"/>
      <c r="E1247" s="35" t="n"/>
      <c r="F1247" s="36" t="n"/>
      <c r="G1247" s="35" t="n"/>
      <c r="H1247" s="30">
        <f>IF(L1247="","",INDEX(SkiftNavn,L1247))</f>
        <v/>
      </c>
      <c r="I1247" s="30">
        <f>IF(OR(A1247="",L1247=""),"",IF(MOD(A1247-INDEX(SkiftStart,L1247),Syklus)&lt;DagK,"Kveld",IF(MOD(A1247-INDEX(SkiftStart,L1247),Syklus)&lt;DagK+DagH,"Helg",IF(MOD(A1247-INDEX(SkiftStart,L1247),Syklus)&lt;DagK+DagH+DagD,"Dag","Fri"))))</f>
        <v/>
      </c>
      <c r="J1247" s="30">
        <f>IF(I1247="Fri","Ja","")</f>
        <v/>
      </c>
      <c r="K1247" s="30">
        <f>IF(B1247="","",IF(L1247="","Ukjent tekniker",IF(ISNA(MATCH(C1247,Aktiviteter,0)),"Ukjent aktivitet",IF(AND(INDEX(AktRolle,MATCH(C1247,Aktiviteter,0))&amp;""&lt;&gt;"",ISERROR(SEARCH(INDEX(AktRolle,MATCH(C1247,Aktiviteter,0))&amp;"",INDEX(TekRoller,MATCH(B1247,Teknikere,0))))),"Mangler rollen "&amp;INDEX(AktRolle,MATCH(C1247,Aktiviteter,0))&amp;"",IF(AND(C1247="LMS",F1247&gt;0,OR(D1247="",E1247="")),"Mangler maskin eller arbeid",IF(AND(OR(C1247="LMS",C1247="Mod"),D1247&lt;&gt;""),IF(IFERROR(INDEX(MaskinStatus,MATCH(D1247,Maskiner,0)),"")="I dokk","","Maskinen er ikke i dokk"),""))))))</f>
        <v/>
      </c>
      <c r="L1247" s="2">
        <f>IF(B1247="","",IFERROR(INT((MATCH(B1247,Teknikere,0)-1)/18)+1,""))</f>
        <v/>
      </c>
      <c r="M1247" s="2">
        <f>IF(OR(A1247="",B1247=""),"",B1247&amp;"|"&amp;A1247)</f>
        <v/>
      </c>
      <c r="N1247" s="2">
        <f>IF(M1247="","",SUMIFS(TF_Timer,TF_Nokkel,M1247,TF_Akt,C1247))</f>
        <v/>
      </c>
      <c r="O1247" s="2">
        <f>IF(M1247="","",IF(AND(N1247=_xlfn.MAXIFS(TF_AktSum,TF_Nokkel,M1247),COUNTIFS(M$3:M1246,M1247,N$3:N1246,N1247)=0),M1247,""))</f>
        <v/>
      </c>
    </row>
    <row r="1248">
      <c r="A1248" s="34" t="n"/>
      <c r="B1248" s="35" t="n"/>
      <c r="C1248" s="35" t="n"/>
      <c r="D1248" s="35" t="n"/>
      <c r="E1248" s="35" t="n"/>
      <c r="F1248" s="36" t="n"/>
      <c r="G1248" s="35" t="n"/>
      <c r="H1248" s="30">
        <f>IF(L1248="","",INDEX(SkiftNavn,L1248))</f>
        <v/>
      </c>
      <c r="I1248" s="30">
        <f>IF(OR(A1248="",L1248=""),"",IF(MOD(A1248-INDEX(SkiftStart,L1248),Syklus)&lt;DagK,"Kveld",IF(MOD(A1248-INDEX(SkiftStart,L1248),Syklus)&lt;DagK+DagH,"Helg",IF(MOD(A1248-INDEX(SkiftStart,L1248),Syklus)&lt;DagK+DagH+DagD,"Dag","Fri"))))</f>
        <v/>
      </c>
      <c r="J1248" s="30">
        <f>IF(I1248="Fri","Ja","")</f>
        <v/>
      </c>
      <c r="K1248" s="30">
        <f>IF(B1248="","",IF(L1248="","Ukjent tekniker",IF(ISNA(MATCH(C1248,Aktiviteter,0)),"Ukjent aktivitet",IF(AND(INDEX(AktRolle,MATCH(C1248,Aktiviteter,0))&amp;""&lt;&gt;"",ISERROR(SEARCH(INDEX(AktRolle,MATCH(C1248,Aktiviteter,0))&amp;"",INDEX(TekRoller,MATCH(B1248,Teknikere,0))))),"Mangler rollen "&amp;INDEX(AktRolle,MATCH(C1248,Aktiviteter,0))&amp;"",IF(AND(C1248="LMS",F1248&gt;0,OR(D1248="",E1248="")),"Mangler maskin eller arbeid",IF(AND(OR(C1248="LMS",C1248="Mod"),D1248&lt;&gt;""),IF(IFERROR(INDEX(MaskinStatus,MATCH(D1248,Maskiner,0)),"")="I dokk","","Maskinen er ikke i dokk"),""))))))</f>
        <v/>
      </c>
      <c r="L1248" s="2">
        <f>IF(B1248="","",IFERROR(INT((MATCH(B1248,Teknikere,0)-1)/18)+1,""))</f>
        <v/>
      </c>
      <c r="M1248" s="2">
        <f>IF(OR(A1248="",B1248=""),"",B1248&amp;"|"&amp;A1248)</f>
        <v/>
      </c>
      <c r="N1248" s="2">
        <f>IF(M1248="","",SUMIFS(TF_Timer,TF_Nokkel,M1248,TF_Akt,C1248))</f>
        <v/>
      </c>
      <c r="O1248" s="2">
        <f>IF(M1248="","",IF(AND(N1248=_xlfn.MAXIFS(TF_AktSum,TF_Nokkel,M1248),COUNTIFS(M$3:M1247,M1248,N$3:N1247,N1248)=0),M1248,""))</f>
        <v/>
      </c>
    </row>
    <row r="1249">
      <c r="A1249" s="34" t="n"/>
      <c r="B1249" s="35" t="n"/>
      <c r="C1249" s="35" t="n"/>
      <c r="D1249" s="35" t="n"/>
      <c r="E1249" s="35" t="n"/>
      <c r="F1249" s="36" t="n"/>
      <c r="G1249" s="35" t="n"/>
      <c r="H1249" s="30">
        <f>IF(L1249="","",INDEX(SkiftNavn,L1249))</f>
        <v/>
      </c>
      <c r="I1249" s="30">
        <f>IF(OR(A1249="",L1249=""),"",IF(MOD(A1249-INDEX(SkiftStart,L1249),Syklus)&lt;DagK,"Kveld",IF(MOD(A1249-INDEX(SkiftStart,L1249),Syklus)&lt;DagK+DagH,"Helg",IF(MOD(A1249-INDEX(SkiftStart,L1249),Syklus)&lt;DagK+DagH+DagD,"Dag","Fri"))))</f>
        <v/>
      </c>
      <c r="J1249" s="30">
        <f>IF(I1249="Fri","Ja","")</f>
        <v/>
      </c>
      <c r="K1249" s="30">
        <f>IF(B1249="","",IF(L1249="","Ukjent tekniker",IF(ISNA(MATCH(C1249,Aktiviteter,0)),"Ukjent aktivitet",IF(AND(INDEX(AktRolle,MATCH(C1249,Aktiviteter,0))&amp;""&lt;&gt;"",ISERROR(SEARCH(INDEX(AktRolle,MATCH(C1249,Aktiviteter,0))&amp;"",INDEX(TekRoller,MATCH(B1249,Teknikere,0))))),"Mangler rollen "&amp;INDEX(AktRolle,MATCH(C1249,Aktiviteter,0))&amp;"",IF(AND(C1249="LMS",F1249&gt;0,OR(D1249="",E1249="")),"Mangler maskin eller arbeid",IF(AND(OR(C1249="LMS",C1249="Mod"),D1249&lt;&gt;""),IF(IFERROR(INDEX(MaskinStatus,MATCH(D1249,Maskiner,0)),"")="I dokk","","Maskinen er ikke i dokk"),""))))))</f>
        <v/>
      </c>
      <c r="L1249" s="2">
        <f>IF(B1249="","",IFERROR(INT((MATCH(B1249,Teknikere,0)-1)/18)+1,""))</f>
        <v/>
      </c>
      <c r="M1249" s="2">
        <f>IF(OR(A1249="",B1249=""),"",B1249&amp;"|"&amp;A1249)</f>
        <v/>
      </c>
      <c r="N1249" s="2">
        <f>IF(M1249="","",SUMIFS(TF_Timer,TF_Nokkel,M1249,TF_Akt,C1249))</f>
        <v/>
      </c>
      <c r="O1249" s="2">
        <f>IF(M1249="","",IF(AND(N1249=_xlfn.MAXIFS(TF_AktSum,TF_Nokkel,M1249),COUNTIFS(M$3:M1248,M1249,N$3:N1248,N1249)=0),M1249,""))</f>
        <v/>
      </c>
    </row>
    <row r="1250">
      <c r="A1250" s="34" t="n"/>
      <c r="B1250" s="35" t="n"/>
      <c r="C1250" s="35" t="n"/>
      <c r="D1250" s="35" t="n"/>
      <c r="E1250" s="35" t="n"/>
      <c r="F1250" s="36" t="n"/>
      <c r="G1250" s="35" t="n"/>
      <c r="H1250" s="30">
        <f>IF(L1250="","",INDEX(SkiftNavn,L1250))</f>
        <v/>
      </c>
      <c r="I1250" s="30">
        <f>IF(OR(A1250="",L1250=""),"",IF(MOD(A1250-INDEX(SkiftStart,L1250),Syklus)&lt;DagK,"Kveld",IF(MOD(A1250-INDEX(SkiftStart,L1250),Syklus)&lt;DagK+DagH,"Helg",IF(MOD(A1250-INDEX(SkiftStart,L1250),Syklus)&lt;DagK+DagH+DagD,"Dag","Fri"))))</f>
        <v/>
      </c>
      <c r="J1250" s="30">
        <f>IF(I1250="Fri","Ja","")</f>
        <v/>
      </c>
      <c r="K1250" s="30">
        <f>IF(B1250="","",IF(L1250="","Ukjent tekniker",IF(ISNA(MATCH(C1250,Aktiviteter,0)),"Ukjent aktivitet",IF(AND(INDEX(AktRolle,MATCH(C1250,Aktiviteter,0))&amp;""&lt;&gt;"",ISERROR(SEARCH(INDEX(AktRolle,MATCH(C1250,Aktiviteter,0))&amp;"",INDEX(TekRoller,MATCH(B1250,Teknikere,0))))),"Mangler rollen "&amp;INDEX(AktRolle,MATCH(C1250,Aktiviteter,0))&amp;"",IF(AND(C1250="LMS",F1250&gt;0,OR(D1250="",E1250="")),"Mangler maskin eller arbeid",IF(AND(OR(C1250="LMS",C1250="Mod"),D1250&lt;&gt;""),IF(IFERROR(INDEX(MaskinStatus,MATCH(D1250,Maskiner,0)),"")="I dokk","","Maskinen er ikke i dokk"),""))))))</f>
        <v/>
      </c>
      <c r="L1250" s="2">
        <f>IF(B1250="","",IFERROR(INT((MATCH(B1250,Teknikere,0)-1)/18)+1,""))</f>
        <v/>
      </c>
      <c r="M1250" s="2">
        <f>IF(OR(A1250="",B1250=""),"",B1250&amp;"|"&amp;A1250)</f>
        <v/>
      </c>
      <c r="N1250" s="2">
        <f>IF(M1250="","",SUMIFS(TF_Timer,TF_Nokkel,M1250,TF_Akt,C1250))</f>
        <v/>
      </c>
      <c r="O1250" s="2">
        <f>IF(M1250="","",IF(AND(N1250=_xlfn.MAXIFS(TF_AktSum,TF_Nokkel,M1250),COUNTIFS(M$3:M1249,M1250,N$3:N1249,N1250)=0),M1250,""))</f>
        <v/>
      </c>
    </row>
    <row r="1251">
      <c r="A1251" s="34" t="n"/>
      <c r="B1251" s="35" t="n"/>
      <c r="C1251" s="35" t="n"/>
      <c r="D1251" s="35" t="n"/>
      <c r="E1251" s="35" t="n"/>
      <c r="F1251" s="36" t="n"/>
      <c r="G1251" s="35" t="n"/>
      <c r="H1251" s="30">
        <f>IF(L1251="","",INDEX(SkiftNavn,L1251))</f>
        <v/>
      </c>
      <c r="I1251" s="30">
        <f>IF(OR(A1251="",L1251=""),"",IF(MOD(A1251-INDEX(SkiftStart,L1251),Syklus)&lt;DagK,"Kveld",IF(MOD(A1251-INDEX(SkiftStart,L1251),Syklus)&lt;DagK+DagH,"Helg",IF(MOD(A1251-INDEX(SkiftStart,L1251),Syklus)&lt;DagK+DagH+DagD,"Dag","Fri"))))</f>
        <v/>
      </c>
      <c r="J1251" s="30">
        <f>IF(I1251="Fri","Ja","")</f>
        <v/>
      </c>
      <c r="K1251" s="30">
        <f>IF(B1251="","",IF(L1251="","Ukjent tekniker",IF(ISNA(MATCH(C1251,Aktiviteter,0)),"Ukjent aktivitet",IF(AND(INDEX(AktRolle,MATCH(C1251,Aktiviteter,0))&amp;""&lt;&gt;"",ISERROR(SEARCH(INDEX(AktRolle,MATCH(C1251,Aktiviteter,0))&amp;"",INDEX(TekRoller,MATCH(B1251,Teknikere,0))))),"Mangler rollen "&amp;INDEX(AktRolle,MATCH(C1251,Aktiviteter,0))&amp;"",IF(AND(C1251="LMS",F1251&gt;0,OR(D1251="",E1251="")),"Mangler maskin eller arbeid",IF(AND(OR(C1251="LMS",C1251="Mod"),D1251&lt;&gt;""),IF(IFERROR(INDEX(MaskinStatus,MATCH(D1251,Maskiner,0)),"")="I dokk","","Maskinen er ikke i dokk"),""))))))</f>
        <v/>
      </c>
      <c r="L1251" s="2">
        <f>IF(B1251="","",IFERROR(INT((MATCH(B1251,Teknikere,0)-1)/18)+1,""))</f>
        <v/>
      </c>
      <c r="M1251" s="2">
        <f>IF(OR(A1251="",B1251=""),"",B1251&amp;"|"&amp;A1251)</f>
        <v/>
      </c>
      <c r="N1251" s="2">
        <f>IF(M1251="","",SUMIFS(TF_Timer,TF_Nokkel,M1251,TF_Akt,C1251))</f>
        <v/>
      </c>
      <c r="O1251" s="2">
        <f>IF(M1251="","",IF(AND(N1251=_xlfn.MAXIFS(TF_AktSum,TF_Nokkel,M1251),COUNTIFS(M$3:M1250,M1251,N$3:N1250,N1251)=0),M1251,""))</f>
        <v/>
      </c>
    </row>
    <row r="1252">
      <c r="A1252" s="34" t="n"/>
      <c r="B1252" s="35" t="n"/>
      <c r="C1252" s="35" t="n"/>
      <c r="D1252" s="35" t="n"/>
      <c r="E1252" s="35" t="n"/>
      <c r="F1252" s="36" t="n"/>
      <c r="G1252" s="35" t="n"/>
      <c r="H1252" s="30">
        <f>IF(L1252="","",INDEX(SkiftNavn,L1252))</f>
        <v/>
      </c>
      <c r="I1252" s="30">
        <f>IF(OR(A1252="",L1252=""),"",IF(MOD(A1252-INDEX(SkiftStart,L1252),Syklus)&lt;DagK,"Kveld",IF(MOD(A1252-INDEX(SkiftStart,L1252),Syklus)&lt;DagK+DagH,"Helg",IF(MOD(A1252-INDEX(SkiftStart,L1252),Syklus)&lt;DagK+DagH+DagD,"Dag","Fri"))))</f>
        <v/>
      </c>
      <c r="J1252" s="30">
        <f>IF(I1252="Fri","Ja","")</f>
        <v/>
      </c>
      <c r="K1252" s="30">
        <f>IF(B1252="","",IF(L1252="","Ukjent tekniker",IF(ISNA(MATCH(C1252,Aktiviteter,0)),"Ukjent aktivitet",IF(AND(INDEX(AktRolle,MATCH(C1252,Aktiviteter,0))&amp;""&lt;&gt;"",ISERROR(SEARCH(INDEX(AktRolle,MATCH(C1252,Aktiviteter,0))&amp;"",INDEX(TekRoller,MATCH(B1252,Teknikere,0))))),"Mangler rollen "&amp;INDEX(AktRolle,MATCH(C1252,Aktiviteter,0))&amp;"",IF(AND(C1252="LMS",F1252&gt;0,OR(D1252="",E1252="")),"Mangler maskin eller arbeid",IF(AND(OR(C1252="LMS",C1252="Mod"),D1252&lt;&gt;""),IF(IFERROR(INDEX(MaskinStatus,MATCH(D1252,Maskiner,0)),"")="I dokk","","Maskinen er ikke i dokk"),""))))))</f>
        <v/>
      </c>
      <c r="L1252" s="2">
        <f>IF(B1252="","",IFERROR(INT((MATCH(B1252,Teknikere,0)-1)/18)+1,""))</f>
        <v/>
      </c>
      <c r="M1252" s="2">
        <f>IF(OR(A1252="",B1252=""),"",B1252&amp;"|"&amp;A1252)</f>
        <v/>
      </c>
      <c r="N1252" s="2">
        <f>IF(M1252="","",SUMIFS(TF_Timer,TF_Nokkel,M1252,TF_Akt,C1252))</f>
        <v/>
      </c>
      <c r="O1252" s="2">
        <f>IF(M1252="","",IF(AND(N1252=_xlfn.MAXIFS(TF_AktSum,TF_Nokkel,M1252),COUNTIFS(M$3:M1251,M1252,N$3:N1251,N1252)=0),M1252,""))</f>
        <v/>
      </c>
    </row>
    <row r="1253">
      <c r="A1253" s="34" t="n"/>
      <c r="B1253" s="35" t="n"/>
      <c r="C1253" s="35" t="n"/>
      <c r="D1253" s="35" t="n"/>
      <c r="E1253" s="35" t="n"/>
      <c r="F1253" s="36" t="n"/>
      <c r="G1253" s="35" t="n"/>
      <c r="H1253" s="30">
        <f>IF(L1253="","",INDEX(SkiftNavn,L1253))</f>
        <v/>
      </c>
      <c r="I1253" s="30">
        <f>IF(OR(A1253="",L1253=""),"",IF(MOD(A1253-INDEX(SkiftStart,L1253),Syklus)&lt;DagK,"Kveld",IF(MOD(A1253-INDEX(SkiftStart,L1253),Syklus)&lt;DagK+DagH,"Helg",IF(MOD(A1253-INDEX(SkiftStart,L1253),Syklus)&lt;DagK+DagH+DagD,"Dag","Fri"))))</f>
        <v/>
      </c>
      <c r="J1253" s="30">
        <f>IF(I1253="Fri","Ja","")</f>
        <v/>
      </c>
      <c r="K1253" s="30">
        <f>IF(B1253="","",IF(L1253="","Ukjent tekniker",IF(ISNA(MATCH(C1253,Aktiviteter,0)),"Ukjent aktivitet",IF(AND(INDEX(AktRolle,MATCH(C1253,Aktiviteter,0))&amp;""&lt;&gt;"",ISERROR(SEARCH(INDEX(AktRolle,MATCH(C1253,Aktiviteter,0))&amp;"",INDEX(TekRoller,MATCH(B1253,Teknikere,0))))),"Mangler rollen "&amp;INDEX(AktRolle,MATCH(C1253,Aktiviteter,0))&amp;"",IF(AND(C1253="LMS",F1253&gt;0,OR(D1253="",E1253="")),"Mangler maskin eller arbeid",IF(AND(OR(C1253="LMS",C1253="Mod"),D1253&lt;&gt;""),IF(IFERROR(INDEX(MaskinStatus,MATCH(D1253,Maskiner,0)),"")="I dokk","","Maskinen er ikke i dokk"),""))))))</f>
        <v/>
      </c>
      <c r="L1253" s="2">
        <f>IF(B1253="","",IFERROR(INT((MATCH(B1253,Teknikere,0)-1)/18)+1,""))</f>
        <v/>
      </c>
      <c r="M1253" s="2">
        <f>IF(OR(A1253="",B1253=""),"",B1253&amp;"|"&amp;A1253)</f>
        <v/>
      </c>
      <c r="N1253" s="2">
        <f>IF(M1253="","",SUMIFS(TF_Timer,TF_Nokkel,M1253,TF_Akt,C1253))</f>
        <v/>
      </c>
      <c r="O1253" s="2">
        <f>IF(M1253="","",IF(AND(N1253=_xlfn.MAXIFS(TF_AktSum,TF_Nokkel,M1253),COUNTIFS(M$3:M1252,M1253,N$3:N1252,N1253)=0),M1253,""))</f>
        <v/>
      </c>
    </row>
    <row r="1254">
      <c r="A1254" s="34" t="n"/>
      <c r="B1254" s="35" t="n"/>
      <c r="C1254" s="35" t="n"/>
      <c r="D1254" s="35" t="n"/>
      <c r="E1254" s="35" t="n"/>
      <c r="F1254" s="36" t="n"/>
      <c r="G1254" s="35" t="n"/>
      <c r="H1254" s="30">
        <f>IF(L1254="","",INDEX(SkiftNavn,L1254))</f>
        <v/>
      </c>
      <c r="I1254" s="30">
        <f>IF(OR(A1254="",L1254=""),"",IF(MOD(A1254-INDEX(SkiftStart,L1254),Syklus)&lt;DagK,"Kveld",IF(MOD(A1254-INDEX(SkiftStart,L1254),Syklus)&lt;DagK+DagH,"Helg",IF(MOD(A1254-INDEX(SkiftStart,L1254),Syklus)&lt;DagK+DagH+DagD,"Dag","Fri"))))</f>
        <v/>
      </c>
      <c r="J1254" s="30">
        <f>IF(I1254="Fri","Ja","")</f>
        <v/>
      </c>
      <c r="K1254" s="30">
        <f>IF(B1254="","",IF(L1254="","Ukjent tekniker",IF(ISNA(MATCH(C1254,Aktiviteter,0)),"Ukjent aktivitet",IF(AND(INDEX(AktRolle,MATCH(C1254,Aktiviteter,0))&amp;""&lt;&gt;"",ISERROR(SEARCH(INDEX(AktRolle,MATCH(C1254,Aktiviteter,0))&amp;"",INDEX(TekRoller,MATCH(B1254,Teknikere,0))))),"Mangler rollen "&amp;INDEX(AktRolle,MATCH(C1254,Aktiviteter,0))&amp;"",IF(AND(C1254="LMS",F1254&gt;0,OR(D1254="",E1254="")),"Mangler maskin eller arbeid",IF(AND(OR(C1254="LMS",C1254="Mod"),D1254&lt;&gt;""),IF(IFERROR(INDEX(MaskinStatus,MATCH(D1254,Maskiner,0)),"")="I dokk","","Maskinen er ikke i dokk"),""))))))</f>
        <v/>
      </c>
      <c r="L1254" s="2">
        <f>IF(B1254="","",IFERROR(INT((MATCH(B1254,Teknikere,0)-1)/18)+1,""))</f>
        <v/>
      </c>
      <c r="M1254" s="2">
        <f>IF(OR(A1254="",B1254=""),"",B1254&amp;"|"&amp;A1254)</f>
        <v/>
      </c>
      <c r="N1254" s="2">
        <f>IF(M1254="","",SUMIFS(TF_Timer,TF_Nokkel,M1254,TF_Akt,C1254))</f>
        <v/>
      </c>
      <c r="O1254" s="2">
        <f>IF(M1254="","",IF(AND(N1254=_xlfn.MAXIFS(TF_AktSum,TF_Nokkel,M1254),COUNTIFS(M$3:M1253,M1254,N$3:N1253,N1254)=0),M1254,""))</f>
        <v/>
      </c>
    </row>
    <row r="1255">
      <c r="A1255" s="34" t="n"/>
      <c r="B1255" s="35" t="n"/>
      <c r="C1255" s="35" t="n"/>
      <c r="D1255" s="35" t="n"/>
      <c r="E1255" s="35" t="n"/>
      <c r="F1255" s="36" t="n"/>
      <c r="G1255" s="35" t="n"/>
      <c r="H1255" s="30">
        <f>IF(L1255="","",INDEX(SkiftNavn,L1255))</f>
        <v/>
      </c>
      <c r="I1255" s="30">
        <f>IF(OR(A1255="",L1255=""),"",IF(MOD(A1255-INDEX(SkiftStart,L1255),Syklus)&lt;DagK,"Kveld",IF(MOD(A1255-INDEX(SkiftStart,L1255),Syklus)&lt;DagK+DagH,"Helg",IF(MOD(A1255-INDEX(SkiftStart,L1255),Syklus)&lt;DagK+DagH+DagD,"Dag","Fri"))))</f>
        <v/>
      </c>
      <c r="J1255" s="30">
        <f>IF(I1255="Fri","Ja","")</f>
        <v/>
      </c>
      <c r="K1255" s="30">
        <f>IF(B1255="","",IF(L1255="","Ukjent tekniker",IF(ISNA(MATCH(C1255,Aktiviteter,0)),"Ukjent aktivitet",IF(AND(INDEX(AktRolle,MATCH(C1255,Aktiviteter,0))&amp;""&lt;&gt;"",ISERROR(SEARCH(INDEX(AktRolle,MATCH(C1255,Aktiviteter,0))&amp;"",INDEX(TekRoller,MATCH(B1255,Teknikere,0))))),"Mangler rollen "&amp;INDEX(AktRolle,MATCH(C1255,Aktiviteter,0))&amp;"",IF(AND(C1255="LMS",F1255&gt;0,OR(D1255="",E1255="")),"Mangler maskin eller arbeid",IF(AND(OR(C1255="LMS",C1255="Mod"),D1255&lt;&gt;""),IF(IFERROR(INDEX(MaskinStatus,MATCH(D1255,Maskiner,0)),"")="I dokk","","Maskinen er ikke i dokk"),""))))))</f>
        <v/>
      </c>
      <c r="L1255" s="2">
        <f>IF(B1255="","",IFERROR(INT((MATCH(B1255,Teknikere,0)-1)/18)+1,""))</f>
        <v/>
      </c>
      <c r="M1255" s="2">
        <f>IF(OR(A1255="",B1255=""),"",B1255&amp;"|"&amp;A1255)</f>
        <v/>
      </c>
      <c r="N1255" s="2">
        <f>IF(M1255="","",SUMIFS(TF_Timer,TF_Nokkel,M1255,TF_Akt,C1255))</f>
        <v/>
      </c>
      <c r="O1255" s="2">
        <f>IF(M1255="","",IF(AND(N1255=_xlfn.MAXIFS(TF_AktSum,TF_Nokkel,M1255),COUNTIFS(M$3:M1254,M1255,N$3:N1254,N1255)=0),M1255,""))</f>
        <v/>
      </c>
    </row>
    <row r="1256">
      <c r="A1256" s="34" t="n"/>
      <c r="B1256" s="35" t="n"/>
      <c r="C1256" s="35" t="n"/>
      <c r="D1256" s="35" t="n"/>
      <c r="E1256" s="35" t="n"/>
      <c r="F1256" s="36" t="n"/>
      <c r="G1256" s="35" t="n"/>
      <c r="H1256" s="30">
        <f>IF(L1256="","",INDEX(SkiftNavn,L1256))</f>
        <v/>
      </c>
      <c r="I1256" s="30">
        <f>IF(OR(A1256="",L1256=""),"",IF(MOD(A1256-INDEX(SkiftStart,L1256),Syklus)&lt;DagK,"Kveld",IF(MOD(A1256-INDEX(SkiftStart,L1256),Syklus)&lt;DagK+DagH,"Helg",IF(MOD(A1256-INDEX(SkiftStart,L1256),Syklus)&lt;DagK+DagH+DagD,"Dag","Fri"))))</f>
        <v/>
      </c>
      <c r="J1256" s="30">
        <f>IF(I1256="Fri","Ja","")</f>
        <v/>
      </c>
      <c r="K1256" s="30">
        <f>IF(B1256="","",IF(L1256="","Ukjent tekniker",IF(ISNA(MATCH(C1256,Aktiviteter,0)),"Ukjent aktivitet",IF(AND(INDEX(AktRolle,MATCH(C1256,Aktiviteter,0))&amp;""&lt;&gt;"",ISERROR(SEARCH(INDEX(AktRolle,MATCH(C1256,Aktiviteter,0))&amp;"",INDEX(TekRoller,MATCH(B1256,Teknikere,0))))),"Mangler rollen "&amp;INDEX(AktRolle,MATCH(C1256,Aktiviteter,0))&amp;"",IF(AND(C1256="LMS",F1256&gt;0,OR(D1256="",E1256="")),"Mangler maskin eller arbeid",IF(AND(OR(C1256="LMS",C1256="Mod"),D1256&lt;&gt;""),IF(IFERROR(INDEX(MaskinStatus,MATCH(D1256,Maskiner,0)),"")="I dokk","","Maskinen er ikke i dokk"),""))))))</f>
        <v/>
      </c>
      <c r="L1256" s="2">
        <f>IF(B1256="","",IFERROR(INT((MATCH(B1256,Teknikere,0)-1)/18)+1,""))</f>
        <v/>
      </c>
      <c r="M1256" s="2">
        <f>IF(OR(A1256="",B1256=""),"",B1256&amp;"|"&amp;A1256)</f>
        <v/>
      </c>
      <c r="N1256" s="2">
        <f>IF(M1256="","",SUMIFS(TF_Timer,TF_Nokkel,M1256,TF_Akt,C1256))</f>
        <v/>
      </c>
      <c r="O1256" s="2">
        <f>IF(M1256="","",IF(AND(N1256=_xlfn.MAXIFS(TF_AktSum,TF_Nokkel,M1256),COUNTIFS(M$3:M1255,M1256,N$3:N1255,N1256)=0),M1256,""))</f>
        <v/>
      </c>
    </row>
    <row r="1257">
      <c r="A1257" s="34" t="n"/>
      <c r="B1257" s="35" t="n"/>
      <c r="C1257" s="35" t="n"/>
      <c r="D1257" s="35" t="n"/>
      <c r="E1257" s="35" t="n"/>
      <c r="F1257" s="36" t="n"/>
      <c r="G1257" s="35" t="n"/>
      <c r="H1257" s="30">
        <f>IF(L1257="","",INDEX(SkiftNavn,L1257))</f>
        <v/>
      </c>
      <c r="I1257" s="30">
        <f>IF(OR(A1257="",L1257=""),"",IF(MOD(A1257-INDEX(SkiftStart,L1257),Syklus)&lt;DagK,"Kveld",IF(MOD(A1257-INDEX(SkiftStart,L1257),Syklus)&lt;DagK+DagH,"Helg",IF(MOD(A1257-INDEX(SkiftStart,L1257),Syklus)&lt;DagK+DagH+DagD,"Dag","Fri"))))</f>
        <v/>
      </c>
      <c r="J1257" s="30">
        <f>IF(I1257="Fri","Ja","")</f>
        <v/>
      </c>
      <c r="K1257" s="30">
        <f>IF(B1257="","",IF(L1257="","Ukjent tekniker",IF(ISNA(MATCH(C1257,Aktiviteter,0)),"Ukjent aktivitet",IF(AND(INDEX(AktRolle,MATCH(C1257,Aktiviteter,0))&amp;""&lt;&gt;"",ISERROR(SEARCH(INDEX(AktRolle,MATCH(C1257,Aktiviteter,0))&amp;"",INDEX(TekRoller,MATCH(B1257,Teknikere,0))))),"Mangler rollen "&amp;INDEX(AktRolle,MATCH(C1257,Aktiviteter,0))&amp;"",IF(AND(C1257="LMS",F1257&gt;0,OR(D1257="",E1257="")),"Mangler maskin eller arbeid",IF(AND(OR(C1257="LMS",C1257="Mod"),D1257&lt;&gt;""),IF(IFERROR(INDEX(MaskinStatus,MATCH(D1257,Maskiner,0)),"")="I dokk","","Maskinen er ikke i dokk"),""))))))</f>
        <v/>
      </c>
      <c r="L1257" s="2">
        <f>IF(B1257="","",IFERROR(INT((MATCH(B1257,Teknikere,0)-1)/18)+1,""))</f>
        <v/>
      </c>
      <c r="M1257" s="2">
        <f>IF(OR(A1257="",B1257=""),"",B1257&amp;"|"&amp;A1257)</f>
        <v/>
      </c>
      <c r="N1257" s="2">
        <f>IF(M1257="","",SUMIFS(TF_Timer,TF_Nokkel,M1257,TF_Akt,C1257))</f>
        <v/>
      </c>
      <c r="O1257" s="2">
        <f>IF(M1257="","",IF(AND(N1257=_xlfn.MAXIFS(TF_AktSum,TF_Nokkel,M1257),COUNTIFS(M$3:M1256,M1257,N$3:N1256,N1257)=0),M1257,""))</f>
        <v/>
      </c>
    </row>
    <row r="1258">
      <c r="A1258" s="34" t="n"/>
      <c r="B1258" s="35" t="n"/>
      <c r="C1258" s="35" t="n"/>
      <c r="D1258" s="35" t="n"/>
      <c r="E1258" s="35" t="n"/>
      <c r="F1258" s="36" t="n"/>
      <c r="G1258" s="35" t="n"/>
      <c r="H1258" s="30">
        <f>IF(L1258="","",INDEX(SkiftNavn,L1258))</f>
        <v/>
      </c>
      <c r="I1258" s="30">
        <f>IF(OR(A1258="",L1258=""),"",IF(MOD(A1258-INDEX(SkiftStart,L1258),Syklus)&lt;DagK,"Kveld",IF(MOD(A1258-INDEX(SkiftStart,L1258),Syklus)&lt;DagK+DagH,"Helg",IF(MOD(A1258-INDEX(SkiftStart,L1258),Syklus)&lt;DagK+DagH+DagD,"Dag","Fri"))))</f>
        <v/>
      </c>
      <c r="J1258" s="30">
        <f>IF(I1258="Fri","Ja","")</f>
        <v/>
      </c>
      <c r="K1258" s="30">
        <f>IF(B1258="","",IF(L1258="","Ukjent tekniker",IF(ISNA(MATCH(C1258,Aktiviteter,0)),"Ukjent aktivitet",IF(AND(INDEX(AktRolle,MATCH(C1258,Aktiviteter,0))&amp;""&lt;&gt;"",ISERROR(SEARCH(INDEX(AktRolle,MATCH(C1258,Aktiviteter,0))&amp;"",INDEX(TekRoller,MATCH(B1258,Teknikere,0))))),"Mangler rollen "&amp;INDEX(AktRolle,MATCH(C1258,Aktiviteter,0))&amp;"",IF(AND(C1258="LMS",F1258&gt;0,OR(D1258="",E1258="")),"Mangler maskin eller arbeid",IF(AND(OR(C1258="LMS",C1258="Mod"),D1258&lt;&gt;""),IF(IFERROR(INDEX(MaskinStatus,MATCH(D1258,Maskiner,0)),"")="I dokk","","Maskinen er ikke i dokk"),""))))))</f>
        <v/>
      </c>
      <c r="L1258" s="2">
        <f>IF(B1258="","",IFERROR(INT((MATCH(B1258,Teknikere,0)-1)/18)+1,""))</f>
        <v/>
      </c>
      <c r="M1258" s="2">
        <f>IF(OR(A1258="",B1258=""),"",B1258&amp;"|"&amp;A1258)</f>
        <v/>
      </c>
      <c r="N1258" s="2">
        <f>IF(M1258="","",SUMIFS(TF_Timer,TF_Nokkel,M1258,TF_Akt,C1258))</f>
        <v/>
      </c>
      <c r="O1258" s="2">
        <f>IF(M1258="","",IF(AND(N1258=_xlfn.MAXIFS(TF_AktSum,TF_Nokkel,M1258),COUNTIFS(M$3:M1257,M1258,N$3:N1257,N1258)=0),M1258,""))</f>
        <v/>
      </c>
    </row>
    <row r="1259">
      <c r="A1259" s="34" t="n"/>
      <c r="B1259" s="35" t="n"/>
      <c r="C1259" s="35" t="n"/>
      <c r="D1259" s="35" t="n"/>
      <c r="E1259" s="35" t="n"/>
      <c r="F1259" s="36" t="n"/>
      <c r="G1259" s="35" t="n"/>
      <c r="H1259" s="30">
        <f>IF(L1259="","",INDEX(SkiftNavn,L1259))</f>
        <v/>
      </c>
      <c r="I1259" s="30">
        <f>IF(OR(A1259="",L1259=""),"",IF(MOD(A1259-INDEX(SkiftStart,L1259),Syklus)&lt;DagK,"Kveld",IF(MOD(A1259-INDEX(SkiftStart,L1259),Syklus)&lt;DagK+DagH,"Helg",IF(MOD(A1259-INDEX(SkiftStart,L1259),Syklus)&lt;DagK+DagH+DagD,"Dag","Fri"))))</f>
        <v/>
      </c>
      <c r="J1259" s="30">
        <f>IF(I1259="Fri","Ja","")</f>
        <v/>
      </c>
      <c r="K1259" s="30">
        <f>IF(B1259="","",IF(L1259="","Ukjent tekniker",IF(ISNA(MATCH(C1259,Aktiviteter,0)),"Ukjent aktivitet",IF(AND(INDEX(AktRolle,MATCH(C1259,Aktiviteter,0))&amp;""&lt;&gt;"",ISERROR(SEARCH(INDEX(AktRolle,MATCH(C1259,Aktiviteter,0))&amp;"",INDEX(TekRoller,MATCH(B1259,Teknikere,0))))),"Mangler rollen "&amp;INDEX(AktRolle,MATCH(C1259,Aktiviteter,0))&amp;"",IF(AND(C1259="LMS",F1259&gt;0,OR(D1259="",E1259="")),"Mangler maskin eller arbeid",IF(AND(OR(C1259="LMS",C1259="Mod"),D1259&lt;&gt;""),IF(IFERROR(INDEX(MaskinStatus,MATCH(D1259,Maskiner,0)),"")="I dokk","","Maskinen er ikke i dokk"),""))))))</f>
        <v/>
      </c>
      <c r="L1259" s="2">
        <f>IF(B1259="","",IFERROR(INT((MATCH(B1259,Teknikere,0)-1)/18)+1,""))</f>
        <v/>
      </c>
      <c r="M1259" s="2">
        <f>IF(OR(A1259="",B1259=""),"",B1259&amp;"|"&amp;A1259)</f>
        <v/>
      </c>
      <c r="N1259" s="2">
        <f>IF(M1259="","",SUMIFS(TF_Timer,TF_Nokkel,M1259,TF_Akt,C1259))</f>
        <v/>
      </c>
      <c r="O1259" s="2">
        <f>IF(M1259="","",IF(AND(N1259=_xlfn.MAXIFS(TF_AktSum,TF_Nokkel,M1259),COUNTIFS(M$3:M1258,M1259,N$3:N1258,N1259)=0),M1259,""))</f>
        <v/>
      </c>
    </row>
    <row r="1260">
      <c r="A1260" s="34" t="n"/>
      <c r="B1260" s="35" t="n"/>
      <c r="C1260" s="35" t="n"/>
      <c r="D1260" s="35" t="n"/>
      <c r="E1260" s="35" t="n"/>
      <c r="F1260" s="36" t="n"/>
      <c r="G1260" s="35" t="n"/>
      <c r="H1260" s="30">
        <f>IF(L1260="","",INDEX(SkiftNavn,L1260))</f>
        <v/>
      </c>
      <c r="I1260" s="30">
        <f>IF(OR(A1260="",L1260=""),"",IF(MOD(A1260-INDEX(SkiftStart,L1260),Syklus)&lt;DagK,"Kveld",IF(MOD(A1260-INDEX(SkiftStart,L1260),Syklus)&lt;DagK+DagH,"Helg",IF(MOD(A1260-INDEX(SkiftStart,L1260),Syklus)&lt;DagK+DagH+DagD,"Dag","Fri"))))</f>
        <v/>
      </c>
      <c r="J1260" s="30">
        <f>IF(I1260="Fri","Ja","")</f>
        <v/>
      </c>
      <c r="K1260" s="30">
        <f>IF(B1260="","",IF(L1260="","Ukjent tekniker",IF(ISNA(MATCH(C1260,Aktiviteter,0)),"Ukjent aktivitet",IF(AND(INDEX(AktRolle,MATCH(C1260,Aktiviteter,0))&amp;""&lt;&gt;"",ISERROR(SEARCH(INDEX(AktRolle,MATCH(C1260,Aktiviteter,0))&amp;"",INDEX(TekRoller,MATCH(B1260,Teknikere,0))))),"Mangler rollen "&amp;INDEX(AktRolle,MATCH(C1260,Aktiviteter,0))&amp;"",IF(AND(C1260="LMS",F1260&gt;0,OR(D1260="",E1260="")),"Mangler maskin eller arbeid",IF(AND(OR(C1260="LMS",C1260="Mod"),D1260&lt;&gt;""),IF(IFERROR(INDEX(MaskinStatus,MATCH(D1260,Maskiner,0)),"")="I dokk","","Maskinen er ikke i dokk"),""))))))</f>
        <v/>
      </c>
      <c r="L1260" s="2">
        <f>IF(B1260="","",IFERROR(INT((MATCH(B1260,Teknikere,0)-1)/18)+1,""))</f>
        <v/>
      </c>
      <c r="M1260" s="2">
        <f>IF(OR(A1260="",B1260=""),"",B1260&amp;"|"&amp;A1260)</f>
        <v/>
      </c>
      <c r="N1260" s="2">
        <f>IF(M1260="","",SUMIFS(TF_Timer,TF_Nokkel,M1260,TF_Akt,C1260))</f>
        <v/>
      </c>
      <c r="O1260" s="2">
        <f>IF(M1260="","",IF(AND(N1260=_xlfn.MAXIFS(TF_AktSum,TF_Nokkel,M1260),COUNTIFS(M$3:M1259,M1260,N$3:N1259,N1260)=0),M1260,""))</f>
        <v/>
      </c>
    </row>
    <row r="1261">
      <c r="A1261" s="34" t="n"/>
      <c r="B1261" s="35" t="n"/>
      <c r="C1261" s="35" t="n"/>
      <c r="D1261" s="35" t="n"/>
      <c r="E1261" s="35" t="n"/>
      <c r="F1261" s="36" t="n"/>
      <c r="G1261" s="35" t="n"/>
      <c r="H1261" s="30">
        <f>IF(L1261="","",INDEX(SkiftNavn,L1261))</f>
        <v/>
      </c>
      <c r="I1261" s="30">
        <f>IF(OR(A1261="",L1261=""),"",IF(MOD(A1261-INDEX(SkiftStart,L1261),Syklus)&lt;DagK,"Kveld",IF(MOD(A1261-INDEX(SkiftStart,L1261),Syklus)&lt;DagK+DagH,"Helg",IF(MOD(A1261-INDEX(SkiftStart,L1261),Syklus)&lt;DagK+DagH+DagD,"Dag","Fri"))))</f>
        <v/>
      </c>
      <c r="J1261" s="30">
        <f>IF(I1261="Fri","Ja","")</f>
        <v/>
      </c>
      <c r="K1261" s="30">
        <f>IF(B1261="","",IF(L1261="","Ukjent tekniker",IF(ISNA(MATCH(C1261,Aktiviteter,0)),"Ukjent aktivitet",IF(AND(INDEX(AktRolle,MATCH(C1261,Aktiviteter,0))&amp;""&lt;&gt;"",ISERROR(SEARCH(INDEX(AktRolle,MATCH(C1261,Aktiviteter,0))&amp;"",INDEX(TekRoller,MATCH(B1261,Teknikere,0))))),"Mangler rollen "&amp;INDEX(AktRolle,MATCH(C1261,Aktiviteter,0))&amp;"",IF(AND(C1261="LMS",F1261&gt;0,OR(D1261="",E1261="")),"Mangler maskin eller arbeid",IF(AND(OR(C1261="LMS",C1261="Mod"),D1261&lt;&gt;""),IF(IFERROR(INDEX(MaskinStatus,MATCH(D1261,Maskiner,0)),"")="I dokk","","Maskinen er ikke i dokk"),""))))))</f>
        <v/>
      </c>
      <c r="L1261" s="2">
        <f>IF(B1261="","",IFERROR(INT((MATCH(B1261,Teknikere,0)-1)/18)+1,""))</f>
        <v/>
      </c>
      <c r="M1261" s="2">
        <f>IF(OR(A1261="",B1261=""),"",B1261&amp;"|"&amp;A1261)</f>
        <v/>
      </c>
      <c r="N1261" s="2">
        <f>IF(M1261="","",SUMIFS(TF_Timer,TF_Nokkel,M1261,TF_Akt,C1261))</f>
        <v/>
      </c>
      <c r="O1261" s="2">
        <f>IF(M1261="","",IF(AND(N1261=_xlfn.MAXIFS(TF_AktSum,TF_Nokkel,M1261),COUNTIFS(M$3:M1260,M1261,N$3:N1260,N1261)=0),M1261,""))</f>
        <v/>
      </c>
    </row>
    <row r="1262">
      <c r="A1262" s="34" t="n"/>
      <c r="B1262" s="35" t="n"/>
      <c r="C1262" s="35" t="n"/>
      <c r="D1262" s="35" t="n"/>
      <c r="E1262" s="35" t="n"/>
      <c r="F1262" s="36" t="n"/>
      <c r="G1262" s="35" t="n"/>
      <c r="H1262" s="30">
        <f>IF(L1262="","",INDEX(SkiftNavn,L1262))</f>
        <v/>
      </c>
      <c r="I1262" s="30">
        <f>IF(OR(A1262="",L1262=""),"",IF(MOD(A1262-INDEX(SkiftStart,L1262),Syklus)&lt;DagK,"Kveld",IF(MOD(A1262-INDEX(SkiftStart,L1262),Syklus)&lt;DagK+DagH,"Helg",IF(MOD(A1262-INDEX(SkiftStart,L1262),Syklus)&lt;DagK+DagH+DagD,"Dag","Fri"))))</f>
        <v/>
      </c>
      <c r="J1262" s="30">
        <f>IF(I1262="Fri","Ja","")</f>
        <v/>
      </c>
      <c r="K1262" s="30">
        <f>IF(B1262="","",IF(L1262="","Ukjent tekniker",IF(ISNA(MATCH(C1262,Aktiviteter,0)),"Ukjent aktivitet",IF(AND(INDEX(AktRolle,MATCH(C1262,Aktiviteter,0))&amp;""&lt;&gt;"",ISERROR(SEARCH(INDEX(AktRolle,MATCH(C1262,Aktiviteter,0))&amp;"",INDEX(TekRoller,MATCH(B1262,Teknikere,0))))),"Mangler rollen "&amp;INDEX(AktRolle,MATCH(C1262,Aktiviteter,0))&amp;"",IF(AND(C1262="LMS",F1262&gt;0,OR(D1262="",E1262="")),"Mangler maskin eller arbeid",IF(AND(OR(C1262="LMS",C1262="Mod"),D1262&lt;&gt;""),IF(IFERROR(INDEX(MaskinStatus,MATCH(D1262,Maskiner,0)),"")="I dokk","","Maskinen er ikke i dokk"),""))))))</f>
        <v/>
      </c>
      <c r="L1262" s="2">
        <f>IF(B1262="","",IFERROR(INT((MATCH(B1262,Teknikere,0)-1)/18)+1,""))</f>
        <v/>
      </c>
      <c r="M1262" s="2">
        <f>IF(OR(A1262="",B1262=""),"",B1262&amp;"|"&amp;A1262)</f>
        <v/>
      </c>
      <c r="N1262" s="2">
        <f>IF(M1262="","",SUMIFS(TF_Timer,TF_Nokkel,M1262,TF_Akt,C1262))</f>
        <v/>
      </c>
      <c r="O1262" s="2">
        <f>IF(M1262="","",IF(AND(N1262=_xlfn.MAXIFS(TF_AktSum,TF_Nokkel,M1262),COUNTIFS(M$3:M1261,M1262,N$3:N1261,N1262)=0),M1262,""))</f>
        <v/>
      </c>
    </row>
    <row r="1263">
      <c r="A1263" s="34" t="n"/>
      <c r="B1263" s="35" t="n"/>
      <c r="C1263" s="35" t="n"/>
      <c r="D1263" s="35" t="n"/>
      <c r="E1263" s="35" t="n"/>
      <c r="F1263" s="36" t="n"/>
      <c r="G1263" s="35" t="n"/>
      <c r="H1263" s="30">
        <f>IF(L1263="","",INDEX(SkiftNavn,L1263))</f>
        <v/>
      </c>
      <c r="I1263" s="30">
        <f>IF(OR(A1263="",L1263=""),"",IF(MOD(A1263-INDEX(SkiftStart,L1263),Syklus)&lt;DagK,"Kveld",IF(MOD(A1263-INDEX(SkiftStart,L1263),Syklus)&lt;DagK+DagH,"Helg",IF(MOD(A1263-INDEX(SkiftStart,L1263),Syklus)&lt;DagK+DagH+DagD,"Dag","Fri"))))</f>
        <v/>
      </c>
      <c r="J1263" s="30">
        <f>IF(I1263="Fri","Ja","")</f>
        <v/>
      </c>
      <c r="K1263" s="30">
        <f>IF(B1263="","",IF(L1263="","Ukjent tekniker",IF(ISNA(MATCH(C1263,Aktiviteter,0)),"Ukjent aktivitet",IF(AND(INDEX(AktRolle,MATCH(C1263,Aktiviteter,0))&amp;""&lt;&gt;"",ISERROR(SEARCH(INDEX(AktRolle,MATCH(C1263,Aktiviteter,0))&amp;"",INDEX(TekRoller,MATCH(B1263,Teknikere,0))))),"Mangler rollen "&amp;INDEX(AktRolle,MATCH(C1263,Aktiviteter,0))&amp;"",IF(AND(C1263="LMS",F1263&gt;0,OR(D1263="",E1263="")),"Mangler maskin eller arbeid",IF(AND(OR(C1263="LMS",C1263="Mod"),D1263&lt;&gt;""),IF(IFERROR(INDEX(MaskinStatus,MATCH(D1263,Maskiner,0)),"")="I dokk","","Maskinen er ikke i dokk"),""))))))</f>
        <v/>
      </c>
      <c r="L1263" s="2">
        <f>IF(B1263="","",IFERROR(INT((MATCH(B1263,Teknikere,0)-1)/18)+1,""))</f>
        <v/>
      </c>
      <c r="M1263" s="2">
        <f>IF(OR(A1263="",B1263=""),"",B1263&amp;"|"&amp;A1263)</f>
        <v/>
      </c>
      <c r="N1263" s="2">
        <f>IF(M1263="","",SUMIFS(TF_Timer,TF_Nokkel,M1263,TF_Akt,C1263))</f>
        <v/>
      </c>
      <c r="O1263" s="2">
        <f>IF(M1263="","",IF(AND(N1263=_xlfn.MAXIFS(TF_AktSum,TF_Nokkel,M1263),COUNTIFS(M$3:M1262,M1263,N$3:N1262,N1263)=0),M1263,""))</f>
        <v/>
      </c>
    </row>
    <row r="1264">
      <c r="A1264" s="34" t="n"/>
      <c r="B1264" s="35" t="n"/>
      <c r="C1264" s="35" t="n"/>
      <c r="D1264" s="35" t="n"/>
      <c r="E1264" s="35" t="n"/>
      <c r="F1264" s="36" t="n"/>
      <c r="G1264" s="35" t="n"/>
      <c r="H1264" s="30">
        <f>IF(L1264="","",INDEX(SkiftNavn,L1264))</f>
        <v/>
      </c>
      <c r="I1264" s="30">
        <f>IF(OR(A1264="",L1264=""),"",IF(MOD(A1264-INDEX(SkiftStart,L1264),Syklus)&lt;DagK,"Kveld",IF(MOD(A1264-INDEX(SkiftStart,L1264),Syklus)&lt;DagK+DagH,"Helg",IF(MOD(A1264-INDEX(SkiftStart,L1264),Syklus)&lt;DagK+DagH+DagD,"Dag","Fri"))))</f>
        <v/>
      </c>
      <c r="J1264" s="30">
        <f>IF(I1264="Fri","Ja","")</f>
        <v/>
      </c>
      <c r="K1264" s="30">
        <f>IF(B1264="","",IF(L1264="","Ukjent tekniker",IF(ISNA(MATCH(C1264,Aktiviteter,0)),"Ukjent aktivitet",IF(AND(INDEX(AktRolle,MATCH(C1264,Aktiviteter,0))&amp;""&lt;&gt;"",ISERROR(SEARCH(INDEX(AktRolle,MATCH(C1264,Aktiviteter,0))&amp;"",INDEX(TekRoller,MATCH(B1264,Teknikere,0))))),"Mangler rollen "&amp;INDEX(AktRolle,MATCH(C1264,Aktiviteter,0))&amp;"",IF(AND(C1264="LMS",F1264&gt;0,OR(D1264="",E1264="")),"Mangler maskin eller arbeid",IF(AND(OR(C1264="LMS",C1264="Mod"),D1264&lt;&gt;""),IF(IFERROR(INDEX(MaskinStatus,MATCH(D1264,Maskiner,0)),"")="I dokk","","Maskinen er ikke i dokk"),""))))))</f>
        <v/>
      </c>
      <c r="L1264" s="2">
        <f>IF(B1264="","",IFERROR(INT((MATCH(B1264,Teknikere,0)-1)/18)+1,""))</f>
        <v/>
      </c>
      <c r="M1264" s="2">
        <f>IF(OR(A1264="",B1264=""),"",B1264&amp;"|"&amp;A1264)</f>
        <v/>
      </c>
      <c r="N1264" s="2">
        <f>IF(M1264="","",SUMIFS(TF_Timer,TF_Nokkel,M1264,TF_Akt,C1264))</f>
        <v/>
      </c>
      <c r="O1264" s="2">
        <f>IF(M1264="","",IF(AND(N1264=_xlfn.MAXIFS(TF_AktSum,TF_Nokkel,M1264),COUNTIFS(M$3:M1263,M1264,N$3:N1263,N1264)=0),M1264,""))</f>
        <v/>
      </c>
    </row>
    <row r="1265">
      <c r="A1265" s="34" t="n"/>
      <c r="B1265" s="35" t="n"/>
      <c r="C1265" s="35" t="n"/>
      <c r="D1265" s="35" t="n"/>
      <c r="E1265" s="35" t="n"/>
      <c r="F1265" s="36" t="n"/>
      <c r="G1265" s="35" t="n"/>
      <c r="H1265" s="30">
        <f>IF(L1265="","",INDEX(SkiftNavn,L1265))</f>
        <v/>
      </c>
      <c r="I1265" s="30">
        <f>IF(OR(A1265="",L1265=""),"",IF(MOD(A1265-INDEX(SkiftStart,L1265),Syklus)&lt;DagK,"Kveld",IF(MOD(A1265-INDEX(SkiftStart,L1265),Syklus)&lt;DagK+DagH,"Helg",IF(MOD(A1265-INDEX(SkiftStart,L1265),Syklus)&lt;DagK+DagH+DagD,"Dag","Fri"))))</f>
        <v/>
      </c>
      <c r="J1265" s="30">
        <f>IF(I1265="Fri","Ja","")</f>
        <v/>
      </c>
      <c r="K1265" s="30">
        <f>IF(B1265="","",IF(L1265="","Ukjent tekniker",IF(ISNA(MATCH(C1265,Aktiviteter,0)),"Ukjent aktivitet",IF(AND(INDEX(AktRolle,MATCH(C1265,Aktiviteter,0))&amp;""&lt;&gt;"",ISERROR(SEARCH(INDEX(AktRolle,MATCH(C1265,Aktiviteter,0))&amp;"",INDEX(TekRoller,MATCH(B1265,Teknikere,0))))),"Mangler rollen "&amp;INDEX(AktRolle,MATCH(C1265,Aktiviteter,0))&amp;"",IF(AND(C1265="LMS",F1265&gt;0,OR(D1265="",E1265="")),"Mangler maskin eller arbeid",IF(AND(OR(C1265="LMS",C1265="Mod"),D1265&lt;&gt;""),IF(IFERROR(INDEX(MaskinStatus,MATCH(D1265,Maskiner,0)),"")="I dokk","","Maskinen er ikke i dokk"),""))))))</f>
        <v/>
      </c>
      <c r="L1265" s="2">
        <f>IF(B1265="","",IFERROR(INT((MATCH(B1265,Teknikere,0)-1)/18)+1,""))</f>
        <v/>
      </c>
      <c r="M1265" s="2">
        <f>IF(OR(A1265="",B1265=""),"",B1265&amp;"|"&amp;A1265)</f>
        <v/>
      </c>
      <c r="N1265" s="2">
        <f>IF(M1265="","",SUMIFS(TF_Timer,TF_Nokkel,M1265,TF_Akt,C1265))</f>
        <v/>
      </c>
      <c r="O1265" s="2">
        <f>IF(M1265="","",IF(AND(N1265=_xlfn.MAXIFS(TF_AktSum,TF_Nokkel,M1265),COUNTIFS(M$3:M1264,M1265,N$3:N1264,N1265)=0),M1265,""))</f>
        <v/>
      </c>
    </row>
    <row r="1266">
      <c r="A1266" s="34" t="n"/>
      <c r="B1266" s="35" t="n"/>
      <c r="C1266" s="35" t="n"/>
      <c r="D1266" s="35" t="n"/>
      <c r="E1266" s="35" t="n"/>
      <c r="F1266" s="36" t="n"/>
      <c r="G1266" s="35" t="n"/>
      <c r="H1266" s="30">
        <f>IF(L1266="","",INDEX(SkiftNavn,L1266))</f>
        <v/>
      </c>
      <c r="I1266" s="30">
        <f>IF(OR(A1266="",L1266=""),"",IF(MOD(A1266-INDEX(SkiftStart,L1266),Syklus)&lt;DagK,"Kveld",IF(MOD(A1266-INDEX(SkiftStart,L1266),Syklus)&lt;DagK+DagH,"Helg",IF(MOD(A1266-INDEX(SkiftStart,L1266),Syklus)&lt;DagK+DagH+DagD,"Dag","Fri"))))</f>
        <v/>
      </c>
      <c r="J1266" s="30">
        <f>IF(I1266="Fri","Ja","")</f>
        <v/>
      </c>
      <c r="K1266" s="30">
        <f>IF(B1266="","",IF(L1266="","Ukjent tekniker",IF(ISNA(MATCH(C1266,Aktiviteter,0)),"Ukjent aktivitet",IF(AND(INDEX(AktRolle,MATCH(C1266,Aktiviteter,0))&amp;""&lt;&gt;"",ISERROR(SEARCH(INDEX(AktRolle,MATCH(C1266,Aktiviteter,0))&amp;"",INDEX(TekRoller,MATCH(B1266,Teknikere,0))))),"Mangler rollen "&amp;INDEX(AktRolle,MATCH(C1266,Aktiviteter,0))&amp;"",IF(AND(C1266="LMS",F1266&gt;0,OR(D1266="",E1266="")),"Mangler maskin eller arbeid",IF(AND(OR(C1266="LMS",C1266="Mod"),D1266&lt;&gt;""),IF(IFERROR(INDEX(MaskinStatus,MATCH(D1266,Maskiner,0)),"")="I dokk","","Maskinen er ikke i dokk"),""))))))</f>
        <v/>
      </c>
      <c r="L1266" s="2">
        <f>IF(B1266="","",IFERROR(INT((MATCH(B1266,Teknikere,0)-1)/18)+1,""))</f>
        <v/>
      </c>
      <c r="M1266" s="2">
        <f>IF(OR(A1266="",B1266=""),"",B1266&amp;"|"&amp;A1266)</f>
        <v/>
      </c>
      <c r="N1266" s="2">
        <f>IF(M1266="","",SUMIFS(TF_Timer,TF_Nokkel,M1266,TF_Akt,C1266))</f>
        <v/>
      </c>
      <c r="O1266" s="2">
        <f>IF(M1266="","",IF(AND(N1266=_xlfn.MAXIFS(TF_AktSum,TF_Nokkel,M1266),COUNTIFS(M$3:M1265,M1266,N$3:N1265,N1266)=0),M1266,""))</f>
        <v/>
      </c>
    </row>
    <row r="1267">
      <c r="A1267" s="34" t="n"/>
      <c r="B1267" s="35" t="n"/>
      <c r="C1267" s="35" t="n"/>
      <c r="D1267" s="35" t="n"/>
      <c r="E1267" s="35" t="n"/>
      <c r="F1267" s="36" t="n"/>
      <c r="G1267" s="35" t="n"/>
      <c r="H1267" s="30">
        <f>IF(L1267="","",INDEX(SkiftNavn,L1267))</f>
        <v/>
      </c>
      <c r="I1267" s="30">
        <f>IF(OR(A1267="",L1267=""),"",IF(MOD(A1267-INDEX(SkiftStart,L1267),Syklus)&lt;DagK,"Kveld",IF(MOD(A1267-INDEX(SkiftStart,L1267),Syklus)&lt;DagK+DagH,"Helg",IF(MOD(A1267-INDEX(SkiftStart,L1267),Syklus)&lt;DagK+DagH+DagD,"Dag","Fri"))))</f>
        <v/>
      </c>
      <c r="J1267" s="30">
        <f>IF(I1267="Fri","Ja","")</f>
        <v/>
      </c>
      <c r="K1267" s="30">
        <f>IF(B1267="","",IF(L1267="","Ukjent tekniker",IF(ISNA(MATCH(C1267,Aktiviteter,0)),"Ukjent aktivitet",IF(AND(INDEX(AktRolle,MATCH(C1267,Aktiviteter,0))&amp;""&lt;&gt;"",ISERROR(SEARCH(INDEX(AktRolle,MATCH(C1267,Aktiviteter,0))&amp;"",INDEX(TekRoller,MATCH(B1267,Teknikere,0))))),"Mangler rollen "&amp;INDEX(AktRolle,MATCH(C1267,Aktiviteter,0))&amp;"",IF(AND(C1267="LMS",F1267&gt;0,OR(D1267="",E1267="")),"Mangler maskin eller arbeid",IF(AND(OR(C1267="LMS",C1267="Mod"),D1267&lt;&gt;""),IF(IFERROR(INDEX(MaskinStatus,MATCH(D1267,Maskiner,0)),"")="I dokk","","Maskinen er ikke i dokk"),""))))))</f>
        <v/>
      </c>
      <c r="L1267" s="2">
        <f>IF(B1267="","",IFERROR(INT((MATCH(B1267,Teknikere,0)-1)/18)+1,""))</f>
        <v/>
      </c>
      <c r="M1267" s="2">
        <f>IF(OR(A1267="",B1267=""),"",B1267&amp;"|"&amp;A1267)</f>
        <v/>
      </c>
      <c r="N1267" s="2">
        <f>IF(M1267="","",SUMIFS(TF_Timer,TF_Nokkel,M1267,TF_Akt,C1267))</f>
        <v/>
      </c>
      <c r="O1267" s="2">
        <f>IF(M1267="","",IF(AND(N1267=_xlfn.MAXIFS(TF_AktSum,TF_Nokkel,M1267),COUNTIFS(M$3:M1266,M1267,N$3:N1266,N1267)=0),M1267,""))</f>
        <v/>
      </c>
    </row>
    <row r="1268">
      <c r="A1268" s="34" t="n"/>
      <c r="B1268" s="35" t="n"/>
      <c r="C1268" s="35" t="n"/>
      <c r="D1268" s="35" t="n"/>
      <c r="E1268" s="35" t="n"/>
      <c r="F1268" s="36" t="n"/>
      <c r="G1268" s="35" t="n"/>
      <c r="H1268" s="30">
        <f>IF(L1268="","",INDEX(SkiftNavn,L1268))</f>
        <v/>
      </c>
      <c r="I1268" s="30">
        <f>IF(OR(A1268="",L1268=""),"",IF(MOD(A1268-INDEX(SkiftStart,L1268),Syklus)&lt;DagK,"Kveld",IF(MOD(A1268-INDEX(SkiftStart,L1268),Syklus)&lt;DagK+DagH,"Helg",IF(MOD(A1268-INDEX(SkiftStart,L1268),Syklus)&lt;DagK+DagH+DagD,"Dag","Fri"))))</f>
        <v/>
      </c>
      <c r="J1268" s="30">
        <f>IF(I1268="Fri","Ja","")</f>
        <v/>
      </c>
      <c r="K1268" s="30">
        <f>IF(B1268="","",IF(L1268="","Ukjent tekniker",IF(ISNA(MATCH(C1268,Aktiviteter,0)),"Ukjent aktivitet",IF(AND(INDEX(AktRolle,MATCH(C1268,Aktiviteter,0))&amp;""&lt;&gt;"",ISERROR(SEARCH(INDEX(AktRolle,MATCH(C1268,Aktiviteter,0))&amp;"",INDEX(TekRoller,MATCH(B1268,Teknikere,0))))),"Mangler rollen "&amp;INDEX(AktRolle,MATCH(C1268,Aktiviteter,0))&amp;"",IF(AND(C1268="LMS",F1268&gt;0,OR(D1268="",E1268="")),"Mangler maskin eller arbeid",IF(AND(OR(C1268="LMS",C1268="Mod"),D1268&lt;&gt;""),IF(IFERROR(INDEX(MaskinStatus,MATCH(D1268,Maskiner,0)),"")="I dokk","","Maskinen er ikke i dokk"),""))))))</f>
        <v/>
      </c>
      <c r="L1268" s="2">
        <f>IF(B1268="","",IFERROR(INT((MATCH(B1268,Teknikere,0)-1)/18)+1,""))</f>
        <v/>
      </c>
      <c r="M1268" s="2">
        <f>IF(OR(A1268="",B1268=""),"",B1268&amp;"|"&amp;A1268)</f>
        <v/>
      </c>
      <c r="N1268" s="2">
        <f>IF(M1268="","",SUMIFS(TF_Timer,TF_Nokkel,M1268,TF_Akt,C1268))</f>
        <v/>
      </c>
      <c r="O1268" s="2">
        <f>IF(M1268="","",IF(AND(N1268=_xlfn.MAXIFS(TF_AktSum,TF_Nokkel,M1268),COUNTIFS(M$3:M1267,M1268,N$3:N1267,N1268)=0),M1268,""))</f>
        <v/>
      </c>
    </row>
    <row r="1269">
      <c r="A1269" s="34" t="n"/>
      <c r="B1269" s="35" t="n"/>
      <c r="C1269" s="35" t="n"/>
      <c r="D1269" s="35" t="n"/>
      <c r="E1269" s="35" t="n"/>
      <c r="F1269" s="36" t="n"/>
      <c r="G1269" s="35" t="n"/>
      <c r="H1269" s="30">
        <f>IF(L1269="","",INDEX(SkiftNavn,L1269))</f>
        <v/>
      </c>
      <c r="I1269" s="30">
        <f>IF(OR(A1269="",L1269=""),"",IF(MOD(A1269-INDEX(SkiftStart,L1269),Syklus)&lt;DagK,"Kveld",IF(MOD(A1269-INDEX(SkiftStart,L1269),Syklus)&lt;DagK+DagH,"Helg",IF(MOD(A1269-INDEX(SkiftStart,L1269),Syklus)&lt;DagK+DagH+DagD,"Dag","Fri"))))</f>
        <v/>
      </c>
      <c r="J1269" s="30">
        <f>IF(I1269="Fri","Ja","")</f>
        <v/>
      </c>
      <c r="K1269" s="30">
        <f>IF(B1269="","",IF(L1269="","Ukjent tekniker",IF(ISNA(MATCH(C1269,Aktiviteter,0)),"Ukjent aktivitet",IF(AND(INDEX(AktRolle,MATCH(C1269,Aktiviteter,0))&amp;""&lt;&gt;"",ISERROR(SEARCH(INDEX(AktRolle,MATCH(C1269,Aktiviteter,0))&amp;"",INDEX(TekRoller,MATCH(B1269,Teknikere,0))))),"Mangler rollen "&amp;INDEX(AktRolle,MATCH(C1269,Aktiviteter,0))&amp;"",IF(AND(C1269="LMS",F1269&gt;0,OR(D1269="",E1269="")),"Mangler maskin eller arbeid",IF(AND(OR(C1269="LMS",C1269="Mod"),D1269&lt;&gt;""),IF(IFERROR(INDEX(MaskinStatus,MATCH(D1269,Maskiner,0)),"")="I dokk","","Maskinen er ikke i dokk"),""))))))</f>
        <v/>
      </c>
      <c r="L1269" s="2">
        <f>IF(B1269="","",IFERROR(INT((MATCH(B1269,Teknikere,0)-1)/18)+1,""))</f>
        <v/>
      </c>
      <c r="M1269" s="2">
        <f>IF(OR(A1269="",B1269=""),"",B1269&amp;"|"&amp;A1269)</f>
        <v/>
      </c>
      <c r="N1269" s="2">
        <f>IF(M1269="","",SUMIFS(TF_Timer,TF_Nokkel,M1269,TF_Akt,C1269))</f>
        <v/>
      </c>
      <c r="O1269" s="2">
        <f>IF(M1269="","",IF(AND(N1269=_xlfn.MAXIFS(TF_AktSum,TF_Nokkel,M1269),COUNTIFS(M$3:M1268,M1269,N$3:N1268,N1269)=0),M1269,""))</f>
        <v/>
      </c>
    </row>
    <row r="1270">
      <c r="A1270" s="34" t="n"/>
      <c r="B1270" s="35" t="n"/>
      <c r="C1270" s="35" t="n"/>
      <c r="D1270" s="35" t="n"/>
      <c r="E1270" s="35" t="n"/>
      <c r="F1270" s="36" t="n"/>
      <c r="G1270" s="35" t="n"/>
      <c r="H1270" s="30">
        <f>IF(L1270="","",INDEX(SkiftNavn,L1270))</f>
        <v/>
      </c>
      <c r="I1270" s="30">
        <f>IF(OR(A1270="",L1270=""),"",IF(MOD(A1270-INDEX(SkiftStart,L1270),Syklus)&lt;DagK,"Kveld",IF(MOD(A1270-INDEX(SkiftStart,L1270),Syklus)&lt;DagK+DagH,"Helg",IF(MOD(A1270-INDEX(SkiftStart,L1270),Syklus)&lt;DagK+DagH+DagD,"Dag","Fri"))))</f>
        <v/>
      </c>
      <c r="J1270" s="30">
        <f>IF(I1270="Fri","Ja","")</f>
        <v/>
      </c>
      <c r="K1270" s="30">
        <f>IF(B1270="","",IF(L1270="","Ukjent tekniker",IF(ISNA(MATCH(C1270,Aktiviteter,0)),"Ukjent aktivitet",IF(AND(INDEX(AktRolle,MATCH(C1270,Aktiviteter,0))&amp;""&lt;&gt;"",ISERROR(SEARCH(INDEX(AktRolle,MATCH(C1270,Aktiviteter,0))&amp;"",INDEX(TekRoller,MATCH(B1270,Teknikere,0))))),"Mangler rollen "&amp;INDEX(AktRolle,MATCH(C1270,Aktiviteter,0))&amp;"",IF(AND(C1270="LMS",F1270&gt;0,OR(D1270="",E1270="")),"Mangler maskin eller arbeid",IF(AND(OR(C1270="LMS",C1270="Mod"),D1270&lt;&gt;""),IF(IFERROR(INDEX(MaskinStatus,MATCH(D1270,Maskiner,0)),"")="I dokk","","Maskinen er ikke i dokk"),""))))))</f>
        <v/>
      </c>
      <c r="L1270" s="2">
        <f>IF(B1270="","",IFERROR(INT((MATCH(B1270,Teknikere,0)-1)/18)+1,""))</f>
        <v/>
      </c>
      <c r="M1270" s="2">
        <f>IF(OR(A1270="",B1270=""),"",B1270&amp;"|"&amp;A1270)</f>
        <v/>
      </c>
      <c r="N1270" s="2">
        <f>IF(M1270="","",SUMIFS(TF_Timer,TF_Nokkel,M1270,TF_Akt,C1270))</f>
        <v/>
      </c>
      <c r="O1270" s="2">
        <f>IF(M1270="","",IF(AND(N1270=_xlfn.MAXIFS(TF_AktSum,TF_Nokkel,M1270),COUNTIFS(M$3:M1269,M1270,N$3:N1269,N1270)=0),M1270,""))</f>
        <v/>
      </c>
    </row>
    <row r="1271">
      <c r="A1271" s="34" t="n"/>
      <c r="B1271" s="35" t="n"/>
      <c r="C1271" s="35" t="n"/>
      <c r="D1271" s="35" t="n"/>
      <c r="E1271" s="35" t="n"/>
      <c r="F1271" s="36" t="n"/>
      <c r="G1271" s="35" t="n"/>
      <c r="H1271" s="30">
        <f>IF(L1271="","",INDEX(SkiftNavn,L1271))</f>
        <v/>
      </c>
      <c r="I1271" s="30">
        <f>IF(OR(A1271="",L1271=""),"",IF(MOD(A1271-INDEX(SkiftStart,L1271),Syklus)&lt;DagK,"Kveld",IF(MOD(A1271-INDEX(SkiftStart,L1271),Syklus)&lt;DagK+DagH,"Helg",IF(MOD(A1271-INDEX(SkiftStart,L1271),Syklus)&lt;DagK+DagH+DagD,"Dag","Fri"))))</f>
        <v/>
      </c>
      <c r="J1271" s="30">
        <f>IF(I1271="Fri","Ja","")</f>
        <v/>
      </c>
      <c r="K1271" s="30">
        <f>IF(B1271="","",IF(L1271="","Ukjent tekniker",IF(ISNA(MATCH(C1271,Aktiviteter,0)),"Ukjent aktivitet",IF(AND(INDEX(AktRolle,MATCH(C1271,Aktiviteter,0))&amp;""&lt;&gt;"",ISERROR(SEARCH(INDEX(AktRolle,MATCH(C1271,Aktiviteter,0))&amp;"",INDEX(TekRoller,MATCH(B1271,Teknikere,0))))),"Mangler rollen "&amp;INDEX(AktRolle,MATCH(C1271,Aktiviteter,0))&amp;"",IF(AND(C1271="LMS",F1271&gt;0,OR(D1271="",E1271="")),"Mangler maskin eller arbeid",IF(AND(OR(C1271="LMS",C1271="Mod"),D1271&lt;&gt;""),IF(IFERROR(INDEX(MaskinStatus,MATCH(D1271,Maskiner,0)),"")="I dokk","","Maskinen er ikke i dokk"),""))))))</f>
        <v/>
      </c>
      <c r="L1271" s="2">
        <f>IF(B1271="","",IFERROR(INT((MATCH(B1271,Teknikere,0)-1)/18)+1,""))</f>
        <v/>
      </c>
      <c r="M1271" s="2">
        <f>IF(OR(A1271="",B1271=""),"",B1271&amp;"|"&amp;A1271)</f>
        <v/>
      </c>
      <c r="N1271" s="2">
        <f>IF(M1271="","",SUMIFS(TF_Timer,TF_Nokkel,M1271,TF_Akt,C1271))</f>
        <v/>
      </c>
      <c r="O1271" s="2">
        <f>IF(M1271="","",IF(AND(N1271=_xlfn.MAXIFS(TF_AktSum,TF_Nokkel,M1271),COUNTIFS(M$3:M1270,M1271,N$3:N1270,N1271)=0),M1271,""))</f>
        <v/>
      </c>
    </row>
    <row r="1272">
      <c r="A1272" s="34" t="n"/>
      <c r="B1272" s="35" t="n"/>
      <c r="C1272" s="35" t="n"/>
      <c r="D1272" s="35" t="n"/>
      <c r="E1272" s="35" t="n"/>
      <c r="F1272" s="36" t="n"/>
      <c r="G1272" s="35" t="n"/>
      <c r="H1272" s="30">
        <f>IF(L1272="","",INDEX(SkiftNavn,L1272))</f>
        <v/>
      </c>
      <c r="I1272" s="30">
        <f>IF(OR(A1272="",L1272=""),"",IF(MOD(A1272-INDEX(SkiftStart,L1272),Syklus)&lt;DagK,"Kveld",IF(MOD(A1272-INDEX(SkiftStart,L1272),Syklus)&lt;DagK+DagH,"Helg",IF(MOD(A1272-INDEX(SkiftStart,L1272),Syklus)&lt;DagK+DagH+DagD,"Dag","Fri"))))</f>
        <v/>
      </c>
      <c r="J1272" s="30">
        <f>IF(I1272="Fri","Ja","")</f>
        <v/>
      </c>
      <c r="K1272" s="30">
        <f>IF(B1272="","",IF(L1272="","Ukjent tekniker",IF(ISNA(MATCH(C1272,Aktiviteter,0)),"Ukjent aktivitet",IF(AND(INDEX(AktRolle,MATCH(C1272,Aktiviteter,0))&amp;""&lt;&gt;"",ISERROR(SEARCH(INDEX(AktRolle,MATCH(C1272,Aktiviteter,0))&amp;"",INDEX(TekRoller,MATCH(B1272,Teknikere,0))))),"Mangler rollen "&amp;INDEX(AktRolle,MATCH(C1272,Aktiviteter,0))&amp;"",IF(AND(C1272="LMS",F1272&gt;0,OR(D1272="",E1272="")),"Mangler maskin eller arbeid",IF(AND(OR(C1272="LMS",C1272="Mod"),D1272&lt;&gt;""),IF(IFERROR(INDEX(MaskinStatus,MATCH(D1272,Maskiner,0)),"")="I dokk","","Maskinen er ikke i dokk"),""))))))</f>
        <v/>
      </c>
      <c r="L1272" s="2">
        <f>IF(B1272="","",IFERROR(INT((MATCH(B1272,Teknikere,0)-1)/18)+1,""))</f>
        <v/>
      </c>
      <c r="M1272" s="2">
        <f>IF(OR(A1272="",B1272=""),"",B1272&amp;"|"&amp;A1272)</f>
        <v/>
      </c>
      <c r="N1272" s="2">
        <f>IF(M1272="","",SUMIFS(TF_Timer,TF_Nokkel,M1272,TF_Akt,C1272))</f>
        <v/>
      </c>
      <c r="O1272" s="2">
        <f>IF(M1272="","",IF(AND(N1272=_xlfn.MAXIFS(TF_AktSum,TF_Nokkel,M1272),COUNTIFS(M$3:M1271,M1272,N$3:N1271,N1272)=0),M1272,""))</f>
        <v/>
      </c>
    </row>
    <row r="1273">
      <c r="A1273" s="34" t="n"/>
      <c r="B1273" s="35" t="n"/>
      <c r="C1273" s="35" t="n"/>
      <c r="D1273" s="35" t="n"/>
      <c r="E1273" s="35" t="n"/>
      <c r="F1273" s="36" t="n"/>
      <c r="G1273" s="35" t="n"/>
      <c r="H1273" s="30">
        <f>IF(L1273="","",INDEX(SkiftNavn,L1273))</f>
        <v/>
      </c>
      <c r="I1273" s="30">
        <f>IF(OR(A1273="",L1273=""),"",IF(MOD(A1273-INDEX(SkiftStart,L1273),Syklus)&lt;DagK,"Kveld",IF(MOD(A1273-INDEX(SkiftStart,L1273),Syklus)&lt;DagK+DagH,"Helg",IF(MOD(A1273-INDEX(SkiftStart,L1273),Syklus)&lt;DagK+DagH+DagD,"Dag","Fri"))))</f>
        <v/>
      </c>
      <c r="J1273" s="30">
        <f>IF(I1273="Fri","Ja","")</f>
        <v/>
      </c>
      <c r="K1273" s="30">
        <f>IF(B1273="","",IF(L1273="","Ukjent tekniker",IF(ISNA(MATCH(C1273,Aktiviteter,0)),"Ukjent aktivitet",IF(AND(INDEX(AktRolle,MATCH(C1273,Aktiviteter,0))&amp;""&lt;&gt;"",ISERROR(SEARCH(INDEX(AktRolle,MATCH(C1273,Aktiviteter,0))&amp;"",INDEX(TekRoller,MATCH(B1273,Teknikere,0))))),"Mangler rollen "&amp;INDEX(AktRolle,MATCH(C1273,Aktiviteter,0))&amp;"",IF(AND(C1273="LMS",F1273&gt;0,OR(D1273="",E1273="")),"Mangler maskin eller arbeid",IF(AND(OR(C1273="LMS",C1273="Mod"),D1273&lt;&gt;""),IF(IFERROR(INDEX(MaskinStatus,MATCH(D1273,Maskiner,0)),"")="I dokk","","Maskinen er ikke i dokk"),""))))))</f>
        <v/>
      </c>
      <c r="L1273" s="2">
        <f>IF(B1273="","",IFERROR(INT((MATCH(B1273,Teknikere,0)-1)/18)+1,""))</f>
        <v/>
      </c>
      <c r="M1273" s="2">
        <f>IF(OR(A1273="",B1273=""),"",B1273&amp;"|"&amp;A1273)</f>
        <v/>
      </c>
      <c r="N1273" s="2">
        <f>IF(M1273="","",SUMIFS(TF_Timer,TF_Nokkel,M1273,TF_Akt,C1273))</f>
        <v/>
      </c>
      <c r="O1273" s="2">
        <f>IF(M1273="","",IF(AND(N1273=_xlfn.MAXIFS(TF_AktSum,TF_Nokkel,M1273),COUNTIFS(M$3:M1272,M1273,N$3:N1272,N1273)=0),M1273,""))</f>
        <v/>
      </c>
    </row>
    <row r="1274">
      <c r="A1274" s="34" t="n"/>
      <c r="B1274" s="35" t="n"/>
      <c r="C1274" s="35" t="n"/>
      <c r="D1274" s="35" t="n"/>
      <c r="E1274" s="35" t="n"/>
      <c r="F1274" s="36" t="n"/>
      <c r="G1274" s="35" t="n"/>
      <c r="H1274" s="30">
        <f>IF(L1274="","",INDEX(SkiftNavn,L1274))</f>
        <v/>
      </c>
      <c r="I1274" s="30">
        <f>IF(OR(A1274="",L1274=""),"",IF(MOD(A1274-INDEX(SkiftStart,L1274),Syklus)&lt;DagK,"Kveld",IF(MOD(A1274-INDEX(SkiftStart,L1274),Syklus)&lt;DagK+DagH,"Helg",IF(MOD(A1274-INDEX(SkiftStart,L1274),Syklus)&lt;DagK+DagH+DagD,"Dag","Fri"))))</f>
        <v/>
      </c>
      <c r="J1274" s="30">
        <f>IF(I1274="Fri","Ja","")</f>
        <v/>
      </c>
      <c r="K1274" s="30">
        <f>IF(B1274="","",IF(L1274="","Ukjent tekniker",IF(ISNA(MATCH(C1274,Aktiviteter,0)),"Ukjent aktivitet",IF(AND(INDEX(AktRolle,MATCH(C1274,Aktiviteter,0))&amp;""&lt;&gt;"",ISERROR(SEARCH(INDEX(AktRolle,MATCH(C1274,Aktiviteter,0))&amp;"",INDEX(TekRoller,MATCH(B1274,Teknikere,0))))),"Mangler rollen "&amp;INDEX(AktRolle,MATCH(C1274,Aktiviteter,0))&amp;"",IF(AND(C1274="LMS",F1274&gt;0,OR(D1274="",E1274="")),"Mangler maskin eller arbeid",IF(AND(OR(C1274="LMS",C1274="Mod"),D1274&lt;&gt;""),IF(IFERROR(INDEX(MaskinStatus,MATCH(D1274,Maskiner,0)),"")="I dokk","","Maskinen er ikke i dokk"),""))))))</f>
        <v/>
      </c>
      <c r="L1274" s="2">
        <f>IF(B1274="","",IFERROR(INT((MATCH(B1274,Teknikere,0)-1)/18)+1,""))</f>
        <v/>
      </c>
      <c r="M1274" s="2">
        <f>IF(OR(A1274="",B1274=""),"",B1274&amp;"|"&amp;A1274)</f>
        <v/>
      </c>
      <c r="N1274" s="2">
        <f>IF(M1274="","",SUMIFS(TF_Timer,TF_Nokkel,M1274,TF_Akt,C1274))</f>
        <v/>
      </c>
      <c r="O1274" s="2">
        <f>IF(M1274="","",IF(AND(N1274=_xlfn.MAXIFS(TF_AktSum,TF_Nokkel,M1274),COUNTIFS(M$3:M1273,M1274,N$3:N1273,N1274)=0),M1274,""))</f>
        <v/>
      </c>
    </row>
    <row r="1275">
      <c r="A1275" s="34" t="n"/>
      <c r="B1275" s="35" t="n"/>
      <c r="C1275" s="35" t="n"/>
      <c r="D1275" s="35" t="n"/>
      <c r="E1275" s="35" t="n"/>
      <c r="F1275" s="36" t="n"/>
      <c r="G1275" s="35" t="n"/>
      <c r="H1275" s="30">
        <f>IF(L1275="","",INDEX(SkiftNavn,L1275))</f>
        <v/>
      </c>
      <c r="I1275" s="30">
        <f>IF(OR(A1275="",L1275=""),"",IF(MOD(A1275-INDEX(SkiftStart,L1275),Syklus)&lt;DagK,"Kveld",IF(MOD(A1275-INDEX(SkiftStart,L1275),Syklus)&lt;DagK+DagH,"Helg",IF(MOD(A1275-INDEX(SkiftStart,L1275),Syklus)&lt;DagK+DagH+DagD,"Dag","Fri"))))</f>
        <v/>
      </c>
      <c r="J1275" s="30">
        <f>IF(I1275="Fri","Ja","")</f>
        <v/>
      </c>
      <c r="K1275" s="30">
        <f>IF(B1275="","",IF(L1275="","Ukjent tekniker",IF(ISNA(MATCH(C1275,Aktiviteter,0)),"Ukjent aktivitet",IF(AND(INDEX(AktRolle,MATCH(C1275,Aktiviteter,0))&amp;""&lt;&gt;"",ISERROR(SEARCH(INDEX(AktRolle,MATCH(C1275,Aktiviteter,0))&amp;"",INDEX(TekRoller,MATCH(B1275,Teknikere,0))))),"Mangler rollen "&amp;INDEX(AktRolle,MATCH(C1275,Aktiviteter,0))&amp;"",IF(AND(C1275="LMS",F1275&gt;0,OR(D1275="",E1275="")),"Mangler maskin eller arbeid",IF(AND(OR(C1275="LMS",C1275="Mod"),D1275&lt;&gt;""),IF(IFERROR(INDEX(MaskinStatus,MATCH(D1275,Maskiner,0)),"")="I dokk","","Maskinen er ikke i dokk"),""))))))</f>
        <v/>
      </c>
      <c r="L1275" s="2">
        <f>IF(B1275="","",IFERROR(INT((MATCH(B1275,Teknikere,0)-1)/18)+1,""))</f>
        <v/>
      </c>
      <c r="M1275" s="2">
        <f>IF(OR(A1275="",B1275=""),"",B1275&amp;"|"&amp;A1275)</f>
        <v/>
      </c>
      <c r="N1275" s="2">
        <f>IF(M1275="","",SUMIFS(TF_Timer,TF_Nokkel,M1275,TF_Akt,C1275))</f>
        <v/>
      </c>
      <c r="O1275" s="2">
        <f>IF(M1275="","",IF(AND(N1275=_xlfn.MAXIFS(TF_AktSum,TF_Nokkel,M1275),COUNTIFS(M$3:M1274,M1275,N$3:N1274,N1275)=0),M1275,""))</f>
        <v/>
      </c>
    </row>
    <row r="1276">
      <c r="A1276" s="34" t="n"/>
      <c r="B1276" s="35" t="n"/>
      <c r="C1276" s="35" t="n"/>
      <c r="D1276" s="35" t="n"/>
      <c r="E1276" s="35" t="n"/>
      <c r="F1276" s="36" t="n"/>
      <c r="G1276" s="35" t="n"/>
      <c r="H1276" s="30">
        <f>IF(L1276="","",INDEX(SkiftNavn,L1276))</f>
        <v/>
      </c>
      <c r="I1276" s="30">
        <f>IF(OR(A1276="",L1276=""),"",IF(MOD(A1276-INDEX(SkiftStart,L1276),Syklus)&lt;DagK,"Kveld",IF(MOD(A1276-INDEX(SkiftStart,L1276),Syklus)&lt;DagK+DagH,"Helg",IF(MOD(A1276-INDEX(SkiftStart,L1276),Syklus)&lt;DagK+DagH+DagD,"Dag","Fri"))))</f>
        <v/>
      </c>
      <c r="J1276" s="30">
        <f>IF(I1276="Fri","Ja","")</f>
        <v/>
      </c>
      <c r="K1276" s="30">
        <f>IF(B1276="","",IF(L1276="","Ukjent tekniker",IF(ISNA(MATCH(C1276,Aktiviteter,0)),"Ukjent aktivitet",IF(AND(INDEX(AktRolle,MATCH(C1276,Aktiviteter,0))&amp;""&lt;&gt;"",ISERROR(SEARCH(INDEX(AktRolle,MATCH(C1276,Aktiviteter,0))&amp;"",INDEX(TekRoller,MATCH(B1276,Teknikere,0))))),"Mangler rollen "&amp;INDEX(AktRolle,MATCH(C1276,Aktiviteter,0))&amp;"",IF(AND(C1276="LMS",F1276&gt;0,OR(D1276="",E1276="")),"Mangler maskin eller arbeid",IF(AND(OR(C1276="LMS",C1276="Mod"),D1276&lt;&gt;""),IF(IFERROR(INDEX(MaskinStatus,MATCH(D1276,Maskiner,0)),"")="I dokk","","Maskinen er ikke i dokk"),""))))))</f>
        <v/>
      </c>
      <c r="L1276" s="2">
        <f>IF(B1276="","",IFERROR(INT((MATCH(B1276,Teknikere,0)-1)/18)+1,""))</f>
        <v/>
      </c>
      <c r="M1276" s="2">
        <f>IF(OR(A1276="",B1276=""),"",B1276&amp;"|"&amp;A1276)</f>
        <v/>
      </c>
      <c r="N1276" s="2">
        <f>IF(M1276="","",SUMIFS(TF_Timer,TF_Nokkel,M1276,TF_Akt,C1276))</f>
        <v/>
      </c>
      <c r="O1276" s="2">
        <f>IF(M1276="","",IF(AND(N1276=_xlfn.MAXIFS(TF_AktSum,TF_Nokkel,M1276),COUNTIFS(M$3:M1275,M1276,N$3:N1275,N1276)=0),M1276,""))</f>
        <v/>
      </c>
    </row>
    <row r="1277">
      <c r="A1277" s="34" t="n"/>
      <c r="B1277" s="35" t="n"/>
      <c r="C1277" s="35" t="n"/>
      <c r="D1277" s="35" t="n"/>
      <c r="E1277" s="35" t="n"/>
      <c r="F1277" s="36" t="n"/>
      <c r="G1277" s="35" t="n"/>
      <c r="H1277" s="30">
        <f>IF(L1277="","",INDEX(SkiftNavn,L1277))</f>
        <v/>
      </c>
      <c r="I1277" s="30">
        <f>IF(OR(A1277="",L1277=""),"",IF(MOD(A1277-INDEX(SkiftStart,L1277),Syklus)&lt;DagK,"Kveld",IF(MOD(A1277-INDEX(SkiftStart,L1277),Syklus)&lt;DagK+DagH,"Helg",IF(MOD(A1277-INDEX(SkiftStart,L1277),Syklus)&lt;DagK+DagH+DagD,"Dag","Fri"))))</f>
        <v/>
      </c>
      <c r="J1277" s="30">
        <f>IF(I1277="Fri","Ja","")</f>
        <v/>
      </c>
      <c r="K1277" s="30">
        <f>IF(B1277="","",IF(L1277="","Ukjent tekniker",IF(ISNA(MATCH(C1277,Aktiviteter,0)),"Ukjent aktivitet",IF(AND(INDEX(AktRolle,MATCH(C1277,Aktiviteter,0))&amp;""&lt;&gt;"",ISERROR(SEARCH(INDEX(AktRolle,MATCH(C1277,Aktiviteter,0))&amp;"",INDEX(TekRoller,MATCH(B1277,Teknikere,0))))),"Mangler rollen "&amp;INDEX(AktRolle,MATCH(C1277,Aktiviteter,0))&amp;"",IF(AND(C1277="LMS",F1277&gt;0,OR(D1277="",E1277="")),"Mangler maskin eller arbeid",IF(AND(OR(C1277="LMS",C1277="Mod"),D1277&lt;&gt;""),IF(IFERROR(INDEX(MaskinStatus,MATCH(D1277,Maskiner,0)),"")="I dokk","","Maskinen er ikke i dokk"),""))))))</f>
        <v/>
      </c>
      <c r="L1277" s="2">
        <f>IF(B1277="","",IFERROR(INT((MATCH(B1277,Teknikere,0)-1)/18)+1,""))</f>
        <v/>
      </c>
      <c r="M1277" s="2">
        <f>IF(OR(A1277="",B1277=""),"",B1277&amp;"|"&amp;A1277)</f>
        <v/>
      </c>
      <c r="N1277" s="2">
        <f>IF(M1277="","",SUMIFS(TF_Timer,TF_Nokkel,M1277,TF_Akt,C1277))</f>
        <v/>
      </c>
      <c r="O1277" s="2">
        <f>IF(M1277="","",IF(AND(N1277=_xlfn.MAXIFS(TF_AktSum,TF_Nokkel,M1277),COUNTIFS(M$3:M1276,M1277,N$3:N1276,N1277)=0),M1277,""))</f>
        <v/>
      </c>
    </row>
    <row r="1278">
      <c r="A1278" s="34" t="n"/>
      <c r="B1278" s="35" t="n"/>
      <c r="C1278" s="35" t="n"/>
      <c r="D1278" s="35" t="n"/>
      <c r="E1278" s="35" t="n"/>
      <c r="F1278" s="36" t="n"/>
      <c r="G1278" s="35" t="n"/>
      <c r="H1278" s="30">
        <f>IF(L1278="","",INDEX(SkiftNavn,L1278))</f>
        <v/>
      </c>
      <c r="I1278" s="30">
        <f>IF(OR(A1278="",L1278=""),"",IF(MOD(A1278-INDEX(SkiftStart,L1278),Syklus)&lt;DagK,"Kveld",IF(MOD(A1278-INDEX(SkiftStart,L1278),Syklus)&lt;DagK+DagH,"Helg",IF(MOD(A1278-INDEX(SkiftStart,L1278),Syklus)&lt;DagK+DagH+DagD,"Dag","Fri"))))</f>
        <v/>
      </c>
      <c r="J1278" s="30">
        <f>IF(I1278="Fri","Ja","")</f>
        <v/>
      </c>
      <c r="K1278" s="30">
        <f>IF(B1278="","",IF(L1278="","Ukjent tekniker",IF(ISNA(MATCH(C1278,Aktiviteter,0)),"Ukjent aktivitet",IF(AND(INDEX(AktRolle,MATCH(C1278,Aktiviteter,0))&amp;""&lt;&gt;"",ISERROR(SEARCH(INDEX(AktRolle,MATCH(C1278,Aktiviteter,0))&amp;"",INDEX(TekRoller,MATCH(B1278,Teknikere,0))))),"Mangler rollen "&amp;INDEX(AktRolle,MATCH(C1278,Aktiviteter,0))&amp;"",IF(AND(C1278="LMS",F1278&gt;0,OR(D1278="",E1278="")),"Mangler maskin eller arbeid",IF(AND(OR(C1278="LMS",C1278="Mod"),D1278&lt;&gt;""),IF(IFERROR(INDEX(MaskinStatus,MATCH(D1278,Maskiner,0)),"")="I dokk","","Maskinen er ikke i dokk"),""))))))</f>
        <v/>
      </c>
      <c r="L1278" s="2">
        <f>IF(B1278="","",IFERROR(INT((MATCH(B1278,Teknikere,0)-1)/18)+1,""))</f>
        <v/>
      </c>
      <c r="M1278" s="2">
        <f>IF(OR(A1278="",B1278=""),"",B1278&amp;"|"&amp;A1278)</f>
        <v/>
      </c>
      <c r="N1278" s="2">
        <f>IF(M1278="","",SUMIFS(TF_Timer,TF_Nokkel,M1278,TF_Akt,C1278))</f>
        <v/>
      </c>
      <c r="O1278" s="2">
        <f>IF(M1278="","",IF(AND(N1278=_xlfn.MAXIFS(TF_AktSum,TF_Nokkel,M1278),COUNTIFS(M$3:M1277,M1278,N$3:N1277,N1278)=0),M1278,""))</f>
        <v/>
      </c>
    </row>
    <row r="1279">
      <c r="A1279" s="34" t="n"/>
      <c r="B1279" s="35" t="n"/>
      <c r="C1279" s="35" t="n"/>
      <c r="D1279" s="35" t="n"/>
      <c r="E1279" s="35" t="n"/>
      <c r="F1279" s="36" t="n"/>
      <c r="G1279" s="35" t="n"/>
      <c r="H1279" s="30">
        <f>IF(L1279="","",INDEX(SkiftNavn,L1279))</f>
        <v/>
      </c>
      <c r="I1279" s="30">
        <f>IF(OR(A1279="",L1279=""),"",IF(MOD(A1279-INDEX(SkiftStart,L1279),Syklus)&lt;DagK,"Kveld",IF(MOD(A1279-INDEX(SkiftStart,L1279),Syklus)&lt;DagK+DagH,"Helg",IF(MOD(A1279-INDEX(SkiftStart,L1279),Syklus)&lt;DagK+DagH+DagD,"Dag","Fri"))))</f>
        <v/>
      </c>
      <c r="J1279" s="30">
        <f>IF(I1279="Fri","Ja","")</f>
        <v/>
      </c>
      <c r="K1279" s="30">
        <f>IF(B1279="","",IF(L1279="","Ukjent tekniker",IF(ISNA(MATCH(C1279,Aktiviteter,0)),"Ukjent aktivitet",IF(AND(INDEX(AktRolle,MATCH(C1279,Aktiviteter,0))&amp;""&lt;&gt;"",ISERROR(SEARCH(INDEX(AktRolle,MATCH(C1279,Aktiviteter,0))&amp;"",INDEX(TekRoller,MATCH(B1279,Teknikere,0))))),"Mangler rollen "&amp;INDEX(AktRolle,MATCH(C1279,Aktiviteter,0))&amp;"",IF(AND(C1279="LMS",F1279&gt;0,OR(D1279="",E1279="")),"Mangler maskin eller arbeid",IF(AND(OR(C1279="LMS",C1279="Mod"),D1279&lt;&gt;""),IF(IFERROR(INDEX(MaskinStatus,MATCH(D1279,Maskiner,0)),"")="I dokk","","Maskinen er ikke i dokk"),""))))))</f>
        <v/>
      </c>
      <c r="L1279" s="2">
        <f>IF(B1279="","",IFERROR(INT((MATCH(B1279,Teknikere,0)-1)/18)+1,""))</f>
        <v/>
      </c>
      <c r="M1279" s="2">
        <f>IF(OR(A1279="",B1279=""),"",B1279&amp;"|"&amp;A1279)</f>
        <v/>
      </c>
      <c r="N1279" s="2">
        <f>IF(M1279="","",SUMIFS(TF_Timer,TF_Nokkel,M1279,TF_Akt,C1279))</f>
        <v/>
      </c>
      <c r="O1279" s="2">
        <f>IF(M1279="","",IF(AND(N1279=_xlfn.MAXIFS(TF_AktSum,TF_Nokkel,M1279),COUNTIFS(M$3:M1278,M1279,N$3:N1278,N1279)=0),M1279,""))</f>
        <v/>
      </c>
    </row>
    <row r="1280">
      <c r="A1280" s="34" t="n"/>
      <c r="B1280" s="35" t="n"/>
      <c r="C1280" s="35" t="n"/>
      <c r="D1280" s="35" t="n"/>
      <c r="E1280" s="35" t="n"/>
      <c r="F1280" s="36" t="n"/>
      <c r="G1280" s="35" t="n"/>
      <c r="H1280" s="30">
        <f>IF(L1280="","",INDEX(SkiftNavn,L1280))</f>
        <v/>
      </c>
      <c r="I1280" s="30">
        <f>IF(OR(A1280="",L1280=""),"",IF(MOD(A1280-INDEX(SkiftStart,L1280),Syklus)&lt;DagK,"Kveld",IF(MOD(A1280-INDEX(SkiftStart,L1280),Syklus)&lt;DagK+DagH,"Helg",IF(MOD(A1280-INDEX(SkiftStart,L1280),Syklus)&lt;DagK+DagH+DagD,"Dag","Fri"))))</f>
        <v/>
      </c>
      <c r="J1280" s="30">
        <f>IF(I1280="Fri","Ja","")</f>
        <v/>
      </c>
      <c r="K1280" s="30">
        <f>IF(B1280="","",IF(L1280="","Ukjent tekniker",IF(ISNA(MATCH(C1280,Aktiviteter,0)),"Ukjent aktivitet",IF(AND(INDEX(AktRolle,MATCH(C1280,Aktiviteter,0))&amp;""&lt;&gt;"",ISERROR(SEARCH(INDEX(AktRolle,MATCH(C1280,Aktiviteter,0))&amp;"",INDEX(TekRoller,MATCH(B1280,Teknikere,0))))),"Mangler rollen "&amp;INDEX(AktRolle,MATCH(C1280,Aktiviteter,0))&amp;"",IF(AND(C1280="LMS",F1280&gt;0,OR(D1280="",E1280="")),"Mangler maskin eller arbeid",IF(AND(OR(C1280="LMS",C1280="Mod"),D1280&lt;&gt;""),IF(IFERROR(INDEX(MaskinStatus,MATCH(D1280,Maskiner,0)),"")="I dokk","","Maskinen er ikke i dokk"),""))))))</f>
        <v/>
      </c>
      <c r="L1280" s="2">
        <f>IF(B1280="","",IFERROR(INT((MATCH(B1280,Teknikere,0)-1)/18)+1,""))</f>
        <v/>
      </c>
      <c r="M1280" s="2">
        <f>IF(OR(A1280="",B1280=""),"",B1280&amp;"|"&amp;A1280)</f>
        <v/>
      </c>
      <c r="N1280" s="2">
        <f>IF(M1280="","",SUMIFS(TF_Timer,TF_Nokkel,M1280,TF_Akt,C1280))</f>
        <v/>
      </c>
      <c r="O1280" s="2">
        <f>IF(M1280="","",IF(AND(N1280=_xlfn.MAXIFS(TF_AktSum,TF_Nokkel,M1280),COUNTIFS(M$3:M1279,M1280,N$3:N1279,N1280)=0),M1280,""))</f>
        <v/>
      </c>
    </row>
    <row r="1281">
      <c r="A1281" s="34" t="n"/>
      <c r="B1281" s="35" t="n"/>
      <c r="C1281" s="35" t="n"/>
      <c r="D1281" s="35" t="n"/>
      <c r="E1281" s="35" t="n"/>
      <c r="F1281" s="36" t="n"/>
      <c r="G1281" s="35" t="n"/>
      <c r="H1281" s="30">
        <f>IF(L1281="","",INDEX(SkiftNavn,L1281))</f>
        <v/>
      </c>
      <c r="I1281" s="30">
        <f>IF(OR(A1281="",L1281=""),"",IF(MOD(A1281-INDEX(SkiftStart,L1281),Syklus)&lt;DagK,"Kveld",IF(MOD(A1281-INDEX(SkiftStart,L1281),Syklus)&lt;DagK+DagH,"Helg",IF(MOD(A1281-INDEX(SkiftStart,L1281),Syklus)&lt;DagK+DagH+DagD,"Dag","Fri"))))</f>
        <v/>
      </c>
      <c r="J1281" s="30">
        <f>IF(I1281="Fri","Ja","")</f>
        <v/>
      </c>
      <c r="K1281" s="30">
        <f>IF(B1281="","",IF(L1281="","Ukjent tekniker",IF(ISNA(MATCH(C1281,Aktiviteter,0)),"Ukjent aktivitet",IF(AND(INDEX(AktRolle,MATCH(C1281,Aktiviteter,0))&amp;""&lt;&gt;"",ISERROR(SEARCH(INDEX(AktRolle,MATCH(C1281,Aktiviteter,0))&amp;"",INDEX(TekRoller,MATCH(B1281,Teknikere,0))))),"Mangler rollen "&amp;INDEX(AktRolle,MATCH(C1281,Aktiviteter,0))&amp;"",IF(AND(C1281="LMS",F1281&gt;0,OR(D1281="",E1281="")),"Mangler maskin eller arbeid",IF(AND(OR(C1281="LMS",C1281="Mod"),D1281&lt;&gt;""),IF(IFERROR(INDEX(MaskinStatus,MATCH(D1281,Maskiner,0)),"")="I dokk","","Maskinen er ikke i dokk"),""))))))</f>
        <v/>
      </c>
      <c r="L1281" s="2">
        <f>IF(B1281="","",IFERROR(INT((MATCH(B1281,Teknikere,0)-1)/18)+1,""))</f>
        <v/>
      </c>
      <c r="M1281" s="2">
        <f>IF(OR(A1281="",B1281=""),"",B1281&amp;"|"&amp;A1281)</f>
        <v/>
      </c>
      <c r="N1281" s="2">
        <f>IF(M1281="","",SUMIFS(TF_Timer,TF_Nokkel,M1281,TF_Akt,C1281))</f>
        <v/>
      </c>
      <c r="O1281" s="2">
        <f>IF(M1281="","",IF(AND(N1281=_xlfn.MAXIFS(TF_AktSum,TF_Nokkel,M1281),COUNTIFS(M$3:M1280,M1281,N$3:N1280,N1281)=0),M1281,""))</f>
        <v/>
      </c>
    </row>
    <row r="1282">
      <c r="A1282" s="34" t="n"/>
      <c r="B1282" s="35" t="n"/>
      <c r="C1282" s="35" t="n"/>
      <c r="D1282" s="35" t="n"/>
      <c r="E1282" s="35" t="n"/>
      <c r="F1282" s="36" t="n"/>
      <c r="G1282" s="35" t="n"/>
      <c r="H1282" s="30">
        <f>IF(L1282="","",INDEX(SkiftNavn,L1282))</f>
        <v/>
      </c>
      <c r="I1282" s="30">
        <f>IF(OR(A1282="",L1282=""),"",IF(MOD(A1282-INDEX(SkiftStart,L1282),Syklus)&lt;DagK,"Kveld",IF(MOD(A1282-INDEX(SkiftStart,L1282),Syklus)&lt;DagK+DagH,"Helg",IF(MOD(A1282-INDEX(SkiftStart,L1282),Syklus)&lt;DagK+DagH+DagD,"Dag","Fri"))))</f>
        <v/>
      </c>
      <c r="J1282" s="30">
        <f>IF(I1282="Fri","Ja","")</f>
        <v/>
      </c>
      <c r="K1282" s="30">
        <f>IF(B1282="","",IF(L1282="","Ukjent tekniker",IF(ISNA(MATCH(C1282,Aktiviteter,0)),"Ukjent aktivitet",IF(AND(INDEX(AktRolle,MATCH(C1282,Aktiviteter,0))&amp;""&lt;&gt;"",ISERROR(SEARCH(INDEX(AktRolle,MATCH(C1282,Aktiviteter,0))&amp;"",INDEX(TekRoller,MATCH(B1282,Teknikere,0))))),"Mangler rollen "&amp;INDEX(AktRolle,MATCH(C1282,Aktiviteter,0))&amp;"",IF(AND(C1282="LMS",F1282&gt;0,OR(D1282="",E1282="")),"Mangler maskin eller arbeid",IF(AND(OR(C1282="LMS",C1282="Mod"),D1282&lt;&gt;""),IF(IFERROR(INDEX(MaskinStatus,MATCH(D1282,Maskiner,0)),"")="I dokk","","Maskinen er ikke i dokk"),""))))))</f>
        <v/>
      </c>
      <c r="L1282" s="2">
        <f>IF(B1282="","",IFERROR(INT((MATCH(B1282,Teknikere,0)-1)/18)+1,""))</f>
        <v/>
      </c>
      <c r="M1282" s="2">
        <f>IF(OR(A1282="",B1282=""),"",B1282&amp;"|"&amp;A1282)</f>
        <v/>
      </c>
      <c r="N1282" s="2">
        <f>IF(M1282="","",SUMIFS(TF_Timer,TF_Nokkel,M1282,TF_Akt,C1282))</f>
        <v/>
      </c>
      <c r="O1282" s="2">
        <f>IF(M1282="","",IF(AND(N1282=_xlfn.MAXIFS(TF_AktSum,TF_Nokkel,M1282),COUNTIFS(M$3:M1281,M1282,N$3:N1281,N1282)=0),M1282,""))</f>
        <v/>
      </c>
    </row>
    <row r="1283">
      <c r="A1283" s="34" t="n"/>
      <c r="B1283" s="35" t="n"/>
      <c r="C1283" s="35" t="n"/>
      <c r="D1283" s="35" t="n"/>
      <c r="E1283" s="35" t="n"/>
      <c r="F1283" s="36" t="n"/>
      <c r="G1283" s="35" t="n"/>
      <c r="H1283" s="30">
        <f>IF(L1283="","",INDEX(SkiftNavn,L1283))</f>
        <v/>
      </c>
      <c r="I1283" s="30">
        <f>IF(OR(A1283="",L1283=""),"",IF(MOD(A1283-INDEX(SkiftStart,L1283),Syklus)&lt;DagK,"Kveld",IF(MOD(A1283-INDEX(SkiftStart,L1283),Syklus)&lt;DagK+DagH,"Helg",IF(MOD(A1283-INDEX(SkiftStart,L1283),Syklus)&lt;DagK+DagH+DagD,"Dag","Fri"))))</f>
        <v/>
      </c>
      <c r="J1283" s="30">
        <f>IF(I1283="Fri","Ja","")</f>
        <v/>
      </c>
      <c r="K1283" s="30">
        <f>IF(B1283="","",IF(L1283="","Ukjent tekniker",IF(ISNA(MATCH(C1283,Aktiviteter,0)),"Ukjent aktivitet",IF(AND(INDEX(AktRolle,MATCH(C1283,Aktiviteter,0))&amp;""&lt;&gt;"",ISERROR(SEARCH(INDEX(AktRolle,MATCH(C1283,Aktiviteter,0))&amp;"",INDEX(TekRoller,MATCH(B1283,Teknikere,0))))),"Mangler rollen "&amp;INDEX(AktRolle,MATCH(C1283,Aktiviteter,0))&amp;"",IF(AND(C1283="LMS",F1283&gt;0,OR(D1283="",E1283="")),"Mangler maskin eller arbeid",IF(AND(OR(C1283="LMS",C1283="Mod"),D1283&lt;&gt;""),IF(IFERROR(INDEX(MaskinStatus,MATCH(D1283,Maskiner,0)),"")="I dokk","","Maskinen er ikke i dokk"),""))))))</f>
        <v/>
      </c>
      <c r="L1283" s="2">
        <f>IF(B1283="","",IFERROR(INT((MATCH(B1283,Teknikere,0)-1)/18)+1,""))</f>
        <v/>
      </c>
      <c r="M1283" s="2">
        <f>IF(OR(A1283="",B1283=""),"",B1283&amp;"|"&amp;A1283)</f>
        <v/>
      </c>
      <c r="N1283" s="2">
        <f>IF(M1283="","",SUMIFS(TF_Timer,TF_Nokkel,M1283,TF_Akt,C1283))</f>
        <v/>
      </c>
      <c r="O1283" s="2">
        <f>IF(M1283="","",IF(AND(N1283=_xlfn.MAXIFS(TF_AktSum,TF_Nokkel,M1283),COUNTIFS(M$3:M1282,M1283,N$3:N1282,N1283)=0),M1283,""))</f>
        <v/>
      </c>
    </row>
    <row r="1284">
      <c r="A1284" s="34" t="n"/>
      <c r="B1284" s="35" t="n"/>
      <c r="C1284" s="35" t="n"/>
      <c r="D1284" s="35" t="n"/>
      <c r="E1284" s="35" t="n"/>
      <c r="F1284" s="36" t="n"/>
      <c r="G1284" s="35" t="n"/>
      <c r="H1284" s="30">
        <f>IF(L1284="","",INDEX(SkiftNavn,L1284))</f>
        <v/>
      </c>
      <c r="I1284" s="30">
        <f>IF(OR(A1284="",L1284=""),"",IF(MOD(A1284-INDEX(SkiftStart,L1284),Syklus)&lt;DagK,"Kveld",IF(MOD(A1284-INDEX(SkiftStart,L1284),Syklus)&lt;DagK+DagH,"Helg",IF(MOD(A1284-INDEX(SkiftStart,L1284),Syklus)&lt;DagK+DagH+DagD,"Dag","Fri"))))</f>
        <v/>
      </c>
      <c r="J1284" s="30">
        <f>IF(I1284="Fri","Ja","")</f>
        <v/>
      </c>
      <c r="K1284" s="30">
        <f>IF(B1284="","",IF(L1284="","Ukjent tekniker",IF(ISNA(MATCH(C1284,Aktiviteter,0)),"Ukjent aktivitet",IF(AND(INDEX(AktRolle,MATCH(C1284,Aktiviteter,0))&amp;""&lt;&gt;"",ISERROR(SEARCH(INDEX(AktRolle,MATCH(C1284,Aktiviteter,0))&amp;"",INDEX(TekRoller,MATCH(B1284,Teknikere,0))))),"Mangler rollen "&amp;INDEX(AktRolle,MATCH(C1284,Aktiviteter,0))&amp;"",IF(AND(C1284="LMS",F1284&gt;0,OR(D1284="",E1284="")),"Mangler maskin eller arbeid",IF(AND(OR(C1284="LMS",C1284="Mod"),D1284&lt;&gt;""),IF(IFERROR(INDEX(MaskinStatus,MATCH(D1284,Maskiner,0)),"")="I dokk","","Maskinen er ikke i dokk"),""))))))</f>
        <v/>
      </c>
      <c r="L1284" s="2">
        <f>IF(B1284="","",IFERROR(INT((MATCH(B1284,Teknikere,0)-1)/18)+1,""))</f>
        <v/>
      </c>
      <c r="M1284" s="2">
        <f>IF(OR(A1284="",B1284=""),"",B1284&amp;"|"&amp;A1284)</f>
        <v/>
      </c>
      <c r="N1284" s="2">
        <f>IF(M1284="","",SUMIFS(TF_Timer,TF_Nokkel,M1284,TF_Akt,C1284))</f>
        <v/>
      </c>
      <c r="O1284" s="2">
        <f>IF(M1284="","",IF(AND(N1284=_xlfn.MAXIFS(TF_AktSum,TF_Nokkel,M1284),COUNTIFS(M$3:M1283,M1284,N$3:N1283,N1284)=0),M1284,""))</f>
        <v/>
      </c>
    </row>
    <row r="1285">
      <c r="A1285" s="34" t="n"/>
      <c r="B1285" s="35" t="n"/>
      <c r="C1285" s="35" t="n"/>
      <c r="D1285" s="35" t="n"/>
      <c r="E1285" s="35" t="n"/>
      <c r="F1285" s="36" t="n"/>
      <c r="G1285" s="35" t="n"/>
      <c r="H1285" s="30">
        <f>IF(L1285="","",INDEX(SkiftNavn,L1285))</f>
        <v/>
      </c>
      <c r="I1285" s="30">
        <f>IF(OR(A1285="",L1285=""),"",IF(MOD(A1285-INDEX(SkiftStart,L1285),Syklus)&lt;DagK,"Kveld",IF(MOD(A1285-INDEX(SkiftStart,L1285),Syklus)&lt;DagK+DagH,"Helg",IF(MOD(A1285-INDEX(SkiftStart,L1285),Syklus)&lt;DagK+DagH+DagD,"Dag","Fri"))))</f>
        <v/>
      </c>
      <c r="J1285" s="30">
        <f>IF(I1285="Fri","Ja","")</f>
        <v/>
      </c>
      <c r="K1285" s="30">
        <f>IF(B1285="","",IF(L1285="","Ukjent tekniker",IF(ISNA(MATCH(C1285,Aktiviteter,0)),"Ukjent aktivitet",IF(AND(INDEX(AktRolle,MATCH(C1285,Aktiviteter,0))&amp;""&lt;&gt;"",ISERROR(SEARCH(INDEX(AktRolle,MATCH(C1285,Aktiviteter,0))&amp;"",INDEX(TekRoller,MATCH(B1285,Teknikere,0))))),"Mangler rollen "&amp;INDEX(AktRolle,MATCH(C1285,Aktiviteter,0))&amp;"",IF(AND(C1285="LMS",F1285&gt;0,OR(D1285="",E1285="")),"Mangler maskin eller arbeid",IF(AND(OR(C1285="LMS",C1285="Mod"),D1285&lt;&gt;""),IF(IFERROR(INDEX(MaskinStatus,MATCH(D1285,Maskiner,0)),"")="I dokk","","Maskinen er ikke i dokk"),""))))))</f>
        <v/>
      </c>
      <c r="L1285" s="2">
        <f>IF(B1285="","",IFERROR(INT((MATCH(B1285,Teknikere,0)-1)/18)+1,""))</f>
        <v/>
      </c>
      <c r="M1285" s="2">
        <f>IF(OR(A1285="",B1285=""),"",B1285&amp;"|"&amp;A1285)</f>
        <v/>
      </c>
      <c r="N1285" s="2">
        <f>IF(M1285="","",SUMIFS(TF_Timer,TF_Nokkel,M1285,TF_Akt,C1285))</f>
        <v/>
      </c>
      <c r="O1285" s="2">
        <f>IF(M1285="","",IF(AND(N1285=_xlfn.MAXIFS(TF_AktSum,TF_Nokkel,M1285),COUNTIFS(M$3:M1284,M1285,N$3:N1284,N1285)=0),M1285,""))</f>
        <v/>
      </c>
    </row>
    <row r="1286">
      <c r="A1286" s="34" t="n"/>
      <c r="B1286" s="35" t="n"/>
      <c r="C1286" s="35" t="n"/>
      <c r="D1286" s="35" t="n"/>
      <c r="E1286" s="35" t="n"/>
      <c r="F1286" s="36" t="n"/>
      <c r="G1286" s="35" t="n"/>
      <c r="H1286" s="30">
        <f>IF(L1286="","",INDEX(SkiftNavn,L1286))</f>
        <v/>
      </c>
      <c r="I1286" s="30">
        <f>IF(OR(A1286="",L1286=""),"",IF(MOD(A1286-INDEX(SkiftStart,L1286),Syklus)&lt;DagK,"Kveld",IF(MOD(A1286-INDEX(SkiftStart,L1286),Syklus)&lt;DagK+DagH,"Helg",IF(MOD(A1286-INDEX(SkiftStart,L1286),Syklus)&lt;DagK+DagH+DagD,"Dag","Fri"))))</f>
        <v/>
      </c>
      <c r="J1286" s="30">
        <f>IF(I1286="Fri","Ja","")</f>
        <v/>
      </c>
      <c r="K1286" s="30">
        <f>IF(B1286="","",IF(L1286="","Ukjent tekniker",IF(ISNA(MATCH(C1286,Aktiviteter,0)),"Ukjent aktivitet",IF(AND(INDEX(AktRolle,MATCH(C1286,Aktiviteter,0))&amp;""&lt;&gt;"",ISERROR(SEARCH(INDEX(AktRolle,MATCH(C1286,Aktiviteter,0))&amp;"",INDEX(TekRoller,MATCH(B1286,Teknikere,0))))),"Mangler rollen "&amp;INDEX(AktRolle,MATCH(C1286,Aktiviteter,0))&amp;"",IF(AND(C1286="LMS",F1286&gt;0,OR(D1286="",E1286="")),"Mangler maskin eller arbeid",IF(AND(OR(C1286="LMS",C1286="Mod"),D1286&lt;&gt;""),IF(IFERROR(INDEX(MaskinStatus,MATCH(D1286,Maskiner,0)),"")="I dokk","","Maskinen er ikke i dokk"),""))))))</f>
        <v/>
      </c>
      <c r="L1286" s="2">
        <f>IF(B1286="","",IFERROR(INT((MATCH(B1286,Teknikere,0)-1)/18)+1,""))</f>
        <v/>
      </c>
      <c r="M1286" s="2">
        <f>IF(OR(A1286="",B1286=""),"",B1286&amp;"|"&amp;A1286)</f>
        <v/>
      </c>
      <c r="N1286" s="2">
        <f>IF(M1286="","",SUMIFS(TF_Timer,TF_Nokkel,M1286,TF_Akt,C1286))</f>
        <v/>
      </c>
      <c r="O1286" s="2">
        <f>IF(M1286="","",IF(AND(N1286=_xlfn.MAXIFS(TF_AktSum,TF_Nokkel,M1286),COUNTIFS(M$3:M1285,M1286,N$3:N1285,N1286)=0),M1286,""))</f>
        <v/>
      </c>
    </row>
    <row r="1287">
      <c r="A1287" s="34" t="n"/>
      <c r="B1287" s="35" t="n"/>
      <c r="C1287" s="35" t="n"/>
      <c r="D1287" s="35" t="n"/>
      <c r="E1287" s="35" t="n"/>
      <c r="F1287" s="36" t="n"/>
      <c r="G1287" s="35" t="n"/>
      <c r="H1287" s="30">
        <f>IF(L1287="","",INDEX(SkiftNavn,L1287))</f>
        <v/>
      </c>
      <c r="I1287" s="30">
        <f>IF(OR(A1287="",L1287=""),"",IF(MOD(A1287-INDEX(SkiftStart,L1287),Syklus)&lt;DagK,"Kveld",IF(MOD(A1287-INDEX(SkiftStart,L1287),Syklus)&lt;DagK+DagH,"Helg",IF(MOD(A1287-INDEX(SkiftStart,L1287),Syklus)&lt;DagK+DagH+DagD,"Dag","Fri"))))</f>
        <v/>
      </c>
      <c r="J1287" s="30">
        <f>IF(I1287="Fri","Ja","")</f>
        <v/>
      </c>
      <c r="K1287" s="30">
        <f>IF(B1287="","",IF(L1287="","Ukjent tekniker",IF(ISNA(MATCH(C1287,Aktiviteter,0)),"Ukjent aktivitet",IF(AND(INDEX(AktRolle,MATCH(C1287,Aktiviteter,0))&amp;""&lt;&gt;"",ISERROR(SEARCH(INDEX(AktRolle,MATCH(C1287,Aktiviteter,0))&amp;"",INDEX(TekRoller,MATCH(B1287,Teknikere,0))))),"Mangler rollen "&amp;INDEX(AktRolle,MATCH(C1287,Aktiviteter,0))&amp;"",IF(AND(C1287="LMS",F1287&gt;0,OR(D1287="",E1287="")),"Mangler maskin eller arbeid",IF(AND(OR(C1287="LMS",C1287="Mod"),D1287&lt;&gt;""),IF(IFERROR(INDEX(MaskinStatus,MATCH(D1287,Maskiner,0)),"")="I dokk","","Maskinen er ikke i dokk"),""))))))</f>
        <v/>
      </c>
      <c r="L1287" s="2">
        <f>IF(B1287="","",IFERROR(INT((MATCH(B1287,Teknikere,0)-1)/18)+1,""))</f>
        <v/>
      </c>
      <c r="M1287" s="2">
        <f>IF(OR(A1287="",B1287=""),"",B1287&amp;"|"&amp;A1287)</f>
        <v/>
      </c>
      <c r="N1287" s="2">
        <f>IF(M1287="","",SUMIFS(TF_Timer,TF_Nokkel,M1287,TF_Akt,C1287))</f>
        <v/>
      </c>
      <c r="O1287" s="2">
        <f>IF(M1287="","",IF(AND(N1287=_xlfn.MAXIFS(TF_AktSum,TF_Nokkel,M1287),COUNTIFS(M$3:M1286,M1287,N$3:N1286,N1287)=0),M1287,""))</f>
        <v/>
      </c>
    </row>
    <row r="1288">
      <c r="A1288" s="34" t="n"/>
      <c r="B1288" s="35" t="n"/>
      <c r="C1288" s="35" t="n"/>
      <c r="D1288" s="35" t="n"/>
      <c r="E1288" s="35" t="n"/>
      <c r="F1288" s="36" t="n"/>
      <c r="G1288" s="35" t="n"/>
      <c r="H1288" s="30">
        <f>IF(L1288="","",INDEX(SkiftNavn,L1288))</f>
        <v/>
      </c>
      <c r="I1288" s="30">
        <f>IF(OR(A1288="",L1288=""),"",IF(MOD(A1288-INDEX(SkiftStart,L1288),Syklus)&lt;DagK,"Kveld",IF(MOD(A1288-INDEX(SkiftStart,L1288),Syklus)&lt;DagK+DagH,"Helg",IF(MOD(A1288-INDEX(SkiftStart,L1288),Syklus)&lt;DagK+DagH+DagD,"Dag","Fri"))))</f>
        <v/>
      </c>
      <c r="J1288" s="30">
        <f>IF(I1288="Fri","Ja","")</f>
        <v/>
      </c>
      <c r="K1288" s="30">
        <f>IF(B1288="","",IF(L1288="","Ukjent tekniker",IF(ISNA(MATCH(C1288,Aktiviteter,0)),"Ukjent aktivitet",IF(AND(INDEX(AktRolle,MATCH(C1288,Aktiviteter,0))&amp;""&lt;&gt;"",ISERROR(SEARCH(INDEX(AktRolle,MATCH(C1288,Aktiviteter,0))&amp;"",INDEX(TekRoller,MATCH(B1288,Teknikere,0))))),"Mangler rollen "&amp;INDEX(AktRolle,MATCH(C1288,Aktiviteter,0))&amp;"",IF(AND(C1288="LMS",F1288&gt;0,OR(D1288="",E1288="")),"Mangler maskin eller arbeid",IF(AND(OR(C1288="LMS",C1288="Mod"),D1288&lt;&gt;""),IF(IFERROR(INDEX(MaskinStatus,MATCH(D1288,Maskiner,0)),"")="I dokk","","Maskinen er ikke i dokk"),""))))))</f>
        <v/>
      </c>
      <c r="L1288" s="2">
        <f>IF(B1288="","",IFERROR(INT((MATCH(B1288,Teknikere,0)-1)/18)+1,""))</f>
        <v/>
      </c>
      <c r="M1288" s="2">
        <f>IF(OR(A1288="",B1288=""),"",B1288&amp;"|"&amp;A1288)</f>
        <v/>
      </c>
      <c r="N1288" s="2">
        <f>IF(M1288="","",SUMIFS(TF_Timer,TF_Nokkel,M1288,TF_Akt,C1288))</f>
        <v/>
      </c>
      <c r="O1288" s="2">
        <f>IF(M1288="","",IF(AND(N1288=_xlfn.MAXIFS(TF_AktSum,TF_Nokkel,M1288),COUNTIFS(M$3:M1287,M1288,N$3:N1287,N1288)=0),M1288,""))</f>
        <v/>
      </c>
    </row>
    <row r="1289">
      <c r="A1289" s="34" t="n"/>
      <c r="B1289" s="35" t="n"/>
      <c r="C1289" s="35" t="n"/>
      <c r="D1289" s="35" t="n"/>
      <c r="E1289" s="35" t="n"/>
      <c r="F1289" s="36" t="n"/>
      <c r="G1289" s="35" t="n"/>
      <c r="H1289" s="30">
        <f>IF(L1289="","",INDEX(SkiftNavn,L1289))</f>
        <v/>
      </c>
      <c r="I1289" s="30">
        <f>IF(OR(A1289="",L1289=""),"",IF(MOD(A1289-INDEX(SkiftStart,L1289),Syklus)&lt;DagK,"Kveld",IF(MOD(A1289-INDEX(SkiftStart,L1289),Syklus)&lt;DagK+DagH,"Helg",IF(MOD(A1289-INDEX(SkiftStart,L1289),Syklus)&lt;DagK+DagH+DagD,"Dag","Fri"))))</f>
        <v/>
      </c>
      <c r="J1289" s="30">
        <f>IF(I1289="Fri","Ja","")</f>
        <v/>
      </c>
      <c r="K1289" s="30">
        <f>IF(B1289="","",IF(L1289="","Ukjent tekniker",IF(ISNA(MATCH(C1289,Aktiviteter,0)),"Ukjent aktivitet",IF(AND(INDEX(AktRolle,MATCH(C1289,Aktiviteter,0))&amp;""&lt;&gt;"",ISERROR(SEARCH(INDEX(AktRolle,MATCH(C1289,Aktiviteter,0))&amp;"",INDEX(TekRoller,MATCH(B1289,Teknikere,0))))),"Mangler rollen "&amp;INDEX(AktRolle,MATCH(C1289,Aktiviteter,0))&amp;"",IF(AND(C1289="LMS",F1289&gt;0,OR(D1289="",E1289="")),"Mangler maskin eller arbeid",IF(AND(OR(C1289="LMS",C1289="Mod"),D1289&lt;&gt;""),IF(IFERROR(INDEX(MaskinStatus,MATCH(D1289,Maskiner,0)),"")="I dokk","","Maskinen er ikke i dokk"),""))))))</f>
        <v/>
      </c>
      <c r="L1289" s="2">
        <f>IF(B1289="","",IFERROR(INT((MATCH(B1289,Teknikere,0)-1)/18)+1,""))</f>
        <v/>
      </c>
      <c r="M1289" s="2">
        <f>IF(OR(A1289="",B1289=""),"",B1289&amp;"|"&amp;A1289)</f>
        <v/>
      </c>
      <c r="N1289" s="2">
        <f>IF(M1289="","",SUMIFS(TF_Timer,TF_Nokkel,M1289,TF_Akt,C1289))</f>
        <v/>
      </c>
      <c r="O1289" s="2">
        <f>IF(M1289="","",IF(AND(N1289=_xlfn.MAXIFS(TF_AktSum,TF_Nokkel,M1289),COUNTIFS(M$3:M1288,M1289,N$3:N1288,N1289)=0),M1289,""))</f>
        <v/>
      </c>
    </row>
    <row r="1290">
      <c r="A1290" s="34" t="n"/>
      <c r="B1290" s="35" t="n"/>
      <c r="C1290" s="35" t="n"/>
      <c r="D1290" s="35" t="n"/>
      <c r="E1290" s="35" t="n"/>
      <c r="F1290" s="36" t="n"/>
      <c r="G1290" s="35" t="n"/>
      <c r="H1290" s="30">
        <f>IF(L1290="","",INDEX(SkiftNavn,L1290))</f>
        <v/>
      </c>
      <c r="I1290" s="30">
        <f>IF(OR(A1290="",L1290=""),"",IF(MOD(A1290-INDEX(SkiftStart,L1290),Syklus)&lt;DagK,"Kveld",IF(MOD(A1290-INDEX(SkiftStart,L1290),Syklus)&lt;DagK+DagH,"Helg",IF(MOD(A1290-INDEX(SkiftStart,L1290),Syklus)&lt;DagK+DagH+DagD,"Dag","Fri"))))</f>
        <v/>
      </c>
      <c r="J1290" s="30">
        <f>IF(I1290="Fri","Ja","")</f>
        <v/>
      </c>
      <c r="K1290" s="30">
        <f>IF(B1290="","",IF(L1290="","Ukjent tekniker",IF(ISNA(MATCH(C1290,Aktiviteter,0)),"Ukjent aktivitet",IF(AND(INDEX(AktRolle,MATCH(C1290,Aktiviteter,0))&amp;""&lt;&gt;"",ISERROR(SEARCH(INDEX(AktRolle,MATCH(C1290,Aktiviteter,0))&amp;"",INDEX(TekRoller,MATCH(B1290,Teknikere,0))))),"Mangler rollen "&amp;INDEX(AktRolle,MATCH(C1290,Aktiviteter,0))&amp;"",IF(AND(C1290="LMS",F1290&gt;0,OR(D1290="",E1290="")),"Mangler maskin eller arbeid",IF(AND(OR(C1290="LMS",C1290="Mod"),D1290&lt;&gt;""),IF(IFERROR(INDEX(MaskinStatus,MATCH(D1290,Maskiner,0)),"")="I dokk","","Maskinen er ikke i dokk"),""))))))</f>
        <v/>
      </c>
      <c r="L1290" s="2">
        <f>IF(B1290="","",IFERROR(INT((MATCH(B1290,Teknikere,0)-1)/18)+1,""))</f>
        <v/>
      </c>
      <c r="M1290" s="2">
        <f>IF(OR(A1290="",B1290=""),"",B1290&amp;"|"&amp;A1290)</f>
        <v/>
      </c>
      <c r="N1290" s="2">
        <f>IF(M1290="","",SUMIFS(TF_Timer,TF_Nokkel,M1290,TF_Akt,C1290))</f>
        <v/>
      </c>
      <c r="O1290" s="2">
        <f>IF(M1290="","",IF(AND(N1290=_xlfn.MAXIFS(TF_AktSum,TF_Nokkel,M1290),COUNTIFS(M$3:M1289,M1290,N$3:N1289,N1290)=0),M1290,""))</f>
        <v/>
      </c>
    </row>
    <row r="1291">
      <c r="A1291" s="34" t="n"/>
      <c r="B1291" s="35" t="n"/>
      <c r="C1291" s="35" t="n"/>
      <c r="D1291" s="35" t="n"/>
      <c r="E1291" s="35" t="n"/>
      <c r="F1291" s="36" t="n"/>
      <c r="G1291" s="35" t="n"/>
      <c r="H1291" s="30">
        <f>IF(L1291="","",INDEX(SkiftNavn,L1291))</f>
        <v/>
      </c>
      <c r="I1291" s="30">
        <f>IF(OR(A1291="",L1291=""),"",IF(MOD(A1291-INDEX(SkiftStart,L1291),Syklus)&lt;DagK,"Kveld",IF(MOD(A1291-INDEX(SkiftStart,L1291),Syklus)&lt;DagK+DagH,"Helg",IF(MOD(A1291-INDEX(SkiftStart,L1291),Syklus)&lt;DagK+DagH+DagD,"Dag","Fri"))))</f>
        <v/>
      </c>
      <c r="J1291" s="30">
        <f>IF(I1291="Fri","Ja","")</f>
        <v/>
      </c>
      <c r="K1291" s="30">
        <f>IF(B1291="","",IF(L1291="","Ukjent tekniker",IF(ISNA(MATCH(C1291,Aktiviteter,0)),"Ukjent aktivitet",IF(AND(INDEX(AktRolle,MATCH(C1291,Aktiviteter,0))&amp;""&lt;&gt;"",ISERROR(SEARCH(INDEX(AktRolle,MATCH(C1291,Aktiviteter,0))&amp;"",INDEX(TekRoller,MATCH(B1291,Teknikere,0))))),"Mangler rollen "&amp;INDEX(AktRolle,MATCH(C1291,Aktiviteter,0))&amp;"",IF(AND(C1291="LMS",F1291&gt;0,OR(D1291="",E1291="")),"Mangler maskin eller arbeid",IF(AND(OR(C1291="LMS",C1291="Mod"),D1291&lt;&gt;""),IF(IFERROR(INDEX(MaskinStatus,MATCH(D1291,Maskiner,0)),"")="I dokk","","Maskinen er ikke i dokk"),""))))))</f>
        <v/>
      </c>
      <c r="L1291" s="2">
        <f>IF(B1291="","",IFERROR(INT((MATCH(B1291,Teknikere,0)-1)/18)+1,""))</f>
        <v/>
      </c>
      <c r="M1291" s="2">
        <f>IF(OR(A1291="",B1291=""),"",B1291&amp;"|"&amp;A1291)</f>
        <v/>
      </c>
      <c r="N1291" s="2">
        <f>IF(M1291="","",SUMIFS(TF_Timer,TF_Nokkel,M1291,TF_Akt,C1291))</f>
        <v/>
      </c>
      <c r="O1291" s="2">
        <f>IF(M1291="","",IF(AND(N1291=_xlfn.MAXIFS(TF_AktSum,TF_Nokkel,M1291),COUNTIFS(M$3:M1290,M1291,N$3:N1290,N1291)=0),M1291,""))</f>
        <v/>
      </c>
    </row>
    <row r="1292">
      <c r="A1292" s="34" t="n"/>
      <c r="B1292" s="35" t="n"/>
      <c r="C1292" s="35" t="n"/>
      <c r="D1292" s="35" t="n"/>
      <c r="E1292" s="35" t="n"/>
      <c r="F1292" s="36" t="n"/>
      <c r="G1292" s="35" t="n"/>
      <c r="H1292" s="30">
        <f>IF(L1292="","",INDEX(SkiftNavn,L1292))</f>
        <v/>
      </c>
      <c r="I1292" s="30">
        <f>IF(OR(A1292="",L1292=""),"",IF(MOD(A1292-INDEX(SkiftStart,L1292),Syklus)&lt;DagK,"Kveld",IF(MOD(A1292-INDEX(SkiftStart,L1292),Syklus)&lt;DagK+DagH,"Helg",IF(MOD(A1292-INDEX(SkiftStart,L1292),Syklus)&lt;DagK+DagH+DagD,"Dag","Fri"))))</f>
        <v/>
      </c>
      <c r="J1292" s="30">
        <f>IF(I1292="Fri","Ja","")</f>
        <v/>
      </c>
      <c r="K1292" s="30">
        <f>IF(B1292="","",IF(L1292="","Ukjent tekniker",IF(ISNA(MATCH(C1292,Aktiviteter,0)),"Ukjent aktivitet",IF(AND(INDEX(AktRolle,MATCH(C1292,Aktiviteter,0))&amp;""&lt;&gt;"",ISERROR(SEARCH(INDEX(AktRolle,MATCH(C1292,Aktiviteter,0))&amp;"",INDEX(TekRoller,MATCH(B1292,Teknikere,0))))),"Mangler rollen "&amp;INDEX(AktRolle,MATCH(C1292,Aktiviteter,0))&amp;"",IF(AND(C1292="LMS",F1292&gt;0,OR(D1292="",E1292="")),"Mangler maskin eller arbeid",IF(AND(OR(C1292="LMS",C1292="Mod"),D1292&lt;&gt;""),IF(IFERROR(INDEX(MaskinStatus,MATCH(D1292,Maskiner,0)),"")="I dokk","","Maskinen er ikke i dokk"),""))))))</f>
        <v/>
      </c>
      <c r="L1292" s="2">
        <f>IF(B1292="","",IFERROR(INT((MATCH(B1292,Teknikere,0)-1)/18)+1,""))</f>
        <v/>
      </c>
      <c r="M1292" s="2">
        <f>IF(OR(A1292="",B1292=""),"",B1292&amp;"|"&amp;A1292)</f>
        <v/>
      </c>
      <c r="N1292" s="2">
        <f>IF(M1292="","",SUMIFS(TF_Timer,TF_Nokkel,M1292,TF_Akt,C1292))</f>
        <v/>
      </c>
      <c r="O1292" s="2">
        <f>IF(M1292="","",IF(AND(N1292=_xlfn.MAXIFS(TF_AktSum,TF_Nokkel,M1292),COUNTIFS(M$3:M1291,M1292,N$3:N1291,N1292)=0),M1292,""))</f>
        <v/>
      </c>
    </row>
    <row r="1293">
      <c r="A1293" s="34" t="n"/>
      <c r="B1293" s="35" t="n"/>
      <c r="C1293" s="35" t="n"/>
      <c r="D1293" s="35" t="n"/>
      <c r="E1293" s="35" t="n"/>
      <c r="F1293" s="36" t="n"/>
      <c r="G1293" s="35" t="n"/>
      <c r="H1293" s="30">
        <f>IF(L1293="","",INDEX(SkiftNavn,L1293))</f>
        <v/>
      </c>
      <c r="I1293" s="30">
        <f>IF(OR(A1293="",L1293=""),"",IF(MOD(A1293-INDEX(SkiftStart,L1293),Syklus)&lt;DagK,"Kveld",IF(MOD(A1293-INDEX(SkiftStart,L1293),Syklus)&lt;DagK+DagH,"Helg",IF(MOD(A1293-INDEX(SkiftStart,L1293),Syklus)&lt;DagK+DagH+DagD,"Dag","Fri"))))</f>
        <v/>
      </c>
      <c r="J1293" s="30">
        <f>IF(I1293="Fri","Ja","")</f>
        <v/>
      </c>
      <c r="K1293" s="30">
        <f>IF(B1293="","",IF(L1293="","Ukjent tekniker",IF(ISNA(MATCH(C1293,Aktiviteter,0)),"Ukjent aktivitet",IF(AND(INDEX(AktRolle,MATCH(C1293,Aktiviteter,0))&amp;""&lt;&gt;"",ISERROR(SEARCH(INDEX(AktRolle,MATCH(C1293,Aktiviteter,0))&amp;"",INDEX(TekRoller,MATCH(B1293,Teknikere,0))))),"Mangler rollen "&amp;INDEX(AktRolle,MATCH(C1293,Aktiviteter,0))&amp;"",IF(AND(C1293="LMS",F1293&gt;0,OR(D1293="",E1293="")),"Mangler maskin eller arbeid",IF(AND(OR(C1293="LMS",C1293="Mod"),D1293&lt;&gt;""),IF(IFERROR(INDEX(MaskinStatus,MATCH(D1293,Maskiner,0)),"")="I dokk","","Maskinen er ikke i dokk"),""))))))</f>
        <v/>
      </c>
      <c r="L1293" s="2">
        <f>IF(B1293="","",IFERROR(INT((MATCH(B1293,Teknikere,0)-1)/18)+1,""))</f>
        <v/>
      </c>
      <c r="M1293" s="2">
        <f>IF(OR(A1293="",B1293=""),"",B1293&amp;"|"&amp;A1293)</f>
        <v/>
      </c>
      <c r="N1293" s="2">
        <f>IF(M1293="","",SUMIFS(TF_Timer,TF_Nokkel,M1293,TF_Akt,C1293))</f>
        <v/>
      </c>
      <c r="O1293" s="2">
        <f>IF(M1293="","",IF(AND(N1293=_xlfn.MAXIFS(TF_AktSum,TF_Nokkel,M1293),COUNTIFS(M$3:M1292,M1293,N$3:N1292,N1293)=0),M1293,""))</f>
        <v/>
      </c>
    </row>
    <row r="1294">
      <c r="A1294" s="34" t="n"/>
      <c r="B1294" s="35" t="n"/>
      <c r="C1294" s="35" t="n"/>
      <c r="D1294" s="35" t="n"/>
      <c r="E1294" s="35" t="n"/>
      <c r="F1294" s="36" t="n"/>
      <c r="G1294" s="35" t="n"/>
      <c r="H1294" s="30">
        <f>IF(L1294="","",INDEX(SkiftNavn,L1294))</f>
        <v/>
      </c>
      <c r="I1294" s="30">
        <f>IF(OR(A1294="",L1294=""),"",IF(MOD(A1294-INDEX(SkiftStart,L1294),Syklus)&lt;DagK,"Kveld",IF(MOD(A1294-INDEX(SkiftStart,L1294),Syklus)&lt;DagK+DagH,"Helg",IF(MOD(A1294-INDEX(SkiftStart,L1294),Syklus)&lt;DagK+DagH+DagD,"Dag","Fri"))))</f>
        <v/>
      </c>
      <c r="J1294" s="30">
        <f>IF(I1294="Fri","Ja","")</f>
        <v/>
      </c>
      <c r="K1294" s="30">
        <f>IF(B1294="","",IF(L1294="","Ukjent tekniker",IF(ISNA(MATCH(C1294,Aktiviteter,0)),"Ukjent aktivitet",IF(AND(INDEX(AktRolle,MATCH(C1294,Aktiviteter,0))&amp;""&lt;&gt;"",ISERROR(SEARCH(INDEX(AktRolle,MATCH(C1294,Aktiviteter,0))&amp;"",INDEX(TekRoller,MATCH(B1294,Teknikere,0))))),"Mangler rollen "&amp;INDEX(AktRolle,MATCH(C1294,Aktiviteter,0))&amp;"",IF(AND(C1294="LMS",F1294&gt;0,OR(D1294="",E1294="")),"Mangler maskin eller arbeid",IF(AND(OR(C1294="LMS",C1294="Mod"),D1294&lt;&gt;""),IF(IFERROR(INDEX(MaskinStatus,MATCH(D1294,Maskiner,0)),"")="I dokk","","Maskinen er ikke i dokk"),""))))))</f>
        <v/>
      </c>
      <c r="L1294" s="2">
        <f>IF(B1294="","",IFERROR(INT((MATCH(B1294,Teknikere,0)-1)/18)+1,""))</f>
        <v/>
      </c>
      <c r="M1294" s="2">
        <f>IF(OR(A1294="",B1294=""),"",B1294&amp;"|"&amp;A1294)</f>
        <v/>
      </c>
      <c r="N1294" s="2">
        <f>IF(M1294="","",SUMIFS(TF_Timer,TF_Nokkel,M1294,TF_Akt,C1294))</f>
        <v/>
      </c>
      <c r="O1294" s="2">
        <f>IF(M1294="","",IF(AND(N1294=_xlfn.MAXIFS(TF_AktSum,TF_Nokkel,M1294),COUNTIFS(M$3:M1293,M1294,N$3:N1293,N1294)=0),M1294,""))</f>
        <v/>
      </c>
    </row>
    <row r="1295">
      <c r="A1295" s="34" t="n"/>
      <c r="B1295" s="35" t="n"/>
      <c r="C1295" s="35" t="n"/>
      <c r="D1295" s="35" t="n"/>
      <c r="E1295" s="35" t="n"/>
      <c r="F1295" s="36" t="n"/>
      <c r="G1295" s="35" t="n"/>
      <c r="H1295" s="30">
        <f>IF(L1295="","",INDEX(SkiftNavn,L1295))</f>
        <v/>
      </c>
      <c r="I1295" s="30">
        <f>IF(OR(A1295="",L1295=""),"",IF(MOD(A1295-INDEX(SkiftStart,L1295),Syklus)&lt;DagK,"Kveld",IF(MOD(A1295-INDEX(SkiftStart,L1295),Syklus)&lt;DagK+DagH,"Helg",IF(MOD(A1295-INDEX(SkiftStart,L1295),Syklus)&lt;DagK+DagH+DagD,"Dag","Fri"))))</f>
        <v/>
      </c>
      <c r="J1295" s="30">
        <f>IF(I1295="Fri","Ja","")</f>
        <v/>
      </c>
      <c r="K1295" s="30">
        <f>IF(B1295="","",IF(L1295="","Ukjent tekniker",IF(ISNA(MATCH(C1295,Aktiviteter,0)),"Ukjent aktivitet",IF(AND(INDEX(AktRolle,MATCH(C1295,Aktiviteter,0))&amp;""&lt;&gt;"",ISERROR(SEARCH(INDEX(AktRolle,MATCH(C1295,Aktiviteter,0))&amp;"",INDEX(TekRoller,MATCH(B1295,Teknikere,0))))),"Mangler rollen "&amp;INDEX(AktRolle,MATCH(C1295,Aktiviteter,0))&amp;"",IF(AND(C1295="LMS",F1295&gt;0,OR(D1295="",E1295="")),"Mangler maskin eller arbeid",IF(AND(OR(C1295="LMS",C1295="Mod"),D1295&lt;&gt;""),IF(IFERROR(INDEX(MaskinStatus,MATCH(D1295,Maskiner,0)),"")="I dokk","","Maskinen er ikke i dokk"),""))))))</f>
        <v/>
      </c>
      <c r="L1295" s="2">
        <f>IF(B1295="","",IFERROR(INT((MATCH(B1295,Teknikere,0)-1)/18)+1,""))</f>
        <v/>
      </c>
      <c r="M1295" s="2">
        <f>IF(OR(A1295="",B1295=""),"",B1295&amp;"|"&amp;A1295)</f>
        <v/>
      </c>
      <c r="N1295" s="2">
        <f>IF(M1295="","",SUMIFS(TF_Timer,TF_Nokkel,M1295,TF_Akt,C1295))</f>
        <v/>
      </c>
      <c r="O1295" s="2">
        <f>IF(M1295="","",IF(AND(N1295=_xlfn.MAXIFS(TF_AktSum,TF_Nokkel,M1295),COUNTIFS(M$3:M1294,M1295,N$3:N1294,N1295)=0),M1295,""))</f>
        <v/>
      </c>
    </row>
    <row r="1296">
      <c r="A1296" s="34" t="n"/>
      <c r="B1296" s="35" t="n"/>
      <c r="C1296" s="35" t="n"/>
      <c r="D1296" s="35" t="n"/>
      <c r="E1296" s="35" t="n"/>
      <c r="F1296" s="36" t="n"/>
      <c r="G1296" s="35" t="n"/>
      <c r="H1296" s="30">
        <f>IF(L1296="","",INDEX(SkiftNavn,L1296))</f>
        <v/>
      </c>
      <c r="I1296" s="30">
        <f>IF(OR(A1296="",L1296=""),"",IF(MOD(A1296-INDEX(SkiftStart,L1296),Syklus)&lt;DagK,"Kveld",IF(MOD(A1296-INDEX(SkiftStart,L1296),Syklus)&lt;DagK+DagH,"Helg",IF(MOD(A1296-INDEX(SkiftStart,L1296),Syklus)&lt;DagK+DagH+DagD,"Dag","Fri"))))</f>
        <v/>
      </c>
      <c r="J1296" s="30">
        <f>IF(I1296="Fri","Ja","")</f>
        <v/>
      </c>
      <c r="K1296" s="30">
        <f>IF(B1296="","",IF(L1296="","Ukjent tekniker",IF(ISNA(MATCH(C1296,Aktiviteter,0)),"Ukjent aktivitet",IF(AND(INDEX(AktRolle,MATCH(C1296,Aktiviteter,0))&amp;""&lt;&gt;"",ISERROR(SEARCH(INDEX(AktRolle,MATCH(C1296,Aktiviteter,0))&amp;"",INDEX(TekRoller,MATCH(B1296,Teknikere,0))))),"Mangler rollen "&amp;INDEX(AktRolle,MATCH(C1296,Aktiviteter,0))&amp;"",IF(AND(C1296="LMS",F1296&gt;0,OR(D1296="",E1296="")),"Mangler maskin eller arbeid",IF(AND(OR(C1296="LMS",C1296="Mod"),D1296&lt;&gt;""),IF(IFERROR(INDEX(MaskinStatus,MATCH(D1296,Maskiner,0)),"")="I dokk","","Maskinen er ikke i dokk"),""))))))</f>
        <v/>
      </c>
      <c r="L1296" s="2">
        <f>IF(B1296="","",IFERROR(INT((MATCH(B1296,Teknikere,0)-1)/18)+1,""))</f>
        <v/>
      </c>
      <c r="M1296" s="2">
        <f>IF(OR(A1296="",B1296=""),"",B1296&amp;"|"&amp;A1296)</f>
        <v/>
      </c>
      <c r="N1296" s="2">
        <f>IF(M1296="","",SUMIFS(TF_Timer,TF_Nokkel,M1296,TF_Akt,C1296))</f>
        <v/>
      </c>
      <c r="O1296" s="2">
        <f>IF(M1296="","",IF(AND(N1296=_xlfn.MAXIFS(TF_AktSum,TF_Nokkel,M1296),COUNTIFS(M$3:M1295,M1296,N$3:N1295,N1296)=0),M1296,""))</f>
        <v/>
      </c>
    </row>
    <row r="1297">
      <c r="A1297" s="34" t="n"/>
      <c r="B1297" s="35" t="n"/>
      <c r="C1297" s="35" t="n"/>
      <c r="D1297" s="35" t="n"/>
      <c r="E1297" s="35" t="n"/>
      <c r="F1297" s="36" t="n"/>
      <c r="G1297" s="35" t="n"/>
      <c r="H1297" s="30">
        <f>IF(L1297="","",INDEX(SkiftNavn,L1297))</f>
        <v/>
      </c>
      <c r="I1297" s="30">
        <f>IF(OR(A1297="",L1297=""),"",IF(MOD(A1297-INDEX(SkiftStart,L1297),Syklus)&lt;DagK,"Kveld",IF(MOD(A1297-INDEX(SkiftStart,L1297),Syklus)&lt;DagK+DagH,"Helg",IF(MOD(A1297-INDEX(SkiftStart,L1297),Syklus)&lt;DagK+DagH+DagD,"Dag","Fri"))))</f>
        <v/>
      </c>
      <c r="J1297" s="30">
        <f>IF(I1297="Fri","Ja","")</f>
        <v/>
      </c>
      <c r="K1297" s="30">
        <f>IF(B1297="","",IF(L1297="","Ukjent tekniker",IF(ISNA(MATCH(C1297,Aktiviteter,0)),"Ukjent aktivitet",IF(AND(INDEX(AktRolle,MATCH(C1297,Aktiviteter,0))&amp;""&lt;&gt;"",ISERROR(SEARCH(INDEX(AktRolle,MATCH(C1297,Aktiviteter,0))&amp;"",INDEX(TekRoller,MATCH(B1297,Teknikere,0))))),"Mangler rollen "&amp;INDEX(AktRolle,MATCH(C1297,Aktiviteter,0))&amp;"",IF(AND(C1297="LMS",F1297&gt;0,OR(D1297="",E1297="")),"Mangler maskin eller arbeid",IF(AND(OR(C1297="LMS",C1297="Mod"),D1297&lt;&gt;""),IF(IFERROR(INDEX(MaskinStatus,MATCH(D1297,Maskiner,0)),"")="I dokk","","Maskinen er ikke i dokk"),""))))))</f>
        <v/>
      </c>
      <c r="L1297" s="2">
        <f>IF(B1297="","",IFERROR(INT((MATCH(B1297,Teknikere,0)-1)/18)+1,""))</f>
        <v/>
      </c>
      <c r="M1297" s="2">
        <f>IF(OR(A1297="",B1297=""),"",B1297&amp;"|"&amp;A1297)</f>
        <v/>
      </c>
      <c r="N1297" s="2">
        <f>IF(M1297="","",SUMIFS(TF_Timer,TF_Nokkel,M1297,TF_Akt,C1297))</f>
        <v/>
      </c>
      <c r="O1297" s="2">
        <f>IF(M1297="","",IF(AND(N1297=_xlfn.MAXIFS(TF_AktSum,TF_Nokkel,M1297),COUNTIFS(M$3:M1296,M1297,N$3:N1296,N1297)=0),M1297,""))</f>
        <v/>
      </c>
    </row>
    <row r="1298">
      <c r="A1298" s="34" t="n"/>
      <c r="B1298" s="35" t="n"/>
      <c r="C1298" s="35" t="n"/>
      <c r="D1298" s="35" t="n"/>
      <c r="E1298" s="35" t="n"/>
      <c r="F1298" s="36" t="n"/>
      <c r="G1298" s="35" t="n"/>
      <c r="H1298" s="30">
        <f>IF(L1298="","",INDEX(SkiftNavn,L1298))</f>
        <v/>
      </c>
      <c r="I1298" s="30">
        <f>IF(OR(A1298="",L1298=""),"",IF(MOD(A1298-INDEX(SkiftStart,L1298),Syklus)&lt;DagK,"Kveld",IF(MOD(A1298-INDEX(SkiftStart,L1298),Syklus)&lt;DagK+DagH,"Helg",IF(MOD(A1298-INDEX(SkiftStart,L1298),Syklus)&lt;DagK+DagH+DagD,"Dag","Fri"))))</f>
        <v/>
      </c>
      <c r="J1298" s="30">
        <f>IF(I1298="Fri","Ja","")</f>
        <v/>
      </c>
      <c r="K1298" s="30">
        <f>IF(B1298="","",IF(L1298="","Ukjent tekniker",IF(ISNA(MATCH(C1298,Aktiviteter,0)),"Ukjent aktivitet",IF(AND(INDEX(AktRolle,MATCH(C1298,Aktiviteter,0))&amp;""&lt;&gt;"",ISERROR(SEARCH(INDEX(AktRolle,MATCH(C1298,Aktiviteter,0))&amp;"",INDEX(TekRoller,MATCH(B1298,Teknikere,0))))),"Mangler rollen "&amp;INDEX(AktRolle,MATCH(C1298,Aktiviteter,0))&amp;"",IF(AND(C1298="LMS",F1298&gt;0,OR(D1298="",E1298="")),"Mangler maskin eller arbeid",IF(AND(OR(C1298="LMS",C1298="Mod"),D1298&lt;&gt;""),IF(IFERROR(INDEX(MaskinStatus,MATCH(D1298,Maskiner,0)),"")="I dokk","","Maskinen er ikke i dokk"),""))))))</f>
        <v/>
      </c>
      <c r="L1298" s="2">
        <f>IF(B1298="","",IFERROR(INT((MATCH(B1298,Teknikere,0)-1)/18)+1,""))</f>
        <v/>
      </c>
      <c r="M1298" s="2">
        <f>IF(OR(A1298="",B1298=""),"",B1298&amp;"|"&amp;A1298)</f>
        <v/>
      </c>
      <c r="N1298" s="2">
        <f>IF(M1298="","",SUMIFS(TF_Timer,TF_Nokkel,M1298,TF_Akt,C1298))</f>
        <v/>
      </c>
      <c r="O1298" s="2">
        <f>IF(M1298="","",IF(AND(N1298=_xlfn.MAXIFS(TF_AktSum,TF_Nokkel,M1298),COUNTIFS(M$3:M1297,M1298,N$3:N1297,N1298)=0),M1298,""))</f>
        <v/>
      </c>
    </row>
    <row r="1299">
      <c r="A1299" s="34" t="n"/>
      <c r="B1299" s="35" t="n"/>
      <c r="C1299" s="35" t="n"/>
      <c r="D1299" s="35" t="n"/>
      <c r="E1299" s="35" t="n"/>
      <c r="F1299" s="36" t="n"/>
      <c r="G1299" s="35" t="n"/>
      <c r="H1299" s="30">
        <f>IF(L1299="","",INDEX(SkiftNavn,L1299))</f>
        <v/>
      </c>
      <c r="I1299" s="30">
        <f>IF(OR(A1299="",L1299=""),"",IF(MOD(A1299-INDEX(SkiftStart,L1299),Syklus)&lt;DagK,"Kveld",IF(MOD(A1299-INDEX(SkiftStart,L1299),Syklus)&lt;DagK+DagH,"Helg",IF(MOD(A1299-INDEX(SkiftStart,L1299),Syklus)&lt;DagK+DagH+DagD,"Dag","Fri"))))</f>
        <v/>
      </c>
      <c r="J1299" s="30">
        <f>IF(I1299="Fri","Ja","")</f>
        <v/>
      </c>
      <c r="K1299" s="30">
        <f>IF(B1299="","",IF(L1299="","Ukjent tekniker",IF(ISNA(MATCH(C1299,Aktiviteter,0)),"Ukjent aktivitet",IF(AND(INDEX(AktRolle,MATCH(C1299,Aktiviteter,0))&amp;""&lt;&gt;"",ISERROR(SEARCH(INDEX(AktRolle,MATCH(C1299,Aktiviteter,0))&amp;"",INDEX(TekRoller,MATCH(B1299,Teknikere,0))))),"Mangler rollen "&amp;INDEX(AktRolle,MATCH(C1299,Aktiviteter,0))&amp;"",IF(AND(C1299="LMS",F1299&gt;0,OR(D1299="",E1299="")),"Mangler maskin eller arbeid",IF(AND(OR(C1299="LMS",C1299="Mod"),D1299&lt;&gt;""),IF(IFERROR(INDEX(MaskinStatus,MATCH(D1299,Maskiner,0)),"")="I dokk","","Maskinen er ikke i dokk"),""))))))</f>
        <v/>
      </c>
      <c r="L1299" s="2">
        <f>IF(B1299="","",IFERROR(INT((MATCH(B1299,Teknikere,0)-1)/18)+1,""))</f>
        <v/>
      </c>
      <c r="M1299" s="2">
        <f>IF(OR(A1299="",B1299=""),"",B1299&amp;"|"&amp;A1299)</f>
        <v/>
      </c>
      <c r="N1299" s="2">
        <f>IF(M1299="","",SUMIFS(TF_Timer,TF_Nokkel,M1299,TF_Akt,C1299))</f>
        <v/>
      </c>
      <c r="O1299" s="2">
        <f>IF(M1299="","",IF(AND(N1299=_xlfn.MAXIFS(TF_AktSum,TF_Nokkel,M1299),COUNTIFS(M$3:M1298,M1299,N$3:N1298,N1299)=0),M1299,""))</f>
        <v/>
      </c>
    </row>
    <row r="1300">
      <c r="A1300" s="34" t="n"/>
      <c r="B1300" s="35" t="n"/>
      <c r="C1300" s="35" t="n"/>
      <c r="D1300" s="35" t="n"/>
      <c r="E1300" s="35" t="n"/>
      <c r="F1300" s="36" t="n"/>
      <c r="G1300" s="35" t="n"/>
      <c r="H1300" s="30">
        <f>IF(L1300="","",INDEX(SkiftNavn,L1300))</f>
        <v/>
      </c>
      <c r="I1300" s="30">
        <f>IF(OR(A1300="",L1300=""),"",IF(MOD(A1300-INDEX(SkiftStart,L1300),Syklus)&lt;DagK,"Kveld",IF(MOD(A1300-INDEX(SkiftStart,L1300),Syklus)&lt;DagK+DagH,"Helg",IF(MOD(A1300-INDEX(SkiftStart,L1300),Syklus)&lt;DagK+DagH+DagD,"Dag","Fri"))))</f>
        <v/>
      </c>
      <c r="J1300" s="30">
        <f>IF(I1300="Fri","Ja","")</f>
        <v/>
      </c>
      <c r="K1300" s="30">
        <f>IF(B1300="","",IF(L1300="","Ukjent tekniker",IF(ISNA(MATCH(C1300,Aktiviteter,0)),"Ukjent aktivitet",IF(AND(INDEX(AktRolle,MATCH(C1300,Aktiviteter,0))&amp;""&lt;&gt;"",ISERROR(SEARCH(INDEX(AktRolle,MATCH(C1300,Aktiviteter,0))&amp;"",INDEX(TekRoller,MATCH(B1300,Teknikere,0))))),"Mangler rollen "&amp;INDEX(AktRolle,MATCH(C1300,Aktiviteter,0))&amp;"",IF(AND(C1300="LMS",F1300&gt;0,OR(D1300="",E1300="")),"Mangler maskin eller arbeid",IF(AND(OR(C1300="LMS",C1300="Mod"),D1300&lt;&gt;""),IF(IFERROR(INDEX(MaskinStatus,MATCH(D1300,Maskiner,0)),"")="I dokk","","Maskinen er ikke i dokk"),""))))))</f>
        <v/>
      </c>
      <c r="L1300" s="2">
        <f>IF(B1300="","",IFERROR(INT((MATCH(B1300,Teknikere,0)-1)/18)+1,""))</f>
        <v/>
      </c>
      <c r="M1300" s="2">
        <f>IF(OR(A1300="",B1300=""),"",B1300&amp;"|"&amp;A1300)</f>
        <v/>
      </c>
      <c r="N1300" s="2">
        <f>IF(M1300="","",SUMIFS(TF_Timer,TF_Nokkel,M1300,TF_Akt,C1300))</f>
        <v/>
      </c>
      <c r="O1300" s="2">
        <f>IF(M1300="","",IF(AND(N1300=_xlfn.MAXIFS(TF_AktSum,TF_Nokkel,M1300),COUNTIFS(M$3:M1299,M1300,N$3:N1299,N1300)=0),M1300,""))</f>
        <v/>
      </c>
    </row>
    <row r="1301">
      <c r="A1301" s="34" t="n"/>
      <c r="B1301" s="35" t="n"/>
      <c r="C1301" s="35" t="n"/>
      <c r="D1301" s="35" t="n"/>
      <c r="E1301" s="35" t="n"/>
      <c r="F1301" s="36" t="n"/>
      <c r="G1301" s="35" t="n"/>
      <c r="H1301" s="30">
        <f>IF(L1301="","",INDEX(SkiftNavn,L1301))</f>
        <v/>
      </c>
      <c r="I1301" s="30">
        <f>IF(OR(A1301="",L1301=""),"",IF(MOD(A1301-INDEX(SkiftStart,L1301),Syklus)&lt;DagK,"Kveld",IF(MOD(A1301-INDEX(SkiftStart,L1301),Syklus)&lt;DagK+DagH,"Helg",IF(MOD(A1301-INDEX(SkiftStart,L1301),Syklus)&lt;DagK+DagH+DagD,"Dag","Fri"))))</f>
        <v/>
      </c>
      <c r="J1301" s="30">
        <f>IF(I1301="Fri","Ja","")</f>
        <v/>
      </c>
      <c r="K1301" s="30">
        <f>IF(B1301="","",IF(L1301="","Ukjent tekniker",IF(ISNA(MATCH(C1301,Aktiviteter,0)),"Ukjent aktivitet",IF(AND(INDEX(AktRolle,MATCH(C1301,Aktiviteter,0))&amp;""&lt;&gt;"",ISERROR(SEARCH(INDEX(AktRolle,MATCH(C1301,Aktiviteter,0))&amp;"",INDEX(TekRoller,MATCH(B1301,Teknikere,0))))),"Mangler rollen "&amp;INDEX(AktRolle,MATCH(C1301,Aktiviteter,0))&amp;"",IF(AND(C1301="LMS",F1301&gt;0,OR(D1301="",E1301="")),"Mangler maskin eller arbeid",IF(AND(OR(C1301="LMS",C1301="Mod"),D1301&lt;&gt;""),IF(IFERROR(INDEX(MaskinStatus,MATCH(D1301,Maskiner,0)),"")="I dokk","","Maskinen er ikke i dokk"),""))))))</f>
        <v/>
      </c>
      <c r="L1301" s="2">
        <f>IF(B1301="","",IFERROR(INT((MATCH(B1301,Teknikere,0)-1)/18)+1,""))</f>
        <v/>
      </c>
      <c r="M1301" s="2">
        <f>IF(OR(A1301="",B1301=""),"",B1301&amp;"|"&amp;A1301)</f>
        <v/>
      </c>
      <c r="N1301" s="2">
        <f>IF(M1301="","",SUMIFS(TF_Timer,TF_Nokkel,M1301,TF_Akt,C1301))</f>
        <v/>
      </c>
      <c r="O1301" s="2">
        <f>IF(M1301="","",IF(AND(N1301=_xlfn.MAXIFS(TF_AktSum,TF_Nokkel,M1301),COUNTIFS(M$3:M1300,M1301,N$3:N1300,N1301)=0),M1301,""))</f>
        <v/>
      </c>
    </row>
    <row r="1302">
      <c r="A1302" s="34" t="n"/>
      <c r="B1302" s="35" t="n"/>
      <c r="C1302" s="35" t="n"/>
      <c r="D1302" s="35" t="n"/>
      <c r="E1302" s="35" t="n"/>
      <c r="F1302" s="36" t="n"/>
      <c r="G1302" s="35" t="n"/>
      <c r="H1302" s="30">
        <f>IF(L1302="","",INDEX(SkiftNavn,L1302))</f>
        <v/>
      </c>
      <c r="I1302" s="30">
        <f>IF(OR(A1302="",L1302=""),"",IF(MOD(A1302-INDEX(SkiftStart,L1302),Syklus)&lt;DagK,"Kveld",IF(MOD(A1302-INDEX(SkiftStart,L1302),Syklus)&lt;DagK+DagH,"Helg",IF(MOD(A1302-INDEX(SkiftStart,L1302),Syklus)&lt;DagK+DagH+DagD,"Dag","Fri"))))</f>
        <v/>
      </c>
      <c r="J1302" s="30">
        <f>IF(I1302="Fri","Ja","")</f>
        <v/>
      </c>
      <c r="K1302" s="30">
        <f>IF(B1302="","",IF(L1302="","Ukjent tekniker",IF(ISNA(MATCH(C1302,Aktiviteter,0)),"Ukjent aktivitet",IF(AND(INDEX(AktRolle,MATCH(C1302,Aktiviteter,0))&amp;""&lt;&gt;"",ISERROR(SEARCH(INDEX(AktRolle,MATCH(C1302,Aktiviteter,0))&amp;"",INDEX(TekRoller,MATCH(B1302,Teknikere,0))))),"Mangler rollen "&amp;INDEX(AktRolle,MATCH(C1302,Aktiviteter,0))&amp;"",IF(AND(C1302="LMS",F1302&gt;0,OR(D1302="",E1302="")),"Mangler maskin eller arbeid",IF(AND(OR(C1302="LMS",C1302="Mod"),D1302&lt;&gt;""),IF(IFERROR(INDEX(MaskinStatus,MATCH(D1302,Maskiner,0)),"")="I dokk","","Maskinen er ikke i dokk"),""))))))</f>
        <v/>
      </c>
      <c r="L1302" s="2">
        <f>IF(B1302="","",IFERROR(INT((MATCH(B1302,Teknikere,0)-1)/18)+1,""))</f>
        <v/>
      </c>
      <c r="M1302" s="2">
        <f>IF(OR(A1302="",B1302=""),"",B1302&amp;"|"&amp;A1302)</f>
        <v/>
      </c>
      <c r="N1302" s="2">
        <f>IF(M1302="","",SUMIFS(TF_Timer,TF_Nokkel,M1302,TF_Akt,C1302))</f>
        <v/>
      </c>
      <c r="O1302" s="2">
        <f>IF(M1302="","",IF(AND(N1302=_xlfn.MAXIFS(TF_AktSum,TF_Nokkel,M1302),COUNTIFS(M$3:M1301,M1302,N$3:N1301,N1302)=0),M1302,""))</f>
        <v/>
      </c>
    </row>
    <row r="1303">
      <c r="A1303" s="34" t="n"/>
      <c r="B1303" s="35" t="n"/>
      <c r="C1303" s="35" t="n"/>
      <c r="D1303" s="35" t="n"/>
      <c r="E1303" s="35" t="n"/>
      <c r="F1303" s="36" t="n"/>
      <c r="G1303" s="35" t="n"/>
      <c r="H1303" s="30">
        <f>IF(L1303="","",INDEX(SkiftNavn,L1303))</f>
        <v/>
      </c>
      <c r="I1303" s="30">
        <f>IF(OR(A1303="",L1303=""),"",IF(MOD(A1303-INDEX(SkiftStart,L1303),Syklus)&lt;DagK,"Kveld",IF(MOD(A1303-INDEX(SkiftStart,L1303),Syklus)&lt;DagK+DagH,"Helg",IF(MOD(A1303-INDEX(SkiftStart,L1303),Syklus)&lt;DagK+DagH+DagD,"Dag","Fri"))))</f>
        <v/>
      </c>
      <c r="J1303" s="30">
        <f>IF(I1303="Fri","Ja","")</f>
        <v/>
      </c>
      <c r="K1303" s="30">
        <f>IF(B1303="","",IF(L1303="","Ukjent tekniker",IF(ISNA(MATCH(C1303,Aktiviteter,0)),"Ukjent aktivitet",IF(AND(INDEX(AktRolle,MATCH(C1303,Aktiviteter,0))&amp;""&lt;&gt;"",ISERROR(SEARCH(INDEX(AktRolle,MATCH(C1303,Aktiviteter,0))&amp;"",INDEX(TekRoller,MATCH(B1303,Teknikere,0))))),"Mangler rollen "&amp;INDEX(AktRolle,MATCH(C1303,Aktiviteter,0))&amp;"",IF(AND(C1303="LMS",F1303&gt;0,OR(D1303="",E1303="")),"Mangler maskin eller arbeid",IF(AND(OR(C1303="LMS",C1303="Mod"),D1303&lt;&gt;""),IF(IFERROR(INDEX(MaskinStatus,MATCH(D1303,Maskiner,0)),"")="I dokk","","Maskinen er ikke i dokk"),""))))))</f>
        <v/>
      </c>
      <c r="L1303" s="2">
        <f>IF(B1303="","",IFERROR(INT((MATCH(B1303,Teknikere,0)-1)/18)+1,""))</f>
        <v/>
      </c>
      <c r="M1303" s="2">
        <f>IF(OR(A1303="",B1303=""),"",B1303&amp;"|"&amp;A1303)</f>
        <v/>
      </c>
      <c r="N1303" s="2">
        <f>IF(M1303="","",SUMIFS(TF_Timer,TF_Nokkel,M1303,TF_Akt,C1303))</f>
        <v/>
      </c>
      <c r="O1303" s="2">
        <f>IF(M1303="","",IF(AND(N1303=_xlfn.MAXIFS(TF_AktSum,TF_Nokkel,M1303),COUNTIFS(M$3:M1302,M1303,N$3:N1302,N1303)=0),M1303,""))</f>
        <v/>
      </c>
    </row>
    <row r="1304">
      <c r="A1304" s="34" t="n"/>
      <c r="B1304" s="35" t="n"/>
      <c r="C1304" s="35" t="n"/>
      <c r="D1304" s="35" t="n"/>
      <c r="E1304" s="35" t="n"/>
      <c r="F1304" s="36" t="n"/>
      <c r="G1304" s="35" t="n"/>
      <c r="H1304" s="30">
        <f>IF(L1304="","",INDEX(SkiftNavn,L1304))</f>
        <v/>
      </c>
      <c r="I1304" s="30">
        <f>IF(OR(A1304="",L1304=""),"",IF(MOD(A1304-INDEX(SkiftStart,L1304),Syklus)&lt;DagK,"Kveld",IF(MOD(A1304-INDEX(SkiftStart,L1304),Syklus)&lt;DagK+DagH,"Helg",IF(MOD(A1304-INDEX(SkiftStart,L1304),Syklus)&lt;DagK+DagH+DagD,"Dag","Fri"))))</f>
        <v/>
      </c>
      <c r="J1304" s="30">
        <f>IF(I1304="Fri","Ja","")</f>
        <v/>
      </c>
      <c r="K1304" s="30">
        <f>IF(B1304="","",IF(L1304="","Ukjent tekniker",IF(ISNA(MATCH(C1304,Aktiviteter,0)),"Ukjent aktivitet",IF(AND(INDEX(AktRolle,MATCH(C1304,Aktiviteter,0))&amp;""&lt;&gt;"",ISERROR(SEARCH(INDEX(AktRolle,MATCH(C1304,Aktiviteter,0))&amp;"",INDEX(TekRoller,MATCH(B1304,Teknikere,0))))),"Mangler rollen "&amp;INDEX(AktRolle,MATCH(C1304,Aktiviteter,0))&amp;"",IF(AND(C1304="LMS",F1304&gt;0,OR(D1304="",E1304="")),"Mangler maskin eller arbeid",IF(AND(OR(C1304="LMS",C1304="Mod"),D1304&lt;&gt;""),IF(IFERROR(INDEX(MaskinStatus,MATCH(D1304,Maskiner,0)),"")="I dokk","","Maskinen er ikke i dokk"),""))))))</f>
        <v/>
      </c>
      <c r="L1304" s="2">
        <f>IF(B1304="","",IFERROR(INT((MATCH(B1304,Teknikere,0)-1)/18)+1,""))</f>
        <v/>
      </c>
      <c r="M1304" s="2">
        <f>IF(OR(A1304="",B1304=""),"",B1304&amp;"|"&amp;A1304)</f>
        <v/>
      </c>
      <c r="N1304" s="2">
        <f>IF(M1304="","",SUMIFS(TF_Timer,TF_Nokkel,M1304,TF_Akt,C1304))</f>
        <v/>
      </c>
      <c r="O1304" s="2">
        <f>IF(M1304="","",IF(AND(N1304=_xlfn.MAXIFS(TF_AktSum,TF_Nokkel,M1304),COUNTIFS(M$3:M1303,M1304,N$3:N1303,N1304)=0),M1304,""))</f>
        <v/>
      </c>
    </row>
    <row r="1305">
      <c r="A1305" s="34" t="n"/>
      <c r="B1305" s="35" t="n"/>
      <c r="C1305" s="35" t="n"/>
      <c r="D1305" s="35" t="n"/>
      <c r="E1305" s="35" t="n"/>
      <c r="F1305" s="36" t="n"/>
      <c r="G1305" s="35" t="n"/>
      <c r="H1305" s="30">
        <f>IF(L1305="","",INDEX(SkiftNavn,L1305))</f>
        <v/>
      </c>
      <c r="I1305" s="30">
        <f>IF(OR(A1305="",L1305=""),"",IF(MOD(A1305-INDEX(SkiftStart,L1305),Syklus)&lt;DagK,"Kveld",IF(MOD(A1305-INDEX(SkiftStart,L1305),Syklus)&lt;DagK+DagH,"Helg",IF(MOD(A1305-INDEX(SkiftStart,L1305),Syklus)&lt;DagK+DagH+DagD,"Dag","Fri"))))</f>
        <v/>
      </c>
      <c r="J1305" s="30">
        <f>IF(I1305="Fri","Ja","")</f>
        <v/>
      </c>
      <c r="K1305" s="30">
        <f>IF(B1305="","",IF(L1305="","Ukjent tekniker",IF(ISNA(MATCH(C1305,Aktiviteter,0)),"Ukjent aktivitet",IF(AND(INDEX(AktRolle,MATCH(C1305,Aktiviteter,0))&amp;""&lt;&gt;"",ISERROR(SEARCH(INDEX(AktRolle,MATCH(C1305,Aktiviteter,0))&amp;"",INDEX(TekRoller,MATCH(B1305,Teknikere,0))))),"Mangler rollen "&amp;INDEX(AktRolle,MATCH(C1305,Aktiviteter,0))&amp;"",IF(AND(C1305="LMS",F1305&gt;0,OR(D1305="",E1305="")),"Mangler maskin eller arbeid",IF(AND(OR(C1305="LMS",C1305="Mod"),D1305&lt;&gt;""),IF(IFERROR(INDEX(MaskinStatus,MATCH(D1305,Maskiner,0)),"")="I dokk","","Maskinen er ikke i dokk"),""))))))</f>
        <v/>
      </c>
      <c r="L1305" s="2">
        <f>IF(B1305="","",IFERROR(INT((MATCH(B1305,Teknikere,0)-1)/18)+1,""))</f>
        <v/>
      </c>
      <c r="M1305" s="2">
        <f>IF(OR(A1305="",B1305=""),"",B1305&amp;"|"&amp;A1305)</f>
        <v/>
      </c>
      <c r="N1305" s="2">
        <f>IF(M1305="","",SUMIFS(TF_Timer,TF_Nokkel,M1305,TF_Akt,C1305))</f>
        <v/>
      </c>
      <c r="O1305" s="2">
        <f>IF(M1305="","",IF(AND(N1305=_xlfn.MAXIFS(TF_AktSum,TF_Nokkel,M1305),COUNTIFS(M$3:M1304,M1305,N$3:N1304,N1305)=0),M1305,""))</f>
        <v/>
      </c>
    </row>
    <row r="1306">
      <c r="A1306" s="34" t="n"/>
      <c r="B1306" s="35" t="n"/>
      <c r="C1306" s="35" t="n"/>
      <c r="D1306" s="35" t="n"/>
      <c r="E1306" s="35" t="n"/>
      <c r="F1306" s="36" t="n"/>
      <c r="G1306" s="35" t="n"/>
      <c r="H1306" s="30">
        <f>IF(L1306="","",INDEX(SkiftNavn,L1306))</f>
        <v/>
      </c>
      <c r="I1306" s="30">
        <f>IF(OR(A1306="",L1306=""),"",IF(MOD(A1306-INDEX(SkiftStart,L1306),Syklus)&lt;DagK,"Kveld",IF(MOD(A1306-INDEX(SkiftStart,L1306),Syklus)&lt;DagK+DagH,"Helg",IF(MOD(A1306-INDEX(SkiftStart,L1306),Syklus)&lt;DagK+DagH+DagD,"Dag","Fri"))))</f>
        <v/>
      </c>
      <c r="J1306" s="30">
        <f>IF(I1306="Fri","Ja","")</f>
        <v/>
      </c>
      <c r="K1306" s="30">
        <f>IF(B1306="","",IF(L1306="","Ukjent tekniker",IF(ISNA(MATCH(C1306,Aktiviteter,0)),"Ukjent aktivitet",IF(AND(INDEX(AktRolle,MATCH(C1306,Aktiviteter,0))&amp;""&lt;&gt;"",ISERROR(SEARCH(INDEX(AktRolle,MATCH(C1306,Aktiviteter,0))&amp;"",INDEX(TekRoller,MATCH(B1306,Teknikere,0))))),"Mangler rollen "&amp;INDEX(AktRolle,MATCH(C1306,Aktiviteter,0))&amp;"",IF(AND(C1306="LMS",F1306&gt;0,OR(D1306="",E1306="")),"Mangler maskin eller arbeid",IF(AND(OR(C1306="LMS",C1306="Mod"),D1306&lt;&gt;""),IF(IFERROR(INDEX(MaskinStatus,MATCH(D1306,Maskiner,0)),"")="I dokk","","Maskinen er ikke i dokk"),""))))))</f>
        <v/>
      </c>
      <c r="L1306" s="2">
        <f>IF(B1306="","",IFERROR(INT((MATCH(B1306,Teknikere,0)-1)/18)+1,""))</f>
        <v/>
      </c>
      <c r="M1306" s="2">
        <f>IF(OR(A1306="",B1306=""),"",B1306&amp;"|"&amp;A1306)</f>
        <v/>
      </c>
      <c r="N1306" s="2">
        <f>IF(M1306="","",SUMIFS(TF_Timer,TF_Nokkel,M1306,TF_Akt,C1306))</f>
        <v/>
      </c>
      <c r="O1306" s="2">
        <f>IF(M1306="","",IF(AND(N1306=_xlfn.MAXIFS(TF_AktSum,TF_Nokkel,M1306),COUNTIFS(M$3:M1305,M1306,N$3:N1305,N1306)=0),M1306,""))</f>
        <v/>
      </c>
    </row>
    <row r="1307">
      <c r="A1307" s="34" t="n"/>
      <c r="B1307" s="35" t="n"/>
      <c r="C1307" s="35" t="n"/>
      <c r="D1307" s="35" t="n"/>
      <c r="E1307" s="35" t="n"/>
      <c r="F1307" s="36" t="n"/>
      <c r="G1307" s="35" t="n"/>
      <c r="H1307" s="30">
        <f>IF(L1307="","",INDEX(SkiftNavn,L1307))</f>
        <v/>
      </c>
      <c r="I1307" s="30">
        <f>IF(OR(A1307="",L1307=""),"",IF(MOD(A1307-INDEX(SkiftStart,L1307),Syklus)&lt;DagK,"Kveld",IF(MOD(A1307-INDEX(SkiftStart,L1307),Syklus)&lt;DagK+DagH,"Helg",IF(MOD(A1307-INDEX(SkiftStart,L1307),Syklus)&lt;DagK+DagH+DagD,"Dag","Fri"))))</f>
        <v/>
      </c>
      <c r="J1307" s="30">
        <f>IF(I1307="Fri","Ja","")</f>
        <v/>
      </c>
      <c r="K1307" s="30">
        <f>IF(B1307="","",IF(L1307="","Ukjent tekniker",IF(ISNA(MATCH(C1307,Aktiviteter,0)),"Ukjent aktivitet",IF(AND(INDEX(AktRolle,MATCH(C1307,Aktiviteter,0))&amp;""&lt;&gt;"",ISERROR(SEARCH(INDEX(AktRolle,MATCH(C1307,Aktiviteter,0))&amp;"",INDEX(TekRoller,MATCH(B1307,Teknikere,0))))),"Mangler rollen "&amp;INDEX(AktRolle,MATCH(C1307,Aktiviteter,0))&amp;"",IF(AND(C1307="LMS",F1307&gt;0,OR(D1307="",E1307="")),"Mangler maskin eller arbeid",IF(AND(OR(C1307="LMS",C1307="Mod"),D1307&lt;&gt;""),IF(IFERROR(INDEX(MaskinStatus,MATCH(D1307,Maskiner,0)),"")="I dokk","","Maskinen er ikke i dokk"),""))))))</f>
        <v/>
      </c>
      <c r="L1307" s="2">
        <f>IF(B1307="","",IFERROR(INT((MATCH(B1307,Teknikere,0)-1)/18)+1,""))</f>
        <v/>
      </c>
      <c r="M1307" s="2">
        <f>IF(OR(A1307="",B1307=""),"",B1307&amp;"|"&amp;A1307)</f>
        <v/>
      </c>
      <c r="N1307" s="2">
        <f>IF(M1307="","",SUMIFS(TF_Timer,TF_Nokkel,M1307,TF_Akt,C1307))</f>
        <v/>
      </c>
      <c r="O1307" s="2">
        <f>IF(M1307="","",IF(AND(N1307=_xlfn.MAXIFS(TF_AktSum,TF_Nokkel,M1307),COUNTIFS(M$3:M1306,M1307,N$3:N1306,N1307)=0),M1307,""))</f>
        <v/>
      </c>
    </row>
    <row r="1308">
      <c r="A1308" s="34" t="n"/>
      <c r="B1308" s="35" t="n"/>
      <c r="C1308" s="35" t="n"/>
      <c r="D1308" s="35" t="n"/>
      <c r="E1308" s="35" t="n"/>
      <c r="F1308" s="36" t="n"/>
      <c r="G1308" s="35" t="n"/>
      <c r="H1308" s="30">
        <f>IF(L1308="","",INDEX(SkiftNavn,L1308))</f>
        <v/>
      </c>
      <c r="I1308" s="30">
        <f>IF(OR(A1308="",L1308=""),"",IF(MOD(A1308-INDEX(SkiftStart,L1308),Syklus)&lt;DagK,"Kveld",IF(MOD(A1308-INDEX(SkiftStart,L1308),Syklus)&lt;DagK+DagH,"Helg",IF(MOD(A1308-INDEX(SkiftStart,L1308),Syklus)&lt;DagK+DagH+DagD,"Dag","Fri"))))</f>
        <v/>
      </c>
      <c r="J1308" s="30">
        <f>IF(I1308="Fri","Ja","")</f>
        <v/>
      </c>
      <c r="K1308" s="30">
        <f>IF(B1308="","",IF(L1308="","Ukjent tekniker",IF(ISNA(MATCH(C1308,Aktiviteter,0)),"Ukjent aktivitet",IF(AND(INDEX(AktRolle,MATCH(C1308,Aktiviteter,0))&amp;""&lt;&gt;"",ISERROR(SEARCH(INDEX(AktRolle,MATCH(C1308,Aktiviteter,0))&amp;"",INDEX(TekRoller,MATCH(B1308,Teknikere,0))))),"Mangler rollen "&amp;INDEX(AktRolle,MATCH(C1308,Aktiviteter,0))&amp;"",IF(AND(C1308="LMS",F1308&gt;0,OR(D1308="",E1308="")),"Mangler maskin eller arbeid",IF(AND(OR(C1308="LMS",C1308="Mod"),D1308&lt;&gt;""),IF(IFERROR(INDEX(MaskinStatus,MATCH(D1308,Maskiner,0)),"")="I dokk","","Maskinen er ikke i dokk"),""))))))</f>
        <v/>
      </c>
      <c r="L1308" s="2">
        <f>IF(B1308="","",IFERROR(INT((MATCH(B1308,Teknikere,0)-1)/18)+1,""))</f>
        <v/>
      </c>
      <c r="M1308" s="2">
        <f>IF(OR(A1308="",B1308=""),"",B1308&amp;"|"&amp;A1308)</f>
        <v/>
      </c>
      <c r="N1308" s="2">
        <f>IF(M1308="","",SUMIFS(TF_Timer,TF_Nokkel,M1308,TF_Akt,C1308))</f>
        <v/>
      </c>
      <c r="O1308" s="2">
        <f>IF(M1308="","",IF(AND(N1308=_xlfn.MAXIFS(TF_AktSum,TF_Nokkel,M1308),COUNTIFS(M$3:M1307,M1308,N$3:N1307,N1308)=0),M1308,""))</f>
        <v/>
      </c>
    </row>
    <row r="1309">
      <c r="A1309" s="34" t="n"/>
      <c r="B1309" s="35" t="n"/>
      <c r="C1309" s="35" t="n"/>
      <c r="D1309" s="35" t="n"/>
      <c r="E1309" s="35" t="n"/>
      <c r="F1309" s="36" t="n"/>
      <c r="G1309" s="35" t="n"/>
      <c r="H1309" s="30">
        <f>IF(L1309="","",INDEX(SkiftNavn,L1309))</f>
        <v/>
      </c>
      <c r="I1309" s="30">
        <f>IF(OR(A1309="",L1309=""),"",IF(MOD(A1309-INDEX(SkiftStart,L1309),Syklus)&lt;DagK,"Kveld",IF(MOD(A1309-INDEX(SkiftStart,L1309),Syklus)&lt;DagK+DagH,"Helg",IF(MOD(A1309-INDEX(SkiftStart,L1309),Syklus)&lt;DagK+DagH+DagD,"Dag","Fri"))))</f>
        <v/>
      </c>
      <c r="J1309" s="30">
        <f>IF(I1309="Fri","Ja","")</f>
        <v/>
      </c>
      <c r="K1309" s="30">
        <f>IF(B1309="","",IF(L1309="","Ukjent tekniker",IF(ISNA(MATCH(C1309,Aktiviteter,0)),"Ukjent aktivitet",IF(AND(INDEX(AktRolle,MATCH(C1309,Aktiviteter,0))&amp;""&lt;&gt;"",ISERROR(SEARCH(INDEX(AktRolle,MATCH(C1309,Aktiviteter,0))&amp;"",INDEX(TekRoller,MATCH(B1309,Teknikere,0))))),"Mangler rollen "&amp;INDEX(AktRolle,MATCH(C1309,Aktiviteter,0))&amp;"",IF(AND(C1309="LMS",F1309&gt;0,OR(D1309="",E1309="")),"Mangler maskin eller arbeid",IF(AND(OR(C1309="LMS",C1309="Mod"),D1309&lt;&gt;""),IF(IFERROR(INDEX(MaskinStatus,MATCH(D1309,Maskiner,0)),"")="I dokk","","Maskinen er ikke i dokk"),""))))))</f>
        <v/>
      </c>
      <c r="L1309" s="2">
        <f>IF(B1309="","",IFERROR(INT((MATCH(B1309,Teknikere,0)-1)/18)+1,""))</f>
        <v/>
      </c>
      <c r="M1309" s="2">
        <f>IF(OR(A1309="",B1309=""),"",B1309&amp;"|"&amp;A1309)</f>
        <v/>
      </c>
      <c r="N1309" s="2">
        <f>IF(M1309="","",SUMIFS(TF_Timer,TF_Nokkel,M1309,TF_Akt,C1309))</f>
        <v/>
      </c>
      <c r="O1309" s="2">
        <f>IF(M1309="","",IF(AND(N1309=_xlfn.MAXIFS(TF_AktSum,TF_Nokkel,M1309),COUNTIFS(M$3:M1308,M1309,N$3:N1308,N1309)=0),M1309,""))</f>
        <v/>
      </c>
    </row>
    <row r="1310">
      <c r="A1310" s="34" t="n"/>
      <c r="B1310" s="35" t="n"/>
      <c r="C1310" s="35" t="n"/>
      <c r="D1310" s="35" t="n"/>
      <c r="E1310" s="35" t="n"/>
      <c r="F1310" s="36" t="n"/>
      <c r="G1310" s="35" t="n"/>
      <c r="H1310" s="30">
        <f>IF(L1310="","",INDEX(SkiftNavn,L1310))</f>
        <v/>
      </c>
      <c r="I1310" s="30">
        <f>IF(OR(A1310="",L1310=""),"",IF(MOD(A1310-INDEX(SkiftStart,L1310),Syklus)&lt;DagK,"Kveld",IF(MOD(A1310-INDEX(SkiftStart,L1310),Syklus)&lt;DagK+DagH,"Helg",IF(MOD(A1310-INDEX(SkiftStart,L1310),Syklus)&lt;DagK+DagH+DagD,"Dag","Fri"))))</f>
        <v/>
      </c>
      <c r="J1310" s="30">
        <f>IF(I1310="Fri","Ja","")</f>
        <v/>
      </c>
      <c r="K1310" s="30">
        <f>IF(B1310="","",IF(L1310="","Ukjent tekniker",IF(ISNA(MATCH(C1310,Aktiviteter,0)),"Ukjent aktivitet",IF(AND(INDEX(AktRolle,MATCH(C1310,Aktiviteter,0))&amp;""&lt;&gt;"",ISERROR(SEARCH(INDEX(AktRolle,MATCH(C1310,Aktiviteter,0))&amp;"",INDEX(TekRoller,MATCH(B1310,Teknikere,0))))),"Mangler rollen "&amp;INDEX(AktRolle,MATCH(C1310,Aktiviteter,0))&amp;"",IF(AND(C1310="LMS",F1310&gt;0,OR(D1310="",E1310="")),"Mangler maskin eller arbeid",IF(AND(OR(C1310="LMS",C1310="Mod"),D1310&lt;&gt;""),IF(IFERROR(INDEX(MaskinStatus,MATCH(D1310,Maskiner,0)),"")="I dokk","","Maskinen er ikke i dokk"),""))))))</f>
        <v/>
      </c>
      <c r="L1310" s="2">
        <f>IF(B1310="","",IFERROR(INT((MATCH(B1310,Teknikere,0)-1)/18)+1,""))</f>
        <v/>
      </c>
      <c r="M1310" s="2">
        <f>IF(OR(A1310="",B1310=""),"",B1310&amp;"|"&amp;A1310)</f>
        <v/>
      </c>
      <c r="N1310" s="2">
        <f>IF(M1310="","",SUMIFS(TF_Timer,TF_Nokkel,M1310,TF_Akt,C1310))</f>
        <v/>
      </c>
      <c r="O1310" s="2">
        <f>IF(M1310="","",IF(AND(N1310=_xlfn.MAXIFS(TF_AktSum,TF_Nokkel,M1310),COUNTIFS(M$3:M1309,M1310,N$3:N1309,N1310)=0),M1310,""))</f>
        <v/>
      </c>
    </row>
    <row r="1311">
      <c r="A1311" s="34" t="n"/>
      <c r="B1311" s="35" t="n"/>
      <c r="C1311" s="35" t="n"/>
      <c r="D1311" s="35" t="n"/>
      <c r="E1311" s="35" t="n"/>
      <c r="F1311" s="36" t="n"/>
      <c r="G1311" s="35" t="n"/>
      <c r="H1311" s="30">
        <f>IF(L1311="","",INDEX(SkiftNavn,L1311))</f>
        <v/>
      </c>
      <c r="I1311" s="30">
        <f>IF(OR(A1311="",L1311=""),"",IF(MOD(A1311-INDEX(SkiftStart,L1311),Syklus)&lt;DagK,"Kveld",IF(MOD(A1311-INDEX(SkiftStart,L1311),Syklus)&lt;DagK+DagH,"Helg",IF(MOD(A1311-INDEX(SkiftStart,L1311),Syklus)&lt;DagK+DagH+DagD,"Dag","Fri"))))</f>
        <v/>
      </c>
      <c r="J1311" s="30">
        <f>IF(I1311="Fri","Ja","")</f>
        <v/>
      </c>
      <c r="K1311" s="30">
        <f>IF(B1311="","",IF(L1311="","Ukjent tekniker",IF(ISNA(MATCH(C1311,Aktiviteter,0)),"Ukjent aktivitet",IF(AND(INDEX(AktRolle,MATCH(C1311,Aktiviteter,0))&amp;""&lt;&gt;"",ISERROR(SEARCH(INDEX(AktRolle,MATCH(C1311,Aktiviteter,0))&amp;"",INDEX(TekRoller,MATCH(B1311,Teknikere,0))))),"Mangler rollen "&amp;INDEX(AktRolle,MATCH(C1311,Aktiviteter,0))&amp;"",IF(AND(C1311="LMS",F1311&gt;0,OR(D1311="",E1311="")),"Mangler maskin eller arbeid",IF(AND(OR(C1311="LMS",C1311="Mod"),D1311&lt;&gt;""),IF(IFERROR(INDEX(MaskinStatus,MATCH(D1311,Maskiner,0)),"")="I dokk","","Maskinen er ikke i dokk"),""))))))</f>
        <v/>
      </c>
      <c r="L1311" s="2">
        <f>IF(B1311="","",IFERROR(INT((MATCH(B1311,Teknikere,0)-1)/18)+1,""))</f>
        <v/>
      </c>
      <c r="M1311" s="2">
        <f>IF(OR(A1311="",B1311=""),"",B1311&amp;"|"&amp;A1311)</f>
        <v/>
      </c>
      <c r="N1311" s="2">
        <f>IF(M1311="","",SUMIFS(TF_Timer,TF_Nokkel,M1311,TF_Akt,C1311))</f>
        <v/>
      </c>
      <c r="O1311" s="2">
        <f>IF(M1311="","",IF(AND(N1311=_xlfn.MAXIFS(TF_AktSum,TF_Nokkel,M1311),COUNTIFS(M$3:M1310,M1311,N$3:N1310,N1311)=0),M1311,""))</f>
        <v/>
      </c>
    </row>
    <row r="1312">
      <c r="A1312" s="34" t="n"/>
      <c r="B1312" s="35" t="n"/>
      <c r="C1312" s="35" t="n"/>
      <c r="D1312" s="35" t="n"/>
      <c r="E1312" s="35" t="n"/>
      <c r="F1312" s="36" t="n"/>
      <c r="G1312" s="35" t="n"/>
      <c r="H1312" s="30">
        <f>IF(L1312="","",INDEX(SkiftNavn,L1312))</f>
        <v/>
      </c>
      <c r="I1312" s="30">
        <f>IF(OR(A1312="",L1312=""),"",IF(MOD(A1312-INDEX(SkiftStart,L1312),Syklus)&lt;DagK,"Kveld",IF(MOD(A1312-INDEX(SkiftStart,L1312),Syklus)&lt;DagK+DagH,"Helg",IF(MOD(A1312-INDEX(SkiftStart,L1312),Syklus)&lt;DagK+DagH+DagD,"Dag","Fri"))))</f>
        <v/>
      </c>
      <c r="J1312" s="30">
        <f>IF(I1312="Fri","Ja","")</f>
        <v/>
      </c>
      <c r="K1312" s="30">
        <f>IF(B1312="","",IF(L1312="","Ukjent tekniker",IF(ISNA(MATCH(C1312,Aktiviteter,0)),"Ukjent aktivitet",IF(AND(INDEX(AktRolle,MATCH(C1312,Aktiviteter,0))&amp;""&lt;&gt;"",ISERROR(SEARCH(INDEX(AktRolle,MATCH(C1312,Aktiviteter,0))&amp;"",INDEX(TekRoller,MATCH(B1312,Teknikere,0))))),"Mangler rollen "&amp;INDEX(AktRolle,MATCH(C1312,Aktiviteter,0))&amp;"",IF(AND(C1312="LMS",F1312&gt;0,OR(D1312="",E1312="")),"Mangler maskin eller arbeid",IF(AND(OR(C1312="LMS",C1312="Mod"),D1312&lt;&gt;""),IF(IFERROR(INDEX(MaskinStatus,MATCH(D1312,Maskiner,0)),"")="I dokk","","Maskinen er ikke i dokk"),""))))))</f>
        <v/>
      </c>
      <c r="L1312" s="2">
        <f>IF(B1312="","",IFERROR(INT((MATCH(B1312,Teknikere,0)-1)/18)+1,""))</f>
        <v/>
      </c>
      <c r="M1312" s="2">
        <f>IF(OR(A1312="",B1312=""),"",B1312&amp;"|"&amp;A1312)</f>
        <v/>
      </c>
      <c r="N1312" s="2">
        <f>IF(M1312="","",SUMIFS(TF_Timer,TF_Nokkel,M1312,TF_Akt,C1312))</f>
        <v/>
      </c>
      <c r="O1312" s="2">
        <f>IF(M1312="","",IF(AND(N1312=_xlfn.MAXIFS(TF_AktSum,TF_Nokkel,M1312),COUNTIFS(M$3:M1311,M1312,N$3:N1311,N1312)=0),M1312,""))</f>
        <v/>
      </c>
    </row>
    <row r="1313">
      <c r="A1313" s="34" t="n"/>
      <c r="B1313" s="35" t="n"/>
      <c r="C1313" s="35" t="n"/>
      <c r="D1313" s="35" t="n"/>
      <c r="E1313" s="35" t="n"/>
      <c r="F1313" s="36" t="n"/>
      <c r="G1313" s="35" t="n"/>
      <c r="H1313" s="30">
        <f>IF(L1313="","",INDEX(SkiftNavn,L1313))</f>
        <v/>
      </c>
      <c r="I1313" s="30">
        <f>IF(OR(A1313="",L1313=""),"",IF(MOD(A1313-INDEX(SkiftStart,L1313),Syklus)&lt;DagK,"Kveld",IF(MOD(A1313-INDEX(SkiftStart,L1313),Syklus)&lt;DagK+DagH,"Helg",IF(MOD(A1313-INDEX(SkiftStart,L1313),Syklus)&lt;DagK+DagH+DagD,"Dag","Fri"))))</f>
        <v/>
      </c>
      <c r="J1313" s="30">
        <f>IF(I1313="Fri","Ja","")</f>
        <v/>
      </c>
      <c r="K1313" s="30">
        <f>IF(B1313="","",IF(L1313="","Ukjent tekniker",IF(ISNA(MATCH(C1313,Aktiviteter,0)),"Ukjent aktivitet",IF(AND(INDEX(AktRolle,MATCH(C1313,Aktiviteter,0))&amp;""&lt;&gt;"",ISERROR(SEARCH(INDEX(AktRolle,MATCH(C1313,Aktiviteter,0))&amp;"",INDEX(TekRoller,MATCH(B1313,Teknikere,0))))),"Mangler rollen "&amp;INDEX(AktRolle,MATCH(C1313,Aktiviteter,0))&amp;"",IF(AND(C1313="LMS",F1313&gt;0,OR(D1313="",E1313="")),"Mangler maskin eller arbeid",IF(AND(OR(C1313="LMS",C1313="Mod"),D1313&lt;&gt;""),IF(IFERROR(INDEX(MaskinStatus,MATCH(D1313,Maskiner,0)),"")="I dokk","","Maskinen er ikke i dokk"),""))))))</f>
        <v/>
      </c>
      <c r="L1313" s="2">
        <f>IF(B1313="","",IFERROR(INT((MATCH(B1313,Teknikere,0)-1)/18)+1,""))</f>
        <v/>
      </c>
      <c r="M1313" s="2">
        <f>IF(OR(A1313="",B1313=""),"",B1313&amp;"|"&amp;A1313)</f>
        <v/>
      </c>
      <c r="N1313" s="2">
        <f>IF(M1313="","",SUMIFS(TF_Timer,TF_Nokkel,M1313,TF_Akt,C1313))</f>
        <v/>
      </c>
      <c r="O1313" s="2">
        <f>IF(M1313="","",IF(AND(N1313=_xlfn.MAXIFS(TF_AktSum,TF_Nokkel,M1313),COUNTIFS(M$3:M1312,M1313,N$3:N1312,N1313)=0),M1313,""))</f>
        <v/>
      </c>
    </row>
    <row r="1314">
      <c r="A1314" s="34" t="n"/>
      <c r="B1314" s="35" t="n"/>
      <c r="C1314" s="35" t="n"/>
      <c r="D1314" s="35" t="n"/>
      <c r="E1314" s="35" t="n"/>
      <c r="F1314" s="36" t="n"/>
      <c r="G1314" s="35" t="n"/>
      <c r="H1314" s="30">
        <f>IF(L1314="","",INDEX(SkiftNavn,L1314))</f>
        <v/>
      </c>
      <c r="I1314" s="30">
        <f>IF(OR(A1314="",L1314=""),"",IF(MOD(A1314-INDEX(SkiftStart,L1314),Syklus)&lt;DagK,"Kveld",IF(MOD(A1314-INDEX(SkiftStart,L1314),Syklus)&lt;DagK+DagH,"Helg",IF(MOD(A1314-INDEX(SkiftStart,L1314),Syklus)&lt;DagK+DagH+DagD,"Dag","Fri"))))</f>
        <v/>
      </c>
      <c r="J1314" s="30">
        <f>IF(I1314="Fri","Ja","")</f>
        <v/>
      </c>
      <c r="K1314" s="30">
        <f>IF(B1314="","",IF(L1314="","Ukjent tekniker",IF(ISNA(MATCH(C1314,Aktiviteter,0)),"Ukjent aktivitet",IF(AND(INDEX(AktRolle,MATCH(C1314,Aktiviteter,0))&amp;""&lt;&gt;"",ISERROR(SEARCH(INDEX(AktRolle,MATCH(C1314,Aktiviteter,0))&amp;"",INDEX(TekRoller,MATCH(B1314,Teknikere,0))))),"Mangler rollen "&amp;INDEX(AktRolle,MATCH(C1314,Aktiviteter,0))&amp;"",IF(AND(C1314="LMS",F1314&gt;0,OR(D1314="",E1314="")),"Mangler maskin eller arbeid",IF(AND(OR(C1314="LMS",C1314="Mod"),D1314&lt;&gt;""),IF(IFERROR(INDEX(MaskinStatus,MATCH(D1314,Maskiner,0)),"")="I dokk","","Maskinen er ikke i dokk"),""))))))</f>
        <v/>
      </c>
      <c r="L1314" s="2">
        <f>IF(B1314="","",IFERROR(INT((MATCH(B1314,Teknikere,0)-1)/18)+1,""))</f>
        <v/>
      </c>
      <c r="M1314" s="2">
        <f>IF(OR(A1314="",B1314=""),"",B1314&amp;"|"&amp;A1314)</f>
        <v/>
      </c>
      <c r="N1314" s="2">
        <f>IF(M1314="","",SUMIFS(TF_Timer,TF_Nokkel,M1314,TF_Akt,C1314))</f>
        <v/>
      </c>
      <c r="O1314" s="2">
        <f>IF(M1314="","",IF(AND(N1314=_xlfn.MAXIFS(TF_AktSum,TF_Nokkel,M1314),COUNTIFS(M$3:M1313,M1314,N$3:N1313,N1314)=0),M1314,""))</f>
        <v/>
      </c>
    </row>
    <row r="1315">
      <c r="A1315" s="34" t="n"/>
      <c r="B1315" s="35" t="n"/>
      <c r="C1315" s="35" t="n"/>
      <c r="D1315" s="35" t="n"/>
      <c r="E1315" s="35" t="n"/>
      <c r="F1315" s="36" t="n"/>
      <c r="G1315" s="35" t="n"/>
      <c r="H1315" s="30">
        <f>IF(L1315="","",INDEX(SkiftNavn,L1315))</f>
        <v/>
      </c>
      <c r="I1315" s="30">
        <f>IF(OR(A1315="",L1315=""),"",IF(MOD(A1315-INDEX(SkiftStart,L1315),Syklus)&lt;DagK,"Kveld",IF(MOD(A1315-INDEX(SkiftStart,L1315),Syklus)&lt;DagK+DagH,"Helg",IF(MOD(A1315-INDEX(SkiftStart,L1315),Syklus)&lt;DagK+DagH+DagD,"Dag","Fri"))))</f>
        <v/>
      </c>
      <c r="J1315" s="30">
        <f>IF(I1315="Fri","Ja","")</f>
        <v/>
      </c>
      <c r="K1315" s="30">
        <f>IF(B1315="","",IF(L1315="","Ukjent tekniker",IF(ISNA(MATCH(C1315,Aktiviteter,0)),"Ukjent aktivitet",IF(AND(INDEX(AktRolle,MATCH(C1315,Aktiviteter,0))&amp;""&lt;&gt;"",ISERROR(SEARCH(INDEX(AktRolle,MATCH(C1315,Aktiviteter,0))&amp;"",INDEX(TekRoller,MATCH(B1315,Teknikere,0))))),"Mangler rollen "&amp;INDEX(AktRolle,MATCH(C1315,Aktiviteter,0))&amp;"",IF(AND(C1315="LMS",F1315&gt;0,OR(D1315="",E1315="")),"Mangler maskin eller arbeid",IF(AND(OR(C1315="LMS",C1315="Mod"),D1315&lt;&gt;""),IF(IFERROR(INDEX(MaskinStatus,MATCH(D1315,Maskiner,0)),"")="I dokk","","Maskinen er ikke i dokk"),""))))))</f>
        <v/>
      </c>
      <c r="L1315" s="2">
        <f>IF(B1315="","",IFERROR(INT((MATCH(B1315,Teknikere,0)-1)/18)+1,""))</f>
        <v/>
      </c>
      <c r="M1315" s="2">
        <f>IF(OR(A1315="",B1315=""),"",B1315&amp;"|"&amp;A1315)</f>
        <v/>
      </c>
      <c r="N1315" s="2">
        <f>IF(M1315="","",SUMIFS(TF_Timer,TF_Nokkel,M1315,TF_Akt,C1315))</f>
        <v/>
      </c>
      <c r="O1315" s="2">
        <f>IF(M1315="","",IF(AND(N1315=_xlfn.MAXIFS(TF_AktSum,TF_Nokkel,M1315),COUNTIFS(M$3:M1314,M1315,N$3:N1314,N1315)=0),M1315,""))</f>
        <v/>
      </c>
    </row>
    <row r="1316">
      <c r="A1316" s="34" t="n"/>
      <c r="B1316" s="35" t="n"/>
      <c r="C1316" s="35" t="n"/>
      <c r="D1316" s="35" t="n"/>
      <c r="E1316" s="35" t="n"/>
      <c r="F1316" s="36" t="n"/>
      <c r="G1316" s="35" t="n"/>
      <c r="H1316" s="30">
        <f>IF(L1316="","",INDEX(SkiftNavn,L1316))</f>
        <v/>
      </c>
      <c r="I1316" s="30">
        <f>IF(OR(A1316="",L1316=""),"",IF(MOD(A1316-INDEX(SkiftStart,L1316),Syklus)&lt;DagK,"Kveld",IF(MOD(A1316-INDEX(SkiftStart,L1316),Syklus)&lt;DagK+DagH,"Helg",IF(MOD(A1316-INDEX(SkiftStart,L1316),Syklus)&lt;DagK+DagH+DagD,"Dag","Fri"))))</f>
        <v/>
      </c>
      <c r="J1316" s="30">
        <f>IF(I1316="Fri","Ja","")</f>
        <v/>
      </c>
      <c r="K1316" s="30">
        <f>IF(B1316="","",IF(L1316="","Ukjent tekniker",IF(ISNA(MATCH(C1316,Aktiviteter,0)),"Ukjent aktivitet",IF(AND(INDEX(AktRolle,MATCH(C1316,Aktiviteter,0))&amp;""&lt;&gt;"",ISERROR(SEARCH(INDEX(AktRolle,MATCH(C1316,Aktiviteter,0))&amp;"",INDEX(TekRoller,MATCH(B1316,Teknikere,0))))),"Mangler rollen "&amp;INDEX(AktRolle,MATCH(C1316,Aktiviteter,0))&amp;"",IF(AND(C1316="LMS",F1316&gt;0,OR(D1316="",E1316="")),"Mangler maskin eller arbeid",IF(AND(OR(C1316="LMS",C1316="Mod"),D1316&lt;&gt;""),IF(IFERROR(INDEX(MaskinStatus,MATCH(D1316,Maskiner,0)),"")="I dokk","","Maskinen er ikke i dokk"),""))))))</f>
        <v/>
      </c>
      <c r="L1316" s="2">
        <f>IF(B1316="","",IFERROR(INT((MATCH(B1316,Teknikere,0)-1)/18)+1,""))</f>
        <v/>
      </c>
      <c r="M1316" s="2">
        <f>IF(OR(A1316="",B1316=""),"",B1316&amp;"|"&amp;A1316)</f>
        <v/>
      </c>
      <c r="N1316" s="2">
        <f>IF(M1316="","",SUMIFS(TF_Timer,TF_Nokkel,M1316,TF_Akt,C1316))</f>
        <v/>
      </c>
      <c r="O1316" s="2">
        <f>IF(M1316="","",IF(AND(N1316=_xlfn.MAXIFS(TF_AktSum,TF_Nokkel,M1316),COUNTIFS(M$3:M1315,M1316,N$3:N1315,N1316)=0),M1316,""))</f>
        <v/>
      </c>
    </row>
    <row r="1317">
      <c r="A1317" s="34" t="n"/>
      <c r="B1317" s="35" t="n"/>
      <c r="C1317" s="35" t="n"/>
      <c r="D1317" s="35" t="n"/>
      <c r="E1317" s="35" t="n"/>
      <c r="F1317" s="36" t="n"/>
      <c r="G1317" s="35" t="n"/>
      <c r="H1317" s="30">
        <f>IF(L1317="","",INDEX(SkiftNavn,L1317))</f>
        <v/>
      </c>
      <c r="I1317" s="30">
        <f>IF(OR(A1317="",L1317=""),"",IF(MOD(A1317-INDEX(SkiftStart,L1317),Syklus)&lt;DagK,"Kveld",IF(MOD(A1317-INDEX(SkiftStart,L1317),Syklus)&lt;DagK+DagH,"Helg",IF(MOD(A1317-INDEX(SkiftStart,L1317),Syklus)&lt;DagK+DagH+DagD,"Dag","Fri"))))</f>
        <v/>
      </c>
      <c r="J1317" s="30">
        <f>IF(I1317="Fri","Ja","")</f>
        <v/>
      </c>
      <c r="K1317" s="30">
        <f>IF(B1317="","",IF(L1317="","Ukjent tekniker",IF(ISNA(MATCH(C1317,Aktiviteter,0)),"Ukjent aktivitet",IF(AND(INDEX(AktRolle,MATCH(C1317,Aktiviteter,0))&amp;""&lt;&gt;"",ISERROR(SEARCH(INDEX(AktRolle,MATCH(C1317,Aktiviteter,0))&amp;"",INDEX(TekRoller,MATCH(B1317,Teknikere,0))))),"Mangler rollen "&amp;INDEX(AktRolle,MATCH(C1317,Aktiviteter,0))&amp;"",IF(AND(C1317="LMS",F1317&gt;0,OR(D1317="",E1317="")),"Mangler maskin eller arbeid",IF(AND(OR(C1317="LMS",C1317="Mod"),D1317&lt;&gt;""),IF(IFERROR(INDEX(MaskinStatus,MATCH(D1317,Maskiner,0)),"")="I dokk","","Maskinen er ikke i dokk"),""))))))</f>
        <v/>
      </c>
      <c r="L1317" s="2">
        <f>IF(B1317="","",IFERROR(INT((MATCH(B1317,Teknikere,0)-1)/18)+1,""))</f>
        <v/>
      </c>
      <c r="M1317" s="2">
        <f>IF(OR(A1317="",B1317=""),"",B1317&amp;"|"&amp;A1317)</f>
        <v/>
      </c>
      <c r="N1317" s="2">
        <f>IF(M1317="","",SUMIFS(TF_Timer,TF_Nokkel,M1317,TF_Akt,C1317))</f>
        <v/>
      </c>
      <c r="O1317" s="2">
        <f>IF(M1317="","",IF(AND(N1317=_xlfn.MAXIFS(TF_AktSum,TF_Nokkel,M1317),COUNTIFS(M$3:M1316,M1317,N$3:N1316,N1317)=0),M1317,""))</f>
        <v/>
      </c>
    </row>
    <row r="1318">
      <c r="A1318" s="34" t="n"/>
      <c r="B1318" s="35" t="n"/>
      <c r="C1318" s="35" t="n"/>
      <c r="D1318" s="35" t="n"/>
      <c r="E1318" s="35" t="n"/>
      <c r="F1318" s="36" t="n"/>
      <c r="G1318" s="35" t="n"/>
      <c r="H1318" s="30">
        <f>IF(L1318="","",INDEX(SkiftNavn,L1318))</f>
        <v/>
      </c>
      <c r="I1318" s="30">
        <f>IF(OR(A1318="",L1318=""),"",IF(MOD(A1318-INDEX(SkiftStart,L1318),Syklus)&lt;DagK,"Kveld",IF(MOD(A1318-INDEX(SkiftStart,L1318),Syklus)&lt;DagK+DagH,"Helg",IF(MOD(A1318-INDEX(SkiftStart,L1318),Syklus)&lt;DagK+DagH+DagD,"Dag","Fri"))))</f>
        <v/>
      </c>
      <c r="J1318" s="30">
        <f>IF(I1318="Fri","Ja","")</f>
        <v/>
      </c>
      <c r="K1318" s="30">
        <f>IF(B1318="","",IF(L1318="","Ukjent tekniker",IF(ISNA(MATCH(C1318,Aktiviteter,0)),"Ukjent aktivitet",IF(AND(INDEX(AktRolle,MATCH(C1318,Aktiviteter,0))&amp;""&lt;&gt;"",ISERROR(SEARCH(INDEX(AktRolle,MATCH(C1318,Aktiviteter,0))&amp;"",INDEX(TekRoller,MATCH(B1318,Teknikere,0))))),"Mangler rollen "&amp;INDEX(AktRolle,MATCH(C1318,Aktiviteter,0))&amp;"",IF(AND(C1318="LMS",F1318&gt;0,OR(D1318="",E1318="")),"Mangler maskin eller arbeid",IF(AND(OR(C1318="LMS",C1318="Mod"),D1318&lt;&gt;""),IF(IFERROR(INDEX(MaskinStatus,MATCH(D1318,Maskiner,0)),"")="I dokk","","Maskinen er ikke i dokk"),""))))))</f>
        <v/>
      </c>
      <c r="L1318" s="2">
        <f>IF(B1318="","",IFERROR(INT((MATCH(B1318,Teknikere,0)-1)/18)+1,""))</f>
        <v/>
      </c>
      <c r="M1318" s="2">
        <f>IF(OR(A1318="",B1318=""),"",B1318&amp;"|"&amp;A1318)</f>
        <v/>
      </c>
      <c r="N1318" s="2">
        <f>IF(M1318="","",SUMIFS(TF_Timer,TF_Nokkel,M1318,TF_Akt,C1318))</f>
        <v/>
      </c>
      <c r="O1318" s="2">
        <f>IF(M1318="","",IF(AND(N1318=_xlfn.MAXIFS(TF_AktSum,TF_Nokkel,M1318),COUNTIFS(M$3:M1317,M1318,N$3:N1317,N1318)=0),M1318,""))</f>
        <v/>
      </c>
    </row>
    <row r="1319">
      <c r="A1319" s="34" t="n"/>
      <c r="B1319" s="35" t="n"/>
      <c r="C1319" s="35" t="n"/>
      <c r="D1319" s="35" t="n"/>
      <c r="E1319" s="35" t="n"/>
      <c r="F1319" s="36" t="n"/>
      <c r="G1319" s="35" t="n"/>
      <c r="H1319" s="30">
        <f>IF(L1319="","",INDEX(SkiftNavn,L1319))</f>
        <v/>
      </c>
      <c r="I1319" s="30">
        <f>IF(OR(A1319="",L1319=""),"",IF(MOD(A1319-INDEX(SkiftStart,L1319),Syklus)&lt;DagK,"Kveld",IF(MOD(A1319-INDEX(SkiftStart,L1319),Syklus)&lt;DagK+DagH,"Helg",IF(MOD(A1319-INDEX(SkiftStart,L1319),Syklus)&lt;DagK+DagH+DagD,"Dag","Fri"))))</f>
        <v/>
      </c>
      <c r="J1319" s="30">
        <f>IF(I1319="Fri","Ja","")</f>
        <v/>
      </c>
      <c r="K1319" s="30">
        <f>IF(B1319="","",IF(L1319="","Ukjent tekniker",IF(ISNA(MATCH(C1319,Aktiviteter,0)),"Ukjent aktivitet",IF(AND(INDEX(AktRolle,MATCH(C1319,Aktiviteter,0))&amp;""&lt;&gt;"",ISERROR(SEARCH(INDEX(AktRolle,MATCH(C1319,Aktiviteter,0))&amp;"",INDEX(TekRoller,MATCH(B1319,Teknikere,0))))),"Mangler rollen "&amp;INDEX(AktRolle,MATCH(C1319,Aktiviteter,0))&amp;"",IF(AND(C1319="LMS",F1319&gt;0,OR(D1319="",E1319="")),"Mangler maskin eller arbeid",IF(AND(OR(C1319="LMS",C1319="Mod"),D1319&lt;&gt;""),IF(IFERROR(INDEX(MaskinStatus,MATCH(D1319,Maskiner,0)),"")="I dokk","","Maskinen er ikke i dokk"),""))))))</f>
        <v/>
      </c>
      <c r="L1319" s="2">
        <f>IF(B1319="","",IFERROR(INT((MATCH(B1319,Teknikere,0)-1)/18)+1,""))</f>
        <v/>
      </c>
      <c r="M1319" s="2">
        <f>IF(OR(A1319="",B1319=""),"",B1319&amp;"|"&amp;A1319)</f>
        <v/>
      </c>
      <c r="N1319" s="2">
        <f>IF(M1319="","",SUMIFS(TF_Timer,TF_Nokkel,M1319,TF_Akt,C1319))</f>
        <v/>
      </c>
      <c r="O1319" s="2">
        <f>IF(M1319="","",IF(AND(N1319=_xlfn.MAXIFS(TF_AktSum,TF_Nokkel,M1319),COUNTIFS(M$3:M1318,M1319,N$3:N1318,N1319)=0),M1319,""))</f>
        <v/>
      </c>
    </row>
    <row r="1320">
      <c r="A1320" s="34" t="n"/>
      <c r="B1320" s="35" t="n"/>
      <c r="C1320" s="35" t="n"/>
      <c r="D1320" s="35" t="n"/>
      <c r="E1320" s="35" t="n"/>
      <c r="F1320" s="36" t="n"/>
      <c r="G1320" s="35" t="n"/>
      <c r="H1320" s="30">
        <f>IF(L1320="","",INDEX(SkiftNavn,L1320))</f>
        <v/>
      </c>
      <c r="I1320" s="30">
        <f>IF(OR(A1320="",L1320=""),"",IF(MOD(A1320-INDEX(SkiftStart,L1320),Syklus)&lt;DagK,"Kveld",IF(MOD(A1320-INDEX(SkiftStart,L1320),Syklus)&lt;DagK+DagH,"Helg",IF(MOD(A1320-INDEX(SkiftStart,L1320),Syklus)&lt;DagK+DagH+DagD,"Dag","Fri"))))</f>
        <v/>
      </c>
      <c r="J1320" s="30">
        <f>IF(I1320="Fri","Ja","")</f>
        <v/>
      </c>
      <c r="K1320" s="30">
        <f>IF(B1320="","",IF(L1320="","Ukjent tekniker",IF(ISNA(MATCH(C1320,Aktiviteter,0)),"Ukjent aktivitet",IF(AND(INDEX(AktRolle,MATCH(C1320,Aktiviteter,0))&amp;""&lt;&gt;"",ISERROR(SEARCH(INDEX(AktRolle,MATCH(C1320,Aktiviteter,0))&amp;"",INDEX(TekRoller,MATCH(B1320,Teknikere,0))))),"Mangler rollen "&amp;INDEX(AktRolle,MATCH(C1320,Aktiviteter,0))&amp;"",IF(AND(C1320="LMS",F1320&gt;0,OR(D1320="",E1320="")),"Mangler maskin eller arbeid",IF(AND(OR(C1320="LMS",C1320="Mod"),D1320&lt;&gt;""),IF(IFERROR(INDEX(MaskinStatus,MATCH(D1320,Maskiner,0)),"")="I dokk","","Maskinen er ikke i dokk"),""))))))</f>
        <v/>
      </c>
      <c r="L1320" s="2">
        <f>IF(B1320="","",IFERROR(INT((MATCH(B1320,Teknikere,0)-1)/18)+1,""))</f>
        <v/>
      </c>
      <c r="M1320" s="2">
        <f>IF(OR(A1320="",B1320=""),"",B1320&amp;"|"&amp;A1320)</f>
        <v/>
      </c>
      <c r="N1320" s="2">
        <f>IF(M1320="","",SUMIFS(TF_Timer,TF_Nokkel,M1320,TF_Akt,C1320))</f>
        <v/>
      </c>
      <c r="O1320" s="2">
        <f>IF(M1320="","",IF(AND(N1320=_xlfn.MAXIFS(TF_AktSum,TF_Nokkel,M1320),COUNTIFS(M$3:M1319,M1320,N$3:N1319,N1320)=0),M1320,""))</f>
        <v/>
      </c>
    </row>
    <row r="1321">
      <c r="A1321" s="34" t="n"/>
      <c r="B1321" s="35" t="n"/>
      <c r="C1321" s="35" t="n"/>
      <c r="D1321" s="35" t="n"/>
      <c r="E1321" s="35" t="n"/>
      <c r="F1321" s="36" t="n"/>
      <c r="G1321" s="35" t="n"/>
      <c r="H1321" s="30">
        <f>IF(L1321="","",INDEX(SkiftNavn,L1321))</f>
        <v/>
      </c>
      <c r="I1321" s="30">
        <f>IF(OR(A1321="",L1321=""),"",IF(MOD(A1321-INDEX(SkiftStart,L1321),Syklus)&lt;DagK,"Kveld",IF(MOD(A1321-INDEX(SkiftStart,L1321),Syklus)&lt;DagK+DagH,"Helg",IF(MOD(A1321-INDEX(SkiftStart,L1321),Syklus)&lt;DagK+DagH+DagD,"Dag","Fri"))))</f>
        <v/>
      </c>
      <c r="J1321" s="30">
        <f>IF(I1321="Fri","Ja","")</f>
        <v/>
      </c>
      <c r="K1321" s="30">
        <f>IF(B1321="","",IF(L1321="","Ukjent tekniker",IF(ISNA(MATCH(C1321,Aktiviteter,0)),"Ukjent aktivitet",IF(AND(INDEX(AktRolle,MATCH(C1321,Aktiviteter,0))&amp;""&lt;&gt;"",ISERROR(SEARCH(INDEX(AktRolle,MATCH(C1321,Aktiviteter,0))&amp;"",INDEX(TekRoller,MATCH(B1321,Teknikere,0))))),"Mangler rollen "&amp;INDEX(AktRolle,MATCH(C1321,Aktiviteter,0))&amp;"",IF(AND(C1321="LMS",F1321&gt;0,OR(D1321="",E1321="")),"Mangler maskin eller arbeid",IF(AND(OR(C1321="LMS",C1321="Mod"),D1321&lt;&gt;""),IF(IFERROR(INDEX(MaskinStatus,MATCH(D1321,Maskiner,0)),"")="I dokk","","Maskinen er ikke i dokk"),""))))))</f>
        <v/>
      </c>
      <c r="L1321" s="2">
        <f>IF(B1321="","",IFERROR(INT((MATCH(B1321,Teknikere,0)-1)/18)+1,""))</f>
        <v/>
      </c>
      <c r="M1321" s="2">
        <f>IF(OR(A1321="",B1321=""),"",B1321&amp;"|"&amp;A1321)</f>
        <v/>
      </c>
      <c r="N1321" s="2">
        <f>IF(M1321="","",SUMIFS(TF_Timer,TF_Nokkel,M1321,TF_Akt,C1321))</f>
        <v/>
      </c>
      <c r="O1321" s="2">
        <f>IF(M1321="","",IF(AND(N1321=_xlfn.MAXIFS(TF_AktSum,TF_Nokkel,M1321),COUNTIFS(M$3:M1320,M1321,N$3:N1320,N1321)=0),M1321,""))</f>
        <v/>
      </c>
    </row>
    <row r="1322">
      <c r="A1322" s="34" t="n"/>
      <c r="B1322" s="35" t="n"/>
      <c r="C1322" s="35" t="n"/>
      <c r="D1322" s="35" t="n"/>
      <c r="E1322" s="35" t="n"/>
      <c r="F1322" s="36" t="n"/>
      <c r="G1322" s="35" t="n"/>
      <c r="H1322" s="30">
        <f>IF(L1322="","",INDEX(SkiftNavn,L1322))</f>
        <v/>
      </c>
      <c r="I1322" s="30">
        <f>IF(OR(A1322="",L1322=""),"",IF(MOD(A1322-INDEX(SkiftStart,L1322),Syklus)&lt;DagK,"Kveld",IF(MOD(A1322-INDEX(SkiftStart,L1322),Syklus)&lt;DagK+DagH,"Helg",IF(MOD(A1322-INDEX(SkiftStart,L1322),Syklus)&lt;DagK+DagH+DagD,"Dag","Fri"))))</f>
        <v/>
      </c>
      <c r="J1322" s="30">
        <f>IF(I1322="Fri","Ja","")</f>
        <v/>
      </c>
      <c r="K1322" s="30">
        <f>IF(B1322="","",IF(L1322="","Ukjent tekniker",IF(ISNA(MATCH(C1322,Aktiviteter,0)),"Ukjent aktivitet",IF(AND(INDEX(AktRolle,MATCH(C1322,Aktiviteter,0))&amp;""&lt;&gt;"",ISERROR(SEARCH(INDEX(AktRolle,MATCH(C1322,Aktiviteter,0))&amp;"",INDEX(TekRoller,MATCH(B1322,Teknikere,0))))),"Mangler rollen "&amp;INDEX(AktRolle,MATCH(C1322,Aktiviteter,0))&amp;"",IF(AND(C1322="LMS",F1322&gt;0,OR(D1322="",E1322="")),"Mangler maskin eller arbeid",IF(AND(OR(C1322="LMS",C1322="Mod"),D1322&lt;&gt;""),IF(IFERROR(INDEX(MaskinStatus,MATCH(D1322,Maskiner,0)),"")="I dokk","","Maskinen er ikke i dokk"),""))))))</f>
        <v/>
      </c>
      <c r="L1322" s="2">
        <f>IF(B1322="","",IFERROR(INT((MATCH(B1322,Teknikere,0)-1)/18)+1,""))</f>
        <v/>
      </c>
      <c r="M1322" s="2">
        <f>IF(OR(A1322="",B1322=""),"",B1322&amp;"|"&amp;A1322)</f>
        <v/>
      </c>
      <c r="N1322" s="2">
        <f>IF(M1322="","",SUMIFS(TF_Timer,TF_Nokkel,M1322,TF_Akt,C1322))</f>
        <v/>
      </c>
      <c r="O1322" s="2">
        <f>IF(M1322="","",IF(AND(N1322=_xlfn.MAXIFS(TF_AktSum,TF_Nokkel,M1322),COUNTIFS(M$3:M1321,M1322,N$3:N1321,N1322)=0),M1322,""))</f>
        <v/>
      </c>
    </row>
    <row r="1323">
      <c r="A1323" s="34" t="n"/>
      <c r="B1323" s="35" t="n"/>
      <c r="C1323" s="35" t="n"/>
      <c r="D1323" s="35" t="n"/>
      <c r="E1323" s="35" t="n"/>
      <c r="F1323" s="36" t="n"/>
      <c r="G1323" s="35" t="n"/>
      <c r="H1323" s="30">
        <f>IF(L1323="","",INDEX(SkiftNavn,L1323))</f>
        <v/>
      </c>
      <c r="I1323" s="30">
        <f>IF(OR(A1323="",L1323=""),"",IF(MOD(A1323-INDEX(SkiftStart,L1323),Syklus)&lt;DagK,"Kveld",IF(MOD(A1323-INDEX(SkiftStart,L1323),Syklus)&lt;DagK+DagH,"Helg",IF(MOD(A1323-INDEX(SkiftStart,L1323),Syklus)&lt;DagK+DagH+DagD,"Dag","Fri"))))</f>
        <v/>
      </c>
      <c r="J1323" s="30">
        <f>IF(I1323="Fri","Ja","")</f>
        <v/>
      </c>
      <c r="K1323" s="30">
        <f>IF(B1323="","",IF(L1323="","Ukjent tekniker",IF(ISNA(MATCH(C1323,Aktiviteter,0)),"Ukjent aktivitet",IF(AND(INDEX(AktRolle,MATCH(C1323,Aktiviteter,0))&amp;""&lt;&gt;"",ISERROR(SEARCH(INDEX(AktRolle,MATCH(C1323,Aktiviteter,0))&amp;"",INDEX(TekRoller,MATCH(B1323,Teknikere,0))))),"Mangler rollen "&amp;INDEX(AktRolle,MATCH(C1323,Aktiviteter,0))&amp;"",IF(AND(C1323="LMS",F1323&gt;0,OR(D1323="",E1323="")),"Mangler maskin eller arbeid",IF(AND(OR(C1323="LMS",C1323="Mod"),D1323&lt;&gt;""),IF(IFERROR(INDEX(MaskinStatus,MATCH(D1323,Maskiner,0)),"")="I dokk","","Maskinen er ikke i dokk"),""))))))</f>
        <v/>
      </c>
      <c r="L1323" s="2">
        <f>IF(B1323="","",IFERROR(INT((MATCH(B1323,Teknikere,0)-1)/18)+1,""))</f>
        <v/>
      </c>
      <c r="M1323" s="2">
        <f>IF(OR(A1323="",B1323=""),"",B1323&amp;"|"&amp;A1323)</f>
        <v/>
      </c>
      <c r="N1323" s="2">
        <f>IF(M1323="","",SUMIFS(TF_Timer,TF_Nokkel,M1323,TF_Akt,C1323))</f>
        <v/>
      </c>
      <c r="O1323" s="2">
        <f>IF(M1323="","",IF(AND(N1323=_xlfn.MAXIFS(TF_AktSum,TF_Nokkel,M1323),COUNTIFS(M$3:M1322,M1323,N$3:N1322,N1323)=0),M1323,""))</f>
        <v/>
      </c>
    </row>
    <row r="1324">
      <c r="A1324" s="34" t="n"/>
      <c r="B1324" s="35" t="n"/>
      <c r="C1324" s="35" t="n"/>
      <c r="D1324" s="35" t="n"/>
      <c r="E1324" s="35" t="n"/>
      <c r="F1324" s="36" t="n"/>
      <c r="G1324" s="35" t="n"/>
      <c r="H1324" s="30">
        <f>IF(L1324="","",INDEX(SkiftNavn,L1324))</f>
        <v/>
      </c>
      <c r="I1324" s="30">
        <f>IF(OR(A1324="",L1324=""),"",IF(MOD(A1324-INDEX(SkiftStart,L1324),Syklus)&lt;DagK,"Kveld",IF(MOD(A1324-INDEX(SkiftStart,L1324),Syklus)&lt;DagK+DagH,"Helg",IF(MOD(A1324-INDEX(SkiftStart,L1324),Syklus)&lt;DagK+DagH+DagD,"Dag","Fri"))))</f>
        <v/>
      </c>
      <c r="J1324" s="30">
        <f>IF(I1324="Fri","Ja","")</f>
        <v/>
      </c>
      <c r="K1324" s="30">
        <f>IF(B1324="","",IF(L1324="","Ukjent tekniker",IF(ISNA(MATCH(C1324,Aktiviteter,0)),"Ukjent aktivitet",IF(AND(INDEX(AktRolle,MATCH(C1324,Aktiviteter,0))&amp;""&lt;&gt;"",ISERROR(SEARCH(INDEX(AktRolle,MATCH(C1324,Aktiviteter,0))&amp;"",INDEX(TekRoller,MATCH(B1324,Teknikere,0))))),"Mangler rollen "&amp;INDEX(AktRolle,MATCH(C1324,Aktiviteter,0))&amp;"",IF(AND(C1324="LMS",F1324&gt;0,OR(D1324="",E1324="")),"Mangler maskin eller arbeid",IF(AND(OR(C1324="LMS",C1324="Mod"),D1324&lt;&gt;""),IF(IFERROR(INDEX(MaskinStatus,MATCH(D1324,Maskiner,0)),"")="I dokk","","Maskinen er ikke i dokk"),""))))))</f>
        <v/>
      </c>
      <c r="L1324" s="2">
        <f>IF(B1324="","",IFERROR(INT((MATCH(B1324,Teknikere,0)-1)/18)+1,""))</f>
        <v/>
      </c>
      <c r="M1324" s="2">
        <f>IF(OR(A1324="",B1324=""),"",B1324&amp;"|"&amp;A1324)</f>
        <v/>
      </c>
      <c r="N1324" s="2">
        <f>IF(M1324="","",SUMIFS(TF_Timer,TF_Nokkel,M1324,TF_Akt,C1324))</f>
        <v/>
      </c>
      <c r="O1324" s="2">
        <f>IF(M1324="","",IF(AND(N1324=_xlfn.MAXIFS(TF_AktSum,TF_Nokkel,M1324),COUNTIFS(M$3:M1323,M1324,N$3:N1323,N1324)=0),M1324,""))</f>
        <v/>
      </c>
    </row>
    <row r="1325">
      <c r="A1325" s="34" t="n"/>
      <c r="B1325" s="35" t="n"/>
      <c r="C1325" s="35" t="n"/>
      <c r="D1325" s="35" t="n"/>
      <c r="E1325" s="35" t="n"/>
      <c r="F1325" s="36" t="n"/>
      <c r="G1325" s="35" t="n"/>
      <c r="H1325" s="30">
        <f>IF(L1325="","",INDEX(SkiftNavn,L1325))</f>
        <v/>
      </c>
      <c r="I1325" s="30">
        <f>IF(OR(A1325="",L1325=""),"",IF(MOD(A1325-INDEX(SkiftStart,L1325),Syklus)&lt;DagK,"Kveld",IF(MOD(A1325-INDEX(SkiftStart,L1325),Syklus)&lt;DagK+DagH,"Helg",IF(MOD(A1325-INDEX(SkiftStart,L1325),Syklus)&lt;DagK+DagH+DagD,"Dag","Fri"))))</f>
        <v/>
      </c>
      <c r="J1325" s="30">
        <f>IF(I1325="Fri","Ja","")</f>
        <v/>
      </c>
      <c r="K1325" s="30">
        <f>IF(B1325="","",IF(L1325="","Ukjent tekniker",IF(ISNA(MATCH(C1325,Aktiviteter,0)),"Ukjent aktivitet",IF(AND(INDEX(AktRolle,MATCH(C1325,Aktiviteter,0))&amp;""&lt;&gt;"",ISERROR(SEARCH(INDEX(AktRolle,MATCH(C1325,Aktiviteter,0))&amp;"",INDEX(TekRoller,MATCH(B1325,Teknikere,0))))),"Mangler rollen "&amp;INDEX(AktRolle,MATCH(C1325,Aktiviteter,0))&amp;"",IF(AND(C1325="LMS",F1325&gt;0,OR(D1325="",E1325="")),"Mangler maskin eller arbeid",IF(AND(OR(C1325="LMS",C1325="Mod"),D1325&lt;&gt;""),IF(IFERROR(INDEX(MaskinStatus,MATCH(D1325,Maskiner,0)),"")="I dokk","","Maskinen er ikke i dokk"),""))))))</f>
        <v/>
      </c>
      <c r="L1325" s="2">
        <f>IF(B1325="","",IFERROR(INT((MATCH(B1325,Teknikere,0)-1)/18)+1,""))</f>
        <v/>
      </c>
      <c r="M1325" s="2">
        <f>IF(OR(A1325="",B1325=""),"",B1325&amp;"|"&amp;A1325)</f>
        <v/>
      </c>
      <c r="N1325" s="2">
        <f>IF(M1325="","",SUMIFS(TF_Timer,TF_Nokkel,M1325,TF_Akt,C1325))</f>
        <v/>
      </c>
      <c r="O1325" s="2">
        <f>IF(M1325="","",IF(AND(N1325=_xlfn.MAXIFS(TF_AktSum,TF_Nokkel,M1325),COUNTIFS(M$3:M1324,M1325,N$3:N1324,N1325)=0),M1325,""))</f>
        <v/>
      </c>
    </row>
    <row r="1326">
      <c r="A1326" s="34" t="n"/>
      <c r="B1326" s="35" t="n"/>
      <c r="C1326" s="35" t="n"/>
      <c r="D1326" s="35" t="n"/>
      <c r="E1326" s="35" t="n"/>
      <c r="F1326" s="36" t="n"/>
      <c r="G1326" s="35" t="n"/>
      <c r="H1326" s="30">
        <f>IF(L1326="","",INDEX(SkiftNavn,L1326))</f>
        <v/>
      </c>
      <c r="I1326" s="30">
        <f>IF(OR(A1326="",L1326=""),"",IF(MOD(A1326-INDEX(SkiftStart,L1326),Syklus)&lt;DagK,"Kveld",IF(MOD(A1326-INDEX(SkiftStart,L1326),Syklus)&lt;DagK+DagH,"Helg",IF(MOD(A1326-INDEX(SkiftStart,L1326),Syklus)&lt;DagK+DagH+DagD,"Dag","Fri"))))</f>
        <v/>
      </c>
      <c r="J1326" s="30">
        <f>IF(I1326="Fri","Ja","")</f>
        <v/>
      </c>
      <c r="K1326" s="30">
        <f>IF(B1326="","",IF(L1326="","Ukjent tekniker",IF(ISNA(MATCH(C1326,Aktiviteter,0)),"Ukjent aktivitet",IF(AND(INDEX(AktRolle,MATCH(C1326,Aktiviteter,0))&amp;""&lt;&gt;"",ISERROR(SEARCH(INDEX(AktRolle,MATCH(C1326,Aktiviteter,0))&amp;"",INDEX(TekRoller,MATCH(B1326,Teknikere,0))))),"Mangler rollen "&amp;INDEX(AktRolle,MATCH(C1326,Aktiviteter,0))&amp;"",IF(AND(C1326="LMS",F1326&gt;0,OR(D1326="",E1326="")),"Mangler maskin eller arbeid",IF(AND(OR(C1326="LMS",C1326="Mod"),D1326&lt;&gt;""),IF(IFERROR(INDEX(MaskinStatus,MATCH(D1326,Maskiner,0)),"")="I dokk","","Maskinen er ikke i dokk"),""))))))</f>
        <v/>
      </c>
      <c r="L1326" s="2">
        <f>IF(B1326="","",IFERROR(INT((MATCH(B1326,Teknikere,0)-1)/18)+1,""))</f>
        <v/>
      </c>
      <c r="M1326" s="2">
        <f>IF(OR(A1326="",B1326=""),"",B1326&amp;"|"&amp;A1326)</f>
        <v/>
      </c>
      <c r="N1326" s="2">
        <f>IF(M1326="","",SUMIFS(TF_Timer,TF_Nokkel,M1326,TF_Akt,C1326))</f>
        <v/>
      </c>
      <c r="O1326" s="2">
        <f>IF(M1326="","",IF(AND(N1326=_xlfn.MAXIFS(TF_AktSum,TF_Nokkel,M1326),COUNTIFS(M$3:M1325,M1326,N$3:N1325,N1326)=0),M1326,""))</f>
        <v/>
      </c>
    </row>
    <row r="1327">
      <c r="A1327" s="34" t="n"/>
      <c r="B1327" s="35" t="n"/>
      <c r="C1327" s="35" t="n"/>
      <c r="D1327" s="35" t="n"/>
      <c r="E1327" s="35" t="n"/>
      <c r="F1327" s="36" t="n"/>
      <c r="G1327" s="35" t="n"/>
      <c r="H1327" s="30">
        <f>IF(L1327="","",INDEX(SkiftNavn,L1327))</f>
        <v/>
      </c>
      <c r="I1327" s="30">
        <f>IF(OR(A1327="",L1327=""),"",IF(MOD(A1327-INDEX(SkiftStart,L1327),Syklus)&lt;DagK,"Kveld",IF(MOD(A1327-INDEX(SkiftStart,L1327),Syklus)&lt;DagK+DagH,"Helg",IF(MOD(A1327-INDEX(SkiftStart,L1327),Syklus)&lt;DagK+DagH+DagD,"Dag","Fri"))))</f>
        <v/>
      </c>
      <c r="J1327" s="30">
        <f>IF(I1327="Fri","Ja","")</f>
        <v/>
      </c>
      <c r="K1327" s="30">
        <f>IF(B1327="","",IF(L1327="","Ukjent tekniker",IF(ISNA(MATCH(C1327,Aktiviteter,0)),"Ukjent aktivitet",IF(AND(INDEX(AktRolle,MATCH(C1327,Aktiviteter,0))&amp;""&lt;&gt;"",ISERROR(SEARCH(INDEX(AktRolle,MATCH(C1327,Aktiviteter,0))&amp;"",INDEX(TekRoller,MATCH(B1327,Teknikere,0))))),"Mangler rollen "&amp;INDEX(AktRolle,MATCH(C1327,Aktiviteter,0))&amp;"",IF(AND(C1327="LMS",F1327&gt;0,OR(D1327="",E1327="")),"Mangler maskin eller arbeid",IF(AND(OR(C1327="LMS",C1327="Mod"),D1327&lt;&gt;""),IF(IFERROR(INDEX(MaskinStatus,MATCH(D1327,Maskiner,0)),"")="I dokk","","Maskinen er ikke i dokk"),""))))))</f>
        <v/>
      </c>
      <c r="L1327" s="2">
        <f>IF(B1327="","",IFERROR(INT((MATCH(B1327,Teknikere,0)-1)/18)+1,""))</f>
        <v/>
      </c>
      <c r="M1327" s="2">
        <f>IF(OR(A1327="",B1327=""),"",B1327&amp;"|"&amp;A1327)</f>
        <v/>
      </c>
      <c r="N1327" s="2">
        <f>IF(M1327="","",SUMIFS(TF_Timer,TF_Nokkel,M1327,TF_Akt,C1327))</f>
        <v/>
      </c>
      <c r="O1327" s="2">
        <f>IF(M1327="","",IF(AND(N1327=_xlfn.MAXIFS(TF_AktSum,TF_Nokkel,M1327),COUNTIFS(M$3:M1326,M1327,N$3:N1326,N1327)=0),M1327,""))</f>
        <v/>
      </c>
    </row>
    <row r="1328">
      <c r="A1328" s="34" t="n"/>
      <c r="B1328" s="35" t="n"/>
      <c r="C1328" s="35" t="n"/>
      <c r="D1328" s="35" t="n"/>
      <c r="E1328" s="35" t="n"/>
      <c r="F1328" s="36" t="n"/>
      <c r="G1328" s="35" t="n"/>
      <c r="H1328" s="30">
        <f>IF(L1328="","",INDEX(SkiftNavn,L1328))</f>
        <v/>
      </c>
      <c r="I1328" s="30">
        <f>IF(OR(A1328="",L1328=""),"",IF(MOD(A1328-INDEX(SkiftStart,L1328),Syklus)&lt;DagK,"Kveld",IF(MOD(A1328-INDEX(SkiftStart,L1328),Syklus)&lt;DagK+DagH,"Helg",IF(MOD(A1328-INDEX(SkiftStart,L1328),Syklus)&lt;DagK+DagH+DagD,"Dag","Fri"))))</f>
        <v/>
      </c>
      <c r="J1328" s="30">
        <f>IF(I1328="Fri","Ja","")</f>
        <v/>
      </c>
      <c r="K1328" s="30">
        <f>IF(B1328="","",IF(L1328="","Ukjent tekniker",IF(ISNA(MATCH(C1328,Aktiviteter,0)),"Ukjent aktivitet",IF(AND(INDEX(AktRolle,MATCH(C1328,Aktiviteter,0))&amp;""&lt;&gt;"",ISERROR(SEARCH(INDEX(AktRolle,MATCH(C1328,Aktiviteter,0))&amp;"",INDEX(TekRoller,MATCH(B1328,Teknikere,0))))),"Mangler rollen "&amp;INDEX(AktRolle,MATCH(C1328,Aktiviteter,0))&amp;"",IF(AND(C1328="LMS",F1328&gt;0,OR(D1328="",E1328="")),"Mangler maskin eller arbeid",IF(AND(OR(C1328="LMS",C1328="Mod"),D1328&lt;&gt;""),IF(IFERROR(INDEX(MaskinStatus,MATCH(D1328,Maskiner,0)),"")="I dokk","","Maskinen er ikke i dokk"),""))))))</f>
        <v/>
      </c>
      <c r="L1328" s="2">
        <f>IF(B1328="","",IFERROR(INT((MATCH(B1328,Teknikere,0)-1)/18)+1,""))</f>
        <v/>
      </c>
      <c r="M1328" s="2">
        <f>IF(OR(A1328="",B1328=""),"",B1328&amp;"|"&amp;A1328)</f>
        <v/>
      </c>
      <c r="N1328" s="2">
        <f>IF(M1328="","",SUMIFS(TF_Timer,TF_Nokkel,M1328,TF_Akt,C1328))</f>
        <v/>
      </c>
      <c r="O1328" s="2">
        <f>IF(M1328="","",IF(AND(N1328=_xlfn.MAXIFS(TF_AktSum,TF_Nokkel,M1328),COUNTIFS(M$3:M1327,M1328,N$3:N1327,N1328)=0),M1328,""))</f>
        <v/>
      </c>
    </row>
    <row r="1329">
      <c r="A1329" s="34" t="n"/>
      <c r="B1329" s="35" t="n"/>
      <c r="C1329" s="35" t="n"/>
      <c r="D1329" s="35" t="n"/>
      <c r="E1329" s="35" t="n"/>
      <c r="F1329" s="36" t="n"/>
      <c r="G1329" s="35" t="n"/>
      <c r="H1329" s="30">
        <f>IF(L1329="","",INDEX(SkiftNavn,L1329))</f>
        <v/>
      </c>
      <c r="I1329" s="30">
        <f>IF(OR(A1329="",L1329=""),"",IF(MOD(A1329-INDEX(SkiftStart,L1329),Syklus)&lt;DagK,"Kveld",IF(MOD(A1329-INDEX(SkiftStart,L1329),Syklus)&lt;DagK+DagH,"Helg",IF(MOD(A1329-INDEX(SkiftStart,L1329),Syklus)&lt;DagK+DagH+DagD,"Dag","Fri"))))</f>
        <v/>
      </c>
      <c r="J1329" s="30">
        <f>IF(I1329="Fri","Ja","")</f>
        <v/>
      </c>
      <c r="K1329" s="30">
        <f>IF(B1329="","",IF(L1329="","Ukjent tekniker",IF(ISNA(MATCH(C1329,Aktiviteter,0)),"Ukjent aktivitet",IF(AND(INDEX(AktRolle,MATCH(C1329,Aktiviteter,0))&amp;""&lt;&gt;"",ISERROR(SEARCH(INDEX(AktRolle,MATCH(C1329,Aktiviteter,0))&amp;"",INDEX(TekRoller,MATCH(B1329,Teknikere,0))))),"Mangler rollen "&amp;INDEX(AktRolle,MATCH(C1329,Aktiviteter,0))&amp;"",IF(AND(C1329="LMS",F1329&gt;0,OR(D1329="",E1329="")),"Mangler maskin eller arbeid",IF(AND(OR(C1329="LMS",C1329="Mod"),D1329&lt;&gt;""),IF(IFERROR(INDEX(MaskinStatus,MATCH(D1329,Maskiner,0)),"")="I dokk","","Maskinen er ikke i dokk"),""))))))</f>
        <v/>
      </c>
      <c r="L1329" s="2">
        <f>IF(B1329="","",IFERROR(INT((MATCH(B1329,Teknikere,0)-1)/18)+1,""))</f>
        <v/>
      </c>
      <c r="M1329" s="2">
        <f>IF(OR(A1329="",B1329=""),"",B1329&amp;"|"&amp;A1329)</f>
        <v/>
      </c>
      <c r="N1329" s="2">
        <f>IF(M1329="","",SUMIFS(TF_Timer,TF_Nokkel,M1329,TF_Akt,C1329))</f>
        <v/>
      </c>
      <c r="O1329" s="2">
        <f>IF(M1329="","",IF(AND(N1329=_xlfn.MAXIFS(TF_AktSum,TF_Nokkel,M1329),COUNTIFS(M$3:M1328,M1329,N$3:N1328,N1329)=0),M1329,""))</f>
        <v/>
      </c>
    </row>
    <row r="1330">
      <c r="A1330" s="34" t="n"/>
      <c r="B1330" s="35" t="n"/>
      <c r="C1330" s="35" t="n"/>
      <c r="D1330" s="35" t="n"/>
      <c r="E1330" s="35" t="n"/>
      <c r="F1330" s="36" t="n"/>
      <c r="G1330" s="35" t="n"/>
      <c r="H1330" s="30">
        <f>IF(L1330="","",INDEX(SkiftNavn,L1330))</f>
        <v/>
      </c>
      <c r="I1330" s="30">
        <f>IF(OR(A1330="",L1330=""),"",IF(MOD(A1330-INDEX(SkiftStart,L1330),Syklus)&lt;DagK,"Kveld",IF(MOD(A1330-INDEX(SkiftStart,L1330),Syklus)&lt;DagK+DagH,"Helg",IF(MOD(A1330-INDEX(SkiftStart,L1330),Syklus)&lt;DagK+DagH+DagD,"Dag","Fri"))))</f>
        <v/>
      </c>
      <c r="J1330" s="30">
        <f>IF(I1330="Fri","Ja","")</f>
        <v/>
      </c>
      <c r="K1330" s="30">
        <f>IF(B1330="","",IF(L1330="","Ukjent tekniker",IF(ISNA(MATCH(C1330,Aktiviteter,0)),"Ukjent aktivitet",IF(AND(INDEX(AktRolle,MATCH(C1330,Aktiviteter,0))&amp;""&lt;&gt;"",ISERROR(SEARCH(INDEX(AktRolle,MATCH(C1330,Aktiviteter,0))&amp;"",INDEX(TekRoller,MATCH(B1330,Teknikere,0))))),"Mangler rollen "&amp;INDEX(AktRolle,MATCH(C1330,Aktiviteter,0))&amp;"",IF(AND(C1330="LMS",F1330&gt;0,OR(D1330="",E1330="")),"Mangler maskin eller arbeid",IF(AND(OR(C1330="LMS",C1330="Mod"),D1330&lt;&gt;""),IF(IFERROR(INDEX(MaskinStatus,MATCH(D1330,Maskiner,0)),"")="I dokk","","Maskinen er ikke i dokk"),""))))))</f>
        <v/>
      </c>
      <c r="L1330" s="2">
        <f>IF(B1330="","",IFERROR(INT((MATCH(B1330,Teknikere,0)-1)/18)+1,""))</f>
        <v/>
      </c>
      <c r="M1330" s="2">
        <f>IF(OR(A1330="",B1330=""),"",B1330&amp;"|"&amp;A1330)</f>
        <v/>
      </c>
      <c r="N1330" s="2">
        <f>IF(M1330="","",SUMIFS(TF_Timer,TF_Nokkel,M1330,TF_Akt,C1330))</f>
        <v/>
      </c>
      <c r="O1330" s="2">
        <f>IF(M1330="","",IF(AND(N1330=_xlfn.MAXIFS(TF_AktSum,TF_Nokkel,M1330),COUNTIFS(M$3:M1329,M1330,N$3:N1329,N1330)=0),M1330,""))</f>
        <v/>
      </c>
    </row>
    <row r="1331">
      <c r="A1331" s="34" t="n"/>
      <c r="B1331" s="35" t="n"/>
      <c r="C1331" s="35" t="n"/>
      <c r="D1331" s="35" t="n"/>
      <c r="E1331" s="35" t="n"/>
      <c r="F1331" s="36" t="n"/>
      <c r="G1331" s="35" t="n"/>
      <c r="H1331" s="30">
        <f>IF(L1331="","",INDEX(SkiftNavn,L1331))</f>
        <v/>
      </c>
      <c r="I1331" s="30">
        <f>IF(OR(A1331="",L1331=""),"",IF(MOD(A1331-INDEX(SkiftStart,L1331),Syklus)&lt;DagK,"Kveld",IF(MOD(A1331-INDEX(SkiftStart,L1331),Syklus)&lt;DagK+DagH,"Helg",IF(MOD(A1331-INDEX(SkiftStart,L1331),Syklus)&lt;DagK+DagH+DagD,"Dag","Fri"))))</f>
        <v/>
      </c>
      <c r="J1331" s="30">
        <f>IF(I1331="Fri","Ja","")</f>
        <v/>
      </c>
      <c r="K1331" s="30">
        <f>IF(B1331="","",IF(L1331="","Ukjent tekniker",IF(ISNA(MATCH(C1331,Aktiviteter,0)),"Ukjent aktivitet",IF(AND(INDEX(AktRolle,MATCH(C1331,Aktiviteter,0))&amp;""&lt;&gt;"",ISERROR(SEARCH(INDEX(AktRolle,MATCH(C1331,Aktiviteter,0))&amp;"",INDEX(TekRoller,MATCH(B1331,Teknikere,0))))),"Mangler rollen "&amp;INDEX(AktRolle,MATCH(C1331,Aktiviteter,0))&amp;"",IF(AND(C1331="LMS",F1331&gt;0,OR(D1331="",E1331="")),"Mangler maskin eller arbeid",IF(AND(OR(C1331="LMS",C1331="Mod"),D1331&lt;&gt;""),IF(IFERROR(INDEX(MaskinStatus,MATCH(D1331,Maskiner,0)),"")="I dokk","","Maskinen er ikke i dokk"),""))))))</f>
        <v/>
      </c>
      <c r="L1331" s="2">
        <f>IF(B1331="","",IFERROR(INT((MATCH(B1331,Teknikere,0)-1)/18)+1,""))</f>
        <v/>
      </c>
      <c r="M1331" s="2">
        <f>IF(OR(A1331="",B1331=""),"",B1331&amp;"|"&amp;A1331)</f>
        <v/>
      </c>
      <c r="N1331" s="2">
        <f>IF(M1331="","",SUMIFS(TF_Timer,TF_Nokkel,M1331,TF_Akt,C1331))</f>
        <v/>
      </c>
      <c r="O1331" s="2">
        <f>IF(M1331="","",IF(AND(N1331=_xlfn.MAXIFS(TF_AktSum,TF_Nokkel,M1331),COUNTIFS(M$3:M1330,M1331,N$3:N1330,N1331)=0),M1331,""))</f>
        <v/>
      </c>
    </row>
    <row r="1332">
      <c r="A1332" s="34" t="n"/>
      <c r="B1332" s="35" t="n"/>
      <c r="C1332" s="35" t="n"/>
      <c r="D1332" s="35" t="n"/>
      <c r="E1332" s="35" t="n"/>
      <c r="F1332" s="36" t="n"/>
      <c r="G1332" s="35" t="n"/>
      <c r="H1332" s="30">
        <f>IF(L1332="","",INDEX(SkiftNavn,L1332))</f>
        <v/>
      </c>
      <c r="I1332" s="30">
        <f>IF(OR(A1332="",L1332=""),"",IF(MOD(A1332-INDEX(SkiftStart,L1332),Syklus)&lt;DagK,"Kveld",IF(MOD(A1332-INDEX(SkiftStart,L1332),Syklus)&lt;DagK+DagH,"Helg",IF(MOD(A1332-INDEX(SkiftStart,L1332),Syklus)&lt;DagK+DagH+DagD,"Dag","Fri"))))</f>
        <v/>
      </c>
      <c r="J1332" s="30">
        <f>IF(I1332="Fri","Ja","")</f>
        <v/>
      </c>
      <c r="K1332" s="30">
        <f>IF(B1332="","",IF(L1332="","Ukjent tekniker",IF(ISNA(MATCH(C1332,Aktiviteter,0)),"Ukjent aktivitet",IF(AND(INDEX(AktRolle,MATCH(C1332,Aktiviteter,0))&amp;""&lt;&gt;"",ISERROR(SEARCH(INDEX(AktRolle,MATCH(C1332,Aktiviteter,0))&amp;"",INDEX(TekRoller,MATCH(B1332,Teknikere,0))))),"Mangler rollen "&amp;INDEX(AktRolle,MATCH(C1332,Aktiviteter,0))&amp;"",IF(AND(C1332="LMS",F1332&gt;0,OR(D1332="",E1332="")),"Mangler maskin eller arbeid",IF(AND(OR(C1332="LMS",C1332="Mod"),D1332&lt;&gt;""),IF(IFERROR(INDEX(MaskinStatus,MATCH(D1332,Maskiner,0)),"")="I dokk","","Maskinen er ikke i dokk"),""))))))</f>
        <v/>
      </c>
      <c r="L1332" s="2">
        <f>IF(B1332="","",IFERROR(INT((MATCH(B1332,Teknikere,0)-1)/18)+1,""))</f>
        <v/>
      </c>
      <c r="M1332" s="2">
        <f>IF(OR(A1332="",B1332=""),"",B1332&amp;"|"&amp;A1332)</f>
        <v/>
      </c>
      <c r="N1332" s="2">
        <f>IF(M1332="","",SUMIFS(TF_Timer,TF_Nokkel,M1332,TF_Akt,C1332))</f>
        <v/>
      </c>
      <c r="O1332" s="2">
        <f>IF(M1332="","",IF(AND(N1332=_xlfn.MAXIFS(TF_AktSum,TF_Nokkel,M1332),COUNTIFS(M$3:M1331,M1332,N$3:N1331,N1332)=0),M1332,""))</f>
        <v/>
      </c>
    </row>
    <row r="1333">
      <c r="A1333" s="34" t="n"/>
      <c r="B1333" s="35" t="n"/>
      <c r="C1333" s="35" t="n"/>
      <c r="D1333" s="35" t="n"/>
      <c r="E1333" s="35" t="n"/>
      <c r="F1333" s="36" t="n"/>
      <c r="G1333" s="35" t="n"/>
      <c r="H1333" s="30">
        <f>IF(L1333="","",INDEX(SkiftNavn,L1333))</f>
        <v/>
      </c>
      <c r="I1333" s="30">
        <f>IF(OR(A1333="",L1333=""),"",IF(MOD(A1333-INDEX(SkiftStart,L1333),Syklus)&lt;DagK,"Kveld",IF(MOD(A1333-INDEX(SkiftStart,L1333),Syklus)&lt;DagK+DagH,"Helg",IF(MOD(A1333-INDEX(SkiftStart,L1333),Syklus)&lt;DagK+DagH+DagD,"Dag","Fri"))))</f>
        <v/>
      </c>
      <c r="J1333" s="30">
        <f>IF(I1333="Fri","Ja","")</f>
        <v/>
      </c>
      <c r="K1333" s="30">
        <f>IF(B1333="","",IF(L1333="","Ukjent tekniker",IF(ISNA(MATCH(C1333,Aktiviteter,0)),"Ukjent aktivitet",IF(AND(INDEX(AktRolle,MATCH(C1333,Aktiviteter,0))&amp;""&lt;&gt;"",ISERROR(SEARCH(INDEX(AktRolle,MATCH(C1333,Aktiviteter,0))&amp;"",INDEX(TekRoller,MATCH(B1333,Teknikere,0))))),"Mangler rollen "&amp;INDEX(AktRolle,MATCH(C1333,Aktiviteter,0))&amp;"",IF(AND(C1333="LMS",F1333&gt;0,OR(D1333="",E1333="")),"Mangler maskin eller arbeid",IF(AND(OR(C1333="LMS",C1333="Mod"),D1333&lt;&gt;""),IF(IFERROR(INDEX(MaskinStatus,MATCH(D1333,Maskiner,0)),"")="I dokk","","Maskinen er ikke i dokk"),""))))))</f>
        <v/>
      </c>
      <c r="L1333" s="2">
        <f>IF(B1333="","",IFERROR(INT((MATCH(B1333,Teknikere,0)-1)/18)+1,""))</f>
        <v/>
      </c>
      <c r="M1333" s="2">
        <f>IF(OR(A1333="",B1333=""),"",B1333&amp;"|"&amp;A1333)</f>
        <v/>
      </c>
      <c r="N1333" s="2">
        <f>IF(M1333="","",SUMIFS(TF_Timer,TF_Nokkel,M1333,TF_Akt,C1333))</f>
        <v/>
      </c>
      <c r="O1333" s="2">
        <f>IF(M1333="","",IF(AND(N1333=_xlfn.MAXIFS(TF_AktSum,TF_Nokkel,M1333),COUNTIFS(M$3:M1332,M1333,N$3:N1332,N1333)=0),M1333,""))</f>
        <v/>
      </c>
    </row>
    <row r="1334">
      <c r="A1334" s="34" t="n"/>
      <c r="B1334" s="35" t="n"/>
      <c r="C1334" s="35" t="n"/>
      <c r="D1334" s="35" t="n"/>
      <c r="E1334" s="35" t="n"/>
      <c r="F1334" s="36" t="n"/>
      <c r="G1334" s="35" t="n"/>
      <c r="H1334" s="30">
        <f>IF(L1334="","",INDEX(SkiftNavn,L1334))</f>
        <v/>
      </c>
      <c r="I1334" s="30">
        <f>IF(OR(A1334="",L1334=""),"",IF(MOD(A1334-INDEX(SkiftStart,L1334),Syklus)&lt;DagK,"Kveld",IF(MOD(A1334-INDEX(SkiftStart,L1334),Syklus)&lt;DagK+DagH,"Helg",IF(MOD(A1334-INDEX(SkiftStart,L1334),Syklus)&lt;DagK+DagH+DagD,"Dag","Fri"))))</f>
        <v/>
      </c>
      <c r="J1334" s="30">
        <f>IF(I1334="Fri","Ja","")</f>
        <v/>
      </c>
      <c r="K1334" s="30">
        <f>IF(B1334="","",IF(L1334="","Ukjent tekniker",IF(ISNA(MATCH(C1334,Aktiviteter,0)),"Ukjent aktivitet",IF(AND(INDEX(AktRolle,MATCH(C1334,Aktiviteter,0))&amp;""&lt;&gt;"",ISERROR(SEARCH(INDEX(AktRolle,MATCH(C1334,Aktiviteter,0))&amp;"",INDEX(TekRoller,MATCH(B1334,Teknikere,0))))),"Mangler rollen "&amp;INDEX(AktRolle,MATCH(C1334,Aktiviteter,0))&amp;"",IF(AND(C1334="LMS",F1334&gt;0,OR(D1334="",E1334="")),"Mangler maskin eller arbeid",IF(AND(OR(C1334="LMS",C1334="Mod"),D1334&lt;&gt;""),IF(IFERROR(INDEX(MaskinStatus,MATCH(D1334,Maskiner,0)),"")="I dokk","","Maskinen er ikke i dokk"),""))))))</f>
        <v/>
      </c>
      <c r="L1334" s="2">
        <f>IF(B1334="","",IFERROR(INT((MATCH(B1334,Teknikere,0)-1)/18)+1,""))</f>
        <v/>
      </c>
      <c r="M1334" s="2">
        <f>IF(OR(A1334="",B1334=""),"",B1334&amp;"|"&amp;A1334)</f>
        <v/>
      </c>
      <c r="N1334" s="2">
        <f>IF(M1334="","",SUMIFS(TF_Timer,TF_Nokkel,M1334,TF_Akt,C1334))</f>
        <v/>
      </c>
      <c r="O1334" s="2">
        <f>IF(M1334="","",IF(AND(N1334=_xlfn.MAXIFS(TF_AktSum,TF_Nokkel,M1334),COUNTIFS(M$3:M1333,M1334,N$3:N1333,N1334)=0),M1334,""))</f>
        <v/>
      </c>
    </row>
    <row r="1335">
      <c r="A1335" s="34" t="n"/>
      <c r="B1335" s="35" t="n"/>
      <c r="C1335" s="35" t="n"/>
      <c r="D1335" s="35" t="n"/>
      <c r="E1335" s="35" t="n"/>
      <c r="F1335" s="36" t="n"/>
      <c r="G1335" s="35" t="n"/>
      <c r="H1335" s="30">
        <f>IF(L1335="","",INDEX(SkiftNavn,L1335))</f>
        <v/>
      </c>
      <c r="I1335" s="30">
        <f>IF(OR(A1335="",L1335=""),"",IF(MOD(A1335-INDEX(SkiftStart,L1335),Syklus)&lt;DagK,"Kveld",IF(MOD(A1335-INDEX(SkiftStart,L1335),Syklus)&lt;DagK+DagH,"Helg",IF(MOD(A1335-INDEX(SkiftStart,L1335),Syklus)&lt;DagK+DagH+DagD,"Dag","Fri"))))</f>
        <v/>
      </c>
      <c r="J1335" s="30">
        <f>IF(I1335="Fri","Ja","")</f>
        <v/>
      </c>
      <c r="K1335" s="30">
        <f>IF(B1335="","",IF(L1335="","Ukjent tekniker",IF(ISNA(MATCH(C1335,Aktiviteter,0)),"Ukjent aktivitet",IF(AND(INDEX(AktRolle,MATCH(C1335,Aktiviteter,0))&amp;""&lt;&gt;"",ISERROR(SEARCH(INDEX(AktRolle,MATCH(C1335,Aktiviteter,0))&amp;"",INDEX(TekRoller,MATCH(B1335,Teknikere,0))))),"Mangler rollen "&amp;INDEX(AktRolle,MATCH(C1335,Aktiviteter,0))&amp;"",IF(AND(C1335="LMS",F1335&gt;0,OR(D1335="",E1335="")),"Mangler maskin eller arbeid",IF(AND(OR(C1335="LMS",C1335="Mod"),D1335&lt;&gt;""),IF(IFERROR(INDEX(MaskinStatus,MATCH(D1335,Maskiner,0)),"")="I dokk","","Maskinen er ikke i dokk"),""))))))</f>
        <v/>
      </c>
      <c r="L1335" s="2">
        <f>IF(B1335="","",IFERROR(INT((MATCH(B1335,Teknikere,0)-1)/18)+1,""))</f>
        <v/>
      </c>
      <c r="M1335" s="2">
        <f>IF(OR(A1335="",B1335=""),"",B1335&amp;"|"&amp;A1335)</f>
        <v/>
      </c>
      <c r="N1335" s="2">
        <f>IF(M1335="","",SUMIFS(TF_Timer,TF_Nokkel,M1335,TF_Akt,C1335))</f>
        <v/>
      </c>
      <c r="O1335" s="2">
        <f>IF(M1335="","",IF(AND(N1335=_xlfn.MAXIFS(TF_AktSum,TF_Nokkel,M1335),COUNTIFS(M$3:M1334,M1335,N$3:N1334,N1335)=0),M1335,""))</f>
        <v/>
      </c>
    </row>
    <row r="1336">
      <c r="A1336" s="34" t="n"/>
      <c r="B1336" s="35" t="n"/>
      <c r="C1336" s="35" t="n"/>
      <c r="D1336" s="35" t="n"/>
      <c r="E1336" s="35" t="n"/>
      <c r="F1336" s="36" t="n"/>
      <c r="G1336" s="35" t="n"/>
      <c r="H1336" s="30">
        <f>IF(L1336="","",INDEX(SkiftNavn,L1336))</f>
        <v/>
      </c>
      <c r="I1336" s="30">
        <f>IF(OR(A1336="",L1336=""),"",IF(MOD(A1336-INDEX(SkiftStart,L1336),Syklus)&lt;DagK,"Kveld",IF(MOD(A1336-INDEX(SkiftStart,L1336),Syklus)&lt;DagK+DagH,"Helg",IF(MOD(A1336-INDEX(SkiftStart,L1336),Syklus)&lt;DagK+DagH+DagD,"Dag","Fri"))))</f>
        <v/>
      </c>
      <c r="J1336" s="30">
        <f>IF(I1336="Fri","Ja","")</f>
        <v/>
      </c>
      <c r="K1336" s="30">
        <f>IF(B1336="","",IF(L1336="","Ukjent tekniker",IF(ISNA(MATCH(C1336,Aktiviteter,0)),"Ukjent aktivitet",IF(AND(INDEX(AktRolle,MATCH(C1336,Aktiviteter,0))&amp;""&lt;&gt;"",ISERROR(SEARCH(INDEX(AktRolle,MATCH(C1336,Aktiviteter,0))&amp;"",INDEX(TekRoller,MATCH(B1336,Teknikere,0))))),"Mangler rollen "&amp;INDEX(AktRolle,MATCH(C1336,Aktiviteter,0))&amp;"",IF(AND(C1336="LMS",F1336&gt;0,OR(D1336="",E1336="")),"Mangler maskin eller arbeid",IF(AND(OR(C1336="LMS",C1336="Mod"),D1336&lt;&gt;""),IF(IFERROR(INDEX(MaskinStatus,MATCH(D1336,Maskiner,0)),"")="I dokk","","Maskinen er ikke i dokk"),""))))))</f>
        <v/>
      </c>
      <c r="L1336" s="2">
        <f>IF(B1336="","",IFERROR(INT((MATCH(B1336,Teknikere,0)-1)/18)+1,""))</f>
        <v/>
      </c>
      <c r="M1336" s="2">
        <f>IF(OR(A1336="",B1336=""),"",B1336&amp;"|"&amp;A1336)</f>
        <v/>
      </c>
      <c r="N1336" s="2">
        <f>IF(M1336="","",SUMIFS(TF_Timer,TF_Nokkel,M1336,TF_Akt,C1336))</f>
        <v/>
      </c>
      <c r="O1336" s="2">
        <f>IF(M1336="","",IF(AND(N1336=_xlfn.MAXIFS(TF_AktSum,TF_Nokkel,M1336),COUNTIFS(M$3:M1335,M1336,N$3:N1335,N1336)=0),M1336,""))</f>
        <v/>
      </c>
    </row>
    <row r="1337">
      <c r="A1337" s="34" t="n"/>
      <c r="B1337" s="35" t="n"/>
      <c r="C1337" s="35" t="n"/>
      <c r="D1337" s="35" t="n"/>
      <c r="E1337" s="35" t="n"/>
      <c r="F1337" s="36" t="n"/>
      <c r="G1337" s="35" t="n"/>
      <c r="H1337" s="30">
        <f>IF(L1337="","",INDEX(SkiftNavn,L1337))</f>
        <v/>
      </c>
      <c r="I1337" s="30">
        <f>IF(OR(A1337="",L1337=""),"",IF(MOD(A1337-INDEX(SkiftStart,L1337),Syklus)&lt;DagK,"Kveld",IF(MOD(A1337-INDEX(SkiftStart,L1337),Syklus)&lt;DagK+DagH,"Helg",IF(MOD(A1337-INDEX(SkiftStart,L1337),Syklus)&lt;DagK+DagH+DagD,"Dag","Fri"))))</f>
        <v/>
      </c>
      <c r="J1337" s="30">
        <f>IF(I1337="Fri","Ja","")</f>
        <v/>
      </c>
      <c r="K1337" s="30">
        <f>IF(B1337="","",IF(L1337="","Ukjent tekniker",IF(ISNA(MATCH(C1337,Aktiviteter,0)),"Ukjent aktivitet",IF(AND(INDEX(AktRolle,MATCH(C1337,Aktiviteter,0))&amp;""&lt;&gt;"",ISERROR(SEARCH(INDEX(AktRolle,MATCH(C1337,Aktiviteter,0))&amp;"",INDEX(TekRoller,MATCH(B1337,Teknikere,0))))),"Mangler rollen "&amp;INDEX(AktRolle,MATCH(C1337,Aktiviteter,0))&amp;"",IF(AND(C1337="LMS",F1337&gt;0,OR(D1337="",E1337="")),"Mangler maskin eller arbeid",IF(AND(OR(C1337="LMS",C1337="Mod"),D1337&lt;&gt;""),IF(IFERROR(INDEX(MaskinStatus,MATCH(D1337,Maskiner,0)),"")="I dokk","","Maskinen er ikke i dokk"),""))))))</f>
        <v/>
      </c>
      <c r="L1337" s="2">
        <f>IF(B1337="","",IFERROR(INT((MATCH(B1337,Teknikere,0)-1)/18)+1,""))</f>
        <v/>
      </c>
      <c r="M1337" s="2">
        <f>IF(OR(A1337="",B1337=""),"",B1337&amp;"|"&amp;A1337)</f>
        <v/>
      </c>
      <c r="N1337" s="2">
        <f>IF(M1337="","",SUMIFS(TF_Timer,TF_Nokkel,M1337,TF_Akt,C1337))</f>
        <v/>
      </c>
      <c r="O1337" s="2">
        <f>IF(M1337="","",IF(AND(N1337=_xlfn.MAXIFS(TF_AktSum,TF_Nokkel,M1337),COUNTIFS(M$3:M1336,M1337,N$3:N1336,N1337)=0),M1337,""))</f>
        <v/>
      </c>
    </row>
    <row r="1338">
      <c r="A1338" s="34" t="n"/>
      <c r="B1338" s="35" t="n"/>
      <c r="C1338" s="35" t="n"/>
      <c r="D1338" s="35" t="n"/>
      <c r="E1338" s="35" t="n"/>
      <c r="F1338" s="36" t="n"/>
      <c r="G1338" s="35" t="n"/>
      <c r="H1338" s="30">
        <f>IF(L1338="","",INDEX(SkiftNavn,L1338))</f>
        <v/>
      </c>
      <c r="I1338" s="30">
        <f>IF(OR(A1338="",L1338=""),"",IF(MOD(A1338-INDEX(SkiftStart,L1338),Syklus)&lt;DagK,"Kveld",IF(MOD(A1338-INDEX(SkiftStart,L1338),Syklus)&lt;DagK+DagH,"Helg",IF(MOD(A1338-INDEX(SkiftStart,L1338),Syklus)&lt;DagK+DagH+DagD,"Dag","Fri"))))</f>
        <v/>
      </c>
      <c r="J1338" s="30">
        <f>IF(I1338="Fri","Ja","")</f>
        <v/>
      </c>
      <c r="K1338" s="30">
        <f>IF(B1338="","",IF(L1338="","Ukjent tekniker",IF(ISNA(MATCH(C1338,Aktiviteter,0)),"Ukjent aktivitet",IF(AND(INDEX(AktRolle,MATCH(C1338,Aktiviteter,0))&amp;""&lt;&gt;"",ISERROR(SEARCH(INDEX(AktRolle,MATCH(C1338,Aktiviteter,0))&amp;"",INDEX(TekRoller,MATCH(B1338,Teknikere,0))))),"Mangler rollen "&amp;INDEX(AktRolle,MATCH(C1338,Aktiviteter,0))&amp;"",IF(AND(C1338="LMS",F1338&gt;0,OR(D1338="",E1338="")),"Mangler maskin eller arbeid",IF(AND(OR(C1338="LMS",C1338="Mod"),D1338&lt;&gt;""),IF(IFERROR(INDEX(MaskinStatus,MATCH(D1338,Maskiner,0)),"")="I dokk","","Maskinen er ikke i dokk"),""))))))</f>
        <v/>
      </c>
      <c r="L1338" s="2">
        <f>IF(B1338="","",IFERROR(INT((MATCH(B1338,Teknikere,0)-1)/18)+1,""))</f>
        <v/>
      </c>
      <c r="M1338" s="2">
        <f>IF(OR(A1338="",B1338=""),"",B1338&amp;"|"&amp;A1338)</f>
        <v/>
      </c>
      <c r="N1338" s="2">
        <f>IF(M1338="","",SUMIFS(TF_Timer,TF_Nokkel,M1338,TF_Akt,C1338))</f>
        <v/>
      </c>
      <c r="O1338" s="2">
        <f>IF(M1338="","",IF(AND(N1338=_xlfn.MAXIFS(TF_AktSum,TF_Nokkel,M1338),COUNTIFS(M$3:M1337,M1338,N$3:N1337,N1338)=0),M1338,""))</f>
        <v/>
      </c>
    </row>
    <row r="1339">
      <c r="A1339" s="34" t="n"/>
      <c r="B1339" s="35" t="n"/>
      <c r="C1339" s="35" t="n"/>
      <c r="D1339" s="35" t="n"/>
      <c r="E1339" s="35" t="n"/>
      <c r="F1339" s="36" t="n"/>
      <c r="G1339" s="35" t="n"/>
      <c r="H1339" s="30">
        <f>IF(L1339="","",INDEX(SkiftNavn,L1339))</f>
        <v/>
      </c>
      <c r="I1339" s="30">
        <f>IF(OR(A1339="",L1339=""),"",IF(MOD(A1339-INDEX(SkiftStart,L1339),Syklus)&lt;DagK,"Kveld",IF(MOD(A1339-INDEX(SkiftStart,L1339),Syklus)&lt;DagK+DagH,"Helg",IF(MOD(A1339-INDEX(SkiftStart,L1339),Syklus)&lt;DagK+DagH+DagD,"Dag","Fri"))))</f>
        <v/>
      </c>
      <c r="J1339" s="30">
        <f>IF(I1339="Fri","Ja","")</f>
        <v/>
      </c>
      <c r="K1339" s="30">
        <f>IF(B1339="","",IF(L1339="","Ukjent tekniker",IF(ISNA(MATCH(C1339,Aktiviteter,0)),"Ukjent aktivitet",IF(AND(INDEX(AktRolle,MATCH(C1339,Aktiviteter,0))&amp;""&lt;&gt;"",ISERROR(SEARCH(INDEX(AktRolle,MATCH(C1339,Aktiviteter,0))&amp;"",INDEX(TekRoller,MATCH(B1339,Teknikere,0))))),"Mangler rollen "&amp;INDEX(AktRolle,MATCH(C1339,Aktiviteter,0))&amp;"",IF(AND(C1339="LMS",F1339&gt;0,OR(D1339="",E1339="")),"Mangler maskin eller arbeid",IF(AND(OR(C1339="LMS",C1339="Mod"),D1339&lt;&gt;""),IF(IFERROR(INDEX(MaskinStatus,MATCH(D1339,Maskiner,0)),"")="I dokk","","Maskinen er ikke i dokk"),""))))))</f>
        <v/>
      </c>
      <c r="L1339" s="2">
        <f>IF(B1339="","",IFERROR(INT((MATCH(B1339,Teknikere,0)-1)/18)+1,""))</f>
        <v/>
      </c>
      <c r="M1339" s="2">
        <f>IF(OR(A1339="",B1339=""),"",B1339&amp;"|"&amp;A1339)</f>
        <v/>
      </c>
      <c r="N1339" s="2">
        <f>IF(M1339="","",SUMIFS(TF_Timer,TF_Nokkel,M1339,TF_Akt,C1339))</f>
        <v/>
      </c>
      <c r="O1339" s="2">
        <f>IF(M1339="","",IF(AND(N1339=_xlfn.MAXIFS(TF_AktSum,TF_Nokkel,M1339),COUNTIFS(M$3:M1338,M1339,N$3:N1338,N1339)=0),M1339,""))</f>
        <v/>
      </c>
    </row>
    <row r="1340">
      <c r="A1340" s="34" t="n"/>
      <c r="B1340" s="35" t="n"/>
      <c r="C1340" s="35" t="n"/>
      <c r="D1340" s="35" t="n"/>
      <c r="E1340" s="35" t="n"/>
      <c r="F1340" s="36" t="n"/>
      <c r="G1340" s="35" t="n"/>
      <c r="H1340" s="30">
        <f>IF(L1340="","",INDEX(SkiftNavn,L1340))</f>
        <v/>
      </c>
      <c r="I1340" s="30">
        <f>IF(OR(A1340="",L1340=""),"",IF(MOD(A1340-INDEX(SkiftStart,L1340),Syklus)&lt;DagK,"Kveld",IF(MOD(A1340-INDEX(SkiftStart,L1340),Syklus)&lt;DagK+DagH,"Helg",IF(MOD(A1340-INDEX(SkiftStart,L1340),Syklus)&lt;DagK+DagH+DagD,"Dag","Fri"))))</f>
        <v/>
      </c>
      <c r="J1340" s="30">
        <f>IF(I1340="Fri","Ja","")</f>
        <v/>
      </c>
      <c r="K1340" s="30">
        <f>IF(B1340="","",IF(L1340="","Ukjent tekniker",IF(ISNA(MATCH(C1340,Aktiviteter,0)),"Ukjent aktivitet",IF(AND(INDEX(AktRolle,MATCH(C1340,Aktiviteter,0))&amp;""&lt;&gt;"",ISERROR(SEARCH(INDEX(AktRolle,MATCH(C1340,Aktiviteter,0))&amp;"",INDEX(TekRoller,MATCH(B1340,Teknikere,0))))),"Mangler rollen "&amp;INDEX(AktRolle,MATCH(C1340,Aktiviteter,0))&amp;"",IF(AND(C1340="LMS",F1340&gt;0,OR(D1340="",E1340="")),"Mangler maskin eller arbeid",IF(AND(OR(C1340="LMS",C1340="Mod"),D1340&lt;&gt;""),IF(IFERROR(INDEX(MaskinStatus,MATCH(D1340,Maskiner,0)),"")="I dokk","","Maskinen er ikke i dokk"),""))))))</f>
        <v/>
      </c>
      <c r="L1340" s="2">
        <f>IF(B1340="","",IFERROR(INT((MATCH(B1340,Teknikere,0)-1)/18)+1,""))</f>
        <v/>
      </c>
      <c r="M1340" s="2">
        <f>IF(OR(A1340="",B1340=""),"",B1340&amp;"|"&amp;A1340)</f>
        <v/>
      </c>
      <c r="N1340" s="2">
        <f>IF(M1340="","",SUMIFS(TF_Timer,TF_Nokkel,M1340,TF_Akt,C1340))</f>
        <v/>
      </c>
      <c r="O1340" s="2">
        <f>IF(M1340="","",IF(AND(N1340=_xlfn.MAXIFS(TF_AktSum,TF_Nokkel,M1340),COUNTIFS(M$3:M1339,M1340,N$3:N1339,N1340)=0),M1340,""))</f>
        <v/>
      </c>
    </row>
    <row r="1341">
      <c r="A1341" s="34" t="n"/>
      <c r="B1341" s="35" t="n"/>
      <c r="C1341" s="35" t="n"/>
      <c r="D1341" s="35" t="n"/>
      <c r="E1341" s="35" t="n"/>
      <c r="F1341" s="36" t="n"/>
      <c r="G1341" s="35" t="n"/>
      <c r="H1341" s="30">
        <f>IF(L1341="","",INDEX(SkiftNavn,L1341))</f>
        <v/>
      </c>
      <c r="I1341" s="30">
        <f>IF(OR(A1341="",L1341=""),"",IF(MOD(A1341-INDEX(SkiftStart,L1341),Syklus)&lt;DagK,"Kveld",IF(MOD(A1341-INDEX(SkiftStart,L1341),Syklus)&lt;DagK+DagH,"Helg",IF(MOD(A1341-INDEX(SkiftStart,L1341),Syklus)&lt;DagK+DagH+DagD,"Dag","Fri"))))</f>
        <v/>
      </c>
      <c r="J1341" s="30">
        <f>IF(I1341="Fri","Ja","")</f>
        <v/>
      </c>
      <c r="K1341" s="30">
        <f>IF(B1341="","",IF(L1341="","Ukjent tekniker",IF(ISNA(MATCH(C1341,Aktiviteter,0)),"Ukjent aktivitet",IF(AND(INDEX(AktRolle,MATCH(C1341,Aktiviteter,0))&amp;""&lt;&gt;"",ISERROR(SEARCH(INDEX(AktRolle,MATCH(C1341,Aktiviteter,0))&amp;"",INDEX(TekRoller,MATCH(B1341,Teknikere,0))))),"Mangler rollen "&amp;INDEX(AktRolle,MATCH(C1341,Aktiviteter,0))&amp;"",IF(AND(C1341="LMS",F1341&gt;0,OR(D1341="",E1341="")),"Mangler maskin eller arbeid",IF(AND(OR(C1341="LMS",C1341="Mod"),D1341&lt;&gt;""),IF(IFERROR(INDEX(MaskinStatus,MATCH(D1341,Maskiner,0)),"")="I dokk","","Maskinen er ikke i dokk"),""))))))</f>
        <v/>
      </c>
      <c r="L1341" s="2">
        <f>IF(B1341="","",IFERROR(INT((MATCH(B1341,Teknikere,0)-1)/18)+1,""))</f>
        <v/>
      </c>
      <c r="M1341" s="2">
        <f>IF(OR(A1341="",B1341=""),"",B1341&amp;"|"&amp;A1341)</f>
        <v/>
      </c>
      <c r="N1341" s="2">
        <f>IF(M1341="","",SUMIFS(TF_Timer,TF_Nokkel,M1341,TF_Akt,C1341))</f>
        <v/>
      </c>
      <c r="O1341" s="2">
        <f>IF(M1341="","",IF(AND(N1341=_xlfn.MAXIFS(TF_AktSum,TF_Nokkel,M1341),COUNTIFS(M$3:M1340,M1341,N$3:N1340,N1341)=0),M1341,""))</f>
        <v/>
      </c>
    </row>
    <row r="1342">
      <c r="A1342" s="34" t="n"/>
      <c r="B1342" s="35" t="n"/>
      <c r="C1342" s="35" t="n"/>
      <c r="D1342" s="35" t="n"/>
      <c r="E1342" s="35" t="n"/>
      <c r="F1342" s="36" t="n"/>
      <c r="G1342" s="35" t="n"/>
      <c r="H1342" s="30">
        <f>IF(L1342="","",INDEX(SkiftNavn,L1342))</f>
        <v/>
      </c>
      <c r="I1342" s="30">
        <f>IF(OR(A1342="",L1342=""),"",IF(MOD(A1342-INDEX(SkiftStart,L1342),Syklus)&lt;DagK,"Kveld",IF(MOD(A1342-INDEX(SkiftStart,L1342),Syklus)&lt;DagK+DagH,"Helg",IF(MOD(A1342-INDEX(SkiftStart,L1342),Syklus)&lt;DagK+DagH+DagD,"Dag","Fri"))))</f>
        <v/>
      </c>
      <c r="J1342" s="30">
        <f>IF(I1342="Fri","Ja","")</f>
        <v/>
      </c>
      <c r="K1342" s="30">
        <f>IF(B1342="","",IF(L1342="","Ukjent tekniker",IF(ISNA(MATCH(C1342,Aktiviteter,0)),"Ukjent aktivitet",IF(AND(INDEX(AktRolle,MATCH(C1342,Aktiviteter,0))&amp;""&lt;&gt;"",ISERROR(SEARCH(INDEX(AktRolle,MATCH(C1342,Aktiviteter,0))&amp;"",INDEX(TekRoller,MATCH(B1342,Teknikere,0))))),"Mangler rollen "&amp;INDEX(AktRolle,MATCH(C1342,Aktiviteter,0))&amp;"",IF(AND(C1342="LMS",F1342&gt;0,OR(D1342="",E1342="")),"Mangler maskin eller arbeid",IF(AND(OR(C1342="LMS",C1342="Mod"),D1342&lt;&gt;""),IF(IFERROR(INDEX(MaskinStatus,MATCH(D1342,Maskiner,0)),"")="I dokk","","Maskinen er ikke i dokk"),""))))))</f>
        <v/>
      </c>
      <c r="L1342" s="2">
        <f>IF(B1342="","",IFERROR(INT((MATCH(B1342,Teknikere,0)-1)/18)+1,""))</f>
        <v/>
      </c>
      <c r="M1342" s="2">
        <f>IF(OR(A1342="",B1342=""),"",B1342&amp;"|"&amp;A1342)</f>
        <v/>
      </c>
      <c r="N1342" s="2">
        <f>IF(M1342="","",SUMIFS(TF_Timer,TF_Nokkel,M1342,TF_Akt,C1342))</f>
        <v/>
      </c>
      <c r="O1342" s="2">
        <f>IF(M1342="","",IF(AND(N1342=_xlfn.MAXIFS(TF_AktSum,TF_Nokkel,M1342),COUNTIFS(M$3:M1341,M1342,N$3:N1341,N1342)=0),M1342,""))</f>
        <v/>
      </c>
    </row>
    <row r="1343">
      <c r="A1343" s="34" t="n"/>
      <c r="B1343" s="35" t="n"/>
      <c r="C1343" s="35" t="n"/>
      <c r="D1343" s="35" t="n"/>
      <c r="E1343" s="35" t="n"/>
      <c r="F1343" s="36" t="n"/>
      <c r="G1343" s="35" t="n"/>
      <c r="H1343" s="30">
        <f>IF(L1343="","",INDEX(SkiftNavn,L1343))</f>
        <v/>
      </c>
      <c r="I1343" s="30">
        <f>IF(OR(A1343="",L1343=""),"",IF(MOD(A1343-INDEX(SkiftStart,L1343),Syklus)&lt;DagK,"Kveld",IF(MOD(A1343-INDEX(SkiftStart,L1343),Syklus)&lt;DagK+DagH,"Helg",IF(MOD(A1343-INDEX(SkiftStart,L1343),Syklus)&lt;DagK+DagH+DagD,"Dag","Fri"))))</f>
        <v/>
      </c>
      <c r="J1343" s="30">
        <f>IF(I1343="Fri","Ja","")</f>
        <v/>
      </c>
      <c r="K1343" s="30">
        <f>IF(B1343="","",IF(L1343="","Ukjent tekniker",IF(ISNA(MATCH(C1343,Aktiviteter,0)),"Ukjent aktivitet",IF(AND(INDEX(AktRolle,MATCH(C1343,Aktiviteter,0))&amp;""&lt;&gt;"",ISERROR(SEARCH(INDEX(AktRolle,MATCH(C1343,Aktiviteter,0))&amp;"",INDEX(TekRoller,MATCH(B1343,Teknikere,0))))),"Mangler rollen "&amp;INDEX(AktRolle,MATCH(C1343,Aktiviteter,0))&amp;"",IF(AND(C1343="LMS",F1343&gt;0,OR(D1343="",E1343="")),"Mangler maskin eller arbeid",IF(AND(OR(C1343="LMS",C1343="Mod"),D1343&lt;&gt;""),IF(IFERROR(INDEX(MaskinStatus,MATCH(D1343,Maskiner,0)),"")="I dokk","","Maskinen er ikke i dokk"),""))))))</f>
        <v/>
      </c>
      <c r="L1343" s="2">
        <f>IF(B1343="","",IFERROR(INT((MATCH(B1343,Teknikere,0)-1)/18)+1,""))</f>
        <v/>
      </c>
      <c r="M1343" s="2">
        <f>IF(OR(A1343="",B1343=""),"",B1343&amp;"|"&amp;A1343)</f>
        <v/>
      </c>
      <c r="N1343" s="2">
        <f>IF(M1343="","",SUMIFS(TF_Timer,TF_Nokkel,M1343,TF_Akt,C1343))</f>
        <v/>
      </c>
      <c r="O1343" s="2">
        <f>IF(M1343="","",IF(AND(N1343=_xlfn.MAXIFS(TF_AktSum,TF_Nokkel,M1343),COUNTIFS(M$3:M1342,M1343,N$3:N1342,N1343)=0),M1343,""))</f>
        <v/>
      </c>
    </row>
    <row r="1344">
      <c r="A1344" s="34" t="n"/>
      <c r="B1344" s="35" t="n"/>
      <c r="C1344" s="35" t="n"/>
      <c r="D1344" s="35" t="n"/>
      <c r="E1344" s="35" t="n"/>
      <c r="F1344" s="36" t="n"/>
      <c r="G1344" s="35" t="n"/>
      <c r="H1344" s="30">
        <f>IF(L1344="","",INDEX(SkiftNavn,L1344))</f>
        <v/>
      </c>
      <c r="I1344" s="30">
        <f>IF(OR(A1344="",L1344=""),"",IF(MOD(A1344-INDEX(SkiftStart,L1344),Syklus)&lt;DagK,"Kveld",IF(MOD(A1344-INDEX(SkiftStart,L1344),Syklus)&lt;DagK+DagH,"Helg",IF(MOD(A1344-INDEX(SkiftStart,L1344),Syklus)&lt;DagK+DagH+DagD,"Dag","Fri"))))</f>
        <v/>
      </c>
      <c r="J1344" s="30">
        <f>IF(I1344="Fri","Ja","")</f>
        <v/>
      </c>
      <c r="K1344" s="30">
        <f>IF(B1344="","",IF(L1344="","Ukjent tekniker",IF(ISNA(MATCH(C1344,Aktiviteter,0)),"Ukjent aktivitet",IF(AND(INDEX(AktRolle,MATCH(C1344,Aktiviteter,0))&amp;""&lt;&gt;"",ISERROR(SEARCH(INDEX(AktRolle,MATCH(C1344,Aktiviteter,0))&amp;"",INDEX(TekRoller,MATCH(B1344,Teknikere,0))))),"Mangler rollen "&amp;INDEX(AktRolle,MATCH(C1344,Aktiviteter,0))&amp;"",IF(AND(C1344="LMS",F1344&gt;0,OR(D1344="",E1344="")),"Mangler maskin eller arbeid",IF(AND(OR(C1344="LMS",C1344="Mod"),D1344&lt;&gt;""),IF(IFERROR(INDEX(MaskinStatus,MATCH(D1344,Maskiner,0)),"")="I dokk","","Maskinen er ikke i dokk"),""))))))</f>
        <v/>
      </c>
      <c r="L1344" s="2">
        <f>IF(B1344="","",IFERROR(INT((MATCH(B1344,Teknikere,0)-1)/18)+1,""))</f>
        <v/>
      </c>
      <c r="M1344" s="2">
        <f>IF(OR(A1344="",B1344=""),"",B1344&amp;"|"&amp;A1344)</f>
        <v/>
      </c>
      <c r="N1344" s="2">
        <f>IF(M1344="","",SUMIFS(TF_Timer,TF_Nokkel,M1344,TF_Akt,C1344))</f>
        <v/>
      </c>
      <c r="O1344" s="2">
        <f>IF(M1344="","",IF(AND(N1344=_xlfn.MAXIFS(TF_AktSum,TF_Nokkel,M1344),COUNTIFS(M$3:M1343,M1344,N$3:N1343,N1344)=0),M1344,""))</f>
        <v/>
      </c>
    </row>
    <row r="1345">
      <c r="A1345" s="34" t="n"/>
      <c r="B1345" s="35" t="n"/>
      <c r="C1345" s="35" t="n"/>
      <c r="D1345" s="35" t="n"/>
      <c r="E1345" s="35" t="n"/>
      <c r="F1345" s="36" t="n"/>
      <c r="G1345" s="35" t="n"/>
      <c r="H1345" s="30">
        <f>IF(L1345="","",INDEX(SkiftNavn,L1345))</f>
        <v/>
      </c>
      <c r="I1345" s="30">
        <f>IF(OR(A1345="",L1345=""),"",IF(MOD(A1345-INDEX(SkiftStart,L1345),Syklus)&lt;DagK,"Kveld",IF(MOD(A1345-INDEX(SkiftStart,L1345),Syklus)&lt;DagK+DagH,"Helg",IF(MOD(A1345-INDEX(SkiftStart,L1345),Syklus)&lt;DagK+DagH+DagD,"Dag","Fri"))))</f>
        <v/>
      </c>
      <c r="J1345" s="30">
        <f>IF(I1345="Fri","Ja","")</f>
        <v/>
      </c>
      <c r="K1345" s="30">
        <f>IF(B1345="","",IF(L1345="","Ukjent tekniker",IF(ISNA(MATCH(C1345,Aktiviteter,0)),"Ukjent aktivitet",IF(AND(INDEX(AktRolle,MATCH(C1345,Aktiviteter,0))&amp;""&lt;&gt;"",ISERROR(SEARCH(INDEX(AktRolle,MATCH(C1345,Aktiviteter,0))&amp;"",INDEX(TekRoller,MATCH(B1345,Teknikere,0))))),"Mangler rollen "&amp;INDEX(AktRolle,MATCH(C1345,Aktiviteter,0))&amp;"",IF(AND(C1345="LMS",F1345&gt;0,OR(D1345="",E1345="")),"Mangler maskin eller arbeid",IF(AND(OR(C1345="LMS",C1345="Mod"),D1345&lt;&gt;""),IF(IFERROR(INDEX(MaskinStatus,MATCH(D1345,Maskiner,0)),"")="I dokk","","Maskinen er ikke i dokk"),""))))))</f>
        <v/>
      </c>
      <c r="L1345" s="2">
        <f>IF(B1345="","",IFERROR(INT((MATCH(B1345,Teknikere,0)-1)/18)+1,""))</f>
        <v/>
      </c>
      <c r="M1345" s="2">
        <f>IF(OR(A1345="",B1345=""),"",B1345&amp;"|"&amp;A1345)</f>
        <v/>
      </c>
      <c r="N1345" s="2">
        <f>IF(M1345="","",SUMIFS(TF_Timer,TF_Nokkel,M1345,TF_Akt,C1345))</f>
        <v/>
      </c>
      <c r="O1345" s="2">
        <f>IF(M1345="","",IF(AND(N1345=_xlfn.MAXIFS(TF_AktSum,TF_Nokkel,M1345),COUNTIFS(M$3:M1344,M1345,N$3:N1344,N1345)=0),M1345,""))</f>
        <v/>
      </c>
    </row>
    <row r="1346">
      <c r="A1346" s="34" t="n"/>
      <c r="B1346" s="35" t="n"/>
      <c r="C1346" s="35" t="n"/>
      <c r="D1346" s="35" t="n"/>
      <c r="E1346" s="35" t="n"/>
      <c r="F1346" s="36" t="n"/>
      <c r="G1346" s="35" t="n"/>
      <c r="H1346" s="30">
        <f>IF(L1346="","",INDEX(SkiftNavn,L1346))</f>
        <v/>
      </c>
      <c r="I1346" s="30">
        <f>IF(OR(A1346="",L1346=""),"",IF(MOD(A1346-INDEX(SkiftStart,L1346),Syklus)&lt;DagK,"Kveld",IF(MOD(A1346-INDEX(SkiftStart,L1346),Syklus)&lt;DagK+DagH,"Helg",IF(MOD(A1346-INDEX(SkiftStart,L1346),Syklus)&lt;DagK+DagH+DagD,"Dag","Fri"))))</f>
        <v/>
      </c>
      <c r="J1346" s="30">
        <f>IF(I1346="Fri","Ja","")</f>
        <v/>
      </c>
      <c r="K1346" s="30">
        <f>IF(B1346="","",IF(L1346="","Ukjent tekniker",IF(ISNA(MATCH(C1346,Aktiviteter,0)),"Ukjent aktivitet",IF(AND(INDEX(AktRolle,MATCH(C1346,Aktiviteter,0))&amp;""&lt;&gt;"",ISERROR(SEARCH(INDEX(AktRolle,MATCH(C1346,Aktiviteter,0))&amp;"",INDEX(TekRoller,MATCH(B1346,Teknikere,0))))),"Mangler rollen "&amp;INDEX(AktRolle,MATCH(C1346,Aktiviteter,0))&amp;"",IF(AND(C1346="LMS",F1346&gt;0,OR(D1346="",E1346="")),"Mangler maskin eller arbeid",IF(AND(OR(C1346="LMS",C1346="Mod"),D1346&lt;&gt;""),IF(IFERROR(INDEX(MaskinStatus,MATCH(D1346,Maskiner,0)),"")="I dokk","","Maskinen er ikke i dokk"),""))))))</f>
        <v/>
      </c>
      <c r="L1346" s="2">
        <f>IF(B1346="","",IFERROR(INT((MATCH(B1346,Teknikere,0)-1)/18)+1,""))</f>
        <v/>
      </c>
      <c r="M1346" s="2">
        <f>IF(OR(A1346="",B1346=""),"",B1346&amp;"|"&amp;A1346)</f>
        <v/>
      </c>
      <c r="N1346" s="2">
        <f>IF(M1346="","",SUMIFS(TF_Timer,TF_Nokkel,M1346,TF_Akt,C1346))</f>
        <v/>
      </c>
      <c r="O1346" s="2">
        <f>IF(M1346="","",IF(AND(N1346=_xlfn.MAXIFS(TF_AktSum,TF_Nokkel,M1346),COUNTIFS(M$3:M1345,M1346,N$3:N1345,N1346)=0),M1346,""))</f>
        <v/>
      </c>
    </row>
    <row r="1347">
      <c r="A1347" s="34" t="n"/>
      <c r="B1347" s="35" t="n"/>
      <c r="C1347" s="35" t="n"/>
      <c r="D1347" s="35" t="n"/>
      <c r="E1347" s="35" t="n"/>
      <c r="F1347" s="36" t="n"/>
      <c r="G1347" s="35" t="n"/>
      <c r="H1347" s="30">
        <f>IF(L1347="","",INDEX(SkiftNavn,L1347))</f>
        <v/>
      </c>
      <c r="I1347" s="30">
        <f>IF(OR(A1347="",L1347=""),"",IF(MOD(A1347-INDEX(SkiftStart,L1347),Syklus)&lt;DagK,"Kveld",IF(MOD(A1347-INDEX(SkiftStart,L1347),Syklus)&lt;DagK+DagH,"Helg",IF(MOD(A1347-INDEX(SkiftStart,L1347),Syklus)&lt;DagK+DagH+DagD,"Dag","Fri"))))</f>
        <v/>
      </c>
      <c r="J1347" s="30">
        <f>IF(I1347="Fri","Ja","")</f>
        <v/>
      </c>
      <c r="K1347" s="30">
        <f>IF(B1347="","",IF(L1347="","Ukjent tekniker",IF(ISNA(MATCH(C1347,Aktiviteter,0)),"Ukjent aktivitet",IF(AND(INDEX(AktRolle,MATCH(C1347,Aktiviteter,0))&amp;""&lt;&gt;"",ISERROR(SEARCH(INDEX(AktRolle,MATCH(C1347,Aktiviteter,0))&amp;"",INDEX(TekRoller,MATCH(B1347,Teknikere,0))))),"Mangler rollen "&amp;INDEX(AktRolle,MATCH(C1347,Aktiviteter,0))&amp;"",IF(AND(C1347="LMS",F1347&gt;0,OR(D1347="",E1347="")),"Mangler maskin eller arbeid",IF(AND(OR(C1347="LMS",C1347="Mod"),D1347&lt;&gt;""),IF(IFERROR(INDEX(MaskinStatus,MATCH(D1347,Maskiner,0)),"")="I dokk","","Maskinen er ikke i dokk"),""))))))</f>
        <v/>
      </c>
      <c r="L1347" s="2">
        <f>IF(B1347="","",IFERROR(INT((MATCH(B1347,Teknikere,0)-1)/18)+1,""))</f>
        <v/>
      </c>
      <c r="M1347" s="2">
        <f>IF(OR(A1347="",B1347=""),"",B1347&amp;"|"&amp;A1347)</f>
        <v/>
      </c>
      <c r="N1347" s="2">
        <f>IF(M1347="","",SUMIFS(TF_Timer,TF_Nokkel,M1347,TF_Akt,C1347))</f>
        <v/>
      </c>
      <c r="O1347" s="2">
        <f>IF(M1347="","",IF(AND(N1347=_xlfn.MAXIFS(TF_AktSum,TF_Nokkel,M1347),COUNTIFS(M$3:M1346,M1347,N$3:N1346,N1347)=0),M1347,""))</f>
        <v/>
      </c>
    </row>
    <row r="1348">
      <c r="A1348" s="34" t="n"/>
      <c r="B1348" s="35" t="n"/>
      <c r="C1348" s="35" t="n"/>
      <c r="D1348" s="35" t="n"/>
      <c r="E1348" s="35" t="n"/>
      <c r="F1348" s="36" t="n"/>
      <c r="G1348" s="35" t="n"/>
      <c r="H1348" s="30">
        <f>IF(L1348="","",INDEX(SkiftNavn,L1348))</f>
        <v/>
      </c>
      <c r="I1348" s="30">
        <f>IF(OR(A1348="",L1348=""),"",IF(MOD(A1348-INDEX(SkiftStart,L1348),Syklus)&lt;DagK,"Kveld",IF(MOD(A1348-INDEX(SkiftStart,L1348),Syklus)&lt;DagK+DagH,"Helg",IF(MOD(A1348-INDEX(SkiftStart,L1348),Syklus)&lt;DagK+DagH+DagD,"Dag","Fri"))))</f>
        <v/>
      </c>
      <c r="J1348" s="30">
        <f>IF(I1348="Fri","Ja","")</f>
        <v/>
      </c>
      <c r="K1348" s="30">
        <f>IF(B1348="","",IF(L1348="","Ukjent tekniker",IF(ISNA(MATCH(C1348,Aktiviteter,0)),"Ukjent aktivitet",IF(AND(INDEX(AktRolle,MATCH(C1348,Aktiviteter,0))&amp;""&lt;&gt;"",ISERROR(SEARCH(INDEX(AktRolle,MATCH(C1348,Aktiviteter,0))&amp;"",INDEX(TekRoller,MATCH(B1348,Teknikere,0))))),"Mangler rollen "&amp;INDEX(AktRolle,MATCH(C1348,Aktiviteter,0))&amp;"",IF(AND(C1348="LMS",F1348&gt;0,OR(D1348="",E1348="")),"Mangler maskin eller arbeid",IF(AND(OR(C1348="LMS",C1348="Mod"),D1348&lt;&gt;""),IF(IFERROR(INDEX(MaskinStatus,MATCH(D1348,Maskiner,0)),"")="I dokk","","Maskinen er ikke i dokk"),""))))))</f>
        <v/>
      </c>
      <c r="L1348" s="2">
        <f>IF(B1348="","",IFERROR(INT((MATCH(B1348,Teknikere,0)-1)/18)+1,""))</f>
        <v/>
      </c>
      <c r="M1348" s="2">
        <f>IF(OR(A1348="",B1348=""),"",B1348&amp;"|"&amp;A1348)</f>
        <v/>
      </c>
      <c r="N1348" s="2">
        <f>IF(M1348="","",SUMIFS(TF_Timer,TF_Nokkel,M1348,TF_Akt,C1348))</f>
        <v/>
      </c>
      <c r="O1348" s="2">
        <f>IF(M1348="","",IF(AND(N1348=_xlfn.MAXIFS(TF_AktSum,TF_Nokkel,M1348),COUNTIFS(M$3:M1347,M1348,N$3:N1347,N1348)=0),M1348,""))</f>
        <v/>
      </c>
    </row>
    <row r="1349">
      <c r="A1349" s="34" t="n"/>
      <c r="B1349" s="35" t="n"/>
      <c r="C1349" s="35" t="n"/>
      <c r="D1349" s="35" t="n"/>
      <c r="E1349" s="35" t="n"/>
      <c r="F1349" s="36" t="n"/>
      <c r="G1349" s="35" t="n"/>
      <c r="H1349" s="30">
        <f>IF(L1349="","",INDEX(SkiftNavn,L1349))</f>
        <v/>
      </c>
      <c r="I1349" s="30">
        <f>IF(OR(A1349="",L1349=""),"",IF(MOD(A1349-INDEX(SkiftStart,L1349),Syklus)&lt;DagK,"Kveld",IF(MOD(A1349-INDEX(SkiftStart,L1349),Syklus)&lt;DagK+DagH,"Helg",IF(MOD(A1349-INDEX(SkiftStart,L1349),Syklus)&lt;DagK+DagH+DagD,"Dag","Fri"))))</f>
        <v/>
      </c>
      <c r="J1349" s="30">
        <f>IF(I1349="Fri","Ja","")</f>
        <v/>
      </c>
      <c r="K1349" s="30">
        <f>IF(B1349="","",IF(L1349="","Ukjent tekniker",IF(ISNA(MATCH(C1349,Aktiviteter,0)),"Ukjent aktivitet",IF(AND(INDEX(AktRolle,MATCH(C1349,Aktiviteter,0))&amp;""&lt;&gt;"",ISERROR(SEARCH(INDEX(AktRolle,MATCH(C1349,Aktiviteter,0))&amp;"",INDEX(TekRoller,MATCH(B1349,Teknikere,0))))),"Mangler rollen "&amp;INDEX(AktRolle,MATCH(C1349,Aktiviteter,0))&amp;"",IF(AND(C1349="LMS",F1349&gt;0,OR(D1349="",E1349="")),"Mangler maskin eller arbeid",IF(AND(OR(C1349="LMS",C1349="Mod"),D1349&lt;&gt;""),IF(IFERROR(INDEX(MaskinStatus,MATCH(D1349,Maskiner,0)),"")="I dokk","","Maskinen er ikke i dokk"),""))))))</f>
        <v/>
      </c>
      <c r="L1349" s="2">
        <f>IF(B1349="","",IFERROR(INT((MATCH(B1349,Teknikere,0)-1)/18)+1,""))</f>
        <v/>
      </c>
      <c r="M1349" s="2">
        <f>IF(OR(A1349="",B1349=""),"",B1349&amp;"|"&amp;A1349)</f>
        <v/>
      </c>
      <c r="N1349" s="2">
        <f>IF(M1349="","",SUMIFS(TF_Timer,TF_Nokkel,M1349,TF_Akt,C1349))</f>
        <v/>
      </c>
      <c r="O1349" s="2">
        <f>IF(M1349="","",IF(AND(N1349=_xlfn.MAXIFS(TF_AktSum,TF_Nokkel,M1349),COUNTIFS(M$3:M1348,M1349,N$3:N1348,N1349)=0),M1349,""))</f>
        <v/>
      </c>
    </row>
    <row r="1350">
      <c r="A1350" s="34" t="n"/>
      <c r="B1350" s="35" t="n"/>
      <c r="C1350" s="35" t="n"/>
      <c r="D1350" s="35" t="n"/>
      <c r="E1350" s="35" t="n"/>
      <c r="F1350" s="36" t="n"/>
      <c r="G1350" s="35" t="n"/>
      <c r="H1350" s="30">
        <f>IF(L1350="","",INDEX(SkiftNavn,L1350))</f>
        <v/>
      </c>
      <c r="I1350" s="30">
        <f>IF(OR(A1350="",L1350=""),"",IF(MOD(A1350-INDEX(SkiftStart,L1350),Syklus)&lt;DagK,"Kveld",IF(MOD(A1350-INDEX(SkiftStart,L1350),Syklus)&lt;DagK+DagH,"Helg",IF(MOD(A1350-INDEX(SkiftStart,L1350),Syklus)&lt;DagK+DagH+DagD,"Dag","Fri"))))</f>
        <v/>
      </c>
      <c r="J1350" s="30">
        <f>IF(I1350="Fri","Ja","")</f>
        <v/>
      </c>
      <c r="K1350" s="30">
        <f>IF(B1350="","",IF(L1350="","Ukjent tekniker",IF(ISNA(MATCH(C1350,Aktiviteter,0)),"Ukjent aktivitet",IF(AND(INDEX(AktRolle,MATCH(C1350,Aktiviteter,0))&amp;""&lt;&gt;"",ISERROR(SEARCH(INDEX(AktRolle,MATCH(C1350,Aktiviteter,0))&amp;"",INDEX(TekRoller,MATCH(B1350,Teknikere,0))))),"Mangler rollen "&amp;INDEX(AktRolle,MATCH(C1350,Aktiviteter,0))&amp;"",IF(AND(C1350="LMS",F1350&gt;0,OR(D1350="",E1350="")),"Mangler maskin eller arbeid",IF(AND(OR(C1350="LMS",C1350="Mod"),D1350&lt;&gt;""),IF(IFERROR(INDEX(MaskinStatus,MATCH(D1350,Maskiner,0)),"")="I dokk","","Maskinen er ikke i dokk"),""))))))</f>
        <v/>
      </c>
      <c r="L1350" s="2">
        <f>IF(B1350="","",IFERROR(INT((MATCH(B1350,Teknikere,0)-1)/18)+1,""))</f>
        <v/>
      </c>
      <c r="M1350" s="2">
        <f>IF(OR(A1350="",B1350=""),"",B1350&amp;"|"&amp;A1350)</f>
        <v/>
      </c>
      <c r="N1350" s="2">
        <f>IF(M1350="","",SUMIFS(TF_Timer,TF_Nokkel,M1350,TF_Akt,C1350))</f>
        <v/>
      </c>
      <c r="O1350" s="2">
        <f>IF(M1350="","",IF(AND(N1350=_xlfn.MAXIFS(TF_AktSum,TF_Nokkel,M1350),COUNTIFS(M$3:M1349,M1350,N$3:N1349,N1350)=0),M1350,""))</f>
        <v/>
      </c>
    </row>
    <row r="1351">
      <c r="A1351" s="34" t="n"/>
      <c r="B1351" s="35" t="n"/>
      <c r="C1351" s="35" t="n"/>
      <c r="D1351" s="35" t="n"/>
      <c r="E1351" s="35" t="n"/>
      <c r="F1351" s="36" t="n"/>
      <c r="G1351" s="35" t="n"/>
      <c r="H1351" s="30">
        <f>IF(L1351="","",INDEX(SkiftNavn,L1351))</f>
        <v/>
      </c>
      <c r="I1351" s="30">
        <f>IF(OR(A1351="",L1351=""),"",IF(MOD(A1351-INDEX(SkiftStart,L1351),Syklus)&lt;DagK,"Kveld",IF(MOD(A1351-INDEX(SkiftStart,L1351),Syklus)&lt;DagK+DagH,"Helg",IF(MOD(A1351-INDEX(SkiftStart,L1351),Syklus)&lt;DagK+DagH+DagD,"Dag","Fri"))))</f>
        <v/>
      </c>
      <c r="J1351" s="30">
        <f>IF(I1351="Fri","Ja","")</f>
        <v/>
      </c>
      <c r="K1351" s="30">
        <f>IF(B1351="","",IF(L1351="","Ukjent tekniker",IF(ISNA(MATCH(C1351,Aktiviteter,0)),"Ukjent aktivitet",IF(AND(INDEX(AktRolle,MATCH(C1351,Aktiviteter,0))&amp;""&lt;&gt;"",ISERROR(SEARCH(INDEX(AktRolle,MATCH(C1351,Aktiviteter,0))&amp;"",INDEX(TekRoller,MATCH(B1351,Teknikere,0))))),"Mangler rollen "&amp;INDEX(AktRolle,MATCH(C1351,Aktiviteter,0))&amp;"",IF(AND(C1351="LMS",F1351&gt;0,OR(D1351="",E1351="")),"Mangler maskin eller arbeid",IF(AND(OR(C1351="LMS",C1351="Mod"),D1351&lt;&gt;""),IF(IFERROR(INDEX(MaskinStatus,MATCH(D1351,Maskiner,0)),"")="I dokk","","Maskinen er ikke i dokk"),""))))))</f>
        <v/>
      </c>
      <c r="L1351" s="2">
        <f>IF(B1351="","",IFERROR(INT((MATCH(B1351,Teknikere,0)-1)/18)+1,""))</f>
        <v/>
      </c>
      <c r="M1351" s="2">
        <f>IF(OR(A1351="",B1351=""),"",B1351&amp;"|"&amp;A1351)</f>
        <v/>
      </c>
      <c r="N1351" s="2">
        <f>IF(M1351="","",SUMIFS(TF_Timer,TF_Nokkel,M1351,TF_Akt,C1351))</f>
        <v/>
      </c>
      <c r="O1351" s="2">
        <f>IF(M1351="","",IF(AND(N1351=_xlfn.MAXIFS(TF_AktSum,TF_Nokkel,M1351),COUNTIFS(M$3:M1350,M1351,N$3:N1350,N1351)=0),M1351,""))</f>
        <v/>
      </c>
    </row>
    <row r="1352">
      <c r="A1352" s="34" t="n"/>
      <c r="B1352" s="35" t="n"/>
      <c r="C1352" s="35" t="n"/>
      <c r="D1352" s="35" t="n"/>
      <c r="E1352" s="35" t="n"/>
      <c r="F1352" s="36" t="n"/>
      <c r="G1352" s="35" t="n"/>
      <c r="H1352" s="30">
        <f>IF(L1352="","",INDEX(SkiftNavn,L1352))</f>
        <v/>
      </c>
      <c r="I1352" s="30">
        <f>IF(OR(A1352="",L1352=""),"",IF(MOD(A1352-INDEX(SkiftStart,L1352),Syklus)&lt;DagK,"Kveld",IF(MOD(A1352-INDEX(SkiftStart,L1352),Syklus)&lt;DagK+DagH,"Helg",IF(MOD(A1352-INDEX(SkiftStart,L1352),Syklus)&lt;DagK+DagH+DagD,"Dag","Fri"))))</f>
        <v/>
      </c>
      <c r="J1352" s="30">
        <f>IF(I1352="Fri","Ja","")</f>
        <v/>
      </c>
      <c r="K1352" s="30">
        <f>IF(B1352="","",IF(L1352="","Ukjent tekniker",IF(ISNA(MATCH(C1352,Aktiviteter,0)),"Ukjent aktivitet",IF(AND(INDEX(AktRolle,MATCH(C1352,Aktiviteter,0))&amp;""&lt;&gt;"",ISERROR(SEARCH(INDEX(AktRolle,MATCH(C1352,Aktiviteter,0))&amp;"",INDEX(TekRoller,MATCH(B1352,Teknikere,0))))),"Mangler rollen "&amp;INDEX(AktRolle,MATCH(C1352,Aktiviteter,0))&amp;"",IF(AND(C1352="LMS",F1352&gt;0,OR(D1352="",E1352="")),"Mangler maskin eller arbeid",IF(AND(OR(C1352="LMS",C1352="Mod"),D1352&lt;&gt;""),IF(IFERROR(INDEX(MaskinStatus,MATCH(D1352,Maskiner,0)),"")="I dokk","","Maskinen er ikke i dokk"),""))))))</f>
        <v/>
      </c>
      <c r="L1352" s="2">
        <f>IF(B1352="","",IFERROR(INT((MATCH(B1352,Teknikere,0)-1)/18)+1,""))</f>
        <v/>
      </c>
      <c r="M1352" s="2">
        <f>IF(OR(A1352="",B1352=""),"",B1352&amp;"|"&amp;A1352)</f>
        <v/>
      </c>
      <c r="N1352" s="2">
        <f>IF(M1352="","",SUMIFS(TF_Timer,TF_Nokkel,M1352,TF_Akt,C1352))</f>
        <v/>
      </c>
      <c r="O1352" s="2">
        <f>IF(M1352="","",IF(AND(N1352=_xlfn.MAXIFS(TF_AktSum,TF_Nokkel,M1352),COUNTIFS(M$3:M1351,M1352,N$3:N1351,N1352)=0),M1352,""))</f>
        <v/>
      </c>
    </row>
    <row r="1353">
      <c r="A1353" s="34" t="n"/>
      <c r="B1353" s="35" t="n"/>
      <c r="C1353" s="35" t="n"/>
      <c r="D1353" s="35" t="n"/>
      <c r="E1353" s="35" t="n"/>
      <c r="F1353" s="36" t="n"/>
      <c r="G1353" s="35" t="n"/>
      <c r="H1353" s="30">
        <f>IF(L1353="","",INDEX(SkiftNavn,L1353))</f>
        <v/>
      </c>
      <c r="I1353" s="30">
        <f>IF(OR(A1353="",L1353=""),"",IF(MOD(A1353-INDEX(SkiftStart,L1353),Syklus)&lt;DagK,"Kveld",IF(MOD(A1353-INDEX(SkiftStart,L1353),Syklus)&lt;DagK+DagH,"Helg",IF(MOD(A1353-INDEX(SkiftStart,L1353),Syklus)&lt;DagK+DagH+DagD,"Dag","Fri"))))</f>
        <v/>
      </c>
      <c r="J1353" s="30">
        <f>IF(I1353="Fri","Ja","")</f>
        <v/>
      </c>
      <c r="K1353" s="30">
        <f>IF(B1353="","",IF(L1353="","Ukjent tekniker",IF(ISNA(MATCH(C1353,Aktiviteter,0)),"Ukjent aktivitet",IF(AND(INDEX(AktRolle,MATCH(C1353,Aktiviteter,0))&amp;""&lt;&gt;"",ISERROR(SEARCH(INDEX(AktRolle,MATCH(C1353,Aktiviteter,0))&amp;"",INDEX(TekRoller,MATCH(B1353,Teknikere,0))))),"Mangler rollen "&amp;INDEX(AktRolle,MATCH(C1353,Aktiviteter,0))&amp;"",IF(AND(C1353="LMS",F1353&gt;0,OR(D1353="",E1353="")),"Mangler maskin eller arbeid",IF(AND(OR(C1353="LMS",C1353="Mod"),D1353&lt;&gt;""),IF(IFERROR(INDEX(MaskinStatus,MATCH(D1353,Maskiner,0)),"")="I dokk","","Maskinen er ikke i dokk"),""))))))</f>
        <v/>
      </c>
      <c r="L1353" s="2">
        <f>IF(B1353="","",IFERROR(INT((MATCH(B1353,Teknikere,0)-1)/18)+1,""))</f>
        <v/>
      </c>
      <c r="M1353" s="2">
        <f>IF(OR(A1353="",B1353=""),"",B1353&amp;"|"&amp;A1353)</f>
        <v/>
      </c>
      <c r="N1353" s="2">
        <f>IF(M1353="","",SUMIFS(TF_Timer,TF_Nokkel,M1353,TF_Akt,C1353))</f>
        <v/>
      </c>
      <c r="O1353" s="2">
        <f>IF(M1353="","",IF(AND(N1353=_xlfn.MAXIFS(TF_AktSum,TF_Nokkel,M1353),COUNTIFS(M$3:M1352,M1353,N$3:N1352,N1353)=0),M1353,""))</f>
        <v/>
      </c>
    </row>
    <row r="1354">
      <c r="A1354" s="34" t="n"/>
      <c r="B1354" s="35" t="n"/>
      <c r="C1354" s="35" t="n"/>
      <c r="D1354" s="35" t="n"/>
      <c r="E1354" s="35" t="n"/>
      <c r="F1354" s="36" t="n"/>
      <c r="G1354" s="35" t="n"/>
      <c r="H1354" s="30">
        <f>IF(L1354="","",INDEX(SkiftNavn,L1354))</f>
        <v/>
      </c>
      <c r="I1354" s="30">
        <f>IF(OR(A1354="",L1354=""),"",IF(MOD(A1354-INDEX(SkiftStart,L1354),Syklus)&lt;DagK,"Kveld",IF(MOD(A1354-INDEX(SkiftStart,L1354),Syklus)&lt;DagK+DagH,"Helg",IF(MOD(A1354-INDEX(SkiftStart,L1354),Syklus)&lt;DagK+DagH+DagD,"Dag","Fri"))))</f>
        <v/>
      </c>
      <c r="J1354" s="30">
        <f>IF(I1354="Fri","Ja","")</f>
        <v/>
      </c>
      <c r="K1354" s="30">
        <f>IF(B1354="","",IF(L1354="","Ukjent tekniker",IF(ISNA(MATCH(C1354,Aktiviteter,0)),"Ukjent aktivitet",IF(AND(INDEX(AktRolle,MATCH(C1354,Aktiviteter,0))&amp;""&lt;&gt;"",ISERROR(SEARCH(INDEX(AktRolle,MATCH(C1354,Aktiviteter,0))&amp;"",INDEX(TekRoller,MATCH(B1354,Teknikere,0))))),"Mangler rollen "&amp;INDEX(AktRolle,MATCH(C1354,Aktiviteter,0))&amp;"",IF(AND(C1354="LMS",F1354&gt;0,OR(D1354="",E1354="")),"Mangler maskin eller arbeid",IF(AND(OR(C1354="LMS",C1354="Mod"),D1354&lt;&gt;""),IF(IFERROR(INDEX(MaskinStatus,MATCH(D1354,Maskiner,0)),"")="I dokk","","Maskinen er ikke i dokk"),""))))))</f>
        <v/>
      </c>
      <c r="L1354" s="2">
        <f>IF(B1354="","",IFERROR(INT((MATCH(B1354,Teknikere,0)-1)/18)+1,""))</f>
        <v/>
      </c>
      <c r="M1354" s="2">
        <f>IF(OR(A1354="",B1354=""),"",B1354&amp;"|"&amp;A1354)</f>
        <v/>
      </c>
      <c r="N1354" s="2">
        <f>IF(M1354="","",SUMIFS(TF_Timer,TF_Nokkel,M1354,TF_Akt,C1354))</f>
        <v/>
      </c>
      <c r="O1354" s="2">
        <f>IF(M1354="","",IF(AND(N1354=_xlfn.MAXIFS(TF_AktSum,TF_Nokkel,M1354),COUNTIFS(M$3:M1353,M1354,N$3:N1353,N1354)=0),M1354,""))</f>
        <v/>
      </c>
    </row>
    <row r="1355">
      <c r="A1355" s="34" t="n"/>
      <c r="B1355" s="35" t="n"/>
      <c r="C1355" s="35" t="n"/>
      <c r="D1355" s="35" t="n"/>
      <c r="E1355" s="35" t="n"/>
      <c r="F1355" s="36" t="n"/>
      <c r="G1355" s="35" t="n"/>
      <c r="H1355" s="30">
        <f>IF(L1355="","",INDEX(SkiftNavn,L1355))</f>
        <v/>
      </c>
      <c r="I1355" s="30">
        <f>IF(OR(A1355="",L1355=""),"",IF(MOD(A1355-INDEX(SkiftStart,L1355),Syklus)&lt;DagK,"Kveld",IF(MOD(A1355-INDEX(SkiftStart,L1355),Syklus)&lt;DagK+DagH,"Helg",IF(MOD(A1355-INDEX(SkiftStart,L1355),Syklus)&lt;DagK+DagH+DagD,"Dag","Fri"))))</f>
        <v/>
      </c>
      <c r="J1355" s="30">
        <f>IF(I1355="Fri","Ja","")</f>
        <v/>
      </c>
      <c r="K1355" s="30">
        <f>IF(B1355="","",IF(L1355="","Ukjent tekniker",IF(ISNA(MATCH(C1355,Aktiviteter,0)),"Ukjent aktivitet",IF(AND(INDEX(AktRolle,MATCH(C1355,Aktiviteter,0))&amp;""&lt;&gt;"",ISERROR(SEARCH(INDEX(AktRolle,MATCH(C1355,Aktiviteter,0))&amp;"",INDEX(TekRoller,MATCH(B1355,Teknikere,0))))),"Mangler rollen "&amp;INDEX(AktRolle,MATCH(C1355,Aktiviteter,0))&amp;"",IF(AND(C1355="LMS",F1355&gt;0,OR(D1355="",E1355="")),"Mangler maskin eller arbeid",IF(AND(OR(C1355="LMS",C1355="Mod"),D1355&lt;&gt;""),IF(IFERROR(INDEX(MaskinStatus,MATCH(D1355,Maskiner,0)),"")="I dokk","","Maskinen er ikke i dokk"),""))))))</f>
        <v/>
      </c>
      <c r="L1355" s="2">
        <f>IF(B1355="","",IFERROR(INT((MATCH(B1355,Teknikere,0)-1)/18)+1,""))</f>
        <v/>
      </c>
      <c r="M1355" s="2">
        <f>IF(OR(A1355="",B1355=""),"",B1355&amp;"|"&amp;A1355)</f>
        <v/>
      </c>
      <c r="N1355" s="2">
        <f>IF(M1355="","",SUMIFS(TF_Timer,TF_Nokkel,M1355,TF_Akt,C1355))</f>
        <v/>
      </c>
      <c r="O1355" s="2">
        <f>IF(M1355="","",IF(AND(N1355=_xlfn.MAXIFS(TF_AktSum,TF_Nokkel,M1355),COUNTIFS(M$3:M1354,M1355,N$3:N1354,N1355)=0),M1355,""))</f>
        <v/>
      </c>
    </row>
    <row r="1356">
      <c r="A1356" s="34" t="n"/>
      <c r="B1356" s="35" t="n"/>
      <c r="C1356" s="35" t="n"/>
      <c r="D1356" s="35" t="n"/>
      <c r="E1356" s="35" t="n"/>
      <c r="F1356" s="36" t="n"/>
      <c r="G1356" s="35" t="n"/>
      <c r="H1356" s="30">
        <f>IF(L1356="","",INDEX(SkiftNavn,L1356))</f>
        <v/>
      </c>
      <c r="I1356" s="30">
        <f>IF(OR(A1356="",L1356=""),"",IF(MOD(A1356-INDEX(SkiftStart,L1356),Syklus)&lt;DagK,"Kveld",IF(MOD(A1356-INDEX(SkiftStart,L1356),Syklus)&lt;DagK+DagH,"Helg",IF(MOD(A1356-INDEX(SkiftStart,L1356),Syklus)&lt;DagK+DagH+DagD,"Dag","Fri"))))</f>
        <v/>
      </c>
      <c r="J1356" s="30">
        <f>IF(I1356="Fri","Ja","")</f>
        <v/>
      </c>
      <c r="K1356" s="30">
        <f>IF(B1356="","",IF(L1356="","Ukjent tekniker",IF(ISNA(MATCH(C1356,Aktiviteter,0)),"Ukjent aktivitet",IF(AND(INDEX(AktRolle,MATCH(C1356,Aktiviteter,0))&amp;""&lt;&gt;"",ISERROR(SEARCH(INDEX(AktRolle,MATCH(C1356,Aktiviteter,0))&amp;"",INDEX(TekRoller,MATCH(B1356,Teknikere,0))))),"Mangler rollen "&amp;INDEX(AktRolle,MATCH(C1356,Aktiviteter,0))&amp;"",IF(AND(C1356="LMS",F1356&gt;0,OR(D1356="",E1356="")),"Mangler maskin eller arbeid",IF(AND(OR(C1356="LMS",C1356="Mod"),D1356&lt;&gt;""),IF(IFERROR(INDEX(MaskinStatus,MATCH(D1356,Maskiner,0)),"")="I dokk","","Maskinen er ikke i dokk"),""))))))</f>
        <v/>
      </c>
      <c r="L1356" s="2">
        <f>IF(B1356="","",IFERROR(INT((MATCH(B1356,Teknikere,0)-1)/18)+1,""))</f>
        <v/>
      </c>
      <c r="M1356" s="2">
        <f>IF(OR(A1356="",B1356=""),"",B1356&amp;"|"&amp;A1356)</f>
        <v/>
      </c>
      <c r="N1356" s="2">
        <f>IF(M1356="","",SUMIFS(TF_Timer,TF_Nokkel,M1356,TF_Akt,C1356))</f>
        <v/>
      </c>
      <c r="O1356" s="2">
        <f>IF(M1356="","",IF(AND(N1356=_xlfn.MAXIFS(TF_AktSum,TF_Nokkel,M1356),COUNTIFS(M$3:M1355,M1356,N$3:N1355,N1356)=0),M1356,""))</f>
        <v/>
      </c>
    </row>
    <row r="1357">
      <c r="A1357" s="34" t="n"/>
      <c r="B1357" s="35" t="n"/>
      <c r="C1357" s="35" t="n"/>
      <c r="D1357" s="35" t="n"/>
      <c r="E1357" s="35" t="n"/>
      <c r="F1357" s="36" t="n"/>
      <c r="G1357" s="35" t="n"/>
      <c r="H1357" s="30">
        <f>IF(L1357="","",INDEX(SkiftNavn,L1357))</f>
        <v/>
      </c>
      <c r="I1357" s="30">
        <f>IF(OR(A1357="",L1357=""),"",IF(MOD(A1357-INDEX(SkiftStart,L1357),Syklus)&lt;DagK,"Kveld",IF(MOD(A1357-INDEX(SkiftStart,L1357),Syklus)&lt;DagK+DagH,"Helg",IF(MOD(A1357-INDEX(SkiftStart,L1357),Syklus)&lt;DagK+DagH+DagD,"Dag","Fri"))))</f>
        <v/>
      </c>
      <c r="J1357" s="30">
        <f>IF(I1357="Fri","Ja","")</f>
        <v/>
      </c>
      <c r="K1357" s="30">
        <f>IF(B1357="","",IF(L1357="","Ukjent tekniker",IF(ISNA(MATCH(C1357,Aktiviteter,0)),"Ukjent aktivitet",IF(AND(INDEX(AktRolle,MATCH(C1357,Aktiviteter,0))&amp;""&lt;&gt;"",ISERROR(SEARCH(INDEX(AktRolle,MATCH(C1357,Aktiviteter,0))&amp;"",INDEX(TekRoller,MATCH(B1357,Teknikere,0))))),"Mangler rollen "&amp;INDEX(AktRolle,MATCH(C1357,Aktiviteter,0))&amp;"",IF(AND(C1357="LMS",F1357&gt;0,OR(D1357="",E1357="")),"Mangler maskin eller arbeid",IF(AND(OR(C1357="LMS",C1357="Mod"),D1357&lt;&gt;""),IF(IFERROR(INDEX(MaskinStatus,MATCH(D1357,Maskiner,0)),"")="I dokk","","Maskinen er ikke i dokk"),""))))))</f>
        <v/>
      </c>
      <c r="L1357" s="2">
        <f>IF(B1357="","",IFERROR(INT((MATCH(B1357,Teknikere,0)-1)/18)+1,""))</f>
        <v/>
      </c>
      <c r="M1357" s="2">
        <f>IF(OR(A1357="",B1357=""),"",B1357&amp;"|"&amp;A1357)</f>
        <v/>
      </c>
      <c r="N1357" s="2">
        <f>IF(M1357="","",SUMIFS(TF_Timer,TF_Nokkel,M1357,TF_Akt,C1357))</f>
        <v/>
      </c>
      <c r="O1357" s="2">
        <f>IF(M1357="","",IF(AND(N1357=_xlfn.MAXIFS(TF_AktSum,TF_Nokkel,M1357),COUNTIFS(M$3:M1356,M1357,N$3:N1356,N1357)=0),M1357,""))</f>
        <v/>
      </c>
    </row>
    <row r="1358">
      <c r="A1358" s="34" t="n"/>
      <c r="B1358" s="35" t="n"/>
      <c r="C1358" s="35" t="n"/>
      <c r="D1358" s="35" t="n"/>
      <c r="E1358" s="35" t="n"/>
      <c r="F1358" s="36" t="n"/>
      <c r="G1358" s="35" t="n"/>
      <c r="H1358" s="30">
        <f>IF(L1358="","",INDEX(SkiftNavn,L1358))</f>
        <v/>
      </c>
      <c r="I1358" s="30">
        <f>IF(OR(A1358="",L1358=""),"",IF(MOD(A1358-INDEX(SkiftStart,L1358),Syklus)&lt;DagK,"Kveld",IF(MOD(A1358-INDEX(SkiftStart,L1358),Syklus)&lt;DagK+DagH,"Helg",IF(MOD(A1358-INDEX(SkiftStart,L1358),Syklus)&lt;DagK+DagH+DagD,"Dag","Fri"))))</f>
        <v/>
      </c>
      <c r="J1358" s="30">
        <f>IF(I1358="Fri","Ja","")</f>
        <v/>
      </c>
      <c r="K1358" s="30">
        <f>IF(B1358="","",IF(L1358="","Ukjent tekniker",IF(ISNA(MATCH(C1358,Aktiviteter,0)),"Ukjent aktivitet",IF(AND(INDEX(AktRolle,MATCH(C1358,Aktiviteter,0))&amp;""&lt;&gt;"",ISERROR(SEARCH(INDEX(AktRolle,MATCH(C1358,Aktiviteter,0))&amp;"",INDEX(TekRoller,MATCH(B1358,Teknikere,0))))),"Mangler rollen "&amp;INDEX(AktRolle,MATCH(C1358,Aktiviteter,0))&amp;"",IF(AND(C1358="LMS",F1358&gt;0,OR(D1358="",E1358="")),"Mangler maskin eller arbeid",IF(AND(OR(C1358="LMS",C1358="Mod"),D1358&lt;&gt;""),IF(IFERROR(INDEX(MaskinStatus,MATCH(D1358,Maskiner,0)),"")="I dokk","","Maskinen er ikke i dokk"),""))))))</f>
        <v/>
      </c>
      <c r="L1358" s="2">
        <f>IF(B1358="","",IFERROR(INT((MATCH(B1358,Teknikere,0)-1)/18)+1,""))</f>
        <v/>
      </c>
      <c r="M1358" s="2">
        <f>IF(OR(A1358="",B1358=""),"",B1358&amp;"|"&amp;A1358)</f>
        <v/>
      </c>
      <c r="N1358" s="2">
        <f>IF(M1358="","",SUMIFS(TF_Timer,TF_Nokkel,M1358,TF_Akt,C1358))</f>
        <v/>
      </c>
      <c r="O1358" s="2">
        <f>IF(M1358="","",IF(AND(N1358=_xlfn.MAXIFS(TF_AktSum,TF_Nokkel,M1358),COUNTIFS(M$3:M1357,M1358,N$3:N1357,N1358)=0),M1358,""))</f>
        <v/>
      </c>
    </row>
    <row r="1359">
      <c r="A1359" s="34" t="n"/>
      <c r="B1359" s="35" t="n"/>
      <c r="C1359" s="35" t="n"/>
      <c r="D1359" s="35" t="n"/>
      <c r="E1359" s="35" t="n"/>
      <c r="F1359" s="36" t="n"/>
      <c r="G1359" s="35" t="n"/>
      <c r="H1359" s="30">
        <f>IF(L1359="","",INDEX(SkiftNavn,L1359))</f>
        <v/>
      </c>
      <c r="I1359" s="30">
        <f>IF(OR(A1359="",L1359=""),"",IF(MOD(A1359-INDEX(SkiftStart,L1359),Syklus)&lt;DagK,"Kveld",IF(MOD(A1359-INDEX(SkiftStart,L1359),Syklus)&lt;DagK+DagH,"Helg",IF(MOD(A1359-INDEX(SkiftStart,L1359),Syklus)&lt;DagK+DagH+DagD,"Dag","Fri"))))</f>
        <v/>
      </c>
      <c r="J1359" s="30">
        <f>IF(I1359="Fri","Ja","")</f>
        <v/>
      </c>
      <c r="K1359" s="30">
        <f>IF(B1359="","",IF(L1359="","Ukjent tekniker",IF(ISNA(MATCH(C1359,Aktiviteter,0)),"Ukjent aktivitet",IF(AND(INDEX(AktRolle,MATCH(C1359,Aktiviteter,0))&amp;""&lt;&gt;"",ISERROR(SEARCH(INDEX(AktRolle,MATCH(C1359,Aktiviteter,0))&amp;"",INDEX(TekRoller,MATCH(B1359,Teknikere,0))))),"Mangler rollen "&amp;INDEX(AktRolle,MATCH(C1359,Aktiviteter,0))&amp;"",IF(AND(C1359="LMS",F1359&gt;0,OR(D1359="",E1359="")),"Mangler maskin eller arbeid",IF(AND(OR(C1359="LMS",C1359="Mod"),D1359&lt;&gt;""),IF(IFERROR(INDEX(MaskinStatus,MATCH(D1359,Maskiner,0)),"")="I dokk","","Maskinen er ikke i dokk"),""))))))</f>
        <v/>
      </c>
      <c r="L1359" s="2">
        <f>IF(B1359="","",IFERROR(INT((MATCH(B1359,Teknikere,0)-1)/18)+1,""))</f>
        <v/>
      </c>
      <c r="M1359" s="2">
        <f>IF(OR(A1359="",B1359=""),"",B1359&amp;"|"&amp;A1359)</f>
        <v/>
      </c>
      <c r="N1359" s="2">
        <f>IF(M1359="","",SUMIFS(TF_Timer,TF_Nokkel,M1359,TF_Akt,C1359))</f>
        <v/>
      </c>
      <c r="O1359" s="2">
        <f>IF(M1359="","",IF(AND(N1359=_xlfn.MAXIFS(TF_AktSum,TF_Nokkel,M1359),COUNTIFS(M$3:M1358,M1359,N$3:N1358,N1359)=0),M1359,""))</f>
        <v/>
      </c>
    </row>
    <row r="1360">
      <c r="A1360" s="34" t="n"/>
      <c r="B1360" s="35" t="n"/>
      <c r="C1360" s="35" t="n"/>
      <c r="D1360" s="35" t="n"/>
      <c r="E1360" s="35" t="n"/>
      <c r="F1360" s="36" t="n"/>
      <c r="G1360" s="35" t="n"/>
      <c r="H1360" s="30">
        <f>IF(L1360="","",INDEX(SkiftNavn,L1360))</f>
        <v/>
      </c>
      <c r="I1360" s="30">
        <f>IF(OR(A1360="",L1360=""),"",IF(MOD(A1360-INDEX(SkiftStart,L1360),Syklus)&lt;DagK,"Kveld",IF(MOD(A1360-INDEX(SkiftStart,L1360),Syklus)&lt;DagK+DagH,"Helg",IF(MOD(A1360-INDEX(SkiftStart,L1360),Syklus)&lt;DagK+DagH+DagD,"Dag","Fri"))))</f>
        <v/>
      </c>
      <c r="J1360" s="30">
        <f>IF(I1360="Fri","Ja","")</f>
        <v/>
      </c>
      <c r="K1360" s="30">
        <f>IF(B1360="","",IF(L1360="","Ukjent tekniker",IF(ISNA(MATCH(C1360,Aktiviteter,0)),"Ukjent aktivitet",IF(AND(INDEX(AktRolle,MATCH(C1360,Aktiviteter,0))&amp;""&lt;&gt;"",ISERROR(SEARCH(INDEX(AktRolle,MATCH(C1360,Aktiviteter,0))&amp;"",INDEX(TekRoller,MATCH(B1360,Teknikere,0))))),"Mangler rollen "&amp;INDEX(AktRolle,MATCH(C1360,Aktiviteter,0))&amp;"",IF(AND(C1360="LMS",F1360&gt;0,OR(D1360="",E1360="")),"Mangler maskin eller arbeid",IF(AND(OR(C1360="LMS",C1360="Mod"),D1360&lt;&gt;""),IF(IFERROR(INDEX(MaskinStatus,MATCH(D1360,Maskiner,0)),"")="I dokk","","Maskinen er ikke i dokk"),""))))))</f>
        <v/>
      </c>
      <c r="L1360" s="2">
        <f>IF(B1360="","",IFERROR(INT((MATCH(B1360,Teknikere,0)-1)/18)+1,""))</f>
        <v/>
      </c>
      <c r="M1360" s="2">
        <f>IF(OR(A1360="",B1360=""),"",B1360&amp;"|"&amp;A1360)</f>
        <v/>
      </c>
      <c r="N1360" s="2">
        <f>IF(M1360="","",SUMIFS(TF_Timer,TF_Nokkel,M1360,TF_Akt,C1360))</f>
        <v/>
      </c>
      <c r="O1360" s="2">
        <f>IF(M1360="","",IF(AND(N1360=_xlfn.MAXIFS(TF_AktSum,TF_Nokkel,M1360),COUNTIFS(M$3:M1359,M1360,N$3:N1359,N1360)=0),M1360,""))</f>
        <v/>
      </c>
    </row>
    <row r="1361">
      <c r="A1361" s="34" t="n"/>
      <c r="B1361" s="35" t="n"/>
      <c r="C1361" s="35" t="n"/>
      <c r="D1361" s="35" t="n"/>
      <c r="E1361" s="35" t="n"/>
      <c r="F1361" s="36" t="n"/>
      <c r="G1361" s="35" t="n"/>
      <c r="H1361" s="30">
        <f>IF(L1361="","",INDEX(SkiftNavn,L1361))</f>
        <v/>
      </c>
      <c r="I1361" s="30">
        <f>IF(OR(A1361="",L1361=""),"",IF(MOD(A1361-INDEX(SkiftStart,L1361),Syklus)&lt;DagK,"Kveld",IF(MOD(A1361-INDEX(SkiftStart,L1361),Syklus)&lt;DagK+DagH,"Helg",IF(MOD(A1361-INDEX(SkiftStart,L1361),Syklus)&lt;DagK+DagH+DagD,"Dag","Fri"))))</f>
        <v/>
      </c>
      <c r="J1361" s="30">
        <f>IF(I1361="Fri","Ja","")</f>
        <v/>
      </c>
      <c r="K1361" s="30">
        <f>IF(B1361="","",IF(L1361="","Ukjent tekniker",IF(ISNA(MATCH(C1361,Aktiviteter,0)),"Ukjent aktivitet",IF(AND(INDEX(AktRolle,MATCH(C1361,Aktiviteter,0))&amp;""&lt;&gt;"",ISERROR(SEARCH(INDEX(AktRolle,MATCH(C1361,Aktiviteter,0))&amp;"",INDEX(TekRoller,MATCH(B1361,Teknikere,0))))),"Mangler rollen "&amp;INDEX(AktRolle,MATCH(C1361,Aktiviteter,0))&amp;"",IF(AND(C1361="LMS",F1361&gt;0,OR(D1361="",E1361="")),"Mangler maskin eller arbeid",IF(AND(OR(C1361="LMS",C1361="Mod"),D1361&lt;&gt;""),IF(IFERROR(INDEX(MaskinStatus,MATCH(D1361,Maskiner,0)),"")="I dokk","","Maskinen er ikke i dokk"),""))))))</f>
        <v/>
      </c>
      <c r="L1361" s="2">
        <f>IF(B1361="","",IFERROR(INT((MATCH(B1361,Teknikere,0)-1)/18)+1,""))</f>
        <v/>
      </c>
      <c r="M1361" s="2">
        <f>IF(OR(A1361="",B1361=""),"",B1361&amp;"|"&amp;A1361)</f>
        <v/>
      </c>
      <c r="N1361" s="2">
        <f>IF(M1361="","",SUMIFS(TF_Timer,TF_Nokkel,M1361,TF_Akt,C1361))</f>
        <v/>
      </c>
      <c r="O1361" s="2">
        <f>IF(M1361="","",IF(AND(N1361=_xlfn.MAXIFS(TF_AktSum,TF_Nokkel,M1361),COUNTIFS(M$3:M1360,M1361,N$3:N1360,N1361)=0),M1361,""))</f>
        <v/>
      </c>
    </row>
    <row r="1362">
      <c r="A1362" s="34" t="n"/>
      <c r="B1362" s="35" t="n"/>
      <c r="C1362" s="35" t="n"/>
      <c r="D1362" s="35" t="n"/>
      <c r="E1362" s="35" t="n"/>
      <c r="F1362" s="36" t="n"/>
      <c r="G1362" s="35" t="n"/>
      <c r="H1362" s="30">
        <f>IF(L1362="","",INDEX(SkiftNavn,L1362))</f>
        <v/>
      </c>
      <c r="I1362" s="30">
        <f>IF(OR(A1362="",L1362=""),"",IF(MOD(A1362-INDEX(SkiftStart,L1362),Syklus)&lt;DagK,"Kveld",IF(MOD(A1362-INDEX(SkiftStart,L1362),Syklus)&lt;DagK+DagH,"Helg",IF(MOD(A1362-INDEX(SkiftStart,L1362),Syklus)&lt;DagK+DagH+DagD,"Dag","Fri"))))</f>
        <v/>
      </c>
      <c r="J1362" s="30">
        <f>IF(I1362="Fri","Ja","")</f>
        <v/>
      </c>
      <c r="K1362" s="30">
        <f>IF(B1362="","",IF(L1362="","Ukjent tekniker",IF(ISNA(MATCH(C1362,Aktiviteter,0)),"Ukjent aktivitet",IF(AND(INDEX(AktRolle,MATCH(C1362,Aktiviteter,0))&amp;""&lt;&gt;"",ISERROR(SEARCH(INDEX(AktRolle,MATCH(C1362,Aktiviteter,0))&amp;"",INDEX(TekRoller,MATCH(B1362,Teknikere,0))))),"Mangler rollen "&amp;INDEX(AktRolle,MATCH(C1362,Aktiviteter,0))&amp;"",IF(AND(C1362="LMS",F1362&gt;0,OR(D1362="",E1362="")),"Mangler maskin eller arbeid",IF(AND(OR(C1362="LMS",C1362="Mod"),D1362&lt;&gt;""),IF(IFERROR(INDEX(MaskinStatus,MATCH(D1362,Maskiner,0)),"")="I dokk","","Maskinen er ikke i dokk"),""))))))</f>
        <v/>
      </c>
      <c r="L1362" s="2">
        <f>IF(B1362="","",IFERROR(INT((MATCH(B1362,Teknikere,0)-1)/18)+1,""))</f>
        <v/>
      </c>
      <c r="M1362" s="2">
        <f>IF(OR(A1362="",B1362=""),"",B1362&amp;"|"&amp;A1362)</f>
        <v/>
      </c>
      <c r="N1362" s="2">
        <f>IF(M1362="","",SUMIFS(TF_Timer,TF_Nokkel,M1362,TF_Akt,C1362))</f>
        <v/>
      </c>
      <c r="O1362" s="2">
        <f>IF(M1362="","",IF(AND(N1362=_xlfn.MAXIFS(TF_AktSum,TF_Nokkel,M1362),COUNTIFS(M$3:M1361,M1362,N$3:N1361,N1362)=0),M1362,""))</f>
        <v/>
      </c>
    </row>
    <row r="1363">
      <c r="A1363" s="34" t="n"/>
      <c r="B1363" s="35" t="n"/>
      <c r="C1363" s="35" t="n"/>
      <c r="D1363" s="35" t="n"/>
      <c r="E1363" s="35" t="n"/>
      <c r="F1363" s="36" t="n"/>
      <c r="G1363" s="35" t="n"/>
      <c r="H1363" s="30">
        <f>IF(L1363="","",INDEX(SkiftNavn,L1363))</f>
        <v/>
      </c>
      <c r="I1363" s="30">
        <f>IF(OR(A1363="",L1363=""),"",IF(MOD(A1363-INDEX(SkiftStart,L1363),Syklus)&lt;DagK,"Kveld",IF(MOD(A1363-INDEX(SkiftStart,L1363),Syklus)&lt;DagK+DagH,"Helg",IF(MOD(A1363-INDEX(SkiftStart,L1363),Syklus)&lt;DagK+DagH+DagD,"Dag","Fri"))))</f>
        <v/>
      </c>
      <c r="J1363" s="30">
        <f>IF(I1363="Fri","Ja","")</f>
        <v/>
      </c>
      <c r="K1363" s="30">
        <f>IF(B1363="","",IF(L1363="","Ukjent tekniker",IF(ISNA(MATCH(C1363,Aktiviteter,0)),"Ukjent aktivitet",IF(AND(INDEX(AktRolle,MATCH(C1363,Aktiviteter,0))&amp;""&lt;&gt;"",ISERROR(SEARCH(INDEX(AktRolle,MATCH(C1363,Aktiviteter,0))&amp;"",INDEX(TekRoller,MATCH(B1363,Teknikere,0))))),"Mangler rollen "&amp;INDEX(AktRolle,MATCH(C1363,Aktiviteter,0))&amp;"",IF(AND(C1363="LMS",F1363&gt;0,OR(D1363="",E1363="")),"Mangler maskin eller arbeid",IF(AND(OR(C1363="LMS",C1363="Mod"),D1363&lt;&gt;""),IF(IFERROR(INDEX(MaskinStatus,MATCH(D1363,Maskiner,0)),"")="I dokk","","Maskinen er ikke i dokk"),""))))))</f>
        <v/>
      </c>
      <c r="L1363" s="2">
        <f>IF(B1363="","",IFERROR(INT((MATCH(B1363,Teknikere,0)-1)/18)+1,""))</f>
        <v/>
      </c>
      <c r="M1363" s="2">
        <f>IF(OR(A1363="",B1363=""),"",B1363&amp;"|"&amp;A1363)</f>
        <v/>
      </c>
      <c r="N1363" s="2">
        <f>IF(M1363="","",SUMIFS(TF_Timer,TF_Nokkel,M1363,TF_Akt,C1363))</f>
        <v/>
      </c>
      <c r="O1363" s="2">
        <f>IF(M1363="","",IF(AND(N1363=_xlfn.MAXIFS(TF_AktSum,TF_Nokkel,M1363),COUNTIFS(M$3:M1362,M1363,N$3:N1362,N1363)=0),M1363,""))</f>
        <v/>
      </c>
    </row>
    <row r="1364">
      <c r="A1364" s="34" t="n"/>
      <c r="B1364" s="35" t="n"/>
      <c r="C1364" s="35" t="n"/>
      <c r="D1364" s="35" t="n"/>
      <c r="E1364" s="35" t="n"/>
      <c r="F1364" s="36" t="n"/>
      <c r="G1364" s="35" t="n"/>
      <c r="H1364" s="30">
        <f>IF(L1364="","",INDEX(SkiftNavn,L1364))</f>
        <v/>
      </c>
      <c r="I1364" s="30">
        <f>IF(OR(A1364="",L1364=""),"",IF(MOD(A1364-INDEX(SkiftStart,L1364),Syklus)&lt;DagK,"Kveld",IF(MOD(A1364-INDEX(SkiftStart,L1364),Syklus)&lt;DagK+DagH,"Helg",IF(MOD(A1364-INDEX(SkiftStart,L1364),Syklus)&lt;DagK+DagH+DagD,"Dag","Fri"))))</f>
        <v/>
      </c>
      <c r="J1364" s="30">
        <f>IF(I1364="Fri","Ja","")</f>
        <v/>
      </c>
      <c r="K1364" s="30">
        <f>IF(B1364="","",IF(L1364="","Ukjent tekniker",IF(ISNA(MATCH(C1364,Aktiviteter,0)),"Ukjent aktivitet",IF(AND(INDEX(AktRolle,MATCH(C1364,Aktiviteter,0))&amp;""&lt;&gt;"",ISERROR(SEARCH(INDEX(AktRolle,MATCH(C1364,Aktiviteter,0))&amp;"",INDEX(TekRoller,MATCH(B1364,Teknikere,0))))),"Mangler rollen "&amp;INDEX(AktRolle,MATCH(C1364,Aktiviteter,0))&amp;"",IF(AND(C1364="LMS",F1364&gt;0,OR(D1364="",E1364="")),"Mangler maskin eller arbeid",IF(AND(OR(C1364="LMS",C1364="Mod"),D1364&lt;&gt;""),IF(IFERROR(INDEX(MaskinStatus,MATCH(D1364,Maskiner,0)),"")="I dokk","","Maskinen er ikke i dokk"),""))))))</f>
        <v/>
      </c>
      <c r="L1364" s="2">
        <f>IF(B1364="","",IFERROR(INT((MATCH(B1364,Teknikere,0)-1)/18)+1,""))</f>
        <v/>
      </c>
      <c r="M1364" s="2">
        <f>IF(OR(A1364="",B1364=""),"",B1364&amp;"|"&amp;A1364)</f>
        <v/>
      </c>
      <c r="N1364" s="2">
        <f>IF(M1364="","",SUMIFS(TF_Timer,TF_Nokkel,M1364,TF_Akt,C1364))</f>
        <v/>
      </c>
      <c r="O1364" s="2">
        <f>IF(M1364="","",IF(AND(N1364=_xlfn.MAXIFS(TF_AktSum,TF_Nokkel,M1364),COUNTIFS(M$3:M1363,M1364,N$3:N1363,N1364)=0),M1364,""))</f>
        <v/>
      </c>
    </row>
    <row r="1365">
      <c r="A1365" s="34" t="n"/>
      <c r="B1365" s="35" t="n"/>
      <c r="C1365" s="35" t="n"/>
      <c r="D1365" s="35" t="n"/>
      <c r="E1365" s="35" t="n"/>
      <c r="F1365" s="36" t="n"/>
      <c r="G1365" s="35" t="n"/>
      <c r="H1365" s="30">
        <f>IF(L1365="","",INDEX(SkiftNavn,L1365))</f>
        <v/>
      </c>
      <c r="I1365" s="30">
        <f>IF(OR(A1365="",L1365=""),"",IF(MOD(A1365-INDEX(SkiftStart,L1365),Syklus)&lt;DagK,"Kveld",IF(MOD(A1365-INDEX(SkiftStart,L1365),Syklus)&lt;DagK+DagH,"Helg",IF(MOD(A1365-INDEX(SkiftStart,L1365),Syklus)&lt;DagK+DagH+DagD,"Dag","Fri"))))</f>
        <v/>
      </c>
      <c r="J1365" s="30">
        <f>IF(I1365="Fri","Ja","")</f>
        <v/>
      </c>
      <c r="K1365" s="30">
        <f>IF(B1365="","",IF(L1365="","Ukjent tekniker",IF(ISNA(MATCH(C1365,Aktiviteter,0)),"Ukjent aktivitet",IF(AND(INDEX(AktRolle,MATCH(C1365,Aktiviteter,0))&amp;""&lt;&gt;"",ISERROR(SEARCH(INDEX(AktRolle,MATCH(C1365,Aktiviteter,0))&amp;"",INDEX(TekRoller,MATCH(B1365,Teknikere,0))))),"Mangler rollen "&amp;INDEX(AktRolle,MATCH(C1365,Aktiviteter,0))&amp;"",IF(AND(C1365="LMS",F1365&gt;0,OR(D1365="",E1365="")),"Mangler maskin eller arbeid",IF(AND(OR(C1365="LMS",C1365="Mod"),D1365&lt;&gt;""),IF(IFERROR(INDEX(MaskinStatus,MATCH(D1365,Maskiner,0)),"")="I dokk","","Maskinen er ikke i dokk"),""))))))</f>
        <v/>
      </c>
      <c r="L1365" s="2">
        <f>IF(B1365="","",IFERROR(INT((MATCH(B1365,Teknikere,0)-1)/18)+1,""))</f>
        <v/>
      </c>
      <c r="M1365" s="2">
        <f>IF(OR(A1365="",B1365=""),"",B1365&amp;"|"&amp;A1365)</f>
        <v/>
      </c>
      <c r="N1365" s="2">
        <f>IF(M1365="","",SUMIFS(TF_Timer,TF_Nokkel,M1365,TF_Akt,C1365))</f>
        <v/>
      </c>
      <c r="O1365" s="2">
        <f>IF(M1365="","",IF(AND(N1365=_xlfn.MAXIFS(TF_AktSum,TF_Nokkel,M1365),COUNTIFS(M$3:M1364,M1365,N$3:N1364,N1365)=0),M1365,""))</f>
        <v/>
      </c>
    </row>
    <row r="1366">
      <c r="A1366" s="34" t="n"/>
      <c r="B1366" s="35" t="n"/>
      <c r="C1366" s="35" t="n"/>
      <c r="D1366" s="35" t="n"/>
      <c r="E1366" s="35" t="n"/>
      <c r="F1366" s="36" t="n"/>
      <c r="G1366" s="35" t="n"/>
      <c r="H1366" s="30">
        <f>IF(L1366="","",INDEX(SkiftNavn,L1366))</f>
        <v/>
      </c>
      <c r="I1366" s="30">
        <f>IF(OR(A1366="",L1366=""),"",IF(MOD(A1366-INDEX(SkiftStart,L1366),Syklus)&lt;DagK,"Kveld",IF(MOD(A1366-INDEX(SkiftStart,L1366),Syklus)&lt;DagK+DagH,"Helg",IF(MOD(A1366-INDEX(SkiftStart,L1366),Syklus)&lt;DagK+DagH+DagD,"Dag","Fri"))))</f>
        <v/>
      </c>
      <c r="J1366" s="30">
        <f>IF(I1366="Fri","Ja","")</f>
        <v/>
      </c>
      <c r="K1366" s="30">
        <f>IF(B1366="","",IF(L1366="","Ukjent tekniker",IF(ISNA(MATCH(C1366,Aktiviteter,0)),"Ukjent aktivitet",IF(AND(INDEX(AktRolle,MATCH(C1366,Aktiviteter,0))&amp;""&lt;&gt;"",ISERROR(SEARCH(INDEX(AktRolle,MATCH(C1366,Aktiviteter,0))&amp;"",INDEX(TekRoller,MATCH(B1366,Teknikere,0))))),"Mangler rollen "&amp;INDEX(AktRolle,MATCH(C1366,Aktiviteter,0))&amp;"",IF(AND(C1366="LMS",F1366&gt;0,OR(D1366="",E1366="")),"Mangler maskin eller arbeid",IF(AND(OR(C1366="LMS",C1366="Mod"),D1366&lt;&gt;""),IF(IFERROR(INDEX(MaskinStatus,MATCH(D1366,Maskiner,0)),"")="I dokk","","Maskinen er ikke i dokk"),""))))))</f>
        <v/>
      </c>
      <c r="L1366" s="2">
        <f>IF(B1366="","",IFERROR(INT((MATCH(B1366,Teknikere,0)-1)/18)+1,""))</f>
        <v/>
      </c>
      <c r="M1366" s="2">
        <f>IF(OR(A1366="",B1366=""),"",B1366&amp;"|"&amp;A1366)</f>
        <v/>
      </c>
      <c r="N1366" s="2">
        <f>IF(M1366="","",SUMIFS(TF_Timer,TF_Nokkel,M1366,TF_Akt,C1366))</f>
        <v/>
      </c>
      <c r="O1366" s="2">
        <f>IF(M1366="","",IF(AND(N1366=_xlfn.MAXIFS(TF_AktSum,TF_Nokkel,M1366),COUNTIFS(M$3:M1365,M1366,N$3:N1365,N1366)=0),M1366,""))</f>
        <v/>
      </c>
    </row>
    <row r="1367">
      <c r="A1367" s="34" t="n"/>
      <c r="B1367" s="35" t="n"/>
      <c r="C1367" s="35" t="n"/>
      <c r="D1367" s="35" t="n"/>
      <c r="E1367" s="35" t="n"/>
      <c r="F1367" s="36" t="n"/>
      <c r="G1367" s="35" t="n"/>
      <c r="H1367" s="30">
        <f>IF(L1367="","",INDEX(SkiftNavn,L1367))</f>
        <v/>
      </c>
      <c r="I1367" s="30">
        <f>IF(OR(A1367="",L1367=""),"",IF(MOD(A1367-INDEX(SkiftStart,L1367),Syklus)&lt;DagK,"Kveld",IF(MOD(A1367-INDEX(SkiftStart,L1367),Syklus)&lt;DagK+DagH,"Helg",IF(MOD(A1367-INDEX(SkiftStart,L1367),Syklus)&lt;DagK+DagH+DagD,"Dag","Fri"))))</f>
        <v/>
      </c>
      <c r="J1367" s="30">
        <f>IF(I1367="Fri","Ja","")</f>
        <v/>
      </c>
      <c r="K1367" s="30">
        <f>IF(B1367="","",IF(L1367="","Ukjent tekniker",IF(ISNA(MATCH(C1367,Aktiviteter,0)),"Ukjent aktivitet",IF(AND(INDEX(AktRolle,MATCH(C1367,Aktiviteter,0))&amp;""&lt;&gt;"",ISERROR(SEARCH(INDEX(AktRolle,MATCH(C1367,Aktiviteter,0))&amp;"",INDEX(TekRoller,MATCH(B1367,Teknikere,0))))),"Mangler rollen "&amp;INDEX(AktRolle,MATCH(C1367,Aktiviteter,0))&amp;"",IF(AND(C1367="LMS",F1367&gt;0,OR(D1367="",E1367="")),"Mangler maskin eller arbeid",IF(AND(OR(C1367="LMS",C1367="Mod"),D1367&lt;&gt;""),IF(IFERROR(INDEX(MaskinStatus,MATCH(D1367,Maskiner,0)),"")="I dokk","","Maskinen er ikke i dokk"),""))))))</f>
        <v/>
      </c>
      <c r="L1367" s="2">
        <f>IF(B1367="","",IFERROR(INT((MATCH(B1367,Teknikere,0)-1)/18)+1,""))</f>
        <v/>
      </c>
      <c r="M1367" s="2">
        <f>IF(OR(A1367="",B1367=""),"",B1367&amp;"|"&amp;A1367)</f>
        <v/>
      </c>
      <c r="N1367" s="2">
        <f>IF(M1367="","",SUMIFS(TF_Timer,TF_Nokkel,M1367,TF_Akt,C1367))</f>
        <v/>
      </c>
      <c r="O1367" s="2">
        <f>IF(M1367="","",IF(AND(N1367=_xlfn.MAXIFS(TF_AktSum,TF_Nokkel,M1367),COUNTIFS(M$3:M1366,M1367,N$3:N1366,N1367)=0),M1367,""))</f>
        <v/>
      </c>
    </row>
    <row r="1368">
      <c r="A1368" s="34" t="n"/>
      <c r="B1368" s="35" t="n"/>
      <c r="C1368" s="35" t="n"/>
      <c r="D1368" s="35" t="n"/>
      <c r="E1368" s="35" t="n"/>
      <c r="F1368" s="36" t="n"/>
      <c r="G1368" s="35" t="n"/>
      <c r="H1368" s="30">
        <f>IF(L1368="","",INDEX(SkiftNavn,L1368))</f>
        <v/>
      </c>
      <c r="I1368" s="30">
        <f>IF(OR(A1368="",L1368=""),"",IF(MOD(A1368-INDEX(SkiftStart,L1368),Syklus)&lt;DagK,"Kveld",IF(MOD(A1368-INDEX(SkiftStart,L1368),Syklus)&lt;DagK+DagH,"Helg",IF(MOD(A1368-INDEX(SkiftStart,L1368),Syklus)&lt;DagK+DagH+DagD,"Dag","Fri"))))</f>
        <v/>
      </c>
      <c r="J1368" s="30">
        <f>IF(I1368="Fri","Ja","")</f>
        <v/>
      </c>
      <c r="K1368" s="30">
        <f>IF(B1368="","",IF(L1368="","Ukjent tekniker",IF(ISNA(MATCH(C1368,Aktiviteter,0)),"Ukjent aktivitet",IF(AND(INDEX(AktRolle,MATCH(C1368,Aktiviteter,0))&amp;""&lt;&gt;"",ISERROR(SEARCH(INDEX(AktRolle,MATCH(C1368,Aktiviteter,0))&amp;"",INDEX(TekRoller,MATCH(B1368,Teknikere,0))))),"Mangler rollen "&amp;INDEX(AktRolle,MATCH(C1368,Aktiviteter,0))&amp;"",IF(AND(C1368="LMS",F1368&gt;0,OR(D1368="",E1368="")),"Mangler maskin eller arbeid",IF(AND(OR(C1368="LMS",C1368="Mod"),D1368&lt;&gt;""),IF(IFERROR(INDEX(MaskinStatus,MATCH(D1368,Maskiner,0)),"")="I dokk","","Maskinen er ikke i dokk"),""))))))</f>
        <v/>
      </c>
      <c r="L1368" s="2">
        <f>IF(B1368="","",IFERROR(INT((MATCH(B1368,Teknikere,0)-1)/18)+1,""))</f>
        <v/>
      </c>
      <c r="M1368" s="2">
        <f>IF(OR(A1368="",B1368=""),"",B1368&amp;"|"&amp;A1368)</f>
        <v/>
      </c>
      <c r="N1368" s="2">
        <f>IF(M1368="","",SUMIFS(TF_Timer,TF_Nokkel,M1368,TF_Akt,C1368))</f>
        <v/>
      </c>
      <c r="O1368" s="2">
        <f>IF(M1368="","",IF(AND(N1368=_xlfn.MAXIFS(TF_AktSum,TF_Nokkel,M1368),COUNTIFS(M$3:M1367,M1368,N$3:N1367,N1368)=0),M1368,""))</f>
        <v/>
      </c>
    </row>
    <row r="1369">
      <c r="A1369" s="34" t="n"/>
      <c r="B1369" s="35" t="n"/>
      <c r="C1369" s="35" t="n"/>
      <c r="D1369" s="35" t="n"/>
      <c r="E1369" s="35" t="n"/>
      <c r="F1369" s="36" t="n"/>
      <c r="G1369" s="35" t="n"/>
      <c r="H1369" s="30">
        <f>IF(L1369="","",INDEX(SkiftNavn,L1369))</f>
        <v/>
      </c>
      <c r="I1369" s="30">
        <f>IF(OR(A1369="",L1369=""),"",IF(MOD(A1369-INDEX(SkiftStart,L1369),Syklus)&lt;DagK,"Kveld",IF(MOD(A1369-INDEX(SkiftStart,L1369),Syklus)&lt;DagK+DagH,"Helg",IF(MOD(A1369-INDEX(SkiftStart,L1369),Syklus)&lt;DagK+DagH+DagD,"Dag","Fri"))))</f>
        <v/>
      </c>
      <c r="J1369" s="30">
        <f>IF(I1369="Fri","Ja","")</f>
        <v/>
      </c>
      <c r="K1369" s="30">
        <f>IF(B1369="","",IF(L1369="","Ukjent tekniker",IF(ISNA(MATCH(C1369,Aktiviteter,0)),"Ukjent aktivitet",IF(AND(INDEX(AktRolle,MATCH(C1369,Aktiviteter,0))&amp;""&lt;&gt;"",ISERROR(SEARCH(INDEX(AktRolle,MATCH(C1369,Aktiviteter,0))&amp;"",INDEX(TekRoller,MATCH(B1369,Teknikere,0))))),"Mangler rollen "&amp;INDEX(AktRolle,MATCH(C1369,Aktiviteter,0))&amp;"",IF(AND(C1369="LMS",F1369&gt;0,OR(D1369="",E1369="")),"Mangler maskin eller arbeid",IF(AND(OR(C1369="LMS",C1369="Mod"),D1369&lt;&gt;""),IF(IFERROR(INDEX(MaskinStatus,MATCH(D1369,Maskiner,0)),"")="I dokk","","Maskinen er ikke i dokk"),""))))))</f>
        <v/>
      </c>
      <c r="L1369" s="2">
        <f>IF(B1369="","",IFERROR(INT((MATCH(B1369,Teknikere,0)-1)/18)+1,""))</f>
        <v/>
      </c>
      <c r="M1369" s="2">
        <f>IF(OR(A1369="",B1369=""),"",B1369&amp;"|"&amp;A1369)</f>
        <v/>
      </c>
      <c r="N1369" s="2">
        <f>IF(M1369="","",SUMIFS(TF_Timer,TF_Nokkel,M1369,TF_Akt,C1369))</f>
        <v/>
      </c>
      <c r="O1369" s="2">
        <f>IF(M1369="","",IF(AND(N1369=_xlfn.MAXIFS(TF_AktSum,TF_Nokkel,M1369),COUNTIFS(M$3:M1368,M1369,N$3:N1368,N1369)=0),M1369,""))</f>
        <v/>
      </c>
    </row>
    <row r="1370">
      <c r="A1370" s="34" t="n"/>
      <c r="B1370" s="35" t="n"/>
      <c r="C1370" s="35" t="n"/>
      <c r="D1370" s="35" t="n"/>
      <c r="E1370" s="35" t="n"/>
      <c r="F1370" s="36" t="n"/>
      <c r="G1370" s="35" t="n"/>
      <c r="H1370" s="30">
        <f>IF(L1370="","",INDEX(SkiftNavn,L1370))</f>
        <v/>
      </c>
      <c r="I1370" s="30">
        <f>IF(OR(A1370="",L1370=""),"",IF(MOD(A1370-INDEX(SkiftStart,L1370),Syklus)&lt;DagK,"Kveld",IF(MOD(A1370-INDEX(SkiftStart,L1370),Syklus)&lt;DagK+DagH,"Helg",IF(MOD(A1370-INDEX(SkiftStart,L1370),Syklus)&lt;DagK+DagH+DagD,"Dag","Fri"))))</f>
        <v/>
      </c>
      <c r="J1370" s="30">
        <f>IF(I1370="Fri","Ja","")</f>
        <v/>
      </c>
      <c r="K1370" s="30">
        <f>IF(B1370="","",IF(L1370="","Ukjent tekniker",IF(ISNA(MATCH(C1370,Aktiviteter,0)),"Ukjent aktivitet",IF(AND(INDEX(AktRolle,MATCH(C1370,Aktiviteter,0))&amp;""&lt;&gt;"",ISERROR(SEARCH(INDEX(AktRolle,MATCH(C1370,Aktiviteter,0))&amp;"",INDEX(TekRoller,MATCH(B1370,Teknikere,0))))),"Mangler rollen "&amp;INDEX(AktRolle,MATCH(C1370,Aktiviteter,0))&amp;"",IF(AND(C1370="LMS",F1370&gt;0,OR(D1370="",E1370="")),"Mangler maskin eller arbeid",IF(AND(OR(C1370="LMS",C1370="Mod"),D1370&lt;&gt;""),IF(IFERROR(INDEX(MaskinStatus,MATCH(D1370,Maskiner,0)),"")="I dokk","","Maskinen er ikke i dokk"),""))))))</f>
        <v/>
      </c>
      <c r="L1370" s="2">
        <f>IF(B1370="","",IFERROR(INT((MATCH(B1370,Teknikere,0)-1)/18)+1,""))</f>
        <v/>
      </c>
      <c r="M1370" s="2">
        <f>IF(OR(A1370="",B1370=""),"",B1370&amp;"|"&amp;A1370)</f>
        <v/>
      </c>
      <c r="N1370" s="2">
        <f>IF(M1370="","",SUMIFS(TF_Timer,TF_Nokkel,M1370,TF_Akt,C1370))</f>
        <v/>
      </c>
      <c r="O1370" s="2">
        <f>IF(M1370="","",IF(AND(N1370=_xlfn.MAXIFS(TF_AktSum,TF_Nokkel,M1370),COUNTIFS(M$3:M1369,M1370,N$3:N1369,N1370)=0),M1370,""))</f>
        <v/>
      </c>
    </row>
    <row r="1371">
      <c r="A1371" s="34" t="n"/>
      <c r="B1371" s="35" t="n"/>
      <c r="C1371" s="35" t="n"/>
      <c r="D1371" s="35" t="n"/>
      <c r="E1371" s="35" t="n"/>
      <c r="F1371" s="36" t="n"/>
      <c r="G1371" s="35" t="n"/>
      <c r="H1371" s="30">
        <f>IF(L1371="","",INDEX(SkiftNavn,L1371))</f>
        <v/>
      </c>
      <c r="I1371" s="30">
        <f>IF(OR(A1371="",L1371=""),"",IF(MOD(A1371-INDEX(SkiftStart,L1371),Syklus)&lt;DagK,"Kveld",IF(MOD(A1371-INDEX(SkiftStart,L1371),Syklus)&lt;DagK+DagH,"Helg",IF(MOD(A1371-INDEX(SkiftStart,L1371),Syklus)&lt;DagK+DagH+DagD,"Dag","Fri"))))</f>
        <v/>
      </c>
      <c r="J1371" s="30">
        <f>IF(I1371="Fri","Ja","")</f>
        <v/>
      </c>
      <c r="K1371" s="30">
        <f>IF(B1371="","",IF(L1371="","Ukjent tekniker",IF(ISNA(MATCH(C1371,Aktiviteter,0)),"Ukjent aktivitet",IF(AND(INDEX(AktRolle,MATCH(C1371,Aktiviteter,0))&amp;""&lt;&gt;"",ISERROR(SEARCH(INDEX(AktRolle,MATCH(C1371,Aktiviteter,0))&amp;"",INDEX(TekRoller,MATCH(B1371,Teknikere,0))))),"Mangler rollen "&amp;INDEX(AktRolle,MATCH(C1371,Aktiviteter,0))&amp;"",IF(AND(C1371="LMS",F1371&gt;0,OR(D1371="",E1371="")),"Mangler maskin eller arbeid",IF(AND(OR(C1371="LMS",C1371="Mod"),D1371&lt;&gt;""),IF(IFERROR(INDEX(MaskinStatus,MATCH(D1371,Maskiner,0)),"")="I dokk","","Maskinen er ikke i dokk"),""))))))</f>
        <v/>
      </c>
      <c r="L1371" s="2">
        <f>IF(B1371="","",IFERROR(INT((MATCH(B1371,Teknikere,0)-1)/18)+1,""))</f>
        <v/>
      </c>
      <c r="M1371" s="2">
        <f>IF(OR(A1371="",B1371=""),"",B1371&amp;"|"&amp;A1371)</f>
        <v/>
      </c>
      <c r="N1371" s="2">
        <f>IF(M1371="","",SUMIFS(TF_Timer,TF_Nokkel,M1371,TF_Akt,C1371))</f>
        <v/>
      </c>
      <c r="O1371" s="2">
        <f>IF(M1371="","",IF(AND(N1371=_xlfn.MAXIFS(TF_AktSum,TF_Nokkel,M1371),COUNTIFS(M$3:M1370,M1371,N$3:N1370,N1371)=0),M1371,""))</f>
        <v/>
      </c>
    </row>
    <row r="1372">
      <c r="A1372" s="34" t="n"/>
      <c r="B1372" s="35" t="n"/>
      <c r="C1372" s="35" t="n"/>
      <c r="D1372" s="35" t="n"/>
      <c r="E1372" s="35" t="n"/>
      <c r="F1372" s="36" t="n"/>
      <c r="G1372" s="35" t="n"/>
      <c r="H1372" s="30">
        <f>IF(L1372="","",INDEX(SkiftNavn,L1372))</f>
        <v/>
      </c>
      <c r="I1372" s="30">
        <f>IF(OR(A1372="",L1372=""),"",IF(MOD(A1372-INDEX(SkiftStart,L1372),Syklus)&lt;DagK,"Kveld",IF(MOD(A1372-INDEX(SkiftStart,L1372),Syklus)&lt;DagK+DagH,"Helg",IF(MOD(A1372-INDEX(SkiftStart,L1372),Syklus)&lt;DagK+DagH+DagD,"Dag","Fri"))))</f>
        <v/>
      </c>
      <c r="J1372" s="30">
        <f>IF(I1372="Fri","Ja","")</f>
        <v/>
      </c>
      <c r="K1372" s="30">
        <f>IF(B1372="","",IF(L1372="","Ukjent tekniker",IF(ISNA(MATCH(C1372,Aktiviteter,0)),"Ukjent aktivitet",IF(AND(INDEX(AktRolle,MATCH(C1372,Aktiviteter,0))&amp;""&lt;&gt;"",ISERROR(SEARCH(INDEX(AktRolle,MATCH(C1372,Aktiviteter,0))&amp;"",INDEX(TekRoller,MATCH(B1372,Teknikere,0))))),"Mangler rollen "&amp;INDEX(AktRolle,MATCH(C1372,Aktiviteter,0))&amp;"",IF(AND(C1372="LMS",F1372&gt;0,OR(D1372="",E1372="")),"Mangler maskin eller arbeid",IF(AND(OR(C1372="LMS",C1372="Mod"),D1372&lt;&gt;""),IF(IFERROR(INDEX(MaskinStatus,MATCH(D1372,Maskiner,0)),"")="I dokk","","Maskinen er ikke i dokk"),""))))))</f>
        <v/>
      </c>
      <c r="L1372" s="2">
        <f>IF(B1372="","",IFERROR(INT((MATCH(B1372,Teknikere,0)-1)/18)+1,""))</f>
        <v/>
      </c>
      <c r="M1372" s="2">
        <f>IF(OR(A1372="",B1372=""),"",B1372&amp;"|"&amp;A1372)</f>
        <v/>
      </c>
      <c r="N1372" s="2">
        <f>IF(M1372="","",SUMIFS(TF_Timer,TF_Nokkel,M1372,TF_Akt,C1372))</f>
        <v/>
      </c>
      <c r="O1372" s="2">
        <f>IF(M1372="","",IF(AND(N1372=_xlfn.MAXIFS(TF_AktSum,TF_Nokkel,M1372),COUNTIFS(M$3:M1371,M1372,N$3:N1371,N1372)=0),M1372,""))</f>
        <v/>
      </c>
    </row>
    <row r="1373">
      <c r="A1373" s="34" t="n"/>
      <c r="B1373" s="35" t="n"/>
      <c r="C1373" s="35" t="n"/>
      <c r="D1373" s="35" t="n"/>
      <c r="E1373" s="35" t="n"/>
      <c r="F1373" s="36" t="n"/>
      <c r="G1373" s="35" t="n"/>
      <c r="H1373" s="30">
        <f>IF(L1373="","",INDEX(SkiftNavn,L1373))</f>
        <v/>
      </c>
      <c r="I1373" s="30">
        <f>IF(OR(A1373="",L1373=""),"",IF(MOD(A1373-INDEX(SkiftStart,L1373),Syklus)&lt;DagK,"Kveld",IF(MOD(A1373-INDEX(SkiftStart,L1373),Syklus)&lt;DagK+DagH,"Helg",IF(MOD(A1373-INDEX(SkiftStart,L1373),Syklus)&lt;DagK+DagH+DagD,"Dag","Fri"))))</f>
        <v/>
      </c>
      <c r="J1373" s="30">
        <f>IF(I1373="Fri","Ja","")</f>
        <v/>
      </c>
      <c r="K1373" s="30">
        <f>IF(B1373="","",IF(L1373="","Ukjent tekniker",IF(ISNA(MATCH(C1373,Aktiviteter,0)),"Ukjent aktivitet",IF(AND(INDEX(AktRolle,MATCH(C1373,Aktiviteter,0))&amp;""&lt;&gt;"",ISERROR(SEARCH(INDEX(AktRolle,MATCH(C1373,Aktiviteter,0))&amp;"",INDEX(TekRoller,MATCH(B1373,Teknikere,0))))),"Mangler rollen "&amp;INDEX(AktRolle,MATCH(C1373,Aktiviteter,0))&amp;"",IF(AND(C1373="LMS",F1373&gt;0,OR(D1373="",E1373="")),"Mangler maskin eller arbeid",IF(AND(OR(C1373="LMS",C1373="Mod"),D1373&lt;&gt;""),IF(IFERROR(INDEX(MaskinStatus,MATCH(D1373,Maskiner,0)),"")="I dokk","","Maskinen er ikke i dokk"),""))))))</f>
        <v/>
      </c>
      <c r="L1373" s="2">
        <f>IF(B1373="","",IFERROR(INT((MATCH(B1373,Teknikere,0)-1)/18)+1,""))</f>
        <v/>
      </c>
      <c r="M1373" s="2">
        <f>IF(OR(A1373="",B1373=""),"",B1373&amp;"|"&amp;A1373)</f>
        <v/>
      </c>
      <c r="N1373" s="2">
        <f>IF(M1373="","",SUMIFS(TF_Timer,TF_Nokkel,M1373,TF_Akt,C1373))</f>
        <v/>
      </c>
      <c r="O1373" s="2">
        <f>IF(M1373="","",IF(AND(N1373=_xlfn.MAXIFS(TF_AktSum,TF_Nokkel,M1373),COUNTIFS(M$3:M1372,M1373,N$3:N1372,N1373)=0),M1373,""))</f>
        <v/>
      </c>
    </row>
    <row r="1374">
      <c r="A1374" s="34" t="n"/>
      <c r="B1374" s="35" t="n"/>
      <c r="C1374" s="35" t="n"/>
      <c r="D1374" s="35" t="n"/>
      <c r="E1374" s="35" t="n"/>
      <c r="F1374" s="36" t="n"/>
      <c r="G1374" s="35" t="n"/>
      <c r="H1374" s="30">
        <f>IF(L1374="","",INDEX(SkiftNavn,L1374))</f>
        <v/>
      </c>
      <c r="I1374" s="30">
        <f>IF(OR(A1374="",L1374=""),"",IF(MOD(A1374-INDEX(SkiftStart,L1374),Syklus)&lt;DagK,"Kveld",IF(MOD(A1374-INDEX(SkiftStart,L1374),Syklus)&lt;DagK+DagH,"Helg",IF(MOD(A1374-INDEX(SkiftStart,L1374),Syklus)&lt;DagK+DagH+DagD,"Dag","Fri"))))</f>
        <v/>
      </c>
      <c r="J1374" s="30">
        <f>IF(I1374="Fri","Ja","")</f>
        <v/>
      </c>
      <c r="K1374" s="30">
        <f>IF(B1374="","",IF(L1374="","Ukjent tekniker",IF(ISNA(MATCH(C1374,Aktiviteter,0)),"Ukjent aktivitet",IF(AND(INDEX(AktRolle,MATCH(C1374,Aktiviteter,0))&amp;""&lt;&gt;"",ISERROR(SEARCH(INDEX(AktRolle,MATCH(C1374,Aktiviteter,0))&amp;"",INDEX(TekRoller,MATCH(B1374,Teknikere,0))))),"Mangler rollen "&amp;INDEX(AktRolle,MATCH(C1374,Aktiviteter,0))&amp;"",IF(AND(C1374="LMS",F1374&gt;0,OR(D1374="",E1374="")),"Mangler maskin eller arbeid",IF(AND(OR(C1374="LMS",C1374="Mod"),D1374&lt;&gt;""),IF(IFERROR(INDEX(MaskinStatus,MATCH(D1374,Maskiner,0)),"")="I dokk","","Maskinen er ikke i dokk"),""))))))</f>
        <v/>
      </c>
      <c r="L1374" s="2">
        <f>IF(B1374="","",IFERROR(INT((MATCH(B1374,Teknikere,0)-1)/18)+1,""))</f>
        <v/>
      </c>
      <c r="M1374" s="2">
        <f>IF(OR(A1374="",B1374=""),"",B1374&amp;"|"&amp;A1374)</f>
        <v/>
      </c>
      <c r="N1374" s="2">
        <f>IF(M1374="","",SUMIFS(TF_Timer,TF_Nokkel,M1374,TF_Akt,C1374))</f>
        <v/>
      </c>
      <c r="O1374" s="2">
        <f>IF(M1374="","",IF(AND(N1374=_xlfn.MAXIFS(TF_AktSum,TF_Nokkel,M1374),COUNTIFS(M$3:M1373,M1374,N$3:N1373,N1374)=0),M1374,""))</f>
        <v/>
      </c>
    </row>
    <row r="1375">
      <c r="A1375" s="34" t="n"/>
      <c r="B1375" s="35" t="n"/>
      <c r="C1375" s="35" t="n"/>
      <c r="D1375" s="35" t="n"/>
      <c r="E1375" s="35" t="n"/>
      <c r="F1375" s="36" t="n"/>
      <c r="G1375" s="35" t="n"/>
      <c r="H1375" s="30">
        <f>IF(L1375="","",INDEX(SkiftNavn,L1375))</f>
        <v/>
      </c>
      <c r="I1375" s="30">
        <f>IF(OR(A1375="",L1375=""),"",IF(MOD(A1375-INDEX(SkiftStart,L1375),Syklus)&lt;DagK,"Kveld",IF(MOD(A1375-INDEX(SkiftStart,L1375),Syklus)&lt;DagK+DagH,"Helg",IF(MOD(A1375-INDEX(SkiftStart,L1375),Syklus)&lt;DagK+DagH+DagD,"Dag","Fri"))))</f>
        <v/>
      </c>
      <c r="J1375" s="30">
        <f>IF(I1375="Fri","Ja","")</f>
        <v/>
      </c>
      <c r="K1375" s="30">
        <f>IF(B1375="","",IF(L1375="","Ukjent tekniker",IF(ISNA(MATCH(C1375,Aktiviteter,0)),"Ukjent aktivitet",IF(AND(INDEX(AktRolle,MATCH(C1375,Aktiviteter,0))&amp;""&lt;&gt;"",ISERROR(SEARCH(INDEX(AktRolle,MATCH(C1375,Aktiviteter,0))&amp;"",INDEX(TekRoller,MATCH(B1375,Teknikere,0))))),"Mangler rollen "&amp;INDEX(AktRolle,MATCH(C1375,Aktiviteter,0))&amp;"",IF(AND(C1375="LMS",F1375&gt;0,OR(D1375="",E1375="")),"Mangler maskin eller arbeid",IF(AND(OR(C1375="LMS",C1375="Mod"),D1375&lt;&gt;""),IF(IFERROR(INDEX(MaskinStatus,MATCH(D1375,Maskiner,0)),"")="I dokk","","Maskinen er ikke i dokk"),""))))))</f>
        <v/>
      </c>
      <c r="L1375" s="2">
        <f>IF(B1375="","",IFERROR(INT((MATCH(B1375,Teknikere,0)-1)/18)+1,""))</f>
        <v/>
      </c>
      <c r="M1375" s="2">
        <f>IF(OR(A1375="",B1375=""),"",B1375&amp;"|"&amp;A1375)</f>
        <v/>
      </c>
      <c r="N1375" s="2">
        <f>IF(M1375="","",SUMIFS(TF_Timer,TF_Nokkel,M1375,TF_Akt,C1375))</f>
        <v/>
      </c>
      <c r="O1375" s="2">
        <f>IF(M1375="","",IF(AND(N1375=_xlfn.MAXIFS(TF_AktSum,TF_Nokkel,M1375),COUNTIFS(M$3:M1374,M1375,N$3:N1374,N1375)=0),M1375,""))</f>
        <v/>
      </c>
    </row>
    <row r="1376">
      <c r="A1376" s="34" t="n"/>
      <c r="B1376" s="35" t="n"/>
      <c r="C1376" s="35" t="n"/>
      <c r="D1376" s="35" t="n"/>
      <c r="E1376" s="35" t="n"/>
      <c r="F1376" s="36" t="n"/>
      <c r="G1376" s="35" t="n"/>
      <c r="H1376" s="30">
        <f>IF(L1376="","",INDEX(SkiftNavn,L1376))</f>
        <v/>
      </c>
      <c r="I1376" s="30">
        <f>IF(OR(A1376="",L1376=""),"",IF(MOD(A1376-INDEX(SkiftStart,L1376),Syklus)&lt;DagK,"Kveld",IF(MOD(A1376-INDEX(SkiftStart,L1376),Syklus)&lt;DagK+DagH,"Helg",IF(MOD(A1376-INDEX(SkiftStart,L1376),Syklus)&lt;DagK+DagH+DagD,"Dag","Fri"))))</f>
        <v/>
      </c>
      <c r="J1376" s="30">
        <f>IF(I1376="Fri","Ja","")</f>
        <v/>
      </c>
      <c r="K1376" s="30">
        <f>IF(B1376="","",IF(L1376="","Ukjent tekniker",IF(ISNA(MATCH(C1376,Aktiviteter,0)),"Ukjent aktivitet",IF(AND(INDEX(AktRolle,MATCH(C1376,Aktiviteter,0))&amp;""&lt;&gt;"",ISERROR(SEARCH(INDEX(AktRolle,MATCH(C1376,Aktiviteter,0))&amp;"",INDEX(TekRoller,MATCH(B1376,Teknikere,0))))),"Mangler rollen "&amp;INDEX(AktRolle,MATCH(C1376,Aktiviteter,0))&amp;"",IF(AND(C1376="LMS",F1376&gt;0,OR(D1376="",E1376="")),"Mangler maskin eller arbeid",IF(AND(OR(C1376="LMS",C1376="Mod"),D1376&lt;&gt;""),IF(IFERROR(INDEX(MaskinStatus,MATCH(D1376,Maskiner,0)),"")="I dokk","","Maskinen er ikke i dokk"),""))))))</f>
        <v/>
      </c>
      <c r="L1376" s="2">
        <f>IF(B1376="","",IFERROR(INT((MATCH(B1376,Teknikere,0)-1)/18)+1,""))</f>
        <v/>
      </c>
      <c r="M1376" s="2">
        <f>IF(OR(A1376="",B1376=""),"",B1376&amp;"|"&amp;A1376)</f>
        <v/>
      </c>
      <c r="N1376" s="2">
        <f>IF(M1376="","",SUMIFS(TF_Timer,TF_Nokkel,M1376,TF_Akt,C1376))</f>
        <v/>
      </c>
      <c r="O1376" s="2">
        <f>IF(M1376="","",IF(AND(N1376=_xlfn.MAXIFS(TF_AktSum,TF_Nokkel,M1376),COUNTIFS(M$3:M1375,M1376,N$3:N1375,N1376)=0),M1376,""))</f>
        <v/>
      </c>
    </row>
    <row r="1377">
      <c r="A1377" s="34" t="n"/>
      <c r="B1377" s="35" t="n"/>
      <c r="C1377" s="35" t="n"/>
      <c r="D1377" s="35" t="n"/>
      <c r="E1377" s="35" t="n"/>
      <c r="F1377" s="36" t="n"/>
      <c r="G1377" s="35" t="n"/>
      <c r="H1377" s="30">
        <f>IF(L1377="","",INDEX(SkiftNavn,L1377))</f>
        <v/>
      </c>
      <c r="I1377" s="30">
        <f>IF(OR(A1377="",L1377=""),"",IF(MOD(A1377-INDEX(SkiftStart,L1377),Syklus)&lt;DagK,"Kveld",IF(MOD(A1377-INDEX(SkiftStart,L1377),Syklus)&lt;DagK+DagH,"Helg",IF(MOD(A1377-INDEX(SkiftStart,L1377),Syklus)&lt;DagK+DagH+DagD,"Dag","Fri"))))</f>
        <v/>
      </c>
      <c r="J1377" s="30">
        <f>IF(I1377="Fri","Ja","")</f>
        <v/>
      </c>
      <c r="K1377" s="30">
        <f>IF(B1377="","",IF(L1377="","Ukjent tekniker",IF(ISNA(MATCH(C1377,Aktiviteter,0)),"Ukjent aktivitet",IF(AND(INDEX(AktRolle,MATCH(C1377,Aktiviteter,0))&amp;""&lt;&gt;"",ISERROR(SEARCH(INDEX(AktRolle,MATCH(C1377,Aktiviteter,0))&amp;"",INDEX(TekRoller,MATCH(B1377,Teknikere,0))))),"Mangler rollen "&amp;INDEX(AktRolle,MATCH(C1377,Aktiviteter,0))&amp;"",IF(AND(C1377="LMS",F1377&gt;0,OR(D1377="",E1377="")),"Mangler maskin eller arbeid",IF(AND(OR(C1377="LMS",C1377="Mod"),D1377&lt;&gt;""),IF(IFERROR(INDEX(MaskinStatus,MATCH(D1377,Maskiner,0)),"")="I dokk","","Maskinen er ikke i dokk"),""))))))</f>
        <v/>
      </c>
      <c r="L1377" s="2">
        <f>IF(B1377="","",IFERROR(INT((MATCH(B1377,Teknikere,0)-1)/18)+1,""))</f>
        <v/>
      </c>
      <c r="M1377" s="2">
        <f>IF(OR(A1377="",B1377=""),"",B1377&amp;"|"&amp;A1377)</f>
        <v/>
      </c>
      <c r="N1377" s="2">
        <f>IF(M1377="","",SUMIFS(TF_Timer,TF_Nokkel,M1377,TF_Akt,C1377))</f>
        <v/>
      </c>
      <c r="O1377" s="2">
        <f>IF(M1377="","",IF(AND(N1377=_xlfn.MAXIFS(TF_AktSum,TF_Nokkel,M1377),COUNTIFS(M$3:M1376,M1377,N$3:N1376,N1377)=0),M1377,""))</f>
        <v/>
      </c>
    </row>
    <row r="1378">
      <c r="A1378" s="34" t="n"/>
      <c r="B1378" s="35" t="n"/>
      <c r="C1378" s="35" t="n"/>
      <c r="D1378" s="35" t="n"/>
      <c r="E1378" s="35" t="n"/>
      <c r="F1378" s="36" t="n"/>
      <c r="G1378" s="35" t="n"/>
      <c r="H1378" s="30">
        <f>IF(L1378="","",INDEX(SkiftNavn,L1378))</f>
        <v/>
      </c>
      <c r="I1378" s="30">
        <f>IF(OR(A1378="",L1378=""),"",IF(MOD(A1378-INDEX(SkiftStart,L1378),Syklus)&lt;DagK,"Kveld",IF(MOD(A1378-INDEX(SkiftStart,L1378),Syklus)&lt;DagK+DagH,"Helg",IF(MOD(A1378-INDEX(SkiftStart,L1378),Syklus)&lt;DagK+DagH+DagD,"Dag","Fri"))))</f>
        <v/>
      </c>
      <c r="J1378" s="30">
        <f>IF(I1378="Fri","Ja","")</f>
        <v/>
      </c>
      <c r="K1378" s="30">
        <f>IF(B1378="","",IF(L1378="","Ukjent tekniker",IF(ISNA(MATCH(C1378,Aktiviteter,0)),"Ukjent aktivitet",IF(AND(INDEX(AktRolle,MATCH(C1378,Aktiviteter,0))&amp;""&lt;&gt;"",ISERROR(SEARCH(INDEX(AktRolle,MATCH(C1378,Aktiviteter,0))&amp;"",INDEX(TekRoller,MATCH(B1378,Teknikere,0))))),"Mangler rollen "&amp;INDEX(AktRolle,MATCH(C1378,Aktiviteter,0))&amp;"",IF(AND(C1378="LMS",F1378&gt;0,OR(D1378="",E1378="")),"Mangler maskin eller arbeid",IF(AND(OR(C1378="LMS",C1378="Mod"),D1378&lt;&gt;""),IF(IFERROR(INDEX(MaskinStatus,MATCH(D1378,Maskiner,0)),"")="I dokk","","Maskinen er ikke i dokk"),""))))))</f>
        <v/>
      </c>
      <c r="L1378" s="2">
        <f>IF(B1378="","",IFERROR(INT((MATCH(B1378,Teknikere,0)-1)/18)+1,""))</f>
        <v/>
      </c>
      <c r="M1378" s="2">
        <f>IF(OR(A1378="",B1378=""),"",B1378&amp;"|"&amp;A1378)</f>
        <v/>
      </c>
      <c r="N1378" s="2">
        <f>IF(M1378="","",SUMIFS(TF_Timer,TF_Nokkel,M1378,TF_Akt,C1378))</f>
        <v/>
      </c>
      <c r="O1378" s="2">
        <f>IF(M1378="","",IF(AND(N1378=_xlfn.MAXIFS(TF_AktSum,TF_Nokkel,M1378),COUNTIFS(M$3:M1377,M1378,N$3:N1377,N1378)=0),M1378,""))</f>
        <v/>
      </c>
    </row>
    <row r="1379">
      <c r="A1379" s="34" t="n"/>
      <c r="B1379" s="35" t="n"/>
      <c r="C1379" s="35" t="n"/>
      <c r="D1379" s="35" t="n"/>
      <c r="E1379" s="35" t="n"/>
      <c r="F1379" s="36" t="n"/>
      <c r="G1379" s="35" t="n"/>
      <c r="H1379" s="30">
        <f>IF(L1379="","",INDEX(SkiftNavn,L1379))</f>
        <v/>
      </c>
      <c r="I1379" s="30">
        <f>IF(OR(A1379="",L1379=""),"",IF(MOD(A1379-INDEX(SkiftStart,L1379),Syklus)&lt;DagK,"Kveld",IF(MOD(A1379-INDEX(SkiftStart,L1379),Syklus)&lt;DagK+DagH,"Helg",IF(MOD(A1379-INDEX(SkiftStart,L1379),Syklus)&lt;DagK+DagH+DagD,"Dag","Fri"))))</f>
        <v/>
      </c>
      <c r="J1379" s="30">
        <f>IF(I1379="Fri","Ja","")</f>
        <v/>
      </c>
      <c r="K1379" s="30">
        <f>IF(B1379="","",IF(L1379="","Ukjent tekniker",IF(ISNA(MATCH(C1379,Aktiviteter,0)),"Ukjent aktivitet",IF(AND(INDEX(AktRolle,MATCH(C1379,Aktiviteter,0))&amp;""&lt;&gt;"",ISERROR(SEARCH(INDEX(AktRolle,MATCH(C1379,Aktiviteter,0))&amp;"",INDEX(TekRoller,MATCH(B1379,Teknikere,0))))),"Mangler rollen "&amp;INDEX(AktRolle,MATCH(C1379,Aktiviteter,0))&amp;"",IF(AND(C1379="LMS",F1379&gt;0,OR(D1379="",E1379="")),"Mangler maskin eller arbeid",IF(AND(OR(C1379="LMS",C1379="Mod"),D1379&lt;&gt;""),IF(IFERROR(INDEX(MaskinStatus,MATCH(D1379,Maskiner,0)),"")="I dokk","","Maskinen er ikke i dokk"),""))))))</f>
        <v/>
      </c>
      <c r="L1379" s="2">
        <f>IF(B1379="","",IFERROR(INT((MATCH(B1379,Teknikere,0)-1)/18)+1,""))</f>
        <v/>
      </c>
      <c r="M1379" s="2">
        <f>IF(OR(A1379="",B1379=""),"",B1379&amp;"|"&amp;A1379)</f>
        <v/>
      </c>
      <c r="N1379" s="2">
        <f>IF(M1379="","",SUMIFS(TF_Timer,TF_Nokkel,M1379,TF_Akt,C1379))</f>
        <v/>
      </c>
      <c r="O1379" s="2">
        <f>IF(M1379="","",IF(AND(N1379=_xlfn.MAXIFS(TF_AktSum,TF_Nokkel,M1379),COUNTIFS(M$3:M1378,M1379,N$3:N1378,N1379)=0),M1379,""))</f>
        <v/>
      </c>
    </row>
    <row r="1380">
      <c r="A1380" s="34" t="n"/>
      <c r="B1380" s="35" t="n"/>
      <c r="C1380" s="35" t="n"/>
      <c r="D1380" s="35" t="n"/>
      <c r="E1380" s="35" t="n"/>
      <c r="F1380" s="36" t="n"/>
      <c r="G1380" s="35" t="n"/>
      <c r="H1380" s="30">
        <f>IF(L1380="","",INDEX(SkiftNavn,L1380))</f>
        <v/>
      </c>
      <c r="I1380" s="30">
        <f>IF(OR(A1380="",L1380=""),"",IF(MOD(A1380-INDEX(SkiftStart,L1380),Syklus)&lt;DagK,"Kveld",IF(MOD(A1380-INDEX(SkiftStart,L1380),Syklus)&lt;DagK+DagH,"Helg",IF(MOD(A1380-INDEX(SkiftStart,L1380),Syklus)&lt;DagK+DagH+DagD,"Dag","Fri"))))</f>
        <v/>
      </c>
      <c r="J1380" s="30">
        <f>IF(I1380="Fri","Ja","")</f>
        <v/>
      </c>
      <c r="K1380" s="30">
        <f>IF(B1380="","",IF(L1380="","Ukjent tekniker",IF(ISNA(MATCH(C1380,Aktiviteter,0)),"Ukjent aktivitet",IF(AND(INDEX(AktRolle,MATCH(C1380,Aktiviteter,0))&amp;""&lt;&gt;"",ISERROR(SEARCH(INDEX(AktRolle,MATCH(C1380,Aktiviteter,0))&amp;"",INDEX(TekRoller,MATCH(B1380,Teknikere,0))))),"Mangler rollen "&amp;INDEX(AktRolle,MATCH(C1380,Aktiviteter,0))&amp;"",IF(AND(C1380="LMS",F1380&gt;0,OR(D1380="",E1380="")),"Mangler maskin eller arbeid",IF(AND(OR(C1380="LMS",C1380="Mod"),D1380&lt;&gt;""),IF(IFERROR(INDEX(MaskinStatus,MATCH(D1380,Maskiner,0)),"")="I dokk","","Maskinen er ikke i dokk"),""))))))</f>
        <v/>
      </c>
      <c r="L1380" s="2">
        <f>IF(B1380="","",IFERROR(INT((MATCH(B1380,Teknikere,0)-1)/18)+1,""))</f>
        <v/>
      </c>
      <c r="M1380" s="2">
        <f>IF(OR(A1380="",B1380=""),"",B1380&amp;"|"&amp;A1380)</f>
        <v/>
      </c>
      <c r="N1380" s="2">
        <f>IF(M1380="","",SUMIFS(TF_Timer,TF_Nokkel,M1380,TF_Akt,C1380))</f>
        <v/>
      </c>
      <c r="O1380" s="2">
        <f>IF(M1380="","",IF(AND(N1380=_xlfn.MAXIFS(TF_AktSum,TF_Nokkel,M1380),COUNTIFS(M$3:M1379,M1380,N$3:N1379,N1380)=0),M1380,""))</f>
        <v/>
      </c>
    </row>
    <row r="1381">
      <c r="A1381" s="34" t="n"/>
      <c r="B1381" s="35" t="n"/>
      <c r="C1381" s="35" t="n"/>
      <c r="D1381" s="35" t="n"/>
      <c r="E1381" s="35" t="n"/>
      <c r="F1381" s="36" t="n"/>
      <c r="G1381" s="35" t="n"/>
      <c r="H1381" s="30">
        <f>IF(L1381="","",INDEX(SkiftNavn,L1381))</f>
        <v/>
      </c>
      <c r="I1381" s="30">
        <f>IF(OR(A1381="",L1381=""),"",IF(MOD(A1381-INDEX(SkiftStart,L1381),Syklus)&lt;DagK,"Kveld",IF(MOD(A1381-INDEX(SkiftStart,L1381),Syklus)&lt;DagK+DagH,"Helg",IF(MOD(A1381-INDEX(SkiftStart,L1381),Syklus)&lt;DagK+DagH+DagD,"Dag","Fri"))))</f>
        <v/>
      </c>
      <c r="J1381" s="30">
        <f>IF(I1381="Fri","Ja","")</f>
        <v/>
      </c>
      <c r="K1381" s="30">
        <f>IF(B1381="","",IF(L1381="","Ukjent tekniker",IF(ISNA(MATCH(C1381,Aktiviteter,0)),"Ukjent aktivitet",IF(AND(INDEX(AktRolle,MATCH(C1381,Aktiviteter,0))&amp;""&lt;&gt;"",ISERROR(SEARCH(INDEX(AktRolle,MATCH(C1381,Aktiviteter,0))&amp;"",INDEX(TekRoller,MATCH(B1381,Teknikere,0))))),"Mangler rollen "&amp;INDEX(AktRolle,MATCH(C1381,Aktiviteter,0))&amp;"",IF(AND(C1381="LMS",F1381&gt;0,OR(D1381="",E1381="")),"Mangler maskin eller arbeid",IF(AND(OR(C1381="LMS",C1381="Mod"),D1381&lt;&gt;""),IF(IFERROR(INDEX(MaskinStatus,MATCH(D1381,Maskiner,0)),"")="I dokk","","Maskinen er ikke i dokk"),""))))))</f>
        <v/>
      </c>
      <c r="L1381" s="2">
        <f>IF(B1381="","",IFERROR(INT((MATCH(B1381,Teknikere,0)-1)/18)+1,""))</f>
        <v/>
      </c>
      <c r="M1381" s="2">
        <f>IF(OR(A1381="",B1381=""),"",B1381&amp;"|"&amp;A1381)</f>
        <v/>
      </c>
      <c r="N1381" s="2">
        <f>IF(M1381="","",SUMIFS(TF_Timer,TF_Nokkel,M1381,TF_Akt,C1381))</f>
        <v/>
      </c>
      <c r="O1381" s="2">
        <f>IF(M1381="","",IF(AND(N1381=_xlfn.MAXIFS(TF_AktSum,TF_Nokkel,M1381),COUNTIFS(M$3:M1380,M1381,N$3:N1380,N1381)=0),M1381,""))</f>
        <v/>
      </c>
    </row>
    <row r="1382">
      <c r="A1382" s="34" t="n"/>
      <c r="B1382" s="35" t="n"/>
      <c r="C1382" s="35" t="n"/>
      <c r="D1382" s="35" t="n"/>
      <c r="E1382" s="35" t="n"/>
      <c r="F1382" s="36" t="n"/>
      <c r="G1382" s="35" t="n"/>
      <c r="H1382" s="30">
        <f>IF(L1382="","",INDEX(SkiftNavn,L1382))</f>
        <v/>
      </c>
      <c r="I1382" s="30">
        <f>IF(OR(A1382="",L1382=""),"",IF(MOD(A1382-INDEX(SkiftStart,L1382),Syklus)&lt;DagK,"Kveld",IF(MOD(A1382-INDEX(SkiftStart,L1382),Syklus)&lt;DagK+DagH,"Helg",IF(MOD(A1382-INDEX(SkiftStart,L1382),Syklus)&lt;DagK+DagH+DagD,"Dag","Fri"))))</f>
        <v/>
      </c>
      <c r="J1382" s="30">
        <f>IF(I1382="Fri","Ja","")</f>
        <v/>
      </c>
      <c r="K1382" s="30">
        <f>IF(B1382="","",IF(L1382="","Ukjent tekniker",IF(ISNA(MATCH(C1382,Aktiviteter,0)),"Ukjent aktivitet",IF(AND(INDEX(AktRolle,MATCH(C1382,Aktiviteter,0))&amp;""&lt;&gt;"",ISERROR(SEARCH(INDEX(AktRolle,MATCH(C1382,Aktiviteter,0))&amp;"",INDEX(TekRoller,MATCH(B1382,Teknikere,0))))),"Mangler rollen "&amp;INDEX(AktRolle,MATCH(C1382,Aktiviteter,0))&amp;"",IF(AND(C1382="LMS",F1382&gt;0,OR(D1382="",E1382="")),"Mangler maskin eller arbeid",IF(AND(OR(C1382="LMS",C1382="Mod"),D1382&lt;&gt;""),IF(IFERROR(INDEX(MaskinStatus,MATCH(D1382,Maskiner,0)),"")="I dokk","","Maskinen er ikke i dokk"),""))))))</f>
        <v/>
      </c>
      <c r="L1382" s="2">
        <f>IF(B1382="","",IFERROR(INT((MATCH(B1382,Teknikere,0)-1)/18)+1,""))</f>
        <v/>
      </c>
      <c r="M1382" s="2">
        <f>IF(OR(A1382="",B1382=""),"",B1382&amp;"|"&amp;A1382)</f>
        <v/>
      </c>
      <c r="N1382" s="2">
        <f>IF(M1382="","",SUMIFS(TF_Timer,TF_Nokkel,M1382,TF_Akt,C1382))</f>
        <v/>
      </c>
      <c r="O1382" s="2">
        <f>IF(M1382="","",IF(AND(N1382=_xlfn.MAXIFS(TF_AktSum,TF_Nokkel,M1382),COUNTIFS(M$3:M1381,M1382,N$3:N1381,N1382)=0),M1382,""))</f>
        <v/>
      </c>
    </row>
    <row r="1383">
      <c r="A1383" s="34" t="n"/>
      <c r="B1383" s="35" t="n"/>
      <c r="C1383" s="35" t="n"/>
      <c r="D1383" s="35" t="n"/>
      <c r="E1383" s="35" t="n"/>
      <c r="F1383" s="36" t="n"/>
      <c r="G1383" s="35" t="n"/>
      <c r="H1383" s="30">
        <f>IF(L1383="","",INDEX(SkiftNavn,L1383))</f>
        <v/>
      </c>
      <c r="I1383" s="30">
        <f>IF(OR(A1383="",L1383=""),"",IF(MOD(A1383-INDEX(SkiftStart,L1383),Syklus)&lt;DagK,"Kveld",IF(MOD(A1383-INDEX(SkiftStart,L1383),Syklus)&lt;DagK+DagH,"Helg",IF(MOD(A1383-INDEX(SkiftStart,L1383),Syklus)&lt;DagK+DagH+DagD,"Dag","Fri"))))</f>
        <v/>
      </c>
      <c r="J1383" s="30">
        <f>IF(I1383="Fri","Ja","")</f>
        <v/>
      </c>
      <c r="K1383" s="30">
        <f>IF(B1383="","",IF(L1383="","Ukjent tekniker",IF(ISNA(MATCH(C1383,Aktiviteter,0)),"Ukjent aktivitet",IF(AND(INDEX(AktRolle,MATCH(C1383,Aktiviteter,0))&amp;""&lt;&gt;"",ISERROR(SEARCH(INDEX(AktRolle,MATCH(C1383,Aktiviteter,0))&amp;"",INDEX(TekRoller,MATCH(B1383,Teknikere,0))))),"Mangler rollen "&amp;INDEX(AktRolle,MATCH(C1383,Aktiviteter,0))&amp;"",IF(AND(C1383="LMS",F1383&gt;0,OR(D1383="",E1383="")),"Mangler maskin eller arbeid",IF(AND(OR(C1383="LMS",C1383="Mod"),D1383&lt;&gt;""),IF(IFERROR(INDEX(MaskinStatus,MATCH(D1383,Maskiner,0)),"")="I dokk","","Maskinen er ikke i dokk"),""))))))</f>
        <v/>
      </c>
      <c r="L1383" s="2">
        <f>IF(B1383="","",IFERROR(INT((MATCH(B1383,Teknikere,0)-1)/18)+1,""))</f>
        <v/>
      </c>
      <c r="M1383" s="2">
        <f>IF(OR(A1383="",B1383=""),"",B1383&amp;"|"&amp;A1383)</f>
        <v/>
      </c>
      <c r="N1383" s="2">
        <f>IF(M1383="","",SUMIFS(TF_Timer,TF_Nokkel,M1383,TF_Akt,C1383))</f>
        <v/>
      </c>
      <c r="O1383" s="2">
        <f>IF(M1383="","",IF(AND(N1383=_xlfn.MAXIFS(TF_AktSum,TF_Nokkel,M1383),COUNTIFS(M$3:M1382,M1383,N$3:N1382,N1383)=0),M1383,""))</f>
        <v/>
      </c>
    </row>
    <row r="1384">
      <c r="A1384" s="34" t="n"/>
      <c r="B1384" s="35" t="n"/>
      <c r="C1384" s="35" t="n"/>
      <c r="D1384" s="35" t="n"/>
      <c r="E1384" s="35" t="n"/>
      <c r="F1384" s="36" t="n"/>
      <c r="G1384" s="35" t="n"/>
      <c r="H1384" s="30">
        <f>IF(L1384="","",INDEX(SkiftNavn,L1384))</f>
        <v/>
      </c>
      <c r="I1384" s="30">
        <f>IF(OR(A1384="",L1384=""),"",IF(MOD(A1384-INDEX(SkiftStart,L1384),Syklus)&lt;DagK,"Kveld",IF(MOD(A1384-INDEX(SkiftStart,L1384),Syklus)&lt;DagK+DagH,"Helg",IF(MOD(A1384-INDEX(SkiftStart,L1384),Syklus)&lt;DagK+DagH+DagD,"Dag","Fri"))))</f>
        <v/>
      </c>
      <c r="J1384" s="30">
        <f>IF(I1384="Fri","Ja","")</f>
        <v/>
      </c>
      <c r="K1384" s="30">
        <f>IF(B1384="","",IF(L1384="","Ukjent tekniker",IF(ISNA(MATCH(C1384,Aktiviteter,0)),"Ukjent aktivitet",IF(AND(INDEX(AktRolle,MATCH(C1384,Aktiviteter,0))&amp;""&lt;&gt;"",ISERROR(SEARCH(INDEX(AktRolle,MATCH(C1384,Aktiviteter,0))&amp;"",INDEX(TekRoller,MATCH(B1384,Teknikere,0))))),"Mangler rollen "&amp;INDEX(AktRolle,MATCH(C1384,Aktiviteter,0))&amp;"",IF(AND(C1384="LMS",F1384&gt;0,OR(D1384="",E1384="")),"Mangler maskin eller arbeid",IF(AND(OR(C1384="LMS",C1384="Mod"),D1384&lt;&gt;""),IF(IFERROR(INDEX(MaskinStatus,MATCH(D1384,Maskiner,0)),"")="I dokk","","Maskinen er ikke i dokk"),""))))))</f>
        <v/>
      </c>
      <c r="L1384" s="2">
        <f>IF(B1384="","",IFERROR(INT((MATCH(B1384,Teknikere,0)-1)/18)+1,""))</f>
        <v/>
      </c>
      <c r="M1384" s="2">
        <f>IF(OR(A1384="",B1384=""),"",B1384&amp;"|"&amp;A1384)</f>
        <v/>
      </c>
      <c r="N1384" s="2">
        <f>IF(M1384="","",SUMIFS(TF_Timer,TF_Nokkel,M1384,TF_Akt,C1384))</f>
        <v/>
      </c>
      <c r="O1384" s="2">
        <f>IF(M1384="","",IF(AND(N1384=_xlfn.MAXIFS(TF_AktSum,TF_Nokkel,M1384),COUNTIFS(M$3:M1383,M1384,N$3:N1383,N1384)=0),M1384,""))</f>
        <v/>
      </c>
    </row>
    <row r="1385">
      <c r="A1385" s="34" t="n"/>
      <c r="B1385" s="35" t="n"/>
      <c r="C1385" s="35" t="n"/>
      <c r="D1385" s="35" t="n"/>
      <c r="E1385" s="35" t="n"/>
      <c r="F1385" s="36" t="n"/>
      <c r="G1385" s="35" t="n"/>
      <c r="H1385" s="30">
        <f>IF(L1385="","",INDEX(SkiftNavn,L1385))</f>
        <v/>
      </c>
      <c r="I1385" s="30">
        <f>IF(OR(A1385="",L1385=""),"",IF(MOD(A1385-INDEX(SkiftStart,L1385),Syklus)&lt;DagK,"Kveld",IF(MOD(A1385-INDEX(SkiftStart,L1385),Syklus)&lt;DagK+DagH,"Helg",IF(MOD(A1385-INDEX(SkiftStart,L1385),Syklus)&lt;DagK+DagH+DagD,"Dag","Fri"))))</f>
        <v/>
      </c>
      <c r="J1385" s="30">
        <f>IF(I1385="Fri","Ja","")</f>
        <v/>
      </c>
      <c r="K1385" s="30">
        <f>IF(B1385="","",IF(L1385="","Ukjent tekniker",IF(ISNA(MATCH(C1385,Aktiviteter,0)),"Ukjent aktivitet",IF(AND(INDEX(AktRolle,MATCH(C1385,Aktiviteter,0))&amp;""&lt;&gt;"",ISERROR(SEARCH(INDEX(AktRolle,MATCH(C1385,Aktiviteter,0))&amp;"",INDEX(TekRoller,MATCH(B1385,Teknikere,0))))),"Mangler rollen "&amp;INDEX(AktRolle,MATCH(C1385,Aktiviteter,0))&amp;"",IF(AND(C1385="LMS",F1385&gt;0,OR(D1385="",E1385="")),"Mangler maskin eller arbeid",IF(AND(OR(C1385="LMS",C1385="Mod"),D1385&lt;&gt;""),IF(IFERROR(INDEX(MaskinStatus,MATCH(D1385,Maskiner,0)),"")="I dokk","","Maskinen er ikke i dokk"),""))))))</f>
        <v/>
      </c>
      <c r="L1385" s="2">
        <f>IF(B1385="","",IFERROR(INT((MATCH(B1385,Teknikere,0)-1)/18)+1,""))</f>
        <v/>
      </c>
      <c r="M1385" s="2">
        <f>IF(OR(A1385="",B1385=""),"",B1385&amp;"|"&amp;A1385)</f>
        <v/>
      </c>
      <c r="N1385" s="2">
        <f>IF(M1385="","",SUMIFS(TF_Timer,TF_Nokkel,M1385,TF_Akt,C1385))</f>
        <v/>
      </c>
      <c r="O1385" s="2">
        <f>IF(M1385="","",IF(AND(N1385=_xlfn.MAXIFS(TF_AktSum,TF_Nokkel,M1385),COUNTIFS(M$3:M1384,M1385,N$3:N1384,N1385)=0),M1385,""))</f>
        <v/>
      </c>
    </row>
    <row r="1386">
      <c r="A1386" s="34" t="n"/>
      <c r="B1386" s="35" t="n"/>
      <c r="C1386" s="35" t="n"/>
      <c r="D1386" s="35" t="n"/>
      <c r="E1386" s="35" t="n"/>
      <c r="F1386" s="36" t="n"/>
      <c r="G1386" s="35" t="n"/>
      <c r="H1386" s="30">
        <f>IF(L1386="","",INDEX(SkiftNavn,L1386))</f>
        <v/>
      </c>
      <c r="I1386" s="30">
        <f>IF(OR(A1386="",L1386=""),"",IF(MOD(A1386-INDEX(SkiftStart,L1386),Syklus)&lt;DagK,"Kveld",IF(MOD(A1386-INDEX(SkiftStart,L1386),Syklus)&lt;DagK+DagH,"Helg",IF(MOD(A1386-INDEX(SkiftStart,L1386),Syklus)&lt;DagK+DagH+DagD,"Dag","Fri"))))</f>
        <v/>
      </c>
      <c r="J1386" s="30">
        <f>IF(I1386="Fri","Ja","")</f>
        <v/>
      </c>
      <c r="K1386" s="30">
        <f>IF(B1386="","",IF(L1386="","Ukjent tekniker",IF(ISNA(MATCH(C1386,Aktiviteter,0)),"Ukjent aktivitet",IF(AND(INDEX(AktRolle,MATCH(C1386,Aktiviteter,0))&amp;""&lt;&gt;"",ISERROR(SEARCH(INDEX(AktRolle,MATCH(C1386,Aktiviteter,0))&amp;"",INDEX(TekRoller,MATCH(B1386,Teknikere,0))))),"Mangler rollen "&amp;INDEX(AktRolle,MATCH(C1386,Aktiviteter,0))&amp;"",IF(AND(C1386="LMS",F1386&gt;0,OR(D1386="",E1386="")),"Mangler maskin eller arbeid",IF(AND(OR(C1386="LMS",C1386="Mod"),D1386&lt;&gt;""),IF(IFERROR(INDEX(MaskinStatus,MATCH(D1386,Maskiner,0)),"")="I dokk","","Maskinen er ikke i dokk"),""))))))</f>
        <v/>
      </c>
      <c r="L1386" s="2">
        <f>IF(B1386="","",IFERROR(INT((MATCH(B1386,Teknikere,0)-1)/18)+1,""))</f>
        <v/>
      </c>
      <c r="M1386" s="2">
        <f>IF(OR(A1386="",B1386=""),"",B1386&amp;"|"&amp;A1386)</f>
        <v/>
      </c>
      <c r="N1386" s="2">
        <f>IF(M1386="","",SUMIFS(TF_Timer,TF_Nokkel,M1386,TF_Akt,C1386))</f>
        <v/>
      </c>
      <c r="O1386" s="2">
        <f>IF(M1386="","",IF(AND(N1386=_xlfn.MAXIFS(TF_AktSum,TF_Nokkel,M1386),COUNTIFS(M$3:M1385,M1386,N$3:N1385,N1386)=0),M1386,""))</f>
        <v/>
      </c>
    </row>
    <row r="1387">
      <c r="A1387" s="34" t="n"/>
      <c r="B1387" s="35" t="n"/>
      <c r="C1387" s="35" t="n"/>
      <c r="D1387" s="35" t="n"/>
      <c r="E1387" s="35" t="n"/>
      <c r="F1387" s="36" t="n"/>
      <c r="G1387" s="35" t="n"/>
      <c r="H1387" s="30">
        <f>IF(L1387="","",INDEX(SkiftNavn,L1387))</f>
        <v/>
      </c>
      <c r="I1387" s="30">
        <f>IF(OR(A1387="",L1387=""),"",IF(MOD(A1387-INDEX(SkiftStart,L1387),Syklus)&lt;DagK,"Kveld",IF(MOD(A1387-INDEX(SkiftStart,L1387),Syklus)&lt;DagK+DagH,"Helg",IF(MOD(A1387-INDEX(SkiftStart,L1387),Syklus)&lt;DagK+DagH+DagD,"Dag","Fri"))))</f>
        <v/>
      </c>
      <c r="J1387" s="30">
        <f>IF(I1387="Fri","Ja","")</f>
        <v/>
      </c>
      <c r="K1387" s="30">
        <f>IF(B1387="","",IF(L1387="","Ukjent tekniker",IF(ISNA(MATCH(C1387,Aktiviteter,0)),"Ukjent aktivitet",IF(AND(INDEX(AktRolle,MATCH(C1387,Aktiviteter,0))&amp;""&lt;&gt;"",ISERROR(SEARCH(INDEX(AktRolle,MATCH(C1387,Aktiviteter,0))&amp;"",INDEX(TekRoller,MATCH(B1387,Teknikere,0))))),"Mangler rollen "&amp;INDEX(AktRolle,MATCH(C1387,Aktiviteter,0))&amp;"",IF(AND(C1387="LMS",F1387&gt;0,OR(D1387="",E1387="")),"Mangler maskin eller arbeid",IF(AND(OR(C1387="LMS",C1387="Mod"),D1387&lt;&gt;""),IF(IFERROR(INDEX(MaskinStatus,MATCH(D1387,Maskiner,0)),"")="I dokk","","Maskinen er ikke i dokk"),""))))))</f>
        <v/>
      </c>
      <c r="L1387" s="2">
        <f>IF(B1387="","",IFERROR(INT((MATCH(B1387,Teknikere,0)-1)/18)+1,""))</f>
        <v/>
      </c>
      <c r="M1387" s="2">
        <f>IF(OR(A1387="",B1387=""),"",B1387&amp;"|"&amp;A1387)</f>
        <v/>
      </c>
      <c r="N1387" s="2">
        <f>IF(M1387="","",SUMIFS(TF_Timer,TF_Nokkel,M1387,TF_Akt,C1387))</f>
        <v/>
      </c>
      <c r="O1387" s="2">
        <f>IF(M1387="","",IF(AND(N1387=_xlfn.MAXIFS(TF_AktSum,TF_Nokkel,M1387),COUNTIFS(M$3:M1386,M1387,N$3:N1386,N1387)=0),M1387,""))</f>
        <v/>
      </c>
    </row>
    <row r="1388">
      <c r="A1388" s="34" t="n"/>
      <c r="B1388" s="35" t="n"/>
      <c r="C1388" s="35" t="n"/>
      <c r="D1388" s="35" t="n"/>
      <c r="E1388" s="35" t="n"/>
      <c r="F1388" s="36" t="n"/>
      <c r="G1388" s="35" t="n"/>
      <c r="H1388" s="30">
        <f>IF(L1388="","",INDEX(SkiftNavn,L1388))</f>
        <v/>
      </c>
      <c r="I1388" s="30">
        <f>IF(OR(A1388="",L1388=""),"",IF(MOD(A1388-INDEX(SkiftStart,L1388),Syklus)&lt;DagK,"Kveld",IF(MOD(A1388-INDEX(SkiftStart,L1388),Syklus)&lt;DagK+DagH,"Helg",IF(MOD(A1388-INDEX(SkiftStart,L1388),Syklus)&lt;DagK+DagH+DagD,"Dag","Fri"))))</f>
        <v/>
      </c>
      <c r="J1388" s="30">
        <f>IF(I1388="Fri","Ja","")</f>
        <v/>
      </c>
      <c r="K1388" s="30">
        <f>IF(B1388="","",IF(L1388="","Ukjent tekniker",IF(ISNA(MATCH(C1388,Aktiviteter,0)),"Ukjent aktivitet",IF(AND(INDEX(AktRolle,MATCH(C1388,Aktiviteter,0))&amp;""&lt;&gt;"",ISERROR(SEARCH(INDEX(AktRolle,MATCH(C1388,Aktiviteter,0))&amp;"",INDEX(TekRoller,MATCH(B1388,Teknikere,0))))),"Mangler rollen "&amp;INDEX(AktRolle,MATCH(C1388,Aktiviteter,0))&amp;"",IF(AND(C1388="LMS",F1388&gt;0,OR(D1388="",E1388="")),"Mangler maskin eller arbeid",IF(AND(OR(C1388="LMS",C1388="Mod"),D1388&lt;&gt;""),IF(IFERROR(INDEX(MaskinStatus,MATCH(D1388,Maskiner,0)),"")="I dokk","","Maskinen er ikke i dokk"),""))))))</f>
        <v/>
      </c>
      <c r="L1388" s="2">
        <f>IF(B1388="","",IFERROR(INT((MATCH(B1388,Teknikere,0)-1)/18)+1,""))</f>
        <v/>
      </c>
      <c r="M1388" s="2">
        <f>IF(OR(A1388="",B1388=""),"",B1388&amp;"|"&amp;A1388)</f>
        <v/>
      </c>
      <c r="N1388" s="2">
        <f>IF(M1388="","",SUMIFS(TF_Timer,TF_Nokkel,M1388,TF_Akt,C1388))</f>
        <v/>
      </c>
      <c r="O1388" s="2">
        <f>IF(M1388="","",IF(AND(N1388=_xlfn.MAXIFS(TF_AktSum,TF_Nokkel,M1388),COUNTIFS(M$3:M1387,M1388,N$3:N1387,N1388)=0),M1388,""))</f>
        <v/>
      </c>
    </row>
    <row r="1389">
      <c r="A1389" s="34" t="n"/>
      <c r="B1389" s="35" t="n"/>
      <c r="C1389" s="35" t="n"/>
      <c r="D1389" s="35" t="n"/>
      <c r="E1389" s="35" t="n"/>
      <c r="F1389" s="36" t="n"/>
      <c r="G1389" s="35" t="n"/>
      <c r="H1389" s="30">
        <f>IF(L1389="","",INDEX(SkiftNavn,L1389))</f>
        <v/>
      </c>
      <c r="I1389" s="30">
        <f>IF(OR(A1389="",L1389=""),"",IF(MOD(A1389-INDEX(SkiftStart,L1389),Syklus)&lt;DagK,"Kveld",IF(MOD(A1389-INDEX(SkiftStart,L1389),Syklus)&lt;DagK+DagH,"Helg",IF(MOD(A1389-INDEX(SkiftStart,L1389),Syklus)&lt;DagK+DagH+DagD,"Dag","Fri"))))</f>
        <v/>
      </c>
      <c r="J1389" s="30">
        <f>IF(I1389="Fri","Ja","")</f>
        <v/>
      </c>
      <c r="K1389" s="30">
        <f>IF(B1389="","",IF(L1389="","Ukjent tekniker",IF(ISNA(MATCH(C1389,Aktiviteter,0)),"Ukjent aktivitet",IF(AND(INDEX(AktRolle,MATCH(C1389,Aktiviteter,0))&amp;""&lt;&gt;"",ISERROR(SEARCH(INDEX(AktRolle,MATCH(C1389,Aktiviteter,0))&amp;"",INDEX(TekRoller,MATCH(B1389,Teknikere,0))))),"Mangler rollen "&amp;INDEX(AktRolle,MATCH(C1389,Aktiviteter,0))&amp;"",IF(AND(C1389="LMS",F1389&gt;0,OR(D1389="",E1389="")),"Mangler maskin eller arbeid",IF(AND(OR(C1389="LMS",C1389="Mod"),D1389&lt;&gt;""),IF(IFERROR(INDEX(MaskinStatus,MATCH(D1389,Maskiner,0)),"")="I dokk","","Maskinen er ikke i dokk"),""))))))</f>
        <v/>
      </c>
      <c r="L1389" s="2">
        <f>IF(B1389="","",IFERROR(INT((MATCH(B1389,Teknikere,0)-1)/18)+1,""))</f>
        <v/>
      </c>
      <c r="M1389" s="2">
        <f>IF(OR(A1389="",B1389=""),"",B1389&amp;"|"&amp;A1389)</f>
        <v/>
      </c>
      <c r="N1389" s="2">
        <f>IF(M1389="","",SUMIFS(TF_Timer,TF_Nokkel,M1389,TF_Akt,C1389))</f>
        <v/>
      </c>
      <c r="O1389" s="2">
        <f>IF(M1389="","",IF(AND(N1389=_xlfn.MAXIFS(TF_AktSum,TF_Nokkel,M1389),COUNTIFS(M$3:M1388,M1389,N$3:N1388,N1389)=0),M1389,""))</f>
        <v/>
      </c>
    </row>
    <row r="1390">
      <c r="A1390" s="34" t="n"/>
      <c r="B1390" s="35" t="n"/>
      <c r="C1390" s="35" t="n"/>
      <c r="D1390" s="35" t="n"/>
      <c r="E1390" s="35" t="n"/>
      <c r="F1390" s="36" t="n"/>
      <c r="G1390" s="35" t="n"/>
      <c r="H1390" s="30">
        <f>IF(L1390="","",INDEX(SkiftNavn,L1390))</f>
        <v/>
      </c>
      <c r="I1390" s="30">
        <f>IF(OR(A1390="",L1390=""),"",IF(MOD(A1390-INDEX(SkiftStart,L1390),Syklus)&lt;DagK,"Kveld",IF(MOD(A1390-INDEX(SkiftStart,L1390),Syklus)&lt;DagK+DagH,"Helg",IF(MOD(A1390-INDEX(SkiftStart,L1390),Syklus)&lt;DagK+DagH+DagD,"Dag","Fri"))))</f>
        <v/>
      </c>
      <c r="J1390" s="30">
        <f>IF(I1390="Fri","Ja","")</f>
        <v/>
      </c>
      <c r="K1390" s="30">
        <f>IF(B1390="","",IF(L1390="","Ukjent tekniker",IF(ISNA(MATCH(C1390,Aktiviteter,0)),"Ukjent aktivitet",IF(AND(INDEX(AktRolle,MATCH(C1390,Aktiviteter,0))&amp;""&lt;&gt;"",ISERROR(SEARCH(INDEX(AktRolle,MATCH(C1390,Aktiviteter,0))&amp;"",INDEX(TekRoller,MATCH(B1390,Teknikere,0))))),"Mangler rollen "&amp;INDEX(AktRolle,MATCH(C1390,Aktiviteter,0))&amp;"",IF(AND(C1390="LMS",F1390&gt;0,OR(D1390="",E1390="")),"Mangler maskin eller arbeid",IF(AND(OR(C1390="LMS",C1390="Mod"),D1390&lt;&gt;""),IF(IFERROR(INDEX(MaskinStatus,MATCH(D1390,Maskiner,0)),"")="I dokk","","Maskinen er ikke i dokk"),""))))))</f>
        <v/>
      </c>
      <c r="L1390" s="2">
        <f>IF(B1390="","",IFERROR(INT((MATCH(B1390,Teknikere,0)-1)/18)+1,""))</f>
        <v/>
      </c>
      <c r="M1390" s="2">
        <f>IF(OR(A1390="",B1390=""),"",B1390&amp;"|"&amp;A1390)</f>
        <v/>
      </c>
      <c r="N1390" s="2">
        <f>IF(M1390="","",SUMIFS(TF_Timer,TF_Nokkel,M1390,TF_Akt,C1390))</f>
        <v/>
      </c>
      <c r="O1390" s="2">
        <f>IF(M1390="","",IF(AND(N1390=_xlfn.MAXIFS(TF_AktSum,TF_Nokkel,M1390),COUNTIFS(M$3:M1389,M1390,N$3:N1389,N1390)=0),M1390,""))</f>
        <v/>
      </c>
    </row>
    <row r="1391">
      <c r="A1391" s="34" t="n"/>
      <c r="B1391" s="35" t="n"/>
      <c r="C1391" s="35" t="n"/>
      <c r="D1391" s="35" t="n"/>
      <c r="E1391" s="35" t="n"/>
      <c r="F1391" s="36" t="n"/>
      <c r="G1391" s="35" t="n"/>
      <c r="H1391" s="30">
        <f>IF(L1391="","",INDEX(SkiftNavn,L1391))</f>
        <v/>
      </c>
      <c r="I1391" s="30">
        <f>IF(OR(A1391="",L1391=""),"",IF(MOD(A1391-INDEX(SkiftStart,L1391),Syklus)&lt;DagK,"Kveld",IF(MOD(A1391-INDEX(SkiftStart,L1391),Syklus)&lt;DagK+DagH,"Helg",IF(MOD(A1391-INDEX(SkiftStart,L1391),Syklus)&lt;DagK+DagH+DagD,"Dag","Fri"))))</f>
        <v/>
      </c>
      <c r="J1391" s="30">
        <f>IF(I1391="Fri","Ja","")</f>
        <v/>
      </c>
      <c r="K1391" s="30">
        <f>IF(B1391="","",IF(L1391="","Ukjent tekniker",IF(ISNA(MATCH(C1391,Aktiviteter,0)),"Ukjent aktivitet",IF(AND(INDEX(AktRolle,MATCH(C1391,Aktiviteter,0))&amp;""&lt;&gt;"",ISERROR(SEARCH(INDEX(AktRolle,MATCH(C1391,Aktiviteter,0))&amp;"",INDEX(TekRoller,MATCH(B1391,Teknikere,0))))),"Mangler rollen "&amp;INDEX(AktRolle,MATCH(C1391,Aktiviteter,0))&amp;"",IF(AND(C1391="LMS",F1391&gt;0,OR(D1391="",E1391="")),"Mangler maskin eller arbeid",IF(AND(OR(C1391="LMS",C1391="Mod"),D1391&lt;&gt;""),IF(IFERROR(INDEX(MaskinStatus,MATCH(D1391,Maskiner,0)),"")="I dokk","","Maskinen er ikke i dokk"),""))))))</f>
        <v/>
      </c>
      <c r="L1391" s="2">
        <f>IF(B1391="","",IFERROR(INT((MATCH(B1391,Teknikere,0)-1)/18)+1,""))</f>
        <v/>
      </c>
      <c r="M1391" s="2">
        <f>IF(OR(A1391="",B1391=""),"",B1391&amp;"|"&amp;A1391)</f>
        <v/>
      </c>
      <c r="N1391" s="2">
        <f>IF(M1391="","",SUMIFS(TF_Timer,TF_Nokkel,M1391,TF_Akt,C1391))</f>
        <v/>
      </c>
      <c r="O1391" s="2">
        <f>IF(M1391="","",IF(AND(N1391=_xlfn.MAXIFS(TF_AktSum,TF_Nokkel,M1391),COUNTIFS(M$3:M1390,M1391,N$3:N1390,N1391)=0),M1391,""))</f>
        <v/>
      </c>
    </row>
    <row r="1392">
      <c r="A1392" s="34" t="n"/>
      <c r="B1392" s="35" t="n"/>
      <c r="C1392" s="35" t="n"/>
      <c r="D1392" s="35" t="n"/>
      <c r="E1392" s="35" t="n"/>
      <c r="F1392" s="36" t="n"/>
      <c r="G1392" s="35" t="n"/>
      <c r="H1392" s="30">
        <f>IF(L1392="","",INDEX(SkiftNavn,L1392))</f>
        <v/>
      </c>
      <c r="I1392" s="30">
        <f>IF(OR(A1392="",L1392=""),"",IF(MOD(A1392-INDEX(SkiftStart,L1392),Syklus)&lt;DagK,"Kveld",IF(MOD(A1392-INDEX(SkiftStart,L1392),Syklus)&lt;DagK+DagH,"Helg",IF(MOD(A1392-INDEX(SkiftStart,L1392),Syklus)&lt;DagK+DagH+DagD,"Dag","Fri"))))</f>
        <v/>
      </c>
      <c r="J1392" s="30">
        <f>IF(I1392="Fri","Ja","")</f>
        <v/>
      </c>
      <c r="K1392" s="30">
        <f>IF(B1392="","",IF(L1392="","Ukjent tekniker",IF(ISNA(MATCH(C1392,Aktiviteter,0)),"Ukjent aktivitet",IF(AND(INDEX(AktRolle,MATCH(C1392,Aktiviteter,0))&amp;""&lt;&gt;"",ISERROR(SEARCH(INDEX(AktRolle,MATCH(C1392,Aktiviteter,0))&amp;"",INDEX(TekRoller,MATCH(B1392,Teknikere,0))))),"Mangler rollen "&amp;INDEX(AktRolle,MATCH(C1392,Aktiviteter,0))&amp;"",IF(AND(C1392="LMS",F1392&gt;0,OR(D1392="",E1392="")),"Mangler maskin eller arbeid",IF(AND(OR(C1392="LMS",C1392="Mod"),D1392&lt;&gt;""),IF(IFERROR(INDEX(MaskinStatus,MATCH(D1392,Maskiner,0)),"")="I dokk","","Maskinen er ikke i dokk"),""))))))</f>
        <v/>
      </c>
      <c r="L1392" s="2">
        <f>IF(B1392="","",IFERROR(INT((MATCH(B1392,Teknikere,0)-1)/18)+1,""))</f>
        <v/>
      </c>
      <c r="M1392" s="2">
        <f>IF(OR(A1392="",B1392=""),"",B1392&amp;"|"&amp;A1392)</f>
        <v/>
      </c>
      <c r="N1392" s="2">
        <f>IF(M1392="","",SUMIFS(TF_Timer,TF_Nokkel,M1392,TF_Akt,C1392))</f>
        <v/>
      </c>
      <c r="O1392" s="2">
        <f>IF(M1392="","",IF(AND(N1392=_xlfn.MAXIFS(TF_AktSum,TF_Nokkel,M1392),COUNTIFS(M$3:M1391,M1392,N$3:N1391,N1392)=0),M1392,""))</f>
        <v/>
      </c>
    </row>
    <row r="1393">
      <c r="A1393" s="34" t="n"/>
      <c r="B1393" s="35" t="n"/>
      <c r="C1393" s="35" t="n"/>
      <c r="D1393" s="35" t="n"/>
      <c r="E1393" s="35" t="n"/>
      <c r="F1393" s="36" t="n"/>
      <c r="G1393" s="35" t="n"/>
      <c r="H1393" s="30">
        <f>IF(L1393="","",INDEX(SkiftNavn,L1393))</f>
        <v/>
      </c>
      <c r="I1393" s="30">
        <f>IF(OR(A1393="",L1393=""),"",IF(MOD(A1393-INDEX(SkiftStart,L1393),Syklus)&lt;DagK,"Kveld",IF(MOD(A1393-INDEX(SkiftStart,L1393),Syklus)&lt;DagK+DagH,"Helg",IF(MOD(A1393-INDEX(SkiftStart,L1393),Syklus)&lt;DagK+DagH+DagD,"Dag","Fri"))))</f>
        <v/>
      </c>
      <c r="J1393" s="30">
        <f>IF(I1393="Fri","Ja","")</f>
        <v/>
      </c>
      <c r="K1393" s="30">
        <f>IF(B1393="","",IF(L1393="","Ukjent tekniker",IF(ISNA(MATCH(C1393,Aktiviteter,0)),"Ukjent aktivitet",IF(AND(INDEX(AktRolle,MATCH(C1393,Aktiviteter,0))&amp;""&lt;&gt;"",ISERROR(SEARCH(INDEX(AktRolle,MATCH(C1393,Aktiviteter,0))&amp;"",INDEX(TekRoller,MATCH(B1393,Teknikere,0))))),"Mangler rollen "&amp;INDEX(AktRolle,MATCH(C1393,Aktiviteter,0))&amp;"",IF(AND(C1393="LMS",F1393&gt;0,OR(D1393="",E1393="")),"Mangler maskin eller arbeid",IF(AND(OR(C1393="LMS",C1393="Mod"),D1393&lt;&gt;""),IF(IFERROR(INDEX(MaskinStatus,MATCH(D1393,Maskiner,0)),"")="I dokk","","Maskinen er ikke i dokk"),""))))))</f>
        <v/>
      </c>
      <c r="L1393" s="2">
        <f>IF(B1393="","",IFERROR(INT((MATCH(B1393,Teknikere,0)-1)/18)+1,""))</f>
        <v/>
      </c>
      <c r="M1393" s="2">
        <f>IF(OR(A1393="",B1393=""),"",B1393&amp;"|"&amp;A1393)</f>
        <v/>
      </c>
      <c r="N1393" s="2">
        <f>IF(M1393="","",SUMIFS(TF_Timer,TF_Nokkel,M1393,TF_Akt,C1393))</f>
        <v/>
      </c>
      <c r="O1393" s="2">
        <f>IF(M1393="","",IF(AND(N1393=_xlfn.MAXIFS(TF_AktSum,TF_Nokkel,M1393),COUNTIFS(M$3:M1392,M1393,N$3:N1392,N1393)=0),M1393,""))</f>
        <v/>
      </c>
    </row>
    <row r="1394">
      <c r="A1394" s="34" t="n"/>
      <c r="B1394" s="35" t="n"/>
      <c r="C1394" s="35" t="n"/>
      <c r="D1394" s="35" t="n"/>
      <c r="E1394" s="35" t="n"/>
      <c r="F1394" s="36" t="n"/>
      <c r="G1394" s="35" t="n"/>
      <c r="H1394" s="30">
        <f>IF(L1394="","",INDEX(SkiftNavn,L1394))</f>
        <v/>
      </c>
      <c r="I1394" s="30">
        <f>IF(OR(A1394="",L1394=""),"",IF(MOD(A1394-INDEX(SkiftStart,L1394),Syklus)&lt;DagK,"Kveld",IF(MOD(A1394-INDEX(SkiftStart,L1394),Syklus)&lt;DagK+DagH,"Helg",IF(MOD(A1394-INDEX(SkiftStart,L1394),Syklus)&lt;DagK+DagH+DagD,"Dag","Fri"))))</f>
        <v/>
      </c>
      <c r="J1394" s="30">
        <f>IF(I1394="Fri","Ja","")</f>
        <v/>
      </c>
      <c r="K1394" s="30">
        <f>IF(B1394="","",IF(L1394="","Ukjent tekniker",IF(ISNA(MATCH(C1394,Aktiviteter,0)),"Ukjent aktivitet",IF(AND(INDEX(AktRolle,MATCH(C1394,Aktiviteter,0))&amp;""&lt;&gt;"",ISERROR(SEARCH(INDEX(AktRolle,MATCH(C1394,Aktiviteter,0))&amp;"",INDEX(TekRoller,MATCH(B1394,Teknikere,0))))),"Mangler rollen "&amp;INDEX(AktRolle,MATCH(C1394,Aktiviteter,0))&amp;"",IF(AND(C1394="LMS",F1394&gt;0,OR(D1394="",E1394="")),"Mangler maskin eller arbeid",IF(AND(OR(C1394="LMS",C1394="Mod"),D1394&lt;&gt;""),IF(IFERROR(INDEX(MaskinStatus,MATCH(D1394,Maskiner,0)),"")="I dokk","","Maskinen er ikke i dokk"),""))))))</f>
        <v/>
      </c>
      <c r="L1394" s="2">
        <f>IF(B1394="","",IFERROR(INT((MATCH(B1394,Teknikere,0)-1)/18)+1,""))</f>
        <v/>
      </c>
      <c r="M1394" s="2">
        <f>IF(OR(A1394="",B1394=""),"",B1394&amp;"|"&amp;A1394)</f>
        <v/>
      </c>
      <c r="N1394" s="2">
        <f>IF(M1394="","",SUMIFS(TF_Timer,TF_Nokkel,M1394,TF_Akt,C1394))</f>
        <v/>
      </c>
      <c r="O1394" s="2">
        <f>IF(M1394="","",IF(AND(N1394=_xlfn.MAXIFS(TF_AktSum,TF_Nokkel,M1394),COUNTIFS(M$3:M1393,M1394,N$3:N1393,N1394)=0),M1394,""))</f>
        <v/>
      </c>
    </row>
    <row r="1395">
      <c r="A1395" s="34" t="n"/>
      <c r="B1395" s="35" t="n"/>
      <c r="C1395" s="35" t="n"/>
      <c r="D1395" s="35" t="n"/>
      <c r="E1395" s="35" t="n"/>
      <c r="F1395" s="36" t="n"/>
      <c r="G1395" s="35" t="n"/>
      <c r="H1395" s="30">
        <f>IF(L1395="","",INDEX(SkiftNavn,L1395))</f>
        <v/>
      </c>
      <c r="I1395" s="30">
        <f>IF(OR(A1395="",L1395=""),"",IF(MOD(A1395-INDEX(SkiftStart,L1395),Syklus)&lt;DagK,"Kveld",IF(MOD(A1395-INDEX(SkiftStart,L1395),Syklus)&lt;DagK+DagH,"Helg",IF(MOD(A1395-INDEX(SkiftStart,L1395),Syklus)&lt;DagK+DagH+DagD,"Dag","Fri"))))</f>
        <v/>
      </c>
      <c r="J1395" s="30">
        <f>IF(I1395="Fri","Ja","")</f>
        <v/>
      </c>
      <c r="K1395" s="30">
        <f>IF(B1395="","",IF(L1395="","Ukjent tekniker",IF(ISNA(MATCH(C1395,Aktiviteter,0)),"Ukjent aktivitet",IF(AND(INDEX(AktRolle,MATCH(C1395,Aktiviteter,0))&amp;""&lt;&gt;"",ISERROR(SEARCH(INDEX(AktRolle,MATCH(C1395,Aktiviteter,0))&amp;"",INDEX(TekRoller,MATCH(B1395,Teknikere,0))))),"Mangler rollen "&amp;INDEX(AktRolle,MATCH(C1395,Aktiviteter,0))&amp;"",IF(AND(C1395="LMS",F1395&gt;0,OR(D1395="",E1395="")),"Mangler maskin eller arbeid",IF(AND(OR(C1395="LMS",C1395="Mod"),D1395&lt;&gt;""),IF(IFERROR(INDEX(MaskinStatus,MATCH(D1395,Maskiner,0)),"")="I dokk","","Maskinen er ikke i dokk"),""))))))</f>
        <v/>
      </c>
      <c r="L1395" s="2">
        <f>IF(B1395="","",IFERROR(INT((MATCH(B1395,Teknikere,0)-1)/18)+1,""))</f>
        <v/>
      </c>
      <c r="M1395" s="2">
        <f>IF(OR(A1395="",B1395=""),"",B1395&amp;"|"&amp;A1395)</f>
        <v/>
      </c>
      <c r="N1395" s="2">
        <f>IF(M1395="","",SUMIFS(TF_Timer,TF_Nokkel,M1395,TF_Akt,C1395))</f>
        <v/>
      </c>
      <c r="O1395" s="2">
        <f>IF(M1395="","",IF(AND(N1395=_xlfn.MAXIFS(TF_AktSum,TF_Nokkel,M1395),COUNTIFS(M$3:M1394,M1395,N$3:N1394,N1395)=0),M1395,""))</f>
        <v/>
      </c>
    </row>
    <row r="1396">
      <c r="A1396" s="34" t="n"/>
      <c r="B1396" s="35" t="n"/>
      <c r="C1396" s="35" t="n"/>
      <c r="D1396" s="35" t="n"/>
      <c r="E1396" s="35" t="n"/>
      <c r="F1396" s="36" t="n"/>
      <c r="G1396" s="35" t="n"/>
      <c r="H1396" s="30">
        <f>IF(L1396="","",INDEX(SkiftNavn,L1396))</f>
        <v/>
      </c>
      <c r="I1396" s="30">
        <f>IF(OR(A1396="",L1396=""),"",IF(MOD(A1396-INDEX(SkiftStart,L1396),Syklus)&lt;DagK,"Kveld",IF(MOD(A1396-INDEX(SkiftStart,L1396),Syklus)&lt;DagK+DagH,"Helg",IF(MOD(A1396-INDEX(SkiftStart,L1396),Syklus)&lt;DagK+DagH+DagD,"Dag","Fri"))))</f>
        <v/>
      </c>
      <c r="J1396" s="30">
        <f>IF(I1396="Fri","Ja","")</f>
        <v/>
      </c>
      <c r="K1396" s="30">
        <f>IF(B1396="","",IF(L1396="","Ukjent tekniker",IF(ISNA(MATCH(C1396,Aktiviteter,0)),"Ukjent aktivitet",IF(AND(INDEX(AktRolle,MATCH(C1396,Aktiviteter,0))&amp;""&lt;&gt;"",ISERROR(SEARCH(INDEX(AktRolle,MATCH(C1396,Aktiviteter,0))&amp;"",INDEX(TekRoller,MATCH(B1396,Teknikere,0))))),"Mangler rollen "&amp;INDEX(AktRolle,MATCH(C1396,Aktiviteter,0))&amp;"",IF(AND(C1396="LMS",F1396&gt;0,OR(D1396="",E1396="")),"Mangler maskin eller arbeid",IF(AND(OR(C1396="LMS",C1396="Mod"),D1396&lt;&gt;""),IF(IFERROR(INDEX(MaskinStatus,MATCH(D1396,Maskiner,0)),"")="I dokk","","Maskinen er ikke i dokk"),""))))))</f>
        <v/>
      </c>
      <c r="L1396" s="2">
        <f>IF(B1396="","",IFERROR(INT((MATCH(B1396,Teknikere,0)-1)/18)+1,""))</f>
        <v/>
      </c>
      <c r="M1396" s="2">
        <f>IF(OR(A1396="",B1396=""),"",B1396&amp;"|"&amp;A1396)</f>
        <v/>
      </c>
      <c r="N1396" s="2">
        <f>IF(M1396="","",SUMIFS(TF_Timer,TF_Nokkel,M1396,TF_Akt,C1396))</f>
        <v/>
      </c>
      <c r="O1396" s="2">
        <f>IF(M1396="","",IF(AND(N1396=_xlfn.MAXIFS(TF_AktSum,TF_Nokkel,M1396),COUNTIFS(M$3:M1395,M1396,N$3:N1395,N1396)=0),M1396,""))</f>
        <v/>
      </c>
    </row>
    <row r="1397">
      <c r="A1397" s="34" t="n"/>
      <c r="B1397" s="35" t="n"/>
      <c r="C1397" s="35" t="n"/>
      <c r="D1397" s="35" t="n"/>
      <c r="E1397" s="35" t="n"/>
      <c r="F1397" s="36" t="n"/>
      <c r="G1397" s="35" t="n"/>
      <c r="H1397" s="30">
        <f>IF(L1397="","",INDEX(SkiftNavn,L1397))</f>
        <v/>
      </c>
      <c r="I1397" s="30">
        <f>IF(OR(A1397="",L1397=""),"",IF(MOD(A1397-INDEX(SkiftStart,L1397),Syklus)&lt;DagK,"Kveld",IF(MOD(A1397-INDEX(SkiftStart,L1397),Syklus)&lt;DagK+DagH,"Helg",IF(MOD(A1397-INDEX(SkiftStart,L1397),Syklus)&lt;DagK+DagH+DagD,"Dag","Fri"))))</f>
        <v/>
      </c>
      <c r="J1397" s="30">
        <f>IF(I1397="Fri","Ja","")</f>
        <v/>
      </c>
      <c r="K1397" s="30">
        <f>IF(B1397="","",IF(L1397="","Ukjent tekniker",IF(ISNA(MATCH(C1397,Aktiviteter,0)),"Ukjent aktivitet",IF(AND(INDEX(AktRolle,MATCH(C1397,Aktiviteter,0))&amp;""&lt;&gt;"",ISERROR(SEARCH(INDEX(AktRolle,MATCH(C1397,Aktiviteter,0))&amp;"",INDEX(TekRoller,MATCH(B1397,Teknikere,0))))),"Mangler rollen "&amp;INDEX(AktRolle,MATCH(C1397,Aktiviteter,0))&amp;"",IF(AND(C1397="LMS",F1397&gt;0,OR(D1397="",E1397="")),"Mangler maskin eller arbeid",IF(AND(OR(C1397="LMS",C1397="Mod"),D1397&lt;&gt;""),IF(IFERROR(INDEX(MaskinStatus,MATCH(D1397,Maskiner,0)),"")="I dokk","","Maskinen er ikke i dokk"),""))))))</f>
        <v/>
      </c>
      <c r="L1397" s="2">
        <f>IF(B1397="","",IFERROR(INT((MATCH(B1397,Teknikere,0)-1)/18)+1,""))</f>
        <v/>
      </c>
      <c r="M1397" s="2">
        <f>IF(OR(A1397="",B1397=""),"",B1397&amp;"|"&amp;A1397)</f>
        <v/>
      </c>
      <c r="N1397" s="2">
        <f>IF(M1397="","",SUMIFS(TF_Timer,TF_Nokkel,M1397,TF_Akt,C1397))</f>
        <v/>
      </c>
      <c r="O1397" s="2">
        <f>IF(M1397="","",IF(AND(N1397=_xlfn.MAXIFS(TF_AktSum,TF_Nokkel,M1397),COUNTIFS(M$3:M1396,M1397,N$3:N1396,N1397)=0),M1397,""))</f>
        <v/>
      </c>
    </row>
    <row r="1398">
      <c r="A1398" s="34" t="n"/>
      <c r="B1398" s="35" t="n"/>
      <c r="C1398" s="35" t="n"/>
      <c r="D1398" s="35" t="n"/>
      <c r="E1398" s="35" t="n"/>
      <c r="F1398" s="36" t="n"/>
      <c r="G1398" s="35" t="n"/>
      <c r="H1398" s="30">
        <f>IF(L1398="","",INDEX(SkiftNavn,L1398))</f>
        <v/>
      </c>
      <c r="I1398" s="30">
        <f>IF(OR(A1398="",L1398=""),"",IF(MOD(A1398-INDEX(SkiftStart,L1398),Syklus)&lt;DagK,"Kveld",IF(MOD(A1398-INDEX(SkiftStart,L1398),Syklus)&lt;DagK+DagH,"Helg",IF(MOD(A1398-INDEX(SkiftStart,L1398),Syklus)&lt;DagK+DagH+DagD,"Dag","Fri"))))</f>
        <v/>
      </c>
      <c r="J1398" s="30">
        <f>IF(I1398="Fri","Ja","")</f>
        <v/>
      </c>
      <c r="K1398" s="30">
        <f>IF(B1398="","",IF(L1398="","Ukjent tekniker",IF(ISNA(MATCH(C1398,Aktiviteter,0)),"Ukjent aktivitet",IF(AND(INDEX(AktRolle,MATCH(C1398,Aktiviteter,0))&amp;""&lt;&gt;"",ISERROR(SEARCH(INDEX(AktRolle,MATCH(C1398,Aktiviteter,0))&amp;"",INDEX(TekRoller,MATCH(B1398,Teknikere,0))))),"Mangler rollen "&amp;INDEX(AktRolle,MATCH(C1398,Aktiviteter,0))&amp;"",IF(AND(C1398="LMS",F1398&gt;0,OR(D1398="",E1398="")),"Mangler maskin eller arbeid",IF(AND(OR(C1398="LMS",C1398="Mod"),D1398&lt;&gt;""),IF(IFERROR(INDEX(MaskinStatus,MATCH(D1398,Maskiner,0)),"")="I dokk","","Maskinen er ikke i dokk"),""))))))</f>
        <v/>
      </c>
      <c r="L1398" s="2">
        <f>IF(B1398="","",IFERROR(INT((MATCH(B1398,Teknikere,0)-1)/18)+1,""))</f>
        <v/>
      </c>
      <c r="M1398" s="2">
        <f>IF(OR(A1398="",B1398=""),"",B1398&amp;"|"&amp;A1398)</f>
        <v/>
      </c>
      <c r="N1398" s="2">
        <f>IF(M1398="","",SUMIFS(TF_Timer,TF_Nokkel,M1398,TF_Akt,C1398))</f>
        <v/>
      </c>
      <c r="O1398" s="2">
        <f>IF(M1398="","",IF(AND(N1398=_xlfn.MAXIFS(TF_AktSum,TF_Nokkel,M1398),COUNTIFS(M$3:M1397,M1398,N$3:N1397,N1398)=0),M1398,""))</f>
        <v/>
      </c>
    </row>
    <row r="1399">
      <c r="A1399" s="34" t="n"/>
      <c r="B1399" s="35" t="n"/>
      <c r="C1399" s="35" t="n"/>
      <c r="D1399" s="35" t="n"/>
      <c r="E1399" s="35" t="n"/>
      <c r="F1399" s="36" t="n"/>
      <c r="G1399" s="35" t="n"/>
      <c r="H1399" s="30">
        <f>IF(L1399="","",INDEX(SkiftNavn,L1399))</f>
        <v/>
      </c>
      <c r="I1399" s="30">
        <f>IF(OR(A1399="",L1399=""),"",IF(MOD(A1399-INDEX(SkiftStart,L1399),Syklus)&lt;DagK,"Kveld",IF(MOD(A1399-INDEX(SkiftStart,L1399),Syklus)&lt;DagK+DagH,"Helg",IF(MOD(A1399-INDEX(SkiftStart,L1399),Syklus)&lt;DagK+DagH+DagD,"Dag","Fri"))))</f>
        <v/>
      </c>
      <c r="J1399" s="30">
        <f>IF(I1399="Fri","Ja","")</f>
        <v/>
      </c>
      <c r="K1399" s="30">
        <f>IF(B1399="","",IF(L1399="","Ukjent tekniker",IF(ISNA(MATCH(C1399,Aktiviteter,0)),"Ukjent aktivitet",IF(AND(INDEX(AktRolle,MATCH(C1399,Aktiviteter,0))&amp;""&lt;&gt;"",ISERROR(SEARCH(INDEX(AktRolle,MATCH(C1399,Aktiviteter,0))&amp;"",INDEX(TekRoller,MATCH(B1399,Teknikere,0))))),"Mangler rollen "&amp;INDEX(AktRolle,MATCH(C1399,Aktiviteter,0))&amp;"",IF(AND(C1399="LMS",F1399&gt;0,OR(D1399="",E1399="")),"Mangler maskin eller arbeid",IF(AND(OR(C1399="LMS",C1399="Mod"),D1399&lt;&gt;""),IF(IFERROR(INDEX(MaskinStatus,MATCH(D1399,Maskiner,0)),"")="I dokk","","Maskinen er ikke i dokk"),""))))))</f>
        <v/>
      </c>
      <c r="L1399" s="2">
        <f>IF(B1399="","",IFERROR(INT((MATCH(B1399,Teknikere,0)-1)/18)+1,""))</f>
        <v/>
      </c>
      <c r="M1399" s="2">
        <f>IF(OR(A1399="",B1399=""),"",B1399&amp;"|"&amp;A1399)</f>
        <v/>
      </c>
      <c r="N1399" s="2">
        <f>IF(M1399="","",SUMIFS(TF_Timer,TF_Nokkel,M1399,TF_Akt,C1399))</f>
        <v/>
      </c>
      <c r="O1399" s="2">
        <f>IF(M1399="","",IF(AND(N1399=_xlfn.MAXIFS(TF_AktSum,TF_Nokkel,M1399),COUNTIFS(M$3:M1398,M1399,N$3:N1398,N1399)=0),M1399,""))</f>
        <v/>
      </c>
    </row>
    <row r="1400">
      <c r="A1400" s="34" t="n"/>
      <c r="B1400" s="35" t="n"/>
      <c r="C1400" s="35" t="n"/>
      <c r="D1400" s="35" t="n"/>
      <c r="E1400" s="35" t="n"/>
      <c r="F1400" s="36" t="n"/>
      <c r="G1400" s="35" t="n"/>
      <c r="H1400" s="30">
        <f>IF(L1400="","",INDEX(SkiftNavn,L1400))</f>
        <v/>
      </c>
      <c r="I1400" s="30">
        <f>IF(OR(A1400="",L1400=""),"",IF(MOD(A1400-INDEX(SkiftStart,L1400),Syklus)&lt;DagK,"Kveld",IF(MOD(A1400-INDEX(SkiftStart,L1400),Syklus)&lt;DagK+DagH,"Helg",IF(MOD(A1400-INDEX(SkiftStart,L1400),Syklus)&lt;DagK+DagH+DagD,"Dag","Fri"))))</f>
        <v/>
      </c>
      <c r="J1400" s="30">
        <f>IF(I1400="Fri","Ja","")</f>
        <v/>
      </c>
      <c r="K1400" s="30">
        <f>IF(B1400="","",IF(L1400="","Ukjent tekniker",IF(ISNA(MATCH(C1400,Aktiviteter,0)),"Ukjent aktivitet",IF(AND(INDEX(AktRolle,MATCH(C1400,Aktiviteter,0))&amp;""&lt;&gt;"",ISERROR(SEARCH(INDEX(AktRolle,MATCH(C1400,Aktiviteter,0))&amp;"",INDEX(TekRoller,MATCH(B1400,Teknikere,0))))),"Mangler rollen "&amp;INDEX(AktRolle,MATCH(C1400,Aktiviteter,0))&amp;"",IF(AND(C1400="LMS",F1400&gt;0,OR(D1400="",E1400="")),"Mangler maskin eller arbeid",IF(AND(OR(C1400="LMS",C1400="Mod"),D1400&lt;&gt;""),IF(IFERROR(INDEX(MaskinStatus,MATCH(D1400,Maskiner,0)),"")="I dokk","","Maskinen er ikke i dokk"),""))))))</f>
        <v/>
      </c>
      <c r="L1400" s="2">
        <f>IF(B1400="","",IFERROR(INT((MATCH(B1400,Teknikere,0)-1)/18)+1,""))</f>
        <v/>
      </c>
      <c r="M1400" s="2">
        <f>IF(OR(A1400="",B1400=""),"",B1400&amp;"|"&amp;A1400)</f>
        <v/>
      </c>
      <c r="N1400" s="2">
        <f>IF(M1400="","",SUMIFS(TF_Timer,TF_Nokkel,M1400,TF_Akt,C1400))</f>
        <v/>
      </c>
      <c r="O1400" s="2">
        <f>IF(M1400="","",IF(AND(N1400=_xlfn.MAXIFS(TF_AktSum,TF_Nokkel,M1400),COUNTIFS(M$3:M1399,M1400,N$3:N1399,N1400)=0),M1400,""))</f>
        <v/>
      </c>
    </row>
    <row r="1401">
      <c r="A1401" s="34" t="n"/>
      <c r="B1401" s="35" t="n"/>
      <c r="C1401" s="35" t="n"/>
      <c r="D1401" s="35" t="n"/>
      <c r="E1401" s="35" t="n"/>
      <c r="F1401" s="36" t="n"/>
      <c r="G1401" s="35" t="n"/>
      <c r="H1401" s="30">
        <f>IF(L1401="","",INDEX(SkiftNavn,L1401))</f>
        <v/>
      </c>
      <c r="I1401" s="30">
        <f>IF(OR(A1401="",L1401=""),"",IF(MOD(A1401-INDEX(SkiftStart,L1401),Syklus)&lt;DagK,"Kveld",IF(MOD(A1401-INDEX(SkiftStart,L1401),Syklus)&lt;DagK+DagH,"Helg",IF(MOD(A1401-INDEX(SkiftStart,L1401),Syklus)&lt;DagK+DagH+DagD,"Dag","Fri"))))</f>
        <v/>
      </c>
      <c r="J1401" s="30">
        <f>IF(I1401="Fri","Ja","")</f>
        <v/>
      </c>
      <c r="K1401" s="30">
        <f>IF(B1401="","",IF(L1401="","Ukjent tekniker",IF(ISNA(MATCH(C1401,Aktiviteter,0)),"Ukjent aktivitet",IF(AND(INDEX(AktRolle,MATCH(C1401,Aktiviteter,0))&amp;""&lt;&gt;"",ISERROR(SEARCH(INDEX(AktRolle,MATCH(C1401,Aktiviteter,0))&amp;"",INDEX(TekRoller,MATCH(B1401,Teknikere,0))))),"Mangler rollen "&amp;INDEX(AktRolle,MATCH(C1401,Aktiviteter,0))&amp;"",IF(AND(C1401="LMS",F1401&gt;0,OR(D1401="",E1401="")),"Mangler maskin eller arbeid",IF(AND(OR(C1401="LMS",C1401="Mod"),D1401&lt;&gt;""),IF(IFERROR(INDEX(MaskinStatus,MATCH(D1401,Maskiner,0)),"")="I dokk","","Maskinen er ikke i dokk"),""))))))</f>
        <v/>
      </c>
      <c r="L1401" s="2">
        <f>IF(B1401="","",IFERROR(INT((MATCH(B1401,Teknikere,0)-1)/18)+1,""))</f>
        <v/>
      </c>
      <c r="M1401" s="2">
        <f>IF(OR(A1401="",B1401=""),"",B1401&amp;"|"&amp;A1401)</f>
        <v/>
      </c>
      <c r="N1401" s="2">
        <f>IF(M1401="","",SUMIFS(TF_Timer,TF_Nokkel,M1401,TF_Akt,C1401))</f>
        <v/>
      </c>
      <c r="O1401" s="2">
        <f>IF(M1401="","",IF(AND(N1401=_xlfn.MAXIFS(TF_AktSum,TF_Nokkel,M1401),COUNTIFS(M$3:M1400,M1401,N$3:N1400,N1401)=0),M1401,""))</f>
        <v/>
      </c>
    </row>
    <row r="1402">
      <c r="A1402" s="34" t="n"/>
      <c r="B1402" s="35" t="n"/>
      <c r="C1402" s="35" t="n"/>
      <c r="D1402" s="35" t="n"/>
      <c r="E1402" s="35" t="n"/>
      <c r="F1402" s="36" t="n"/>
      <c r="G1402" s="35" t="n"/>
      <c r="H1402" s="30">
        <f>IF(L1402="","",INDEX(SkiftNavn,L1402))</f>
        <v/>
      </c>
      <c r="I1402" s="30">
        <f>IF(OR(A1402="",L1402=""),"",IF(MOD(A1402-INDEX(SkiftStart,L1402),Syklus)&lt;DagK,"Kveld",IF(MOD(A1402-INDEX(SkiftStart,L1402),Syklus)&lt;DagK+DagH,"Helg",IF(MOD(A1402-INDEX(SkiftStart,L1402),Syklus)&lt;DagK+DagH+DagD,"Dag","Fri"))))</f>
        <v/>
      </c>
      <c r="J1402" s="30">
        <f>IF(I1402="Fri","Ja","")</f>
        <v/>
      </c>
      <c r="K1402" s="30">
        <f>IF(B1402="","",IF(L1402="","Ukjent tekniker",IF(ISNA(MATCH(C1402,Aktiviteter,0)),"Ukjent aktivitet",IF(AND(INDEX(AktRolle,MATCH(C1402,Aktiviteter,0))&amp;""&lt;&gt;"",ISERROR(SEARCH(INDEX(AktRolle,MATCH(C1402,Aktiviteter,0))&amp;"",INDEX(TekRoller,MATCH(B1402,Teknikere,0))))),"Mangler rollen "&amp;INDEX(AktRolle,MATCH(C1402,Aktiviteter,0))&amp;"",IF(AND(C1402="LMS",F1402&gt;0,OR(D1402="",E1402="")),"Mangler maskin eller arbeid",IF(AND(OR(C1402="LMS",C1402="Mod"),D1402&lt;&gt;""),IF(IFERROR(INDEX(MaskinStatus,MATCH(D1402,Maskiner,0)),"")="I dokk","","Maskinen er ikke i dokk"),""))))))</f>
        <v/>
      </c>
      <c r="L1402" s="2">
        <f>IF(B1402="","",IFERROR(INT((MATCH(B1402,Teknikere,0)-1)/18)+1,""))</f>
        <v/>
      </c>
      <c r="M1402" s="2">
        <f>IF(OR(A1402="",B1402=""),"",B1402&amp;"|"&amp;A1402)</f>
        <v/>
      </c>
      <c r="N1402" s="2">
        <f>IF(M1402="","",SUMIFS(TF_Timer,TF_Nokkel,M1402,TF_Akt,C1402))</f>
        <v/>
      </c>
      <c r="O1402" s="2">
        <f>IF(M1402="","",IF(AND(N1402=_xlfn.MAXIFS(TF_AktSum,TF_Nokkel,M1402),COUNTIFS(M$3:M1401,M1402,N$3:N1401,N1402)=0),M1402,""))</f>
        <v/>
      </c>
    </row>
    <row r="1403">
      <c r="A1403" s="34" t="n"/>
      <c r="B1403" s="35" t="n"/>
      <c r="C1403" s="35" t="n"/>
      <c r="D1403" s="35" t="n"/>
      <c r="E1403" s="35" t="n"/>
      <c r="F1403" s="36" t="n"/>
      <c r="G1403" s="35" t="n"/>
      <c r="H1403" s="30">
        <f>IF(L1403="","",INDEX(SkiftNavn,L1403))</f>
        <v/>
      </c>
      <c r="I1403" s="30">
        <f>IF(OR(A1403="",L1403=""),"",IF(MOD(A1403-INDEX(SkiftStart,L1403),Syklus)&lt;DagK,"Kveld",IF(MOD(A1403-INDEX(SkiftStart,L1403),Syklus)&lt;DagK+DagH,"Helg",IF(MOD(A1403-INDEX(SkiftStart,L1403),Syklus)&lt;DagK+DagH+DagD,"Dag","Fri"))))</f>
        <v/>
      </c>
      <c r="J1403" s="30">
        <f>IF(I1403="Fri","Ja","")</f>
        <v/>
      </c>
      <c r="K1403" s="30">
        <f>IF(B1403="","",IF(L1403="","Ukjent tekniker",IF(ISNA(MATCH(C1403,Aktiviteter,0)),"Ukjent aktivitet",IF(AND(INDEX(AktRolle,MATCH(C1403,Aktiviteter,0))&amp;""&lt;&gt;"",ISERROR(SEARCH(INDEX(AktRolle,MATCH(C1403,Aktiviteter,0))&amp;"",INDEX(TekRoller,MATCH(B1403,Teknikere,0))))),"Mangler rollen "&amp;INDEX(AktRolle,MATCH(C1403,Aktiviteter,0))&amp;"",IF(AND(C1403="LMS",F1403&gt;0,OR(D1403="",E1403="")),"Mangler maskin eller arbeid",IF(AND(OR(C1403="LMS",C1403="Mod"),D1403&lt;&gt;""),IF(IFERROR(INDEX(MaskinStatus,MATCH(D1403,Maskiner,0)),"")="I dokk","","Maskinen er ikke i dokk"),""))))))</f>
        <v/>
      </c>
      <c r="L1403" s="2">
        <f>IF(B1403="","",IFERROR(INT((MATCH(B1403,Teknikere,0)-1)/18)+1,""))</f>
        <v/>
      </c>
      <c r="M1403" s="2">
        <f>IF(OR(A1403="",B1403=""),"",B1403&amp;"|"&amp;A1403)</f>
        <v/>
      </c>
      <c r="N1403" s="2">
        <f>IF(M1403="","",SUMIFS(TF_Timer,TF_Nokkel,M1403,TF_Akt,C1403))</f>
        <v/>
      </c>
      <c r="O1403" s="2">
        <f>IF(M1403="","",IF(AND(N1403=_xlfn.MAXIFS(TF_AktSum,TF_Nokkel,M1403),COUNTIFS(M$3:M1402,M1403,N$3:N1402,N1403)=0),M1403,""))</f>
        <v/>
      </c>
    </row>
    <row r="1404">
      <c r="A1404" s="34" t="n"/>
      <c r="B1404" s="35" t="n"/>
      <c r="C1404" s="35" t="n"/>
      <c r="D1404" s="35" t="n"/>
      <c r="E1404" s="35" t="n"/>
      <c r="F1404" s="36" t="n"/>
      <c r="G1404" s="35" t="n"/>
      <c r="H1404" s="30">
        <f>IF(L1404="","",INDEX(SkiftNavn,L1404))</f>
        <v/>
      </c>
      <c r="I1404" s="30">
        <f>IF(OR(A1404="",L1404=""),"",IF(MOD(A1404-INDEX(SkiftStart,L1404),Syklus)&lt;DagK,"Kveld",IF(MOD(A1404-INDEX(SkiftStart,L1404),Syklus)&lt;DagK+DagH,"Helg",IF(MOD(A1404-INDEX(SkiftStart,L1404),Syklus)&lt;DagK+DagH+DagD,"Dag","Fri"))))</f>
        <v/>
      </c>
      <c r="J1404" s="30">
        <f>IF(I1404="Fri","Ja","")</f>
        <v/>
      </c>
      <c r="K1404" s="30">
        <f>IF(B1404="","",IF(L1404="","Ukjent tekniker",IF(ISNA(MATCH(C1404,Aktiviteter,0)),"Ukjent aktivitet",IF(AND(INDEX(AktRolle,MATCH(C1404,Aktiviteter,0))&amp;""&lt;&gt;"",ISERROR(SEARCH(INDEX(AktRolle,MATCH(C1404,Aktiviteter,0))&amp;"",INDEX(TekRoller,MATCH(B1404,Teknikere,0))))),"Mangler rollen "&amp;INDEX(AktRolle,MATCH(C1404,Aktiviteter,0))&amp;"",IF(AND(C1404="LMS",F1404&gt;0,OR(D1404="",E1404="")),"Mangler maskin eller arbeid",IF(AND(OR(C1404="LMS",C1404="Mod"),D1404&lt;&gt;""),IF(IFERROR(INDEX(MaskinStatus,MATCH(D1404,Maskiner,0)),"")="I dokk","","Maskinen er ikke i dokk"),""))))))</f>
        <v/>
      </c>
      <c r="L1404" s="2">
        <f>IF(B1404="","",IFERROR(INT((MATCH(B1404,Teknikere,0)-1)/18)+1,""))</f>
        <v/>
      </c>
      <c r="M1404" s="2">
        <f>IF(OR(A1404="",B1404=""),"",B1404&amp;"|"&amp;A1404)</f>
        <v/>
      </c>
      <c r="N1404" s="2">
        <f>IF(M1404="","",SUMIFS(TF_Timer,TF_Nokkel,M1404,TF_Akt,C1404))</f>
        <v/>
      </c>
      <c r="O1404" s="2">
        <f>IF(M1404="","",IF(AND(N1404=_xlfn.MAXIFS(TF_AktSum,TF_Nokkel,M1404),COUNTIFS(M$3:M1403,M1404,N$3:N1403,N1404)=0),M1404,""))</f>
        <v/>
      </c>
    </row>
    <row r="1405">
      <c r="A1405" s="34" t="n"/>
      <c r="B1405" s="35" t="n"/>
      <c r="C1405" s="35" t="n"/>
      <c r="D1405" s="35" t="n"/>
      <c r="E1405" s="35" t="n"/>
      <c r="F1405" s="36" t="n"/>
      <c r="G1405" s="35" t="n"/>
      <c r="H1405" s="30">
        <f>IF(L1405="","",INDEX(SkiftNavn,L1405))</f>
        <v/>
      </c>
      <c r="I1405" s="30">
        <f>IF(OR(A1405="",L1405=""),"",IF(MOD(A1405-INDEX(SkiftStart,L1405),Syklus)&lt;DagK,"Kveld",IF(MOD(A1405-INDEX(SkiftStart,L1405),Syklus)&lt;DagK+DagH,"Helg",IF(MOD(A1405-INDEX(SkiftStart,L1405),Syklus)&lt;DagK+DagH+DagD,"Dag","Fri"))))</f>
        <v/>
      </c>
      <c r="J1405" s="30">
        <f>IF(I1405="Fri","Ja","")</f>
        <v/>
      </c>
      <c r="K1405" s="30">
        <f>IF(B1405="","",IF(L1405="","Ukjent tekniker",IF(ISNA(MATCH(C1405,Aktiviteter,0)),"Ukjent aktivitet",IF(AND(INDEX(AktRolle,MATCH(C1405,Aktiviteter,0))&amp;""&lt;&gt;"",ISERROR(SEARCH(INDEX(AktRolle,MATCH(C1405,Aktiviteter,0))&amp;"",INDEX(TekRoller,MATCH(B1405,Teknikere,0))))),"Mangler rollen "&amp;INDEX(AktRolle,MATCH(C1405,Aktiviteter,0))&amp;"",IF(AND(C1405="LMS",F1405&gt;0,OR(D1405="",E1405="")),"Mangler maskin eller arbeid",IF(AND(OR(C1405="LMS",C1405="Mod"),D1405&lt;&gt;""),IF(IFERROR(INDEX(MaskinStatus,MATCH(D1405,Maskiner,0)),"")="I dokk","","Maskinen er ikke i dokk"),""))))))</f>
        <v/>
      </c>
      <c r="L1405" s="2">
        <f>IF(B1405="","",IFERROR(INT((MATCH(B1405,Teknikere,0)-1)/18)+1,""))</f>
        <v/>
      </c>
      <c r="M1405" s="2">
        <f>IF(OR(A1405="",B1405=""),"",B1405&amp;"|"&amp;A1405)</f>
        <v/>
      </c>
      <c r="N1405" s="2">
        <f>IF(M1405="","",SUMIFS(TF_Timer,TF_Nokkel,M1405,TF_Akt,C1405))</f>
        <v/>
      </c>
      <c r="O1405" s="2">
        <f>IF(M1405="","",IF(AND(N1405=_xlfn.MAXIFS(TF_AktSum,TF_Nokkel,M1405),COUNTIFS(M$3:M1404,M1405,N$3:N1404,N1405)=0),M1405,""))</f>
        <v/>
      </c>
    </row>
    <row r="1406">
      <c r="A1406" s="34" t="n"/>
      <c r="B1406" s="35" t="n"/>
      <c r="C1406" s="35" t="n"/>
      <c r="D1406" s="35" t="n"/>
      <c r="E1406" s="35" t="n"/>
      <c r="F1406" s="36" t="n"/>
      <c r="G1406" s="35" t="n"/>
      <c r="H1406" s="30">
        <f>IF(L1406="","",INDEX(SkiftNavn,L1406))</f>
        <v/>
      </c>
      <c r="I1406" s="30">
        <f>IF(OR(A1406="",L1406=""),"",IF(MOD(A1406-INDEX(SkiftStart,L1406),Syklus)&lt;DagK,"Kveld",IF(MOD(A1406-INDEX(SkiftStart,L1406),Syklus)&lt;DagK+DagH,"Helg",IF(MOD(A1406-INDEX(SkiftStart,L1406),Syklus)&lt;DagK+DagH+DagD,"Dag","Fri"))))</f>
        <v/>
      </c>
      <c r="J1406" s="30">
        <f>IF(I1406="Fri","Ja","")</f>
        <v/>
      </c>
      <c r="K1406" s="30">
        <f>IF(B1406="","",IF(L1406="","Ukjent tekniker",IF(ISNA(MATCH(C1406,Aktiviteter,0)),"Ukjent aktivitet",IF(AND(INDEX(AktRolle,MATCH(C1406,Aktiviteter,0))&amp;""&lt;&gt;"",ISERROR(SEARCH(INDEX(AktRolle,MATCH(C1406,Aktiviteter,0))&amp;"",INDEX(TekRoller,MATCH(B1406,Teknikere,0))))),"Mangler rollen "&amp;INDEX(AktRolle,MATCH(C1406,Aktiviteter,0))&amp;"",IF(AND(C1406="LMS",F1406&gt;0,OR(D1406="",E1406="")),"Mangler maskin eller arbeid",IF(AND(OR(C1406="LMS",C1406="Mod"),D1406&lt;&gt;""),IF(IFERROR(INDEX(MaskinStatus,MATCH(D1406,Maskiner,0)),"")="I dokk","","Maskinen er ikke i dokk"),""))))))</f>
        <v/>
      </c>
      <c r="L1406" s="2">
        <f>IF(B1406="","",IFERROR(INT((MATCH(B1406,Teknikere,0)-1)/18)+1,""))</f>
        <v/>
      </c>
      <c r="M1406" s="2">
        <f>IF(OR(A1406="",B1406=""),"",B1406&amp;"|"&amp;A1406)</f>
        <v/>
      </c>
      <c r="N1406" s="2">
        <f>IF(M1406="","",SUMIFS(TF_Timer,TF_Nokkel,M1406,TF_Akt,C1406))</f>
        <v/>
      </c>
      <c r="O1406" s="2">
        <f>IF(M1406="","",IF(AND(N1406=_xlfn.MAXIFS(TF_AktSum,TF_Nokkel,M1406),COUNTIFS(M$3:M1405,M1406,N$3:N1405,N1406)=0),M1406,""))</f>
        <v/>
      </c>
    </row>
    <row r="1407">
      <c r="A1407" s="34" t="n"/>
      <c r="B1407" s="35" t="n"/>
      <c r="C1407" s="35" t="n"/>
      <c r="D1407" s="35" t="n"/>
      <c r="E1407" s="35" t="n"/>
      <c r="F1407" s="36" t="n"/>
      <c r="G1407" s="35" t="n"/>
      <c r="H1407" s="30">
        <f>IF(L1407="","",INDEX(SkiftNavn,L1407))</f>
        <v/>
      </c>
      <c r="I1407" s="30">
        <f>IF(OR(A1407="",L1407=""),"",IF(MOD(A1407-INDEX(SkiftStart,L1407),Syklus)&lt;DagK,"Kveld",IF(MOD(A1407-INDEX(SkiftStart,L1407),Syklus)&lt;DagK+DagH,"Helg",IF(MOD(A1407-INDEX(SkiftStart,L1407),Syklus)&lt;DagK+DagH+DagD,"Dag","Fri"))))</f>
        <v/>
      </c>
      <c r="J1407" s="30">
        <f>IF(I1407="Fri","Ja","")</f>
        <v/>
      </c>
      <c r="K1407" s="30">
        <f>IF(B1407="","",IF(L1407="","Ukjent tekniker",IF(ISNA(MATCH(C1407,Aktiviteter,0)),"Ukjent aktivitet",IF(AND(INDEX(AktRolle,MATCH(C1407,Aktiviteter,0))&amp;""&lt;&gt;"",ISERROR(SEARCH(INDEX(AktRolle,MATCH(C1407,Aktiviteter,0))&amp;"",INDEX(TekRoller,MATCH(B1407,Teknikere,0))))),"Mangler rollen "&amp;INDEX(AktRolle,MATCH(C1407,Aktiviteter,0))&amp;"",IF(AND(C1407="LMS",F1407&gt;0,OR(D1407="",E1407="")),"Mangler maskin eller arbeid",IF(AND(OR(C1407="LMS",C1407="Mod"),D1407&lt;&gt;""),IF(IFERROR(INDEX(MaskinStatus,MATCH(D1407,Maskiner,0)),"")="I dokk","","Maskinen er ikke i dokk"),""))))))</f>
        <v/>
      </c>
      <c r="L1407" s="2">
        <f>IF(B1407="","",IFERROR(INT((MATCH(B1407,Teknikere,0)-1)/18)+1,""))</f>
        <v/>
      </c>
      <c r="M1407" s="2">
        <f>IF(OR(A1407="",B1407=""),"",B1407&amp;"|"&amp;A1407)</f>
        <v/>
      </c>
      <c r="N1407" s="2">
        <f>IF(M1407="","",SUMIFS(TF_Timer,TF_Nokkel,M1407,TF_Akt,C1407))</f>
        <v/>
      </c>
      <c r="O1407" s="2">
        <f>IF(M1407="","",IF(AND(N1407=_xlfn.MAXIFS(TF_AktSum,TF_Nokkel,M1407),COUNTIFS(M$3:M1406,M1407,N$3:N1406,N1407)=0),M1407,""))</f>
        <v/>
      </c>
    </row>
    <row r="1408">
      <c r="A1408" s="34" t="n"/>
      <c r="B1408" s="35" t="n"/>
      <c r="C1408" s="35" t="n"/>
      <c r="D1408" s="35" t="n"/>
      <c r="E1408" s="35" t="n"/>
      <c r="F1408" s="36" t="n"/>
      <c r="G1408" s="35" t="n"/>
      <c r="H1408" s="30">
        <f>IF(L1408="","",INDEX(SkiftNavn,L1408))</f>
        <v/>
      </c>
      <c r="I1408" s="30">
        <f>IF(OR(A1408="",L1408=""),"",IF(MOD(A1408-INDEX(SkiftStart,L1408),Syklus)&lt;DagK,"Kveld",IF(MOD(A1408-INDEX(SkiftStart,L1408),Syklus)&lt;DagK+DagH,"Helg",IF(MOD(A1408-INDEX(SkiftStart,L1408),Syklus)&lt;DagK+DagH+DagD,"Dag","Fri"))))</f>
        <v/>
      </c>
      <c r="J1408" s="30">
        <f>IF(I1408="Fri","Ja","")</f>
        <v/>
      </c>
      <c r="K1408" s="30">
        <f>IF(B1408="","",IF(L1408="","Ukjent tekniker",IF(ISNA(MATCH(C1408,Aktiviteter,0)),"Ukjent aktivitet",IF(AND(INDEX(AktRolle,MATCH(C1408,Aktiviteter,0))&amp;""&lt;&gt;"",ISERROR(SEARCH(INDEX(AktRolle,MATCH(C1408,Aktiviteter,0))&amp;"",INDEX(TekRoller,MATCH(B1408,Teknikere,0))))),"Mangler rollen "&amp;INDEX(AktRolle,MATCH(C1408,Aktiviteter,0))&amp;"",IF(AND(C1408="LMS",F1408&gt;0,OR(D1408="",E1408="")),"Mangler maskin eller arbeid",IF(AND(OR(C1408="LMS",C1408="Mod"),D1408&lt;&gt;""),IF(IFERROR(INDEX(MaskinStatus,MATCH(D1408,Maskiner,0)),"")="I dokk","","Maskinen er ikke i dokk"),""))))))</f>
        <v/>
      </c>
      <c r="L1408" s="2">
        <f>IF(B1408="","",IFERROR(INT((MATCH(B1408,Teknikere,0)-1)/18)+1,""))</f>
        <v/>
      </c>
      <c r="M1408" s="2">
        <f>IF(OR(A1408="",B1408=""),"",B1408&amp;"|"&amp;A1408)</f>
        <v/>
      </c>
      <c r="N1408" s="2">
        <f>IF(M1408="","",SUMIFS(TF_Timer,TF_Nokkel,M1408,TF_Akt,C1408))</f>
        <v/>
      </c>
      <c r="O1408" s="2">
        <f>IF(M1408="","",IF(AND(N1408=_xlfn.MAXIFS(TF_AktSum,TF_Nokkel,M1408),COUNTIFS(M$3:M1407,M1408,N$3:N1407,N1408)=0),M1408,""))</f>
        <v/>
      </c>
    </row>
    <row r="1409">
      <c r="A1409" s="34" t="n"/>
      <c r="B1409" s="35" t="n"/>
      <c r="C1409" s="35" t="n"/>
      <c r="D1409" s="35" t="n"/>
      <c r="E1409" s="35" t="n"/>
      <c r="F1409" s="36" t="n"/>
      <c r="G1409" s="35" t="n"/>
      <c r="H1409" s="30">
        <f>IF(L1409="","",INDEX(SkiftNavn,L1409))</f>
        <v/>
      </c>
      <c r="I1409" s="30">
        <f>IF(OR(A1409="",L1409=""),"",IF(MOD(A1409-INDEX(SkiftStart,L1409),Syklus)&lt;DagK,"Kveld",IF(MOD(A1409-INDEX(SkiftStart,L1409),Syklus)&lt;DagK+DagH,"Helg",IF(MOD(A1409-INDEX(SkiftStart,L1409),Syklus)&lt;DagK+DagH+DagD,"Dag","Fri"))))</f>
        <v/>
      </c>
      <c r="J1409" s="30">
        <f>IF(I1409="Fri","Ja","")</f>
        <v/>
      </c>
      <c r="K1409" s="30">
        <f>IF(B1409="","",IF(L1409="","Ukjent tekniker",IF(ISNA(MATCH(C1409,Aktiviteter,0)),"Ukjent aktivitet",IF(AND(INDEX(AktRolle,MATCH(C1409,Aktiviteter,0))&amp;""&lt;&gt;"",ISERROR(SEARCH(INDEX(AktRolle,MATCH(C1409,Aktiviteter,0))&amp;"",INDEX(TekRoller,MATCH(B1409,Teknikere,0))))),"Mangler rollen "&amp;INDEX(AktRolle,MATCH(C1409,Aktiviteter,0))&amp;"",IF(AND(C1409="LMS",F1409&gt;0,OR(D1409="",E1409="")),"Mangler maskin eller arbeid",IF(AND(OR(C1409="LMS",C1409="Mod"),D1409&lt;&gt;""),IF(IFERROR(INDEX(MaskinStatus,MATCH(D1409,Maskiner,0)),"")="I dokk","","Maskinen er ikke i dokk"),""))))))</f>
        <v/>
      </c>
      <c r="L1409" s="2">
        <f>IF(B1409="","",IFERROR(INT((MATCH(B1409,Teknikere,0)-1)/18)+1,""))</f>
        <v/>
      </c>
      <c r="M1409" s="2">
        <f>IF(OR(A1409="",B1409=""),"",B1409&amp;"|"&amp;A1409)</f>
        <v/>
      </c>
      <c r="N1409" s="2">
        <f>IF(M1409="","",SUMIFS(TF_Timer,TF_Nokkel,M1409,TF_Akt,C1409))</f>
        <v/>
      </c>
      <c r="O1409" s="2">
        <f>IF(M1409="","",IF(AND(N1409=_xlfn.MAXIFS(TF_AktSum,TF_Nokkel,M1409),COUNTIFS(M$3:M1408,M1409,N$3:N1408,N1409)=0),M1409,""))</f>
        <v/>
      </c>
    </row>
    <row r="1410">
      <c r="A1410" s="34" t="n"/>
      <c r="B1410" s="35" t="n"/>
      <c r="C1410" s="35" t="n"/>
      <c r="D1410" s="35" t="n"/>
      <c r="E1410" s="35" t="n"/>
      <c r="F1410" s="36" t="n"/>
      <c r="G1410" s="35" t="n"/>
      <c r="H1410" s="30">
        <f>IF(L1410="","",INDEX(SkiftNavn,L1410))</f>
        <v/>
      </c>
      <c r="I1410" s="30">
        <f>IF(OR(A1410="",L1410=""),"",IF(MOD(A1410-INDEX(SkiftStart,L1410),Syklus)&lt;DagK,"Kveld",IF(MOD(A1410-INDEX(SkiftStart,L1410),Syklus)&lt;DagK+DagH,"Helg",IF(MOD(A1410-INDEX(SkiftStart,L1410),Syklus)&lt;DagK+DagH+DagD,"Dag","Fri"))))</f>
        <v/>
      </c>
      <c r="J1410" s="30">
        <f>IF(I1410="Fri","Ja","")</f>
        <v/>
      </c>
      <c r="K1410" s="30">
        <f>IF(B1410="","",IF(L1410="","Ukjent tekniker",IF(ISNA(MATCH(C1410,Aktiviteter,0)),"Ukjent aktivitet",IF(AND(INDEX(AktRolle,MATCH(C1410,Aktiviteter,0))&amp;""&lt;&gt;"",ISERROR(SEARCH(INDEX(AktRolle,MATCH(C1410,Aktiviteter,0))&amp;"",INDEX(TekRoller,MATCH(B1410,Teknikere,0))))),"Mangler rollen "&amp;INDEX(AktRolle,MATCH(C1410,Aktiviteter,0))&amp;"",IF(AND(C1410="LMS",F1410&gt;0,OR(D1410="",E1410="")),"Mangler maskin eller arbeid",IF(AND(OR(C1410="LMS",C1410="Mod"),D1410&lt;&gt;""),IF(IFERROR(INDEX(MaskinStatus,MATCH(D1410,Maskiner,0)),"")="I dokk","","Maskinen er ikke i dokk"),""))))))</f>
        <v/>
      </c>
      <c r="L1410" s="2">
        <f>IF(B1410="","",IFERROR(INT((MATCH(B1410,Teknikere,0)-1)/18)+1,""))</f>
        <v/>
      </c>
      <c r="M1410" s="2">
        <f>IF(OR(A1410="",B1410=""),"",B1410&amp;"|"&amp;A1410)</f>
        <v/>
      </c>
      <c r="N1410" s="2">
        <f>IF(M1410="","",SUMIFS(TF_Timer,TF_Nokkel,M1410,TF_Akt,C1410))</f>
        <v/>
      </c>
      <c r="O1410" s="2">
        <f>IF(M1410="","",IF(AND(N1410=_xlfn.MAXIFS(TF_AktSum,TF_Nokkel,M1410),COUNTIFS(M$3:M1409,M1410,N$3:N1409,N1410)=0),M1410,""))</f>
        <v/>
      </c>
    </row>
    <row r="1411">
      <c r="A1411" s="34" t="n"/>
      <c r="B1411" s="35" t="n"/>
      <c r="C1411" s="35" t="n"/>
      <c r="D1411" s="35" t="n"/>
      <c r="E1411" s="35" t="n"/>
      <c r="F1411" s="36" t="n"/>
      <c r="G1411" s="35" t="n"/>
      <c r="H1411" s="30">
        <f>IF(L1411="","",INDEX(SkiftNavn,L1411))</f>
        <v/>
      </c>
      <c r="I1411" s="30">
        <f>IF(OR(A1411="",L1411=""),"",IF(MOD(A1411-INDEX(SkiftStart,L1411),Syklus)&lt;DagK,"Kveld",IF(MOD(A1411-INDEX(SkiftStart,L1411),Syklus)&lt;DagK+DagH,"Helg",IF(MOD(A1411-INDEX(SkiftStart,L1411),Syklus)&lt;DagK+DagH+DagD,"Dag","Fri"))))</f>
        <v/>
      </c>
      <c r="J1411" s="30">
        <f>IF(I1411="Fri","Ja","")</f>
        <v/>
      </c>
      <c r="K1411" s="30">
        <f>IF(B1411="","",IF(L1411="","Ukjent tekniker",IF(ISNA(MATCH(C1411,Aktiviteter,0)),"Ukjent aktivitet",IF(AND(INDEX(AktRolle,MATCH(C1411,Aktiviteter,0))&amp;""&lt;&gt;"",ISERROR(SEARCH(INDEX(AktRolle,MATCH(C1411,Aktiviteter,0))&amp;"",INDEX(TekRoller,MATCH(B1411,Teknikere,0))))),"Mangler rollen "&amp;INDEX(AktRolle,MATCH(C1411,Aktiviteter,0))&amp;"",IF(AND(C1411="LMS",F1411&gt;0,OR(D1411="",E1411="")),"Mangler maskin eller arbeid",IF(AND(OR(C1411="LMS",C1411="Mod"),D1411&lt;&gt;""),IF(IFERROR(INDEX(MaskinStatus,MATCH(D1411,Maskiner,0)),"")="I dokk","","Maskinen er ikke i dokk"),""))))))</f>
        <v/>
      </c>
      <c r="L1411" s="2">
        <f>IF(B1411="","",IFERROR(INT((MATCH(B1411,Teknikere,0)-1)/18)+1,""))</f>
        <v/>
      </c>
      <c r="M1411" s="2">
        <f>IF(OR(A1411="",B1411=""),"",B1411&amp;"|"&amp;A1411)</f>
        <v/>
      </c>
      <c r="N1411" s="2">
        <f>IF(M1411="","",SUMIFS(TF_Timer,TF_Nokkel,M1411,TF_Akt,C1411))</f>
        <v/>
      </c>
      <c r="O1411" s="2">
        <f>IF(M1411="","",IF(AND(N1411=_xlfn.MAXIFS(TF_AktSum,TF_Nokkel,M1411),COUNTIFS(M$3:M1410,M1411,N$3:N1410,N1411)=0),M1411,""))</f>
        <v/>
      </c>
    </row>
    <row r="1412">
      <c r="A1412" s="34" t="n"/>
      <c r="B1412" s="35" t="n"/>
      <c r="C1412" s="35" t="n"/>
      <c r="D1412" s="35" t="n"/>
      <c r="E1412" s="35" t="n"/>
      <c r="F1412" s="36" t="n"/>
      <c r="G1412" s="35" t="n"/>
      <c r="H1412" s="30">
        <f>IF(L1412="","",INDEX(SkiftNavn,L1412))</f>
        <v/>
      </c>
      <c r="I1412" s="30">
        <f>IF(OR(A1412="",L1412=""),"",IF(MOD(A1412-INDEX(SkiftStart,L1412),Syklus)&lt;DagK,"Kveld",IF(MOD(A1412-INDEX(SkiftStart,L1412),Syklus)&lt;DagK+DagH,"Helg",IF(MOD(A1412-INDEX(SkiftStart,L1412),Syklus)&lt;DagK+DagH+DagD,"Dag","Fri"))))</f>
        <v/>
      </c>
      <c r="J1412" s="30">
        <f>IF(I1412="Fri","Ja","")</f>
        <v/>
      </c>
      <c r="K1412" s="30">
        <f>IF(B1412="","",IF(L1412="","Ukjent tekniker",IF(ISNA(MATCH(C1412,Aktiviteter,0)),"Ukjent aktivitet",IF(AND(INDEX(AktRolle,MATCH(C1412,Aktiviteter,0))&amp;""&lt;&gt;"",ISERROR(SEARCH(INDEX(AktRolle,MATCH(C1412,Aktiviteter,0))&amp;"",INDEX(TekRoller,MATCH(B1412,Teknikere,0))))),"Mangler rollen "&amp;INDEX(AktRolle,MATCH(C1412,Aktiviteter,0))&amp;"",IF(AND(C1412="LMS",F1412&gt;0,OR(D1412="",E1412="")),"Mangler maskin eller arbeid",IF(AND(OR(C1412="LMS",C1412="Mod"),D1412&lt;&gt;""),IF(IFERROR(INDEX(MaskinStatus,MATCH(D1412,Maskiner,0)),"")="I dokk","","Maskinen er ikke i dokk"),""))))))</f>
        <v/>
      </c>
      <c r="L1412" s="2">
        <f>IF(B1412="","",IFERROR(INT((MATCH(B1412,Teknikere,0)-1)/18)+1,""))</f>
        <v/>
      </c>
      <c r="M1412" s="2">
        <f>IF(OR(A1412="",B1412=""),"",B1412&amp;"|"&amp;A1412)</f>
        <v/>
      </c>
      <c r="N1412" s="2">
        <f>IF(M1412="","",SUMIFS(TF_Timer,TF_Nokkel,M1412,TF_Akt,C1412))</f>
        <v/>
      </c>
      <c r="O1412" s="2">
        <f>IF(M1412="","",IF(AND(N1412=_xlfn.MAXIFS(TF_AktSum,TF_Nokkel,M1412),COUNTIFS(M$3:M1411,M1412,N$3:N1411,N1412)=0),M1412,""))</f>
        <v/>
      </c>
    </row>
    <row r="1413">
      <c r="A1413" s="34" t="n"/>
      <c r="B1413" s="35" t="n"/>
      <c r="C1413" s="35" t="n"/>
      <c r="D1413" s="35" t="n"/>
      <c r="E1413" s="35" t="n"/>
      <c r="F1413" s="36" t="n"/>
      <c r="G1413" s="35" t="n"/>
      <c r="H1413" s="30">
        <f>IF(L1413="","",INDEX(SkiftNavn,L1413))</f>
        <v/>
      </c>
      <c r="I1413" s="30">
        <f>IF(OR(A1413="",L1413=""),"",IF(MOD(A1413-INDEX(SkiftStart,L1413),Syklus)&lt;DagK,"Kveld",IF(MOD(A1413-INDEX(SkiftStart,L1413),Syklus)&lt;DagK+DagH,"Helg",IF(MOD(A1413-INDEX(SkiftStart,L1413),Syklus)&lt;DagK+DagH+DagD,"Dag","Fri"))))</f>
        <v/>
      </c>
      <c r="J1413" s="30">
        <f>IF(I1413="Fri","Ja","")</f>
        <v/>
      </c>
      <c r="K1413" s="30">
        <f>IF(B1413="","",IF(L1413="","Ukjent tekniker",IF(ISNA(MATCH(C1413,Aktiviteter,0)),"Ukjent aktivitet",IF(AND(INDEX(AktRolle,MATCH(C1413,Aktiviteter,0))&amp;""&lt;&gt;"",ISERROR(SEARCH(INDEX(AktRolle,MATCH(C1413,Aktiviteter,0))&amp;"",INDEX(TekRoller,MATCH(B1413,Teknikere,0))))),"Mangler rollen "&amp;INDEX(AktRolle,MATCH(C1413,Aktiviteter,0))&amp;"",IF(AND(C1413="LMS",F1413&gt;0,OR(D1413="",E1413="")),"Mangler maskin eller arbeid",IF(AND(OR(C1413="LMS",C1413="Mod"),D1413&lt;&gt;""),IF(IFERROR(INDEX(MaskinStatus,MATCH(D1413,Maskiner,0)),"")="I dokk","","Maskinen er ikke i dokk"),""))))))</f>
        <v/>
      </c>
      <c r="L1413" s="2">
        <f>IF(B1413="","",IFERROR(INT((MATCH(B1413,Teknikere,0)-1)/18)+1,""))</f>
        <v/>
      </c>
      <c r="M1413" s="2">
        <f>IF(OR(A1413="",B1413=""),"",B1413&amp;"|"&amp;A1413)</f>
        <v/>
      </c>
      <c r="N1413" s="2">
        <f>IF(M1413="","",SUMIFS(TF_Timer,TF_Nokkel,M1413,TF_Akt,C1413))</f>
        <v/>
      </c>
      <c r="O1413" s="2">
        <f>IF(M1413="","",IF(AND(N1413=_xlfn.MAXIFS(TF_AktSum,TF_Nokkel,M1413),COUNTIFS(M$3:M1412,M1413,N$3:N1412,N1413)=0),M1413,""))</f>
        <v/>
      </c>
    </row>
    <row r="1414">
      <c r="A1414" s="34" t="n"/>
      <c r="B1414" s="35" t="n"/>
      <c r="C1414" s="35" t="n"/>
      <c r="D1414" s="35" t="n"/>
      <c r="E1414" s="35" t="n"/>
      <c r="F1414" s="36" t="n"/>
      <c r="G1414" s="35" t="n"/>
      <c r="H1414" s="30">
        <f>IF(L1414="","",INDEX(SkiftNavn,L1414))</f>
        <v/>
      </c>
      <c r="I1414" s="30">
        <f>IF(OR(A1414="",L1414=""),"",IF(MOD(A1414-INDEX(SkiftStart,L1414),Syklus)&lt;DagK,"Kveld",IF(MOD(A1414-INDEX(SkiftStart,L1414),Syklus)&lt;DagK+DagH,"Helg",IF(MOD(A1414-INDEX(SkiftStart,L1414),Syklus)&lt;DagK+DagH+DagD,"Dag","Fri"))))</f>
        <v/>
      </c>
      <c r="J1414" s="30">
        <f>IF(I1414="Fri","Ja","")</f>
        <v/>
      </c>
      <c r="K1414" s="30">
        <f>IF(B1414="","",IF(L1414="","Ukjent tekniker",IF(ISNA(MATCH(C1414,Aktiviteter,0)),"Ukjent aktivitet",IF(AND(INDEX(AktRolle,MATCH(C1414,Aktiviteter,0))&amp;""&lt;&gt;"",ISERROR(SEARCH(INDEX(AktRolle,MATCH(C1414,Aktiviteter,0))&amp;"",INDEX(TekRoller,MATCH(B1414,Teknikere,0))))),"Mangler rollen "&amp;INDEX(AktRolle,MATCH(C1414,Aktiviteter,0))&amp;"",IF(AND(C1414="LMS",F1414&gt;0,OR(D1414="",E1414="")),"Mangler maskin eller arbeid",IF(AND(OR(C1414="LMS",C1414="Mod"),D1414&lt;&gt;""),IF(IFERROR(INDEX(MaskinStatus,MATCH(D1414,Maskiner,0)),"")="I dokk","","Maskinen er ikke i dokk"),""))))))</f>
        <v/>
      </c>
      <c r="L1414" s="2">
        <f>IF(B1414="","",IFERROR(INT((MATCH(B1414,Teknikere,0)-1)/18)+1,""))</f>
        <v/>
      </c>
      <c r="M1414" s="2">
        <f>IF(OR(A1414="",B1414=""),"",B1414&amp;"|"&amp;A1414)</f>
        <v/>
      </c>
      <c r="N1414" s="2">
        <f>IF(M1414="","",SUMIFS(TF_Timer,TF_Nokkel,M1414,TF_Akt,C1414))</f>
        <v/>
      </c>
      <c r="O1414" s="2">
        <f>IF(M1414="","",IF(AND(N1414=_xlfn.MAXIFS(TF_AktSum,TF_Nokkel,M1414),COUNTIFS(M$3:M1413,M1414,N$3:N1413,N1414)=0),M1414,""))</f>
        <v/>
      </c>
    </row>
    <row r="1415">
      <c r="A1415" s="34" t="n"/>
      <c r="B1415" s="35" t="n"/>
      <c r="C1415" s="35" t="n"/>
      <c r="D1415" s="35" t="n"/>
      <c r="E1415" s="35" t="n"/>
      <c r="F1415" s="36" t="n"/>
      <c r="G1415" s="35" t="n"/>
      <c r="H1415" s="30">
        <f>IF(L1415="","",INDEX(SkiftNavn,L1415))</f>
        <v/>
      </c>
      <c r="I1415" s="30">
        <f>IF(OR(A1415="",L1415=""),"",IF(MOD(A1415-INDEX(SkiftStart,L1415),Syklus)&lt;DagK,"Kveld",IF(MOD(A1415-INDEX(SkiftStart,L1415),Syklus)&lt;DagK+DagH,"Helg",IF(MOD(A1415-INDEX(SkiftStart,L1415),Syklus)&lt;DagK+DagH+DagD,"Dag","Fri"))))</f>
        <v/>
      </c>
      <c r="J1415" s="30">
        <f>IF(I1415="Fri","Ja","")</f>
        <v/>
      </c>
      <c r="K1415" s="30">
        <f>IF(B1415="","",IF(L1415="","Ukjent tekniker",IF(ISNA(MATCH(C1415,Aktiviteter,0)),"Ukjent aktivitet",IF(AND(INDEX(AktRolle,MATCH(C1415,Aktiviteter,0))&amp;""&lt;&gt;"",ISERROR(SEARCH(INDEX(AktRolle,MATCH(C1415,Aktiviteter,0))&amp;"",INDEX(TekRoller,MATCH(B1415,Teknikere,0))))),"Mangler rollen "&amp;INDEX(AktRolle,MATCH(C1415,Aktiviteter,0))&amp;"",IF(AND(C1415="LMS",F1415&gt;0,OR(D1415="",E1415="")),"Mangler maskin eller arbeid",IF(AND(OR(C1415="LMS",C1415="Mod"),D1415&lt;&gt;""),IF(IFERROR(INDEX(MaskinStatus,MATCH(D1415,Maskiner,0)),"")="I dokk","","Maskinen er ikke i dokk"),""))))))</f>
        <v/>
      </c>
      <c r="L1415" s="2">
        <f>IF(B1415="","",IFERROR(INT((MATCH(B1415,Teknikere,0)-1)/18)+1,""))</f>
        <v/>
      </c>
      <c r="M1415" s="2">
        <f>IF(OR(A1415="",B1415=""),"",B1415&amp;"|"&amp;A1415)</f>
        <v/>
      </c>
      <c r="N1415" s="2">
        <f>IF(M1415="","",SUMIFS(TF_Timer,TF_Nokkel,M1415,TF_Akt,C1415))</f>
        <v/>
      </c>
      <c r="O1415" s="2">
        <f>IF(M1415="","",IF(AND(N1415=_xlfn.MAXIFS(TF_AktSum,TF_Nokkel,M1415),COUNTIFS(M$3:M1414,M1415,N$3:N1414,N1415)=0),M1415,""))</f>
        <v/>
      </c>
    </row>
    <row r="1416">
      <c r="A1416" s="34" t="n"/>
      <c r="B1416" s="35" t="n"/>
      <c r="C1416" s="35" t="n"/>
      <c r="D1416" s="35" t="n"/>
      <c r="E1416" s="35" t="n"/>
      <c r="F1416" s="36" t="n"/>
      <c r="G1416" s="35" t="n"/>
      <c r="H1416" s="30">
        <f>IF(L1416="","",INDEX(SkiftNavn,L1416))</f>
        <v/>
      </c>
      <c r="I1416" s="30">
        <f>IF(OR(A1416="",L1416=""),"",IF(MOD(A1416-INDEX(SkiftStart,L1416),Syklus)&lt;DagK,"Kveld",IF(MOD(A1416-INDEX(SkiftStart,L1416),Syklus)&lt;DagK+DagH,"Helg",IF(MOD(A1416-INDEX(SkiftStart,L1416),Syklus)&lt;DagK+DagH+DagD,"Dag","Fri"))))</f>
        <v/>
      </c>
      <c r="J1416" s="30">
        <f>IF(I1416="Fri","Ja","")</f>
        <v/>
      </c>
      <c r="K1416" s="30">
        <f>IF(B1416="","",IF(L1416="","Ukjent tekniker",IF(ISNA(MATCH(C1416,Aktiviteter,0)),"Ukjent aktivitet",IF(AND(INDEX(AktRolle,MATCH(C1416,Aktiviteter,0))&amp;""&lt;&gt;"",ISERROR(SEARCH(INDEX(AktRolle,MATCH(C1416,Aktiviteter,0))&amp;"",INDEX(TekRoller,MATCH(B1416,Teknikere,0))))),"Mangler rollen "&amp;INDEX(AktRolle,MATCH(C1416,Aktiviteter,0))&amp;"",IF(AND(C1416="LMS",F1416&gt;0,OR(D1416="",E1416="")),"Mangler maskin eller arbeid",IF(AND(OR(C1416="LMS",C1416="Mod"),D1416&lt;&gt;""),IF(IFERROR(INDEX(MaskinStatus,MATCH(D1416,Maskiner,0)),"")="I dokk","","Maskinen er ikke i dokk"),""))))))</f>
        <v/>
      </c>
      <c r="L1416" s="2">
        <f>IF(B1416="","",IFERROR(INT((MATCH(B1416,Teknikere,0)-1)/18)+1,""))</f>
        <v/>
      </c>
      <c r="M1416" s="2">
        <f>IF(OR(A1416="",B1416=""),"",B1416&amp;"|"&amp;A1416)</f>
        <v/>
      </c>
      <c r="N1416" s="2">
        <f>IF(M1416="","",SUMIFS(TF_Timer,TF_Nokkel,M1416,TF_Akt,C1416))</f>
        <v/>
      </c>
      <c r="O1416" s="2">
        <f>IF(M1416="","",IF(AND(N1416=_xlfn.MAXIFS(TF_AktSum,TF_Nokkel,M1416),COUNTIFS(M$3:M1415,M1416,N$3:N1415,N1416)=0),M1416,""))</f>
        <v/>
      </c>
    </row>
    <row r="1417">
      <c r="A1417" s="34" t="n"/>
      <c r="B1417" s="35" t="n"/>
      <c r="C1417" s="35" t="n"/>
      <c r="D1417" s="35" t="n"/>
      <c r="E1417" s="35" t="n"/>
      <c r="F1417" s="36" t="n"/>
      <c r="G1417" s="35" t="n"/>
      <c r="H1417" s="30">
        <f>IF(L1417="","",INDEX(SkiftNavn,L1417))</f>
        <v/>
      </c>
      <c r="I1417" s="30">
        <f>IF(OR(A1417="",L1417=""),"",IF(MOD(A1417-INDEX(SkiftStart,L1417),Syklus)&lt;DagK,"Kveld",IF(MOD(A1417-INDEX(SkiftStart,L1417),Syklus)&lt;DagK+DagH,"Helg",IF(MOD(A1417-INDEX(SkiftStart,L1417),Syklus)&lt;DagK+DagH+DagD,"Dag","Fri"))))</f>
        <v/>
      </c>
      <c r="J1417" s="30">
        <f>IF(I1417="Fri","Ja","")</f>
        <v/>
      </c>
      <c r="K1417" s="30">
        <f>IF(B1417="","",IF(L1417="","Ukjent tekniker",IF(ISNA(MATCH(C1417,Aktiviteter,0)),"Ukjent aktivitet",IF(AND(INDEX(AktRolle,MATCH(C1417,Aktiviteter,0))&amp;""&lt;&gt;"",ISERROR(SEARCH(INDEX(AktRolle,MATCH(C1417,Aktiviteter,0))&amp;"",INDEX(TekRoller,MATCH(B1417,Teknikere,0))))),"Mangler rollen "&amp;INDEX(AktRolle,MATCH(C1417,Aktiviteter,0))&amp;"",IF(AND(C1417="LMS",F1417&gt;0,OR(D1417="",E1417="")),"Mangler maskin eller arbeid",IF(AND(OR(C1417="LMS",C1417="Mod"),D1417&lt;&gt;""),IF(IFERROR(INDEX(MaskinStatus,MATCH(D1417,Maskiner,0)),"")="I dokk","","Maskinen er ikke i dokk"),""))))))</f>
        <v/>
      </c>
      <c r="L1417" s="2">
        <f>IF(B1417="","",IFERROR(INT((MATCH(B1417,Teknikere,0)-1)/18)+1,""))</f>
        <v/>
      </c>
      <c r="M1417" s="2">
        <f>IF(OR(A1417="",B1417=""),"",B1417&amp;"|"&amp;A1417)</f>
        <v/>
      </c>
      <c r="N1417" s="2">
        <f>IF(M1417="","",SUMIFS(TF_Timer,TF_Nokkel,M1417,TF_Akt,C1417))</f>
        <v/>
      </c>
      <c r="O1417" s="2">
        <f>IF(M1417="","",IF(AND(N1417=_xlfn.MAXIFS(TF_AktSum,TF_Nokkel,M1417),COUNTIFS(M$3:M1416,M1417,N$3:N1416,N1417)=0),M1417,""))</f>
        <v/>
      </c>
    </row>
    <row r="1418">
      <c r="A1418" s="34" t="n"/>
      <c r="B1418" s="35" t="n"/>
      <c r="C1418" s="35" t="n"/>
      <c r="D1418" s="35" t="n"/>
      <c r="E1418" s="35" t="n"/>
      <c r="F1418" s="36" t="n"/>
      <c r="G1418" s="35" t="n"/>
      <c r="H1418" s="30">
        <f>IF(L1418="","",INDEX(SkiftNavn,L1418))</f>
        <v/>
      </c>
      <c r="I1418" s="30">
        <f>IF(OR(A1418="",L1418=""),"",IF(MOD(A1418-INDEX(SkiftStart,L1418),Syklus)&lt;DagK,"Kveld",IF(MOD(A1418-INDEX(SkiftStart,L1418),Syklus)&lt;DagK+DagH,"Helg",IF(MOD(A1418-INDEX(SkiftStart,L1418),Syklus)&lt;DagK+DagH+DagD,"Dag","Fri"))))</f>
        <v/>
      </c>
      <c r="J1418" s="30">
        <f>IF(I1418="Fri","Ja","")</f>
        <v/>
      </c>
      <c r="K1418" s="30">
        <f>IF(B1418="","",IF(L1418="","Ukjent tekniker",IF(ISNA(MATCH(C1418,Aktiviteter,0)),"Ukjent aktivitet",IF(AND(INDEX(AktRolle,MATCH(C1418,Aktiviteter,0))&amp;""&lt;&gt;"",ISERROR(SEARCH(INDEX(AktRolle,MATCH(C1418,Aktiviteter,0))&amp;"",INDEX(TekRoller,MATCH(B1418,Teknikere,0))))),"Mangler rollen "&amp;INDEX(AktRolle,MATCH(C1418,Aktiviteter,0))&amp;"",IF(AND(C1418="LMS",F1418&gt;0,OR(D1418="",E1418="")),"Mangler maskin eller arbeid",IF(AND(OR(C1418="LMS",C1418="Mod"),D1418&lt;&gt;""),IF(IFERROR(INDEX(MaskinStatus,MATCH(D1418,Maskiner,0)),"")="I dokk","","Maskinen er ikke i dokk"),""))))))</f>
        <v/>
      </c>
      <c r="L1418" s="2">
        <f>IF(B1418="","",IFERROR(INT((MATCH(B1418,Teknikere,0)-1)/18)+1,""))</f>
        <v/>
      </c>
      <c r="M1418" s="2">
        <f>IF(OR(A1418="",B1418=""),"",B1418&amp;"|"&amp;A1418)</f>
        <v/>
      </c>
      <c r="N1418" s="2">
        <f>IF(M1418="","",SUMIFS(TF_Timer,TF_Nokkel,M1418,TF_Akt,C1418))</f>
        <v/>
      </c>
      <c r="O1418" s="2">
        <f>IF(M1418="","",IF(AND(N1418=_xlfn.MAXIFS(TF_AktSum,TF_Nokkel,M1418),COUNTIFS(M$3:M1417,M1418,N$3:N1417,N1418)=0),M1418,""))</f>
        <v/>
      </c>
    </row>
    <row r="1419">
      <c r="A1419" s="34" t="n"/>
      <c r="B1419" s="35" t="n"/>
      <c r="C1419" s="35" t="n"/>
      <c r="D1419" s="35" t="n"/>
      <c r="E1419" s="35" t="n"/>
      <c r="F1419" s="36" t="n"/>
      <c r="G1419" s="35" t="n"/>
      <c r="H1419" s="30">
        <f>IF(L1419="","",INDEX(SkiftNavn,L1419))</f>
        <v/>
      </c>
      <c r="I1419" s="30">
        <f>IF(OR(A1419="",L1419=""),"",IF(MOD(A1419-INDEX(SkiftStart,L1419),Syklus)&lt;DagK,"Kveld",IF(MOD(A1419-INDEX(SkiftStart,L1419),Syklus)&lt;DagK+DagH,"Helg",IF(MOD(A1419-INDEX(SkiftStart,L1419),Syklus)&lt;DagK+DagH+DagD,"Dag","Fri"))))</f>
        <v/>
      </c>
      <c r="J1419" s="30">
        <f>IF(I1419="Fri","Ja","")</f>
        <v/>
      </c>
      <c r="K1419" s="30">
        <f>IF(B1419="","",IF(L1419="","Ukjent tekniker",IF(ISNA(MATCH(C1419,Aktiviteter,0)),"Ukjent aktivitet",IF(AND(INDEX(AktRolle,MATCH(C1419,Aktiviteter,0))&amp;""&lt;&gt;"",ISERROR(SEARCH(INDEX(AktRolle,MATCH(C1419,Aktiviteter,0))&amp;"",INDEX(TekRoller,MATCH(B1419,Teknikere,0))))),"Mangler rollen "&amp;INDEX(AktRolle,MATCH(C1419,Aktiviteter,0))&amp;"",IF(AND(C1419="LMS",F1419&gt;0,OR(D1419="",E1419="")),"Mangler maskin eller arbeid",IF(AND(OR(C1419="LMS",C1419="Mod"),D1419&lt;&gt;""),IF(IFERROR(INDEX(MaskinStatus,MATCH(D1419,Maskiner,0)),"")="I dokk","","Maskinen er ikke i dokk"),""))))))</f>
        <v/>
      </c>
      <c r="L1419" s="2">
        <f>IF(B1419="","",IFERROR(INT((MATCH(B1419,Teknikere,0)-1)/18)+1,""))</f>
        <v/>
      </c>
      <c r="M1419" s="2">
        <f>IF(OR(A1419="",B1419=""),"",B1419&amp;"|"&amp;A1419)</f>
        <v/>
      </c>
      <c r="N1419" s="2">
        <f>IF(M1419="","",SUMIFS(TF_Timer,TF_Nokkel,M1419,TF_Akt,C1419))</f>
        <v/>
      </c>
      <c r="O1419" s="2">
        <f>IF(M1419="","",IF(AND(N1419=_xlfn.MAXIFS(TF_AktSum,TF_Nokkel,M1419),COUNTIFS(M$3:M1418,M1419,N$3:N1418,N1419)=0),M1419,""))</f>
        <v/>
      </c>
    </row>
    <row r="1420">
      <c r="A1420" s="34" t="n"/>
      <c r="B1420" s="35" t="n"/>
      <c r="C1420" s="35" t="n"/>
      <c r="D1420" s="35" t="n"/>
      <c r="E1420" s="35" t="n"/>
      <c r="F1420" s="36" t="n"/>
      <c r="G1420" s="35" t="n"/>
      <c r="H1420" s="30">
        <f>IF(L1420="","",INDEX(SkiftNavn,L1420))</f>
        <v/>
      </c>
      <c r="I1420" s="30">
        <f>IF(OR(A1420="",L1420=""),"",IF(MOD(A1420-INDEX(SkiftStart,L1420),Syklus)&lt;DagK,"Kveld",IF(MOD(A1420-INDEX(SkiftStart,L1420),Syklus)&lt;DagK+DagH,"Helg",IF(MOD(A1420-INDEX(SkiftStart,L1420),Syklus)&lt;DagK+DagH+DagD,"Dag","Fri"))))</f>
        <v/>
      </c>
      <c r="J1420" s="30">
        <f>IF(I1420="Fri","Ja","")</f>
        <v/>
      </c>
      <c r="K1420" s="30">
        <f>IF(B1420="","",IF(L1420="","Ukjent tekniker",IF(ISNA(MATCH(C1420,Aktiviteter,0)),"Ukjent aktivitet",IF(AND(INDEX(AktRolle,MATCH(C1420,Aktiviteter,0))&amp;""&lt;&gt;"",ISERROR(SEARCH(INDEX(AktRolle,MATCH(C1420,Aktiviteter,0))&amp;"",INDEX(TekRoller,MATCH(B1420,Teknikere,0))))),"Mangler rollen "&amp;INDEX(AktRolle,MATCH(C1420,Aktiviteter,0))&amp;"",IF(AND(C1420="LMS",F1420&gt;0,OR(D1420="",E1420="")),"Mangler maskin eller arbeid",IF(AND(OR(C1420="LMS",C1420="Mod"),D1420&lt;&gt;""),IF(IFERROR(INDEX(MaskinStatus,MATCH(D1420,Maskiner,0)),"")="I dokk","","Maskinen er ikke i dokk"),""))))))</f>
        <v/>
      </c>
      <c r="L1420" s="2">
        <f>IF(B1420="","",IFERROR(INT((MATCH(B1420,Teknikere,0)-1)/18)+1,""))</f>
        <v/>
      </c>
      <c r="M1420" s="2">
        <f>IF(OR(A1420="",B1420=""),"",B1420&amp;"|"&amp;A1420)</f>
        <v/>
      </c>
      <c r="N1420" s="2">
        <f>IF(M1420="","",SUMIFS(TF_Timer,TF_Nokkel,M1420,TF_Akt,C1420))</f>
        <v/>
      </c>
      <c r="O1420" s="2">
        <f>IF(M1420="","",IF(AND(N1420=_xlfn.MAXIFS(TF_AktSum,TF_Nokkel,M1420),COUNTIFS(M$3:M1419,M1420,N$3:N1419,N1420)=0),M1420,""))</f>
        <v/>
      </c>
    </row>
    <row r="1421">
      <c r="A1421" s="34" t="n"/>
      <c r="B1421" s="35" t="n"/>
      <c r="C1421" s="35" t="n"/>
      <c r="D1421" s="35" t="n"/>
      <c r="E1421" s="35" t="n"/>
      <c r="F1421" s="36" t="n"/>
      <c r="G1421" s="35" t="n"/>
      <c r="H1421" s="30">
        <f>IF(L1421="","",INDEX(SkiftNavn,L1421))</f>
        <v/>
      </c>
      <c r="I1421" s="30">
        <f>IF(OR(A1421="",L1421=""),"",IF(MOD(A1421-INDEX(SkiftStart,L1421),Syklus)&lt;DagK,"Kveld",IF(MOD(A1421-INDEX(SkiftStart,L1421),Syklus)&lt;DagK+DagH,"Helg",IF(MOD(A1421-INDEX(SkiftStart,L1421),Syklus)&lt;DagK+DagH+DagD,"Dag","Fri"))))</f>
        <v/>
      </c>
      <c r="J1421" s="30">
        <f>IF(I1421="Fri","Ja","")</f>
        <v/>
      </c>
      <c r="K1421" s="30">
        <f>IF(B1421="","",IF(L1421="","Ukjent tekniker",IF(ISNA(MATCH(C1421,Aktiviteter,0)),"Ukjent aktivitet",IF(AND(INDEX(AktRolle,MATCH(C1421,Aktiviteter,0))&amp;""&lt;&gt;"",ISERROR(SEARCH(INDEX(AktRolle,MATCH(C1421,Aktiviteter,0))&amp;"",INDEX(TekRoller,MATCH(B1421,Teknikere,0))))),"Mangler rollen "&amp;INDEX(AktRolle,MATCH(C1421,Aktiviteter,0))&amp;"",IF(AND(C1421="LMS",F1421&gt;0,OR(D1421="",E1421="")),"Mangler maskin eller arbeid",IF(AND(OR(C1421="LMS",C1421="Mod"),D1421&lt;&gt;""),IF(IFERROR(INDEX(MaskinStatus,MATCH(D1421,Maskiner,0)),"")="I dokk","","Maskinen er ikke i dokk"),""))))))</f>
        <v/>
      </c>
      <c r="L1421" s="2">
        <f>IF(B1421="","",IFERROR(INT((MATCH(B1421,Teknikere,0)-1)/18)+1,""))</f>
        <v/>
      </c>
      <c r="M1421" s="2">
        <f>IF(OR(A1421="",B1421=""),"",B1421&amp;"|"&amp;A1421)</f>
        <v/>
      </c>
      <c r="N1421" s="2">
        <f>IF(M1421="","",SUMIFS(TF_Timer,TF_Nokkel,M1421,TF_Akt,C1421))</f>
        <v/>
      </c>
      <c r="O1421" s="2">
        <f>IF(M1421="","",IF(AND(N1421=_xlfn.MAXIFS(TF_AktSum,TF_Nokkel,M1421),COUNTIFS(M$3:M1420,M1421,N$3:N1420,N1421)=0),M1421,""))</f>
        <v/>
      </c>
    </row>
    <row r="1422">
      <c r="A1422" s="34" t="n"/>
      <c r="B1422" s="35" t="n"/>
      <c r="C1422" s="35" t="n"/>
      <c r="D1422" s="35" t="n"/>
      <c r="E1422" s="35" t="n"/>
      <c r="F1422" s="36" t="n"/>
      <c r="G1422" s="35" t="n"/>
      <c r="H1422" s="30">
        <f>IF(L1422="","",INDEX(SkiftNavn,L1422))</f>
        <v/>
      </c>
      <c r="I1422" s="30">
        <f>IF(OR(A1422="",L1422=""),"",IF(MOD(A1422-INDEX(SkiftStart,L1422),Syklus)&lt;DagK,"Kveld",IF(MOD(A1422-INDEX(SkiftStart,L1422),Syklus)&lt;DagK+DagH,"Helg",IF(MOD(A1422-INDEX(SkiftStart,L1422),Syklus)&lt;DagK+DagH+DagD,"Dag","Fri"))))</f>
        <v/>
      </c>
      <c r="J1422" s="30">
        <f>IF(I1422="Fri","Ja","")</f>
        <v/>
      </c>
      <c r="K1422" s="30">
        <f>IF(B1422="","",IF(L1422="","Ukjent tekniker",IF(ISNA(MATCH(C1422,Aktiviteter,0)),"Ukjent aktivitet",IF(AND(INDEX(AktRolle,MATCH(C1422,Aktiviteter,0))&amp;""&lt;&gt;"",ISERROR(SEARCH(INDEX(AktRolle,MATCH(C1422,Aktiviteter,0))&amp;"",INDEX(TekRoller,MATCH(B1422,Teknikere,0))))),"Mangler rollen "&amp;INDEX(AktRolle,MATCH(C1422,Aktiviteter,0))&amp;"",IF(AND(C1422="LMS",F1422&gt;0,OR(D1422="",E1422="")),"Mangler maskin eller arbeid",IF(AND(OR(C1422="LMS",C1422="Mod"),D1422&lt;&gt;""),IF(IFERROR(INDEX(MaskinStatus,MATCH(D1422,Maskiner,0)),"")="I dokk","","Maskinen er ikke i dokk"),""))))))</f>
        <v/>
      </c>
      <c r="L1422" s="2">
        <f>IF(B1422="","",IFERROR(INT((MATCH(B1422,Teknikere,0)-1)/18)+1,""))</f>
        <v/>
      </c>
      <c r="M1422" s="2">
        <f>IF(OR(A1422="",B1422=""),"",B1422&amp;"|"&amp;A1422)</f>
        <v/>
      </c>
      <c r="N1422" s="2">
        <f>IF(M1422="","",SUMIFS(TF_Timer,TF_Nokkel,M1422,TF_Akt,C1422))</f>
        <v/>
      </c>
      <c r="O1422" s="2">
        <f>IF(M1422="","",IF(AND(N1422=_xlfn.MAXIFS(TF_AktSum,TF_Nokkel,M1422),COUNTIFS(M$3:M1421,M1422,N$3:N1421,N1422)=0),M1422,""))</f>
        <v/>
      </c>
    </row>
    <row r="1423">
      <c r="A1423" s="34" t="n"/>
      <c r="B1423" s="35" t="n"/>
      <c r="C1423" s="35" t="n"/>
      <c r="D1423" s="35" t="n"/>
      <c r="E1423" s="35" t="n"/>
      <c r="F1423" s="36" t="n"/>
      <c r="G1423" s="35" t="n"/>
      <c r="H1423" s="30">
        <f>IF(L1423="","",INDEX(SkiftNavn,L1423))</f>
        <v/>
      </c>
      <c r="I1423" s="30">
        <f>IF(OR(A1423="",L1423=""),"",IF(MOD(A1423-INDEX(SkiftStart,L1423),Syklus)&lt;DagK,"Kveld",IF(MOD(A1423-INDEX(SkiftStart,L1423),Syklus)&lt;DagK+DagH,"Helg",IF(MOD(A1423-INDEX(SkiftStart,L1423),Syklus)&lt;DagK+DagH+DagD,"Dag","Fri"))))</f>
        <v/>
      </c>
      <c r="J1423" s="30">
        <f>IF(I1423="Fri","Ja","")</f>
        <v/>
      </c>
      <c r="K1423" s="30">
        <f>IF(B1423="","",IF(L1423="","Ukjent tekniker",IF(ISNA(MATCH(C1423,Aktiviteter,0)),"Ukjent aktivitet",IF(AND(INDEX(AktRolle,MATCH(C1423,Aktiviteter,0))&amp;""&lt;&gt;"",ISERROR(SEARCH(INDEX(AktRolle,MATCH(C1423,Aktiviteter,0))&amp;"",INDEX(TekRoller,MATCH(B1423,Teknikere,0))))),"Mangler rollen "&amp;INDEX(AktRolle,MATCH(C1423,Aktiviteter,0))&amp;"",IF(AND(C1423="LMS",F1423&gt;0,OR(D1423="",E1423="")),"Mangler maskin eller arbeid",IF(AND(OR(C1423="LMS",C1423="Mod"),D1423&lt;&gt;""),IF(IFERROR(INDEX(MaskinStatus,MATCH(D1423,Maskiner,0)),"")="I dokk","","Maskinen er ikke i dokk"),""))))))</f>
        <v/>
      </c>
      <c r="L1423" s="2">
        <f>IF(B1423="","",IFERROR(INT((MATCH(B1423,Teknikere,0)-1)/18)+1,""))</f>
        <v/>
      </c>
      <c r="M1423" s="2">
        <f>IF(OR(A1423="",B1423=""),"",B1423&amp;"|"&amp;A1423)</f>
        <v/>
      </c>
      <c r="N1423" s="2">
        <f>IF(M1423="","",SUMIFS(TF_Timer,TF_Nokkel,M1423,TF_Akt,C1423))</f>
        <v/>
      </c>
      <c r="O1423" s="2">
        <f>IF(M1423="","",IF(AND(N1423=_xlfn.MAXIFS(TF_AktSum,TF_Nokkel,M1423),COUNTIFS(M$3:M1422,M1423,N$3:N1422,N1423)=0),M1423,""))</f>
        <v/>
      </c>
    </row>
    <row r="1424">
      <c r="A1424" s="34" t="n"/>
      <c r="B1424" s="35" t="n"/>
      <c r="C1424" s="35" t="n"/>
      <c r="D1424" s="35" t="n"/>
      <c r="E1424" s="35" t="n"/>
      <c r="F1424" s="36" t="n"/>
      <c r="G1424" s="35" t="n"/>
      <c r="H1424" s="30">
        <f>IF(L1424="","",INDEX(SkiftNavn,L1424))</f>
        <v/>
      </c>
      <c r="I1424" s="30">
        <f>IF(OR(A1424="",L1424=""),"",IF(MOD(A1424-INDEX(SkiftStart,L1424),Syklus)&lt;DagK,"Kveld",IF(MOD(A1424-INDEX(SkiftStart,L1424),Syklus)&lt;DagK+DagH,"Helg",IF(MOD(A1424-INDEX(SkiftStart,L1424),Syklus)&lt;DagK+DagH+DagD,"Dag","Fri"))))</f>
        <v/>
      </c>
      <c r="J1424" s="30">
        <f>IF(I1424="Fri","Ja","")</f>
        <v/>
      </c>
      <c r="K1424" s="30">
        <f>IF(B1424="","",IF(L1424="","Ukjent tekniker",IF(ISNA(MATCH(C1424,Aktiviteter,0)),"Ukjent aktivitet",IF(AND(INDEX(AktRolle,MATCH(C1424,Aktiviteter,0))&amp;""&lt;&gt;"",ISERROR(SEARCH(INDEX(AktRolle,MATCH(C1424,Aktiviteter,0))&amp;"",INDEX(TekRoller,MATCH(B1424,Teknikere,0))))),"Mangler rollen "&amp;INDEX(AktRolle,MATCH(C1424,Aktiviteter,0))&amp;"",IF(AND(C1424="LMS",F1424&gt;0,OR(D1424="",E1424="")),"Mangler maskin eller arbeid",IF(AND(OR(C1424="LMS",C1424="Mod"),D1424&lt;&gt;""),IF(IFERROR(INDEX(MaskinStatus,MATCH(D1424,Maskiner,0)),"")="I dokk","","Maskinen er ikke i dokk"),""))))))</f>
        <v/>
      </c>
      <c r="L1424" s="2">
        <f>IF(B1424="","",IFERROR(INT((MATCH(B1424,Teknikere,0)-1)/18)+1,""))</f>
        <v/>
      </c>
      <c r="M1424" s="2">
        <f>IF(OR(A1424="",B1424=""),"",B1424&amp;"|"&amp;A1424)</f>
        <v/>
      </c>
      <c r="N1424" s="2">
        <f>IF(M1424="","",SUMIFS(TF_Timer,TF_Nokkel,M1424,TF_Akt,C1424))</f>
        <v/>
      </c>
      <c r="O1424" s="2">
        <f>IF(M1424="","",IF(AND(N1424=_xlfn.MAXIFS(TF_AktSum,TF_Nokkel,M1424),COUNTIFS(M$3:M1423,M1424,N$3:N1423,N1424)=0),M1424,""))</f>
        <v/>
      </c>
    </row>
    <row r="1425">
      <c r="A1425" s="34" t="n"/>
      <c r="B1425" s="35" t="n"/>
      <c r="C1425" s="35" t="n"/>
      <c r="D1425" s="35" t="n"/>
      <c r="E1425" s="35" t="n"/>
      <c r="F1425" s="36" t="n"/>
      <c r="G1425" s="35" t="n"/>
      <c r="H1425" s="30">
        <f>IF(L1425="","",INDEX(SkiftNavn,L1425))</f>
        <v/>
      </c>
      <c r="I1425" s="30">
        <f>IF(OR(A1425="",L1425=""),"",IF(MOD(A1425-INDEX(SkiftStart,L1425),Syklus)&lt;DagK,"Kveld",IF(MOD(A1425-INDEX(SkiftStart,L1425),Syklus)&lt;DagK+DagH,"Helg",IF(MOD(A1425-INDEX(SkiftStart,L1425),Syklus)&lt;DagK+DagH+DagD,"Dag","Fri"))))</f>
        <v/>
      </c>
      <c r="J1425" s="30">
        <f>IF(I1425="Fri","Ja","")</f>
        <v/>
      </c>
      <c r="K1425" s="30">
        <f>IF(B1425="","",IF(L1425="","Ukjent tekniker",IF(ISNA(MATCH(C1425,Aktiviteter,0)),"Ukjent aktivitet",IF(AND(INDEX(AktRolle,MATCH(C1425,Aktiviteter,0))&amp;""&lt;&gt;"",ISERROR(SEARCH(INDEX(AktRolle,MATCH(C1425,Aktiviteter,0))&amp;"",INDEX(TekRoller,MATCH(B1425,Teknikere,0))))),"Mangler rollen "&amp;INDEX(AktRolle,MATCH(C1425,Aktiviteter,0))&amp;"",IF(AND(C1425="LMS",F1425&gt;0,OR(D1425="",E1425="")),"Mangler maskin eller arbeid",IF(AND(OR(C1425="LMS",C1425="Mod"),D1425&lt;&gt;""),IF(IFERROR(INDEX(MaskinStatus,MATCH(D1425,Maskiner,0)),"")="I dokk","","Maskinen er ikke i dokk"),""))))))</f>
        <v/>
      </c>
      <c r="L1425" s="2">
        <f>IF(B1425="","",IFERROR(INT((MATCH(B1425,Teknikere,0)-1)/18)+1,""))</f>
        <v/>
      </c>
      <c r="M1425" s="2">
        <f>IF(OR(A1425="",B1425=""),"",B1425&amp;"|"&amp;A1425)</f>
        <v/>
      </c>
      <c r="N1425" s="2">
        <f>IF(M1425="","",SUMIFS(TF_Timer,TF_Nokkel,M1425,TF_Akt,C1425))</f>
        <v/>
      </c>
      <c r="O1425" s="2">
        <f>IF(M1425="","",IF(AND(N1425=_xlfn.MAXIFS(TF_AktSum,TF_Nokkel,M1425),COUNTIFS(M$3:M1424,M1425,N$3:N1424,N1425)=0),M1425,""))</f>
        <v/>
      </c>
    </row>
    <row r="1426">
      <c r="A1426" s="34" t="n"/>
      <c r="B1426" s="35" t="n"/>
      <c r="C1426" s="35" t="n"/>
      <c r="D1426" s="35" t="n"/>
      <c r="E1426" s="35" t="n"/>
      <c r="F1426" s="36" t="n"/>
      <c r="G1426" s="35" t="n"/>
      <c r="H1426" s="30">
        <f>IF(L1426="","",INDEX(SkiftNavn,L1426))</f>
        <v/>
      </c>
      <c r="I1426" s="30">
        <f>IF(OR(A1426="",L1426=""),"",IF(MOD(A1426-INDEX(SkiftStart,L1426),Syklus)&lt;DagK,"Kveld",IF(MOD(A1426-INDEX(SkiftStart,L1426),Syklus)&lt;DagK+DagH,"Helg",IF(MOD(A1426-INDEX(SkiftStart,L1426),Syklus)&lt;DagK+DagH+DagD,"Dag","Fri"))))</f>
        <v/>
      </c>
      <c r="J1426" s="30">
        <f>IF(I1426="Fri","Ja","")</f>
        <v/>
      </c>
      <c r="K1426" s="30">
        <f>IF(B1426="","",IF(L1426="","Ukjent tekniker",IF(ISNA(MATCH(C1426,Aktiviteter,0)),"Ukjent aktivitet",IF(AND(INDEX(AktRolle,MATCH(C1426,Aktiviteter,0))&amp;""&lt;&gt;"",ISERROR(SEARCH(INDEX(AktRolle,MATCH(C1426,Aktiviteter,0))&amp;"",INDEX(TekRoller,MATCH(B1426,Teknikere,0))))),"Mangler rollen "&amp;INDEX(AktRolle,MATCH(C1426,Aktiviteter,0))&amp;"",IF(AND(C1426="LMS",F1426&gt;0,OR(D1426="",E1426="")),"Mangler maskin eller arbeid",IF(AND(OR(C1426="LMS",C1426="Mod"),D1426&lt;&gt;""),IF(IFERROR(INDEX(MaskinStatus,MATCH(D1426,Maskiner,0)),"")="I dokk","","Maskinen er ikke i dokk"),""))))))</f>
        <v/>
      </c>
      <c r="L1426" s="2">
        <f>IF(B1426="","",IFERROR(INT((MATCH(B1426,Teknikere,0)-1)/18)+1,""))</f>
        <v/>
      </c>
      <c r="M1426" s="2">
        <f>IF(OR(A1426="",B1426=""),"",B1426&amp;"|"&amp;A1426)</f>
        <v/>
      </c>
      <c r="N1426" s="2">
        <f>IF(M1426="","",SUMIFS(TF_Timer,TF_Nokkel,M1426,TF_Akt,C1426))</f>
        <v/>
      </c>
      <c r="O1426" s="2">
        <f>IF(M1426="","",IF(AND(N1426=_xlfn.MAXIFS(TF_AktSum,TF_Nokkel,M1426),COUNTIFS(M$3:M1425,M1426,N$3:N1425,N1426)=0),M1426,""))</f>
        <v/>
      </c>
    </row>
    <row r="1427">
      <c r="A1427" s="34" t="n"/>
      <c r="B1427" s="35" t="n"/>
      <c r="C1427" s="35" t="n"/>
      <c r="D1427" s="35" t="n"/>
      <c r="E1427" s="35" t="n"/>
      <c r="F1427" s="36" t="n"/>
      <c r="G1427" s="35" t="n"/>
      <c r="H1427" s="30">
        <f>IF(L1427="","",INDEX(SkiftNavn,L1427))</f>
        <v/>
      </c>
      <c r="I1427" s="30">
        <f>IF(OR(A1427="",L1427=""),"",IF(MOD(A1427-INDEX(SkiftStart,L1427),Syklus)&lt;DagK,"Kveld",IF(MOD(A1427-INDEX(SkiftStart,L1427),Syklus)&lt;DagK+DagH,"Helg",IF(MOD(A1427-INDEX(SkiftStart,L1427),Syklus)&lt;DagK+DagH+DagD,"Dag","Fri"))))</f>
        <v/>
      </c>
      <c r="J1427" s="30">
        <f>IF(I1427="Fri","Ja","")</f>
        <v/>
      </c>
      <c r="K1427" s="30">
        <f>IF(B1427="","",IF(L1427="","Ukjent tekniker",IF(ISNA(MATCH(C1427,Aktiviteter,0)),"Ukjent aktivitet",IF(AND(INDEX(AktRolle,MATCH(C1427,Aktiviteter,0))&amp;""&lt;&gt;"",ISERROR(SEARCH(INDEX(AktRolle,MATCH(C1427,Aktiviteter,0))&amp;"",INDEX(TekRoller,MATCH(B1427,Teknikere,0))))),"Mangler rollen "&amp;INDEX(AktRolle,MATCH(C1427,Aktiviteter,0))&amp;"",IF(AND(C1427="LMS",F1427&gt;0,OR(D1427="",E1427="")),"Mangler maskin eller arbeid",IF(AND(OR(C1427="LMS",C1427="Mod"),D1427&lt;&gt;""),IF(IFERROR(INDEX(MaskinStatus,MATCH(D1427,Maskiner,0)),"")="I dokk","","Maskinen er ikke i dokk"),""))))))</f>
        <v/>
      </c>
      <c r="L1427" s="2">
        <f>IF(B1427="","",IFERROR(INT((MATCH(B1427,Teknikere,0)-1)/18)+1,""))</f>
        <v/>
      </c>
      <c r="M1427" s="2">
        <f>IF(OR(A1427="",B1427=""),"",B1427&amp;"|"&amp;A1427)</f>
        <v/>
      </c>
      <c r="N1427" s="2">
        <f>IF(M1427="","",SUMIFS(TF_Timer,TF_Nokkel,M1427,TF_Akt,C1427))</f>
        <v/>
      </c>
      <c r="O1427" s="2">
        <f>IF(M1427="","",IF(AND(N1427=_xlfn.MAXIFS(TF_AktSum,TF_Nokkel,M1427),COUNTIFS(M$3:M1426,M1427,N$3:N1426,N1427)=0),M1427,""))</f>
        <v/>
      </c>
    </row>
    <row r="1428">
      <c r="A1428" s="34" t="n"/>
      <c r="B1428" s="35" t="n"/>
      <c r="C1428" s="35" t="n"/>
      <c r="D1428" s="35" t="n"/>
      <c r="E1428" s="35" t="n"/>
      <c r="F1428" s="36" t="n"/>
      <c r="G1428" s="35" t="n"/>
      <c r="H1428" s="30">
        <f>IF(L1428="","",INDEX(SkiftNavn,L1428))</f>
        <v/>
      </c>
      <c r="I1428" s="30">
        <f>IF(OR(A1428="",L1428=""),"",IF(MOD(A1428-INDEX(SkiftStart,L1428),Syklus)&lt;DagK,"Kveld",IF(MOD(A1428-INDEX(SkiftStart,L1428),Syklus)&lt;DagK+DagH,"Helg",IF(MOD(A1428-INDEX(SkiftStart,L1428),Syklus)&lt;DagK+DagH+DagD,"Dag","Fri"))))</f>
        <v/>
      </c>
      <c r="J1428" s="30">
        <f>IF(I1428="Fri","Ja","")</f>
        <v/>
      </c>
      <c r="K1428" s="30">
        <f>IF(B1428="","",IF(L1428="","Ukjent tekniker",IF(ISNA(MATCH(C1428,Aktiviteter,0)),"Ukjent aktivitet",IF(AND(INDEX(AktRolle,MATCH(C1428,Aktiviteter,0))&amp;""&lt;&gt;"",ISERROR(SEARCH(INDEX(AktRolle,MATCH(C1428,Aktiviteter,0))&amp;"",INDEX(TekRoller,MATCH(B1428,Teknikere,0))))),"Mangler rollen "&amp;INDEX(AktRolle,MATCH(C1428,Aktiviteter,0))&amp;"",IF(AND(C1428="LMS",F1428&gt;0,OR(D1428="",E1428="")),"Mangler maskin eller arbeid",IF(AND(OR(C1428="LMS",C1428="Mod"),D1428&lt;&gt;""),IF(IFERROR(INDEX(MaskinStatus,MATCH(D1428,Maskiner,0)),"")="I dokk","","Maskinen er ikke i dokk"),""))))))</f>
        <v/>
      </c>
      <c r="L1428" s="2">
        <f>IF(B1428="","",IFERROR(INT((MATCH(B1428,Teknikere,0)-1)/18)+1,""))</f>
        <v/>
      </c>
      <c r="M1428" s="2">
        <f>IF(OR(A1428="",B1428=""),"",B1428&amp;"|"&amp;A1428)</f>
        <v/>
      </c>
      <c r="N1428" s="2">
        <f>IF(M1428="","",SUMIFS(TF_Timer,TF_Nokkel,M1428,TF_Akt,C1428))</f>
        <v/>
      </c>
      <c r="O1428" s="2">
        <f>IF(M1428="","",IF(AND(N1428=_xlfn.MAXIFS(TF_AktSum,TF_Nokkel,M1428),COUNTIFS(M$3:M1427,M1428,N$3:N1427,N1428)=0),M1428,""))</f>
        <v/>
      </c>
    </row>
    <row r="1429">
      <c r="A1429" s="34" t="n"/>
      <c r="B1429" s="35" t="n"/>
      <c r="C1429" s="35" t="n"/>
      <c r="D1429" s="35" t="n"/>
      <c r="E1429" s="35" t="n"/>
      <c r="F1429" s="36" t="n"/>
      <c r="G1429" s="35" t="n"/>
      <c r="H1429" s="30">
        <f>IF(L1429="","",INDEX(SkiftNavn,L1429))</f>
        <v/>
      </c>
      <c r="I1429" s="30">
        <f>IF(OR(A1429="",L1429=""),"",IF(MOD(A1429-INDEX(SkiftStart,L1429),Syklus)&lt;DagK,"Kveld",IF(MOD(A1429-INDEX(SkiftStart,L1429),Syklus)&lt;DagK+DagH,"Helg",IF(MOD(A1429-INDEX(SkiftStart,L1429),Syklus)&lt;DagK+DagH+DagD,"Dag","Fri"))))</f>
        <v/>
      </c>
      <c r="J1429" s="30">
        <f>IF(I1429="Fri","Ja","")</f>
        <v/>
      </c>
      <c r="K1429" s="30">
        <f>IF(B1429="","",IF(L1429="","Ukjent tekniker",IF(ISNA(MATCH(C1429,Aktiviteter,0)),"Ukjent aktivitet",IF(AND(INDEX(AktRolle,MATCH(C1429,Aktiviteter,0))&amp;""&lt;&gt;"",ISERROR(SEARCH(INDEX(AktRolle,MATCH(C1429,Aktiviteter,0))&amp;"",INDEX(TekRoller,MATCH(B1429,Teknikere,0))))),"Mangler rollen "&amp;INDEX(AktRolle,MATCH(C1429,Aktiviteter,0))&amp;"",IF(AND(C1429="LMS",F1429&gt;0,OR(D1429="",E1429="")),"Mangler maskin eller arbeid",IF(AND(OR(C1429="LMS",C1429="Mod"),D1429&lt;&gt;""),IF(IFERROR(INDEX(MaskinStatus,MATCH(D1429,Maskiner,0)),"")="I dokk","","Maskinen er ikke i dokk"),""))))))</f>
        <v/>
      </c>
      <c r="L1429" s="2">
        <f>IF(B1429="","",IFERROR(INT((MATCH(B1429,Teknikere,0)-1)/18)+1,""))</f>
        <v/>
      </c>
      <c r="M1429" s="2">
        <f>IF(OR(A1429="",B1429=""),"",B1429&amp;"|"&amp;A1429)</f>
        <v/>
      </c>
      <c r="N1429" s="2">
        <f>IF(M1429="","",SUMIFS(TF_Timer,TF_Nokkel,M1429,TF_Akt,C1429))</f>
        <v/>
      </c>
      <c r="O1429" s="2">
        <f>IF(M1429="","",IF(AND(N1429=_xlfn.MAXIFS(TF_AktSum,TF_Nokkel,M1429),COUNTIFS(M$3:M1428,M1429,N$3:N1428,N1429)=0),M1429,""))</f>
        <v/>
      </c>
    </row>
    <row r="1430">
      <c r="A1430" s="34" t="n"/>
      <c r="B1430" s="35" t="n"/>
      <c r="C1430" s="35" t="n"/>
      <c r="D1430" s="35" t="n"/>
      <c r="E1430" s="35" t="n"/>
      <c r="F1430" s="36" t="n"/>
      <c r="G1430" s="35" t="n"/>
      <c r="H1430" s="30">
        <f>IF(L1430="","",INDEX(SkiftNavn,L1430))</f>
        <v/>
      </c>
      <c r="I1430" s="30">
        <f>IF(OR(A1430="",L1430=""),"",IF(MOD(A1430-INDEX(SkiftStart,L1430),Syklus)&lt;DagK,"Kveld",IF(MOD(A1430-INDEX(SkiftStart,L1430),Syklus)&lt;DagK+DagH,"Helg",IF(MOD(A1430-INDEX(SkiftStart,L1430),Syklus)&lt;DagK+DagH+DagD,"Dag","Fri"))))</f>
        <v/>
      </c>
      <c r="J1430" s="30">
        <f>IF(I1430="Fri","Ja","")</f>
        <v/>
      </c>
      <c r="K1430" s="30">
        <f>IF(B1430="","",IF(L1430="","Ukjent tekniker",IF(ISNA(MATCH(C1430,Aktiviteter,0)),"Ukjent aktivitet",IF(AND(INDEX(AktRolle,MATCH(C1430,Aktiviteter,0))&amp;""&lt;&gt;"",ISERROR(SEARCH(INDEX(AktRolle,MATCH(C1430,Aktiviteter,0))&amp;"",INDEX(TekRoller,MATCH(B1430,Teknikere,0))))),"Mangler rollen "&amp;INDEX(AktRolle,MATCH(C1430,Aktiviteter,0))&amp;"",IF(AND(C1430="LMS",F1430&gt;0,OR(D1430="",E1430="")),"Mangler maskin eller arbeid",IF(AND(OR(C1430="LMS",C1430="Mod"),D1430&lt;&gt;""),IF(IFERROR(INDEX(MaskinStatus,MATCH(D1430,Maskiner,0)),"")="I dokk","","Maskinen er ikke i dokk"),""))))))</f>
        <v/>
      </c>
      <c r="L1430" s="2">
        <f>IF(B1430="","",IFERROR(INT((MATCH(B1430,Teknikere,0)-1)/18)+1,""))</f>
        <v/>
      </c>
      <c r="M1430" s="2">
        <f>IF(OR(A1430="",B1430=""),"",B1430&amp;"|"&amp;A1430)</f>
        <v/>
      </c>
      <c r="N1430" s="2">
        <f>IF(M1430="","",SUMIFS(TF_Timer,TF_Nokkel,M1430,TF_Akt,C1430))</f>
        <v/>
      </c>
      <c r="O1430" s="2">
        <f>IF(M1430="","",IF(AND(N1430=_xlfn.MAXIFS(TF_AktSum,TF_Nokkel,M1430),COUNTIFS(M$3:M1429,M1430,N$3:N1429,N1430)=0),M1430,""))</f>
        <v/>
      </c>
    </row>
    <row r="1431">
      <c r="A1431" s="34" t="n"/>
      <c r="B1431" s="35" t="n"/>
      <c r="C1431" s="35" t="n"/>
      <c r="D1431" s="35" t="n"/>
      <c r="E1431" s="35" t="n"/>
      <c r="F1431" s="36" t="n"/>
      <c r="G1431" s="35" t="n"/>
      <c r="H1431" s="30">
        <f>IF(L1431="","",INDEX(SkiftNavn,L1431))</f>
        <v/>
      </c>
      <c r="I1431" s="30">
        <f>IF(OR(A1431="",L1431=""),"",IF(MOD(A1431-INDEX(SkiftStart,L1431),Syklus)&lt;DagK,"Kveld",IF(MOD(A1431-INDEX(SkiftStart,L1431),Syklus)&lt;DagK+DagH,"Helg",IF(MOD(A1431-INDEX(SkiftStart,L1431),Syklus)&lt;DagK+DagH+DagD,"Dag","Fri"))))</f>
        <v/>
      </c>
      <c r="J1431" s="30">
        <f>IF(I1431="Fri","Ja","")</f>
        <v/>
      </c>
      <c r="K1431" s="30">
        <f>IF(B1431="","",IF(L1431="","Ukjent tekniker",IF(ISNA(MATCH(C1431,Aktiviteter,0)),"Ukjent aktivitet",IF(AND(INDEX(AktRolle,MATCH(C1431,Aktiviteter,0))&amp;""&lt;&gt;"",ISERROR(SEARCH(INDEX(AktRolle,MATCH(C1431,Aktiviteter,0))&amp;"",INDEX(TekRoller,MATCH(B1431,Teknikere,0))))),"Mangler rollen "&amp;INDEX(AktRolle,MATCH(C1431,Aktiviteter,0))&amp;"",IF(AND(C1431="LMS",F1431&gt;0,OR(D1431="",E1431="")),"Mangler maskin eller arbeid",IF(AND(OR(C1431="LMS",C1431="Mod"),D1431&lt;&gt;""),IF(IFERROR(INDEX(MaskinStatus,MATCH(D1431,Maskiner,0)),"")="I dokk","","Maskinen er ikke i dokk"),""))))))</f>
        <v/>
      </c>
      <c r="L1431" s="2">
        <f>IF(B1431="","",IFERROR(INT((MATCH(B1431,Teknikere,0)-1)/18)+1,""))</f>
        <v/>
      </c>
      <c r="M1431" s="2">
        <f>IF(OR(A1431="",B1431=""),"",B1431&amp;"|"&amp;A1431)</f>
        <v/>
      </c>
      <c r="N1431" s="2">
        <f>IF(M1431="","",SUMIFS(TF_Timer,TF_Nokkel,M1431,TF_Akt,C1431))</f>
        <v/>
      </c>
      <c r="O1431" s="2">
        <f>IF(M1431="","",IF(AND(N1431=_xlfn.MAXIFS(TF_AktSum,TF_Nokkel,M1431),COUNTIFS(M$3:M1430,M1431,N$3:N1430,N1431)=0),M1431,""))</f>
        <v/>
      </c>
    </row>
    <row r="1432">
      <c r="A1432" s="34" t="n"/>
      <c r="B1432" s="35" t="n"/>
      <c r="C1432" s="35" t="n"/>
      <c r="D1432" s="35" t="n"/>
      <c r="E1432" s="35" t="n"/>
      <c r="F1432" s="36" t="n"/>
      <c r="G1432" s="35" t="n"/>
      <c r="H1432" s="30">
        <f>IF(L1432="","",INDEX(SkiftNavn,L1432))</f>
        <v/>
      </c>
      <c r="I1432" s="30">
        <f>IF(OR(A1432="",L1432=""),"",IF(MOD(A1432-INDEX(SkiftStart,L1432),Syklus)&lt;DagK,"Kveld",IF(MOD(A1432-INDEX(SkiftStart,L1432),Syklus)&lt;DagK+DagH,"Helg",IF(MOD(A1432-INDEX(SkiftStart,L1432),Syklus)&lt;DagK+DagH+DagD,"Dag","Fri"))))</f>
        <v/>
      </c>
      <c r="J1432" s="30">
        <f>IF(I1432="Fri","Ja","")</f>
        <v/>
      </c>
      <c r="K1432" s="30">
        <f>IF(B1432="","",IF(L1432="","Ukjent tekniker",IF(ISNA(MATCH(C1432,Aktiviteter,0)),"Ukjent aktivitet",IF(AND(INDEX(AktRolle,MATCH(C1432,Aktiviteter,0))&amp;""&lt;&gt;"",ISERROR(SEARCH(INDEX(AktRolle,MATCH(C1432,Aktiviteter,0))&amp;"",INDEX(TekRoller,MATCH(B1432,Teknikere,0))))),"Mangler rollen "&amp;INDEX(AktRolle,MATCH(C1432,Aktiviteter,0))&amp;"",IF(AND(C1432="LMS",F1432&gt;0,OR(D1432="",E1432="")),"Mangler maskin eller arbeid",IF(AND(OR(C1432="LMS",C1432="Mod"),D1432&lt;&gt;""),IF(IFERROR(INDEX(MaskinStatus,MATCH(D1432,Maskiner,0)),"")="I dokk","","Maskinen er ikke i dokk"),""))))))</f>
        <v/>
      </c>
      <c r="L1432" s="2">
        <f>IF(B1432="","",IFERROR(INT((MATCH(B1432,Teknikere,0)-1)/18)+1,""))</f>
        <v/>
      </c>
      <c r="M1432" s="2">
        <f>IF(OR(A1432="",B1432=""),"",B1432&amp;"|"&amp;A1432)</f>
        <v/>
      </c>
      <c r="N1432" s="2">
        <f>IF(M1432="","",SUMIFS(TF_Timer,TF_Nokkel,M1432,TF_Akt,C1432))</f>
        <v/>
      </c>
      <c r="O1432" s="2">
        <f>IF(M1432="","",IF(AND(N1432=_xlfn.MAXIFS(TF_AktSum,TF_Nokkel,M1432),COUNTIFS(M$3:M1431,M1432,N$3:N1431,N1432)=0),M1432,""))</f>
        <v/>
      </c>
    </row>
    <row r="1433">
      <c r="A1433" s="34" t="n"/>
      <c r="B1433" s="35" t="n"/>
      <c r="C1433" s="35" t="n"/>
      <c r="D1433" s="35" t="n"/>
      <c r="E1433" s="35" t="n"/>
      <c r="F1433" s="36" t="n"/>
      <c r="G1433" s="35" t="n"/>
      <c r="H1433" s="30">
        <f>IF(L1433="","",INDEX(SkiftNavn,L1433))</f>
        <v/>
      </c>
      <c r="I1433" s="30">
        <f>IF(OR(A1433="",L1433=""),"",IF(MOD(A1433-INDEX(SkiftStart,L1433),Syklus)&lt;DagK,"Kveld",IF(MOD(A1433-INDEX(SkiftStart,L1433),Syklus)&lt;DagK+DagH,"Helg",IF(MOD(A1433-INDEX(SkiftStart,L1433),Syklus)&lt;DagK+DagH+DagD,"Dag","Fri"))))</f>
        <v/>
      </c>
      <c r="J1433" s="30">
        <f>IF(I1433="Fri","Ja","")</f>
        <v/>
      </c>
      <c r="K1433" s="30">
        <f>IF(B1433="","",IF(L1433="","Ukjent tekniker",IF(ISNA(MATCH(C1433,Aktiviteter,0)),"Ukjent aktivitet",IF(AND(INDEX(AktRolle,MATCH(C1433,Aktiviteter,0))&amp;""&lt;&gt;"",ISERROR(SEARCH(INDEX(AktRolle,MATCH(C1433,Aktiviteter,0))&amp;"",INDEX(TekRoller,MATCH(B1433,Teknikere,0))))),"Mangler rollen "&amp;INDEX(AktRolle,MATCH(C1433,Aktiviteter,0))&amp;"",IF(AND(C1433="LMS",F1433&gt;0,OR(D1433="",E1433="")),"Mangler maskin eller arbeid",IF(AND(OR(C1433="LMS",C1433="Mod"),D1433&lt;&gt;""),IF(IFERROR(INDEX(MaskinStatus,MATCH(D1433,Maskiner,0)),"")="I dokk","","Maskinen er ikke i dokk"),""))))))</f>
        <v/>
      </c>
      <c r="L1433" s="2">
        <f>IF(B1433="","",IFERROR(INT((MATCH(B1433,Teknikere,0)-1)/18)+1,""))</f>
        <v/>
      </c>
      <c r="M1433" s="2">
        <f>IF(OR(A1433="",B1433=""),"",B1433&amp;"|"&amp;A1433)</f>
        <v/>
      </c>
      <c r="N1433" s="2">
        <f>IF(M1433="","",SUMIFS(TF_Timer,TF_Nokkel,M1433,TF_Akt,C1433))</f>
        <v/>
      </c>
      <c r="O1433" s="2">
        <f>IF(M1433="","",IF(AND(N1433=_xlfn.MAXIFS(TF_AktSum,TF_Nokkel,M1433),COUNTIFS(M$3:M1432,M1433,N$3:N1432,N1433)=0),M1433,""))</f>
        <v/>
      </c>
    </row>
    <row r="1434">
      <c r="A1434" s="34" t="n"/>
      <c r="B1434" s="35" t="n"/>
      <c r="C1434" s="35" t="n"/>
      <c r="D1434" s="35" t="n"/>
      <c r="E1434" s="35" t="n"/>
      <c r="F1434" s="36" t="n"/>
      <c r="G1434" s="35" t="n"/>
      <c r="H1434" s="30">
        <f>IF(L1434="","",INDEX(SkiftNavn,L1434))</f>
        <v/>
      </c>
      <c r="I1434" s="30">
        <f>IF(OR(A1434="",L1434=""),"",IF(MOD(A1434-INDEX(SkiftStart,L1434),Syklus)&lt;DagK,"Kveld",IF(MOD(A1434-INDEX(SkiftStart,L1434),Syklus)&lt;DagK+DagH,"Helg",IF(MOD(A1434-INDEX(SkiftStart,L1434),Syklus)&lt;DagK+DagH+DagD,"Dag","Fri"))))</f>
        <v/>
      </c>
      <c r="J1434" s="30">
        <f>IF(I1434="Fri","Ja","")</f>
        <v/>
      </c>
      <c r="K1434" s="30">
        <f>IF(B1434="","",IF(L1434="","Ukjent tekniker",IF(ISNA(MATCH(C1434,Aktiviteter,0)),"Ukjent aktivitet",IF(AND(INDEX(AktRolle,MATCH(C1434,Aktiviteter,0))&amp;""&lt;&gt;"",ISERROR(SEARCH(INDEX(AktRolle,MATCH(C1434,Aktiviteter,0))&amp;"",INDEX(TekRoller,MATCH(B1434,Teknikere,0))))),"Mangler rollen "&amp;INDEX(AktRolle,MATCH(C1434,Aktiviteter,0))&amp;"",IF(AND(C1434="LMS",F1434&gt;0,OR(D1434="",E1434="")),"Mangler maskin eller arbeid",IF(AND(OR(C1434="LMS",C1434="Mod"),D1434&lt;&gt;""),IF(IFERROR(INDEX(MaskinStatus,MATCH(D1434,Maskiner,0)),"")="I dokk","","Maskinen er ikke i dokk"),""))))))</f>
        <v/>
      </c>
      <c r="L1434" s="2">
        <f>IF(B1434="","",IFERROR(INT((MATCH(B1434,Teknikere,0)-1)/18)+1,""))</f>
        <v/>
      </c>
      <c r="M1434" s="2">
        <f>IF(OR(A1434="",B1434=""),"",B1434&amp;"|"&amp;A1434)</f>
        <v/>
      </c>
      <c r="N1434" s="2">
        <f>IF(M1434="","",SUMIFS(TF_Timer,TF_Nokkel,M1434,TF_Akt,C1434))</f>
        <v/>
      </c>
      <c r="O1434" s="2">
        <f>IF(M1434="","",IF(AND(N1434=_xlfn.MAXIFS(TF_AktSum,TF_Nokkel,M1434),COUNTIFS(M$3:M1433,M1434,N$3:N1433,N1434)=0),M1434,""))</f>
        <v/>
      </c>
    </row>
    <row r="1435">
      <c r="A1435" s="34" t="n"/>
      <c r="B1435" s="35" t="n"/>
      <c r="C1435" s="35" t="n"/>
      <c r="D1435" s="35" t="n"/>
      <c r="E1435" s="35" t="n"/>
      <c r="F1435" s="36" t="n"/>
      <c r="G1435" s="35" t="n"/>
      <c r="H1435" s="30">
        <f>IF(L1435="","",INDEX(SkiftNavn,L1435))</f>
        <v/>
      </c>
      <c r="I1435" s="30">
        <f>IF(OR(A1435="",L1435=""),"",IF(MOD(A1435-INDEX(SkiftStart,L1435),Syklus)&lt;DagK,"Kveld",IF(MOD(A1435-INDEX(SkiftStart,L1435),Syklus)&lt;DagK+DagH,"Helg",IF(MOD(A1435-INDEX(SkiftStart,L1435),Syklus)&lt;DagK+DagH+DagD,"Dag","Fri"))))</f>
        <v/>
      </c>
      <c r="J1435" s="30">
        <f>IF(I1435="Fri","Ja","")</f>
        <v/>
      </c>
      <c r="K1435" s="30">
        <f>IF(B1435="","",IF(L1435="","Ukjent tekniker",IF(ISNA(MATCH(C1435,Aktiviteter,0)),"Ukjent aktivitet",IF(AND(INDEX(AktRolle,MATCH(C1435,Aktiviteter,0))&amp;""&lt;&gt;"",ISERROR(SEARCH(INDEX(AktRolle,MATCH(C1435,Aktiviteter,0))&amp;"",INDEX(TekRoller,MATCH(B1435,Teknikere,0))))),"Mangler rollen "&amp;INDEX(AktRolle,MATCH(C1435,Aktiviteter,0))&amp;"",IF(AND(C1435="LMS",F1435&gt;0,OR(D1435="",E1435="")),"Mangler maskin eller arbeid",IF(AND(OR(C1435="LMS",C1435="Mod"),D1435&lt;&gt;""),IF(IFERROR(INDEX(MaskinStatus,MATCH(D1435,Maskiner,0)),"")="I dokk","","Maskinen er ikke i dokk"),""))))))</f>
        <v/>
      </c>
      <c r="L1435" s="2">
        <f>IF(B1435="","",IFERROR(INT((MATCH(B1435,Teknikere,0)-1)/18)+1,""))</f>
        <v/>
      </c>
      <c r="M1435" s="2">
        <f>IF(OR(A1435="",B1435=""),"",B1435&amp;"|"&amp;A1435)</f>
        <v/>
      </c>
      <c r="N1435" s="2">
        <f>IF(M1435="","",SUMIFS(TF_Timer,TF_Nokkel,M1435,TF_Akt,C1435))</f>
        <v/>
      </c>
      <c r="O1435" s="2">
        <f>IF(M1435="","",IF(AND(N1435=_xlfn.MAXIFS(TF_AktSum,TF_Nokkel,M1435),COUNTIFS(M$3:M1434,M1435,N$3:N1434,N1435)=0),M1435,""))</f>
        <v/>
      </c>
    </row>
    <row r="1436">
      <c r="A1436" s="34" t="n"/>
      <c r="B1436" s="35" t="n"/>
      <c r="C1436" s="35" t="n"/>
      <c r="D1436" s="35" t="n"/>
      <c r="E1436" s="35" t="n"/>
      <c r="F1436" s="36" t="n"/>
      <c r="G1436" s="35" t="n"/>
      <c r="H1436" s="30">
        <f>IF(L1436="","",INDEX(SkiftNavn,L1436))</f>
        <v/>
      </c>
      <c r="I1436" s="30">
        <f>IF(OR(A1436="",L1436=""),"",IF(MOD(A1436-INDEX(SkiftStart,L1436),Syklus)&lt;DagK,"Kveld",IF(MOD(A1436-INDEX(SkiftStart,L1436),Syklus)&lt;DagK+DagH,"Helg",IF(MOD(A1436-INDEX(SkiftStart,L1436),Syklus)&lt;DagK+DagH+DagD,"Dag","Fri"))))</f>
        <v/>
      </c>
      <c r="J1436" s="30">
        <f>IF(I1436="Fri","Ja","")</f>
        <v/>
      </c>
      <c r="K1436" s="30">
        <f>IF(B1436="","",IF(L1436="","Ukjent tekniker",IF(ISNA(MATCH(C1436,Aktiviteter,0)),"Ukjent aktivitet",IF(AND(INDEX(AktRolle,MATCH(C1436,Aktiviteter,0))&amp;""&lt;&gt;"",ISERROR(SEARCH(INDEX(AktRolle,MATCH(C1436,Aktiviteter,0))&amp;"",INDEX(TekRoller,MATCH(B1436,Teknikere,0))))),"Mangler rollen "&amp;INDEX(AktRolle,MATCH(C1436,Aktiviteter,0))&amp;"",IF(AND(C1436="LMS",F1436&gt;0,OR(D1436="",E1436="")),"Mangler maskin eller arbeid",IF(AND(OR(C1436="LMS",C1436="Mod"),D1436&lt;&gt;""),IF(IFERROR(INDEX(MaskinStatus,MATCH(D1436,Maskiner,0)),"")="I dokk","","Maskinen er ikke i dokk"),""))))))</f>
        <v/>
      </c>
      <c r="L1436" s="2">
        <f>IF(B1436="","",IFERROR(INT((MATCH(B1436,Teknikere,0)-1)/18)+1,""))</f>
        <v/>
      </c>
      <c r="M1436" s="2">
        <f>IF(OR(A1436="",B1436=""),"",B1436&amp;"|"&amp;A1436)</f>
        <v/>
      </c>
      <c r="N1436" s="2">
        <f>IF(M1436="","",SUMIFS(TF_Timer,TF_Nokkel,M1436,TF_Akt,C1436))</f>
        <v/>
      </c>
      <c r="O1436" s="2">
        <f>IF(M1436="","",IF(AND(N1436=_xlfn.MAXIFS(TF_AktSum,TF_Nokkel,M1436),COUNTIFS(M$3:M1435,M1436,N$3:N1435,N1436)=0),M1436,""))</f>
        <v/>
      </c>
    </row>
    <row r="1437">
      <c r="A1437" s="34" t="n"/>
      <c r="B1437" s="35" t="n"/>
      <c r="C1437" s="35" t="n"/>
      <c r="D1437" s="35" t="n"/>
      <c r="E1437" s="35" t="n"/>
      <c r="F1437" s="36" t="n"/>
      <c r="G1437" s="35" t="n"/>
      <c r="H1437" s="30">
        <f>IF(L1437="","",INDEX(SkiftNavn,L1437))</f>
        <v/>
      </c>
      <c r="I1437" s="30">
        <f>IF(OR(A1437="",L1437=""),"",IF(MOD(A1437-INDEX(SkiftStart,L1437),Syklus)&lt;DagK,"Kveld",IF(MOD(A1437-INDEX(SkiftStart,L1437),Syklus)&lt;DagK+DagH,"Helg",IF(MOD(A1437-INDEX(SkiftStart,L1437),Syklus)&lt;DagK+DagH+DagD,"Dag","Fri"))))</f>
        <v/>
      </c>
      <c r="J1437" s="30">
        <f>IF(I1437="Fri","Ja","")</f>
        <v/>
      </c>
      <c r="K1437" s="30">
        <f>IF(B1437="","",IF(L1437="","Ukjent tekniker",IF(ISNA(MATCH(C1437,Aktiviteter,0)),"Ukjent aktivitet",IF(AND(INDEX(AktRolle,MATCH(C1437,Aktiviteter,0))&amp;""&lt;&gt;"",ISERROR(SEARCH(INDEX(AktRolle,MATCH(C1437,Aktiviteter,0))&amp;"",INDEX(TekRoller,MATCH(B1437,Teknikere,0))))),"Mangler rollen "&amp;INDEX(AktRolle,MATCH(C1437,Aktiviteter,0))&amp;"",IF(AND(C1437="LMS",F1437&gt;0,OR(D1437="",E1437="")),"Mangler maskin eller arbeid",IF(AND(OR(C1437="LMS",C1437="Mod"),D1437&lt;&gt;""),IF(IFERROR(INDEX(MaskinStatus,MATCH(D1437,Maskiner,0)),"")="I dokk","","Maskinen er ikke i dokk"),""))))))</f>
        <v/>
      </c>
      <c r="L1437" s="2">
        <f>IF(B1437="","",IFERROR(INT((MATCH(B1437,Teknikere,0)-1)/18)+1,""))</f>
        <v/>
      </c>
      <c r="M1437" s="2">
        <f>IF(OR(A1437="",B1437=""),"",B1437&amp;"|"&amp;A1437)</f>
        <v/>
      </c>
      <c r="N1437" s="2">
        <f>IF(M1437="","",SUMIFS(TF_Timer,TF_Nokkel,M1437,TF_Akt,C1437))</f>
        <v/>
      </c>
      <c r="O1437" s="2">
        <f>IF(M1437="","",IF(AND(N1437=_xlfn.MAXIFS(TF_AktSum,TF_Nokkel,M1437),COUNTIFS(M$3:M1436,M1437,N$3:N1436,N1437)=0),M1437,""))</f>
        <v/>
      </c>
    </row>
    <row r="1438">
      <c r="A1438" s="34" t="n"/>
      <c r="B1438" s="35" t="n"/>
      <c r="C1438" s="35" t="n"/>
      <c r="D1438" s="35" t="n"/>
      <c r="E1438" s="35" t="n"/>
      <c r="F1438" s="36" t="n"/>
      <c r="G1438" s="35" t="n"/>
      <c r="H1438" s="30">
        <f>IF(L1438="","",INDEX(SkiftNavn,L1438))</f>
        <v/>
      </c>
      <c r="I1438" s="30">
        <f>IF(OR(A1438="",L1438=""),"",IF(MOD(A1438-INDEX(SkiftStart,L1438),Syklus)&lt;DagK,"Kveld",IF(MOD(A1438-INDEX(SkiftStart,L1438),Syklus)&lt;DagK+DagH,"Helg",IF(MOD(A1438-INDEX(SkiftStart,L1438),Syklus)&lt;DagK+DagH+DagD,"Dag","Fri"))))</f>
        <v/>
      </c>
      <c r="J1438" s="30">
        <f>IF(I1438="Fri","Ja","")</f>
        <v/>
      </c>
      <c r="K1438" s="30">
        <f>IF(B1438="","",IF(L1438="","Ukjent tekniker",IF(ISNA(MATCH(C1438,Aktiviteter,0)),"Ukjent aktivitet",IF(AND(INDEX(AktRolle,MATCH(C1438,Aktiviteter,0))&amp;""&lt;&gt;"",ISERROR(SEARCH(INDEX(AktRolle,MATCH(C1438,Aktiviteter,0))&amp;"",INDEX(TekRoller,MATCH(B1438,Teknikere,0))))),"Mangler rollen "&amp;INDEX(AktRolle,MATCH(C1438,Aktiviteter,0))&amp;"",IF(AND(C1438="LMS",F1438&gt;0,OR(D1438="",E1438="")),"Mangler maskin eller arbeid",IF(AND(OR(C1438="LMS",C1438="Mod"),D1438&lt;&gt;""),IF(IFERROR(INDEX(MaskinStatus,MATCH(D1438,Maskiner,0)),"")="I dokk","","Maskinen er ikke i dokk"),""))))))</f>
        <v/>
      </c>
      <c r="L1438" s="2">
        <f>IF(B1438="","",IFERROR(INT((MATCH(B1438,Teknikere,0)-1)/18)+1,""))</f>
        <v/>
      </c>
      <c r="M1438" s="2">
        <f>IF(OR(A1438="",B1438=""),"",B1438&amp;"|"&amp;A1438)</f>
        <v/>
      </c>
      <c r="N1438" s="2">
        <f>IF(M1438="","",SUMIFS(TF_Timer,TF_Nokkel,M1438,TF_Akt,C1438))</f>
        <v/>
      </c>
      <c r="O1438" s="2">
        <f>IF(M1438="","",IF(AND(N1438=_xlfn.MAXIFS(TF_AktSum,TF_Nokkel,M1438),COUNTIFS(M$3:M1437,M1438,N$3:N1437,N1438)=0),M1438,""))</f>
        <v/>
      </c>
    </row>
    <row r="1439">
      <c r="A1439" s="34" t="n"/>
      <c r="B1439" s="35" t="n"/>
      <c r="C1439" s="35" t="n"/>
      <c r="D1439" s="35" t="n"/>
      <c r="E1439" s="35" t="n"/>
      <c r="F1439" s="36" t="n"/>
      <c r="G1439" s="35" t="n"/>
      <c r="H1439" s="30">
        <f>IF(L1439="","",INDEX(SkiftNavn,L1439))</f>
        <v/>
      </c>
      <c r="I1439" s="30">
        <f>IF(OR(A1439="",L1439=""),"",IF(MOD(A1439-INDEX(SkiftStart,L1439),Syklus)&lt;DagK,"Kveld",IF(MOD(A1439-INDEX(SkiftStart,L1439),Syklus)&lt;DagK+DagH,"Helg",IF(MOD(A1439-INDEX(SkiftStart,L1439),Syklus)&lt;DagK+DagH+DagD,"Dag","Fri"))))</f>
        <v/>
      </c>
      <c r="J1439" s="30">
        <f>IF(I1439="Fri","Ja","")</f>
        <v/>
      </c>
      <c r="K1439" s="30">
        <f>IF(B1439="","",IF(L1439="","Ukjent tekniker",IF(ISNA(MATCH(C1439,Aktiviteter,0)),"Ukjent aktivitet",IF(AND(INDEX(AktRolle,MATCH(C1439,Aktiviteter,0))&amp;""&lt;&gt;"",ISERROR(SEARCH(INDEX(AktRolle,MATCH(C1439,Aktiviteter,0))&amp;"",INDEX(TekRoller,MATCH(B1439,Teknikere,0))))),"Mangler rollen "&amp;INDEX(AktRolle,MATCH(C1439,Aktiviteter,0))&amp;"",IF(AND(C1439="LMS",F1439&gt;0,OR(D1439="",E1439="")),"Mangler maskin eller arbeid",IF(AND(OR(C1439="LMS",C1439="Mod"),D1439&lt;&gt;""),IF(IFERROR(INDEX(MaskinStatus,MATCH(D1439,Maskiner,0)),"")="I dokk","","Maskinen er ikke i dokk"),""))))))</f>
        <v/>
      </c>
      <c r="L1439" s="2">
        <f>IF(B1439="","",IFERROR(INT((MATCH(B1439,Teknikere,0)-1)/18)+1,""))</f>
        <v/>
      </c>
      <c r="M1439" s="2">
        <f>IF(OR(A1439="",B1439=""),"",B1439&amp;"|"&amp;A1439)</f>
        <v/>
      </c>
      <c r="N1439" s="2">
        <f>IF(M1439="","",SUMIFS(TF_Timer,TF_Nokkel,M1439,TF_Akt,C1439))</f>
        <v/>
      </c>
      <c r="O1439" s="2">
        <f>IF(M1439="","",IF(AND(N1439=_xlfn.MAXIFS(TF_AktSum,TF_Nokkel,M1439),COUNTIFS(M$3:M1438,M1439,N$3:N1438,N1439)=0),M1439,""))</f>
        <v/>
      </c>
    </row>
    <row r="1440">
      <c r="A1440" s="34" t="n"/>
      <c r="B1440" s="35" t="n"/>
      <c r="C1440" s="35" t="n"/>
      <c r="D1440" s="35" t="n"/>
      <c r="E1440" s="35" t="n"/>
      <c r="F1440" s="36" t="n"/>
      <c r="G1440" s="35" t="n"/>
      <c r="H1440" s="30">
        <f>IF(L1440="","",INDEX(SkiftNavn,L1440))</f>
        <v/>
      </c>
      <c r="I1440" s="30">
        <f>IF(OR(A1440="",L1440=""),"",IF(MOD(A1440-INDEX(SkiftStart,L1440),Syklus)&lt;DagK,"Kveld",IF(MOD(A1440-INDEX(SkiftStart,L1440),Syklus)&lt;DagK+DagH,"Helg",IF(MOD(A1440-INDEX(SkiftStart,L1440),Syklus)&lt;DagK+DagH+DagD,"Dag","Fri"))))</f>
        <v/>
      </c>
      <c r="J1440" s="30">
        <f>IF(I1440="Fri","Ja","")</f>
        <v/>
      </c>
      <c r="K1440" s="30">
        <f>IF(B1440="","",IF(L1440="","Ukjent tekniker",IF(ISNA(MATCH(C1440,Aktiviteter,0)),"Ukjent aktivitet",IF(AND(INDEX(AktRolle,MATCH(C1440,Aktiviteter,0))&amp;""&lt;&gt;"",ISERROR(SEARCH(INDEX(AktRolle,MATCH(C1440,Aktiviteter,0))&amp;"",INDEX(TekRoller,MATCH(B1440,Teknikere,0))))),"Mangler rollen "&amp;INDEX(AktRolle,MATCH(C1440,Aktiviteter,0))&amp;"",IF(AND(C1440="LMS",F1440&gt;0,OR(D1440="",E1440="")),"Mangler maskin eller arbeid",IF(AND(OR(C1440="LMS",C1440="Mod"),D1440&lt;&gt;""),IF(IFERROR(INDEX(MaskinStatus,MATCH(D1440,Maskiner,0)),"")="I dokk","","Maskinen er ikke i dokk"),""))))))</f>
        <v/>
      </c>
      <c r="L1440" s="2">
        <f>IF(B1440="","",IFERROR(INT((MATCH(B1440,Teknikere,0)-1)/18)+1,""))</f>
        <v/>
      </c>
      <c r="M1440" s="2">
        <f>IF(OR(A1440="",B1440=""),"",B1440&amp;"|"&amp;A1440)</f>
        <v/>
      </c>
      <c r="N1440" s="2">
        <f>IF(M1440="","",SUMIFS(TF_Timer,TF_Nokkel,M1440,TF_Akt,C1440))</f>
        <v/>
      </c>
      <c r="O1440" s="2">
        <f>IF(M1440="","",IF(AND(N1440=_xlfn.MAXIFS(TF_AktSum,TF_Nokkel,M1440),COUNTIFS(M$3:M1439,M1440,N$3:N1439,N1440)=0),M1440,""))</f>
        <v/>
      </c>
    </row>
    <row r="1441">
      <c r="A1441" s="34" t="n"/>
      <c r="B1441" s="35" t="n"/>
      <c r="C1441" s="35" t="n"/>
      <c r="D1441" s="35" t="n"/>
      <c r="E1441" s="35" t="n"/>
      <c r="F1441" s="36" t="n"/>
      <c r="G1441" s="35" t="n"/>
      <c r="H1441" s="30">
        <f>IF(L1441="","",INDEX(SkiftNavn,L1441))</f>
        <v/>
      </c>
      <c r="I1441" s="30">
        <f>IF(OR(A1441="",L1441=""),"",IF(MOD(A1441-INDEX(SkiftStart,L1441),Syklus)&lt;DagK,"Kveld",IF(MOD(A1441-INDEX(SkiftStart,L1441),Syklus)&lt;DagK+DagH,"Helg",IF(MOD(A1441-INDEX(SkiftStart,L1441),Syklus)&lt;DagK+DagH+DagD,"Dag","Fri"))))</f>
        <v/>
      </c>
      <c r="J1441" s="30">
        <f>IF(I1441="Fri","Ja","")</f>
        <v/>
      </c>
      <c r="K1441" s="30">
        <f>IF(B1441="","",IF(L1441="","Ukjent tekniker",IF(ISNA(MATCH(C1441,Aktiviteter,0)),"Ukjent aktivitet",IF(AND(INDEX(AktRolle,MATCH(C1441,Aktiviteter,0))&amp;""&lt;&gt;"",ISERROR(SEARCH(INDEX(AktRolle,MATCH(C1441,Aktiviteter,0))&amp;"",INDEX(TekRoller,MATCH(B1441,Teknikere,0))))),"Mangler rollen "&amp;INDEX(AktRolle,MATCH(C1441,Aktiviteter,0))&amp;"",IF(AND(C1441="LMS",F1441&gt;0,OR(D1441="",E1441="")),"Mangler maskin eller arbeid",IF(AND(OR(C1441="LMS",C1441="Mod"),D1441&lt;&gt;""),IF(IFERROR(INDEX(MaskinStatus,MATCH(D1441,Maskiner,0)),"")="I dokk","","Maskinen er ikke i dokk"),""))))))</f>
        <v/>
      </c>
      <c r="L1441" s="2">
        <f>IF(B1441="","",IFERROR(INT((MATCH(B1441,Teknikere,0)-1)/18)+1,""))</f>
        <v/>
      </c>
      <c r="M1441" s="2">
        <f>IF(OR(A1441="",B1441=""),"",B1441&amp;"|"&amp;A1441)</f>
        <v/>
      </c>
      <c r="N1441" s="2">
        <f>IF(M1441="","",SUMIFS(TF_Timer,TF_Nokkel,M1441,TF_Akt,C1441))</f>
        <v/>
      </c>
      <c r="O1441" s="2">
        <f>IF(M1441="","",IF(AND(N1441=_xlfn.MAXIFS(TF_AktSum,TF_Nokkel,M1441),COUNTIFS(M$3:M1440,M1441,N$3:N1440,N1441)=0),M1441,""))</f>
        <v/>
      </c>
    </row>
    <row r="1442">
      <c r="A1442" s="34" t="n"/>
      <c r="B1442" s="35" t="n"/>
      <c r="C1442" s="35" t="n"/>
      <c r="D1442" s="35" t="n"/>
      <c r="E1442" s="35" t="n"/>
      <c r="F1442" s="36" t="n"/>
      <c r="G1442" s="35" t="n"/>
      <c r="H1442" s="30">
        <f>IF(L1442="","",INDEX(SkiftNavn,L1442))</f>
        <v/>
      </c>
      <c r="I1442" s="30">
        <f>IF(OR(A1442="",L1442=""),"",IF(MOD(A1442-INDEX(SkiftStart,L1442),Syklus)&lt;DagK,"Kveld",IF(MOD(A1442-INDEX(SkiftStart,L1442),Syklus)&lt;DagK+DagH,"Helg",IF(MOD(A1442-INDEX(SkiftStart,L1442),Syklus)&lt;DagK+DagH+DagD,"Dag","Fri"))))</f>
        <v/>
      </c>
      <c r="J1442" s="30">
        <f>IF(I1442="Fri","Ja","")</f>
        <v/>
      </c>
      <c r="K1442" s="30">
        <f>IF(B1442="","",IF(L1442="","Ukjent tekniker",IF(ISNA(MATCH(C1442,Aktiviteter,0)),"Ukjent aktivitet",IF(AND(INDEX(AktRolle,MATCH(C1442,Aktiviteter,0))&amp;""&lt;&gt;"",ISERROR(SEARCH(INDEX(AktRolle,MATCH(C1442,Aktiviteter,0))&amp;"",INDEX(TekRoller,MATCH(B1442,Teknikere,0))))),"Mangler rollen "&amp;INDEX(AktRolle,MATCH(C1442,Aktiviteter,0))&amp;"",IF(AND(C1442="LMS",F1442&gt;0,OR(D1442="",E1442="")),"Mangler maskin eller arbeid",IF(AND(OR(C1442="LMS",C1442="Mod"),D1442&lt;&gt;""),IF(IFERROR(INDEX(MaskinStatus,MATCH(D1442,Maskiner,0)),"")="I dokk","","Maskinen er ikke i dokk"),""))))))</f>
        <v/>
      </c>
      <c r="L1442" s="2">
        <f>IF(B1442="","",IFERROR(INT((MATCH(B1442,Teknikere,0)-1)/18)+1,""))</f>
        <v/>
      </c>
      <c r="M1442" s="2">
        <f>IF(OR(A1442="",B1442=""),"",B1442&amp;"|"&amp;A1442)</f>
        <v/>
      </c>
      <c r="N1442" s="2">
        <f>IF(M1442="","",SUMIFS(TF_Timer,TF_Nokkel,M1442,TF_Akt,C1442))</f>
        <v/>
      </c>
      <c r="O1442" s="2">
        <f>IF(M1442="","",IF(AND(N1442=_xlfn.MAXIFS(TF_AktSum,TF_Nokkel,M1442),COUNTIFS(M$3:M1441,M1442,N$3:N1441,N1442)=0),M1442,""))</f>
        <v/>
      </c>
    </row>
    <row r="1443">
      <c r="A1443" s="34" t="n"/>
      <c r="B1443" s="35" t="n"/>
      <c r="C1443" s="35" t="n"/>
      <c r="D1443" s="35" t="n"/>
      <c r="E1443" s="35" t="n"/>
      <c r="F1443" s="36" t="n"/>
      <c r="G1443" s="35" t="n"/>
      <c r="H1443" s="30">
        <f>IF(L1443="","",INDEX(SkiftNavn,L1443))</f>
        <v/>
      </c>
      <c r="I1443" s="30">
        <f>IF(OR(A1443="",L1443=""),"",IF(MOD(A1443-INDEX(SkiftStart,L1443),Syklus)&lt;DagK,"Kveld",IF(MOD(A1443-INDEX(SkiftStart,L1443),Syklus)&lt;DagK+DagH,"Helg",IF(MOD(A1443-INDEX(SkiftStart,L1443),Syklus)&lt;DagK+DagH+DagD,"Dag","Fri"))))</f>
        <v/>
      </c>
      <c r="J1443" s="30">
        <f>IF(I1443="Fri","Ja","")</f>
        <v/>
      </c>
      <c r="K1443" s="30">
        <f>IF(B1443="","",IF(L1443="","Ukjent tekniker",IF(ISNA(MATCH(C1443,Aktiviteter,0)),"Ukjent aktivitet",IF(AND(INDEX(AktRolle,MATCH(C1443,Aktiviteter,0))&amp;""&lt;&gt;"",ISERROR(SEARCH(INDEX(AktRolle,MATCH(C1443,Aktiviteter,0))&amp;"",INDEX(TekRoller,MATCH(B1443,Teknikere,0))))),"Mangler rollen "&amp;INDEX(AktRolle,MATCH(C1443,Aktiviteter,0))&amp;"",IF(AND(C1443="LMS",F1443&gt;0,OR(D1443="",E1443="")),"Mangler maskin eller arbeid",IF(AND(OR(C1443="LMS",C1443="Mod"),D1443&lt;&gt;""),IF(IFERROR(INDEX(MaskinStatus,MATCH(D1443,Maskiner,0)),"")="I dokk","","Maskinen er ikke i dokk"),""))))))</f>
        <v/>
      </c>
      <c r="L1443" s="2">
        <f>IF(B1443="","",IFERROR(INT((MATCH(B1443,Teknikere,0)-1)/18)+1,""))</f>
        <v/>
      </c>
      <c r="M1443" s="2">
        <f>IF(OR(A1443="",B1443=""),"",B1443&amp;"|"&amp;A1443)</f>
        <v/>
      </c>
      <c r="N1443" s="2">
        <f>IF(M1443="","",SUMIFS(TF_Timer,TF_Nokkel,M1443,TF_Akt,C1443))</f>
        <v/>
      </c>
      <c r="O1443" s="2">
        <f>IF(M1443="","",IF(AND(N1443=_xlfn.MAXIFS(TF_AktSum,TF_Nokkel,M1443),COUNTIFS(M$3:M1442,M1443,N$3:N1442,N1443)=0),M1443,""))</f>
        <v/>
      </c>
    </row>
    <row r="1444">
      <c r="A1444" s="34" t="n"/>
      <c r="B1444" s="35" t="n"/>
      <c r="C1444" s="35" t="n"/>
      <c r="D1444" s="35" t="n"/>
      <c r="E1444" s="35" t="n"/>
      <c r="F1444" s="36" t="n"/>
      <c r="G1444" s="35" t="n"/>
      <c r="H1444" s="30">
        <f>IF(L1444="","",INDEX(SkiftNavn,L1444))</f>
        <v/>
      </c>
      <c r="I1444" s="30">
        <f>IF(OR(A1444="",L1444=""),"",IF(MOD(A1444-INDEX(SkiftStart,L1444),Syklus)&lt;DagK,"Kveld",IF(MOD(A1444-INDEX(SkiftStart,L1444),Syklus)&lt;DagK+DagH,"Helg",IF(MOD(A1444-INDEX(SkiftStart,L1444),Syklus)&lt;DagK+DagH+DagD,"Dag","Fri"))))</f>
        <v/>
      </c>
      <c r="J1444" s="30">
        <f>IF(I1444="Fri","Ja","")</f>
        <v/>
      </c>
      <c r="K1444" s="30">
        <f>IF(B1444="","",IF(L1444="","Ukjent tekniker",IF(ISNA(MATCH(C1444,Aktiviteter,0)),"Ukjent aktivitet",IF(AND(INDEX(AktRolle,MATCH(C1444,Aktiviteter,0))&amp;""&lt;&gt;"",ISERROR(SEARCH(INDEX(AktRolle,MATCH(C1444,Aktiviteter,0))&amp;"",INDEX(TekRoller,MATCH(B1444,Teknikere,0))))),"Mangler rollen "&amp;INDEX(AktRolle,MATCH(C1444,Aktiviteter,0))&amp;"",IF(AND(C1444="LMS",F1444&gt;0,OR(D1444="",E1444="")),"Mangler maskin eller arbeid",IF(AND(OR(C1444="LMS",C1444="Mod"),D1444&lt;&gt;""),IF(IFERROR(INDEX(MaskinStatus,MATCH(D1444,Maskiner,0)),"")="I dokk","","Maskinen er ikke i dokk"),""))))))</f>
        <v/>
      </c>
      <c r="L1444" s="2">
        <f>IF(B1444="","",IFERROR(INT((MATCH(B1444,Teknikere,0)-1)/18)+1,""))</f>
        <v/>
      </c>
      <c r="M1444" s="2">
        <f>IF(OR(A1444="",B1444=""),"",B1444&amp;"|"&amp;A1444)</f>
        <v/>
      </c>
      <c r="N1444" s="2">
        <f>IF(M1444="","",SUMIFS(TF_Timer,TF_Nokkel,M1444,TF_Akt,C1444))</f>
        <v/>
      </c>
      <c r="O1444" s="2">
        <f>IF(M1444="","",IF(AND(N1444=_xlfn.MAXIFS(TF_AktSum,TF_Nokkel,M1444),COUNTIFS(M$3:M1443,M1444,N$3:N1443,N1444)=0),M1444,""))</f>
        <v/>
      </c>
    </row>
    <row r="1445">
      <c r="A1445" s="34" t="n"/>
      <c r="B1445" s="35" t="n"/>
      <c r="C1445" s="35" t="n"/>
      <c r="D1445" s="35" t="n"/>
      <c r="E1445" s="35" t="n"/>
      <c r="F1445" s="36" t="n"/>
      <c r="G1445" s="35" t="n"/>
      <c r="H1445" s="30">
        <f>IF(L1445="","",INDEX(SkiftNavn,L1445))</f>
        <v/>
      </c>
      <c r="I1445" s="30">
        <f>IF(OR(A1445="",L1445=""),"",IF(MOD(A1445-INDEX(SkiftStart,L1445),Syklus)&lt;DagK,"Kveld",IF(MOD(A1445-INDEX(SkiftStart,L1445),Syklus)&lt;DagK+DagH,"Helg",IF(MOD(A1445-INDEX(SkiftStart,L1445),Syklus)&lt;DagK+DagH+DagD,"Dag","Fri"))))</f>
        <v/>
      </c>
      <c r="J1445" s="30">
        <f>IF(I1445="Fri","Ja","")</f>
        <v/>
      </c>
      <c r="K1445" s="30">
        <f>IF(B1445="","",IF(L1445="","Ukjent tekniker",IF(ISNA(MATCH(C1445,Aktiviteter,0)),"Ukjent aktivitet",IF(AND(INDEX(AktRolle,MATCH(C1445,Aktiviteter,0))&amp;""&lt;&gt;"",ISERROR(SEARCH(INDEX(AktRolle,MATCH(C1445,Aktiviteter,0))&amp;"",INDEX(TekRoller,MATCH(B1445,Teknikere,0))))),"Mangler rollen "&amp;INDEX(AktRolle,MATCH(C1445,Aktiviteter,0))&amp;"",IF(AND(C1445="LMS",F1445&gt;0,OR(D1445="",E1445="")),"Mangler maskin eller arbeid",IF(AND(OR(C1445="LMS",C1445="Mod"),D1445&lt;&gt;""),IF(IFERROR(INDEX(MaskinStatus,MATCH(D1445,Maskiner,0)),"")="I dokk","","Maskinen er ikke i dokk"),""))))))</f>
        <v/>
      </c>
      <c r="L1445" s="2">
        <f>IF(B1445="","",IFERROR(INT((MATCH(B1445,Teknikere,0)-1)/18)+1,""))</f>
        <v/>
      </c>
      <c r="M1445" s="2">
        <f>IF(OR(A1445="",B1445=""),"",B1445&amp;"|"&amp;A1445)</f>
        <v/>
      </c>
      <c r="N1445" s="2">
        <f>IF(M1445="","",SUMIFS(TF_Timer,TF_Nokkel,M1445,TF_Akt,C1445))</f>
        <v/>
      </c>
      <c r="O1445" s="2">
        <f>IF(M1445="","",IF(AND(N1445=_xlfn.MAXIFS(TF_AktSum,TF_Nokkel,M1445),COUNTIFS(M$3:M1444,M1445,N$3:N1444,N1445)=0),M1445,""))</f>
        <v/>
      </c>
    </row>
    <row r="1446">
      <c r="A1446" s="34" t="n"/>
      <c r="B1446" s="35" t="n"/>
      <c r="C1446" s="35" t="n"/>
      <c r="D1446" s="35" t="n"/>
      <c r="E1446" s="35" t="n"/>
      <c r="F1446" s="36" t="n"/>
      <c r="G1446" s="35" t="n"/>
      <c r="H1446" s="30">
        <f>IF(L1446="","",INDEX(SkiftNavn,L1446))</f>
        <v/>
      </c>
      <c r="I1446" s="30">
        <f>IF(OR(A1446="",L1446=""),"",IF(MOD(A1446-INDEX(SkiftStart,L1446),Syklus)&lt;DagK,"Kveld",IF(MOD(A1446-INDEX(SkiftStart,L1446),Syklus)&lt;DagK+DagH,"Helg",IF(MOD(A1446-INDEX(SkiftStart,L1446),Syklus)&lt;DagK+DagH+DagD,"Dag","Fri"))))</f>
        <v/>
      </c>
      <c r="J1446" s="30">
        <f>IF(I1446="Fri","Ja","")</f>
        <v/>
      </c>
      <c r="K1446" s="30">
        <f>IF(B1446="","",IF(L1446="","Ukjent tekniker",IF(ISNA(MATCH(C1446,Aktiviteter,0)),"Ukjent aktivitet",IF(AND(INDEX(AktRolle,MATCH(C1446,Aktiviteter,0))&amp;""&lt;&gt;"",ISERROR(SEARCH(INDEX(AktRolle,MATCH(C1446,Aktiviteter,0))&amp;"",INDEX(TekRoller,MATCH(B1446,Teknikere,0))))),"Mangler rollen "&amp;INDEX(AktRolle,MATCH(C1446,Aktiviteter,0))&amp;"",IF(AND(C1446="LMS",F1446&gt;0,OR(D1446="",E1446="")),"Mangler maskin eller arbeid",IF(AND(OR(C1446="LMS",C1446="Mod"),D1446&lt;&gt;""),IF(IFERROR(INDEX(MaskinStatus,MATCH(D1446,Maskiner,0)),"")="I dokk","","Maskinen er ikke i dokk"),""))))))</f>
        <v/>
      </c>
      <c r="L1446" s="2">
        <f>IF(B1446="","",IFERROR(INT((MATCH(B1446,Teknikere,0)-1)/18)+1,""))</f>
        <v/>
      </c>
      <c r="M1446" s="2">
        <f>IF(OR(A1446="",B1446=""),"",B1446&amp;"|"&amp;A1446)</f>
        <v/>
      </c>
      <c r="N1446" s="2">
        <f>IF(M1446="","",SUMIFS(TF_Timer,TF_Nokkel,M1446,TF_Akt,C1446))</f>
        <v/>
      </c>
      <c r="O1446" s="2">
        <f>IF(M1446="","",IF(AND(N1446=_xlfn.MAXIFS(TF_AktSum,TF_Nokkel,M1446),COUNTIFS(M$3:M1445,M1446,N$3:N1445,N1446)=0),M1446,""))</f>
        <v/>
      </c>
    </row>
    <row r="1447">
      <c r="A1447" s="34" t="n"/>
      <c r="B1447" s="35" t="n"/>
      <c r="C1447" s="35" t="n"/>
      <c r="D1447" s="35" t="n"/>
      <c r="E1447" s="35" t="n"/>
      <c r="F1447" s="36" t="n"/>
      <c r="G1447" s="35" t="n"/>
      <c r="H1447" s="30">
        <f>IF(L1447="","",INDEX(SkiftNavn,L1447))</f>
        <v/>
      </c>
      <c r="I1447" s="30">
        <f>IF(OR(A1447="",L1447=""),"",IF(MOD(A1447-INDEX(SkiftStart,L1447),Syklus)&lt;DagK,"Kveld",IF(MOD(A1447-INDEX(SkiftStart,L1447),Syklus)&lt;DagK+DagH,"Helg",IF(MOD(A1447-INDEX(SkiftStart,L1447),Syklus)&lt;DagK+DagH+DagD,"Dag","Fri"))))</f>
        <v/>
      </c>
      <c r="J1447" s="30">
        <f>IF(I1447="Fri","Ja","")</f>
        <v/>
      </c>
      <c r="K1447" s="30">
        <f>IF(B1447="","",IF(L1447="","Ukjent tekniker",IF(ISNA(MATCH(C1447,Aktiviteter,0)),"Ukjent aktivitet",IF(AND(INDEX(AktRolle,MATCH(C1447,Aktiviteter,0))&amp;""&lt;&gt;"",ISERROR(SEARCH(INDEX(AktRolle,MATCH(C1447,Aktiviteter,0))&amp;"",INDEX(TekRoller,MATCH(B1447,Teknikere,0))))),"Mangler rollen "&amp;INDEX(AktRolle,MATCH(C1447,Aktiviteter,0))&amp;"",IF(AND(C1447="LMS",F1447&gt;0,OR(D1447="",E1447="")),"Mangler maskin eller arbeid",IF(AND(OR(C1447="LMS",C1447="Mod"),D1447&lt;&gt;""),IF(IFERROR(INDEX(MaskinStatus,MATCH(D1447,Maskiner,0)),"")="I dokk","","Maskinen er ikke i dokk"),""))))))</f>
        <v/>
      </c>
      <c r="L1447" s="2">
        <f>IF(B1447="","",IFERROR(INT((MATCH(B1447,Teknikere,0)-1)/18)+1,""))</f>
        <v/>
      </c>
      <c r="M1447" s="2">
        <f>IF(OR(A1447="",B1447=""),"",B1447&amp;"|"&amp;A1447)</f>
        <v/>
      </c>
      <c r="N1447" s="2">
        <f>IF(M1447="","",SUMIFS(TF_Timer,TF_Nokkel,M1447,TF_Akt,C1447))</f>
        <v/>
      </c>
      <c r="O1447" s="2">
        <f>IF(M1447="","",IF(AND(N1447=_xlfn.MAXIFS(TF_AktSum,TF_Nokkel,M1447),COUNTIFS(M$3:M1446,M1447,N$3:N1446,N1447)=0),M1447,""))</f>
        <v/>
      </c>
    </row>
    <row r="1448">
      <c r="A1448" s="34" t="n"/>
      <c r="B1448" s="35" t="n"/>
      <c r="C1448" s="35" t="n"/>
      <c r="D1448" s="35" t="n"/>
      <c r="E1448" s="35" t="n"/>
      <c r="F1448" s="36" t="n"/>
      <c r="G1448" s="35" t="n"/>
      <c r="H1448" s="30">
        <f>IF(L1448="","",INDEX(SkiftNavn,L1448))</f>
        <v/>
      </c>
      <c r="I1448" s="30">
        <f>IF(OR(A1448="",L1448=""),"",IF(MOD(A1448-INDEX(SkiftStart,L1448),Syklus)&lt;DagK,"Kveld",IF(MOD(A1448-INDEX(SkiftStart,L1448),Syklus)&lt;DagK+DagH,"Helg",IF(MOD(A1448-INDEX(SkiftStart,L1448),Syklus)&lt;DagK+DagH+DagD,"Dag","Fri"))))</f>
        <v/>
      </c>
      <c r="J1448" s="30">
        <f>IF(I1448="Fri","Ja","")</f>
        <v/>
      </c>
      <c r="K1448" s="30">
        <f>IF(B1448="","",IF(L1448="","Ukjent tekniker",IF(ISNA(MATCH(C1448,Aktiviteter,0)),"Ukjent aktivitet",IF(AND(INDEX(AktRolle,MATCH(C1448,Aktiviteter,0))&amp;""&lt;&gt;"",ISERROR(SEARCH(INDEX(AktRolle,MATCH(C1448,Aktiviteter,0))&amp;"",INDEX(TekRoller,MATCH(B1448,Teknikere,0))))),"Mangler rollen "&amp;INDEX(AktRolle,MATCH(C1448,Aktiviteter,0))&amp;"",IF(AND(C1448="LMS",F1448&gt;0,OR(D1448="",E1448="")),"Mangler maskin eller arbeid",IF(AND(OR(C1448="LMS",C1448="Mod"),D1448&lt;&gt;""),IF(IFERROR(INDEX(MaskinStatus,MATCH(D1448,Maskiner,0)),"")="I dokk","","Maskinen er ikke i dokk"),""))))))</f>
        <v/>
      </c>
      <c r="L1448" s="2">
        <f>IF(B1448="","",IFERROR(INT((MATCH(B1448,Teknikere,0)-1)/18)+1,""))</f>
        <v/>
      </c>
      <c r="M1448" s="2">
        <f>IF(OR(A1448="",B1448=""),"",B1448&amp;"|"&amp;A1448)</f>
        <v/>
      </c>
      <c r="N1448" s="2">
        <f>IF(M1448="","",SUMIFS(TF_Timer,TF_Nokkel,M1448,TF_Akt,C1448))</f>
        <v/>
      </c>
      <c r="O1448" s="2">
        <f>IF(M1448="","",IF(AND(N1448=_xlfn.MAXIFS(TF_AktSum,TF_Nokkel,M1448),COUNTIFS(M$3:M1447,M1448,N$3:N1447,N1448)=0),M1448,""))</f>
        <v/>
      </c>
    </row>
    <row r="1449">
      <c r="A1449" s="34" t="n"/>
      <c r="B1449" s="35" t="n"/>
      <c r="C1449" s="35" t="n"/>
      <c r="D1449" s="35" t="n"/>
      <c r="E1449" s="35" t="n"/>
      <c r="F1449" s="36" t="n"/>
      <c r="G1449" s="35" t="n"/>
      <c r="H1449" s="30">
        <f>IF(L1449="","",INDEX(SkiftNavn,L1449))</f>
        <v/>
      </c>
      <c r="I1449" s="30">
        <f>IF(OR(A1449="",L1449=""),"",IF(MOD(A1449-INDEX(SkiftStart,L1449),Syklus)&lt;DagK,"Kveld",IF(MOD(A1449-INDEX(SkiftStart,L1449),Syklus)&lt;DagK+DagH,"Helg",IF(MOD(A1449-INDEX(SkiftStart,L1449),Syklus)&lt;DagK+DagH+DagD,"Dag","Fri"))))</f>
        <v/>
      </c>
      <c r="J1449" s="30">
        <f>IF(I1449="Fri","Ja","")</f>
        <v/>
      </c>
      <c r="K1449" s="30">
        <f>IF(B1449="","",IF(L1449="","Ukjent tekniker",IF(ISNA(MATCH(C1449,Aktiviteter,0)),"Ukjent aktivitet",IF(AND(INDEX(AktRolle,MATCH(C1449,Aktiviteter,0))&amp;""&lt;&gt;"",ISERROR(SEARCH(INDEX(AktRolle,MATCH(C1449,Aktiviteter,0))&amp;"",INDEX(TekRoller,MATCH(B1449,Teknikere,0))))),"Mangler rollen "&amp;INDEX(AktRolle,MATCH(C1449,Aktiviteter,0))&amp;"",IF(AND(C1449="LMS",F1449&gt;0,OR(D1449="",E1449="")),"Mangler maskin eller arbeid",IF(AND(OR(C1449="LMS",C1449="Mod"),D1449&lt;&gt;""),IF(IFERROR(INDEX(MaskinStatus,MATCH(D1449,Maskiner,0)),"")="I dokk","","Maskinen er ikke i dokk"),""))))))</f>
        <v/>
      </c>
      <c r="L1449" s="2">
        <f>IF(B1449="","",IFERROR(INT((MATCH(B1449,Teknikere,0)-1)/18)+1,""))</f>
        <v/>
      </c>
      <c r="M1449" s="2">
        <f>IF(OR(A1449="",B1449=""),"",B1449&amp;"|"&amp;A1449)</f>
        <v/>
      </c>
      <c r="N1449" s="2">
        <f>IF(M1449="","",SUMIFS(TF_Timer,TF_Nokkel,M1449,TF_Akt,C1449))</f>
        <v/>
      </c>
      <c r="O1449" s="2">
        <f>IF(M1449="","",IF(AND(N1449=_xlfn.MAXIFS(TF_AktSum,TF_Nokkel,M1449),COUNTIFS(M$3:M1448,M1449,N$3:N1448,N1449)=0),M1449,""))</f>
        <v/>
      </c>
    </row>
    <row r="1450">
      <c r="A1450" s="34" t="n"/>
      <c r="B1450" s="35" t="n"/>
      <c r="C1450" s="35" t="n"/>
      <c r="D1450" s="35" t="n"/>
      <c r="E1450" s="35" t="n"/>
      <c r="F1450" s="36" t="n"/>
      <c r="G1450" s="35" t="n"/>
      <c r="H1450" s="30">
        <f>IF(L1450="","",INDEX(SkiftNavn,L1450))</f>
        <v/>
      </c>
      <c r="I1450" s="30">
        <f>IF(OR(A1450="",L1450=""),"",IF(MOD(A1450-INDEX(SkiftStart,L1450),Syklus)&lt;DagK,"Kveld",IF(MOD(A1450-INDEX(SkiftStart,L1450),Syklus)&lt;DagK+DagH,"Helg",IF(MOD(A1450-INDEX(SkiftStart,L1450),Syklus)&lt;DagK+DagH+DagD,"Dag","Fri"))))</f>
        <v/>
      </c>
      <c r="J1450" s="30">
        <f>IF(I1450="Fri","Ja","")</f>
        <v/>
      </c>
      <c r="K1450" s="30">
        <f>IF(B1450="","",IF(L1450="","Ukjent tekniker",IF(ISNA(MATCH(C1450,Aktiviteter,0)),"Ukjent aktivitet",IF(AND(INDEX(AktRolle,MATCH(C1450,Aktiviteter,0))&amp;""&lt;&gt;"",ISERROR(SEARCH(INDEX(AktRolle,MATCH(C1450,Aktiviteter,0))&amp;"",INDEX(TekRoller,MATCH(B1450,Teknikere,0))))),"Mangler rollen "&amp;INDEX(AktRolle,MATCH(C1450,Aktiviteter,0))&amp;"",IF(AND(C1450="LMS",F1450&gt;0,OR(D1450="",E1450="")),"Mangler maskin eller arbeid",IF(AND(OR(C1450="LMS",C1450="Mod"),D1450&lt;&gt;""),IF(IFERROR(INDEX(MaskinStatus,MATCH(D1450,Maskiner,0)),"")="I dokk","","Maskinen er ikke i dokk"),""))))))</f>
        <v/>
      </c>
      <c r="L1450" s="2">
        <f>IF(B1450="","",IFERROR(INT((MATCH(B1450,Teknikere,0)-1)/18)+1,""))</f>
        <v/>
      </c>
      <c r="M1450" s="2">
        <f>IF(OR(A1450="",B1450=""),"",B1450&amp;"|"&amp;A1450)</f>
        <v/>
      </c>
      <c r="N1450" s="2">
        <f>IF(M1450="","",SUMIFS(TF_Timer,TF_Nokkel,M1450,TF_Akt,C1450))</f>
        <v/>
      </c>
      <c r="O1450" s="2">
        <f>IF(M1450="","",IF(AND(N1450=_xlfn.MAXIFS(TF_AktSum,TF_Nokkel,M1450),COUNTIFS(M$3:M1449,M1450,N$3:N1449,N1450)=0),M1450,""))</f>
        <v/>
      </c>
    </row>
    <row r="1451">
      <c r="A1451" s="34" t="n"/>
      <c r="B1451" s="35" t="n"/>
      <c r="C1451" s="35" t="n"/>
      <c r="D1451" s="35" t="n"/>
      <c r="E1451" s="35" t="n"/>
      <c r="F1451" s="36" t="n"/>
      <c r="G1451" s="35" t="n"/>
      <c r="H1451" s="30">
        <f>IF(L1451="","",INDEX(SkiftNavn,L1451))</f>
        <v/>
      </c>
      <c r="I1451" s="30">
        <f>IF(OR(A1451="",L1451=""),"",IF(MOD(A1451-INDEX(SkiftStart,L1451),Syklus)&lt;DagK,"Kveld",IF(MOD(A1451-INDEX(SkiftStart,L1451),Syklus)&lt;DagK+DagH,"Helg",IF(MOD(A1451-INDEX(SkiftStart,L1451),Syklus)&lt;DagK+DagH+DagD,"Dag","Fri"))))</f>
        <v/>
      </c>
      <c r="J1451" s="30">
        <f>IF(I1451="Fri","Ja","")</f>
        <v/>
      </c>
      <c r="K1451" s="30">
        <f>IF(B1451="","",IF(L1451="","Ukjent tekniker",IF(ISNA(MATCH(C1451,Aktiviteter,0)),"Ukjent aktivitet",IF(AND(INDEX(AktRolle,MATCH(C1451,Aktiviteter,0))&amp;""&lt;&gt;"",ISERROR(SEARCH(INDEX(AktRolle,MATCH(C1451,Aktiviteter,0))&amp;"",INDEX(TekRoller,MATCH(B1451,Teknikere,0))))),"Mangler rollen "&amp;INDEX(AktRolle,MATCH(C1451,Aktiviteter,0))&amp;"",IF(AND(C1451="LMS",F1451&gt;0,OR(D1451="",E1451="")),"Mangler maskin eller arbeid",IF(AND(OR(C1451="LMS",C1451="Mod"),D1451&lt;&gt;""),IF(IFERROR(INDEX(MaskinStatus,MATCH(D1451,Maskiner,0)),"")="I dokk","","Maskinen er ikke i dokk"),""))))))</f>
        <v/>
      </c>
      <c r="L1451" s="2">
        <f>IF(B1451="","",IFERROR(INT((MATCH(B1451,Teknikere,0)-1)/18)+1,""))</f>
        <v/>
      </c>
      <c r="M1451" s="2">
        <f>IF(OR(A1451="",B1451=""),"",B1451&amp;"|"&amp;A1451)</f>
        <v/>
      </c>
      <c r="N1451" s="2">
        <f>IF(M1451="","",SUMIFS(TF_Timer,TF_Nokkel,M1451,TF_Akt,C1451))</f>
        <v/>
      </c>
      <c r="O1451" s="2">
        <f>IF(M1451="","",IF(AND(N1451=_xlfn.MAXIFS(TF_AktSum,TF_Nokkel,M1451),COUNTIFS(M$3:M1450,M1451,N$3:N1450,N1451)=0),M1451,""))</f>
        <v/>
      </c>
    </row>
    <row r="1452">
      <c r="A1452" s="34" t="n"/>
      <c r="B1452" s="35" t="n"/>
      <c r="C1452" s="35" t="n"/>
      <c r="D1452" s="35" t="n"/>
      <c r="E1452" s="35" t="n"/>
      <c r="F1452" s="36" t="n"/>
      <c r="G1452" s="35" t="n"/>
      <c r="H1452" s="30">
        <f>IF(L1452="","",INDEX(SkiftNavn,L1452))</f>
        <v/>
      </c>
      <c r="I1452" s="30">
        <f>IF(OR(A1452="",L1452=""),"",IF(MOD(A1452-INDEX(SkiftStart,L1452),Syklus)&lt;DagK,"Kveld",IF(MOD(A1452-INDEX(SkiftStart,L1452),Syklus)&lt;DagK+DagH,"Helg",IF(MOD(A1452-INDEX(SkiftStart,L1452),Syklus)&lt;DagK+DagH+DagD,"Dag","Fri"))))</f>
        <v/>
      </c>
      <c r="J1452" s="30">
        <f>IF(I1452="Fri","Ja","")</f>
        <v/>
      </c>
      <c r="K1452" s="30">
        <f>IF(B1452="","",IF(L1452="","Ukjent tekniker",IF(ISNA(MATCH(C1452,Aktiviteter,0)),"Ukjent aktivitet",IF(AND(INDEX(AktRolle,MATCH(C1452,Aktiviteter,0))&amp;""&lt;&gt;"",ISERROR(SEARCH(INDEX(AktRolle,MATCH(C1452,Aktiviteter,0))&amp;"",INDEX(TekRoller,MATCH(B1452,Teknikere,0))))),"Mangler rollen "&amp;INDEX(AktRolle,MATCH(C1452,Aktiviteter,0))&amp;"",IF(AND(C1452="LMS",F1452&gt;0,OR(D1452="",E1452="")),"Mangler maskin eller arbeid",IF(AND(OR(C1452="LMS",C1452="Mod"),D1452&lt;&gt;""),IF(IFERROR(INDEX(MaskinStatus,MATCH(D1452,Maskiner,0)),"")="I dokk","","Maskinen er ikke i dokk"),""))))))</f>
        <v/>
      </c>
      <c r="L1452" s="2">
        <f>IF(B1452="","",IFERROR(INT((MATCH(B1452,Teknikere,0)-1)/18)+1,""))</f>
        <v/>
      </c>
      <c r="M1452" s="2">
        <f>IF(OR(A1452="",B1452=""),"",B1452&amp;"|"&amp;A1452)</f>
        <v/>
      </c>
      <c r="N1452" s="2">
        <f>IF(M1452="","",SUMIFS(TF_Timer,TF_Nokkel,M1452,TF_Akt,C1452))</f>
        <v/>
      </c>
      <c r="O1452" s="2">
        <f>IF(M1452="","",IF(AND(N1452=_xlfn.MAXIFS(TF_AktSum,TF_Nokkel,M1452),COUNTIFS(M$3:M1451,M1452,N$3:N1451,N1452)=0),M1452,""))</f>
        <v/>
      </c>
    </row>
    <row r="1453">
      <c r="A1453" s="34" t="n"/>
      <c r="B1453" s="35" t="n"/>
      <c r="C1453" s="35" t="n"/>
      <c r="D1453" s="35" t="n"/>
      <c r="E1453" s="35" t="n"/>
      <c r="F1453" s="36" t="n"/>
      <c r="G1453" s="35" t="n"/>
      <c r="H1453" s="30">
        <f>IF(L1453="","",INDEX(SkiftNavn,L1453))</f>
        <v/>
      </c>
      <c r="I1453" s="30">
        <f>IF(OR(A1453="",L1453=""),"",IF(MOD(A1453-INDEX(SkiftStart,L1453),Syklus)&lt;DagK,"Kveld",IF(MOD(A1453-INDEX(SkiftStart,L1453),Syklus)&lt;DagK+DagH,"Helg",IF(MOD(A1453-INDEX(SkiftStart,L1453),Syklus)&lt;DagK+DagH+DagD,"Dag","Fri"))))</f>
        <v/>
      </c>
      <c r="J1453" s="30">
        <f>IF(I1453="Fri","Ja","")</f>
        <v/>
      </c>
      <c r="K1453" s="30">
        <f>IF(B1453="","",IF(L1453="","Ukjent tekniker",IF(ISNA(MATCH(C1453,Aktiviteter,0)),"Ukjent aktivitet",IF(AND(INDEX(AktRolle,MATCH(C1453,Aktiviteter,0))&amp;""&lt;&gt;"",ISERROR(SEARCH(INDEX(AktRolle,MATCH(C1453,Aktiviteter,0))&amp;"",INDEX(TekRoller,MATCH(B1453,Teknikere,0))))),"Mangler rollen "&amp;INDEX(AktRolle,MATCH(C1453,Aktiviteter,0))&amp;"",IF(AND(C1453="LMS",F1453&gt;0,OR(D1453="",E1453="")),"Mangler maskin eller arbeid",IF(AND(OR(C1453="LMS",C1453="Mod"),D1453&lt;&gt;""),IF(IFERROR(INDEX(MaskinStatus,MATCH(D1453,Maskiner,0)),"")="I dokk","","Maskinen er ikke i dokk"),""))))))</f>
        <v/>
      </c>
      <c r="L1453" s="2">
        <f>IF(B1453="","",IFERROR(INT((MATCH(B1453,Teknikere,0)-1)/18)+1,""))</f>
        <v/>
      </c>
      <c r="M1453" s="2">
        <f>IF(OR(A1453="",B1453=""),"",B1453&amp;"|"&amp;A1453)</f>
        <v/>
      </c>
      <c r="N1453" s="2">
        <f>IF(M1453="","",SUMIFS(TF_Timer,TF_Nokkel,M1453,TF_Akt,C1453))</f>
        <v/>
      </c>
      <c r="O1453" s="2">
        <f>IF(M1453="","",IF(AND(N1453=_xlfn.MAXIFS(TF_AktSum,TF_Nokkel,M1453),COUNTIFS(M$3:M1452,M1453,N$3:N1452,N1453)=0),M1453,""))</f>
        <v/>
      </c>
    </row>
    <row r="1454">
      <c r="A1454" s="34" t="n"/>
      <c r="B1454" s="35" t="n"/>
      <c r="C1454" s="35" t="n"/>
      <c r="D1454" s="35" t="n"/>
      <c r="E1454" s="35" t="n"/>
      <c r="F1454" s="36" t="n"/>
      <c r="G1454" s="35" t="n"/>
      <c r="H1454" s="30">
        <f>IF(L1454="","",INDEX(SkiftNavn,L1454))</f>
        <v/>
      </c>
      <c r="I1454" s="30">
        <f>IF(OR(A1454="",L1454=""),"",IF(MOD(A1454-INDEX(SkiftStart,L1454),Syklus)&lt;DagK,"Kveld",IF(MOD(A1454-INDEX(SkiftStart,L1454),Syklus)&lt;DagK+DagH,"Helg",IF(MOD(A1454-INDEX(SkiftStart,L1454),Syklus)&lt;DagK+DagH+DagD,"Dag","Fri"))))</f>
        <v/>
      </c>
      <c r="J1454" s="30">
        <f>IF(I1454="Fri","Ja","")</f>
        <v/>
      </c>
      <c r="K1454" s="30">
        <f>IF(B1454="","",IF(L1454="","Ukjent tekniker",IF(ISNA(MATCH(C1454,Aktiviteter,0)),"Ukjent aktivitet",IF(AND(INDEX(AktRolle,MATCH(C1454,Aktiviteter,0))&amp;""&lt;&gt;"",ISERROR(SEARCH(INDEX(AktRolle,MATCH(C1454,Aktiviteter,0))&amp;"",INDEX(TekRoller,MATCH(B1454,Teknikere,0))))),"Mangler rollen "&amp;INDEX(AktRolle,MATCH(C1454,Aktiviteter,0))&amp;"",IF(AND(C1454="LMS",F1454&gt;0,OR(D1454="",E1454="")),"Mangler maskin eller arbeid",IF(AND(OR(C1454="LMS",C1454="Mod"),D1454&lt;&gt;""),IF(IFERROR(INDEX(MaskinStatus,MATCH(D1454,Maskiner,0)),"")="I dokk","","Maskinen er ikke i dokk"),""))))))</f>
        <v/>
      </c>
      <c r="L1454" s="2">
        <f>IF(B1454="","",IFERROR(INT((MATCH(B1454,Teknikere,0)-1)/18)+1,""))</f>
        <v/>
      </c>
      <c r="M1454" s="2">
        <f>IF(OR(A1454="",B1454=""),"",B1454&amp;"|"&amp;A1454)</f>
        <v/>
      </c>
      <c r="N1454" s="2">
        <f>IF(M1454="","",SUMIFS(TF_Timer,TF_Nokkel,M1454,TF_Akt,C1454))</f>
        <v/>
      </c>
      <c r="O1454" s="2">
        <f>IF(M1454="","",IF(AND(N1454=_xlfn.MAXIFS(TF_AktSum,TF_Nokkel,M1454),COUNTIFS(M$3:M1453,M1454,N$3:N1453,N1454)=0),M1454,""))</f>
        <v/>
      </c>
    </row>
    <row r="1455">
      <c r="A1455" s="34" t="n"/>
      <c r="B1455" s="35" t="n"/>
      <c r="C1455" s="35" t="n"/>
      <c r="D1455" s="35" t="n"/>
      <c r="E1455" s="35" t="n"/>
      <c r="F1455" s="36" t="n"/>
      <c r="G1455" s="35" t="n"/>
      <c r="H1455" s="30">
        <f>IF(L1455="","",INDEX(SkiftNavn,L1455))</f>
        <v/>
      </c>
      <c r="I1455" s="30">
        <f>IF(OR(A1455="",L1455=""),"",IF(MOD(A1455-INDEX(SkiftStart,L1455),Syklus)&lt;DagK,"Kveld",IF(MOD(A1455-INDEX(SkiftStart,L1455),Syklus)&lt;DagK+DagH,"Helg",IF(MOD(A1455-INDEX(SkiftStart,L1455),Syklus)&lt;DagK+DagH+DagD,"Dag","Fri"))))</f>
        <v/>
      </c>
      <c r="J1455" s="30">
        <f>IF(I1455="Fri","Ja","")</f>
        <v/>
      </c>
      <c r="K1455" s="30">
        <f>IF(B1455="","",IF(L1455="","Ukjent tekniker",IF(ISNA(MATCH(C1455,Aktiviteter,0)),"Ukjent aktivitet",IF(AND(INDEX(AktRolle,MATCH(C1455,Aktiviteter,0))&amp;""&lt;&gt;"",ISERROR(SEARCH(INDEX(AktRolle,MATCH(C1455,Aktiviteter,0))&amp;"",INDEX(TekRoller,MATCH(B1455,Teknikere,0))))),"Mangler rollen "&amp;INDEX(AktRolle,MATCH(C1455,Aktiviteter,0))&amp;"",IF(AND(C1455="LMS",F1455&gt;0,OR(D1455="",E1455="")),"Mangler maskin eller arbeid",IF(AND(OR(C1455="LMS",C1455="Mod"),D1455&lt;&gt;""),IF(IFERROR(INDEX(MaskinStatus,MATCH(D1455,Maskiner,0)),"")="I dokk","","Maskinen er ikke i dokk"),""))))))</f>
        <v/>
      </c>
      <c r="L1455" s="2">
        <f>IF(B1455="","",IFERROR(INT((MATCH(B1455,Teknikere,0)-1)/18)+1,""))</f>
        <v/>
      </c>
      <c r="M1455" s="2">
        <f>IF(OR(A1455="",B1455=""),"",B1455&amp;"|"&amp;A1455)</f>
        <v/>
      </c>
      <c r="N1455" s="2">
        <f>IF(M1455="","",SUMIFS(TF_Timer,TF_Nokkel,M1455,TF_Akt,C1455))</f>
        <v/>
      </c>
      <c r="O1455" s="2">
        <f>IF(M1455="","",IF(AND(N1455=_xlfn.MAXIFS(TF_AktSum,TF_Nokkel,M1455),COUNTIFS(M$3:M1454,M1455,N$3:N1454,N1455)=0),M1455,""))</f>
        <v/>
      </c>
    </row>
    <row r="1456">
      <c r="A1456" s="34" t="n"/>
      <c r="B1456" s="35" t="n"/>
      <c r="C1456" s="35" t="n"/>
      <c r="D1456" s="35" t="n"/>
      <c r="E1456" s="35" t="n"/>
      <c r="F1456" s="36" t="n"/>
      <c r="G1456" s="35" t="n"/>
      <c r="H1456" s="30">
        <f>IF(L1456="","",INDEX(SkiftNavn,L1456))</f>
        <v/>
      </c>
      <c r="I1456" s="30">
        <f>IF(OR(A1456="",L1456=""),"",IF(MOD(A1456-INDEX(SkiftStart,L1456),Syklus)&lt;DagK,"Kveld",IF(MOD(A1456-INDEX(SkiftStart,L1456),Syklus)&lt;DagK+DagH,"Helg",IF(MOD(A1456-INDEX(SkiftStart,L1456),Syklus)&lt;DagK+DagH+DagD,"Dag","Fri"))))</f>
        <v/>
      </c>
      <c r="J1456" s="30">
        <f>IF(I1456="Fri","Ja","")</f>
        <v/>
      </c>
      <c r="K1456" s="30">
        <f>IF(B1456="","",IF(L1456="","Ukjent tekniker",IF(ISNA(MATCH(C1456,Aktiviteter,0)),"Ukjent aktivitet",IF(AND(INDEX(AktRolle,MATCH(C1456,Aktiviteter,0))&amp;""&lt;&gt;"",ISERROR(SEARCH(INDEX(AktRolle,MATCH(C1456,Aktiviteter,0))&amp;"",INDEX(TekRoller,MATCH(B1456,Teknikere,0))))),"Mangler rollen "&amp;INDEX(AktRolle,MATCH(C1456,Aktiviteter,0))&amp;"",IF(AND(C1456="LMS",F1456&gt;0,OR(D1456="",E1456="")),"Mangler maskin eller arbeid",IF(AND(OR(C1456="LMS",C1456="Mod"),D1456&lt;&gt;""),IF(IFERROR(INDEX(MaskinStatus,MATCH(D1456,Maskiner,0)),"")="I dokk","","Maskinen er ikke i dokk"),""))))))</f>
        <v/>
      </c>
      <c r="L1456" s="2">
        <f>IF(B1456="","",IFERROR(INT((MATCH(B1456,Teknikere,0)-1)/18)+1,""))</f>
        <v/>
      </c>
      <c r="M1456" s="2">
        <f>IF(OR(A1456="",B1456=""),"",B1456&amp;"|"&amp;A1456)</f>
        <v/>
      </c>
      <c r="N1456" s="2">
        <f>IF(M1456="","",SUMIFS(TF_Timer,TF_Nokkel,M1456,TF_Akt,C1456))</f>
        <v/>
      </c>
      <c r="O1456" s="2">
        <f>IF(M1456="","",IF(AND(N1456=_xlfn.MAXIFS(TF_AktSum,TF_Nokkel,M1456),COUNTIFS(M$3:M1455,M1456,N$3:N1455,N1456)=0),M1456,""))</f>
        <v/>
      </c>
    </row>
    <row r="1457">
      <c r="A1457" s="34" t="n"/>
      <c r="B1457" s="35" t="n"/>
      <c r="C1457" s="35" t="n"/>
      <c r="D1457" s="35" t="n"/>
      <c r="E1457" s="35" t="n"/>
      <c r="F1457" s="36" t="n"/>
      <c r="G1457" s="35" t="n"/>
      <c r="H1457" s="30">
        <f>IF(L1457="","",INDEX(SkiftNavn,L1457))</f>
        <v/>
      </c>
      <c r="I1457" s="30">
        <f>IF(OR(A1457="",L1457=""),"",IF(MOD(A1457-INDEX(SkiftStart,L1457),Syklus)&lt;DagK,"Kveld",IF(MOD(A1457-INDEX(SkiftStart,L1457),Syklus)&lt;DagK+DagH,"Helg",IF(MOD(A1457-INDEX(SkiftStart,L1457),Syklus)&lt;DagK+DagH+DagD,"Dag","Fri"))))</f>
        <v/>
      </c>
      <c r="J1457" s="30">
        <f>IF(I1457="Fri","Ja","")</f>
        <v/>
      </c>
      <c r="K1457" s="30">
        <f>IF(B1457="","",IF(L1457="","Ukjent tekniker",IF(ISNA(MATCH(C1457,Aktiviteter,0)),"Ukjent aktivitet",IF(AND(INDEX(AktRolle,MATCH(C1457,Aktiviteter,0))&amp;""&lt;&gt;"",ISERROR(SEARCH(INDEX(AktRolle,MATCH(C1457,Aktiviteter,0))&amp;"",INDEX(TekRoller,MATCH(B1457,Teknikere,0))))),"Mangler rollen "&amp;INDEX(AktRolle,MATCH(C1457,Aktiviteter,0))&amp;"",IF(AND(C1457="LMS",F1457&gt;0,OR(D1457="",E1457="")),"Mangler maskin eller arbeid",IF(AND(OR(C1457="LMS",C1457="Mod"),D1457&lt;&gt;""),IF(IFERROR(INDEX(MaskinStatus,MATCH(D1457,Maskiner,0)),"")="I dokk","","Maskinen er ikke i dokk"),""))))))</f>
        <v/>
      </c>
      <c r="L1457" s="2">
        <f>IF(B1457="","",IFERROR(INT((MATCH(B1457,Teknikere,0)-1)/18)+1,""))</f>
        <v/>
      </c>
      <c r="M1457" s="2">
        <f>IF(OR(A1457="",B1457=""),"",B1457&amp;"|"&amp;A1457)</f>
        <v/>
      </c>
      <c r="N1457" s="2">
        <f>IF(M1457="","",SUMIFS(TF_Timer,TF_Nokkel,M1457,TF_Akt,C1457))</f>
        <v/>
      </c>
      <c r="O1457" s="2">
        <f>IF(M1457="","",IF(AND(N1457=_xlfn.MAXIFS(TF_AktSum,TF_Nokkel,M1457),COUNTIFS(M$3:M1456,M1457,N$3:N1456,N1457)=0),M1457,""))</f>
        <v/>
      </c>
    </row>
    <row r="1458">
      <c r="A1458" s="34" t="n"/>
      <c r="B1458" s="35" t="n"/>
      <c r="C1458" s="35" t="n"/>
      <c r="D1458" s="35" t="n"/>
      <c r="E1458" s="35" t="n"/>
      <c r="F1458" s="36" t="n"/>
      <c r="G1458" s="35" t="n"/>
      <c r="H1458" s="30">
        <f>IF(L1458="","",INDEX(SkiftNavn,L1458))</f>
        <v/>
      </c>
      <c r="I1458" s="30">
        <f>IF(OR(A1458="",L1458=""),"",IF(MOD(A1458-INDEX(SkiftStart,L1458),Syklus)&lt;DagK,"Kveld",IF(MOD(A1458-INDEX(SkiftStart,L1458),Syklus)&lt;DagK+DagH,"Helg",IF(MOD(A1458-INDEX(SkiftStart,L1458),Syklus)&lt;DagK+DagH+DagD,"Dag","Fri"))))</f>
        <v/>
      </c>
      <c r="J1458" s="30">
        <f>IF(I1458="Fri","Ja","")</f>
        <v/>
      </c>
      <c r="K1458" s="30">
        <f>IF(B1458="","",IF(L1458="","Ukjent tekniker",IF(ISNA(MATCH(C1458,Aktiviteter,0)),"Ukjent aktivitet",IF(AND(INDEX(AktRolle,MATCH(C1458,Aktiviteter,0))&amp;""&lt;&gt;"",ISERROR(SEARCH(INDEX(AktRolle,MATCH(C1458,Aktiviteter,0))&amp;"",INDEX(TekRoller,MATCH(B1458,Teknikere,0))))),"Mangler rollen "&amp;INDEX(AktRolle,MATCH(C1458,Aktiviteter,0))&amp;"",IF(AND(C1458="LMS",F1458&gt;0,OR(D1458="",E1458="")),"Mangler maskin eller arbeid",IF(AND(OR(C1458="LMS",C1458="Mod"),D1458&lt;&gt;""),IF(IFERROR(INDEX(MaskinStatus,MATCH(D1458,Maskiner,0)),"")="I dokk","","Maskinen er ikke i dokk"),""))))))</f>
        <v/>
      </c>
      <c r="L1458" s="2">
        <f>IF(B1458="","",IFERROR(INT((MATCH(B1458,Teknikere,0)-1)/18)+1,""))</f>
        <v/>
      </c>
      <c r="M1458" s="2">
        <f>IF(OR(A1458="",B1458=""),"",B1458&amp;"|"&amp;A1458)</f>
        <v/>
      </c>
      <c r="N1458" s="2">
        <f>IF(M1458="","",SUMIFS(TF_Timer,TF_Nokkel,M1458,TF_Akt,C1458))</f>
        <v/>
      </c>
      <c r="O1458" s="2">
        <f>IF(M1458="","",IF(AND(N1458=_xlfn.MAXIFS(TF_AktSum,TF_Nokkel,M1458),COUNTIFS(M$3:M1457,M1458,N$3:N1457,N1458)=0),M1458,""))</f>
        <v/>
      </c>
    </row>
    <row r="1459">
      <c r="A1459" s="34" t="n"/>
      <c r="B1459" s="35" t="n"/>
      <c r="C1459" s="35" t="n"/>
      <c r="D1459" s="35" t="n"/>
      <c r="E1459" s="35" t="n"/>
      <c r="F1459" s="36" t="n"/>
      <c r="G1459" s="35" t="n"/>
      <c r="H1459" s="30">
        <f>IF(L1459="","",INDEX(SkiftNavn,L1459))</f>
        <v/>
      </c>
      <c r="I1459" s="30">
        <f>IF(OR(A1459="",L1459=""),"",IF(MOD(A1459-INDEX(SkiftStart,L1459),Syklus)&lt;DagK,"Kveld",IF(MOD(A1459-INDEX(SkiftStart,L1459),Syklus)&lt;DagK+DagH,"Helg",IF(MOD(A1459-INDEX(SkiftStart,L1459),Syklus)&lt;DagK+DagH+DagD,"Dag","Fri"))))</f>
        <v/>
      </c>
      <c r="J1459" s="30">
        <f>IF(I1459="Fri","Ja","")</f>
        <v/>
      </c>
      <c r="K1459" s="30">
        <f>IF(B1459="","",IF(L1459="","Ukjent tekniker",IF(ISNA(MATCH(C1459,Aktiviteter,0)),"Ukjent aktivitet",IF(AND(INDEX(AktRolle,MATCH(C1459,Aktiviteter,0))&amp;""&lt;&gt;"",ISERROR(SEARCH(INDEX(AktRolle,MATCH(C1459,Aktiviteter,0))&amp;"",INDEX(TekRoller,MATCH(B1459,Teknikere,0))))),"Mangler rollen "&amp;INDEX(AktRolle,MATCH(C1459,Aktiviteter,0))&amp;"",IF(AND(C1459="LMS",F1459&gt;0,OR(D1459="",E1459="")),"Mangler maskin eller arbeid",IF(AND(OR(C1459="LMS",C1459="Mod"),D1459&lt;&gt;""),IF(IFERROR(INDEX(MaskinStatus,MATCH(D1459,Maskiner,0)),"")="I dokk","","Maskinen er ikke i dokk"),""))))))</f>
        <v/>
      </c>
      <c r="L1459" s="2">
        <f>IF(B1459="","",IFERROR(INT((MATCH(B1459,Teknikere,0)-1)/18)+1,""))</f>
        <v/>
      </c>
      <c r="M1459" s="2">
        <f>IF(OR(A1459="",B1459=""),"",B1459&amp;"|"&amp;A1459)</f>
        <v/>
      </c>
      <c r="N1459" s="2">
        <f>IF(M1459="","",SUMIFS(TF_Timer,TF_Nokkel,M1459,TF_Akt,C1459))</f>
        <v/>
      </c>
      <c r="O1459" s="2">
        <f>IF(M1459="","",IF(AND(N1459=_xlfn.MAXIFS(TF_AktSum,TF_Nokkel,M1459),COUNTIFS(M$3:M1458,M1459,N$3:N1458,N1459)=0),M1459,""))</f>
        <v/>
      </c>
    </row>
    <row r="1460">
      <c r="A1460" s="34" t="n"/>
      <c r="B1460" s="35" t="n"/>
      <c r="C1460" s="35" t="n"/>
      <c r="D1460" s="35" t="n"/>
      <c r="E1460" s="35" t="n"/>
      <c r="F1460" s="36" t="n"/>
      <c r="G1460" s="35" t="n"/>
      <c r="H1460" s="30">
        <f>IF(L1460="","",INDEX(SkiftNavn,L1460))</f>
        <v/>
      </c>
      <c r="I1460" s="30">
        <f>IF(OR(A1460="",L1460=""),"",IF(MOD(A1460-INDEX(SkiftStart,L1460),Syklus)&lt;DagK,"Kveld",IF(MOD(A1460-INDEX(SkiftStart,L1460),Syklus)&lt;DagK+DagH,"Helg",IF(MOD(A1460-INDEX(SkiftStart,L1460),Syklus)&lt;DagK+DagH+DagD,"Dag","Fri"))))</f>
        <v/>
      </c>
      <c r="J1460" s="30">
        <f>IF(I1460="Fri","Ja","")</f>
        <v/>
      </c>
      <c r="K1460" s="30">
        <f>IF(B1460="","",IF(L1460="","Ukjent tekniker",IF(ISNA(MATCH(C1460,Aktiviteter,0)),"Ukjent aktivitet",IF(AND(INDEX(AktRolle,MATCH(C1460,Aktiviteter,0))&amp;""&lt;&gt;"",ISERROR(SEARCH(INDEX(AktRolle,MATCH(C1460,Aktiviteter,0))&amp;"",INDEX(TekRoller,MATCH(B1460,Teknikere,0))))),"Mangler rollen "&amp;INDEX(AktRolle,MATCH(C1460,Aktiviteter,0))&amp;"",IF(AND(C1460="LMS",F1460&gt;0,OR(D1460="",E1460="")),"Mangler maskin eller arbeid",IF(AND(OR(C1460="LMS",C1460="Mod"),D1460&lt;&gt;""),IF(IFERROR(INDEX(MaskinStatus,MATCH(D1460,Maskiner,0)),"")="I dokk","","Maskinen er ikke i dokk"),""))))))</f>
        <v/>
      </c>
      <c r="L1460" s="2">
        <f>IF(B1460="","",IFERROR(INT((MATCH(B1460,Teknikere,0)-1)/18)+1,""))</f>
        <v/>
      </c>
      <c r="M1460" s="2">
        <f>IF(OR(A1460="",B1460=""),"",B1460&amp;"|"&amp;A1460)</f>
        <v/>
      </c>
      <c r="N1460" s="2">
        <f>IF(M1460="","",SUMIFS(TF_Timer,TF_Nokkel,M1460,TF_Akt,C1460))</f>
        <v/>
      </c>
      <c r="O1460" s="2">
        <f>IF(M1460="","",IF(AND(N1460=_xlfn.MAXIFS(TF_AktSum,TF_Nokkel,M1460),COUNTIFS(M$3:M1459,M1460,N$3:N1459,N1460)=0),M1460,""))</f>
        <v/>
      </c>
    </row>
    <row r="1461">
      <c r="A1461" s="34" t="n"/>
      <c r="B1461" s="35" t="n"/>
      <c r="C1461" s="35" t="n"/>
      <c r="D1461" s="35" t="n"/>
      <c r="E1461" s="35" t="n"/>
      <c r="F1461" s="36" t="n"/>
      <c r="G1461" s="35" t="n"/>
      <c r="H1461" s="30">
        <f>IF(L1461="","",INDEX(SkiftNavn,L1461))</f>
        <v/>
      </c>
      <c r="I1461" s="30">
        <f>IF(OR(A1461="",L1461=""),"",IF(MOD(A1461-INDEX(SkiftStart,L1461),Syklus)&lt;DagK,"Kveld",IF(MOD(A1461-INDEX(SkiftStart,L1461),Syklus)&lt;DagK+DagH,"Helg",IF(MOD(A1461-INDEX(SkiftStart,L1461),Syklus)&lt;DagK+DagH+DagD,"Dag","Fri"))))</f>
        <v/>
      </c>
      <c r="J1461" s="30">
        <f>IF(I1461="Fri","Ja","")</f>
        <v/>
      </c>
      <c r="K1461" s="30">
        <f>IF(B1461="","",IF(L1461="","Ukjent tekniker",IF(ISNA(MATCH(C1461,Aktiviteter,0)),"Ukjent aktivitet",IF(AND(INDEX(AktRolle,MATCH(C1461,Aktiviteter,0))&amp;""&lt;&gt;"",ISERROR(SEARCH(INDEX(AktRolle,MATCH(C1461,Aktiviteter,0))&amp;"",INDEX(TekRoller,MATCH(B1461,Teknikere,0))))),"Mangler rollen "&amp;INDEX(AktRolle,MATCH(C1461,Aktiviteter,0))&amp;"",IF(AND(C1461="LMS",F1461&gt;0,OR(D1461="",E1461="")),"Mangler maskin eller arbeid",IF(AND(OR(C1461="LMS",C1461="Mod"),D1461&lt;&gt;""),IF(IFERROR(INDEX(MaskinStatus,MATCH(D1461,Maskiner,0)),"")="I dokk","","Maskinen er ikke i dokk"),""))))))</f>
        <v/>
      </c>
      <c r="L1461" s="2">
        <f>IF(B1461="","",IFERROR(INT((MATCH(B1461,Teknikere,0)-1)/18)+1,""))</f>
        <v/>
      </c>
      <c r="M1461" s="2">
        <f>IF(OR(A1461="",B1461=""),"",B1461&amp;"|"&amp;A1461)</f>
        <v/>
      </c>
      <c r="N1461" s="2">
        <f>IF(M1461="","",SUMIFS(TF_Timer,TF_Nokkel,M1461,TF_Akt,C1461))</f>
        <v/>
      </c>
      <c r="O1461" s="2">
        <f>IF(M1461="","",IF(AND(N1461=_xlfn.MAXIFS(TF_AktSum,TF_Nokkel,M1461),COUNTIFS(M$3:M1460,M1461,N$3:N1460,N1461)=0),M1461,""))</f>
        <v/>
      </c>
    </row>
    <row r="1462">
      <c r="A1462" s="34" t="n"/>
      <c r="B1462" s="35" t="n"/>
      <c r="C1462" s="35" t="n"/>
      <c r="D1462" s="35" t="n"/>
      <c r="E1462" s="35" t="n"/>
      <c r="F1462" s="36" t="n"/>
      <c r="G1462" s="35" t="n"/>
      <c r="H1462" s="30">
        <f>IF(L1462="","",INDEX(SkiftNavn,L1462))</f>
        <v/>
      </c>
      <c r="I1462" s="30">
        <f>IF(OR(A1462="",L1462=""),"",IF(MOD(A1462-INDEX(SkiftStart,L1462),Syklus)&lt;DagK,"Kveld",IF(MOD(A1462-INDEX(SkiftStart,L1462),Syklus)&lt;DagK+DagH,"Helg",IF(MOD(A1462-INDEX(SkiftStart,L1462),Syklus)&lt;DagK+DagH+DagD,"Dag","Fri"))))</f>
        <v/>
      </c>
      <c r="J1462" s="30">
        <f>IF(I1462="Fri","Ja","")</f>
        <v/>
      </c>
      <c r="K1462" s="30">
        <f>IF(B1462="","",IF(L1462="","Ukjent tekniker",IF(ISNA(MATCH(C1462,Aktiviteter,0)),"Ukjent aktivitet",IF(AND(INDEX(AktRolle,MATCH(C1462,Aktiviteter,0))&amp;""&lt;&gt;"",ISERROR(SEARCH(INDEX(AktRolle,MATCH(C1462,Aktiviteter,0))&amp;"",INDEX(TekRoller,MATCH(B1462,Teknikere,0))))),"Mangler rollen "&amp;INDEX(AktRolle,MATCH(C1462,Aktiviteter,0))&amp;"",IF(AND(C1462="LMS",F1462&gt;0,OR(D1462="",E1462="")),"Mangler maskin eller arbeid",IF(AND(OR(C1462="LMS",C1462="Mod"),D1462&lt;&gt;""),IF(IFERROR(INDEX(MaskinStatus,MATCH(D1462,Maskiner,0)),"")="I dokk","","Maskinen er ikke i dokk"),""))))))</f>
        <v/>
      </c>
      <c r="L1462" s="2">
        <f>IF(B1462="","",IFERROR(INT((MATCH(B1462,Teknikere,0)-1)/18)+1,""))</f>
        <v/>
      </c>
      <c r="M1462" s="2">
        <f>IF(OR(A1462="",B1462=""),"",B1462&amp;"|"&amp;A1462)</f>
        <v/>
      </c>
      <c r="N1462" s="2">
        <f>IF(M1462="","",SUMIFS(TF_Timer,TF_Nokkel,M1462,TF_Akt,C1462))</f>
        <v/>
      </c>
      <c r="O1462" s="2">
        <f>IF(M1462="","",IF(AND(N1462=_xlfn.MAXIFS(TF_AktSum,TF_Nokkel,M1462),COUNTIFS(M$3:M1461,M1462,N$3:N1461,N1462)=0),M1462,""))</f>
        <v/>
      </c>
    </row>
    <row r="1463">
      <c r="A1463" s="34" t="n"/>
      <c r="B1463" s="35" t="n"/>
      <c r="C1463" s="35" t="n"/>
      <c r="D1463" s="35" t="n"/>
      <c r="E1463" s="35" t="n"/>
      <c r="F1463" s="36" t="n"/>
      <c r="G1463" s="35" t="n"/>
      <c r="H1463" s="30">
        <f>IF(L1463="","",INDEX(SkiftNavn,L1463))</f>
        <v/>
      </c>
      <c r="I1463" s="30">
        <f>IF(OR(A1463="",L1463=""),"",IF(MOD(A1463-INDEX(SkiftStart,L1463),Syklus)&lt;DagK,"Kveld",IF(MOD(A1463-INDEX(SkiftStart,L1463),Syklus)&lt;DagK+DagH,"Helg",IF(MOD(A1463-INDEX(SkiftStart,L1463),Syklus)&lt;DagK+DagH+DagD,"Dag","Fri"))))</f>
        <v/>
      </c>
      <c r="J1463" s="30">
        <f>IF(I1463="Fri","Ja","")</f>
        <v/>
      </c>
      <c r="K1463" s="30">
        <f>IF(B1463="","",IF(L1463="","Ukjent tekniker",IF(ISNA(MATCH(C1463,Aktiviteter,0)),"Ukjent aktivitet",IF(AND(INDEX(AktRolle,MATCH(C1463,Aktiviteter,0))&amp;""&lt;&gt;"",ISERROR(SEARCH(INDEX(AktRolle,MATCH(C1463,Aktiviteter,0))&amp;"",INDEX(TekRoller,MATCH(B1463,Teknikere,0))))),"Mangler rollen "&amp;INDEX(AktRolle,MATCH(C1463,Aktiviteter,0))&amp;"",IF(AND(C1463="LMS",F1463&gt;0,OR(D1463="",E1463="")),"Mangler maskin eller arbeid",IF(AND(OR(C1463="LMS",C1463="Mod"),D1463&lt;&gt;""),IF(IFERROR(INDEX(MaskinStatus,MATCH(D1463,Maskiner,0)),"")="I dokk","","Maskinen er ikke i dokk"),""))))))</f>
        <v/>
      </c>
      <c r="L1463" s="2">
        <f>IF(B1463="","",IFERROR(INT((MATCH(B1463,Teknikere,0)-1)/18)+1,""))</f>
        <v/>
      </c>
      <c r="M1463" s="2">
        <f>IF(OR(A1463="",B1463=""),"",B1463&amp;"|"&amp;A1463)</f>
        <v/>
      </c>
      <c r="N1463" s="2">
        <f>IF(M1463="","",SUMIFS(TF_Timer,TF_Nokkel,M1463,TF_Akt,C1463))</f>
        <v/>
      </c>
      <c r="O1463" s="2">
        <f>IF(M1463="","",IF(AND(N1463=_xlfn.MAXIFS(TF_AktSum,TF_Nokkel,M1463),COUNTIFS(M$3:M1462,M1463,N$3:N1462,N1463)=0),M1463,""))</f>
        <v/>
      </c>
    </row>
    <row r="1464">
      <c r="A1464" s="34" t="n"/>
      <c r="B1464" s="35" t="n"/>
      <c r="C1464" s="35" t="n"/>
      <c r="D1464" s="35" t="n"/>
      <c r="E1464" s="35" t="n"/>
      <c r="F1464" s="36" t="n"/>
      <c r="G1464" s="35" t="n"/>
      <c r="H1464" s="30">
        <f>IF(L1464="","",INDEX(SkiftNavn,L1464))</f>
        <v/>
      </c>
      <c r="I1464" s="30">
        <f>IF(OR(A1464="",L1464=""),"",IF(MOD(A1464-INDEX(SkiftStart,L1464),Syklus)&lt;DagK,"Kveld",IF(MOD(A1464-INDEX(SkiftStart,L1464),Syklus)&lt;DagK+DagH,"Helg",IF(MOD(A1464-INDEX(SkiftStart,L1464),Syklus)&lt;DagK+DagH+DagD,"Dag","Fri"))))</f>
        <v/>
      </c>
      <c r="J1464" s="30">
        <f>IF(I1464="Fri","Ja","")</f>
        <v/>
      </c>
      <c r="K1464" s="30">
        <f>IF(B1464="","",IF(L1464="","Ukjent tekniker",IF(ISNA(MATCH(C1464,Aktiviteter,0)),"Ukjent aktivitet",IF(AND(INDEX(AktRolle,MATCH(C1464,Aktiviteter,0))&amp;""&lt;&gt;"",ISERROR(SEARCH(INDEX(AktRolle,MATCH(C1464,Aktiviteter,0))&amp;"",INDEX(TekRoller,MATCH(B1464,Teknikere,0))))),"Mangler rollen "&amp;INDEX(AktRolle,MATCH(C1464,Aktiviteter,0))&amp;"",IF(AND(C1464="LMS",F1464&gt;0,OR(D1464="",E1464="")),"Mangler maskin eller arbeid",IF(AND(OR(C1464="LMS",C1464="Mod"),D1464&lt;&gt;""),IF(IFERROR(INDEX(MaskinStatus,MATCH(D1464,Maskiner,0)),"")="I dokk","","Maskinen er ikke i dokk"),""))))))</f>
        <v/>
      </c>
      <c r="L1464" s="2">
        <f>IF(B1464="","",IFERROR(INT((MATCH(B1464,Teknikere,0)-1)/18)+1,""))</f>
        <v/>
      </c>
      <c r="M1464" s="2">
        <f>IF(OR(A1464="",B1464=""),"",B1464&amp;"|"&amp;A1464)</f>
        <v/>
      </c>
      <c r="N1464" s="2">
        <f>IF(M1464="","",SUMIFS(TF_Timer,TF_Nokkel,M1464,TF_Akt,C1464))</f>
        <v/>
      </c>
      <c r="O1464" s="2">
        <f>IF(M1464="","",IF(AND(N1464=_xlfn.MAXIFS(TF_AktSum,TF_Nokkel,M1464),COUNTIFS(M$3:M1463,M1464,N$3:N1463,N1464)=0),M1464,""))</f>
        <v/>
      </c>
    </row>
    <row r="1465">
      <c r="A1465" s="34" t="n"/>
      <c r="B1465" s="35" t="n"/>
      <c r="C1465" s="35" t="n"/>
      <c r="D1465" s="35" t="n"/>
      <c r="E1465" s="35" t="n"/>
      <c r="F1465" s="36" t="n"/>
      <c r="G1465" s="35" t="n"/>
      <c r="H1465" s="30">
        <f>IF(L1465="","",INDEX(SkiftNavn,L1465))</f>
        <v/>
      </c>
      <c r="I1465" s="30">
        <f>IF(OR(A1465="",L1465=""),"",IF(MOD(A1465-INDEX(SkiftStart,L1465),Syklus)&lt;DagK,"Kveld",IF(MOD(A1465-INDEX(SkiftStart,L1465),Syklus)&lt;DagK+DagH,"Helg",IF(MOD(A1465-INDEX(SkiftStart,L1465),Syklus)&lt;DagK+DagH+DagD,"Dag","Fri"))))</f>
        <v/>
      </c>
      <c r="J1465" s="30">
        <f>IF(I1465="Fri","Ja","")</f>
        <v/>
      </c>
      <c r="K1465" s="30">
        <f>IF(B1465="","",IF(L1465="","Ukjent tekniker",IF(ISNA(MATCH(C1465,Aktiviteter,0)),"Ukjent aktivitet",IF(AND(INDEX(AktRolle,MATCH(C1465,Aktiviteter,0))&amp;""&lt;&gt;"",ISERROR(SEARCH(INDEX(AktRolle,MATCH(C1465,Aktiviteter,0))&amp;"",INDEX(TekRoller,MATCH(B1465,Teknikere,0))))),"Mangler rollen "&amp;INDEX(AktRolle,MATCH(C1465,Aktiviteter,0))&amp;"",IF(AND(C1465="LMS",F1465&gt;0,OR(D1465="",E1465="")),"Mangler maskin eller arbeid",IF(AND(OR(C1465="LMS",C1465="Mod"),D1465&lt;&gt;""),IF(IFERROR(INDEX(MaskinStatus,MATCH(D1465,Maskiner,0)),"")="I dokk","","Maskinen er ikke i dokk"),""))))))</f>
        <v/>
      </c>
      <c r="L1465" s="2">
        <f>IF(B1465="","",IFERROR(INT((MATCH(B1465,Teknikere,0)-1)/18)+1,""))</f>
        <v/>
      </c>
      <c r="M1465" s="2">
        <f>IF(OR(A1465="",B1465=""),"",B1465&amp;"|"&amp;A1465)</f>
        <v/>
      </c>
      <c r="N1465" s="2">
        <f>IF(M1465="","",SUMIFS(TF_Timer,TF_Nokkel,M1465,TF_Akt,C1465))</f>
        <v/>
      </c>
      <c r="O1465" s="2">
        <f>IF(M1465="","",IF(AND(N1465=_xlfn.MAXIFS(TF_AktSum,TF_Nokkel,M1465),COUNTIFS(M$3:M1464,M1465,N$3:N1464,N1465)=0),M1465,""))</f>
        <v/>
      </c>
    </row>
    <row r="1466">
      <c r="A1466" s="34" t="n"/>
      <c r="B1466" s="35" t="n"/>
      <c r="C1466" s="35" t="n"/>
      <c r="D1466" s="35" t="n"/>
      <c r="E1466" s="35" t="n"/>
      <c r="F1466" s="36" t="n"/>
      <c r="G1466" s="35" t="n"/>
      <c r="H1466" s="30">
        <f>IF(L1466="","",INDEX(SkiftNavn,L1466))</f>
        <v/>
      </c>
      <c r="I1466" s="30">
        <f>IF(OR(A1466="",L1466=""),"",IF(MOD(A1466-INDEX(SkiftStart,L1466),Syklus)&lt;DagK,"Kveld",IF(MOD(A1466-INDEX(SkiftStart,L1466),Syklus)&lt;DagK+DagH,"Helg",IF(MOD(A1466-INDEX(SkiftStart,L1466),Syklus)&lt;DagK+DagH+DagD,"Dag","Fri"))))</f>
        <v/>
      </c>
      <c r="J1466" s="30">
        <f>IF(I1466="Fri","Ja","")</f>
        <v/>
      </c>
      <c r="K1466" s="30">
        <f>IF(B1466="","",IF(L1466="","Ukjent tekniker",IF(ISNA(MATCH(C1466,Aktiviteter,0)),"Ukjent aktivitet",IF(AND(INDEX(AktRolle,MATCH(C1466,Aktiviteter,0))&amp;""&lt;&gt;"",ISERROR(SEARCH(INDEX(AktRolle,MATCH(C1466,Aktiviteter,0))&amp;"",INDEX(TekRoller,MATCH(B1466,Teknikere,0))))),"Mangler rollen "&amp;INDEX(AktRolle,MATCH(C1466,Aktiviteter,0))&amp;"",IF(AND(C1466="LMS",F1466&gt;0,OR(D1466="",E1466="")),"Mangler maskin eller arbeid",IF(AND(OR(C1466="LMS",C1466="Mod"),D1466&lt;&gt;""),IF(IFERROR(INDEX(MaskinStatus,MATCH(D1466,Maskiner,0)),"")="I dokk","","Maskinen er ikke i dokk"),""))))))</f>
        <v/>
      </c>
      <c r="L1466" s="2">
        <f>IF(B1466="","",IFERROR(INT((MATCH(B1466,Teknikere,0)-1)/18)+1,""))</f>
        <v/>
      </c>
      <c r="M1466" s="2">
        <f>IF(OR(A1466="",B1466=""),"",B1466&amp;"|"&amp;A1466)</f>
        <v/>
      </c>
      <c r="N1466" s="2">
        <f>IF(M1466="","",SUMIFS(TF_Timer,TF_Nokkel,M1466,TF_Akt,C1466))</f>
        <v/>
      </c>
      <c r="O1466" s="2">
        <f>IF(M1466="","",IF(AND(N1466=_xlfn.MAXIFS(TF_AktSum,TF_Nokkel,M1466),COUNTIFS(M$3:M1465,M1466,N$3:N1465,N1466)=0),M1466,""))</f>
        <v/>
      </c>
    </row>
    <row r="1467">
      <c r="A1467" s="34" t="n"/>
      <c r="B1467" s="35" t="n"/>
      <c r="C1467" s="35" t="n"/>
      <c r="D1467" s="35" t="n"/>
      <c r="E1467" s="35" t="n"/>
      <c r="F1467" s="36" t="n"/>
      <c r="G1467" s="35" t="n"/>
      <c r="H1467" s="30">
        <f>IF(L1467="","",INDEX(SkiftNavn,L1467))</f>
        <v/>
      </c>
      <c r="I1467" s="30">
        <f>IF(OR(A1467="",L1467=""),"",IF(MOD(A1467-INDEX(SkiftStart,L1467),Syklus)&lt;DagK,"Kveld",IF(MOD(A1467-INDEX(SkiftStart,L1467),Syklus)&lt;DagK+DagH,"Helg",IF(MOD(A1467-INDEX(SkiftStart,L1467),Syklus)&lt;DagK+DagH+DagD,"Dag","Fri"))))</f>
        <v/>
      </c>
      <c r="J1467" s="30">
        <f>IF(I1467="Fri","Ja","")</f>
        <v/>
      </c>
      <c r="K1467" s="30">
        <f>IF(B1467="","",IF(L1467="","Ukjent tekniker",IF(ISNA(MATCH(C1467,Aktiviteter,0)),"Ukjent aktivitet",IF(AND(INDEX(AktRolle,MATCH(C1467,Aktiviteter,0))&amp;""&lt;&gt;"",ISERROR(SEARCH(INDEX(AktRolle,MATCH(C1467,Aktiviteter,0))&amp;"",INDEX(TekRoller,MATCH(B1467,Teknikere,0))))),"Mangler rollen "&amp;INDEX(AktRolle,MATCH(C1467,Aktiviteter,0))&amp;"",IF(AND(C1467="LMS",F1467&gt;0,OR(D1467="",E1467="")),"Mangler maskin eller arbeid",IF(AND(OR(C1467="LMS",C1467="Mod"),D1467&lt;&gt;""),IF(IFERROR(INDEX(MaskinStatus,MATCH(D1467,Maskiner,0)),"")="I dokk","","Maskinen er ikke i dokk"),""))))))</f>
        <v/>
      </c>
      <c r="L1467" s="2">
        <f>IF(B1467="","",IFERROR(INT((MATCH(B1467,Teknikere,0)-1)/18)+1,""))</f>
        <v/>
      </c>
      <c r="M1467" s="2">
        <f>IF(OR(A1467="",B1467=""),"",B1467&amp;"|"&amp;A1467)</f>
        <v/>
      </c>
      <c r="N1467" s="2">
        <f>IF(M1467="","",SUMIFS(TF_Timer,TF_Nokkel,M1467,TF_Akt,C1467))</f>
        <v/>
      </c>
      <c r="O1467" s="2">
        <f>IF(M1467="","",IF(AND(N1467=_xlfn.MAXIFS(TF_AktSum,TF_Nokkel,M1467),COUNTIFS(M$3:M1466,M1467,N$3:N1466,N1467)=0),M1467,""))</f>
        <v/>
      </c>
    </row>
    <row r="1468">
      <c r="A1468" s="34" t="n"/>
      <c r="B1468" s="35" t="n"/>
      <c r="C1468" s="35" t="n"/>
      <c r="D1468" s="35" t="n"/>
      <c r="E1468" s="35" t="n"/>
      <c r="F1468" s="36" t="n"/>
      <c r="G1468" s="35" t="n"/>
      <c r="H1468" s="30">
        <f>IF(L1468="","",INDEX(SkiftNavn,L1468))</f>
        <v/>
      </c>
      <c r="I1468" s="30">
        <f>IF(OR(A1468="",L1468=""),"",IF(MOD(A1468-INDEX(SkiftStart,L1468),Syklus)&lt;DagK,"Kveld",IF(MOD(A1468-INDEX(SkiftStart,L1468),Syklus)&lt;DagK+DagH,"Helg",IF(MOD(A1468-INDEX(SkiftStart,L1468),Syklus)&lt;DagK+DagH+DagD,"Dag","Fri"))))</f>
        <v/>
      </c>
      <c r="J1468" s="30">
        <f>IF(I1468="Fri","Ja","")</f>
        <v/>
      </c>
      <c r="K1468" s="30">
        <f>IF(B1468="","",IF(L1468="","Ukjent tekniker",IF(ISNA(MATCH(C1468,Aktiviteter,0)),"Ukjent aktivitet",IF(AND(INDEX(AktRolle,MATCH(C1468,Aktiviteter,0))&amp;""&lt;&gt;"",ISERROR(SEARCH(INDEX(AktRolle,MATCH(C1468,Aktiviteter,0))&amp;"",INDEX(TekRoller,MATCH(B1468,Teknikere,0))))),"Mangler rollen "&amp;INDEX(AktRolle,MATCH(C1468,Aktiviteter,0))&amp;"",IF(AND(C1468="LMS",F1468&gt;0,OR(D1468="",E1468="")),"Mangler maskin eller arbeid",IF(AND(OR(C1468="LMS",C1468="Mod"),D1468&lt;&gt;""),IF(IFERROR(INDEX(MaskinStatus,MATCH(D1468,Maskiner,0)),"")="I dokk","","Maskinen er ikke i dokk"),""))))))</f>
        <v/>
      </c>
      <c r="L1468" s="2">
        <f>IF(B1468="","",IFERROR(INT((MATCH(B1468,Teknikere,0)-1)/18)+1,""))</f>
        <v/>
      </c>
      <c r="M1468" s="2">
        <f>IF(OR(A1468="",B1468=""),"",B1468&amp;"|"&amp;A1468)</f>
        <v/>
      </c>
      <c r="N1468" s="2">
        <f>IF(M1468="","",SUMIFS(TF_Timer,TF_Nokkel,M1468,TF_Akt,C1468))</f>
        <v/>
      </c>
      <c r="O1468" s="2">
        <f>IF(M1468="","",IF(AND(N1468=_xlfn.MAXIFS(TF_AktSum,TF_Nokkel,M1468),COUNTIFS(M$3:M1467,M1468,N$3:N1467,N1468)=0),M1468,""))</f>
        <v/>
      </c>
    </row>
    <row r="1469">
      <c r="A1469" s="34" t="n"/>
      <c r="B1469" s="35" t="n"/>
      <c r="C1469" s="35" t="n"/>
      <c r="D1469" s="35" t="n"/>
      <c r="E1469" s="35" t="n"/>
      <c r="F1469" s="36" t="n"/>
      <c r="G1469" s="35" t="n"/>
      <c r="H1469" s="30">
        <f>IF(L1469="","",INDEX(SkiftNavn,L1469))</f>
        <v/>
      </c>
      <c r="I1469" s="30">
        <f>IF(OR(A1469="",L1469=""),"",IF(MOD(A1469-INDEX(SkiftStart,L1469),Syklus)&lt;DagK,"Kveld",IF(MOD(A1469-INDEX(SkiftStart,L1469),Syklus)&lt;DagK+DagH,"Helg",IF(MOD(A1469-INDEX(SkiftStart,L1469),Syklus)&lt;DagK+DagH+DagD,"Dag","Fri"))))</f>
        <v/>
      </c>
      <c r="J1469" s="30">
        <f>IF(I1469="Fri","Ja","")</f>
        <v/>
      </c>
      <c r="K1469" s="30">
        <f>IF(B1469="","",IF(L1469="","Ukjent tekniker",IF(ISNA(MATCH(C1469,Aktiviteter,0)),"Ukjent aktivitet",IF(AND(INDEX(AktRolle,MATCH(C1469,Aktiviteter,0))&amp;""&lt;&gt;"",ISERROR(SEARCH(INDEX(AktRolle,MATCH(C1469,Aktiviteter,0))&amp;"",INDEX(TekRoller,MATCH(B1469,Teknikere,0))))),"Mangler rollen "&amp;INDEX(AktRolle,MATCH(C1469,Aktiviteter,0))&amp;"",IF(AND(C1469="LMS",F1469&gt;0,OR(D1469="",E1469="")),"Mangler maskin eller arbeid",IF(AND(OR(C1469="LMS",C1469="Mod"),D1469&lt;&gt;""),IF(IFERROR(INDEX(MaskinStatus,MATCH(D1469,Maskiner,0)),"")="I dokk","","Maskinen er ikke i dokk"),""))))))</f>
        <v/>
      </c>
      <c r="L1469" s="2">
        <f>IF(B1469="","",IFERROR(INT((MATCH(B1469,Teknikere,0)-1)/18)+1,""))</f>
        <v/>
      </c>
      <c r="M1469" s="2">
        <f>IF(OR(A1469="",B1469=""),"",B1469&amp;"|"&amp;A1469)</f>
        <v/>
      </c>
      <c r="N1469" s="2">
        <f>IF(M1469="","",SUMIFS(TF_Timer,TF_Nokkel,M1469,TF_Akt,C1469))</f>
        <v/>
      </c>
      <c r="O1469" s="2">
        <f>IF(M1469="","",IF(AND(N1469=_xlfn.MAXIFS(TF_AktSum,TF_Nokkel,M1469),COUNTIFS(M$3:M1468,M1469,N$3:N1468,N1469)=0),M1469,""))</f>
        <v/>
      </c>
    </row>
    <row r="1470">
      <c r="A1470" s="34" t="n"/>
      <c r="B1470" s="35" t="n"/>
      <c r="C1470" s="35" t="n"/>
      <c r="D1470" s="35" t="n"/>
      <c r="E1470" s="35" t="n"/>
      <c r="F1470" s="36" t="n"/>
      <c r="G1470" s="35" t="n"/>
      <c r="H1470" s="30">
        <f>IF(L1470="","",INDEX(SkiftNavn,L1470))</f>
        <v/>
      </c>
      <c r="I1470" s="30">
        <f>IF(OR(A1470="",L1470=""),"",IF(MOD(A1470-INDEX(SkiftStart,L1470),Syklus)&lt;DagK,"Kveld",IF(MOD(A1470-INDEX(SkiftStart,L1470),Syklus)&lt;DagK+DagH,"Helg",IF(MOD(A1470-INDEX(SkiftStart,L1470),Syklus)&lt;DagK+DagH+DagD,"Dag","Fri"))))</f>
        <v/>
      </c>
      <c r="J1470" s="30">
        <f>IF(I1470="Fri","Ja","")</f>
        <v/>
      </c>
      <c r="K1470" s="30">
        <f>IF(B1470="","",IF(L1470="","Ukjent tekniker",IF(ISNA(MATCH(C1470,Aktiviteter,0)),"Ukjent aktivitet",IF(AND(INDEX(AktRolle,MATCH(C1470,Aktiviteter,0))&amp;""&lt;&gt;"",ISERROR(SEARCH(INDEX(AktRolle,MATCH(C1470,Aktiviteter,0))&amp;"",INDEX(TekRoller,MATCH(B1470,Teknikere,0))))),"Mangler rollen "&amp;INDEX(AktRolle,MATCH(C1470,Aktiviteter,0))&amp;"",IF(AND(C1470="LMS",F1470&gt;0,OR(D1470="",E1470="")),"Mangler maskin eller arbeid",IF(AND(OR(C1470="LMS",C1470="Mod"),D1470&lt;&gt;""),IF(IFERROR(INDEX(MaskinStatus,MATCH(D1470,Maskiner,0)),"")="I dokk","","Maskinen er ikke i dokk"),""))))))</f>
        <v/>
      </c>
      <c r="L1470" s="2">
        <f>IF(B1470="","",IFERROR(INT((MATCH(B1470,Teknikere,0)-1)/18)+1,""))</f>
        <v/>
      </c>
      <c r="M1470" s="2">
        <f>IF(OR(A1470="",B1470=""),"",B1470&amp;"|"&amp;A1470)</f>
        <v/>
      </c>
      <c r="N1470" s="2">
        <f>IF(M1470="","",SUMIFS(TF_Timer,TF_Nokkel,M1470,TF_Akt,C1470))</f>
        <v/>
      </c>
      <c r="O1470" s="2">
        <f>IF(M1470="","",IF(AND(N1470=_xlfn.MAXIFS(TF_AktSum,TF_Nokkel,M1470),COUNTIFS(M$3:M1469,M1470,N$3:N1469,N1470)=0),M1470,""))</f>
        <v/>
      </c>
    </row>
    <row r="1471">
      <c r="A1471" s="34" t="n"/>
      <c r="B1471" s="35" t="n"/>
      <c r="C1471" s="35" t="n"/>
      <c r="D1471" s="35" t="n"/>
      <c r="E1471" s="35" t="n"/>
      <c r="F1471" s="36" t="n"/>
      <c r="G1471" s="35" t="n"/>
      <c r="H1471" s="30">
        <f>IF(L1471="","",INDEX(SkiftNavn,L1471))</f>
        <v/>
      </c>
      <c r="I1471" s="30">
        <f>IF(OR(A1471="",L1471=""),"",IF(MOD(A1471-INDEX(SkiftStart,L1471),Syklus)&lt;DagK,"Kveld",IF(MOD(A1471-INDEX(SkiftStart,L1471),Syklus)&lt;DagK+DagH,"Helg",IF(MOD(A1471-INDEX(SkiftStart,L1471),Syklus)&lt;DagK+DagH+DagD,"Dag","Fri"))))</f>
        <v/>
      </c>
      <c r="J1471" s="30">
        <f>IF(I1471="Fri","Ja","")</f>
        <v/>
      </c>
      <c r="K1471" s="30">
        <f>IF(B1471="","",IF(L1471="","Ukjent tekniker",IF(ISNA(MATCH(C1471,Aktiviteter,0)),"Ukjent aktivitet",IF(AND(INDEX(AktRolle,MATCH(C1471,Aktiviteter,0))&amp;""&lt;&gt;"",ISERROR(SEARCH(INDEX(AktRolle,MATCH(C1471,Aktiviteter,0))&amp;"",INDEX(TekRoller,MATCH(B1471,Teknikere,0))))),"Mangler rollen "&amp;INDEX(AktRolle,MATCH(C1471,Aktiviteter,0))&amp;"",IF(AND(C1471="LMS",F1471&gt;0,OR(D1471="",E1471="")),"Mangler maskin eller arbeid",IF(AND(OR(C1471="LMS",C1471="Mod"),D1471&lt;&gt;""),IF(IFERROR(INDEX(MaskinStatus,MATCH(D1471,Maskiner,0)),"")="I dokk","","Maskinen er ikke i dokk"),""))))))</f>
        <v/>
      </c>
      <c r="L1471" s="2">
        <f>IF(B1471="","",IFERROR(INT((MATCH(B1471,Teknikere,0)-1)/18)+1,""))</f>
        <v/>
      </c>
      <c r="M1471" s="2">
        <f>IF(OR(A1471="",B1471=""),"",B1471&amp;"|"&amp;A1471)</f>
        <v/>
      </c>
      <c r="N1471" s="2">
        <f>IF(M1471="","",SUMIFS(TF_Timer,TF_Nokkel,M1471,TF_Akt,C1471))</f>
        <v/>
      </c>
      <c r="O1471" s="2">
        <f>IF(M1471="","",IF(AND(N1471=_xlfn.MAXIFS(TF_AktSum,TF_Nokkel,M1471),COUNTIFS(M$3:M1470,M1471,N$3:N1470,N1471)=0),M1471,""))</f>
        <v/>
      </c>
    </row>
    <row r="1472">
      <c r="A1472" s="34" t="n"/>
      <c r="B1472" s="35" t="n"/>
      <c r="C1472" s="35" t="n"/>
      <c r="D1472" s="35" t="n"/>
      <c r="E1472" s="35" t="n"/>
      <c r="F1472" s="36" t="n"/>
      <c r="G1472" s="35" t="n"/>
      <c r="H1472" s="30">
        <f>IF(L1472="","",INDEX(SkiftNavn,L1472))</f>
        <v/>
      </c>
      <c r="I1472" s="30">
        <f>IF(OR(A1472="",L1472=""),"",IF(MOD(A1472-INDEX(SkiftStart,L1472),Syklus)&lt;DagK,"Kveld",IF(MOD(A1472-INDEX(SkiftStart,L1472),Syklus)&lt;DagK+DagH,"Helg",IF(MOD(A1472-INDEX(SkiftStart,L1472),Syklus)&lt;DagK+DagH+DagD,"Dag","Fri"))))</f>
        <v/>
      </c>
      <c r="J1472" s="30">
        <f>IF(I1472="Fri","Ja","")</f>
        <v/>
      </c>
      <c r="K1472" s="30">
        <f>IF(B1472="","",IF(L1472="","Ukjent tekniker",IF(ISNA(MATCH(C1472,Aktiviteter,0)),"Ukjent aktivitet",IF(AND(INDEX(AktRolle,MATCH(C1472,Aktiviteter,0))&amp;""&lt;&gt;"",ISERROR(SEARCH(INDEX(AktRolle,MATCH(C1472,Aktiviteter,0))&amp;"",INDEX(TekRoller,MATCH(B1472,Teknikere,0))))),"Mangler rollen "&amp;INDEX(AktRolle,MATCH(C1472,Aktiviteter,0))&amp;"",IF(AND(C1472="LMS",F1472&gt;0,OR(D1472="",E1472="")),"Mangler maskin eller arbeid",IF(AND(OR(C1472="LMS",C1472="Mod"),D1472&lt;&gt;""),IF(IFERROR(INDEX(MaskinStatus,MATCH(D1472,Maskiner,0)),"")="I dokk","","Maskinen er ikke i dokk"),""))))))</f>
        <v/>
      </c>
      <c r="L1472" s="2">
        <f>IF(B1472="","",IFERROR(INT((MATCH(B1472,Teknikere,0)-1)/18)+1,""))</f>
        <v/>
      </c>
      <c r="M1472" s="2">
        <f>IF(OR(A1472="",B1472=""),"",B1472&amp;"|"&amp;A1472)</f>
        <v/>
      </c>
      <c r="N1472" s="2">
        <f>IF(M1472="","",SUMIFS(TF_Timer,TF_Nokkel,M1472,TF_Akt,C1472))</f>
        <v/>
      </c>
      <c r="O1472" s="2">
        <f>IF(M1472="","",IF(AND(N1472=_xlfn.MAXIFS(TF_AktSum,TF_Nokkel,M1472),COUNTIFS(M$3:M1471,M1472,N$3:N1471,N1472)=0),M1472,""))</f>
        <v/>
      </c>
    </row>
    <row r="1473">
      <c r="A1473" s="34" t="n"/>
      <c r="B1473" s="35" t="n"/>
      <c r="C1473" s="35" t="n"/>
      <c r="D1473" s="35" t="n"/>
      <c r="E1473" s="35" t="n"/>
      <c r="F1473" s="36" t="n"/>
      <c r="G1473" s="35" t="n"/>
      <c r="H1473" s="30">
        <f>IF(L1473="","",INDEX(SkiftNavn,L1473))</f>
        <v/>
      </c>
      <c r="I1473" s="30">
        <f>IF(OR(A1473="",L1473=""),"",IF(MOD(A1473-INDEX(SkiftStart,L1473),Syklus)&lt;DagK,"Kveld",IF(MOD(A1473-INDEX(SkiftStart,L1473),Syklus)&lt;DagK+DagH,"Helg",IF(MOD(A1473-INDEX(SkiftStart,L1473),Syklus)&lt;DagK+DagH+DagD,"Dag","Fri"))))</f>
        <v/>
      </c>
      <c r="J1473" s="30">
        <f>IF(I1473="Fri","Ja","")</f>
        <v/>
      </c>
      <c r="K1473" s="30">
        <f>IF(B1473="","",IF(L1473="","Ukjent tekniker",IF(ISNA(MATCH(C1473,Aktiviteter,0)),"Ukjent aktivitet",IF(AND(INDEX(AktRolle,MATCH(C1473,Aktiviteter,0))&amp;""&lt;&gt;"",ISERROR(SEARCH(INDEX(AktRolle,MATCH(C1473,Aktiviteter,0))&amp;"",INDEX(TekRoller,MATCH(B1473,Teknikere,0))))),"Mangler rollen "&amp;INDEX(AktRolle,MATCH(C1473,Aktiviteter,0))&amp;"",IF(AND(C1473="LMS",F1473&gt;0,OR(D1473="",E1473="")),"Mangler maskin eller arbeid",IF(AND(OR(C1473="LMS",C1473="Mod"),D1473&lt;&gt;""),IF(IFERROR(INDEX(MaskinStatus,MATCH(D1473,Maskiner,0)),"")="I dokk","","Maskinen er ikke i dokk"),""))))))</f>
        <v/>
      </c>
      <c r="L1473" s="2">
        <f>IF(B1473="","",IFERROR(INT((MATCH(B1473,Teknikere,0)-1)/18)+1,""))</f>
        <v/>
      </c>
      <c r="M1473" s="2">
        <f>IF(OR(A1473="",B1473=""),"",B1473&amp;"|"&amp;A1473)</f>
        <v/>
      </c>
      <c r="N1473" s="2">
        <f>IF(M1473="","",SUMIFS(TF_Timer,TF_Nokkel,M1473,TF_Akt,C1473))</f>
        <v/>
      </c>
      <c r="O1473" s="2">
        <f>IF(M1473="","",IF(AND(N1473=_xlfn.MAXIFS(TF_AktSum,TF_Nokkel,M1473),COUNTIFS(M$3:M1472,M1473,N$3:N1472,N1473)=0),M1473,""))</f>
        <v/>
      </c>
    </row>
    <row r="1474">
      <c r="A1474" s="34" t="n"/>
      <c r="B1474" s="35" t="n"/>
      <c r="C1474" s="35" t="n"/>
      <c r="D1474" s="35" t="n"/>
      <c r="E1474" s="35" t="n"/>
      <c r="F1474" s="36" t="n"/>
      <c r="G1474" s="35" t="n"/>
      <c r="H1474" s="30">
        <f>IF(L1474="","",INDEX(SkiftNavn,L1474))</f>
        <v/>
      </c>
      <c r="I1474" s="30">
        <f>IF(OR(A1474="",L1474=""),"",IF(MOD(A1474-INDEX(SkiftStart,L1474),Syklus)&lt;DagK,"Kveld",IF(MOD(A1474-INDEX(SkiftStart,L1474),Syklus)&lt;DagK+DagH,"Helg",IF(MOD(A1474-INDEX(SkiftStart,L1474),Syklus)&lt;DagK+DagH+DagD,"Dag","Fri"))))</f>
        <v/>
      </c>
      <c r="J1474" s="30">
        <f>IF(I1474="Fri","Ja","")</f>
        <v/>
      </c>
      <c r="K1474" s="30">
        <f>IF(B1474="","",IF(L1474="","Ukjent tekniker",IF(ISNA(MATCH(C1474,Aktiviteter,0)),"Ukjent aktivitet",IF(AND(INDEX(AktRolle,MATCH(C1474,Aktiviteter,0))&amp;""&lt;&gt;"",ISERROR(SEARCH(INDEX(AktRolle,MATCH(C1474,Aktiviteter,0))&amp;"",INDEX(TekRoller,MATCH(B1474,Teknikere,0))))),"Mangler rollen "&amp;INDEX(AktRolle,MATCH(C1474,Aktiviteter,0))&amp;"",IF(AND(C1474="LMS",F1474&gt;0,OR(D1474="",E1474="")),"Mangler maskin eller arbeid",IF(AND(OR(C1474="LMS",C1474="Mod"),D1474&lt;&gt;""),IF(IFERROR(INDEX(MaskinStatus,MATCH(D1474,Maskiner,0)),"")="I dokk","","Maskinen er ikke i dokk"),""))))))</f>
        <v/>
      </c>
      <c r="L1474" s="2">
        <f>IF(B1474="","",IFERROR(INT((MATCH(B1474,Teknikere,0)-1)/18)+1,""))</f>
        <v/>
      </c>
      <c r="M1474" s="2">
        <f>IF(OR(A1474="",B1474=""),"",B1474&amp;"|"&amp;A1474)</f>
        <v/>
      </c>
      <c r="N1474" s="2">
        <f>IF(M1474="","",SUMIFS(TF_Timer,TF_Nokkel,M1474,TF_Akt,C1474))</f>
        <v/>
      </c>
      <c r="O1474" s="2">
        <f>IF(M1474="","",IF(AND(N1474=_xlfn.MAXIFS(TF_AktSum,TF_Nokkel,M1474),COUNTIFS(M$3:M1473,M1474,N$3:N1473,N1474)=0),M1474,""))</f>
        <v/>
      </c>
    </row>
    <row r="1475">
      <c r="A1475" s="34" t="n"/>
      <c r="B1475" s="35" t="n"/>
      <c r="C1475" s="35" t="n"/>
      <c r="D1475" s="35" t="n"/>
      <c r="E1475" s="35" t="n"/>
      <c r="F1475" s="36" t="n"/>
      <c r="G1475" s="35" t="n"/>
      <c r="H1475" s="30">
        <f>IF(L1475="","",INDEX(SkiftNavn,L1475))</f>
        <v/>
      </c>
      <c r="I1475" s="30">
        <f>IF(OR(A1475="",L1475=""),"",IF(MOD(A1475-INDEX(SkiftStart,L1475),Syklus)&lt;DagK,"Kveld",IF(MOD(A1475-INDEX(SkiftStart,L1475),Syklus)&lt;DagK+DagH,"Helg",IF(MOD(A1475-INDEX(SkiftStart,L1475),Syklus)&lt;DagK+DagH+DagD,"Dag","Fri"))))</f>
        <v/>
      </c>
      <c r="J1475" s="30">
        <f>IF(I1475="Fri","Ja","")</f>
        <v/>
      </c>
      <c r="K1475" s="30">
        <f>IF(B1475="","",IF(L1475="","Ukjent tekniker",IF(ISNA(MATCH(C1475,Aktiviteter,0)),"Ukjent aktivitet",IF(AND(INDEX(AktRolle,MATCH(C1475,Aktiviteter,0))&amp;""&lt;&gt;"",ISERROR(SEARCH(INDEX(AktRolle,MATCH(C1475,Aktiviteter,0))&amp;"",INDEX(TekRoller,MATCH(B1475,Teknikere,0))))),"Mangler rollen "&amp;INDEX(AktRolle,MATCH(C1475,Aktiviteter,0))&amp;"",IF(AND(C1475="LMS",F1475&gt;0,OR(D1475="",E1475="")),"Mangler maskin eller arbeid",IF(AND(OR(C1475="LMS",C1475="Mod"),D1475&lt;&gt;""),IF(IFERROR(INDEX(MaskinStatus,MATCH(D1475,Maskiner,0)),"")="I dokk","","Maskinen er ikke i dokk"),""))))))</f>
        <v/>
      </c>
      <c r="L1475" s="2">
        <f>IF(B1475="","",IFERROR(INT((MATCH(B1475,Teknikere,0)-1)/18)+1,""))</f>
        <v/>
      </c>
      <c r="M1475" s="2">
        <f>IF(OR(A1475="",B1475=""),"",B1475&amp;"|"&amp;A1475)</f>
        <v/>
      </c>
      <c r="N1475" s="2">
        <f>IF(M1475="","",SUMIFS(TF_Timer,TF_Nokkel,M1475,TF_Akt,C1475))</f>
        <v/>
      </c>
      <c r="O1475" s="2">
        <f>IF(M1475="","",IF(AND(N1475=_xlfn.MAXIFS(TF_AktSum,TF_Nokkel,M1475),COUNTIFS(M$3:M1474,M1475,N$3:N1474,N1475)=0),M1475,""))</f>
        <v/>
      </c>
    </row>
    <row r="1476">
      <c r="A1476" s="34" t="n"/>
      <c r="B1476" s="35" t="n"/>
      <c r="C1476" s="35" t="n"/>
      <c r="D1476" s="35" t="n"/>
      <c r="E1476" s="35" t="n"/>
      <c r="F1476" s="36" t="n"/>
      <c r="G1476" s="35" t="n"/>
      <c r="H1476" s="30">
        <f>IF(L1476="","",INDEX(SkiftNavn,L1476))</f>
        <v/>
      </c>
      <c r="I1476" s="30">
        <f>IF(OR(A1476="",L1476=""),"",IF(MOD(A1476-INDEX(SkiftStart,L1476),Syklus)&lt;DagK,"Kveld",IF(MOD(A1476-INDEX(SkiftStart,L1476),Syklus)&lt;DagK+DagH,"Helg",IF(MOD(A1476-INDEX(SkiftStart,L1476),Syklus)&lt;DagK+DagH+DagD,"Dag","Fri"))))</f>
        <v/>
      </c>
      <c r="J1476" s="30">
        <f>IF(I1476="Fri","Ja","")</f>
        <v/>
      </c>
      <c r="K1476" s="30">
        <f>IF(B1476="","",IF(L1476="","Ukjent tekniker",IF(ISNA(MATCH(C1476,Aktiviteter,0)),"Ukjent aktivitet",IF(AND(INDEX(AktRolle,MATCH(C1476,Aktiviteter,0))&amp;""&lt;&gt;"",ISERROR(SEARCH(INDEX(AktRolle,MATCH(C1476,Aktiviteter,0))&amp;"",INDEX(TekRoller,MATCH(B1476,Teknikere,0))))),"Mangler rollen "&amp;INDEX(AktRolle,MATCH(C1476,Aktiviteter,0))&amp;"",IF(AND(C1476="LMS",F1476&gt;0,OR(D1476="",E1476="")),"Mangler maskin eller arbeid",IF(AND(OR(C1476="LMS",C1476="Mod"),D1476&lt;&gt;""),IF(IFERROR(INDEX(MaskinStatus,MATCH(D1476,Maskiner,0)),"")="I dokk","","Maskinen er ikke i dokk"),""))))))</f>
        <v/>
      </c>
      <c r="L1476" s="2">
        <f>IF(B1476="","",IFERROR(INT((MATCH(B1476,Teknikere,0)-1)/18)+1,""))</f>
        <v/>
      </c>
      <c r="M1476" s="2">
        <f>IF(OR(A1476="",B1476=""),"",B1476&amp;"|"&amp;A1476)</f>
        <v/>
      </c>
      <c r="N1476" s="2">
        <f>IF(M1476="","",SUMIFS(TF_Timer,TF_Nokkel,M1476,TF_Akt,C1476))</f>
        <v/>
      </c>
      <c r="O1476" s="2">
        <f>IF(M1476="","",IF(AND(N1476=_xlfn.MAXIFS(TF_AktSum,TF_Nokkel,M1476),COUNTIFS(M$3:M1475,M1476,N$3:N1475,N1476)=0),M1476,""))</f>
        <v/>
      </c>
    </row>
    <row r="1477">
      <c r="A1477" s="34" t="n"/>
      <c r="B1477" s="35" t="n"/>
      <c r="C1477" s="35" t="n"/>
      <c r="D1477" s="35" t="n"/>
      <c r="E1477" s="35" t="n"/>
      <c r="F1477" s="36" t="n"/>
      <c r="G1477" s="35" t="n"/>
      <c r="H1477" s="30">
        <f>IF(L1477="","",INDEX(SkiftNavn,L1477))</f>
        <v/>
      </c>
      <c r="I1477" s="30">
        <f>IF(OR(A1477="",L1477=""),"",IF(MOD(A1477-INDEX(SkiftStart,L1477),Syklus)&lt;DagK,"Kveld",IF(MOD(A1477-INDEX(SkiftStart,L1477),Syklus)&lt;DagK+DagH,"Helg",IF(MOD(A1477-INDEX(SkiftStart,L1477),Syklus)&lt;DagK+DagH+DagD,"Dag","Fri"))))</f>
        <v/>
      </c>
      <c r="J1477" s="30">
        <f>IF(I1477="Fri","Ja","")</f>
        <v/>
      </c>
      <c r="K1477" s="30">
        <f>IF(B1477="","",IF(L1477="","Ukjent tekniker",IF(ISNA(MATCH(C1477,Aktiviteter,0)),"Ukjent aktivitet",IF(AND(INDEX(AktRolle,MATCH(C1477,Aktiviteter,0))&amp;""&lt;&gt;"",ISERROR(SEARCH(INDEX(AktRolle,MATCH(C1477,Aktiviteter,0))&amp;"",INDEX(TekRoller,MATCH(B1477,Teknikere,0))))),"Mangler rollen "&amp;INDEX(AktRolle,MATCH(C1477,Aktiviteter,0))&amp;"",IF(AND(C1477="LMS",F1477&gt;0,OR(D1477="",E1477="")),"Mangler maskin eller arbeid",IF(AND(OR(C1477="LMS",C1477="Mod"),D1477&lt;&gt;""),IF(IFERROR(INDEX(MaskinStatus,MATCH(D1477,Maskiner,0)),"")="I dokk","","Maskinen er ikke i dokk"),""))))))</f>
        <v/>
      </c>
      <c r="L1477" s="2">
        <f>IF(B1477="","",IFERROR(INT((MATCH(B1477,Teknikere,0)-1)/18)+1,""))</f>
        <v/>
      </c>
      <c r="M1477" s="2">
        <f>IF(OR(A1477="",B1477=""),"",B1477&amp;"|"&amp;A1477)</f>
        <v/>
      </c>
      <c r="N1477" s="2">
        <f>IF(M1477="","",SUMIFS(TF_Timer,TF_Nokkel,M1477,TF_Akt,C1477))</f>
        <v/>
      </c>
      <c r="O1477" s="2">
        <f>IF(M1477="","",IF(AND(N1477=_xlfn.MAXIFS(TF_AktSum,TF_Nokkel,M1477),COUNTIFS(M$3:M1476,M1477,N$3:N1476,N1477)=0),M1477,""))</f>
        <v/>
      </c>
    </row>
    <row r="1478">
      <c r="A1478" s="34" t="n"/>
      <c r="B1478" s="35" t="n"/>
      <c r="C1478" s="35" t="n"/>
      <c r="D1478" s="35" t="n"/>
      <c r="E1478" s="35" t="n"/>
      <c r="F1478" s="36" t="n"/>
      <c r="G1478" s="35" t="n"/>
      <c r="H1478" s="30">
        <f>IF(L1478="","",INDEX(SkiftNavn,L1478))</f>
        <v/>
      </c>
      <c r="I1478" s="30">
        <f>IF(OR(A1478="",L1478=""),"",IF(MOD(A1478-INDEX(SkiftStart,L1478),Syklus)&lt;DagK,"Kveld",IF(MOD(A1478-INDEX(SkiftStart,L1478),Syklus)&lt;DagK+DagH,"Helg",IF(MOD(A1478-INDEX(SkiftStart,L1478),Syklus)&lt;DagK+DagH+DagD,"Dag","Fri"))))</f>
        <v/>
      </c>
      <c r="J1478" s="30">
        <f>IF(I1478="Fri","Ja","")</f>
        <v/>
      </c>
      <c r="K1478" s="30">
        <f>IF(B1478="","",IF(L1478="","Ukjent tekniker",IF(ISNA(MATCH(C1478,Aktiviteter,0)),"Ukjent aktivitet",IF(AND(INDEX(AktRolle,MATCH(C1478,Aktiviteter,0))&amp;""&lt;&gt;"",ISERROR(SEARCH(INDEX(AktRolle,MATCH(C1478,Aktiviteter,0))&amp;"",INDEX(TekRoller,MATCH(B1478,Teknikere,0))))),"Mangler rollen "&amp;INDEX(AktRolle,MATCH(C1478,Aktiviteter,0))&amp;"",IF(AND(C1478="LMS",F1478&gt;0,OR(D1478="",E1478="")),"Mangler maskin eller arbeid",IF(AND(OR(C1478="LMS",C1478="Mod"),D1478&lt;&gt;""),IF(IFERROR(INDEX(MaskinStatus,MATCH(D1478,Maskiner,0)),"")="I dokk","","Maskinen er ikke i dokk"),""))))))</f>
        <v/>
      </c>
      <c r="L1478" s="2">
        <f>IF(B1478="","",IFERROR(INT((MATCH(B1478,Teknikere,0)-1)/18)+1,""))</f>
        <v/>
      </c>
      <c r="M1478" s="2">
        <f>IF(OR(A1478="",B1478=""),"",B1478&amp;"|"&amp;A1478)</f>
        <v/>
      </c>
      <c r="N1478" s="2">
        <f>IF(M1478="","",SUMIFS(TF_Timer,TF_Nokkel,M1478,TF_Akt,C1478))</f>
        <v/>
      </c>
      <c r="O1478" s="2">
        <f>IF(M1478="","",IF(AND(N1478=_xlfn.MAXIFS(TF_AktSum,TF_Nokkel,M1478),COUNTIFS(M$3:M1477,M1478,N$3:N1477,N1478)=0),M1478,""))</f>
        <v/>
      </c>
    </row>
    <row r="1479">
      <c r="A1479" s="34" t="n"/>
      <c r="B1479" s="35" t="n"/>
      <c r="C1479" s="35" t="n"/>
      <c r="D1479" s="35" t="n"/>
      <c r="E1479" s="35" t="n"/>
      <c r="F1479" s="36" t="n"/>
      <c r="G1479" s="35" t="n"/>
      <c r="H1479" s="30">
        <f>IF(L1479="","",INDEX(SkiftNavn,L1479))</f>
        <v/>
      </c>
      <c r="I1479" s="30">
        <f>IF(OR(A1479="",L1479=""),"",IF(MOD(A1479-INDEX(SkiftStart,L1479),Syklus)&lt;DagK,"Kveld",IF(MOD(A1479-INDEX(SkiftStart,L1479),Syklus)&lt;DagK+DagH,"Helg",IF(MOD(A1479-INDEX(SkiftStart,L1479),Syklus)&lt;DagK+DagH+DagD,"Dag","Fri"))))</f>
        <v/>
      </c>
      <c r="J1479" s="30">
        <f>IF(I1479="Fri","Ja","")</f>
        <v/>
      </c>
      <c r="K1479" s="30">
        <f>IF(B1479="","",IF(L1479="","Ukjent tekniker",IF(ISNA(MATCH(C1479,Aktiviteter,0)),"Ukjent aktivitet",IF(AND(INDEX(AktRolle,MATCH(C1479,Aktiviteter,0))&amp;""&lt;&gt;"",ISERROR(SEARCH(INDEX(AktRolle,MATCH(C1479,Aktiviteter,0))&amp;"",INDEX(TekRoller,MATCH(B1479,Teknikere,0))))),"Mangler rollen "&amp;INDEX(AktRolle,MATCH(C1479,Aktiviteter,0))&amp;"",IF(AND(C1479="LMS",F1479&gt;0,OR(D1479="",E1479="")),"Mangler maskin eller arbeid",IF(AND(OR(C1479="LMS",C1479="Mod"),D1479&lt;&gt;""),IF(IFERROR(INDEX(MaskinStatus,MATCH(D1479,Maskiner,0)),"")="I dokk","","Maskinen er ikke i dokk"),""))))))</f>
        <v/>
      </c>
      <c r="L1479" s="2">
        <f>IF(B1479="","",IFERROR(INT((MATCH(B1479,Teknikere,0)-1)/18)+1,""))</f>
        <v/>
      </c>
      <c r="M1479" s="2">
        <f>IF(OR(A1479="",B1479=""),"",B1479&amp;"|"&amp;A1479)</f>
        <v/>
      </c>
      <c r="N1479" s="2">
        <f>IF(M1479="","",SUMIFS(TF_Timer,TF_Nokkel,M1479,TF_Akt,C1479))</f>
        <v/>
      </c>
      <c r="O1479" s="2">
        <f>IF(M1479="","",IF(AND(N1479=_xlfn.MAXIFS(TF_AktSum,TF_Nokkel,M1479),COUNTIFS(M$3:M1478,M1479,N$3:N1478,N1479)=0),M1479,""))</f>
        <v/>
      </c>
    </row>
    <row r="1480">
      <c r="A1480" s="34" t="n"/>
      <c r="B1480" s="35" t="n"/>
      <c r="C1480" s="35" t="n"/>
      <c r="D1480" s="35" t="n"/>
      <c r="E1480" s="35" t="n"/>
      <c r="F1480" s="36" t="n"/>
      <c r="G1480" s="35" t="n"/>
      <c r="H1480" s="30">
        <f>IF(L1480="","",INDEX(SkiftNavn,L1480))</f>
        <v/>
      </c>
      <c r="I1480" s="30">
        <f>IF(OR(A1480="",L1480=""),"",IF(MOD(A1480-INDEX(SkiftStart,L1480),Syklus)&lt;DagK,"Kveld",IF(MOD(A1480-INDEX(SkiftStart,L1480),Syklus)&lt;DagK+DagH,"Helg",IF(MOD(A1480-INDEX(SkiftStart,L1480),Syklus)&lt;DagK+DagH+DagD,"Dag","Fri"))))</f>
        <v/>
      </c>
      <c r="J1480" s="30">
        <f>IF(I1480="Fri","Ja","")</f>
        <v/>
      </c>
      <c r="K1480" s="30">
        <f>IF(B1480="","",IF(L1480="","Ukjent tekniker",IF(ISNA(MATCH(C1480,Aktiviteter,0)),"Ukjent aktivitet",IF(AND(INDEX(AktRolle,MATCH(C1480,Aktiviteter,0))&amp;""&lt;&gt;"",ISERROR(SEARCH(INDEX(AktRolle,MATCH(C1480,Aktiviteter,0))&amp;"",INDEX(TekRoller,MATCH(B1480,Teknikere,0))))),"Mangler rollen "&amp;INDEX(AktRolle,MATCH(C1480,Aktiviteter,0))&amp;"",IF(AND(C1480="LMS",F1480&gt;0,OR(D1480="",E1480="")),"Mangler maskin eller arbeid",IF(AND(OR(C1480="LMS",C1480="Mod"),D1480&lt;&gt;""),IF(IFERROR(INDEX(MaskinStatus,MATCH(D1480,Maskiner,0)),"")="I dokk","","Maskinen er ikke i dokk"),""))))))</f>
        <v/>
      </c>
      <c r="L1480" s="2">
        <f>IF(B1480="","",IFERROR(INT((MATCH(B1480,Teknikere,0)-1)/18)+1,""))</f>
        <v/>
      </c>
      <c r="M1480" s="2">
        <f>IF(OR(A1480="",B1480=""),"",B1480&amp;"|"&amp;A1480)</f>
        <v/>
      </c>
      <c r="N1480" s="2">
        <f>IF(M1480="","",SUMIFS(TF_Timer,TF_Nokkel,M1480,TF_Akt,C1480))</f>
        <v/>
      </c>
      <c r="O1480" s="2">
        <f>IF(M1480="","",IF(AND(N1480=_xlfn.MAXIFS(TF_AktSum,TF_Nokkel,M1480),COUNTIFS(M$3:M1479,M1480,N$3:N1479,N1480)=0),M1480,""))</f>
        <v/>
      </c>
    </row>
    <row r="1481">
      <c r="A1481" s="34" t="n"/>
      <c r="B1481" s="35" t="n"/>
      <c r="C1481" s="35" t="n"/>
      <c r="D1481" s="35" t="n"/>
      <c r="E1481" s="35" t="n"/>
      <c r="F1481" s="36" t="n"/>
      <c r="G1481" s="35" t="n"/>
      <c r="H1481" s="30">
        <f>IF(L1481="","",INDEX(SkiftNavn,L1481))</f>
        <v/>
      </c>
      <c r="I1481" s="30">
        <f>IF(OR(A1481="",L1481=""),"",IF(MOD(A1481-INDEX(SkiftStart,L1481),Syklus)&lt;DagK,"Kveld",IF(MOD(A1481-INDEX(SkiftStart,L1481),Syklus)&lt;DagK+DagH,"Helg",IF(MOD(A1481-INDEX(SkiftStart,L1481),Syklus)&lt;DagK+DagH+DagD,"Dag","Fri"))))</f>
        <v/>
      </c>
      <c r="J1481" s="30">
        <f>IF(I1481="Fri","Ja","")</f>
        <v/>
      </c>
      <c r="K1481" s="30">
        <f>IF(B1481="","",IF(L1481="","Ukjent tekniker",IF(ISNA(MATCH(C1481,Aktiviteter,0)),"Ukjent aktivitet",IF(AND(INDEX(AktRolle,MATCH(C1481,Aktiviteter,0))&amp;""&lt;&gt;"",ISERROR(SEARCH(INDEX(AktRolle,MATCH(C1481,Aktiviteter,0))&amp;"",INDEX(TekRoller,MATCH(B1481,Teknikere,0))))),"Mangler rollen "&amp;INDEX(AktRolle,MATCH(C1481,Aktiviteter,0))&amp;"",IF(AND(C1481="LMS",F1481&gt;0,OR(D1481="",E1481="")),"Mangler maskin eller arbeid",IF(AND(OR(C1481="LMS",C1481="Mod"),D1481&lt;&gt;""),IF(IFERROR(INDEX(MaskinStatus,MATCH(D1481,Maskiner,0)),"")="I dokk","","Maskinen er ikke i dokk"),""))))))</f>
        <v/>
      </c>
      <c r="L1481" s="2">
        <f>IF(B1481="","",IFERROR(INT((MATCH(B1481,Teknikere,0)-1)/18)+1,""))</f>
        <v/>
      </c>
      <c r="M1481" s="2">
        <f>IF(OR(A1481="",B1481=""),"",B1481&amp;"|"&amp;A1481)</f>
        <v/>
      </c>
      <c r="N1481" s="2">
        <f>IF(M1481="","",SUMIFS(TF_Timer,TF_Nokkel,M1481,TF_Akt,C1481))</f>
        <v/>
      </c>
      <c r="O1481" s="2">
        <f>IF(M1481="","",IF(AND(N1481=_xlfn.MAXIFS(TF_AktSum,TF_Nokkel,M1481),COUNTIFS(M$3:M1480,M1481,N$3:N1480,N1481)=0),M1481,""))</f>
        <v/>
      </c>
    </row>
    <row r="1482">
      <c r="A1482" s="34" t="n"/>
      <c r="B1482" s="35" t="n"/>
      <c r="C1482" s="35" t="n"/>
      <c r="D1482" s="35" t="n"/>
      <c r="E1482" s="35" t="n"/>
      <c r="F1482" s="36" t="n"/>
      <c r="G1482" s="35" t="n"/>
      <c r="H1482" s="30">
        <f>IF(L1482="","",INDEX(SkiftNavn,L1482))</f>
        <v/>
      </c>
      <c r="I1482" s="30">
        <f>IF(OR(A1482="",L1482=""),"",IF(MOD(A1482-INDEX(SkiftStart,L1482),Syklus)&lt;DagK,"Kveld",IF(MOD(A1482-INDEX(SkiftStart,L1482),Syklus)&lt;DagK+DagH,"Helg",IF(MOD(A1482-INDEX(SkiftStart,L1482),Syklus)&lt;DagK+DagH+DagD,"Dag","Fri"))))</f>
        <v/>
      </c>
      <c r="J1482" s="30">
        <f>IF(I1482="Fri","Ja","")</f>
        <v/>
      </c>
      <c r="K1482" s="30">
        <f>IF(B1482="","",IF(L1482="","Ukjent tekniker",IF(ISNA(MATCH(C1482,Aktiviteter,0)),"Ukjent aktivitet",IF(AND(INDEX(AktRolle,MATCH(C1482,Aktiviteter,0))&amp;""&lt;&gt;"",ISERROR(SEARCH(INDEX(AktRolle,MATCH(C1482,Aktiviteter,0))&amp;"",INDEX(TekRoller,MATCH(B1482,Teknikere,0))))),"Mangler rollen "&amp;INDEX(AktRolle,MATCH(C1482,Aktiviteter,0))&amp;"",IF(AND(C1482="LMS",F1482&gt;0,OR(D1482="",E1482="")),"Mangler maskin eller arbeid",IF(AND(OR(C1482="LMS",C1482="Mod"),D1482&lt;&gt;""),IF(IFERROR(INDEX(MaskinStatus,MATCH(D1482,Maskiner,0)),"")="I dokk","","Maskinen er ikke i dokk"),""))))))</f>
        <v/>
      </c>
      <c r="L1482" s="2">
        <f>IF(B1482="","",IFERROR(INT((MATCH(B1482,Teknikere,0)-1)/18)+1,""))</f>
        <v/>
      </c>
      <c r="M1482" s="2">
        <f>IF(OR(A1482="",B1482=""),"",B1482&amp;"|"&amp;A1482)</f>
        <v/>
      </c>
      <c r="N1482" s="2">
        <f>IF(M1482="","",SUMIFS(TF_Timer,TF_Nokkel,M1482,TF_Akt,C1482))</f>
        <v/>
      </c>
      <c r="O1482" s="2">
        <f>IF(M1482="","",IF(AND(N1482=_xlfn.MAXIFS(TF_AktSum,TF_Nokkel,M1482),COUNTIFS(M$3:M1481,M1482,N$3:N1481,N1482)=0),M1482,""))</f>
        <v/>
      </c>
    </row>
    <row r="1483">
      <c r="A1483" s="34" t="n"/>
      <c r="B1483" s="35" t="n"/>
      <c r="C1483" s="35" t="n"/>
      <c r="D1483" s="35" t="n"/>
      <c r="E1483" s="35" t="n"/>
      <c r="F1483" s="36" t="n"/>
      <c r="G1483" s="35" t="n"/>
      <c r="H1483" s="30">
        <f>IF(L1483="","",INDEX(SkiftNavn,L1483))</f>
        <v/>
      </c>
      <c r="I1483" s="30">
        <f>IF(OR(A1483="",L1483=""),"",IF(MOD(A1483-INDEX(SkiftStart,L1483),Syklus)&lt;DagK,"Kveld",IF(MOD(A1483-INDEX(SkiftStart,L1483),Syklus)&lt;DagK+DagH,"Helg",IF(MOD(A1483-INDEX(SkiftStart,L1483),Syklus)&lt;DagK+DagH+DagD,"Dag","Fri"))))</f>
        <v/>
      </c>
      <c r="J1483" s="30">
        <f>IF(I1483="Fri","Ja","")</f>
        <v/>
      </c>
      <c r="K1483" s="30">
        <f>IF(B1483="","",IF(L1483="","Ukjent tekniker",IF(ISNA(MATCH(C1483,Aktiviteter,0)),"Ukjent aktivitet",IF(AND(INDEX(AktRolle,MATCH(C1483,Aktiviteter,0))&amp;""&lt;&gt;"",ISERROR(SEARCH(INDEX(AktRolle,MATCH(C1483,Aktiviteter,0))&amp;"",INDEX(TekRoller,MATCH(B1483,Teknikere,0))))),"Mangler rollen "&amp;INDEX(AktRolle,MATCH(C1483,Aktiviteter,0))&amp;"",IF(AND(C1483="LMS",F1483&gt;0,OR(D1483="",E1483="")),"Mangler maskin eller arbeid",IF(AND(OR(C1483="LMS",C1483="Mod"),D1483&lt;&gt;""),IF(IFERROR(INDEX(MaskinStatus,MATCH(D1483,Maskiner,0)),"")="I dokk","","Maskinen er ikke i dokk"),""))))))</f>
        <v/>
      </c>
      <c r="L1483" s="2">
        <f>IF(B1483="","",IFERROR(INT((MATCH(B1483,Teknikere,0)-1)/18)+1,""))</f>
        <v/>
      </c>
      <c r="M1483" s="2">
        <f>IF(OR(A1483="",B1483=""),"",B1483&amp;"|"&amp;A1483)</f>
        <v/>
      </c>
      <c r="N1483" s="2">
        <f>IF(M1483="","",SUMIFS(TF_Timer,TF_Nokkel,M1483,TF_Akt,C1483))</f>
        <v/>
      </c>
      <c r="O1483" s="2">
        <f>IF(M1483="","",IF(AND(N1483=_xlfn.MAXIFS(TF_AktSum,TF_Nokkel,M1483),COUNTIFS(M$3:M1482,M1483,N$3:N1482,N1483)=0),M1483,""))</f>
        <v/>
      </c>
    </row>
    <row r="1484">
      <c r="A1484" s="34" t="n"/>
      <c r="B1484" s="35" t="n"/>
      <c r="C1484" s="35" t="n"/>
      <c r="D1484" s="35" t="n"/>
      <c r="E1484" s="35" t="n"/>
      <c r="F1484" s="36" t="n"/>
      <c r="G1484" s="35" t="n"/>
      <c r="H1484" s="30">
        <f>IF(L1484="","",INDEX(SkiftNavn,L1484))</f>
        <v/>
      </c>
      <c r="I1484" s="30">
        <f>IF(OR(A1484="",L1484=""),"",IF(MOD(A1484-INDEX(SkiftStart,L1484),Syklus)&lt;DagK,"Kveld",IF(MOD(A1484-INDEX(SkiftStart,L1484),Syklus)&lt;DagK+DagH,"Helg",IF(MOD(A1484-INDEX(SkiftStart,L1484),Syklus)&lt;DagK+DagH+DagD,"Dag","Fri"))))</f>
        <v/>
      </c>
      <c r="J1484" s="30">
        <f>IF(I1484="Fri","Ja","")</f>
        <v/>
      </c>
      <c r="K1484" s="30">
        <f>IF(B1484="","",IF(L1484="","Ukjent tekniker",IF(ISNA(MATCH(C1484,Aktiviteter,0)),"Ukjent aktivitet",IF(AND(INDEX(AktRolle,MATCH(C1484,Aktiviteter,0))&amp;""&lt;&gt;"",ISERROR(SEARCH(INDEX(AktRolle,MATCH(C1484,Aktiviteter,0))&amp;"",INDEX(TekRoller,MATCH(B1484,Teknikere,0))))),"Mangler rollen "&amp;INDEX(AktRolle,MATCH(C1484,Aktiviteter,0))&amp;"",IF(AND(C1484="LMS",F1484&gt;0,OR(D1484="",E1484="")),"Mangler maskin eller arbeid",IF(AND(OR(C1484="LMS",C1484="Mod"),D1484&lt;&gt;""),IF(IFERROR(INDEX(MaskinStatus,MATCH(D1484,Maskiner,0)),"")="I dokk","","Maskinen er ikke i dokk"),""))))))</f>
        <v/>
      </c>
      <c r="L1484" s="2">
        <f>IF(B1484="","",IFERROR(INT((MATCH(B1484,Teknikere,0)-1)/18)+1,""))</f>
        <v/>
      </c>
      <c r="M1484" s="2">
        <f>IF(OR(A1484="",B1484=""),"",B1484&amp;"|"&amp;A1484)</f>
        <v/>
      </c>
      <c r="N1484" s="2">
        <f>IF(M1484="","",SUMIFS(TF_Timer,TF_Nokkel,M1484,TF_Akt,C1484))</f>
        <v/>
      </c>
      <c r="O1484" s="2">
        <f>IF(M1484="","",IF(AND(N1484=_xlfn.MAXIFS(TF_AktSum,TF_Nokkel,M1484),COUNTIFS(M$3:M1483,M1484,N$3:N1483,N1484)=0),M1484,""))</f>
        <v/>
      </c>
    </row>
    <row r="1485">
      <c r="A1485" s="34" t="n"/>
      <c r="B1485" s="35" t="n"/>
      <c r="C1485" s="35" t="n"/>
      <c r="D1485" s="35" t="n"/>
      <c r="E1485" s="35" t="n"/>
      <c r="F1485" s="36" t="n"/>
      <c r="G1485" s="35" t="n"/>
      <c r="H1485" s="30">
        <f>IF(L1485="","",INDEX(SkiftNavn,L1485))</f>
        <v/>
      </c>
      <c r="I1485" s="30">
        <f>IF(OR(A1485="",L1485=""),"",IF(MOD(A1485-INDEX(SkiftStart,L1485),Syklus)&lt;DagK,"Kveld",IF(MOD(A1485-INDEX(SkiftStart,L1485),Syklus)&lt;DagK+DagH,"Helg",IF(MOD(A1485-INDEX(SkiftStart,L1485),Syklus)&lt;DagK+DagH+DagD,"Dag","Fri"))))</f>
        <v/>
      </c>
      <c r="J1485" s="30">
        <f>IF(I1485="Fri","Ja","")</f>
        <v/>
      </c>
      <c r="K1485" s="30">
        <f>IF(B1485="","",IF(L1485="","Ukjent tekniker",IF(ISNA(MATCH(C1485,Aktiviteter,0)),"Ukjent aktivitet",IF(AND(INDEX(AktRolle,MATCH(C1485,Aktiviteter,0))&amp;""&lt;&gt;"",ISERROR(SEARCH(INDEX(AktRolle,MATCH(C1485,Aktiviteter,0))&amp;"",INDEX(TekRoller,MATCH(B1485,Teknikere,0))))),"Mangler rollen "&amp;INDEX(AktRolle,MATCH(C1485,Aktiviteter,0))&amp;"",IF(AND(C1485="LMS",F1485&gt;0,OR(D1485="",E1485="")),"Mangler maskin eller arbeid",IF(AND(OR(C1485="LMS",C1485="Mod"),D1485&lt;&gt;""),IF(IFERROR(INDEX(MaskinStatus,MATCH(D1485,Maskiner,0)),"")="I dokk","","Maskinen er ikke i dokk"),""))))))</f>
        <v/>
      </c>
      <c r="L1485" s="2">
        <f>IF(B1485="","",IFERROR(INT((MATCH(B1485,Teknikere,0)-1)/18)+1,""))</f>
        <v/>
      </c>
      <c r="M1485" s="2">
        <f>IF(OR(A1485="",B1485=""),"",B1485&amp;"|"&amp;A1485)</f>
        <v/>
      </c>
      <c r="N1485" s="2">
        <f>IF(M1485="","",SUMIFS(TF_Timer,TF_Nokkel,M1485,TF_Akt,C1485))</f>
        <v/>
      </c>
      <c r="O1485" s="2">
        <f>IF(M1485="","",IF(AND(N1485=_xlfn.MAXIFS(TF_AktSum,TF_Nokkel,M1485),COUNTIFS(M$3:M1484,M1485,N$3:N1484,N1485)=0),M1485,""))</f>
        <v/>
      </c>
    </row>
    <row r="1486">
      <c r="A1486" s="34" t="n"/>
      <c r="B1486" s="35" t="n"/>
      <c r="C1486" s="35" t="n"/>
      <c r="D1486" s="35" t="n"/>
      <c r="E1486" s="35" t="n"/>
      <c r="F1486" s="36" t="n"/>
      <c r="G1486" s="35" t="n"/>
      <c r="H1486" s="30">
        <f>IF(L1486="","",INDEX(SkiftNavn,L1486))</f>
        <v/>
      </c>
      <c r="I1486" s="30">
        <f>IF(OR(A1486="",L1486=""),"",IF(MOD(A1486-INDEX(SkiftStart,L1486),Syklus)&lt;DagK,"Kveld",IF(MOD(A1486-INDEX(SkiftStart,L1486),Syklus)&lt;DagK+DagH,"Helg",IF(MOD(A1486-INDEX(SkiftStart,L1486),Syklus)&lt;DagK+DagH+DagD,"Dag","Fri"))))</f>
        <v/>
      </c>
      <c r="J1486" s="30">
        <f>IF(I1486="Fri","Ja","")</f>
        <v/>
      </c>
      <c r="K1486" s="30">
        <f>IF(B1486="","",IF(L1486="","Ukjent tekniker",IF(ISNA(MATCH(C1486,Aktiviteter,0)),"Ukjent aktivitet",IF(AND(INDEX(AktRolle,MATCH(C1486,Aktiviteter,0))&amp;""&lt;&gt;"",ISERROR(SEARCH(INDEX(AktRolle,MATCH(C1486,Aktiviteter,0))&amp;"",INDEX(TekRoller,MATCH(B1486,Teknikere,0))))),"Mangler rollen "&amp;INDEX(AktRolle,MATCH(C1486,Aktiviteter,0))&amp;"",IF(AND(C1486="LMS",F1486&gt;0,OR(D1486="",E1486="")),"Mangler maskin eller arbeid",IF(AND(OR(C1486="LMS",C1486="Mod"),D1486&lt;&gt;""),IF(IFERROR(INDEX(MaskinStatus,MATCH(D1486,Maskiner,0)),"")="I dokk","","Maskinen er ikke i dokk"),""))))))</f>
        <v/>
      </c>
      <c r="L1486" s="2">
        <f>IF(B1486="","",IFERROR(INT((MATCH(B1486,Teknikere,0)-1)/18)+1,""))</f>
        <v/>
      </c>
      <c r="M1486" s="2">
        <f>IF(OR(A1486="",B1486=""),"",B1486&amp;"|"&amp;A1486)</f>
        <v/>
      </c>
      <c r="N1486" s="2">
        <f>IF(M1486="","",SUMIFS(TF_Timer,TF_Nokkel,M1486,TF_Akt,C1486))</f>
        <v/>
      </c>
      <c r="O1486" s="2">
        <f>IF(M1486="","",IF(AND(N1486=_xlfn.MAXIFS(TF_AktSum,TF_Nokkel,M1486),COUNTIFS(M$3:M1485,M1486,N$3:N1485,N1486)=0),M1486,""))</f>
        <v/>
      </c>
    </row>
    <row r="1487">
      <c r="A1487" s="34" t="n"/>
      <c r="B1487" s="35" t="n"/>
      <c r="C1487" s="35" t="n"/>
      <c r="D1487" s="35" t="n"/>
      <c r="E1487" s="35" t="n"/>
      <c r="F1487" s="36" t="n"/>
      <c r="G1487" s="35" t="n"/>
      <c r="H1487" s="30">
        <f>IF(L1487="","",INDEX(SkiftNavn,L1487))</f>
        <v/>
      </c>
      <c r="I1487" s="30">
        <f>IF(OR(A1487="",L1487=""),"",IF(MOD(A1487-INDEX(SkiftStart,L1487),Syklus)&lt;DagK,"Kveld",IF(MOD(A1487-INDEX(SkiftStart,L1487),Syklus)&lt;DagK+DagH,"Helg",IF(MOD(A1487-INDEX(SkiftStart,L1487),Syklus)&lt;DagK+DagH+DagD,"Dag","Fri"))))</f>
        <v/>
      </c>
      <c r="J1487" s="30">
        <f>IF(I1487="Fri","Ja","")</f>
        <v/>
      </c>
      <c r="K1487" s="30">
        <f>IF(B1487="","",IF(L1487="","Ukjent tekniker",IF(ISNA(MATCH(C1487,Aktiviteter,0)),"Ukjent aktivitet",IF(AND(INDEX(AktRolle,MATCH(C1487,Aktiviteter,0))&amp;""&lt;&gt;"",ISERROR(SEARCH(INDEX(AktRolle,MATCH(C1487,Aktiviteter,0))&amp;"",INDEX(TekRoller,MATCH(B1487,Teknikere,0))))),"Mangler rollen "&amp;INDEX(AktRolle,MATCH(C1487,Aktiviteter,0))&amp;"",IF(AND(C1487="LMS",F1487&gt;0,OR(D1487="",E1487="")),"Mangler maskin eller arbeid",IF(AND(OR(C1487="LMS",C1487="Mod"),D1487&lt;&gt;""),IF(IFERROR(INDEX(MaskinStatus,MATCH(D1487,Maskiner,0)),"")="I dokk","","Maskinen er ikke i dokk"),""))))))</f>
        <v/>
      </c>
      <c r="L1487" s="2">
        <f>IF(B1487="","",IFERROR(INT((MATCH(B1487,Teknikere,0)-1)/18)+1,""))</f>
        <v/>
      </c>
      <c r="M1487" s="2">
        <f>IF(OR(A1487="",B1487=""),"",B1487&amp;"|"&amp;A1487)</f>
        <v/>
      </c>
      <c r="N1487" s="2">
        <f>IF(M1487="","",SUMIFS(TF_Timer,TF_Nokkel,M1487,TF_Akt,C1487))</f>
        <v/>
      </c>
      <c r="O1487" s="2">
        <f>IF(M1487="","",IF(AND(N1487=_xlfn.MAXIFS(TF_AktSum,TF_Nokkel,M1487),COUNTIFS(M$3:M1486,M1487,N$3:N1486,N1487)=0),M1487,""))</f>
        <v/>
      </c>
    </row>
    <row r="1488">
      <c r="A1488" s="34" t="n"/>
      <c r="B1488" s="35" t="n"/>
      <c r="C1488" s="35" t="n"/>
      <c r="D1488" s="35" t="n"/>
      <c r="E1488" s="35" t="n"/>
      <c r="F1488" s="36" t="n"/>
      <c r="G1488" s="35" t="n"/>
      <c r="H1488" s="30">
        <f>IF(L1488="","",INDEX(SkiftNavn,L1488))</f>
        <v/>
      </c>
      <c r="I1488" s="30">
        <f>IF(OR(A1488="",L1488=""),"",IF(MOD(A1488-INDEX(SkiftStart,L1488),Syklus)&lt;DagK,"Kveld",IF(MOD(A1488-INDEX(SkiftStart,L1488),Syklus)&lt;DagK+DagH,"Helg",IF(MOD(A1488-INDEX(SkiftStart,L1488),Syklus)&lt;DagK+DagH+DagD,"Dag","Fri"))))</f>
        <v/>
      </c>
      <c r="J1488" s="30">
        <f>IF(I1488="Fri","Ja","")</f>
        <v/>
      </c>
      <c r="K1488" s="30">
        <f>IF(B1488="","",IF(L1488="","Ukjent tekniker",IF(ISNA(MATCH(C1488,Aktiviteter,0)),"Ukjent aktivitet",IF(AND(INDEX(AktRolle,MATCH(C1488,Aktiviteter,0))&amp;""&lt;&gt;"",ISERROR(SEARCH(INDEX(AktRolle,MATCH(C1488,Aktiviteter,0))&amp;"",INDEX(TekRoller,MATCH(B1488,Teknikere,0))))),"Mangler rollen "&amp;INDEX(AktRolle,MATCH(C1488,Aktiviteter,0))&amp;"",IF(AND(C1488="LMS",F1488&gt;0,OR(D1488="",E1488="")),"Mangler maskin eller arbeid",IF(AND(OR(C1488="LMS",C1488="Mod"),D1488&lt;&gt;""),IF(IFERROR(INDEX(MaskinStatus,MATCH(D1488,Maskiner,0)),"")="I dokk","","Maskinen er ikke i dokk"),""))))))</f>
        <v/>
      </c>
      <c r="L1488" s="2">
        <f>IF(B1488="","",IFERROR(INT((MATCH(B1488,Teknikere,0)-1)/18)+1,""))</f>
        <v/>
      </c>
      <c r="M1488" s="2">
        <f>IF(OR(A1488="",B1488=""),"",B1488&amp;"|"&amp;A1488)</f>
        <v/>
      </c>
      <c r="N1488" s="2">
        <f>IF(M1488="","",SUMIFS(TF_Timer,TF_Nokkel,M1488,TF_Akt,C1488))</f>
        <v/>
      </c>
      <c r="O1488" s="2">
        <f>IF(M1488="","",IF(AND(N1488=_xlfn.MAXIFS(TF_AktSum,TF_Nokkel,M1488),COUNTIFS(M$3:M1487,M1488,N$3:N1487,N1488)=0),M1488,""))</f>
        <v/>
      </c>
    </row>
    <row r="1489">
      <c r="A1489" s="34" t="n"/>
      <c r="B1489" s="35" t="n"/>
      <c r="C1489" s="35" t="n"/>
      <c r="D1489" s="35" t="n"/>
      <c r="E1489" s="35" t="n"/>
      <c r="F1489" s="36" t="n"/>
      <c r="G1489" s="35" t="n"/>
      <c r="H1489" s="30">
        <f>IF(L1489="","",INDEX(SkiftNavn,L1489))</f>
        <v/>
      </c>
      <c r="I1489" s="30">
        <f>IF(OR(A1489="",L1489=""),"",IF(MOD(A1489-INDEX(SkiftStart,L1489),Syklus)&lt;DagK,"Kveld",IF(MOD(A1489-INDEX(SkiftStart,L1489),Syklus)&lt;DagK+DagH,"Helg",IF(MOD(A1489-INDEX(SkiftStart,L1489),Syklus)&lt;DagK+DagH+DagD,"Dag","Fri"))))</f>
        <v/>
      </c>
      <c r="J1489" s="30">
        <f>IF(I1489="Fri","Ja","")</f>
        <v/>
      </c>
      <c r="K1489" s="30">
        <f>IF(B1489="","",IF(L1489="","Ukjent tekniker",IF(ISNA(MATCH(C1489,Aktiviteter,0)),"Ukjent aktivitet",IF(AND(INDEX(AktRolle,MATCH(C1489,Aktiviteter,0))&amp;""&lt;&gt;"",ISERROR(SEARCH(INDEX(AktRolle,MATCH(C1489,Aktiviteter,0))&amp;"",INDEX(TekRoller,MATCH(B1489,Teknikere,0))))),"Mangler rollen "&amp;INDEX(AktRolle,MATCH(C1489,Aktiviteter,0))&amp;"",IF(AND(C1489="LMS",F1489&gt;0,OR(D1489="",E1489="")),"Mangler maskin eller arbeid",IF(AND(OR(C1489="LMS",C1489="Mod"),D1489&lt;&gt;""),IF(IFERROR(INDEX(MaskinStatus,MATCH(D1489,Maskiner,0)),"")="I dokk","","Maskinen er ikke i dokk"),""))))))</f>
        <v/>
      </c>
      <c r="L1489" s="2">
        <f>IF(B1489="","",IFERROR(INT((MATCH(B1489,Teknikere,0)-1)/18)+1,""))</f>
        <v/>
      </c>
      <c r="M1489" s="2">
        <f>IF(OR(A1489="",B1489=""),"",B1489&amp;"|"&amp;A1489)</f>
        <v/>
      </c>
      <c r="N1489" s="2">
        <f>IF(M1489="","",SUMIFS(TF_Timer,TF_Nokkel,M1489,TF_Akt,C1489))</f>
        <v/>
      </c>
      <c r="O1489" s="2">
        <f>IF(M1489="","",IF(AND(N1489=_xlfn.MAXIFS(TF_AktSum,TF_Nokkel,M1489),COUNTIFS(M$3:M1488,M1489,N$3:N1488,N1489)=0),M1489,""))</f>
        <v/>
      </c>
    </row>
    <row r="1490">
      <c r="A1490" s="34" t="n"/>
      <c r="B1490" s="35" t="n"/>
      <c r="C1490" s="35" t="n"/>
      <c r="D1490" s="35" t="n"/>
      <c r="E1490" s="35" t="n"/>
      <c r="F1490" s="36" t="n"/>
      <c r="G1490" s="35" t="n"/>
      <c r="H1490" s="30">
        <f>IF(L1490="","",INDEX(SkiftNavn,L1490))</f>
        <v/>
      </c>
      <c r="I1490" s="30">
        <f>IF(OR(A1490="",L1490=""),"",IF(MOD(A1490-INDEX(SkiftStart,L1490),Syklus)&lt;DagK,"Kveld",IF(MOD(A1490-INDEX(SkiftStart,L1490),Syklus)&lt;DagK+DagH,"Helg",IF(MOD(A1490-INDEX(SkiftStart,L1490),Syklus)&lt;DagK+DagH+DagD,"Dag","Fri"))))</f>
        <v/>
      </c>
      <c r="J1490" s="30">
        <f>IF(I1490="Fri","Ja","")</f>
        <v/>
      </c>
      <c r="K1490" s="30">
        <f>IF(B1490="","",IF(L1490="","Ukjent tekniker",IF(ISNA(MATCH(C1490,Aktiviteter,0)),"Ukjent aktivitet",IF(AND(INDEX(AktRolle,MATCH(C1490,Aktiviteter,0))&amp;""&lt;&gt;"",ISERROR(SEARCH(INDEX(AktRolle,MATCH(C1490,Aktiviteter,0))&amp;"",INDEX(TekRoller,MATCH(B1490,Teknikere,0))))),"Mangler rollen "&amp;INDEX(AktRolle,MATCH(C1490,Aktiviteter,0))&amp;"",IF(AND(C1490="LMS",F1490&gt;0,OR(D1490="",E1490="")),"Mangler maskin eller arbeid",IF(AND(OR(C1490="LMS",C1490="Mod"),D1490&lt;&gt;""),IF(IFERROR(INDEX(MaskinStatus,MATCH(D1490,Maskiner,0)),"")="I dokk","","Maskinen er ikke i dokk"),""))))))</f>
        <v/>
      </c>
      <c r="L1490" s="2">
        <f>IF(B1490="","",IFERROR(INT((MATCH(B1490,Teknikere,0)-1)/18)+1,""))</f>
        <v/>
      </c>
      <c r="M1490" s="2">
        <f>IF(OR(A1490="",B1490=""),"",B1490&amp;"|"&amp;A1490)</f>
        <v/>
      </c>
      <c r="N1490" s="2">
        <f>IF(M1490="","",SUMIFS(TF_Timer,TF_Nokkel,M1490,TF_Akt,C1490))</f>
        <v/>
      </c>
      <c r="O1490" s="2">
        <f>IF(M1490="","",IF(AND(N1490=_xlfn.MAXIFS(TF_AktSum,TF_Nokkel,M1490),COUNTIFS(M$3:M1489,M1490,N$3:N1489,N1490)=0),M1490,""))</f>
        <v/>
      </c>
    </row>
    <row r="1491">
      <c r="A1491" s="34" t="n"/>
      <c r="B1491" s="35" t="n"/>
      <c r="C1491" s="35" t="n"/>
      <c r="D1491" s="35" t="n"/>
      <c r="E1491" s="35" t="n"/>
      <c r="F1491" s="36" t="n"/>
      <c r="G1491" s="35" t="n"/>
      <c r="H1491" s="30">
        <f>IF(L1491="","",INDEX(SkiftNavn,L1491))</f>
        <v/>
      </c>
      <c r="I1491" s="30">
        <f>IF(OR(A1491="",L1491=""),"",IF(MOD(A1491-INDEX(SkiftStart,L1491),Syklus)&lt;DagK,"Kveld",IF(MOD(A1491-INDEX(SkiftStart,L1491),Syklus)&lt;DagK+DagH,"Helg",IF(MOD(A1491-INDEX(SkiftStart,L1491),Syklus)&lt;DagK+DagH+DagD,"Dag","Fri"))))</f>
        <v/>
      </c>
      <c r="J1491" s="30">
        <f>IF(I1491="Fri","Ja","")</f>
        <v/>
      </c>
      <c r="K1491" s="30">
        <f>IF(B1491="","",IF(L1491="","Ukjent tekniker",IF(ISNA(MATCH(C1491,Aktiviteter,0)),"Ukjent aktivitet",IF(AND(INDEX(AktRolle,MATCH(C1491,Aktiviteter,0))&amp;""&lt;&gt;"",ISERROR(SEARCH(INDEX(AktRolle,MATCH(C1491,Aktiviteter,0))&amp;"",INDEX(TekRoller,MATCH(B1491,Teknikere,0))))),"Mangler rollen "&amp;INDEX(AktRolle,MATCH(C1491,Aktiviteter,0))&amp;"",IF(AND(C1491="LMS",F1491&gt;0,OR(D1491="",E1491="")),"Mangler maskin eller arbeid",IF(AND(OR(C1491="LMS",C1491="Mod"),D1491&lt;&gt;""),IF(IFERROR(INDEX(MaskinStatus,MATCH(D1491,Maskiner,0)),"")="I dokk","","Maskinen er ikke i dokk"),""))))))</f>
        <v/>
      </c>
      <c r="L1491" s="2">
        <f>IF(B1491="","",IFERROR(INT((MATCH(B1491,Teknikere,0)-1)/18)+1,""))</f>
        <v/>
      </c>
      <c r="M1491" s="2">
        <f>IF(OR(A1491="",B1491=""),"",B1491&amp;"|"&amp;A1491)</f>
        <v/>
      </c>
      <c r="N1491" s="2">
        <f>IF(M1491="","",SUMIFS(TF_Timer,TF_Nokkel,M1491,TF_Akt,C1491))</f>
        <v/>
      </c>
      <c r="O1491" s="2">
        <f>IF(M1491="","",IF(AND(N1491=_xlfn.MAXIFS(TF_AktSum,TF_Nokkel,M1491),COUNTIFS(M$3:M1490,M1491,N$3:N1490,N1491)=0),M1491,""))</f>
        <v/>
      </c>
    </row>
    <row r="1492">
      <c r="A1492" s="34" t="n"/>
      <c r="B1492" s="35" t="n"/>
      <c r="C1492" s="35" t="n"/>
      <c r="D1492" s="35" t="n"/>
      <c r="E1492" s="35" t="n"/>
      <c r="F1492" s="36" t="n"/>
      <c r="G1492" s="35" t="n"/>
      <c r="H1492" s="30">
        <f>IF(L1492="","",INDEX(SkiftNavn,L1492))</f>
        <v/>
      </c>
      <c r="I1492" s="30">
        <f>IF(OR(A1492="",L1492=""),"",IF(MOD(A1492-INDEX(SkiftStart,L1492),Syklus)&lt;DagK,"Kveld",IF(MOD(A1492-INDEX(SkiftStart,L1492),Syklus)&lt;DagK+DagH,"Helg",IF(MOD(A1492-INDEX(SkiftStart,L1492),Syklus)&lt;DagK+DagH+DagD,"Dag","Fri"))))</f>
        <v/>
      </c>
      <c r="J1492" s="30">
        <f>IF(I1492="Fri","Ja","")</f>
        <v/>
      </c>
      <c r="K1492" s="30">
        <f>IF(B1492="","",IF(L1492="","Ukjent tekniker",IF(ISNA(MATCH(C1492,Aktiviteter,0)),"Ukjent aktivitet",IF(AND(INDEX(AktRolle,MATCH(C1492,Aktiviteter,0))&amp;""&lt;&gt;"",ISERROR(SEARCH(INDEX(AktRolle,MATCH(C1492,Aktiviteter,0))&amp;"",INDEX(TekRoller,MATCH(B1492,Teknikere,0))))),"Mangler rollen "&amp;INDEX(AktRolle,MATCH(C1492,Aktiviteter,0))&amp;"",IF(AND(C1492="LMS",F1492&gt;0,OR(D1492="",E1492="")),"Mangler maskin eller arbeid",IF(AND(OR(C1492="LMS",C1492="Mod"),D1492&lt;&gt;""),IF(IFERROR(INDEX(MaskinStatus,MATCH(D1492,Maskiner,0)),"")="I dokk","","Maskinen er ikke i dokk"),""))))))</f>
        <v/>
      </c>
      <c r="L1492" s="2">
        <f>IF(B1492="","",IFERROR(INT((MATCH(B1492,Teknikere,0)-1)/18)+1,""))</f>
        <v/>
      </c>
      <c r="M1492" s="2">
        <f>IF(OR(A1492="",B1492=""),"",B1492&amp;"|"&amp;A1492)</f>
        <v/>
      </c>
      <c r="N1492" s="2">
        <f>IF(M1492="","",SUMIFS(TF_Timer,TF_Nokkel,M1492,TF_Akt,C1492))</f>
        <v/>
      </c>
      <c r="O1492" s="2">
        <f>IF(M1492="","",IF(AND(N1492=_xlfn.MAXIFS(TF_AktSum,TF_Nokkel,M1492),COUNTIFS(M$3:M1491,M1492,N$3:N1491,N1492)=0),M1492,""))</f>
        <v/>
      </c>
    </row>
    <row r="1493">
      <c r="A1493" s="34" t="n"/>
      <c r="B1493" s="35" t="n"/>
      <c r="C1493" s="35" t="n"/>
      <c r="D1493" s="35" t="n"/>
      <c r="E1493" s="35" t="n"/>
      <c r="F1493" s="36" t="n"/>
      <c r="G1493" s="35" t="n"/>
      <c r="H1493" s="30">
        <f>IF(L1493="","",INDEX(SkiftNavn,L1493))</f>
        <v/>
      </c>
      <c r="I1493" s="30">
        <f>IF(OR(A1493="",L1493=""),"",IF(MOD(A1493-INDEX(SkiftStart,L1493),Syklus)&lt;DagK,"Kveld",IF(MOD(A1493-INDEX(SkiftStart,L1493),Syklus)&lt;DagK+DagH,"Helg",IF(MOD(A1493-INDEX(SkiftStart,L1493),Syklus)&lt;DagK+DagH+DagD,"Dag","Fri"))))</f>
        <v/>
      </c>
      <c r="J1493" s="30">
        <f>IF(I1493="Fri","Ja","")</f>
        <v/>
      </c>
      <c r="K1493" s="30">
        <f>IF(B1493="","",IF(L1493="","Ukjent tekniker",IF(ISNA(MATCH(C1493,Aktiviteter,0)),"Ukjent aktivitet",IF(AND(INDEX(AktRolle,MATCH(C1493,Aktiviteter,0))&amp;""&lt;&gt;"",ISERROR(SEARCH(INDEX(AktRolle,MATCH(C1493,Aktiviteter,0))&amp;"",INDEX(TekRoller,MATCH(B1493,Teknikere,0))))),"Mangler rollen "&amp;INDEX(AktRolle,MATCH(C1493,Aktiviteter,0))&amp;"",IF(AND(C1493="LMS",F1493&gt;0,OR(D1493="",E1493="")),"Mangler maskin eller arbeid",IF(AND(OR(C1493="LMS",C1493="Mod"),D1493&lt;&gt;""),IF(IFERROR(INDEX(MaskinStatus,MATCH(D1493,Maskiner,0)),"")="I dokk","","Maskinen er ikke i dokk"),""))))))</f>
        <v/>
      </c>
      <c r="L1493" s="2">
        <f>IF(B1493="","",IFERROR(INT((MATCH(B1493,Teknikere,0)-1)/18)+1,""))</f>
        <v/>
      </c>
      <c r="M1493" s="2">
        <f>IF(OR(A1493="",B1493=""),"",B1493&amp;"|"&amp;A1493)</f>
        <v/>
      </c>
      <c r="N1493" s="2">
        <f>IF(M1493="","",SUMIFS(TF_Timer,TF_Nokkel,M1493,TF_Akt,C1493))</f>
        <v/>
      </c>
      <c r="O1493" s="2">
        <f>IF(M1493="","",IF(AND(N1493=_xlfn.MAXIFS(TF_AktSum,TF_Nokkel,M1493),COUNTIFS(M$3:M1492,M1493,N$3:N1492,N1493)=0),M1493,""))</f>
        <v/>
      </c>
    </row>
    <row r="1494">
      <c r="A1494" s="34" t="n"/>
      <c r="B1494" s="35" t="n"/>
      <c r="C1494" s="35" t="n"/>
      <c r="D1494" s="35" t="n"/>
      <c r="E1494" s="35" t="n"/>
      <c r="F1494" s="36" t="n"/>
      <c r="G1494" s="35" t="n"/>
      <c r="H1494" s="30">
        <f>IF(L1494="","",INDEX(SkiftNavn,L1494))</f>
        <v/>
      </c>
      <c r="I1494" s="30">
        <f>IF(OR(A1494="",L1494=""),"",IF(MOD(A1494-INDEX(SkiftStart,L1494),Syklus)&lt;DagK,"Kveld",IF(MOD(A1494-INDEX(SkiftStart,L1494),Syklus)&lt;DagK+DagH,"Helg",IF(MOD(A1494-INDEX(SkiftStart,L1494),Syklus)&lt;DagK+DagH+DagD,"Dag","Fri"))))</f>
        <v/>
      </c>
      <c r="J1494" s="30">
        <f>IF(I1494="Fri","Ja","")</f>
        <v/>
      </c>
      <c r="K1494" s="30">
        <f>IF(B1494="","",IF(L1494="","Ukjent tekniker",IF(ISNA(MATCH(C1494,Aktiviteter,0)),"Ukjent aktivitet",IF(AND(INDEX(AktRolle,MATCH(C1494,Aktiviteter,0))&amp;""&lt;&gt;"",ISERROR(SEARCH(INDEX(AktRolle,MATCH(C1494,Aktiviteter,0))&amp;"",INDEX(TekRoller,MATCH(B1494,Teknikere,0))))),"Mangler rollen "&amp;INDEX(AktRolle,MATCH(C1494,Aktiviteter,0))&amp;"",IF(AND(C1494="LMS",F1494&gt;0,OR(D1494="",E1494="")),"Mangler maskin eller arbeid",IF(AND(OR(C1494="LMS",C1494="Mod"),D1494&lt;&gt;""),IF(IFERROR(INDEX(MaskinStatus,MATCH(D1494,Maskiner,0)),"")="I dokk","","Maskinen er ikke i dokk"),""))))))</f>
        <v/>
      </c>
      <c r="L1494" s="2">
        <f>IF(B1494="","",IFERROR(INT((MATCH(B1494,Teknikere,0)-1)/18)+1,""))</f>
        <v/>
      </c>
      <c r="M1494" s="2">
        <f>IF(OR(A1494="",B1494=""),"",B1494&amp;"|"&amp;A1494)</f>
        <v/>
      </c>
      <c r="N1494" s="2">
        <f>IF(M1494="","",SUMIFS(TF_Timer,TF_Nokkel,M1494,TF_Akt,C1494))</f>
        <v/>
      </c>
      <c r="O1494" s="2">
        <f>IF(M1494="","",IF(AND(N1494=_xlfn.MAXIFS(TF_AktSum,TF_Nokkel,M1494),COUNTIFS(M$3:M1493,M1494,N$3:N1493,N1494)=0),M1494,""))</f>
        <v/>
      </c>
    </row>
    <row r="1495">
      <c r="A1495" s="34" t="n"/>
      <c r="B1495" s="35" t="n"/>
      <c r="C1495" s="35" t="n"/>
      <c r="D1495" s="35" t="n"/>
      <c r="E1495" s="35" t="n"/>
      <c r="F1495" s="36" t="n"/>
      <c r="G1495" s="35" t="n"/>
      <c r="H1495" s="30">
        <f>IF(L1495="","",INDEX(SkiftNavn,L1495))</f>
        <v/>
      </c>
      <c r="I1495" s="30">
        <f>IF(OR(A1495="",L1495=""),"",IF(MOD(A1495-INDEX(SkiftStart,L1495),Syklus)&lt;DagK,"Kveld",IF(MOD(A1495-INDEX(SkiftStart,L1495),Syklus)&lt;DagK+DagH,"Helg",IF(MOD(A1495-INDEX(SkiftStart,L1495),Syklus)&lt;DagK+DagH+DagD,"Dag","Fri"))))</f>
        <v/>
      </c>
      <c r="J1495" s="30">
        <f>IF(I1495="Fri","Ja","")</f>
        <v/>
      </c>
      <c r="K1495" s="30">
        <f>IF(B1495="","",IF(L1495="","Ukjent tekniker",IF(ISNA(MATCH(C1495,Aktiviteter,0)),"Ukjent aktivitet",IF(AND(INDEX(AktRolle,MATCH(C1495,Aktiviteter,0))&amp;""&lt;&gt;"",ISERROR(SEARCH(INDEX(AktRolle,MATCH(C1495,Aktiviteter,0))&amp;"",INDEX(TekRoller,MATCH(B1495,Teknikere,0))))),"Mangler rollen "&amp;INDEX(AktRolle,MATCH(C1495,Aktiviteter,0))&amp;"",IF(AND(C1495="LMS",F1495&gt;0,OR(D1495="",E1495="")),"Mangler maskin eller arbeid",IF(AND(OR(C1495="LMS",C1495="Mod"),D1495&lt;&gt;""),IF(IFERROR(INDEX(MaskinStatus,MATCH(D1495,Maskiner,0)),"")="I dokk","","Maskinen er ikke i dokk"),""))))))</f>
        <v/>
      </c>
      <c r="L1495" s="2">
        <f>IF(B1495="","",IFERROR(INT((MATCH(B1495,Teknikere,0)-1)/18)+1,""))</f>
        <v/>
      </c>
      <c r="M1495" s="2">
        <f>IF(OR(A1495="",B1495=""),"",B1495&amp;"|"&amp;A1495)</f>
        <v/>
      </c>
      <c r="N1495" s="2">
        <f>IF(M1495="","",SUMIFS(TF_Timer,TF_Nokkel,M1495,TF_Akt,C1495))</f>
        <v/>
      </c>
      <c r="O1495" s="2">
        <f>IF(M1495="","",IF(AND(N1495=_xlfn.MAXIFS(TF_AktSum,TF_Nokkel,M1495),COUNTIFS(M$3:M1494,M1495,N$3:N1494,N1495)=0),M1495,""))</f>
        <v/>
      </c>
    </row>
    <row r="1496">
      <c r="A1496" s="34" t="n"/>
      <c r="B1496" s="35" t="n"/>
      <c r="C1496" s="35" t="n"/>
      <c r="D1496" s="35" t="n"/>
      <c r="E1496" s="35" t="n"/>
      <c r="F1496" s="36" t="n"/>
      <c r="G1496" s="35" t="n"/>
      <c r="H1496" s="30">
        <f>IF(L1496="","",INDEX(SkiftNavn,L1496))</f>
        <v/>
      </c>
      <c r="I1496" s="30">
        <f>IF(OR(A1496="",L1496=""),"",IF(MOD(A1496-INDEX(SkiftStart,L1496),Syklus)&lt;DagK,"Kveld",IF(MOD(A1496-INDEX(SkiftStart,L1496),Syklus)&lt;DagK+DagH,"Helg",IF(MOD(A1496-INDEX(SkiftStart,L1496),Syklus)&lt;DagK+DagH+DagD,"Dag","Fri"))))</f>
        <v/>
      </c>
      <c r="J1496" s="30">
        <f>IF(I1496="Fri","Ja","")</f>
        <v/>
      </c>
      <c r="K1496" s="30">
        <f>IF(B1496="","",IF(L1496="","Ukjent tekniker",IF(ISNA(MATCH(C1496,Aktiviteter,0)),"Ukjent aktivitet",IF(AND(INDEX(AktRolle,MATCH(C1496,Aktiviteter,0))&amp;""&lt;&gt;"",ISERROR(SEARCH(INDEX(AktRolle,MATCH(C1496,Aktiviteter,0))&amp;"",INDEX(TekRoller,MATCH(B1496,Teknikere,0))))),"Mangler rollen "&amp;INDEX(AktRolle,MATCH(C1496,Aktiviteter,0))&amp;"",IF(AND(C1496="LMS",F1496&gt;0,OR(D1496="",E1496="")),"Mangler maskin eller arbeid",IF(AND(OR(C1496="LMS",C1496="Mod"),D1496&lt;&gt;""),IF(IFERROR(INDEX(MaskinStatus,MATCH(D1496,Maskiner,0)),"")="I dokk","","Maskinen er ikke i dokk"),""))))))</f>
        <v/>
      </c>
      <c r="L1496" s="2">
        <f>IF(B1496="","",IFERROR(INT((MATCH(B1496,Teknikere,0)-1)/18)+1,""))</f>
        <v/>
      </c>
      <c r="M1496" s="2">
        <f>IF(OR(A1496="",B1496=""),"",B1496&amp;"|"&amp;A1496)</f>
        <v/>
      </c>
      <c r="N1496" s="2">
        <f>IF(M1496="","",SUMIFS(TF_Timer,TF_Nokkel,M1496,TF_Akt,C1496))</f>
        <v/>
      </c>
      <c r="O1496" s="2">
        <f>IF(M1496="","",IF(AND(N1496=_xlfn.MAXIFS(TF_AktSum,TF_Nokkel,M1496),COUNTIFS(M$3:M1495,M1496,N$3:N1495,N1496)=0),M1496,""))</f>
        <v/>
      </c>
    </row>
    <row r="1497">
      <c r="A1497" s="34" t="n"/>
      <c r="B1497" s="35" t="n"/>
      <c r="C1497" s="35" t="n"/>
      <c r="D1497" s="35" t="n"/>
      <c r="E1497" s="35" t="n"/>
      <c r="F1497" s="36" t="n"/>
      <c r="G1497" s="35" t="n"/>
      <c r="H1497" s="30">
        <f>IF(L1497="","",INDEX(SkiftNavn,L1497))</f>
        <v/>
      </c>
      <c r="I1497" s="30">
        <f>IF(OR(A1497="",L1497=""),"",IF(MOD(A1497-INDEX(SkiftStart,L1497),Syklus)&lt;DagK,"Kveld",IF(MOD(A1497-INDEX(SkiftStart,L1497),Syklus)&lt;DagK+DagH,"Helg",IF(MOD(A1497-INDEX(SkiftStart,L1497),Syklus)&lt;DagK+DagH+DagD,"Dag","Fri"))))</f>
        <v/>
      </c>
      <c r="J1497" s="30">
        <f>IF(I1497="Fri","Ja","")</f>
        <v/>
      </c>
      <c r="K1497" s="30">
        <f>IF(B1497="","",IF(L1497="","Ukjent tekniker",IF(ISNA(MATCH(C1497,Aktiviteter,0)),"Ukjent aktivitet",IF(AND(INDEX(AktRolle,MATCH(C1497,Aktiviteter,0))&amp;""&lt;&gt;"",ISERROR(SEARCH(INDEX(AktRolle,MATCH(C1497,Aktiviteter,0))&amp;"",INDEX(TekRoller,MATCH(B1497,Teknikere,0))))),"Mangler rollen "&amp;INDEX(AktRolle,MATCH(C1497,Aktiviteter,0))&amp;"",IF(AND(C1497="LMS",F1497&gt;0,OR(D1497="",E1497="")),"Mangler maskin eller arbeid",IF(AND(OR(C1497="LMS",C1497="Mod"),D1497&lt;&gt;""),IF(IFERROR(INDEX(MaskinStatus,MATCH(D1497,Maskiner,0)),"")="I dokk","","Maskinen er ikke i dokk"),""))))))</f>
        <v/>
      </c>
      <c r="L1497" s="2">
        <f>IF(B1497="","",IFERROR(INT((MATCH(B1497,Teknikere,0)-1)/18)+1,""))</f>
        <v/>
      </c>
      <c r="M1497" s="2">
        <f>IF(OR(A1497="",B1497=""),"",B1497&amp;"|"&amp;A1497)</f>
        <v/>
      </c>
      <c r="N1497" s="2">
        <f>IF(M1497="","",SUMIFS(TF_Timer,TF_Nokkel,M1497,TF_Akt,C1497))</f>
        <v/>
      </c>
      <c r="O1497" s="2">
        <f>IF(M1497="","",IF(AND(N1497=_xlfn.MAXIFS(TF_AktSum,TF_Nokkel,M1497),COUNTIFS(M$3:M1496,M1497,N$3:N1496,N1497)=0),M1497,""))</f>
        <v/>
      </c>
    </row>
    <row r="1498">
      <c r="A1498" s="34" t="n"/>
      <c r="B1498" s="35" t="n"/>
      <c r="C1498" s="35" t="n"/>
      <c r="D1498" s="35" t="n"/>
      <c r="E1498" s="35" t="n"/>
      <c r="F1498" s="36" t="n"/>
      <c r="G1498" s="35" t="n"/>
      <c r="H1498" s="30">
        <f>IF(L1498="","",INDEX(SkiftNavn,L1498))</f>
        <v/>
      </c>
      <c r="I1498" s="30">
        <f>IF(OR(A1498="",L1498=""),"",IF(MOD(A1498-INDEX(SkiftStart,L1498),Syklus)&lt;DagK,"Kveld",IF(MOD(A1498-INDEX(SkiftStart,L1498),Syklus)&lt;DagK+DagH,"Helg",IF(MOD(A1498-INDEX(SkiftStart,L1498),Syklus)&lt;DagK+DagH+DagD,"Dag","Fri"))))</f>
        <v/>
      </c>
      <c r="J1498" s="30">
        <f>IF(I1498="Fri","Ja","")</f>
        <v/>
      </c>
      <c r="K1498" s="30">
        <f>IF(B1498="","",IF(L1498="","Ukjent tekniker",IF(ISNA(MATCH(C1498,Aktiviteter,0)),"Ukjent aktivitet",IF(AND(INDEX(AktRolle,MATCH(C1498,Aktiviteter,0))&amp;""&lt;&gt;"",ISERROR(SEARCH(INDEX(AktRolle,MATCH(C1498,Aktiviteter,0))&amp;"",INDEX(TekRoller,MATCH(B1498,Teknikere,0))))),"Mangler rollen "&amp;INDEX(AktRolle,MATCH(C1498,Aktiviteter,0))&amp;"",IF(AND(C1498="LMS",F1498&gt;0,OR(D1498="",E1498="")),"Mangler maskin eller arbeid",IF(AND(OR(C1498="LMS",C1498="Mod"),D1498&lt;&gt;""),IF(IFERROR(INDEX(MaskinStatus,MATCH(D1498,Maskiner,0)),"")="I dokk","","Maskinen er ikke i dokk"),""))))))</f>
        <v/>
      </c>
      <c r="L1498" s="2">
        <f>IF(B1498="","",IFERROR(INT((MATCH(B1498,Teknikere,0)-1)/18)+1,""))</f>
        <v/>
      </c>
      <c r="M1498" s="2">
        <f>IF(OR(A1498="",B1498=""),"",B1498&amp;"|"&amp;A1498)</f>
        <v/>
      </c>
      <c r="N1498" s="2">
        <f>IF(M1498="","",SUMIFS(TF_Timer,TF_Nokkel,M1498,TF_Akt,C1498))</f>
        <v/>
      </c>
      <c r="O1498" s="2">
        <f>IF(M1498="","",IF(AND(N1498=_xlfn.MAXIFS(TF_AktSum,TF_Nokkel,M1498),COUNTIFS(M$3:M1497,M1498,N$3:N1497,N1498)=0),M1498,""))</f>
        <v/>
      </c>
    </row>
    <row r="1499">
      <c r="A1499" s="34" t="n"/>
      <c r="B1499" s="35" t="n"/>
      <c r="C1499" s="35" t="n"/>
      <c r="D1499" s="35" t="n"/>
      <c r="E1499" s="35" t="n"/>
      <c r="F1499" s="36" t="n"/>
      <c r="G1499" s="35" t="n"/>
      <c r="H1499" s="30">
        <f>IF(L1499="","",INDEX(SkiftNavn,L1499))</f>
        <v/>
      </c>
      <c r="I1499" s="30">
        <f>IF(OR(A1499="",L1499=""),"",IF(MOD(A1499-INDEX(SkiftStart,L1499),Syklus)&lt;DagK,"Kveld",IF(MOD(A1499-INDEX(SkiftStart,L1499),Syklus)&lt;DagK+DagH,"Helg",IF(MOD(A1499-INDEX(SkiftStart,L1499),Syklus)&lt;DagK+DagH+DagD,"Dag","Fri"))))</f>
        <v/>
      </c>
      <c r="J1499" s="30">
        <f>IF(I1499="Fri","Ja","")</f>
        <v/>
      </c>
      <c r="K1499" s="30">
        <f>IF(B1499="","",IF(L1499="","Ukjent tekniker",IF(ISNA(MATCH(C1499,Aktiviteter,0)),"Ukjent aktivitet",IF(AND(INDEX(AktRolle,MATCH(C1499,Aktiviteter,0))&amp;""&lt;&gt;"",ISERROR(SEARCH(INDEX(AktRolle,MATCH(C1499,Aktiviteter,0))&amp;"",INDEX(TekRoller,MATCH(B1499,Teknikere,0))))),"Mangler rollen "&amp;INDEX(AktRolle,MATCH(C1499,Aktiviteter,0))&amp;"",IF(AND(C1499="LMS",F1499&gt;0,OR(D1499="",E1499="")),"Mangler maskin eller arbeid",IF(AND(OR(C1499="LMS",C1499="Mod"),D1499&lt;&gt;""),IF(IFERROR(INDEX(MaskinStatus,MATCH(D1499,Maskiner,0)),"")="I dokk","","Maskinen er ikke i dokk"),""))))))</f>
        <v/>
      </c>
      <c r="L1499" s="2">
        <f>IF(B1499="","",IFERROR(INT((MATCH(B1499,Teknikere,0)-1)/18)+1,""))</f>
        <v/>
      </c>
      <c r="M1499" s="2">
        <f>IF(OR(A1499="",B1499=""),"",B1499&amp;"|"&amp;A1499)</f>
        <v/>
      </c>
      <c r="N1499" s="2">
        <f>IF(M1499="","",SUMIFS(TF_Timer,TF_Nokkel,M1499,TF_Akt,C1499))</f>
        <v/>
      </c>
      <c r="O1499" s="2">
        <f>IF(M1499="","",IF(AND(N1499=_xlfn.MAXIFS(TF_AktSum,TF_Nokkel,M1499),COUNTIFS(M$3:M1498,M1499,N$3:N1498,N1499)=0),M1499,""))</f>
        <v/>
      </c>
    </row>
    <row r="1500">
      <c r="A1500" s="34" t="n"/>
      <c r="B1500" s="35" t="n"/>
      <c r="C1500" s="35" t="n"/>
      <c r="D1500" s="35" t="n"/>
      <c r="E1500" s="35" t="n"/>
      <c r="F1500" s="36" t="n"/>
      <c r="G1500" s="35" t="n"/>
      <c r="H1500" s="30">
        <f>IF(L1500="","",INDEX(SkiftNavn,L1500))</f>
        <v/>
      </c>
      <c r="I1500" s="30">
        <f>IF(OR(A1500="",L1500=""),"",IF(MOD(A1500-INDEX(SkiftStart,L1500),Syklus)&lt;DagK,"Kveld",IF(MOD(A1500-INDEX(SkiftStart,L1500),Syklus)&lt;DagK+DagH,"Helg",IF(MOD(A1500-INDEX(SkiftStart,L1500),Syklus)&lt;DagK+DagH+DagD,"Dag","Fri"))))</f>
        <v/>
      </c>
      <c r="J1500" s="30">
        <f>IF(I1500="Fri","Ja","")</f>
        <v/>
      </c>
      <c r="K1500" s="30">
        <f>IF(B1500="","",IF(L1500="","Ukjent tekniker",IF(ISNA(MATCH(C1500,Aktiviteter,0)),"Ukjent aktivitet",IF(AND(INDEX(AktRolle,MATCH(C1500,Aktiviteter,0))&amp;""&lt;&gt;"",ISERROR(SEARCH(INDEX(AktRolle,MATCH(C1500,Aktiviteter,0))&amp;"",INDEX(TekRoller,MATCH(B1500,Teknikere,0))))),"Mangler rollen "&amp;INDEX(AktRolle,MATCH(C1500,Aktiviteter,0))&amp;"",IF(AND(C1500="LMS",F1500&gt;0,OR(D1500="",E1500="")),"Mangler maskin eller arbeid",IF(AND(OR(C1500="LMS",C1500="Mod"),D1500&lt;&gt;""),IF(IFERROR(INDEX(MaskinStatus,MATCH(D1500,Maskiner,0)),"")="I dokk","","Maskinen er ikke i dokk"),""))))))</f>
        <v/>
      </c>
      <c r="L1500" s="2">
        <f>IF(B1500="","",IFERROR(INT((MATCH(B1500,Teknikere,0)-1)/18)+1,""))</f>
        <v/>
      </c>
      <c r="M1500" s="2">
        <f>IF(OR(A1500="",B1500=""),"",B1500&amp;"|"&amp;A1500)</f>
        <v/>
      </c>
      <c r="N1500" s="2">
        <f>IF(M1500="","",SUMIFS(TF_Timer,TF_Nokkel,M1500,TF_Akt,C1500))</f>
        <v/>
      </c>
      <c r="O1500" s="2">
        <f>IF(M1500="","",IF(AND(N1500=_xlfn.MAXIFS(TF_AktSum,TF_Nokkel,M1500),COUNTIFS(M$3:M1499,M1500,N$3:N1499,N1500)=0),M1500,""))</f>
        <v/>
      </c>
    </row>
    <row r="1501">
      <c r="A1501" s="34" t="n"/>
      <c r="B1501" s="35" t="n"/>
      <c r="C1501" s="35" t="n"/>
      <c r="D1501" s="35" t="n"/>
      <c r="E1501" s="35" t="n"/>
      <c r="F1501" s="36" t="n"/>
      <c r="G1501" s="35" t="n"/>
      <c r="H1501" s="30">
        <f>IF(L1501="","",INDEX(SkiftNavn,L1501))</f>
        <v/>
      </c>
      <c r="I1501" s="30">
        <f>IF(OR(A1501="",L1501=""),"",IF(MOD(A1501-INDEX(SkiftStart,L1501),Syklus)&lt;DagK,"Kveld",IF(MOD(A1501-INDEX(SkiftStart,L1501),Syklus)&lt;DagK+DagH,"Helg",IF(MOD(A1501-INDEX(SkiftStart,L1501),Syklus)&lt;DagK+DagH+DagD,"Dag","Fri"))))</f>
        <v/>
      </c>
      <c r="J1501" s="30">
        <f>IF(I1501="Fri","Ja","")</f>
        <v/>
      </c>
      <c r="K1501" s="30">
        <f>IF(B1501="","",IF(L1501="","Ukjent tekniker",IF(ISNA(MATCH(C1501,Aktiviteter,0)),"Ukjent aktivitet",IF(AND(INDEX(AktRolle,MATCH(C1501,Aktiviteter,0))&amp;""&lt;&gt;"",ISERROR(SEARCH(INDEX(AktRolle,MATCH(C1501,Aktiviteter,0))&amp;"",INDEX(TekRoller,MATCH(B1501,Teknikere,0))))),"Mangler rollen "&amp;INDEX(AktRolle,MATCH(C1501,Aktiviteter,0))&amp;"",IF(AND(C1501="LMS",F1501&gt;0,OR(D1501="",E1501="")),"Mangler maskin eller arbeid",IF(AND(OR(C1501="LMS",C1501="Mod"),D1501&lt;&gt;""),IF(IFERROR(INDEX(MaskinStatus,MATCH(D1501,Maskiner,0)),"")="I dokk","","Maskinen er ikke i dokk"),""))))))</f>
        <v/>
      </c>
      <c r="L1501" s="2">
        <f>IF(B1501="","",IFERROR(INT((MATCH(B1501,Teknikere,0)-1)/18)+1,""))</f>
        <v/>
      </c>
      <c r="M1501" s="2">
        <f>IF(OR(A1501="",B1501=""),"",B1501&amp;"|"&amp;A1501)</f>
        <v/>
      </c>
      <c r="N1501" s="2">
        <f>IF(M1501="","",SUMIFS(TF_Timer,TF_Nokkel,M1501,TF_Akt,C1501))</f>
        <v/>
      </c>
      <c r="O1501" s="2">
        <f>IF(M1501="","",IF(AND(N1501=_xlfn.MAXIFS(TF_AktSum,TF_Nokkel,M1501),COUNTIFS(M$3:M1500,M1501,N$3:N1500,N1501)=0),M1501,""))</f>
        <v/>
      </c>
    </row>
    <row r="1502">
      <c r="A1502" s="34" t="n"/>
      <c r="B1502" s="35" t="n"/>
      <c r="C1502" s="35" t="n"/>
      <c r="D1502" s="35" t="n"/>
      <c r="E1502" s="35" t="n"/>
      <c r="F1502" s="36" t="n"/>
      <c r="G1502" s="35" t="n"/>
      <c r="H1502" s="30">
        <f>IF(L1502="","",INDEX(SkiftNavn,L1502))</f>
        <v/>
      </c>
      <c r="I1502" s="30">
        <f>IF(OR(A1502="",L1502=""),"",IF(MOD(A1502-INDEX(SkiftStart,L1502),Syklus)&lt;DagK,"Kveld",IF(MOD(A1502-INDEX(SkiftStart,L1502),Syklus)&lt;DagK+DagH,"Helg",IF(MOD(A1502-INDEX(SkiftStart,L1502),Syklus)&lt;DagK+DagH+DagD,"Dag","Fri"))))</f>
        <v/>
      </c>
      <c r="J1502" s="30">
        <f>IF(I1502="Fri","Ja","")</f>
        <v/>
      </c>
      <c r="K1502" s="30">
        <f>IF(B1502="","",IF(L1502="","Ukjent tekniker",IF(ISNA(MATCH(C1502,Aktiviteter,0)),"Ukjent aktivitet",IF(AND(INDEX(AktRolle,MATCH(C1502,Aktiviteter,0))&amp;""&lt;&gt;"",ISERROR(SEARCH(INDEX(AktRolle,MATCH(C1502,Aktiviteter,0))&amp;"",INDEX(TekRoller,MATCH(B1502,Teknikere,0))))),"Mangler rollen "&amp;INDEX(AktRolle,MATCH(C1502,Aktiviteter,0))&amp;"",IF(AND(C1502="LMS",F1502&gt;0,OR(D1502="",E1502="")),"Mangler maskin eller arbeid",IF(AND(OR(C1502="LMS",C1502="Mod"),D1502&lt;&gt;""),IF(IFERROR(INDEX(MaskinStatus,MATCH(D1502,Maskiner,0)),"")="I dokk","","Maskinen er ikke i dokk"),""))))))</f>
        <v/>
      </c>
      <c r="L1502" s="2">
        <f>IF(B1502="","",IFERROR(INT((MATCH(B1502,Teknikere,0)-1)/18)+1,""))</f>
        <v/>
      </c>
      <c r="M1502" s="2">
        <f>IF(OR(A1502="",B1502=""),"",B1502&amp;"|"&amp;A1502)</f>
        <v/>
      </c>
      <c r="N1502" s="2">
        <f>IF(M1502="","",SUMIFS(TF_Timer,TF_Nokkel,M1502,TF_Akt,C1502))</f>
        <v/>
      </c>
      <c r="O1502" s="2">
        <f>IF(M1502="","",IF(AND(N1502=_xlfn.MAXIFS(TF_AktSum,TF_Nokkel,M1502),COUNTIFS(M$3:M1501,M1502,N$3:N1501,N1502)=0),M1502,""))</f>
        <v/>
      </c>
    </row>
    <row r="1503">
      <c r="A1503" s="34" t="n"/>
      <c r="B1503" s="35" t="n"/>
      <c r="C1503" s="35" t="n"/>
      <c r="D1503" s="35" t="n"/>
      <c r="E1503" s="35" t="n"/>
      <c r="F1503" s="36" t="n"/>
      <c r="G1503" s="35" t="n"/>
      <c r="H1503" s="30">
        <f>IF(L1503="","",INDEX(SkiftNavn,L1503))</f>
        <v/>
      </c>
      <c r="I1503" s="30">
        <f>IF(OR(A1503="",L1503=""),"",IF(MOD(A1503-INDEX(SkiftStart,L1503),Syklus)&lt;DagK,"Kveld",IF(MOD(A1503-INDEX(SkiftStart,L1503),Syklus)&lt;DagK+DagH,"Helg",IF(MOD(A1503-INDEX(SkiftStart,L1503),Syklus)&lt;DagK+DagH+DagD,"Dag","Fri"))))</f>
        <v/>
      </c>
      <c r="J1503" s="30">
        <f>IF(I1503="Fri","Ja","")</f>
        <v/>
      </c>
      <c r="K1503" s="30">
        <f>IF(B1503="","",IF(L1503="","Ukjent tekniker",IF(ISNA(MATCH(C1503,Aktiviteter,0)),"Ukjent aktivitet",IF(AND(INDEX(AktRolle,MATCH(C1503,Aktiviteter,0))&amp;""&lt;&gt;"",ISERROR(SEARCH(INDEX(AktRolle,MATCH(C1503,Aktiviteter,0))&amp;"",INDEX(TekRoller,MATCH(B1503,Teknikere,0))))),"Mangler rollen "&amp;INDEX(AktRolle,MATCH(C1503,Aktiviteter,0))&amp;"",IF(AND(C1503="LMS",F1503&gt;0,OR(D1503="",E1503="")),"Mangler maskin eller arbeid",IF(AND(OR(C1503="LMS",C1503="Mod"),D1503&lt;&gt;""),IF(IFERROR(INDEX(MaskinStatus,MATCH(D1503,Maskiner,0)),"")="I dokk","","Maskinen er ikke i dokk"),""))))))</f>
        <v/>
      </c>
      <c r="L1503" s="2">
        <f>IF(B1503="","",IFERROR(INT((MATCH(B1503,Teknikere,0)-1)/18)+1,""))</f>
        <v/>
      </c>
      <c r="M1503" s="2">
        <f>IF(OR(A1503="",B1503=""),"",B1503&amp;"|"&amp;A1503)</f>
        <v/>
      </c>
      <c r="N1503" s="2">
        <f>IF(M1503="","",SUMIFS(TF_Timer,TF_Nokkel,M1503,TF_Akt,C1503))</f>
        <v/>
      </c>
      <c r="O1503" s="2">
        <f>IF(M1503="","",IF(AND(N1503=_xlfn.MAXIFS(TF_AktSum,TF_Nokkel,M1503),COUNTIFS(M$3:M1502,M1503,N$3:N1502,N1503)=0),M1503,""))</f>
        <v/>
      </c>
    </row>
    <row r="1504">
      <c r="A1504" s="34" t="n"/>
      <c r="B1504" s="35" t="n"/>
      <c r="C1504" s="35" t="n"/>
      <c r="D1504" s="35" t="n"/>
      <c r="E1504" s="35" t="n"/>
      <c r="F1504" s="36" t="n"/>
      <c r="G1504" s="35" t="n"/>
      <c r="H1504" s="30">
        <f>IF(L1504="","",INDEX(SkiftNavn,L1504))</f>
        <v/>
      </c>
      <c r="I1504" s="30">
        <f>IF(OR(A1504="",L1504=""),"",IF(MOD(A1504-INDEX(SkiftStart,L1504),Syklus)&lt;DagK,"Kveld",IF(MOD(A1504-INDEX(SkiftStart,L1504),Syklus)&lt;DagK+DagH,"Helg",IF(MOD(A1504-INDEX(SkiftStart,L1504),Syklus)&lt;DagK+DagH+DagD,"Dag","Fri"))))</f>
        <v/>
      </c>
      <c r="J1504" s="30">
        <f>IF(I1504="Fri","Ja","")</f>
        <v/>
      </c>
      <c r="K1504" s="30">
        <f>IF(B1504="","",IF(L1504="","Ukjent tekniker",IF(ISNA(MATCH(C1504,Aktiviteter,0)),"Ukjent aktivitet",IF(AND(INDEX(AktRolle,MATCH(C1504,Aktiviteter,0))&amp;""&lt;&gt;"",ISERROR(SEARCH(INDEX(AktRolle,MATCH(C1504,Aktiviteter,0))&amp;"",INDEX(TekRoller,MATCH(B1504,Teknikere,0))))),"Mangler rollen "&amp;INDEX(AktRolle,MATCH(C1504,Aktiviteter,0))&amp;"",IF(AND(C1504="LMS",F1504&gt;0,OR(D1504="",E1504="")),"Mangler maskin eller arbeid",IF(AND(OR(C1504="LMS",C1504="Mod"),D1504&lt;&gt;""),IF(IFERROR(INDEX(MaskinStatus,MATCH(D1504,Maskiner,0)),"")="I dokk","","Maskinen er ikke i dokk"),""))))))</f>
        <v/>
      </c>
      <c r="L1504" s="2">
        <f>IF(B1504="","",IFERROR(INT((MATCH(B1504,Teknikere,0)-1)/18)+1,""))</f>
        <v/>
      </c>
      <c r="M1504" s="2">
        <f>IF(OR(A1504="",B1504=""),"",B1504&amp;"|"&amp;A1504)</f>
        <v/>
      </c>
      <c r="N1504" s="2">
        <f>IF(M1504="","",SUMIFS(TF_Timer,TF_Nokkel,M1504,TF_Akt,C1504))</f>
        <v/>
      </c>
      <c r="O1504" s="2">
        <f>IF(M1504="","",IF(AND(N1504=_xlfn.MAXIFS(TF_AktSum,TF_Nokkel,M1504),COUNTIFS(M$3:M1503,M1504,N$3:N1503,N1504)=0),M1504,""))</f>
        <v/>
      </c>
    </row>
    <row r="1505">
      <c r="A1505" s="34" t="n"/>
      <c r="B1505" s="35" t="n"/>
      <c r="C1505" s="35" t="n"/>
      <c r="D1505" s="35" t="n"/>
      <c r="E1505" s="35" t="n"/>
      <c r="F1505" s="36" t="n"/>
      <c r="G1505" s="35" t="n"/>
      <c r="H1505" s="30">
        <f>IF(L1505="","",INDEX(SkiftNavn,L1505))</f>
        <v/>
      </c>
      <c r="I1505" s="30">
        <f>IF(OR(A1505="",L1505=""),"",IF(MOD(A1505-INDEX(SkiftStart,L1505),Syklus)&lt;DagK,"Kveld",IF(MOD(A1505-INDEX(SkiftStart,L1505),Syklus)&lt;DagK+DagH,"Helg",IF(MOD(A1505-INDEX(SkiftStart,L1505),Syklus)&lt;DagK+DagH+DagD,"Dag","Fri"))))</f>
        <v/>
      </c>
      <c r="J1505" s="30">
        <f>IF(I1505="Fri","Ja","")</f>
        <v/>
      </c>
      <c r="K1505" s="30">
        <f>IF(B1505="","",IF(L1505="","Ukjent tekniker",IF(ISNA(MATCH(C1505,Aktiviteter,0)),"Ukjent aktivitet",IF(AND(INDEX(AktRolle,MATCH(C1505,Aktiviteter,0))&amp;""&lt;&gt;"",ISERROR(SEARCH(INDEX(AktRolle,MATCH(C1505,Aktiviteter,0))&amp;"",INDEX(TekRoller,MATCH(B1505,Teknikere,0))))),"Mangler rollen "&amp;INDEX(AktRolle,MATCH(C1505,Aktiviteter,0))&amp;"",IF(AND(C1505="LMS",F1505&gt;0,OR(D1505="",E1505="")),"Mangler maskin eller arbeid",IF(AND(OR(C1505="LMS",C1505="Mod"),D1505&lt;&gt;""),IF(IFERROR(INDEX(MaskinStatus,MATCH(D1505,Maskiner,0)),"")="I dokk","","Maskinen er ikke i dokk"),""))))))</f>
        <v/>
      </c>
      <c r="L1505" s="2">
        <f>IF(B1505="","",IFERROR(INT((MATCH(B1505,Teknikere,0)-1)/18)+1,""))</f>
        <v/>
      </c>
      <c r="M1505" s="2">
        <f>IF(OR(A1505="",B1505=""),"",B1505&amp;"|"&amp;A1505)</f>
        <v/>
      </c>
      <c r="N1505" s="2">
        <f>IF(M1505="","",SUMIFS(TF_Timer,TF_Nokkel,M1505,TF_Akt,C1505))</f>
        <v/>
      </c>
      <c r="O1505" s="2">
        <f>IF(M1505="","",IF(AND(N1505=_xlfn.MAXIFS(TF_AktSum,TF_Nokkel,M1505),COUNTIFS(M$3:M1504,M1505,N$3:N1504,N1505)=0),M1505,""))</f>
        <v/>
      </c>
    </row>
    <row r="1506">
      <c r="A1506" s="34" t="n"/>
      <c r="B1506" s="35" t="n"/>
      <c r="C1506" s="35" t="n"/>
      <c r="D1506" s="35" t="n"/>
      <c r="E1506" s="35" t="n"/>
      <c r="F1506" s="36" t="n"/>
      <c r="G1506" s="35" t="n"/>
      <c r="H1506" s="30">
        <f>IF(L1506="","",INDEX(SkiftNavn,L1506))</f>
        <v/>
      </c>
      <c r="I1506" s="30">
        <f>IF(OR(A1506="",L1506=""),"",IF(MOD(A1506-INDEX(SkiftStart,L1506),Syklus)&lt;DagK,"Kveld",IF(MOD(A1506-INDEX(SkiftStart,L1506),Syklus)&lt;DagK+DagH,"Helg",IF(MOD(A1506-INDEX(SkiftStart,L1506),Syklus)&lt;DagK+DagH+DagD,"Dag","Fri"))))</f>
        <v/>
      </c>
      <c r="J1506" s="30">
        <f>IF(I1506="Fri","Ja","")</f>
        <v/>
      </c>
      <c r="K1506" s="30">
        <f>IF(B1506="","",IF(L1506="","Ukjent tekniker",IF(ISNA(MATCH(C1506,Aktiviteter,0)),"Ukjent aktivitet",IF(AND(INDEX(AktRolle,MATCH(C1506,Aktiviteter,0))&amp;""&lt;&gt;"",ISERROR(SEARCH(INDEX(AktRolle,MATCH(C1506,Aktiviteter,0))&amp;"",INDEX(TekRoller,MATCH(B1506,Teknikere,0))))),"Mangler rollen "&amp;INDEX(AktRolle,MATCH(C1506,Aktiviteter,0))&amp;"",IF(AND(C1506="LMS",F1506&gt;0,OR(D1506="",E1506="")),"Mangler maskin eller arbeid",IF(AND(OR(C1506="LMS",C1506="Mod"),D1506&lt;&gt;""),IF(IFERROR(INDEX(MaskinStatus,MATCH(D1506,Maskiner,0)),"")="I dokk","","Maskinen er ikke i dokk"),""))))))</f>
        <v/>
      </c>
      <c r="L1506" s="2">
        <f>IF(B1506="","",IFERROR(INT((MATCH(B1506,Teknikere,0)-1)/18)+1,""))</f>
        <v/>
      </c>
      <c r="M1506" s="2">
        <f>IF(OR(A1506="",B1506=""),"",B1506&amp;"|"&amp;A1506)</f>
        <v/>
      </c>
      <c r="N1506" s="2">
        <f>IF(M1506="","",SUMIFS(TF_Timer,TF_Nokkel,M1506,TF_Akt,C1506))</f>
        <v/>
      </c>
      <c r="O1506" s="2">
        <f>IF(M1506="","",IF(AND(N1506=_xlfn.MAXIFS(TF_AktSum,TF_Nokkel,M1506),COUNTIFS(M$3:M1505,M1506,N$3:N1505,N1506)=0),M1506,""))</f>
        <v/>
      </c>
    </row>
    <row r="1507">
      <c r="A1507" s="34" t="n"/>
      <c r="B1507" s="35" t="n"/>
      <c r="C1507" s="35" t="n"/>
      <c r="D1507" s="35" t="n"/>
      <c r="E1507" s="35" t="n"/>
      <c r="F1507" s="36" t="n"/>
      <c r="G1507" s="35" t="n"/>
      <c r="H1507" s="30">
        <f>IF(L1507="","",INDEX(SkiftNavn,L1507))</f>
        <v/>
      </c>
      <c r="I1507" s="30">
        <f>IF(OR(A1507="",L1507=""),"",IF(MOD(A1507-INDEX(SkiftStart,L1507),Syklus)&lt;DagK,"Kveld",IF(MOD(A1507-INDEX(SkiftStart,L1507),Syklus)&lt;DagK+DagH,"Helg",IF(MOD(A1507-INDEX(SkiftStart,L1507),Syklus)&lt;DagK+DagH+DagD,"Dag","Fri"))))</f>
        <v/>
      </c>
      <c r="J1507" s="30">
        <f>IF(I1507="Fri","Ja","")</f>
        <v/>
      </c>
      <c r="K1507" s="30">
        <f>IF(B1507="","",IF(L1507="","Ukjent tekniker",IF(ISNA(MATCH(C1507,Aktiviteter,0)),"Ukjent aktivitet",IF(AND(INDEX(AktRolle,MATCH(C1507,Aktiviteter,0))&amp;""&lt;&gt;"",ISERROR(SEARCH(INDEX(AktRolle,MATCH(C1507,Aktiviteter,0))&amp;"",INDEX(TekRoller,MATCH(B1507,Teknikere,0))))),"Mangler rollen "&amp;INDEX(AktRolle,MATCH(C1507,Aktiviteter,0))&amp;"",IF(AND(C1507="LMS",F1507&gt;0,OR(D1507="",E1507="")),"Mangler maskin eller arbeid",IF(AND(OR(C1507="LMS",C1507="Mod"),D1507&lt;&gt;""),IF(IFERROR(INDEX(MaskinStatus,MATCH(D1507,Maskiner,0)),"")="I dokk","","Maskinen er ikke i dokk"),""))))))</f>
        <v/>
      </c>
      <c r="L1507" s="2">
        <f>IF(B1507="","",IFERROR(INT((MATCH(B1507,Teknikere,0)-1)/18)+1,""))</f>
        <v/>
      </c>
      <c r="M1507" s="2">
        <f>IF(OR(A1507="",B1507=""),"",B1507&amp;"|"&amp;A1507)</f>
        <v/>
      </c>
      <c r="N1507" s="2">
        <f>IF(M1507="","",SUMIFS(TF_Timer,TF_Nokkel,M1507,TF_Akt,C1507))</f>
        <v/>
      </c>
      <c r="O1507" s="2">
        <f>IF(M1507="","",IF(AND(N1507=_xlfn.MAXIFS(TF_AktSum,TF_Nokkel,M1507),COUNTIFS(M$3:M1506,M1507,N$3:N1506,N1507)=0),M1507,""))</f>
        <v/>
      </c>
    </row>
    <row r="1508">
      <c r="A1508" s="34" t="n"/>
      <c r="B1508" s="35" t="n"/>
      <c r="C1508" s="35" t="n"/>
      <c r="D1508" s="35" t="n"/>
      <c r="E1508" s="35" t="n"/>
      <c r="F1508" s="36" t="n"/>
      <c r="G1508" s="35" t="n"/>
      <c r="H1508" s="30">
        <f>IF(L1508="","",INDEX(SkiftNavn,L1508))</f>
        <v/>
      </c>
      <c r="I1508" s="30">
        <f>IF(OR(A1508="",L1508=""),"",IF(MOD(A1508-INDEX(SkiftStart,L1508),Syklus)&lt;DagK,"Kveld",IF(MOD(A1508-INDEX(SkiftStart,L1508),Syklus)&lt;DagK+DagH,"Helg",IF(MOD(A1508-INDEX(SkiftStart,L1508),Syklus)&lt;DagK+DagH+DagD,"Dag","Fri"))))</f>
        <v/>
      </c>
      <c r="J1508" s="30">
        <f>IF(I1508="Fri","Ja","")</f>
        <v/>
      </c>
      <c r="K1508" s="30">
        <f>IF(B1508="","",IF(L1508="","Ukjent tekniker",IF(ISNA(MATCH(C1508,Aktiviteter,0)),"Ukjent aktivitet",IF(AND(INDEX(AktRolle,MATCH(C1508,Aktiviteter,0))&amp;""&lt;&gt;"",ISERROR(SEARCH(INDEX(AktRolle,MATCH(C1508,Aktiviteter,0))&amp;"",INDEX(TekRoller,MATCH(B1508,Teknikere,0))))),"Mangler rollen "&amp;INDEX(AktRolle,MATCH(C1508,Aktiviteter,0))&amp;"",IF(AND(C1508="LMS",F1508&gt;0,OR(D1508="",E1508="")),"Mangler maskin eller arbeid",IF(AND(OR(C1508="LMS",C1508="Mod"),D1508&lt;&gt;""),IF(IFERROR(INDEX(MaskinStatus,MATCH(D1508,Maskiner,0)),"")="I dokk","","Maskinen er ikke i dokk"),""))))))</f>
        <v/>
      </c>
      <c r="L1508" s="2">
        <f>IF(B1508="","",IFERROR(INT((MATCH(B1508,Teknikere,0)-1)/18)+1,""))</f>
        <v/>
      </c>
      <c r="M1508" s="2">
        <f>IF(OR(A1508="",B1508=""),"",B1508&amp;"|"&amp;A1508)</f>
        <v/>
      </c>
      <c r="N1508" s="2">
        <f>IF(M1508="","",SUMIFS(TF_Timer,TF_Nokkel,M1508,TF_Akt,C1508))</f>
        <v/>
      </c>
      <c r="O1508" s="2">
        <f>IF(M1508="","",IF(AND(N1508=_xlfn.MAXIFS(TF_AktSum,TF_Nokkel,M1508),COUNTIFS(M$3:M1507,M1508,N$3:N1507,N1508)=0),M1508,""))</f>
        <v/>
      </c>
    </row>
    <row r="1509">
      <c r="A1509" s="34" t="n"/>
      <c r="B1509" s="35" t="n"/>
      <c r="C1509" s="35" t="n"/>
      <c r="D1509" s="35" t="n"/>
      <c r="E1509" s="35" t="n"/>
      <c r="F1509" s="36" t="n"/>
      <c r="G1509" s="35" t="n"/>
      <c r="H1509" s="30">
        <f>IF(L1509="","",INDEX(SkiftNavn,L1509))</f>
        <v/>
      </c>
      <c r="I1509" s="30">
        <f>IF(OR(A1509="",L1509=""),"",IF(MOD(A1509-INDEX(SkiftStart,L1509),Syklus)&lt;DagK,"Kveld",IF(MOD(A1509-INDEX(SkiftStart,L1509),Syklus)&lt;DagK+DagH,"Helg",IF(MOD(A1509-INDEX(SkiftStart,L1509),Syklus)&lt;DagK+DagH+DagD,"Dag","Fri"))))</f>
        <v/>
      </c>
      <c r="J1509" s="30">
        <f>IF(I1509="Fri","Ja","")</f>
        <v/>
      </c>
      <c r="K1509" s="30">
        <f>IF(B1509="","",IF(L1509="","Ukjent tekniker",IF(ISNA(MATCH(C1509,Aktiviteter,0)),"Ukjent aktivitet",IF(AND(INDEX(AktRolle,MATCH(C1509,Aktiviteter,0))&amp;""&lt;&gt;"",ISERROR(SEARCH(INDEX(AktRolle,MATCH(C1509,Aktiviteter,0))&amp;"",INDEX(TekRoller,MATCH(B1509,Teknikere,0))))),"Mangler rollen "&amp;INDEX(AktRolle,MATCH(C1509,Aktiviteter,0))&amp;"",IF(AND(C1509="LMS",F1509&gt;0,OR(D1509="",E1509="")),"Mangler maskin eller arbeid",IF(AND(OR(C1509="LMS",C1509="Mod"),D1509&lt;&gt;""),IF(IFERROR(INDEX(MaskinStatus,MATCH(D1509,Maskiner,0)),"")="I dokk","","Maskinen er ikke i dokk"),""))))))</f>
        <v/>
      </c>
      <c r="L1509" s="2">
        <f>IF(B1509="","",IFERROR(INT((MATCH(B1509,Teknikere,0)-1)/18)+1,""))</f>
        <v/>
      </c>
      <c r="M1509" s="2">
        <f>IF(OR(A1509="",B1509=""),"",B1509&amp;"|"&amp;A1509)</f>
        <v/>
      </c>
      <c r="N1509" s="2">
        <f>IF(M1509="","",SUMIFS(TF_Timer,TF_Nokkel,M1509,TF_Akt,C1509))</f>
        <v/>
      </c>
      <c r="O1509" s="2">
        <f>IF(M1509="","",IF(AND(N1509=_xlfn.MAXIFS(TF_AktSum,TF_Nokkel,M1509),COUNTIFS(M$3:M1508,M1509,N$3:N1508,N1509)=0),M1509,""))</f>
        <v/>
      </c>
    </row>
    <row r="1510">
      <c r="A1510" s="34" t="n"/>
      <c r="B1510" s="35" t="n"/>
      <c r="C1510" s="35" t="n"/>
      <c r="D1510" s="35" t="n"/>
      <c r="E1510" s="35" t="n"/>
      <c r="F1510" s="36" t="n"/>
      <c r="G1510" s="35" t="n"/>
      <c r="H1510" s="30">
        <f>IF(L1510="","",INDEX(SkiftNavn,L1510))</f>
        <v/>
      </c>
      <c r="I1510" s="30">
        <f>IF(OR(A1510="",L1510=""),"",IF(MOD(A1510-INDEX(SkiftStart,L1510),Syklus)&lt;DagK,"Kveld",IF(MOD(A1510-INDEX(SkiftStart,L1510),Syklus)&lt;DagK+DagH,"Helg",IF(MOD(A1510-INDEX(SkiftStart,L1510),Syklus)&lt;DagK+DagH+DagD,"Dag","Fri"))))</f>
        <v/>
      </c>
      <c r="J1510" s="30">
        <f>IF(I1510="Fri","Ja","")</f>
        <v/>
      </c>
      <c r="K1510" s="30">
        <f>IF(B1510="","",IF(L1510="","Ukjent tekniker",IF(ISNA(MATCH(C1510,Aktiviteter,0)),"Ukjent aktivitet",IF(AND(INDEX(AktRolle,MATCH(C1510,Aktiviteter,0))&amp;""&lt;&gt;"",ISERROR(SEARCH(INDEX(AktRolle,MATCH(C1510,Aktiviteter,0))&amp;"",INDEX(TekRoller,MATCH(B1510,Teknikere,0))))),"Mangler rollen "&amp;INDEX(AktRolle,MATCH(C1510,Aktiviteter,0))&amp;"",IF(AND(C1510="LMS",F1510&gt;0,OR(D1510="",E1510="")),"Mangler maskin eller arbeid",IF(AND(OR(C1510="LMS",C1510="Mod"),D1510&lt;&gt;""),IF(IFERROR(INDEX(MaskinStatus,MATCH(D1510,Maskiner,0)),"")="I dokk","","Maskinen er ikke i dokk"),""))))))</f>
        <v/>
      </c>
      <c r="L1510" s="2">
        <f>IF(B1510="","",IFERROR(INT((MATCH(B1510,Teknikere,0)-1)/18)+1,""))</f>
        <v/>
      </c>
      <c r="M1510" s="2">
        <f>IF(OR(A1510="",B1510=""),"",B1510&amp;"|"&amp;A1510)</f>
        <v/>
      </c>
      <c r="N1510" s="2">
        <f>IF(M1510="","",SUMIFS(TF_Timer,TF_Nokkel,M1510,TF_Akt,C1510))</f>
        <v/>
      </c>
      <c r="O1510" s="2">
        <f>IF(M1510="","",IF(AND(N1510=_xlfn.MAXIFS(TF_AktSum,TF_Nokkel,M1510),COUNTIFS(M$3:M1509,M1510,N$3:N1509,N1510)=0),M1510,""))</f>
        <v/>
      </c>
    </row>
    <row r="1511">
      <c r="A1511" s="34" t="n"/>
      <c r="B1511" s="35" t="n"/>
      <c r="C1511" s="35" t="n"/>
      <c r="D1511" s="35" t="n"/>
      <c r="E1511" s="35" t="n"/>
      <c r="F1511" s="36" t="n"/>
      <c r="G1511" s="35" t="n"/>
      <c r="H1511" s="30">
        <f>IF(L1511="","",INDEX(SkiftNavn,L1511))</f>
        <v/>
      </c>
      <c r="I1511" s="30">
        <f>IF(OR(A1511="",L1511=""),"",IF(MOD(A1511-INDEX(SkiftStart,L1511),Syklus)&lt;DagK,"Kveld",IF(MOD(A1511-INDEX(SkiftStart,L1511),Syklus)&lt;DagK+DagH,"Helg",IF(MOD(A1511-INDEX(SkiftStart,L1511),Syklus)&lt;DagK+DagH+DagD,"Dag","Fri"))))</f>
        <v/>
      </c>
      <c r="J1511" s="30">
        <f>IF(I1511="Fri","Ja","")</f>
        <v/>
      </c>
      <c r="K1511" s="30">
        <f>IF(B1511="","",IF(L1511="","Ukjent tekniker",IF(ISNA(MATCH(C1511,Aktiviteter,0)),"Ukjent aktivitet",IF(AND(INDEX(AktRolle,MATCH(C1511,Aktiviteter,0))&amp;""&lt;&gt;"",ISERROR(SEARCH(INDEX(AktRolle,MATCH(C1511,Aktiviteter,0))&amp;"",INDEX(TekRoller,MATCH(B1511,Teknikere,0))))),"Mangler rollen "&amp;INDEX(AktRolle,MATCH(C1511,Aktiviteter,0))&amp;"",IF(AND(C1511="LMS",F1511&gt;0,OR(D1511="",E1511="")),"Mangler maskin eller arbeid",IF(AND(OR(C1511="LMS",C1511="Mod"),D1511&lt;&gt;""),IF(IFERROR(INDEX(MaskinStatus,MATCH(D1511,Maskiner,0)),"")="I dokk","","Maskinen er ikke i dokk"),""))))))</f>
        <v/>
      </c>
      <c r="L1511" s="2">
        <f>IF(B1511="","",IFERROR(INT((MATCH(B1511,Teknikere,0)-1)/18)+1,""))</f>
        <v/>
      </c>
      <c r="M1511" s="2">
        <f>IF(OR(A1511="",B1511=""),"",B1511&amp;"|"&amp;A1511)</f>
        <v/>
      </c>
      <c r="N1511" s="2">
        <f>IF(M1511="","",SUMIFS(TF_Timer,TF_Nokkel,M1511,TF_Akt,C1511))</f>
        <v/>
      </c>
      <c r="O1511" s="2">
        <f>IF(M1511="","",IF(AND(N1511=_xlfn.MAXIFS(TF_AktSum,TF_Nokkel,M1511),COUNTIFS(M$3:M1510,M1511,N$3:N1510,N1511)=0),M1511,""))</f>
        <v/>
      </c>
    </row>
    <row r="1512">
      <c r="A1512" s="34" t="n"/>
      <c r="B1512" s="35" t="n"/>
      <c r="C1512" s="35" t="n"/>
      <c r="D1512" s="35" t="n"/>
      <c r="E1512" s="35" t="n"/>
      <c r="F1512" s="36" t="n"/>
      <c r="G1512" s="35" t="n"/>
      <c r="H1512" s="30">
        <f>IF(L1512="","",INDEX(SkiftNavn,L1512))</f>
        <v/>
      </c>
      <c r="I1512" s="30">
        <f>IF(OR(A1512="",L1512=""),"",IF(MOD(A1512-INDEX(SkiftStart,L1512),Syklus)&lt;DagK,"Kveld",IF(MOD(A1512-INDEX(SkiftStart,L1512),Syklus)&lt;DagK+DagH,"Helg",IF(MOD(A1512-INDEX(SkiftStart,L1512),Syklus)&lt;DagK+DagH+DagD,"Dag","Fri"))))</f>
        <v/>
      </c>
      <c r="J1512" s="30">
        <f>IF(I1512="Fri","Ja","")</f>
        <v/>
      </c>
      <c r="K1512" s="30">
        <f>IF(B1512="","",IF(L1512="","Ukjent tekniker",IF(ISNA(MATCH(C1512,Aktiviteter,0)),"Ukjent aktivitet",IF(AND(INDEX(AktRolle,MATCH(C1512,Aktiviteter,0))&amp;""&lt;&gt;"",ISERROR(SEARCH(INDEX(AktRolle,MATCH(C1512,Aktiviteter,0))&amp;"",INDEX(TekRoller,MATCH(B1512,Teknikere,0))))),"Mangler rollen "&amp;INDEX(AktRolle,MATCH(C1512,Aktiviteter,0))&amp;"",IF(AND(C1512="LMS",F1512&gt;0,OR(D1512="",E1512="")),"Mangler maskin eller arbeid",IF(AND(OR(C1512="LMS",C1512="Mod"),D1512&lt;&gt;""),IF(IFERROR(INDEX(MaskinStatus,MATCH(D1512,Maskiner,0)),"")="I dokk","","Maskinen er ikke i dokk"),""))))))</f>
        <v/>
      </c>
      <c r="L1512" s="2">
        <f>IF(B1512="","",IFERROR(INT((MATCH(B1512,Teknikere,0)-1)/18)+1,""))</f>
        <v/>
      </c>
      <c r="M1512" s="2">
        <f>IF(OR(A1512="",B1512=""),"",B1512&amp;"|"&amp;A1512)</f>
        <v/>
      </c>
      <c r="N1512" s="2">
        <f>IF(M1512="","",SUMIFS(TF_Timer,TF_Nokkel,M1512,TF_Akt,C1512))</f>
        <v/>
      </c>
      <c r="O1512" s="2">
        <f>IF(M1512="","",IF(AND(N1512=_xlfn.MAXIFS(TF_AktSum,TF_Nokkel,M1512),COUNTIFS(M$3:M1511,M1512,N$3:N1511,N1512)=0),M1512,""))</f>
        <v/>
      </c>
    </row>
    <row r="1513">
      <c r="A1513" s="34" t="n"/>
      <c r="B1513" s="35" t="n"/>
      <c r="C1513" s="35" t="n"/>
      <c r="D1513" s="35" t="n"/>
      <c r="E1513" s="35" t="n"/>
      <c r="F1513" s="36" t="n"/>
      <c r="G1513" s="35" t="n"/>
      <c r="H1513" s="30">
        <f>IF(L1513="","",INDEX(SkiftNavn,L1513))</f>
        <v/>
      </c>
      <c r="I1513" s="30">
        <f>IF(OR(A1513="",L1513=""),"",IF(MOD(A1513-INDEX(SkiftStart,L1513),Syklus)&lt;DagK,"Kveld",IF(MOD(A1513-INDEX(SkiftStart,L1513),Syklus)&lt;DagK+DagH,"Helg",IF(MOD(A1513-INDEX(SkiftStart,L1513),Syklus)&lt;DagK+DagH+DagD,"Dag","Fri"))))</f>
        <v/>
      </c>
      <c r="J1513" s="30">
        <f>IF(I1513="Fri","Ja","")</f>
        <v/>
      </c>
      <c r="K1513" s="30">
        <f>IF(B1513="","",IF(L1513="","Ukjent tekniker",IF(ISNA(MATCH(C1513,Aktiviteter,0)),"Ukjent aktivitet",IF(AND(INDEX(AktRolle,MATCH(C1513,Aktiviteter,0))&amp;""&lt;&gt;"",ISERROR(SEARCH(INDEX(AktRolle,MATCH(C1513,Aktiviteter,0))&amp;"",INDEX(TekRoller,MATCH(B1513,Teknikere,0))))),"Mangler rollen "&amp;INDEX(AktRolle,MATCH(C1513,Aktiviteter,0))&amp;"",IF(AND(C1513="LMS",F1513&gt;0,OR(D1513="",E1513="")),"Mangler maskin eller arbeid",IF(AND(OR(C1513="LMS",C1513="Mod"),D1513&lt;&gt;""),IF(IFERROR(INDEX(MaskinStatus,MATCH(D1513,Maskiner,0)),"")="I dokk","","Maskinen er ikke i dokk"),""))))))</f>
        <v/>
      </c>
      <c r="L1513" s="2">
        <f>IF(B1513="","",IFERROR(INT((MATCH(B1513,Teknikere,0)-1)/18)+1,""))</f>
        <v/>
      </c>
      <c r="M1513" s="2">
        <f>IF(OR(A1513="",B1513=""),"",B1513&amp;"|"&amp;A1513)</f>
        <v/>
      </c>
      <c r="N1513" s="2">
        <f>IF(M1513="","",SUMIFS(TF_Timer,TF_Nokkel,M1513,TF_Akt,C1513))</f>
        <v/>
      </c>
      <c r="O1513" s="2">
        <f>IF(M1513="","",IF(AND(N1513=_xlfn.MAXIFS(TF_AktSum,TF_Nokkel,M1513),COUNTIFS(M$3:M1512,M1513,N$3:N1512,N1513)=0),M1513,""))</f>
        <v/>
      </c>
    </row>
    <row r="1514">
      <c r="A1514" s="34" t="n"/>
      <c r="B1514" s="35" t="n"/>
      <c r="C1514" s="35" t="n"/>
      <c r="D1514" s="35" t="n"/>
      <c r="E1514" s="35" t="n"/>
      <c r="F1514" s="36" t="n"/>
      <c r="G1514" s="35" t="n"/>
      <c r="H1514" s="30">
        <f>IF(L1514="","",INDEX(SkiftNavn,L1514))</f>
        <v/>
      </c>
      <c r="I1514" s="30">
        <f>IF(OR(A1514="",L1514=""),"",IF(MOD(A1514-INDEX(SkiftStart,L1514),Syklus)&lt;DagK,"Kveld",IF(MOD(A1514-INDEX(SkiftStart,L1514),Syklus)&lt;DagK+DagH,"Helg",IF(MOD(A1514-INDEX(SkiftStart,L1514),Syklus)&lt;DagK+DagH+DagD,"Dag","Fri"))))</f>
        <v/>
      </c>
      <c r="J1514" s="30">
        <f>IF(I1514="Fri","Ja","")</f>
        <v/>
      </c>
      <c r="K1514" s="30">
        <f>IF(B1514="","",IF(L1514="","Ukjent tekniker",IF(ISNA(MATCH(C1514,Aktiviteter,0)),"Ukjent aktivitet",IF(AND(INDEX(AktRolle,MATCH(C1514,Aktiviteter,0))&amp;""&lt;&gt;"",ISERROR(SEARCH(INDEX(AktRolle,MATCH(C1514,Aktiviteter,0))&amp;"",INDEX(TekRoller,MATCH(B1514,Teknikere,0))))),"Mangler rollen "&amp;INDEX(AktRolle,MATCH(C1514,Aktiviteter,0))&amp;"",IF(AND(C1514="LMS",F1514&gt;0,OR(D1514="",E1514="")),"Mangler maskin eller arbeid",IF(AND(OR(C1514="LMS",C1514="Mod"),D1514&lt;&gt;""),IF(IFERROR(INDEX(MaskinStatus,MATCH(D1514,Maskiner,0)),"")="I dokk","","Maskinen er ikke i dokk"),""))))))</f>
        <v/>
      </c>
      <c r="L1514" s="2">
        <f>IF(B1514="","",IFERROR(INT((MATCH(B1514,Teknikere,0)-1)/18)+1,""))</f>
        <v/>
      </c>
      <c r="M1514" s="2">
        <f>IF(OR(A1514="",B1514=""),"",B1514&amp;"|"&amp;A1514)</f>
        <v/>
      </c>
      <c r="N1514" s="2">
        <f>IF(M1514="","",SUMIFS(TF_Timer,TF_Nokkel,M1514,TF_Akt,C1514))</f>
        <v/>
      </c>
      <c r="O1514" s="2">
        <f>IF(M1514="","",IF(AND(N1514=_xlfn.MAXIFS(TF_AktSum,TF_Nokkel,M1514),COUNTIFS(M$3:M1513,M1514,N$3:N1513,N1514)=0),M1514,""))</f>
        <v/>
      </c>
    </row>
    <row r="1515">
      <c r="A1515" s="34" t="n"/>
      <c r="B1515" s="35" t="n"/>
      <c r="C1515" s="35" t="n"/>
      <c r="D1515" s="35" t="n"/>
      <c r="E1515" s="35" t="n"/>
      <c r="F1515" s="36" t="n"/>
      <c r="G1515" s="35" t="n"/>
      <c r="H1515" s="30">
        <f>IF(L1515="","",INDEX(SkiftNavn,L1515))</f>
        <v/>
      </c>
      <c r="I1515" s="30">
        <f>IF(OR(A1515="",L1515=""),"",IF(MOD(A1515-INDEX(SkiftStart,L1515),Syklus)&lt;DagK,"Kveld",IF(MOD(A1515-INDEX(SkiftStart,L1515),Syklus)&lt;DagK+DagH,"Helg",IF(MOD(A1515-INDEX(SkiftStart,L1515),Syklus)&lt;DagK+DagH+DagD,"Dag","Fri"))))</f>
        <v/>
      </c>
      <c r="J1515" s="30">
        <f>IF(I1515="Fri","Ja","")</f>
        <v/>
      </c>
      <c r="K1515" s="30">
        <f>IF(B1515="","",IF(L1515="","Ukjent tekniker",IF(ISNA(MATCH(C1515,Aktiviteter,0)),"Ukjent aktivitet",IF(AND(INDEX(AktRolle,MATCH(C1515,Aktiviteter,0))&amp;""&lt;&gt;"",ISERROR(SEARCH(INDEX(AktRolle,MATCH(C1515,Aktiviteter,0))&amp;"",INDEX(TekRoller,MATCH(B1515,Teknikere,0))))),"Mangler rollen "&amp;INDEX(AktRolle,MATCH(C1515,Aktiviteter,0))&amp;"",IF(AND(C1515="LMS",F1515&gt;0,OR(D1515="",E1515="")),"Mangler maskin eller arbeid",IF(AND(OR(C1515="LMS",C1515="Mod"),D1515&lt;&gt;""),IF(IFERROR(INDEX(MaskinStatus,MATCH(D1515,Maskiner,0)),"")="I dokk","","Maskinen er ikke i dokk"),""))))))</f>
        <v/>
      </c>
      <c r="L1515" s="2">
        <f>IF(B1515="","",IFERROR(INT((MATCH(B1515,Teknikere,0)-1)/18)+1,""))</f>
        <v/>
      </c>
      <c r="M1515" s="2">
        <f>IF(OR(A1515="",B1515=""),"",B1515&amp;"|"&amp;A1515)</f>
        <v/>
      </c>
      <c r="N1515" s="2">
        <f>IF(M1515="","",SUMIFS(TF_Timer,TF_Nokkel,M1515,TF_Akt,C1515))</f>
        <v/>
      </c>
      <c r="O1515" s="2">
        <f>IF(M1515="","",IF(AND(N1515=_xlfn.MAXIFS(TF_AktSum,TF_Nokkel,M1515),COUNTIFS(M$3:M1514,M1515,N$3:N1514,N1515)=0),M1515,""))</f>
        <v/>
      </c>
    </row>
    <row r="1516">
      <c r="A1516" s="34" t="n"/>
      <c r="B1516" s="35" t="n"/>
      <c r="C1516" s="35" t="n"/>
      <c r="D1516" s="35" t="n"/>
      <c r="E1516" s="35" t="n"/>
      <c r="F1516" s="36" t="n"/>
      <c r="G1516" s="35" t="n"/>
      <c r="H1516" s="30">
        <f>IF(L1516="","",INDEX(SkiftNavn,L1516))</f>
        <v/>
      </c>
      <c r="I1516" s="30">
        <f>IF(OR(A1516="",L1516=""),"",IF(MOD(A1516-INDEX(SkiftStart,L1516),Syklus)&lt;DagK,"Kveld",IF(MOD(A1516-INDEX(SkiftStart,L1516),Syklus)&lt;DagK+DagH,"Helg",IF(MOD(A1516-INDEX(SkiftStart,L1516),Syklus)&lt;DagK+DagH+DagD,"Dag","Fri"))))</f>
        <v/>
      </c>
      <c r="J1516" s="30">
        <f>IF(I1516="Fri","Ja","")</f>
        <v/>
      </c>
      <c r="K1516" s="30">
        <f>IF(B1516="","",IF(L1516="","Ukjent tekniker",IF(ISNA(MATCH(C1516,Aktiviteter,0)),"Ukjent aktivitet",IF(AND(INDEX(AktRolle,MATCH(C1516,Aktiviteter,0))&amp;""&lt;&gt;"",ISERROR(SEARCH(INDEX(AktRolle,MATCH(C1516,Aktiviteter,0))&amp;"",INDEX(TekRoller,MATCH(B1516,Teknikere,0))))),"Mangler rollen "&amp;INDEX(AktRolle,MATCH(C1516,Aktiviteter,0))&amp;"",IF(AND(C1516="LMS",F1516&gt;0,OR(D1516="",E1516="")),"Mangler maskin eller arbeid",IF(AND(OR(C1516="LMS",C1516="Mod"),D1516&lt;&gt;""),IF(IFERROR(INDEX(MaskinStatus,MATCH(D1516,Maskiner,0)),"")="I dokk","","Maskinen er ikke i dokk"),""))))))</f>
        <v/>
      </c>
      <c r="L1516" s="2">
        <f>IF(B1516="","",IFERROR(INT((MATCH(B1516,Teknikere,0)-1)/18)+1,""))</f>
        <v/>
      </c>
      <c r="M1516" s="2">
        <f>IF(OR(A1516="",B1516=""),"",B1516&amp;"|"&amp;A1516)</f>
        <v/>
      </c>
      <c r="N1516" s="2">
        <f>IF(M1516="","",SUMIFS(TF_Timer,TF_Nokkel,M1516,TF_Akt,C1516))</f>
        <v/>
      </c>
      <c r="O1516" s="2">
        <f>IF(M1516="","",IF(AND(N1516=_xlfn.MAXIFS(TF_AktSum,TF_Nokkel,M1516),COUNTIFS(M$3:M1515,M1516,N$3:N1515,N1516)=0),M1516,""))</f>
        <v/>
      </c>
    </row>
    <row r="1517">
      <c r="A1517" s="34" t="n"/>
      <c r="B1517" s="35" t="n"/>
      <c r="C1517" s="35" t="n"/>
      <c r="D1517" s="35" t="n"/>
      <c r="E1517" s="35" t="n"/>
      <c r="F1517" s="36" t="n"/>
      <c r="G1517" s="35" t="n"/>
      <c r="H1517" s="30">
        <f>IF(L1517="","",INDEX(SkiftNavn,L1517))</f>
        <v/>
      </c>
      <c r="I1517" s="30">
        <f>IF(OR(A1517="",L1517=""),"",IF(MOD(A1517-INDEX(SkiftStart,L1517),Syklus)&lt;DagK,"Kveld",IF(MOD(A1517-INDEX(SkiftStart,L1517),Syklus)&lt;DagK+DagH,"Helg",IF(MOD(A1517-INDEX(SkiftStart,L1517),Syklus)&lt;DagK+DagH+DagD,"Dag","Fri"))))</f>
        <v/>
      </c>
      <c r="J1517" s="30">
        <f>IF(I1517="Fri","Ja","")</f>
        <v/>
      </c>
      <c r="K1517" s="30">
        <f>IF(B1517="","",IF(L1517="","Ukjent tekniker",IF(ISNA(MATCH(C1517,Aktiviteter,0)),"Ukjent aktivitet",IF(AND(INDEX(AktRolle,MATCH(C1517,Aktiviteter,0))&amp;""&lt;&gt;"",ISERROR(SEARCH(INDEX(AktRolle,MATCH(C1517,Aktiviteter,0))&amp;"",INDEX(TekRoller,MATCH(B1517,Teknikere,0))))),"Mangler rollen "&amp;INDEX(AktRolle,MATCH(C1517,Aktiviteter,0))&amp;"",IF(AND(C1517="LMS",F1517&gt;0,OR(D1517="",E1517="")),"Mangler maskin eller arbeid",IF(AND(OR(C1517="LMS",C1517="Mod"),D1517&lt;&gt;""),IF(IFERROR(INDEX(MaskinStatus,MATCH(D1517,Maskiner,0)),"")="I dokk","","Maskinen er ikke i dokk"),""))))))</f>
        <v/>
      </c>
      <c r="L1517" s="2">
        <f>IF(B1517="","",IFERROR(INT((MATCH(B1517,Teknikere,0)-1)/18)+1,""))</f>
        <v/>
      </c>
      <c r="M1517" s="2">
        <f>IF(OR(A1517="",B1517=""),"",B1517&amp;"|"&amp;A1517)</f>
        <v/>
      </c>
      <c r="N1517" s="2">
        <f>IF(M1517="","",SUMIFS(TF_Timer,TF_Nokkel,M1517,TF_Akt,C1517))</f>
        <v/>
      </c>
      <c r="O1517" s="2">
        <f>IF(M1517="","",IF(AND(N1517=_xlfn.MAXIFS(TF_AktSum,TF_Nokkel,M1517),COUNTIFS(M$3:M1516,M1517,N$3:N1516,N1517)=0),M1517,""))</f>
        <v/>
      </c>
    </row>
    <row r="1518">
      <c r="A1518" s="34" t="n"/>
      <c r="B1518" s="35" t="n"/>
      <c r="C1518" s="35" t="n"/>
      <c r="D1518" s="35" t="n"/>
      <c r="E1518" s="35" t="n"/>
      <c r="F1518" s="36" t="n"/>
      <c r="G1518" s="35" t="n"/>
      <c r="H1518" s="30">
        <f>IF(L1518="","",INDEX(SkiftNavn,L1518))</f>
        <v/>
      </c>
      <c r="I1518" s="30">
        <f>IF(OR(A1518="",L1518=""),"",IF(MOD(A1518-INDEX(SkiftStart,L1518),Syklus)&lt;DagK,"Kveld",IF(MOD(A1518-INDEX(SkiftStart,L1518),Syklus)&lt;DagK+DagH,"Helg",IF(MOD(A1518-INDEX(SkiftStart,L1518),Syklus)&lt;DagK+DagH+DagD,"Dag","Fri"))))</f>
        <v/>
      </c>
      <c r="J1518" s="30">
        <f>IF(I1518="Fri","Ja","")</f>
        <v/>
      </c>
      <c r="K1518" s="30">
        <f>IF(B1518="","",IF(L1518="","Ukjent tekniker",IF(ISNA(MATCH(C1518,Aktiviteter,0)),"Ukjent aktivitet",IF(AND(INDEX(AktRolle,MATCH(C1518,Aktiviteter,0))&amp;""&lt;&gt;"",ISERROR(SEARCH(INDEX(AktRolle,MATCH(C1518,Aktiviteter,0))&amp;"",INDEX(TekRoller,MATCH(B1518,Teknikere,0))))),"Mangler rollen "&amp;INDEX(AktRolle,MATCH(C1518,Aktiviteter,0))&amp;"",IF(AND(C1518="LMS",F1518&gt;0,OR(D1518="",E1518="")),"Mangler maskin eller arbeid",IF(AND(OR(C1518="LMS",C1518="Mod"),D1518&lt;&gt;""),IF(IFERROR(INDEX(MaskinStatus,MATCH(D1518,Maskiner,0)),"")="I dokk","","Maskinen er ikke i dokk"),""))))))</f>
        <v/>
      </c>
      <c r="L1518" s="2">
        <f>IF(B1518="","",IFERROR(INT((MATCH(B1518,Teknikere,0)-1)/18)+1,""))</f>
        <v/>
      </c>
      <c r="M1518" s="2">
        <f>IF(OR(A1518="",B1518=""),"",B1518&amp;"|"&amp;A1518)</f>
        <v/>
      </c>
      <c r="N1518" s="2">
        <f>IF(M1518="","",SUMIFS(TF_Timer,TF_Nokkel,M1518,TF_Akt,C1518))</f>
        <v/>
      </c>
      <c r="O1518" s="2">
        <f>IF(M1518="","",IF(AND(N1518=_xlfn.MAXIFS(TF_AktSum,TF_Nokkel,M1518),COUNTIFS(M$3:M1517,M1518,N$3:N1517,N1518)=0),M1518,""))</f>
        <v/>
      </c>
    </row>
    <row r="1519">
      <c r="A1519" s="34" t="n"/>
      <c r="B1519" s="35" t="n"/>
      <c r="C1519" s="35" t="n"/>
      <c r="D1519" s="35" t="n"/>
      <c r="E1519" s="35" t="n"/>
      <c r="F1519" s="36" t="n"/>
      <c r="G1519" s="35" t="n"/>
      <c r="H1519" s="30">
        <f>IF(L1519="","",INDEX(SkiftNavn,L1519))</f>
        <v/>
      </c>
      <c r="I1519" s="30">
        <f>IF(OR(A1519="",L1519=""),"",IF(MOD(A1519-INDEX(SkiftStart,L1519),Syklus)&lt;DagK,"Kveld",IF(MOD(A1519-INDEX(SkiftStart,L1519),Syklus)&lt;DagK+DagH,"Helg",IF(MOD(A1519-INDEX(SkiftStart,L1519),Syklus)&lt;DagK+DagH+DagD,"Dag","Fri"))))</f>
        <v/>
      </c>
      <c r="J1519" s="30">
        <f>IF(I1519="Fri","Ja","")</f>
        <v/>
      </c>
      <c r="K1519" s="30">
        <f>IF(B1519="","",IF(L1519="","Ukjent tekniker",IF(ISNA(MATCH(C1519,Aktiviteter,0)),"Ukjent aktivitet",IF(AND(INDEX(AktRolle,MATCH(C1519,Aktiviteter,0))&amp;""&lt;&gt;"",ISERROR(SEARCH(INDEX(AktRolle,MATCH(C1519,Aktiviteter,0))&amp;"",INDEX(TekRoller,MATCH(B1519,Teknikere,0))))),"Mangler rollen "&amp;INDEX(AktRolle,MATCH(C1519,Aktiviteter,0))&amp;"",IF(AND(C1519="LMS",F1519&gt;0,OR(D1519="",E1519="")),"Mangler maskin eller arbeid",IF(AND(OR(C1519="LMS",C1519="Mod"),D1519&lt;&gt;""),IF(IFERROR(INDEX(MaskinStatus,MATCH(D1519,Maskiner,0)),"")="I dokk","","Maskinen er ikke i dokk"),""))))))</f>
        <v/>
      </c>
      <c r="L1519" s="2">
        <f>IF(B1519="","",IFERROR(INT((MATCH(B1519,Teknikere,0)-1)/18)+1,""))</f>
        <v/>
      </c>
      <c r="M1519" s="2">
        <f>IF(OR(A1519="",B1519=""),"",B1519&amp;"|"&amp;A1519)</f>
        <v/>
      </c>
      <c r="N1519" s="2">
        <f>IF(M1519="","",SUMIFS(TF_Timer,TF_Nokkel,M1519,TF_Akt,C1519))</f>
        <v/>
      </c>
      <c r="O1519" s="2">
        <f>IF(M1519="","",IF(AND(N1519=_xlfn.MAXIFS(TF_AktSum,TF_Nokkel,M1519),COUNTIFS(M$3:M1518,M1519,N$3:N1518,N1519)=0),M1519,""))</f>
        <v/>
      </c>
    </row>
    <row r="1520">
      <c r="A1520" s="34" t="n"/>
      <c r="B1520" s="35" t="n"/>
      <c r="C1520" s="35" t="n"/>
      <c r="D1520" s="35" t="n"/>
      <c r="E1520" s="35" t="n"/>
      <c r="F1520" s="36" t="n"/>
      <c r="G1520" s="35" t="n"/>
      <c r="H1520" s="30">
        <f>IF(L1520="","",INDEX(SkiftNavn,L1520))</f>
        <v/>
      </c>
      <c r="I1520" s="30">
        <f>IF(OR(A1520="",L1520=""),"",IF(MOD(A1520-INDEX(SkiftStart,L1520),Syklus)&lt;DagK,"Kveld",IF(MOD(A1520-INDEX(SkiftStart,L1520),Syklus)&lt;DagK+DagH,"Helg",IF(MOD(A1520-INDEX(SkiftStart,L1520),Syklus)&lt;DagK+DagH+DagD,"Dag","Fri"))))</f>
        <v/>
      </c>
      <c r="J1520" s="30">
        <f>IF(I1520="Fri","Ja","")</f>
        <v/>
      </c>
      <c r="K1520" s="30">
        <f>IF(B1520="","",IF(L1520="","Ukjent tekniker",IF(ISNA(MATCH(C1520,Aktiviteter,0)),"Ukjent aktivitet",IF(AND(INDEX(AktRolle,MATCH(C1520,Aktiviteter,0))&amp;""&lt;&gt;"",ISERROR(SEARCH(INDEX(AktRolle,MATCH(C1520,Aktiviteter,0))&amp;"",INDEX(TekRoller,MATCH(B1520,Teknikere,0))))),"Mangler rollen "&amp;INDEX(AktRolle,MATCH(C1520,Aktiviteter,0))&amp;"",IF(AND(C1520="LMS",F1520&gt;0,OR(D1520="",E1520="")),"Mangler maskin eller arbeid",IF(AND(OR(C1520="LMS",C1520="Mod"),D1520&lt;&gt;""),IF(IFERROR(INDEX(MaskinStatus,MATCH(D1520,Maskiner,0)),"")="I dokk","","Maskinen er ikke i dokk"),""))))))</f>
        <v/>
      </c>
      <c r="L1520" s="2">
        <f>IF(B1520="","",IFERROR(INT((MATCH(B1520,Teknikere,0)-1)/18)+1,""))</f>
        <v/>
      </c>
      <c r="M1520" s="2">
        <f>IF(OR(A1520="",B1520=""),"",B1520&amp;"|"&amp;A1520)</f>
        <v/>
      </c>
      <c r="N1520" s="2">
        <f>IF(M1520="","",SUMIFS(TF_Timer,TF_Nokkel,M1520,TF_Akt,C1520))</f>
        <v/>
      </c>
      <c r="O1520" s="2">
        <f>IF(M1520="","",IF(AND(N1520=_xlfn.MAXIFS(TF_AktSum,TF_Nokkel,M1520),COUNTIFS(M$3:M1519,M1520,N$3:N1519,N1520)=0),M1520,""))</f>
        <v/>
      </c>
    </row>
    <row r="1521">
      <c r="A1521" s="34" t="n"/>
      <c r="B1521" s="35" t="n"/>
      <c r="C1521" s="35" t="n"/>
      <c r="D1521" s="35" t="n"/>
      <c r="E1521" s="35" t="n"/>
      <c r="F1521" s="36" t="n"/>
      <c r="G1521" s="35" t="n"/>
      <c r="H1521" s="30">
        <f>IF(L1521="","",INDEX(SkiftNavn,L1521))</f>
        <v/>
      </c>
      <c r="I1521" s="30">
        <f>IF(OR(A1521="",L1521=""),"",IF(MOD(A1521-INDEX(SkiftStart,L1521),Syklus)&lt;DagK,"Kveld",IF(MOD(A1521-INDEX(SkiftStart,L1521),Syklus)&lt;DagK+DagH,"Helg",IF(MOD(A1521-INDEX(SkiftStart,L1521),Syklus)&lt;DagK+DagH+DagD,"Dag","Fri"))))</f>
        <v/>
      </c>
      <c r="J1521" s="30">
        <f>IF(I1521="Fri","Ja","")</f>
        <v/>
      </c>
      <c r="K1521" s="30">
        <f>IF(B1521="","",IF(L1521="","Ukjent tekniker",IF(ISNA(MATCH(C1521,Aktiviteter,0)),"Ukjent aktivitet",IF(AND(INDEX(AktRolle,MATCH(C1521,Aktiviteter,0))&amp;""&lt;&gt;"",ISERROR(SEARCH(INDEX(AktRolle,MATCH(C1521,Aktiviteter,0))&amp;"",INDEX(TekRoller,MATCH(B1521,Teknikere,0))))),"Mangler rollen "&amp;INDEX(AktRolle,MATCH(C1521,Aktiviteter,0))&amp;"",IF(AND(C1521="LMS",F1521&gt;0,OR(D1521="",E1521="")),"Mangler maskin eller arbeid",IF(AND(OR(C1521="LMS",C1521="Mod"),D1521&lt;&gt;""),IF(IFERROR(INDEX(MaskinStatus,MATCH(D1521,Maskiner,0)),"")="I dokk","","Maskinen er ikke i dokk"),""))))))</f>
        <v/>
      </c>
      <c r="L1521" s="2">
        <f>IF(B1521="","",IFERROR(INT((MATCH(B1521,Teknikere,0)-1)/18)+1,""))</f>
        <v/>
      </c>
      <c r="M1521" s="2">
        <f>IF(OR(A1521="",B1521=""),"",B1521&amp;"|"&amp;A1521)</f>
        <v/>
      </c>
      <c r="N1521" s="2">
        <f>IF(M1521="","",SUMIFS(TF_Timer,TF_Nokkel,M1521,TF_Akt,C1521))</f>
        <v/>
      </c>
      <c r="O1521" s="2">
        <f>IF(M1521="","",IF(AND(N1521=_xlfn.MAXIFS(TF_AktSum,TF_Nokkel,M1521),COUNTIFS(M$3:M1520,M1521,N$3:N1520,N1521)=0),M1521,""))</f>
        <v/>
      </c>
    </row>
    <row r="1522">
      <c r="A1522" s="34" t="n"/>
      <c r="B1522" s="35" t="n"/>
      <c r="C1522" s="35" t="n"/>
      <c r="D1522" s="35" t="n"/>
      <c r="E1522" s="35" t="n"/>
      <c r="F1522" s="36" t="n"/>
      <c r="G1522" s="35" t="n"/>
      <c r="H1522" s="30">
        <f>IF(L1522="","",INDEX(SkiftNavn,L1522))</f>
        <v/>
      </c>
      <c r="I1522" s="30">
        <f>IF(OR(A1522="",L1522=""),"",IF(MOD(A1522-INDEX(SkiftStart,L1522),Syklus)&lt;DagK,"Kveld",IF(MOD(A1522-INDEX(SkiftStart,L1522),Syklus)&lt;DagK+DagH,"Helg",IF(MOD(A1522-INDEX(SkiftStart,L1522),Syklus)&lt;DagK+DagH+DagD,"Dag","Fri"))))</f>
        <v/>
      </c>
      <c r="J1522" s="30">
        <f>IF(I1522="Fri","Ja","")</f>
        <v/>
      </c>
      <c r="K1522" s="30">
        <f>IF(B1522="","",IF(L1522="","Ukjent tekniker",IF(ISNA(MATCH(C1522,Aktiviteter,0)),"Ukjent aktivitet",IF(AND(INDEX(AktRolle,MATCH(C1522,Aktiviteter,0))&amp;""&lt;&gt;"",ISERROR(SEARCH(INDEX(AktRolle,MATCH(C1522,Aktiviteter,0))&amp;"",INDEX(TekRoller,MATCH(B1522,Teknikere,0))))),"Mangler rollen "&amp;INDEX(AktRolle,MATCH(C1522,Aktiviteter,0))&amp;"",IF(AND(C1522="LMS",F1522&gt;0,OR(D1522="",E1522="")),"Mangler maskin eller arbeid",IF(AND(OR(C1522="LMS",C1522="Mod"),D1522&lt;&gt;""),IF(IFERROR(INDEX(MaskinStatus,MATCH(D1522,Maskiner,0)),"")="I dokk","","Maskinen er ikke i dokk"),""))))))</f>
        <v/>
      </c>
      <c r="L1522" s="2">
        <f>IF(B1522="","",IFERROR(INT((MATCH(B1522,Teknikere,0)-1)/18)+1,""))</f>
        <v/>
      </c>
      <c r="M1522" s="2">
        <f>IF(OR(A1522="",B1522=""),"",B1522&amp;"|"&amp;A1522)</f>
        <v/>
      </c>
      <c r="N1522" s="2">
        <f>IF(M1522="","",SUMIFS(TF_Timer,TF_Nokkel,M1522,TF_Akt,C1522))</f>
        <v/>
      </c>
      <c r="O1522" s="2">
        <f>IF(M1522="","",IF(AND(N1522=_xlfn.MAXIFS(TF_AktSum,TF_Nokkel,M1522),COUNTIFS(M$3:M1521,M1522,N$3:N1521,N1522)=0),M1522,""))</f>
        <v/>
      </c>
    </row>
    <row r="1523">
      <c r="A1523" s="34" t="n"/>
      <c r="B1523" s="35" t="n"/>
      <c r="C1523" s="35" t="n"/>
      <c r="D1523" s="35" t="n"/>
      <c r="E1523" s="35" t="n"/>
      <c r="F1523" s="36" t="n"/>
      <c r="G1523" s="35" t="n"/>
      <c r="H1523" s="30">
        <f>IF(L1523="","",INDEX(SkiftNavn,L1523))</f>
        <v/>
      </c>
      <c r="I1523" s="30">
        <f>IF(OR(A1523="",L1523=""),"",IF(MOD(A1523-INDEX(SkiftStart,L1523),Syklus)&lt;DagK,"Kveld",IF(MOD(A1523-INDEX(SkiftStart,L1523),Syklus)&lt;DagK+DagH,"Helg",IF(MOD(A1523-INDEX(SkiftStart,L1523),Syklus)&lt;DagK+DagH+DagD,"Dag","Fri"))))</f>
        <v/>
      </c>
      <c r="J1523" s="30">
        <f>IF(I1523="Fri","Ja","")</f>
        <v/>
      </c>
      <c r="K1523" s="30">
        <f>IF(B1523="","",IF(L1523="","Ukjent tekniker",IF(ISNA(MATCH(C1523,Aktiviteter,0)),"Ukjent aktivitet",IF(AND(INDEX(AktRolle,MATCH(C1523,Aktiviteter,0))&amp;""&lt;&gt;"",ISERROR(SEARCH(INDEX(AktRolle,MATCH(C1523,Aktiviteter,0))&amp;"",INDEX(TekRoller,MATCH(B1523,Teknikere,0))))),"Mangler rollen "&amp;INDEX(AktRolle,MATCH(C1523,Aktiviteter,0))&amp;"",IF(AND(C1523="LMS",F1523&gt;0,OR(D1523="",E1523="")),"Mangler maskin eller arbeid",IF(AND(OR(C1523="LMS",C1523="Mod"),D1523&lt;&gt;""),IF(IFERROR(INDEX(MaskinStatus,MATCH(D1523,Maskiner,0)),"")="I dokk","","Maskinen er ikke i dokk"),""))))))</f>
        <v/>
      </c>
      <c r="L1523" s="2">
        <f>IF(B1523="","",IFERROR(INT((MATCH(B1523,Teknikere,0)-1)/18)+1,""))</f>
        <v/>
      </c>
      <c r="M1523" s="2">
        <f>IF(OR(A1523="",B1523=""),"",B1523&amp;"|"&amp;A1523)</f>
        <v/>
      </c>
      <c r="N1523" s="2">
        <f>IF(M1523="","",SUMIFS(TF_Timer,TF_Nokkel,M1523,TF_Akt,C1523))</f>
        <v/>
      </c>
      <c r="O1523" s="2">
        <f>IF(M1523="","",IF(AND(N1523=_xlfn.MAXIFS(TF_AktSum,TF_Nokkel,M1523),COUNTIFS(M$3:M1522,M1523,N$3:N1522,N1523)=0),M1523,""))</f>
        <v/>
      </c>
    </row>
    <row r="1524">
      <c r="A1524" s="34" t="n"/>
      <c r="B1524" s="35" t="n"/>
      <c r="C1524" s="35" t="n"/>
      <c r="D1524" s="35" t="n"/>
      <c r="E1524" s="35" t="n"/>
      <c r="F1524" s="36" t="n"/>
      <c r="G1524" s="35" t="n"/>
      <c r="H1524" s="30">
        <f>IF(L1524="","",INDEX(SkiftNavn,L1524))</f>
        <v/>
      </c>
      <c r="I1524" s="30">
        <f>IF(OR(A1524="",L1524=""),"",IF(MOD(A1524-INDEX(SkiftStart,L1524),Syklus)&lt;DagK,"Kveld",IF(MOD(A1524-INDEX(SkiftStart,L1524),Syklus)&lt;DagK+DagH,"Helg",IF(MOD(A1524-INDEX(SkiftStart,L1524),Syklus)&lt;DagK+DagH+DagD,"Dag","Fri"))))</f>
        <v/>
      </c>
      <c r="J1524" s="30">
        <f>IF(I1524="Fri","Ja","")</f>
        <v/>
      </c>
      <c r="K1524" s="30">
        <f>IF(B1524="","",IF(L1524="","Ukjent tekniker",IF(ISNA(MATCH(C1524,Aktiviteter,0)),"Ukjent aktivitet",IF(AND(INDEX(AktRolle,MATCH(C1524,Aktiviteter,0))&amp;""&lt;&gt;"",ISERROR(SEARCH(INDEX(AktRolle,MATCH(C1524,Aktiviteter,0))&amp;"",INDEX(TekRoller,MATCH(B1524,Teknikere,0))))),"Mangler rollen "&amp;INDEX(AktRolle,MATCH(C1524,Aktiviteter,0))&amp;"",IF(AND(C1524="LMS",F1524&gt;0,OR(D1524="",E1524="")),"Mangler maskin eller arbeid",IF(AND(OR(C1524="LMS",C1524="Mod"),D1524&lt;&gt;""),IF(IFERROR(INDEX(MaskinStatus,MATCH(D1524,Maskiner,0)),"")="I dokk","","Maskinen er ikke i dokk"),""))))))</f>
        <v/>
      </c>
      <c r="L1524" s="2">
        <f>IF(B1524="","",IFERROR(INT((MATCH(B1524,Teknikere,0)-1)/18)+1,""))</f>
        <v/>
      </c>
      <c r="M1524" s="2">
        <f>IF(OR(A1524="",B1524=""),"",B1524&amp;"|"&amp;A1524)</f>
        <v/>
      </c>
      <c r="N1524" s="2">
        <f>IF(M1524="","",SUMIFS(TF_Timer,TF_Nokkel,M1524,TF_Akt,C1524))</f>
        <v/>
      </c>
      <c r="O1524" s="2">
        <f>IF(M1524="","",IF(AND(N1524=_xlfn.MAXIFS(TF_AktSum,TF_Nokkel,M1524),COUNTIFS(M$3:M1523,M1524,N$3:N1523,N1524)=0),M1524,""))</f>
        <v/>
      </c>
    </row>
    <row r="1525">
      <c r="A1525" s="34" t="n"/>
      <c r="B1525" s="35" t="n"/>
      <c r="C1525" s="35" t="n"/>
      <c r="D1525" s="35" t="n"/>
      <c r="E1525" s="35" t="n"/>
      <c r="F1525" s="36" t="n"/>
      <c r="G1525" s="35" t="n"/>
      <c r="H1525" s="30">
        <f>IF(L1525="","",INDEX(SkiftNavn,L1525))</f>
        <v/>
      </c>
      <c r="I1525" s="30">
        <f>IF(OR(A1525="",L1525=""),"",IF(MOD(A1525-INDEX(SkiftStart,L1525),Syklus)&lt;DagK,"Kveld",IF(MOD(A1525-INDEX(SkiftStart,L1525),Syklus)&lt;DagK+DagH,"Helg",IF(MOD(A1525-INDEX(SkiftStart,L1525),Syklus)&lt;DagK+DagH+DagD,"Dag","Fri"))))</f>
        <v/>
      </c>
      <c r="J1525" s="30">
        <f>IF(I1525="Fri","Ja","")</f>
        <v/>
      </c>
      <c r="K1525" s="30">
        <f>IF(B1525="","",IF(L1525="","Ukjent tekniker",IF(ISNA(MATCH(C1525,Aktiviteter,0)),"Ukjent aktivitet",IF(AND(INDEX(AktRolle,MATCH(C1525,Aktiviteter,0))&amp;""&lt;&gt;"",ISERROR(SEARCH(INDEX(AktRolle,MATCH(C1525,Aktiviteter,0))&amp;"",INDEX(TekRoller,MATCH(B1525,Teknikere,0))))),"Mangler rollen "&amp;INDEX(AktRolle,MATCH(C1525,Aktiviteter,0))&amp;"",IF(AND(C1525="LMS",F1525&gt;0,OR(D1525="",E1525="")),"Mangler maskin eller arbeid",IF(AND(OR(C1525="LMS",C1525="Mod"),D1525&lt;&gt;""),IF(IFERROR(INDEX(MaskinStatus,MATCH(D1525,Maskiner,0)),"")="I dokk","","Maskinen er ikke i dokk"),""))))))</f>
        <v/>
      </c>
      <c r="L1525" s="2">
        <f>IF(B1525="","",IFERROR(INT((MATCH(B1525,Teknikere,0)-1)/18)+1,""))</f>
        <v/>
      </c>
      <c r="M1525" s="2">
        <f>IF(OR(A1525="",B1525=""),"",B1525&amp;"|"&amp;A1525)</f>
        <v/>
      </c>
      <c r="N1525" s="2">
        <f>IF(M1525="","",SUMIFS(TF_Timer,TF_Nokkel,M1525,TF_Akt,C1525))</f>
        <v/>
      </c>
      <c r="O1525" s="2">
        <f>IF(M1525="","",IF(AND(N1525=_xlfn.MAXIFS(TF_AktSum,TF_Nokkel,M1525),COUNTIFS(M$3:M1524,M1525,N$3:N1524,N1525)=0),M1525,""))</f>
        <v/>
      </c>
    </row>
    <row r="1526">
      <c r="A1526" s="34" t="n"/>
      <c r="B1526" s="35" t="n"/>
      <c r="C1526" s="35" t="n"/>
      <c r="D1526" s="35" t="n"/>
      <c r="E1526" s="35" t="n"/>
      <c r="F1526" s="36" t="n"/>
      <c r="G1526" s="35" t="n"/>
      <c r="H1526" s="30">
        <f>IF(L1526="","",INDEX(SkiftNavn,L1526))</f>
        <v/>
      </c>
      <c r="I1526" s="30">
        <f>IF(OR(A1526="",L1526=""),"",IF(MOD(A1526-INDEX(SkiftStart,L1526),Syklus)&lt;DagK,"Kveld",IF(MOD(A1526-INDEX(SkiftStart,L1526),Syklus)&lt;DagK+DagH,"Helg",IF(MOD(A1526-INDEX(SkiftStart,L1526),Syklus)&lt;DagK+DagH+DagD,"Dag","Fri"))))</f>
        <v/>
      </c>
      <c r="J1526" s="30">
        <f>IF(I1526="Fri","Ja","")</f>
        <v/>
      </c>
      <c r="K1526" s="30">
        <f>IF(B1526="","",IF(L1526="","Ukjent tekniker",IF(ISNA(MATCH(C1526,Aktiviteter,0)),"Ukjent aktivitet",IF(AND(INDEX(AktRolle,MATCH(C1526,Aktiviteter,0))&amp;""&lt;&gt;"",ISERROR(SEARCH(INDEX(AktRolle,MATCH(C1526,Aktiviteter,0))&amp;"",INDEX(TekRoller,MATCH(B1526,Teknikere,0))))),"Mangler rollen "&amp;INDEX(AktRolle,MATCH(C1526,Aktiviteter,0))&amp;"",IF(AND(C1526="LMS",F1526&gt;0,OR(D1526="",E1526="")),"Mangler maskin eller arbeid",IF(AND(OR(C1526="LMS",C1526="Mod"),D1526&lt;&gt;""),IF(IFERROR(INDEX(MaskinStatus,MATCH(D1526,Maskiner,0)),"")="I dokk","","Maskinen er ikke i dokk"),""))))))</f>
        <v/>
      </c>
      <c r="L1526" s="2">
        <f>IF(B1526="","",IFERROR(INT((MATCH(B1526,Teknikere,0)-1)/18)+1,""))</f>
        <v/>
      </c>
      <c r="M1526" s="2">
        <f>IF(OR(A1526="",B1526=""),"",B1526&amp;"|"&amp;A1526)</f>
        <v/>
      </c>
      <c r="N1526" s="2">
        <f>IF(M1526="","",SUMIFS(TF_Timer,TF_Nokkel,M1526,TF_Akt,C1526))</f>
        <v/>
      </c>
      <c r="O1526" s="2">
        <f>IF(M1526="","",IF(AND(N1526=_xlfn.MAXIFS(TF_AktSum,TF_Nokkel,M1526),COUNTIFS(M$3:M1525,M1526,N$3:N1525,N1526)=0),M1526,""))</f>
        <v/>
      </c>
    </row>
    <row r="1527">
      <c r="A1527" s="34" t="n"/>
      <c r="B1527" s="35" t="n"/>
      <c r="C1527" s="35" t="n"/>
      <c r="D1527" s="35" t="n"/>
      <c r="E1527" s="35" t="n"/>
      <c r="F1527" s="36" t="n"/>
      <c r="G1527" s="35" t="n"/>
      <c r="H1527" s="30">
        <f>IF(L1527="","",INDEX(SkiftNavn,L1527))</f>
        <v/>
      </c>
      <c r="I1527" s="30">
        <f>IF(OR(A1527="",L1527=""),"",IF(MOD(A1527-INDEX(SkiftStart,L1527),Syklus)&lt;DagK,"Kveld",IF(MOD(A1527-INDEX(SkiftStart,L1527),Syklus)&lt;DagK+DagH,"Helg",IF(MOD(A1527-INDEX(SkiftStart,L1527),Syklus)&lt;DagK+DagH+DagD,"Dag","Fri"))))</f>
        <v/>
      </c>
      <c r="J1527" s="30">
        <f>IF(I1527="Fri","Ja","")</f>
        <v/>
      </c>
      <c r="K1527" s="30">
        <f>IF(B1527="","",IF(L1527="","Ukjent tekniker",IF(ISNA(MATCH(C1527,Aktiviteter,0)),"Ukjent aktivitet",IF(AND(INDEX(AktRolle,MATCH(C1527,Aktiviteter,0))&amp;""&lt;&gt;"",ISERROR(SEARCH(INDEX(AktRolle,MATCH(C1527,Aktiviteter,0))&amp;"",INDEX(TekRoller,MATCH(B1527,Teknikere,0))))),"Mangler rollen "&amp;INDEX(AktRolle,MATCH(C1527,Aktiviteter,0))&amp;"",IF(AND(C1527="LMS",F1527&gt;0,OR(D1527="",E1527="")),"Mangler maskin eller arbeid",IF(AND(OR(C1527="LMS",C1527="Mod"),D1527&lt;&gt;""),IF(IFERROR(INDEX(MaskinStatus,MATCH(D1527,Maskiner,0)),"")="I dokk","","Maskinen er ikke i dokk"),""))))))</f>
        <v/>
      </c>
      <c r="L1527" s="2">
        <f>IF(B1527="","",IFERROR(INT((MATCH(B1527,Teknikere,0)-1)/18)+1,""))</f>
        <v/>
      </c>
      <c r="M1527" s="2">
        <f>IF(OR(A1527="",B1527=""),"",B1527&amp;"|"&amp;A1527)</f>
        <v/>
      </c>
      <c r="N1527" s="2">
        <f>IF(M1527="","",SUMIFS(TF_Timer,TF_Nokkel,M1527,TF_Akt,C1527))</f>
        <v/>
      </c>
      <c r="O1527" s="2">
        <f>IF(M1527="","",IF(AND(N1527=_xlfn.MAXIFS(TF_AktSum,TF_Nokkel,M1527),COUNTIFS(M$3:M1526,M1527,N$3:N1526,N1527)=0),M1527,""))</f>
        <v/>
      </c>
    </row>
    <row r="1528">
      <c r="A1528" s="34" t="n"/>
      <c r="B1528" s="35" t="n"/>
      <c r="C1528" s="35" t="n"/>
      <c r="D1528" s="35" t="n"/>
      <c r="E1528" s="35" t="n"/>
      <c r="F1528" s="36" t="n"/>
      <c r="G1528" s="35" t="n"/>
      <c r="H1528" s="30">
        <f>IF(L1528="","",INDEX(SkiftNavn,L1528))</f>
        <v/>
      </c>
      <c r="I1528" s="30">
        <f>IF(OR(A1528="",L1528=""),"",IF(MOD(A1528-INDEX(SkiftStart,L1528),Syklus)&lt;DagK,"Kveld",IF(MOD(A1528-INDEX(SkiftStart,L1528),Syklus)&lt;DagK+DagH,"Helg",IF(MOD(A1528-INDEX(SkiftStart,L1528),Syklus)&lt;DagK+DagH+DagD,"Dag","Fri"))))</f>
        <v/>
      </c>
      <c r="J1528" s="30">
        <f>IF(I1528="Fri","Ja","")</f>
        <v/>
      </c>
      <c r="K1528" s="30">
        <f>IF(B1528="","",IF(L1528="","Ukjent tekniker",IF(ISNA(MATCH(C1528,Aktiviteter,0)),"Ukjent aktivitet",IF(AND(INDEX(AktRolle,MATCH(C1528,Aktiviteter,0))&amp;""&lt;&gt;"",ISERROR(SEARCH(INDEX(AktRolle,MATCH(C1528,Aktiviteter,0))&amp;"",INDEX(TekRoller,MATCH(B1528,Teknikere,0))))),"Mangler rollen "&amp;INDEX(AktRolle,MATCH(C1528,Aktiviteter,0))&amp;"",IF(AND(C1528="LMS",F1528&gt;0,OR(D1528="",E1528="")),"Mangler maskin eller arbeid",IF(AND(OR(C1528="LMS",C1528="Mod"),D1528&lt;&gt;""),IF(IFERROR(INDEX(MaskinStatus,MATCH(D1528,Maskiner,0)),"")="I dokk","","Maskinen er ikke i dokk"),""))))))</f>
        <v/>
      </c>
      <c r="L1528" s="2">
        <f>IF(B1528="","",IFERROR(INT((MATCH(B1528,Teknikere,0)-1)/18)+1,""))</f>
        <v/>
      </c>
      <c r="M1528" s="2">
        <f>IF(OR(A1528="",B1528=""),"",B1528&amp;"|"&amp;A1528)</f>
        <v/>
      </c>
      <c r="N1528" s="2">
        <f>IF(M1528="","",SUMIFS(TF_Timer,TF_Nokkel,M1528,TF_Akt,C1528))</f>
        <v/>
      </c>
      <c r="O1528" s="2">
        <f>IF(M1528="","",IF(AND(N1528=_xlfn.MAXIFS(TF_AktSum,TF_Nokkel,M1528),COUNTIFS(M$3:M1527,M1528,N$3:N1527,N1528)=0),M1528,""))</f>
        <v/>
      </c>
    </row>
    <row r="1529">
      <c r="A1529" s="34" t="n"/>
      <c r="B1529" s="35" t="n"/>
      <c r="C1529" s="35" t="n"/>
      <c r="D1529" s="35" t="n"/>
      <c r="E1529" s="35" t="n"/>
      <c r="F1529" s="36" t="n"/>
      <c r="G1529" s="35" t="n"/>
      <c r="H1529" s="30">
        <f>IF(L1529="","",INDEX(SkiftNavn,L1529))</f>
        <v/>
      </c>
      <c r="I1529" s="30">
        <f>IF(OR(A1529="",L1529=""),"",IF(MOD(A1529-INDEX(SkiftStart,L1529),Syklus)&lt;DagK,"Kveld",IF(MOD(A1529-INDEX(SkiftStart,L1529),Syklus)&lt;DagK+DagH,"Helg",IF(MOD(A1529-INDEX(SkiftStart,L1529),Syklus)&lt;DagK+DagH+DagD,"Dag","Fri"))))</f>
        <v/>
      </c>
      <c r="J1529" s="30">
        <f>IF(I1529="Fri","Ja","")</f>
        <v/>
      </c>
      <c r="K1529" s="30">
        <f>IF(B1529="","",IF(L1529="","Ukjent tekniker",IF(ISNA(MATCH(C1529,Aktiviteter,0)),"Ukjent aktivitet",IF(AND(INDEX(AktRolle,MATCH(C1529,Aktiviteter,0))&amp;""&lt;&gt;"",ISERROR(SEARCH(INDEX(AktRolle,MATCH(C1529,Aktiviteter,0))&amp;"",INDEX(TekRoller,MATCH(B1529,Teknikere,0))))),"Mangler rollen "&amp;INDEX(AktRolle,MATCH(C1529,Aktiviteter,0))&amp;"",IF(AND(C1529="LMS",F1529&gt;0,OR(D1529="",E1529="")),"Mangler maskin eller arbeid",IF(AND(OR(C1529="LMS",C1529="Mod"),D1529&lt;&gt;""),IF(IFERROR(INDEX(MaskinStatus,MATCH(D1529,Maskiner,0)),"")="I dokk","","Maskinen er ikke i dokk"),""))))))</f>
        <v/>
      </c>
      <c r="L1529" s="2">
        <f>IF(B1529="","",IFERROR(INT((MATCH(B1529,Teknikere,0)-1)/18)+1,""))</f>
        <v/>
      </c>
      <c r="M1529" s="2">
        <f>IF(OR(A1529="",B1529=""),"",B1529&amp;"|"&amp;A1529)</f>
        <v/>
      </c>
      <c r="N1529" s="2">
        <f>IF(M1529="","",SUMIFS(TF_Timer,TF_Nokkel,M1529,TF_Akt,C1529))</f>
        <v/>
      </c>
      <c r="O1529" s="2">
        <f>IF(M1529="","",IF(AND(N1529=_xlfn.MAXIFS(TF_AktSum,TF_Nokkel,M1529),COUNTIFS(M$3:M1528,M1529,N$3:N1528,N1529)=0),M1529,""))</f>
        <v/>
      </c>
    </row>
    <row r="1530">
      <c r="A1530" s="34" t="n"/>
      <c r="B1530" s="35" t="n"/>
      <c r="C1530" s="35" t="n"/>
      <c r="D1530" s="35" t="n"/>
      <c r="E1530" s="35" t="n"/>
      <c r="F1530" s="36" t="n"/>
      <c r="G1530" s="35" t="n"/>
      <c r="H1530" s="30">
        <f>IF(L1530="","",INDEX(SkiftNavn,L1530))</f>
        <v/>
      </c>
      <c r="I1530" s="30">
        <f>IF(OR(A1530="",L1530=""),"",IF(MOD(A1530-INDEX(SkiftStart,L1530),Syklus)&lt;DagK,"Kveld",IF(MOD(A1530-INDEX(SkiftStart,L1530),Syklus)&lt;DagK+DagH,"Helg",IF(MOD(A1530-INDEX(SkiftStart,L1530),Syklus)&lt;DagK+DagH+DagD,"Dag","Fri"))))</f>
        <v/>
      </c>
      <c r="J1530" s="30">
        <f>IF(I1530="Fri","Ja","")</f>
        <v/>
      </c>
      <c r="K1530" s="30">
        <f>IF(B1530="","",IF(L1530="","Ukjent tekniker",IF(ISNA(MATCH(C1530,Aktiviteter,0)),"Ukjent aktivitet",IF(AND(INDEX(AktRolle,MATCH(C1530,Aktiviteter,0))&amp;""&lt;&gt;"",ISERROR(SEARCH(INDEX(AktRolle,MATCH(C1530,Aktiviteter,0))&amp;"",INDEX(TekRoller,MATCH(B1530,Teknikere,0))))),"Mangler rollen "&amp;INDEX(AktRolle,MATCH(C1530,Aktiviteter,0))&amp;"",IF(AND(C1530="LMS",F1530&gt;0,OR(D1530="",E1530="")),"Mangler maskin eller arbeid",IF(AND(OR(C1530="LMS",C1530="Mod"),D1530&lt;&gt;""),IF(IFERROR(INDEX(MaskinStatus,MATCH(D1530,Maskiner,0)),"")="I dokk","","Maskinen er ikke i dokk"),""))))))</f>
        <v/>
      </c>
      <c r="L1530" s="2">
        <f>IF(B1530="","",IFERROR(INT((MATCH(B1530,Teknikere,0)-1)/18)+1,""))</f>
        <v/>
      </c>
      <c r="M1530" s="2">
        <f>IF(OR(A1530="",B1530=""),"",B1530&amp;"|"&amp;A1530)</f>
        <v/>
      </c>
      <c r="N1530" s="2">
        <f>IF(M1530="","",SUMIFS(TF_Timer,TF_Nokkel,M1530,TF_Akt,C1530))</f>
        <v/>
      </c>
      <c r="O1530" s="2">
        <f>IF(M1530="","",IF(AND(N1530=_xlfn.MAXIFS(TF_AktSum,TF_Nokkel,M1530),COUNTIFS(M$3:M1529,M1530,N$3:N1529,N1530)=0),M1530,""))</f>
        <v/>
      </c>
    </row>
    <row r="1531">
      <c r="A1531" s="34" t="n"/>
      <c r="B1531" s="35" t="n"/>
      <c r="C1531" s="35" t="n"/>
      <c r="D1531" s="35" t="n"/>
      <c r="E1531" s="35" t="n"/>
      <c r="F1531" s="36" t="n"/>
      <c r="G1531" s="35" t="n"/>
      <c r="H1531" s="30">
        <f>IF(L1531="","",INDEX(SkiftNavn,L1531))</f>
        <v/>
      </c>
      <c r="I1531" s="30">
        <f>IF(OR(A1531="",L1531=""),"",IF(MOD(A1531-INDEX(SkiftStart,L1531),Syklus)&lt;DagK,"Kveld",IF(MOD(A1531-INDEX(SkiftStart,L1531),Syklus)&lt;DagK+DagH,"Helg",IF(MOD(A1531-INDEX(SkiftStart,L1531),Syklus)&lt;DagK+DagH+DagD,"Dag","Fri"))))</f>
        <v/>
      </c>
      <c r="J1531" s="30">
        <f>IF(I1531="Fri","Ja","")</f>
        <v/>
      </c>
      <c r="K1531" s="30">
        <f>IF(B1531="","",IF(L1531="","Ukjent tekniker",IF(ISNA(MATCH(C1531,Aktiviteter,0)),"Ukjent aktivitet",IF(AND(INDEX(AktRolle,MATCH(C1531,Aktiviteter,0))&amp;""&lt;&gt;"",ISERROR(SEARCH(INDEX(AktRolle,MATCH(C1531,Aktiviteter,0))&amp;"",INDEX(TekRoller,MATCH(B1531,Teknikere,0))))),"Mangler rollen "&amp;INDEX(AktRolle,MATCH(C1531,Aktiviteter,0))&amp;"",IF(AND(C1531="LMS",F1531&gt;0,OR(D1531="",E1531="")),"Mangler maskin eller arbeid",IF(AND(OR(C1531="LMS",C1531="Mod"),D1531&lt;&gt;""),IF(IFERROR(INDEX(MaskinStatus,MATCH(D1531,Maskiner,0)),"")="I dokk","","Maskinen er ikke i dokk"),""))))))</f>
        <v/>
      </c>
      <c r="L1531" s="2">
        <f>IF(B1531="","",IFERROR(INT((MATCH(B1531,Teknikere,0)-1)/18)+1,""))</f>
        <v/>
      </c>
      <c r="M1531" s="2">
        <f>IF(OR(A1531="",B1531=""),"",B1531&amp;"|"&amp;A1531)</f>
        <v/>
      </c>
      <c r="N1531" s="2">
        <f>IF(M1531="","",SUMIFS(TF_Timer,TF_Nokkel,M1531,TF_Akt,C1531))</f>
        <v/>
      </c>
      <c r="O1531" s="2">
        <f>IF(M1531="","",IF(AND(N1531=_xlfn.MAXIFS(TF_AktSum,TF_Nokkel,M1531),COUNTIFS(M$3:M1530,M1531,N$3:N1530,N1531)=0),M1531,""))</f>
        <v/>
      </c>
    </row>
    <row r="1532">
      <c r="A1532" s="34" t="n"/>
      <c r="B1532" s="35" t="n"/>
      <c r="C1532" s="35" t="n"/>
      <c r="D1532" s="35" t="n"/>
      <c r="E1532" s="35" t="n"/>
      <c r="F1532" s="36" t="n"/>
      <c r="G1532" s="35" t="n"/>
      <c r="H1532" s="30">
        <f>IF(L1532="","",INDEX(SkiftNavn,L1532))</f>
        <v/>
      </c>
      <c r="I1532" s="30">
        <f>IF(OR(A1532="",L1532=""),"",IF(MOD(A1532-INDEX(SkiftStart,L1532),Syklus)&lt;DagK,"Kveld",IF(MOD(A1532-INDEX(SkiftStart,L1532),Syklus)&lt;DagK+DagH,"Helg",IF(MOD(A1532-INDEX(SkiftStart,L1532),Syklus)&lt;DagK+DagH+DagD,"Dag","Fri"))))</f>
        <v/>
      </c>
      <c r="J1532" s="30">
        <f>IF(I1532="Fri","Ja","")</f>
        <v/>
      </c>
      <c r="K1532" s="30">
        <f>IF(B1532="","",IF(L1532="","Ukjent tekniker",IF(ISNA(MATCH(C1532,Aktiviteter,0)),"Ukjent aktivitet",IF(AND(INDEX(AktRolle,MATCH(C1532,Aktiviteter,0))&amp;""&lt;&gt;"",ISERROR(SEARCH(INDEX(AktRolle,MATCH(C1532,Aktiviteter,0))&amp;"",INDEX(TekRoller,MATCH(B1532,Teknikere,0))))),"Mangler rollen "&amp;INDEX(AktRolle,MATCH(C1532,Aktiviteter,0))&amp;"",IF(AND(C1532="LMS",F1532&gt;0,OR(D1532="",E1532="")),"Mangler maskin eller arbeid",IF(AND(OR(C1532="LMS",C1532="Mod"),D1532&lt;&gt;""),IF(IFERROR(INDEX(MaskinStatus,MATCH(D1532,Maskiner,0)),"")="I dokk","","Maskinen er ikke i dokk"),""))))))</f>
        <v/>
      </c>
      <c r="L1532" s="2">
        <f>IF(B1532="","",IFERROR(INT((MATCH(B1532,Teknikere,0)-1)/18)+1,""))</f>
        <v/>
      </c>
      <c r="M1532" s="2">
        <f>IF(OR(A1532="",B1532=""),"",B1532&amp;"|"&amp;A1532)</f>
        <v/>
      </c>
      <c r="N1532" s="2">
        <f>IF(M1532="","",SUMIFS(TF_Timer,TF_Nokkel,M1532,TF_Akt,C1532))</f>
        <v/>
      </c>
      <c r="O1532" s="2">
        <f>IF(M1532="","",IF(AND(N1532=_xlfn.MAXIFS(TF_AktSum,TF_Nokkel,M1532),COUNTIFS(M$3:M1531,M1532,N$3:N1531,N1532)=0),M1532,""))</f>
        <v/>
      </c>
    </row>
    <row r="1533">
      <c r="A1533" s="34" t="n"/>
      <c r="B1533" s="35" t="n"/>
      <c r="C1533" s="35" t="n"/>
      <c r="D1533" s="35" t="n"/>
      <c r="E1533" s="35" t="n"/>
      <c r="F1533" s="36" t="n"/>
      <c r="G1533" s="35" t="n"/>
      <c r="H1533" s="30">
        <f>IF(L1533="","",INDEX(SkiftNavn,L1533))</f>
        <v/>
      </c>
      <c r="I1533" s="30">
        <f>IF(OR(A1533="",L1533=""),"",IF(MOD(A1533-INDEX(SkiftStart,L1533),Syklus)&lt;DagK,"Kveld",IF(MOD(A1533-INDEX(SkiftStart,L1533),Syklus)&lt;DagK+DagH,"Helg",IF(MOD(A1533-INDEX(SkiftStart,L1533),Syklus)&lt;DagK+DagH+DagD,"Dag","Fri"))))</f>
        <v/>
      </c>
      <c r="J1533" s="30">
        <f>IF(I1533="Fri","Ja","")</f>
        <v/>
      </c>
      <c r="K1533" s="30">
        <f>IF(B1533="","",IF(L1533="","Ukjent tekniker",IF(ISNA(MATCH(C1533,Aktiviteter,0)),"Ukjent aktivitet",IF(AND(INDEX(AktRolle,MATCH(C1533,Aktiviteter,0))&amp;""&lt;&gt;"",ISERROR(SEARCH(INDEX(AktRolle,MATCH(C1533,Aktiviteter,0))&amp;"",INDEX(TekRoller,MATCH(B1533,Teknikere,0))))),"Mangler rollen "&amp;INDEX(AktRolle,MATCH(C1533,Aktiviteter,0))&amp;"",IF(AND(C1533="LMS",F1533&gt;0,OR(D1533="",E1533="")),"Mangler maskin eller arbeid",IF(AND(OR(C1533="LMS",C1533="Mod"),D1533&lt;&gt;""),IF(IFERROR(INDEX(MaskinStatus,MATCH(D1533,Maskiner,0)),"")="I dokk","","Maskinen er ikke i dokk"),""))))))</f>
        <v/>
      </c>
      <c r="L1533" s="2">
        <f>IF(B1533="","",IFERROR(INT((MATCH(B1533,Teknikere,0)-1)/18)+1,""))</f>
        <v/>
      </c>
      <c r="M1533" s="2">
        <f>IF(OR(A1533="",B1533=""),"",B1533&amp;"|"&amp;A1533)</f>
        <v/>
      </c>
      <c r="N1533" s="2">
        <f>IF(M1533="","",SUMIFS(TF_Timer,TF_Nokkel,M1533,TF_Akt,C1533))</f>
        <v/>
      </c>
      <c r="O1533" s="2">
        <f>IF(M1533="","",IF(AND(N1533=_xlfn.MAXIFS(TF_AktSum,TF_Nokkel,M1533),COUNTIFS(M$3:M1532,M1533,N$3:N1532,N1533)=0),M1533,""))</f>
        <v/>
      </c>
    </row>
    <row r="1534">
      <c r="A1534" s="34" t="n"/>
      <c r="B1534" s="35" t="n"/>
      <c r="C1534" s="35" t="n"/>
      <c r="D1534" s="35" t="n"/>
      <c r="E1534" s="35" t="n"/>
      <c r="F1534" s="36" t="n"/>
      <c r="G1534" s="35" t="n"/>
      <c r="H1534" s="30">
        <f>IF(L1534="","",INDEX(SkiftNavn,L1534))</f>
        <v/>
      </c>
      <c r="I1534" s="30">
        <f>IF(OR(A1534="",L1534=""),"",IF(MOD(A1534-INDEX(SkiftStart,L1534),Syklus)&lt;DagK,"Kveld",IF(MOD(A1534-INDEX(SkiftStart,L1534),Syklus)&lt;DagK+DagH,"Helg",IF(MOD(A1534-INDEX(SkiftStart,L1534),Syklus)&lt;DagK+DagH+DagD,"Dag","Fri"))))</f>
        <v/>
      </c>
      <c r="J1534" s="30">
        <f>IF(I1534="Fri","Ja","")</f>
        <v/>
      </c>
      <c r="K1534" s="30">
        <f>IF(B1534="","",IF(L1534="","Ukjent tekniker",IF(ISNA(MATCH(C1534,Aktiviteter,0)),"Ukjent aktivitet",IF(AND(INDEX(AktRolle,MATCH(C1534,Aktiviteter,0))&amp;""&lt;&gt;"",ISERROR(SEARCH(INDEX(AktRolle,MATCH(C1534,Aktiviteter,0))&amp;"",INDEX(TekRoller,MATCH(B1534,Teknikere,0))))),"Mangler rollen "&amp;INDEX(AktRolle,MATCH(C1534,Aktiviteter,0))&amp;"",IF(AND(C1534="LMS",F1534&gt;0,OR(D1534="",E1534="")),"Mangler maskin eller arbeid",IF(AND(OR(C1534="LMS",C1534="Mod"),D1534&lt;&gt;""),IF(IFERROR(INDEX(MaskinStatus,MATCH(D1534,Maskiner,0)),"")="I dokk","","Maskinen er ikke i dokk"),""))))))</f>
        <v/>
      </c>
      <c r="L1534" s="2">
        <f>IF(B1534="","",IFERROR(INT((MATCH(B1534,Teknikere,0)-1)/18)+1,""))</f>
        <v/>
      </c>
      <c r="M1534" s="2">
        <f>IF(OR(A1534="",B1534=""),"",B1534&amp;"|"&amp;A1534)</f>
        <v/>
      </c>
      <c r="N1534" s="2">
        <f>IF(M1534="","",SUMIFS(TF_Timer,TF_Nokkel,M1534,TF_Akt,C1534))</f>
        <v/>
      </c>
      <c r="O1534" s="2">
        <f>IF(M1534="","",IF(AND(N1534=_xlfn.MAXIFS(TF_AktSum,TF_Nokkel,M1534),COUNTIFS(M$3:M1533,M1534,N$3:N1533,N1534)=0),M1534,""))</f>
        <v/>
      </c>
    </row>
    <row r="1535">
      <c r="A1535" s="34" t="n"/>
      <c r="B1535" s="35" t="n"/>
      <c r="C1535" s="35" t="n"/>
      <c r="D1535" s="35" t="n"/>
      <c r="E1535" s="35" t="n"/>
      <c r="F1535" s="36" t="n"/>
      <c r="G1535" s="35" t="n"/>
      <c r="H1535" s="30">
        <f>IF(L1535="","",INDEX(SkiftNavn,L1535))</f>
        <v/>
      </c>
      <c r="I1535" s="30">
        <f>IF(OR(A1535="",L1535=""),"",IF(MOD(A1535-INDEX(SkiftStart,L1535),Syklus)&lt;DagK,"Kveld",IF(MOD(A1535-INDEX(SkiftStart,L1535),Syklus)&lt;DagK+DagH,"Helg",IF(MOD(A1535-INDEX(SkiftStart,L1535),Syklus)&lt;DagK+DagH+DagD,"Dag","Fri"))))</f>
        <v/>
      </c>
      <c r="J1535" s="30">
        <f>IF(I1535="Fri","Ja","")</f>
        <v/>
      </c>
      <c r="K1535" s="30">
        <f>IF(B1535="","",IF(L1535="","Ukjent tekniker",IF(ISNA(MATCH(C1535,Aktiviteter,0)),"Ukjent aktivitet",IF(AND(INDEX(AktRolle,MATCH(C1535,Aktiviteter,0))&amp;""&lt;&gt;"",ISERROR(SEARCH(INDEX(AktRolle,MATCH(C1535,Aktiviteter,0))&amp;"",INDEX(TekRoller,MATCH(B1535,Teknikere,0))))),"Mangler rollen "&amp;INDEX(AktRolle,MATCH(C1535,Aktiviteter,0))&amp;"",IF(AND(C1535="LMS",F1535&gt;0,OR(D1535="",E1535="")),"Mangler maskin eller arbeid",IF(AND(OR(C1535="LMS",C1535="Mod"),D1535&lt;&gt;""),IF(IFERROR(INDEX(MaskinStatus,MATCH(D1535,Maskiner,0)),"")="I dokk","","Maskinen er ikke i dokk"),""))))))</f>
        <v/>
      </c>
      <c r="L1535" s="2">
        <f>IF(B1535="","",IFERROR(INT((MATCH(B1535,Teknikere,0)-1)/18)+1,""))</f>
        <v/>
      </c>
      <c r="M1535" s="2">
        <f>IF(OR(A1535="",B1535=""),"",B1535&amp;"|"&amp;A1535)</f>
        <v/>
      </c>
      <c r="N1535" s="2">
        <f>IF(M1535="","",SUMIFS(TF_Timer,TF_Nokkel,M1535,TF_Akt,C1535))</f>
        <v/>
      </c>
      <c r="O1535" s="2">
        <f>IF(M1535="","",IF(AND(N1535=_xlfn.MAXIFS(TF_AktSum,TF_Nokkel,M1535),COUNTIFS(M$3:M1534,M1535,N$3:N1534,N1535)=0),M1535,""))</f>
        <v/>
      </c>
    </row>
    <row r="1536">
      <c r="A1536" s="34" t="n"/>
      <c r="B1536" s="35" t="n"/>
      <c r="C1536" s="35" t="n"/>
      <c r="D1536" s="35" t="n"/>
      <c r="E1536" s="35" t="n"/>
      <c r="F1536" s="36" t="n"/>
      <c r="G1536" s="35" t="n"/>
      <c r="H1536" s="30">
        <f>IF(L1536="","",INDEX(SkiftNavn,L1536))</f>
        <v/>
      </c>
      <c r="I1536" s="30">
        <f>IF(OR(A1536="",L1536=""),"",IF(MOD(A1536-INDEX(SkiftStart,L1536),Syklus)&lt;DagK,"Kveld",IF(MOD(A1536-INDEX(SkiftStart,L1536),Syklus)&lt;DagK+DagH,"Helg",IF(MOD(A1536-INDEX(SkiftStart,L1536),Syklus)&lt;DagK+DagH+DagD,"Dag","Fri"))))</f>
        <v/>
      </c>
      <c r="J1536" s="30">
        <f>IF(I1536="Fri","Ja","")</f>
        <v/>
      </c>
      <c r="K1536" s="30">
        <f>IF(B1536="","",IF(L1536="","Ukjent tekniker",IF(ISNA(MATCH(C1536,Aktiviteter,0)),"Ukjent aktivitet",IF(AND(INDEX(AktRolle,MATCH(C1536,Aktiviteter,0))&amp;""&lt;&gt;"",ISERROR(SEARCH(INDEX(AktRolle,MATCH(C1536,Aktiviteter,0))&amp;"",INDEX(TekRoller,MATCH(B1536,Teknikere,0))))),"Mangler rollen "&amp;INDEX(AktRolle,MATCH(C1536,Aktiviteter,0))&amp;"",IF(AND(C1536="LMS",F1536&gt;0,OR(D1536="",E1536="")),"Mangler maskin eller arbeid",IF(AND(OR(C1536="LMS",C1536="Mod"),D1536&lt;&gt;""),IF(IFERROR(INDEX(MaskinStatus,MATCH(D1536,Maskiner,0)),"")="I dokk","","Maskinen er ikke i dokk"),""))))))</f>
        <v/>
      </c>
      <c r="L1536" s="2">
        <f>IF(B1536="","",IFERROR(INT((MATCH(B1536,Teknikere,0)-1)/18)+1,""))</f>
        <v/>
      </c>
      <c r="M1536" s="2">
        <f>IF(OR(A1536="",B1536=""),"",B1536&amp;"|"&amp;A1536)</f>
        <v/>
      </c>
      <c r="N1536" s="2">
        <f>IF(M1536="","",SUMIFS(TF_Timer,TF_Nokkel,M1536,TF_Akt,C1536))</f>
        <v/>
      </c>
      <c r="O1536" s="2">
        <f>IF(M1536="","",IF(AND(N1536=_xlfn.MAXIFS(TF_AktSum,TF_Nokkel,M1536),COUNTIFS(M$3:M1535,M1536,N$3:N1535,N1536)=0),M1536,""))</f>
        <v/>
      </c>
    </row>
    <row r="1537">
      <c r="A1537" s="34" t="n"/>
      <c r="B1537" s="35" t="n"/>
      <c r="C1537" s="35" t="n"/>
      <c r="D1537" s="35" t="n"/>
      <c r="E1537" s="35" t="n"/>
      <c r="F1537" s="36" t="n"/>
      <c r="G1537" s="35" t="n"/>
      <c r="H1537" s="30">
        <f>IF(L1537="","",INDEX(SkiftNavn,L1537))</f>
        <v/>
      </c>
      <c r="I1537" s="30">
        <f>IF(OR(A1537="",L1537=""),"",IF(MOD(A1537-INDEX(SkiftStart,L1537),Syklus)&lt;DagK,"Kveld",IF(MOD(A1537-INDEX(SkiftStart,L1537),Syklus)&lt;DagK+DagH,"Helg",IF(MOD(A1537-INDEX(SkiftStart,L1537),Syklus)&lt;DagK+DagH+DagD,"Dag","Fri"))))</f>
        <v/>
      </c>
      <c r="J1537" s="30">
        <f>IF(I1537="Fri","Ja","")</f>
        <v/>
      </c>
      <c r="K1537" s="30">
        <f>IF(B1537="","",IF(L1537="","Ukjent tekniker",IF(ISNA(MATCH(C1537,Aktiviteter,0)),"Ukjent aktivitet",IF(AND(INDEX(AktRolle,MATCH(C1537,Aktiviteter,0))&amp;""&lt;&gt;"",ISERROR(SEARCH(INDEX(AktRolle,MATCH(C1537,Aktiviteter,0))&amp;"",INDEX(TekRoller,MATCH(B1537,Teknikere,0))))),"Mangler rollen "&amp;INDEX(AktRolle,MATCH(C1537,Aktiviteter,0))&amp;"",IF(AND(C1537="LMS",F1537&gt;0,OR(D1537="",E1537="")),"Mangler maskin eller arbeid",IF(AND(OR(C1537="LMS",C1537="Mod"),D1537&lt;&gt;""),IF(IFERROR(INDEX(MaskinStatus,MATCH(D1537,Maskiner,0)),"")="I dokk","","Maskinen er ikke i dokk"),""))))))</f>
        <v/>
      </c>
      <c r="L1537" s="2">
        <f>IF(B1537="","",IFERROR(INT((MATCH(B1537,Teknikere,0)-1)/18)+1,""))</f>
        <v/>
      </c>
      <c r="M1537" s="2">
        <f>IF(OR(A1537="",B1537=""),"",B1537&amp;"|"&amp;A1537)</f>
        <v/>
      </c>
      <c r="N1537" s="2">
        <f>IF(M1537="","",SUMIFS(TF_Timer,TF_Nokkel,M1537,TF_Akt,C1537))</f>
        <v/>
      </c>
      <c r="O1537" s="2">
        <f>IF(M1537="","",IF(AND(N1537=_xlfn.MAXIFS(TF_AktSum,TF_Nokkel,M1537),COUNTIFS(M$3:M1536,M1537,N$3:N1536,N1537)=0),M1537,""))</f>
        <v/>
      </c>
    </row>
    <row r="1538">
      <c r="A1538" s="34" t="n"/>
      <c r="B1538" s="35" t="n"/>
      <c r="C1538" s="35" t="n"/>
      <c r="D1538" s="35" t="n"/>
      <c r="E1538" s="35" t="n"/>
      <c r="F1538" s="36" t="n"/>
      <c r="G1538" s="35" t="n"/>
      <c r="H1538" s="30">
        <f>IF(L1538="","",INDEX(SkiftNavn,L1538))</f>
        <v/>
      </c>
      <c r="I1538" s="30">
        <f>IF(OR(A1538="",L1538=""),"",IF(MOD(A1538-INDEX(SkiftStart,L1538),Syklus)&lt;DagK,"Kveld",IF(MOD(A1538-INDEX(SkiftStart,L1538),Syklus)&lt;DagK+DagH,"Helg",IF(MOD(A1538-INDEX(SkiftStart,L1538),Syklus)&lt;DagK+DagH+DagD,"Dag","Fri"))))</f>
        <v/>
      </c>
      <c r="J1538" s="30">
        <f>IF(I1538="Fri","Ja","")</f>
        <v/>
      </c>
      <c r="K1538" s="30">
        <f>IF(B1538="","",IF(L1538="","Ukjent tekniker",IF(ISNA(MATCH(C1538,Aktiviteter,0)),"Ukjent aktivitet",IF(AND(INDEX(AktRolle,MATCH(C1538,Aktiviteter,0))&amp;""&lt;&gt;"",ISERROR(SEARCH(INDEX(AktRolle,MATCH(C1538,Aktiviteter,0))&amp;"",INDEX(TekRoller,MATCH(B1538,Teknikere,0))))),"Mangler rollen "&amp;INDEX(AktRolle,MATCH(C1538,Aktiviteter,0))&amp;"",IF(AND(C1538="LMS",F1538&gt;0,OR(D1538="",E1538="")),"Mangler maskin eller arbeid",IF(AND(OR(C1538="LMS",C1538="Mod"),D1538&lt;&gt;""),IF(IFERROR(INDEX(MaskinStatus,MATCH(D1538,Maskiner,0)),"")="I dokk","","Maskinen er ikke i dokk"),""))))))</f>
        <v/>
      </c>
      <c r="L1538" s="2">
        <f>IF(B1538="","",IFERROR(INT((MATCH(B1538,Teknikere,0)-1)/18)+1,""))</f>
        <v/>
      </c>
      <c r="M1538" s="2">
        <f>IF(OR(A1538="",B1538=""),"",B1538&amp;"|"&amp;A1538)</f>
        <v/>
      </c>
      <c r="N1538" s="2">
        <f>IF(M1538="","",SUMIFS(TF_Timer,TF_Nokkel,M1538,TF_Akt,C1538))</f>
        <v/>
      </c>
      <c r="O1538" s="2">
        <f>IF(M1538="","",IF(AND(N1538=_xlfn.MAXIFS(TF_AktSum,TF_Nokkel,M1538),COUNTIFS(M$3:M1537,M1538,N$3:N1537,N1538)=0),M1538,""))</f>
        <v/>
      </c>
    </row>
    <row r="1539">
      <c r="A1539" s="34" t="n"/>
      <c r="B1539" s="35" t="n"/>
      <c r="C1539" s="35" t="n"/>
      <c r="D1539" s="35" t="n"/>
      <c r="E1539" s="35" t="n"/>
      <c r="F1539" s="36" t="n"/>
      <c r="G1539" s="35" t="n"/>
      <c r="H1539" s="30">
        <f>IF(L1539="","",INDEX(SkiftNavn,L1539))</f>
        <v/>
      </c>
      <c r="I1539" s="30">
        <f>IF(OR(A1539="",L1539=""),"",IF(MOD(A1539-INDEX(SkiftStart,L1539),Syklus)&lt;DagK,"Kveld",IF(MOD(A1539-INDEX(SkiftStart,L1539),Syklus)&lt;DagK+DagH,"Helg",IF(MOD(A1539-INDEX(SkiftStart,L1539),Syklus)&lt;DagK+DagH+DagD,"Dag","Fri"))))</f>
        <v/>
      </c>
      <c r="J1539" s="30">
        <f>IF(I1539="Fri","Ja","")</f>
        <v/>
      </c>
      <c r="K1539" s="30">
        <f>IF(B1539="","",IF(L1539="","Ukjent tekniker",IF(ISNA(MATCH(C1539,Aktiviteter,0)),"Ukjent aktivitet",IF(AND(INDEX(AktRolle,MATCH(C1539,Aktiviteter,0))&amp;""&lt;&gt;"",ISERROR(SEARCH(INDEX(AktRolle,MATCH(C1539,Aktiviteter,0))&amp;"",INDEX(TekRoller,MATCH(B1539,Teknikere,0))))),"Mangler rollen "&amp;INDEX(AktRolle,MATCH(C1539,Aktiviteter,0))&amp;"",IF(AND(C1539="LMS",F1539&gt;0,OR(D1539="",E1539="")),"Mangler maskin eller arbeid",IF(AND(OR(C1539="LMS",C1539="Mod"),D1539&lt;&gt;""),IF(IFERROR(INDEX(MaskinStatus,MATCH(D1539,Maskiner,0)),"")="I dokk","","Maskinen er ikke i dokk"),""))))))</f>
        <v/>
      </c>
      <c r="L1539" s="2">
        <f>IF(B1539="","",IFERROR(INT((MATCH(B1539,Teknikere,0)-1)/18)+1,""))</f>
        <v/>
      </c>
      <c r="M1539" s="2">
        <f>IF(OR(A1539="",B1539=""),"",B1539&amp;"|"&amp;A1539)</f>
        <v/>
      </c>
      <c r="N1539" s="2">
        <f>IF(M1539="","",SUMIFS(TF_Timer,TF_Nokkel,M1539,TF_Akt,C1539))</f>
        <v/>
      </c>
      <c r="O1539" s="2">
        <f>IF(M1539="","",IF(AND(N1539=_xlfn.MAXIFS(TF_AktSum,TF_Nokkel,M1539),COUNTIFS(M$3:M1538,M1539,N$3:N1538,N1539)=0),M1539,""))</f>
        <v/>
      </c>
    </row>
    <row r="1540">
      <c r="A1540" s="34" t="n"/>
      <c r="B1540" s="35" t="n"/>
      <c r="C1540" s="35" t="n"/>
      <c r="D1540" s="35" t="n"/>
      <c r="E1540" s="35" t="n"/>
      <c r="F1540" s="36" t="n"/>
      <c r="G1540" s="35" t="n"/>
      <c r="H1540" s="30">
        <f>IF(L1540="","",INDEX(SkiftNavn,L1540))</f>
        <v/>
      </c>
      <c r="I1540" s="30">
        <f>IF(OR(A1540="",L1540=""),"",IF(MOD(A1540-INDEX(SkiftStart,L1540),Syklus)&lt;DagK,"Kveld",IF(MOD(A1540-INDEX(SkiftStart,L1540),Syklus)&lt;DagK+DagH,"Helg",IF(MOD(A1540-INDEX(SkiftStart,L1540),Syklus)&lt;DagK+DagH+DagD,"Dag","Fri"))))</f>
        <v/>
      </c>
      <c r="J1540" s="30">
        <f>IF(I1540="Fri","Ja","")</f>
        <v/>
      </c>
      <c r="K1540" s="30">
        <f>IF(B1540="","",IF(L1540="","Ukjent tekniker",IF(ISNA(MATCH(C1540,Aktiviteter,0)),"Ukjent aktivitet",IF(AND(INDEX(AktRolle,MATCH(C1540,Aktiviteter,0))&amp;""&lt;&gt;"",ISERROR(SEARCH(INDEX(AktRolle,MATCH(C1540,Aktiviteter,0))&amp;"",INDEX(TekRoller,MATCH(B1540,Teknikere,0))))),"Mangler rollen "&amp;INDEX(AktRolle,MATCH(C1540,Aktiviteter,0))&amp;"",IF(AND(C1540="LMS",F1540&gt;0,OR(D1540="",E1540="")),"Mangler maskin eller arbeid",IF(AND(OR(C1540="LMS",C1540="Mod"),D1540&lt;&gt;""),IF(IFERROR(INDEX(MaskinStatus,MATCH(D1540,Maskiner,0)),"")="I dokk","","Maskinen er ikke i dokk"),""))))))</f>
        <v/>
      </c>
      <c r="L1540" s="2">
        <f>IF(B1540="","",IFERROR(INT((MATCH(B1540,Teknikere,0)-1)/18)+1,""))</f>
        <v/>
      </c>
      <c r="M1540" s="2">
        <f>IF(OR(A1540="",B1540=""),"",B1540&amp;"|"&amp;A1540)</f>
        <v/>
      </c>
      <c r="N1540" s="2">
        <f>IF(M1540="","",SUMIFS(TF_Timer,TF_Nokkel,M1540,TF_Akt,C1540))</f>
        <v/>
      </c>
      <c r="O1540" s="2">
        <f>IF(M1540="","",IF(AND(N1540=_xlfn.MAXIFS(TF_AktSum,TF_Nokkel,M1540),COUNTIFS(M$3:M1539,M1540,N$3:N1539,N1540)=0),M1540,""))</f>
        <v/>
      </c>
    </row>
    <row r="1541">
      <c r="A1541" s="34" t="n"/>
      <c r="B1541" s="35" t="n"/>
      <c r="C1541" s="35" t="n"/>
      <c r="D1541" s="35" t="n"/>
      <c r="E1541" s="35" t="n"/>
      <c r="F1541" s="36" t="n"/>
      <c r="G1541" s="35" t="n"/>
      <c r="H1541" s="30">
        <f>IF(L1541="","",INDEX(SkiftNavn,L1541))</f>
        <v/>
      </c>
      <c r="I1541" s="30">
        <f>IF(OR(A1541="",L1541=""),"",IF(MOD(A1541-INDEX(SkiftStart,L1541),Syklus)&lt;DagK,"Kveld",IF(MOD(A1541-INDEX(SkiftStart,L1541),Syklus)&lt;DagK+DagH,"Helg",IF(MOD(A1541-INDEX(SkiftStart,L1541),Syklus)&lt;DagK+DagH+DagD,"Dag","Fri"))))</f>
        <v/>
      </c>
      <c r="J1541" s="30">
        <f>IF(I1541="Fri","Ja","")</f>
        <v/>
      </c>
      <c r="K1541" s="30">
        <f>IF(B1541="","",IF(L1541="","Ukjent tekniker",IF(ISNA(MATCH(C1541,Aktiviteter,0)),"Ukjent aktivitet",IF(AND(INDEX(AktRolle,MATCH(C1541,Aktiviteter,0))&amp;""&lt;&gt;"",ISERROR(SEARCH(INDEX(AktRolle,MATCH(C1541,Aktiviteter,0))&amp;"",INDEX(TekRoller,MATCH(B1541,Teknikere,0))))),"Mangler rollen "&amp;INDEX(AktRolle,MATCH(C1541,Aktiviteter,0))&amp;"",IF(AND(C1541="LMS",F1541&gt;0,OR(D1541="",E1541="")),"Mangler maskin eller arbeid",IF(AND(OR(C1541="LMS",C1541="Mod"),D1541&lt;&gt;""),IF(IFERROR(INDEX(MaskinStatus,MATCH(D1541,Maskiner,0)),"")="I dokk","","Maskinen er ikke i dokk"),""))))))</f>
        <v/>
      </c>
      <c r="L1541" s="2">
        <f>IF(B1541="","",IFERROR(INT((MATCH(B1541,Teknikere,0)-1)/18)+1,""))</f>
        <v/>
      </c>
      <c r="M1541" s="2">
        <f>IF(OR(A1541="",B1541=""),"",B1541&amp;"|"&amp;A1541)</f>
        <v/>
      </c>
      <c r="N1541" s="2">
        <f>IF(M1541="","",SUMIFS(TF_Timer,TF_Nokkel,M1541,TF_Akt,C1541))</f>
        <v/>
      </c>
      <c r="O1541" s="2">
        <f>IF(M1541="","",IF(AND(N1541=_xlfn.MAXIFS(TF_AktSum,TF_Nokkel,M1541),COUNTIFS(M$3:M1540,M1541,N$3:N1540,N1541)=0),M1541,""))</f>
        <v/>
      </c>
    </row>
    <row r="1542">
      <c r="A1542" s="34" t="n"/>
      <c r="B1542" s="35" t="n"/>
      <c r="C1542" s="35" t="n"/>
      <c r="D1542" s="35" t="n"/>
      <c r="E1542" s="35" t="n"/>
      <c r="F1542" s="36" t="n"/>
      <c r="G1542" s="35" t="n"/>
      <c r="H1542" s="30">
        <f>IF(L1542="","",INDEX(SkiftNavn,L1542))</f>
        <v/>
      </c>
      <c r="I1542" s="30">
        <f>IF(OR(A1542="",L1542=""),"",IF(MOD(A1542-INDEX(SkiftStart,L1542),Syklus)&lt;DagK,"Kveld",IF(MOD(A1542-INDEX(SkiftStart,L1542),Syklus)&lt;DagK+DagH,"Helg",IF(MOD(A1542-INDEX(SkiftStart,L1542),Syklus)&lt;DagK+DagH+DagD,"Dag","Fri"))))</f>
        <v/>
      </c>
      <c r="J1542" s="30">
        <f>IF(I1542="Fri","Ja","")</f>
        <v/>
      </c>
      <c r="K1542" s="30">
        <f>IF(B1542="","",IF(L1542="","Ukjent tekniker",IF(ISNA(MATCH(C1542,Aktiviteter,0)),"Ukjent aktivitet",IF(AND(INDEX(AktRolle,MATCH(C1542,Aktiviteter,0))&amp;""&lt;&gt;"",ISERROR(SEARCH(INDEX(AktRolle,MATCH(C1542,Aktiviteter,0))&amp;"",INDEX(TekRoller,MATCH(B1542,Teknikere,0))))),"Mangler rollen "&amp;INDEX(AktRolle,MATCH(C1542,Aktiviteter,0))&amp;"",IF(AND(C1542="LMS",F1542&gt;0,OR(D1542="",E1542="")),"Mangler maskin eller arbeid",IF(AND(OR(C1542="LMS",C1542="Mod"),D1542&lt;&gt;""),IF(IFERROR(INDEX(MaskinStatus,MATCH(D1542,Maskiner,0)),"")="I dokk","","Maskinen er ikke i dokk"),""))))))</f>
        <v/>
      </c>
      <c r="L1542" s="2">
        <f>IF(B1542="","",IFERROR(INT((MATCH(B1542,Teknikere,0)-1)/18)+1,""))</f>
        <v/>
      </c>
      <c r="M1542" s="2">
        <f>IF(OR(A1542="",B1542=""),"",B1542&amp;"|"&amp;A1542)</f>
        <v/>
      </c>
      <c r="N1542" s="2">
        <f>IF(M1542="","",SUMIFS(TF_Timer,TF_Nokkel,M1542,TF_Akt,C1542))</f>
        <v/>
      </c>
      <c r="O1542" s="2">
        <f>IF(M1542="","",IF(AND(N1542=_xlfn.MAXIFS(TF_AktSum,TF_Nokkel,M1542),COUNTIFS(M$3:M1541,M1542,N$3:N1541,N1542)=0),M1542,""))</f>
        <v/>
      </c>
    </row>
    <row r="1543">
      <c r="A1543" s="34" t="n"/>
      <c r="B1543" s="35" t="n"/>
      <c r="C1543" s="35" t="n"/>
      <c r="D1543" s="35" t="n"/>
      <c r="E1543" s="35" t="n"/>
      <c r="F1543" s="36" t="n"/>
      <c r="G1543" s="35" t="n"/>
      <c r="H1543" s="30">
        <f>IF(L1543="","",INDEX(SkiftNavn,L1543))</f>
        <v/>
      </c>
      <c r="I1543" s="30">
        <f>IF(OR(A1543="",L1543=""),"",IF(MOD(A1543-INDEX(SkiftStart,L1543),Syklus)&lt;DagK,"Kveld",IF(MOD(A1543-INDEX(SkiftStart,L1543),Syklus)&lt;DagK+DagH,"Helg",IF(MOD(A1543-INDEX(SkiftStart,L1543),Syklus)&lt;DagK+DagH+DagD,"Dag","Fri"))))</f>
        <v/>
      </c>
      <c r="J1543" s="30">
        <f>IF(I1543="Fri","Ja","")</f>
        <v/>
      </c>
      <c r="K1543" s="30">
        <f>IF(B1543="","",IF(L1543="","Ukjent tekniker",IF(ISNA(MATCH(C1543,Aktiviteter,0)),"Ukjent aktivitet",IF(AND(INDEX(AktRolle,MATCH(C1543,Aktiviteter,0))&amp;""&lt;&gt;"",ISERROR(SEARCH(INDEX(AktRolle,MATCH(C1543,Aktiviteter,0))&amp;"",INDEX(TekRoller,MATCH(B1543,Teknikere,0))))),"Mangler rollen "&amp;INDEX(AktRolle,MATCH(C1543,Aktiviteter,0))&amp;"",IF(AND(C1543="LMS",F1543&gt;0,OR(D1543="",E1543="")),"Mangler maskin eller arbeid",IF(AND(OR(C1543="LMS",C1543="Mod"),D1543&lt;&gt;""),IF(IFERROR(INDEX(MaskinStatus,MATCH(D1543,Maskiner,0)),"")="I dokk","","Maskinen er ikke i dokk"),""))))))</f>
        <v/>
      </c>
      <c r="L1543" s="2">
        <f>IF(B1543="","",IFERROR(INT((MATCH(B1543,Teknikere,0)-1)/18)+1,""))</f>
        <v/>
      </c>
      <c r="M1543" s="2">
        <f>IF(OR(A1543="",B1543=""),"",B1543&amp;"|"&amp;A1543)</f>
        <v/>
      </c>
      <c r="N1543" s="2">
        <f>IF(M1543="","",SUMIFS(TF_Timer,TF_Nokkel,M1543,TF_Akt,C1543))</f>
        <v/>
      </c>
      <c r="O1543" s="2">
        <f>IF(M1543="","",IF(AND(N1543=_xlfn.MAXIFS(TF_AktSum,TF_Nokkel,M1543),COUNTIFS(M$3:M1542,M1543,N$3:N1542,N1543)=0),M1543,""))</f>
        <v/>
      </c>
    </row>
    <row r="1544">
      <c r="A1544" s="34" t="n"/>
      <c r="B1544" s="35" t="n"/>
      <c r="C1544" s="35" t="n"/>
      <c r="D1544" s="35" t="n"/>
      <c r="E1544" s="35" t="n"/>
      <c r="F1544" s="36" t="n"/>
      <c r="G1544" s="35" t="n"/>
      <c r="H1544" s="30">
        <f>IF(L1544="","",INDEX(SkiftNavn,L1544))</f>
        <v/>
      </c>
      <c r="I1544" s="30">
        <f>IF(OR(A1544="",L1544=""),"",IF(MOD(A1544-INDEX(SkiftStart,L1544),Syklus)&lt;DagK,"Kveld",IF(MOD(A1544-INDEX(SkiftStart,L1544),Syklus)&lt;DagK+DagH,"Helg",IF(MOD(A1544-INDEX(SkiftStart,L1544),Syklus)&lt;DagK+DagH+DagD,"Dag","Fri"))))</f>
        <v/>
      </c>
      <c r="J1544" s="30">
        <f>IF(I1544="Fri","Ja","")</f>
        <v/>
      </c>
      <c r="K1544" s="30">
        <f>IF(B1544="","",IF(L1544="","Ukjent tekniker",IF(ISNA(MATCH(C1544,Aktiviteter,0)),"Ukjent aktivitet",IF(AND(INDEX(AktRolle,MATCH(C1544,Aktiviteter,0))&amp;""&lt;&gt;"",ISERROR(SEARCH(INDEX(AktRolle,MATCH(C1544,Aktiviteter,0))&amp;"",INDEX(TekRoller,MATCH(B1544,Teknikere,0))))),"Mangler rollen "&amp;INDEX(AktRolle,MATCH(C1544,Aktiviteter,0))&amp;"",IF(AND(C1544="LMS",F1544&gt;0,OR(D1544="",E1544="")),"Mangler maskin eller arbeid",IF(AND(OR(C1544="LMS",C1544="Mod"),D1544&lt;&gt;""),IF(IFERROR(INDEX(MaskinStatus,MATCH(D1544,Maskiner,0)),"")="I dokk","","Maskinen er ikke i dokk"),""))))))</f>
        <v/>
      </c>
      <c r="L1544" s="2">
        <f>IF(B1544="","",IFERROR(INT((MATCH(B1544,Teknikere,0)-1)/18)+1,""))</f>
        <v/>
      </c>
      <c r="M1544" s="2">
        <f>IF(OR(A1544="",B1544=""),"",B1544&amp;"|"&amp;A1544)</f>
        <v/>
      </c>
      <c r="N1544" s="2">
        <f>IF(M1544="","",SUMIFS(TF_Timer,TF_Nokkel,M1544,TF_Akt,C1544))</f>
        <v/>
      </c>
      <c r="O1544" s="2">
        <f>IF(M1544="","",IF(AND(N1544=_xlfn.MAXIFS(TF_AktSum,TF_Nokkel,M1544),COUNTIFS(M$3:M1543,M1544,N$3:N1543,N1544)=0),M1544,""))</f>
        <v/>
      </c>
    </row>
    <row r="1545">
      <c r="A1545" s="34" t="n"/>
      <c r="B1545" s="35" t="n"/>
      <c r="C1545" s="35" t="n"/>
      <c r="D1545" s="35" t="n"/>
      <c r="E1545" s="35" t="n"/>
      <c r="F1545" s="36" t="n"/>
      <c r="G1545" s="35" t="n"/>
      <c r="H1545" s="30">
        <f>IF(L1545="","",INDEX(SkiftNavn,L1545))</f>
        <v/>
      </c>
      <c r="I1545" s="30">
        <f>IF(OR(A1545="",L1545=""),"",IF(MOD(A1545-INDEX(SkiftStart,L1545),Syklus)&lt;DagK,"Kveld",IF(MOD(A1545-INDEX(SkiftStart,L1545),Syklus)&lt;DagK+DagH,"Helg",IF(MOD(A1545-INDEX(SkiftStart,L1545),Syklus)&lt;DagK+DagH+DagD,"Dag","Fri"))))</f>
        <v/>
      </c>
      <c r="J1545" s="30">
        <f>IF(I1545="Fri","Ja","")</f>
        <v/>
      </c>
      <c r="K1545" s="30">
        <f>IF(B1545="","",IF(L1545="","Ukjent tekniker",IF(ISNA(MATCH(C1545,Aktiviteter,0)),"Ukjent aktivitet",IF(AND(INDEX(AktRolle,MATCH(C1545,Aktiviteter,0))&amp;""&lt;&gt;"",ISERROR(SEARCH(INDEX(AktRolle,MATCH(C1545,Aktiviteter,0))&amp;"",INDEX(TekRoller,MATCH(B1545,Teknikere,0))))),"Mangler rollen "&amp;INDEX(AktRolle,MATCH(C1545,Aktiviteter,0))&amp;"",IF(AND(C1545="LMS",F1545&gt;0,OR(D1545="",E1545="")),"Mangler maskin eller arbeid",IF(AND(OR(C1545="LMS",C1545="Mod"),D1545&lt;&gt;""),IF(IFERROR(INDEX(MaskinStatus,MATCH(D1545,Maskiner,0)),"")="I dokk","","Maskinen er ikke i dokk"),""))))))</f>
        <v/>
      </c>
      <c r="L1545" s="2">
        <f>IF(B1545="","",IFERROR(INT((MATCH(B1545,Teknikere,0)-1)/18)+1,""))</f>
        <v/>
      </c>
      <c r="M1545" s="2">
        <f>IF(OR(A1545="",B1545=""),"",B1545&amp;"|"&amp;A1545)</f>
        <v/>
      </c>
      <c r="N1545" s="2">
        <f>IF(M1545="","",SUMIFS(TF_Timer,TF_Nokkel,M1545,TF_Akt,C1545))</f>
        <v/>
      </c>
      <c r="O1545" s="2">
        <f>IF(M1545="","",IF(AND(N1545=_xlfn.MAXIFS(TF_AktSum,TF_Nokkel,M1545),COUNTIFS(M$3:M1544,M1545,N$3:N1544,N1545)=0),M1545,""))</f>
        <v/>
      </c>
    </row>
    <row r="1546">
      <c r="A1546" s="34" t="n"/>
      <c r="B1546" s="35" t="n"/>
      <c r="C1546" s="35" t="n"/>
      <c r="D1546" s="35" t="n"/>
      <c r="E1546" s="35" t="n"/>
      <c r="F1546" s="36" t="n"/>
      <c r="G1546" s="35" t="n"/>
      <c r="H1546" s="30">
        <f>IF(L1546="","",INDEX(SkiftNavn,L1546))</f>
        <v/>
      </c>
      <c r="I1546" s="30">
        <f>IF(OR(A1546="",L1546=""),"",IF(MOD(A1546-INDEX(SkiftStart,L1546),Syklus)&lt;DagK,"Kveld",IF(MOD(A1546-INDEX(SkiftStart,L1546),Syklus)&lt;DagK+DagH,"Helg",IF(MOD(A1546-INDEX(SkiftStart,L1546),Syklus)&lt;DagK+DagH+DagD,"Dag","Fri"))))</f>
        <v/>
      </c>
      <c r="J1546" s="30">
        <f>IF(I1546="Fri","Ja","")</f>
        <v/>
      </c>
      <c r="K1546" s="30">
        <f>IF(B1546="","",IF(L1546="","Ukjent tekniker",IF(ISNA(MATCH(C1546,Aktiviteter,0)),"Ukjent aktivitet",IF(AND(INDEX(AktRolle,MATCH(C1546,Aktiviteter,0))&amp;""&lt;&gt;"",ISERROR(SEARCH(INDEX(AktRolle,MATCH(C1546,Aktiviteter,0))&amp;"",INDEX(TekRoller,MATCH(B1546,Teknikere,0))))),"Mangler rollen "&amp;INDEX(AktRolle,MATCH(C1546,Aktiviteter,0))&amp;"",IF(AND(C1546="LMS",F1546&gt;0,OR(D1546="",E1546="")),"Mangler maskin eller arbeid",IF(AND(OR(C1546="LMS",C1546="Mod"),D1546&lt;&gt;""),IF(IFERROR(INDEX(MaskinStatus,MATCH(D1546,Maskiner,0)),"")="I dokk","","Maskinen er ikke i dokk"),""))))))</f>
        <v/>
      </c>
      <c r="L1546" s="2">
        <f>IF(B1546="","",IFERROR(INT((MATCH(B1546,Teknikere,0)-1)/18)+1,""))</f>
        <v/>
      </c>
      <c r="M1546" s="2">
        <f>IF(OR(A1546="",B1546=""),"",B1546&amp;"|"&amp;A1546)</f>
        <v/>
      </c>
      <c r="N1546" s="2">
        <f>IF(M1546="","",SUMIFS(TF_Timer,TF_Nokkel,M1546,TF_Akt,C1546))</f>
        <v/>
      </c>
      <c r="O1546" s="2">
        <f>IF(M1546="","",IF(AND(N1546=_xlfn.MAXIFS(TF_AktSum,TF_Nokkel,M1546),COUNTIFS(M$3:M1545,M1546,N$3:N1545,N1546)=0),M1546,""))</f>
        <v/>
      </c>
    </row>
    <row r="1547">
      <c r="A1547" s="34" t="n"/>
      <c r="B1547" s="35" t="n"/>
      <c r="C1547" s="35" t="n"/>
      <c r="D1547" s="35" t="n"/>
      <c r="E1547" s="35" t="n"/>
      <c r="F1547" s="36" t="n"/>
      <c r="G1547" s="35" t="n"/>
      <c r="H1547" s="30">
        <f>IF(L1547="","",INDEX(SkiftNavn,L1547))</f>
        <v/>
      </c>
      <c r="I1547" s="30">
        <f>IF(OR(A1547="",L1547=""),"",IF(MOD(A1547-INDEX(SkiftStart,L1547),Syklus)&lt;DagK,"Kveld",IF(MOD(A1547-INDEX(SkiftStart,L1547),Syklus)&lt;DagK+DagH,"Helg",IF(MOD(A1547-INDEX(SkiftStart,L1547),Syklus)&lt;DagK+DagH+DagD,"Dag","Fri"))))</f>
        <v/>
      </c>
      <c r="J1547" s="30">
        <f>IF(I1547="Fri","Ja","")</f>
        <v/>
      </c>
      <c r="K1547" s="30">
        <f>IF(B1547="","",IF(L1547="","Ukjent tekniker",IF(ISNA(MATCH(C1547,Aktiviteter,0)),"Ukjent aktivitet",IF(AND(INDEX(AktRolle,MATCH(C1547,Aktiviteter,0))&amp;""&lt;&gt;"",ISERROR(SEARCH(INDEX(AktRolle,MATCH(C1547,Aktiviteter,0))&amp;"",INDEX(TekRoller,MATCH(B1547,Teknikere,0))))),"Mangler rollen "&amp;INDEX(AktRolle,MATCH(C1547,Aktiviteter,0))&amp;"",IF(AND(C1547="LMS",F1547&gt;0,OR(D1547="",E1547="")),"Mangler maskin eller arbeid",IF(AND(OR(C1547="LMS",C1547="Mod"),D1547&lt;&gt;""),IF(IFERROR(INDEX(MaskinStatus,MATCH(D1547,Maskiner,0)),"")="I dokk","","Maskinen er ikke i dokk"),""))))))</f>
        <v/>
      </c>
      <c r="L1547" s="2">
        <f>IF(B1547="","",IFERROR(INT((MATCH(B1547,Teknikere,0)-1)/18)+1,""))</f>
        <v/>
      </c>
      <c r="M1547" s="2">
        <f>IF(OR(A1547="",B1547=""),"",B1547&amp;"|"&amp;A1547)</f>
        <v/>
      </c>
      <c r="N1547" s="2">
        <f>IF(M1547="","",SUMIFS(TF_Timer,TF_Nokkel,M1547,TF_Akt,C1547))</f>
        <v/>
      </c>
      <c r="O1547" s="2">
        <f>IF(M1547="","",IF(AND(N1547=_xlfn.MAXIFS(TF_AktSum,TF_Nokkel,M1547),COUNTIFS(M$3:M1546,M1547,N$3:N1546,N1547)=0),M1547,""))</f>
        <v/>
      </c>
    </row>
    <row r="1548">
      <c r="A1548" s="34" t="n"/>
      <c r="B1548" s="35" t="n"/>
      <c r="C1548" s="35" t="n"/>
      <c r="D1548" s="35" t="n"/>
      <c r="E1548" s="35" t="n"/>
      <c r="F1548" s="36" t="n"/>
      <c r="G1548" s="35" t="n"/>
      <c r="H1548" s="30">
        <f>IF(L1548="","",INDEX(SkiftNavn,L1548))</f>
        <v/>
      </c>
      <c r="I1548" s="30">
        <f>IF(OR(A1548="",L1548=""),"",IF(MOD(A1548-INDEX(SkiftStart,L1548),Syklus)&lt;DagK,"Kveld",IF(MOD(A1548-INDEX(SkiftStart,L1548),Syklus)&lt;DagK+DagH,"Helg",IF(MOD(A1548-INDEX(SkiftStart,L1548),Syklus)&lt;DagK+DagH+DagD,"Dag","Fri"))))</f>
        <v/>
      </c>
      <c r="J1548" s="30">
        <f>IF(I1548="Fri","Ja","")</f>
        <v/>
      </c>
      <c r="K1548" s="30">
        <f>IF(B1548="","",IF(L1548="","Ukjent tekniker",IF(ISNA(MATCH(C1548,Aktiviteter,0)),"Ukjent aktivitet",IF(AND(INDEX(AktRolle,MATCH(C1548,Aktiviteter,0))&amp;""&lt;&gt;"",ISERROR(SEARCH(INDEX(AktRolle,MATCH(C1548,Aktiviteter,0))&amp;"",INDEX(TekRoller,MATCH(B1548,Teknikere,0))))),"Mangler rollen "&amp;INDEX(AktRolle,MATCH(C1548,Aktiviteter,0))&amp;"",IF(AND(C1548="LMS",F1548&gt;0,OR(D1548="",E1548="")),"Mangler maskin eller arbeid",IF(AND(OR(C1548="LMS",C1548="Mod"),D1548&lt;&gt;""),IF(IFERROR(INDEX(MaskinStatus,MATCH(D1548,Maskiner,0)),"")="I dokk","","Maskinen er ikke i dokk"),""))))))</f>
        <v/>
      </c>
      <c r="L1548" s="2">
        <f>IF(B1548="","",IFERROR(INT((MATCH(B1548,Teknikere,0)-1)/18)+1,""))</f>
        <v/>
      </c>
      <c r="M1548" s="2">
        <f>IF(OR(A1548="",B1548=""),"",B1548&amp;"|"&amp;A1548)</f>
        <v/>
      </c>
      <c r="N1548" s="2">
        <f>IF(M1548="","",SUMIFS(TF_Timer,TF_Nokkel,M1548,TF_Akt,C1548))</f>
        <v/>
      </c>
      <c r="O1548" s="2">
        <f>IF(M1548="","",IF(AND(N1548=_xlfn.MAXIFS(TF_AktSum,TF_Nokkel,M1548),COUNTIFS(M$3:M1547,M1548,N$3:N1547,N1548)=0),M1548,""))</f>
        <v/>
      </c>
    </row>
    <row r="1549">
      <c r="A1549" s="34" t="n"/>
      <c r="B1549" s="35" t="n"/>
      <c r="C1549" s="35" t="n"/>
      <c r="D1549" s="35" t="n"/>
      <c r="E1549" s="35" t="n"/>
      <c r="F1549" s="36" t="n"/>
      <c r="G1549" s="35" t="n"/>
      <c r="H1549" s="30">
        <f>IF(L1549="","",INDEX(SkiftNavn,L1549))</f>
        <v/>
      </c>
      <c r="I1549" s="30">
        <f>IF(OR(A1549="",L1549=""),"",IF(MOD(A1549-INDEX(SkiftStart,L1549),Syklus)&lt;DagK,"Kveld",IF(MOD(A1549-INDEX(SkiftStart,L1549),Syklus)&lt;DagK+DagH,"Helg",IF(MOD(A1549-INDEX(SkiftStart,L1549),Syklus)&lt;DagK+DagH+DagD,"Dag","Fri"))))</f>
        <v/>
      </c>
      <c r="J1549" s="30">
        <f>IF(I1549="Fri","Ja","")</f>
        <v/>
      </c>
      <c r="K1549" s="30">
        <f>IF(B1549="","",IF(L1549="","Ukjent tekniker",IF(ISNA(MATCH(C1549,Aktiviteter,0)),"Ukjent aktivitet",IF(AND(INDEX(AktRolle,MATCH(C1549,Aktiviteter,0))&amp;""&lt;&gt;"",ISERROR(SEARCH(INDEX(AktRolle,MATCH(C1549,Aktiviteter,0))&amp;"",INDEX(TekRoller,MATCH(B1549,Teknikere,0))))),"Mangler rollen "&amp;INDEX(AktRolle,MATCH(C1549,Aktiviteter,0))&amp;"",IF(AND(C1549="LMS",F1549&gt;0,OR(D1549="",E1549="")),"Mangler maskin eller arbeid",IF(AND(OR(C1549="LMS",C1549="Mod"),D1549&lt;&gt;""),IF(IFERROR(INDEX(MaskinStatus,MATCH(D1549,Maskiner,0)),"")="I dokk","","Maskinen er ikke i dokk"),""))))))</f>
        <v/>
      </c>
      <c r="L1549" s="2">
        <f>IF(B1549="","",IFERROR(INT((MATCH(B1549,Teknikere,0)-1)/18)+1,""))</f>
        <v/>
      </c>
      <c r="M1549" s="2">
        <f>IF(OR(A1549="",B1549=""),"",B1549&amp;"|"&amp;A1549)</f>
        <v/>
      </c>
      <c r="N1549" s="2">
        <f>IF(M1549="","",SUMIFS(TF_Timer,TF_Nokkel,M1549,TF_Akt,C1549))</f>
        <v/>
      </c>
      <c r="O1549" s="2">
        <f>IF(M1549="","",IF(AND(N1549=_xlfn.MAXIFS(TF_AktSum,TF_Nokkel,M1549),COUNTIFS(M$3:M1548,M1549,N$3:N1548,N1549)=0),M1549,""))</f>
        <v/>
      </c>
    </row>
    <row r="1550">
      <c r="A1550" s="34" t="n"/>
      <c r="B1550" s="35" t="n"/>
      <c r="C1550" s="35" t="n"/>
      <c r="D1550" s="35" t="n"/>
      <c r="E1550" s="35" t="n"/>
      <c r="F1550" s="36" t="n"/>
      <c r="G1550" s="35" t="n"/>
      <c r="H1550" s="30">
        <f>IF(L1550="","",INDEX(SkiftNavn,L1550))</f>
        <v/>
      </c>
      <c r="I1550" s="30">
        <f>IF(OR(A1550="",L1550=""),"",IF(MOD(A1550-INDEX(SkiftStart,L1550),Syklus)&lt;DagK,"Kveld",IF(MOD(A1550-INDEX(SkiftStart,L1550),Syklus)&lt;DagK+DagH,"Helg",IF(MOD(A1550-INDEX(SkiftStart,L1550),Syklus)&lt;DagK+DagH+DagD,"Dag","Fri"))))</f>
        <v/>
      </c>
      <c r="J1550" s="30">
        <f>IF(I1550="Fri","Ja","")</f>
        <v/>
      </c>
      <c r="K1550" s="30">
        <f>IF(B1550="","",IF(L1550="","Ukjent tekniker",IF(ISNA(MATCH(C1550,Aktiviteter,0)),"Ukjent aktivitet",IF(AND(INDEX(AktRolle,MATCH(C1550,Aktiviteter,0))&amp;""&lt;&gt;"",ISERROR(SEARCH(INDEX(AktRolle,MATCH(C1550,Aktiviteter,0))&amp;"",INDEX(TekRoller,MATCH(B1550,Teknikere,0))))),"Mangler rollen "&amp;INDEX(AktRolle,MATCH(C1550,Aktiviteter,0))&amp;"",IF(AND(C1550="LMS",F1550&gt;0,OR(D1550="",E1550="")),"Mangler maskin eller arbeid",IF(AND(OR(C1550="LMS",C1550="Mod"),D1550&lt;&gt;""),IF(IFERROR(INDEX(MaskinStatus,MATCH(D1550,Maskiner,0)),"")="I dokk","","Maskinen er ikke i dokk"),""))))))</f>
        <v/>
      </c>
      <c r="L1550" s="2">
        <f>IF(B1550="","",IFERROR(INT((MATCH(B1550,Teknikere,0)-1)/18)+1,""))</f>
        <v/>
      </c>
      <c r="M1550" s="2">
        <f>IF(OR(A1550="",B1550=""),"",B1550&amp;"|"&amp;A1550)</f>
        <v/>
      </c>
      <c r="N1550" s="2">
        <f>IF(M1550="","",SUMIFS(TF_Timer,TF_Nokkel,M1550,TF_Akt,C1550))</f>
        <v/>
      </c>
      <c r="O1550" s="2">
        <f>IF(M1550="","",IF(AND(N1550=_xlfn.MAXIFS(TF_AktSum,TF_Nokkel,M1550),COUNTIFS(M$3:M1549,M1550,N$3:N1549,N1550)=0),M1550,""))</f>
        <v/>
      </c>
    </row>
    <row r="1551">
      <c r="A1551" s="34" t="n"/>
      <c r="B1551" s="35" t="n"/>
      <c r="C1551" s="35" t="n"/>
      <c r="D1551" s="35" t="n"/>
      <c r="E1551" s="35" t="n"/>
      <c r="F1551" s="36" t="n"/>
      <c r="G1551" s="35" t="n"/>
      <c r="H1551" s="30">
        <f>IF(L1551="","",INDEX(SkiftNavn,L1551))</f>
        <v/>
      </c>
      <c r="I1551" s="30">
        <f>IF(OR(A1551="",L1551=""),"",IF(MOD(A1551-INDEX(SkiftStart,L1551),Syklus)&lt;DagK,"Kveld",IF(MOD(A1551-INDEX(SkiftStart,L1551),Syklus)&lt;DagK+DagH,"Helg",IF(MOD(A1551-INDEX(SkiftStart,L1551),Syklus)&lt;DagK+DagH+DagD,"Dag","Fri"))))</f>
        <v/>
      </c>
      <c r="J1551" s="30">
        <f>IF(I1551="Fri","Ja","")</f>
        <v/>
      </c>
      <c r="K1551" s="30">
        <f>IF(B1551="","",IF(L1551="","Ukjent tekniker",IF(ISNA(MATCH(C1551,Aktiviteter,0)),"Ukjent aktivitet",IF(AND(INDEX(AktRolle,MATCH(C1551,Aktiviteter,0))&amp;""&lt;&gt;"",ISERROR(SEARCH(INDEX(AktRolle,MATCH(C1551,Aktiviteter,0))&amp;"",INDEX(TekRoller,MATCH(B1551,Teknikere,0))))),"Mangler rollen "&amp;INDEX(AktRolle,MATCH(C1551,Aktiviteter,0))&amp;"",IF(AND(C1551="LMS",F1551&gt;0,OR(D1551="",E1551="")),"Mangler maskin eller arbeid",IF(AND(OR(C1551="LMS",C1551="Mod"),D1551&lt;&gt;""),IF(IFERROR(INDEX(MaskinStatus,MATCH(D1551,Maskiner,0)),"")="I dokk","","Maskinen er ikke i dokk"),""))))))</f>
        <v/>
      </c>
      <c r="L1551" s="2">
        <f>IF(B1551="","",IFERROR(INT((MATCH(B1551,Teknikere,0)-1)/18)+1,""))</f>
        <v/>
      </c>
      <c r="M1551" s="2">
        <f>IF(OR(A1551="",B1551=""),"",B1551&amp;"|"&amp;A1551)</f>
        <v/>
      </c>
      <c r="N1551" s="2">
        <f>IF(M1551="","",SUMIFS(TF_Timer,TF_Nokkel,M1551,TF_Akt,C1551))</f>
        <v/>
      </c>
      <c r="O1551" s="2">
        <f>IF(M1551="","",IF(AND(N1551=_xlfn.MAXIFS(TF_AktSum,TF_Nokkel,M1551),COUNTIFS(M$3:M1550,M1551,N$3:N1550,N1551)=0),M1551,""))</f>
        <v/>
      </c>
    </row>
    <row r="1552">
      <c r="A1552" s="34" t="n"/>
      <c r="B1552" s="35" t="n"/>
      <c r="C1552" s="35" t="n"/>
      <c r="D1552" s="35" t="n"/>
      <c r="E1552" s="35" t="n"/>
      <c r="F1552" s="36" t="n"/>
      <c r="G1552" s="35" t="n"/>
      <c r="H1552" s="30">
        <f>IF(L1552="","",INDEX(SkiftNavn,L1552))</f>
        <v/>
      </c>
      <c r="I1552" s="30">
        <f>IF(OR(A1552="",L1552=""),"",IF(MOD(A1552-INDEX(SkiftStart,L1552),Syklus)&lt;DagK,"Kveld",IF(MOD(A1552-INDEX(SkiftStart,L1552),Syklus)&lt;DagK+DagH,"Helg",IF(MOD(A1552-INDEX(SkiftStart,L1552),Syklus)&lt;DagK+DagH+DagD,"Dag","Fri"))))</f>
        <v/>
      </c>
      <c r="J1552" s="30">
        <f>IF(I1552="Fri","Ja","")</f>
        <v/>
      </c>
      <c r="K1552" s="30">
        <f>IF(B1552="","",IF(L1552="","Ukjent tekniker",IF(ISNA(MATCH(C1552,Aktiviteter,0)),"Ukjent aktivitet",IF(AND(INDEX(AktRolle,MATCH(C1552,Aktiviteter,0))&amp;""&lt;&gt;"",ISERROR(SEARCH(INDEX(AktRolle,MATCH(C1552,Aktiviteter,0))&amp;"",INDEX(TekRoller,MATCH(B1552,Teknikere,0))))),"Mangler rollen "&amp;INDEX(AktRolle,MATCH(C1552,Aktiviteter,0))&amp;"",IF(AND(C1552="LMS",F1552&gt;0,OR(D1552="",E1552="")),"Mangler maskin eller arbeid",IF(AND(OR(C1552="LMS",C1552="Mod"),D1552&lt;&gt;""),IF(IFERROR(INDEX(MaskinStatus,MATCH(D1552,Maskiner,0)),"")="I dokk","","Maskinen er ikke i dokk"),""))))))</f>
        <v/>
      </c>
      <c r="L1552" s="2">
        <f>IF(B1552="","",IFERROR(INT((MATCH(B1552,Teknikere,0)-1)/18)+1,""))</f>
        <v/>
      </c>
      <c r="M1552" s="2">
        <f>IF(OR(A1552="",B1552=""),"",B1552&amp;"|"&amp;A1552)</f>
        <v/>
      </c>
      <c r="N1552" s="2">
        <f>IF(M1552="","",SUMIFS(TF_Timer,TF_Nokkel,M1552,TF_Akt,C1552))</f>
        <v/>
      </c>
      <c r="O1552" s="2">
        <f>IF(M1552="","",IF(AND(N1552=_xlfn.MAXIFS(TF_AktSum,TF_Nokkel,M1552),COUNTIFS(M$3:M1551,M1552,N$3:N1551,N1552)=0),M1552,""))</f>
        <v/>
      </c>
    </row>
    <row r="1553">
      <c r="A1553" s="34" t="n"/>
      <c r="B1553" s="35" t="n"/>
      <c r="C1553" s="35" t="n"/>
      <c r="D1553" s="35" t="n"/>
      <c r="E1553" s="35" t="n"/>
      <c r="F1553" s="36" t="n"/>
      <c r="G1553" s="35" t="n"/>
      <c r="H1553" s="30">
        <f>IF(L1553="","",INDEX(SkiftNavn,L1553))</f>
        <v/>
      </c>
      <c r="I1553" s="30">
        <f>IF(OR(A1553="",L1553=""),"",IF(MOD(A1553-INDEX(SkiftStart,L1553),Syklus)&lt;DagK,"Kveld",IF(MOD(A1553-INDEX(SkiftStart,L1553),Syklus)&lt;DagK+DagH,"Helg",IF(MOD(A1553-INDEX(SkiftStart,L1553),Syklus)&lt;DagK+DagH+DagD,"Dag","Fri"))))</f>
        <v/>
      </c>
      <c r="J1553" s="30">
        <f>IF(I1553="Fri","Ja","")</f>
        <v/>
      </c>
      <c r="K1553" s="30">
        <f>IF(B1553="","",IF(L1553="","Ukjent tekniker",IF(ISNA(MATCH(C1553,Aktiviteter,0)),"Ukjent aktivitet",IF(AND(INDEX(AktRolle,MATCH(C1553,Aktiviteter,0))&amp;""&lt;&gt;"",ISERROR(SEARCH(INDEX(AktRolle,MATCH(C1553,Aktiviteter,0))&amp;"",INDEX(TekRoller,MATCH(B1553,Teknikere,0))))),"Mangler rollen "&amp;INDEX(AktRolle,MATCH(C1553,Aktiviteter,0))&amp;"",IF(AND(C1553="LMS",F1553&gt;0,OR(D1553="",E1553="")),"Mangler maskin eller arbeid",IF(AND(OR(C1553="LMS",C1553="Mod"),D1553&lt;&gt;""),IF(IFERROR(INDEX(MaskinStatus,MATCH(D1553,Maskiner,0)),"")="I dokk","","Maskinen er ikke i dokk"),""))))))</f>
        <v/>
      </c>
      <c r="L1553" s="2">
        <f>IF(B1553="","",IFERROR(INT((MATCH(B1553,Teknikere,0)-1)/18)+1,""))</f>
        <v/>
      </c>
      <c r="M1553" s="2">
        <f>IF(OR(A1553="",B1553=""),"",B1553&amp;"|"&amp;A1553)</f>
        <v/>
      </c>
      <c r="N1553" s="2">
        <f>IF(M1553="","",SUMIFS(TF_Timer,TF_Nokkel,M1553,TF_Akt,C1553))</f>
        <v/>
      </c>
      <c r="O1553" s="2">
        <f>IF(M1553="","",IF(AND(N1553=_xlfn.MAXIFS(TF_AktSum,TF_Nokkel,M1553),COUNTIFS(M$3:M1552,M1553,N$3:N1552,N1553)=0),M1553,""))</f>
        <v/>
      </c>
    </row>
    <row r="1554">
      <c r="A1554" s="34" t="n"/>
      <c r="B1554" s="35" t="n"/>
      <c r="C1554" s="35" t="n"/>
      <c r="D1554" s="35" t="n"/>
      <c r="E1554" s="35" t="n"/>
      <c r="F1554" s="36" t="n"/>
      <c r="G1554" s="35" t="n"/>
      <c r="H1554" s="30">
        <f>IF(L1554="","",INDEX(SkiftNavn,L1554))</f>
        <v/>
      </c>
      <c r="I1554" s="30">
        <f>IF(OR(A1554="",L1554=""),"",IF(MOD(A1554-INDEX(SkiftStart,L1554),Syklus)&lt;DagK,"Kveld",IF(MOD(A1554-INDEX(SkiftStart,L1554),Syklus)&lt;DagK+DagH,"Helg",IF(MOD(A1554-INDEX(SkiftStart,L1554),Syklus)&lt;DagK+DagH+DagD,"Dag","Fri"))))</f>
        <v/>
      </c>
      <c r="J1554" s="30">
        <f>IF(I1554="Fri","Ja","")</f>
        <v/>
      </c>
      <c r="K1554" s="30">
        <f>IF(B1554="","",IF(L1554="","Ukjent tekniker",IF(ISNA(MATCH(C1554,Aktiviteter,0)),"Ukjent aktivitet",IF(AND(INDEX(AktRolle,MATCH(C1554,Aktiviteter,0))&amp;""&lt;&gt;"",ISERROR(SEARCH(INDEX(AktRolle,MATCH(C1554,Aktiviteter,0))&amp;"",INDEX(TekRoller,MATCH(B1554,Teknikere,0))))),"Mangler rollen "&amp;INDEX(AktRolle,MATCH(C1554,Aktiviteter,0))&amp;"",IF(AND(C1554="LMS",F1554&gt;0,OR(D1554="",E1554="")),"Mangler maskin eller arbeid",IF(AND(OR(C1554="LMS",C1554="Mod"),D1554&lt;&gt;""),IF(IFERROR(INDEX(MaskinStatus,MATCH(D1554,Maskiner,0)),"")="I dokk","","Maskinen er ikke i dokk"),""))))))</f>
        <v/>
      </c>
      <c r="L1554" s="2">
        <f>IF(B1554="","",IFERROR(INT((MATCH(B1554,Teknikere,0)-1)/18)+1,""))</f>
        <v/>
      </c>
      <c r="M1554" s="2">
        <f>IF(OR(A1554="",B1554=""),"",B1554&amp;"|"&amp;A1554)</f>
        <v/>
      </c>
      <c r="N1554" s="2">
        <f>IF(M1554="","",SUMIFS(TF_Timer,TF_Nokkel,M1554,TF_Akt,C1554))</f>
        <v/>
      </c>
      <c r="O1554" s="2">
        <f>IF(M1554="","",IF(AND(N1554=_xlfn.MAXIFS(TF_AktSum,TF_Nokkel,M1554),COUNTIFS(M$3:M1553,M1554,N$3:N1553,N1554)=0),M1554,""))</f>
        <v/>
      </c>
    </row>
    <row r="1555">
      <c r="A1555" s="34" t="n"/>
      <c r="B1555" s="35" t="n"/>
      <c r="C1555" s="35" t="n"/>
      <c r="D1555" s="35" t="n"/>
      <c r="E1555" s="35" t="n"/>
      <c r="F1555" s="36" t="n"/>
      <c r="G1555" s="35" t="n"/>
      <c r="H1555" s="30">
        <f>IF(L1555="","",INDEX(SkiftNavn,L1555))</f>
        <v/>
      </c>
      <c r="I1555" s="30">
        <f>IF(OR(A1555="",L1555=""),"",IF(MOD(A1555-INDEX(SkiftStart,L1555),Syklus)&lt;DagK,"Kveld",IF(MOD(A1555-INDEX(SkiftStart,L1555),Syklus)&lt;DagK+DagH,"Helg",IF(MOD(A1555-INDEX(SkiftStart,L1555),Syklus)&lt;DagK+DagH+DagD,"Dag","Fri"))))</f>
        <v/>
      </c>
      <c r="J1555" s="30">
        <f>IF(I1555="Fri","Ja","")</f>
        <v/>
      </c>
      <c r="K1555" s="30">
        <f>IF(B1555="","",IF(L1555="","Ukjent tekniker",IF(ISNA(MATCH(C1555,Aktiviteter,0)),"Ukjent aktivitet",IF(AND(INDEX(AktRolle,MATCH(C1555,Aktiviteter,0))&amp;""&lt;&gt;"",ISERROR(SEARCH(INDEX(AktRolle,MATCH(C1555,Aktiviteter,0))&amp;"",INDEX(TekRoller,MATCH(B1555,Teknikere,0))))),"Mangler rollen "&amp;INDEX(AktRolle,MATCH(C1555,Aktiviteter,0))&amp;"",IF(AND(C1555="LMS",F1555&gt;0,OR(D1555="",E1555="")),"Mangler maskin eller arbeid",IF(AND(OR(C1555="LMS",C1555="Mod"),D1555&lt;&gt;""),IF(IFERROR(INDEX(MaskinStatus,MATCH(D1555,Maskiner,0)),"")="I dokk","","Maskinen er ikke i dokk"),""))))))</f>
        <v/>
      </c>
      <c r="L1555" s="2">
        <f>IF(B1555="","",IFERROR(INT((MATCH(B1555,Teknikere,0)-1)/18)+1,""))</f>
        <v/>
      </c>
      <c r="M1555" s="2">
        <f>IF(OR(A1555="",B1555=""),"",B1555&amp;"|"&amp;A1555)</f>
        <v/>
      </c>
      <c r="N1555" s="2">
        <f>IF(M1555="","",SUMIFS(TF_Timer,TF_Nokkel,M1555,TF_Akt,C1555))</f>
        <v/>
      </c>
      <c r="O1555" s="2">
        <f>IF(M1555="","",IF(AND(N1555=_xlfn.MAXIFS(TF_AktSum,TF_Nokkel,M1555),COUNTIFS(M$3:M1554,M1555,N$3:N1554,N1555)=0),M1555,""))</f>
        <v/>
      </c>
    </row>
    <row r="1556">
      <c r="A1556" s="34" t="n"/>
      <c r="B1556" s="35" t="n"/>
      <c r="C1556" s="35" t="n"/>
      <c r="D1556" s="35" t="n"/>
      <c r="E1556" s="35" t="n"/>
      <c r="F1556" s="36" t="n"/>
      <c r="G1556" s="35" t="n"/>
      <c r="H1556" s="30">
        <f>IF(L1556="","",INDEX(SkiftNavn,L1556))</f>
        <v/>
      </c>
      <c r="I1556" s="30">
        <f>IF(OR(A1556="",L1556=""),"",IF(MOD(A1556-INDEX(SkiftStart,L1556),Syklus)&lt;DagK,"Kveld",IF(MOD(A1556-INDEX(SkiftStart,L1556),Syklus)&lt;DagK+DagH,"Helg",IF(MOD(A1556-INDEX(SkiftStart,L1556),Syklus)&lt;DagK+DagH+DagD,"Dag","Fri"))))</f>
        <v/>
      </c>
      <c r="J1556" s="30">
        <f>IF(I1556="Fri","Ja","")</f>
        <v/>
      </c>
      <c r="K1556" s="30">
        <f>IF(B1556="","",IF(L1556="","Ukjent tekniker",IF(ISNA(MATCH(C1556,Aktiviteter,0)),"Ukjent aktivitet",IF(AND(INDEX(AktRolle,MATCH(C1556,Aktiviteter,0))&amp;""&lt;&gt;"",ISERROR(SEARCH(INDEX(AktRolle,MATCH(C1556,Aktiviteter,0))&amp;"",INDEX(TekRoller,MATCH(B1556,Teknikere,0))))),"Mangler rollen "&amp;INDEX(AktRolle,MATCH(C1556,Aktiviteter,0))&amp;"",IF(AND(C1556="LMS",F1556&gt;0,OR(D1556="",E1556="")),"Mangler maskin eller arbeid",IF(AND(OR(C1556="LMS",C1556="Mod"),D1556&lt;&gt;""),IF(IFERROR(INDEX(MaskinStatus,MATCH(D1556,Maskiner,0)),"")="I dokk","","Maskinen er ikke i dokk"),""))))))</f>
        <v/>
      </c>
      <c r="L1556" s="2">
        <f>IF(B1556="","",IFERROR(INT((MATCH(B1556,Teknikere,0)-1)/18)+1,""))</f>
        <v/>
      </c>
      <c r="M1556" s="2">
        <f>IF(OR(A1556="",B1556=""),"",B1556&amp;"|"&amp;A1556)</f>
        <v/>
      </c>
      <c r="N1556" s="2">
        <f>IF(M1556="","",SUMIFS(TF_Timer,TF_Nokkel,M1556,TF_Akt,C1556))</f>
        <v/>
      </c>
      <c r="O1556" s="2">
        <f>IF(M1556="","",IF(AND(N1556=_xlfn.MAXIFS(TF_AktSum,TF_Nokkel,M1556),COUNTIFS(M$3:M1555,M1556,N$3:N1555,N1556)=0),M1556,""))</f>
        <v/>
      </c>
    </row>
    <row r="1557">
      <c r="A1557" s="34" t="n"/>
      <c r="B1557" s="35" t="n"/>
      <c r="C1557" s="35" t="n"/>
      <c r="D1557" s="35" t="n"/>
      <c r="E1557" s="35" t="n"/>
      <c r="F1557" s="36" t="n"/>
      <c r="G1557" s="35" t="n"/>
      <c r="H1557" s="30">
        <f>IF(L1557="","",INDEX(SkiftNavn,L1557))</f>
        <v/>
      </c>
      <c r="I1557" s="30">
        <f>IF(OR(A1557="",L1557=""),"",IF(MOD(A1557-INDEX(SkiftStart,L1557),Syklus)&lt;DagK,"Kveld",IF(MOD(A1557-INDEX(SkiftStart,L1557),Syklus)&lt;DagK+DagH,"Helg",IF(MOD(A1557-INDEX(SkiftStart,L1557),Syklus)&lt;DagK+DagH+DagD,"Dag","Fri"))))</f>
        <v/>
      </c>
      <c r="J1557" s="30">
        <f>IF(I1557="Fri","Ja","")</f>
        <v/>
      </c>
      <c r="K1557" s="30">
        <f>IF(B1557="","",IF(L1557="","Ukjent tekniker",IF(ISNA(MATCH(C1557,Aktiviteter,0)),"Ukjent aktivitet",IF(AND(INDEX(AktRolle,MATCH(C1557,Aktiviteter,0))&amp;""&lt;&gt;"",ISERROR(SEARCH(INDEX(AktRolle,MATCH(C1557,Aktiviteter,0))&amp;"",INDEX(TekRoller,MATCH(B1557,Teknikere,0))))),"Mangler rollen "&amp;INDEX(AktRolle,MATCH(C1557,Aktiviteter,0))&amp;"",IF(AND(C1557="LMS",F1557&gt;0,OR(D1557="",E1557="")),"Mangler maskin eller arbeid",IF(AND(OR(C1557="LMS",C1557="Mod"),D1557&lt;&gt;""),IF(IFERROR(INDEX(MaskinStatus,MATCH(D1557,Maskiner,0)),"")="I dokk","","Maskinen er ikke i dokk"),""))))))</f>
        <v/>
      </c>
      <c r="L1557" s="2">
        <f>IF(B1557="","",IFERROR(INT((MATCH(B1557,Teknikere,0)-1)/18)+1,""))</f>
        <v/>
      </c>
      <c r="M1557" s="2">
        <f>IF(OR(A1557="",B1557=""),"",B1557&amp;"|"&amp;A1557)</f>
        <v/>
      </c>
      <c r="N1557" s="2">
        <f>IF(M1557="","",SUMIFS(TF_Timer,TF_Nokkel,M1557,TF_Akt,C1557))</f>
        <v/>
      </c>
      <c r="O1557" s="2">
        <f>IF(M1557="","",IF(AND(N1557=_xlfn.MAXIFS(TF_AktSum,TF_Nokkel,M1557),COUNTIFS(M$3:M1556,M1557,N$3:N1556,N1557)=0),M1557,""))</f>
        <v/>
      </c>
    </row>
    <row r="1558">
      <c r="A1558" s="34" t="n"/>
      <c r="B1558" s="35" t="n"/>
      <c r="C1558" s="35" t="n"/>
      <c r="D1558" s="35" t="n"/>
      <c r="E1558" s="35" t="n"/>
      <c r="F1558" s="36" t="n"/>
      <c r="G1558" s="35" t="n"/>
      <c r="H1558" s="30">
        <f>IF(L1558="","",INDEX(SkiftNavn,L1558))</f>
        <v/>
      </c>
      <c r="I1558" s="30">
        <f>IF(OR(A1558="",L1558=""),"",IF(MOD(A1558-INDEX(SkiftStart,L1558),Syklus)&lt;DagK,"Kveld",IF(MOD(A1558-INDEX(SkiftStart,L1558),Syklus)&lt;DagK+DagH,"Helg",IF(MOD(A1558-INDEX(SkiftStart,L1558),Syklus)&lt;DagK+DagH+DagD,"Dag","Fri"))))</f>
        <v/>
      </c>
      <c r="J1558" s="30">
        <f>IF(I1558="Fri","Ja","")</f>
        <v/>
      </c>
      <c r="K1558" s="30">
        <f>IF(B1558="","",IF(L1558="","Ukjent tekniker",IF(ISNA(MATCH(C1558,Aktiviteter,0)),"Ukjent aktivitet",IF(AND(INDEX(AktRolle,MATCH(C1558,Aktiviteter,0))&amp;""&lt;&gt;"",ISERROR(SEARCH(INDEX(AktRolle,MATCH(C1558,Aktiviteter,0))&amp;"",INDEX(TekRoller,MATCH(B1558,Teknikere,0))))),"Mangler rollen "&amp;INDEX(AktRolle,MATCH(C1558,Aktiviteter,0))&amp;"",IF(AND(C1558="LMS",F1558&gt;0,OR(D1558="",E1558="")),"Mangler maskin eller arbeid",IF(AND(OR(C1558="LMS",C1558="Mod"),D1558&lt;&gt;""),IF(IFERROR(INDEX(MaskinStatus,MATCH(D1558,Maskiner,0)),"")="I dokk","","Maskinen er ikke i dokk"),""))))))</f>
        <v/>
      </c>
      <c r="L1558" s="2">
        <f>IF(B1558="","",IFERROR(INT((MATCH(B1558,Teknikere,0)-1)/18)+1,""))</f>
        <v/>
      </c>
      <c r="M1558" s="2">
        <f>IF(OR(A1558="",B1558=""),"",B1558&amp;"|"&amp;A1558)</f>
        <v/>
      </c>
      <c r="N1558" s="2">
        <f>IF(M1558="","",SUMIFS(TF_Timer,TF_Nokkel,M1558,TF_Akt,C1558))</f>
        <v/>
      </c>
      <c r="O1558" s="2">
        <f>IF(M1558="","",IF(AND(N1558=_xlfn.MAXIFS(TF_AktSum,TF_Nokkel,M1558),COUNTIFS(M$3:M1557,M1558,N$3:N1557,N1558)=0),M1558,""))</f>
        <v/>
      </c>
    </row>
    <row r="1559">
      <c r="A1559" s="34" t="n"/>
      <c r="B1559" s="35" t="n"/>
      <c r="C1559" s="35" t="n"/>
      <c r="D1559" s="35" t="n"/>
      <c r="E1559" s="35" t="n"/>
      <c r="F1559" s="36" t="n"/>
      <c r="G1559" s="35" t="n"/>
      <c r="H1559" s="30">
        <f>IF(L1559="","",INDEX(SkiftNavn,L1559))</f>
        <v/>
      </c>
      <c r="I1559" s="30">
        <f>IF(OR(A1559="",L1559=""),"",IF(MOD(A1559-INDEX(SkiftStart,L1559),Syklus)&lt;DagK,"Kveld",IF(MOD(A1559-INDEX(SkiftStart,L1559),Syklus)&lt;DagK+DagH,"Helg",IF(MOD(A1559-INDEX(SkiftStart,L1559),Syklus)&lt;DagK+DagH+DagD,"Dag","Fri"))))</f>
        <v/>
      </c>
      <c r="J1559" s="30">
        <f>IF(I1559="Fri","Ja","")</f>
        <v/>
      </c>
      <c r="K1559" s="30">
        <f>IF(B1559="","",IF(L1559="","Ukjent tekniker",IF(ISNA(MATCH(C1559,Aktiviteter,0)),"Ukjent aktivitet",IF(AND(INDEX(AktRolle,MATCH(C1559,Aktiviteter,0))&amp;""&lt;&gt;"",ISERROR(SEARCH(INDEX(AktRolle,MATCH(C1559,Aktiviteter,0))&amp;"",INDEX(TekRoller,MATCH(B1559,Teknikere,0))))),"Mangler rollen "&amp;INDEX(AktRolle,MATCH(C1559,Aktiviteter,0))&amp;"",IF(AND(C1559="LMS",F1559&gt;0,OR(D1559="",E1559="")),"Mangler maskin eller arbeid",IF(AND(OR(C1559="LMS",C1559="Mod"),D1559&lt;&gt;""),IF(IFERROR(INDEX(MaskinStatus,MATCH(D1559,Maskiner,0)),"")="I dokk","","Maskinen er ikke i dokk"),""))))))</f>
        <v/>
      </c>
      <c r="L1559" s="2">
        <f>IF(B1559="","",IFERROR(INT((MATCH(B1559,Teknikere,0)-1)/18)+1,""))</f>
        <v/>
      </c>
      <c r="M1559" s="2">
        <f>IF(OR(A1559="",B1559=""),"",B1559&amp;"|"&amp;A1559)</f>
        <v/>
      </c>
      <c r="N1559" s="2">
        <f>IF(M1559="","",SUMIFS(TF_Timer,TF_Nokkel,M1559,TF_Akt,C1559))</f>
        <v/>
      </c>
      <c r="O1559" s="2">
        <f>IF(M1559="","",IF(AND(N1559=_xlfn.MAXIFS(TF_AktSum,TF_Nokkel,M1559),COUNTIFS(M$3:M1558,M1559,N$3:N1558,N1559)=0),M1559,""))</f>
        <v/>
      </c>
    </row>
    <row r="1560">
      <c r="A1560" s="34" t="n"/>
      <c r="B1560" s="35" t="n"/>
      <c r="C1560" s="35" t="n"/>
      <c r="D1560" s="35" t="n"/>
      <c r="E1560" s="35" t="n"/>
      <c r="F1560" s="36" t="n"/>
      <c r="G1560" s="35" t="n"/>
      <c r="H1560" s="30">
        <f>IF(L1560="","",INDEX(SkiftNavn,L1560))</f>
        <v/>
      </c>
      <c r="I1560" s="30">
        <f>IF(OR(A1560="",L1560=""),"",IF(MOD(A1560-INDEX(SkiftStart,L1560),Syklus)&lt;DagK,"Kveld",IF(MOD(A1560-INDEX(SkiftStart,L1560),Syklus)&lt;DagK+DagH,"Helg",IF(MOD(A1560-INDEX(SkiftStart,L1560),Syklus)&lt;DagK+DagH+DagD,"Dag","Fri"))))</f>
        <v/>
      </c>
      <c r="J1560" s="30">
        <f>IF(I1560="Fri","Ja","")</f>
        <v/>
      </c>
      <c r="K1560" s="30">
        <f>IF(B1560="","",IF(L1560="","Ukjent tekniker",IF(ISNA(MATCH(C1560,Aktiviteter,0)),"Ukjent aktivitet",IF(AND(INDEX(AktRolle,MATCH(C1560,Aktiviteter,0))&amp;""&lt;&gt;"",ISERROR(SEARCH(INDEX(AktRolle,MATCH(C1560,Aktiviteter,0))&amp;"",INDEX(TekRoller,MATCH(B1560,Teknikere,0))))),"Mangler rollen "&amp;INDEX(AktRolle,MATCH(C1560,Aktiviteter,0))&amp;"",IF(AND(C1560="LMS",F1560&gt;0,OR(D1560="",E1560="")),"Mangler maskin eller arbeid",IF(AND(OR(C1560="LMS",C1560="Mod"),D1560&lt;&gt;""),IF(IFERROR(INDEX(MaskinStatus,MATCH(D1560,Maskiner,0)),"")="I dokk","","Maskinen er ikke i dokk"),""))))))</f>
        <v/>
      </c>
      <c r="L1560" s="2">
        <f>IF(B1560="","",IFERROR(INT((MATCH(B1560,Teknikere,0)-1)/18)+1,""))</f>
        <v/>
      </c>
      <c r="M1560" s="2">
        <f>IF(OR(A1560="",B1560=""),"",B1560&amp;"|"&amp;A1560)</f>
        <v/>
      </c>
      <c r="N1560" s="2">
        <f>IF(M1560="","",SUMIFS(TF_Timer,TF_Nokkel,M1560,TF_Akt,C1560))</f>
        <v/>
      </c>
      <c r="O1560" s="2">
        <f>IF(M1560="","",IF(AND(N1560=_xlfn.MAXIFS(TF_AktSum,TF_Nokkel,M1560),COUNTIFS(M$3:M1559,M1560,N$3:N1559,N1560)=0),M1560,""))</f>
        <v/>
      </c>
    </row>
    <row r="1561">
      <c r="A1561" s="34" t="n"/>
      <c r="B1561" s="35" t="n"/>
      <c r="C1561" s="35" t="n"/>
      <c r="D1561" s="35" t="n"/>
      <c r="E1561" s="35" t="n"/>
      <c r="F1561" s="36" t="n"/>
      <c r="G1561" s="35" t="n"/>
      <c r="H1561" s="30">
        <f>IF(L1561="","",INDEX(SkiftNavn,L1561))</f>
        <v/>
      </c>
      <c r="I1561" s="30">
        <f>IF(OR(A1561="",L1561=""),"",IF(MOD(A1561-INDEX(SkiftStart,L1561),Syklus)&lt;DagK,"Kveld",IF(MOD(A1561-INDEX(SkiftStart,L1561),Syklus)&lt;DagK+DagH,"Helg",IF(MOD(A1561-INDEX(SkiftStart,L1561),Syklus)&lt;DagK+DagH+DagD,"Dag","Fri"))))</f>
        <v/>
      </c>
      <c r="J1561" s="30">
        <f>IF(I1561="Fri","Ja","")</f>
        <v/>
      </c>
      <c r="K1561" s="30">
        <f>IF(B1561="","",IF(L1561="","Ukjent tekniker",IF(ISNA(MATCH(C1561,Aktiviteter,0)),"Ukjent aktivitet",IF(AND(INDEX(AktRolle,MATCH(C1561,Aktiviteter,0))&amp;""&lt;&gt;"",ISERROR(SEARCH(INDEX(AktRolle,MATCH(C1561,Aktiviteter,0))&amp;"",INDEX(TekRoller,MATCH(B1561,Teknikere,0))))),"Mangler rollen "&amp;INDEX(AktRolle,MATCH(C1561,Aktiviteter,0))&amp;"",IF(AND(C1561="LMS",F1561&gt;0,OR(D1561="",E1561="")),"Mangler maskin eller arbeid",IF(AND(OR(C1561="LMS",C1561="Mod"),D1561&lt;&gt;""),IF(IFERROR(INDEX(MaskinStatus,MATCH(D1561,Maskiner,0)),"")="I dokk","","Maskinen er ikke i dokk"),""))))))</f>
        <v/>
      </c>
      <c r="L1561" s="2">
        <f>IF(B1561="","",IFERROR(INT((MATCH(B1561,Teknikere,0)-1)/18)+1,""))</f>
        <v/>
      </c>
      <c r="M1561" s="2">
        <f>IF(OR(A1561="",B1561=""),"",B1561&amp;"|"&amp;A1561)</f>
        <v/>
      </c>
      <c r="N1561" s="2">
        <f>IF(M1561="","",SUMIFS(TF_Timer,TF_Nokkel,M1561,TF_Akt,C1561))</f>
        <v/>
      </c>
      <c r="O1561" s="2">
        <f>IF(M1561="","",IF(AND(N1561=_xlfn.MAXIFS(TF_AktSum,TF_Nokkel,M1561),COUNTIFS(M$3:M1560,M1561,N$3:N1560,N1561)=0),M1561,""))</f>
        <v/>
      </c>
    </row>
    <row r="1562">
      <c r="A1562" s="34" t="n"/>
      <c r="B1562" s="35" t="n"/>
      <c r="C1562" s="35" t="n"/>
      <c r="D1562" s="35" t="n"/>
      <c r="E1562" s="35" t="n"/>
      <c r="F1562" s="36" t="n"/>
      <c r="G1562" s="35" t="n"/>
      <c r="H1562" s="30">
        <f>IF(L1562="","",INDEX(SkiftNavn,L1562))</f>
        <v/>
      </c>
      <c r="I1562" s="30">
        <f>IF(OR(A1562="",L1562=""),"",IF(MOD(A1562-INDEX(SkiftStart,L1562),Syklus)&lt;DagK,"Kveld",IF(MOD(A1562-INDEX(SkiftStart,L1562),Syklus)&lt;DagK+DagH,"Helg",IF(MOD(A1562-INDEX(SkiftStart,L1562),Syklus)&lt;DagK+DagH+DagD,"Dag","Fri"))))</f>
        <v/>
      </c>
      <c r="J1562" s="30">
        <f>IF(I1562="Fri","Ja","")</f>
        <v/>
      </c>
      <c r="K1562" s="30">
        <f>IF(B1562="","",IF(L1562="","Ukjent tekniker",IF(ISNA(MATCH(C1562,Aktiviteter,0)),"Ukjent aktivitet",IF(AND(INDEX(AktRolle,MATCH(C1562,Aktiviteter,0))&amp;""&lt;&gt;"",ISERROR(SEARCH(INDEX(AktRolle,MATCH(C1562,Aktiviteter,0))&amp;"",INDEX(TekRoller,MATCH(B1562,Teknikere,0))))),"Mangler rollen "&amp;INDEX(AktRolle,MATCH(C1562,Aktiviteter,0))&amp;"",IF(AND(C1562="LMS",F1562&gt;0,OR(D1562="",E1562="")),"Mangler maskin eller arbeid",IF(AND(OR(C1562="LMS",C1562="Mod"),D1562&lt;&gt;""),IF(IFERROR(INDEX(MaskinStatus,MATCH(D1562,Maskiner,0)),"")="I dokk","","Maskinen er ikke i dokk"),""))))))</f>
        <v/>
      </c>
      <c r="L1562" s="2">
        <f>IF(B1562="","",IFERROR(INT((MATCH(B1562,Teknikere,0)-1)/18)+1,""))</f>
        <v/>
      </c>
      <c r="M1562" s="2">
        <f>IF(OR(A1562="",B1562=""),"",B1562&amp;"|"&amp;A1562)</f>
        <v/>
      </c>
      <c r="N1562" s="2">
        <f>IF(M1562="","",SUMIFS(TF_Timer,TF_Nokkel,M1562,TF_Akt,C1562))</f>
        <v/>
      </c>
      <c r="O1562" s="2">
        <f>IF(M1562="","",IF(AND(N1562=_xlfn.MAXIFS(TF_AktSum,TF_Nokkel,M1562),COUNTIFS(M$3:M1561,M1562,N$3:N1561,N1562)=0),M1562,""))</f>
        <v/>
      </c>
    </row>
    <row r="1563">
      <c r="A1563" s="34" t="n"/>
      <c r="B1563" s="35" t="n"/>
      <c r="C1563" s="35" t="n"/>
      <c r="D1563" s="35" t="n"/>
      <c r="E1563" s="35" t="n"/>
      <c r="F1563" s="36" t="n"/>
      <c r="G1563" s="35" t="n"/>
      <c r="H1563" s="30">
        <f>IF(L1563="","",INDEX(SkiftNavn,L1563))</f>
        <v/>
      </c>
      <c r="I1563" s="30">
        <f>IF(OR(A1563="",L1563=""),"",IF(MOD(A1563-INDEX(SkiftStart,L1563),Syklus)&lt;DagK,"Kveld",IF(MOD(A1563-INDEX(SkiftStart,L1563),Syklus)&lt;DagK+DagH,"Helg",IF(MOD(A1563-INDEX(SkiftStart,L1563),Syklus)&lt;DagK+DagH+DagD,"Dag","Fri"))))</f>
        <v/>
      </c>
      <c r="J1563" s="30">
        <f>IF(I1563="Fri","Ja","")</f>
        <v/>
      </c>
      <c r="K1563" s="30">
        <f>IF(B1563="","",IF(L1563="","Ukjent tekniker",IF(ISNA(MATCH(C1563,Aktiviteter,0)),"Ukjent aktivitet",IF(AND(INDEX(AktRolle,MATCH(C1563,Aktiviteter,0))&amp;""&lt;&gt;"",ISERROR(SEARCH(INDEX(AktRolle,MATCH(C1563,Aktiviteter,0))&amp;"",INDEX(TekRoller,MATCH(B1563,Teknikere,0))))),"Mangler rollen "&amp;INDEX(AktRolle,MATCH(C1563,Aktiviteter,0))&amp;"",IF(AND(C1563="LMS",F1563&gt;0,OR(D1563="",E1563="")),"Mangler maskin eller arbeid",IF(AND(OR(C1563="LMS",C1563="Mod"),D1563&lt;&gt;""),IF(IFERROR(INDEX(MaskinStatus,MATCH(D1563,Maskiner,0)),"")="I dokk","","Maskinen er ikke i dokk"),""))))))</f>
        <v/>
      </c>
      <c r="L1563" s="2">
        <f>IF(B1563="","",IFERROR(INT((MATCH(B1563,Teknikere,0)-1)/18)+1,""))</f>
        <v/>
      </c>
      <c r="M1563" s="2">
        <f>IF(OR(A1563="",B1563=""),"",B1563&amp;"|"&amp;A1563)</f>
        <v/>
      </c>
      <c r="N1563" s="2">
        <f>IF(M1563="","",SUMIFS(TF_Timer,TF_Nokkel,M1563,TF_Akt,C1563))</f>
        <v/>
      </c>
      <c r="O1563" s="2">
        <f>IF(M1563="","",IF(AND(N1563=_xlfn.MAXIFS(TF_AktSum,TF_Nokkel,M1563),COUNTIFS(M$3:M1562,M1563,N$3:N1562,N1563)=0),M1563,""))</f>
        <v/>
      </c>
    </row>
    <row r="1564">
      <c r="A1564" s="34" t="n"/>
      <c r="B1564" s="35" t="n"/>
      <c r="C1564" s="35" t="n"/>
      <c r="D1564" s="35" t="n"/>
      <c r="E1564" s="35" t="n"/>
      <c r="F1564" s="36" t="n"/>
      <c r="G1564" s="35" t="n"/>
      <c r="H1564" s="30">
        <f>IF(L1564="","",INDEX(SkiftNavn,L1564))</f>
        <v/>
      </c>
      <c r="I1564" s="30">
        <f>IF(OR(A1564="",L1564=""),"",IF(MOD(A1564-INDEX(SkiftStart,L1564),Syklus)&lt;DagK,"Kveld",IF(MOD(A1564-INDEX(SkiftStart,L1564),Syklus)&lt;DagK+DagH,"Helg",IF(MOD(A1564-INDEX(SkiftStart,L1564),Syklus)&lt;DagK+DagH+DagD,"Dag","Fri"))))</f>
        <v/>
      </c>
      <c r="J1564" s="30">
        <f>IF(I1564="Fri","Ja","")</f>
        <v/>
      </c>
      <c r="K1564" s="30">
        <f>IF(B1564="","",IF(L1564="","Ukjent tekniker",IF(ISNA(MATCH(C1564,Aktiviteter,0)),"Ukjent aktivitet",IF(AND(INDEX(AktRolle,MATCH(C1564,Aktiviteter,0))&amp;""&lt;&gt;"",ISERROR(SEARCH(INDEX(AktRolle,MATCH(C1564,Aktiviteter,0))&amp;"",INDEX(TekRoller,MATCH(B1564,Teknikere,0))))),"Mangler rollen "&amp;INDEX(AktRolle,MATCH(C1564,Aktiviteter,0))&amp;"",IF(AND(C1564="LMS",F1564&gt;0,OR(D1564="",E1564="")),"Mangler maskin eller arbeid",IF(AND(OR(C1564="LMS",C1564="Mod"),D1564&lt;&gt;""),IF(IFERROR(INDEX(MaskinStatus,MATCH(D1564,Maskiner,0)),"")="I dokk","","Maskinen er ikke i dokk"),""))))))</f>
        <v/>
      </c>
      <c r="L1564" s="2">
        <f>IF(B1564="","",IFERROR(INT((MATCH(B1564,Teknikere,0)-1)/18)+1,""))</f>
        <v/>
      </c>
      <c r="M1564" s="2">
        <f>IF(OR(A1564="",B1564=""),"",B1564&amp;"|"&amp;A1564)</f>
        <v/>
      </c>
      <c r="N1564" s="2">
        <f>IF(M1564="","",SUMIFS(TF_Timer,TF_Nokkel,M1564,TF_Akt,C1564))</f>
        <v/>
      </c>
      <c r="O1564" s="2">
        <f>IF(M1564="","",IF(AND(N1564=_xlfn.MAXIFS(TF_AktSum,TF_Nokkel,M1564),COUNTIFS(M$3:M1563,M1564,N$3:N1563,N1564)=0),M1564,""))</f>
        <v/>
      </c>
    </row>
    <row r="1565">
      <c r="A1565" s="34" t="n"/>
      <c r="B1565" s="35" t="n"/>
      <c r="C1565" s="35" t="n"/>
      <c r="D1565" s="35" t="n"/>
      <c r="E1565" s="35" t="n"/>
      <c r="F1565" s="36" t="n"/>
      <c r="G1565" s="35" t="n"/>
      <c r="H1565" s="30">
        <f>IF(L1565="","",INDEX(SkiftNavn,L1565))</f>
        <v/>
      </c>
      <c r="I1565" s="30">
        <f>IF(OR(A1565="",L1565=""),"",IF(MOD(A1565-INDEX(SkiftStart,L1565),Syklus)&lt;DagK,"Kveld",IF(MOD(A1565-INDEX(SkiftStart,L1565),Syklus)&lt;DagK+DagH,"Helg",IF(MOD(A1565-INDEX(SkiftStart,L1565),Syklus)&lt;DagK+DagH+DagD,"Dag","Fri"))))</f>
        <v/>
      </c>
      <c r="J1565" s="30">
        <f>IF(I1565="Fri","Ja","")</f>
        <v/>
      </c>
      <c r="K1565" s="30">
        <f>IF(B1565="","",IF(L1565="","Ukjent tekniker",IF(ISNA(MATCH(C1565,Aktiviteter,0)),"Ukjent aktivitet",IF(AND(INDEX(AktRolle,MATCH(C1565,Aktiviteter,0))&amp;""&lt;&gt;"",ISERROR(SEARCH(INDEX(AktRolle,MATCH(C1565,Aktiviteter,0))&amp;"",INDEX(TekRoller,MATCH(B1565,Teknikere,0))))),"Mangler rollen "&amp;INDEX(AktRolle,MATCH(C1565,Aktiviteter,0))&amp;"",IF(AND(C1565="LMS",F1565&gt;0,OR(D1565="",E1565="")),"Mangler maskin eller arbeid",IF(AND(OR(C1565="LMS",C1565="Mod"),D1565&lt;&gt;""),IF(IFERROR(INDEX(MaskinStatus,MATCH(D1565,Maskiner,0)),"")="I dokk","","Maskinen er ikke i dokk"),""))))))</f>
        <v/>
      </c>
      <c r="L1565" s="2">
        <f>IF(B1565="","",IFERROR(INT((MATCH(B1565,Teknikere,0)-1)/18)+1,""))</f>
        <v/>
      </c>
      <c r="M1565" s="2">
        <f>IF(OR(A1565="",B1565=""),"",B1565&amp;"|"&amp;A1565)</f>
        <v/>
      </c>
      <c r="N1565" s="2">
        <f>IF(M1565="","",SUMIFS(TF_Timer,TF_Nokkel,M1565,TF_Akt,C1565))</f>
        <v/>
      </c>
      <c r="O1565" s="2">
        <f>IF(M1565="","",IF(AND(N1565=_xlfn.MAXIFS(TF_AktSum,TF_Nokkel,M1565),COUNTIFS(M$3:M1564,M1565,N$3:N1564,N1565)=0),M1565,""))</f>
        <v/>
      </c>
    </row>
    <row r="1566">
      <c r="A1566" s="34" t="n"/>
      <c r="B1566" s="35" t="n"/>
      <c r="C1566" s="35" t="n"/>
      <c r="D1566" s="35" t="n"/>
      <c r="E1566" s="35" t="n"/>
      <c r="F1566" s="36" t="n"/>
      <c r="G1566" s="35" t="n"/>
      <c r="H1566" s="30">
        <f>IF(L1566="","",INDEX(SkiftNavn,L1566))</f>
        <v/>
      </c>
      <c r="I1566" s="30">
        <f>IF(OR(A1566="",L1566=""),"",IF(MOD(A1566-INDEX(SkiftStart,L1566),Syklus)&lt;DagK,"Kveld",IF(MOD(A1566-INDEX(SkiftStart,L1566),Syklus)&lt;DagK+DagH,"Helg",IF(MOD(A1566-INDEX(SkiftStart,L1566),Syklus)&lt;DagK+DagH+DagD,"Dag","Fri"))))</f>
        <v/>
      </c>
      <c r="J1566" s="30">
        <f>IF(I1566="Fri","Ja","")</f>
        <v/>
      </c>
      <c r="K1566" s="30">
        <f>IF(B1566="","",IF(L1566="","Ukjent tekniker",IF(ISNA(MATCH(C1566,Aktiviteter,0)),"Ukjent aktivitet",IF(AND(INDEX(AktRolle,MATCH(C1566,Aktiviteter,0))&amp;""&lt;&gt;"",ISERROR(SEARCH(INDEX(AktRolle,MATCH(C1566,Aktiviteter,0))&amp;"",INDEX(TekRoller,MATCH(B1566,Teknikere,0))))),"Mangler rollen "&amp;INDEX(AktRolle,MATCH(C1566,Aktiviteter,0))&amp;"",IF(AND(C1566="LMS",F1566&gt;0,OR(D1566="",E1566="")),"Mangler maskin eller arbeid",IF(AND(OR(C1566="LMS",C1566="Mod"),D1566&lt;&gt;""),IF(IFERROR(INDEX(MaskinStatus,MATCH(D1566,Maskiner,0)),"")="I dokk","","Maskinen er ikke i dokk"),""))))))</f>
        <v/>
      </c>
      <c r="L1566" s="2">
        <f>IF(B1566="","",IFERROR(INT((MATCH(B1566,Teknikere,0)-1)/18)+1,""))</f>
        <v/>
      </c>
      <c r="M1566" s="2">
        <f>IF(OR(A1566="",B1566=""),"",B1566&amp;"|"&amp;A1566)</f>
        <v/>
      </c>
      <c r="N1566" s="2">
        <f>IF(M1566="","",SUMIFS(TF_Timer,TF_Nokkel,M1566,TF_Akt,C1566))</f>
        <v/>
      </c>
      <c r="O1566" s="2">
        <f>IF(M1566="","",IF(AND(N1566=_xlfn.MAXIFS(TF_AktSum,TF_Nokkel,M1566),COUNTIFS(M$3:M1565,M1566,N$3:N1565,N1566)=0),M1566,""))</f>
        <v/>
      </c>
    </row>
    <row r="1567">
      <c r="A1567" s="34" t="n"/>
      <c r="B1567" s="35" t="n"/>
      <c r="C1567" s="35" t="n"/>
      <c r="D1567" s="35" t="n"/>
      <c r="E1567" s="35" t="n"/>
      <c r="F1567" s="36" t="n"/>
      <c r="G1567" s="35" t="n"/>
      <c r="H1567" s="30">
        <f>IF(L1567="","",INDEX(SkiftNavn,L1567))</f>
        <v/>
      </c>
      <c r="I1567" s="30">
        <f>IF(OR(A1567="",L1567=""),"",IF(MOD(A1567-INDEX(SkiftStart,L1567),Syklus)&lt;DagK,"Kveld",IF(MOD(A1567-INDEX(SkiftStart,L1567),Syklus)&lt;DagK+DagH,"Helg",IF(MOD(A1567-INDEX(SkiftStart,L1567),Syklus)&lt;DagK+DagH+DagD,"Dag","Fri"))))</f>
        <v/>
      </c>
      <c r="J1567" s="30">
        <f>IF(I1567="Fri","Ja","")</f>
        <v/>
      </c>
      <c r="K1567" s="30">
        <f>IF(B1567="","",IF(L1567="","Ukjent tekniker",IF(ISNA(MATCH(C1567,Aktiviteter,0)),"Ukjent aktivitet",IF(AND(INDEX(AktRolle,MATCH(C1567,Aktiviteter,0))&amp;""&lt;&gt;"",ISERROR(SEARCH(INDEX(AktRolle,MATCH(C1567,Aktiviteter,0))&amp;"",INDEX(TekRoller,MATCH(B1567,Teknikere,0))))),"Mangler rollen "&amp;INDEX(AktRolle,MATCH(C1567,Aktiviteter,0))&amp;"",IF(AND(C1567="LMS",F1567&gt;0,OR(D1567="",E1567="")),"Mangler maskin eller arbeid",IF(AND(OR(C1567="LMS",C1567="Mod"),D1567&lt;&gt;""),IF(IFERROR(INDEX(MaskinStatus,MATCH(D1567,Maskiner,0)),"")="I dokk","","Maskinen er ikke i dokk"),""))))))</f>
        <v/>
      </c>
      <c r="L1567" s="2">
        <f>IF(B1567="","",IFERROR(INT((MATCH(B1567,Teknikere,0)-1)/18)+1,""))</f>
        <v/>
      </c>
      <c r="M1567" s="2">
        <f>IF(OR(A1567="",B1567=""),"",B1567&amp;"|"&amp;A1567)</f>
        <v/>
      </c>
      <c r="N1567" s="2">
        <f>IF(M1567="","",SUMIFS(TF_Timer,TF_Nokkel,M1567,TF_Akt,C1567))</f>
        <v/>
      </c>
      <c r="O1567" s="2">
        <f>IF(M1567="","",IF(AND(N1567=_xlfn.MAXIFS(TF_AktSum,TF_Nokkel,M1567),COUNTIFS(M$3:M1566,M1567,N$3:N1566,N1567)=0),M1567,""))</f>
        <v/>
      </c>
    </row>
    <row r="1568">
      <c r="A1568" s="34" t="n"/>
      <c r="B1568" s="35" t="n"/>
      <c r="C1568" s="35" t="n"/>
      <c r="D1568" s="35" t="n"/>
      <c r="E1568" s="35" t="n"/>
      <c r="F1568" s="36" t="n"/>
      <c r="G1568" s="35" t="n"/>
      <c r="H1568" s="30">
        <f>IF(L1568="","",INDEX(SkiftNavn,L1568))</f>
        <v/>
      </c>
      <c r="I1568" s="30">
        <f>IF(OR(A1568="",L1568=""),"",IF(MOD(A1568-INDEX(SkiftStart,L1568),Syklus)&lt;DagK,"Kveld",IF(MOD(A1568-INDEX(SkiftStart,L1568),Syklus)&lt;DagK+DagH,"Helg",IF(MOD(A1568-INDEX(SkiftStart,L1568),Syklus)&lt;DagK+DagH+DagD,"Dag","Fri"))))</f>
        <v/>
      </c>
      <c r="J1568" s="30">
        <f>IF(I1568="Fri","Ja","")</f>
        <v/>
      </c>
      <c r="K1568" s="30">
        <f>IF(B1568="","",IF(L1568="","Ukjent tekniker",IF(ISNA(MATCH(C1568,Aktiviteter,0)),"Ukjent aktivitet",IF(AND(INDEX(AktRolle,MATCH(C1568,Aktiviteter,0))&amp;""&lt;&gt;"",ISERROR(SEARCH(INDEX(AktRolle,MATCH(C1568,Aktiviteter,0))&amp;"",INDEX(TekRoller,MATCH(B1568,Teknikere,0))))),"Mangler rollen "&amp;INDEX(AktRolle,MATCH(C1568,Aktiviteter,0))&amp;"",IF(AND(C1568="LMS",F1568&gt;0,OR(D1568="",E1568="")),"Mangler maskin eller arbeid",IF(AND(OR(C1568="LMS",C1568="Mod"),D1568&lt;&gt;""),IF(IFERROR(INDEX(MaskinStatus,MATCH(D1568,Maskiner,0)),"")="I dokk","","Maskinen er ikke i dokk"),""))))))</f>
        <v/>
      </c>
      <c r="L1568" s="2">
        <f>IF(B1568="","",IFERROR(INT((MATCH(B1568,Teknikere,0)-1)/18)+1,""))</f>
        <v/>
      </c>
      <c r="M1568" s="2">
        <f>IF(OR(A1568="",B1568=""),"",B1568&amp;"|"&amp;A1568)</f>
        <v/>
      </c>
      <c r="N1568" s="2">
        <f>IF(M1568="","",SUMIFS(TF_Timer,TF_Nokkel,M1568,TF_Akt,C1568))</f>
        <v/>
      </c>
      <c r="O1568" s="2">
        <f>IF(M1568="","",IF(AND(N1568=_xlfn.MAXIFS(TF_AktSum,TF_Nokkel,M1568),COUNTIFS(M$3:M1567,M1568,N$3:N1567,N1568)=0),M1568,""))</f>
        <v/>
      </c>
    </row>
    <row r="1569">
      <c r="A1569" s="34" t="n"/>
      <c r="B1569" s="35" t="n"/>
      <c r="C1569" s="35" t="n"/>
      <c r="D1569" s="35" t="n"/>
      <c r="E1569" s="35" t="n"/>
      <c r="F1569" s="36" t="n"/>
      <c r="G1569" s="35" t="n"/>
      <c r="H1569" s="30">
        <f>IF(L1569="","",INDEX(SkiftNavn,L1569))</f>
        <v/>
      </c>
      <c r="I1569" s="30">
        <f>IF(OR(A1569="",L1569=""),"",IF(MOD(A1569-INDEX(SkiftStart,L1569),Syklus)&lt;DagK,"Kveld",IF(MOD(A1569-INDEX(SkiftStart,L1569),Syklus)&lt;DagK+DagH,"Helg",IF(MOD(A1569-INDEX(SkiftStart,L1569),Syklus)&lt;DagK+DagH+DagD,"Dag","Fri"))))</f>
        <v/>
      </c>
      <c r="J1569" s="30">
        <f>IF(I1569="Fri","Ja","")</f>
        <v/>
      </c>
      <c r="K1569" s="30">
        <f>IF(B1569="","",IF(L1569="","Ukjent tekniker",IF(ISNA(MATCH(C1569,Aktiviteter,0)),"Ukjent aktivitet",IF(AND(INDEX(AktRolle,MATCH(C1569,Aktiviteter,0))&amp;""&lt;&gt;"",ISERROR(SEARCH(INDEX(AktRolle,MATCH(C1569,Aktiviteter,0))&amp;"",INDEX(TekRoller,MATCH(B1569,Teknikere,0))))),"Mangler rollen "&amp;INDEX(AktRolle,MATCH(C1569,Aktiviteter,0))&amp;"",IF(AND(C1569="LMS",F1569&gt;0,OR(D1569="",E1569="")),"Mangler maskin eller arbeid",IF(AND(OR(C1569="LMS",C1569="Mod"),D1569&lt;&gt;""),IF(IFERROR(INDEX(MaskinStatus,MATCH(D1569,Maskiner,0)),"")="I dokk","","Maskinen er ikke i dokk"),""))))))</f>
        <v/>
      </c>
      <c r="L1569" s="2">
        <f>IF(B1569="","",IFERROR(INT((MATCH(B1569,Teknikere,0)-1)/18)+1,""))</f>
        <v/>
      </c>
      <c r="M1569" s="2">
        <f>IF(OR(A1569="",B1569=""),"",B1569&amp;"|"&amp;A1569)</f>
        <v/>
      </c>
      <c r="N1569" s="2">
        <f>IF(M1569="","",SUMIFS(TF_Timer,TF_Nokkel,M1569,TF_Akt,C1569))</f>
        <v/>
      </c>
      <c r="O1569" s="2">
        <f>IF(M1569="","",IF(AND(N1569=_xlfn.MAXIFS(TF_AktSum,TF_Nokkel,M1569),COUNTIFS(M$3:M1568,M1569,N$3:N1568,N1569)=0),M1569,""))</f>
        <v/>
      </c>
    </row>
    <row r="1570">
      <c r="A1570" s="34" t="n"/>
      <c r="B1570" s="35" t="n"/>
      <c r="C1570" s="35" t="n"/>
      <c r="D1570" s="35" t="n"/>
      <c r="E1570" s="35" t="n"/>
      <c r="F1570" s="36" t="n"/>
      <c r="G1570" s="35" t="n"/>
      <c r="H1570" s="30">
        <f>IF(L1570="","",INDEX(SkiftNavn,L1570))</f>
        <v/>
      </c>
      <c r="I1570" s="30">
        <f>IF(OR(A1570="",L1570=""),"",IF(MOD(A1570-INDEX(SkiftStart,L1570),Syklus)&lt;DagK,"Kveld",IF(MOD(A1570-INDEX(SkiftStart,L1570),Syklus)&lt;DagK+DagH,"Helg",IF(MOD(A1570-INDEX(SkiftStart,L1570),Syklus)&lt;DagK+DagH+DagD,"Dag","Fri"))))</f>
        <v/>
      </c>
      <c r="J1570" s="30">
        <f>IF(I1570="Fri","Ja","")</f>
        <v/>
      </c>
      <c r="K1570" s="30">
        <f>IF(B1570="","",IF(L1570="","Ukjent tekniker",IF(ISNA(MATCH(C1570,Aktiviteter,0)),"Ukjent aktivitet",IF(AND(INDEX(AktRolle,MATCH(C1570,Aktiviteter,0))&amp;""&lt;&gt;"",ISERROR(SEARCH(INDEX(AktRolle,MATCH(C1570,Aktiviteter,0))&amp;"",INDEX(TekRoller,MATCH(B1570,Teknikere,0))))),"Mangler rollen "&amp;INDEX(AktRolle,MATCH(C1570,Aktiviteter,0))&amp;"",IF(AND(C1570="LMS",F1570&gt;0,OR(D1570="",E1570="")),"Mangler maskin eller arbeid",IF(AND(OR(C1570="LMS",C1570="Mod"),D1570&lt;&gt;""),IF(IFERROR(INDEX(MaskinStatus,MATCH(D1570,Maskiner,0)),"")="I dokk","","Maskinen er ikke i dokk"),""))))))</f>
        <v/>
      </c>
      <c r="L1570" s="2">
        <f>IF(B1570="","",IFERROR(INT((MATCH(B1570,Teknikere,0)-1)/18)+1,""))</f>
        <v/>
      </c>
      <c r="M1570" s="2">
        <f>IF(OR(A1570="",B1570=""),"",B1570&amp;"|"&amp;A1570)</f>
        <v/>
      </c>
      <c r="N1570" s="2">
        <f>IF(M1570="","",SUMIFS(TF_Timer,TF_Nokkel,M1570,TF_Akt,C1570))</f>
        <v/>
      </c>
      <c r="O1570" s="2">
        <f>IF(M1570="","",IF(AND(N1570=_xlfn.MAXIFS(TF_AktSum,TF_Nokkel,M1570),COUNTIFS(M$3:M1569,M1570,N$3:N1569,N1570)=0),M1570,""))</f>
        <v/>
      </c>
    </row>
    <row r="1571">
      <c r="A1571" s="34" t="n"/>
      <c r="B1571" s="35" t="n"/>
      <c r="C1571" s="35" t="n"/>
      <c r="D1571" s="35" t="n"/>
      <c r="E1571" s="35" t="n"/>
      <c r="F1571" s="36" t="n"/>
      <c r="G1571" s="35" t="n"/>
      <c r="H1571" s="30">
        <f>IF(L1571="","",INDEX(SkiftNavn,L1571))</f>
        <v/>
      </c>
      <c r="I1571" s="30">
        <f>IF(OR(A1571="",L1571=""),"",IF(MOD(A1571-INDEX(SkiftStart,L1571),Syklus)&lt;DagK,"Kveld",IF(MOD(A1571-INDEX(SkiftStart,L1571),Syklus)&lt;DagK+DagH,"Helg",IF(MOD(A1571-INDEX(SkiftStart,L1571),Syklus)&lt;DagK+DagH+DagD,"Dag","Fri"))))</f>
        <v/>
      </c>
      <c r="J1571" s="30">
        <f>IF(I1571="Fri","Ja","")</f>
        <v/>
      </c>
      <c r="K1571" s="30">
        <f>IF(B1571="","",IF(L1571="","Ukjent tekniker",IF(ISNA(MATCH(C1571,Aktiviteter,0)),"Ukjent aktivitet",IF(AND(INDEX(AktRolle,MATCH(C1571,Aktiviteter,0))&amp;""&lt;&gt;"",ISERROR(SEARCH(INDEX(AktRolle,MATCH(C1571,Aktiviteter,0))&amp;"",INDEX(TekRoller,MATCH(B1571,Teknikere,0))))),"Mangler rollen "&amp;INDEX(AktRolle,MATCH(C1571,Aktiviteter,0))&amp;"",IF(AND(C1571="LMS",F1571&gt;0,OR(D1571="",E1571="")),"Mangler maskin eller arbeid",IF(AND(OR(C1571="LMS",C1571="Mod"),D1571&lt;&gt;""),IF(IFERROR(INDEX(MaskinStatus,MATCH(D1571,Maskiner,0)),"")="I dokk","","Maskinen er ikke i dokk"),""))))))</f>
        <v/>
      </c>
      <c r="L1571" s="2">
        <f>IF(B1571="","",IFERROR(INT((MATCH(B1571,Teknikere,0)-1)/18)+1,""))</f>
        <v/>
      </c>
      <c r="M1571" s="2">
        <f>IF(OR(A1571="",B1571=""),"",B1571&amp;"|"&amp;A1571)</f>
        <v/>
      </c>
      <c r="N1571" s="2">
        <f>IF(M1571="","",SUMIFS(TF_Timer,TF_Nokkel,M1571,TF_Akt,C1571))</f>
        <v/>
      </c>
      <c r="O1571" s="2">
        <f>IF(M1571="","",IF(AND(N1571=_xlfn.MAXIFS(TF_AktSum,TF_Nokkel,M1571),COUNTIFS(M$3:M1570,M1571,N$3:N1570,N1571)=0),M1571,""))</f>
        <v/>
      </c>
    </row>
    <row r="1572">
      <c r="A1572" s="34" t="n"/>
      <c r="B1572" s="35" t="n"/>
      <c r="C1572" s="35" t="n"/>
      <c r="D1572" s="35" t="n"/>
      <c r="E1572" s="35" t="n"/>
      <c r="F1572" s="36" t="n"/>
      <c r="G1572" s="35" t="n"/>
      <c r="H1572" s="30">
        <f>IF(L1572="","",INDEX(SkiftNavn,L1572))</f>
        <v/>
      </c>
      <c r="I1572" s="30">
        <f>IF(OR(A1572="",L1572=""),"",IF(MOD(A1572-INDEX(SkiftStart,L1572),Syklus)&lt;DagK,"Kveld",IF(MOD(A1572-INDEX(SkiftStart,L1572),Syklus)&lt;DagK+DagH,"Helg",IF(MOD(A1572-INDEX(SkiftStart,L1572),Syklus)&lt;DagK+DagH+DagD,"Dag","Fri"))))</f>
        <v/>
      </c>
      <c r="J1572" s="30">
        <f>IF(I1572="Fri","Ja","")</f>
        <v/>
      </c>
      <c r="K1572" s="30">
        <f>IF(B1572="","",IF(L1572="","Ukjent tekniker",IF(ISNA(MATCH(C1572,Aktiviteter,0)),"Ukjent aktivitet",IF(AND(INDEX(AktRolle,MATCH(C1572,Aktiviteter,0))&amp;""&lt;&gt;"",ISERROR(SEARCH(INDEX(AktRolle,MATCH(C1572,Aktiviteter,0))&amp;"",INDEX(TekRoller,MATCH(B1572,Teknikere,0))))),"Mangler rollen "&amp;INDEX(AktRolle,MATCH(C1572,Aktiviteter,0))&amp;"",IF(AND(C1572="LMS",F1572&gt;0,OR(D1572="",E1572="")),"Mangler maskin eller arbeid",IF(AND(OR(C1572="LMS",C1572="Mod"),D1572&lt;&gt;""),IF(IFERROR(INDEX(MaskinStatus,MATCH(D1572,Maskiner,0)),"")="I dokk","","Maskinen er ikke i dokk"),""))))))</f>
        <v/>
      </c>
      <c r="L1572" s="2">
        <f>IF(B1572="","",IFERROR(INT((MATCH(B1572,Teknikere,0)-1)/18)+1,""))</f>
        <v/>
      </c>
      <c r="M1572" s="2">
        <f>IF(OR(A1572="",B1572=""),"",B1572&amp;"|"&amp;A1572)</f>
        <v/>
      </c>
      <c r="N1572" s="2">
        <f>IF(M1572="","",SUMIFS(TF_Timer,TF_Nokkel,M1572,TF_Akt,C1572))</f>
        <v/>
      </c>
      <c r="O1572" s="2">
        <f>IF(M1572="","",IF(AND(N1572=_xlfn.MAXIFS(TF_AktSum,TF_Nokkel,M1572),COUNTIFS(M$3:M1571,M1572,N$3:N1571,N1572)=0),M1572,""))</f>
        <v/>
      </c>
    </row>
    <row r="1573">
      <c r="A1573" s="34" t="n"/>
      <c r="B1573" s="35" t="n"/>
      <c r="C1573" s="35" t="n"/>
      <c r="D1573" s="35" t="n"/>
      <c r="E1573" s="35" t="n"/>
      <c r="F1573" s="36" t="n"/>
      <c r="G1573" s="35" t="n"/>
      <c r="H1573" s="30">
        <f>IF(L1573="","",INDEX(SkiftNavn,L1573))</f>
        <v/>
      </c>
      <c r="I1573" s="30">
        <f>IF(OR(A1573="",L1573=""),"",IF(MOD(A1573-INDEX(SkiftStart,L1573),Syklus)&lt;DagK,"Kveld",IF(MOD(A1573-INDEX(SkiftStart,L1573),Syklus)&lt;DagK+DagH,"Helg",IF(MOD(A1573-INDEX(SkiftStart,L1573),Syklus)&lt;DagK+DagH+DagD,"Dag","Fri"))))</f>
        <v/>
      </c>
      <c r="J1573" s="30">
        <f>IF(I1573="Fri","Ja","")</f>
        <v/>
      </c>
      <c r="K1573" s="30">
        <f>IF(B1573="","",IF(L1573="","Ukjent tekniker",IF(ISNA(MATCH(C1573,Aktiviteter,0)),"Ukjent aktivitet",IF(AND(INDEX(AktRolle,MATCH(C1573,Aktiviteter,0))&amp;""&lt;&gt;"",ISERROR(SEARCH(INDEX(AktRolle,MATCH(C1573,Aktiviteter,0))&amp;"",INDEX(TekRoller,MATCH(B1573,Teknikere,0))))),"Mangler rollen "&amp;INDEX(AktRolle,MATCH(C1573,Aktiviteter,0))&amp;"",IF(AND(C1573="LMS",F1573&gt;0,OR(D1573="",E1573="")),"Mangler maskin eller arbeid",IF(AND(OR(C1573="LMS",C1573="Mod"),D1573&lt;&gt;""),IF(IFERROR(INDEX(MaskinStatus,MATCH(D1573,Maskiner,0)),"")="I dokk","","Maskinen er ikke i dokk"),""))))))</f>
        <v/>
      </c>
      <c r="L1573" s="2">
        <f>IF(B1573="","",IFERROR(INT((MATCH(B1573,Teknikere,0)-1)/18)+1,""))</f>
        <v/>
      </c>
      <c r="M1573" s="2">
        <f>IF(OR(A1573="",B1573=""),"",B1573&amp;"|"&amp;A1573)</f>
        <v/>
      </c>
      <c r="N1573" s="2">
        <f>IF(M1573="","",SUMIFS(TF_Timer,TF_Nokkel,M1573,TF_Akt,C1573))</f>
        <v/>
      </c>
      <c r="O1573" s="2">
        <f>IF(M1573="","",IF(AND(N1573=_xlfn.MAXIFS(TF_AktSum,TF_Nokkel,M1573),COUNTIFS(M$3:M1572,M1573,N$3:N1572,N1573)=0),M1573,""))</f>
        <v/>
      </c>
    </row>
    <row r="1574">
      <c r="A1574" s="34" t="n"/>
      <c r="B1574" s="35" t="n"/>
      <c r="C1574" s="35" t="n"/>
      <c r="D1574" s="35" t="n"/>
      <c r="E1574" s="35" t="n"/>
      <c r="F1574" s="36" t="n"/>
      <c r="G1574" s="35" t="n"/>
      <c r="H1574" s="30">
        <f>IF(L1574="","",INDEX(SkiftNavn,L1574))</f>
        <v/>
      </c>
      <c r="I1574" s="30">
        <f>IF(OR(A1574="",L1574=""),"",IF(MOD(A1574-INDEX(SkiftStart,L1574),Syklus)&lt;DagK,"Kveld",IF(MOD(A1574-INDEX(SkiftStart,L1574),Syklus)&lt;DagK+DagH,"Helg",IF(MOD(A1574-INDEX(SkiftStart,L1574),Syklus)&lt;DagK+DagH+DagD,"Dag","Fri"))))</f>
        <v/>
      </c>
      <c r="J1574" s="30">
        <f>IF(I1574="Fri","Ja","")</f>
        <v/>
      </c>
      <c r="K1574" s="30">
        <f>IF(B1574="","",IF(L1574="","Ukjent tekniker",IF(ISNA(MATCH(C1574,Aktiviteter,0)),"Ukjent aktivitet",IF(AND(INDEX(AktRolle,MATCH(C1574,Aktiviteter,0))&amp;""&lt;&gt;"",ISERROR(SEARCH(INDEX(AktRolle,MATCH(C1574,Aktiviteter,0))&amp;"",INDEX(TekRoller,MATCH(B1574,Teknikere,0))))),"Mangler rollen "&amp;INDEX(AktRolle,MATCH(C1574,Aktiviteter,0))&amp;"",IF(AND(C1574="LMS",F1574&gt;0,OR(D1574="",E1574="")),"Mangler maskin eller arbeid",IF(AND(OR(C1574="LMS",C1574="Mod"),D1574&lt;&gt;""),IF(IFERROR(INDEX(MaskinStatus,MATCH(D1574,Maskiner,0)),"")="I dokk","","Maskinen er ikke i dokk"),""))))))</f>
        <v/>
      </c>
      <c r="L1574" s="2">
        <f>IF(B1574="","",IFERROR(INT((MATCH(B1574,Teknikere,0)-1)/18)+1,""))</f>
        <v/>
      </c>
      <c r="M1574" s="2">
        <f>IF(OR(A1574="",B1574=""),"",B1574&amp;"|"&amp;A1574)</f>
        <v/>
      </c>
      <c r="N1574" s="2">
        <f>IF(M1574="","",SUMIFS(TF_Timer,TF_Nokkel,M1574,TF_Akt,C1574))</f>
        <v/>
      </c>
      <c r="O1574" s="2">
        <f>IF(M1574="","",IF(AND(N1574=_xlfn.MAXIFS(TF_AktSum,TF_Nokkel,M1574),COUNTIFS(M$3:M1573,M1574,N$3:N1573,N1574)=0),M1574,""))</f>
        <v/>
      </c>
    </row>
    <row r="1575">
      <c r="A1575" s="34" t="n"/>
      <c r="B1575" s="35" t="n"/>
      <c r="C1575" s="35" t="n"/>
      <c r="D1575" s="35" t="n"/>
      <c r="E1575" s="35" t="n"/>
      <c r="F1575" s="36" t="n"/>
      <c r="G1575" s="35" t="n"/>
      <c r="H1575" s="30">
        <f>IF(L1575="","",INDEX(SkiftNavn,L1575))</f>
        <v/>
      </c>
      <c r="I1575" s="30">
        <f>IF(OR(A1575="",L1575=""),"",IF(MOD(A1575-INDEX(SkiftStart,L1575),Syklus)&lt;DagK,"Kveld",IF(MOD(A1575-INDEX(SkiftStart,L1575),Syklus)&lt;DagK+DagH,"Helg",IF(MOD(A1575-INDEX(SkiftStart,L1575),Syklus)&lt;DagK+DagH+DagD,"Dag","Fri"))))</f>
        <v/>
      </c>
      <c r="J1575" s="30">
        <f>IF(I1575="Fri","Ja","")</f>
        <v/>
      </c>
      <c r="K1575" s="30">
        <f>IF(B1575="","",IF(L1575="","Ukjent tekniker",IF(ISNA(MATCH(C1575,Aktiviteter,0)),"Ukjent aktivitet",IF(AND(INDEX(AktRolle,MATCH(C1575,Aktiviteter,0))&amp;""&lt;&gt;"",ISERROR(SEARCH(INDEX(AktRolle,MATCH(C1575,Aktiviteter,0))&amp;"",INDEX(TekRoller,MATCH(B1575,Teknikere,0))))),"Mangler rollen "&amp;INDEX(AktRolle,MATCH(C1575,Aktiviteter,0))&amp;"",IF(AND(C1575="LMS",F1575&gt;0,OR(D1575="",E1575="")),"Mangler maskin eller arbeid",IF(AND(OR(C1575="LMS",C1575="Mod"),D1575&lt;&gt;""),IF(IFERROR(INDEX(MaskinStatus,MATCH(D1575,Maskiner,0)),"")="I dokk","","Maskinen er ikke i dokk"),""))))))</f>
        <v/>
      </c>
      <c r="L1575" s="2">
        <f>IF(B1575="","",IFERROR(INT((MATCH(B1575,Teknikere,0)-1)/18)+1,""))</f>
        <v/>
      </c>
      <c r="M1575" s="2">
        <f>IF(OR(A1575="",B1575=""),"",B1575&amp;"|"&amp;A1575)</f>
        <v/>
      </c>
      <c r="N1575" s="2">
        <f>IF(M1575="","",SUMIFS(TF_Timer,TF_Nokkel,M1575,TF_Akt,C1575))</f>
        <v/>
      </c>
      <c r="O1575" s="2">
        <f>IF(M1575="","",IF(AND(N1575=_xlfn.MAXIFS(TF_AktSum,TF_Nokkel,M1575),COUNTIFS(M$3:M1574,M1575,N$3:N1574,N1575)=0),M1575,""))</f>
        <v/>
      </c>
    </row>
    <row r="1576">
      <c r="A1576" s="34" t="n"/>
      <c r="B1576" s="35" t="n"/>
      <c r="C1576" s="35" t="n"/>
      <c r="D1576" s="35" t="n"/>
      <c r="E1576" s="35" t="n"/>
      <c r="F1576" s="36" t="n"/>
      <c r="G1576" s="35" t="n"/>
      <c r="H1576" s="30">
        <f>IF(L1576="","",INDEX(SkiftNavn,L1576))</f>
        <v/>
      </c>
      <c r="I1576" s="30">
        <f>IF(OR(A1576="",L1576=""),"",IF(MOD(A1576-INDEX(SkiftStart,L1576),Syklus)&lt;DagK,"Kveld",IF(MOD(A1576-INDEX(SkiftStart,L1576),Syklus)&lt;DagK+DagH,"Helg",IF(MOD(A1576-INDEX(SkiftStart,L1576),Syklus)&lt;DagK+DagH+DagD,"Dag","Fri"))))</f>
        <v/>
      </c>
      <c r="J1576" s="30">
        <f>IF(I1576="Fri","Ja","")</f>
        <v/>
      </c>
      <c r="K1576" s="30">
        <f>IF(B1576="","",IF(L1576="","Ukjent tekniker",IF(ISNA(MATCH(C1576,Aktiviteter,0)),"Ukjent aktivitet",IF(AND(INDEX(AktRolle,MATCH(C1576,Aktiviteter,0))&amp;""&lt;&gt;"",ISERROR(SEARCH(INDEX(AktRolle,MATCH(C1576,Aktiviteter,0))&amp;"",INDEX(TekRoller,MATCH(B1576,Teknikere,0))))),"Mangler rollen "&amp;INDEX(AktRolle,MATCH(C1576,Aktiviteter,0))&amp;"",IF(AND(C1576="LMS",F1576&gt;0,OR(D1576="",E1576="")),"Mangler maskin eller arbeid",IF(AND(OR(C1576="LMS",C1576="Mod"),D1576&lt;&gt;""),IF(IFERROR(INDEX(MaskinStatus,MATCH(D1576,Maskiner,0)),"")="I dokk","","Maskinen er ikke i dokk"),""))))))</f>
        <v/>
      </c>
      <c r="L1576" s="2">
        <f>IF(B1576="","",IFERROR(INT((MATCH(B1576,Teknikere,0)-1)/18)+1,""))</f>
        <v/>
      </c>
      <c r="M1576" s="2">
        <f>IF(OR(A1576="",B1576=""),"",B1576&amp;"|"&amp;A1576)</f>
        <v/>
      </c>
      <c r="N1576" s="2">
        <f>IF(M1576="","",SUMIFS(TF_Timer,TF_Nokkel,M1576,TF_Akt,C1576))</f>
        <v/>
      </c>
      <c r="O1576" s="2">
        <f>IF(M1576="","",IF(AND(N1576=_xlfn.MAXIFS(TF_AktSum,TF_Nokkel,M1576),COUNTIFS(M$3:M1575,M1576,N$3:N1575,N1576)=0),M1576,""))</f>
        <v/>
      </c>
    </row>
    <row r="1577">
      <c r="A1577" s="34" t="n"/>
      <c r="B1577" s="35" t="n"/>
      <c r="C1577" s="35" t="n"/>
      <c r="D1577" s="35" t="n"/>
      <c r="E1577" s="35" t="n"/>
      <c r="F1577" s="36" t="n"/>
      <c r="G1577" s="35" t="n"/>
      <c r="H1577" s="30">
        <f>IF(L1577="","",INDEX(SkiftNavn,L1577))</f>
        <v/>
      </c>
      <c r="I1577" s="30">
        <f>IF(OR(A1577="",L1577=""),"",IF(MOD(A1577-INDEX(SkiftStart,L1577),Syklus)&lt;DagK,"Kveld",IF(MOD(A1577-INDEX(SkiftStart,L1577),Syklus)&lt;DagK+DagH,"Helg",IF(MOD(A1577-INDEX(SkiftStart,L1577),Syklus)&lt;DagK+DagH+DagD,"Dag","Fri"))))</f>
        <v/>
      </c>
      <c r="J1577" s="30">
        <f>IF(I1577="Fri","Ja","")</f>
        <v/>
      </c>
      <c r="K1577" s="30">
        <f>IF(B1577="","",IF(L1577="","Ukjent tekniker",IF(ISNA(MATCH(C1577,Aktiviteter,0)),"Ukjent aktivitet",IF(AND(INDEX(AktRolle,MATCH(C1577,Aktiviteter,0))&amp;""&lt;&gt;"",ISERROR(SEARCH(INDEX(AktRolle,MATCH(C1577,Aktiviteter,0))&amp;"",INDEX(TekRoller,MATCH(B1577,Teknikere,0))))),"Mangler rollen "&amp;INDEX(AktRolle,MATCH(C1577,Aktiviteter,0))&amp;"",IF(AND(C1577="LMS",F1577&gt;0,OR(D1577="",E1577="")),"Mangler maskin eller arbeid",IF(AND(OR(C1577="LMS",C1577="Mod"),D1577&lt;&gt;""),IF(IFERROR(INDEX(MaskinStatus,MATCH(D1577,Maskiner,0)),"")="I dokk","","Maskinen er ikke i dokk"),""))))))</f>
        <v/>
      </c>
      <c r="L1577" s="2">
        <f>IF(B1577="","",IFERROR(INT((MATCH(B1577,Teknikere,0)-1)/18)+1,""))</f>
        <v/>
      </c>
      <c r="M1577" s="2">
        <f>IF(OR(A1577="",B1577=""),"",B1577&amp;"|"&amp;A1577)</f>
        <v/>
      </c>
      <c r="N1577" s="2">
        <f>IF(M1577="","",SUMIFS(TF_Timer,TF_Nokkel,M1577,TF_Akt,C1577))</f>
        <v/>
      </c>
      <c r="O1577" s="2">
        <f>IF(M1577="","",IF(AND(N1577=_xlfn.MAXIFS(TF_AktSum,TF_Nokkel,M1577),COUNTIFS(M$3:M1576,M1577,N$3:N1576,N1577)=0),M1577,""))</f>
        <v/>
      </c>
    </row>
    <row r="1578">
      <c r="A1578" s="34" t="n"/>
      <c r="B1578" s="35" t="n"/>
      <c r="C1578" s="35" t="n"/>
      <c r="D1578" s="35" t="n"/>
      <c r="E1578" s="35" t="n"/>
      <c r="F1578" s="36" t="n"/>
      <c r="G1578" s="35" t="n"/>
      <c r="H1578" s="30">
        <f>IF(L1578="","",INDEX(SkiftNavn,L1578))</f>
        <v/>
      </c>
      <c r="I1578" s="30">
        <f>IF(OR(A1578="",L1578=""),"",IF(MOD(A1578-INDEX(SkiftStart,L1578),Syklus)&lt;DagK,"Kveld",IF(MOD(A1578-INDEX(SkiftStart,L1578),Syklus)&lt;DagK+DagH,"Helg",IF(MOD(A1578-INDEX(SkiftStart,L1578),Syklus)&lt;DagK+DagH+DagD,"Dag","Fri"))))</f>
        <v/>
      </c>
      <c r="J1578" s="30">
        <f>IF(I1578="Fri","Ja","")</f>
        <v/>
      </c>
      <c r="K1578" s="30">
        <f>IF(B1578="","",IF(L1578="","Ukjent tekniker",IF(ISNA(MATCH(C1578,Aktiviteter,0)),"Ukjent aktivitet",IF(AND(INDEX(AktRolle,MATCH(C1578,Aktiviteter,0))&amp;""&lt;&gt;"",ISERROR(SEARCH(INDEX(AktRolle,MATCH(C1578,Aktiviteter,0))&amp;"",INDEX(TekRoller,MATCH(B1578,Teknikere,0))))),"Mangler rollen "&amp;INDEX(AktRolle,MATCH(C1578,Aktiviteter,0))&amp;"",IF(AND(C1578="LMS",F1578&gt;0,OR(D1578="",E1578="")),"Mangler maskin eller arbeid",IF(AND(OR(C1578="LMS",C1578="Mod"),D1578&lt;&gt;""),IF(IFERROR(INDEX(MaskinStatus,MATCH(D1578,Maskiner,0)),"")="I dokk","","Maskinen er ikke i dokk"),""))))))</f>
        <v/>
      </c>
      <c r="L1578" s="2">
        <f>IF(B1578="","",IFERROR(INT((MATCH(B1578,Teknikere,0)-1)/18)+1,""))</f>
        <v/>
      </c>
      <c r="M1578" s="2">
        <f>IF(OR(A1578="",B1578=""),"",B1578&amp;"|"&amp;A1578)</f>
        <v/>
      </c>
      <c r="N1578" s="2">
        <f>IF(M1578="","",SUMIFS(TF_Timer,TF_Nokkel,M1578,TF_Akt,C1578))</f>
        <v/>
      </c>
      <c r="O1578" s="2">
        <f>IF(M1578="","",IF(AND(N1578=_xlfn.MAXIFS(TF_AktSum,TF_Nokkel,M1578),COUNTIFS(M$3:M1577,M1578,N$3:N1577,N1578)=0),M1578,""))</f>
        <v/>
      </c>
    </row>
    <row r="1579">
      <c r="A1579" s="34" t="n"/>
      <c r="B1579" s="35" t="n"/>
      <c r="C1579" s="35" t="n"/>
      <c r="D1579" s="35" t="n"/>
      <c r="E1579" s="35" t="n"/>
      <c r="F1579" s="36" t="n"/>
      <c r="G1579" s="35" t="n"/>
      <c r="H1579" s="30">
        <f>IF(L1579="","",INDEX(SkiftNavn,L1579))</f>
        <v/>
      </c>
      <c r="I1579" s="30">
        <f>IF(OR(A1579="",L1579=""),"",IF(MOD(A1579-INDEX(SkiftStart,L1579),Syklus)&lt;DagK,"Kveld",IF(MOD(A1579-INDEX(SkiftStart,L1579),Syklus)&lt;DagK+DagH,"Helg",IF(MOD(A1579-INDEX(SkiftStart,L1579),Syklus)&lt;DagK+DagH+DagD,"Dag","Fri"))))</f>
        <v/>
      </c>
      <c r="J1579" s="30">
        <f>IF(I1579="Fri","Ja","")</f>
        <v/>
      </c>
      <c r="K1579" s="30">
        <f>IF(B1579="","",IF(L1579="","Ukjent tekniker",IF(ISNA(MATCH(C1579,Aktiviteter,0)),"Ukjent aktivitet",IF(AND(INDEX(AktRolle,MATCH(C1579,Aktiviteter,0))&amp;""&lt;&gt;"",ISERROR(SEARCH(INDEX(AktRolle,MATCH(C1579,Aktiviteter,0))&amp;"",INDEX(TekRoller,MATCH(B1579,Teknikere,0))))),"Mangler rollen "&amp;INDEX(AktRolle,MATCH(C1579,Aktiviteter,0))&amp;"",IF(AND(C1579="LMS",F1579&gt;0,OR(D1579="",E1579="")),"Mangler maskin eller arbeid",IF(AND(OR(C1579="LMS",C1579="Mod"),D1579&lt;&gt;""),IF(IFERROR(INDEX(MaskinStatus,MATCH(D1579,Maskiner,0)),"")="I dokk","","Maskinen er ikke i dokk"),""))))))</f>
        <v/>
      </c>
      <c r="L1579" s="2">
        <f>IF(B1579="","",IFERROR(INT((MATCH(B1579,Teknikere,0)-1)/18)+1,""))</f>
        <v/>
      </c>
      <c r="M1579" s="2">
        <f>IF(OR(A1579="",B1579=""),"",B1579&amp;"|"&amp;A1579)</f>
        <v/>
      </c>
      <c r="N1579" s="2">
        <f>IF(M1579="","",SUMIFS(TF_Timer,TF_Nokkel,M1579,TF_Akt,C1579))</f>
        <v/>
      </c>
      <c r="O1579" s="2">
        <f>IF(M1579="","",IF(AND(N1579=_xlfn.MAXIFS(TF_AktSum,TF_Nokkel,M1579),COUNTIFS(M$3:M1578,M1579,N$3:N1578,N1579)=0),M1579,""))</f>
        <v/>
      </c>
    </row>
    <row r="1580">
      <c r="A1580" s="34" t="n"/>
      <c r="B1580" s="35" t="n"/>
      <c r="C1580" s="35" t="n"/>
      <c r="D1580" s="35" t="n"/>
      <c r="E1580" s="35" t="n"/>
      <c r="F1580" s="36" t="n"/>
      <c r="G1580" s="35" t="n"/>
      <c r="H1580" s="30">
        <f>IF(L1580="","",INDEX(SkiftNavn,L1580))</f>
        <v/>
      </c>
      <c r="I1580" s="30">
        <f>IF(OR(A1580="",L1580=""),"",IF(MOD(A1580-INDEX(SkiftStart,L1580),Syklus)&lt;DagK,"Kveld",IF(MOD(A1580-INDEX(SkiftStart,L1580),Syklus)&lt;DagK+DagH,"Helg",IF(MOD(A1580-INDEX(SkiftStart,L1580),Syklus)&lt;DagK+DagH+DagD,"Dag","Fri"))))</f>
        <v/>
      </c>
      <c r="J1580" s="30">
        <f>IF(I1580="Fri","Ja","")</f>
        <v/>
      </c>
      <c r="K1580" s="30">
        <f>IF(B1580="","",IF(L1580="","Ukjent tekniker",IF(ISNA(MATCH(C1580,Aktiviteter,0)),"Ukjent aktivitet",IF(AND(INDEX(AktRolle,MATCH(C1580,Aktiviteter,0))&amp;""&lt;&gt;"",ISERROR(SEARCH(INDEX(AktRolle,MATCH(C1580,Aktiviteter,0))&amp;"",INDEX(TekRoller,MATCH(B1580,Teknikere,0))))),"Mangler rollen "&amp;INDEX(AktRolle,MATCH(C1580,Aktiviteter,0))&amp;"",IF(AND(C1580="LMS",F1580&gt;0,OR(D1580="",E1580="")),"Mangler maskin eller arbeid",IF(AND(OR(C1580="LMS",C1580="Mod"),D1580&lt;&gt;""),IF(IFERROR(INDEX(MaskinStatus,MATCH(D1580,Maskiner,0)),"")="I dokk","","Maskinen er ikke i dokk"),""))))))</f>
        <v/>
      </c>
      <c r="L1580" s="2">
        <f>IF(B1580="","",IFERROR(INT((MATCH(B1580,Teknikere,0)-1)/18)+1,""))</f>
        <v/>
      </c>
      <c r="M1580" s="2">
        <f>IF(OR(A1580="",B1580=""),"",B1580&amp;"|"&amp;A1580)</f>
        <v/>
      </c>
      <c r="N1580" s="2">
        <f>IF(M1580="","",SUMIFS(TF_Timer,TF_Nokkel,M1580,TF_Akt,C1580))</f>
        <v/>
      </c>
      <c r="O1580" s="2">
        <f>IF(M1580="","",IF(AND(N1580=_xlfn.MAXIFS(TF_AktSum,TF_Nokkel,M1580),COUNTIFS(M$3:M1579,M1580,N$3:N1579,N1580)=0),M1580,""))</f>
        <v/>
      </c>
    </row>
    <row r="1581">
      <c r="A1581" s="34" t="n"/>
      <c r="B1581" s="35" t="n"/>
      <c r="C1581" s="35" t="n"/>
      <c r="D1581" s="35" t="n"/>
      <c r="E1581" s="35" t="n"/>
      <c r="F1581" s="36" t="n"/>
      <c r="G1581" s="35" t="n"/>
      <c r="H1581" s="30">
        <f>IF(L1581="","",INDEX(SkiftNavn,L1581))</f>
        <v/>
      </c>
      <c r="I1581" s="30">
        <f>IF(OR(A1581="",L1581=""),"",IF(MOD(A1581-INDEX(SkiftStart,L1581),Syklus)&lt;DagK,"Kveld",IF(MOD(A1581-INDEX(SkiftStart,L1581),Syklus)&lt;DagK+DagH,"Helg",IF(MOD(A1581-INDEX(SkiftStart,L1581),Syklus)&lt;DagK+DagH+DagD,"Dag","Fri"))))</f>
        <v/>
      </c>
      <c r="J1581" s="30">
        <f>IF(I1581="Fri","Ja","")</f>
        <v/>
      </c>
      <c r="K1581" s="30">
        <f>IF(B1581="","",IF(L1581="","Ukjent tekniker",IF(ISNA(MATCH(C1581,Aktiviteter,0)),"Ukjent aktivitet",IF(AND(INDEX(AktRolle,MATCH(C1581,Aktiviteter,0))&amp;""&lt;&gt;"",ISERROR(SEARCH(INDEX(AktRolle,MATCH(C1581,Aktiviteter,0))&amp;"",INDEX(TekRoller,MATCH(B1581,Teknikere,0))))),"Mangler rollen "&amp;INDEX(AktRolle,MATCH(C1581,Aktiviteter,0))&amp;"",IF(AND(C1581="LMS",F1581&gt;0,OR(D1581="",E1581="")),"Mangler maskin eller arbeid",IF(AND(OR(C1581="LMS",C1581="Mod"),D1581&lt;&gt;""),IF(IFERROR(INDEX(MaskinStatus,MATCH(D1581,Maskiner,0)),"")="I dokk","","Maskinen er ikke i dokk"),""))))))</f>
        <v/>
      </c>
      <c r="L1581" s="2">
        <f>IF(B1581="","",IFERROR(INT((MATCH(B1581,Teknikere,0)-1)/18)+1,""))</f>
        <v/>
      </c>
      <c r="M1581" s="2">
        <f>IF(OR(A1581="",B1581=""),"",B1581&amp;"|"&amp;A1581)</f>
        <v/>
      </c>
      <c r="N1581" s="2">
        <f>IF(M1581="","",SUMIFS(TF_Timer,TF_Nokkel,M1581,TF_Akt,C1581))</f>
        <v/>
      </c>
      <c r="O1581" s="2">
        <f>IF(M1581="","",IF(AND(N1581=_xlfn.MAXIFS(TF_AktSum,TF_Nokkel,M1581),COUNTIFS(M$3:M1580,M1581,N$3:N1580,N1581)=0),M1581,""))</f>
        <v/>
      </c>
    </row>
    <row r="1582">
      <c r="A1582" s="34" t="n"/>
      <c r="B1582" s="35" t="n"/>
      <c r="C1582" s="35" t="n"/>
      <c r="D1582" s="35" t="n"/>
      <c r="E1582" s="35" t="n"/>
      <c r="F1582" s="36" t="n"/>
      <c r="G1582" s="35" t="n"/>
      <c r="H1582" s="30">
        <f>IF(L1582="","",INDEX(SkiftNavn,L1582))</f>
        <v/>
      </c>
      <c r="I1582" s="30">
        <f>IF(OR(A1582="",L1582=""),"",IF(MOD(A1582-INDEX(SkiftStart,L1582),Syklus)&lt;DagK,"Kveld",IF(MOD(A1582-INDEX(SkiftStart,L1582),Syklus)&lt;DagK+DagH,"Helg",IF(MOD(A1582-INDEX(SkiftStart,L1582),Syklus)&lt;DagK+DagH+DagD,"Dag","Fri"))))</f>
        <v/>
      </c>
      <c r="J1582" s="30">
        <f>IF(I1582="Fri","Ja","")</f>
        <v/>
      </c>
      <c r="K1582" s="30">
        <f>IF(B1582="","",IF(L1582="","Ukjent tekniker",IF(ISNA(MATCH(C1582,Aktiviteter,0)),"Ukjent aktivitet",IF(AND(INDEX(AktRolle,MATCH(C1582,Aktiviteter,0))&amp;""&lt;&gt;"",ISERROR(SEARCH(INDEX(AktRolle,MATCH(C1582,Aktiviteter,0))&amp;"",INDEX(TekRoller,MATCH(B1582,Teknikere,0))))),"Mangler rollen "&amp;INDEX(AktRolle,MATCH(C1582,Aktiviteter,0))&amp;"",IF(AND(C1582="LMS",F1582&gt;0,OR(D1582="",E1582="")),"Mangler maskin eller arbeid",IF(AND(OR(C1582="LMS",C1582="Mod"),D1582&lt;&gt;""),IF(IFERROR(INDEX(MaskinStatus,MATCH(D1582,Maskiner,0)),"")="I dokk","","Maskinen er ikke i dokk"),""))))))</f>
        <v/>
      </c>
      <c r="L1582" s="2">
        <f>IF(B1582="","",IFERROR(INT((MATCH(B1582,Teknikere,0)-1)/18)+1,""))</f>
        <v/>
      </c>
      <c r="M1582" s="2">
        <f>IF(OR(A1582="",B1582=""),"",B1582&amp;"|"&amp;A1582)</f>
        <v/>
      </c>
      <c r="N1582" s="2">
        <f>IF(M1582="","",SUMIFS(TF_Timer,TF_Nokkel,M1582,TF_Akt,C1582))</f>
        <v/>
      </c>
      <c r="O1582" s="2">
        <f>IF(M1582="","",IF(AND(N1582=_xlfn.MAXIFS(TF_AktSum,TF_Nokkel,M1582),COUNTIFS(M$3:M1581,M1582,N$3:N1581,N1582)=0),M1582,""))</f>
        <v/>
      </c>
    </row>
    <row r="1583">
      <c r="A1583" s="34" t="n"/>
      <c r="B1583" s="35" t="n"/>
      <c r="C1583" s="35" t="n"/>
      <c r="D1583" s="35" t="n"/>
      <c r="E1583" s="35" t="n"/>
      <c r="F1583" s="36" t="n"/>
      <c r="G1583" s="35" t="n"/>
      <c r="H1583" s="30">
        <f>IF(L1583="","",INDEX(SkiftNavn,L1583))</f>
        <v/>
      </c>
      <c r="I1583" s="30">
        <f>IF(OR(A1583="",L1583=""),"",IF(MOD(A1583-INDEX(SkiftStart,L1583),Syklus)&lt;DagK,"Kveld",IF(MOD(A1583-INDEX(SkiftStart,L1583),Syklus)&lt;DagK+DagH,"Helg",IF(MOD(A1583-INDEX(SkiftStart,L1583),Syklus)&lt;DagK+DagH+DagD,"Dag","Fri"))))</f>
        <v/>
      </c>
      <c r="J1583" s="30">
        <f>IF(I1583="Fri","Ja","")</f>
        <v/>
      </c>
      <c r="K1583" s="30">
        <f>IF(B1583="","",IF(L1583="","Ukjent tekniker",IF(ISNA(MATCH(C1583,Aktiviteter,0)),"Ukjent aktivitet",IF(AND(INDEX(AktRolle,MATCH(C1583,Aktiviteter,0))&amp;""&lt;&gt;"",ISERROR(SEARCH(INDEX(AktRolle,MATCH(C1583,Aktiviteter,0))&amp;"",INDEX(TekRoller,MATCH(B1583,Teknikere,0))))),"Mangler rollen "&amp;INDEX(AktRolle,MATCH(C1583,Aktiviteter,0))&amp;"",IF(AND(C1583="LMS",F1583&gt;0,OR(D1583="",E1583="")),"Mangler maskin eller arbeid",IF(AND(OR(C1583="LMS",C1583="Mod"),D1583&lt;&gt;""),IF(IFERROR(INDEX(MaskinStatus,MATCH(D1583,Maskiner,0)),"")="I dokk","","Maskinen er ikke i dokk"),""))))))</f>
        <v/>
      </c>
      <c r="L1583" s="2">
        <f>IF(B1583="","",IFERROR(INT((MATCH(B1583,Teknikere,0)-1)/18)+1,""))</f>
        <v/>
      </c>
      <c r="M1583" s="2">
        <f>IF(OR(A1583="",B1583=""),"",B1583&amp;"|"&amp;A1583)</f>
        <v/>
      </c>
      <c r="N1583" s="2">
        <f>IF(M1583="","",SUMIFS(TF_Timer,TF_Nokkel,M1583,TF_Akt,C1583))</f>
        <v/>
      </c>
      <c r="O1583" s="2">
        <f>IF(M1583="","",IF(AND(N1583=_xlfn.MAXIFS(TF_AktSum,TF_Nokkel,M1583),COUNTIFS(M$3:M1582,M1583,N$3:N1582,N1583)=0),M1583,""))</f>
        <v/>
      </c>
    </row>
    <row r="1584">
      <c r="A1584" s="34" t="n"/>
      <c r="B1584" s="35" t="n"/>
      <c r="C1584" s="35" t="n"/>
      <c r="D1584" s="35" t="n"/>
      <c r="E1584" s="35" t="n"/>
      <c r="F1584" s="36" t="n"/>
      <c r="G1584" s="35" t="n"/>
      <c r="H1584" s="30">
        <f>IF(L1584="","",INDEX(SkiftNavn,L1584))</f>
        <v/>
      </c>
      <c r="I1584" s="30">
        <f>IF(OR(A1584="",L1584=""),"",IF(MOD(A1584-INDEX(SkiftStart,L1584),Syklus)&lt;DagK,"Kveld",IF(MOD(A1584-INDEX(SkiftStart,L1584),Syklus)&lt;DagK+DagH,"Helg",IF(MOD(A1584-INDEX(SkiftStart,L1584),Syklus)&lt;DagK+DagH+DagD,"Dag","Fri"))))</f>
        <v/>
      </c>
      <c r="J1584" s="30">
        <f>IF(I1584="Fri","Ja","")</f>
        <v/>
      </c>
      <c r="K1584" s="30">
        <f>IF(B1584="","",IF(L1584="","Ukjent tekniker",IF(ISNA(MATCH(C1584,Aktiviteter,0)),"Ukjent aktivitet",IF(AND(INDEX(AktRolle,MATCH(C1584,Aktiviteter,0))&amp;""&lt;&gt;"",ISERROR(SEARCH(INDEX(AktRolle,MATCH(C1584,Aktiviteter,0))&amp;"",INDEX(TekRoller,MATCH(B1584,Teknikere,0))))),"Mangler rollen "&amp;INDEX(AktRolle,MATCH(C1584,Aktiviteter,0))&amp;"",IF(AND(C1584="LMS",F1584&gt;0,OR(D1584="",E1584="")),"Mangler maskin eller arbeid",IF(AND(OR(C1584="LMS",C1584="Mod"),D1584&lt;&gt;""),IF(IFERROR(INDEX(MaskinStatus,MATCH(D1584,Maskiner,0)),"")="I dokk","","Maskinen er ikke i dokk"),""))))))</f>
        <v/>
      </c>
      <c r="L1584" s="2">
        <f>IF(B1584="","",IFERROR(INT((MATCH(B1584,Teknikere,0)-1)/18)+1,""))</f>
        <v/>
      </c>
      <c r="M1584" s="2">
        <f>IF(OR(A1584="",B1584=""),"",B1584&amp;"|"&amp;A1584)</f>
        <v/>
      </c>
      <c r="N1584" s="2">
        <f>IF(M1584="","",SUMIFS(TF_Timer,TF_Nokkel,M1584,TF_Akt,C1584))</f>
        <v/>
      </c>
      <c r="O1584" s="2">
        <f>IF(M1584="","",IF(AND(N1584=_xlfn.MAXIFS(TF_AktSum,TF_Nokkel,M1584),COUNTIFS(M$3:M1583,M1584,N$3:N1583,N1584)=0),M1584,""))</f>
        <v/>
      </c>
    </row>
    <row r="1585">
      <c r="A1585" s="34" t="n"/>
      <c r="B1585" s="35" t="n"/>
      <c r="C1585" s="35" t="n"/>
      <c r="D1585" s="35" t="n"/>
      <c r="E1585" s="35" t="n"/>
      <c r="F1585" s="36" t="n"/>
      <c r="G1585" s="35" t="n"/>
      <c r="H1585" s="30">
        <f>IF(L1585="","",INDEX(SkiftNavn,L1585))</f>
        <v/>
      </c>
      <c r="I1585" s="30">
        <f>IF(OR(A1585="",L1585=""),"",IF(MOD(A1585-INDEX(SkiftStart,L1585),Syklus)&lt;DagK,"Kveld",IF(MOD(A1585-INDEX(SkiftStart,L1585),Syklus)&lt;DagK+DagH,"Helg",IF(MOD(A1585-INDEX(SkiftStart,L1585),Syklus)&lt;DagK+DagH+DagD,"Dag","Fri"))))</f>
        <v/>
      </c>
      <c r="J1585" s="30">
        <f>IF(I1585="Fri","Ja","")</f>
        <v/>
      </c>
      <c r="K1585" s="30">
        <f>IF(B1585="","",IF(L1585="","Ukjent tekniker",IF(ISNA(MATCH(C1585,Aktiviteter,0)),"Ukjent aktivitet",IF(AND(INDEX(AktRolle,MATCH(C1585,Aktiviteter,0))&amp;""&lt;&gt;"",ISERROR(SEARCH(INDEX(AktRolle,MATCH(C1585,Aktiviteter,0))&amp;"",INDEX(TekRoller,MATCH(B1585,Teknikere,0))))),"Mangler rollen "&amp;INDEX(AktRolle,MATCH(C1585,Aktiviteter,0))&amp;"",IF(AND(C1585="LMS",F1585&gt;0,OR(D1585="",E1585="")),"Mangler maskin eller arbeid",IF(AND(OR(C1585="LMS",C1585="Mod"),D1585&lt;&gt;""),IF(IFERROR(INDEX(MaskinStatus,MATCH(D1585,Maskiner,0)),"")="I dokk","","Maskinen er ikke i dokk"),""))))))</f>
        <v/>
      </c>
      <c r="L1585" s="2">
        <f>IF(B1585="","",IFERROR(INT((MATCH(B1585,Teknikere,0)-1)/18)+1,""))</f>
        <v/>
      </c>
      <c r="M1585" s="2">
        <f>IF(OR(A1585="",B1585=""),"",B1585&amp;"|"&amp;A1585)</f>
        <v/>
      </c>
      <c r="N1585" s="2">
        <f>IF(M1585="","",SUMIFS(TF_Timer,TF_Nokkel,M1585,TF_Akt,C1585))</f>
        <v/>
      </c>
      <c r="O1585" s="2">
        <f>IF(M1585="","",IF(AND(N1585=_xlfn.MAXIFS(TF_AktSum,TF_Nokkel,M1585),COUNTIFS(M$3:M1584,M1585,N$3:N1584,N1585)=0),M1585,""))</f>
        <v/>
      </c>
    </row>
    <row r="1586">
      <c r="A1586" s="34" t="n"/>
      <c r="B1586" s="35" t="n"/>
      <c r="C1586" s="35" t="n"/>
      <c r="D1586" s="35" t="n"/>
      <c r="E1586" s="35" t="n"/>
      <c r="F1586" s="36" t="n"/>
      <c r="G1586" s="35" t="n"/>
      <c r="H1586" s="30">
        <f>IF(L1586="","",INDEX(SkiftNavn,L1586))</f>
        <v/>
      </c>
      <c r="I1586" s="30">
        <f>IF(OR(A1586="",L1586=""),"",IF(MOD(A1586-INDEX(SkiftStart,L1586),Syklus)&lt;DagK,"Kveld",IF(MOD(A1586-INDEX(SkiftStart,L1586),Syklus)&lt;DagK+DagH,"Helg",IF(MOD(A1586-INDEX(SkiftStart,L1586),Syklus)&lt;DagK+DagH+DagD,"Dag","Fri"))))</f>
        <v/>
      </c>
      <c r="J1586" s="30">
        <f>IF(I1586="Fri","Ja","")</f>
        <v/>
      </c>
      <c r="K1586" s="30">
        <f>IF(B1586="","",IF(L1586="","Ukjent tekniker",IF(ISNA(MATCH(C1586,Aktiviteter,0)),"Ukjent aktivitet",IF(AND(INDEX(AktRolle,MATCH(C1586,Aktiviteter,0))&amp;""&lt;&gt;"",ISERROR(SEARCH(INDEX(AktRolle,MATCH(C1586,Aktiviteter,0))&amp;"",INDEX(TekRoller,MATCH(B1586,Teknikere,0))))),"Mangler rollen "&amp;INDEX(AktRolle,MATCH(C1586,Aktiviteter,0))&amp;"",IF(AND(C1586="LMS",F1586&gt;0,OR(D1586="",E1586="")),"Mangler maskin eller arbeid",IF(AND(OR(C1586="LMS",C1586="Mod"),D1586&lt;&gt;""),IF(IFERROR(INDEX(MaskinStatus,MATCH(D1586,Maskiner,0)),"")="I dokk","","Maskinen er ikke i dokk"),""))))))</f>
        <v/>
      </c>
      <c r="L1586" s="2">
        <f>IF(B1586="","",IFERROR(INT((MATCH(B1586,Teknikere,0)-1)/18)+1,""))</f>
        <v/>
      </c>
      <c r="M1586" s="2">
        <f>IF(OR(A1586="",B1586=""),"",B1586&amp;"|"&amp;A1586)</f>
        <v/>
      </c>
      <c r="N1586" s="2">
        <f>IF(M1586="","",SUMIFS(TF_Timer,TF_Nokkel,M1586,TF_Akt,C1586))</f>
        <v/>
      </c>
      <c r="O1586" s="2">
        <f>IF(M1586="","",IF(AND(N1586=_xlfn.MAXIFS(TF_AktSum,TF_Nokkel,M1586),COUNTIFS(M$3:M1585,M1586,N$3:N1585,N1586)=0),M1586,""))</f>
        <v/>
      </c>
    </row>
    <row r="1587">
      <c r="A1587" s="34" t="n"/>
      <c r="B1587" s="35" t="n"/>
      <c r="C1587" s="35" t="n"/>
      <c r="D1587" s="35" t="n"/>
      <c r="E1587" s="35" t="n"/>
      <c r="F1587" s="36" t="n"/>
      <c r="G1587" s="35" t="n"/>
      <c r="H1587" s="30">
        <f>IF(L1587="","",INDEX(SkiftNavn,L1587))</f>
        <v/>
      </c>
      <c r="I1587" s="30">
        <f>IF(OR(A1587="",L1587=""),"",IF(MOD(A1587-INDEX(SkiftStart,L1587),Syklus)&lt;DagK,"Kveld",IF(MOD(A1587-INDEX(SkiftStart,L1587),Syklus)&lt;DagK+DagH,"Helg",IF(MOD(A1587-INDEX(SkiftStart,L1587),Syklus)&lt;DagK+DagH+DagD,"Dag","Fri"))))</f>
        <v/>
      </c>
      <c r="J1587" s="30">
        <f>IF(I1587="Fri","Ja","")</f>
        <v/>
      </c>
      <c r="K1587" s="30">
        <f>IF(B1587="","",IF(L1587="","Ukjent tekniker",IF(ISNA(MATCH(C1587,Aktiviteter,0)),"Ukjent aktivitet",IF(AND(INDEX(AktRolle,MATCH(C1587,Aktiviteter,0))&amp;""&lt;&gt;"",ISERROR(SEARCH(INDEX(AktRolle,MATCH(C1587,Aktiviteter,0))&amp;"",INDEX(TekRoller,MATCH(B1587,Teknikere,0))))),"Mangler rollen "&amp;INDEX(AktRolle,MATCH(C1587,Aktiviteter,0))&amp;"",IF(AND(C1587="LMS",F1587&gt;0,OR(D1587="",E1587="")),"Mangler maskin eller arbeid",IF(AND(OR(C1587="LMS",C1587="Mod"),D1587&lt;&gt;""),IF(IFERROR(INDEX(MaskinStatus,MATCH(D1587,Maskiner,0)),"")="I dokk","","Maskinen er ikke i dokk"),""))))))</f>
        <v/>
      </c>
      <c r="L1587" s="2">
        <f>IF(B1587="","",IFERROR(INT((MATCH(B1587,Teknikere,0)-1)/18)+1,""))</f>
        <v/>
      </c>
      <c r="M1587" s="2">
        <f>IF(OR(A1587="",B1587=""),"",B1587&amp;"|"&amp;A1587)</f>
        <v/>
      </c>
      <c r="N1587" s="2">
        <f>IF(M1587="","",SUMIFS(TF_Timer,TF_Nokkel,M1587,TF_Akt,C1587))</f>
        <v/>
      </c>
      <c r="O1587" s="2">
        <f>IF(M1587="","",IF(AND(N1587=_xlfn.MAXIFS(TF_AktSum,TF_Nokkel,M1587),COUNTIFS(M$3:M1586,M1587,N$3:N1586,N1587)=0),M1587,""))</f>
        <v/>
      </c>
    </row>
    <row r="1588">
      <c r="A1588" s="34" t="n"/>
      <c r="B1588" s="35" t="n"/>
      <c r="C1588" s="35" t="n"/>
      <c r="D1588" s="35" t="n"/>
      <c r="E1588" s="35" t="n"/>
      <c r="F1588" s="36" t="n"/>
      <c r="G1588" s="35" t="n"/>
      <c r="H1588" s="30">
        <f>IF(L1588="","",INDEX(SkiftNavn,L1588))</f>
        <v/>
      </c>
      <c r="I1588" s="30">
        <f>IF(OR(A1588="",L1588=""),"",IF(MOD(A1588-INDEX(SkiftStart,L1588),Syklus)&lt;DagK,"Kveld",IF(MOD(A1588-INDEX(SkiftStart,L1588),Syklus)&lt;DagK+DagH,"Helg",IF(MOD(A1588-INDEX(SkiftStart,L1588),Syklus)&lt;DagK+DagH+DagD,"Dag","Fri"))))</f>
        <v/>
      </c>
      <c r="J1588" s="30">
        <f>IF(I1588="Fri","Ja","")</f>
        <v/>
      </c>
      <c r="K1588" s="30">
        <f>IF(B1588="","",IF(L1588="","Ukjent tekniker",IF(ISNA(MATCH(C1588,Aktiviteter,0)),"Ukjent aktivitet",IF(AND(INDEX(AktRolle,MATCH(C1588,Aktiviteter,0))&amp;""&lt;&gt;"",ISERROR(SEARCH(INDEX(AktRolle,MATCH(C1588,Aktiviteter,0))&amp;"",INDEX(TekRoller,MATCH(B1588,Teknikere,0))))),"Mangler rollen "&amp;INDEX(AktRolle,MATCH(C1588,Aktiviteter,0))&amp;"",IF(AND(C1588="LMS",F1588&gt;0,OR(D1588="",E1588="")),"Mangler maskin eller arbeid",IF(AND(OR(C1588="LMS",C1588="Mod"),D1588&lt;&gt;""),IF(IFERROR(INDEX(MaskinStatus,MATCH(D1588,Maskiner,0)),"")="I dokk","","Maskinen er ikke i dokk"),""))))))</f>
        <v/>
      </c>
      <c r="L1588" s="2">
        <f>IF(B1588="","",IFERROR(INT((MATCH(B1588,Teknikere,0)-1)/18)+1,""))</f>
        <v/>
      </c>
      <c r="M1588" s="2">
        <f>IF(OR(A1588="",B1588=""),"",B1588&amp;"|"&amp;A1588)</f>
        <v/>
      </c>
      <c r="N1588" s="2">
        <f>IF(M1588="","",SUMIFS(TF_Timer,TF_Nokkel,M1588,TF_Akt,C1588))</f>
        <v/>
      </c>
      <c r="O1588" s="2">
        <f>IF(M1588="","",IF(AND(N1588=_xlfn.MAXIFS(TF_AktSum,TF_Nokkel,M1588),COUNTIFS(M$3:M1587,M1588,N$3:N1587,N1588)=0),M1588,""))</f>
        <v/>
      </c>
    </row>
    <row r="1589">
      <c r="A1589" s="34" t="n"/>
      <c r="B1589" s="35" t="n"/>
      <c r="C1589" s="35" t="n"/>
      <c r="D1589" s="35" t="n"/>
      <c r="E1589" s="35" t="n"/>
      <c r="F1589" s="36" t="n"/>
      <c r="G1589" s="35" t="n"/>
      <c r="H1589" s="30">
        <f>IF(L1589="","",INDEX(SkiftNavn,L1589))</f>
        <v/>
      </c>
      <c r="I1589" s="30">
        <f>IF(OR(A1589="",L1589=""),"",IF(MOD(A1589-INDEX(SkiftStart,L1589),Syklus)&lt;DagK,"Kveld",IF(MOD(A1589-INDEX(SkiftStart,L1589),Syklus)&lt;DagK+DagH,"Helg",IF(MOD(A1589-INDEX(SkiftStart,L1589),Syklus)&lt;DagK+DagH+DagD,"Dag","Fri"))))</f>
        <v/>
      </c>
      <c r="J1589" s="30">
        <f>IF(I1589="Fri","Ja","")</f>
        <v/>
      </c>
      <c r="K1589" s="30">
        <f>IF(B1589="","",IF(L1589="","Ukjent tekniker",IF(ISNA(MATCH(C1589,Aktiviteter,0)),"Ukjent aktivitet",IF(AND(INDEX(AktRolle,MATCH(C1589,Aktiviteter,0))&amp;""&lt;&gt;"",ISERROR(SEARCH(INDEX(AktRolle,MATCH(C1589,Aktiviteter,0))&amp;"",INDEX(TekRoller,MATCH(B1589,Teknikere,0))))),"Mangler rollen "&amp;INDEX(AktRolle,MATCH(C1589,Aktiviteter,0))&amp;"",IF(AND(C1589="LMS",F1589&gt;0,OR(D1589="",E1589="")),"Mangler maskin eller arbeid",IF(AND(OR(C1589="LMS",C1589="Mod"),D1589&lt;&gt;""),IF(IFERROR(INDEX(MaskinStatus,MATCH(D1589,Maskiner,0)),"")="I dokk","","Maskinen er ikke i dokk"),""))))))</f>
        <v/>
      </c>
      <c r="L1589" s="2">
        <f>IF(B1589="","",IFERROR(INT((MATCH(B1589,Teknikere,0)-1)/18)+1,""))</f>
        <v/>
      </c>
      <c r="M1589" s="2">
        <f>IF(OR(A1589="",B1589=""),"",B1589&amp;"|"&amp;A1589)</f>
        <v/>
      </c>
      <c r="N1589" s="2">
        <f>IF(M1589="","",SUMIFS(TF_Timer,TF_Nokkel,M1589,TF_Akt,C1589))</f>
        <v/>
      </c>
      <c r="O1589" s="2">
        <f>IF(M1589="","",IF(AND(N1589=_xlfn.MAXIFS(TF_AktSum,TF_Nokkel,M1589),COUNTIFS(M$3:M1588,M1589,N$3:N1588,N1589)=0),M1589,""))</f>
        <v/>
      </c>
    </row>
    <row r="1590">
      <c r="A1590" s="34" t="n"/>
      <c r="B1590" s="35" t="n"/>
      <c r="C1590" s="35" t="n"/>
      <c r="D1590" s="35" t="n"/>
      <c r="E1590" s="35" t="n"/>
      <c r="F1590" s="36" t="n"/>
      <c r="G1590" s="35" t="n"/>
      <c r="H1590" s="30">
        <f>IF(L1590="","",INDEX(SkiftNavn,L1590))</f>
        <v/>
      </c>
      <c r="I1590" s="30">
        <f>IF(OR(A1590="",L1590=""),"",IF(MOD(A1590-INDEX(SkiftStart,L1590),Syklus)&lt;DagK,"Kveld",IF(MOD(A1590-INDEX(SkiftStart,L1590),Syklus)&lt;DagK+DagH,"Helg",IF(MOD(A1590-INDEX(SkiftStart,L1590),Syklus)&lt;DagK+DagH+DagD,"Dag","Fri"))))</f>
        <v/>
      </c>
      <c r="J1590" s="30">
        <f>IF(I1590="Fri","Ja","")</f>
        <v/>
      </c>
      <c r="K1590" s="30">
        <f>IF(B1590="","",IF(L1590="","Ukjent tekniker",IF(ISNA(MATCH(C1590,Aktiviteter,0)),"Ukjent aktivitet",IF(AND(INDEX(AktRolle,MATCH(C1590,Aktiviteter,0))&amp;""&lt;&gt;"",ISERROR(SEARCH(INDEX(AktRolle,MATCH(C1590,Aktiviteter,0))&amp;"",INDEX(TekRoller,MATCH(B1590,Teknikere,0))))),"Mangler rollen "&amp;INDEX(AktRolle,MATCH(C1590,Aktiviteter,0))&amp;"",IF(AND(C1590="LMS",F1590&gt;0,OR(D1590="",E1590="")),"Mangler maskin eller arbeid",IF(AND(OR(C1590="LMS",C1590="Mod"),D1590&lt;&gt;""),IF(IFERROR(INDEX(MaskinStatus,MATCH(D1590,Maskiner,0)),"")="I dokk","","Maskinen er ikke i dokk"),""))))))</f>
        <v/>
      </c>
      <c r="L1590" s="2">
        <f>IF(B1590="","",IFERROR(INT((MATCH(B1590,Teknikere,0)-1)/18)+1,""))</f>
        <v/>
      </c>
      <c r="M1590" s="2">
        <f>IF(OR(A1590="",B1590=""),"",B1590&amp;"|"&amp;A1590)</f>
        <v/>
      </c>
      <c r="N1590" s="2">
        <f>IF(M1590="","",SUMIFS(TF_Timer,TF_Nokkel,M1590,TF_Akt,C1590))</f>
        <v/>
      </c>
      <c r="O1590" s="2">
        <f>IF(M1590="","",IF(AND(N1590=_xlfn.MAXIFS(TF_AktSum,TF_Nokkel,M1590),COUNTIFS(M$3:M1589,M1590,N$3:N1589,N1590)=0),M1590,""))</f>
        <v/>
      </c>
    </row>
    <row r="1591">
      <c r="A1591" s="34" t="n"/>
      <c r="B1591" s="35" t="n"/>
      <c r="C1591" s="35" t="n"/>
      <c r="D1591" s="35" t="n"/>
      <c r="E1591" s="35" t="n"/>
      <c r="F1591" s="36" t="n"/>
      <c r="G1591" s="35" t="n"/>
      <c r="H1591" s="30">
        <f>IF(L1591="","",INDEX(SkiftNavn,L1591))</f>
        <v/>
      </c>
      <c r="I1591" s="30">
        <f>IF(OR(A1591="",L1591=""),"",IF(MOD(A1591-INDEX(SkiftStart,L1591),Syklus)&lt;DagK,"Kveld",IF(MOD(A1591-INDEX(SkiftStart,L1591),Syklus)&lt;DagK+DagH,"Helg",IF(MOD(A1591-INDEX(SkiftStart,L1591),Syklus)&lt;DagK+DagH+DagD,"Dag","Fri"))))</f>
        <v/>
      </c>
      <c r="J1591" s="30">
        <f>IF(I1591="Fri","Ja","")</f>
        <v/>
      </c>
      <c r="K1591" s="30">
        <f>IF(B1591="","",IF(L1591="","Ukjent tekniker",IF(ISNA(MATCH(C1591,Aktiviteter,0)),"Ukjent aktivitet",IF(AND(INDEX(AktRolle,MATCH(C1591,Aktiviteter,0))&amp;""&lt;&gt;"",ISERROR(SEARCH(INDEX(AktRolle,MATCH(C1591,Aktiviteter,0))&amp;"",INDEX(TekRoller,MATCH(B1591,Teknikere,0))))),"Mangler rollen "&amp;INDEX(AktRolle,MATCH(C1591,Aktiviteter,0))&amp;"",IF(AND(C1591="LMS",F1591&gt;0,OR(D1591="",E1591="")),"Mangler maskin eller arbeid",IF(AND(OR(C1591="LMS",C1591="Mod"),D1591&lt;&gt;""),IF(IFERROR(INDEX(MaskinStatus,MATCH(D1591,Maskiner,0)),"")="I dokk","","Maskinen er ikke i dokk"),""))))))</f>
        <v/>
      </c>
      <c r="L1591" s="2">
        <f>IF(B1591="","",IFERROR(INT((MATCH(B1591,Teknikere,0)-1)/18)+1,""))</f>
        <v/>
      </c>
      <c r="M1591" s="2">
        <f>IF(OR(A1591="",B1591=""),"",B1591&amp;"|"&amp;A1591)</f>
        <v/>
      </c>
      <c r="N1591" s="2">
        <f>IF(M1591="","",SUMIFS(TF_Timer,TF_Nokkel,M1591,TF_Akt,C1591))</f>
        <v/>
      </c>
      <c r="O1591" s="2">
        <f>IF(M1591="","",IF(AND(N1591=_xlfn.MAXIFS(TF_AktSum,TF_Nokkel,M1591),COUNTIFS(M$3:M1590,M1591,N$3:N1590,N1591)=0),M1591,""))</f>
        <v/>
      </c>
    </row>
    <row r="1592">
      <c r="A1592" s="34" t="n"/>
      <c r="B1592" s="35" t="n"/>
      <c r="C1592" s="35" t="n"/>
      <c r="D1592" s="35" t="n"/>
      <c r="E1592" s="35" t="n"/>
      <c r="F1592" s="36" t="n"/>
      <c r="G1592" s="35" t="n"/>
      <c r="H1592" s="30">
        <f>IF(L1592="","",INDEX(SkiftNavn,L1592))</f>
        <v/>
      </c>
      <c r="I1592" s="30">
        <f>IF(OR(A1592="",L1592=""),"",IF(MOD(A1592-INDEX(SkiftStart,L1592),Syklus)&lt;DagK,"Kveld",IF(MOD(A1592-INDEX(SkiftStart,L1592),Syklus)&lt;DagK+DagH,"Helg",IF(MOD(A1592-INDEX(SkiftStart,L1592),Syklus)&lt;DagK+DagH+DagD,"Dag","Fri"))))</f>
        <v/>
      </c>
      <c r="J1592" s="30">
        <f>IF(I1592="Fri","Ja","")</f>
        <v/>
      </c>
      <c r="K1592" s="30">
        <f>IF(B1592="","",IF(L1592="","Ukjent tekniker",IF(ISNA(MATCH(C1592,Aktiviteter,0)),"Ukjent aktivitet",IF(AND(INDEX(AktRolle,MATCH(C1592,Aktiviteter,0))&amp;""&lt;&gt;"",ISERROR(SEARCH(INDEX(AktRolle,MATCH(C1592,Aktiviteter,0))&amp;"",INDEX(TekRoller,MATCH(B1592,Teknikere,0))))),"Mangler rollen "&amp;INDEX(AktRolle,MATCH(C1592,Aktiviteter,0))&amp;"",IF(AND(C1592="LMS",F1592&gt;0,OR(D1592="",E1592="")),"Mangler maskin eller arbeid",IF(AND(OR(C1592="LMS",C1592="Mod"),D1592&lt;&gt;""),IF(IFERROR(INDEX(MaskinStatus,MATCH(D1592,Maskiner,0)),"")="I dokk","","Maskinen er ikke i dokk"),""))))))</f>
        <v/>
      </c>
      <c r="L1592" s="2">
        <f>IF(B1592="","",IFERROR(INT((MATCH(B1592,Teknikere,0)-1)/18)+1,""))</f>
        <v/>
      </c>
      <c r="M1592" s="2">
        <f>IF(OR(A1592="",B1592=""),"",B1592&amp;"|"&amp;A1592)</f>
        <v/>
      </c>
      <c r="N1592" s="2">
        <f>IF(M1592="","",SUMIFS(TF_Timer,TF_Nokkel,M1592,TF_Akt,C1592))</f>
        <v/>
      </c>
      <c r="O1592" s="2">
        <f>IF(M1592="","",IF(AND(N1592=_xlfn.MAXIFS(TF_AktSum,TF_Nokkel,M1592),COUNTIFS(M$3:M1591,M1592,N$3:N1591,N1592)=0),M1592,""))</f>
        <v/>
      </c>
    </row>
    <row r="1593">
      <c r="A1593" s="34" t="n"/>
      <c r="B1593" s="35" t="n"/>
      <c r="C1593" s="35" t="n"/>
      <c r="D1593" s="35" t="n"/>
      <c r="E1593" s="35" t="n"/>
      <c r="F1593" s="36" t="n"/>
      <c r="G1593" s="35" t="n"/>
      <c r="H1593" s="30">
        <f>IF(L1593="","",INDEX(SkiftNavn,L1593))</f>
        <v/>
      </c>
      <c r="I1593" s="30">
        <f>IF(OR(A1593="",L1593=""),"",IF(MOD(A1593-INDEX(SkiftStart,L1593),Syklus)&lt;DagK,"Kveld",IF(MOD(A1593-INDEX(SkiftStart,L1593),Syklus)&lt;DagK+DagH,"Helg",IF(MOD(A1593-INDEX(SkiftStart,L1593),Syklus)&lt;DagK+DagH+DagD,"Dag","Fri"))))</f>
        <v/>
      </c>
      <c r="J1593" s="30">
        <f>IF(I1593="Fri","Ja","")</f>
        <v/>
      </c>
      <c r="K1593" s="30">
        <f>IF(B1593="","",IF(L1593="","Ukjent tekniker",IF(ISNA(MATCH(C1593,Aktiviteter,0)),"Ukjent aktivitet",IF(AND(INDEX(AktRolle,MATCH(C1593,Aktiviteter,0))&amp;""&lt;&gt;"",ISERROR(SEARCH(INDEX(AktRolle,MATCH(C1593,Aktiviteter,0))&amp;"",INDEX(TekRoller,MATCH(B1593,Teknikere,0))))),"Mangler rollen "&amp;INDEX(AktRolle,MATCH(C1593,Aktiviteter,0))&amp;"",IF(AND(C1593="LMS",F1593&gt;0,OR(D1593="",E1593="")),"Mangler maskin eller arbeid",IF(AND(OR(C1593="LMS",C1593="Mod"),D1593&lt;&gt;""),IF(IFERROR(INDEX(MaskinStatus,MATCH(D1593,Maskiner,0)),"")="I dokk","","Maskinen er ikke i dokk"),""))))))</f>
        <v/>
      </c>
      <c r="L1593" s="2">
        <f>IF(B1593="","",IFERROR(INT((MATCH(B1593,Teknikere,0)-1)/18)+1,""))</f>
        <v/>
      </c>
      <c r="M1593" s="2">
        <f>IF(OR(A1593="",B1593=""),"",B1593&amp;"|"&amp;A1593)</f>
        <v/>
      </c>
      <c r="N1593" s="2">
        <f>IF(M1593="","",SUMIFS(TF_Timer,TF_Nokkel,M1593,TF_Akt,C1593))</f>
        <v/>
      </c>
      <c r="O1593" s="2">
        <f>IF(M1593="","",IF(AND(N1593=_xlfn.MAXIFS(TF_AktSum,TF_Nokkel,M1593),COUNTIFS(M$3:M1592,M1593,N$3:N1592,N1593)=0),M1593,""))</f>
        <v/>
      </c>
    </row>
    <row r="1594">
      <c r="A1594" s="34" t="n"/>
      <c r="B1594" s="35" t="n"/>
      <c r="C1594" s="35" t="n"/>
      <c r="D1594" s="35" t="n"/>
      <c r="E1594" s="35" t="n"/>
      <c r="F1594" s="36" t="n"/>
      <c r="G1594" s="35" t="n"/>
      <c r="H1594" s="30">
        <f>IF(L1594="","",INDEX(SkiftNavn,L1594))</f>
        <v/>
      </c>
      <c r="I1594" s="30">
        <f>IF(OR(A1594="",L1594=""),"",IF(MOD(A1594-INDEX(SkiftStart,L1594),Syklus)&lt;DagK,"Kveld",IF(MOD(A1594-INDEX(SkiftStart,L1594),Syklus)&lt;DagK+DagH,"Helg",IF(MOD(A1594-INDEX(SkiftStart,L1594),Syklus)&lt;DagK+DagH+DagD,"Dag","Fri"))))</f>
        <v/>
      </c>
      <c r="J1594" s="30">
        <f>IF(I1594="Fri","Ja","")</f>
        <v/>
      </c>
      <c r="K1594" s="30">
        <f>IF(B1594="","",IF(L1594="","Ukjent tekniker",IF(ISNA(MATCH(C1594,Aktiviteter,0)),"Ukjent aktivitet",IF(AND(INDEX(AktRolle,MATCH(C1594,Aktiviteter,0))&amp;""&lt;&gt;"",ISERROR(SEARCH(INDEX(AktRolle,MATCH(C1594,Aktiviteter,0))&amp;"",INDEX(TekRoller,MATCH(B1594,Teknikere,0))))),"Mangler rollen "&amp;INDEX(AktRolle,MATCH(C1594,Aktiviteter,0))&amp;"",IF(AND(C1594="LMS",F1594&gt;0,OR(D1594="",E1594="")),"Mangler maskin eller arbeid",IF(AND(OR(C1594="LMS",C1594="Mod"),D1594&lt;&gt;""),IF(IFERROR(INDEX(MaskinStatus,MATCH(D1594,Maskiner,0)),"")="I dokk","","Maskinen er ikke i dokk"),""))))))</f>
        <v/>
      </c>
      <c r="L1594" s="2">
        <f>IF(B1594="","",IFERROR(INT((MATCH(B1594,Teknikere,0)-1)/18)+1,""))</f>
        <v/>
      </c>
      <c r="M1594" s="2">
        <f>IF(OR(A1594="",B1594=""),"",B1594&amp;"|"&amp;A1594)</f>
        <v/>
      </c>
      <c r="N1594" s="2">
        <f>IF(M1594="","",SUMIFS(TF_Timer,TF_Nokkel,M1594,TF_Akt,C1594))</f>
        <v/>
      </c>
      <c r="O1594" s="2">
        <f>IF(M1594="","",IF(AND(N1594=_xlfn.MAXIFS(TF_AktSum,TF_Nokkel,M1594),COUNTIFS(M$3:M1593,M1594,N$3:N1593,N1594)=0),M1594,""))</f>
        <v/>
      </c>
    </row>
    <row r="1595">
      <c r="A1595" s="34" t="n"/>
      <c r="B1595" s="35" t="n"/>
      <c r="C1595" s="35" t="n"/>
      <c r="D1595" s="35" t="n"/>
      <c r="E1595" s="35" t="n"/>
      <c r="F1595" s="36" t="n"/>
      <c r="G1595" s="35" t="n"/>
      <c r="H1595" s="30">
        <f>IF(L1595="","",INDEX(SkiftNavn,L1595))</f>
        <v/>
      </c>
      <c r="I1595" s="30">
        <f>IF(OR(A1595="",L1595=""),"",IF(MOD(A1595-INDEX(SkiftStart,L1595),Syklus)&lt;DagK,"Kveld",IF(MOD(A1595-INDEX(SkiftStart,L1595),Syklus)&lt;DagK+DagH,"Helg",IF(MOD(A1595-INDEX(SkiftStart,L1595),Syklus)&lt;DagK+DagH+DagD,"Dag","Fri"))))</f>
        <v/>
      </c>
      <c r="J1595" s="30">
        <f>IF(I1595="Fri","Ja","")</f>
        <v/>
      </c>
      <c r="K1595" s="30">
        <f>IF(B1595="","",IF(L1595="","Ukjent tekniker",IF(ISNA(MATCH(C1595,Aktiviteter,0)),"Ukjent aktivitet",IF(AND(INDEX(AktRolle,MATCH(C1595,Aktiviteter,0))&amp;""&lt;&gt;"",ISERROR(SEARCH(INDEX(AktRolle,MATCH(C1595,Aktiviteter,0))&amp;"",INDEX(TekRoller,MATCH(B1595,Teknikere,0))))),"Mangler rollen "&amp;INDEX(AktRolle,MATCH(C1595,Aktiviteter,0))&amp;"",IF(AND(C1595="LMS",F1595&gt;0,OR(D1595="",E1595="")),"Mangler maskin eller arbeid",IF(AND(OR(C1595="LMS",C1595="Mod"),D1595&lt;&gt;""),IF(IFERROR(INDEX(MaskinStatus,MATCH(D1595,Maskiner,0)),"")="I dokk","","Maskinen er ikke i dokk"),""))))))</f>
        <v/>
      </c>
      <c r="L1595" s="2">
        <f>IF(B1595="","",IFERROR(INT((MATCH(B1595,Teknikere,0)-1)/18)+1,""))</f>
        <v/>
      </c>
      <c r="M1595" s="2">
        <f>IF(OR(A1595="",B1595=""),"",B1595&amp;"|"&amp;A1595)</f>
        <v/>
      </c>
      <c r="N1595" s="2">
        <f>IF(M1595="","",SUMIFS(TF_Timer,TF_Nokkel,M1595,TF_Akt,C1595))</f>
        <v/>
      </c>
      <c r="O1595" s="2">
        <f>IF(M1595="","",IF(AND(N1595=_xlfn.MAXIFS(TF_AktSum,TF_Nokkel,M1595),COUNTIFS(M$3:M1594,M1595,N$3:N1594,N1595)=0),M1595,""))</f>
        <v/>
      </c>
    </row>
    <row r="1596">
      <c r="A1596" s="34" t="n"/>
      <c r="B1596" s="35" t="n"/>
      <c r="C1596" s="35" t="n"/>
      <c r="D1596" s="35" t="n"/>
      <c r="E1596" s="35" t="n"/>
      <c r="F1596" s="36" t="n"/>
      <c r="G1596" s="35" t="n"/>
      <c r="H1596" s="30">
        <f>IF(L1596="","",INDEX(SkiftNavn,L1596))</f>
        <v/>
      </c>
      <c r="I1596" s="30">
        <f>IF(OR(A1596="",L1596=""),"",IF(MOD(A1596-INDEX(SkiftStart,L1596),Syklus)&lt;DagK,"Kveld",IF(MOD(A1596-INDEX(SkiftStart,L1596),Syklus)&lt;DagK+DagH,"Helg",IF(MOD(A1596-INDEX(SkiftStart,L1596),Syklus)&lt;DagK+DagH+DagD,"Dag","Fri"))))</f>
        <v/>
      </c>
      <c r="J1596" s="30">
        <f>IF(I1596="Fri","Ja","")</f>
        <v/>
      </c>
      <c r="K1596" s="30">
        <f>IF(B1596="","",IF(L1596="","Ukjent tekniker",IF(ISNA(MATCH(C1596,Aktiviteter,0)),"Ukjent aktivitet",IF(AND(INDEX(AktRolle,MATCH(C1596,Aktiviteter,0))&amp;""&lt;&gt;"",ISERROR(SEARCH(INDEX(AktRolle,MATCH(C1596,Aktiviteter,0))&amp;"",INDEX(TekRoller,MATCH(B1596,Teknikere,0))))),"Mangler rollen "&amp;INDEX(AktRolle,MATCH(C1596,Aktiviteter,0))&amp;"",IF(AND(C1596="LMS",F1596&gt;0,OR(D1596="",E1596="")),"Mangler maskin eller arbeid",IF(AND(OR(C1596="LMS",C1596="Mod"),D1596&lt;&gt;""),IF(IFERROR(INDEX(MaskinStatus,MATCH(D1596,Maskiner,0)),"")="I dokk","","Maskinen er ikke i dokk"),""))))))</f>
        <v/>
      </c>
      <c r="L1596" s="2">
        <f>IF(B1596="","",IFERROR(INT((MATCH(B1596,Teknikere,0)-1)/18)+1,""))</f>
        <v/>
      </c>
      <c r="M1596" s="2">
        <f>IF(OR(A1596="",B1596=""),"",B1596&amp;"|"&amp;A1596)</f>
        <v/>
      </c>
      <c r="N1596" s="2">
        <f>IF(M1596="","",SUMIFS(TF_Timer,TF_Nokkel,M1596,TF_Akt,C1596))</f>
        <v/>
      </c>
      <c r="O1596" s="2">
        <f>IF(M1596="","",IF(AND(N1596=_xlfn.MAXIFS(TF_AktSum,TF_Nokkel,M1596),COUNTIFS(M$3:M1595,M1596,N$3:N1595,N1596)=0),M1596,""))</f>
        <v/>
      </c>
    </row>
    <row r="1597">
      <c r="A1597" s="34" t="n"/>
      <c r="B1597" s="35" t="n"/>
      <c r="C1597" s="35" t="n"/>
      <c r="D1597" s="35" t="n"/>
      <c r="E1597" s="35" t="n"/>
      <c r="F1597" s="36" t="n"/>
      <c r="G1597" s="35" t="n"/>
      <c r="H1597" s="30">
        <f>IF(L1597="","",INDEX(SkiftNavn,L1597))</f>
        <v/>
      </c>
      <c r="I1597" s="30">
        <f>IF(OR(A1597="",L1597=""),"",IF(MOD(A1597-INDEX(SkiftStart,L1597),Syklus)&lt;DagK,"Kveld",IF(MOD(A1597-INDEX(SkiftStart,L1597),Syklus)&lt;DagK+DagH,"Helg",IF(MOD(A1597-INDEX(SkiftStart,L1597),Syklus)&lt;DagK+DagH+DagD,"Dag","Fri"))))</f>
        <v/>
      </c>
      <c r="J1597" s="30">
        <f>IF(I1597="Fri","Ja","")</f>
        <v/>
      </c>
      <c r="K1597" s="30">
        <f>IF(B1597="","",IF(L1597="","Ukjent tekniker",IF(ISNA(MATCH(C1597,Aktiviteter,0)),"Ukjent aktivitet",IF(AND(INDEX(AktRolle,MATCH(C1597,Aktiviteter,0))&amp;""&lt;&gt;"",ISERROR(SEARCH(INDEX(AktRolle,MATCH(C1597,Aktiviteter,0))&amp;"",INDEX(TekRoller,MATCH(B1597,Teknikere,0))))),"Mangler rollen "&amp;INDEX(AktRolle,MATCH(C1597,Aktiviteter,0))&amp;"",IF(AND(C1597="LMS",F1597&gt;0,OR(D1597="",E1597="")),"Mangler maskin eller arbeid",IF(AND(OR(C1597="LMS",C1597="Mod"),D1597&lt;&gt;""),IF(IFERROR(INDEX(MaskinStatus,MATCH(D1597,Maskiner,0)),"")="I dokk","","Maskinen er ikke i dokk"),""))))))</f>
        <v/>
      </c>
      <c r="L1597" s="2">
        <f>IF(B1597="","",IFERROR(INT((MATCH(B1597,Teknikere,0)-1)/18)+1,""))</f>
        <v/>
      </c>
      <c r="M1597" s="2">
        <f>IF(OR(A1597="",B1597=""),"",B1597&amp;"|"&amp;A1597)</f>
        <v/>
      </c>
      <c r="N1597" s="2">
        <f>IF(M1597="","",SUMIFS(TF_Timer,TF_Nokkel,M1597,TF_Akt,C1597))</f>
        <v/>
      </c>
      <c r="O1597" s="2">
        <f>IF(M1597="","",IF(AND(N1597=_xlfn.MAXIFS(TF_AktSum,TF_Nokkel,M1597),COUNTIFS(M$3:M1596,M1597,N$3:N1596,N1597)=0),M1597,""))</f>
        <v/>
      </c>
    </row>
    <row r="1598">
      <c r="A1598" s="34" t="n"/>
      <c r="B1598" s="35" t="n"/>
      <c r="C1598" s="35" t="n"/>
      <c r="D1598" s="35" t="n"/>
      <c r="E1598" s="35" t="n"/>
      <c r="F1598" s="36" t="n"/>
      <c r="G1598" s="35" t="n"/>
      <c r="H1598" s="30">
        <f>IF(L1598="","",INDEX(SkiftNavn,L1598))</f>
        <v/>
      </c>
      <c r="I1598" s="30">
        <f>IF(OR(A1598="",L1598=""),"",IF(MOD(A1598-INDEX(SkiftStart,L1598),Syklus)&lt;DagK,"Kveld",IF(MOD(A1598-INDEX(SkiftStart,L1598),Syklus)&lt;DagK+DagH,"Helg",IF(MOD(A1598-INDEX(SkiftStart,L1598),Syklus)&lt;DagK+DagH+DagD,"Dag","Fri"))))</f>
        <v/>
      </c>
      <c r="J1598" s="30">
        <f>IF(I1598="Fri","Ja","")</f>
        <v/>
      </c>
      <c r="K1598" s="30">
        <f>IF(B1598="","",IF(L1598="","Ukjent tekniker",IF(ISNA(MATCH(C1598,Aktiviteter,0)),"Ukjent aktivitet",IF(AND(INDEX(AktRolle,MATCH(C1598,Aktiviteter,0))&amp;""&lt;&gt;"",ISERROR(SEARCH(INDEX(AktRolle,MATCH(C1598,Aktiviteter,0))&amp;"",INDEX(TekRoller,MATCH(B1598,Teknikere,0))))),"Mangler rollen "&amp;INDEX(AktRolle,MATCH(C1598,Aktiviteter,0))&amp;"",IF(AND(C1598="LMS",F1598&gt;0,OR(D1598="",E1598="")),"Mangler maskin eller arbeid",IF(AND(OR(C1598="LMS",C1598="Mod"),D1598&lt;&gt;""),IF(IFERROR(INDEX(MaskinStatus,MATCH(D1598,Maskiner,0)),"")="I dokk","","Maskinen er ikke i dokk"),""))))))</f>
        <v/>
      </c>
      <c r="L1598" s="2">
        <f>IF(B1598="","",IFERROR(INT((MATCH(B1598,Teknikere,0)-1)/18)+1,""))</f>
        <v/>
      </c>
      <c r="M1598" s="2">
        <f>IF(OR(A1598="",B1598=""),"",B1598&amp;"|"&amp;A1598)</f>
        <v/>
      </c>
      <c r="N1598" s="2">
        <f>IF(M1598="","",SUMIFS(TF_Timer,TF_Nokkel,M1598,TF_Akt,C1598))</f>
        <v/>
      </c>
      <c r="O1598" s="2">
        <f>IF(M1598="","",IF(AND(N1598=_xlfn.MAXIFS(TF_AktSum,TF_Nokkel,M1598),COUNTIFS(M$3:M1597,M1598,N$3:N1597,N1598)=0),M1598,""))</f>
        <v/>
      </c>
    </row>
    <row r="1599">
      <c r="A1599" s="34" t="n"/>
      <c r="B1599" s="35" t="n"/>
      <c r="C1599" s="35" t="n"/>
      <c r="D1599" s="35" t="n"/>
      <c r="E1599" s="35" t="n"/>
      <c r="F1599" s="36" t="n"/>
      <c r="G1599" s="35" t="n"/>
      <c r="H1599" s="30">
        <f>IF(L1599="","",INDEX(SkiftNavn,L1599))</f>
        <v/>
      </c>
      <c r="I1599" s="30">
        <f>IF(OR(A1599="",L1599=""),"",IF(MOD(A1599-INDEX(SkiftStart,L1599),Syklus)&lt;DagK,"Kveld",IF(MOD(A1599-INDEX(SkiftStart,L1599),Syklus)&lt;DagK+DagH,"Helg",IF(MOD(A1599-INDEX(SkiftStart,L1599),Syklus)&lt;DagK+DagH+DagD,"Dag","Fri"))))</f>
        <v/>
      </c>
      <c r="J1599" s="30">
        <f>IF(I1599="Fri","Ja","")</f>
        <v/>
      </c>
      <c r="K1599" s="30">
        <f>IF(B1599="","",IF(L1599="","Ukjent tekniker",IF(ISNA(MATCH(C1599,Aktiviteter,0)),"Ukjent aktivitet",IF(AND(INDEX(AktRolle,MATCH(C1599,Aktiviteter,0))&amp;""&lt;&gt;"",ISERROR(SEARCH(INDEX(AktRolle,MATCH(C1599,Aktiviteter,0))&amp;"",INDEX(TekRoller,MATCH(B1599,Teknikere,0))))),"Mangler rollen "&amp;INDEX(AktRolle,MATCH(C1599,Aktiviteter,0))&amp;"",IF(AND(C1599="LMS",F1599&gt;0,OR(D1599="",E1599="")),"Mangler maskin eller arbeid",IF(AND(OR(C1599="LMS",C1599="Mod"),D1599&lt;&gt;""),IF(IFERROR(INDEX(MaskinStatus,MATCH(D1599,Maskiner,0)),"")="I dokk","","Maskinen er ikke i dokk"),""))))))</f>
        <v/>
      </c>
      <c r="L1599" s="2">
        <f>IF(B1599="","",IFERROR(INT((MATCH(B1599,Teknikere,0)-1)/18)+1,""))</f>
        <v/>
      </c>
      <c r="M1599" s="2">
        <f>IF(OR(A1599="",B1599=""),"",B1599&amp;"|"&amp;A1599)</f>
        <v/>
      </c>
      <c r="N1599" s="2">
        <f>IF(M1599="","",SUMIFS(TF_Timer,TF_Nokkel,M1599,TF_Akt,C1599))</f>
        <v/>
      </c>
      <c r="O1599" s="2">
        <f>IF(M1599="","",IF(AND(N1599=_xlfn.MAXIFS(TF_AktSum,TF_Nokkel,M1599),COUNTIFS(M$3:M1598,M1599,N$3:N1598,N1599)=0),M1599,""))</f>
        <v/>
      </c>
    </row>
    <row r="1600">
      <c r="A1600" s="34" t="n"/>
      <c r="B1600" s="35" t="n"/>
      <c r="C1600" s="35" t="n"/>
      <c r="D1600" s="35" t="n"/>
      <c r="E1600" s="35" t="n"/>
      <c r="F1600" s="36" t="n"/>
      <c r="G1600" s="35" t="n"/>
      <c r="H1600" s="30">
        <f>IF(L1600="","",INDEX(SkiftNavn,L1600))</f>
        <v/>
      </c>
      <c r="I1600" s="30">
        <f>IF(OR(A1600="",L1600=""),"",IF(MOD(A1600-INDEX(SkiftStart,L1600),Syklus)&lt;DagK,"Kveld",IF(MOD(A1600-INDEX(SkiftStart,L1600),Syklus)&lt;DagK+DagH,"Helg",IF(MOD(A1600-INDEX(SkiftStart,L1600),Syklus)&lt;DagK+DagH+DagD,"Dag","Fri"))))</f>
        <v/>
      </c>
      <c r="J1600" s="30">
        <f>IF(I1600="Fri","Ja","")</f>
        <v/>
      </c>
      <c r="K1600" s="30">
        <f>IF(B1600="","",IF(L1600="","Ukjent tekniker",IF(ISNA(MATCH(C1600,Aktiviteter,0)),"Ukjent aktivitet",IF(AND(INDEX(AktRolle,MATCH(C1600,Aktiviteter,0))&amp;""&lt;&gt;"",ISERROR(SEARCH(INDEX(AktRolle,MATCH(C1600,Aktiviteter,0))&amp;"",INDEX(TekRoller,MATCH(B1600,Teknikere,0))))),"Mangler rollen "&amp;INDEX(AktRolle,MATCH(C1600,Aktiviteter,0))&amp;"",IF(AND(C1600="LMS",F1600&gt;0,OR(D1600="",E1600="")),"Mangler maskin eller arbeid",IF(AND(OR(C1600="LMS",C1600="Mod"),D1600&lt;&gt;""),IF(IFERROR(INDEX(MaskinStatus,MATCH(D1600,Maskiner,0)),"")="I dokk","","Maskinen er ikke i dokk"),""))))))</f>
        <v/>
      </c>
      <c r="L1600" s="2">
        <f>IF(B1600="","",IFERROR(INT((MATCH(B1600,Teknikere,0)-1)/18)+1,""))</f>
        <v/>
      </c>
      <c r="M1600" s="2">
        <f>IF(OR(A1600="",B1600=""),"",B1600&amp;"|"&amp;A1600)</f>
        <v/>
      </c>
      <c r="N1600" s="2">
        <f>IF(M1600="","",SUMIFS(TF_Timer,TF_Nokkel,M1600,TF_Akt,C1600))</f>
        <v/>
      </c>
      <c r="O1600" s="2">
        <f>IF(M1600="","",IF(AND(N1600=_xlfn.MAXIFS(TF_AktSum,TF_Nokkel,M1600),COUNTIFS(M$3:M1599,M1600,N$3:N1599,N1600)=0),M1600,""))</f>
        <v/>
      </c>
    </row>
    <row r="1601">
      <c r="A1601" s="34" t="n"/>
      <c r="B1601" s="35" t="n"/>
      <c r="C1601" s="35" t="n"/>
      <c r="D1601" s="35" t="n"/>
      <c r="E1601" s="35" t="n"/>
      <c r="F1601" s="36" t="n"/>
      <c r="G1601" s="35" t="n"/>
      <c r="H1601" s="30">
        <f>IF(L1601="","",INDEX(SkiftNavn,L1601))</f>
        <v/>
      </c>
      <c r="I1601" s="30">
        <f>IF(OR(A1601="",L1601=""),"",IF(MOD(A1601-INDEX(SkiftStart,L1601),Syklus)&lt;DagK,"Kveld",IF(MOD(A1601-INDEX(SkiftStart,L1601),Syklus)&lt;DagK+DagH,"Helg",IF(MOD(A1601-INDEX(SkiftStart,L1601),Syklus)&lt;DagK+DagH+DagD,"Dag","Fri"))))</f>
        <v/>
      </c>
      <c r="J1601" s="30">
        <f>IF(I1601="Fri","Ja","")</f>
        <v/>
      </c>
      <c r="K1601" s="30">
        <f>IF(B1601="","",IF(L1601="","Ukjent tekniker",IF(ISNA(MATCH(C1601,Aktiviteter,0)),"Ukjent aktivitet",IF(AND(INDEX(AktRolle,MATCH(C1601,Aktiviteter,0))&amp;""&lt;&gt;"",ISERROR(SEARCH(INDEX(AktRolle,MATCH(C1601,Aktiviteter,0))&amp;"",INDEX(TekRoller,MATCH(B1601,Teknikere,0))))),"Mangler rollen "&amp;INDEX(AktRolle,MATCH(C1601,Aktiviteter,0))&amp;"",IF(AND(C1601="LMS",F1601&gt;0,OR(D1601="",E1601="")),"Mangler maskin eller arbeid",IF(AND(OR(C1601="LMS",C1601="Mod"),D1601&lt;&gt;""),IF(IFERROR(INDEX(MaskinStatus,MATCH(D1601,Maskiner,0)),"")="I dokk","","Maskinen er ikke i dokk"),""))))))</f>
        <v/>
      </c>
      <c r="L1601" s="2">
        <f>IF(B1601="","",IFERROR(INT((MATCH(B1601,Teknikere,0)-1)/18)+1,""))</f>
        <v/>
      </c>
      <c r="M1601" s="2">
        <f>IF(OR(A1601="",B1601=""),"",B1601&amp;"|"&amp;A1601)</f>
        <v/>
      </c>
      <c r="N1601" s="2">
        <f>IF(M1601="","",SUMIFS(TF_Timer,TF_Nokkel,M1601,TF_Akt,C1601))</f>
        <v/>
      </c>
      <c r="O1601" s="2">
        <f>IF(M1601="","",IF(AND(N1601=_xlfn.MAXIFS(TF_AktSum,TF_Nokkel,M1601),COUNTIFS(M$3:M1600,M1601,N$3:N1600,N1601)=0),M1601,""))</f>
        <v/>
      </c>
    </row>
    <row r="1602">
      <c r="A1602" s="34" t="n"/>
      <c r="B1602" s="35" t="n"/>
      <c r="C1602" s="35" t="n"/>
      <c r="D1602" s="35" t="n"/>
      <c r="E1602" s="35" t="n"/>
      <c r="F1602" s="36" t="n"/>
      <c r="G1602" s="35" t="n"/>
      <c r="H1602" s="30">
        <f>IF(L1602="","",INDEX(SkiftNavn,L1602))</f>
        <v/>
      </c>
      <c r="I1602" s="30">
        <f>IF(OR(A1602="",L1602=""),"",IF(MOD(A1602-INDEX(SkiftStart,L1602),Syklus)&lt;DagK,"Kveld",IF(MOD(A1602-INDEX(SkiftStart,L1602),Syklus)&lt;DagK+DagH,"Helg",IF(MOD(A1602-INDEX(SkiftStart,L1602),Syklus)&lt;DagK+DagH+DagD,"Dag","Fri"))))</f>
        <v/>
      </c>
      <c r="J1602" s="30">
        <f>IF(I1602="Fri","Ja","")</f>
        <v/>
      </c>
      <c r="K1602" s="30">
        <f>IF(B1602="","",IF(L1602="","Ukjent tekniker",IF(ISNA(MATCH(C1602,Aktiviteter,0)),"Ukjent aktivitet",IF(AND(INDEX(AktRolle,MATCH(C1602,Aktiviteter,0))&amp;""&lt;&gt;"",ISERROR(SEARCH(INDEX(AktRolle,MATCH(C1602,Aktiviteter,0))&amp;"",INDEX(TekRoller,MATCH(B1602,Teknikere,0))))),"Mangler rollen "&amp;INDEX(AktRolle,MATCH(C1602,Aktiviteter,0))&amp;"",IF(AND(C1602="LMS",F1602&gt;0,OR(D1602="",E1602="")),"Mangler maskin eller arbeid",IF(AND(OR(C1602="LMS",C1602="Mod"),D1602&lt;&gt;""),IF(IFERROR(INDEX(MaskinStatus,MATCH(D1602,Maskiner,0)),"")="I dokk","","Maskinen er ikke i dokk"),""))))))</f>
        <v/>
      </c>
      <c r="L1602" s="2">
        <f>IF(B1602="","",IFERROR(INT((MATCH(B1602,Teknikere,0)-1)/18)+1,""))</f>
        <v/>
      </c>
      <c r="M1602" s="2">
        <f>IF(OR(A1602="",B1602=""),"",B1602&amp;"|"&amp;A1602)</f>
        <v/>
      </c>
      <c r="N1602" s="2">
        <f>IF(M1602="","",SUMIFS(TF_Timer,TF_Nokkel,M1602,TF_Akt,C1602))</f>
        <v/>
      </c>
      <c r="O1602" s="2">
        <f>IF(M1602="","",IF(AND(N1602=_xlfn.MAXIFS(TF_AktSum,TF_Nokkel,M1602),COUNTIFS(M$3:M1601,M1602,N$3:N1601,N1602)=0),M1602,""))</f>
        <v/>
      </c>
    </row>
    <row r="1603">
      <c r="A1603" s="34" t="n"/>
      <c r="B1603" s="35" t="n"/>
      <c r="C1603" s="35" t="n"/>
      <c r="D1603" s="35" t="n"/>
      <c r="E1603" s="35" t="n"/>
      <c r="F1603" s="36" t="n"/>
      <c r="G1603" s="35" t="n"/>
      <c r="H1603" s="30">
        <f>IF(L1603="","",INDEX(SkiftNavn,L1603))</f>
        <v/>
      </c>
      <c r="I1603" s="30">
        <f>IF(OR(A1603="",L1603=""),"",IF(MOD(A1603-INDEX(SkiftStart,L1603),Syklus)&lt;DagK,"Kveld",IF(MOD(A1603-INDEX(SkiftStart,L1603),Syklus)&lt;DagK+DagH,"Helg",IF(MOD(A1603-INDEX(SkiftStart,L1603),Syklus)&lt;DagK+DagH+DagD,"Dag","Fri"))))</f>
        <v/>
      </c>
      <c r="J1603" s="30">
        <f>IF(I1603="Fri","Ja","")</f>
        <v/>
      </c>
      <c r="K1603" s="30">
        <f>IF(B1603="","",IF(L1603="","Ukjent tekniker",IF(ISNA(MATCH(C1603,Aktiviteter,0)),"Ukjent aktivitet",IF(AND(INDEX(AktRolle,MATCH(C1603,Aktiviteter,0))&amp;""&lt;&gt;"",ISERROR(SEARCH(INDEX(AktRolle,MATCH(C1603,Aktiviteter,0))&amp;"",INDEX(TekRoller,MATCH(B1603,Teknikere,0))))),"Mangler rollen "&amp;INDEX(AktRolle,MATCH(C1603,Aktiviteter,0))&amp;"",IF(AND(C1603="LMS",F1603&gt;0,OR(D1603="",E1603="")),"Mangler maskin eller arbeid",IF(AND(OR(C1603="LMS",C1603="Mod"),D1603&lt;&gt;""),IF(IFERROR(INDEX(MaskinStatus,MATCH(D1603,Maskiner,0)),"")="I dokk","","Maskinen er ikke i dokk"),""))))))</f>
        <v/>
      </c>
      <c r="L1603" s="2">
        <f>IF(B1603="","",IFERROR(INT((MATCH(B1603,Teknikere,0)-1)/18)+1,""))</f>
        <v/>
      </c>
      <c r="M1603" s="2">
        <f>IF(OR(A1603="",B1603=""),"",B1603&amp;"|"&amp;A1603)</f>
        <v/>
      </c>
      <c r="N1603" s="2">
        <f>IF(M1603="","",SUMIFS(TF_Timer,TF_Nokkel,M1603,TF_Akt,C1603))</f>
        <v/>
      </c>
      <c r="O1603" s="2">
        <f>IF(M1603="","",IF(AND(N1603=_xlfn.MAXIFS(TF_AktSum,TF_Nokkel,M1603),COUNTIFS(M$3:M1602,M1603,N$3:N1602,N1603)=0),M1603,""))</f>
        <v/>
      </c>
    </row>
    <row r="1604">
      <c r="A1604" s="34" t="n"/>
      <c r="B1604" s="35" t="n"/>
      <c r="C1604" s="35" t="n"/>
      <c r="D1604" s="35" t="n"/>
      <c r="E1604" s="35" t="n"/>
      <c r="F1604" s="36" t="n"/>
      <c r="G1604" s="35" t="n"/>
      <c r="H1604" s="30">
        <f>IF(L1604="","",INDEX(SkiftNavn,L1604))</f>
        <v/>
      </c>
      <c r="I1604" s="30">
        <f>IF(OR(A1604="",L1604=""),"",IF(MOD(A1604-INDEX(SkiftStart,L1604),Syklus)&lt;DagK,"Kveld",IF(MOD(A1604-INDEX(SkiftStart,L1604),Syklus)&lt;DagK+DagH,"Helg",IF(MOD(A1604-INDEX(SkiftStart,L1604),Syklus)&lt;DagK+DagH+DagD,"Dag","Fri"))))</f>
        <v/>
      </c>
      <c r="J1604" s="30">
        <f>IF(I1604="Fri","Ja","")</f>
        <v/>
      </c>
      <c r="K1604" s="30">
        <f>IF(B1604="","",IF(L1604="","Ukjent tekniker",IF(ISNA(MATCH(C1604,Aktiviteter,0)),"Ukjent aktivitet",IF(AND(INDEX(AktRolle,MATCH(C1604,Aktiviteter,0))&amp;""&lt;&gt;"",ISERROR(SEARCH(INDEX(AktRolle,MATCH(C1604,Aktiviteter,0))&amp;"",INDEX(TekRoller,MATCH(B1604,Teknikere,0))))),"Mangler rollen "&amp;INDEX(AktRolle,MATCH(C1604,Aktiviteter,0))&amp;"",IF(AND(C1604="LMS",F1604&gt;0,OR(D1604="",E1604="")),"Mangler maskin eller arbeid",IF(AND(OR(C1604="LMS",C1604="Mod"),D1604&lt;&gt;""),IF(IFERROR(INDEX(MaskinStatus,MATCH(D1604,Maskiner,0)),"")="I dokk","","Maskinen er ikke i dokk"),""))))))</f>
        <v/>
      </c>
      <c r="L1604" s="2">
        <f>IF(B1604="","",IFERROR(INT((MATCH(B1604,Teknikere,0)-1)/18)+1,""))</f>
        <v/>
      </c>
      <c r="M1604" s="2">
        <f>IF(OR(A1604="",B1604=""),"",B1604&amp;"|"&amp;A1604)</f>
        <v/>
      </c>
      <c r="N1604" s="2">
        <f>IF(M1604="","",SUMIFS(TF_Timer,TF_Nokkel,M1604,TF_Akt,C1604))</f>
        <v/>
      </c>
      <c r="O1604" s="2">
        <f>IF(M1604="","",IF(AND(N1604=_xlfn.MAXIFS(TF_AktSum,TF_Nokkel,M1604),COUNTIFS(M$3:M1603,M1604,N$3:N1603,N1604)=0),M1604,""))</f>
        <v/>
      </c>
    </row>
    <row r="1605">
      <c r="A1605" s="34" t="n"/>
      <c r="B1605" s="35" t="n"/>
      <c r="C1605" s="35" t="n"/>
      <c r="D1605" s="35" t="n"/>
      <c r="E1605" s="35" t="n"/>
      <c r="F1605" s="36" t="n"/>
      <c r="G1605" s="35" t="n"/>
      <c r="H1605" s="30">
        <f>IF(L1605="","",INDEX(SkiftNavn,L1605))</f>
        <v/>
      </c>
      <c r="I1605" s="30">
        <f>IF(OR(A1605="",L1605=""),"",IF(MOD(A1605-INDEX(SkiftStart,L1605),Syklus)&lt;DagK,"Kveld",IF(MOD(A1605-INDEX(SkiftStart,L1605),Syklus)&lt;DagK+DagH,"Helg",IF(MOD(A1605-INDEX(SkiftStart,L1605),Syklus)&lt;DagK+DagH+DagD,"Dag","Fri"))))</f>
        <v/>
      </c>
      <c r="J1605" s="30">
        <f>IF(I1605="Fri","Ja","")</f>
        <v/>
      </c>
      <c r="K1605" s="30">
        <f>IF(B1605="","",IF(L1605="","Ukjent tekniker",IF(ISNA(MATCH(C1605,Aktiviteter,0)),"Ukjent aktivitet",IF(AND(INDEX(AktRolle,MATCH(C1605,Aktiviteter,0))&amp;""&lt;&gt;"",ISERROR(SEARCH(INDEX(AktRolle,MATCH(C1605,Aktiviteter,0))&amp;"",INDEX(TekRoller,MATCH(B1605,Teknikere,0))))),"Mangler rollen "&amp;INDEX(AktRolle,MATCH(C1605,Aktiviteter,0))&amp;"",IF(AND(C1605="LMS",F1605&gt;0,OR(D1605="",E1605="")),"Mangler maskin eller arbeid",IF(AND(OR(C1605="LMS",C1605="Mod"),D1605&lt;&gt;""),IF(IFERROR(INDEX(MaskinStatus,MATCH(D1605,Maskiner,0)),"")="I dokk","","Maskinen er ikke i dokk"),""))))))</f>
        <v/>
      </c>
      <c r="L1605" s="2">
        <f>IF(B1605="","",IFERROR(INT((MATCH(B1605,Teknikere,0)-1)/18)+1,""))</f>
        <v/>
      </c>
      <c r="M1605" s="2">
        <f>IF(OR(A1605="",B1605=""),"",B1605&amp;"|"&amp;A1605)</f>
        <v/>
      </c>
      <c r="N1605" s="2">
        <f>IF(M1605="","",SUMIFS(TF_Timer,TF_Nokkel,M1605,TF_Akt,C1605))</f>
        <v/>
      </c>
      <c r="O1605" s="2">
        <f>IF(M1605="","",IF(AND(N1605=_xlfn.MAXIFS(TF_AktSum,TF_Nokkel,M1605),COUNTIFS(M$3:M1604,M1605,N$3:N1604,N1605)=0),M1605,""))</f>
        <v/>
      </c>
    </row>
    <row r="1606">
      <c r="A1606" s="34" t="n"/>
      <c r="B1606" s="35" t="n"/>
      <c r="C1606" s="35" t="n"/>
      <c r="D1606" s="35" t="n"/>
      <c r="E1606" s="35" t="n"/>
      <c r="F1606" s="36" t="n"/>
      <c r="G1606" s="35" t="n"/>
      <c r="H1606" s="30">
        <f>IF(L1606="","",INDEX(SkiftNavn,L1606))</f>
        <v/>
      </c>
      <c r="I1606" s="30">
        <f>IF(OR(A1606="",L1606=""),"",IF(MOD(A1606-INDEX(SkiftStart,L1606),Syklus)&lt;DagK,"Kveld",IF(MOD(A1606-INDEX(SkiftStart,L1606),Syklus)&lt;DagK+DagH,"Helg",IF(MOD(A1606-INDEX(SkiftStart,L1606),Syklus)&lt;DagK+DagH+DagD,"Dag","Fri"))))</f>
        <v/>
      </c>
      <c r="J1606" s="30">
        <f>IF(I1606="Fri","Ja","")</f>
        <v/>
      </c>
      <c r="K1606" s="30">
        <f>IF(B1606="","",IF(L1606="","Ukjent tekniker",IF(ISNA(MATCH(C1606,Aktiviteter,0)),"Ukjent aktivitet",IF(AND(INDEX(AktRolle,MATCH(C1606,Aktiviteter,0))&amp;""&lt;&gt;"",ISERROR(SEARCH(INDEX(AktRolle,MATCH(C1606,Aktiviteter,0))&amp;"",INDEX(TekRoller,MATCH(B1606,Teknikere,0))))),"Mangler rollen "&amp;INDEX(AktRolle,MATCH(C1606,Aktiviteter,0))&amp;"",IF(AND(C1606="LMS",F1606&gt;0,OR(D1606="",E1606="")),"Mangler maskin eller arbeid",IF(AND(OR(C1606="LMS",C1606="Mod"),D1606&lt;&gt;""),IF(IFERROR(INDEX(MaskinStatus,MATCH(D1606,Maskiner,0)),"")="I dokk","","Maskinen er ikke i dokk"),""))))))</f>
        <v/>
      </c>
      <c r="L1606" s="2">
        <f>IF(B1606="","",IFERROR(INT((MATCH(B1606,Teknikere,0)-1)/18)+1,""))</f>
        <v/>
      </c>
      <c r="M1606" s="2">
        <f>IF(OR(A1606="",B1606=""),"",B1606&amp;"|"&amp;A1606)</f>
        <v/>
      </c>
      <c r="N1606" s="2">
        <f>IF(M1606="","",SUMIFS(TF_Timer,TF_Nokkel,M1606,TF_Akt,C1606))</f>
        <v/>
      </c>
      <c r="O1606" s="2">
        <f>IF(M1606="","",IF(AND(N1606=_xlfn.MAXIFS(TF_AktSum,TF_Nokkel,M1606),COUNTIFS(M$3:M1605,M1606,N$3:N1605,N1606)=0),M1606,""))</f>
        <v/>
      </c>
    </row>
    <row r="1607">
      <c r="A1607" s="34" t="n"/>
      <c r="B1607" s="35" t="n"/>
      <c r="C1607" s="35" t="n"/>
      <c r="D1607" s="35" t="n"/>
      <c r="E1607" s="35" t="n"/>
      <c r="F1607" s="36" t="n"/>
      <c r="G1607" s="35" t="n"/>
      <c r="H1607" s="30">
        <f>IF(L1607="","",INDEX(SkiftNavn,L1607))</f>
        <v/>
      </c>
      <c r="I1607" s="30">
        <f>IF(OR(A1607="",L1607=""),"",IF(MOD(A1607-INDEX(SkiftStart,L1607),Syklus)&lt;DagK,"Kveld",IF(MOD(A1607-INDEX(SkiftStart,L1607),Syklus)&lt;DagK+DagH,"Helg",IF(MOD(A1607-INDEX(SkiftStart,L1607),Syklus)&lt;DagK+DagH+DagD,"Dag","Fri"))))</f>
        <v/>
      </c>
      <c r="J1607" s="30">
        <f>IF(I1607="Fri","Ja","")</f>
        <v/>
      </c>
      <c r="K1607" s="30">
        <f>IF(B1607="","",IF(L1607="","Ukjent tekniker",IF(ISNA(MATCH(C1607,Aktiviteter,0)),"Ukjent aktivitet",IF(AND(INDEX(AktRolle,MATCH(C1607,Aktiviteter,0))&amp;""&lt;&gt;"",ISERROR(SEARCH(INDEX(AktRolle,MATCH(C1607,Aktiviteter,0))&amp;"",INDEX(TekRoller,MATCH(B1607,Teknikere,0))))),"Mangler rollen "&amp;INDEX(AktRolle,MATCH(C1607,Aktiviteter,0))&amp;"",IF(AND(C1607="LMS",F1607&gt;0,OR(D1607="",E1607="")),"Mangler maskin eller arbeid",IF(AND(OR(C1607="LMS",C1607="Mod"),D1607&lt;&gt;""),IF(IFERROR(INDEX(MaskinStatus,MATCH(D1607,Maskiner,0)),"")="I dokk","","Maskinen er ikke i dokk"),""))))))</f>
        <v/>
      </c>
      <c r="L1607" s="2">
        <f>IF(B1607="","",IFERROR(INT((MATCH(B1607,Teknikere,0)-1)/18)+1,""))</f>
        <v/>
      </c>
      <c r="M1607" s="2">
        <f>IF(OR(A1607="",B1607=""),"",B1607&amp;"|"&amp;A1607)</f>
        <v/>
      </c>
      <c r="N1607" s="2">
        <f>IF(M1607="","",SUMIFS(TF_Timer,TF_Nokkel,M1607,TF_Akt,C1607))</f>
        <v/>
      </c>
      <c r="O1607" s="2">
        <f>IF(M1607="","",IF(AND(N1607=_xlfn.MAXIFS(TF_AktSum,TF_Nokkel,M1607),COUNTIFS(M$3:M1606,M1607,N$3:N1606,N1607)=0),M1607,""))</f>
        <v/>
      </c>
    </row>
    <row r="1608">
      <c r="A1608" s="34" t="n"/>
      <c r="B1608" s="35" t="n"/>
      <c r="C1608" s="35" t="n"/>
      <c r="D1608" s="35" t="n"/>
      <c r="E1608" s="35" t="n"/>
      <c r="F1608" s="36" t="n"/>
      <c r="G1608" s="35" t="n"/>
      <c r="H1608" s="30">
        <f>IF(L1608="","",INDEX(SkiftNavn,L1608))</f>
        <v/>
      </c>
      <c r="I1608" s="30">
        <f>IF(OR(A1608="",L1608=""),"",IF(MOD(A1608-INDEX(SkiftStart,L1608),Syklus)&lt;DagK,"Kveld",IF(MOD(A1608-INDEX(SkiftStart,L1608),Syklus)&lt;DagK+DagH,"Helg",IF(MOD(A1608-INDEX(SkiftStart,L1608),Syklus)&lt;DagK+DagH+DagD,"Dag","Fri"))))</f>
        <v/>
      </c>
      <c r="J1608" s="30">
        <f>IF(I1608="Fri","Ja","")</f>
        <v/>
      </c>
      <c r="K1608" s="30">
        <f>IF(B1608="","",IF(L1608="","Ukjent tekniker",IF(ISNA(MATCH(C1608,Aktiviteter,0)),"Ukjent aktivitet",IF(AND(INDEX(AktRolle,MATCH(C1608,Aktiviteter,0))&amp;""&lt;&gt;"",ISERROR(SEARCH(INDEX(AktRolle,MATCH(C1608,Aktiviteter,0))&amp;"",INDEX(TekRoller,MATCH(B1608,Teknikere,0))))),"Mangler rollen "&amp;INDEX(AktRolle,MATCH(C1608,Aktiviteter,0))&amp;"",IF(AND(C1608="LMS",F1608&gt;0,OR(D1608="",E1608="")),"Mangler maskin eller arbeid",IF(AND(OR(C1608="LMS",C1608="Mod"),D1608&lt;&gt;""),IF(IFERROR(INDEX(MaskinStatus,MATCH(D1608,Maskiner,0)),"")="I dokk","","Maskinen er ikke i dokk"),""))))))</f>
        <v/>
      </c>
      <c r="L1608" s="2">
        <f>IF(B1608="","",IFERROR(INT((MATCH(B1608,Teknikere,0)-1)/18)+1,""))</f>
        <v/>
      </c>
      <c r="M1608" s="2">
        <f>IF(OR(A1608="",B1608=""),"",B1608&amp;"|"&amp;A1608)</f>
        <v/>
      </c>
      <c r="N1608" s="2">
        <f>IF(M1608="","",SUMIFS(TF_Timer,TF_Nokkel,M1608,TF_Akt,C1608))</f>
        <v/>
      </c>
      <c r="O1608" s="2">
        <f>IF(M1608="","",IF(AND(N1608=_xlfn.MAXIFS(TF_AktSum,TF_Nokkel,M1608),COUNTIFS(M$3:M1607,M1608,N$3:N1607,N1608)=0),M1608,""))</f>
        <v/>
      </c>
    </row>
    <row r="1609">
      <c r="A1609" s="34" t="n"/>
      <c r="B1609" s="35" t="n"/>
      <c r="C1609" s="35" t="n"/>
      <c r="D1609" s="35" t="n"/>
      <c r="E1609" s="35" t="n"/>
      <c r="F1609" s="36" t="n"/>
      <c r="G1609" s="35" t="n"/>
      <c r="H1609" s="30">
        <f>IF(L1609="","",INDEX(SkiftNavn,L1609))</f>
        <v/>
      </c>
      <c r="I1609" s="30">
        <f>IF(OR(A1609="",L1609=""),"",IF(MOD(A1609-INDEX(SkiftStart,L1609),Syklus)&lt;DagK,"Kveld",IF(MOD(A1609-INDEX(SkiftStart,L1609),Syklus)&lt;DagK+DagH,"Helg",IF(MOD(A1609-INDEX(SkiftStart,L1609),Syklus)&lt;DagK+DagH+DagD,"Dag","Fri"))))</f>
        <v/>
      </c>
      <c r="J1609" s="30">
        <f>IF(I1609="Fri","Ja","")</f>
        <v/>
      </c>
      <c r="K1609" s="30">
        <f>IF(B1609="","",IF(L1609="","Ukjent tekniker",IF(ISNA(MATCH(C1609,Aktiviteter,0)),"Ukjent aktivitet",IF(AND(INDEX(AktRolle,MATCH(C1609,Aktiviteter,0))&amp;""&lt;&gt;"",ISERROR(SEARCH(INDEX(AktRolle,MATCH(C1609,Aktiviteter,0))&amp;"",INDEX(TekRoller,MATCH(B1609,Teknikere,0))))),"Mangler rollen "&amp;INDEX(AktRolle,MATCH(C1609,Aktiviteter,0))&amp;"",IF(AND(C1609="LMS",F1609&gt;0,OR(D1609="",E1609="")),"Mangler maskin eller arbeid",IF(AND(OR(C1609="LMS",C1609="Mod"),D1609&lt;&gt;""),IF(IFERROR(INDEX(MaskinStatus,MATCH(D1609,Maskiner,0)),"")="I dokk","","Maskinen er ikke i dokk"),""))))))</f>
        <v/>
      </c>
      <c r="L1609" s="2">
        <f>IF(B1609="","",IFERROR(INT((MATCH(B1609,Teknikere,0)-1)/18)+1,""))</f>
        <v/>
      </c>
      <c r="M1609" s="2">
        <f>IF(OR(A1609="",B1609=""),"",B1609&amp;"|"&amp;A1609)</f>
        <v/>
      </c>
      <c r="N1609" s="2">
        <f>IF(M1609="","",SUMIFS(TF_Timer,TF_Nokkel,M1609,TF_Akt,C1609))</f>
        <v/>
      </c>
      <c r="O1609" s="2">
        <f>IF(M1609="","",IF(AND(N1609=_xlfn.MAXIFS(TF_AktSum,TF_Nokkel,M1609),COUNTIFS(M$3:M1608,M1609,N$3:N1608,N1609)=0),M1609,""))</f>
        <v/>
      </c>
    </row>
    <row r="1610">
      <c r="A1610" s="34" t="n"/>
      <c r="B1610" s="35" t="n"/>
      <c r="C1610" s="35" t="n"/>
      <c r="D1610" s="35" t="n"/>
      <c r="E1610" s="35" t="n"/>
      <c r="F1610" s="36" t="n"/>
      <c r="G1610" s="35" t="n"/>
      <c r="H1610" s="30">
        <f>IF(L1610="","",INDEX(SkiftNavn,L1610))</f>
        <v/>
      </c>
      <c r="I1610" s="30">
        <f>IF(OR(A1610="",L1610=""),"",IF(MOD(A1610-INDEX(SkiftStart,L1610),Syklus)&lt;DagK,"Kveld",IF(MOD(A1610-INDEX(SkiftStart,L1610),Syklus)&lt;DagK+DagH,"Helg",IF(MOD(A1610-INDEX(SkiftStart,L1610),Syklus)&lt;DagK+DagH+DagD,"Dag","Fri"))))</f>
        <v/>
      </c>
      <c r="J1610" s="30">
        <f>IF(I1610="Fri","Ja","")</f>
        <v/>
      </c>
      <c r="K1610" s="30">
        <f>IF(B1610="","",IF(L1610="","Ukjent tekniker",IF(ISNA(MATCH(C1610,Aktiviteter,0)),"Ukjent aktivitet",IF(AND(INDEX(AktRolle,MATCH(C1610,Aktiviteter,0))&amp;""&lt;&gt;"",ISERROR(SEARCH(INDEX(AktRolle,MATCH(C1610,Aktiviteter,0))&amp;"",INDEX(TekRoller,MATCH(B1610,Teknikere,0))))),"Mangler rollen "&amp;INDEX(AktRolle,MATCH(C1610,Aktiviteter,0))&amp;"",IF(AND(C1610="LMS",F1610&gt;0,OR(D1610="",E1610="")),"Mangler maskin eller arbeid",IF(AND(OR(C1610="LMS",C1610="Mod"),D1610&lt;&gt;""),IF(IFERROR(INDEX(MaskinStatus,MATCH(D1610,Maskiner,0)),"")="I dokk","","Maskinen er ikke i dokk"),""))))))</f>
        <v/>
      </c>
      <c r="L1610" s="2">
        <f>IF(B1610="","",IFERROR(INT((MATCH(B1610,Teknikere,0)-1)/18)+1,""))</f>
        <v/>
      </c>
      <c r="M1610" s="2">
        <f>IF(OR(A1610="",B1610=""),"",B1610&amp;"|"&amp;A1610)</f>
        <v/>
      </c>
      <c r="N1610" s="2">
        <f>IF(M1610="","",SUMIFS(TF_Timer,TF_Nokkel,M1610,TF_Akt,C1610))</f>
        <v/>
      </c>
      <c r="O1610" s="2">
        <f>IF(M1610="","",IF(AND(N1610=_xlfn.MAXIFS(TF_AktSum,TF_Nokkel,M1610),COUNTIFS(M$3:M1609,M1610,N$3:N1609,N1610)=0),M1610,""))</f>
        <v/>
      </c>
    </row>
    <row r="1611">
      <c r="A1611" s="34" t="n"/>
      <c r="B1611" s="35" t="n"/>
      <c r="C1611" s="35" t="n"/>
      <c r="D1611" s="35" t="n"/>
      <c r="E1611" s="35" t="n"/>
      <c r="F1611" s="36" t="n"/>
      <c r="G1611" s="35" t="n"/>
      <c r="H1611" s="30">
        <f>IF(L1611="","",INDEX(SkiftNavn,L1611))</f>
        <v/>
      </c>
      <c r="I1611" s="30">
        <f>IF(OR(A1611="",L1611=""),"",IF(MOD(A1611-INDEX(SkiftStart,L1611),Syklus)&lt;DagK,"Kveld",IF(MOD(A1611-INDEX(SkiftStart,L1611),Syklus)&lt;DagK+DagH,"Helg",IF(MOD(A1611-INDEX(SkiftStart,L1611),Syklus)&lt;DagK+DagH+DagD,"Dag","Fri"))))</f>
        <v/>
      </c>
      <c r="J1611" s="30">
        <f>IF(I1611="Fri","Ja","")</f>
        <v/>
      </c>
      <c r="K1611" s="30">
        <f>IF(B1611="","",IF(L1611="","Ukjent tekniker",IF(ISNA(MATCH(C1611,Aktiviteter,0)),"Ukjent aktivitet",IF(AND(INDEX(AktRolle,MATCH(C1611,Aktiviteter,0))&amp;""&lt;&gt;"",ISERROR(SEARCH(INDEX(AktRolle,MATCH(C1611,Aktiviteter,0))&amp;"",INDEX(TekRoller,MATCH(B1611,Teknikere,0))))),"Mangler rollen "&amp;INDEX(AktRolle,MATCH(C1611,Aktiviteter,0))&amp;"",IF(AND(C1611="LMS",F1611&gt;0,OR(D1611="",E1611="")),"Mangler maskin eller arbeid",IF(AND(OR(C1611="LMS",C1611="Mod"),D1611&lt;&gt;""),IF(IFERROR(INDEX(MaskinStatus,MATCH(D1611,Maskiner,0)),"")="I dokk","","Maskinen er ikke i dokk"),""))))))</f>
        <v/>
      </c>
      <c r="L1611" s="2">
        <f>IF(B1611="","",IFERROR(INT((MATCH(B1611,Teknikere,0)-1)/18)+1,""))</f>
        <v/>
      </c>
      <c r="M1611" s="2">
        <f>IF(OR(A1611="",B1611=""),"",B1611&amp;"|"&amp;A1611)</f>
        <v/>
      </c>
      <c r="N1611" s="2">
        <f>IF(M1611="","",SUMIFS(TF_Timer,TF_Nokkel,M1611,TF_Akt,C1611))</f>
        <v/>
      </c>
      <c r="O1611" s="2">
        <f>IF(M1611="","",IF(AND(N1611=_xlfn.MAXIFS(TF_AktSum,TF_Nokkel,M1611),COUNTIFS(M$3:M1610,M1611,N$3:N1610,N1611)=0),M1611,""))</f>
        <v/>
      </c>
    </row>
    <row r="1612">
      <c r="A1612" s="34" t="n"/>
      <c r="B1612" s="35" t="n"/>
      <c r="C1612" s="35" t="n"/>
      <c r="D1612" s="35" t="n"/>
      <c r="E1612" s="35" t="n"/>
      <c r="F1612" s="36" t="n"/>
      <c r="G1612" s="35" t="n"/>
      <c r="H1612" s="30">
        <f>IF(L1612="","",INDEX(SkiftNavn,L1612))</f>
        <v/>
      </c>
      <c r="I1612" s="30">
        <f>IF(OR(A1612="",L1612=""),"",IF(MOD(A1612-INDEX(SkiftStart,L1612),Syklus)&lt;DagK,"Kveld",IF(MOD(A1612-INDEX(SkiftStart,L1612),Syklus)&lt;DagK+DagH,"Helg",IF(MOD(A1612-INDEX(SkiftStart,L1612),Syklus)&lt;DagK+DagH+DagD,"Dag","Fri"))))</f>
        <v/>
      </c>
      <c r="J1612" s="30">
        <f>IF(I1612="Fri","Ja","")</f>
        <v/>
      </c>
      <c r="K1612" s="30">
        <f>IF(B1612="","",IF(L1612="","Ukjent tekniker",IF(ISNA(MATCH(C1612,Aktiviteter,0)),"Ukjent aktivitet",IF(AND(INDEX(AktRolle,MATCH(C1612,Aktiviteter,0))&amp;""&lt;&gt;"",ISERROR(SEARCH(INDEX(AktRolle,MATCH(C1612,Aktiviteter,0))&amp;"",INDEX(TekRoller,MATCH(B1612,Teknikere,0))))),"Mangler rollen "&amp;INDEX(AktRolle,MATCH(C1612,Aktiviteter,0))&amp;"",IF(AND(C1612="LMS",F1612&gt;0,OR(D1612="",E1612="")),"Mangler maskin eller arbeid",IF(AND(OR(C1612="LMS",C1612="Mod"),D1612&lt;&gt;""),IF(IFERROR(INDEX(MaskinStatus,MATCH(D1612,Maskiner,0)),"")="I dokk","","Maskinen er ikke i dokk"),""))))))</f>
        <v/>
      </c>
      <c r="L1612" s="2">
        <f>IF(B1612="","",IFERROR(INT((MATCH(B1612,Teknikere,0)-1)/18)+1,""))</f>
        <v/>
      </c>
      <c r="M1612" s="2">
        <f>IF(OR(A1612="",B1612=""),"",B1612&amp;"|"&amp;A1612)</f>
        <v/>
      </c>
      <c r="N1612" s="2">
        <f>IF(M1612="","",SUMIFS(TF_Timer,TF_Nokkel,M1612,TF_Akt,C1612))</f>
        <v/>
      </c>
      <c r="O1612" s="2">
        <f>IF(M1612="","",IF(AND(N1612=_xlfn.MAXIFS(TF_AktSum,TF_Nokkel,M1612),COUNTIFS(M$3:M1611,M1612,N$3:N1611,N1612)=0),M1612,""))</f>
        <v/>
      </c>
    </row>
    <row r="1613">
      <c r="A1613" s="34" t="n"/>
      <c r="B1613" s="35" t="n"/>
      <c r="C1613" s="35" t="n"/>
      <c r="D1613" s="35" t="n"/>
      <c r="E1613" s="35" t="n"/>
      <c r="F1613" s="36" t="n"/>
      <c r="G1613" s="35" t="n"/>
      <c r="H1613" s="30">
        <f>IF(L1613="","",INDEX(SkiftNavn,L1613))</f>
        <v/>
      </c>
      <c r="I1613" s="30">
        <f>IF(OR(A1613="",L1613=""),"",IF(MOD(A1613-INDEX(SkiftStart,L1613),Syklus)&lt;DagK,"Kveld",IF(MOD(A1613-INDEX(SkiftStart,L1613),Syklus)&lt;DagK+DagH,"Helg",IF(MOD(A1613-INDEX(SkiftStart,L1613),Syklus)&lt;DagK+DagH+DagD,"Dag","Fri"))))</f>
        <v/>
      </c>
      <c r="J1613" s="30">
        <f>IF(I1613="Fri","Ja","")</f>
        <v/>
      </c>
      <c r="K1613" s="30">
        <f>IF(B1613="","",IF(L1613="","Ukjent tekniker",IF(ISNA(MATCH(C1613,Aktiviteter,0)),"Ukjent aktivitet",IF(AND(INDEX(AktRolle,MATCH(C1613,Aktiviteter,0))&amp;""&lt;&gt;"",ISERROR(SEARCH(INDEX(AktRolle,MATCH(C1613,Aktiviteter,0))&amp;"",INDEX(TekRoller,MATCH(B1613,Teknikere,0))))),"Mangler rollen "&amp;INDEX(AktRolle,MATCH(C1613,Aktiviteter,0))&amp;"",IF(AND(C1613="LMS",F1613&gt;0,OR(D1613="",E1613="")),"Mangler maskin eller arbeid",IF(AND(OR(C1613="LMS",C1613="Mod"),D1613&lt;&gt;""),IF(IFERROR(INDEX(MaskinStatus,MATCH(D1613,Maskiner,0)),"")="I dokk","","Maskinen er ikke i dokk"),""))))))</f>
        <v/>
      </c>
      <c r="L1613" s="2">
        <f>IF(B1613="","",IFERROR(INT((MATCH(B1613,Teknikere,0)-1)/18)+1,""))</f>
        <v/>
      </c>
      <c r="M1613" s="2">
        <f>IF(OR(A1613="",B1613=""),"",B1613&amp;"|"&amp;A1613)</f>
        <v/>
      </c>
      <c r="N1613" s="2">
        <f>IF(M1613="","",SUMIFS(TF_Timer,TF_Nokkel,M1613,TF_Akt,C1613))</f>
        <v/>
      </c>
      <c r="O1613" s="2">
        <f>IF(M1613="","",IF(AND(N1613=_xlfn.MAXIFS(TF_AktSum,TF_Nokkel,M1613),COUNTIFS(M$3:M1612,M1613,N$3:N1612,N1613)=0),M1613,""))</f>
        <v/>
      </c>
    </row>
    <row r="1614">
      <c r="A1614" s="34" t="n"/>
      <c r="B1614" s="35" t="n"/>
      <c r="C1614" s="35" t="n"/>
      <c r="D1614" s="35" t="n"/>
      <c r="E1614" s="35" t="n"/>
      <c r="F1614" s="36" t="n"/>
      <c r="G1614" s="35" t="n"/>
      <c r="H1614" s="30">
        <f>IF(L1614="","",INDEX(SkiftNavn,L1614))</f>
        <v/>
      </c>
      <c r="I1614" s="30">
        <f>IF(OR(A1614="",L1614=""),"",IF(MOD(A1614-INDEX(SkiftStart,L1614),Syklus)&lt;DagK,"Kveld",IF(MOD(A1614-INDEX(SkiftStart,L1614),Syklus)&lt;DagK+DagH,"Helg",IF(MOD(A1614-INDEX(SkiftStart,L1614),Syklus)&lt;DagK+DagH+DagD,"Dag","Fri"))))</f>
        <v/>
      </c>
      <c r="J1614" s="30">
        <f>IF(I1614="Fri","Ja","")</f>
        <v/>
      </c>
      <c r="K1614" s="30">
        <f>IF(B1614="","",IF(L1614="","Ukjent tekniker",IF(ISNA(MATCH(C1614,Aktiviteter,0)),"Ukjent aktivitet",IF(AND(INDEX(AktRolle,MATCH(C1614,Aktiviteter,0))&amp;""&lt;&gt;"",ISERROR(SEARCH(INDEX(AktRolle,MATCH(C1614,Aktiviteter,0))&amp;"",INDEX(TekRoller,MATCH(B1614,Teknikere,0))))),"Mangler rollen "&amp;INDEX(AktRolle,MATCH(C1614,Aktiviteter,0))&amp;"",IF(AND(C1614="LMS",F1614&gt;0,OR(D1614="",E1614="")),"Mangler maskin eller arbeid",IF(AND(OR(C1614="LMS",C1614="Mod"),D1614&lt;&gt;""),IF(IFERROR(INDEX(MaskinStatus,MATCH(D1614,Maskiner,0)),"")="I dokk","","Maskinen er ikke i dokk"),""))))))</f>
        <v/>
      </c>
      <c r="L1614" s="2">
        <f>IF(B1614="","",IFERROR(INT((MATCH(B1614,Teknikere,0)-1)/18)+1,""))</f>
        <v/>
      </c>
      <c r="M1614" s="2">
        <f>IF(OR(A1614="",B1614=""),"",B1614&amp;"|"&amp;A1614)</f>
        <v/>
      </c>
      <c r="N1614" s="2">
        <f>IF(M1614="","",SUMIFS(TF_Timer,TF_Nokkel,M1614,TF_Akt,C1614))</f>
        <v/>
      </c>
      <c r="O1614" s="2">
        <f>IF(M1614="","",IF(AND(N1614=_xlfn.MAXIFS(TF_AktSum,TF_Nokkel,M1614),COUNTIFS(M$3:M1613,M1614,N$3:N1613,N1614)=0),M1614,""))</f>
        <v/>
      </c>
    </row>
    <row r="1615">
      <c r="A1615" s="34" t="n"/>
      <c r="B1615" s="35" t="n"/>
      <c r="C1615" s="35" t="n"/>
      <c r="D1615" s="35" t="n"/>
      <c r="E1615" s="35" t="n"/>
      <c r="F1615" s="36" t="n"/>
      <c r="G1615" s="35" t="n"/>
      <c r="H1615" s="30">
        <f>IF(L1615="","",INDEX(SkiftNavn,L1615))</f>
        <v/>
      </c>
      <c r="I1615" s="30">
        <f>IF(OR(A1615="",L1615=""),"",IF(MOD(A1615-INDEX(SkiftStart,L1615),Syklus)&lt;DagK,"Kveld",IF(MOD(A1615-INDEX(SkiftStart,L1615),Syklus)&lt;DagK+DagH,"Helg",IF(MOD(A1615-INDEX(SkiftStart,L1615),Syklus)&lt;DagK+DagH+DagD,"Dag","Fri"))))</f>
        <v/>
      </c>
      <c r="J1615" s="30">
        <f>IF(I1615="Fri","Ja","")</f>
        <v/>
      </c>
      <c r="K1615" s="30">
        <f>IF(B1615="","",IF(L1615="","Ukjent tekniker",IF(ISNA(MATCH(C1615,Aktiviteter,0)),"Ukjent aktivitet",IF(AND(INDEX(AktRolle,MATCH(C1615,Aktiviteter,0))&amp;""&lt;&gt;"",ISERROR(SEARCH(INDEX(AktRolle,MATCH(C1615,Aktiviteter,0))&amp;"",INDEX(TekRoller,MATCH(B1615,Teknikere,0))))),"Mangler rollen "&amp;INDEX(AktRolle,MATCH(C1615,Aktiviteter,0))&amp;"",IF(AND(C1615="LMS",F1615&gt;0,OR(D1615="",E1615="")),"Mangler maskin eller arbeid",IF(AND(OR(C1615="LMS",C1615="Mod"),D1615&lt;&gt;""),IF(IFERROR(INDEX(MaskinStatus,MATCH(D1615,Maskiner,0)),"")="I dokk","","Maskinen er ikke i dokk"),""))))))</f>
        <v/>
      </c>
      <c r="L1615" s="2">
        <f>IF(B1615="","",IFERROR(INT((MATCH(B1615,Teknikere,0)-1)/18)+1,""))</f>
        <v/>
      </c>
      <c r="M1615" s="2">
        <f>IF(OR(A1615="",B1615=""),"",B1615&amp;"|"&amp;A1615)</f>
        <v/>
      </c>
      <c r="N1615" s="2">
        <f>IF(M1615="","",SUMIFS(TF_Timer,TF_Nokkel,M1615,TF_Akt,C1615))</f>
        <v/>
      </c>
      <c r="O1615" s="2">
        <f>IF(M1615="","",IF(AND(N1615=_xlfn.MAXIFS(TF_AktSum,TF_Nokkel,M1615),COUNTIFS(M$3:M1614,M1615,N$3:N1614,N1615)=0),M1615,""))</f>
        <v/>
      </c>
    </row>
    <row r="1616">
      <c r="A1616" s="34" t="n"/>
      <c r="B1616" s="35" t="n"/>
      <c r="C1616" s="35" t="n"/>
      <c r="D1616" s="35" t="n"/>
      <c r="E1616" s="35" t="n"/>
      <c r="F1616" s="36" t="n"/>
      <c r="G1616" s="35" t="n"/>
      <c r="H1616" s="30">
        <f>IF(L1616="","",INDEX(SkiftNavn,L1616))</f>
        <v/>
      </c>
      <c r="I1616" s="30">
        <f>IF(OR(A1616="",L1616=""),"",IF(MOD(A1616-INDEX(SkiftStart,L1616),Syklus)&lt;DagK,"Kveld",IF(MOD(A1616-INDEX(SkiftStart,L1616),Syklus)&lt;DagK+DagH,"Helg",IF(MOD(A1616-INDEX(SkiftStart,L1616),Syklus)&lt;DagK+DagH+DagD,"Dag","Fri"))))</f>
        <v/>
      </c>
      <c r="J1616" s="30">
        <f>IF(I1616="Fri","Ja","")</f>
        <v/>
      </c>
      <c r="K1616" s="30">
        <f>IF(B1616="","",IF(L1616="","Ukjent tekniker",IF(ISNA(MATCH(C1616,Aktiviteter,0)),"Ukjent aktivitet",IF(AND(INDEX(AktRolle,MATCH(C1616,Aktiviteter,0))&amp;""&lt;&gt;"",ISERROR(SEARCH(INDEX(AktRolle,MATCH(C1616,Aktiviteter,0))&amp;"",INDEX(TekRoller,MATCH(B1616,Teknikere,0))))),"Mangler rollen "&amp;INDEX(AktRolle,MATCH(C1616,Aktiviteter,0))&amp;"",IF(AND(C1616="LMS",F1616&gt;0,OR(D1616="",E1616="")),"Mangler maskin eller arbeid",IF(AND(OR(C1616="LMS",C1616="Mod"),D1616&lt;&gt;""),IF(IFERROR(INDEX(MaskinStatus,MATCH(D1616,Maskiner,0)),"")="I dokk","","Maskinen er ikke i dokk"),""))))))</f>
        <v/>
      </c>
      <c r="L1616" s="2">
        <f>IF(B1616="","",IFERROR(INT((MATCH(B1616,Teknikere,0)-1)/18)+1,""))</f>
        <v/>
      </c>
      <c r="M1616" s="2">
        <f>IF(OR(A1616="",B1616=""),"",B1616&amp;"|"&amp;A1616)</f>
        <v/>
      </c>
      <c r="N1616" s="2">
        <f>IF(M1616="","",SUMIFS(TF_Timer,TF_Nokkel,M1616,TF_Akt,C1616))</f>
        <v/>
      </c>
      <c r="O1616" s="2">
        <f>IF(M1616="","",IF(AND(N1616=_xlfn.MAXIFS(TF_AktSum,TF_Nokkel,M1616),COUNTIFS(M$3:M1615,M1616,N$3:N1615,N1616)=0),M1616,""))</f>
        <v/>
      </c>
    </row>
    <row r="1617">
      <c r="A1617" s="34" t="n"/>
      <c r="B1617" s="35" t="n"/>
      <c r="C1617" s="35" t="n"/>
      <c r="D1617" s="35" t="n"/>
      <c r="E1617" s="35" t="n"/>
      <c r="F1617" s="36" t="n"/>
      <c r="G1617" s="35" t="n"/>
      <c r="H1617" s="30">
        <f>IF(L1617="","",INDEX(SkiftNavn,L1617))</f>
        <v/>
      </c>
      <c r="I1617" s="30">
        <f>IF(OR(A1617="",L1617=""),"",IF(MOD(A1617-INDEX(SkiftStart,L1617),Syklus)&lt;DagK,"Kveld",IF(MOD(A1617-INDEX(SkiftStart,L1617),Syklus)&lt;DagK+DagH,"Helg",IF(MOD(A1617-INDEX(SkiftStart,L1617),Syklus)&lt;DagK+DagH+DagD,"Dag","Fri"))))</f>
        <v/>
      </c>
      <c r="J1617" s="30">
        <f>IF(I1617="Fri","Ja","")</f>
        <v/>
      </c>
      <c r="K1617" s="30">
        <f>IF(B1617="","",IF(L1617="","Ukjent tekniker",IF(ISNA(MATCH(C1617,Aktiviteter,0)),"Ukjent aktivitet",IF(AND(INDEX(AktRolle,MATCH(C1617,Aktiviteter,0))&amp;""&lt;&gt;"",ISERROR(SEARCH(INDEX(AktRolle,MATCH(C1617,Aktiviteter,0))&amp;"",INDEX(TekRoller,MATCH(B1617,Teknikere,0))))),"Mangler rollen "&amp;INDEX(AktRolle,MATCH(C1617,Aktiviteter,0))&amp;"",IF(AND(C1617="LMS",F1617&gt;0,OR(D1617="",E1617="")),"Mangler maskin eller arbeid",IF(AND(OR(C1617="LMS",C1617="Mod"),D1617&lt;&gt;""),IF(IFERROR(INDEX(MaskinStatus,MATCH(D1617,Maskiner,0)),"")="I dokk","","Maskinen er ikke i dokk"),""))))))</f>
        <v/>
      </c>
      <c r="L1617" s="2">
        <f>IF(B1617="","",IFERROR(INT((MATCH(B1617,Teknikere,0)-1)/18)+1,""))</f>
        <v/>
      </c>
      <c r="M1617" s="2">
        <f>IF(OR(A1617="",B1617=""),"",B1617&amp;"|"&amp;A1617)</f>
        <v/>
      </c>
      <c r="N1617" s="2">
        <f>IF(M1617="","",SUMIFS(TF_Timer,TF_Nokkel,M1617,TF_Akt,C1617))</f>
        <v/>
      </c>
      <c r="O1617" s="2">
        <f>IF(M1617="","",IF(AND(N1617=_xlfn.MAXIFS(TF_AktSum,TF_Nokkel,M1617),COUNTIFS(M$3:M1616,M1617,N$3:N1616,N1617)=0),M1617,""))</f>
        <v/>
      </c>
    </row>
    <row r="1618">
      <c r="A1618" s="34" t="n"/>
      <c r="B1618" s="35" t="n"/>
      <c r="C1618" s="35" t="n"/>
      <c r="D1618" s="35" t="n"/>
      <c r="E1618" s="35" t="n"/>
      <c r="F1618" s="36" t="n"/>
      <c r="G1618" s="35" t="n"/>
      <c r="H1618" s="30">
        <f>IF(L1618="","",INDEX(SkiftNavn,L1618))</f>
        <v/>
      </c>
      <c r="I1618" s="30">
        <f>IF(OR(A1618="",L1618=""),"",IF(MOD(A1618-INDEX(SkiftStart,L1618),Syklus)&lt;DagK,"Kveld",IF(MOD(A1618-INDEX(SkiftStart,L1618),Syklus)&lt;DagK+DagH,"Helg",IF(MOD(A1618-INDEX(SkiftStart,L1618),Syklus)&lt;DagK+DagH+DagD,"Dag","Fri"))))</f>
        <v/>
      </c>
      <c r="J1618" s="30">
        <f>IF(I1618="Fri","Ja","")</f>
        <v/>
      </c>
      <c r="K1618" s="30">
        <f>IF(B1618="","",IF(L1618="","Ukjent tekniker",IF(ISNA(MATCH(C1618,Aktiviteter,0)),"Ukjent aktivitet",IF(AND(INDEX(AktRolle,MATCH(C1618,Aktiviteter,0))&amp;""&lt;&gt;"",ISERROR(SEARCH(INDEX(AktRolle,MATCH(C1618,Aktiviteter,0))&amp;"",INDEX(TekRoller,MATCH(B1618,Teknikere,0))))),"Mangler rollen "&amp;INDEX(AktRolle,MATCH(C1618,Aktiviteter,0))&amp;"",IF(AND(C1618="LMS",F1618&gt;0,OR(D1618="",E1618="")),"Mangler maskin eller arbeid",IF(AND(OR(C1618="LMS",C1618="Mod"),D1618&lt;&gt;""),IF(IFERROR(INDEX(MaskinStatus,MATCH(D1618,Maskiner,0)),"")="I dokk","","Maskinen er ikke i dokk"),""))))))</f>
        <v/>
      </c>
      <c r="L1618" s="2">
        <f>IF(B1618="","",IFERROR(INT((MATCH(B1618,Teknikere,0)-1)/18)+1,""))</f>
        <v/>
      </c>
      <c r="M1618" s="2">
        <f>IF(OR(A1618="",B1618=""),"",B1618&amp;"|"&amp;A1618)</f>
        <v/>
      </c>
      <c r="N1618" s="2">
        <f>IF(M1618="","",SUMIFS(TF_Timer,TF_Nokkel,M1618,TF_Akt,C1618))</f>
        <v/>
      </c>
      <c r="O1618" s="2">
        <f>IF(M1618="","",IF(AND(N1618=_xlfn.MAXIFS(TF_AktSum,TF_Nokkel,M1618),COUNTIFS(M$3:M1617,M1618,N$3:N1617,N1618)=0),M1618,""))</f>
        <v/>
      </c>
    </row>
    <row r="1619">
      <c r="A1619" s="34" t="n"/>
      <c r="B1619" s="35" t="n"/>
      <c r="C1619" s="35" t="n"/>
      <c r="D1619" s="35" t="n"/>
      <c r="E1619" s="35" t="n"/>
      <c r="F1619" s="36" t="n"/>
      <c r="G1619" s="35" t="n"/>
      <c r="H1619" s="30">
        <f>IF(L1619="","",INDEX(SkiftNavn,L1619))</f>
        <v/>
      </c>
      <c r="I1619" s="30">
        <f>IF(OR(A1619="",L1619=""),"",IF(MOD(A1619-INDEX(SkiftStart,L1619),Syklus)&lt;DagK,"Kveld",IF(MOD(A1619-INDEX(SkiftStart,L1619),Syklus)&lt;DagK+DagH,"Helg",IF(MOD(A1619-INDEX(SkiftStart,L1619),Syklus)&lt;DagK+DagH+DagD,"Dag","Fri"))))</f>
        <v/>
      </c>
      <c r="J1619" s="30">
        <f>IF(I1619="Fri","Ja","")</f>
        <v/>
      </c>
      <c r="K1619" s="30">
        <f>IF(B1619="","",IF(L1619="","Ukjent tekniker",IF(ISNA(MATCH(C1619,Aktiviteter,0)),"Ukjent aktivitet",IF(AND(INDEX(AktRolle,MATCH(C1619,Aktiviteter,0))&amp;""&lt;&gt;"",ISERROR(SEARCH(INDEX(AktRolle,MATCH(C1619,Aktiviteter,0))&amp;"",INDEX(TekRoller,MATCH(B1619,Teknikere,0))))),"Mangler rollen "&amp;INDEX(AktRolle,MATCH(C1619,Aktiviteter,0))&amp;"",IF(AND(C1619="LMS",F1619&gt;0,OR(D1619="",E1619="")),"Mangler maskin eller arbeid",IF(AND(OR(C1619="LMS",C1619="Mod"),D1619&lt;&gt;""),IF(IFERROR(INDEX(MaskinStatus,MATCH(D1619,Maskiner,0)),"")="I dokk","","Maskinen er ikke i dokk"),""))))))</f>
        <v/>
      </c>
      <c r="L1619" s="2">
        <f>IF(B1619="","",IFERROR(INT((MATCH(B1619,Teknikere,0)-1)/18)+1,""))</f>
        <v/>
      </c>
      <c r="M1619" s="2">
        <f>IF(OR(A1619="",B1619=""),"",B1619&amp;"|"&amp;A1619)</f>
        <v/>
      </c>
      <c r="N1619" s="2">
        <f>IF(M1619="","",SUMIFS(TF_Timer,TF_Nokkel,M1619,TF_Akt,C1619))</f>
        <v/>
      </c>
      <c r="O1619" s="2">
        <f>IF(M1619="","",IF(AND(N1619=_xlfn.MAXIFS(TF_AktSum,TF_Nokkel,M1619),COUNTIFS(M$3:M1618,M1619,N$3:N1618,N1619)=0),M1619,""))</f>
        <v/>
      </c>
    </row>
    <row r="1620">
      <c r="A1620" s="34" t="n"/>
      <c r="B1620" s="35" t="n"/>
      <c r="C1620" s="35" t="n"/>
      <c r="D1620" s="35" t="n"/>
      <c r="E1620" s="35" t="n"/>
      <c r="F1620" s="36" t="n"/>
      <c r="G1620" s="35" t="n"/>
      <c r="H1620" s="30">
        <f>IF(L1620="","",INDEX(SkiftNavn,L1620))</f>
        <v/>
      </c>
      <c r="I1620" s="30">
        <f>IF(OR(A1620="",L1620=""),"",IF(MOD(A1620-INDEX(SkiftStart,L1620),Syklus)&lt;DagK,"Kveld",IF(MOD(A1620-INDEX(SkiftStart,L1620),Syklus)&lt;DagK+DagH,"Helg",IF(MOD(A1620-INDEX(SkiftStart,L1620),Syklus)&lt;DagK+DagH+DagD,"Dag","Fri"))))</f>
        <v/>
      </c>
      <c r="J1620" s="30">
        <f>IF(I1620="Fri","Ja","")</f>
        <v/>
      </c>
      <c r="K1620" s="30">
        <f>IF(B1620="","",IF(L1620="","Ukjent tekniker",IF(ISNA(MATCH(C1620,Aktiviteter,0)),"Ukjent aktivitet",IF(AND(INDEX(AktRolle,MATCH(C1620,Aktiviteter,0))&amp;""&lt;&gt;"",ISERROR(SEARCH(INDEX(AktRolle,MATCH(C1620,Aktiviteter,0))&amp;"",INDEX(TekRoller,MATCH(B1620,Teknikere,0))))),"Mangler rollen "&amp;INDEX(AktRolle,MATCH(C1620,Aktiviteter,0))&amp;"",IF(AND(C1620="LMS",F1620&gt;0,OR(D1620="",E1620="")),"Mangler maskin eller arbeid",IF(AND(OR(C1620="LMS",C1620="Mod"),D1620&lt;&gt;""),IF(IFERROR(INDEX(MaskinStatus,MATCH(D1620,Maskiner,0)),"")="I dokk","","Maskinen er ikke i dokk"),""))))))</f>
        <v/>
      </c>
      <c r="L1620" s="2">
        <f>IF(B1620="","",IFERROR(INT((MATCH(B1620,Teknikere,0)-1)/18)+1,""))</f>
        <v/>
      </c>
      <c r="M1620" s="2">
        <f>IF(OR(A1620="",B1620=""),"",B1620&amp;"|"&amp;A1620)</f>
        <v/>
      </c>
      <c r="N1620" s="2">
        <f>IF(M1620="","",SUMIFS(TF_Timer,TF_Nokkel,M1620,TF_Akt,C1620))</f>
        <v/>
      </c>
      <c r="O1620" s="2">
        <f>IF(M1620="","",IF(AND(N1620=_xlfn.MAXIFS(TF_AktSum,TF_Nokkel,M1620),COUNTIFS(M$3:M1619,M1620,N$3:N1619,N1620)=0),M1620,""))</f>
        <v/>
      </c>
    </row>
    <row r="1621">
      <c r="A1621" s="34" t="n"/>
      <c r="B1621" s="35" t="n"/>
      <c r="C1621" s="35" t="n"/>
      <c r="D1621" s="35" t="n"/>
      <c r="E1621" s="35" t="n"/>
      <c r="F1621" s="36" t="n"/>
      <c r="G1621" s="35" t="n"/>
      <c r="H1621" s="30">
        <f>IF(L1621="","",INDEX(SkiftNavn,L1621))</f>
        <v/>
      </c>
      <c r="I1621" s="30">
        <f>IF(OR(A1621="",L1621=""),"",IF(MOD(A1621-INDEX(SkiftStart,L1621),Syklus)&lt;DagK,"Kveld",IF(MOD(A1621-INDEX(SkiftStart,L1621),Syklus)&lt;DagK+DagH,"Helg",IF(MOD(A1621-INDEX(SkiftStart,L1621),Syklus)&lt;DagK+DagH+DagD,"Dag","Fri"))))</f>
        <v/>
      </c>
      <c r="J1621" s="30">
        <f>IF(I1621="Fri","Ja","")</f>
        <v/>
      </c>
      <c r="K1621" s="30">
        <f>IF(B1621="","",IF(L1621="","Ukjent tekniker",IF(ISNA(MATCH(C1621,Aktiviteter,0)),"Ukjent aktivitet",IF(AND(INDEX(AktRolle,MATCH(C1621,Aktiviteter,0))&amp;""&lt;&gt;"",ISERROR(SEARCH(INDEX(AktRolle,MATCH(C1621,Aktiviteter,0))&amp;"",INDEX(TekRoller,MATCH(B1621,Teknikere,0))))),"Mangler rollen "&amp;INDEX(AktRolle,MATCH(C1621,Aktiviteter,0))&amp;"",IF(AND(C1621="LMS",F1621&gt;0,OR(D1621="",E1621="")),"Mangler maskin eller arbeid",IF(AND(OR(C1621="LMS",C1621="Mod"),D1621&lt;&gt;""),IF(IFERROR(INDEX(MaskinStatus,MATCH(D1621,Maskiner,0)),"")="I dokk","","Maskinen er ikke i dokk"),""))))))</f>
        <v/>
      </c>
      <c r="L1621" s="2">
        <f>IF(B1621="","",IFERROR(INT((MATCH(B1621,Teknikere,0)-1)/18)+1,""))</f>
        <v/>
      </c>
      <c r="M1621" s="2">
        <f>IF(OR(A1621="",B1621=""),"",B1621&amp;"|"&amp;A1621)</f>
        <v/>
      </c>
      <c r="N1621" s="2">
        <f>IF(M1621="","",SUMIFS(TF_Timer,TF_Nokkel,M1621,TF_Akt,C1621))</f>
        <v/>
      </c>
      <c r="O1621" s="2">
        <f>IF(M1621="","",IF(AND(N1621=_xlfn.MAXIFS(TF_AktSum,TF_Nokkel,M1621),COUNTIFS(M$3:M1620,M1621,N$3:N1620,N1621)=0),M1621,""))</f>
        <v/>
      </c>
    </row>
    <row r="1622">
      <c r="A1622" s="34" t="n"/>
      <c r="B1622" s="35" t="n"/>
      <c r="C1622" s="35" t="n"/>
      <c r="D1622" s="35" t="n"/>
      <c r="E1622" s="35" t="n"/>
      <c r="F1622" s="36" t="n"/>
      <c r="G1622" s="35" t="n"/>
      <c r="H1622" s="30">
        <f>IF(L1622="","",INDEX(SkiftNavn,L1622))</f>
        <v/>
      </c>
      <c r="I1622" s="30">
        <f>IF(OR(A1622="",L1622=""),"",IF(MOD(A1622-INDEX(SkiftStart,L1622),Syklus)&lt;DagK,"Kveld",IF(MOD(A1622-INDEX(SkiftStart,L1622),Syklus)&lt;DagK+DagH,"Helg",IF(MOD(A1622-INDEX(SkiftStart,L1622),Syklus)&lt;DagK+DagH+DagD,"Dag","Fri"))))</f>
        <v/>
      </c>
      <c r="J1622" s="30">
        <f>IF(I1622="Fri","Ja","")</f>
        <v/>
      </c>
      <c r="K1622" s="30">
        <f>IF(B1622="","",IF(L1622="","Ukjent tekniker",IF(ISNA(MATCH(C1622,Aktiviteter,0)),"Ukjent aktivitet",IF(AND(INDEX(AktRolle,MATCH(C1622,Aktiviteter,0))&amp;""&lt;&gt;"",ISERROR(SEARCH(INDEX(AktRolle,MATCH(C1622,Aktiviteter,0))&amp;"",INDEX(TekRoller,MATCH(B1622,Teknikere,0))))),"Mangler rollen "&amp;INDEX(AktRolle,MATCH(C1622,Aktiviteter,0))&amp;"",IF(AND(C1622="LMS",F1622&gt;0,OR(D1622="",E1622="")),"Mangler maskin eller arbeid",IF(AND(OR(C1622="LMS",C1622="Mod"),D1622&lt;&gt;""),IF(IFERROR(INDEX(MaskinStatus,MATCH(D1622,Maskiner,0)),"")="I dokk","","Maskinen er ikke i dokk"),""))))))</f>
        <v/>
      </c>
      <c r="L1622" s="2">
        <f>IF(B1622="","",IFERROR(INT((MATCH(B1622,Teknikere,0)-1)/18)+1,""))</f>
        <v/>
      </c>
      <c r="M1622" s="2">
        <f>IF(OR(A1622="",B1622=""),"",B1622&amp;"|"&amp;A1622)</f>
        <v/>
      </c>
      <c r="N1622" s="2">
        <f>IF(M1622="","",SUMIFS(TF_Timer,TF_Nokkel,M1622,TF_Akt,C1622))</f>
        <v/>
      </c>
      <c r="O1622" s="2">
        <f>IF(M1622="","",IF(AND(N1622=_xlfn.MAXIFS(TF_AktSum,TF_Nokkel,M1622),COUNTIFS(M$3:M1621,M1622,N$3:N1621,N1622)=0),M1622,""))</f>
        <v/>
      </c>
    </row>
    <row r="1623">
      <c r="A1623" s="34" t="n"/>
      <c r="B1623" s="35" t="n"/>
      <c r="C1623" s="35" t="n"/>
      <c r="D1623" s="35" t="n"/>
      <c r="E1623" s="35" t="n"/>
      <c r="F1623" s="36" t="n"/>
      <c r="G1623" s="35" t="n"/>
      <c r="H1623" s="30">
        <f>IF(L1623="","",INDEX(SkiftNavn,L1623))</f>
        <v/>
      </c>
      <c r="I1623" s="30">
        <f>IF(OR(A1623="",L1623=""),"",IF(MOD(A1623-INDEX(SkiftStart,L1623),Syklus)&lt;DagK,"Kveld",IF(MOD(A1623-INDEX(SkiftStart,L1623),Syklus)&lt;DagK+DagH,"Helg",IF(MOD(A1623-INDEX(SkiftStart,L1623),Syklus)&lt;DagK+DagH+DagD,"Dag","Fri"))))</f>
        <v/>
      </c>
      <c r="J1623" s="30">
        <f>IF(I1623="Fri","Ja","")</f>
        <v/>
      </c>
      <c r="K1623" s="30">
        <f>IF(B1623="","",IF(L1623="","Ukjent tekniker",IF(ISNA(MATCH(C1623,Aktiviteter,0)),"Ukjent aktivitet",IF(AND(INDEX(AktRolle,MATCH(C1623,Aktiviteter,0))&amp;""&lt;&gt;"",ISERROR(SEARCH(INDEX(AktRolle,MATCH(C1623,Aktiviteter,0))&amp;"",INDEX(TekRoller,MATCH(B1623,Teknikere,0))))),"Mangler rollen "&amp;INDEX(AktRolle,MATCH(C1623,Aktiviteter,0))&amp;"",IF(AND(C1623="LMS",F1623&gt;0,OR(D1623="",E1623="")),"Mangler maskin eller arbeid",IF(AND(OR(C1623="LMS",C1623="Mod"),D1623&lt;&gt;""),IF(IFERROR(INDEX(MaskinStatus,MATCH(D1623,Maskiner,0)),"")="I dokk","","Maskinen er ikke i dokk"),""))))))</f>
        <v/>
      </c>
      <c r="L1623" s="2">
        <f>IF(B1623="","",IFERROR(INT((MATCH(B1623,Teknikere,0)-1)/18)+1,""))</f>
        <v/>
      </c>
      <c r="M1623" s="2">
        <f>IF(OR(A1623="",B1623=""),"",B1623&amp;"|"&amp;A1623)</f>
        <v/>
      </c>
      <c r="N1623" s="2">
        <f>IF(M1623="","",SUMIFS(TF_Timer,TF_Nokkel,M1623,TF_Akt,C1623))</f>
        <v/>
      </c>
      <c r="O1623" s="2">
        <f>IF(M1623="","",IF(AND(N1623=_xlfn.MAXIFS(TF_AktSum,TF_Nokkel,M1623),COUNTIFS(M$3:M1622,M1623,N$3:N1622,N1623)=0),M1623,""))</f>
        <v/>
      </c>
    </row>
    <row r="1624">
      <c r="A1624" s="34" t="n"/>
      <c r="B1624" s="35" t="n"/>
      <c r="C1624" s="35" t="n"/>
      <c r="D1624" s="35" t="n"/>
      <c r="E1624" s="35" t="n"/>
      <c r="F1624" s="36" t="n"/>
      <c r="G1624" s="35" t="n"/>
      <c r="H1624" s="30">
        <f>IF(L1624="","",INDEX(SkiftNavn,L1624))</f>
        <v/>
      </c>
      <c r="I1624" s="30">
        <f>IF(OR(A1624="",L1624=""),"",IF(MOD(A1624-INDEX(SkiftStart,L1624),Syklus)&lt;DagK,"Kveld",IF(MOD(A1624-INDEX(SkiftStart,L1624),Syklus)&lt;DagK+DagH,"Helg",IF(MOD(A1624-INDEX(SkiftStart,L1624),Syklus)&lt;DagK+DagH+DagD,"Dag","Fri"))))</f>
        <v/>
      </c>
      <c r="J1624" s="30">
        <f>IF(I1624="Fri","Ja","")</f>
        <v/>
      </c>
      <c r="K1624" s="30">
        <f>IF(B1624="","",IF(L1624="","Ukjent tekniker",IF(ISNA(MATCH(C1624,Aktiviteter,0)),"Ukjent aktivitet",IF(AND(INDEX(AktRolle,MATCH(C1624,Aktiviteter,0))&amp;""&lt;&gt;"",ISERROR(SEARCH(INDEX(AktRolle,MATCH(C1624,Aktiviteter,0))&amp;"",INDEX(TekRoller,MATCH(B1624,Teknikere,0))))),"Mangler rollen "&amp;INDEX(AktRolle,MATCH(C1624,Aktiviteter,0))&amp;"",IF(AND(C1624="LMS",F1624&gt;0,OR(D1624="",E1624="")),"Mangler maskin eller arbeid",IF(AND(OR(C1624="LMS",C1624="Mod"),D1624&lt;&gt;""),IF(IFERROR(INDEX(MaskinStatus,MATCH(D1624,Maskiner,0)),"")="I dokk","","Maskinen er ikke i dokk"),""))))))</f>
        <v/>
      </c>
      <c r="L1624" s="2">
        <f>IF(B1624="","",IFERROR(INT((MATCH(B1624,Teknikere,0)-1)/18)+1,""))</f>
        <v/>
      </c>
      <c r="M1624" s="2">
        <f>IF(OR(A1624="",B1624=""),"",B1624&amp;"|"&amp;A1624)</f>
        <v/>
      </c>
      <c r="N1624" s="2">
        <f>IF(M1624="","",SUMIFS(TF_Timer,TF_Nokkel,M1624,TF_Akt,C1624))</f>
        <v/>
      </c>
      <c r="O1624" s="2">
        <f>IF(M1624="","",IF(AND(N1624=_xlfn.MAXIFS(TF_AktSum,TF_Nokkel,M1624),COUNTIFS(M$3:M1623,M1624,N$3:N1623,N1624)=0),M1624,""))</f>
        <v/>
      </c>
    </row>
    <row r="1625">
      <c r="A1625" s="34" t="n"/>
      <c r="B1625" s="35" t="n"/>
      <c r="C1625" s="35" t="n"/>
      <c r="D1625" s="35" t="n"/>
      <c r="E1625" s="35" t="n"/>
      <c r="F1625" s="36" t="n"/>
      <c r="G1625" s="35" t="n"/>
      <c r="H1625" s="30">
        <f>IF(L1625="","",INDEX(SkiftNavn,L1625))</f>
        <v/>
      </c>
      <c r="I1625" s="30">
        <f>IF(OR(A1625="",L1625=""),"",IF(MOD(A1625-INDEX(SkiftStart,L1625),Syklus)&lt;DagK,"Kveld",IF(MOD(A1625-INDEX(SkiftStart,L1625),Syklus)&lt;DagK+DagH,"Helg",IF(MOD(A1625-INDEX(SkiftStart,L1625),Syklus)&lt;DagK+DagH+DagD,"Dag","Fri"))))</f>
        <v/>
      </c>
      <c r="J1625" s="30">
        <f>IF(I1625="Fri","Ja","")</f>
        <v/>
      </c>
      <c r="K1625" s="30">
        <f>IF(B1625="","",IF(L1625="","Ukjent tekniker",IF(ISNA(MATCH(C1625,Aktiviteter,0)),"Ukjent aktivitet",IF(AND(INDEX(AktRolle,MATCH(C1625,Aktiviteter,0))&amp;""&lt;&gt;"",ISERROR(SEARCH(INDEX(AktRolle,MATCH(C1625,Aktiviteter,0))&amp;"",INDEX(TekRoller,MATCH(B1625,Teknikere,0))))),"Mangler rollen "&amp;INDEX(AktRolle,MATCH(C1625,Aktiviteter,0))&amp;"",IF(AND(C1625="LMS",F1625&gt;0,OR(D1625="",E1625="")),"Mangler maskin eller arbeid",IF(AND(OR(C1625="LMS",C1625="Mod"),D1625&lt;&gt;""),IF(IFERROR(INDEX(MaskinStatus,MATCH(D1625,Maskiner,0)),"")="I dokk","","Maskinen er ikke i dokk"),""))))))</f>
        <v/>
      </c>
      <c r="L1625" s="2">
        <f>IF(B1625="","",IFERROR(INT((MATCH(B1625,Teknikere,0)-1)/18)+1,""))</f>
        <v/>
      </c>
      <c r="M1625" s="2">
        <f>IF(OR(A1625="",B1625=""),"",B1625&amp;"|"&amp;A1625)</f>
        <v/>
      </c>
      <c r="N1625" s="2">
        <f>IF(M1625="","",SUMIFS(TF_Timer,TF_Nokkel,M1625,TF_Akt,C1625))</f>
        <v/>
      </c>
      <c r="O1625" s="2">
        <f>IF(M1625="","",IF(AND(N1625=_xlfn.MAXIFS(TF_AktSum,TF_Nokkel,M1625),COUNTIFS(M$3:M1624,M1625,N$3:N1624,N1625)=0),M1625,""))</f>
        <v/>
      </c>
    </row>
    <row r="1626">
      <c r="A1626" s="34" t="n"/>
      <c r="B1626" s="35" t="n"/>
      <c r="C1626" s="35" t="n"/>
      <c r="D1626" s="35" t="n"/>
      <c r="E1626" s="35" t="n"/>
      <c r="F1626" s="36" t="n"/>
      <c r="G1626" s="35" t="n"/>
      <c r="H1626" s="30">
        <f>IF(L1626="","",INDEX(SkiftNavn,L1626))</f>
        <v/>
      </c>
      <c r="I1626" s="30">
        <f>IF(OR(A1626="",L1626=""),"",IF(MOD(A1626-INDEX(SkiftStart,L1626),Syklus)&lt;DagK,"Kveld",IF(MOD(A1626-INDEX(SkiftStart,L1626),Syklus)&lt;DagK+DagH,"Helg",IF(MOD(A1626-INDEX(SkiftStart,L1626),Syklus)&lt;DagK+DagH+DagD,"Dag","Fri"))))</f>
        <v/>
      </c>
      <c r="J1626" s="30">
        <f>IF(I1626="Fri","Ja","")</f>
        <v/>
      </c>
      <c r="K1626" s="30">
        <f>IF(B1626="","",IF(L1626="","Ukjent tekniker",IF(ISNA(MATCH(C1626,Aktiviteter,0)),"Ukjent aktivitet",IF(AND(INDEX(AktRolle,MATCH(C1626,Aktiviteter,0))&amp;""&lt;&gt;"",ISERROR(SEARCH(INDEX(AktRolle,MATCH(C1626,Aktiviteter,0))&amp;"",INDEX(TekRoller,MATCH(B1626,Teknikere,0))))),"Mangler rollen "&amp;INDEX(AktRolle,MATCH(C1626,Aktiviteter,0))&amp;"",IF(AND(C1626="LMS",F1626&gt;0,OR(D1626="",E1626="")),"Mangler maskin eller arbeid",IF(AND(OR(C1626="LMS",C1626="Mod"),D1626&lt;&gt;""),IF(IFERROR(INDEX(MaskinStatus,MATCH(D1626,Maskiner,0)),"")="I dokk","","Maskinen er ikke i dokk"),""))))))</f>
        <v/>
      </c>
      <c r="L1626" s="2">
        <f>IF(B1626="","",IFERROR(INT((MATCH(B1626,Teknikere,0)-1)/18)+1,""))</f>
        <v/>
      </c>
      <c r="M1626" s="2">
        <f>IF(OR(A1626="",B1626=""),"",B1626&amp;"|"&amp;A1626)</f>
        <v/>
      </c>
      <c r="N1626" s="2">
        <f>IF(M1626="","",SUMIFS(TF_Timer,TF_Nokkel,M1626,TF_Akt,C1626))</f>
        <v/>
      </c>
      <c r="O1626" s="2">
        <f>IF(M1626="","",IF(AND(N1626=_xlfn.MAXIFS(TF_AktSum,TF_Nokkel,M1626),COUNTIFS(M$3:M1625,M1626,N$3:N1625,N1626)=0),M1626,""))</f>
        <v/>
      </c>
    </row>
    <row r="1627">
      <c r="A1627" s="34" t="n"/>
      <c r="B1627" s="35" t="n"/>
      <c r="C1627" s="35" t="n"/>
      <c r="D1627" s="35" t="n"/>
      <c r="E1627" s="35" t="n"/>
      <c r="F1627" s="36" t="n"/>
      <c r="G1627" s="35" t="n"/>
      <c r="H1627" s="30">
        <f>IF(L1627="","",INDEX(SkiftNavn,L1627))</f>
        <v/>
      </c>
      <c r="I1627" s="30">
        <f>IF(OR(A1627="",L1627=""),"",IF(MOD(A1627-INDEX(SkiftStart,L1627),Syklus)&lt;DagK,"Kveld",IF(MOD(A1627-INDEX(SkiftStart,L1627),Syklus)&lt;DagK+DagH,"Helg",IF(MOD(A1627-INDEX(SkiftStart,L1627),Syklus)&lt;DagK+DagH+DagD,"Dag","Fri"))))</f>
        <v/>
      </c>
      <c r="J1627" s="30">
        <f>IF(I1627="Fri","Ja","")</f>
        <v/>
      </c>
      <c r="K1627" s="30">
        <f>IF(B1627="","",IF(L1627="","Ukjent tekniker",IF(ISNA(MATCH(C1627,Aktiviteter,0)),"Ukjent aktivitet",IF(AND(INDEX(AktRolle,MATCH(C1627,Aktiviteter,0))&amp;""&lt;&gt;"",ISERROR(SEARCH(INDEX(AktRolle,MATCH(C1627,Aktiviteter,0))&amp;"",INDEX(TekRoller,MATCH(B1627,Teknikere,0))))),"Mangler rollen "&amp;INDEX(AktRolle,MATCH(C1627,Aktiviteter,0))&amp;"",IF(AND(C1627="LMS",F1627&gt;0,OR(D1627="",E1627="")),"Mangler maskin eller arbeid",IF(AND(OR(C1627="LMS",C1627="Mod"),D1627&lt;&gt;""),IF(IFERROR(INDEX(MaskinStatus,MATCH(D1627,Maskiner,0)),"")="I dokk","","Maskinen er ikke i dokk"),""))))))</f>
        <v/>
      </c>
      <c r="L1627" s="2">
        <f>IF(B1627="","",IFERROR(INT((MATCH(B1627,Teknikere,0)-1)/18)+1,""))</f>
        <v/>
      </c>
      <c r="M1627" s="2">
        <f>IF(OR(A1627="",B1627=""),"",B1627&amp;"|"&amp;A1627)</f>
        <v/>
      </c>
      <c r="N1627" s="2">
        <f>IF(M1627="","",SUMIFS(TF_Timer,TF_Nokkel,M1627,TF_Akt,C1627))</f>
        <v/>
      </c>
      <c r="O1627" s="2">
        <f>IF(M1627="","",IF(AND(N1627=_xlfn.MAXIFS(TF_AktSum,TF_Nokkel,M1627),COUNTIFS(M$3:M1626,M1627,N$3:N1626,N1627)=0),M1627,""))</f>
        <v/>
      </c>
    </row>
    <row r="1628">
      <c r="A1628" s="34" t="n"/>
      <c r="B1628" s="35" t="n"/>
      <c r="C1628" s="35" t="n"/>
      <c r="D1628" s="35" t="n"/>
      <c r="E1628" s="35" t="n"/>
      <c r="F1628" s="36" t="n"/>
      <c r="G1628" s="35" t="n"/>
      <c r="H1628" s="30">
        <f>IF(L1628="","",INDEX(SkiftNavn,L1628))</f>
        <v/>
      </c>
      <c r="I1628" s="30">
        <f>IF(OR(A1628="",L1628=""),"",IF(MOD(A1628-INDEX(SkiftStart,L1628),Syklus)&lt;DagK,"Kveld",IF(MOD(A1628-INDEX(SkiftStart,L1628),Syklus)&lt;DagK+DagH,"Helg",IF(MOD(A1628-INDEX(SkiftStart,L1628),Syklus)&lt;DagK+DagH+DagD,"Dag","Fri"))))</f>
        <v/>
      </c>
      <c r="J1628" s="30">
        <f>IF(I1628="Fri","Ja","")</f>
        <v/>
      </c>
      <c r="K1628" s="30">
        <f>IF(B1628="","",IF(L1628="","Ukjent tekniker",IF(ISNA(MATCH(C1628,Aktiviteter,0)),"Ukjent aktivitet",IF(AND(INDEX(AktRolle,MATCH(C1628,Aktiviteter,0))&amp;""&lt;&gt;"",ISERROR(SEARCH(INDEX(AktRolle,MATCH(C1628,Aktiviteter,0))&amp;"",INDEX(TekRoller,MATCH(B1628,Teknikere,0))))),"Mangler rollen "&amp;INDEX(AktRolle,MATCH(C1628,Aktiviteter,0))&amp;"",IF(AND(C1628="LMS",F1628&gt;0,OR(D1628="",E1628="")),"Mangler maskin eller arbeid",IF(AND(OR(C1628="LMS",C1628="Mod"),D1628&lt;&gt;""),IF(IFERROR(INDEX(MaskinStatus,MATCH(D1628,Maskiner,0)),"")="I dokk","","Maskinen er ikke i dokk"),""))))))</f>
        <v/>
      </c>
      <c r="L1628" s="2">
        <f>IF(B1628="","",IFERROR(INT((MATCH(B1628,Teknikere,0)-1)/18)+1,""))</f>
        <v/>
      </c>
      <c r="M1628" s="2">
        <f>IF(OR(A1628="",B1628=""),"",B1628&amp;"|"&amp;A1628)</f>
        <v/>
      </c>
      <c r="N1628" s="2">
        <f>IF(M1628="","",SUMIFS(TF_Timer,TF_Nokkel,M1628,TF_Akt,C1628))</f>
        <v/>
      </c>
      <c r="O1628" s="2">
        <f>IF(M1628="","",IF(AND(N1628=_xlfn.MAXIFS(TF_AktSum,TF_Nokkel,M1628),COUNTIFS(M$3:M1627,M1628,N$3:N1627,N1628)=0),M1628,""))</f>
        <v/>
      </c>
    </row>
    <row r="1629">
      <c r="A1629" s="34" t="n"/>
      <c r="B1629" s="35" t="n"/>
      <c r="C1629" s="35" t="n"/>
      <c r="D1629" s="35" t="n"/>
      <c r="E1629" s="35" t="n"/>
      <c r="F1629" s="36" t="n"/>
      <c r="G1629" s="35" t="n"/>
      <c r="H1629" s="30">
        <f>IF(L1629="","",INDEX(SkiftNavn,L1629))</f>
        <v/>
      </c>
      <c r="I1629" s="30">
        <f>IF(OR(A1629="",L1629=""),"",IF(MOD(A1629-INDEX(SkiftStart,L1629),Syklus)&lt;DagK,"Kveld",IF(MOD(A1629-INDEX(SkiftStart,L1629),Syklus)&lt;DagK+DagH,"Helg",IF(MOD(A1629-INDEX(SkiftStart,L1629),Syklus)&lt;DagK+DagH+DagD,"Dag","Fri"))))</f>
        <v/>
      </c>
      <c r="J1629" s="30">
        <f>IF(I1629="Fri","Ja","")</f>
        <v/>
      </c>
      <c r="K1629" s="30">
        <f>IF(B1629="","",IF(L1629="","Ukjent tekniker",IF(ISNA(MATCH(C1629,Aktiviteter,0)),"Ukjent aktivitet",IF(AND(INDEX(AktRolle,MATCH(C1629,Aktiviteter,0))&amp;""&lt;&gt;"",ISERROR(SEARCH(INDEX(AktRolle,MATCH(C1629,Aktiviteter,0))&amp;"",INDEX(TekRoller,MATCH(B1629,Teknikere,0))))),"Mangler rollen "&amp;INDEX(AktRolle,MATCH(C1629,Aktiviteter,0))&amp;"",IF(AND(C1629="LMS",F1629&gt;0,OR(D1629="",E1629="")),"Mangler maskin eller arbeid",IF(AND(OR(C1629="LMS",C1629="Mod"),D1629&lt;&gt;""),IF(IFERROR(INDEX(MaskinStatus,MATCH(D1629,Maskiner,0)),"")="I dokk","","Maskinen er ikke i dokk"),""))))))</f>
        <v/>
      </c>
      <c r="L1629" s="2">
        <f>IF(B1629="","",IFERROR(INT((MATCH(B1629,Teknikere,0)-1)/18)+1,""))</f>
        <v/>
      </c>
      <c r="M1629" s="2">
        <f>IF(OR(A1629="",B1629=""),"",B1629&amp;"|"&amp;A1629)</f>
        <v/>
      </c>
      <c r="N1629" s="2">
        <f>IF(M1629="","",SUMIFS(TF_Timer,TF_Nokkel,M1629,TF_Akt,C1629))</f>
        <v/>
      </c>
      <c r="O1629" s="2">
        <f>IF(M1629="","",IF(AND(N1629=_xlfn.MAXIFS(TF_AktSum,TF_Nokkel,M1629),COUNTIFS(M$3:M1628,M1629,N$3:N1628,N1629)=0),M1629,""))</f>
        <v/>
      </c>
    </row>
    <row r="1630">
      <c r="A1630" s="34" t="n"/>
      <c r="B1630" s="35" t="n"/>
      <c r="C1630" s="35" t="n"/>
      <c r="D1630" s="35" t="n"/>
      <c r="E1630" s="35" t="n"/>
      <c r="F1630" s="36" t="n"/>
      <c r="G1630" s="35" t="n"/>
      <c r="H1630" s="30">
        <f>IF(L1630="","",INDEX(SkiftNavn,L1630))</f>
        <v/>
      </c>
      <c r="I1630" s="30">
        <f>IF(OR(A1630="",L1630=""),"",IF(MOD(A1630-INDEX(SkiftStart,L1630),Syklus)&lt;DagK,"Kveld",IF(MOD(A1630-INDEX(SkiftStart,L1630),Syklus)&lt;DagK+DagH,"Helg",IF(MOD(A1630-INDEX(SkiftStart,L1630),Syklus)&lt;DagK+DagH+DagD,"Dag","Fri"))))</f>
        <v/>
      </c>
      <c r="J1630" s="30">
        <f>IF(I1630="Fri","Ja","")</f>
        <v/>
      </c>
      <c r="K1630" s="30">
        <f>IF(B1630="","",IF(L1630="","Ukjent tekniker",IF(ISNA(MATCH(C1630,Aktiviteter,0)),"Ukjent aktivitet",IF(AND(INDEX(AktRolle,MATCH(C1630,Aktiviteter,0))&amp;""&lt;&gt;"",ISERROR(SEARCH(INDEX(AktRolle,MATCH(C1630,Aktiviteter,0))&amp;"",INDEX(TekRoller,MATCH(B1630,Teknikere,0))))),"Mangler rollen "&amp;INDEX(AktRolle,MATCH(C1630,Aktiviteter,0))&amp;"",IF(AND(C1630="LMS",F1630&gt;0,OR(D1630="",E1630="")),"Mangler maskin eller arbeid",IF(AND(OR(C1630="LMS",C1630="Mod"),D1630&lt;&gt;""),IF(IFERROR(INDEX(MaskinStatus,MATCH(D1630,Maskiner,0)),"")="I dokk","","Maskinen er ikke i dokk"),""))))))</f>
        <v/>
      </c>
      <c r="L1630" s="2">
        <f>IF(B1630="","",IFERROR(INT((MATCH(B1630,Teknikere,0)-1)/18)+1,""))</f>
        <v/>
      </c>
      <c r="M1630" s="2">
        <f>IF(OR(A1630="",B1630=""),"",B1630&amp;"|"&amp;A1630)</f>
        <v/>
      </c>
      <c r="N1630" s="2">
        <f>IF(M1630="","",SUMIFS(TF_Timer,TF_Nokkel,M1630,TF_Akt,C1630))</f>
        <v/>
      </c>
      <c r="O1630" s="2">
        <f>IF(M1630="","",IF(AND(N1630=_xlfn.MAXIFS(TF_AktSum,TF_Nokkel,M1630),COUNTIFS(M$3:M1629,M1630,N$3:N1629,N1630)=0),M1630,""))</f>
        <v/>
      </c>
    </row>
    <row r="1631">
      <c r="A1631" s="34" t="n"/>
      <c r="B1631" s="35" t="n"/>
      <c r="C1631" s="35" t="n"/>
      <c r="D1631" s="35" t="n"/>
      <c r="E1631" s="35" t="n"/>
      <c r="F1631" s="36" t="n"/>
      <c r="G1631" s="35" t="n"/>
      <c r="H1631" s="30">
        <f>IF(L1631="","",INDEX(SkiftNavn,L1631))</f>
        <v/>
      </c>
      <c r="I1631" s="30">
        <f>IF(OR(A1631="",L1631=""),"",IF(MOD(A1631-INDEX(SkiftStart,L1631),Syklus)&lt;DagK,"Kveld",IF(MOD(A1631-INDEX(SkiftStart,L1631),Syklus)&lt;DagK+DagH,"Helg",IF(MOD(A1631-INDEX(SkiftStart,L1631),Syklus)&lt;DagK+DagH+DagD,"Dag","Fri"))))</f>
        <v/>
      </c>
      <c r="J1631" s="30">
        <f>IF(I1631="Fri","Ja","")</f>
        <v/>
      </c>
      <c r="K1631" s="30">
        <f>IF(B1631="","",IF(L1631="","Ukjent tekniker",IF(ISNA(MATCH(C1631,Aktiviteter,0)),"Ukjent aktivitet",IF(AND(INDEX(AktRolle,MATCH(C1631,Aktiviteter,0))&amp;""&lt;&gt;"",ISERROR(SEARCH(INDEX(AktRolle,MATCH(C1631,Aktiviteter,0))&amp;"",INDEX(TekRoller,MATCH(B1631,Teknikere,0))))),"Mangler rollen "&amp;INDEX(AktRolle,MATCH(C1631,Aktiviteter,0))&amp;"",IF(AND(C1631="LMS",F1631&gt;0,OR(D1631="",E1631="")),"Mangler maskin eller arbeid",IF(AND(OR(C1631="LMS",C1631="Mod"),D1631&lt;&gt;""),IF(IFERROR(INDEX(MaskinStatus,MATCH(D1631,Maskiner,0)),"")="I dokk","","Maskinen er ikke i dokk"),""))))))</f>
        <v/>
      </c>
      <c r="L1631" s="2">
        <f>IF(B1631="","",IFERROR(INT((MATCH(B1631,Teknikere,0)-1)/18)+1,""))</f>
        <v/>
      </c>
      <c r="M1631" s="2">
        <f>IF(OR(A1631="",B1631=""),"",B1631&amp;"|"&amp;A1631)</f>
        <v/>
      </c>
      <c r="N1631" s="2">
        <f>IF(M1631="","",SUMIFS(TF_Timer,TF_Nokkel,M1631,TF_Akt,C1631))</f>
        <v/>
      </c>
      <c r="O1631" s="2">
        <f>IF(M1631="","",IF(AND(N1631=_xlfn.MAXIFS(TF_AktSum,TF_Nokkel,M1631),COUNTIFS(M$3:M1630,M1631,N$3:N1630,N1631)=0),M1631,""))</f>
        <v/>
      </c>
    </row>
    <row r="1632">
      <c r="A1632" s="34" t="n"/>
      <c r="B1632" s="35" t="n"/>
      <c r="C1632" s="35" t="n"/>
      <c r="D1632" s="35" t="n"/>
      <c r="E1632" s="35" t="n"/>
      <c r="F1632" s="36" t="n"/>
      <c r="G1632" s="35" t="n"/>
      <c r="H1632" s="30">
        <f>IF(L1632="","",INDEX(SkiftNavn,L1632))</f>
        <v/>
      </c>
      <c r="I1632" s="30">
        <f>IF(OR(A1632="",L1632=""),"",IF(MOD(A1632-INDEX(SkiftStart,L1632),Syklus)&lt;DagK,"Kveld",IF(MOD(A1632-INDEX(SkiftStart,L1632),Syklus)&lt;DagK+DagH,"Helg",IF(MOD(A1632-INDEX(SkiftStart,L1632),Syklus)&lt;DagK+DagH+DagD,"Dag","Fri"))))</f>
        <v/>
      </c>
      <c r="J1632" s="30">
        <f>IF(I1632="Fri","Ja","")</f>
        <v/>
      </c>
      <c r="K1632" s="30">
        <f>IF(B1632="","",IF(L1632="","Ukjent tekniker",IF(ISNA(MATCH(C1632,Aktiviteter,0)),"Ukjent aktivitet",IF(AND(INDEX(AktRolle,MATCH(C1632,Aktiviteter,0))&amp;""&lt;&gt;"",ISERROR(SEARCH(INDEX(AktRolle,MATCH(C1632,Aktiviteter,0))&amp;"",INDEX(TekRoller,MATCH(B1632,Teknikere,0))))),"Mangler rollen "&amp;INDEX(AktRolle,MATCH(C1632,Aktiviteter,0))&amp;"",IF(AND(C1632="LMS",F1632&gt;0,OR(D1632="",E1632="")),"Mangler maskin eller arbeid",IF(AND(OR(C1632="LMS",C1632="Mod"),D1632&lt;&gt;""),IF(IFERROR(INDEX(MaskinStatus,MATCH(D1632,Maskiner,0)),"")="I dokk","","Maskinen er ikke i dokk"),""))))))</f>
        <v/>
      </c>
      <c r="L1632" s="2">
        <f>IF(B1632="","",IFERROR(INT((MATCH(B1632,Teknikere,0)-1)/18)+1,""))</f>
        <v/>
      </c>
      <c r="M1632" s="2">
        <f>IF(OR(A1632="",B1632=""),"",B1632&amp;"|"&amp;A1632)</f>
        <v/>
      </c>
      <c r="N1632" s="2">
        <f>IF(M1632="","",SUMIFS(TF_Timer,TF_Nokkel,M1632,TF_Akt,C1632))</f>
        <v/>
      </c>
      <c r="O1632" s="2">
        <f>IF(M1632="","",IF(AND(N1632=_xlfn.MAXIFS(TF_AktSum,TF_Nokkel,M1632),COUNTIFS(M$3:M1631,M1632,N$3:N1631,N1632)=0),M1632,""))</f>
        <v/>
      </c>
    </row>
    <row r="1633">
      <c r="A1633" s="34" t="n"/>
      <c r="B1633" s="35" t="n"/>
      <c r="C1633" s="35" t="n"/>
      <c r="D1633" s="35" t="n"/>
      <c r="E1633" s="35" t="n"/>
      <c r="F1633" s="36" t="n"/>
      <c r="G1633" s="35" t="n"/>
      <c r="H1633" s="30">
        <f>IF(L1633="","",INDEX(SkiftNavn,L1633))</f>
        <v/>
      </c>
      <c r="I1633" s="30">
        <f>IF(OR(A1633="",L1633=""),"",IF(MOD(A1633-INDEX(SkiftStart,L1633),Syklus)&lt;DagK,"Kveld",IF(MOD(A1633-INDEX(SkiftStart,L1633),Syklus)&lt;DagK+DagH,"Helg",IF(MOD(A1633-INDEX(SkiftStart,L1633),Syklus)&lt;DagK+DagH+DagD,"Dag","Fri"))))</f>
        <v/>
      </c>
      <c r="J1633" s="30">
        <f>IF(I1633="Fri","Ja","")</f>
        <v/>
      </c>
      <c r="K1633" s="30">
        <f>IF(B1633="","",IF(L1633="","Ukjent tekniker",IF(ISNA(MATCH(C1633,Aktiviteter,0)),"Ukjent aktivitet",IF(AND(INDEX(AktRolle,MATCH(C1633,Aktiviteter,0))&amp;""&lt;&gt;"",ISERROR(SEARCH(INDEX(AktRolle,MATCH(C1633,Aktiviteter,0))&amp;"",INDEX(TekRoller,MATCH(B1633,Teknikere,0))))),"Mangler rollen "&amp;INDEX(AktRolle,MATCH(C1633,Aktiviteter,0))&amp;"",IF(AND(C1633="LMS",F1633&gt;0,OR(D1633="",E1633="")),"Mangler maskin eller arbeid",IF(AND(OR(C1633="LMS",C1633="Mod"),D1633&lt;&gt;""),IF(IFERROR(INDEX(MaskinStatus,MATCH(D1633,Maskiner,0)),"")="I dokk","","Maskinen er ikke i dokk"),""))))))</f>
        <v/>
      </c>
      <c r="L1633" s="2">
        <f>IF(B1633="","",IFERROR(INT((MATCH(B1633,Teknikere,0)-1)/18)+1,""))</f>
        <v/>
      </c>
      <c r="M1633" s="2">
        <f>IF(OR(A1633="",B1633=""),"",B1633&amp;"|"&amp;A1633)</f>
        <v/>
      </c>
      <c r="N1633" s="2">
        <f>IF(M1633="","",SUMIFS(TF_Timer,TF_Nokkel,M1633,TF_Akt,C1633))</f>
        <v/>
      </c>
      <c r="O1633" s="2">
        <f>IF(M1633="","",IF(AND(N1633=_xlfn.MAXIFS(TF_AktSum,TF_Nokkel,M1633),COUNTIFS(M$3:M1632,M1633,N$3:N1632,N1633)=0),M1633,""))</f>
        <v/>
      </c>
    </row>
    <row r="1634">
      <c r="A1634" s="34" t="n"/>
      <c r="B1634" s="35" t="n"/>
      <c r="C1634" s="35" t="n"/>
      <c r="D1634" s="35" t="n"/>
      <c r="E1634" s="35" t="n"/>
      <c r="F1634" s="36" t="n"/>
      <c r="G1634" s="35" t="n"/>
      <c r="H1634" s="30">
        <f>IF(L1634="","",INDEX(SkiftNavn,L1634))</f>
        <v/>
      </c>
      <c r="I1634" s="30">
        <f>IF(OR(A1634="",L1634=""),"",IF(MOD(A1634-INDEX(SkiftStart,L1634),Syklus)&lt;DagK,"Kveld",IF(MOD(A1634-INDEX(SkiftStart,L1634),Syklus)&lt;DagK+DagH,"Helg",IF(MOD(A1634-INDEX(SkiftStart,L1634),Syklus)&lt;DagK+DagH+DagD,"Dag","Fri"))))</f>
        <v/>
      </c>
      <c r="J1634" s="30">
        <f>IF(I1634="Fri","Ja","")</f>
        <v/>
      </c>
      <c r="K1634" s="30">
        <f>IF(B1634="","",IF(L1634="","Ukjent tekniker",IF(ISNA(MATCH(C1634,Aktiviteter,0)),"Ukjent aktivitet",IF(AND(INDEX(AktRolle,MATCH(C1634,Aktiviteter,0))&amp;""&lt;&gt;"",ISERROR(SEARCH(INDEX(AktRolle,MATCH(C1634,Aktiviteter,0))&amp;"",INDEX(TekRoller,MATCH(B1634,Teknikere,0))))),"Mangler rollen "&amp;INDEX(AktRolle,MATCH(C1634,Aktiviteter,0))&amp;"",IF(AND(C1634="LMS",F1634&gt;0,OR(D1634="",E1634="")),"Mangler maskin eller arbeid",IF(AND(OR(C1634="LMS",C1634="Mod"),D1634&lt;&gt;""),IF(IFERROR(INDEX(MaskinStatus,MATCH(D1634,Maskiner,0)),"")="I dokk","","Maskinen er ikke i dokk"),""))))))</f>
        <v/>
      </c>
      <c r="L1634" s="2">
        <f>IF(B1634="","",IFERROR(INT((MATCH(B1634,Teknikere,0)-1)/18)+1,""))</f>
        <v/>
      </c>
      <c r="M1634" s="2">
        <f>IF(OR(A1634="",B1634=""),"",B1634&amp;"|"&amp;A1634)</f>
        <v/>
      </c>
      <c r="N1634" s="2">
        <f>IF(M1634="","",SUMIFS(TF_Timer,TF_Nokkel,M1634,TF_Akt,C1634))</f>
        <v/>
      </c>
      <c r="O1634" s="2">
        <f>IF(M1634="","",IF(AND(N1634=_xlfn.MAXIFS(TF_AktSum,TF_Nokkel,M1634),COUNTIFS(M$3:M1633,M1634,N$3:N1633,N1634)=0),M1634,""))</f>
        <v/>
      </c>
    </row>
    <row r="1635">
      <c r="A1635" s="34" t="n"/>
      <c r="B1635" s="35" t="n"/>
      <c r="C1635" s="35" t="n"/>
      <c r="D1635" s="35" t="n"/>
      <c r="E1635" s="35" t="n"/>
      <c r="F1635" s="36" t="n"/>
      <c r="G1635" s="35" t="n"/>
      <c r="H1635" s="30">
        <f>IF(L1635="","",INDEX(SkiftNavn,L1635))</f>
        <v/>
      </c>
      <c r="I1635" s="30">
        <f>IF(OR(A1635="",L1635=""),"",IF(MOD(A1635-INDEX(SkiftStart,L1635),Syklus)&lt;DagK,"Kveld",IF(MOD(A1635-INDEX(SkiftStart,L1635),Syklus)&lt;DagK+DagH,"Helg",IF(MOD(A1635-INDEX(SkiftStart,L1635),Syklus)&lt;DagK+DagH+DagD,"Dag","Fri"))))</f>
        <v/>
      </c>
      <c r="J1635" s="30">
        <f>IF(I1635="Fri","Ja","")</f>
        <v/>
      </c>
      <c r="K1635" s="30">
        <f>IF(B1635="","",IF(L1635="","Ukjent tekniker",IF(ISNA(MATCH(C1635,Aktiviteter,0)),"Ukjent aktivitet",IF(AND(INDEX(AktRolle,MATCH(C1635,Aktiviteter,0))&amp;""&lt;&gt;"",ISERROR(SEARCH(INDEX(AktRolle,MATCH(C1635,Aktiviteter,0))&amp;"",INDEX(TekRoller,MATCH(B1635,Teknikere,0))))),"Mangler rollen "&amp;INDEX(AktRolle,MATCH(C1635,Aktiviteter,0))&amp;"",IF(AND(C1635="LMS",F1635&gt;0,OR(D1635="",E1635="")),"Mangler maskin eller arbeid",IF(AND(OR(C1635="LMS",C1635="Mod"),D1635&lt;&gt;""),IF(IFERROR(INDEX(MaskinStatus,MATCH(D1635,Maskiner,0)),"")="I dokk","","Maskinen er ikke i dokk"),""))))))</f>
        <v/>
      </c>
      <c r="L1635" s="2">
        <f>IF(B1635="","",IFERROR(INT((MATCH(B1635,Teknikere,0)-1)/18)+1,""))</f>
        <v/>
      </c>
      <c r="M1635" s="2">
        <f>IF(OR(A1635="",B1635=""),"",B1635&amp;"|"&amp;A1635)</f>
        <v/>
      </c>
      <c r="N1635" s="2">
        <f>IF(M1635="","",SUMIFS(TF_Timer,TF_Nokkel,M1635,TF_Akt,C1635))</f>
        <v/>
      </c>
      <c r="O1635" s="2">
        <f>IF(M1635="","",IF(AND(N1635=_xlfn.MAXIFS(TF_AktSum,TF_Nokkel,M1635),COUNTIFS(M$3:M1634,M1635,N$3:N1634,N1635)=0),M1635,""))</f>
        <v/>
      </c>
    </row>
    <row r="1636">
      <c r="A1636" s="34" t="n"/>
      <c r="B1636" s="35" t="n"/>
      <c r="C1636" s="35" t="n"/>
      <c r="D1636" s="35" t="n"/>
      <c r="E1636" s="35" t="n"/>
      <c r="F1636" s="36" t="n"/>
      <c r="G1636" s="35" t="n"/>
      <c r="H1636" s="30">
        <f>IF(L1636="","",INDEX(SkiftNavn,L1636))</f>
        <v/>
      </c>
      <c r="I1636" s="30">
        <f>IF(OR(A1636="",L1636=""),"",IF(MOD(A1636-INDEX(SkiftStart,L1636),Syklus)&lt;DagK,"Kveld",IF(MOD(A1636-INDEX(SkiftStart,L1636),Syklus)&lt;DagK+DagH,"Helg",IF(MOD(A1636-INDEX(SkiftStart,L1636),Syklus)&lt;DagK+DagH+DagD,"Dag","Fri"))))</f>
        <v/>
      </c>
      <c r="J1636" s="30">
        <f>IF(I1636="Fri","Ja","")</f>
        <v/>
      </c>
      <c r="K1636" s="30">
        <f>IF(B1636="","",IF(L1636="","Ukjent tekniker",IF(ISNA(MATCH(C1636,Aktiviteter,0)),"Ukjent aktivitet",IF(AND(INDEX(AktRolle,MATCH(C1636,Aktiviteter,0))&amp;""&lt;&gt;"",ISERROR(SEARCH(INDEX(AktRolle,MATCH(C1636,Aktiviteter,0))&amp;"",INDEX(TekRoller,MATCH(B1636,Teknikere,0))))),"Mangler rollen "&amp;INDEX(AktRolle,MATCH(C1636,Aktiviteter,0))&amp;"",IF(AND(C1636="LMS",F1636&gt;0,OR(D1636="",E1636="")),"Mangler maskin eller arbeid",IF(AND(OR(C1636="LMS",C1636="Mod"),D1636&lt;&gt;""),IF(IFERROR(INDEX(MaskinStatus,MATCH(D1636,Maskiner,0)),"")="I dokk","","Maskinen er ikke i dokk"),""))))))</f>
        <v/>
      </c>
      <c r="L1636" s="2">
        <f>IF(B1636="","",IFERROR(INT((MATCH(B1636,Teknikere,0)-1)/18)+1,""))</f>
        <v/>
      </c>
      <c r="M1636" s="2">
        <f>IF(OR(A1636="",B1636=""),"",B1636&amp;"|"&amp;A1636)</f>
        <v/>
      </c>
      <c r="N1636" s="2">
        <f>IF(M1636="","",SUMIFS(TF_Timer,TF_Nokkel,M1636,TF_Akt,C1636))</f>
        <v/>
      </c>
      <c r="O1636" s="2">
        <f>IF(M1636="","",IF(AND(N1636=_xlfn.MAXIFS(TF_AktSum,TF_Nokkel,M1636),COUNTIFS(M$3:M1635,M1636,N$3:N1635,N1636)=0),M1636,""))</f>
        <v/>
      </c>
    </row>
    <row r="1637">
      <c r="A1637" s="34" t="n"/>
      <c r="B1637" s="35" t="n"/>
      <c r="C1637" s="35" t="n"/>
      <c r="D1637" s="35" t="n"/>
      <c r="E1637" s="35" t="n"/>
      <c r="F1637" s="36" t="n"/>
      <c r="G1637" s="35" t="n"/>
      <c r="H1637" s="30">
        <f>IF(L1637="","",INDEX(SkiftNavn,L1637))</f>
        <v/>
      </c>
      <c r="I1637" s="30">
        <f>IF(OR(A1637="",L1637=""),"",IF(MOD(A1637-INDEX(SkiftStart,L1637),Syklus)&lt;DagK,"Kveld",IF(MOD(A1637-INDEX(SkiftStart,L1637),Syklus)&lt;DagK+DagH,"Helg",IF(MOD(A1637-INDEX(SkiftStart,L1637),Syklus)&lt;DagK+DagH+DagD,"Dag","Fri"))))</f>
        <v/>
      </c>
      <c r="J1637" s="30">
        <f>IF(I1637="Fri","Ja","")</f>
        <v/>
      </c>
      <c r="K1637" s="30">
        <f>IF(B1637="","",IF(L1637="","Ukjent tekniker",IF(ISNA(MATCH(C1637,Aktiviteter,0)),"Ukjent aktivitet",IF(AND(INDEX(AktRolle,MATCH(C1637,Aktiviteter,0))&amp;""&lt;&gt;"",ISERROR(SEARCH(INDEX(AktRolle,MATCH(C1637,Aktiviteter,0))&amp;"",INDEX(TekRoller,MATCH(B1637,Teknikere,0))))),"Mangler rollen "&amp;INDEX(AktRolle,MATCH(C1637,Aktiviteter,0))&amp;"",IF(AND(C1637="LMS",F1637&gt;0,OR(D1637="",E1637="")),"Mangler maskin eller arbeid",IF(AND(OR(C1637="LMS",C1637="Mod"),D1637&lt;&gt;""),IF(IFERROR(INDEX(MaskinStatus,MATCH(D1637,Maskiner,0)),"")="I dokk","","Maskinen er ikke i dokk"),""))))))</f>
        <v/>
      </c>
      <c r="L1637" s="2">
        <f>IF(B1637="","",IFERROR(INT((MATCH(B1637,Teknikere,0)-1)/18)+1,""))</f>
        <v/>
      </c>
      <c r="M1637" s="2">
        <f>IF(OR(A1637="",B1637=""),"",B1637&amp;"|"&amp;A1637)</f>
        <v/>
      </c>
      <c r="N1637" s="2">
        <f>IF(M1637="","",SUMIFS(TF_Timer,TF_Nokkel,M1637,TF_Akt,C1637))</f>
        <v/>
      </c>
      <c r="O1637" s="2">
        <f>IF(M1637="","",IF(AND(N1637=_xlfn.MAXIFS(TF_AktSum,TF_Nokkel,M1637),COUNTIFS(M$3:M1636,M1637,N$3:N1636,N1637)=0),M1637,""))</f>
        <v/>
      </c>
    </row>
    <row r="1638">
      <c r="A1638" s="34" t="n"/>
      <c r="B1638" s="35" t="n"/>
      <c r="C1638" s="35" t="n"/>
      <c r="D1638" s="35" t="n"/>
      <c r="E1638" s="35" t="n"/>
      <c r="F1638" s="36" t="n"/>
      <c r="G1638" s="35" t="n"/>
      <c r="H1638" s="30">
        <f>IF(L1638="","",INDEX(SkiftNavn,L1638))</f>
        <v/>
      </c>
      <c r="I1638" s="30">
        <f>IF(OR(A1638="",L1638=""),"",IF(MOD(A1638-INDEX(SkiftStart,L1638),Syklus)&lt;DagK,"Kveld",IF(MOD(A1638-INDEX(SkiftStart,L1638),Syklus)&lt;DagK+DagH,"Helg",IF(MOD(A1638-INDEX(SkiftStart,L1638),Syklus)&lt;DagK+DagH+DagD,"Dag","Fri"))))</f>
        <v/>
      </c>
      <c r="J1638" s="30">
        <f>IF(I1638="Fri","Ja","")</f>
        <v/>
      </c>
      <c r="K1638" s="30">
        <f>IF(B1638="","",IF(L1638="","Ukjent tekniker",IF(ISNA(MATCH(C1638,Aktiviteter,0)),"Ukjent aktivitet",IF(AND(INDEX(AktRolle,MATCH(C1638,Aktiviteter,0))&amp;""&lt;&gt;"",ISERROR(SEARCH(INDEX(AktRolle,MATCH(C1638,Aktiviteter,0))&amp;"",INDEX(TekRoller,MATCH(B1638,Teknikere,0))))),"Mangler rollen "&amp;INDEX(AktRolle,MATCH(C1638,Aktiviteter,0))&amp;"",IF(AND(C1638="LMS",F1638&gt;0,OR(D1638="",E1638="")),"Mangler maskin eller arbeid",IF(AND(OR(C1638="LMS",C1638="Mod"),D1638&lt;&gt;""),IF(IFERROR(INDEX(MaskinStatus,MATCH(D1638,Maskiner,0)),"")="I dokk","","Maskinen er ikke i dokk"),""))))))</f>
        <v/>
      </c>
      <c r="L1638" s="2">
        <f>IF(B1638="","",IFERROR(INT((MATCH(B1638,Teknikere,0)-1)/18)+1,""))</f>
        <v/>
      </c>
      <c r="M1638" s="2">
        <f>IF(OR(A1638="",B1638=""),"",B1638&amp;"|"&amp;A1638)</f>
        <v/>
      </c>
      <c r="N1638" s="2">
        <f>IF(M1638="","",SUMIFS(TF_Timer,TF_Nokkel,M1638,TF_Akt,C1638))</f>
        <v/>
      </c>
      <c r="O1638" s="2">
        <f>IF(M1638="","",IF(AND(N1638=_xlfn.MAXIFS(TF_AktSum,TF_Nokkel,M1638),COUNTIFS(M$3:M1637,M1638,N$3:N1637,N1638)=0),M1638,""))</f>
        <v/>
      </c>
    </row>
    <row r="1639">
      <c r="A1639" s="34" t="n"/>
      <c r="B1639" s="35" t="n"/>
      <c r="C1639" s="35" t="n"/>
      <c r="D1639" s="35" t="n"/>
      <c r="E1639" s="35" t="n"/>
      <c r="F1639" s="36" t="n"/>
      <c r="G1639" s="35" t="n"/>
      <c r="H1639" s="30">
        <f>IF(L1639="","",INDEX(SkiftNavn,L1639))</f>
        <v/>
      </c>
      <c r="I1639" s="30">
        <f>IF(OR(A1639="",L1639=""),"",IF(MOD(A1639-INDEX(SkiftStart,L1639),Syklus)&lt;DagK,"Kveld",IF(MOD(A1639-INDEX(SkiftStart,L1639),Syklus)&lt;DagK+DagH,"Helg",IF(MOD(A1639-INDEX(SkiftStart,L1639),Syklus)&lt;DagK+DagH+DagD,"Dag","Fri"))))</f>
        <v/>
      </c>
      <c r="J1639" s="30">
        <f>IF(I1639="Fri","Ja","")</f>
        <v/>
      </c>
      <c r="K1639" s="30">
        <f>IF(B1639="","",IF(L1639="","Ukjent tekniker",IF(ISNA(MATCH(C1639,Aktiviteter,0)),"Ukjent aktivitet",IF(AND(INDEX(AktRolle,MATCH(C1639,Aktiviteter,0))&amp;""&lt;&gt;"",ISERROR(SEARCH(INDEX(AktRolle,MATCH(C1639,Aktiviteter,0))&amp;"",INDEX(TekRoller,MATCH(B1639,Teknikere,0))))),"Mangler rollen "&amp;INDEX(AktRolle,MATCH(C1639,Aktiviteter,0))&amp;"",IF(AND(C1639="LMS",F1639&gt;0,OR(D1639="",E1639="")),"Mangler maskin eller arbeid",IF(AND(OR(C1639="LMS",C1639="Mod"),D1639&lt;&gt;""),IF(IFERROR(INDEX(MaskinStatus,MATCH(D1639,Maskiner,0)),"")="I dokk","","Maskinen er ikke i dokk"),""))))))</f>
        <v/>
      </c>
      <c r="L1639" s="2">
        <f>IF(B1639="","",IFERROR(INT((MATCH(B1639,Teknikere,0)-1)/18)+1,""))</f>
        <v/>
      </c>
      <c r="M1639" s="2">
        <f>IF(OR(A1639="",B1639=""),"",B1639&amp;"|"&amp;A1639)</f>
        <v/>
      </c>
      <c r="N1639" s="2">
        <f>IF(M1639="","",SUMIFS(TF_Timer,TF_Nokkel,M1639,TF_Akt,C1639))</f>
        <v/>
      </c>
      <c r="O1639" s="2">
        <f>IF(M1639="","",IF(AND(N1639=_xlfn.MAXIFS(TF_AktSum,TF_Nokkel,M1639),COUNTIFS(M$3:M1638,M1639,N$3:N1638,N1639)=0),M1639,""))</f>
        <v/>
      </c>
    </row>
    <row r="1640">
      <c r="A1640" s="34" t="n"/>
      <c r="B1640" s="35" t="n"/>
      <c r="C1640" s="35" t="n"/>
      <c r="D1640" s="35" t="n"/>
      <c r="E1640" s="35" t="n"/>
      <c r="F1640" s="36" t="n"/>
      <c r="G1640" s="35" t="n"/>
      <c r="H1640" s="30">
        <f>IF(L1640="","",INDEX(SkiftNavn,L1640))</f>
        <v/>
      </c>
      <c r="I1640" s="30">
        <f>IF(OR(A1640="",L1640=""),"",IF(MOD(A1640-INDEX(SkiftStart,L1640),Syklus)&lt;DagK,"Kveld",IF(MOD(A1640-INDEX(SkiftStart,L1640),Syklus)&lt;DagK+DagH,"Helg",IF(MOD(A1640-INDEX(SkiftStart,L1640),Syklus)&lt;DagK+DagH+DagD,"Dag","Fri"))))</f>
        <v/>
      </c>
      <c r="J1640" s="30">
        <f>IF(I1640="Fri","Ja","")</f>
        <v/>
      </c>
      <c r="K1640" s="30">
        <f>IF(B1640="","",IF(L1640="","Ukjent tekniker",IF(ISNA(MATCH(C1640,Aktiviteter,0)),"Ukjent aktivitet",IF(AND(INDEX(AktRolle,MATCH(C1640,Aktiviteter,0))&amp;""&lt;&gt;"",ISERROR(SEARCH(INDEX(AktRolle,MATCH(C1640,Aktiviteter,0))&amp;"",INDEX(TekRoller,MATCH(B1640,Teknikere,0))))),"Mangler rollen "&amp;INDEX(AktRolle,MATCH(C1640,Aktiviteter,0))&amp;"",IF(AND(C1640="LMS",F1640&gt;0,OR(D1640="",E1640="")),"Mangler maskin eller arbeid",IF(AND(OR(C1640="LMS",C1640="Mod"),D1640&lt;&gt;""),IF(IFERROR(INDEX(MaskinStatus,MATCH(D1640,Maskiner,0)),"")="I dokk","","Maskinen er ikke i dokk"),""))))))</f>
        <v/>
      </c>
      <c r="L1640" s="2">
        <f>IF(B1640="","",IFERROR(INT((MATCH(B1640,Teknikere,0)-1)/18)+1,""))</f>
        <v/>
      </c>
      <c r="M1640" s="2">
        <f>IF(OR(A1640="",B1640=""),"",B1640&amp;"|"&amp;A1640)</f>
        <v/>
      </c>
      <c r="N1640" s="2">
        <f>IF(M1640="","",SUMIFS(TF_Timer,TF_Nokkel,M1640,TF_Akt,C1640))</f>
        <v/>
      </c>
      <c r="O1640" s="2">
        <f>IF(M1640="","",IF(AND(N1640=_xlfn.MAXIFS(TF_AktSum,TF_Nokkel,M1640),COUNTIFS(M$3:M1639,M1640,N$3:N1639,N1640)=0),M1640,""))</f>
        <v/>
      </c>
    </row>
    <row r="1641">
      <c r="A1641" s="34" t="n"/>
      <c r="B1641" s="35" t="n"/>
      <c r="C1641" s="35" t="n"/>
      <c r="D1641" s="35" t="n"/>
      <c r="E1641" s="35" t="n"/>
      <c r="F1641" s="36" t="n"/>
      <c r="G1641" s="35" t="n"/>
      <c r="H1641" s="30">
        <f>IF(L1641="","",INDEX(SkiftNavn,L1641))</f>
        <v/>
      </c>
      <c r="I1641" s="30">
        <f>IF(OR(A1641="",L1641=""),"",IF(MOD(A1641-INDEX(SkiftStart,L1641),Syklus)&lt;DagK,"Kveld",IF(MOD(A1641-INDEX(SkiftStart,L1641),Syklus)&lt;DagK+DagH,"Helg",IF(MOD(A1641-INDEX(SkiftStart,L1641),Syklus)&lt;DagK+DagH+DagD,"Dag","Fri"))))</f>
        <v/>
      </c>
      <c r="J1641" s="30">
        <f>IF(I1641="Fri","Ja","")</f>
        <v/>
      </c>
      <c r="K1641" s="30">
        <f>IF(B1641="","",IF(L1641="","Ukjent tekniker",IF(ISNA(MATCH(C1641,Aktiviteter,0)),"Ukjent aktivitet",IF(AND(INDEX(AktRolle,MATCH(C1641,Aktiviteter,0))&amp;""&lt;&gt;"",ISERROR(SEARCH(INDEX(AktRolle,MATCH(C1641,Aktiviteter,0))&amp;"",INDEX(TekRoller,MATCH(B1641,Teknikere,0))))),"Mangler rollen "&amp;INDEX(AktRolle,MATCH(C1641,Aktiviteter,0))&amp;"",IF(AND(C1641="LMS",F1641&gt;0,OR(D1641="",E1641="")),"Mangler maskin eller arbeid",IF(AND(OR(C1641="LMS",C1641="Mod"),D1641&lt;&gt;""),IF(IFERROR(INDEX(MaskinStatus,MATCH(D1641,Maskiner,0)),"")="I dokk","","Maskinen er ikke i dokk"),""))))))</f>
        <v/>
      </c>
      <c r="L1641" s="2">
        <f>IF(B1641="","",IFERROR(INT((MATCH(B1641,Teknikere,0)-1)/18)+1,""))</f>
        <v/>
      </c>
      <c r="M1641" s="2">
        <f>IF(OR(A1641="",B1641=""),"",B1641&amp;"|"&amp;A1641)</f>
        <v/>
      </c>
      <c r="N1641" s="2">
        <f>IF(M1641="","",SUMIFS(TF_Timer,TF_Nokkel,M1641,TF_Akt,C1641))</f>
        <v/>
      </c>
      <c r="O1641" s="2">
        <f>IF(M1641="","",IF(AND(N1641=_xlfn.MAXIFS(TF_AktSum,TF_Nokkel,M1641),COUNTIFS(M$3:M1640,M1641,N$3:N1640,N1641)=0),M1641,""))</f>
        <v/>
      </c>
    </row>
    <row r="1642">
      <c r="A1642" s="34" t="n"/>
      <c r="B1642" s="35" t="n"/>
      <c r="C1642" s="35" t="n"/>
      <c r="D1642" s="35" t="n"/>
      <c r="E1642" s="35" t="n"/>
      <c r="F1642" s="36" t="n"/>
      <c r="G1642" s="35" t="n"/>
      <c r="H1642" s="30">
        <f>IF(L1642="","",INDEX(SkiftNavn,L1642))</f>
        <v/>
      </c>
      <c r="I1642" s="30">
        <f>IF(OR(A1642="",L1642=""),"",IF(MOD(A1642-INDEX(SkiftStart,L1642),Syklus)&lt;DagK,"Kveld",IF(MOD(A1642-INDEX(SkiftStart,L1642),Syklus)&lt;DagK+DagH,"Helg",IF(MOD(A1642-INDEX(SkiftStart,L1642),Syklus)&lt;DagK+DagH+DagD,"Dag","Fri"))))</f>
        <v/>
      </c>
      <c r="J1642" s="30">
        <f>IF(I1642="Fri","Ja","")</f>
        <v/>
      </c>
      <c r="K1642" s="30">
        <f>IF(B1642="","",IF(L1642="","Ukjent tekniker",IF(ISNA(MATCH(C1642,Aktiviteter,0)),"Ukjent aktivitet",IF(AND(INDEX(AktRolle,MATCH(C1642,Aktiviteter,0))&amp;""&lt;&gt;"",ISERROR(SEARCH(INDEX(AktRolle,MATCH(C1642,Aktiviteter,0))&amp;"",INDEX(TekRoller,MATCH(B1642,Teknikere,0))))),"Mangler rollen "&amp;INDEX(AktRolle,MATCH(C1642,Aktiviteter,0))&amp;"",IF(AND(C1642="LMS",F1642&gt;0,OR(D1642="",E1642="")),"Mangler maskin eller arbeid",IF(AND(OR(C1642="LMS",C1642="Mod"),D1642&lt;&gt;""),IF(IFERROR(INDEX(MaskinStatus,MATCH(D1642,Maskiner,0)),"")="I dokk","","Maskinen er ikke i dokk"),""))))))</f>
        <v/>
      </c>
      <c r="L1642" s="2">
        <f>IF(B1642="","",IFERROR(INT((MATCH(B1642,Teknikere,0)-1)/18)+1,""))</f>
        <v/>
      </c>
      <c r="M1642" s="2">
        <f>IF(OR(A1642="",B1642=""),"",B1642&amp;"|"&amp;A1642)</f>
        <v/>
      </c>
      <c r="N1642" s="2">
        <f>IF(M1642="","",SUMIFS(TF_Timer,TF_Nokkel,M1642,TF_Akt,C1642))</f>
        <v/>
      </c>
      <c r="O1642" s="2">
        <f>IF(M1642="","",IF(AND(N1642=_xlfn.MAXIFS(TF_AktSum,TF_Nokkel,M1642),COUNTIFS(M$3:M1641,M1642,N$3:N1641,N1642)=0),M1642,""))</f>
        <v/>
      </c>
    </row>
    <row r="1643">
      <c r="A1643" s="34" t="n"/>
      <c r="B1643" s="35" t="n"/>
      <c r="C1643" s="35" t="n"/>
      <c r="D1643" s="35" t="n"/>
      <c r="E1643" s="35" t="n"/>
      <c r="F1643" s="36" t="n"/>
      <c r="G1643" s="35" t="n"/>
      <c r="H1643" s="30">
        <f>IF(L1643="","",INDEX(SkiftNavn,L1643))</f>
        <v/>
      </c>
      <c r="I1643" s="30">
        <f>IF(OR(A1643="",L1643=""),"",IF(MOD(A1643-INDEX(SkiftStart,L1643),Syklus)&lt;DagK,"Kveld",IF(MOD(A1643-INDEX(SkiftStart,L1643),Syklus)&lt;DagK+DagH,"Helg",IF(MOD(A1643-INDEX(SkiftStart,L1643),Syklus)&lt;DagK+DagH+DagD,"Dag","Fri"))))</f>
        <v/>
      </c>
      <c r="J1643" s="30">
        <f>IF(I1643="Fri","Ja","")</f>
        <v/>
      </c>
      <c r="K1643" s="30">
        <f>IF(B1643="","",IF(L1643="","Ukjent tekniker",IF(ISNA(MATCH(C1643,Aktiviteter,0)),"Ukjent aktivitet",IF(AND(INDEX(AktRolle,MATCH(C1643,Aktiviteter,0))&amp;""&lt;&gt;"",ISERROR(SEARCH(INDEX(AktRolle,MATCH(C1643,Aktiviteter,0))&amp;"",INDEX(TekRoller,MATCH(B1643,Teknikere,0))))),"Mangler rollen "&amp;INDEX(AktRolle,MATCH(C1643,Aktiviteter,0))&amp;"",IF(AND(C1643="LMS",F1643&gt;0,OR(D1643="",E1643="")),"Mangler maskin eller arbeid",IF(AND(OR(C1643="LMS",C1643="Mod"),D1643&lt;&gt;""),IF(IFERROR(INDEX(MaskinStatus,MATCH(D1643,Maskiner,0)),"")="I dokk","","Maskinen er ikke i dokk"),""))))))</f>
        <v/>
      </c>
      <c r="L1643" s="2">
        <f>IF(B1643="","",IFERROR(INT((MATCH(B1643,Teknikere,0)-1)/18)+1,""))</f>
        <v/>
      </c>
      <c r="M1643" s="2">
        <f>IF(OR(A1643="",B1643=""),"",B1643&amp;"|"&amp;A1643)</f>
        <v/>
      </c>
      <c r="N1643" s="2">
        <f>IF(M1643="","",SUMIFS(TF_Timer,TF_Nokkel,M1643,TF_Akt,C1643))</f>
        <v/>
      </c>
      <c r="O1643" s="2">
        <f>IF(M1643="","",IF(AND(N1643=_xlfn.MAXIFS(TF_AktSum,TF_Nokkel,M1643),COUNTIFS(M$3:M1642,M1643,N$3:N1642,N1643)=0),M1643,""))</f>
        <v/>
      </c>
    </row>
    <row r="1644">
      <c r="A1644" s="34" t="n"/>
      <c r="B1644" s="35" t="n"/>
      <c r="C1644" s="35" t="n"/>
      <c r="D1644" s="35" t="n"/>
      <c r="E1644" s="35" t="n"/>
      <c r="F1644" s="36" t="n"/>
      <c r="G1644" s="35" t="n"/>
      <c r="H1644" s="30">
        <f>IF(L1644="","",INDEX(SkiftNavn,L1644))</f>
        <v/>
      </c>
      <c r="I1644" s="30">
        <f>IF(OR(A1644="",L1644=""),"",IF(MOD(A1644-INDEX(SkiftStart,L1644),Syklus)&lt;DagK,"Kveld",IF(MOD(A1644-INDEX(SkiftStart,L1644),Syklus)&lt;DagK+DagH,"Helg",IF(MOD(A1644-INDEX(SkiftStart,L1644),Syklus)&lt;DagK+DagH+DagD,"Dag","Fri"))))</f>
        <v/>
      </c>
      <c r="J1644" s="30">
        <f>IF(I1644="Fri","Ja","")</f>
        <v/>
      </c>
      <c r="K1644" s="30">
        <f>IF(B1644="","",IF(L1644="","Ukjent tekniker",IF(ISNA(MATCH(C1644,Aktiviteter,0)),"Ukjent aktivitet",IF(AND(INDEX(AktRolle,MATCH(C1644,Aktiviteter,0))&amp;""&lt;&gt;"",ISERROR(SEARCH(INDEX(AktRolle,MATCH(C1644,Aktiviteter,0))&amp;"",INDEX(TekRoller,MATCH(B1644,Teknikere,0))))),"Mangler rollen "&amp;INDEX(AktRolle,MATCH(C1644,Aktiviteter,0))&amp;"",IF(AND(C1644="LMS",F1644&gt;0,OR(D1644="",E1644="")),"Mangler maskin eller arbeid",IF(AND(OR(C1644="LMS",C1644="Mod"),D1644&lt;&gt;""),IF(IFERROR(INDEX(MaskinStatus,MATCH(D1644,Maskiner,0)),"")="I dokk","","Maskinen er ikke i dokk"),""))))))</f>
        <v/>
      </c>
      <c r="L1644" s="2">
        <f>IF(B1644="","",IFERROR(INT((MATCH(B1644,Teknikere,0)-1)/18)+1,""))</f>
        <v/>
      </c>
      <c r="M1644" s="2">
        <f>IF(OR(A1644="",B1644=""),"",B1644&amp;"|"&amp;A1644)</f>
        <v/>
      </c>
      <c r="N1644" s="2">
        <f>IF(M1644="","",SUMIFS(TF_Timer,TF_Nokkel,M1644,TF_Akt,C1644))</f>
        <v/>
      </c>
      <c r="O1644" s="2">
        <f>IF(M1644="","",IF(AND(N1644=_xlfn.MAXIFS(TF_AktSum,TF_Nokkel,M1644),COUNTIFS(M$3:M1643,M1644,N$3:N1643,N1644)=0),M1644,""))</f>
        <v/>
      </c>
    </row>
    <row r="1645">
      <c r="A1645" s="34" t="n"/>
      <c r="B1645" s="35" t="n"/>
      <c r="C1645" s="35" t="n"/>
      <c r="D1645" s="35" t="n"/>
      <c r="E1645" s="35" t="n"/>
      <c r="F1645" s="36" t="n"/>
      <c r="G1645" s="35" t="n"/>
      <c r="H1645" s="30">
        <f>IF(L1645="","",INDEX(SkiftNavn,L1645))</f>
        <v/>
      </c>
      <c r="I1645" s="30">
        <f>IF(OR(A1645="",L1645=""),"",IF(MOD(A1645-INDEX(SkiftStart,L1645),Syklus)&lt;DagK,"Kveld",IF(MOD(A1645-INDEX(SkiftStart,L1645),Syklus)&lt;DagK+DagH,"Helg",IF(MOD(A1645-INDEX(SkiftStart,L1645),Syklus)&lt;DagK+DagH+DagD,"Dag","Fri"))))</f>
        <v/>
      </c>
      <c r="J1645" s="30">
        <f>IF(I1645="Fri","Ja","")</f>
        <v/>
      </c>
      <c r="K1645" s="30">
        <f>IF(B1645="","",IF(L1645="","Ukjent tekniker",IF(ISNA(MATCH(C1645,Aktiviteter,0)),"Ukjent aktivitet",IF(AND(INDEX(AktRolle,MATCH(C1645,Aktiviteter,0))&amp;""&lt;&gt;"",ISERROR(SEARCH(INDEX(AktRolle,MATCH(C1645,Aktiviteter,0))&amp;"",INDEX(TekRoller,MATCH(B1645,Teknikere,0))))),"Mangler rollen "&amp;INDEX(AktRolle,MATCH(C1645,Aktiviteter,0))&amp;"",IF(AND(C1645="LMS",F1645&gt;0,OR(D1645="",E1645="")),"Mangler maskin eller arbeid",IF(AND(OR(C1645="LMS",C1645="Mod"),D1645&lt;&gt;""),IF(IFERROR(INDEX(MaskinStatus,MATCH(D1645,Maskiner,0)),"")="I dokk","","Maskinen er ikke i dokk"),""))))))</f>
        <v/>
      </c>
      <c r="L1645" s="2">
        <f>IF(B1645="","",IFERROR(INT((MATCH(B1645,Teknikere,0)-1)/18)+1,""))</f>
        <v/>
      </c>
      <c r="M1645" s="2">
        <f>IF(OR(A1645="",B1645=""),"",B1645&amp;"|"&amp;A1645)</f>
        <v/>
      </c>
      <c r="N1645" s="2">
        <f>IF(M1645="","",SUMIFS(TF_Timer,TF_Nokkel,M1645,TF_Akt,C1645))</f>
        <v/>
      </c>
      <c r="O1645" s="2">
        <f>IF(M1645="","",IF(AND(N1645=_xlfn.MAXIFS(TF_AktSum,TF_Nokkel,M1645),COUNTIFS(M$3:M1644,M1645,N$3:N1644,N1645)=0),M1645,""))</f>
        <v/>
      </c>
    </row>
    <row r="1646">
      <c r="A1646" s="34" t="n"/>
      <c r="B1646" s="35" t="n"/>
      <c r="C1646" s="35" t="n"/>
      <c r="D1646" s="35" t="n"/>
      <c r="E1646" s="35" t="n"/>
      <c r="F1646" s="36" t="n"/>
      <c r="G1646" s="35" t="n"/>
      <c r="H1646" s="30">
        <f>IF(L1646="","",INDEX(SkiftNavn,L1646))</f>
        <v/>
      </c>
      <c r="I1646" s="30">
        <f>IF(OR(A1646="",L1646=""),"",IF(MOD(A1646-INDEX(SkiftStart,L1646),Syklus)&lt;DagK,"Kveld",IF(MOD(A1646-INDEX(SkiftStart,L1646),Syklus)&lt;DagK+DagH,"Helg",IF(MOD(A1646-INDEX(SkiftStart,L1646),Syklus)&lt;DagK+DagH+DagD,"Dag","Fri"))))</f>
        <v/>
      </c>
      <c r="J1646" s="30">
        <f>IF(I1646="Fri","Ja","")</f>
        <v/>
      </c>
      <c r="K1646" s="30">
        <f>IF(B1646="","",IF(L1646="","Ukjent tekniker",IF(ISNA(MATCH(C1646,Aktiviteter,0)),"Ukjent aktivitet",IF(AND(INDEX(AktRolle,MATCH(C1646,Aktiviteter,0))&amp;""&lt;&gt;"",ISERROR(SEARCH(INDEX(AktRolle,MATCH(C1646,Aktiviteter,0))&amp;"",INDEX(TekRoller,MATCH(B1646,Teknikere,0))))),"Mangler rollen "&amp;INDEX(AktRolle,MATCH(C1646,Aktiviteter,0))&amp;"",IF(AND(C1646="LMS",F1646&gt;0,OR(D1646="",E1646="")),"Mangler maskin eller arbeid",IF(AND(OR(C1646="LMS",C1646="Mod"),D1646&lt;&gt;""),IF(IFERROR(INDEX(MaskinStatus,MATCH(D1646,Maskiner,0)),"")="I dokk","","Maskinen er ikke i dokk"),""))))))</f>
        <v/>
      </c>
      <c r="L1646" s="2">
        <f>IF(B1646="","",IFERROR(INT((MATCH(B1646,Teknikere,0)-1)/18)+1,""))</f>
        <v/>
      </c>
      <c r="M1646" s="2">
        <f>IF(OR(A1646="",B1646=""),"",B1646&amp;"|"&amp;A1646)</f>
        <v/>
      </c>
      <c r="N1646" s="2">
        <f>IF(M1646="","",SUMIFS(TF_Timer,TF_Nokkel,M1646,TF_Akt,C1646))</f>
        <v/>
      </c>
      <c r="O1646" s="2">
        <f>IF(M1646="","",IF(AND(N1646=_xlfn.MAXIFS(TF_AktSum,TF_Nokkel,M1646),COUNTIFS(M$3:M1645,M1646,N$3:N1645,N1646)=0),M1646,""))</f>
        <v/>
      </c>
    </row>
    <row r="1647">
      <c r="A1647" s="34" t="n"/>
      <c r="B1647" s="35" t="n"/>
      <c r="C1647" s="35" t="n"/>
      <c r="D1647" s="35" t="n"/>
      <c r="E1647" s="35" t="n"/>
      <c r="F1647" s="36" t="n"/>
      <c r="G1647" s="35" t="n"/>
      <c r="H1647" s="30">
        <f>IF(L1647="","",INDEX(SkiftNavn,L1647))</f>
        <v/>
      </c>
      <c r="I1647" s="30">
        <f>IF(OR(A1647="",L1647=""),"",IF(MOD(A1647-INDEX(SkiftStart,L1647),Syklus)&lt;DagK,"Kveld",IF(MOD(A1647-INDEX(SkiftStart,L1647),Syklus)&lt;DagK+DagH,"Helg",IF(MOD(A1647-INDEX(SkiftStart,L1647),Syklus)&lt;DagK+DagH+DagD,"Dag","Fri"))))</f>
        <v/>
      </c>
      <c r="J1647" s="30">
        <f>IF(I1647="Fri","Ja","")</f>
        <v/>
      </c>
      <c r="K1647" s="30">
        <f>IF(B1647="","",IF(L1647="","Ukjent tekniker",IF(ISNA(MATCH(C1647,Aktiviteter,0)),"Ukjent aktivitet",IF(AND(INDEX(AktRolle,MATCH(C1647,Aktiviteter,0))&amp;""&lt;&gt;"",ISERROR(SEARCH(INDEX(AktRolle,MATCH(C1647,Aktiviteter,0))&amp;"",INDEX(TekRoller,MATCH(B1647,Teknikere,0))))),"Mangler rollen "&amp;INDEX(AktRolle,MATCH(C1647,Aktiviteter,0))&amp;"",IF(AND(C1647="LMS",F1647&gt;0,OR(D1647="",E1647="")),"Mangler maskin eller arbeid",IF(AND(OR(C1647="LMS",C1647="Mod"),D1647&lt;&gt;""),IF(IFERROR(INDEX(MaskinStatus,MATCH(D1647,Maskiner,0)),"")="I dokk","","Maskinen er ikke i dokk"),""))))))</f>
        <v/>
      </c>
      <c r="L1647" s="2">
        <f>IF(B1647="","",IFERROR(INT((MATCH(B1647,Teknikere,0)-1)/18)+1,""))</f>
        <v/>
      </c>
      <c r="M1647" s="2">
        <f>IF(OR(A1647="",B1647=""),"",B1647&amp;"|"&amp;A1647)</f>
        <v/>
      </c>
      <c r="N1647" s="2">
        <f>IF(M1647="","",SUMIFS(TF_Timer,TF_Nokkel,M1647,TF_Akt,C1647))</f>
        <v/>
      </c>
      <c r="O1647" s="2">
        <f>IF(M1647="","",IF(AND(N1647=_xlfn.MAXIFS(TF_AktSum,TF_Nokkel,M1647),COUNTIFS(M$3:M1646,M1647,N$3:N1646,N1647)=0),M1647,""))</f>
        <v/>
      </c>
    </row>
    <row r="1648">
      <c r="A1648" s="34" t="n"/>
      <c r="B1648" s="35" t="n"/>
      <c r="C1648" s="35" t="n"/>
      <c r="D1648" s="35" t="n"/>
      <c r="E1648" s="35" t="n"/>
      <c r="F1648" s="36" t="n"/>
      <c r="G1648" s="35" t="n"/>
      <c r="H1648" s="30">
        <f>IF(L1648="","",INDEX(SkiftNavn,L1648))</f>
        <v/>
      </c>
      <c r="I1648" s="30">
        <f>IF(OR(A1648="",L1648=""),"",IF(MOD(A1648-INDEX(SkiftStart,L1648),Syklus)&lt;DagK,"Kveld",IF(MOD(A1648-INDEX(SkiftStart,L1648),Syklus)&lt;DagK+DagH,"Helg",IF(MOD(A1648-INDEX(SkiftStart,L1648),Syklus)&lt;DagK+DagH+DagD,"Dag","Fri"))))</f>
        <v/>
      </c>
      <c r="J1648" s="30">
        <f>IF(I1648="Fri","Ja","")</f>
        <v/>
      </c>
      <c r="K1648" s="30">
        <f>IF(B1648="","",IF(L1648="","Ukjent tekniker",IF(ISNA(MATCH(C1648,Aktiviteter,0)),"Ukjent aktivitet",IF(AND(INDEX(AktRolle,MATCH(C1648,Aktiviteter,0))&amp;""&lt;&gt;"",ISERROR(SEARCH(INDEX(AktRolle,MATCH(C1648,Aktiviteter,0))&amp;"",INDEX(TekRoller,MATCH(B1648,Teknikere,0))))),"Mangler rollen "&amp;INDEX(AktRolle,MATCH(C1648,Aktiviteter,0))&amp;"",IF(AND(C1648="LMS",F1648&gt;0,OR(D1648="",E1648="")),"Mangler maskin eller arbeid",IF(AND(OR(C1648="LMS",C1648="Mod"),D1648&lt;&gt;""),IF(IFERROR(INDEX(MaskinStatus,MATCH(D1648,Maskiner,0)),"")="I dokk","","Maskinen er ikke i dokk"),""))))))</f>
        <v/>
      </c>
      <c r="L1648" s="2">
        <f>IF(B1648="","",IFERROR(INT((MATCH(B1648,Teknikere,0)-1)/18)+1,""))</f>
        <v/>
      </c>
      <c r="M1648" s="2">
        <f>IF(OR(A1648="",B1648=""),"",B1648&amp;"|"&amp;A1648)</f>
        <v/>
      </c>
      <c r="N1648" s="2">
        <f>IF(M1648="","",SUMIFS(TF_Timer,TF_Nokkel,M1648,TF_Akt,C1648))</f>
        <v/>
      </c>
      <c r="O1648" s="2">
        <f>IF(M1648="","",IF(AND(N1648=_xlfn.MAXIFS(TF_AktSum,TF_Nokkel,M1648),COUNTIFS(M$3:M1647,M1648,N$3:N1647,N1648)=0),M1648,""))</f>
        <v/>
      </c>
    </row>
    <row r="1649">
      <c r="A1649" s="34" t="n"/>
      <c r="B1649" s="35" t="n"/>
      <c r="C1649" s="35" t="n"/>
      <c r="D1649" s="35" t="n"/>
      <c r="E1649" s="35" t="n"/>
      <c r="F1649" s="36" t="n"/>
      <c r="G1649" s="35" t="n"/>
      <c r="H1649" s="30">
        <f>IF(L1649="","",INDEX(SkiftNavn,L1649))</f>
        <v/>
      </c>
      <c r="I1649" s="30">
        <f>IF(OR(A1649="",L1649=""),"",IF(MOD(A1649-INDEX(SkiftStart,L1649),Syklus)&lt;DagK,"Kveld",IF(MOD(A1649-INDEX(SkiftStart,L1649),Syklus)&lt;DagK+DagH,"Helg",IF(MOD(A1649-INDEX(SkiftStart,L1649),Syklus)&lt;DagK+DagH+DagD,"Dag","Fri"))))</f>
        <v/>
      </c>
      <c r="J1649" s="30">
        <f>IF(I1649="Fri","Ja","")</f>
        <v/>
      </c>
      <c r="K1649" s="30">
        <f>IF(B1649="","",IF(L1649="","Ukjent tekniker",IF(ISNA(MATCH(C1649,Aktiviteter,0)),"Ukjent aktivitet",IF(AND(INDEX(AktRolle,MATCH(C1649,Aktiviteter,0))&amp;""&lt;&gt;"",ISERROR(SEARCH(INDEX(AktRolle,MATCH(C1649,Aktiviteter,0))&amp;"",INDEX(TekRoller,MATCH(B1649,Teknikere,0))))),"Mangler rollen "&amp;INDEX(AktRolle,MATCH(C1649,Aktiviteter,0))&amp;"",IF(AND(C1649="LMS",F1649&gt;0,OR(D1649="",E1649="")),"Mangler maskin eller arbeid",IF(AND(OR(C1649="LMS",C1649="Mod"),D1649&lt;&gt;""),IF(IFERROR(INDEX(MaskinStatus,MATCH(D1649,Maskiner,0)),"")="I dokk","","Maskinen er ikke i dokk"),""))))))</f>
        <v/>
      </c>
      <c r="L1649" s="2">
        <f>IF(B1649="","",IFERROR(INT((MATCH(B1649,Teknikere,0)-1)/18)+1,""))</f>
        <v/>
      </c>
      <c r="M1649" s="2">
        <f>IF(OR(A1649="",B1649=""),"",B1649&amp;"|"&amp;A1649)</f>
        <v/>
      </c>
      <c r="N1649" s="2">
        <f>IF(M1649="","",SUMIFS(TF_Timer,TF_Nokkel,M1649,TF_Akt,C1649))</f>
        <v/>
      </c>
      <c r="O1649" s="2">
        <f>IF(M1649="","",IF(AND(N1649=_xlfn.MAXIFS(TF_AktSum,TF_Nokkel,M1649),COUNTIFS(M$3:M1648,M1649,N$3:N1648,N1649)=0),M1649,""))</f>
        <v/>
      </c>
    </row>
    <row r="1650">
      <c r="A1650" s="34" t="n"/>
      <c r="B1650" s="35" t="n"/>
      <c r="C1650" s="35" t="n"/>
      <c r="D1650" s="35" t="n"/>
      <c r="E1650" s="35" t="n"/>
      <c r="F1650" s="36" t="n"/>
      <c r="G1650" s="35" t="n"/>
      <c r="H1650" s="30">
        <f>IF(L1650="","",INDEX(SkiftNavn,L1650))</f>
        <v/>
      </c>
      <c r="I1650" s="30">
        <f>IF(OR(A1650="",L1650=""),"",IF(MOD(A1650-INDEX(SkiftStart,L1650),Syklus)&lt;DagK,"Kveld",IF(MOD(A1650-INDEX(SkiftStart,L1650),Syklus)&lt;DagK+DagH,"Helg",IF(MOD(A1650-INDEX(SkiftStart,L1650),Syklus)&lt;DagK+DagH+DagD,"Dag","Fri"))))</f>
        <v/>
      </c>
      <c r="J1650" s="30">
        <f>IF(I1650="Fri","Ja","")</f>
        <v/>
      </c>
      <c r="K1650" s="30">
        <f>IF(B1650="","",IF(L1650="","Ukjent tekniker",IF(ISNA(MATCH(C1650,Aktiviteter,0)),"Ukjent aktivitet",IF(AND(INDEX(AktRolle,MATCH(C1650,Aktiviteter,0))&amp;""&lt;&gt;"",ISERROR(SEARCH(INDEX(AktRolle,MATCH(C1650,Aktiviteter,0))&amp;"",INDEX(TekRoller,MATCH(B1650,Teknikere,0))))),"Mangler rollen "&amp;INDEX(AktRolle,MATCH(C1650,Aktiviteter,0))&amp;"",IF(AND(C1650="LMS",F1650&gt;0,OR(D1650="",E1650="")),"Mangler maskin eller arbeid",IF(AND(OR(C1650="LMS",C1650="Mod"),D1650&lt;&gt;""),IF(IFERROR(INDEX(MaskinStatus,MATCH(D1650,Maskiner,0)),"")="I dokk","","Maskinen er ikke i dokk"),""))))))</f>
        <v/>
      </c>
      <c r="L1650" s="2">
        <f>IF(B1650="","",IFERROR(INT((MATCH(B1650,Teknikere,0)-1)/18)+1,""))</f>
        <v/>
      </c>
      <c r="M1650" s="2">
        <f>IF(OR(A1650="",B1650=""),"",B1650&amp;"|"&amp;A1650)</f>
        <v/>
      </c>
      <c r="N1650" s="2">
        <f>IF(M1650="","",SUMIFS(TF_Timer,TF_Nokkel,M1650,TF_Akt,C1650))</f>
        <v/>
      </c>
      <c r="O1650" s="2">
        <f>IF(M1650="","",IF(AND(N1650=_xlfn.MAXIFS(TF_AktSum,TF_Nokkel,M1650),COUNTIFS(M$3:M1649,M1650,N$3:N1649,N1650)=0),M1650,""))</f>
        <v/>
      </c>
    </row>
    <row r="1651">
      <c r="A1651" s="34" t="n"/>
      <c r="B1651" s="35" t="n"/>
      <c r="C1651" s="35" t="n"/>
      <c r="D1651" s="35" t="n"/>
      <c r="E1651" s="35" t="n"/>
      <c r="F1651" s="36" t="n"/>
      <c r="G1651" s="35" t="n"/>
      <c r="H1651" s="30">
        <f>IF(L1651="","",INDEX(SkiftNavn,L1651))</f>
        <v/>
      </c>
      <c r="I1651" s="30">
        <f>IF(OR(A1651="",L1651=""),"",IF(MOD(A1651-INDEX(SkiftStart,L1651),Syklus)&lt;DagK,"Kveld",IF(MOD(A1651-INDEX(SkiftStart,L1651),Syklus)&lt;DagK+DagH,"Helg",IF(MOD(A1651-INDEX(SkiftStart,L1651),Syklus)&lt;DagK+DagH+DagD,"Dag","Fri"))))</f>
        <v/>
      </c>
      <c r="J1651" s="30">
        <f>IF(I1651="Fri","Ja","")</f>
        <v/>
      </c>
      <c r="K1651" s="30">
        <f>IF(B1651="","",IF(L1651="","Ukjent tekniker",IF(ISNA(MATCH(C1651,Aktiviteter,0)),"Ukjent aktivitet",IF(AND(INDEX(AktRolle,MATCH(C1651,Aktiviteter,0))&amp;""&lt;&gt;"",ISERROR(SEARCH(INDEX(AktRolle,MATCH(C1651,Aktiviteter,0))&amp;"",INDEX(TekRoller,MATCH(B1651,Teknikere,0))))),"Mangler rollen "&amp;INDEX(AktRolle,MATCH(C1651,Aktiviteter,0))&amp;"",IF(AND(C1651="LMS",F1651&gt;0,OR(D1651="",E1651="")),"Mangler maskin eller arbeid",IF(AND(OR(C1651="LMS",C1651="Mod"),D1651&lt;&gt;""),IF(IFERROR(INDEX(MaskinStatus,MATCH(D1651,Maskiner,0)),"")="I dokk","","Maskinen er ikke i dokk"),""))))))</f>
        <v/>
      </c>
      <c r="L1651" s="2">
        <f>IF(B1651="","",IFERROR(INT((MATCH(B1651,Teknikere,0)-1)/18)+1,""))</f>
        <v/>
      </c>
      <c r="M1651" s="2">
        <f>IF(OR(A1651="",B1651=""),"",B1651&amp;"|"&amp;A1651)</f>
        <v/>
      </c>
      <c r="N1651" s="2">
        <f>IF(M1651="","",SUMIFS(TF_Timer,TF_Nokkel,M1651,TF_Akt,C1651))</f>
        <v/>
      </c>
      <c r="O1651" s="2">
        <f>IF(M1651="","",IF(AND(N1651=_xlfn.MAXIFS(TF_AktSum,TF_Nokkel,M1651),COUNTIFS(M$3:M1650,M1651,N$3:N1650,N1651)=0),M1651,""))</f>
        <v/>
      </c>
    </row>
    <row r="1652">
      <c r="A1652" s="34" t="n"/>
      <c r="B1652" s="35" t="n"/>
      <c r="C1652" s="35" t="n"/>
      <c r="D1652" s="35" t="n"/>
      <c r="E1652" s="35" t="n"/>
      <c r="F1652" s="36" t="n"/>
      <c r="G1652" s="35" t="n"/>
      <c r="H1652" s="30">
        <f>IF(L1652="","",INDEX(SkiftNavn,L1652))</f>
        <v/>
      </c>
      <c r="I1652" s="30">
        <f>IF(OR(A1652="",L1652=""),"",IF(MOD(A1652-INDEX(SkiftStart,L1652),Syklus)&lt;DagK,"Kveld",IF(MOD(A1652-INDEX(SkiftStart,L1652),Syklus)&lt;DagK+DagH,"Helg",IF(MOD(A1652-INDEX(SkiftStart,L1652),Syklus)&lt;DagK+DagH+DagD,"Dag","Fri"))))</f>
        <v/>
      </c>
      <c r="J1652" s="30">
        <f>IF(I1652="Fri","Ja","")</f>
        <v/>
      </c>
      <c r="K1652" s="30">
        <f>IF(B1652="","",IF(L1652="","Ukjent tekniker",IF(ISNA(MATCH(C1652,Aktiviteter,0)),"Ukjent aktivitet",IF(AND(INDEX(AktRolle,MATCH(C1652,Aktiviteter,0))&amp;""&lt;&gt;"",ISERROR(SEARCH(INDEX(AktRolle,MATCH(C1652,Aktiviteter,0))&amp;"",INDEX(TekRoller,MATCH(B1652,Teknikere,0))))),"Mangler rollen "&amp;INDEX(AktRolle,MATCH(C1652,Aktiviteter,0))&amp;"",IF(AND(C1652="LMS",F1652&gt;0,OR(D1652="",E1652="")),"Mangler maskin eller arbeid",IF(AND(OR(C1652="LMS",C1652="Mod"),D1652&lt;&gt;""),IF(IFERROR(INDEX(MaskinStatus,MATCH(D1652,Maskiner,0)),"")="I dokk","","Maskinen er ikke i dokk"),""))))))</f>
        <v/>
      </c>
      <c r="L1652" s="2">
        <f>IF(B1652="","",IFERROR(INT((MATCH(B1652,Teknikere,0)-1)/18)+1,""))</f>
        <v/>
      </c>
      <c r="M1652" s="2">
        <f>IF(OR(A1652="",B1652=""),"",B1652&amp;"|"&amp;A1652)</f>
        <v/>
      </c>
      <c r="N1652" s="2">
        <f>IF(M1652="","",SUMIFS(TF_Timer,TF_Nokkel,M1652,TF_Akt,C1652))</f>
        <v/>
      </c>
      <c r="O1652" s="2">
        <f>IF(M1652="","",IF(AND(N1652=_xlfn.MAXIFS(TF_AktSum,TF_Nokkel,M1652),COUNTIFS(M$3:M1651,M1652,N$3:N1651,N1652)=0),M1652,""))</f>
        <v/>
      </c>
    </row>
    <row r="1653">
      <c r="A1653" s="34" t="n"/>
      <c r="B1653" s="35" t="n"/>
      <c r="C1653" s="35" t="n"/>
      <c r="D1653" s="35" t="n"/>
      <c r="E1653" s="35" t="n"/>
      <c r="F1653" s="36" t="n"/>
      <c r="G1653" s="35" t="n"/>
      <c r="H1653" s="30">
        <f>IF(L1653="","",INDEX(SkiftNavn,L1653))</f>
        <v/>
      </c>
      <c r="I1653" s="30">
        <f>IF(OR(A1653="",L1653=""),"",IF(MOD(A1653-INDEX(SkiftStart,L1653),Syklus)&lt;DagK,"Kveld",IF(MOD(A1653-INDEX(SkiftStart,L1653),Syklus)&lt;DagK+DagH,"Helg",IF(MOD(A1653-INDEX(SkiftStart,L1653),Syklus)&lt;DagK+DagH+DagD,"Dag","Fri"))))</f>
        <v/>
      </c>
      <c r="J1653" s="30">
        <f>IF(I1653="Fri","Ja","")</f>
        <v/>
      </c>
      <c r="K1653" s="30">
        <f>IF(B1653="","",IF(L1653="","Ukjent tekniker",IF(ISNA(MATCH(C1653,Aktiviteter,0)),"Ukjent aktivitet",IF(AND(INDEX(AktRolle,MATCH(C1653,Aktiviteter,0))&amp;""&lt;&gt;"",ISERROR(SEARCH(INDEX(AktRolle,MATCH(C1653,Aktiviteter,0))&amp;"",INDEX(TekRoller,MATCH(B1653,Teknikere,0))))),"Mangler rollen "&amp;INDEX(AktRolle,MATCH(C1653,Aktiviteter,0))&amp;"",IF(AND(C1653="LMS",F1653&gt;0,OR(D1653="",E1653="")),"Mangler maskin eller arbeid",IF(AND(OR(C1653="LMS",C1653="Mod"),D1653&lt;&gt;""),IF(IFERROR(INDEX(MaskinStatus,MATCH(D1653,Maskiner,0)),"")="I dokk","","Maskinen er ikke i dokk"),""))))))</f>
        <v/>
      </c>
      <c r="L1653" s="2">
        <f>IF(B1653="","",IFERROR(INT((MATCH(B1653,Teknikere,0)-1)/18)+1,""))</f>
        <v/>
      </c>
      <c r="M1653" s="2">
        <f>IF(OR(A1653="",B1653=""),"",B1653&amp;"|"&amp;A1653)</f>
        <v/>
      </c>
      <c r="N1653" s="2">
        <f>IF(M1653="","",SUMIFS(TF_Timer,TF_Nokkel,M1653,TF_Akt,C1653))</f>
        <v/>
      </c>
      <c r="O1653" s="2">
        <f>IF(M1653="","",IF(AND(N1653=_xlfn.MAXIFS(TF_AktSum,TF_Nokkel,M1653),COUNTIFS(M$3:M1652,M1653,N$3:N1652,N1653)=0),M1653,""))</f>
        <v/>
      </c>
    </row>
    <row r="1654">
      <c r="A1654" s="34" t="n"/>
      <c r="B1654" s="35" t="n"/>
      <c r="C1654" s="35" t="n"/>
      <c r="D1654" s="35" t="n"/>
      <c r="E1654" s="35" t="n"/>
      <c r="F1654" s="36" t="n"/>
      <c r="G1654" s="35" t="n"/>
      <c r="H1654" s="30">
        <f>IF(L1654="","",INDEX(SkiftNavn,L1654))</f>
        <v/>
      </c>
      <c r="I1654" s="30">
        <f>IF(OR(A1654="",L1654=""),"",IF(MOD(A1654-INDEX(SkiftStart,L1654),Syklus)&lt;DagK,"Kveld",IF(MOD(A1654-INDEX(SkiftStart,L1654),Syklus)&lt;DagK+DagH,"Helg",IF(MOD(A1654-INDEX(SkiftStart,L1654),Syklus)&lt;DagK+DagH+DagD,"Dag","Fri"))))</f>
        <v/>
      </c>
      <c r="J1654" s="30">
        <f>IF(I1654="Fri","Ja","")</f>
        <v/>
      </c>
      <c r="K1654" s="30">
        <f>IF(B1654="","",IF(L1654="","Ukjent tekniker",IF(ISNA(MATCH(C1654,Aktiviteter,0)),"Ukjent aktivitet",IF(AND(INDEX(AktRolle,MATCH(C1654,Aktiviteter,0))&amp;""&lt;&gt;"",ISERROR(SEARCH(INDEX(AktRolle,MATCH(C1654,Aktiviteter,0))&amp;"",INDEX(TekRoller,MATCH(B1654,Teknikere,0))))),"Mangler rollen "&amp;INDEX(AktRolle,MATCH(C1654,Aktiviteter,0))&amp;"",IF(AND(C1654="LMS",F1654&gt;0,OR(D1654="",E1654="")),"Mangler maskin eller arbeid",IF(AND(OR(C1654="LMS",C1654="Mod"),D1654&lt;&gt;""),IF(IFERROR(INDEX(MaskinStatus,MATCH(D1654,Maskiner,0)),"")="I dokk","","Maskinen er ikke i dokk"),""))))))</f>
        <v/>
      </c>
      <c r="L1654" s="2">
        <f>IF(B1654="","",IFERROR(INT((MATCH(B1654,Teknikere,0)-1)/18)+1,""))</f>
        <v/>
      </c>
      <c r="M1654" s="2">
        <f>IF(OR(A1654="",B1654=""),"",B1654&amp;"|"&amp;A1654)</f>
        <v/>
      </c>
      <c r="N1654" s="2">
        <f>IF(M1654="","",SUMIFS(TF_Timer,TF_Nokkel,M1654,TF_Akt,C1654))</f>
        <v/>
      </c>
      <c r="O1654" s="2">
        <f>IF(M1654="","",IF(AND(N1654=_xlfn.MAXIFS(TF_AktSum,TF_Nokkel,M1654),COUNTIFS(M$3:M1653,M1654,N$3:N1653,N1654)=0),M1654,""))</f>
        <v/>
      </c>
    </row>
    <row r="1655">
      <c r="A1655" s="34" t="n"/>
      <c r="B1655" s="35" t="n"/>
      <c r="C1655" s="35" t="n"/>
      <c r="D1655" s="35" t="n"/>
      <c r="E1655" s="35" t="n"/>
      <c r="F1655" s="36" t="n"/>
      <c r="G1655" s="35" t="n"/>
      <c r="H1655" s="30">
        <f>IF(L1655="","",INDEX(SkiftNavn,L1655))</f>
        <v/>
      </c>
      <c r="I1655" s="30">
        <f>IF(OR(A1655="",L1655=""),"",IF(MOD(A1655-INDEX(SkiftStart,L1655),Syklus)&lt;DagK,"Kveld",IF(MOD(A1655-INDEX(SkiftStart,L1655),Syklus)&lt;DagK+DagH,"Helg",IF(MOD(A1655-INDEX(SkiftStart,L1655),Syklus)&lt;DagK+DagH+DagD,"Dag","Fri"))))</f>
        <v/>
      </c>
      <c r="J1655" s="30">
        <f>IF(I1655="Fri","Ja","")</f>
        <v/>
      </c>
      <c r="K1655" s="30">
        <f>IF(B1655="","",IF(L1655="","Ukjent tekniker",IF(ISNA(MATCH(C1655,Aktiviteter,0)),"Ukjent aktivitet",IF(AND(INDEX(AktRolle,MATCH(C1655,Aktiviteter,0))&amp;""&lt;&gt;"",ISERROR(SEARCH(INDEX(AktRolle,MATCH(C1655,Aktiviteter,0))&amp;"",INDEX(TekRoller,MATCH(B1655,Teknikere,0))))),"Mangler rollen "&amp;INDEX(AktRolle,MATCH(C1655,Aktiviteter,0))&amp;"",IF(AND(C1655="LMS",F1655&gt;0,OR(D1655="",E1655="")),"Mangler maskin eller arbeid",IF(AND(OR(C1655="LMS",C1655="Mod"),D1655&lt;&gt;""),IF(IFERROR(INDEX(MaskinStatus,MATCH(D1655,Maskiner,0)),"")="I dokk","","Maskinen er ikke i dokk"),""))))))</f>
        <v/>
      </c>
      <c r="L1655" s="2">
        <f>IF(B1655="","",IFERROR(INT((MATCH(B1655,Teknikere,0)-1)/18)+1,""))</f>
        <v/>
      </c>
      <c r="M1655" s="2">
        <f>IF(OR(A1655="",B1655=""),"",B1655&amp;"|"&amp;A1655)</f>
        <v/>
      </c>
      <c r="N1655" s="2">
        <f>IF(M1655="","",SUMIFS(TF_Timer,TF_Nokkel,M1655,TF_Akt,C1655))</f>
        <v/>
      </c>
      <c r="O1655" s="2">
        <f>IF(M1655="","",IF(AND(N1655=_xlfn.MAXIFS(TF_AktSum,TF_Nokkel,M1655),COUNTIFS(M$3:M1654,M1655,N$3:N1654,N1655)=0),M1655,""))</f>
        <v/>
      </c>
    </row>
    <row r="1656">
      <c r="A1656" s="34" t="n"/>
      <c r="B1656" s="35" t="n"/>
      <c r="C1656" s="35" t="n"/>
      <c r="D1656" s="35" t="n"/>
      <c r="E1656" s="35" t="n"/>
      <c r="F1656" s="36" t="n"/>
      <c r="G1656" s="35" t="n"/>
      <c r="H1656" s="30">
        <f>IF(L1656="","",INDEX(SkiftNavn,L1656))</f>
        <v/>
      </c>
      <c r="I1656" s="30">
        <f>IF(OR(A1656="",L1656=""),"",IF(MOD(A1656-INDEX(SkiftStart,L1656),Syklus)&lt;DagK,"Kveld",IF(MOD(A1656-INDEX(SkiftStart,L1656),Syklus)&lt;DagK+DagH,"Helg",IF(MOD(A1656-INDEX(SkiftStart,L1656),Syklus)&lt;DagK+DagH+DagD,"Dag","Fri"))))</f>
        <v/>
      </c>
      <c r="J1656" s="30">
        <f>IF(I1656="Fri","Ja","")</f>
        <v/>
      </c>
      <c r="K1656" s="30">
        <f>IF(B1656="","",IF(L1656="","Ukjent tekniker",IF(ISNA(MATCH(C1656,Aktiviteter,0)),"Ukjent aktivitet",IF(AND(INDEX(AktRolle,MATCH(C1656,Aktiviteter,0))&amp;""&lt;&gt;"",ISERROR(SEARCH(INDEX(AktRolle,MATCH(C1656,Aktiviteter,0))&amp;"",INDEX(TekRoller,MATCH(B1656,Teknikere,0))))),"Mangler rollen "&amp;INDEX(AktRolle,MATCH(C1656,Aktiviteter,0))&amp;"",IF(AND(C1656="LMS",F1656&gt;0,OR(D1656="",E1656="")),"Mangler maskin eller arbeid",IF(AND(OR(C1656="LMS",C1656="Mod"),D1656&lt;&gt;""),IF(IFERROR(INDEX(MaskinStatus,MATCH(D1656,Maskiner,0)),"")="I dokk","","Maskinen er ikke i dokk"),""))))))</f>
        <v/>
      </c>
      <c r="L1656" s="2">
        <f>IF(B1656="","",IFERROR(INT((MATCH(B1656,Teknikere,0)-1)/18)+1,""))</f>
        <v/>
      </c>
      <c r="M1656" s="2">
        <f>IF(OR(A1656="",B1656=""),"",B1656&amp;"|"&amp;A1656)</f>
        <v/>
      </c>
      <c r="N1656" s="2">
        <f>IF(M1656="","",SUMIFS(TF_Timer,TF_Nokkel,M1656,TF_Akt,C1656))</f>
        <v/>
      </c>
      <c r="O1656" s="2">
        <f>IF(M1656="","",IF(AND(N1656=_xlfn.MAXIFS(TF_AktSum,TF_Nokkel,M1656),COUNTIFS(M$3:M1655,M1656,N$3:N1655,N1656)=0),M1656,""))</f>
        <v/>
      </c>
    </row>
    <row r="1657">
      <c r="A1657" s="34" t="n"/>
      <c r="B1657" s="35" t="n"/>
      <c r="C1657" s="35" t="n"/>
      <c r="D1657" s="35" t="n"/>
      <c r="E1657" s="35" t="n"/>
      <c r="F1657" s="36" t="n"/>
      <c r="G1657" s="35" t="n"/>
      <c r="H1657" s="30">
        <f>IF(L1657="","",INDEX(SkiftNavn,L1657))</f>
        <v/>
      </c>
      <c r="I1657" s="30">
        <f>IF(OR(A1657="",L1657=""),"",IF(MOD(A1657-INDEX(SkiftStart,L1657),Syklus)&lt;DagK,"Kveld",IF(MOD(A1657-INDEX(SkiftStart,L1657),Syklus)&lt;DagK+DagH,"Helg",IF(MOD(A1657-INDEX(SkiftStart,L1657),Syklus)&lt;DagK+DagH+DagD,"Dag","Fri"))))</f>
        <v/>
      </c>
      <c r="J1657" s="30">
        <f>IF(I1657="Fri","Ja","")</f>
        <v/>
      </c>
      <c r="K1657" s="30">
        <f>IF(B1657="","",IF(L1657="","Ukjent tekniker",IF(ISNA(MATCH(C1657,Aktiviteter,0)),"Ukjent aktivitet",IF(AND(INDEX(AktRolle,MATCH(C1657,Aktiviteter,0))&amp;""&lt;&gt;"",ISERROR(SEARCH(INDEX(AktRolle,MATCH(C1657,Aktiviteter,0))&amp;"",INDEX(TekRoller,MATCH(B1657,Teknikere,0))))),"Mangler rollen "&amp;INDEX(AktRolle,MATCH(C1657,Aktiviteter,0))&amp;"",IF(AND(C1657="LMS",F1657&gt;0,OR(D1657="",E1657="")),"Mangler maskin eller arbeid",IF(AND(OR(C1657="LMS",C1657="Mod"),D1657&lt;&gt;""),IF(IFERROR(INDEX(MaskinStatus,MATCH(D1657,Maskiner,0)),"")="I dokk","","Maskinen er ikke i dokk"),""))))))</f>
        <v/>
      </c>
      <c r="L1657" s="2">
        <f>IF(B1657="","",IFERROR(INT((MATCH(B1657,Teknikere,0)-1)/18)+1,""))</f>
        <v/>
      </c>
      <c r="M1657" s="2">
        <f>IF(OR(A1657="",B1657=""),"",B1657&amp;"|"&amp;A1657)</f>
        <v/>
      </c>
      <c r="N1657" s="2">
        <f>IF(M1657="","",SUMIFS(TF_Timer,TF_Nokkel,M1657,TF_Akt,C1657))</f>
        <v/>
      </c>
      <c r="O1657" s="2">
        <f>IF(M1657="","",IF(AND(N1657=_xlfn.MAXIFS(TF_AktSum,TF_Nokkel,M1657),COUNTIFS(M$3:M1656,M1657,N$3:N1656,N1657)=0),M1657,""))</f>
        <v/>
      </c>
    </row>
    <row r="1658">
      <c r="A1658" s="34" t="n"/>
      <c r="B1658" s="35" t="n"/>
      <c r="C1658" s="35" t="n"/>
      <c r="D1658" s="35" t="n"/>
      <c r="E1658" s="35" t="n"/>
      <c r="F1658" s="36" t="n"/>
      <c r="G1658" s="35" t="n"/>
      <c r="H1658" s="30">
        <f>IF(L1658="","",INDEX(SkiftNavn,L1658))</f>
        <v/>
      </c>
      <c r="I1658" s="30">
        <f>IF(OR(A1658="",L1658=""),"",IF(MOD(A1658-INDEX(SkiftStart,L1658),Syklus)&lt;DagK,"Kveld",IF(MOD(A1658-INDEX(SkiftStart,L1658),Syklus)&lt;DagK+DagH,"Helg",IF(MOD(A1658-INDEX(SkiftStart,L1658),Syklus)&lt;DagK+DagH+DagD,"Dag","Fri"))))</f>
        <v/>
      </c>
      <c r="J1658" s="30">
        <f>IF(I1658="Fri","Ja","")</f>
        <v/>
      </c>
      <c r="K1658" s="30">
        <f>IF(B1658="","",IF(L1658="","Ukjent tekniker",IF(ISNA(MATCH(C1658,Aktiviteter,0)),"Ukjent aktivitet",IF(AND(INDEX(AktRolle,MATCH(C1658,Aktiviteter,0))&amp;""&lt;&gt;"",ISERROR(SEARCH(INDEX(AktRolle,MATCH(C1658,Aktiviteter,0))&amp;"",INDEX(TekRoller,MATCH(B1658,Teknikere,0))))),"Mangler rollen "&amp;INDEX(AktRolle,MATCH(C1658,Aktiviteter,0))&amp;"",IF(AND(C1658="LMS",F1658&gt;0,OR(D1658="",E1658="")),"Mangler maskin eller arbeid",IF(AND(OR(C1658="LMS",C1658="Mod"),D1658&lt;&gt;""),IF(IFERROR(INDEX(MaskinStatus,MATCH(D1658,Maskiner,0)),"")="I dokk","","Maskinen er ikke i dokk"),""))))))</f>
        <v/>
      </c>
      <c r="L1658" s="2">
        <f>IF(B1658="","",IFERROR(INT((MATCH(B1658,Teknikere,0)-1)/18)+1,""))</f>
        <v/>
      </c>
      <c r="M1658" s="2">
        <f>IF(OR(A1658="",B1658=""),"",B1658&amp;"|"&amp;A1658)</f>
        <v/>
      </c>
      <c r="N1658" s="2">
        <f>IF(M1658="","",SUMIFS(TF_Timer,TF_Nokkel,M1658,TF_Akt,C1658))</f>
        <v/>
      </c>
      <c r="O1658" s="2">
        <f>IF(M1658="","",IF(AND(N1658=_xlfn.MAXIFS(TF_AktSum,TF_Nokkel,M1658),COUNTIFS(M$3:M1657,M1658,N$3:N1657,N1658)=0),M1658,""))</f>
        <v/>
      </c>
    </row>
    <row r="1659">
      <c r="A1659" s="34" t="n"/>
      <c r="B1659" s="35" t="n"/>
      <c r="C1659" s="35" t="n"/>
      <c r="D1659" s="35" t="n"/>
      <c r="E1659" s="35" t="n"/>
      <c r="F1659" s="36" t="n"/>
      <c r="G1659" s="35" t="n"/>
      <c r="H1659" s="30">
        <f>IF(L1659="","",INDEX(SkiftNavn,L1659))</f>
        <v/>
      </c>
      <c r="I1659" s="30">
        <f>IF(OR(A1659="",L1659=""),"",IF(MOD(A1659-INDEX(SkiftStart,L1659),Syklus)&lt;DagK,"Kveld",IF(MOD(A1659-INDEX(SkiftStart,L1659),Syklus)&lt;DagK+DagH,"Helg",IF(MOD(A1659-INDEX(SkiftStart,L1659),Syklus)&lt;DagK+DagH+DagD,"Dag","Fri"))))</f>
        <v/>
      </c>
      <c r="J1659" s="30">
        <f>IF(I1659="Fri","Ja","")</f>
        <v/>
      </c>
      <c r="K1659" s="30">
        <f>IF(B1659="","",IF(L1659="","Ukjent tekniker",IF(ISNA(MATCH(C1659,Aktiviteter,0)),"Ukjent aktivitet",IF(AND(INDEX(AktRolle,MATCH(C1659,Aktiviteter,0))&amp;""&lt;&gt;"",ISERROR(SEARCH(INDEX(AktRolle,MATCH(C1659,Aktiviteter,0))&amp;"",INDEX(TekRoller,MATCH(B1659,Teknikere,0))))),"Mangler rollen "&amp;INDEX(AktRolle,MATCH(C1659,Aktiviteter,0))&amp;"",IF(AND(C1659="LMS",F1659&gt;0,OR(D1659="",E1659="")),"Mangler maskin eller arbeid",IF(AND(OR(C1659="LMS",C1659="Mod"),D1659&lt;&gt;""),IF(IFERROR(INDEX(MaskinStatus,MATCH(D1659,Maskiner,0)),"")="I dokk","","Maskinen er ikke i dokk"),""))))))</f>
        <v/>
      </c>
      <c r="L1659" s="2">
        <f>IF(B1659="","",IFERROR(INT((MATCH(B1659,Teknikere,0)-1)/18)+1,""))</f>
        <v/>
      </c>
      <c r="M1659" s="2">
        <f>IF(OR(A1659="",B1659=""),"",B1659&amp;"|"&amp;A1659)</f>
        <v/>
      </c>
      <c r="N1659" s="2">
        <f>IF(M1659="","",SUMIFS(TF_Timer,TF_Nokkel,M1659,TF_Akt,C1659))</f>
        <v/>
      </c>
      <c r="O1659" s="2">
        <f>IF(M1659="","",IF(AND(N1659=_xlfn.MAXIFS(TF_AktSum,TF_Nokkel,M1659),COUNTIFS(M$3:M1658,M1659,N$3:N1658,N1659)=0),M1659,""))</f>
        <v/>
      </c>
    </row>
    <row r="1660">
      <c r="A1660" s="34" t="n"/>
      <c r="B1660" s="35" t="n"/>
      <c r="C1660" s="35" t="n"/>
      <c r="D1660" s="35" t="n"/>
      <c r="E1660" s="35" t="n"/>
      <c r="F1660" s="36" t="n"/>
      <c r="G1660" s="35" t="n"/>
      <c r="H1660" s="30">
        <f>IF(L1660="","",INDEX(SkiftNavn,L1660))</f>
        <v/>
      </c>
      <c r="I1660" s="30">
        <f>IF(OR(A1660="",L1660=""),"",IF(MOD(A1660-INDEX(SkiftStart,L1660),Syklus)&lt;DagK,"Kveld",IF(MOD(A1660-INDEX(SkiftStart,L1660),Syklus)&lt;DagK+DagH,"Helg",IF(MOD(A1660-INDEX(SkiftStart,L1660),Syklus)&lt;DagK+DagH+DagD,"Dag","Fri"))))</f>
        <v/>
      </c>
      <c r="J1660" s="30">
        <f>IF(I1660="Fri","Ja","")</f>
        <v/>
      </c>
      <c r="K1660" s="30">
        <f>IF(B1660="","",IF(L1660="","Ukjent tekniker",IF(ISNA(MATCH(C1660,Aktiviteter,0)),"Ukjent aktivitet",IF(AND(INDEX(AktRolle,MATCH(C1660,Aktiviteter,0))&amp;""&lt;&gt;"",ISERROR(SEARCH(INDEX(AktRolle,MATCH(C1660,Aktiviteter,0))&amp;"",INDEX(TekRoller,MATCH(B1660,Teknikere,0))))),"Mangler rollen "&amp;INDEX(AktRolle,MATCH(C1660,Aktiviteter,0))&amp;"",IF(AND(C1660="LMS",F1660&gt;0,OR(D1660="",E1660="")),"Mangler maskin eller arbeid",IF(AND(OR(C1660="LMS",C1660="Mod"),D1660&lt;&gt;""),IF(IFERROR(INDEX(MaskinStatus,MATCH(D1660,Maskiner,0)),"")="I dokk","","Maskinen er ikke i dokk"),""))))))</f>
        <v/>
      </c>
      <c r="L1660" s="2">
        <f>IF(B1660="","",IFERROR(INT((MATCH(B1660,Teknikere,0)-1)/18)+1,""))</f>
        <v/>
      </c>
      <c r="M1660" s="2">
        <f>IF(OR(A1660="",B1660=""),"",B1660&amp;"|"&amp;A1660)</f>
        <v/>
      </c>
      <c r="N1660" s="2">
        <f>IF(M1660="","",SUMIFS(TF_Timer,TF_Nokkel,M1660,TF_Akt,C1660))</f>
        <v/>
      </c>
      <c r="O1660" s="2">
        <f>IF(M1660="","",IF(AND(N1660=_xlfn.MAXIFS(TF_AktSum,TF_Nokkel,M1660),COUNTIFS(M$3:M1659,M1660,N$3:N1659,N1660)=0),M1660,""))</f>
        <v/>
      </c>
    </row>
    <row r="1661">
      <c r="A1661" s="34" t="n"/>
      <c r="B1661" s="35" t="n"/>
      <c r="C1661" s="35" t="n"/>
      <c r="D1661" s="35" t="n"/>
      <c r="E1661" s="35" t="n"/>
      <c r="F1661" s="36" t="n"/>
      <c r="G1661" s="35" t="n"/>
      <c r="H1661" s="30">
        <f>IF(L1661="","",INDEX(SkiftNavn,L1661))</f>
        <v/>
      </c>
      <c r="I1661" s="30">
        <f>IF(OR(A1661="",L1661=""),"",IF(MOD(A1661-INDEX(SkiftStart,L1661),Syklus)&lt;DagK,"Kveld",IF(MOD(A1661-INDEX(SkiftStart,L1661),Syklus)&lt;DagK+DagH,"Helg",IF(MOD(A1661-INDEX(SkiftStart,L1661),Syklus)&lt;DagK+DagH+DagD,"Dag","Fri"))))</f>
        <v/>
      </c>
      <c r="J1661" s="30">
        <f>IF(I1661="Fri","Ja","")</f>
        <v/>
      </c>
      <c r="K1661" s="30">
        <f>IF(B1661="","",IF(L1661="","Ukjent tekniker",IF(ISNA(MATCH(C1661,Aktiviteter,0)),"Ukjent aktivitet",IF(AND(INDEX(AktRolle,MATCH(C1661,Aktiviteter,0))&amp;""&lt;&gt;"",ISERROR(SEARCH(INDEX(AktRolle,MATCH(C1661,Aktiviteter,0))&amp;"",INDEX(TekRoller,MATCH(B1661,Teknikere,0))))),"Mangler rollen "&amp;INDEX(AktRolle,MATCH(C1661,Aktiviteter,0))&amp;"",IF(AND(C1661="LMS",F1661&gt;0,OR(D1661="",E1661="")),"Mangler maskin eller arbeid",IF(AND(OR(C1661="LMS",C1661="Mod"),D1661&lt;&gt;""),IF(IFERROR(INDEX(MaskinStatus,MATCH(D1661,Maskiner,0)),"")="I dokk","","Maskinen er ikke i dokk"),""))))))</f>
        <v/>
      </c>
      <c r="L1661" s="2">
        <f>IF(B1661="","",IFERROR(INT((MATCH(B1661,Teknikere,0)-1)/18)+1,""))</f>
        <v/>
      </c>
      <c r="M1661" s="2">
        <f>IF(OR(A1661="",B1661=""),"",B1661&amp;"|"&amp;A1661)</f>
        <v/>
      </c>
      <c r="N1661" s="2">
        <f>IF(M1661="","",SUMIFS(TF_Timer,TF_Nokkel,M1661,TF_Akt,C1661))</f>
        <v/>
      </c>
      <c r="O1661" s="2">
        <f>IF(M1661="","",IF(AND(N1661=_xlfn.MAXIFS(TF_AktSum,TF_Nokkel,M1661),COUNTIFS(M$3:M1660,M1661,N$3:N1660,N1661)=0),M1661,""))</f>
        <v/>
      </c>
    </row>
    <row r="1662">
      <c r="A1662" s="34" t="n"/>
      <c r="B1662" s="35" t="n"/>
      <c r="C1662" s="35" t="n"/>
      <c r="D1662" s="35" t="n"/>
      <c r="E1662" s="35" t="n"/>
      <c r="F1662" s="36" t="n"/>
      <c r="G1662" s="35" t="n"/>
      <c r="H1662" s="30">
        <f>IF(L1662="","",INDEX(SkiftNavn,L1662))</f>
        <v/>
      </c>
      <c r="I1662" s="30">
        <f>IF(OR(A1662="",L1662=""),"",IF(MOD(A1662-INDEX(SkiftStart,L1662),Syklus)&lt;DagK,"Kveld",IF(MOD(A1662-INDEX(SkiftStart,L1662),Syklus)&lt;DagK+DagH,"Helg",IF(MOD(A1662-INDEX(SkiftStart,L1662),Syklus)&lt;DagK+DagH+DagD,"Dag","Fri"))))</f>
        <v/>
      </c>
      <c r="J1662" s="30">
        <f>IF(I1662="Fri","Ja","")</f>
        <v/>
      </c>
      <c r="K1662" s="30">
        <f>IF(B1662="","",IF(L1662="","Ukjent tekniker",IF(ISNA(MATCH(C1662,Aktiviteter,0)),"Ukjent aktivitet",IF(AND(INDEX(AktRolle,MATCH(C1662,Aktiviteter,0))&amp;""&lt;&gt;"",ISERROR(SEARCH(INDEX(AktRolle,MATCH(C1662,Aktiviteter,0))&amp;"",INDEX(TekRoller,MATCH(B1662,Teknikere,0))))),"Mangler rollen "&amp;INDEX(AktRolle,MATCH(C1662,Aktiviteter,0))&amp;"",IF(AND(C1662="LMS",F1662&gt;0,OR(D1662="",E1662="")),"Mangler maskin eller arbeid",IF(AND(OR(C1662="LMS",C1662="Mod"),D1662&lt;&gt;""),IF(IFERROR(INDEX(MaskinStatus,MATCH(D1662,Maskiner,0)),"")="I dokk","","Maskinen er ikke i dokk"),""))))))</f>
        <v/>
      </c>
      <c r="L1662" s="2">
        <f>IF(B1662="","",IFERROR(INT((MATCH(B1662,Teknikere,0)-1)/18)+1,""))</f>
        <v/>
      </c>
      <c r="M1662" s="2">
        <f>IF(OR(A1662="",B1662=""),"",B1662&amp;"|"&amp;A1662)</f>
        <v/>
      </c>
      <c r="N1662" s="2">
        <f>IF(M1662="","",SUMIFS(TF_Timer,TF_Nokkel,M1662,TF_Akt,C1662))</f>
        <v/>
      </c>
      <c r="O1662" s="2">
        <f>IF(M1662="","",IF(AND(N1662=_xlfn.MAXIFS(TF_AktSum,TF_Nokkel,M1662),COUNTIFS(M$3:M1661,M1662,N$3:N1661,N1662)=0),M1662,""))</f>
        <v/>
      </c>
    </row>
    <row r="1663">
      <c r="A1663" s="34" t="n"/>
      <c r="B1663" s="35" t="n"/>
      <c r="C1663" s="35" t="n"/>
      <c r="D1663" s="35" t="n"/>
      <c r="E1663" s="35" t="n"/>
      <c r="F1663" s="36" t="n"/>
      <c r="G1663" s="35" t="n"/>
      <c r="H1663" s="30">
        <f>IF(L1663="","",INDEX(SkiftNavn,L1663))</f>
        <v/>
      </c>
      <c r="I1663" s="30">
        <f>IF(OR(A1663="",L1663=""),"",IF(MOD(A1663-INDEX(SkiftStart,L1663),Syklus)&lt;DagK,"Kveld",IF(MOD(A1663-INDEX(SkiftStart,L1663),Syklus)&lt;DagK+DagH,"Helg",IF(MOD(A1663-INDEX(SkiftStart,L1663),Syklus)&lt;DagK+DagH+DagD,"Dag","Fri"))))</f>
        <v/>
      </c>
      <c r="J1663" s="30">
        <f>IF(I1663="Fri","Ja","")</f>
        <v/>
      </c>
      <c r="K1663" s="30">
        <f>IF(B1663="","",IF(L1663="","Ukjent tekniker",IF(ISNA(MATCH(C1663,Aktiviteter,0)),"Ukjent aktivitet",IF(AND(INDEX(AktRolle,MATCH(C1663,Aktiviteter,0))&amp;""&lt;&gt;"",ISERROR(SEARCH(INDEX(AktRolle,MATCH(C1663,Aktiviteter,0))&amp;"",INDEX(TekRoller,MATCH(B1663,Teknikere,0))))),"Mangler rollen "&amp;INDEX(AktRolle,MATCH(C1663,Aktiviteter,0))&amp;"",IF(AND(C1663="LMS",F1663&gt;0,OR(D1663="",E1663="")),"Mangler maskin eller arbeid",IF(AND(OR(C1663="LMS",C1663="Mod"),D1663&lt;&gt;""),IF(IFERROR(INDEX(MaskinStatus,MATCH(D1663,Maskiner,0)),"")="I dokk","","Maskinen er ikke i dokk"),""))))))</f>
        <v/>
      </c>
      <c r="L1663" s="2">
        <f>IF(B1663="","",IFERROR(INT((MATCH(B1663,Teknikere,0)-1)/18)+1,""))</f>
        <v/>
      </c>
      <c r="M1663" s="2">
        <f>IF(OR(A1663="",B1663=""),"",B1663&amp;"|"&amp;A1663)</f>
        <v/>
      </c>
      <c r="N1663" s="2">
        <f>IF(M1663="","",SUMIFS(TF_Timer,TF_Nokkel,M1663,TF_Akt,C1663))</f>
        <v/>
      </c>
      <c r="O1663" s="2">
        <f>IF(M1663="","",IF(AND(N1663=_xlfn.MAXIFS(TF_AktSum,TF_Nokkel,M1663),COUNTIFS(M$3:M1662,M1663,N$3:N1662,N1663)=0),M1663,""))</f>
        <v/>
      </c>
    </row>
    <row r="1664">
      <c r="A1664" s="34" t="n"/>
      <c r="B1664" s="35" t="n"/>
      <c r="C1664" s="35" t="n"/>
      <c r="D1664" s="35" t="n"/>
      <c r="E1664" s="35" t="n"/>
      <c r="F1664" s="36" t="n"/>
      <c r="G1664" s="35" t="n"/>
      <c r="H1664" s="30">
        <f>IF(L1664="","",INDEX(SkiftNavn,L1664))</f>
        <v/>
      </c>
      <c r="I1664" s="30">
        <f>IF(OR(A1664="",L1664=""),"",IF(MOD(A1664-INDEX(SkiftStart,L1664),Syklus)&lt;DagK,"Kveld",IF(MOD(A1664-INDEX(SkiftStart,L1664),Syklus)&lt;DagK+DagH,"Helg",IF(MOD(A1664-INDEX(SkiftStart,L1664),Syklus)&lt;DagK+DagH+DagD,"Dag","Fri"))))</f>
        <v/>
      </c>
      <c r="J1664" s="30">
        <f>IF(I1664="Fri","Ja","")</f>
        <v/>
      </c>
      <c r="K1664" s="30">
        <f>IF(B1664="","",IF(L1664="","Ukjent tekniker",IF(ISNA(MATCH(C1664,Aktiviteter,0)),"Ukjent aktivitet",IF(AND(INDEX(AktRolle,MATCH(C1664,Aktiviteter,0))&amp;""&lt;&gt;"",ISERROR(SEARCH(INDEX(AktRolle,MATCH(C1664,Aktiviteter,0))&amp;"",INDEX(TekRoller,MATCH(B1664,Teknikere,0))))),"Mangler rollen "&amp;INDEX(AktRolle,MATCH(C1664,Aktiviteter,0))&amp;"",IF(AND(C1664="LMS",F1664&gt;0,OR(D1664="",E1664="")),"Mangler maskin eller arbeid",IF(AND(OR(C1664="LMS",C1664="Mod"),D1664&lt;&gt;""),IF(IFERROR(INDEX(MaskinStatus,MATCH(D1664,Maskiner,0)),"")="I dokk","","Maskinen er ikke i dokk"),""))))))</f>
        <v/>
      </c>
      <c r="L1664" s="2">
        <f>IF(B1664="","",IFERROR(INT((MATCH(B1664,Teknikere,0)-1)/18)+1,""))</f>
        <v/>
      </c>
      <c r="M1664" s="2">
        <f>IF(OR(A1664="",B1664=""),"",B1664&amp;"|"&amp;A1664)</f>
        <v/>
      </c>
      <c r="N1664" s="2">
        <f>IF(M1664="","",SUMIFS(TF_Timer,TF_Nokkel,M1664,TF_Akt,C1664))</f>
        <v/>
      </c>
      <c r="O1664" s="2">
        <f>IF(M1664="","",IF(AND(N1664=_xlfn.MAXIFS(TF_AktSum,TF_Nokkel,M1664),COUNTIFS(M$3:M1663,M1664,N$3:N1663,N1664)=0),M1664,""))</f>
        <v/>
      </c>
    </row>
    <row r="1665">
      <c r="A1665" s="34" t="n"/>
      <c r="B1665" s="35" t="n"/>
      <c r="C1665" s="35" t="n"/>
      <c r="D1665" s="35" t="n"/>
      <c r="E1665" s="35" t="n"/>
      <c r="F1665" s="36" t="n"/>
      <c r="G1665" s="35" t="n"/>
      <c r="H1665" s="30">
        <f>IF(L1665="","",INDEX(SkiftNavn,L1665))</f>
        <v/>
      </c>
      <c r="I1665" s="30">
        <f>IF(OR(A1665="",L1665=""),"",IF(MOD(A1665-INDEX(SkiftStart,L1665),Syklus)&lt;DagK,"Kveld",IF(MOD(A1665-INDEX(SkiftStart,L1665),Syklus)&lt;DagK+DagH,"Helg",IF(MOD(A1665-INDEX(SkiftStart,L1665),Syklus)&lt;DagK+DagH+DagD,"Dag","Fri"))))</f>
        <v/>
      </c>
      <c r="J1665" s="30">
        <f>IF(I1665="Fri","Ja","")</f>
        <v/>
      </c>
      <c r="K1665" s="30">
        <f>IF(B1665="","",IF(L1665="","Ukjent tekniker",IF(ISNA(MATCH(C1665,Aktiviteter,0)),"Ukjent aktivitet",IF(AND(INDEX(AktRolle,MATCH(C1665,Aktiviteter,0))&amp;""&lt;&gt;"",ISERROR(SEARCH(INDEX(AktRolle,MATCH(C1665,Aktiviteter,0))&amp;"",INDEX(TekRoller,MATCH(B1665,Teknikere,0))))),"Mangler rollen "&amp;INDEX(AktRolle,MATCH(C1665,Aktiviteter,0))&amp;"",IF(AND(C1665="LMS",F1665&gt;0,OR(D1665="",E1665="")),"Mangler maskin eller arbeid",IF(AND(OR(C1665="LMS",C1665="Mod"),D1665&lt;&gt;""),IF(IFERROR(INDEX(MaskinStatus,MATCH(D1665,Maskiner,0)),"")="I dokk","","Maskinen er ikke i dokk"),""))))))</f>
        <v/>
      </c>
      <c r="L1665" s="2">
        <f>IF(B1665="","",IFERROR(INT((MATCH(B1665,Teknikere,0)-1)/18)+1,""))</f>
        <v/>
      </c>
      <c r="M1665" s="2">
        <f>IF(OR(A1665="",B1665=""),"",B1665&amp;"|"&amp;A1665)</f>
        <v/>
      </c>
      <c r="N1665" s="2">
        <f>IF(M1665="","",SUMIFS(TF_Timer,TF_Nokkel,M1665,TF_Akt,C1665))</f>
        <v/>
      </c>
      <c r="O1665" s="2">
        <f>IF(M1665="","",IF(AND(N1665=_xlfn.MAXIFS(TF_AktSum,TF_Nokkel,M1665),COUNTIFS(M$3:M1664,M1665,N$3:N1664,N1665)=0),M1665,""))</f>
        <v/>
      </c>
    </row>
    <row r="1666">
      <c r="A1666" s="34" t="n"/>
      <c r="B1666" s="35" t="n"/>
      <c r="C1666" s="35" t="n"/>
      <c r="D1666" s="35" t="n"/>
      <c r="E1666" s="35" t="n"/>
      <c r="F1666" s="36" t="n"/>
      <c r="G1666" s="35" t="n"/>
      <c r="H1666" s="30">
        <f>IF(L1666="","",INDEX(SkiftNavn,L1666))</f>
        <v/>
      </c>
      <c r="I1666" s="30">
        <f>IF(OR(A1666="",L1666=""),"",IF(MOD(A1666-INDEX(SkiftStart,L1666),Syklus)&lt;DagK,"Kveld",IF(MOD(A1666-INDEX(SkiftStart,L1666),Syklus)&lt;DagK+DagH,"Helg",IF(MOD(A1666-INDEX(SkiftStart,L1666),Syklus)&lt;DagK+DagH+DagD,"Dag","Fri"))))</f>
        <v/>
      </c>
      <c r="J1666" s="30">
        <f>IF(I1666="Fri","Ja","")</f>
        <v/>
      </c>
      <c r="K1666" s="30">
        <f>IF(B1666="","",IF(L1666="","Ukjent tekniker",IF(ISNA(MATCH(C1666,Aktiviteter,0)),"Ukjent aktivitet",IF(AND(INDEX(AktRolle,MATCH(C1666,Aktiviteter,0))&amp;""&lt;&gt;"",ISERROR(SEARCH(INDEX(AktRolle,MATCH(C1666,Aktiviteter,0))&amp;"",INDEX(TekRoller,MATCH(B1666,Teknikere,0))))),"Mangler rollen "&amp;INDEX(AktRolle,MATCH(C1666,Aktiviteter,0))&amp;"",IF(AND(C1666="LMS",F1666&gt;0,OR(D1666="",E1666="")),"Mangler maskin eller arbeid",IF(AND(OR(C1666="LMS",C1666="Mod"),D1666&lt;&gt;""),IF(IFERROR(INDEX(MaskinStatus,MATCH(D1666,Maskiner,0)),"")="I dokk","","Maskinen er ikke i dokk"),""))))))</f>
        <v/>
      </c>
      <c r="L1666" s="2">
        <f>IF(B1666="","",IFERROR(INT((MATCH(B1666,Teknikere,0)-1)/18)+1,""))</f>
        <v/>
      </c>
      <c r="M1666" s="2">
        <f>IF(OR(A1666="",B1666=""),"",B1666&amp;"|"&amp;A1666)</f>
        <v/>
      </c>
      <c r="N1666" s="2">
        <f>IF(M1666="","",SUMIFS(TF_Timer,TF_Nokkel,M1666,TF_Akt,C1666))</f>
        <v/>
      </c>
      <c r="O1666" s="2">
        <f>IF(M1666="","",IF(AND(N1666=_xlfn.MAXIFS(TF_AktSum,TF_Nokkel,M1666),COUNTIFS(M$3:M1665,M1666,N$3:N1665,N1666)=0),M1666,""))</f>
        <v/>
      </c>
    </row>
    <row r="1667">
      <c r="A1667" s="34" t="n"/>
      <c r="B1667" s="35" t="n"/>
      <c r="C1667" s="35" t="n"/>
      <c r="D1667" s="35" t="n"/>
      <c r="E1667" s="35" t="n"/>
      <c r="F1667" s="36" t="n"/>
      <c r="G1667" s="35" t="n"/>
      <c r="H1667" s="30">
        <f>IF(L1667="","",INDEX(SkiftNavn,L1667))</f>
        <v/>
      </c>
      <c r="I1667" s="30">
        <f>IF(OR(A1667="",L1667=""),"",IF(MOD(A1667-INDEX(SkiftStart,L1667),Syklus)&lt;DagK,"Kveld",IF(MOD(A1667-INDEX(SkiftStart,L1667),Syklus)&lt;DagK+DagH,"Helg",IF(MOD(A1667-INDEX(SkiftStart,L1667),Syklus)&lt;DagK+DagH+DagD,"Dag","Fri"))))</f>
        <v/>
      </c>
      <c r="J1667" s="30">
        <f>IF(I1667="Fri","Ja","")</f>
        <v/>
      </c>
      <c r="K1667" s="30">
        <f>IF(B1667="","",IF(L1667="","Ukjent tekniker",IF(ISNA(MATCH(C1667,Aktiviteter,0)),"Ukjent aktivitet",IF(AND(INDEX(AktRolle,MATCH(C1667,Aktiviteter,0))&amp;""&lt;&gt;"",ISERROR(SEARCH(INDEX(AktRolle,MATCH(C1667,Aktiviteter,0))&amp;"",INDEX(TekRoller,MATCH(B1667,Teknikere,0))))),"Mangler rollen "&amp;INDEX(AktRolle,MATCH(C1667,Aktiviteter,0))&amp;"",IF(AND(C1667="LMS",F1667&gt;0,OR(D1667="",E1667="")),"Mangler maskin eller arbeid",IF(AND(OR(C1667="LMS",C1667="Mod"),D1667&lt;&gt;""),IF(IFERROR(INDEX(MaskinStatus,MATCH(D1667,Maskiner,0)),"")="I dokk","","Maskinen er ikke i dokk"),""))))))</f>
        <v/>
      </c>
      <c r="L1667" s="2">
        <f>IF(B1667="","",IFERROR(INT((MATCH(B1667,Teknikere,0)-1)/18)+1,""))</f>
        <v/>
      </c>
      <c r="M1667" s="2">
        <f>IF(OR(A1667="",B1667=""),"",B1667&amp;"|"&amp;A1667)</f>
        <v/>
      </c>
      <c r="N1667" s="2">
        <f>IF(M1667="","",SUMIFS(TF_Timer,TF_Nokkel,M1667,TF_Akt,C1667))</f>
        <v/>
      </c>
      <c r="O1667" s="2">
        <f>IF(M1667="","",IF(AND(N1667=_xlfn.MAXIFS(TF_AktSum,TF_Nokkel,M1667),COUNTIFS(M$3:M1666,M1667,N$3:N1666,N1667)=0),M1667,""))</f>
        <v/>
      </c>
    </row>
    <row r="1668">
      <c r="A1668" s="34" t="n"/>
      <c r="B1668" s="35" t="n"/>
      <c r="C1668" s="35" t="n"/>
      <c r="D1668" s="35" t="n"/>
      <c r="E1668" s="35" t="n"/>
      <c r="F1668" s="36" t="n"/>
      <c r="G1668" s="35" t="n"/>
      <c r="H1668" s="30">
        <f>IF(L1668="","",INDEX(SkiftNavn,L1668))</f>
        <v/>
      </c>
      <c r="I1668" s="30">
        <f>IF(OR(A1668="",L1668=""),"",IF(MOD(A1668-INDEX(SkiftStart,L1668),Syklus)&lt;DagK,"Kveld",IF(MOD(A1668-INDEX(SkiftStart,L1668),Syklus)&lt;DagK+DagH,"Helg",IF(MOD(A1668-INDEX(SkiftStart,L1668),Syklus)&lt;DagK+DagH+DagD,"Dag","Fri"))))</f>
        <v/>
      </c>
      <c r="J1668" s="30">
        <f>IF(I1668="Fri","Ja","")</f>
        <v/>
      </c>
      <c r="K1668" s="30">
        <f>IF(B1668="","",IF(L1668="","Ukjent tekniker",IF(ISNA(MATCH(C1668,Aktiviteter,0)),"Ukjent aktivitet",IF(AND(INDEX(AktRolle,MATCH(C1668,Aktiviteter,0))&amp;""&lt;&gt;"",ISERROR(SEARCH(INDEX(AktRolle,MATCH(C1668,Aktiviteter,0))&amp;"",INDEX(TekRoller,MATCH(B1668,Teknikere,0))))),"Mangler rollen "&amp;INDEX(AktRolle,MATCH(C1668,Aktiviteter,0))&amp;"",IF(AND(C1668="LMS",F1668&gt;0,OR(D1668="",E1668="")),"Mangler maskin eller arbeid",IF(AND(OR(C1668="LMS",C1668="Mod"),D1668&lt;&gt;""),IF(IFERROR(INDEX(MaskinStatus,MATCH(D1668,Maskiner,0)),"")="I dokk","","Maskinen er ikke i dokk"),""))))))</f>
        <v/>
      </c>
      <c r="L1668" s="2">
        <f>IF(B1668="","",IFERROR(INT((MATCH(B1668,Teknikere,0)-1)/18)+1,""))</f>
        <v/>
      </c>
      <c r="M1668" s="2">
        <f>IF(OR(A1668="",B1668=""),"",B1668&amp;"|"&amp;A1668)</f>
        <v/>
      </c>
      <c r="N1668" s="2">
        <f>IF(M1668="","",SUMIFS(TF_Timer,TF_Nokkel,M1668,TF_Akt,C1668))</f>
        <v/>
      </c>
      <c r="O1668" s="2">
        <f>IF(M1668="","",IF(AND(N1668=_xlfn.MAXIFS(TF_AktSum,TF_Nokkel,M1668),COUNTIFS(M$3:M1667,M1668,N$3:N1667,N1668)=0),M1668,""))</f>
        <v/>
      </c>
    </row>
    <row r="1669">
      <c r="A1669" s="34" t="n"/>
      <c r="B1669" s="35" t="n"/>
      <c r="C1669" s="35" t="n"/>
      <c r="D1669" s="35" t="n"/>
      <c r="E1669" s="35" t="n"/>
      <c r="F1669" s="36" t="n"/>
      <c r="G1669" s="35" t="n"/>
      <c r="H1669" s="30">
        <f>IF(L1669="","",INDEX(SkiftNavn,L1669))</f>
        <v/>
      </c>
      <c r="I1669" s="30">
        <f>IF(OR(A1669="",L1669=""),"",IF(MOD(A1669-INDEX(SkiftStart,L1669),Syklus)&lt;DagK,"Kveld",IF(MOD(A1669-INDEX(SkiftStart,L1669),Syklus)&lt;DagK+DagH,"Helg",IF(MOD(A1669-INDEX(SkiftStart,L1669),Syklus)&lt;DagK+DagH+DagD,"Dag","Fri"))))</f>
        <v/>
      </c>
      <c r="J1669" s="30">
        <f>IF(I1669="Fri","Ja","")</f>
        <v/>
      </c>
      <c r="K1669" s="30">
        <f>IF(B1669="","",IF(L1669="","Ukjent tekniker",IF(ISNA(MATCH(C1669,Aktiviteter,0)),"Ukjent aktivitet",IF(AND(INDEX(AktRolle,MATCH(C1669,Aktiviteter,0))&amp;""&lt;&gt;"",ISERROR(SEARCH(INDEX(AktRolle,MATCH(C1669,Aktiviteter,0))&amp;"",INDEX(TekRoller,MATCH(B1669,Teknikere,0))))),"Mangler rollen "&amp;INDEX(AktRolle,MATCH(C1669,Aktiviteter,0))&amp;"",IF(AND(C1669="LMS",F1669&gt;0,OR(D1669="",E1669="")),"Mangler maskin eller arbeid",IF(AND(OR(C1669="LMS",C1669="Mod"),D1669&lt;&gt;""),IF(IFERROR(INDEX(MaskinStatus,MATCH(D1669,Maskiner,0)),"")="I dokk","","Maskinen er ikke i dokk"),""))))))</f>
        <v/>
      </c>
      <c r="L1669" s="2">
        <f>IF(B1669="","",IFERROR(INT((MATCH(B1669,Teknikere,0)-1)/18)+1,""))</f>
        <v/>
      </c>
      <c r="M1669" s="2">
        <f>IF(OR(A1669="",B1669=""),"",B1669&amp;"|"&amp;A1669)</f>
        <v/>
      </c>
      <c r="N1669" s="2">
        <f>IF(M1669="","",SUMIFS(TF_Timer,TF_Nokkel,M1669,TF_Akt,C1669))</f>
        <v/>
      </c>
      <c r="O1669" s="2">
        <f>IF(M1669="","",IF(AND(N1669=_xlfn.MAXIFS(TF_AktSum,TF_Nokkel,M1669),COUNTIFS(M$3:M1668,M1669,N$3:N1668,N1669)=0),M1669,""))</f>
        <v/>
      </c>
    </row>
    <row r="1670">
      <c r="A1670" s="34" t="n"/>
      <c r="B1670" s="35" t="n"/>
      <c r="C1670" s="35" t="n"/>
      <c r="D1670" s="35" t="n"/>
      <c r="E1670" s="35" t="n"/>
      <c r="F1670" s="36" t="n"/>
      <c r="G1670" s="35" t="n"/>
      <c r="H1670" s="30">
        <f>IF(L1670="","",INDEX(SkiftNavn,L1670))</f>
        <v/>
      </c>
      <c r="I1670" s="30">
        <f>IF(OR(A1670="",L1670=""),"",IF(MOD(A1670-INDEX(SkiftStart,L1670),Syklus)&lt;DagK,"Kveld",IF(MOD(A1670-INDEX(SkiftStart,L1670),Syklus)&lt;DagK+DagH,"Helg",IF(MOD(A1670-INDEX(SkiftStart,L1670),Syklus)&lt;DagK+DagH+DagD,"Dag","Fri"))))</f>
        <v/>
      </c>
      <c r="J1670" s="30">
        <f>IF(I1670="Fri","Ja","")</f>
        <v/>
      </c>
      <c r="K1670" s="30">
        <f>IF(B1670="","",IF(L1670="","Ukjent tekniker",IF(ISNA(MATCH(C1670,Aktiviteter,0)),"Ukjent aktivitet",IF(AND(INDEX(AktRolle,MATCH(C1670,Aktiviteter,0))&amp;""&lt;&gt;"",ISERROR(SEARCH(INDEX(AktRolle,MATCH(C1670,Aktiviteter,0))&amp;"",INDEX(TekRoller,MATCH(B1670,Teknikere,0))))),"Mangler rollen "&amp;INDEX(AktRolle,MATCH(C1670,Aktiviteter,0))&amp;"",IF(AND(C1670="LMS",F1670&gt;0,OR(D1670="",E1670="")),"Mangler maskin eller arbeid",IF(AND(OR(C1670="LMS",C1670="Mod"),D1670&lt;&gt;""),IF(IFERROR(INDEX(MaskinStatus,MATCH(D1670,Maskiner,0)),"")="I dokk","","Maskinen er ikke i dokk"),""))))))</f>
        <v/>
      </c>
      <c r="L1670" s="2">
        <f>IF(B1670="","",IFERROR(INT((MATCH(B1670,Teknikere,0)-1)/18)+1,""))</f>
        <v/>
      </c>
      <c r="M1670" s="2">
        <f>IF(OR(A1670="",B1670=""),"",B1670&amp;"|"&amp;A1670)</f>
        <v/>
      </c>
      <c r="N1670" s="2">
        <f>IF(M1670="","",SUMIFS(TF_Timer,TF_Nokkel,M1670,TF_Akt,C1670))</f>
        <v/>
      </c>
      <c r="O1670" s="2">
        <f>IF(M1670="","",IF(AND(N1670=_xlfn.MAXIFS(TF_AktSum,TF_Nokkel,M1670),COUNTIFS(M$3:M1669,M1670,N$3:N1669,N1670)=0),M1670,""))</f>
        <v/>
      </c>
    </row>
    <row r="1671">
      <c r="A1671" s="34" t="n"/>
      <c r="B1671" s="35" t="n"/>
      <c r="C1671" s="35" t="n"/>
      <c r="D1671" s="35" t="n"/>
      <c r="E1671" s="35" t="n"/>
      <c r="F1671" s="36" t="n"/>
      <c r="G1671" s="35" t="n"/>
      <c r="H1671" s="30">
        <f>IF(L1671="","",INDEX(SkiftNavn,L1671))</f>
        <v/>
      </c>
      <c r="I1671" s="30">
        <f>IF(OR(A1671="",L1671=""),"",IF(MOD(A1671-INDEX(SkiftStart,L1671),Syklus)&lt;DagK,"Kveld",IF(MOD(A1671-INDEX(SkiftStart,L1671),Syklus)&lt;DagK+DagH,"Helg",IF(MOD(A1671-INDEX(SkiftStart,L1671),Syklus)&lt;DagK+DagH+DagD,"Dag","Fri"))))</f>
        <v/>
      </c>
      <c r="J1671" s="30">
        <f>IF(I1671="Fri","Ja","")</f>
        <v/>
      </c>
      <c r="K1671" s="30">
        <f>IF(B1671="","",IF(L1671="","Ukjent tekniker",IF(ISNA(MATCH(C1671,Aktiviteter,0)),"Ukjent aktivitet",IF(AND(INDEX(AktRolle,MATCH(C1671,Aktiviteter,0))&amp;""&lt;&gt;"",ISERROR(SEARCH(INDEX(AktRolle,MATCH(C1671,Aktiviteter,0))&amp;"",INDEX(TekRoller,MATCH(B1671,Teknikere,0))))),"Mangler rollen "&amp;INDEX(AktRolle,MATCH(C1671,Aktiviteter,0))&amp;"",IF(AND(C1671="LMS",F1671&gt;0,OR(D1671="",E1671="")),"Mangler maskin eller arbeid",IF(AND(OR(C1671="LMS",C1671="Mod"),D1671&lt;&gt;""),IF(IFERROR(INDEX(MaskinStatus,MATCH(D1671,Maskiner,0)),"")="I dokk","","Maskinen er ikke i dokk"),""))))))</f>
        <v/>
      </c>
      <c r="L1671" s="2">
        <f>IF(B1671="","",IFERROR(INT((MATCH(B1671,Teknikere,0)-1)/18)+1,""))</f>
        <v/>
      </c>
      <c r="M1671" s="2">
        <f>IF(OR(A1671="",B1671=""),"",B1671&amp;"|"&amp;A1671)</f>
        <v/>
      </c>
      <c r="N1671" s="2">
        <f>IF(M1671="","",SUMIFS(TF_Timer,TF_Nokkel,M1671,TF_Akt,C1671))</f>
        <v/>
      </c>
      <c r="O1671" s="2">
        <f>IF(M1671="","",IF(AND(N1671=_xlfn.MAXIFS(TF_AktSum,TF_Nokkel,M1671),COUNTIFS(M$3:M1670,M1671,N$3:N1670,N1671)=0),M1671,""))</f>
        <v/>
      </c>
    </row>
    <row r="1672">
      <c r="A1672" s="34" t="n"/>
      <c r="B1672" s="35" t="n"/>
      <c r="C1672" s="35" t="n"/>
      <c r="D1672" s="35" t="n"/>
      <c r="E1672" s="35" t="n"/>
      <c r="F1672" s="36" t="n"/>
      <c r="G1672" s="35" t="n"/>
      <c r="H1672" s="30">
        <f>IF(L1672="","",INDEX(SkiftNavn,L1672))</f>
        <v/>
      </c>
      <c r="I1672" s="30">
        <f>IF(OR(A1672="",L1672=""),"",IF(MOD(A1672-INDEX(SkiftStart,L1672),Syklus)&lt;DagK,"Kveld",IF(MOD(A1672-INDEX(SkiftStart,L1672),Syklus)&lt;DagK+DagH,"Helg",IF(MOD(A1672-INDEX(SkiftStart,L1672),Syklus)&lt;DagK+DagH+DagD,"Dag","Fri"))))</f>
        <v/>
      </c>
      <c r="J1672" s="30">
        <f>IF(I1672="Fri","Ja","")</f>
        <v/>
      </c>
      <c r="K1672" s="30">
        <f>IF(B1672="","",IF(L1672="","Ukjent tekniker",IF(ISNA(MATCH(C1672,Aktiviteter,0)),"Ukjent aktivitet",IF(AND(INDEX(AktRolle,MATCH(C1672,Aktiviteter,0))&amp;""&lt;&gt;"",ISERROR(SEARCH(INDEX(AktRolle,MATCH(C1672,Aktiviteter,0))&amp;"",INDEX(TekRoller,MATCH(B1672,Teknikere,0))))),"Mangler rollen "&amp;INDEX(AktRolle,MATCH(C1672,Aktiviteter,0))&amp;"",IF(AND(C1672="LMS",F1672&gt;0,OR(D1672="",E1672="")),"Mangler maskin eller arbeid",IF(AND(OR(C1672="LMS",C1672="Mod"),D1672&lt;&gt;""),IF(IFERROR(INDEX(MaskinStatus,MATCH(D1672,Maskiner,0)),"")="I dokk","","Maskinen er ikke i dokk"),""))))))</f>
        <v/>
      </c>
      <c r="L1672" s="2">
        <f>IF(B1672="","",IFERROR(INT((MATCH(B1672,Teknikere,0)-1)/18)+1,""))</f>
        <v/>
      </c>
      <c r="M1672" s="2">
        <f>IF(OR(A1672="",B1672=""),"",B1672&amp;"|"&amp;A1672)</f>
        <v/>
      </c>
      <c r="N1672" s="2">
        <f>IF(M1672="","",SUMIFS(TF_Timer,TF_Nokkel,M1672,TF_Akt,C1672))</f>
        <v/>
      </c>
      <c r="O1672" s="2">
        <f>IF(M1672="","",IF(AND(N1672=_xlfn.MAXIFS(TF_AktSum,TF_Nokkel,M1672),COUNTIFS(M$3:M1671,M1672,N$3:N1671,N1672)=0),M1672,""))</f>
        <v/>
      </c>
    </row>
    <row r="1673">
      <c r="A1673" s="34" t="n"/>
      <c r="B1673" s="35" t="n"/>
      <c r="C1673" s="35" t="n"/>
      <c r="D1673" s="35" t="n"/>
      <c r="E1673" s="35" t="n"/>
      <c r="F1673" s="36" t="n"/>
      <c r="G1673" s="35" t="n"/>
      <c r="H1673" s="30">
        <f>IF(L1673="","",INDEX(SkiftNavn,L1673))</f>
        <v/>
      </c>
      <c r="I1673" s="30">
        <f>IF(OR(A1673="",L1673=""),"",IF(MOD(A1673-INDEX(SkiftStart,L1673),Syklus)&lt;DagK,"Kveld",IF(MOD(A1673-INDEX(SkiftStart,L1673),Syklus)&lt;DagK+DagH,"Helg",IF(MOD(A1673-INDEX(SkiftStart,L1673),Syklus)&lt;DagK+DagH+DagD,"Dag","Fri"))))</f>
        <v/>
      </c>
      <c r="J1673" s="30">
        <f>IF(I1673="Fri","Ja","")</f>
        <v/>
      </c>
      <c r="K1673" s="30">
        <f>IF(B1673="","",IF(L1673="","Ukjent tekniker",IF(ISNA(MATCH(C1673,Aktiviteter,0)),"Ukjent aktivitet",IF(AND(INDEX(AktRolle,MATCH(C1673,Aktiviteter,0))&amp;""&lt;&gt;"",ISERROR(SEARCH(INDEX(AktRolle,MATCH(C1673,Aktiviteter,0))&amp;"",INDEX(TekRoller,MATCH(B1673,Teknikere,0))))),"Mangler rollen "&amp;INDEX(AktRolle,MATCH(C1673,Aktiviteter,0))&amp;"",IF(AND(C1673="LMS",F1673&gt;0,OR(D1673="",E1673="")),"Mangler maskin eller arbeid",IF(AND(OR(C1673="LMS",C1673="Mod"),D1673&lt;&gt;""),IF(IFERROR(INDEX(MaskinStatus,MATCH(D1673,Maskiner,0)),"")="I dokk","","Maskinen er ikke i dokk"),""))))))</f>
        <v/>
      </c>
      <c r="L1673" s="2">
        <f>IF(B1673="","",IFERROR(INT((MATCH(B1673,Teknikere,0)-1)/18)+1,""))</f>
        <v/>
      </c>
      <c r="M1673" s="2">
        <f>IF(OR(A1673="",B1673=""),"",B1673&amp;"|"&amp;A1673)</f>
        <v/>
      </c>
      <c r="N1673" s="2">
        <f>IF(M1673="","",SUMIFS(TF_Timer,TF_Nokkel,M1673,TF_Akt,C1673))</f>
        <v/>
      </c>
      <c r="O1673" s="2">
        <f>IF(M1673="","",IF(AND(N1673=_xlfn.MAXIFS(TF_AktSum,TF_Nokkel,M1673),COUNTIFS(M$3:M1672,M1673,N$3:N1672,N1673)=0),M1673,""))</f>
        <v/>
      </c>
    </row>
    <row r="1674">
      <c r="A1674" s="34" t="n"/>
      <c r="B1674" s="35" t="n"/>
      <c r="C1674" s="35" t="n"/>
      <c r="D1674" s="35" t="n"/>
      <c r="E1674" s="35" t="n"/>
      <c r="F1674" s="36" t="n"/>
      <c r="G1674" s="35" t="n"/>
      <c r="H1674" s="30">
        <f>IF(L1674="","",INDEX(SkiftNavn,L1674))</f>
        <v/>
      </c>
      <c r="I1674" s="30">
        <f>IF(OR(A1674="",L1674=""),"",IF(MOD(A1674-INDEX(SkiftStart,L1674),Syklus)&lt;DagK,"Kveld",IF(MOD(A1674-INDEX(SkiftStart,L1674),Syklus)&lt;DagK+DagH,"Helg",IF(MOD(A1674-INDEX(SkiftStart,L1674),Syklus)&lt;DagK+DagH+DagD,"Dag","Fri"))))</f>
        <v/>
      </c>
      <c r="J1674" s="30">
        <f>IF(I1674="Fri","Ja","")</f>
        <v/>
      </c>
      <c r="K1674" s="30">
        <f>IF(B1674="","",IF(L1674="","Ukjent tekniker",IF(ISNA(MATCH(C1674,Aktiviteter,0)),"Ukjent aktivitet",IF(AND(INDEX(AktRolle,MATCH(C1674,Aktiviteter,0))&amp;""&lt;&gt;"",ISERROR(SEARCH(INDEX(AktRolle,MATCH(C1674,Aktiviteter,0))&amp;"",INDEX(TekRoller,MATCH(B1674,Teknikere,0))))),"Mangler rollen "&amp;INDEX(AktRolle,MATCH(C1674,Aktiviteter,0))&amp;"",IF(AND(C1674="LMS",F1674&gt;0,OR(D1674="",E1674="")),"Mangler maskin eller arbeid",IF(AND(OR(C1674="LMS",C1674="Mod"),D1674&lt;&gt;""),IF(IFERROR(INDEX(MaskinStatus,MATCH(D1674,Maskiner,0)),"")="I dokk","","Maskinen er ikke i dokk"),""))))))</f>
        <v/>
      </c>
      <c r="L1674" s="2">
        <f>IF(B1674="","",IFERROR(INT((MATCH(B1674,Teknikere,0)-1)/18)+1,""))</f>
        <v/>
      </c>
      <c r="M1674" s="2">
        <f>IF(OR(A1674="",B1674=""),"",B1674&amp;"|"&amp;A1674)</f>
        <v/>
      </c>
      <c r="N1674" s="2">
        <f>IF(M1674="","",SUMIFS(TF_Timer,TF_Nokkel,M1674,TF_Akt,C1674))</f>
        <v/>
      </c>
      <c r="O1674" s="2">
        <f>IF(M1674="","",IF(AND(N1674=_xlfn.MAXIFS(TF_AktSum,TF_Nokkel,M1674),COUNTIFS(M$3:M1673,M1674,N$3:N1673,N1674)=0),M1674,""))</f>
        <v/>
      </c>
    </row>
    <row r="1675">
      <c r="A1675" s="34" t="n"/>
      <c r="B1675" s="35" t="n"/>
      <c r="C1675" s="35" t="n"/>
      <c r="D1675" s="35" t="n"/>
      <c r="E1675" s="35" t="n"/>
      <c r="F1675" s="36" t="n"/>
      <c r="G1675" s="35" t="n"/>
      <c r="H1675" s="30">
        <f>IF(L1675="","",INDEX(SkiftNavn,L1675))</f>
        <v/>
      </c>
      <c r="I1675" s="30">
        <f>IF(OR(A1675="",L1675=""),"",IF(MOD(A1675-INDEX(SkiftStart,L1675),Syklus)&lt;DagK,"Kveld",IF(MOD(A1675-INDEX(SkiftStart,L1675),Syklus)&lt;DagK+DagH,"Helg",IF(MOD(A1675-INDEX(SkiftStart,L1675),Syklus)&lt;DagK+DagH+DagD,"Dag","Fri"))))</f>
        <v/>
      </c>
      <c r="J1675" s="30">
        <f>IF(I1675="Fri","Ja","")</f>
        <v/>
      </c>
      <c r="K1675" s="30">
        <f>IF(B1675="","",IF(L1675="","Ukjent tekniker",IF(ISNA(MATCH(C1675,Aktiviteter,0)),"Ukjent aktivitet",IF(AND(INDEX(AktRolle,MATCH(C1675,Aktiviteter,0))&amp;""&lt;&gt;"",ISERROR(SEARCH(INDEX(AktRolle,MATCH(C1675,Aktiviteter,0))&amp;"",INDEX(TekRoller,MATCH(B1675,Teknikere,0))))),"Mangler rollen "&amp;INDEX(AktRolle,MATCH(C1675,Aktiviteter,0))&amp;"",IF(AND(C1675="LMS",F1675&gt;0,OR(D1675="",E1675="")),"Mangler maskin eller arbeid",IF(AND(OR(C1675="LMS",C1675="Mod"),D1675&lt;&gt;""),IF(IFERROR(INDEX(MaskinStatus,MATCH(D1675,Maskiner,0)),"")="I dokk","","Maskinen er ikke i dokk"),""))))))</f>
        <v/>
      </c>
      <c r="L1675" s="2">
        <f>IF(B1675="","",IFERROR(INT((MATCH(B1675,Teknikere,0)-1)/18)+1,""))</f>
        <v/>
      </c>
      <c r="M1675" s="2">
        <f>IF(OR(A1675="",B1675=""),"",B1675&amp;"|"&amp;A1675)</f>
        <v/>
      </c>
      <c r="N1675" s="2">
        <f>IF(M1675="","",SUMIFS(TF_Timer,TF_Nokkel,M1675,TF_Akt,C1675))</f>
        <v/>
      </c>
      <c r="O1675" s="2">
        <f>IF(M1675="","",IF(AND(N1675=_xlfn.MAXIFS(TF_AktSum,TF_Nokkel,M1675),COUNTIFS(M$3:M1674,M1675,N$3:N1674,N1675)=0),M1675,""))</f>
        <v/>
      </c>
    </row>
    <row r="1676">
      <c r="A1676" s="34" t="n"/>
      <c r="B1676" s="35" t="n"/>
      <c r="C1676" s="35" t="n"/>
      <c r="D1676" s="35" t="n"/>
      <c r="E1676" s="35" t="n"/>
      <c r="F1676" s="36" t="n"/>
      <c r="G1676" s="35" t="n"/>
      <c r="H1676" s="30">
        <f>IF(L1676="","",INDEX(SkiftNavn,L1676))</f>
        <v/>
      </c>
      <c r="I1676" s="30">
        <f>IF(OR(A1676="",L1676=""),"",IF(MOD(A1676-INDEX(SkiftStart,L1676),Syklus)&lt;DagK,"Kveld",IF(MOD(A1676-INDEX(SkiftStart,L1676),Syklus)&lt;DagK+DagH,"Helg",IF(MOD(A1676-INDEX(SkiftStart,L1676),Syklus)&lt;DagK+DagH+DagD,"Dag","Fri"))))</f>
        <v/>
      </c>
      <c r="J1676" s="30">
        <f>IF(I1676="Fri","Ja","")</f>
        <v/>
      </c>
      <c r="K1676" s="30">
        <f>IF(B1676="","",IF(L1676="","Ukjent tekniker",IF(ISNA(MATCH(C1676,Aktiviteter,0)),"Ukjent aktivitet",IF(AND(INDEX(AktRolle,MATCH(C1676,Aktiviteter,0))&amp;""&lt;&gt;"",ISERROR(SEARCH(INDEX(AktRolle,MATCH(C1676,Aktiviteter,0))&amp;"",INDEX(TekRoller,MATCH(B1676,Teknikere,0))))),"Mangler rollen "&amp;INDEX(AktRolle,MATCH(C1676,Aktiviteter,0))&amp;"",IF(AND(C1676="LMS",F1676&gt;0,OR(D1676="",E1676="")),"Mangler maskin eller arbeid",IF(AND(OR(C1676="LMS",C1676="Mod"),D1676&lt;&gt;""),IF(IFERROR(INDEX(MaskinStatus,MATCH(D1676,Maskiner,0)),"")="I dokk","","Maskinen er ikke i dokk"),""))))))</f>
        <v/>
      </c>
      <c r="L1676" s="2">
        <f>IF(B1676="","",IFERROR(INT((MATCH(B1676,Teknikere,0)-1)/18)+1,""))</f>
        <v/>
      </c>
      <c r="M1676" s="2">
        <f>IF(OR(A1676="",B1676=""),"",B1676&amp;"|"&amp;A1676)</f>
        <v/>
      </c>
      <c r="N1676" s="2">
        <f>IF(M1676="","",SUMIFS(TF_Timer,TF_Nokkel,M1676,TF_Akt,C1676))</f>
        <v/>
      </c>
      <c r="O1676" s="2">
        <f>IF(M1676="","",IF(AND(N1676=_xlfn.MAXIFS(TF_AktSum,TF_Nokkel,M1676),COUNTIFS(M$3:M1675,M1676,N$3:N1675,N1676)=0),M1676,""))</f>
        <v/>
      </c>
    </row>
    <row r="1677">
      <c r="A1677" s="34" t="n"/>
      <c r="B1677" s="35" t="n"/>
      <c r="C1677" s="35" t="n"/>
      <c r="D1677" s="35" t="n"/>
      <c r="E1677" s="35" t="n"/>
      <c r="F1677" s="36" t="n"/>
      <c r="G1677" s="35" t="n"/>
      <c r="H1677" s="30">
        <f>IF(L1677="","",INDEX(SkiftNavn,L1677))</f>
        <v/>
      </c>
      <c r="I1677" s="30">
        <f>IF(OR(A1677="",L1677=""),"",IF(MOD(A1677-INDEX(SkiftStart,L1677),Syklus)&lt;DagK,"Kveld",IF(MOD(A1677-INDEX(SkiftStart,L1677),Syklus)&lt;DagK+DagH,"Helg",IF(MOD(A1677-INDEX(SkiftStart,L1677),Syklus)&lt;DagK+DagH+DagD,"Dag","Fri"))))</f>
        <v/>
      </c>
      <c r="J1677" s="30">
        <f>IF(I1677="Fri","Ja","")</f>
        <v/>
      </c>
      <c r="K1677" s="30">
        <f>IF(B1677="","",IF(L1677="","Ukjent tekniker",IF(ISNA(MATCH(C1677,Aktiviteter,0)),"Ukjent aktivitet",IF(AND(INDEX(AktRolle,MATCH(C1677,Aktiviteter,0))&amp;""&lt;&gt;"",ISERROR(SEARCH(INDEX(AktRolle,MATCH(C1677,Aktiviteter,0))&amp;"",INDEX(TekRoller,MATCH(B1677,Teknikere,0))))),"Mangler rollen "&amp;INDEX(AktRolle,MATCH(C1677,Aktiviteter,0))&amp;"",IF(AND(C1677="LMS",F1677&gt;0,OR(D1677="",E1677="")),"Mangler maskin eller arbeid",IF(AND(OR(C1677="LMS",C1677="Mod"),D1677&lt;&gt;""),IF(IFERROR(INDEX(MaskinStatus,MATCH(D1677,Maskiner,0)),"")="I dokk","","Maskinen er ikke i dokk"),""))))))</f>
        <v/>
      </c>
      <c r="L1677" s="2">
        <f>IF(B1677="","",IFERROR(INT((MATCH(B1677,Teknikere,0)-1)/18)+1,""))</f>
        <v/>
      </c>
      <c r="M1677" s="2">
        <f>IF(OR(A1677="",B1677=""),"",B1677&amp;"|"&amp;A1677)</f>
        <v/>
      </c>
      <c r="N1677" s="2">
        <f>IF(M1677="","",SUMIFS(TF_Timer,TF_Nokkel,M1677,TF_Akt,C1677))</f>
        <v/>
      </c>
      <c r="O1677" s="2">
        <f>IF(M1677="","",IF(AND(N1677=_xlfn.MAXIFS(TF_AktSum,TF_Nokkel,M1677),COUNTIFS(M$3:M1676,M1677,N$3:N1676,N1677)=0),M1677,""))</f>
        <v/>
      </c>
    </row>
    <row r="1678">
      <c r="A1678" s="34" t="n"/>
      <c r="B1678" s="35" t="n"/>
      <c r="C1678" s="35" t="n"/>
      <c r="D1678" s="35" t="n"/>
      <c r="E1678" s="35" t="n"/>
      <c r="F1678" s="36" t="n"/>
      <c r="G1678" s="35" t="n"/>
      <c r="H1678" s="30">
        <f>IF(L1678="","",INDEX(SkiftNavn,L1678))</f>
        <v/>
      </c>
      <c r="I1678" s="30">
        <f>IF(OR(A1678="",L1678=""),"",IF(MOD(A1678-INDEX(SkiftStart,L1678),Syklus)&lt;DagK,"Kveld",IF(MOD(A1678-INDEX(SkiftStart,L1678),Syklus)&lt;DagK+DagH,"Helg",IF(MOD(A1678-INDEX(SkiftStart,L1678),Syklus)&lt;DagK+DagH+DagD,"Dag","Fri"))))</f>
        <v/>
      </c>
      <c r="J1678" s="30">
        <f>IF(I1678="Fri","Ja","")</f>
        <v/>
      </c>
      <c r="K1678" s="30">
        <f>IF(B1678="","",IF(L1678="","Ukjent tekniker",IF(ISNA(MATCH(C1678,Aktiviteter,0)),"Ukjent aktivitet",IF(AND(INDEX(AktRolle,MATCH(C1678,Aktiviteter,0))&amp;""&lt;&gt;"",ISERROR(SEARCH(INDEX(AktRolle,MATCH(C1678,Aktiviteter,0))&amp;"",INDEX(TekRoller,MATCH(B1678,Teknikere,0))))),"Mangler rollen "&amp;INDEX(AktRolle,MATCH(C1678,Aktiviteter,0))&amp;"",IF(AND(C1678="LMS",F1678&gt;0,OR(D1678="",E1678="")),"Mangler maskin eller arbeid",IF(AND(OR(C1678="LMS",C1678="Mod"),D1678&lt;&gt;""),IF(IFERROR(INDEX(MaskinStatus,MATCH(D1678,Maskiner,0)),"")="I dokk","","Maskinen er ikke i dokk"),""))))))</f>
        <v/>
      </c>
      <c r="L1678" s="2">
        <f>IF(B1678="","",IFERROR(INT((MATCH(B1678,Teknikere,0)-1)/18)+1,""))</f>
        <v/>
      </c>
      <c r="M1678" s="2">
        <f>IF(OR(A1678="",B1678=""),"",B1678&amp;"|"&amp;A1678)</f>
        <v/>
      </c>
      <c r="N1678" s="2">
        <f>IF(M1678="","",SUMIFS(TF_Timer,TF_Nokkel,M1678,TF_Akt,C1678))</f>
        <v/>
      </c>
      <c r="O1678" s="2">
        <f>IF(M1678="","",IF(AND(N1678=_xlfn.MAXIFS(TF_AktSum,TF_Nokkel,M1678),COUNTIFS(M$3:M1677,M1678,N$3:N1677,N1678)=0),M1678,""))</f>
        <v/>
      </c>
    </row>
    <row r="1679">
      <c r="A1679" s="34" t="n"/>
      <c r="B1679" s="35" t="n"/>
      <c r="C1679" s="35" t="n"/>
      <c r="D1679" s="35" t="n"/>
      <c r="E1679" s="35" t="n"/>
      <c r="F1679" s="36" t="n"/>
      <c r="G1679" s="35" t="n"/>
      <c r="H1679" s="30">
        <f>IF(L1679="","",INDEX(SkiftNavn,L1679))</f>
        <v/>
      </c>
      <c r="I1679" s="30">
        <f>IF(OR(A1679="",L1679=""),"",IF(MOD(A1679-INDEX(SkiftStart,L1679),Syklus)&lt;DagK,"Kveld",IF(MOD(A1679-INDEX(SkiftStart,L1679),Syklus)&lt;DagK+DagH,"Helg",IF(MOD(A1679-INDEX(SkiftStart,L1679),Syklus)&lt;DagK+DagH+DagD,"Dag","Fri"))))</f>
        <v/>
      </c>
      <c r="J1679" s="30">
        <f>IF(I1679="Fri","Ja","")</f>
        <v/>
      </c>
      <c r="K1679" s="30">
        <f>IF(B1679="","",IF(L1679="","Ukjent tekniker",IF(ISNA(MATCH(C1679,Aktiviteter,0)),"Ukjent aktivitet",IF(AND(INDEX(AktRolle,MATCH(C1679,Aktiviteter,0))&amp;""&lt;&gt;"",ISERROR(SEARCH(INDEX(AktRolle,MATCH(C1679,Aktiviteter,0))&amp;"",INDEX(TekRoller,MATCH(B1679,Teknikere,0))))),"Mangler rollen "&amp;INDEX(AktRolle,MATCH(C1679,Aktiviteter,0))&amp;"",IF(AND(C1679="LMS",F1679&gt;0,OR(D1679="",E1679="")),"Mangler maskin eller arbeid",IF(AND(OR(C1679="LMS",C1679="Mod"),D1679&lt;&gt;""),IF(IFERROR(INDEX(MaskinStatus,MATCH(D1679,Maskiner,0)),"")="I dokk","","Maskinen er ikke i dokk"),""))))))</f>
        <v/>
      </c>
      <c r="L1679" s="2">
        <f>IF(B1679="","",IFERROR(INT((MATCH(B1679,Teknikere,0)-1)/18)+1,""))</f>
        <v/>
      </c>
      <c r="M1679" s="2">
        <f>IF(OR(A1679="",B1679=""),"",B1679&amp;"|"&amp;A1679)</f>
        <v/>
      </c>
      <c r="N1679" s="2">
        <f>IF(M1679="","",SUMIFS(TF_Timer,TF_Nokkel,M1679,TF_Akt,C1679))</f>
        <v/>
      </c>
      <c r="O1679" s="2">
        <f>IF(M1679="","",IF(AND(N1679=_xlfn.MAXIFS(TF_AktSum,TF_Nokkel,M1679),COUNTIFS(M$3:M1678,M1679,N$3:N1678,N1679)=0),M1679,""))</f>
        <v/>
      </c>
    </row>
    <row r="1680">
      <c r="A1680" s="34" t="n"/>
      <c r="B1680" s="35" t="n"/>
      <c r="C1680" s="35" t="n"/>
      <c r="D1680" s="35" t="n"/>
      <c r="E1680" s="35" t="n"/>
      <c r="F1680" s="36" t="n"/>
      <c r="G1680" s="35" t="n"/>
      <c r="H1680" s="30">
        <f>IF(L1680="","",INDEX(SkiftNavn,L1680))</f>
        <v/>
      </c>
      <c r="I1680" s="30">
        <f>IF(OR(A1680="",L1680=""),"",IF(MOD(A1680-INDEX(SkiftStart,L1680),Syklus)&lt;DagK,"Kveld",IF(MOD(A1680-INDEX(SkiftStart,L1680),Syklus)&lt;DagK+DagH,"Helg",IF(MOD(A1680-INDEX(SkiftStart,L1680),Syklus)&lt;DagK+DagH+DagD,"Dag","Fri"))))</f>
        <v/>
      </c>
      <c r="J1680" s="30">
        <f>IF(I1680="Fri","Ja","")</f>
        <v/>
      </c>
      <c r="K1680" s="30">
        <f>IF(B1680="","",IF(L1680="","Ukjent tekniker",IF(ISNA(MATCH(C1680,Aktiviteter,0)),"Ukjent aktivitet",IF(AND(INDEX(AktRolle,MATCH(C1680,Aktiviteter,0))&amp;""&lt;&gt;"",ISERROR(SEARCH(INDEX(AktRolle,MATCH(C1680,Aktiviteter,0))&amp;"",INDEX(TekRoller,MATCH(B1680,Teknikere,0))))),"Mangler rollen "&amp;INDEX(AktRolle,MATCH(C1680,Aktiviteter,0))&amp;"",IF(AND(C1680="LMS",F1680&gt;0,OR(D1680="",E1680="")),"Mangler maskin eller arbeid",IF(AND(OR(C1680="LMS",C1680="Mod"),D1680&lt;&gt;""),IF(IFERROR(INDEX(MaskinStatus,MATCH(D1680,Maskiner,0)),"")="I dokk","","Maskinen er ikke i dokk"),""))))))</f>
        <v/>
      </c>
      <c r="L1680" s="2">
        <f>IF(B1680="","",IFERROR(INT((MATCH(B1680,Teknikere,0)-1)/18)+1,""))</f>
        <v/>
      </c>
      <c r="M1680" s="2">
        <f>IF(OR(A1680="",B1680=""),"",B1680&amp;"|"&amp;A1680)</f>
        <v/>
      </c>
      <c r="N1680" s="2">
        <f>IF(M1680="","",SUMIFS(TF_Timer,TF_Nokkel,M1680,TF_Akt,C1680))</f>
        <v/>
      </c>
      <c r="O1680" s="2">
        <f>IF(M1680="","",IF(AND(N1680=_xlfn.MAXIFS(TF_AktSum,TF_Nokkel,M1680),COUNTIFS(M$3:M1679,M1680,N$3:N1679,N1680)=0),M1680,""))</f>
        <v/>
      </c>
    </row>
    <row r="1681">
      <c r="A1681" s="34" t="n"/>
      <c r="B1681" s="35" t="n"/>
      <c r="C1681" s="35" t="n"/>
      <c r="D1681" s="35" t="n"/>
      <c r="E1681" s="35" t="n"/>
      <c r="F1681" s="36" t="n"/>
      <c r="G1681" s="35" t="n"/>
      <c r="H1681" s="30">
        <f>IF(L1681="","",INDEX(SkiftNavn,L1681))</f>
        <v/>
      </c>
      <c r="I1681" s="30">
        <f>IF(OR(A1681="",L1681=""),"",IF(MOD(A1681-INDEX(SkiftStart,L1681),Syklus)&lt;DagK,"Kveld",IF(MOD(A1681-INDEX(SkiftStart,L1681),Syklus)&lt;DagK+DagH,"Helg",IF(MOD(A1681-INDEX(SkiftStart,L1681),Syklus)&lt;DagK+DagH+DagD,"Dag","Fri"))))</f>
        <v/>
      </c>
      <c r="J1681" s="30">
        <f>IF(I1681="Fri","Ja","")</f>
        <v/>
      </c>
      <c r="K1681" s="30">
        <f>IF(B1681="","",IF(L1681="","Ukjent tekniker",IF(ISNA(MATCH(C1681,Aktiviteter,0)),"Ukjent aktivitet",IF(AND(INDEX(AktRolle,MATCH(C1681,Aktiviteter,0))&amp;""&lt;&gt;"",ISERROR(SEARCH(INDEX(AktRolle,MATCH(C1681,Aktiviteter,0))&amp;"",INDEX(TekRoller,MATCH(B1681,Teknikere,0))))),"Mangler rollen "&amp;INDEX(AktRolle,MATCH(C1681,Aktiviteter,0))&amp;"",IF(AND(C1681="LMS",F1681&gt;0,OR(D1681="",E1681="")),"Mangler maskin eller arbeid",IF(AND(OR(C1681="LMS",C1681="Mod"),D1681&lt;&gt;""),IF(IFERROR(INDEX(MaskinStatus,MATCH(D1681,Maskiner,0)),"")="I dokk","","Maskinen er ikke i dokk"),""))))))</f>
        <v/>
      </c>
      <c r="L1681" s="2">
        <f>IF(B1681="","",IFERROR(INT((MATCH(B1681,Teknikere,0)-1)/18)+1,""))</f>
        <v/>
      </c>
      <c r="M1681" s="2">
        <f>IF(OR(A1681="",B1681=""),"",B1681&amp;"|"&amp;A1681)</f>
        <v/>
      </c>
      <c r="N1681" s="2">
        <f>IF(M1681="","",SUMIFS(TF_Timer,TF_Nokkel,M1681,TF_Akt,C1681))</f>
        <v/>
      </c>
      <c r="O1681" s="2">
        <f>IF(M1681="","",IF(AND(N1681=_xlfn.MAXIFS(TF_AktSum,TF_Nokkel,M1681),COUNTIFS(M$3:M1680,M1681,N$3:N1680,N1681)=0),M1681,""))</f>
        <v/>
      </c>
    </row>
    <row r="1682">
      <c r="A1682" s="34" t="n"/>
      <c r="B1682" s="35" t="n"/>
      <c r="C1682" s="35" t="n"/>
      <c r="D1682" s="35" t="n"/>
      <c r="E1682" s="35" t="n"/>
      <c r="F1682" s="36" t="n"/>
      <c r="G1682" s="35" t="n"/>
      <c r="H1682" s="30">
        <f>IF(L1682="","",INDEX(SkiftNavn,L1682))</f>
        <v/>
      </c>
      <c r="I1682" s="30">
        <f>IF(OR(A1682="",L1682=""),"",IF(MOD(A1682-INDEX(SkiftStart,L1682),Syklus)&lt;DagK,"Kveld",IF(MOD(A1682-INDEX(SkiftStart,L1682),Syklus)&lt;DagK+DagH,"Helg",IF(MOD(A1682-INDEX(SkiftStart,L1682),Syklus)&lt;DagK+DagH+DagD,"Dag","Fri"))))</f>
        <v/>
      </c>
      <c r="J1682" s="30">
        <f>IF(I1682="Fri","Ja","")</f>
        <v/>
      </c>
      <c r="K1682" s="30">
        <f>IF(B1682="","",IF(L1682="","Ukjent tekniker",IF(ISNA(MATCH(C1682,Aktiviteter,0)),"Ukjent aktivitet",IF(AND(INDEX(AktRolle,MATCH(C1682,Aktiviteter,0))&amp;""&lt;&gt;"",ISERROR(SEARCH(INDEX(AktRolle,MATCH(C1682,Aktiviteter,0))&amp;"",INDEX(TekRoller,MATCH(B1682,Teknikere,0))))),"Mangler rollen "&amp;INDEX(AktRolle,MATCH(C1682,Aktiviteter,0))&amp;"",IF(AND(C1682="LMS",F1682&gt;0,OR(D1682="",E1682="")),"Mangler maskin eller arbeid",IF(AND(OR(C1682="LMS",C1682="Mod"),D1682&lt;&gt;""),IF(IFERROR(INDEX(MaskinStatus,MATCH(D1682,Maskiner,0)),"")="I dokk","","Maskinen er ikke i dokk"),""))))))</f>
        <v/>
      </c>
      <c r="L1682" s="2">
        <f>IF(B1682="","",IFERROR(INT((MATCH(B1682,Teknikere,0)-1)/18)+1,""))</f>
        <v/>
      </c>
      <c r="M1682" s="2">
        <f>IF(OR(A1682="",B1682=""),"",B1682&amp;"|"&amp;A1682)</f>
        <v/>
      </c>
      <c r="N1682" s="2">
        <f>IF(M1682="","",SUMIFS(TF_Timer,TF_Nokkel,M1682,TF_Akt,C1682))</f>
        <v/>
      </c>
      <c r="O1682" s="2">
        <f>IF(M1682="","",IF(AND(N1682=_xlfn.MAXIFS(TF_AktSum,TF_Nokkel,M1682),COUNTIFS(M$3:M1681,M1682,N$3:N1681,N1682)=0),M1682,""))</f>
        <v/>
      </c>
    </row>
    <row r="1683">
      <c r="A1683" s="34" t="n"/>
      <c r="B1683" s="35" t="n"/>
      <c r="C1683" s="35" t="n"/>
      <c r="D1683" s="35" t="n"/>
      <c r="E1683" s="35" t="n"/>
      <c r="F1683" s="36" t="n"/>
      <c r="G1683" s="35" t="n"/>
      <c r="H1683" s="30">
        <f>IF(L1683="","",INDEX(SkiftNavn,L1683))</f>
        <v/>
      </c>
      <c r="I1683" s="30">
        <f>IF(OR(A1683="",L1683=""),"",IF(MOD(A1683-INDEX(SkiftStart,L1683),Syklus)&lt;DagK,"Kveld",IF(MOD(A1683-INDEX(SkiftStart,L1683),Syklus)&lt;DagK+DagH,"Helg",IF(MOD(A1683-INDEX(SkiftStart,L1683),Syklus)&lt;DagK+DagH+DagD,"Dag","Fri"))))</f>
        <v/>
      </c>
      <c r="J1683" s="30">
        <f>IF(I1683="Fri","Ja","")</f>
        <v/>
      </c>
      <c r="K1683" s="30">
        <f>IF(B1683="","",IF(L1683="","Ukjent tekniker",IF(ISNA(MATCH(C1683,Aktiviteter,0)),"Ukjent aktivitet",IF(AND(INDEX(AktRolle,MATCH(C1683,Aktiviteter,0))&amp;""&lt;&gt;"",ISERROR(SEARCH(INDEX(AktRolle,MATCH(C1683,Aktiviteter,0))&amp;"",INDEX(TekRoller,MATCH(B1683,Teknikere,0))))),"Mangler rollen "&amp;INDEX(AktRolle,MATCH(C1683,Aktiviteter,0))&amp;"",IF(AND(C1683="LMS",F1683&gt;0,OR(D1683="",E1683="")),"Mangler maskin eller arbeid",IF(AND(OR(C1683="LMS",C1683="Mod"),D1683&lt;&gt;""),IF(IFERROR(INDEX(MaskinStatus,MATCH(D1683,Maskiner,0)),"")="I dokk","","Maskinen er ikke i dokk"),""))))))</f>
        <v/>
      </c>
      <c r="L1683" s="2">
        <f>IF(B1683="","",IFERROR(INT((MATCH(B1683,Teknikere,0)-1)/18)+1,""))</f>
        <v/>
      </c>
      <c r="M1683" s="2">
        <f>IF(OR(A1683="",B1683=""),"",B1683&amp;"|"&amp;A1683)</f>
        <v/>
      </c>
      <c r="N1683" s="2">
        <f>IF(M1683="","",SUMIFS(TF_Timer,TF_Nokkel,M1683,TF_Akt,C1683))</f>
        <v/>
      </c>
      <c r="O1683" s="2">
        <f>IF(M1683="","",IF(AND(N1683=_xlfn.MAXIFS(TF_AktSum,TF_Nokkel,M1683),COUNTIFS(M$3:M1682,M1683,N$3:N1682,N1683)=0),M1683,""))</f>
        <v/>
      </c>
    </row>
    <row r="1684">
      <c r="A1684" s="34" t="n"/>
      <c r="B1684" s="35" t="n"/>
      <c r="C1684" s="35" t="n"/>
      <c r="D1684" s="35" t="n"/>
      <c r="E1684" s="35" t="n"/>
      <c r="F1684" s="36" t="n"/>
      <c r="G1684" s="35" t="n"/>
      <c r="H1684" s="30">
        <f>IF(L1684="","",INDEX(SkiftNavn,L1684))</f>
        <v/>
      </c>
      <c r="I1684" s="30">
        <f>IF(OR(A1684="",L1684=""),"",IF(MOD(A1684-INDEX(SkiftStart,L1684),Syklus)&lt;DagK,"Kveld",IF(MOD(A1684-INDEX(SkiftStart,L1684),Syklus)&lt;DagK+DagH,"Helg",IF(MOD(A1684-INDEX(SkiftStart,L1684),Syklus)&lt;DagK+DagH+DagD,"Dag","Fri"))))</f>
        <v/>
      </c>
      <c r="J1684" s="30">
        <f>IF(I1684="Fri","Ja","")</f>
        <v/>
      </c>
      <c r="K1684" s="30">
        <f>IF(B1684="","",IF(L1684="","Ukjent tekniker",IF(ISNA(MATCH(C1684,Aktiviteter,0)),"Ukjent aktivitet",IF(AND(INDEX(AktRolle,MATCH(C1684,Aktiviteter,0))&amp;""&lt;&gt;"",ISERROR(SEARCH(INDEX(AktRolle,MATCH(C1684,Aktiviteter,0))&amp;"",INDEX(TekRoller,MATCH(B1684,Teknikere,0))))),"Mangler rollen "&amp;INDEX(AktRolle,MATCH(C1684,Aktiviteter,0))&amp;"",IF(AND(C1684="LMS",F1684&gt;0,OR(D1684="",E1684="")),"Mangler maskin eller arbeid",IF(AND(OR(C1684="LMS",C1684="Mod"),D1684&lt;&gt;""),IF(IFERROR(INDEX(MaskinStatus,MATCH(D1684,Maskiner,0)),"")="I dokk","","Maskinen er ikke i dokk"),""))))))</f>
        <v/>
      </c>
      <c r="L1684" s="2">
        <f>IF(B1684="","",IFERROR(INT((MATCH(B1684,Teknikere,0)-1)/18)+1,""))</f>
        <v/>
      </c>
      <c r="M1684" s="2">
        <f>IF(OR(A1684="",B1684=""),"",B1684&amp;"|"&amp;A1684)</f>
        <v/>
      </c>
      <c r="N1684" s="2">
        <f>IF(M1684="","",SUMIFS(TF_Timer,TF_Nokkel,M1684,TF_Akt,C1684))</f>
        <v/>
      </c>
      <c r="O1684" s="2">
        <f>IF(M1684="","",IF(AND(N1684=_xlfn.MAXIFS(TF_AktSum,TF_Nokkel,M1684),COUNTIFS(M$3:M1683,M1684,N$3:N1683,N1684)=0),M1684,""))</f>
        <v/>
      </c>
    </row>
    <row r="1685">
      <c r="A1685" s="34" t="n"/>
      <c r="B1685" s="35" t="n"/>
      <c r="C1685" s="35" t="n"/>
      <c r="D1685" s="35" t="n"/>
      <c r="E1685" s="35" t="n"/>
      <c r="F1685" s="36" t="n"/>
      <c r="G1685" s="35" t="n"/>
      <c r="H1685" s="30">
        <f>IF(L1685="","",INDEX(SkiftNavn,L1685))</f>
        <v/>
      </c>
      <c r="I1685" s="30">
        <f>IF(OR(A1685="",L1685=""),"",IF(MOD(A1685-INDEX(SkiftStart,L1685),Syklus)&lt;DagK,"Kveld",IF(MOD(A1685-INDEX(SkiftStart,L1685),Syklus)&lt;DagK+DagH,"Helg",IF(MOD(A1685-INDEX(SkiftStart,L1685),Syklus)&lt;DagK+DagH+DagD,"Dag","Fri"))))</f>
        <v/>
      </c>
      <c r="J1685" s="30">
        <f>IF(I1685="Fri","Ja","")</f>
        <v/>
      </c>
      <c r="K1685" s="30">
        <f>IF(B1685="","",IF(L1685="","Ukjent tekniker",IF(ISNA(MATCH(C1685,Aktiviteter,0)),"Ukjent aktivitet",IF(AND(INDEX(AktRolle,MATCH(C1685,Aktiviteter,0))&amp;""&lt;&gt;"",ISERROR(SEARCH(INDEX(AktRolle,MATCH(C1685,Aktiviteter,0))&amp;"",INDEX(TekRoller,MATCH(B1685,Teknikere,0))))),"Mangler rollen "&amp;INDEX(AktRolle,MATCH(C1685,Aktiviteter,0))&amp;"",IF(AND(C1685="LMS",F1685&gt;0,OR(D1685="",E1685="")),"Mangler maskin eller arbeid",IF(AND(OR(C1685="LMS",C1685="Mod"),D1685&lt;&gt;""),IF(IFERROR(INDEX(MaskinStatus,MATCH(D1685,Maskiner,0)),"")="I dokk","","Maskinen er ikke i dokk"),""))))))</f>
        <v/>
      </c>
      <c r="L1685" s="2">
        <f>IF(B1685="","",IFERROR(INT((MATCH(B1685,Teknikere,0)-1)/18)+1,""))</f>
        <v/>
      </c>
      <c r="M1685" s="2">
        <f>IF(OR(A1685="",B1685=""),"",B1685&amp;"|"&amp;A1685)</f>
        <v/>
      </c>
      <c r="N1685" s="2">
        <f>IF(M1685="","",SUMIFS(TF_Timer,TF_Nokkel,M1685,TF_Akt,C1685))</f>
        <v/>
      </c>
      <c r="O1685" s="2">
        <f>IF(M1685="","",IF(AND(N1685=_xlfn.MAXIFS(TF_AktSum,TF_Nokkel,M1685),COUNTIFS(M$3:M1684,M1685,N$3:N1684,N1685)=0),M1685,""))</f>
        <v/>
      </c>
    </row>
    <row r="1686">
      <c r="A1686" s="34" t="n"/>
      <c r="B1686" s="35" t="n"/>
      <c r="C1686" s="35" t="n"/>
      <c r="D1686" s="35" t="n"/>
      <c r="E1686" s="35" t="n"/>
      <c r="F1686" s="36" t="n"/>
      <c r="G1686" s="35" t="n"/>
      <c r="H1686" s="30">
        <f>IF(L1686="","",INDEX(SkiftNavn,L1686))</f>
        <v/>
      </c>
      <c r="I1686" s="30">
        <f>IF(OR(A1686="",L1686=""),"",IF(MOD(A1686-INDEX(SkiftStart,L1686),Syklus)&lt;DagK,"Kveld",IF(MOD(A1686-INDEX(SkiftStart,L1686),Syklus)&lt;DagK+DagH,"Helg",IF(MOD(A1686-INDEX(SkiftStart,L1686),Syklus)&lt;DagK+DagH+DagD,"Dag","Fri"))))</f>
        <v/>
      </c>
      <c r="J1686" s="30">
        <f>IF(I1686="Fri","Ja","")</f>
        <v/>
      </c>
      <c r="K1686" s="30">
        <f>IF(B1686="","",IF(L1686="","Ukjent tekniker",IF(ISNA(MATCH(C1686,Aktiviteter,0)),"Ukjent aktivitet",IF(AND(INDEX(AktRolle,MATCH(C1686,Aktiviteter,0))&amp;""&lt;&gt;"",ISERROR(SEARCH(INDEX(AktRolle,MATCH(C1686,Aktiviteter,0))&amp;"",INDEX(TekRoller,MATCH(B1686,Teknikere,0))))),"Mangler rollen "&amp;INDEX(AktRolle,MATCH(C1686,Aktiviteter,0))&amp;"",IF(AND(C1686="LMS",F1686&gt;0,OR(D1686="",E1686="")),"Mangler maskin eller arbeid",IF(AND(OR(C1686="LMS",C1686="Mod"),D1686&lt;&gt;""),IF(IFERROR(INDEX(MaskinStatus,MATCH(D1686,Maskiner,0)),"")="I dokk","","Maskinen er ikke i dokk"),""))))))</f>
        <v/>
      </c>
      <c r="L1686" s="2">
        <f>IF(B1686="","",IFERROR(INT((MATCH(B1686,Teknikere,0)-1)/18)+1,""))</f>
        <v/>
      </c>
      <c r="M1686" s="2">
        <f>IF(OR(A1686="",B1686=""),"",B1686&amp;"|"&amp;A1686)</f>
        <v/>
      </c>
      <c r="N1686" s="2">
        <f>IF(M1686="","",SUMIFS(TF_Timer,TF_Nokkel,M1686,TF_Akt,C1686))</f>
        <v/>
      </c>
      <c r="O1686" s="2">
        <f>IF(M1686="","",IF(AND(N1686=_xlfn.MAXIFS(TF_AktSum,TF_Nokkel,M1686),COUNTIFS(M$3:M1685,M1686,N$3:N1685,N1686)=0),M1686,""))</f>
        <v/>
      </c>
    </row>
    <row r="1687">
      <c r="A1687" s="34" t="n"/>
      <c r="B1687" s="35" t="n"/>
      <c r="C1687" s="35" t="n"/>
      <c r="D1687" s="35" t="n"/>
      <c r="E1687" s="35" t="n"/>
      <c r="F1687" s="36" t="n"/>
      <c r="G1687" s="35" t="n"/>
      <c r="H1687" s="30">
        <f>IF(L1687="","",INDEX(SkiftNavn,L1687))</f>
        <v/>
      </c>
      <c r="I1687" s="30">
        <f>IF(OR(A1687="",L1687=""),"",IF(MOD(A1687-INDEX(SkiftStart,L1687),Syklus)&lt;DagK,"Kveld",IF(MOD(A1687-INDEX(SkiftStart,L1687),Syklus)&lt;DagK+DagH,"Helg",IF(MOD(A1687-INDEX(SkiftStart,L1687),Syklus)&lt;DagK+DagH+DagD,"Dag","Fri"))))</f>
        <v/>
      </c>
      <c r="J1687" s="30">
        <f>IF(I1687="Fri","Ja","")</f>
        <v/>
      </c>
      <c r="K1687" s="30">
        <f>IF(B1687="","",IF(L1687="","Ukjent tekniker",IF(ISNA(MATCH(C1687,Aktiviteter,0)),"Ukjent aktivitet",IF(AND(INDEX(AktRolle,MATCH(C1687,Aktiviteter,0))&amp;""&lt;&gt;"",ISERROR(SEARCH(INDEX(AktRolle,MATCH(C1687,Aktiviteter,0))&amp;"",INDEX(TekRoller,MATCH(B1687,Teknikere,0))))),"Mangler rollen "&amp;INDEX(AktRolle,MATCH(C1687,Aktiviteter,0))&amp;"",IF(AND(C1687="LMS",F1687&gt;0,OR(D1687="",E1687="")),"Mangler maskin eller arbeid",IF(AND(OR(C1687="LMS",C1687="Mod"),D1687&lt;&gt;""),IF(IFERROR(INDEX(MaskinStatus,MATCH(D1687,Maskiner,0)),"")="I dokk","","Maskinen er ikke i dokk"),""))))))</f>
        <v/>
      </c>
      <c r="L1687" s="2">
        <f>IF(B1687="","",IFERROR(INT((MATCH(B1687,Teknikere,0)-1)/18)+1,""))</f>
        <v/>
      </c>
      <c r="M1687" s="2">
        <f>IF(OR(A1687="",B1687=""),"",B1687&amp;"|"&amp;A1687)</f>
        <v/>
      </c>
      <c r="N1687" s="2">
        <f>IF(M1687="","",SUMIFS(TF_Timer,TF_Nokkel,M1687,TF_Akt,C1687))</f>
        <v/>
      </c>
      <c r="O1687" s="2">
        <f>IF(M1687="","",IF(AND(N1687=_xlfn.MAXIFS(TF_AktSum,TF_Nokkel,M1687),COUNTIFS(M$3:M1686,M1687,N$3:N1686,N1687)=0),M1687,""))</f>
        <v/>
      </c>
    </row>
    <row r="1688">
      <c r="A1688" s="34" t="n"/>
      <c r="B1688" s="35" t="n"/>
      <c r="C1688" s="35" t="n"/>
      <c r="D1688" s="35" t="n"/>
      <c r="E1688" s="35" t="n"/>
      <c r="F1688" s="36" t="n"/>
      <c r="G1688" s="35" t="n"/>
      <c r="H1688" s="30">
        <f>IF(L1688="","",INDEX(SkiftNavn,L1688))</f>
        <v/>
      </c>
      <c r="I1688" s="30">
        <f>IF(OR(A1688="",L1688=""),"",IF(MOD(A1688-INDEX(SkiftStart,L1688),Syklus)&lt;DagK,"Kveld",IF(MOD(A1688-INDEX(SkiftStart,L1688),Syklus)&lt;DagK+DagH,"Helg",IF(MOD(A1688-INDEX(SkiftStart,L1688),Syklus)&lt;DagK+DagH+DagD,"Dag","Fri"))))</f>
        <v/>
      </c>
      <c r="J1688" s="30">
        <f>IF(I1688="Fri","Ja","")</f>
        <v/>
      </c>
      <c r="K1688" s="30">
        <f>IF(B1688="","",IF(L1688="","Ukjent tekniker",IF(ISNA(MATCH(C1688,Aktiviteter,0)),"Ukjent aktivitet",IF(AND(INDEX(AktRolle,MATCH(C1688,Aktiviteter,0))&amp;""&lt;&gt;"",ISERROR(SEARCH(INDEX(AktRolle,MATCH(C1688,Aktiviteter,0))&amp;"",INDEX(TekRoller,MATCH(B1688,Teknikere,0))))),"Mangler rollen "&amp;INDEX(AktRolle,MATCH(C1688,Aktiviteter,0))&amp;"",IF(AND(C1688="LMS",F1688&gt;0,OR(D1688="",E1688="")),"Mangler maskin eller arbeid",IF(AND(OR(C1688="LMS",C1688="Mod"),D1688&lt;&gt;""),IF(IFERROR(INDEX(MaskinStatus,MATCH(D1688,Maskiner,0)),"")="I dokk","","Maskinen er ikke i dokk"),""))))))</f>
        <v/>
      </c>
      <c r="L1688" s="2">
        <f>IF(B1688="","",IFERROR(INT((MATCH(B1688,Teknikere,0)-1)/18)+1,""))</f>
        <v/>
      </c>
      <c r="M1688" s="2">
        <f>IF(OR(A1688="",B1688=""),"",B1688&amp;"|"&amp;A1688)</f>
        <v/>
      </c>
      <c r="N1688" s="2">
        <f>IF(M1688="","",SUMIFS(TF_Timer,TF_Nokkel,M1688,TF_Akt,C1688))</f>
        <v/>
      </c>
      <c r="O1688" s="2">
        <f>IF(M1688="","",IF(AND(N1688=_xlfn.MAXIFS(TF_AktSum,TF_Nokkel,M1688),COUNTIFS(M$3:M1687,M1688,N$3:N1687,N1688)=0),M1688,""))</f>
        <v/>
      </c>
    </row>
    <row r="1689">
      <c r="A1689" s="34" t="n"/>
      <c r="B1689" s="35" t="n"/>
      <c r="C1689" s="35" t="n"/>
      <c r="D1689" s="35" t="n"/>
      <c r="E1689" s="35" t="n"/>
      <c r="F1689" s="36" t="n"/>
      <c r="G1689" s="35" t="n"/>
      <c r="H1689" s="30">
        <f>IF(L1689="","",INDEX(SkiftNavn,L1689))</f>
        <v/>
      </c>
      <c r="I1689" s="30">
        <f>IF(OR(A1689="",L1689=""),"",IF(MOD(A1689-INDEX(SkiftStart,L1689),Syklus)&lt;DagK,"Kveld",IF(MOD(A1689-INDEX(SkiftStart,L1689),Syklus)&lt;DagK+DagH,"Helg",IF(MOD(A1689-INDEX(SkiftStart,L1689),Syklus)&lt;DagK+DagH+DagD,"Dag","Fri"))))</f>
        <v/>
      </c>
      <c r="J1689" s="30">
        <f>IF(I1689="Fri","Ja","")</f>
        <v/>
      </c>
      <c r="K1689" s="30">
        <f>IF(B1689="","",IF(L1689="","Ukjent tekniker",IF(ISNA(MATCH(C1689,Aktiviteter,0)),"Ukjent aktivitet",IF(AND(INDEX(AktRolle,MATCH(C1689,Aktiviteter,0))&amp;""&lt;&gt;"",ISERROR(SEARCH(INDEX(AktRolle,MATCH(C1689,Aktiviteter,0))&amp;"",INDEX(TekRoller,MATCH(B1689,Teknikere,0))))),"Mangler rollen "&amp;INDEX(AktRolle,MATCH(C1689,Aktiviteter,0))&amp;"",IF(AND(C1689="LMS",F1689&gt;0,OR(D1689="",E1689="")),"Mangler maskin eller arbeid",IF(AND(OR(C1689="LMS",C1689="Mod"),D1689&lt;&gt;""),IF(IFERROR(INDEX(MaskinStatus,MATCH(D1689,Maskiner,0)),"")="I dokk","","Maskinen er ikke i dokk"),""))))))</f>
        <v/>
      </c>
      <c r="L1689" s="2">
        <f>IF(B1689="","",IFERROR(INT((MATCH(B1689,Teknikere,0)-1)/18)+1,""))</f>
        <v/>
      </c>
      <c r="M1689" s="2">
        <f>IF(OR(A1689="",B1689=""),"",B1689&amp;"|"&amp;A1689)</f>
        <v/>
      </c>
      <c r="N1689" s="2">
        <f>IF(M1689="","",SUMIFS(TF_Timer,TF_Nokkel,M1689,TF_Akt,C1689))</f>
        <v/>
      </c>
      <c r="O1689" s="2">
        <f>IF(M1689="","",IF(AND(N1689=_xlfn.MAXIFS(TF_AktSum,TF_Nokkel,M1689),COUNTIFS(M$3:M1688,M1689,N$3:N1688,N1689)=0),M1689,""))</f>
        <v/>
      </c>
    </row>
    <row r="1690">
      <c r="A1690" s="34" t="n"/>
      <c r="B1690" s="35" t="n"/>
      <c r="C1690" s="35" t="n"/>
      <c r="D1690" s="35" t="n"/>
      <c r="E1690" s="35" t="n"/>
      <c r="F1690" s="36" t="n"/>
      <c r="G1690" s="35" t="n"/>
      <c r="H1690" s="30">
        <f>IF(L1690="","",INDEX(SkiftNavn,L1690))</f>
        <v/>
      </c>
      <c r="I1690" s="30">
        <f>IF(OR(A1690="",L1690=""),"",IF(MOD(A1690-INDEX(SkiftStart,L1690),Syklus)&lt;DagK,"Kveld",IF(MOD(A1690-INDEX(SkiftStart,L1690),Syklus)&lt;DagK+DagH,"Helg",IF(MOD(A1690-INDEX(SkiftStart,L1690),Syklus)&lt;DagK+DagH+DagD,"Dag","Fri"))))</f>
        <v/>
      </c>
      <c r="J1690" s="30">
        <f>IF(I1690="Fri","Ja","")</f>
        <v/>
      </c>
      <c r="K1690" s="30">
        <f>IF(B1690="","",IF(L1690="","Ukjent tekniker",IF(ISNA(MATCH(C1690,Aktiviteter,0)),"Ukjent aktivitet",IF(AND(INDEX(AktRolle,MATCH(C1690,Aktiviteter,0))&amp;""&lt;&gt;"",ISERROR(SEARCH(INDEX(AktRolle,MATCH(C1690,Aktiviteter,0))&amp;"",INDEX(TekRoller,MATCH(B1690,Teknikere,0))))),"Mangler rollen "&amp;INDEX(AktRolle,MATCH(C1690,Aktiviteter,0))&amp;"",IF(AND(C1690="LMS",F1690&gt;0,OR(D1690="",E1690="")),"Mangler maskin eller arbeid",IF(AND(OR(C1690="LMS",C1690="Mod"),D1690&lt;&gt;""),IF(IFERROR(INDEX(MaskinStatus,MATCH(D1690,Maskiner,0)),"")="I dokk","","Maskinen er ikke i dokk"),""))))))</f>
        <v/>
      </c>
      <c r="L1690" s="2">
        <f>IF(B1690="","",IFERROR(INT((MATCH(B1690,Teknikere,0)-1)/18)+1,""))</f>
        <v/>
      </c>
      <c r="M1690" s="2">
        <f>IF(OR(A1690="",B1690=""),"",B1690&amp;"|"&amp;A1690)</f>
        <v/>
      </c>
      <c r="N1690" s="2">
        <f>IF(M1690="","",SUMIFS(TF_Timer,TF_Nokkel,M1690,TF_Akt,C1690))</f>
        <v/>
      </c>
      <c r="O1690" s="2">
        <f>IF(M1690="","",IF(AND(N1690=_xlfn.MAXIFS(TF_AktSum,TF_Nokkel,M1690),COUNTIFS(M$3:M1689,M1690,N$3:N1689,N1690)=0),M1690,""))</f>
        <v/>
      </c>
    </row>
    <row r="1691">
      <c r="A1691" s="34" t="n"/>
      <c r="B1691" s="35" t="n"/>
      <c r="C1691" s="35" t="n"/>
      <c r="D1691" s="35" t="n"/>
      <c r="E1691" s="35" t="n"/>
      <c r="F1691" s="36" t="n"/>
      <c r="G1691" s="35" t="n"/>
      <c r="H1691" s="30">
        <f>IF(L1691="","",INDEX(SkiftNavn,L1691))</f>
        <v/>
      </c>
      <c r="I1691" s="30">
        <f>IF(OR(A1691="",L1691=""),"",IF(MOD(A1691-INDEX(SkiftStart,L1691),Syklus)&lt;DagK,"Kveld",IF(MOD(A1691-INDEX(SkiftStart,L1691),Syklus)&lt;DagK+DagH,"Helg",IF(MOD(A1691-INDEX(SkiftStart,L1691),Syklus)&lt;DagK+DagH+DagD,"Dag","Fri"))))</f>
        <v/>
      </c>
      <c r="J1691" s="30">
        <f>IF(I1691="Fri","Ja","")</f>
        <v/>
      </c>
      <c r="K1691" s="30">
        <f>IF(B1691="","",IF(L1691="","Ukjent tekniker",IF(ISNA(MATCH(C1691,Aktiviteter,0)),"Ukjent aktivitet",IF(AND(INDEX(AktRolle,MATCH(C1691,Aktiviteter,0))&amp;""&lt;&gt;"",ISERROR(SEARCH(INDEX(AktRolle,MATCH(C1691,Aktiviteter,0))&amp;"",INDEX(TekRoller,MATCH(B1691,Teknikere,0))))),"Mangler rollen "&amp;INDEX(AktRolle,MATCH(C1691,Aktiviteter,0))&amp;"",IF(AND(C1691="LMS",F1691&gt;0,OR(D1691="",E1691="")),"Mangler maskin eller arbeid",IF(AND(OR(C1691="LMS",C1691="Mod"),D1691&lt;&gt;""),IF(IFERROR(INDEX(MaskinStatus,MATCH(D1691,Maskiner,0)),"")="I dokk","","Maskinen er ikke i dokk"),""))))))</f>
        <v/>
      </c>
      <c r="L1691" s="2">
        <f>IF(B1691="","",IFERROR(INT((MATCH(B1691,Teknikere,0)-1)/18)+1,""))</f>
        <v/>
      </c>
      <c r="M1691" s="2">
        <f>IF(OR(A1691="",B1691=""),"",B1691&amp;"|"&amp;A1691)</f>
        <v/>
      </c>
      <c r="N1691" s="2">
        <f>IF(M1691="","",SUMIFS(TF_Timer,TF_Nokkel,M1691,TF_Akt,C1691))</f>
        <v/>
      </c>
      <c r="O1691" s="2">
        <f>IF(M1691="","",IF(AND(N1691=_xlfn.MAXIFS(TF_AktSum,TF_Nokkel,M1691),COUNTIFS(M$3:M1690,M1691,N$3:N1690,N1691)=0),M1691,""))</f>
        <v/>
      </c>
    </row>
    <row r="1692">
      <c r="A1692" s="34" t="n"/>
      <c r="B1692" s="35" t="n"/>
      <c r="C1692" s="35" t="n"/>
      <c r="D1692" s="35" t="n"/>
      <c r="E1692" s="35" t="n"/>
      <c r="F1692" s="36" t="n"/>
      <c r="G1692" s="35" t="n"/>
      <c r="H1692" s="30">
        <f>IF(L1692="","",INDEX(SkiftNavn,L1692))</f>
        <v/>
      </c>
      <c r="I1692" s="30">
        <f>IF(OR(A1692="",L1692=""),"",IF(MOD(A1692-INDEX(SkiftStart,L1692),Syklus)&lt;DagK,"Kveld",IF(MOD(A1692-INDEX(SkiftStart,L1692),Syklus)&lt;DagK+DagH,"Helg",IF(MOD(A1692-INDEX(SkiftStart,L1692),Syklus)&lt;DagK+DagH+DagD,"Dag","Fri"))))</f>
        <v/>
      </c>
      <c r="J1692" s="30">
        <f>IF(I1692="Fri","Ja","")</f>
        <v/>
      </c>
      <c r="K1692" s="30">
        <f>IF(B1692="","",IF(L1692="","Ukjent tekniker",IF(ISNA(MATCH(C1692,Aktiviteter,0)),"Ukjent aktivitet",IF(AND(INDEX(AktRolle,MATCH(C1692,Aktiviteter,0))&amp;""&lt;&gt;"",ISERROR(SEARCH(INDEX(AktRolle,MATCH(C1692,Aktiviteter,0))&amp;"",INDEX(TekRoller,MATCH(B1692,Teknikere,0))))),"Mangler rollen "&amp;INDEX(AktRolle,MATCH(C1692,Aktiviteter,0))&amp;"",IF(AND(C1692="LMS",F1692&gt;0,OR(D1692="",E1692="")),"Mangler maskin eller arbeid",IF(AND(OR(C1692="LMS",C1692="Mod"),D1692&lt;&gt;""),IF(IFERROR(INDEX(MaskinStatus,MATCH(D1692,Maskiner,0)),"")="I dokk","","Maskinen er ikke i dokk"),""))))))</f>
        <v/>
      </c>
      <c r="L1692" s="2">
        <f>IF(B1692="","",IFERROR(INT((MATCH(B1692,Teknikere,0)-1)/18)+1,""))</f>
        <v/>
      </c>
      <c r="M1692" s="2">
        <f>IF(OR(A1692="",B1692=""),"",B1692&amp;"|"&amp;A1692)</f>
        <v/>
      </c>
      <c r="N1692" s="2">
        <f>IF(M1692="","",SUMIFS(TF_Timer,TF_Nokkel,M1692,TF_Akt,C1692))</f>
        <v/>
      </c>
      <c r="O1692" s="2">
        <f>IF(M1692="","",IF(AND(N1692=_xlfn.MAXIFS(TF_AktSum,TF_Nokkel,M1692),COUNTIFS(M$3:M1691,M1692,N$3:N1691,N1692)=0),M1692,""))</f>
        <v/>
      </c>
    </row>
    <row r="1693">
      <c r="A1693" s="34" t="n"/>
      <c r="B1693" s="35" t="n"/>
      <c r="C1693" s="35" t="n"/>
      <c r="D1693" s="35" t="n"/>
      <c r="E1693" s="35" t="n"/>
      <c r="F1693" s="36" t="n"/>
      <c r="G1693" s="35" t="n"/>
      <c r="H1693" s="30">
        <f>IF(L1693="","",INDEX(SkiftNavn,L1693))</f>
        <v/>
      </c>
      <c r="I1693" s="30">
        <f>IF(OR(A1693="",L1693=""),"",IF(MOD(A1693-INDEX(SkiftStart,L1693),Syklus)&lt;DagK,"Kveld",IF(MOD(A1693-INDEX(SkiftStart,L1693),Syklus)&lt;DagK+DagH,"Helg",IF(MOD(A1693-INDEX(SkiftStart,L1693),Syklus)&lt;DagK+DagH+DagD,"Dag","Fri"))))</f>
        <v/>
      </c>
      <c r="J1693" s="30">
        <f>IF(I1693="Fri","Ja","")</f>
        <v/>
      </c>
      <c r="K1693" s="30">
        <f>IF(B1693="","",IF(L1693="","Ukjent tekniker",IF(ISNA(MATCH(C1693,Aktiviteter,0)),"Ukjent aktivitet",IF(AND(INDEX(AktRolle,MATCH(C1693,Aktiviteter,0))&amp;""&lt;&gt;"",ISERROR(SEARCH(INDEX(AktRolle,MATCH(C1693,Aktiviteter,0))&amp;"",INDEX(TekRoller,MATCH(B1693,Teknikere,0))))),"Mangler rollen "&amp;INDEX(AktRolle,MATCH(C1693,Aktiviteter,0))&amp;"",IF(AND(C1693="LMS",F1693&gt;0,OR(D1693="",E1693="")),"Mangler maskin eller arbeid",IF(AND(OR(C1693="LMS",C1693="Mod"),D1693&lt;&gt;""),IF(IFERROR(INDEX(MaskinStatus,MATCH(D1693,Maskiner,0)),"")="I dokk","","Maskinen er ikke i dokk"),""))))))</f>
        <v/>
      </c>
      <c r="L1693" s="2">
        <f>IF(B1693="","",IFERROR(INT((MATCH(B1693,Teknikere,0)-1)/18)+1,""))</f>
        <v/>
      </c>
      <c r="M1693" s="2">
        <f>IF(OR(A1693="",B1693=""),"",B1693&amp;"|"&amp;A1693)</f>
        <v/>
      </c>
      <c r="N1693" s="2">
        <f>IF(M1693="","",SUMIFS(TF_Timer,TF_Nokkel,M1693,TF_Akt,C1693))</f>
        <v/>
      </c>
      <c r="O1693" s="2">
        <f>IF(M1693="","",IF(AND(N1693=_xlfn.MAXIFS(TF_AktSum,TF_Nokkel,M1693),COUNTIFS(M$3:M1692,M1693,N$3:N1692,N1693)=0),M1693,""))</f>
        <v/>
      </c>
    </row>
    <row r="1694">
      <c r="A1694" s="34" t="n"/>
      <c r="B1694" s="35" t="n"/>
      <c r="C1694" s="35" t="n"/>
      <c r="D1694" s="35" t="n"/>
      <c r="E1694" s="35" t="n"/>
      <c r="F1694" s="36" t="n"/>
      <c r="G1694" s="35" t="n"/>
      <c r="H1694" s="30">
        <f>IF(L1694="","",INDEX(SkiftNavn,L1694))</f>
        <v/>
      </c>
      <c r="I1694" s="30">
        <f>IF(OR(A1694="",L1694=""),"",IF(MOD(A1694-INDEX(SkiftStart,L1694),Syklus)&lt;DagK,"Kveld",IF(MOD(A1694-INDEX(SkiftStart,L1694),Syklus)&lt;DagK+DagH,"Helg",IF(MOD(A1694-INDEX(SkiftStart,L1694),Syklus)&lt;DagK+DagH+DagD,"Dag","Fri"))))</f>
        <v/>
      </c>
      <c r="J1694" s="30">
        <f>IF(I1694="Fri","Ja","")</f>
        <v/>
      </c>
      <c r="K1694" s="30">
        <f>IF(B1694="","",IF(L1694="","Ukjent tekniker",IF(ISNA(MATCH(C1694,Aktiviteter,0)),"Ukjent aktivitet",IF(AND(INDEX(AktRolle,MATCH(C1694,Aktiviteter,0))&amp;""&lt;&gt;"",ISERROR(SEARCH(INDEX(AktRolle,MATCH(C1694,Aktiviteter,0))&amp;"",INDEX(TekRoller,MATCH(B1694,Teknikere,0))))),"Mangler rollen "&amp;INDEX(AktRolle,MATCH(C1694,Aktiviteter,0))&amp;"",IF(AND(C1694="LMS",F1694&gt;0,OR(D1694="",E1694="")),"Mangler maskin eller arbeid",IF(AND(OR(C1694="LMS",C1694="Mod"),D1694&lt;&gt;""),IF(IFERROR(INDEX(MaskinStatus,MATCH(D1694,Maskiner,0)),"")="I dokk","","Maskinen er ikke i dokk"),""))))))</f>
        <v/>
      </c>
      <c r="L1694" s="2">
        <f>IF(B1694="","",IFERROR(INT((MATCH(B1694,Teknikere,0)-1)/18)+1,""))</f>
        <v/>
      </c>
      <c r="M1694" s="2">
        <f>IF(OR(A1694="",B1694=""),"",B1694&amp;"|"&amp;A1694)</f>
        <v/>
      </c>
      <c r="N1694" s="2">
        <f>IF(M1694="","",SUMIFS(TF_Timer,TF_Nokkel,M1694,TF_Akt,C1694))</f>
        <v/>
      </c>
      <c r="O1694" s="2">
        <f>IF(M1694="","",IF(AND(N1694=_xlfn.MAXIFS(TF_AktSum,TF_Nokkel,M1694),COUNTIFS(M$3:M1693,M1694,N$3:N1693,N1694)=0),M1694,""))</f>
        <v/>
      </c>
    </row>
    <row r="1695">
      <c r="A1695" s="34" t="n"/>
      <c r="B1695" s="35" t="n"/>
      <c r="C1695" s="35" t="n"/>
      <c r="D1695" s="35" t="n"/>
      <c r="E1695" s="35" t="n"/>
      <c r="F1695" s="36" t="n"/>
      <c r="G1695" s="35" t="n"/>
      <c r="H1695" s="30">
        <f>IF(L1695="","",INDEX(SkiftNavn,L1695))</f>
        <v/>
      </c>
      <c r="I1695" s="30">
        <f>IF(OR(A1695="",L1695=""),"",IF(MOD(A1695-INDEX(SkiftStart,L1695),Syklus)&lt;DagK,"Kveld",IF(MOD(A1695-INDEX(SkiftStart,L1695),Syklus)&lt;DagK+DagH,"Helg",IF(MOD(A1695-INDEX(SkiftStart,L1695),Syklus)&lt;DagK+DagH+DagD,"Dag","Fri"))))</f>
        <v/>
      </c>
      <c r="J1695" s="30">
        <f>IF(I1695="Fri","Ja","")</f>
        <v/>
      </c>
      <c r="K1695" s="30">
        <f>IF(B1695="","",IF(L1695="","Ukjent tekniker",IF(ISNA(MATCH(C1695,Aktiviteter,0)),"Ukjent aktivitet",IF(AND(INDEX(AktRolle,MATCH(C1695,Aktiviteter,0))&amp;""&lt;&gt;"",ISERROR(SEARCH(INDEX(AktRolle,MATCH(C1695,Aktiviteter,0))&amp;"",INDEX(TekRoller,MATCH(B1695,Teknikere,0))))),"Mangler rollen "&amp;INDEX(AktRolle,MATCH(C1695,Aktiviteter,0))&amp;"",IF(AND(C1695="LMS",F1695&gt;0,OR(D1695="",E1695="")),"Mangler maskin eller arbeid",IF(AND(OR(C1695="LMS",C1695="Mod"),D1695&lt;&gt;""),IF(IFERROR(INDEX(MaskinStatus,MATCH(D1695,Maskiner,0)),"")="I dokk","","Maskinen er ikke i dokk"),""))))))</f>
        <v/>
      </c>
      <c r="L1695" s="2">
        <f>IF(B1695="","",IFERROR(INT((MATCH(B1695,Teknikere,0)-1)/18)+1,""))</f>
        <v/>
      </c>
      <c r="M1695" s="2">
        <f>IF(OR(A1695="",B1695=""),"",B1695&amp;"|"&amp;A1695)</f>
        <v/>
      </c>
      <c r="N1695" s="2">
        <f>IF(M1695="","",SUMIFS(TF_Timer,TF_Nokkel,M1695,TF_Akt,C1695))</f>
        <v/>
      </c>
      <c r="O1695" s="2">
        <f>IF(M1695="","",IF(AND(N1695=_xlfn.MAXIFS(TF_AktSum,TF_Nokkel,M1695),COUNTIFS(M$3:M1694,M1695,N$3:N1694,N1695)=0),M1695,""))</f>
        <v/>
      </c>
    </row>
    <row r="1696">
      <c r="A1696" s="34" t="n"/>
      <c r="B1696" s="35" t="n"/>
      <c r="C1696" s="35" t="n"/>
      <c r="D1696" s="35" t="n"/>
      <c r="E1696" s="35" t="n"/>
      <c r="F1696" s="36" t="n"/>
      <c r="G1696" s="35" t="n"/>
      <c r="H1696" s="30">
        <f>IF(L1696="","",INDEX(SkiftNavn,L1696))</f>
        <v/>
      </c>
      <c r="I1696" s="30">
        <f>IF(OR(A1696="",L1696=""),"",IF(MOD(A1696-INDEX(SkiftStart,L1696),Syklus)&lt;DagK,"Kveld",IF(MOD(A1696-INDEX(SkiftStart,L1696),Syklus)&lt;DagK+DagH,"Helg",IF(MOD(A1696-INDEX(SkiftStart,L1696),Syklus)&lt;DagK+DagH+DagD,"Dag","Fri"))))</f>
        <v/>
      </c>
      <c r="J1696" s="30">
        <f>IF(I1696="Fri","Ja","")</f>
        <v/>
      </c>
      <c r="K1696" s="30">
        <f>IF(B1696="","",IF(L1696="","Ukjent tekniker",IF(ISNA(MATCH(C1696,Aktiviteter,0)),"Ukjent aktivitet",IF(AND(INDEX(AktRolle,MATCH(C1696,Aktiviteter,0))&amp;""&lt;&gt;"",ISERROR(SEARCH(INDEX(AktRolle,MATCH(C1696,Aktiviteter,0))&amp;"",INDEX(TekRoller,MATCH(B1696,Teknikere,0))))),"Mangler rollen "&amp;INDEX(AktRolle,MATCH(C1696,Aktiviteter,0))&amp;"",IF(AND(C1696="LMS",F1696&gt;0,OR(D1696="",E1696="")),"Mangler maskin eller arbeid",IF(AND(OR(C1696="LMS",C1696="Mod"),D1696&lt;&gt;""),IF(IFERROR(INDEX(MaskinStatus,MATCH(D1696,Maskiner,0)),"")="I dokk","","Maskinen er ikke i dokk"),""))))))</f>
        <v/>
      </c>
      <c r="L1696" s="2">
        <f>IF(B1696="","",IFERROR(INT((MATCH(B1696,Teknikere,0)-1)/18)+1,""))</f>
        <v/>
      </c>
      <c r="M1696" s="2">
        <f>IF(OR(A1696="",B1696=""),"",B1696&amp;"|"&amp;A1696)</f>
        <v/>
      </c>
      <c r="N1696" s="2">
        <f>IF(M1696="","",SUMIFS(TF_Timer,TF_Nokkel,M1696,TF_Akt,C1696))</f>
        <v/>
      </c>
      <c r="O1696" s="2">
        <f>IF(M1696="","",IF(AND(N1696=_xlfn.MAXIFS(TF_AktSum,TF_Nokkel,M1696),COUNTIFS(M$3:M1695,M1696,N$3:N1695,N1696)=0),M1696,""))</f>
        <v/>
      </c>
    </row>
    <row r="1697">
      <c r="A1697" s="34" t="n"/>
      <c r="B1697" s="35" t="n"/>
      <c r="C1697" s="35" t="n"/>
      <c r="D1697" s="35" t="n"/>
      <c r="E1697" s="35" t="n"/>
      <c r="F1697" s="36" t="n"/>
      <c r="G1697" s="35" t="n"/>
      <c r="H1697" s="30">
        <f>IF(L1697="","",INDEX(SkiftNavn,L1697))</f>
        <v/>
      </c>
      <c r="I1697" s="30">
        <f>IF(OR(A1697="",L1697=""),"",IF(MOD(A1697-INDEX(SkiftStart,L1697),Syklus)&lt;DagK,"Kveld",IF(MOD(A1697-INDEX(SkiftStart,L1697),Syklus)&lt;DagK+DagH,"Helg",IF(MOD(A1697-INDEX(SkiftStart,L1697),Syklus)&lt;DagK+DagH+DagD,"Dag","Fri"))))</f>
        <v/>
      </c>
      <c r="J1697" s="30">
        <f>IF(I1697="Fri","Ja","")</f>
        <v/>
      </c>
      <c r="K1697" s="30">
        <f>IF(B1697="","",IF(L1697="","Ukjent tekniker",IF(ISNA(MATCH(C1697,Aktiviteter,0)),"Ukjent aktivitet",IF(AND(INDEX(AktRolle,MATCH(C1697,Aktiviteter,0))&amp;""&lt;&gt;"",ISERROR(SEARCH(INDEX(AktRolle,MATCH(C1697,Aktiviteter,0))&amp;"",INDEX(TekRoller,MATCH(B1697,Teknikere,0))))),"Mangler rollen "&amp;INDEX(AktRolle,MATCH(C1697,Aktiviteter,0))&amp;"",IF(AND(C1697="LMS",F1697&gt;0,OR(D1697="",E1697="")),"Mangler maskin eller arbeid",IF(AND(OR(C1697="LMS",C1697="Mod"),D1697&lt;&gt;""),IF(IFERROR(INDEX(MaskinStatus,MATCH(D1697,Maskiner,0)),"")="I dokk","","Maskinen er ikke i dokk"),""))))))</f>
        <v/>
      </c>
      <c r="L1697" s="2">
        <f>IF(B1697="","",IFERROR(INT((MATCH(B1697,Teknikere,0)-1)/18)+1,""))</f>
        <v/>
      </c>
      <c r="M1697" s="2">
        <f>IF(OR(A1697="",B1697=""),"",B1697&amp;"|"&amp;A1697)</f>
        <v/>
      </c>
      <c r="N1697" s="2">
        <f>IF(M1697="","",SUMIFS(TF_Timer,TF_Nokkel,M1697,TF_Akt,C1697))</f>
        <v/>
      </c>
      <c r="O1697" s="2">
        <f>IF(M1697="","",IF(AND(N1697=_xlfn.MAXIFS(TF_AktSum,TF_Nokkel,M1697),COUNTIFS(M$3:M1696,M1697,N$3:N1696,N1697)=0),M1697,""))</f>
        <v/>
      </c>
    </row>
    <row r="1698">
      <c r="A1698" s="34" t="n"/>
      <c r="B1698" s="35" t="n"/>
      <c r="C1698" s="35" t="n"/>
      <c r="D1698" s="35" t="n"/>
      <c r="E1698" s="35" t="n"/>
      <c r="F1698" s="36" t="n"/>
      <c r="G1698" s="35" t="n"/>
      <c r="H1698" s="30">
        <f>IF(L1698="","",INDEX(SkiftNavn,L1698))</f>
        <v/>
      </c>
      <c r="I1698" s="30">
        <f>IF(OR(A1698="",L1698=""),"",IF(MOD(A1698-INDEX(SkiftStart,L1698),Syklus)&lt;DagK,"Kveld",IF(MOD(A1698-INDEX(SkiftStart,L1698),Syklus)&lt;DagK+DagH,"Helg",IF(MOD(A1698-INDEX(SkiftStart,L1698),Syklus)&lt;DagK+DagH+DagD,"Dag","Fri"))))</f>
        <v/>
      </c>
      <c r="J1698" s="30">
        <f>IF(I1698="Fri","Ja","")</f>
        <v/>
      </c>
      <c r="K1698" s="30">
        <f>IF(B1698="","",IF(L1698="","Ukjent tekniker",IF(ISNA(MATCH(C1698,Aktiviteter,0)),"Ukjent aktivitet",IF(AND(INDEX(AktRolle,MATCH(C1698,Aktiviteter,0))&amp;""&lt;&gt;"",ISERROR(SEARCH(INDEX(AktRolle,MATCH(C1698,Aktiviteter,0))&amp;"",INDEX(TekRoller,MATCH(B1698,Teknikere,0))))),"Mangler rollen "&amp;INDEX(AktRolle,MATCH(C1698,Aktiviteter,0))&amp;"",IF(AND(C1698="LMS",F1698&gt;0,OR(D1698="",E1698="")),"Mangler maskin eller arbeid",IF(AND(OR(C1698="LMS",C1698="Mod"),D1698&lt;&gt;""),IF(IFERROR(INDEX(MaskinStatus,MATCH(D1698,Maskiner,0)),"")="I dokk","","Maskinen er ikke i dokk"),""))))))</f>
        <v/>
      </c>
      <c r="L1698" s="2">
        <f>IF(B1698="","",IFERROR(INT((MATCH(B1698,Teknikere,0)-1)/18)+1,""))</f>
        <v/>
      </c>
      <c r="M1698" s="2">
        <f>IF(OR(A1698="",B1698=""),"",B1698&amp;"|"&amp;A1698)</f>
        <v/>
      </c>
      <c r="N1698" s="2">
        <f>IF(M1698="","",SUMIFS(TF_Timer,TF_Nokkel,M1698,TF_Akt,C1698))</f>
        <v/>
      </c>
      <c r="O1698" s="2">
        <f>IF(M1698="","",IF(AND(N1698=_xlfn.MAXIFS(TF_AktSum,TF_Nokkel,M1698),COUNTIFS(M$3:M1697,M1698,N$3:N1697,N1698)=0),M1698,""))</f>
        <v/>
      </c>
    </row>
    <row r="1699">
      <c r="A1699" s="34" t="n"/>
      <c r="B1699" s="35" t="n"/>
      <c r="C1699" s="35" t="n"/>
      <c r="D1699" s="35" t="n"/>
      <c r="E1699" s="35" t="n"/>
      <c r="F1699" s="36" t="n"/>
      <c r="G1699" s="35" t="n"/>
      <c r="H1699" s="30">
        <f>IF(L1699="","",INDEX(SkiftNavn,L1699))</f>
        <v/>
      </c>
      <c r="I1699" s="30">
        <f>IF(OR(A1699="",L1699=""),"",IF(MOD(A1699-INDEX(SkiftStart,L1699),Syklus)&lt;DagK,"Kveld",IF(MOD(A1699-INDEX(SkiftStart,L1699),Syklus)&lt;DagK+DagH,"Helg",IF(MOD(A1699-INDEX(SkiftStart,L1699),Syklus)&lt;DagK+DagH+DagD,"Dag","Fri"))))</f>
        <v/>
      </c>
      <c r="J1699" s="30">
        <f>IF(I1699="Fri","Ja","")</f>
        <v/>
      </c>
      <c r="K1699" s="30">
        <f>IF(B1699="","",IF(L1699="","Ukjent tekniker",IF(ISNA(MATCH(C1699,Aktiviteter,0)),"Ukjent aktivitet",IF(AND(INDEX(AktRolle,MATCH(C1699,Aktiviteter,0))&amp;""&lt;&gt;"",ISERROR(SEARCH(INDEX(AktRolle,MATCH(C1699,Aktiviteter,0))&amp;"",INDEX(TekRoller,MATCH(B1699,Teknikere,0))))),"Mangler rollen "&amp;INDEX(AktRolle,MATCH(C1699,Aktiviteter,0))&amp;"",IF(AND(C1699="LMS",F1699&gt;0,OR(D1699="",E1699="")),"Mangler maskin eller arbeid",IF(AND(OR(C1699="LMS",C1699="Mod"),D1699&lt;&gt;""),IF(IFERROR(INDEX(MaskinStatus,MATCH(D1699,Maskiner,0)),"")="I dokk","","Maskinen er ikke i dokk"),""))))))</f>
        <v/>
      </c>
      <c r="L1699" s="2">
        <f>IF(B1699="","",IFERROR(INT((MATCH(B1699,Teknikere,0)-1)/18)+1,""))</f>
        <v/>
      </c>
      <c r="M1699" s="2">
        <f>IF(OR(A1699="",B1699=""),"",B1699&amp;"|"&amp;A1699)</f>
        <v/>
      </c>
      <c r="N1699" s="2">
        <f>IF(M1699="","",SUMIFS(TF_Timer,TF_Nokkel,M1699,TF_Akt,C1699))</f>
        <v/>
      </c>
      <c r="O1699" s="2">
        <f>IF(M1699="","",IF(AND(N1699=_xlfn.MAXIFS(TF_AktSum,TF_Nokkel,M1699),COUNTIFS(M$3:M1698,M1699,N$3:N1698,N1699)=0),M1699,""))</f>
        <v/>
      </c>
    </row>
    <row r="1700">
      <c r="A1700" s="34" t="n"/>
      <c r="B1700" s="35" t="n"/>
      <c r="C1700" s="35" t="n"/>
      <c r="D1700" s="35" t="n"/>
      <c r="E1700" s="35" t="n"/>
      <c r="F1700" s="36" t="n"/>
      <c r="G1700" s="35" t="n"/>
      <c r="H1700" s="30">
        <f>IF(L1700="","",INDEX(SkiftNavn,L1700))</f>
        <v/>
      </c>
      <c r="I1700" s="30">
        <f>IF(OR(A1700="",L1700=""),"",IF(MOD(A1700-INDEX(SkiftStart,L1700),Syklus)&lt;DagK,"Kveld",IF(MOD(A1700-INDEX(SkiftStart,L1700),Syklus)&lt;DagK+DagH,"Helg",IF(MOD(A1700-INDEX(SkiftStart,L1700),Syklus)&lt;DagK+DagH+DagD,"Dag","Fri"))))</f>
        <v/>
      </c>
      <c r="J1700" s="30">
        <f>IF(I1700="Fri","Ja","")</f>
        <v/>
      </c>
      <c r="K1700" s="30">
        <f>IF(B1700="","",IF(L1700="","Ukjent tekniker",IF(ISNA(MATCH(C1700,Aktiviteter,0)),"Ukjent aktivitet",IF(AND(INDEX(AktRolle,MATCH(C1700,Aktiviteter,0))&amp;""&lt;&gt;"",ISERROR(SEARCH(INDEX(AktRolle,MATCH(C1700,Aktiviteter,0))&amp;"",INDEX(TekRoller,MATCH(B1700,Teknikere,0))))),"Mangler rollen "&amp;INDEX(AktRolle,MATCH(C1700,Aktiviteter,0))&amp;"",IF(AND(C1700="LMS",F1700&gt;0,OR(D1700="",E1700="")),"Mangler maskin eller arbeid",IF(AND(OR(C1700="LMS",C1700="Mod"),D1700&lt;&gt;""),IF(IFERROR(INDEX(MaskinStatus,MATCH(D1700,Maskiner,0)),"")="I dokk","","Maskinen er ikke i dokk"),""))))))</f>
        <v/>
      </c>
      <c r="L1700" s="2">
        <f>IF(B1700="","",IFERROR(INT((MATCH(B1700,Teknikere,0)-1)/18)+1,""))</f>
        <v/>
      </c>
      <c r="M1700" s="2">
        <f>IF(OR(A1700="",B1700=""),"",B1700&amp;"|"&amp;A1700)</f>
        <v/>
      </c>
      <c r="N1700" s="2">
        <f>IF(M1700="","",SUMIFS(TF_Timer,TF_Nokkel,M1700,TF_Akt,C1700))</f>
        <v/>
      </c>
      <c r="O1700" s="2">
        <f>IF(M1700="","",IF(AND(N1700=_xlfn.MAXIFS(TF_AktSum,TF_Nokkel,M1700),COUNTIFS(M$3:M1699,M1700,N$3:N1699,N1700)=0),M1700,""))</f>
        <v/>
      </c>
    </row>
    <row r="1701">
      <c r="A1701" s="34" t="n"/>
      <c r="B1701" s="35" t="n"/>
      <c r="C1701" s="35" t="n"/>
      <c r="D1701" s="35" t="n"/>
      <c r="E1701" s="35" t="n"/>
      <c r="F1701" s="36" t="n"/>
      <c r="G1701" s="35" t="n"/>
      <c r="H1701" s="30">
        <f>IF(L1701="","",INDEX(SkiftNavn,L1701))</f>
        <v/>
      </c>
      <c r="I1701" s="30">
        <f>IF(OR(A1701="",L1701=""),"",IF(MOD(A1701-INDEX(SkiftStart,L1701),Syklus)&lt;DagK,"Kveld",IF(MOD(A1701-INDEX(SkiftStart,L1701),Syklus)&lt;DagK+DagH,"Helg",IF(MOD(A1701-INDEX(SkiftStart,L1701),Syklus)&lt;DagK+DagH+DagD,"Dag","Fri"))))</f>
        <v/>
      </c>
      <c r="J1701" s="30">
        <f>IF(I1701="Fri","Ja","")</f>
        <v/>
      </c>
      <c r="K1701" s="30">
        <f>IF(B1701="","",IF(L1701="","Ukjent tekniker",IF(ISNA(MATCH(C1701,Aktiviteter,0)),"Ukjent aktivitet",IF(AND(INDEX(AktRolle,MATCH(C1701,Aktiviteter,0))&amp;""&lt;&gt;"",ISERROR(SEARCH(INDEX(AktRolle,MATCH(C1701,Aktiviteter,0))&amp;"",INDEX(TekRoller,MATCH(B1701,Teknikere,0))))),"Mangler rollen "&amp;INDEX(AktRolle,MATCH(C1701,Aktiviteter,0))&amp;"",IF(AND(C1701="LMS",F1701&gt;0,OR(D1701="",E1701="")),"Mangler maskin eller arbeid",IF(AND(OR(C1701="LMS",C1701="Mod"),D1701&lt;&gt;""),IF(IFERROR(INDEX(MaskinStatus,MATCH(D1701,Maskiner,0)),"")="I dokk","","Maskinen er ikke i dokk"),""))))))</f>
        <v/>
      </c>
      <c r="L1701" s="2">
        <f>IF(B1701="","",IFERROR(INT((MATCH(B1701,Teknikere,0)-1)/18)+1,""))</f>
        <v/>
      </c>
      <c r="M1701" s="2">
        <f>IF(OR(A1701="",B1701=""),"",B1701&amp;"|"&amp;A1701)</f>
        <v/>
      </c>
      <c r="N1701" s="2">
        <f>IF(M1701="","",SUMIFS(TF_Timer,TF_Nokkel,M1701,TF_Akt,C1701))</f>
        <v/>
      </c>
      <c r="O1701" s="2">
        <f>IF(M1701="","",IF(AND(N1701=_xlfn.MAXIFS(TF_AktSum,TF_Nokkel,M1701),COUNTIFS(M$3:M1700,M1701,N$3:N1700,N1701)=0),M1701,""))</f>
        <v/>
      </c>
    </row>
    <row r="1702">
      <c r="A1702" s="34" t="n"/>
      <c r="B1702" s="35" t="n"/>
      <c r="C1702" s="35" t="n"/>
      <c r="D1702" s="35" t="n"/>
      <c r="E1702" s="35" t="n"/>
      <c r="F1702" s="36" t="n"/>
      <c r="G1702" s="35" t="n"/>
      <c r="H1702" s="30">
        <f>IF(L1702="","",INDEX(SkiftNavn,L1702))</f>
        <v/>
      </c>
      <c r="I1702" s="30">
        <f>IF(OR(A1702="",L1702=""),"",IF(MOD(A1702-INDEX(SkiftStart,L1702),Syklus)&lt;DagK,"Kveld",IF(MOD(A1702-INDEX(SkiftStart,L1702),Syklus)&lt;DagK+DagH,"Helg",IF(MOD(A1702-INDEX(SkiftStart,L1702),Syklus)&lt;DagK+DagH+DagD,"Dag","Fri"))))</f>
        <v/>
      </c>
      <c r="J1702" s="30">
        <f>IF(I1702="Fri","Ja","")</f>
        <v/>
      </c>
      <c r="K1702" s="30">
        <f>IF(B1702="","",IF(L1702="","Ukjent tekniker",IF(ISNA(MATCH(C1702,Aktiviteter,0)),"Ukjent aktivitet",IF(AND(INDEX(AktRolle,MATCH(C1702,Aktiviteter,0))&amp;""&lt;&gt;"",ISERROR(SEARCH(INDEX(AktRolle,MATCH(C1702,Aktiviteter,0))&amp;"",INDEX(TekRoller,MATCH(B1702,Teknikere,0))))),"Mangler rollen "&amp;INDEX(AktRolle,MATCH(C1702,Aktiviteter,0))&amp;"",IF(AND(C1702="LMS",F1702&gt;0,OR(D1702="",E1702="")),"Mangler maskin eller arbeid",IF(AND(OR(C1702="LMS",C1702="Mod"),D1702&lt;&gt;""),IF(IFERROR(INDEX(MaskinStatus,MATCH(D1702,Maskiner,0)),"")="I dokk","","Maskinen er ikke i dokk"),""))))))</f>
        <v/>
      </c>
      <c r="L1702" s="2">
        <f>IF(B1702="","",IFERROR(INT((MATCH(B1702,Teknikere,0)-1)/18)+1,""))</f>
        <v/>
      </c>
      <c r="M1702" s="2">
        <f>IF(OR(A1702="",B1702=""),"",B1702&amp;"|"&amp;A1702)</f>
        <v/>
      </c>
      <c r="N1702" s="2">
        <f>IF(M1702="","",SUMIFS(TF_Timer,TF_Nokkel,M1702,TF_Akt,C1702))</f>
        <v/>
      </c>
      <c r="O1702" s="2">
        <f>IF(M1702="","",IF(AND(N1702=_xlfn.MAXIFS(TF_AktSum,TF_Nokkel,M1702),COUNTIFS(M$3:M1701,M1702,N$3:N1701,N1702)=0),M1702,""))</f>
        <v/>
      </c>
    </row>
    <row r="1703">
      <c r="A1703" s="34" t="n"/>
      <c r="B1703" s="35" t="n"/>
      <c r="C1703" s="35" t="n"/>
      <c r="D1703" s="35" t="n"/>
      <c r="E1703" s="35" t="n"/>
      <c r="F1703" s="36" t="n"/>
      <c r="G1703" s="35" t="n"/>
      <c r="H1703" s="30">
        <f>IF(L1703="","",INDEX(SkiftNavn,L1703))</f>
        <v/>
      </c>
      <c r="I1703" s="30">
        <f>IF(OR(A1703="",L1703=""),"",IF(MOD(A1703-INDEX(SkiftStart,L1703),Syklus)&lt;DagK,"Kveld",IF(MOD(A1703-INDEX(SkiftStart,L1703),Syklus)&lt;DagK+DagH,"Helg",IF(MOD(A1703-INDEX(SkiftStart,L1703),Syklus)&lt;DagK+DagH+DagD,"Dag","Fri"))))</f>
        <v/>
      </c>
      <c r="J1703" s="30">
        <f>IF(I1703="Fri","Ja","")</f>
        <v/>
      </c>
      <c r="K1703" s="30">
        <f>IF(B1703="","",IF(L1703="","Ukjent tekniker",IF(ISNA(MATCH(C1703,Aktiviteter,0)),"Ukjent aktivitet",IF(AND(INDEX(AktRolle,MATCH(C1703,Aktiviteter,0))&amp;""&lt;&gt;"",ISERROR(SEARCH(INDEX(AktRolle,MATCH(C1703,Aktiviteter,0))&amp;"",INDEX(TekRoller,MATCH(B1703,Teknikere,0))))),"Mangler rollen "&amp;INDEX(AktRolle,MATCH(C1703,Aktiviteter,0))&amp;"",IF(AND(C1703="LMS",F1703&gt;0,OR(D1703="",E1703="")),"Mangler maskin eller arbeid",IF(AND(OR(C1703="LMS",C1703="Mod"),D1703&lt;&gt;""),IF(IFERROR(INDEX(MaskinStatus,MATCH(D1703,Maskiner,0)),"")="I dokk","","Maskinen er ikke i dokk"),""))))))</f>
        <v/>
      </c>
      <c r="L1703" s="2">
        <f>IF(B1703="","",IFERROR(INT((MATCH(B1703,Teknikere,0)-1)/18)+1,""))</f>
        <v/>
      </c>
      <c r="M1703" s="2">
        <f>IF(OR(A1703="",B1703=""),"",B1703&amp;"|"&amp;A1703)</f>
        <v/>
      </c>
      <c r="N1703" s="2">
        <f>IF(M1703="","",SUMIFS(TF_Timer,TF_Nokkel,M1703,TF_Akt,C1703))</f>
        <v/>
      </c>
      <c r="O1703" s="2">
        <f>IF(M1703="","",IF(AND(N1703=_xlfn.MAXIFS(TF_AktSum,TF_Nokkel,M1703),COUNTIFS(M$3:M1702,M1703,N$3:N1702,N1703)=0),M1703,""))</f>
        <v/>
      </c>
    </row>
    <row r="1704">
      <c r="A1704" s="34" t="n"/>
      <c r="B1704" s="35" t="n"/>
      <c r="C1704" s="35" t="n"/>
      <c r="D1704" s="35" t="n"/>
      <c r="E1704" s="35" t="n"/>
      <c r="F1704" s="36" t="n"/>
      <c r="G1704" s="35" t="n"/>
      <c r="H1704" s="30">
        <f>IF(L1704="","",INDEX(SkiftNavn,L1704))</f>
        <v/>
      </c>
      <c r="I1704" s="30">
        <f>IF(OR(A1704="",L1704=""),"",IF(MOD(A1704-INDEX(SkiftStart,L1704),Syklus)&lt;DagK,"Kveld",IF(MOD(A1704-INDEX(SkiftStart,L1704),Syklus)&lt;DagK+DagH,"Helg",IF(MOD(A1704-INDEX(SkiftStart,L1704),Syklus)&lt;DagK+DagH+DagD,"Dag","Fri"))))</f>
        <v/>
      </c>
      <c r="J1704" s="30">
        <f>IF(I1704="Fri","Ja","")</f>
        <v/>
      </c>
      <c r="K1704" s="30">
        <f>IF(B1704="","",IF(L1704="","Ukjent tekniker",IF(ISNA(MATCH(C1704,Aktiviteter,0)),"Ukjent aktivitet",IF(AND(INDEX(AktRolle,MATCH(C1704,Aktiviteter,0))&amp;""&lt;&gt;"",ISERROR(SEARCH(INDEX(AktRolle,MATCH(C1704,Aktiviteter,0))&amp;"",INDEX(TekRoller,MATCH(B1704,Teknikere,0))))),"Mangler rollen "&amp;INDEX(AktRolle,MATCH(C1704,Aktiviteter,0))&amp;"",IF(AND(C1704="LMS",F1704&gt;0,OR(D1704="",E1704="")),"Mangler maskin eller arbeid",IF(AND(OR(C1704="LMS",C1704="Mod"),D1704&lt;&gt;""),IF(IFERROR(INDEX(MaskinStatus,MATCH(D1704,Maskiner,0)),"")="I dokk","","Maskinen er ikke i dokk"),""))))))</f>
        <v/>
      </c>
      <c r="L1704" s="2">
        <f>IF(B1704="","",IFERROR(INT((MATCH(B1704,Teknikere,0)-1)/18)+1,""))</f>
        <v/>
      </c>
      <c r="M1704" s="2">
        <f>IF(OR(A1704="",B1704=""),"",B1704&amp;"|"&amp;A1704)</f>
        <v/>
      </c>
      <c r="N1704" s="2">
        <f>IF(M1704="","",SUMIFS(TF_Timer,TF_Nokkel,M1704,TF_Akt,C1704))</f>
        <v/>
      </c>
      <c r="O1704" s="2">
        <f>IF(M1704="","",IF(AND(N1704=_xlfn.MAXIFS(TF_AktSum,TF_Nokkel,M1704),COUNTIFS(M$3:M1703,M1704,N$3:N1703,N1704)=0),M1704,""))</f>
        <v/>
      </c>
    </row>
    <row r="1705">
      <c r="A1705" s="34" t="n"/>
      <c r="B1705" s="35" t="n"/>
      <c r="C1705" s="35" t="n"/>
      <c r="D1705" s="35" t="n"/>
      <c r="E1705" s="35" t="n"/>
      <c r="F1705" s="36" t="n"/>
      <c r="G1705" s="35" t="n"/>
      <c r="H1705" s="30">
        <f>IF(L1705="","",INDEX(SkiftNavn,L1705))</f>
        <v/>
      </c>
      <c r="I1705" s="30">
        <f>IF(OR(A1705="",L1705=""),"",IF(MOD(A1705-INDEX(SkiftStart,L1705),Syklus)&lt;DagK,"Kveld",IF(MOD(A1705-INDEX(SkiftStart,L1705),Syklus)&lt;DagK+DagH,"Helg",IF(MOD(A1705-INDEX(SkiftStart,L1705),Syklus)&lt;DagK+DagH+DagD,"Dag","Fri"))))</f>
        <v/>
      </c>
      <c r="J1705" s="30">
        <f>IF(I1705="Fri","Ja","")</f>
        <v/>
      </c>
      <c r="K1705" s="30">
        <f>IF(B1705="","",IF(L1705="","Ukjent tekniker",IF(ISNA(MATCH(C1705,Aktiviteter,0)),"Ukjent aktivitet",IF(AND(INDEX(AktRolle,MATCH(C1705,Aktiviteter,0))&amp;""&lt;&gt;"",ISERROR(SEARCH(INDEX(AktRolle,MATCH(C1705,Aktiviteter,0))&amp;"",INDEX(TekRoller,MATCH(B1705,Teknikere,0))))),"Mangler rollen "&amp;INDEX(AktRolle,MATCH(C1705,Aktiviteter,0))&amp;"",IF(AND(C1705="LMS",F1705&gt;0,OR(D1705="",E1705="")),"Mangler maskin eller arbeid",IF(AND(OR(C1705="LMS",C1705="Mod"),D1705&lt;&gt;""),IF(IFERROR(INDEX(MaskinStatus,MATCH(D1705,Maskiner,0)),"")="I dokk","","Maskinen er ikke i dokk"),""))))))</f>
        <v/>
      </c>
      <c r="L1705" s="2">
        <f>IF(B1705="","",IFERROR(INT((MATCH(B1705,Teknikere,0)-1)/18)+1,""))</f>
        <v/>
      </c>
      <c r="M1705" s="2">
        <f>IF(OR(A1705="",B1705=""),"",B1705&amp;"|"&amp;A1705)</f>
        <v/>
      </c>
      <c r="N1705" s="2">
        <f>IF(M1705="","",SUMIFS(TF_Timer,TF_Nokkel,M1705,TF_Akt,C1705))</f>
        <v/>
      </c>
      <c r="O1705" s="2">
        <f>IF(M1705="","",IF(AND(N1705=_xlfn.MAXIFS(TF_AktSum,TF_Nokkel,M1705),COUNTIFS(M$3:M1704,M1705,N$3:N1704,N1705)=0),M1705,""))</f>
        <v/>
      </c>
    </row>
    <row r="1706">
      <c r="A1706" s="34" t="n"/>
      <c r="B1706" s="35" t="n"/>
      <c r="C1706" s="35" t="n"/>
      <c r="D1706" s="35" t="n"/>
      <c r="E1706" s="35" t="n"/>
      <c r="F1706" s="36" t="n"/>
      <c r="G1706" s="35" t="n"/>
      <c r="H1706" s="30">
        <f>IF(L1706="","",INDEX(SkiftNavn,L1706))</f>
        <v/>
      </c>
      <c r="I1706" s="30">
        <f>IF(OR(A1706="",L1706=""),"",IF(MOD(A1706-INDEX(SkiftStart,L1706),Syklus)&lt;DagK,"Kveld",IF(MOD(A1706-INDEX(SkiftStart,L1706),Syklus)&lt;DagK+DagH,"Helg",IF(MOD(A1706-INDEX(SkiftStart,L1706),Syklus)&lt;DagK+DagH+DagD,"Dag","Fri"))))</f>
        <v/>
      </c>
      <c r="J1706" s="30">
        <f>IF(I1706="Fri","Ja","")</f>
        <v/>
      </c>
      <c r="K1706" s="30">
        <f>IF(B1706="","",IF(L1706="","Ukjent tekniker",IF(ISNA(MATCH(C1706,Aktiviteter,0)),"Ukjent aktivitet",IF(AND(INDEX(AktRolle,MATCH(C1706,Aktiviteter,0))&amp;""&lt;&gt;"",ISERROR(SEARCH(INDEX(AktRolle,MATCH(C1706,Aktiviteter,0))&amp;"",INDEX(TekRoller,MATCH(B1706,Teknikere,0))))),"Mangler rollen "&amp;INDEX(AktRolle,MATCH(C1706,Aktiviteter,0))&amp;"",IF(AND(C1706="LMS",F1706&gt;0,OR(D1706="",E1706="")),"Mangler maskin eller arbeid",IF(AND(OR(C1706="LMS",C1706="Mod"),D1706&lt;&gt;""),IF(IFERROR(INDEX(MaskinStatus,MATCH(D1706,Maskiner,0)),"")="I dokk","","Maskinen er ikke i dokk"),""))))))</f>
        <v/>
      </c>
      <c r="L1706" s="2">
        <f>IF(B1706="","",IFERROR(INT((MATCH(B1706,Teknikere,0)-1)/18)+1,""))</f>
        <v/>
      </c>
      <c r="M1706" s="2">
        <f>IF(OR(A1706="",B1706=""),"",B1706&amp;"|"&amp;A1706)</f>
        <v/>
      </c>
      <c r="N1706" s="2">
        <f>IF(M1706="","",SUMIFS(TF_Timer,TF_Nokkel,M1706,TF_Akt,C1706))</f>
        <v/>
      </c>
      <c r="O1706" s="2">
        <f>IF(M1706="","",IF(AND(N1706=_xlfn.MAXIFS(TF_AktSum,TF_Nokkel,M1706),COUNTIFS(M$3:M1705,M1706,N$3:N1705,N1706)=0),M1706,""))</f>
        <v/>
      </c>
    </row>
    <row r="1707">
      <c r="A1707" s="34" t="n"/>
      <c r="B1707" s="35" t="n"/>
      <c r="C1707" s="35" t="n"/>
      <c r="D1707" s="35" t="n"/>
      <c r="E1707" s="35" t="n"/>
      <c r="F1707" s="36" t="n"/>
      <c r="G1707" s="35" t="n"/>
      <c r="H1707" s="30">
        <f>IF(L1707="","",INDEX(SkiftNavn,L1707))</f>
        <v/>
      </c>
      <c r="I1707" s="30">
        <f>IF(OR(A1707="",L1707=""),"",IF(MOD(A1707-INDEX(SkiftStart,L1707),Syklus)&lt;DagK,"Kveld",IF(MOD(A1707-INDEX(SkiftStart,L1707),Syklus)&lt;DagK+DagH,"Helg",IF(MOD(A1707-INDEX(SkiftStart,L1707),Syklus)&lt;DagK+DagH+DagD,"Dag","Fri"))))</f>
        <v/>
      </c>
      <c r="J1707" s="30">
        <f>IF(I1707="Fri","Ja","")</f>
        <v/>
      </c>
      <c r="K1707" s="30">
        <f>IF(B1707="","",IF(L1707="","Ukjent tekniker",IF(ISNA(MATCH(C1707,Aktiviteter,0)),"Ukjent aktivitet",IF(AND(INDEX(AktRolle,MATCH(C1707,Aktiviteter,0))&amp;""&lt;&gt;"",ISERROR(SEARCH(INDEX(AktRolle,MATCH(C1707,Aktiviteter,0))&amp;"",INDEX(TekRoller,MATCH(B1707,Teknikere,0))))),"Mangler rollen "&amp;INDEX(AktRolle,MATCH(C1707,Aktiviteter,0))&amp;"",IF(AND(C1707="LMS",F1707&gt;0,OR(D1707="",E1707="")),"Mangler maskin eller arbeid",IF(AND(OR(C1707="LMS",C1707="Mod"),D1707&lt;&gt;""),IF(IFERROR(INDEX(MaskinStatus,MATCH(D1707,Maskiner,0)),"")="I dokk","","Maskinen er ikke i dokk"),""))))))</f>
        <v/>
      </c>
      <c r="L1707" s="2">
        <f>IF(B1707="","",IFERROR(INT((MATCH(B1707,Teknikere,0)-1)/18)+1,""))</f>
        <v/>
      </c>
      <c r="M1707" s="2">
        <f>IF(OR(A1707="",B1707=""),"",B1707&amp;"|"&amp;A1707)</f>
        <v/>
      </c>
      <c r="N1707" s="2">
        <f>IF(M1707="","",SUMIFS(TF_Timer,TF_Nokkel,M1707,TF_Akt,C1707))</f>
        <v/>
      </c>
      <c r="O1707" s="2">
        <f>IF(M1707="","",IF(AND(N1707=_xlfn.MAXIFS(TF_AktSum,TF_Nokkel,M1707),COUNTIFS(M$3:M1706,M1707,N$3:N1706,N1707)=0),M1707,""))</f>
        <v/>
      </c>
    </row>
    <row r="1708">
      <c r="A1708" s="34" t="n"/>
      <c r="B1708" s="35" t="n"/>
      <c r="C1708" s="35" t="n"/>
      <c r="D1708" s="35" t="n"/>
      <c r="E1708" s="35" t="n"/>
      <c r="F1708" s="36" t="n"/>
      <c r="G1708" s="35" t="n"/>
      <c r="H1708" s="30">
        <f>IF(L1708="","",INDEX(SkiftNavn,L1708))</f>
        <v/>
      </c>
      <c r="I1708" s="30">
        <f>IF(OR(A1708="",L1708=""),"",IF(MOD(A1708-INDEX(SkiftStart,L1708),Syklus)&lt;DagK,"Kveld",IF(MOD(A1708-INDEX(SkiftStart,L1708),Syklus)&lt;DagK+DagH,"Helg",IF(MOD(A1708-INDEX(SkiftStart,L1708),Syklus)&lt;DagK+DagH+DagD,"Dag","Fri"))))</f>
        <v/>
      </c>
      <c r="J1708" s="30">
        <f>IF(I1708="Fri","Ja","")</f>
        <v/>
      </c>
      <c r="K1708" s="30">
        <f>IF(B1708="","",IF(L1708="","Ukjent tekniker",IF(ISNA(MATCH(C1708,Aktiviteter,0)),"Ukjent aktivitet",IF(AND(INDEX(AktRolle,MATCH(C1708,Aktiviteter,0))&amp;""&lt;&gt;"",ISERROR(SEARCH(INDEX(AktRolle,MATCH(C1708,Aktiviteter,0))&amp;"",INDEX(TekRoller,MATCH(B1708,Teknikere,0))))),"Mangler rollen "&amp;INDEX(AktRolle,MATCH(C1708,Aktiviteter,0))&amp;"",IF(AND(C1708="LMS",F1708&gt;0,OR(D1708="",E1708="")),"Mangler maskin eller arbeid",IF(AND(OR(C1708="LMS",C1708="Mod"),D1708&lt;&gt;""),IF(IFERROR(INDEX(MaskinStatus,MATCH(D1708,Maskiner,0)),"")="I dokk","","Maskinen er ikke i dokk"),""))))))</f>
        <v/>
      </c>
      <c r="L1708" s="2">
        <f>IF(B1708="","",IFERROR(INT((MATCH(B1708,Teknikere,0)-1)/18)+1,""))</f>
        <v/>
      </c>
      <c r="M1708" s="2">
        <f>IF(OR(A1708="",B1708=""),"",B1708&amp;"|"&amp;A1708)</f>
        <v/>
      </c>
      <c r="N1708" s="2">
        <f>IF(M1708="","",SUMIFS(TF_Timer,TF_Nokkel,M1708,TF_Akt,C1708))</f>
        <v/>
      </c>
      <c r="O1708" s="2">
        <f>IF(M1708="","",IF(AND(N1708=_xlfn.MAXIFS(TF_AktSum,TF_Nokkel,M1708),COUNTIFS(M$3:M1707,M1708,N$3:N1707,N1708)=0),M1708,""))</f>
        <v/>
      </c>
    </row>
    <row r="1709">
      <c r="A1709" s="34" t="n"/>
      <c r="B1709" s="35" t="n"/>
      <c r="C1709" s="35" t="n"/>
      <c r="D1709" s="35" t="n"/>
      <c r="E1709" s="35" t="n"/>
      <c r="F1709" s="36" t="n"/>
      <c r="G1709" s="35" t="n"/>
      <c r="H1709" s="30">
        <f>IF(L1709="","",INDEX(SkiftNavn,L1709))</f>
        <v/>
      </c>
      <c r="I1709" s="30">
        <f>IF(OR(A1709="",L1709=""),"",IF(MOD(A1709-INDEX(SkiftStart,L1709),Syklus)&lt;DagK,"Kveld",IF(MOD(A1709-INDEX(SkiftStart,L1709),Syklus)&lt;DagK+DagH,"Helg",IF(MOD(A1709-INDEX(SkiftStart,L1709),Syklus)&lt;DagK+DagH+DagD,"Dag","Fri"))))</f>
        <v/>
      </c>
      <c r="J1709" s="30">
        <f>IF(I1709="Fri","Ja","")</f>
        <v/>
      </c>
      <c r="K1709" s="30">
        <f>IF(B1709="","",IF(L1709="","Ukjent tekniker",IF(ISNA(MATCH(C1709,Aktiviteter,0)),"Ukjent aktivitet",IF(AND(INDEX(AktRolle,MATCH(C1709,Aktiviteter,0))&amp;""&lt;&gt;"",ISERROR(SEARCH(INDEX(AktRolle,MATCH(C1709,Aktiviteter,0))&amp;"",INDEX(TekRoller,MATCH(B1709,Teknikere,0))))),"Mangler rollen "&amp;INDEX(AktRolle,MATCH(C1709,Aktiviteter,0))&amp;"",IF(AND(C1709="LMS",F1709&gt;0,OR(D1709="",E1709="")),"Mangler maskin eller arbeid",IF(AND(OR(C1709="LMS",C1709="Mod"),D1709&lt;&gt;""),IF(IFERROR(INDEX(MaskinStatus,MATCH(D1709,Maskiner,0)),"")="I dokk","","Maskinen er ikke i dokk"),""))))))</f>
        <v/>
      </c>
      <c r="L1709" s="2">
        <f>IF(B1709="","",IFERROR(INT((MATCH(B1709,Teknikere,0)-1)/18)+1,""))</f>
        <v/>
      </c>
      <c r="M1709" s="2">
        <f>IF(OR(A1709="",B1709=""),"",B1709&amp;"|"&amp;A1709)</f>
        <v/>
      </c>
      <c r="N1709" s="2">
        <f>IF(M1709="","",SUMIFS(TF_Timer,TF_Nokkel,M1709,TF_Akt,C1709))</f>
        <v/>
      </c>
      <c r="O1709" s="2">
        <f>IF(M1709="","",IF(AND(N1709=_xlfn.MAXIFS(TF_AktSum,TF_Nokkel,M1709),COUNTIFS(M$3:M1708,M1709,N$3:N1708,N1709)=0),M1709,""))</f>
        <v/>
      </c>
    </row>
    <row r="1710">
      <c r="A1710" s="34" t="n"/>
      <c r="B1710" s="35" t="n"/>
      <c r="C1710" s="35" t="n"/>
      <c r="D1710" s="35" t="n"/>
      <c r="E1710" s="35" t="n"/>
      <c r="F1710" s="36" t="n"/>
      <c r="G1710" s="35" t="n"/>
      <c r="H1710" s="30">
        <f>IF(L1710="","",INDEX(SkiftNavn,L1710))</f>
        <v/>
      </c>
      <c r="I1710" s="30">
        <f>IF(OR(A1710="",L1710=""),"",IF(MOD(A1710-INDEX(SkiftStart,L1710),Syklus)&lt;DagK,"Kveld",IF(MOD(A1710-INDEX(SkiftStart,L1710),Syklus)&lt;DagK+DagH,"Helg",IF(MOD(A1710-INDEX(SkiftStart,L1710),Syklus)&lt;DagK+DagH+DagD,"Dag","Fri"))))</f>
        <v/>
      </c>
      <c r="J1710" s="30">
        <f>IF(I1710="Fri","Ja","")</f>
        <v/>
      </c>
      <c r="K1710" s="30">
        <f>IF(B1710="","",IF(L1710="","Ukjent tekniker",IF(ISNA(MATCH(C1710,Aktiviteter,0)),"Ukjent aktivitet",IF(AND(INDEX(AktRolle,MATCH(C1710,Aktiviteter,0))&amp;""&lt;&gt;"",ISERROR(SEARCH(INDEX(AktRolle,MATCH(C1710,Aktiviteter,0))&amp;"",INDEX(TekRoller,MATCH(B1710,Teknikere,0))))),"Mangler rollen "&amp;INDEX(AktRolle,MATCH(C1710,Aktiviteter,0))&amp;"",IF(AND(C1710="LMS",F1710&gt;0,OR(D1710="",E1710="")),"Mangler maskin eller arbeid",IF(AND(OR(C1710="LMS",C1710="Mod"),D1710&lt;&gt;""),IF(IFERROR(INDEX(MaskinStatus,MATCH(D1710,Maskiner,0)),"")="I dokk","","Maskinen er ikke i dokk"),""))))))</f>
        <v/>
      </c>
      <c r="L1710" s="2">
        <f>IF(B1710="","",IFERROR(INT((MATCH(B1710,Teknikere,0)-1)/18)+1,""))</f>
        <v/>
      </c>
      <c r="M1710" s="2">
        <f>IF(OR(A1710="",B1710=""),"",B1710&amp;"|"&amp;A1710)</f>
        <v/>
      </c>
      <c r="N1710" s="2">
        <f>IF(M1710="","",SUMIFS(TF_Timer,TF_Nokkel,M1710,TF_Akt,C1710))</f>
        <v/>
      </c>
      <c r="O1710" s="2">
        <f>IF(M1710="","",IF(AND(N1710=_xlfn.MAXIFS(TF_AktSum,TF_Nokkel,M1710),COUNTIFS(M$3:M1709,M1710,N$3:N1709,N1710)=0),M1710,""))</f>
        <v/>
      </c>
    </row>
    <row r="1711">
      <c r="A1711" s="34" t="n"/>
      <c r="B1711" s="35" t="n"/>
      <c r="C1711" s="35" t="n"/>
      <c r="D1711" s="35" t="n"/>
      <c r="E1711" s="35" t="n"/>
      <c r="F1711" s="36" t="n"/>
      <c r="G1711" s="35" t="n"/>
      <c r="H1711" s="30">
        <f>IF(L1711="","",INDEX(SkiftNavn,L1711))</f>
        <v/>
      </c>
      <c r="I1711" s="30">
        <f>IF(OR(A1711="",L1711=""),"",IF(MOD(A1711-INDEX(SkiftStart,L1711),Syklus)&lt;DagK,"Kveld",IF(MOD(A1711-INDEX(SkiftStart,L1711),Syklus)&lt;DagK+DagH,"Helg",IF(MOD(A1711-INDEX(SkiftStart,L1711),Syklus)&lt;DagK+DagH+DagD,"Dag","Fri"))))</f>
        <v/>
      </c>
      <c r="J1711" s="30">
        <f>IF(I1711="Fri","Ja","")</f>
        <v/>
      </c>
      <c r="K1711" s="30">
        <f>IF(B1711="","",IF(L1711="","Ukjent tekniker",IF(ISNA(MATCH(C1711,Aktiviteter,0)),"Ukjent aktivitet",IF(AND(INDEX(AktRolle,MATCH(C1711,Aktiviteter,0))&amp;""&lt;&gt;"",ISERROR(SEARCH(INDEX(AktRolle,MATCH(C1711,Aktiviteter,0))&amp;"",INDEX(TekRoller,MATCH(B1711,Teknikere,0))))),"Mangler rollen "&amp;INDEX(AktRolle,MATCH(C1711,Aktiviteter,0))&amp;"",IF(AND(C1711="LMS",F1711&gt;0,OR(D1711="",E1711="")),"Mangler maskin eller arbeid",IF(AND(OR(C1711="LMS",C1711="Mod"),D1711&lt;&gt;""),IF(IFERROR(INDEX(MaskinStatus,MATCH(D1711,Maskiner,0)),"")="I dokk","","Maskinen er ikke i dokk"),""))))))</f>
        <v/>
      </c>
      <c r="L1711" s="2">
        <f>IF(B1711="","",IFERROR(INT((MATCH(B1711,Teknikere,0)-1)/18)+1,""))</f>
        <v/>
      </c>
      <c r="M1711" s="2">
        <f>IF(OR(A1711="",B1711=""),"",B1711&amp;"|"&amp;A1711)</f>
        <v/>
      </c>
      <c r="N1711" s="2">
        <f>IF(M1711="","",SUMIFS(TF_Timer,TF_Nokkel,M1711,TF_Akt,C1711))</f>
        <v/>
      </c>
      <c r="O1711" s="2">
        <f>IF(M1711="","",IF(AND(N1711=_xlfn.MAXIFS(TF_AktSum,TF_Nokkel,M1711),COUNTIFS(M$3:M1710,M1711,N$3:N1710,N1711)=0),M1711,""))</f>
        <v/>
      </c>
    </row>
    <row r="1712">
      <c r="A1712" s="34" t="n"/>
      <c r="B1712" s="35" t="n"/>
      <c r="C1712" s="35" t="n"/>
      <c r="D1712" s="35" t="n"/>
      <c r="E1712" s="35" t="n"/>
      <c r="F1712" s="36" t="n"/>
      <c r="G1712" s="35" t="n"/>
      <c r="H1712" s="30">
        <f>IF(L1712="","",INDEX(SkiftNavn,L1712))</f>
        <v/>
      </c>
      <c r="I1712" s="30">
        <f>IF(OR(A1712="",L1712=""),"",IF(MOD(A1712-INDEX(SkiftStart,L1712),Syklus)&lt;DagK,"Kveld",IF(MOD(A1712-INDEX(SkiftStart,L1712),Syklus)&lt;DagK+DagH,"Helg",IF(MOD(A1712-INDEX(SkiftStart,L1712),Syklus)&lt;DagK+DagH+DagD,"Dag","Fri"))))</f>
        <v/>
      </c>
      <c r="J1712" s="30">
        <f>IF(I1712="Fri","Ja","")</f>
        <v/>
      </c>
      <c r="K1712" s="30">
        <f>IF(B1712="","",IF(L1712="","Ukjent tekniker",IF(ISNA(MATCH(C1712,Aktiviteter,0)),"Ukjent aktivitet",IF(AND(INDEX(AktRolle,MATCH(C1712,Aktiviteter,0))&amp;""&lt;&gt;"",ISERROR(SEARCH(INDEX(AktRolle,MATCH(C1712,Aktiviteter,0))&amp;"",INDEX(TekRoller,MATCH(B1712,Teknikere,0))))),"Mangler rollen "&amp;INDEX(AktRolle,MATCH(C1712,Aktiviteter,0))&amp;"",IF(AND(C1712="LMS",F1712&gt;0,OR(D1712="",E1712="")),"Mangler maskin eller arbeid",IF(AND(OR(C1712="LMS",C1712="Mod"),D1712&lt;&gt;""),IF(IFERROR(INDEX(MaskinStatus,MATCH(D1712,Maskiner,0)),"")="I dokk","","Maskinen er ikke i dokk"),""))))))</f>
        <v/>
      </c>
      <c r="L1712" s="2">
        <f>IF(B1712="","",IFERROR(INT((MATCH(B1712,Teknikere,0)-1)/18)+1,""))</f>
        <v/>
      </c>
      <c r="M1712" s="2">
        <f>IF(OR(A1712="",B1712=""),"",B1712&amp;"|"&amp;A1712)</f>
        <v/>
      </c>
      <c r="N1712" s="2">
        <f>IF(M1712="","",SUMIFS(TF_Timer,TF_Nokkel,M1712,TF_Akt,C1712))</f>
        <v/>
      </c>
      <c r="O1712" s="2">
        <f>IF(M1712="","",IF(AND(N1712=_xlfn.MAXIFS(TF_AktSum,TF_Nokkel,M1712),COUNTIFS(M$3:M1711,M1712,N$3:N1711,N1712)=0),M1712,""))</f>
        <v/>
      </c>
    </row>
    <row r="1713">
      <c r="A1713" s="34" t="n"/>
      <c r="B1713" s="35" t="n"/>
      <c r="C1713" s="35" t="n"/>
      <c r="D1713" s="35" t="n"/>
      <c r="E1713" s="35" t="n"/>
      <c r="F1713" s="36" t="n"/>
      <c r="G1713" s="35" t="n"/>
      <c r="H1713" s="30">
        <f>IF(L1713="","",INDEX(SkiftNavn,L1713))</f>
        <v/>
      </c>
      <c r="I1713" s="30">
        <f>IF(OR(A1713="",L1713=""),"",IF(MOD(A1713-INDEX(SkiftStart,L1713),Syklus)&lt;DagK,"Kveld",IF(MOD(A1713-INDEX(SkiftStart,L1713),Syklus)&lt;DagK+DagH,"Helg",IF(MOD(A1713-INDEX(SkiftStart,L1713),Syklus)&lt;DagK+DagH+DagD,"Dag","Fri"))))</f>
        <v/>
      </c>
      <c r="J1713" s="30">
        <f>IF(I1713="Fri","Ja","")</f>
        <v/>
      </c>
      <c r="K1713" s="30">
        <f>IF(B1713="","",IF(L1713="","Ukjent tekniker",IF(ISNA(MATCH(C1713,Aktiviteter,0)),"Ukjent aktivitet",IF(AND(INDEX(AktRolle,MATCH(C1713,Aktiviteter,0))&amp;""&lt;&gt;"",ISERROR(SEARCH(INDEX(AktRolle,MATCH(C1713,Aktiviteter,0))&amp;"",INDEX(TekRoller,MATCH(B1713,Teknikere,0))))),"Mangler rollen "&amp;INDEX(AktRolle,MATCH(C1713,Aktiviteter,0))&amp;"",IF(AND(C1713="LMS",F1713&gt;0,OR(D1713="",E1713="")),"Mangler maskin eller arbeid",IF(AND(OR(C1713="LMS",C1713="Mod"),D1713&lt;&gt;""),IF(IFERROR(INDEX(MaskinStatus,MATCH(D1713,Maskiner,0)),"")="I dokk","","Maskinen er ikke i dokk"),""))))))</f>
        <v/>
      </c>
      <c r="L1713" s="2">
        <f>IF(B1713="","",IFERROR(INT((MATCH(B1713,Teknikere,0)-1)/18)+1,""))</f>
        <v/>
      </c>
      <c r="M1713" s="2">
        <f>IF(OR(A1713="",B1713=""),"",B1713&amp;"|"&amp;A1713)</f>
        <v/>
      </c>
      <c r="N1713" s="2">
        <f>IF(M1713="","",SUMIFS(TF_Timer,TF_Nokkel,M1713,TF_Akt,C1713))</f>
        <v/>
      </c>
      <c r="O1713" s="2">
        <f>IF(M1713="","",IF(AND(N1713=_xlfn.MAXIFS(TF_AktSum,TF_Nokkel,M1713),COUNTIFS(M$3:M1712,M1713,N$3:N1712,N1713)=0),M1713,""))</f>
        <v/>
      </c>
    </row>
    <row r="1714">
      <c r="A1714" s="34" t="n"/>
      <c r="B1714" s="35" t="n"/>
      <c r="C1714" s="35" t="n"/>
      <c r="D1714" s="35" t="n"/>
      <c r="E1714" s="35" t="n"/>
      <c r="F1714" s="36" t="n"/>
      <c r="G1714" s="35" t="n"/>
      <c r="H1714" s="30">
        <f>IF(L1714="","",INDEX(SkiftNavn,L1714))</f>
        <v/>
      </c>
      <c r="I1714" s="30">
        <f>IF(OR(A1714="",L1714=""),"",IF(MOD(A1714-INDEX(SkiftStart,L1714),Syklus)&lt;DagK,"Kveld",IF(MOD(A1714-INDEX(SkiftStart,L1714),Syklus)&lt;DagK+DagH,"Helg",IF(MOD(A1714-INDEX(SkiftStart,L1714),Syklus)&lt;DagK+DagH+DagD,"Dag","Fri"))))</f>
        <v/>
      </c>
      <c r="J1714" s="30">
        <f>IF(I1714="Fri","Ja","")</f>
        <v/>
      </c>
      <c r="K1714" s="30">
        <f>IF(B1714="","",IF(L1714="","Ukjent tekniker",IF(ISNA(MATCH(C1714,Aktiviteter,0)),"Ukjent aktivitet",IF(AND(INDEX(AktRolle,MATCH(C1714,Aktiviteter,0))&amp;""&lt;&gt;"",ISERROR(SEARCH(INDEX(AktRolle,MATCH(C1714,Aktiviteter,0))&amp;"",INDEX(TekRoller,MATCH(B1714,Teknikere,0))))),"Mangler rollen "&amp;INDEX(AktRolle,MATCH(C1714,Aktiviteter,0))&amp;"",IF(AND(C1714="LMS",F1714&gt;0,OR(D1714="",E1714="")),"Mangler maskin eller arbeid",IF(AND(OR(C1714="LMS",C1714="Mod"),D1714&lt;&gt;""),IF(IFERROR(INDEX(MaskinStatus,MATCH(D1714,Maskiner,0)),"")="I dokk","","Maskinen er ikke i dokk"),""))))))</f>
        <v/>
      </c>
      <c r="L1714" s="2">
        <f>IF(B1714="","",IFERROR(INT((MATCH(B1714,Teknikere,0)-1)/18)+1,""))</f>
        <v/>
      </c>
      <c r="M1714" s="2">
        <f>IF(OR(A1714="",B1714=""),"",B1714&amp;"|"&amp;A1714)</f>
        <v/>
      </c>
      <c r="N1714" s="2">
        <f>IF(M1714="","",SUMIFS(TF_Timer,TF_Nokkel,M1714,TF_Akt,C1714))</f>
        <v/>
      </c>
      <c r="O1714" s="2">
        <f>IF(M1714="","",IF(AND(N1714=_xlfn.MAXIFS(TF_AktSum,TF_Nokkel,M1714),COUNTIFS(M$3:M1713,M1714,N$3:N1713,N1714)=0),M1714,""))</f>
        <v/>
      </c>
    </row>
    <row r="1715">
      <c r="A1715" s="34" t="n"/>
      <c r="B1715" s="35" t="n"/>
      <c r="C1715" s="35" t="n"/>
      <c r="D1715" s="35" t="n"/>
      <c r="E1715" s="35" t="n"/>
      <c r="F1715" s="36" t="n"/>
      <c r="G1715" s="35" t="n"/>
      <c r="H1715" s="30">
        <f>IF(L1715="","",INDEX(SkiftNavn,L1715))</f>
        <v/>
      </c>
      <c r="I1715" s="30">
        <f>IF(OR(A1715="",L1715=""),"",IF(MOD(A1715-INDEX(SkiftStart,L1715),Syklus)&lt;DagK,"Kveld",IF(MOD(A1715-INDEX(SkiftStart,L1715),Syklus)&lt;DagK+DagH,"Helg",IF(MOD(A1715-INDEX(SkiftStart,L1715),Syklus)&lt;DagK+DagH+DagD,"Dag","Fri"))))</f>
        <v/>
      </c>
      <c r="J1715" s="30">
        <f>IF(I1715="Fri","Ja","")</f>
        <v/>
      </c>
      <c r="K1715" s="30">
        <f>IF(B1715="","",IF(L1715="","Ukjent tekniker",IF(ISNA(MATCH(C1715,Aktiviteter,0)),"Ukjent aktivitet",IF(AND(INDEX(AktRolle,MATCH(C1715,Aktiviteter,0))&amp;""&lt;&gt;"",ISERROR(SEARCH(INDEX(AktRolle,MATCH(C1715,Aktiviteter,0))&amp;"",INDEX(TekRoller,MATCH(B1715,Teknikere,0))))),"Mangler rollen "&amp;INDEX(AktRolle,MATCH(C1715,Aktiviteter,0))&amp;"",IF(AND(C1715="LMS",F1715&gt;0,OR(D1715="",E1715="")),"Mangler maskin eller arbeid",IF(AND(OR(C1715="LMS",C1715="Mod"),D1715&lt;&gt;""),IF(IFERROR(INDEX(MaskinStatus,MATCH(D1715,Maskiner,0)),"")="I dokk","","Maskinen er ikke i dokk"),""))))))</f>
        <v/>
      </c>
      <c r="L1715" s="2">
        <f>IF(B1715="","",IFERROR(INT((MATCH(B1715,Teknikere,0)-1)/18)+1,""))</f>
        <v/>
      </c>
      <c r="M1715" s="2">
        <f>IF(OR(A1715="",B1715=""),"",B1715&amp;"|"&amp;A1715)</f>
        <v/>
      </c>
      <c r="N1715" s="2">
        <f>IF(M1715="","",SUMIFS(TF_Timer,TF_Nokkel,M1715,TF_Akt,C1715))</f>
        <v/>
      </c>
      <c r="O1715" s="2">
        <f>IF(M1715="","",IF(AND(N1715=_xlfn.MAXIFS(TF_AktSum,TF_Nokkel,M1715),COUNTIFS(M$3:M1714,M1715,N$3:N1714,N1715)=0),M1715,""))</f>
        <v/>
      </c>
    </row>
    <row r="1716">
      <c r="A1716" s="34" t="n"/>
      <c r="B1716" s="35" t="n"/>
      <c r="C1716" s="35" t="n"/>
      <c r="D1716" s="35" t="n"/>
      <c r="E1716" s="35" t="n"/>
      <c r="F1716" s="36" t="n"/>
      <c r="G1716" s="35" t="n"/>
      <c r="H1716" s="30">
        <f>IF(L1716="","",INDEX(SkiftNavn,L1716))</f>
        <v/>
      </c>
      <c r="I1716" s="30">
        <f>IF(OR(A1716="",L1716=""),"",IF(MOD(A1716-INDEX(SkiftStart,L1716),Syklus)&lt;DagK,"Kveld",IF(MOD(A1716-INDEX(SkiftStart,L1716),Syklus)&lt;DagK+DagH,"Helg",IF(MOD(A1716-INDEX(SkiftStart,L1716),Syklus)&lt;DagK+DagH+DagD,"Dag","Fri"))))</f>
        <v/>
      </c>
      <c r="J1716" s="30">
        <f>IF(I1716="Fri","Ja","")</f>
        <v/>
      </c>
      <c r="K1716" s="30">
        <f>IF(B1716="","",IF(L1716="","Ukjent tekniker",IF(ISNA(MATCH(C1716,Aktiviteter,0)),"Ukjent aktivitet",IF(AND(INDEX(AktRolle,MATCH(C1716,Aktiviteter,0))&amp;""&lt;&gt;"",ISERROR(SEARCH(INDEX(AktRolle,MATCH(C1716,Aktiviteter,0))&amp;"",INDEX(TekRoller,MATCH(B1716,Teknikere,0))))),"Mangler rollen "&amp;INDEX(AktRolle,MATCH(C1716,Aktiviteter,0))&amp;"",IF(AND(C1716="LMS",F1716&gt;0,OR(D1716="",E1716="")),"Mangler maskin eller arbeid",IF(AND(OR(C1716="LMS",C1716="Mod"),D1716&lt;&gt;""),IF(IFERROR(INDEX(MaskinStatus,MATCH(D1716,Maskiner,0)),"")="I dokk","","Maskinen er ikke i dokk"),""))))))</f>
        <v/>
      </c>
      <c r="L1716" s="2">
        <f>IF(B1716="","",IFERROR(INT((MATCH(B1716,Teknikere,0)-1)/18)+1,""))</f>
        <v/>
      </c>
      <c r="M1716" s="2">
        <f>IF(OR(A1716="",B1716=""),"",B1716&amp;"|"&amp;A1716)</f>
        <v/>
      </c>
      <c r="N1716" s="2">
        <f>IF(M1716="","",SUMIFS(TF_Timer,TF_Nokkel,M1716,TF_Akt,C1716))</f>
        <v/>
      </c>
      <c r="O1716" s="2">
        <f>IF(M1716="","",IF(AND(N1716=_xlfn.MAXIFS(TF_AktSum,TF_Nokkel,M1716),COUNTIFS(M$3:M1715,M1716,N$3:N1715,N1716)=0),M1716,""))</f>
        <v/>
      </c>
    </row>
    <row r="1717">
      <c r="A1717" s="34" t="n"/>
      <c r="B1717" s="35" t="n"/>
      <c r="C1717" s="35" t="n"/>
      <c r="D1717" s="35" t="n"/>
      <c r="E1717" s="35" t="n"/>
      <c r="F1717" s="36" t="n"/>
      <c r="G1717" s="35" t="n"/>
      <c r="H1717" s="30">
        <f>IF(L1717="","",INDEX(SkiftNavn,L1717))</f>
        <v/>
      </c>
      <c r="I1717" s="30">
        <f>IF(OR(A1717="",L1717=""),"",IF(MOD(A1717-INDEX(SkiftStart,L1717),Syklus)&lt;DagK,"Kveld",IF(MOD(A1717-INDEX(SkiftStart,L1717),Syklus)&lt;DagK+DagH,"Helg",IF(MOD(A1717-INDEX(SkiftStart,L1717),Syklus)&lt;DagK+DagH+DagD,"Dag","Fri"))))</f>
        <v/>
      </c>
      <c r="J1717" s="30">
        <f>IF(I1717="Fri","Ja","")</f>
        <v/>
      </c>
      <c r="K1717" s="30">
        <f>IF(B1717="","",IF(L1717="","Ukjent tekniker",IF(ISNA(MATCH(C1717,Aktiviteter,0)),"Ukjent aktivitet",IF(AND(INDEX(AktRolle,MATCH(C1717,Aktiviteter,0))&amp;""&lt;&gt;"",ISERROR(SEARCH(INDEX(AktRolle,MATCH(C1717,Aktiviteter,0))&amp;"",INDEX(TekRoller,MATCH(B1717,Teknikere,0))))),"Mangler rollen "&amp;INDEX(AktRolle,MATCH(C1717,Aktiviteter,0))&amp;"",IF(AND(C1717="LMS",F1717&gt;0,OR(D1717="",E1717="")),"Mangler maskin eller arbeid",IF(AND(OR(C1717="LMS",C1717="Mod"),D1717&lt;&gt;""),IF(IFERROR(INDEX(MaskinStatus,MATCH(D1717,Maskiner,0)),"")="I dokk","","Maskinen er ikke i dokk"),""))))))</f>
        <v/>
      </c>
      <c r="L1717" s="2">
        <f>IF(B1717="","",IFERROR(INT((MATCH(B1717,Teknikere,0)-1)/18)+1,""))</f>
        <v/>
      </c>
      <c r="M1717" s="2">
        <f>IF(OR(A1717="",B1717=""),"",B1717&amp;"|"&amp;A1717)</f>
        <v/>
      </c>
      <c r="N1717" s="2">
        <f>IF(M1717="","",SUMIFS(TF_Timer,TF_Nokkel,M1717,TF_Akt,C1717))</f>
        <v/>
      </c>
      <c r="O1717" s="2">
        <f>IF(M1717="","",IF(AND(N1717=_xlfn.MAXIFS(TF_AktSum,TF_Nokkel,M1717),COUNTIFS(M$3:M1716,M1717,N$3:N1716,N1717)=0),M1717,""))</f>
        <v/>
      </c>
    </row>
    <row r="1718">
      <c r="A1718" s="34" t="n"/>
      <c r="B1718" s="35" t="n"/>
      <c r="C1718" s="35" t="n"/>
      <c r="D1718" s="35" t="n"/>
      <c r="E1718" s="35" t="n"/>
      <c r="F1718" s="36" t="n"/>
      <c r="G1718" s="35" t="n"/>
      <c r="H1718" s="30">
        <f>IF(L1718="","",INDEX(SkiftNavn,L1718))</f>
        <v/>
      </c>
      <c r="I1718" s="30">
        <f>IF(OR(A1718="",L1718=""),"",IF(MOD(A1718-INDEX(SkiftStart,L1718),Syklus)&lt;DagK,"Kveld",IF(MOD(A1718-INDEX(SkiftStart,L1718),Syklus)&lt;DagK+DagH,"Helg",IF(MOD(A1718-INDEX(SkiftStart,L1718),Syklus)&lt;DagK+DagH+DagD,"Dag","Fri"))))</f>
        <v/>
      </c>
      <c r="J1718" s="30">
        <f>IF(I1718="Fri","Ja","")</f>
        <v/>
      </c>
      <c r="K1718" s="30">
        <f>IF(B1718="","",IF(L1718="","Ukjent tekniker",IF(ISNA(MATCH(C1718,Aktiviteter,0)),"Ukjent aktivitet",IF(AND(INDEX(AktRolle,MATCH(C1718,Aktiviteter,0))&amp;""&lt;&gt;"",ISERROR(SEARCH(INDEX(AktRolle,MATCH(C1718,Aktiviteter,0))&amp;"",INDEX(TekRoller,MATCH(B1718,Teknikere,0))))),"Mangler rollen "&amp;INDEX(AktRolle,MATCH(C1718,Aktiviteter,0))&amp;"",IF(AND(C1718="LMS",F1718&gt;0,OR(D1718="",E1718="")),"Mangler maskin eller arbeid",IF(AND(OR(C1718="LMS",C1718="Mod"),D1718&lt;&gt;""),IF(IFERROR(INDEX(MaskinStatus,MATCH(D1718,Maskiner,0)),"")="I dokk","","Maskinen er ikke i dokk"),""))))))</f>
        <v/>
      </c>
      <c r="L1718" s="2">
        <f>IF(B1718="","",IFERROR(INT((MATCH(B1718,Teknikere,0)-1)/18)+1,""))</f>
        <v/>
      </c>
      <c r="M1718" s="2">
        <f>IF(OR(A1718="",B1718=""),"",B1718&amp;"|"&amp;A1718)</f>
        <v/>
      </c>
      <c r="N1718" s="2">
        <f>IF(M1718="","",SUMIFS(TF_Timer,TF_Nokkel,M1718,TF_Akt,C1718))</f>
        <v/>
      </c>
      <c r="O1718" s="2">
        <f>IF(M1718="","",IF(AND(N1718=_xlfn.MAXIFS(TF_AktSum,TF_Nokkel,M1718),COUNTIFS(M$3:M1717,M1718,N$3:N1717,N1718)=0),M1718,""))</f>
        <v/>
      </c>
    </row>
    <row r="1719">
      <c r="A1719" s="34" t="n"/>
      <c r="B1719" s="35" t="n"/>
      <c r="C1719" s="35" t="n"/>
      <c r="D1719" s="35" t="n"/>
      <c r="E1719" s="35" t="n"/>
      <c r="F1719" s="36" t="n"/>
      <c r="G1719" s="35" t="n"/>
      <c r="H1719" s="30">
        <f>IF(L1719="","",INDEX(SkiftNavn,L1719))</f>
        <v/>
      </c>
      <c r="I1719" s="30">
        <f>IF(OR(A1719="",L1719=""),"",IF(MOD(A1719-INDEX(SkiftStart,L1719),Syklus)&lt;DagK,"Kveld",IF(MOD(A1719-INDEX(SkiftStart,L1719),Syklus)&lt;DagK+DagH,"Helg",IF(MOD(A1719-INDEX(SkiftStart,L1719),Syklus)&lt;DagK+DagH+DagD,"Dag","Fri"))))</f>
        <v/>
      </c>
      <c r="J1719" s="30">
        <f>IF(I1719="Fri","Ja","")</f>
        <v/>
      </c>
      <c r="K1719" s="30">
        <f>IF(B1719="","",IF(L1719="","Ukjent tekniker",IF(ISNA(MATCH(C1719,Aktiviteter,0)),"Ukjent aktivitet",IF(AND(INDEX(AktRolle,MATCH(C1719,Aktiviteter,0))&amp;""&lt;&gt;"",ISERROR(SEARCH(INDEX(AktRolle,MATCH(C1719,Aktiviteter,0))&amp;"",INDEX(TekRoller,MATCH(B1719,Teknikere,0))))),"Mangler rollen "&amp;INDEX(AktRolle,MATCH(C1719,Aktiviteter,0))&amp;"",IF(AND(C1719="LMS",F1719&gt;0,OR(D1719="",E1719="")),"Mangler maskin eller arbeid",IF(AND(OR(C1719="LMS",C1719="Mod"),D1719&lt;&gt;""),IF(IFERROR(INDEX(MaskinStatus,MATCH(D1719,Maskiner,0)),"")="I dokk","","Maskinen er ikke i dokk"),""))))))</f>
        <v/>
      </c>
      <c r="L1719" s="2">
        <f>IF(B1719="","",IFERROR(INT((MATCH(B1719,Teknikere,0)-1)/18)+1,""))</f>
        <v/>
      </c>
      <c r="M1719" s="2">
        <f>IF(OR(A1719="",B1719=""),"",B1719&amp;"|"&amp;A1719)</f>
        <v/>
      </c>
      <c r="N1719" s="2">
        <f>IF(M1719="","",SUMIFS(TF_Timer,TF_Nokkel,M1719,TF_Akt,C1719))</f>
        <v/>
      </c>
      <c r="O1719" s="2">
        <f>IF(M1719="","",IF(AND(N1719=_xlfn.MAXIFS(TF_AktSum,TF_Nokkel,M1719),COUNTIFS(M$3:M1718,M1719,N$3:N1718,N1719)=0),M1719,""))</f>
        <v/>
      </c>
    </row>
    <row r="1720">
      <c r="A1720" s="34" t="n"/>
      <c r="B1720" s="35" t="n"/>
      <c r="C1720" s="35" t="n"/>
      <c r="D1720" s="35" t="n"/>
      <c r="E1720" s="35" t="n"/>
      <c r="F1720" s="36" t="n"/>
      <c r="G1720" s="35" t="n"/>
      <c r="H1720" s="30">
        <f>IF(L1720="","",INDEX(SkiftNavn,L1720))</f>
        <v/>
      </c>
      <c r="I1720" s="30">
        <f>IF(OR(A1720="",L1720=""),"",IF(MOD(A1720-INDEX(SkiftStart,L1720),Syklus)&lt;DagK,"Kveld",IF(MOD(A1720-INDEX(SkiftStart,L1720),Syklus)&lt;DagK+DagH,"Helg",IF(MOD(A1720-INDEX(SkiftStart,L1720),Syklus)&lt;DagK+DagH+DagD,"Dag","Fri"))))</f>
        <v/>
      </c>
      <c r="J1720" s="30">
        <f>IF(I1720="Fri","Ja","")</f>
        <v/>
      </c>
      <c r="K1720" s="30">
        <f>IF(B1720="","",IF(L1720="","Ukjent tekniker",IF(ISNA(MATCH(C1720,Aktiviteter,0)),"Ukjent aktivitet",IF(AND(INDEX(AktRolle,MATCH(C1720,Aktiviteter,0))&amp;""&lt;&gt;"",ISERROR(SEARCH(INDEX(AktRolle,MATCH(C1720,Aktiviteter,0))&amp;"",INDEX(TekRoller,MATCH(B1720,Teknikere,0))))),"Mangler rollen "&amp;INDEX(AktRolle,MATCH(C1720,Aktiviteter,0))&amp;"",IF(AND(C1720="LMS",F1720&gt;0,OR(D1720="",E1720="")),"Mangler maskin eller arbeid",IF(AND(OR(C1720="LMS",C1720="Mod"),D1720&lt;&gt;""),IF(IFERROR(INDEX(MaskinStatus,MATCH(D1720,Maskiner,0)),"")="I dokk","","Maskinen er ikke i dokk"),""))))))</f>
        <v/>
      </c>
      <c r="L1720" s="2">
        <f>IF(B1720="","",IFERROR(INT((MATCH(B1720,Teknikere,0)-1)/18)+1,""))</f>
        <v/>
      </c>
      <c r="M1720" s="2">
        <f>IF(OR(A1720="",B1720=""),"",B1720&amp;"|"&amp;A1720)</f>
        <v/>
      </c>
      <c r="N1720" s="2">
        <f>IF(M1720="","",SUMIFS(TF_Timer,TF_Nokkel,M1720,TF_Akt,C1720))</f>
        <v/>
      </c>
      <c r="O1720" s="2">
        <f>IF(M1720="","",IF(AND(N1720=_xlfn.MAXIFS(TF_AktSum,TF_Nokkel,M1720),COUNTIFS(M$3:M1719,M1720,N$3:N1719,N1720)=0),M1720,""))</f>
        <v/>
      </c>
    </row>
    <row r="1721">
      <c r="A1721" s="34" t="n"/>
      <c r="B1721" s="35" t="n"/>
      <c r="C1721" s="35" t="n"/>
      <c r="D1721" s="35" t="n"/>
      <c r="E1721" s="35" t="n"/>
      <c r="F1721" s="36" t="n"/>
      <c r="G1721" s="35" t="n"/>
      <c r="H1721" s="30">
        <f>IF(L1721="","",INDEX(SkiftNavn,L1721))</f>
        <v/>
      </c>
      <c r="I1721" s="30">
        <f>IF(OR(A1721="",L1721=""),"",IF(MOD(A1721-INDEX(SkiftStart,L1721),Syklus)&lt;DagK,"Kveld",IF(MOD(A1721-INDEX(SkiftStart,L1721),Syklus)&lt;DagK+DagH,"Helg",IF(MOD(A1721-INDEX(SkiftStart,L1721),Syklus)&lt;DagK+DagH+DagD,"Dag","Fri"))))</f>
        <v/>
      </c>
      <c r="J1721" s="30">
        <f>IF(I1721="Fri","Ja","")</f>
        <v/>
      </c>
      <c r="K1721" s="30">
        <f>IF(B1721="","",IF(L1721="","Ukjent tekniker",IF(ISNA(MATCH(C1721,Aktiviteter,0)),"Ukjent aktivitet",IF(AND(INDEX(AktRolle,MATCH(C1721,Aktiviteter,0))&amp;""&lt;&gt;"",ISERROR(SEARCH(INDEX(AktRolle,MATCH(C1721,Aktiviteter,0))&amp;"",INDEX(TekRoller,MATCH(B1721,Teknikere,0))))),"Mangler rollen "&amp;INDEX(AktRolle,MATCH(C1721,Aktiviteter,0))&amp;"",IF(AND(C1721="LMS",F1721&gt;0,OR(D1721="",E1721="")),"Mangler maskin eller arbeid",IF(AND(OR(C1721="LMS",C1721="Mod"),D1721&lt;&gt;""),IF(IFERROR(INDEX(MaskinStatus,MATCH(D1721,Maskiner,0)),"")="I dokk","","Maskinen er ikke i dokk"),""))))))</f>
        <v/>
      </c>
      <c r="L1721" s="2">
        <f>IF(B1721="","",IFERROR(INT((MATCH(B1721,Teknikere,0)-1)/18)+1,""))</f>
        <v/>
      </c>
      <c r="M1721" s="2">
        <f>IF(OR(A1721="",B1721=""),"",B1721&amp;"|"&amp;A1721)</f>
        <v/>
      </c>
      <c r="N1721" s="2">
        <f>IF(M1721="","",SUMIFS(TF_Timer,TF_Nokkel,M1721,TF_Akt,C1721))</f>
        <v/>
      </c>
      <c r="O1721" s="2">
        <f>IF(M1721="","",IF(AND(N1721=_xlfn.MAXIFS(TF_AktSum,TF_Nokkel,M1721),COUNTIFS(M$3:M1720,M1721,N$3:N1720,N1721)=0),M1721,""))</f>
        <v/>
      </c>
    </row>
    <row r="1722">
      <c r="A1722" s="34" t="n"/>
      <c r="B1722" s="35" t="n"/>
      <c r="C1722" s="35" t="n"/>
      <c r="D1722" s="35" t="n"/>
      <c r="E1722" s="35" t="n"/>
      <c r="F1722" s="36" t="n"/>
      <c r="G1722" s="35" t="n"/>
      <c r="H1722" s="30">
        <f>IF(L1722="","",INDEX(SkiftNavn,L1722))</f>
        <v/>
      </c>
      <c r="I1722" s="30">
        <f>IF(OR(A1722="",L1722=""),"",IF(MOD(A1722-INDEX(SkiftStart,L1722),Syklus)&lt;DagK,"Kveld",IF(MOD(A1722-INDEX(SkiftStart,L1722),Syklus)&lt;DagK+DagH,"Helg",IF(MOD(A1722-INDEX(SkiftStart,L1722),Syklus)&lt;DagK+DagH+DagD,"Dag","Fri"))))</f>
        <v/>
      </c>
      <c r="J1722" s="30">
        <f>IF(I1722="Fri","Ja","")</f>
        <v/>
      </c>
      <c r="K1722" s="30">
        <f>IF(B1722="","",IF(L1722="","Ukjent tekniker",IF(ISNA(MATCH(C1722,Aktiviteter,0)),"Ukjent aktivitet",IF(AND(INDEX(AktRolle,MATCH(C1722,Aktiviteter,0))&amp;""&lt;&gt;"",ISERROR(SEARCH(INDEX(AktRolle,MATCH(C1722,Aktiviteter,0))&amp;"",INDEX(TekRoller,MATCH(B1722,Teknikere,0))))),"Mangler rollen "&amp;INDEX(AktRolle,MATCH(C1722,Aktiviteter,0))&amp;"",IF(AND(C1722="LMS",F1722&gt;0,OR(D1722="",E1722="")),"Mangler maskin eller arbeid",IF(AND(OR(C1722="LMS",C1722="Mod"),D1722&lt;&gt;""),IF(IFERROR(INDEX(MaskinStatus,MATCH(D1722,Maskiner,0)),"")="I dokk","","Maskinen er ikke i dokk"),""))))))</f>
        <v/>
      </c>
      <c r="L1722" s="2">
        <f>IF(B1722="","",IFERROR(INT((MATCH(B1722,Teknikere,0)-1)/18)+1,""))</f>
        <v/>
      </c>
      <c r="M1722" s="2">
        <f>IF(OR(A1722="",B1722=""),"",B1722&amp;"|"&amp;A1722)</f>
        <v/>
      </c>
      <c r="N1722" s="2">
        <f>IF(M1722="","",SUMIFS(TF_Timer,TF_Nokkel,M1722,TF_Akt,C1722))</f>
        <v/>
      </c>
      <c r="O1722" s="2">
        <f>IF(M1722="","",IF(AND(N1722=_xlfn.MAXIFS(TF_AktSum,TF_Nokkel,M1722),COUNTIFS(M$3:M1721,M1722,N$3:N1721,N1722)=0),M1722,""))</f>
        <v/>
      </c>
    </row>
    <row r="1723">
      <c r="A1723" s="34" t="n"/>
      <c r="B1723" s="35" t="n"/>
      <c r="C1723" s="35" t="n"/>
      <c r="D1723" s="35" t="n"/>
      <c r="E1723" s="35" t="n"/>
      <c r="F1723" s="36" t="n"/>
      <c r="G1723" s="35" t="n"/>
      <c r="H1723" s="30">
        <f>IF(L1723="","",INDEX(SkiftNavn,L1723))</f>
        <v/>
      </c>
      <c r="I1723" s="30">
        <f>IF(OR(A1723="",L1723=""),"",IF(MOD(A1723-INDEX(SkiftStart,L1723),Syklus)&lt;DagK,"Kveld",IF(MOD(A1723-INDEX(SkiftStart,L1723),Syklus)&lt;DagK+DagH,"Helg",IF(MOD(A1723-INDEX(SkiftStart,L1723),Syklus)&lt;DagK+DagH+DagD,"Dag","Fri"))))</f>
        <v/>
      </c>
      <c r="J1723" s="30">
        <f>IF(I1723="Fri","Ja","")</f>
        <v/>
      </c>
      <c r="K1723" s="30">
        <f>IF(B1723="","",IF(L1723="","Ukjent tekniker",IF(ISNA(MATCH(C1723,Aktiviteter,0)),"Ukjent aktivitet",IF(AND(INDEX(AktRolle,MATCH(C1723,Aktiviteter,0))&amp;""&lt;&gt;"",ISERROR(SEARCH(INDEX(AktRolle,MATCH(C1723,Aktiviteter,0))&amp;"",INDEX(TekRoller,MATCH(B1723,Teknikere,0))))),"Mangler rollen "&amp;INDEX(AktRolle,MATCH(C1723,Aktiviteter,0))&amp;"",IF(AND(C1723="LMS",F1723&gt;0,OR(D1723="",E1723="")),"Mangler maskin eller arbeid",IF(AND(OR(C1723="LMS",C1723="Mod"),D1723&lt;&gt;""),IF(IFERROR(INDEX(MaskinStatus,MATCH(D1723,Maskiner,0)),"")="I dokk","","Maskinen er ikke i dokk"),""))))))</f>
        <v/>
      </c>
      <c r="L1723" s="2">
        <f>IF(B1723="","",IFERROR(INT((MATCH(B1723,Teknikere,0)-1)/18)+1,""))</f>
        <v/>
      </c>
      <c r="M1723" s="2">
        <f>IF(OR(A1723="",B1723=""),"",B1723&amp;"|"&amp;A1723)</f>
        <v/>
      </c>
      <c r="N1723" s="2">
        <f>IF(M1723="","",SUMIFS(TF_Timer,TF_Nokkel,M1723,TF_Akt,C1723))</f>
        <v/>
      </c>
      <c r="O1723" s="2">
        <f>IF(M1723="","",IF(AND(N1723=_xlfn.MAXIFS(TF_AktSum,TF_Nokkel,M1723),COUNTIFS(M$3:M1722,M1723,N$3:N1722,N1723)=0),M1723,""))</f>
        <v/>
      </c>
    </row>
    <row r="1724">
      <c r="A1724" s="34" t="n"/>
      <c r="B1724" s="35" t="n"/>
      <c r="C1724" s="35" t="n"/>
      <c r="D1724" s="35" t="n"/>
      <c r="E1724" s="35" t="n"/>
      <c r="F1724" s="36" t="n"/>
      <c r="G1724" s="35" t="n"/>
      <c r="H1724" s="30">
        <f>IF(L1724="","",INDEX(SkiftNavn,L1724))</f>
        <v/>
      </c>
      <c r="I1724" s="30">
        <f>IF(OR(A1724="",L1724=""),"",IF(MOD(A1724-INDEX(SkiftStart,L1724),Syklus)&lt;DagK,"Kveld",IF(MOD(A1724-INDEX(SkiftStart,L1724),Syklus)&lt;DagK+DagH,"Helg",IF(MOD(A1724-INDEX(SkiftStart,L1724),Syklus)&lt;DagK+DagH+DagD,"Dag","Fri"))))</f>
        <v/>
      </c>
      <c r="J1724" s="30">
        <f>IF(I1724="Fri","Ja","")</f>
        <v/>
      </c>
      <c r="K1724" s="30">
        <f>IF(B1724="","",IF(L1724="","Ukjent tekniker",IF(ISNA(MATCH(C1724,Aktiviteter,0)),"Ukjent aktivitet",IF(AND(INDEX(AktRolle,MATCH(C1724,Aktiviteter,0))&amp;""&lt;&gt;"",ISERROR(SEARCH(INDEX(AktRolle,MATCH(C1724,Aktiviteter,0))&amp;"",INDEX(TekRoller,MATCH(B1724,Teknikere,0))))),"Mangler rollen "&amp;INDEX(AktRolle,MATCH(C1724,Aktiviteter,0))&amp;"",IF(AND(C1724="LMS",F1724&gt;0,OR(D1724="",E1724="")),"Mangler maskin eller arbeid",IF(AND(OR(C1724="LMS",C1724="Mod"),D1724&lt;&gt;""),IF(IFERROR(INDEX(MaskinStatus,MATCH(D1724,Maskiner,0)),"")="I dokk","","Maskinen er ikke i dokk"),""))))))</f>
        <v/>
      </c>
      <c r="L1724" s="2">
        <f>IF(B1724="","",IFERROR(INT((MATCH(B1724,Teknikere,0)-1)/18)+1,""))</f>
        <v/>
      </c>
      <c r="M1724" s="2">
        <f>IF(OR(A1724="",B1724=""),"",B1724&amp;"|"&amp;A1724)</f>
        <v/>
      </c>
      <c r="N1724" s="2">
        <f>IF(M1724="","",SUMIFS(TF_Timer,TF_Nokkel,M1724,TF_Akt,C1724))</f>
        <v/>
      </c>
      <c r="O1724" s="2">
        <f>IF(M1724="","",IF(AND(N1724=_xlfn.MAXIFS(TF_AktSum,TF_Nokkel,M1724),COUNTIFS(M$3:M1723,M1724,N$3:N1723,N1724)=0),M1724,""))</f>
        <v/>
      </c>
    </row>
    <row r="1725">
      <c r="A1725" s="34" t="n"/>
      <c r="B1725" s="35" t="n"/>
      <c r="C1725" s="35" t="n"/>
      <c r="D1725" s="35" t="n"/>
      <c r="E1725" s="35" t="n"/>
      <c r="F1725" s="36" t="n"/>
      <c r="G1725" s="35" t="n"/>
      <c r="H1725" s="30">
        <f>IF(L1725="","",INDEX(SkiftNavn,L1725))</f>
        <v/>
      </c>
      <c r="I1725" s="30">
        <f>IF(OR(A1725="",L1725=""),"",IF(MOD(A1725-INDEX(SkiftStart,L1725),Syklus)&lt;DagK,"Kveld",IF(MOD(A1725-INDEX(SkiftStart,L1725),Syklus)&lt;DagK+DagH,"Helg",IF(MOD(A1725-INDEX(SkiftStart,L1725),Syklus)&lt;DagK+DagH+DagD,"Dag","Fri"))))</f>
        <v/>
      </c>
      <c r="J1725" s="30">
        <f>IF(I1725="Fri","Ja","")</f>
        <v/>
      </c>
      <c r="K1725" s="30">
        <f>IF(B1725="","",IF(L1725="","Ukjent tekniker",IF(ISNA(MATCH(C1725,Aktiviteter,0)),"Ukjent aktivitet",IF(AND(INDEX(AktRolle,MATCH(C1725,Aktiviteter,0))&amp;""&lt;&gt;"",ISERROR(SEARCH(INDEX(AktRolle,MATCH(C1725,Aktiviteter,0))&amp;"",INDEX(TekRoller,MATCH(B1725,Teknikere,0))))),"Mangler rollen "&amp;INDEX(AktRolle,MATCH(C1725,Aktiviteter,0))&amp;"",IF(AND(C1725="LMS",F1725&gt;0,OR(D1725="",E1725="")),"Mangler maskin eller arbeid",IF(AND(OR(C1725="LMS",C1725="Mod"),D1725&lt;&gt;""),IF(IFERROR(INDEX(MaskinStatus,MATCH(D1725,Maskiner,0)),"")="I dokk","","Maskinen er ikke i dokk"),""))))))</f>
        <v/>
      </c>
      <c r="L1725" s="2">
        <f>IF(B1725="","",IFERROR(INT((MATCH(B1725,Teknikere,0)-1)/18)+1,""))</f>
        <v/>
      </c>
      <c r="M1725" s="2">
        <f>IF(OR(A1725="",B1725=""),"",B1725&amp;"|"&amp;A1725)</f>
        <v/>
      </c>
      <c r="N1725" s="2">
        <f>IF(M1725="","",SUMIFS(TF_Timer,TF_Nokkel,M1725,TF_Akt,C1725))</f>
        <v/>
      </c>
      <c r="O1725" s="2">
        <f>IF(M1725="","",IF(AND(N1725=_xlfn.MAXIFS(TF_AktSum,TF_Nokkel,M1725),COUNTIFS(M$3:M1724,M1725,N$3:N1724,N1725)=0),M1725,""))</f>
        <v/>
      </c>
    </row>
    <row r="1726">
      <c r="A1726" s="34" t="n"/>
      <c r="B1726" s="35" t="n"/>
      <c r="C1726" s="35" t="n"/>
      <c r="D1726" s="35" t="n"/>
      <c r="E1726" s="35" t="n"/>
      <c r="F1726" s="36" t="n"/>
      <c r="G1726" s="35" t="n"/>
      <c r="H1726" s="30">
        <f>IF(L1726="","",INDEX(SkiftNavn,L1726))</f>
        <v/>
      </c>
      <c r="I1726" s="30">
        <f>IF(OR(A1726="",L1726=""),"",IF(MOD(A1726-INDEX(SkiftStart,L1726),Syklus)&lt;DagK,"Kveld",IF(MOD(A1726-INDEX(SkiftStart,L1726),Syklus)&lt;DagK+DagH,"Helg",IF(MOD(A1726-INDEX(SkiftStart,L1726),Syklus)&lt;DagK+DagH+DagD,"Dag","Fri"))))</f>
        <v/>
      </c>
      <c r="J1726" s="30">
        <f>IF(I1726="Fri","Ja","")</f>
        <v/>
      </c>
      <c r="K1726" s="30">
        <f>IF(B1726="","",IF(L1726="","Ukjent tekniker",IF(ISNA(MATCH(C1726,Aktiviteter,0)),"Ukjent aktivitet",IF(AND(INDEX(AktRolle,MATCH(C1726,Aktiviteter,0))&amp;""&lt;&gt;"",ISERROR(SEARCH(INDEX(AktRolle,MATCH(C1726,Aktiviteter,0))&amp;"",INDEX(TekRoller,MATCH(B1726,Teknikere,0))))),"Mangler rollen "&amp;INDEX(AktRolle,MATCH(C1726,Aktiviteter,0))&amp;"",IF(AND(C1726="LMS",F1726&gt;0,OR(D1726="",E1726="")),"Mangler maskin eller arbeid",IF(AND(OR(C1726="LMS",C1726="Mod"),D1726&lt;&gt;""),IF(IFERROR(INDEX(MaskinStatus,MATCH(D1726,Maskiner,0)),"")="I dokk","","Maskinen er ikke i dokk"),""))))))</f>
        <v/>
      </c>
      <c r="L1726" s="2">
        <f>IF(B1726="","",IFERROR(INT((MATCH(B1726,Teknikere,0)-1)/18)+1,""))</f>
        <v/>
      </c>
      <c r="M1726" s="2">
        <f>IF(OR(A1726="",B1726=""),"",B1726&amp;"|"&amp;A1726)</f>
        <v/>
      </c>
      <c r="N1726" s="2">
        <f>IF(M1726="","",SUMIFS(TF_Timer,TF_Nokkel,M1726,TF_Akt,C1726))</f>
        <v/>
      </c>
      <c r="O1726" s="2">
        <f>IF(M1726="","",IF(AND(N1726=_xlfn.MAXIFS(TF_AktSum,TF_Nokkel,M1726),COUNTIFS(M$3:M1725,M1726,N$3:N1725,N1726)=0),M1726,""))</f>
        <v/>
      </c>
    </row>
    <row r="1727">
      <c r="A1727" s="34" t="n"/>
      <c r="B1727" s="35" t="n"/>
      <c r="C1727" s="35" t="n"/>
      <c r="D1727" s="35" t="n"/>
      <c r="E1727" s="35" t="n"/>
      <c r="F1727" s="36" t="n"/>
      <c r="G1727" s="35" t="n"/>
      <c r="H1727" s="30">
        <f>IF(L1727="","",INDEX(SkiftNavn,L1727))</f>
        <v/>
      </c>
      <c r="I1727" s="30">
        <f>IF(OR(A1727="",L1727=""),"",IF(MOD(A1727-INDEX(SkiftStart,L1727),Syklus)&lt;DagK,"Kveld",IF(MOD(A1727-INDEX(SkiftStart,L1727),Syklus)&lt;DagK+DagH,"Helg",IF(MOD(A1727-INDEX(SkiftStart,L1727),Syklus)&lt;DagK+DagH+DagD,"Dag","Fri"))))</f>
        <v/>
      </c>
      <c r="J1727" s="30">
        <f>IF(I1727="Fri","Ja","")</f>
        <v/>
      </c>
      <c r="K1727" s="30">
        <f>IF(B1727="","",IF(L1727="","Ukjent tekniker",IF(ISNA(MATCH(C1727,Aktiviteter,0)),"Ukjent aktivitet",IF(AND(INDEX(AktRolle,MATCH(C1727,Aktiviteter,0))&amp;""&lt;&gt;"",ISERROR(SEARCH(INDEX(AktRolle,MATCH(C1727,Aktiviteter,0))&amp;"",INDEX(TekRoller,MATCH(B1727,Teknikere,0))))),"Mangler rollen "&amp;INDEX(AktRolle,MATCH(C1727,Aktiviteter,0))&amp;"",IF(AND(C1727="LMS",F1727&gt;0,OR(D1727="",E1727="")),"Mangler maskin eller arbeid",IF(AND(OR(C1727="LMS",C1727="Mod"),D1727&lt;&gt;""),IF(IFERROR(INDEX(MaskinStatus,MATCH(D1727,Maskiner,0)),"")="I dokk","","Maskinen er ikke i dokk"),""))))))</f>
        <v/>
      </c>
      <c r="L1727" s="2">
        <f>IF(B1727="","",IFERROR(INT((MATCH(B1727,Teknikere,0)-1)/18)+1,""))</f>
        <v/>
      </c>
      <c r="M1727" s="2">
        <f>IF(OR(A1727="",B1727=""),"",B1727&amp;"|"&amp;A1727)</f>
        <v/>
      </c>
      <c r="N1727" s="2">
        <f>IF(M1727="","",SUMIFS(TF_Timer,TF_Nokkel,M1727,TF_Akt,C1727))</f>
        <v/>
      </c>
      <c r="O1727" s="2">
        <f>IF(M1727="","",IF(AND(N1727=_xlfn.MAXIFS(TF_AktSum,TF_Nokkel,M1727),COUNTIFS(M$3:M1726,M1727,N$3:N1726,N1727)=0),M1727,""))</f>
        <v/>
      </c>
    </row>
    <row r="1728">
      <c r="A1728" s="34" t="n"/>
      <c r="B1728" s="35" t="n"/>
      <c r="C1728" s="35" t="n"/>
      <c r="D1728" s="35" t="n"/>
      <c r="E1728" s="35" t="n"/>
      <c r="F1728" s="36" t="n"/>
      <c r="G1728" s="35" t="n"/>
      <c r="H1728" s="30">
        <f>IF(L1728="","",INDEX(SkiftNavn,L1728))</f>
        <v/>
      </c>
      <c r="I1728" s="30">
        <f>IF(OR(A1728="",L1728=""),"",IF(MOD(A1728-INDEX(SkiftStart,L1728),Syklus)&lt;DagK,"Kveld",IF(MOD(A1728-INDEX(SkiftStart,L1728),Syklus)&lt;DagK+DagH,"Helg",IF(MOD(A1728-INDEX(SkiftStart,L1728),Syklus)&lt;DagK+DagH+DagD,"Dag","Fri"))))</f>
        <v/>
      </c>
      <c r="J1728" s="30">
        <f>IF(I1728="Fri","Ja","")</f>
        <v/>
      </c>
      <c r="K1728" s="30">
        <f>IF(B1728="","",IF(L1728="","Ukjent tekniker",IF(ISNA(MATCH(C1728,Aktiviteter,0)),"Ukjent aktivitet",IF(AND(INDEX(AktRolle,MATCH(C1728,Aktiviteter,0))&amp;""&lt;&gt;"",ISERROR(SEARCH(INDEX(AktRolle,MATCH(C1728,Aktiviteter,0))&amp;"",INDEX(TekRoller,MATCH(B1728,Teknikere,0))))),"Mangler rollen "&amp;INDEX(AktRolle,MATCH(C1728,Aktiviteter,0))&amp;"",IF(AND(C1728="LMS",F1728&gt;0,OR(D1728="",E1728="")),"Mangler maskin eller arbeid",IF(AND(OR(C1728="LMS",C1728="Mod"),D1728&lt;&gt;""),IF(IFERROR(INDEX(MaskinStatus,MATCH(D1728,Maskiner,0)),"")="I dokk","","Maskinen er ikke i dokk"),""))))))</f>
        <v/>
      </c>
      <c r="L1728" s="2">
        <f>IF(B1728="","",IFERROR(INT((MATCH(B1728,Teknikere,0)-1)/18)+1,""))</f>
        <v/>
      </c>
      <c r="M1728" s="2">
        <f>IF(OR(A1728="",B1728=""),"",B1728&amp;"|"&amp;A1728)</f>
        <v/>
      </c>
      <c r="N1728" s="2">
        <f>IF(M1728="","",SUMIFS(TF_Timer,TF_Nokkel,M1728,TF_Akt,C1728))</f>
        <v/>
      </c>
      <c r="O1728" s="2">
        <f>IF(M1728="","",IF(AND(N1728=_xlfn.MAXIFS(TF_AktSum,TF_Nokkel,M1728),COUNTIFS(M$3:M1727,M1728,N$3:N1727,N1728)=0),M1728,""))</f>
        <v/>
      </c>
    </row>
    <row r="1729">
      <c r="A1729" s="34" t="n"/>
      <c r="B1729" s="35" t="n"/>
      <c r="C1729" s="35" t="n"/>
      <c r="D1729" s="35" t="n"/>
      <c r="E1729" s="35" t="n"/>
      <c r="F1729" s="36" t="n"/>
      <c r="G1729" s="35" t="n"/>
      <c r="H1729" s="30">
        <f>IF(L1729="","",INDEX(SkiftNavn,L1729))</f>
        <v/>
      </c>
      <c r="I1729" s="30">
        <f>IF(OR(A1729="",L1729=""),"",IF(MOD(A1729-INDEX(SkiftStart,L1729),Syklus)&lt;DagK,"Kveld",IF(MOD(A1729-INDEX(SkiftStart,L1729),Syklus)&lt;DagK+DagH,"Helg",IF(MOD(A1729-INDEX(SkiftStart,L1729),Syklus)&lt;DagK+DagH+DagD,"Dag","Fri"))))</f>
        <v/>
      </c>
      <c r="J1729" s="30">
        <f>IF(I1729="Fri","Ja","")</f>
        <v/>
      </c>
      <c r="K1729" s="30">
        <f>IF(B1729="","",IF(L1729="","Ukjent tekniker",IF(ISNA(MATCH(C1729,Aktiviteter,0)),"Ukjent aktivitet",IF(AND(INDEX(AktRolle,MATCH(C1729,Aktiviteter,0))&amp;""&lt;&gt;"",ISERROR(SEARCH(INDEX(AktRolle,MATCH(C1729,Aktiviteter,0))&amp;"",INDEX(TekRoller,MATCH(B1729,Teknikere,0))))),"Mangler rollen "&amp;INDEX(AktRolle,MATCH(C1729,Aktiviteter,0))&amp;"",IF(AND(C1729="LMS",F1729&gt;0,OR(D1729="",E1729="")),"Mangler maskin eller arbeid",IF(AND(OR(C1729="LMS",C1729="Mod"),D1729&lt;&gt;""),IF(IFERROR(INDEX(MaskinStatus,MATCH(D1729,Maskiner,0)),"")="I dokk","","Maskinen er ikke i dokk"),""))))))</f>
        <v/>
      </c>
      <c r="L1729" s="2">
        <f>IF(B1729="","",IFERROR(INT((MATCH(B1729,Teknikere,0)-1)/18)+1,""))</f>
        <v/>
      </c>
      <c r="M1729" s="2">
        <f>IF(OR(A1729="",B1729=""),"",B1729&amp;"|"&amp;A1729)</f>
        <v/>
      </c>
      <c r="N1729" s="2">
        <f>IF(M1729="","",SUMIFS(TF_Timer,TF_Nokkel,M1729,TF_Akt,C1729))</f>
        <v/>
      </c>
      <c r="O1729" s="2">
        <f>IF(M1729="","",IF(AND(N1729=_xlfn.MAXIFS(TF_AktSum,TF_Nokkel,M1729),COUNTIFS(M$3:M1728,M1729,N$3:N1728,N1729)=0),M1729,""))</f>
        <v/>
      </c>
    </row>
    <row r="1730">
      <c r="A1730" s="34" t="n"/>
      <c r="B1730" s="35" t="n"/>
      <c r="C1730" s="35" t="n"/>
      <c r="D1730" s="35" t="n"/>
      <c r="E1730" s="35" t="n"/>
      <c r="F1730" s="36" t="n"/>
      <c r="G1730" s="35" t="n"/>
      <c r="H1730" s="30">
        <f>IF(L1730="","",INDEX(SkiftNavn,L1730))</f>
        <v/>
      </c>
      <c r="I1730" s="30">
        <f>IF(OR(A1730="",L1730=""),"",IF(MOD(A1730-INDEX(SkiftStart,L1730),Syklus)&lt;DagK,"Kveld",IF(MOD(A1730-INDEX(SkiftStart,L1730),Syklus)&lt;DagK+DagH,"Helg",IF(MOD(A1730-INDEX(SkiftStart,L1730),Syklus)&lt;DagK+DagH+DagD,"Dag","Fri"))))</f>
        <v/>
      </c>
      <c r="J1730" s="30">
        <f>IF(I1730="Fri","Ja","")</f>
        <v/>
      </c>
      <c r="K1730" s="30">
        <f>IF(B1730="","",IF(L1730="","Ukjent tekniker",IF(ISNA(MATCH(C1730,Aktiviteter,0)),"Ukjent aktivitet",IF(AND(INDEX(AktRolle,MATCH(C1730,Aktiviteter,0))&amp;""&lt;&gt;"",ISERROR(SEARCH(INDEX(AktRolle,MATCH(C1730,Aktiviteter,0))&amp;"",INDEX(TekRoller,MATCH(B1730,Teknikere,0))))),"Mangler rollen "&amp;INDEX(AktRolle,MATCH(C1730,Aktiviteter,0))&amp;"",IF(AND(C1730="LMS",F1730&gt;0,OR(D1730="",E1730="")),"Mangler maskin eller arbeid",IF(AND(OR(C1730="LMS",C1730="Mod"),D1730&lt;&gt;""),IF(IFERROR(INDEX(MaskinStatus,MATCH(D1730,Maskiner,0)),"")="I dokk","","Maskinen er ikke i dokk"),""))))))</f>
        <v/>
      </c>
      <c r="L1730" s="2">
        <f>IF(B1730="","",IFERROR(INT((MATCH(B1730,Teknikere,0)-1)/18)+1,""))</f>
        <v/>
      </c>
      <c r="M1730" s="2">
        <f>IF(OR(A1730="",B1730=""),"",B1730&amp;"|"&amp;A1730)</f>
        <v/>
      </c>
      <c r="N1730" s="2">
        <f>IF(M1730="","",SUMIFS(TF_Timer,TF_Nokkel,M1730,TF_Akt,C1730))</f>
        <v/>
      </c>
      <c r="O1730" s="2">
        <f>IF(M1730="","",IF(AND(N1730=_xlfn.MAXIFS(TF_AktSum,TF_Nokkel,M1730),COUNTIFS(M$3:M1729,M1730,N$3:N1729,N1730)=0),M1730,""))</f>
        <v/>
      </c>
    </row>
    <row r="1731">
      <c r="A1731" s="34" t="n"/>
      <c r="B1731" s="35" t="n"/>
      <c r="C1731" s="35" t="n"/>
      <c r="D1731" s="35" t="n"/>
      <c r="E1731" s="35" t="n"/>
      <c r="F1731" s="36" t="n"/>
      <c r="G1731" s="35" t="n"/>
      <c r="H1731" s="30">
        <f>IF(L1731="","",INDEX(SkiftNavn,L1731))</f>
        <v/>
      </c>
      <c r="I1731" s="30">
        <f>IF(OR(A1731="",L1731=""),"",IF(MOD(A1731-INDEX(SkiftStart,L1731),Syklus)&lt;DagK,"Kveld",IF(MOD(A1731-INDEX(SkiftStart,L1731),Syklus)&lt;DagK+DagH,"Helg",IF(MOD(A1731-INDEX(SkiftStart,L1731),Syklus)&lt;DagK+DagH+DagD,"Dag","Fri"))))</f>
        <v/>
      </c>
      <c r="J1731" s="30">
        <f>IF(I1731="Fri","Ja","")</f>
        <v/>
      </c>
      <c r="K1731" s="30">
        <f>IF(B1731="","",IF(L1731="","Ukjent tekniker",IF(ISNA(MATCH(C1731,Aktiviteter,0)),"Ukjent aktivitet",IF(AND(INDEX(AktRolle,MATCH(C1731,Aktiviteter,0))&amp;""&lt;&gt;"",ISERROR(SEARCH(INDEX(AktRolle,MATCH(C1731,Aktiviteter,0))&amp;"",INDEX(TekRoller,MATCH(B1731,Teknikere,0))))),"Mangler rollen "&amp;INDEX(AktRolle,MATCH(C1731,Aktiviteter,0))&amp;"",IF(AND(C1731="LMS",F1731&gt;0,OR(D1731="",E1731="")),"Mangler maskin eller arbeid",IF(AND(OR(C1731="LMS",C1731="Mod"),D1731&lt;&gt;""),IF(IFERROR(INDEX(MaskinStatus,MATCH(D1731,Maskiner,0)),"")="I dokk","","Maskinen er ikke i dokk"),""))))))</f>
        <v/>
      </c>
      <c r="L1731" s="2">
        <f>IF(B1731="","",IFERROR(INT((MATCH(B1731,Teknikere,0)-1)/18)+1,""))</f>
        <v/>
      </c>
      <c r="M1731" s="2">
        <f>IF(OR(A1731="",B1731=""),"",B1731&amp;"|"&amp;A1731)</f>
        <v/>
      </c>
      <c r="N1731" s="2">
        <f>IF(M1731="","",SUMIFS(TF_Timer,TF_Nokkel,M1731,TF_Akt,C1731))</f>
        <v/>
      </c>
      <c r="O1731" s="2">
        <f>IF(M1731="","",IF(AND(N1731=_xlfn.MAXIFS(TF_AktSum,TF_Nokkel,M1731),COUNTIFS(M$3:M1730,M1731,N$3:N1730,N1731)=0),M1731,""))</f>
        <v/>
      </c>
    </row>
    <row r="1732">
      <c r="A1732" s="34" t="n"/>
      <c r="B1732" s="35" t="n"/>
      <c r="C1732" s="35" t="n"/>
      <c r="D1732" s="35" t="n"/>
      <c r="E1732" s="35" t="n"/>
      <c r="F1732" s="36" t="n"/>
      <c r="G1732" s="35" t="n"/>
      <c r="H1732" s="30">
        <f>IF(L1732="","",INDEX(SkiftNavn,L1732))</f>
        <v/>
      </c>
      <c r="I1732" s="30">
        <f>IF(OR(A1732="",L1732=""),"",IF(MOD(A1732-INDEX(SkiftStart,L1732),Syklus)&lt;DagK,"Kveld",IF(MOD(A1732-INDEX(SkiftStart,L1732),Syklus)&lt;DagK+DagH,"Helg",IF(MOD(A1732-INDEX(SkiftStart,L1732),Syklus)&lt;DagK+DagH+DagD,"Dag","Fri"))))</f>
        <v/>
      </c>
      <c r="J1732" s="30">
        <f>IF(I1732="Fri","Ja","")</f>
        <v/>
      </c>
      <c r="K1732" s="30">
        <f>IF(B1732="","",IF(L1732="","Ukjent tekniker",IF(ISNA(MATCH(C1732,Aktiviteter,0)),"Ukjent aktivitet",IF(AND(INDEX(AktRolle,MATCH(C1732,Aktiviteter,0))&amp;""&lt;&gt;"",ISERROR(SEARCH(INDEX(AktRolle,MATCH(C1732,Aktiviteter,0))&amp;"",INDEX(TekRoller,MATCH(B1732,Teknikere,0))))),"Mangler rollen "&amp;INDEX(AktRolle,MATCH(C1732,Aktiviteter,0))&amp;"",IF(AND(C1732="LMS",F1732&gt;0,OR(D1732="",E1732="")),"Mangler maskin eller arbeid",IF(AND(OR(C1732="LMS",C1732="Mod"),D1732&lt;&gt;""),IF(IFERROR(INDEX(MaskinStatus,MATCH(D1732,Maskiner,0)),"")="I dokk","","Maskinen er ikke i dokk"),""))))))</f>
        <v/>
      </c>
      <c r="L1732" s="2">
        <f>IF(B1732="","",IFERROR(INT((MATCH(B1732,Teknikere,0)-1)/18)+1,""))</f>
        <v/>
      </c>
      <c r="M1732" s="2">
        <f>IF(OR(A1732="",B1732=""),"",B1732&amp;"|"&amp;A1732)</f>
        <v/>
      </c>
      <c r="N1732" s="2">
        <f>IF(M1732="","",SUMIFS(TF_Timer,TF_Nokkel,M1732,TF_Akt,C1732))</f>
        <v/>
      </c>
      <c r="O1732" s="2">
        <f>IF(M1732="","",IF(AND(N1732=_xlfn.MAXIFS(TF_AktSum,TF_Nokkel,M1732),COUNTIFS(M$3:M1731,M1732,N$3:N1731,N1732)=0),M1732,""))</f>
        <v/>
      </c>
    </row>
    <row r="1733">
      <c r="A1733" s="34" t="n"/>
      <c r="B1733" s="35" t="n"/>
      <c r="C1733" s="35" t="n"/>
      <c r="D1733" s="35" t="n"/>
      <c r="E1733" s="35" t="n"/>
      <c r="F1733" s="36" t="n"/>
      <c r="G1733" s="35" t="n"/>
      <c r="H1733" s="30">
        <f>IF(L1733="","",INDEX(SkiftNavn,L1733))</f>
        <v/>
      </c>
      <c r="I1733" s="30">
        <f>IF(OR(A1733="",L1733=""),"",IF(MOD(A1733-INDEX(SkiftStart,L1733),Syklus)&lt;DagK,"Kveld",IF(MOD(A1733-INDEX(SkiftStart,L1733),Syklus)&lt;DagK+DagH,"Helg",IF(MOD(A1733-INDEX(SkiftStart,L1733),Syklus)&lt;DagK+DagH+DagD,"Dag","Fri"))))</f>
        <v/>
      </c>
      <c r="J1733" s="30">
        <f>IF(I1733="Fri","Ja","")</f>
        <v/>
      </c>
      <c r="K1733" s="30">
        <f>IF(B1733="","",IF(L1733="","Ukjent tekniker",IF(ISNA(MATCH(C1733,Aktiviteter,0)),"Ukjent aktivitet",IF(AND(INDEX(AktRolle,MATCH(C1733,Aktiviteter,0))&amp;""&lt;&gt;"",ISERROR(SEARCH(INDEX(AktRolle,MATCH(C1733,Aktiviteter,0))&amp;"",INDEX(TekRoller,MATCH(B1733,Teknikere,0))))),"Mangler rollen "&amp;INDEX(AktRolle,MATCH(C1733,Aktiviteter,0))&amp;"",IF(AND(C1733="LMS",F1733&gt;0,OR(D1733="",E1733="")),"Mangler maskin eller arbeid",IF(AND(OR(C1733="LMS",C1733="Mod"),D1733&lt;&gt;""),IF(IFERROR(INDEX(MaskinStatus,MATCH(D1733,Maskiner,0)),"")="I dokk","","Maskinen er ikke i dokk"),""))))))</f>
        <v/>
      </c>
      <c r="L1733" s="2">
        <f>IF(B1733="","",IFERROR(INT((MATCH(B1733,Teknikere,0)-1)/18)+1,""))</f>
        <v/>
      </c>
      <c r="M1733" s="2">
        <f>IF(OR(A1733="",B1733=""),"",B1733&amp;"|"&amp;A1733)</f>
        <v/>
      </c>
      <c r="N1733" s="2">
        <f>IF(M1733="","",SUMIFS(TF_Timer,TF_Nokkel,M1733,TF_Akt,C1733))</f>
        <v/>
      </c>
      <c r="O1733" s="2">
        <f>IF(M1733="","",IF(AND(N1733=_xlfn.MAXIFS(TF_AktSum,TF_Nokkel,M1733),COUNTIFS(M$3:M1732,M1733,N$3:N1732,N1733)=0),M1733,""))</f>
        <v/>
      </c>
    </row>
    <row r="1734">
      <c r="A1734" s="34" t="n"/>
      <c r="B1734" s="35" t="n"/>
      <c r="C1734" s="35" t="n"/>
      <c r="D1734" s="35" t="n"/>
      <c r="E1734" s="35" t="n"/>
      <c r="F1734" s="36" t="n"/>
      <c r="G1734" s="35" t="n"/>
      <c r="H1734" s="30">
        <f>IF(L1734="","",INDEX(SkiftNavn,L1734))</f>
        <v/>
      </c>
      <c r="I1734" s="30">
        <f>IF(OR(A1734="",L1734=""),"",IF(MOD(A1734-INDEX(SkiftStart,L1734),Syklus)&lt;DagK,"Kveld",IF(MOD(A1734-INDEX(SkiftStart,L1734),Syklus)&lt;DagK+DagH,"Helg",IF(MOD(A1734-INDEX(SkiftStart,L1734),Syklus)&lt;DagK+DagH+DagD,"Dag","Fri"))))</f>
        <v/>
      </c>
      <c r="J1734" s="30">
        <f>IF(I1734="Fri","Ja","")</f>
        <v/>
      </c>
      <c r="K1734" s="30">
        <f>IF(B1734="","",IF(L1734="","Ukjent tekniker",IF(ISNA(MATCH(C1734,Aktiviteter,0)),"Ukjent aktivitet",IF(AND(INDEX(AktRolle,MATCH(C1734,Aktiviteter,0))&amp;""&lt;&gt;"",ISERROR(SEARCH(INDEX(AktRolle,MATCH(C1734,Aktiviteter,0))&amp;"",INDEX(TekRoller,MATCH(B1734,Teknikere,0))))),"Mangler rollen "&amp;INDEX(AktRolle,MATCH(C1734,Aktiviteter,0))&amp;"",IF(AND(C1734="LMS",F1734&gt;0,OR(D1734="",E1734="")),"Mangler maskin eller arbeid",IF(AND(OR(C1734="LMS",C1734="Mod"),D1734&lt;&gt;""),IF(IFERROR(INDEX(MaskinStatus,MATCH(D1734,Maskiner,0)),"")="I dokk","","Maskinen er ikke i dokk"),""))))))</f>
        <v/>
      </c>
      <c r="L1734" s="2">
        <f>IF(B1734="","",IFERROR(INT((MATCH(B1734,Teknikere,0)-1)/18)+1,""))</f>
        <v/>
      </c>
      <c r="M1734" s="2">
        <f>IF(OR(A1734="",B1734=""),"",B1734&amp;"|"&amp;A1734)</f>
        <v/>
      </c>
      <c r="N1734" s="2">
        <f>IF(M1734="","",SUMIFS(TF_Timer,TF_Nokkel,M1734,TF_Akt,C1734))</f>
        <v/>
      </c>
      <c r="O1734" s="2">
        <f>IF(M1734="","",IF(AND(N1734=_xlfn.MAXIFS(TF_AktSum,TF_Nokkel,M1734),COUNTIFS(M$3:M1733,M1734,N$3:N1733,N1734)=0),M1734,""))</f>
        <v/>
      </c>
    </row>
    <row r="1735">
      <c r="A1735" s="34" t="n"/>
      <c r="B1735" s="35" t="n"/>
      <c r="C1735" s="35" t="n"/>
      <c r="D1735" s="35" t="n"/>
      <c r="E1735" s="35" t="n"/>
      <c r="F1735" s="36" t="n"/>
      <c r="G1735" s="35" t="n"/>
      <c r="H1735" s="30">
        <f>IF(L1735="","",INDEX(SkiftNavn,L1735))</f>
        <v/>
      </c>
      <c r="I1735" s="30">
        <f>IF(OR(A1735="",L1735=""),"",IF(MOD(A1735-INDEX(SkiftStart,L1735),Syklus)&lt;DagK,"Kveld",IF(MOD(A1735-INDEX(SkiftStart,L1735),Syklus)&lt;DagK+DagH,"Helg",IF(MOD(A1735-INDEX(SkiftStart,L1735),Syklus)&lt;DagK+DagH+DagD,"Dag","Fri"))))</f>
        <v/>
      </c>
      <c r="J1735" s="30">
        <f>IF(I1735="Fri","Ja","")</f>
        <v/>
      </c>
      <c r="K1735" s="30">
        <f>IF(B1735="","",IF(L1735="","Ukjent tekniker",IF(ISNA(MATCH(C1735,Aktiviteter,0)),"Ukjent aktivitet",IF(AND(INDEX(AktRolle,MATCH(C1735,Aktiviteter,0))&amp;""&lt;&gt;"",ISERROR(SEARCH(INDEX(AktRolle,MATCH(C1735,Aktiviteter,0))&amp;"",INDEX(TekRoller,MATCH(B1735,Teknikere,0))))),"Mangler rollen "&amp;INDEX(AktRolle,MATCH(C1735,Aktiviteter,0))&amp;"",IF(AND(C1735="LMS",F1735&gt;0,OR(D1735="",E1735="")),"Mangler maskin eller arbeid",IF(AND(OR(C1735="LMS",C1735="Mod"),D1735&lt;&gt;""),IF(IFERROR(INDEX(MaskinStatus,MATCH(D1735,Maskiner,0)),"")="I dokk","","Maskinen er ikke i dokk"),""))))))</f>
        <v/>
      </c>
      <c r="L1735" s="2">
        <f>IF(B1735="","",IFERROR(INT((MATCH(B1735,Teknikere,0)-1)/18)+1,""))</f>
        <v/>
      </c>
      <c r="M1735" s="2">
        <f>IF(OR(A1735="",B1735=""),"",B1735&amp;"|"&amp;A1735)</f>
        <v/>
      </c>
      <c r="N1735" s="2">
        <f>IF(M1735="","",SUMIFS(TF_Timer,TF_Nokkel,M1735,TF_Akt,C1735))</f>
        <v/>
      </c>
      <c r="O1735" s="2">
        <f>IF(M1735="","",IF(AND(N1735=_xlfn.MAXIFS(TF_AktSum,TF_Nokkel,M1735),COUNTIFS(M$3:M1734,M1735,N$3:N1734,N1735)=0),M1735,""))</f>
        <v/>
      </c>
    </row>
    <row r="1736">
      <c r="A1736" s="34" t="n"/>
      <c r="B1736" s="35" t="n"/>
      <c r="C1736" s="35" t="n"/>
      <c r="D1736" s="35" t="n"/>
      <c r="E1736" s="35" t="n"/>
      <c r="F1736" s="36" t="n"/>
      <c r="G1736" s="35" t="n"/>
      <c r="H1736" s="30">
        <f>IF(L1736="","",INDEX(SkiftNavn,L1736))</f>
        <v/>
      </c>
      <c r="I1736" s="30">
        <f>IF(OR(A1736="",L1736=""),"",IF(MOD(A1736-INDEX(SkiftStart,L1736),Syklus)&lt;DagK,"Kveld",IF(MOD(A1736-INDEX(SkiftStart,L1736),Syklus)&lt;DagK+DagH,"Helg",IF(MOD(A1736-INDEX(SkiftStart,L1736),Syklus)&lt;DagK+DagH+DagD,"Dag","Fri"))))</f>
        <v/>
      </c>
      <c r="J1736" s="30">
        <f>IF(I1736="Fri","Ja","")</f>
        <v/>
      </c>
      <c r="K1736" s="30">
        <f>IF(B1736="","",IF(L1736="","Ukjent tekniker",IF(ISNA(MATCH(C1736,Aktiviteter,0)),"Ukjent aktivitet",IF(AND(INDEX(AktRolle,MATCH(C1736,Aktiviteter,0))&amp;""&lt;&gt;"",ISERROR(SEARCH(INDEX(AktRolle,MATCH(C1736,Aktiviteter,0))&amp;"",INDEX(TekRoller,MATCH(B1736,Teknikere,0))))),"Mangler rollen "&amp;INDEX(AktRolle,MATCH(C1736,Aktiviteter,0))&amp;"",IF(AND(C1736="LMS",F1736&gt;0,OR(D1736="",E1736="")),"Mangler maskin eller arbeid",IF(AND(OR(C1736="LMS",C1736="Mod"),D1736&lt;&gt;""),IF(IFERROR(INDEX(MaskinStatus,MATCH(D1736,Maskiner,0)),"")="I dokk","","Maskinen er ikke i dokk"),""))))))</f>
        <v/>
      </c>
      <c r="L1736" s="2">
        <f>IF(B1736="","",IFERROR(INT((MATCH(B1736,Teknikere,0)-1)/18)+1,""))</f>
        <v/>
      </c>
      <c r="M1736" s="2">
        <f>IF(OR(A1736="",B1736=""),"",B1736&amp;"|"&amp;A1736)</f>
        <v/>
      </c>
      <c r="N1736" s="2">
        <f>IF(M1736="","",SUMIFS(TF_Timer,TF_Nokkel,M1736,TF_Akt,C1736))</f>
        <v/>
      </c>
      <c r="O1736" s="2">
        <f>IF(M1736="","",IF(AND(N1736=_xlfn.MAXIFS(TF_AktSum,TF_Nokkel,M1736),COUNTIFS(M$3:M1735,M1736,N$3:N1735,N1736)=0),M1736,""))</f>
        <v/>
      </c>
    </row>
    <row r="1737">
      <c r="A1737" s="34" t="n"/>
      <c r="B1737" s="35" t="n"/>
      <c r="C1737" s="35" t="n"/>
      <c r="D1737" s="35" t="n"/>
      <c r="E1737" s="35" t="n"/>
      <c r="F1737" s="36" t="n"/>
      <c r="G1737" s="35" t="n"/>
      <c r="H1737" s="30">
        <f>IF(L1737="","",INDEX(SkiftNavn,L1737))</f>
        <v/>
      </c>
      <c r="I1737" s="30">
        <f>IF(OR(A1737="",L1737=""),"",IF(MOD(A1737-INDEX(SkiftStart,L1737),Syklus)&lt;DagK,"Kveld",IF(MOD(A1737-INDEX(SkiftStart,L1737),Syklus)&lt;DagK+DagH,"Helg",IF(MOD(A1737-INDEX(SkiftStart,L1737),Syklus)&lt;DagK+DagH+DagD,"Dag","Fri"))))</f>
        <v/>
      </c>
      <c r="J1737" s="30">
        <f>IF(I1737="Fri","Ja","")</f>
        <v/>
      </c>
      <c r="K1737" s="30">
        <f>IF(B1737="","",IF(L1737="","Ukjent tekniker",IF(ISNA(MATCH(C1737,Aktiviteter,0)),"Ukjent aktivitet",IF(AND(INDEX(AktRolle,MATCH(C1737,Aktiviteter,0))&amp;""&lt;&gt;"",ISERROR(SEARCH(INDEX(AktRolle,MATCH(C1737,Aktiviteter,0))&amp;"",INDEX(TekRoller,MATCH(B1737,Teknikere,0))))),"Mangler rollen "&amp;INDEX(AktRolle,MATCH(C1737,Aktiviteter,0))&amp;"",IF(AND(C1737="LMS",F1737&gt;0,OR(D1737="",E1737="")),"Mangler maskin eller arbeid",IF(AND(OR(C1737="LMS",C1737="Mod"),D1737&lt;&gt;""),IF(IFERROR(INDEX(MaskinStatus,MATCH(D1737,Maskiner,0)),"")="I dokk","","Maskinen er ikke i dokk"),""))))))</f>
        <v/>
      </c>
      <c r="L1737" s="2">
        <f>IF(B1737="","",IFERROR(INT((MATCH(B1737,Teknikere,0)-1)/18)+1,""))</f>
        <v/>
      </c>
      <c r="M1737" s="2">
        <f>IF(OR(A1737="",B1737=""),"",B1737&amp;"|"&amp;A1737)</f>
        <v/>
      </c>
      <c r="N1737" s="2">
        <f>IF(M1737="","",SUMIFS(TF_Timer,TF_Nokkel,M1737,TF_Akt,C1737))</f>
        <v/>
      </c>
      <c r="O1737" s="2">
        <f>IF(M1737="","",IF(AND(N1737=_xlfn.MAXIFS(TF_AktSum,TF_Nokkel,M1737),COUNTIFS(M$3:M1736,M1737,N$3:N1736,N1737)=0),M1737,""))</f>
        <v/>
      </c>
    </row>
    <row r="1738">
      <c r="A1738" s="34" t="n"/>
      <c r="B1738" s="35" t="n"/>
      <c r="C1738" s="35" t="n"/>
      <c r="D1738" s="35" t="n"/>
      <c r="E1738" s="35" t="n"/>
      <c r="F1738" s="36" t="n"/>
      <c r="G1738" s="35" t="n"/>
      <c r="H1738" s="30">
        <f>IF(L1738="","",INDEX(SkiftNavn,L1738))</f>
        <v/>
      </c>
      <c r="I1738" s="30">
        <f>IF(OR(A1738="",L1738=""),"",IF(MOD(A1738-INDEX(SkiftStart,L1738),Syklus)&lt;DagK,"Kveld",IF(MOD(A1738-INDEX(SkiftStart,L1738),Syklus)&lt;DagK+DagH,"Helg",IF(MOD(A1738-INDEX(SkiftStart,L1738),Syklus)&lt;DagK+DagH+DagD,"Dag","Fri"))))</f>
        <v/>
      </c>
      <c r="J1738" s="30">
        <f>IF(I1738="Fri","Ja","")</f>
        <v/>
      </c>
      <c r="K1738" s="30">
        <f>IF(B1738="","",IF(L1738="","Ukjent tekniker",IF(ISNA(MATCH(C1738,Aktiviteter,0)),"Ukjent aktivitet",IF(AND(INDEX(AktRolle,MATCH(C1738,Aktiviteter,0))&amp;""&lt;&gt;"",ISERROR(SEARCH(INDEX(AktRolle,MATCH(C1738,Aktiviteter,0))&amp;"",INDEX(TekRoller,MATCH(B1738,Teknikere,0))))),"Mangler rollen "&amp;INDEX(AktRolle,MATCH(C1738,Aktiviteter,0))&amp;"",IF(AND(C1738="LMS",F1738&gt;0,OR(D1738="",E1738="")),"Mangler maskin eller arbeid",IF(AND(OR(C1738="LMS",C1738="Mod"),D1738&lt;&gt;""),IF(IFERROR(INDEX(MaskinStatus,MATCH(D1738,Maskiner,0)),"")="I dokk","","Maskinen er ikke i dokk"),""))))))</f>
        <v/>
      </c>
      <c r="L1738" s="2">
        <f>IF(B1738="","",IFERROR(INT((MATCH(B1738,Teknikere,0)-1)/18)+1,""))</f>
        <v/>
      </c>
      <c r="M1738" s="2">
        <f>IF(OR(A1738="",B1738=""),"",B1738&amp;"|"&amp;A1738)</f>
        <v/>
      </c>
      <c r="N1738" s="2">
        <f>IF(M1738="","",SUMIFS(TF_Timer,TF_Nokkel,M1738,TF_Akt,C1738))</f>
        <v/>
      </c>
      <c r="O1738" s="2">
        <f>IF(M1738="","",IF(AND(N1738=_xlfn.MAXIFS(TF_AktSum,TF_Nokkel,M1738),COUNTIFS(M$3:M1737,M1738,N$3:N1737,N1738)=0),M1738,""))</f>
        <v/>
      </c>
    </row>
    <row r="1739">
      <c r="A1739" s="34" t="n"/>
      <c r="B1739" s="35" t="n"/>
      <c r="C1739" s="35" t="n"/>
      <c r="D1739" s="35" t="n"/>
      <c r="E1739" s="35" t="n"/>
      <c r="F1739" s="36" t="n"/>
      <c r="G1739" s="35" t="n"/>
      <c r="H1739" s="30">
        <f>IF(L1739="","",INDEX(SkiftNavn,L1739))</f>
        <v/>
      </c>
      <c r="I1739" s="30">
        <f>IF(OR(A1739="",L1739=""),"",IF(MOD(A1739-INDEX(SkiftStart,L1739),Syklus)&lt;DagK,"Kveld",IF(MOD(A1739-INDEX(SkiftStart,L1739),Syklus)&lt;DagK+DagH,"Helg",IF(MOD(A1739-INDEX(SkiftStart,L1739),Syklus)&lt;DagK+DagH+DagD,"Dag","Fri"))))</f>
        <v/>
      </c>
      <c r="J1739" s="30">
        <f>IF(I1739="Fri","Ja","")</f>
        <v/>
      </c>
      <c r="K1739" s="30">
        <f>IF(B1739="","",IF(L1739="","Ukjent tekniker",IF(ISNA(MATCH(C1739,Aktiviteter,0)),"Ukjent aktivitet",IF(AND(INDEX(AktRolle,MATCH(C1739,Aktiviteter,0))&amp;""&lt;&gt;"",ISERROR(SEARCH(INDEX(AktRolle,MATCH(C1739,Aktiviteter,0))&amp;"",INDEX(TekRoller,MATCH(B1739,Teknikere,0))))),"Mangler rollen "&amp;INDEX(AktRolle,MATCH(C1739,Aktiviteter,0))&amp;"",IF(AND(C1739="LMS",F1739&gt;0,OR(D1739="",E1739="")),"Mangler maskin eller arbeid",IF(AND(OR(C1739="LMS",C1739="Mod"),D1739&lt;&gt;""),IF(IFERROR(INDEX(MaskinStatus,MATCH(D1739,Maskiner,0)),"")="I dokk","","Maskinen er ikke i dokk"),""))))))</f>
        <v/>
      </c>
      <c r="L1739" s="2">
        <f>IF(B1739="","",IFERROR(INT((MATCH(B1739,Teknikere,0)-1)/18)+1,""))</f>
        <v/>
      </c>
      <c r="M1739" s="2">
        <f>IF(OR(A1739="",B1739=""),"",B1739&amp;"|"&amp;A1739)</f>
        <v/>
      </c>
      <c r="N1739" s="2">
        <f>IF(M1739="","",SUMIFS(TF_Timer,TF_Nokkel,M1739,TF_Akt,C1739))</f>
        <v/>
      </c>
      <c r="O1739" s="2">
        <f>IF(M1739="","",IF(AND(N1739=_xlfn.MAXIFS(TF_AktSum,TF_Nokkel,M1739),COUNTIFS(M$3:M1738,M1739,N$3:N1738,N1739)=0),M1739,""))</f>
        <v/>
      </c>
    </row>
    <row r="1740">
      <c r="A1740" s="34" t="n"/>
      <c r="B1740" s="35" t="n"/>
      <c r="C1740" s="35" t="n"/>
      <c r="D1740" s="35" t="n"/>
      <c r="E1740" s="35" t="n"/>
      <c r="F1740" s="36" t="n"/>
      <c r="G1740" s="35" t="n"/>
      <c r="H1740" s="30">
        <f>IF(L1740="","",INDEX(SkiftNavn,L1740))</f>
        <v/>
      </c>
      <c r="I1740" s="30">
        <f>IF(OR(A1740="",L1740=""),"",IF(MOD(A1740-INDEX(SkiftStart,L1740),Syklus)&lt;DagK,"Kveld",IF(MOD(A1740-INDEX(SkiftStart,L1740),Syklus)&lt;DagK+DagH,"Helg",IF(MOD(A1740-INDEX(SkiftStart,L1740),Syklus)&lt;DagK+DagH+DagD,"Dag","Fri"))))</f>
        <v/>
      </c>
      <c r="J1740" s="30">
        <f>IF(I1740="Fri","Ja","")</f>
        <v/>
      </c>
      <c r="K1740" s="30">
        <f>IF(B1740="","",IF(L1740="","Ukjent tekniker",IF(ISNA(MATCH(C1740,Aktiviteter,0)),"Ukjent aktivitet",IF(AND(INDEX(AktRolle,MATCH(C1740,Aktiviteter,0))&amp;""&lt;&gt;"",ISERROR(SEARCH(INDEX(AktRolle,MATCH(C1740,Aktiviteter,0))&amp;"",INDEX(TekRoller,MATCH(B1740,Teknikere,0))))),"Mangler rollen "&amp;INDEX(AktRolle,MATCH(C1740,Aktiviteter,0))&amp;"",IF(AND(C1740="LMS",F1740&gt;0,OR(D1740="",E1740="")),"Mangler maskin eller arbeid",IF(AND(OR(C1740="LMS",C1740="Mod"),D1740&lt;&gt;""),IF(IFERROR(INDEX(MaskinStatus,MATCH(D1740,Maskiner,0)),"")="I dokk","","Maskinen er ikke i dokk"),""))))))</f>
        <v/>
      </c>
      <c r="L1740" s="2">
        <f>IF(B1740="","",IFERROR(INT((MATCH(B1740,Teknikere,0)-1)/18)+1,""))</f>
        <v/>
      </c>
      <c r="M1740" s="2">
        <f>IF(OR(A1740="",B1740=""),"",B1740&amp;"|"&amp;A1740)</f>
        <v/>
      </c>
      <c r="N1740" s="2">
        <f>IF(M1740="","",SUMIFS(TF_Timer,TF_Nokkel,M1740,TF_Akt,C1740))</f>
        <v/>
      </c>
      <c r="O1740" s="2">
        <f>IF(M1740="","",IF(AND(N1740=_xlfn.MAXIFS(TF_AktSum,TF_Nokkel,M1740),COUNTIFS(M$3:M1739,M1740,N$3:N1739,N1740)=0),M1740,""))</f>
        <v/>
      </c>
    </row>
    <row r="1741">
      <c r="A1741" s="34" t="n"/>
      <c r="B1741" s="35" t="n"/>
      <c r="C1741" s="35" t="n"/>
      <c r="D1741" s="35" t="n"/>
      <c r="E1741" s="35" t="n"/>
      <c r="F1741" s="36" t="n"/>
      <c r="G1741" s="35" t="n"/>
      <c r="H1741" s="30">
        <f>IF(L1741="","",INDEX(SkiftNavn,L1741))</f>
        <v/>
      </c>
      <c r="I1741" s="30">
        <f>IF(OR(A1741="",L1741=""),"",IF(MOD(A1741-INDEX(SkiftStart,L1741),Syklus)&lt;DagK,"Kveld",IF(MOD(A1741-INDEX(SkiftStart,L1741),Syklus)&lt;DagK+DagH,"Helg",IF(MOD(A1741-INDEX(SkiftStart,L1741),Syklus)&lt;DagK+DagH+DagD,"Dag","Fri"))))</f>
        <v/>
      </c>
      <c r="J1741" s="30">
        <f>IF(I1741="Fri","Ja","")</f>
        <v/>
      </c>
      <c r="K1741" s="30">
        <f>IF(B1741="","",IF(L1741="","Ukjent tekniker",IF(ISNA(MATCH(C1741,Aktiviteter,0)),"Ukjent aktivitet",IF(AND(INDEX(AktRolle,MATCH(C1741,Aktiviteter,0))&amp;""&lt;&gt;"",ISERROR(SEARCH(INDEX(AktRolle,MATCH(C1741,Aktiviteter,0))&amp;"",INDEX(TekRoller,MATCH(B1741,Teknikere,0))))),"Mangler rollen "&amp;INDEX(AktRolle,MATCH(C1741,Aktiviteter,0))&amp;"",IF(AND(C1741="LMS",F1741&gt;0,OR(D1741="",E1741="")),"Mangler maskin eller arbeid",IF(AND(OR(C1741="LMS",C1741="Mod"),D1741&lt;&gt;""),IF(IFERROR(INDEX(MaskinStatus,MATCH(D1741,Maskiner,0)),"")="I dokk","","Maskinen er ikke i dokk"),""))))))</f>
        <v/>
      </c>
      <c r="L1741" s="2">
        <f>IF(B1741="","",IFERROR(INT((MATCH(B1741,Teknikere,0)-1)/18)+1,""))</f>
        <v/>
      </c>
      <c r="M1741" s="2">
        <f>IF(OR(A1741="",B1741=""),"",B1741&amp;"|"&amp;A1741)</f>
        <v/>
      </c>
      <c r="N1741" s="2">
        <f>IF(M1741="","",SUMIFS(TF_Timer,TF_Nokkel,M1741,TF_Akt,C1741))</f>
        <v/>
      </c>
      <c r="O1741" s="2">
        <f>IF(M1741="","",IF(AND(N1741=_xlfn.MAXIFS(TF_AktSum,TF_Nokkel,M1741),COUNTIFS(M$3:M1740,M1741,N$3:N1740,N1741)=0),M1741,""))</f>
        <v/>
      </c>
    </row>
    <row r="1742">
      <c r="A1742" s="34" t="n"/>
      <c r="B1742" s="35" t="n"/>
      <c r="C1742" s="35" t="n"/>
      <c r="D1742" s="35" t="n"/>
      <c r="E1742" s="35" t="n"/>
      <c r="F1742" s="36" t="n"/>
      <c r="G1742" s="35" t="n"/>
      <c r="H1742" s="30">
        <f>IF(L1742="","",INDEX(SkiftNavn,L1742))</f>
        <v/>
      </c>
      <c r="I1742" s="30">
        <f>IF(OR(A1742="",L1742=""),"",IF(MOD(A1742-INDEX(SkiftStart,L1742),Syklus)&lt;DagK,"Kveld",IF(MOD(A1742-INDEX(SkiftStart,L1742),Syklus)&lt;DagK+DagH,"Helg",IF(MOD(A1742-INDEX(SkiftStart,L1742),Syklus)&lt;DagK+DagH+DagD,"Dag","Fri"))))</f>
        <v/>
      </c>
      <c r="J1742" s="30">
        <f>IF(I1742="Fri","Ja","")</f>
        <v/>
      </c>
      <c r="K1742" s="30">
        <f>IF(B1742="","",IF(L1742="","Ukjent tekniker",IF(ISNA(MATCH(C1742,Aktiviteter,0)),"Ukjent aktivitet",IF(AND(INDEX(AktRolle,MATCH(C1742,Aktiviteter,0))&amp;""&lt;&gt;"",ISERROR(SEARCH(INDEX(AktRolle,MATCH(C1742,Aktiviteter,0))&amp;"",INDEX(TekRoller,MATCH(B1742,Teknikere,0))))),"Mangler rollen "&amp;INDEX(AktRolle,MATCH(C1742,Aktiviteter,0))&amp;"",IF(AND(C1742="LMS",F1742&gt;0,OR(D1742="",E1742="")),"Mangler maskin eller arbeid",IF(AND(OR(C1742="LMS",C1742="Mod"),D1742&lt;&gt;""),IF(IFERROR(INDEX(MaskinStatus,MATCH(D1742,Maskiner,0)),"")="I dokk","","Maskinen er ikke i dokk"),""))))))</f>
        <v/>
      </c>
      <c r="L1742" s="2">
        <f>IF(B1742="","",IFERROR(INT((MATCH(B1742,Teknikere,0)-1)/18)+1,""))</f>
        <v/>
      </c>
      <c r="M1742" s="2">
        <f>IF(OR(A1742="",B1742=""),"",B1742&amp;"|"&amp;A1742)</f>
        <v/>
      </c>
      <c r="N1742" s="2">
        <f>IF(M1742="","",SUMIFS(TF_Timer,TF_Nokkel,M1742,TF_Akt,C1742))</f>
        <v/>
      </c>
      <c r="O1742" s="2">
        <f>IF(M1742="","",IF(AND(N1742=_xlfn.MAXIFS(TF_AktSum,TF_Nokkel,M1742),COUNTIFS(M$3:M1741,M1742,N$3:N1741,N1742)=0),M1742,""))</f>
        <v/>
      </c>
    </row>
    <row r="1743">
      <c r="A1743" s="34" t="n"/>
      <c r="B1743" s="35" t="n"/>
      <c r="C1743" s="35" t="n"/>
      <c r="D1743" s="35" t="n"/>
      <c r="E1743" s="35" t="n"/>
      <c r="F1743" s="36" t="n"/>
      <c r="G1743" s="35" t="n"/>
      <c r="H1743" s="30">
        <f>IF(L1743="","",INDEX(SkiftNavn,L1743))</f>
        <v/>
      </c>
      <c r="I1743" s="30">
        <f>IF(OR(A1743="",L1743=""),"",IF(MOD(A1743-INDEX(SkiftStart,L1743),Syklus)&lt;DagK,"Kveld",IF(MOD(A1743-INDEX(SkiftStart,L1743),Syklus)&lt;DagK+DagH,"Helg",IF(MOD(A1743-INDEX(SkiftStart,L1743),Syklus)&lt;DagK+DagH+DagD,"Dag","Fri"))))</f>
        <v/>
      </c>
      <c r="J1743" s="30">
        <f>IF(I1743="Fri","Ja","")</f>
        <v/>
      </c>
      <c r="K1743" s="30">
        <f>IF(B1743="","",IF(L1743="","Ukjent tekniker",IF(ISNA(MATCH(C1743,Aktiviteter,0)),"Ukjent aktivitet",IF(AND(INDEX(AktRolle,MATCH(C1743,Aktiviteter,0))&amp;""&lt;&gt;"",ISERROR(SEARCH(INDEX(AktRolle,MATCH(C1743,Aktiviteter,0))&amp;"",INDEX(TekRoller,MATCH(B1743,Teknikere,0))))),"Mangler rollen "&amp;INDEX(AktRolle,MATCH(C1743,Aktiviteter,0))&amp;"",IF(AND(C1743="LMS",F1743&gt;0,OR(D1743="",E1743="")),"Mangler maskin eller arbeid",IF(AND(OR(C1743="LMS",C1743="Mod"),D1743&lt;&gt;""),IF(IFERROR(INDEX(MaskinStatus,MATCH(D1743,Maskiner,0)),"")="I dokk","","Maskinen er ikke i dokk"),""))))))</f>
        <v/>
      </c>
      <c r="L1743" s="2">
        <f>IF(B1743="","",IFERROR(INT((MATCH(B1743,Teknikere,0)-1)/18)+1,""))</f>
        <v/>
      </c>
      <c r="M1743" s="2">
        <f>IF(OR(A1743="",B1743=""),"",B1743&amp;"|"&amp;A1743)</f>
        <v/>
      </c>
      <c r="N1743" s="2">
        <f>IF(M1743="","",SUMIFS(TF_Timer,TF_Nokkel,M1743,TF_Akt,C1743))</f>
        <v/>
      </c>
      <c r="O1743" s="2">
        <f>IF(M1743="","",IF(AND(N1743=_xlfn.MAXIFS(TF_AktSum,TF_Nokkel,M1743),COUNTIFS(M$3:M1742,M1743,N$3:N1742,N1743)=0),M1743,""))</f>
        <v/>
      </c>
    </row>
    <row r="1744">
      <c r="A1744" s="34" t="n"/>
      <c r="B1744" s="35" t="n"/>
      <c r="C1744" s="35" t="n"/>
      <c r="D1744" s="35" t="n"/>
      <c r="E1744" s="35" t="n"/>
      <c r="F1744" s="36" t="n"/>
      <c r="G1744" s="35" t="n"/>
      <c r="H1744" s="30">
        <f>IF(L1744="","",INDEX(SkiftNavn,L1744))</f>
        <v/>
      </c>
      <c r="I1744" s="30">
        <f>IF(OR(A1744="",L1744=""),"",IF(MOD(A1744-INDEX(SkiftStart,L1744),Syklus)&lt;DagK,"Kveld",IF(MOD(A1744-INDEX(SkiftStart,L1744),Syklus)&lt;DagK+DagH,"Helg",IF(MOD(A1744-INDEX(SkiftStart,L1744),Syklus)&lt;DagK+DagH+DagD,"Dag","Fri"))))</f>
        <v/>
      </c>
      <c r="J1744" s="30">
        <f>IF(I1744="Fri","Ja","")</f>
        <v/>
      </c>
      <c r="K1744" s="30">
        <f>IF(B1744="","",IF(L1744="","Ukjent tekniker",IF(ISNA(MATCH(C1744,Aktiviteter,0)),"Ukjent aktivitet",IF(AND(INDEX(AktRolle,MATCH(C1744,Aktiviteter,0))&amp;""&lt;&gt;"",ISERROR(SEARCH(INDEX(AktRolle,MATCH(C1744,Aktiviteter,0))&amp;"",INDEX(TekRoller,MATCH(B1744,Teknikere,0))))),"Mangler rollen "&amp;INDEX(AktRolle,MATCH(C1744,Aktiviteter,0))&amp;"",IF(AND(C1744="LMS",F1744&gt;0,OR(D1744="",E1744="")),"Mangler maskin eller arbeid",IF(AND(OR(C1744="LMS",C1744="Mod"),D1744&lt;&gt;""),IF(IFERROR(INDEX(MaskinStatus,MATCH(D1744,Maskiner,0)),"")="I dokk","","Maskinen er ikke i dokk"),""))))))</f>
        <v/>
      </c>
      <c r="L1744" s="2">
        <f>IF(B1744="","",IFERROR(INT((MATCH(B1744,Teknikere,0)-1)/18)+1,""))</f>
        <v/>
      </c>
      <c r="M1744" s="2">
        <f>IF(OR(A1744="",B1744=""),"",B1744&amp;"|"&amp;A1744)</f>
        <v/>
      </c>
      <c r="N1744" s="2">
        <f>IF(M1744="","",SUMIFS(TF_Timer,TF_Nokkel,M1744,TF_Akt,C1744))</f>
        <v/>
      </c>
      <c r="O1744" s="2">
        <f>IF(M1744="","",IF(AND(N1744=_xlfn.MAXIFS(TF_AktSum,TF_Nokkel,M1744),COUNTIFS(M$3:M1743,M1744,N$3:N1743,N1744)=0),M1744,""))</f>
        <v/>
      </c>
    </row>
    <row r="1745">
      <c r="A1745" s="34" t="n"/>
      <c r="B1745" s="35" t="n"/>
      <c r="C1745" s="35" t="n"/>
      <c r="D1745" s="35" t="n"/>
      <c r="E1745" s="35" t="n"/>
      <c r="F1745" s="36" t="n"/>
      <c r="G1745" s="35" t="n"/>
      <c r="H1745" s="30">
        <f>IF(L1745="","",INDEX(SkiftNavn,L1745))</f>
        <v/>
      </c>
      <c r="I1745" s="30">
        <f>IF(OR(A1745="",L1745=""),"",IF(MOD(A1745-INDEX(SkiftStart,L1745),Syklus)&lt;DagK,"Kveld",IF(MOD(A1745-INDEX(SkiftStart,L1745),Syklus)&lt;DagK+DagH,"Helg",IF(MOD(A1745-INDEX(SkiftStart,L1745),Syklus)&lt;DagK+DagH+DagD,"Dag","Fri"))))</f>
        <v/>
      </c>
      <c r="J1745" s="30">
        <f>IF(I1745="Fri","Ja","")</f>
        <v/>
      </c>
      <c r="K1745" s="30">
        <f>IF(B1745="","",IF(L1745="","Ukjent tekniker",IF(ISNA(MATCH(C1745,Aktiviteter,0)),"Ukjent aktivitet",IF(AND(INDEX(AktRolle,MATCH(C1745,Aktiviteter,0))&amp;""&lt;&gt;"",ISERROR(SEARCH(INDEX(AktRolle,MATCH(C1745,Aktiviteter,0))&amp;"",INDEX(TekRoller,MATCH(B1745,Teknikere,0))))),"Mangler rollen "&amp;INDEX(AktRolle,MATCH(C1745,Aktiviteter,0))&amp;"",IF(AND(C1745="LMS",F1745&gt;0,OR(D1745="",E1745="")),"Mangler maskin eller arbeid",IF(AND(OR(C1745="LMS",C1745="Mod"),D1745&lt;&gt;""),IF(IFERROR(INDEX(MaskinStatus,MATCH(D1745,Maskiner,0)),"")="I dokk","","Maskinen er ikke i dokk"),""))))))</f>
        <v/>
      </c>
      <c r="L1745" s="2">
        <f>IF(B1745="","",IFERROR(INT((MATCH(B1745,Teknikere,0)-1)/18)+1,""))</f>
        <v/>
      </c>
      <c r="M1745" s="2">
        <f>IF(OR(A1745="",B1745=""),"",B1745&amp;"|"&amp;A1745)</f>
        <v/>
      </c>
      <c r="N1745" s="2">
        <f>IF(M1745="","",SUMIFS(TF_Timer,TF_Nokkel,M1745,TF_Akt,C1745))</f>
        <v/>
      </c>
      <c r="O1745" s="2">
        <f>IF(M1745="","",IF(AND(N1745=_xlfn.MAXIFS(TF_AktSum,TF_Nokkel,M1745),COUNTIFS(M$3:M1744,M1745,N$3:N1744,N1745)=0),M1745,""))</f>
        <v/>
      </c>
    </row>
    <row r="1746">
      <c r="A1746" s="34" t="n"/>
      <c r="B1746" s="35" t="n"/>
      <c r="C1746" s="35" t="n"/>
      <c r="D1746" s="35" t="n"/>
      <c r="E1746" s="35" t="n"/>
      <c r="F1746" s="36" t="n"/>
      <c r="G1746" s="35" t="n"/>
      <c r="H1746" s="30">
        <f>IF(L1746="","",INDEX(SkiftNavn,L1746))</f>
        <v/>
      </c>
      <c r="I1746" s="30">
        <f>IF(OR(A1746="",L1746=""),"",IF(MOD(A1746-INDEX(SkiftStart,L1746),Syklus)&lt;DagK,"Kveld",IF(MOD(A1746-INDEX(SkiftStart,L1746),Syklus)&lt;DagK+DagH,"Helg",IF(MOD(A1746-INDEX(SkiftStart,L1746),Syklus)&lt;DagK+DagH+DagD,"Dag","Fri"))))</f>
        <v/>
      </c>
      <c r="J1746" s="30">
        <f>IF(I1746="Fri","Ja","")</f>
        <v/>
      </c>
      <c r="K1746" s="30">
        <f>IF(B1746="","",IF(L1746="","Ukjent tekniker",IF(ISNA(MATCH(C1746,Aktiviteter,0)),"Ukjent aktivitet",IF(AND(INDEX(AktRolle,MATCH(C1746,Aktiviteter,0))&amp;""&lt;&gt;"",ISERROR(SEARCH(INDEX(AktRolle,MATCH(C1746,Aktiviteter,0))&amp;"",INDEX(TekRoller,MATCH(B1746,Teknikere,0))))),"Mangler rollen "&amp;INDEX(AktRolle,MATCH(C1746,Aktiviteter,0))&amp;"",IF(AND(C1746="LMS",F1746&gt;0,OR(D1746="",E1746="")),"Mangler maskin eller arbeid",IF(AND(OR(C1746="LMS",C1746="Mod"),D1746&lt;&gt;""),IF(IFERROR(INDEX(MaskinStatus,MATCH(D1746,Maskiner,0)),"")="I dokk","","Maskinen er ikke i dokk"),""))))))</f>
        <v/>
      </c>
      <c r="L1746" s="2">
        <f>IF(B1746="","",IFERROR(INT((MATCH(B1746,Teknikere,0)-1)/18)+1,""))</f>
        <v/>
      </c>
      <c r="M1746" s="2">
        <f>IF(OR(A1746="",B1746=""),"",B1746&amp;"|"&amp;A1746)</f>
        <v/>
      </c>
      <c r="N1746" s="2">
        <f>IF(M1746="","",SUMIFS(TF_Timer,TF_Nokkel,M1746,TF_Akt,C1746))</f>
        <v/>
      </c>
      <c r="O1746" s="2">
        <f>IF(M1746="","",IF(AND(N1746=_xlfn.MAXIFS(TF_AktSum,TF_Nokkel,M1746),COUNTIFS(M$3:M1745,M1746,N$3:N1745,N1746)=0),M1746,""))</f>
        <v/>
      </c>
    </row>
    <row r="1747">
      <c r="A1747" s="34" t="n"/>
      <c r="B1747" s="35" t="n"/>
      <c r="C1747" s="35" t="n"/>
      <c r="D1747" s="35" t="n"/>
      <c r="E1747" s="35" t="n"/>
      <c r="F1747" s="36" t="n"/>
      <c r="G1747" s="35" t="n"/>
      <c r="H1747" s="30">
        <f>IF(L1747="","",INDEX(SkiftNavn,L1747))</f>
        <v/>
      </c>
      <c r="I1747" s="30">
        <f>IF(OR(A1747="",L1747=""),"",IF(MOD(A1747-INDEX(SkiftStart,L1747),Syklus)&lt;DagK,"Kveld",IF(MOD(A1747-INDEX(SkiftStart,L1747),Syklus)&lt;DagK+DagH,"Helg",IF(MOD(A1747-INDEX(SkiftStart,L1747),Syklus)&lt;DagK+DagH+DagD,"Dag","Fri"))))</f>
        <v/>
      </c>
      <c r="J1747" s="30">
        <f>IF(I1747="Fri","Ja","")</f>
        <v/>
      </c>
      <c r="K1747" s="30">
        <f>IF(B1747="","",IF(L1747="","Ukjent tekniker",IF(ISNA(MATCH(C1747,Aktiviteter,0)),"Ukjent aktivitet",IF(AND(INDEX(AktRolle,MATCH(C1747,Aktiviteter,0))&amp;""&lt;&gt;"",ISERROR(SEARCH(INDEX(AktRolle,MATCH(C1747,Aktiviteter,0))&amp;"",INDEX(TekRoller,MATCH(B1747,Teknikere,0))))),"Mangler rollen "&amp;INDEX(AktRolle,MATCH(C1747,Aktiviteter,0))&amp;"",IF(AND(C1747="LMS",F1747&gt;0,OR(D1747="",E1747="")),"Mangler maskin eller arbeid",IF(AND(OR(C1747="LMS",C1747="Mod"),D1747&lt;&gt;""),IF(IFERROR(INDEX(MaskinStatus,MATCH(D1747,Maskiner,0)),"")="I dokk","","Maskinen er ikke i dokk"),""))))))</f>
        <v/>
      </c>
      <c r="L1747" s="2">
        <f>IF(B1747="","",IFERROR(INT((MATCH(B1747,Teknikere,0)-1)/18)+1,""))</f>
        <v/>
      </c>
      <c r="M1747" s="2">
        <f>IF(OR(A1747="",B1747=""),"",B1747&amp;"|"&amp;A1747)</f>
        <v/>
      </c>
      <c r="N1747" s="2">
        <f>IF(M1747="","",SUMIFS(TF_Timer,TF_Nokkel,M1747,TF_Akt,C1747))</f>
        <v/>
      </c>
      <c r="O1747" s="2">
        <f>IF(M1747="","",IF(AND(N1747=_xlfn.MAXIFS(TF_AktSum,TF_Nokkel,M1747),COUNTIFS(M$3:M1746,M1747,N$3:N1746,N1747)=0),M1747,""))</f>
        <v/>
      </c>
    </row>
    <row r="1748">
      <c r="A1748" s="34" t="n"/>
      <c r="B1748" s="35" t="n"/>
      <c r="C1748" s="35" t="n"/>
      <c r="D1748" s="35" t="n"/>
      <c r="E1748" s="35" t="n"/>
      <c r="F1748" s="36" t="n"/>
      <c r="G1748" s="35" t="n"/>
      <c r="H1748" s="30">
        <f>IF(L1748="","",INDEX(SkiftNavn,L1748))</f>
        <v/>
      </c>
      <c r="I1748" s="30">
        <f>IF(OR(A1748="",L1748=""),"",IF(MOD(A1748-INDEX(SkiftStart,L1748),Syklus)&lt;DagK,"Kveld",IF(MOD(A1748-INDEX(SkiftStart,L1748),Syklus)&lt;DagK+DagH,"Helg",IF(MOD(A1748-INDEX(SkiftStart,L1748),Syklus)&lt;DagK+DagH+DagD,"Dag","Fri"))))</f>
        <v/>
      </c>
      <c r="J1748" s="30">
        <f>IF(I1748="Fri","Ja","")</f>
        <v/>
      </c>
      <c r="K1748" s="30">
        <f>IF(B1748="","",IF(L1748="","Ukjent tekniker",IF(ISNA(MATCH(C1748,Aktiviteter,0)),"Ukjent aktivitet",IF(AND(INDEX(AktRolle,MATCH(C1748,Aktiviteter,0))&amp;""&lt;&gt;"",ISERROR(SEARCH(INDEX(AktRolle,MATCH(C1748,Aktiviteter,0))&amp;"",INDEX(TekRoller,MATCH(B1748,Teknikere,0))))),"Mangler rollen "&amp;INDEX(AktRolle,MATCH(C1748,Aktiviteter,0))&amp;"",IF(AND(C1748="LMS",F1748&gt;0,OR(D1748="",E1748="")),"Mangler maskin eller arbeid",IF(AND(OR(C1748="LMS",C1748="Mod"),D1748&lt;&gt;""),IF(IFERROR(INDEX(MaskinStatus,MATCH(D1748,Maskiner,0)),"")="I dokk","","Maskinen er ikke i dokk"),""))))))</f>
        <v/>
      </c>
      <c r="L1748" s="2">
        <f>IF(B1748="","",IFERROR(INT((MATCH(B1748,Teknikere,0)-1)/18)+1,""))</f>
        <v/>
      </c>
      <c r="M1748" s="2">
        <f>IF(OR(A1748="",B1748=""),"",B1748&amp;"|"&amp;A1748)</f>
        <v/>
      </c>
      <c r="N1748" s="2">
        <f>IF(M1748="","",SUMIFS(TF_Timer,TF_Nokkel,M1748,TF_Akt,C1748))</f>
        <v/>
      </c>
      <c r="O1748" s="2">
        <f>IF(M1748="","",IF(AND(N1748=_xlfn.MAXIFS(TF_AktSum,TF_Nokkel,M1748),COUNTIFS(M$3:M1747,M1748,N$3:N1747,N1748)=0),M1748,""))</f>
        <v/>
      </c>
    </row>
    <row r="1749">
      <c r="A1749" s="34" t="n"/>
      <c r="B1749" s="35" t="n"/>
      <c r="C1749" s="35" t="n"/>
      <c r="D1749" s="35" t="n"/>
      <c r="E1749" s="35" t="n"/>
      <c r="F1749" s="36" t="n"/>
      <c r="G1749" s="35" t="n"/>
      <c r="H1749" s="30">
        <f>IF(L1749="","",INDEX(SkiftNavn,L1749))</f>
        <v/>
      </c>
      <c r="I1749" s="30">
        <f>IF(OR(A1749="",L1749=""),"",IF(MOD(A1749-INDEX(SkiftStart,L1749),Syklus)&lt;DagK,"Kveld",IF(MOD(A1749-INDEX(SkiftStart,L1749),Syklus)&lt;DagK+DagH,"Helg",IF(MOD(A1749-INDEX(SkiftStart,L1749),Syklus)&lt;DagK+DagH+DagD,"Dag","Fri"))))</f>
        <v/>
      </c>
      <c r="J1749" s="30">
        <f>IF(I1749="Fri","Ja","")</f>
        <v/>
      </c>
      <c r="K1749" s="30">
        <f>IF(B1749="","",IF(L1749="","Ukjent tekniker",IF(ISNA(MATCH(C1749,Aktiviteter,0)),"Ukjent aktivitet",IF(AND(INDEX(AktRolle,MATCH(C1749,Aktiviteter,0))&amp;""&lt;&gt;"",ISERROR(SEARCH(INDEX(AktRolle,MATCH(C1749,Aktiviteter,0))&amp;"",INDEX(TekRoller,MATCH(B1749,Teknikere,0))))),"Mangler rollen "&amp;INDEX(AktRolle,MATCH(C1749,Aktiviteter,0))&amp;"",IF(AND(C1749="LMS",F1749&gt;0,OR(D1749="",E1749="")),"Mangler maskin eller arbeid",IF(AND(OR(C1749="LMS",C1749="Mod"),D1749&lt;&gt;""),IF(IFERROR(INDEX(MaskinStatus,MATCH(D1749,Maskiner,0)),"")="I dokk","","Maskinen er ikke i dokk"),""))))))</f>
        <v/>
      </c>
      <c r="L1749" s="2">
        <f>IF(B1749="","",IFERROR(INT((MATCH(B1749,Teknikere,0)-1)/18)+1,""))</f>
        <v/>
      </c>
      <c r="M1749" s="2">
        <f>IF(OR(A1749="",B1749=""),"",B1749&amp;"|"&amp;A1749)</f>
        <v/>
      </c>
      <c r="N1749" s="2">
        <f>IF(M1749="","",SUMIFS(TF_Timer,TF_Nokkel,M1749,TF_Akt,C1749))</f>
        <v/>
      </c>
      <c r="O1749" s="2">
        <f>IF(M1749="","",IF(AND(N1749=_xlfn.MAXIFS(TF_AktSum,TF_Nokkel,M1749),COUNTIFS(M$3:M1748,M1749,N$3:N1748,N1749)=0),M1749,""))</f>
        <v/>
      </c>
    </row>
    <row r="1750">
      <c r="A1750" s="34" t="n"/>
      <c r="B1750" s="35" t="n"/>
      <c r="C1750" s="35" t="n"/>
      <c r="D1750" s="35" t="n"/>
      <c r="E1750" s="35" t="n"/>
      <c r="F1750" s="36" t="n"/>
      <c r="G1750" s="35" t="n"/>
      <c r="H1750" s="30">
        <f>IF(L1750="","",INDEX(SkiftNavn,L1750))</f>
        <v/>
      </c>
      <c r="I1750" s="30">
        <f>IF(OR(A1750="",L1750=""),"",IF(MOD(A1750-INDEX(SkiftStart,L1750),Syklus)&lt;DagK,"Kveld",IF(MOD(A1750-INDEX(SkiftStart,L1750),Syklus)&lt;DagK+DagH,"Helg",IF(MOD(A1750-INDEX(SkiftStart,L1750),Syklus)&lt;DagK+DagH+DagD,"Dag","Fri"))))</f>
        <v/>
      </c>
      <c r="J1750" s="30">
        <f>IF(I1750="Fri","Ja","")</f>
        <v/>
      </c>
      <c r="K1750" s="30">
        <f>IF(B1750="","",IF(L1750="","Ukjent tekniker",IF(ISNA(MATCH(C1750,Aktiviteter,0)),"Ukjent aktivitet",IF(AND(INDEX(AktRolle,MATCH(C1750,Aktiviteter,0))&amp;""&lt;&gt;"",ISERROR(SEARCH(INDEX(AktRolle,MATCH(C1750,Aktiviteter,0))&amp;"",INDEX(TekRoller,MATCH(B1750,Teknikere,0))))),"Mangler rollen "&amp;INDEX(AktRolle,MATCH(C1750,Aktiviteter,0))&amp;"",IF(AND(C1750="LMS",F1750&gt;0,OR(D1750="",E1750="")),"Mangler maskin eller arbeid",IF(AND(OR(C1750="LMS",C1750="Mod"),D1750&lt;&gt;""),IF(IFERROR(INDEX(MaskinStatus,MATCH(D1750,Maskiner,0)),"")="I dokk","","Maskinen er ikke i dokk"),""))))))</f>
        <v/>
      </c>
      <c r="L1750" s="2">
        <f>IF(B1750="","",IFERROR(INT((MATCH(B1750,Teknikere,0)-1)/18)+1,""))</f>
        <v/>
      </c>
      <c r="M1750" s="2">
        <f>IF(OR(A1750="",B1750=""),"",B1750&amp;"|"&amp;A1750)</f>
        <v/>
      </c>
      <c r="N1750" s="2">
        <f>IF(M1750="","",SUMIFS(TF_Timer,TF_Nokkel,M1750,TF_Akt,C1750))</f>
        <v/>
      </c>
      <c r="O1750" s="2">
        <f>IF(M1750="","",IF(AND(N1750=_xlfn.MAXIFS(TF_AktSum,TF_Nokkel,M1750),COUNTIFS(M$3:M1749,M1750,N$3:N1749,N1750)=0),M1750,""))</f>
        <v/>
      </c>
    </row>
    <row r="1751">
      <c r="A1751" s="34" t="n"/>
      <c r="B1751" s="35" t="n"/>
      <c r="C1751" s="35" t="n"/>
      <c r="D1751" s="35" t="n"/>
      <c r="E1751" s="35" t="n"/>
      <c r="F1751" s="36" t="n"/>
      <c r="G1751" s="35" t="n"/>
      <c r="H1751" s="30">
        <f>IF(L1751="","",INDEX(SkiftNavn,L1751))</f>
        <v/>
      </c>
      <c r="I1751" s="30">
        <f>IF(OR(A1751="",L1751=""),"",IF(MOD(A1751-INDEX(SkiftStart,L1751),Syklus)&lt;DagK,"Kveld",IF(MOD(A1751-INDEX(SkiftStart,L1751),Syklus)&lt;DagK+DagH,"Helg",IF(MOD(A1751-INDEX(SkiftStart,L1751),Syklus)&lt;DagK+DagH+DagD,"Dag","Fri"))))</f>
        <v/>
      </c>
      <c r="J1751" s="30">
        <f>IF(I1751="Fri","Ja","")</f>
        <v/>
      </c>
      <c r="K1751" s="30">
        <f>IF(B1751="","",IF(L1751="","Ukjent tekniker",IF(ISNA(MATCH(C1751,Aktiviteter,0)),"Ukjent aktivitet",IF(AND(INDEX(AktRolle,MATCH(C1751,Aktiviteter,0))&amp;""&lt;&gt;"",ISERROR(SEARCH(INDEX(AktRolle,MATCH(C1751,Aktiviteter,0))&amp;"",INDEX(TekRoller,MATCH(B1751,Teknikere,0))))),"Mangler rollen "&amp;INDEX(AktRolle,MATCH(C1751,Aktiviteter,0))&amp;"",IF(AND(C1751="LMS",F1751&gt;0,OR(D1751="",E1751="")),"Mangler maskin eller arbeid",IF(AND(OR(C1751="LMS",C1751="Mod"),D1751&lt;&gt;""),IF(IFERROR(INDEX(MaskinStatus,MATCH(D1751,Maskiner,0)),"")="I dokk","","Maskinen er ikke i dokk"),""))))))</f>
        <v/>
      </c>
      <c r="L1751" s="2">
        <f>IF(B1751="","",IFERROR(INT((MATCH(B1751,Teknikere,0)-1)/18)+1,""))</f>
        <v/>
      </c>
      <c r="M1751" s="2">
        <f>IF(OR(A1751="",B1751=""),"",B1751&amp;"|"&amp;A1751)</f>
        <v/>
      </c>
      <c r="N1751" s="2">
        <f>IF(M1751="","",SUMIFS(TF_Timer,TF_Nokkel,M1751,TF_Akt,C1751))</f>
        <v/>
      </c>
      <c r="O1751" s="2">
        <f>IF(M1751="","",IF(AND(N1751=_xlfn.MAXIFS(TF_AktSum,TF_Nokkel,M1751),COUNTIFS(M$3:M1750,M1751,N$3:N1750,N1751)=0),M1751,""))</f>
        <v/>
      </c>
    </row>
    <row r="1752">
      <c r="A1752" s="34" t="n"/>
      <c r="B1752" s="35" t="n"/>
      <c r="C1752" s="35" t="n"/>
      <c r="D1752" s="35" t="n"/>
      <c r="E1752" s="35" t="n"/>
      <c r="F1752" s="36" t="n"/>
      <c r="G1752" s="35" t="n"/>
      <c r="H1752" s="30">
        <f>IF(L1752="","",INDEX(SkiftNavn,L1752))</f>
        <v/>
      </c>
      <c r="I1752" s="30">
        <f>IF(OR(A1752="",L1752=""),"",IF(MOD(A1752-INDEX(SkiftStart,L1752),Syklus)&lt;DagK,"Kveld",IF(MOD(A1752-INDEX(SkiftStart,L1752),Syklus)&lt;DagK+DagH,"Helg",IF(MOD(A1752-INDEX(SkiftStart,L1752),Syklus)&lt;DagK+DagH+DagD,"Dag","Fri"))))</f>
        <v/>
      </c>
      <c r="J1752" s="30">
        <f>IF(I1752="Fri","Ja","")</f>
        <v/>
      </c>
      <c r="K1752" s="30">
        <f>IF(B1752="","",IF(L1752="","Ukjent tekniker",IF(ISNA(MATCH(C1752,Aktiviteter,0)),"Ukjent aktivitet",IF(AND(INDEX(AktRolle,MATCH(C1752,Aktiviteter,0))&amp;""&lt;&gt;"",ISERROR(SEARCH(INDEX(AktRolle,MATCH(C1752,Aktiviteter,0))&amp;"",INDEX(TekRoller,MATCH(B1752,Teknikere,0))))),"Mangler rollen "&amp;INDEX(AktRolle,MATCH(C1752,Aktiviteter,0))&amp;"",IF(AND(C1752="LMS",F1752&gt;0,OR(D1752="",E1752="")),"Mangler maskin eller arbeid",IF(AND(OR(C1752="LMS",C1752="Mod"),D1752&lt;&gt;""),IF(IFERROR(INDEX(MaskinStatus,MATCH(D1752,Maskiner,0)),"")="I dokk","","Maskinen er ikke i dokk"),""))))))</f>
        <v/>
      </c>
      <c r="L1752" s="2">
        <f>IF(B1752="","",IFERROR(INT((MATCH(B1752,Teknikere,0)-1)/18)+1,""))</f>
        <v/>
      </c>
      <c r="M1752" s="2">
        <f>IF(OR(A1752="",B1752=""),"",B1752&amp;"|"&amp;A1752)</f>
        <v/>
      </c>
      <c r="N1752" s="2">
        <f>IF(M1752="","",SUMIFS(TF_Timer,TF_Nokkel,M1752,TF_Akt,C1752))</f>
        <v/>
      </c>
      <c r="O1752" s="2">
        <f>IF(M1752="","",IF(AND(N1752=_xlfn.MAXIFS(TF_AktSum,TF_Nokkel,M1752),COUNTIFS(M$3:M1751,M1752,N$3:N1751,N1752)=0),M1752,""))</f>
        <v/>
      </c>
    </row>
    <row r="1753">
      <c r="A1753" s="34" t="n"/>
      <c r="B1753" s="35" t="n"/>
      <c r="C1753" s="35" t="n"/>
      <c r="D1753" s="35" t="n"/>
      <c r="E1753" s="35" t="n"/>
      <c r="F1753" s="36" t="n"/>
      <c r="G1753" s="35" t="n"/>
      <c r="H1753" s="30">
        <f>IF(L1753="","",INDEX(SkiftNavn,L1753))</f>
        <v/>
      </c>
      <c r="I1753" s="30">
        <f>IF(OR(A1753="",L1753=""),"",IF(MOD(A1753-INDEX(SkiftStart,L1753),Syklus)&lt;DagK,"Kveld",IF(MOD(A1753-INDEX(SkiftStart,L1753),Syklus)&lt;DagK+DagH,"Helg",IF(MOD(A1753-INDEX(SkiftStart,L1753),Syklus)&lt;DagK+DagH+DagD,"Dag","Fri"))))</f>
        <v/>
      </c>
      <c r="J1753" s="30">
        <f>IF(I1753="Fri","Ja","")</f>
        <v/>
      </c>
      <c r="K1753" s="30">
        <f>IF(B1753="","",IF(L1753="","Ukjent tekniker",IF(ISNA(MATCH(C1753,Aktiviteter,0)),"Ukjent aktivitet",IF(AND(INDEX(AktRolle,MATCH(C1753,Aktiviteter,0))&amp;""&lt;&gt;"",ISERROR(SEARCH(INDEX(AktRolle,MATCH(C1753,Aktiviteter,0))&amp;"",INDEX(TekRoller,MATCH(B1753,Teknikere,0))))),"Mangler rollen "&amp;INDEX(AktRolle,MATCH(C1753,Aktiviteter,0))&amp;"",IF(AND(C1753="LMS",F1753&gt;0,OR(D1753="",E1753="")),"Mangler maskin eller arbeid",IF(AND(OR(C1753="LMS",C1753="Mod"),D1753&lt;&gt;""),IF(IFERROR(INDEX(MaskinStatus,MATCH(D1753,Maskiner,0)),"")="I dokk","","Maskinen er ikke i dokk"),""))))))</f>
        <v/>
      </c>
      <c r="L1753" s="2">
        <f>IF(B1753="","",IFERROR(INT((MATCH(B1753,Teknikere,0)-1)/18)+1,""))</f>
        <v/>
      </c>
      <c r="M1753" s="2">
        <f>IF(OR(A1753="",B1753=""),"",B1753&amp;"|"&amp;A1753)</f>
        <v/>
      </c>
      <c r="N1753" s="2">
        <f>IF(M1753="","",SUMIFS(TF_Timer,TF_Nokkel,M1753,TF_Akt,C1753))</f>
        <v/>
      </c>
      <c r="O1753" s="2">
        <f>IF(M1753="","",IF(AND(N1753=_xlfn.MAXIFS(TF_AktSum,TF_Nokkel,M1753),COUNTIFS(M$3:M1752,M1753,N$3:N1752,N1753)=0),M1753,""))</f>
        <v/>
      </c>
    </row>
    <row r="1754">
      <c r="A1754" s="34" t="n"/>
      <c r="B1754" s="35" t="n"/>
      <c r="C1754" s="35" t="n"/>
      <c r="D1754" s="35" t="n"/>
      <c r="E1754" s="35" t="n"/>
      <c r="F1754" s="36" t="n"/>
      <c r="G1754" s="35" t="n"/>
      <c r="H1754" s="30">
        <f>IF(L1754="","",INDEX(SkiftNavn,L1754))</f>
        <v/>
      </c>
      <c r="I1754" s="30">
        <f>IF(OR(A1754="",L1754=""),"",IF(MOD(A1754-INDEX(SkiftStart,L1754),Syklus)&lt;DagK,"Kveld",IF(MOD(A1754-INDEX(SkiftStart,L1754),Syklus)&lt;DagK+DagH,"Helg",IF(MOD(A1754-INDEX(SkiftStart,L1754),Syklus)&lt;DagK+DagH+DagD,"Dag","Fri"))))</f>
        <v/>
      </c>
      <c r="J1754" s="30">
        <f>IF(I1754="Fri","Ja","")</f>
        <v/>
      </c>
      <c r="K1754" s="30">
        <f>IF(B1754="","",IF(L1754="","Ukjent tekniker",IF(ISNA(MATCH(C1754,Aktiviteter,0)),"Ukjent aktivitet",IF(AND(INDEX(AktRolle,MATCH(C1754,Aktiviteter,0))&amp;""&lt;&gt;"",ISERROR(SEARCH(INDEX(AktRolle,MATCH(C1754,Aktiviteter,0))&amp;"",INDEX(TekRoller,MATCH(B1754,Teknikere,0))))),"Mangler rollen "&amp;INDEX(AktRolle,MATCH(C1754,Aktiviteter,0))&amp;"",IF(AND(C1754="LMS",F1754&gt;0,OR(D1754="",E1754="")),"Mangler maskin eller arbeid",IF(AND(OR(C1754="LMS",C1754="Mod"),D1754&lt;&gt;""),IF(IFERROR(INDEX(MaskinStatus,MATCH(D1754,Maskiner,0)),"")="I dokk","","Maskinen er ikke i dokk"),""))))))</f>
        <v/>
      </c>
      <c r="L1754" s="2">
        <f>IF(B1754="","",IFERROR(INT((MATCH(B1754,Teknikere,0)-1)/18)+1,""))</f>
        <v/>
      </c>
      <c r="M1754" s="2">
        <f>IF(OR(A1754="",B1754=""),"",B1754&amp;"|"&amp;A1754)</f>
        <v/>
      </c>
      <c r="N1754" s="2">
        <f>IF(M1754="","",SUMIFS(TF_Timer,TF_Nokkel,M1754,TF_Akt,C1754))</f>
        <v/>
      </c>
      <c r="O1754" s="2">
        <f>IF(M1754="","",IF(AND(N1754=_xlfn.MAXIFS(TF_AktSum,TF_Nokkel,M1754),COUNTIFS(M$3:M1753,M1754,N$3:N1753,N1754)=0),M1754,""))</f>
        <v/>
      </c>
    </row>
    <row r="1755">
      <c r="A1755" s="34" t="n"/>
      <c r="B1755" s="35" t="n"/>
      <c r="C1755" s="35" t="n"/>
      <c r="D1755" s="35" t="n"/>
      <c r="E1755" s="35" t="n"/>
      <c r="F1755" s="36" t="n"/>
      <c r="G1755" s="35" t="n"/>
      <c r="H1755" s="30">
        <f>IF(L1755="","",INDEX(SkiftNavn,L1755))</f>
        <v/>
      </c>
      <c r="I1755" s="30">
        <f>IF(OR(A1755="",L1755=""),"",IF(MOD(A1755-INDEX(SkiftStart,L1755),Syklus)&lt;DagK,"Kveld",IF(MOD(A1755-INDEX(SkiftStart,L1755),Syklus)&lt;DagK+DagH,"Helg",IF(MOD(A1755-INDEX(SkiftStart,L1755),Syklus)&lt;DagK+DagH+DagD,"Dag","Fri"))))</f>
        <v/>
      </c>
      <c r="J1755" s="30">
        <f>IF(I1755="Fri","Ja","")</f>
        <v/>
      </c>
      <c r="K1755" s="30">
        <f>IF(B1755="","",IF(L1755="","Ukjent tekniker",IF(ISNA(MATCH(C1755,Aktiviteter,0)),"Ukjent aktivitet",IF(AND(INDEX(AktRolle,MATCH(C1755,Aktiviteter,0))&amp;""&lt;&gt;"",ISERROR(SEARCH(INDEX(AktRolle,MATCH(C1755,Aktiviteter,0))&amp;"",INDEX(TekRoller,MATCH(B1755,Teknikere,0))))),"Mangler rollen "&amp;INDEX(AktRolle,MATCH(C1755,Aktiviteter,0))&amp;"",IF(AND(C1755="LMS",F1755&gt;0,OR(D1755="",E1755="")),"Mangler maskin eller arbeid",IF(AND(OR(C1755="LMS",C1755="Mod"),D1755&lt;&gt;""),IF(IFERROR(INDEX(MaskinStatus,MATCH(D1755,Maskiner,0)),"")="I dokk","","Maskinen er ikke i dokk"),""))))))</f>
        <v/>
      </c>
      <c r="L1755" s="2">
        <f>IF(B1755="","",IFERROR(INT((MATCH(B1755,Teknikere,0)-1)/18)+1,""))</f>
        <v/>
      </c>
      <c r="M1755" s="2">
        <f>IF(OR(A1755="",B1755=""),"",B1755&amp;"|"&amp;A1755)</f>
        <v/>
      </c>
      <c r="N1755" s="2">
        <f>IF(M1755="","",SUMIFS(TF_Timer,TF_Nokkel,M1755,TF_Akt,C1755))</f>
        <v/>
      </c>
      <c r="O1755" s="2">
        <f>IF(M1755="","",IF(AND(N1755=_xlfn.MAXIFS(TF_AktSum,TF_Nokkel,M1755),COUNTIFS(M$3:M1754,M1755,N$3:N1754,N1755)=0),M1755,""))</f>
        <v/>
      </c>
    </row>
    <row r="1756">
      <c r="A1756" s="34" t="n"/>
      <c r="B1756" s="35" t="n"/>
      <c r="C1756" s="35" t="n"/>
      <c r="D1756" s="35" t="n"/>
      <c r="E1756" s="35" t="n"/>
      <c r="F1756" s="36" t="n"/>
      <c r="G1756" s="35" t="n"/>
      <c r="H1756" s="30">
        <f>IF(L1756="","",INDEX(SkiftNavn,L1756))</f>
        <v/>
      </c>
      <c r="I1756" s="30">
        <f>IF(OR(A1756="",L1756=""),"",IF(MOD(A1756-INDEX(SkiftStart,L1756),Syklus)&lt;DagK,"Kveld",IF(MOD(A1756-INDEX(SkiftStart,L1756),Syklus)&lt;DagK+DagH,"Helg",IF(MOD(A1756-INDEX(SkiftStart,L1756),Syklus)&lt;DagK+DagH+DagD,"Dag","Fri"))))</f>
        <v/>
      </c>
      <c r="J1756" s="30">
        <f>IF(I1756="Fri","Ja","")</f>
        <v/>
      </c>
      <c r="K1756" s="30">
        <f>IF(B1756="","",IF(L1756="","Ukjent tekniker",IF(ISNA(MATCH(C1756,Aktiviteter,0)),"Ukjent aktivitet",IF(AND(INDEX(AktRolle,MATCH(C1756,Aktiviteter,0))&amp;""&lt;&gt;"",ISERROR(SEARCH(INDEX(AktRolle,MATCH(C1756,Aktiviteter,0))&amp;"",INDEX(TekRoller,MATCH(B1756,Teknikere,0))))),"Mangler rollen "&amp;INDEX(AktRolle,MATCH(C1756,Aktiviteter,0))&amp;"",IF(AND(C1756="LMS",F1756&gt;0,OR(D1756="",E1756="")),"Mangler maskin eller arbeid",IF(AND(OR(C1756="LMS",C1756="Mod"),D1756&lt;&gt;""),IF(IFERROR(INDEX(MaskinStatus,MATCH(D1756,Maskiner,0)),"")="I dokk","","Maskinen er ikke i dokk"),""))))))</f>
        <v/>
      </c>
      <c r="L1756" s="2">
        <f>IF(B1756="","",IFERROR(INT((MATCH(B1756,Teknikere,0)-1)/18)+1,""))</f>
        <v/>
      </c>
      <c r="M1756" s="2">
        <f>IF(OR(A1756="",B1756=""),"",B1756&amp;"|"&amp;A1756)</f>
        <v/>
      </c>
      <c r="N1756" s="2">
        <f>IF(M1756="","",SUMIFS(TF_Timer,TF_Nokkel,M1756,TF_Akt,C1756))</f>
        <v/>
      </c>
      <c r="O1756" s="2">
        <f>IF(M1756="","",IF(AND(N1756=_xlfn.MAXIFS(TF_AktSum,TF_Nokkel,M1756),COUNTIFS(M$3:M1755,M1756,N$3:N1755,N1756)=0),M1756,""))</f>
        <v/>
      </c>
    </row>
    <row r="1757">
      <c r="A1757" s="34" t="n"/>
      <c r="B1757" s="35" t="n"/>
      <c r="C1757" s="35" t="n"/>
      <c r="D1757" s="35" t="n"/>
      <c r="E1757" s="35" t="n"/>
      <c r="F1757" s="36" t="n"/>
      <c r="G1757" s="35" t="n"/>
      <c r="H1757" s="30">
        <f>IF(L1757="","",INDEX(SkiftNavn,L1757))</f>
        <v/>
      </c>
      <c r="I1757" s="30">
        <f>IF(OR(A1757="",L1757=""),"",IF(MOD(A1757-INDEX(SkiftStart,L1757),Syklus)&lt;DagK,"Kveld",IF(MOD(A1757-INDEX(SkiftStart,L1757),Syklus)&lt;DagK+DagH,"Helg",IF(MOD(A1757-INDEX(SkiftStart,L1757),Syklus)&lt;DagK+DagH+DagD,"Dag","Fri"))))</f>
        <v/>
      </c>
      <c r="J1757" s="30">
        <f>IF(I1757="Fri","Ja","")</f>
        <v/>
      </c>
      <c r="K1757" s="30">
        <f>IF(B1757="","",IF(L1757="","Ukjent tekniker",IF(ISNA(MATCH(C1757,Aktiviteter,0)),"Ukjent aktivitet",IF(AND(INDEX(AktRolle,MATCH(C1757,Aktiviteter,0))&amp;""&lt;&gt;"",ISERROR(SEARCH(INDEX(AktRolle,MATCH(C1757,Aktiviteter,0))&amp;"",INDEX(TekRoller,MATCH(B1757,Teknikere,0))))),"Mangler rollen "&amp;INDEX(AktRolle,MATCH(C1757,Aktiviteter,0))&amp;"",IF(AND(C1757="LMS",F1757&gt;0,OR(D1757="",E1757="")),"Mangler maskin eller arbeid",IF(AND(OR(C1757="LMS",C1757="Mod"),D1757&lt;&gt;""),IF(IFERROR(INDEX(MaskinStatus,MATCH(D1757,Maskiner,0)),"")="I dokk","","Maskinen er ikke i dokk"),""))))))</f>
        <v/>
      </c>
      <c r="L1757" s="2">
        <f>IF(B1757="","",IFERROR(INT((MATCH(B1757,Teknikere,0)-1)/18)+1,""))</f>
        <v/>
      </c>
      <c r="M1757" s="2">
        <f>IF(OR(A1757="",B1757=""),"",B1757&amp;"|"&amp;A1757)</f>
        <v/>
      </c>
      <c r="N1757" s="2">
        <f>IF(M1757="","",SUMIFS(TF_Timer,TF_Nokkel,M1757,TF_Akt,C1757))</f>
        <v/>
      </c>
      <c r="O1757" s="2">
        <f>IF(M1757="","",IF(AND(N1757=_xlfn.MAXIFS(TF_AktSum,TF_Nokkel,M1757),COUNTIFS(M$3:M1756,M1757,N$3:N1756,N1757)=0),M1757,""))</f>
        <v/>
      </c>
    </row>
    <row r="1758">
      <c r="A1758" s="34" t="n"/>
      <c r="B1758" s="35" t="n"/>
      <c r="C1758" s="35" t="n"/>
      <c r="D1758" s="35" t="n"/>
      <c r="E1758" s="35" t="n"/>
      <c r="F1758" s="36" t="n"/>
      <c r="G1758" s="35" t="n"/>
      <c r="H1758" s="30">
        <f>IF(L1758="","",INDEX(SkiftNavn,L1758))</f>
        <v/>
      </c>
      <c r="I1758" s="30">
        <f>IF(OR(A1758="",L1758=""),"",IF(MOD(A1758-INDEX(SkiftStart,L1758),Syklus)&lt;DagK,"Kveld",IF(MOD(A1758-INDEX(SkiftStart,L1758),Syklus)&lt;DagK+DagH,"Helg",IF(MOD(A1758-INDEX(SkiftStart,L1758),Syklus)&lt;DagK+DagH+DagD,"Dag","Fri"))))</f>
        <v/>
      </c>
      <c r="J1758" s="30">
        <f>IF(I1758="Fri","Ja","")</f>
        <v/>
      </c>
      <c r="K1758" s="30">
        <f>IF(B1758="","",IF(L1758="","Ukjent tekniker",IF(ISNA(MATCH(C1758,Aktiviteter,0)),"Ukjent aktivitet",IF(AND(INDEX(AktRolle,MATCH(C1758,Aktiviteter,0))&amp;""&lt;&gt;"",ISERROR(SEARCH(INDEX(AktRolle,MATCH(C1758,Aktiviteter,0))&amp;"",INDEX(TekRoller,MATCH(B1758,Teknikere,0))))),"Mangler rollen "&amp;INDEX(AktRolle,MATCH(C1758,Aktiviteter,0))&amp;"",IF(AND(C1758="LMS",F1758&gt;0,OR(D1758="",E1758="")),"Mangler maskin eller arbeid",IF(AND(OR(C1758="LMS",C1758="Mod"),D1758&lt;&gt;""),IF(IFERROR(INDEX(MaskinStatus,MATCH(D1758,Maskiner,0)),"")="I dokk","","Maskinen er ikke i dokk"),""))))))</f>
        <v/>
      </c>
      <c r="L1758" s="2">
        <f>IF(B1758="","",IFERROR(INT((MATCH(B1758,Teknikere,0)-1)/18)+1,""))</f>
        <v/>
      </c>
      <c r="M1758" s="2">
        <f>IF(OR(A1758="",B1758=""),"",B1758&amp;"|"&amp;A1758)</f>
        <v/>
      </c>
      <c r="N1758" s="2">
        <f>IF(M1758="","",SUMIFS(TF_Timer,TF_Nokkel,M1758,TF_Akt,C1758))</f>
        <v/>
      </c>
      <c r="O1758" s="2">
        <f>IF(M1758="","",IF(AND(N1758=_xlfn.MAXIFS(TF_AktSum,TF_Nokkel,M1758),COUNTIFS(M$3:M1757,M1758,N$3:N1757,N1758)=0),M1758,""))</f>
        <v/>
      </c>
    </row>
    <row r="1759">
      <c r="A1759" s="34" t="n"/>
      <c r="B1759" s="35" t="n"/>
      <c r="C1759" s="35" t="n"/>
      <c r="D1759" s="35" t="n"/>
      <c r="E1759" s="35" t="n"/>
      <c r="F1759" s="36" t="n"/>
      <c r="G1759" s="35" t="n"/>
      <c r="H1759" s="30">
        <f>IF(L1759="","",INDEX(SkiftNavn,L1759))</f>
        <v/>
      </c>
      <c r="I1759" s="30">
        <f>IF(OR(A1759="",L1759=""),"",IF(MOD(A1759-INDEX(SkiftStart,L1759),Syklus)&lt;DagK,"Kveld",IF(MOD(A1759-INDEX(SkiftStart,L1759),Syklus)&lt;DagK+DagH,"Helg",IF(MOD(A1759-INDEX(SkiftStart,L1759),Syklus)&lt;DagK+DagH+DagD,"Dag","Fri"))))</f>
        <v/>
      </c>
      <c r="J1759" s="30">
        <f>IF(I1759="Fri","Ja","")</f>
        <v/>
      </c>
      <c r="K1759" s="30">
        <f>IF(B1759="","",IF(L1759="","Ukjent tekniker",IF(ISNA(MATCH(C1759,Aktiviteter,0)),"Ukjent aktivitet",IF(AND(INDEX(AktRolle,MATCH(C1759,Aktiviteter,0))&amp;""&lt;&gt;"",ISERROR(SEARCH(INDEX(AktRolle,MATCH(C1759,Aktiviteter,0))&amp;"",INDEX(TekRoller,MATCH(B1759,Teknikere,0))))),"Mangler rollen "&amp;INDEX(AktRolle,MATCH(C1759,Aktiviteter,0))&amp;"",IF(AND(C1759="LMS",F1759&gt;0,OR(D1759="",E1759="")),"Mangler maskin eller arbeid",IF(AND(OR(C1759="LMS",C1759="Mod"),D1759&lt;&gt;""),IF(IFERROR(INDEX(MaskinStatus,MATCH(D1759,Maskiner,0)),"")="I dokk","","Maskinen er ikke i dokk"),""))))))</f>
        <v/>
      </c>
      <c r="L1759" s="2">
        <f>IF(B1759="","",IFERROR(INT((MATCH(B1759,Teknikere,0)-1)/18)+1,""))</f>
        <v/>
      </c>
      <c r="M1759" s="2">
        <f>IF(OR(A1759="",B1759=""),"",B1759&amp;"|"&amp;A1759)</f>
        <v/>
      </c>
      <c r="N1759" s="2">
        <f>IF(M1759="","",SUMIFS(TF_Timer,TF_Nokkel,M1759,TF_Akt,C1759))</f>
        <v/>
      </c>
      <c r="O1759" s="2">
        <f>IF(M1759="","",IF(AND(N1759=_xlfn.MAXIFS(TF_AktSum,TF_Nokkel,M1759),COUNTIFS(M$3:M1758,M1759,N$3:N1758,N1759)=0),M1759,""))</f>
        <v/>
      </c>
    </row>
    <row r="1760">
      <c r="A1760" s="34" t="n"/>
      <c r="B1760" s="35" t="n"/>
      <c r="C1760" s="35" t="n"/>
      <c r="D1760" s="35" t="n"/>
      <c r="E1760" s="35" t="n"/>
      <c r="F1760" s="36" t="n"/>
      <c r="G1760" s="35" t="n"/>
      <c r="H1760" s="30">
        <f>IF(L1760="","",INDEX(SkiftNavn,L1760))</f>
        <v/>
      </c>
      <c r="I1760" s="30">
        <f>IF(OR(A1760="",L1760=""),"",IF(MOD(A1760-INDEX(SkiftStart,L1760),Syklus)&lt;DagK,"Kveld",IF(MOD(A1760-INDEX(SkiftStart,L1760),Syklus)&lt;DagK+DagH,"Helg",IF(MOD(A1760-INDEX(SkiftStart,L1760),Syklus)&lt;DagK+DagH+DagD,"Dag","Fri"))))</f>
        <v/>
      </c>
      <c r="J1760" s="30">
        <f>IF(I1760="Fri","Ja","")</f>
        <v/>
      </c>
      <c r="K1760" s="30">
        <f>IF(B1760="","",IF(L1760="","Ukjent tekniker",IF(ISNA(MATCH(C1760,Aktiviteter,0)),"Ukjent aktivitet",IF(AND(INDEX(AktRolle,MATCH(C1760,Aktiviteter,0))&amp;""&lt;&gt;"",ISERROR(SEARCH(INDEX(AktRolle,MATCH(C1760,Aktiviteter,0))&amp;"",INDEX(TekRoller,MATCH(B1760,Teknikere,0))))),"Mangler rollen "&amp;INDEX(AktRolle,MATCH(C1760,Aktiviteter,0))&amp;"",IF(AND(C1760="LMS",F1760&gt;0,OR(D1760="",E1760="")),"Mangler maskin eller arbeid",IF(AND(OR(C1760="LMS",C1760="Mod"),D1760&lt;&gt;""),IF(IFERROR(INDEX(MaskinStatus,MATCH(D1760,Maskiner,0)),"")="I dokk","","Maskinen er ikke i dokk"),""))))))</f>
        <v/>
      </c>
      <c r="L1760" s="2">
        <f>IF(B1760="","",IFERROR(INT((MATCH(B1760,Teknikere,0)-1)/18)+1,""))</f>
        <v/>
      </c>
      <c r="M1760" s="2">
        <f>IF(OR(A1760="",B1760=""),"",B1760&amp;"|"&amp;A1760)</f>
        <v/>
      </c>
      <c r="N1760" s="2">
        <f>IF(M1760="","",SUMIFS(TF_Timer,TF_Nokkel,M1760,TF_Akt,C1760))</f>
        <v/>
      </c>
      <c r="O1760" s="2">
        <f>IF(M1760="","",IF(AND(N1760=_xlfn.MAXIFS(TF_AktSum,TF_Nokkel,M1760),COUNTIFS(M$3:M1759,M1760,N$3:N1759,N1760)=0),M1760,""))</f>
        <v/>
      </c>
    </row>
    <row r="1761">
      <c r="A1761" s="34" t="n"/>
      <c r="B1761" s="35" t="n"/>
      <c r="C1761" s="35" t="n"/>
      <c r="D1761" s="35" t="n"/>
      <c r="E1761" s="35" t="n"/>
      <c r="F1761" s="36" t="n"/>
      <c r="G1761" s="35" t="n"/>
      <c r="H1761" s="30">
        <f>IF(L1761="","",INDEX(SkiftNavn,L1761))</f>
        <v/>
      </c>
      <c r="I1761" s="30">
        <f>IF(OR(A1761="",L1761=""),"",IF(MOD(A1761-INDEX(SkiftStart,L1761),Syklus)&lt;DagK,"Kveld",IF(MOD(A1761-INDEX(SkiftStart,L1761),Syklus)&lt;DagK+DagH,"Helg",IF(MOD(A1761-INDEX(SkiftStart,L1761),Syklus)&lt;DagK+DagH+DagD,"Dag","Fri"))))</f>
        <v/>
      </c>
      <c r="J1761" s="30">
        <f>IF(I1761="Fri","Ja","")</f>
        <v/>
      </c>
      <c r="K1761" s="30">
        <f>IF(B1761="","",IF(L1761="","Ukjent tekniker",IF(ISNA(MATCH(C1761,Aktiviteter,0)),"Ukjent aktivitet",IF(AND(INDEX(AktRolle,MATCH(C1761,Aktiviteter,0))&amp;""&lt;&gt;"",ISERROR(SEARCH(INDEX(AktRolle,MATCH(C1761,Aktiviteter,0))&amp;"",INDEX(TekRoller,MATCH(B1761,Teknikere,0))))),"Mangler rollen "&amp;INDEX(AktRolle,MATCH(C1761,Aktiviteter,0))&amp;"",IF(AND(C1761="LMS",F1761&gt;0,OR(D1761="",E1761="")),"Mangler maskin eller arbeid",IF(AND(OR(C1761="LMS",C1761="Mod"),D1761&lt;&gt;""),IF(IFERROR(INDEX(MaskinStatus,MATCH(D1761,Maskiner,0)),"")="I dokk","","Maskinen er ikke i dokk"),""))))))</f>
        <v/>
      </c>
      <c r="L1761" s="2">
        <f>IF(B1761="","",IFERROR(INT((MATCH(B1761,Teknikere,0)-1)/18)+1,""))</f>
        <v/>
      </c>
      <c r="M1761" s="2">
        <f>IF(OR(A1761="",B1761=""),"",B1761&amp;"|"&amp;A1761)</f>
        <v/>
      </c>
      <c r="N1761" s="2">
        <f>IF(M1761="","",SUMIFS(TF_Timer,TF_Nokkel,M1761,TF_Akt,C1761))</f>
        <v/>
      </c>
      <c r="O1761" s="2">
        <f>IF(M1761="","",IF(AND(N1761=_xlfn.MAXIFS(TF_AktSum,TF_Nokkel,M1761),COUNTIFS(M$3:M1760,M1761,N$3:N1760,N1761)=0),M1761,""))</f>
        <v/>
      </c>
    </row>
    <row r="1762">
      <c r="A1762" s="34" t="n"/>
      <c r="B1762" s="35" t="n"/>
      <c r="C1762" s="35" t="n"/>
      <c r="D1762" s="35" t="n"/>
      <c r="E1762" s="35" t="n"/>
      <c r="F1762" s="36" t="n"/>
      <c r="G1762" s="35" t="n"/>
      <c r="H1762" s="30">
        <f>IF(L1762="","",INDEX(SkiftNavn,L1762))</f>
        <v/>
      </c>
      <c r="I1762" s="30">
        <f>IF(OR(A1762="",L1762=""),"",IF(MOD(A1762-INDEX(SkiftStart,L1762),Syklus)&lt;DagK,"Kveld",IF(MOD(A1762-INDEX(SkiftStart,L1762),Syklus)&lt;DagK+DagH,"Helg",IF(MOD(A1762-INDEX(SkiftStart,L1762),Syklus)&lt;DagK+DagH+DagD,"Dag","Fri"))))</f>
        <v/>
      </c>
      <c r="J1762" s="30">
        <f>IF(I1762="Fri","Ja","")</f>
        <v/>
      </c>
      <c r="K1762" s="30">
        <f>IF(B1762="","",IF(L1762="","Ukjent tekniker",IF(ISNA(MATCH(C1762,Aktiviteter,0)),"Ukjent aktivitet",IF(AND(INDEX(AktRolle,MATCH(C1762,Aktiviteter,0))&amp;""&lt;&gt;"",ISERROR(SEARCH(INDEX(AktRolle,MATCH(C1762,Aktiviteter,0))&amp;"",INDEX(TekRoller,MATCH(B1762,Teknikere,0))))),"Mangler rollen "&amp;INDEX(AktRolle,MATCH(C1762,Aktiviteter,0))&amp;"",IF(AND(C1762="LMS",F1762&gt;0,OR(D1762="",E1762="")),"Mangler maskin eller arbeid",IF(AND(OR(C1762="LMS",C1762="Mod"),D1762&lt;&gt;""),IF(IFERROR(INDEX(MaskinStatus,MATCH(D1762,Maskiner,0)),"")="I dokk","","Maskinen er ikke i dokk"),""))))))</f>
        <v/>
      </c>
      <c r="L1762" s="2">
        <f>IF(B1762="","",IFERROR(INT((MATCH(B1762,Teknikere,0)-1)/18)+1,""))</f>
        <v/>
      </c>
      <c r="M1762" s="2">
        <f>IF(OR(A1762="",B1762=""),"",B1762&amp;"|"&amp;A1762)</f>
        <v/>
      </c>
      <c r="N1762" s="2">
        <f>IF(M1762="","",SUMIFS(TF_Timer,TF_Nokkel,M1762,TF_Akt,C1762))</f>
        <v/>
      </c>
      <c r="O1762" s="2">
        <f>IF(M1762="","",IF(AND(N1762=_xlfn.MAXIFS(TF_AktSum,TF_Nokkel,M1762),COUNTIFS(M$3:M1761,M1762,N$3:N1761,N1762)=0),M1762,""))</f>
        <v/>
      </c>
    </row>
    <row r="1763">
      <c r="A1763" s="34" t="n"/>
      <c r="B1763" s="35" t="n"/>
      <c r="C1763" s="35" t="n"/>
      <c r="D1763" s="35" t="n"/>
      <c r="E1763" s="35" t="n"/>
      <c r="F1763" s="36" t="n"/>
      <c r="G1763" s="35" t="n"/>
      <c r="H1763" s="30">
        <f>IF(L1763="","",INDEX(SkiftNavn,L1763))</f>
        <v/>
      </c>
      <c r="I1763" s="30">
        <f>IF(OR(A1763="",L1763=""),"",IF(MOD(A1763-INDEX(SkiftStart,L1763),Syklus)&lt;DagK,"Kveld",IF(MOD(A1763-INDEX(SkiftStart,L1763),Syklus)&lt;DagK+DagH,"Helg",IF(MOD(A1763-INDEX(SkiftStart,L1763),Syklus)&lt;DagK+DagH+DagD,"Dag","Fri"))))</f>
        <v/>
      </c>
      <c r="J1763" s="30">
        <f>IF(I1763="Fri","Ja","")</f>
        <v/>
      </c>
      <c r="K1763" s="30">
        <f>IF(B1763="","",IF(L1763="","Ukjent tekniker",IF(ISNA(MATCH(C1763,Aktiviteter,0)),"Ukjent aktivitet",IF(AND(INDEX(AktRolle,MATCH(C1763,Aktiviteter,0))&amp;""&lt;&gt;"",ISERROR(SEARCH(INDEX(AktRolle,MATCH(C1763,Aktiviteter,0))&amp;"",INDEX(TekRoller,MATCH(B1763,Teknikere,0))))),"Mangler rollen "&amp;INDEX(AktRolle,MATCH(C1763,Aktiviteter,0))&amp;"",IF(AND(C1763="LMS",F1763&gt;0,OR(D1763="",E1763="")),"Mangler maskin eller arbeid",IF(AND(OR(C1763="LMS",C1763="Mod"),D1763&lt;&gt;""),IF(IFERROR(INDEX(MaskinStatus,MATCH(D1763,Maskiner,0)),"")="I dokk","","Maskinen er ikke i dokk"),""))))))</f>
        <v/>
      </c>
      <c r="L1763" s="2">
        <f>IF(B1763="","",IFERROR(INT((MATCH(B1763,Teknikere,0)-1)/18)+1,""))</f>
        <v/>
      </c>
      <c r="M1763" s="2">
        <f>IF(OR(A1763="",B1763=""),"",B1763&amp;"|"&amp;A1763)</f>
        <v/>
      </c>
      <c r="N1763" s="2">
        <f>IF(M1763="","",SUMIFS(TF_Timer,TF_Nokkel,M1763,TF_Akt,C1763))</f>
        <v/>
      </c>
      <c r="O1763" s="2">
        <f>IF(M1763="","",IF(AND(N1763=_xlfn.MAXIFS(TF_AktSum,TF_Nokkel,M1763),COUNTIFS(M$3:M1762,M1763,N$3:N1762,N1763)=0),M1763,""))</f>
        <v/>
      </c>
    </row>
    <row r="1764">
      <c r="A1764" s="34" t="n"/>
      <c r="B1764" s="35" t="n"/>
      <c r="C1764" s="35" t="n"/>
      <c r="D1764" s="35" t="n"/>
      <c r="E1764" s="35" t="n"/>
      <c r="F1764" s="36" t="n"/>
      <c r="G1764" s="35" t="n"/>
      <c r="H1764" s="30">
        <f>IF(L1764="","",INDEX(SkiftNavn,L1764))</f>
        <v/>
      </c>
      <c r="I1764" s="30">
        <f>IF(OR(A1764="",L1764=""),"",IF(MOD(A1764-INDEX(SkiftStart,L1764),Syklus)&lt;DagK,"Kveld",IF(MOD(A1764-INDEX(SkiftStart,L1764),Syklus)&lt;DagK+DagH,"Helg",IF(MOD(A1764-INDEX(SkiftStart,L1764),Syklus)&lt;DagK+DagH+DagD,"Dag","Fri"))))</f>
        <v/>
      </c>
      <c r="J1764" s="30">
        <f>IF(I1764="Fri","Ja","")</f>
        <v/>
      </c>
      <c r="K1764" s="30">
        <f>IF(B1764="","",IF(L1764="","Ukjent tekniker",IF(ISNA(MATCH(C1764,Aktiviteter,0)),"Ukjent aktivitet",IF(AND(INDEX(AktRolle,MATCH(C1764,Aktiviteter,0))&amp;""&lt;&gt;"",ISERROR(SEARCH(INDEX(AktRolle,MATCH(C1764,Aktiviteter,0))&amp;"",INDEX(TekRoller,MATCH(B1764,Teknikere,0))))),"Mangler rollen "&amp;INDEX(AktRolle,MATCH(C1764,Aktiviteter,0))&amp;"",IF(AND(C1764="LMS",F1764&gt;0,OR(D1764="",E1764="")),"Mangler maskin eller arbeid",IF(AND(OR(C1764="LMS",C1764="Mod"),D1764&lt;&gt;""),IF(IFERROR(INDEX(MaskinStatus,MATCH(D1764,Maskiner,0)),"")="I dokk","","Maskinen er ikke i dokk"),""))))))</f>
        <v/>
      </c>
      <c r="L1764" s="2">
        <f>IF(B1764="","",IFERROR(INT((MATCH(B1764,Teknikere,0)-1)/18)+1,""))</f>
        <v/>
      </c>
      <c r="M1764" s="2">
        <f>IF(OR(A1764="",B1764=""),"",B1764&amp;"|"&amp;A1764)</f>
        <v/>
      </c>
      <c r="N1764" s="2">
        <f>IF(M1764="","",SUMIFS(TF_Timer,TF_Nokkel,M1764,TF_Akt,C1764))</f>
        <v/>
      </c>
      <c r="O1764" s="2">
        <f>IF(M1764="","",IF(AND(N1764=_xlfn.MAXIFS(TF_AktSum,TF_Nokkel,M1764),COUNTIFS(M$3:M1763,M1764,N$3:N1763,N1764)=0),M1764,""))</f>
        <v/>
      </c>
    </row>
    <row r="1765">
      <c r="A1765" s="34" t="n"/>
      <c r="B1765" s="35" t="n"/>
      <c r="C1765" s="35" t="n"/>
      <c r="D1765" s="35" t="n"/>
      <c r="E1765" s="35" t="n"/>
      <c r="F1765" s="36" t="n"/>
      <c r="G1765" s="35" t="n"/>
      <c r="H1765" s="30">
        <f>IF(L1765="","",INDEX(SkiftNavn,L1765))</f>
        <v/>
      </c>
      <c r="I1765" s="30">
        <f>IF(OR(A1765="",L1765=""),"",IF(MOD(A1765-INDEX(SkiftStart,L1765),Syklus)&lt;DagK,"Kveld",IF(MOD(A1765-INDEX(SkiftStart,L1765),Syklus)&lt;DagK+DagH,"Helg",IF(MOD(A1765-INDEX(SkiftStart,L1765),Syklus)&lt;DagK+DagH+DagD,"Dag","Fri"))))</f>
        <v/>
      </c>
      <c r="J1765" s="30">
        <f>IF(I1765="Fri","Ja","")</f>
        <v/>
      </c>
      <c r="K1765" s="30">
        <f>IF(B1765="","",IF(L1765="","Ukjent tekniker",IF(ISNA(MATCH(C1765,Aktiviteter,0)),"Ukjent aktivitet",IF(AND(INDEX(AktRolle,MATCH(C1765,Aktiviteter,0))&amp;""&lt;&gt;"",ISERROR(SEARCH(INDEX(AktRolle,MATCH(C1765,Aktiviteter,0))&amp;"",INDEX(TekRoller,MATCH(B1765,Teknikere,0))))),"Mangler rollen "&amp;INDEX(AktRolle,MATCH(C1765,Aktiviteter,0))&amp;"",IF(AND(C1765="LMS",F1765&gt;0,OR(D1765="",E1765="")),"Mangler maskin eller arbeid",IF(AND(OR(C1765="LMS",C1765="Mod"),D1765&lt;&gt;""),IF(IFERROR(INDEX(MaskinStatus,MATCH(D1765,Maskiner,0)),"")="I dokk","","Maskinen er ikke i dokk"),""))))))</f>
        <v/>
      </c>
      <c r="L1765" s="2">
        <f>IF(B1765="","",IFERROR(INT((MATCH(B1765,Teknikere,0)-1)/18)+1,""))</f>
        <v/>
      </c>
      <c r="M1765" s="2">
        <f>IF(OR(A1765="",B1765=""),"",B1765&amp;"|"&amp;A1765)</f>
        <v/>
      </c>
      <c r="N1765" s="2">
        <f>IF(M1765="","",SUMIFS(TF_Timer,TF_Nokkel,M1765,TF_Akt,C1765))</f>
        <v/>
      </c>
      <c r="O1765" s="2">
        <f>IF(M1765="","",IF(AND(N1765=_xlfn.MAXIFS(TF_AktSum,TF_Nokkel,M1765),COUNTIFS(M$3:M1764,M1765,N$3:N1764,N1765)=0),M1765,""))</f>
        <v/>
      </c>
    </row>
    <row r="1766">
      <c r="A1766" s="34" t="n"/>
      <c r="B1766" s="35" t="n"/>
      <c r="C1766" s="35" t="n"/>
      <c r="D1766" s="35" t="n"/>
      <c r="E1766" s="35" t="n"/>
      <c r="F1766" s="36" t="n"/>
      <c r="G1766" s="35" t="n"/>
      <c r="H1766" s="30">
        <f>IF(L1766="","",INDEX(SkiftNavn,L1766))</f>
        <v/>
      </c>
      <c r="I1766" s="30">
        <f>IF(OR(A1766="",L1766=""),"",IF(MOD(A1766-INDEX(SkiftStart,L1766),Syklus)&lt;DagK,"Kveld",IF(MOD(A1766-INDEX(SkiftStart,L1766),Syklus)&lt;DagK+DagH,"Helg",IF(MOD(A1766-INDEX(SkiftStart,L1766),Syklus)&lt;DagK+DagH+DagD,"Dag","Fri"))))</f>
        <v/>
      </c>
      <c r="J1766" s="30">
        <f>IF(I1766="Fri","Ja","")</f>
        <v/>
      </c>
      <c r="K1766" s="30">
        <f>IF(B1766="","",IF(L1766="","Ukjent tekniker",IF(ISNA(MATCH(C1766,Aktiviteter,0)),"Ukjent aktivitet",IF(AND(INDEX(AktRolle,MATCH(C1766,Aktiviteter,0))&amp;""&lt;&gt;"",ISERROR(SEARCH(INDEX(AktRolle,MATCH(C1766,Aktiviteter,0))&amp;"",INDEX(TekRoller,MATCH(B1766,Teknikere,0))))),"Mangler rollen "&amp;INDEX(AktRolle,MATCH(C1766,Aktiviteter,0))&amp;"",IF(AND(C1766="LMS",F1766&gt;0,OR(D1766="",E1766="")),"Mangler maskin eller arbeid",IF(AND(OR(C1766="LMS",C1766="Mod"),D1766&lt;&gt;""),IF(IFERROR(INDEX(MaskinStatus,MATCH(D1766,Maskiner,0)),"")="I dokk","","Maskinen er ikke i dokk"),""))))))</f>
        <v/>
      </c>
      <c r="L1766" s="2">
        <f>IF(B1766="","",IFERROR(INT((MATCH(B1766,Teknikere,0)-1)/18)+1,""))</f>
        <v/>
      </c>
      <c r="M1766" s="2">
        <f>IF(OR(A1766="",B1766=""),"",B1766&amp;"|"&amp;A1766)</f>
        <v/>
      </c>
      <c r="N1766" s="2">
        <f>IF(M1766="","",SUMIFS(TF_Timer,TF_Nokkel,M1766,TF_Akt,C1766))</f>
        <v/>
      </c>
      <c r="O1766" s="2">
        <f>IF(M1766="","",IF(AND(N1766=_xlfn.MAXIFS(TF_AktSum,TF_Nokkel,M1766),COUNTIFS(M$3:M1765,M1766,N$3:N1765,N1766)=0),M1766,""))</f>
        <v/>
      </c>
    </row>
    <row r="1767">
      <c r="A1767" s="34" t="n"/>
      <c r="B1767" s="35" t="n"/>
      <c r="C1767" s="35" t="n"/>
      <c r="D1767" s="35" t="n"/>
      <c r="E1767" s="35" t="n"/>
      <c r="F1767" s="36" t="n"/>
      <c r="G1767" s="35" t="n"/>
      <c r="H1767" s="30">
        <f>IF(L1767="","",INDEX(SkiftNavn,L1767))</f>
        <v/>
      </c>
      <c r="I1767" s="30">
        <f>IF(OR(A1767="",L1767=""),"",IF(MOD(A1767-INDEX(SkiftStart,L1767),Syklus)&lt;DagK,"Kveld",IF(MOD(A1767-INDEX(SkiftStart,L1767),Syklus)&lt;DagK+DagH,"Helg",IF(MOD(A1767-INDEX(SkiftStart,L1767),Syklus)&lt;DagK+DagH+DagD,"Dag","Fri"))))</f>
        <v/>
      </c>
      <c r="J1767" s="30">
        <f>IF(I1767="Fri","Ja","")</f>
        <v/>
      </c>
      <c r="K1767" s="30">
        <f>IF(B1767="","",IF(L1767="","Ukjent tekniker",IF(ISNA(MATCH(C1767,Aktiviteter,0)),"Ukjent aktivitet",IF(AND(INDEX(AktRolle,MATCH(C1767,Aktiviteter,0))&amp;""&lt;&gt;"",ISERROR(SEARCH(INDEX(AktRolle,MATCH(C1767,Aktiviteter,0))&amp;"",INDEX(TekRoller,MATCH(B1767,Teknikere,0))))),"Mangler rollen "&amp;INDEX(AktRolle,MATCH(C1767,Aktiviteter,0))&amp;"",IF(AND(C1767="LMS",F1767&gt;0,OR(D1767="",E1767="")),"Mangler maskin eller arbeid",IF(AND(OR(C1767="LMS",C1767="Mod"),D1767&lt;&gt;""),IF(IFERROR(INDEX(MaskinStatus,MATCH(D1767,Maskiner,0)),"")="I dokk","","Maskinen er ikke i dokk"),""))))))</f>
        <v/>
      </c>
      <c r="L1767" s="2">
        <f>IF(B1767="","",IFERROR(INT((MATCH(B1767,Teknikere,0)-1)/18)+1,""))</f>
        <v/>
      </c>
      <c r="M1767" s="2">
        <f>IF(OR(A1767="",B1767=""),"",B1767&amp;"|"&amp;A1767)</f>
        <v/>
      </c>
      <c r="N1767" s="2">
        <f>IF(M1767="","",SUMIFS(TF_Timer,TF_Nokkel,M1767,TF_Akt,C1767))</f>
        <v/>
      </c>
      <c r="O1767" s="2">
        <f>IF(M1767="","",IF(AND(N1767=_xlfn.MAXIFS(TF_AktSum,TF_Nokkel,M1767),COUNTIFS(M$3:M1766,M1767,N$3:N1766,N1767)=0),M1767,""))</f>
        <v/>
      </c>
    </row>
    <row r="1768">
      <c r="A1768" s="34" t="n"/>
      <c r="B1768" s="35" t="n"/>
      <c r="C1768" s="35" t="n"/>
      <c r="D1768" s="35" t="n"/>
      <c r="E1768" s="35" t="n"/>
      <c r="F1768" s="36" t="n"/>
      <c r="G1768" s="35" t="n"/>
      <c r="H1768" s="30">
        <f>IF(L1768="","",INDEX(SkiftNavn,L1768))</f>
        <v/>
      </c>
      <c r="I1768" s="30">
        <f>IF(OR(A1768="",L1768=""),"",IF(MOD(A1768-INDEX(SkiftStart,L1768),Syklus)&lt;DagK,"Kveld",IF(MOD(A1768-INDEX(SkiftStart,L1768),Syklus)&lt;DagK+DagH,"Helg",IF(MOD(A1768-INDEX(SkiftStart,L1768),Syklus)&lt;DagK+DagH+DagD,"Dag","Fri"))))</f>
        <v/>
      </c>
      <c r="J1768" s="30">
        <f>IF(I1768="Fri","Ja","")</f>
        <v/>
      </c>
      <c r="K1768" s="30">
        <f>IF(B1768="","",IF(L1768="","Ukjent tekniker",IF(ISNA(MATCH(C1768,Aktiviteter,0)),"Ukjent aktivitet",IF(AND(INDEX(AktRolle,MATCH(C1768,Aktiviteter,0))&amp;""&lt;&gt;"",ISERROR(SEARCH(INDEX(AktRolle,MATCH(C1768,Aktiviteter,0))&amp;"",INDEX(TekRoller,MATCH(B1768,Teknikere,0))))),"Mangler rollen "&amp;INDEX(AktRolle,MATCH(C1768,Aktiviteter,0))&amp;"",IF(AND(C1768="LMS",F1768&gt;0,OR(D1768="",E1768="")),"Mangler maskin eller arbeid",IF(AND(OR(C1768="LMS",C1768="Mod"),D1768&lt;&gt;""),IF(IFERROR(INDEX(MaskinStatus,MATCH(D1768,Maskiner,0)),"")="I dokk","","Maskinen er ikke i dokk"),""))))))</f>
        <v/>
      </c>
      <c r="L1768" s="2">
        <f>IF(B1768="","",IFERROR(INT((MATCH(B1768,Teknikere,0)-1)/18)+1,""))</f>
        <v/>
      </c>
      <c r="M1768" s="2">
        <f>IF(OR(A1768="",B1768=""),"",B1768&amp;"|"&amp;A1768)</f>
        <v/>
      </c>
      <c r="N1768" s="2">
        <f>IF(M1768="","",SUMIFS(TF_Timer,TF_Nokkel,M1768,TF_Akt,C1768))</f>
        <v/>
      </c>
      <c r="O1768" s="2">
        <f>IF(M1768="","",IF(AND(N1768=_xlfn.MAXIFS(TF_AktSum,TF_Nokkel,M1768),COUNTIFS(M$3:M1767,M1768,N$3:N1767,N1768)=0),M1768,""))</f>
        <v/>
      </c>
    </row>
    <row r="1769">
      <c r="A1769" s="34" t="n"/>
      <c r="B1769" s="35" t="n"/>
      <c r="C1769" s="35" t="n"/>
      <c r="D1769" s="35" t="n"/>
      <c r="E1769" s="35" t="n"/>
      <c r="F1769" s="36" t="n"/>
      <c r="G1769" s="35" t="n"/>
      <c r="H1769" s="30">
        <f>IF(L1769="","",INDEX(SkiftNavn,L1769))</f>
        <v/>
      </c>
      <c r="I1769" s="30">
        <f>IF(OR(A1769="",L1769=""),"",IF(MOD(A1769-INDEX(SkiftStart,L1769),Syklus)&lt;DagK,"Kveld",IF(MOD(A1769-INDEX(SkiftStart,L1769),Syklus)&lt;DagK+DagH,"Helg",IF(MOD(A1769-INDEX(SkiftStart,L1769),Syklus)&lt;DagK+DagH+DagD,"Dag","Fri"))))</f>
        <v/>
      </c>
      <c r="J1769" s="30">
        <f>IF(I1769="Fri","Ja","")</f>
        <v/>
      </c>
      <c r="K1769" s="30">
        <f>IF(B1769="","",IF(L1769="","Ukjent tekniker",IF(ISNA(MATCH(C1769,Aktiviteter,0)),"Ukjent aktivitet",IF(AND(INDEX(AktRolle,MATCH(C1769,Aktiviteter,0))&amp;""&lt;&gt;"",ISERROR(SEARCH(INDEX(AktRolle,MATCH(C1769,Aktiviteter,0))&amp;"",INDEX(TekRoller,MATCH(B1769,Teknikere,0))))),"Mangler rollen "&amp;INDEX(AktRolle,MATCH(C1769,Aktiviteter,0))&amp;"",IF(AND(C1769="LMS",F1769&gt;0,OR(D1769="",E1769="")),"Mangler maskin eller arbeid",IF(AND(OR(C1769="LMS",C1769="Mod"),D1769&lt;&gt;""),IF(IFERROR(INDEX(MaskinStatus,MATCH(D1769,Maskiner,0)),"")="I dokk","","Maskinen er ikke i dokk"),""))))))</f>
        <v/>
      </c>
      <c r="L1769" s="2">
        <f>IF(B1769="","",IFERROR(INT((MATCH(B1769,Teknikere,0)-1)/18)+1,""))</f>
        <v/>
      </c>
      <c r="M1769" s="2">
        <f>IF(OR(A1769="",B1769=""),"",B1769&amp;"|"&amp;A1769)</f>
        <v/>
      </c>
      <c r="N1769" s="2">
        <f>IF(M1769="","",SUMIFS(TF_Timer,TF_Nokkel,M1769,TF_Akt,C1769))</f>
        <v/>
      </c>
      <c r="O1769" s="2">
        <f>IF(M1769="","",IF(AND(N1769=_xlfn.MAXIFS(TF_AktSum,TF_Nokkel,M1769),COUNTIFS(M$3:M1768,M1769,N$3:N1768,N1769)=0),M1769,""))</f>
        <v/>
      </c>
    </row>
    <row r="1770">
      <c r="A1770" s="34" t="n"/>
      <c r="B1770" s="35" t="n"/>
      <c r="C1770" s="35" t="n"/>
      <c r="D1770" s="35" t="n"/>
      <c r="E1770" s="35" t="n"/>
      <c r="F1770" s="36" t="n"/>
      <c r="G1770" s="35" t="n"/>
      <c r="H1770" s="30">
        <f>IF(L1770="","",INDEX(SkiftNavn,L1770))</f>
        <v/>
      </c>
      <c r="I1770" s="30">
        <f>IF(OR(A1770="",L1770=""),"",IF(MOD(A1770-INDEX(SkiftStart,L1770),Syklus)&lt;DagK,"Kveld",IF(MOD(A1770-INDEX(SkiftStart,L1770),Syklus)&lt;DagK+DagH,"Helg",IF(MOD(A1770-INDEX(SkiftStart,L1770),Syklus)&lt;DagK+DagH+DagD,"Dag","Fri"))))</f>
        <v/>
      </c>
      <c r="J1770" s="30">
        <f>IF(I1770="Fri","Ja","")</f>
        <v/>
      </c>
      <c r="K1770" s="30">
        <f>IF(B1770="","",IF(L1770="","Ukjent tekniker",IF(ISNA(MATCH(C1770,Aktiviteter,0)),"Ukjent aktivitet",IF(AND(INDEX(AktRolle,MATCH(C1770,Aktiviteter,0))&amp;""&lt;&gt;"",ISERROR(SEARCH(INDEX(AktRolle,MATCH(C1770,Aktiviteter,0))&amp;"",INDEX(TekRoller,MATCH(B1770,Teknikere,0))))),"Mangler rollen "&amp;INDEX(AktRolle,MATCH(C1770,Aktiviteter,0))&amp;"",IF(AND(C1770="LMS",F1770&gt;0,OR(D1770="",E1770="")),"Mangler maskin eller arbeid",IF(AND(OR(C1770="LMS",C1770="Mod"),D1770&lt;&gt;""),IF(IFERROR(INDEX(MaskinStatus,MATCH(D1770,Maskiner,0)),"")="I dokk","","Maskinen er ikke i dokk"),""))))))</f>
        <v/>
      </c>
      <c r="L1770" s="2">
        <f>IF(B1770="","",IFERROR(INT((MATCH(B1770,Teknikere,0)-1)/18)+1,""))</f>
        <v/>
      </c>
      <c r="M1770" s="2">
        <f>IF(OR(A1770="",B1770=""),"",B1770&amp;"|"&amp;A1770)</f>
        <v/>
      </c>
      <c r="N1770" s="2">
        <f>IF(M1770="","",SUMIFS(TF_Timer,TF_Nokkel,M1770,TF_Akt,C1770))</f>
        <v/>
      </c>
      <c r="O1770" s="2">
        <f>IF(M1770="","",IF(AND(N1770=_xlfn.MAXIFS(TF_AktSum,TF_Nokkel,M1770),COUNTIFS(M$3:M1769,M1770,N$3:N1769,N1770)=0),M1770,""))</f>
        <v/>
      </c>
    </row>
    <row r="1771">
      <c r="A1771" s="34" t="n"/>
      <c r="B1771" s="35" t="n"/>
      <c r="C1771" s="35" t="n"/>
      <c r="D1771" s="35" t="n"/>
      <c r="E1771" s="35" t="n"/>
      <c r="F1771" s="36" t="n"/>
      <c r="G1771" s="35" t="n"/>
      <c r="H1771" s="30">
        <f>IF(L1771="","",INDEX(SkiftNavn,L1771))</f>
        <v/>
      </c>
      <c r="I1771" s="30">
        <f>IF(OR(A1771="",L1771=""),"",IF(MOD(A1771-INDEX(SkiftStart,L1771),Syklus)&lt;DagK,"Kveld",IF(MOD(A1771-INDEX(SkiftStart,L1771),Syklus)&lt;DagK+DagH,"Helg",IF(MOD(A1771-INDEX(SkiftStart,L1771),Syklus)&lt;DagK+DagH+DagD,"Dag","Fri"))))</f>
        <v/>
      </c>
      <c r="J1771" s="30">
        <f>IF(I1771="Fri","Ja","")</f>
        <v/>
      </c>
      <c r="K1771" s="30">
        <f>IF(B1771="","",IF(L1771="","Ukjent tekniker",IF(ISNA(MATCH(C1771,Aktiviteter,0)),"Ukjent aktivitet",IF(AND(INDEX(AktRolle,MATCH(C1771,Aktiviteter,0))&amp;""&lt;&gt;"",ISERROR(SEARCH(INDEX(AktRolle,MATCH(C1771,Aktiviteter,0))&amp;"",INDEX(TekRoller,MATCH(B1771,Teknikere,0))))),"Mangler rollen "&amp;INDEX(AktRolle,MATCH(C1771,Aktiviteter,0))&amp;"",IF(AND(C1771="LMS",F1771&gt;0,OR(D1771="",E1771="")),"Mangler maskin eller arbeid",IF(AND(OR(C1771="LMS",C1771="Mod"),D1771&lt;&gt;""),IF(IFERROR(INDEX(MaskinStatus,MATCH(D1771,Maskiner,0)),"")="I dokk","","Maskinen er ikke i dokk"),""))))))</f>
        <v/>
      </c>
      <c r="L1771" s="2">
        <f>IF(B1771="","",IFERROR(INT((MATCH(B1771,Teknikere,0)-1)/18)+1,""))</f>
        <v/>
      </c>
      <c r="M1771" s="2">
        <f>IF(OR(A1771="",B1771=""),"",B1771&amp;"|"&amp;A1771)</f>
        <v/>
      </c>
      <c r="N1771" s="2">
        <f>IF(M1771="","",SUMIFS(TF_Timer,TF_Nokkel,M1771,TF_Akt,C1771))</f>
        <v/>
      </c>
      <c r="O1771" s="2">
        <f>IF(M1771="","",IF(AND(N1771=_xlfn.MAXIFS(TF_AktSum,TF_Nokkel,M1771),COUNTIFS(M$3:M1770,M1771,N$3:N1770,N1771)=0),M1771,""))</f>
        <v/>
      </c>
    </row>
    <row r="1772">
      <c r="A1772" s="34" t="n"/>
      <c r="B1772" s="35" t="n"/>
      <c r="C1772" s="35" t="n"/>
      <c r="D1772" s="35" t="n"/>
      <c r="E1772" s="35" t="n"/>
      <c r="F1772" s="36" t="n"/>
      <c r="G1772" s="35" t="n"/>
      <c r="H1772" s="30">
        <f>IF(L1772="","",INDEX(SkiftNavn,L1772))</f>
        <v/>
      </c>
      <c r="I1772" s="30">
        <f>IF(OR(A1772="",L1772=""),"",IF(MOD(A1772-INDEX(SkiftStart,L1772),Syklus)&lt;DagK,"Kveld",IF(MOD(A1772-INDEX(SkiftStart,L1772),Syklus)&lt;DagK+DagH,"Helg",IF(MOD(A1772-INDEX(SkiftStart,L1772),Syklus)&lt;DagK+DagH+DagD,"Dag","Fri"))))</f>
        <v/>
      </c>
      <c r="J1772" s="30">
        <f>IF(I1772="Fri","Ja","")</f>
        <v/>
      </c>
      <c r="K1772" s="30">
        <f>IF(B1772="","",IF(L1772="","Ukjent tekniker",IF(ISNA(MATCH(C1772,Aktiviteter,0)),"Ukjent aktivitet",IF(AND(INDEX(AktRolle,MATCH(C1772,Aktiviteter,0))&amp;""&lt;&gt;"",ISERROR(SEARCH(INDEX(AktRolle,MATCH(C1772,Aktiviteter,0))&amp;"",INDEX(TekRoller,MATCH(B1772,Teknikere,0))))),"Mangler rollen "&amp;INDEX(AktRolle,MATCH(C1772,Aktiviteter,0))&amp;"",IF(AND(C1772="LMS",F1772&gt;0,OR(D1772="",E1772="")),"Mangler maskin eller arbeid",IF(AND(OR(C1772="LMS",C1772="Mod"),D1772&lt;&gt;""),IF(IFERROR(INDEX(MaskinStatus,MATCH(D1772,Maskiner,0)),"")="I dokk","","Maskinen er ikke i dokk"),""))))))</f>
        <v/>
      </c>
      <c r="L1772" s="2">
        <f>IF(B1772="","",IFERROR(INT((MATCH(B1772,Teknikere,0)-1)/18)+1,""))</f>
        <v/>
      </c>
      <c r="M1772" s="2">
        <f>IF(OR(A1772="",B1772=""),"",B1772&amp;"|"&amp;A1772)</f>
        <v/>
      </c>
      <c r="N1772" s="2">
        <f>IF(M1772="","",SUMIFS(TF_Timer,TF_Nokkel,M1772,TF_Akt,C1772))</f>
        <v/>
      </c>
      <c r="O1772" s="2">
        <f>IF(M1772="","",IF(AND(N1772=_xlfn.MAXIFS(TF_AktSum,TF_Nokkel,M1772),COUNTIFS(M$3:M1771,M1772,N$3:N1771,N1772)=0),M1772,""))</f>
        <v/>
      </c>
    </row>
    <row r="1773">
      <c r="A1773" s="34" t="n"/>
      <c r="B1773" s="35" t="n"/>
      <c r="C1773" s="35" t="n"/>
      <c r="D1773" s="35" t="n"/>
      <c r="E1773" s="35" t="n"/>
      <c r="F1773" s="36" t="n"/>
      <c r="G1773" s="35" t="n"/>
      <c r="H1773" s="30">
        <f>IF(L1773="","",INDEX(SkiftNavn,L1773))</f>
        <v/>
      </c>
      <c r="I1773" s="30">
        <f>IF(OR(A1773="",L1773=""),"",IF(MOD(A1773-INDEX(SkiftStart,L1773),Syklus)&lt;DagK,"Kveld",IF(MOD(A1773-INDEX(SkiftStart,L1773),Syklus)&lt;DagK+DagH,"Helg",IF(MOD(A1773-INDEX(SkiftStart,L1773),Syklus)&lt;DagK+DagH+DagD,"Dag","Fri"))))</f>
        <v/>
      </c>
      <c r="J1773" s="30">
        <f>IF(I1773="Fri","Ja","")</f>
        <v/>
      </c>
      <c r="K1773" s="30">
        <f>IF(B1773="","",IF(L1773="","Ukjent tekniker",IF(ISNA(MATCH(C1773,Aktiviteter,0)),"Ukjent aktivitet",IF(AND(INDEX(AktRolle,MATCH(C1773,Aktiviteter,0))&amp;""&lt;&gt;"",ISERROR(SEARCH(INDEX(AktRolle,MATCH(C1773,Aktiviteter,0))&amp;"",INDEX(TekRoller,MATCH(B1773,Teknikere,0))))),"Mangler rollen "&amp;INDEX(AktRolle,MATCH(C1773,Aktiviteter,0))&amp;"",IF(AND(C1773="LMS",F1773&gt;0,OR(D1773="",E1773="")),"Mangler maskin eller arbeid",IF(AND(OR(C1773="LMS",C1773="Mod"),D1773&lt;&gt;""),IF(IFERROR(INDEX(MaskinStatus,MATCH(D1773,Maskiner,0)),"")="I dokk","","Maskinen er ikke i dokk"),""))))))</f>
        <v/>
      </c>
      <c r="L1773" s="2">
        <f>IF(B1773="","",IFERROR(INT((MATCH(B1773,Teknikere,0)-1)/18)+1,""))</f>
        <v/>
      </c>
      <c r="M1773" s="2">
        <f>IF(OR(A1773="",B1773=""),"",B1773&amp;"|"&amp;A1773)</f>
        <v/>
      </c>
      <c r="N1773" s="2">
        <f>IF(M1773="","",SUMIFS(TF_Timer,TF_Nokkel,M1773,TF_Akt,C1773))</f>
        <v/>
      </c>
      <c r="O1773" s="2">
        <f>IF(M1773="","",IF(AND(N1773=_xlfn.MAXIFS(TF_AktSum,TF_Nokkel,M1773),COUNTIFS(M$3:M1772,M1773,N$3:N1772,N1773)=0),M1773,""))</f>
        <v/>
      </c>
    </row>
    <row r="1774">
      <c r="A1774" s="34" t="n"/>
      <c r="B1774" s="35" t="n"/>
      <c r="C1774" s="35" t="n"/>
      <c r="D1774" s="35" t="n"/>
      <c r="E1774" s="35" t="n"/>
      <c r="F1774" s="36" t="n"/>
      <c r="G1774" s="35" t="n"/>
      <c r="H1774" s="30">
        <f>IF(L1774="","",INDEX(SkiftNavn,L1774))</f>
        <v/>
      </c>
      <c r="I1774" s="30">
        <f>IF(OR(A1774="",L1774=""),"",IF(MOD(A1774-INDEX(SkiftStart,L1774),Syklus)&lt;DagK,"Kveld",IF(MOD(A1774-INDEX(SkiftStart,L1774),Syklus)&lt;DagK+DagH,"Helg",IF(MOD(A1774-INDEX(SkiftStart,L1774),Syklus)&lt;DagK+DagH+DagD,"Dag","Fri"))))</f>
        <v/>
      </c>
      <c r="J1774" s="30">
        <f>IF(I1774="Fri","Ja","")</f>
        <v/>
      </c>
      <c r="K1774" s="30">
        <f>IF(B1774="","",IF(L1774="","Ukjent tekniker",IF(ISNA(MATCH(C1774,Aktiviteter,0)),"Ukjent aktivitet",IF(AND(INDEX(AktRolle,MATCH(C1774,Aktiviteter,0))&amp;""&lt;&gt;"",ISERROR(SEARCH(INDEX(AktRolle,MATCH(C1774,Aktiviteter,0))&amp;"",INDEX(TekRoller,MATCH(B1774,Teknikere,0))))),"Mangler rollen "&amp;INDEX(AktRolle,MATCH(C1774,Aktiviteter,0))&amp;"",IF(AND(C1774="LMS",F1774&gt;0,OR(D1774="",E1774="")),"Mangler maskin eller arbeid",IF(AND(OR(C1774="LMS",C1774="Mod"),D1774&lt;&gt;""),IF(IFERROR(INDEX(MaskinStatus,MATCH(D1774,Maskiner,0)),"")="I dokk","","Maskinen er ikke i dokk"),""))))))</f>
        <v/>
      </c>
      <c r="L1774" s="2">
        <f>IF(B1774="","",IFERROR(INT((MATCH(B1774,Teknikere,0)-1)/18)+1,""))</f>
        <v/>
      </c>
      <c r="M1774" s="2">
        <f>IF(OR(A1774="",B1774=""),"",B1774&amp;"|"&amp;A1774)</f>
        <v/>
      </c>
      <c r="N1774" s="2">
        <f>IF(M1774="","",SUMIFS(TF_Timer,TF_Nokkel,M1774,TF_Akt,C1774))</f>
        <v/>
      </c>
      <c r="O1774" s="2">
        <f>IF(M1774="","",IF(AND(N1774=_xlfn.MAXIFS(TF_AktSum,TF_Nokkel,M1774),COUNTIFS(M$3:M1773,M1774,N$3:N1773,N1774)=0),M1774,""))</f>
        <v/>
      </c>
    </row>
    <row r="1775">
      <c r="A1775" s="34" t="n"/>
      <c r="B1775" s="35" t="n"/>
      <c r="C1775" s="35" t="n"/>
      <c r="D1775" s="35" t="n"/>
      <c r="E1775" s="35" t="n"/>
      <c r="F1775" s="36" t="n"/>
      <c r="G1775" s="35" t="n"/>
      <c r="H1775" s="30">
        <f>IF(L1775="","",INDEX(SkiftNavn,L1775))</f>
        <v/>
      </c>
      <c r="I1775" s="30">
        <f>IF(OR(A1775="",L1775=""),"",IF(MOD(A1775-INDEX(SkiftStart,L1775),Syklus)&lt;DagK,"Kveld",IF(MOD(A1775-INDEX(SkiftStart,L1775),Syklus)&lt;DagK+DagH,"Helg",IF(MOD(A1775-INDEX(SkiftStart,L1775),Syklus)&lt;DagK+DagH+DagD,"Dag","Fri"))))</f>
        <v/>
      </c>
      <c r="J1775" s="30">
        <f>IF(I1775="Fri","Ja","")</f>
        <v/>
      </c>
      <c r="K1775" s="30">
        <f>IF(B1775="","",IF(L1775="","Ukjent tekniker",IF(ISNA(MATCH(C1775,Aktiviteter,0)),"Ukjent aktivitet",IF(AND(INDEX(AktRolle,MATCH(C1775,Aktiviteter,0))&amp;""&lt;&gt;"",ISERROR(SEARCH(INDEX(AktRolle,MATCH(C1775,Aktiviteter,0))&amp;"",INDEX(TekRoller,MATCH(B1775,Teknikere,0))))),"Mangler rollen "&amp;INDEX(AktRolle,MATCH(C1775,Aktiviteter,0))&amp;"",IF(AND(C1775="LMS",F1775&gt;0,OR(D1775="",E1775="")),"Mangler maskin eller arbeid",IF(AND(OR(C1775="LMS",C1775="Mod"),D1775&lt;&gt;""),IF(IFERROR(INDEX(MaskinStatus,MATCH(D1775,Maskiner,0)),"")="I dokk","","Maskinen er ikke i dokk"),""))))))</f>
        <v/>
      </c>
      <c r="L1775" s="2">
        <f>IF(B1775="","",IFERROR(INT((MATCH(B1775,Teknikere,0)-1)/18)+1,""))</f>
        <v/>
      </c>
      <c r="M1775" s="2">
        <f>IF(OR(A1775="",B1775=""),"",B1775&amp;"|"&amp;A1775)</f>
        <v/>
      </c>
      <c r="N1775" s="2">
        <f>IF(M1775="","",SUMIFS(TF_Timer,TF_Nokkel,M1775,TF_Akt,C1775))</f>
        <v/>
      </c>
      <c r="O1775" s="2">
        <f>IF(M1775="","",IF(AND(N1775=_xlfn.MAXIFS(TF_AktSum,TF_Nokkel,M1775),COUNTIFS(M$3:M1774,M1775,N$3:N1774,N1775)=0),M1775,""))</f>
        <v/>
      </c>
    </row>
    <row r="1776">
      <c r="A1776" s="34" t="n"/>
      <c r="B1776" s="35" t="n"/>
      <c r="C1776" s="35" t="n"/>
      <c r="D1776" s="35" t="n"/>
      <c r="E1776" s="35" t="n"/>
      <c r="F1776" s="36" t="n"/>
      <c r="G1776" s="35" t="n"/>
      <c r="H1776" s="30">
        <f>IF(L1776="","",INDEX(SkiftNavn,L1776))</f>
        <v/>
      </c>
      <c r="I1776" s="30">
        <f>IF(OR(A1776="",L1776=""),"",IF(MOD(A1776-INDEX(SkiftStart,L1776),Syklus)&lt;DagK,"Kveld",IF(MOD(A1776-INDEX(SkiftStart,L1776),Syklus)&lt;DagK+DagH,"Helg",IF(MOD(A1776-INDEX(SkiftStart,L1776),Syklus)&lt;DagK+DagH+DagD,"Dag","Fri"))))</f>
        <v/>
      </c>
      <c r="J1776" s="30">
        <f>IF(I1776="Fri","Ja","")</f>
        <v/>
      </c>
      <c r="K1776" s="30">
        <f>IF(B1776="","",IF(L1776="","Ukjent tekniker",IF(ISNA(MATCH(C1776,Aktiviteter,0)),"Ukjent aktivitet",IF(AND(INDEX(AktRolle,MATCH(C1776,Aktiviteter,0))&amp;""&lt;&gt;"",ISERROR(SEARCH(INDEX(AktRolle,MATCH(C1776,Aktiviteter,0))&amp;"",INDEX(TekRoller,MATCH(B1776,Teknikere,0))))),"Mangler rollen "&amp;INDEX(AktRolle,MATCH(C1776,Aktiviteter,0))&amp;"",IF(AND(C1776="LMS",F1776&gt;0,OR(D1776="",E1776="")),"Mangler maskin eller arbeid",IF(AND(OR(C1776="LMS",C1776="Mod"),D1776&lt;&gt;""),IF(IFERROR(INDEX(MaskinStatus,MATCH(D1776,Maskiner,0)),"")="I dokk","","Maskinen er ikke i dokk"),""))))))</f>
        <v/>
      </c>
      <c r="L1776" s="2">
        <f>IF(B1776="","",IFERROR(INT((MATCH(B1776,Teknikere,0)-1)/18)+1,""))</f>
        <v/>
      </c>
      <c r="M1776" s="2">
        <f>IF(OR(A1776="",B1776=""),"",B1776&amp;"|"&amp;A1776)</f>
        <v/>
      </c>
      <c r="N1776" s="2">
        <f>IF(M1776="","",SUMIFS(TF_Timer,TF_Nokkel,M1776,TF_Akt,C1776))</f>
        <v/>
      </c>
      <c r="O1776" s="2">
        <f>IF(M1776="","",IF(AND(N1776=_xlfn.MAXIFS(TF_AktSum,TF_Nokkel,M1776),COUNTIFS(M$3:M1775,M1776,N$3:N1775,N1776)=0),M1776,""))</f>
        <v/>
      </c>
    </row>
    <row r="1777">
      <c r="A1777" s="34" t="n"/>
      <c r="B1777" s="35" t="n"/>
      <c r="C1777" s="35" t="n"/>
      <c r="D1777" s="35" t="n"/>
      <c r="E1777" s="35" t="n"/>
      <c r="F1777" s="36" t="n"/>
      <c r="G1777" s="35" t="n"/>
      <c r="H1777" s="30">
        <f>IF(L1777="","",INDEX(SkiftNavn,L1777))</f>
        <v/>
      </c>
      <c r="I1777" s="30">
        <f>IF(OR(A1777="",L1777=""),"",IF(MOD(A1777-INDEX(SkiftStart,L1777),Syklus)&lt;DagK,"Kveld",IF(MOD(A1777-INDEX(SkiftStart,L1777),Syklus)&lt;DagK+DagH,"Helg",IF(MOD(A1777-INDEX(SkiftStart,L1777),Syklus)&lt;DagK+DagH+DagD,"Dag","Fri"))))</f>
        <v/>
      </c>
      <c r="J1777" s="30">
        <f>IF(I1777="Fri","Ja","")</f>
        <v/>
      </c>
      <c r="K1777" s="30">
        <f>IF(B1777="","",IF(L1777="","Ukjent tekniker",IF(ISNA(MATCH(C1777,Aktiviteter,0)),"Ukjent aktivitet",IF(AND(INDEX(AktRolle,MATCH(C1777,Aktiviteter,0))&amp;""&lt;&gt;"",ISERROR(SEARCH(INDEX(AktRolle,MATCH(C1777,Aktiviteter,0))&amp;"",INDEX(TekRoller,MATCH(B1777,Teknikere,0))))),"Mangler rollen "&amp;INDEX(AktRolle,MATCH(C1777,Aktiviteter,0))&amp;"",IF(AND(C1777="LMS",F1777&gt;0,OR(D1777="",E1777="")),"Mangler maskin eller arbeid",IF(AND(OR(C1777="LMS",C1777="Mod"),D1777&lt;&gt;""),IF(IFERROR(INDEX(MaskinStatus,MATCH(D1777,Maskiner,0)),"")="I dokk","","Maskinen er ikke i dokk"),""))))))</f>
        <v/>
      </c>
      <c r="L1777" s="2">
        <f>IF(B1777="","",IFERROR(INT((MATCH(B1777,Teknikere,0)-1)/18)+1,""))</f>
        <v/>
      </c>
      <c r="M1777" s="2">
        <f>IF(OR(A1777="",B1777=""),"",B1777&amp;"|"&amp;A1777)</f>
        <v/>
      </c>
      <c r="N1777" s="2">
        <f>IF(M1777="","",SUMIFS(TF_Timer,TF_Nokkel,M1777,TF_Akt,C1777))</f>
        <v/>
      </c>
      <c r="O1777" s="2">
        <f>IF(M1777="","",IF(AND(N1777=_xlfn.MAXIFS(TF_AktSum,TF_Nokkel,M1777),COUNTIFS(M$3:M1776,M1777,N$3:N1776,N1777)=0),M1777,""))</f>
        <v/>
      </c>
    </row>
    <row r="1778">
      <c r="A1778" s="34" t="n"/>
      <c r="B1778" s="35" t="n"/>
      <c r="C1778" s="35" t="n"/>
      <c r="D1778" s="35" t="n"/>
      <c r="E1778" s="35" t="n"/>
      <c r="F1778" s="36" t="n"/>
      <c r="G1778" s="35" t="n"/>
      <c r="H1778" s="30">
        <f>IF(L1778="","",INDEX(SkiftNavn,L1778))</f>
        <v/>
      </c>
      <c r="I1778" s="30">
        <f>IF(OR(A1778="",L1778=""),"",IF(MOD(A1778-INDEX(SkiftStart,L1778),Syklus)&lt;DagK,"Kveld",IF(MOD(A1778-INDEX(SkiftStart,L1778),Syklus)&lt;DagK+DagH,"Helg",IF(MOD(A1778-INDEX(SkiftStart,L1778),Syklus)&lt;DagK+DagH+DagD,"Dag","Fri"))))</f>
        <v/>
      </c>
      <c r="J1778" s="30">
        <f>IF(I1778="Fri","Ja","")</f>
        <v/>
      </c>
      <c r="K1778" s="30">
        <f>IF(B1778="","",IF(L1778="","Ukjent tekniker",IF(ISNA(MATCH(C1778,Aktiviteter,0)),"Ukjent aktivitet",IF(AND(INDEX(AktRolle,MATCH(C1778,Aktiviteter,0))&amp;""&lt;&gt;"",ISERROR(SEARCH(INDEX(AktRolle,MATCH(C1778,Aktiviteter,0))&amp;"",INDEX(TekRoller,MATCH(B1778,Teknikere,0))))),"Mangler rollen "&amp;INDEX(AktRolle,MATCH(C1778,Aktiviteter,0))&amp;"",IF(AND(C1778="LMS",F1778&gt;0,OR(D1778="",E1778="")),"Mangler maskin eller arbeid",IF(AND(OR(C1778="LMS",C1778="Mod"),D1778&lt;&gt;""),IF(IFERROR(INDEX(MaskinStatus,MATCH(D1778,Maskiner,0)),"")="I dokk","","Maskinen er ikke i dokk"),""))))))</f>
        <v/>
      </c>
      <c r="L1778" s="2">
        <f>IF(B1778="","",IFERROR(INT((MATCH(B1778,Teknikere,0)-1)/18)+1,""))</f>
        <v/>
      </c>
      <c r="M1778" s="2">
        <f>IF(OR(A1778="",B1778=""),"",B1778&amp;"|"&amp;A1778)</f>
        <v/>
      </c>
      <c r="N1778" s="2">
        <f>IF(M1778="","",SUMIFS(TF_Timer,TF_Nokkel,M1778,TF_Akt,C1778))</f>
        <v/>
      </c>
      <c r="O1778" s="2">
        <f>IF(M1778="","",IF(AND(N1778=_xlfn.MAXIFS(TF_AktSum,TF_Nokkel,M1778),COUNTIFS(M$3:M1777,M1778,N$3:N1777,N1778)=0),M1778,""))</f>
        <v/>
      </c>
    </row>
    <row r="1779">
      <c r="A1779" s="34" t="n"/>
      <c r="B1779" s="35" t="n"/>
      <c r="C1779" s="35" t="n"/>
      <c r="D1779" s="35" t="n"/>
      <c r="E1779" s="35" t="n"/>
      <c r="F1779" s="36" t="n"/>
      <c r="G1779" s="35" t="n"/>
      <c r="H1779" s="30">
        <f>IF(L1779="","",INDEX(SkiftNavn,L1779))</f>
        <v/>
      </c>
      <c r="I1779" s="30">
        <f>IF(OR(A1779="",L1779=""),"",IF(MOD(A1779-INDEX(SkiftStart,L1779),Syklus)&lt;DagK,"Kveld",IF(MOD(A1779-INDEX(SkiftStart,L1779),Syklus)&lt;DagK+DagH,"Helg",IF(MOD(A1779-INDEX(SkiftStart,L1779),Syklus)&lt;DagK+DagH+DagD,"Dag","Fri"))))</f>
        <v/>
      </c>
      <c r="J1779" s="30">
        <f>IF(I1779="Fri","Ja","")</f>
        <v/>
      </c>
      <c r="K1779" s="30">
        <f>IF(B1779="","",IF(L1779="","Ukjent tekniker",IF(ISNA(MATCH(C1779,Aktiviteter,0)),"Ukjent aktivitet",IF(AND(INDEX(AktRolle,MATCH(C1779,Aktiviteter,0))&amp;""&lt;&gt;"",ISERROR(SEARCH(INDEX(AktRolle,MATCH(C1779,Aktiviteter,0))&amp;"",INDEX(TekRoller,MATCH(B1779,Teknikere,0))))),"Mangler rollen "&amp;INDEX(AktRolle,MATCH(C1779,Aktiviteter,0))&amp;"",IF(AND(C1779="LMS",F1779&gt;0,OR(D1779="",E1779="")),"Mangler maskin eller arbeid",IF(AND(OR(C1779="LMS",C1779="Mod"),D1779&lt;&gt;""),IF(IFERROR(INDEX(MaskinStatus,MATCH(D1779,Maskiner,0)),"")="I dokk","","Maskinen er ikke i dokk"),""))))))</f>
        <v/>
      </c>
      <c r="L1779" s="2">
        <f>IF(B1779="","",IFERROR(INT((MATCH(B1779,Teknikere,0)-1)/18)+1,""))</f>
        <v/>
      </c>
      <c r="M1779" s="2">
        <f>IF(OR(A1779="",B1779=""),"",B1779&amp;"|"&amp;A1779)</f>
        <v/>
      </c>
      <c r="N1779" s="2">
        <f>IF(M1779="","",SUMIFS(TF_Timer,TF_Nokkel,M1779,TF_Akt,C1779))</f>
        <v/>
      </c>
      <c r="O1779" s="2">
        <f>IF(M1779="","",IF(AND(N1779=_xlfn.MAXIFS(TF_AktSum,TF_Nokkel,M1779),COUNTIFS(M$3:M1778,M1779,N$3:N1778,N1779)=0),M1779,""))</f>
        <v/>
      </c>
    </row>
    <row r="1780">
      <c r="A1780" s="34" t="n"/>
      <c r="B1780" s="35" t="n"/>
      <c r="C1780" s="35" t="n"/>
      <c r="D1780" s="35" t="n"/>
      <c r="E1780" s="35" t="n"/>
      <c r="F1780" s="36" t="n"/>
      <c r="G1780" s="35" t="n"/>
      <c r="H1780" s="30">
        <f>IF(L1780="","",INDEX(SkiftNavn,L1780))</f>
        <v/>
      </c>
      <c r="I1780" s="30">
        <f>IF(OR(A1780="",L1780=""),"",IF(MOD(A1780-INDEX(SkiftStart,L1780),Syklus)&lt;DagK,"Kveld",IF(MOD(A1780-INDEX(SkiftStart,L1780),Syklus)&lt;DagK+DagH,"Helg",IF(MOD(A1780-INDEX(SkiftStart,L1780),Syklus)&lt;DagK+DagH+DagD,"Dag","Fri"))))</f>
        <v/>
      </c>
      <c r="J1780" s="30">
        <f>IF(I1780="Fri","Ja","")</f>
        <v/>
      </c>
      <c r="K1780" s="30">
        <f>IF(B1780="","",IF(L1780="","Ukjent tekniker",IF(ISNA(MATCH(C1780,Aktiviteter,0)),"Ukjent aktivitet",IF(AND(INDEX(AktRolle,MATCH(C1780,Aktiviteter,0))&amp;""&lt;&gt;"",ISERROR(SEARCH(INDEX(AktRolle,MATCH(C1780,Aktiviteter,0))&amp;"",INDEX(TekRoller,MATCH(B1780,Teknikere,0))))),"Mangler rollen "&amp;INDEX(AktRolle,MATCH(C1780,Aktiviteter,0))&amp;"",IF(AND(C1780="LMS",F1780&gt;0,OR(D1780="",E1780="")),"Mangler maskin eller arbeid",IF(AND(OR(C1780="LMS",C1780="Mod"),D1780&lt;&gt;""),IF(IFERROR(INDEX(MaskinStatus,MATCH(D1780,Maskiner,0)),"")="I dokk","","Maskinen er ikke i dokk"),""))))))</f>
        <v/>
      </c>
      <c r="L1780" s="2">
        <f>IF(B1780="","",IFERROR(INT((MATCH(B1780,Teknikere,0)-1)/18)+1,""))</f>
        <v/>
      </c>
      <c r="M1780" s="2">
        <f>IF(OR(A1780="",B1780=""),"",B1780&amp;"|"&amp;A1780)</f>
        <v/>
      </c>
      <c r="N1780" s="2">
        <f>IF(M1780="","",SUMIFS(TF_Timer,TF_Nokkel,M1780,TF_Akt,C1780))</f>
        <v/>
      </c>
      <c r="O1780" s="2">
        <f>IF(M1780="","",IF(AND(N1780=_xlfn.MAXIFS(TF_AktSum,TF_Nokkel,M1780),COUNTIFS(M$3:M1779,M1780,N$3:N1779,N1780)=0),M1780,""))</f>
        <v/>
      </c>
    </row>
    <row r="1781">
      <c r="A1781" s="34" t="n"/>
      <c r="B1781" s="35" t="n"/>
      <c r="C1781" s="35" t="n"/>
      <c r="D1781" s="35" t="n"/>
      <c r="E1781" s="35" t="n"/>
      <c r="F1781" s="36" t="n"/>
      <c r="G1781" s="35" t="n"/>
      <c r="H1781" s="30">
        <f>IF(L1781="","",INDEX(SkiftNavn,L1781))</f>
        <v/>
      </c>
      <c r="I1781" s="30">
        <f>IF(OR(A1781="",L1781=""),"",IF(MOD(A1781-INDEX(SkiftStart,L1781),Syklus)&lt;DagK,"Kveld",IF(MOD(A1781-INDEX(SkiftStart,L1781),Syklus)&lt;DagK+DagH,"Helg",IF(MOD(A1781-INDEX(SkiftStart,L1781),Syklus)&lt;DagK+DagH+DagD,"Dag","Fri"))))</f>
        <v/>
      </c>
      <c r="J1781" s="30">
        <f>IF(I1781="Fri","Ja","")</f>
        <v/>
      </c>
      <c r="K1781" s="30">
        <f>IF(B1781="","",IF(L1781="","Ukjent tekniker",IF(ISNA(MATCH(C1781,Aktiviteter,0)),"Ukjent aktivitet",IF(AND(INDEX(AktRolle,MATCH(C1781,Aktiviteter,0))&amp;""&lt;&gt;"",ISERROR(SEARCH(INDEX(AktRolle,MATCH(C1781,Aktiviteter,0))&amp;"",INDEX(TekRoller,MATCH(B1781,Teknikere,0))))),"Mangler rollen "&amp;INDEX(AktRolle,MATCH(C1781,Aktiviteter,0))&amp;"",IF(AND(C1781="LMS",F1781&gt;0,OR(D1781="",E1781="")),"Mangler maskin eller arbeid",IF(AND(OR(C1781="LMS",C1781="Mod"),D1781&lt;&gt;""),IF(IFERROR(INDEX(MaskinStatus,MATCH(D1781,Maskiner,0)),"")="I dokk","","Maskinen er ikke i dokk"),""))))))</f>
        <v/>
      </c>
      <c r="L1781" s="2">
        <f>IF(B1781="","",IFERROR(INT((MATCH(B1781,Teknikere,0)-1)/18)+1,""))</f>
        <v/>
      </c>
      <c r="M1781" s="2">
        <f>IF(OR(A1781="",B1781=""),"",B1781&amp;"|"&amp;A1781)</f>
        <v/>
      </c>
      <c r="N1781" s="2">
        <f>IF(M1781="","",SUMIFS(TF_Timer,TF_Nokkel,M1781,TF_Akt,C1781))</f>
        <v/>
      </c>
      <c r="O1781" s="2">
        <f>IF(M1781="","",IF(AND(N1781=_xlfn.MAXIFS(TF_AktSum,TF_Nokkel,M1781),COUNTIFS(M$3:M1780,M1781,N$3:N1780,N1781)=0),M1781,""))</f>
        <v/>
      </c>
    </row>
    <row r="1782">
      <c r="A1782" s="34" t="n"/>
      <c r="B1782" s="35" t="n"/>
      <c r="C1782" s="35" t="n"/>
      <c r="D1782" s="35" t="n"/>
      <c r="E1782" s="35" t="n"/>
      <c r="F1782" s="36" t="n"/>
      <c r="G1782" s="35" t="n"/>
      <c r="H1782" s="30">
        <f>IF(L1782="","",INDEX(SkiftNavn,L1782))</f>
        <v/>
      </c>
      <c r="I1782" s="30">
        <f>IF(OR(A1782="",L1782=""),"",IF(MOD(A1782-INDEX(SkiftStart,L1782),Syklus)&lt;DagK,"Kveld",IF(MOD(A1782-INDEX(SkiftStart,L1782),Syklus)&lt;DagK+DagH,"Helg",IF(MOD(A1782-INDEX(SkiftStart,L1782),Syklus)&lt;DagK+DagH+DagD,"Dag","Fri"))))</f>
        <v/>
      </c>
      <c r="J1782" s="30">
        <f>IF(I1782="Fri","Ja","")</f>
        <v/>
      </c>
      <c r="K1782" s="30">
        <f>IF(B1782="","",IF(L1782="","Ukjent tekniker",IF(ISNA(MATCH(C1782,Aktiviteter,0)),"Ukjent aktivitet",IF(AND(INDEX(AktRolle,MATCH(C1782,Aktiviteter,0))&amp;""&lt;&gt;"",ISERROR(SEARCH(INDEX(AktRolle,MATCH(C1782,Aktiviteter,0))&amp;"",INDEX(TekRoller,MATCH(B1782,Teknikere,0))))),"Mangler rollen "&amp;INDEX(AktRolle,MATCH(C1782,Aktiviteter,0))&amp;"",IF(AND(C1782="LMS",F1782&gt;0,OR(D1782="",E1782="")),"Mangler maskin eller arbeid",IF(AND(OR(C1782="LMS",C1782="Mod"),D1782&lt;&gt;""),IF(IFERROR(INDEX(MaskinStatus,MATCH(D1782,Maskiner,0)),"")="I dokk","","Maskinen er ikke i dokk"),""))))))</f>
        <v/>
      </c>
      <c r="L1782" s="2">
        <f>IF(B1782="","",IFERROR(INT((MATCH(B1782,Teknikere,0)-1)/18)+1,""))</f>
        <v/>
      </c>
      <c r="M1782" s="2">
        <f>IF(OR(A1782="",B1782=""),"",B1782&amp;"|"&amp;A1782)</f>
        <v/>
      </c>
      <c r="N1782" s="2">
        <f>IF(M1782="","",SUMIFS(TF_Timer,TF_Nokkel,M1782,TF_Akt,C1782))</f>
        <v/>
      </c>
      <c r="O1782" s="2">
        <f>IF(M1782="","",IF(AND(N1782=_xlfn.MAXIFS(TF_AktSum,TF_Nokkel,M1782),COUNTIFS(M$3:M1781,M1782,N$3:N1781,N1782)=0),M1782,""))</f>
        <v/>
      </c>
    </row>
    <row r="1783">
      <c r="A1783" s="34" t="n"/>
      <c r="B1783" s="35" t="n"/>
      <c r="C1783" s="35" t="n"/>
      <c r="D1783" s="35" t="n"/>
      <c r="E1783" s="35" t="n"/>
      <c r="F1783" s="36" t="n"/>
      <c r="G1783" s="35" t="n"/>
      <c r="H1783" s="30">
        <f>IF(L1783="","",INDEX(SkiftNavn,L1783))</f>
        <v/>
      </c>
      <c r="I1783" s="30">
        <f>IF(OR(A1783="",L1783=""),"",IF(MOD(A1783-INDEX(SkiftStart,L1783),Syklus)&lt;DagK,"Kveld",IF(MOD(A1783-INDEX(SkiftStart,L1783),Syklus)&lt;DagK+DagH,"Helg",IF(MOD(A1783-INDEX(SkiftStart,L1783),Syklus)&lt;DagK+DagH+DagD,"Dag","Fri"))))</f>
        <v/>
      </c>
      <c r="J1783" s="30">
        <f>IF(I1783="Fri","Ja","")</f>
        <v/>
      </c>
      <c r="K1783" s="30">
        <f>IF(B1783="","",IF(L1783="","Ukjent tekniker",IF(ISNA(MATCH(C1783,Aktiviteter,0)),"Ukjent aktivitet",IF(AND(INDEX(AktRolle,MATCH(C1783,Aktiviteter,0))&amp;""&lt;&gt;"",ISERROR(SEARCH(INDEX(AktRolle,MATCH(C1783,Aktiviteter,0))&amp;"",INDEX(TekRoller,MATCH(B1783,Teknikere,0))))),"Mangler rollen "&amp;INDEX(AktRolle,MATCH(C1783,Aktiviteter,0))&amp;"",IF(AND(C1783="LMS",F1783&gt;0,OR(D1783="",E1783="")),"Mangler maskin eller arbeid",IF(AND(OR(C1783="LMS",C1783="Mod"),D1783&lt;&gt;""),IF(IFERROR(INDEX(MaskinStatus,MATCH(D1783,Maskiner,0)),"")="I dokk","","Maskinen er ikke i dokk"),""))))))</f>
        <v/>
      </c>
      <c r="L1783" s="2">
        <f>IF(B1783="","",IFERROR(INT((MATCH(B1783,Teknikere,0)-1)/18)+1,""))</f>
        <v/>
      </c>
      <c r="M1783" s="2">
        <f>IF(OR(A1783="",B1783=""),"",B1783&amp;"|"&amp;A1783)</f>
        <v/>
      </c>
      <c r="N1783" s="2">
        <f>IF(M1783="","",SUMIFS(TF_Timer,TF_Nokkel,M1783,TF_Akt,C1783))</f>
        <v/>
      </c>
      <c r="O1783" s="2">
        <f>IF(M1783="","",IF(AND(N1783=_xlfn.MAXIFS(TF_AktSum,TF_Nokkel,M1783),COUNTIFS(M$3:M1782,M1783,N$3:N1782,N1783)=0),M1783,""))</f>
        <v/>
      </c>
    </row>
    <row r="1784">
      <c r="A1784" s="34" t="n"/>
      <c r="B1784" s="35" t="n"/>
      <c r="C1784" s="35" t="n"/>
      <c r="D1784" s="35" t="n"/>
      <c r="E1784" s="35" t="n"/>
      <c r="F1784" s="36" t="n"/>
      <c r="G1784" s="35" t="n"/>
      <c r="H1784" s="30">
        <f>IF(L1784="","",INDEX(SkiftNavn,L1784))</f>
        <v/>
      </c>
      <c r="I1784" s="30">
        <f>IF(OR(A1784="",L1784=""),"",IF(MOD(A1784-INDEX(SkiftStart,L1784),Syklus)&lt;DagK,"Kveld",IF(MOD(A1784-INDEX(SkiftStart,L1784),Syklus)&lt;DagK+DagH,"Helg",IF(MOD(A1784-INDEX(SkiftStart,L1784),Syklus)&lt;DagK+DagH+DagD,"Dag","Fri"))))</f>
        <v/>
      </c>
      <c r="J1784" s="30">
        <f>IF(I1784="Fri","Ja","")</f>
        <v/>
      </c>
      <c r="K1784" s="30">
        <f>IF(B1784="","",IF(L1784="","Ukjent tekniker",IF(ISNA(MATCH(C1784,Aktiviteter,0)),"Ukjent aktivitet",IF(AND(INDEX(AktRolle,MATCH(C1784,Aktiviteter,0))&amp;""&lt;&gt;"",ISERROR(SEARCH(INDEX(AktRolle,MATCH(C1784,Aktiviteter,0))&amp;"",INDEX(TekRoller,MATCH(B1784,Teknikere,0))))),"Mangler rollen "&amp;INDEX(AktRolle,MATCH(C1784,Aktiviteter,0))&amp;"",IF(AND(C1784="LMS",F1784&gt;0,OR(D1784="",E1784="")),"Mangler maskin eller arbeid",IF(AND(OR(C1784="LMS",C1784="Mod"),D1784&lt;&gt;""),IF(IFERROR(INDEX(MaskinStatus,MATCH(D1784,Maskiner,0)),"")="I dokk","","Maskinen er ikke i dokk"),""))))))</f>
        <v/>
      </c>
      <c r="L1784" s="2">
        <f>IF(B1784="","",IFERROR(INT((MATCH(B1784,Teknikere,0)-1)/18)+1,""))</f>
        <v/>
      </c>
      <c r="M1784" s="2">
        <f>IF(OR(A1784="",B1784=""),"",B1784&amp;"|"&amp;A1784)</f>
        <v/>
      </c>
      <c r="N1784" s="2">
        <f>IF(M1784="","",SUMIFS(TF_Timer,TF_Nokkel,M1784,TF_Akt,C1784))</f>
        <v/>
      </c>
      <c r="O1784" s="2">
        <f>IF(M1784="","",IF(AND(N1784=_xlfn.MAXIFS(TF_AktSum,TF_Nokkel,M1784),COUNTIFS(M$3:M1783,M1784,N$3:N1783,N1784)=0),M1784,""))</f>
        <v/>
      </c>
    </row>
    <row r="1785">
      <c r="A1785" s="34" t="n"/>
      <c r="B1785" s="35" t="n"/>
      <c r="C1785" s="35" t="n"/>
      <c r="D1785" s="35" t="n"/>
      <c r="E1785" s="35" t="n"/>
      <c r="F1785" s="36" t="n"/>
      <c r="G1785" s="35" t="n"/>
      <c r="H1785" s="30">
        <f>IF(L1785="","",INDEX(SkiftNavn,L1785))</f>
        <v/>
      </c>
      <c r="I1785" s="30">
        <f>IF(OR(A1785="",L1785=""),"",IF(MOD(A1785-INDEX(SkiftStart,L1785),Syklus)&lt;DagK,"Kveld",IF(MOD(A1785-INDEX(SkiftStart,L1785),Syklus)&lt;DagK+DagH,"Helg",IF(MOD(A1785-INDEX(SkiftStart,L1785),Syklus)&lt;DagK+DagH+DagD,"Dag","Fri"))))</f>
        <v/>
      </c>
      <c r="J1785" s="30">
        <f>IF(I1785="Fri","Ja","")</f>
        <v/>
      </c>
      <c r="K1785" s="30">
        <f>IF(B1785="","",IF(L1785="","Ukjent tekniker",IF(ISNA(MATCH(C1785,Aktiviteter,0)),"Ukjent aktivitet",IF(AND(INDEX(AktRolle,MATCH(C1785,Aktiviteter,0))&amp;""&lt;&gt;"",ISERROR(SEARCH(INDEX(AktRolle,MATCH(C1785,Aktiviteter,0))&amp;"",INDEX(TekRoller,MATCH(B1785,Teknikere,0))))),"Mangler rollen "&amp;INDEX(AktRolle,MATCH(C1785,Aktiviteter,0))&amp;"",IF(AND(C1785="LMS",F1785&gt;0,OR(D1785="",E1785="")),"Mangler maskin eller arbeid",IF(AND(OR(C1785="LMS",C1785="Mod"),D1785&lt;&gt;""),IF(IFERROR(INDEX(MaskinStatus,MATCH(D1785,Maskiner,0)),"")="I dokk","","Maskinen er ikke i dokk"),""))))))</f>
        <v/>
      </c>
      <c r="L1785" s="2">
        <f>IF(B1785="","",IFERROR(INT((MATCH(B1785,Teknikere,0)-1)/18)+1,""))</f>
        <v/>
      </c>
      <c r="M1785" s="2">
        <f>IF(OR(A1785="",B1785=""),"",B1785&amp;"|"&amp;A1785)</f>
        <v/>
      </c>
      <c r="N1785" s="2">
        <f>IF(M1785="","",SUMIFS(TF_Timer,TF_Nokkel,M1785,TF_Akt,C1785))</f>
        <v/>
      </c>
      <c r="O1785" s="2">
        <f>IF(M1785="","",IF(AND(N1785=_xlfn.MAXIFS(TF_AktSum,TF_Nokkel,M1785),COUNTIFS(M$3:M1784,M1785,N$3:N1784,N1785)=0),M1785,""))</f>
        <v/>
      </c>
    </row>
    <row r="1786">
      <c r="A1786" s="34" t="n"/>
      <c r="B1786" s="35" t="n"/>
      <c r="C1786" s="35" t="n"/>
      <c r="D1786" s="35" t="n"/>
      <c r="E1786" s="35" t="n"/>
      <c r="F1786" s="36" t="n"/>
      <c r="G1786" s="35" t="n"/>
      <c r="H1786" s="30">
        <f>IF(L1786="","",INDEX(SkiftNavn,L1786))</f>
        <v/>
      </c>
      <c r="I1786" s="30">
        <f>IF(OR(A1786="",L1786=""),"",IF(MOD(A1786-INDEX(SkiftStart,L1786),Syklus)&lt;DagK,"Kveld",IF(MOD(A1786-INDEX(SkiftStart,L1786),Syklus)&lt;DagK+DagH,"Helg",IF(MOD(A1786-INDEX(SkiftStart,L1786),Syklus)&lt;DagK+DagH+DagD,"Dag","Fri"))))</f>
        <v/>
      </c>
      <c r="J1786" s="30">
        <f>IF(I1786="Fri","Ja","")</f>
        <v/>
      </c>
      <c r="K1786" s="30">
        <f>IF(B1786="","",IF(L1786="","Ukjent tekniker",IF(ISNA(MATCH(C1786,Aktiviteter,0)),"Ukjent aktivitet",IF(AND(INDEX(AktRolle,MATCH(C1786,Aktiviteter,0))&amp;""&lt;&gt;"",ISERROR(SEARCH(INDEX(AktRolle,MATCH(C1786,Aktiviteter,0))&amp;"",INDEX(TekRoller,MATCH(B1786,Teknikere,0))))),"Mangler rollen "&amp;INDEX(AktRolle,MATCH(C1786,Aktiviteter,0))&amp;"",IF(AND(C1786="LMS",F1786&gt;0,OR(D1786="",E1786="")),"Mangler maskin eller arbeid",IF(AND(OR(C1786="LMS",C1786="Mod"),D1786&lt;&gt;""),IF(IFERROR(INDEX(MaskinStatus,MATCH(D1786,Maskiner,0)),"")="I dokk","","Maskinen er ikke i dokk"),""))))))</f>
        <v/>
      </c>
      <c r="L1786" s="2">
        <f>IF(B1786="","",IFERROR(INT((MATCH(B1786,Teknikere,0)-1)/18)+1,""))</f>
        <v/>
      </c>
      <c r="M1786" s="2">
        <f>IF(OR(A1786="",B1786=""),"",B1786&amp;"|"&amp;A1786)</f>
        <v/>
      </c>
      <c r="N1786" s="2">
        <f>IF(M1786="","",SUMIFS(TF_Timer,TF_Nokkel,M1786,TF_Akt,C1786))</f>
        <v/>
      </c>
      <c r="O1786" s="2">
        <f>IF(M1786="","",IF(AND(N1786=_xlfn.MAXIFS(TF_AktSum,TF_Nokkel,M1786),COUNTIFS(M$3:M1785,M1786,N$3:N1785,N1786)=0),M1786,""))</f>
        <v/>
      </c>
    </row>
    <row r="1787">
      <c r="A1787" s="34" t="n"/>
      <c r="B1787" s="35" t="n"/>
      <c r="C1787" s="35" t="n"/>
      <c r="D1787" s="35" t="n"/>
      <c r="E1787" s="35" t="n"/>
      <c r="F1787" s="36" t="n"/>
      <c r="G1787" s="35" t="n"/>
      <c r="H1787" s="30">
        <f>IF(L1787="","",INDEX(SkiftNavn,L1787))</f>
        <v/>
      </c>
      <c r="I1787" s="30">
        <f>IF(OR(A1787="",L1787=""),"",IF(MOD(A1787-INDEX(SkiftStart,L1787),Syklus)&lt;DagK,"Kveld",IF(MOD(A1787-INDEX(SkiftStart,L1787),Syklus)&lt;DagK+DagH,"Helg",IF(MOD(A1787-INDEX(SkiftStart,L1787),Syklus)&lt;DagK+DagH+DagD,"Dag","Fri"))))</f>
        <v/>
      </c>
      <c r="J1787" s="30">
        <f>IF(I1787="Fri","Ja","")</f>
        <v/>
      </c>
      <c r="K1787" s="30">
        <f>IF(B1787="","",IF(L1787="","Ukjent tekniker",IF(ISNA(MATCH(C1787,Aktiviteter,0)),"Ukjent aktivitet",IF(AND(INDEX(AktRolle,MATCH(C1787,Aktiviteter,0))&amp;""&lt;&gt;"",ISERROR(SEARCH(INDEX(AktRolle,MATCH(C1787,Aktiviteter,0))&amp;"",INDEX(TekRoller,MATCH(B1787,Teknikere,0))))),"Mangler rollen "&amp;INDEX(AktRolle,MATCH(C1787,Aktiviteter,0))&amp;"",IF(AND(C1787="LMS",F1787&gt;0,OR(D1787="",E1787="")),"Mangler maskin eller arbeid",IF(AND(OR(C1787="LMS",C1787="Mod"),D1787&lt;&gt;""),IF(IFERROR(INDEX(MaskinStatus,MATCH(D1787,Maskiner,0)),"")="I dokk","","Maskinen er ikke i dokk"),""))))))</f>
        <v/>
      </c>
      <c r="L1787" s="2">
        <f>IF(B1787="","",IFERROR(INT((MATCH(B1787,Teknikere,0)-1)/18)+1,""))</f>
        <v/>
      </c>
      <c r="M1787" s="2">
        <f>IF(OR(A1787="",B1787=""),"",B1787&amp;"|"&amp;A1787)</f>
        <v/>
      </c>
      <c r="N1787" s="2">
        <f>IF(M1787="","",SUMIFS(TF_Timer,TF_Nokkel,M1787,TF_Akt,C1787))</f>
        <v/>
      </c>
      <c r="O1787" s="2">
        <f>IF(M1787="","",IF(AND(N1787=_xlfn.MAXIFS(TF_AktSum,TF_Nokkel,M1787),COUNTIFS(M$3:M1786,M1787,N$3:N1786,N1787)=0),M1787,""))</f>
        <v/>
      </c>
    </row>
    <row r="1788">
      <c r="A1788" s="34" t="n"/>
      <c r="B1788" s="35" t="n"/>
      <c r="C1788" s="35" t="n"/>
      <c r="D1788" s="35" t="n"/>
      <c r="E1788" s="35" t="n"/>
      <c r="F1788" s="36" t="n"/>
      <c r="G1788" s="35" t="n"/>
      <c r="H1788" s="30">
        <f>IF(L1788="","",INDEX(SkiftNavn,L1788))</f>
        <v/>
      </c>
      <c r="I1788" s="30">
        <f>IF(OR(A1788="",L1788=""),"",IF(MOD(A1788-INDEX(SkiftStart,L1788),Syklus)&lt;DagK,"Kveld",IF(MOD(A1788-INDEX(SkiftStart,L1788),Syklus)&lt;DagK+DagH,"Helg",IF(MOD(A1788-INDEX(SkiftStart,L1788),Syklus)&lt;DagK+DagH+DagD,"Dag","Fri"))))</f>
        <v/>
      </c>
      <c r="J1788" s="30">
        <f>IF(I1788="Fri","Ja","")</f>
        <v/>
      </c>
      <c r="K1788" s="30">
        <f>IF(B1788="","",IF(L1788="","Ukjent tekniker",IF(ISNA(MATCH(C1788,Aktiviteter,0)),"Ukjent aktivitet",IF(AND(INDEX(AktRolle,MATCH(C1788,Aktiviteter,0))&amp;""&lt;&gt;"",ISERROR(SEARCH(INDEX(AktRolle,MATCH(C1788,Aktiviteter,0))&amp;"",INDEX(TekRoller,MATCH(B1788,Teknikere,0))))),"Mangler rollen "&amp;INDEX(AktRolle,MATCH(C1788,Aktiviteter,0))&amp;"",IF(AND(C1788="LMS",F1788&gt;0,OR(D1788="",E1788="")),"Mangler maskin eller arbeid",IF(AND(OR(C1788="LMS",C1788="Mod"),D1788&lt;&gt;""),IF(IFERROR(INDEX(MaskinStatus,MATCH(D1788,Maskiner,0)),"")="I dokk","","Maskinen er ikke i dokk"),""))))))</f>
        <v/>
      </c>
      <c r="L1788" s="2">
        <f>IF(B1788="","",IFERROR(INT((MATCH(B1788,Teknikere,0)-1)/18)+1,""))</f>
        <v/>
      </c>
      <c r="M1788" s="2">
        <f>IF(OR(A1788="",B1788=""),"",B1788&amp;"|"&amp;A1788)</f>
        <v/>
      </c>
      <c r="N1788" s="2">
        <f>IF(M1788="","",SUMIFS(TF_Timer,TF_Nokkel,M1788,TF_Akt,C1788))</f>
        <v/>
      </c>
      <c r="O1788" s="2">
        <f>IF(M1788="","",IF(AND(N1788=_xlfn.MAXIFS(TF_AktSum,TF_Nokkel,M1788),COUNTIFS(M$3:M1787,M1788,N$3:N1787,N1788)=0),M1788,""))</f>
        <v/>
      </c>
    </row>
    <row r="1789">
      <c r="A1789" s="34" t="n"/>
      <c r="B1789" s="35" t="n"/>
      <c r="C1789" s="35" t="n"/>
      <c r="D1789" s="35" t="n"/>
      <c r="E1789" s="35" t="n"/>
      <c r="F1789" s="36" t="n"/>
      <c r="G1789" s="35" t="n"/>
      <c r="H1789" s="30">
        <f>IF(L1789="","",INDEX(SkiftNavn,L1789))</f>
        <v/>
      </c>
      <c r="I1789" s="30">
        <f>IF(OR(A1789="",L1789=""),"",IF(MOD(A1789-INDEX(SkiftStart,L1789),Syklus)&lt;DagK,"Kveld",IF(MOD(A1789-INDEX(SkiftStart,L1789),Syklus)&lt;DagK+DagH,"Helg",IF(MOD(A1789-INDEX(SkiftStart,L1789),Syklus)&lt;DagK+DagH+DagD,"Dag","Fri"))))</f>
        <v/>
      </c>
      <c r="J1789" s="30">
        <f>IF(I1789="Fri","Ja","")</f>
        <v/>
      </c>
      <c r="K1789" s="30">
        <f>IF(B1789="","",IF(L1789="","Ukjent tekniker",IF(ISNA(MATCH(C1789,Aktiviteter,0)),"Ukjent aktivitet",IF(AND(INDEX(AktRolle,MATCH(C1789,Aktiviteter,0))&amp;""&lt;&gt;"",ISERROR(SEARCH(INDEX(AktRolle,MATCH(C1789,Aktiviteter,0))&amp;"",INDEX(TekRoller,MATCH(B1789,Teknikere,0))))),"Mangler rollen "&amp;INDEX(AktRolle,MATCH(C1789,Aktiviteter,0))&amp;"",IF(AND(C1789="LMS",F1789&gt;0,OR(D1789="",E1789="")),"Mangler maskin eller arbeid",IF(AND(OR(C1789="LMS",C1789="Mod"),D1789&lt;&gt;""),IF(IFERROR(INDEX(MaskinStatus,MATCH(D1789,Maskiner,0)),"")="I dokk","","Maskinen er ikke i dokk"),""))))))</f>
        <v/>
      </c>
      <c r="L1789" s="2">
        <f>IF(B1789="","",IFERROR(INT((MATCH(B1789,Teknikere,0)-1)/18)+1,""))</f>
        <v/>
      </c>
      <c r="M1789" s="2">
        <f>IF(OR(A1789="",B1789=""),"",B1789&amp;"|"&amp;A1789)</f>
        <v/>
      </c>
      <c r="N1789" s="2">
        <f>IF(M1789="","",SUMIFS(TF_Timer,TF_Nokkel,M1789,TF_Akt,C1789))</f>
        <v/>
      </c>
      <c r="O1789" s="2">
        <f>IF(M1789="","",IF(AND(N1789=_xlfn.MAXIFS(TF_AktSum,TF_Nokkel,M1789),COUNTIFS(M$3:M1788,M1789,N$3:N1788,N1789)=0),M1789,""))</f>
        <v/>
      </c>
    </row>
    <row r="1790">
      <c r="A1790" s="34" t="n"/>
      <c r="B1790" s="35" t="n"/>
      <c r="C1790" s="35" t="n"/>
      <c r="D1790" s="35" t="n"/>
      <c r="E1790" s="35" t="n"/>
      <c r="F1790" s="36" t="n"/>
      <c r="G1790" s="35" t="n"/>
      <c r="H1790" s="30">
        <f>IF(L1790="","",INDEX(SkiftNavn,L1790))</f>
        <v/>
      </c>
      <c r="I1790" s="30">
        <f>IF(OR(A1790="",L1790=""),"",IF(MOD(A1790-INDEX(SkiftStart,L1790),Syklus)&lt;DagK,"Kveld",IF(MOD(A1790-INDEX(SkiftStart,L1790),Syklus)&lt;DagK+DagH,"Helg",IF(MOD(A1790-INDEX(SkiftStart,L1790),Syklus)&lt;DagK+DagH+DagD,"Dag","Fri"))))</f>
        <v/>
      </c>
      <c r="J1790" s="30">
        <f>IF(I1790="Fri","Ja","")</f>
        <v/>
      </c>
      <c r="K1790" s="30">
        <f>IF(B1790="","",IF(L1790="","Ukjent tekniker",IF(ISNA(MATCH(C1790,Aktiviteter,0)),"Ukjent aktivitet",IF(AND(INDEX(AktRolle,MATCH(C1790,Aktiviteter,0))&amp;""&lt;&gt;"",ISERROR(SEARCH(INDEX(AktRolle,MATCH(C1790,Aktiviteter,0))&amp;"",INDEX(TekRoller,MATCH(B1790,Teknikere,0))))),"Mangler rollen "&amp;INDEX(AktRolle,MATCH(C1790,Aktiviteter,0))&amp;"",IF(AND(C1790="LMS",F1790&gt;0,OR(D1790="",E1790="")),"Mangler maskin eller arbeid",IF(AND(OR(C1790="LMS",C1790="Mod"),D1790&lt;&gt;""),IF(IFERROR(INDEX(MaskinStatus,MATCH(D1790,Maskiner,0)),"")="I dokk","","Maskinen er ikke i dokk"),""))))))</f>
        <v/>
      </c>
      <c r="L1790" s="2">
        <f>IF(B1790="","",IFERROR(INT((MATCH(B1790,Teknikere,0)-1)/18)+1,""))</f>
        <v/>
      </c>
      <c r="M1790" s="2">
        <f>IF(OR(A1790="",B1790=""),"",B1790&amp;"|"&amp;A1790)</f>
        <v/>
      </c>
      <c r="N1790" s="2">
        <f>IF(M1790="","",SUMIFS(TF_Timer,TF_Nokkel,M1790,TF_Akt,C1790))</f>
        <v/>
      </c>
      <c r="O1790" s="2">
        <f>IF(M1790="","",IF(AND(N1790=_xlfn.MAXIFS(TF_AktSum,TF_Nokkel,M1790),COUNTIFS(M$3:M1789,M1790,N$3:N1789,N1790)=0),M1790,""))</f>
        <v/>
      </c>
    </row>
    <row r="1791">
      <c r="A1791" s="34" t="n"/>
      <c r="B1791" s="35" t="n"/>
      <c r="C1791" s="35" t="n"/>
      <c r="D1791" s="35" t="n"/>
      <c r="E1791" s="35" t="n"/>
      <c r="F1791" s="36" t="n"/>
      <c r="G1791" s="35" t="n"/>
      <c r="H1791" s="30">
        <f>IF(L1791="","",INDEX(SkiftNavn,L1791))</f>
        <v/>
      </c>
      <c r="I1791" s="30">
        <f>IF(OR(A1791="",L1791=""),"",IF(MOD(A1791-INDEX(SkiftStart,L1791),Syklus)&lt;DagK,"Kveld",IF(MOD(A1791-INDEX(SkiftStart,L1791),Syklus)&lt;DagK+DagH,"Helg",IF(MOD(A1791-INDEX(SkiftStart,L1791),Syklus)&lt;DagK+DagH+DagD,"Dag","Fri"))))</f>
        <v/>
      </c>
      <c r="J1791" s="30">
        <f>IF(I1791="Fri","Ja","")</f>
        <v/>
      </c>
      <c r="K1791" s="30">
        <f>IF(B1791="","",IF(L1791="","Ukjent tekniker",IF(ISNA(MATCH(C1791,Aktiviteter,0)),"Ukjent aktivitet",IF(AND(INDEX(AktRolle,MATCH(C1791,Aktiviteter,0))&amp;""&lt;&gt;"",ISERROR(SEARCH(INDEX(AktRolle,MATCH(C1791,Aktiviteter,0))&amp;"",INDEX(TekRoller,MATCH(B1791,Teknikere,0))))),"Mangler rollen "&amp;INDEX(AktRolle,MATCH(C1791,Aktiviteter,0))&amp;"",IF(AND(C1791="LMS",F1791&gt;0,OR(D1791="",E1791="")),"Mangler maskin eller arbeid",IF(AND(OR(C1791="LMS",C1791="Mod"),D1791&lt;&gt;""),IF(IFERROR(INDEX(MaskinStatus,MATCH(D1791,Maskiner,0)),"")="I dokk","","Maskinen er ikke i dokk"),""))))))</f>
        <v/>
      </c>
      <c r="L1791" s="2">
        <f>IF(B1791="","",IFERROR(INT((MATCH(B1791,Teknikere,0)-1)/18)+1,""))</f>
        <v/>
      </c>
      <c r="M1791" s="2">
        <f>IF(OR(A1791="",B1791=""),"",B1791&amp;"|"&amp;A1791)</f>
        <v/>
      </c>
      <c r="N1791" s="2">
        <f>IF(M1791="","",SUMIFS(TF_Timer,TF_Nokkel,M1791,TF_Akt,C1791))</f>
        <v/>
      </c>
      <c r="O1791" s="2">
        <f>IF(M1791="","",IF(AND(N1791=_xlfn.MAXIFS(TF_AktSum,TF_Nokkel,M1791),COUNTIFS(M$3:M1790,M1791,N$3:N1790,N1791)=0),M1791,""))</f>
        <v/>
      </c>
    </row>
    <row r="1792">
      <c r="A1792" s="34" t="n"/>
      <c r="B1792" s="35" t="n"/>
      <c r="C1792" s="35" t="n"/>
      <c r="D1792" s="35" t="n"/>
      <c r="E1792" s="35" t="n"/>
      <c r="F1792" s="36" t="n"/>
      <c r="G1792" s="35" t="n"/>
      <c r="H1792" s="30">
        <f>IF(L1792="","",INDEX(SkiftNavn,L1792))</f>
        <v/>
      </c>
      <c r="I1792" s="30">
        <f>IF(OR(A1792="",L1792=""),"",IF(MOD(A1792-INDEX(SkiftStart,L1792),Syklus)&lt;DagK,"Kveld",IF(MOD(A1792-INDEX(SkiftStart,L1792),Syklus)&lt;DagK+DagH,"Helg",IF(MOD(A1792-INDEX(SkiftStart,L1792),Syklus)&lt;DagK+DagH+DagD,"Dag","Fri"))))</f>
        <v/>
      </c>
      <c r="J1792" s="30">
        <f>IF(I1792="Fri","Ja","")</f>
        <v/>
      </c>
      <c r="K1792" s="30">
        <f>IF(B1792="","",IF(L1792="","Ukjent tekniker",IF(ISNA(MATCH(C1792,Aktiviteter,0)),"Ukjent aktivitet",IF(AND(INDEX(AktRolle,MATCH(C1792,Aktiviteter,0))&amp;""&lt;&gt;"",ISERROR(SEARCH(INDEX(AktRolle,MATCH(C1792,Aktiviteter,0))&amp;"",INDEX(TekRoller,MATCH(B1792,Teknikere,0))))),"Mangler rollen "&amp;INDEX(AktRolle,MATCH(C1792,Aktiviteter,0))&amp;"",IF(AND(C1792="LMS",F1792&gt;0,OR(D1792="",E1792="")),"Mangler maskin eller arbeid",IF(AND(OR(C1792="LMS",C1792="Mod"),D1792&lt;&gt;""),IF(IFERROR(INDEX(MaskinStatus,MATCH(D1792,Maskiner,0)),"")="I dokk","","Maskinen er ikke i dokk"),""))))))</f>
        <v/>
      </c>
      <c r="L1792" s="2">
        <f>IF(B1792="","",IFERROR(INT((MATCH(B1792,Teknikere,0)-1)/18)+1,""))</f>
        <v/>
      </c>
      <c r="M1792" s="2">
        <f>IF(OR(A1792="",B1792=""),"",B1792&amp;"|"&amp;A1792)</f>
        <v/>
      </c>
      <c r="N1792" s="2">
        <f>IF(M1792="","",SUMIFS(TF_Timer,TF_Nokkel,M1792,TF_Akt,C1792))</f>
        <v/>
      </c>
      <c r="O1792" s="2">
        <f>IF(M1792="","",IF(AND(N1792=_xlfn.MAXIFS(TF_AktSum,TF_Nokkel,M1792),COUNTIFS(M$3:M1791,M1792,N$3:N1791,N1792)=0),M1792,""))</f>
        <v/>
      </c>
    </row>
    <row r="1793">
      <c r="A1793" s="34" t="n"/>
      <c r="B1793" s="35" t="n"/>
      <c r="C1793" s="35" t="n"/>
      <c r="D1793" s="35" t="n"/>
      <c r="E1793" s="35" t="n"/>
      <c r="F1793" s="36" t="n"/>
      <c r="G1793" s="35" t="n"/>
      <c r="H1793" s="30">
        <f>IF(L1793="","",INDEX(SkiftNavn,L1793))</f>
        <v/>
      </c>
      <c r="I1793" s="30">
        <f>IF(OR(A1793="",L1793=""),"",IF(MOD(A1793-INDEX(SkiftStart,L1793),Syklus)&lt;DagK,"Kveld",IF(MOD(A1793-INDEX(SkiftStart,L1793),Syklus)&lt;DagK+DagH,"Helg",IF(MOD(A1793-INDEX(SkiftStart,L1793),Syklus)&lt;DagK+DagH+DagD,"Dag","Fri"))))</f>
        <v/>
      </c>
      <c r="J1793" s="30">
        <f>IF(I1793="Fri","Ja","")</f>
        <v/>
      </c>
      <c r="K1793" s="30">
        <f>IF(B1793="","",IF(L1793="","Ukjent tekniker",IF(ISNA(MATCH(C1793,Aktiviteter,0)),"Ukjent aktivitet",IF(AND(INDEX(AktRolle,MATCH(C1793,Aktiviteter,0))&amp;""&lt;&gt;"",ISERROR(SEARCH(INDEX(AktRolle,MATCH(C1793,Aktiviteter,0))&amp;"",INDEX(TekRoller,MATCH(B1793,Teknikere,0))))),"Mangler rollen "&amp;INDEX(AktRolle,MATCH(C1793,Aktiviteter,0))&amp;"",IF(AND(C1793="LMS",F1793&gt;0,OR(D1793="",E1793="")),"Mangler maskin eller arbeid",IF(AND(OR(C1793="LMS",C1793="Mod"),D1793&lt;&gt;""),IF(IFERROR(INDEX(MaskinStatus,MATCH(D1793,Maskiner,0)),"")="I dokk","","Maskinen er ikke i dokk"),""))))))</f>
        <v/>
      </c>
      <c r="L1793" s="2">
        <f>IF(B1793="","",IFERROR(INT((MATCH(B1793,Teknikere,0)-1)/18)+1,""))</f>
        <v/>
      </c>
      <c r="M1793" s="2">
        <f>IF(OR(A1793="",B1793=""),"",B1793&amp;"|"&amp;A1793)</f>
        <v/>
      </c>
      <c r="N1793" s="2">
        <f>IF(M1793="","",SUMIFS(TF_Timer,TF_Nokkel,M1793,TF_Akt,C1793))</f>
        <v/>
      </c>
      <c r="O1793" s="2">
        <f>IF(M1793="","",IF(AND(N1793=_xlfn.MAXIFS(TF_AktSum,TF_Nokkel,M1793),COUNTIFS(M$3:M1792,M1793,N$3:N1792,N1793)=0),M1793,""))</f>
        <v/>
      </c>
    </row>
    <row r="1794">
      <c r="A1794" s="34" t="n"/>
      <c r="B1794" s="35" t="n"/>
      <c r="C1794" s="35" t="n"/>
      <c r="D1794" s="35" t="n"/>
      <c r="E1794" s="35" t="n"/>
      <c r="F1794" s="36" t="n"/>
      <c r="G1794" s="35" t="n"/>
      <c r="H1794" s="30">
        <f>IF(L1794="","",INDEX(SkiftNavn,L1794))</f>
        <v/>
      </c>
      <c r="I1794" s="30">
        <f>IF(OR(A1794="",L1794=""),"",IF(MOD(A1794-INDEX(SkiftStart,L1794),Syklus)&lt;DagK,"Kveld",IF(MOD(A1794-INDEX(SkiftStart,L1794),Syklus)&lt;DagK+DagH,"Helg",IF(MOD(A1794-INDEX(SkiftStart,L1794),Syklus)&lt;DagK+DagH+DagD,"Dag","Fri"))))</f>
        <v/>
      </c>
      <c r="J1794" s="30">
        <f>IF(I1794="Fri","Ja","")</f>
        <v/>
      </c>
      <c r="K1794" s="30">
        <f>IF(B1794="","",IF(L1794="","Ukjent tekniker",IF(ISNA(MATCH(C1794,Aktiviteter,0)),"Ukjent aktivitet",IF(AND(INDEX(AktRolle,MATCH(C1794,Aktiviteter,0))&amp;""&lt;&gt;"",ISERROR(SEARCH(INDEX(AktRolle,MATCH(C1794,Aktiviteter,0))&amp;"",INDEX(TekRoller,MATCH(B1794,Teknikere,0))))),"Mangler rollen "&amp;INDEX(AktRolle,MATCH(C1794,Aktiviteter,0))&amp;"",IF(AND(C1794="LMS",F1794&gt;0,OR(D1794="",E1794="")),"Mangler maskin eller arbeid",IF(AND(OR(C1794="LMS",C1794="Mod"),D1794&lt;&gt;""),IF(IFERROR(INDEX(MaskinStatus,MATCH(D1794,Maskiner,0)),"")="I dokk","","Maskinen er ikke i dokk"),""))))))</f>
        <v/>
      </c>
      <c r="L1794" s="2">
        <f>IF(B1794="","",IFERROR(INT((MATCH(B1794,Teknikere,0)-1)/18)+1,""))</f>
        <v/>
      </c>
      <c r="M1794" s="2">
        <f>IF(OR(A1794="",B1794=""),"",B1794&amp;"|"&amp;A1794)</f>
        <v/>
      </c>
      <c r="N1794" s="2">
        <f>IF(M1794="","",SUMIFS(TF_Timer,TF_Nokkel,M1794,TF_Akt,C1794))</f>
        <v/>
      </c>
      <c r="O1794" s="2">
        <f>IF(M1794="","",IF(AND(N1794=_xlfn.MAXIFS(TF_AktSum,TF_Nokkel,M1794),COUNTIFS(M$3:M1793,M1794,N$3:N1793,N1794)=0),M1794,""))</f>
        <v/>
      </c>
    </row>
    <row r="1795">
      <c r="A1795" s="34" t="n"/>
      <c r="B1795" s="35" t="n"/>
      <c r="C1795" s="35" t="n"/>
      <c r="D1795" s="35" t="n"/>
      <c r="E1795" s="35" t="n"/>
      <c r="F1795" s="36" t="n"/>
      <c r="G1795" s="35" t="n"/>
      <c r="H1795" s="30">
        <f>IF(L1795="","",INDEX(SkiftNavn,L1795))</f>
        <v/>
      </c>
      <c r="I1795" s="30">
        <f>IF(OR(A1795="",L1795=""),"",IF(MOD(A1795-INDEX(SkiftStart,L1795),Syklus)&lt;DagK,"Kveld",IF(MOD(A1795-INDEX(SkiftStart,L1795),Syklus)&lt;DagK+DagH,"Helg",IF(MOD(A1795-INDEX(SkiftStart,L1795),Syklus)&lt;DagK+DagH+DagD,"Dag","Fri"))))</f>
        <v/>
      </c>
      <c r="J1795" s="30">
        <f>IF(I1795="Fri","Ja","")</f>
        <v/>
      </c>
      <c r="K1795" s="30">
        <f>IF(B1795="","",IF(L1795="","Ukjent tekniker",IF(ISNA(MATCH(C1795,Aktiviteter,0)),"Ukjent aktivitet",IF(AND(INDEX(AktRolle,MATCH(C1795,Aktiviteter,0))&amp;""&lt;&gt;"",ISERROR(SEARCH(INDEX(AktRolle,MATCH(C1795,Aktiviteter,0))&amp;"",INDEX(TekRoller,MATCH(B1795,Teknikere,0))))),"Mangler rollen "&amp;INDEX(AktRolle,MATCH(C1795,Aktiviteter,0))&amp;"",IF(AND(C1795="LMS",F1795&gt;0,OR(D1795="",E1795="")),"Mangler maskin eller arbeid",IF(AND(OR(C1795="LMS",C1795="Mod"),D1795&lt;&gt;""),IF(IFERROR(INDEX(MaskinStatus,MATCH(D1795,Maskiner,0)),"")="I dokk","","Maskinen er ikke i dokk"),""))))))</f>
        <v/>
      </c>
      <c r="L1795" s="2">
        <f>IF(B1795="","",IFERROR(INT((MATCH(B1795,Teknikere,0)-1)/18)+1,""))</f>
        <v/>
      </c>
      <c r="M1795" s="2">
        <f>IF(OR(A1795="",B1795=""),"",B1795&amp;"|"&amp;A1795)</f>
        <v/>
      </c>
      <c r="N1795" s="2">
        <f>IF(M1795="","",SUMIFS(TF_Timer,TF_Nokkel,M1795,TF_Akt,C1795))</f>
        <v/>
      </c>
      <c r="O1795" s="2">
        <f>IF(M1795="","",IF(AND(N1795=_xlfn.MAXIFS(TF_AktSum,TF_Nokkel,M1795),COUNTIFS(M$3:M1794,M1795,N$3:N1794,N1795)=0),M1795,""))</f>
        <v/>
      </c>
    </row>
    <row r="1796">
      <c r="A1796" s="34" t="n"/>
      <c r="B1796" s="35" t="n"/>
      <c r="C1796" s="35" t="n"/>
      <c r="D1796" s="35" t="n"/>
      <c r="E1796" s="35" t="n"/>
      <c r="F1796" s="36" t="n"/>
      <c r="G1796" s="35" t="n"/>
      <c r="H1796" s="30">
        <f>IF(L1796="","",INDEX(SkiftNavn,L1796))</f>
        <v/>
      </c>
      <c r="I1796" s="30">
        <f>IF(OR(A1796="",L1796=""),"",IF(MOD(A1796-INDEX(SkiftStart,L1796),Syklus)&lt;DagK,"Kveld",IF(MOD(A1796-INDEX(SkiftStart,L1796),Syklus)&lt;DagK+DagH,"Helg",IF(MOD(A1796-INDEX(SkiftStart,L1796),Syklus)&lt;DagK+DagH+DagD,"Dag","Fri"))))</f>
        <v/>
      </c>
      <c r="J1796" s="30">
        <f>IF(I1796="Fri","Ja","")</f>
        <v/>
      </c>
      <c r="K1796" s="30">
        <f>IF(B1796="","",IF(L1796="","Ukjent tekniker",IF(ISNA(MATCH(C1796,Aktiviteter,0)),"Ukjent aktivitet",IF(AND(INDEX(AktRolle,MATCH(C1796,Aktiviteter,0))&amp;""&lt;&gt;"",ISERROR(SEARCH(INDEX(AktRolle,MATCH(C1796,Aktiviteter,0))&amp;"",INDEX(TekRoller,MATCH(B1796,Teknikere,0))))),"Mangler rollen "&amp;INDEX(AktRolle,MATCH(C1796,Aktiviteter,0))&amp;"",IF(AND(C1796="LMS",F1796&gt;0,OR(D1796="",E1796="")),"Mangler maskin eller arbeid",IF(AND(OR(C1796="LMS",C1796="Mod"),D1796&lt;&gt;""),IF(IFERROR(INDEX(MaskinStatus,MATCH(D1796,Maskiner,0)),"")="I dokk","","Maskinen er ikke i dokk"),""))))))</f>
        <v/>
      </c>
      <c r="L1796" s="2">
        <f>IF(B1796="","",IFERROR(INT((MATCH(B1796,Teknikere,0)-1)/18)+1,""))</f>
        <v/>
      </c>
      <c r="M1796" s="2">
        <f>IF(OR(A1796="",B1796=""),"",B1796&amp;"|"&amp;A1796)</f>
        <v/>
      </c>
      <c r="N1796" s="2">
        <f>IF(M1796="","",SUMIFS(TF_Timer,TF_Nokkel,M1796,TF_Akt,C1796))</f>
        <v/>
      </c>
      <c r="O1796" s="2">
        <f>IF(M1796="","",IF(AND(N1796=_xlfn.MAXIFS(TF_AktSum,TF_Nokkel,M1796),COUNTIFS(M$3:M1795,M1796,N$3:N1795,N1796)=0),M1796,""))</f>
        <v/>
      </c>
    </row>
    <row r="1797">
      <c r="A1797" s="34" t="n"/>
      <c r="B1797" s="35" t="n"/>
      <c r="C1797" s="35" t="n"/>
      <c r="D1797" s="35" t="n"/>
      <c r="E1797" s="35" t="n"/>
      <c r="F1797" s="36" t="n"/>
      <c r="G1797" s="35" t="n"/>
      <c r="H1797" s="30">
        <f>IF(L1797="","",INDEX(SkiftNavn,L1797))</f>
        <v/>
      </c>
      <c r="I1797" s="30">
        <f>IF(OR(A1797="",L1797=""),"",IF(MOD(A1797-INDEX(SkiftStart,L1797),Syklus)&lt;DagK,"Kveld",IF(MOD(A1797-INDEX(SkiftStart,L1797),Syklus)&lt;DagK+DagH,"Helg",IF(MOD(A1797-INDEX(SkiftStart,L1797),Syklus)&lt;DagK+DagH+DagD,"Dag","Fri"))))</f>
        <v/>
      </c>
      <c r="J1797" s="30">
        <f>IF(I1797="Fri","Ja","")</f>
        <v/>
      </c>
      <c r="K1797" s="30">
        <f>IF(B1797="","",IF(L1797="","Ukjent tekniker",IF(ISNA(MATCH(C1797,Aktiviteter,0)),"Ukjent aktivitet",IF(AND(INDEX(AktRolle,MATCH(C1797,Aktiviteter,0))&amp;""&lt;&gt;"",ISERROR(SEARCH(INDEX(AktRolle,MATCH(C1797,Aktiviteter,0))&amp;"",INDEX(TekRoller,MATCH(B1797,Teknikere,0))))),"Mangler rollen "&amp;INDEX(AktRolle,MATCH(C1797,Aktiviteter,0))&amp;"",IF(AND(C1797="LMS",F1797&gt;0,OR(D1797="",E1797="")),"Mangler maskin eller arbeid",IF(AND(OR(C1797="LMS",C1797="Mod"),D1797&lt;&gt;""),IF(IFERROR(INDEX(MaskinStatus,MATCH(D1797,Maskiner,0)),"")="I dokk","","Maskinen er ikke i dokk"),""))))))</f>
        <v/>
      </c>
      <c r="L1797" s="2">
        <f>IF(B1797="","",IFERROR(INT((MATCH(B1797,Teknikere,0)-1)/18)+1,""))</f>
        <v/>
      </c>
      <c r="M1797" s="2">
        <f>IF(OR(A1797="",B1797=""),"",B1797&amp;"|"&amp;A1797)</f>
        <v/>
      </c>
      <c r="N1797" s="2">
        <f>IF(M1797="","",SUMIFS(TF_Timer,TF_Nokkel,M1797,TF_Akt,C1797))</f>
        <v/>
      </c>
      <c r="O1797" s="2">
        <f>IF(M1797="","",IF(AND(N1797=_xlfn.MAXIFS(TF_AktSum,TF_Nokkel,M1797),COUNTIFS(M$3:M1796,M1797,N$3:N1796,N1797)=0),M1797,""))</f>
        <v/>
      </c>
    </row>
    <row r="1798">
      <c r="A1798" s="34" t="n"/>
      <c r="B1798" s="35" t="n"/>
      <c r="C1798" s="35" t="n"/>
      <c r="D1798" s="35" t="n"/>
      <c r="E1798" s="35" t="n"/>
      <c r="F1798" s="36" t="n"/>
      <c r="G1798" s="35" t="n"/>
      <c r="H1798" s="30">
        <f>IF(L1798="","",INDEX(SkiftNavn,L1798))</f>
        <v/>
      </c>
      <c r="I1798" s="30">
        <f>IF(OR(A1798="",L1798=""),"",IF(MOD(A1798-INDEX(SkiftStart,L1798),Syklus)&lt;DagK,"Kveld",IF(MOD(A1798-INDEX(SkiftStart,L1798),Syklus)&lt;DagK+DagH,"Helg",IF(MOD(A1798-INDEX(SkiftStart,L1798),Syklus)&lt;DagK+DagH+DagD,"Dag","Fri"))))</f>
        <v/>
      </c>
      <c r="J1798" s="30">
        <f>IF(I1798="Fri","Ja","")</f>
        <v/>
      </c>
      <c r="K1798" s="30">
        <f>IF(B1798="","",IF(L1798="","Ukjent tekniker",IF(ISNA(MATCH(C1798,Aktiviteter,0)),"Ukjent aktivitet",IF(AND(INDEX(AktRolle,MATCH(C1798,Aktiviteter,0))&amp;""&lt;&gt;"",ISERROR(SEARCH(INDEX(AktRolle,MATCH(C1798,Aktiviteter,0))&amp;"",INDEX(TekRoller,MATCH(B1798,Teknikere,0))))),"Mangler rollen "&amp;INDEX(AktRolle,MATCH(C1798,Aktiviteter,0))&amp;"",IF(AND(C1798="LMS",F1798&gt;0,OR(D1798="",E1798="")),"Mangler maskin eller arbeid",IF(AND(OR(C1798="LMS",C1798="Mod"),D1798&lt;&gt;""),IF(IFERROR(INDEX(MaskinStatus,MATCH(D1798,Maskiner,0)),"")="I dokk","","Maskinen er ikke i dokk"),""))))))</f>
        <v/>
      </c>
      <c r="L1798" s="2">
        <f>IF(B1798="","",IFERROR(INT((MATCH(B1798,Teknikere,0)-1)/18)+1,""))</f>
        <v/>
      </c>
      <c r="M1798" s="2">
        <f>IF(OR(A1798="",B1798=""),"",B1798&amp;"|"&amp;A1798)</f>
        <v/>
      </c>
      <c r="N1798" s="2">
        <f>IF(M1798="","",SUMIFS(TF_Timer,TF_Nokkel,M1798,TF_Akt,C1798))</f>
        <v/>
      </c>
      <c r="O1798" s="2">
        <f>IF(M1798="","",IF(AND(N1798=_xlfn.MAXIFS(TF_AktSum,TF_Nokkel,M1798),COUNTIFS(M$3:M1797,M1798,N$3:N1797,N1798)=0),M1798,""))</f>
        <v/>
      </c>
    </row>
    <row r="1799">
      <c r="A1799" s="34" t="n"/>
      <c r="B1799" s="35" t="n"/>
      <c r="C1799" s="35" t="n"/>
      <c r="D1799" s="35" t="n"/>
      <c r="E1799" s="35" t="n"/>
      <c r="F1799" s="36" t="n"/>
      <c r="G1799" s="35" t="n"/>
      <c r="H1799" s="30">
        <f>IF(L1799="","",INDEX(SkiftNavn,L1799))</f>
        <v/>
      </c>
      <c r="I1799" s="30">
        <f>IF(OR(A1799="",L1799=""),"",IF(MOD(A1799-INDEX(SkiftStart,L1799),Syklus)&lt;DagK,"Kveld",IF(MOD(A1799-INDEX(SkiftStart,L1799),Syklus)&lt;DagK+DagH,"Helg",IF(MOD(A1799-INDEX(SkiftStart,L1799),Syklus)&lt;DagK+DagH+DagD,"Dag","Fri"))))</f>
        <v/>
      </c>
      <c r="J1799" s="30">
        <f>IF(I1799="Fri","Ja","")</f>
        <v/>
      </c>
      <c r="K1799" s="30">
        <f>IF(B1799="","",IF(L1799="","Ukjent tekniker",IF(ISNA(MATCH(C1799,Aktiviteter,0)),"Ukjent aktivitet",IF(AND(INDEX(AktRolle,MATCH(C1799,Aktiviteter,0))&amp;""&lt;&gt;"",ISERROR(SEARCH(INDEX(AktRolle,MATCH(C1799,Aktiviteter,0))&amp;"",INDEX(TekRoller,MATCH(B1799,Teknikere,0))))),"Mangler rollen "&amp;INDEX(AktRolle,MATCH(C1799,Aktiviteter,0))&amp;"",IF(AND(C1799="LMS",F1799&gt;0,OR(D1799="",E1799="")),"Mangler maskin eller arbeid",IF(AND(OR(C1799="LMS",C1799="Mod"),D1799&lt;&gt;""),IF(IFERROR(INDEX(MaskinStatus,MATCH(D1799,Maskiner,0)),"")="I dokk","","Maskinen er ikke i dokk"),""))))))</f>
        <v/>
      </c>
      <c r="L1799" s="2">
        <f>IF(B1799="","",IFERROR(INT((MATCH(B1799,Teknikere,0)-1)/18)+1,""))</f>
        <v/>
      </c>
      <c r="M1799" s="2">
        <f>IF(OR(A1799="",B1799=""),"",B1799&amp;"|"&amp;A1799)</f>
        <v/>
      </c>
      <c r="N1799" s="2">
        <f>IF(M1799="","",SUMIFS(TF_Timer,TF_Nokkel,M1799,TF_Akt,C1799))</f>
        <v/>
      </c>
      <c r="O1799" s="2">
        <f>IF(M1799="","",IF(AND(N1799=_xlfn.MAXIFS(TF_AktSum,TF_Nokkel,M1799),COUNTIFS(M$3:M1798,M1799,N$3:N1798,N1799)=0),M1799,""))</f>
        <v/>
      </c>
    </row>
    <row r="1800">
      <c r="A1800" s="34" t="n"/>
      <c r="B1800" s="35" t="n"/>
      <c r="C1800" s="35" t="n"/>
      <c r="D1800" s="35" t="n"/>
      <c r="E1800" s="35" t="n"/>
      <c r="F1800" s="36" t="n"/>
      <c r="G1800" s="35" t="n"/>
      <c r="H1800" s="30">
        <f>IF(L1800="","",INDEX(SkiftNavn,L1800))</f>
        <v/>
      </c>
      <c r="I1800" s="30">
        <f>IF(OR(A1800="",L1800=""),"",IF(MOD(A1800-INDEX(SkiftStart,L1800),Syklus)&lt;DagK,"Kveld",IF(MOD(A1800-INDEX(SkiftStart,L1800),Syklus)&lt;DagK+DagH,"Helg",IF(MOD(A1800-INDEX(SkiftStart,L1800),Syklus)&lt;DagK+DagH+DagD,"Dag","Fri"))))</f>
        <v/>
      </c>
      <c r="J1800" s="30">
        <f>IF(I1800="Fri","Ja","")</f>
        <v/>
      </c>
      <c r="K1800" s="30">
        <f>IF(B1800="","",IF(L1800="","Ukjent tekniker",IF(ISNA(MATCH(C1800,Aktiviteter,0)),"Ukjent aktivitet",IF(AND(INDEX(AktRolle,MATCH(C1800,Aktiviteter,0))&amp;""&lt;&gt;"",ISERROR(SEARCH(INDEX(AktRolle,MATCH(C1800,Aktiviteter,0))&amp;"",INDEX(TekRoller,MATCH(B1800,Teknikere,0))))),"Mangler rollen "&amp;INDEX(AktRolle,MATCH(C1800,Aktiviteter,0))&amp;"",IF(AND(C1800="LMS",F1800&gt;0,OR(D1800="",E1800="")),"Mangler maskin eller arbeid",IF(AND(OR(C1800="LMS",C1800="Mod"),D1800&lt;&gt;""),IF(IFERROR(INDEX(MaskinStatus,MATCH(D1800,Maskiner,0)),"")="I dokk","","Maskinen er ikke i dokk"),""))))))</f>
        <v/>
      </c>
      <c r="L1800" s="2">
        <f>IF(B1800="","",IFERROR(INT((MATCH(B1800,Teknikere,0)-1)/18)+1,""))</f>
        <v/>
      </c>
      <c r="M1800" s="2">
        <f>IF(OR(A1800="",B1800=""),"",B1800&amp;"|"&amp;A1800)</f>
        <v/>
      </c>
      <c r="N1800" s="2">
        <f>IF(M1800="","",SUMIFS(TF_Timer,TF_Nokkel,M1800,TF_Akt,C1800))</f>
        <v/>
      </c>
      <c r="O1800" s="2">
        <f>IF(M1800="","",IF(AND(N1800=_xlfn.MAXIFS(TF_AktSum,TF_Nokkel,M1800),COUNTIFS(M$3:M1799,M1800,N$3:N1799,N1800)=0),M1800,""))</f>
        <v/>
      </c>
    </row>
    <row r="1801">
      <c r="A1801" s="34" t="n"/>
      <c r="B1801" s="35" t="n"/>
      <c r="C1801" s="35" t="n"/>
      <c r="D1801" s="35" t="n"/>
      <c r="E1801" s="35" t="n"/>
      <c r="F1801" s="36" t="n"/>
      <c r="G1801" s="35" t="n"/>
      <c r="H1801" s="30">
        <f>IF(L1801="","",INDEX(SkiftNavn,L1801))</f>
        <v/>
      </c>
      <c r="I1801" s="30">
        <f>IF(OR(A1801="",L1801=""),"",IF(MOD(A1801-INDEX(SkiftStart,L1801),Syklus)&lt;DagK,"Kveld",IF(MOD(A1801-INDEX(SkiftStart,L1801),Syklus)&lt;DagK+DagH,"Helg",IF(MOD(A1801-INDEX(SkiftStart,L1801),Syklus)&lt;DagK+DagH+DagD,"Dag","Fri"))))</f>
        <v/>
      </c>
      <c r="J1801" s="30">
        <f>IF(I1801="Fri","Ja","")</f>
        <v/>
      </c>
      <c r="K1801" s="30">
        <f>IF(B1801="","",IF(L1801="","Ukjent tekniker",IF(ISNA(MATCH(C1801,Aktiviteter,0)),"Ukjent aktivitet",IF(AND(INDEX(AktRolle,MATCH(C1801,Aktiviteter,0))&amp;""&lt;&gt;"",ISERROR(SEARCH(INDEX(AktRolle,MATCH(C1801,Aktiviteter,0))&amp;"",INDEX(TekRoller,MATCH(B1801,Teknikere,0))))),"Mangler rollen "&amp;INDEX(AktRolle,MATCH(C1801,Aktiviteter,0))&amp;"",IF(AND(C1801="LMS",F1801&gt;0,OR(D1801="",E1801="")),"Mangler maskin eller arbeid",IF(AND(OR(C1801="LMS",C1801="Mod"),D1801&lt;&gt;""),IF(IFERROR(INDEX(MaskinStatus,MATCH(D1801,Maskiner,0)),"")="I dokk","","Maskinen er ikke i dokk"),""))))))</f>
        <v/>
      </c>
      <c r="L1801" s="2">
        <f>IF(B1801="","",IFERROR(INT((MATCH(B1801,Teknikere,0)-1)/18)+1,""))</f>
        <v/>
      </c>
      <c r="M1801" s="2">
        <f>IF(OR(A1801="",B1801=""),"",B1801&amp;"|"&amp;A1801)</f>
        <v/>
      </c>
      <c r="N1801" s="2">
        <f>IF(M1801="","",SUMIFS(TF_Timer,TF_Nokkel,M1801,TF_Akt,C1801))</f>
        <v/>
      </c>
      <c r="O1801" s="2">
        <f>IF(M1801="","",IF(AND(N1801=_xlfn.MAXIFS(TF_AktSum,TF_Nokkel,M1801),COUNTIFS(M$3:M1800,M1801,N$3:N1800,N1801)=0),M1801,""))</f>
        <v/>
      </c>
    </row>
    <row r="1802">
      <c r="A1802" s="34" t="n"/>
      <c r="B1802" s="35" t="n"/>
      <c r="C1802" s="35" t="n"/>
      <c r="D1802" s="35" t="n"/>
      <c r="E1802" s="35" t="n"/>
      <c r="F1802" s="36" t="n"/>
      <c r="G1802" s="35" t="n"/>
      <c r="H1802" s="30">
        <f>IF(L1802="","",INDEX(SkiftNavn,L1802))</f>
        <v/>
      </c>
      <c r="I1802" s="30">
        <f>IF(OR(A1802="",L1802=""),"",IF(MOD(A1802-INDEX(SkiftStart,L1802),Syklus)&lt;DagK,"Kveld",IF(MOD(A1802-INDEX(SkiftStart,L1802),Syklus)&lt;DagK+DagH,"Helg",IF(MOD(A1802-INDEX(SkiftStart,L1802),Syklus)&lt;DagK+DagH+DagD,"Dag","Fri"))))</f>
        <v/>
      </c>
      <c r="J1802" s="30">
        <f>IF(I1802="Fri","Ja","")</f>
        <v/>
      </c>
      <c r="K1802" s="30">
        <f>IF(B1802="","",IF(L1802="","Ukjent tekniker",IF(ISNA(MATCH(C1802,Aktiviteter,0)),"Ukjent aktivitet",IF(AND(INDEX(AktRolle,MATCH(C1802,Aktiviteter,0))&amp;""&lt;&gt;"",ISERROR(SEARCH(INDEX(AktRolle,MATCH(C1802,Aktiviteter,0))&amp;"",INDEX(TekRoller,MATCH(B1802,Teknikere,0))))),"Mangler rollen "&amp;INDEX(AktRolle,MATCH(C1802,Aktiviteter,0))&amp;"",IF(AND(C1802="LMS",F1802&gt;0,OR(D1802="",E1802="")),"Mangler maskin eller arbeid",IF(AND(OR(C1802="LMS",C1802="Mod"),D1802&lt;&gt;""),IF(IFERROR(INDEX(MaskinStatus,MATCH(D1802,Maskiner,0)),"")="I dokk","","Maskinen er ikke i dokk"),""))))))</f>
        <v/>
      </c>
      <c r="L1802" s="2">
        <f>IF(B1802="","",IFERROR(INT((MATCH(B1802,Teknikere,0)-1)/18)+1,""))</f>
        <v/>
      </c>
      <c r="M1802" s="2">
        <f>IF(OR(A1802="",B1802=""),"",B1802&amp;"|"&amp;A1802)</f>
        <v/>
      </c>
      <c r="N1802" s="2">
        <f>IF(M1802="","",SUMIFS(TF_Timer,TF_Nokkel,M1802,TF_Akt,C1802))</f>
        <v/>
      </c>
      <c r="O1802" s="2">
        <f>IF(M1802="","",IF(AND(N1802=_xlfn.MAXIFS(TF_AktSum,TF_Nokkel,M1802),COUNTIFS(M$3:M1801,M1802,N$3:N1801,N1802)=0),M1802,""))</f>
        <v/>
      </c>
    </row>
    <row r="1803">
      <c r="A1803" s="34" t="n"/>
      <c r="B1803" s="35" t="n"/>
      <c r="C1803" s="35" t="n"/>
      <c r="D1803" s="35" t="n"/>
      <c r="E1803" s="35" t="n"/>
      <c r="F1803" s="36" t="n"/>
      <c r="G1803" s="35" t="n"/>
      <c r="H1803" s="30">
        <f>IF(L1803="","",INDEX(SkiftNavn,L1803))</f>
        <v/>
      </c>
      <c r="I1803" s="30">
        <f>IF(OR(A1803="",L1803=""),"",IF(MOD(A1803-INDEX(SkiftStart,L1803),Syklus)&lt;DagK,"Kveld",IF(MOD(A1803-INDEX(SkiftStart,L1803),Syklus)&lt;DagK+DagH,"Helg",IF(MOD(A1803-INDEX(SkiftStart,L1803),Syklus)&lt;DagK+DagH+DagD,"Dag","Fri"))))</f>
        <v/>
      </c>
      <c r="J1803" s="30">
        <f>IF(I1803="Fri","Ja","")</f>
        <v/>
      </c>
      <c r="K1803" s="30">
        <f>IF(B1803="","",IF(L1803="","Ukjent tekniker",IF(ISNA(MATCH(C1803,Aktiviteter,0)),"Ukjent aktivitet",IF(AND(INDEX(AktRolle,MATCH(C1803,Aktiviteter,0))&amp;""&lt;&gt;"",ISERROR(SEARCH(INDEX(AktRolle,MATCH(C1803,Aktiviteter,0))&amp;"",INDEX(TekRoller,MATCH(B1803,Teknikere,0))))),"Mangler rollen "&amp;INDEX(AktRolle,MATCH(C1803,Aktiviteter,0))&amp;"",IF(AND(C1803="LMS",F1803&gt;0,OR(D1803="",E1803="")),"Mangler maskin eller arbeid",IF(AND(OR(C1803="LMS",C1803="Mod"),D1803&lt;&gt;""),IF(IFERROR(INDEX(MaskinStatus,MATCH(D1803,Maskiner,0)),"")="I dokk","","Maskinen er ikke i dokk"),""))))))</f>
        <v/>
      </c>
      <c r="L1803" s="2">
        <f>IF(B1803="","",IFERROR(INT((MATCH(B1803,Teknikere,0)-1)/18)+1,""))</f>
        <v/>
      </c>
      <c r="M1803" s="2">
        <f>IF(OR(A1803="",B1803=""),"",B1803&amp;"|"&amp;A1803)</f>
        <v/>
      </c>
      <c r="N1803" s="2">
        <f>IF(M1803="","",SUMIFS(TF_Timer,TF_Nokkel,M1803,TF_Akt,C1803))</f>
        <v/>
      </c>
      <c r="O1803" s="2">
        <f>IF(M1803="","",IF(AND(N1803=_xlfn.MAXIFS(TF_AktSum,TF_Nokkel,M1803),COUNTIFS(M$3:M1802,M1803,N$3:N1802,N1803)=0),M1803,""))</f>
        <v/>
      </c>
    </row>
    <row r="1804">
      <c r="A1804" s="34" t="n"/>
      <c r="B1804" s="35" t="n"/>
      <c r="C1804" s="35" t="n"/>
      <c r="D1804" s="35" t="n"/>
      <c r="E1804" s="35" t="n"/>
      <c r="F1804" s="36" t="n"/>
      <c r="G1804" s="35" t="n"/>
      <c r="H1804" s="30">
        <f>IF(L1804="","",INDEX(SkiftNavn,L1804))</f>
        <v/>
      </c>
      <c r="I1804" s="30">
        <f>IF(OR(A1804="",L1804=""),"",IF(MOD(A1804-INDEX(SkiftStart,L1804),Syklus)&lt;DagK,"Kveld",IF(MOD(A1804-INDEX(SkiftStart,L1804),Syklus)&lt;DagK+DagH,"Helg",IF(MOD(A1804-INDEX(SkiftStart,L1804),Syklus)&lt;DagK+DagH+DagD,"Dag","Fri"))))</f>
        <v/>
      </c>
      <c r="J1804" s="30">
        <f>IF(I1804="Fri","Ja","")</f>
        <v/>
      </c>
      <c r="K1804" s="30">
        <f>IF(B1804="","",IF(L1804="","Ukjent tekniker",IF(ISNA(MATCH(C1804,Aktiviteter,0)),"Ukjent aktivitet",IF(AND(INDEX(AktRolle,MATCH(C1804,Aktiviteter,0))&amp;""&lt;&gt;"",ISERROR(SEARCH(INDEX(AktRolle,MATCH(C1804,Aktiviteter,0))&amp;"",INDEX(TekRoller,MATCH(B1804,Teknikere,0))))),"Mangler rollen "&amp;INDEX(AktRolle,MATCH(C1804,Aktiviteter,0))&amp;"",IF(AND(C1804="LMS",F1804&gt;0,OR(D1804="",E1804="")),"Mangler maskin eller arbeid",IF(AND(OR(C1804="LMS",C1804="Mod"),D1804&lt;&gt;""),IF(IFERROR(INDEX(MaskinStatus,MATCH(D1804,Maskiner,0)),"")="I dokk","","Maskinen er ikke i dokk"),""))))))</f>
        <v/>
      </c>
      <c r="L1804" s="2">
        <f>IF(B1804="","",IFERROR(INT((MATCH(B1804,Teknikere,0)-1)/18)+1,""))</f>
        <v/>
      </c>
      <c r="M1804" s="2">
        <f>IF(OR(A1804="",B1804=""),"",B1804&amp;"|"&amp;A1804)</f>
        <v/>
      </c>
      <c r="N1804" s="2">
        <f>IF(M1804="","",SUMIFS(TF_Timer,TF_Nokkel,M1804,TF_Akt,C1804))</f>
        <v/>
      </c>
      <c r="O1804" s="2">
        <f>IF(M1804="","",IF(AND(N1804=_xlfn.MAXIFS(TF_AktSum,TF_Nokkel,M1804),COUNTIFS(M$3:M1803,M1804,N$3:N1803,N1804)=0),M1804,""))</f>
        <v/>
      </c>
    </row>
    <row r="1805">
      <c r="A1805" s="34" t="n"/>
      <c r="B1805" s="35" t="n"/>
      <c r="C1805" s="35" t="n"/>
      <c r="D1805" s="35" t="n"/>
      <c r="E1805" s="35" t="n"/>
      <c r="F1805" s="36" t="n"/>
      <c r="G1805" s="35" t="n"/>
      <c r="H1805" s="30">
        <f>IF(L1805="","",INDEX(SkiftNavn,L1805))</f>
        <v/>
      </c>
      <c r="I1805" s="30">
        <f>IF(OR(A1805="",L1805=""),"",IF(MOD(A1805-INDEX(SkiftStart,L1805),Syklus)&lt;DagK,"Kveld",IF(MOD(A1805-INDEX(SkiftStart,L1805),Syklus)&lt;DagK+DagH,"Helg",IF(MOD(A1805-INDEX(SkiftStart,L1805),Syklus)&lt;DagK+DagH+DagD,"Dag","Fri"))))</f>
        <v/>
      </c>
      <c r="J1805" s="30">
        <f>IF(I1805="Fri","Ja","")</f>
        <v/>
      </c>
      <c r="K1805" s="30">
        <f>IF(B1805="","",IF(L1805="","Ukjent tekniker",IF(ISNA(MATCH(C1805,Aktiviteter,0)),"Ukjent aktivitet",IF(AND(INDEX(AktRolle,MATCH(C1805,Aktiviteter,0))&amp;""&lt;&gt;"",ISERROR(SEARCH(INDEX(AktRolle,MATCH(C1805,Aktiviteter,0))&amp;"",INDEX(TekRoller,MATCH(B1805,Teknikere,0))))),"Mangler rollen "&amp;INDEX(AktRolle,MATCH(C1805,Aktiviteter,0))&amp;"",IF(AND(C1805="LMS",F1805&gt;0,OR(D1805="",E1805="")),"Mangler maskin eller arbeid",IF(AND(OR(C1805="LMS",C1805="Mod"),D1805&lt;&gt;""),IF(IFERROR(INDEX(MaskinStatus,MATCH(D1805,Maskiner,0)),"")="I dokk","","Maskinen er ikke i dokk"),""))))))</f>
        <v/>
      </c>
      <c r="L1805" s="2">
        <f>IF(B1805="","",IFERROR(INT((MATCH(B1805,Teknikere,0)-1)/18)+1,""))</f>
        <v/>
      </c>
      <c r="M1805" s="2">
        <f>IF(OR(A1805="",B1805=""),"",B1805&amp;"|"&amp;A1805)</f>
        <v/>
      </c>
      <c r="N1805" s="2">
        <f>IF(M1805="","",SUMIFS(TF_Timer,TF_Nokkel,M1805,TF_Akt,C1805))</f>
        <v/>
      </c>
      <c r="O1805" s="2">
        <f>IF(M1805="","",IF(AND(N1805=_xlfn.MAXIFS(TF_AktSum,TF_Nokkel,M1805),COUNTIFS(M$3:M1804,M1805,N$3:N1804,N1805)=0),M1805,""))</f>
        <v/>
      </c>
    </row>
    <row r="1806">
      <c r="A1806" s="34" t="n"/>
      <c r="B1806" s="35" t="n"/>
      <c r="C1806" s="35" t="n"/>
      <c r="D1806" s="35" t="n"/>
      <c r="E1806" s="35" t="n"/>
      <c r="F1806" s="36" t="n"/>
      <c r="G1806" s="35" t="n"/>
      <c r="H1806" s="30">
        <f>IF(L1806="","",INDEX(SkiftNavn,L1806))</f>
        <v/>
      </c>
      <c r="I1806" s="30">
        <f>IF(OR(A1806="",L1806=""),"",IF(MOD(A1806-INDEX(SkiftStart,L1806),Syklus)&lt;DagK,"Kveld",IF(MOD(A1806-INDEX(SkiftStart,L1806),Syklus)&lt;DagK+DagH,"Helg",IF(MOD(A1806-INDEX(SkiftStart,L1806),Syklus)&lt;DagK+DagH+DagD,"Dag","Fri"))))</f>
        <v/>
      </c>
      <c r="J1806" s="30">
        <f>IF(I1806="Fri","Ja","")</f>
        <v/>
      </c>
      <c r="K1806" s="30">
        <f>IF(B1806="","",IF(L1806="","Ukjent tekniker",IF(ISNA(MATCH(C1806,Aktiviteter,0)),"Ukjent aktivitet",IF(AND(INDEX(AktRolle,MATCH(C1806,Aktiviteter,0))&amp;""&lt;&gt;"",ISERROR(SEARCH(INDEX(AktRolle,MATCH(C1806,Aktiviteter,0))&amp;"",INDEX(TekRoller,MATCH(B1806,Teknikere,0))))),"Mangler rollen "&amp;INDEX(AktRolle,MATCH(C1806,Aktiviteter,0))&amp;"",IF(AND(C1806="LMS",F1806&gt;0,OR(D1806="",E1806="")),"Mangler maskin eller arbeid",IF(AND(OR(C1806="LMS",C1806="Mod"),D1806&lt;&gt;""),IF(IFERROR(INDEX(MaskinStatus,MATCH(D1806,Maskiner,0)),"")="I dokk","","Maskinen er ikke i dokk"),""))))))</f>
        <v/>
      </c>
      <c r="L1806" s="2">
        <f>IF(B1806="","",IFERROR(INT((MATCH(B1806,Teknikere,0)-1)/18)+1,""))</f>
        <v/>
      </c>
      <c r="M1806" s="2">
        <f>IF(OR(A1806="",B1806=""),"",B1806&amp;"|"&amp;A1806)</f>
        <v/>
      </c>
      <c r="N1806" s="2">
        <f>IF(M1806="","",SUMIFS(TF_Timer,TF_Nokkel,M1806,TF_Akt,C1806))</f>
        <v/>
      </c>
      <c r="O1806" s="2">
        <f>IF(M1806="","",IF(AND(N1806=_xlfn.MAXIFS(TF_AktSum,TF_Nokkel,M1806),COUNTIFS(M$3:M1805,M1806,N$3:N1805,N1806)=0),M1806,""))</f>
        <v/>
      </c>
    </row>
    <row r="1807">
      <c r="A1807" s="34" t="n"/>
      <c r="B1807" s="35" t="n"/>
      <c r="C1807" s="35" t="n"/>
      <c r="D1807" s="35" t="n"/>
      <c r="E1807" s="35" t="n"/>
      <c r="F1807" s="36" t="n"/>
      <c r="G1807" s="35" t="n"/>
      <c r="H1807" s="30">
        <f>IF(L1807="","",INDEX(SkiftNavn,L1807))</f>
        <v/>
      </c>
      <c r="I1807" s="30">
        <f>IF(OR(A1807="",L1807=""),"",IF(MOD(A1807-INDEX(SkiftStart,L1807),Syklus)&lt;DagK,"Kveld",IF(MOD(A1807-INDEX(SkiftStart,L1807),Syklus)&lt;DagK+DagH,"Helg",IF(MOD(A1807-INDEX(SkiftStart,L1807),Syklus)&lt;DagK+DagH+DagD,"Dag","Fri"))))</f>
        <v/>
      </c>
      <c r="J1807" s="30">
        <f>IF(I1807="Fri","Ja","")</f>
        <v/>
      </c>
      <c r="K1807" s="30">
        <f>IF(B1807="","",IF(L1807="","Ukjent tekniker",IF(ISNA(MATCH(C1807,Aktiviteter,0)),"Ukjent aktivitet",IF(AND(INDEX(AktRolle,MATCH(C1807,Aktiviteter,0))&amp;""&lt;&gt;"",ISERROR(SEARCH(INDEX(AktRolle,MATCH(C1807,Aktiviteter,0))&amp;"",INDEX(TekRoller,MATCH(B1807,Teknikere,0))))),"Mangler rollen "&amp;INDEX(AktRolle,MATCH(C1807,Aktiviteter,0))&amp;"",IF(AND(C1807="LMS",F1807&gt;0,OR(D1807="",E1807="")),"Mangler maskin eller arbeid",IF(AND(OR(C1807="LMS",C1807="Mod"),D1807&lt;&gt;""),IF(IFERROR(INDEX(MaskinStatus,MATCH(D1807,Maskiner,0)),"")="I dokk","","Maskinen er ikke i dokk"),""))))))</f>
        <v/>
      </c>
      <c r="L1807" s="2">
        <f>IF(B1807="","",IFERROR(INT((MATCH(B1807,Teknikere,0)-1)/18)+1,""))</f>
        <v/>
      </c>
      <c r="M1807" s="2">
        <f>IF(OR(A1807="",B1807=""),"",B1807&amp;"|"&amp;A1807)</f>
        <v/>
      </c>
      <c r="N1807" s="2">
        <f>IF(M1807="","",SUMIFS(TF_Timer,TF_Nokkel,M1807,TF_Akt,C1807))</f>
        <v/>
      </c>
      <c r="O1807" s="2">
        <f>IF(M1807="","",IF(AND(N1807=_xlfn.MAXIFS(TF_AktSum,TF_Nokkel,M1807),COUNTIFS(M$3:M1806,M1807,N$3:N1806,N1807)=0),M1807,""))</f>
        <v/>
      </c>
    </row>
    <row r="1808">
      <c r="A1808" s="34" t="n"/>
      <c r="B1808" s="35" t="n"/>
      <c r="C1808" s="35" t="n"/>
      <c r="D1808" s="35" t="n"/>
      <c r="E1808" s="35" t="n"/>
      <c r="F1808" s="36" t="n"/>
      <c r="G1808" s="35" t="n"/>
      <c r="H1808" s="30">
        <f>IF(L1808="","",INDEX(SkiftNavn,L1808))</f>
        <v/>
      </c>
      <c r="I1808" s="30">
        <f>IF(OR(A1808="",L1808=""),"",IF(MOD(A1808-INDEX(SkiftStart,L1808),Syklus)&lt;DagK,"Kveld",IF(MOD(A1808-INDEX(SkiftStart,L1808),Syklus)&lt;DagK+DagH,"Helg",IF(MOD(A1808-INDEX(SkiftStart,L1808),Syklus)&lt;DagK+DagH+DagD,"Dag","Fri"))))</f>
        <v/>
      </c>
      <c r="J1808" s="30">
        <f>IF(I1808="Fri","Ja","")</f>
        <v/>
      </c>
      <c r="K1808" s="30">
        <f>IF(B1808="","",IF(L1808="","Ukjent tekniker",IF(ISNA(MATCH(C1808,Aktiviteter,0)),"Ukjent aktivitet",IF(AND(INDEX(AktRolle,MATCH(C1808,Aktiviteter,0))&amp;""&lt;&gt;"",ISERROR(SEARCH(INDEX(AktRolle,MATCH(C1808,Aktiviteter,0))&amp;"",INDEX(TekRoller,MATCH(B1808,Teknikere,0))))),"Mangler rollen "&amp;INDEX(AktRolle,MATCH(C1808,Aktiviteter,0))&amp;"",IF(AND(C1808="LMS",F1808&gt;0,OR(D1808="",E1808="")),"Mangler maskin eller arbeid",IF(AND(OR(C1808="LMS",C1808="Mod"),D1808&lt;&gt;""),IF(IFERROR(INDEX(MaskinStatus,MATCH(D1808,Maskiner,0)),"")="I dokk","","Maskinen er ikke i dokk"),""))))))</f>
        <v/>
      </c>
      <c r="L1808" s="2">
        <f>IF(B1808="","",IFERROR(INT((MATCH(B1808,Teknikere,0)-1)/18)+1,""))</f>
        <v/>
      </c>
      <c r="M1808" s="2">
        <f>IF(OR(A1808="",B1808=""),"",B1808&amp;"|"&amp;A1808)</f>
        <v/>
      </c>
      <c r="N1808" s="2">
        <f>IF(M1808="","",SUMIFS(TF_Timer,TF_Nokkel,M1808,TF_Akt,C1808))</f>
        <v/>
      </c>
      <c r="O1808" s="2">
        <f>IF(M1808="","",IF(AND(N1808=_xlfn.MAXIFS(TF_AktSum,TF_Nokkel,M1808),COUNTIFS(M$3:M1807,M1808,N$3:N1807,N1808)=0),M1808,""))</f>
        <v/>
      </c>
    </row>
    <row r="1809">
      <c r="A1809" s="34" t="n"/>
      <c r="B1809" s="35" t="n"/>
      <c r="C1809" s="35" t="n"/>
      <c r="D1809" s="35" t="n"/>
      <c r="E1809" s="35" t="n"/>
      <c r="F1809" s="36" t="n"/>
      <c r="G1809" s="35" t="n"/>
      <c r="H1809" s="30">
        <f>IF(L1809="","",INDEX(SkiftNavn,L1809))</f>
        <v/>
      </c>
      <c r="I1809" s="30">
        <f>IF(OR(A1809="",L1809=""),"",IF(MOD(A1809-INDEX(SkiftStart,L1809),Syklus)&lt;DagK,"Kveld",IF(MOD(A1809-INDEX(SkiftStart,L1809),Syklus)&lt;DagK+DagH,"Helg",IF(MOD(A1809-INDEX(SkiftStart,L1809),Syklus)&lt;DagK+DagH+DagD,"Dag","Fri"))))</f>
        <v/>
      </c>
      <c r="J1809" s="30">
        <f>IF(I1809="Fri","Ja","")</f>
        <v/>
      </c>
      <c r="K1809" s="30">
        <f>IF(B1809="","",IF(L1809="","Ukjent tekniker",IF(ISNA(MATCH(C1809,Aktiviteter,0)),"Ukjent aktivitet",IF(AND(INDEX(AktRolle,MATCH(C1809,Aktiviteter,0))&amp;""&lt;&gt;"",ISERROR(SEARCH(INDEX(AktRolle,MATCH(C1809,Aktiviteter,0))&amp;"",INDEX(TekRoller,MATCH(B1809,Teknikere,0))))),"Mangler rollen "&amp;INDEX(AktRolle,MATCH(C1809,Aktiviteter,0))&amp;"",IF(AND(C1809="LMS",F1809&gt;0,OR(D1809="",E1809="")),"Mangler maskin eller arbeid",IF(AND(OR(C1809="LMS",C1809="Mod"),D1809&lt;&gt;""),IF(IFERROR(INDEX(MaskinStatus,MATCH(D1809,Maskiner,0)),"")="I dokk","","Maskinen er ikke i dokk"),""))))))</f>
        <v/>
      </c>
      <c r="L1809" s="2">
        <f>IF(B1809="","",IFERROR(INT((MATCH(B1809,Teknikere,0)-1)/18)+1,""))</f>
        <v/>
      </c>
      <c r="M1809" s="2">
        <f>IF(OR(A1809="",B1809=""),"",B1809&amp;"|"&amp;A1809)</f>
        <v/>
      </c>
      <c r="N1809" s="2">
        <f>IF(M1809="","",SUMIFS(TF_Timer,TF_Nokkel,M1809,TF_Akt,C1809))</f>
        <v/>
      </c>
      <c r="O1809" s="2">
        <f>IF(M1809="","",IF(AND(N1809=_xlfn.MAXIFS(TF_AktSum,TF_Nokkel,M1809),COUNTIFS(M$3:M1808,M1809,N$3:N1808,N1809)=0),M1809,""))</f>
        <v/>
      </c>
    </row>
    <row r="1810">
      <c r="A1810" s="34" t="n"/>
      <c r="B1810" s="35" t="n"/>
      <c r="C1810" s="35" t="n"/>
      <c r="D1810" s="35" t="n"/>
      <c r="E1810" s="35" t="n"/>
      <c r="F1810" s="36" t="n"/>
      <c r="G1810" s="35" t="n"/>
      <c r="H1810" s="30">
        <f>IF(L1810="","",INDEX(SkiftNavn,L1810))</f>
        <v/>
      </c>
      <c r="I1810" s="30">
        <f>IF(OR(A1810="",L1810=""),"",IF(MOD(A1810-INDEX(SkiftStart,L1810),Syklus)&lt;DagK,"Kveld",IF(MOD(A1810-INDEX(SkiftStart,L1810),Syklus)&lt;DagK+DagH,"Helg",IF(MOD(A1810-INDEX(SkiftStart,L1810),Syklus)&lt;DagK+DagH+DagD,"Dag","Fri"))))</f>
        <v/>
      </c>
      <c r="J1810" s="30">
        <f>IF(I1810="Fri","Ja","")</f>
        <v/>
      </c>
      <c r="K1810" s="30">
        <f>IF(B1810="","",IF(L1810="","Ukjent tekniker",IF(ISNA(MATCH(C1810,Aktiviteter,0)),"Ukjent aktivitet",IF(AND(INDEX(AktRolle,MATCH(C1810,Aktiviteter,0))&amp;""&lt;&gt;"",ISERROR(SEARCH(INDEX(AktRolle,MATCH(C1810,Aktiviteter,0))&amp;"",INDEX(TekRoller,MATCH(B1810,Teknikere,0))))),"Mangler rollen "&amp;INDEX(AktRolle,MATCH(C1810,Aktiviteter,0))&amp;"",IF(AND(C1810="LMS",F1810&gt;0,OR(D1810="",E1810="")),"Mangler maskin eller arbeid",IF(AND(OR(C1810="LMS",C1810="Mod"),D1810&lt;&gt;""),IF(IFERROR(INDEX(MaskinStatus,MATCH(D1810,Maskiner,0)),"")="I dokk","","Maskinen er ikke i dokk"),""))))))</f>
        <v/>
      </c>
      <c r="L1810" s="2">
        <f>IF(B1810="","",IFERROR(INT((MATCH(B1810,Teknikere,0)-1)/18)+1,""))</f>
        <v/>
      </c>
      <c r="M1810" s="2">
        <f>IF(OR(A1810="",B1810=""),"",B1810&amp;"|"&amp;A1810)</f>
        <v/>
      </c>
      <c r="N1810" s="2">
        <f>IF(M1810="","",SUMIFS(TF_Timer,TF_Nokkel,M1810,TF_Akt,C1810))</f>
        <v/>
      </c>
      <c r="O1810" s="2">
        <f>IF(M1810="","",IF(AND(N1810=_xlfn.MAXIFS(TF_AktSum,TF_Nokkel,M1810),COUNTIFS(M$3:M1809,M1810,N$3:N1809,N1810)=0),M1810,""))</f>
        <v/>
      </c>
    </row>
    <row r="1811">
      <c r="A1811" s="34" t="n"/>
      <c r="B1811" s="35" t="n"/>
      <c r="C1811" s="35" t="n"/>
      <c r="D1811" s="35" t="n"/>
      <c r="E1811" s="35" t="n"/>
      <c r="F1811" s="36" t="n"/>
      <c r="G1811" s="35" t="n"/>
      <c r="H1811" s="30">
        <f>IF(L1811="","",INDEX(SkiftNavn,L1811))</f>
        <v/>
      </c>
      <c r="I1811" s="30">
        <f>IF(OR(A1811="",L1811=""),"",IF(MOD(A1811-INDEX(SkiftStart,L1811),Syklus)&lt;DagK,"Kveld",IF(MOD(A1811-INDEX(SkiftStart,L1811),Syklus)&lt;DagK+DagH,"Helg",IF(MOD(A1811-INDEX(SkiftStart,L1811),Syklus)&lt;DagK+DagH+DagD,"Dag","Fri"))))</f>
        <v/>
      </c>
      <c r="J1811" s="30">
        <f>IF(I1811="Fri","Ja","")</f>
        <v/>
      </c>
      <c r="K1811" s="30">
        <f>IF(B1811="","",IF(L1811="","Ukjent tekniker",IF(ISNA(MATCH(C1811,Aktiviteter,0)),"Ukjent aktivitet",IF(AND(INDEX(AktRolle,MATCH(C1811,Aktiviteter,0))&amp;""&lt;&gt;"",ISERROR(SEARCH(INDEX(AktRolle,MATCH(C1811,Aktiviteter,0))&amp;"",INDEX(TekRoller,MATCH(B1811,Teknikere,0))))),"Mangler rollen "&amp;INDEX(AktRolle,MATCH(C1811,Aktiviteter,0))&amp;"",IF(AND(C1811="LMS",F1811&gt;0,OR(D1811="",E1811="")),"Mangler maskin eller arbeid",IF(AND(OR(C1811="LMS",C1811="Mod"),D1811&lt;&gt;""),IF(IFERROR(INDEX(MaskinStatus,MATCH(D1811,Maskiner,0)),"")="I dokk","","Maskinen er ikke i dokk"),""))))))</f>
        <v/>
      </c>
      <c r="L1811" s="2">
        <f>IF(B1811="","",IFERROR(INT((MATCH(B1811,Teknikere,0)-1)/18)+1,""))</f>
        <v/>
      </c>
      <c r="M1811" s="2">
        <f>IF(OR(A1811="",B1811=""),"",B1811&amp;"|"&amp;A1811)</f>
        <v/>
      </c>
      <c r="N1811" s="2">
        <f>IF(M1811="","",SUMIFS(TF_Timer,TF_Nokkel,M1811,TF_Akt,C1811))</f>
        <v/>
      </c>
      <c r="O1811" s="2">
        <f>IF(M1811="","",IF(AND(N1811=_xlfn.MAXIFS(TF_AktSum,TF_Nokkel,M1811),COUNTIFS(M$3:M1810,M1811,N$3:N1810,N1811)=0),M1811,""))</f>
        <v/>
      </c>
    </row>
    <row r="1812">
      <c r="A1812" s="34" t="n"/>
      <c r="B1812" s="35" t="n"/>
      <c r="C1812" s="35" t="n"/>
      <c r="D1812" s="35" t="n"/>
      <c r="E1812" s="35" t="n"/>
      <c r="F1812" s="36" t="n"/>
      <c r="G1812" s="35" t="n"/>
      <c r="H1812" s="30">
        <f>IF(L1812="","",INDEX(SkiftNavn,L1812))</f>
        <v/>
      </c>
      <c r="I1812" s="30">
        <f>IF(OR(A1812="",L1812=""),"",IF(MOD(A1812-INDEX(SkiftStart,L1812),Syklus)&lt;DagK,"Kveld",IF(MOD(A1812-INDEX(SkiftStart,L1812),Syklus)&lt;DagK+DagH,"Helg",IF(MOD(A1812-INDEX(SkiftStart,L1812),Syklus)&lt;DagK+DagH+DagD,"Dag","Fri"))))</f>
        <v/>
      </c>
      <c r="J1812" s="30">
        <f>IF(I1812="Fri","Ja","")</f>
        <v/>
      </c>
      <c r="K1812" s="30">
        <f>IF(B1812="","",IF(L1812="","Ukjent tekniker",IF(ISNA(MATCH(C1812,Aktiviteter,0)),"Ukjent aktivitet",IF(AND(INDEX(AktRolle,MATCH(C1812,Aktiviteter,0))&amp;""&lt;&gt;"",ISERROR(SEARCH(INDEX(AktRolle,MATCH(C1812,Aktiviteter,0))&amp;"",INDEX(TekRoller,MATCH(B1812,Teknikere,0))))),"Mangler rollen "&amp;INDEX(AktRolle,MATCH(C1812,Aktiviteter,0))&amp;"",IF(AND(C1812="LMS",F1812&gt;0,OR(D1812="",E1812="")),"Mangler maskin eller arbeid",IF(AND(OR(C1812="LMS",C1812="Mod"),D1812&lt;&gt;""),IF(IFERROR(INDEX(MaskinStatus,MATCH(D1812,Maskiner,0)),"")="I dokk","","Maskinen er ikke i dokk"),""))))))</f>
        <v/>
      </c>
      <c r="L1812" s="2">
        <f>IF(B1812="","",IFERROR(INT((MATCH(B1812,Teknikere,0)-1)/18)+1,""))</f>
        <v/>
      </c>
      <c r="M1812" s="2">
        <f>IF(OR(A1812="",B1812=""),"",B1812&amp;"|"&amp;A1812)</f>
        <v/>
      </c>
      <c r="N1812" s="2">
        <f>IF(M1812="","",SUMIFS(TF_Timer,TF_Nokkel,M1812,TF_Akt,C1812))</f>
        <v/>
      </c>
      <c r="O1812" s="2">
        <f>IF(M1812="","",IF(AND(N1812=_xlfn.MAXIFS(TF_AktSum,TF_Nokkel,M1812),COUNTIFS(M$3:M1811,M1812,N$3:N1811,N1812)=0),M1812,""))</f>
        <v/>
      </c>
    </row>
    <row r="1813">
      <c r="A1813" s="34" t="n"/>
      <c r="B1813" s="35" t="n"/>
      <c r="C1813" s="35" t="n"/>
      <c r="D1813" s="35" t="n"/>
      <c r="E1813" s="35" t="n"/>
      <c r="F1813" s="36" t="n"/>
      <c r="G1813" s="35" t="n"/>
      <c r="H1813" s="30">
        <f>IF(L1813="","",INDEX(SkiftNavn,L1813))</f>
        <v/>
      </c>
      <c r="I1813" s="30">
        <f>IF(OR(A1813="",L1813=""),"",IF(MOD(A1813-INDEX(SkiftStart,L1813),Syklus)&lt;DagK,"Kveld",IF(MOD(A1813-INDEX(SkiftStart,L1813),Syklus)&lt;DagK+DagH,"Helg",IF(MOD(A1813-INDEX(SkiftStart,L1813),Syklus)&lt;DagK+DagH+DagD,"Dag","Fri"))))</f>
        <v/>
      </c>
      <c r="J1813" s="30">
        <f>IF(I1813="Fri","Ja","")</f>
        <v/>
      </c>
      <c r="K1813" s="30">
        <f>IF(B1813="","",IF(L1813="","Ukjent tekniker",IF(ISNA(MATCH(C1813,Aktiviteter,0)),"Ukjent aktivitet",IF(AND(INDEX(AktRolle,MATCH(C1813,Aktiviteter,0))&amp;""&lt;&gt;"",ISERROR(SEARCH(INDEX(AktRolle,MATCH(C1813,Aktiviteter,0))&amp;"",INDEX(TekRoller,MATCH(B1813,Teknikere,0))))),"Mangler rollen "&amp;INDEX(AktRolle,MATCH(C1813,Aktiviteter,0))&amp;"",IF(AND(C1813="LMS",F1813&gt;0,OR(D1813="",E1813="")),"Mangler maskin eller arbeid",IF(AND(OR(C1813="LMS",C1813="Mod"),D1813&lt;&gt;""),IF(IFERROR(INDEX(MaskinStatus,MATCH(D1813,Maskiner,0)),"")="I dokk","","Maskinen er ikke i dokk"),""))))))</f>
        <v/>
      </c>
      <c r="L1813" s="2">
        <f>IF(B1813="","",IFERROR(INT((MATCH(B1813,Teknikere,0)-1)/18)+1,""))</f>
        <v/>
      </c>
      <c r="M1813" s="2">
        <f>IF(OR(A1813="",B1813=""),"",B1813&amp;"|"&amp;A1813)</f>
        <v/>
      </c>
      <c r="N1813" s="2">
        <f>IF(M1813="","",SUMIFS(TF_Timer,TF_Nokkel,M1813,TF_Akt,C1813))</f>
        <v/>
      </c>
      <c r="O1813" s="2">
        <f>IF(M1813="","",IF(AND(N1813=_xlfn.MAXIFS(TF_AktSum,TF_Nokkel,M1813),COUNTIFS(M$3:M1812,M1813,N$3:N1812,N1813)=0),M1813,""))</f>
        <v/>
      </c>
    </row>
    <row r="1814">
      <c r="A1814" s="34" t="n"/>
      <c r="B1814" s="35" t="n"/>
      <c r="C1814" s="35" t="n"/>
      <c r="D1814" s="35" t="n"/>
      <c r="E1814" s="35" t="n"/>
      <c r="F1814" s="36" t="n"/>
      <c r="G1814" s="35" t="n"/>
      <c r="H1814" s="30">
        <f>IF(L1814="","",INDEX(SkiftNavn,L1814))</f>
        <v/>
      </c>
      <c r="I1814" s="30">
        <f>IF(OR(A1814="",L1814=""),"",IF(MOD(A1814-INDEX(SkiftStart,L1814),Syklus)&lt;DagK,"Kveld",IF(MOD(A1814-INDEX(SkiftStart,L1814),Syklus)&lt;DagK+DagH,"Helg",IF(MOD(A1814-INDEX(SkiftStart,L1814),Syklus)&lt;DagK+DagH+DagD,"Dag","Fri"))))</f>
        <v/>
      </c>
      <c r="J1814" s="30">
        <f>IF(I1814="Fri","Ja","")</f>
        <v/>
      </c>
      <c r="K1814" s="30">
        <f>IF(B1814="","",IF(L1814="","Ukjent tekniker",IF(ISNA(MATCH(C1814,Aktiviteter,0)),"Ukjent aktivitet",IF(AND(INDEX(AktRolle,MATCH(C1814,Aktiviteter,0))&amp;""&lt;&gt;"",ISERROR(SEARCH(INDEX(AktRolle,MATCH(C1814,Aktiviteter,0))&amp;"",INDEX(TekRoller,MATCH(B1814,Teknikere,0))))),"Mangler rollen "&amp;INDEX(AktRolle,MATCH(C1814,Aktiviteter,0))&amp;"",IF(AND(C1814="LMS",F1814&gt;0,OR(D1814="",E1814="")),"Mangler maskin eller arbeid",IF(AND(OR(C1814="LMS",C1814="Mod"),D1814&lt;&gt;""),IF(IFERROR(INDEX(MaskinStatus,MATCH(D1814,Maskiner,0)),"")="I dokk","","Maskinen er ikke i dokk"),""))))))</f>
        <v/>
      </c>
      <c r="L1814" s="2">
        <f>IF(B1814="","",IFERROR(INT((MATCH(B1814,Teknikere,0)-1)/18)+1,""))</f>
        <v/>
      </c>
      <c r="M1814" s="2">
        <f>IF(OR(A1814="",B1814=""),"",B1814&amp;"|"&amp;A1814)</f>
        <v/>
      </c>
      <c r="N1814" s="2">
        <f>IF(M1814="","",SUMIFS(TF_Timer,TF_Nokkel,M1814,TF_Akt,C1814))</f>
        <v/>
      </c>
      <c r="O1814" s="2">
        <f>IF(M1814="","",IF(AND(N1814=_xlfn.MAXIFS(TF_AktSum,TF_Nokkel,M1814),COUNTIFS(M$3:M1813,M1814,N$3:N1813,N1814)=0),M1814,""))</f>
        <v/>
      </c>
    </row>
    <row r="1815">
      <c r="A1815" s="34" t="n"/>
      <c r="B1815" s="35" t="n"/>
      <c r="C1815" s="35" t="n"/>
      <c r="D1815" s="35" t="n"/>
      <c r="E1815" s="35" t="n"/>
      <c r="F1815" s="36" t="n"/>
      <c r="G1815" s="35" t="n"/>
      <c r="H1815" s="30">
        <f>IF(L1815="","",INDEX(SkiftNavn,L1815))</f>
        <v/>
      </c>
      <c r="I1815" s="30">
        <f>IF(OR(A1815="",L1815=""),"",IF(MOD(A1815-INDEX(SkiftStart,L1815),Syklus)&lt;DagK,"Kveld",IF(MOD(A1815-INDEX(SkiftStart,L1815),Syklus)&lt;DagK+DagH,"Helg",IF(MOD(A1815-INDEX(SkiftStart,L1815),Syklus)&lt;DagK+DagH+DagD,"Dag","Fri"))))</f>
        <v/>
      </c>
      <c r="J1815" s="30">
        <f>IF(I1815="Fri","Ja","")</f>
        <v/>
      </c>
      <c r="K1815" s="30">
        <f>IF(B1815="","",IF(L1815="","Ukjent tekniker",IF(ISNA(MATCH(C1815,Aktiviteter,0)),"Ukjent aktivitet",IF(AND(INDEX(AktRolle,MATCH(C1815,Aktiviteter,0))&amp;""&lt;&gt;"",ISERROR(SEARCH(INDEX(AktRolle,MATCH(C1815,Aktiviteter,0))&amp;"",INDEX(TekRoller,MATCH(B1815,Teknikere,0))))),"Mangler rollen "&amp;INDEX(AktRolle,MATCH(C1815,Aktiviteter,0))&amp;"",IF(AND(C1815="LMS",F1815&gt;0,OR(D1815="",E1815="")),"Mangler maskin eller arbeid",IF(AND(OR(C1815="LMS",C1815="Mod"),D1815&lt;&gt;""),IF(IFERROR(INDEX(MaskinStatus,MATCH(D1815,Maskiner,0)),"")="I dokk","","Maskinen er ikke i dokk"),""))))))</f>
        <v/>
      </c>
      <c r="L1815" s="2">
        <f>IF(B1815="","",IFERROR(INT((MATCH(B1815,Teknikere,0)-1)/18)+1,""))</f>
        <v/>
      </c>
      <c r="M1815" s="2">
        <f>IF(OR(A1815="",B1815=""),"",B1815&amp;"|"&amp;A1815)</f>
        <v/>
      </c>
      <c r="N1815" s="2">
        <f>IF(M1815="","",SUMIFS(TF_Timer,TF_Nokkel,M1815,TF_Akt,C1815))</f>
        <v/>
      </c>
      <c r="O1815" s="2">
        <f>IF(M1815="","",IF(AND(N1815=_xlfn.MAXIFS(TF_AktSum,TF_Nokkel,M1815),COUNTIFS(M$3:M1814,M1815,N$3:N1814,N1815)=0),M1815,""))</f>
        <v/>
      </c>
    </row>
    <row r="1816">
      <c r="A1816" s="34" t="n"/>
      <c r="B1816" s="35" t="n"/>
      <c r="C1816" s="35" t="n"/>
      <c r="D1816" s="35" t="n"/>
      <c r="E1816" s="35" t="n"/>
      <c r="F1816" s="36" t="n"/>
      <c r="G1816" s="35" t="n"/>
      <c r="H1816" s="30">
        <f>IF(L1816="","",INDEX(SkiftNavn,L1816))</f>
        <v/>
      </c>
      <c r="I1816" s="30">
        <f>IF(OR(A1816="",L1816=""),"",IF(MOD(A1816-INDEX(SkiftStart,L1816),Syklus)&lt;DagK,"Kveld",IF(MOD(A1816-INDEX(SkiftStart,L1816),Syklus)&lt;DagK+DagH,"Helg",IF(MOD(A1816-INDEX(SkiftStart,L1816),Syklus)&lt;DagK+DagH+DagD,"Dag","Fri"))))</f>
        <v/>
      </c>
      <c r="J1816" s="30">
        <f>IF(I1816="Fri","Ja","")</f>
        <v/>
      </c>
      <c r="K1816" s="30">
        <f>IF(B1816="","",IF(L1816="","Ukjent tekniker",IF(ISNA(MATCH(C1816,Aktiviteter,0)),"Ukjent aktivitet",IF(AND(INDEX(AktRolle,MATCH(C1816,Aktiviteter,0))&amp;""&lt;&gt;"",ISERROR(SEARCH(INDEX(AktRolle,MATCH(C1816,Aktiviteter,0))&amp;"",INDEX(TekRoller,MATCH(B1816,Teknikere,0))))),"Mangler rollen "&amp;INDEX(AktRolle,MATCH(C1816,Aktiviteter,0))&amp;"",IF(AND(C1816="LMS",F1816&gt;0,OR(D1816="",E1816="")),"Mangler maskin eller arbeid",IF(AND(OR(C1816="LMS",C1816="Mod"),D1816&lt;&gt;""),IF(IFERROR(INDEX(MaskinStatus,MATCH(D1816,Maskiner,0)),"")="I dokk","","Maskinen er ikke i dokk"),""))))))</f>
        <v/>
      </c>
      <c r="L1816" s="2">
        <f>IF(B1816="","",IFERROR(INT((MATCH(B1816,Teknikere,0)-1)/18)+1,""))</f>
        <v/>
      </c>
      <c r="M1816" s="2">
        <f>IF(OR(A1816="",B1816=""),"",B1816&amp;"|"&amp;A1816)</f>
        <v/>
      </c>
      <c r="N1816" s="2">
        <f>IF(M1816="","",SUMIFS(TF_Timer,TF_Nokkel,M1816,TF_Akt,C1816))</f>
        <v/>
      </c>
      <c r="O1816" s="2">
        <f>IF(M1816="","",IF(AND(N1816=_xlfn.MAXIFS(TF_AktSum,TF_Nokkel,M1816),COUNTIFS(M$3:M1815,M1816,N$3:N1815,N1816)=0),M1816,""))</f>
        <v/>
      </c>
    </row>
    <row r="1817">
      <c r="A1817" s="34" t="n"/>
      <c r="B1817" s="35" t="n"/>
      <c r="C1817" s="35" t="n"/>
      <c r="D1817" s="35" t="n"/>
      <c r="E1817" s="35" t="n"/>
      <c r="F1817" s="36" t="n"/>
      <c r="G1817" s="35" t="n"/>
      <c r="H1817" s="30">
        <f>IF(L1817="","",INDEX(SkiftNavn,L1817))</f>
        <v/>
      </c>
      <c r="I1817" s="30">
        <f>IF(OR(A1817="",L1817=""),"",IF(MOD(A1817-INDEX(SkiftStart,L1817),Syklus)&lt;DagK,"Kveld",IF(MOD(A1817-INDEX(SkiftStart,L1817),Syklus)&lt;DagK+DagH,"Helg",IF(MOD(A1817-INDEX(SkiftStart,L1817),Syklus)&lt;DagK+DagH+DagD,"Dag","Fri"))))</f>
        <v/>
      </c>
      <c r="J1817" s="30">
        <f>IF(I1817="Fri","Ja","")</f>
        <v/>
      </c>
      <c r="K1817" s="30">
        <f>IF(B1817="","",IF(L1817="","Ukjent tekniker",IF(ISNA(MATCH(C1817,Aktiviteter,0)),"Ukjent aktivitet",IF(AND(INDEX(AktRolle,MATCH(C1817,Aktiviteter,0))&amp;""&lt;&gt;"",ISERROR(SEARCH(INDEX(AktRolle,MATCH(C1817,Aktiviteter,0))&amp;"",INDEX(TekRoller,MATCH(B1817,Teknikere,0))))),"Mangler rollen "&amp;INDEX(AktRolle,MATCH(C1817,Aktiviteter,0))&amp;"",IF(AND(C1817="LMS",F1817&gt;0,OR(D1817="",E1817="")),"Mangler maskin eller arbeid",IF(AND(OR(C1817="LMS",C1817="Mod"),D1817&lt;&gt;""),IF(IFERROR(INDEX(MaskinStatus,MATCH(D1817,Maskiner,0)),"")="I dokk","","Maskinen er ikke i dokk"),""))))))</f>
        <v/>
      </c>
      <c r="L1817" s="2">
        <f>IF(B1817="","",IFERROR(INT((MATCH(B1817,Teknikere,0)-1)/18)+1,""))</f>
        <v/>
      </c>
      <c r="M1817" s="2">
        <f>IF(OR(A1817="",B1817=""),"",B1817&amp;"|"&amp;A1817)</f>
        <v/>
      </c>
      <c r="N1817" s="2">
        <f>IF(M1817="","",SUMIFS(TF_Timer,TF_Nokkel,M1817,TF_Akt,C1817))</f>
        <v/>
      </c>
      <c r="O1817" s="2">
        <f>IF(M1817="","",IF(AND(N1817=_xlfn.MAXIFS(TF_AktSum,TF_Nokkel,M1817),COUNTIFS(M$3:M1816,M1817,N$3:N1816,N1817)=0),M1817,""))</f>
        <v/>
      </c>
    </row>
    <row r="1818">
      <c r="A1818" s="34" t="n"/>
      <c r="B1818" s="35" t="n"/>
      <c r="C1818" s="35" t="n"/>
      <c r="D1818" s="35" t="n"/>
      <c r="E1818" s="35" t="n"/>
      <c r="F1818" s="36" t="n"/>
      <c r="G1818" s="35" t="n"/>
      <c r="H1818" s="30">
        <f>IF(L1818="","",INDEX(SkiftNavn,L1818))</f>
        <v/>
      </c>
      <c r="I1818" s="30">
        <f>IF(OR(A1818="",L1818=""),"",IF(MOD(A1818-INDEX(SkiftStart,L1818),Syklus)&lt;DagK,"Kveld",IF(MOD(A1818-INDEX(SkiftStart,L1818),Syklus)&lt;DagK+DagH,"Helg",IF(MOD(A1818-INDEX(SkiftStart,L1818),Syklus)&lt;DagK+DagH+DagD,"Dag","Fri"))))</f>
        <v/>
      </c>
      <c r="J1818" s="30">
        <f>IF(I1818="Fri","Ja","")</f>
        <v/>
      </c>
      <c r="K1818" s="30">
        <f>IF(B1818="","",IF(L1818="","Ukjent tekniker",IF(ISNA(MATCH(C1818,Aktiviteter,0)),"Ukjent aktivitet",IF(AND(INDEX(AktRolle,MATCH(C1818,Aktiviteter,0))&amp;""&lt;&gt;"",ISERROR(SEARCH(INDEX(AktRolle,MATCH(C1818,Aktiviteter,0))&amp;"",INDEX(TekRoller,MATCH(B1818,Teknikere,0))))),"Mangler rollen "&amp;INDEX(AktRolle,MATCH(C1818,Aktiviteter,0))&amp;"",IF(AND(C1818="LMS",F1818&gt;0,OR(D1818="",E1818="")),"Mangler maskin eller arbeid",IF(AND(OR(C1818="LMS",C1818="Mod"),D1818&lt;&gt;""),IF(IFERROR(INDEX(MaskinStatus,MATCH(D1818,Maskiner,0)),"")="I dokk","","Maskinen er ikke i dokk"),""))))))</f>
        <v/>
      </c>
      <c r="L1818" s="2">
        <f>IF(B1818="","",IFERROR(INT((MATCH(B1818,Teknikere,0)-1)/18)+1,""))</f>
        <v/>
      </c>
      <c r="M1818" s="2">
        <f>IF(OR(A1818="",B1818=""),"",B1818&amp;"|"&amp;A1818)</f>
        <v/>
      </c>
      <c r="N1818" s="2">
        <f>IF(M1818="","",SUMIFS(TF_Timer,TF_Nokkel,M1818,TF_Akt,C1818))</f>
        <v/>
      </c>
      <c r="O1818" s="2">
        <f>IF(M1818="","",IF(AND(N1818=_xlfn.MAXIFS(TF_AktSum,TF_Nokkel,M1818),COUNTIFS(M$3:M1817,M1818,N$3:N1817,N1818)=0),M1818,""))</f>
        <v/>
      </c>
    </row>
    <row r="1819">
      <c r="A1819" s="34" t="n"/>
      <c r="B1819" s="35" t="n"/>
      <c r="C1819" s="35" t="n"/>
      <c r="D1819" s="35" t="n"/>
      <c r="E1819" s="35" t="n"/>
      <c r="F1819" s="36" t="n"/>
      <c r="G1819" s="35" t="n"/>
      <c r="H1819" s="30">
        <f>IF(L1819="","",INDEX(SkiftNavn,L1819))</f>
        <v/>
      </c>
      <c r="I1819" s="30">
        <f>IF(OR(A1819="",L1819=""),"",IF(MOD(A1819-INDEX(SkiftStart,L1819),Syklus)&lt;DagK,"Kveld",IF(MOD(A1819-INDEX(SkiftStart,L1819),Syklus)&lt;DagK+DagH,"Helg",IF(MOD(A1819-INDEX(SkiftStart,L1819),Syklus)&lt;DagK+DagH+DagD,"Dag","Fri"))))</f>
        <v/>
      </c>
      <c r="J1819" s="30">
        <f>IF(I1819="Fri","Ja","")</f>
        <v/>
      </c>
      <c r="K1819" s="30">
        <f>IF(B1819="","",IF(L1819="","Ukjent tekniker",IF(ISNA(MATCH(C1819,Aktiviteter,0)),"Ukjent aktivitet",IF(AND(INDEX(AktRolle,MATCH(C1819,Aktiviteter,0))&amp;""&lt;&gt;"",ISERROR(SEARCH(INDEX(AktRolle,MATCH(C1819,Aktiviteter,0))&amp;"",INDEX(TekRoller,MATCH(B1819,Teknikere,0))))),"Mangler rollen "&amp;INDEX(AktRolle,MATCH(C1819,Aktiviteter,0))&amp;"",IF(AND(C1819="LMS",F1819&gt;0,OR(D1819="",E1819="")),"Mangler maskin eller arbeid",IF(AND(OR(C1819="LMS",C1819="Mod"),D1819&lt;&gt;""),IF(IFERROR(INDEX(MaskinStatus,MATCH(D1819,Maskiner,0)),"")="I dokk","","Maskinen er ikke i dokk"),""))))))</f>
        <v/>
      </c>
      <c r="L1819" s="2">
        <f>IF(B1819="","",IFERROR(INT((MATCH(B1819,Teknikere,0)-1)/18)+1,""))</f>
        <v/>
      </c>
      <c r="M1819" s="2">
        <f>IF(OR(A1819="",B1819=""),"",B1819&amp;"|"&amp;A1819)</f>
        <v/>
      </c>
      <c r="N1819" s="2">
        <f>IF(M1819="","",SUMIFS(TF_Timer,TF_Nokkel,M1819,TF_Akt,C1819))</f>
        <v/>
      </c>
      <c r="O1819" s="2">
        <f>IF(M1819="","",IF(AND(N1819=_xlfn.MAXIFS(TF_AktSum,TF_Nokkel,M1819),COUNTIFS(M$3:M1818,M1819,N$3:N1818,N1819)=0),M1819,""))</f>
        <v/>
      </c>
    </row>
    <row r="1820">
      <c r="A1820" s="34" t="n"/>
      <c r="B1820" s="35" t="n"/>
      <c r="C1820" s="35" t="n"/>
      <c r="D1820" s="35" t="n"/>
      <c r="E1820" s="35" t="n"/>
      <c r="F1820" s="36" t="n"/>
      <c r="G1820" s="35" t="n"/>
      <c r="H1820" s="30">
        <f>IF(L1820="","",INDEX(SkiftNavn,L1820))</f>
        <v/>
      </c>
      <c r="I1820" s="30">
        <f>IF(OR(A1820="",L1820=""),"",IF(MOD(A1820-INDEX(SkiftStart,L1820),Syklus)&lt;DagK,"Kveld",IF(MOD(A1820-INDEX(SkiftStart,L1820),Syklus)&lt;DagK+DagH,"Helg",IF(MOD(A1820-INDEX(SkiftStart,L1820),Syklus)&lt;DagK+DagH+DagD,"Dag","Fri"))))</f>
        <v/>
      </c>
      <c r="J1820" s="30">
        <f>IF(I1820="Fri","Ja","")</f>
        <v/>
      </c>
      <c r="K1820" s="30">
        <f>IF(B1820="","",IF(L1820="","Ukjent tekniker",IF(ISNA(MATCH(C1820,Aktiviteter,0)),"Ukjent aktivitet",IF(AND(INDEX(AktRolle,MATCH(C1820,Aktiviteter,0))&amp;""&lt;&gt;"",ISERROR(SEARCH(INDEX(AktRolle,MATCH(C1820,Aktiviteter,0))&amp;"",INDEX(TekRoller,MATCH(B1820,Teknikere,0))))),"Mangler rollen "&amp;INDEX(AktRolle,MATCH(C1820,Aktiviteter,0))&amp;"",IF(AND(C1820="LMS",F1820&gt;0,OR(D1820="",E1820="")),"Mangler maskin eller arbeid",IF(AND(OR(C1820="LMS",C1820="Mod"),D1820&lt;&gt;""),IF(IFERROR(INDEX(MaskinStatus,MATCH(D1820,Maskiner,0)),"")="I dokk","","Maskinen er ikke i dokk"),""))))))</f>
        <v/>
      </c>
      <c r="L1820" s="2">
        <f>IF(B1820="","",IFERROR(INT((MATCH(B1820,Teknikere,0)-1)/18)+1,""))</f>
        <v/>
      </c>
      <c r="M1820" s="2">
        <f>IF(OR(A1820="",B1820=""),"",B1820&amp;"|"&amp;A1820)</f>
        <v/>
      </c>
      <c r="N1820" s="2">
        <f>IF(M1820="","",SUMIFS(TF_Timer,TF_Nokkel,M1820,TF_Akt,C1820))</f>
        <v/>
      </c>
      <c r="O1820" s="2">
        <f>IF(M1820="","",IF(AND(N1820=_xlfn.MAXIFS(TF_AktSum,TF_Nokkel,M1820),COUNTIFS(M$3:M1819,M1820,N$3:N1819,N1820)=0),M1820,""))</f>
        <v/>
      </c>
    </row>
    <row r="1821">
      <c r="A1821" s="34" t="n"/>
      <c r="B1821" s="35" t="n"/>
      <c r="C1821" s="35" t="n"/>
      <c r="D1821" s="35" t="n"/>
      <c r="E1821" s="35" t="n"/>
      <c r="F1821" s="36" t="n"/>
      <c r="G1821" s="35" t="n"/>
      <c r="H1821" s="30">
        <f>IF(L1821="","",INDEX(SkiftNavn,L1821))</f>
        <v/>
      </c>
      <c r="I1821" s="30">
        <f>IF(OR(A1821="",L1821=""),"",IF(MOD(A1821-INDEX(SkiftStart,L1821),Syklus)&lt;DagK,"Kveld",IF(MOD(A1821-INDEX(SkiftStart,L1821),Syklus)&lt;DagK+DagH,"Helg",IF(MOD(A1821-INDEX(SkiftStart,L1821),Syklus)&lt;DagK+DagH+DagD,"Dag","Fri"))))</f>
        <v/>
      </c>
      <c r="J1821" s="30">
        <f>IF(I1821="Fri","Ja","")</f>
        <v/>
      </c>
      <c r="K1821" s="30">
        <f>IF(B1821="","",IF(L1821="","Ukjent tekniker",IF(ISNA(MATCH(C1821,Aktiviteter,0)),"Ukjent aktivitet",IF(AND(INDEX(AktRolle,MATCH(C1821,Aktiviteter,0))&amp;""&lt;&gt;"",ISERROR(SEARCH(INDEX(AktRolle,MATCH(C1821,Aktiviteter,0))&amp;"",INDEX(TekRoller,MATCH(B1821,Teknikere,0))))),"Mangler rollen "&amp;INDEX(AktRolle,MATCH(C1821,Aktiviteter,0))&amp;"",IF(AND(C1821="LMS",F1821&gt;0,OR(D1821="",E1821="")),"Mangler maskin eller arbeid",IF(AND(OR(C1821="LMS",C1821="Mod"),D1821&lt;&gt;""),IF(IFERROR(INDEX(MaskinStatus,MATCH(D1821,Maskiner,0)),"")="I dokk","","Maskinen er ikke i dokk"),""))))))</f>
        <v/>
      </c>
      <c r="L1821" s="2">
        <f>IF(B1821="","",IFERROR(INT((MATCH(B1821,Teknikere,0)-1)/18)+1,""))</f>
        <v/>
      </c>
      <c r="M1821" s="2">
        <f>IF(OR(A1821="",B1821=""),"",B1821&amp;"|"&amp;A1821)</f>
        <v/>
      </c>
      <c r="N1821" s="2">
        <f>IF(M1821="","",SUMIFS(TF_Timer,TF_Nokkel,M1821,TF_Akt,C1821))</f>
        <v/>
      </c>
      <c r="O1821" s="2">
        <f>IF(M1821="","",IF(AND(N1821=_xlfn.MAXIFS(TF_AktSum,TF_Nokkel,M1821),COUNTIFS(M$3:M1820,M1821,N$3:N1820,N1821)=0),M1821,""))</f>
        <v/>
      </c>
    </row>
    <row r="1822">
      <c r="A1822" s="34" t="n"/>
      <c r="B1822" s="35" t="n"/>
      <c r="C1822" s="35" t="n"/>
      <c r="D1822" s="35" t="n"/>
      <c r="E1822" s="35" t="n"/>
      <c r="F1822" s="36" t="n"/>
      <c r="G1822" s="35" t="n"/>
      <c r="H1822" s="30">
        <f>IF(L1822="","",INDEX(SkiftNavn,L1822))</f>
        <v/>
      </c>
      <c r="I1822" s="30">
        <f>IF(OR(A1822="",L1822=""),"",IF(MOD(A1822-INDEX(SkiftStart,L1822),Syklus)&lt;DagK,"Kveld",IF(MOD(A1822-INDEX(SkiftStart,L1822),Syklus)&lt;DagK+DagH,"Helg",IF(MOD(A1822-INDEX(SkiftStart,L1822),Syklus)&lt;DagK+DagH+DagD,"Dag","Fri"))))</f>
        <v/>
      </c>
      <c r="J1822" s="30">
        <f>IF(I1822="Fri","Ja","")</f>
        <v/>
      </c>
      <c r="K1822" s="30">
        <f>IF(B1822="","",IF(L1822="","Ukjent tekniker",IF(ISNA(MATCH(C1822,Aktiviteter,0)),"Ukjent aktivitet",IF(AND(INDEX(AktRolle,MATCH(C1822,Aktiviteter,0))&amp;""&lt;&gt;"",ISERROR(SEARCH(INDEX(AktRolle,MATCH(C1822,Aktiviteter,0))&amp;"",INDEX(TekRoller,MATCH(B1822,Teknikere,0))))),"Mangler rollen "&amp;INDEX(AktRolle,MATCH(C1822,Aktiviteter,0))&amp;"",IF(AND(C1822="LMS",F1822&gt;0,OR(D1822="",E1822="")),"Mangler maskin eller arbeid",IF(AND(OR(C1822="LMS",C1822="Mod"),D1822&lt;&gt;""),IF(IFERROR(INDEX(MaskinStatus,MATCH(D1822,Maskiner,0)),"")="I dokk","","Maskinen er ikke i dokk"),""))))))</f>
        <v/>
      </c>
      <c r="L1822" s="2">
        <f>IF(B1822="","",IFERROR(INT((MATCH(B1822,Teknikere,0)-1)/18)+1,""))</f>
        <v/>
      </c>
      <c r="M1822" s="2">
        <f>IF(OR(A1822="",B1822=""),"",B1822&amp;"|"&amp;A1822)</f>
        <v/>
      </c>
      <c r="N1822" s="2">
        <f>IF(M1822="","",SUMIFS(TF_Timer,TF_Nokkel,M1822,TF_Akt,C1822))</f>
        <v/>
      </c>
      <c r="O1822" s="2">
        <f>IF(M1822="","",IF(AND(N1822=_xlfn.MAXIFS(TF_AktSum,TF_Nokkel,M1822),COUNTIFS(M$3:M1821,M1822,N$3:N1821,N1822)=0),M1822,""))</f>
        <v/>
      </c>
    </row>
    <row r="1823">
      <c r="A1823" s="34" t="n"/>
      <c r="B1823" s="35" t="n"/>
      <c r="C1823" s="35" t="n"/>
      <c r="D1823" s="35" t="n"/>
      <c r="E1823" s="35" t="n"/>
      <c r="F1823" s="36" t="n"/>
      <c r="G1823" s="35" t="n"/>
      <c r="H1823" s="30">
        <f>IF(L1823="","",INDEX(SkiftNavn,L1823))</f>
        <v/>
      </c>
      <c r="I1823" s="30">
        <f>IF(OR(A1823="",L1823=""),"",IF(MOD(A1823-INDEX(SkiftStart,L1823),Syklus)&lt;DagK,"Kveld",IF(MOD(A1823-INDEX(SkiftStart,L1823),Syklus)&lt;DagK+DagH,"Helg",IF(MOD(A1823-INDEX(SkiftStart,L1823),Syklus)&lt;DagK+DagH+DagD,"Dag","Fri"))))</f>
        <v/>
      </c>
      <c r="J1823" s="30">
        <f>IF(I1823="Fri","Ja","")</f>
        <v/>
      </c>
      <c r="K1823" s="30">
        <f>IF(B1823="","",IF(L1823="","Ukjent tekniker",IF(ISNA(MATCH(C1823,Aktiviteter,0)),"Ukjent aktivitet",IF(AND(INDEX(AktRolle,MATCH(C1823,Aktiviteter,0))&amp;""&lt;&gt;"",ISERROR(SEARCH(INDEX(AktRolle,MATCH(C1823,Aktiviteter,0))&amp;"",INDEX(TekRoller,MATCH(B1823,Teknikere,0))))),"Mangler rollen "&amp;INDEX(AktRolle,MATCH(C1823,Aktiviteter,0))&amp;"",IF(AND(C1823="LMS",F1823&gt;0,OR(D1823="",E1823="")),"Mangler maskin eller arbeid",IF(AND(OR(C1823="LMS",C1823="Mod"),D1823&lt;&gt;""),IF(IFERROR(INDEX(MaskinStatus,MATCH(D1823,Maskiner,0)),"")="I dokk","","Maskinen er ikke i dokk"),""))))))</f>
        <v/>
      </c>
      <c r="L1823" s="2">
        <f>IF(B1823="","",IFERROR(INT((MATCH(B1823,Teknikere,0)-1)/18)+1,""))</f>
        <v/>
      </c>
      <c r="M1823" s="2">
        <f>IF(OR(A1823="",B1823=""),"",B1823&amp;"|"&amp;A1823)</f>
        <v/>
      </c>
      <c r="N1823" s="2">
        <f>IF(M1823="","",SUMIFS(TF_Timer,TF_Nokkel,M1823,TF_Akt,C1823))</f>
        <v/>
      </c>
      <c r="O1823" s="2">
        <f>IF(M1823="","",IF(AND(N1823=_xlfn.MAXIFS(TF_AktSum,TF_Nokkel,M1823),COUNTIFS(M$3:M1822,M1823,N$3:N1822,N1823)=0),M1823,""))</f>
        <v/>
      </c>
    </row>
    <row r="1824">
      <c r="A1824" s="34" t="n"/>
      <c r="B1824" s="35" t="n"/>
      <c r="C1824" s="35" t="n"/>
      <c r="D1824" s="35" t="n"/>
      <c r="E1824" s="35" t="n"/>
      <c r="F1824" s="36" t="n"/>
      <c r="G1824" s="35" t="n"/>
      <c r="H1824" s="30">
        <f>IF(L1824="","",INDEX(SkiftNavn,L1824))</f>
        <v/>
      </c>
      <c r="I1824" s="30">
        <f>IF(OR(A1824="",L1824=""),"",IF(MOD(A1824-INDEX(SkiftStart,L1824),Syklus)&lt;DagK,"Kveld",IF(MOD(A1824-INDEX(SkiftStart,L1824),Syklus)&lt;DagK+DagH,"Helg",IF(MOD(A1824-INDEX(SkiftStart,L1824),Syklus)&lt;DagK+DagH+DagD,"Dag","Fri"))))</f>
        <v/>
      </c>
      <c r="J1824" s="30">
        <f>IF(I1824="Fri","Ja","")</f>
        <v/>
      </c>
      <c r="K1824" s="30">
        <f>IF(B1824="","",IF(L1824="","Ukjent tekniker",IF(ISNA(MATCH(C1824,Aktiviteter,0)),"Ukjent aktivitet",IF(AND(INDEX(AktRolle,MATCH(C1824,Aktiviteter,0))&amp;""&lt;&gt;"",ISERROR(SEARCH(INDEX(AktRolle,MATCH(C1824,Aktiviteter,0))&amp;"",INDEX(TekRoller,MATCH(B1824,Teknikere,0))))),"Mangler rollen "&amp;INDEX(AktRolle,MATCH(C1824,Aktiviteter,0))&amp;"",IF(AND(C1824="LMS",F1824&gt;0,OR(D1824="",E1824="")),"Mangler maskin eller arbeid",IF(AND(OR(C1824="LMS",C1824="Mod"),D1824&lt;&gt;""),IF(IFERROR(INDEX(MaskinStatus,MATCH(D1824,Maskiner,0)),"")="I dokk","","Maskinen er ikke i dokk"),""))))))</f>
        <v/>
      </c>
      <c r="L1824" s="2">
        <f>IF(B1824="","",IFERROR(INT((MATCH(B1824,Teknikere,0)-1)/18)+1,""))</f>
        <v/>
      </c>
      <c r="M1824" s="2">
        <f>IF(OR(A1824="",B1824=""),"",B1824&amp;"|"&amp;A1824)</f>
        <v/>
      </c>
      <c r="N1824" s="2">
        <f>IF(M1824="","",SUMIFS(TF_Timer,TF_Nokkel,M1824,TF_Akt,C1824))</f>
        <v/>
      </c>
      <c r="O1824" s="2">
        <f>IF(M1824="","",IF(AND(N1824=_xlfn.MAXIFS(TF_AktSum,TF_Nokkel,M1824),COUNTIFS(M$3:M1823,M1824,N$3:N1823,N1824)=0),M1824,""))</f>
        <v/>
      </c>
    </row>
    <row r="1825">
      <c r="A1825" s="34" t="n"/>
      <c r="B1825" s="35" t="n"/>
      <c r="C1825" s="35" t="n"/>
      <c r="D1825" s="35" t="n"/>
      <c r="E1825" s="35" t="n"/>
      <c r="F1825" s="36" t="n"/>
      <c r="G1825" s="35" t="n"/>
      <c r="H1825" s="30">
        <f>IF(L1825="","",INDEX(SkiftNavn,L1825))</f>
        <v/>
      </c>
      <c r="I1825" s="30">
        <f>IF(OR(A1825="",L1825=""),"",IF(MOD(A1825-INDEX(SkiftStart,L1825),Syklus)&lt;DagK,"Kveld",IF(MOD(A1825-INDEX(SkiftStart,L1825),Syklus)&lt;DagK+DagH,"Helg",IF(MOD(A1825-INDEX(SkiftStart,L1825),Syklus)&lt;DagK+DagH+DagD,"Dag","Fri"))))</f>
        <v/>
      </c>
      <c r="J1825" s="30">
        <f>IF(I1825="Fri","Ja","")</f>
        <v/>
      </c>
      <c r="K1825" s="30">
        <f>IF(B1825="","",IF(L1825="","Ukjent tekniker",IF(ISNA(MATCH(C1825,Aktiviteter,0)),"Ukjent aktivitet",IF(AND(INDEX(AktRolle,MATCH(C1825,Aktiviteter,0))&amp;""&lt;&gt;"",ISERROR(SEARCH(INDEX(AktRolle,MATCH(C1825,Aktiviteter,0))&amp;"",INDEX(TekRoller,MATCH(B1825,Teknikere,0))))),"Mangler rollen "&amp;INDEX(AktRolle,MATCH(C1825,Aktiviteter,0))&amp;"",IF(AND(C1825="LMS",F1825&gt;0,OR(D1825="",E1825="")),"Mangler maskin eller arbeid",IF(AND(OR(C1825="LMS",C1825="Mod"),D1825&lt;&gt;""),IF(IFERROR(INDEX(MaskinStatus,MATCH(D1825,Maskiner,0)),"")="I dokk","","Maskinen er ikke i dokk"),""))))))</f>
        <v/>
      </c>
      <c r="L1825" s="2">
        <f>IF(B1825="","",IFERROR(INT((MATCH(B1825,Teknikere,0)-1)/18)+1,""))</f>
        <v/>
      </c>
      <c r="M1825" s="2">
        <f>IF(OR(A1825="",B1825=""),"",B1825&amp;"|"&amp;A1825)</f>
        <v/>
      </c>
      <c r="N1825" s="2">
        <f>IF(M1825="","",SUMIFS(TF_Timer,TF_Nokkel,M1825,TF_Akt,C1825))</f>
        <v/>
      </c>
      <c r="O1825" s="2">
        <f>IF(M1825="","",IF(AND(N1825=_xlfn.MAXIFS(TF_AktSum,TF_Nokkel,M1825),COUNTIFS(M$3:M1824,M1825,N$3:N1824,N1825)=0),M1825,""))</f>
        <v/>
      </c>
    </row>
    <row r="1826">
      <c r="A1826" s="34" t="n"/>
      <c r="B1826" s="35" t="n"/>
      <c r="C1826" s="35" t="n"/>
      <c r="D1826" s="35" t="n"/>
      <c r="E1826" s="35" t="n"/>
      <c r="F1826" s="36" t="n"/>
      <c r="G1826" s="35" t="n"/>
      <c r="H1826" s="30">
        <f>IF(L1826="","",INDEX(SkiftNavn,L1826))</f>
        <v/>
      </c>
      <c r="I1826" s="30">
        <f>IF(OR(A1826="",L1826=""),"",IF(MOD(A1826-INDEX(SkiftStart,L1826),Syklus)&lt;DagK,"Kveld",IF(MOD(A1826-INDEX(SkiftStart,L1826),Syklus)&lt;DagK+DagH,"Helg",IF(MOD(A1826-INDEX(SkiftStart,L1826),Syklus)&lt;DagK+DagH+DagD,"Dag","Fri"))))</f>
        <v/>
      </c>
      <c r="J1826" s="30">
        <f>IF(I1826="Fri","Ja","")</f>
        <v/>
      </c>
      <c r="K1826" s="30">
        <f>IF(B1826="","",IF(L1826="","Ukjent tekniker",IF(ISNA(MATCH(C1826,Aktiviteter,0)),"Ukjent aktivitet",IF(AND(INDEX(AktRolle,MATCH(C1826,Aktiviteter,0))&amp;""&lt;&gt;"",ISERROR(SEARCH(INDEX(AktRolle,MATCH(C1826,Aktiviteter,0))&amp;"",INDEX(TekRoller,MATCH(B1826,Teknikere,0))))),"Mangler rollen "&amp;INDEX(AktRolle,MATCH(C1826,Aktiviteter,0))&amp;"",IF(AND(C1826="LMS",F1826&gt;0,OR(D1826="",E1826="")),"Mangler maskin eller arbeid",IF(AND(OR(C1826="LMS",C1826="Mod"),D1826&lt;&gt;""),IF(IFERROR(INDEX(MaskinStatus,MATCH(D1826,Maskiner,0)),"")="I dokk","","Maskinen er ikke i dokk"),""))))))</f>
        <v/>
      </c>
      <c r="L1826" s="2">
        <f>IF(B1826="","",IFERROR(INT((MATCH(B1826,Teknikere,0)-1)/18)+1,""))</f>
        <v/>
      </c>
      <c r="M1826" s="2">
        <f>IF(OR(A1826="",B1826=""),"",B1826&amp;"|"&amp;A1826)</f>
        <v/>
      </c>
      <c r="N1826" s="2">
        <f>IF(M1826="","",SUMIFS(TF_Timer,TF_Nokkel,M1826,TF_Akt,C1826))</f>
        <v/>
      </c>
      <c r="O1826" s="2">
        <f>IF(M1826="","",IF(AND(N1826=_xlfn.MAXIFS(TF_AktSum,TF_Nokkel,M1826),COUNTIFS(M$3:M1825,M1826,N$3:N1825,N1826)=0),M1826,""))</f>
        <v/>
      </c>
    </row>
    <row r="1827">
      <c r="A1827" s="34" t="n"/>
      <c r="B1827" s="35" t="n"/>
      <c r="C1827" s="35" t="n"/>
      <c r="D1827" s="35" t="n"/>
      <c r="E1827" s="35" t="n"/>
      <c r="F1827" s="36" t="n"/>
      <c r="G1827" s="35" t="n"/>
      <c r="H1827" s="30">
        <f>IF(L1827="","",INDEX(SkiftNavn,L1827))</f>
        <v/>
      </c>
      <c r="I1827" s="30">
        <f>IF(OR(A1827="",L1827=""),"",IF(MOD(A1827-INDEX(SkiftStart,L1827),Syklus)&lt;DagK,"Kveld",IF(MOD(A1827-INDEX(SkiftStart,L1827),Syklus)&lt;DagK+DagH,"Helg",IF(MOD(A1827-INDEX(SkiftStart,L1827),Syklus)&lt;DagK+DagH+DagD,"Dag","Fri"))))</f>
        <v/>
      </c>
      <c r="J1827" s="30">
        <f>IF(I1827="Fri","Ja","")</f>
        <v/>
      </c>
      <c r="K1827" s="30">
        <f>IF(B1827="","",IF(L1827="","Ukjent tekniker",IF(ISNA(MATCH(C1827,Aktiviteter,0)),"Ukjent aktivitet",IF(AND(INDEX(AktRolle,MATCH(C1827,Aktiviteter,0))&amp;""&lt;&gt;"",ISERROR(SEARCH(INDEX(AktRolle,MATCH(C1827,Aktiviteter,0))&amp;"",INDEX(TekRoller,MATCH(B1827,Teknikere,0))))),"Mangler rollen "&amp;INDEX(AktRolle,MATCH(C1827,Aktiviteter,0))&amp;"",IF(AND(C1827="LMS",F1827&gt;0,OR(D1827="",E1827="")),"Mangler maskin eller arbeid",IF(AND(OR(C1827="LMS",C1827="Mod"),D1827&lt;&gt;""),IF(IFERROR(INDEX(MaskinStatus,MATCH(D1827,Maskiner,0)),"")="I dokk","","Maskinen er ikke i dokk"),""))))))</f>
        <v/>
      </c>
      <c r="L1827" s="2">
        <f>IF(B1827="","",IFERROR(INT((MATCH(B1827,Teknikere,0)-1)/18)+1,""))</f>
        <v/>
      </c>
      <c r="M1827" s="2">
        <f>IF(OR(A1827="",B1827=""),"",B1827&amp;"|"&amp;A1827)</f>
        <v/>
      </c>
      <c r="N1827" s="2">
        <f>IF(M1827="","",SUMIFS(TF_Timer,TF_Nokkel,M1827,TF_Akt,C1827))</f>
        <v/>
      </c>
      <c r="O1827" s="2">
        <f>IF(M1827="","",IF(AND(N1827=_xlfn.MAXIFS(TF_AktSum,TF_Nokkel,M1827),COUNTIFS(M$3:M1826,M1827,N$3:N1826,N1827)=0),M1827,""))</f>
        <v/>
      </c>
    </row>
    <row r="1828">
      <c r="A1828" s="34" t="n"/>
      <c r="B1828" s="35" t="n"/>
      <c r="C1828" s="35" t="n"/>
      <c r="D1828" s="35" t="n"/>
      <c r="E1828" s="35" t="n"/>
      <c r="F1828" s="36" t="n"/>
      <c r="G1828" s="35" t="n"/>
      <c r="H1828" s="30">
        <f>IF(L1828="","",INDEX(SkiftNavn,L1828))</f>
        <v/>
      </c>
      <c r="I1828" s="30">
        <f>IF(OR(A1828="",L1828=""),"",IF(MOD(A1828-INDEX(SkiftStart,L1828),Syklus)&lt;DagK,"Kveld",IF(MOD(A1828-INDEX(SkiftStart,L1828),Syklus)&lt;DagK+DagH,"Helg",IF(MOD(A1828-INDEX(SkiftStart,L1828),Syklus)&lt;DagK+DagH+DagD,"Dag","Fri"))))</f>
        <v/>
      </c>
      <c r="J1828" s="30">
        <f>IF(I1828="Fri","Ja","")</f>
        <v/>
      </c>
      <c r="K1828" s="30">
        <f>IF(B1828="","",IF(L1828="","Ukjent tekniker",IF(ISNA(MATCH(C1828,Aktiviteter,0)),"Ukjent aktivitet",IF(AND(INDEX(AktRolle,MATCH(C1828,Aktiviteter,0))&amp;""&lt;&gt;"",ISERROR(SEARCH(INDEX(AktRolle,MATCH(C1828,Aktiviteter,0))&amp;"",INDEX(TekRoller,MATCH(B1828,Teknikere,0))))),"Mangler rollen "&amp;INDEX(AktRolle,MATCH(C1828,Aktiviteter,0))&amp;"",IF(AND(C1828="LMS",F1828&gt;0,OR(D1828="",E1828="")),"Mangler maskin eller arbeid",IF(AND(OR(C1828="LMS",C1828="Mod"),D1828&lt;&gt;""),IF(IFERROR(INDEX(MaskinStatus,MATCH(D1828,Maskiner,0)),"")="I dokk","","Maskinen er ikke i dokk"),""))))))</f>
        <v/>
      </c>
      <c r="L1828" s="2">
        <f>IF(B1828="","",IFERROR(INT((MATCH(B1828,Teknikere,0)-1)/18)+1,""))</f>
        <v/>
      </c>
      <c r="M1828" s="2">
        <f>IF(OR(A1828="",B1828=""),"",B1828&amp;"|"&amp;A1828)</f>
        <v/>
      </c>
      <c r="N1828" s="2">
        <f>IF(M1828="","",SUMIFS(TF_Timer,TF_Nokkel,M1828,TF_Akt,C1828))</f>
        <v/>
      </c>
      <c r="O1828" s="2">
        <f>IF(M1828="","",IF(AND(N1828=_xlfn.MAXIFS(TF_AktSum,TF_Nokkel,M1828),COUNTIFS(M$3:M1827,M1828,N$3:N1827,N1828)=0),M1828,""))</f>
        <v/>
      </c>
    </row>
    <row r="1829">
      <c r="A1829" s="34" t="n"/>
      <c r="B1829" s="35" t="n"/>
      <c r="C1829" s="35" t="n"/>
      <c r="D1829" s="35" t="n"/>
      <c r="E1829" s="35" t="n"/>
      <c r="F1829" s="36" t="n"/>
      <c r="G1829" s="35" t="n"/>
      <c r="H1829" s="30">
        <f>IF(L1829="","",INDEX(SkiftNavn,L1829))</f>
        <v/>
      </c>
      <c r="I1829" s="30">
        <f>IF(OR(A1829="",L1829=""),"",IF(MOD(A1829-INDEX(SkiftStart,L1829),Syklus)&lt;DagK,"Kveld",IF(MOD(A1829-INDEX(SkiftStart,L1829),Syklus)&lt;DagK+DagH,"Helg",IF(MOD(A1829-INDEX(SkiftStart,L1829),Syklus)&lt;DagK+DagH+DagD,"Dag","Fri"))))</f>
        <v/>
      </c>
      <c r="J1829" s="30">
        <f>IF(I1829="Fri","Ja","")</f>
        <v/>
      </c>
      <c r="K1829" s="30">
        <f>IF(B1829="","",IF(L1829="","Ukjent tekniker",IF(ISNA(MATCH(C1829,Aktiviteter,0)),"Ukjent aktivitet",IF(AND(INDEX(AktRolle,MATCH(C1829,Aktiviteter,0))&amp;""&lt;&gt;"",ISERROR(SEARCH(INDEX(AktRolle,MATCH(C1829,Aktiviteter,0))&amp;"",INDEX(TekRoller,MATCH(B1829,Teknikere,0))))),"Mangler rollen "&amp;INDEX(AktRolle,MATCH(C1829,Aktiviteter,0))&amp;"",IF(AND(C1829="LMS",F1829&gt;0,OR(D1829="",E1829="")),"Mangler maskin eller arbeid",IF(AND(OR(C1829="LMS",C1829="Mod"),D1829&lt;&gt;""),IF(IFERROR(INDEX(MaskinStatus,MATCH(D1829,Maskiner,0)),"")="I dokk","","Maskinen er ikke i dokk"),""))))))</f>
        <v/>
      </c>
      <c r="L1829" s="2">
        <f>IF(B1829="","",IFERROR(INT((MATCH(B1829,Teknikere,0)-1)/18)+1,""))</f>
        <v/>
      </c>
      <c r="M1829" s="2">
        <f>IF(OR(A1829="",B1829=""),"",B1829&amp;"|"&amp;A1829)</f>
        <v/>
      </c>
      <c r="N1829" s="2">
        <f>IF(M1829="","",SUMIFS(TF_Timer,TF_Nokkel,M1829,TF_Akt,C1829))</f>
        <v/>
      </c>
      <c r="O1829" s="2">
        <f>IF(M1829="","",IF(AND(N1829=_xlfn.MAXIFS(TF_AktSum,TF_Nokkel,M1829),COUNTIFS(M$3:M1828,M1829,N$3:N1828,N1829)=0),M1829,""))</f>
        <v/>
      </c>
    </row>
    <row r="1830">
      <c r="A1830" s="34" t="n"/>
      <c r="B1830" s="35" t="n"/>
      <c r="C1830" s="35" t="n"/>
      <c r="D1830" s="35" t="n"/>
      <c r="E1830" s="35" t="n"/>
      <c r="F1830" s="36" t="n"/>
      <c r="G1830" s="35" t="n"/>
      <c r="H1830" s="30">
        <f>IF(L1830="","",INDEX(SkiftNavn,L1830))</f>
        <v/>
      </c>
      <c r="I1830" s="30">
        <f>IF(OR(A1830="",L1830=""),"",IF(MOD(A1830-INDEX(SkiftStart,L1830),Syklus)&lt;DagK,"Kveld",IF(MOD(A1830-INDEX(SkiftStart,L1830),Syklus)&lt;DagK+DagH,"Helg",IF(MOD(A1830-INDEX(SkiftStart,L1830),Syklus)&lt;DagK+DagH+DagD,"Dag","Fri"))))</f>
        <v/>
      </c>
      <c r="J1830" s="30">
        <f>IF(I1830="Fri","Ja","")</f>
        <v/>
      </c>
      <c r="K1830" s="30">
        <f>IF(B1830="","",IF(L1830="","Ukjent tekniker",IF(ISNA(MATCH(C1830,Aktiviteter,0)),"Ukjent aktivitet",IF(AND(INDEX(AktRolle,MATCH(C1830,Aktiviteter,0))&amp;""&lt;&gt;"",ISERROR(SEARCH(INDEX(AktRolle,MATCH(C1830,Aktiviteter,0))&amp;"",INDEX(TekRoller,MATCH(B1830,Teknikere,0))))),"Mangler rollen "&amp;INDEX(AktRolle,MATCH(C1830,Aktiviteter,0))&amp;"",IF(AND(C1830="LMS",F1830&gt;0,OR(D1830="",E1830="")),"Mangler maskin eller arbeid",IF(AND(OR(C1830="LMS",C1830="Mod"),D1830&lt;&gt;""),IF(IFERROR(INDEX(MaskinStatus,MATCH(D1830,Maskiner,0)),"")="I dokk","","Maskinen er ikke i dokk"),""))))))</f>
        <v/>
      </c>
      <c r="L1830" s="2">
        <f>IF(B1830="","",IFERROR(INT((MATCH(B1830,Teknikere,0)-1)/18)+1,""))</f>
        <v/>
      </c>
      <c r="M1830" s="2">
        <f>IF(OR(A1830="",B1830=""),"",B1830&amp;"|"&amp;A1830)</f>
        <v/>
      </c>
      <c r="N1830" s="2">
        <f>IF(M1830="","",SUMIFS(TF_Timer,TF_Nokkel,M1830,TF_Akt,C1830))</f>
        <v/>
      </c>
      <c r="O1830" s="2">
        <f>IF(M1830="","",IF(AND(N1830=_xlfn.MAXIFS(TF_AktSum,TF_Nokkel,M1830),COUNTIFS(M$3:M1829,M1830,N$3:N1829,N1830)=0),M1830,""))</f>
        <v/>
      </c>
    </row>
    <row r="1831">
      <c r="A1831" s="34" t="n"/>
      <c r="B1831" s="35" t="n"/>
      <c r="C1831" s="35" t="n"/>
      <c r="D1831" s="35" t="n"/>
      <c r="E1831" s="35" t="n"/>
      <c r="F1831" s="36" t="n"/>
      <c r="G1831" s="35" t="n"/>
      <c r="H1831" s="30">
        <f>IF(L1831="","",INDEX(SkiftNavn,L1831))</f>
        <v/>
      </c>
      <c r="I1831" s="30">
        <f>IF(OR(A1831="",L1831=""),"",IF(MOD(A1831-INDEX(SkiftStart,L1831),Syklus)&lt;DagK,"Kveld",IF(MOD(A1831-INDEX(SkiftStart,L1831),Syklus)&lt;DagK+DagH,"Helg",IF(MOD(A1831-INDEX(SkiftStart,L1831),Syklus)&lt;DagK+DagH+DagD,"Dag","Fri"))))</f>
        <v/>
      </c>
      <c r="J1831" s="30">
        <f>IF(I1831="Fri","Ja","")</f>
        <v/>
      </c>
      <c r="K1831" s="30">
        <f>IF(B1831="","",IF(L1831="","Ukjent tekniker",IF(ISNA(MATCH(C1831,Aktiviteter,0)),"Ukjent aktivitet",IF(AND(INDEX(AktRolle,MATCH(C1831,Aktiviteter,0))&amp;""&lt;&gt;"",ISERROR(SEARCH(INDEX(AktRolle,MATCH(C1831,Aktiviteter,0))&amp;"",INDEX(TekRoller,MATCH(B1831,Teknikere,0))))),"Mangler rollen "&amp;INDEX(AktRolle,MATCH(C1831,Aktiviteter,0))&amp;"",IF(AND(C1831="LMS",F1831&gt;0,OR(D1831="",E1831="")),"Mangler maskin eller arbeid",IF(AND(OR(C1831="LMS",C1831="Mod"),D1831&lt;&gt;""),IF(IFERROR(INDEX(MaskinStatus,MATCH(D1831,Maskiner,0)),"")="I dokk","","Maskinen er ikke i dokk"),""))))))</f>
        <v/>
      </c>
      <c r="L1831" s="2">
        <f>IF(B1831="","",IFERROR(INT((MATCH(B1831,Teknikere,0)-1)/18)+1,""))</f>
        <v/>
      </c>
      <c r="M1831" s="2">
        <f>IF(OR(A1831="",B1831=""),"",B1831&amp;"|"&amp;A1831)</f>
        <v/>
      </c>
      <c r="N1831" s="2">
        <f>IF(M1831="","",SUMIFS(TF_Timer,TF_Nokkel,M1831,TF_Akt,C1831))</f>
        <v/>
      </c>
      <c r="O1831" s="2">
        <f>IF(M1831="","",IF(AND(N1831=_xlfn.MAXIFS(TF_AktSum,TF_Nokkel,M1831),COUNTIFS(M$3:M1830,M1831,N$3:N1830,N1831)=0),M1831,""))</f>
        <v/>
      </c>
    </row>
    <row r="1832">
      <c r="A1832" s="34" t="n"/>
      <c r="B1832" s="35" t="n"/>
      <c r="C1832" s="35" t="n"/>
      <c r="D1832" s="35" t="n"/>
      <c r="E1832" s="35" t="n"/>
      <c r="F1832" s="36" t="n"/>
      <c r="G1832" s="35" t="n"/>
      <c r="H1832" s="30">
        <f>IF(L1832="","",INDEX(SkiftNavn,L1832))</f>
        <v/>
      </c>
      <c r="I1832" s="30">
        <f>IF(OR(A1832="",L1832=""),"",IF(MOD(A1832-INDEX(SkiftStart,L1832),Syklus)&lt;DagK,"Kveld",IF(MOD(A1832-INDEX(SkiftStart,L1832),Syklus)&lt;DagK+DagH,"Helg",IF(MOD(A1832-INDEX(SkiftStart,L1832),Syklus)&lt;DagK+DagH+DagD,"Dag","Fri"))))</f>
        <v/>
      </c>
      <c r="J1832" s="30">
        <f>IF(I1832="Fri","Ja","")</f>
        <v/>
      </c>
      <c r="K1832" s="30">
        <f>IF(B1832="","",IF(L1832="","Ukjent tekniker",IF(ISNA(MATCH(C1832,Aktiviteter,0)),"Ukjent aktivitet",IF(AND(INDEX(AktRolle,MATCH(C1832,Aktiviteter,0))&amp;""&lt;&gt;"",ISERROR(SEARCH(INDEX(AktRolle,MATCH(C1832,Aktiviteter,0))&amp;"",INDEX(TekRoller,MATCH(B1832,Teknikere,0))))),"Mangler rollen "&amp;INDEX(AktRolle,MATCH(C1832,Aktiviteter,0))&amp;"",IF(AND(C1832="LMS",F1832&gt;0,OR(D1832="",E1832="")),"Mangler maskin eller arbeid",IF(AND(OR(C1832="LMS",C1832="Mod"),D1832&lt;&gt;""),IF(IFERROR(INDEX(MaskinStatus,MATCH(D1832,Maskiner,0)),"")="I dokk","","Maskinen er ikke i dokk"),""))))))</f>
        <v/>
      </c>
      <c r="L1832" s="2">
        <f>IF(B1832="","",IFERROR(INT((MATCH(B1832,Teknikere,0)-1)/18)+1,""))</f>
        <v/>
      </c>
      <c r="M1832" s="2">
        <f>IF(OR(A1832="",B1832=""),"",B1832&amp;"|"&amp;A1832)</f>
        <v/>
      </c>
      <c r="N1832" s="2">
        <f>IF(M1832="","",SUMIFS(TF_Timer,TF_Nokkel,M1832,TF_Akt,C1832))</f>
        <v/>
      </c>
      <c r="O1832" s="2">
        <f>IF(M1832="","",IF(AND(N1832=_xlfn.MAXIFS(TF_AktSum,TF_Nokkel,M1832),COUNTIFS(M$3:M1831,M1832,N$3:N1831,N1832)=0),M1832,""))</f>
        <v/>
      </c>
    </row>
    <row r="1833">
      <c r="A1833" s="34" t="n"/>
      <c r="B1833" s="35" t="n"/>
      <c r="C1833" s="35" t="n"/>
      <c r="D1833" s="35" t="n"/>
      <c r="E1833" s="35" t="n"/>
      <c r="F1833" s="36" t="n"/>
      <c r="G1833" s="35" t="n"/>
      <c r="H1833" s="30">
        <f>IF(L1833="","",INDEX(SkiftNavn,L1833))</f>
        <v/>
      </c>
      <c r="I1833" s="30">
        <f>IF(OR(A1833="",L1833=""),"",IF(MOD(A1833-INDEX(SkiftStart,L1833),Syklus)&lt;DagK,"Kveld",IF(MOD(A1833-INDEX(SkiftStart,L1833),Syklus)&lt;DagK+DagH,"Helg",IF(MOD(A1833-INDEX(SkiftStart,L1833),Syklus)&lt;DagK+DagH+DagD,"Dag","Fri"))))</f>
        <v/>
      </c>
      <c r="J1833" s="30">
        <f>IF(I1833="Fri","Ja","")</f>
        <v/>
      </c>
      <c r="K1833" s="30">
        <f>IF(B1833="","",IF(L1833="","Ukjent tekniker",IF(ISNA(MATCH(C1833,Aktiviteter,0)),"Ukjent aktivitet",IF(AND(INDEX(AktRolle,MATCH(C1833,Aktiviteter,0))&amp;""&lt;&gt;"",ISERROR(SEARCH(INDEX(AktRolle,MATCH(C1833,Aktiviteter,0))&amp;"",INDEX(TekRoller,MATCH(B1833,Teknikere,0))))),"Mangler rollen "&amp;INDEX(AktRolle,MATCH(C1833,Aktiviteter,0))&amp;"",IF(AND(C1833="LMS",F1833&gt;0,OR(D1833="",E1833="")),"Mangler maskin eller arbeid",IF(AND(OR(C1833="LMS",C1833="Mod"),D1833&lt;&gt;""),IF(IFERROR(INDEX(MaskinStatus,MATCH(D1833,Maskiner,0)),"")="I dokk","","Maskinen er ikke i dokk"),""))))))</f>
        <v/>
      </c>
      <c r="L1833" s="2">
        <f>IF(B1833="","",IFERROR(INT((MATCH(B1833,Teknikere,0)-1)/18)+1,""))</f>
        <v/>
      </c>
      <c r="M1833" s="2">
        <f>IF(OR(A1833="",B1833=""),"",B1833&amp;"|"&amp;A1833)</f>
        <v/>
      </c>
      <c r="N1833" s="2">
        <f>IF(M1833="","",SUMIFS(TF_Timer,TF_Nokkel,M1833,TF_Akt,C1833))</f>
        <v/>
      </c>
      <c r="O1833" s="2">
        <f>IF(M1833="","",IF(AND(N1833=_xlfn.MAXIFS(TF_AktSum,TF_Nokkel,M1833),COUNTIFS(M$3:M1832,M1833,N$3:N1832,N1833)=0),M1833,""))</f>
        <v/>
      </c>
    </row>
    <row r="1834">
      <c r="A1834" s="34" t="n"/>
      <c r="B1834" s="35" t="n"/>
      <c r="C1834" s="35" t="n"/>
      <c r="D1834" s="35" t="n"/>
      <c r="E1834" s="35" t="n"/>
      <c r="F1834" s="36" t="n"/>
      <c r="G1834" s="35" t="n"/>
      <c r="H1834" s="30">
        <f>IF(L1834="","",INDEX(SkiftNavn,L1834))</f>
        <v/>
      </c>
      <c r="I1834" s="30">
        <f>IF(OR(A1834="",L1834=""),"",IF(MOD(A1834-INDEX(SkiftStart,L1834),Syklus)&lt;DagK,"Kveld",IF(MOD(A1834-INDEX(SkiftStart,L1834),Syklus)&lt;DagK+DagH,"Helg",IF(MOD(A1834-INDEX(SkiftStart,L1834),Syklus)&lt;DagK+DagH+DagD,"Dag","Fri"))))</f>
        <v/>
      </c>
      <c r="J1834" s="30">
        <f>IF(I1834="Fri","Ja","")</f>
        <v/>
      </c>
      <c r="K1834" s="30">
        <f>IF(B1834="","",IF(L1834="","Ukjent tekniker",IF(ISNA(MATCH(C1834,Aktiviteter,0)),"Ukjent aktivitet",IF(AND(INDEX(AktRolle,MATCH(C1834,Aktiviteter,0))&amp;""&lt;&gt;"",ISERROR(SEARCH(INDEX(AktRolle,MATCH(C1834,Aktiviteter,0))&amp;"",INDEX(TekRoller,MATCH(B1834,Teknikere,0))))),"Mangler rollen "&amp;INDEX(AktRolle,MATCH(C1834,Aktiviteter,0))&amp;"",IF(AND(C1834="LMS",F1834&gt;0,OR(D1834="",E1834="")),"Mangler maskin eller arbeid",IF(AND(OR(C1834="LMS",C1834="Mod"),D1834&lt;&gt;""),IF(IFERROR(INDEX(MaskinStatus,MATCH(D1834,Maskiner,0)),"")="I dokk","","Maskinen er ikke i dokk"),""))))))</f>
        <v/>
      </c>
      <c r="L1834" s="2">
        <f>IF(B1834="","",IFERROR(INT((MATCH(B1834,Teknikere,0)-1)/18)+1,""))</f>
        <v/>
      </c>
      <c r="M1834" s="2">
        <f>IF(OR(A1834="",B1834=""),"",B1834&amp;"|"&amp;A1834)</f>
        <v/>
      </c>
      <c r="N1834" s="2">
        <f>IF(M1834="","",SUMIFS(TF_Timer,TF_Nokkel,M1834,TF_Akt,C1834))</f>
        <v/>
      </c>
      <c r="O1834" s="2">
        <f>IF(M1834="","",IF(AND(N1834=_xlfn.MAXIFS(TF_AktSum,TF_Nokkel,M1834),COUNTIFS(M$3:M1833,M1834,N$3:N1833,N1834)=0),M1834,""))</f>
        <v/>
      </c>
    </row>
    <row r="1835">
      <c r="A1835" s="34" t="n"/>
      <c r="B1835" s="35" t="n"/>
      <c r="C1835" s="35" t="n"/>
      <c r="D1835" s="35" t="n"/>
      <c r="E1835" s="35" t="n"/>
      <c r="F1835" s="36" t="n"/>
      <c r="G1835" s="35" t="n"/>
      <c r="H1835" s="30">
        <f>IF(L1835="","",INDEX(SkiftNavn,L1835))</f>
        <v/>
      </c>
      <c r="I1835" s="30">
        <f>IF(OR(A1835="",L1835=""),"",IF(MOD(A1835-INDEX(SkiftStart,L1835),Syklus)&lt;DagK,"Kveld",IF(MOD(A1835-INDEX(SkiftStart,L1835),Syklus)&lt;DagK+DagH,"Helg",IF(MOD(A1835-INDEX(SkiftStart,L1835),Syklus)&lt;DagK+DagH+DagD,"Dag","Fri"))))</f>
        <v/>
      </c>
      <c r="J1835" s="30">
        <f>IF(I1835="Fri","Ja","")</f>
        <v/>
      </c>
      <c r="K1835" s="30">
        <f>IF(B1835="","",IF(L1835="","Ukjent tekniker",IF(ISNA(MATCH(C1835,Aktiviteter,0)),"Ukjent aktivitet",IF(AND(INDEX(AktRolle,MATCH(C1835,Aktiviteter,0))&amp;""&lt;&gt;"",ISERROR(SEARCH(INDEX(AktRolle,MATCH(C1835,Aktiviteter,0))&amp;"",INDEX(TekRoller,MATCH(B1835,Teknikere,0))))),"Mangler rollen "&amp;INDEX(AktRolle,MATCH(C1835,Aktiviteter,0))&amp;"",IF(AND(C1835="LMS",F1835&gt;0,OR(D1835="",E1835="")),"Mangler maskin eller arbeid",IF(AND(OR(C1835="LMS",C1835="Mod"),D1835&lt;&gt;""),IF(IFERROR(INDEX(MaskinStatus,MATCH(D1835,Maskiner,0)),"")="I dokk","","Maskinen er ikke i dokk"),""))))))</f>
        <v/>
      </c>
      <c r="L1835" s="2">
        <f>IF(B1835="","",IFERROR(INT((MATCH(B1835,Teknikere,0)-1)/18)+1,""))</f>
        <v/>
      </c>
      <c r="M1835" s="2">
        <f>IF(OR(A1835="",B1835=""),"",B1835&amp;"|"&amp;A1835)</f>
        <v/>
      </c>
      <c r="N1835" s="2">
        <f>IF(M1835="","",SUMIFS(TF_Timer,TF_Nokkel,M1835,TF_Akt,C1835))</f>
        <v/>
      </c>
      <c r="O1835" s="2">
        <f>IF(M1835="","",IF(AND(N1835=_xlfn.MAXIFS(TF_AktSum,TF_Nokkel,M1835),COUNTIFS(M$3:M1834,M1835,N$3:N1834,N1835)=0),M1835,""))</f>
        <v/>
      </c>
    </row>
    <row r="1836">
      <c r="A1836" s="34" t="n"/>
      <c r="B1836" s="35" t="n"/>
      <c r="C1836" s="35" t="n"/>
      <c r="D1836" s="35" t="n"/>
      <c r="E1836" s="35" t="n"/>
      <c r="F1836" s="36" t="n"/>
      <c r="G1836" s="35" t="n"/>
      <c r="H1836" s="30">
        <f>IF(L1836="","",INDEX(SkiftNavn,L1836))</f>
        <v/>
      </c>
      <c r="I1836" s="30">
        <f>IF(OR(A1836="",L1836=""),"",IF(MOD(A1836-INDEX(SkiftStart,L1836),Syklus)&lt;DagK,"Kveld",IF(MOD(A1836-INDEX(SkiftStart,L1836),Syklus)&lt;DagK+DagH,"Helg",IF(MOD(A1836-INDEX(SkiftStart,L1836),Syklus)&lt;DagK+DagH+DagD,"Dag","Fri"))))</f>
        <v/>
      </c>
      <c r="J1836" s="30">
        <f>IF(I1836="Fri","Ja","")</f>
        <v/>
      </c>
      <c r="K1836" s="30">
        <f>IF(B1836="","",IF(L1836="","Ukjent tekniker",IF(ISNA(MATCH(C1836,Aktiviteter,0)),"Ukjent aktivitet",IF(AND(INDEX(AktRolle,MATCH(C1836,Aktiviteter,0))&amp;""&lt;&gt;"",ISERROR(SEARCH(INDEX(AktRolle,MATCH(C1836,Aktiviteter,0))&amp;"",INDEX(TekRoller,MATCH(B1836,Teknikere,0))))),"Mangler rollen "&amp;INDEX(AktRolle,MATCH(C1836,Aktiviteter,0))&amp;"",IF(AND(C1836="LMS",F1836&gt;0,OR(D1836="",E1836="")),"Mangler maskin eller arbeid",IF(AND(OR(C1836="LMS",C1836="Mod"),D1836&lt;&gt;""),IF(IFERROR(INDEX(MaskinStatus,MATCH(D1836,Maskiner,0)),"")="I dokk","","Maskinen er ikke i dokk"),""))))))</f>
        <v/>
      </c>
      <c r="L1836" s="2">
        <f>IF(B1836="","",IFERROR(INT((MATCH(B1836,Teknikere,0)-1)/18)+1,""))</f>
        <v/>
      </c>
      <c r="M1836" s="2">
        <f>IF(OR(A1836="",B1836=""),"",B1836&amp;"|"&amp;A1836)</f>
        <v/>
      </c>
      <c r="N1836" s="2">
        <f>IF(M1836="","",SUMIFS(TF_Timer,TF_Nokkel,M1836,TF_Akt,C1836))</f>
        <v/>
      </c>
      <c r="O1836" s="2">
        <f>IF(M1836="","",IF(AND(N1836=_xlfn.MAXIFS(TF_AktSum,TF_Nokkel,M1836),COUNTIFS(M$3:M1835,M1836,N$3:N1835,N1836)=0),M1836,""))</f>
        <v/>
      </c>
    </row>
    <row r="1837">
      <c r="A1837" s="34" t="n"/>
      <c r="B1837" s="35" t="n"/>
      <c r="C1837" s="35" t="n"/>
      <c r="D1837" s="35" t="n"/>
      <c r="E1837" s="35" t="n"/>
      <c r="F1837" s="36" t="n"/>
      <c r="G1837" s="35" t="n"/>
      <c r="H1837" s="30">
        <f>IF(L1837="","",INDEX(SkiftNavn,L1837))</f>
        <v/>
      </c>
      <c r="I1837" s="30">
        <f>IF(OR(A1837="",L1837=""),"",IF(MOD(A1837-INDEX(SkiftStart,L1837),Syklus)&lt;DagK,"Kveld",IF(MOD(A1837-INDEX(SkiftStart,L1837),Syklus)&lt;DagK+DagH,"Helg",IF(MOD(A1837-INDEX(SkiftStart,L1837),Syklus)&lt;DagK+DagH+DagD,"Dag","Fri"))))</f>
        <v/>
      </c>
      <c r="J1837" s="30">
        <f>IF(I1837="Fri","Ja","")</f>
        <v/>
      </c>
      <c r="K1837" s="30">
        <f>IF(B1837="","",IF(L1837="","Ukjent tekniker",IF(ISNA(MATCH(C1837,Aktiviteter,0)),"Ukjent aktivitet",IF(AND(INDEX(AktRolle,MATCH(C1837,Aktiviteter,0))&amp;""&lt;&gt;"",ISERROR(SEARCH(INDEX(AktRolle,MATCH(C1837,Aktiviteter,0))&amp;"",INDEX(TekRoller,MATCH(B1837,Teknikere,0))))),"Mangler rollen "&amp;INDEX(AktRolle,MATCH(C1837,Aktiviteter,0))&amp;"",IF(AND(C1837="LMS",F1837&gt;0,OR(D1837="",E1837="")),"Mangler maskin eller arbeid",IF(AND(OR(C1837="LMS",C1837="Mod"),D1837&lt;&gt;""),IF(IFERROR(INDEX(MaskinStatus,MATCH(D1837,Maskiner,0)),"")="I dokk","","Maskinen er ikke i dokk"),""))))))</f>
        <v/>
      </c>
      <c r="L1837" s="2">
        <f>IF(B1837="","",IFERROR(INT((MATCH(B1837,Teknikere,0)-1)/18)+1,""))</f>
        <v/>
      </c>
      <c r="M1837" s="2">
        <f>IF(OR(A1837="",B1837=""),"",B1837&amp;"|"&amp;A1837)</f>
        <v/>
      </c>
      <c r="N1837" s="2">
        <f>IF(M1837="","",SUMIFS(TF_Timer,TF_Nokkel,M1837,TF_Akt,C1837))</f>
        <v/>
      </c>
      <c r="O1837" s="2">
        <f>IF(M1837="","",IF(AND(N1837=_xlfn.MAXIFS(TF_AktSum,TF_Nokkel,M1837),COUNTIFS(M$3:M1836,M1837,N$3:N1836,N1837)=0),M1837,""))</f>
        <v/>
      </c>
    </row>
    <row r="1838">
      <c r="A1838" s="34" t="n"/>
      <c r="B1838" s="35" t="n"/>
      <c r="C1838" s="35" t="n"/>
      <c r="D1838" s="35" t="n"/>
      <c r="E1838" s="35" t="n"/>
      <c r="F1838" s="36" t="n"/>
      <c r="G1838" s="35" t="n"/>
      <c r="H1838" s="30">
        <f>IF(L1838="","",INDEX(SkiftNavn,L1838))</f>
        <v/>
      </c>
      <c r="I1838" s="30">
        <f>IF(OR(A1838="",L1838=""),"",IF(MOD(A1838-INDEX(SkiftStart,L1838),Syklus)&lt;DagK,"Kveld",IF(MOD(A1838-INDEX(SkiftStart,L1838),Syklus)&lt;DagK+DagH,"Helg",IF(MOD(A1838-INDEX(SkiftStart,L1838),Syklus)&lt;DagK+DagH+DagD,"Dag","Fri"))))</f>
        <v/>
      </c>
      <c r="J1838" s="30">
        <f>IF(I1838="Fri","Ja","")</f>
        <v/>
      </c>
      <c r="K1838" s="30">
        <f>IF(B1838="","",IF(L1838="","Ukjent tekniker",IF(ISNA(MATCH(C1838,Aktiviteter,0)),"Ukjent aktivitet",IF(AND(INDEX(AktRolle,MATCH(C1838,Aktiviteter,0))&amp;""&lt;&gt;"",ISERROR(SEARCH(INDEX(AktRolle,MATCH(C1838,Aktiviteter,0))&amp;"",INDEX(TekRoller,MATCH(B1838,Teknikere,0))))),"Mangler rollen "&amp;INDEX(AktRolle,MATCH(C1838,Aktiviteter,0))&amp;"",IF(AND(C1838="LMS",F1838&gt;0,OR(D1838="",E1838="")),"Mangler maskin eller arbeid",IF(AND(OR(C1838="LMS",C1838="Mod"),D1838&lt;&gt;""),IF(IFERROR(INDEX(MaskinStatus,MATCH(D1838,Maskiner,0)),"")="I dokk","","Maskinen er ikke i dokk"),""))))))</f>
        <v/>
      </c>
      <c r="L1838" s="2">
        <f>IF(B1838="","",IFERROR(INT((MATCH(B1838,Teknikere,0)-1)/18)+1,""))</f>
        <v/>
      </c>
      <c r="M1838" s="2">
        <f>IF(OR(A1838="",B1838=""),"",B1838&amp;"|"&amp;A1838)</f>
        <v/>
      </c>
      <c r="N1838" s="2">
        <f>IF(M1838="","",SUMIFS(TF_Timer,TF_Nokkel,M1838,TF_Akt,C1838))</f>
        <v/>
      </c>
      <c r="O1838" s="2">
        <f>IF(M1838="","",IF(AND(N1838=_xlfn.MAXIFS(TF_AktSum,TF_Nokkel,M1838),COUNTIFS(M$3:M1837,M1838,N$3:N1837,N1838)=0),M1838,""))</f>
        <v/>
      </c>
    </row>
    <row r="1839">
      <c r="A1839" s="34" t="n"/>
      <c r="B1839" s="35" t="n"/>
      <c r="C1839" s="35" t="n"/>
      <c r="D1839" s="35" t="n"/>
      <c r="E1839" s="35" t="n"/>
      <c r="F1839" s="36" t="n"/>
      <c r="G1839" s="35" t="n"/>
      <c r="H1839" s="30">
        <f>IF(L1839="","",INDEX(SkiftNavn,L1839))</f>
        <v/>
      </c>
      <c r="I1839" s="30">
        <f>IF(OR(A1839="",L1839=""),"",IF(MOD(A1839-INDEX(SkiftStart,L1839),Syklus)&lt;DagK,"Kveld",IF(MOD(A1839-INDEX(SkiftStart,L1839),Syklus)&lt;DagK+DagH,"Helg",IF(MOD(A1839-INDEX(SkiftStart,L1839),Syklus)&lt;DagK+DagH+DagD,"Dag","Fri"))))</f>
        <v/>
      </c>
      <c r="J1839" s="30">
        <f>IF(I1839="Fri","Ja","")</f>
        <v/>
      </c>
      <c r="K1839" s="30">
        <f>IF(B1839="","",IF(L1839="","Ukjent tekniker",IF(ISNA(MATCH(C1839,Aktiviteter,0)),"Ukjent aktivitet",IF(AND(INDEX(AktRolle,MATCH(C1839,Aktiviteter,0))&amp;""&lt;&gt;"",ISERROR(SEARCH(INDEX(AktRolle,MATCH(C1839,Aktiviteter,0))&amp;"",INDEX(TekRoller,MATCH(B1839,Teknikere,0))))),"Mangler rollen "&amp;INDEX(AktRolle,MATCH(C1839,Aktiviteter,0))&amp;"",IF(AND(C1839="LMS",F1839&gt;0,OR(D1839="",E1839="")),"Mangler maskin eller arbeid",IF(AND(OR(C1839="LMS",C1839="Mod"),D1839&lt;&gt;""),IF(IFERROR(INDEX(MaskinStatus,MATCH(D1839,Maskiner,0)),"")="I dokk","","Maskinen er ikke i dokk"),""))))))</f>
        <v/>
      </c>
      <c r="L1839" s="2">
        <f>IF(B1839="","",IFERROR(INT((MATCH(B1839,Teknikere,0)-1)/18)+1,""))</f>
        <v/>
      </c>
      <c r="M1839" s="2">
        <f>IF(OR(A1839="",B1839=""),"",B1839&amp;"|"&amp;A1839)</f>
        <v/>
      </c>
      <c r="N1839" s="2">
        <f>IF(M1839="","",SUMIFS(TF_Timer,TF_Nokkel,M1839,TF_Akt,C1839))</f>
        <v/>
      </c>
      <c r="O1839" s="2">
        <f>IF(M1839="","",IF(AND(N1839=_xlfn.MAXIFS(TF_AktSum,TF_Nokkel,M1839),COUNTIFS(M$3:M1838,M1839,N$3:N1838,N1839)=0),M1839,""))</f>
        <v/>
      </c>
    </row>
    <row r="1840">
      <c r="A1840" s="34" t="n"/>
      <c r="B1840" s="35" t="n"/>
      <c r="C1840" s="35" t="n"/>
      <c r="D1840" s="35" t="n"/>
      <c r="E1840" s="35" t="n"/>
      <c r="F1840" s="36" t="n"/>
      <c r="G1840" s="35" t="n"/>
      <c r="H1840" s="30">
        <f>IF(L1840="","",INDEX(SkiftNavn,L1840))</f>
        <v/>
      </c>
      <c r="I1840" s="30">
        <f>IF(OR(A1840="",L1840=""),"",IF(MOD(A1840-INDEX(SkiftStart,L1840),Syklus)&lt;DagK,"Kveld",IF(MOD(A1840-INDEX(SkiftStart,L1840),Syklus)&lt;DagK+DagH,"Helg",IF(MOD(A1840-INDEX(SkiftStart,L1840),Syklus)&lt;DagK+DagH+DagD,"Dag","Fri"))))</f>
        <v/>
      </c>
      <c r="J1840" s="30">
        <f>IF(I1840="Fri","Ja","")</f>
        <v/>
      </c>
      <c r="K1840" s="30">
        <f>IF(B1840="","",IF(L1840="","Ukjent tekniker",IF(ISNA(MATCH(C1840,Aktiviteter,0)),"Ukjent aktivitet",IF(AND(INDEX(AktRolle,MATCH(C1840,Aktiviteter,0))&amp;""&lt;&gt;"",ISERROR(SEARCH(INDEX(AktRolle,MATCH(C1840,Aktiviteter,0))&amp;"",INDEX(TekRoller,MATCH(B1840,Teknikere,0))))),"Mangler rollen "&amp;INDEX(AktRolle,MATCH(C1840,Aktiviteter,0))&amp;"",IF(AND(C1840="LMS",F1840&gt;0,OR(D1840="",E1840="")),"Mangler maskin eller arbeid",IF(AND(OR(C1840="LMS",C1840="Mod"),D1840&lt;&gt;""),IF(IFERROR(INDEX(MaskinStatus,MATCH(D1840,Maskiner,0)),"")="I dokk","","Maskinen er ikke i dokk"),""))))))</f>
        <v/>
      </c>
      <c r="L1840" s="2">
        <f>IF(B1840="","",IFERROR(INT((MATCH(B1840,Teknikere,0)-1)/18)+1,""))</f>
        <v/>
      </c>
      <c r="M1840" s="2">
        <f>IF(OR(A1840="",B1840=""),"",B1840&amp;"|"&amp;A1840)</f>
        <v/>
      </c>
      <c r="N1840" s="2">
        <f>IF(M1840="","",SUMIFS(TF_Timer,TF_Nokkel,M1840,TF_Akt,C1840))</f>
        <v/>
      </c>
      <c r="O1840" s="2">
        <f>IF(M1840="","",IF(AND(N1840=_xlfn.MAXIFS(TF_AktSum,TF_Nokkel,M1840),COUNTIFS(M$3:M1839,M1840,N$3:N1839,N1840)=0),M1840,""))</f>
        <v/>
      </c>
    </row>
    <row r="1841">
      <c r="A1841" s="34" t="n"/>
      <c r="B1841" s="35" t="n"/>
      <c r="C1841" s="35" t="n"/>
      <c r="D1841" s="35" t="n"/>
      <c r="E1841" s="35" t="n"/>
      <c r="F1841" s="36" t="n"/>
      <c r="G1841" s="35" t="n"/>
      <c r="H1841" s="30">
        <f>IF(L1841="","",INDEX(SkiftNavn,L1841))</f>
        <v/>
      </c>
      <c r="I1841" s="30">
        <f>IF(OR(A1841="",L1841=""),"",IF(MOD(A1841-INDEX(SkiftStart,L1841),Syklus)&lt;DagK,"Kveld",IF(MOD(A1841-INDEX(SkiftStart,L1841),Syklus)&lt;DagK+DagH,"Helg",IF(MOD(A1841-INDEX(SkiftStart,L1841),Syklus)&lt;DagK+DagH+DagD,"Dag","Fri"))))</f>
        <v/>
      </c>
      <c r="J1841" s="30">
        <f>IF(I1841="Fri","Ja","")</f>
        <v/>
      </c>
      <c r="K1841" s="30">
        <f>IF(B1841="","",IF(L1841="","Ukjent tekniker",IF(ISNA(MATCH(C1841,Aktiviteter,0)),"Ukjent aktivitet",IF(AND(INDEX(AktRolle,MATCH(C1841,Aktiviteter,0))&amp;""&lt;&gt;"",ISERROR(SEARCH(INDEX(AktRolle,MATCH(C1841,Aktiviteter,0))&amp;"",INDEX(TekRoller,MATCH(B1841,Teknikere,0))))),"Mangler rollen "&amp;INDEX(AktRolle,MATCH(C1841,Aktiviteter,0))&amp;"",IF(AND(C1841="LMS",F1841&gt;0,OR(D1841="",E1841="")),"Mangler maskin eller arbeid",IF(AND(OR(C1841="LMS",C1841="Mod"),D1841&lt;&gt;""),IF(IFERROR(INDEX(MaskinStatus,MATCH(D1841,Maskiner,0)),"")="I dokk","","Maskinen er ikke i dokk"),""))))))</f>
        <v/>
      </c>
      <c r="L1841" s="2">
        <f>IF(B1841="","",IFERROR(INT((MATCH(B1841,Teknikere,0)-1)/18)+1,""))</f>
        <v/>
      </c>
      <c r="M1841" s="2">
        <f>IF(OR(A1841="",B1841=""),"",B1841&amp;"|"&amp;A1841)</f>
        <v/>
      </c>
      <c r="N1841" s="2">
        <f>IF(M1841="","",SUMIFS(TF_Timer,TF_Nokkel,M1841,TF_Akt,C1841))</f>
        <v/>
      </c>
      <c r="O1841" s="2">
        <f>IF(M1841="","",IF(AND(N1841=_xlfn.MAXIFS(TF_AktSum,TF_Nokkel,M1841),COUNTIFS(M$3:M1840,M1841,N$3:N1840,N1841)=0),M1841,""))</f>
        <v/>
      </c>
    </row>
    <row r="1842">
      <c r="A1842" s="34" t="n"/>
      <c r="B1842" s="35" t="n"/>
      <c r="C1842" s="35" t="n"/>
      <c r="D1842" s="35" t="n"/>
      <c r="E1842" s="35" t="n"/>
      <c r="F1842" s="36" t="n"/>
      <c r="G1842" s="35" t="n"/>
      <c r="H1842" s="30">
        <f>IF(L1842="","",INDEX(SkiftNavn,L1842))</f>
        <v/>
      </c>
      <c r="I1842" s="30">
        <f>IF(OR(A1842="",L1842=""),"",IF(MOD(A1842-INDEX(SkiftStart,L1842),Syklus)&lt;DagK,"Kveld",IF(MOD(A1842-INDEX(SkiftStart,L1842),Syklus)&lt;DagK+DagH,"Helg",IF(MOD(A1842-INDEX(SkiftStart,L1842),Syklus)&lt;DagK+DagH+DagD,"Dag","Fri"))))</f>
        <v/>
      </c>
      <c r="J1842" s="30">
        <f>IF(I1842="Fri","Ja","")</f>
        <v/>
      </c>
      <c r="K1842" s="30">
        <f>IF(B1842="","",IF(L1842="","Ukjent tekniker",IF(ISNA(MATCH(C1842,Aktiviteter,0)),"Ukjent aktivitet",IF(AND(INDEX(AktRolle,MATCH(C1842,Aktiviteter,0))&amp;""&lt;&gt;"",ISERROR(SEARCH(INDEX(AktRolle,MATCH(C1842,Aktiviteter,0))&amp;"",INDEX(TekRoller,MATCH(B1842,Teknikere,0))))),"Mangler rollen "&amp;INDEX(AktRolle,MATCH(C1842,Aktiviteter,0))&amp;"",IF(AND(C1842="LMS",F1842&gt;0,OR(D1842="",E1842="")),"Mangler maskin eller arbeid",IF(AND(OR(C1842="LMS",C1842="Mod"),D1842&lt;&gt;""),IF(IFERROR(INDEX(MaskinStatus,MATCH(D1842,Maskiner,0)),"")="I dokk","","Maskinen er ikke i dokk"),""))))))</f>
        <v/>
      </c>
      <c r="L1842" s="2">
        <f>IF(B1842="","",IFERROR(INT((MATCH(B1842,Teknikere,0)-1)/18)+1,""))</f>
        <v/>
      </c>
      <c r="M1842" s="2">
        <f>IF(OR(A1842="",B1842=""),"",B1842&amp;"|"&amp;A1842)</f>
        <v/>
      </c>
      <c r="N1842" s="2">
        <f>IF(M1842="","",SUMIFS(TF_Timer,TF_Nokkel,M1842,TF_Akt,C1842))</f>
        <v/>
      </c>
      <c r="O1842" s="2">
        <f>IF(M1842="","",IF(AND(N1842=_xlfn.MAXIFS(TF_AktSum,TF_Nokkel,M1842),COUNTIFS(M$3:M1841,M1842,N$3:N1841,N1842)=0),M1842,""))</f>
        <v/>
      </c>
    </row>
    <row r="1843">
      <c r="A1843" s="34" t="n"/>
      <c r="B1843" s="35" t="n"/>
      <c r="C1843" s="35" t="n"/>
      <c r="D1843" s="35" t="n"/>
      <c r="E1843" s="35" t="n"/>
      <c r="F1843" s="36" t="n"/>
      <c r="G1843" s="35" t="n"/>
      <c r="H1843" s="30">
        <f>IF(L1843="","",INDEX(SkiftNavn,L1843))</f>
        <v/>
      </c>
      <c r="I1843" s="30">
        <f>IF(OR(A1843="",L1843=""),"",IF(MOD(A1843-INDEX(SkiftStart,L1843),Syklus)&lt;DagK,"Kveld",IF(MOD(A1843-INDEX(SkiftStart,L1843),Syklus)&lt;DagK+DagH,"Helg",IF(MOD(A1843-INDEX(SkiftStart,L1843),Syklus)&lt;DagK+DagH+DagD,"Dag","Fri"))))</f>
        <v/>
      </c>
      <c r="J1843" s="30">
        <f>IF(I1843="Fri","Ja","")</f>
        <v/>
      </c>
      <c r="K1843" s="30">
        <f>IF(B1843="","",IF(L1843="","Ukjent tekniker",IF(ISNA(MATCH(C1843,Aktiviteter,0)),"Ukjent aktivitet",IF(AND(INDEX(AktRolle,MATCH(C1843,Aktiviteter,0))&amp;""&lt;&gt;"",ISERROR(SEARCH(INDEX(AktRolle,MATCH(C1843,Aktiviteter,0))&amp;"",INDEX(TekRoller,MATCH(B1843,Teknikere,0))))),"Mangler rollen "&amp;INDEX(AktRolle,MATCH(C1843,Aktiviteter,0))&amp;"",IF(AND(C1843="LMS",F1843&gt;0,OR(D1843="",E1843="")),"Mangler maskin eller arbeid",IF(AND(OR(C1843="LMS",C1843="Mod"),D1843&lt;&gt;""),IF(IFERROR(INDEX(MaskinStatus,MATCH(D1843,Maskiner,0)),"")="I dokk","","Maskinen er ikke i dokk"),""))))))</f>
        <v/>
      </c>
      <c r="L1843" s="2">
        <f>IF(B1843="","",IFERROR(INT((MATCH(B1843,Teknikere,0)-1)/18)+1,""))</f>
        <v/>
      </c>
      <c r="M1843" s="2">
        <f>IF(OR(A1843="",B1843=""),"",B1843&amp;"|"&amp;A1843)</f>
        <v/>
      </c>
      <c r="N1843" s="2">
        <f>IF(M1843="","",SUMIFS(TF_Timer,TF_Nokkel,M1843,TF_Akt,C1843))</f>
        <v/>
      </c>
      <c r="O1843" s="2">
        <f>IF(M1843="","",IF(AND(N1843=_xlfn.MAXIFS(TF_AktSum,TF_Nokkel,M1843),COUNTIFS(M$3:M1842,M1843,N$3:N1842,N1843)=0),M1843,""))</f>
        <v/>
      </c>
    </row>
    <row r="1844">
      <c r="A1844" s="34" t="n"/>
      <c r="B1844" s="35" t="n"/>
      <c r="C1844" s="35" t="n"/>
      <c r="D1844" s="35" t="n"/>
      <c r="E1844" s="35" t="n"/>
      <c r="F1844" s="36" t="n"/>
      <c r="G1844" s="35" t="n"/>
      <c r="H1844" s="30">
        <f>IF(L1844="","",INDEX(SkiftNavn,L1844))</f>
        <v/>
      </c>
      <c r="I1844" s="30">
        <f>IF(OR(A1844="",L1844=""),"",IF(MOD(A1844-INDEX(SkiftStart,L1844),Syklus)&lt;DagK,"Kveld",IF(MOD(A1844-INDEX(SkiftStart,L1844),Syklus)&lt;DagK+DagH,"Helg",IF(MOD(A1844-INDEX(SkiftStart,L1844),Syklus)&lt;DagK+DagH+DagD,"Dag","Fri"))))</f>
        <v/>
      </c>
      <c r="J1844" s="30">
        <f>IF(I1844="Fri","Ja","")</f>
        <v/>
      </c>
      <c r="K1844" s="30">
        <f>IF(B1844="","",IF(L1844="","Ukjent tekniker",IF(ISNA(MATCH(C1844,Aktiviteter,0)),"Ukjent aktivitet",IF(AND(INDEX(AktRolle,MATCH(C1844,Aktiviteter,0))&amp;""&lt;&gt;"",ISERROR(SEARCH(INDEX(AktRolle,MATCH(C1844,Aktiviteter,0))&amp;"",INDEX(TekRoller,MATCH(B1844,Teknikere,0))))),"Mangler rollen "&amp;INDEX(AktRolle,MATCH(C1844,Aktiviteter,0))&amp;"",IF(AND(C1844="LMS",F1844&gt;0,OR(D1844="",E1844="")),"Mangler maskin eller arbeid",IF(AND(OR(C1844="LMS",C1844="Mod"),D1844&lt;&gt;""),IF(IFERROR(INDEX(MaskinStatus,MATCH(D1844,Maskiner,0)),"")="I dokk","","Maskinen er ikke i dokk"),""))))))</f>
        <v/>
      </c>
      <c r="L1844" s="2">
        <f>IF(B1844="","",IFERROR(INT((MATCH(B1844,Teknikere,0)-1)/18)+1,""))</f>
        <v/>
      </c>
      <c r="M1844" s="2">
        <f>IF(OR(A1844="",B1844=""),"",B1844&amp;"|"&amp;A1844)</f>
        <v/>
      </c>
      <c r="N1844" s="2">
        <f>IF(M1844="","",SUMIFS(TF_Timer,TF_Nokkel,M1844,TF_Akt,C1844))</f>
        <v/>
      </c>
      <c r="O1844" s="2">
        <f>IF(M1844="","",IF(AND(N1844=_xlfn.MAXIFS(TF_AktSum,TF_Nokkel,M1844),COUNTIFS(M$3:M1843,M1844,N$3:N1843,N1844)=0),M1844,""))</f>
        <v/>
      </c>
    </row>
    <row r="1845">
      <c r="A1845" s="34" t="n"/>
      <c r="B1845" s="35" t="n"/>
      <c r="C1845" s="35" t="n"/>
      <c r="D1845" s="35" t="n"/>
      <c r="E1845" s="35" t="n"/>
      <c r="F1845" s="36" t="n"/>
      <c r="G1845" s="35" t="n"/>
      <c r="H1845" s="30">
        <f>IF(L1845="","",INDEX(SkiftNavn,L1845))</f>
        <v/>
      </c>
      <c r="I1845" s="30">
        <f>IF(OR(A1845="",L1845=""),"",IF(MOD(A1845-INDEX(SkiftStart,L1845),Syklus)&lt;DagK,"Kveld",IF(MOD(A1845-INDEX(SkiftStart,L1845),Syklus)&lt;DagK+DagH,"Helg",IF(MOD(A1845-INDEX(SkiftStart,L1845),Syklus)&lt;DagK+DagH+DagD,"Dag","Fri"))))</f>
        <v/>
      </c>
      <c r="J1845" s="30">
        <f>IF(I1845="Fri","Ja","")</f>
        <v/>
      </c>
      <c r="K1845" s="30">
        <f>IF(B1845="","",IF(L1845="","Ukjent tekniker",IF(ISNA(MATCH(C1845,Aktiviteter,0)),"Ukjent aktivitet",IF(AND(INDEX(AktRolle,MATCH(C1845,Aktiviteter,0))&amp;""&lt;&gt;"",ISERROR(SEARCH(INDEX(AktRolle,MATCH(C1845,Aktiviteter,0))&amp;"",INDEX(TekRoller,MATCH(B1845,Teknikere,0))))),"Mangler rollen "&amp;INDEX(AktRolle,MATCH(C1845,Aktiviteter,0))&amp;"",IF(AND(C1845="LMS",F1845&gt;0,OR(D1845="",E1845="")),"Mangler maskin eller arbeid",IF(AND(OR(C1845="LMS",C1845="Mod"),D1845&lt;&gt;""),IF(IFERROR(INDEX(MaskinStatus,MATCH(D1845,Maskiner,0)),"")="I dokk","","Maskinen er ikke i dokk"),""))))))</f>
        <v/>
      </c>
      <c r="L1845" s="2">
        <f>IF(B1845="","",IFERROR(INT((MATCH(B1845,Teknikere,0)-1)/18)+1,""))</f>
        <v/>
      </c>
      <c r="M1845" s="2">
        <f>IF(OR(A1845="",B1845=""),"",B1845&amp;"|"&amp;A1845)</f>
        <v/>
      </c>
      <c r="N1845" s="2">
        <f>IF(M1845="","",SUMIFS(TF_Timer,TF_Nokkel,M1845,TF_Akt,C1845))</f>
        <v/>
      </c>
      <c r="O1845" s="2">
        <f>IF(M1845="","",IF(AND(N1845=_xlfn.MAXIFS(TF_AktSum,TF_Nokkel,M1845),COUNTIFS(M$3:M1844,M1845,N$3:N1844,N1845)=0),M1845,""))</f>
        <v/>
      </c>
    </row>
    <row r="1846">
      <c r="A1846" s="34" t="n"/>
      <c r="B1846" s="35" t="n"/>
      <c r="C1846" s="35" t="n"/>
      <c r="D1846" s="35" t="n"/>
      <c r="E1846" s="35" t="n"/>
      <c r="F1846" s="36" t="n"/>
      <c r="G1846" s="35" t="n"/>
      <c r="H1846" s="30">
        <f>IF(L1846="","",INDEX(SkiftNavn,L1846))</f>
        <v/>
      </c>
      <c r="I1846" s="30">
        <f>IF(OR(A1846="",L1846=""),"",IF(MOD(A1846-INDEX(SkiftStart,L1846),Syklus)&lt;DagK,"Kveld",IF(MOD(A1846-INDEX(SkiftStart,L1846),Syklus)&lt;DagK+DagH,"Helg",IF(MOD(A1846-INDEX(SkiftStart,L1846),Syklus)&lt;DagK+DagH+DagD,"Dag","Fri"))))</f>
        <v/>
      </c>
      <c r="J1846" s="30">
        <f>IF(I1846="Fri","Ja","")</f>
        <v/>
      </c>
      <c r="K1846" s="30">
        <f>IF(B1846="","",IF(L1846="","Ukjent tekniker",IF(ISNA(MATCH(C1846,Aktiviteter,0)),"Ukjent aktivitet",IF(AND(INDEX(AktRolle,MATCH(C1846,Aktiviteter,0))&amp;""&lt;&gt;"",ISERROR(SEARCH(INDEX(AktRolle,MATCH(C1846,Aktiviteter,0))&amp;"",INDEX(TekRoller,MATCH(B1846,Teknikere,0))))),"Mangler rollen "&amp;INDEX(AktRolle,MATCH(C1846,Aktiviteter,0))&amp;"",IF(AND(C1846="LMS",F1846&gt;0,OR(D1846="",E1846="")),"Mangler maskin eller arbeid",IF(AND(OR(C1846="LMS",C1846="Mod"),D1846&lt;&gt;""),IF(IFERROR(INDEX(MaskinStatus,MATCH(D1846,Maskiner,0)),"")="I dokk","","Maskinen er ikke i dokk"),""))))))</f>
        <v/>
      </c>
      <c r="L1846" s="2">
        <f>IF(B1846="","",IFERROR(INT((MATCH(B1846,Teknikere,0)-1)/18)+1,""))</f>
        <v/>
      </c>
      <c r="M1846" s="2">
        <f>IF(OR(A1846="",B1846=""),"",B1846&amp;"|"&amp;A1846)</f>
        <v/>
      </c>
      <c r="N1846" s="2">
        <f>IF(M1846="","",SUMIFS(TF_Timer,TF_Nokkel,M1846,TF_Akt,C1846))</f>
        <v/>
      </c>
      <c r="O1846" s="2">
        <f>IF(M1846="","",IF(AND(N1846=_xlfn.MAXIFS(TF_AktSum,TF_Nokkel,M1846),COUNTIFS(M$3:M1845,M1846,N$3:N1845,N1846)=0),M1846,""))</f>
        <v/>
      </c>
    </row>
    <row r="1847">
      <c r="A1847" s="34" t="n"/>
      <c r="B1847" s="35" t="n"/>
      <c r="C1847" s="35" t="n"/>
      <c r="D1847" s="35" t="n"/>
      <c r="E1847" s="35" t="n"/>
      <c r="F1847" s="36" t="n"/>
      <c r="G1847" s="35" t="n"/>
      <c r="H1847" s="30">
        <f>IF(L1847="","",INDEX(SkiftNavn,L1847))</f>
        <v/>
      </c>
      <c r="I1847" s="30">
        <f>IF(OR(A1847="",L1847=""),"",IF(MOD(A1847-INDEX(SkiftStart,L1847),Syklus)&lt;DagK,"Kveld",IF(MOD(A1847-INDEX(SkiftStart,L1847),Syklus)&lt;DagK+DagH,"Helg",IF(MOD(A1847-INDEX(SkiftStart,L1847),Syklus)&lt;DagK+DagH+DagD,"Dag","Fri"))))</f>
        <v/>
      </c>
      <c r="J1847" s="30">
        <f>IF(I1847="Fri","Ja","")</f>
        <v/>
      </c>
      <c r="K1847" s="30">
        <f>IF(B1847="","",IF(L1847="","Ukjent tekniker",IF(ISNA(MATCH(C1847,Aktiviteter,0)),"Ukjent aktivitet",IF(AND(INDEX(AktRolle,MATCH(C1847,Aktiviteter,0))&amp;""&lt;&gt;"",ISERROR(SEARCH(INDEX(AktRolle,MATCH(C1847,Aktiviteter,0))&amp;"",INDEX(TekRoller,MATCH(B1847,Teknikere,0))))),"Mangler rollen "&amp;INDEX(AktRolle,MATCH(C1847,Aktiviteter,0))&amp;"",IF(AND(C1847="LMS",F1847&gt;0,OR(D1847="",E1847="")),"Mangler maskin eller arbeid",IF(AND(OR(C1847="LMS",C1847="Mod"),D1847&lt;&gt;""),IF(IFERROR(INDEX(MaskinStatus,MATCH(D1847,Maskiner,0)),"")="I dokk","","Maskinen er ikke i dokk"),""))))))</f>
        <v/>
      </c>
      <c r="L1847" s="2">
        <f>IF(B1847="","",IFERROR(INT((MATCH(B1847,Teknikere,0)-1)/18)+1,""))</f>
        <v/>
      </c>
      <c r="M1847" s="2">
        <f>IF(OR(A1847="",B1847=""),"",B1847&amp;"|"&amp;A1847)</f>
        <v/>
      </c>
      <c r="N1847" s="2">
        <f>IF(M1847="","",SUMIFS(TF_Timer,TF_Nokkel,M1847,TF_Akt,C1847))</f>
        <v/>
      </c>
      <c r="O1847" s="2">
        <f>IF(M1847="","",IF(AND(N1847=_xlfn.MAXIFS(TF_AktSum,TF_Nokkel,M1847),COUNTIFS(M$3:M1846,M1847,N$3:N1846,N1847)=0),M1847,""))</f>
        <v/>
      </c>
    </row>
    <row r="1848">
      <c r="A1848" s="34" t="n"/>
      <c r="B1848" s="35" t="n"/>
      <c r="C1848" s="35" t="n"/>
      <c r="D1848" s="35" t="n"/>
      <c r="E1848" s="35" t="n"/>
      <c r="F1848" s="36" t="n"/>
      <c r="G1848" s="35" t="n"/>
      <c r="H1848" s="30">
        <f>IF(L1848="","",INDEX(SkiftNavn,L1848))</f>
        <v/>
      </c>
      <c r="I1848" s="30">
        <f>IF(OR(A1848="",L1848=""),"",IF(MOD(A1848-INDEX(SkiftStart,L1848),Syklus)&lt;DagK,"Kveld",IF(MOD(A1848-INDEX(SkiftStart,L1848),Syklus)&lt;DagK+DagH,"Helg",IF(MOD(A1848-INDEX(SkiftStart,L1848),Syklus)&lt;DagK+DagH+DagD,"Dag","Fri"))))</f>
        <v/>
      </c>
      <c r="J1848" s="30">
        <f>IF(I1848="Fri","Ja","")</f>
        <v/>
      </c>
      <c r="K1848" s="30">
        <f>IF(B1848="","",IF(L1848="","Ukjent tekniker",IF(ISNA(MATCH(C1848,Aktiviteter,0)),"Ukjent aktivitet",IF(AND(INDEX(AktRolle,MATCH(C1848,Aktiviteter,0))&amp;""&lt;&gt;"",ISERROR(SEARCH(INDEX(AktRolle,MATCH(C1848,Aktiviteter,0))&amp;"",INDEX(TekRoller,MATCH(B1848,Teknikere,0))))),"Mangler rollen "&amp;INDEX(AktRolle,MATCH(C1848,Aktiviteter,0))&amp;"",IF(AND(C1848="LMS",F1848&gt;0,OR(D1848="",E1848="")),"Mangler maskin eller arbeid",IF(AND(OR(C1848="LMS",C1848="Mod"),D1848&lt;&gt;""),IF(IFERROR(INDEX(MaskinStatus,MATCH(D1848,Maskiner,0)),"")="I dokk","","Maskinen er ikke i dokk"),""))))))</f>
        <v/>
      </c>
      <c r="L1848" s="2">
        <f>IF(B1848="","",IFERROR(INT((MATCH(B1848,Teknikere,0)-1)/18)+1,""))</f>
        <v/>
      </c>
      <c r="M1848" s="2">
        <f>IF(OR(A1848="",B1848=""),"",B1848&amp;"|"&amp;A1848)</f>
        <v/>
      </c>
      <c r="N1848" s="2">
        <f>IF(M1848="","",SUMIFS(TF_Timer,TF_Nokkel,M1848,TF_Akt,C1848))</f>
        <v/>
      </c>
      <c r="O1848" s="2">
        <f>IF(M1848="","",IF(AND(N1848=_xlfn.MAXIFS(TF_AktSum,TF_Nokkel,M1848),COUNTIFS(M$3:M1847,M1848,N$3:N1847,N1848)=0),M1848,""))</f>
        <v/>
      </c>
    </row>
    <row r="1849">
      <c r="A1849" s="34" t="n"/>
      <c r="B1849" s="35" t="n"/>
      <c r="C1849" s="35" t="n"/>
      <c r="D1849" s="35" t="n"/>
      <c r="E1849" s="35" t="n"/>
      <c r="F1849" s="36" t="n"/>
      <c r="G1849" s="35" t="n"/>
      <c r="H1849" s="30">
        <f>IF(L1849="","",INDEX(SkiftNavn,L1849))</f>
        <v/>
      </c>
      <c r="I1849" s="30">
        <f>IF(OR(A1849="",L1849=""),"",IF(MOD(A1849-INDEX(SkiftStart,L1849),Syklus)&lt;DagK,"Kveld",IF(MOD(A1849-INDEX(SkiftStart,L1849),Syklus)&lt;DagK+DagH,"Helg",IF(MOD(A1849-INDEX(SkiftStart,L1849),Syklus)&lt;DagK+DagH+DagD,"Dag","Fri"))))</f>
        <v/>
      </c>
      <c r="J1849" s="30">
        <f>IF(I1849="Fri","Ja","")</f>
        <v/>
      </c>
      <c r="K1849" s="30">
        <f>IF(B1849="","",IF(L1849="","Ukjent tekniker",IF(ISNA(MATCH(C1849,Aktiviteter,0)),"Ukjent aktivitet",IF(AND(INDEX(AktRolle,MATCH(C1849,Aktiviteter,0))&amp;""&lt;&gt;"",ISERROR(SEARCH(INDEX(AktRolle,MATCH(C1849,Aktiviteter,0))&amp;"",INDEX(TekRoller,MATCH(B1849,Teknikere,0))))),"Mangler rollen "&amp;INDEX(AktRolle,MATCH(C1849,Aktiviteter,0))&amp;"",IF(AND(C1849="LMS",F1849&gt;0,OR(D1849="",E1849="")),"Mangler maskin eller arbeid",IF(AND(OR(C1849="LMS",C1849="Mod"),D1849&lt;&gt;""),IF(IFERROR(INDEX(MaskinStatus,MATCH(D1849,Maskiner,0)),"")="I dokk","","Maskinen er ikke i dokk"),""))))))</f>
        <v/>
      </c>
      <c r="L1849" s="2">
        <f>IF(B1849="","",IFERROR(INT((MATCH(B1849,Teknikere,0)-1)/18)+1,""))</f>
        <v/>
      </c>
      <c r="M1849" s="2">
        <f>IF(OR(A1849="",B1849=""),"",B1849&amp;"|"&amp;A1849)</f>
        <v/>
      </c>
      <c r="N1849" s="2">
        <f>IF(M1849="","",SUMIFS(TF_Timer,TF_Nokkel,M1849,TF_Akt,C1849))</f>
        <v/>
      </c>
      <c r="O1849" s="2">
        <f>IF(M1849="","",IF(AND(N1849=_xlfn.MAXIFS(TF_AktSum,TF_Nokkel,M1849),COUNTIFS(M$3:M1848,M1849,N$3:N1848,N1849)=0),M1849,""))</f>
        <v/>
      </c>
    </row>
    <row r="1850">
      <c r="A1850" s="34" t="n"/>
      <c r="B1850" s="35" t="n"/>
      <c r="C1850" s="35" t="n"/>
      <c r="D1850" s="35" t="n"/>
      <c r="E1850" s="35" t="n"/>
      <c r="F1850" s="36" t="n"/>
      <c r="G1850" s="35" t="n"/>
      <c r="H1850" s="30">
        <f>IF(L1850="","",INDEX(SkiftNavn,L1850))</f>
        <v/>
      </c>
      <c r="I1850" s="30">
        <f>IF(OR(A1850="",L1850=""),"",IF(MOD(A1850-INDEX(SkiftStart,L1850),Syklus)&lt;DagK,"Kveld",IF(MOD(A1850-INDEX(SkiftStart,L1850),Syklus)&lt;DagK+DagH,"Helg",IF(MOD(A1850-INDEX(SkiftStart,L1850),Syklus)&lt;DagK+DagH+DagD,"Dag","Fri"))))</f>
        <v/>
      </c>
      <c r="J1850" s="30">
        <f>IF(I1850="Fri","Ja","")</f>
        <v/>
      </c>
      <c r="K1850" s="30">
        <f>IF(B1850="","",IF(L1850="","Ukjent tekniker",IF(ISNA(MATCH(C1850,Aktiviteter,0)),"Ukjent aktivitet",IF(AND(INDEX(AktRolle,MATCH(C1850,Aktiviteter,0))&amp;""&lt;&gt;"",ISERROR(SEARCH(INDEX(AktRolle,MATCH(C1850,Aktiviteter,0))&amp;"",INDEX(TekRoller,MATCH(B1850,Teknikere,0))))),"Mangler rollen "&amp;INDEX(AktRolle,MATCH(C1850,Aktiviteter,0))&amp;"",IF(AND(C1850="LMS",F1850&gt;0,OR(D1850="",E1850="")),"Mangler maskin eller arbeid",IF(AND(OR(C1850="LMS",C1850="Mod"),D1850&lt;&gt;""),IF(IFERROR(INDEX(MaskinStatus,MATCH(D1850,Maskiner,0)),"")="I dokk","","Maskinen er ikke i dokk"),""))))))</f>
        <v/>
      </c>
      <c r="L1850" s="2">
        <f>IF(B1850="","",IFERROR(INT((MATCH(B1850,Teknikere,0)-1)/18)+1,""))</f>
        <v/>
      </c>
      <c r="M1850" s="2">
        <f>IF(OR(A1850="",B1850=""),"",B1850&amp;"|"&amp;A1850)</f>
        <v/>
      </c>
      <c r="N1850" s="2">
        <f>IF(M1850="","",SUMIFS(TF_Timer,TF_Nokkel,M1850,TF_Akt,C1850))</f>
        <v/>
      </c>
      <c r="O1850" s="2">
        <f>IF(M1850="","",IF(AND(N1850=_xlfn.MAXIFS(TF_AktSum,TF_Nokkel,M1850),COUNTIFS(M$3:M1849,M1850,N$3:N1849,N1850)=0),M1850,""))</f>
        <v/>
      </c>
    </row>
    <row r="1851">
      <c r="A1851" s="34" t="n"/>
      <c r="B1851" s="35" t="n"/>
      <c r="C1851" s="35" t="n"/>
      <c r="D1851" s="35" t="n"/>
      <c r="E1851" s="35" t="n"/>
      <c r="F1851" s="36" t="n"/>
      <c r="G1851" s="35" t="n"/>
      <c r="H1851" s="30">
        <f>IF(L1851="","",INDEX(SkiftNavn,L1851))</f>
        <v/>
      </c>
      <c r="I1851" s="30">
        <f>IF(OR(A1851="",L1851=""),"",IF(MOD(A1851-INDEX(SkiftStart,L1851),Syklus)&lt;DagK,"Kveld",IF(MOD(A1851-INDEX(SkiftStart,L1851),Syklus)&lt;DagK+DagH,"Helg",IF(MOD(A1851-INDEX(SkiftStart,L1851),Syklus)&lt;DagK+DagH+DagD,"Dag","Fri"))))</f>
        <v/>
      </c>
      <c r="J1851" s="30">
        <f>IF(I1851="Fri","Ja","")</f>
        <v/>
      </c>
      <c r="K1851" s="30">
        <f>IF(B1851="","",IF(L1851="","Ukjent tekniker",IF(ISNA(MATCH(C1851,Aktiviteter,0)),"Ukjent aktivitet",IF(AND(INDEX(AktRolle,MATCH(C1851,Aktiviteter,0))&amp;""&lt;&gt;"",ISERROR(SEARCH(INDEX(AktRolle,MATCH(C1851,Aktiviteter,0))&amp;"",INDEX(TekRoller,MATCH(B1851,Teknikere,0))))),"Mangler rollen "&amp;INDEX(AktRolle,MATCH(C1851,Aktiviteter,0))&amp;"",IF(AND(C1851="LMS",F1851&gt;0,OR(D1851="",E1851="")),"Mangler maskin eller arbeid",IF(AND(OR(C1851="LMS",C1851="Mod"),D1851&lt;&gt;""),IF(IFERROR(INDEX(MaskinStatus,MATCH(D1851,Maskiner,0)),"")="I dokk","","Maskinen er ikke i dokk"),""))))))</f>
        <v/>
      </c>
      <c r="L1851" s="2">
        <f>IF(B1851="","",IFERROR(INT((MATCH(B1851,Teknikere,0)-1)/18)+1,""))</f>
        <v/>
      </c>
      <c r="M1851" s="2">
        <f>IF(OR(A1851="",B1851=""),"",B1851&amp;"|"&amp;A1851)</f>
        <v/>
      </c>
      <c r="N1851" s="2">
        <f>IF(M1851="","",SUMIFS(TF_Timer,TF_Nokkel,M1851,TF_Akt,C1851))</f>
        <v/>
      </c>
      <c r="O1851" s="2">
        <f>IF(M1851="","",IF(AND(N1851=_xlfn.MAXIFS(TF_AktSum,TF_Nokkel,M1851),COUNTIFS(M$3:M1850,M1851,N$3:N1850,N1851)=0),M1851,""))</f>
        <v/>
      </c>
    </row>
    <row r="1852">
      <c r="A1852" s="34" t="n"/>
      <c r="B1852" s="35" t="n"/>
      <c r="C1852" s="35" t="n"/>
      <c r="D1852" s="35" t="n"/>
      <c r="E1852" s="35" t="n"/>
      <c r="F1852" s="36" t="n"/>
      <c r="G1852" s="35" t="n"/>
      <c r="H1852" s="30">
        <f>IF(L1852="","",INDEX(SkiftNavn,L1852))</f>
        <v/>
      </c>
      <c r="I1852" s="30">
        <f>IF(OR(A1852="",L1852=""),"",IF(MOD(A1852-INDEX(SkiftStart,L1852),Syklus)&lt;DagK,"Kveld",IF(MOD(A1852-INDEX(SkiftStart,L1852),Syklus)&lt;DagK+DagH,"Helg",IF(MOD(A1852-INDEX(SkiftStart,L1852),Syklus)&lt;DagK+DagH+DagD,"Dag","Fri"))))</f>
        <v/>
      </c>
      <c r="J1852" s="30">
        <f>IF(I1852="Fri","Ja","")</f>
        <v/>
      </c>
      <c r="K1852" s="30">
        <f>IF(B1852="","",IF(L1852="","Ukjent tekniker",IF(ISNA(MATCH(C1852,Aktiviteter,0)),"Ukjent aktivitet",IF(AND(INDEX(AktRolle,MATCH(C1852,Aktiviteter,0))&amp;""&lt;&gt;"",ISERROR(SEARCH(INDEX(AktRolle,MATCH(C1852,Aktiviteter,0))&amp;"",INDEX(TekRoller,MATCH(B1852,Teknikere,0))))),"Mangler rollen "&amp;INDEX(AktRolle,MATCH(C1852,Aktiviteter,0))&amp;"",IF(AND(C1852="LMS",F1852&gt;0,OR(D1852="",E1852="")),"Mangler maskin eller arbeid",IF(AND(OR(C1852="LMS",C1852="Mod"),D1852&lt;&gt;""),IF(IFERROR(INDEX(MaskinStatus,MATCH(D1852,Maskiner,0)),"")="I dokk","","Maskinen er ikke i dokk"),""))))))</f>
        <v/>
      </c>
      <c r="L1852" s="2">
        <f>IF(B1852="","",IFERROR(INT((MATCH(B1852,Teknikere,0)-1)/18)+1,""))</f>
        <v/>
      </c>
      <c r="M1852" s="2">
        <f>IF(OR(A1852="",B1852=""),"",B1852&amp;"|"&amp;A1852)</f>
        <v/>
      </c>
      <c r="N1852" s="2">
        <f>IF(M1852="","",SUMIFS(TF_Timer,TF_Nokkel,M1852,TF_Akt,C1852))</f>
        <v/>
      </c>
      <c r="O1852" s="2">
        <f>IF(M1852="","",IF(AND(N1852=_xlfn.MAXIFS(TF_AktSum,TF_Nokkel,M1852),COUNTIFS(M$3:M1851,M1852,N$3:N1851,N1852)=0),M1852,""))</f>
        <v/>
      </c>
    </row>
    <row r="1853">
      <c r="A1853" s="34" t="n"/>
      <c r="B1853" s="35" t="n"/>
      <c r="C1853" s="35" t="n"/>
      <c r="D1853" s="35" t="n"/>
      <c r="E1853" s="35" t="n"/>
      <c r="F1853" s="36" t="n"/>
      <c r="G1853" s="35" t="n"/>
      <c r="H1853" s="30">
        <f>IF(L1853="","",INDEX(SkiftNavn,L1853))</f>
        <v/>
      </c>
      <c r="I1853" s="30">
        <f>IF(OR(A1853="",L1853=""),"",IF(MOD(A1853-INDEX(SkiftStart,L1853),Syklus)&lt;DagK,"Kveld",IF(MOD(A1853-INDEX(SkiftStart,L1853),Syklus)&lt;DagK+DagH,"Helg",IF(MOD(A1853-INDEX(SkiftStart,L1853),Syklus)&lt;DagK+DagH+DagD,"Dag","Fri"))))</f>
        <v/>
      </c>
      <c r="J1853" s="30">
        <f>IF(I1853="Fri","Ja","")</f>
        <v/>
      </c>
      <c r="K1853" s="30">
        <f>IF(B1853="","",IF(L1853="","Ukjent tekniker",IF(ISNA(MATCH(C1853,Aktiviteter,0)),"Ukjent aktivitet",IF(AND(INDEX(AktRolle,MATCH(C1853,Aktiviteter,0))&amp;""&lt;&gt;"",ISERROR(SEARCH(INDEX(AktRolle,MATCH(C1853,Aktiviteter,0))&amp;"",INDEX(TekRoller,MATCH(B1853,Teknikere,0))))),"Mangler rollen "&amp;INDEX(AktRolle,MATCH(C1853,Aktiviteter,0))&amp;"",IF(AND(C1853="LMS",F1853&gt;0,OR(D1853="",E1853="")),"Mangler maskin eller arbeid",IF(AND(OR(C1853="LMS",C1853="Mod"),D1853&lt;&gt;""),IF(IFERROR(INDEX(MaskinStatus,MATCH(D1853,Maskiner,0)),"")="I dokk","","Maskinen er ikke i dokk"),""))))))</f>
        <v/>
      </c>
      <c r="L1853" s="2">
        <f>IF(B1853="","",IFERROR(INT((MATCH(B1853,Teknikere,0)-1)/18)+1,""))</f>
        <v/>
      </c>
      <c r="M1853" s="2">
        <f>IF(OR(A1853="",B1853=""),"",B1853&amp;"|"&amp;A1853)</f>
        <v/>
      </c>
      <c r="N1853" s="2">
        <f>IF(M1853="","",SUMIFS(TF_Timer,TF_Nokkel,M1853,TF_Akt,C1853))</f>
        <v/>
      </c>
      <c r="O1853" s="2">
        <f>IF(M1853="","",IF(AND(N1853=_xlfn.MAXIFS(TF_AktSum,TF_Nokkel,M1853),COUNTIFS(M$3:M1852,M1853,N$3:N1852,N1853)=0),M1853,""))</f>
        <v/>
      </c>
    </row>
    <row r="1854">
      <c r="A1854" s="34" t="n"/>
      <c r="B1854" s="35" t="n"/>
      <c r="C1854" s="35" t="n"/>
      <c r="D1854" s="35" t="n"/>
      <c r="E1854" s="35" t="n"/>
      <c r="F1854" s="36" t="n"/>
      <c r="G1854" s="35" t="n"/>
      <c r="H1854" s="30">
        <f>IF(L1854="","",INDEX(SkiftNavn,L1854))</f>
        <v/>
      </c>
      <c r="I1854" s="30">
        <f>IF(OR(A1854="",L1854=""),"",IF(MOD(A1854-INDEX(SkiftStart,L1854),Syklus)&lt;DagK,"Kveld",IF(MOD(A1854-INDEX(SkiftStart,L1854),Syklus)&lt;DagK+DagH,"Helg",IF(MOD(A1854-INDEX(SkiftStart,L1854),Syklus)&lt;DagK+DagH+DagD,"Dag","Fri"))))</f>
        <v/>
      </c>
      <c r="J1854" s="30">
        <f>IF(I1854="Fri","Ja","")</f>
        <v/>
      </c>
      <c r="K1854" s="30">
        <f>IF(B1854="","",IF(L1854="","Ukjent tekniker",IF(ISNA(MATCH(C1854,Aktiviteter,0)),"Ukjent aktivitet",IF(AND(INDEX(AktRolle,MATCH(C1854,Aktiviteter,0))&amp;""&lt;&gt;"",ISERROR(SEARCH(INDEX(AktRolle,MATCH(C1854,Aktiviteter,0))&amp;"",INDEX(TekRoller,MATCH(B1854,Teknikere,0))))),"Mangler rollen "&amp;INDEX(AktRolle,MATCH(C1854,Aktiviteter,0))&amp;"",IF(AND(C1854="LMS",F1854&gt;0,OR(D1854="",E1854="")),"Mangler maskin eller arbeid",IF(AND(OR(C1854="LMS",C1854="Mod"),D1854&lt;&gt;""),IF(IFERROR(INDEX(MaskinStatus,MATCH(D1854,Maskiner,0)),"")="I dokk","","Maskinen er ikke i dokk"),""))))))</f>
        <v/>
      </c>
      <c r="L1854" s="2">
        <f>IF(B1854="","",IFERROR(INT((MATCH(B1854,Teknikere,0)-1)/18)+1,""))</f>
        <v/>
      </c>
      <c r="M1854" s="2">
        <f>IF(OR(A1854="",B1854=""),"",B1854&amp;"|"&amp;A1854)</f>
        <v/>
      </c>
      <c r="N1854" s="2">
        <f>IF(M1854="","",SUMIFS(TF_Timer,TF_Nokkel,M1854,TF_Akt,C1854))</f>
        <v/>
      </c>
      <c r="O1854" s="2">
        <f>IF(M1854="","",IF(AND(N1854=_xlfn.MAXIFS(TF_AktSum,TF_Nokkel,M1854),COUNTIFS(M$3:M1853,M1854,N$3:N1853,N1854)=0),M1854,""))</f>
        <v/>
      </c>
    </row>
    <row r="1855">
      <c r="A1855" s="34" t="n"/>
      <c r="B1855" s="35" t="n"/>
      <c r="C1855" s="35" t="n"/>
      <c r="D1855" s="35" t="n"/>
      <c r="E1855" s="35" t="n"/>
      <c r="F1855" s="36" t="n"/>
      <c r="G1855" s="35" t="n"/>
      <c r="H1855" s="30">
        <f>IF(L1855="","",INDEX(SkiftNavn,L1855))</f>
        <v/>
      </c>
      <c r="I1855" s="30">
        <f>IF(OR(A1855="",L1855=""),"",IF(MOD(A1855-INDEX(SkiftStart,L1855),Syklus)&lt;DagK,"Kveld",IF(MOD(A1855-INDEX(SkiftStart,L1855),Syklus)&lt;DagK+DagH,"Helg",IF(MOD(A1855-INDEX(SkiftStart,L1855),Syklus)&lt;DagK+DagH+DagD,"Dag","Fri"))))</f>
        <v/>
      </c>
      <c r="J1855" s="30">
        <f>IF(I1855="Fri","Ja","")</f>
        <v/>
      </c>
      <c r="K1855" s="30">
        <f>IF(B1855="","",IF(L1855="","Ukjent tekniker",IF(ISNA(MATCH(C1855,Aktiviteter,0)),"Ukjent aktivitet",IF(AND(INDEX(AktRolle,MATCH(C1855,Aktiviteter,0))&amp;""&lt;&gt;"",ISERROR(SEARCH(INDEX(AktRolle,MATCH(C1855,Aktiviteter,0))&amp;"",INDEX(TekRoller,MATCH(B1855,Teknikere,0))))),"Mangler rollen "&amp;INDEX(AktRolle,MATCH(C1855,Aktiviteter,0))&amp;"",IF(AND(C1855="LMS",F1855&gt;0,OR(D1855="",E1855="")),"Mangler maskin eller arbeid",IF(AND(OR(C1855="LMS",C1855="Mod"),D1855&lt;&gt;""),IF(IFERROR(INDEX(MaskinStatus,MATCH(D1855,Maskiner,0)),"")="I dokk","","Maskinen er ikke i dokk"),""))))))</f>
        <v/>
      </c>
      <c r="L1855" s="2">
        <f>IF(B1855="","",IFERROR(INT((MATCH(B1855,Teknikere,0)-1)/18)+1,""))</f>
        <v/>
      </c>
      <c r="M1855" s="2">
        <f>IF(OR(A1855="",B1855=""),"",B1855&amp;"|"&amp;A1855)</f>
        <v/>
      </c>
      <c r="N1855" s="2">
        <f>IF(M1855="","",SUMIFS(TF_Timer,TF_Nokkel,M1855,TF_Akt,C1855))</f>
        <v/>
      </c>
      <c r="O1855" s="2">
        <f>IF(M1855="","",IF(AND(N1855=_xlfn.MAXIFS(TF_AktSum,TF_Nokkel,M1855),COUNTIFS(M$3:M1854,M1855,N$3:N1854,N1855)=0),M1855,""))</f>
        <v/>
      </c>
    </row>
    <row r="1856">
      <c r="A1856" s="34" t="n"/>
      <c r="B1856" s="35" t="n"/>
      <c r="C1856" s="35" t="n"/>
      <c r="D1856" s="35" t="n"/>
      <c r="E1856" s="35" t="n"/>
      <c r="F1856" s="36" t="n"/>
      <c r="G1856" s="35" t="n"/>
      <c r="H1856" s="30">
        <f>IF(L1856="","",INDEX(SkiftNavn,L1856))</f>
        <v/>
      </c>
      <c r="I1856" s="30">
        <f>IF(OR(A1856="",L1856=""),"",IF(MOD(A1856-INDEX(SkiftStart,L1856),Syklus)&lt;DagK,"Kveld",IF(MOD(A1856-INDEX(SkiftStart,L1856),Syklus)&lt;DagK+DagH,"Helg",IF(MOD(A1856-INDEX(SkiftStart,L1856),Syklus)&lt;DagK+DagH+DagD,"Dag","Fri"))))</f>
        <v/>
      </c>
      <c r="J1856" s="30">
        <f>IF(I1856="Fri","Ja","")</f>
        <v/>
      </c>
      <c r="K1856" s="30">
        <f>IF(B1856="","",IF(L1856="","Ukjent tekniker",IF(ISNA(MATCH(C1856,Aktiviteter,0)),"Ukjent aktivitet",IF(AND(INDEX(AktRolle,MATCH(C1856,Aktiviteter,0))&amp;""&lt;&gt;"",ISERROR(SEARCH(INDEX(AktRolle,MATCH(C1856,Aktiviteter,0))&amp;"",INDEX(TekRoller,MATCH(B1856,Teknikere,0))))),"Mangler rollen "&amp;INDEX(AktRolle,MATCH(C1856,Aktiviteter,0))&amp;"",IF(AND(C1856="LMS",F1856&gt;0,OR(D1856="",E1856="")),"Mangler maskin eller arbeid",IF(AND(OR(C1856="LMS",C1856="Mod"),D1856&lt;&gt;""),IF(IFERROR(INDEX(MaskinStatus,MATCH(D1856,Maskiner,0)),"")="I dokk","","Maskinen er ikke i dokk"),""))))))</f>
        <v/>
      </c>
      <c r="L1856" s="2">
        <f>IF(B1856="","",IFERROR(INT((MATCH(B1856,Teknikere,0)-1)/18)+1,""))</f>
        <v/>
      </c>
      <c r="M1856" s="2">
        <f>IF(OR(A1856="",B1856=""),"",B1856&amp;"|"&amp;A1856)</f>
        <v/>
      </c>
      <c r="N1856" s="2">
        <f>IF(M1856="","",SUMIFS(TF_Timer,TF_Nokkel,M1856,TF_Akt,C1856))</f>
        <v/>
      </c>
      <c r="O1856" s="2">
        <f>IF(M1856="","",IF(AND(N1856=_xlfn.MAXIFS(TF_AktSum,TF_Nokkel,M1856),COUNTIFS(M$3:M1855,M1856,N$3:N1855,N1856)=0),M1856,""))</f>
        <v/>
      </c>
    </row>
    <row r="1857">
      <c r="A1857" s="34" t="n"/>
      <c r="B1857" s="35" t="n"/>
      <c r="C1857" s="35" t="n"/>
      <c r="D1857" s="35" t="n"/>
      <c r="E1857" s="35" t="n"/>
      <c r="F1857" s="36" t="n"/>
      <c r="G1857" s="35" t="n"/>
      <c r="H1857" s="30">
        <f>IF(L1857="","",INDEX(SkiftNavn,L1857))</f>
        <v/>
      </c>
      <c r="I1857" s="30">
        <f>IF(OR(A1857="",L1857=""),"",IF(MOD(A1857-INDEX(SkiftStart,L1857),Syklus)&lt;DagK,"Kveld",IF(MOD(A1857-INDEX(SkiftStart,L1857),Syklus)&lt;DagK+DagH,"Helg",IF(MOD(A1857-INDEX(SkiftStart,L1857),Syklus)&lt;DagK+DagH+DagD,"Dag","Fri"))))</f>
        <v/>
      </c>
      <c r="J1857" s="30">
        <f>IF(I1857="Fri","Ja","")</f>
        <v/>
      </c>
      <c r="K1857" s="30">
        <f>IF(B1857="","",IF(L1857="","Ukjent tekniker",IF(ISNA(MATCH(C1857,Aktiviteter,0)),"Ukjent aktivitet",IF(AND(INDEX(AktRolle,MATCH(C1857,Aktiviteter,0))&amp;""&lt;&gt;"",ISERROR(SEARCH(INDEX(AktRolle,MATCH(C1857,Aktiviteter,0))&amp;"",INDEX(TekRoller,MATCH(B1857,Teknikere,0))))),"Mangler rollen "&amp;INDEX(AktRolle,MATCH(C1857,Aktiviteter,0))&amp;"",IF(AND(C1857="LMS",F1857&gt;0,OR(D1857="",E1857="")),"Mangler maskin eller arbeid",IF(AND(OR(C1857="LMS",C1857="Mod"),D1857&lt;&gt;""),IF(IFERROR(INDEX(MaskinStatus,MATCH(D1857,Maskiner,0)),"")="I dokk","","Maskinen er ikke i dokk"),""))))))</f>
        <v/>
      </c>
      <c r="L1857" s="2">
        <f>IF(B1857="","",IFERROR(INT((MATCH(B1857,Teknikere,0)-1)/18)+1,""))</f>
        <v/>
      </c>
      <c r="M1857" s="2">
        <f>IF(OR(A1857="",B1857=""),"",B1857&amp;"|"&amp;A1857)</f>
        <v/>
      </c>
      <c r="N1857" s="2">
        <f>IF(M1857="","",SUMIFS(TF_Timer,TF_Nokkel,M1857,TF_Akt,C1857))</f>
        <v/>
      </c>
      <c r="O1857" s="2">
        <f>IF(M1857="","",IF(AND(N1857=_xlfn.MAXIFS(TF_AktSum,TF_Nokkel,M1857),COUNTIFS(M$3:M1856,M1857,N$3:N1856,N1857)=0),M1857,""))</f>
        <v/>
      </c>
    </row>
    <row r="1858">
      <c r="A1858" s="34" t="n"/>
      <c r="B1858" s="35" t="n"/>
      <c r="C1858" s="35" t="n"/>
      <c r="D1858" s="35" t="n"/>
      <c r="E1858" s="35" t="n"/>
      <c r="F1858" s="36" t="n"/>
      <c r="G1858" s="35" t="n"/>
      <c r="H1858" s="30">
        <f>IF(L1858="","",INDEX(SkiftNavn,L1858))</f>
        <v/>
      </c>
      <c r="I1858" s="30">
        <f>IF(OR(A1858="",L1858=""),"",IF(MOD(A1858-INDEX(SkiftStart,L1858),Syklus)&lt;DagK,"Kveld",IF(MOD(A1858-INDEX(SkiftStart,L1858),Syklus)&lt;DagK+DagH,"Helg",IF(MOD(A1858-INDEX(SkiftStart,L1858),Syklus)&lt;DagK+DagH+DagD,"Dag","Fri"))))</f>
        <v/>
      </c>
      <c r="J1858" s="30">
        <f>IF(I1858="Fri","Ja","")</f>
        <v/>
      </c>
      <c r="K1858" s="30">
        <f>IF(B1858="","",IF(L1858="","Ukjent tekniker",IF(ISNA(MATCH(C1858,Aktiviteter,0)),"Ukjent aktivitet",IF(AND(INDEX(AktRolle,MATCH(C1858,Aktiviteter,0))&amp;""&lt;&gt;"",ISERROR(SEARCH(INDEX(AktRolle,MATCH(C1858,Aktiviteter,0))&amp;"",INDEX(TekRoller,MATCH(B1858,Teknikere,0))))),"Mangler rollen "&amp;INDEX(AktRolle,MATCH(C1858,Aktiviteter,0))&amp;"",IF(AND(C1858="LMS",F1858&gt;0,OR(D1858="",E1858="")),"Mangler maskin eller arbeid",IF(AND(OR(C1858="LMS",C1858="Mod"),D1858&lt;&gt;""),IF(IFERROR(INDEX(MaskinStatus,MATCH(D1858,Maskiner,0)),"")="I dokk","","Maskinen er ikke i dokk"),""))))))</f>
        <v/>
      </c>
      <c r="L1858" s="2">
        <f>IF(B1858="","",IFERROR(INT((MATCH(B1858,Teknikere,0)-1)/18)+1,""))</f>
        <v/>
      </c>
      <c r="M1858" s="2">
        <f>IF(OR(A1858="",B1858=""),"",B1858&amp;"|"&amp;A1858)</f>
        <v/>
      </c>
      <c r="N1858" s="2">
        <f>IF(M1858="","",SUMIFS(TF_Timer,TF_Nokkel,M1858,TF_Akt,C1858))</f>
        <v/>
      </c>
      <c r="O1858" s="2">
        <f>IF(M1858="","",IF(AND(N1858=_xlfn.MAXIFS(TF_AktSum,TF_Nokkel,M1858),COUNTIFS(M$3:M1857,M1858,N$3:N1857,N1858)=0),M1858,""))</f>
        <v/>
      </c>
    </row>
    <row r="1859">
      <c r="A1859" s="34" t="n"/>
      <c r="B1859" s="35" t="n"/>
      <c r="C1859" s="35" t="n"/>
      <c r="D1859" s="35" t="n"/>
      <c r="E1859" s="35" t="n"/>
      <c r="F1859" s="36" t="n"/>
      <c r="G1859" s="35" t="n"/>
      <c r="H1859" s="30">
        <f>IF(L1859="","",INDEX(SkiftNavn,L1859))</f>
        <v/>
      </c>
      <c r="I1859" s="30">
        <f>IF(OR(A1859="",L1859=""),"",IF(MOD(A1859-INDEX(SkiftStart,L1859),Syklus)&lt;DagK,"Kveld",IF(MOD(A1859-INDEX(SkiftStart,L1859),Syklus)&lt;DagK+DagH,"Helg",IF(MOD(A1859-INDEX(SkiftStart,L1859),Syklus)&lt;DagK+DagH+DagD,"Dag","Fri"))))</f>
        <v/>
      </c>
      <c r="J1859" s="30">
        <f>IF(I1859="Fri","Ja","")</f>
        <v/>
      </c>
      <c r="K1859" s="30">
        <f>IF(B1859="","",IF(L1859="","Ukjent tekniker",IF(ISNA(MATCH(C1859,Aktiviteter,0)),"Ukjent aktivitet",IF(AND(INDEX(AktRolle,MATCH(C1859,Aktiviteter,0))&amp;""&lt;&gt;"",ISERROR(SEARCH(INDEX(AktRolle,MATCH(C1859,Aktiviteter,0))&amp;"",INDEX(TekRoller,MATCH(B1859,Teknikere,0))))),"Mangler rollen "&amp;INDEX(AktRolle,MATCH(C1859,Aktiviteter,0))&amp;"",IF(AND(C1859="LMS",F1859&gt;0,OR(D1859="",E1859="")),"Mangler maskin eller arbeid",IF(AND(OR(C1859="LMS",C1859="Mod"),D1859&lt;&gt;""),IF(IFERROR(INDEX(MaskinStatus,MATCH(D1859,Maskiner,0)),"")="I dokk","","Maskinen er ikke i dokk"),""))))))</f>
        <v/>
      </c>
      <c r="L1859" s="2">
        <f>IF(B1859="","",IFERROR(INT((MATCH(B1859,Teknikere,0)-1)/18)+1,""))</f>
        <v/>
      </c>
      <c r="M1859" s="2">
        <f>IF(OR(A1859="",B1859=""),"",B1859&amp;"|"&amp;A1859)</f>
        <v/>
      </c>
      <c r="N1859" s="2">
        <f>IF(M1859="","",SUMIFS(TF_Timer,TF_Nokkel,M1859,TF_Akt,C1859))</f>
        <v/>
      </c>
      <c r="O1859" s="2">
        <f>IF(M1859="","",IF(AND(N1859=_xlfn.MAXIFS(TF_AktSum,TF_Nokkel,M1859),COUNTIFS(M$3:M1858,M1859,N$3:N1858,N1859)=0),M1859,""))</f>
        <v/>
      </c>
    </row>
    <row r="1860">
      <c r="A1860" s="34" t="n"/>
      <c r="B1860" s="35" t="n"/>
      <c r="C1860" s="35" t="n"/>
      <c r="D1860" s="35" t="n"/>
      <c r="E1860" s="35" t="n"/>
      <c r="F1860" s="36" t="n"/>
      <c r="G1860" s="35" t="n"/>
      <c r="H1860" s="30">
        <f>IF(L1860="","",INDEX(SkiftNavn,L1860))</f>
        <v/>
      </c>
      <c r="I1860" s="30">
        <f>IF(OR(A1860="",L1860=""),"",IF(MOD(A1860-INDEX(SkiftStart,L1860),Syklus)&lt;DagK,"Kveld",IF(MOD(A1860-INDEX(SkiftStart,L1860),Syklus)&lt;DagK+DagH,"Helg",IF(MOD(A1860-INDEX(SkiftStart,L1860),Syklus)&lt;DagK+DagH+DagD,"Dag","Fri"))))</f>
        <v/>
      </c>
      <c r="J1860" s="30">
        <f>IF(I1860="Fri","Ja","")</f>
        <v/>
      </c>
      <c r="K1860" s="30">
        <f>IF(B1860="","",IF(L1860="","Ukjent tekniker",IF(ISNA(MATCH(C1860,Aktiviteter,0)),"Ukjent aktivitet",IF(AND(INDEX(AktRolle,MATCH(C1860,Aktiviteter,0))&amp;""&lt;&gt;"",ISERROR(SEARCH(INDEX(AktRolle,MATCH(C1860,Aktiviteter,0))&amp;"",INDEX(TekRoller,MATCH(B1860,Teknikere,0))))),"Mangler rollen "&amp;INDEX(AktRolle,MATCH(C1860,Aktiviteter,0))&amp;"",IF(AND(C1860="LMS",F1860&gt;0,OR(D1860="",E1860="")),"Mangler maskin eller arbeid",IF(AND(OR(C1860="LMS",C1860="Mod"),D1860&lt;&gt;""),IF(IFERROR(INDEX(MaskinStatus,MATCH(D1860,Maskiner,0)),"")="I dokk","","Maskinen er ikke i dokk"),""))))))</f>
        <v/>
      </c>
      <c r="L1860" s="2">
        <f>IF(B1860="","",IFERROR(INT((MATCH(B1860,Teknikere,0)-1)/18)+1,""))</f>
        <v/>
      </c>
      <c r="M1860" s="2">
        <f>IF(OR(A1860="",B1860=""),"",B1860&amp;"|"&amp;A1860)</f>
        <v/>
      </c>
      <c r="N1860" s="2">
        <f>IF(M1860="","",SUMIFS(TF_Timer,TF_Nokkel,M1860,TF_Akt,C1860))</f>
        <v/>
      </c>
      <c r="O1860" s="2">
        <f>IF(M1860="","",IF(AND(N1860=_xlfn.MAXIFS(TF_AktSum,TF_Nokkel,M1860),COUNTIFS(M$3:M1859,M1860,N$3:N1859,N1860)=0),M1860,""))</f>
        <v/>
      </c>
    </row>
    <row r="1861">
      <c r="A1861" s="34" t="n"/>
      <c r="B1861" s="35" t="n"/>
      <c r="C1861" s="35" t="n"/>
      <c r="D1861" s="35" t="n"/>
      <c r="E1861" s="35" t="n"/>
      <c r="F1861" s="36" t="n"/>
      <c r="G1861" s="35" t="n"/>
      <c r="H1861" s="30">
        <f>IF(L1861="","",INDEX(SkiftNavn,L1861))</f>
        <v/>
      </c>
      <c r="I1861" s="30">
        <f>IF(OR(A1861="",L1861=""),"",IF(MOD(A1861-INDEX(SkiftStart,L1861),Syklus)&lt;DagK,"Kveld",IF(MOD(A1861-INDEX(SkiftStart,L1861),Syklus)&lt;DagK+DagH,"Helg",IF(MOD(A1861-INDEX(SkiftStart,L1861),Syklus)&lt;DagK+DagH+DagD,"Dag","Fri"))))</f>
        <v/>
      </c>
      <c r="J1861" s="30">
        <f>IF(I1861="Fri","Ja","")</f>
        <v/>
      </c>
      <c r="K1861" s="30">
        <f>IF(B1861="","",IF(L1861="","Ukjent tekniker",IF(ISNA(MATCH(C1861,Aktiviteter,0)),"Ukjent aktivitet",IF(AND(INDEX(AktRolle,MATCH(C1861,Aktiviteter,0))&amp;""&lt;&gt;"",ISERROR(SEARCH(INDEX(AktRolle,MATCH(C1861,Aktiviteter,0))&amp;"",INDEX(TekRoller,MATCH(B1861,Teknikere,0))))),"Mangler rollen "&amp;INDEX(AktRolle,MATCH(C1861,Aktiviteter,0))&amp;"",IF(AND(C1861="LMS",F1861&gt;0,OR(D1861="",E1861="")),"Mangler maskin eller arbeid",IF(AND(OR(C1861="LMS",C1861="Mod"),D1861&lt;&gt;""),IF(IFERROR(INDEX(MaskinStatus,MATCH(D1861,Maskiner,0)),"")="I dokk","","Maskinen er ikke i dokk"),""))))))</f>
        <v/>
      </c>
      <c r="L1861" s="2">
        <f>IF(B1861="","",IFERROR(INT((MATCH(B1861,Teknikere,0)-1)/18)+1,""))</f>
        <v/>
      </c>
      <c r="M1861" s="2">
        <f>IF(OR(A1861="",B1861=""),"",B1861&amp;"|"&amp;A1861)</f>
        <v/>
      </c>
      <c r="N1861" s="2">
        <f>IF(M1861="","",SUMIFS(TF_Timer,TF_Nokkel,M1861,TF_Akt,C1861))</f>
        <v/>
      </c>
      <c r="O1861" s="2">
        <f>IF(M1861="","",IF(AND(N1861=_xlfn.MAXIFS(TF_AktSum,TF_Nokkel,M1861),COUNTIFS(M$3:M1860,M1861,N$3:N1860,N1861)=0),M1861,""))</f>
        <v/>
      </c>
    </row>
    <row r="1862">
      <c r="A1862" s="34" t="n"/>
      <c r="B1862" s="35" t="n"/>
      <c r="C1862" s="35" t="n"/>
      <c r="D1862" s="35" t="n"/>
      <c r="E1862" s="35" t="n"/>
      <c r="F1862" s="36" t="n"/>
      <c r="G1862" s="35" t="n"/>
      <c r="H1862" s="30">
        <f>IF(L1862="","",INDEX(SkiftNavn,L1862))</f>
        <v/>
      </c>
      <c r="I1862" s="30">
        <f>IF(OR(A1862="",L1862=""),"",IF(MOD(A1862-INDEX(SkiftStart,L1862),Syklus)&lt;DagK,"Kveld",IF(MOD(A1862-INDEX(SkiftStart,L1862),Syklus)&lt;DagK+DagH,"Helg",IF(MOD(A1862-INDEX(SkiftStart,L1862),Syklus)&lt;DagK+DagH+DagD,"Dag","Fri"))))</f>
        <v/>
      </c>
      <c r="J1862" s="30">
        <f>IF(I1862="Fri","Ja","")</f>
        <v/>
      </c>
      <c r="K1862" s="30">
        <f>IF(B1862="","",IF(L1862="","Ukjent tekniker",IF(ISNA(MATCH(C1862,Aktiviteter,0)),"Ukjent aktivitet",IF(AND(INDEX(AktRolle,MATCH(C1862,Aktiviteter,0))&amp;""&lt;&gt;"",ISERROR(SEARCH(INDEX(AktRolle,MATCH(C1862,Aktiviteter,0))&amp;"",INDEX(TekRoller,MATCH(B1862,Teknikere,0))))),"Mangler rollen "&amp;INDEX(AktRolle,MATCH(C1862,Aktiviteter,0))&amp;"",IF(AND(C1862="LMS",F1862&gt;0,OR(D1862="",E1862="")),"Mangler maskin eller arbeid",IF(AND(OR(C1862="LMS",C1862="Mod"),D1862&lt;&gt;""),IF(IFERROR(INDEX(MaskinStatus,MATCH(D1862,Maskiner,0)),"")="I dokk","","Maskinen er ikke i dokk"),""))))))</f>
        <v/>
      </c>
      <c r="L1862" s="2">
        <f>IF(B1862="","",IFERROR(INT((MATCH(B1862,Teknikere,0)-1)/18)+1,""))</f>
        <v/>
      </c>
      <c r="M1862" s="2">
        <f>IF(OR(A1862="",B1862=""),"",B1862&amp;"|"&amp;A1862)</f>
        <v/>
      </c>
      <c r="N1862" s="2">
        <f>IF(M1862="","",SUMIFS(TF_Timer,TF_Nokkel,M1862,TF_Akt,C1862))</f>
        <v/>
      </c>
      <c r="O1862" s="2">
        <f>IF(M1862="","",IF(AND(N1862=_xlfn.MAXIFS(TF_AktSum,TF_Nokkel,M1862),COUNTIFS(M$3:M1861,M1862,N$3:N1861,N1862)=0),M1862,""))</f>
        <v/>
      </c>
    </row>
    <row r="1863">
      <c r="A1863" s="34" t="n"/>
      <c r="B1863" s="35" t="n"/>
      <c r="C1863" s="35" t="n"/>
      <c r="D1863" s="35" t="n"/>
      <c r="E1863" s="35" t="n"/>
      <c r="F1863" s="36" t="n"/>
      <c r="G1863" s="35" t="n"/>
      <c r="H1863" s="30">
        <f>IF(L1863="","",INDEX(SkiftNavn,L1863))</f>
        <v/>
      </c>
      <c r="I1863" s="30">
        <f>IF(OR(A1863="",L1863=""),"",IF(MOD(A1863-INDEX(SkiftStart,L1863),Syklus)&lt;DagK,"Kveld",IF(MOD(A1863-INDEX(SkiftStart,L1863),Syklus)&lt;DagK+DagH,"Helg",IF(MOD(A1863-INDEX(SkiftStart,L1863),Syklus)&lt;DagK+DagH+DagD,"Dag","Fri"))))</f>
        <v/>
      </c>
      <c r="J1863" s="30">
        <f>IF(I1863="Fri","Ja","")</f>
        <v/>
      </c>
      <c r="K1863" s="30">
        <f>IF(B1863="","",IF(L1863="","Ukjent tekniker",IF(ISNA(MATCH(C1863,Aktiviteter,0)),"Ukjent aktivitet",IF(AND(INDEX(AktRolle,MATCH(C1863,Aktiviteter,0))&amp;""&lt;&gt;"",ISERROR(SEARCH(INDEX(AktRolle,MATCH(C1863,Aktiviteter,0))&amp;"",INDEX(TekRoller,MATCH(B1863,Teknikere,0))))),"Mangler rollen "&amp;INDEX(AktRolle,MATCH(C1863,Aktiviteter,0))&amp;"",IF(AND(C1863="LMS",F1863&gt;0,OR(D1863="",E1863="")),"Mangler maskin eller arbeid",IF(AND(OR(C1863="LMS",C1863="Mod"),D1863&lt;&gt;""),IF(IFERROR(INDEX(MaskinStatus,MATCH(D1863,Maskiner,0)),"")="I dokk","","Maskinen er ikke i dokk"),""))))))</f>
        <v/>
      </c>
      <c r="L1863" s="2">
        <f>IF(B1863="","",IFERROR(INT((MATCH(B1863,Teknikere,0)-1)/18)+1,""))</f>
        <v/>
      </c>
      <c r="M1863" s="2">
        <f>IF(OR(A1863="",B1863=""),"",B1863&amp;"|"&amp;A1863)</f>
        <v/>
      </c>
      <c r="N1863" s="2">
        <f>IF(M1863="","",SUMIFS(TF_Timer,TF_Nokkel,M1863,TF_Akt,C1863))</f>
        <v/>
      </c>
      <c r="O1863" s="2">
        <f>IF(M1863="","",IF(AND(N1863=_xlfn.MAXIFS(TF_AktSum,TF_Nokkel,M1863),COUNTIFS(M$3:M1862,M1863,N$3:N1862,N1863)=0),M1863,""))</f>
        <v/>
      </c>
    </row>
    <row r="1864">
      <c r="A1864" s="34" t="n"/>
      <c r="B1864" s="35" t="n"/>
      <c r="C1864" s="35" t="n"/>
      <c r="D1864" s="35" t="n"/>
      <c r="E1864" s="35" t="n"/>
      <c r="F1864" s="36" t="n"/>
      <c r="G1864" s="35" t="n"/>
      <c r="H1864" s="30">
        <f>IF(L1864="","",INDEX(SkiftNavn,L1864))</f>
        <v/>
      </c>
      <c r="I1864" s="30">
        <f>IF(OR(A1864="",L1864=""),"",IF(MOD(A1864-INDEX(SkiftStart,L1864),Syklus)&lt;DagK,"Kveld",IF(MOD(A1864-INDEX(SkiftStart,L1864),Syklus)&lt;DagK+DagH,"Helg",IF(MOD(A1864-INDEX(SkiftStart,L1864),Syklus)&lt;DagK+DagH+DagD,"Dag","Fri"))))</f>
        <v/>
      </c>
      <c r="J1864" s="30">
        <f>IF(I1864="Fri","Ja","")</f>
        <v/>
      </c>
      <c r="K1864" s="30">
        <f>IF(B1864="","",IF(L1864="","Ukjent tekniker",IF(ISNA(MATCH(C1864,Aktiviteter,0)),"Ukjent aktivitet",IF(AND(INDEX(AktRolle,MATCH(C1864,Aktiviteter,0))&amp;""&lt;&gt;"",ISERROR(SEARCH(INDEX(AktRolle,MATCH(C1864,Aktiviteter,0))&amp;"",INDEX(TekRoller,MATCH(B1864,Teknikere,0))))),"Mangler rollen "&amp;INDEX(AktRolle,MATCH(C1864,Aktiviteter,0))&amp;"",IF(AND(C1864="LMS",F1864&gt;0,OR(D1864="",E1864="")),"Mangler maskin eller arbeid",IF(AND(OR(C1864="LMS",C1864="Mod"),D1864&lt;&gt;""),IF(IFERROR(INDEX(MaskinStatus,MATCH(D1864,Maskiner,0)),"")="I dokk","","Maskinen er ikke i dokk"),""))))))</f>
        <v/>
      </c>
      <c r="L1864" s="2">
        <f>IF(B1864="","",IFERROR(INT((MATCH(B1864,Teknikere,0)-1)/18)+1,""))</f>
        <v/>
      </c>
      <c r="M1864" s="2">
        <f>IF(OR(A1864="",B1864=""),"",B1864&amp;"|"&amp;A1864)</f>
        <v/>
      </c>
      <c r="N1864" s="2">
        <f>IF(M1864="","",SUMIFS(TF_Timer,TF_Nokkel,M1864,TF_Akt,C1864))</f>
        <v/>
      </c>
      <c r="O1864" s="2">
        <f>IF(M1864="","",IF(AND(N1864=_xlfn.MAXIFS(TF_AktSum,TF_Nokkel,M1864),COUNTIFS(M$3:M1863,M1864,N$3:N1863,N1864)=0),M1864,""))</f>
        <v/>
      </c>
    </row>
    <row r="1865">
      <c r="A1865" s="34" t="n"/>
      <c r="B1865" s="35" t="n"/>
      <c r="C1865" s="35" t="n"/>
      <c r="D1865" s="35" t="n"/>
      <c r="E1865" s="35" t="n"/>
      <c r="F1865" s="36" t="n"/>
      <c r="G1865" s="35" t="n"/>
      <c r="H1865" s="30">
        <f>IF(L1865="","",INDEX(SkiftNavn,L1865))</f>
        <v/>
      </c>
      <c r="I1865" s="30">
        <f>IF(OR(A1865="",L1865=""),"",IF(MOD(A1865-INDEX(SkiftStart,L1865),Syklus)&lt;DagK,"Kveld",IF(MOD(A1865-INDEX(SkiftStart,L1865),Syklus)&lt;DagK+DagH,"Helg",IF(MOD(A1865-INDEX(SkiftStart,L1865),Syklus)&lt;DagK+DagH+DagD,"Dag","Fri"))))</f>
        <v/>
      </c>
      <c r="J1865" s="30">
        <f>IF(I1865="Fri","Ja","")</f>
        <v/>
      </c>
      <c r="K1865" s="30">
        <f>IF(B1865="","",IF(L1865="","Ukjent tekniker",IF(ISNA(MATCH(C1865,Aktiviteter,0)),"Ukjent aktivitet",IF(AND(INDEX(AktRolle,MATCH(C1865,Aktiviteter,0))&amp;""&lt;&gt;"",ISERROR(SEARCH(INDEX(AktRolle,MATCH(C1865,Aktiviteter,0))&amp;"",INDEX(TekRoller,MATCH(B1865,Teknikere,0))))),"Mangler rollen "&amp;INDEX(AktRolle,MATCH(C1865,Aktiviteter,0))&amp;"",IF(AND(C1865="LMS",F1865&gt;0,OR(D1865="",E1865="")),"Mangler maskin eller arbeid",IF(AND(OR(C1865="LMS",C1865="Mod"),D1865&lt;&gt;""),IF(IFERROR(INDEX(MaskinStatus,MATCH(D1865,Maskiner,0)),"")="I dokk","","Maskinen er ikke i dokk"),""))))))</f>
        <v/>
      </c>
      <c r="L1865" s="2">
        <f>IF(B1865="","",IFERROR(INT((MATCH(B1865,Teknikere,0)-1)/18)+1,""))</f>
        <v/>
      </c>
      <c r="M1865" s="2">
        <f>IF(OR(A1865="",B1865=""),"",B1865&amp;"|"&amp;A1865)</f>
        <v/>
      </c>
      <c r="N1865" s="2">
        <f>IF(M1865="","",SUMIFS(TF_Timer,TF_Nokkel,M1865,TF_Akt,C1865))</f>
        <v/>
      </c>
      <c r="O1865" s="2">
        <f>IF(M1865="","",IF(AND(N1865=_xlfn.MAXIFS(TF_AktSum,TF_Nokkel,M1865),COUNTIFS(M$3:M1864,M1865,N$3:N1864,N1865)=0),M1865,""))</f>
        <v/>
      </c>
    </row>
    <row r="1866">
      <c r="A1866" s="34" t="n"/>
      <c r="B1866" s="35" t="n"/>
      <c r="C1866" s="35" t="n"/>
      <c r="D1866" s="35" t="n"/>
      <c r="E1866" s="35" t="n"/>
      <c r="F1866" s="36" t="n"/>
      <c r="G1866" s="35" t="n"/>
      <c r="H1866" s="30">
        <f>IF(L1866="","",INDEX(SkiftNavn,L1866))</f>
        <v/>
      </c>
      <c r="I1866" s="30">
        <f>IF(OR(A1866="",L1866=""),"",IF(MOD(A1866-INDEX(SkiftStart,L1866),Syklus)&lt;DagK,"Kveld",IF(MOD(A1866-INDEX(SkiftStart,L1866),Syklus)&lt;DagK+DagH,"Helg",IF(MOD(A1866-INDEX(SkiftStart,L1866),Syklus)&lt;DagK+DagH+DagD,"Dag","Fri"))))</f>
        <v/>
      </c>
      <c r="J1866" s="30">
        <f>IF(I1866="Fri","Ja","")</f>
        <v/>
      </c>
      <c r="K1866" s="30">
        <f>IF(B1866="","",IF(L1866="","Ukjent tekniker",IF(ISNA(MATCH(C1866,Aktiviteter,0)),"Ukjent aktivitet",IF(AND(INDEX(AktRolle,MATCH(C1866,Aktiviteter,0))&amp;""&lt;&gt;"",ISERROR(SEARCH(INDEX(AktRolle,MATCH(C1866,Aktiviteter,0))&amp;"",INDEX(TekRoller,MATCH(B1866,Teknikere,0))))),"Mangler rollen "&amp;INDEX(AktRolle,MATCH(C1866,Aktiviteter,0))&amp;"",IF(AND(C1866="LMS",F1866&gt;0,OR(D1866="",E1866="")),"Mangler maskin eller arbeid",IF(AND(OR(C1866="LMS",C1866="Mod"),D1866&lt;&gt;""),IF(IFERROR(INDEX(MaskinStatus,MATCH(D1866,Maskiner,0)),"")="I dokk","","Maskinen er ikke i dokk"),""))))))</f>
        <v/>
      </c>
      <c r="L1866" s="2">
        <f>IF(B1866="","",IFERROR(INT((MATCH(B1866,Teknikere,0)-1)/18)+1,""))</f>
        <v/>
      </c>
      <c r="M1866" s="2">
        <f>IF(OR(A1866="",B1866=""),"",B1866&amp;"|"&amp;A1866)</f>
        <v/>
      </c>
      <c r="N1866" s="2">
        <f>IF(M1866="","",SUMIFS(TF_Timer,TF_Nokkel,M1866,TF_Akt,C1866))</f>
        <v/>
      </c>
      <c r="O1866" s="2">
        <f>IF(M1866="","",IF(AND(N1866=_xlfn.MAXIFS(TF_AktSum,TF_Nokkel,M1866),COUNTIFS(M$3:M1865,M1866,N$3:N1865,N1866)=0),M1866,""))</f>
        <v/>
      </c>
    </row>
    <row r="1867">
      <c r="A1867" s="34" t="n"/>
      <c r="B1867" s="35" t="n"/>
      <c r="C1867" s="35" t="n"/>
      <c r="D1867" s="35" t="n"/>
      <c r="E1867" s="35" t="n"/>
      <c r="F1867" s="36" t="n"/>
      <c r="G1867" s="35" t="n"/>
      <c r="H1867" s="30">
        <f>IF(L1867="","",INDEX(SkiftNavn,L1867))</f>
        <v/>
      </c>
      <c r="I1867" s="30">
        <f>IF(OR(A1867="",L1867=""),"",IF(MOD(A1867-INDEX(SkiftStart,L1867),Syklus)&lt;DagK,"Kveld",IF(MOD(A1867-INDEX(SkiftStart,L1867),Syklus)&lt;DagK+DagH,"Helg",IF(MOD(A1867-INDEX(SkiftStart,L1867),Syklus)&lt;DagK+DagH+DagD,"Dag","Fri"))))</f>
        <v/>
      </c>
      <c r="J1867" s="30">
        <f>IF(I1867="Fri","Ja","")</f>
        <v/>
      </c>
      <c r="K1867" s="30">
        <f>IF(B1867="","",IF(L1867="","Ukjent tekniker",IF(ISNA(MATCH(C1867,Aktiviteter,0)),"Ukjent aktivitet",IF(AND(INDEX(AktRolle,MATCH(C1867,Aktiviteter,0))&amp;""&lt;&gt;"",ISERROR(SEARCH(INDEX(AktRolle,MATCH(C1867,Aktiviteter,0))&amp;"",INDEX(TekRoller,MATCH(B1867,Teknikere,0))))),"Mangler rollen "&amp;INDEX(AktRolle,MATCH(C1867,Aktiviteter,0))&amp;"",IF(AND(C1867="LMS",F1867&gt;0,OR(D1867="",E1867="")),"Mangler maskin eller arbeid",IF(AND(OR(C1867="LMS",C1867="Mod"),D1867&lt;&gt;""),IF(IFERROR(INDEX(MaskinStatus,MATCH(D1867,Maskiner,0)),"")="I dokk","","Maskinen er ikke i dokk"),""))))))</f>
        <v/>
      </c>
      <c r="L1867" s="2">
        <f>IF(B1867="","",IFERROR(INT((MATCH(B1867,Teknikere,0)-1)/18)+1,""))</f>
        <v/>
      </c>
      <c r="M1867" s="2">
        <f>IF(OR(A1867="",B1867=""),"",B1867&amp;"|"&amp;A1867)</f>
        <v/>
      </c>
      <c r="N1867" s="2">
        <f>IF(M1867="","",SUMIFS(TF_Timer,TF_Nokkel,M1867,TF_Akt,C1867))</f>
        <v/>
      </c>
      <c r="O1867" s="2">
        <f>IF(M1867="","",IF(AND(N1867=_xlfn.MAXIFS(TF_AktSum,TF_Nokkel,M1867),COUNTIFS(M$3:M1866,M1867,N$3:N1866,N1867)=0),M1867,""))</f>
        <v/>
      </c>
    </row>
    <row r="1868">
      <c r="A1868" s="34" t="n"/>
      <c r="B1868" s="35" t="n"/>
      <c r="C1868" s="35" t="n"/>
      <c r="D1868" s="35" t="n"/>
      <c r="E1868" s="35" t="n"/>
      <c r="F1868" s="36" t="n"/>
      <c r="G1868" s="35" t="n"/>
      <c r="H1868" s="30">
        <f>IF(L1868="","",INDEX(SkiftNavn,L1868))</f>
        <v/>
      </c>
      <c r="I1868" s="30">
        <f>IF(OR(A1868="",L1868=""),"",IF(MOD(A1868-INDEX(SkiftStart,L1868),Syklus)&lt;DagK,"Kveld",IF(MOD(A1868-INDEX(SkiftStart,L1868),Syklus)&lt;DagK+DagH,"Helg",IF(MOD(A1868-INDEX(SkiftStart,L1868),Syklus)&lt;DagK+DagH+DagD,"Dag","Fri"))))</f>
        <v/>
      </c>
      <c r="J1868" s="30">
        <f>IF(I1868="Fri","Ja","")</f>
        <v/>
      </c>
      <c r="K1868" s="30">
        <f>IF(B1868="","",IF(L1868="","Ukjent tekniker",IF(ISNA(MATCH(C1868,Aktiviteter,0)),"Ukjent aktivitet",IF(AND(INDEX(AktRolle,MATCH(C1868,Aktiviteter,0))&amp;""&lt;&gt;"",ISERROR(SEARCH(INDEX(AktRolle,MATCH(C1868,Aktiviteter,0))&amp;"",INDEX(TekRoller,MATCH(B1868,Teknikere,0))))),"Mangler rollen "&amp;INDEX(AktRolle,MATCH(C1868,Aktiviteter,0))&amp;"",IF(AND(C1868="LMS",F1868&gt;0,OR(D1868="",E1868="")),"Mangler maskin eller arbeid",IF(AND(OR(C1868="LMS",C1868="Mod"),D1868&lt;&gt;""),IF(IFERROR(INDEX(MaskinStatus,MATCH(D1868,Maskiner,0)),"")="I dokk","","Maskinen er ikke i dokk"),""))))))</f>
        <v/>
      </c>
      <c r="L1868" s="2">
        <f>IF(B1868="","",IFERROR(INT((MATCH(B1868,Teknikere,0)-1)/18)+1,""))</f>
        <v/>
      </c>
      <c r="M1868" s="2">
        <f>IF(OR(A1868="",B1868=""),"",B1868&amp;"|"&amp;A1868)</f>
        <v/>
      </c>
      <c r="N1868" s="2">
        <f>IF(M1868="","",SUMIFS(TF_Timer,TF_Nokkel,M1868,TF_Akt,C1868))</f>
        <v/>
      </c>
      <c r="O1868" s="2">
        <f>IF(M1868="","",IF(AND(N1868=_xlfn.MAXIFS(TF_AktSum,TF_Nokkel,M1868),COUNTIFS(M$3:M1867,M1868,N$3:N1867,N1868)=0),M1868,""))</f>
        <v/>
      </c>
    </row>
    <row r="1869">
      <c r="A1869" s="34" t="n"/>
      <c r="B1869" s="35" t="n"/>
      <c r="C1869" s="35" t="n"/>
      <c r="D1869" s="35" t="n"/>
      <c r="E1869" s="35" t="n"/>
      <c r="F1869" s="36" t="n"/>
      <c r="G1869" s="35" t="n"/>
      <c r="H1869" s="30">
        <f>IF(L1869="","",INDEX(SkiftNavn,L1869))</f>
        <v/>
      </c>
      <c r="I1869" s="30">
        <f>IF(OR(A1869="",L1869=""),"",IF(MOD(A1869-INDEX(SkiftStart,L1869),Syklus)&lt;DagK,"Kveld",IF(MOD(A1869-INDEX(SkiftStart,L1869),Syklus)&lt;DagK+DagH,"Helg",IF(MOD(A1869-INDEX(SkiftStart,L1869),Syklus)&lt;DagK+DagH+DagD,"Dag","Fri"))))</f>
        <v/>
      </c>
      <c r="J1869" s="30">
        <f>IF(I1869="Fri","Ja","")</f>
        <v/>
      </c>
      <c r="K1869" s="30">
        <f>IF(B1869="","",IF(L1869="","Ukjent tekniker",IF(ISNA(MATCH(C1869,Aktiviteter,0)),"Ukjent aktivitet",IF(AND(INDEX(AktRolle,MATCH(C1869,Aktiviteter,0))&amp;""&lt;&gt;"",ISERROR(SEARCH(INDEX(AktRolle,MATCH(C1869,Aktiviteter,0))&amp;"",INDEX(TekRoller,MATCH(B1869,Teknikere,0))))),"Mangler rollen "&amp;INDEX(AktRolle,MATCH(C1869,Aktiviteter,0))&amp;"",IF(AND(C1869="LMS",F1869&gt;0,OR(D1869="",E1869="")),"Mangler maskin eller arbeid",IF(AND(OR(C1869="LMS",C1869="Mod"),D1869&lt;&gt;""),IF(IFERROR(INDEX(MaskinStatus,MATCH(D1869,Maskiner,0)),"")="I dokk","","Maskinen er ikke i dokk"),""))))))</f>
        <v/>
      </c>
      <c r="L1869" s="2">
        <f>IF(B1869="","",IFERROR(INT((MATCH(B1869,Teknikere,0)-1)/18)+1,""))</f>
        <v/>
      </c>
      <c r="M1869" s="2">
        <f>IF(OR(A1869="",B1869=""),"",B1869&amp;"|"&amp;A1869)</f>
        <v/>
      </c>
      <c r="N1869" s="2">
        <f>IF(M1869="","",SUMIFS(TF_Timer,TF_Nokkel,M1869,TF_Akt,C1869))</f>
        <v/>
      </c>
      <c r="O1869" s="2">
        <f>IF(M1869="","",IF(AND(N1869=_xlfn.MAXIFS(TF_AktSum,TF_Nokkel,M1869),COUNTIFS(M$3:M1868,M1869,N$3:N1868,N1869)=0),M1869,""))</f>
        <v/>
      </c>
    </row>
    <row r="1870">
      <c r="A1870" s="34" t="n"/>
      <c r="B1870" s="35" t="n"/>
      <c r="C1870" s="35" t="n"/>
      <c r="D1870" s="35" t="n"/>
      <c r="E1870" s="35" t="n"/>
      <c r="F1870" s="36" t="n"/>
      <c r="G1870" s="35" t="n"/>
      <c r="H1870" s="30">
        <f>IF(L1870="","",INDEX(SkiftNavn,L1870))</f>
        <v/>
      </c>
      <c r="I1870" s="30">
        <f>IF(OR(A1870="",L1870=""),"",IF(MOD(A1870-INDEX(SkiftStart,L1870),Syklus)&lt;DagK,"Kveld",IF(MOD(A1870-INDEX(SkiftStart,L1870),Syklus)&lt;DagK+DagH,"Helg",IF(MOD(A1870-INDEX(SkiftStart,L1870),Syklus)&lt;DagK+DagH+DagD,"Dag","Fri"))))</f>
        <v/>
      </c>
      <c r="J1870" s="30">
        <f>IF(I1870="Fri","Ja","")</f>
        <v/>
      </c>
      <c r="K1870" s="30">
        <f>IF(B1870="","",IF(L1870="","Ukjent tekniker",IF(ISNA(MATCH(C1870,Aktiviteter,0)),"Ukjent aktivitet",IF(AND(INDEX(AktRolle,MATCH(C1870,Aktiviteter,0))&amp;""&lt;&gt;"",ISERROR(SEARCH(INDEX(AktRolle,MATCH(C1870,Aktiviteter,0))&amp;"",INDEX(TekRoller,MATCH(B1870,Teknikere,0))))),"Mangler rollen "&amp;INDEX(AktRolle,MATCH(C1870,Aktiviteter,0))&amp;"",IF(AND(C1870="LMS",F1870&gt;0,OR(D1870="",E1870="")),"Mangler maskin eller arbeid",IF(AND(OR(C1870="LMS",C1870="Mod"),D1870&lt;&gt;""),IF(IFERROR(INDEX(MaskinStatus,MATCH(D1870,Maskiner,0)),"")="I dokk","","Maskinen er ikke i dokk"),""))))))</f>
        <v/>
      </c>
      <c r="L1870" s="2">
        <f>IF(B1870="","",IFERROR(INT((MATCH(B1870,Teknikere,0)-1)/18)+1,""))</f>
        <v/>
      </c>
      <c r="M1870" s="2">
        <f>IF(OR(A1870="",B1870=""),"",B1870&amp;"|"&amp;A1870)</f>
        <v/>
      </c>
      <c r="N1870" s="2">
        <f>IF(M1870="","",SUMIFS(TF_Timer,TF_Nokkel,M1870,TF_Akt,C1870))</f>
        <v/>
      </c>
      <c r="O1870" s="2">
        <f>IF(M1870="","",IF(AND(N1870=_xlfn.MAXIFS(TF_AktSum,TF_Nokkel,M1870),COUNTIFS(M$3:M1869,M1870,N$3:N1869,N1870)=0),M1870,""))</f>
        <v/>
      </c>
    </row>
    <row r="1871">
      <c r="A1871" s="34" t="n"/>
      <c r="B1871" s="35" t="n"/>
      <c r="C1871" s="35" t="n"/>
      <c r="D1871" s="35" t="n"/>
      <c r="E1871" s="35" t="n"/>
      <c r="F1871" s="36" t="n"/>
      <c r="G1871" s="35" t="n"/>
      <c r="H1871" s="30">
        <f>IF(L1871="","",INDEX(SkiftNavn,L1871))</f>
        <v/>
      </c>
      <c r="I1871" s="30">
        <f>IF(OR(A1871="",L1871=""),"",IF(MOD(A1871-INDEX(SkiftStart,L1871),Syklus)&lt;DagK,"Kveld",IF(MOD(A1871-INDEX(SkiftStart,L1871),Syklus)&lt;DagK+DagH,"Helg",IF(MOD(A1871-INDEX(SkiftStart,L1871),Syklus)&lt;DagK+DagH+DagD,"Dag","Fri"))))</f>
        <v/>
      </c>
      <c r="J1871" s="30">
        <f>IF(I1871="Fri","Ja","")</f>
        <v/>
      </c>
      <c r="K1871" s="30">
        <f>IF(B1871="","",IF(L1871="","Ukjent tekniker",IF(ISNA(MATCH(C1871,Aktiviteter,0)),"Ukjent aktivitet",IF(AND(INDEX(AktRolle,MATCH(C1871,Aktiviteter,0))&amp;""&lt;&gt;"",ISERROR(SEARCH(INDEX(AktRolle,MATCH(C1871,Aktiviteter,0))&amp;"",INDEX(TekRoller,MATCH(B1871,Teknikere,0))))),"Mangler rollen "&amp;INDEX(AktRolle,MATCH(C1871,Aktiviteter,0))&amp;"",IF(AND(C1871="LMS",F1871&gt;0,OR(D1871="",E1871="")),"Mangler maskin eller arbeid",IF(AND(OR(C1871="LMS",C1871="Mod"),D1871&lt;&gt;""),IF(IFERROR(INDEX(MaskinStatus,MATCH(D1871,Maskiner,0)),"")="I dokk","","Maskinen er ikke i dokk"),""))))))</f>
        <v/>
      </c>
      <c r="L1871" s="2">
        <f>IF(B1871="","",IFERROR(INT((MATCH(B1871,Teknikere,0)-1)/18)+1,""))</f>
        <v/>
      </c>
      <c r="M1871" s="2">
        <f>IF(OR(A1871="",B1871=""),"",B1871&amp;"|"&amp;A1871)</f>
        <v/>
      </c>
      <c r="N1871" s="2">
        <f>IF(M1871="","",SUMIFS(TF_Timer,TF_Nokkel,M1871,TF_Akt,C1871))</f>
        <v/>
      </c>
      <c r="O1871" s="2">
        <f>IF(M1871="","",IF(AND(N1871=_xlfn.MAXIFS(TF_AktSum,TF_Nokkel,M1871),COUNTIFS(M$3:M1870,M1871,N$3:N1870,N1871)=0),M1871,""))</f>
        <v/>
      </c>
    </row>
    <row r="1872">
      <c r="A1872" s="34" t="n"/>
      <c r="B1872" s="35" t="n"/>
      <c r="C1872" s="35" t="n"/>
      <c r="D1872" s="35" t="n"/>
      <c r="E1872" s="35" t="n"/>
      <c r="F1872" s="36" t="n"/>
      <c r="G1872" s="35" t="n"/>
      <c r="H1872" s="30">
        <f>IF(L1872="","",INDEX(SkiftNavn,L1872))</f>
        <v/>
      </c>
      <c r="I1872" s="30">
        <f>IF(OR(A1872="",L1872=""),"",IF(MOD(A1872-INDEX(SkiftStart,L1872),Syklus)&lt;DagK,"Kveld",IF(MOD(A1872-INDEX(SkiftStart,L1872),Syklus)&lt;DagK+DagH,"Helg",IF(MOD(A1872-INDEX(SkiftStart,L1872),Syklus)&lt;DagK+DagH+DagD,"Dag","Fri"))))</f>
        <v/>
      </c>
      <c r="J1872" s="30">
        <f>IF(I1872="Fri","Ja","")</f>
        <v/>
      </c>
      <c r="K1872" s="30">
        <f>IF(B1872="","",IF(L1872="","Ukjent tekniker",IF(ISNA(MATCH(C1872,Aktiviteter,0)),"Ukjent aktivitet",IF(AND(INDEX(AktRolle,MATCH(C1872,Aktiviteter,0))&amp;""&lt;&gt;"",ISERROR(SEARCH(INDEX(AktRolle,MATCH(C1872,Aktiviteter,0))&amp;"",INDEX(TekRoller,MATCH(B1872,Teknikere,0))))),"Mangler rollen "&amp;INDEX(AktRolle,MATCH(C1872,Aktiviteter,0))&amp;"",IF(AND(C1872="LMS",F1872&gt;0,OR(D1872="",E1872="")),"Mangler maskin eller arbeid",IF(AND(OR(C1872="LMS",C1872="Mod"),D1872&lt;&gt;""),IF(IFERROR(INDEX(MaskinStatus,MATCH(D1872,Maskiner,0)),"")="I dokk","","Maskinen er ikke i dokk"),""))))))</f>
        <v/>
      </c>
      <c r="L1872" s="2">
        <f>IF(B1872="","",IFERROR(INT((MATCH(B1872,Teknikere,0)-1)/18)+1,""))</f>
        <v/>
      </c>
      <c r="M1872" s="2">
        <f>IF(OR(A1872="",B1872=""),"",B1872&amp;"|"&amp;A1872)</f>
        <v/>
      </c>
      <c r="N1872" s="2">
        <f>IF(M1872="","",SUMIFS(TF_Timer,TF_Nokkel,M1872,TF_Akt,C1872))</f>
        <v/>
      </c>
      <c r="O1872" s="2">
        <f>IF(M1872="","",IF(AND(N1872=_xlfn.MAXIFS(TF_AktSum,TF_Nokkel,M1872),COUNTIFS(M$3:M1871,M1872,N$3:N1871,N1872)=0),M1872,""))</f>
        <v/>
      </c>
    </row>
    <row r="1873">
      <c r="A1873" s="34" t="n"/>
      <c r="B1873" s="35" t="n"/>
      <c r="C1873" s="35" t="n"/>
      <c r="D1873" s="35" t="n"/>
      <c r="E1873" s="35" t="n"/>
      <c r="F1873" s="36" t="n"/>
      <c r="G1873" s="35" t="n"/>
      <c r="H1873" s="30">
        <f>IF(L1873="","",INDEX(SkiftNavn,L1873))</f>
        <v/>
      </c>
      <c r="I1873" s="30">
        <f>IF(OR(A1873="",L1873=""),"",IF(MOD(A1873-INDEX(SkiftStart,L1873),Syklus)&lt;DagK,"Kveld",IF(MOD(A1873-INDEX(SkiftStart,L1873),Syklus)&lt;DagK+DagH,"Helg",IF(MOD(A1873-INDEX(SkiftStart,L1873),Syklus)&lt;DagK+DagH+DagD,"Dag","Fri"))))</f>
        <v/>
      </c>
      <c r="J1873" s="30">
        <f>IF(I1873="Fri","Ja","")</f>
        <v/>
      </c>
      <c r="K1873" s="30">
        <f>IF(B1873="","",IF(L1873="","Ukjent tekniker",IF(ISNA(MATCH(C1873,Aktiviteter,0)),"Ukjent aktivitet",IF(AND(INDEX(AktRolle,MATCH(C1873,Aktiviteter,0))&amp;""&lt;&gt;"",ISERROR(SEARCH(INDEX(AktRolle,MATCH(C1873,Aktiviteter,0))&amp;"",INDEX(TekRoller,MATCH(B1873,Teknikere,0))))),"Mangler rollen "&amp;INDEX(AktRolle,MATCH(C1873,Aktiviteter,0))&amp;"",IF(AND(C1873="LMS",F1873&gt;0,OR(D1873="",E1873="")),"Mangler maskin eller arbeid",IF(AND(OR(C1873="LMS",C1873="Mod"),D1873&lt;&gt;""),IF(IFERROR(INDEX(MaskinStatus,MATCH(D1873,Maskiner,0)),"")="I dokk","","Maskinen er ikke i dokk"),""))))))</f>
        <v/>
      </c>
      <c r="L1873" s="2">
        <f>IF(B1873="","",IFERROR(INT((MATCH(B1873,Teknikere,0)-1)/18)+1,""))</f>
        <v/>
      </c>
      <c r="M1873" s="2">
        <f>IF(OR(A1873="",B1873=""),"",B1873&amp;"|"&amp;A1873)</f>
        <v/>
      </c>
      <c r="N1873" s="2">
        <f>IF(M1873="","",SUMIFS(TF_Timer,TF_Nokkel,M1873,TF_Akt,C1873))</f>
        <v/>
      </c>
      <c r="O1873" s="2">
        <f>IF(M1873="","",IF(AND(N1873=_xlfn.MAXIFS(TF_AktSum,TF_Nokkel,M1873),COUNTIFS(M$3:M1872,M1873,N$3:N1872,N1873)=0),M1873,""))</f>
        <v/>
      </c>
    </row>
    <row r="1874">
      <c r="A1874" s="34" t="n"/>
      <c r="B1874" s="35" t="n"/>
      <c r="C1874" s="35" t="n"/>
      <c r="D1874" s="35" t="n"/>
      <c r="E1874" s="35" t="n"/>
      <c r="F1874" s="36" t="n"/>
      <c r="G1874" s="35" t="n"/>
      <c r="H1874" s="30">
        <f>IF(L1874="","",INDEX(SkiftNavn,L1874))</f>
        <v/>
      </c>
      <c r="I1874" s="30">
        <f>IF(OR(A1874="",L1874=""),"",IF(MOD(A1874-INDEX(SkiftStart,L1874),Syklus)&lt;DagK,"Kveld",IF(MOD(A1874-INDEX(SkiftStart,L1874),Syklus)&lt;DagK+DagH,"Helg",IF(MOD(A1874-INDEX(SkiftStart,L1874),Syklus)&lt;DagK+DagH+DagD,"Dag","Fri"))))</f>
        <v/>
      </c>
      <c r="J1874" s="30">
        <f>IF(I1874="Fri","Ja","")</f>
        <v/>
      </c>
      <c r="K1874" s="30">
        <f>IF(B1874="","",IF(L1874="","Ukjent tekniker",IF(ISNA(MATCH(C1874,Aktiviteter,0)),"Ukjent aktivitet",IF(AND(INDEX(AktRolle,MATCH(C1874,Aktiviteter,0))&amp;""&lt;&gt;"",ISERROR(SEARCH(INDEX(AktRolle,MATCH(C1874,Aktiviteter,0))&amp;"",INDEX(TekRoller,MATCH(B1874,Teknikere,0))))),"Mangler rollen "&amp;INDEX(AktRolle,MATCH(C1874,Aktiviteter,0))&amp;"",IF(AND(C1874="LMS",F1874&gt;0,OR(D1874="",E1874="")),"Mangler maskin eller arbeid",IF(AND(OR(C1874="LMS",C1874="Mod"),D1874&lt;&gt;""),IF(IFERROR(INDEX(MaskinStatus,MATCH(D1874,Maskiner,0)),"")="I dokk","","Maskinen er ikke i dokk"),""))))))</f>
        <v/>
      </c>
      <c r="L1874" s="2">
        <f>IF(B1874="","",IFERROR(INT((MATCH(B1874,Teknikere,0)-1)/18)+1,""))</f>
        <v/>
      </c>
      <c r="M1874" s="2">
        <f>IF(OR(A1874="",B1874=""),"",B1874&amp;"|"&amp;A1874)</f>
        <v/>
      </c>
      <c r="N1874" s="2">
        <f>IF(M1874="","",SUMIFS(TF_Timer,TF_Nokkel,M1874,TF_Akt,C1874))</f>
        <v/>
      </c>
      <c r="O1874" s="2">
        <f>IF(M1874="","",IF(AND(N1874=_xlfn.MAXIFS(TF_AktSum,TF_Nokkel,M1874),COUNTIFS(M$3:M1873,M1874,N$3:N1873,N1874)=0),M1874,""))</f>
        <v/>
      </c>
    </row>
    <row r="1875">
      <c r="A1875" s="34" t="n"/>
      <c r="B1875" s="35" t="n"/>
      <c r="C1875" s="35" t="n"/>
      <c r="D1875" s="35" t="n"/>
      <c r="E1875" s="35" t="n"/>
      <c r="F1875" s="36" t="n"/>
      <c r="G1875" s="35" t="n"/>
      <c r="H1875" s="30">
        <f>IF(L1875="","",INDEX(SkiftNavn,L1875))</f>
        <v/>
      </c>
      <c r="I1875" s="30">
        <f>IF(OR(A1875="",L1875=""),"",IF(MOD(A1875-INDEX(SkiftStart,L1875),Syklus)&lt;DagK,"Kveld",IF(MOD(A1875-INDEX(SkiftStart,L1875),Syklus)&lt;DagK+DagH,"Helg",IF(MOD(A1875-INDEX(SkiftStart,L1875),Syklus)&lt;DagK+DagH+DagD,"Dag","Fri"))))</f>
        <v/>
      </c>
      <c r="J1875" s="30">
        <f>IF(I1875="Fri","Ja","")</f>
        <v/>
      </c>
      <c r="K1875" s="30">
        <f>IF(B1875="","",IF(L1875="","Ukjent tekniker",IF(ISNA(MATCH(C1875,Aktiviteter,0)),"Ukjent aktivitet",IF(AND(INDEX(AktRolle,MATCH(C1875,Aktiviteter,0))&amp;""&lt;&gt;"",ISERROR(SEARCH(INDEX(AktRolle,MATCH(C1875,Aktiviteter,0))&amp;"",INDEX(TekRoller,MATCH(B1875,Teknikere,0))))),"Mangler rollen "&amp;INDEX(AktRolle,MATCH(C1875,Aktiviteter,0))&amp;"",IF(AND(C1875="LMS",F1875&gt;0,OR(D1875="",E1875="")),"Mangler maskin eller arbeid",IF(AND(OR(C1875="LMS",C1875="Mod"),D1875&lt;&gt;""),IF(IFERROR(INDEX(MaskinStatus,MATCH(D1875,Maskiner,0)),"")="I dokk","","Maskinen er ikke i dokk"),""))))))</f>
        <v/>
      </c>
      <c r="L1875" s="2">
        <f>IF(B1875="","",IFERROR(INT((MATCH(B1875,Teknikere,0)-1)/18)+1,""))</f>
        <v/>
      </c>
      <c r="M1875" s="2">
        <f>IF(OR(A1875="",B1875=""),"",B1875&amp;"|"&amp;A1875)</f>
        <v/>
      </c>
      <c r="N1875" s="2">
        <f>IF(M1875="","",SUMIFS(TF_Timer,TF_Nokkel,M1875,TF_Akt,C1875))</f>
        <v/>
      </c>
      <c r="O1875" s="2">
        <f>IF(M1875="","",IF(AND(N1875=_xlfn.MAXIFS(TF_AktSum,TF_Nokkel,M1875),COUNTIFS(M$3:M1874,M1875,N$3:N1874,N1875)=0),M1875,""))</f>
        <v/>
      </c>
    </row>
    <row r="1876">
      <c r="A1876" s="34" t="n"/>
      <c r="B1876" s="35" t="n"/>
      <c r="C1876" s="35" t="n"/>
      <c r="D1876" s="35" t="n"/>
      <c r="E1876" s="35" t="n"/>
      <c r="F1876" s="36" t="n"/>
      <c r="G1876" s="35" t="n"/>
      <c r="H1876" s="30">
        <f>IF(L1876="","",INDEX(SkiftNavn,L1876))</f>
        <v/>
      </c>
      <c r="I1876" s="30">
        <f>IF(OR(A1876="",L1876=""),"",IF(MOD(A1876-INDEX(SkiftStart,L1876),Syklus)&lt;DagK,"Kveld",IF(MOD(A1876-INDEX(SkiftStart,L1876),Syklus)&lt;DagK+DagH,"Helg",IF(MOD(A1876-INDEX(SkiftStart,L1876),Syklus)&lt;DagK+DagH+DagD,"Dag","Fri"))))</f>
        <v/>
      </c>
      <c r="J1876" s="30">
        <f>IF(I1876="Fri","Ja","")</f>
        <v/>
      </c>
      <c r="K1876" s="30">
        <f>IF(B1876="","",IF(L1876="","Ukjent tekniker",IF(ISNA(MATCH(C1876,Aktiviteter,0)),"Ukjent aktivitet",IF(AND(INDEX(AktRolle,MATCH(C1876,Aktiviteter,0))&amp;""&lt;&gt;"",ISERROR(SEARCH(INDEX(AktRolle,MATCH(C1876,Aktiviteter,0))&amp;"",INDEX(TekRoller,MATCH(B1876,Teknikere,0))))),"Mangler rollen "&amp;INDEX(AktRolle,MATCH(C1876,Aktiviteter,0))&amp;"",IF(AND(C1876="LMS",F1876&gt;0,OR(D1876="",E1876="")),"Mangler maskin eller arbeid",IF(AND(OR(C1876="LMS",C1876="Mod"),D1876&lt;&gt;""),IF(IFERROR(INDEX(MaskinStatus,MATCH(D1876,Maskiner,0)),"")="I dokk","","Maskinen er ikke i dokk"),""))))))</f>
        <v/>
      </c>
      <c r="L1876" s="2">
        <f>IF(B1876="","",IFERROR(INT((MATCH(B1876,Teknikere,0)-1)/18)+1,""))</f>
        <v/>
      </c>
      <c r="M1876" s="2">
        <f>IF(OR(A1876="",B1876=""),"",B1876&amp;"|"&amp;A1876)</f>
        <v/>
      </c>
      <c r="N1876" s="2">
        <f>IF(M1876="","",SUMIFS(TF_Timer,TF_Nokkel,M1876,TF_Akt,C1876))</f>
        <v/>
      </c>
      <c r="O1876" s="2">
        <f>IF(M1876="","",IF(AND(N1876=_xlfn.MAXIFS(TF_AktSum,TF_Nokkel,M1876),COUNTIFS(M$3:M1875,M1876,N$3:N1875,N1876)=0),M1876,""))</f>
        <v/>
      </c>
    </row>
    <row r="1877">
      <c r="A1877" s="34" t="n"/>
      <c r="B1877" s="35" t="n"/>
      <c r="C1877" s="35" t="n"/>
      <c r="D1877" s="35" t="n"/>
      <c r="E1877" s="35" t="n"/>
      <c r="F1877" s="36" t="n"/>
      <c r="G1877" s="35" t="n"/>
      <c r="H1877" s="30">
        <f>IF(L1877="","",INDEX(SkiftNavn,L1877))</f>
        <v/>
      </c>
      <c r="I1877" s="30">
        <f>IF(OR(A1877="",L1877=""),"",IF(MOD(A1877-INDEX(SkiftStart,L1877),Syklus)&lt;DagK,"Kveld",IF(MOD(A1877-INDEX(SkiftStart,L1877),Syklus)&lt;DagK+DagH,"Helg",IF(MOD(A1877-INDEX(SkiftStart,L1877),Syklus)&lt;DagK+DagH+DagD,"Dag","Fri"))))</f>
        <v/>
      </c>
      <c r="J1877" s="30">
        <f>IF(I1877="Fri","Ja","")</f>
        <v/>
      </c>
      <c r="K1877" s="30">
        <f>IF(B1877="","",IF(L1877="","Ukjent tekniker",IF(ISNA(MATCH(C1877,Aktiviteter,0)),"Ukjent aktivitet",IF(AND(INDEX(AktRolle,MATCH(C1877,Aktiviteter,0))&amp;""&lt;&gt;"",ISERROR(SEARCH(INDEX(AktRolle,MATCH(C1877,Aktiviteter,0))&amp;"",INDEX(TekRoller,MATCH(B1877,Teknikere,0))))),"Mangler rollen "&amp;INDEX(AktRolle,MATCH(C1877,Aktiviteter,0))&amp;"",IF(AND(C1877="LMS",F1877&gt;0,OR(D1877="",E1877="")),"Mangler maskin eller arbeid",IF(AND(OR(C1877="LMS",C1877="Mod"),D1877&lt;&gt;""),IF(IFERROR(INDEX(MaskinStatus,MATCH(D1877,Maskiner,0)),"")="I dokk","","Maskinen er ikke i dokk"),""))))))</f>
        <v/>
      </c>
      <c r="L1877" s="2">
        <f>IF(B1877="","",IFERROR(INT((MATCH(B1877,Teknikere,0)-1)/18)+1,""))</f>
        <v/>
      </c>
      <c r="M1877" s="2">
        <f>IF(OR(A1877="",B1877=""),"",B1877&amp;"|"&amp;A1877)</f>
        <v/>
      </c>
      <c r="N1877" s="2">
        <f>IF(M1877="","",SUMIFS(TF_Timer,TF_Nokkel,M1877,TF_Akt,C1877))</f>
        <v/>
      </c>
      <c r="O1877" s="2">
        <f>IF(M1877="","",IF(AND(N1877=_xlfn.MAXIFS(TF_AktSum,TF_Nokkel,M1877),COUNTIFS(M$3:M1876,M1877,N$3:N1876,N1877)=0),M1877,""))</f>
        <v/>
      </c>
    </row>
    <row r="1878">
      <c r="A1878" s="34" t="n"/>
      <c r="B1878" s="35" t="n"/>
      <c r="C1878" s="35" t="n"/>
      <c r="D1878" s="35" t="n"/>
      <c r="E1878" s="35" t="n"/>
      <c r="F1878" s="36" t="n"/>
      <c r="G1878" s="35" t="n"/>
      <c r="H1878" s="30">
        <f>IF(L1878="","",INDEX(SkiftNavn,L1878))</f>
        <v/>
      </c>
      <c r="I1878" s="30">
        <f>IF(OR(A1878="",L1878=""),"",IF(MOD(A1878-INDEX(SkiftStart,L1878),Syklus)&lt;DagK,"Kveld",IF(MOD(A1878-INDEX(SkiftStart,L1878),Syklus)&lt;DagK+DagH,"Helg",IF(MOD(A1878-INDEX(SkiftStart,L1878),Syklus)&lt;DagK+DagH+DagD,"Dag","Fri"))))</f>
        <v/>
      </c>
      <c r="J1878" s="30">
        <f>IF(I1878="Fri","Ja","")</f>
        <v/>
      </c>
      <c r="K1878" s="30">
        <f>IF(B1878="","",IF(L1878="","Ukjent tekniker",IF(ISNA(MATCH(C1878,Aktiviteter,0)),"Ukjent aktivitet",IF(AND(INDEX(AktRolle,MATCH(C1878,Aktiviteter,0))&amp;""&lt;&gt;"",ISERROR(SEARCH(INDEX(AktRolle,MATCH(C1878,Aktiviteter,0))&amp;"",INDEX(TekRoller,MATCH(B1878,Teknikere,0))))),"Mangler rollen "&amp;INDEX(AktRolle,MATCH(C1878,Aktiviteter,0))&amp;"",IF(AND(C1878="LMS",F1878&gt;0,OR(D1878="",E1878="")),"Mangler maskin eller arbeid",IF(AND(OR(C1878="LMS",C1878="Mod"),D1878&lt;&gt;""),IF(IFERROR(INDEX(MaskinStatus,MATCH(D1878,Maskiner,0)),"")="I dokk","","Maskinen er ikke i dokk"),""))))))</f>
        <v/>
      </c>
      <c r="L1878" s="2">
        <f>IF(B1878="","",IFERROR(INT((MATCH(B1878,Teknikere,0)-1)/18)+1,""))</f>
        <v/>
      </c>
      <c r="M1878" s="2">
        <f>IF(OR(A1878="",B1878=""),"",B1878&amp;"|"&amp;A1878)</f>
        <v/>
      </c>
      <c r="N1878" s="2">
        <f>IF(M1878="","",SUMIFS(TF_Timer,TF_Nokkel,M1878,TF_Akt,C1878))</f>
        <v/>
      </c>
      <c r="O1878" s="2">
        <f>IF(M1878="","",IF(AND(N1878=_xlfn.MAXIFS(TF_AktSum,TF_Nokkel,M1878),COUNTIFS(M$3:M1877,M1878,N$3:N1877,N1878)=0),M1878,""))</f>
        <v/>
      </c>
    </row>
    <row r="1879">
      <c r="A1879" s="34" t="n"/>
      <c r="B1879" s="35" t="n"/>
      <c r="C1879" s="35" t="n"/>
      <c r="D1879" s="35" t="n"/>
      <c r="E1879" s="35" t="n"/>
      <c r="F1879" s="36" t="n"/>
      <c r="G1879" s="35" t="n"/>
      <c r="H1879" s="30">
        <f>IF(L1879="","",INDEX(SkiftNavn,L1879))</f>
        <v/>
      </c>
      <c r="I1879" s="30">
        <f>IF(OR(A1879="",L1879=""),"",IF(MOD(A1879-INDEX(SkiftStart,L1879),Syklus)&lt;DagK,"Kveld",IF(MOD(A1879-INDEX(SkiftStart,L1879),Syklus)&lt;DagK+DagH,"Helg",IF(MOD(A1879-INDEX(SkiftStart,L1879),Syklus)&lt;DagK+DagH+DagD,"Dag","Fri"))))</f>
        <v/>
      </c>
      <c r="J1879" s="30">
        <f>IF(I1879="Fri","Ja","")</f>
        <v/>
      </c>
      <c r="K1879" s="30">
        <f>IF(B1879="","",IF(L1879="","Ukjent tekniker",IF(ISNA(MATCH(C1879,Aktiviteter,0)),"Ukjent aktivitet",IF(AND(INDEX(AktRolle,MATCH(C1879,Aktiviteter,0))&amp;""&lt;&gt;"",ISERROR(SEARCH(INDEX(AktRolle,MATCH(C1879,Aktiviteter,0))&amp;"",INDEX(TekRoller,MATCH(B1879,Teknikere,0))))),"Mangler rollen "&amp;INDEX(AktRolle,MATCH(C1879,Aktiviteter,0))&amp;"",IF(AND(C1879="LMS",F1879&gt;0,OR(D1879="",E1879="")),"Mangler maskin eller arbeid",IF(AND(OR(C1879="LMS",C1879="Mod"),D1879&lt;&gt;""),IF(IFERROR(INDEX(MaskinStatus,MATCH(D1879,Maskiner,0)),"")="I dokk","","Maskinen er ikke i dokk"),""))))))</f>
        <v/>
      </c>
      <c r="L1879" s="2">
        <f>IF(B1879="","",IFERROR(INT((MATCH(B1879,Teknikere,0)-1)/18)+1,""))</f>
        <v/>
      </c>
      <c r="M1879" s="2">
        <f>IF(OR(A1879="",B1879=""),"",B1879&amp;"|"&amp;A1879)</f>
        <v/>
      </c>
      <c r="N1879" s="2">
        <f>IF(M1879="","",SUMIFS(TF_Timer,TF_Nokkel,M1879,TF_Akt,C1879))</f>
        <v/>
      </c>
      <c r="O1879" s="2">
        <f>IF(M1879="","",IF(AND(N1879=_xlfn.MAXIFS(TF_AktSum,TF_Nokkel,M1879),COUNTIFS(M$3:M1878,M1879,N$3:N1878,N1879)=0),M1879,""))</f>
        <v/>
      </c>
    </row>
    <row r="1880">
      <c r="A1880" s="34" t="n"/>
      <c r="B1880" s="35" t="n"/>
      <c r="C1880" s="35" t="n"/>
      <c r="D1880" s="35" t="n"/>
      <c r="E1880" s="35" t="n"/>
      <c r="F1880" s="36" t="n"/>
      <c r="G1880" s="35" t="n"/>
      <c r="H1880" s="30">
        <f>IF(L1880="","",INDEX(SkiftNavn,L1880))</f>
        <v/>
      </c>
      <c r="I1880" s="30">
        <f>IF(OR(A1880="",L1880=""),"",IF(MOD(A1880-INDEX(SkiftStart,L1880),Syklus)&lt;DagK,"Kveld",IF(MOD(A1880-INDEX(SkiftStart,L1880),Syklus)&lt;DagK+DagH,"Helg",IF(MOD(A1880-INDEX(SkiftStart,L1880),Syklus)&lt;DagK+DagH+DagD,"Dag","Fri"))))</f>
        <v/>
      </c>
      <c r="J1880" s="30">
        <f>IF(I1880="Fri","Ja","")</f>
        <v/>
      </c>
      <c r="K1880" s="30">
        <f>IF(B1880="","",IF(L1880="","Ukjent tekniker",IF(ISNA(MATCH(C1880,Aktiviteter,0)),"Ukjent aktivitet",IF(AND(INDEX(AktRolle,MATCH(C1880,Aktiviteter,0))&amp;""&lt;&gt;"",ISERROR(SEARCH(INDEX(AktRolle,MATCH(C1880,Aktiviteter,0))&amp;"",INDEX(TekRoller,MATCH(B1880,Teknikere,0))))),"Mangler rollen "&amp;INDEX(AktRolle,MATCH(C1880,Aktiviteter,0))&amp;"",IF(AND(C1880="LMS",F1880&gt;0,OR(D1880="",E1880="")),"Mangler maskin eller arbeid",IF(AND(OR(C1880="LMS",C1880="Mod"),D1880&lt;&gt;""),IF(IFERROR(INDEX(MaskinStatus,MATCH(D1880,Maskiner,0)),"")="I dokk","","Maskinen er ikke i dokk"),""))))))</f>
        <v/>
      </c>
      <c r="L1880" s="2">
        <f>IF(B1880="","",IFERROR(INT((MATCH(B1880,Teknikere,0)-1)/18)+1,""))</f>
        <v/>
      </c>
      <c r="M1880" s="2">
        <f>IF(OR(A1880="",B1880=""),"",B1880&amp;"|"&amp;A1880)</f>
        <v/>
      </c>
      <c r="N1880" s="2">
        <f>IF(M1880="","",SUMIFS(TF_Timer,TF_Nokkel,M1880,TF_Akt,C1880))</f>
        <v/>
      </c>
      <c r="O1880" s="2">
        <f>IF(M1880="","",IF(AND(N1880=_xlfn.MAXIFS(TF_AktSum,TF_Nokkel,M1880),COUNTIFS(M$3:M1879,M1880,N$3:N1879,N1880)=0),M1880,""))</f>
        <v/>
      </c>
    </row>
    <row r="1881">
      <c r="A1881" s="34" t="n"/>
      <c r="B1881" s="35" t="n"/>
      <c r="C1881" s="35" t="n"/>
      <c r="D1881" s="35" t="n"/>
      <c r="E1881" s="35" t="n"/>
      <c r="F1881" s="36" t="n"/>
      <c r="G1881" s="35" t="n"/>
      <c r="H1881" s="30">
        <f>IF(L1881="","",INDEX(SkiftNavn,L1881))</f>
        <v/>
      </c>
      <c r="I1881" s="30">
        <f>IF(OR(A1881="",L1881=""),"",IF(MOD(A1881-INDEX(SkiftStart,L1881),Syklus)&lt;DagK,"Kveld",IF(MOD(A1881-INDEX(SkiftStart,L1881),Syklus)&lt;DagK+DagH,"Helg",IF(MOD(A1881-INDEX(SkiftStart,L1881),Syklus)&lt;DagK+DagH+DagD,"Dag","Fri"))))</f>
        <v/>
      </c>
      <c r="J1881" s="30">
        <f>IF(I1881="Fri","Ja","")</f>
        <v/>
      </c>
      <c r="K1881" s="30">
        <f>IF(B1881="","",IF(L1881="","Ukjent tekniker",IF(ISNA(MATCH(C1881,Aktiviteter,0)),"Ukjent aktivitet",IF(AND(INDEX(AktRolle,MATCH(C1881,Aktiviteter,0))&amp;""&lt;&gt;"",ISERROR(SEARCH(INDEX(AktRolle,MATCH(C1881,Aktiviteter,0))&amp;"",INDEX(TekRoller,MATCH(B1881,Teknikere,0))))),"Mangler rollen "&amp;INDEX(AktRolle,MATCH(C1881,Aktiviteter,0))&amp;"",IF(AND(C1881="LMS",F1881&gt;0,OR(D1881="",E1881="")),"Mangler maskin eller arbeid",IF(AND(OR(C1881="LMS",C1881="Mod"),D1881&lt;&gt;""),IF(IFERROR(INDEX(MaskinStatus,MATCH(D1881,Maskiner,0)),"")="I dokk","","Maskinen er ikke i dokk"),""))))))</f>
        <v/>
      </c>
      <c r="L1881" s="2">
        <f>IF(B1881="","",IFERROR(INT((MATCH(B1881,Teknikere,0)-1)/18)+1,""))</f>
        <v/>
      </c>
      <c r="M1881" s="2">
        <f>IF(OR(A1881="",B1881=""),"",B1881&amp;"|"&amp;A1881)</f>
        <v/>
      </c>
      <c r="N1881" s="2">
        <f>IF(M1881="","",SUMIFS(TF_Timer,TF_Nokkel,M1881,TF_Akt,C1881))</f>
        <v/>
      </c>
      <c r="O1881" s="2">
        <f>IF(M1881="","",IF(AND(N1881=_xlfn.MAXIFS(TF_AktSum,TF_Nokkel,M1881),COUNTIFS(M$3:M1880,M1881,N$3:N1880,N1881)=0),M1881,""))</f>
        <v/>
      </c>
    </row>
    <row r="1882">
      <c r="A1882" s="34" t="n"/>
      <c r="B1882" s="35" t="n"/>
      <c r="C1882" s="35" t="n"/>
      <c r="D1882" s="35" t="n"/>
      <c r="E1882" s="35" t="n"/>
      <c r="F1882" s="36" t="n"/>
      <c r="G1882" s="35" t="n"/>
      <c r="H1882" s="30">
        <f>IF(L1882="","",INDEX(SkiftNavn,L1882))</f>
        <v/>
      </c>
      <c r="I1882" s="30">
        <f>IF(OR(A1882="",L1882=""),"",IF(MOD(A1882-INDEX(SkiftStart,L1882),Syklus)&lt;DagK,"Kveld",IF(MOD(A1882-INDEX(SkiftStart,L1882),Syklus)&lt;DagK+DagH,"Helg",IF(MOD(A1882-INDEX(SkiftStart,L1882),Syklus)&lt;DagK+DagH+DagD,"Dag","Fri"))))</f>
        <v/>
      </c>
      <c r="J1882" s="30">
        <f>IF(I1882="Fri","Ja","")</f>
        <v/>
      </c>
      <c r="K1882" s="30">
        <f>IF(B1882="","",IF(L1882="","Ukjent tekniker",IF(ISNA(MATCH(C1882,Aktiviteter,0)),"Ukjent aktivitet",IF(AND(INDEX(AktRolle,MATCH(C1882,Aktiviteter,0))&amp;""&lt;&gt;"",ISERROR(SEARCH(INDEX(AktRolle,MATCH(C1882,Aktiviteter,0))&amp;"",INDEX(TekRoller,MATCH(B1882,Teknikere,0))))),"Mangler rollen "&amp;INDEX(AktRolle,MATCH(C1882,Aktiviteter,0))&amp;"",IF(AND(C1882="LMS",F1882&gt;0,OR(D1882="",E1882="")),"Mangler maskin eller arbeid",IF(AND(OR(C1882="LMS",C1882="Mod"),D1882&lt;&gt;""),IF(IFERROR(INDEX(MaskinStatus,MATCH(D1882,Maskiner,0)),"")="I dokk","","Maskinen er ikke i dokk"),""))))))</f>
        <v/>
      </c>
      <c r="L1882" s="2">
        <f>IF(B1882="","",IFERROR(INT((MATCH(B1882,Teknikere,0)-1)/18)+1,""))</f>
        <v/>
      </c>
      <c r="M1882" s="2">
        <f>IF(OR(A1882="",B1882=""),"",B1882&amp;"|"&amp;A1882)</f>
        <v/>
      </c>
      <c r="N1882" s="2">
        <f>IF(M1882="","",SUMIFS(TF_Timer,TF_Nokkel,M1882,TF_Akt,C1882))</f>
        <v/>
      </c>
      <c r="O1882" s="2">
        <f>IF(M1882="","",IF(AND(N1882=_xlfn.MAXIFS(TF_AktSum,TF_Nokkel,M1882),COUNTIFS(M$3:M1881,M1882,N$3:N1881,N1882)=0),M1882,""))</f>
        <v/>
      </c>
    </row>
    <row r="1883">
      <c r="A1883" s="34" t="n"/>
      <c r="B1883" s="35" t="n"/>
      <c r="C1883" s="35" t="n"/>
      <c r="D1883" s="35" t="n"/>
      <c r="E1883" s="35" t="n"/>
      <c r="F1883" s="36" t="n"/>
      <c r="G1883" s="35" t="n"/>
      <c r="H1883" s="30">
        <f>IF(L1883="","",INDEX(SkiftNavn,L1883))</f>
        <v/>
      </c>
      <c r="I1883" s="30">
        <f>IF(OR(A1883="",L1883=""),"",IF(MOD(A1883-INDEX(SkiftStart,L1883),Syklus)&lt;DagK,"Kveld",IF(MOD(A1883-INDEX(SkiftStart,L1883),Syklus)&lt;DagK+DagH,"Helg",IF(MOD(A1883-INDEX(SkiftStart,L1883),Syklus)&lt;DagK+DagH+DagD,"Dag","Fri"))))</f>
        <v/>
      </c>
      <c r="J1883" s="30">
        <f>IF(I1883="Fri","Ja","")</f>
        <v/>
      </c>
      <c r="K1883" s="30">
        <f>IF(B1883="","",IF(L1883="","Ukjent tekniker",IF(ISNA(MATCH(C1883,Aktiviteter,0)),"Ukjent aktivitet",IF(AND(INDEX(AktRolle,MATCH(C1883,Aktiviteter,0))&amp;""&lt;&gt;"",ISERROR(SEARCH(INDEX(AktRolle,MATCH(C1883,Aktiviteter,0))&amp;"",INDEX(TekRoller,MATCH(B1883,Teknikere,0))))),"Mangler rollen "&amp;INDEX(AktRolle,MATCH(C1883,Aktiviteter,0))&amp;"",IF(AND(C1883="LMS",F1883&gt;0,OR(D1883="",E1883="")),"Mangler maskin eller arbeid",IF(AND(OR(C1883="LMS",C1883="Mod"),D1883&lt;&gt;""),IF(IFERROR(INDEX(MaskinStatus,MATCH(D1883,Maskiner,0)),"")="I dokk","","Maskinen er ikke i dokk"),""))))))</f>
        <v/>
      </c>
      <c r="L1883" s="2">
        <f>IF(B1883="","",IFERROR(INT((MATCH(B1883,Teknikere,0)-1)/18)+1,""))</f>
        <v/>
      </c>
      <c r="M1883" s="2">
        <f>IF(OR(A1883="",B1883=""),"",B1883&amp;"|"&amp;A1883)</f>
        <v/>
      </c>
      <c r="N1883" s="2">
        <f>IF(M1883="","",SUMIFS(TF_Timer,TF_Nokkel,M1883,TF_Akt,C1883))</f>
        <v/>
      </c>
      <c r="O1883" s="2">
        <f>IF(M1883="","",IF(AND(N1883=_xlfn.MAXIFS(TF_AktSum,TF_Nokkel,M1883),COUNTIFS(M$3:M1882,M1883,N$3:N1882,N1883)=0),M1883,""))</f>
        <v/>
      </c>
    </row>
    <row r="1884">
      <c r="A1884" s="34" t="n"/>
      <c r="B1884" s="35" t="n"/>
      <c r="C1884" s="35" t="n"/>
      <c r="D1884" s="35" t="n"/>
      <c r="E1884" s="35" t="n"/>
      <c r="F1884" s="36" t="n"/>
      <c r="G1884" s="35" t="n"/>
      <c r="H1884" s="30">
        <f>IF(L1884="","",INDEX(SkiftNavn,L1884))</f>
        <v/>
      </c>
      <c r="I1884" s="30">
        <f>IF(OR(A1884="",L1884=""),"",IF(MOD(A1884-INDEX(SkiftStart,L1884),Syklus)&lt;DagK,"Kveld",IF(MOD(A1884-INDEX(SkiftStart,L1884),Syklus)&lt;DagK+DagH,"Helg",IF(MOD(A1884-INDEX(SkiftStart,L1884),Syklus)&lt;DagK+DagH+DagD,"Dag","Fri"))))</f>
        <v/>
      </c>
      <c r="J1884" s="30">
        <f>IF(I1884="Fri","Ja","")</f>
        <v/>
      </c>
      <c r="K1884" s="30">
        <f>IF(B1884="","",IF(L1884="","Ukjent tekniker",IF(ISNA(MATCH(C1884,Aktiviteter,0)),"Ukjent aktivitet",IF(AND(INDEX(AktRolle,MATCH(C1884,Aktiviteter,0))&amp;""&lt;&gt;"",ISERROR(SEARCH(INDEX(AktRolle,MATCH(C1884,Aktiviteter,0))&amp;"",INDEX(TekRoller,MATCH(B1884,Teknikere,0))))),"Mangler rollen "&amp;INDEX(AktRolle,MATCH(C1884,Aktiviteter,0))&amp;"",IF(AND(C1884="LMS",F1884&gt;0,OR(D1884="",E1884="")),"Mangler maskin eller arbeid",IF(AND(OR(C1884="LMS",C1884="Mod"),D1884&lt;&gt;""),IF(IFERROR(INDEX(MaskinStatus,MATCH(D1884,Maskiner,0)),"")="I dokk","","Maskinen er ikke i dokk"),""))))))</f>
        <v/>
      </c>
      <c r="L1884" s="2">
        <f>IF(B1884="","",IFERROR(INT((MATCH(B1884,Teknikere,0)-1)/18)+1,""))</f>
        <v/>
      </c>
      <c r="M1884" s="2">
        <f>IF(OR(A1884="",B1884=""),"",B1884&amp;"|"&amp;A1884)</f>
        <v/>
      </c>
      <c r="N1884" s="2">
        <f>IF(M1884="","",SUMIFS(TF_Timer,TF_Nokkel,M1884,TF_Akt,C1884))</f>
        <v/>
      </c>
      <c r="O1884" s="2">
        <f>IF(M1884="","",IF(AND(N1884=_xlfn.MAXIFS(TF_AktSum,TF_Nokkel,M1884),COUNTIFS(M$3:M1883,M1884,N$3:N1883,N1884)=0),M1884,""))</f>
        <v/>
      </c>
    </row>
    <row r="1885">
      <c r="A1885" s="34" t="n"/>
      <c r="B1885" s="35" t="n"/>
      <c r="C1885" s="35" t="n"/>
      <c r="D1885" s="35" t="n"/>
      <c r="E1885" s="35" t="n"/>
      <c r="F1885" s="36" t="n"/>
      <c r="G1885" s="35" t="n"/>
      <c r="H1885" s="30">
        <f>IF(L1885="","",INDEX(SkiftNavn,L1885))</f>
        <v/>
      </c>
      <c r="I1885" s="30">
        <f>IF(OR(A1885="",L1885=""),"",IF(MOD(A1885-INDEX(SkiftStart,L1885),Syklus)&lt;DagK,"Kveld",IF(MOD(A1885-INDEX(SkiftStart,L1885),Syklus)&lt;DagK+DagH,"Helg",IF(MOD(A1885-INDEX(SkiftStart,L1885),Syklus)&lt;DagK+DagH+DagD,"Dag","Fri"))))</f>
        <v/>
      </c>
      <c r="J1885" s="30">
        <f>IF(I1885="Fri","Ja","")</f>
        <v/>
      </c>
      <c r="K1885" s="30">
        <f>IF(B1885="","",IF(L1885="","Ukjent tekniker",IF(ISNA(MATCH(C1885,Aktiviteter,0)),"Ukjent aktivitet",IF(AND(INDEX(AktRolle,MATCH(C1885,Aktiviteter,0))&amp;""&lt;&gt;"",ISERROR(SEARCH(INDEX(AktRolle,MATCH(C1885,Aktiviteter,0))&amp;"",INDEX(TekRoller,MATCH(B1885,Teknikere,0))))),"Mangler rollen "&amp;INDEX(AktRolle,MATCH(C1885,Aktiviteter,0))&amp;"",IF(AND(C1885="LMS",F1885&gt;0,OR(D1885="",E1885="")),"Mangler maskin eller arbeid",IF(AND(OR(C1885="LMS",C1885="Mod"),D1885&lt;&gt;""),IF(IFERROR(INDEX(MaskinStatus,MATCH(D1885,Maskiner,0)),"")="I dokk","","Maskinen er ikke i dokk"),""))))))</f>
        <v/>
      </c>
      <c r="L1885" s="2">
        <f>IF(B1885="","",IFERROR(INT((MATCH(B1885,Teknikere,0)-1)/18)+1,""))</f>
        <v/>
      </c>
      <c r="M1885" s="2">
        <f>IF(OR(A1885="",B1885=""),"",B1885&amp;"|"&amp;A1885)</f>
        <v/>
      </c>
      <c r="N1885" s="2">
        <f>IF(M1885="","",SUMIFS(TF_Timer,TF_Nokkel,M1885,TF_Akt,C1885))</f>
        <v/>
      </c>
      <c r="O1885" s="2">
        <f>IF(M1885="","",IF(AND(N1885=_xlfn.MAXIFS(TF_AktSum,TF_Nokkel,M1885),COUNTIFS(M$3:M1884,M1885,N$3:N1884,N1885)=0),M1885,""))</f>
        <v/>
      </c>
    </row>
    <row r="1886">
      <c r="A1886" s="34" t="n"/>
      <c r="B1886" s="35" t="n"/>
      <c r="C1886" s="35" t="n"/>
      <c r="D1886" s="35" t="n"/>
      <c r="E1886" s="35" t="n"/>
      <c r="F1886" s="36" t="n"/>
      <c r="G1886" s="35" t="n"/>
      <c r="H1886" s="30">
        <f>IF(L1886="","",INDEX(SkiftNavn,L1886))</f>
        <v/>
      </c>
      <c r="I1886" s="30">
        <f>IF(OR(A1886="",L1886=""),"",IF(MOD(A1886-INDEX(SkiftStart,L1886),Syklus)&lt;DagK,"Kveld",IF(MOD(A1886-INDEX(SkiftStart,L1886),Syklus)&lt;DagK+DagH,"Helg",IF(MOD(A1886-INDEX(SkiftStart,L1886),Syklus)&lt;DagK+DagH+DagD,"Dag","Fri"))))</f>
        <v/>
      </c>
      <c r="J1886" s="30">
        <f>IF(I1886="Fri","Ja","")</f>
        <v/>
      </c>
      <c r="K1886" s="30">
        <f>IF(B1886="","",IF(L1886="","Ukjent tekniker",IF(ISNA(MATCH(C1886,Aktiviteter,0)),"Ukjent aktivitet",IF(AND(INDEX(AktRolle,MATCH(C1886,Aktiviteter,0))&amp;""&lt;&gt;"",ISERROR(SEARCH(INDEX(AktRolle,MATCH(C1886,Aktiviteter,0))&amp;"",INDEX(TekRoller,MATCH(B1886,Teknikere,0))))),"Mangler rollen "&amp;INDEX(AktRolle,MATCH(C1886,Aktiviteter,0))&amp;"",IF(AND(C1886="LMS",F1886&gt;0,OR(D1886="",E1886="")),"Mangler maskin eller arbeid",IF(AND(OR(C1886="LMS",C1886="Mod"),D1886&lt;&gt;""),IF(IFERROR(INDEX(MaskinStatus,MATCH(D1886,Maskiner,0)),"")="I dokk","","Maskinen er ikke i dokk"),""))))))</f>
        <v/>
      </c>
      <c r="L1886" s="2">
        <f>IF(B1886="","",IFERROR(INT((MATCH(B1886,Teknikere,0)-1)/18)+1,""))</f>
        <v/>
      </c>
      <c r="M1886" s="2">
        <f>IF(OR(A1886="",B1886=""),"",B1886&amp;"|"&amp;A1886)</f>
        <v/>
      </c>
      <c r="N1886" s="2">
        <f>IF(M1886="","",SUMIFS(TF_Timer,TF_Nokkel,M1886,TF_Akt,C1886))</f>
        <v/>
      </c>
      <c r="O1886" s="2">
        <f>IF(M1886="","",IF(AND(N1886=_xlfn.MAXIFS(TF_AktSum,TF_Nokkel,M1886),COUNTIFS(M$3:M1885,M1886,N$3:N1885,N1886)=0),M1886,""))</f>
        <v/>
      </c>
    </row>
    <row r="1887">
      <c r="A1887" s="34" t="n"/>
      <c r="B1887" s="35" t="n"/>
      <c r="C1887" s="35" t="n"/>
      <c r="D1887" s="35" t="n"/>
      <c r="E1887" s="35" t="n"/>
      <c r="F1887" s="36" t="n"/>
      <c r="G1887" s="35" t="n"/>
      <c r="H1887" s="30">
        <f>IF(L1887="","",INDEX(SkiftNavn,L1887))</f>
        <v/>
      </c>
      <c r="I1887" s="30">
        <f>IF(OR(A1887="",L1887=""),"",IF(MOD(A1887-INDEX(SkiftStart,L1887),Syklus)&lt;DagK,"Kveld",IF(MOD(A1887-INDEX(SkiftStart,L1887),Syklus)&lt;DagK+DagH,"Helg",IF(MOD(A1887-INDEX(SkiftStart,L1887),Syklus)&lt;DagK+DagH+DagD,"Dag","Fri"))))</f>
        <v/>
      </c>
      <c r="J1887" s="30">
        <f>IF(I1887="Fri","Ja","")</f>
        <v/>
      </c>
      <c r="K1887" s="30">
        <f>IF(B1887="","",IF(L1887="","Ukjent tekniker",IF(ISNA(MATCH(C1887,Aktiviteter,0)),"Ukjent aktivitet",IF(AND(INDEX(AktRolle,MATCH(C1887,Aktiviteter,0))&amp;""&lt;&gt;"",ISERROR(SEARCH(INDEX(AktRolle,MATCH(C1887,Aktiviteter,0))&amp;"",INDEX(TekRoller,MATCH(B1887,Teknikere,0))))),"Mangler rollen "&amp;INDEX(AktRolle,MATCH(C1887,Aktiviteter,0))&amp;"",IF(AND(C1887="LMS",F1887&gt;0,OR(D1887="",E1887="")),"Mangler maskin eller arbeid",IF(AND(OR(C1887="LMS",C1887="Mod"),D1887&lt;&gt;""),IF(IFERROR(INDEX(MaskinStatus,MATCH(D1887,Maskiner,0)),"")="I dokk","","Maskinen er ikke i dokk"),""))))))</f>
        <v/>
      </c>
      <c r="L1887" s="2">
        <f>IF(B1887="","",IFERROR(INT((MATCH(B1887,Teknikere,0)-1)/18)+1,""))</f>
        <v/>
      </c>
      <c r="M1887" s="2">
        <f>IF(OR(A1887="",B1887=""),"",B1887&amp;"|"&amp;A1887)</f>
        <v/>
      </c>
      <c r="N1887" s="2">
        <f>IF(M1887="","",SUMIFS(TF_Timer,TF_Nokkel,M1887,TF_Akt,C1887))</f>
        <v/>
      </c>
      <c r="O1887" s="2">
        <f>IF(M1887="","",IF(AND(N1887=_xlfn.MAXIFS(TF_AktSum,TF_Nokkel,M1887),COUNTIFS(M$3:M1886,M1887,N$3:N1886,N1887)=0),M1887,""))</f>
        <v/>
      </c>
    </row>
    <row r="1888">
      <c r="A1888" s="34" t="n"/>
      <c r="B1888" s="35" t="n"/>
      <c r="C1888" s="35" t="n"/>
      <c r="D1888" s="35" t="n"/>
      <c r="E1888" s="35" t="n"/>
      <c r="F1888" s="36" t="n"/>
      <c r="G1888" s="35" t="n"/>
      <c r="H1888" s="30">
        <f>IF(L1888="","",INDEX(SkiftNavn,L1888))</f>
        <v/>
      </c>
      <c r="I1888" s="30">
        <f>IF(OR(A1888="",L1888=""),"",IF(MOD(A1888-INDEX(SkiftStart,L1888),Syklus)&lt;DagK,"Kveld",IF(MOD(A1888-INDEX(SkiftStart,L1888),Syklus)&lt;DagK+DagH,"Helg",IF(MOD(A1888-INDEX(SkiftStart,L1888),Syklus)&lt;DagK+DagH+DagD,"Dag","Fri"))))</f>
        <v/>
      </c>
      <c r="J1888" s="30">
        <f>IF(I1888="Fri","Ja","")</f>
        <v/>
      </c>
      <c r="K1888" s="30">
        <f>IF(B1888="","",IF(L1888="","Ukjent tekniker",IF(ISNA(MATCH(C1888,Aktiviteter,0)),"Ukjent aktivitet",IF(AND(INDEX(AktRolle,MATCH(C1888,Aktiviteter,0))&amp;""&lt;&gt;"",ISERROR(SEARCH(INDEX(AktRolle,MATCH(C1888,Aktiviteter,0))&amp;"",INDEX(TekRoller,MATCH(B1888,Teknikere,0))))),"Mangler rollen "&amp;INDEX(AktRolle,MATCH(C1888,Aktiviteter,0))&amp;"",IF(AND(C1888="LMS",F1888&gt;0,OR(D1888="",E1888="")),"Mangler maskin eller arbeid",IF(AND(OR(C1888="LMS",C1888="Mod"),D1888&lt;&gt;""),IF(IFERROR(INDEX(MaskinStatus,MATCH(D1888,Maskiner,0)),"")="I dokk","","Maskinen er ikke i dokk"),""))))))</f>
        <v/>
      </c>
      <c r="L1888" s="2">
        <f>IF(B1888="","",IFERROR(INT((MATCH(B1888,Teknikere,0)-1)/18)+1,""))</f>
        <v/>
      </c>
      <c r="M1888" s="2">
        <f>IF(OR(A1888="",B1888=""),"",B1888&amp;"|"&amp;A1888)</f>
        <v/>
      </c>
      <c r="N1888" s="2">
        <f>IF(M1888="","",SUMIFS(TF_Timer,TF_Nokkel,M1888,TF_Akt,C1888))</f>
        <v/>
      </c>
      <c r="O1888" s="2">
        <f>IF(M1888="","",IF(AND(N1888=_xlfn.MAXIFS(TF_AktSum,TF_Nokkel,M1888),COUNTIFS(M$3:M1887,M1888,N$3:N1887,N1888)=0),M1888,""))</f>
        <v/>
      </c>
    </row>
    <row r="1889">
      <c r="A1889" s="34" t="n"/>
      <c r="B1889" s="35" t="n"/>
      <c r="C1889" s="35" t="n"/>
      <c r="D1889" s="35" t="n"/>
      <c r="E1889" s="35" t="n"/>
      <c r="F1889" s="36" t="n"/>
      <c r="G1889" s="35" t="n"/>
      <c r="H1889" s="30">
        <f>IF(L1889="","",INDEX(SkiftNavn,L1889))</f>
        <v/>
      </c>
      <c r="I1889" s="30">
        <f>IF(OR(A1889="",L1889=""),"",IF(MOD(A1889-INDEX(SkiftStart,L1889),Syklus)&lt;DagK,"Kveld",IF(MOD(A1889-INDEX(SkiftStart,L1889),Syklus)&lt;DagK+DagH,"Helg",IF(MOD(A1889-INDEX(SkiftStart,L1889),Syklus)&lt;DagK+DagH+DagD,"Dag","Fri"))))</f>
        <v/>
      </c>
      <c r="J1889" s="30">
        <f>IF(I1889="Fri","Ja","")</f>
        <v/>
      </c>
      <c r="K1889" s="30">
        <f>IF(B1889="","",IF(L1889="","Ukjent tekniker",IF(ISNA(MATCH(C1889,Aktiviteter,0)),"Ukjent aktivitet",IF(AND(INDEX(AktRolle,MATCH(C1889,Aktiviteter,0))&amp;""&lt;&gt;"",ISERROR(SEARCH(INDEX(AktRolle,MATCH(C1889,Aktiviteter,0))&amp;"",INDEX(TekRoller,MATCH(B1889,Teknikere,0))))),"Mangler rollen "&amp;INDEX(AktRolle,MATCH(C1889,Aktiviteter,0))&amp;"",IF(AND(C1889="LMS",F1889&gt;0,OR(D1889="",E1889="")),"Mangler maskin eller arbeid",IF(AND(OR(C1889="LMS",C1889="Mod"),D1889&lt;&gt;""),IF(IFERROR(INDEX(MaskinStatus,MATCH(D1889,Maskiner,0)),"")="I dokk","","Maskinen er ikke i dokk"),""))))))</f>
        <v/>
      </c>
      <c r="L1889" s="2">
        <f>IF(B1889="","",IFERROR(INT((MATCH(B1889,Teknikere,0)-1)/18)+1,""))</f>
        <v/>
      </c>
      <c r="M1889" s="2">
        <f>IF(OR(A1889="",B1889=""),"",B1889&amp;"|"&amp;A1889)</f>
        <v/>
      </c>
      <c r="N1889" s="2">
        <f>IF(M1889="","",SUMIFS(TF_Timer,TF_Nokkel,M1889,TF_Akt,C1889))</f>
        <v/>
      </c>
      <c r="O1889" s="2">
        <f>IF(M1889="","",IF(AND(N1889=_xlfn.MAXIFS(TF_AktSum,TF_Nokkel,M1889),COUNTIFS(M$3:M1888,M1889,N$3:N1888,N1889)=0),M1889,""))</f>
        <v/>
      </c>
    </row>
    <row r="1890">
      <c r="A1890" s="34" t="n"/>
      <c r="B1890" s="35" t="n"/>
      <c r="C1890" s="35" t="n"/>
      <c r="D1890" s="35" t="n"/>
      <c r="E1890" s="35" t="n"/>
      <c r="F1890" s="36" t="n"/>
      <c r="G1890" s="35" t="n"/>
      <c r="H1890" s="30">
        <f>IF(L1890="","",INDEX(SkiftNavn,L1890))</f>
        <v/>
      </c>
      <c r="I1890" s="30">
        <f>IF(OR(A1890="",L1890=""),"",IF(MOD(A1890-INDEX(SkiftStart,L1890),Syklus)&lt;DagK,"Kveld",IF(MOD(A1890-INDEX(SkiftStart,L1890),Syklus)&lt;DagK+DagH,"Helg",IF(MOD(A1890-INDEX(SkiftStart,L1890),Syklus)&lt;DagK+DagH+DagD,"Dag","Fri"))))</f>
        <v/>
      </c>
      <c r="J1890" s="30">
        <f>IF(I1890="Fri","Ja","")</f>
        <v/>
      </c>
      <c r="K1890" s="30">
        <f>IF(B1890="","",IF(L1890="","Ukjent tekniker",IF(ISNA(MATCH(C1890,Aktiviteter,0)),"Ukjent aktivitet",IF(AND(INDEX(AktRolle,MATCH(C1890,Aktiviteter,0))&amp;""&lt;&gt;"",ISERROR(SEARCH(INDEX(AktRolle,MATCH(C1890,Aktiviteter,0))&amp;"",INDEX(TekRoller,MATCH(B1890,Teknikere,0))))),"Mangler rollen "&amp;INDEX(AktRolle,MATCH(C1890,Aktiviteter,0))&amp;"",IF(AND(C1890="LMS",F1890&gt;0,OR(D1890="",E1890="")),"Mangler maskin eller arbeid",IF(AND(OR(C1890="LMS",C1890="Mod"),D1890&lt;&gt;""),IF(IFERROR(INDEX(MaskinStatus,MATCH(D1890,Maskiner,0)),"")="I dokk","","Maskinen er ikke i dokk"),""))))))</f>
        <v/>
      </c>
      <c r="L1890" s="2">
        <f>IF(B1890="","",IFERROR(INT((MATCH(B1890,Teknikere,0)-1)/18)+1,""))</f>
        <v/>
      </c>
      <c r="M1890" s="2">
        <f>IF(OR(A1890="",B1890=""),"",B1890&amp;"|"&amp;A1890)</f>
        <v/>
      </c>
      <c r="N1890" s="2">
        <f>IF(M1890="","",SUMIFS(TF_Timer,TF_Nokkel,M1890,TF_Akt,C1890))</f>
        <v/>
      </c>
      <c r="O1890" s="2">
        <f>IF(M1890="","",IF(AND(N1890=_xlfn.MAXIFS(TF_AktSum,TF_Nokkel,M1890),COUNTIFS(M$3:M1889,M1890,N$3:N1889,N1890)=0),M1890,""))</f>
        <v/>
      </c>
    </row>
    <row r="1891">
      <c r="A1891" s="34" t="n"/>
      <c r="B1891" s="35" t="n"/>
      <c r="C1891" s="35" t="n"/>
      <c r="D1891" s="35" t="n"/>
      <c r="E1891" s="35" t="n"/>
      <c r="F1891" s="36" t="n"/>
      <c r="G1891" s="35" t="n"/>
      <c r="H1891" s="30">
        <f>IF(L1891="","",INDEX(SkiftNavn,L1891))</f>
        <v/>
      </c>
      <c r="I1891" s="30">
        <f>IF(OR(A1891="",L1891=""),"",IF(MOD(A1891-INDEX(SkiftStart,L1891),Syklus)&lt;DagK,"Kveld",IF(MOD(A1891-INDEX(SkiftStart,L1891),Syklus)&lt;DagK+DagH,"Helg",IF(MOD(A1891-INDEX(SkiftStart,L1891),Syklus)&lt;DagK+DagH+DagD,"Dag","Fri"))))</f>
        <v/>
      </c>
      <c r="J1891" s="30">
        <f>IF(I1891="Fri","Ja","")</f>
        <v/>
      </c>
      <c r="K1891" s="30">
        <f>IF(B1891="","",IF(L1891="","Ukjent tekniker",IF(ISNA(MATCH(C1891,Aktiviteter,0)),"Ukjent aktivitet",IF(AND(INDEX(AktRolle,MATCH(C1891,Aktiviteter,0))&amp;""&lt;&gt;"",ISERROR(SEARCH(INDEX(AktRolle,MATCH(C1891,Aktiviteter,0))&amp;"",INDEX(TekRoller,MATCH(B1891,Teknikere,0))))),"Mangler rollen "&amp;INDEX(AktRolle,MATCH(C1891,Aktiviteter,0))&amp;"",IF(AND(C1891="LMS",F1891&gt;0,OR(D1891="",E1891="")),"Mangler maskin eller arbeid",IF(AND(OR(C1891="LMS",C1891="Mod"),D1891&lt;&gt;""),IF(IFERROR(INDEX(MaskinStatus,MATCH(D1891,Maskiner,0)),"")="I dokk","","Maskinen er ikke i dokk"),""))))))</f>
        <v/>
      </c>
      <c r="L1891" s="2">
        <f>IF(B1891="","",IFERROR(INT((MATCH(B1891,Teknikere,0)-1)/18)+1,""))</f>
        <v/>
      </c>
      <c r="M1891" s="2">
        <f>IF(OR(A1891="",B1891=""),"",B1891&amp;"|"&amp;A1891)</f>
        <v/>
      </c>
      <c r="N1891" s="2">
        <f>IF(M1891="","",SUMIFS(TF_Timer,TF_Nokkel,M1891,TF_Akt,C1891))</f>
        <v/>
      </c>
      <c r="O1891" s="2">
        <f>IF(M1891="","",IF(AND(N1891=_xlfn.MAXIFS(TF_AktSum,TF_Nokkel,M1891),COUNTIFS(M$3:M1890,M1891,N$3:N1890,N1891)=0),M1891,""))</f>
        <v/>
      </c>
    </row>
    <row r="1892">
      <c r="A1892" s="34" t="n"/>
      <c r="B1892" s="35" t="n"/>
      <c r="C1892" s="35" t="n"/>
      <c r="D1892" s="35" t="n"/>
      <c r="E1892" s="35" t="n"/>
      <c r="F1892" s="36" t="n"/>
      <c r="G1892" s="35" t="n"/>
      <c r="H1892" s="30">
        <f>IF(L1892="","",INDEX(SkiftNavn,L1892))</f>
        <v/>
      </c>
      <c r="I1892" s="30">
        <f>IF(OR(A1892="",L1892=""),"",IF(MOD(A1892-INDEX(SkiftStart,L1892),Syklus)&lt;DagK,"Kveld",IF(MOD(A1892-INDEX(SkiftStart,L1892),Syklus)&lt;DagK+DagH,"Helg",IF(MOD(A1892-INDEX(SkiftStart,L1892),Syklus)&lt;DagK+DagH+DagD,"Dag","Fri"))))</f>
        <v/>
      </c>
      <c r="J1892" s="30">
        <f>IF(I1892="Fri","Ja","")</f>
        <v/>
      </c>
      <c r="K1892" s="30">
        <f>IF(B1892="","",IF(L1892="","Ukjent tekniker",IF(ISNA(MATCH(C1892,Aktiviteter,0)),"Ukjent aktivitet",IF(AND(INDEX(AktRolle,MATCH(C1892,Aktiviteter,0))&amp;""&lt;&gt;"",ISERROR(SEARCH(INDEX(AktRolle,MATCH(C1892,Aktiviteter,0))&amp;"",INDEX(TekRoller,MATCH(B1892,Teknikere,0))))),"Mangler rollen "&amp;INDEX(AktRolle,MATCH(C1892,Aktiviteter,0))&amp;"",IF(AND(C1892="LMS",F1892&gt;0,OR(D1892="",E1892="")),"Mangler maskin eller arbeid",IF(AND(OR(C1892="LMS",C1892="Mod"),D1892&lt;&gt;""),IF(IFERROR(INDEX(MaskinStatus,MATCH(D1892,Maskiner,0)),"")="I dokk","","Maskinen er ikke i dokk"),""))))))</f>
        <v/>
      </c>
      <c r="L1892" s="2">
        <f>IF(B1892="","",IFERROR(INT((MATCH(B1892,Teknikere,0)-1)/18)+1,""))</f>
        <v/>
      </c>
      <c r="M1892" s="2">
        <f>IF(OR(A1892="",B1892=""),"",B1892&amp;"|"&amp;A1892)</f>
        <v/>
      </c>
      <c r="N1892" s="2">
        <f>IF(M1892="","",SUMIFS(TF_Timer,TF_Nokkel,M1892,TF_Akt,C1892))</f>
        <v/>
      </c>
      <c r="O1892" s="2">
        <f>IF(M1892="","",IF(AND(N1892=_xlfn.MAXIFS(TF_AktSum,TF_Nokkel,M1892),COUNTIFS(M$3:M1891,M1892,N$3:N1891,N1892)=0),M1892,""))</f>
        <v/>
      </c>
    </row>
    <row r="1893">
      <c r="A1893" s="34" t="n"/>
      <c r="B1893" s="35" t="n"/>
      <c r="C1893" s="35" t="n"/>
      <c r="D1893" s="35" t="n"/>
      <c r="E1893" s="35" t="n"/>
      <c r="F1893" s="36" t="n"/>
      <c r="G1893" s="35" t="n"/>
      <c r="H1893" s="30">
        <f>IF(L1893="","",INDEX(SkiftNavn,L1893))</f>
        <v/>
      </c>
      <c r="I1893" s="30">
        <f>IF(OR(A1893="",L1893=""),"",IF(MOD(A1893-INDEX(SkiftStart,L1893),Syklus)&lt;DagK,"Kveld",IF(MOD(A1893-INDEX(SkiftStart,L1893),Syklus)&lt;DagK+DagH,"Helg",IF(MOD(A1893-INDEX(SkiftStart,L1893),Syklus)&lt;DagK+DagH+DagD,"Dag","Fri"))))</f>
        <v/>
      </c>
      <c r="J1893" s="30">
        <f>IF(I1893="Fri","Ja","")</f>
        <v/>
      </c>
      <c r="K1893" s="30">
        <f>IF(B1893="","",IF(L1893="","Ukjent tekniker",IF(ISNA(MATCH(C1893,Aktiviteter,0)),"Ukjent aktivitet",IF(AND(INDEX(AktRolle,MATCH(C1893,Aktiviteter,0))&amp;""&lt;&gt;"",ISERROR(SEARCH(INDEX(AktRolle,MATCH(C1893,Aktiviteter,0))&amp;"",INDEX(TekRoller,MATCH(B1893,Teknikere,0))))),"Mangler rollen "&amp;INDEX(AktRolle,MATCH(C1893,Aktiviteter,0))&amp;"",IF(AND(C1893="LMS",F1893&gt;0,OR(D1893="",E1893="")),"Mangler maskin eller arbeid",IF(AND(OR(C1893="LMS",C1893="Mod"),D1893&lt;&gt;""),IF(IFERROR(INDEX(MaskinStatus,MATCH(D1893,Maskiner,0)),"")="I dokk","","Maskinen er ikke i dokk"),""))))))</f>
        <v/>
      </c>
      <c r="L1893" s="2">
        <f>IF(B1893="","",IFERROR(INT((MATCH(B1893,Teknikere,0)-1)/18)+1,""))</f>
        <v/>
      </c>
      <c r="M1893" s="2">
        <f>IF(OR(A1893="",B1893=""),"",B1893&amp;"|"&amp;A1893)</f>
        <v/>
      </c>
      <c r="N1893" s="2">
        <f>IF(M1893="","",SUMIFS(TF_Timer,TF_Nokkel,M1893,TF_Akt,C1893))</f>
        <v/>
      </c>
      <c r="O1893" s="2">
        <f>IF(M1893="","",IF(AND(N1893=_xlfn.MAXIFS(TF_AktSum,TF_Nokkel,M1893),COUNTIFS(M$3:M1892,M1893,N$3:N1892,N1893)=0),M1893,""))</f>
        <v/>
      </c>
    </row>
    <row r="1894">
      <c r="A1894" s="34" t="n"/>
      <c r="B1894" s="35" t="n"/>
      <c r="C1894" s="35" t="n"/>
      <c r="D1894" s="35" t="n"/>
      <c r="E1894" s="35" t="n"/>
      <c r="F1894" s="36" t="n"/>
      <c r="G1894" s="35" t="n"/>
      <c r="H1894" s="30">
        <f>IF(L1894="","",INDEX(SkiftNavn,L1894))</f>
        <v/>
      </c>
      <c r="I1894" s="30">
        <f>IF(OR(A1894="",L1894=""),"",IF(MOD(A1894-INDEX(SkiftStart,L1894),Syklus)&lt;DagK,"Kveld",IF(MOD(A1894-INDEX(SkiftStart,L1894),Syklus)&lt;DagK+DagH,"Helg",IF(MOD(A1894-INDEX(SkiftStart,L1894),Syklus)&lt;DagK+DagH+DagD,"Dag","Fri"))))</f>
        <v/>
      </c>
      <c r="J1894" s="30">
        <f>IF(I1894="Fri","Ja","")</f>
        <v/>
      </c>
      <c r="K1894" s="30">
        <f>IF(B1894="","",IF(L1894="","Ukjent tekniker",IF(ISNA(MATCH(C1894,Aktiviteter,0)),"Ukjent aktivitet",IF(AND(INDEX(AktRolle,MATCH(C1894,Aktiviteter,0))&amp;""&lt;&gt;"",ISERROR(SEARCH(INDEX(AktRolle,MATCH(C1894,Aktiviteter,0))&amp;"",INDEX(TekRoller,MATCH(B1894,Teknikere,0))))),"Mangler rollen "&amp;INDEX(AktRolle,MATCH(C1894,Aktiviteter,0))&amp;"",IF(AND(C1894="LMS",F1894&gt;0,OR(D1894="",E1894="")),"Mangler maskin eller arbeid",IF(AND(OR(C1894="LMS",C1894="Mod"),D1894&lt;&gt;""),IF(IFERROR(INDEX(MaskinStatus,MATCH(D1894,Maskiner,0)),"")="I dokk","","Maskinen er ikke i dokk"),""))))))</f>
        <v/>
      </c>
      <c r="L1894" s="2">
        <f>IF(B1894="","",IFERROR(INT((MATCH(B1894,Teknikere,0)-1)/18)+1,""))</f>
        <v/>
      </c>
      <c r="M1894" s="2">
        <f>IF(OR(A1894="",B1894=""),"",B1894&amp;"|"&amp;A1894)</f>
        <v/>
      </c>
      <c r="N1894" s="2">
        <f>IF(M1894="","",SUMIFS(TF_Timer,TF_Nokkel,M1894,TF_Akt,C1894))</f>
        <v/>
      </c>
      <c r="O1894" s="2">
        <f>IF(M1894="","",IF(AND(N1894=_xlfn.MAXIFS(TF_AktSum,TF_Nokkel,M1894),COUNTIFS(M$3:M1893,M1894,N$3:N1893,N1894)=0),M1894,""))</f>
        <v/>
      </c>
    </row>
    <row r="1895">
      <c r="A1895" s="34" t="n"/>
      <c r="B1895" s="35" t="n"/>
      <c r="C1895" s="35" t="n"/>
      <c r="D1895" s="35" t="n"/>
      <c r="E1895" s="35" t="n"/>
      <c r="F1895" s="36" t="n"/>
      <c r="G1895" s="35" t="n"/>
      <c r="H1895" s="30">
        <f>IF(L1895="","",INDEX(SkiftNavn,L1895))</f>
        <v/>
      </c>
      <c r="I1895" s="30">
        <f>IF(OR(A1895="",L1895=""),"",IF(MOD(A1895-INDEX(SkiftStart,L1895),Syklus)&lt;DagK,"Kveld",IF(MOD(A1895-INDEX(SkiftStart,L1895),Syklus)&lt;DagK+DagH,"Helg",IF(MOD(A1895-INDEX(SkiftStart,L1895),Syklus)&lt;DagK+DagH+DagD,"Dag","Fri"))))</f>
        <v/>
      </c>
      <c r="J1895" s="30">
        <f>IF(I1895="Fri","Ja","")</f>
        <v/>
      </c>
      <c r="K1895" s="30">
        <f>IF(B1895="","",IF(L1895="","Ukjent tekniker",IF(ISNA(MATCH(C1895,Aktiviteter,0)),"Ukjent aktivitet",IF(AND(INDEX(AktRolle,MATCH(C1895,Aktiviteter,0))&amp;""&lt;&gt;"",ISERROR(SEARCH(INDEX(AktRolle,MATCH(C1895,Aktiviteter,0))&amp;"",INDEX(TekRoller,MATCH(B1895,Teknikere,0))))),"Mangler rollen "&amp;INDEX(AktRolle,MATCH(C1895,Aktiviteter,0))&amp;"",IF(AND(C1895="LMS",F1895&gt;0,OR(D1895="",E1895="")),"Mangler maskin eller arbeid",IF(AND(OR(C1895="LMS",C1895="Mod"),D1895&lt;&gt;""),IF(IFERROR(INDEX(MaskinStatus,MATCH(D1895,Maskiner,0)),"")="I dokk","","Maskinen er ikke i dokk"),""))))))</f>
        <v/>
      </c>
      <c r="L1895" s="2">
        <f>IF(B1895="","",IFERROR(INT((MATCH(B1895,Teknikere,0)-1)/18)+1,""))</f>
        <v/>
      </c>
      <c r="M1895" s="2">
        <f>IF(OR(A1895="",B1895=""),"",B1895&amp;"|"&amp;A1895)</f>
        <v/>
      </c>
      <c r="N1895" s="2">
        <f>IF(M1895="","",SUMIFS(TF_Timer,TF_Nokkel,M1895,TF_Akt,C1895))</f>
        <v/>
      </c>
      <c r="O1895" s="2">
        <f>IF(M1895="","",IF(AND(N1895=_xlfn.MAXIFS(TF_AktSum,TF_Nokkel,M1895),COUNTIFS(M$3:M1894,M1895,N$3:N1894,N1895)=0),M1895,""))</f>
        <v/>
      </c>
    </row>
    <row r="1896">
      <c r="A1896" s="34" t="n"/>
      <c r="B1896" s="35" t="n"/>
      <c r="C1896" s="35" t="n"/>
      <c r="D1896" s="35" t="n"/>
      <c r="E1896" s="35" t="n"/>
      <c r="F1896" s="36" t="n"/>
      <c r="G1896" s="35" t="n"/>
      <c r="H1896" s="30">
        <f>IF(L1896="","",INDEX(SkiftNavn,L1896))</f>
        <v/>
      </c>
      <c r="I1896" s="30">
        <f>IF(OR(A1896="",L1896=""),"",IF(MOD(A1896-INDEX(SkiftStart,L1896),Syklus)&lt;DagK,"Kveld",IF(MOD(A1896-INDEX(SkiftStart,L1896),Syklus)&lt;DagK+DagH,"Helg",IF(MOD(A1896-INDEX(SkiftStart,L1896),Syklus)&lt;DagK+DagH+DagD,"Dag","Fri"))))</f>
        <v/>
      </c>
      <c r="J1896" s="30">
        <f>IF(I1896="Fri","Ja","")</f>
        <v/>
      </c>
      <c r="K1896" s="30">
        <f>IF(B1896="","",IF(L1896="","Ukjent tekniker",IF(ISNA(MATCH(C1896,Aktiviteter,0)),"Ukjent aktivitet",IF(AND(INDEX(AktRolle,MATCH(C1896,Aktiviteter,0))&amp;""&lt;&gt;"",ISERROR(SEARCH(INDEX(AktRolle,MATCH(C1896,Aktiviteter,0))&amp;"",INDEX(TekRoller,MATCH(B1896,Teknikere,0))))),"Mangler rollen "&amp;INDEX(AktRolle,MATCH(C1896,Aktiviteter,0))&amp;"",IF(AND(C1896="LMS",F1896&gt;0,OR(D1896="",E1896="")),"Mangler maskin eller arbeid",IF(AND(OR(C1896="LMS",C1896="Mod"),D1896&lt;&gt;""),IF(IFERROR(INDEX(MaskinStatus,MATCH(D1896,Maskiner,0)),"")="I dokk","","Maskinen er ikke i dokk"),""))))))</f>
        <v/>
      </c>
      <c r="L1896" s="2">
        <f>IF(B1896="","",IFERROR(INT((MATCH(B1896,Teknikere,0)-1)/18)+1,""))</f>
        <v/>
      </c>
      <c r="M1896" s="2">
        <f>IF(OR(A1896="",B1896=""),"",B1896&amp;"|"&amp;A1896)</f>
        <v/>
      </c>
      <c r="N1896" s="2">
        <f>IF(M1896="","",SUMIFS(TF_Timer,TF_Nokkel,M1896,TF_Akt,C1896))</f>
        <v/>
      </c>
      <c r="O1896" s="2">
        <f>IF(M1896="","",IF(AND(N1896=_xlfn.MAXIFS(TF_AktSum,TF_Nokkel,M1896),COUNTIFS(M$3:M1895,M1896,N$3:N1895,N1896)=0),M1896,""))</f>
        <v/>
      </c>
    </row>
    <row r="1897">
      <c r="A1897" s="34" t="n"/>
      <c r="B1897" s="35" t="n"/>
      <c r="C1897" s="35" t="n"/>
      <c r="D1897" s="35" t="n"/>
      <c r="E1897" s="35" t="n"/>
      <c r="F1897" s="36" t="n"/>
      <c r="G1897" s="35" t="n"/>
      <c r="H1897" s="30">
        <f>IF(L1897="","",INDEX(SkiftNavn,L1897))</f>
        <v/>
      </c>
      <c r="I1897" s="30">
        <f>IF(OR(A1897="",L1897=""),"",IF(MOD(A1897-INDEX(SkiftStart,L1897),Syklus)&lt;DagK,"Kveld",IF(MOD(A1897-INDEX(SkiftStart,L1897),Syklus)&lt;DagK+DagH,"Helg",IF(MOD(A1897-INDEX(SkiftStart,L1897),Syklus)&lt;DagK+DagH+DagD,"Dag","Fri"))))</f>
        <v/>
      </c>
      <c r="J1897" s="30">
        <f>IF(I1897="Fri","Ja","")</f>
        <v/>
      </c>
      <c r="K1897" s="30">
        <f>IF(B1897="","",IF(L1897="","Ukjent tekniker",IF(ISNA(MATCH(C1897,Aktiviteter,0)),"Ukjent aktivitet",IF(AND(INDEX(AktRolle,MATCH(C1897,Aktiviteter,0))&amp;""&lt;&gt;"",ISERROR(SEARCH(INDEX(AktRolle,MATCH(C1897,Aktiviteter,0))&amp;"",INDEX(TekRoller,MATCH(B1897,Teknikere,0))))),"Mangler rollen "&amp;INDEX(AktRolle,MATCH(C1897,Aktiviteter,0))&amp;"",IF(AND(C1897="LMS",F1897&gt;0,OR(D1897="",E1897="")),"Mangler maskin eller arbeid",IF(AND(OR(C1897="LMS",C1897="Mod"),D1897&lt;&gt;""),IF(IFERROR(INDEX(MaskinStatus,MATCH(D1897,Maskiner,0)),"")="I dokk","","Maskinen er ikke i dokk"),""))))))</f>
        <v/>
      </c>
      <c r="L1897" s="2">
        <f>IF(B1897="","",IFERROR(INT((MATCH(B1897,Teknikere,0)-1)/18)+1,""))</f>
        <v/>
      </c>
      <c r="M1897" s="2">
        <f>IF(OR(A1897="",B1897=""),"",B1897&amp;"|"&amp;A1897)</f>
        <v/>
      </c>
      <c r="N1897" s="2">
        <f>IF(M1897="","",SUMIFS(TF_Timer,TF_Nokkel,M1897,TF_Akt,C1897))</f>
        <v/>
      </c>
      <c r="O1897" s="2">
        <f>IF(M1897="","",IF(AND(N1897=_xlfn.MAXIFS(TF_AktSum,TF_Nokkel,M1897),COUNTIFS(M$3:M1896,M1897,N$3:N1896,N1897)=0),M1897,""))</f>
        <v/>
      </c>
    </row>
    <row r="1898">
      <c r="A1898" s="34" t="n"/>
      <c r="B1898" s="35" t="n"/>
      <c r="C1898" s="35" t="n"/>
      <c r="D1898" s="35" t="n"/>
      <c r="E1898" s="35" t="n"/>
      <c r="F1898" s="36" t="n"/>
      <c r="G1898" s="35" t="n"/>
      <c r="H1898" s="30">
        <f>IF(L1898="","",INDEX(SkiftNavn,L1898))</f>
        <v/>
      </c>
      <c r="I1898" s="30">
        <f>IF(OR(A1898="",L1898=""),"",IF(MOD(A1898-INDEX(SkiftStart,L1898),Syklus)&lt;DagK,"Kveld",IF(MOD(A1898-INDEX(SkiftStart,L1898),Syklus)&lt;DagK+DagH,"Helg",IF(MOD(A1898-INDEX(SkiftStart,L1898),Syklus)&lt;DagK+DagH+DagD,"Dag","Fri"))))</f>
        <v/>
      </c>
      <c r="J1898" s="30">
        <f>IF(I1898="Fri","Ja","")</f>
        <v/>
      </c>
      <c r="K1898" s="30">
        <f>IF(B1898="","",IF(L1898="","Ukjent tekniker",IF(ISNA(MATCH(C1898,Aktiviteter,0)),"Ukjent aktivitet",IF(AND(INDEX(AktRolle,MATCH(C1898,Aktiviteter,0))&amp;""&lt;&gt;"",ISERROR(SEARCH(INDEX(AktRolle,MATCH(C1898,Aktiviteter,0))&amp;"",INDEX(TekRoller,MATCH(B1898,Teknikere,0))))),"Mangler rollen "&amp;INDEX(AktRolle,MATCH(C1898,Aktiviteter,0))&amp;"",IF(AND(C1898="LMS",F1898&gt;0,OR(D1898="",E1898="")),"Mangler maskin eller arbeid",IF(AND(OR(C1898="LMS",C1898="Mod"),D1898&lt;&gt;""),IF(IFERROR(INDEX(MaskinStatus,MATCH(D1898,Maskiner,0)),"")="I dokk","","Maskinen er ikke i dokk"),""))))))</f>
        <v/>
      </c>
      <c r="L1898" s="2">
        <f>IF(B1898="","",IFERROR(INT((MATCH(B1898,Teknikere,0)-1)/18)+1,""))</f>
        <v/>
      </c>
      <c r="M1898" s="2">
        <f>IF(OR(A1898="",B1898=""),"",B1898&amp;"|"&amp;A1898)</f>
        <v/>
      </c>
      <c r="N1898" s="2">
        <f>IF(M1898="","",SUMIFS(TF_Timer,TF_Nokkel,M1898,TF_Akt,C1898))</f>
        <v/>
      </c>
      <c r="O1898" s="2">
        <f>IF(M1898="","",IF(AND(N1898=_xlfn.MAXIFS(TF_AktSum,TF_Nokkel,M1898),COUNTIFS(M$3:M1897,M1898,N$3:N1897,N1898)=0),M1898,""))</f>
        <v/>
      </c>
    </row>
    <row r="1899">
      <c r="A1899" s="34" t="n"/>
      <c r="B1899" s="35" t="n"/>
      <c r="C1899" s="35" t="n"/>
      <c r="D1899" s="35" t="n"/>
      <c r="E1899" s="35" t="n"/>
      <c r="F1899" s="36" t="n"/>
      <c r="G1899" s="35" t="n"/>
      <c r="H1899" s="30">
        <f>IF(L1899="","",INDEX(SkiftNavn,L1899))</f>
        <v/>
      </c>
      <c r="I1899" s="30">
        <f>IF(OR(A1899="",L1899=""),"",IF(MOD(A1899-INDEX(SkiftStart,L1899),Syklus)&lt;DagK,"Kveld",IF(MOD(A1899-INDEX(SkiftStart,L1899),Syklus)&lt;DagK+DagH,"Helg",IF(MOD(A1899-INDEX(SkiftStart,L1899),Syklus)&lt;DagK+DagH+DagD,"Dag","Fri"))))</f>
        <v/>
      </c>
      <c r="J1899" s="30">
        <f>IF(I1899="Fri","Ja","")</f>
        <v/>
      </c>
      <c r="K1899" s="30">
        <f>IF(B1899="","",IF(L1899="","Ukjent tekniker",IF(ISNA(MATCH(C1899,Aktiviteter,0)),"Ukjent aktivitet",IF(AND(INDEX(AktRolle,MATCH(C1899,Aktiviteter,0))&amp;""&lt;&gt;"",ISERROR(SEARCH(INDEX(AktRolle,MATCH(C1899,Aktiviteter,0))&amp;"",INDEX(TekRoller,MATCH(B1899,Teknikere,0))))),"Mangler rollen "&amp;INDEX(AktRolle,MATCH(C1899,Aktiviteter,0))&amp;"",IF(AND(C1899="LMS",F1899&gt;0,OR(D1899="",E1899="")),"Mangler maskin eller arbeid",IF(AND(OR(C1899="LMS",C1899="Mod"),D1899&lt;&gt;""),IF(IFERROR(INDEX(MaskinStatus,MATCH(D1899,Maskiner,0)),"")="I dokk","","Maskinen er ikke i dokk"),""))))))</f>
        <v/>
      </c>
      <c r="L1899" s="2">
        <f>IF(B1899="","",IFERROR(INT((MATCH(B1899,Teknikere,0)-1)/18)+1,""))</f>
        <v/>
      </c>
      <c r="M1899" s="2">
        <f>IF(OR(A1899="",B1899=""),"",B1899&amp;"|"&amp;A1899)</f>
        <v/>
      </c>
      <c r="N1899" s="2">
        <f>IF(M1899="","",SUMIFS(TF_Timer,TF_Nokkel,M1899,TF_Akt,C1899))</f>
        <v/>
      </c>
      <c r="O1899" s="2">
        <f>IF(M1899="","",IF(AND(N1899=_xlfn.MAXIFS(TF_AktSum,TF_Nokkel,M1899),COUNTIFS(M$3:M1898,M1899,N$3:N1898,N1899)=0),M1899,""))</f>
        <v/>
      </c>
    </row>
    <row r="1900">
      <c r="A1900" s="34" t="n"/>
      <c r="B1900" s="35" t="n"/>
      <c r="C1900" s="35" t="n"/>
      <c r="D1900" s="35" t="n"/>
      <c r="E1900" s="35" t="n"/>
      <c r="F1900" s="36" t="n"/>
      <c r="G1900" s="35" t="n"/>
      <c r="H1900" s="30">
        <f>IF(L1900="","",INDEX(SkiftNavn,L1900))</f>
        <v/>
      </c>
      <c r="I1900" s="30">
        <f>IF(OR(A1900="",L1900=""),"",IF(MOD(A1900-INDEX(SkiftStart,L1900),Syklus)&lt;DagK,"Kveld",IF(MOD(A1900-INDEX(SkiftStart,L1900),Syklus)&lt;DagK+DagH,"Helg",IF(MOD(A1900-INDEX(SkiftStart,L1900),Syklus)&lt;DagK+DagH+DagD,"Dag","Fri"))))</f>
        <v/>
      </c>
      <c r="J1900" s="30">
        <f>IF(I1900="Fri","Ja","")</f>
        <v/>
      </c>
      <c r="K1900" s="30">
        <f>IF(B1900="","",IF(L1900="","Ukjent tekniker",IF(ISNA(MATCH(C1900,Aktiviteter,0)),"Ukjent aktivitet",IF(AND(INDEX(AktRolle,MATCH(C1900,Aktiviteter,0))&amp;""&lt;&gt;"",ISERROR(SEARCH(INDEX(AktRolle,MATCH(C1900,Aktiviteter,0))&amp;"",INDEX(TekRoller,MATCH(B1900,Teknikere,0))))),"Mangler rollen "&amp;INDEX(AktRolle,MATCH(C1900,Aktiviteter,0))&amp;"",IF(AND(C1900="LMS",F1900&gt;0,OR(D1900="",E1900="")),"Mangler maskin eller arbeid",IF(AND(OR(C1900="LMS",C1900="Mod"),D1900&lt;&gt;""),IF(IFERROR(INDEX(MaskinStatus,MATCH(D1900,Maskiner,0)),"")="I dokk","","Maskinen er ikke i dokk"),""))))))</f>
        <v/>
      </c>
      <c r="L1900" s="2">
        <f>IF(B1900="","",IFERROR(INT((MATCH(B1900,Teknikere,0)-1)/18)+1,""))</f>
        <v/>
      </c>
      <c r="M1900" s="2">
        <f>IF(OR(A1900="",B1900=""),"",B1900&amp;"|"&amp;A1900)</f>
        <v/>
      </c>
      <c r="N1900" s="2">
        <f>IF(M1900="","",SUMIFS(TF_Timer,TF_Nokkel,M1900,TF_Akt,C1900))</f>
        <v/>
      </c>
      <c r="O1900" s="2">
        <f>IF(M1900="","",IF(AND(N1900=_xlfn.MAXIFS(TF_AktSum,TF_Nokkel,M1900),COUNTIFS(M$3:M1899,M1900,N$3:N1899,N1900)=0),M1900,""))</f>
        <v/>
      </c>
    </row>
    <row r="1901">
      <c r="A1901" s="34" t="n"/>
      <c r="B1901" s="35" t="n"/>
      <c r="C1901" s="35" t="n"/>
      <c r="D1901" s="35" t="n"/>
      <c r="E1901" s="35" t="n"/>
      <c r="F1901" s="36" t="n"/>
      <c r="G1901" s="35" t="n"/>
      <c r="H1901" s="30">
        <f>IF(L1901="","",INDEX(SkiftNavn,L1901))</f>
        <v/>
      </c>
      <c r="I1901" s="30">
        <f>IF(OR(A1901="",L1901=""),"",IF(MOD(A1901-INDEX(SkiftStart,L1901),Syklus)&lt;DagK,"Kveld",IF(MOD(A1901-INDEX(SkiftStart,L1901),Syklus)&lt;DagK+DagH,"Helg",IF(MOD(A1901-INDEX(SkiftStart,L1901),Syklus)&lt;DagK+DagH+DagD,"Dag","Fri"))))</f>
        <v/>
      </c>
      <c r="J1901" s="30">
        <f>IF(I1901="Fri","Ja","")</f>
        <v/>
      </c>
      <c r="K1901" s="30">
        <f>IF(B1901="","",IF(L1901="","Ukjent tekniker",IF(ISNA(MATCH(C1901,Aktiviteter,0)),"Ukjent aktivitet",IF(AND(INDEX(AktRolle,MATCH(C1901,Aktiviteter,0))&amp;""&lt;&gt;"",ISERROR(SEARCH(INDEX(AktRolle,MATCH(C1901,Aktiviteter,0))&amp;"",INDEX(TekRoller,MATCH(B1901,Teknikere,0))))),"Mangler rollen "&amp;INDEX(AktRolle,MATCH(C1901,Aktiviteter,0))&amp;"",IF(AND(C1901="LMS",F1901&gt;0,OR(D1901="",E1901="")),"Mangler maskin eller arbeid",IF(AND(OR(C1901="LMS",C1901="Mod"),D1901&lt;&gt;""),IF(IFERROR(INDEX(MaskinStatus,MATCH(D1901,Maskiner,0)),"")="I dokk","","Maskinen er ikke i dokk"),""))))))</f>
        <v/>
      </c>
      <c r="L1901" s="2">
        <f>IF(B1901="","",IFERROR(INT((MATCH(B1901,Teknikere,0)-1)/18)+1,""))</f>
        <v/>
      </c>
      <c r="M1901" s="2">
        <f>IF(OR(A1901="",B1901=""),"",B1901&amp;"|"&amp;A1901)</f>
        <v/>
      </c>
      <c r="N1901" s="2">
        <f>IF(M1901="","",SUMIFS(TF_Timer,TF_Nokkel,M1901,TF_Akt,C1901))</f>
        <v/>
      </c>
      <c r="O1901" s="2">
        <f>IF(M1901="","",IF(AND(N1901=_xlfn.MAXIFS(TF_AktSum,TF_Nokkel,M1901),COUNTIFS(M$3:M1900,M1901,N$3:N1900,N1901)=0),M1901,""))</f>
        <v/>
      </c>
    </row>
    <row r="1902">
      <c r="A1902" s="34" t="n"/>
      <c r="B1902" s="35" t="n"/>
      <c r="C1902" s="35" t="n"/>
      <c r="D1902" s="35" t="n"/>
      <c r="E1902" s="35" t="n"/>
      <c r="F1902" s="36" t="n"/>
      <c r="G1902" s="35" t="n"/>
      <c r="H1902" s="30">
        <f>IF(L1902="","",INDEX(SkiftNavn,L1902))</f>
        <v/>
      </c>
      <c r="I1902" s="30">
        <f>IF(OR(A1902="",L1902=""),"",IF(MOD(A1902-INDEX(SkiftStart,L1902),Syklus)&lt;DagK,"Kveld",IF(MOD(A1902-INDEX(SkiftStart,L1902),Syklus)&lt;DagK+DagH,"Helg",IF(MOD(A1902-INDEX(SkiftStart,L1902),Syklus)&lt;DagK+DagH+DagD,"Dag","Fri"))))</f>
        <v/>
      </c>
      <c r="J1902" s="30">
        <f>IF(I1902="Fri","Ja","")</f>
        <v/>
      </c>
      <c r="K1902" s="30">
        <f>IF(B1902="","",IF(L1902="","Ukjent tekniker",IF(ISNA(MATCH(C1902,Aktiviteter,0)),"Ukjent aktivitet",IF(AND(INDEX(AktRolle,MATCH(C1902,Aktiviteter,0))&amp;""&lt;&gt;"",ISERROR(SEARCH(INDEX(AktRolle,MATCH(C1902,Aktiviteter,0))&amp;"",INDEX(TekRoller,MATCH(B1902,Teknikere,0))))),"Mangler rollen "&amp;INDEX(AktRolle,MATCH(C1902,Aktiviteter,0))&amp;"",IF(AND(C1902="LMS",F1902&gt;0,OR(D1902="",E1902="")),"Mangler maskin eller arbeid",IF(AND(OR(C1902="LMS",C1902="Mod"),D1902&lt;&gt;""),IF(IFERROR(INDEX(MaskinStatus,MATCH(D1902,Maskiner,0)),"")="I dokk","","Maskinen er ikke i dokk"),""))))))</f>
        <v/>
      </c>
      <c r="L1902" s="2">
        <f>IF(B1902="","",IFERROR(INT((MATCH(B1902,Teknikere,0)-1)/18)+1,""))</f>
        <v/>
      </c>
      <c r="M1902" s="2">
        <f>IF(OR(A1902="",B1902=""),"",B1902&amp;"|"&amp;A1902)</f>
        <v/>
      </c>
      <c r="N1902" s="2">
        <f>IF(M1902="","",SUMIFS(TF_Timer,TF_Nokkel,M1902,TF_Akt,C1902))</f>
        <v/>
      </c>
      <c r="O1902" s="2">
        <f>IF(M1902="","",IF(AND(N1902=_xlfn.MAXIFS(TF_AktSum,TF_Nokkel,M1902),COUNTIFS(M$3:M1901,M1902,N$3:N1901,N1902)=0),M1902,""))</f>
        <v/>
      </c>
    </row>
    <row r="1903">
      <c r="A1903" s="34" t="n"/>
      <c r="B1903" s="35" t="n"/>
      <c r="C1903" s="35" t="n"/>
      <c r="D1903" s="35" t="n"/>
      <c r="E1903" s="35" t="n"/>
      <c r="F1903" s="36" t="n"/>
      <c r="G1903" s="35" t="n"/>
      <c r="H1903" s="30">
        <f>IF(L1903="","",INDEX(SkiftNavn,L1903))</f>
        <v/>
      </c>
      <c r="I1903" s="30">
        <f>IF(OR(A1903="",L1903=""),"",IF(MOD(A1903-INDEX(SkiftStart,L1903),Syklus)&lt;DagK,"Kveld",IF(MOD(A1903-INDEX(SkiftStart,L1903),Syklus)&lt;DagK+DagH,"Helg",IF(MOD(A1903-INDEX(SkiftStart,L1903),Syklus)&lt;DagK+DagH+DagD,"Dag","Fri"))))</f>
        <v/>
      </c>
      <c r="J1903" s="30">
        <f>IF(I1903="Fri","Ja","")</f>
        <v/>
      </c>
      <c r="K1903" s="30">
        <f>IF(B1903="","",IF(L1903="","Ukjent tekniker",IF(ISNA(MATCH(C1903,Aktiviteter,0)),"Ukjent aktivitet",IF(AND(INDEX(AktRolle,MATCH(C1903,Aktiviteter,0))&amp;""&lt;&gt;"",ISERROR(SEARCH(INDEX(AktRolle,MATCH(C1903,Aktiviteter,0))&amp;"",INDEX(TekRoller,MATCH(B1903,Teknikere,0))))),"Mangler rollen "&amp;INDEX(AktRolle,MATCH(C1903,Aktiviteter,0))&amp;"",IF(AND(C1903="LMS",F1903&gt;0,OR(D1903="",E1903="")),"Mangler maskin eller arbeid",IF(AND(OR(C1903="LMS",C1903="Mod"),D1903&lt;&gt;""),IF(IFERROR(INDEX(MaskinStatus,MATCH(D1903,Maskiner,0)),"")="I dokk","","Maskinen er ikke i dokk"),""))))))</f>
        <v/>
      </c>
      <c r="L1903" s="2">
        <f>IF(B1903="","",IFERROR(INT((MATCH(B1903,Teknikere,0)-1)/18)+1,""))</f>
        <v/>
      </c>
      <c r="M1903" s="2">
        <f>IF(OR(A1903="",B1903=""),"",B1903&amp;"|"&amp;A1903)</f>
        <v/>
      </c>
      <c r="N1903" s="2">
        <f>IF(M1903="","",SUMIFS(TF_Timer,TF_Nokkel,M1903,TF_Akt,C1903))</f>
        <v/>
      </c>
      <c r="O1903" s="2">
        <f>IF(M1903="","",IF(AND(N1903=_xlfn.MAXIFS(TF_AktSum,TF_Nokkel,M1903),COUNTIFS(M$3:M1902,M1903,N$3:N1902,N1903)=0),M1903,""))</f>
        <v/>
      </c>
    </row>
    <row r="1904">
      <c r="A1904" s="34" t="n"/>
      <c r="B1904" s="35" t="n"/>
      <c r="C1904" s="35" t="n"/>
      <c r="D1904" s="35" t="n"/>
      <c r="E1904" s="35" t="n"/>
      <c r="F1904" s="36" t="n"/>
      <c r="G1904" s="35" t="n"/>
      <c r="H1904" s="30">
        <f>IF(L1904="","",INDEX(SkiftNavn,L1904))</f>
        <v/>
      </c>
      <c r="I1904" s="30">
        <f>IF(OR(A1904="",L1904=""),"",IF(MOD(A1904-INDEX(SkiftStart,L1904),Syklus)&lt;DagK,"Kveld",IF(MOD(A1904-INDEX(SkiftStart,L1904),Syklus)&lt;DagK+DagH,"Helg",IF(MOD(A1904-INDEX(SkiftStart,L1904),Syklus)&lt;DagK+DagH+DagD,"Dag","Fri"))))</f>
        <v/>
      </c>
      <c r="J1904" s="30">
        <f>IF(I1904="Fri","Ja","")</f>
        <v/>
      </c>
      <c r="K1904" s="30">
        <f>IF(B1904="","",IF(L1904="","Ukjent tekniker",IF(ISNA(MATCH(C1904,Aktiviteter,0)),"Ukjent aktivitet",IF(AND(INDEX(AktRolle,MATCH(C1904,Aktiviteter,0))&amp;""&lt;&gt;"",ISERROR(SEARCH(INDEX(AktRolle,MATCH(C1904,Aktiviteter,0))&amp;"",INDEX(TekRoller,MATCH(B1904,Teknikere,0))))),"Mangler rollen "&amp;INDEX(AktRolle,MATCH(C1904,Aktiviteter,0))&amp;"",IF(AND(C1904="LMS",F1904&gt;0,OR(D1904="",E1904="")),"Mangler maskin eller arbeid",IF(AND(OR(C1904="LMS",C1904="Mod"),D1904&lt;&gt;""),IF(IFERROR(INDEX(MaskinStatus,MATCH(D1904,Maskiner,0)),"")="I dokk","","Maskinen er ikke i dokk"),""))))))</f>
        <v/>
      </c>
      <c r="L1904" s="2">
        <f>IF(B1904="","",IFERROR(INT((MATCH(B1904,Teknikere,0)-1)/18)+1,""))</f>
        <v/>
      </c>
      <c r="M1904" s="2">
        <f>IF(OR(A1904="",B1904=""),"",B1904&amp;"|"&amp;A1904)</f>
        <v/>
      </c>
      <c r="N1904" s="2">
        <f>IF(M1904="","",SUMIFS(TF_Timer,TF_Nokkel,M1904,TF_Akt,C1904))</f>
        <v/>
      </c>
      <c r="O1904" s="2">
        <f>IF(M1904="","",IF(AND(N1904=_xlfn.MAXIFS(TF_AktSum,TF_Nokkel,M1904),COUNTIFS(M$3:M1903,M1904,N$3:N1903,N1904)=0),M1904,""))</f>
        <v/>
      </c>
    </row>
    <row r="1905">
      <c r="A1905" s="34" t="n"/>
      <c r="B1905" s="35" t="n"/>
      <c r="C1905" s="35" t="n"/>
      <c r="D1905" s="35" t="n"/>
      <c r="E1905" s="35" t="n"/>
      <c r="F1905" s="36" t="n"/>
      <c r="G1905" s="35" t="n"/>
      <c r="H1905" s="30">
        <f>IF(L1905="","",INDEX(SkiftNavn,L1905))</f>
        <v/>
      </c>
      <c r="I1905" s="30">
        <f>IF(OR(A1905="",L1905=""),"",IF(MOD(A1905-INDEX(SkiftStart,L1905),Syklus)&lt;DagK,"Kveld",IF(MOD(A1905-INDEX(SkiftStart,L1905),Syklus)&lt;DagK+DagH,"Helg",IF(MOD(A1905-INDEX(SkiftStart,L1905),Syklus)&lt;DagK+DagH+DagD,"Dag","Fri"))))</f>
        <v/>
      </c>
      <c r="J1905" s="30">
        <f>IF(I1905="Fri","Ja","")</f>
        <v/>
      </c>
      <c r="K1905" s="30">
        <f>IF(B1905="","",IF(L1905="","Ukjent tekniker",IF(ISNA(MATCH(C1905,Aktiviteter,0)),"Ukjent aktivitet",IF(AND(INDEX(AktRolle,MATCH(C1905,Aktiviteter,0))&amp;""&lt;&gt;"",ISERROR(SEARCH(INDEX(AktRolle,MATCH(C1905,Aktiviteter,0))&amp;"",INDEX(TekRoller,MATCH(B1905,Teknikere,0))))),"Mangler rollen "&amp;INDEX(AktRolle,MATCH(C1905,Aktiviteter,0))&amp;"",IF(AND(C1905="LMS",F1905&gt;0,OR(D1905="",E1905="")),"Mangler maskin eller arbeid",IF(AND(OR(C1905="LMS",C1905="Mod"),D1905&lt;&gt;""),IF(IFERROR(INDEX(MaskinStatus,MATCH(D1905,Maskiner,0)),"")="I dokk","","Maskinen er ikke i dokk"),""))))))</f>
        <v/>
      </c>
      <c r="L1905" s="2">
        <f>IF(B1905="","",IFERROR(INT((MATCH(B1905,Teknikere,0)-1)/18)+1,""))</f>
        <v/>
      </c>
      <c r="M1905" s="2">
        <f>IF(OR(A1905="",B1905=""),"",B1905&amp;"|"&amp;A1905)</f>
        <v/>
      </c>
      <c r="N1905" s="2">
        <f>IF(M1905="","",SUMIFS(TF_Timer,TF_Nokkel,M1905,TF_Akt,C1905))</f>
        <v/>
      </c>
      <c r="O1905" s="2">
        <f>IF(M1905="","",IF(AND(N1905=_xlfn.MAXIFS(TF_AktSum,TF_Nokkel,M1905),COUNTIFS(M$3:M1904,M1905,N$3:N1904,N1905)=0),M1905,""))</f>
        <v/>
      </c>
    </row>
    <row r="1906">
      <c r="A1906" s="34" t="n"/>
      <c r="B1906" s="35" t="n"/>
      <c r="C1906" s="35" t="n"/>
      <c r="D1906" s="35" t="n"/>
      <c r="E1906" s="35" t="n"/>
      <c r="F1906" s="36" t="n"/>
      <c r="G1906" s="35" t="n"/>
      <c r="H1906" s="30">
        <f>IF(L1906="","",INDEX(SkiftNavn,L1906))</f>
        <v/>
      </c>
      <c r="I1906" s="30">
        <f>IF(OR(A1906="",L1906=""),"",IF(MOD(A1906-INDEX(SkiftStart,L1906),Syklus)&lt;DagK,"Kveld",IF(MOD(A1906-INDEX(SkiftStart,L1906),Syklus)&lt;DagK+DagH,"Helg",IF(MOD(A1906-INDEX(SkiftStart,L1906),Syklus)&lt;DagK+DagH+DagD,"Dag","Fri"))))</f>
        <v/>
      </c>
      <c r="J1906" s="30">
        <f>IF(I1906="Fri","Ja","")</f>
        <v/>
      </c>
      <c r="K1906" s="30">
        <f>IF(B1906="","",IF(L1906="","Ukjent tekniker",IF(ISNA(MATCH(C1906,Aktiviteter,0)),"Ukjent aktivitet",IF(AND(INDEX(AktRolle,MATCH(C1906,Aktiviteter,0))&amp;""&lt;&gt;"",ISERROR(SEARCH(INDEX(AktRolle,MATCH(C1906,Aktiviteter,0))&amp;"",INDEX(TekRoller,MATCH(B1906,Teknikere,0))))),"Mangler rollen "&amp;INDEX(AktRolle,MATCH(C1906,Aktiviteter,0))&amp;"",IF(AND(C1906="LMS",F1906&gt;0,OR(D1906="",E1906="")),"Mangler maskin eller arbeid",IF(AND(OR(C1906="LMS",C1906="Mod"),D1906&lt;&gt;""),IF(IFERROR(INDEX(MaskinStatus,MATCH(D1906,Maskiner,0)),"")="I dokk","","Maskinen er ikke i dokk"),""))))))</f>
        <v/>
      </c>
      <c r="L1906" s="2">
        <f>IF(B1906="","",IFERROR(INT((MATCH(B1906,Teknikere,0)-1)/18)+1,""))</f>
        <v/>
      </c>
      <c r="M1906" s="2">
        <f>IF(OR(A1906="",B1906=""),"",B1906&amp;"|"&amp;A1906)</f>
        <v/>
      </c>
      <c r="N1906" s="2">
        <f>IF(M1906="","",SUMIFS(TF_Timer,TF_Nokkel,M1906,TF_Akt,C1906))</f>
        <v/>
      </c>
      <c r="O1906" s="2">
        <f>IF(M1906="","",IF(AND(N1906=_xlfn.MAXIFS(TF_AktSum,TF_Nokkel,M1906),COUNTIFS(M$3:M1905,M1906,N$3:N1905,N1906)=0),M1906,""))</f>
        <v/>
      </c>
    </row>
    <row r="1907">
      <c r="A1907" s="34" t="n"/>
      <c r="B1907" s="35" t="n"/>
      <c r="C1907" s="35" t="n"/>
      <c r="D1907" s="35" t="n"/>
      <c r="E1907" s="35" t="n"/>
      <c r="F1907" s="36" t="n"/>
      <c r="G1907" s="35" t="n"/>
      <c r="H1907" s="30">
        <f>IF(L1907="","",INDEX(SkiftNavn,L1907))</f>
        <v/>
      </c>
      <c r="I1907" s="30">
        <f>IF(OR(A1907="",L1907=""),"",IF(MOD(A1907-INDEX(SkiftStart,L1907),Syklus)&lt;DagK,"Kveld",IF(MOD(A1907-INDEX(SkiftStart,L1907),Syklus)&lt;DagK+DagH,"Helg",IF(MOD(A1907-INDEX(SkiftStart,L1907),Syklus)&lt;DagK+DagH+DagD,"Dag","Fri"))))</f>
        <v/>
      </c>
      <c r="J1907" s="30">
        <f>IF(I1907="Fri","Ja","")</f>
        <v/>
      </c>
      <c r="K1907" s="30">
        <f>IF(B1907="","",IF(L1907="","Ukjent tekniker",IF(ISNA(MATCH(C1907,Aktiviteter,0)),"Ukjent aktivitet",IF(AND(INDEX(AktRolle,MATCH(C1907,Aktiviteter,0))&amp;""&lt;&gt;"",ISERROR(SEARCH(INDEX(AktRolle,MATCH(C1907,Aktiviteter,0))&amp;"",INDEX(TekRoller,MATCH(B1907,Teknikere,0))))),"Mangler rollen "&amp;INDEX(AktRolle,MATCH(C1907,Aktiviteter,0))&amp;"",IF(AND(C1907="LMS",F1907&gt;0,OR(D1907="",E1907="")),"Mangler maskin eller arbeid",IF(AND(OR(C1907="LMS",C1907="Mod"),D1907&lt;&gt;""),IF(IFERROR(INDEX(MaskinStatus,MATCH(D1907,Maskiner,0)),"")="I dokk","","Maskinen er ikke i dokk"),""))))))</f>
        <v/>
      </c>
      <c r="L1907" s="2">
        <f>IF(B1907="","",IFERROR(INT((MATCH(B1907,Teknikere,0)-1)/18)+1,""))</f>
        <v/>
      </c>
      <c r="M1907" s="2">
        <f>IF(OR(A1907="",B1907=""),"",B1907&amp;"|"&amp;A1907)</f>
        <v/>
      </c>
      <c r="N1907" s="2">
        <f>IF(M1907="","",SUMIFS(TF_Timer,TF_Nokkel,M1907,TF_Akt,C1907))</f>
        <v/>
      </c>
      <c r="O1907" s="2">
        <f>IF(M1907="","",IF(AND(N1907=_xlfn.MAXIFS(TF_AktSum,TF_Nokkel,M1907),COUNTIFS(M$3:M1906,M1907,N$3:N1906,N1907)=0),M1907,""))</f>
        <v/>
      </c>
    </row>
    <row r="1908">
      <c r="A1908" s="34" t="n"/>
      <c r="B1908" s="35" t="n"/>
      <c r="C1908" s="35" t="n"/>
      <c r="D1908" s="35" t="n"/>
      <c r="E1908" s="35" t="n"/>
      <c r="F1908" s="36" t="n"/>
      <c r="G1908" s="35" t="n"/>
      <c r="H1908" s="30">
        <f>IF(L1908="","",INDEX(SkiftNavn,L1908))</f>
        <v/>
      </c>
      <c r="I1908" s="30">
        <f>IF(OR(A1908="",L1908=""),"",IF(MOD(A1908-INDEX(SkiftStart,L1908),Syklus)&lt;DagK,"Kveld",IF(MOD(A1908-INDEX(SkiftStart,L1908),Syklus)&lt;DagK+DagH,"Helg",IF(MOD(A1908-INDEX(SkiftStart,L1908),Syklus)&lt;DagK+DagH+DagD,"Dag","Fri"))))</f>
        <v/>
      </c>
      <c r="J1908" s="30">
        <f>IF(I1908="Fri","Ja","")</f>
        <v/>
      </c>
      <c r="K1908" s="30">
        <f>IF(B1908="","",IF(L1908="","Ukjent tekniker",IF(ISNA(MATCH(C1908,Aktiviteter,0)),"Ukjent aktivitet",IF(AND(INDEX(AktRolle,MATCH(C1908,Aktiviteter,0))&amp;""&lt;&gt;"",ISERROR(SEARCH(INDEX(AktRolle,MATCH(C1908,Aktiviteter,0))&amp;"",INDEX(TekRoller,MATCH(B1908,Teknikere,0))))),"Mangler rollen "&amp;INDEX(AktRolle,MATCH(C1908,Aktiviteter,0))&amp;"",IF(AND(C1908="LMS",F1908&gt;0,OR(D1908="",E1908="")),"Mangler maskin eller arbeid",IF(AND(OR(C1908="LMS",C1908="Mod"),D1908&lt;&gt;""),IF(IFERROR(INDEX(MaskinStatus,MATCH(D1908,Maskiner,0)),"")="I dokk","","Maskinen er ikke i dokk"),""))))))</f>
        <v/>
      </c>
      <c r="L1908" s="2">
        <f>IF(B1908="","",IFERROR(INT((MATCH(B1908,Teknikere,0)-1)/18)+1,""))</f>
        <v/>
      </c>
      <c r="M1908" s="2">
        <f>IF(OR(A1908="",B1908=""),"",B1908&amp;"|"&amp;A1908)</f>
        <v/>
      </c>
      <c r="N1908" s="2">
        <f>IF(M1908="","",SUMIFS(TF_Timer,TF_Nokkel,M1908,TF_Akt,C1908))</f>
        <v/>
      </c>
      <c r="O1908" s="2">
        <f>IF(M1908="","",IF(AND(N1908=_xlfn.MAXIFS(TF_AktSum,TF_Nokkel,M1908),COUNTIFS(M$3:M1907,M1908,N$3:N1907,N1908)=0),M1908,""))</f>
        <v/>
      </c>
    </row>
    <row r="1909">
      <c r="A1909" s="34" t="n"/>
      <c r="B1909" s="35" t="n"/>
      <c r="C1909" s="35" t="n"/>
      <c r="D1909" s="35" t="n"/>
      <c r="E1909" s="35" t="n"/>
      <c r="F1909" s="36" t="n"/>
      <c r="G1909" s="35" t="n"/>
      <c r="H1909" s="30">
        <f>IF(L1909="","",INDEX(SkiftNavn,L1909))</f>
        <v/>
      </c>
      <c r="I1909" s="30">
        <f>IF(OR(A1909="",L1909=""),"",IF(MOD(A1909-INDEX(SkiftStart,L1909),Syklus)&lt;DagK,"Kveld",IF(MOD(A1909-INDEX(SkiftStart,L1909),Syklus)&lt;DagK+DagH,"Helg",IF(MOD(A1909-INDEX(SkiftStart,L1909),Syklus)&lt;DagK+DagH+DagD,"Dag","Fri"))))</f>
        <v/>
      </c>
      <c r="J1909" s="30">
        <f>IF(I1909="Fri","Ja","")</f>
        <v/>
      </c>
      <c r="K1909" s="30">
        <f>IF(B1909="","",IF(L1909="","Ukjent tekniker",IF(ISNA(MATCH(C1909,Aktiviteter,0)),"Ukjent aktivitet",IF(AND(INDEX(AktRolle,MATCH(C1909,Aktiviteter,0))&amp;""&lt;&gt;"",ISERROR(SEARCH(INDEX(AktRolle,MATCH(C1909,Aktiviteter,0))&amp;"",INDEX(TekRoller,MATCH(B1909,Teknikere,0))))),"Mangler rollen "&amp;INDEX(AktRolle,MATCH(C1909,Aktiviteter,0))&amp;"",IF(AND(C1909="LMS",F1909&gt;0,OR(D1909="",E1909="")),"Mangler maskin eller arbeid",IF(AND(OR(C1909="LMS",C1909="Mod"),D1909&lt;&gt;""),IF(IFERROR(INDEX(MaskinStatus,MATCH(D1909,Maskiner,0)),"")="I dokk","","Maskinen er ikke i dokk"),""))))))</f>
        <v/>
      </c>
      <c r="L1909" s="2">
        <f>IF(B1909="","",IFERROR(INT((MATCH(B1909,Teknikere,0)-1)/18)+1,""))</f>
        <v/>
      </c>
      <c r="M1909" s="2">
        <f>IF(OR(A1909="",B1909=""),"",B1909&amp;"|"&amp;A1909)</f>
        <v/>
      </c>
      <c r="N1909" s="2">
        <f>IF(M1909="","",SUMIFS(TF_Timer,TF_Nokkel,M1909,TF_Akt,C1909))</f>
        <v/>
      </c>
      <c r="O1909" s="2">
        <f>IF(M1909="","",IF(AND(N1909=_xlfn.MAXIFS(TF_AktSum,TF_Nokkel,M1909),COUNTIFS(M$3:M1908,M1909,N$3:N1908,N1909)=0),M1909,""))</f>
        <v/>
      </c>
    </row>
    <row r="1910">
      <c r="A1910" s="34" t="n"/>
      <c r="B1910" s="35" t="n"/>
      <c r="C1910" s="35" t="n"/>
      <c r="D1910" s="35" t="n"/>
      <c r="E1910" s="35" t="n"/>
      <c r="F1910" s="36" t="n"/>
      <c r="G1910" s="35" t="n"/>
      <c r="H1910" s="30">
        <f>IF(L1910="","",INDEX(SkiftNavn,L1910))</f>
        <v/>
      </c>
      <c r="I1910" s="30">
        <f>IF(OR(A1910="",L1910=""),"",IF(MOD(A1910-INDEX(SkiftStart,L1910),Syklus)&lt;DagK,"Kveld",IF(MOD(A1910-INDEX(SkiftStart,L1910),Syklus)&lt;DagK+DagH,"Helg",IF(MOD(A1910-INDEX(SkiftStart,L1910),Syklus)&lt;DagK+DagH+DagD,"Dag","Fri"))))</f>
        <v/>
      </c>
      <c r="J1910" s="30">
        <f>IF(I1910="Fri","Ja","")</f>
        <v/>
      </c>
      <c r="K1910" s="30">
        <f>IF(B1910="","",IF(L1910="","Ukjent tekniker",IF(ISNA(MATCH(C1910,Aktiviteter,0)),"Ukjent aktivitet",IF(AND(INDEX(AktRolle,MATCH(C1910,Aktiviteter,0))&amp;""&lt;&gt;"",ISERROR(SEARCH(INDEX(AktRolle,MATCH(C1910,Aktiviteter,0))&amp;"",INDEX(TekRoller,MATCH(B1910,Teknikere,0))))),"Mangler rollen "&amp;INDEX(AktRolle,MATCH(C1910,Aktiviteter,0))&amp;"",IF(AND(C1910="LMS",F1910&gt;0,OR(D1910="",E1910="")),"Mangler maskin eller arbeid",IF(AND(OR(C1910="LMS",C1910="Mod"),D1910&lt;&gt;""),IF(IFERROR(INDEX(MaskinStatus,MATCH(D1910,Maskiner,0)),"")="I dokk","","Maskinen er ikke i dokk"),""))))))</f>
        <v/>
      </c>
      <c r="L1910" s="2">
        <f>IF(B1910="","",IFERROR(INT((MATCH(B1910,Teknikere,0)-1)/18)+1,""))</f>
        <v/>
      </c>
      <c r="M1910" s="2">
        <f>IF(OR(A1910="",B1910=""),"",B1910&amp;"|"&amp;A1910)</f>
        <v/>
      </c>
      <c r="N1910" s="2">
        <f>IF(M1910="","",SUMIFS(TF_Timer,TF_Nokkel,M1910,TF_Akt,C1910))</f>
        <v/>
      </c>
      <c r="O1910" s="2">
        <f>IF(M1910="","",IF(AND(N1910=_xlfn.MAXIFS(TF_AktSum,TF_Nokkel,M1910),COUNTIFS(M$3:M1909,M1910,N$3:N1909,N1910)=0),M1910,""))</f>
        <v/>
      </c>
    </row>
    <row r="1911">
      <c r="A1911" s="34" t="n"/>
      <c r="B1911" s="35" t="n"/>
      <c r="C1911" s="35" t="n"/>
      <c r="D1911" s="35" t="n"/>
      <c r="E1911" s="35" t="n"/>
      <c r="F1911" s="36" t="n"/>
      <c r="G1911" s="35" t="n"/>
      <c r="H1911" s="30">
        <f>IF(L1911="","",INDEX(SkiftNavn,L1911))</f>
        <v/>
      </c>
      <c r="I1911" s="30">
        <f>IF(OR(A1911="",L1911=""),"",IF(MOD(A1911-INDEX(SkiftStart,L1911),Syklus)&lt;DagK,"Kveld",IF(MOD(A1911-INDEX(SkiftStart,L1911),Syklus)&lt;DagK+DagH,"Helg",IF(MOD(A1911-INDEX(SkiftStart,L1911),Syklus)&lt;DagK+DagH+DagD,"Dag","Fri"))))</f>
        <v/>
      </c>
      <c r="J1911" s="30">
        <f>IF(I1911="Fri","Ja","")</f>
        <v/>
      </c>
      <c r="K1911" s="30">
        <f>IF(B1911="","",IF(L1911="","Ukjent tekniker",IF(ISNA(MATCH(C1911,Aktiviteter,0)),"Ukjent aktivitet",IF(AND(INDEX(AktRolle,MATCH(C1911,Aktiviteter,0))&amp;""&lt;&gt;"",ISERROR(SEARCH(INDEX(AktRolle,MATCH(C1911,Aktiviteter,0))&amp;"",INDEX(TekRoller,MATCH(B1911,Teknikere,0))))),"Mangler rollen "&amp;INDEX(AktRolle,MATCH(C1911,Aktiviteter,0))&amp;"",IF(AND(C1911="LMS",F1911&gt;0,OR(D1911="",E1911="")),"Mangler maskin eller arbeid",IF(AND(OR(C1911="LMS",C1911="Mod"),D1911&lt;&gt;""),IF(IFERROR(INDEX(MaskinStatus,MATCH(D1911,Maskiner,0)),"")="I dokk","","Maskinen er ikke i dokk"),""))))))</f>
        <v/>
      </c>
      <c r="L1911" s="2">
        <f>IF(B1911="","",IFERROR(INT((MATCH(B1911,Teknikere,0)-1)/18)+1,""))</f>
        <v/>
      </c>
      <c r="M1911" s="2">
        <f>IF(OR(A1911="",B1911=""),"",B1911&amp;"|"&amp;A1911)</f>
        <v/>
      </c>
      <c r="N1911" s="2">
        <f>IF(M1911="","",SUMIFS(TF_Timer,TF_Nokkel,M1911,TF_Akt,C1911))</f>
        <v/>
      </c>
      <c r="O1911" s="2">
        <f>IF(M1911="","",IF(AND(N1911=_xlfn.MAXIFS(TF_AktSum,TF_Nokkel,M1911),COUNTIFS(M$3:M1910,M1911,N$3:N1910,N1911)=0),M1911,""))</f>
        <v/>
      </c>
    </row>
    <row r="1912">
      <c r="A1912" s="34" t="n"/>
      <c r="B1912" s="35" t="n"/>
      <c r="C1912" s="35" t="n"/>
      <c r="D1912" s="35" t="n"/>
      <c r="E1912" s="35" t="n"/>
      <c r="F1912" s="36" t="n"/>
      <c r="G1912" s="35" t="n"/>
      <c r="H1912" s="30">
        <f>IF(L1912="","",INDEX(SkiftNavn,L1912))</f>
        <v/>
      </c>
      <c r="I1912" s="30">
        <f>IF(OR(A1912="",L1912=""),"",IF(MOD(A1912-INDEX(SkiftStart,L1912),Syklus)&lt;DagK,"Kveld",IF(MOD(A1912-INDEX(SkiftStart,L1912),Syklus)&lt;DagK+DagH,"Helg",IF(MOD(A1912-INDEX(SkiftStart,L1912),Syklus)&lt;DagK+DagH+DagD,"Dag","Fri"))))</f>
        <v/>
      </c>
      <c r="J1912" s="30">
        <f>IF(I1912="Fri","Ja","")</f>
        <v/>
      </c>
      <c r="K1912" s="30">
        <f>IF(B1912="","",IF(L1912="","Ukjent tekniker",IF(ISNA(MATCH(C1912,Aktiviteter,0)),"Ukjent aktivitet",IF(AND(INDEX(AktRolle,MATCH(C1912,Aktiviteter,0))&amp;""&lt;&gt;"",ISERROR(SEARCH(INDEX(AktRolle,MATCH(C1912,Aktiviteter,0))&amp;"",INDEX(TekRoller,MATCH(B1912,Teknikere,0))))),"Mangler rollen "&amp;INDEX(AktRolle,MATCH(C1912,Aktiviteter,0))&amp;"",IF(AND(C1912="LMS",F1912&gt;0,OR(D1912="",E1912="")),"Mangler maskin eller arbeid",IF(AND(OR(C1912="LMS",C1912="Mod"),D1912&lt;&gt;""),IF(IFERROR(INDEX(MaskinStatus,MATCH(D1912,Maskiner,0)),"")="I dokk","","Maskinen er ikke i dokk"),""))))))</f>
        <v/>
      </c>
      <c r="L1912" s="2">
        <f>IF(B1912="","",IFERROR(INT((MATCH(B1912,Teknikere,0)-1)/18)+1,""))</f>
        <v/>
      </c>
      <c r="M1912" s="2">
        <f>IF(OR(A1912="",B1912=""),"",B1912&amp;"|"&amp;A1912)</f>
        <v/>
      </c>
      <c r="N1912" s="2">
        <f>IF(M1912="","",SUMIFS(TF_Timer,TF_Nokkel,M1912,TF_Akt,C1912))</f>
        <v/>
      </c>
      <c r="O1912" s="2">
        <f>IF(M1912="","",IF(AND(N1912=_xlfn.MAXIFS(TF_AktSum,TF_Nokkel,M1912),COUNTIFS(M$3:M1911,M1912,N$3:N1911,N1912)=0),M1912,""))</f>
        <v/>
      </c>
    </row>
    <row r="1913">
      <c r="A1913" s="34" t="n"/>
      <c r="B1913" s="35" t="n"/>
      <c r="C1913" s="35" t="n"/>
      <c r="D1913" s="35" t="n"/>
      <c r="E1913" s="35" t="n"/>
      <c r="F1913" s="36" t="n"/>
      <c r="G1913" s="35" t="n"/>
      <c r="H1913" s="30">
        <f>IF(L1913="","",INDEX(SkiftNavn,L1913))</f>
        <v/>
      </c>
      <c r="I1913" s="30">
        <f>IF(OR(A1913="",L1913=""),"",IF(MOD(A1913-INDEX(SkiftStart,L1913),Syklus)&lt;DagK,"Kveld",IF(MOD(A1913-INDEX(SkiftStart,L1913),Syklus)&lt;DagK+DagH,"Helg",IF(MOD(A1913-INDEX(SkiftStart,L1913),Syklus)&lt;DagK+DagH+DagD,"Dag","Fri"))))</f>
        <v/>
      </c>
      <c r="J1913" s="30">
        <f>IF(I1913="Fri","Ja","")</f>
        <v/>
      </c>
      <c r="K1913" s="30">
        <f>IF(B1913="","",IF(L1913="","Ukjent tekniker",IF(ISNA(MATCH(C1913,Aktiviteter,0)),"Ukjent aktivitet",IF(AND(INDEX(AktRolle,MATCH(C1913,Aktiviteter,0))&amp;""&lt;&gt;"",ISERROR(SEARCH(INDEX(AktRolle,MATCH(C1913,Aktiviteter,0))&amp;"",INDEX(TekRoller,MATCH(B1913,Teknikere,0))))),"Mangler rollen "&amp;INDEX(AktRolle,MATCH(C1913,Aktiviteter,0))&amp;"",IF(AND(C1913="LMS",F1913&gt;0,OR(D1913="",E1913="")),"Mangler maskin eller arbeid",IF(AND(OR(C1913="LMS",C1913="Mod"),D1913&lt;&gt;""),IF(IFERROR(INDEX(MaskinStatus,MATCH(D1913,Maskiner,0)),"")="I dokk","","Maskinen er ikke i dokk"),""))))))</f>
        <v/>
      </c>
      <c r="L1913" s="2">
        <f>IF(B1913="","",IFERROR(INT((MATCH(B1913,Teknikere,0)-1)/18)+1,""))</f>
        <v/>
      </c>
      <c r="M1913" s="2">
        <f>IF(OR(A1913="",B1913=""),"",B1913&amp;"|"&amp;A1913)</f>
        <v/>
      </c>
      <c r="N1913" s="2">
        <f>IF(M1913="","",SUMIFS(TF_Timer,TF_Nokkel,M1913,TF_Akt,C1913))</f>
        <v/>
      </c>
      <c r="O1913" s="2">
        <f>IF(M1913="","",IF(AND(N1913=_xlfn.MAXIFS(TF_AktSum,TF_Nokkel,M1913),COUNTIFS(M$3:M1912,M1913,N$3:N1912,N1913)=0),M1913,""))</f>
        <v/>
      </c>
    </row>
    <row r="1914">
      <c r="A1914" s="34" t="n"/>
      <c r="B1914" s="35" t="n"/>
      <c r="C1914" s="35" t="n"/>
      <c r="D1914" s="35" t="n"/>
      <c r="E1914" s="35" t="n"/>
      <c r="F1914" s="36" t="n"/>
      <c r="G1914" s="35" t="n"/>
      <c r="H1914" s="30">
        <f>IF(L1914="","",INDEX(SkiftNavn,L1914))</f>
        <v/>
      </c>
      <c r="I1914" s="30">
        <f>IF(OR(A1914="",L1914=""),"",IF(MOD(A1914-INDEX(SkiftStart,L1914),Syklus)&lt;DagK,"Kveld",IF(MOD(A1914-INDEX(SkiftStart,L1914),Syklus)&lt;DagK+DagH,"Helg",IF(MOD(A1914-INDEX(SkiftStart,L1914),Syklus)&lt;DagK+DagH+DagD,"Dag","Fri"))))</f>
        <v/>
      </c>
      <c r="J1914" s="30">
        <f>IF(I1914="Fri","Ja","")</f>
        <v/>
      </c>
      <c r="K1914" s="30">
        <f>IF(B1914="","",IF(L1914="","Ukjent tekniker",IF(ISNA(MATCH(C1914,Aktiviteter,0)),"Ukjent aktivitet",IF(AND(INDEX(AktRolle,MATCH(C1914,Aktiviteter,0))&amp;""&lt;&gt;"",ISERROR(SEARCH(INDEX(AktRolle,MATCH(C1914,Aktiviteter,0))&amp;"",INDEX(TekRoller,MATCH(B1914,Teknikere,0))))),"Mangler rollen "&amp;INDEX(AktRolle,MATCH(C1914,Aktiviteter,0))&amp;"",IF(AND(C1914="LMS",F1914&gt;0,OR(D1914="",E1914="")),"Mangler maskin eller arbeid",IF(AND(OR(C1914="LMS",C1914="Mod"),D1914&lt;&gt;""),IF(IFERROR(INDEX(MaskinStatus,MATCH(D1914,Maskiner,0)),"")="I dokk","","Maskinen er ikke i dokk"),""))))))</f>
        <v/>
      </c>
      <c r="L1914" s="2">
        <f>IF(B1914="","",IFERROR(INT((MATCH(B1914,Teknikere,0)-1)/18)+1,""))</f>
        <v/>
      </c>
      <c r="M1914" s="2">
        <f>IF(OR(A1914="",B1914=""),"",B1914&amp;"|"&amp;A1914)</f>
        <v/>
      </c>
      <c r="N1914" s="2">
        <f>IF(M1914="","",SUMIFS(TF_Timer,TF_Nokkel,M1914,TF_Akt,C1914))</f>
        <v/>
      </c>
      <c r="O1914" s="2">
        <f>IF(M1914="","",IF(AND(N1914=_xlfn.MAXIFS(TF_AktSum,TF_Nokkel,M1914),COUNTIFS(M$3:M1913,M1914,N$3:N1913,N1914)=0),M1914,""))</f>
        <v/>
      </c>
    </row>
    <row r="1915">
      <c r="A1915" s="34" t="n"/>
      <c r="B1915" s="35" t="n"/>
      <c r="C1915" s="35" t="n"/>
      <c r="D1915" s="35" t="n"/>
      <c r="E1915" s="35" t="n"/>
      <c r="F1915" s="36" t="n"/>
      <c r="G1915" s="35" t="n"/>
      <c r="H1915" s="30">
        <f>IF(L1915="","",INDEX(SkiftNavn,L1915))</f>
        <v/>
      </c>
      <c r="I1915" s="30">
        <f>IF(OR(A1915="",L1915=""),"",IF(MOD(A1915-INDEX(SkiftStart,L1915),Syklus)&lt;DagK,"Kveld",IF(MOD(A1915-INDEX(SkiftStart,L1915),Syklus)&lt;DagK+DagH,"Helg",IF(MOD(A1915-INDEX(SkiftStart,L1915),Syklus)&lt;DagK+DagH+DagD,"Dag","Fri"))))</f>
        <v/>
      </c>
      <c r="J1915" s="30">
        <f>IF(I1915="Fri","Ja","")</f>
        <v/>
      </c>
      <c r="K1915" s="30">
        <f>IF(B1915="","",IF(L1915="","Ukjent tekniker",IF(ISNA(MATCH(C1915,Aktiviteter,0)),"Ukjent aktivitet",IF(AND(INDEX(AktRolle,MATCH(C1915,Aktiviteter,0))&amp;""&lt;&gt;"",ISERROR(SEARCH(INDEX(AktRolle,MATCH(C1915,Aktiviteter,0))&amp;"",INDEX(TekRoller,MATCH(B1915,Teknikere,0))))),"Mangler rollen "&amp;INDEX(AktRolle,MATCH(C1915,Aktiviteter,0))&amp;"",IF(AND(C1915="LMS",F1915&gt;0,OR(D1915="",E1915="")),"Mangler maskin eller arbeid",IF(AND(OR(C1915="LMS",C1915="Mod"),D1915&lt;&gt;""),IF(IFERROR(INDEX(MaskinStatus,MATCH(D1915,Maskiner,0)),"")="I dokk","","Maskinen er ikke i dokk"),""))))))</f>
        <v/>
      </c>
      <c r="L1915" s="2">
        <f>IF(B1915="","",IFERROR(INT((MATCH(B1915,Teknikere,0)-1)/18)+1,""))</f>
        <v/>
      </c>
      <c r="M1915" s="2">
        <f>IF(OR(A1915="",B1915=""),"",B1915&amp;"|"&amp;A1915)</f>
        <v/>
      </c>
      <c r="N1915" s="2">
        <f>IF(M1915="","",SUMIFS(TF_Timer,TF_Nokkel,M1915,TF_Akt,C1915))</f>
        <v/>
      </c>
      <c r="O1915" s="2">
        <f>IF(M1915="","",IF(AND(N1915=_xlfn.MAXIFS(TF_AktSum,TF_Nokkel,M1915),COUNTIFS(M$3:M1914,M1915,N$3:N1914,N1915)=0),M1915,""))</f>
        <v/>
      </c>
    </row>
    <row r="1916">
      <c r="A1916" s="34" t="n"/>
      <c r="B1916" s="35" t="n"/>
      <c r="C1916" s="35" t="n"/>
      <c r="D1916" s="35" t="n"/>
      <c r="E1916" s="35" t="n"/>
      <c r="F1916" s="36" t="n"/>
      <c r="G1916" s="35" t="n"/>
      <c r="H1916" s="30">
        <f>IF(L1916="","",INDEX(SkiftNavn,L1916))</f>
        <v/>
      </c>
      <c r="I1916" s="30">
        <f>IF(OR(A1916="",L1916=""),"",IF(MOD(A1916-INDEX(SkiftStart,L1916),Syklus)&lt;DagK,"Kveld",IF(MOD(A1916-INDEX(SkiftStart,L1916),Syklus)&lt;DagK+DagH,"Helg",IF(MOD(A1916-INDEX(SkiftStart,L1916),Syklus)&lt;DagK+DagH+DagD,"Dag","Fri"))))</f>
        <v/>
      </c>
      <c r="J1916" s="30">
        <f>IF(I1916="Fri","Ja","")</f>
        <v/>
      </c>
      <c r="K1916" s="30">
        <f>IF(B1916="","",IF(L1916="","Ukjent tekniker",IF(ISNA(MATCH(C1916,Aktiviteter,0)),"Ukjent aktivitet",IF(AND(INDEX(AktRolle,MATCH(C1916,Aktiviteter,0))&amp;""&lt;&gt;"",ISERROR(SEARCH(INDEX(AktRolle,MATCH(C1916,Aktiviteter,0))&amp;"",INDEX(TekRoller,MATCH(B1916,Teknikere,0))))),"Mangler rollen "&amp;INDEX(AktRolle,MATCH(C1916,Aktiviteter,0))&amp;"",IF(AND(C1916="LMS",F1916&gt;0,OR(D1916="",E1916="")),"Mangler maskin eller arbeid",IF(AND(OR(C1916="LMS",C1916="Mod"),D1916&lt;&gt;""),IF(IFERROR(INDEX(MaskinStatus,MATCH(D1916,Maskiner,0)),"")="I dokk","","Maskinen er ikke i dokk"),""))))))</f>
        <v/>
      </c>
      <c r="L1916" s="2">
        <f>IF(B1916="","",IFERROR(INT((MATCH(B1916,Teknikere,0)-1)/18)+1,""))</f>
        <v/>
      </c>
      <c r="M1916" s="2">
        <f>IF(OR(A1916="",B1916=""),"",B1916&amp;"|"&amp;A1916)</f>
        <v/>
      </c>
      <c r="N1916" s="2">
        <f>IF(M1916="","",SUMIFS(TF_Timer,TF_Nokkel,M1916,TF_Akt,C1916))</f>
        <v/>
      </c>
      <c r="O1916" s="2">
        <f>IF(M1916="","",IF(AND(N1916=_xlfn.MAXIFS(TF_AktSum,TF_Nokkel,M1916),COUNTIFS(M$3:M1915,M1916,N$3:N1915,N1916)=0),M1916,""))</f>
        <v/>
      </c>
    </row>
    <row r="1917">
      <c r="A1917" s="34" t="n"/>
      <c r="B1917" s="35" t="n"/>
      <c r="C1917" s="35" t="n"/>
      <c r="D1917" s="35" t="n"/>
      <c r="E1917" s="35" t="n"/>
      <c r="F1917" s="36" t="n"/>
      <c r="G1917" s="35" t="n"/>
      <c r="H1917" s="30">
        <f>IF(L1917="","",INDEX(SkiftNavn,L1917))</f>
        <v/>
      </c>
      <c r="I1917" s="30">
        <f>IF(OR(A1917="",L1917=""),"",IF(MOD(A1917-INDEX(SkiftStart,L1917),Syklus)&lt;DagK,"Kveld",IF(MOD(A1917-INDEX(SkiftStart,L1917),Syklus)&lt;DagK+DagH,"Helg",IF(MOD(A1917-INDEX(SkiftStart,L1917),Syklus)&lt;DagK+DagH+DagD,"Dag","Fri"))))</f>
        <v/>
      </c>
      <c r="J1917" s="30">
        <f>IF(I1917="Fri","Ja","")</f>
        <v/>
      </c>
      <c r="K1917" s="30">
        <f>IF(B1917="","",IF(L1917="","Ukjent tekniker",IF(ISNA(MATCH(C1917,Aktiviteter,0)),"Ukjent aktivitet",IF(AND(INDEX(AktRolle,MATCH(C1917,Aktiviteter,0))&amp;""&lt;&gt;"",ISERROR(SEARCH(INDEX(AktRolle,MATCH(C1917,Aktiviteter,0))&amp;"",INDEX(TekRoller,MATCH(B1917,Teknikere,0))))),"Mangler rollen "&amp;INDEX(AktRolle,MATCH(C1917,Aktiviteter,0))&amp;"",IF(AND(C1917="LMS",F1917&gt;0,OR(D1917="",E1917="")),"Mangler maskin eller arbeid",IF(AND(OR(C1917="LMS",C1917="Mod"),D1917&lt;&gt;""),IF(IFERROR(INDEX(MaskinStatus,MATCH(D1917,Maskiner,0)),"")="I dokk","","Maskinen er ikke i dokk"),""))))))</f>
        <v/>
      </c>
      <c r="L1917" s="2">
        <f>IF(B1917="","",IFERROR(INT((MATCH(B1917,Teknikere,0)-1)/18)+1,""))</f>
        <v/>
      </c>
      <c r="M1917" s="2">
        <f>IF(OR(A1917="",B1917=""),"",B1917&amp;"|"&amp;A1917)</f>
        <v/>
      </c>
      <c r="N1917" s="2">
        <f>IF(M1917="","",SUMIFS(TF_Timer,TF_Nokkel,M1917,TF_Akt,C1917))</f>
        <v/>
      </c>
      <c r="O1917" s="2">
        <f>IF(M1917="","",IF(AND(N1917=_xlfn.MAXIFS(TF_AktSum,TF_Nokkel,M1917),COUNTIFS(M$3:M1916,M1917,N$3:N1916,N1917)=0),M1917,""))</f>
        <v/>
      </c>
    </row>
    <row r="1918">
      <c r="A1918" s="34" t="n"/>
      <c r="B1918" s="35" t="n"/>
      <c r="C1918" s="35" t="n"/>
      <c r="D1918" s="35" t="n"/>
      <c r="E1918" s="35" t="n"/>
      <c r="F1918" s="36" t="n"/>
      <c r="G1918" s="35" t="n"/>
      <c r="H1918" s="30">
        <f>IF(L1918="","",INDEX(SkiftNavn,L1918))</f>
        <v/>
      </c>
      <c r="I1918" s="30">
        <f>IF(OR(A1918="",L1918=""),"",IF(MOD(A1918-INDEX(SkiftStart,L1918),Syklus)&lt;DagK,"Kveld",IF(MOD(A1918-INDEX(SkiftStart,L1918),Syklus)&lt;DagK+DagH,"Helg",IF(MOD(A1918-INDEX(SkiftStart,L1918),Syklus)&lt;DagK+DagH+DagD,"Dag","Fri"))))</f>
        <v/>
      </c>
      <c r="J1918" s="30">
        <f>IF(I1918="Fri","Ja","")</f>
        <v/>
      </c>
      <c r="K1918" s="30">
        <f>IF(B1918="","",IF(L1918="","Ukjent tekniker",IF(ISNA(MATCH(C1918,Aktiviteter,0)),"Ukjent aktivitet",IF(AND(INDEX(AktRolle,MATCH(C1918,Aktiviteter,0))&amp;""&lt;&gt;"",ISERROR(SEARCH(INDEX(AktRolle,MATCH(C1918,Aktiviteter,0))&amp;"",INDEX(TekRoller,MATCH(B1918,Teknikere,0))))),"Mangler rollen "&amp;INDEX(AktRolle,MATCH(C1918,Aktiviteter,0))&amp;"",IF(AND(C1918="LMS",F1918&gt;0,OR(D1918="",E1918="")),"Mangler maskin eller arbeid",IF(AND(OR(C1918="LMS",C1918="Mod"),D1918&lt;&gt;""),IF(IFERROR(INDEX(MaskinStatus,MATCH(D1918,Maskiner,0)),"")="I dokk","","Maskinen er ikke i dokk"),""))))))</f>
        <v/>
      </c>
      <c r="L1918" s="2">
        <f>IF(B1918="","",IFERROR(INT((MATCH(B1918,Teknikere,0)-1)/18)+1,""))</f>
        <v/>
      </c>
      <c r="M1918" s="2">
        <f>IF(OR(A1918="",B1918=""),"",B1918&amp;"|"&amp;A1918)</f>
        <v/>
      </c>
      <c r="N1918" s="2">
        <f>IF(M1918="","",SUMIFS(TF_Timer,TF_Nokkel,M1918,TF_Akt,C1918))</f>
        <v/>
      </c>
      <c r="O1918" s="2">
        <f>IF(M1918="","",IF(AND(N1918=_xlfn.MAXIFS(TF_AktSum,TF_Nokkel,M1918),COUNTIFS(M$3:M1917,M1918,N$3:N1917,N1918)=0),M1918,""))</f>
        <v/>
      </c>
    </row>
    <row r="1919">
      <c r="A1919" s="34" t="n"/>
      <c r="B1919" s="35" t="n"/>
      <c r="C1919" s="35" t="n"/>
      <c r="D1919" s="35" t="n"/>
      <c r="E1919" s="35" t="n"/>
      <c r="F1919" s="36" t="n"/>
      <c r="G1919" s="35" t="n"/>
      <c r="H1919" s="30">
        <f>IF(L1919="","",INDEX(SkiftNavn,L1919))</f>
        <v/>
      </c>
      <c r="I1919" s="30">
        <f>IF(OR(A1919="",L1919=""),"",IF(MOD(A1919-INDEX(SkiftStart,L1919),Syklus)&lt;DagK,"Kveld",IF(MOD(A1919-INDEX(SkiftStart,L1919),Syklus)&lt;DagK+DagH,"Helg",IF(MOD(A1919-INDEX(SkiftStart,L1919),Syklus)&lt;DagK+DagH+DagD,"Dag","Fri"))))</f>
        <v/>
      </c>
      <c r="J1919" s="30">
        <f>IF(I1919="Fri","Ja","")</f>
        <v/>
      </c>
      <c r="K1919" s="30">
        <f>IF(B1919="","",IF(L1919="","Ukjent tekniker",IF(ISNA(MATCH(C1919,Aktiviteter,0)),"Ukjent aktivitet",IF(AND(INDEX(AktRolle,MATCH(C1919,Aktiviteter,0))&amp;""&lt;&gt;"",ISERROR(SEARCH(INDEX(AktRolle,MATCH(C1919,Aktiviteter,0))&amp;"",INDEX(TekRoller,MATCH(B1919,Teknikere,0))))),"Mangler rollen "&amp;INDEX(AktRolle,MATCH(C1919,Aktiviteter,0))&amp;"",IF(AND(C1919="LMS",F1919&gt;0,OR(D1919="",E1919="")),"Mangler maskin eller arbeid",IF(AND(OR(C1919="LMS",C1919="Mod"),D1919&lt;&gt;""),IF(IFERROR(INDEX(MaskinStatus,MATCH(D1919,Maskiner,0)),"")="I dokk","","Maskinen er ikke i dokk"),""))))))</f>
        <v/>
      </c>
      <c r="L1919" s="2">
        <f>IF(B1919="","",IFERROR(INT((MATCH(B1919,Teknikere,0)-1)/18)+1,""))</f>
        <v/>
      </c>
      <c r="M1919" s="2">
        <f>IF(OR(A1919="",B1919=""),"",B1919&amp;"|"&amp;A1919)</f>
        <v/>
      </c>
      <c r="N1919" s="2">
        <f>IF(M1919="","",SUMIFS(TF_Timer,TF_Nokkel,M1919,TF_Akt,C1919))</f>
        <v/>
      </c>
      <c r="O1919" s="2">
        <f>IF(M1919="","",IF(AND(N1919=_xlfn.MAXIFS(TF_AktSum,TF_Nokkel,M1919),COUNTIFS(M$3:M1918,M1919,N$3:N1918,N1919)=0),M1919,""))</f>
        <v/>
      </c>
    </row>
    <row r="1920">
      <c r="A1920" s="34" t="n"/>
      <c r="B1920" s="35" t="n"/>
      <c r="C1920" s="35" t="n"/>
      <c r="D1920" s="35" t="n"/>
      <c r="E1920" s="35" t="n"/>
      <c r="F1920" s="36" t="n"/>
      <c r="G1920" s="35" t="n"/>
      <c r="H1920" s="30">
        <f>IF(L1920="","",INDEX(SkiftNavn,L1920))</f>
        <v/>
      </c>
      <c r="I1920" s="30">
        <f>IF(OR(A1920="",L1920=""),"",IF(MOD(A1920-INDEX(SkiftStart,L1920),Syklus)&lt;DagK,"Kveld",IF(MOD(A1920-INDEX(SkiftStart,L1920),Syklus)&lt;DagK+DagH,"Helg",IF(MOD(A1920-INDEX(SkiftStart,L1920),Syklus)&lt;DagK+DagH+DagD,"Dag","Fri"))))</f>
        <v/>
      </c>
      <c r="J1920" s="30">
        <f>IF(I1920="Fri","Ja","")</f>
        <v/>
      </c>
      <c r="K1920" s="30">
        <f>IF(B1920="","",IF(L1920="","Ukjent tekniker",IF(ISNA(MATCH(C1920,Aktiviteter,0)),"Ukjent aktivitet",IF(AND(INDEX(AktRolle,MATCH(C1920,Aktiviteter,0))&amp;""&lt;&gt;"",ISERROR(SEARCH(INDEX(AktRolle,MATCH(C1920,Aktiviteter,0))&amp;"",INDEX(TekRoller,MATCH(B1920,Teknikere,0))))),"Mangler rollen "&amp;INDEX(AktRolle,MATCH(C1920,Aktiviteter,0))&amp;"",IF(AND(C1920="LMS",F1920&gt;0,OR(D1920="",E1920="")),"Mangler maskin eller arbeid",IF(AND(OR(C1920="LMS",C1920="Mod"),D1920&lt;&gt;""),IF(IFERROR(INDEX(MaskinStatus,MATCH(D1920,Maskiner,0)),"")="I dokk","","Maskinen er ikke i dokk"),""))))))</f>
        <v/>
      </c>
      <c r="L1920" s="2">
        <f>IF(B1920="","",IFERROR(INT((MATCH(B1920,Teknikere,0)-1)/18)+1,""))</f>
        <v/>
      </c>
      <c r="M1920" s="2">
        <f>IF(OR(A1920="",B1920=""),"",B1920&amp;"|"&amp;A1920)</f>
        <v/>
      </c>
      <c r="N1920" s="2">
        <f>IF(M1920="","",SUMIFS(TF_Timer,TF_Nokkel,M1920,TF_Akt,C1920))</f>
        <v/>
      </c>
      <c r="O1920" s="2">
        <f>IF(M1920="","",IF(AND(N1920=_xlfn.MAXIFS(TF_AktSum,TF_Nokkel,M1920),COUNTIFS(M$3:M1919,M1920,N$3:N1919,N1920)=0),M1920,""))</f>
        <v/>
      </c>
    </row>
    <row r="1921">
      <c r="A1921" s="34" t="n"/>
      <c r="B1921" s="35" t="n"/>
      <c r="C1921" s="35" t="n"/>
      <c r="D1921" s="35" t="n"/>
      <c r="E1921" s="35" t="n"/>
      <c r="F1921" s="36" t="n"/>
      <c r="G1921" s="35" t="n"/>
      <c r="H1921" s="30">
        <f>IF(L1921="","",INDEX(SkiftNavn,L1921))</f>
        <v/>
      </c>
      <c r="I1921" s="30">
        <f>IF(OR(A1921="",L1921=""),"",IF(MOD(A1921-INDEX(SkiftStart,L1921),Syklus)&lt;DagK,"Kveld",IF(MOD(A1921-INDEX(SkiftStart,L1921),Syklus)&lt;DagK+DagH,"Helg",IF(MOD(A1921-INDEX(SkiftStart,L1921),Syklus)&lt;DagK+DagH+DagD,"Dag","Fri"))))</f>
        <v/>
      </c>
      <c r="J1921" s="30">
        <f>IF(I1921="Fri","Ja","")</f>
        <v/>
      </c>
      <c r="K1921" s="30">
        <f>IF(B1921="","",IF(L1921="","Ukjent tekniker",IF(ISNA(MATCH(C1921,Aktiviteter,0)),"Ukjent aktivitet",IF(AND(INDEX(AktRolle,MATCH(C1921,Aktiviteter,0))&amp;""&lt;&gt;"",ISERROR(SEARCH(INDEX(AktRolle,MATCH(C1921,Aktiviteter,0))&amp;"",INDEX(TekRoller,MATCH(B1921,Teknikere,0))))),"Mangler rollen "&amp;INDEX(AktRolle,MATCH(C1921,Aktiviteter,0))&amp;"",IF(AND(C1921="LMS",F1921&gt;0,OR(D1921="",E1921="")),"Mangler maskin eller arbeid",IF(AND(OR(C1921="LMS",C1921="Mod"),D1921&lt;&gt;""),IF(IFERROR(INDEX(MaskinStatus,MATCH(D1921,Maskiner,0)),"")="I dokk","","Maskinen er ikke i dokk"),""))))))</f>
        <v/>
      </c>
      <c r="L1921" s="2">
        <f>IF(B1921="","",IFERROR(INT((MATCH(B1921,Teknikere,0)-1)/18)+1,""))</f>
        <v/>
      </c>
      <c r="M1921" s="2">
        <f>IF(OR(A1921="",B1921=""),"",B1921&amp;"|"&amp;A1921)</f>
        <v/>
      </c>
      <c r="N1921" s="2">
        <f>IF(M1921="","",SUMIFS(TF_Timer,TF_Nokkel,M1921,TF_Akt,C1921))</f>
        <v/>
      </c>
      <c r="O1921" s="2">
        <f>IF(M1921="","",IF(AND(N1921=_xlfn.MAXIFS(TF_AktSum,TF_Nokkel,M1921),COUNTIFS(M$3:M1920,M1921,N$3:N1920,N1921)=0),M1921,""))</f>
        <v/>
      </c>
    </row>
    <row r="1922">
      <c r="A1922" s="34" t="n"/>
      <c r="B1922" s="35" t="n"/>
      <c r="C1922" s="35" t="n"/>
      <c r="D1922" s="35" t="n"/>
      <c r="E1922" s="35" t="n"/>
      <c r="F1922" s="36" t="n"/>
      <c r="G1922" s="35" t="n"/>
      <c r="H1922" s="30">
        <f>IF(L1922="","",INDEX(SkiftNavn,L1922))</f>
        <v/>
      </c>
      <c r="I1922" s="30">
        <f>IF(OR(A1922="",L1922=""),"",IF(MOD(A1922-INDEX(SkiftStart,L1922),Syklus)&lt;DagK,"Kveld",IF(MOD(A1922-INDEX(SkiftStart,L1922),Syklus)&lt;DagK+DagH,"Helg",IF(MOD(A1922-INDEX(SkiftStart,L1922),Syklus)&lt;DagK+DagH+DagD,"Dag","Fri"))))</f>
        <v/>
      </c>
      <c r="J1922" s="30">
        <f>IF(I1922="Fri","Ja","")</f>
        <v/>
      </c>
      <c r="K1922" s="30">
        <f>IF(B1922="","",IF(L1922="","Ukjent tekniker",IF(ISNA(MATCH(C1922,Aktiviteter,0)),"Ukjent aktivitet",IF(AND(INDEX(AktRolle,MATCH(C1922,Aktiviteter,0))&amp;""&lt;&gt;"",ISERROR(SEARCH(INDEX(AktRolle,MATCH(C1922,Aktiviteter,0))&amp;"",INDEX(TekRoller,MATCH(B1922,Teknikere,0))))),"Mangler rollen "&amp;INDEX(AktRolle,MATCH(C1922,Aktiviteter,0))&amp;"",IF(AND(C1922="LMS",F1922&gt;0,OR(D1922="",E1922="")),"Mangler maskin eller arbeid",IF(AND(OR(C1922="LMS",C1922="Mod"),D1922&lt;&gt;""),IF(IFERROR(INDEX(MaskinStatus,MATCH(D1922,Maskiner,0)),"")="I dokk","","Maskinen er ikke i dokk"),""))))))</f>
        <v/>
      </c>
      <c r="L1922" s="2">
        <f>IF(B1922="","",IFERROR(INT((MATCH(B1922,Teknikere,0)-1)/18)+1,""))</f>
        <v/>
      </c>
      <c r="M1922" s="2">
        <f>IF(OR(A1922="",B1922=""),"",B1922&amp;"|"&amp;A1922)</f>
        <v/>
      </c>
      <c r="N1922" s="2">
        <f>IF(M1922="","",SUMIFS(TF_Timer,TF_Nokkel,M1922,TF_Akt,C1922))</f>
        <v/>
      </c>
      <c r="O1922" s="2">
        <f>IF(M1922="","",IF(AND(N1922=_xlfn.MAXIFS(TF_AktSum,TF_Nokkel,M1922),COUNTIFS(M$3:M1921,M1922,N$3:N1921,N1922)=0),M1922,""))</f>
        <v/>
      </c>
    </row>
    <row r="1923">
      <c r="A1923" s="34" t="n"/>
      <c r="B1923" s="35" t="n"/>
      <c r="C1923" s="35" t="n"/>
      <c r="D1923" s="35" t="n"/>
      <c r="E1923" s="35" t="n"/>
      <c r="F1923" s="36" t="n"/>
      <c r="G1923" s="35" t="n"/>
      <c r="H1923" s="30">
        <f>IF(L1923="","",INDEX(SkiftNavn,L1923))</f>
        <v/>
      </c>
      <c r="I1923" s="30">
        <f>IF(OR(A1923="",L1923=""),"",IF(MOD(A1923-INDEX(SkiftStart,L1923),Syklus)&lt;DagK,"Kveld",IF(MOD(A1923-INDEX(SkiftStart,L1923),Syklus)&lt;DagK+DagH,"Helg",IF(MOD(A1923-INDEX(SkiftStart,L1923),Syklus)&lt;DagK+DagH+DagD,"Dag","Fri"))))</f>
        <v/>
      </c>
      <c r="J1923" s="30">
        <f>IF(I1923="Fri","Ja","")</f>
        <v/>
      </c>
      <c r="K1923" s="30">
        <f>IF(B1923="","",IF(L1923="","Ukjent tekniker",IF(ISNA(MATCH(C1923,Aktiviteter,0)),"Ukjent aktivitet",IF(AND(INDEX(AktRolle,MATCH(C1923,Aktiviteter,0))&amp;""&lt;&gt;"",ISERROR(SEARCH(INDEX(AktRolle,MATCH(C1923,Aktiviteter,0))&amp;"",INDEX(TekRoller,MATCH(B1923,Teknikere,0))))),"Mangler rollen "&amp;INDEX(AktRolle,MATCH(C1923,Aktiviteter,0))&amp;"",IF(AND(C1923="LMS",F1923&gt;0,OR(D1923="",E1923="")),"Mangler maskin eller arbeid",IF(AND(OR(C1923="LMS",C1923="Mod"),D1923&lt;&gt;""),IF(IFERROR(INDEX(MaskinStatus,MATCH(D1923,Maskiner,0)),"")="I dokk","","Maskinen er ikke i dokk"),""))))))</f>
        <v/>
      </c>
      <c r="L1923" s="2">
        <f>IF(B1923="","",IFERROR(INT((MATCH(B1923,Teknikere,0)-1)/18)+1,""))</f>
        <v/>
      </c>
      <c r="M1923" s="2">
        <f>IF(OR(A1923="",B1923=""),"",B1923&amp;"|"&amp;A1923)</f>
        <v/>
      </c>
      <c r="N1923" s="2">
        <f>IF(M1923="","",SUMIFS(TF_Timer,TF_Nokkel,M1923,TF_Akt,C1923))</f>
        <v/>
      </c>
      <c r="O1923" s="2">
        <f>IF(M1923="","",IF(AND(N1923=_xlfn.MAXIFS(TF_AktSum,TF_Nokkel,M1923),COUNTIFS(M$3:M1922,M1923,N$3:N1922,N1923)=0),M1923,""))</f>
        <v/>
      </c>
    </row>
    <row r="1924">
      <c r="A1924" s="34" t="n"/>
      <c r="B1924" s="35" t="n"/>
      <c r="C1924" s="35" t="n"/>
      <c r="D1924" s="35" t="n"/>
      <c r="E1924" s="35" t="n"/>
      <c r="F1924" s="36" t="n"/>
      <c r="G1924" s="35" t="n"/>
      <c r="H1924" s="30">
        <f>IF(L1924="","",INDEX(SkiftNavn,L1924))</f>
        <v/>
      </c>
      <c r="I1924" s="30">
        <f>IF(OR(A1924="",L1924=""),"",IF(MOD(A1924-INDEX(SkiftStart,L1924),Syklus)&lt;DagK,"Kveld",IF(MOD(A1924-INDEX(SkiftStart,L1924),Syklus)&lt;DagK+DagH,"Helg",IF(MOD(A1924-INDEX(SkiftStart,L1924),Syklus)&lt;DagK+DagH+DagD,"Dag","Fri"))))</f>
        <v/>
      </c>
      <c r="J1924" s="30">
        <f>IF(I1924="Fri","Ja","")</f>
        <v/>
      </c>
      <c r="K1924" s="30">
        <f>IF(B1924="","",IF(L1924="","Ukjent tekniker",IF(ISNA(MATCH(C1924,Aktiviteter,0)),"Ukjent aktivitet",IF(AND(INDEX(AktRolle,MATCH(C1924,Aktiviteter,0))&amp;""&lt;&gt;"",ISERROR(SEARCH(INDEX(AktRolle,MATCH(C1924,Aktiviteter,0))&amp;"",INDEX(TekRoller,MATCH(B1924,Teknikere,0))))),"Mangler rollen "&amp;INDEX(AktRolle,MATCH(C1924,Aktiviteter,0))&amp;"",IF(AND(C1924="LMS",F1924&gt;0,OR(D1924="",E1924="")),"Mangler maskin eller arbeid",IF(AND(OR(C1924="LMS",C1924="Mod"),D1924&lt;&gt;""),IF(IFERROR(INDEX(MaskinStatus,MATCH(D1924,Maskiner,0)),"")="I dokk","","Maskinen er ikke i dokk"),""))))))</f>
        <v/>
      </c>
      <c r="L1924" s="2">
        <f>IF(B1924="","",IFERROR(INT((MATCH(B1924,Teknikere,0)-1)/18)+1,""))</f>
        <v/>
      </c>
      <c r="M1924" s="2">
        <f>IF(OR(A1924="",B1924=""),"",B1924&amp;"|"&amp;A1924)</f>
        <v/>
      </c>
      <c r="N1924" s="2">
        <f>IF(M1924="","",SUMIFS(TF_Timer,TF_Nokkel,M1924,TF_Akt,C1924))</f>
        <v/>
      </c>
      <c r="O1924" s="2">
        <f>IF(M1924="","",IF(AND(N1924=_xlfn.MAXIFS(TF_AktSum,TF_Nokkel,M1924),COUNTIFS(M$3:M1923,M1924,N$3:N1923,N1924)=0),M1924,""))</f>
        <v/>
      </c>
    </row>
    <row r="1925">
      <c r="A1925" s="34" t="n"/>
      <c r="B1925" s="35" t="n"/>
      <c r="C1925" s="35" t="n"/>
      <c r="D1925" s="35" t="n"/>
      <c r="E1925" s="35" t="n"/>
      <c r="F1925" s="36" t="n"/>
      <c r="G1925" s="35" t="n"/>
      <c r="H1925" s="30">
        <f>IF(L1925="","",INDEX(SkiftNavn,L1925))</f>
        <v/>
      </c>
      <c r="I1925" s="30">
        <f>IF(OR(A1925="",L1925=""),"",IF(MOD(A1925-INDEX(SkiftStart,L1925),Syklus)&lt;DagK,"Kveld",IF(MOD(A1925-INDEX(SkiftStart,L1925),Syklus)&lt;DagK+DagH,"Helg",IF(MOD(A1925-INDEX(SkiftStart,L1925),Syklus)&lt;DagK+DagH+DagD,"Dag","Fri"))))</f>
        <v/>
      </c>
      <c r="J1925" s="30">
        <f>IF(I1925="Fri","Ja","")</f>
        <v/>
      </c>
      <c r="K1925" s="30">
        <f>IF(B1925="","",IF(L1925="","Ukjent tekniker",IF(ISNA(MATCH(C1925,Aktiviteter,0)),"Ukjent aktivitet",IF(AND(INDEX(AktRolle,MATCH(C1925,Aktiviteter,0))&amp;""&lt;&gt;"",ISERROR(SEARCH(INDEX(AktRolle,MATCH(C1925,Aktiviteter,0))&amp;"",INDEX(TekRoller,MATCH(B1925,Teknikere,0))))),"Mangler rollen "&amp;INDEX(AktRolle,MATCH(C1925,Aktiviteter,0))&amp;"",IF(AND(C1925="LMS",F1925&gt;0,OR(D1925="",E1925="")),"Mangler maskin eller arbeid",IF(AND(OR(C1925="LMS",C1925="Mod"),D1925&lt;&gt;""),IF(IFERROR(INDEX(MaskinStatus,MATCH(D1925,Maskiner,0)),"")="I dokk","","Maskinen er ikke i dokk"),""))))))</f>
        <v/>
      </c>
      <c r="L1925" s="2">
        <f>IF(B1925="","",IFERROR(INT((MATCH(B1925,Teknikere,0)-1)/18)+1,""))</f>
        <v/>
      </c>
      <c r="M1925" s="2">
        <f>IF(OR(A1925="",B1925=""),"",B1925&amp;"|"&amp;A1925)</f>
        <v/>
      </c>
      <c r="N1925" s="2">
        <f>IF(M1925="","",SUMIFS(TF_Timer,TF_Nokkel,M1925,TF_Akt,C1925))</f>
        <v/>
      </c>
      <c r="O1925" s="2">
        <f>IF(M1925="","",IF(AND(N1925=_xlfn.MAXIFS(TF_AktSum,TF_Nokkel,M1925),COUNTIFS(M$3:M1924,M1925,N$3:N1924,N1925)=0),M1925,""))</f>
        <v/>
      </c>
    </row>
    <row r="1926">
      <c r="A1926" s="34" t="n"/>
      <c r="B1926" s="35" t="n"/>
      <c r="C1926" s="35" t="n"/>
      <c r="D1926" s="35" t="n"/>
      <c r="E1926" s="35" t="n"/>
      <c r="F1926" s="36" t="n"/>
      <c r="G1926" s="35" t="n"/>
      <c r="H1926" s="30">
        <f>IF(L1926="","",INDEX(SkiftNavn,L1926))</f>
        <v/>
      </c>
      <c r="I1926" s="30">
        <f>IF(OR(A1926="",L1926=""),"",IF(MOD(A1926-INDEX(SkiftStart,L1926),Syklus)&lt;DagK,"Kveld",IF(MOD(A1926-INDEX(SkiftStart,L1926),Syklus)&lt;DagK+DagH,"Helg",IF(MOD(A1926-INDEX(SkiftStart,L1926),Syklus)&lt;DagK+DagH+DagD,"Dag","Fri"))))</f>
        <v/>
      </c>
      <c r="J1926" s="30">
        <f>IF(I1926="Fri","Ja","")</f>
        <v/>
      </c>
      <c r="K1926" s="30">
        <f>IF(B1926="","",IF(L1926="","Ukjent tekniker",IF(ISNA(MATCH(C1926,Aktiviteter,0)),"Ukjent aktivitet",IF(AND(INDEX(AktRolle,MATCH(C1926,Aktiviteter,0))&amp;""&lt;&gt;"",ISERROR(SEARCH(INDEX(AktRolle,MATCH(C1926,Aktiviteter,0))&amp;"",INDEX(TekRoller,MATCH(B1926,Teknikere,0))))),"Mangler rollen "&amp;INDEX(AktRolle,MATCH(C1926,Aktiviteter,0))&amp;"",IF(AND(C1926="LMS",F1926&gt;0,OR(D1926="",E1926="")),"Mangler maskin eller arbeid",IF(AND(OR(C1926="LMS",C1926="Mod"),D1926&lt;&gt;""),IF(IFERROR(INDEX(MaskinStatus,MATCH(D1926,Maskiner,0)),"")="I dokk","","Maskinen er ikke i dokk"),""))))))</f>
        <v/>
      </c>
      <c r="L1926" s="2">
        <f>IF(B1926="","",IFERROR(INT((MATCH(B1926,Teknikere,0)-1)/18)+1,""))</f>
        <v/>
      </c>
      <c r="M1926" s="2">
        <f>IF(OR(A1926="",B1926=""),"",B1926&amp;"|"&amp;A1926)</f>
        <v/>
      </c>
      <c r="N1926" s="2">
        <f>IF(M1926="","",SUMIFS(TF_Timer,TF_Nokkel,M1926,TF_Akt,C1926))</f>
        <v/>
      </c>
      <c r="O1926" s="2">
        <f>IF(M1926="","",IF(AND(N1926=_xlfn.MAXIFS(TF_AktSum,TF_Nokkel,M1926),COUNTIFS(M$3:M1925,M1926,N$3:N1925,N1926)=0),M1926,""))</f>
        <v/>
      </c>
    </row>
    <row r="1927">
      <c r="A1927" s="34" t="n"/>
      <c r="B1927" s="35" t="n"/>
      <c r="C1927" s="35" t="n"/>
      <c r="D1927" s="35" t="n"/>
      <c r="E1927" s="35" t="n"/>
      <c r="F1927" s="36" t="n"/>
      <c r="G1927" s="35" t="n"/>
      <c r="H1927" s="30">
        <f>IF(L1927="","",INDEX(SkiftNavn,L1927))</f>
        <v/>
      </c>
      <c r="I1927" s="30">
        <f>IF(OR(A1927="",L1927=""),"",IF(MOD(A1927-INDEX(SkiftStart,L1927),Syklus)&lt;DagK,"Kveld",IF(MOD(A1927-INDEX(SkiftStart,L1927),Syklus)&lt;DagK+DagH,"Helg",IF(MOD(A1927-INDEX(SkiftStart,L1927),Syklus)&lt;DagK+DagH+DagD,"Dag","Fri"))))</f>
        <v/>
      </c>
      <c r="J1927" s="30">
        <f>IF(I1927="Fri","Ja","")</f>
        <v/>
      </c>
      <c r="K1927" s="30">
        <f>IF(B1927="","",IF(L1927="","Ukjent tekniker",IF(ISNA(MATCH(C1927,Aktiviteter,0)),"Ukjent aktivitet",IF(AND(INDEX(AktRolle,MATCH(C1927,Aktiviteter,0))&amp;""&lt;&gt;"",ISERROR(SEARCH(INDEX(AktRolle,MATCH(C1927,Aktiviteter,0))&amp;"",INDEX(TekRoller,MATCH(B1927,Teknikere,0))))),"Mangler rollen "&amp;INDEX(AktRolle,MATCH(C1927,Aktiviteter,0))&amp;"",IF(AND(C1927="LMS",F1927&gt;0,OR(D1927="",E1927="")),"Mangler maskin eller arbeid",IF(AND(OR(C1927="LMS",C1927="Mod"),D1927&lt;&gt;""),IF(IFERROR(INDEX(MaskinStatus,MATCH(D1927,Maskiner,0)),"")="I dokk","","Maskinen er ikke i dokk"),""))))))</f>
        <v/>
      </c>
      <c r="L1927" s="2">
        <f>IF(B1927="","",IFERROR(INT((MATCH(B1927,Teknikere,0)-1)/18)+1,""))</f>
        <v/>
      </c>
      <c r="M1927" s="2">
        <f>IF(OR(A1927="",B1927=""),"",B1927&amp;"|"&amp;A1927)</f>
        <v/>
      </c>
      <c r="N1927" s="2">
        <f>IF(M1927="","",SUMIFS(TF_Timer,TF_Nokkel,M1927,TF_Akt,C1927))</f>
        <v/>
      </c>
      <c r="O1927" s="2">
        <f>IF(M1927="","",IF(AND(N1927=_xlfn.MAXIFS(TF_AktSum,TF_Nokkel,M1927),COUNTIFS(M$3:M1926,M1927,N$3:N1926,N1927)=0),M1927,""))</f>
        <v/>
      </c>
    </row>
    <row r="1928">
      <c r="A1928" s="34" t="n"/>
      <c r="B1928" s="35" t="n"/>
      <c r="C1928" s="35" t="n"/>
      <c r="D1928" s="35" t="n"/>
      <c r="E1928" s="35" t="n"/>
      <c r="F1928" s="36" t="n"/>
      <c r="G1928" s="35" t="n"/>
      <c r="H1928" s="30">
        <f>IF(L1928="","",INDEX(SkiftNavn,L1928))</f>
        <v/>
      </c>
      <c r="I1928" s="30">
        <f>IF(OR(A1928="",L1928=""),"",IF(MOD(A1928-INDEX(SkiftStart,L1928),Syklus)&lt;DagK,"Kveld",IF(MOD(A1928-INDEX(SkiftStart,L1928),Syklus)&lt;DagK+DagH,"Helg",IF(MOD(A1928-INDEX(SkiftStart,L1928),Syklus)&lt;DagK+DagH+DagD,"Dag","Fri"))))</f>
        <v/>
      </c>
      <c r="J1928" s="30">
        <f>IF(I1928="Fri","Ja","")</f>
        <v/>
      </c>
      <c r="K1928" s="30">
        <f>IF(B1928="","",IF(L1928="","Ukjent tekniker",IF(ISNA(MATCH(C1928,Aktiviteter,0)),"Ukjent aktivitet",IF(AND(INDEX(AktRolle,MATCH(C1928,Aktiviteter,0))&amp;""&lt;&gt;"",ISERROR(SEARCH(INDEX(AktRolle,MATCH(C1928,Aktiviteter,0))&amp;"",INDEX(TekRoller,MATCH(B1928,Teknikere,0))))),"Mangler rollen "&amp;INDEX(AktRolle,MATCH(C1928,Aktiviteter,0))&amp;"",IF(AND(C1928="LMS",F1928&gt;0,OR(D1928="",E1928="")),"Mangler maskin eller arbeid",IF(AND(OR(C1928="LMS",C1928="Mod"),D1928&lt;&gt;""),IF(IFERROR(INDEX(MaskinStatus,MATCH(D1928,Maskiner,0)),"")="I dokk","","Maskinen er ikke i dokk"),""))))))</f>
        <v/>
      </c>
      <c r="L1928" s="2">
        <f>IF(B1928="","",IFERROR(INT((MATCH(B1928,Teknikere,0)-1)/18)+1,""))</f>
        <v/>
      </c>
      <c r="M1928" s="2">
        <f>IF(OR(A1928="",B1928=""),"",B1928&amp;"|"&amp;A1928)</f>
        <v/>
      </c>
      <c r="N1928" s="2">
        <f>IF(M1928="","",SUMIFS(TF_Timer,TF_Nokkel,M1928,TF_Akt,C1928))</f>
        <v/>
      </c>
      <c r="O1928" s="2">
        <f>IF(M1928="","",IF(AND(N1928=_xlfn.MAXIFS(TF_AktSum,TF_Nokkel,M1928),COUNTIFS(M$3:M1927,M1928,N$3:N1927,N1928)=0),M1928,""))</f>
        <v/>
      </c>
    </row>
    <row r="1929">
      <c r="A1929" s="34" t="n"/>
      <c r="B1929" s="35" t="n"/>
      <c r="C1929" s="35" t="n"/>
      <c r="D1929" s="35" t="n"/>
      <c r="E1929" s="35" t="n"/>
      <c r="F1929" s="36" t="n"/>
      <c r="G1929" s="35" t="n"/>
      <c r="H1929" s="30">
        <f>IF(L1929="","",INDEX(SkiftNavn,L1929))</f>
        <v/>
      </c>
      <c r="I1929" s="30">
        <f>IF(OR(A1929="",L1929=""),"",IF(MOD(A1929-INDEX(SkiftStart,L1929),Syklus)&lt;DagK,"Kveld",IF(MOD(A1929-INDEX(SkiftStart,L1929),Syklus)&lt;DagK+DagH,"Helg",IF(MOD(A1929-INDEX(SkiftStart,L1929),Syklus)&lt;DagK+DagH+DagD,"Dag","Fri"))))</f>
        <v/>
      </c>
      <c r="J1929" s="30">
        <f>IF(I1929="Fri","Ja","")</f>
        <v/>
      </c>
      <c r="K1929" s="30">
        <f>IF(B1929="","",IF(L1929="","Ukjent tekniker",IF(ISNA(MATCH(C1929,Aktiviteter,0)),"Ukjent aktivitet",IF(AND(INDEX(AktRolle,MATCH(C1929,Aktiviteter,0))&amp;""&lt;&gt;"",ISERROR(SEARCH(INDEX(AktRolle,MATCH(C1929,Aktiviteter,0))&amp;"",INDEX(TekRoller,MATCH(B1929,Teknikere,0))))),"Mangler rollen "&amp;INDEX(AktRolle,MATCH(C1929,Aktiviteter,0))&amp;"",IF(AND(C1929="LMS",F1929&gt;0,OR(D1929="",E1929="")),"Mangler maskin eller arbeid",IF(AND(OR(C1929="LMS",C1929="Mod"),D1929&lt;&gt;""),IF(IFERROR(INDEX(MaskinStatus,MATCH(D1929,Maskiner,0)),"")="I dokk","","Maskinen er ikke i dokk"),""))))))</f>
        <v/>
      </c>
      <c r="L1929" s="2">
        <f>IF(B1929="","",IFERROR(INT((MATCH(B1929,Teknikere,0)-1)/18)+1,""))</f>
        <v/>
      </c>
      <c r="M1929" s="2">
        <f>IF(OR(A1929="",B1929=""),"",B1929&amp;"|"&amp;A1929)</f>
        <v/>
      </c>
      <c r="N1929" s="2">
        <f>IF(M1929="","",SUMIFS(TF_Timer,TF_Nokkel,M1929,TF_Akt,C1929))</f>
        <v/>
      </c>
      <c r="O1929" s="2">
        <f>IF(M1929="","",IF(AND(N1929=_xlfn.MAXIFS(TF_AktSum,TF_Nokkel,M1929),COUNTIFS(M$3:M1928,M1929,N$3:N1928,N1929)=0),M1929,""))</f>
        <v/>
      </c>
    </row>
    <row r="1930">
      <c r="A1930" s="34" t="n"/>
      <c r="B1930" s="35" t="n"/>
      <c r="C1930" s="35" t="n"/>
      <c r="D1930" s="35" t="n"/>
      <c r="E1930" s="35" t="n"/>
      <c r="F1930" s="36" t="n"/>
      <c r="G1930" s="35" t="n"/>
      <c r="H1930" s="30">
        <f>IF(L1930="","",INDEX(SkiftNavn,L1930))</f>
        <v/>
      </c>
      <c r="I1930" s="30">
        <f>IF(OR(A1930="",L1930=""),"",IF(MOD(A1930-INDEX(SkiftStart,L1930),Syklus)&lt;DagK,"Kveld",IF(MOD(A1930-INDEX(SkiftStart,L1930),Syklus)&lt;DagK+DagH,"Helg",IF(MOD(A1930-INDEX(SkiftStart,L1930),Syklus)&lt;DagK+DagH+DagD,"Dag","Fri"))))</f>
        <v/>
      </c>
      <c r="J1930" s="30">
        <f>IF(I1930="Fri","Ja","")</f>
        <v/>
      </c>
      <c r="K1930" s="30">
        <f>IF(B1930="","",IF(L1930="","Ukjent tekniker",IF(ISNA(MATCH(C1930,Aktiviteter,0)),"Ukjent aktivitet",IF(AND(INDEX(AktRolle,MATCH(C1930,Aktiviteter,0))&amp;""&lt;&gt;"",ISERROR(SEARCH(INDEX(AktRolle,MATCH(C1930,Aktiviteter,0))&amp;"",INDEX(TekRoller,MATCH(B1930,Teknikere,0))))),"Mangler rollen "&amp;INDEX(AktRolle,MATCH(C1930,Aktiviteter,0))&amp;"",IF(AND(C1930="LMS",F1930&gt;0,OR(D1930="",E1930="")),"Mangler maskin eller arbeid",IF(AND(OR(C1930="LMS",C1930="Mod"),D1930&lt;&gt;""),IF(IFERROR(INDEX(MaskinStatus,MATCH(D1930,Maskiner,0)),"")="I dokk","","Maskinen er ikke i dokk"),""))))))</f>
        <v/>
      </c>
      <c r="L1930" s="2">
        <f>IF(B1930="","",IFERROR(INT((MATCH(B1930,Teknikere,0)-1)/18)+1,""))</f>
        <v/>
      </c>
      <c r="M1930" s="2">
        <f>IF(OR(A1930="",B1930=""),"",B1930&amp;"|"&amp;A1930)</f>
        <v/>
      </c>
      <c r="N1930" s="2">
        <f>IF(M1930="","",SUMIFS(TF_Timer,TF_Nokkel,M1930,TF_Akt,C1930))</f>
        <v/>
      </c>
      <c r="O1930" s="2">
        <f>IF(M1930="","",IF(AND(N1930=_xlfn.MAXIFS(TF_AktSum,TF_Nokkel,M1930),COUNTIFS(M$3:M1929,M1930,N$3:N1929,N1930)=0),M1930,""))</f>
        <v/>
      </c>
    </row>
    <row r="1931">
      <c r="A1931" s="34" t="n"/>
      <c r="B1931" s="35" t="n"/>
      <c r="C1931" s="35" t="n"/>
      <c r="D1931" s="35" t="n"/>
      <c r="E1931" s="35" t="n"/>
      <c r="F1931" s="36" t="n"/>
      <c r="G1931" s="35" t="n"/>
      <c r="H1931" s="30">
        <f>IF(L1931="","",INDEX(SkiftNavn,L1931))</f>
        <v/>
      </c>
      <c r="I1931" s="30">
        <f>IF(OR(A1931="",L1931=""),"",IF(MOD(A1931-INDEX(SkiftStart,L1931),Syklus)&lt;DagK,"Kveld",IF(MOD(A1931-INDEX(SkiftStart,L1931),Syklus)&lt;DagK+DagH,"Helg",IF(MOD(A1931-INDEX(SkiftStart,L1931),Syklus)&lt;DagK+DagH+DagD,"Dag","Fri"))))</f>
        <v/>
      </c>
      <c r="J1931" s="30">
        <f>IF(I1931="Fri","Ja","")</f>
        <v/>
      </c>
      <c r="K1931" s="30">
        <f>IF(B1931="","",IF(L1931="","Ukjent tekniker",IF(ISNA(MATCH(C1931,Aktiviteter,0)),"Ukjent aktivitet",IF(AND(INDEX(AktRolle,MATCH(C1931,Aktiviteter,0))&amp;""&lt;&gt;"",ISERROR(SEARCH(INDEX(AktRolle,MATCH(C1931,Aktiviteter,0))&amp;"",INDEX(TekRoller,MATCH(B1931,Teknikere,0))))),"Mangler rollen "&amp;INDEX(AktRolle,MATCH(C1931,Aktiviteter,0))&amp;"",IF(AND(C1931="LMS",F1931&gt;0,OR(D1931="",E1931="")),"Mangler maskin eller arbeid",IF(AND(OR(C1931="LMS",C1931="Mod"),D1931&lt;&gt;""),IF(IFERROR(INDEX(MaskinStatus,MATCH(D1931,Maskiner,0)),"")="I dokk","","Maskinen er ikke i dokk"),""))))))</f>
        <v/>
      </c>
      <c r="L1931" s="2">
        <f>IF(B1931="","",IFERROR(INT((MATCH(B1931,Teknikere,0)-1)/18)+1,""))</f>
        <v/>
      </c>
      <c r="M1931" s="2">
        <f>IF(OR(A1931="",B1931=""),"",B1931&amp;"|"&amp;A1931)</f>
        <v/>
      </c>
      <c r="N1931" s="2">
        <f>IF(M1931="","",SUMIFS(TF_Timer,TF_Nokkel,M1931,TF_Akt,C1931))</f>
        <v/>
      </c>
      <c r="O1931" s="2">
        <f>IF(M1931="","",IF(AND(N1931=_xlfn.MAXIFS(TF_AktSum,TF_Nokkel,M1931),COUNTIFS(M$3:M1930,M1931,N$3:N1930,N1931)=0),M1931,""))</f>
        <v/>
      </c>
    </row>
    <row r="1932">
      <c r="A1932" s="34" t="n"/>
      <c r="B1932" s="35" t="n"/>
      <c r="C1932" s="35" t="n"/>
      <c r="D1932" s="35" t="n"/>
      <c r="E1932" s="35" t="n"/>
      <c r="F1932" s="36" t="n"/>
      <c r="G1932" s="35" t="n"/>
      <c r="H1932" s="30">
        <f>IF(L1932="","",INDEX(SkiftNavn,L1932))</f>
        <v/>
      </c>
      <c r="I1932" s="30">
        <f>IF(OR(A1932="",L1932=""),"",IF(MOD(A1932-INDEX(SkiftStart,L1932),Syklus)&lt;DagK,"Kveld",IF(MOD(A1932-INDEX(SkiftStart,L1932),Syklus)&lt;DagK+DagH,"Helg",IF(MOD(A1932-INDEX(SkiftStart,L1932),Syklus)&lt;DagK+DagH+DagD,"Dag","Fri"))))</f>
        <v/>
      </c>
      <c r="J1932" s="30">
        <f>IF(I1932="Fri","Ja","")</f>
        <v/>
      </c>
      <c r="K1932" s="30">
        <f>IF(B1932="","",IF(L1932="","Ukjent tekniker",IF(ISNA(MATCH(C1932,Aktiviteter,0)),"Ukjent aktivitet",IF(AND(INDEX(AktRolle,MATCH(C1932,Aktiviteter,0))&amp;""&lt;&gt;"",ISERROR(SEARCH(INDEX(AktRolle,MATCH(C1932,Aktiviteter,0))&amp;"",INDEX(TekRoller,MATCH(B1932,Teknikere,0))))),"Mangler rollen "&amp;INDEX(AktRolle,MATCH(C1932,Aktiviteter,0))&amp;"",IF(AND(C1932="LMS",F1932&gt;0,OR(D1932="",E1932="")),"Mangler maskin eller arbeid",IF(AND(OR(C1932="LMS",C1932="Mod"),D1932&lt;&gt;""),IF(IFERROR(INDEX(MaskinStatus,MATCH(D1932,Maskiner,0)),"")="I dokk","","Maskinen er ikke i dokk"),""))))))</f>
        <v/>
      </c>
      <c r="L1932" s="2">
        <f>IF(B1932="","",IFERROR(INT((MATCH(B1932,Teknikere,0)-1)/18)+1,""))</f>
        <v/>
      </c>
      <c r="M1932" s="2">
        <f>IF(OR(A1932="",B1932=""),"",B1932&amp;"|"&amp;A1932)</f>
        <v/>
      </c>
      <c r="N1932" s="2">
        <f>IF(M1932="","",SUMIFS(TF_Timer,TF_Nokkel,M1932,TF_Akt,C1932))</f>
        <v/>
      </c>
      <c r="O1932" s="2">
        <f>IF(M1932="","",IF(AND(N1932=_xlfn.MAXIFS(TF_AktSum,TF_Nokkel,M1932),COUNTIFS(M$3:M1931,M1932,N$3:N1931,N1932)=0),M1932,""))</f>
        <v/>
      </c>
    </row>
    <row r="1933">
      <c r="A1933" s="34" t="n"/>
      <c r="B1933" s="35" t="n"/>
      <c r="C1933" s="35" t="n"/>
      <c r="D1933" s="35" t="n"/>
      <c r="E1933" s="35" t="n"/>
      <c r="F1933" s="36" t="n"/>
      <c r="G1933" s="35" t="n"/>
      <c r="H1933" s="30">
        <f>IF(L1933="","",INDEX(SkiftNavn,L1933))</f>
        <v/>
      </c>
      <c r="I1933" s="30">
        <f>IF(OR(A1933="",L1933=""),"",IF(MOD(A1933-INDEX(SkiftStart,L1933),Syklus)&lt;DagK,"Kveld",IF(MOD(A1933-INDEX(SkiftStart,L1933),Syklus)&lt;DagK+DagH,"Helg",IF(MOD(A1933-INDEX(SkiftStart,L1933),Syklus)&lt;DagK+DagH+DagD,"Dag","Fri"))))</f>
        <v/>
      </c>
      <c r="J1933" s="30">
        <f>IF(I1933="Fri","Ja","")</f>
        <v/>
      </c>
      <c r="K1933" s="30">
        <f>IF(B1933="","",IF(L1933="","Ukjent tekniker",IF(ISNA(MATCH(C1933,Aktiviteter,0)),"Ukjent aktivitet",IF(AND(INDEX(AktRolle,MATCH(C1933,Aktiviteter,0))&amp;""&lt;&gt;"",ISERROR(SEARCH(INDEX(AktRolle,MATCH(C1933,Aktiviteter,0))&amp;"",INDEX(TekRoller,MATCH(B1933,Teknikere,0))))),"Mangler rollen "&amp;INDEX(AktRolle,MATCH(C1933,Aktiviteter,0))&amp;"",IF(AND(C1933="LMS",F1933&gt;0,OR(D1933="",E1933="")),"Mangler maskin eller arbeid",IF(AND(OR(C1933="LMS",C1933="Mod"),D1933&lt;&gt;""),IF(IFERROR(INDEX(MaskinStatus,MATCH(D1933,Maskiner,0)),"")="I dokk","","Maskinen er ikke i dokk"),""))))))</f>
        <v/>
      </c>
      <c r="L1933" s="2">
        <f>IF(B1933="","",IFERROR(INT((MATCH(B1933,Teknikere,0)-1)/18)+1,""))</f>
        <v/>
      </c>
      <c r="M1933" s="2">
        <f>IF(OR(A1933="",B1933=""),"",B1933&amp;"|"&amp;A1933)</f>
        <v/>
      </c>
      <c r="N1933" s="2">
        <f>IF(M1933="","",SUMIFS(TF_Timer,TF_Nokkel,M1933,TF_Akt,C1933))</f>
        <v/>
      </c>
      <c r="O1933" s="2">
        <f>IF(M1933="","",IF(AND(N1933=_xlfn.MAXIFS(TF_AktSum,TF_Nokkel,M1933),COUNTIFS(M$3:M1932,M1933,N$3:N1932,N1933)=0),M1933,""))</f>
        <v/>
      </c>
    </row>
    <row r="1934">
      <c r="A1934" s="34" t="n"/>
      <c r="B1934" s="35" t="n"/>
      <c r="C1934" s="35" t="n"/>
      <c r="D1934" s="35" t="n"/>
      <c r="E1934" s="35" t="n"/>
      <c r="F1934" s="36" t="n"/>
      <c r="G1934" s="35" t="n"/>
      <c r="H1934" s="30">
        <f>IF(L1934="","",INDEX(SkiftNavn,L1934))</f>
        <v/>
      </c>
      <c r="I1934" s="30">
        <f>IF(OR(A1934="",L1934=""),"",IF(MOD(A1934-INDEX(SkiftStart,L1934),Syklus)&lt;DagK,"Kveld",IF(MOD(A1934-INDEX(SkiftStart,L1934),Syklus)&lt;DagK+DagH,"Helg",IF(MOD(A1934-INDEX(SkiftStart,L1934),Syklus)&lt;DagK+DagH+DagD,"Dag","Fri"))))</f>
        <v/>
      </c>
      <c r="J1934" s="30">
        <f>IF(I1934="Fri","Ja","")</f>
        <v/>
      </c>
      <c r="K1934" s="30">
        <f>IF(B1934="","",IF(L1934="","Ukjent tekniker",IF(ISNA(MATCH(C1934,Aktiviteter,0)),"Ukjent aktivitet",IF(AND(INDEX(AktRolle,MATCH(C1934,Aktiviteter,0))&amp;""&lt;&gt;"",ISERROR(SEARCH(INDEX(AktRolle,MATCH(C1934,Aktiviteter,0))&amp;"",INDEX(TekRoller,MATCH(B1934,Teknikere,0))))),"Mangler rollen "&amp;INDEX(AktRolle,MATCH(C1934,Aktiviteter,0))&amp;"",IF(AND(C1934="LMS",F1934&gt;0,OR(D1934="",E1934="")),"Mangler maskin eller arbeid",IF(AND(OR(C1934="LMS",C1934="Mod"),D1934&lt;&gt;""),IF(IFERROR(INDEX(MaskinStatus,MATCH(D1934,Maskiner,0)),"")="I dokk","","Maskinen er ikke i dokk"),""))))))</f>
        <v/>
      </c>
      <c r="L1934" s="2">
        <f>IF(B1934="","",IFERROR(INT((MATCH(B1934,Teknikere,0)-1)/18)+1,""))</f>
        <v/>
      </c>
      <c r="M1934" s="2">
        <f>IF(OR(A1934="",B1934=""),"",B1934&amp;"|"&amp;A1934)</f>
        <v/>
      </c>
      <c r="N1934" s="2">
        <f>IF(M1934="","",SUMIFS(TF_Timer,TF_Nokkel,M1934,TF_Akt,C1934))</f>
        <v/>
      </c>
      <c r="O1934" s="2">
        <f>IF(M1934="","",IF(AND(N1934=_xlfn.MAXIFS(TF_AktSum,TF_Nokkel,M1934),COUNTIFS(M$3:M1933,M1934,N$3:N1933,N1934)=0),M1934,""))</f>
        <v/>
      </c>
    </row>
    <row r="1935">
      <c r="A1935" s="34" t="n"/>
      <c r="B1935" s="35" t="n"/>
      <c r="C1935" s="35" t="n"/>
      <c r="D1935" s="35" t="n"/>
      <c r="E1935" s="35" t="n"/>
      <c r="F1935" s="36" t="n"/>
      <c r="G1935" s="35" t="n"/>
      <c r="H1935" s="30">
        <f>IF(L1935="","",INDEX(SkiftNavn,L1935))</f>
        <v/>
      </c>
      <c r="I1935" s="30">
        <f>IF(OR(A1935="",L1935=""),"",IF(MOD(A1935-INDEX(SkiftStart,L1935),Syklus)&lt;DagK,"Kveld",IF(MOD(A1935-INDEX(SkiftStart,L1935),Syklus)&lt;DagK+DagH,"Helg",IF(MOD(A1935-INDEX(SkiftStart,L1935),Syklus)&lt;DagK+DagH+DagD,"Dag","Fri"))))</f>
        <v/>
      </c>
      <c r="J1935" s="30">
        <f>IF(I1935="Fri","Ja","")</f>
        <v/>
      </c>
      <c r="K1935" s="30">
        <f>IF(B1935="","",IF(L1935="","Ukjent tekniker",IF(ISNA(MATCH(C1935,Aktiviteter,0)),"Ukjent aktivitet",IF(AND(INDEX(AktRolle,MATCH(C1935,Aktiviteter,0))&amp;""&lt;&gt;"",ISERROR(SEARCH(INDEX(AktRolle,MATCH(C1935,Aktiviteter,0))&amp;"",INDEX(TekRoller,MATCH(B1935,Teknikere,0))))),"Mangler rollen "&amp;INDEX(AktRolle,MATCH(C1935,Aktiviteter,0))&amp;"",IF(AND(C1935="LMS",F1935&gt;0,OR(D1935="",E1935="")),"Mangler maskin eller arbeid",IF(AND(OR(C1935="LMS",C1935="Mod"),D1935&lt;&gt;""),IF(IFERROR(INDEX(MaskinStatus,MATCH(D1935,Maskiner,0)),"")="I dokk","","Maskinen er ikke i dokk"),""))))))</f>
        <v/>
      </c>
      <c r="L1935" s="2">
        <f>IF(B1935="","",IFERROR(INT((MATCH(B1935,Teknikere,0)-1)/18)+1,""))</f>
        <v/>
      </c>
      <c r="M1935" s="2">
        <f>IF(OR(A1935="",B1935=""),"",B1935&amp;"|"&amp;A1935)</f>
        <v/>
      </c>
      <c r="N1935" s="2">
        <f>IF(M1935="","",SUMIFS(TF_Timer,TF_Nokkel,M1935,TF_Akt,C1935))</f>
        <v/>
      </c>
      <c r="O1935" s="2">
        <f>IF(M1935="","",IF(AND(N1935=_xlfn.MAXIFS(TF_AktSum,TF_Nokkel,M1935),COUNTIFS(M$3:M1934,M1935,N$3:N1934,N1935)=0),M1935,""))</f>
        <v/>
      </c>
    </row>
    <row r="1936">
      <c r="A1936" s="34" t="n"/>
      <c r="B1936" s="35" t="n"/>
      <c r="C1936" s="35" t="n"/>
      <c r="D1936" s="35" t="n"/>
      <c r="E1936" s="35" t="n"/>
      <c r="F1936" s="36" t="n"/>
      <c r="G1936" s="35" t="n"/>
      <c r="H1936" s="30">
        <f>IF(L1936="","",INDEX(SkiftNavn,L1936))</f>
        <v/>
      </c>
      <c r="I1936" s="30">
        <f>IF(OR(A1936="",L1936=""),"",IF(MOD(A1936-INDEX(SkiftStart,L1936),Syklus)&lt;DagK,"Kveld",IF(MOD(A1936-INDEX(SkiftStart,L1936),Syklus)&lt;DagK+DagH,"Helg",IF(MOD(A1936-INDEX(SkiftStart,L1936),Syklus)&lt;DagK+DagH+DagD,"Dag","Fri"))))</f>
        <v/>
      </c>
      <c r="J1936" s="30">
        <f>IF(I1936="Fri","Ja","")</f>
        <v/>
      </c>
      <c r="K1936" s="30">
        <f>IF(B1936="","",IF(L1936="","Ukjent tekniker",IF(ISNA(MATCH(C1936,Aktiviteter,0)),"Ukjent aktivitet",IF(AND(INDEX(AktRolle,MATCH(C1936,Aktiviteter,0))&amp;""&lt;&gt;"",ISERROR(SEARCH(INDEX(AktRolle,MATCH(C1936,Aktiviteter,0))&amp;"",INDEX(TekRoller,MATCH(B1936,Teknikere,0))))),"Mangler rollen "&amp;INDEX(AktRolle,MATCH(C1936,Aktiviteter,0))&amp;"",IF(AND(C1936="LMS",F1936&gt;0,OR(D1936="",E1936="")),"Mangler maskin eller arbeid",IF(AND(OR(C1936="LMS",C1936="Mod"),D1936&lt;&gt;""),IF(IFERROR(INDEX(MaskinStatus,MATCH(D1936,Maskiner,0)),"")="I dokk","","Maskinen er ikke i dokk"),""))))))</f>
        <v/>
      </c>
      <c r="L1936" s="2">
        <f>IF(B1936="","",IFERROR(INT((MATCH(B1936,Teknikere,0)-1)/18)+1,""))</f>
        <v/>
      </c>
      <c r="M1936" s="2">
        <f>IF(OR(A1936="",B1936=""),"",B1936&amp;"|"&amp;A1936)</f>
        <v/>
      </c>
      <c r="N1936" s="2">
        <f>IF(M1936="","",SUMIFS(TF_Timer,TF_Nokkel,M1936,TF_Akt,C1936))</f>
        <v/>
      </c>
      <c r="O1936" s="2">
        <f>IF(M1936="","",IF(AND(N1936=_xlfn.MAXIFS(TF_AktSum,TF_Nokkel,M1936),COUNTIFS(M$3:M1935,M1936,N$3:N1935,N1936)=0),M1936,""))</f>
        <v/>
      </c>
    </row>
    <row r="1937">
      <c r="A1937" s="34" t="n"/>
      <c r="B1937" s="35" t="n"/>
      <c r="C1937" s="35" t="n"/>
      <c r="D1937" s="35" t="n"/>
      <c r="E1937" s="35" t="n"/>
      <c r="F1937" s="36" t="n"/>
      <c r="G1937" s="35" t="n"/>
      <c r="H1937" s="30">
        <f>IF(L1937="","",INDEX(SkiftNavn,L1937))</f>
        <v/>
      </c>
      <c r="I1937" s="30">
        <f>IF(OR(A1937="",L1937=""),"",IF(MOD(A1937-INDEX(SkiftStart,L1937),Syklus)&lt;DagK,"Kveld",IF(MOD(A1937-INDEX(SkiftStart,L1937),Syklus)&lt;DagK+DagH,"Helg",IF(MOD(A1937-INDEX(SkiftStart,L1937),Syklus)&lt;DagK+DagH+DagD,"Dag","Fri"))))</f>
        <v/>
      </c>
      <c r="J1937" s="30">
        <f>IF(I1937="Fri","Ja","")</f>
        <v/>
      </c>
      <c r="K1937" s="30">
        <f>IF(B1937="","",IF(L1937="","Ukjent tekniker",IF(ISNA(MATCH(C1937,Aktiviteter,0)),"Ukjent aktivitet",IF(AND(INDEX(AktRolle,MATCH(C1937,Aktiviteter,0))&amp;""&lt;&gt;"",ISERROR(SEARCH(INDEX(AktRolle,MATCH(C1937,Aktiviteter,0))&amp;"",INDEX(TekRoller,MATCH(B1937,Teknikere,0))))),"Mangler rollen "&amp;INDEX(AktRolle,MATCH(C1937,Aktiviteter,0))&amp;"",IF(AND(C1937="LMS",F1937&gt;0,OR(D1937="",E1937="")),"Mangler maskin eller arbeid",IF(AND(OR(C1937="LMS",C1937="Mod"),D1937&lt;&gt;""),IF(IFERROR(INDEX(MaskinStatus,MATCH(D1937,Maskiner,0)),"")="I dokk","","Maskinen er ikke i dokk"),""))))))</f>
        <v/>
      </c>
      <c r="L1937" s="2">
        <f>IF(B1937="","",IFERROR(INT((MATCH(B1937,Teknikere,0)-1)/18)+1,""))</f>
        <v/>
      </c>
      <c r="M1937" s="2">
        <f>IF(OR(A1937="",B1937=""),"",B1937&amp;"|"&amp;A1937)</f>
        <v/>
      </c>
      <c r="N1937" s="2">
        <f>IF(M1937="","",SUMIFS(TF_Timer,TF_Nokkel,M1937,TF_Akt,C1937))</f>
        <v/>
      </c>
      <c r="O1937" s="2">
        <f>IF(M1937="","",IF(AND(N1937=_xlfn.MAXIFS(TF_AktSum,TF_Nokkel,M1937),COUNTIFS(M$3:M1936,M1937,N$3:N1936,N1937)=0),M1937,""))</f>
        <v/>
      </c>
    </row>
    <row r="1938">
      <c r="A1938" s="34" t="n"/>
      <c r="B1938" s="35" t="n"/>
      <c r="C1938" s="35" t="n"/>
      <c r="D1938" s="35" t="n"/>
      <c r="E1938" s="35" t="n"/>
      <c r="F1938" s="36" t="n"/>
      <c r="G1938" s="35" t="n"/>
      <c r="H1938" s="30">
        <f>IF(L1938="","",INDEX(SkiftNavn,L1938))</f>
        <v/>
      </c>
      <c r="I1938" s="30">
        <f>IF(OR(A1938="",L1938=""),"",IF(MOD(A1938-INDEX(SkiftStart,L1938),Syklus)&lt;DagK,"Kveld",IF(MOD(A1938-INDEX(SkiftStart,L1938),Syklus)&lt;DagK+DagH,"Helg",IF(MOD(A1938-INDEX(SkiftStart,L1938),Syklus)&lt;DagK+DagH+DagD,"Dag","Fri"))))</f>
        <v/>
      </c>
      <c r="J1938" s="30">
        <f>IF(I1938="Fri","Ja","")</f>
        <v/>
      </c>
      <c r="K1938" s="30">
        <f>IF(B1938="","",IF(L1938="","Ukjent tekniker",IF(ISNA(MATCH(C1938,Aktiviteter,0)),"Ukjent aktivitet",IF(AND(INDEX(AktRolle,MATCH(C1938,Aktiviteter,0))&amp;""&lt;&gt;"",ISERROR(SEARCH(INDEX(AktRolle,MATCH(C1938,Aktiviteter,0))&amp;"",INDEX(TekRoller,MATCH(B1938,Teknikere,0))))),"Mangler rollen "&amp;INDEX(AktRolle,MATCH(C1938,Aktiviteter,0))&amp;"",IF(AND(C1938="LMS",F1938&gt;0,OR(D1938="",E1938="")),"Mangler maskin eller arbeid",IF(AND(OR(C1938="LMS",C1938="Mod"),D1938&lt;&gt;""),IF(IFERROR(INDEX(MaskinStatus,MATCH(D1938,Maskiner,0)),"")="I dokk","","Maskinen er ikke i dokk"),""))))))</f>
        <v/>
      </c>
      <c r="L1938" s="2">
        <f>IF(B1938="","",IFERROR(INT((MATCH(B1938,Teknikere,0)-1)/18)+1,""))</f>
        <v/>
      </c>
      <c r="M1938" s="2">
        <f>IF(OR(A1938="",B1938=""),"",B1938&amp;"|"&amp;A1938)</f>
        <v/>
      </c>
      <c r="N1938" s="2">
        <f>IF(M1938="","",SUMIFS(TF_Timer,TF_Nokkel,M1938,TF_Akt,C1938))</f>
        <v/>
      </c>
      <c r="O1938" s="2">
        <f>IF(M1938="","",IF(AND(N1938=_xlfn.MAXIFS(TF_AktSum,TF_Nokkel,M1938),COUNTIFS(M$3:M1937,M1938,N$3:N1937,N1938)=0),M1938,""))</f>
        <v/>
      </c>
    </row>
    <row r="1939">
      <c r="A1939" s="34" t="n"/>
      <c r="B1939" s="35" t="n"/>
      <c r="C1939" s="35" t="n"/>
      <c r="D1939" s="35" t="n"/>
      <c r="E1939" s="35" t="n"/>
      <c r="F1939" s="36" t="n"/>
      <c r="G1939" s="35" t="n"/>
      <c r="H1939" s="30">
        <f>IF(L1939="","",INDEX(SkiftNavn,L1939))</f>
        <v/>
      </c>
      <c r="I1939" s="30">
        <f>IF(OR(A1939="",L1939=""),"",IF(MOD(A1939-INDEX(SkiftStart,L1939),Syklus)&lt;DagK,"Kveld",IF(MOD(A1939-INDEX(SkiftStart,L1939),Syklus)&lt;DagK+DagH,"Helg",IF(MOD(A1939-INDEX(SkiftStart,L1939),Syklus)&lt;DagK+DagH+DagD,"Dag","Fri"))))</f>
        <v/>
      </c>
      <c r="J1939" s="30">
        <f>IF(I1939="Fri","Ja","")</f>
        <v/>
      </c>
      <c r="K1939" s="30">
        <f>IF(B1939="","",IF(L1939="","Ukjent tekniker",IF(ISNA(MATCH(C1939,Aktiviteter,0)),"Ukjent aktivitet",IF(AND(INDEX(AktRolle,MATCH(C1939,Aktiviteter,0))&amp;""&lt;&gt;"",ISERROR(SEARCH(INDEX(AktRolle,MATCH(C1939,Aktiviteter,0))&amp;"",INDEX(TekRoller,MATCH(B1939,Teknikere,0))))),"Mangler rollen "&amp;INDEX(AktRolle,MATCH(C1939,Aktiviteter,0))&amp;"",IF(AND(C1939="LMS",F1939&gt;0,OR(D1939="",E1939="")),"Mangler maskin eller arbeid",IF(AND(OR(C1939="LMS",C1939="Mod"),D1939&lt;&gt;""),IF(IFERROR(INDEX(MaskinStatus,MATCH(D1939,Maskiner,0)),"")="I dokk","","Maskinen er ikke i dokk"),""))))))</f>
        <v/>
      </c>
      <c r="L1939" s="2">
        <f>IF(B1939="","",IFERROR(INT((MATCH(B1939,Teknikere,0)-1)/18)+1,""))</f>
        <v/>
      </c>
      <c r="M1939" s="2">
        <f>IF(OR(A1939="",B1939=""),"",B1939&amp;"|"&amp;A1939)</f>
        <v/>
      </c>
      <c r="N1939" s="2">
        <f>IF(M1939="","",SUMIFS(TF_Timer,TF_Nokkel,M1939,TF_Akt,C1939))</f>
        <v/>
      </c>
      <c r="O1939" s="2">
        <f>IF(M1939="","",IF(AND(N1939=_xlfn.MAXIFS(TF_AktSum,TF_Nokkel,M1939),COUNTIFS(M$3:M1938,M1939,N$3:N1938,N1939)=0),M1939,""))</f>
        <v/>
      </c>
    </row>
    <row r="1940">
      <c r="A1940" s="34" t="n"/>
      <c r="B1940" s="35" t="n"/>
      <c r="C1940" s="35" t="n"/>
      <c r="D1940" s="35" t="n"/>
      <c r="E1940" s="35" t="n"/>
      <c r="F1940" s="36" t="n"/>
      <c r="G1940" s="35" t="n"/>
      <c r="H1940" s="30">
        <f>IF(L1940="","",INDEX(SkiftNavn,L1940))</f>
        <v/>
      </c>
      <c r="I1940" s="30">
        <f>IF(OR(A1940="",L1940=""),"",IF(MOD(A1940-INDEX(SkiftStart,L1940),Syklus)&lt;DagK,"Kveld",IF(MOD(A1940-INDEX(SkiftStart,L1940),Syklus)&lt;DagK+DagH,"Helg",IF(MOD(A1940-INDEX(SkiftStart,L1940),Syklus)&lt;DagK+DagH+DagD,"Dag","Fri"))))</f>
        <v/>
      </c>
      <c r="J1940" s="30">
        <f>IF(I1940="Fri","Ja","")</f>
        <v/>
      </c>
      <c r="K1940" s="30">
        <f>IF(B1940="","",IF(L1940="","Ukjent tekniker",IF(ISNA(MATCH(C1940,Aktiviteter,0)),"Ukjent aktivitet",IF(AND(INDEX(AktRolle,MATCH(C1940,Aktiviteter,0))&amp;""&lt;&gt;"",ISERROR(SEARCH(INDEX(AktRolle,MATCH(C1940,Aktiviteter,0))&amp;"",INDEX(TekRoller,MATCH(B1940,Teknikere,0))))),"Mangler rollen "&amp;INDEX(AktRolle,MATCH(C1940,Aktiviteter,0))&amp;"",IF(AND(C1940="LMS",F1940&gt;0,OR(D1940="",E1940="")),"Mangler maskin eller arbeid",IF(AND(OR(C1940="LMS",C1940="Mod"),D1940&lt;&gt;""),IF(IFERROR(INDEX(MaskinStatus,MATCH(D1940,Maskiner,0)),"")="I dokk","","Maskinen er ikke i dokk"),""))))))</f>
        <v/>
      </c>
      <c r="L1940" s="2">
        <f>IF(B1940="","",IFERROR(INT((MATCH(B1940,Teknikere,0)-1)/18)+1,""))</f>
        <v/>
      </c>
      <c r="M1940" s="2">
        <f>IF(OR(A1940="",B1940=""),"",B1940&amp;"|"&amp;A1940)</f>
        <v/>
      </c>
      <c r="N1940" s="2">
        <f>IF(M1940="","",SUMIFS(TF_Timer,TF_Nokkel,M1940,TF_Akt,C1940))</f>
        <v/>
      </c>
      <c r="O1940" s="2">
        <f>IF(M1940="","",IF(AND(N1940=_xlfn.MAXIFS(TF_AktSum,TF_Nokkel,M1940),COUNTIFS(M$3:M1939,M1940,N$3:N1939,N1940)=0),M1940,""))</f>
        <v/>
      </c>
    </row>
    <row r="1941">
      <c r="A1941" s="34" t="n"/>
      <c r="B1941" s="35" t="n"/>
      <c r="C1941" s="35" t="n"/>
      <c r="D1941" s="35" t="n"/>
      <c r="E1941" s="35" t="n"/>
      <c r="F1941" s="36" t="n"/>
      <c r="G1941" s="35" t="n"/>
      <c r="H1941" s="30">
        <f>IF(L1941="","",INDEX(SkiftNavn,L1941))</f>
        <v/>
      </c>
      <c r="I1941" s="30">
        <f>IF(OR(A1941="",L1941=""),"",IF(MOD(A1941-INDEX(SkiftStart,L1941),Syklus)&lt;DagK,"Kveld",IF(MOD(A1941-INDEX(SkiftStart,L1941),Syklus)&lt;DagK+DagH,"Helg",IF(MOD(A1941-INDEX(SkiftStart,L1941),Syklus)&lt;DagK+DagH+DagD,"Dag","Fri"))))</f>
        <v/>
      </c>
      <c r="J1941" s="30">
        <f>IF(I1941="Fri","Ja","")</f>
        <v/>
      </c>
      <c r="K1941" s="30">
        <f>IF(B1941="","",IF(L1941="","Ukjent tekniker",IF(ISNA(MATCH(C1941,Aktiviteter,0)),"Ukjent aktivitet",IF(AND(INDEX(AktRolle,MATCH(C1941,Aktiviteter,0))&amp;""&lt;&gt;"",ISERROR(SEARCH(INDEX(AktRolle,MATCH(C1941,Aktiviteter,0))&amp;"",INDEX(TekRoller,MATCH(B1941,Teknikere,0))))),"Mangler rollen "&amp;INDEX(AktRolle,MATCH(C1941,Aktiviteter,0))&amp;"",IF(AND(C1941="LMS",F1941&gt;0,OR(D1941="",E1941="")),"Mangler maskin eller arbeid",IF(AND(OR(C1941="LMS",C1941="Mod"),D1941&lt;&gt;""),IF(IFERROR(INDEX(MaskinStatus,MATCH(D1941,Maskiner,0)),"")="I dokk","","Maskinen er ikke i dokk"),""))))))</f>
        <v/>
      </c>
      <c r="L1941" s="2">
        <f>IF(B1941="","",IFERROR(INT((MATCH(B1941,Teknikere,0)-1)/18)+1,""))</f>
        <v/>
      </c>
      <c r="M1941" s="2">
        <f>IF(OR(A1941="",B1941=""),"",B1941&amp;"|"&amp;A1941)</f>
        <v/>
      </c>
      <c r="N1941" s="2">
        <f>IF(M1941="","",SUMIFS(TF_Timer,TF_Nokkel,M1941,TF_Akt,C1941))</f>
        <v/>
      </c>
      <c r="O1941" s="2">
        <f>IF(M1941="","",IF(AND(N1941=_xlfn.MAXIFS(TF_AktSum,TF_Nokkel,M1941),COUNTIFS(M$3:M1940,M1941,N$3:N1940,N1941)=0),M1941,""))</f>
        <v/>
      </c>
    </row>
    <row r="1942">
      <c r="A1942" s="34" t="n"/>
      <c r="B1942" s="35" t="n"/>
      <c r="C1942" s="35" t="n"/>
      <c r="D1942" s="35" t="n"/>
      <c r="E1942" s="35" t="n"/>
      <c r="F1942" s="36" t="n"/>
      <c r="G1942" s="35" t="n"/>
      <c r="H1942" s="30">
        <f>IF(L1942="","",INDEX(SkiftNavn,L1942))</f>
        <v/>
      </c>
      <c r="I1942" s="30">
        <f>IF(OR(A1942="",L1942=""),"",IF(MOD(A1942-INDEX(SkiftStart,L1942),Syklus)&lt;DagK,"Kveld",IF(MOD(A1942-INDEX(SkiftStart,L1942),Syklus)&lt;DagK+DagH,"Helg",IF(MOD(A1942-INDEX(SkiftStart,L1942),Syklus)&lt;DagK+DagH+DagD,"Dag","Fri"))))</f>
        <v/>
      </c>
      <c r="J1942" s="30">
        <f>IF(I1942="Fri","Ja","")</f>
        <v/>
      </c>
      <c r="K1942" s="30">
        <f>IF(B1942="","",IF(L1942="","Ukjent tekniker",IF(ISNA(MATCH(C1942,Aktiviteter,0)),"Ukjent aktivitet",IF(AND(INDEX(AktRolle,MATCH(C1942,Aktiviteter,0))&amp;""&lt;&gt;"",ISERROR(SEARCH(INDEX(AktRolle,MATCH(C1942,Aktiviteter,0))&amp;"",INDEX(TekRoller,MATCH(B1942,Teknikere,0))))),"Mangler rollen "&amp;INDEX(AktRolle,MATCH(C1942,Aktiviteter,0))&amp;"",IF(AND(C1942="LMS",F1942&gt;0,OR(D1942="",E1942="")),"Mangler maskin eller arbeid",IF(AND(OR(C1942="LMS",C1942="Mod"),D1942&lt;&gt;""),IF(IFERROR(INDEX(MaskinStatus,MATCH(D1942,Maskiner,0)),"")="I dokk","","Maskinen er ikke i dokk"),""))))))</f>
        <v/>
      </c>
      <c r="L1942" s="2">
        <f>IF(B1942="","",IFERROR(INT((MATCH(B1942,Teknikere,0)-1)/18)+1,""))</f>
        <v/>
      </c>
      <c r="M1942" s="2">
        <f>IF(OR(A1942="",B1942=""),"",B1942&amp;"|"&amp;A1942)</f>
        <v/>
      </c>
      <c r="N1942" s="2">
        <f>IF(M1942="","",SUMIFS(TF_Timer,TF_Nokkel,M1942,TF_Akt,C1942))</f>
        <v/>
      </c>
      <c r="O1942" s="2">
        <f>IF(M1942="","",IF(AND(N1942=_xlfn.MAXIFS(TF_AktSum,TF_Nokkel,M1942),COUNTIFS(M$3:M1941,M1942,N$3:N1941,N1942)=0),M1942,""))</f>
        <v/>
      </c>
    </row>
    <row r="1943">
      <c r="A1943" s="34" t="n"/>
      <c r="B1943" s="35" t="n"/>
      <c r="C1943" s="35" t="n"/>
      <c r="D1943" s="35" t="n"/>
      <c r="E1943" s="35" t="n"/>
      <c r="F1943" s="36" t="n"/>
      <c r="G1943" s="35" t="n"/>
      <c r="H1943" s="30">
        <f>IF(L1943="","",INDEX(SkiftNavn,L1943))</f>
        <v/>
      </c>
      <c r="I1943" s="30">
        <f>IF(OR(A1943="",L1943=""),"",IF(MOD(A1943-INDEX(SkiftStart,L1943),Syklus)&lt;DagK,"Kveld",IF(MOD(A1943-INDEX(SkiftStart,L1943),Syklus)&lt;DagK+DagH,"Helg",IF(MOD(A1943-INDEX(SkiftStart,L1943),Syklus)&lt;DagK+DagH+DagD,"Dag","Fri"))))</f>
        <v/>
      </c>
      <c r="J1943" s="30">
        <f>IF(I1943="Fri","Ja","")</f>
        <v/>
      </c>
      <c r="K1943" s="30">
        <f>IF(B1943="","",IF(L1943="","Ukjent tekniker",IF(ISNA(MATCH(C1943,Aktiviteter,0)),"Ukjent aktivitet",IF(AND(INDEX(AktRolle,MATCH(C1943,Aktiviteter,0))&amp;""&lt;&gt;"",ISERROR(SEARCH(INDEX(AktRolle,MATCH(C1943,Aktiviteter,0))&amp;"",INDEX(TekRoller,MATCH(B1943,Teknikere,0))))),"Mangler rollen "&amp;INDEX(AktRolle,MATCH(C1943,Aktiviteter,0))&amp;"",IF(AND(C1943="LMS",F1943&gt;0,OR(D1943="",E1943="")),"Mangler maskin eller arbeid",IF(AND(OR(C1943="LMS",C1943="Mod"),D1943&lt;&gt;""),IF(IFERROR(INDEX(MaskinStatus,MATCH(D1943,Maskiner,0)),"")="I dokk","","Maskinen er ikke i dokk"),""))))))</f>
        <v/>
      </c>
      <c r="L1943" s="2">
        <f>IF(B1943="","",IFERROR(INT((MATCH(B1943,Teknikere,0)-1)/18)+1,""))</f>
        <v/>
      </c>
      <c r="M1943" s="2">
        <f>IF(OR(A1943="",B1943=""),"",B1943&amp;"|"&amp;A1943)</f>
        <v/>
      </c>
      <c r="N1943" s="2">
        <f>IF(M1943="","",SUMIFS(TF_Timer,TF_Nokkel,M1943,TF_Akt,C1943))</f>
        <v/>
      </c>
      <c r="O1943" s="2">
        <f>IF(M1943="","",IF(AND(N1943=_xlfn.MAXIFS(TF_AktSum,TF_Nokkel,M1943),COUNTIFS(M$3:M1942,M1943,N$3:N1942,N1943)=0),M1943,""))</f>
        <v/>
      </c>
    </row>
    <row r="1944">
      <c r="A1944" s="34" t="n"/>
      <c r="B1944" s="35" t="n"/>
      <c r="C1944" s="35" t="n"/>
      <c r="D1944" s="35" t="n"/>
      <c r="E1944" s="35" t="n"/>
      <c r="F1944" s="36" t="n"/>
      <c r="G1944" s="35" t="n"/>
      <c r="H1944" s="30">
        <f>IF(L1944="","",INDEX(SkiftNavn,L1944))</f>
        <v/>
      </c>
      <c r="I1944" s="30">
        <f>IF(OR(A1944="",L1944=""),"",IF(MOD(A1944-INDEX(SkiftStart,L1944),Syklus)&lt;DagK,"Kveld",IF(MOD(A1944-INDEX(SkiftStart,L1944),Syklus)&lt;DagK+DagH,"Helg",IF(MOD(A1944-INDEX(SkiftStart,L1944),Syklus)&lt;DagK+DagH+DagD,"Dag","Fri"))))</f>
        <v/>
      </c>
      <c r="J1944" s="30">
        <f>IF(I1944="Fri","Ja","")</f>
        <v/>
      </c>
      <c r="K1944" s="30">
        <f>IF(B1944="","",IF(L1944="","Ukjent tekniker",IF(ISNA(MATCH(C1944,Aktiviteter,0)),"Ukjent aktivitet",IF(AND(INDEX(AktRolle,MATCH(C1944,Aktiviteter,0))&amp;""&lt;&gt;"",ISERROR(SEARCH(INDEX(AktRolle,MATCH(C1944,Aktiviteter,0))&amp;"",INDEX(TekRoller,MATCH(B1944,Teknikere,0))))),"Mangler rollen "&amp;INDEX(AktRolle,MATCH(C1944,Aktiviteter,0))&amp;"",IF(AND(C1944="LMS",F1944&gt;0,OR(D1944="",E1944="")),"Mangler maskin eller arbeid",IF(AND(OR(C1944="LMS",C1944="Mod"),D1944&lt;&gt;""),IF(IFERROR(INDEX(MaskinStatus,MATCH(D1944,Maskiner,0)),"")="I dokk","","Maskinen er ikke i dokk"),""))))))</f>
        <v/>
      </c>
      <c r="L1944" s="2">
        <f>IF(B1944="","",IFERROR(INT((MATCH(B1944,Teknikere,0)-1)/18)+1,""))</f>
        <v/>
      </c>
      <c r="M1944" s="2">
        <f>IF(OR(A1944="",B1944=""),"",B1944&amp;"|"&amp;A1944)</f>
        <v/>
      </c>
      <c r="N1944" s="2">
        <f>IF(M1944="","",SUMIFS(TF_Timer,TF_Nokkel,M1944,TF_Akt,C1944))</f>
        <v/>
      </c>
      <c r="O1944" s="2">
        <f>IF(M1944="","",IF(AND(N1944=_xlfn.MAXIFS(TF_AktSum,TF_Nokkel,M1944),COUNTIFS(M$3:M1943,M1944,N$3:N1943,N1944)=0),M1944,""))</f>
        <v/>
      </c>
    </row>
    <row r="1945">
      <c r="A1945" s="34" t="n"/>
      <c r="B1945" s="35" t="n"/>
      <c r="C1945" s="35" t="n"/>
      <c r="D1945" s="35" t="n"/>
      <c r="E1945" s="35" t="n"/>
      <c r="F1945" s="36" t="n"/>
      <c r="G1945" s="35" t="n"/>
      <c r="H1945" s="30">
        <f>IF(L1945="","",INDEX(SkiftNavn,L1945))</f>
        <v/>
      </c>
      <c r="I1945" s="30">
        <f>IF(OR(A1945="",L1945=""),"",IF(MOD(A1945-INDEX(SkiftStart,L1945),Syklus)&lt;DagK,"Kveld",IF(MOD(A1945-INDEX(SkiftStart,L1945),Syklus)&lt;DagK+DagH,"Helg",IF(MOD(A1945-INDEX(SkiftStart,L1945),Syklus)&lt;DagK+DagH+DagD,"Dag","Fri"))))</f>
        <v/>
      </c>
      <c r="J1945" s="30">
        <f>IF(I1945="Fri","Ja","")</f>
        <v/>
      </c>
      <c r="K1945" s="30">
        <f>IF(B1945="","",IF(L1945="","Ukjent tekniker",IF(ISNA(MATCH(C1945,Aktiviteter,0)),"Ukjent aktivitet",IF(AND(INDEX(AktRolle,MATCH(C1945,Aktiviteter,0))&amp;""&lt;&gt;"",ISERROR(SEARCH(INDEX(AktRolle,MATCH(C1945,Aktiviteter,0))&amp;"",INDEX(TekRoller,MATCH(B1945,Teknikere,0))))),"Mangler rollen "&amp;INDEX(AktRolle,MATCH(C1945,Aktiviteter,0))&amp;"",IF(AND(C1945="LMS",F1945&gt;0,OR(D1945="",E1945="")),"Mangler maskin eller arbeid",IF(AND(OR(C1945="LMS",C1945="Mod"),D1945&lt;&gt;""),IF(IFERROR(INDEX(MaskinStatus,MATCH(D1945,Maskiner,0)),"")="I dokk","","Maskinen er ikke i dokk"),""))))))</f>
        <v/>
      </c>
      <c r="L1945" s="2">
        <f>IF(B1945="","",IFERROR(INT((MATCH(B1945,Teknikere,0)-1)/18)+1,""))</f>
        <v/>
      </c>
      <c r="M1945" s="2">
        <f>IF(OR(A1945="",B1945=""),"",B1945&amp;"|"&amp;A1945)</f>
        <v/>
      </c>
      <c r="N1945" s="2">
        <f>IF(M1945="","",SUMIFS(TF_Timer,TF_Nokkel,M1945,TF_Akt,C1945))</f>
        <v/>
      </c>
      <c r="O1945" s="2">
        <f>IF(M1945="","",IF(AND(N1945=_xlfn.MAXIFS(TF_AktSum,TF_Nokkel,M1945),COUNTIFS(M$3:M1944,M1945,N$3:N1944,N1945)=0),M1945,""))</f>
        <v/>
      </c>
    </row>
    <row r="1946">
      <c r="A1946" s="34" t="n"/>
      <c r="B1946" s="35" t="n"/>
      <c r="C1946" s="35" t="n"/>
      <c r="D1946" s="35" t="n"/>
      <c r="E1946" s="35" t="n"/>
      <c r="F1946" s="36" t="n"/>
      <c r="G1946" s="35" t="n"/>
      <c r="H1946" s="30">
        <f>IF(L1946="","",INDEX(SkiftNavn,L1946))</f>
        <v/>
      </c>
      <c r="I1946" s="30">
        <f>IF(OR(A1946="",L1946=""),"",IF(MOD(A1946-INDEX(SkiftStart,L1946),Syklus)&lt;DagK,"Kveld",IF(MOD(A1946-INDEX(SkiftStart,L1946),Syklus)&lt;DagK+DagH,"Helg",IF(MOD(A1946-INDEX(SkiftStart,L1946),Syklus)&lt;DagK+DagH+DagD,"Dag","Fri"))))</f>
        <v/>
      </c>
      <c r="J1946" s="30">
        <f>IF(I1946="Fri","Ja","")</f>
        <v/>
      </c>
      <c r="K1946" s="30">
        <f>IF(B1946="","",IF(L1946="","Ukjent tekniker",IF(ISNA(MATCH(C1946,Aktiviteter,0)),"Ukjent aktivitet",IF(AND(INDEX(AktRolle,MATCH(C1946,Aktiviteter,0))&amp;""&lt;&gt;"",ISERROR(SEARCH(INDEX(AktRolle,MATCH(C1946,Aktiviteter,0))&amp;"",INDEX(TekRoller,MATCH(B1946,Teknikere,0))))),"Mangler rollen "&amp;INDEX(AktRolle,MATCH(C1946,Aktiviteter,0))&amp;"",IF(AND(C1946="LMS",F1946&gt;0,OR(D1946="",E1946="")),"Mangler maskin eller arbeid",IF(AND(OR(C1946="LMS",C1946="Mod"),D1946&lt;&gt;""),IF(IFERROR(INDEX(MaskinStatus,MATCH(D1946,Maskiner,0)),"")="I dokk","","Maskinen er ikke i dokk"),""))))))</f>
        <v/>
      </c>
      <c r="L1946" s="2">
        <f>IF(B1946="","",IFERROR(INT((MATCH(B1946,Teknikere,0)-1)/18)+1,""))</f>
        <v/>
      </c>
      <c r="M1946" s="2">
        <f>IF(OR(A1946="",B1946=""),"",B1946&amp;"|"&amp;A1946)</f>
        <v/>
      </c>
      <c r="N1946" s="2">
        <f>IF(M1946="","",SUMIFS(TF_Timer,TF_Nokkel,M1946,TF_Akt,C1946))</f>
        <v/>
      </c>
      <c r="O1946" s="2">
        <f>IF(M1946="","",IF(AND(N1946=_xlfn.MAXIFS(TF_AktSum,TF_Nokkel,M1946),COUNTIFS(M$3:M1945,M1946,N$3:N1945,N1946)=0),M1946,""))</f>
        <v/>
      </c>
    </row>
    <row r="1947">
      <c r="A1947" s="34" t="n"/>
      <c r="B1947" s="35" t="n"/>
      <c r="C1947" s="35" t="n"/>
      <c r="D1947" s="35" t="n"/>
      <c r="E1947" s="35" t="n"/>
      <c r="F1947" s="36" t="n"/>
      <c r="G1947" s="35" t="n"/>
      <c r="H1947" s="30">
        <f>IF(L1947="","",INDEX(SkiftNavn,L1947))</f>
        <v/>
      </c>
      <c r="I1947" s="30">
        <f>IF(OR(A1947="",L1947=""),"",IF(MOD(A1947-INDEX(SkiftStart,L1947),Syklus)&lt;DagK,"Kveld",IF(MOD(A1947-INDEX(SkiftStart,L1947),Syklus)&lt;DagK+DagH,"Helg",IF(MOD(A1947-INDEX(SkiftStart,L1947),Syklus)&lt;DagK+DagH+DagD,"Dag","Fri"))))</f>
        <v/>
      </c>
      <c r="J1947" s="30">
        <f>IF(I1947="Fri","Ja","")</f>
        <v/>
      </c>
      <c r="K1947" s="30">
        <f>IF(B1947="","",IF(L1947="","Ukjent tekniker",IF(ISNA(MATCH(C1947,Aktiviteter,0)),"Ukjent aktivitet",IF(AND(INDEX(AktRolle,MATCH(C1947,Aktiviteter,0))&amp;""&lt;&gt;"",ISERROR(SEARCH(INDEX(AktRolle,MATCH(C1947,Aktiviteter,0))&amp;"",INDEX(TekRoller,MATCH(B1947,Teknikere,0))))),"Mangler rollen "&amp;INDEX(AktRolle,MATCH(C1947,Aktiviteter,0))&amp;"",IF(AND(C1947="LMS",F1947&gt;0,OR(D1947="",E1947="")),"Mangler maskin eller arbeid",IF(AND(OR(C1947="LMS",C1947="Mod"),D1947&lt;&gt;""),IF(IFERROR(INDEX(MaskinStatus,MATCH(D1947,Maskiner,0)),"")="I dokk","","Maskinen er ikke i dokk"),""))))))</f>
        <v/>
      </c>
      <c r="L1947" s="2">
        <f>IF(B1947="","",IFERROR(INT((MATCH(B1947,Teknikere,0)-1)/18)+1,""))</f>
        <v/>
      </c>
      <c r="M1947" s="2">
        <f>IF(OR(A1947="",B1947=""),"",B1947&amp;"|"&amp;A1947)</f>
        <v/>
      </c>
      <c r="N1947" s="2">
        <f>IF(M1947="","",SUMIFS(TF_Timer,TF_Nokkel,M1947,TF_Akt,C1947))</f>
        <v/>
      </c>
      <c r="O1947" s="2">
        <f>IF(M1947="","",IF(AND(N1947=_xlfn.MAXIFS(TF_AktSum,TF_Nokkel,M1947),COUNTIFS(M$3:M1946,M1947,N$3:N1946,N1947)=0),M1947,""))</f>
        <v/>
      </c>
    </row>
    <row r="1948">
      <c r="A1948" s="34" t="n"/>
      <c r="B1948" s="35" t="n"/>
      <c r="C1948" s="35" t="n"/>
      <c r="D1948" s="35" t="n"/>
      <c r="E1948" s="35" t="n"/>
      <c r="F1948" s="36" t="n"/>
      <c r="G1948" s="35" t="n"/>
      <c r="H1948" s="30">
        <f>IF(L1948="","",INDEX(SkiftNavn,L1948))</f>
        <v/>
      </c>
      <c r="I1948" s="30">
        <f>IF(OR(A1948="",L1948=""),"",IF(MOD(A1948-INDEX(SkiftStart,L1948),Syklus)&lt;DagK,"Kveld",IF(MOD(A1948-INDEX(SkiftStart,L1948),Syklus)&lt;DagK+DagH,"Helg",IF(MOD(A1948-INDEX(SkiftStart,L1948),Syklus)&lt;DagK+DagH+DagD,"Dag","Fri"))))</f>
        <v/>
      </c>
      <c r="J1948" s="30">
        <f>IF(I1948="Fri","Ja","")</f>
        <v/>
      </c>
      <c r="K1948" s="30">
        <f>IF(B1948="","",IF(L1948="","Ukjent tekniker",IF(ISNA(MATCH(C1948,Aktiviteter,0)),"Ukjent aktivitet",IF(AND(INDEX(AktRolle,MATCH(C1948,Aktiviteter,0))&amp;""&lt;&gt;"",ISERROR(SEARCH(INDEX(AktRolle,MATCH(C1948,Aktiviteter,0))&amp;"",INDEX(TekRoller,MATCH(B1948,Teknikere,0))))),"Mangler rollen "&amp;INDEX(AktRolle,MATCH(C1948,Aktiviteter,0))&amp;"",IF(AND(C1948="LMS",F1948&gt;0,OR(D1948="",E1948="")),"Mangler maskin eller arbeid",IF(AND(OR(C1948="LMS",C1948="Mod"),D1948&lt;&gt;""),IF(IFERROR(INDEX(MaskinStatus,MATCH(D1948,Maskiner,0)),"")="I dokk","","Maskinen er ikke i dokk"),""))))))</f>
        <v/>
      </c>
      <c r="L1948" s="2">
        <f>IF(B1948="","",IFERROR(INT((MATCH(B1948,Teknikere,0)-1)/18)+1,""))</f>
        <v/>
      </c>
      <c r="M1948" s="2">
        <f>IF(OR(A1948="",B1948=""),"",B1948&amp;"|"&amp;A1948)</f>
        <v/>
      </c>
      <c r="N1948" s="2">
        <f>IF(M1948="","",SUMIFS(TF_Timer,TF_Nokkel,M1948,TF_Akt,C1948))</f>
        <v/>
      </c>
      <c r="O1948" s="2">
        <f>IF(M1948="","",IF(AND(N1948=_xlfn.MAXIFS(TF_AktSum,TF_Nokkel,M1948),COUNTIFS(M$3:M1947,M1948,N$3:N1947,N1948)=0),M1948,""))</f>
        <v/>
      </c>
    </row>
    <row r="1949">
      <c r="A1949" s="34" t="n"/>
      <c r="B1949" s="35" t="n"/>
      <c r="C1949" s="35" t="n"/>
      <c r="D1949" s="35" t="n"/>
      <c r="E1949" s="35" t="n"/>
      <c r="F1949" s="36" t="n"/>
      <c r="G1949" s="35" t="n"/>
      <c r="H1949" s="30">
        <f>IF(L1949="","",INDEX(SkiftNavn,L1949))</f>
        <v/>
      </c>
      <c r="I1949" s="30">
        <f>IF(OR(A1949="",L1949=""),"",IF(MOD(A1949-INDEX(SkiftStart,L1949),Syklus)&lt;DagK,"Kveld",IF(MOD(A1949-INDEX(SkiftStart,L1949),Syklus)&lt;DagK+DagH,"Helg",IF(MOD(A1949-INDEX(SkiftStart,L1949),Syklus)&lt;DagK+DagH+DagD,"Dag","Fri"))))</f>
        <v/>
      </c>
      <c r="J1949" s="30">
        <f>IF(I1949="Fri","Ja","")</f>
        <v/>
      </c>
      <c r="K1949" s="30">
        <f>IF(B1949="","",IF(L1949="","Ukjent tekniker",IF(ISNA(MATCH(C1949,Aktiviteter,0)),"Ukjent aktivitet",IF(AND(INDEX(AktRolle,MATCH(C1949,Aktiviteter,0))&amp;""&lt;&gt;"",ISERROR(SEARCH(INDEX(AktRolle,MATCH(C1949,Aktiviteter,0))&amp;"",INDEX(TekRoller,MATCH(B1949,Teknikere,0))))),"Mangler rollen "&amp;INDEX(AktRolle,MATCH(C1949,Aktiviteter,0))&amp;"",IF(AND(C1949="LMS",F1949&gt;0,OR(D1949="",E1949="")),"Mangler maskin eller arbeid",IF(AND(OR(C1949="LMS",C1949="Mod"),D1949&lt;&gt;""),IF(IFERROR(INDEX(MaskinStatus,MATCH(D1949,Maskiner,0)),"")="I dokk","","Maskinen er ikke i dokk"),""))))))</f>
        <v/>
      </c>
      <c r="L1949" s="2">
        <f>IF(B1949="","",IFERROR(INT((MATCH(B1949,Teknikere,0)-1)/18)+1,""))</f>
        <v/>
      </c>
      <c r="M1949" s="2">
        <f>IF(OR(A1949="",B1949=""),"",B1949&amp;"|"&amp;A1949)</f>
        <v/>
      </c>
      <c r="N1949" s="2">
        <f>IF(M1949="","",SUMIFS(TF_Timer,TF_Nokkel,M1949,TF_Akt,C1949))</f>
        <v/>
      </c>
      <c r="O1949" s="2">
        <f>IF(M1949="","",IF(AND(N1949=_xlfn.MAXIFS(TF_AktSum,TF_Nokkel,M1949),COUNTIFS(M$3:M1948,M1949,N$3:N1948,N1949)=0),M1949,""))</f>
        <v/>
      </c>
    </row>
    <row r="1950">
      <c r="A1950" s="34" t="n"/>
      <c r="B1950" s="35" t="n"/>
      <c r="C1950" s="35" t="n"/>
      <c r="D1950" s="35" t="n"/>
      <c r="E1950" s="35" t="n"/>
      <c r="F1950" s="36" t="n"/>
      <c r="G1950" s="35" t="n"/>
      <c r="H1950" s="30">
        <f>IF(L1950="","",INDEX(SkiftNavn,L1950))</f>
        <v/>
      </c>
      <c r="I1950" s="30">
        <f>IF(OR(A1950="",L1950=""),"",IF(MOD(A1950-INDEX(SkiftStart,L1950),Syklus)&lt;DagK,"Kveld",IF(MOD(A1950-INDEX(SkiftStart,L1950),Syklus)&lt;DagK+DagH,"Helg",IF(MOD(A1950-INDEX(SkiftStart,L1950),Syklus)&lt;DagK+DagH+DagD,"Dag","Fri"))))</f>
        <v/>
      </c>
      <c r="J1950" s="30">
        <f>IF(I1950="Fri","Ja","")</f>
        <v/>
      </c>
      <c r="K1950" s="30">
        <f>IF(B1950="","",IF(L1950="","Ukjent tekniker",IF(ISNA(MATCH(C1950,Aktiviteter,0)),"Ukjent aktivitet",IF(AND(INDEX(AktRolle,MATCH(C1950,Aktiviteter,0))&amp;""&lt;&gt;"",ISERROR(SEARCH(INDEX(AktRolle,MATCH(C1950,Aktiviteter,0))&amp;"",INDEX(TekRoller,MATCH(B1950,Teknikere,0))))),"Mangler rollen "&amp;INDEX(AktRolle,MATCH(C1950,Aktiviteter,0))&amp;"",IF(AND(C1950="LMS",F1950&gt;0,OR(D1950="",E1950="")),"Mangler maskin eller arbeid",IF(AND(OR(C1950="LMS",C1950="Mod"),D1950&lt;&gt;""),IF(IFERROR(INDEX(MaskinStatus,MATCH(D1950,Maskiner,0)),"")="I dokk","","Maskinen er ikke i dokk"),""))))))</f>
        <v/>
      </c>
      <c r="L1950" s="2">
        <f>IF(B1950="","",IFERROR(INT((MATCH(B1950,Teknikere,0)-1)/18)+1,""))</f>
        <v/>
      </c>
      <c r="M1950" s="2">
        <f>IF(OR(A1950="",B1950=""),"",B1950&amp;"|"&amp;A1950)</f>
        <v/>
      </c>
      <c r="N1950" s="2">
        <f>IF(M1950="","",SUMIFS(TF_Timer,TF_Nokkel,M1950,TF_Akt,C1950))</f>
        <v/>
      </c>
      <c r="O1950" s="2">
        <f>IF(M1950="","",IF(AND(N1950=_xlfn.MAXIFS(TF_AktSum,TF_Nokkel,M1950),COUNTIFS(M$3:M1949,M1950,N$3:N1949,N1950)=0),M1950,""))</f>
        <v/>
      </c>
    </row>
    <row r="1951">
      <c r="A1951" s="34" t="n"/>
      <c r="B1951" s="35" t="n"/>
      <c r="C1951" s="35" t="n"/>
      <c r="D1951" s="35" t="n"/>
      <c r="E1951" s="35" t="n"/>
      <c r="F1951" s="36" t="n"/>
      <c r="G1951" s="35" t="n"/>
      <c r="H1951" s="30">
        <f>IF(L1951="","",INDEX(SkiftNavn,L1951))</f>
        <v/>
      </c>
      <c r="I1951" s="30">
        <f>IF(OR(A1951="",L1951=""),"",IF(MOD(A1951-INDEX(SkiftStart,L1951),Syklus)&lt;DagK,"Kveld",IF(MOD(A1951-INDEX(SkiftStart,L1951),Syklus)&lt;DagK+DagH,"Helg",IF(MOD(A1951-INDEX(SkiftStart,L1951),Syklus)&lt;DagK+DagH+DagD,"Dag","Fri"))))</f>
        <v/>
      </c>
      <c r="J1951" s="30">
        <f>IF(I1951="Fri","Ja","")</f>
        <v/>
      </c>
      <c r="K1951" s="30">
        <f>IF(B1951="","",IF(L1951="","Ukjent tekniker",IF(ISNA(MATCH(C1951,Aktiviteter,0)),"Ukjent aktivitet",IF(AND(INDEX(AktRolle,MATCH(C1951,Aktiviteter,0))&amp;""&lt;&gt;"",ISERROR(SEARCH(INDEX(AktRolle,MATCH(C1951,Aktiviteter,0))&amp;"",INDEX(TekRoller,MATCH(B1951,Teknikere,0))))),"Mangler rollen "&amp;INDEX(AktRolle,MATCH(C1951,Aktiviteter,0))&amp;"",IF(AND(C1951="LMS",F1951&gt;0,OR(D1951="",E1951="")),"Mangler maskin eller arbeid",IF(AND(OR(C1951="LMS",C1951="Mod"),D1951&lt;&gt;""),IF(IFERROR(INDEX(MaskinStatus,MATCH(D1951,Maskiner,0)),"")="I dokk","","Maskinen er ikke i dokk"),""))))))</f>
        <v/>
      </c>
      <c r="L1951" s="2">
        <f>IF(B1951="","",IFERROR(INT((MATCH(B1951,Teknikere,0)-1)/18)+1,""))</f>
        <v/>
      </c>
      <c r="M1951" s="2">
        <f>IF(OR(A1951="",B1951=""),"",B1951&amp;"|"&amp;A1951)</f>
        <v/>
      </c>
      <c r="N1951" s="2">
        <f>IF(M1951="","",SUMIFS(TF_Timer,TF_Nokkel,M1951,TF_Akt,C1951))</f>
        <v/>
      </c>
      <c r="O1951" s="2">
        <f>IF(M1951="","",IF(AND(N1951=_xlfn.MAXIFS(TF_AktSum,TF_Nokkel,M1951),COUNTIFS(M$3:M1950,M1951,N$3:N1950,N1951)=0),M1951,""))</f>
        <v/>
      </c>
    </row>
    <row r="1952">
      <c r="A1952" s="34" t="n"/>
      <c r="B1952" s="35" t="n"/>
      <c r="C1952" s="35" t="n"/>
      <c r="D1952" s="35" t="n"/>
      <c r="E1952" s="35" t="n"/>
      <c r="F1952" s="36" t="n"/>
      <c r="G1952" s="35" t="n"/>
      <c r="H1952" s="30">
        <f>IF(L1952="","",INDEX(SkiftNavn,L1952))</f>
        <v/>
      </c>
      <c r="I1952" s="30">
        <f>IF(OR(A1952="",L1952=""),"",IF(MOD(A1952-INDEX(SkiftStart,L1952),Syklus)&lt;DagK,"Kveld",IF(MOD(A1952-INDEX(SkiftStart,L1952),Syklus)&lt;DagK+DagH,"Helg",IF(MOD(A1952-INDEX(SkiftStart,L1952),Syklus)&lt;DagK+DagH+DagD,"Dag","Fri"))))</f>
        <v/>
      </c>
      <c r="J1952" s="30">
        <f>IF(I1952="Fri","Ja","")</f>
        <v/>
      </c>
      <c r="K1952" s="30">
        <f>IF(B1952="","",IF(L1952="","Ukjent tekniker",IF(ISNA(MATCH(C1952,Aktiviteter,0)),"Ukjent aktivitet",IF(AND(INDEX(AktRolle,MATCH(C1952,Aktiviteter,0))&amp;""&lt;&gt;"",ISERROR(SEARCH(INDEX(AktRolle,MATCH(C1952,Aktiviteter,0))&amp;"",INDEX(TekRoller,MATCH(B1952,Teknikere,0))))),"Mangler rollen "&amp;INDEX(AktRolle,MATCH(C1952,Aktiviteter,0))&amp;"",IF(AND(C1952="LMS",F1952&gt;0,OR(D1952="",E1952="")),"Mangler maskin eller arbeid",IF(AND(OR(C1952="LMS",C1952="Mod"),D1952&lt;&gt;""),IF(IFERROR(INDEX(MaskinStatus,MATCH(D1952,Maskiner,0)),"")="I dokk","","Maskinen er ikke i dokk"),""))))))</f>
        <v/>
      </c>
      <c r="L1952" s="2">
        <f>IF(B1952="","",IFERROR(INT((MATCH(B1952,Teknikere,0)-1)/18)+1,""))</f>
        <v/>
      </c>
      <c r="M1952" s="2">
        <f>IF(OR(A1952="",B1952=""),"",B1952&amp;"|"&amp;A1952)</f>
        <v/>
      </c>
      <c r="N1952" s="2">
        <f>IF(M1952="","",SUMIFS(TF_Timer,TF_Nokkel,M1952,TF_Akt,C1952))</f>
        <v/>
      </c>
      <c r="O1952" s="2">
        <f>IF(M1952="","",IF(AND(N1952=_xlfn.MAXIFS(TF_AktSum,TF_Nokkel,M1952),COUNTIFS(M$3:M1951,M1952,N$3:N1951,N1952)=0),M1952,""))</f>
        <v/>
      </c>
    </row>
    <row r="1953">
      <c r="A1953" s="34" t="n"/>
      <c r="B1953" s="35" t="n"/>
      <c r="C1953" s="35" t="n"/>
      <c r="D1953" s="35" t="n"/>
      <c r="E1953" s="35" t="n"/>
      <c r="F1953" s="36" t="n"/>
      <c r="G1953" s="35" t="n"/>
      <c r="H1953" s="30">
        <f>IF(L1953="","",INDEX(SkiftNavn,L1953))</f>
        <v/>
      </c>
      <c r="I1953" s="30">
        <f>IF(OR(A1953="",L1953=""),"",IF(MOD(A1953-INDEX(SkiftStart,L1953),Syklus)&lt;DagK,"Kveld",IF(MOD(A1953-INDEX(SkiftStart,L1953),Syklus)&lt;DagK+DagH,"Helg",IF(MOD(A1953-INDEX(SkiftStart,L1953),Syklus)&lt;DagK+DagH+DagD,"Dag","Fri"))))</f>
        <v/>
      </c>
      <c r="J1953" s="30">
        <f>IF(I1953="Fri","Ja","")</f>
        <v/>
      </c>
      <c r="K1953" s="30">
        <f>IF(B1953="","",IF(L1953="","Ukjent tekniker",IF(ISNA(MATCH(C1953,Aktiviteter,0)),"Ukjent aktivitet",IF(AND(INDEX(AktRolle,MATCH(C1953,Aktiviteter,0))&amp;""&lt;&gt;"",ISERROR(SEARCH(INDEX(AktRolle,MATCH(C1953,Aktiviteter,0))&amp;"",INDEX(TekRoller,MATCH(B1953,Teknikere,0))))),"Mangler rollen "&amp;INDEX(AktRolle,MATCH(C1953,Aktiviteter,0))&amp;"",IF(AND(C1953="LMS",F1953&gt;0,OR(D1953="",E1953="")),"Mangler maskin eller arbeid",IF(AND(OR(C1953="LMS",C1953="Mod"),D1953&lt;&gt;""),IF(IFERROR(INDEX(MaskinStatus,MATCH(D1953,Maskiner,0)),"")="I dokk","","Maskinen er ikke i dokk"),""))))))</f>
        <v/>
      </c>
      <c r="L1953" s="2">
        <f>IF(B1953="","",IFERROR(INT((MATCH(B1953,Teknikere,0)-1)/18)+1,""))</f>
        <v/>
      </c>
      <c r="M1953" s="2">
        <f>IF(OR(A1953="",B1953=""),"",B1953&amp;"|"&amp;A1953)</f>
        <v/>
      </c>
      <c r="N1953" s="2">
        <f>IF(M1953="","",SUMIFS(TF_Timer,TF_Nokkel,M1953,TF_Akt,C1953))</f>
        <v/>
      </c>
      <c r="O1953" s="2">
        <f>IF(M1953="","",IF(AND(N1953=_xlfn.MAXIFS(TF_AktSum,TF_Nokkel,M1953),COUNTIFS(M$3:M1952,M1953,N$3:N1952,N1953)=0),M1953,""))</f>
        <v/>
      </c>
    </row>
    <row r="1954">
      <c r="A1954" s="34" t="n"/>
      <c r="B1954" s="35" t="n"/>
      <c r="C1954" s="35" t="n"/>
      <c r="D1954" s="35" t="n"/>
      <c r="E1954" s="35" t="n"/>
      <c r="F1954" s="36" t="n"/>
      <c r="G1954" s="35" t="n"/>
      <c r="H1954" s="30">
        <f>IF(L1954="","",INDEX(SkiftNavn,L1954))</f>
        <v/>
      </c>
      <c r="I1954" s="30">
        <f>IF(OR(A1954="",L1954=""),"",IF(MOD(A1954-INDEX(SkiftStart,L1954),Syklus)&lt;DagK,"Kveld",IF(MOD(A1954-INDEX(SkiftStart,L1954),Syklus)&lt;DagK+DagH,"Helg",IF(MOD(A1954-INDEX(SkiftStart,L1954),Syklus)&lt;DagK+DagH+DagD,"Dag","Fri"))))</f>
        <v/>
      </c>
      <c r="J1954" s="30">
        <f>IF(I1954="Fri","Ja","")</f>
        <v/>
      </c>
      <c r="K1954" s="30">
        <f>IF(B1954="","",IF(L1954="","Ukjent tekniker",IF(ISNA(MATCH(C1954,Aktiviteter,0)),"Ukjent aktivitet",IF(AND(INDEX(AktRolle,MATCH(C1954,Aktiviteter,0))&amp;""&lt;&gt;"",ISERROR(SEARCH(INDEX(AktRolle,MATCH(C1954,Aktiviteter,0))&amp;"",INDEX(TekRoller,MATCH(B1954,Teknikere,0))))),"Mangler rollen "&amp;INDEX(AktRolle,MATCH(C1954,Aktiviteter,0))&amp;"",IF(AND(C1954="LMS",F1954&gt;0,OR(D1954="",E1954="")),"Mangler maskin eller arbeid",IF(AND(OR(C1954="LMS",C1954="Mod"),D1954&lt;&gt;""),IF(IFERROR(INDEX(MaskinStatus,MATCH(D1954,Maskiner,0)),"")="I dokk","","Maskinen er ikke i dokk"),""))))))</f>
        <v/>
      </c>
      <c r="L1954" s="2">
        <f>IF(B1954="","",IFERROR(INT((MATCH(B1954,Teknikere,0)-1)/18)+1,""))</f>
        <v/>
      </c>
      <c r="M1954" s="2">
        <f>IF(OR(A1954="",B1954=""),"",B1954&amp;"|"&amp;A1954)</f>
        <v/>
      </c>
      <c r="N1954" s="2">
        <f>IF(M1954="","",SUMIFS(TF_Timer,TF_Nokkel,M1954,TF_Akt,C1954))</f>
        <v/>
      </c>
      <c r="O1954" s="2">
        <f>IF(M1954="","",IF(AND(N1954=_xlfn.MAXIFS(TF_AktSum,TF_Nokkel,M1954),COUNTIFS(M$3:M1953,M1954,N$3:N1953,N1954)=0),M1954,""))</f>
        <v/>
      </c>
    </row>
    <row r="1955">
      <c r="A1955" s="34" t="n"/>
      <c r="B1955" s="35" t="n"/>
      <c r="C1955" s="35" t="n"/>
      <c r="D1955" s="35" t="n"/>
      <c r="E1955" s="35" t="n"/>
      <c r="F1955" s="36" t="n"/>
      <c r="G1955" s="35" t="n"/>
      <c r="H1955" s="30">
        <f>IF(L1955="","",INDEX(SkiftNavn,L1955))</f>
        <v/>
      </c>
      <c r="I1955" s="30">
        <f>IF(OR(A1955="",L1955=""),"",IF(MOD(A1955-INDEX(SkiftStart,L1955),Syklus)&lt;DagK,"Kveld",IF(MOD(A1955-INDEX(SkiftStart,L1955),Syklus)&lt;DagK+DagH,"Helg",IF(MOD(A1955-INDEX(SkiftStart,L1955),Syklus)&lt;DagK+DagH+DagD,"Dag","Fri"))))</f>
        <v/>
      </c>
      <c r="J1955" s="30">
        <f>IF(I1955="Fri","Ja","")</f>
        <v/>
      </c>
      <c r="K1955" s="30">
        <f>IF(B1955="","",IF(L1955="","Ukjent tekniker",IF(ISNA(MATCH(C1955,Aktiviteter,0)),"Ukjent aktivitet",IF(AND(INDEX(AktRolle,MATCH(C1955,Aktiviteter,0))&amp;""&lt;&gt;"",ISERROR(SEARCH(INDEX(AktRolle,MATCH(C1955,Aktiviteter,0))&amp;"",INDEX(TekRoller,MATCH(B1955,Teknikere,0))))),"Mangler rollen "&amp;INDEX(AktRolle,MATCH(C1955,Aktiviteter,0))&amp;"",IF(AND(C1955="LMS",F1955&gt;0,OR(D1955="",E1955="")),"Mangler maskin eller arbeid",IF(AND(OR(C1955="LMS",C1955="Mod"),D1955&lt;&gt;""),IF(IFERROR(INDEX(MaskinStatus,MATCH(D1955,Maskiner,0)),"")="I dokk","","Maskinen er ikke i dokk"),""))))))</f>
        <v/>
      </c>
      <c r="L1955" s="2">
        <f>IF(B1955="","",IFERROR(INT((MATCH(B1955,Teknikere,0)-1)/18)+1,""))</f>
        <v/>
      </c>
      <c r="M1955" s="2">
        <f>IF(OR(A1955="",B1955=""),"",B1955&amp;"|"&amp;A1955)</f>
        <v/>
      </c>
      <c r="N1955" s="2">
        <f>IF(M1955="","",SUMIFS(TF_Timer,TF_Nokkel,M1955,TF_Akt,C1955))</f>
        <v/>
      </c>
      <c r="O1955" s="2">
        <f>IF(M1955="","",IF(AND(N1955=_xlfn.MAXIFS(TF_AktSum,TF_Nokkel,M1955),COUNTIFS(M$3:M1954,M1955,N$3:N1954,N1955)=0),M1955,""))</f>
        <v/>
      </c>
    </row>
    <row r="1956">
      <c r="A1956" s="34" t="n"/>
      <c r="B1956" s="35" t="n"/>
      <c r="C1956" s="35" t="n"/>
      <c r="D1956" s="35" t="n"/>
      <c r="E1956" s="35" t="n"/>
      <c r="F1956" s="36" t="n"/>
      <c r="G1956" s="35" t="n"/>
      <c r="H1956" s="30">
        <f>IF(L1956="","",INDEX(SkiftNavn,L1956))</f>
        <v/>
      </c>
      <c r="I1956" s="30">
        <f>IF(OR(A1956="",L1956=""),"",IF(MOD(A1956-INDEX(SkiftStart,L1956),Syklus)&lt;DagK,"Kveld",IF(MOD(A1956-INDEX(SkiftStart,L1956),Syklus)&lt;DagK+DagH,"Helg",IF(MOD(A1956-INDEX(SkiftStart,L1956),Syklus)&lt;DagK+DagH+DagD,"Dag","Fri"))))</f>
        <v/>
      </c>
      <c r="J1956" s="30">
        <f>IF(I1956="Fri","Ja","")</f>
        <v/>
      </c>
      <c r="K1956" s="30">
        <f>IF(B1956="","",IF(L1956="","Ukjent tekniker",IF(ISNA(MATCH(C1956,Aktiviteter,0)),"Ukjent aktivitet",IF(AND(INDEX(AktRolle,MATCH(C1956,Aktiviteter,0))&amp;""&lt;&gt;"",ISERROR(SEARCH(INDEX(AktRolle,MATCH(C1956,Aktiviteter,0))&amp;"",INDEX(TekRoller,MATCH(B1956,Teknikere,0))))),"Mangler rollen "&amp;INDEX(AktRolle,MATCH(C1956,Aktiviteter,0))&amp;"",IF(AND(C1956="LMS",F1956&gt;0,OR(D1956="",E1956="")),"Mangler maskin eller arbeid",IF(AND(OR(C1956="LMS",C1956="Mod"),D1956&lt;&gt;""),IF(IFERROR(INDEX(MaskinStatus,MATCH(D1956,Maskiner,0)),"")="I dokk","","Maskinen er ikke i dokk"),""))))))</f>
        <v/>
      </c>
      <c r="L1956" s="2">
        <f>IF(B1956="","",IFERROR(INT((MATCH(B1956,Teknikere,0)-1)/18)+1,""))</f>
        <v/>
      </c>
      <c r="M1956" s="2">
        <f>IF(OR(A1956="",B1956=""),"",B1956&amp;"|"&amp;A1956)</f>
        <v/>
      </c>
      <c r="N1956" s="2">
        <f>IF(M1956="","",SUMIFS(TF_Timer,TF_Nokkel,M1956,TF_Akt,C1956))</f>
        <v/>
      </c>
      <c r="O1956" s="2">
        <f>IF(M1956="","",IF(AND(N1956=_xlfn.MAXIFS(TF_AktSum,TF_Nokkel,M1956),COUNTIFS(M$3:M1955,M1956,N$3:N1955,N1956)=0),M1956,""))</f>
        <v/>
      </c>
    </row>
    <row r="1957">
      <c r="A1957" s="34" t="n"/>
      <c r="B1957" s="35" t="n"/>
      <c r="C1957" s="35" t="n"/>
      <c r="D1957" s="35" t="n"/>
      <c r="E1957" s="35" t="n"/>
      <c r="F1957" s="36" t="n"/>
      <c r="G1957" s="35" t="n"/>
      <c r="H1957" s="30">
        <f>IF(L1957="","",INDEX(SkiftNavn,L1957))</f>
        <v/>
      </c>
      <c r="I1957" s="30">
        <f>IF(OR(A1957="",L1957=""),"",IF(MOD(A1957-INDEX(SkiftStart,L1957),Syklus)&lt;DagK,"Kveld",IF(MOD(A1957-INDEX(SkiftStart,L1957),Syklus)&lt;DagK+DagH,"Helg",IF(MOD(A1957-INDEX(SkiftStart,L1957),Syklus)&lt;DagK+DagH+DagD,"Dag","Fri"))))</f>
        <v/>
      </c>
      <c r="J1957" s="30">
        <f>IF(I1957="Fri","Ja","")</f>
        <v/>
      </c>
      <c r="K1957" s="30">
        <f>IF(B1957="","",IF(L1957="","Ukjent tekniker",IF(ISNA(MATCH(C1957,Aktiviteter,0)),"Ukjent aktivitet",IF(AND(INDEX(AktRolle,MATCH(C1957,Aktiviteter,0))&amp;""&lt;&gt;"",ISERROR(SEARCH(INDEX(AktRolle,MATCH(C1957,Aktiviteter,0))&amp;"",INDEX(TekRoller,MATCH(B1957,Teknikere,0))))),"Mangler rollen "&amp;INDEX(AktRolle,MATCH(C1957,Aktiviteter,0))&amp;"",IF(AND(C1957="LMS",F1957&gt;0,OR(D1957="",E1957="")),"Mangler maskin eller arbeid",IF(AND(OR(C1957="LMS",C1957="Mod"),D1957&lt;&gt;""),IF(IFERROR(INDEX(MaskinStatus,MATCH(D1957,Maskiner,0)),"")="I dokk","","Maskinen er ikke i dokk"),""))))))</f>
        <v/>
      </c>
      <c r="L1957" s="2">
        <f>IF(B1957="","",IFERROR(INT((MATCH(B1957,Teknikere,0)-1)/18)+1,""))</f>
        <v/>
      </c>
      <c r="M1957" s="2">
        <f>IF(OR(A1957="",B1957=""),"",B1957&amp;"|"&amp;A1957)</f>
        <v/>
      </c>
      <c r="N1957" s="2">
        <f>IF(M1957="","",SUMIFS(TF_Timer,TF_Nokkel,M1957,TF_Akt,C1957))</f>
        <v/>
      </c>
      <c r="O1957" s="2">
        <f>IF(M1957="","",IF(AND(N1957=_xlfn.MAXIFS(TF_AktSum,TF_Nokkel,M1957),COUNTIFS(M$3:M1956,M1957,N$3:N1956,N1957)=0),M1957,""))</f>
        <v/>
      </c>
    </row>
    <row r="1958">
      <c r="A1958" s="34" t="n"/>
      <c r="B1958" s="35" t="n"/>
      <c r="C1958" s="35" t="n"/>
      <c r="D1958" s="35" t="n"/>
      <c r="E1958" s="35" t="n"/>
      <c r="F1958" s="36" t="n"/>
      <c r="G1958" s="35" t="n"/>
      <c r="H1958" s="30">
        <f>IF(L1958="","",INDEX(SkiftNavn,L1958))</f>
        <v/>
      </c>
      <c r="I1958" s="30">
        <f>IF(OR(A1958="",L1958=""),"",IF(MOD(A1958-INDEX(SkiftStart,L1958),Syklus)&lt;DagK,"Kveld",IF(MOD(A1958-INDEX(SkiftStart,L1958),Syklus)&lt;DagK+DagH,"Helg",IF(MOD(A1958-INDEX(SkiftStart,L1958),Syklus)&lt;DagK+DagH+DagD,"Dag","Fri"))))</f>
        <v/>
      </c>
      <c r="J1958" s="30">
        <f>IF(I1958="Fri","Ja","")</f>
        <v/>
      </c>
      <c r="K1958" s="30">
        <f>IF(B1958="","",IF(L1958="","Ukjent tekniker",IF(ISNA(MATCH(C1958,Aktiviteter,0)),"Ukjent aktivitet",IF(AND(INDEX(AktRolle,MATCH(C1958,Aktiviteter,0))&amp;""&lt;&gt;"",ISERROR(SEARCH(INDEX(AktRolle,MATCH(C1958,Aktiviteter,0))&amp;"",INDEX(TekRoller,MATCH(B1958,Teknikere,0))))),"Mangler rollen "&amp;INDEX(AktRolle,MATCH(C1958,Aktiviteter,0))&amp;"",IF(AND(C1958="LMS",F1958&gt;0,OR(D1958="",E1958="")),"Mangler maskin eller arbeid",IF(AND(OR(C1958="LMS",C1958="Mod"),D1958&lt;&gt;""),IF(IFERROR(INDEX(MaskinStatus,MATCH(D1958,Maskiner,0)),"")="I dokk","","Maskinen er ikke i dokk"),""))))))</f>
        <v/>
      </c>
      <c r="L1958" s="2">
        <f>IF(B1958="","",IFERROR(INT((MATCH(B1958,Teknikere,0)-1)/18)+1,""))</f>
        <v/>
      </c>
      <c r="M1958" s="2">
        <f>IF(OR(A1958="",B1958=""),"",B1958&amp;"|"&amp;A1958)</f>
        <v/>
      </c>
      <c r="N1958" s="2">
        <f>IF(M1958="","",SUMIFS(TF_Timer,TF_Nokkel,M1958,TF_Akt,C1958))</f>
        <v/>
      </c>
      <c r="O1958" s="2">
        <f>IF(M1958="","",IF(AND(N1958=_xlfn.MAXIFS(TF_AktSum,TF_Nokkel,M1958),COUNTIFS(M$3:M1957,M1958,N$3:N1957,N1958)=0),M1958,""))</f>
        <v/>
      </c>
    </row>
    <row r="1959">
      <c r="A1959" s="34" t="n"/>
      <c r="B1959" s="35" t="n"/>
      <c r="C1959" s="35" t="n"/>
      <c r="D1959" s="35" t="n"/>
      <c r="E1959" s="35" t="n"/>
      <c r="F1959" s="36" t="n"/>
      <c r="G1959" s="35" t="n"/>
      <c r="H1959" s="30">
        <f>IF(L1959="","",INDEX(SkiftNavn,L1959))</f>
        <v/>
      </c>
      <c r="I1959" s="30">
        <f>IF(OR(A1959="",L1959=""),"",IF(MOD(A1959-INDEX(SkiftStart,L1959),Syklus)&lt;DagK,"Kveld",IF(MOD(A1959-INDEX(SkiftStart,L1959),Syklus)&lt;DagK+DagH,"Helg",IF(MOD(A1959-INDEX(SkiftStart,L1959),Syklus)&lt;DagK+DagH+DagD,"Dag","Fri"))))</f>
        <v/>
      </c>
      <c r="J1959" s="30">
        <f>IF(I1959="Fri","Ja","")</f>
        <v/>
      </c>
      <c r="K1959" s="30">
        <f>IF(B1959="","",IF(L1959="","Ukjent tekniker",IF(ISNA(MATCH(C1959,Aktiviteter,0)),"Ukjent aktivitet",IF(AND(INDEX(AktRolle,MATCH(C1959,Aktiviteter,0))&amp;""&lt;&gt;"",ISERROR(SEARCH(INDEX(AktRolle,MATCH(C1959,Aktiviteter,0))&amp;"",INDEX(TekRoller,MATCH(B1959,Teknikere,0))))),"Mangler rollen "&amp;INDEX(AktRolle,MATCH(C1959,Aktiviteter,0))&amp;"",IF(AND(C1959="LMS",F1959&gt;0,OR(D1959="",E1959="")),"Mangler maskin eller arbeid",IF(AND(OR(C1959="LMS",C1959="Mod"),D1959&lt;&gt;""),IF(IFERROR(INDEX(MaskinStatus,MATCH(D1959,Maskiner,0)),"")="I dokk","","Maskinen er ikke i dokk"),""))))))</f>
        <v/>
      </c>
      <c r="L1959" s="2">
        <f>IF(B1959="","",IFERROR(INT((MATCH(B1959,Teknikere,0)-1)/18)+1,""))</f>
        <v/>
      </c>
      <c r="M1959" s="2">
        <f>IF(OR(A1959="",B1959=""),"",B1959&amp;"|"&amp;A1959)</f>
        <v/>
      </c>
      <c r="N1959" s="2">
        <f>IF(M1959="","",SUMIFS(TF_Timer,TF_Nokkel,M1959,TF_Akt,C1959))</f>
        <v/>
      </c>
      <c r="O1959" s="2">
        <f>IF(M1959="","",IF(AND(N1959=_xlfn.MAXIFS(TF_AktSum,TF_Nokkel,M1959),COUNTIFS(M$3:M1958,M1959,N$3:N1958,N1959)=0),M1959,""))</f>
        <v/>
      </c>
    </row>
    <row r="1960">
      <c r="A1960" s="34" t="n"/>
      <c r="B1960" s="35" t="n"/>
      <c r="C1960" s="35" t="n"/>
      <c r="D1960" s="35" t="n"/>
      <c r="E1960" s="35" t="n"/>
      <c r="F1960" s="36" t="n"/>
      <c r="G1960" s="35" t="n"/>
      <c r="H1960" s="30">
        <f>IF(L1960="","",INDEX(SkiftNavn,L1960))</f>
        <v/>
      </c>
      <c r="I1960" s="30">
        <f>IF(OR(A1960="",L1960=""),"",IF(MOD(A1960-INDEX(SkiftStart,L1960),Syklus)&lt;DagK,"Kveld",IF(MOD(A1960-INDEX(SkiftStart,L1960),Syklus)&lt;DagK+DagH,"Helg",IF(MOD(A1960-INDEX(SkiftStart,L1960),Syklus)&lt;DagK+DagH+DagD,"Dag","Fri"))))</f>
        <v/>
      </c>
      <c r="J1960" s="30">
        <f>IF(I1960="Fri","Ja","")</f>
        <v/>
      </c>
      <c r="K1960" s="30">
        <f>IF(B1960="","",IF(L1960="","Ukjent tekniker",IF(ISNA(MATCH(C1960,Aktiviteter,0)),"Ukjent aktivitet",IF(AND(INDEX(AktRolle,MATCH(C1960,Aktiviteter,0))&amp;""&lt;&gt;"",ISERROR(SEARCH(INDEX(AktRolle,MATCH(C1960,Aktiviteter,0))&amp;"",INDEX(TekRoller,MATCH(B1960,Teknikere,0))))),"Mangler rollen "&amp;INDEX(AktRolle,MATCH(C1960,Aktiviteter,0))&amp;"",IF(AND(C1960="LMS",F1960&gt;0,OR(D1960="",E1960="")),"Mangler maskin eller arbeid",IF(AND(OR(C1960="LMS",C1960="Mod"),D1960&lt;&gt;""),IF(IFERROR(INDEX(MaskinStatus,MATCH(D1960,Maskiner,0)),"")="I dokk","","Maskinen er ikke i dokk"),""))))))</f>
        <v/>
      </c>
      <c r="L1960" s="2">
        <f>IF(B1960="","",IFERROR(INT((MATCH(B1960,Teknikere,0)-1)/18)+1,""))</f>
        <v/>
      </c>
      <c r="M1960" s="2">
        <f>IF(OR(A1960="",B1960=""),"",B1960&amp;"|"&amp;A1960)</f>
        <v/>
      </c>
      <c r="N1960" s="2">
        <f>IF(M1960="","",SUMIFS(TF_Timer,TF_Nokkel,M1960,TF_Akt,C1960))</f>
        <v/>
      </c>
      <c r="O1960" s="2">
        <f>IF(M1960="","",IF(AND(N1960=_xlfn.MAXIFS(TF_AktSum,TF_Nokkel,M1960),COUNTIFS(M$3:M1959,M1960,N$3:N1959,N1960)=0),M1960,""))</f>
        <v/>
      </c>
    </row>
    <row r="1961">
      <c r="A1961" s="34" t="n"/>
      <c r="B1961" s="35" t="n"/>
      <c r="C1961" s="35" t="n"/>
      <c r="D1961" s="35" t="n"/>
      <c r="E1961" s="35" t="n"/>
      <c r="F1961" s="36" t="n"/>
      <c r="G1961" s="35" t="n"/>
      <c r="H1961" s="30">
        <f>IF(L1961="","",INDEX(SkiftNavn,L1961))</f>
        <v/>
      </c>
      <c r="I1961" s="30">
        <f>IF(OR(A1961="",L1961=""),"",IF(MOD(A1961-INDEX(SkiftStart,L1961),Syklus)&lt;DagK,"Kveld",IF(MOD(A1961-INDEX(SkiftStart,L1961),Syklus)&lt;DagK+DagH,"Helg",IF(MOD(A1961-INDEX(SkiftStart,L1961),Syklus)&lt;DagK+DagH+DagD,"Dag","Fri"))))</f>
        <v/>
      </c>
      <c r="J1961" s="30">
        <f>IF(I1961="Fri","Ja","")</f>
        <v/>
      </c>
      <c r="K1961" s="30">
        <f>IF(B1961="","",IF(L1961="","Ukjent tekniker",IF(ISNA(MATCH(C1961,Aktiviteter,0)),"Ukjent aktivitet",IF(AND(INDEX(AktRolle,MATCH(C1961,Aktiviteter,0))&amp;""&lt;&gt;"",ISERROR(SEARCH(INDEX(AktRolle,MATCH(C1961,Aktiviteter,0))&amp;"",INDEX(TekRoller,MATCH(B1961,Teknikere,0))))),"Mangler rollen "&amp;INDEX(AktRolle,MATCH(C1961,Aktiviteter,0))&amp;"",IF(AND(C1961="LMS",F1961&gt;0,OR(D1961="",E1961="")),"Mangler maskin eller arbeid",IF(AND(OR(C1961="LMS",C1961="Mod"),D1961&lt;&gt;""),IF(IFERROR(INDEX(MaskinStatus,MATCH(D1961,Maskiner,0)),"")="I dokk","","Maskinen er ikke i dokk"),""))))))</f>
        <v/>
      </c>
      <c r="L1961" s="2">
        <f>IF(B1961="","",IFERROR(INT((MATCH(B1961,Teknikere,0)-1)/18)+1,""))</f>
        <v/>
      </c>
      <c r="M1961" s="2">
        <f>IF(OR(A1961="",B1961=""),"",B1961&amp;"|"&amp;A1961)</f>
        <v/>
      </c>
      <c r="N1961" s="2">
        <f>IF(M1961="","",SUMIFS(TF_Timer,TF_Nokkel,M1961,TF_Akt,C1961))</f>
        <v/>
      </c>
      <c r="O1961" s="2">
        <f>IF(M1961="","",IF(AND(N1961=_xlfn.MAXIFS(TF_AktSum,TF_Nokkel,M1961),COUNTIFS(M$3:M1960,M1961,N$3:N1960,N1961)=0),M1961,""))</f>
        <v/>
      </c>
    </row>
    <row r="1962">
      <c r="A1962" s="34" t="n"/>
      <c r="B1962" s="35" t="n"/>
      <c r="C1962" s="35" t="n"/>
      <c r="D1962" s="35" t="n"/>
      <c r="E1962" s="35" t="n"/>
      <c r="F1962" s="36" t="n"/>
      <c r="G1962" s="35" t="n"/>
      <c r="H1962" s="30">
        <f>IF(L1962="","",INDEX(SkiftNavn,L1962))</f>
        <v/>
      </c>
      <c r="I1962" s="30">
        <f>IF(OR(A1962="",L1962=""),"",IF(MOD(A1962-INDEX(SkiftStart,L1962),Syklus)&lt;DagK,"Kveld",IF(MOD(A1962-INDEX(SkiftStart,L1962),Syklus)&lt;DagK+DagH,"Helg",IF(MOD(A1962-INDEX(SkiftStart,L1962),Syklus)&lt;DagK+DagH+DagD,"Dag","Fri"))))</f>
        <v/>
      </c>
      <c r="J1962" s="30">
        <f>IF(I1962="Fri","Ja","")</f>
        <v/>
      </c>
      <c r="K1962" s="30">
        <f>IF(B1962="","",IF(L1962="","Ukjent tekniker",IF(ISNA(MATCH(C1962,Aktiviteter,0)),"Ukjent aktivitet",IF(AND(INDEX(AktRolle,MATCH(C1962,Aktiviteter,0))&amp;""&lt;&gt;"",ISERROR(SEARCH(INDEX(AktRolle,MATCH(C1962,Aktiviteter,0))&amp;"",INDEX(TekRoller,MATCH(B1962,Teknikere,0))))),"Mangler rollen "&amp;INDEX(AktRolle,MATCH(C1962,Aktiviteter,0))&amp;"",IF(AND(C1962="LMS",F1962&gt;0,OR(D1962="",E1962="")),"Mangler maskin eller arbeid",IF(AND(OR(C1962="LMS",C1962="Mod"),D1962&lt;&gt;""),IF(IFERROR(INDEX(MaskinStatus,MATCH(D1962,Maskiner,0)),"")="I dokk","","Maskinen er ikke i dokk"),""))))))</f>
        <v/>
      </c>
      <c r="L1962" s="2">
        <f>IF(B1962="","",IFERROR(INT((MATCH(B1962,Teknikere,0)-1)/18)+1,""))</f>
        <v/>
      </c>
      <c r="M1962" s="2">
        <f>IF(OR(A1962="",B1962=""),"",B1962&amp;"|"&amp;A1962)</f>
        <v/>
      </c>
      <c r="N1962" s="2">
        <f>IF(M1962="","",SUMIFS(TF_Timer,TF_Nokkel,M1962,TF_Akt,C1962))</f>
        <v/>
      </c>
      <c r="O1962" s="2">
        <f>IF(M1962="","",IF(AND(N1962=_xlfn.MAXIFS(TF_AktSum,TF_Nokkel,M1962),COUNTIFS(M$3:M1961,M1962,N$3:N1961,N1962)=0),M1962,""))</f>
        <v/>
      </c>
    </row>
    <row r="1963">
      <c r="A1963" s="34" t="n"/>
      <c r="B1963" s="35" t="n"/>
      <c r="C1963" s="35" t="n"/>
      <c r="D1963" s="35" t="n"/>
      <c r="E1963" s="35" t="n"/>
      <c r="F1963" s="36" t="n"/>
      <c r="G1963" s="35" t="n"/>
      <c r="H1963" s="30">
        <f>IF(L1963="","",INDEX(SkiftNavn,L1963))</f>
        <v/>
      </c>
      <c r="I1963" s="30">
        <f>IF(OR(A1963="",L1963=""),"",IF(MOD(A1963-INDEX(SkiftStart,L1963),Syklus)&lt;DagK,"Kveld",IF(MOD(A1963-INDEX(SkiftStart,L1963),Syklus)&lt;DagK+DagH,"Helg",IF(MOD(A1963-INDEX(SkiftStart,L1963),Syklus)&lt;DagK+DagH+DagD,"Dag","Fri"))))</f>
        <v/>
      </c>
      <c r="J1963" s="30">
        <f>IF(I1963="Fri","Ja","")</f>
        <v/>
      </c>
      <c r="K1963" s="30">
        <f>IF(B1963="","",IF(L1963="","Ukjent tekniker",IF(ISNA(MATCH(C1963,Aktiviteter,0)),"Ukjent aktivitet",IF(AND(INDEX(AktRolle,MATCH(C1963,Aktiviteter,0))&amp;""&lt;&gt;"",ISERROR(SEARCH(INDEX(AktRolle,MATCH(C1963,Aktiviteter,0))&amp;"",INDEX(TekRoller,MATCH(B1963,Teknikere,0))))),"Mangler rollen "&amp;INDEX(AktRolle,MATCH(C1963,Aktiviteter,0))&amp;"",IF(AND(C1963="LMS",F1963&gt;0,OR(D1963="",E1963="")),"Mangler maskin eller arbeid",IF(AND(OR(C1963="LMS",C1963="Mod"),D1963&lt;&gt;""),IF(IFERROR(INDEX(MaskinStatus,MATCH(D1963,Maskiner,0)),"")="I dokk","","Maskinen er ikke i dokk"),""))))))</f>
        <v/>
      </c>
      <c r="L1963" s="2">
        <f>IF(B1963="","",IFERROR(INT((MATCH(B1963,Teknikere,0)-1)/18)+1,""))</f>
        <v/>
      </c>
      <c r="M1963" s="2">
        <f>IF(OR(A1963="",B1963=""),"",B1963&amp;"|"&amp;A1963)</f>
        <v/>
      </c>
      <c r="N1963" s="2">
        <f>IF(M1963="","",SUMIFS(TF_Timer,TF_Nokkel,M1963,TF_Akt,C1963))</f>
        <v/>
      </c>
      <c r="O1963" s="2">
        <f>IF(M1963="","",IF(AND(N1963=_xlfn.MAXIFS(TF_AktSum,TF_Nokkel,M1963),COUNTIFS(M$3:M1962,M1963,N$3:N1962,N1963)=0),M1963,""))</f>
        <v/>
      </c>
    </row>
    <row r="1964">
      <c r="A1964" s="34" t="n"/>
      <c r="B1964" s="35" t="n"/>
      <c r="C1964" s="35" t="n"/>
      <c r="D1964" s="35" t="n"/>
      <c r="E1964" s="35" t="n"/>
      <c r="F1964" s="36" t="n"/>
      <c r="G1964" s="35" t="n"/>
      <c r="H1964" s="30">
        <f>IF(L1964="","",INDEX(SkiftNavn,L1964))</f>
        <v/>
      </c>
      <c r="I1964" s="30">
        <f>IF(OR(A1964="",L1964=""),"",IF(MOD(A1964-INDEX(SkiftStart,L1964),Syklus)&lt;DagK,"Kveld",IF(MOD(A1964-INDEX(SkiftStart,L1964),Syklus)&lt;DagK+DagH,"Helg",IF(MOD(A1964-INDEX(SkiftStart,L1964),Syklus)&lt;DagK+DagH+DagD,"Dag","Fri"))))</f>
        <v/>
      </c>
      <c r="J1964" s="30">
        <f>IF(I1964="Fri","Ja","")</f>
        <v/>
      </c>
      <c r="K1964" s="30">
        <f>IF(B1964="","",IF(L1964="","Ukjent tekniker",IF(ISNA(MATCH(C1964,Aktiviteter,0)),"Ukjent aktivitet",IF(AND(INDEX(AktRolle,MATCH(C1964,Aktiviteter,0))&amp;""&lt;&gt;"",ISERROR(SEARCH(INDEX(AktRolle,MATCH(C1964,Aktiviteter,0))&amp;"",INDEX(TekRoller,MATCH(B1964,Teknikere,0))))),"Mangler rollen "&amp;INDEX(AktRolle,MATCH(C1964,Aktiviteter,0))&amp;"",IF(AND(C1964="LMS",F1964&gt;0,OR(D1964="",E1964="")),"Mangler maskin eller arbeid",IF(AND(OR(C1964="LMS",C1964="Mod"),D1964&lt;&gt;""),IF(IFERROR(INDEX(MaskinStatus,MATCH(D1964,Maskiner,0)),"")="I dokk","","Maskinen er ikke i dokk"),""))))))</f>
        <v/>
      </c>
      <c r="L1964" s="2">
        <f>IF(B1964="","",IFERROR(INT((MATCH(B1964,Teknikere,0)-1)/18)+1,""))</f>
        <v/>
      </c>
      <c r="M1964" s="2">
        <f>IF(OR(A1964="",B1964=""),"",B1964&amp;"|"&amp;A1964)</f>
        <v/>
      </c>
      <c r="N1964" s="2">
        <f>IF(M1964="","",SUMIFS(TF_Timer,TF_Nokkel,M1964,TF_Akt,C1964))</f>
        <v/>
      </c>
      <c r="O1964" s="2">
        <f>IF(M1964="","",IF(AND(N1964=_xlfn.MAXIFS(TF_AktSum,TF_Nokkel,M1964),COUNTIFS(M$3:M1963,M1964,N$3:N1963,N1964)=0),M1964,""))</f>
        <v/>
      </c>
    </row>
    <row r="1965">
      <c r="A1965" s="34" t="n"/>
      <c r="B1965" s="35" t="n"/>
      <c r="C1965" s="35" t="n"/>
      <c r="D1965" s="35" t="n"/>
      <c r="E1965" s="35" t="n"/>
      <c r="F1965" s="36" t="n"/>
      <c r="G1965" s="35" t="n"/>
      <c r="H1965" s="30">
        <f>IF(L1965="","",INDEX(SkiftNavn,L1965))</f>
        <v/>
      </c>
      <c r="I1965" s="30">
        <f>IF(OR(A1965="",L1965=""),"",IF(MOD(A1965-INDEX(SkiftStart,L1965),Syklus)&lt;DagK,"Kveld",IF(MOD(A1965-INDEX(SkiftStart,L1965),Syklus)&lt;DagK+DagH,"Helg",IF(MOD(A1965-INDEX(SkiftStart,L1965),Syklus)&lt;DagK+DagH+DagD,"Dag","Fri"))))</f>
        <v/>
      </c>
      <c r="J1965" s="30">
        <f>IF(I1965="Fri","Ja","")</f>
        <v/>
      </c>
      <c r="K1965" s="30">
        <f>IF(B1965="","",IF(L1965="","Ukjent tekniker",IF(ISNA(MATCH(C1965,Aktiviteter,0)),"Ukjent aktivitet",IF(AND(INDEX(AktRolle,MATCH(C1965,Aktiviteter,0))&amp;""&lt;&gt;"",ISERROR(SEARCH(INDEX(AktRolle,MATCH(C1965,Aktiviteter,0))&amp;"",INDEX(TekRoller,MATCH(B1965,Teknikere,0))))),"Mangler rollen "&amp;INDEX(AktRolle,MATCH(C1965,Aktiviteter,0))&amp;"",IF(AND(C1965="LMS",F1965&gt;0,OR(D1965="",E1965="")),"Mangler maskin eller arbeid",IF(AND(OR(C1965="LMS",C1965="Mod"),D1965&lt;&gt;""),IF(IFERROR(INDEX(MaskinStatus,MATCH(D1965,Maskiner,0)),"")="I dokk","","Maskinen er ikke i dokk"),""))))))</f>
        <v/>
      </c>
      <c r="L1965" s="2">
        <f>IF(B1965="","",IFERROR(INT((MATCH(B1965,Teknikere,0)-1)/18)+1,""))</f>
        <v/>
      </c>
      <c r="M1965" s="2">
        <f>IF(OR(A1965="",B1965=""),"",B1965&amp;"|"&amp;A1965)</f>
        <v/>
      </c>
      <c r="N1965" s="2">
        <f>IF(M1965="","",SUMIFS(TF_Timer,TF_Nokkel,M1965,TF_Akt,C1965))</f>
        <v/>
      </c>
      <c r="O1965" s="2">
        <f>IF(M1965="","",IF(AND(N1965=_xlfn.MAXIFS(TF_AktSum,TF_Nokkel,M1965),COUNTIFS(M$3:M1964,M1965,N$3:N1964,N1965)=0),M1965,""))</f>
        <v/>
      </c>
    </row>
    <row r="1966">
      <c r="A1966" s="34" t="n"/>
      <c r="B1966" s="35" t="n"/>
      <c r="C1966" s="35" t="n"/>
      <c r="D1966" s="35" t="n"/>
      <c r="E1966" s="35" t="n"/>
      <c r="F1966" s="36" t="n"/>
      <c r="G1966" s="35" t="n"/>
      <c r="H1966" s="30">
        <f>IF(L1966="","",INDEX(SkiftNavn,L1966))</f>
        <v/>
      </c>
      <c r="I1966" s="30">
        <f>IF(OR(A1966="",L1966=""),"",IF(MOD(A1966-INDEX(SkiftStart,L1966),Syklus)&lt;DagK,"Kveld",IF(MOD(A1966-INDEX(SkiftStart,L1966),Syklus)&lt;DagK+DagH,"Helg",IF(MOD(A1966-INDEX(SkiftStart,L1966),Syklus)&lt;DagK+DagH+DagD,"Dag","Fri"))))</f>
        <v/>
      </c>
      <c r="J1966" s="30">
        <f>IF(I1966="Fri","Ja","")</f>
        <v/>
      </c>
      <c r="K1966" s="30">
        <f>IF(B1966="","",IF(L1966="","Ukjent tekniker",IF(ISNA(MATCH(C1966,Aktiviteter,0)),"Ukjent aktivitet",IF(AND(INDEX(AktRolle,MATCH(C1966,Aktiviteter,0))&amp;""&lt;&gt;"",ISERROR(SEARCH(INDEX(AktRolle,MATCH(C1966,Aktiviteter,0))&amp;"",INDEX(TekRoller,MATCH(B1966,Teknikere,0))))),"Mangler rollen "&amp;INDEX(AktRolle,MATCH(C1966,Aktiviteter,0))&amp;"",IF(AND(C1966="LMS",F1966&gt;0,OR(D1966="",E1966="")),"Mangler maskin eller arbeid",IF(AND(OR(C1966="LMS",C1966="Mod"),D1966&lt;&gt;""),IF(IFERROR(INDEX(MaskinStatus,MATCH(D1966,Maskiner,0)),"")="I dokk","","Maskinen er ikke i dokk"),""))))))</f>
        <v/>
      </c>
      <c r="L1966" s="2">
        <f>IF(B1966="","",IFERROR(INT((MATCH(B1966,Teknikere,0)-1)/18)+1,""))</f>
        <v/>
      </c>
      <c r="M1966" s="2">
        <f>IF(OR(A1966="",B1966=""),"",B1966&amp;"|"&amp;A1966)</f>
        <v/>
      </c>
      <c r="N1966" s="2">
        <f>IF(M1966="","",SUMIFS(TF_Timer,TF_Nokkel,M1966,TF_Akt,C1966))</f>
        <v/>
      </c>
      <c r="O1966" s="2">
        <f>IF(M1966="","",IF(AND(N1966=_xlfn.MAXIFS(TF_AktSum,TF_Nokkel,M1966),COUNTIFS(M$3:M1965,M1966,N$3:N1965,N1966)=0),M1966,""))</f>
        <v/>
      </c>
    </row>
    <row r="1967">
      <c r="A1967" s="34" t="n"/>
      <c r="B1967" s="35" t="n"/>
      <c r="C1967" s="35" t="n"/>
      <c r="D1967" s="35" t="n"/>
      <c r="E1967" s="35" t="n"/>
      <c r="F1967" s="36" t="n"/>
      <c r="G1967" s="35" t="n"/>
      <c r="H1967" s="30">
        <f>IF(L1967="","",INDEX(SkiftNavn,L1967))</f>
        <v/>
      </c>
      <c r="I1967" s="30">
        <f>IF(OR(A1967="",L1967=""),"",IF(MOD(A1967-INDEX(SkiftStart,L1967),Syklus)&lt;DagK,"Kveld",IF(MOD(A1967-INDEX(SkiftStart,L1967),Syklus)&lt;DagK+DagH,"Helg",IF(MOD(A1967-INDEX(SkiftStart,L1967),Syklus)&lt;DagK+DagH+DagD,"Dag","Fri"))))</f>
        <v/>
      </c>
      <c r="J1967" s="30">
        <f>IF(I1967="Fri","Ja","")</f>
        <v/>
      </c>
      <c r="K1967" s="30">
        <f>IF(B1967="","",IF(L1967="","Ukjent tekniker",IF(ISNA(MATCH(C1967,Aktiviteter,0)),"Ukjent aktivitet",IF(AND(INDEX(AktRolle,MATCH(C1967,Aktiviteter,0))&amp;""&lt;&gt;"",ISERROR(SEARCH(INDEX(AktRolle,MATCH(C1967,Aktiviteter,0))&amp;"",INDEX(TekRoller,MATCH(B1967,Teknikere,0))))),"Mangler rollen "&amp;INDEX(AktRolle,MATCH(C1967,Aktiviteter,0))&amp;"",IF(AND(C1967="LMS",F1967&gt;0,OR(D1967="",E1967="")),"Mangler maskin eller arbeid",IF(AND(OR(C1967="LMS",C1967="Mod"),D1967&lt;&gt;""),IF(IFERROR(INDEX(MaskinStatus,MATCH(D1967,Maskiner,0)),"")="I dokk","","Maskinen er ikke i dokk"),""))))))</f>
        <v/>
      </c>
      <c r="L1967" s="2">
        <f>IF(B1967="","",IFERROR(INT((MATCH(B1967,Teknikere,0)-1)/18)+1,""))</f>
        <v/>
      </c>
      <c r="M1967" s="2">
        <f>IF(OR(A1967="",B1967=""),"",B1967&amp;"|"&amp;A1967)</f>
        <v/>
      </c>
      <c r="N1967" s="2">
        <f>IF(M1967="","",SUMIFS(TF_Timer,TF_Nokkel,M1967,TF_Akt,C1967))</f>
        <v/>
      </c>
      <c r="O1967" s="2">
        <f>IF(M1967="","",IF(AND(N1967=_xlfn.MAXIFS(TF_AktSum,TF_Nokkel,M1967),COUNTIFS(M$3:M1966,M1967,N$3:N1966,N1967)=0),M1967,""))</f>
        <v/>
      </c>
    </row>
    <row r="1968">
      <c r="A1968" s="34" t="n"/>
      <c r="B1968" s="35" t="n"/>
      <c r="C1968" s="35" t="n"/>
      <c r="D1968" s="35" t="n"/>
      <c r="E1968" s="35" t="n"/>
      <c r="F1968" s="36" t="n"/>
      <c r="G1968" s="35" t="n"/>
      <c r="H1968" s="30">
        <f>IF(L1968="","",INDEX(SkiftNavn,L1968))</f>
        <v/>
      </c>
      <c r="I1968" s="30">
        <f>IF(OR(A1968="",L1968=""),"",IF(MOD(A1968-INDEX(SkiftStart,L1968),Syklus)&lt;DagK,"Kveld",IF(MOD(A1968-INDEX(SkiftStart,L1968),Syklus)&lt;DagK+DagH,"Helg",IF(MOD(A1968-INDEX(SkiftStart,L1968),Syklus)&lt;DagK+DagH+DagD,"Dag","Fri"))))</f>
        <v/>
      </c>
      <c r="J1968" s="30">
        <f>IF(I1968="Fri","Ja","")</f>
        <v/>
      </c>
      <c r="K1968" s="30">
        <f>IF(B1968="","",IF(L1968="","Ukjent tekniker",IF(ISNA(MATCH(C1968,Aktiviteter,0)),"Ukjent aktivitet",IF(AND(INDEX(AktRolle,MATCH(C1968,Aktiviteter,0))&amp;""&lt;&gt;"",ISERROR(SEARCH(INDEX(AktRolle,MATCH(C1968,Aktiviteter,0))&amp;"",INDEX(TekRoller,MATCH(B1968,Teknikere,0))))),"Mangler rollen "&amp;INDEX(AktRolle,MATCH(C1968,Aktiviteter,0))&amp;"",IF(AND(C1968="LMS",F1968&gt;0,OR(D1968="",E1968="")),"Mangler maskin eller arbeid",IF(AND(OR(C1968="LMS",C1968="Mod"),D1968&lt;&gt;""),IF(IFERROR(INDEX(MaskinStatus,MATCH(D1968,Maskiner,0)),"")="I dokk","","Maskinen er ikke i dokk"),""))))))</f>
        <v/>
      </c>
      <c r="L1968" s="2">
        <f>IF(B1968="","",IFERROR(INT((MATCH(B1968,Teknikere,0)-1)/18)+1,""))</f>
        <v/>
      </c>
      <c r="M1968" s="2">
        <f>IF(OR(A1968="",B1968=""),"",B1968&amp;"|"&amp;A1968)</f>
        <v/>
      </c>
      <c r="N1968" s="2">
        <f>IF(M1968="","",SUMIFS(TF_Timer,TF_Nokkel,M1968,TF_Akt,C1968))</f>
        <v/>
      </c>
      <c r="O1968" s="2">
        <f>IF(M1968="","",IF(AND(N1968=_xlfn.MAXIFS(TF_AktSum,TF_Nokkel,M1968),COUNTIFS(M$3:M1967,M1968,N$3:N1967,N1968)=0),M1968,""))</f>
        <v/>
      </c>
    </row>
    <row r="1969">
      <c r="A1969" s="34" t="n"/>
      <c r="B1969" s="35" t="n"/>
      <c r="C1969" s="35" t="n"/>
      <c r="D1969" s="35" t="n"/>
      <c r="E1969" s="35" t="n"/>
      <c r="F1969" s="36" t="n"/>
      <c r="G1969" s="35" t="n"/>
      <c r="H1969" s="30">
        <f>IF(L1969="","",INDEX(SkiftNavn,L1969))</f>
        <v/>
      </c>
      <c r="I1969" s="30">
        <f>IF(OR(A1969="",L1969=""),"",IF(MOD(A1969-INDEX(SkiftStart,L1969),Syklus)&lt;DagK,"Kveld",IF(MOD(A1969-INDEX(SkiftStart,L1969),Syklus)&lt;DagK+DagH,"Helg",IF(MOD(A1969-INDEX(SkiftStart,L1969),Syklus)&lt;DagK+DagH+DagD,"Dag","Fri"))))</f>
        <v/>
      </c>
      <c r="J1969" s="30">
        <f>IF(I1969="Fri","Ja","")</f>
        <v/>
      </c>
      <c r="K1969" s="30">
        <f>IF(B1969="","",IF(L1969="","Ukjent tekniker",IF(ISNA(MATCH(C1969,Aktiviteter,0)),"Ukjent aktivitet",IF(AND(INDEX(AktRolle,MATCH(C1969,Aktiviteter,0))&amp;""&lt;&gt;"",ISERROR(SEARCH(INDEX(AktRolle,MATCH(C1969,Aktiviteter,0))&amp;"",INDEX(TekRoller,MATCH(B1969,Teknikere,0))))),"Mangler rollen "&amp;INDEX(AktRolle,MATCH(C1969,Aktiviteter,0))&amp;"",IF(AND(C1969="LMS",F1969&gt;0,OR(D1969="",E1969="")),"Mangler maskin eller arbeid",IF(AND(OR(C1969="LMS",C1969="Mod"),D1969&lt;&gt;""),IF(IFERROR(INDEX(MaskinStatus,MATCH(D1969,Maskiner,0)),"")="I dokk","","Maskinen er ikke i dokk"),""))))))</f>
        <v/>
      </c>
      <c r="L1969" s="2">
        <f>IF(B1969="","",IFERROR(INT((MATCH(B1969,Teknikere,0)-1)/18)+1,""))</f>
        <v/>
      </c>
      <c r="M1969" s="2">
        <f>IF(OR(A1969="",B1969=""),"",B1969&amp;"|"&amp;A1969)</f>
        <v/>
      </c>
      <c r="N1969" s="2">
        <f>IF(M1969="","",SUMIFS(TF_Timer,TF_Nokkel,M1969,TF_Akt,C1969))</f>
        <v/>
      </c>
      <c r="O1969" s="2">
        <f>IF(M1969="","",IF(AND(N1969=_xlfn.MAXIFS(TF_AktSum,TF_Nokkel,M1969),COUNTIFS(M$3:M1968,M1969,N$3:N1968,N1969)=0),M1969,""))</f>
        <v/>
      </c>
    </row>
    <row r="1970">
      <c r="A1970" s="34" t="n"/>
      <c r="B1970" s="35" t="n"/>
      <c r="C1970" s="35" t="n"/>
      <c r="D1970" s="35" t="n"/>
      <c r="E1970" s="35" t="n"/>
      <c r="F1970" s="36" t="n"/>
      <c r="G1970" s="35" t="n"/>
      <c r="H1970" s="30">
        <f>IF(L1970="","",INDEX(SkiftNavn,L1970))</f>
        <v/>
      </c>
      <c r="I1970" s="30">
        <f>IF(OR(A1970="",L1970=""),"",IF(MOD(A1970-INDEX(SkiftStart,L1970),Syklus)&lt;DagK,"Kveld",IF(MOD(A1970-INDEX(SkiftStart,L1970),Syklus)&lt;DagK+DagH,"Helg",IF(MOD(A1970-INDEX(SkiftStart,L1970),Syklus)&lt;DagK+DagH+DagD,"Dag","Fri"))))</f>
        <v/>
      </c>
      <c r="J1970" s="30">
        <f>IF(I1970="Fri","Ja","")</f>
        <v/>
      </c>
      <c r="K1970" s="30">
        <f>IF(B1970="","",IF(L1970="","Ukjent tekniker",IF(ISNA(MATCH(C1970,Aktiviteter,0)),"Ukjent aktivitet",IF(AND(INDEX(AktRolle,MATCH(C1970,Aktiviteter,0))&amp;""&lt;&gt;"",ISERROR(SEARCH(INDEX(AktRolle,MATCH(C1970,Aktiviteter,0))&amp;"",INDEX(TekRoller,MATCH(B1970,Teknikere,0))))),"Mangler rollen "&amp;INDEX(AktRolle,MATCH(C1970,Aktiviteter,0))&amp;"",IF(AND(C1970="LMS",F1970&gt;0,OR(D1970="",E1970="")),"Mangler maskin eller arbeid",IF(AND(OR(C1970="LMS",C1970="Mod"),D1970&lt;&gt;""),IF(IFERROR(INDEX(MaskinStatus,MATCH(D1970,Maskiner,0)),"")="I dokk","","Maskinen er ikke i dokk"),""))))))</f>
        <v/>
      </c>
      <c r="L1970" s="2">
        <f>IF(B1970="","",IFERROR(INT((MATCH(B1970,Teknikere,0)-1)/18)+1,""))</f>
        <v/>
      </c>
      <c r="M1970" s="2">
        <f>IF(OR(A1970="",B1970=""),"",B1970&amp;"|"&amp;A1970)</f>
        <v/>
      </c>
      <c r="N1970" s="2">
        <f>IF(M1970="","",SUMIFS(TF_Timer,TF_Nokkel,M1970,TF_Akt,C1970))</f>
        <v/>
      </c>
      <c r="O1970" s="2">
        <f>IF(M1970="","",IF(AND(N1970=_xlfn.MAXIFS(TF_AktSum,TF_Nokkel,M1970),COUNTIFS(M$3:M1969,M1970,N$3:N1969,N1970)=0),M1970,""))</f>
        <v/>
      </c>
    </row>
    <row r="1971">
      <c r="A1971" s="34" t="n"/>
      <c r="B1971" s="35" t="n"/>
      <c r="C1971" s="35" t="n"/>
      <c r="D1971" s="35" t="n"/>
      <c r="E1971" s="35" t="n"/>
      <c r="F1971" s="36" t="n"/>
      <c r="G1971" s="35" t="n"/>
      <c r="H1971" s="30">
        <f>IF(L1971="","",INDEX(SkiftNavn,L1971))</f>
        <v/>
      </c>
      <c r="I1971" s="30">
        <f>IF(OR(A1971="",L1971=""),"",IF(MOD(A1971-INDEX(SkiftStart,L1971),Syklus)&lt;DagK,"Kveld",IF(MOD(A1971-INDEX(SkiftStart,L1971),Syklus)&lt;DagK+DagH,"Helg",IF(MOD(A1971-INDEX(SkiftStart,L1971),Syklus)&lt;DagK+DagH+DagD,"Dag","Fri"))))</f>
        <v/>
      </c>
      <c r="J1971" s="30">
        <f>IF(I1971="Fri","Ja","")</f>
        <v/>
      </c>
      <c r="K1971" s="30">
        <f>IF(B1971="","",IF(L1971="","Ukjent tekniker",IF(ISNA(MATCH(C1971,Aktiviteter,0)),"Ukjent aktivitet",IF(AND(INDEX(AktRolle,MATCH(C1971,Aktiviteter,0))&amp;""&lt;&gt;"",ISERROR(SEARCH(INDEX(AktRolle,MATCH(C1971,Aktiviteter,0))&amp;"",INDEX(TekRoller,MATCH(B1971,Teknikere,0))))),"Mangler rollen "&amp;INDEX(AktRolle,MATCH(C1971,Aktiviteter,0))&amp;"",IF(AND(C1971="LMS",F1971&gt;0,OR(D1971="",E1971="")),"Mangler maskin eller arbeid",IF(AND(OR(C1971="LMS",C1971="Mod"),D1971&lt;&gt;""),IF(IFERROR(INDEX(MaskinStatus,MATCH(D1971,Maskiner,0)),"")="I dokk","","Maskinen er ikke i dokk"),""))))))</f>
        <v/>
      </c>
      <c r="L1971" s="2">
        <f>IF(B1971="","",IFERROR(INT((MATCH(B1971,Teknikere,0)-1)/18)+1,""))</f>
        <v/>
      </c>
      <c r="M1971" s="2">
        <f>IF(OR(A1971="",B1971=""),"",B1971&amp;"|"&amp;A1971)</f>
        <v/>
      </c>
      <c r="N1971" s="2">
        <f>IF(M1971="","",SUMIFS(TF_Timer,TF_Nokkel,M1971,TF_Akt,C1971))</f>
        <v/>
      </c>
      <c r="O1971" s="2">
        <f>IF(M1971="","",IF(AND(N1971=_xlfn.MAXIFS(TF_AktSum,TF_Nokkel,M1971),COUNTIFS(M$3:M1970,M1971,N$3:N1970,N1971)=0),M1971,""))</f>
        <v/>
      </c>
    </row>
    <row r="1972">
      <c r="A1972" s="34" t="n"/>
      <c r="B1972" s="35" t="n"/>
      <c r="C1972" s="35" t="n"/>
      <c r="D1972" s="35" t="n"/>
      <c r="E1972" s="35" t="n"/>
      <c r="F1972" s="36" t="n"/>
      <c r="G1972" s="35" t="n"/>
      <c r="H1972" s="30">
        <f>IF(L1972="","",INDEX(SkiftNavn,L1972))</f>
        <v/>
      </c>
      <c r="I1972" s="30">
        <f>IF(OR(A1972="",L1972=""),"",IF(MOD(A1972-INDEX(SkiftStart,L1972),Syklus)&lt;DagK,"Kveld",IF(MOD(A1972-INDEX(SkiftStart,L1972),Syklus)&lt;DagK+DagH,"Helg",IF(MOD(A1972-INDEX(SkiftStart,L1972),Syklus)&lt;DagK+DagH+DagD,"Dag","Fri"))))</f>
        <v/>
      </c>
      <c r="J1972" s="30">
        <f>IF(I1972="Fri","Ja","")</f>
        <v/>
      </c>
      <c r="K1972" s="30">
        <f>IF(B1972="","",IF(L1972="","Ukjent tekniker",IF(ISNA(MATCH(C1972,Aktiviteter,0)),"Ukjent aktivitet",IF(AND(INDEX(AktRolle,MATCH(C1972,Aktiviteter,0))&amp;""&lt;&gt;"",ISERROR(SEARCH(INDEX(AktRolle,MATCH(C1972,Aktiviteter,0))&amp;"",INDEX(TekRoller,MATCH(B1972,Teknikere,0))))),"Mangler rollen "&amp;INDEX(AktRolle,MATCH(C1972,Aktiviteter,0))&amp;"",IF(AND(C1972="LMS",F1972&gt;0,OR(D1972="",E1972="")),"Mangler maskin eller arbeid",IF(AND(OR(C1972="LMS",C1972="Mod"),D1972&lt;&gt;""),IF(IFERROR(INDEX(MaskinStatus,MATCH(D1972,Maskiner,0)),"")="I dokk","","Maskinen er ikke i dokk"),""))))))</f>
        <v/>
      </c>
      <c r="L1972" s="2">
        <f>IF(B1972="","",IFERROR(INT((MATCH(B1972,Teknikere,0)-1)/18)+1,""))</f>
        <v/>
      </c>
      <c r="M1972" s="2">
        <f>IF(OR(A1972="",B1972=""),"",B1972&amp;"|"&amp;A1972)</f>
        <v/>
      </c>
      <c r="N1972" s="2">
        <f>IF(M1972="","",SUMIFS(TF_Timer,TF_Nokkel,M1972,TF_Akt,C1972))</f>
        <v/>
      </c>
      <c r="O1972" s="2">
        <f>IF(M1972="","",IF(AND(N1972=_xlfn.MAXIFS(TF_AktSum,TF_Nokkel,M1972),COUNTIFS(M$3:M1971,M1972,N$3:N1971,N1972)=0),M1972,""))</f>
        <v/>
      </c>
    </row>
    <row r="1973">
      <c r="A1973" s="34" t="n"/>
      <c r="B1973" s="35" t="n"/>
      <c r="C1973" s="35" t="n"/>
      <c r="D1973" s="35" t="n"/>
      <c r="E1973" s="35" t="n"/>
      <c r="F1973" s="36" t="n"/>
      <c r="G1973" s="35" t="n"/>
      <c r="H1973" s="30">
        <f>IF(L1973="","",INDEX(SkiftNavn,L1973))</f>
        <v/>
      </c>
      <c r="I1973" s="30">
        <f>IF(OR(A1973="",L1973=""),"",IF(MOD(A1973-INDEX(SkiftStart,L1973),Syklus)&lt;DagK,"Kveld",IF(MOD(A1973-INDEX(SkiftStart,L1973),Syklus)&lt;DagK+DagH,"Helg",IF(MOD(A1973-INDEX(SkiftStart,L1973),Syklus)&lt;DagK+DagH+DagD,"Dag","Fri"))))</f>
        <v/>
      </c>
      <c r="J1973" s="30">
        <f>IF(I1973="Fri","Ja","")</f>
        <v/>
      </c>
      <c r="K1973" s="30">
        <f>IF(B1973="","",IF(L1973="","Ukjent tekniker",IF(ISNA(MATCH(C1973,Aktiviteter,0)),"Ukjent aktivitet",IF(AND(INDEX(AktRolle,MATCH(C1973,Aktiviteter,0))&amp;""&lt;&gt;"",ISERROR(SEARCH(INDEX(AktRolle,MATCH(C1973,Aktiviteter,0))&amp;"",INDEX(TekRoller,MATCH(B1973,Teknikere,0))))),"Mangler rollen "&amp;INDEX(AktRolle,MATCH(C1973,Aktiviteter,0))&amp;"",IF(AND(C1973="LMS",F1973&gt;0,OR(D1973="",E1973="")),"Mangler maskin eller arbeid",IF(AND(OR(C1973="LMS",C1973="Mod"),D1973&lt;&gt;""),IF(IFERROR(INDEX(MaskinStatus,MATCH(D1973,Maskiner,0)),"")="I dokk","","Maskinen er ikke i dokk"),""))))))</f>
        <v/>
      </c>
      <c r="L1973" s="2">
        <f>IF(B1973="","",IFERROR(INT((MATCH(B1973,Teknikere,0)-1)/18)+1,""))</f>
        <v/>
      </c>
      <c r="M1973" s="2">
        <f>IF(OR(A1973="",B1973=""),"",B1973&amp;"|"&amp;A1973)</f>
        <v/>
      </c>
      <c r="N1973" s="2">
        <f>IF(M1973="","",SUMIFS(TF_Timer,TF_Nokkel,M1973,TF_Akt,C1973))</f>
        <v/>
      </c>
      <c r="O1973" s="2">
        <f>IF(M1973="","",IF(AND(N1973=_xlfn.MAXIFS(TF_AktSum,TF_Nokkel,M1973),COUNTIFS(M$3:M1972,M1973,N$3:N1972,N1973)=0),M1973,""))</f>
        <v/>
      </c>
    </row>
    <row r="1974">
      <c r="A1974" s="34" t="n"/>
      <c r="B1974" s="35" t="n"/>
      <c r="C1974" s="35" t="n"/>
      <c r="D1974" s="35" t="n"/>
      <c r="E1974" s="35" t="n"/>
      <c r="F1974" s="36" t="n"/>
      <c r="G1974" s="35" t="n"/>
      <c r="H1974" s="30">
        <f>IF(L1974="","",INDEX(SkiftNavn,L1974))</f>
        <v/>
      </c>
      <c r="I1974" s="30">
        <f>IF(OR(A1974="",L1974=""),"",IF(MOD(A1974-INDEX(SkiftStart,L1974),Syklus)&lt;DagK,"Kveld",IF(MOD(A1974-INDEX(SkiftStart,L1974),Syklus)&lt;DagK+DagH,"Helg",IF(MOD(A1974-INDEX(SkiftStart,L1974),Syklus)&lt;DagK+DagH+DagD,"Dag","Fri"))))</f>
        <v/>
      </c>
      <c r="J1974" s="30">
        <f>IF(I1974="Fri","Ja","")</f>
        <v/>
      </c>
      <c r="K1974" s="30">
        <f>IF(B1974="","",IF(L1974="","Ukjent tekniker",IF(ISNA(MATCH(C1974,Aktiviteter,0)),"Ukjent aktivitet",IF(AND(INDEX(AktRolle,MATCH(C1974,Aktiviteter,0))&amp;""&lt;&gt;"",ISERROR(SEARCH(INDEX(AktRolle,MATCH(C1974,Aktiviteter,0))&amp;"",INDEX(TekRoller,MATCH(B1974,Teknikere,0))))),"Mangler rollen "&amp;INDEX(AktRolle,MATCH(C1974,Aktiviteter,0))&amp;"",IF(AND(C1974="LMS",F1974&gt;0,OR(D1974="",E1974="")),"Mangler maskin eller arbeid",IF(AND(OR(C1974="LMS",C1974="Mod"),D1974&lt;&gt;""),IF(IFERROR(INDEX(MaskinStatus,MATCH(D1974,Maskiner,0)),"")="I dokk","","Maskinen er ikke i dokk"),""))))))</f>
        <v/>
      </c>
      <c r="L1974" s="2">
        <f>IF(B1974="","",IFERROR(INT((MATCH(B1974,Teknikere,0)-1)/18)+1,""))</f>
        <v/>
      </c>
      <c r="M1974" s="2">
        <f>IF(OR(A1974="",B1974=""),"",B1974&amp;"|"&amp;A1974)</f>
        <v/>
      </c>
      <c r="N1974" s="2">
        <f>IF(M1974="","",SUMIFS(TF_Timer,TF_Nokkel,M1974,TF_Akt,C1974))</f>
        <v/>
      </c>
      <c r="O1974" s="2">
        <f>IF(M1974="","",IF(AND(N1974=_xlfn.MAXIFS(TF_AktSum,TF_Nokkel,M1974),COUNTIFS(M$3:M1973,M1974,N$3:N1973,N1974)=0),M1974,""))</f>
        <v/>
      </c>
    </row>
    <row r="1975">
      <c r="A1975" s="34" t="n"/>
      <c r="B1975" s="35" t="n"/>
      <c r="C1975" s="35" t="n"/>
      <c r="D1975" s="35" t="n"/>
      <c r="E1975" s="35" t="n"/>
      <c r="F1975" s="36" t="n"/>
      <c r="G1975" s="35" t="n"/>
      <c r="H1975" s="30">
        <f>IF(L1975="","",INDEX(SkiftNavn,L1975))</f>
        <v/>
      </c>
      <c r="I1975" s="30">
        <f>IF(OR(A1975="",L1975=""),"",IF(MOD(A1975-INDEX(SkiftStart,L1975),Syklus)&lt;DagK,"Kveld",IF(MOD(A1975-INDEX(SkiftStart,L1975),Syklus)&lt;DagK+DagH,"Helg",IF(MOD(A1975-INDEX(SkiftStart,L1975),Syklus)&lt;DagK+DagH+DagD,"Dag","Fri"))))</f>
        <v/>
      </c>
      <c r="J1975" s="30">
        <f>IF(I1975="Fri","Ja","")</f>
        <v/>
      </c>
      <c r="K1975" s="30">
        <f>IF(B1975="","",IF(L1975="","Ukjent tekniker",IF(ISNA(MATCH(C1975,Aktiviteter,0)),"Ukjent aktivitet",IF(AND(INDEX(AktRolle,MATCH(C1975,Aktiviteter,0))&amp;""&lt;&gt;"",ISERROR(SEARCH(INDEX(AktRolle,MATCH(C1975,Aktiviteter,0))&amp;"",INDEX(TekRoller,MATCH(B1975,Teknikere,0))))),"Mangler rollen "&amp;INDEX(AktRolle,MATCH(C1975,Aktiviteter,0))&amp;"",IF(AND(C1975="LMS",F1975&gt;0,OR(D1975="",E1975="")),"Mangler maskin eller arbeid",IF(AND(OR(C1975="LMS",C1975="Mod"),D1975&lt;&gt;""),IF(IFERROR(INDEX(MaskinStatus,MATCH(D1975,Maskiner,0)),"")="I dokk","","Maskinen er ikke i dokk"),""))))))</f>
        <v/>
      </c>
      <c r="L1975" s="2">
        <f>IF(B1975="","",IFERROR(INT((MATCH(B1975,Teknikere,0)-1)/18)+1,""))</f>
        <v/>
      </c>
      <c r="M1975" s="2">
        <f>IF(OR(A1975="",B1975=""),"",B1975&amp;"|"&amp;A1975)</f>
        <v/>
      </c>
      <c r="N1975" s="2">
        <f>IF(M1975="","",SUMIFS(TF_Timer,TF_Nokkel,M1975,TF_Akt,C1975))</f>
        <v/>
      </c>
      <c r="O1975" s="2">
        <f>IF(M1975="","",IF(AND(N1975=_xlfn.MAXIFS(TF_AktSum,TF_Nokkel,M1975),COUNTIFS(M$3:M1974,M1975,N$3:N1974,N1975)=0),M1975,""))</f>
        <v/>
      </c>
    </row>
    <row r="1976">
      <c r="A1976" s="34" t="n"/>
      <c r="B1976" s="35" t="n"/>
      <c r="C1976" s="35" t="n"/>
      <c r="D1976" s="35" t="n"/>
      <c r="E1976" s="35" t="n"/>
      <c r="F1976" s="36" t="n"/>
      <c r="G1976" s="35" t="n"/>
      <c r="H1976" s="30">
        <f>IF(L1976="","",INDEX(SkiftNavn,L1976))</f>
        <v/>
      </c>
      <c r="I1976" s="30">
        <f>IF(OR(A1976="",L1976=""),"",IF(MOD(A1976-INDEX(SkiftStart,L1976),Syklus)&lt;DagK,"Kveld",IF(MOD(A1976-INDEX(SkiftStart,L1976),Syklus)&lt;DagK+DagH,"Helg",IF(MOD(A1976-INDEX(SkiftStart,L1976),Syklus)&lt;DagK+DagH+DagD,"Dag","Fri"))))</f>
        <v/>
      </c>
      <c r="J1976" s="30">
        <f>IF(I1976="Fri","Ja","")</f>
        <v/>
      </c>
      <c r="K1976" s="30">
        <f>IF(B1976="","",IF(L1976="","Ukjent tekniker",IF(ISNA(MATCH(C1976,Aktiviteter,0)),"Ukjent aktivitet",IF(AND(INDEX(AktRolle,MATCH(C1976,Aktiviteter,0))&amp;""&lt;&gt;"",ISERROR(SEARCH(INDEX(AktRolle,MATCH(C1976,Aktiviteter,0))&amp;"",INDEX(TekRoller,MATCH(B1976,Teknikere,0))))),"Mangler rollen "&amp;INDEX(AktRolle,MATCH(C1976,Aktiviteter,0))&amp;"",IF(AND(C1976="LMS",F1976&gt;0,OR(D1976="",E1976="")),"Mangler maskin eller arbeid",IF(AND(OR(C1976="LMS",C1976="Mod"),D1976&lt;&gt;""),IF(IFERROR(INDEX(MaskinStatus,MATCH(D1976,Maskiner,0)),"")="I dokk","","Maskinen er ikke i dokk"),""))))))</f>
        <v/>
      </c>
      <c r="L1976" s="2">
        <f>IF(B1976="","",IFERROR(INT((MATCH(B1976,Teknikere,0)-1)/18)+1,""))</f>
        <v/>
      </c>
      <c r="M1976" s="2">
        <f>IF(OR(A1976="",B1976=""),"",B1976&amp;"|"&amp;A1976)</f>
        <v/>
      </c>
      <c r="N1976" s="2">
        <f>IF(M1976="","",SUMIFS(TF_Timer,TF_Nokkel,M1976,TF_Akt,C1976))</f>
        <v/>
      </c>
      <c r="O1976" s="2">
        <f>IF(M1976="","",IF(AND(N1976=_xlfn.MAXIFS(TF_AktSum,TF_Nokkel,M1976),COUNTIFS(M$3:M1975,M1976,N$3:N1975,N1976)=0),M1976,""))</f>
        <v/>
      </c>
    </row>
    <row r="1977">
      <c r="A1977" s="34" t="n"/>
      <c r="B1977" s="35" t="n"/>
      <c r="C1977" s="35" t="n"/>
      <c r="D1977" s="35" t="n"/>
      <c r="E1977" s="35" t="n"/>
      <c r="F1977" s="36" t="n"/>
      <c r="G1977" s="35" t="n"/>
      <c r="H1977" s="30">
        <f>IF(L1977="","",INDEX(SkiftNavn,L1977))</f>
        <v/>
      </c>
      <c r="I1977" s="30">
        <f>IF(OR(A1977="",L1977=""),"",IF(MOD(A1977-INDEX(SkiftStart,L1977),Syklus)&lt;DagK,"Kveld",IF(MOD(A1977-INDEX(SkiftStart,L1977),Syklus)&lt;DagK+DagH,"Helg",IF(MOD(A1977-INDEX(SkiftStart,L1977),Syklus)&lt;DagK+DagH+DagD,"Dag","Fri"))))</f>
        <v/>
      </c>
      <c r="J1977" s="30">
        <f>IF(I1977="Fri","Ja","")</f>
        <v/>
      </c>
      <c r="K1977" s="30">
        <f>IF(B1977="","",IF(L1977="","Ukjent tekniker",IF(ISNA(MATCH(C1977,Aktiviteter,0)),"Ukjent aktivitet",IF(AND(INDEX(AktRolle,MATCH(C1977,Aktiviteter,0))&amp;""&lt;&gt;"",ISERROR(SEARCH(INDEX(AktRolle,MATCH(C1977,Aktiviteter,0))&amp;"",INDEX(TekRoller,MATCH(B1977,Teknikere,0))))),"Mangler rollen "&amp;INDEX(AktRolle,MATCH(C1977,Aktiviteter,0))&amp;"",IF(AND(C1977="LMS",F1977&gt;0,OR(D1977="",E1977="")),"Mangler maskin eller arbeid",IF(AND(OR(C1977="LMS",C1977="Mod"),D1977&lt;&gt;""),IF(IFERROR(INDEX(MaskinStatus,MATCH(D1977,Maskiner,0)),"")="I dokk","","Maskinen er ikke i dokk"),""))))))</f>
        <v/>
      </c>
      <c r="L1977" s="2">
        <f>IF(B1977="","",IFERROR(INT((MATCH(B1977,Teknikere,0)-1)/18)+1,""))</f>
        <v/>
      </c>
      <c r="M1977" s="2">
        <f>IF(OR(A1977="",B1977=""),"",B1977&amp;"|"&amp;A1977)</f>
        <v/>
      </c>
      <c r="N1977" s="2">
        <f>IF(M1977="","",SUMIFS(TF_Timer,TF_Nokkel,M1977,TF_Akt,C1977))</f>
        <v/>
      </c>
      <c r="O1977" s="2">
        <f>IF(M1977="","",IF(AND(N1977=_xlfn.MAXIFS(TF_AktSum,TF_Nokkel,M1977),COUNTIFS(M$3:M1976,M1977,N$3:N1976,N1977)=0),M1977,""))</f>
        <v/>
      </c>
    </row>
    <row r="1978">
      <c r="A1978" s="34" t="n"/>
      <c r="B1978" s="35" t="n"/>
      <c r="C1978" s="35" t="n"/>
      <c r="D1978" s="35" t="n"/>
      <c r="E1978" s="35" t="n"/>
      <c r="F1978" s="36" t="n"/>
      <c r="G1978" s="35" t="n"/>
      <c r="H1978" s="30">
        <f>IF(L1978="","",INDEX(SkiftNavn,L1978))</f>
        <v/>
      </c>
      <c r="I1978" s="30">
        <f>IF(OR(A1978="",L1978=""),"",IF(MOD(A1978-INDEX(SkiftStart,L1978),Syklus)&lt;DagK,"Kveld",IF(MOD(A1978-INDEX(SkiftStart,L1978),Syklus)&lt;DagK+DagH,"Helg",IF(MOD(A1978-INDEX(SkiftStart,L1978),Syklus)&lt;DagK+DagH+DagD,"Dag","Fri"))))</f>
        <v/>
      </c>
      <c r="J1978" s="30">
        <f>IF(I1978="Fri","Ja","")</f>
        <v/>
      </c>
      <c r="K1978" s="30">
        <f>IF(B1978="","",IF(L1978="","Ukjent tekniker",IF(ISNA(MATCH(C1978,Aktiviteter,0)),"Ukjent aktivitet",IF(AND(INDEX(AktRolle,MATCH(C1978,Aktiviteter,0))&amp;""&lt;&gt;"",ISERROR(SEARCH(INDEX(AktRolle,MATCH(C1978,Aktiviteter,0))&amp;"",INDEX(TekRoller,MATCH(B1978,Teknikere,0))))),"Mangler rollen "&amp;INDEX(AktRolle,MATCH(C1978,Aktiviteter,0))&amp;"",IF(AND(C1978="LMS",F1978&gt;0,OR(D1978="",E1978="")),"Mangler maskin eller arbeid",IF(AND(OR(C1978="LMS",C1978="Mod"),D1978&lt;&gt;""),IF(IFERROR(INDEX(MaskinStatus,MATCH(D1978,Maskiner,0)),"")="I dokk","","Maskinen er ikke i dokk"),""))))))</f>
        <v/>
      </c>
      <c r="L1978" s="2">
        <f>IF(B1978="","",IFERROR(INT((MATCH(B1978,Teknikere,0)-1)/18)+1,""))</f>
        <v/>
      </c>
      <c r="M1978" s="2">
        <f>IF(OR(A1978="",B1978=""),"",B1978&amp;"|"&amp;A1978)</f>
        <v/>
      </c>
      <c r="N1978" s="2">
        <f>IF(M1978="","",SUMIFS(TF_Timer,TF_Nokkel,M1978,TF_Akt,C1978))</f>
        <v/>
      </c>
      <c r="O1978" s="2">
        <f>IF(M1978="","",IF(AND(N1978=_xlfn.MAXIFS(TF_AktSum,TF_Nokkel,M1978),COUNTIFS(M$3:M1977,M1978,N$3:N1977,N1978)=0),M1978,""))</f>
        <v/>
      </c>
    </row>
    <row r="1979">
      <c r="A1979" s="34" t="n"/>
      <c r="B1979" s="35" t="n"/>
      <c r="C1979" s="35" t="n"/>
      <c r="D1979" s="35" t="n"/>
      <c r="E1979" s="35" t="n"/>
      <c r="F1979" s="36" t="n"/>
      <c r="G1979" s="35" t="n"/>
      <c r="H1979" s="30">
        <f>IF(L1979="","",INDEX(SkiftNavn,L1979))</f>
        <v/>
      </c>
      <c r="I1979" s="30">
        <f>IF(OR(A1979="",L1979=""),"",IF(MOD(A1979-INDEX(SkiftStart,L1979),Syklus)&lt;DagK,"Kveld",IF(MOD(A1979-INDEX(SkiftStart,L1979),Syklus)&lt;DagK+DagH,"Helg",IF(MOD(A1979-INDEX(SkiftStart,L1979),Syklus)&lt;DagK+DagH+DagD,"Dag","Fri"))))</f>
        <v/>
      </c>
      <c r="J1979" s="30">
        <f>IF(I1979="Fri","Ja","")</f>
        <v/>
      </c>
      <c r="K1979" s="30">
        <f>IF(B1979="","",IF(L1979="","Ukjent tekniker",IF(ISNA(MATCH(C1979,Aktiviteter,0)),"Ukjent aktivitet",IF(AND(INDEX(AktRolle,MATCH(C1979,Aktiviteter,0))&amp;""&lt;&gt;"",ISERROR(SEARCH(INDEX(AktRolle,MATCH(C1979,Aktiviteter,0))&amp;"",INDEX(TekRoller,MATCH(B1979,Teknikere,0))))),"Mangler rollen "&amp;INDEX(AktRolle,MATCH(C1979,Aktiviteter,0))&amp;"",IF(AND(C1979="LMS",F1979&gt;0,OR(D1979="",E1979="")),"Mangler maskin eller arbeid",IF(AND(OR(C1979="LMS",C1979="Mod"),D1979&lt;&gt;""),IF(IFERROR(INDEX(MaskinStatus,MATCH(D1979,Maskiner,0)),"")="I dokk","","Maskinen er ikke i dokk"),""))))))</f>
        <v/>
      </c>
      <c r="L1979" s="2">
        <f>IF(B1979="","",IFERROR(INT((MATCH(B1979,Teknikere,0)-1)/18)+1,""))</f>
        <v/>
      </c>
      <c r="M1979" s="2">
        <f>IF(OR(A1979="",B1979=""),"",B1979&amp;"|"&amp;A1979)</f>
        <v/>
      </c>
      <c r="N1979" s="2">
        <f>IF(M1979="","",SUMIFS(TF_Timer,TF_Nokkel,M1979,TF_Akt,C1979))</f>
        <v/>
      </c>
      <c r="O1979" s="2">
        <f>IF(M1979="","",IF(AND(N1979=_xlfn.MAXIFS(TF_AktSum,TF_Nokkel,M1979),COUNTIFS(M$3:M1978,M1979,N$3:N1978,N1979)=0),M1979,""))</f>
        <v/>
      </c>
    </row>
    <row r="1980">
      <c r="A1980" s="34" t="n"/>
      <c r="B1980" s="35" t="n"/>
      <c r="C1980" s="35" t="n"/>
      <c r="D1980" s="35" t="n"/>
      <c r="E1980" s="35" t="n"/>
      <c r="F1980" s="36" t="n"/>
      <c r="G1980" s="35" t="n"/>
      <c r="H1980" s="30">
        <f>IF(L1980="","",INDEX(SkiftNavn,L1980))</f>
        <v/>
      </c>
      <c r="I1980" s="30">
        <f>IF(OR(A1980="",L1980=""),"",IF(MOD(A1980-INDEX(SkiftStart,L1980),Syklus)&lt;DagK,"Kveld",IF(MOD(A1980-INDEX(SkiftStart,L1980),Syklus)&lt;DagK+DagH,"Helg",IF(MOD(A1980-INDEX(SkiftStart,L1980),Syklus)&lt;DagK+DagH+DagD,"Dag","Fri"))))</f>
        <v/>
      </c>
      <c r="J1980" s="30">
        <f>IF(I1980="Fri","Ja","")</f>
        <v/>
      </c>
      <c r="K1980" s="30">
        <f>IF(B1980="","",IF(L1980="","Ukjent tekniker",IF(ISNA(MATCH(C1980,Aktiviteter,0)),"Ukjent aktivitet",IF(AND(INDEX(AktRolle,MATCH(C1980,Aktiviteter,0))&amp;""&lt;&gt;"",ISERROR(SEARCH(INDEX(AktRolle,MATCH(C1980,Aktiviteter,0))&amp;"",INDEX(TekRoller,MATCH(B1980,Teknikere,0))))),"Mangler rollen "&amp;INDEX(AktRolle,MATCH(C1980,Aktiviteter,0))&amp;"",IF(AND(C1980="LMS",F1980&gt;0,OR(D1980="",E1980="")),"Mangler maskin eller arbeid",IF(AND(OR(C1980="LMS",C1980="Mod"),D1980&lt;&gt;""),IF(IFERROR(INDEX(MaskinStatus,MATCH(D1980,Maskiner,0)),"")="I dokk","","Maskinen er ikke i dokk"),""))))))</f>
        <v/>
      </c>
      <c r="L1980" s="2">
        <f>IF(B1980="","",IFERROR(INT((MATCH(B1980,Teknikere,0)-1)/18)+1,""))</f>
        <v/>
      </c>
      <c r="M1980" s="2">
        <f>IF(OR(A1980="",B1980=""),"",B1980&amp;"|"&amp;A1980)</f>
        <v/>
      </c>
      <c r="N1980" s="2">
        <f>IF(M1980="","",SUMIFS(TF_Timer,TF_Nokkel,M1980,TF_Akt,C1980))</f>
        <v/>
      </c>
      <c r="O1980" s="2">
        <f>IF(M1980="","",IF(AND(N1980=_xlfn.MAXIFS(TF_AktSum,TF_Nokkel,M1980),COUNTIFS(M$3:M1979,M1980,N$3:N1979,N1980)=0),M1980,""))</f>
        <v/>
      </c>
    </row>
    <row r="1981">
      <c r="A1981" s="34" t="n"/>
      <c r="B1981" s="35" t="n"/>
      <c r="C1981" s="35" t="n"/>
      <c r="D1981" s="35" t="n"/>
      <c r="E1981" s="35" t="n"/>
      <c r="F1981" s="36" t="n"/>
      <c r="G1981" s="35" t="n"/>
      <c r="H1981" s="30">
        <f>IF(L1981="","",INDEX(SkiftNavn,L1981))</f>
        <v/>
      </c>
      <c r="I1981" s="30">
        <f>IF(OR(A1981="",L1981=""),"",IF(MOD(A1981-INDEX(SkiftStart,L1981),Syklus)&lt;DagK,"Kveld",IF(MOD(A1981-INDEX(SkiftStart,L1981),Syklus)&lt;DagK+DagH,"Helg",IF(MOD(A1981-INDEX(SkiftStart,L1981),Syklus)&lt;DagK+DagH+DagD,"Dag","Fri"))))</f>
        <v/>
      </c>
      <c r="J1981" s="30">
        <f>IF(I1981="Fri","Ja","")</f>
        <v/>
      </c>
      <c r="K1981" s="30">
        <f>IF(B1981="","",IF(L1981="","Ukjent tekniker",IF(ISNA(MATCH(C1981,Aktiviteter,0)),"Ukjent aktivitet",IF(AND(INDEX(AktRolle,MATCH(C1981,Aktiviteter,0))&amp;""&lt;&gt;"",ISERROR(SEARCH(INDEX(AktRolle,MATCH(C1981,Aktiviteter,0))&amp;"",INDEX(TekRoller,MATCH(B1981,Teknikere,0))))),"Mangler rollen "&amp;INDEX(AktRolle,MATCH(C1981,Aktiviteter,0))&amp;"",IF(AND(C1981="LMS",F1981&gt;0,OR(D1981="",E1981="")),"Mangler maskin eller arbeid",IF(AND(OR(C1981="LMS",C1981="Mod"),D1981&lt;&gt;""),IF(IFERROR(INDEX(MaskinStatus,MATCH(D1981,Maskiner,0)),"")="I dokk","","Maskinen er ikke i dokk"),""))))))</f>
        <v/>
      </c>
      <c r="L1981" s="2">
        <f>IF(B1981="","",IFERROR(INT((MATCH(B1981,Teknikere,0)-1)/18)+1,""))</f>
        <v/>
      </c>
      <c r="M1981" s="2">
        <f>IF(OR(A1981="",B1981=""),"",B1981&amp;"|"&amp;A1981)</f>
        <v/>
      </c>
      <c r="N1981" s="2">
        <f>IF(M1981="","",SUMIFS(TF_Timer,TF_Nokkel,M1981,TF_Akt,C1981))</f>
        <v/>
      </c>
      <c r="O1981" s="2">
        <f>IF(M1981="","",IF(AND(N1981=_xlfn.MAXIFS(TF_AktSum,TF_Nokkel,M1981),COUNTIFS(M$3:M1980,M1981,N$3:N1980,N1981)=0),M1981,""))</f>
        <v/>
      </c>
    </row>
    <row r="1982">
      <c r="A1982" s="34" t="n"/>
      <c r="B1982" s="35" t="n"/>
      <c r="C1982" s="35" t="n"/>
      <c r="D1982" s="35" t="n"/>
      <c r="E1982" s="35" t="n"/>
      <c r="F1982" s="36" t="n"/>
      <c r="G1982" s="35" t="n"/>
      <c r="H1982" s="30">
        <f>IF(L1982="","",INDEX(SkiftNavn,L1982))</f>
        <v/>
      </c>
      <c r="I1982" s="30">
        <f>IF(OR(A1982="",L1982=""),"",IF(MOD(A1982-INDEX(SkiftStart,L1982),Syklus)&lt;DagK,"Kveld",IF(MOD(A1982-INDEX(SkiftStart,L1982),Syklus)&lt;DagK+DagH,"Helg",IF(MOD(A1982-INDEX(SkiftStart,L1982),Syklus)&lt;DagK+DagH+DagD,"Dag","Fri"))))</f>
        <v/>
      </c>
      <c r="J1982" s="30">
        <f>IF(I1982="Fri","Ja","")</f>
        <v/>
      </c>
      <c r="K1982" s="30">
        <f>IF(B1982="","",IF(L1982="","Ukjent tekniker",IF(ISNA(MATCH(C1982,Aktiviteter,0)),"Ukjent aktivitet",IF(AND(INDEX(AktRolle,MATCH(C1982,Aktiviteter,0))&amp;""&lt;&gt;"",ISERROR(SEARCH(INDEX(AktRolle,MATCH(C1982,Aktiviteter,0))&amp;"",INDEX(TekRoller,MATCH(B1982,Teknikere,0))))),"Mangler rollen "&amp;INDEX(AktRolle,MATCH(C1982,Aktiviteter,0))&amp;"",IF(AND(C1982="LMS",F1982&gt;0,OR(D1982="",E1982="")),"Mangler maskin eller arbeid",IF(AND(OR(C1982="LMS",C1982="Mod"),D1982&lt;&gt;""),IF(IFERROR(INDEX(MaskinStatus,MATCH(D1982,Maskiner,0)),"")="I dokk","","Maskinen er ikke i dokk"),""))))))</f>
        <v/>
      </c>
      <c r="L1982" s="2">
        <f>IF(B1982="","",IFERROR(INT((MATCH(B1982,Teknikere,0)-1)/18)+1,""))</f>
        <v/>
      </c>
      <c r="M1982" s="2">
        <f>IF(OR(A1982="",B1982=""),"",B1982&amp;"|"&amp;A1982)</f>
        <v/>
      </c>
      <c r="N1982" s="2">
        <f>IF(M1982="","",SUMIFS(TF_Timer,TF_Nokkel,M1982,TF_Akt,C1982))</f>
        <v/>
      </c>
      <c r="O1982" s="2">
        <f>IF(M1982="","",IF(AND(N1982=_xlfn.MAXIFS(TF_AktSum,TF_Nokkel,M1982),COUNTIFS(M$3:M1981,M1982,N$3:N1981,N1982)=0),M1982,""))</f>
        <v/>
      </c>
    </row>
    <row r="1983">
      <c r="A1983" s="34" t="n"/>
      <c r="B1983" s="35" t="n"/>
      <c r="C1983" s="35" t="n"/>
      <c r="D1983" s="35" t="n"/>
      <c r="E1983" s="35" t="n"/>
      <c r="F1983" s="36" t="n"/>
      <c r="G1983" s="35" t="n"/>
      <c r="H1983" s="30">
        <f>IF(L1983="","",INDEX(SkiftNavn,L1983))</f>
        <v/>
      </c>
      <c r="I1983" s="30">
        <f>IF(OR(A1983="",L1983=""),"",IF(MOD(A1983-INDEX(SkiftStart,L1983),Syklus)&lt;DagK,"Kveld",IF(MOD(A1983-INDEX(SkiftStart,L1983),Syklus)&lt;DagK+DagH,"Helg",IF(MOD(A1983-INDEX(SkiftStart,L1983),Syklus)&lt;DagK+DagH+DagD,"Dag","Fri"))))</f>
        <v/>
      </c>
      <c r="J1983" s="30">
        <f>IF(I1983="Fri","Ja","")</f>
        <v/>
      </c>
      <c r="K1983" s="30">
        <f>IF(B1983="","",IF(L1983="","Ukjent tekniker",IF(ISNA(MATCH(C1983,Aktiviteter,0)),"Ukjent aktivitet",IF(AND(INDEX(AktRolle,MATCH(C1983,Aktiviteter,0))&amp;""&lt;&gt;"",ISERROR(SEARCH(INDEX(AktRolle,MATCH(C1983,Aktiviteter,0))&amp;"",INDEX(TekRoller,MATCH(B1983,Teknikere,0))))),"Mangler rollen "&amp;INDEX(AktRolle,MATCH(C1983,Aktiviteter,0))&amp;"",IF(AND(C1983="LMS",F1983&gt;0,OR(D1983="",E1983="")),"Mangler maskin eller arbeid",IF(AND(OR(C1983="LMS",C1983="Mod"),D1983&lt;&gt;""),IF(IFERROR(INDEX(MaskinStatus,MATCH(D1983,Maskiner,0)),"")="I dokk","","Maskinen er ikke i dokk"),""))))))</f>
        <v/>
      </c>
      <c r="L1983" s="2">
        <f>IF(B1983="","",IFERROR(INT((MATCH(B1983,Teknikere,0)-1)/18)+1,""))</f>
        <v/>
      </c>
      <c r="M1983" s="2">
        <f>IF(OR(A1983="",B1983=""),"",B1983&amp;"|"&amp;A1983)</f>
        <v/>
      </c>
      <c r="N1983" s="2">
        <f>IF(M1983="","",SUMIFS(TF_Timer,TF_Nokkel,M1983,TF_Akt,C1983))</f>
        <v/>
      </c>
      <c r="O1983" s="2">
        <f>IF(M1983="","",IF(AND(N1983=_xlfn.MAXIFS(TF_AktSum,TF_Nokkel,M1983),COUNTIFS(M$3:M1982,M1983,N$3:N1982,N1983)=0),M1983,""))</f>
        <v/>
      </c>
    </row>
    <row r="1984">
      <c r="A1984" s="34" t="n"/>
      <c r="B1984" s="35" t="n"/>
      <c r="C1984" s="35" t="n"/>
      <c r="D1984" s="35" t="n"/>
      <c r="E1984" s="35" t="n"/>
      <c r="F1984" s="36" t="n"/>
      <c r="G1984" s="35" t="n"/>
      <c r="H1984" s="30">
        <f>IF(L1984="","",INDEX(SkiftNavn,L1984))</f>
        <v/>
      </c>
      <c r="I1984" s="30">
        <f>IF(OR(A1984="",L1984=""),"",IF(MOD(A1984-INDEX(SkiftStart,L1984),Syklus)&lt;DagK,"Kveld",IF(MOD(A1984-INDEX(SkiftStart,L1984),Syklus)&lt;DagK+DagH,"Helg",IF(MOD(A1984-INDEX(SkiftStart,L1984),Syklus)&lt;DagK+DagH+DagD,"Dag","Fri"))))</f>
        <v/>
      </c>
      <c r="J1984" s="30">
        <f>IF(I1984="Fri","Ja","")</f>
        <v/>
      </c>
      <c r="K1984" s="30">
        <f>IF(B1984="","",IF(L1984="","Ukjent tekniker",IF(ISNA(MATCH(C1984,Aktiviteter,0)),"Ukjent aktivitet",IF(AND(INDEX(AktRolle,MATCH(C1984,Aktiviteter,0))&amp;""&lt;&gt;"",ISERROR(SEARCH(INDEX(AktRolle,MATCH(C1984,Aktiviteter,0))&amp;"",INDEX(TekRoller,MATCH(B1984,Teknikere,0))))),"Mangler rollen "&amp;INDEX(AktRolle,MATCH(C1984,Aktiviteter,0))&amp;"",IF(AND(C1984="LMS",F1984&gt;0,OR(D1984="",E1984="")),"Mangler maskin eller arbeid",IF(AND(OR(C1984="LMS",C1984="Mod"),D1984&lt;&gt;""),IF(IFERROR(INDEX(MaskinStatus,MATCH(D1984,Maskiner,0)),"")="I dokk","","Maskinen er ikke i dokk"),""))))))</f>
        <v/>
      </c>
      <c r="L1984" s="2">
        <f>IF(B1984="","",IFERROR(INT((MATCH(B1984,Teknikere,0)-1)/18)+1,""))</f>
        <v/>
      </c>
      <c r="M1984" s="2">
        <f>IF(OR(A1984="",B1984=""),"",B1984&amp;"|"&amp;A1984)</f>
        <v/>
      </c>
      <c r="N1984" s="2">
        <f>IF(M1984="","",SUMIFS(TF_Timer,TF_Nokkel,M1984,TF_Akt,C1984))</f>
        <v/>
      </c>
      <c r="O1984" s="2">
        <f>IF(M1984="","",IF(AND(N1984=_xlfn.MAXIFS(TF_AktSum,TF_Nokkel,M1984),COUNTIFS(M$3:M1983,M1984,N$3:N1983,N1984)=0),M1984,""))</f>
        <v/>
      </c>
    </row>
    <row r="1985">
      <c r="A1985" s="34" t="n"/>
      <c r="B1985" s="35" t="n"/>
      <c r="C1985" s="35" t="n"/>
      <c r="D1985" s="35" t="n"/>
      <c r="E1985" s="35" t="n"/>
      <c r="F1985" s="36" t="n"/>
      <c r="G1985" s="35" t="n"/>
      <c r="H1985" s="30">
        <f>IF(L1985="","",INDEX(SkiftNavn,L1985))</f>
        <v/>
      </c>
      <c r="I1985" s="30">
        <f>IF(OR(A1985="",L1985=""),"",IF(MOD(A1985-INDEX(SkiftStart,L1985),Syklus)&lt;DagK,"Kveld",IF(MOD(A1985-INDEX(SkiftStart,L1985),Syklus)&lt;DagK+DagH,"Helg",IF(MOD(A1985-INDEX(SkiftStart,L1985),Syklus)&lt;DagK+DagH+DagD,"Dag","Fri"))))</f>
        <v/>
      </c>
      <c r="J1985" s="30">
        <f>IF(I1985="Fri","Ja","")</f>
        <v/>
      </c>
      <c r="K1985" s="30">
        <f>IF(B1985="","",IF(L1985="","Ukjent tekniker",IF(ISNA(MATCH(C1985,Aktiviteter,0)),"Ukjent aktivitet",IF(AND(INDEX(AktRolle,MATCH(C1985,Aktiviteter,0))&amp;""&lt;&gt;"",ISERROR(SEARCH(INDEX(AktRolle,MATCH(C1985,Aktiviteter,0))&amp;"",INDEX(TekRoller,MATCH(B1985,Teknikere,0))))),"Mangler rollen "&amp;INDEX(AktRolle,MATCH(C1985,Aktiviteter,0))&amp;"",IF(AND(C1985="LMS",F1985&gt;0,OR(D1985="",E1985="")),"Mangler maskin eller arbeid",IF(AND(OR(C1985="LMS",C1985="Mod"),D1985&lt;&gt;""),IF(IFERROR(INDEX(MaskinStatus,MATCH(D1985,Maskiner,0)),"")="I dokk","","Maskinen er ikke i dokk"),""))))))</f>
        <v/>
      </c>
      <c r="L1985" s="2">
        <f>IF(B1985="","",IFERROR(INT((MATCH(B1985,Teknikere,0)-1)/18)+1,""))</f>
        <v/>
      </c>
      <c r="M1985" s="2">
        <f>IF(OR(A1985="",B1985=""),"",B1985&amp;"|"&amp;A1985)</f>
        <v/>
      </c>
      <c r="N1985" s="2">
        <f>IF(M1985="","",SUMIFS(TF_Timer,TF_Nokkel,M1985,TF_Akt,C1985))</f>
        <v/>
      </c>
      <c r="O1985" s="2">
        <f>IF(M1985="","",IF(AND(N1985=_xlfn.MAXIFS(TF_AktSum,TF_Nokkel,M1985),COUNTIFS(M$3:M1984,M1985,N$3:N1984,N1985)=0),M1985,""))</f>
        <v/>
      </c>
    </row>
    <row r="1986">
      <c r="A1986" s="34" t="n"/>
      <c r="B1986" s="35" t="n"/>
      <c r="C1986" s="35" t="n"/>
      <c r="D1986" s="35" t="n"/>
      <c r="E1986" s="35" t="n"/>
      <c r="F1986" s="36" t="n"/>
      <c r="G1986" s="35" t="n"/>
      <c r="H1986" s="30">
        <f>IF(L1986="","",INDEX(SkiftNavn,L1986))</f>
        <v/>
      </c>
      <c r="I1986" s="30">
        <f>IF(OR(A1986="",L1986=""),"",IF(MOD(A1986-INDEX(SkiftStart,L1986),Syklus)&lt;DagK,"Kveld",IF(MOD(A1986-INDEX(SkiftStart,L1986),Syklus)&lt;DagK+DagH,"Helg",IF(MOD(A1986-INDEX(SkiftStart,L1986),Syklus)&lt;DagK+DagH+DagD,"Dag","Fri"))))</f>
        <v/>
      </c>
      <c r="J1986" s="30">
        <f>IF(I1986="Fri","Ja","")</f>
        <v/>
      </c>
      <c r="K1986" s="30">
        <f>IF(B1986="","",IF(L1986="","Ukjent tekniker",IF(ISNA(MATCH(C1986,Aktiviteter,0)),"Ukjent aktivitet",IF(AND(INDEX(AktRolle,MATCH(C1986,Aktiviteter,0))&amp;""&lt;&gt;"",ISERROR(SEARCH(INDEX(AktRolle,MATCH(C1986,Aktiviteter,0))&amp;"",INDEX(TekRoller,MATCH(B1986,Teknikere,0))))),"Mangler rollen "&amp;INDEX(AktRolle,MATCH(C1986,Aktiviteter,0))&amp;"",IF(AND(C1986="LMS",F1986&gt;0,OR(D1986="",E1986="")),"Mangler maskin eller arbeid",IF(AND(OR(C1986="LMS",C1986="Mod"),D1986&lt;&gt;""),IF(IFERROR(INDEX(MaskinStatus,MATCH(D1986,Maskiner,0)),"")="I dokk","","Maskinen er ikke i dokk"),""))))))</f>
        <v/>
      </c>
      <c r="L1986" s="2">
        <f>IF(B1986="","",IFERROR(INT((MATCH(B1986,Teknikere,0)-1)/18)+1,""))</f>
        <v/>
      </c>
      <c r="M1986" s="2">
        <f>IF(OR(A1986="",B1986=""),"",B1986&amp;"|"&amp;A1986)</f>
        <v/>
      </c>
      <c r="N1986" s="2">
        <f>IF(M1986="","",SUMIFS(TF_Timer,TF_Nokkel,M1986,TF_Akt,C1986))</f>
        <v/>
      </c>
      <c r="O1986" s="2">
        <f>IF(M1986="","",IF(AND(N1986=_xlfn.MAXIFS(TF_AktSum,TF_Nokkel,M1986),COUNTIFS(M$3:M1985,M1986,N$3:N1985,N1986)=0),M1986,""))</f>
        <v/>
      </c>
    </row>
    <row r="1987">
      <c r="A1987" s="34" t="n"/>
      <c r="B1987" s="35" t="n"/>
      <c r="C1987" s="35" t="n"/>
      <c r="D1987" s="35" t="n"/>
      <c r="E1987" s="35" t="n"/>
      <c r="F1987" s="36" t="n"/>
      <c r="G1987" s="35" t="n"/>
      <c r="H1987" s="30">
        <f>IF(L1987="","",INDEX(SkiftNavn,L1987))</f>
        <v/>
      </c>
      <c r="I1987" s="30">
        <f>IF(OR(A1987="",L1987=""),"",IF(MOD(A1987-INDEX(SkiftStart,L1987),Syklus)&lt;DagK,"Kveld",IF(MOD(A1987-INDEX(SkiftStart,L1987),Syklus)&lt;DagK+DagH,"Helg",IF(MOD(A1987-INDEX(SkiftStart,L1987),Syklus)&lt;DagK+DagH+DagD,"Dag","Fri"))))</f>
        <v/>
      </c>
      <c r="J1987" s="30">
        <f>IF(I1987="Fri","Ja","")</f>
        <v/>
      </c>
      <c r="K1987" s="30">
        <f>IF(B1987="","",IF(L1987="","Ukjent tekniker",IF(ISNA(MATCH(C1987,Aktiviteter,0)),"Ukjent aktivitet",IF(AND(INDEX(AktRolle,MATCH(C1987,Aktiviteter,0))&amp;""&lt;&gt;"",ISERROR(SEARCH(INDEX(AktRolle,MATCH(C1987,Aktiviteter,0))&amp;"",INDEX(TekRoller,MATCH(B1987,Teknikere,0))))),"Mangler rollen "&amp;INDEX(AktRolle,MATCH(C1987,Aktiviteter,0))&amp;"",IF(AND(C1987="LMS",F1987&gt;0,OR(D1987="",E1987="")),"Mangler maskin eller arbeid",IF(AND(OR(C1987="LMS",C1987="Mod"),D1987&lt;&gt;""),IF(IFERROR(INDEX(MaskinStatus,MATCH(D1987,Maskiner,0)),"")="I dokk","","Maskinen er ikke i dokk"),""))))))</f>
        <v/>
      </c>
      <c r="L1987" s="2">
        <f>IF(B1987="","",IFERROR(INT((MATCH(B1987,Teknikere,0)-1)/18)+1,""))</f>
        <v/>
      </c>
      <c r="M1987" s="2">
        <f>IF(OR(A1987="",B1987=""),"",B1987&amp;"|"&amp;A1987)</f>
        <v/>
      </c>
      <c r="N1987" s="2">
        <f>IF(M1987="","",SUMIFS(TF_Timer,TF_Nokkel,M1987,TF_Akt,C1987))</f>
        <v/>
      </c>
      <c r="O1987" s="2">
        <f>IF(M1987="","",IF(AND(N1987=_xlfn.MAXIFS(TF_AktSum,TF_Nokkel,M1987),COUNTIFS(M$3:M1986,M1987,N$3:N1986,N1987)=0),M1987,""))</f>
        <v/>
      </c>
    </row>
    <row r="1988">
      <c r="A1988" s="34" t="n"/>
      <c r="B1988" s="35" t="n"/>
      <c r="C1988" s="35" t="n"/>
      <c r="D1988" s="35" t="n"/>
      <c r="E1988" s="35" t="n"/>
      <c r="F1988" s="36" t="n"/>
      <c r="G1988" s="35" t="n"/>
      <c r="H1988" s="30">
        <f>IF(L1988="","",INDEX(SkiftNavn,L1988))</f>
        <v/>
      </c>
      <c r="I1988" s="30">
        <f>IF(OR(A1988="",L1988=""),"",IF(MOD(A1988-INDEX(SkiftStart,L1988),Syklus)&lt;DagK,"Kveld",IF(MOD(A1988-INDEX(SkiftStart,L1988),Syklus)&lt;DagK+DagH,"Helg",IF(MOD(A1988-INDEX(SkiftStart,L1988),Syklus)&lt;DagK+DagH+DagD,"Dag","Fri"))))</f>
        <v/>
      </c>
      <c r="J1988" s="30">
        <f>IF(I1988="Fri","Ja","")</f>
        <v/>
      </c>
      <c r="K1988" s="30">
        <f>IF(B1988="","",IF(L1988="","Ukjent tekniker",IF(ISNA(MATCH(C1988,Aktiviteter,0)),"Ukjent aktivitet",IF(AND(INDEX(AktRolle,MATCH(C1988,Aktiviteter,0))&amp;""&lt;&gt;"",ISERROR(SEARCH(INDEX(AktRolle,MATCH(C1988,Aktiviteter,0))&amp;"",INDEX(TekRoller,MATCH(B1988,Teknikere,0))))),"Mangler rollen "&amp;INDEX(AktRolle,MATCH(C1988,Aktiviteter,0))&amp;"",IF(AND(C1988="LMS",F1988&gt;0,OR(D1988="",E1988="")),"Mangler maskin eller arbeid",IF(AND(OR(C1988="LMS",C1988="Mod"),D1988&lt;&gt;""),IF(IFERROR(INDEX(MaskinStatus,MATCH(D1988,Maskiner,0)),"")="I dokk","","Maskinen er ikke i dokk"),""))))))</f>
        <v/>
      </c>
      <c r="L1988" s="2">
        <f>IF(B1988="","",IFERROR(INT((MATCH(B1988,Teknikere,0)-1)/18)+1,""))</f>
        <v/>
      </c>
      <c r="M1988" s="2">
        <f>IF(OR(A1988="",B1988=""),"",B1988&amp;"|"&amp;A1988)</f>
        <v/>
      </c>
      <c r="N1988" s="2">
        <f>IF(M1988="","",SUMIFS(TF_Timer,TF_Nokkel,M1988,TF_Akt,C1988))</f>
        <v/>
      </c>
      <c r="O1988" s="2">
        <f>IF(M1988="","",IF(AND(N1988=_xlfn.MAXIFS(TF_AktSum,TF_Nokkel,M1988),COUNTIFS(M$3:M1987,M1988,N$3:N1987,N1988)=0),M1988,""))</f>
        <v/>
      </c>
    </row>
    <row r="1989">
      <c r="A1989" s="34" t="n"/>
      <c r="B1989" s="35" t="n"/>
      <c r="C1989" s="35" t="n"/>
      <c r="D1989" s="35" t="n"/>
      <c r="E1989" s="35" t="n"/>
      <c r="F1989" s="36" t="n"/>
      <c r="G1989" s="35" t="n"/>
      <c r="H1989" s="30">
        <f>IF(L1989="","",INDEX(SkiftNavn,L1989))</f>
        <v/>
      </c>
      <c r="I1989" s="30">
        <f>IF(OR(A1989="",L1989=""),"",IF(MOD(A1989-INDEX(SkiftStart,L1989),Syklus)&lt;DagK,"Kveld",IF(MOD(A1989-INDEX(SkiftStart,L1989),Syklus)&lt;DagK+DagH,"Helg",IF(MOD(A1989-INDEX(SkiftStart,L1989),Syklus)&lt;DagK+DagH+DagD,"Dag","Fri"))))</f>
        <v/>
      </c>
      <c r="J1989" s="30">
        <f>IF(I1989="Fri","Ja","")</f>
        <v/>
      </c>
      <c r="K1989" s="30">
        <f>IF(B1989="","",IF(L1989="","Ukjent tekniker",IF(ISNA(MATCH(C1989,Aktiviteter,0)),"Ukjent aktivitet",IF(AND(INDEX(AktRolle,MATCH(C1989,Aktiviteter,0))&amp;""&lt;&gt;"",ISERROR(SEARCH(INDEX(AktRolle,MATCH(C1989,Aktiviteter,0))&amp;"",INDEX(TekRoller,MATCH(B1989,Teknikere,0))))),"Mangler rollen "&amp;INDEX(AktRolle,MATCH(C1989,Aktiviteter,0))&amp;"",IF(AND(C1989="LMS",F1989&gt;0,OR(D1989="",E1989="")),"Mangler maskin eller arbeid",IF(AND(OR(C1989="LMS",C1989="Mod"),D1989&lt;&gt;""),IF(IFERROR(INDEX(MaskinStatus,MATCH(D1989,Maskiner,0)),"")="I dokk","","Maskinen er ikke i dokk"),""))))))</f>
        <v/>
      </c>
      <c r="L1989" s="2">
        <f>IF(B1989="","",IFERROR(INT((MATCH(B1989,Teknikere,0)-1)/18)+1,""))</f>
        <v/>
      </c>
      <c r="M1989" s="2">
        <f>IF(OR(A1989="",B1989=""),"",B1989&amp;"|"&amp;A1989)</f>
        <v/>
      </c>
      <c r="N1989" s="2">
        <f>IF(M1989="","",SUMIFS(TF_Timer,TF_Nokkel,M1989,TF_Akt,C1989))</f>
        <v/>
      </c>
      <c r="O1989" s="2">
        <f>IF(M1989="","",IF(AND(N1989=_xlfn.MAXIFS(TF_AktSum,TF_Nokkel,M1989),COUNTIFS(M$3:M1988,M1989,N$3:N1988,N1989)=0),M1989,""))</f>
        <v/>
      </c>
    </row>
    <row r="1990">
      <c r="A1990" s="34" t="n"/>
      <c r="B1990" s="35" t="n"/>
      <c r="C1990" s="35" t="n"/>
      <c r="D1990" s="35" t="n"/>
      <c r="E1990" s="35" t="n"/>
      <c r="F1990" s="36" t="n"/>
      <c r="G1990" s="35" t="n"/>
      <c r="H1990" s="30">
        <f>IF(L1990="","",INDEX(SkiftNavn,L1990))</f>
        <v/>
      </c>
      <c r="I1990" s="30">
        <f>IF(OR(A1990="",L1990=""),"",IF(MOD(A1990-INDEX(SkiftStart,L1990),Syklus)&lt;DagK,"Kveld",IF(MOD(A1990-INDEX(SkiftStart,L1990),Syklus)&lt;DagK+DagH,"Helg",IF(MOD(A1990-INDEX(SkiftStart,L1990),Syklus)&lt;DagK+DagH+DagD,"Dag","Fri"))))</f>
        <v/>
      </c>
      <c r="J1990" s="30">
        <f>IF(I1990="Fri","Ja","")</f>
        <v/>
      </c>
      <c r="K1990" s="30">
        <f>IF(B1990="","",IF(L1990="","Ukjent tekniker",IF(ISNA(MATCH(C1990,Aktiviteter,0)),"Ukjent aktivitet",IF(AND(INDEX(AktRolle,MATCH(C1990,Aktiviteter,0))&amp;""&lt;&gt;"",ISERROR(SEARCH(INDEX(AktRolle,MATCH(C1990,Aktiviteter,0))&amp;"",INDEX(TekRoller,MATCH(B1990,Teknikere,0))))),"Mangler rollen "&amp;INDEX(AktRolle,MATCH(C1990,Aktiviteter,0))&amp;"",IF(AND(C1990="LMS",F1990&gt;0,OR(D1990="",E1990="")),"Mangler maskin eller arbeid",IF(AND(OR(C1990="LMS",C1990="Mod"),D1990&lt;&gt;""),IF(IFERROR(INDEX(MaskinStatus,MATCH(D1990,Maskiner,0)),"")="I dokk","","Maskinen er ikke i dokk"),""))))))</f>
        <v/>
      </c>
      <c r="L1990" s="2">
        <f>IF(B1990="","",IFERROR(INT((MATCH(B1990,Teknikere,0)-1)/18)+1,""))</f>
        <v/>
      </c>
      <c r="M1990" s="2">
        <f>IF(OR(A1990="",B1990=""),"",B1990&amp;"|"&amp;A1990)</f>
        <v/>
      </c>
      <c r="N1990" s="2">
        <f>IF(M1990="","",SUMIFS(TF_Timer,TF_Nokkel,M1990,TF_Akt,C1990))</f>
        <v/>
      </c>
      <c r="O1990" s="2">
        <f>IF(M1990="","",IF(AND(N1990=_xlfn.MAXIFS(TF_AktSum,TF_Nokkel,M1990),COUNTIFS(M$3:M1989,M1990,N$3:N1989,N1990)=0),M1990,""))</f>
        <v/>
      </c>
    </row>
    <row r="1991">
      <c r="A1991" s="34" t="n"/>
      <c r="B1991" s="35" t="n"/>
      <c r="C1991" s="35" t="n"/>
      <c r="D1991" s="35" t="n"/>
      <c r="E1991" s="35" t="n"/>
      <c r="F1991" s="36" t="n"/>
      <c r="G1991" s="35" t="n"/>
      <c r="H1991" s="30">
        <f>IF(L1991="","",INDEX(SkiftNavn,L1991))</f>
        <v/>
      </c>
      <c r="I1991" s="30">
        <f>IF(OR(A1991="",L1991=""),"",IF(MOD(A1991-INDEX(SkiftStart,L1991),Syklus)&lt;DagK,"Kveld",IF(MOD(A1991-INDEX(SkiftStart,L1991),Syklus)&lt;DagK+DagH,"Helg",IF(MOD(A1991-INDEX(SkiftStart,L1991),Syklus)&lt;DagK+DagH+DagD,"Dag","Fri"))))</f>
        <v/>
      </c>
      <c r="J1991" s="30">
        <f>IF(I1991="Fri","Ja","")</f>
        <v/>
      </c>
      <c r="K1991" s="30">
        <f>IF(B1991="","",IF(L1991="","Ukjent tekniker",IF(ISNA(MATCH(C1991,Aktiviteter,0)),"Ukjent aktivitet",IF(AND(INDEX(AktRolle,MATCH(C1991,Aktiviteter,0))&amp;""&lt;&gt;"",ISERROR(SEARCH(INDEX(AktRolle,MATCH(C1991,Aktiviteter,0))&amp;"",INDEX(TekRoller,MATCH(B1991,Teknikere,0))))),"Mangler rollen "&amp;INDEX(AktRolle,MATCH(C1991,Aktiviteter,0))&amp;"",IF(AND(C1991="LMS",F1991&gt;0,OR(D1991="",E1991="")),"Mangler maskin eller arbeid",IF(AND(OR(C1991="LMS",C1991="Mod"),D1991&lt;&gt;""),IF(IFERROR(INDEX(MaskinStatus,MATCH(D1991,Maskiner,0)),"")="I dokk","","Maskinen er ikke i dokk"),""))))))</f>
        <v/>
      </c>
      <c r="L1991" s="2">
        <f>IF(B1991="","",IFERROR(INT((MATCH(B1991,Teknikere,0)-1)/18)+1,""))</f>
        <v/>
      </c>
      <c r="M1991" s="2">
        <f>IF(OR(A1991="",B1991=""),"",B1991&amp;"|"&amp;A1991)</f>
        <v/>
      </c>
      <c r="N1991" s="2">
        <f>IF(M1991="","",SUMIFS(TF_Timer,TF_Nokkel,M1991,TF_Akt,C1991))</f>
        <v/>
      </c>
      <c r="O1991" s="2">
        <f>IF(M1991="","",IF(AND(N1991=_xlfn.MAXIFS(TF_AktSum,TF_Nokkel,M1991),COUNTIFS(M$3:M1990,M1991,N$3:N1990,N1991)=0),M1991,""))</f>
        <v/>
      </c>
    </row>
    <row r="1992">
      <c r="A1992" s="34" t="n"/>
      <c r="B1992" s="35" t="n"/>
      <c r="C1992" s="35" t="n"/>
      <c r="D1992" s="35" t="n"/>
      <c r="E1992" s="35" t="n"/>
      <c r="F1992" s="36" t="n"/>
      <c r="G1992" s="35" t="n"/>
      <c r="H1992" s="30">
        <f>IF(L1992="","",INDEX(SkiftNavn,L1992))</f>
        <v/>
      </c>
      <c r="I1992" s="30">
        <f>IF(OR(A1992="",L1992=""),"",IF(MOD(A1992-INDEX(SkiftStart,L1992),Syklus)&lt;DagK,"Kveld",IF(MOD(A1992-INDEX(SkiftStart,L1992),Syklus)&lt;DagK+DagH,"Helg",IF(MOD(A1992-INDEX(SkiftStart,L1992),Syklus)&lt;DagK+DagH+DagD,"Dag","Fri"))))</f>
        <v/>
      </c>
      <c r="J1992" s="30">
        <f>IF(I1992="Fri","Ja","")</f>
        <v/>
      </c>
      <c r="K1992" s="30">
        <f>IF(B1992="","",IF(L1992="","Ukjent tekniker",IF(ISNA(MATCH(C1992,Aktiviteter,0)),"Ukjent aktivitet",IF(AND(INDEX(AktRolle,MATCH(C1992,Aktiviteter,0))&amp;""&lt;&gt;"",ISERROR(SEARCH(INDEX(AktRolle,MATCH(C1992,Aktiviteter,0))&amp;"",INDEX(TekRoller,MATCH(B1992,Teknikere,0))))),"Mangler rollen "&amp;INDEX(AktRolle,MATCH(C1992,Aktiviteter,0))&amp;"",IF(AND(C1992="LMS",F1992&gt;0,OR(D1992="",E1992="")),"Mangler maskin eller arbeid",IF(AND(OR(C1992="LMS",C1992="Mod"),D1992&lt;&gt;""),IF(IFERROR(INDEX(MaskinStatus,MATCH(D1992,Maskiner,0)),"")="I dokk","","Maskinen er ikke i dokk"),""))))))</f>
        <v/>
      </c>
      <c r="L1992" s="2">
        <f>IF(B1992="","",IFERROR(INT((MATCH(B1992,Teknikere,0)-1)/18)+1,""))</f>
        <v/>
      </c>
      <c r="M1992" s="2">
        <f>IF(OR(A1992="",B1992=""),"",B1992&amp;"|"&amp;A1992)</f>
        <v/>
      </c>
      <c r="N1992" s="2">
        <f>IF(M1992="","",SUMIFS(TF_Timer,TF_Nokkel,M1992,TF_Akt,C1992))</f>
        <v/>
      </c>
      <c r="O1992" s="2">
        <f>IF(M1992="","",IF(AND(N1992=_xlfn.MAXIFS(TF_AktSum,TF_Nokkel,M1992),COUNTIFS(M$3:M1991,M1992,N$3:N1991,N1992)=0),M1992,""))</f>
        <v/>
      </c>
    </row>
    <row r="1993">
      <c r="A1993" s="34" t="n"/>
      <c r="B1993" s="35" t="n"/>
      <c r="C1993" s="35" t="n"/>
      <c r="D1993" s="35" t="n"/>
      <c r="E1993" s="35" t="n"/>
      <c r="F1993" s="36" t="n"/>
      <c r="G1993" s="35" t="n"/>
      <c r="H1993" s="30">
        <f>IF(L1993="","",INDEX(SkiftNavn,L1993))</f>
        <v/>
      </c>
      <c r="I1993" s="30">
        <f>IF(OR(A1993="",L1993=""),"",IF(MOD(A1993-INDEX(SkiftStart,L1993),Syklus)&lt;DagK,"Kveld",IF(MOD(A1993-INDEX(SkiftStart,L1993),Syklus)&lt;DagK+DagH,"Helg",IF(MOD(A1993-INDEX(SkiftStart,L1993),Syklus)&lt;DagK+DagH+DagD,"Dag","Fri"))))</f>
        <v/>
      </c>
      <c r="J1993" s="30">
        <f>IF(I1993="Fri","Ja","")</f>
        <v/>
      </c>
      <c r="K1993" s="30">
        <f>IF(B1993="","",IF(L1993="","Ukjent tekniker",IF(ISNA(MATCH(C1993,Aktiviteter,0)),"Ukjent aktivitet",IF(AND(INDEX(AktRolle,MATCH(C1993,Aktiviteter,0))&amp;""&lt;&gt;"",ISERROR(SEARCH(INDEX(AktRolle,MATCH(C1993,Aktiviteter,0))&amp;"",INDEX(TekRoller,MATCH(B1993,Teknikere,0))))),"Mangler rollen "&amp;INDEX(AktRolle,MATCH(C1993,Aktiviteter,0))&amp;"",IF(AND(C1993="LMS",F1993&gt;0,OR(D1993="",E1993="")),"Mangler maskin eller arbeid",IF(AND(OR(C1993="LMS",C1993="Mod"),D1993&lt;&gt;""),IF(IFERROR(INDEX(MaskinStatus,MATCH(D1993,Maskiner,0)),"")="I dokk","","Maskinen er ikke i dokk"),""))))))</f>
        <v/>
      </c>
      <c r="L1993" s="2">
        <f>IF(B1993="","",IFERROR(INT((MATCH(B1993,Teknikere,0)-1)/18)+1,""))</f>
        <v/>
      </c>
      <c r="M1993" s="2">
        <f>IF(OR(A1993="",B1993=""),"",B1993&amp;"|"&amp;A1993)</f>
        <v/>
      </c>
      <c r="N1993" s="2">
        <f>IF(M1993="","",SUMIFS(TF_Timer,TF_Nokkel,M1993,TF_Akt,C1993))</f>
        <v/>
      </c>
      <c r="O1993" s="2">
        <f>IF(M1993="","",IF(AND(N1993=_xlfn.MAXIFS(TF_AktSum,TF_Nokkel,M1993),COUNTIFS(M$3:M1992,M1993,N$3:N1992,N1993)=0),M1993,""))</f>
        <v/>
      </c>
    </row>
    <row r="1994">
      <c r="A1994" s="34" t="n"/>
      <c r="B1994" s="35" t="n"/>
      <c r="C1994" s="35" t="n"/>
      <c r="D1994" s="35" t="n"/>
      <c r="E1994" s="35" t="n"/>
      <c r="F1994" s="36" t="n"/>
      <c r="G1994" s="35" t="n"/>
      <c r="H1994" s="30">
        <f>IF(L1994="","",INDEX(SkiftNavn,L1994))</f>
        <v/>
      </c>
      <c r="I1994" s="30">
        <f>IF(OR(A1994="",L1994=""),"",IF(MOD(A1994-INDEX(SkiftStart,L1994),Syklus)&lt;DagK,"Kveld",IF(MOD(A1994-INDEX(SkiftStart,L1994),Syklus)&lt;DagK+DagH,"Helg",IF(MOD(A1994-INDEX(SkiftStart,L1994),Syklus)&lt;DagK+DagH+DagD,"Dag","Fri"))))</f>
        <v/>
      </c>
      <c r="J1994" s="30">
        <f>IF(I1994="Fri","Ja","")</f>
        <v/>
      </c>
      <c r="K1994" s="30">
        <f>IF(B1994="","",IF(L1994="","Ukjent tekniker",IF(ISNA(MATCH(C1994,Aktiviteter,0)),"Ukjent aktivitet",IF(AND(INDEX(AktRolle,MATCH(C1994,Aktiviteter,0))&amp;""&lt;&gt;"",ISERROR(SEARCH(INDEX(AktRolle,MATCH(C1994,Aktiviteter,0))&amp;"",INDEX(TekRoller,MATCH(B1994,Teknikere,0))))),"Mangler rollen "&amp;INDEX(AktRolle,MATCH(C1994,Aktiviteter,0))&amp;"",IF(AND(C1994="LMS",F1994&gt;0,OR(D1994="",E1994="")),"Mangler maskin eller arbeid",IF(AND(OR(C1994="LMS",C1994="Mod"),D1994&lt;&gt;""),IF(IFERROR(INDEX(MaskinStatus,MATCH(D1994,Maskiner,0)),"")="I dokk","","Maskinen er ikke i dokk"),""))))))</f>
        <v/>
      </c>
      <c r="L1994" s="2">
        <f>IF(B1994="","",IFERROR(INT((MATCH(B1994,Teknikere,0)-1)/18)+1,""))</f>
        <v/>
      </c>
      <c r="M1994" s="2">
        <f>IF(OR(A1994="",B1994=""),"",B1994&amp;"|"&amp;A1994)</f>
        <v/>
      </c>
      <c r="N1994" s="2">
        <f>IF(M1994="","",SUMIFS(TF_Timer,TF_Nokkel,M1994,TF_Akt,C1994))</f>
        <v/>
      </c>
      <c r="O1994" s="2">
        <f>IF(M1994="","",IF(AND(N1994=_xlfn.MAXIFS(TF_AktSum,TF_Nokkel,M1994),COUNTIFS(M$3:M1993,M1994,N$3:N1993,N1994)=0),M1994,""))</f>
        <v/>
      </c>
    </row>
    <row r="1995">
      <c r="A1995" s="34" t="n"/>
      <c r="B1995" s="35" t="n"/>
      <c r="C1995" s="35" t="n"/>
      <c r="D1995" s="35" t="n"/>
      <c r="E1995" s="35" t="n"/>
      <c r="F1995" s="36" t="n"/>
      <c r="G1995" s="35" t="n"/>
      <c r="H1995" s="30">
        <f>IF(L1995="","",INDEX(SkiftNavn,L1995))</f>
        <v/>
      </c>
      <c r="I1995" s="30">
        <f>IF(OR(A1995="",L1995=""),"",IF(MOD(A1995-INDEX(SkiftStart,L1995),Syklus)&lt;DagK,"Kveld",IF(MOD(A1995-INDEX(SkiftStart,L1995),Syklus)&lt;DagK+DagH,"Helg",IF(MOD(A1995-INDEX(SkiftStart,L1995),Syklus)&lt;DagK+DagH+DagD,"Dag","Fri"))))</f>
        <v/>
      </c>
      <c r="J1995" s="30">
        <f>IF(I1995="Fri","Ja","")</f>
        <v/>
      </c>
      <c r="K1995" s="30">
        <f>IF(B1995="","",IF(L1995="","Ukjent tekniker",IF(ISNA(MATCH(C1995,Aktiviteter,0)),"Ukjent aktivitet",IF(AND(INDEX(AktRolle,MATCH(C1995,Aktiviteter,0))&amp;""&lt;&gt;"",ISERROR(SEARCH(INDEX(AktRolle,MATCH(C1995,Aktiviteter,0))&amp;"",INDEX(TekRoller,MATCH(B1995,Teknikere,0))))),"Mangler rollen "&amp;INDEX(AktRolle,MATCH(C1995,Aktiviteter,0))&amp;"",IF(AND(C1995="LMS",F1995&gt;0,OR(D1995="",E1995="")),"Mangler maskin eller arbeid",IF(AND(OR(C1995="LMS",C1995="Mod"),D1995&lt;&gt;""),IF(IFERROR(INDEX(MaskinStatus,MATCH(D1995,Maskiner,0)),"")="I dokk","","Maskinen er ikke i dokk"),""))))))</f>
        <v/>
      </c>
      <c r="L1995" s="2">
        <f>IF(B1995="","",IFERROR(INT((MATCH(B1995,Teknikere,0)-1)/18)+1,""))</f>
        <v/>
      </c>
      <c r="M1995" s="2">
        <f>IF(OR(A1995="",B1995=""),"",B1995&amp;"|"&amp;A1995)</f>
        <v/>
      </c>
      <c r="N1995" s="2">
        <f>IF(M1995="","",SUMIFS(TF_Timer,TF_Nokkel,M1995,TF_Akt,C1995))</f>
        <v/>
      </c>
      <c r="O1995" s="2">
        <f>IF(M1995="","",IF(AND(N1995=_xlfn.MAXIFS(TF_AktSum,TF_Nokkel,M1995),COUNTIFS(M$3:M1994,M1995,N$3:N1994,N1995)=0),M1995,""))</f>
        <v/>
      </c>
    </row>
    <row r="1996">
      <c r="A1996" s="34" t="n"/>
      <c r="B1996" s="35" t="n"/>
      <c r="C1996" s="35" t="n"/>
      <c r="D1996" s="35" t="n"/>
      <c r="E1996" s="35" t="n"/>
      <c r="F1996" s="36" t="n"/>
      <c r="G1996" s="35" t="n"/>
      <c r="H1996" s="30">
        <f>IF(L1996="","",INDEX(SkiftNavn,L1996))</f>
        <v/>
      </c>
      <c r="I1996" s="30">
        <f>IF(OR(A1996="",L1996=""),"",IF(MOD(A1996-INDEX(SkiftStart,L1996),Syklus)&lt;DagK,"Kveld",IF(MOD(A1996-INDEX(SkiftStart,L1996),Syklus)&lt;DagK+DagH,"Helg",IF(MOD(A1996-INDEX(SkiftStart,L1996),Syklus)&lt;DagK+DagH+DagD,"Dag","Fri"))))</f>
        <v/>
      </c>
      <c r="J1996" s="30">
        <f>IF(I1996="Fri","Ja","")</f>
        <v/>
      </c>
      <c r="K1996" s="30">
        <f>IF(B1996="","",IF(L1996="","Ukjent tekniker",IF(ISNA(MATCH(C1996,Aktiviteter,0)),"Ukjent aktivitet",IF(AND(INDEX(AktRolle,MATCH(C1996,Aktiviteter,0))&amp;""&lt;&gt;"",ISERROR(SEARCH(INDEX(AktRolle,MATCH(C1996,Aktiviteter,0))&amp;"",INDEX(TekRoller,MATCH(B1996,Teknikere,0))))),"Mangler rollen "&amp;INDEX(AktRolle,MATCH(C1996,Aktiviteter,0))&amp;"",IF(AND(C1996="LMS",F1996&gt;0,OR(D1996="",E1996="")),"Mangler maskin eller arbeid",IF(AND(OR(C1996="LMS",C1996="Mod"),D1996&lt;&gt;""),IF(IFERROR(INDEX(MaskinStatus,MATCH(D1996,Maskiner,0)),"")="I dokk","","Maskinen er ikke i dokk"),""))))))</f>
        <v/>
      </c>
      <c r="L1996" s="2">
        <f>IF(B1996="","",IFERROR(INT((MATCH(B1996,Teknikere,0)-1)/18)+1,""))</f>
        <v/>
      </c>
      <c r="M1996" s="2">
        <f>IF(OR(A1996="",B1996=""),"",B1996&amp;"|"&amp;A1996)</f>
        <v/>
      </c>
      <c r="N1996" s="2">
        <f>IF(M1996="","",SUMIFS(TF_Timer,TF_Nokkel,M1996,TF_Akt,C1996))</f>
        <v/>
      </c>
      <c r="O1996" s="2">
        <f>IF(M1996="","",IF(AND(N1996=_xlfn.MAXIFS(TF_AktSum,TF_Nokkel,M1996),COUNTIFS(M$3:M1995,M1996,N$3:N1995,N1996)=0),M1996,""))</f>
        <v/>
      </c>
    </row>
    <row r="1997">
      <c r="A1997" s="34" t="n"/>
      <c r="B1997" s="35" t="n"/>
      <c r="C1997" s="35" t="n"/>
      <c r="D1997" s="35" t="n"/>
      <c r="E1997" s="35" t="n"/>
      <c r="F1997" s="36" t="n"/>
      <c r="G1997" s="35" t="n"/>
      <c r="H1997" s="30">
        <f>IF(L1997="","",INDEX(SkiftNavn,L1997))</f>
        <v/>
      </c>
      <c r="I1997" s="30">
        <f>IF(OR(A1997="",L1997=""),"",IF(MOD(A1997-INDEX(SkiftStart,L1997),Syklus)&lt;DagK,"Kveld",IF(MOD(A1997-INDEX(SkiftStart,L1997),Syklus)&lt;DagK+DagH,"Helg",IF(MOD(A1997-INDEX(SkiftStart,L1997),Syklus)&lt;DagK+DagH+DagD,"Dag","Fri"))))</f>
        <v/>
      </c>
      <c r="J1997" s="30">
        <f>IF(I1997="Fri","Ja","")</f>
        <v/>
      </c>
      <c r="K1997" s="30">
        <f>IF(B1997="","",IF(L1997="","Ukjent tekniker",IF(ISNA(MATCH(C1997,Aktiviteter,0)),"Ukjent aktivitet",IF(AND(INDEX(AktRolle,MATCH(C1997,Aktiviteter,0))&amp;""&lt;&gt;"",ISERROR(SEARCH(INDEX(AktRolle,MATCH(C1997,Aktiviteter,0))&amp;"",INDEX(TekRoller,MATCH(B1997,Teknikere,0))))),"Mangler rollen "&amp;INDEX(AktRolle,MATCH(C1997,Aktiviteter,0))&amp;"",IF(AND(C1997="LMS",F1997&gt;0,OR(D1997="",E1997="")),"Mangler maskin eller arbeid",IF(AND(OR(C1997="LMS",C1997="Mod"),D1997&lt;&gt;""),IF(IFERROR(INDEX(MaskinStatus,MATCH(D1997,Maskiner,0)),"")="I dokk","","Maskinen er ikke i dokk"),""))))))</f>
        <v/>
      </c>
      <c r="L1997" s="2">
        <f>IF(B1997="","",IFERROR(INT((MATCH(B1997,Teknikere,0)-1)/18)+1,""))</f>
        <v/>
      </c>
      <c r="M1997" s="2">
        <f>IF(OR(A1997="",B1997=""),"",B1997&amp;"|"&amp;A1997)</f>
        <v/>
      </c>
      <c r="N1997" s="2">
        <f>IF(M1997="","",SUMIFS(TF_Timer,TF_Nokkel,M1997,TF_Akt,C1997))</f>
        <v/>
      </c>
      <c r="O1997" s="2">
        <f>IF(M1997="","",IF(AND(N1997=_xlfn.MAXIFS(TF_AktSum,TF_Nokkel,M1997),COUNTIFS(M$3:M1996,M1997,N$3:N1996,N1997)=0),M1997,""))</f>
        <v/>
      </c>
    </row>
    <row r="1998">
      <c r="A1998" s="34" t="n"/>
      <c r="B1998" s="35" t="n"/>
      <c r="C1998" s="35" t="n"/>
      <c r="D1998" s="35" t="n"/>
      <c r="E1998" s="35" t="n"/>
      <c r="F1998" s="36" t="n"/>
      <c r="G1998" s="35" t="n"/>
      <c r="H1998" s="30">
        <f>IF(L1998="","",INDEX(SkiftNavn,L1998))</f>
        <v/>
      </c>
      <c r="I1998" s="30">
        <f>IF(OR(A1998="",L1998=""),"",IF(MOD(A1998-INDEX(SkiftStart,L1998),Syklus)&lt;DagK,"Kveld",IF(MOD(A1998-INDEX(SkiftStart,L1998),Syklus)&lt;DagK+DagH,"Helg",IF(MOD(A1998-INDEX(SkiftStart,L1998),Syklus)&lt;DagK+DagH+DagD,"Dag","Fri"))))</f>
        <v/>
      </c>
      <c r="J1998" s="30">
        <f>IF(I1998="Fri","Ja","")</f>
        <v/>
      </c>
      <c r="K1998" s="30">
        <f>IF(B1998="","",IF(L1998="","Ukjent tekniker",IF(ISNA(MATCH(C1998,Aktiviteter,0)),"Ukjent aktivitet",IF(AND(INDEX(AktRolle,MATCH(C1998,Aktiviteter,0))&amp;""&lt;&gt;"",ISERROR(SEARCH(INDEX(AktRolle,MATCH(C1998,Aktiviteter,0))&amp;"",INDEX(TekRoller,MATCH(B1998,Teknikere,0))))),"Mangler rollen "&amp;INDEX(AktRolle,MATCH(C1998,Aktiviteter,0))&amp;"",IF(AND(C1998="LMS",F1998&gt;0,OR(D1998="",E1998="")),"Mangler maskin eller arbeid",IF(AND(OR(C1998="LMS",C1998="Mod"),D1998&lt;&gt;""),IF(IFERROR(INDEX(MaskinStatus,MATCH(D1998,Maskiner,0)),"")="I dokk","","Maskinen er ikke i dokk"),""))))))</f>
        <v/>
      </c>
      <c r="L1998" s="2">
        <f>IF(B1998="","",IFERROR(INT((MATCH(B1998,Teknikere,0)-1)/18)+1,""))</f>
        <v/>
      </c>
      <c r="M1998" s="2">
        <f>IF(OR(A1998="",B1998=""),"",B1998&amp;"|"&amp;A1998)</f>
        <v/>
      </c>
      <c r="N1998" s="2">
        <f>IF(M1998="","",SUMIFS(TF_Timer,TF_Nokkel,M1998,TF_Akt,C1998))</f>
        <v/>
      </c>
      <c r="O1998" s="2">
        <f>IF(M1998="","",IF(AND(N1998=_xlfn.MAXIFS(TF_AktSum,TF_Nokkel,M1998),COUNTIFS(M$3:M1997,M1998,N$3:N1997,N1998)=0),M1998,""))</f>
        <v/>
      </c>
    </row>
    <row r="1999">
      <c r="A1999" s="34" t="n"/>
      <c r="B1999" s="35" t="n"/>
      <c r="C1999" s="35" t="n"/>
      <c r="D1999" s="35" t="n"/>
      <c r="E1999" s="35" t="n"/>
      <c r="F1999" s="36" t="n"/>
      <c r="G1999" s="35" t="n"/>
      <c r="H1999" s="30">
        <f>IF(L1999="","",INDEX(SkiftNavn,L1999))</f>
        <v/>
      </c>
      <c r="I1999" s="30">
        <f>IF(OR(A1999="",L1999=""),"",IF(MOD(A1999-INDEX(SkiftStart,L1999),Syklus)&lt;DagK,"Kveld",IF(MOD(A1999-INDEX(SkiftStart,L1999),Syklus)&lt;DagK+DagH,"Helg",IF(MOD(A1999-INDEX(SkiftStart,L1999),Syklus)&lt;DagK+DagH+DagD,"Dag","Fri"))))</f>
        <v/>
      </c>
      <c r="J1999" s="30">
        <f>IF(I1999="Fri","Ja","")</f>
        <v/>
      </c>
      <c r="K1999" s="30">
        <f>IF(B1999="","",IF(L1999="","Ukjent tekniker",IF(ISNA(MATCH(C1999,Aktiviteter,0)),"Ukjent aktivitet",IF(AND(INDEX(AktRolle,MATCH(C1999,Aktiviteter,0))&amp;""&lt;&gt;"",ISERROR(SEARCH(INDEX(AktRolle,MATCH(C1999,Aktiviteter,0))&amp;"",INDEX(TekRoller,MATCH(B1999,Teknikere,0))))),"Mangler rollen "&amp;INDEX(AktRolle,MATCH(C1999,Aktiviteter,0))&amp;"",IF(AND(C1999="LMS",F1999&gt;0,OR(D1999="",E1999="")),"Mangler maskin eller arbeid",IF(AND(OR(C1999="LMS",C1999="Mod"),D1999&lt;&gt;""),IF(IFERROR(INDEX(MaskinStatus,MATCH(D1999,Maskiner,0)),"")="I dokk","","Maskinen er ikke i dokk"),""))))))</f>
        <v/>
      </c>
      <c r="L1999" s="2">
        <f>IF(B1999="","",IFERROR(INT((MATCH(B1999,Teknikere,0)-1)/18)+1,""))</f>
        <v/>
      </c>
      <c r="M1999" s="2">
        <f>IF(OR(A1999="",B1999=""),"",B1999&amp;"|"&amp;A1999)</f>
        <v/>
      </c>
      <c r="N1999" s="2">
        <f>IF(M1999="","",SUMIFS(TF_Timer,TF_Nokkel,M1999,TF_Akt,C1999))</f>
        <v/>
      </c>
      <c r="O1999" s="2">
        <f>IF(M1999="","",IF(AND(N1999=_xlfn.MAXIFS(TF_AktSum,TF_Nokkel,M1999),COUNTIFS(M$3:M1998,M1999,N$3:N1998,N1999)=0),M1999,""))</f>
        <v/>
      </c>
    </row>
    <row r="2000">
      <c r="A2000" s="34" t="n"/>
      <c r="B2000" s="35" t="n"/>
      <c r="C2000" s="35" t="n"/>
      <c r="D2000" s="35" t="n"/>
      <c r="E2000" s="35" t="n"/>
      <c r="F2000" s="36" t="n"/>
      <c r="G2000" s="35" t="n"/>
      <c r="H2000" s="30">
        <f>IF(L2000="","",INDEX(SkiftNavn,L2000))</f>
        <v/>
      </c>
      <c r="I2000" s="30">
        <f>IF(OR(A2000="",L2000=""),"",IF(MOD(A2000-INDEX(SkiftStart,L2000),Syklus)&lt;DagK,"Kveld",IF(MOD(A2000-INDEX(SkiftStart,L2000),Syklus)&lt;DagK+DagH,"Helg",IF(MOD(A2000-INDEX(SkiftStart,L2000),Syklus)&lt;DagK+DagH+DagD,"Dag","Fri"))))</f>
        <v/>
      </c>
      <c r="J2000" s="30">
        <f>IF(I2000="Fri","Ja","")</f>
        <v/>
      </c>
      <c r="K2000" s="30">
        <f>IF(B2000="","",IF(L2000="","Ukjent tekniker",IF(ISNA(MATCH(C2000,Aktiviteter,0)),"Ukjent aktivitet",IF(AND(INDEX(AktRolle,MATCH(C2000,Aktiviteter,0))&amp;""&lt;&gt;"",ISERROR(SEARCH(INDEX(AktRolle,MATCH(C2000,Aktiviteter,0))&amp;"",INDEX(TekRoller,MATCH(B2000,Teknikere,0))))),"Mangler rollen "&amp;INDEX(AktRolle,MATCH(C2000,Aktiviteter,0))&amp;"",IF(AND(C2000="LMS",F2000&gt;0,OR(D2000="",E2000="")),"Mangler maskin eller arbeid",IF(AND(OR(C2000="LMS",C2000="Mod"),D2000&lt;&gt;""),IF(IFERROR(INDEX(MaskinStatus,MATCH(D2000,Maskiner,0)),"")="I dokk","","Maskinen er ikke i dokk"),""))))))</f>
        <v/>
      </c>
      <c r="L2000" s="2">
        <f>IF(B2000="","",IFERROR(INT((MATCH(B2000,Teknikere,0)-1)/18)+1,""))</f>
        <v/>
      </c>
      <c r="M2000" s="2">
        <f>IF(OR(A2000="",B2000=""),"",B2000&amp;"|"&amp;A2000)</f>
        <v/>
      </c>
      <c r="N2000" s="2">
        <f>IF(M2000="","",SUMIFS(TF_Timer,TF_Nokkel,M2000,TF_Akt,C2000))</f>
        <v/>
      </c>
      <c r="O2000" s="2">
        <f>IF(M2000="","",IF(AND(N2000=_xlfn.MAXIFS(TF_AktSum,TF_Nokkel,M2000),COUNTIFS(M$3:M1999,M2000,N$3:N1999,N2000)=0),M2000,""))</f>
        <v/>
      </c>
    </row>
    <row r="2001">
      <c r="A2001" s="34" t="n"/>
      <c r="B2001" s="35" t="n"/>
      <c r="C2001" s="35" t="n"/>
      <c r="D2001" s="35" t="n"/>
      <c r="E2001" s="35" t="n"/>
      <c r="F2001" s="36" t="n"/>
      <c r="G2001" s="35" t="n"/>
      <c r="H2001" s="30">
        <f>IF(L2001="","",INDEX(SkiftNavn,L2001))</f>
        <v/>
      </c>
      <c r="I2001" s="30">
        <f>IF(OR(A2001="",L2001=""),"",IF(MOD(A2001-INDEX(SkiftStart,L2001),Syklus)&lt;DagK,"Kveld",IF(MOD(A2001-INDEX(SkiftStart,L2001),Syklus)&lt;DagK+DagH,"Helg",IF(MOD(A2001-INDEX(SkiftStart,L2001),Syklus)&lt;DagK+DagH+DagD,"Dag","Fri"))))</f>
        <v/>
      </c>
      <c r="J2001" s="30">
        <f>IF(I2001="Fri","Ja","")</f>
        <v/>
      </c>
      <c r="K2001" s="30">
        <f>IF(B2001="","",IF(L2001="","Ukjent tekniker",IF(ISNA(MATCH(C2001,Aktiviteter,0)),"Ukjent aktivitet",IF(AND(INDEX(AktRolle,MATCH(C2001,Aktiviteter,0))&amp;""&lt;&gt;"",ISERROR(SEARCH(INDEX(AktRolle,MATCH(C2001,Aktiviteter,0))&amp;"",INDEX(TekRoller,MATCH(B2001,Teknikere,0))))),"Mangler rollen "&amp;INDEX(AktRolle,MATCH(C2001,Aktiviteter,0))&amp;"",IF(AND(C2001="LMS",F2001&gt;0,OR(D2001="",E2001="")),"Mangler maskin eller arbeid",IF(AND(OR(C2001="LMS",C2001="Mod"),D2001&lt;&gt;""),IF(IFERROR(INDEX(MaskinStatus,MATCH(D2001,Maskiner,0)),"")="I dokk","","Maskinen er ikke i dokk"),""))))))</f>
        <v/>
      </c>
      <c r="L2001" s="2">
        <f>IF(B2001="","",IFERROR(INT((MATCH(B2001,Teknikere,0)-1)/18)+1,""))</f>
        <v/>
      </c>
      <c r="M2001" s="2">
        <f>IF(OR(A2001="",B2001=""),"",B2001&amp;"|"&amp;A2001)</f>
        <v/>
      </c>
      <c r="N2001" s="2">
        <f>IF(M2001="","",SUMIFS(TF_Timer,TF_Nokkel,M2001,TF_Akt,C2001))</f>
        <v/>
      </c>
      <c r="O2001" s="2">
        <f>IF(M2001="","",IF(AND(N2001=_xlfn.MAXIFS(TF_AktSum,TF_Nokkel,M2001),COUNTIFS(M$3:M2000,M2001,N$3:N2000,N2001)=0),M2001,""))</f>
        <v/>
      </c>
    </row>
    <row r="2002">
      <c r="A2002" s="34" t="n"/>
      <c r="B2002" s="35" t="n"/>
      <c r="C2002" s="35" t="n"/>
      <c r="D2002" s="35" t="n"/>
      <c r="E2002" s="35" t="n"/>
      <c r="F2002" s="36" t="n"/>
      <c r="G2002" s="35" t="n"/>
      <c r="H2002" s="30">
        <f>IF(L2002="","",INDEX(SkiftNavn,L2002))</f>
        <v/>
      </c>
      <c r="I2002" s="30">
        <f>IF(OR(A2002="",L2002=""),"",IF(MOD(A2002-INDEX(SkiftStart,L2002),Syklus)&lt;DagK,"Kveld",IF(MOD(A2002-INDEX(SkiftStart,L2002),Syklus)&lt;DagK+DagH,"Helg",IF(MOD(A2002-INDEX(SkiftStart,L2002),Syklus)&lt;DagK+DagH+DagD,"Dag","Fri"))))</f>
        <v/>
      </c>
      <c r="J2002" s="30">
        <f>IF(I2002="Fri","Ja","")</f>
        <v/>
      </c>
      <c r="K2002" s="30">
        <f>IF(B2002="","",IF(L2002="","Ukjent tekniker",IF(ISNA(MATCH(C2002,Aktiviteter,0)),"Ukjent aktivitet",IF(AND(INDEX(AktRolle,MATCH(C2002,Aktiviteter,0))&amp;""&lt;&gt;"",ISERROR(SEARCH(INDEX(AktRolle,MATCH(C2002,Aktiviteter,0))&amp;"",INDEX(TekRoller,MATCH(B2002,Teknikere,0))))),"Mangler rollen "&amp;INDEX(AktRolle,MATCH(C2002,Aktiviteter,0))&amp;"",IF(AND(C2002="LMS",F2002&gt;0,OR(D2002="",E2002="")),"Mangler maskin eller arbeid",IF(AND(OR(C2002="LMS",C2002="Mod"),D2002&lt;&gt;""),IF(IFERROR(INDEX(MaskinStatus,MATCH(D2002,Maskiner,0)),"")="I dokk","","Maskinen er ikke i dokk"),""))))))</f>
        <v/>
      </c>
      <c r="L2002" s="2">
        <f>IF(B2002="","",IFERROR(INT((MATCH(B2002,Teknikere,0)-1)/18)+1,""))</f>
        <v/>
      </c>
      <c r="M2002" s="2">
        <f>IF(OR(A2002="",B2002=""),"",B2002&amp;"|"&amp;A2002)</f>
        <v/>
      </c>
      <c r="N2002" s="2">
        <f>IF(M2002="","",SUMIFS(TF_Timer,TF_Nokkel,M2002,TF_Akt,C2002))</f>
        <v/>
      </c>
      <c r="O2002" s="2">
        <f>IF(M2002="","",IF(AND(N2002=_xlfn.MAXIFS(TF_AktSum,TF_Nokkel,M2002),COUNTIFS(M$3:M2001,M2002,N$3:N2001,N2002)=0),M2002,""))</f>
        <v/>
      </c>
    </row>
    <row r="2003">
      <c r="A2003" s="34" t="n"/>
      <c r="B2003" s="35" t="n"/>
      <c r="C2003" s="35" t="n"/>
      <c r="D2003" s="35" t="n"/>
      <c r="E2003" s="35" t="n"/>
      <c r="F2003" s="36" t="n"/>
      <c r="G2003" s="35" t="n"/>
      <c r="H2003" s="30">
        <f>IF(L2003="","",INDEX(SkiftNavn,L2003))</f>
        <v/>
      </c>
      <c r="I2003" s="30">
        <f>IF(OR(A2003="",L2003=""),"",IF(MOD(A2003-INDEX(SkiftStart,L2003),Syklus)&lt;DagK,"Kveld",IF(MOD(A2003-INDEX(SkiftStart,L2003),Syklus)&lt;DagK+DagH,"Helg",IF(MOD(A2003-INDEX(SkiftStart,L2003),Syklus)&lt;DagK+DagH+DagD,"Dag","Fri"))))</f>
        <v/>
      </c>
      <c r="J2003" s="30">
        <f>IF(I2003="Fri","Ja","")</f>
        <v/>
      </c>
      <c r="K2003" s="30">
        <f>IF(B2003="","",IF(L2003="","Ukjent tekniker",IF(ISNA(MATCH(C2003,Aktiviteter,0)),"Ukjent aktivitet",IF(AND(INDEX(AktRolle,MATCH(C2003,Aktiviteter,0))&amp;""&lt;&gt;"",ISERROR(SEARCH(INDEX(AktRolle,MATCH(C2003,Aktiviteter,0))&amp;"",INDEX(TekRoller,MATCH(B2003,Teknikere,0))))),"Mangler rollen "&amp;INDEX(AktRolle,MATCH(C2003,Aktiviteter,0))&amp;"",IF(AND(C2003="LMS",F2003&gt;0,OR(D2003="",E2003="")),"Mangler maskin eller arbeid",IF(AND(OR(C2003="LMS",C2003="Mod"),D2003&lt;&gt;""),IF(IFERROR(INDEX(MaskinStatus,MATCH(D2003,Maskiner,0)),"")="I dokk","","Maskinen er ikke i dokk"),""))))))</f>
        <v/>
      </c>
      <c r="L2003" s="2">
        <f>IF(B2003="","",IFERROR(INT((MATCH(B2003,Teknikere,0)-1)/18)+1,""))</f>
        <v/>
      </c>
      <c r="M2003" s="2">
        <f>IF(OR(A2003="",B2003=""),"",B2003&amp;"|"&amp;A2003)</f>
        <v/>
      </c>
      <c r="N2003" s="2">
        <f>IF(M2003="","",SUMIFS(TF_Timer,TF_Nokkel,M2003,TF_Akt,C2003))</f>
        <v/>
      </c>
      <c r="O2003" s="2">
        <f>IF(M2003="","",IF(AND(N2003=_xlfn.MAXIFS(TF_AktSum,TF_Nokkel,M2003),COUNTIFS(M$3:M2002,M2003,N$3:N2002,N2003)=0),M2003,""))</f>
        <v/>
      </c>
    </row>
    <row r="2004">
      <c r="A2004" s="34" t="n"/>
      <c r="B2004" s="35" t="n"/>
      <c r="C2004" s="35" t="n"/>
      <c r="D2004" s="35" t="n"/>
      <c r="E2004" s="35" t="n"/>
      <c r="F2004" s="36" t="n"/>
      <c r="G2004" s="35" t="n"/>
      <c r="H2004" s="30">
        <f>IF(L2004="","",INDEX(SkiftNavn,L2004))</f>
        <v/>
      </c>
      <c r="I2004" s="30">
        <f>IF(OR(A2004="",L2004=""),"",IF(MOD(A2004-INDEX(SkiftStart,L2004),Syklus)&lt;DagK,"Kveld",IF(MOD(A2004-INDEX(SkiftStart,L2004),Syklus)&lt;DagK+DagH,"Helg",IF(MOD(A2004-INDEX(SkiftStart,L2004),Syklus)&lt;DagK+DagH+DagD,"Dag","Fri"))))</f>
        <v/>
      </c>
      <c r="J2004" s="30">
        <f>IF(I2004="Fri","Ja","")</f>
        <v/>
      </c>
      <c r="K2004" s="30">
        <f>IF(B2004="","",IF(L2004="","Ukjent tekniker",IF(ISNA(MATCH(C2004,Aktiviteter,0)),"Ukjent aktivitet",IF(AND(INDEX(AktRolle,MATCH(C2004,Aktiviteter,0))&amp;""&lt;&gt;"",ISERROR(SEARCH(INDEX(AktRolle,MATCH(C2004,Aktiviteter,0))&amp;"",INDEX(TekRoller,MATCH(B2004,Teknikere,0))))),"Mangler rollen "&amp;INDEX(AktRolle,MATCH(C2004,Aktiviteter,0))&amp;"",IF(AND(C2004="LMS",F2004&gt;0,OR(D2004="",E2004="")),"Mangler maskin eller arbeid",IF(AND(OR(C2004="LMS",C2004="Mod"),D2004&lt;&gt;""),IF(IFERROR(INDEX(MaskinStatus,MATCH(D2004,Maskiner,0)),"")="I dokk","","Maskinen er ikke i dokk"),""))))))</f>
        <v/>
      </c>
      <c r="L2004" s="2">
        <f>IF(B2004="","",IFERROR(INT((MATCH(B2004,Teknikere,0)-1)/18)+1,""))</f>
        <v/>
      </c>
      <c r="M2004" s="2">
        <f>IF(OR(A2004="",B2004=""),"",B2004&amp;"|"&amp;A2004)</f>
        <v/>
      </c>
      <c r="N2004" s="2">
        <f>IF(M2004="","",SUMIFS(TF_Timer,TF_Nokkel,M2004,TF_Akt,C2004))</f>
        <v/>
      </c>
      <c r="O2004" s="2">
        <f>IF(M2004="","",IF(AND(N2004=_xlfn.MAXIFS(TF_AktSum,TF_Nokkel,M2004),COUNTIFS(M$3:M2003,M2004,N$3:N2003,N2004)=0),M2004,""))</f>
        <v/>
      </c>
    </row>
    <row r="2005">
      <c r="A2005" s="34" t="n"/>
      <c r="B2005" s="35" t="n"/>
      <c r="C2005" s="35" t="n"/>
      <c r="D2005" s="35" t="n"/>
      <c r="E2005" s="35" t="n"/>
      <c r="F2005" s="36" t="n"/>
      <c r="G2005" s="35" t="n"/>
      <c r="H2005" s="30">
        <f>IF(L2005="","",INDEX(SkiftNavn,L2005))</f>
        <v/>
      </c>
      <c r="I2005" s="30">
        <f>IF(OR(A2005="",L2005=""),"",IF(MOD(A2005-INDEX(SkiftStart,L2005),Syklus)&lt;DagK,"Kveld",IF(MOD(A2005-INDEX(SkiftStart,L2005),Syklus)&lt;DagK+DagH,"Helg",IF(MOD(A2005-INDEX(SkiftStart,L2005),Syklus)&lt;DagK+DagH+DagD,"Dag","Fri"))))</f>
        <v/>
      </c>
      <c r="J2005" s="30">
        <f>IF(I2005="Fri","Ja","")</f>
        <v/>
      </c>
      <c r="K2005" s="30">
        <f>IF(B2005="","",IF(L2005="","Ukjent tekniker",IF(ISNA(MATCH(C2005,Aktiviteter,0)),"Ukjent aktivitet",IF(AND(INDEX(AktRolle,MATCH(C2005,Aktiviteter,0))&amp;""&lt;&gt;"",ISERROR(SEARCH(INDEX(AktRolle,MATCH(C2005,Aktiviteter,0))&amp;"",INDEX(TekRoller,MATCH(B2005,Teknikere,0))))),"Mangler rollen "&amp;INDEX(AktRolle,MATCH(C2005,Aktiviteter,0))&amp;"",IF(AND(C2005="LMS",F2005&gt;0,OR(D2005="",E2005="")),"Mangler maskin eller arbeid",IF(AND(OR(C2005="LMS",C2005="Mod"),D2005&lt;&gt;""),IF(IFERROR(INDEX(MaskinStatus,MATCH(D2005,Maskiner,0)),"")="I dokk","","Maskinen er ikke i dokk"),""))))))</f>
        <v/>
      </c>
      <c r="L2005" s="2">
        <f>IF(B2005="","",IFERROR(INT((MATCH(B2005,Teknikere,0)-1)/18)+1,""))</f>
        <v/>
      </c>
      <c r="M2005" s="2">
        <f>IF(OR(A2005="",B2005=""),"",B2005&amp;"|"&amp;A2005)</f>
        <v/>
      </c>
      <c r="N2005" s="2">
        <f>IF(M2005="","",SUMIFS(TF_Timer,TF_Nokkel,M2005,TF_Akt,C2005))</f>
        <v/>
      </c>
      <c r="O2005" s="2">
        <f>IF(M2005="","",IF(AND(N2005=_xlfn.MAXIFS(TF_AktSum,TF_Nokkel,M2005),COUNTIFS(M$3:M2004,M2005,N$3:N2004,N2005)=0),M2005,""))</f>
        <v/>
      </c>
    </row>
    <row r="2006">
      <c r="A2006" s="34" t="n"/>
      <c r="B2006" s="35" t="n"/>
      <c r="C2006" s="35" t="n"/>
      <c r="D2006" s="35" t="n"/>
      <c r="E2006" s="35" t="n"/>
      <c r="F2006" s="36" t="n"/>
      <c r="G2006" s="35" t="n"/>
      <c r="H2006" s="30">
        <f>IF(L2006="","",INDEX(SkiftNavn,L2006))</f>
        <v/>
      </c>
      <c r="I2006" s="30">
        <f>IF(OR(A2006="",L2006=""),"",IF(MOD(A2006-INDEX(SkiftStart,L2006),Syklus)&lt;DagK,"Kveld",IF(MOD(A2006-INDEX(SkiftStart,L2006),Syklus)&lt;DagK+DagH,"Helg",IF(MOD(A2006-INDEX(SkiftStart,L2006),Syklus)&lt;DagK+DagH+DagD,"Dag","Fri"))))</f>
        <v/>
      </c>
      <c r="J2006" s="30">
        <f>IF(I2006="Fri","Ja","")</f>
        <v/>
      </c>
      <c r="K2006" s="30">
        <f>IF(B2006="","",IF(L2006="","Ukjent tekniker",IF(ISNA(MATCH(C2006,Aktiviteter,0)),"Ukjent aktivitet",IF(AND(INDEX(AktRolle,MATCH(C2006,Aktiviteter,0))&amp;""&lt;&gt;"",ISERROR(SEARCH(INDEX(AktRolle,MATCH(C2006,Aktiviteter,0))&amp;"",INDEX(TekRoller,MATCH(B2006,Teknikere,0))))),"Mangler rollen "&amp;INDEX(AktRolle,MATCH(C2006,Aktiviteter,0))&amp;"",IF(AND(C2006="LMS",F2006&gt;0,OR(D2006="",E2006="")),"Mangler maskin eller arbeid",IF(AND(OR(C2006="LMS",C2006="Mod"),D2006&lt;&gt;""),IF(IFERROR(INDEX(MaskinStatus,MATCH(D2006,Maskiner,0)),"")="I dokk","","Maskinen er ikke i dokk"),""))))))</f>
        <v/>
      </c>
      <c r="L2006" s="2">
        <f>IF(B2006="","",IFERROR(INT((MATCH(B2006,Teknikere,0)-1)/18)+1,""))</f>
        <v/>
      </c>
      <c r="M2006" s="2">
        <f>IF(OR(A2006="",B2006=""),"",B2006&amp;"|"&amp;A2006)</f>
        <v/>
      </c>
      <c r="N2006" s="2">
        <f>IF(M2006="","",SUMIFS(TF_Timer,TF_Nokkel,M2006,TF_Akt,C2006))</f>
        <v/>
      </c>
      <c r="O2006" s="2">
        <f>IF(M2006="","",IF(AND(N2006=_xlfn.MAXIFS(TF_AktSum,TF_Nokkel,M2006),COUNTIFS(M$3:M2005,M2006,N$3:N2005,N2006)=0),M2006,""))</f>
        <v/>
      </c>
    </row>
    <row r="2007">
      <c r="A2007" s="34" t="n"/>
      <c r="B2007" s="35" t="n"/>
      <c r="C2007" s="35" t="n"/>
      <c r="D2007" s="35" t="n"/>
      <c r="E2007" s="35" t="n"/>
      <c r="F2007" s="36" t="n"/>
      <c r="G2007" s="35" t="n"/>
      <c r="H2007" s="30">
        <f>IF(L2007="","",INDEX(SkiftNavn,L2007))</f>
        <v/>
      </c>
      <c r="I2007" s="30">
        <f>IF(OR(A2007="",L2007=""),"",IF(MOD(A2007-INDEX(SkiftStart,L2007),Syklus)&lt;DagK,"Kveld",IF(MOD(A2007-INDEX(SkiftStart,L2007),Syklus)&lt;DagK+DagH,"Helg",IF(MOD(A2007-INDEX(SkiftStart,L2007),Syklus)&lt;DagK+DagH+DagD,"Dag","Fri"))))</f>
        <v/>
      </c>
      <c r="J2007" s="30">
        <f>IF(I2007="Fri","Ja","")</f>
        <v/>
      </c>
      <c r="K2007" s="30">
        <f>IF(B2007="","",IF(L2007="","Ukjent tekniker",IF(ISNA(MATCH(C2007,Aktiviteter,0)),"Ukjent aktivitet",IF(AND(INDEX(AktRolle,MATCH(C2007,Aktiviteter,0))&amp;""&lt;&gt;"",ISERROR(SEARCH(INDEX(AktRolle,MATCH(C2007,Aktiviteter,0))&amp;"",INDEX(TekRoller,MATCH(B2007,Teknikere,0))))),"Mangler rollen "&amp;INDEX(AktRolle,MATCH(C2007,Aktiviteter,0))&amp;"",IF(AND(C2007="LMS",F2007&gt;0,OR(D2007="",E2007="")),"Mangler maskin eller arbeid",IF(AND(OR(C2007="LMS",C2007="Mod"),D2007&lt;&gt;""),IF(IFERROR(INDEX(MaskinStatus,MATCH(D2007,Maskiner,0)),"")="I dokk","","Maskinen er ikke i dokk"),""))))))</f>
        <v/>
      </c>
      <c r="L2007" s="2">
        <f>IF(B2007="","",IFERROR(INT((MATCH(B2007,Teknikere,0)-1)/18)+1,""))</f>
        <v/>
      </c>
      <c r="M2007" s="2">
        <f>IF(OR(A2007="",B2007=""),"",B2007&amp;"|"&amp;A2007)</f>
        <v/>
      </c>
      <c r="N2007" s="2">
        <f>IF(M2007="","",SUMIFS(TF_Timer,TF_Nokkel,M2007,TF_Akt,C2007))</f>
        <v/>
      </c>
      <c r="O2007" s="2">
        <f>IF(M2007="","",IF(AND(N2007=_xlfn.MAXIFS(TF_AktSum,TF_Nokkel,M2007),COUNTIFS(M$3:M2006,M2007,N$3:N2006,N2007)=0),M2007,""))</f>
        <v/>
      </c>
    </row>
    <row r="2008">
      <c r="A2008" s="34" t="n"/>
      <c r="B2008" s="35" t="n"/>
      <c r="C2008" s="35" t="n"/>
      <c r="D2008" s="35" t="n"/>
      <c r="E2008" s="35" t="n"/>
      <c r="F2008" s="36" t="n"/>
      <c r="G2008" s="35" t="n"/>
      <c r="H2008" s="30">
        <f>IF(L2008="","",INDEX(SkiftNavn,L2008))</f>
        <v/>
      </c>
      <c r="I2008" s="30">
        <f>IF(OR(A2008="",L2008=""),"",IF(MOD(A2008-INDEX(SkiftStart,L2008),Syklus)&lt;DagK,"Kveld",IF(MOD(A2008-INDEX(SkiftStart,L2008),Syklus)&lt;DagK+DagH,"Helg",IF(MOD(A2008-INDEX(SkiftStart,L2008),Syklus)&lt;DagK+DagH+DagD,"Dag","Fri"))))</f>
        <v/>
      </c>
      <c r="J2008" s="30">
        <f>IF(I2008="Fri","Ja","")</f>
        <v/>
      </c>
      <c r="K2008" s="30">
        <f>IF(B2008="","",IF(L2008="","Ukjent tekniker",IF(ISNA(MATCH(C2008,Aktiviteter,0)),"Ukjent aktivitet",IF(AND(INDEX(AktRolle,MATCH(C2008,Aktiviteter,0))&amp;""&lt;&gt;"",ISERROR(SEARCH(INDEX(AktRolle,MATCH(C2008,Aktiviteter,0))&amp;"",INDEX(TekRoller,MATCH(B2008,Teknikere,0))))),"Mangler rollen "&amp;INDEX(AktRolle,MATCH(C2008,Aktiviteter,0))&amp;"",IF(AND(C2008="LMS",F2008&gt;0,OR(D2008="",E2008="")),"Mangler maskin eller arbeid",IF(AND(OR(C2008="LMS",C2008="Mod"),D2008&lt;&gt;""),IF(IFERROR(INDEX(MaskinStatus,MATCH(D2008,Maskiner,0)),"")="I dokk","","Maskinen er ikke i dokk"),""))))))</f>
        <v/>
      </c>
      <c r="L2008" s="2">
        <f>IF(B2008="","",IFERROR(INT((MATCH(B2008,Teknikere,0)-1)/18)+1,""))</f>
        <v/>
      </c>
      <c r="M2008" s="2">
        <f>IF(OR(A2008="",B2008=""),"",B2008&amp;"|"&amp;A2008)</f>
        <v/>
      </c>
      <c r="N2008" s="2">
        <f>IF(M2008="","",SUMIFS(TF_Timer,TF_Nokkel,M2008,TF_Akt,C2008))</f>
        <v/>
      </c>
      <c r="O2008" s="2">
        <f>IF(M2008="","",IF(AND(N2008=_xlfn.MAXIFS(TF_AktSum,TF_Nokkel,M2008),COUNTIFS(M$3:M2007,M2008,N$3:N2007,N2008)=0),M2008,""))</f>
        <v/>
      </c>
    </row>
    <row r="2009">
      <c r="A2009" s="34" t="n"/>
      <c r="B2009" s="35" t="n"/>
      <c r="C2009" s="35" t="n"/>
      <c r="D2009" s="35" t="n"/>
      <c r="E2009" s="35" t="n"/>
      <c r="F2009" s="36" t="n"/>
      <c r="G2009" s="35" t="n"/>
      <c r="H2009" s="30">
        <f>IF(L2009="","",INDEX(SkiftNavn,L2009))</f>
        <v/>
      </c>
      <c r="I2009" s="30">
        <f>IF(OR(A2009="",L2009=""),"",IF(MOD(A2009-INDEX(SkiftStart,L2009),Syklus)&lt;DagK,"Kveld",IF(MOD(A2009-INDEX(SkiftStart,L2009),Syklus)&lt;DagK+DagH,"Helg",IF(MOD(A2009-INDEX(SkiftStart,L2009),Syklus)&lt;DagK+DagH+DagD,"Dag","Fri"))))</f>
        <v/>
      </c>
      <c r="J2009" s="30">
        <f>IF(I2009="Fri","Ja","")</f>
        <v/>
      </c>
      <c r="K2009" s="30">
        <f>IF(B2009="","",IF(L2009="","Ukjent tekniker",IF(ISNA(MATCH(C2009,Aktiviteter,0)),"Ukjent aktivitet",IF(AND(INDEX(AktRolle,MATCH(C2009,Aktiviteter,0))&amp;""&lt;&gt;"",ISERROR(SEARCH(INDEX(AktRolle,MATCH(C2009,Aktiviteter,0))&amp;"",INDEX(TekRoller,MATCH(B2009,Teknikere,0))))),"Mangler rollen "&amp;INDEX(AktRolle,MATCH(C2009,Aktiviteter,0))&amp;"",IF(AND(C2009="LMS",F2009&gt;0,OR(D2009="",E2009="")),"Mangler maskin eller arbeid",IF(AND(OR(C2009="LMS",C2009="Mod"),D2009&lt;&gt;""),IF(IFERROR(INDEX(MaskinStatus,MATCH(D2009,Maskiner,0)),"")="I dokk","","Maskinen er ikke i dokk"),""))))))</f>
        <v/>
      </c>
      <c r="L2009" s="2">
        <f>IF(B2009="","",IFERROR(INT((MATCH(B2009,Teknikere,0)-1)/18)+1,""))</f>
        <v/>
      </c>
      <c r="M2009" s="2">
        <f>IF(OR(A2009="",B2009=""),"",B2009&amp;"|"&amp;A2009)</f>
        <v/>
      </c>
      <c r="N2009" s="2">
        <f>IF(M2009="","",SUMIFS(TF_Timer,TF_Nokkel,M2009,TF_Akt,C2009))</f>
        <v/>
      </c>
      <c r="O2009" s="2">
        <f>IF(M2009="","",IF(AND(N2009=_xlfn.MAXIFS(TF_AktSum,TF_Nokkel,M2009),COUNTIFS(M$3:M2008,M2009,N$3:N2008,N2009)=0),M2009,""))</f>
        <v/>
      </c>
    </row>
    <row r="2010">
      <c r="A2010" s="34" t="n"/>
      <c r="B2010" s="35" t="n"/>
      <c r="C2010" s="35" t="n"/>
      <c r="D2010" s="35" t="n"/>
      <c r="E2010" s="35" t="n"/>
      <c r="F2010" s="36" t="n"/>
      <c r="G2010" s="35" t="n"/>
      <c r="H2010" s="30">
        <f>IF(L2010="","",INDEX(SkiftNavn,L2010))</f>
        <v/>
      </c>
      <c r="I2010" s="30">
        <f>IF(OR(A2010="",L2010=""),"",IF(MOD(A2010-INDEX(SkiftStart,L2010),Syklus)&lt;DagK,"Kveld",IF(MOD(A2010-INDEX(SkiftStart,L2010),Syklus)&lt;DagK+DagH,"Helg",IF(MOD(A2010-INDEX(SkiftStart,L2010),Syklus)&lt;DagK+DagH+DagD,"Dag","Fri"))))</f>
        <v/>
      </c>
      <c r="J2010" s="30">
        <f>IF(I2010="Fri","Ja","")</f>
        <v/>
      </c>
      <c r="K2010" s="30">
        <f>IF(B2010="","",IF(L2010="","Ukjent tekniker",IF(ISNA(MATCH(C2010,Aktiviteter,0)),"Ukjent aktivitet",IF(AND(INDEX(AktRolle,MATCH(C2010,Aktiviteter,0))&amp;""&lt;&gt;"",ISERROR(SEARCH(INDEX(AktRolle,MATCH(C2010,Aktiviteter,0))&amp;"",INDEX(TekRoller,MATCH(B2010,Teknikere,0))))),"Mangler rollen "&amp;INDEX(AktRolle,MATCH(C2010,Aktiviteter,0))&amp;"",IF(AND(C2010="LMS",F2010&gt;0,OR(D2010="",E2010="")),"Mangler maskin eller arbeid",IF(AND(OR(C2010="LMS",C2010="Mod"),D2010&lt;&gt;""),IF(IFERROR(INDEX(MaskinStatus,MATCH(D2010,Maskiner,0)),"")="I dokk","","Maskinen er ikke i dokk"),""))))))</f>
        <v/>
      </c>
      <c r="L2010" s="2">
        <f>IF(B2010="","",IFERROR(INT((MATCH(B2010,Teknikere,0)-1)/18)+1,""))</f>
        <v/>
      </c>
      <c r="M2010" s="2">
        <f>IF(OR(A2010="",B2010=""),"",B2010&amp;"|"&amp;A2010)</f>
        <v/>
      </c>
      <c r="N2010" s="2">
        <f>IF(M2010="","",SUMIFS(TF_Timer,TF_Nokkel,M2010,TF_Akt,C2010))</f>
        <v/>
      </c>
      <c r="O2010" s="2">
        <f>IF(M2010="","",IF(AND(N2010=_xlfn.MAXIFS(TF_AktSum,TF_Nokkel,M2010),COUNTIFS(M$3:M2009,M2010,N$3:N2009,N2010)=0),M2010,""))</f>
        <v/>
      </c>
    </row>
    <row r="2011">
      <c r="A2011" s="34" t="n"/>
      <c r="B2011" s="35" t="n"/>
      <c r="C2011" s="35" t="n"/>
      <c r="D2011" s="35" t="n"/>
      <c r="E2011" s="35" t="n"/>
      <c r="F2011" s="36" t="n"/>
      <c r="G2011" s="35" t="n"/>
      <c r="H2011" s="30">
        <f>IF(L2011="","",INDEX(SkiftNavn,L2011))</f>
        <v/>
      </c>
      <c r="I2011" s="30">
        <f>IF(OR(A2011="",L2011=""),"",IF(MOD(A2011-INDEX(SkiftStart,L2011),Syklus)&lt;DagK,"Kveld",IF(MOD(A2011-INDEX(SkiftStart,L2011),Syklus)&lt;DagK+DagH,"Helg",IF(MOD(A2011-INDEX(SkiftStart,L2011),Syklus)&lt;DagK+DagH+DagD,"Dag","Fri"))))</f>
        <v/>
      </c>
      <c r="J2011" s="30">
        <f>IF(I2011="Fri","Ja","")</f>
        <v/>
      </c>
      <c r="K2011" s="30">
        <f>IF(B2011="","",IF(L2011="","Ukjent tekniker",IF(ISNA(MATCH(C2011,Aktiviteter,0)),"Ukjent aktivitet",IF(AND(INDEX(AktRolle,MATCH(C2011,Aktiviteter,0))&amp;""&lt;&gt;"",ISERROR(SEARCH(INDEX(AktRolle,MATCH(C2011,Aktiviteter,0))&amp;"",INDEX(TekRoller,MATCH(B2011,Teknikere,0))))),"Mangler rollen "&amp;INDEX(AktRolle,MATCH(C2011,Aktiviteter,0))&amp;"",IF(AND(C2011="LMS",F2011&gt;0,OR(D2011="",E2011="")),"Mangler maskin eller arbeid",IF(AND(OR(C2011="LMS",C2011="Mod"),D2011&lt;&gt;""),IF(IFERROR(INDEX(MaskinStatus,MATCH(D2011,Maskiner,0)),"")="I dokk","","Maskinen er ikke i dokk"),""))))))</f>
        <v/>
      </c>
      <c r="L2011" s="2">
        <f>IF(B2011="","",IFERROR(INT((MATCH(B2011,Teknikere,0)-1)/18)+1,""))</f>
        <v/>
      </c>
      <c r="M2011" s="2">
        <f>IF(OR(A2011="",B2011=""),"",B2011&amp;"|"&amp;A2011)</f>
        <v/>
      </c>
      <c r="N2011" s="2">
        <f>IF(M2011="","",SUMIFS(TF_Timer,TF_Nokkel,M2011,TF_Akt,C2011))</f>
        <v/>
      </c>
      <c r="O2011" s="2">
        <f>IF(M2011="","",IF(AND(N2011=_xlfn.MAXIFS(TF_AktSum,TF_Nokkel,M2011),COUNTIFS(M$3:M2010,M2011,N$3:N2010,N2011)=0),M2011,""))</f>
        <v/>
      </c>
    </row>
    <row r="2012">
      <c r="A2012" s="34" t="n"/>
      <c r="B2012" s="35" t="n"/>
      <c r="C2012" s="35" t="n"/>
      <c r="D2012" s="35" t="n"/>
      <c r="E2012" s="35" t="n"/>
      <c r="F2012" s="36" t="n"/>
      <c r="G2012" s="35" t="n"/>
      <c r="H2012" s="30">
        <f>IF(L2012="","",INDEX(SkiftNavn,L2012))</f>
        <v/>
      </c>
      <c r="I2012" s="30">
        <f>IF(OR(A2012="",L2012=""),"",IF(MOD(A2012-INDEX(SkiftStart,L2012),Syklus)&lt;DagK,"Kveld",IF(MOD(A2012-INDEX(SkiftStart,L2012),Syklus)&lt;DagK+DagH,"Helg",IF(MOD(A2012-INDEX(SkiftStart,L2012),Syklus)&lt;DagK+DagH+DagD,"Dag","Fri"))))</f>
        <v/>
      </c>
      <c r="J2012" s="30">
        <f>IF(I2012="Fri","Ja","")</f>
        <v/>
      </c>
      <c r="K2012" s="30">
        <f>IF(B2012="","",IF(L2012="","Ukjent tekniker",IF(ISNA(MATCH(C2012,Aktiviteter,0)),"Ukjent aktivitet",IF(AND(INDEX(AktRolle,MATCH(C2012,Aktiviteter,0))&amp;""&lt;&gt;"",ISERROR(SEARCH(INDEX(AktRolle,MATCH(C2012,Aktiviteter,0))&amp;"",INDEX(TekRoller,MATCH(B2012,Teknikere,0))))),"Mangler rollen "&amp;INDEX(AktRolle,MATCH(C2012,Aktiviteter,0))&amp;"",IF(AND(C2012="LMS",F2012&gt;0,OR(D2012="",E2012="")),"Mangler maskin eller arbeid",IF(AND(OR(C2012="LMS",C2012="Mod"),D2012&lt;&gt;""),IF(IFERROR(INDEX(MaskinStatus,MATCH(D2012,Maskiner,0)),"")="I dokk","","Maskinen er ikke i dokk"),""))))))</f>
        <v/>
      </c>
      <c r="L2012" s="2">
        <f>IF(B2012="","",IFERROR(INT((MATCH(B2012,Teknikere,0)-1)/18)+1,""))</f>
        <v/>
      </c>
      <c r="M2012" s="2">
        <f>IF(OR(A2012="",B2012=""),"",B2012&amp;"|"&amp;A2012)</f>
        <v/>
      </c>
      <c r="N2012" s="2">
        <f>IF(M2012="","",SUMIFS(TF_Timer,TF_Nokkel,M2012,TF_Akt,C2012))</f>
        <v/>
      </c>
      <c r="O2012" s="2">
        <f>IF(M2012="","",IF(AND(N2012=_xlfn.MAXIFS(TF_AktSum,TF_Nokkel,M2012),COUNTIFS(M$3:M2011,M2012,N$3:N2011,N2012)=0),M2012,""))</f>
        <v/>
      </c>
    </row>
    <row r="2013">
      <c r="A2013" s="34" t="n"/>
      <c r="B2013" s="35" t="n"/>
      <c r="C2013" s="35" t="n"/>
      <c r="D2013" s="35" t="n"/>
      <c r="E2013" s="35" t="n"/>
      <c r="F2013" s="36" t="n"/>
      <c r="G2013" s="35" t="n"/>
      <c r="H2013" s="30">
        <f>IF(L2013="","",INDEX(SkiftNavn,L2013))</f>
        <v/>
      </c>
      <c r="I2013" s="30">
        <f>IF(OR(A2013="",L2013=""),"",IF(MOD(A2013-INDEX(SkiftStart,L2013),Syklus)&lt;DagK,"Kveld",IF(MOD(A2013-INDEX(SkiftStart,L2013),Syklus)&lt;DagK+DagH,"Helg",IF(MOD(A2013-INDEX(SkiftStart,L2013),Syklus)&lt;DagK+DagH+DagD,"Dag","Fri"))))</f>
        <v/>
      </c>
      <c r="J2013" s="30">
        <f>IF(I2013="Fri","Ja","")</f>
        <v/>
      </c>
      <c r="K2013" s="30">
        <f>IF(B2013="","",IF(L2013="","Ukjent tekniker",IF(ISNA(MATCH(C2013,Aktiviteter,0)),"Ukjent aktivitet",IF(AND(INDEX(AktRolle,MATCH(C2013,Aktiviteter,0))&amp;""&lt;&gt;"",ISERROR(SEARCH(INDEX(AktRolle,MATCH(C2013,Aktiviteter,0))&amp;"",INDEX(TekRoller,MATCH(B2013,Teknikere,0))))),"Mangler rollen "&amp;INDEX(AktRolle,MATCH(C2013,Aktiviteter,0))&amp;"",IF(AND(C2013="LMS",F2013&gt;0,OR(D2013="",E2013="")),"Mangler maskin eller arbeid",IF(AND(OR(C2013="LMS",C2013="Mod"),D2013&lt;&gt;""),IF(IFERROR(INDEX(MaskinStatus,MATCH(D2013,Maskiner,0)),"")="I dokk","","Maskinen er ikke i dokk"),""))))))</f>
        <v/>
      </c>
      <c r="L2013" s="2">
        <f>IF(B2013="","",IFERROR(INT((MATCH(B2013,Teknikere,0)-1)/18)+1,""))</f>
        <v/>
      </c>
      <c r="M2013" s="2">
        <f>IF(OR(A2013="",B2013=""),"",B2013&amp;"|"&amp;A2013)</f>
        <v/>
      </c>
      <c r="N2013" s="2">
        <f>IF(M2013="","",SUMIFS(TF_Timer,TF_Nokkel,M2013,TF_Akt,C2013))</f>
        <v/>
      </c>
      <c r="O2013" s="2">
        <f>IF(M2013="","",IF(AND(N2013=_xlfn.MAXIFS(TF_AktSum,TF_Nokkel,M2013),COUNTIFS(M$3:M2012,M2013,N$3:N2012,N2013)=0),M2013,""))</f>
        <v/>
      </c>
    </row>
    <row r="2014">
      <c r="A2014" s="34" t="n"/>
      <c r="B2014" s="35" t="n"/>
      <c r="C2014" s="35" t="n"/>
      <c r="D2014" s="35" t="n"/>
      <c r="E2014" s="35" t="n"/>
      <c r="F2014" s="36" t="n"/>
      <c r="G2014" s="35" t="n"/>
      <c r="H2014" s="30">
        <f>IF(L2014="","",INDEX(SkiftNavn,L2014))</f>
        <v/>
      </c>
      <c r="I2014" s="30">
        <f>IF(OR(A2014="",L2014=""),"",IF(MOD(A2014-INDEX(SkiftStart,L2014),Syklus)&lt;DagK,"Kveld",IF(MOD(A2014-INDEX(SkiftStart,L2014),Syklus)&lt;DagK+DagH,"Helg",IF(MOD(A2014-INDEX(SkiftStart,L2014),Syklus)&lt;DagK+DagH+DagD,"Dag","Fri"))))</f>
        <v/>
      </c>
      <c r="J2014" s="30">
        <f>IF(I2014="Fri","Ja","")</f>
        <v/>
      </c>
      <c r="K2014" s="30">
        <f>IF(B2014="","",IF(L2014="","Ukjent tekniker",IF(ISNA(MATCH(C2014,Aktiviteter,0)),"Ukjent aktivitet",IF(AND(INDEX(AktRolle,MATCH(C2014,Aktiviteter,0))&amp;""&lt;&gt;"",ISERROR(SEARCH(INDEX(AktRolle,MATCH(C2014,Aktiviteter,0))&amp;"",INDEX(TekRoller,MATCH(B2014,Teknikere,0))))),"Mangler rollen "&amp;INDEX(AktRolle,MATCH(C2014,Aktiviteter,0))&amp;"",IF(AND(C2014="LMS",F2014&gt;0,OR(D2014="",E2014="")),"Mangler maskin eller arbeid",IF(AND(OR(C2014="LMS",C2014="Mod"),D2014&lt;&gt;""),IF(IFERROR(INDEX(MaskinStatus,MATCH(D2014,Maskiner,0)),"")="I dokk","","Maskinen er ikke i dokk"),""))))))</f>
        <v/>
      </c>
      <c r="L2014" s="2">
        <f>IF(B2014="","",IFERROR(INT((MATCH(B2014,Teknikere,0)-1)/18)+1,""))</f>
        <v/>
      </c>
      <c r="M2014" s="2">
        <f>IF(OR(A2014="",B2014=""),"",B2014&amp;"|"&amp;A2014)</f>
        <v/>
      </c>
      <c r="N2014" s="2">
        <f>IF(M2014="","",SUMIFS(TF_Timer,TF_Nokkel,M2014,TF_Akt,C2014))</f>
        <v/>
      </c>
      <c r="O2014" s="2">
        <f>IF(M2014="","",IF(AND(N2014=_xlfn.MAXIFS(TF_AktSum,TF_Nokkel,M2014),COUNTIFS(M$3:M2013,M2014,N$3:N2013,N2014)=0),M2014,""))</f>
        <v/>
      </c>
    </row>
    <row r="2015">
      <c r="A2015" s="34" t="n"/>
      <c r="B2015" s="35" t="n"/>
      <c r="C2015" s="35" t="n"/>
      <c r="D2015" s="35" t="n"/>
      <c r="E2015" s="35" t="n"/>
      <c r="F2015" s="36" t="n"/>
      <c r="G2015" s="35" t="n"/>
      <c r="H2015" s="30">
        <f>IF(L2015="","",INDEX(SkiftNavn,L2015))</f>
        <v/>
      </c>
      <c r="I2015" s="30">
        <f>IF(OR(A2015="",L2015=""),"",IF(MOD(A2015-INDEX(SkiftStart,L2015),Syklus)&lt;DagK,"Kveld",IF(MOD(A2015-INDEX(SkiftStart,L2015),Syklus)&lt;DagK+DagH,"Helg",IF(MOD(A2015-INDEX(SkiftStart,L2015),Syklus)&lt;DagK+DagH+DagD,"Dag","Fri"))))</f>
        <v/>
      </c>
      <c r="J2015" s="30">
        <f>IF(I2015="Fri","Ja","")</f>
        <v/>
      </c>
      <c r="K2015" s="30">
        <f>IF(B2015="","",IF(L2015="","Ukjent tekniker",IF(ISNA(MATCH(C2015,Aktiviteter,0)),"Ukjent aktivitet",IF(AND(INDEX(AktRolle,MATCH(C2015,Aktiviteter,0))&amp;""&lt;&gt;"",ISERROR(SEARCH(INDEX(AktRolle,MATCH(C2015,Aktiviteter,0))&amp;"",INDEX(TekRoller,MATCH(B2015,Teknikere,0))))),"Mangler rollen "&amp;INDEX(AktRolle,MATCH(C2015,Aktiviteter,0))&amp;"",IF(AND(C2015="LMS",F2015&gt;0,OR(D2015="",E2015="")),"Mangler maskin eller arbeid",IF(AND(OR(C2015="LMS",C2015="Mod"),D2015&lt;&gt;""),IF(IFERROR(INDEX(MaskinStatus,MATCH(D2015,Maskiner,0)),"")="I dokk","","Maskinen er ikke i dokk"),""))))))</f>
        <v/>
      </c>
      <c r="L2015" s="2">
        <f>IF(B2015="","",IFERROR(INT((MATCH(B2015,Teknikere,0)-1)/18)+1,""))</f>
        <v/>
      </c>
      <c r="M2015" s="2">
        <f>IF(OR(A2015="",B2015=""),"",B2015&amp;"|"&amp;A2015)</f>
        <v/>
      </c>
      <c r="N2015" s="2">
        <f>IF(M2015="","",SUMIFS(TF_Timer,TF_Nokkel,M2015,TF_Akt,C2015))</f>
        <v/>
      </c>
      <c r="O2015" s="2">
        <f>IF(M2015="","",IF(AND(N2015=_xlfn.MAXIFS(TF_AktSum,TF_Nokkel,M2015),COUNTIFS(M$3:M2014,M2015,N$3:N2014,N2015)=0),M2015,""))</f>
        <v/>
      </c>
    </row>
    <row r="2016">
      <c r="A2016" s="34" t="n"/>
      <c r="B2016" s="35" t="n"/>
      <c r="C2016" s="35" t="n"/>
      <c r="D2016" s="35" t="n"/>
      <c r="E2016" s="35" t="n"/>
      <c r="F2016" s="36" t="n"/>
      <c r="G2016" s="35" t="n"/>
      <c r="H2016" s="30">
        <f>IF(L2016="","",INDEX(SkiftNavn,L2016))</f>
        <v/>
      </c>
      <c r="I2016" s="30">
        <f>IF(OR(A2016="",L2016=""),"",IF(MOD(A2016-INDEX(SkiftStart,L2016),Syklus)&lt;DagK,"Kveld",IF(MOD(A2016-INDEX(SkiftStart,L2016),Syklus)&lt;DagK+DagH,"Helg",IF(MOD(A2016-INDEX(SkiftStart,L2016),Syklus)&lt;DagK+DagH+DagD,"Dag","Fri"))))</f>
        <v/>
      </c>
      <c r="J2016" s="30">
        <f>IF(I2016="Fri","Ja","")</f>
        <v/>
      </c>
      <c r="K2016" s="30">
        <f>IF(B2016="","",IF(L2016="","Ukjent tekniker",IF(ISNA(MATCH(C2016,Aktiviteter,0)),"Ukjent aktivitet",IF(AND(INDEX(AktRolle,MATCH(C2016,Aktiviteter,0))&amp;""&lt;&gt;"",ISERROR(SEARCH(INDEX(AktRolle,MATCH(C2016,Aktiviteter,0))&amp;"",INDEX(TekRoller,MATCH(B2016,Teknikere,0))))),"Mangler rollen "&amp;INDEX(AktRolle,MATCH(C2016,Aktiviteter,0))&amp;"",IF(AND(C2016="LMS",F2016&gt;0,OR(D2016="",E2016="")),"Mangler maskin eller arbeid",IF(AND(OR(C2016="LMS",C2016="Mod"),D2016&lt;&gt;""),IF(IFERROR(INDEX(MaskinStatus,MATCH(D2016,Maskiner,0)),"")="I dokk","","Maskinen er ikke i dokk"),""))))))</f>
        <v/>
      </c>
      <c r="L2016" s="2">
        <f>IF(B2016="","",IFERROR(INT((MATCH(B2016,Teknikere,0)-1)/18)+1,""))</f>
        <v/>
      </c>
      <c r="M2016" s="2">
        <f>IF(OR(A2016="",B2016=""),"",B2016&amp;"|"&amp;A2016)</f>
        <v/>
      </c>
      <c r="N2016" s="2">
        <f>IF(M2016="","",SUMIFS(TF_Timer,TF_Nokkel,M2016,TF_Akt,C2016))</f>
        <v/>
      </c>
      <c r="O2016" s="2">
        <f>IF(M2016="","",IF(AND(N2016=_xlfn.MAXIFS(TF_AktSum,TF_Nokkel,M2016),COUNTIFS(M$3:M2015,M2016,N$3:N2015,N2016)=0),M2016,""))</f>
        <v/>
      </c>
    </row>
    <row r="2017">
      <c r="A2017" s="34" t="n"/>
      <c r="B2017" s="35" t="n"/>
      <c r="C2017" s="35" t="n"/>
      <c r="D2017" s="35" t="n"/>
      <c r="E2017" s="35" t="n"/>
      <c r="F2017" s="36" t="n"/>
      <c r="G2017" s="35" t="n"/>
      <c r="H2017" s="30">
        <f>IF(L2017="","",INDEX(SkiftNavn,L2017))</f>
        <v/>
      </c>
      <c r="I2017" s="30">
        <f>IF(OR(A2017="",L2017=""),"",IF(MOD(A2017-INDEX(SkiftStart,L2017),Syklus)&lt;DagK,"Kveld",IF(MOD(A2017-INDEX(SkiftStart,L2017),Syklus)&lt;DagK+DagH,"Helg",IF(MOD(A2017-INDEX(SkiftStart,L2017),Syklus)&lt;DagK+DagH+DagD,"Dag","Fri"))))</f>
        <v/>
      </c>
      <c r="J2017" s="30">
        <f>IF(I2017="Fri","Ja","")</f>
        <v/>
      </c>
      <c r="K2017" s="30">
        <f>IF(B2017="","",IF(L2017="","Ukjent tekniker",IF(ISNA(MATCH(C2017,Aktiviteter,0)),"Ukjent aktivitet",IF(AND(INDEX(AktRolle,MATCH(C2017,Aktiviteter,0))&amp;""&lt;&gt;"",ISERROR(SEARCH(INDEX(AktRolle,MATCH(C2017,Aktiviteter,0))&amp;"",INDEX(TekRoller,MATCH(B2017,Teknikere,0))))),"Mangler rollen "&amp;INDEX(AktRolle,MATCH(C2017,Aktiviteter,0))&amp;"",IF(AND(C2017="LMS",F2017&gt;0,OR(D2017="",E2017="")),"Mangler maskin eller arbeid",IF(AND(OR(C2017="LMS",C2017="Mod"),D2017&lt;&gt;""),IF(IFERROR(INDEX(MaskinStatus,MATCH(D2017,Maskiner,0)),"")="I dokk","","Maskinen er ikke i dokk"),""))))))</f>
        <v/>
      </c>
      <c r="L2017" s="2">
        <f>IF(B2017="","",IFERROR(INT((MATCH(B2017,Teknikere,0)-1)/18)+1,""))</f>
        <v/>
      </c>
      <c r="M2017" s="2">
        <f>IF(OR(A2017="",B2017=""),"",B2017&amp;"|"&amp;A2017)</f>
        <v/>
      </c>
      <c r="N2017" s="2">
        <f>IF(M2017="","",SUMIFS(TF_Timer,TF_Nokkel,M2017,TF_Akt,C2017))</f>
        <v/>
      </c>
      <c r="O2017" s="2">
        <f>IF(M2017="","",IF(AND(N2017=_xlfn.MAXIFS(TF_AktSum,TF_Nokkel,M2017),COUNTIFS(M$3:M2016,M2017,N$3:N2016,N2017)=0),M2017,""))</f>
        <v/>
      </c>
    </row>
    <row r="2018">
      <c r="A2018" s="34" t="n"/>
      <c r="B2018" s="35" t="n"/>
      <c r="C2018" s="35" t="n"/>
      <c r="D2018" s="35" t="n"/>
      <c r="E2018" s="35" t="n"/>
      <c r="F2018" s="36" t="n"/>
      <c r="G2018" s="35" t="n"/>
      <c r="H2018" s="30">
        <f>IF(L2018="","",INDEX(SkiftNavn,L2018))</f>
        <v/>
      </c>
      <c r="I2018" s="30">
        <f>IF(OR(A2018="",L2018=""),"",IF(MOD(A2018-INDEX(SkiftStart,L2018),Syklus)&lt;DagK,"Kveld",IF(MOD(A2018-INDEX(SkiftStart,L2018),Syklus)&lt;DagK+DagH,"Helg",IF(MOD(A2018-INDEX(SkiftStart,L2018),Syklus)&lt;DagK+DagH+DagD,"Dag","Fri"))))</f>
        <v/>
      </c>
      <c r="J2018" s="30">
        <f>IF(I2018="Fri","Ja","")</f>
        <v/>
      </c>
      <c r="K2018" s="30">
        <f>IF(B2018="","",IF(L2018="","Ukjent tekniker",IF(ISNA(MATCH(C2018,Aktiviteter,0)),"Ukjent aktivitet",IF(AND(INDEX(AktRolle,MATCH(C2018,Aktiviteter,0))&amp;""&lt;&gt;"",ISERROR(SEARCH(INDEX(AktRolle,MATCH(C2018,Aktiviteter,0))&amp;"",INDEX(TekRoller,MATCH(B2018,Teknikere,0))))),"Mangler rollen "&amp;INDEX(AktRolle,MATCH(C2018,Aktiviteter,0))&amp;"",IF(AND(C2018="LMS",F2018&gt;0,OR(D2018="",E2018="")),"Mangler maskin eller arbeid",IF(AND(OR(C2018="LMS",C2018="Mod"),D2018&lt;&gt;""),IF(IFERROR(INDEX(MaskinStatus,MATCH(D2018,Maskiner,0)),"")="I dokk","","Maskinen er ikke i dokk"),""))))))</f>
        <v/>
      </c>
      <c r="L2018" s="2">
        <f>IF(B2018="","",IFERROR(INT((MATCH(B2018,Teknikere,0)-1)/18)+1,""))</f>
        <v/>
      </c>
      <c r="M2018" s="2">
        <f>IF(OR(A2018="",B2018=""),"",B2018&amp;"|"&amp;A2018)</f>
        <v/>
      </c>
      <c r="N2018" s="2">
        <f>IF(M2018="","",SUMIFS(TF_Timer,TF_Nokkel,M2018,TF_Akt,C2018))</f>
        <v/>
      </c>
      <c r="O2018" s="2">
        <f>IF(M2018="","",IF(AND(N2018=_xlfn.MAXIFS(TF_AktSum,TF_Nokkel,M2018),COUNTIFS(M$3:M2017,M2018,N$3:N2017,N2018)=0),M2018,""))</f>
        <v/>
      </c>
    </row>
    <row r="2019">
      <c r="A2019" s="34" t="n"/>
      <c r="B2019" s="35" t="n"/>
      <c r="C2019" s="35" t="n"/>
      <c r="D2019" s="35" t="n"/>
      <c r="E2019" s="35" t="n"/>
      <c r="F2019" s="36" t="n"/>
      <c r="G2019" s="35" t="n"/>
      <c r="H2019" s="30">
        <f>IF(L2019="","",INDEX(SkiftNavn,L2019))</f>
        <v/>
      </c>
      <c r="I2019" s="30">
        <f>IF(OR(A2019="",L2019=""),"",IF(MOD(A2019-INDEX(SkiftStart,L2019),Syklus)&lt;DagK,"Kveld",IF(MOD(A2019-INDEX(SkiftStart,L2019),Syklus)&lt;DagK+DagH,"Helg",IF(MOD(A2019-INDEX(SkiftStart,L2019),Syklus)&lt;DagK+DagH+DagD,"Dag","Fri"))))</f>
        <v/>
      </c>
      <c r="J2019" s="30">
        <f>IF(I2019="Fri","Ja","")</f>
        <v/>
      </c>
      <c r="K2019" s="30">
        <f>IF(B2019="","",IF(L2019="","Ukjent tekniker",IF(ISNA(MATCH(C2019,Aktiviteter,0)),"Ukjent aktivitet",IF(AND(INDEX(AktRolle,MATCH(C2019,Aktiviteter,0))&amp;""&lt;&gt;"",ISERROR(SEARCH(INDEX(AktRolle,MATCH(C2019,Aktiviteter,0))&amp;"",INDEX(TekRoller,MATCH(B2019,Teknikere,0))))),"Mangler rollen "&amp;INDEX(AktRolle,MATCH(C2019,Aktiviteter,0))&amp;"",IF(AND(C2019="LMS",F2019&gt;0,OR(D2019="",E2019="")),"Mangler maskin eller arbeid",IF(AND(OR(C2019="LMS",C2019="Mod"),D2019&lt;&gt;""),IF(IFERROR(INDEX(MaskinStatus,MATCH(D2019,Maskiner,0)),"")="I dokk","","Maskinen er ikke i dokk"),""))))))</f>
        <v/>
      </c>
      <c r="L2019" s="2">
        <f>IF(B2019="","",IFERROR(INT((MATCH(B2019,Teknikere,0)-1)/18)+1,""))</f>
        <v/>
      </c>
      <c r="M2019" s="2">
        <f>IF(OR(A2019="",B2019=""),"",B2019&amp;"|"&amp;A2019)</f>
        <v/>
      </c>
      <c r="N2019" s="2">
        <f>IF(M2019="","",SUMIFS(TF_Timer,TF_Nokkel,M2019,TF_Akt,C2019))</f>
        <v/>
      </c>
      <c r="O2019" s="2">
        <f>IF(M2019="","",IF(AND(N2019=_xlfn.MAXIFS(TF_AktSum,TF_Nokkel,M2019),COUNTIFS(M$3:M2018,M2019,N$3:N2018,N2019)=0),M2019,""))</f>
        <v/>
      </c>
    </row>
    <row r="2020">
      <c r="A2020" s="34" t="n"/>
      <c r="B2020" s="35" t="n"/>
      <c r="C2020" s="35" t="n"/>
      <c r="D2020" s="35" t="n"/>
      <c r="E2020" s="35" t="n"/>
      <c r="F2020" s="36" t="n"/>
      <c r="G2020" s="35" t="n"/>
      <c r="H2020" s="30">
        <f>IF(L2020="","",INDEX(SkiftNavn,L2020))</f>
        <v/>
      </c>
      <c r="I2020" s="30">
        <f>IF(OR(A2020="",L2020=""),"",IF(MOD(A2020-INDEX(SkiftStart,L2020),Syklus)&lt;DagK,"Kveld",IF(MOD(A2020-INDEX(SkiftStart,L2020),Syklus)&lt;DagK+DagH,"Helg",IF(MOD(A2020-INDEX(SkiftStart,L2020),Syklus)&lt;DagK+DagH+DagD,"Dag","Fri"))))</f>
        <v/>
      </c>
      <c r="J2020" s="30">
        <f>IF(I2020="Fri","Ja","")</f>
        <v/>
      </c>
      <c r="K2020" s="30">
        <f>IF(B2020="","",IF(L2020="","Ukjent tekniker",IF(ISNA(MATCH(C2020,Aktiviteter,0)),"Ukjent aktivitet",IF(AND(INDEX(AktRolle,MATCH(C2020,Aktiviteter,0))&amp;""&lt;&gt;"",ISERROR(SEARCH(INDEX(AktRolle,MATCH(C2020,Aktiviteter,0))&amp;"",INDEX(TekRoller,MATCH(B2020,Teknikere,0))))),"Mangler rollen "&amp;INDEX(AktRolle,MATCH(C2020,Aktiviteter,0))&amp;"",IF(AND(C2020="LMS",F2020&gt;0,OR(D2020="",E2020="")),"Mangler maskin eller arbeid",IF(AND(OR(C2020="LMS",C2020="Mod"),D2020&lt;&gt;""),IF(IFERROR(INDEX(MaskinStatus,MATCH(D2020,Maskiner,0)),"")="I dokk","","Maskinen er ikke i dokk"),""))))))</f>
        <v/>
      </c>
      <c r="L2020" s="2">
        <f>IF(B2020="","",IFERROR(INT((MATCH(B2020,Teknikere,0)-1)/18)+1,""))</f>
        <v/>
      </c>
      <c r="M2020" s="2">
        <f>IF(OR(A2020="",B2020=""),"",B2020&amp;"|"&amp;A2020)</f>
        <v/>
      </c>
      <c r="N2020" s="2">
        <f>IF(M2020="","",SUMIFS(TF_Timer,TF_Nokkel,M2020,TF_Akt,C2020))</f>
        <v/>
      </c>
      <c r="O2020" s="2">
        <f>IF(M2020="","",IF(AND(N2020=_xlfn.MAXIFS(TF_AktSum,TF_Nokkel,M2020),COUNTIFS(M$3:M2019,M2020,N$3:N2019,N2020)=0),M2020,""))</f>
        <v/>
      </c>
    </row>
    <row r="2021">
      <c r="A2021" s="34" t="n"/>
      <c r="B2021" s="35" t="n"/>
      <c r="C2021" s="35" t="n"/>
      <c r="D2021" s="35" t="n"/>
      <c r="E2021" s="35" t="n"/>
      <c r="F2021" s="36" t="n"/>
      <c r="G2021" s="35" t="n"/>
      <c r="H2021" s="30">
        <f>IF(L2021="","",INDEX(SkiftNavn,L2021))</f>
        <v/>
      </c>
      <c r="I2021" s="30">
        <f>IF(OR(A2021="",L2021=""),"",IF(MOD(A2021-INDEX(SkiftStart,L2021),Syklus)&lt;DagK,"Kveld",IF(MOD(A2021-INDEX(SkiftStart,L2021),Syklus)&lt;DagK+DagH,"Helg",IF(MOD(A2021-INDEX(SkiftStart,L2021),Syklus)&lt;DagK+DagH+DagD,"Dag","Fri"))))</f>
        <v/>
      </c>
      <c r="J2021" s="30">
        <f>IF(I2021="Fri","Ja","")</f>
        <v/>
      </c>
      <c r="K2021" s="30">
        <f>IF(B2021="","",IF(L2021="","Ukjent tekniker",IF(ISNA(MATCH(C2021,Aktiviteter,0)),"Ukjent aktivitet",IF(AND(INDEX(AktRolle,MATCH(C2021,Aktiviteter,0))&amp;""&lt;&gt;"",ISERROR(SEARCH(INDEX(AktRolle,MATCH(C2021,Aktiviteter,0))&amp;"",INDEX(TekRoller,MATCH(B2021,Teknikere,0))))),"Mangler rollen "&amp;INDEX(AktRolle,MATCH(C2021,Aktiviteter,0))&amp;"",IF(AND(C2021="LMS",F2021&gt;0,OR(D2021="",E2021="")),"Mangler maskin eller arbeid",IF(AND(OR(C2021="LMS",C2021="Mod"),D2021&lt;&gt;""),IF(IFERROR(INDEX(MaskinStatus,MATCH(D2021,Maskiner,0)),"")="I dokk","","Maskinen er ikke i dokk"),""))))))</f>
        <v/>
      </c>
      <c r="L2021" s="2">
        <f>IF(B2021="","",IFERROR(INT((MATCH(B2021,Teknikere,0)-1)/18)+1,""))</f>
        <v/>
      </c>
      <c r="M2021" s="2">
        <f>IF(OR(A2021="",B2021=""),"",B2021&amp;"|"&amp;A2021)</f>
        <v/>
      </c>
      <c r="N2021" s="2">
        <f>IF(M2021="","",SUMIFS(TF_Timer,TF_Nokkel,M2021,TF_Akt,C2021))</f>
        <v/>
      </c>
      <c r="O2021" s="2">
        <f>IF(M2021="","",IF(AND(N2021=_xlfn.MAXIFS(TF_AktSum,TF_Nokkel,M2021),COUNTIFS(M$3:M2020,M2021,N$3:N2020,N2021)=0),M2021,""))</f>
        <v/>
      </c>
    </row>
    <row r="2022">
      <c r="A2022" s="34" t="n"/>
      <c r="B2022" s="35" t="n"/>
      <c r="C2022" s="35" t="n"/>
      <c r="D2022" s="35" t="n"/>
      <c r="E2022" s="35" t="n"/>
      <c r="F2022" s="36" t="n"/>
      <c r="G2022" s="35" t="n"/>
      <c r="H2022" s="30">
        <f>IF(L2022="","",INDEX(SkiftNavn,L2022))</f>
        <v/>
      </c>
      <c r="I2022" s="30">
        <f>IF(OR(A2022="",L2022=""),"",IF(MOD(A2022-INDEX(SkiftStart,L2022),Syklus)&lt;DagK,"Kveld",IF(MOD(A2022-INDEX(SkiftStart,L2022),Syklus)&lt;DagK+DagH,"Helg",IF(MOD(A2022-INDEX(SkiftStart,L2022),Syklus)&lt;DagK+DagH+DagD,"Dag","Fri"))))</f>
        <v/>
      </c>
      <c r="J2022" s="30">
        <f>IF(I2022="Fri","Ja","")</f>
        <v/>
      </c>
      <c r="K2022" s="30">
        <f>IF(B2022="","",IF(L2022="","Ukjent tekniker",IF(ISNA(MATCH(C2022,Aktiviteter,0)),"Ukjent aktivitet",IF(AND(INDEX(AktRolle,MATCH(C2022,Aktiviteter,0))&amp;""&lt;&gt;"",ISERROR(SEARCH(INDEX(AktRolle,MATCH(C2022,Aktiviteter,0))&amp;"",INDEX(TekRoller,MATCH(B2022,Teknikere,0))))),"Mangler rollen "&amp;INDEX(AktRolle,MATCH(C2022,Aktiviteter,0))&amp;"",IF(AND(C2022="LMS",F2022&gt;0,OR(D2022="",E2022="")),"Mangler maskin eller arbeid",IF(AND(OR(C2022="LMS",C2022="Mod"),D2022&lt;&gt;""),IF(IFERROR(INDEX(MaskinStatus,MATCH(D2022,Maskiner,0)),"")="I dokk","","Maskinen er ikke i dokk"),""))))))</f>
        <v/>
      </c>
      <c r="L2022" s="2">
        <f>IF(B2022="","",IFERROR(INT((MATCH(B2022,Teknikere,0)-1)/18)+1,""))</f>
        <v/>
      </c>
      <c r="M2022" s="2">
        <f>IF(OR(A2022="",B2022=""),"",B2022&amp;"|"&amp;A2022)</f>
        <v/>
      </c>
      <c r="N2022" s="2">
        <f>IF(M2022="","",SUMIFS(TF_Timer,TF_Nokkel,M2022,TF_Akt,C2022))</f>
        <v/>
      </c>
      <c r="O2022" s="2">
        <f>IF(M2022="","",IF(AND(N2022=_xlfn.MAXIFS(TF_AktSum,TF_Nokkel,M2022),COUNTIFS(M$3:M2021,M2022,N$3:N2021,N2022)=0),M2022,""))</f>
        <v/>
      </c>
    </row>
    <row r="2023">
      <c r="A2023" s="34" t="n"/>
      <c r="B2023" s="35" t="n"/>
      <c r="C2023" s="35" t="n"/>
      <c r="D2023" s="35" t="n"/>
      <c r="E2023" s="35" t="n"/>
      <c r="F2023" s="36" t="n"/>
      <c r="G2023" s="35" t="n"/>
      <c r="H2023" s="30">
        <f>IF(L2023="","",INDEX(SkiftNavn,L2023))</f>
        <v/>
      </c>
      <c r="I2023" s="30">
        <f>IF(OR(A2023="",L2023=""),"",IF(MOD(A2023-INDEX(SkiftStart,L2023),Syklus)&lt;DagK,"Kveld",IF(MOD(A2023-INDEX(SkiftStart,L2023),Syklus)&lt;DagK+DagH,"Helg",IF(MOD(A2023-INDEX(SkiftStart,L2023),Syklus)&lt;DagK+DagH+DagD,"Dag","Fri"))))</f>
        <v/>
      </c>
      <c r="J2023" s="30">
        <f>IF(I2023="Fri","Ja","")</f>
        <v/>
      </c>
      <c r="K2023" s="30">
        <f>IF(B2023="","",IF(L2023="","Ukjent tekniker",IF(ISNA(MATCH(C2023,Aktiviteter,0)),"Ukjent aktivitet",IF(AND(INDEX(AktRolle,MATCH(C2023,Aktiviteter,0))&amp;""&lt;&gt;"",ISERROR(SEARCH(INDEX(AktRolle,MATCH(C2023,Aktiviteter,0))&amp;"",INDEX(TekRoller,MATCH(B2023,Teknikere,0))))),"Mangler rollen "&amp;INDEX(AktRolle,MATCH(C2023,Aktiviteter,0))&amp;"",IF(AND(C2023="LMS",F2023&gt;0,OR(D2023="",E2023="")),"Mangler maskin eller arbeid",IF(AND(OR(C2023="LMS",C2023="Mod"),D2023&lt;&gt;""),IF(IFERROR(INDEX(MaskinStatus,MATCH(D2023,Maskiner,0)),"")="I dokk","","Maskinen er ikke i dokk"),""))))))</f>
        <v/>
      </c>
      <c r="L2023" s="2">
        <f>IF(B2023="","",IFERROR(INT((MATCH(B2023,Teknikere,0)-1)/18)+1,""))</f>
        <v/>
      </c>
      <c r="M2023" s="2">
        <f>IF(OR(A2023="",B2023=""),"",B2023&amp;"|"&amp;A2023)</f>
        <v/>
      </c>
      <c r="N2023" s="2">
        <f>IF(M2023="","",SUMIFS(TF_Timer,TF_Nokkel,M2023,TF_Akt,C2023))</f>
        <v/>
      </c>
      <c r="O2023" s="2">
        <f>IF(M2023="","",IF(AND(N2023=_xlfn.MAXIFS(TF_AktSum,TF_Nokkel,M2023),COUNTIFS(M$3:M2022,M2023,N$3:N2022,N2023)=0),M2023,""))</f>
        <v/>
      </c>
    </row>
    <row r="2024">
      <c r="A2024" s="34" t="n"/>
      <c r="B2024" s="35" t="n"/>
      <c r="C2024" s="35" t="n"/>
      <c r="D2024" s="35" t="n"/>
      <c r="E2024" s="35" t="n"/>
      <c r="F2024" s="36" t="n"/>
      <c r="G2024" s="35" t="n"/>
      <c r="H2024" s="30">
        <f>IF(L2024="","",INDEX(SkiftNavn,L2024))</f>
        <v/>
      </c>
      <c r="I2024" s="30">
        <f>IF(OR(A2024="",L2024=""),"",IF(MOD(A2024-INDEX(SkiftStart,L2024),Syklus)&lt;DagK,"Kveld",IF(MOD(A2024-INDEX(SkiftStart,L2024),Syklus)&lt;DagK+DagH,"Helg",IF(MOD(A2024-INDEX(SkiftStart,L2024),Syklus)&lt;DagK+DagH+DagD,"Dag","Fri"))))</f>
        <v/>
      </c>
      <c r="J2024" s="30">
        <f>IF(I2024="Fri","Ja","")</f>
        <v/>
      </c>
      <c r="K2024" s="30">
        <f>IF(B2024="","",IF(L2024="","Ukjent tekniker",IF(ISNA(MATCH(C2024,Aktiviteter,0)),"Ukjent aktivitet",IF(AND(INDEX(AktRolle,MATCH(C2024,Aktiviteter,0))&amp;""&lt;&gt;"",ISERROR(SEARCH(INDEX(AktRolle,MATCH(C2024,Aktiviteter,0))&amp;"",INDEX(TekRoller,MATCH(B2024,Teknikere,0))))),"Mangler rollen "&amp;INDEX(AktRolle,MATCH(C2024,Aktiviteter,0))&amp;"",IF(AND(C2024="LMS",F2024&gt;0,OR(D2024="",E2024="")),"Mangler maskin eller arbeid",IF(AND(OR(C2024="LMS",C2024="Mod"),D2024&lt;&gt;""),IF(IFERROR(INDEX(MaskinStatus,MATCH(D2024,Maskiner,0)),"")="I dokk","","Maskinen er ikke i dokk"),""))))))</f>
        <v/>
      </c>
      <c r="L2024" s="2">
        <f>IF(B2024="","",IFERROR(INT((MATCH(B2024,Teknikere,0)-1)/18)+1,""))</f>
        <v/>
      </c>
      <c r="M2024" s="2">
        <f>IF(OR(A2024="",B2024=""),"",B2024&amp;"|"&amp;A2024)</f>
        <v/>
      </c>
      <c r="N2024" s="2">
        <f>IF(M2024="","",SUMIFS(TF_Timer,TF_Nokkel,M2024,TF_Akt,C2024))</f>
        <v/>
      </c>
      <c r="O2024" s="2">
        <f>IF(M2024="","",IF(AND(N2024=_xlfn.MAXIFS(TF_AktSum,TF_Nokkel,M2024),COUNTIFS(M$3:M2023,M2024,N$3:N2023,N2024)=0),M2024,""))</f>
        <v/>
      </c>
    </row>
    <row r="2025">
      <c r="A2025" s="34" t="n"/>
      <c r="B2025" s="35" t="n"/>
      <c r="C2025" s="35" t="n"/>
      <c r="D2025" s="35" t="n"/>
      <c r="E2025" s="35" t="n"/>
      <c r="F2025" s="36" t="n"/>
      <c r="G2025" s="35" t="n"/>
      <c r="H2025" s="30">
        <f>IF(L2025="","",INDEX(SkiftNavn,L2025))</f>
        <v/>
      </c>
      <c r="I2025" s="30">
        <f>IF(OR(A2025="",L2025=""),"",IF(MOD(A2025-INDEX(SkiftStart,L2025),Syklus)&lt;DagK,"Kveld",IF(MOD(A2025-INDEX(SkiftStart,L2025),Syklus)&lt;DagK+DagH,"Helg",IF(MOD(A2025-INDEX(SkiftStart,L2025),Syklus)&lt;DagK+DagH+DagD,"Dag","Fri"))))</f>
        <v/>
      </c>
      <c r="J2025" s="30">
        <f>IF(I2025="Fri","Ja","")</f>
        <v/>
      </c>
      <c r="K2025" s="30">
        <f>IF(B2025="","",IF(L2025="","Ukjent tekniker",IF(ISNA(MATCH(C2025,Aktiviteter,0)),"Ukjent aktivitet",IF(AND(INDEX(AktRolle,MATCH(C2025,Aktiviteter,0))&amp;""&lt;&gt;"",ISERROR(SEARCH(INDEX(AktRolle,MATCH(C2025,Aktiviteter,0))&amp;"",INDEX(TekRoller,MATCH(B2025,Teknikere,0))))),"Mangler rollen "&amp;INDEX(AktRolle,MATCH(C2025,Aktiviteter,0))&amp;"",IF(AND(C2025="LMS",F2025&gt;0,OR(D2025="",E2025="")),"Mangler maskin eller arbeid",IF(AND(OR(C2025="LMS",C2025="Mod"),D2025&lt;&gt;""),IF(IFERROR(INDEX(MaskinStatus,MATCH(D2025,Maskiner,0)),"")="I dokk","","Maskinen er ikke i dokk"),""))))))</f>
        <v/>
      </c>
      <c r="L2025" s="2">
        <f>IF(B2025="","",IFERROR(INT((MATCH(B2025,Teknikere,0)-1)/18)+1,""))</f>
        <v/>
      </c>
      <c r="M2025" s="2">
        <f>IF(OR(A2025="",B2025=""),"",B2025&amp;"|"&amp;A2025)</f>
        <v/>
      </c>
      <c r="N2025" s="2">
        <f>IF(M2025="","",SUMIFS(TF_Timer,TF_Nokkel,M2025,TF_Akt,C2025))</f>
        <v/>
      </c>
      <c r="O2025" s="2">
        <f>IF(M2025="","",IF(AND(N2025=_xlfn.MAXIFS(TF_AktSum,TF_Nokkel,M2025),COUNTIFS(M$3:M2024,M2025,N$3:N2024,N2025)=0),M2025,""))</f>
        <v/>
      </c>
    </row>
    <row r="2026">
      <c r="A2026" s="34" t="n"/>
      <c r="B2026" s="35" t="n"/>
      <c r="C2026" s="35" t="n"/>
      <c r="D2026" s="35" t="n"/>
      <c r="E2026" s="35" t="n"/>
      <c r="F2026" s="36" t="n"/>
      <c r="G2026" s="35" t="n"/>
      <c r="H2026" s="30">
        <f>IF(L2026="","",INDEX(SkiftNavn,L2026))</f>
        <v/>
      </c>
      <c r="I2026" s="30">
        <f>IF(OR(A2026="",L2026=""),"",IF(MOD(A2026-INDEX(SkiftStart,L2026),Syklus)&lt;DagK,"Kveld",IF(MOD(A2026-INDEX(SkiftStart,L2026),Syklus)&lt;DagK+DagH,"Helg",IF(MOD(A2026-INDEX(SkiftStart,L2026),Syklus)&lt;DagK+DagH+DagD,"Dag","Fri"))))</f>
        <v/>
      </c>
      <c r="J2026" s="30">
        <f>IF(I2026="Fri","Ja","")</f>
        <v/>
      </c>
      <c r="K2026" s="30">
        <f>IF(B2026="","",IF(L2026="","Ukjent tekniker",IF(ISNA(MATCH(C2026,Aktiviteter,0)),"Ukjent aktivitet",IF(AND(INDEX(AktRolle,MATCH(C2026,Aktiviteter,0))&amp;""&lt;&gt;"",ISERROR(SEARCH(INDEX(AktRolle,MATCH(C2026,Aktiviteter,0))&amp;"",INDEX(TekRoller,MATCH(B2026,Teknikere,0))))),"Mangler rollen "&amp;INDEX(AktRolle,MATCH(C2026,Aktiviteter,0))&amp;"",IF(AND(C2026="LMS",F2026&gt;0,OR(D2026="",E2026="")),"Mangler maskin eller arbeid",IF(AND(OR(C2026="LMS",C2026="Mod"),D2026&lt;&gt;""),IF(IFERROR(INDEX(MaskinStatus,MATCH(D2026,Maskiner,0)),"")="I dokk","","Maskinen er ikke i dokk"),""))))))</f>
        <v/>
      </c>
      <c r="L2026" s="2">
        <f>IF(B2026="","",IFERROR(INT((MATCH(B2026,Teknikere,0)-1)/18)+1,""))</f>
        <v/>
      </c>
      <c r="M2026" s="2">
        <f>IF(OR(A2026="",B2026=""),"",B2026&amp;"|"&amp;A2026)</f>
        <v/>
      </c>
      <c r="N2026" s="2">
        <f>IF(M2026="","",SUMIFS(TF_Timer,TF_Nokkel,M2026,TF_Akt,C2026))</f>
        <v/>
      </c>
      <c r="O2026" s="2">
        <f>IF(M2026="","",IF(AND(N2026=_xlfn.MAXIFS(TF_AktSum,TF_Nokkel,M2026),COUNTIFS(M$3:M2025,M2026,N$3:N2025,N2026)=0),M2026,""))</f>
        <v/>
      </c>
    </row>
    <row r="2027">
      <c r="A2027" s="34" t="n"/>
      <c r="B2027" s="35" t="n"/>
      <c r="C2027" s="35" t="n"/>
      <c r="D2027" s="35" t="n"/>
      <c r="E2027" s="35" t="n"/>
      <c r="F2027" s="36" t="n"/>
      <c r="G2027" s="35" t="n"/>
      <c r="H2027" s="30">
        <f>IF(L2027="","",INDEX(SkiftNavn,L2027))</f>
        <v/>
      </c>
      <c r="I2027" s="30">
        <f>IF(OR(A2027="",L2027=""),"",IF(MOD(A2027-INDEX(SkiftStart,L2027),Syklus)&lt;DagK,"Kveld",IF(MOD(A2027-INDEX(SkiftStart,L2027),Syklus)&lt;DagK+DagH,"Helg",IF(MOD(A2027-INDEX(SkiftStart,L2027),Syklus)&lt;DagK+DagH+DagD,"Dag","Fri"))))</f>
        <v/>
      </c>
      <c r="J2027" s="30">
        <f>IF(I2027="Fri","Ja","")</f>
        <v/>
      </c>
      <c r="K2027" s="30">
        <f>IF(B2027="","",IF(L2027="","Ukjent tekniker",IF(ISNA(MATCH(C2027,Aktiviteter,0)),"Ukjent aktivitet",IF(AND(INDEX(AktRolle,MATCH(C2027,Aktiviteter,0))&amp;""&lt;&gt;"",ISERROR(SEARCH(INDEX(AktRolle,MATCH(C2027,Aktiviteter,0))&amp;"",INDEX(TekRoller,MATCH(B2027,Teknikere,0))))),"Mangler rollen "&amp;INDEX(AktRolle,MATCH(C2027,Aktiviteter,0))&amp;"",IF(AND(C2027="LMS",F2027&gt;0,OR(D2027="",E2027="")),"Mangler maskin eller arbeid",IF(AND(OR(C2027="LMS",C2027="Mod"),D2027&lt;&gt;""),IF(IFERROR(INDEX(MaskinStatus,MATCH(D2027,Maskiner,0)),"")="I dokk","","Maskinen er ikke i dokk"),""))))))</f>
        <v/>
      </c>
      <c r="L2027" s="2">
        <f>IF(B2027="","",IFERROR(INT((MATCH(B2027,Teknikere,0)-1)/18)+1,""))</f>
        <v/>
      </c>
      <c r="M2027" s="2">
        <f>IF(OR(A2027="",B2027=""),"",B2027&amp;"|"&amp;A2027)</f>
        <v/>
      </c>
      <c r="N2027" s="2">
        <f>IF(M2027="","",SUMIFS(TF_Timer,TF_Nokkel,M2027,TF_Akt,C2027))</f>
        <v/>
      </c>
      <c r="O2027" s="2">
        <f>IF(M2027="","",IF(AND(N2027=_xlfn.MAXIFS(TF_AktSum,TF_Nokkel,M2027),COUNTIFS(M$3:M2026,M2027,N$3:N2026,N2027)=0),M2027,""))</f>
        <v/>
      </c>
    </row>
    <row r="2028">
      <c r="A2028" s="34" t="n"/>
      <c r="B2028" s="35" t="n"/>
      <c r="C2028" s="35" t="n"/>
      <c r="D2028" s="35" t="n"/>
      <c r="E2028" s="35" t="n"/>
      <c r="F2028" s="36" t="n"/>
      <c r="G2028" s="35" t="n"/>
      <c r="H2028" s="30">
        <f>IF(L2028="","",INDEX(SkiftNavn,L2028))</f>
        <v/>
      </c>
      <c r="I2028" s="30">
        <f>IF(OR(A2028="",L2028=""),"",IF(MOD(A2028-INDEX(SkiftStart,L2028),Syklus)&lt;DagK,"Kveld",IF(MOD(A2028-INDEX(SkiftStart,L2028),Syklus)&lt;DagK+DagH,"Helg",IF(MOD(A2028-INDEX(SkiftStart,L2028),Syklus)&lt;DagK+DagH+DagD,"Dag","Fri"))))</f>
        <v/>
      </c>
      <c r="J2028" s="30">
        <f>IF(I2028="Fri","Ja","")</f>
        <v/>
      </c>
      <c r="K2028" s="30">
        <f>IF(B2028="","",IF(L2028="","Ukjent tekniker",IF(ISNA(MATCH(C2028,Aktiviteter,0)),"Ukjent aktivitet",IF(AND(INDEX(AktRolle,MATCH(C2028,Aktiviteter,0))&amp;""&lt;&gt;"",ISERROR(SEARCH(INDEX(AktRolle,MATCH(C2028,Aktiviteter,0))&amp;"",INDEX(TekRoller,MATCH(B2028,Teknikere,0))))),"Mangler rollen "&amp;INDEX(AktRolle,MATCH(C2028,Aktiviteter,0))&amp;"",IF(AND(C2028="LMS",F2028&gt;0,OR(D2028="",E2028="")),"Mangler maskin eller arbeid",IF(AND(OR(C2028="LMS",C2028="Mod"),D2028&lt;&gt;""),IF(IFERROR(INDEX(MaskinStatus,MATCH(D2028,Maskiner,0)),"")="I dokk","","Maskinen er ikke i dokk"),""))))))</f>
        <v/>
      </c>
      <c r="L2028" s="2">
        <f>IF(B2028="","",IFERROR(INT((MATCH(B2028,Teknikere,0)-1)/18)+1,""))</f>
        <v/>
      </c>
      <c r="M2028" s="2">
        <f>IF(OR(A2028="",B2028=""),"",B2028&amp;"|"&amp;A2028)</f>
        <v/>
      </c>
      <c r="N2028" s="2">
        <f>IF(M2028="","",SUMIFS(TF_Timer,TF_Nokkel,M2028,TF_Akt,C2028))</f>
        <v/>
      </c>
      <c r="O2028" s="2">
        <f>IF(M2028="","",IF(AND(N2028=_xlfn.MAXIFS(TF_AktSum,TF_Nokkel,M2028),COUNTIFS(M$3:M2027,M2028,N$3:N2027,N2028)=0),M2028,""))</f>
        <v/>
      </c>
    </row>
    <row r="2029">
      <c r="A2029" s="34" t="n"/>
      <c r="B2029" s="35" t="n"/>
      <c r="C2029" s="35" t="n"/>
      <c r="D2029" s="35" t="n"/>
      <c r="E2029" s="35" t="n"/>
      <c r="F2029" s="36" t="n"/>
      <c r="G2029" s="35" t="n"/>
      <c r="H2029" s="30">
        <f>IF(L2029="","",INDEX(SkiftNavn,L2029))</f>
        <v/>
      </c>
      <c r="I2029" s="30">
        <f>IF(OR(A2029="",L2029=""),"",IF(MOD(A2029-INDEX(SkiftStart,L2029),Syklus)&lt;DagK,"Kveld",IF(MOD(A2029-INDEX(SkiftStart,L2029),Syklus)&lt;DagK+DagH,"Helg",IF(MOD(A2029-INDEX(SkiftStart,L2029),Syklus)&lt;DagK+DagH+DagD,"Dag","Fri"))))</f>
        <v/>
      </c>
      <c r="J2029" s="30">
        <f>IF(I2029="Fri","Ja","")</f>
        <v/>
      </c>
      <c r="K2029" s="30">
        <f>IF(B2029="","",IF(L2029="","Ukjent tekniker",IF(ISNA(MATCH(C2029,Aktiviteter,0)),"Ukjent aktivitet",IF(AND(INDEX(AktRolle,MATCH(C2029,Aktiviteter,0))&amp;""&lt;&gt;"",ISERROR(SEARCH(INDEX(AktRolle,MATCH(C2029,Aktiviteter,0))&amp;"",INDEX(TekRoller,MATCH(B2029,Teknikere,0))))),"Mangler rollen "&amp;INDEX(AktRolle,MATCH(C2029,Aktiviteter,0))&amp;"",IF(AND(C2029="LMS",F2029&gt;0,OR(D2029="",E2029="")),"Mangler maskin eller arbeid",IF(AND(OR(C2029="LMS",C2029="Mod"),D2029&lt;&gt;""),IF(IFERROR(INDEX(MaskinStatus,MATCH(D2029,Maskiner,0)),"")="I dokk","","Maskinen er ikke i dokk"),""))))))</f>
        <v/>
      </c>
      <c r="L2029" s="2">
        <f>IF(B2029="","",IFERROR(INT((MATCH(B2029,Teknikere,0)-1)/18)+1,""))</f>
        <v/>
      </c>
      <c r="M2029" s="2">
        <f>IF(OR(A2029="",B2029=""),"",B2029&amp;"|"&amp;A2029)</f>
        <v/>
      </c>
      <c r="N2029" s="2">
        <f>IF(M2029="","",SUMIFS(TF_Timer,TF_Nokkel,M2029,TF_Akt,C2029))</f>
        <v/>
      </c>
      <c r="O2029" s="2">
        <f>IF(M2029="","",IF(AND(N2029=_xlfn.MAXIFS(TF_AktSum,TF_Nokkel,M2029),COUNTIFS(M$3:M2028,M2029,N$3:N2028,N2029)=0),M2029,""))</f>
        <v/>
      </c>
    </row>
    <row r="2030">
      <c r="A2030" s="34" t="n"/>
      <c r="B2030" s="35" t="n"/>
      <c r="C2030" s="35" t="n"/>
      <c r="D2030" s="35" t="n"/>
      <c r="E2030" s="35" t="n"/>
      <c r="F2030" s="36" t="n"/>
      <c r="G2030" s="35" t="n"/>
      <c r="H2030" s="30">
        <f>IF(L2030="","",INDEX(SkiftNavn,L2030))</f>
        <v/>
      </c>
      <c r="I2030" s="30">
        <f>IF(OR(A2030="",L2030=""),"",IF(MOD(A2030-INDEX(SkiftStart,L2030),Syklus)&lt;DagK,"Kveld",IF(MOD(A2030-INDEX(SkiftStart,L2030),Syklus)&lt;DagK+DagH,"Helg",IF(MOD(A2030-INDEX(SkiftStart,L2030),Syklus)&lt;DagK+DagH+DagD,"Dag","Fri"))))</f>
        <v/>
      </c>
      <c r="J2030" s="30">
        <f>IF(I2030="Fri","Ja","")</f>
        <v/>
      </c>
      <c r="K2030" s="30">
        <f>IF(B2030="","",IF(L2030="","Ukjent tekniker",IF(ISNA(MATCH(C2030,Aktiviteter,0)),"Ukjent aktivitet",IF(AND(INDEX(AktRolle,MATCH(C2030,Aktiviteter,0))&amp;""&lt;&gt;"",ISERROR(SEARCH(INDEX(AktRolle,MATCH(C2030,Aktiviteter,0))&amp;"",INDEX(TekRoller,MATCH(B2030,Teknikere,0))))),"Mangler rollen "&amp;INDEX(AktRolle,MATCH(C2030,Aktiviteter,0))&amp;"",IF(AND(C2030="LMS",F2030&gt;0,OR(D2030="",E2030="")),"Mangler maskin eller arbeid",IF(AND(OR(C2030="LMS",C2030="Mod"),D2030&lt;&gt;""),IF(IFERROR(INDEX(MaskinStatus,MATCH(D2030,Maskiner,0)),"")="I dokk","","Maskinen er ikke i dokk"),""))))))</f>
        <v/>
      </c>
      <c r="L2030" s="2">
        <f>IF(B2030="","",IFERROR(INT((MATCH(B2030,Teknikere,0)-1)/18)+1,""))</f>
        <v/>
      </c>
      <c r="M2030" s="2">
        <f>IF(OR(A2030="",B2030=""),"",B2030&amp;"|"&amp;A2030)</f>
        <v/>
      </c>
      <c r="N2030" s="2">
        <f>IF(M2030="","",SUMIFS(TF_Timer,TF_Nokkel,M2030,TF_Akt,C2030))</f>
        <v/>
      </c>
      <c r="O2030" s="2">
        <f>IF(M2030="","",IF(AND(N2030=_xlfn.MAXIFS(TF_AktSum,TF_Nokkel,M2030),COUNTIFS(M$3:M2029,M2030,N$3:N2029,N2030)=0),M2030,""))</f>
        <v/>
      </c>
    </row>
    <row r="2031">
      <c r="A2031" s="34" t="n"/>
      <c r="B2031" s="35" t="n"/>
      <c r="C2031" s="35" t="n"/>
      <c r="D2031" s="35" t="n"/>
      <c r="E2031" s="35" t="n"/>
      <c r="F2031" s="36" t="n"/>
      <c r="G2031" s="35" t="n"/>
      <c r="H2031" s="30">
        <f>IF(L2031="","",INDEX(SkiftNavn,L2031))</f>
        <v/>
      </c>
      <c r="I2031" s="30">
        <f>IF(OR(A2031="",L2031=""),"",IF(MOD(A2031-INDEX(SkiftStart,L2031),Syklus)&lt;DagK,"Kveld",IF(MOD(A2031-INDEX(SkiftStart,L2031),Syklus)&lt;DagK+DagH,"Helg",IF(MOD(A2031-INDEX(SkiftStart,L2031),Syklus)&lt;DagK+DagH+DagD,"Dag","Fri"))))</f>
        <v/>
      </c>
      <c r="J2031" s="30">
        <f>IF(I2031="Fri","Ja","")</f>
        <v/>
      </c>
      <c r="K2031" s="30">
        <f>IF(B2031="","",IF(L2031="","Ukjent tekniker",IF(ISNA(MATCH(C2031,Aktiviteter,0)),"Ukjent aktivitet",IF(AND(INDEX(AktRolle,MATCH(C2031,Aktiviteter,0))&amp;""&lt;&gt;"",ISERROR(SEARCH(INDEX(AktRolle,MATCH(C2031,Aktiviteter,0))&amp;"",INDEX(TekRoller,MATCH(B2031,Teknikere,0))))),"Mangler rollen "&amp;INDEX(AktRolle,MATCH(C2031,Aktiviteter,0))&amp;"",IF(AND(C2031="LMS",F2031&gt;0,OR(D2031="",E2031="")),"Mangler maskin eller arbeid",IF(AND(OR(C2031="LMS",C2031="Mod"),D2031&lt;&gt;""),IF(IFERROR(INDEX(MaskinStatus,MATCH(D2031,Maskiner,0)),"")="I dokk","","Maskinen er ikke i dokk"),""))))))</f>
        <v/>
      </c>
      <c r="L2031" s="2">
        <f>IF(B2031="","",IFERROR(INT((MATCH(B2031,Teknikere,0)-1)/18)+1,""))</f>
        <v/>
      </c>
      <c r="M2031" s="2">
        <f>IF(OR(A2031="",B2031=""),"",B2031&amp;"|"&amp;A2031)</f>
        <v/>
      </c>
      <c r="N2031" s="2">
        <f>IF(M2031="","",SUMIFS(TF_Timer,TF_Nokkel,M2031,TF_Akt,C2031))</f>
        <v/>
      </c>
      <c r="O2031" s="2">
        <f>IF(M2031="","",IF(AND(N2031=_xlfn.MAXIFS(TF_AktSum,TF_Nokkel,M2031),COUNTIFS(M$3:M2030,M2031,N$3:N2030,N2031)=0),M2031,""))</f>
        <v/>
      </c>
    </row>
    <row r="2032">
      <c r="A2032" s="34" t="n"/>
      <c r="B2032" s="35" t="n"/>
      <c r="C2032" s="35" t="n"/>
      <c r="D2032" s="35" t="n"/>
      <c r="E2032" s="35" t="n"/>
      <c r="F2032" s="36" t="n"/>
      <c r="G2032" s="35" t="n"/>
      <c r="H2032" s="30">
        <f>IF(L2032="","",INDEX(SkiftNavn,L2032))</f>
        <v/>
      </c>
      <c r="I2032" s="30">
        <f>IF(OR(A2032="",L2032=""),"",IF(MOD(A2032-INDEX(SkiftStart,L2032),Syklus)&lt;DagK,"Kveld",IF(MOD(A2032-INDEX(SkiftStart,L2032),Syklus)&lt;DagK+DagH,"Helg",IF(MOD(A2032-INDEX(SkiftStart,L2032),Syklus)&lt;DagK+DagH+DagD,"Dag","Fri"))))</f>
        <v/>
      </c>
      <c r="J2032" s="30">
        <f>IF(I2032="Fri","Ja","")</f>
        <v/>
      </c>
      <c r="K2032" s="30">
        <f>IF(B2032="","",IF(L2032="","Ukjent tekniker",IF(ISNA(MATCH(C2032,Aktiviteter,0)),"Ukjent aktivitet",IF(AND(INDEX(AktRolle,MATCH(C2032,Aktiviteter,0))&amp;""&lt;&gt;"",ISERROR(SEARCH(INDEX(AktRolle,MATCH(C2032,Aktiviteter,0))&amp;"",INDEX(TekRoller,MATCH(B2032,Teknikere,0))))),"Mangler rollen "&amp;INDEX(AktRolle,MATCH(C2032,Aktiviteter,0))&amp;"",IF(AND(C2032="LMS",F2032&gt;0,OR(D2032="",E2032="")),"Mangler maskin eller arbeid",IF(AND(OR(C2032="LMS",C2032="Mod"),D2032&lt;&gt;""),IF(IFERROR(INDEX(MaskinStatus,MATCH(D2032,Maskiner,0)),"")="I dokk","","Maskinen er ikke i dokk"),""))))))</f>
        <v/>
      </c>
      <c r="L2032" s="2">
        <f>IF(B2032="","",IFERROR(INT((MATCH(B2032,Teknikere,0)-1)/18)+1,""))</f>
        <v/>
      </c>
      <c r="M2032" s="2">
        <f>IF(OR(A2032="",B2032=""),"",B2032&amp;"|"&amp;A2032)</f>
        <v/>
      </c>
      <c r="N2032" s="2">
        <f>IF(M2032="","",SUMIFS(TF_Timer,TF_Nokkel,M2032,TF_Akt,C2032))</f>
        <v/>
      </c>
      <c r="O2032" s="2">
        <f>IF(M2032="","",IF(AND(N2032=_xlfn.MAXIFS(TF_AktSum,TF_Nokkel,M2032),COUNTIFS(M$3:M2031,M2032,N$3:N2031,N2032)=0),M2032,""))</f>
        <v/>
      </c>
    </row>
    <row r="2033">
      <c r="A2033" s="34" t="n"/>
      <c r="B2033" s="35" t="n"/>
      <c r="C2033" s="35" t="n"/>
      <c r="D2033" s="35" t="n"/>
      <c r="E2033" s="35" t="n"/>
      <c r="F2033" s="36" t="n"/>
      <c r="G2033" s="35" t="n"/>
      <c r="H2033" s="30">
        <f>IF(L2033="","",INDEX(SkiftNavn,L2033))</f>
        <v/>
      </c>
      <c r="I2033" s="30">
        <f>IF(OR(A2033="",L2033=""),"",IF(MOD(A2033-INDEX(SkiftStart,L2033),Syklus)&lt;DagK,"Kveld",IF(MOD(A2033-INDEX(SkiftStart,L2033),Syklus)&lt;DagK+DagH,"Helg",IF(MOD(A2033-INDEX(SkiftStart,L2033),Syklus)&lt;DagK+DagH+DagD,"Dag","Fri"))))</f>
        <v/>
      </c>
      <c r="J2033" s="30">
        <f>IF(I2033="Fri","Ja","")</f>
        <v/>
      </c>
      <c r="K2033" s="30">
        <f>IF(B2033="","",IF(L2033="","Ukjent tekniker",IF(ISNA(MATCH(C2033,Aktiviteter,0)),"Ukjent aktivitet",IF(AND(INDEX(AktRolle,MATCH(C2033,Aktiviteter,0))&amp;""&lt;&gt;"",ISERROR(SEARCH(INDEX(AktRolle,MATCH(C2033,Aktiviteter,0))&amp;"",INDEX(TekRoller,MATCH(B2033,Teknikere,0))))),"Mangler rollen "&amp;INDEX(AktRolle,MATCH(C2033,Aktiviteter,0))&amp;"",IF(AND(C2033="LMS",F2033&gt;0,OR(D2033="",E2033="")),"Mangler maskin eller arbeid",IF(AND(OR(C2033="LMS",C2033="Mod"),D2033&lt;&gt;""),IF(IFERROR(INDEX(MaskinStatus,MATCH(D2033,Maskiner,0)),"")="I dokk","","Maskinen er ikke i dokk"),""))))))</f>
        <v/>
      </c>
      <c r="L2033" s="2">
        <f>IF(B2033="","",IFERROR(INT((MATCH(B2033,Teknikere,0)-1)/18)+1,""))</f>
        <v/>
      </c>
      <c r="M2033" s="2">
        <f>IF(OR(A2033="",B2033=""),"",B2033&amp;"|"&amp;A2033)</f>
        <v/>
      </c>
      <c r="N2033" s="2">
        <f>IF(M2033="","",SUMIFS(TF_Timer,TF_Nokkel,M2033,TF_Akt,C2033))</f>
        <v/>
      </c>
      <c r="O2033" s="2">
        <f>IF(M2033="","",IF(AND(N2033=_xlfn.MAXIFS(TF_AktSum,TF_Nokkel,M2033),COUNTIFS(M$3:M2032,M2033,N$3:N2032,N2033)=0),M2033,""))</f>
        <v/>
      </c>
    </row>
    <row r="2034">
      <c r="A2034" s="34" t="n"/>
      <c r="B2034" s="35" t="n"/>
      <c r="C2034" s="35" t="n"/>
      <c r="D2034" s="35" t="n"/>
      <c r="E2034" s="35" t="n"/>
      <c r="F2034" s="36" t="n"/>
      <c r="G2034" s="35" t="n"/>
      <c r="H2034" s="30">
        <f>IF(L2034="","",INDEX(SkiftNavn,L2034))</f>
        <v/>
      </c>
      <c r="I2034" s="30">
        <f>IF(OR(A2034="",L2034=""),"",IF(MOD(A2034-INDEX(SkiftStart,L2034),Syklus)&lt;DagK,"Kveld",IF(MOD(A2034-INDEX(SkiftStart,L2034),Syklus)&lt;DagK+DagH,"Helg",IF(MOD(A2034-INDEX(SkiftStart,L2034),Syklus)&lt;DagK+DagH+DagD,"Dag","Fri"))))</f>
        <v/>
      </c>
      <c r="J2034" s="30">
        <f>IF(I2034="Fri","Ja","")</f>
        <v/>
      </c>
      <c r="K2034" s="30">
        <f>IF(B2034="","",IF(L2034="","Ukjent tekniker",IF(ISNA(MATCH(C2034,Aktiviteter,0)),"Ukjent aktivitet",IF(AND(INDEX(AktRolle,MATCH(C2034,Aktiviteter,0))&amp;""&lt;&gt;"",ISERROR(SEARCH(INDEX(AktRolle,MATCH(C2034,Aktiviteter,0))&amp;"",INDEX(TekRoller,MATCH(B2034,Teknikere,0))))),"Mangler rollen "&amp;INDEX(AktRolle,MATCH(C2034,Aktiviteter,0))&amp;"",IF(AND(C2034="LMS",F2034&gt;0,OR(D2034="",E2034="")),"Mangler maskin eller arbeid",IF(AND(OR(C2034="LMS",C2034="Mod"),D2034&lt;&gt;""),IF(IFERROR(INDEX(MaskinStatus,MATCH(D2034,Maskiner,0)),"")="I dokk","","Maskinen er ikke i dokk"),""))))))</f>
        <v/>
      </c>
      <c r="L2034" s="2">
        <f>IF(B2034="","",IFERROR(INT((MATCH(B2034,Teknikere,0)-1)/18)+1,""))</f>
        <v/>
      </c>
      <c r="M2034" s="2">
        <f>IF(OR(A2034="",B2034=""),"",B2034&amp;"|"&amp;A2034)</f>
        <v/>
      </c>
      <c r="N2034" s="2">
        <f>IF(M2034="","",SUMIFS(TF_Timer,TF_Nokkel,M2034,TF_Akt,C2034))</f>
        <v/>
      </c>
      <c r="O2034" s="2">
        <f>IF(M2034="","",IF(AND(N2034=_xlfn.MAXIFS(TF_AktSum,TF_Nokkel,M2034),COUNTIFS(M$3:M2033,M2034,N$3:N2033,N2034)=0),M2034,""))</f>
        <v/>
      </c>
    </row>
    <row r="2035">
      <c r="A2035" s="34" t="n"/>
      <c r="B2035" s="35" t="n"/>
      <c r="C2035" s="35" t="n"/>
      <c r="D2035" s="35" t="n"/>
      <c r="E2035" s="35" t="n"/>
      <c r="F2035" s="36" t="n"/>
      <c r="G2035" s="35" t="n"/>
      <c r="H2035" s="30">
        <f>IF(L2035="","",INDEX(SkiftNavn,L2035))</f>
        <v/>
      </c>
      <c r="I2035" s="30">
        <f>IF(OR(A2035="",L2035=""),"",IF(MOD(A2035-INDEX(SkiftStart,L2035),Syklus)&lt;DagK,"Kveld",IF(MOD(A2035-INDEX(SkiftStart,L2035),Syklus)&lt;DagK+DagH,"Helg",IF(MOD(A2035-INDEX(SkiftStart,L2035),Syklus)&lt;DagK+DagH+DagD,"Dag","Fri"))))</f>
        <v/>
      </c>
      <c r="J2035" s="30">
        <f>IF(I2035="Fri","Ja","")</f>
        <v/>
      </c>
      <c r="K2035" s="30">
        <f>IF(B2035="","",IF(L2035="","Ukjent tekniker",IF(ISNA(MATCH(C2035,Aktiviteter,0)),"Ukjent aktivitet",IF(AND(INDEX(AktRolle,MATCH(C2035,Aktiviteter,0))&amp;""&lt;&gt;"",ISERROR(SEARCH(INDEX(AktRolle,MATCH(C2035,Aktiviteter,0))&amp;"",INDEX(TekRoller,MATCH(B2035,Teknikere,0))))),"Mangler rollen "&amp;INDEX(AktRolle,MATCH(C2035,Aktiviteter,0))&amp;"",IF(AND(C2035="LMS",F2035&gt;0,OR(D2035="",E2035="")),"Mangler maskin eller arbeid",IF(AND(OR(C2035="LMS",C2035="Mod"),D2035&lt;&gt;""),IF(IFERROR(INDEX(MaskinStatus,MATCH(D2035,Maskiner,0)),"")="I dokk","","Maskinen er ikke i dokk"),""))))))</f>
        <v/>
      </c>
      <c r="L2035" s="2">
        <f>IF(B2035="","",IFERROR(INT((MATCH(B2035,Teknikere,0)-1)/18)+1,""))</f>
        <v/>
      </c>
      <c r="M2035" s="2">
        <f>IF(OR(A2035="",B2035=""),"",B2035&amp;"|"&amp;A2035)</f>
        <v/>
      </c>
      <c r="N2035" s="2">
        <f>IF(M2035="","",SUMIFS(TF_Timer,TF_Nokkel,M2035,TF_Akt,C2035))</f>
        <v/>
      </c>
      <c r="O2035" s="2">
        <f>IF(M2035="","",IF(AND(N2035=_xlfn.MAXIFS(TF_AktSum,TF_Nokkel,M2035),COUNTIFS(M$3:M2034,M2035,N$3:N2034,N2035)=0),M2035,""))</f>
        <v/>
      </c>
    </row>
    <row r="2036">
      <c r="A2036" s="34" t="n"/>
      <c r="B2036" s="35" t="n"/>
      <c r="C2036" s="35" t="n"/>
      <c r="D2036" s="35" t="n"/>
      <c r="E2036" s="35" t="n"/>
      <c r="F2036" s="36" t="n"/>
      <c r="G2036" s="35" t="n"/>
      <c r="H2036" s="30">
        <f>IF(L2036="","",INDEX(SkiftNavn,L2036))</f>
        <v/>
      </c>
      <c r="I2036" s="30">
        <f>IF(OR(A2036="",L2036=""),"",IF(MOD(A2036-INDEX(SkiftStart,L2036),Syklus)&lt;DagK,"Kveld",IF(MOD(A2036-INDEX(SkiftStart,L2036),Syklus)&lt;DagK+DagH,"Helg",IF(MOD(A2036-INDEX(SkiftStart,L2036),Syklus)&lt;DagK+DagH+DagD,"Dag","Fri"))))</f>
        <v/>
      </c>
      <c r="J2036" s="30">
        <f>IF(I2036="Fri","Ja","")</f>
        <v/>
      </c>
      <c r="K2036" s="30">
        <f>IF(B2036="","",IF(L2036="","Ukjent tekniker",IF(ISNA(MATCH(C2036,Aktiviteter,0)),"Ukjent aktivitet",IF(AND(INDEX(AktRolle,MATCH(C2036,Aktiviteter,0))&amp;""&lt;&gt;"",ISERROR(SEARCH(INDEX(AktRolle,MATCH(C2036,Aktiviteter,0))&amp;"",INDEX(TekRoller,MATCH(B2036,Teknikere,0))))),"Mangler rollen "&amp;INDEX(AktRolle,MATCH(C2036,Aktiviteter,0))&amp;"",IF(AND(C2036="LMS",F2036&gt;0,OR(D2036="",E2036="")),"Mangler maskin eller arbeid",IF(AND(OR(C2036="LMS",C2036="Mod"),D2036&lt;&gt;""),IF(IFERROR(INDEX(MaskinStatus,MATCH(D2036,Maskiner,0)),"")="I dokk","","Maskinen er ikke i dokk"),""))))))</f>
        <v/>
      </c>
      <c r="L2036" s="2">
        <f>IF(B2036="","",IFERROR(INT((MATCH(B2036,Teknikere,0)-1)/18)+1,""))</f>
        <v/>
      </c>
      <c r="M2036" s="2">
        <f>IF(OR(A2036="",B2036=""),"",B2036&amp;"|"&amp;A2036)</f>
        <v/>
      </c>
      <c r="N2036" s="2">
        <f>IF(M2036="","",SUMIFS(TF_Timer,TF_Nokkel,M2036,TF_Akt,C2036))</f>
        <v/>
      </c>
      <c r="O2036" s="2">
        <f>IF(M2036="","",IF(AND(N2036=_xlfn.MAXIFS(TF_AktSum,TF_Nokkel,M2036),COUNTIFS(M$3:M2035,M2036,N$3:N2035,N2036)=0),M2036,""))</f>
        <v/>
      </c>
    </row>
    <row r="2037">
      <c r="A2037" s="34" t="n"/>
      <c r="B2037" s="35" t="n"/>
      <c r="C2037" s="35" t="n"/>
      <c r="D2037" s="35" t="n"/>
      <c r="E2037" s="35" t="n"/>
      <c r="F2037" s="36" t="n"/>
      <c r="G2037" s="35" t="n"/>
      <c r="H2037" s="30">
        <f>IF(L2037="","",INDEX(SkiftNavn,L2037))</f>
        <v/>
      </c>
      <c r="I2037" s="30">
        <f>IF(OR(A2037="",L2037=""),"",IF(MOD(A2037-INDEX(SkiftStart,L2037),Syklus)&lt;DagK,"Kveld",IF(MOD(A2037-INDEX(SkiftStart,L2037),Syklus)&lt;DagK+DagH,"Helg",IF(MOD(A2037-INDEX(SkiftStart,L2037),Syklus)&lt;DagK+DagH+DagD,"Dag","Fri"))))</f>
        <v/>
      </c>
      <c r="J2037" s="30">
        <f>IF(I2037="Fri","Ja","")</f>
        <v/>
      </c>
      <c r="K2037" s="30">
        <f>IF(B2037="","",IF(L2037="","Ukjent tekniker",IF(ISNA(MATCH(C2037,Aktiviteter,0)),"Ukjent aktivitet",IF(AND(INDEX(AktRolle,MATCH(C2037,Aktiviteter,0))&amp;""&lt;&gt;"",ISERROR(SEARCH(INDEX(AktRolle,MATCH(C2037,Aktiviteter,0))&amp;"",INDEX(TekRoller,MATCH(B2037,Teknikere,0))))),"Mangler rollen "&amp;INDEX(AktRolle,MATCH(C2037,Aktiviteter,0))&amp;"",IF(AND(C2037="LMS",F2037&gt;0,OR(D2037="",E2037="")),"Mangler maskin eller arbeid",IF(AND(OR(C2037="LMS",C2037="Mod"),D2037&lt;&gt;""),IF(IFERROR(INDEX(MaskinStatus,MATCH(D2037,Maskiner,0)),"")="I dokk","","Maskinen er ikke i dokk"),""))))))</f>
        <v/>
      </c>
      <c r="L2037" s="2">
        <f>IF(B2037="","",IFERROR(INT((MATCH(B2037,Teknikere,0)-1)/18)+1,""))</f>
        <v/>
      </c>
      <c r="M2037" s="2">
        <f>IF(OR(A2037="",B2037=""),"",B2037&amp;"|"&amp;A2037)</f>
        <v/>
      </c>
      <c r="N2037" s="2">
        <f>IF(M2037="","",SUMIFS(TF_Timer,TF_Nokkel,M2037,TF_Akt,C2037))</f>
        <v/>
      </c>
      <c r="O2037" s="2">
        <f>IF(M2037="","",IF(AND(N2037=_xlfn.MAXIFS(TF_AktSum,TF_Nokkel,M2037),COUNTIFS(M$3:M2036,M2037,N$3:N2036,N2037)=0),M2037,""))</f>
        <v/>
      </c>
    </row>
    <row r="2038">
      <c r="A2038" s="34" t="n"/>
      <c r="B2038" s="35" t="n"/>
      <c r="C2038" s="35" t="n"/>
      <c r="D2038" s="35" t="n"/>
      <c r="E2038" s="35" t="n"/>
      <c r="F2038" s="36" t="n"/>
      <c r="G2038" s="35" t="n"/>
      <c r="H2038" s="30">
        <f>IF(L2038="","",INDEX(SkiftNavn,L2038))</f>
        <v/>
      </c>
      <c r="I2038" s="30">
        <f>IF(OR(A2038="",L2038=""),"",IF(MOD(A2038-INDEX(SkiftStart,L2038),Syklus)&lt;DagK,"Kveld",IF(MOD(A2038-INDEX(SkiftStart,L2038),Syklus)&lt;DagK+DagH,"Helg",IF(MOD(A2038-INDEX(SkiftStart,L2038),Syklus)&lt;DagK+DagH+DagD,"Dag","Fri"))))</f>
        <v/>
      </c>
      <c r="J2038" s="30">
        <f>IF(I2038="Fri","Ja","")</f>
        <v/>
      </c>
      <c r="K2038" s="30">
        <f>IF(B2038="","",IF(L2038="","Ukjent tekniker",IF(ISNA(MATCH(C2038,Aktiviteter,0)),"Ukjent aktivitet",IF(AND(INDEX(AktRolle,MATCH(C2038,Aktiviteter,0))&amp;""&lt;&gt;"",ISERROR(SEARCH(INDEX(AktRolle,MATCH(C2038,Aktiviteter,0))&amp;"",INDEX(TekRoller,MATCH(B2038,Teknikere,0))))),"Mangler rollen "&amp;INDEX(AktRolle,MATCH(C2038,Aktiviteter,0))&amp;"",IF(AND(C2038="LMS",F2038&gt;0,OR(D2038="",E2038="")),"Mangler maskin eller arbeid",IF(AND(OR(C2038="LMS",C2038="Mod"),D2038&lt;&gt;""),IF(IFERROR(INDEX(MaskinStatus,MATCH(D2038,Maskiner,0)),"")="I dokk","","Maskinen er ikke i dokk"),""))))))</f>
        <v/>
      </c>
      <c r="L2038" s="2">
        <f>IF(B2038="","",IFERROR(INT((MATCH(B2038,Teknikere,0)-1)/18)+1,""))</f>
        <v/>
      </c>
      <c r="M2038" s="2">
        <f>IF(OR(A2038="",B2038=""),"",B2038&amp;"|"&amp;A2038)</f>
        <v/>
      </c>
      <c r="N2038" s="2">
        <f>IF(M2038="","",SUMIFS(TF_Timer,TF_Nokkel,M2038,TF_Akt,C2038))</f>
        <v/>
      </c>
      <c r="O2038" s="2">
        <f>IF(M2038="","",IF(AND(N2038=_xlfn.MAXIFS(TF_AktSum,TF_Nokkel,M2038),COUNTIFS(M$3:M2037,M2038,N$3:N2037,N2038)=0),M2038,""))</f>
        <v/>
      </c>
    </row>
    <row r="2039">
      <c r="A2039" s="34" t="n"/>
      <c r="B2039" s="35" t="n"/>
      <c r="C2039" s="35" t="n"/>
      <c r="D2039" s="35" t="n"/>
      <c r="E2039" s="35" t="n"/>
      <c r="F2039" s="36" t="n"/>
      <c r="G2039" s="35" t="n"/>
      <c r="H2039" s="30">
        <f>IF(L2039="","",INDEX(SkiftNavn,L2039))</f>
        <v/>
      </c>
      <c r="I2039" s="30">
        <f>IF(OR(A2039="",L2039=""),"",IF(MOD(A2039-INDEX(SkiftStart,L2039),Syklus)&lt;DagK,"Kveld",IF(MOD(A2039-INDEX(SkiftStart,L2039),Syklus)&lt;DagK+DagH,"Helg",IF(MOD(A2039-INDEX(SkiftStart,L2039),Syklus)&lt;DagK+DagH+DagD,"Dag","Fri"))))</f>
        <v/>
      </c>
      <c r="J2039" s="30">
        <f>IF(I2039="Fri","Ja","")</f>
        <v/>
      </c>
      <c r="K2039" s="30">
        <f>IF(B2039="","",IF(L2039="","Ukjent tekniker",IF(ISNA(MATCH(C2039,Aktiviteter,0)),"Ukjent aktivitet",IF(AND(INDEX(AktRolle,MATCH(C2039,Aktiviteter,0))&amp;""&lt;&gt;"",ISERROR(SEARCH(INDEX(AktRolle,MATCH(C2039,Aktiviteter,0))&amp;"",INDEX(TekRoller,MATCH(B2039,Teknikere,0))))),"Mangler rollen "&amp;INDEX(AktRolle,MATCH(C2039,Aktiviteter,0))&amp;"",IF(AND(C2039="LMS",F2039&gt;0,OR(D2039="",E2039="")),"Mangler maskin eller arbeid",IF(AND(OR(C2039="LMS",C2039="Mod"),D2039&lt;&gt;""),IF(IFERROR(INDEX(MaskinStatus,MATCH(D2039,Maskiner,0)),"")="I dokk","","Maskinen er ikke i dokk"),""))))))</f>
        <v/>
      </c>
      <c r="L2039" s="2">
        <f>IF(B2039="","",IFERROR(INT((MATCH(B2039,Teknikere,0)-1)/18)+1,""))</f>
        <v/>
      </c>
      <c r="M2039" s="2">
        <f>IF(OR(A2039="",B2039=""),"",B2039&amp;"|"&amp;A2039)</f>
        <v/>
      </c>
      <c r="N2039" s="2">
        <f>IF(M2039="","",SUMIFS(TF_Timer,TF_Nokkel,M2039,TF_Akt,C2039))</f>
        <v/>
      </c>
      <c r="O2039" s="2">
        <f>IF(M2039="","",IF(AND(N2039=_xlfn.MAXIFS(TF_AktSum,TF_Nokkel,M2039),COUNTIFS(M$3:M2038,M2039,N$3:N2038,N2039)=0),M2039,""))</f>
        <v/>
      </c>
    </row>
    <row r="2040">
      <c r="A2040" s="34" t="n"/>
      <c r="B2040" s="35" t="n"/>
      <c r="C2040" s="35" t="n"/>
      <c r="D2040" s="35" t="n"/>
      <c r="E2040" s="35" t="n"/>
      <c r="F2040" s="36" t="n"/>
      <c r="G2040" s="35" t="n"/>
      <c r="H2040" s="30">
        <f>IF(L2040="","",INDEX(SkiftNavn,L2040))</f>
        <v/>
      </c>
      <c r="I2040" s="30">
        <f>IF(OR(A2040="",L2040=""),"",IF(MOD(A2040-INDEX(SkiftStart,L2040),Syklus)&lt;DagK,"Kveld",IF(MOD(A2040-INDEX(SkiftStart,L2040),Syklus)&lt;DagK+DagH,"Helg",IF(MOD(A2040-INDEX(SkiftStart,L2040),Syklus)&lt;DagK+DagH+DagD,"Dag","Fri"))))</f>
        <v/>
      </c>
      <c r="J2040" s="30">
        <f>IF(I2040="Fri","Ja","")</f>
        <v/>
      </c>
      <c r="K2040" s="30">
        <f>IF(B2040="","",IF(L2040="","Ukjent tekniker",IF(ISNA(MATCH(C2040,Aktiviteter,0)),"Ukjent aktivitet",IF(AND(INDEX(AktRolle,MATCH(C2040,Aktiviteter,0))&amp;""&lt;&gt;"",ISERROR(SEARCH(INDEX(AktRolle,MATCH(C2040,Aktiviteter,0))&amp;"",INDEX(TekRoller,MATCH(B2040,Teknikere,0))))),"Mangler rollen "&amp;INDEX(AktRolle,MATCH(C2040,Aktiviteter,0))&amp;"",IF(AND(C2040="LMS",F2040&gt;0,OR(D2040="",E2040="")),"Mangler maskin eller arbeid",IF(AND(OR(C2040="LMS",C2040="Mod"),D2040&lt;&gt;""),IF(IFERROR(INDEX(MaskinStatus,MATCH(D2040,Maskiner,0)),"")="I dokk","","Maskinen er ikke i dokk"),""))))))</f>
        <v/>
      </c>
      <c r="L2040" s="2">
        <f>IF(B2040="","",IFERROR(INT((MATCH(B2040,Teknikere,0)-1)/18)+1,""))</f>
        <v/>
      </c>
      <c r="M2040" s="2">
        <f>IF(OR(A2040="",B2040=""),"",B2040&amp;"|"&amp;A2040)</f>
        <v/>
      </c>
      <c r="N2040" s="2">
        <f>IF(M2040="","",SUMIFS(TF_Timer,TF_Nokkel,M2040,TF_Akt,C2040))</f>
        <v/>
      </c>
      <c r="O2040" s="2">
        <f>IF(M2040="","",IF(AND(N2040=_xlfn.MAXIFS(TF_AktSum,TF_Nokkel,M2040),COUNTIFS(M$3:M2039,M2040,N$3:N2039,N2040)=0),M2040,""))</f>
        <v/>
      </c>
    </row>
    <row r="2041">
      <c r="A2041" s="34" t="n"/>
      <c r="B2041" s="35" t="n"/>
      <c r="C2041" s="35" t="n"/>
      <c r="D2041" s="35" t="n"/>
      <c r="E2041" s="35" t="n"/>
      <c r="F2041" s="36" t="n"/>
      <c r="G2041" s="35" t="n"/>
      <c r="H2041" s="30">
        <f>IF(L2041="","",INDEX(SkiftNavn,L2041))</f>
        <v/>
      </c>
      <c r="I2041" s="30">
        <f>IF(OR(A2041="",L2041=""),"",IF(MOD(A2041-INDEX(SkiftStart,L2041),Syklus)&lt;DagK,"Kveld",IF(MOD(A2041-INDEX(SkiftStart,L2041),Syklus)&lt;DagK+DagH,"Helg",IF(MOD(A2041-INDEX(SkiftStart,L2041),Syklus)&lt;DagK+DagH+DagD,"Dag","Fri"))))</f>
        <v/>
      </c>
      <c r="J2041" s="30">
        <f>IF(I2041="Fri","Ja","")</f>
        <v/>
      </c>
      <c r="K2041" s="30">
        <f>IF(B2041="","",IF(L2041="","Ukjent tekniker",IF(ISNA(MATCH(C2041,Aktiviteter,0)),"Ukjent aktivitet",IF(AND(INDEX(AktRolle,MATCH(C2041,Aktiviteter,0))&amp;""&lt;&gt;"",ISERROR(SEARCH(INDEX(AktRolle,MATCH(C2041,Aktiviteter,0))&amp;"",INDEX(TekRoller,MATCH(B2041,Teknikere,0))))),"Mangler rollen "&amp;INDEX(AktRolle,MATCH(C2041,Aktiviteter,0))&amp;"",IF(AND(C2041="LMS",F2041&gt;0,OR(D2041="",E2041="")),"Mangler maskin eller arbeid",IF(AND(OR(C2041="LMS",C2041="Mod"),D2041&lt;&gt;""),IF(IFERROR(INDEX(MaskinStatus,MATCH(D2041,Maskiner,0)),"")="I dokk","","Maskinen er ikke i dokk"),""))))))</f>
        <v/>
      </c>
      <c r="L2041" s="2">
        <f>IF(B2041="","",IFERROR(INT((MATCH(B2041,Teknikere,0)-1)/18)+1,""))</f>
        <v/>
      </c>
      <c r="M2041" s="2">
        <f>IF(OR(A2041="",B2041=""),"",B2041&amp;"|"&amp;A2041)</f>
        <v/>
      </c>
      <c r="N2041" s="2">
        <f>IF(M2041="","",SUMIFS(TF_Timer,TF_Nokkel,M2041,TF_Akt,C2041))</f>
        <v/>
      </c>
      <c r="O2041" s="2">
        <f>IF(M2041="","",IF(AND(N2041=_xlfn.MAXIFS(TF_AktSum,TF_Nokkel,M2041),COUNTIFS(M$3:M2040,M2041,N$3:N2040,N2041)=0),M2041,""))</f>
        <v/>
      </c>
    </row>
    <row r="2042">
      <c r="A2042" s="34" t="n"/>
      <c r="B2042" s="35" t="n"/>
      <c r="C2042" s="35" t="n"/>
      <c r="D2042" s="35" t="n"/>
      <c r="E2042" s="35" t="n"/>
      <c r="F2042" s="36" t="n"/>
      <c r="G2042" s="35" t="n"/>
      <c r="H2042" s="30">
        <f>IF(L2042="","",INDEX(SkiftNavn,L2042))</f>
        <v/>
      </c>
      <c r="I2042" s="30">
        <f>IF(OR(A2042="",L2042=""),"",IF(MOD(A2042-INDEX(SkiftStart,L2042),Syklus)&lt;DagK,"Kveld",IF(MOD(A2042-INDEX(SkiftStart,L2042),Syklus)&lt;DagK+DagH,"Helg",IF(MOD(A2042-INDEX(SkiftStart,L2042),Syklus)&lt;DagK+DagH+DagD,"Dag","Fri"))))</f>
        <v/>
      </c>
      <c r="J2042" s="30">
        <f>IF(I2042="Fri","Ja","")</f>
        <v/>
      </c>
      <c r="K2042" s="30">
        <f>IF(B2042="","",IF(L2042="","Ukjent tekniker",IF(ISNA(MATCH(C2042,Aktiviteter,0)),"Ukjent aktivitet",IF(AND(INDEX(AktRolle,MATCH(C2042,Aktiviteter,0))&amp;""&lt;&gt;"",ISERROR(SEARCH(INDEX(AktRolle,MATCH(C2042,Aktiviteter,0))&amp;"",INDEX(TekRoller,MATCH(B2042,Teknikere,0))))),"Mangler rollen "&amp;INDEX(AktRolle,MATCH(C2042,Aktiviteter,0))&amp;"",IF(AND(C2042="LMS",F2042&gt;0,OR(D2042="",E2042="")),"Mangler maskin eller arbeid",IF(AND(OR(C2042="LMS",C2042="Mod"),D2042&lt;&gt;""),IF(IFERROR(INDEX(MaskinStatus,MATCH(D2042,Maskiner,0)),"")="I dokk","","Maskinen er ikke i dokk"),""))))))</f>
        <v/>
      </c>
      <c r="L2042" s="2">
        <f>IF(B2042="","",IFERROR(INT((MATCH(B2042,Teknikere,0)-1)/18)+1,""))</f>
        <v/>
      </c>
      <c r="M2042" s="2">
        <f>IF(OR(A2042="",B2042=""),"",B2042&amp;"|"&amp;A2042)</f>
        <v/>
      </c>
      <c r="N2042" s="2">
        <f>IF(M2042="","",SUMIFS(TF_Timer,TF_Nokkel,M2042,TF_Akt,C2042))</f>
        <v/>
      </c>
      <c r="O2042" s="2">
        <f>IF(M2042="","",IF(AND(N2042=_xlfn.MAXIFS(TF_AktSum,TF_Nokkel,M2042),COUNTIFS(M$3:M2041,M2042,N$3:N2041,N2042)=0),M2042,""))</f>
        <v/>
      </c>
    </row>
    <row r="2043">
      <c r="A2043" s="34" t="n"/>
      <c r="B2043" s="35" t="n"/>
      <c r="C2043" s="35" t="n"/>
      <c r="D2043" s="35" t="n"/>
      <c r="E2043" s="35" t="n"/>
      <c r="F2043" s="36" t="n"/>
      <c r="G2043" s="35" t="n"/>
      <c r="H2043" s="30">
        <f>IF(L2043="","",INDEX(SkiftNavn,L2043))</f>
        <v/>
      </c>
      <c r="I2043" s="30">
        <f>IF(OR(A2043="",L2043=""),"",IF(MOD(A2043-INDEX(SkiftStart,L2043),Syklus)&lt;DagK,"Kveld",IF(MOD(A2043-INDEX(SkiftStart,L2043),Syklus)&lt;DagK+DagH,"Helg",IF(MOD(A2043-INDEX(SkiftStart,L2043),Syklus)&lt;DagK+DagH+DagD,"Dag","Fri"))))</f>
        <v/>
      </c>
      <c r="J2043" s="30">
        <f>IF(I2043="Fri","Ja","")</f>
        <v/>
      </c>
      <c r="K2043" s="30">
        <f>IF(B2043="","",IF(L2043="","Ukjent tekniker",IF(ISNA(MATCH(C2043,Aktiviteter,0)),"Ukjent aktivitet",IF(AND(INDEX(AktRolle,MATCH(C2043,Aktiviteter,0))&amp;""&lt;&gt;"",ISERROR(SEARCH(INDEX(AktRolle,MATCH(C2043,Aktiviteter,0))&amp;"",INDEX(TekRoller,MATCH(B2043,Teknikere,0))))),"Mangler rollen "&amp;INDEX(AktRolle,MATCH(C2043,Aktiviteter,0))&amp;"",IF(AND(C2043="LMS",F2043&gt;0,OR(D2043="",E2043="")),"Mangler maskin eller arbeid",IF(AND(OR(C2043="LMS",C2043="Mod"),D2043&lt;&gt;""),IF(IFERROR(INDEX(MaskinStatus,MATCH(D2043,Maskiner,0)),"")="I dokk","","Maskinen er ikke i dokk"),""))))))</f>
        <v/>
      </c>
      <c r="L2043" s="2">
        <f>IF(B2043="","",IFERROR(INT((MATCH(B2043,Teknikere,0)-1)/18)+1,""))</f>
        <v/>
      </c>
      <c r="M2043" s="2">
        <f>IF(OR(A2043="",B2043=""),"",B2043&amp;"|"&amp;A2043)</f>
        <v/>
      </c>
      <c r="N2043" s="2">
        <f>IF(M2043="","",SUMIFS(TF_Timer,TF_Nokkel,M2043,TF_Akt,C2043))</f>
        <v/>
      </c>
      <c r="O2043" s="2">
        <f>IF(M2043="","",IF(AND(N2043=_xlfn.MAXIFS(TF_AktSum,TF_Nokkel,M2043),COUNTIFS(M$3:M2042,M2043,N$3:N2042,N2043)=0),M2043,""))</f>
        <v/>
      </c>
    </row>
    <row r="2044">
      <c r="A2044" s="34" t="n"/>
      <c r="B2044" s="35" t="n"/>
      <c r="C2044" s="35" t="n"/>
      <c r="D2044" s="35" t="n"/>
      <c r="E2044" s="35" t="n"/>
      <c r="F2044" s="36" t="n"/>
      <c r="G2044" s="35" t="n"/>
      <c r="H2044" s="30">
        <f>IF(L2044="","",INDEX(SkiftNavn,L2044))</f>
        <v/>
      </c>
      <c r="I2044" s="30">
        <f>IF(OR(A2044="",L2044=""),"",IF(MOD(A2044-INDEX(SkiftStart,L2044),Syklus)&lt;DagK,"Kveld",IF(MOD(A2044-INDEX(SkiftStart,L2044),Syklus)&lt;DagK+DagH,"Helg",IF(MOD(A2044-INDEX(SkiftStart,L2044),Syklus)&lt;DagK+DagH+DagD,"Dag","Fri"))))</f>
        <v/>
      </c>
      <c r="J2044" s="30">
        <f>IF(I2044="Fri","Ja","")</f>
        <v/>
      </c>
      <c r="K2044" s="30">
        <f>IF(B2044="","",IF(L2044="","Ukjent tekniker",IF(ISNA(MATCH(C2044,Aktiviteter,0)),"Ukjent aktivitet",IF(AND(INDEX(AktRolle,MATCH(C2044,Aktiviteter,0))&amp;""&lt;&gt;"",ISERROR(SEARCH(INDEX(AktRolle,MATCH(C2044,Aktiviteter,0))&amp;"",INDEX(TekRoller,MATCH(B2044,Teknikere,0))))),"Mangler rollen "&amp;INDEX(AktRolle,MATCH(C2044,Aktiviteter,0))&amp;"",IF(AND(C2044="LMS",F2044&gt;0,OR(D2044="",E2044="")),"Mangler maskin eller arbeid",IF(AND(OR(C2044="LMS",C2044="Mod"),D2044&lt;&gt;""),IF(IFERROR(INDEX(MaskinStatus,MATCH(D2044,Maskiner,0)),"")="I dokk","","Maskinen er ikke i dokk"),""))))))</f>
        <v/>
      </c>
      <c r="L2044" s="2">
        <f>IF(B2044="","",IFERROR(INT((MATCH(B2044,Teknikere,0)-1)/18)+1,""))</f>
        <v/>
      </c>
      <c r="M2044" s="2">
        <f>IF(OR(A2044="",B2044=""),"",B2044&amp;"|"&amp;A2044)</f>
        <v/>
      </c>
      <c r="N2044" s="2">
        <f>IF(M2044="","",SUMIFS(TF_Timer,TF_Nokkel,M2044,TF_Akt,C2044))</f>
        <v/>
      </c>
      <c r="O2044" s="2">
        <f>IF(M2044="","",IF(AND(N2044=_xlfn.MAXIFS(TF_AktSum,TF_Nokkel,M2044),COUNTIFS(M$3:M2043,M2044,N$3:N2043,N2044)=0),M2044,""))</f>
        <v/>
      </c>
    </row>
    <row r="2045">
      <c r="A2045" s="34" t="n"/>
      <c r="B2045" s="35" t="n"/>
      <c r="C2045" s="35" t="n"/>
      <c r="D2045" s="35" t="n"/>
      <c r="E2045" s="35" t="n"/>
      <c r="F2045" s="36" t="n"/>
      <c r="G2045" s="35" t="n"/>
      <c r="H2045" s="30">
        <f>IF(L2045="","",INDEX(SkiftNavn,L2045))</f>
        <v/>
      </c>
      <c r="I2045" s="30">
        <f>IF(OR(A2045="",L2045=""),"",IF(MOD(A2045-INDEX(SkiftStart,L2045),Syklus)&lt;DagK,"Kveld",IF(MOD(A2045-INDEX(SkiftStart,L2045),Syklus)&lt;DagK+DagH,"Helg",IF(MOD(A2045-INDEX(SkiftStart,L2045),Syklus)&lt;DagK+DagH+DagD,"Dag","Fri"))))</f>
        <v/>
      </c>
      <c r="J2045" s="30">
        <f>IF(I2045="Fri","Ja","")</f>
        <v/>
      </c>
      <c r="K2045" s="30">
        <f>IF(B2045="","",IF(L2045="","Ukjent tekniker",IF(ISNA(MATCH(C2045,Aktiviteter,0)),"Ukjent aktivitet",IF(AND(INDEX(AktRolle,MATCH(C2045,Aktiviteter,0))&amp;""&lt;&gt;"",ISERROR(SEARCH(INDEX(AktRolle,MATCH(C2045,Aktiviteter,0))&amp;"",INDEX(TekRoller,MATCH(B2045,Teknikere,0))))),"Mangler rollen "&amp;INDEX(AktRolle,MATCH(C2045,Aktiviteter,0))&amp;"",IF(AND(C2045="LMS",F2045&gt;0,OR(D2045="",E2045="")),"Mangler maskin eller arbeid",IF(AND(OR(C2045="LMS",C2045="Mod"),D2045&lt;&gt;""),IF(IFERROR(INDEX(MaskinStatus,MATCH(D2045,Maskiner,0)),"")="I dokk","","Maskinen er ikke i dokk"),""))))))</f>
        <v/>
      </c>
      <c r="L2045" s="2">
        <f>IF(B2045="","",IFERROR(INT((MATCH(B2045,Teknikere,0)-1)/18)+1,""))</f>
        <v/>
      </c>
      <c r="M2045" s="2">
        <f>IF(OR(A2045="",B2045=""),"",B2045&amp;"|"&amp;A2045)</f>
        <v/>
      </c>
      <c r="N2045" s="2">
        <f>IF(M2045="","",SUMIFS(TF_Timer,TF_Nokkel,M2045,TF_Akt,C2045))</f>
        <v/>
      </c>
      <c r="O2045" s="2">
        <f>IF(M2045="","",IF(AND(N2045=_xlfn.MAXIFS(TF_AktSum,TF_Nokkel,M2045),COUNTIFS(M$3:M2044,M2045,N$3:N2044,N2045)=0),M2045,""))</f>
        <v/>
      </c>
    </row>
    <row r="2046">
      <c r="A2046" s="34" t="n"/>
      <c r="B2046" s="35" t="n"/>
      <c r="C2046" s="35" t="n"/>
      <c r="D2046" s="35" t="n"/>
      <c r="E2046" s="35" t="n"/>
      <c r="F2046" s="36" t="n"/>
      <c r="G2046" s="35" t="n"/>
      <c r="H2046" s="30">
        <f>IF(L2046="","",INDEX(SkiftNavn,L2046))</f>
        <v/>
      </c>
      <c r="I2046" s="30">
        <f>IF(OR(A2046="",L2046=""),"",IF(MOD(A2046-INDEX(SkiftStart,L2046),Syklus)&lt;DagK,"Kveld",IF(MOD(A2046-INDEX(SkiftStart,L2046),Syklus)&lt;DagK+DagH,"Helg",IF(MOD(A2046-INDEX(SkiftStart,L2046),Syklus)&lt;DagK+DagH+DagD,"Dag","Fri"))))</f>
        <v/>
      </c>
      <c r="J2046" s="30">
        <f>IF(I2046="Fri","Ja","")</f>
        <v/>
      </c>
      <c r="K2046" s="30">
        <f>IF(B2046="","",IF(L2046="","Ukjent tekniker",IF(ISNA(MATCH(C2046,Aktiviteter,0)),"Ukjent aktivitet",IF(AND(INDEX(AktRolle,MATCH(C2046,Aktiviteter,0))&amp;""&lt;&gt;"",ISERROR(SEARCH(INDEX(AktRolle,MATCH(C2046,Aktiviteter,0))&amp;"",INDEX(TekRoller,MATCH(B2046,Teknikere,0))))),"Mangler rollen "&amp;INDEX(AktRolle,MATCH(C2046,Aktiviteter,0))&amp;"",IF(AND(C2046="LMS",F2046&gt;0,OR(D2046="",E2046="")),"Mangler maskin eller arbeid",IF(AND(OR(C2046="LMS",C2046="Mod"),D2046&lt;&gt;""),IF(IFERROR(INDEX(MaskinStatus,MATCH(D2046,Maskiner,0)),"")="I dokk","","Maskinen er ikke i dokk"),""))))))</f>
        <v/>
      </c>
      <c r="L2046" s="2">
        <f>IF(B2046="","",IFERROR(INT((MATCH(B2046,Teknikere,0)-1)/18)+1,""))</f>
        <v/>
      </c>
      <c r="M2046" s="2">
        <f>IF(OR(A2046="",B2046=""),"",B2046&amp;"|"&amp;A2046)</f>
        <v/>
      </c>
      <c r="N2046" s="2">
        <f>IF(M2046="","",SUMIFS(TF_Timer,TF_Nokkel,M2046,TF_Akt,C2046))</f>
        <v/>
      </c>
      <c r="O2046" s="2">
        <f>IF(M2046="","",IF(AND(N2046=_xlfn.MAXIFS(TF_AktSum,TF_Nokkel,M2046),COUNTIFS(M$3:M2045,M2046,N$3:N2045,N2046)=0),M2046,""))</f>
        <v/>
      </c>
    </row>
    <row r="2047">
      <c r="A2047" s="34" t="n"/>
      <c r="B2047" s="35" t="n"/>
      <c r="C2047" s="35" t="n"/>
      <c r="D2047" s="35" t="n"/>
      <c r="E2047" s="35" t="n"/>
      <c r="F2047" s="36" t="n"/>
      <c r="G2047" s="35" t="n"/>
      <c r="H2047" s="30">
        <f>IF(L2047="","",INDEX(SkiftNavn,L2047))</f>
        <v/>
      </c>
      <c r="I2047" s="30">
        <f>IF(OR(A2047="",L2047=""),"",IF(MOD(A2047-INDEX(SkiftStart,L2047),Syklus)&lt;DagK,"Kveld",IF(MOD(A2047-INDEX(SkiftStart,L2047),Syklus)&lt;DagK+DagH,"Helg",IF(MOD(A2047-INDEX(SkiftStart,L2047),Syklus)&lt;DagK+DagH+DagD,"Dag","Fri"))))</f>
        <v/>
      </c>
      <c r="J2047" s="30">
        <f>IF(I2047="Fri","Ja","")</f>
        <v/>
      </c>
      <c r="K2047" s="30">
        <f>IF(B2047="","",IF(L2047="","Ukjent tekniker",IF(ISNA(MATCH(C2047,Aktiviteter,0)),"Ukjent aktivitet",IF(AND(INDEX(AktRolle,MATCH(C2047,Aktiviteter,0))&amp;""&lt;&gt;"",ISERROR(SEARCH(INDEX(AktRolle,MATCH(C2047,Aktiviteter,0))&amp;"",INDEX(TekRoller,MATCH(B2047,Teknikere,0))))),"Mangler rollen "&amp;INDEX(AktRolle,MATCH(C2047,Aktiviteter,0))&amp;"",IF(AND(C2047="LMS",F2047&gt;0,OR(D2047="",E2047="")),"Mangler maskin eller arbeid",IF(AND(OR(C2047="LMS",C2047="Mod"),D2047&lt;&gt;""),IF(IFERROR(INDEX(MaskinStatus,MATCH(D2047,Maskiner,0)),"")="I dokk","","Maskinen er ikke i dokk"),""))))))</f>
        <v/>
      </c>
      <c r="L2047" s="2">
        <f>IF(B2047="","",IFERROR(INT((MATCH(B2047,Teknikere,0)-1)/18)+1,""))</f>
        <v/>
      </c>
      <c r="M2047" s="2">
        <f>IF(OR(A2047="",B2047=""),"",B2047&amp;"|"&amp;A2047)</f>
        <v/>
      </c>
      <c r="N2047" s="2">
        <f>IF(M2047="","",SUMIFS(TF_Timer,TF_Nokkel,M2047,TF_Akt,C2047))</f>
        <v/>
      </c>
      <c r="O2047" s="2">
        <f>IF(M2047="","",IF(AND(N2047=_xlfn.MAXIFS(TF_AktSum,TF_Nokkel,M2047),COUNTIFS(M$3:M2046,M2047,N$3:N2046,N2047)=0),M2047,""))</f>
        <v/>
      </c>
    </row>
    <row r="2048">
      <c r="A2048" s="34" t="n"/>
      <c r="B2048" s="35" t="n"/>
      <c r="C2048" s="35" t="n"/>
      <c r="D2048" s="35" t="n"/>
      <c r="E2048" s="35" t="n"/>
      <c r="F2048" s="36" t="n"/>
      <c r="G2048" s="35" t="n"/>
      <c r="H2048" s="30">
        <f>IF(L2048="","",INDEX(SkiftNavn,L2048))</f>
        <v/>
      </c>
      <c r="I2048" s="30">
        <f>IF(OR(A2048="",L2048=""),"",IF(MOD(A2048-INDEX(SkiftStart,L2048),Syklus)&lt;DagK,"Kveld",IF(MOD(A2048-INDEX(SkiftStart,L2048),Syklus)&lt;DagK+DagH,"Helg",IF(MOD(A2048-INDEX(SkiftStart,L2048),Syklus)&lt;DagK+DagH+DagD,"Dag","Fri"))))</f>
        <v/>
      </c>
      <c r="J2048" s="30">
        <f>IF(I2048="Fri","Ja","")</f>
        <v/>
      </c>
      <c r="K2048" s="30">
        <f>IF(B2048="","",IF(L2048="","Ukjent tekniker",IF(ISNA(MATCH(C2048,Aktiviteter,0)),"Ukjent aktivitet",IF(AND(INDEX(AktRolle,MATCH(C2048,Aktiviteter,0))&amp;""&lt;&gt;"",ISERROR(SEARCH(INDEX(AktRolle,MATCH(C2048,Aktiviteter,0))&amp;"",INDEX(TekRoller,MATCH(B2048,Teknikere,0))))),"Mangler rollen "&amp;INDEX(AktRolle,MATCH(C2048,Aktiviteter,0))&amp;"",IF(AND(C2048="LMS",F2048&gt;0,OR(D2048="",E2048="")),"Mangler maskin eller arbeid",IF(AND(OR(C2048="LMS",C2048="Mod"),D2048&lt;&gt;""),IF(IFERROR(INDEX(MaskinStatus,MATCH(D2048,Maskiner,0)),"")="I dokk","","Maskinen er ikke i dokk"),""))))))</f>
        <v/>
      </c>
      <c r="L2048" s="2">
        <f>IF(B2048="","",IFERROR(INT((MATCH(B2048,Teknikere,0)-1)/18)+1,""))</f>
        <v/>
      </c>
      <c r="M2048" s="2">
        <f>IF(OR(A2048="",B2048=""),"",B2048&amp;"|"&amp;A2048)</f>
        <v/>
      </c>
      <c r="N2048" s="2">
        <f>IF(M2048="","",SUMIFS(TF_Timer,TF_Nokkel,M2048,TF_Akt,C2048))</f>
        <v/>
      </c>
      <c r="O2048" s="2">
        <f>IF(M2048="","",IF(AND(N2048=_xlfn.MAXIFS(TF_AktSum,TF_Nokkel,M2048),COUNTIFS(M$3:M2047,M2048,N$3:N2047,N2048)=0),M2048,""))</f>
        <v/>
      </c>
    </row>
    <row r="2049">
      <c r="A2049" s="34" t="n"/>
      <c r="B2049" s="35" t="n"/>
      <c r="C2049" s="35" t="n"/>
      <c r="D2049" s="35" t="n"/>
      <c r="E2049" s="35" t="n"/>
      <c r="F2049" s="36" t="n"/>
      <c r="G2049" s="35" t="n"/>
      <c r="H2049" s="30">
        <f>IF(L2049="","",INDEX(SkiftNavn,L2049))</f>
        <v/>
      </c>
      <c r="I2049" s="30">
        <f>IF(OR(A2049="",L2049=""),"",IF(MOD(A2049-INDEX(SkiftStart,L2049),Syklus)&lt;DagK,"Kveld",IF(MOD(A2049-INDEX(SkiftStart,L2049),Syklus)&lt;DagK+DagH,"Helg",IF(MOD(A2049-INDEX(SkiftStart,L2049),Syklus)&lt;DagK+DagH+DagD,"Dag","Fri"))))</f>
        <v/>
      </c>
      <c r="J2049" s="30">
        <f>IF(I2049="Fri","Ja","")</f>
        <v/>
      </c>
      <c r="K2049" s="30">
        <f>IF(B2049="","",IF(L2049="","Ukjent tekniker",IF(ISNA(MATCH(C2049,Aktiviteter,0)),"Ukjent aktivitet",IF(AND(INDEX(AktRolle,MATCH(C2049,Aktiviteter,0))&amp;""&lt;&gt;"",ISERROR(SEARCH(INDEX(AktRolle,MATCH(C2049,Aktiviteter,0))&amp;"",INDEX(TekRoller,MATCH(B2049,Teknikere,0))))),"Mangler rollen "&amp;INDEX(AktRolle,MATCH(C2049,Aktiviteter,0))&amp;"",IF(AND(C2049="LMS",F2049&gt;0,OR(D2049="",E2049="")),"Mangler maskin eller arbeid",IF(AND(OR(C2049="LMS",C2049="Mod"),D2049&lt;&gt;""),IF(IFERROR(INDEX(MaskinStatus,MATCH(D2049,Maskiner,0)),"")="I dokk","","Maskinen er ikke i dokk"),""))))))</f>
        <v/>
      </c>
      <c r="L2049" s="2">
        <f>IF(B2049="","",IFERROR(INT((MATCH(B2049,Teknikere,0)-1)/18)+1,""))</f>
        <v/>
      </c>
      <c r="M2049" s="2">
        <f>IF(OR(A2049="",B2049=""),"",B2049&amp;"|"&amp;A2049)</f>
        <v/>
      </c>
      <c r="N2049" s="2">
        <f>IF(M2049="","",SUMIFS(TF_Timer,TF_Nokkel,M2049,TF_Akt,C2049))</f>
        <v/>
      </c>
      <c r="O2049" s="2">
        <f>IF(M2049="","",IF(AND(N2049=_xlfn.MAXIFS(TF_AktSum,TF_Nokkel,M2049),COUNTIFS(M$3:M2048,M2049,N$3:N2048,N2049)=0),M2049,""))</f>
        <v/>
      </c>
    </row>
    <row r="2050">
      <c r="A2050" s="34" t="n"/>
      <c r="B2050" s="35" t="n"/>
      <c r="C2050" s="35" t="n"/>
      <c r="D2050" s="35" t="n"/>
      <c r="E2050" s="35" t="n"/>
      <c r="F2050" s="36" t="n"/>
      <c r="G2050" s="35" t="n"/>
      <c r="H2050" s="30">
        <f>IF(L2050="","",INDEX(SkiftNavn,L2050))</f>
        <v/>
      </c>
      <c r="I2050" s="30">
        <f>IF(OR(A2050="",L2050=""),"",IF(MOD(A2050-INDEX(SkiftStart,L2050),Syklus)&lt;DagK,"Kveld",IF(MOD(A2050-INDEX(SkiftStart,L2050),Syklus)&lt;DagK+DagH,"Helg",IF(MOD(A2050-INDEX(SkiftStart,L2050),Syklus)&lt;DagK+DagH+DagD,"Dag","Fri"))))</f>
        <v/>
      </c>
      <c r="J2050" s="30">
        <f>IF(I2050="Fri","Ja","")</f>
        <v/>
      </c>
      <c r="K2050" s="30">
        <f>IF(B2050="","",IF(L2050="","Ukjent tekniker",IF(ISNA(MATCH(C2050,Aktiviteter,0)),"Ukjent aktivitet",IF(AND(INDEX(AktRolle,MATCH(C2050,Aktiviteter,0))&amp;""&lt;&gt;"",ISERROR(SEARCH(INDEX(AktRolle,MATCH(C2050,Aktiviteter,0))&amp;"",INDEX(TekRoller,MATCH(B2050,Teknikere,0))))),"Mangler rollen "&amp;INDEX(AktRolle,MATCH(C2050,Aktiviteter,0))&amp;"",IF(AND(C2050="LMS",F2050&gt;0,OR(D2050="",E2050="")),"Mangler maskin eller arbeid",IF(AND(OR(C2050="LMS",C2050="Mod"),D2050&lt;&gt;""),IF(IFERROR(INDEX(MaskinStatus,MATCH(D2050,Maskiner,0)),"")="I dokk","","Maskinen er ikke i dokk"),""))))))</f>
        <v/>
      </c>
      <c r="L2050" s="2">
        <f>IF(B2050="","",IFERROR(INT((MATCH(B2050,Teknikere,0)-1)/18)+1,""))</f>
        <v/>
      </c>
      <c r="M2050" s="2">
        <f>IF(OR(A2050="",B2050=""),"",B2050&amp;"|"&amp;A2050)</f>
        <v/>
      </c>
      <c r="N2050" s="2">
        <f>IF(M2050="","",SUMIFS(TF_Timer,TF_Nokkel,M2050,TF_Akt,C2050))</f>
        <v/>
      </c>
      <c r="O2050" s="2">
        <f>IF(M2050="","",IF(AND(N2050=_xlfn.MAXIFS(TF_AktSum,TF_Nokkel,M2050),COUNTIFS(M$3:M2049,M2050,N$3:N2049,N2050)=0),M2050,""))</f>
        <v/>
      </c>
    </row>
    <row r="2051">
      <c r="A2051" s="34" t="n"/>
      <c r="B2051" s="35" t="n"/>
      <c r="C2051" s="35" t="n"/>
      <c r="D2051" s="35" t="n"/>
      <c r="E2051" s="35" t="n"/>
      <c r="F2051" s="36" t="n"/>
      <c r="G2051" s="35" t="n"/>
      <c r="H2051" s="30">
        <f>IF(L2051="","",INDEX(SkiftNavn,L2051))</f>
        <v/>
      </c>
      <c r="I2051" s="30">
        <f>IF(OR(A2051="",L2051=""),"",IF(MOD(A2051-INDEX(SkiftStart,L2051),Syklus)&lt;DagK,"Kveld",IF(MOD(A2051-INDEX(SkiftStart,L2051),Syklus)&lt;DagK+DagH,"Helg",IF(MOD(A2051-INDEX(SkiftStart,L2051),Syklus)&lt;DagK+DagH+DagD,"Dag","Fri"))))</f>
        <v/>
      </c>
      <c r="J2051" s="30">
        <f>IF(I2051="Fri","Ja","")</f>
        <v/>
      </c>
      <c r="K2051" s="30">
        <f>IF(B2051="","",IF(L2051="","Ukjent tekniker",IF(ISNA(MATCH(C2051,Aktiviteter,0)),"Ukjent aktivitet",IF(AND(INDEX(AktRolle,MATCH(C2051,Aktiviteter,0))&amp;""&lt;&gt;"",ISERROR(SEARCH(INDEX(AktRolle,MATCH(C2051,Aktiviteter,0))&amp;"",INDEX(TekRoller,MATCH(B2051,Teknikere,0))))),"Mangler rollen "&amp;INDEX(AktRolle,MATCH(C2051,Aktiviteter,0))&amp;"",IF(AND(C2051="LMS",F2051&gt;0,OR(D2051="",E2051="")),"Mangler maskin eller arbeid",IF(AND(OR(C2051="LMS",C2051="Mod"),D2051&lt;&gt;""),IF(IFERROR(INDEX(MaskinStatus,MATCH(D2051,Maskiner,0)),"")="I dokk","","Maskinen er ikke i dokk"),""))))))</f>
        <v/>
      </c>
      <c r="L2051" s="2">
        <f>IF(B2051="","",IFERROR(INT((MATCH(B2051,Teknikere,0)-1)/18)+1,""))</f>
        <v/>
      </c>
      <c r="M2051" s="2">
        <f>IF(OR(A2051="",B2051=""),"",B2051&amp;"|"&amp;A2051)</f>
        <v/>
      </c>
      <c r="N2051" s="2">
        <f>IF(M2051="","",SUMIFS(TF_Timer,TF_Nokkel,M2051,TF_Akt,C2051))</f>
        <v/>
      </c>
      <c r="O2051" s="2">
        <f>IF(M2051="","",IF(AND(N2051=_xlfn.MAXIFS(TF_AktSum,TF_Nokkel,M2051),COUNTIFS(M$3:M2050,M2051,N$3:N2050,N2051)=0),M2051,""))</f>
        <v/>
      </c>
    </row>
    <row r="2052">
      <c r="A2052" s="34" t="n"/>
      <c r="B2052" s="35" t="n"/>
      <c r="C2052" s="35" t="n"/>
      <c r="D2052" s="35" t="n"/>
      <c r="E2052" s="35" t="n"/>
      <c r="F2052" s="36" t="n"/>
      <c r="G2052" s="35" t="n"/>
      <c r="H2052" s="30">
        <f>IF(L2052="","",INDEX(SkiftNavn,L2052))</f>
        <v/>
      </c>
      <c r="I2052" s="30">
        <f>IF(OR(A2052="",L2052=""),"",IF(MOD(A2052-INDEX(SkiftStart,L2052),Syklus)&lt;DagK,"Kveld",IF(MOD(A2052-INDEX(SkiftStart,L2052),Syklus)&lt;DagK+DagH,"Helg",IF(MOD(A2052-INDEX(SkiftStart,L2052),Syklus)&lt;DagK+DagH+DagD,"Dag","Fri"))))</f>
        <v/>
      </c>
      <c r="J2052" s="30">
        <f>IF(I2052="Fri","Ja","")</f>
        <v/>
      </c>
      <c r="K2052" s="30">
        <f>IF(B2052="","",IF(L2052="","Ukjent tekniker",IF(ISNA(MATCH(C2052,Aktiviteter,0)),"Ukjent aktivitet",IF(AND(INDEX(AktRolle,MATCH(C2052,Aktiviteter,0))&amp;""&lt;&gt;"",ISERROR(SEARCH(INDEX(AktRolle,MATCH(C2052,Aktiviteter,0))&amp;"",INDEX(TekRoller,MATCH(B2052,Teknikere,0))))),"Mangler rollen "&amp;INDEX(AktRolle,MATCH(C2052,Aktiviteter,0))&amp;"",IF(AND(C2052="LMS",F2052&gt;0,OR(D2052="",E2052="")),"Mangler maskin eller arbeid",IF(AND(OR(C2052="LMS",C2052="Mod"),D2052&lt;&gt;""),IF(IFERROR(INDEX(MaskinStatus,MATCH(D2052,Maskiner,0)),"")="I dokk","","Maskinen er ikke i dokk"),""))))))</f>
        <v/>
      </c>
      <c r="L2052" s="2">
        <f>IF(B2052="","",IFERROR(INT((MATCH(B2052,Teknikere,0)-1)/18)+1,""))</f>
        <v/>
      </c>
      <c r="M2052" s="2">
        <f>IF(OR(A2052="",B2052=""),"",B2052&amp;"|"&amp;A2052)</f>
        <v/>
      </c>
      <c r="N2052" s="2">
        <f>IF(M2052="","",SUMIFS(TF_Timer,TF_Nokkel,M2052,TF_Akt,C2052))</f>
        <v/>
      </c>
      <c r="O2052" s="2">
        <f>IF(M2052="","",IF(AND(N2052=_xlfn.MAXIFS(TF_AktSum,TF_Nokkel,M2052),COUNTIFS(M$3:M2051,M2052,N$3:N2051,N2052)=0),M2052,""))</f>
        <v/>
      </c>
    </row>
    <row r="2053">
      <c r="A2053" s="34" t="n"/>
      <c r="B2053" s="35" t="n"/>
      <c r="C2053" s="35" t="n"/>
      <c r="D2053" s="35" t="n"/>
      <c r="E2053" s="35" t="n"/>
      <c r="F2053" s="36" t="n"/>
      <c r="G2053" s="35" t="n"/>
      <c r="H2053" s="30">
        <f>IF(L2053="","",INDEX(SkiftNavn,L2053))</f>
        <v/>
      </c>
      <c r="I2053" s="30">
        <f>IF(OR(A2053="",L2053=""),"",IF(MOD(A2053-INDEX(SkiftStart,L2053),Syklus)&lt;DagK,"Kveld",IF(MOD(A2053-INDEX(SkiftStart,L2053),Syklus)&lt;DagK+DagH,"Helg",IF(MOD(A2053-INDEX(SkiftStart,L2053),Syklus)&lt;DagK+DagH+DagD,"Dag","Fri"))))</f>
        <v/>
      </c>
      <c r="J2053" s="30">
        <f>IF(I2053="Fri","Ja","")</f>
        <v/>
      </c>
      <c r="K2053" s="30">
        <f>IF(B2053="","",IF(L2053="","Ukjent tekniker",IF(ISNA(MATCH(C2053,Aktiviteter,0)),"Ukjent aktivitet",IF(AND(INDEX(AktRolle,MATCH(C2053,Aktiviteter,0))&amp;""&lt;&gt;"",ISERROR(SEARCH(INDEX(AktRolle,MATCH(C2053,Aktiviteter,0))&amp;"",INDEX(TekRoller,MATCH(B2053,Teknikere,0))))),"Mangler rollen "&amp;INDEX(AktRolle,MATCH(C2053,Aktiviteter,0))&amp;"",IF(AND(C2053="LMS",F2053&gt;0,OR(D2053="",E2053="")),"Mangler maskin eller arbeid",IF(AND(OR(C2053="LMS",C2053="Mod"),D2053&lt;&gt;""),IF(IFERROR(INDEX(MaskinStatus,MATCH(D2053,Maskiner,0)),"")="I dokk","","Maskinen er ikke i dokk"),""))))))</f>
        <v/>
      </c>
      <c r="L2053" s="2">
        <f>IF(B2053="","",IFERROR(INT((MATCH(B2053,Teknikere,0)-1)/18)+1,""))</f>
        <v/>
      </c>
      <c r="M2053" s="2">
        <f>IF(OR(A2053="",B2053=""),"",B2053&amp;"|"&amp;A2053)</f>
        <v/>
      </c>
      <c r="N2053" s="2">
        <f>IF(M2053="","",SUMIFS(TF_Timer,TF_Nokkel,M2053,TF_Akt,C2053))</f>
        <v/>
      </c>
      <c r="O2053" s="2">
        <f>IF(M2053="","",IF(AND(N2053=_xlfn.MAXIFS(TF_AktSum,TF_Nokkel,M2053),COUNTIFS(M$3:M2052,M2053,N$3:N2052,N2053)=0),M2053,""))</f>
        <v/>
      </c>
    </row>
    <row r="2054">
      <c r="A2054" s="34" t="n"/>
      <c r="B2054" s="35" t="n"/>
      <c r="C2054" s="35" t="n"/>
      <c r="D2054" s="35" t="n"/>
      <c r="E2054" s="35" t="n"/>
      <c r="F2054" s="36" t="n"/>
      <c r="G2054" s="35" t="n"/>
      <c r="H2054" s="30">
        <f>IF(L2054="","",INDEX(SkiftNavn,L2054))</f>
        <v/>
      </c>
      <c r="I2054" s="30">
        <f>IF(OR(A2054="",L2054=""),"",IF(MOD(A2054-INDEX(SkiftStart,L2054),Syklus)&lt;DagK,"Kveld",IF(MOD(A2054-INDEX(SkiftStart,L2054),Syklus)&lt;DagK+DagH,"Helg",IF(MOD(A2054-INDEX(SkiftStart,L2054),Syklus)&lt;DagK+DagH+DagD,"Dag","Fri"))))</f>
        <v/>
      </c>
      <c r="J2054" s="30">
        <f>IF(I2054="Fri","Ja","")</f>
        <v/>
      </c>
      <c r="K2054" s="30">
        <f>IF(B2054="","",IF(L2054="","Ukjent tekniker",IF(ISNA(MATCH(C2054,Aktiviteter,0)),"Ukjent aktivitet",IF(AND(INDEX(AktRolle,MATCH(C2054,Aktiviteter,0))&amp;""&lt;&gt;"",ISERROR(SEARCH(INDEX(AktRolle,MATCH(C2054,Aktiviteter,0))&amp;"",INDEX(TekRoller,MATCH(B2054,Teknikere,0))))),"Mangler rollen "&amp;INDEX(AktRolle,MATCH(C2054,Aktiviteter,0))&amp;"",IF(AND(C2054="LMS",F2054&gt;0,OR(D2054="",E2054="")),"Mangler maskin eller arbeid",IF(AND(OR(C2054="LMS",C2054="Mod"),D2054&lt;&gt;""),IF(IFERROR(INDEX(MaskinStatus,MATCH(D2054,Maskiner,0)),"")="I dokk","","Maskinen er ikke i dokk"),""))))))</f>
        <v/>
      </c>
      <c r="L2054" s="2">
        <f>IF(B2054="","",IFERROR(INT((MATCH(B2054,Teknikere,0)-1)/18)+1,""))</f>
        <v/>
      </c>
      <c r="M2054" s="2">
        <f>IF(OR(A2054="",B2054=""),"",B2054&amp;"|"&amp;A2054)</f>
        <v/>
      </c>
      <c r="N2054" s="2">
        <f>IF(M2054="","",SUMIFS(TF_Timer,TF_Nokkel,M2054,TF_Akt,C2054))</f>
        <v/>
      </c>
      <c r="O2054" s="2">
        <f>IF(M2054="","",IF(AND(N2054=_xlfn.MAXIFS(TF_AktSum,TF_Nokkel,M2054),COUNTIFS(M$3:M2053,M2054,N$3:N2053,N2054)=0),M2054,""))</f>
        <v/>
      </c>
    </row>
    <row r="2055">
      <c r="A2055" s="34" t="n"/>
      <c r="B2055" s="35" t="n"/>
      <c r="C2055" s="35" t="n"/>
      <c r="D2055" s="35" t="n"/>
      <c r="E2055" s="35" t="n"/>
      <c r="F2055" s="36" t="n"/>
      <c r="G2055" s="35" t="n"/>
      <c r="H2055" s="30">
        <f>IF(L2055="","",INDEX(SkiftNavn,L2055))</f>
        <v/>
      </c>
      <c r="I2055" s="30">
        <f>IF(OR(A2055="",L2055=""),"",IF(MOD(A2055-INDEX(SkiftStart,L2055),Syklus)&lt;DagK,"Kveld",IF(MOD(A2055-INDEX(SkiftStart,L2055),Syklus)&lt;DagK+DagH,"Helg",IF(MOD(A2055-INDEX(SkiftStart,L2055),Syklus)&lt;DagK+DagH+DagD,"Dag","Fri"))))</f>
        <v/>
      </c>
      <c r="J2055" s="30">
        <f>IF(I2055="Fri","Ja","")</f>
        <v/>
      </c>
      <c r="K2055" s="30">
        <f>IF(B2055="","",IF(L2055="","Ukjent tekniker",IF(ISNA(MATCH(C2055,Aktiviteter,0)),"Ukjent aktivitet",IF(AND(INDEX(AktRolle,MATCH(C2055,Aktiviteter,0))&amp;""&lt;&gt;"",ISERROR(SEARCH(INDEX(AktRolle,MATCH(C2055,Aktiviteter,0))&amp;"",INDEX(TekRoller,MATCH(B2055,Teknikere,0))))),"Mangler rollen "&amp;INDEX(AktRolle,MATCH(C2055,Aktiviteter,0))&amp;"",IF(AND(C2055="LMS",F2055&gt;0,OR(D2055="",E2055="")),"Mangler maskin eller arbeid",IF(AND(OR(C2055="LMS",C2055="Mod"),D2055&lt;&gt;""),IF(IFERROR(INDEX(MaskinStatus,MATCH(D2055,Maskiner,0)),"")="I dokk","","Maskinen er ikke i dokk"),""))))))</f>
        <v/>
      </c>
      <c r="L2055" s="2">
        <f>IF(B2055="","",IFERROR(INT((MATCH(B2055,Teknikere,0)-1)/18)+1,""))</f>
        <v/>
      </c>
      <c r="M2055" s="2">
        <f>IF(OR(A2055="",B2055=""),"",B2055&amp;"|"&amp;A2055)</f>
        <v/>
      </c>
      <c r="N2055" s="2">
        <f>IF(M2055="","",SUMIFS(TF_Timer,TF_Nokkel,M2055,TF_Akt,C2055))</f>
        <v/>
      </c>
      <c r="O2055" s="2">
        <f>IF(M2055="","",IF(AND(N2055=_xlfn.MAXIFS(TF_AktSum,TF_Nokkel,M2055),COUNTIFS(M$3:M2054,M2055,N$3:N2054,N2055)=0),M2055,""))</f>
        <v/>
      </c>
    </row>
    <row r="2056">
      <c r="A2056" s="34" t="n"/>
      <c r="B2056" s="35" t="n"/>
      <c r="C2056" s="35" t="n"/>
      <c r="D2056" s="35" t="n"/>
      <c r="E2056" s="35" t="n"/>
      <c r="F2056" s="36" t="n"/>
      <c r="G2056" s="35" t="n"/>
      <c r="H2056" s="30">
        <f>IF(L2056="","",INDEX(SkiftNavn,L2056))</f>
        <v/>
      </c>
      <c r="I2056" s="30">
        <f>IF(OR(A2056="",L2056=""),"",IF(MOD(A2056-INDEX(SkiftStart,L2056),Syklus)&lt;DagK,"Kveld",IF(MOD(A2056-INDEX(SkiftStart,L2056),Syklus)&lt;DagK+DagH,"Helg",IF(MOD(A2056-INDEX(SkiftStart,L2056),Syklus)&lt;DagK+DagH+DagD,"Dag","Fri"))))</f>
        <v/>
      </c>
      <c r="J2056" s="30">
        <f>IF(I2056="Fri","Ja","")</f>
        <v/>
      </c>
      <c r="K2056" s="30">
        <f>IF(B2056="","",IF(L2056="","Ukjent tekniker",IF(ISNA(MATCH(C2056,Aktiviteter,0)),"Ukjent aktivitet",IF(AND(INDEX(AktRolle,MATCH(C2056,Aktiviteter,0))&amp;""&lt;&gt;"",ISERROR(SEARCH(INDEX(AktRolle,MATCH(C2056,Aktiviteter,0))&amp;"",INDEX(TekRoller,MATCH(B2056,Teknikere,0))))),"Mangler rollen "&amp;INDEX(AktRolle,MATCH(C2056,Aktiviteter,0))&amp;"",IF(AND(C2056="LMS",F2056&gt;0,OR(D2056="",E2056="")),"Mangler maskin eller arbeid",IF(AND(OR(C2056="LMS",C2056="Mod"),D2056&lt;&gt;""),IF(IFERROR(INDEX(MaskinStatus,MATCH(D2056,Maskiner,0)),"")="I dokk","","Maskinen er ikke i dokk"),""))))))</f>
        <v/>
      </c>
      <c r="L2056" s="2">
        <f>IF(B2056="","",IFERROR(INT((MATCH(B2056,Teknikere,0)-1)/18)+1,""))</f>
        <v/>
      </c>
      <c r="M2056" s="2">
        <f>IF(OR(A2056="",B2056=""),"",B2056&amp;"|"&amp;A2056)</f>
        <v/>
      </c>
      <c r="N2056" s="2">
        <f>IF(M2056="","",SUMIFS(TF_Timer,TF_Nokkel,M2056,TF_Akt,C2056))</f>
        <v/>
      </c>
      <c r="O2056" s="2">
        <f>IF(M2056="","",IF(AND(N2056=_xlfn.MAXIFS(TF_AktSum,TF_Nokkel,M2056),COUNTIFS(M$3:M2055,M2056,N$3:N2055,N2056)=0),M2056,""))</f>
        <v/>
      </c>
    </row>
    <row r="2057">
      <c r="A2057" s="34" t="n"/>
      <c r="B2057" s="35" t="n"/>
      <c r="C2057" s="35" t="n"/>
      <c r="D2057" s="35" t="n"/>
      <c r="E2057" s="35" t="n"/>
      <c r="F2057" s="36" t="n"/>
      <c r="G2057" s="35" t="n"/>
      <c r="H2057" s="30">
        <f>IF(L2057="","",INDEX(SkiftNavn,L2057))</f>
        <v/>
      </c>
      <c r="I2057" s="30">
        <f>IF(OR(A2057="",L2057=""),"",IF(MOD(A2057-INDEX(SkiftStart,L2057),Syklus)&lt;DagK,"Kveld",IF(MOD(A2057-INDEX(SkiftStart,L2057),Syklus)&lt;DagK+DagH,"Helg",IF(MOD(A2057-INDEX(SkiftStart,L2057),Syklus)&lt;DagK+DagH+DagD,"Dag","Fri"))))</f>
        <v/>
      </c>
      <c r="J2057" s="30">
        <f>IF(I2057="Fri","Ja","")</f>
        <v/>
      </c>
      <c r="K2057" s="30">
        <f>IF(B2057="","",IF(L2057="","Ukjent tekniker",IF(ISNA(MATCH(C2057,Aktiviteter,0)),"Ukjent aktivitet",IF(AND(INDEX(AktRolle,MATCH(C2057,Aktiviteter,0))&amp;""&lt;&gt;"",ISERROR(SEARCH(INDEX(AktRolle,MATCH(C2057,Aktiviteter,0))&amp;"",INDEX(TekRoller,MATCH(B2057,Teknikere,0))))),"Mangler rollen "&amp;INDEX(AktRolle,MATCH(C2057,Aktiviteter,0))&amp;"",IF(AND(C2057="LMS",F2057&gt;0,OR(D2057="",E2057="")),"Mangler maskin eller arbeid",IF(AND(OR(C2057="LMS",C2057="Mod"),D2057&lt;&gt;""),IF(IFERROR(INDEX(MaskinStatus,MATCH(D2057,Maskiner,0)),"")="I dokk","","Maskinen er ikke i dokk"),""))))))</f>
        <v/>
      </c>
      <c r="L2057" s="2">
        <f>IF(B2057="","",IFERROR(INT((MATCH(B2057,Teknikere,0)-1)/18)+1,""))</f>
        <v/>
      </c>
      <c r="M2057" s="2">
        <f>IF(OR(A2057="",B2057=""),"",B2057&amp;"|"&amp;A2057)</f>
        <v/>
      </c>
      <c r="N2057" s="2">
        <f>IF(M2057="","",SUMIFS(TF_Timer,TF_Nokkel,M2057,TF_Akt,C2057))</f>
        <v/>
      </c>
      <c r="O2057" s="2">
        <f>IF(M2057="","",IF(AND(N2057=_xlfn.MAXIFS(TF_AktSum,TF_Nokkel,M2057),COUNTIFS(M$3:M2056,M2057,N$3:N2056,N2057)=0),M2057,""))</f>
        <v/>
      </c>
    </row>
    <row r="2058">
      <c r="A2058" s="34" t="n"/>
      <c r="B2058" s="35" t="n"/>
      <c r="C2058" s="35" t="n"/>
      <c r="D2058" s="35" t="n"/>
      <c r="E2058" s="35" t="n"/>
      <c r="F2058" s="36" t="n"/>
      <c r="G2058" s="35" t="n"/>
      <c r="H2058" s="30">
        <f>IF(L2058="","",INDEX(SkiftNavn,L2058))</f>
        <v/>
      </c>
      <c r="I2058" s="30">
        <f>IF(OR(A2058="",L2058=""),"",IF(MOD(A2058-INDEX(SkiftStart,L2058),Syklus)&lt;DagK,"Kveld",IF(MOD(A2058-INDEX(SkiftStart,L2058),Syklus)&lt;DagK+DagH,"Helg",IF(MOD(A2058-INDEX(SkiftStart,L2058),Syklus)&lt;DagK+DagH+DagD,"Dag","Fri"))))</f>
        <v/>
      </c>
      <c r="J2058" s="30">
        <f>IF(I2058="Fri","Ja","")</f>
        <v/>
      </c>
      <c r="K2058" s="30">
        <f>IF(B2058="","",IF(L2058="","Ukjent tekniker",IF(ISNA(MATCH(C2058,Aktiviteter,0)),"Ukjent aktivitet",IF(AND(INDEX(AktRolle,MATCH(C2058,Aktiviteter,0))&amp;""&lt;&gt;"",ISERROR(SEARCH(INDEX(AktRolle,MATCH(C2058,Aktiviteter,0))&amp;"",INDEX(TekRoller,MATCH(B2058,Teknikere,0))))),"Mangler rollen "&amp;INDEX(AktRolle,MATCH(C2058,Aktiviteter,0))&amp;"",IF(AND(C2058="LMS",F2058&gt;0,OR(D2058="",E2058="")),"Mangler maskin eller arbeid",IF(AND(OR(C2058="LMS",C2058="Mod"),D2058&lt;&gt;""),IF(IFERROR(INDEX(MaskinStatus,MATCH(D2058,Maskiner,0)),"")="I dokk","","Maskinen er ikke i dokk"),""))))))</f>
        <v/>
      </c>
      <c r="L2058" s="2">
        <f>IF(B2058="","",IFERROR(INT((MATCH(B2058,Teknikere,0)-1)/18)+1,""))</f>
        <v/>
      </c>
      <c r="M2058" s="2">
        <f>IF(OR(A2058="",B2058=""),"",B2058&amp;"|"&amp;A2058)</f>
        <v/>
      </c>
      <c r="N2058" s="2">
        <f>IF(M2058="","",SUMIFS(TF_Timer,TF_Nokkel,M2058,TF_Akt,C2058))</f>
        <v/>
      </c>
      <c r="O2058" s="2">
        <f>IF(M2058="","",IF(AND(N2058=_xlfn.MAXIFS(TF_AktSum,TF_Nokkel,M2058),COUNTIFS(M$3:M2057,M2058,N$3:N2057,N2058)=0),M2058,""))</f>
        <v/>
      </c>
    </row>
    <row r="2059">
      <c r="A2059" s="34" t="n"/>
      <c r="B2059" s="35" t="n"/>
      <c r="C2059" s="35" t="n"/>
      <c r="D2059" s="35" t="n"/>
      <c r="E2059" s="35" t="n"/>
      <c r="F2059" s="36" t="n"/>
      <c r="G2059" s="35" t="n"/>
      <c r="H2059" s="30">
        <f>IF(L2059="","",INDEX(SkiftNavn,L2059))</f>
        <v/>
      </c>
      <c r="I2059" s="30">
        <f>IF(OR(A2059="",L2059=""),"",IF(MOD(A2059-INDEX(SkiftStart,L2059),Syklus)&lt;DagK,"Kveld",IF(MOD(A2059-INDEX(SkiftStart,L2059),Syklus)&lt;DagK+DagH,"Helg",IF(MOD(A2059-INDEX(SkiftStart,L2059),Syklus)&lt;DagK+DagH+DagD,"Dag","Fri"))))</f>
        <v/>
      </c>
      <c r="J2059" s="30">
        <f>IF(I2059="Fri","Ja","")</f>
        <v/>
      </c>
      <c r="K2059" s="30">
        <f>IF(B2059="","",IF(L2059="","Ukjent tekniker",IF(ISNA(MATCH(C2059,Aktiviteter,0)),"Ukjent aktivitet",IF(AND(INDEX(AktRolle,MATCH(C2059,Aktiviteter,0))&amp;""&lt;&gt;"",ISERROR(SEARCH(INDEX(AktRolle,MATCH(C2059,Aktiviteter,0))&amp;"",INDEX(TekRoller,MATCH(B2059,Teknikere,0))))),"Mangler rollen "&amp;INDEX(AktRolle,MATCH(C2059,Aktiviteter,0))&amp;"",IF(AND(C2059="LMS",F2059&gt;0,OR(D2059="",E2059="")),"Mangler maskin eller arbeid",IF(AND(OR(C2059="LMS",C2059="Mod"),D2059&lt;&gt;""),IF(IFERROR(INDEX(MaskinStatus,MATCH(D2059,Maskiner,0)),"")="I dokk","","Maskinen er ikke i dokk"),""))))))</f>
        <v/>
      </c>
      <c r="L2059" s="2">
        <f>IF(B2059="","",IFERROR(INT((MATCH(B2059,Teknikere,0)-1)/18)+1,""))</f>
        <v/>
      </c>
      <c r="M2059" s="2">
        <f>IF(OR(A2059="",B2059=""),"",B2059&amp;"|"&amp;A2059)</f>
        <v/>
      </c>
      <c r="N2059" s="2">
        <f>IF(M2059="","",SUMIFS(TF_Timer,TF_Nokkel,M2059,TF_Akt,C2059))</f>
        <v/>
      </c>
      <c r="O2059" s="2">
        <f>IF(M2059="","",IF(AND(N2059=_xlfn.MAXIFS(TF_AktSum,TF_Nokkel,M2059),COUNTIFS(M$3:M2058,M2059,N$3:N2058,N2059)=0),M2059,""))</f>
        <v/>
      </c>
    </row>
    <row r="2060">
      <c r="A2060" s="34" t="n"/>
      <c r="B2060" s="35" t="n"/>
      <c r="C2060" s="35" t="n"/>
      <c r="D2060" s="35" t="n"/>
      <c r="E2060" s="35" t="n"/>
      <c r="F2060" s="36" t="n"/>
      <c r="G2060" s="35" t="n"/>
      <c r="H2060" s="30">
        <f>IF(L2060="","",INDEX(SkiftNavn,L2060))</f>
        <v/>
      </c>
      <c r="I2060" s="30">
        <f>IF(OR(A2060="",L2060=""),"",IF(MOD(A2060-INDEX(SkiftStart,L2060),Syklus)&lt;DagK,"Kveld",IF(MOD(A2060-INDEX(SkiftStart,L2060),Syklus)&lt;DagK+DagH,"Helg",IF(MOD(A2060-INDEX(SkiftStart,L2060),Syklus)&lt;DagK+DagH+DagD,"Dag","Fri"))))</f>
        <v/>
      </c>
      <c r="J2060" s="30">
        <f>IF(I2060="Fri","Ja","")</f>
        <v/>
      </c>
      <c r="K2060" s="30">
        <f>IF(B2060="","",IF(L2060="","Ukjent tekniker",IF(ISNA(MATCH(C2060,Aktiviteter,0)),"Ukjent aktivitet",IF(AND(INDEX(AktRolle,MATCH(C2060,Aktiviteter,0))&amp;""&lt;&gt;"",ISERROR(SEARCH(INDEX(AktRolle,MATCH(C2060,Aktiviteter,0))&amp;"",INDEX(TekRoller,MATCH(B2060,Teknikere,0))))),"Mangler rollen "&amp;INDEX(AktRolle,MATCH(C2060,Aktiviteter,0))&amp;"",IF(AND(C2060="LMS",F2060&gt;0,OR(D2060="",E2060="")),"Mangler maskin eller arbeid",IF(AND(OR(C2060="LMS",C2060="Mod"),D2060&lt;&gt;""),IF(IFERROR(INDEX(MaskinStatus,MATCH(D2060,Maskiner,0)),"")="I dokk","","Maskinen er ikke i dokk"),""))))))</f>
        <v/>
      </c>
      <c r="L2060" s="2">
        <f>IF(B2060="","",IFERROR(INT((MATCH(B2060,Teknikere,0)-1)/18)+1,""))</f>
        <v/>
      </c>
      <c r="M2060" s="2">
        <f>IF(OR(A2060="",B2060=""),"",B2060&amp;"|"&amp;A2060)</f>
        <v/>
      </c>
      <c r="N2060" s="2">
        <f>IF(M2060="","",SUMIFS(TF_Timer,TF_Nokkel,M2060,TF_Akt,C2060))</f>
        <v/>
      </c>
      <c r="O2060" s="2">
        <f>IF(M2060="","",IF(AND(N2060=_xlfn.MAXIFS(TF_AktSum,TF_Nokkel,M2060),COUNTIFS(M$3:M2059,M2060,N$3:N2059,N2060)=0),M2060,""))</f>
        <v/>
      </c>
    </row>
    <row r="2061">
      <c r="A2061" s="34" t="n"/>
      <c r="B2061" s="35" t="n"/>
      <c r="C2061" s="35" t="n"/>
      <c r="D2061" s="35" t="n"/>
      <c r="E2061" s="35" t="n"/>
      <c r="F2061" s="36" t="n"/>
      <c r="G2061" s="35" t="n"/>
      <c r="H2061" s="30">
        <f>IF(L2061="","",INDEX(SkiftNavn,L2061))</f>
        <v/>
      </c>
      <c r="I2061" s="30">
        <f>IF(OR(A2061="",L2061=""),"",IF(MOD(A2061-INDEX(SkiftStart,L2061),Syklus)&lt;DagK,"Kveld",IF(MOD(A2061-INDEX(SkiftStart,L2061),Syklus)&lt;DagK+DagH,"Helg",IF(MOD(A2061-INDEX(SkiftStart,L2061),Syklus)&lt;DagK+DagH+DagD,"Dag","Fri"))))</f>
        <v/>
      </c>
      <c r="J2061" s="30">
        <f>IF(I2061="Fri","Ja","")</f>
        <v/>
      </c>
      <c r="K2061" s="30">
        <f>IF(B2061="","",IF(L2061="","Ukjent tekniker",IF(ISNA(MATCH(C2061,Aktiviteter,0)),"Ukjent aktivitet",IF(AND(INDEX(AktRolle,MATCH(C2061,Aktiviteter,0))&amp;""&lt;&gt;"",ISERROR(SEARCH(INDEX(AktRolle,MATCH(C2061,Aktiviteter,0))&amp;"",INDEX(TekRoller,MATCH(B2061,Teknikere,0))))),"Mangler rollen "&amp;INDEX(AktRolle,MATCH(C2061,Aktiviteter,0))&amp;"",IF(AND(C2061="LMS",F2061&gt;0,OR(D2061="",E2061="")),"Mangler maskin eller arbeid",IF(AND(OR(C2061="LMS",C2061="Mod"),D2061&lt;&gt;""),IF(IFERROR(INDEX(MaskinStatus,MATCH(D2061,Maskiner,0)),"")="I dokk","","Maskinen er ikke i dokk"),""))))))</f>
        <v/>
      </c>
      <c r="L2061" s="2">
        <f>IF(B2061="","",IFERROR(INT((MATCH(B2061,Teknikere,0)-1)/18)+1,""))</f>
        <v/>
      </c>
      <c r="M2061" s="2">
        <f>IF(OR(A2061="",B2061=""),"",B2061&amp;"|"&amp;A2061)</f>
        <v/>
      </c>
      <c r="N2061" s="2">
        <f>IF(M2061="","",SUMIFS(TF_Timer,TF_Nokkel,M2061,TF_Akt,C2061))</f>
        <v/>
      </c>
      <c r="O2061" s="2">
        <f>IF(M2061="","",IF(AND(N2061=_xlfn.MAXIFS(TF_AktSum,TF_Nokkel,M2061),COUNTIFS(M$3:M2060,M2061,N$3:N2060,N2061)=0),M2061,""))</f>
        <v/>
      </c>
    </row>
    <row r="2062">
      <c r="A2062" s="34" t="n"/>
      <c r="B2062" s="35" t="n"/>
      <c r="C2062" s="35" t="n"/>
      <c r="D2062" s="35" t="n"/>
      <c r="E2062" s="35" t="n"/>
      <c r="F2062" s="36" t="n"/>
      <c r="G2062" s="35" t="n"/>
      <c r="H2062" s="30">
        <f>IF(L2062="","",INDEX(SkiftNavn,L2062))</f>
        <v/>
      </c>
      <c r="I2062" s="30">
        <f>IF(OR(A2062="",L2062=""),"",IF(MOD(A2062-INDEX(SkiftStart,L2062),Syklus)&lt;DagK,"Kveld",IF(MOD(A2062-INDEX(SkiftStart,L2062),Syklus)&lt;DagK+DagH,"Helg",IF(MOD(A2062-INDEX(SkiftStart,L2062),Syklus)&lt;DagK+DagH+DagD,"Dag","Fri"))))</f>
        <v/>
      </c>
      <c r="J2062" s="30">
        <f>IF(I2062="Fri","Ja","")</f>
        <v/>
      </c>
      <c r="K2062" s="30">
        <f>IF(B2062="","",IF(L2062="","Ukjent tekniker",IF(ISNA(MATCH(C2062,Aktiviteter,0)),"Ukjent aktivitet",IF(AND(INDEX(AktRolle,MATCH(C2062,Aktiviteter,0))&amp;""&lt;&gt;"",ISERROR(SEARCH(INDEX(AktRolle,MATCH(C2062,Aktiviteter,0))&amp;"",INDEX(TekRoller,MATCH(B2062,Teknikere,0))))),"Mangler rollen "&amp;INDEX(AktRolle,MATCH(C2062,Aktiviteter,0))&amp;"",IF(AND(C2062="LMS",F2062&gt;0,OR(D2062="",E2062="")),"Mangler maskin eller arbeid",IF(AND(OR(C2062="LMS",C2062="Mod"),D2062&lt;&gt;""),IF(IFERROR(INDEX(MaskinStatus,MATCH(D2062,Maskiner,0)),"")="I dokk","","Maskinen er ikke i dokk"),""))))))</f>
        <v/>
      </c>
      <c r="L2062" s="2">
        <f>IF(B2062="","",IFERROR(INT((MATCH(B2062,Teknikere,0)-1)/18)+1,""))</f>
        <v/>
      </c>
      <c r="M2062" s="2">
        <f>IF(OR(A2062="",B2062=""),"",B2062&amp;"|"&amp;A2062)</f>
        <v/>
      </c>
      <c r="N2062" s="2">
        <f>IF(M2062="","",SUMIFS(TF_Timer,TF_Nokkel,M2062,TF_Akt,C2062))</f>
        <v/>
      </c>
      <c r="O2062" s="2">
        <f>IF(M2062="","",IF(AND(N2062=_xlfn.MAXIFS(TF_AktSum,TF_Nokkel,M2062),COUNTIFS(M$3:M2061,M2062,N$3:N2061,N2062)=0),M2062,""))</f>
        <v/>
      </c>
    </row>
    <row r="2063">
      <c r="A2063" s="34" t="n"/>
      <c r="B2063" s="35" t="n"/>
      <c r="C2063" s="35" t="n"/>
      <c r="D2063" s="35" t="n"/>
      <c r="E2063" s="35" t="n"/>
      <c r="F2063" s="36" t="n"/>
      <c r="G2063" s="35" t="n"/>
      <c r="H2063" s="30">
        <f>IF(L2063="","",INDEX(SkiftNavn,L2063))</f>
        <v/>
      </c>
      <c r="I2063" s="30">
        <f>IF(OR(A2063="",L2063=""),"",IF(MOD(A2063-INDEX(SkiftStart,L2063),Syklus)&lt;DagK,"Kveld",IF(MOD(A2063-INDEX(SkiftStart,L2063),Syklus)&lt;DagK+DagH,"Helg",IF(MOD(A2063-INDEX(SkiftStart,L2063),Syklus)&lt;DagK+DagH+DagD,"Dag","Fri"))))</f>
        <v/>
      </c>
      <c r="J2063" s="30">
        <f>IF(I2063="Fri","Ja","")</f>
        <v/>
      </c>
      <c r="K2063" s="30">
        <f>IF(B2063="","",IF(L2063="","Ukjent tekniker",IF(ISNA(MATCH(C2063,Aktiviteter,0)),"Ukjent aktivitet",IF(AND(INDEX(AktRolle,MATCH(C2063,Aktiviteter,0))&amp;""&lt;&gt;"",ISERROR(SEARCH(INDEX(AktRolle,MATCH(C2063,Aktiviteter,0))&amp;"",INDEX(TekRoller,MATCH(B2063,Teknikere,0))))),"Mangler rollen "&amp;INDEX(AktRolle,MATCH(C2063,Aktiviteter,0))&amp;"",IF(AND(C2063="LMS",F2063&gt;0,OR(D2063="",E2063="")),"Mangler maskin eller arbeid",IF(AND(OR(C2063="LMS",C2063="Mod"),D2063&lt;&gt;""),IF(IFERROR(INDEX(MaskinStatus,MATCH(D2063,Maskiner,0)),"")="I dokk","","Maskinen er ikke i dokk"),""))))))</f>
        <v/>
      </c>
      <c r="L2063" s="2">
        <f>IF(B2063="","",IFERROR(INT((MATCH(B2063,Teknikere,0)-1)/18)+1,""))</f>
        <v/>
      </c>
      <c r="M2063" s="2">
        <f>IF(OR(A2063="",B2063=""),"",B2063&amp;"|"&amp;A2063)</f>
        <v/>
      </c>
      <c r="N2063" s="2">
        <f>IF(M2063="","",SUMIFS(TF_Timer,TF_Nokkel,M2063,TF_Akt,C2063))</f>
        <v/>
      </c>
      <c r="O2063" s="2">
        <f>IF(M2063="","",IF(AND(N2063=_xlfn.MAXIFS(TF_AktSum,TF_Nokkel,M2063),COUNTIFS(M$3:M2062,M2063,N$3:N2062,N2063)=0),M2063,""))</f>
        <v/>
      </c>
    </row>
    <row r="2064">
      <c r="A2064" s="34" t="n"/>
      <c r="B2064" s="35" t="n"/>
      <c r="C2064" s="35" t="n"/>
      <c r="D2064" s="35" t="n"/>
      <c r="E2064" s="35" t="n"/>
      <c r="F2064" s="36" t="n"/>
      <c r="G2064" s="35" t="n"/>
      <c r="H2064" s="30">
        <f>IF(L2064="","",INDEX(SkiftNavn,L2064))</f>
        <v/>
      </c>
      <c r="I2064" s="30">
        <f>IF(OR(A2064="",L2064=""),"",IF(MOD(A2064-INDEX(SkiftStart,L2064),Syklus)&lt;DagK,"Kveld",IF(MOD(A2064-INDEX(SkiftStart,L2064),Syklus)&lt;DagK+DagH,"Helg",IF(MOD(A2064-INDEX(SkiftStart,L2064),Syklus)&lt;DagK+DagH+DagD,"Dag","Fri"))))</f>
        <v/>
      </c>
      <c r="J2064" s="30">
        <f>IF(I2064="Fri","Ja","")</f>
        <v/>
      </c>
      <c r="K2064" s="30">
        <f>IF(B2064="","",IF(L2064="","Ukjent tekniker",IF(ISNA(MATCH(C2064,Aktiviteter,0)),"Ukjent aktivitet",IF(AND(INDEX(AktRolle,MATCH(C2064,Aktiviteter,0))&amp;""&lt;&gt;"",ISERROR(SEARCH(INDEX(AktRolle,MATCH(C2064,Aktiviteter,0))&amp;"",INDEX(TekRoller,MATCH(B2064,Teknikere,0))))),"Mangler rollen "&amp;INDEX(AktRolle,MATCH(C2064,Aktiviteter,0))&amp;"",IF(AND(C2064="LMS",F2064&gt;0,OR(D2064="",E2064="")),"Mangler maskin eller arbeid",IF(AND(OR(C2064="LMS",C2064="Mod"),D2064&lt;&gt;""),IF(IFERROR(INDEX(MaskinStatus,MATCH(D2064,Maskiner,0)),"")="I dokk","","Maskinen er ikke i dokk"),""))))))</f>
        <v/>
      </c>
      <c r="L2064" s="2">
        <f>IF(B2064="","",IFERROR(INT((MATCH(B2064,Teknikere,0)-1)/18)+1,""))</f>
        <v/>
      </c>
      <c r="M2064" s="2">
        <f>IF(OR(A2064="",B2064=""),"",B2064&amp;"|"&amp;A2064)</f>
        <v/>
      </c>
      <c r="N2064" s="2">
        <f>IF(M2064="","",SUMIFS(TF_Timer,TF_Nokkel,M2064,TF_Akt,C2064))</f>
        <v/>
      </c>
      <c r="O2064" s="2">
        <f>IF(M2064="","",IF(AND(N2064=_xlfn.MAXIFS(TF_AktSum,TF_Nokkel,M2064),COUNTIFS(M$3:M2063,M2064,N$3:N2063,N2064)=0),M2064,""))</f>
        <v/>
      </c>
    </row>
    <row r="2065">
      <c r="A2065" s="34" t="n"/>
      <c r="B2065" s="35" t="n"/>
      <c r="C2065" s="35" t="n"/>
      <c r="D2065" s="35" t="n"/>
      <c r="E2065" s="35" t="n"/>
      <c r="F2065" s="36" t="n"/>
      <c r="G2065" s="35" t="n"/>
      <c r="H2065" s="30">
        <f>IF(L2065="","",INDEX(SkiftNavn,L2065))</f>
        <v/>
      </c>
      <c r="I2065" s="30">
        <f>IF(OR(A2065="",L2065=""),"",IF(MOD(A2065-INDEX(SkiftStart,L2065),Syklus)&lt;DagK,"Kveld",IF(MOD(A2065-INDEX(SkiftStart,L2065),Syklus)&lt;DagK+DagH,"Helg",IF(MOD(A2065-INDEX(SkiftStart,L2065),Syklus)&lt;DagK+DagH+DagD,"Dag","Fri"))))</f>
        <v/>
      </c>
      <c r="J2065" s="30">
        <f>IF(I2065="Fri","Ja","")</f>
        <v/>
      </c>
      <c r="K2065" s="30">
        <f>IF(B2065="","",IF(L2065="","Ukjent tekniker",IF(ISNA(MATCH(C2065,Aktiviteter,0)),"Ukjent aktivitet",IF(AND(INDEX(AktRolle,MATCH(C2065,Aktiviteter,0))&amp;""&lt;&gt;"",ISERROR(SEARCH(INDEX(AktRolle,MATCH(C2065,Aktiviteter,0))&amp;"",INDEX(TekRoller,MATCH(B2065,Teknikere,0))))),"Mangler rollen "&amp;INDEX(AktRolle,MATCH(C2065,Aktiviteter,0))&amp;"",IF(AND(C2065="LMS",F2065&gt;0,OR(D2065="",E2065="")),"Mangler maskin eller arbeid",IF(AND(OR(C2065="LMS",C2065="Mod"),D2065&lt;&gt;""),IF(IFERROR(INDEX(MaskinStatus,MATCH(D2065,Maskiner,0)),"")="I dokk","","Maskinen er ikke i dokk"),""))))))</f>
        <v/>
      </c>
      <c r="L2065" s="2">
        <f>IF(B2065="","",IFERROR(INT((MATCH(B2065,Teknikere,0)-1)/18)+1,""))</f>
        <v/>
      </c>
      <c r="M2065" s="2">
        <f>IF(OR(A2065="",B2065=""),"",B2065&amp;"|"&amp;A2065)</f>
        <v/>
      </c>
      <c r="N2065" s="2">
        <f>IF(M2065="","",SUMIFS(TF_Timer,TF_Nokkel,M2065,TF_Akt,C2065))</f>
        <v/>
      </c>
      <c r="O2065" s="2">
        <f>IF(M2065="","",IF(AND(N2065=_xlfn.MAXIFS(TF_AktSum,TF_Nokkel,M2065),COUNTIFS(M$3:M2064,M2065,N$3:N2064,N2065)=0),M2065,""))</f>
        <v/>
      </c>
    </row>
    <row r="2066">
      <c r="A2066" s="34" t="n"/>
      <c r="B2066" s="35" t="n"/>
      <c r="C2066" s="35" t="n"/>
      <c r="D2066" s="35" t="n"/>
      <c r="E2066" s="35" t="n"/>
      <c r="F2066" s="36" t="n"/>
      <c r="G2066" s="35" t="n"/>
      <c r="H2066" s="30">
        <f>IF(L2066="","",INDEX(SkiftNavn,L2066))</f>
        <v/>
      </c>
      <c r="I2066" s="30">
        <f>IF(OR(A2066="",L2066=""),"",IF(MOD(A2066-INDEX(SkiftStart,L2066),Syklus)&lt;DagK,"Kveld",IF(MOD(A2066-INDEX(SkiftStart,L2066),Syklus)&lt;DagK+DagH,"Helg",IF(MOD(A2066-INDEX(SkiftStart,L2066),Syklus)&lt;DagK+DagH+DagD,"Dag","Fri"))))</f>
        <v/>
      </c>
      <c r="J2066" s="30">
        <f>IF(I2066="Fri","Ja","")</f>
        <v/>
      </c>
      <c r="K2066" s="30">
        <f>IF(B2066="","",IF(L2066="","Ukjent tekniker",IF(ISNA(MATCH(C2066,Aktiviteter,0)),"Ukjent aktivitet",IF(AND(INDEX(AktRolle,MATCH(C2066,Aktiviteter,0))&amp;""&lt;&gt;"",ISERROR(SEARCH(INDEX(AktRolle,MATCH(C2066,Aktiviteter,0))&amp;"",INDEX(TekRoller,MATCH(B2066,Teknikere,0))))),"Mangler rollen "&amp;INDEX(AktRolle,MATCH(C2066,Aktiviteter,0))&amp;"",IF(AND(C2066="LMS",F2066&gt;0,OR(D2066="",E2066="")),"Mangler maskin eller arbeid",IF(AND(OR(C2066="LMS",C2066="Mod"),D2066&lt;&gt;""),IF(IFERROR(INDEX(MaskinStatus,MATCH(D2066,Maskiner,0)),"")="I dokk","","Maskinen er ikke i dokk"),""))))))</f>
        <v/>
      </c>
      <c r="L2066" s="2">
        <f>IF(B2066="","",IFERROR(INT((MATCH(B2066,Teknikere,0)-1)/18)+1,""))</f>
        <v/>
      </c>
      <c r="M2066" s="2">
        <f>IF(OR(A2066="",B2066=""),"",B2066&amp;"|"&amp;A2066)</f>
        <v/>
      </c>
      <c r="N2066" s="2">
        <f>IF(M2066="","",SUMIFS(TF_Timer,TF_Nokkel,M2066,TF_Akt,C2066))</f>
        <v/>
      </c>
      <c r="O2066" s="2">
        <f>IF(M2066="","",IF(AND(N2066=_xlfn.MAXIFS(TF_AktSum,TF_Nokkel,M2066),COUNTIFS(M$3:M2065,M2066,N$3:N2065,N2066)=0),M2066,""))</f>
        <v/>
      </c>
    </row>
    <row r="2067">
      <c r="A2067" s="34" t="n"/>
      <c r="B2067" s="35" t="n"/>
      <c r="C2067" s="35" t="n"/>
      <c r="D2067" s="35" t="n"/>
      <c r="E2067" s="35" t="n"/>
      <c r="F2067" s="36" t="n"/>
      <c r="G2067" s="35" t="n"/>
      <c r="H2067" s="30">
        <f>IF(L2067="","",INDEX(SkiftNavn,L2067))</f>
        <v/>
      </c>
      <c r="I2067" s="30">
        <f>IF(OR(A2067="",L2067=""),"",IF(MOD(A2067-INDEX(SkiftStart,L2067),Syklus)&lt;DagK,"Kveld",IF(MOD(A2067-INDEX(SkiftStart,L2067),Syklus)&lt;DagK+DagH,"Helg",IF(MOD(A2067-INDEX(SkiftStart,L2067),Syklus)&lt;DagK+DagH+DagD,"Dag","Fri"))))</f>
        <v/>
      </c>
      <c r="J2067" s="30">
        <f>IF(I2067="Fri","Ja","")</f>
        <v/>
      </c>
      <c r="K2067" s="30">
        <f>IF(B2067="","",IF(L2067="","Ukjent tekniker",IF(ISNA(MATCH(C2067,Aktiviteter,0)),"Ukjent aktivitet",IF(AND(INDEX(AktRolle,MATCH(C2067,Aktiviteter,0))&amp;""&lt;&gt;"",ISERROR(SEARCH(INDEX(AktRolle,MATCH(C2067,Aktiviteter,0))&amp;"",INDEX(TekRoller,MATCH(B2067,Teknikere,0))))),"Mangler rollen "&amp;INDEX(AktRolle,MATCH(C2067,Aktiviteter,0))&amp;"",IF(AND(C2067="LMS",F2067&gt;0,OR(D2067="",E2067="")),"Mangler maskin eller arbeid",IF(AND(OR(C2067="LMS",C2067="Mod"),D2067&lt;&gt;""),IF(IFERROR(INDEX(MaskinStatus,MATCH(D2067,Maskiner,0)),"")="I dokk","","Maskinen er ikke i dokk"),""))))))</f>
        <v/>
      </c>
      <c r="L2067" s="2">
        <f>IF(B2067="","",IFERROR(INT((MATCH(B2067,Teknikere,0)-1)/18)+1,""))</f>
        <v/>
      </c>
      <c r="M2067" s="2">
        <f>IF(OR(A2067="",B2067=""),"",B2067&amp;"|"&amp;A2067)</f>
        <v/>
      </c>
      <c r="N2067" s="2">
        <f>IF(M2067="","",SUMIFS(TF_Timer,TF_Nokkel,M2067,TF_Akt,C2067))</f>
        <v/>
      </c>
      <c r="O2067" s="2">
        <f>IF(M2067="","",IF(AND(N2067=_xlfn.MAXIFS(TF_AktSum,TF_Nokkel,M2067),COUNTIFS(M$3:M2066,M2067,N$3:N2066,N2067)=0),M2067,""))</f>
        <v/>
      </c>
    </row>
    <row r="2068">
      <c r="A2068" s="34" t="n"/>
      <c r="B2068" s="35" t="n"/>
      <c r="C2068" s="35" t="n"/>
      <c r="D2068" s="35" t="n"/>
      <c r="E2068" s="35" t="n"/>
      <c r="F2068" s="36" t="n"/>
      <c r="G2068" s="35" t="n"/>
      <c r="H2068" s="30">
        <f>IF(L2068="","",INDEX(SkiftNavn,L2068))</f>
        <v/>
      </c>
      <c r="I2068" s="30">
        <f>IF(OR(A2068="",L2068=""),"",IF(MOD(A2068-INDEX(SkiftStart,L2068),Syklus)&lt;DagK,"Kveld",IF(MOD(A2068-INDEX(SkiftStart,L2068),Syklus)&lt;DagK+DagH,"Helg",IF(MOD(A2068-INDEX(SkiftStart,L2068),Syklus)&lt;DagK+DagH+DagD,"Dag","Fri"))))</f>
        <v/>
      </c>
      <c r="J2068" s="30">
        <f>IF(I2068="Fri","Ja","")</f>
        <v/>
      </c>
      <c r="K2068" s="30">
        <f>IF(B2068="","",IF(L2068="","Ukjent tekniker",IF(ISNA(MATCH(C2068,Aktiviteter,0)),"Ukjent aktivitet",IF(AND(INDEX(AktRolle,MATCH(C2068,Aktiviteter,0))&amp;""&lt;&gt;"",ISERROR(SEARCH(INDEX(AktRolle,MATCH(C2068,Aktiviteter,0))&amp;"",INDEX(TekRoller,MATCH(B2068,Teknikere,0))))),"Mangler rollen "&amp;INDEX(AktRolle,MATCH(C2068,Aktiviteter,0))&amp;"",IF(AND(C2068="LMS",F2068&gt;0,OR(D2068="",E2068="")),"Mangler maskin eller arbeid",IF(AND(OR(C2068="LMS",C2068="Mod"),D2068&lt;&gt;""),IF(IFERROR(INDEX(MaskinStatus,MATCH(D2068,Maskiner,0)),"")="I dokk","","Maskinen er ikke i dokk"),""))))))</f>
        <v/>
      </c>
      <c r="L2068" s="2">
        <f>IF(B2068="","",IFERROR(INT((MATCH(B2068,Teknikere,0)-1)/18)+1,""))</f>
        <v/>
      </c>
      <c r="M2068" s="2">
        <f>IF(OR(A2068="",B2068=""),"",B2068&amp;"|"&amp;A2068)</f>
        <v/>
      </c>
      <c r="N2068" s="2">
        <f>IF(M2068="","",SUMIFS(TF_Timer,TF_Nokkel,M2068,TF_Akt,C2068))</f>
        <v/>
      </c>
      <c r="O2068" s="2">
        <f>IF(M2068="","",IF(AND(N2068=_xlfn.MAXIFS(TF_AktSum,TF_Nokkel,M2068),COUNTIFS(M$3:M2067,M2068,N$3:N2067,N2068)=0),M2068,""))</f>
        <v/>
      </c>
    </row>
    <row r="2069">
      <c r="A2069" s="34" t="n"/>
      <c r="B2069" s="35" t="n"/>
      <c r="C2069" s="35" t="n"/>
      <c r="D2069" s="35" t="n"/>
      <c r="E2069" s="35" t="n"/>
      <c r="F2069" s="36" t="n"/>
      <c r="G2069" s="35" t="n"/>
      <c r="H2069" s="30">
        <f>IF(L2069="","",INDEX(SkiftNavn,L2069))</f>
        <v/>
      </c>
      <c r="I2069" s="30">
        <f>IF(OR(A2069="",L2069=""),"",IF(MOD(A2069-INDEX(SkiftStart,L2069),Syklus)&lt;DagK,"Kveld",IF(MOD(A2069-INDEX(SkiftStart,L2069),Syklus)&lt;DagK+DagH,"Helg",IF(MOD(A2069-INDEX(SkiftStart,L2069),Syklus)&lt;DagK+DagH+DagD,"Dag","Fri"))))</f>
        <v/>
      </c>
      <c r="J2069" s="30">
        <f>IF(I2069="Fri","Ja","")</f>
        <v/>
      </c>
      <c r="K2069" s="30">
        <f>IF(B2069="","",IF(L2069="","Ukjent tekniker",IF(ISNA(MATCH(C2069,Aktiviteter,0)),"Ukjent aktivitet",IF(AND(INDEX(AktRolle,MATCH(C2069,Aktiviteter,0))&amp;""&lt;&gt;"",ISERROR(SEARCH(INDEX(AktRolle,MATCH(C2069,Aktiviteter,0))&amp;"",INDEX(TekRoller,MATCH(B2069,Teknikere,0))))),"Mangler rollen "&amp;INDEX(AktRolle,MATCH(C2069,Aktiviteter,0))&amp;"",IF(AND(C2069="LMS",F2069&gt;0,OR(D2069="",E2069="")),"Mangler maskin eller arbeid",IF(AND(OR(C2069="LMS",C2069="Mod"),D2069&lt;&gt;""),IF(IFERROR(INDEX(MaskinStatus,MATCH(D2069,Maskiner,0)),"")="I dokk","","Maskinen er ikke i dokk"),""))))))</f>
        <v/>
      </c>
      <c r="L2069" s="2">
        <f>IF(B2069="","",IFERROR(INT((MATCH(B2069,Teknikere,0)-1)/18)+1,""))</f>
        <v/>
      </c>
      <c r="M2069" s="2">
        <f>IF(OR(A2069="",B2069=""),"",B2069&amp;"|"&amp;A2069)</f>
        <v/>
      </c>
      <c r="N2069" s="2">
        <f>IF(M2069="","",SUMIFS(TF_Timer,TF_Nokkel,M2069,TF_Akt,C2069))</f>
        <v/>
      </c>
      <c r="O2069" s="2">
        <f>IF(M2069="","",IF(AND(N2069=_xlfn.MAXIFS(TF_AktSum,TF_Nokkel,M2069),COUNTIFS(M$3:M2068,M2069,N$3:N2068,N2069)=0),M2069,""))</f>
        <v/>
      </c>
    </row>
    <row r="2070">
      <c r="A2070" s="34" t="n"/>
      <c r="B2070" s="35" t="n"/>
      <c r="C2070" s="35" t="n"/>
      <c r="D2070" s="35" t="n"/>
      <c r="E2070" s="35" t="n"/>
      <c r="F2070" s="36" t="n"/>
      <c r="G2070" s="35" t="n"/>
      <c r="H2070" s="30">
        <f>IF(L2070="","",INDEX(SkiftNavn,L2070))</f>
        <v/>
      </c>
      <c r="I2070" s="30">
        <f>IF(OR(A2070="",L2070=""),"",IF(MOD(A2070-INDEX(SkiftStart,L2070),Syklus)&lt;DagK,"Kveld",IF(MOD(A2070-INDEX(SkiftStart,L2070),Syklus)&lt;DagK+DagH,"Helg",IF(MOD(A2070-INDEX(SkiftStart,L2070),Syklus)&lt;DagK+DagH+DagD,"Dag","Fri"))))</f>
        <v/>
      </c>
      <c r="J2070" s="30">
        <f>IF(I2070="Fri","Ja","")</f>
        <v/>
      </c>
      <c r="K2070" s="30">
        <f>IF(B2070="","",IF(L2070="","Ukjent tekniker",IF(ISNA(MATCH(C2070,Aktiviteter,0)),"Ukjent aktivitet",IF(AND(INDEX(AktRolle,MATCH(C2070,Aktiviteter,0))&amp;""&lt;&gt;"",ISERROR(SEARCH(INDEX(AktRolle,MATCH(C2070,Aktiviteter,0))&amp;"",INDEX(TekRoller,MATCH(B2070,Teknikere,0))))),"Mangler rollen "&amp;INDEX(AktRolle,MATCH(C2070,Aktiviteter,0))&amp;"",IF(AND(C2070="LMS",F2070&gt;0,OR(D2070="",E2070="")),"Mangler maskin eller arbeid",IF(AND(OR(C2070="LMS",C2070="Mod"),D2070&lt;&gt;""),IF(IFERROR(INDEX(MaskinStatus,MATCH(D2070,Maskiner,0)),"")="I dokk","","Maskinen er ikke i dokk"),""))))))</f>
        <v/>
      </c>
      <c r="L2070" s="2">
        <f>IF(B2070="","",IFERROR(INT((MATCH(B2070,Teknikere,0)-1)/18)+1,""))</f>
        <v/>
      </c>
      <c r="M2070" s="2">
        <f>IF(OR(A2070="",B2070=""),"",B2070&amp;"|"&amp;A2070)</f>
        <v/>
      </c>
      <c r="N2070" s="2">
        <f>IF(M2070="","",SUMIFS(TF_Timer,TF_Nokkel,M2070,TF_Akt,C2070))</f>
        <v/>
      </c>
      <c r="O2070" s="2">
        <f>IF(M2070="","",IF(AND(N2070=_xlfn.MAXIFS(TF_AktSum,TF_Nokkel,M2070),COUNTIFS(M$3:M2069,M2070,N$3:N2069,N2070)=0),M2070,""))</f>
        <v/>
      </c>
    </row>
    <row r="2071">
      <c r="A2071" s="34" t="n"/>
      <c r="B2071" s="35" t="n"/>
      <c r="C2071" s="35" t="n"/>
      <c r="D2071" s="35" t="n"/>
      <c r="E2071" s="35" t="n"/>
      <c r="F2071" s="36" t="n"/>
      <c r="G2071" s="35" t="n"/>
      <c r="H2071" s="30">
        <f>IF(L2071="","",INDEX(SkiftNavn,L2071))</f>
        <v/>
      </c>
      <c r="I2071" s="30">
        <f>IF(OR(A2071="",L2071=""),"",IF(MOD(A2071-INDEX(SkiftStart,L2071),Syklus)&lt;DagK,"Kveld",IF(MOD(A2071-INDEX(SkiftStart,L2071),Syklus)&lt;DagK+DagH,"Helg",IF(MOD(A2071-INDEX(SkiftStart,L2071),Syklus)&lt;DagK+DagH+DagD,"Dag","Fri"))))</f>
        <v/>
      </c>
      <c r="J2071" s="30">
        <f>IF(I2071="Fri","Ja","")</f>
        <v/>
      </c>
      <c r="K2071" s="30">
        <f>IF(B2071="","",IF(L2071="","Ukjent tekniker",IF(ISNA(MATCH(C2071,Aktiviteter,0)),"Ukjent aktivitet",IF(AND(INDEX(AktRolle,MATCH(C2071,Aktiviteter,0))&amp;""&lt;&gt;"",ISERROR(SEARCH(INDEX(AktRolle,MATCH(C2071,Aktiviteter,0))&amp;"",INDEX(TekRoller,MATCH(B2071,Teknikere,0))))),"Mangler rollen "&amp;INDEX(AktRolle,MATCH(C2071,Aktiviteter,0))&amp;"",IF(AND(C2071="LMS",F2071&gt;0,OR(D2071="",E2071="")),"Mangler maskin eller arbeid",IF(AND(OR(C2071="LMS",C2071="Mod"),D2071&lt;&gt;""),IF(IFERROR(INDEX(MaskinStatus,MATCH(D2071,Maskiner,0)),"")="I dokk","","Maskinen er ikke i dokk"),""))))))</f>
        <v/>
      </c>
      <c r="L2071" s="2">
        <f>IF(B2071="","",IFERROR(INT((MATCH(B2071,Teknikere,0)-1)/18)+1,""))</f>
        <v/>
      </c>
      <c r="M2071" s="2">
        <f>IF(OR(A2071="",B2071=""),"",B2071&amp;"|"&amp;A2071)</f>
        <v/>
      </c>
      <c r="N2071" s="2">
        <f>IF(M2071="","",SUMIFS(TF_Timer,TF_Nokkel,M2071,TF_Akt,C2071))</f>
        <v/>
      </c>
      <c r="O2071" s="2">
        <f>IF(M2071="","",IF(AND(N2071=_xlfn.MAXIFS(TF_AktSum,TF_Nokkel,M2071),COUNTIFS(M$3:M2070,M2071,N$3:N2070,N2071)=0),M2071,""))</f>
        <v/>
      </c>
    </row>
    <row r="2072">
      <c r="A2072" s="34" t="n"/>
      <c r="B2072" s="35" t="n"/>
      <c r="C2072" s="35" t="n"/>
      <c r="D2072" s="35" t="n"/>
      <c r="E2072" s="35" t="n"/>
      <c r="F2072" s="36" t="n"/>
      <c r="G2072" s="35" t="n"/>
      <c r="H2072" s="30">
        <f>IF(L2072="","",INDEX(SkiftNavn,L2072))</f>
        <v/>
      </c>
      <c r="I2072" s="30">
        <f>IF(OR(A2072="",L2072=""),"",IF(MOD(A2072-INDEX(SkiftStart,L2072),Syklus)&lt;DagK,"Kveld",IF(MOD(A2072-INDEX(SkiftStart,L2072),Syklus)&lt;DagK+DagH,"Helg",IF(MOD(A2072-INDEX(SkiftStart,L2072),Syklus)&lt;DagK+DagH+DagD,"Dag","Fri"))))</f>
        <v/>
      </c>
      <c r="J2072" s="30">
        <f>IF(I2072="Fri","Ja","")</f>
        <v/>
      </c>
      <c r="K2072" s="30">
        <f>IF(B2072="","",IF(L2072="","Ukjent tekniker",IF(ISNA(MATCH(C2072,Aktiviteter,0)),"Ukjent aktivitet",IF(AND(INDEX(AktRolle,MATCH(C2072,Aktiviteter,0))&amp;""&lt;&gt;"",ISERROR(SEARCH(INDEX(AktRolle,MATCH(C2072,Aktiviteter,0))&amp;"",INDEX(TekRoller,MATCH(B2072,Teknikere,0))))),"Mangler rollen "&amp;INDEX(AktRolle,MATCH(C2072,Aktiviteter,0))&amp;"",IF(AND(C2072="LMS",F2072&gt;0,OR(D2072="",E2072="")),"Mangler maskin eller arbeid",IF(AND(OR(C2072="LMS",C2072="Mod"),D2072&lt;&gt;""),IF(IFERROR(INDEX(MaskinStatus,MATCH(D2072,Maskiner,0)),"")="I dokk","","Maskinen er ikke i dokk"),""))))))</f>
        <v/>
      </c>
      <c r="L2072" s="2">
        <f>IF(B2072="","",IFERROR(INT((MATCH(B2072,Teknikere,0)-1)/18)+1,""))</f>
        <v/>
      </c>
      <c r="M2072" s="2">
        <f>IF(OR(A2072="",B2072=""),"",B2072&amp;"|"&amp;A2072)</f>
        <v/>
      </c>
      <c r="N2072" s="2">
        <f>IF(M2072="","",SUMIFS(TF_Timer,TF_Nokkel,M2072,TF_Akt,C2072))</f>
        <v/>
      </c>
      <c r="O2072" s="2">
        <f>IF(M2072="","",IF(AND(N2072=_xlfn.MAXIFS(TF_AktSum,TF_Nokkel,M2072),COUNTIFS(M$3:M2071,M2072,N$3:N2071,N2072)=0),M2072,""))</f>
        <v/>
      </c>
    </row>
    <row r="2073">
      <c r="A2073" s="34" t="n"/>
      <c r="B2073" s="35" t="n"/>
      <c r="C2073" s="35" t="n"/>
      <c r="D2073" s="35" t="n"/>
      <c r="E2073" s="35" t="n"/>
      <c r="F2073" s="36" t="n"/>
      <c r="G2073" s="35" t="n"/>
      <c r="H2073" s="30">
        <f>IF(L2073="","",INDEX(SkiftNavn,L2073))</f>
        <v/>
      </c>
      <c r="I2073" s="30">
        <f>IF(OR(A2073="",L2073=""),"",IF(MOD(A2073-INDEX(SkiftStart,L2073),Syklus)&lt;DagK,"Kveld",IF(MOD(A2073-INDEX(SkiftStart,L2073),Syklus)&lt;DagK+DagH,"Helg",IF(MOD(A2073-INDEX(SkiftStart,L2073),Syklus)&lt;DagK+DagH+DagD,"Dag","Fri"))))</f>
        <v/>
      </c>
      <c r="J2073" s="30">
        <f>IF(I2073="Fri","Ja","")</f>
        <v/>
      </c>
      <c r="K2073" s="30">
        <f>IF(B2073="","",IF(L2073="","Ukjent tekniker",IF(ISNA(MATCH(C2073,Aktiviteter,0)),"Ukjent aktivitet",IF(AND(INDEX(AktRolle,MATCH(C2073,Aktiviteter,0))&amp;""&lt;&gt;"",ISERROR(SEARCH(INDEX(AktRolle,MATCH(C2073,Aktiviteter,0))&amp;"",INDEX(TekRoller,MATCH(B2073,Teknikere,0))))),"Mangler rollen "&amp;INDEX(AktRolle,MATCH(C2073,Aktiviteter,0))&amp;"",IF(AND(C2073="LMS",F2073&gt;0,OR(D2073="",E2073="")),"Mangler maskin eller arbeid",IF(AND(OR(C2073="LMS",C2073="Mod"),D2073&lt;&gt;""),IF(IFERROR(INDEX(MaskinStatus,MATCH(D2073,Maskiner,0)),"")="I dokk","","Maskinen er ikke i dokk"),""))))))</f>
        <v/>
      </c>
      <c r="L2073" s="2">
        <f>IF(B2073="","",IFERROR(INT((MATCH(B2073,Teknikere,0)-1)/18)+1,""))</f>
        <v/>
      </c>
      <c r="M2073" s="2">
        <f>IF(OR(A2073="",B2073=""),"",B2073&amp;"|"&amp;A2073)</f>
        <v/>
      </c>
      <c r="N2073" s="2">
        <f>IF(M2073="","",SUMIFS(TF_Timer,TF_Nokkel,M2073,TF_Akt,C2073))</f>
        <v/>
      </c>
      <c r="O2073" s="2">
        <f>IF(M2073="","",IF(AND(N2073=_xlfn.MAXIFS(TF_AktSum,TF_Nokkel,M2073),COUNTIFS(M$3:M2072,M2073,N$3:N2072,N2073)=0),M2073,""))</f>
        <v/>
      </c>
    </row>
    <row r="2074">
      <c r="A2074" s="34" t="n"/>
      <c r="B2074" s="35" t="n"/>
      <c r="C2074" s="35" t="n"/>
      <c r="D2074" s="35" t="n"/>
      <c r="E2074" s="35" t="n"/>
      <c r="F2074" s="36" t="n"/>
      <c r="G2074" s="35" t="n"/>
      <c r="H2074" s="30">
        <f>IF(L2074="","",INDEX(SkiftNavn,L2074))</f>
        <v/>
      </c>
      <c r="I2074" s="30">
        <f>IF(OR(A2074="",L2074=""),"",IF(MOD(A2074-INDEX(SkiftStart,L2074),Syklus)&lt;DagK,"Kveld",IF(MOD(A2074-INDEX(SkiftStart,L2074),Syklus)&lt;DagK+DagH,"Helg",IF(MOD(A2074-INDEX(SkiftStart,L2074),Syklus)&lt;DagK+DagH+DagD,"Dag","Fri"))))</f>
        <v/>
      </c>
      <c r="J2074" s="30">
        <f>IF(I2074="Fri","Ja","")</f>
        <v/>
      </c>
      <c r="K2074" s="30">
        <f>IF(B2074="","",IF(L2074="","Ukjent tekniker",IF(ISNA(MATCH(C2074,Aktiviteter,0)),"Ukjent aktivitet",IF(AND(INDEX(AktRolle,MATCH(C2074,Aktiviteter,0))&amp;""&lt;&gt;"",ISERROR(SEARCH(INDEX(AktRolle,MATCH(C2074,Aktiviteter,0))&amp;"",INDEX(TekRoller,MATCH(B2074,Teknikere,0))))),"Mangler rollen "&amp;INDEX(AktRolle,MATCH(C2074,Aktiviteter,0))&amp;"",IF(AND(C2074="LMS",F2074&gt;0,OR(D2074="",E2074="")),"Mangler maskin eller arbeid",IF(AND(OR(C2074="LMS",C2074="Mod"),D2074&lt;&gt;""),IF(IFERROR(INDEX(MaskinStatus,MATCH(D2074,Maskiner,0)),"")="I dokk","","Maskinen er ikke i dokk"),""))))))</f>
        <v/>
      </c>
      <c r="L2074" s="2">
        <f>IF(B2074="","",IFERROR(INT((MATCH(B2074,Teknikere,0)-1)/18)+1,""))</f>
        <v/>
      </c>
      <c r="M2074" s="2">
        <f>IF(OR(A2074="",B2074=""),"",B2074&amp;"|"&amp;A2074)</f>
        <v/>
      </c>
      <c r="N2074" s="2">
        <f>IF(M2074="","",SUMIFS(TF_Timer,TF_Nokkel,M2074,TF_Akt,C2074))</f>
        <v/>
      </c>
      <c r="O2074" s="2">
        <f>IF(M2074="","",IF(AND(N2074=_xlfn.MAXIFS(TF_AktSum,TF_Nokkel,M2074),COUNTIFS(M$3:M2073,M2074,N$3:N2073,N2074)=0),M2074,""))</f>
        <v/>
      </c>
    </row>
    <row r="2075">
      <c r="A2075" s="34" t="n"/>
      <c r="B2075" s="35" t="n"/>
      <c r="C2075" s="35" t="n"/>
      <c r="D2075" s="35" t="n"/>
      <c r="E2075" s="35" t="n"/>
      <c r="F2075" s="36" t="n"/>
      <c r="G2075" s="35" t="n"/>
      <c r="H2075" s="30">
        <f>IF(L2075="","",INDEX(SkiftNavn,L2075))</f>
        <v/>
      </c>
      <c r="I2075" s="30">
        <f>IF(OR(A2075="",L2075=""),"",IF(MOD(A2075-INDEX(SkiftStart,L2075),Syklus)&lt;DagK,"Kveld",IF(MOD(A2075-INDEX(SkiftStart,L2075),Syklus)&lt;DagK+DagH,"Helg",IF(MOD(A2075-INDEX(SkiftStart,L2075),Syklus)&lt;DagK+DagH+DagD,"Dag","Fri"))))</f>
        <v/>
      </c>
      <c r="J2075" s="30">
        <f>IF(I2075="Fri","Ja","")</f>
        <v/>
      </c>
      <c r="K2075" s="30">
        <f>IF(B2075="","",IF(L2075="","Ukjent tekniker",IF(ISNA(MATCH(C2075,Aktiviteter,0)),"Ukjent aktivitet",IF(AND(INDEX(AktRolle,MATCH(C2075,Aktiviteter,0))&amp;""&lt;&gt;"",ISERROR(SEARCH(INDEX(AktRolle,MATCH(C2075,Aktiviteter,0))&amp;"",INDEX(TekRoller,MATCH(B2075,Teknikere,0))))),"Mangler rollen "&amp;INDEX(AktRolle,MATCH(C2075,Aktiviteter,0))&amp;"",IF(AND(C2075="LMS",F2075&gt;0,OR(D2075="",E2075="")),"Mangler maskin eller arbeid",IF(AND(OR(C2075="LMS",C2075="Mod"),D2075&lt;&gt;""),IF(IFERROR(INDEX(MaskinStatus,MATCH(D2075,Maskiner,0)),"")="I dokk","","Maskinen er ikke i dokk"),""))))))</f>
        <v/>
      </c>
      <c r="L2075" s="2">
        <f>IF(B2075="","",IFERROR(INT((MATCH(B2075,Teknikere,0)-1)/18)+1,""))</f>
        <v/>
      </c>
      <c r="M2075" s="2">
        <f>IF(OR(A2075="",B2075=""),"",B2075&amp;"|"&amp;A2075)</f>
        <v/>
      </c>
      <c r="N2075" s="2">
        <f>IF(M2075="","",SUMIFS(TF_Timer,TF_Nokkel,M2075,TF_Akt,C2075))</f>
        <v/>
      </c>
      <c r="O2075" s="2">
        <f>IF(M2075="","",IF(AND(N2075=_xlfn.MAXIFS(TF_AktSum,TF_Nokkel,M2075),COUNTIFS(M$3:M2074,M2075,N$3:N2074,N2075)=0),M2075,""))</f>
        <v/>
      </c>
    </row>
    <row r="2076">
      <c r="A2076" s="34" t="n"/>
      <c r="B2076" s="35" t="n"/>
      <c r="C2076" s="35" t="n"/>
      <c r="D2076" s="35" t="n"/>
      <c r="E2076" s="35" t="n"/>
      <c r="F2076" s="36" t="n"/>
      <c r="G2076" s="35" t="n"/>
      <c r="H2076" s="30">
        <f>IF(L2076="","",INDEX(SkiftNavn,L2076))</f>
        <v/>
      </c>
      <c r="I2076" s="30">
        <f>IF(OR(A2076="",L2076=""),"",IF(MOD(A2076-INDEX(SkiftStart,L2076),Syklus)&lt;DagK,"Kveld",IF(MOD(A2076-INDEX(SkiftStart,L2076),Syklus)&lt;DagK+DagH,"Helg",IF(MOD(A2076-INDEX(SkiftStart,L2076),Syklus)&lt;DagK+DagH+DagD,"Dag","Fri"))))</f>
        <v/>
      </c>
      <c r="J2076" s="30">
        <f>IF(I2076="Fri","Ja","")</f>
        <v/>
      </c>
      <c r="K2076" s="30">
        <f>IF(B2076="","",IF(L2076="","Ukjent tekniker",IF(ISNA(MATCH(C2076,Aktiviteter,0)),"Ukjent aktivitet",IF(AND(INDEX(AktRolle,MATCH(C2076,Aktiviteter,0))&amp;""&lt;&gt;"",ISERROR(SEARCH(INDEX(AktRolle,MATCH(C2076,Aktiviteter,0))&amp;"",INDEX(TekRoller,MATCH(B2076,Teknikere,0))))),"Mangler rollen "&amp;INDEX(AktRolle,MATCH(C2076,Aktiviteter,0))&amp;"",IF(AND(C2076="LMS",F2076&gt;0,OR(D2076="",E2076="")),"Mangler maskin eller arbeid",IF(AND(OR(C2076="LMS",C2076="Mod"),D2076&lt;&gt;""),IF(IFERROR(INDEX(MaskinStatus,MATCH(D2076,Maskiner,0)),"")="I dokk","","Maskinen er ikke i dokk"),""))))))</f>
        <v/>
      </c>
      <c r="L2076" s="2">
        <f>IF(B2076="","",IFERROR(INT((MATCH(B2076,Teknikere,0)-1)/18)+1,""))</f>
        <v/>
      </c>
      <c r="M2076" s="2">
        <f>IF(OR(A2076="",B2076=""),"",B2076&amp;"|"&amp;A2076)</f>
        <v/>
      </c>
      <c r="N2076" s="2">
        <f>IF(M2076="","",SUMIFS(TF_Timer,TF_Nokkel,M2076,TF_Akt,C2076))</f>
        <v/>
      </c>
      <c r="O2076" s="2">
        <f>IF(M2076="","",IF(AND(N2076=_xlfn.MAXIFS(TF_AktSum,TF_Nokkel,M2076),COUNTIFS(M$3:M2075,M2076,N$3:N2075,N2076)=0),M2076,""))</f>
        <v/>
      </c>
    </row>
    <row r="2077">
      <c r="A2077" s="34" t="n"/>
      <c r="B2077" s="35" t="n"/>
      <c r="C2077" s="35" t="n"/>
      <c r="D2077" s="35" t="n"/>
      <c r="E2077" s="35" t="n"/>
      <c r="F2077" s="36" t="n"/>
      <c r="G2077" s="35" t="n"/>
      <c r="H2077" s="30">
        <f>IF(L2077="","",INDEX(SkiftNavn,L2077))</f>
        <v/>
      </c>
      <c r="I2077" s="30">
        <f>IF(OR(A2077="",L2077=""),"",IF(MOD(A2077-INDEX(SkiftStart,L2077),Syklus)&lt;DagK,"Kveld",IF(MOD(A2077-INDEX(SkiftStart,L2077),Syklus)&lt;DagK+DagH,"Helg",IF(MOD(A2077-INDEX(SkiftStart,L2077),Syklus)&lt;DagK+DagH+DagD,"Dag","Fri"))))</f>
        <v/>
      </c>
      <c r="J2077" s="30">
        <f>IF(I2077="Fri","Ja","")</f>
        <v/>
      </c>
      <c r="K2077" s="30">
        <f>IF(B2077="","",IF(L2077="","Ukjent tekniker",IF(ISNA(MATCH(C2077,Aktiviteter,0)),"Ukjent aktivitet",IF(AND(INDEX(AktRolle,MATCH(C2077,Aktiviteter,0))&amp;""&lt;&gt;"",ISERROR(SEARCH(INDEX(AktRolle,MATCH(C2077,Aktiviteter,0))&amp;"",INDEX(TekRoller,MATCH(B2077,Teknikere,0))))),"Mangler rollen "&amp;INDEX(AktRolle,MATCH(C2077,Aktiviteter,0))&amp;"",IF(AND(C2077="LMS",F2077&gt;0,OR(D2077="",E2077="")),"Mangler maskin eller arbeid",IF(AND(OR(C2077="LMS",C2077="Mod"),D2077&lt;&gt;""),IF(IFERROR(INDEX(MaskinStatus,MATCH(D2077,Maskiner,0)),"")="I dokk","","Maskinen er ikke i dokk"),""))))))</f>
        <v/>
      </c>
      <c r="L2077" s="2">
        <f>IF(B2077="","",IFERROR(INT((MATCH(B2077,Teknikere,0)-1)/18)+1,""))</f>
        <v/>
      </c>
      <c r="M2077" s="2">
        <f>IF(OR(A2077="",B2077=""),"",B2077&amp;"|"&amp;A2077)</f>
        <v/>
      </c>
      <c r="N2077" s="2">
        <f>IF(M2077="","",SUMIFS(TF_Timer,TF_Nokkel,M2077,TF_Akt,C2077))</f>
        <v/>
      </c>
      <c r="O2077" s="2">
        <f>IF(M2077="","",IF(AND(N2077=_xlfn.MAXIFS(TF_AktSum,TF_Nokkel,M2077),COUNTIFS(M$3:M2076,M2077,N$3:N2076,N2077)=0),M2077,""))</f>
        <v/>
      </c>
    </row>
    <row r="2078">
      <c r="A2078" s="34" t="n"/>
      <c r="B2078" s="35" t="n"/>
      <c r="C2078" s="35" t="n"/>
      <c r="D2078" s="35" t="n"/>
      <c r="E2078" s="35" t="n"/>
      <c r="F2078" s="36" t="n"/>
      <c r="G2078" s="35" t="n"/>
      <c r="H2078" s="30">
        <f>IF(L2078="","",INDEX(SkiftNavn,L2078))</f>
        <v/>
      </c>
      <c r="I2078" s="30">
        <f>IF(OR(A2078="",L2078=""),"",IF(MOD(A2078-INDEX(SkiftStart,L2078),Syklus)&lt;DagK,"Kveld",IF(MOD(A2078-INDEX(SkiftStart,L2078),Syklus)&lt;DagK+DagH,"Helg",IF(MOD(A2078-INDEX(SkiftStart,L2078),Syklus)&lt;DagK+DagH+DagD,"Dag","Fri"))))</f>
        <v/>
      </c>
      <c r="J2078" s="30">
        <f>IF(I2078="Fri","Ja","")</f>
        <v/>
      </c>
      <c r="K2078" s="30">
        <f>IF(B2078="","",IF(L2078="","Ukjent tekniker",IF(ISNA(MATCH(C2078,Aktiviteter,0)),"Ukjent aktivitet",IF(AND(INDEX(AktRolle,MATCH(C2078,Aktiviteter,0))&amp;""&lt;&gt;"",ISERROR(SEARCH(INDEX(AktRolle,MATCH(C2078,Aktiviteter,0))&amp;"",INDEX(TekRoller,MATCH(B2078,Teknikere,0))))),"Mangler rollen "&amp;INDEX(AktRolle,MATCH(C2078,Aktiviteter,0))&amp;"",IF(AND(C2078="LMS",F2078&gt;0,OR(D2078="",E2078="")),"Mangler maskin eller arbeid",IF(AND(OR(C2078="LMS",C2078="Mod"),D2078&lt;&gt;""),IF(IFERROR(INDEX(MaskinStatus,MATCH(D2078,Maskiner,0)),"")="I dokk","","Maskinen er ikke i dokk"),""))))))</f>
        <v/>
      </c>
      <c r="L2078" s="2">
        <f>IF(B2078="","",IFERROR(INT((MATCH(B2078,Teknikere,0)-1)/18)+1,""))</f>
        <v/>
      </c>
      <c r="M2078" s="2">
        <f>IF(OR(A2078="",B2078=""),"",B2078&amp;"|"&amp;A2078)</f>
        <v/>
      </c>
      <c r="N2078" s="2">
        <f>IF(M2078="","",SUMIFS(TF_Timer,TF_Nokkel,M2078,TF_Akt,C2078))</f>
        <v/>
      </c>
      <c r="O2078" s="2">
        <f>IF(M2078="","",IF(AND(N2078=_xlfn.MAXIFS(TF_AktSum,TF_Nokkel,M2078),COUNTIFS(M$3:M2077,M2078,N$3:N2077,N2078)=0),M2078,""))</f>
        <v/>
      </c>
    </row>
    <row r="2079">
      <c r="A2079" s="34" t="n"/>
      <c r="B2079" s="35" t="n"/>
      <c r="C2079" s="35" t="n"/>
      <c r="D2079" s="35" t="n"/>
      <c r="E2079" s="35" t="n"/>
      <c r="F2079" s="36" t="n"/>
      <c r="G2079" s="35" t="n"/>
      <c r="H2079" s="30">
        <f>IF(L2079="","",INDEX(SkiftNavn,L2079))</f>
        <v/>
      </c>
      <c r="I2079" s="30">
        <f>IF(OR(A2079="",L2079=""),"",IF(MOD(A2079-INDEX(SkiftStart,L2079),Syklus)&lt;DagK,"Kveld",IF(MOD(A2079-INDEX(SkiftStart,L2079),Syklus)&lt;DagK+DagH,"Helg",IF(MOD(A2079-INDEX(SkiftStart,L2079),Syklus)&lt;DagK+DagH+DagD,"Dag","Fri"))))</f>
        <v/>
      </c>
      <c r="J2079" s="30">
        <f>IF(I2079="Fri","Ja","")</f>
        <v/>
      </c>
      <c r="K2079" s="30">
        <f>IF(B2079="","",IF(L2079="","Ukjent tekniker",IF(ISNA(MATCH(C2079,Aktiviteter,0)),"Ukjent aktivitet",IF(AND(INDEX(AktRolle,MATCH(C2079,Aktiviteter,0))&amp;""&lt;&gt;"",ISERROR(SEARCH(INDEX(AktRolle,MATCH(C2079,Aktiviteter,0))&amp;"",INDEX(TekRoller,MATCH(B2079,Teknikere,0))))),"Mangler rollen "&amp;INDEX(AktRolle,MATCH(C2079,Aktiviteter,0))&amp;"",IF(AND(C2079="LMS",F2079&gt;0,OR(D2079="",E2079="")),"Mangler maskin eller arbeid",IF(AND(OR(C2079="LMS",C2079="Mod"),D2079&lt;&gt;""),IF(IFERROR(INDEX(MaskinStatus,MATCH(D2079,Maskiner,0)),"")="I dokk","","Maskinen er ikke i dokk"),""))))))</f>
        <v/>
      </c>
      <c r="L2079" s="2">
        <f>IF(B2079="","",IFERROR(INT((MATCH(B2079,Teknikere,0)-1)/18)+1,""))</f>
        <v/>
      </c>
      <c r="M2079" s="2">
        <f>IF(OR(A2079="",B2079=""),"",B2079&amp;"|"&amp;A2079)</f>
        <v/>
      </c>
      <c r="N2079" s="2">
        <f>IF(M2079="","",SUMIFS(TF_Timer,TF_Nokkel,M2079,TF_Akt,C2079))</f>
        <v/>
      </c>
      <c r="O2079" s="2">
        <f>IF(M2079="","",IF(AND(N2079=_xlfn.MAXIFS(TF_AktSum,TF_Nokkel,M2079),COUNTIFS(M$3:M2078,M2079,N$3:N2078,N2079)=0),M2079,""))</f>
        <v/>
      </c>
    </row>
    <row r="2080">
      <c r="A2080" s="34" t="n"/>
      <c r="B2080" s="35" t="n"/>
      <c r="C2080" s="35" t="n"/>
      <c r="D2080" s="35" t="n"/>
      <c r="E2080" s="35" t="n"/>
      <c r="F2080" s="36" t="n"/>
      <c r="G2080" s="35" t="n"/>
      <c r="H2080" s="30">
        <f>IF(L2080="","",INDEX(SkiftNavn,L2080))</f>
        <v/>
      </c>
      <c r="I2080" s="30">
        <f>IF(OR(A2080="",L2080=""),"",IF(MOD(A2080-INDEX(SkiftStart,L2080),Syklus)&lt;DagK,"Kveld",IF(MOD(A2080-INDEX(SkiftStart,L2080),Syklus)&lt;DagK+DagH,"Helg",IF(MOD(A2080-INDEX(SkiftStart,L2080),Syklus)&lt;DagK+DagH+DagD,"Dag","Fri"))))</f>
        <v/>
      </c>
      <c r="J2080" s="30">
        <f>IF(I2080="Fri","Ja","")</f>
        <v/>
      </c>
      <c r="K2080" s="30">
        <f>IF(B2080="","",IF(L2080="","Ukjent tekniker",IF(ISNA(MATCH(C2080,Aktiviteter,0)),"Ukjent aktivitet",IF(AND(INDEX(AktRolle,MATCH(C2080,Aktiviteter,0))&amp;""&lt;&gt;"",ISERROR(SEARCH(INDEX(AktRolle,MATCH(C2080,Aktiviteter,0))&amp;"",INDEX(TekRoller,MATCH(B2080,Teknikere,0))))),"Mangler rollen "&amp;INDEX(AktRolle,MATCH(C2080,Aktiviteter,0))&amp;"",IF(AND(C2080="LMS",F2080&gt;0,OR(D2080="",E2080="")),"Mangler maskin eller arbeid",IF(AND(OR(C2080="LMS",C2080="Mod"),D2080&lt;&gt;""),IF(IFERROR(INDEX(MaskinStatus,MATCH(D2080,Maskiner,0)),"")="I dokk","","Maskinen er ikke i dokk"),""))))))</f>
        <v/>
      </c>
      <c r="L2080" s="2">
        <f>IF(B2080="","",IFERROR(INT((MATCH(B2080,Teknikere,0)-1)/18)+1,""))</f>
        <v/>
      </c>
      <c r="M2080" s="2">
        <f>IF(OR(A2080="",B2080=""),"",B2080&amp;"|"&amp;A2080)</f>
        <v/>
      </c>
      <c r="N2080" s="2">
        <f>IF(M2080="","",SUMIFS(TF_Timer,TF_Nokkel,M2080,TF_Akt,C2080))</f>
        <v/>
      </c>
      <c r="O2080" s="2">
        <f>IF(M2080="","",IF(AND(N2080=_xlfn.MAXIFS(TF_AktSum,TF_Nokkel,M2080),COUNTIFS(M$3:M2079,M2080,N$3:N2079,N2080)=0),M2080,""))</f>
        <v/>
      </c>
    </row>
    <row r="2081">
      <c r="A2081" s="34" t="n"/>
      <c r="B2081" s="35" t="n"/>
      <c r="C2081" s="35" t="n"/>
      <c r="D2081" s="35" t="n"/>
      <c r="E2081" s="35" t="n"/>
      <c r="F2081" s="36" t="n"/>
      <c r="G2081" s="35" t="n"/>
      <c r="H2081" s="30">
        <f>IF(L2081="","",INDEX(SkiftNavn,L2081))</f>
        <v/>
      </c>
      <c r="I2081" s="30">
        <f>IF(OR(A2081="",L2081=""),"",IF(MOD(A2081-INDEX(SkiftStart,L2081),Syklus)&lt;DagK,"Kveld",IF(MOD(A2081-INDEX(SkiftStart,L2081),Syklus)&lt;DagK+DagH,"Helg",IF(MOD(A2081-INDEX(SkiftStart,L2081),Syklus)&lt;DagK+DagH+DagD,"Dag","Fri"))))</f>
        <v/>
      </c>
      <c r="J2081" s="30">
        <f>IF(I2081="Fri","Ja","")</f>
        <v/>
      </c>
      <c r="K2081" s="30">
        <f>IF(B2081="","",IF(L2081="","Ukjent tekniker",IF(ISNA(MATCH(C2081,Aktiviteter,0)),"Ukjent aktivitet",IF(AND(INDEX(AktRolle,MATCH(C2081,Aktiviteter,0))&amp;""&lt;&gt;"",ISERROR(SEARCH(INDEX(AktRolle,MATCH(C2081,Aktiviteter,0))&amp;"",INDEX(TekRoller,MATCH(B2081,Teknikere,0))))),"Mangler rollen "&amp;INDEX(AktRolle,MATCH(C2081,Aktiviteter,0))&amp;"",IF(AND(C2081="LMS",F2081&gt;0,OR(D2081="",E2081="")),"Mangler maskin eller arbeid",IF(AND(OR(C2081="LMS",C2081="Mod"),D2081&lt;&gt;""),IF(IFERROR(INDEX(MaskinStatus,MATCH(D2081,Maskiner,0)),"")="I dokk","","Maskinen er ikke i dokk"),""))))))</f>
        <v/>
      </c>
      <c r="L2081" s="2">
        <f>IF(B2081="","",IFERROR(INT((MATCH(B2081,Teknikere,0)-1)/18)+1,""))</f>
        <v/>
      </c>
      <c r="M2081" s="2">
        <f>IF(OR(A2081="",B2081=""),"",B2081&amp;"|"&amp;A2081)</f>
        <v/>
      </c>
      <c r="N2081" s="2">
        <f>IF(M2081="","",SUMIFS(TF_Timer,TF_Nokkel,M2081,TF_Akt,C2081))</f>
        <v/>
      </c>
      <c r="O2081" s="2">
        <f>IF(M2081="","",IF(AND(N2081=_xlfn.MAXIFS(TF_AktSum,TF_Nokkel,M2081),COUNTIFS(M$3:M2080,M2081,N$3:N2080,N2081)=0),M2081,""))</f>
        <v/>
      </c>
    </row>
    <row r="2082">
      <c r="A2082" s="34" t="n"/>
      <c r="B2082" s="35" t="n"/>
      <c r="C2082" s="35" t="n"/>
      <c r="D2082" s="35" t="n"/>
      <c r="E2082" s="35" t="n"/>
      <c r="F2082" s="36" t="n"/>
      <c r="G2082" s="35" t="n"/>
      <c r="H2082" s="30">
        <f>IF(L2082="","",INDEX(SkiftNavn,L2082))</f>
        <v/>
      </c>
      <c r="I2082" s="30">
        <f>IF(OR(A2082="",L2082=""),"",IF(MOD(A2082-INDEX(SkiftStart,L2082),Syklus)&lt;DagK,"Kveld",IF(MOD(A2082-INDEX(SkiftStart,L2082),Syklus)&lt;DagK+DagH,"Helg",IF(MOD(A2082-INDEX(SkiftStart,L2082),Syklus)&lt;DagK+DagH+DagD,"Dag","Fri"))))</f>
        <v/>
      </c>
      <c r="J2082" s="30">
        <f>IF(I2082="Fri","Ja","")</f>
        <v/>
      </c>
      <c r="K2082" s="30">
        <f>IF(B2082="","",IF(L2082="","Ukjent tekniker",IF(ISNA(MATCH(C2082,Aktiviteter,0)),"Ukjent aktivitet",IF(AND(INDEX(AktRolle,MATCH(C2082,Aktiviteter,0))&amp;""&lt;&gt;"",ISERROR(SEARCH(INDEX(AktRolle,MATCH(C2082,Aktiviteter,0))&amp;"",INDEX(TekRoller,MATCH(B2082,Teknikere,0))))),"Mangler rollen "&amp;INDEX(AktRolle,MATCH(C2082,Aktiviteter,0))&amp;"",IF(AND(C2082="LMS",F2082&gt;0,OR(D2082="",E2082="")),"Mangler maskin eller arbeid",IF(AND(OR(C2082="LMS",C2082="Mod"),D2082&lt;&gt;""),IF(IFERROR(INDEX(MaskinStatus,MATCH(D2082,Maskiner,0)),"")="I dokk","","Maskinen er ikke i dokk"),""))))))</f>
        <v/>
      </c>
      <c r="L2082" s="2">
        <f>IF(B2082="","",IFERROR(INT((MATCH(B2082,Teknikere,0)-1)/18)+1,""))</f>
        <v/>
      </c>
      <c r="M2082" s="2">
        <f>IF(OR(A2082="",B2082=""),"",B2082&amp;"|"&amp;A2082)</f>
        <v/>
      </c>
      <c r="N2082" s="2">
        <f>IF(M2082="","",SUMIFS(TF_Timer,TF_Nokkel,M2082,TF_Akt,C2082))</f>
        <v/>
      </c>
      <c r="O2082" s="2">
        <f>IF(M2082="","",IF(AND(N2082=_xlfn.MAXIFS(TF_AktSum,TF_Nokkel,M2082),COUNTIFS(M$3:M2081,M2082,N$3:N2081,N2082)=0),M2082,""))</f>
        <v/>
      </c>
    </row>
    <row r="2083">
      <c r="A2083" s="34" t="n"/>
      <c r="B2083" s="35" t="n"/>
      <c r="C2083" s="35" t="n"/>
      <c r="D2083" s="35" t="n"/>
      <c r="E2083" s="35" t="n"/>
      <c r="F2083" s="36" t="n"/>
      <c r="G2083" s="35" t="n"/>
      <c r="H2083" s="30">
        <f>IF(L2083="","",INDEX(SkiftNavn,L2083))</f>
        <v/>
      </c>
      <c r="I2083" s="30">
        <f>IF(OR(A2083="",L2083=""),"",IF(MOD(A2083-INDEX(SkiftStart,L2083),Syklus)&lt;DagK,"Kveld",IF(MOD(A2083-INDEX(SkiftStart,L2083),Syklus)&lt;DagK+DagH,"Helg",IF(MOD(A2083-INDEX(SkiftStart,L2083),Syklus)&lt;DagK+DagH+DagD,"Dag","Fri"))))</f>
        <v/>
      </c>
      <c r="J2083" s="30">
        <f>IF(I2083="Fri","Ja","")</f>
        <v/>
      </c>
      <c r="K2083" s="30">
        <f>IF(B2083="","",IF(L2083="","Ukjent tekniker",IF(ISNA(MATCH(C2083,Aktiviteter,0)),"Ukjent aktivitet",IF(AND(INDEX(AktRolle,MATCH(C2083,Aktiviteter,0))&amp;""&lt;&gt;"",ISERROR(SEARCH(INDEX(AktRolle,MATCH(C2083,Aktiviteter,0))&amp;"",INDEX(TekRoller,MATCH(B2083,Teknikere,0))))),"Mangler rollen "&amp;INDEX(AktRolle,MATCH(C2083,Aktiviteter,0))&amp;"",IF(AND(C2083="LMS",F2083&gt;0,OR(D2083="",E2083="")),"Mangler maskin eller arbeid",IF(AND(OR(C2083="LMS",C2083="Mod"),D2083&lt;&gt;""),IF(IFERROR(INDEX(MaskinStatus,MATCH(D2083,Maskiner,0)),"")="I dokk","","Maskinen er ikke i dokk"),""))))))</f>
        <v/>
      </c>
      <c r="L2083" s="2">
        <f>IF(B2083="","",IFERROR(INT((MATCH(B2083,Teknikere,0)-1)/18)+1,""))</f>
        <v/>
      </c>
      <c r="M2083" s="2">
        <f>IF(OR(A2083="",B2083=""),"",B2083&amp;"|"&amp;A2083)</f>
        <v/>
      </c>
      <c r="N2083" s="2">
        <f>IF(M2083="","",SUMIFS(TF_Timer,TF_Nokkel,M2083,TF_Akt,C2083))</f>
        <v/>
      </c>
      <c r="O2083" s="2">
        <f>IF(M2083="","",IF(AND(N2083=_xlfn.MAXIFS(TF_AktSum,TF_Nokkel,M2083),COUNTIFS(M$3:M2082,M2083,N$3:N2082,N2083)=0),M2083,""))</f>
        <v/>
      </c>
    </row>
    <row r="2084">
      <c r="A2084" s="34" t="n"/>
      <c r="B2084" s="35" t="n"/>
      <c r="C2084" s="35" t="n"/>
      <c r="D2084" s="35" t="n"/>
      <c r="E2084" s="35" t="n"/>
      <c r="F2084" s="36" t="n"/>
      <c r="G2084" s="35" t="n"/>
      <c r="H2084" s="30">
        <f>IF(L2084="","",INDEX(SkiftNavn,L2084))</f>
        <v/>
      </c>
      <c r="I2084" s="30">
        <f>IF(OR(A2084="",L2084=""),"",IF(MOD(A2084-INDEX(SkiftStart,L2084),Syklus)&lt;DagK,"Kveld",IF(MOD(A2084-INDEX(SkiftStart,L2084),Syklus)&lt;DagK+DagH,"Helg",IF(MOD(A2084-INDEX(SkiftStart,L2084),Syklus)&lt;DagK+DagH+DagD,"Dag","Fri"))))</f>
        <v/>
      </c>
      <c r="J2084" s="30">
        <f>IF(I2084="Fri","Ja","")</f>
        <v/>
      </c>
      <c r="K2084" s="30">
        <f>IF(B2084="","",IF(L2084="","Ukjent tekniker",IF(ISNA(MATCH(C2084,Aktiviteter,0)),"Ukjent aktivitet",IF(AND(INDEX(AktRolle,MATCH(C2084,Aktiviteter,0))&amp;""&lt;&gt;"",ISERROR(SEARCH(INDEX(AktRolle,MATCH(C2084,Aktiviteter,0))&amp;"",INDEX(TekRoller,MATCH(B2084,Teknikere,0))))),"Mangler rollen "&amp;INDEX(AktRolle,MATCH(C2084,Aktiviteter,0))&amp;"",IF(AND(C2084="LMS",F2084&gt;0,OR(D2084="",E2084="")),"Mangler maskin eller arbeid",IF(AND(OR(C2084="LMS",C2084="Mod"),D2084&lt;&gt;""),IF(IFERROR(INDEX(MaskinStatus,MATCH(D2084,Maskiner,0)),"")="I dokk","","Maskinen er ikke i dokk"),""))))))</f>
        <v/>
      </c>
      <c r="L2084" s="2">
        <f>IF(B2084="","",IFERROR(INT((MATCH(B2084,Teknikere,0)-1)/18)+1,""))</f>
        <v/>
      </c>
      <c r="M2084" s="2">
        <f>IF(OR(A2084="",B2084=""),"",B2084&amp;"|"&amp;A2084)</f>
        <v/>
      </c>
      <c r="N2084" s="2">
        <f>IF(M2084="","",SUMIFS(TF_Timer,TF_Nokkel,M2084,TF_Akt,C2084))</f>
        <v/>
      </c>
      <c r="O2084" s="2">
        <f>IF(M2084="","",IF(AND(N2084=_xlfn.MAXIFS(TF_AktSum,TF_Nokkel,M2084),COUNTIFS(M$3:M2083,M2084,N$3:N2083,N2084)=0),M2084,""))</f>
        <v/>
      </c>
    </row>
    <row r="2085">
      <c r="A2085" s="34" t="n"/>
      <c r="B2085" s="35" t="n"/>
      <c r="C2085" s="35" t="n"/>
      <c r="D2085" s="35" t="n"/>
      <c r="E2085" s="35" t="n"/>
      <c r="F2085" s="36" t="n"/>
      <c r="G2085" s="35" t="n"/>
      <c r="H2085" s="30">
        <f>IF(L2085="","",INDEX(SkiftNavn,L2085))</f>
        <v/>
      </c>
      <c r="I2085" s="30">
        <f>IF(OR(A2085="",L2085=""),"",IF(MOD(A2085-INDEX(SkiftStart,L2085),Syklus)&lt;DagK,"Kveld",IF(MOD(A2085-INDEX(SkiftStart,L2085),Syklus)&lt;DagK+DagH,"Helg",IF(MOD(A2085-INDEX(SkiftStart,L2085),Syklus)&lt;DagK+DagH+DagD,"Dag","Fri"))))</f>
        <v/>
      </c>
      <c r="J2085" s="30">
        <f>IF(I2085="Fri","Ja","")</f>
        <v/>
      </c>
      <c r="K2085" s="30">
        <f>IF(B2085="","",IF(L2085="","Ukjent tekniker",IF(ISNA(MATCH(C2085,Aktiviteter,0)),"Ukjent aktivitet",IF(AND(INDEX(AktRolle,MATCH(C2085,Aktiviteter,0))&amp;""&lt;&gt;"",ISERROR(SEARCH(INDEX(AktRolle,MATCH(C2085,Aktiviteter,0))&amp;"",INDEX(TekRoller,MATCH(B2085,Teknikere,0))))),"Mangler rollen "&amp;INDEX(AktRolle,MATCH(C2085,Aktiviteter,0))&amp;"",IF(AND(C2085="LMS",F2085&gt;0,OR(D2085="",E2085="")),"Mangler maskin eller arbeid",IF(AND(OR(C2085="LMS",C2085="Mod"),D2085&lt;&gt;""),IF(IFERROR(INDEX(MaskinStatus,MATCH(D2085,Maskiner,0)),"")="I dokk","","Maskinen er ikke i dokk"),""))))))</f>
        <v/>
      </c>
      <c r="L2085" s="2">
        <f>IF(B2085="","",IFERROR(INT((MATCH(B2085,Teknikere,0)-1)/18)+1,""))</f>
        <v/>
      </c>
      <c r="M2085" s="2">
        <f>IF(OR(A2085="",B2085=""),"",B2085&amp;"|"&amp;A2085)</f>
        <v/>
      </c>
      <c r="N2085" s="2">
        <f>IF(M2085="","",SUMIFS(TF_Timer,TF_Nokkel,M2085,TF_Akt,C2085))</f>
        <v/>
      </c>
      <c r="O2085" s="2">
        <f>IF(M2085="","",IF(AND(N2085=_xlfn.MAXIFS(TF_AktSum,TF_Nokkel,M2085),COUNTIFS(M$3:M2084,M2085,N$3:N2084,N2085)=0),M2085,""))</f>
        <v/>
      </c>
    </row>
    <row r="2086">
      <c r="A2086" s="34" t="n"/>
      <c r="B2086" s="35" t="n"/>
      <c r="C2086" s="35" t="n"/>
      <c r="D2086" s="35" t="n"/>
      <c r="E2086" s="35" t="n"/>
      <c r="F2086" s="36" t="n"/>
      <c r="G2086" s="35" t="n"/>
      <c r="H2086" s="30">
        <f>IF(L2086="","",INDEX(SkiftNavn,L2086))</f>
        <v/>
      </c>
      <c r="I2086" s="30">
        <f>IF(OR(A2086="",L2086=""),"",IF(MOD(A2086-INDEX(SkiftStart,L2086),Syklus)&lt;DagK,"Kveld",IF(MOD(A2086-INDEX(SkiftStart,L2086),Syklus)&lt;DagK+DagH,"Helg",IF(MOD(A2086-INDEX(SkiftStart,L2086),Syklus)&lt;DagK+DagH+DagD,"Dag","Fri"))))</f>
        <v/>
      </c>
      <c r="J2086" s="30">
        <f>IF(I2086="Fri","Ja","")</f>
        <v/>
      </c>
      <c r="K2086" s="30">
        <f>IF(B2086="","",IF(L2086="","Ukjent tekniker",IF(ISNA(MATCH(C2086,Aktiviteter,0)),"Ukjent aktivitet",IF(AND(INDEX(AktRolle,MATCH(C2086,Aktiviteter,0))&amp;""&lt;&gt;"",ISERROR(SEARCH(INDEX(AktRolle,MATCH(C2086,Aktiviteter,0))&amp;"",INDEX(TekRoller,MATCH(B2086,Teknikere,0))))),"Mangler rollen "&amp;INDEX(AktRolle,MATCH(C2086,Aktiviteter,0))&amp;"",IF(AND(C2086="LMS",F2086&gt;0,OR(D2086="",E2086="")),"Mangler maskin eller arbeid",IF(AND(OR(C2086="LMS",C2086="Mod"),D2086&lt;&gt;""),IF(IFERROR(INDEX(MaskinStatus,MATCH(D2086,Maskiner,0)),"")="I dokk","","Maskinen er ikke i dokk"),""))))))</f>
        <v/>
      </c>
      <c r="L2086" s="2">
        <f>IF(B2086="","",IFERROR(INT((MATCH(B2086,Teknikere,0)-1)/18)+1,""))</f>
        <v/>
      </c>
      <c r="M2086" s="2">
        <f>IF(OR(A2086="",B2086=""),"",B2086&amp;"|"&amp;A2086)</f>
        <v/>
      </c>
      <c r="N2086" s="2">
        <f>IF(M2086="","",SUMIFS(TF_Timer,TF_Nokkel,M2086,TF_Akt,C2086))</f>
        <v/>
      </c>
      <c r="O2086" s="2">
        <f>IF(M2086="","",IF(AND(N2086=_xlfn.MAXIFS(TF_AktSum,TF_Nokkel,M2086),COUNTIFS(M$3:M2085,M2086,N$3:N2085,N2086)=0),M2086,""))</f>
        <v/>
      </c>
    </row>
    <row r="2087">
      <c r="A2087" s="34" t="n"/>
      <c r="B2087" s="35" t="n"/>
      <c r="C2087" s="35" t="n"/>
      <c r="D2087" s="35" t="n"/>
      <c r="E2087" s="35" t="n"/>
      <c r="F2087" s="36" t="n"/>
      <c r="G2087" s="35" t="n"/>
      <c r="H2087" s="30">
        <f>IF(L2087="","",INDEX(SkiftNavn,L2087))</f>
        <v/>
      </c>
      <c r="I2087" s="30">
        <f>IF(OR(A2087="",L2087=""),"",IF(MOD(A2087-INDEX(SkiftStart,L2087),Syklus)&lt;DagK,"Kveld",IF(MOD(A2087-INDEX(SkiftStart,L2087),Syklus)&lt;DagK+DagH,"Helg",IF(MOD(A2087-INDEX(SkiftStart,L2087),Syklus)&lt;DagK+DagH+DagD,"Dag","Fri"))))</f>
        <v/>
      </c>
      <c r="J2087" s="30">
        <f>IF(I2087="Fri","Ja","")</f>
        <v/>
      </c>
      <c r="K2087" s="30">
        <f>IF(B2087="","",IF(L2087="","Ukjent tekniker",IF(ISNA(MATCH(C2087,Aktiviteter,0)),"Ukjent aktivitet",IF(AND(INDEX(AktRolle,MATCH(C2087,Aktiviteter,0))&amp;""&lt;&gt;"",ISERROR(SEARCH(INDEX(AktRolle,MATCH(C2087,Aktiviteter,0))&amp;"",INDEX(TekRoller,MATCH(B2087,Teknikere,0))))),"Mangler rollen "&amp;INDEX(AktRolle,MATCH(C2087,Aktiviteter,0))&amp;"",IF(AND(C2087="LMS",F2087&gt;0,OR(D2087="",E2087="")),"Mangler maskin eller arbeid",IF(AND(OR(C2087="LMS",C2087="Mod"),D2087&lt;&gt;""),IF(IFERROR(INDEX(MaskinStatus,MATCH(D2087,Maskiner,0)),"")="I dokk","","Maskinen er ikke i dokk"),""))))))</f>
        <v/>
      </c>
      <c r="L2087" s="2">
        <f>IF(B2087="","",IFERROR(INT((MATCH(B2087,Teknikere,0)-1)/18)+1,""))</f>
        <v/>
      </c>
      <c r="M2087" s="2">
        <f>IF(OR(A2087="",B2087=""),"",B2087&amp;"|"&amp;A2087)</f>
        <v/>
      </c>
      <c r="N2087" s="2">
        <f>IF(M2087="","",SUMIFS(TF_Timer,TF_Nokkel,M2087,TF_Akt,C2087))</f>
        <v/>
      </c>
      <c r="O2087" s="2">
        <f>IF(M2087="","",IF(AND(N2087=_xlfn.MAXIFS(TF_AktSum,TF_Nokkel,M2087),COUNTIFS(M$3:M2086,M2087,N$3:N2086,N2087)=0),M2087,""))</f>
        <v/>
      </c>
    </row>
    <row r="2088">
      <c r="A2088" s="34" t="n"/>
      <c r="B2088" s="35" t="n"/>
      <c r="C2088" s="35" t="n"/>
      <c r="D2088" s="35" t="n"/>
      <c r="E2088" s="35" t="n"/>
      <c r="F2088" s="36" t="n"/>
      <c r="G2088" s="35" t="n"/>
      <c r="H2088" s="30">
        <f>IF(L2088="","",INDEX(SkiftNavn,L2088))</f>
        <v/>
      </c>
      <c r="I2088" s="30">
        <f>IF(OR(A2088="",L2088=""),"",IF(MOD(A2088-INDEX(SkiftStart,L2088),Syklus)&lt;DagK,"Kveld",IF(MOD(A2088-INDEX(SkiftStart,L2088),Syklus)&lt;DagK+DagH,"Helg",IF(MOD(A2088-INDEX(SkiftStart,L2088),Syklus)&lt;DagK+DagH+DagD,"Dag","Fri"))))</f>
        <v/>
      </c>
      <c r="J2088" s="30">
        <f>IF(I2088="Fri","Ja","")</f>
        <v/>
      </c>
      <c r="K2088" s="30">
        <f>IF(B2088="","",IF(L2088="","Ukjent tekniker",IF(ISNA(MATCH(C2088,Aktiviteter,0)),"Ukjent aktivitet",IF(AND(INDEX(AktRolle,MATCH(C2088,Aktiviteter,0))&amp;""&lt;&gt;"",ISERROR(SEARCH(INDEX(AktRolle,MATCH(C2088,Aktiviteter,0))&amp;"",INDEX(TekRoller,MATCH(B2088,Teknikere,0))))),"Mangler rollen "&amp;INDEX(AktRolle,MATCH(C2088,Aktiviteter,0))&amp;"",IF(AND(C2088="LMS",F2088&gt;0,OR(D2088="",E2088="")),"Mangler maskin eller arbeid",IF(AND(OR(C2088="LMS",C2088="Mod"),D2088&lt;&gt;""),IF(IFERROR(INDEX(MaskinStatus,MATCH(D2088,Maskiner,0)),"")="I dokk","","Maskinen er ikke i dokk"),""))))))</f>
        <v/>
      </c>
      <c r="L2088" s="2">
        <f>IF(B2088="","",IFERROR(INT((MATCH(B2088,Teknikere,0)-1)/18)+1,""))</f>
        <v/>
      </c>
      <c r="M2088" s="2">
        <f>IF(OR(A2088="",B2088=""),"",B2088&amp;"|"&amp;A2088)</f>
        <v/>
      </c>
      <c r="N2088" s="2">
        <f>IF(M2088="","",SUMIFS(TF_Timer,TF_Nokkel,M2088,TF_Akt,C2088))</f>
        <v/>
      </c>
      <c r="O2088" s="2">
        <f>IF(M2088="","",IF(AND(N2088=_xlfn.MAXIFS(TF_AktSum,TF_Nokkel,M2088),COUNTIFS(M$3:M2087,M2088,N$3:N2087,N2088)=0),M2088,""))</f>
        <v/>
      </c>
    </row>
    <row r="2089">
      <c r="A2089" s="34" t="n"/>
      <c r="B2089" s="35" t="n"/>
      <c r="C2089" s="35" t="n"/>
      <c r="D2089" s="35" t="n"/>
      <c r="E2089" s="35" t="n"/>
      <c r="F2089" s="36" t="n"/>
      <c r="G2089" s="35" t="n"/>
      <c r="H2089" s="30">
        <f>IF(L2089="","",INDEX(SkiftNavn,L2089))</f>
        <v/>
      </c>
      <c r="I2089" s="30">
        <f>IF(OR(A2089="",L2089=""),"",IF(MOD(A2089-INDEX(SkiftStart,L2089),Syklus)&lt;DagK,"Kveld",IF(MOD(A2089-INDEX(SkiftStart,L2089),Syklus)&lt;DagK+DagH,"Helg",IF(MOD(A2089-INDEX(SkiftStart,L2089),Syklus)&lt;DagK+DagH+DagD,"Dag","Fri"))))</f>
        <v/>
      </c>
      <c r="J2089" s="30">
        <f>IF(I2089="Fri","Ja","")</f>
        <v/>
      </c>
      <c r="K2089" s="30">
        <f>IF(B2089="","",IF(L2089="","Ukjent tekniker",IF(ISNA(MATCH(C2089,Aktiviteter,0)),"Ukjent aktivitet",IF(AND(INDEX(AktRolle,MATCH(C2089,Aktiviteter,0))&amp;""&lt;&gt;"",ISERROR(SEARCH(INDEX(AktRolle,MATCH(C2089,Aktiviteter,0))&amp;"",INDEX(TekRoller,MATCH(B2089,Teknikere,0))))),"Mangler rollen "&amp;INDEX(AktRolle,MATCH(C2089,Aktiviteter,0))&amp;"",IF(AND(C2089="LMS",F2089&gt;0,OR(D2089="",E2089="")),"Mangler maskin eller arbeid",IF(AND(OR(C2089="LMS",C2089="Mod"),D2089&lt;&gt;""),IF(IFERROR(INDEX(MaskinStatus,MATCH(D2089,Maskiner,0)),"")="I dokk","","Maskinen er ikke i dokk"),""))))))</f>
        <v/>
      </c>
      <c r="L2089" s="2">
        <f>IF(B2089="","",IFERROR(INT((MATCH(B2089,Teknikere,0)-1)/18)+1,""))</f>
        <v/>
      </c>
      <c r="M2089" s="2">
        <f>IF(OR(A2089="",B2089=""),"",B2089&amp;"|"&amp;A2089)</f>
        <v/>
      </c>
      <c r="N2089" s="2">
        <f>IF(M2089="","",SUMIFS(TF_Timer,TF_Nokkel,M2089,TF_Akt,C2089))</f>
        <v/>
      </c>
      <c r="O2089" s="2">
        <f>IF(M2089="","",IF(AND(N2089=_xlfn.MAXIFS(TF_AktSum,TF_Nokkel,M2089),COUNTIFS(M$3:M2088,M2089,N$3:N2088,N2089)=0),M2089,""))</f>
        <v/>
      </c>
    </row>
    <row r="2090">
      <c r="A2090" s="34" t="n"/>
      <c r="B2090" s="35" t="n"/>
      <c r="C2090" s="35" t="n"/>
      <c r="D2090" s="35" t="n"/>
      <c r="E2090" s="35" t="n"/>
      <c r="F2090" s="36" t="n"/>
      <c r="G2090" s="35" t="n"/>
      <c r="H2090" s="30">
        <f>IF(L2090="","",INDEX(SkiftNavn,L2090))</f>
        <v/>
      </c>
      <c r="I2090" s="30">
        <f>IF(OR(A2090="",L2090=""),"",IF(MOD(A2090-INDEX(SkiftStart,L2090),Syklus)&lt;DagK,"Kveld",IF(MOD(A2090-INDEX(SkiftStart,L2090),Syklus)&lt;DagK+DagH,"Helg",IF(MOD(A2090-INDEX(SkiftStart,L2090),Syklus)&lt;DagK+DagH+DagD,"Dag","Fri"))))</f>
        <v/>
      </c>
      <c r="J2090" s="30">
        <f>IF(I2090="Fri","Ja","")</f>
        <v/>
      </c>
      <c r="K2090" s="30">
        <f>IF(B2090="","",IF(L2090="","Ukjent tekniker",IF(ISNA(MATCH(C2090,Aktiviteter,0)),"Ukjent aktivitet",IF(AND(INDEX(AktRolle,MATCH(C2090,Aktiviteter,0))&amp;""&lt;&gt;"",ISERROR(SEARCH(INDEX(AktRolle,MATCH(C2090,Aktiviteter,0))&amp;"",INDEX(TekRoller,MATCH(B2090,Teknikere,0))))),"Mangler rollen "&amp;INDEX(AktRolle,MATCH(C2090,Aktiviteter,0))&amp;"",IF(AND(C2090="LMS",F2090&gt;0,OR(D2090="",E2090="")),"Mangler maskin eller arbeid",IF(AND(OR(C2090="LMS",C2090="Mod"),D2090&lt;&gt;""),IF(IFERROR(INDEX(MaskinStatus,MATCH(D2090,Maskiner,0)),"")="I dokk","","Maskinen er ikke i dokk"),""))))))</f>
        <v/>
      </c>
      <c r="L2090" s="2">
        <f>IF(B2090="","",IFERROR(INT((MATCH(B2090,Teknikere,0)-1)/18)+1,""))</f>
        <v/>
      </c>
      <c r="M2090" s="2">
        <f>IF(OR(A2090="",B2090=""),"",B2090&amp;"|"&amp;A2090)</f>
        <v/>
      </c>
      <c r="N2090" s="2">
        <f>IF(M2090="","",SUMIFS(TF_Timer,TF_Nokkel,M2090,TF_Akt,C2090))</f>
        <v/>
      </c>
      <c r="O2090" s="2">
        <f>IF(M2090="","",IF(AND(N2090=_xlfn.MAXIFS(TF_AktSum,TF_Nokkel,M2090),COUNTIFS(M$3:M2089,M2090,N$3:N2089,N2090)=0),M2090,""))</f>
        <v/>
      </c>
    </row>
    <row r="2091">
      <c r="A2091" s="34" t="n"/>
      <c r="B2091" s="35" t="n"/>
      <c r="C2091" s="35" t="n"/>
      <c r="D2091" s="35" t="n"/>
      <c r="E2091" s="35" t="n"/>
      <c r="F2091" s="36" t="n"/>
      <c r="G2091" s="35" t="n"/>
      <c r="H2091" s="30">
        <f>IF(L2091="","",INDEX(SkiftNavn,L2091))</f>
        <v/>
      </c>
      <c r="I2091" s="30">
        <f>IF(OR(A2091="",L2091=""),"",IF(MOD(A2091-INDEX(SkiftStart,L2091),Syklus)&lt;DagK,"Kveld",IF(MOD(A2091-INDEX(SkiftStart,L2091),Syklus)&lt;DagK+DagH,"Helg",IF(MOD(A2091-INDEX(SkiftStart,L2091),Syklus)&lt;DagK+DagH+DagD,"Dag","Fri"))))</f>
        <v/>
      </c>
      <c r="J2091" s="30">
        <f>IF(I2091="Fri","Ja","")</f>
        <v/>
      </c>
      <c r="K2091" s="30">
        <f>IF(B2091="","",IF(L2091="","Ukjent tekniker",IF(ISNA(MATCH(C2091,Aktiviteter,0)),"Ukjent aktivitet",IF(AND(INDEX(AktRolle,MATCH(C2091,Aktiviteter,0))&amp;""&lt;&gt;"",ISERROR(SEARCH(INDEX(AktRolle,MATCH(C2091,Aktiviteter,0))&amp;"",INDEX(TekRoller,MATCH(B2091,Teknikere,0))))),"Mangler rollen "&amp;INDEX(AktRolle,MATCH(C2091,Aktiviteter,0))&amp;"",IF(AND(C2091="LMS",F2091&gt;0,OR(D2091="",E2091="")),"Mangler maskin eller arbeid",IF(AND(OR(C2091="LMS",C2091="Mod"),D2091&lt;&gt;""),IF(IFERROR(INDEX(MaskinStatus,MATCH(D2091,Maskiner,0)),"")="I dokk","","Maskinen er ikke i dokk"),""))))))</f>
        <v/>
      </c>
      <c r="L2091" s="2">
        <f>IF(B2091="","",IFERROR(INT((MATCH(B2091,Teknikere,0)-1)/18)+1,""))</f>
        <v/>
      </c>
      <c r="M2091" s="2">
        <f>IF(OR(A2091="",B2091=""),"",B2091&amp;"|"&amp;A2091)</f>
        <v/>
      </c>
      <c r="N2091" s="2">
        <f>IF(M2091="","",SUMIFS(TF_Timer,TF_Nokkel,M2091,TF_Akt,C2091))</f>
        <v/>
      </c>
      <c r="O2091" s="2">
        <f>IF(M2091="","",IF(AND(N2091=_xlfn.MAXIFS(TF_AktSum,TF_Nokkel,M2091),COUNTIFS(M$3:M2090,M2091,N$3:N2090,N2091)=0),M2091,""))</f>
        <v/>
      </c>
    </row>
    <row r="2092">
      <c r="A2092" s="34" t="n"/>
      <c r="B2092" s="35" t="n"/>
      <c r="C2092" s="35" t="n"/>
      <c r="D2092" s="35" t="n"/>
      <c r="E2092" s="35" t="n"/>
      <c r="F2092" s="36" t="n"/>
      <c r="G2092" s="35" t="n"/>
      <c r="H2092" s="30">
        <f>IF(L2092="","",INDEX(SkiftNavn,L2092))</f>
        <v/>
      </c>
      <c r="I2092" s="30">
        <f>IF(OR(A2092="",L2092=""),"",IF(MOD(A2092-INDEX(SkiftStart,L2092),Syklus)&lt;DagK,"Kveld",IF(MOD(A2092-INDEX(SkiftStart,L2092),Syklus)&lt;DagK+DagH,"Helg",IF(MOD(A2092-INDEX(SkiftStart,L2092),Syklus)&lt;DagK+DagH+DagD,"Dag","Fri"))))</f>
        <v/>
      </c>
      <c r="J2092" s="30">
        <f>IF(I2092="Fri","Ja","")</f>
        <v/>
      </c>
      <c r="K2092" s="30">
        <f>IF(B2092="","",IF(L2092="","Ukjent tekniker",IF(ISNA(MATCH(C2092,Aktiviteter,0)),"Ukjent aktivitet",IF(AND(INDEX(AktRolle,MATCH(C2092,Aktiviteter,0))&amp;""&lt;&gt;"",ISERROR(SEARCH(INDEX(AktRolle,MATCH(C2092,Aktiviteter,0))&amp;"",INDEX(TekRoller,MATCH(B2092,Teknikere,0))))),"Mangler rollen "&amp;INDEX(AktRolle,MATCH(C2092,Aktiviteter,0))&amp;"",IF(AND(C2092="LMS",F2092&gt;0,OR(D2092="",E2092="")),"Mangler maskin eller arbeid",IF(AND(OR(C2092="LMS",C2092="Mod"),D2092&lt;&gt;""),IF(IFERROR(INDEX(MaskinStatus,MATCH(D2092,Maskiner,0)),"")="I dokk","","Maskinen er ikke i dokk"),""))))))</f>
        <v/>
      </c>
      <c r="L2092" s="2">
        <f>IF(B2092="","",IFERROR(INT((MATCH(B2092,Teknikere,0)-1)/18)+1,""))</f>
        <v/>
      </c>
      <c r="M2092" s="2">
        <f>IF(OR(A2092="",B2092=""),"",B2092&amp;"|"&amp;A2092)</f>
        <v/>
      </c>
      <c r="N2092" s="2">
        <f>IF(M2092="","",SUMIFS(TF_Timer,TF_Nokkel,M2092,TF_Akt,C2092))</f>
        <v/>
      </c>
      <c r="O2092" s="2">
        <f>IF(M2092="","",IF(AND(N2092=_xlfn.MAXIFS(TF_AktSum,TF_Nokkel,M2092),COUNTIFS(M$3:M2091,M2092,N$3:N2091,N2092)=0),M2092,""))</f>
        <v/>
      </c>
    </row>
    <row r="2093">
      <c r="A2093" s="34" t="n"/>
      <c r="B2093" s="35" t="n"/>
      <c r="C2093" s="35" t="n"/>
      <c r="D2093" s="35" t="n"/>
      <c r="E2093" s="35" t="n"/>
      <c r="F2093" s="36" t="n"/>
      <c r="G2093" s="35" t="n"/>
      <c r="H2093" s="30">
        <f>IF(L2093="","",INDEX(SkiftNavn,L2093))</f>
        <v/>
      </c>
      <c r="I2093" s="30">
        <f>IF(OR(A2093="",L2093=""),"",IF(MOD(A2093-INDEX(SkiftStart,L2093),Syklus)&lt;DagK,"Kveld",IF(MOD(A2093-INDEX(SkiftStart,L2093),Syklus)&lt;DagK+DagH,"Helg",IF(MOD(A2093-INDEX(SkiftStart,L2093),Syklus)&lt;DagK+DagH+DagD,"Dag","Fri"))))</f>
        <v/>
      </c>
      <c r="J2093" s="30">
        <f>IF(I2093="Fri","Ja","")</f>
        <v/>
      </c>
      <c r="K2093" s="30">
        <f>IF(B2093="","",IF(L2093="","Ukjent tekniker",IF(ISNA(MATCH(C2093,Aktiviteter,0)),"Ukjent aktivitet",IF(AND(INDEX(AktRolle,MATCH(C2093,Aktiviteter,0))&amp;""&lt;&gt;"",ISERROR(SEARCH(INDEX(AktRolle,MATCH(C2093,Aktiviteter,0))&amp;"",INDEX(TekRoller,MATCH(B2093,Teknikere,0))))),"Mangler rollen "&amp;INDEX(AktRolle,MATCH(C2093,Aktiviteter,0))&amp;"",IF(AND(C2093="LMS",F2093&gt;0,OR(D2093="",E2093="")),"Mangler maskin eller arbeid",IF(AND(OR(C2093="LMS",C2093="Mod"),D2093&lt;&gt;""),IF(IFERROR(INDEX(MaskinStatus,MATCH(D2093,Maskiner,0)),"")="I dokk","","Maskinen er ikke i dokk"),""))))))</f>
        <v/>
      </c>
      <c r="L2093" s="2">
        <f>IF(B2093="","",IFERROR(INT((MATCH(B2093,Teknikere,0)-1)/18)+1,""))</f>
        <v/>
      </c>
      <c r="M2093" s="2">
        <f>IF(OR(A2093="",B2093=""),"",B2093&amp;"|"&amp;A2093)</f>
        <v/>
      </c>
      <c r="N2093" s="2">
        <f>IF(M2093="","",SUMIFS(TF_Timer,TF_Nokkel,M2093,TF_Akt,C2093))</f>
        <v/>
      </c>
      <c r="O2093" s="2">
        <f>IF(M2093="","",IF(AND(N2093=_xlfn.MAXIFS(TF_AktSum,TF_Nokkel,M2093),COUNTIFS(M$3:M2092,M2093,N$3:N2092,N2093)=0),M2093,""))</f>
        <v/>
      </c>
    </row>
    <row r="2094">
      <c r="A2094" s="34" t="n"/>
      <c r="B2094" s="35" t="n"/>
      <c r="C2094" s="35" t="n"/>
      <c r="D2094" s="35" t="n"/>
      <c r="E2094" s="35" t="n"/>
      <c r="F2094" s="36" t="n"/>
      <c r="G2094" s="35" t="n"/>
      <c r="H2094" s="30">
        <f>IF(L2094="","",INDEX(SkiftNavn,L2094))</f>
        <v/>
      </c>
      <c r="I2094" s="30">
        <f>IF(OR(A2094="",L2094=""),"",IF(MOD(A2094-INDEX(SkiftStart,L2094),Syklus)&lt;DagK,"Kveld",IF(MOD(A2094-INDEX(SkiftStart,L2094),Syklus)&lt;DagK+DagH,"Helg",IF(MOD(A2094-INDEX(SkiftStart,L2094),Syklus)&lt;DagK+DagH+DagD,"Dag","Fri"))))</f>
        <v/>
      </c>
      <c r="J2094" s="30">
        <f>IF(I2094="Fri","Ja","")</f>
        <v/>
      </c>
      <c r="K2094" s="30">
        <f>IF(B2094="","",IF(L2094="","Ukjent tekniker",IF(ISNA(MATCH(C2094,Aktiviteter,0)),"Ukjent aktivitet",IF(AND(INDEX(AktRolle,MATCH(C2094,Aktiviteter,0))&amp;""&lt;&gt;"",ISERROR(SEARCH(INDEX(AktRolle,MATCH(C2094,Aktiviteter,0))&amp;"",INDEX(TekRoller,MATCH(B2094,Teknikere,0))))),"Mangler rollen "&amp;INDEX(AktRolle,MATCH(C2094,Aktiviteter,0))&amp;"",IF(AND(C2094="LMS",F2094&gt;0,OR(D2094="",E2094="")),"Mangler maskin eller arbeid",IF(AND(OR(C2094="LMS",C2094="Mod"),D2094&lt;&gt;""),IF(IFERROR(INDEX(MaskinStatus,MATCH(D2094,Maskiner,0)),"")="I dokk","","Maskinen er ikke i dokk"),""))))))</f>
        <v/>
      </c>
      <c r="L2094" s="2">
        <f>IF(B2094="","",IFERROR(INT((MATCH(B2094,Teknikere,0)-1)/18)+1,""))</f>
        <v/>
      </c>
      <c r="M2094" s="2">
        <f>IF(OR(A2094="",B2094=""),"",B2094&amp;"|"&amp;A2094)</f>
        <v/>
      </c>
      <c r="N2094" s="2">
        <f>IF(M2094="","",SUMIFS(TF_Timer,TF_Nokkel,M2094,TF_Akt,C2094))</f>
        <v/>
      </c>
      <c r="O2094" s="2">
        <f>IF(M2094="","",IF(AND(N2094=_xlfn.MAXIFS(TF_AktSum,TF_Nokkel,M2094),COUNTIFS(M$3:M2093,M2094,N$3:N2093,N2094)=0),M2094,""))</f>
        <v/>
      </c>
    </row>
    <row r="2095">
      <c r="A2095" s="34" t="n"/>
      <c r="B2095" s="35" t="n"/>
      <c r="C2095" s="35" t="n"/>
      <c r="D2095" s="35" t="n"/>
      <c r="E2095" s="35" t="n"/>
      <c r="F2095" s="36" t="n"/>
      <c r="G2095" s="35" t="n"/>
      <c r="H2095" s="30">
        <f>IF(L2095="","",INDEX(SkiftNavn,L2095))</f>
        <v/>
      </c>
      <c r="I2095" s="30">
        <f>IF(OR(A2095="",L2095=""),"",IF(MOD(A2095-INDEX(SkiftStart,L2095),Syklus)&lt;DagK,"Kveld",IF(MOD(A2095-INDEX(SkiftStart,L2095),Syklus)&lt;DagK+DagH,"Helg",IF(MOD(A2095-INDEX(SkiftStart,L2095),Syklus)&lt;DagK+DagH+DagD,"Dag","Fri"))))</f>
        <v/>
      </c>
      <c r="J2095" s="30">
        <f>IF(I2095="Fri","Ja","")</f>
        <v/>
      </c>
      <c r="K2095" s="30">
        <f>IF(B2095="","",IF(L2095="","Ukjent tekniker",IF(ISNA(MATCH(C2095,Aktiviteter,0)),"Ukjent aktivitet",IF(AND(INDEX(AktRolle,MATCH(C2095,Aktiviteter,0))&amp;""&lt;&gt;"",ISERROR(SEARCH(INDEX(AktRolle,MATCH(C2095,Aktiviteter,0))&amp;"",INDEX(TekRoller,MATCH(B2095,Teknikere,0))))),"Mangler rollen "&amp;INDEX(AktRolle,MATCH(C2095,Aktiviteter,0))&amp;"",IF(AND(C2095="LMS",F2095&gt;0,OR(D2095="",E2095="")),"Mangler maskin eller arbeid",IF(AND(OR(C2095="LMS",C2095="Mod"),D2095&lt;&gt;""),IF(IFERROR(INDEX(MaskinStatus,MATCH(D2095,Maskiner,0)),"")="I dokk","","Maskinen er ikke i dokk"),""))))))</f>
        <v/>
      </c>
      <c r="L2095" s="2">
        <f>IF(B2095="","",IFERROR(INT((MATCH(B2095,Teknikere,0)-1)/18)+1,""))</f>
        <v/>
      </c>
      <c r="M2095" s="2">
        <f>IF(OR(A2095="",B2095=""),"",B2095&amp;"|"&amp;A2095)</f>
        <v/>
      </c>
      <c r="N2095" s="2">
        <f>IF(M2095="","",SUMIFS(TF_Timer,TF_Nokkel,M2095,TF_Akt,C2095))</f>
        <v/>
      </c>
      <c r="O2095" s="2">
        <f>IF(M2095="","",IF(AND(N2095=_xlfn.MAXIFS(TF_AktSum,TF_Nokkel,M2095),COUNTIFS(M$3:M2094,M2095,N$3:N2094,N2095)=0),M2095,""))</f>
        <v/>
      </c>
    </row>
    <row r="2096">
      <c r="A2096" s="34" t="n"/>
      <c r="B2096" s="35" t="n"/>
      <c r="C2096" s="35" t="n"/>
      <c r="D2096" s="35" t="n"/>
      <c r="E2096" s="35" t="n"/>
      <c r="F2096" s="36" t="n"/>
      <c r="G2096" s="35" t="n"/>
      <c r="H2096" s="30">
        <f>IF(L2096="","",INDEX(SkiftNavn,L2096))</f>
        <v/>
      </c>
      <c r="I2096" s="30">
        <f>IF(OR(A2096="",L2096=""),"",IF(MOD(A2096-INDEX(SkiftStart,L2096),Syklus)&lt;DagK,"Kveld",IF(MOD(A2096-INDEX(SkiftStart,L2096),Syklus)&lt;DagK+DagH,"Helg",IF(MOD(A2096-INDEX(SkiftStart,L2096),Syklus)&lt;DagK+DagH+DagD,"Dag","Fri"))))</f>
        <v/>
      </c>
      <c r="J2096" s="30">
        <f>IF(I2096="Fri","Ja","")</f>
        <v/>
      </c>
      <c r="K2096" s="30">
        <f>IF(B2096="","",IF(L2096="","Ukjent tekniker",IF(ISNA(MATCH(C2096,Aktiviteter,0)),"Ukjent aktivitet",IF(AND(INDEX(AktRolle,MATCH(C2096,Aktiviteter,0))&amp;""&lt;&gt;"",ISERROR(SEARCH(INDEX(AktRolle,MATCH(C2096,Aktiviteter,0))&amp;"",INDEX(TekRoller,MATCH(B2096,Teknikere,0))))),"Mangler rollen "&amp;INDEX(AktRolle,MATCH(C2096,Aktiviteter,0))&amp;"",IF(AND(C2096="LMS",F2096&gt;0,OR(D2096="",E2096="")),"Mangler maskin eller arbeid",IF(AND(OR(C2096="LMS",C2096="Mod"),D2096&lt;&gt;""),IF(IFERROR(INDEX(MaskinStatus,MATCH(D2096,Maskiner,0)),"")="I dokk","","Maskinen er ikke i dokk"),""))))))</f>
        <v/>
      </c>
      <c r="L2096" s="2">
        <f>IF(B2096="","",IFERROR(INT((MATCH(B2096,Teknikere,0)-1)/18)+1,""))</f>
        <v/>
      </c>
      <c r="M2096" s="2">
        <f>IF(OR(A2096="",B2096=""),"",B2096&amp;"|"&amp;A2096)</f>
        <v/>
      </c>
      <c r="N2096" s="2">
        <f>IF(M2096="","",SUMIFS(TF_Timer,TF_Nokkel,M2096,TF_Akt,C2096))</f>
        <v/>
      </c>
      <c r="O2096" s="2">
        <f>IF(M2096="","",IF(AND(N2096=_xlfn.MAXIFS(TF_AktSum,TF_Nokkel,M2096),COUNTIFS(M$3:M2095,M2096,N$3:N2095,N2096)=0),M2096,""))</f>
        <v/>
      </c>
    </row>
    <row r="2097">
      <c r="A2097" s="34" t="n"/>
      <c r="B2097" s="35" t="n"/>
      <c r="C2097" s="35" t="n"/>
      <c r="D2097" s="35" t="n"/>
      <c r="E2097" s="35" t="n"/>
      <c r="F2097" s="36" t="n"/>
      <c r="G2097" s="35" t="n"/>
      <c r="H2097" s="30">
        <f>IF(L2097="","",INDEX(SkiftNavn,L2097))</f>
        <v/>
      </c>
      <c r="I2097" s="30">
        <f>IF(OR(A2097="",L2097=""),"",IF(MOD(A2097-INDEX(SkiftStart,L2097),Syklus)&lt;DagK,"Kveld",IF(MOD(A2097-INDEX(SkiftStart,L2097),Syklus)&lt;DagK+DagH,"Helg",IF(MOD(A2097-INDEX(SkiftStart,L2097),Syklus)&lt;DagK+DagH+DagD,"Dag","Fri"))))</f>
        <v/>
      </c>
      <c r="J2097" s="30">
        <f>IF(I2097="Fri","Ja","")</f>
        <v/>
      </c>
      <c r="K2097" s="30">
        <f>IF(B2097="","",IF(L2097="","Ukjent tekniker",IF(ISNA(MATCH(C2097,Aktiviteter,0)),"Ukjent aktivitet",IF(AND(INDEX(AktRolle,MATCH(C2097,Aktiviteter,0))&amp;""&lt;&gt;"",ISERROR(SEARCH(INDEX(AktRolle,MATCH(C2097,Aktiviteter,0))&amp;"",INDEX(TekRoller,MATCH(B2097,Teknikere,0))))),"Mangler rollen "&amp;INDEX(AktRolle,MATCH(C2097,Aktiviteter,0))&amp;"",IF(AND(C2097="LMS",F2097&gt;0,OR(D2097="",E2097="")),"Mangler maskin eller arbeid",IF(AND(OR(C2097="LMS",C2097="Mod"),D2097&lt;&gt;""),IF(IFERROR(INDEX(MaskinStatus,MATCH(D2097,Maskiner,0)),"")="I dokk","","Maskinen er ikke i dokk"),""))))))</f>
        <v/>
      </c>
      <c r="L2097" s="2">
        <f>IF(B2097="","",IFERROR(INT((MATCH(B2097,Teknikere,0)-1)/18)+1,""))</f>
        <v/>
      </c>
      <c r="M2097" s="2">
        <f>IF(OR(A2097="",B2097=""),"",B2097&amp;"|"&amp;A2097)</f>
        <v/>
      </c>
      <c r="N2097" s="2">
        <f>IF(M2097="","",SUMIFS(TF_Timer,TF_Nokkel,M2097,TF_Akt,C2097))</f>
        <v/>
      </c>
      <c r="O2097" s="2">
        <f>IF(M2097="","",IF(AND(N2097=_xlfn.MAXIFS(TF_AktSum,TF_Nokkel,M2097),COUNTIFS(M$3:M2096,M2097,N$3:N2096,N2097)=0),M2097,""))</f>
        <v/>
      </c>
    </row>
    <row r="2098">
      <c r="A2098" s="34" t="n"/>
      <c r="B2098" s="35" t="n"/>
      <c r="C2098" s="35" t="n"/>
      <c r="D2098" s="35" t="n"/>
      <c r="E2098" s="35" t="n"/>
      <c r="F2098" s="36" t="n"/>
      <c r="G2098" s="35" t="n"/>
      <c r="H2098" s="30">
        <f>IF(L2098="","",INDEX(SkiftNavn,L2098))</f>
        <v/>
      </c>
      <c r="I2098" s="30">
        <f>IF(OR(A2098="",L2098=""),"",IF(MOD(A2098-INDEX(SkiftStart,L2098),Syklus)&lt;DagK,"Kveld",IF(MOD(A2098-INDEX(SkiftStart,L2098),Syklus)&lt;DagK+DagH,"Helg",IF(MOD(A2098-INDEX(SkiftStart,L2098),Syklus)&lt;DagK+DagH+DagD,"Dag","Fri"))))</f>
        <v/>
      </c>
      <c r="J2098" s="30">
        <f>IF(I2098="Fri","Ja","")</f>
        <v/>
      </c>
      <c r="K2098" s="30">
        <f>IF(B2098="","",IF(L2098="","Ukjent tekniker",IF(ISNA(MATCH(C2098,Aktiviteter,0)),"Ukjent aktivitet",IF(AND(INDEX(AktRolle,MATCH(C2098,Aktiviteter,0))&amp;""&lt;&gt;"",ISERROR(SEARCH(INDEX(AktRolle,MATCH(C2098,Aktiviteter,0))&amp;"",INDEX(TekRoller,MATCH(B2098,Teknikere,0))))),"Mangler rollen "&amp;INDEX(AktRolle,MATCH(C2098,Aktiviteter,0))&amp;"",IF(AND(C2098="LMS",F2098&gt;0,OR(D2098="",E2098="")),"Mangler maskin eller arbeid",IF(AND(OR(C2098="LMS",C2098="Mod"),D2098&lt;&gt;""),IF(IFERROR(INDEX(MaskinStatus,MATCH(D2098,Maskiner,0)),"")="I dokk","","Maskinen er ikke i dokk"),""))))))</f>
        <v/>
      </c>
      <c r="L2098" s="2">
        <f>IF(B2098="","",IFERROR(INT((MATCH(B2098,Teknikere,0)-1)/18)+1,""))</f>
        <v/>
      </c>
      <c r="M2098" s="2">
        <f>IF(OR(A2098="",B2098=""),"",B2098&amp;"|"&amp;A2098)</f>
        <v/>
      </c>
      <c r="N2098" s="2">
        <f>IF(M2098="","",SUMIFS(TF_Timer,TF_Nokkel,M2098,TF_Akt,C2098))</f>
        <v/>
      </c>
      <c r="O2098" s="2">
        <f>IF(M2098="","",IF(AND(N2098=_xlfn.MAXIFS(TF_AktSum,TF_Nokkel,M2098),COUNTIFS(M$3:M2097,M2098,N$3:N2097,N2098)=0),M2098,""))</f>
        <v/>
      </c>
    </row>
    <row r="2099">
      <c r="A2099" s="34" t="n"/>
      <c r="B2099" s="35" t="n"/>
      <c r="C2099" s="35" t="n"/>
      <c r="D2099" s="35" t="n"/>
      <c r="E2099" s="35" t="n"/>
      <c r="F2099" s="36" t="n"/>
      <c r="G2099" s="35" t="n"/>
      <c r="H2099" s="30">
        <f>IF(L2099="","",INDEX(SkiftNavn,L2099))</f>
        <v/>
      </c>
      <c r="I2099" s="30">
        <f>IF(OR(A2099="",L2099=""),"",IF(MOD(A2099-INDEX(SkiftStart,L2099),Syklus)&lt;DagK,"Kveld",IF(MOD(A2099-INDEX(SkiftStart,L2099),Syklus)&lt;DagK+DagH,"Helg",IF(MOD(A2099-INDEX(SkiftStart,L2099),Syklus)&lt;DagK+DagH+DagD,"Dag","Fri"))))</f>
        <v/>
      </c>
      <c r="J2099" s="30">
        <f>IF(I2099="Fri","Ja","")</f>
        <v/>
      </c>
      <c r="K2099" s="30">
        <f>IF(B2099="","",IF(L2099="","Ukjent tekniker",IF(ISNA(MATCH(C2099,Aktiviteter,0)),"Ukjent aktivitet",IF(AND(INDEX(AktRolle,MATCH(C2099,Aktiviteter,0))&amp;""&lt;&gt;"",ISERROR(SEARCH(INDEX(AktRolle,MATCH(C2099,Aktiviteter,0))&amp;"",INDEX(TekRoller,MATCH(B2099,Teknikere,0))))),"Mangler rollen "&amp;INDEX(AktRolle,MATCH(C2099,Aktiviteter,0))&amp;"",IF(AND(C2099="LMS",F2099&gt;0,OR(D2099="",E2099="")),"Mangler maskin eller arbeid",IF(AND(OR(C2099="LMS",C2099="Mod"),D2099&lt;&gt;""),IF(IFERROR(INDEX(MaskinStatus,MATCH(D2099,Maskiner,0)),"")="I dokk","","Maskinen er ikke i dokk"),""))))))</f>
        <v/>
      </c>
      <c r="L2099" s="2">
        <f>IF(B2099="","",IFERROR(INT((MATCH(B2099,Teknikere,0)-1)/18)+1,""))</f>
        <v/>
      </c>
      <c r="M2099" s="2">
        <f>IF(OR(A2099="",B2099=""),"",B2099&amp;"|"&amp;A2099)</f>
        <v/>
      </c>
      <c r="N2099" s="2">
        <f>IF(M2099="","",SUMIFS(TF_Timer,TF_Nokkel,M2099,TF_Akt,C2099))</f>
        <v/>
      </c>
      <c r="O2099" s="2">
        <f>IF(M2099="","",IF(AND(N2099=_xlfn.MAXIFS(TF_AktSum,TF_Nokkel,M2099),COUNTIFS(M$3:M2098,M2099,N$3:N2098,N2099)=0),M2099,""))</f>
        <v/>
      </c>
    </row>
    <row r="2100">
      <c r="A2100" s="34" t="n"/>
      <c r="B2100" s="35" t="n"/>
      <c r="C2100" s="35" t="n"/>
      <c r="D2100" s="35" t="n"/>
      <c r="E2100" s="35" t="n"/>
      <c r="F2100" s="36" t="n"/>
      <c r="G2100" s="35" t="n"/>
      <c r="H2100" s="30">
        <f>IF(L2100="","",INDEX(SkiftNavn,L2100))</f>
        <v/>
      </c>
      <c r="I2100" s="30">
        <f>IF(OR(A2100="",L2100=""),"",IF(MOD(A2100-INDEX(SkiftStart,L2100),Syklus)&lt;DagK,"Kveld",IF(MOD(A2100-INDEX(SkiftStart,L2100),Syklus)&lt;DagK+DagH,"Helg",IF(MOD(A2100-INDEX(SkiftStart,L2100),Syklus)&lt;DagK+DagH+DagD,"Dag","Fri"))))</f>
        <v/>
      </c>
      <c r="J2100" s="30">
        <f>IF(I2100="Fri","Ja","")</f>
        <v/>
      </c>
      <c r="K2100" s="30">
        <f>IF(B2100="","",IF(L2100="","Ukjent tekniker",IF(ISNA(MATCH(C2100,Aktiviteter,0)),"Ukjent aktivitet",IF(AND(INDEX(AktRolle,MATCH(C2100,Aktiviteter,0))&amp;""&lt;&gt;"",ISERROR(SEARCH(INDEX(AktRolle,MATCH(C2100,Aktiviteter,0))&amp;"",INDEX(TekRoller,MATCH(B2100,Teknikere,0))))),"Mangler rollen "&amp;INDEX(AktRolle,MATCH(C2100,Aktiviteter,0))&amp;"",IF(AND(C2100="LMS",F2100&gt;0,OR(D2100="",E2100="")),"Mangler maskin eller arbeid",IF(AND(OR(C2100="LMS",C2100="Mod"),D2100&lt;&gt;""),IF(IFERROR(INDEX(MaskinStatus,MATCH(D2100,Maskiner,0)),"")="I dokk","","Maskinen er ikke i dokk"),""))))))</f>
        <v/>
      </c>
      <c r="L2100" s="2">
        <f>IF(B2100="","",IFERROR(INT((MATCH(B2100,Teknikere,0)-1)/18)+1,""))</f>
        <v/>
      </c>
      <c r="M2100" s="2">
        <f>IF(OR(A2100="",B2100=""),"",B2100&amp;"|"&amp;A2100)</f>
        <v/>
      </c>
      <c r="N2100" s="2">
        <f>IF(M2100="","",SUMIFS(TF_Timer,TF_Nokkel,M2100,TF_Akt,C2100))</f>
        <v/>
      </c>
      <c r="O2100" s="2">
        <f>IF(M2100="","",IF(AND(N2100=_xlfn.MAXIFS(TF_AktSum,TF_Nokkel,M2100),COUNTIFS(M$3:M2099,M2100,N$3:N2099,N2100)=0),M2100,""))</f>
        <v/>
      </c>
    </row>
    <row r="2101">
      <c r="A2101" s="34" t="n"/>
      <c r="B2101" s="35" t="n"/>
      <c r="C2101" s="35" t="n"/>
      <c r="D2101" s="35" t="n"/>
      <c r="E2101" s="35" t="n"/>
      <c r="F2101" s="36" t="n"/>
      <c r="G2101" s="35" t="n"/>
      <c r="H2101" s="30">
        <f>IF(L2101="","",INDEX(SkiftNavn,L2101))</f>
        <v/>
      </c>
      <c r="I2101" s="30">
        <f>IF(OR(A2101="",L2101=""),"",IF(MOD(A2101-INDEX(SkiftStart,L2101),Syklus)&lt;DagK,"Kveld",IF(MOD(A2101-INDEX(SkiftStart,L2101),Syklus)&lt;DagK+DagH,"Helg",IF(MOD(A2101-INDEX(SkiftStart,L2101),Syklus)&lt;DagK+DagH+DagD,"Dag","Fri"))))</f>
        <v/>
      </c>
      <c r="J2101" s="30">
        <f>IF(I2101="Fri","Ja","")</f>
        <v/>
      </c>
      <c r="K2101" s="30">
        <f>IF(B2101="","",IF(L2101="","Ukjent tekniker",IF(ISNA(MATCH(C2101,Aktiviteter,0)),"Ukjent aktivitet",IF(AND(INDEX(AktRolle,MATCH(C2101,Aktiviteter,0))&amp;""&lt;&gt;"",ISERROR(SEARCH(INDEX(AktRolle,MATCH(C2101,Aktiviteter,0))&amp;"",INDEX(TekRoller,MATCH(B2101,Teknikere,0))))),"Mangler rollen "&amp;INDEX(AktRolle,MATCH(C2101,Aktiviteter,0))&amp;"",IF(AND(C2101="LMS",F2101&gt;0,OR(D2101="",E2101="")),"Mangler maskin eller arbeid",IF(AND(OR(C2101="LMS",C2101="Mod"),D2101&lt;&gt;""),IF(IFERROR(INDEX(MaskinStatus,MATCH(D2101,Maskiner,0)),"")="I dokk","","Maskinen er ikke i dokk"),""))))))</f>
        <v/>
      </c>
      <c r="L2101" s="2">
        <f>IF(B2101="","",IFERROR(INT((MATCH(B2101,Teknikere,0)-1)/18)+1,""))</f>
        <v/>
      </c>
      <c r="M2101" s="2">
        <f>IF(OR(A2101="",B2101=""),"",B2101&amp;"|"&amp;A2101)</f>
        <v/>
      </c>
      <c r="N2101" s="2">
        <f>IF(M2101="","",SUMIFS(TF_Timer,TF_Nokkel,M2101,TF_Akt,C2101))</f>
        <v/>
      </c>
      <c r="O2101" s="2">
        <f>IF(M2101="","",IF(AND(N2101=_xlfn.MAXIFS(TF_AktSum,TF_Nokkel,M2101),COUNTIFS(M$3:M2100,M2101,N$3:N2100,N2101)=0),M2101,""))</f>
        <v/>
      </c>
    </row>
    <row r="2102">
      <c r="A2102" s="34" t="n"/>
      <c r="B2102" s="35" t="n"/>
      <c r="C2102" s="35" t="n"/>
      <c r="D2102" s="35" t="n"/>
      <c r="E2102" s="35" t="n"/>
      <c r="F2102" s="36" t="n"/>
      <c r="G2102" s="35" t="n"/>
      <c r="H2102" s="30">
        <f>IF(L2102="","",INDEX(SkiftNavn,L2102))</f>
        <v/>
      </c>
      <c r="I2102" s="30">
        <f>IF(OR(A2102="",L2102=""),"",IF(MOD(A2102-INDEX(SkiftStart,L2102),Syklus)&lt;DagK,"Kveld",IF(MOD(A2102-INDEX(SkiftStart,L2102),Syklus)&lt;DagK+DagH,"Helg",IF(MOD(A2102-INDEX(SkiftStart,L2102),Syklus)&lt;DagK+DagH+DagD,"Dag","Fri"))))</f>
        <v/>
      </c>
      <c r="J2102" s="30">
        <f>IF(I2102="Fri","Ja","")</f>
        <v/>
      </c>
      <c r="K2102" s="30">
        <f>IF(B2102="","",IF(L2102="","Ukjent tekniker",IF(ISNA(MATCH(C2102,Aktiviteter,0)),"Ukjent aktivitet",IF(AND(INDEX(AktRolle,MATCH(C2102,Aktiviteter,0))&amp;""&lt;&gt;"",ISERROR(SEARCH(INDEX(AktRolle,MATCH(C2102,Aktiviteter,0))&amp;"",INDEX(TekRoller,MATCH(B2102,Teknikere,0))))),"Mangler rollen "&amp;INDEX(AktRolle,MATCH(C2102,Aktiviteter,0))&amp;"",IF(AND(C2102="LMS",F2102&gt;0,OR(D2102="",E2102="")),"Mangler maskin eller arbeid",IF(AND(OR(C2102="LMS",C2102="Mod"),D2102&lt;&gt;""),IF(IFERROR(INDEX(MaskinStatus,MATCH(D2102,Maskiner,0)),"")="I dokk","","Maskinen er ikke i dokk"),""))))))</f>
        <v/>
      </c>
      <c r="L2102" s="2">
        <f>IF(B2102="","",IFERROR(INT((MATCH(B2102,Teknikere,0)-1)/18)+1,""))</f>
        <v/>
      </c>
      <c r="M2102" s="2">
        <f>IF(OR(A2102="",B2102=""),"",B2102&amp;"|"&amp;A2102)</f>
        <v/>
      </c>
      <c r="N2102" s="2">
        <f>IF(M2102="","",SUMIFS(TF_Timer,TF_Nokkel,M2102,TF_Akt,C2102))</f>
        <v/>
      </c>
      <c r="O2102" s="2">
        <f>IF(M2102="","",IF(AND(N2102=_xlfn.MAXIFS(TF_AktSum,TF_Nokkel,M2102),COUNTIFS(M$3:M2101,M2102,N$3:N2101,N2102)=0),M2102,""))</f>
        <v/>
      </c>
    </row>
    <row r="2103">
      <c r="A2103" s="34" t="n"/>
      <c r="B2103" s="35" t="n"/>
      <c r="C2103" s="35" t="n"/>
      <c r="D2103" s="35" t="n"/>
      <c r="E2103" s="35" t="n"/>
      <c r="F2103" s="36" t="n"/>
      <c r="G2103" s="35" t="n"/>
      <c r="H2103" s="30">
        <f>IF(L2103="","",INDEX(SkiftNavn,L2103))</f>
        <v/>
      </c>
      <c r="I2103" s="30">
        <f>IF(OR(A2103="",L2103=""),"",IF(MOD(A2103-INDEX(SkiftStart,L2103),Syklus)&lt;DagK,"Kveld",IF(MOD(A2103-INDEX(SkiftStart,L2103),Syklus)&lt;DagK+DagH,"Helg",IF(MOD(A2103-INDEX(SkiftStart,L2103),Syklus)&lt;DagK+DagH+DagD,"Dag","Fri"))))</f>
        <v/>
      </c>
      <c r="J2103" s="30">
        <f>IF(I2103="Fri","Ja","")</f>
        <v/>
      </c>
      <c r="K2103" s="30">
        <f>IF(B2103="","",IF(L2103="","Ukjent tekniker",IF(ISNA(MATCH(C2103,Aktiviteter,0)),"Ukjent aktivitet",IF(AND(INDEX(AktRolle,MATCH(C2103,Aktiviteter,0))&amp;""&lt;&gt;"",ISERROR(SEARCH(INDEX(AktRolle,MATCH(C2103,Aktiviteter,0))&amp;"",INDEX(TekRoller,MATCH(B2103,Teknikere,0))))),"Mangler rollen "&amp;INDEX(AktRolle,MATCH(C2103,Aktiviteter,0))&amp;"",IF(AND(C2103="LMS",F2103&gt;0,OR(D2103="",E2103="")),"Mangler maskin eller arbeid",IF(AND(OR(C2103="LMS",C2103="Mod"),D2103&lt;&gt;""),IF(IFERROR(INDEX(MaskinStatus,MATCH(D2103,Maskiner,0)),"")="I dokk","","Maskinen er ikke i dokk"),""))))))</f>
        <v/>
      </c>
      <c r="L2103" s="2">
        <f>IF(B2103="","",IFERROR(INT((MATCH(B2103,Teknikere,0)-1)/18)+1,""))</f>
        <v/>
      </c>
      <c r="M2103" s="2">
        <f>IF(OR(A2103="",B2103=""),"",B2103&amp;"|"&amp;A2103)</f>
        <v/>
      </c>
      <c r="N2103" s="2">
        <f>IF(M2103="","",SUMIFS(TF_Timer,TF_Nokkel,M2103,TF_Akt,C2103))</f>
        <v/>
      </c>
      <c r="O2103" s="2">
        <f>IF(M2103="","",IF(AND(N2103=_xlfn.MAXIFS(TF_AktSum,TF_Nokkel,M2103),COUNTIFS(M$3:M2102,M2103,N$3:N2102,N2103)=0),M2103,""))</f>
        <v/>
      </c>
    </row>
    <row r="2104">
      <c r="A2104" s="34" t="n"/>
      <c r="B2104" s="35" t="n"/>
      <c r="C2104" s="35" t="n"/>
      <c r="D2104" s="35" t="n"/>
      <c r="E2104" s="35" t="n"/>
      <c r="F2104" s="36" t="n"/>
      <c r="G2104" s="35" t="n"/>
      <c r="H2104" s="30">
        <f>IF(L2104="","",INDEX(SkiftNavn,L2104))</f>
        <v/>
      </c>
      <c r="I2104" s="30">
        <f>IF(OR(A2104="",L2104=""),"",IF(MOD(A2104-INDEX(SkiftStart,L2104),Syklus)&lt;DagK,"Kveld",IF(MOD(A2104-INDEX(SkiftStart,L2104),Syklus)&lt;DagK+DagH,"Helg",IF(MOD(A2104-INDEX(SkiftStart,L2104),Syklus)&lt;DagK+DagH+DagD,"Dag","Fri"))))</f>
        <v/>
      </c>
      <c r="J2104" s="30">
        <f>IF(I2104="Fri","Ja","")</f>
        <v/>
      </c>
      <c r="K2104" s="30">
        <f>IF(B2104="","",IF(L2104="","Ukjent tekniker",IF(ISNA(MATCH(C2104,Aktiviteter,0)),"Ukjent aktivitet",IF(AND(INDEX(AktRolle,MATCH(C2104,Aktiviteter,0))&amp;""&lt;&gt;"",ISERROR(SEARCH(INDEX(AktRolle,MATCH(C2104,Aktiviteter,0))&amp;"",INDEX(TekRoller,MATCH(B2104,Teknikere,0))))),"Mangler rollen "&amp;INDEX(AktRolle,MATCH(C2104,Aktiviteter,0))&amp;"",IF(AND(C2104="LMS",F2104&gt;0,OR(D2104="",E2104="")),"Mangler maskin eller arbeid",IF(AND(OR(C2104="LMS",C2104="Mod"),D2104&lt;&gt;""),IF(IFERROR(INDEX(MaskinStatus,MATCH(D2104,Maskiner,0)),"")="I dokk","","Maskinen er ikke i dokk"),""))))))</f>
        <v/>
      </c>
      <c r="L2104" s="2">
        <f>IF(B2104="","",IFERROR(INT((MATCH(B2104,Teknikere,0)-1)/18)+1,""))</f>
        <v/>
      </c>
      <c r="M2104" s="2">
        <f>IF(OR(A2104="",B2104=""),"",B2104&amp;"|"&amp;A2104)</f>
        <v/>
      </c>
      <c r="N2104" s="2">
        <f>IF(M2104="","",SUMIFS(TF_Timer,TF_Nokkel,M2104,TF_Akt,C2104))</f>
        <v/>
      </c>
      <c r="O2104" s="2">
        <f>IF(M2104="","",IF(AND(N2104=_xlfn.MAXIFS(TF_AktSum,TF_Nokkel,M2104),COUNTIFS(M$3:M2103,M2104,N$3:N2103,N2104)=0),M2104,""))</f>
        <v/>
      </c>
    </row>
    <row r="2105">
      <c r="A2105" s="34" t="n"/>
      <c r="B2105" s="35" t="n"/>
      <c r="C2105" s="35" t="n"/>
      <c r="D2105" s="35" t="n"/>
      <c r="E2105" s="35" t="n"/>
      <c r="F2105" s="36" t="n"/>
      <c r="G2105" s="35" t="n"/>
      <c r="H2105" s="30">
        <f>IF(L2105="","",INDEX(SkiftNavn,L2105))</f>
        <v/>
      </c>
      <c r="I2105" s="30">
        <f>IF(OR(A2105="",L2105=""),"",IF(MOD(A2105-INDEX(SkiftStart,L2105),Syklus)&lt;DagK,"Kveld",IF(MOD(A2105-INDEX(SkiftStart,L2105),Syklus)&lt;DagK+DagH,"Helg",IF(MOD(A2105-INDEX(SkiftStart,L2105),Syklus)&lt;DagK+DagH+DagD,"Dag","Fri"))))</f>
        <v/>
      </c>
      <c r="J2105" s="30">
        <f>IF(I2105="Fri","Ja","")</f>
        <v/>
      </c>
      <c r="K2105" s="30">
        <f>IF(B2105="","",IF(L2105="","Ukjent tekniker",IF(ISNA(MATCH(C2105,Aktiviteter,0)),"Ukjent aktivitet",IF(AND(INDEX(AktRolle,MATCH(C2105,Aktiviteter,0))&amp;""&lt;&gt;"",ISERROR(SEARCH(INDEX(AktRolle,MATCH(C2105,Aktiviteter,0))&amp;"",INDEX(TekRoller,MATCH(B2105,Teknikere,0))))),"Mangler rollen "&amp;INDEX(AktRolle,MATCH(C2105,Aktiviteter,0))&amp;"",IF(AND(C2105="LMS",F2105&gt;0,OR(D2105="",E2105="")),"Mangler maskin eller arbeid",IF(AND(OR(C2105="LMS",C2105="Mod"),D2105&lt;&gt;""),IF(IFERROR(INDEX(MaskinStatus,MATCH(D2105,Maskiner,0)),"")="I dokk","","Maskinen er ikke i dokk"),""))))))</f>
        <v/>
      </c>
      <c r="L2105" s="2">
        <f>IF(B2105="","",IFERROR(INT((MATCH(B2105,Teknikere,0)-1)/18)+1,""))</f>
        <v/>
      </c>
      <c r="M2105" s="2">
        <f>IF(OR(A2105="",B2105=""),"",B2105&amp;"|"&amp;A2105)</f>
        <v/>
      </c>
      <c r="N2105" s="2">
        <f>IF(M2105="","",SUMIFS(TF_Timer,TF_Nokkel,M2105,TF_Akt,C2105))</f>
        <v/>
      </c>
      <c r="O2105" s="2">
        <f>IF(M2105="","",IF(AND(N2105=_xlfn.MAXIFS(TF_AktSum,TF_Nokkel,M2105),COUNTIFS(M$3:M2104,M2105,N$3:N2104,N2105)=0),M2105,""))</f>
        <v/>
      </c>
    </row>
    <row r="2106">
      <c r="A2106" s="34" t="n"/>
      <c r="B2106" s="35" t="n"/>
      <c r="C2106" s="35" t="n"/>
      <c r="D2106" s="35" t="n"/>
      <c r="E2106" s="35" t="n"/>
      <c r="F2106" s="36" t="n"/>
      <c r="G2106" s="35" t="n"/>
      <c r="H2106" s="30">
        <f>IF(L2106="","",INDEX(SkiftNavn,L2106))</f>
        <v/>
      </c>
      <c r="I2106" s="30">
        <f>IF(OR(A2106="",L2106=""),"",IF(MOD(A2106-INDEX(SkiftStart,L2106),Syklus)&lt;DagK,"Kveld",IF(MOD(A2106-INDEX(SkiftStart,L2106),Syklus)&lt;DagK+DagH,"Helg",IF(MOD(A2106-INDEX(SkiftStart,L2106),Syklus)&lt;DagK+DagH+DagD,"Dag","Fri"))))</f>
        <v/>
      </c>
      <c r="J2106" s="30">
        <f>IF(I2106="Fri","Ja","")</f>
        <v/>
      </c>
      <c r="K2106" s="30">
        <f>IF(B2106="","",IF(L2106="","Ukjent tekniker",IF(ISNA(MATCH(C2106,Aktiviteter,0)),"Ukjent aktivitet",IF(AND(INDEX(AktRolle,MATCH(C2106,Aktiviteter,0))&amp;""&lt;&gt;"",ISERROR(SEARCH(INDEX(AktRolle,MATCH(C2106,Aktiviteter,0))&amp;"",INDEX(TekRoller,MATCH(B2106,Teknikere,0))))),"Mangler rollen "&amp;INDEX(AktRolle,MATCH(C2106,Aktiviteter,0))&amp;"",IF(AND(C2106="LMS",F2106&gt;0,OR(D2106="",E2106="")),"Mangler maskin eller arbeid",IF(AND(OR(C2106="LMS",C2106="Mod"),D2106&lt;&gt;""),IF(IFERROR(INDEX(MaskinStatus,MATCH(D2106,Maskiner,0)),"")="I dokk","","Maskinen er ikke i dokk"),""))))))</f>
        <v/>
      </c>
      <c r="L2106" s="2">
        <f>IF(B2106="","",IFERROR(INT((MATCH(B2106,Teknikere,0)-1)/18)+1,""))</f>
        <v/>
      </c>
      <c r="M2106" s="2">
        <f>IF(OR(A2106="",B2106=""),"",B2106&amp;"|"&amp;A2106)</f>
        <v/>
      </c>
      <c r="N2106" s="2">
        <f>IF(M2106="","",SUMIFS(TF_Timer,TF_Nokkel,M2106,TF_Akt,C2106))</f>
        <v/>
      </c>
      <c r="O2106" s="2">
        <f>IF(M2106="","",IF(AND(N2106=_xlfn.MAXIFS(TF_AktSum,TF_Nokkel,M2106),COUNTIFS(M$3:M2105,M2106,N$3:N2105,N2106)=0),M2106,""))</f>
        <v/>
      </c>
    </row>
    <row r="2107">
      <c r="A2107" s="34" t="n"/>
      <c r="B2107" s="35" t="n"/>
      <c r="C2107" s="35" t="n"/>
      <c r="D2107" s="35" t="n"/>
      <c r="E2107" s="35" t="n"/>
      <c r="F2107" s="36" t="n"/>
      <c r="G2107" s="35" t="n"/>
      <c r="H2107" s="30">
        <f>IF(L2107="","",INDEX(SkiftNavn,L2107))</f>
        <v/>
      </c>
      <c r="I2107" s="30">
        <f>IF(OR(A2107="",L2107=""),"",IF(MOD(A2107-INDEX(SkiftStart,L2107),Syklus)&lt;DagK,"Kveld",IF(MOD(A2107-INDEX(SkiftStart,L2107),Syklus)&lt;DagK+DagH,"Helg",IF(MOD(A2107-INDEX(SkiftStart,L2107),Syklus)&lt;DagK+DagH+DagD,"Dag","Fri"))))</f>
        <v/>
      </c>
      <c r="J2107" s="30">
        <f>IF(I2107="Fri","Ja","")</f>
        <v/>
      </c>
      <c r="K2107" s="30">
        <f>IF(B2107="","",IF(L2107="","Ukjent tekniker",IF(ISNA(MATCH(C2107,Aktiviteter,0)),"Ukjent aktivitet",IF(AND(INDEX(AktRolle,MATCH(C2107,Aktiviteter,0))&amp;""&lt;&gt;"",ISERROR(SEARCH(INDEX(AktRolle,MATCH(C2107,Aktiviteter,0))&amp;"",INDEX(TekRoller,MATCH(B2107,Teknikere,0))))),"Mangler rollen "&amp;INDEX(AktRolle,MATCH(C2107,Aktiviteter,0))&amp;"",IF(AND(C2107="LMS",F2107&gt;0,OR(D2107="",E2107="")),"Mangler maskin eller arbeid",IF(AND(OR(C2107="LMS",C2107="Mod"),D2107&lt;&gt;""),IF(IFERROR(INDEX(MaskinStatus,MATCH(D2107,Maskiner,0)),"")="I dokk","","Maskinen er ikke i dokk"),""))))))</f>
        <v/>
      </c>
      <c r="L2107" s="2">
        <f>IF(B2107="","",IFERROR(INT((MATCH(B2107,Teknikere,0)-1)/18)+1,""))</f>
        <v/>
      </c>
      <c r="M2107" s="2">
        <f>IF(OR(A2107="",B2107=""),"",B2107&amp;"|"&amp;A2107)</f>
        <v/>
      </c>
      <c r="N2107" s="2">
        <f>IF(M2107="","",SUMIFS(TF_Timer,TF_Nokkel,M2107,TF_Akt,C2107))</f>
        <v/>
      </c>
      <c r="O2107" s="2">
        <f>IF(M2107="","",IF(AND(N2107=_xlfn.MAXIFS(TF_AktSum,TF_Nokkel,M2107),COUNTIFS(M$3:M2106,M2107,N$3:N2106,N2107)=0),M2107,""))</f>
        <v/>
      </c>
    </row>
    <row r="2108">
      <c r="A2108" s="34" t="n"/>
      <c r="B2108" s="35" t="n"/>
      <c r="C2108" s="35" t="n"/>
      <c r="D2108" s="35" t="n"/>
      <c r="E2108" s="35" t="n"/>
      <c r="F2108" s="36" t="n"/>
      <c r="G2108" s="35" t="n"/>
      <c r="H2108" s="30">
        <f>IF(L2108="","",INDEX(SkiftNavn,L2108))</f>
        <v/>
      </c>
      <c r="I2108" s="30">
        <f>IF(OR(A2108="",L2108=""),"",IF(MOD(A2108-INDEX(SkiftStart,L2108),Syklus)&lt;DagK,"Kveld",IF(MOD(A2108-INDEX(SkiftStart,L2108),Syklus)&lt;DagK+DagH,"Helg",IF(MOD(A2108-INDEX(SkiftStart,L2108),Syklus)&lt;DagK+DagH+DagD,"Dag","Fri"))))</f>
        <v/>
      </c>
      <c r="J2108" s="30">
        <f>IF(I2108="Fri","Ja","")</f>
        <v/>
      </c>
      <c r="K2108" s="30">
        <f>IF(B2108="","",IF(L2108="","Ukjent tekniker",IF(ISNA(MATCH(C2108,Aktiviteter,0)),"Ukjent aktivitet",IF(AND(INDEX(AktRolle,MATCH(C2108,Aktiviteter,0))&amp;""&lt;&gt;"",ISERROR(SEARCH(INDEX(AktRolle,MATCH(C2108,Aktiviteter,0))&amp;"",INDEX(TekRoller,MATCH(B2108,Teknikere,0))))),"Mangler rollen "&amp;INDEX(AktRolle,MATCH(C2108,Aktiviteter,0))&amp;"",IF(AND(C2108="LMS",F2108&gt;0,OR(D2108="",E2108="")),"Mangler maskin eller arbeid",IF(AND(OR(C2108="LMS",C2108="Mod"),D2108&lt;&gt;""),IF(IFERROR(INDEX(MaskinStatus,MATCH(D2108,Maskiner,0)),"")="I dokk","","Maskinen er ikke i dokk"),""))))))</f>
        <v/>
      </c>
      <c r="L2108" s="2">
        <f>IF(B2108="","",IFERROR(INT((MATCH(B2108,Teknikere,0)-1)/18)+1,""))</f>
        <v/>
      </c>
      <c r="M2108" s="2">
        <f>IF(OR(A2108="",B2108=""),"",B2108&amp;"|"&amp;A2108)</f>
        <v/>
      </c>
      <c r="N2108" s="2">
        <f>IF(M2108="","",SUMIFS(TF_Timer,TF_Nokkel,M2108,TF_Akt,C2108))</f>
        <v/>
      </c>
      <c r="O2108" s="2">
        <f>IF(M2108="","",IF(AND(N2108=_xlfn.MAXIFS(TF_AktSum,TF_Nokkel,M2108),COUNTIFS(M$3:M2107,M2108,N$3:N2107,N2108)=0),M2108,""))</f>
        <v/>
      </c>
    </row>
    <row r="2109">
      <c r="A2109" s="34" t="n"/>
      <c r="B2109" s="35" t="n"/>
      <c r="C2109" s="35" t="n"/>
      <c r="D2109" s="35" t="n"/>
      <c r="E2109" s="35" t="n"/>
      <c r="F2109" s="36" t="n"/>
      <c r="G2109" s="35" t="n"/>
      <c r="H2109" s="30">
        <f>IF(L2109="","",INDEX(SkiftNavn,L2109))</f>
        <v/>
      </c>
      <c r="I2109" s="30">
        <f>IF(OR(A2109="",L2109=""),"",IF(MOD(A2109-INDEX(SkiftStart,L2109),Syklus)&lt;DagK,"Kveld",IF(MOD(A2109-INDEX(SkiftStart,L2109),Syklus)&lt;DagK+DagH,"Helg",IF(MOD(A2109-INDEX(SkiftStart,L2109),Syklus)&lt;DagK+DagH+DagD,"Dag","Fri"))))</f>
        <v/>
      </c>
      <c r="J2109" s="30">
        <f>IF(I2109="Fri","Ja","")</f>
        <v/>
      </c>
      <c r="K2109" s="30">
        <f>IF(B2109="","",IF(L2109="","Ukjent tekniker",IF(ISNA(MATCH(C2109,Aktiviteter,0)),"Ukjent aktivitet",IF(AND(INDEX(AktRolle,MATCH(C2109,Aktiviteter,0))&amp;""&lt;&gt;"",ISERROR(SEARCH(INDEX(AktRolle,MATCH(C2109,Aktiviteter,0))&amp;"",INDEX(TekRoller,MATCH(B2109,Teknikere,0))))),"Mangler rollen "&amp;INDEX(AktRolle,MATCH(C2109,Aktiviteter,0))&amp;"",IF(AND(C2109="LMS",F2109&gt;0,OR(D2109="",E2109="")),"Mangler maskin eller arbeid",IF(AND(OR(C2109="LMS",C2109="Mod"),D2109&lt;&gt;""),IF(IFERROR(INDEX(MaskinStatus,MATCH(D2109,Maskiner,0)),"")="I dokk","","Maskinen er ikke i dokk"),""))))))</f>
        <v/>
      </c>
      <c r="L2109" s="2">
        <f>IF(B2109="","",IFERROR(INT((MATCH(B2109,Teknikere,0)-1)/18)+1,""))</f>
        <v/>
      </c>
      <c r="M2109" s="2">
        <f>IF(OR(A2109="",B2109=""),"",B2109&amp;"|"&amp;A2109)</f>
        <v/>
      </c>
      <c r="N2109" s="2">
        <f>IF(M2109="","",SUMIFS(TF_Timer,TF_Nokkel,M2109,TF_Akt,C2109))</f>
        <v/>
      </c>
      <c r="O2109" s="2">
        <f>IF(M2109="","",IF(AND(N2109=_xlfn.MAXIFS(TF_AktSum,TF_Nokkel,M2109),COUNTIFS(M$3:M2108,M2109,N$3:N2108,N2109)=0),M2109,""))</f>
        <v/>
      </c>
    </row>
    <row r="2110">
      <c r="A2110" s="34" t="n"/>
      <c r="B2110" s="35" t="n"/>
      <c r="C2110" s="35" t="n"/>
      <c r="D2110" s="35" t="n"/>
      <c r="E2110" s="35" t="n"/>
      <c r="F2110" s="36" t="n"/>
      <c r="G2110" s="35" t="n"/>
      <c r="H2110" s="30">
        <f>IF(L2110="","",INDEX(SkiftNavn,L2110))</f>
        <v/>
      </c>
      <c r="I2110" s="30">
        <f>IF(OR(A2110="",L2110=""),"",IF(MOD(A2110-INDEX(SkiftStart,L2110),Syklus)&lt;DagK,"Kveld",IF(MOD(A2110-INDEX(SkiftStart,L2110),Syklus)&lt;DagK+DagH,"Helg",IF(MOD(A2110-INDEX(SkiftStart,L2110),Syklus)&lt;DagK+DagH+DagD,"Dag","Fri"))))</f>
        <v/>
      </c>
      <c r="J2110" s="30">
        <f>IF(I2110="Fri","Ja","")</f>
        <v/>
      </c>
      <c r="K2110" s="30">
        <f>IF(B2110="","",IF(L2110="","Ukjent tekniker",IF(ISNA(MATCH(C2110,Aktiviteter,0)),"Ukjent aktivitet",IF(AND(INDEX(AktRolle,MATCH(C2110,Aktiviteter,0))&amp;""&lt;&gt;"",ISERROR(SEARCH(INDEX(AktRolle,MATCH(C2110,Aktiviteter,0))&amp;"",INDEX(TekRoller,MATCH(B2110,Teknikere,0))))),"Mangler rollen "&amp;INDEX(AktRolle,MATCH(C2110,Aktiviteter,0))&amp;"",IF(AND(C2110="LMS",F2110&gt;0,OR(D2110="",E2110="")),"Mangler maskin eller arbeid",IF(AND(OR(C2110="LMS",C2110="Mod"),D2110&lt;&gt;""),IF(IFERROR(INDEX(MaskinStatus,MATCH(D2110,Maskiner,0)),"")="I dokk","","Maskinen er ikke i dokk"),""))))))</f>
        <v/>
      </c>
      <c r="L2110" s="2">
        <f>IF(B2110="","",IFERROR(INT((MATCH(B2110,Teknikere,0)-1)/18)+1,""))</f>
        <v/>
      </c>
      <c r="M2110" s="2">
        <f>IF(OR(A2110="",B2110=""),"",B2110&amp;"|"&amp;A2110)</f>
        <v/>
      </c>
      <c r="N2110" s="2">
        <f>IF(M2110="","",SUMIFS(TF_Timer,TF_Nokkel,M2110,TF_Akt,C2110))</f>
        <v/>
      </c>
      <c r="O2110" s="2">
        <f>IF(M2110="","",IF(AND(N2110=_xlfn.MAXIFS(TF_AktSum,TF_Nokkel,M2110),COUNTIFS(M$3:M2109,M2110,N$3:N2109,N2110)=0),M2110,""))</f>
        <v/>
      </c>
    </row>
    <row r="2111">
      <c r="A2111" s="34" t="n"/>
      <c r="B2111" s="35" t="n"/>
      <c r="C2111" s="35" t="n"/>
      <c r="D2111" s="35" t="n"/>
      <c r="E2111" s="35" t="n"/>
      <c r="F2111" s="36" t="n"/>
      <c r="G2111" s="35" t="n"/>
      <c r="H2111" s="30">
        <f>IF(L2111="","",INDEX(SkiftNavn,L2111))</f>
        <v/>
      </c>
      <c r="I2111" s="30">
        <f>IF(OR(A2111="",L2111=""),"",IF(MOD(A2111-INDEX(SkiftStart,L2111),Syklus)&lt;DagK,"Kveld",IF(MOD(A2111-INDEX(SkiftStart,L2111),Syklus)&lt;DagK+DagH,"Helg",IF(MOD(A2111-INDEX(SkiftStart,L2111),Syklus)&lt;DagK+DagH+DagD,"Dag","Fri"))))</f>
        <v/>
      </c>
      <c r="J2111" s="30">
        <f>IF(I2111="Fri","Ja","")</f>
        <v/>
      </c>
      <c r="K2111" s="30">
        <f>IF(B2111="","",IF(L2111="","Ukjent tekniker",IF(ISNA(MATCH(C2111,Aktiviteter,0)),"Ukjent aktivitet",IF(AND(INDEX(AktRolle,MATCH(C2111,Aktiviteter,0))&amp;""&lt;&gt;"",ISERROR(SEARCH(INDEX(AktRolle,MATCH(C2111,Aktiviteter,0))&amp;"",INDEX(TekRoller,MATCH(B2111,Teknikere,0))))),"Mangler rollen "&amp;INDEX(AktRolle,MATCH(C2111,Aktiviteter,0))&amp;"",IF(AND(C2111="LMS",F2111&gt;0,OR(D2111="",E2111="")),"Mangler maskin eller arbeid",IF(AND(OR(C2111="LMS",C2111="Mod"),D2111&lt;&gt;""),IF(IFERROR(INDEX(MaskinStatus,MATCH(D2111,Maskiner,0)),"")="I dokk","","Maskinen er ikke i dokk"),""))))))</f>
        <v/>
      </c>
      <c r="L2111" s="2">
        <f>IF(B2111="","",IFERROR(INT((MATCH(B2111,Teknikere,0)-1)/18)+1,""))</f>
        <v/>
      </c>
      <c r="M2111" s="2">
        <f>IF(OR(A2111="",B2111=""),"",B2111&amp;"|"&amp;A2111)</f>
        <v/>
      </c>
      <c r="N2111" s="2">
        <f>IF(M2111="","",SUMIFS(TF_Timer,TF_Nokkel,M2111,TF_Akt,C2111))</f>
        <v/>
      </c>
      <c r="O2111" s="2">
        <f>IF(M2111="","",IF(AND(N2111=_xlfn.MAXIFS(TF_AktSum,TF_Nokkel,M2111),COUNTIFS(M$3:M2110,M2111,N$3:N2110,N2111)=0),M2111,""))</f>
        <v/>
      </c>
    </row>
    <row r="2112">
      <c r="A2112" s="34" t="n"/>
      <c r="B2112" s="35" t="n"/>
      <c r="C2112" s="35" t="n"/>
      <c r="D2112" s="35" t="n"/>
      <c r="E2112" s="35" t="n"/>
      <c r="F2112" s="36" t="n"/>
      <c r="G2112" s="35" t="n"/>
      <c r="H2112" s="30">
        <f>IF(L2112="","",INDEX(SkiftNavn,L2112))</f>
        <v/>
      </c>
      <c r="I2112" s="30">
        <f>IF(OR(A2112="",L2112=""),"",IF(MOD(A2112-INDEX(SkiftStart,L2112),Syklus)&lt;DagK,"Kveld",IF(MOD(A2112-INDEX(SkiftStart,L2112),Syklus)&lt;DagK+DagH,"Helg",IF(MOD(A2112-INDEX(SkiftStart,L2112),Syklus)&lt;DagK+DagH+DagD,"Dag","Fri"))))</f>
        <v/>
      </c>
      <c r="J2112" s="30">
        <f>IF(I2112="Fri","Ja","")</f>
        <v/>
      </c>
      <c r="K2112" s="30">
        <f>IF(B2112="","",IF(L2112="","Ukjent tekniker",IF(ISNA(MATCH(C2112,Aktiviteter,0)),"Ukjent aktivitet",IF(AND(INDEX(AktRolle,MATCH(C2112,Aktiviteter,0))&amp;""&lt;&gt;"",ISERROR(SEARCH(INDEX(AktRolle,MATCH(C2112,Aktiviteter,0))&amp;"",INDEX(TekRoller,MATCH(B2112,Teknikere,0))))),"Mangler rollen "&amp;INDEX(AktRolle,MATCH(C2112,Aktiviteter,0))&amp;"",IF(AND(C2112="LMS",F2112&gt;0,OR(D2112="",E2112="")),"Mangler maskin eller arbeid",IF(AND(OR(C2112="LMS",C2112="Mod"),D2112&lt;&gt;""),IF(IFERROR(INDEX(MaskinStatus,MATCH(D2112,Maskiner,0)),"")="I dokk","","Maskinen er ikke i dokk"),""))))))</f>
        <v/>
      </c>
      <c r="L2112" s="2">
        <f>IF(B2112="","",IFERROR(INT((MATCH(B2112,Teknikere,0)-1)/18)+1,""))</f>
        <v/>
      </c>
      <c r="M2112" s="2">
        <f>IF(OR(A2112="",B2112=""),"",B2112&amp;"|"&amp;A2112)</f>
        <v/>
      </c>
      <c r="N2112" s="2">
        <f>IF(M2112="","",SUMIFS(TF_Timer,TF_Nokkel,M2112,TF_Akt,C2112))</f>
        <v/>
      </c>
      <c r="O2112" s="2">
        <f>IF(M2112="","",IF(AND(N2112=_xlfn.MAXIFS(TF_AktSum,TF_Nokkel,M2112),COUNTIFS(M$3:M2111,M2112,N$3:N2111,N2112)=0),M2112,""))</f>
        <v/>
      </c>
    </row>
    <row r="2113">
      <c r="A2113" s="34" t="n"/>
      <c r="B2113" s="35" t="n"/>
      <c r="C2113" s="35" t="n"/>
      <c r="D2113" s="35" t="n"/>
      <c r="E2113" s="35" t="n"/>
      <c r="F2113" s="36" t="n"/>
      <c r="G2113" s="35" t="n"/>
      <c r="H2113" s="30">
        <f>IF(L2113="","",INDEX(SkiftNavn,L2113))</f>
        <v/>
      </c>
      <c r="I2113" s="30">
        <f>IF(OR(A2113="",L2113=""),"",IF(MOD(A2113-INDEX(SkiftStart,L2113),Syklus)&lt;DagK,"Kveld",IF(MOD(A2113-INDEX(SkiftStart,L2113),Syklus)&lt;DagK+DagH,"Helg",IF(MOD(A2113-INDEX(SkiftStart,L2113),Syklus)&lt;DagK+DagH+DagD,"Dag","Fri"))))</f>
        <v/>
      </c>
      <c r="J2113" s="30">
        <f>IF(I2113="Fri","Ja","")</f>
        <v/>
      </c>
      <c r="K2113" s="30">
        <f>IF(B2113="","",IF(L2113="","Ukjent tekniker",IF(ISNA(MATCH(C2113,Aktiviteter,0)),"Ukjent aktivitet",IF(AND(INDEX(AktRolle,MATCH(C2113,Aktiviteter,0))&amp;""&lt;&gt;"",ISERROR(SEARCH(INDEX(AktRolle,MATCH(C2113,Aktiviteter,0))&amp;"",INDEX(TekRoller,MATCH(B2113,Teknikere,0))))),"Mangler rollen "&amp;INDEX(AktRolle,MATCH(C2113,Aktiviteter,0))&amp;"",IF(AND(C2113="LMS",F2113&gt;0,OR(D2113="",E2113="")),"Mangler maskin eller arbeid",IF(AND(OR(C2113="LMS",C2113="Mod"),D2113&lt;&gt;""),IF(IFERROR(INDEX(MaskinStatus,MATCH(D2113,Maskiner,0)),"")="I dokk","","Maskinen er ikke i dokk"),""))))))</f>
        <v/>
      </c>
      <c r="L2113" s="2">
        <f>IF(B2113="","",IFERROR(INT((MATCH(B2113,Teknikere,0)-1)/18)+1,""))</f>
        <v/>
      </c>
      <c r="M2113" s="2">
        <f>IF(OR(A2113="",B2113=""),"",B2113&amp;"|"&amp;A2113)</f>
        <v/>
      </c>
      <c r="N2113" s="2">
        <f>IF(M2113="","",SUMIFS(TF_Timer,TF_Nokkel,M2113,TF_Akt,C2113))</f>
        <v/>
      </c>
      <c r="O2113" s="2">
        <f>IF(M2113="","",IF(AND(N2113=_xlfn.MAXIFS(TF_AktSum,TF_Nokkel,M2113),COUNTIFS(M$3:M2112,M2113,N$3:N2112,N2113)=0),M2113,""))</f>
        <v/>
      </c>
    </row>
    <row r="2114">
      <c r="A2114" s="34" t="n"/>
      <c r="B2114" s="35" t="n"/>
      <c r="C2114" s="35" t="n"/>
      <c r="D2114" s="35" t="n"/>
      <c r="E2114" s="35" t="n"/>
      <c r="F2114" s="36" t="n"/>
      <c r="G2114" s="35" t="n"/>
      <c r="H2114" s="30">
        <f>IF(L2114="","",INDEX(SkiftNavn,L2114))</f>
        <v/>
      </c>
      <c r="I2114" s="30">
        <f>IF(OR(A2114="",L2114=""),"",IF(MOD(A2114-INDEX(SkiftStart,L2114),Syklus)&lt;DagK,"Kveld",IF(MOD(A2114-INDEX(SkiftStart,L2114),Syklus)&lt;DagK+DagH,"Helg",IF(MOD(A2114-INDEX(SkiftStart,L2114),Syklus)&lt;DagK+DagH+DagD,"Dag","Fri"))))</f>
        <v/>
      </c>
      <c r="J2114" s="30">
        <f>IF(I2114="Fri","Ja","")</f>
        <v/>
      </c>
      <c r="K2114" s="30">
        <f>IF(B2114="","",IF(L2114="","Ukjent tekniker",IF(ISNA(MATCH(C2114,Aktiviteter,0)),"Ukjent aktivitet",IF(AND(INDEX(AktRolle,MATCH(C2114,Aktiviteter,0))&amp;""&lt;&gt;"",ISERROR(SEARCH(INDEX(AktRolle,MATCH(C2114,Aktiviteter,0))&amp;"",INDEX(TekRoller,MATCH(B2114,Teknikere,0))))),"Mangler rollen "&amp;INDEX(AktRolle,MATCH(C2114,Aktiviteter,0))&amp;"",IF(AND(C2114="LMS",F2114&gt;0,OR(D2114="",E2114="")),"Mangler maskin eller arbeid",IF(AND(OR(C2114="LMS",C2114="Mod"),D2114&lt;&gt;""),IF(IFERROR(INDEX(MaskinStatus,MATCH(D2114,Maskiner,0)),"")="I dokk","","Maskinen er ikke i dokk"),""))))))</f>
        <v/>
      </c>
      <c r="L2114" s="2">
        <f>IF(B2114="","",IFERROR(INT((MATCH(B2114,Teknikere,0)-1)/18)+1,""))</f>
        <v/>
      </c>
      <c r="M2114" s="2">
        <f>IF(OR(A2114="",B2114=""),"",B2114&amp;"|"&amp;A2114)</f>
        <v/>
      </c>
      <c r="N2114" s="2">
        <f>IF(M2114="","",SUMIFS(TF_Timer,TF_Nokkel,M2114,TF_Akt,C2114))</f>
        <v/>
      </c>
      <c r="O2114" s="2">
        <f>IF(M2114="","",IF(AND(N2114=_xlfn.MAXIFS(TF_AktSum,TF_Nokkel,M2114),COUNTIFS(M$3:M2113,M2114,N$3:N2113,N2114)=0),M2114,""))</f>
        <v/>
      </c>
    </row>
    <row r="2115">
      <c r="A2115" s="34" t="n"/>
      <c r="B2115" s="35" t="n"/>
      <c r="C2115" s="35" t="n"/>
      <c r="D2115" s="35" t="n"/>
      <c r="E2115" s="35" t="n"/>
      <c r="F2115" s="36" t="n"/>
      <c r="G2115" s="35" t="n"/>
      <c r="H2115" s="30">
        <f>IF(L2115="","",INDEX(SkiftNavn,L2115))</f>
        <v/>
      </c>
      <c r="I2115" s="30">
        <f>IF(OR(A2115="",L2115=""),"",IF(MOD(A2115-INDEX(SkiftStart,L2115),Syklus)&lt;DagK,"Kveld",IF(MOD(A2115-INDEX(SkiftStart,L2115),Syklus)&lt;DagK+DagH,"Helg",IF(MOD(A2115-INDEX(SkiftStart,L2115),Syklus)&lt;DagK+DagH+DagD,"Dag","Fri"))))</f>
        <v/>
      </c>
      <c r="J2115" s="30">
        <f>IF(I2115="Fri","Ja","")</f>
        <v/>
      </c>
      <c r="K2115" s="30">
        <f>IF(B2115="","",IF(L2115="","Ukjent tekniker",IF(ISNA(MATCH(C2115,Aktiviteter,0)),"Ukjent aktivitet",IF(AND(INDEX(AktRolle,MATCH(C2115,Aktiviteter,0))&amp;""&lt;&gt;"",ISERROR(SEARCH(INDEX(AktRolle,MATCH(C2115,Aktiviteter,0))&amp;"",INDEX(TekRoller,MATCH(B2115,Teknikere,0))))),"Mangler rollen "&amp;INDEX(AktRolle,MATCH(C2115,Aktiviteter,0))&amp;"",IF(AND(C2115="LMS",F2115&gt;0,OR(D2115="",E2115="")),"Mangler maskin eller arbeid",IF(AND(OR(C2115="LMS",C2115="Mod"),D2115&lt;&gt;""),IF(IFERROR(INDEX(MaskinStatus,MATCH(D2115,Maskiner,0)),"")="I dokk","","Maskinen er ikke i dokk"),""))))))</f>
        <v/>
      </c>
      <c r="L2115" s="2">
        <f>IF(B2115="","",IFERROR(INT((MATCH(B2115,Teknikere,0)-1)/18)+1,""))</f>
        <v/>
      </c>
      <c r="M2115" s="2">
        <f>IF(OR(A2115="",B2115=""),"",B2115&amp;"|"&amp;A2115)</f>
        <v/>
      </c>
      <c r="N2115" s="2">
        <f>IF(M2115="","",SUMIFS(TF_Timer,TF_Nokkel,M2115,TF_Akt,C2115))</f>
        <v/>
      </c>
      <c r="O2115" s="2">
        <f>IF(M2115="","",IF(AND(N2115=_xlfn.MAXIFS(TF_AktSum,TF_Nokkel,M2115),COUNTIFS(M$3:M2114,M2115,N$3:N2114,N2115)=0),M2115,""))</f>
        <v/>
      </c>
    </row>
    <row r="2116">
      <c r="A2116" s="34" t="n"/>
      <c r="B2116" s="35" t="n"/>
      <c r="C2116" s="35" t="n"/>
      <c r="D2116" s="35" t="n"/>
      <c r="E2116" s="35" t="n"/>
      <c r="F2116" s="36" t="n"/>
      <c r="G2116" s="35" t="n"/>
      <c r="H2116" s="30">
        <f>IF(L2116="","",INDEX(SkiftNavn,L2116))</f>
        <v/>
      </c>
      <c r="I2116" s="30">
        <f>IF(OR(A2116="",L2116=""),"",IF(MOD(A2116-INDEX(SkiftStart,L2116),Syklus)&lt;DagK,"Kveld",IF(MOD(A2116-INDEX(SkiftStart,L2116),Syklus)&lt;DagK+DagH,"Helg",IF(MOD(A2116-INDEX(SkiftStart,L2116),Syklus)&lt;DagK+DagH+DagD,"Dag","Fri"))))</f>
        <v/>
      </c>
      <c r="J2116" s="30">
        <f>IF(I2116="Fri","Ja","")</f>
        <v/>
      </c>
      <c r="K2116" s="30">
        <f>IF(B2116="","",IF(L2116="","Ukjent tekniker",IF(ISNA(MATCH(C2116,Aktiviteter,0)),"Ukjent aktivitet",IF(AND(INDEX(AktRolle,MATCH(C2116,Aktiviteter,0))&amp;""&lt;&gt;"",ISERROR(SEARCH(INDEX(AktRolle,MATCH(C2116,Aktiviteter,0))&amp;"",INDEX(TekRoller,MATCH(B2116,Teknikere,0))))),"Mangler rollen "&amp;INDEX(AktRolle,MATCH(C2116,Aktiviteter,0))&amp;"",IF(AND(C2116="LMS",F2116&gt;0,OR(D2116="",E2116="")),"Mangler maskin eller arbeid",IF(AND(OR(C2116="LMS",C2116="Mod"),D2116&lt;&gt;""),IF(IFERROR(INDEX(MaskinStatus,MATCH(D2116,Maskiner,0)),"")="I dokk","","Maskinen er ikke i dokk"),""))))))</f>
        <v/>
      </c>
      <c r="L2116" s="2">
        <f>IF(B2116="","",IFERROR(INT((MATCH(B2116,Teknikere,0)-1)/18)+1,""))</f>
        <v/>
      </c>
      <c r="M2116" s="2">
        <f>IF(OR(A2116="",B2116=""),"",B2116&amp;"|"&amp;A2116)</f>
        <v/>
      </c>
      <c r="N2116" s="2">
        <f>IF(M2116="","",SUMIFS(TF_Timer,TF_Nokkel,M2116,TF_Akt,C2116))</f>
        <v/>
      </c>
      <c r="O2116" s="2">
        <f>IF(M2116="","",IF(AND(N2116=_xlfn.MAXIFS(TF_AktSum,TF_Nokkel,M2116),COUNTIFS(M$3:M2115,M2116,N$3:N2115,N2116)=0),M2116,""))</f>
        <v/>
      </c>
    </row>
    <row r="2117">
      <c r="A2117" s="34" t="n"/>
      <c r="B2117" s="35" t="n"/>
      <c r="C2117" s="35" t="n"/>
      <c r="D2117" s="35" t="n"/>
      <c r="E2117" s="35" t="n"/>
      <c r="F2117" s="36" t="n"/>
      <c r="G2117" s="35" t="n"/>
      <c r="H2117" s="30">
        <f>IF(L2117="","",INDEX(SkiftNavn,L2117))</f>
        <v/>
      </c>
      <c r="I2117" s="30">
        <f>IF(OR(A2117="",L2117=""),"",IF(MOD(A2117-INDEX(SkiftStart,L2117),Syklus)&lt;DagK,"Kveld",IF(MOD(A2117-INDEX(SkiftStart,L2117),Syklus)&lt;DagK+DagH,"Helg",IF(MOD(A2117-INDEX(SkiftStart,L2117),Syklus)&lt;DagK+DagH+DagD,"Dag","Fri"))))</f>
        <v/>
      </c>
      <c r="J2117" s="30">
        <f>IF(I2117="Fri","Ja","")</f>
        <v/>
      </c>
      <c r="K2117" s="30">
        <f>IF(B2117="","",IF(L2117="","Ukjent tekniker",IF(ISNA(MATCH(C2117,Aktiviteter,0)),"Ukjent aktivitet",IF(AND(INDEX(AktRolle,MATCH(C2117,Aktiviteter,0))&amp;""&lt;&gt;"",ISERROR(SEARCH(INDEX(AktRolle,MATCH(C2117,Aktiviteter,0))&amp;"",INDEX(TekRoller,MATCH(B2117,Teknikere,0))))),"Mangler rollen "&amp;INDEX(AktRolle,MATCH(C2117,Aktiviteter,0))&amp;"",IF(AND(C2117="LMS",F2117&gt;0,OR(D2117="",E2117="")),"Mangler maskin eller arbeid",IF(AND(OR(C2117="LMS",C2117="Mod"),D2117&lt;&gt;""),IF(IFERROR(INDEX(MaskinStatus,MATCH(D2117,Maskiner,0)),"")="I dokk","","Maskinen er ikke i dokk"),""))))))</f>
        <v/>
      </c>
      <c r="L2117" s="2">
        <f>IF(B2117="","",IFERROR(INT((MATCH(B2117,Teknikere,0)-1)/18)+1,""))</f>
        <v/>
      </c>
      <c r="M2117" s="2">
        <f>IF(OR(A2117="",B2117=""),"",B2117&amp;"|"&amp;A2117)</f>
        <v/>
      </c>
      <c r="N2117" s="2">
        <f>IF(M2117="","",SUMIFS(TF_Timer,TF_Nokkel,M2117,TF_Akt,C2117))</f>
        <v/>
      </c>
      <c r="O2117" s="2">
        <f>IF(M2117="","",IF(AND(N2117=_xlfn.MAXIFS(TF_AktSum,TF_Nokkel,M2117),COUNTIFS(M$3:M2116,M2117,N$3:N2116,N2117)=0),M2117,""))</f>
        <v/>
      </c>
    </row>
    <row r="2118">
      <c r="A2118" s="34" t="n"/>
      <c r="B2118" s="35" t="n"/>
      <c r="C2118" s="35" t="n"/>
      <c r="D2118" s="35" t="n"/>
      <c r="E2118" s="35" t="n"/>
      <c r="F2118" s="36" t="n"/>
      <c r="G2118" s="35" t="n"/>
      <c r="H2118" s="30">
        <f>IF(L2118="","",INDEX(SkiftNavn,L2118))</f>
        <v/>
      </c>
      <c r="I2118" s="30">
        <f>IF(OR(A2118="",L2118=""),"",IF(MOD(A2118-INDEX(SkiftStart,L2118),Syklus)&lt;DagK,"Kveld",IF(MOD(A2118-INDEX(SkiftStart,L2118),Syklus)&lt;DagK+DagH,"Helg",IF(MOD(A2118-INDEX(SkiftStart,L2118),Syklus)&lt;DagK+DagH+DagD,"Dag","Fri"))))</f>
        <v/>
      </c>
      <c r="J2118" s="30">
        <f>IF(I2118="Fri","Ja","")</f>
        <v/>
      </c>
      <c r="K2118" s="30">
        <f>IF(B2118="","",IF(L2118="","Ukjent tekniker",IF(ISNA(MATCH(C2118,Aktiviteter,0)),"Ukjent aktivitet",IF(AND(INDEX(AktRolle,MATCH(C2118,Aktiviteter,0))&amp;""&lt;&gt;"",ISERROR(SEARCH(INDEX(AktRolle,MATCH(C2118,Aktiviteter,0))&amp;"",INDEX(TekRoller,MATCH(B2118,Teknikere,0))))),"Mangler rollen "&amp;INDEX(AktRolle,MATCH(C2118,Aktiviteter,0))&amp;"",IF(AND(C2118="LMS",F2118&gt;0,OR(D2118="",E2118="")),"Mangler maskin eller arbeid",IF(AND(OR(C2118="LMS",C2118="Mod"),D2118&lt;&gt;""),IF(IFERROR(INDEX(MaskinStatus,MATCH(D2118,Maskiner,0)),"")="I dokk","","Maskinen er ikke i dokk"),""))))))</f>
        <v/>
      </c>
      <c r="L2118" s="2">
        <f>IF(B2118="","",IFERROR(INT((MATCH(B2118,Teknikere,0)-1)/18)+1,""))</f>
        <v/>
      </c>
      <c r="M2118" s="2">
        <f>IF(OR(A2118="",B2118=""),"",B2118&amp;"|"&amp;A2118)</f>
        <v/>
      </c>
      <c r="N2118" s="2">
        <f>IF(M2118="","",SUMIFS(TF_Timer,TF_Nokkel,M2118,TF_Akt,C2118))</f>
        <v/>
      </c>
      <c r="O2118" s="2">
        <f>IF(M2118="","",IF(AND(N2118=_xlfn.MAXIFS(TF_AktSum,TF_Nokkel,M2118),COUNTIFS(M$3:M2117,M2118,N$3:N2117,N2118)=0),M2118,""))</f>
        <v/>
      </c>
    </row>
    <row r="2119">
      <c r="A2119" s="34" t="n"/>
      <c r="B2119" s="35" t="n"/>
      <c r="C2119" s="35" t="n"/>
      <c r="D2119" s="35" t="n"/>
      <c r="E2119" s="35" t="n"/>
      <c r="F2119" s="36" t="n"/>
      <c r="G2119" s="35" t="n"/>
      <c r="H2119" s="30">
        <f>IF(L2119="","",INDEX(SkiftNavn,L2119))</f>
        <v/>
      </c>
      <c r="I2119" s="30">
        <f>IF(OR(A2119="",L2119=""),"",IF(MOD(A2119-INDEX(SkiftStart,L2119),Syklus)&lt;DagK,"Kveld",IF(MOD(A2119-INDEX(SkiftStart,L2119),Syklus)&lt;DagK+DagH,"Helg",IF(MOD(A2119-INDEX(SkiftStart,L2119),Syklus)&lt;DagK+DagH+DagD,"Dag","Fri"))))</f>
        <v/>
      </c>
      <c r="J2119" s="30">
        <f>IF(I2119="Fri","Ja","")</f>
        <v/>
      </c>
      <c r="K2119" s="30">
        <f>IF(B2119="","",IF(L2119="","Ukjent tekniker",IF(ISNA(MATCH(C2119,Aktiviteter,0)),"Ukjent aktivitet",IF(AND(INDEX(AktRolle,MATCH(C2119,Aktiviteter,0))&amp;""&lt;&gt;"",ISERROR(SEARCH(INDEX(AktRolle,MATCH(C2119,Aktiviteter,0))&amp;"",INDEX(TekRoller,MATCH(B2119,Teknikere,0))))),"Mangler rollen "&amp;INDEX(AktRolle,MATCH(C2119,Aktiviteter,0))&amp;"",IF(AND(C2119="LMS",F2119&gt;0,OR(D2119="",E2119="")),"Mangler maskin eller arbeid",IF(AND(OR(C2119="LMS",C2119="Mod"),D2119&lt;&gt;""),IF(IFERROR(INDEX(MaskinStatus,MATCH(D2119,Maskiner,0)),"")="I dokk","","Maskinen er ikke i dokk"),""))))))</f>
        <v/>
      </c>
      <c r="L2119" s="2">
        <f>IF(B2119="","",IFERROR(INT((MATCH(B2119,Teknikere,0)-1)/18)+1,""))</f>
        <v/>
      </c>
      <c r="M2119" s="2">
        <f>IF(OR(A2119="",B2119=""),"",B2119&amp;"|"&amp;A2119)</f>
        <v/>
      </c>
      <c r="N2119" s="2">
        <f>IF(M2119="","",SUMIFS(TF_Timer,TF_Nokkel,M2119,TF_Akt,C2119))</f>
        <v/>
      </c>
      <c r="O2119" s="2">
        <f>IF(M2119="","",IF(AND(N2119=_xlfn.MAXIFS(TF_AktSum,TF_Nokkel,M2119),COUNTIFS(M$3:M2118,M2119,N$3:N2118,N2119)=0),M2119,""))</f>
        <v/>
      </c>
    </row>
    <row r="2120">
      <c r="A2120" s="34" t="n"/>
      <c r="B2120" s="35" t="n"/>
      <c r="C2120" s="35" t="n"/>
      <c r="D2120" s="35" t="n"/>
      <c r="E2120" s="35" t="n"/>
      <c r="F2120" s="36" t="n"/>
      <c r="G2120" s="35" t="n"/>
      <c r="H2120" s="30">
        <f>IF(L2120="","",INDEX(SkiftNavn,L2120))</f>
        <v/>
      </c>
      <c r="I2120" s="30">
        <f>IF(OR(A2120="",L2120=""),"",IF(MOD(A2120-INDEX(SkiftStart,L2120),Syklus)&lt;DagK,"Kveld",IF(MOD(A2120-INDEX(SkiftStart,L2120),Syklus)&lt;DagK+DagH,"Helg",IF(MOD(A2120-INDEX(SkiftStart,L2120),Syklus)&lt;DagK+DagH+DagD,"Dag","Fri"))))</f>
        <v/>
      </c>
      <c r="J2120" s="30">
        <f>IF(I2120="Fri","Ja","")</f>
        <v/>
      </c>
      <c r="K2120" s="30">
        <f>IF(B2120="","",IF(L2120="","Ukjent tekniker",IF(ISNA(MATCH(C2120,Aktiviteter,0)),"Ukjent aktivitet",IF(AND(INDEX(AktRolle,MATCH(C2120,Aktiviteter,0))&amp;""&lt;&gt;"",ISERROR(SEARCH(INDEX(AktRolle,MATCH(C2120,Aktiviteter,0))&amp;"",INDEX(TekRoller,MATCH(B2120,Teknikere,0))))),"Mangler rollen "&amp;INDEX(AktRolle,MATCH(C2120,Aktiviteter,0))&amp;"",IF(AND(C2120="LMS",F2120&gt;0,OR(D2120="",E2120="")),"Mangler maskin eller arbeid",IF(AND(OR(C2120="LMS",C2120="Mod"),D2120&lt;&gt;""),IF(IFERROR(INDEX(MaskinStatus,MATCH(D2120,Maskiner,0)),"")="I dokk","","Maskinen er ikke i dokk"),""))))))</f>
        <v/>
      </c>
      <c r="L2120" s="2">
        <f>IF(B2120="","",IFERROR(INT((MATCH(B2120,Teknikere,0)-1)/18)+1,""))</f>
        <v/>
      </c>
      <c r="M2120" s="2">
        <f>IF(OR(A2120="",B2120=""),"",B2120&amp;"|"&amp;A2120)</f>
        <v/>
      </c>
      <c r="N2120" s="2">
        <f>IF(M2120="","",SUMIFS(TF_Timer,TF_Nokkel,M2120,TF_Akt,C2120))</f>
        <v/>
      </c>
      <c r="O2120" s="2">
        <f>IF(M2120="","",IF(AND(N2120=_xlfn.MAXIFS(TF_AktSum,TF_Nokkel,M2120),COUNTIFS(M$3:M2119,M2120,N$3:N2119,N2120)=0),M2120,""))</f>
        <v/>
      </c>
    </row>
    <row r="2121">
      <c r="A2121" s="34" t="n"/>
      <c r="B2121" s="35" t="n"/>
      <c r="C2121" s="35" t="n"/>
      <c r="D2121" s="35" t="n"/>
      <c r="E2121" s="35" t="n"/>
      <c r="F2121" s="36" t="n"/>
      <c r="G2121" s="35" t="n"/>
      <c r="H2121" s="30">
        <f>IF(L2121="","",INDEX(SkiftNavn,L2121))</f>
        <v/>
      </c>
      <c r="I2121" s="30">
        <f>IF(OR(A2121="",L2121=""),"",IF(MOD(A2121-INDEX(SkiftStart,L2121),Syklus)&lt;DagK,"Kveld",IF(MOD(A2121-INDEX(SkiftStart,L2121),Syklus)&lt;DagK+DagH,"Helg",IF(MOD(A2121-INDEX(SkiftStart,L2121),Syklus)&lt;DagK+DagH+DagD,"Dag","Fri"))))</f>
        <v/>
      </c>
      <c r="J2121" s="30">
        <f>IF(I2121="Fri","Ja","")</f>
        <v/>
      </c>
      <c r="K2121" s="30">
        <f>IF(B2121="","",IF(L2121="","Ukjent tekniker",IF(ISNA(MATCH(C2121,Aktiviteter,0)),"Ukjent aktivitet",IF(AND(INDEX(AktRolle,MATCH(C2121,Aktiviteter,0))&amp;""&lt;&gt;"",ISERROR(SEARCH(INDEX(AktRolle,MATCH(C2121,Aktiviteter,0))&amp;"",INDEX(TekRoller,MATCH(B2121,Teknikere,0))))),"Mangler rollen "&amp;INDEX(AktRolle,MATCH(C2121,Aktiviteter,0))&amp;"",IF(AND(C2121="LMS",F2121&gt;0,OR(D2121="",E2121="")),"Mangler maskin eller arbeid",IF(AND(OR(C2121="LMS",C2121="Mod"),D2121&lt;&gt;""),IF(IFERROR(INDEX(MaskinStatus,MATCH(D2121,Maskiner,0)),"")="I dokk","","Maskinen er ikke i dokk"),""))))))</f>
        <v/>
      </c>
      <c r="L2121" s="2">
        <f>IF(B2121="","",IFERROR(INT((MATCH(B2121,Teknikere,0)-1)/18)+1,""))</f>
        <v/>
      </c>
      <c r="M2121" s="2">
        <f>IF(OR(A2121="",B2121=""),"",B2121&amp;"|"&amp;A2121)</f>
        <v/>
      </c>
      <c r="N2121" s="2">
        <f>IF(M2121="","",SUMIFS(TF_Timer,TF_Nokkel,M2121,TF_Akt,C2121))</f>
        <v/>
      </c>
      <c r="O2121" s="2">
        <f>IF(M2121="","",IF(AND(N2121=_xlfn.MAXIFS(TF_AktSum,TF_Nokkel,M2121),COUNTIFS(M$3:M2120,M2121,N$3:N2120,N2121)=0),M2121,""))</f>
        <v/>
      </c>
    </row>
    <row r="2122">
      <c r="A2122" s="34" t="n"/>
      <c r="B2122" s="35" t="n"/>
      <c r="C2122" s="35" t="n"/>
      <c r="D2122" s="35" t="n"/>
      <c r="E2122" s="35" t="n"/>
      <c r="F2122" s="36" t="n"/>
      <c r="G2122" s="35" t="n"/>
      <c r="H2122" s="30">
        <f>IF(L2122="","",INDEX(SkiftNavn,L2122))</f>
        <v/>
      </c>
      <c r="I2122" s="30">
        <f>IF(OR(A2122="",L2122=""),"",IF(MOD(A2122-INDEX(SkiftStart,L2122),Syklus)&lt;DagK,"Kveld",IF(MOD(A2122-INDEX(SkiftStart,L2122),Syklus)&lt;DagK+DagH,"Helg",IF(MOD(A2122-INDEX(SkiftStart,L2122),Syklus)&lt;DagK+DagH+DagD,"Dag","Fri"))))</f>
        <v/>
      </c>
      <c r="J2122" s="30">
        <f>IF(I2122="Fri","Ja","")</f>
        <v/>
      </c>
      <c r="K2122" s="30">
        <f>IF(B2122="","",IF(L2122="","Ukjent tekniker",IF(ISNA(MATCH(C2122,Aktiviteter,0)),"Ukjent aktivitet",IF(AND(INDEX(AktRolle,MATCH(C2122,Aktiviteter,0))&amp;""&lt;&gt;"",ISERROR(SEARCH(INDEX(AktRolle,MATCH(C2122,Aktiviteter,0))&amp;"",INDEX(TekRoller,MATCH(B2122,Teknikere,0))))),"Mangler rollen "&amp;INDEX(AktRolle,MATCH(C2122,Aktiviteter,0))&amp;"",IF(AND(C2122="LMS",F2122&gt;0,OR(D2122="",E2122="")),"Mangler maskin eller arbeid",IF(AND(OR(C2122="LMS",C2122="Mod"),D2122&lt;&gt;""),IF(IFERROR(INDEX(MaskinStatus,MATCH(D2122,Maskiner,0)),"")="I dokk","","Maskinen er ikke i dokk"),""))))))</f>
        <v/>
      </c>
      <c r="L2122" s="2">
        <f>IF(B2122="","",IFERROR(INT((MATCH(B2122,Teknikere,0)-1)/18)+1,""))</f>
        <v/>
      </c>
      <c r="M2122" s="2">
        <f>IF(OR(A2122="",B2122=""),"",B2122&amp;"|"&amp;A2122)</f>
        <v/>
      </c>
      <c r="N2122" s="2">
        <f>IF(M2122="","",SUMIFS(TF_Timer,TF_Nokkel,M2122,TF_Akt,C2122))</f>
        <v/>
      </c>
      <c r="O2122" s="2">
        <f>IF(M2122="","",IF(AND(N2122=_xlfn.MAXIFS(TF_AktSum,TF_Nokkel,M2122),COUNTIFS(M$3:M2121,M2122,N$3:N2121,N2122)=0),M2122,""))</f>
        <v/>
      </c>
    </row>
    <row r="2123">
      <c r="A2123" s="34" t="n"/>
      <c r="B2123" s="35" t="n"/>
      <c r="C2123" s="35" t="n"/>
      <c r="D2123" s="35" t="n"/>
      <c r="E2123" s="35" t="n"/>
      <c r="F2123" s="36" t="n"/>
      <c r="G2123" s="35" t="n"/>
      <c r="H2123" s="30">
        <f>IF(L2123="","",INDEX(SkiftNavn,L2123))</f>
        <v/>
      </c>
      <c r="I2123" s="30">
        <f>IF(OR(A2123="",L2123=""),"",IF(MOD(A2123-INDEX(SkiftStart,L2123),Syklus)&lt;DagK,"Kveld",IF(MOD(A2123-INDEX(SkiftStart,L2123),Syklus)&lt;DagK+DagH,"Helg",IF(MOD(A2123-INDEX(SkiftStart,L2123),Syklus)&lt;DagK+DagH+DagD,"Dag","Fri"))))</f>
        <v/>
      </c>
      <c r="J2123" s="30">
        <f>IF(I2123="Fri","Ja","")</f>
        <v/>
      </c>
      <c r="K2123" s="30">
        <f>IF(B2123="","",IF(L2123="","Ukjent tekniker",IF(ISNA(MATCH(C2123,Aktiviteter,0)),"Ukjent aktivitet",IF(AND(INDEX(AktRolle,MATCH(C2123,Aktiviteter,0))&amp;""&lt;&gt;"",ISERROR(SEARCH(INDEX(AktRolle,MATCH(C2123,Aktiviteter,0))&amp;"",INDEX(TekRoller,MATCH(B2123,Teknikere,0))))),"Mangler rollen "&amp;INDEX(AktRolle,MATCH(C2123,Aktiviteter,0))&amp;"",IF(AND(C2123="LMS",F2123&gt;0,OR(D2123="",E2123="")),"Mangler maskin eller arbeid",IF(AND(OR(C2123="LMS",C2123="Mod"),D2123&lt;&gt;""),IF(IFERROR(INDEX(MaskinStatus,MATCH(D2123,Maskiner,0)),"")="I dokk","","Maskinen er ikke i dokk"),""))))))</f>
        <v/>
      </c>
      <c r="L2123" s="2">
        <f>IF(B2123="","",IFERROR(INT((MATCH(B2123,Teknikere,0)-1)/18)+1,""))</f>
        <v/>
      </c>
      <c r="M2123" s="2">
        <f>IF(OR(A2123="",B2123=""),"",B2123&amp;"|"&amp;A2123)</f>
        <v/>
      </c>
      <c r="N2123" s="2">
        <f>IF(M2123="","",SUMIFS(TF_Timer,TF_Nokkel,M2123,TF_Akt,C2123))</f>
        <v/>
      </c>
      <c r="O2123" s="2">
        <f>IF(M2123="","",IF(AND(N2123=_xlfn.MAXIFS(TF_AktSum,TF_Nokkel,M2123),COUNTIFS(M$3:M2122,M2123,N$3:N2122,N2123)=0),M2123,""))</f>
        <v/>
      </c>
    </row>
    <row r="2124">
      <c r="A2124" s="34" t="n"/>
      <c r="B2124" s="35" t="n"/>
      <c r="C2124" s="35" t="n"/>
      <c r="D2124" s="35" t="n"/>
      <c r="E2124" s="35" t="n"/>
      <c r="F2124" s="36" t="n"/>
      <c r="G2124" s="35" t="n"/>
      <c r="H2124" s="30">
        <f>IF(L2124="","",INDEX(SkiftNavn,L2124))</f>
        <v/>
      </c>
      <c r="I2124" s="30">
        <f>IF(OR(A2124="",L2124=""),"",IF(MOD(A2124-INDEX(SkiftStart,L2124),Syklus)&lt;DagK,"Kveld",IF(MOD(A2124-INDEX(SkiftStart,L2124),Syklus)&lt;DagK+DagH,"Helg",IF(MOD(A2124-INDEX(SkiftStart,L2124),Syklus)&lt;DagK+DagH+DagD,"Dag","Fri"))))</f>
        <v/>
      </c>
      <c r="J2124" s="30">
        <f>IF(I2124="Fri","Ja","")</f>
        <v/>
      </c>
      <c r="K2124" s="30">
        <f>IF(B2124="","",IF(L2124="","Ukjent tekniker",IF(ISNA(MATCH(C2124,Aktiviteter,0)),"Ukjent aktivitet",IF(AND(INDEX(AktRolle,MATCH(C2124,Aktiviteter,0))&amp;""&lt;&gt;"",ISERROR(SEARCH(INDEX(AktRolle,MATCH(C2124,Aktiviteter,0))&amp;"",INDEX(TekRoller,MATCH(B2124,Teknikere,0))))),"Mangler rollen "&amp;INDEX(AktRolle,MATCH(C2124,Aktiviteter,0))&amp;"",IF(AND(C2124="LMS",F2124&gt;0,OR(D2124="",E2124="")),"Mangler maskin eller arbeid",IF(AND(OR(C2124="LMS",C2124="Mod"),D2124&lt;&gt;""),IF(IFERROR(INDEX(MaskinStatus,MATCH(D2124,Maskiner,0)),"")="I dokk","","Maskinen er ikke i dokk"),""))))))</f>
        <v/>
      </c>
      <c r="L2124" s="2">
        <f>IF(B2124="","",IFERROR(INT((MATCH(B2124,Teknikere,0)-1)/18)+1,""))</f>
        <v/>
      </c>
      <c r="M2124" s="2">
        <f>IF(OR(A2124="",B2124=""),"",B2124&amp;"|"&amp;A2124)</f>
        <v/>
      </c>
      <c r="N2124" s="2">
        <f>IF(M2124="","",SUMIFS(TF_Timer,TF_Nokkel,M2124,TF_Akt,C2124))</f>
        <v/>
      </c>
      <c r="O2124" s="2">
        <f>IF(M2124="","",IF(AND(N2124=_xlfn.MAXIFS(TF_AktSum,TF_Nokkel,M2124),COUNTIFS(M$3:M2123,M2124,N$3:N2123,N2124)=0),M2124,""))</f>
        <v/>
      </c>
    </row>
    <row r="2125">
      <c r="A2125" s="34" t="n"/>
      <c r="B2125" s="35" t="n"/>
      <c r="C2125" s="35" t="n"/>
      <c r="D2125" s="35" t="n"/>
      <c r="E2125" s="35" t="n"/>
      <c r="F2125" s="36" t="n"/>
      <c r="G2125" s="35" t="n"/>
      <c r="H2125" s="30">
        <f>IF(L2125="","",INDEX(SkiftNavn,L2125))</f>
        <v/>
      </c>
      <c r="I2125" s="30">
        <f>IF(OR(A2125="",L2125=""),"",IF(MOD(A2125-INDEX(SkiftStart,L2125),Syklus)&lt;DagK,"Kveld",IF(MOD(A2125-INDEX(SkiftStart,L2125),Syklus)&lt;DagK+DagH,"Helg",IF(MOD(A2125-INDEX(SkiftStart,L2125),Syklus)&lt;DagK+DagH+DagD,"Dag","Fri"))))</f>
        <v/>
      </c>
      <c r="J2125" s="30">
        <f>IF(I2125="Fri","Ja","")</f>
        <v/>
      </c>
      <c r="K2125" s="30">
        <f>IF(B2125="","",IF(L2125="","Ukjent tekniker",IF(ISNA(MATCH(C2125,Aktiviteter,0)),"Ukjent aktivitet",IF(AND(INDEX(AktRolle,MATCH(C2125,Aktiviteter,0))&amp;""&lt;&gt;"",ISERROR(SEARCH(INDEX(AktRolle,MATCH(C2125,Aktiviteter,0))&amp;"",INDEX(TekRoller,MATCH(B2125,Teknikere,0))))),"Mangler rollen "&amp;INDEX(AktRolle,MATCH(C2125,Aktiviteter,0))&amp;"",IF(AND(C2125="LMS",F2125&gt;0,OR(D2125="",E2125="")),"Mangler maskin eller arbeid",IF(AND(OR(C2125="LMS",C2125="Mod"),D2125&lt;&gt;""),IF(IFERROR(INDEX(MaskinStatus,MATCH(D2125,Maskiner,0)),"")="I dokk","","Maskinen er ikke i dokk"),""))))))</f>
        <v/>
      </c>
      <c r="L2125" s="2">
        <f>IF(B2125="","",IFERROR(INT((MATCH(B2125,Teknikere,0)-1)/18)+1,""))</f>
        <v/>
      </c>
      <c r="M2125" s="2">
        <f>IF(OR(A2125="",B2125=""),"",B2125&amp;"|"&amp;A2125)</f>
        <v/>
      </c>
      <c r="N2125" s="2">
        <f>IF(M2125="","",SUMIFS(TF_Timer,TF_Nokkel,M2125,TF_Akt,C2125))</f>
        <v/>
      </c>
      <c r="O2125" s="2">
        <f>IF(M2125="","",IF(AND(N2125=_xlfn.MAXIFS(TF_AktSum,TF_Nokkel,M2125),COUNTIFS(M$3:M2124,M2125,N$3:N2124,N2125)=0),M2125,""))</f>
        <v/>
      </c>
    </row>
    <row r="2126">
      <c r="A2126" s="34" t="n"/>
      <c r="B2126" s="35" t="n"/>
      <c r="C2126" s="35" t="n"/>
      <c r="D2126" s="35" t="n"/>
      <c r="E2126" s="35" t="n"/>
      <c r="F2126" s="36" t="n"/>
      <c r="G2126" s="35" t="n"/>
      <c r="H2126" s="30">
        <f>IF(L2126="","",INDEX(SkiftNavn,L2126))</f>
        <v/>
      </c>
      <c r="I2126" s="30">
        <f>IF(OR(A2126="",L2126=""),"",IF(MOD(A2126-INDEX(SkiftStart,L2126),Syklus)&lt;DagK,"Kveld",IF(MOD(A2126-INDEX(SkiftStart,L2126),Syklus)&lt;DagK+DagH,"Helg",IF(MOD(A2126-INDEX(SkiftStart,L2126),Syklus)&lt;DagK+DagH+DagD,"Dag","Fri"))))</f>
        <v/>
      </c>
      <c r="J2126" s="30">
        <f>IF(I2126="Fri","Ja","")</f>
        <v/>
      </c>
      <c r="K2126" s="30">
        <f>IF(B2126="","",IF(L2126="","Ukjent tekniker",IF(ISNA(MATCH(C2126,Aktiviteter,0)),"Ukjent aktivitet",IF(AND(INDEX(AktRolle,MATCH(C2126,Aktiviteter,0))&amp;""&lt;&gt;"",ISERROR(SEARCH(INDEX(AktRolle,MATCH(C2126,Aktiviteter,0))&amp;"",INDEX(TekRoller,MATCH(B2126,Teknikere,0))))),"Mangler rollen "&amp;INDEX(AktRolle,MATCH(C2126,Aktiviteter,0))&amp;"",IF(AND(C2126="LMS",F2126&gt;0,OR(D2126="",E2126="")),"Mangler maskin eller arbeid",IF(AND(OR(C2126="LMS",C2126="Mod"),D2126&lt;&gt;""),IF(IFERROR(INDEX(MaskinStatus,MATCH(D2126,Maskiner,0)),"")="I dokk","","Maskinen er ikke i dokk"),""))))))</f>
        <v/>
      </c>
      <c r="L2126" s="2">
        <f>IF(B2126="","",IFERROR(INT((MATCH(B2126,Teknikere,0)-1)/18)+1,""))</f>
        <v/>
      </c>
      <c r="M2126" s="2">
        <f>IF(OR(A2126="",B2126=""),"",B2126&amp;"|"&amp;A2126)</f>
        <v/>
      </c>
      <c r="N2126" s="2">
        <f>IF(M2126="","",SUMIFS(TF_Timer,TF_Nokkel,M2126,TF_Akt,C2126))</f>
        <v/>
      </c>
      <c r="O2126" s="2">
        <f>IF(M2126="","",IF(AND(N2126=_xlfn.MAXIFS(TF_AktSum,TF_Nokkel,M2126),COUNTIFS(M$3:M2125,M2126,N$3:N2125,N2126)=0),M2126,""))</f>
        <v/>
      </c>
    </row>
    <row r="2127">
      <c r="A2127" s="34" t="n"/>
      <c r="B2127" s="35" t="n"/>
      <c r="C2127" s="35" t="n"/>
      <c r="D2127" s="35" t="n"/>
      <c r="E2127" s="35" t="n"/>
      <c r="F2127" s="36" t="n"/>
      <c r="G2127" s="35" t="n"/>
      <c r="H2127" s="30">
        <f>IF(L2127="","",INDEX(SkiftNavn,L2127))</f>
        <v/>
      </c>
      <c r="I2127" s="30">
        <f>IF(OR(A2127="",L2127=""),"",IF(MOD(A2127-INDEX(SkiftStart,L2127),Syklus)&lt;DagK,"Kveld",IF(MOD(A2127-INDEX(SkiftStart,L2127),Syklus)&lt;DagK+DagH,"Helg",IF(MOD(A2127-INDEX(SkiftStart,L2127),Syklus)&lt;DagK+DagH+DagD,"Dag","Fri"))))</f>
        <v/>
      </c>
      <c r="J2127" s="30">
        <f>IF(I2127="Fri","Ja","")</f>
        <v/>
      </c>
      <c r="K2127" s="30">
        <f>IF(B2127="","",IF(L2127="","Ukjent tekniker",IF(ISNA(MATCH(C2127,Aktiviteter,0)),"Ukjent aktivitet",IF(AND(INDEX(AktRolle,MATCH(C2127,Aktiviteter,0))&amp;""&lt;&gt;"",ISERROR(SEARCH(INDEX(AktRolle,MATCH(C2127,Aktiviteter,0))&amp;"",INDEX(TekRoller,MATCH(B2127,Teknikere,0))))),"Mangler rollen "&amp;INDEX(AktRolle,MATCH(C2127,Aktiviteter,0))&amp;"",IF(AND(C2127="LMS",F2127&gt;0,OR(D2127="",E2127="")),"Mangler maskin eller arbeid",IF(AND(OR(C2127="LMS",C2127="Mod"),D2127&lt;&gt;""),IF(IFERROR(INDEX(MaskinStatus,MATCH(D2127,Maskiner,0)),"")="I dokk","","Maskinen er ikke i dokk"),""))))))</f>
        <v/>
      </c>
      <c r="L2127" s="2">
        <f>IF(B2127="","",IFERROR(INT((MATCH(B2127,Teknikere,0)-1)/18)+1,""))</f>
        <v/>
      </c>
      <c r="M2127" s="2">
        <f>IF(OR(A2127="",B2127=""),"",B2127&amp;"|"&amp;A2127)</f>
        <v/>
      </c>
      <c r="N2127" s="2">
        <f>IF(M2127="","",SUMIFS(TF_Timer,TF_Nokkel,M2127,TF_Akt,C2127))</f>
        <v/>
      </c>
      <c r="O2127" s="2">
        <f>IF(M2127="","",IF(AND(N2127=_xlfn.MAXIFS(TF_AktSum,TF_Nokkel,M2127),COUNTIFS(M$3:M2126,M2127,N$3:N2126,N2127)=0),M2127,""))</f>
        <v/>
      </c>
    </row>
    <row r="2128">
      <c r="A2128" s="34" t="n"/>
      <c r="B2128" s="35" t="n"/>
      <c r="C2128" s="35" t="n"/>
      <c r="D2128" s="35" t="n"/>
      <c r="E2128" s="35" t="n"/>
      <c r="F2128" s="36" t="n"/>
      <c r="G2128" s="35" t="n"/>
      <c r="H2128" s="30">
        <f>IF(L2128="","",INDEX(SkiftNavn,L2128))</f>
        <v/>
      </c>
      <c r="I2128" s="30">
        <f>IF(OR(A2128="",L2128=""),"",IF(MOD(A2128-INDEX(SkiftStart,L2128),Syklus)&lt;DagK,"Kveld",IF(MOD(A2128-INDEX(SkiftStart,L2128),Syklus)&lt;DagK+DagH,"Helg",IF(MOD(A2128-INDEX(SkiftStart,L2128),Syklus)&lt;DagK+DagH+DagD,"Dag","Fri"))))</f>
        <v/>
      </c>
      <c r="J2128" s="30">
        <f>IF(I2128="Fri","Ja","")</f>
        <v/>
      </c>
      <c r="K2128" s="30">
        <f>IF(B2128="","",IF(L2128="","Ukjent tekniker",IF(ISNA(MATCH(C2128,Aktiviteter,0)),"Ukjent aktivitet",IF(AND(INDEX(AktRolle,MATCH(C2128,Aktiviteter,0))&amp;""&lt;&gt;"",ISERROR(SEARCH(INDEX(AktRolle,MATCH(C2128,Aktiviteter,0))&amp;"",INDEX(TekRoller,MATCH(B2128,Teknikere,0))))),"Mangler rollen "&amp;INDEX(AktRolle,MATCH(C2128,Aktiviteter,0))&amp;"",IF(AND(C2128="LMS",F2128&gt;0,OR(D2128="",E2128="")),"Mangler maskin eller arbeid",IF(AND(OR(C2128="LMS",C2128="Mod"),D2128&lt;&gt;""),IF(IFERROR(INDEX(MaskinStatus,MATCH(D2128,Maskiner,0)),"")="I dokk","","Maskinen er ikke i dokk"),""))))))</f>
        <v/>
      </c>
      <c r="L2128" s="2">
        <f>IF(B2128="","",IFERROR(INT((MATCH(B2128,Teknikere,0)-1)/18)+1,""))</f>
        <v/>
      </c>
      <c r="M2128" s="2">
        <f>IF(OR(A2128="",B2128=""),"",B2128&amp;"|"&amp;A2128)</f>
        <v/>
      </c>
      <c r="N2128" s="2">
        <f>IF(M2128="","",SUMIFS(TF_Timer,TF_Nokkel,M2128,TF_Akt,C2128))</f>
        <v/>
      </c>
      <c r="O2128" s="2">
        <f>IF(M2128="","",IF(AND(N2128=_xlfn.MAXIFS(TF_AktSum,TF_Nokkel,M2128),COUNTIFS(M$3:M2127,M2128,N$3:N2127,N2128)=0),M2128,""))</f>
        <v/>
      </c>
    </row>
    <row r="2129">
      <c r="A2129" s="34" t="n"/>
      <c r="B2129" s="35" t="n"/>
      <c r="C2129" s="35" t="n"/>
      <c r="D2129" s="35" t="n"/>
      <c r="E2129" s="35" t="n"/>
      <c r="F2129" s="36" t="n"/>
      <c r="G2129" s="35" t="n"/>
      <c r="H2129" s="30">
        <f>IF(L2129="","",INDEX(SkiftNavn,L2129))</f>
        <v/>
      </c>
      <c r="I2129" s="30">
        <f>IF(OR(A2129="",L2129=""),"",IF(MOD(A2129-INDEX(SkiftStart,L2129),Syklus)&lt;DagK,"Kveld",IF(MOD(A2129-INDEX(SkiftStart,L2129),Syklus)&lt;DagK+DagH,"Helg",IF(MOD(A2129-INDEX(SkiftStart,L2129),Syklus)&lt;DagK+DagH+DagD,"Dag","Fri"))))</f>
        <v/>
      </c>
      <c r="J2129" s="30">
        <f>IF(I2129="Fri","Ja","")</f>
        <v/>
      </c>
      <c r="K2129" s="30">
        <f>IF(B2129="","",IF(L2129="","Ukjent tekniker",IF(ISNA(MATCH(C2129,Aktiviteter,0)),"Ukjent aktivitet",IF(AND(INDEX(AktRolle,MATCH(C2129,Aktiviteter,0))&amp;""&lt;&gt;"",ISERROR(SEARCH(INDEX(AktRolle,MATCH(C2129,Aktiviteter,0))&amp;"",INDEX(TekRoller,MATCH(B2129,Teknikere,0))))),"Mangler rollen "&amp;INDEX(AktRolle,MATCH(C2129,Aktiviteter,0))&amp;"",IF(AND(C2129="LMS",F2129&gt;0,OR(D2129="",E2129="")),"Mangler maskin eller arbeid",IF(AND(OR(C2129="LMS",C2129="Mod"),D2129&lt;&gt;""),IF(IFERROR(INDEX(MaskinStatus,MATCH(D2129,Maskiner,0)),"")="I dokk","","Maskinen er ikke i dokk"),""))))))</f>
        <v/>
      </c>
      <c r="L2129" s="2">
        <f>IF(B2129="","",IFERROR(INT((MATCH(B2129,Teknikere,0)-1)/18)+1,""))</f>
        <v/>
      </c>
      <c r="M2129" s="2">
        <f>IF(OR(A2129="",B2129=""),"",B2129&amp;"|"&amp;A2129)</f>
        <v/>
      </c>
      <c r="N2129" s="2">
        <f>IF(M2129="","",SUMIFS(TF_Timer,TF_Nokkel,M2129,TF_Akt,C2129))</f>
        <v/>
      </c>
      <c r="O2129" s="2">
        <f>IF(M2129="","",IF(AND(N2129=_xlfn.MAXIFS(TF_AktSum,TF_Nokkel,M2129),COUNTIFS(M$3:M2128,M2129,N$3:N2128,N2129)=0),M2129,""))</f>
        <v/>
      </c>
    </row>
    <row r="2130">
      <c r="A2130" s="34" t="n"/>
      <c r="B2130" s="35" t="n"/>
      <c r="C2130" s="35" t="n"/>
      <c r="D2130" s="35" t="n"/>
      <c r="E2130" s="35" t="n"/>
      <c r="F2130" s="36" t="n"/>
      <c r="G2130" s="35" t="n"/>
      <c r="H2130" s="30">
        <f>IF(L2130="","",INDEX(SkiftNavn,L2130))</f>
        <v/>
      </c>
      <c r="I2130" s="30">
        <f>IF(OR(A2130="",L2130=""),"",IF(MOD(A2130-INDEX(SkiftStart,L2130),Syklus)&lt;DagK,"Kveld",IF(MOD(A2130-INDEX(SkiftStart,L2130),Syklus)&lt;DagK+DagH,"Helg",IF(MOD(A2130-INDEX(SkiftStart,L2130),Syklus)&lt;DagK+DagH+DagD,"Dag","Fri"))))</f>
        <v/>
      </c>
      <c r="J2130" s="30">
        <f>IF(I2130="Fri","Ja","")</f>
        <v/>
      </c>
      <c r="K2130" s="30">
        <f>IF(B2130="","",IF(L2130="","Ukjent tekniker",IF(ISNA(MATCH(C2130,Aktiviteter,0)),"Ukjent aktivitet",IF(AND(INDEX(AktRolle,MATCH(C2130,Aktiviteter,0))&amp;""&lt;&gt;"",ISERROR(SEARCH(INDEX(AktRolle,MATCH(C2130,Aktiviteter,0))&amp;"",INDEX(TekRoller,MATCH(B2130,Teknikere,0))))),"Mangler rollen "&amp;INDEX(AktRolle,MATCH(C2130,Aktiviteter,0))&amp;"",IF(AND(C2130="LMS",F2130&gt;0,OR(D2130="",E2130="")),"Mangler maskin eller arbeid",IF(AND(OR(C2130="LMS",C2130="Mod"),D2130&lt;&gt;""),IF(IFERROR(INDEX(MaskinStatus,MATCH(D2130,Maskiner,0)),"")="I dokk","","Maskinen er ikke i dokk"),""))))))</f>
        <v/>
      </c>
      <c r="L2130" s="2">
        <f>IF(B2130="","",IFERROR(INT((MATCH(B2130,Teknikere,0)-1)/18)+1,""))</f>
        <v/>
      </c>
      <c r="M2130" s="2">
        <f>IF(OR(A2130="",B2130=""),"",B2130&amp;"|"&amp;A2130)</f>
        <v/>
      </c>
      <c r="N2130" s="2">
        <f>IF(M2130="","",SUMIFS(TF_Timer,TF_Nokkel,M2130,TF_Akt,C2130))</f>
        <v/>
      </c>
      <c r="O2130" s="2">
        <f>IF(M2130="","",IF(AND(N2130=_xlfn.MAXIFS(TF_AktSum,TF_Nokkel,M2130),COUNTIFS(M$3:M2129,M2130,N$3:N2129,N2130)=0),M2130,""))</f>
        <v/>
      </c>
    </row>
    <row r="2131">
      <c r="A2131" s="34" t="n"/>
      <c r="B2131" s="35" t="n"/>
      <c r="C2131" s="35" t="n"/>
      <c r="D2131" s="35" t="n"/>
      <c r="E2131" s="35" t="n"/>
      <c r="F2131" s="36" t="n"/>
      <c r="G2131" s="35" t="n"/>
      <c r="H2131" s="30">
        <f>IF(L2131="","",INDEX(SkiftNavn,L2131))</f>
        <v/>
      </c>
      <c r="I2131" s="30">
        <f>IF(OR(A2131="",L2131=""),"",IF(MOD(A2131-INDEX(SkiftStart,L2131),Syklus)&lt;DagK,"Kveld",IF(MOD(A2131-INDEX(SkiftStart,L2131),Syklus)&lt;DagK+DagH,"Helg",IF(MOD(A2131-INDEX(SkiftStart,L2131),Syklus)&lt;DagK+DagH+DagD,"Dag","Fri"))))</f>
        <v/>
      </c>
      <c r="J2131" s="30">
        <f>IF(I2131="Fri","Ja","")</f>
        <v/>
      </c>
      <c r="K2131" s="30">
        <f>IF(B2131="","",IF(L2131="","Ukjent tekniker",IF(ISNA(MATCH(C2131,Aktiviteter,0)),"Ukjent aktivitet",IF(AND(INDEX(AktRolle,MATCH(C2131,Aktiviteter,0))&amp;""&lt;&gt;"",ISERROR(SEARCH(INDEX(AktRolle,MATCH(C2131,Aktiviteter,0))&amp;"",INDEX(TekRoller,MATCH(B2131,Teknikere,0))))),"Mangler rollen "&amp;INDEX(AktRolle,MATCH(C2131,Aktiviteter,0))&amp;"",IF(AND(C2131="LMS",F2131&gt;0,OR(D2131="",E2131="")),"Mangler maskin eller arbeid",IF(AND(OR(C2131="LMS",C2131="Mod"),D2131&lt;&gt;""),IF(IFERROR(INDEX(MaskinStatus,MATCH(D2131,Maskiner,0)),"")="I dokk","","Maskinen er ikke i dokk"),""))))))</f>
        <v/>
      </c>
      <c r="L2131" s="2">
        <f>IF(B2131="","",IFERROR(INT((MATCH(B2131,Teknikere,0)-1)/18)+1,""))</f>
        <v/>
      </c>
      <c r="M2131" s="2">
        <f>IF(OR(A2131="",B2131=""),"",B2131&amp;"|"&amp;A2131)</f>
        <v/>
      </c>
      <c r="N2131" s="2">
        <f>IF(M2131="","",SUMIFS(TF_Timer,TF_Nokkel,M2131,TF_Akt,C2131))</f>
        <v/>
      </c>
      <c r="O2131" s="2">
        <f>IF(M2131="","",IF(AND(N2131=_xlfn.MAXIFS(TF_AktSum,TF_Nokkel,M2131),COUNTIFS(M$3:M2130,M2131,N$3:N2130,N2131)=0),M2131,""))</f>
        <v/>
      </c>
    </row>
    <row r="2132">
      <c r="A2132" s="34" t="n"/>
      <c r="B2132" s="35" t="n"/>
      <c r="C2132" s="35" t="n"/>
      <c r="D2132" s="35" t="n"/>
      <c r="E2132" s="35" t="n"/>
      <c r="F2132" s="36" t="n"/>
      <c r="G2132" s="35" t="n"/>
      <c r="H2132" s="30">
        <f>IF(L2132="","",INDEX(SkiftNavn,L2132))</f>
        <v/>
      </c>
      <c r="I2132" s="30">
        <f>IF(OR(A2132="",L2132=""),"",IF(MOD(A2132-INDEX(SkiftStart,L2132),Syklus)&lt;DagK,"Kveld",IF(MOD(A2132-INDEX(SkiftStart,L2132),Syklus)&lt;DagK+DagH,"Helg",IF(MOD(A2132-INDEX(SkiftStart,L2132),Syklus)&lt;DagK+DagH+DagD,"Dag","Fri"))))</f>
        <v/>
      </c>
      <c r="J2132" s="30">
        <f>IF(I2132="Fri","Ja","")</f>
        <v/>
      </c>
      <c r="K2132" s="30">
        <f>IF(B2132="","",IF(L2132="","Ukjent tekniker",IF(ISNA(MATCH(C2132,Aktiviteter,0)),"Ukjent aktivitet",IF(AND(INDEX(AktRolle,MATCH(C2132,Aktiviteter,0))&amp;""&lt;&gt;"",ISERROR(SEARCH(INDEX(AktRolle,MATCH(C2132,Aktiviteter,0))&amp;"",INDEX(TekRoller,MATCH(B2132,Teknikere,0))))),"Mangler rollen "&amp;INDEX(AktRolle,MATCH(C2132,Aktiviteter,0))&amp;"",IF(AND(C2132="LMS",F2132&gt;0,OR(D2132="",E2132="")),"Mangler maskin eller arbeid",IF(AND(OR(C2132="LMS",C2132="Mod"),D2132&lt;&gt;""),IF(IFERROR(INDEX(MaskinStatus,MATCH(D2132,Maskiner,0)),"")="I dokk","","Maskinen er ikke i dokk"),""))))))</f>
        <v/>
      </c>
      <c r="L2132" s="2">
        <f>IF(B2132="","",IFERROR(INT((MATCH(B2132,Teknikere,0)-1)/18)+1,""))</f>
        <v/>
      </c>
      <c r="M2132" s="2">
        <f>IF(OR(A2132="",B2132=""),"",B2132&amp;"|"&amp;A2132)</f>
        <v/>
      </c>
      <c r="N2132" s="2">
        <f>IF(M2132="","",SUMIFS(TF_Timer,TF_Nokkel,M2132,TF_Akt,C2132))</f>
        <v/>
      </c>
      <c r="O2132" s="2">
        <f>IF(M2132="","",IF(AND(N2132=_xlfn.MAXIFS(TF_AktSum,TF_Nokkel,M2132),COUNTIFS(M$3:M2131,M2132,N$3:N2131,N2132)=0),M2132,""))</f>
        <v/>
      </c>
    </row>
    <row r="2133">
      <c r="A2133" s="34" t="n"/>
      <c r="B2133" s="35" t="n"/>
      <c r="C2133" s="35" t="n"/>
      <c r="D2133" s="35" t="n"/>
      <c r="E2133" s="35" t="n"/>
      <c r="F2133" s="36" t="n"/>
      <c r="G2133" s="35" t="n"/>
      <c r="H2133" s="30">
        <f>IF(L2133="","",INDEX(SkiftNavn,L2133))</f>
        <v/>
      </c>
      <c r="I2133" s="30">
        <f>IF(OR(A2133="",L2133=""),"",IF(MOD(A2133-INDEX(SkiftStart,L2133),Syklus)&lt;DagK,"Kveld",IF(MOD(A2133-INDEX(SkiftStart,L2133),Syklus)&lt;DagK+DagH,"Helg",IF(MOD(A2133-INDEX(SkiftStart,L2133),Syklus)&lt;DagK+DagH+DagD,"Dag","Fri"))))</f>
        <v/>
      </c>
      <c r="J2133" s="30">
        <f>IF(I2133="Fri","Ja","")</f>
        <v/>
      </c>
      <c r="K2133" s="30">
        <f>IF(B2133="","",IF(L2133="","Ukjent tekniker",IF(ISNA(MATCH(C2133,Aktiviteter,0)),"Ukjent aktivitet",IF(AND(INDEX(AktRolle,MATCH(C2133,Aktiviteter,0))&amp;""&lt;&gt;"",ISERROR(SEARCH(INDEX(AktRolle,MATCH(C2133,Aktiviteter,0))&amp;"",INDEX(TekRoller,MATCH(B2133,Teknikere,0))))),"Mangler rollen "&amp;INDEX(AktRolle,MATCH(C2133,Aktiviteter,0))&amp;"",IF(AND(C2133="LMS",F2133&gt;0,OR(D2133="",E2133="")),"Mangler maskin eller arbeid",IF(AND(OR(C2133="LMS",C2133="Mod"),D2133&lt;&gt;""),IF(IFERROR(INDEX(MaskinStatus,MATCH(D2133,Maskiner,0)),"")="I dokk","","Maskinen er ikke i dokk"),""))))))</f>
        <v/>
      </c>
      <c r="L2133" s="2">
        <f>IF(B2133="","",IFERROR(INT((MATCH(B2133,Teknikere,0)-1)/18)+1,""))</f>
        <v/>
      </c>
      <c r="M2133" s="2">
        <f>IF(OR(A2133="",B2133=""),"",B2133&amp;"|"&amp;A2133)</f>
        <v/>
      </c>
      <c r="N2133" s="2">
        <f>IF(M2133="","",SUMIFS(TF_Timer,TF_Nokkel,M2133,TF_Akt,C2133))</f>
        <v/>
      </c>
      <c r="O2133" s="2">
        <f>IF(M2133="","",IF(AND(N2133=_xlfn.MAXIFS(TF_AktSum,TF_Nokkel,M2133),COUNTIFS(M$3:M2132,M2133,N$3:N2132,N2133)=0),M2133,""))</f>
        <v/>
      </c>
    </row>
    <row r="2134">
      <c r="A2134" s="34" t="n"/>
      <c r="B2134" s="35" t="n"/>
      <c r="C2134" s="35" t="n"/>
      <c r="D2134" s="35" t="n"/>
      <c r="E2134" s="35" t="n"/>
      <c r="F2134" s="36" t="n"/>
      <c r="G2134" s="35" t="n"/>
      <c r="H2134" s="30">
        <f>IF(L2134="","",INDEX(SkiftNavn,L2134))</f>
        <v/>
      </c>
      <c r="I2134" s="30">
        <f>IF(OR(A2134="",L2134=""),"",IF(MOD(A2134-INDEX(SkiftStart,L2134),Syklus)&lt;DagK,"Kveld",IF(MOD(A2134-INDEX(SkiftStart,L2134),Syklus)&lt;DagK+DagH,"Helg",IF(MOD(A2134-INDEX(SkiftStart,L2134),Syklus)&lt;DagK+DagH+DagD,"Dag","Fri"))))</f>
        <v/>
      </c>
      <c r="J2134" s="30">
        <f>IF(I2134="Fri","Ja","")</f>
        <v/>
      </c>
      <c r="K2134" s="30">
        <f>IF(B2134="","",IF(L2134="","Ukjent tekniker",IF(ISNA(MATCH(C2134,Aktiviteter,0)),"Ukjent aktivitet",IF(AND(INDEX(AktRolle,MATCH(C2134,Aktiviteter,0))&amp;""&lt;&gt;"",ISERROR(SEARCH(INDEX(AktRolle,MATCH(C2134,Aktiviteter,0))&amp;"",INDEX(TekRoller,MATCH(B2134,Teknikere,0))))),"Mangler rollen "&amp;INDEX(AktRolle,MATCH(C2134,Aktiviteter,0))&amp;"",IF(AND(C2134="LMS",F2134&gt;0,OR(D2134="",E2134="")),"Mangler maskin eller arbeid",IF(AND(OR(C2134="LMS",C2134="Mod"),D2134&lt;&gt;""),IF(IFERROR(INDEX(MaskinStatus,MATCH(D2134,Maskiner,0)),"")="I dokk","","Maskinen er ikke i dokk"),""))))))</f>
        <v/>
      </c>
      <c r="L2134" s="2">
        <f>IF(B2134="","",IFERROR(INT((MATCH(B2134,Teknikere,0)-1)/18)+1,""))</f>
        <v/>
      </c>
      <c r="M2134" s="2">
        <f>IF(OR(A2134="",B2134=""),"",B2134&amp;"|"&amp;A2134)</f>
        <v/>
      </c>
      <c r="N2134" s="2">
        <f>IF(M2134="","",SUMIFS(TF_Timer,TF_Nokkel,M2134,TF_Akt,C2134))</f>
        <v/>
      </c>
      <c r="O2134" s="2">
        <f>IF(M2134="","",IF(AND(N2134=_xlfn.MAXIFS(TF_AktSum,TF_Nokkel,M2134),COUNTIFS(M$3:M2133,M2134,N$3:N2133,N2134)=0),M2134,""))</f>
        <v/>
      </c>
    </row>
    <row r="2135">
      <c r="A2135" s="34" t="n"/>
      <c r="B2135" s="35" t="n"/>
      <c r="C2135" s="35" t="n"/>
      <c r="D2135" s="35" t="n"/>
      <c r="E2135" s="35" t="n"/>
      <c r="F2135" s="36" t="n"/>
      <c r="G2135" s="35" t="n"/>
      <c r="H2135" s="30">
        <f>IF(L2135="","",INDEX(SkiftNavn,L2135))</f>
        <v/>
      </c>
      <c r="I2135" s="30">
        <f>IF(OR(A2135="",L2135=""),"",IF(MOD(A2135-INDEX(SkiftStart,L2135),Syklus)&lt;DagK,"Kveld",IF(MOD(A2135-INDEX(SkiftStart,L2135),Syklus)&lt;DagK+DagH,"Helg",IF(MOD(A2135-INDEX(SkiftStart,L2135),Syklus)&lt;DagK+DagH+DagD,"Dag","Fri"))))</f>
        <v/>
      </c>
      <c r="J2135" s="30">
        <f>IF(I2135="Fri","Ja","")</f>
        <v/>
      </c>
      <c r="K2135" s="30">
        <f>IF(B2135="","",IF(L2135="","Ukjent tekniker",IF(ISNA(MATCH(C2135,Aktiviteter,0)),"Ukjent aktivitet",IF(AND(INDEX(AktRolle,MATCH(C2135,Aktiviteter,0))&amp;""&lt;&gt;"",ISERROR(SEARCH(INDEX(AktRolle,MATCH(C2135,Aktiviteter,0))&amp;"",INDEX(TekRoller,MATCH(B2135,Teknikere,0))))),"Mangler rollen "&amp;INDEX(AktRolle,MATCH(C2135,Aktiviteter,0))&amp;"",IF(AND(C2135="LMS",F2135&gt;0,OR(D2135="",E2135="")),"Mangler maskin eller arbeid",IF(AND(OR(C2135="LMS",C2135="Mod"),D2135&lt;&gt;""),IF(IFERROR(INDEX(MaskinStatus,MATCH(D2135,Maskiner,0)),"")="I dokk","","Maskinen er ikke i dokk"),""))))))</f>
        <v/>
      </c>
      <c r="L2135" s="2">
        <f>IF(B2135="","",IFERROR(INT((MATCH(B2135,Teknikere,0)-1)/18)+1,""))</f>
        <v/>
      </c>
      <c r="M2135" s="2">
        <f>IF(OR(A2135="",B2135=""),"",B2135&amp;"|"&amp;A2135)</f>
        <v/>
      </c>
      <c r="N2135" s="2">
        <f>IF(M2135="","",SUMIFS(TF_Timer,TF_Nokkel,M2135,TF_Akt,C2135))</f>
        <v/>
      </c>
      <c r="O2135" s="2">
        <f>IF(M2135="","",IF(AND(N2135=_xlfn.MAXIFS(TF_AktSum,TF_Nokkel,M2135),COUNTIFS(M$3:M2134,M2135,N$3:N2134,N2135)=0),M2135,""))</f>
        <v/>
      </c>
    </row>
    <row r="2136">
      <c r="A2136" s="34" t="n"/>
      <c r="B2136" s="35" t="n"/>
      <c r="C2136" s="35" t="n"/>
      <c r="D2136" s="35" t="n"/>
      <c r="E2136" s="35" t="n"/>
      <c r="F2136" s="36" t="n"/>
      <c r="G2136" s="35" t="n"/>
      <c r="H2136" s="30">
        <f>IF(L2136="","",INDEX(SkiftNavn,L2136))</f>
        <v/>
      </c>
      <c r="I2136" s="30">
        <f>IF(OR(A2136="",L2136=""),"",IF(MOD(A2136-INDEX(SkiftStart,L2136),Syklus)&lt;DagK,"Kveld",IF(MOD(A2136-INDEX(SkiftStart,L2136),Syklus)&lt;DagK+DagH,"Helg",IF(MOD(A2136-INDEX(SkiftStart,L2136),Syklus)&lt;DagK+DagH+DagD,"Dag","Fri"))))</f>
        <v/>
      </c>
      <c r="J2136" s="30">
        <f>IF(I2136="Fri","Ja","")</f>
        <v/>
      </c>
      <c r="K2136" s="30">
        <f>IF(B2136="","",IF(L2136="","Ukjent tekniker",IF(ISNA(MATCH(C2136,Aktiviteter,0)),"Ukjent aktivitet",IF(AND(INDEX(AktRolle,MATCH(C2136,Aktiviteter,0))&amp;""&lt;&gt;"",ISERROR(SEARCH(INDEX(AktRolle,MATCH(C2136,Aktiviteter,0))&amp;"",INDEX(TekRoller,MATCH(B2136,Teknikere,0))))),"Mangler rollen "&amp;INDEX(AktRolle,MATCH(C2136,Aktiviteter,0))&amp;"",IF(AND(C2136="LMS",F2136&gt;0,OR(D2136="",E2136="")),"Mangler maskin eller arbeid",IF(AND(OR(C2136="LMS",C2136="Mod"),D2136&lt;&gt;""),IF(IFERROR(INDEX(MaskinStatus,MATCH(D2136,Maskiner,0)),"")="I dokk","","Maskinen er ikke i dokk"),""))))))</f>
        <v/>
      </c>
      <c r="L2136" s="2">
        <f>IF(B2136="","",IFERROR(INT((MATCH(B2136,Teknikere,0)-1)/18)+1,""))</f>
        <v/>
      </c>
      <c r="M2136" s="2">
        <f>IF(OR(A2136="",B2136=""),"",B2136&amp;"|"&amp;A2136)</f>
        <v/>
      </c>
      <c r="N2136" s="2">
        <f>IF(M2136="","",SUMIFS(TF_Timer,TF_Nokkel,M2136,TF_Akt,C2136))</f>
        <v/>
      </c>
      <c r="O2136" s="2">
        <f>IF(M2136="","",IF(AND(N2136=_xlfn.MAXIFS(TF_AktSum,TF_Nokkel,M2136),COUNTIFS(M$3:M2135,M2136,N$3:N2135,N2136)=0),M2136,""))</f>
        <v/>
      </c>
    </row>
    <row r="2137">
      <c r="A2137" s="34" t="n"/>
      <c r="B2137" s="35" t="n"/>
      <c r="C2137" s="35" t="n"/>
      <c r="D2137" s="35" t="n"/>
      <c r="E2137" s="35" t="n"/>
      <c r="F2137" s="36" t="n"/>
      <c r="G2137" s="35" t="n"/>
      <c r="H2137" s="30">
        <f>IF(L2137="","",INDEX(SkiftNavn,L2137))</f>
        <v/>
      </c>
      <c r="I2137" s="30">
        <f>IF(OR(A2137="",L2137=""),"",IF(MOD(A2137-INDEX(SkiftStart,L2137),Syklus)&lt;DagK,"Kveld",IF(MOD(A2137-INDEX(SkiftStart,L2137),Syklus)&lt;DagK+DagH,"Helg",IF(MOD(A2137-INDEX(SkiftStart,L2137),Syklus)&lt;DagK+DagH+DagD,"Dag","Fri"))))</f>
        <v/>
      </c>
      <c r="J2137" s="30">
        <f>IF(I2137="Fri","Ja","")</f>
        <v/>
      </c>
      <c r="K2137" s="30">
        <f>IF(B2137="","",IF(L2137="","Ukjent tekniker",IF(ISNA(MATCH(C2137,Aktiviteter,0)),"Ukjent aktivitet",IF(AND(INDEX(AktRolle,MATCH(C2137,Aktiviteter,0))&amp;""&lt;&gt;"",ISERROR(SEARCH(INDEX(AktRolle,MATCH(C2137,Aktiviteter,0))&amp;"",INDEX(TekRoller,MATCH(B2137,Teknikere,0))))),"Mangler rollen "&amp;INDEX(AktRolle,MATCH(C2137,Aktiviteter,0))&amp;"",IF(AND(C2137="LMS",F2137&gt;0,OR(D2137="",E2137="")),"Mangler maskin eller arbeid",IF(AND(OR(C2137="LMS",C2137="Mod"),D2137&lt;&gt;""),IF(IFERROR(INDEX(MaskinStatus,MATCH(D2137,Maskiner,0)),"")="I dokk","","Maskinen er ikke i dokk"),""))))))</f>
        <v/>
      </c>
      <c r="L2137" s="2">
        <f>IF(B2137="","",IFERROR(INT((MATCH(B2137,Teknikere,0)-1)/18)+1,""))</f>
        <v/>
      </c>
      <c r="M2137" s="2">
        <f>IF(OR(A2137="",B2137=""),"",B2137&amp;"|"&amp;A2137)</f>
        <v/>
      </c>
      <c r="N2137" s="2">
        <f>IF(M2137="","",SUMIFS(TF_Timer,TF_Nokkel,M2137,TF_Akt,C2137))</f>
        <v/>
      </c>
      <c r="O2137" s="2">
        <f>IF(M2137="","",IF(AND(N2137=_xlfn.MAXIFS(TF_AktSum,TF_Nokkel,M2137),COUNTIFS(M$3:M2136,M2137,N$3:N2136,N2137)=0),M2137,""))</f>
        <v/>
      </c>
    </row>
    <row r="2138">
      <c r="A2138" s="34" t="n"/>
      <c r="B2138" s="35" t="n"/>
      <c r="C2138" s="35" t="n"/>
      <c r="D2138" s="35" t="n"/>
      <c r="E2138" s="35" t="n"/>
      <c r="F2138" s="36" t="n"/>
      <c r="G2138" s="35" t="n"/>
      <c r="H2138" s="30">
        <f>IF(L2138="","",INDEX(SkiftNavn,L2138))</f>
        <v/>
      </c>
      <c r="I2138" s="30">
        <f>IF(OR(A2138="",L2138=""),"",IF(MOD(A2138-INDEX(SkiftStart,L2138),Syklus)&lt;DagK,"Kveld",IF(MOD(A2138-INDEX(SkiftStart,L2138),Syklus)&lt;DagK+DagH,"Helg",IF(MOD(A2138-INDEX(SkiftStart,L2138),Syklus)&lt;DagK+DagH+DagD,"Dag","Fri"))))</f>
        <v/>
      </c>
      <c r="J2138" s="30">
        <f>IF(I2138="Fri","Ja","")</f>
        <v/>
      </c>
      <c r="K2138" s="30">
        <f>IF(B2138="","",IF(L2138="","Ukjent tekniker",IF(ISNA(MATCH(C2138,Aktiviteter,0)),"Ukjent aktivitet",IF(AND(INDEX(AktRolle,MATCH(C2138,Aktiviteter,0))&amp;""&lt;&gt;"",ISERROR(SEARCH(INDEX(AktRolle,MATCH(C2138,Aktiviteter,0))&amp;"",INDEX(TekRoller,MATCH(B2138,Teknikere,0))))),"Mangler rollen "&amp;INDEX(AktRolle,MATCH(C2138,Aktiviteter,0))&amp;"",IF(AND(C2138="LMS",F2138&gt;0,OR(D2138="",E2138="")),"Mangler maskin eller arbeid",IF(AND(OR(C2138="LMS",C2138="Mod"),D2138&lt;&gt;""),IF(IFERROR(INDEX(MaskinStatus,MATCH(D2138,Maskiner,0)),"")="I dokk","","Maskinen er ikke i dokk"),""))))))</f>
        <v/>
      </c>
      <c r="L2138" s="2">
        <f>IF(B2138="","",IFERROR(INT((MATCH(B2138,Teknikere,0)-1)/18)+1,""))</f>
        <v/>
      </c>
      <c r="M2138" s="2">
        <f>IF(OR(A2138="",B2138=""),"",B2138&amp;"|"&amp;A2138)</f>
        <v/>
      </c>
      <c r="N2138" s="2">
        <f>IF(M2138="","",SUMIFS(TF_Timer,TF_Nokkel,M2138,TF_Akt,C2138))</f>
        <v/>
      </c>
      <c r="O2138" s="2">
        <f>IF(M2138="","",IF(AND(N2138=_xlfn.MAXIFS(TF_AktSum,TF_Nokkel,M2138),COUNTIFS(M$3:M2137,M2138,N$3:N2137,N2138)=0),M2138,""))</f>
        <v/>
      </c>
    </row>
    <row r="2139">
      <c r="A2139" s="34" t="n"/>
      <c r="B2139" s="35" t="n"/>
      <c r="C2139" s="35" t="n"/>
      <c r="D2139" s="35" t="n"/>
      <c r="E2139" s="35" t="n"/>
      <c r="F2139" s="36" t="n"/>
      <c r="G2139" s="35" t="n"/>
      <c r="H2139" s="30">
        <f>IF(L2139="","",INDEX(SkiftNavn,L2139))</f>
        <v/>
      </c>
      <c r="I2139" s="30">
        <f>IF(OR(A2139="",L2139=""),"",IF(MOD(A2139-INDEX(SkiftStart,L2139),Syklus)&lt;DagK,"Kveld",IF(MOD(A2139-INDEX(SkiftStart,L2139),Syklus)&lt;DagK+DagH,"Helg",IF(MOD(A2139-INDEX(SkiftStart,L2139),Syklus)&lt;DagK+DagH+DagD,"Dag","Fri"))))</f>
        <v/>
      </c>
      <c r="J2139" s="30">
        <f>IF(I2139="Fri","Ja","")</f>
        <v/>
      </c>
      <c r="K2139" s="30">
        <f>IF(B2139="","",IF(L2139="","Ukjent tekniker",IF(ISNA(MATCH(C2139,Aktiviteter,0)),"Ukjent aktivitet",IF(AND(INDEX(AktRolle,MATCH(C2139,Aktiviteter,0))&amp;""&lt;&gt;"",ISERROR(SEARCH(INDEX(AktRolle,MATCH(C2139,Aktiviteter,0))&amp;"",INDEX(TekRoller,MATCH(B2139,Teknikere,0))))),"Mangler rollen "&amp;INDEX(AktRolle,MATCH(C2139,Aktiviteter,0))&amp;"",IF(AND(C2139="LMS",F2139&gt;0,OR(D2139="",E2139="")),"Mangler maskin eller arbeid",IF(AND(OR(C2139="LMS",C2139="Mod"),D2139&lt;&gt;""),IF(IFERROR(INDEX(MaskinStatus,MATCH(D2139,Maskiner,0)),"")="I dokk","","Maskinen er ikke i dokk"),""))))))</f>
        <v/>
      </c>
      <c r="L2139" s="2">
        <f>IF(B2139="","",IFERROR(INT((MATCH(B2139,Teknikere,0)-1)/18)+1,""))</f>
        <v/>
      </c>
      <c r="M2139" s="2">
        <f>IF(OR(A2139="",B2139=""),"",B2139&amp;"|"&amp;A2139)</f>
        <v/>
      </c>
      <c r="N2139" s="2">
        <f>IF(M2139="","",SUMIFS(TF_Timer,TF_Nokkel,M2139,TF_Akt,C2139))</f>
        <v/>
      </c>
      <c r="O2139" s="2">
        <f>IF(M2139="","",IF(AND(N2139=_xlfn.MAXIFS(TF_AktSum,TF_Nokkel,M2139),COUNTIFS(M$3:M2138,M2139,N$3:N2138,N2139)=0),M2139,""))</f>
        <v/>
      </c>
    </row>
    <row r="2140">
      <c r="A2140" s="34" t="n"/>
      <c r="B2140" s="35" t="n"/>
      <c r="C2140" s="35" t="n"/>
      <c r="D2140" s="35" t="n"/>
      <c r="E2140" s="35" t="n"/>
      <c r="F2140" s="36" t="n"/>
      <c r="G2140" s="35" t="n"/>
      <c r="H2140" s="30">
        <f>IF(L2140="","",INDEX(SkiftNavn,L2140))</f>
        <v/>
      </c>
      <c r="I2140" s="30">
        <f>IF(OR(A2140="",L2140=""),"",IF(MOD(A2140-INDEX(SkiftStart,L2140),Syklus)&lt;DagK,"Kveld",IF(MOD(A2140-INDEX(SkiftStart,L2140),Syklus)&lt;DagK+DagH,"Helg",IF(MOD(A2140-INDEX(SkiftStart,L2140),Syklus)&lt;DagK+DagH+DagD,"Dag","Fri"))))</f>
        <v/>
      </c>
      <c r="J2140" s="30">
        <f>IF(I2140="Fri","Ja","")</f>
        <v/>
      </c>
      <c r="K2140" s="30">
        <f>IF(B2140="","",IF(L2140="","Ukjent tekniker",IF(ISNA(MATCH(C2140,Aktiviteter,0)),"Ukjent aktivitet",IF(AND(INDEX(AktRolle,MATCH(C2140,Aktiviteter,0))&amp;""&lt;&gt;"",ISERROR(SEARCH(INDEX(AktRolle,MATCH(C2140,Aktiviteter,0))&amp;"",INDEX(TekRoller,MATCH(B2140,Teknikere,0))))),"Mangler rollen "&amp;INDEX(AktRolle,MATCH(C2140,Aktiviteter,0))&amp;"",IF(AND(C2140="LMS",F2140&gt;0,OR(D2140="",E2140="")),"Mangler maskin eller arbeid",IF(AND(OR(C2140="LMS",C2140="Mod"),D2140&lt;&gt;""),IF(IFERROR(INDEX(MaskinStatus,MATCH(D2140,Maskiner,0)),"")="I dokk","","Maskinen er ikke i dokk"),""))))))</f>
        <v/>
      </c>
      <c r="L2140" s="2">
        <f>IF(B2140="","",IFERROR(INT((MATCH(B2140,Teknikere,0)-1)/18)+1,""))</f>
        <v/>
      </c>
      <c r="M2140" s="2">
        <f>IF(OR(A2140="",B2140=""),"",B2140&amp;"|"&amp;A2140)</f>
        <v/>
      </c>
      <c r="N2140" s="2">
        <f>IF(M2140="","",SUMIFS(TF_Timer,TF_Nokkel,M2140,TF_Akt,C2140))</f>
        <v/>
      </c>
      <c r="O2140" s="2">
        <f>IF(M2140="","",IF(AND(N2140=_xlfn.MAXIFS(TF_AktSum,TF_Nokkel,M2140),COUNTIFS(M$3:M2139,M2140,N$3:N2139,N2140)=0),M2140,""))</f>
        <v/>
      </c>
    </row>
    <row r="2141">
      <c r="A2141" s="34" t="n"/>
      <c r="B2141" s="35" t="n"/>
      <c r="C2141" s="35" t="n"/>
      <c r="D2141" s="35" t="n"/>
      <c r="E2141" s="35" t="n"/>
      <c r="F2141" s="36" t="n"/>
      <c r="G2141" s="35" t="n"/>
      <c r="H2141" s="30">
        <f>IF(L2141="","",INDEX(SkiftNavn,L2141))</f>
        <v/>
      </c>
      <c r="I2141" s="30">
        <f>IF(OR(A2141="",L2141=""),"",IF(MOD(A2141-INDEX(SkiftStart,L2141),Syklus)&lt;DagK,"Kveld",IF(MOD(A2141-INDEX(SkiftStart,L2141),Syklus)&lt;DagK+DagH,"Helg",IF(MOD(A2141-INDEX(SkiftStart,L2141),Syklus)&lt;DagK+DagH+DagD,"Dag","Fri"))))</f>
        <v/>
      </c>
      <c r="J2141" s="30">
        <f>IF(I2141="Fri","Ja","")</f>
        <v/>
      </c>
      <c r="K2141" s="30">
        <f>IF(B2141="","",IF(L2141="","Ukjent tekniker",IF(ISNA(MATCH(C2141,Aktiviteter,0)),"Ukjent aktivitet",IF(AND(INDEX(AktRolle,MATCH(C2141,Aktiviteter,0))&amp;""&lt;&gt;"",ISERROR(SEARCH(INDEX(AktRolle,MATCH(C2141,Aktiviteter,0))&amp;"",INDEX(TekRoller,MATCH(B2141,Teknikere,0))))),"Mangler rollen "&amp;INDEX(AktRolle,MATCH(C2141,Aktiviteter,0))&amp;"",IF(AND(C2141="LMS",F2141&gt;0,OR(D2141="",E2141="")),"Mangler maskin eller arbeid",IF(AND(OR(C2141="LMS",C2141="Mod"),D2141&lt;&gt;""),IF(IFERROR(INDEX(MaskinStatus,MATCH(D2141,Maskiner,0)),"")="I dokk","","Maskinen er ikke i dokk"),""))))))</f>
        <v/>
      </c>
      <c r="L2141" s="2">
        <f>IF(B2141="","",IFERROR(INT((MATCH(B2141,Teknikere,0)-1)/18)+1,""))</f>
        <v/>
      </c>
      <c r="M2141" s="2">
        <f>IF(OR(A2141="",B2141=""),"",B2141&amp;"|"&amp;A2141)</f>
        <v/>
      </c>
      <c r="N2141" s="2">
        <f>IF(M2141="","",SUMIFS(TF_Timer,TF_Nokkel,M2141,TF_Akt,C2141))</f>
        <v/>
      </c>
      <c r="O2141" s="2">
        <f>IF(M2141="","",IF(AND(N2141=_xlfn.MAXIFS(TF_AktSum,TF_Nokkel,M2141),COUNTIFS(M$3:M2140,M2141,N$3:N2140,N2141)=0),M2141,""))</f>
        <v/>
      </c>
    </row>
    <row r="2142">
      <c r="A2142" s="34" t="n"/>
      <c r="B2142" s="35" t="n"/>
      <c r="C2142" s="35" t="n"/>
      <c r="D2142" s="35" t="n"/>
      <c r="E2142" s="35" t="n"/>
      <c r="F2142" s="36" t="n"/>
      <c r="G2142" s="35" t="n"/>
      <c r="H2142" s="30">
        <f>IF(L2142="","",INDEX(SkiftNavn,L2142))</f>
        <v/>
      </c>
      <c r="I2142" s="30">
        <f>IF(OR(A2142="",L2142=""),"",IF(MOD(A2142-INDEX(SkiftStart,L2142),Syklus)&lt;DagK,"Kveld",IF(MOD(A2142-INDEX(SkiftStart,L2142),Syklus)&lt;DagK+DagH,"Helg",IF(MOD(A2142-INDEX(SkiftStart,L2142),Syklus)&lt;DagK+DagH+DagD,"Dag","Fri"))))</f>
        <v/>
      </c>
      <c r="J2142" s="30">
        <f>IF(I2142="Fri","Ja","")</f>
        <v/>
      </c>
      <c r="K2142" s="30">
        <f>IF(B2142="","",IF(L2142="","Ukjent tekniker",IF(ISNA(MATCH(C2142,Aktiviteter,0)),"Ukjent aktivitet",IF(AND(INDEX(AktRolle,MATCH(C2142,Aktiviteter,0))&amp;""&lt;&gt;"",ISERROR(SEARCH(INDEX(AktRolle,MATCH(C2142,Aktiviteter,0))&amp;"",INDEX(TekRoller,MATCH(B2142,Teknikere,0))))),"Mangler rollen "&amp;INDEX(AktRolle,MATCH(C2142,Aktiviteter,0))&amp;"",IF(AND(C2142="LMS",F2142&gt;0,OR(D2142="",E2142="")),"Mangler maskin eller arbeid",IF(AND(OR(C2142="LMS",C2142="Mod"),D2142&lt;&gt;""),IF(IFERROR(INDEX(MaskinStatus,MATCH(D2142,Maskiner,0)),"")="I dokk","","Maskinen er ikke i dokk"),""))))))</f>
        <v/>
      </c>
      <c r="L2142" s="2">
        <f>IF(B2142="","",IFERROR(INT((MATCH(B2142,Teknikere,0)-1)/18)+1,""))</f>
        <v/>
      </c>
      <c r="M2142" s="2">
        <f>IF(OR(A2142="",B2142=""),"",B2142&amp;"|"&amp;A2142)</f>
        <v/>
      </c>
      <c r="N2142" s="2">
        <f>IF(M2142="","",SUMIFS(TF_Timer,TF_Nokkel,M2142,TF_Akt,C2142))</f>
        <v/>
      </c>
      <c r="O2142" s="2">
        <f>IF(M2142="","",IF(AND(N2142=_xlfn.MAXIFS(TF_AktSum,TF_Nokkel,M2142),COUNTIFS(M$3:M2141,M2142,N$3:N2141,N2142)=0),M2142,""))</f>
        <v/>
      </c>
    </row>
    <row r="2143">
      <c r="A2143" s="34" t="n"/>
      <c r="B2143" s="35" t="n"/>
      <c r="C2143" s="35" t="n"/>
      <c r="D2143" s="35" t="n"/>
      <c r="E2143" s="35" t="n"/>
      <c r="F2143" s="36" t="n"/>
      <c r="G2143" s="35" t="n"/>
      <c r="H2143" s="30">
        <f>IF(L2143="","",INDEX(SkiftNavn,L2143))</f>
        <v/>
      </c>
      <c r="I2143" s="30">
        <f>IF(OR(A2143="",L2143=""),"",IF(MOD(A2143-INDEX(SkiftStart,L2143),Syklus)&lt;DagK,"Kveld",IF(MOD(A2143-INDEX(SkiftStart,L2143),Syklus)&lt;DagK+DagH,"Helg",IF(MOD(A2143-INDEX(SkiftStart,L2143),Syklus)&lt;DagK+DagH+DagD,"Dag","Fri"))))</f>
        <v/>
      </c>
      <c r="J2143" s="30">
        <f>IF(I2143="Fri","Ja","")</f>
        <v/>
      </c>
      <c r="K2143" s="30">
        <f>IF(B2143="","",IF(L2143="","Ukjent tekniker",IF(ISNA(MATCH(C2143,Aktiviteter,0)),"Ukjent aktivitet",IF(AND(INDEX(AktRolle,MATCH(C2143,Aktiviteter,0))&amp;""&lt;&gt;"",ISERROR(SEARCH(INDEX(AktRolle,MATCH(C2143,Aktiviteter,0))&amp;"",INDEX(TekRoller,MATCH(B2143,Teknikere,0))))),"Mangler rollen "&amp;INDEX(AktRolle,MATCH(C2143,Aktiviteter,0))&amp;"",IF(AND(C2143="LMS",F2143&gt;0,OR(D2143="",E2143="")),"Mangler maskin eller arbeid",IF(AND(OR(C2143="LMS",C2143="Mod"),D2143&lt;&gt;""),IF(IFERROR(INDEX(MaskinStatus,MATCH(D2143,Maskiner,0)),"")="I dokk","","Maskinen er ikke i dokk"),""))))))</f>
        <v/>
      </c>
      <c r="L2143" s="2">
        <f>IF(B2143="","",IFERROR(INT((MATCH(B2143,Teknikere,0)-1)/18)+1,""))</f>
        <v/>
      </c>
      <c r="M2143" s="2">
        <f>IF(OR(A2143="",B2143=""),"",B2143&amp;"|"&amp;A2143)</f>
        <v/>
      </c>
      <c r="N2143" s="2">
        <f>IF(M2143="","",SUMIFS(TF_Timer,TF_Nokkel,M2143,TF_Akt,C2143))</f>
        <v/>
      </c>
      <c r="O2143" s="2">
        <f>IF(M2143="","",IF(AND(N2143=_xlfn.MAXIFS(TF_AktSum,TF_Nokkel,M2143),COUNTIFS(M$3:M2142,M2143,N$3:N2142,N2143)=0),M2143,""))</f>
        <v/>
      </c>
    </row>
    <row r="2144">
      <c r="A2144" s="34" t="n"/>
      <c r="B2144" s="35" t="n"/>
      <c r="C2144" s="35" t="n"/>
      <c r="D2144" s="35" t="n"/>
      <c r="E2144" s="35" t="n"/>
      <c r="F2144" s="36" t="n"/>
      <c r="G2144" s="35" t="n"/>
      <c r="H2144" s="30">
        <f>IF(L2144="","",INDEX(SkiftNavn,L2144))</f>
        <v/>
      </c>
      <c r="I2144" s="30">
        <f>IF(OR(A2144="",L2144=""),"",IF(MOD(A2144-INDEX(SkiftStart,L2144),Syklus)&lt;DagK,"Kveld",IF(MOD(A2144-INDEX(SkiftStart,L2144),Syklus)&lt;DagK+DagH,"Helg",IF(MOD(A2144-INDEX(SkiftStart,L2144),Syklus)&lt;DagK+DagH+DagD,"Dag","Fri"))))</f>
        <v/>
      </c>
      <c r="J2144" s="30">
        <f>IF(I2144="Fri","Ja","")</f>
        <v/>
      </c>
      <c r="K2144" s="30">
        <f>IF(B2144="","",IF(L2144="","Ukjent tekniker",IF(ISNA(MATCH(C2144,Aktiviteter,0)),"Ukjent aktivitet",IF(AND(INDEX(AktRolle,MATCH(C2144,Aktiviteter,0))&amp;""&lt;&gt;"",ISERROR(SEARCH(INDEX(AktRolle,MATCH(C2144,Aktiviteter,0))&amp;"",INDEX(TekRoller,MATCH(B2144,Teknikere,0))))),"Mangler rollen "&amp;INDEX(AktRolle,MATCH(C2144,Aktiviteter,0))&amp;"",IF(AND(C2144="LMS",F2144&gt;0,OR(D2144="",E2144="")),"Mangler maskin eller arbeid",IF(AND(OR(C2144="LMS",C2144="Mod"),D2144&lt;&gt;""),IF(IFERROR(INDEX(MaskinStatus,MATCH(D2144,Maskiner,0)),"")="I dokk","","Maskinen er ikke i dokk"),""))))))</f>
        <v/>
      </c>
      <c r="L2144" s="2">
        <f>IF(B2144="","",IFERROR(INT((MATCH(B2144,Teknikere,0)-1)/18)+1,""))</f>
        <v/>
      </c>
      <c r="M2144" s="2">
        <f>IF(OR(A2144="",B2144=""),"",B2144&amp;"|"&amp;A2144)</f>
        <v/>
      </c>
      <c r="N2144" s="2">
        <f>IF(M2144="","",SUMIFS(TF_Timer,TF_Nokkel,M2144,TF_Akt,C2144))</f>
        <v/>
      </c>
      <c r="O2144" s="2">
        <f>IF(M2144="","",IF(AND(N2144=_xlfn.MAXIFS(TF_AktSum,TF_Nokkel,M2144),COUNTIFS(M$3:M2143,M2144,N$3:N2143,N2144)=0),M2144,""))</f>
        <v/>
      </c>
    </row>
    <row r="2145">
      <c r="A2145" s="34" t="n"/>
      <c r="B2145" s="35" t="n"/>
      <c r="C2145" s="35" t="n"/>
      <c r="D2145" s="35" t="n"/>
      <c r="E2145" s="35" t="n"/>
      <c r="F2145" s="36" t="n"/>
      <c r="G2145" s="35" t="n"/>
      <c r="H2145" s="30">
        <f>IF(L2145="","",INDEX(SkiftNavn,L2145))</f>
        <v/>
      </c>
      <c r="I2145" s="30">
        <f>IF(OR(A2145="",L2145=""),"",IF(MOD(A2145-INDEX(SkiftStart,L2145),Syklus)&lt;DagK,"Kveld",IF(MOD(A2145-INDEX(SkiftStart,L2145),Syklus)&lt;DagK+DagH,"Helg",IF(MOD(A2145-INDEX(SkiftStart,L2145),Syklus)&lt;DagK+DagH+DagD,"Dag","Fri"))))</f>
        <v/>
      </c>
      <c r="J2145" s="30">
        <f>IF(I2145="Fri","Ja","")</f>
        <v/>
      </c>
      <c r="K2145" s="30">
        <f>IF(B2145="","",IF(L2145="","Ukjent tekniker",IF(ISNA(MATCH(C2145,Aktiviteter,0)),"Ukjent aktivitet",IF(AND(INDEX(AktRolle,MATCH(C2145,Aktiviteter,0))&amp;""&lt;&gt;"",ISERROR(SEARCH(INDEX(AktRolle,MATCH(C2145,Aktiviteter,0))&amp;"",INDEX(TekRoller,MATCH(B2145,Teknikere,0))))),"Mangler rollen "&amp;INDEX(AktRolle,MATCH(C2145,Aktiviteter,0))&amp;"",IF(AND(C2145="LMS",F2145&gt;0,OR(D2145="",E2145="")),"Mangler maskin eller arbeid",IF(AND(OR(C2145="LMS",C2145="Mod"),D2145&lt;&gt;""),IF(IFERROR(INDEX(MaskinStatus,MATCH(D2145,Maskiner,0)),"")="I dokk","","Maskinen er ikke i dokk"),""))))))</f>
        <v/>
      </c>
      <c r="L2145" s="2">
        <f>IF(B2145="","",IFERROR(INT((MATCH(B2145,Teknikere,0)-1)/18)+1,""))</f>
        <v/>
      </c>
      <c r="M2145" s="2">
        <f>IF(OR(A2145="",B2145=""),"",B2145&amp;"|"&amp;A2145)</f>
        <v/>
      </c>
      <c r="N2145" s="2">
        <f>IF(M2145="","",SUMIFS(TF_Timer,TF_Nokkel,M2145,TF_Akt,C2145))</f>
        <v/>
      </c>
      <c r="O2145" s="2">
        <f>IF(M2145="","",IF(AND(N2145=_xlfn.MAXIFS(TF_AktSum,TF_Nokkel,M2145),COUNTIFS(M$3:M2144,M2145,N$3:N2144,N2145)=0),M2145,""))</f>
        <v/>
      </c>
    </row>
    <row r="2146">
      <c r="A2146" s="34" t="n"/>
      <c r="B2146" s="35" t="n"/>
      <c r="C2146" s="35" t="n"/>
      <c r="D2146" s="35" t="n"/>
      <c r="E2146" s="35" t="n"/>
      <c r="F2146" s="36" t="n"/>
      <c r="G2146" s="35" t="n"/>
      <c r="H2146" s="30">
        <f>IF(L2146="","",INDEX(SkiftNavn,L2146))</f>
        <v/>
      </c>
      <c r="I2146" s="30">
        <f>IF(OR(A2146="",L2146=""),"",IF(MOD(A2146-INDEX(SkiftStart,L2146),Syklus)&lt;DagK,"Kveld",IF(MOD(A2146-INDEX(SkiftStart,L2146),Syklus)&lt;DagK+DagH,"Helg",IF(MOD(A2146-INDEX(SkiftStart,L2146),Syklus)&lt;DagK+DagH+DagD,"Dag","Fri"))))</f>
        <v/>
      </c>
      <c r="J2146" s="30">
        <f>IF(I2146="Fri","Ja","")</f>
        <v/>
      </c>
      <c r="K2146" s="30">
        <f>IF(B2146="","",IF(L2146="","Ukjent tekniker",IF(ISNA(MATCH(C2146,Aktiviteter,0)),"Ukjent aktivitet",IF(AND(INDEX(AktRolle,MATCH(C2146,Aktiviteter,0))&amp;""&lt;&gt;"",ISERROR(SEARCH(INDEX(AktRolle,MATCH(C2146,Aktiviteter,0))&amp;"",INDEX(TekRoller,MATCH(B2146,Teknikere,0))))),"Mangler rollen "&amp;INDEX(AktRolle,MATCH(C2146,Aktiviteter,0))&amp;"",IF(AND(C2146="LMS",F2146&gt;0,OR(D2146="",E2146="")),"Mangler maskin eller arbeid",IF(AND(OR(C2146="LMS",C2146="Mod"),D2146&lt;&gt;""),IF(IFERROR(INDEX(MaskinStatus,MATCH(D2146,Maskiner,0)),"")="I dokk","","Maskinen er ikke i dokk"),""))))))</f>
        <v/>
      </c>
      <c r="L2146" s="2">
        <f>IF(B2146="","",IFERROR(INT((MATCH(B2146,Teknikere,0)-1)/18)+1,""))</f>
        <v/>
      </c>
      <c r="M2146" s="2">
        <f>IF(OR(A2146="",B2146=""),"",B2146&amp;"|"&amp;A2146)</f>
        <v/>
      </c>
      <c r="N2146" s="2">
        <f>IF(M2146="","",SUMIFS(TF_Timer,TF_Nokkel,M2146,TF_Akt,C2146))</f>
        <v/>
      </c>
      <c r="O2146" s="2">
        <f>IF(M2146="","",IF(AND(N2146=_xlfn.MAXIFS(TF_AktSum,TF_Nokkel,M2146),COUNTIFS(M$3:M2145,M2146,N$3:N2145,N2146)=0),M2146,""))</f>
        <v/>
      </c>
    </row>
    <row r="2147">
      <c r="A2147" s="34" t="n"/>
      <c r="B2147" s="35" t="n"/>
      <c r="C2147" s="35" t="n"/>
      <c r="D2147" s="35" t="n"/>
      <c r="E2147" s="35" t="n"/>
      <c r="F2147" s="36" t="n"/>
      <c r="G2147" s="35" t="n"/>
      <c r="H2147" s="30">
        <f>IF(L2147="","",INDEX(SkiftNavn,L2147))</f>
        <v/>
      </c>
      <c r="I2147" s="30">
        <f>IF(OR(A2147="",L2147=""),"",IF(MOD(A2147-INDEX(SkiftStart,L2147),Syklus)&lt;DagK,"Kveld",IF(MOD(A2147-INDEX(SkiftStart,L2147),Syklus)&lt;DagK+DagH,"Helg",IF(MOD(A2147-INDEX(SkiftStart,L2147),Syklus)&lt;DagK+DagH+DagD,"Dag","Fri"))))</f>
        <v/>
      </c>
      <c r="J2147" s="30">
        <f>IF(I2147="Fri","Ja","")</f>
        <v/>
      </c>
      <c r="K2147" s="30">
        <f>IF(B2147="","",IF(L2147="","Ukjent tekniker",IF(ISNA(MATCH(C2147,Aktiviteter,0)),"Ukjent aktivitet",IF(AND(INDEX(AktRolle,MATCH(C2147,Aktiviteter,0))&amp;""&lt;&gt;"",ISERROR(SEARCH(INDEX(AktRolle,MATCH(C2147,Aktiviteter,0))&amp;"",INDEX(TekRoller,MATCH(B2147,Teknikere,0))))),"Mangler rollen "&amp;INDEX(AktRolle,MATCH(C2147,Aktiviteter,0))&amp;"",IF(AND(C2147="LMS",F2147&gt;0,OR(D2147="",E2147="")),"Mangler maskin eller arbeid",IF(AND(OR(C2147="LMS",C2147="Mod"),D2147&lt;&gt;""),IF(IFERROR(INDEX(MaskinStatus,MATCH(D2147,Maskiner,0)),"")="I dokk","","Maskinen er ikke i dokk"),""))))))</f>
        <v/>
      </c>
      <c r="L2147" s="2">
        <f>IF(B2147="","",IFERROR(INT((MATCH(B2147,Teknikere,0)-1)/18)+1,""))</f>
        <v/>
      </c>
      <c r="M2147" s="2">
        <f>IF(OR(A2147="",B2147=""),"",B2147&amp;"|"&amp;A2147)</f>
        <v/>
      </c>
      <c r="N2147" s="2">
        <f>IF(M2147="","",SUMIFS(TF_Timer,TF_Nokkel,M2147,TF_Akt,C2147))</f>
        <v/>
      </c>
      <c r="O2147" s="2">
        <f>IF(M2147="","",IF(AND(N2147=_xlfn.MAXIFS(TF_AktSum,TF_Nokkel,M2147),COUNTIFS(M$3:M2146,M2147,N$3:N2146,N2147)=0),M2147,""))</f>
        <v/>
      </c>
    </row>
    <row r="2148">
      <c r="A2148" s="34" t="n"/>
      <c r="B2148" s="35" t="n"/>
      <c r="C2148" s="35" t="n"/>
      <c r="D2148" s="35" t="n"/>
      <c r="E2148" s="35" t="n"/>
      <c r="F2148" s="36" t="n"/>
      <c r="G2148" s="35" t="n"/>
      <c r="H2148" s="30">
        <f>IF(L2148="","",INDEX(SkiftNavn,L2148))</f>
        <v/>
      </c>
      <c r="I2148" s="30">
        <f>IF(OR(A2148="",L2148=""),"",IF(MOD(A2148-INDEX(SkiftStart,L2148),Syklus)&lt;DagK,"Kveld",IF(MOD(A2148-INDEX(SkiftStart,L2148),Syklus)&lt;DagK+DagH,"Helg",IF(MOD(A2148-INDEX(SkiftStart,L2148),Syklus)&lt;DagK+DagH+DagD,"Dag","Fri"))))</f>
        <v/>
      </c>
      <c r="J2148" s="30">
        <f>IF(I2148="Fri","Ja","")</f>
        <v/>
      </c>
      <c r="K2148" s="30">
        <f>IF(B2148="","",IF(L2148="","Ukjent tekniker",IF(ISNA(MATCH(C2148,Aktiviteter,0)),"Ukjent aktivitet",IF(AND(INDEX(AktRolle,MATCH(C2148,Aktiviteter,0))&amp;""&lt;&gt;"",ISERROR(SEARCH(INDEX(AktRolle,MATCH(C2148,Aktiviteter,0))&amp;"",INDEX(TekRoller,MATCH(B2148,Teknikere,0))))),"Mangler rollen "&amp;INDEX(AktRolle,MATCH(C2148,Aktiviteter,0))&amp;"",IF(AND(C2148="LMS",F2148&gt;0,OR(D2148="",E2148="")),"Mangler maskin eller arbeid",IF(AND(OR(C2148="LMS",C2148="Mod"),D2148&lt;&gt;""),IF(IFERROR(INDEX(MaskinStatus,MATCH(D2148,Maskiner,0)),"")="I dokk","","Maskinen er ikke i dokk"),""))))))</f>
        <v/>
      </c>
      <c r="L2148" s="2">
        <f>IF(B2148="","",IFERROR(INT((MATCH(B2148,Teknikere,0)-1)/18)+1,""))</f>
        <v/>
      </c>
      <c r="M2148" s="2">
        <f>IF(OR(A2148="",B2148=""),"",B2148&amp;"|"&amp;A2148)</f>
        <v/>
      </c>
      <c r="N2148" s="2">
        <f>IF(M2148="","",SUMIFS(TF_Timer,TF_Nokkel,M2148,TF_Akt,C2148))</f>
        <v/>
      </c>
      <c r="O2148" s="2">
        <f>IF(M2148="","",IF(AND(N2148=_xlfn.MAXIFS(TF_AktSum,TF_Nokkel,M2148),COUNTIFS(M$3:M2147,M2148,N$3:N2147,N2148)=0),M2148,""))</f>
        <v/>
      </c>
    </row>
    <row r="2149">
      <c r="A2149" s="34" t="n"/>
      <c r="B2149" s="35" t="n"/>
      <c r="C2149" s="35" t="n"/>
      <c r="D2149" s="35" t="n"/>
      <c r="E2149" s="35" t="n"/>
      <c r="F2149" s="36" t="n"/>
      <c r="G2149" s="35" t="n"/>
      <c r="H2149" s="30">
        <f>IF(L2149="","",INDEX(SkiftNavn,L2149))</f>
        <v/>
      </c>
      <c r="I2149" s="30">
        <f>IF(OR(A2149="",L2149=""),"",IF(MOD(A2149-INDEX(SkiftStart,L2149),Syklus)&lt;DagK,"Kveld",IF(MOD(A2149-INDEX(SkiftStart,L2149),Syklus)&lt;DagK+DagH,"Helg",IF(MOD(A2149-INDEX(SkiftStart,L2149),Syklus)&lt;DagK+DagH+DagD,"Dag","Fri"))))</f>
        <v/>
      </c>
      <c r="J2149" s="30">
        <f>IF(I2149="Fri","Ja","")</f>
        <v/>
      </c>
      <c r="K2149" s="30">
        <f>IF(B2149="","",IF(L2149="","Ukjent tekniker",IF(ISNA(MATCH(C2149,Aktiviteter,0)),"Ukjent aktivitet",IF(AND(INDEX(AktRolle,MATCH(C2149,Aktiviteter,0))&amp;""&lt;&gt;"",ISERROR(SEARCH(INDEX(AktRolle,MATCH(C2149,Aktiviteter,0))&amp;"",INDEX(TekRoller,MATCH(B2149,Teknikere,0))))),"Mangler rollen "&amp;INDEX(AktRolle,MATCH(C2149,Aktiviteter,0))&amp;"",IF(AND(C2149="LMS",F2149&gt;0,OR(D2149="",E2149="")),"Mangler maskin eller arbeid",IF(AND(OR(C2149="LMS",C2149="Mod"),D2149&lt;&gt;""),IF(IFERROR(INDEX(MaskinStatus,MATCH(D2149,Maskiner,0)),"")="I dokk","","Maskinen er ikke i dokk"),""))))))</f>
        <v/>
      </c>
      <c r="L2149" s="2">
        <f>IF(B2149="","",IFERROR(INT((MATCH(B2149,Teknikere,0)-1)/18)+1,""))</f>
        <v/>
      </c>
      <c r="M2149" s="2">
        <f>IF(OR(A2149="",B2149=""),"",B2149&amp;"|"&amp;A2149)</f>
        <v/>
      </c>
      <c r="N2149" s="2">
        <f>IF(M2149="","",SUMIFS(TF_Timer,TF_Nokkel,M2149,TF_Akt,C2149))</f>
        <v/>
      </c>
      <c r="O2149" s="2">
        <f>IF(M2149="","",IF(AND(N2149=_xlfn.MAXIFS(TF_AktSum,TF_Nokkel,M2149),COUNTIFS(M$3:M2148,M2149,N$3:N2148,N2149)=0),M2149,""))</f>
        <v/>
      </c>
    </row>
    <row r="2150">
      <c r="A2150" s="34" t="n"/>
      <c r="B2150" s="35" t="n"/>
      <c r="C2150" s="35" t="n"/>
      <c r="D2150" s="35" t="n"/>
      <c r="E2150" s="35" t="n"/>
      <c r="F2150" s="36" t="n"/>
      <c r="G2150" s="35" t="n"/>
      <c r="H2150" s="30">
        <f>IF(L2150="","",INDEX(SkiftNavn,L2150))</f>
        <v/>
      </c>
      <c r="I2150" s="30">
        <f>IF(OR(A2150="",L2150=""),"",IF(MOD(A2150-INDEX(SkiftStart,L2150),Syklus)&lt;DagK,"Kveld",IF(MOD(A2150-INDEX(SkiftStart,L2150),Syklus)&lt;DagK+DagH,"Helg",IF(MOD(A2150-INDEX(SkiftStart,L2150),Syklus)&lt;DagK+DagH+DagD,"Dag","Fri"))))</f>
        <v/>
      </c>
      <c r="J2150" s="30">
        <f>IF(I2150="Fri","Ja","")</f>
        <v/>
      </c>
      <c r="K2150" s="30">
        <f>IF(B2150="","",IF(L2150="","Ukjent tekniker",IF(ISNA(MATCH(C2150,Aktiviteter,0)),"Ukjent aktivitet",IF(AND(INDEX(AktRolle,MATCH(C2150,Aktiviteter,0))&amp;""&lt;&gt;"",ISERROR(SEARCH(INDEX(AktRolle,MATCH(C2150,Aktiviteter,0))&amp;"",INDEX(TekRoller,MATCH(B2150,Teknikere,0))))),"Mangler rollen "&amp;INDEX(AktRolle,MATCH(C2150,Aktiviteter,0))&amp;"",IF(AND(C2150="LMS",F2150&gt;0,OR(D2150="",E2150="")),"Mangler maskin eller arbeid",IF(AND(OR(C2150="LMS",C2150="Mod"),D2150&lt;&gt;""),IF(IFERROR(INDEX(MaskinStatus,MATCH(D2150,Maskiner,0)),"")="I dokk","","Maskinen er ikke i dokk"),""))))))</f>
        <v/>
      </c>
      <c r="L2150" s="2">
        <f>IF(B2150="","",IFERROR(INT((MATCH(B2150,Teknikere,0)-1)/18)+1,""))</f>
        <v/>
      </c>
      <c r="M2150" s="2">
        <f>IF(OR(A2150="",B2150=""),"",B2150&amp;"|"&amp;A2150)</f>
        <v/>
      </c>
      <c r="N2150" s="2">
        <f>IF(M2150="","",SUMIFS(TF_Timer,TF_Nokkel,M2150,TF_Akt,C2150))</f>
        <v/>
      </c>
      <c r="O2150" s="2">
        <f>IF(M2150="","",IF(AND(N2150=_xlfn.MAXIFS(TF_AktSum,TF_Nokkel,M2150),COUNTIFS(M$3:M2149,M2150,N$3:N2149,N2150)=0),M2150,""))</f>
        <v/>
      </c>
    </row>
    <row r="2151">
      <c r="A2151" s="34" t="n"/>
      <c r="B2151" s="35" t="n"/>
      <c r="C2151" s="35" t="n"/>
      <c r="D2151" s="35" t="n"/>
      <c r="E2151" s="35" t="n"/>
      <c r="F2151" s="36" t="n"/>
      <c r="G2151" s="35" t="n"/>
      <c r="H2151" s="30">
        <f>IF(L2151="","",INDEX(SkiftNavn,L2151))</f>
        <v/>
      </c>
      <c r="I2151" s="30">
        <f>IF(OR(A2151="",L2151=""),"",IF(MOD(A2151-INDEX(SkiftStart,L2151),Syklus)&lt;DagK,"Kveld",IF(MOD(A2151-INDEX(SkiftStart,L2151),Syklus)&lt;DagK+DagH,"Helg",IF(MOD(A2151-INDEX(SkiftStart,L2151),Syklus)&lt;DagK+DagH+DagD,"Dag","Fri"))))</f>
        <v/>
      </c>
      <c r="J2151" s="30">
        <f>IF(I2151="Fri","Ja","")</f>
        <v/>
      </c>
      <c r="K2151" s="30">
        <f>IF(B2151="","",IF(L2151="","Ukjent tekniker",IF(ISNA(MATCH(C2151,Aktiviteter,0)),"Ukjent aktivitet",IF(AND(INDEX(AktRolle,MATCH(C2151,Aktiviteter,0))&amp;""&lt;&gt;"",ISERROR(SEARCH(INDEX(AktRolle,MATCH(C2151,Aktiviteter,0))&amp;"",INDEX(TekRoller,MATCH(B2151,Teknikere,0))))),"Mangler rollen "&amp;INDEX(AktRolle,MATCH(C2151,Aktiviteter,0))&amp;"",IF(AND(C2151="LMS",F2151&gt;0,OR(D2151="",E2151="")),"Mangler maskin eller arbeid",IF(AND(OR(C2151="LMS",C2151="Mod"),D2151&lt;&gt;""),IF(IFERROR(INDEX(MaskinStatus,MATCH(D2151,Maskiner,0)),"")="I dokk","","Maskinen er ikke i dokk"),""))))))</f>
        <v/>
      </c>
      <c r="L2151" s="2">
        <f>IF(B2151="","",IFERROR(INT((MATCH(B2151,Teknikere,0)-1)/18)+1,""))</f>
        <v/>
      </c>
      <c r="M2151" s="2">
        <f>IF(OR(A2151="",B2151=""),"",B2151&amp;"|"&amp;A2151)</f>
        <v/>
      </c>
      <c r="N2151" s="2">
        <f>IF(M2151="","",SUMIFS(TF_Timer,TF_Nokkel,M2151,TF_Akt,C2151))</f>
        <v/>
      </c>
      <c r="O2151" s="2">
        <f>IF(M2151="","",IF(AND(N2151=_xlfn.MAXIFS(TF_AktSum,TF_Nokkel,M2151),COUNTIFS(M$3:M2150,M2151,N$3:N2150,N2151)=0),M2151,""))</f>
        <v/>
      </c>
    </row>
    <row r="2152">
      <c r="A2152" s="34" t="n"/>
      <c r="B2152" s="35" t="n"/>
      <c r="C2152" s="35" t="n"/>
      <c r="D2152" s="35" t="n"/>
      <c r="E2152" s="35" t="n"/>
      <c r="F2152" s="36" t="n"/>
      <c r="G2152" s="35" t="n"/>
      <c r="H2152" s="30">
        <f>IF(L2152="","",INDEX(SkiftNavn,L2152))</f>
        <v/>
      </c>
      <c r="I2152" s="30">
        <f>IF(OR(A2152="",L2152=""),"",IF(MOD(A2152-INDEX(SkiftStart,L2152),Syklus)&lt;DagK,"Kveld",IF(MOD(A2152-INDEX(SkiftStart,L2152),Syklus)&lt;DagK+DagH,"Helg",IF(MOD(A2152-INDEX(SkiftStart,L2152),Syklus)&lt;DagK+DagH+DagD,"Dag","Fri"))))</f>
        <v/>
      </c>
      <c r="J2152" s="30">
        <f>IF(I2152="Fri","Ja","")</f>
        <v/>
      </c>
      <c r="K2152" s="30">
        <f>IF(B2152="","",IF(L2152="","Ukjent tekniker",IF(ISNA(MATCH(C2152,Aktiviteter,0)),"Ukjent aktivitet",IF(AND(INDEX(AktRolle,MATCH(C2152,Aktiviteter,0))&amp;""&lt;&gt;"",ISERROR(SEARCH(INDEX(AktRolle,MATCH(C2152,Aktiviteter,0))&amp;"",INDEX(TekRoller,MATCH(B2152,Teknikere,0))))),"Mangler rollen "&amp;INDEX(AktRolle,MATCH(C2152,Aktiviteter,0))&amp;"",IF(AND(C2152="LMS",F2152&gt;0,OR(D2152="",E2152="")),"Mangler maskin eller arbeid",IF(AND(OR(C2152="LMS",C2152="Mod"),D2152&lt;&gt;""),IF(IFERROR(INDEX(MaskinStatus,MATCH(D2152,Maskiner,0)),"")="I dokk","","Maskinen er ikke i dokk"),""))))))</f>
        <v/>
      </c>
      <c r="L2152" s="2">
        <f>IF(B2152="","",IFERROR(INT((MATCH(B2152,Teknikere,0)-1)/18)+1,""))</f>
        <v/>
      </c>
      <c r="M2152" s="2">
        <f>IF(OR(A2152="",B2152=""),"",B2152&amp;"|"&amp;A2152)</f>
        <v/>
      </c>
      <c r="N2152" s="2">
        <f>IF(M2152="","",SUMIFS(TF_Timer,TF_Nokkel,M2152,TF_Akt,C2152))</f>
        <v/>
      </c>
      <c r="O2152" s="2">
        <f>IF(M2152="","",IF(AND(N2152=_xlfn.MAXIFS(TF_AktSum,TF_Nokkel,M2152),COUNTIFS(M$3:M2151,M2152,N$3:N2151,N2152)=0),M2152,""))</f>
        <v/>
      </c>
    </row>
    <row r="2153">
      <c r="A2153" s="34" t="n"/>
      <c r="B2153" s="35" t="n"/>
      <c r="C2153" s="35" t="n"/>
      <c r="D2153" s="35" t="n"/>
      <c r="E2153" s="35" t="n"/>
      <c r="F2153" s="36" t="n"/>
      <c r="G2153" s="35" t="n"/>
      <c r="H2153" s="30">
        <f>IF(L2153="","",INDEX(SkiftNavn,L2153))</f>
        <v/>
      </c>
      <c r="I2153" s="30">
        <f>IF(OR(A2153="",L2153=""),"",IF(MOD(A2153-INDEX(SkiftStart,L2153),Syklus)&lt;DagK,"Kveld",IF(MOD(A2153-INDEX(SkiftStart,L2153),Syklus)&lt;DagK+DagH,"Helg",IF(MOD(A2153-INDEX(SkiftStart,L2153),Syklus)&lt;DagK+DagH+DagD,"Dag","Fri"))))</f>
        <v/>
      </c>
      <c r="J2153" s="30">
        <f>IF(I2153="Fri","Ja","")</f>
        <v/>
      </c>
      <c r="K2153" s="30">
        <f>IF(B2153="","",IF(L2153="","Ukjent tekniker",IF(ISNA(MATCH(C2153,Aktiviteter,0)),"Ukjent aktivitet",IF(AND(INDEX(AktRolle,MATCH(C2153,Aktiviteter,0))&amp;""&lt;&gt;"",ISERROR(SEARCH(INDEX(AktRolle,MATCH(C2153,Aktiviteter,0))&amp;"",INDEX(TekRoller,MATCH(B2153,Teknikere,0))))),"Mangler rollen "&amp;INDEX(AktRolle,MATCH(C2153,Aktiviteter,0))&amp;"",IF(AND(C2153="LMS",F2153&gt;0,OR(D2153="",E2153="")),"Mangler maskin eller arbeid",IF(AND(OR(C2153="LMS",C2153="Mod"),D2153&lt;&gt;""),IF(IFERROR(INDEX(MaskinStatus,MATCH(D2153,Maskiner,0)),"")="I dokk","","Maskinen er ikke i dokk"),""))))))</f>
        <v/>
      </c>
      <c r="L2153" s="2">
        <f>IF(B2153="","",IFERROR(INT((MATCH(B2153,Teknikere,0)-1)/18)+1,""))</f>
        <v/>
      </c>
      <c r="M2153" s="2">
        <f>IF(OR(A2153="",B2153=""),"",B2153&amp;"|"&amp;A2153)</f>
        <v/>
      </c>
      <c r="N2153" s="2">
        <f>IF(M2153="","",SUMIFS(TF_Timer,TF_Nokkel,M2153,TF_Akt,C2153))</f>
        <v/>
      </c>
      <c r="O2153" s="2">
        <f>IF(M2153="","",IF(AND(N2153=_xlfn.MAXIFS(TF_AktSum,TF_Nokkel,M2153),COUNTIFS(M$3:M2152,M2153,N$3:N2152,N2153)=0),M2153,""))</f>
        <v/>
      </c>
    </row>
    <row r="2154">
      <c r="A2154" s="34" t="n"/>
      <c r="B2154" s="35" t="n"/>
      <c r="C2154" s="35" t="n"/>
      <c r="D2154" s="35" t="n"/>
      <c r="E2154" s="35" t="n"/>
      <c r="F2154" s="36" t="n"/>
      <c r="G2154" s="35" t="n"/>
      <c r="H2154" s="30">
        <f>IF(L2154="","",INDEX(SkiftNavn,L2154))</f>
        <v/>
      </c>
      <c r="I2154" s="30">
        <f>IF(OR(A2154="",L2154=""),"",IF(MOD(A2154-INDEX(SkiftStart,L2154),Syklus)&lt;DagK,"Kveld",IF(MOD(A2154-INDEX(SkiftStart,L2154),Syklus)&lt;DagK+DagH,"Helg",IF(MOD(A2154-INDEX(SkiftStart,L2154),Syklus)&lt;DagK+DagH+DagD,"Dag","Fri"))))</f>
        <v/>
      </c>
      <c r="J2154" s="30">
        <f>IF(I2154="Fri","Ja","")</f>
        <v/>
      </c>
      <c r="K2154" s="30">
        <f>IF(B2154="","",IF(L2154="","Ukjent tekniker",IF(ISNA(MATCH(C2154,Aktiviteter,0)),"Ukjent aktivitet",IF(AND(INDEX(AktRolle,MATCH(C2154,Aktiviteter,0))&amp;""&lt;&gt;"",ISERROR(SEARCH(INDEX(AktRolle,MATCH(C2154,Aktiviteter,0))&amp;"",INDEX(TekRoller,MATCH(B2154,Teknikere,0))))),"Mangler rollen "&amp;INDEX(AktRolle,MATCH(C2154,Aktiviteter,0))&amp;"",IF(AND(C2154="LMS",F2154&gt;0,OR(D2154="",E2154="")),"Mangler maskin eller arbeid",IF(AND(OR(C2154="LMS",C2154="Mod"),D2154&lt;&gt;""),IF(IFERROR(INDEX(MaskinStatus,MATCH(D2154,Maskiner,0)),"")="I dokk","","Maskinen er ikke i dokk"),""))))))</f>
        <v/>
      </c>
      <c r="L2154" s="2">
        <f>IF(B2154="","",IFERROR(INT((MATCH(B2154,Teknikere,0)-1)/18)+1,""))</f>
        <v/>
      </c>
      <c r="M2154" s="2">
        <f>IF(OR(A2154="",B2154=""),"",B2154&amp;"|"&amp;A2154)</f>
        <v/>
      </c>
      <c r="N2154" s="2">
        <f>IF(M2154="","",SUMIFS(TF_Timer,TF_Nokkel,M2154,TF_Akt,C2154))</f>
        <v/>
      </c>
      <c r="O2154" s="2">
        <f>IF(M2154="","",IF(AND(N2154=_xlfn.MAXIFS(TF_AktSum,TF_Nokkel,M2154),COUNTIFS(M$3:M2153,M2154,N$3:N2153,N2154)=0),M2154,""))</f>
        <v/>
      </c>
    </row>
    <row r="2155">
      <c r="A2155" s="34" t="n"/>
      <c r="B2155" s="35" t="n"/>
      <c r="C2155" s="35" t="n"/>
      <c r="D2155" s="35" t="n"/>
      <c r="E2155" s="35" t="n"/>
      <c r="F2155" s="36" t="n"/>
      <c r="G2155" s="35" t="n"/>
      <c r="H2155" s="30">
        <f>IF(L2155="","",INDEX(SkiftNavn,L2155))</f>
        <v/>
      </c>
      <c r="I2155" s="30">
        <f>IF(OR(A2155="",L2155=""),"",IF(MOD(A2155-INDEX(SkiftStart,L2155),Syklus)&lt;DagK,"Kveld",IF(MOD(A2155-INDEX(SkiftStart,L2155),Syklus)&lt;DagK+DagH,"Helg",IF(MOD(A2155-INDEX(SkiftStart,L2155),Syklus)&lt;DagK+DagH+DagD,"Dag","Fri"))))</f>
        <v/>
      </c>
      <c r="J2155" s="30">
        <f>IF(I2155="Fri","Ja","")</f>
        <v/>
      </c>
      <c r="K2155" s="30">
        <f>IF(B2155="","",IF(L2155="","Ukjent tekniker",IF(ISNA(MATCH(C2155,Aktiviteter,0)),"Ukjent aktivitet",IF(AND(INDEX(AktRolle,MATCH(C2155,Aktiviteter,0))&amp;""&lt;&gt;"",ISERROR(SEARCH(INDEX(AktRolle,MATCH(C2155,Aktiviteter,0))&amp;"",INDEX(TekRoller,MATCH(B2155,Teknikere,0))))),"Mangler rollen "&amp;INDEX(AktRolle,MATCH(C2155,Aktiviteter,0))&amp;"",IF(AND(C2155="LMS",F2155&gt;0,OR(D2155="",E2155="")),"Mangler maskin eller arbeid",IF(AND(OR(C2155="LMS",C2155="Mod"),D2155&lt;&gt;""),IF(IFERROR(INDEX(MaskinStatus,MATCH(D2155,Maskiner,0)),"")="I dokk","","Maskinen er ikke i dokk"),""))))))</f>
        <v/>
      </c>
      <c r="L2155" s="2">
        <f>IF(B2155="","",IFERROR(INT((MATCH(B2155,Teknikere,0)-1)/18)+1,""))</f>
        <v/>
      </c>
      <c r="M2155" s="2">
        <f>IF(OR(A2155="",B2155=""),"",B2155&amp;"|"&amp;A2155)</f>
        <v/>
      </c>
      <c r="N2155" s="2">
        <f>IF(M2155="","",SUMIFS(TF_Timer,TF_Nokkel,M2155,TF_Akt,C2155))</f>
        <v/>
      </c>
      <c r="O2155" s="2">
        <f>IF(M2155="","",IF(AND(N2155=_xlfn.MAXIFS(TF_AktSum,TF_Nokkel,M2155),COUNTIFS(M$3:M2154,M2155,N$3:N2154,N2155)=0),M2155,""))</f>
        <v/>
      </c>
    </row>
    <row r="2156">
      <c r="A2156" s="34" t="n"/>
      <c r="B2156" s="35" t="n"/>
      <c r="C2156" s="35" t="n"/>
      <c r="D2156" s="35" t="n"/>
      <c r="E2156" s="35" t="n"/>
      <c r="F2156" s="36" t="n"/>
      <c r="G2156" s="35" t="n"/>
      <c r="H2156" s="30">
        <f>IF(L2156="","",INDEX(SkiftNavn,L2156))</f>
        <v/>
      </c>
      <c r="I2156" s="30">
        <f>IF(OR(A2156="",L2156=""),"",IF(MOD(A2156-INDEX(SkiftStart,L2156),Syklus)&lt;DagK,"Kveld",IF(MOD(A2156-INDEX(SkiftStart,L2156),Syklus)&lt;DagK+DagH,"Helg",IF(MOD(A2156-INDEX(SkiftStart,L2156),Syklus)&lt;DagK+DagH+DagD,"Dag","Fri"))))</f>
        <v/>
      </c>
      <c r="J2156" s="30">
        <f>IF(I2156="Fri","Ja","")</f>
        <v/>
      </c>
      <c r="K2156" s="30">
        <f>IF(B2156="","",IF(L2156="","Ukjent tekniker",IF(ISNA(MATCH(C2156,Aktiviteter,0)),"Ukjent aktivitet",IF(AND(INDEX(AktRolle,MATCH(C2156,Aktiviteter,0))&amp;""&lt;&gt;"",ISERROR(SEARCH(INDEX(AktRolle,MATCH(C2156,Aktiviteter,0))&amp;"",INDEX(TekRoller,MATCH(B2156,Teknikere,0))))),"Mangler rollen "&amp;INDEX(AktRolle,MATCH(C2156,Aktiviteter,0))&amp;"",IF(AND(C2156="LMS",F2156&gt;0,OR(D2156="",E2156="")),"Mangler maskin eller arbeid",IF(AND(OR(C2156="LMS",C2156="Mod"),D2156&lt;&gt;""),IF(IFERROR(INDEX(MaskinStatus,MATCH(D2156,Maskiner,0)),"")="I dokk","","Maskinen er ikke i dokk"),""))))))</f>
        <v/>
      </c>
      <c r="L2156" s="2">
        <f>IF(B2156="","",IFERROR(INT((MATCH(B2156,Teknikere,0)-1)/18)+1,""))</f>
        <v/>
      </c>
      <c r="M2156" s="2">
        <f>IF(OR(A2156="",B2156=""),"",B2156&amp;"|"&amp;A2156)</f>
        <v/>
      </c>
      <c r="N2156" s="2">
        <f>IF(M2156="","",SUMIFS(TF_Timer,TF_Nokkel,M2156,TF_Akt,C2156))</f>
        <v/>
      </c>
      <c r="O2156" s="2">
        <f>IF(M2156="","",IF(AND(N2156=_xlfn.MAXIFS(TF_AktSum,TF_Nokkel,M2156),COUNTIFS(M$3:M2155,M2156,N$3:N2155,N2156)=0),M2156,""))</f>
        <v/>
      </c>
    </row>
    <row r="2157">
      <c r="A2157" s="34" t="n"/>
      <c r="B2157" s="35" t="n"/>
      <c r="C2157" s="35" t="n"/>
      <c r="D2157" s="35" t="n"/>
      <c r="E2157" s="35" t="n"/>
      <c r="F2157" s="36" t="n"/>
      <c r="G2157" s="35" t="n"/>
      <c r="H2157" s="30">
        <f>IF(L2157="","",INDEX(SkiftNavn,L2157))</f>
        <v/>
      </c>
      <c r="I2157" s="30">
        <f>IF(OR(A2157="",L2157=""),"",IF(MOD(A2157-INDEX(SkiftStart,L2157),Syklus)&lt;DagK,"Kveld",IF(MOD(A2157-INDEX(SkiftStart,L2157),Syklus)&lt;DagK+DagH,"Helg",IF(MOD(A2157-INDEX(SkiftStart,L2157),Syklus)&lt;DagK+DagH+DagD,"Dag","Fri"))))</f>
        <v/>
      </c>
      <c r="J2157" s="30">
        <f>IF(I2157="Fri","Ja","")</f>
        <v/>
      </c>
      <c r="K2157" s="30">
        <f>IF(B2157="","",IF(L2157="","Ukjent tekniker",IF(ISNA(MATCH(C2157,Aktiviteter,0)),"Ukjent aktivitet",IF(AND(INDEX(AktRolle,MATCH(C2157,Aktiviteter,0))&amp;""&lt;&gt;"",ISERROR(SEARCH(INDEX(AktRolle,MATCH(C2157,Aktiviteter,0))&amp;"",INDEX(TekRoller,MATCH(B2157,Teknikere,0))))),"Mangler rollen "&amp;INDEX(AktRolle,MATCH(C2157,Aktiviteter,0))&amp;"",IF(AND(C2157="LMS",F2157&gt;0,OR(D2157="",E2157="")),"Mangler maskin eller arbeid",IF(AND(OR(C2157="LMS",C2157="Mod"),D2157&lt;&gt;""),IF(IFERROR(INDEX(MaskinStatus,MATCH(D2157,Maskiner,0)),"")="I dokk","","Maskinen er ikke i dokk"),""))))))</f>
        <v/>
      </c>
      <c r="L2157" s="2">
        <f>IF(B2157="","",IFERROR(INT((MATCH(B2157,Teknikere,0)-1)/18)+1,""))</f>
        <v/>
      </c>
      <c r="M2157" s="2">
        <f>IF(OR(A2157="",B2157=""),"",B2157&amp;"|"&amp;A2157)</f>
        <v/>
      </c>
      <c r="N2157" s="2">
        <f>IF(M2157="","",SUMIFS(TF_Timer,TF_Nokkel,M2157,TF_Akt,C2157))</f>
        <v/>
      </c>
      <c r="O2157" s="2">
        <f>IF(M2157="","",IF(AND(N2157=_xlfn.MAXIFS(TF_AktSum,TF_Nokkel,M2157),COUNTIFS(M$3:M2156,M2157,N$3:N2156,N2157)=0),M2157,""))</f>
        <v/>
      </c>
    </row>
    <row r="2158">
      <c r="A2158" s="34" t="n"/>
      <c r="B2158" s="35" t="n"/>
      <c r="C2158" s="35" t="n"/>
      <c r="D2158" s="35" t="n"/>
      <c r="E2158" s="35" t="n"/>
      <c r="F2158" s="36" t="n"/>
      <c r="G2158" s="35" t="n"/>
      <c r="H2158" s="30">
        <f>IF(L2158="","",INDEX(SkiftNavn,L2158))</f>
        <v/>
      </c>
      <c r="I2158" s="30">
        <f>IF(OR(A2158="",L2158=""),"",IF(MOD(A2158-INDEX(SkiftStart,L2158),Syklus)&lt;DagK,"Kveld",IF(MOD(A2158-INDEX(SkiftStart,L2158),Syklus)&lt;DagK+DagH,"Helg",IF(MOD(A2158-INDEX(SkiftStart,L2158),Syklus)&lt;DagK+DagH+DagD,"Dag","Fri"))))</f>
        <v/>
      </c>
      <c r="J2158" s="30">
        <f>IF(I2158="Fri","Ja","")</f>
        <v/>
      </c>
      <c r="K2158" s="30">
        <f>IF(B2158="","",IF(L2158="","Ukjent tekniker",IF(ISNA(MATCH(C2158,Aktiviteter,0)),"Ukjent aktivitet",IF(AND(INDEX(AktRolle,MATCH(C2158,Aktiviteter,0))&amp;""&lt;&gt;"",ISERROR(SEARCH(INDEX(AktRolle,MATCH(C2158,Aktiviteter,0))&amp;"",INDEX(TekRoller,MATCH(B2158,Teknikere,0))))),"Mangler rollen "&amp;INDEX(AktRolle,MATCH(C2158,Aktiviteter,0))&amp;"",IF(AND(C2158="LMS",F2158&gt;0,OR(D2158="",E2158="")),"Mangler maskin eller arbeid",IF(AND(OR(C2158="LMS",C2158="Mod"),D2158&lt;&gt;""),IF(IFERROR(INDEX(MaskinStatus,MATCH(D2158,Maskiner,0)),"")="I dokk","","Maskinen er ikke i dokk"),""))))))</f>
        <v/>
      </c>
      <c r="L2158" s="2">
        <f>IF(B2158="","",IFERROR(INT((MATCH(B2158,Teknikere,0)-1)/18)+1,""))</f>
        <v/>
      </c>
      <c r="M2158" s="2">
        <f>IF(OR(A2158="",B2158=""),"",B2158&amp;"|"&amp;A2158)</f>
        <v/>
      </c>
      <c r="N2158" s="2">
        <f>IF(M2158="","",SUMIFS(TF_Timer,TF_Nokkel,M2158,TF_Akt,C2158))</f>
        <v/>
      </c>
      <c r="O2158" s="2">
        <f>IF(M2158="","",IF(AND(N2158=_xlfn.MAXIFS(TF_AktSum,TF_Nokkel,M2158),COUNTIFS(M$3:M2157,M2158,N$3:N2157,N2158)=0),M2158,""))</f>
        <v/>
      </c>
    </row>
    <row r="2159">
      <c r="A2159" s="34" t="n"/>
      <c r="B2159" s="35" t="n"/>
      <c r="C2159" s="35" t="n"/>
      <c r="D2159" s="35" t="n"/>
      <c r="E2159" s="35" t="n"/>
      <c r="F2159" s="36" t="n"/>
      <c r="G2159" s="35" t="n"/>
      <c r="H2159" s="30">
        <f>IF(L2159="","",INDEX(SkiftNavn,L2159))</f>
        <v/>
      </c>
      <c r="I2159" s="30">
        <f>IF(OR(A2159="",L2159=""),"",IF(MOD(A2159-INDEX(SkiftStart,L2159),Syklus)&lt;DagK,"Kveld",IF(MOD(A2159-INDEX(SkiftStart,L2159),Syklus)&lt;DagK+DagH,"Helg",IF(MOD(A2159-INDEX(SkiftStart,L2159),Syklus)&lt;DagK+DagH+DagD,"Dag","Fri"))))</f>
        <v/>
      </c>
      <c r="J2159" s="30">
        <f>IF(I2159="Fri","Ja","")</f>
        <v/>
      </c>
      <c r="K2159" s="30">
        <f>IF(B2159="","",IF(L2159="","Ukjent tekniker",IF(ISNA(MATCH(C2159,Aktiviteter,0)),"Ukjent aktivitet",IF(AND(INDEX(AktRolle,MATCH(C2159,Aktiviteter,0))&amp;""&lt;&gt;"",ISERROR(SEARCH(INDEX(AktRolle,MATCH(C2159,Aktiviteter,0))&amp;"",INDEX(TekRoller,MATCH(B2159,Teknikere,0))))),"Mangler rollen "&amp;INDEX(AktRolle,MATCH(C2159,Aktiviteter,0))&amp;"",IF(AND(C2159="LMS",F2159&gt;0,OR(D2159="",E2159="")),"Mangler maskin eller arbeid",IF(AND(OR(C2159="LMS",C2159="Mod"),D2159&lt;&gt;""),IF(IFERROR(INDEX(MaskinStatus,MATCH(D2159,Maskiner,0)),"")="I dokk","","Maskinen er ikke i dokk"),""))))))</f>
        <v/>
      </c>
      <c r="L2159" s="2">
        <f>IF(B2159="","",IFERROR(INT((MATCH(B2159,Teknikere,0)-1)/18)+1,""))</f>
        <v/>
      </c>
      <c r="M2159" s="2">
        <f>IF(OR(A2159="",B2159=""),"",B2159&amp;"|"&amp;A2159)</f>
        <v/>
      </c>
      <c r="N2159" s="2">
        <f>IF(M2159="","",SUMIFS(TF_Timer,TF_Nokkel,M2159,TF_Akt,C2159))</f>
        <v/>
      </c>
      <c r="O2159" s="2">
        <f>IF(M2159="","",IF(AND(N2159=_xlfn.MAXIFS(TF_AktSum,TF_Nokkel,M2159),COUNTIFS(M$3:M2158,M2159,N$3:N2158,N2159)=0),M2159,""))</f>
        <v/>
      </c>
    </row>
    <row r="2160">
      <c r="A2160" s="34" t="n"/>
      <c r="B2160" s="35" t="n"/>
      <c r="C2160" s="35" t="n"/>
      <c r="D2160" s="35" t="n"/>
      <c r="E2160" s="35" t="n"/>
      <c r="F2160" s="36" t="n"/>
      <c r="G2160" s="35" t="n"/>
      <c r="H2160" s="30">
        <f>IF(L2160="","",INDEX(SkiftNavn,L2160))</f>
        <v/>
      </c>
      <c r="I2160" s="30">
        <f>IF(OR(A2160="",L2160=""),"",IF(MOD(A2160-INDEX(SkiftStart,L2160),Syklus)&lt;DagK,"Kveld",IF(MOD(A2160-INDEX(SkiftStart,L2160),Syklus)&lt;DagK+DagH,"Helg",IF(MOD(A2160-INDEX(SkiftStart,L2160),Syklus)&lt;DagK+DagH+DagD,"Dag","Fri"))))</f>
        <v/>
      </c>
      <c r="J2160" s="30">
        <f>IF(I2160="Fri","Ja","")</f>
        <v/>
      </c>
      <c r="K2160" s="30">
        <f>IF(B2160="","",IF(L2160="","Ukjent tekniker",IF(ISNA(MATCH(C2160,Aktiviteter,0)),"Ukjent aktivitet",IF(AND(INDEX(AktRolle,MATCH(C2160,Aktiviteter,0))&amp;""&lt;&gt;"",ISERROR(SEARCH(INDEX(AktRolle,MATCH(C2160,Aktiviteter,0))&amp;"",INDEX(TekRoller,MATCH(B2160,Teknikere,0))))),"Mangler rollen "&amp;INDEX(AktRolle,MATCH(C2160,Aktiviteter,0))&amp;"",IF(AND(C2160="LMS",F2160&gt;0,OR(D2160="",E2160="")),"Mangler maskin eller arbeid",IF(AND(OR(C2160="LMS",C2160="Mod"),D2160&lt;&gt;""),IF(IFERROR(INDEX(MaskinStatus,MATCH(D2160,Maskiner,0)),"")="I dokk","","Maskinen er ikke i dokk"),""))))))</f>
        <v/>
      </c>
      <c r="L2160" s="2">
        <f>IF(B2160="","",IFERROR(INT((MATCH(B2160,Teknikere,0)-1)/18)+1,""))</f>
        <v/>
      </c>
      <c r="M2160" s="2">
        <f>IF(OR(A2160="",B2160=""),"",B2160&amp;"|"&amp;A2160)</f>
        <v/>
      </c>
      <c r="N2160" s="2">
        <f>IF(M2160="","",SUMIFS(TF_Timer,TF_Nokkel,M2160,TF_Akt,C2160))</f>
        <v/>
      </c>
      <c r="O2160" s="2">
        <f>IF(M2160="","",IF(AND(N2160=_xlfn.MAXIFS(TF_AktSum,TF_Nokkel,M2160),COUNTIFS(M$3:M2159,M2160,N$3:N2159,N2160)=0),M2160,""))</f>
        <v/>
      </c>
    </row>
    <row r="2161">
      <c r="A2161" s="34" t="n"/>
      <c r="B2161" s="35" t="n"/>
      <c r="C2161" s="35" t="n"/>
      <c r="D2161" s="35" t="n"/>
      <c r="E2161" s="35" t="n"/>
      <c r="F2161" s="36" t="n"/>
      <c r="G2161" s="35" t="n"/>
      <c r="H2161" s="30">
        <f>IF(L2161="","",INDEX(SkiftNavn,L2161))</f>
        <v/>
      </c>
      <c r="I2161" s="30">
        <f>IF(OR(A2161="",L2161=""),"",IF(MOD(A2161-INDEX(SkiftStart,L2161),Syklus)&lt;DagK,"Kveld",IF(MOD(A2161-INDEX(SkiftStart,L2161),Syklus)&lt;DagK+DagH,"Helg",IF(MOD(A2161-INDEX(SkiftStart,L2161),Syklus)&lt;DagK+DagH+DagD,"Dag","Fri"))))</f>
        <v/>
      </c>
      <c r="J2161" s="30">
        <f>IF(I2161="Fri","Ja","")</f>
        <v/>
      </c>
      <c r="K2161" s="30">
        <f>IF(B2161="","",IF(L2161="","Ukjent tekniker",IF(ISNA(MATCH(C2161,Aktiviteter,0)),"Ukjent aktivitet",IF(AND(INDEX(AktRolle,MATCH(C2161,Aktiviteter,0))&amp;""&lt;&gt;"",ISERROR(SEARCH(INDEX(AktRolle,MATCH(C2161,Aktiviteter,0))&amp;"",INDEX(TekRoller,MATCH(B2161,Teknikere,0))))),"Mangler rollen "&amp;INDEX(AktRolle,MATCH(C2161,Aktiviteter,0))&amp;"",IF(AND(C2161="LMS",F2161&gt;0,OR(D2161="",E2161="")),"Mangler maskin eller arbeid",IF(AND(OR(C2161="LMS",C2161="Mod"),D2161&lt;&gt;""),IF(IFERROR(INDEX(MaskinStatus,MATCH(D2161,Maskiner,0)),"")="I dokk","","Maskinen er ikke i dokk"),""))))))</f>
        <v/>
      </c>
      <c r="L2161" s="2">
        <f>IF(B2161="","",IFERROR(INT((MATCH(B2161,Teknikere,0)-1)/18)+1,""))</f>
        <v/>
      </c>
      <c r="M2161" s="2">
        <f>IF(OR(A2161="",B2161=""),"",B2161&amp;"|"&amp;A2161)</f>
        <v/>
      </c>
      <c r="N2161" s="2">
        <f>IF(M2161="","",SUMIFS(TF_Timer,TF_Nokkel,M2161,TF_Akt,C2161))</f>
        <v/>
      </c>
      <c r="O2161" s="2">
        <f>IF(M2161="","",IF(AND(N2161=_xlfn.MAXIFS(TF_AktSum,TF_Nokkel,M2161),COUNTIFS(M$3:M2160,M2161,N$3:N2160,N2161)=0),M2161,""))</f>
        <v/>
      </c>
    </row>
    <row r="2162">
      <c r="A2162" s="34" t="n"/>
      <c r="B2162" s="35" t="n"/>
      <c r="C2162" s="35" t="n"/>
      <c r="D2162" s="35" t="n"/>
      <c r="E2162" s="35" t="n"/>
      <c r="F2162" s="36" t="n"/>
      <c r="G2162" s="35" t="n"/>
      <c r="H2162" s="30">
        <f>IF(L2162="","",INDEX(SkiftNavn,L2162))</f>
        <v/>
      </c>
      <c r="I2162" s="30">
        <f>IF(OR(A2162="",L2162=""),"",IF(MOD(A2162-INDEX(SkiftStart,L2162),Syklus)&lt;DagK,"Kveld",IF(MOD(A2162-INDEX(SkiftStart,L2162),Syklus)&lt;DagK+DagH,"Helg",IF(MOD(A2162-INDEX(SkiftStart,L2162),Syklus)&lt;DagK+DagH+DagD,"Dag","Fri"))))</f>
        <v/>
      </c>
      <c r="J2162" s="30">
        <f>IF(I2162="Fri","Ja","")</f>
        <v/>
      </c>
      <c r="K2162" s="30">
        <f>IF(B2162="","",IF(L2162="","Ukjent tekniker",IF(ISNA(MATCH(C2162,Aktiviteter,0)),"Ukjent aktivitet",IF(AND(INDEX(AktRolle,MATCH(C2162,Aktiviteter,0))&amp;""&lt;&gt;"",ISERROR(SEARCH(INDEX(AktRolle,MATCH(C2162,Aktiviteter,0))&amp;"",INDEX(TekRoller,MATCH(B2162,Teknikere,0))))),"Mangler rollen "&amp;INDEX(AktRolle,MATCH(C2162,Aktiviteter,0))&amp;"",IF(AND(C2162="LMS",F2162&gt;0,OR(D2162="",E2162="")),"Mangler maskin eller arbeid",IF(AND(OR(C2162="LMS",C2162="Mod"),D2162&lt;&gt;""),IF(IFERROR(INDEX(MaskinStatus,MATCH(D2162,Maskiner,0)),"")="I dokk","","Maskinen er ikke i dokk"),""))))))</f>
        <v/>
      </c>
      <c r="L2162" s="2">
        <f>IF(B2162="","",IFERROR(INT((MATCH(B2162,Teknikere,0)-1)/18)+1,""))</f>
        <v/>
      </c>
      <c r="M2162" s="2">
        <f>IF(OR(A2162="",B2162=""),"",B2162&amp;"|"&amp;A2162)</f>
        <v/>
      </c>
      <c r="N2162" s="2">
        <f>IF(M2162="","",SUMIFS(TF_Timer,TF_Nokkel,M2162,TF_Akt,C2162))</f>
        <v/>
      </c>
      <c r="O2162" s="2">
        <f>IF(M2162="","",IF(AND(N2162=_xlfn.MAXIFS(TF_AktSum,TF_Nokkel,M2162),COUNTIFS(M$3:M2161,M2162,N$3:N2161,N2162)=0),M2162,""))</f>
        <v/>
      </c>
    </row>
    <row r="2163">
      <c r="A2163" s="34" t="n"/>
      <c r="B2163" s="35" t="n"/>
      <c r="C2163" s="35" t="n"/>
      <c r="D2163" s="35" t="n"/>
      <c r="E2163" s="35" t="n"/>
      <c r="F2163" s="36" t="n"/>
      <c r="G2163" s="35" t="n"/>
      <c r="H2163" s="30">
        <f>IF(L2163="","",INDEX(SkiftNavn,L2163))</f>
        <v/>
      </c>
      <c r="I2163" s="30">
        <f>IF(OR(A2163="",L2163=""),"",IF(MOD(A2163-INDEX(SkiftStart,L2163),Syklus)&lt;DagK,"Kveld",IF(MOD(A2163-INDEX(SkiftStart,L2163),Syklus)&lt;DagK+DagH,"Helg",IF(MOD(A2163-INDEX(SkiftStart,L2163),Syklus)&lt;DagK+DagH+DagD,"Dag","Fri"))))</f>
        <v/>
      </c>
      <c r="J2163" s="30">
        <f>IF(I2163="Fri","Ja","")</f>
        <v/>
      </c>
      <c r="K2163" s="30">
        <f>IF(B2163="","",IF(L2163="","Ukjent tekniker",IF(ISNA(MATCH(C2163,Aktiviteter,0)),"Ukjent aktivitet",IF(AND(INDEX(AktRolle,MATCH(C2163,Aktiviteter,0))&amp;""&lt;&gt;"",ISERROR(SEARCH(INDEX(AktRolle,MATCH(C2163,Aktiviteter,0))&amp;"",INDEX(TekRoller,MATCH(B2163,Teknikere,0))))),"Mangler rollen "&amp;INDEX(AktRolle,MATCH(C2163,Aktiviteter,0))&amp;"",IF(AND(C2163="LMS",F2163&gt;0,OR(D2163="",E2163="")),"Mangler maskin eller arbeid",IF(AND(OR(C2163="LMS",C2163="Mod"),D2163&lt;&gt;""),IF(IFERROR(INDEX(MaskinStatus,MATCH(D2163,Maskiner,0)),"")="I dokk","","Maskinen er ikke i dokk"),""))))))</f>
        <v/>
      </c>
      <c r="L2163" s="2">
        <f>IF(B2163="","",IFERROR(INT((MATCH(B2163,Teknikere,0)-1)/18)+1,""))</f>
        <v/>
      </c>
      <c r="M2163" s="2">
        <f>IF(OR(A2163="",B2163=""),"",B2163&amp;"|"&amp;A2163)</f>
        <v/>
      </c>
      <c r="N2163" s="2">
        <f>IF(M2163="","",SUMIFS(TF_Timer,TF_Nokkel,M2163,TF_Akt,C2163))</f>
        <v/>
      </c>
      <c r="O2163" s="2">
        <f>IF(M2163="","",IF(AND(N2163=_xlfn.MAXIFS(TF_AktSum,TF_Nokkel,M2163),COUNTIFS(M$3:M2162,M2163,N$3:N2162,N2163)=0),M2163,""))</f>
        <v/>
      </c>
    </row>
    <row r="2164">
      <c r="A2164" s="34" t="n"/>
      <c r="B2164" s="35" t="n"/>
      <c r="C2164" s="35" t="n"/>
      <c r="D2164" s="35" t="n"/>
      <c r="E2164" s="35" t="n"/>
      <c r="F2164" s="36" t="n"/>
      <c r="G2164" s="35" t="n"/>
      <c r="H2164" s="30">
        <f>IF(L2164="","",INDEX(SkiftNavn,L2164))</f>
        <v/>
      </c>
      <c r="I2164" s="30">
        <f>IF(OR(A2164="",L2164=""),"",IF(MOD(A2164-INDEX(SkiftStart,L2164),Syklus)&lt;DagK,"Kveld",IF(MOD(A2164-INDEX(SkiftStart,L2164),Syklus)&lt;DagK+DagH,"Helg",IF(MOD(A2164-INDEX(SkiftStart,L2164),Syklus)&lt;DagK+DagH+DagD,"Dag","Fri"))))</f>
        <v/>
      </c>
      <c r="J2164" s="30">
        <f>IF(I2164="Fri","Ja","")</f>
        <v/>
      </c>
      <c r="K2164" s="30">
        <f>IF(B2164="","",IF(L2164="","Ukjent tekniker",IF(ISNA(MATCH(C2164,Aktiviteter,0)),"Ukjent aktivitet",IF(AND(INDEX(AktRolle,MATCH(C2164,Aktiviteter,0))&amp;""&lt;&gt;"",ISERROR(SEARCH(INDEX(AktRolle,MATCH(C2164,Aktiviteter,0))&amp;"",INDEX(TekRoller,MATCH(B2164,Teknikere,0))))),"Mangler rollen "&amp;INDEX(AktRolle,MATCH(C2164,Aktiviteter,0))&amp;"",IF(AND(C2164="LMS",F2164&gt;0,OR(D2164="",E2164="")),"Mangler maskin eller arbeid",IF(AND(OR(C2164="LMS",C2164="Mod"),D2164&lt;&gt;""),IF(IFERROR(INDEX(MaskinStatus,MATCH(D2164,Maskiner,0)),"")="I dokk","","Maskinen er ikke i dokk"),""))))))</f>
        <v/>
      </c>
      <c r="L2164" s="2">
        <f>IF(B2164="","",IFERROR(INT((MATCH(B2164,Teknikere,0)-1)/18)+1,""))</f>
        <v/>
      </c>
      <c r="M2164" s="2">
        <f>IF(OR(A2164="",B2164=""),"",B2164&amp;"|"&amp;A2164)</f>
        <v/>
      </c>
      <c r="N2164" s="2">
        <f>IF(M2164="","",SUMIFS(TF_Timer,TF_Nokkel,M2164,TF_Akt,C2164))</f>
        <v/>
      </c>
      <c r="O2164" s="2">
        <f>IF(M2164="","",IF(AND(N2164=_xlfn.MAXIFS(TF_AktSum,TF_Nokkel,M2164),COUNTIFS(M$3:M2163,M2164,N$3:N2163,N2164)=0),M2164,""))</f>
        <v/>
      </c>
    </row>
    <row r="2165">
      <c r="A2165" s="34" t="n"/>
      <c r="B2165" s="35" t="n"/>
      <c r="C2165" s="35" t="n"/>
      <c r="D2165" s="35" t="n"/>
      <c r="E2165" s="35" t="n"/>
      <c r="F2165" s="36" t="n"/>
      <c r="G2165" s="35" t="n"/>
      <c r="H2165" s="30">
        <f>IF(L2165="","",INDEX(SkiftNavn,L2165))</f>
        <v/>
      </c>
      <c r="I2165" s="30">
        <f>IF(OR(A2165="",L2165=""),"",IF(MOD(A2165-INDEX(SkiftStart,L2165),Syklus)&lt;DagK,"Kveld",IF(MOD(A2165-INDEX(SkiftStart,L2165),Syklus)&lt;DagK+DagH,"Helg",IF(MOD(A2165-INDEX(SkiftStart,L2165),Syklus)&lt;DagK+DagH+DagD,"Dag","Fri"))))</f>
        <v/>
      </c>
      <c r="J2165" s="30">
        <f>IF(I2165="Fri","Ja","")</f>
        <v/>
      </c>
      <c r="K2165" s="30">
        <f>IF(B2165="","",IF(L2165="","Ukjent tekniker",IF(ISNA(MATCH(C2165,Aktiviteter,0)),"Ukjent aktivitet",IF(AND(INDEX(AktRolle,MATCH(C2165,Aktiviteter,0))&amp;""&lt;&gt;"",ISERROR(SEARCH(INDEX(AktRolle,MATCH(C2165,Aktiviteter,0))&amp;"",INDEX(TekRoller,MATCH(B2165,Teknikere,0))))),"Mangler rollen "&amp;INDEX(AktRolle,MATCH(C2165,Aktiviteter,0))&amp;"",IF(AND(C2165="LMS",F2165&gt;0,OR(D2165="",E2165="")),"Mangler maskin eller arbeid",IF(AND(OR(C2165="LMS",C2165="Mod"),D2165&lt;&gt;""),IF(IFERROR(INDEX(MaskinStatus,MATCH(D2165,Maskiner,0)),"")="I dokk","","Maskinen er ikke i dokk"),""))))))</f>
        <v/>
      </c>
      <c r="L2165" s="2">
        <f>IF(B2165="","",IFERROR(INT((MATCH(B2165,Teknikere,0)-1)/18)+1,""))</f>
        <v/>
      </c>
      <c r="M2165" s="2">
        <f>IF(OR(A2165="",B2165=""),"",B2165&amp;"|"&amp;A2165)</f>
        <v/>
      </c>
      <c r="N2165" s="2">
        <f>IF(M2165="","",SUMIFS(TF_Timer,TF_Nokkel,M2165,TF_Akt,C2165))</f>
        <v/>
      </c>
      <c r="O2165" s="2">
        <f>IF(M2165="","",IF(AND(N2165=_xlfn.MAXIFS(TF_AktSum,TF_Nokkel,M2165),COUNTIFS(M$3:M2164,M2165,N$3:N2164,N2165)=0),M2165,""))</f>
        <v/>
      </c>
    </row>
    <row r="2166">
      <c r="A2166" s="34" t="n"/>
      <c r="B2166" s="35" t="n"/>
      <c r="C2166" s="35" t="n"/>
      <c r="D2166" s="35" t="n"/>
      <c r="E2166" s="35" t="n"/>
      <c r="F2166" s="36" t="n"/>
      <c r="G2166" s="35" t="n"/>
      <c r="H2166" s="30">
        <f>IF(L2166="","",INDEX(SkiftNavn,L2166))</f>
        <v/>
      </c>
      <c r="I2166" s="30">
        <f>IF(OR(A2166="",L2166=""),"",IF(MOD(A2166-INDEX(SkiftStart,L2166),Syklus)&lt;DagK,"Kveld",IF(MOD(A2166-INDEX(SkiftStart,L2166),Syklus)&lt;DagK+DagH,"Helg",IF(MOD(A2166-INDEX(SkiftStart,L2166),Syklus)&lt;DagK+DagH+DagD,"Dag","Fri"))))</f>
        <v/>
      </c>
      <c r="J2166" s="30">
        <f>IF(I2166="Fri","Ja","")</f>
        <v/>
      </c>
      <c r="K2166" s="30">
        <f>IF(B2166="","",IF(L2166="","Ukjent tekniker",IF(ISNA(MATCH(C2166,Aktiviteter,0)),"Ukjent aktivitet",IF(AND(INDEX(AktRolle,MATCH(C2166,Aktiviteter,0))&amp;""&lt;&gt;"",ISERROR(SEARCH(INDEX(AktRolle,MATCH(C2166,Aktiviteter,0))&amp;"",INDEX(TekRoller,MATCH(B2166,Teknikere,0))))),"Mangler rollen "&amp;INDEX(AktRolle,MATCH(C2166,Aktiviteter,0))&amp;"",IF(AND(C2166="LMS",F2166&gt;0,OR(D2166="",E2166="")),"Mangler maskin eller arbeid",IF(AND(OR(C2166="LMS",C2166="Mod"),D2166&lt;&gt;""),IF(IFERROR(INDEX(MaskinStatus,MATCH(D2166,Maskiner,0)),"")="I dokk","","Maskinen er ikke i dokk"),""))))))</f>
        <v/>
      </c>
      <c r="L2166" s="2">
        <f>IF(B2166="","",IFERROR(INT((MATCH(B2166,Teknikere,0)-1)/18)+1,""))</f>
        <v/>
      </c>
      <c r="M2166" s="2">
        <f>IF(OR(A2166="",B2166=""),"",B2166&amp;"|"&amp;A2166)</f>
        <v/>
      </c>
      <c r="N2166" s="2">
        <f>IF(M2166="","",SUMIFS(TF_Timer,TF_Nokkel,M2166,TF_Akt,C2166))</f>
        <v/>
      </c>
      <c r="O2166" s="2">
        <f>IF(M2166="","",IF(AND(N2166=_xlfn.MAXIFS(TF_AktSum,TF_Nokkel,M2166),COUNTIFS(M$3:M2165,M2166,N$3:N2165,N2166)=0),M2166,""))</f>
        <v/>
      </c>
    </row>
    <row r="2167">
      <c r="A2167" s="34" t="n"/>
      <c r="B2167" s="35" t="n"/>
      <c r="C2167" s="35" t="n"/>
      <c r="D2167" s="35" t="n"/>
      <c r="E2167" s="35" t="n"/>
      <c r="F2167" s="36" t="n"/>
      <c r="G2167" s="35" t="n"/>
      <c r="H2167" s="30">
        <f>IF(L2167="","",INDEX(SkiftNavn,L2167))</f>
        <v/>
      </c>
      <c r="I2167" s="30">
        <f>IF(OR(A2167="",L2167=""),"",IF(MOD(A2167-INDEX(SkiftStart,L2167),Syklus)&lt;DagK,"Kveld",IF(MOD(A2167-INDEX(SkiftStart,L2167),Syklus)&lt;DagK+DagH,"Helg",IF(MOD(A2167-INDEX(SkiftStart,L2167),Syklus)&lt;DagK+DagH+DagD,"Dag","Fri"))))</f>
        <v/>
      </c>
      <c r="J2167" s="30">
        <f>IF(I2167="Fri","Ja","")</f>
        <v/>
      </c>
      <c r="K2167" s="30">
        <f>IF(B2167="","",IF(L2167="","Ukjent tekniker",IF(ISNA(MATCH(C2167,Aktiviteter,0)),"Ukjent aktivitet",IF(AND(INDEX(AktRolle,MATCH(C2167,Aktiviteter,0))&amp;""&lt;&gt;"",ISERROR(SEARCH(INDEX(AktRolle,MATCH(C2167,Aktiviteter,0))&amp;"",INDEX(TekRoller,MATCH(B2167,Teknikere,0))))),"Mangler rollen "&amp;INDEX(AktRolle,MATCH(C2167,Aktiviteter,0))&amp;"",IF(AND(C2167="LMS",F2167&gt;0,OR(D2167="",E2167="")),"Mangler maskin eller arbeid",IF(AND(OR(C2167="LMS",C2167="Mod"),D2167&lt;&gt;""),IF(IFERROR(INDEX(MaskinStatus,MATCH(D2167,Maskiner,0)),"")="I dokk","","Maskinen er ikke i dokk"),""))))))</f>
        <v/>
      </c>
      <c r="L2167" s="2">
        <f>IF(B2167="","",IFERROR(INT((MATCH(B2167,Teknikere,0)-1)/18)+1,""))</f>
        <v/>
      </c>
      <c r="M2167" s="2">
        <f>IF(OR(A2167="",B2167=""),"",B2167&amp;"|"&amp;A2167)</f>
        <v/>
      </c>
      <c r="N2167" s="2">
        <f>IF(M2167="","",SUMIFS(TF_Timer,TF_Nokkel,M2167,TF_Akt,C2167))</f>
        <v/>
      </c>
      <c r="O2167" s="2">
        <f>IF(M2167="","",IF(AND(N2167=_xlfn.MAXIFS(TF_AktSum,TF_Nokkel,M2167),COUNTIFS(M$3:M2166,M2167,N$3:N2166,N2167)=0),M2167,""))</f>
        <v/>
      </c>
    </row>
    <row r="2168">
      <c r="A2168" s="34" t="n"/>
      <c r="B2168" s="35" t="n"/>
      <c r="C2168" s="35" t="n"/>
      <c r="D2168" s="35" t="n"/>
      <c r="E2168" s="35" t="n"/>
      <c r="F2168" s="36" t="n"/>
      <c r="G2168" s="35" t="n"/>
      <c r="H2168" s="30">
        <f>IF(L2168="","",INDEX(SkiftNavn,L2168))</f>
        <v/>
      </c>
      <c r="I2168" s="30">
        <f>IF(OR(A2168="",L2168=""),"",IF(MOD(A2168-INDEX(SkiftStart,L2168),Syklus)&lt;DagK,"Kveld",IF(MOD(A2168-INDEX(SkiftStart,L2168),Syklus)&lt;DagK+DagH,"Helg",IF(MOD(A2168-INDEX(SkiftStart,L2168),Syklus)&lt;DagK+DagH+DagD,"Dag","Fri"))))</f>
        <v/>
      </c>
      <c r="J2168" s="30">
        <f>IF(I2168="Fri","Ja","")</f>
        <v/>
      </c>
      <c r="K2168" s="30">
        <f>IF(B2168="","",IF(L2168="","Ukjent tekniker",IF(ISNA(MATCH(C2168,Aktiviteter,0)),"Ukjent aktivitet",IF(AND(INDEX(AktRolle,MATCH(C2168,Aktiviteter,0))&amp;""&lt;&gt;"",ISERROR(SEARCH(INDEX(AktRolle,MATCH(C2168,Aktiviteter,0))&amp;"",INDEX(TekRoller,MATCH(B2168,Teknikere,0))))),"Mangler rollen "&amp;INDEX(AktRolle,MATCH(C2168,Aktiviteter,0))&amp;"",IF(AND(C2168="LMS",F2168&gt;0,OR(D2168="",E2168="")),"Mangler maskin eller arbeid",IF(AND(OR(C2168="LMS",C2168="Mod"),D2168&lt;&gt;""),IF(IFERROR(INDEX(MaskinStatus,MATCH(D2168,Maskiner,0)),"")="I dokk","","Maskinen er ikke i dokk"),""))))))</f>
        <v/>
      </c>
      <c r="L2168" s="2">
        <f>IF(B2168="","",IFERROR(INT((MATCH(B2168,Teknikere,0)-1)/18)+1,""))</f>
        <v/>
      </c>
      <c r="M2168" s="2">
        <f>IF(OR(A2168="",B2168=""),"",B2168&amp;"|"&amp;A2168)</f>
        <v/>
      </c>
      <c r="N2168" s="2">
        <f>IF(M2168="","",SUMIFS(TF_Timer,TF_Nokkel,M2168,TF_Akt,C2168))</f>
        <v/>
      </c>
      <c r="O2168" s="2">
        <f>IF(M2168="","",IF(AND(N2168=_xlfn.MAXIFS(TF_AktSum,TF_Nokkel,M2168),COUNTIFS(M$3:M2167,M2168,N$3:N2167,N2168)=0),M2168,""))</f>
        <v/>
      </c>
    </row>
    <row r="2169">
      <c r="A2169" s="34" t="n"/>
      <c r="B2169" s="35" t="n"/>
      <c r="C2169" s="35" t="n"/>
      <c r="D2169" s="35" t="n"/>
      <c r="E2169" s="35" t="n"/>
      <c r="F2169" s="36" t="n"/>
      <c r="G2169" s="35" t="n"/>
      <c r="H2169" s="30">
        <f>IF(L2169="","",INDEX(SkiftNavn,L2169))</f>
        <v/>
      </c>
      <c r="I2169" s="30">
        <f>IF(OR(A2169="",L2169=""),"",IF(MOD(A2169-INDEX(SkiftStart,L2169),Syklus)&lt;DagK,"Kveld",IF(MOD(A2169-INDEX(SkiftStart,L2169),Syklus)&lt;DagK+DagH,"Helg",IF(MOD(A2169-INDEX(SkiftStart,L2169),Syklus)&lt;DagK+DagH+DagD,"Dag","Fri"))))</f>
        <v/>
      </c>
      <c r="J2169" s="30">
        <f>IF(I2169="Fri","Ja","")</f>
        <v/>
      </c>
      <c r="K2169" s="30">
        <f>IF(B2169="","",IF(L2169="","Ukjent tekniker",IF(ISNA(MATCH(C2169,Aktiviteter,0)),"Ukjent aktivitet",IF(AND(INDEX(AktRolle,MATCH(C2169,Aktiviteter,0))&amp;""&lt;&gt;"",ISERROR(SEARCH(INDEX(AktRolle,MATCH(C2169,Aktiviteter,0))&amp;"",INDEX(TekRoller,MATCH(B2169,Teknikere,0))))),"Mangler rollen "&amp;INDEX(AktRolle,MATCH(C2169,Aktiviteter,0))&amp;"",IF(AND(C2169="LMS",F2169&gt;0,OR(D2169="",E2169="")),"Mangler maskin eller arbeid",IF(AND(OR(C2169="LMS",C2169="Mod"),D2169&lt;&gt;""),IF(IFERROR(INDEX(MaskinStatus,MATCH(D2169,Maskiner,0)),"")="I dokk","","Maskinen er ikke i dokk"),""))))))</f>
        <v/>
      </c>
      <c r="L2169" s="2">
        <f>IF(B2169="","",IFERROR(INT((MATCH(B2169,Teknikere,0)-1)/18)+1,""))</f>
        <v/>
      </c>
      <c r="M2169" s="2">
        <f>IF(OR(A2169="",B2169=""),"",B2169&amp;"|"&amp;A2169)</f>
        <v/>
      </c>
      <c r="N2169" s="2">
        <f>IF(M2169="","",SUMIFS(TF_Timer,TF_Nokkel,M2169,TF_Akt,C2169))</f>
        <v/>
      </c>
      <c r="O2169" s="2">
        <f>IF(M2169="","",IF(AND(N2169=_xlfn.MAXIFS(TF_AktSum,TF_Nokkel,M2169),COUNTIFS(M$3:M2168,M2169,N$3:N2168,N2169)=0),M2169,""))</f>
        <v/>
      </c>
    </row>
    <row r="2170">
      <c r="A2170" s="34" t="n"/>
      <c r="B2170" s="35" t="n"/>
      <c r="C2170" s="35" t="n"/>
      <c r="D2170" s="35" t="n"/>
      <c r="E2170" s="35" t="n"/>
      <c r="F2170" s="36" t="n"/>
      <c r="G2170" s="35" t="n"/>
      <c r="H2170" s="30">
        <f>IF(L2170="","",INDEX(SkiftNavn,L2170))</f>
        <v/>
      </c>
      <c r="I2170" s="30">
        <f>IF(OR(A2170="",L2170=""),"",IF(MOD(A2170-INDEX(SkiftStart,L2170),Syklus)&lt;DagK,"Kveld",IF(MOD(A2170-INDEX(SkiftStart,L2170),Syklus)&lt;DagK+DagH,"Helg",IF(MOD(A2170-INDEX(SkiftStart,L2170),Syklus)&lt;DagK+DagH+DagD,"Dag","Fri"))))</f>
        <v/>
      </c>
      <c r="J2170" s="30">
        <f>IF(I2170="Fri","Ja","")</f>
        <v/>
      </c>
      <c r="K2170" s="30">
        <f>IF(B2170="","",IF(L2170="","Ukjent tekniker",IF(ISNA(MATCH(C2170,Aktiviteter,0)),"Ukjent aktivitet",IF(AND(INDEX(AktRolle,MATCH(C2170,Aktiviteter,0))&amp;""&lt;&gt;"",ISERROR(SEARCH(INDEX(AktRolle,MATCH(C2170,Aktiviteter,0))&amp;"",INDEX(TekRoller,MATCH(B2170,Teknikere,0))))),"Mangler rollen "&amp;INDEX(AktRolle,MATCH(C2170,Aktiviteter,0))&amp;"",IF(AND(C2170="LMS",F2170&gt;0,OR(D2170="",E2170="")),"Mangler maskin eller arbeid",IF(AND(OR(C2170="LMS",C2170="Mod"),D2170&lt;&gt;""),IF(IFERROR(INDEX(MaskinStatus,MATCH(D2170,Maskiner,0)),"")="I dokk","","Maskinen er ikke i dokk"),""))))))</f>
        <v/>
      </c>
      <c r="L2170" s="2">
        <f>IF(B2170="","",IFERROR(INT((MATCH(B2170,Teknikere,0)-1)/18)+1,""))</f>
        <v/>
      </c>
      <c r="M2170" s="2">
        <f>IF(OR(A2170="",B2170=""),"",B2170&amp;"|"&amp;A2170)</f>
        <v/>
      </c>
      <c r="N2170" s="2">
        <f>IF(M2170="","",SUMIFS(TF_Timer,TF_Nokkel,M2170,TF_Akt,C2170))</f>
        <v/>
      </c>
      <c r="O2170" s="2">
        <f>IF(M2170="","",IF(AND(N2170=_xlfn.MAXIFS(TF_AktSum,TF_Nokkel,M2170),COUNTIFS(M$3:M2169,M2170,N$3:N2169,N2170)=0),M2170,""))</f>
        <v/>
      </c>
    </row>
    <row r="2171">
      <c r="A2171" s="34" t="n"/>
      <c r="B2171" s="35" t="n"/>
      <c r="C2171" s="35" t="n"/>
      <c r="D2171" s="35" t="n"/>
      <c r="E2171" s="35" t="n"/>
      <c r="F2171" s="36" t="n"/>
      <c r="G2171" s="35" t="n"/>
      <c r="H2171" s="30">
        <f>IF(L2171="","",INDEX(SkiftNavn,L2171))</f>
        <v/>
      </c>
      <c r="I2171" s="30">
        <f>IF(OR(A2171="",L2171=""),"",IF(MOD(A2171-INDEX(SkiftStart,L2171),Syklus)&lt;DagK,"Kveld",IF(MOD(A2171-INDEX(SkiftStart,L2171),Syklus)&lt;DagK+DagH,"Helg",IF(MOD(A2171-INDEX(SkiftStart,L2171),Syklus)&lt;DagK+DagH+DagD,"Dag","Fri"))))</f>
        <v/>
      </c>
      <c r="J2171" s="30">
        <f>IF(I2171="Fri","Ja","")</f>
        <v/>
      </c>
      <c r="K2171" s="30">
        <f>IF(B2171="","",IF(L2171="","Ukjent tekniker",IF(ISNA(MATCH(C2171,Aktiviteter,0)),"Ukjent aktivitet",IF(AND(INDEX(AktRolle,MATCH(C2171,Aktiviteter,0))&amp;""&lt;&gt;"",ISERROR(SEARCH(INDEX(AktRolle,MATCH(C2171,Aktiviteter,0))&amp;"",INDEX(TekRoller,MATCH(B2171,Teknikere,0))))),"Mangler rollen "&amp;INDEX(AktRolle,MATCH(C2171,Aktiviteter,0))&amp;"",IF(AND(C2171="LMS",F2171&gt;0,OR(D2171="",E2171="")),"Mangler maskin eller arbeid",IF(AND(OR(C2171="LMS",C2171="Mod"),D2171&lt;&gt;""),IF(IFERROR(INDEX(MaskinStatus,MATCH(D2171,Maskiner,0)),"")="I dokk","","Maskinen er ikke i dokk"),""))))))</f>
        <v/>
      </c>
      <c r="L2171" s="2">
        <f>IF(B2171="","",IFERROR(INT((MATCH(B2171,Teknikere,0)-1)/18)+1,""))</f>
        <v/>
      </c>
      <c r="M2171" s="2">
        <f>IF(OR(A2171="",B2171=""),"",B2171&amp;"|"&amp;A2171)</f>
        <v/>
      </c>
      <c r="N2171" s="2">
        <f>IF(M2171="","",SUMIFS(TF_Timer,TF_Nokkel,M2171,TF_Akt,C2171))</f>
        <v/>
      </c>
      <c r="O2171" s="2">
        <f>IF(M2171="","",IF(AND(N2171=_xlfn.MAXIFS(TF_AktSum,TF_Nokkel,M2171),COUNTIFS(M$3:M2170,M2171,N$3:N2170,N2171)=0),M2171,""))</f>
        <v/>
      </c>
    </row>
    <row r="2172">
      <c r="A2172" s="34" t="n"/>
      <c r="B2172" s="35" t="n"/>
      <c r="C2172" s="35" t="n"/>
      <c r="D2172" s="35" t="n"/>
      <c r="E2172" s="35" t="n"/>
      <c r="F2172" s="36" t="n"/>
      <c r="G2172" s="35" t="n"/>
      <c r="H2172" s="30">
        <f>IF(L2172="","",INDEX(SkiftNavn,L2172))</f>
        <v/>
      </c>
      <c r="I2172" s="30">
        <f>IF(OR(A2172="",L2172=""),"",IF(MOD(A2172-INDEX(SkiftStart,L2172),Syklus)&lt;DagK,"Kveld",IF(MOD(A2172-INDEX(SkiftStart,L2172),Syklus)&lt;DagK+DagH,"Helg",IF(MOD(A2172-INDEX(SkiftStart,L2172),Syklus)&lt;DagK+DagH+DagD,"Dag","Fri"))))</f>
        <v/>
      </c>
      <c r="J2172" s="30">
        <f>IF(I2172="Fri","Ja","")</f>
        <v/>
      </c>
      <c r="K2172" s="30">
        <f>IF(B2172="","",IF(L2172="","Ukjent tekniker",IF(ISNA(MATCH(C2172,Aktiviteter,0)),"Ukjent aktivitet",IF(AND(INDEX(AktRolle,MATCH(C2172,Aktiviteter,0))&amp;""&lt;&gt;"",ISERROR(SEARCH(INDEX(AktRolle,MATCH(C2172,Aktiviteter,0))&amp;"",INDEX(TekRoller,MATCH(B2172,Teknikere,0))))),"Mangler rollen "&amp;INDEX(AktRolle,MATCH(C2172,Aktiviteter,0))&amp;"",IF(AND(C2172="LMS",F2172&gt;0,OR(D2172="",E2172="")),"Mangler maskin eller arbeid",IF(AND(OR(C2172="LMS",C2172="Mod"),D2172&lt;&gt;""),IF(IFERROR(INDEX(MaskinStatus,MATCH(D2172,Maskiner,0)),"")="I dokk","","Maskinen er ikke i dokk"),""))))))</f>
        <v/>
      </c>
      <c r="L2172" s="2">
        <f>IF(B2172="","",IFERROR(INT((MATCH(B2172,Teknikere,0)-1)/18)+1,""))</f>
        <v/>
      </c>
      <c r="M2172" s="2">
        <f>IF(OR(A2172="",B2172=""),"",B2172&amp;"|"&amp;A2172)</f>
        <v/>
      </c>
      <c r="N2172" s="2">
        <f>IF(M2172="","",SUMIFS(TF_Timer,TF_Nokkel,M2172,TF_Akt,C2172))</f>
        <v/>
      </c>
      <c r="O2172" s="2">
        <f>IF(M2172="","",IF(AND(N2172=_xlfn.MAXIFS(TF_AktSum,TF_Nokkel,M2172),COUNTIFS(M$3:M2171,M2172,N$3:N2171,N2172)=0),M2172,""))</f>
        <v/>
      </c>
    </row>
    <row r="2173">
      <c r="A2173" s="34" t="n"/>
      <c r="B2173" s="35" t="n"/>
      <c r="C2173" s="35" t="n"/>
      <c r="D2173" s="35" t="n"/>
      <c r="E2173" s="35" t="n"/>
      <c r="F2173" s="36" t="n"/>
      <c r="G2173" s="35" t="n"/>
      <c r="H2173" s="30">
        <f>IF(L2173="","",INDEX(SkiftNavn,L2173))</f>
        <v/>
      </c>
      <c r="I2173" s="30">
        <f>IF(OR(A2173="",L2173=""),"",IF(MOD(A2173-INDEX(SkiftStart,L2173),Syklus)&lt;DagK,"Kveld",IF(MOD(A2173-INDEX(SkiftStart,L2173),Syklus)&lt;DagK+DagH,"Helg",IF(MOD(A2173-INDEX(SkiftStart,L2173),Syklus)&lt;DagK+DagH+DagD,"Dag","Fri"))))</f>
        <v/>
      </c>
      <c r="J2173" s="30">
        <f>IF(I2173="Fri","Ja","")</f>
        <v/>
      </c>
      <c r="K2173" s="30">
        <f>IF(B2173="","",IF(L2173="","Ukjent tekniker",IF(ISNA(MATCH(C2173,Aktiviteter,0)),"Ukjent aktivitet",IF(AND(INDEX(AktRolle,MATCH(C2173,Aktiviteter,0))&amp;""&lt;&gt;"",ISERROR(SEARCH(INDEX(AktRolle,MATCH(C2173,Aktiviteter,0))&amp;"",INDEX(TekRoller,MATCH(B2173,Teknikere,0))))),"Mangler rollen "&amp;INDEX(AktRolle,MATCH(C2173,Aktiviteter,0))&amp;"",IF(AND(C2173="LMS",F2173&gt;0,OR(D2173="",E2173="")),"Mangler maskin eller arbeid",IF(AND(OR(C2173="LMS",C2173="Mod"),D2173&lt;&gt;""),IF(IFERROR(INDEX(MaskinStatus,MATCH(D2173,Maskiner,0)),"")="I dokk","","Maskinen er ikke i dokk"),""))))))</f>
        <v/>
      </c>
      <c r="L2173" s="2">
        <f>IF(B2173="","",IFERROR(INT((MATCH(B2173,Teknikere,0)-1)/18)+1,""))</f>
        <v/>
      </c>
      <c r="M2173" s="2">
        <f>IF(OR(A2173="",B2173=""),"",B2173&amp;"|"&amp;A2173)</f>
        <v/>
      </c>
      <c r="N2173" s="2">
        <f>IF(M2173="","",SUMIFS(TF_Timer,TF_Nokkel,M2173,TF_Akt,C2173))</f>
        <v/>
      </c>
      <c r="O2173" s="2">
        <f>IF(M2173="","",IF(AND(N2173=_xlfn.MAXIFS(TF_AktSum,TF_Nokkel,M2173),COUNTIFS(M$3:M2172,M2173,N$3:N2172,N2173)=0),M2173,""))</f>
        <v/>
      </c>
    </row>
    <row r="2174">
      <c r="A2174" s="34" t="n"/>
      <c r="B2174" s="35" t="n"/>
      <c r="C2174" s="35" t="n"/>
      <c r="D2174" s="35" t="n"/>
      <c r="E2174" s="35" t="n"/>
      <c r="F2174" s="36" t="n"/>
      <c r="G2174" s="35" t="n"/>
      <c r="H2174" s="30">
        <f>IF(L2174="","",INDEX(SkiftNavn,L2174))</f>
        <v/>
      </c>
      <c r="I2174" s="30">
        <f>IF(OR(A2174="",L2174=""),"",IF(MOD(A2174-INDEX(SkiftStart,L2174),Syklus)&lt;DagK,"Kveld",IF(MOD(A2174-INDEX(SkiftStart,L2174),Syklus)&lt;DagK+DagH,"Helg",IF(MOD(A2174-INDEX(SkiftStart,L2174),Syklus)&lt;DagK+DagH+DagD,"Dag","Fri"))))</f>
        <v/>
      </c>
      <c r="J2174" s="30">
        <f>IF(I2174="Fri","Ja","")</f>
        <v/>
      </c>
      <c r="K2174" s="30">
        <f>IF(B2174="","",IF(L2174="","Ukjent tekniker",IF(ISNA(MATCH(C2174,Aktiviteter,0)),"Ukjent aktivitet",IF(AND(INDEX(AktRolle,MATCH(C2174,Aktiviteter,0))&amp;""&lt;&gt;"",ISERROR(SEARCH(INDEX(AktRolle,MATCH(C2174,Aktiviteter,0))&amp;"",INDEX(TekRoller,MATCH(B2174,Teknikere,0))))),"Mangler rollen "&amp;INDEX(AktRolle,MATCH(C2174,Aktiviteter,0))&amp;"",IF(AND(C2174="LMS",F2174&gt;0,OR(D2174="",E2174="")),"Mangler maskin eller arbeid",IF(AND(OR(C2174="LMS",C2174="Mod"),D2174&lt;&gt;""),IF(IFERROR(INDEX(MaskinStatus,MATCH(D2174,Maskiner,0)),"")="I dokk","","Maskinen er ikke i dokk"),""))))))</f>
        <v/>
      </c>
      <c r="L2174" s="2">
        <f>IF(B2174="","",IFERROR(INT((MATCH(B2174,Teknikere,0)-1)/18)+1,""))</f>
        <v/>
      </c>
      <c r="M2174" s="2">
        <f>IF(OR(A2174="",B2174=""),"",B2174&amp;"|"&amp;A2174)</f>
        <v/>
      </c>
      <c r="N2174" s="2">
        <f>IF(M2174="","",SUMIFS(TF_Timer,TF_Nokkel,M2174,TF_Akt,C2174))</f>
        <v/>
      </c>
      <c r="O2174" s="2">
        <f>IF(M2174="","",IF(AND(N2174=_xlfn.MAXIFS(TF_AktSum,TF_Nokkel,M2174),COUNTIFS(M$3:M2173,M2174,N$3:N2173,N2174)=0),M2174,""))</f>
        <v/>
      </c>
    </row>
    <row r="2175">
      <c r="A2175" s="34" t="n"/>
      <c r="B2175" s="35" t="n"/>
      <c r="C2175" s="35" t="n"/>
      <c r="D2175" s="35" t="n"/>
      <c r="E2175" s="35" t="n"/>
      <c r="F2175" s="36" t="n"/>
      <c r="G2175" s="35" t="n"/>
      <c r="H2175" s="30">
        <f>IF(L2175="","",INDEX(SkiftNavn,L2175))</f>
        <v/>
      </c>
      <c r="I2175" s="30">
        <f>IF(OR(A2175="",L2175=""),"",IF(MOD(A2175-INDEX(SkiftStart,L2175),Syklus)&lt;DagK,"Kveld",IF(MOD(A2175-INDEX(SkiftStart,L2175),Syklus)&lt;DagK+DagH,"Helg",IF(MOD(A2175-INDEX(SkiftStart,L2175),Syklus)&lt;DagK+DagH+DagD,"Dag","Fri"))))</f>
        <v/>
      </c>
      <c r="J2175" s="30">
        <f>IF(I2175="Fri","Ja","")</f>
        <v/>
      </c>
      <c r="K2175" s="30">
        <f>IF(B2175="","",IF(L2175="","Ukjent tekniker",IF(ISNA(MATCH(C2175,Aktiviteter,0)),"Ukjent aktivitet",IF(AND(INDEX(AktRolle,MATCH(C2175,Aktiviteter,0))&amp;""&lt;&gt;"",ISERROR(SEARCH(INDEX(AktRolle,MATCH(C2175,Aktiviteter,0))&amp;"",INDEX(TekRoller,MATCH(B2175,Teknikere,0))))),"Mangler rollen "&amp;INDEX(AktRolle,MATCH(C2175,Aktiviteter,0))&amp;"",IF(AND(C2175="LMS",F2175&gt;0,OR(D2175="",E2175="")),"Mangler maskin eller arbeid",IF(AND(OR(C2175="LMS",C2175="Mod"),D2175&lt;&gt;""),IF(IFERROR(INDEX(MaskinStatus,MATCH(D2175,Maskiner,0)),"")="I dokk","","Maskinen er ikke i dokk"),""))))))</f>
        <v/>
      </c>
      <c r="L2175" s="2">
        <f>IF(B2175="","",IFERROR(INT((MATCH(B2175,Teknikere,0)-1)/18)+1,""))</f>
        <v/>
      </c>
      <c r="M2175" s="2">
        <f>IF(OR(A2175="",B2175=""),"",B2175&amp;"|"&amp;A2175)</f>
        <v/>
      </c>
      <c r="N2175" s="2">
        <f>IF(M2175="","",SUMIFS(TF_Timer,TF_Nokkel,M2175,TF_Akt,C2175))</f>
        <v/>
      </c>
      <c r="O2175" s="2">
        <f>IF(M2175="","",IF(AND(N2175=_xlfn.MAXIFS(TF_AktSum,TF_Nokkel,M2175),COUNTIFS(M$3:M2174,M2175,N$3:N2174,N2175)=0),M2175,""))</f>
        <v/>
      </c>
    </row>
    <row r="2176">
      <c r="A2176" s="34" t="n"/>
      <c r="B2176" s="35" t="n"/>
      <c r="C2176" s="35" t="n"/>
      <c r="D2176" s="35" t="n"/>
      <c r="E2176" s="35" t="n"/>
      <c r="F2176" s="36" t="n"/>
      <c r="G2176" s="35" t="n"/>
      <c r="H2176" s="30">
        <f>IF(L2176="","",INDEX(SkiftNavn,L2176))</f>
        <v/>
      </c>
      <c r="I2176" s="30">
        <f>IF(OR(A2176="",L2176=""),"",IF(MOD(A2176-INDEX(SkiftStart,L2176),Syklus)&lt;DagK,"Kveld",IF(MOD(A2176-INDEX(SkiftStart,L2176),Syklus)&lt;DagK+DagH,"Helg",IF(MOD(A2176-INDEX(SkiftStart,L2176),Syklus)&lt;DagK+DagH+DagD,"Dag","Fri"))))</f>
        <v/>
      </c>
      <c r="J2176" s="30">
        <f>IF(I2176="Fri","Ja","")</f>
        <v/>
      </c>
      <c r="K2176" s="30">
        <f>IF(B2176="","",IF(L2176="","Ukjent tekniker",IF(ISNA(MATCH(C2176,Aktiviteter,0)),"Ukjent aktivitet",IF(AND(INDEX(AktRolle,MATCH(C2176,Aktiviteter,0))&amp;""&lt;&gt;"",ISERROR(SEARCH(INDEX(AktRolle,MATCH(C2176,Aktiviteter,0))&amp;"",INDEX(TekRoller,MATCH(B2176,Teknikere,0))))),"Mangler rollen "&amp;INDEX(AktRolle,MATCH(C2176,Aktiviteter,0))&amp;"",IF(AND(C2176="LMS",F2176&gt;0,OR(D2176="",E2176="")),"Mangler maskin eller arbeid",IF(AND(OR(C2176="LMS",C2176="Mod"),D2176&lt;&gt;""),IF(IFERROR(INDEX(MaskinStatus,MATCH(D2176,Maskiner,0)),"")="I dokk","","Maskinen er ikke i dokk"),""))))))</f>
        <v/>
      </c>
      <c r="L2176" s="2">
        <f>IF(B2176="","",IFERROR(INT((MATCH(B2176,Teknikere,0)-1)/18)+1,""))</f>
        <v/>
      </c>
      <c r="M2176" s="2">
        <f>IF(OR(A2176="",B2176=""),"",B2176&amp;"|"&amp;A2176)</f>
        <v/>
      </c>
      <c r="N2176" s="2">
        <f>IF(M2176="","",SUMIFS(TF_Timer,TF_Nokkel,M2176,TF_Akt,C2176))</f>
        <v/>
      </c>
      <c r="O2176" s="2">
        <f>IF(M2176="","",IF(AND(N2176=_xlfn.MAXIFS(TF_AktSum,TF_Nokkel,M2176),COUNTIFS(M$3:M2175,M2176,N$3:N2175,N2176)=0),M2176,""))</f>
        <v/>
      </c>
    </row>
    <row r="2177">
      <c r="A2177" s="34" t="n"/>
      <c r="B2177" s="35" t="n"/>
      <c r="C2177" s="35" t="n"/>
      <c r="D2177" s="35" t="n"/>
      <c r="E2177" s="35" t="n"/>
      <c r="F2177" s="36" t="n"/>
      <c r="G2177" s="35" t="n"/>
      <c r="H2177" s="30">
        <f>IF(L2177="","",INDEX(SkiftNavn,L2177))</f>
        <v/>
      </c>
      <c r="I2177" s="30">
        <f>IF(OR(A2177="",L2177=""),"",IF(MOD(A2177-INDEX(SkiftStart,L2177),Syklus)&lt;DagK,"Kveld",IF(MOD(A2177-INDEX(SkiftStart,L2177),Syklus)&lt;DagK+DagH,"Helg",IF(MOD(A2177-INDEX(SkiftStart,L2177),Syklus)&lt;DagK+DagH+DagD,"Dag","Fri"))))</f>
        <v/>
      </c>
      <c r="J2177" s="30">
        <f>IF(I2177="Fri","Ja","")</f>
        <v/>
      </c>
      <c r="K2177" s="30">
        <f>IF(B2177="","",IF(L2177="","Ukjent tekniker",IF(ISNA(MATCH(C2177,Aktiviteter,0)),"Ukjent aktivitet",IF(AND(INDEX(AktRolle,MATCH(C2177,Aktiviteter,0))&amp;""&lt;&gt;"",ISERROR(SEARCH(INDEX(AktRolle,MATCH(C2177,Aktiviteter,0))&amp;"",INDEX(TekRoller,MATCH(B2177,Teknikere,0))))),"Mangler rollen "&amp;INDEX(AktRolle,MATCH(C2177,Aktiviteter,0))&amp;"",IF(AND(C2177="LMS",F2177&gt;0,OR(D2177="",E2177="")),"Mangler maskin eller arbeid",IF(AND(OR(C2177="LMS",C2177="Mod"),D2177&lt;&gt;""),IF(IFERROR(INDEX(MaskinStatus,MATCH(D2177,Maskiner,0)),"")="I dokk","","Maskinen er ikke i dokk"),""))))))</f>
        <v/>
      </c>
      <c r="L2177" s="2">
        <f>IF(B2177="","",IFERROR(INT((MATCH(B2177,Teknikere,0)-1)/18)+1,""))</f>
        <v/>
      </c>
      <c r="M2177" s="2">
        <f>IF(OR(A2177="",B2177=""),"",B2177&amp;"|"&amp;A2177)</f>
        <v/>
      </c>
      <c r="N2177" s="2">
        <f>IF(M2177="","",SUMIFS(TF_Timer,TF_Nokkel,M2177,TF_Akt,C2177))</f>
        <v/>
      </c>
      <c r="O2177" s="2">
        <f>IF(M2177="","",IF(AND(N2177=_xlfn.MAXIFS(TF_AktSum,TF_Nokkel,M2177),COUNTIFS(M$3:M2176,M2177,N$3:N2176,N2177)=0),M2177,""))</f>
        <v/>
      </c>
    </row>
    <row r="2178">
      <c r="A2178" s="34" t="n"/>
      <c r="B2178" s="35" t="n"/>
      <c r="C2178" s="35" t="n"/>
      <c r="D2178" s="35" t="n"/>
      <c r="E2178" s="35" t="n"/>
      <c r="F2178" s="36" t="n"/>
      <c r="G2178" s="35" t="n"/>
      <c r="H2178" s="30">
        <f>IF(L2178="","",INDEX(SkiftNavn,L2178))</f>
        <v/>
      </c>
      <c r="I2178" s="30">
        <f>IF(OR(A2178="",L2178=""),"",IF(MOD(A2178-INDEX(SkiftStart,L2178),Syklus)&lt;DagK,"Kveld",IF(MOD(A2178-INDEX(SkiftStart,L2178),Syklus)&lt;DagK+DagH,"Helg",IF(MOD(A2178-INDEX(SkiftStart,L2178),Syklus)&lt;DagK+DagH+DagD,"Dag","Fri"))))</f>
        <v/>
      </c>
      <c r="J2178" s="30">
        <f>IF(I2178="Fri","Ja","")</f>
        <v/>
      </c>
      <c r="K2178" s="30">
        <f>IF(B2178="","",IF(L2178="","Ukjent tekniker",IF(ISNA(MATCH(C2178,Aktiviteter,0)),"Ukjent aktivitet",IF(AND(INDEX(AktRolle,MATCH(C2178,Aktiviteter,0))&amp;""&lt;&gt;"",ISERROR(SEARCH(INDEX(AktRolle,MATCH(C2178,Aktiviteter,0))&amp;"",INDEX(TekRoller,MATCH(B2178,Teknikere,0))))),"Mangler rollen "&amp;INDEX(AktRolle,MATCH(C2178,Aktiviteter,0))&amp;"",IF(AND(C2178="LMS",F2178&gt;0,OR(D2178="",E2178="")),"Mangler maskin eller arbeid",IF(AND(OR(C2178="LMS",C2178="Mod"),D2178&lt;&gt;""),IF(IFERROR(INDEX(MaskinStatus,MATCH(D2178,Maskiner,0)),"")="I dokk","","Maskinen er ikke i dokk"),""))))))</f>
        <v/>
      </c>
      <c r="L2178" s="2">
        <f>IF(B2178="","",IFERROR(INT((MATCH(B2178,Teknikere,0)-1)/18)+1,""))</f>
        <v/>
      </c>
      <c r="M2178" s="2">
        <f>IF(OR(A2178="",B2178=""),"",B2178&amp;"|"&amp;A2178)</f>
        <v/>
      </c>
      <c r="N2178" s="2">
        <f>IF(M2178="","",SUMIFS(TF_Timer,TF_Nokkel,M2178,TF_Akt,C2178))</f>
        <v/>
      </c>
      <c r="O2178" s="2">
        <f>IF(M2178="","",IF(AND(N2178=_xlfn.MAXIFS(TF_AktSum,TF_Nokkel,M2178),COUNTIFS(M$3:M2177,M2178,N$3:N2177,N2178)=0),M2178,""))</f>
        <v/>
      </c>
    </row>
    <row r="2179">
      <c r="A2179" s="34" t="n"/>
      <c r="B2179" s="35" t="n"/>
      <c r="C2179" s="35" t="n"/>
      <c r="D2179" s="35" t="n"/>
      <c r="E2179" s="35" t="n"/>
      <c r="F2179" s="36" t="n"/>
      <c r="G2179" s="35" t="n"/>
      <c r="H2179" s="30">
        <f>IF(L2179="","",INDEX(SkiftNavn,L2179))</f>
        <v/>
      </c>
      <c r="I2179" s="30">
        <f>IF(OR(A2179="",L2179=""),"",IF(MOD(A2179-INDEX(SkiftStart,L2179),Syklus)&lt;DagK,"Kveld",IF(MOD(A2179-INDEX(SkiftStart,L2179),Syklus)&lt;DagK+DagH,"Helg",IF(MOD(A2179-INDEX(SkiftStart,L2179),Syklus)&lt;DagK+DagH+DagD,"Dag","Fri"))))</f>
        <v/>
      </c>
      <c r="J2179" s="30">
        <f>IF(I2179="Fri","Ja","")</f>
        <v/>
      </c>
      <c r="K2179" s="30">
        <f>IF(B2179="","",IF(L2179="","Ukjent tekniker",IF(ISNA(MATCH(C2179,Aktiviteter,0)),"Ukjent aktivitet",IF(AND(INDEX(AktRolle,MATCH(C2179,Aktiviteter,0))&amp;""&lt;&gt;"",ISERROR(SEARCH(INDEX(AktRolle,MATCH(C2179,Aktiviteter,0))&amp;"",INDEX(TekRoller,MATCH(B2179,Teknikere,0))))),"Mangler rollen "&amp;INDEX(AktRolle,MATCH(C2179,Aktiviteter,0))&amp;"",IF(AND(C2179="LMS",F2179&gt;0,OR(D2179="",E2179="")),"Mangler maskin eller arbeid",IF(AND(OR(C2179="LMS",C2179="Mod"),D2179&lt;&gt;""),IF(IFERROR(INDEX(MaskinStatus,MATCH(D2179,Maskiner,0)),"")="I dokk","","Maskinen er ikke i dokk"),""))))))</f>
        <v/>
      </c>
      <c r="L2179" s="2">
        <f>IF(B2179="","",IFERROR(INT((MATCH(B2179,Teknikere,0)-1)/18)+1,""))</f>
        <v/>
      </c>
      <c r="M2179" s="2">
        <f>IF(OR(A2179="",B2179=""),"",B2179&amp;"|"&amp;A2179)</f>
        <v/>
      </c>
      <c r="N2179" s="2">
        <f>IF(M2179="","",SUMIFS(TF_Timer,TF_Nokkel,M2179,TF_Akt,C2179))</f>
        <v/>
      </c>
      <c r="O2179" s="2">
        <f>IF(M2179="","",IF(AND(N2179=_xlfn.MAXIFS(TF_AktSum,TF_Nokkel,M2179),COUNTIFS(M$3:M2178,M2179,N$3:N2178,N2179)=0),M2179,""))</f>
        <v/>
      </c>
    </row>
    <row r="2180">
      <c r="A2180" s="34" t="n"/>
      <c r="B2180" s="35" t="n"/>
      <c r="C2180" s="35" t="n"/>
      <c r="D2180" s="35" t="n"/>
      <c r="E2180" s="35" t="n"/>
      <c r="F2180" s="36" t="n"/>
      <c r="G2180" s="35" t="n"/>
      <c r="H2180" s="30">
        <f>IF(L2180="","",INDEX(SkiftNavn,L2180))</f>
        <v/>
      </c>
      <c r="I2180" s="30">
        <f>IF(OR(A2180="",L2180=""),"",IF(MOD(A2180-INDEX(SkiftStart,L2180),Syklus)&lt;DagK,"Kveld",IF(MOD(A2180-INDEX(SkiftStart,L2180),Syklus)&lt;DagK+DagH,"Helg",IF(MOD(A2180-INDEX(SkiftStart,L2180),Syklus)&lt;DagK+DagH+DagD,"Dag","Fri"))))</f>
        <v/>
      </c>
      <c r="J2180" s="30">
        <f>IF(I2180="Fri","Ja","")</f>
        <v/>
      </c>
      <c r="K2180" s="30">
        <f>IF(B2180="","",IF(L2180="","Ukjent tekniker",IF(ISNA(MATCH(C2180,Aktiviteter,0)),"Ukjent aktivitet",IF(AND(INDEX(AktRolle,MATCH(C2180,Aktiviteter,0))&amp;""&lt;&gt;"",ISERROR(SEARCH(INDEX(AktRolle,MATCH(C2180,Aktiviteter,0))&amp;"",INDEX(TekRoller,MATCH(B2180,Teknikere,0))))),"Mangler rollen "&amp;INDEX(AktRolle,MATCH(C2180,Aktiviteter,0))&amp;"",IF(AND(C2180="LMS",F2180&gt;0,OR(D2180="",E2180="")),"Mangler maskin eller arbeid",IF(AND(OR(C2180="LMS",C2180="Mod"),D2180&lt;&gt;""),IF(IFERROR(INDEX(MaskinStatus,MATCH(D2180,Maskiner,0)),"")="I dokk","","Maskinen er ikke i dokk"),""))))))</f>
        <v/>
      </c>
      <c r="L2180" s="2">
        <f>IF(B2180="","",IFERROR(INT((MATCH(B2180,Teknikere,0)-1)/18)+1,""))</f>
        <v/>
      </c>
      <c r="M2180" s="2">
        <f>IF(OR(A2180="",B2180=""),"",B2180&amp;"|"&amp;A2180)</f>
        <v/>
      </c>
      <c r="N2180" s="2">
        <f>IF(M2180="","",SUMIFS(TF_Timer,TF_Nokkel,M2180,TF_Akt,C2180))</f>
        <v/>
      </c>
      <c r="O2180" s="2">
        <f>IF(M2180="","",IF(AND(N2180=_xlfn.MAXIFS(TF_AktSum,TF_Nokkel,M2180),COUNTIFS(M$3:M2179,M2180,N$3:N2179,N2180)=0),M2180,""))</f>
        <v/>
      </c>
    </row>
    <row r="2181">
      <c r="A2181" s="34" t="n"/>
      <c r="B2181" s="35" t="n"/>
      <c r="C2181" s="35" t="n"/>
      <c r="D2181" s="35" t="n"/>
      <c r="E2181" s="35" t="n"/>
      <c r="F2181" s="36" t="n"/>
      <c r="G2181" s="35" t="n"/>
      <c r="H2181" s="30">
        <f>IF(L2181="","",INDEX(SkiftNavn,L2181))</f>
        <v/>
      </c>
      <c r="I2181" s="30">
        <f>IF(OR(A2181="",L2181=""),"",IF(MOD(A2181-INDEX(SkiftStart,L2181),Syklus)&lt;DagK,"Kveld",IF(MOD(A2181-INDEX(SkiftStart,L2181),Syklus)&lt;DagK+DagH,"Helg",IF(MOD(A2181-INDEX(SkiftStart,L2181),Syklus)&lt;DagK+DagH+DagD,"Dag","Fri"))))</f>
        <v/>
      </c>
      <c r="J2181" s="30">
        <f>IF(I2181="Fri","Ja","")</f>
        <v/>
      </c>
      <c r="K2181" s="30">
        <f>IF(B2181="","",IF(L2181="","Ukjent tekniker",IF(ISNA(MATCH(C2181,Aktiviteter,0)),"Ukjent aktivitet",IF(AND(INDEX(AktRolle,MATCH(C2181,Aktiviteter,0))&amp;""&lt;&gt;"",ISERROR(SEARCH(INDEX(AktRolle,MATCH(C2181,Aktiviteter,0))&amp;"",INDEX(TekRoller,MATCH(B2181,Teknikere,0))))),"Mangler rollen "&amp;INDEX(AktRolle,MATCH(C2181,Aktiviteter,0))&amp;"",IF(AND(C2181="LMS",F2181&gt;0,OR(D2181="",E2181="")),"Mangler maskin eller arbeid",IF(AND(OR(C2181="LMS",C2181="Mod"),D2181&lt;&gt;""),IF(IFERROR(INDEX(MaskinStatus,MATCH(D2181,Maskiner,0)),"")="I dokk","","Maskinen er ikke i dokk"),""))))))</f>
        <v/>
      </c>
      <c r="L2181" s="2">
        <f>IF(B2181="","",IFERROR(INT((MATCH(B2181,Teknikere,0)-1)/18)+1,""))</f>
        <v/>
      </c>
      <c r="M2181" s="2">
        <f>IF(OR(A2181="",B2181=""),"",B2181&amp;"|"&amp;A2181)</f>
        <v/>
      </c>
      <c r="N2181" s="2">
        <f>IF(M2181="","",SUMIFS(TF_Timer,TF_Nokkel,M2181,TF_Akt,C2181))</f>
        <v/>
      </c>
      <c r="O2181" s="2">
        <f>IF(M2181="","",IF(AND(N2181=_xlfn.MAXIFS(TF_AktSum,TF_Nokkel,M2181),COUNTIFS(M$3:M2180,M2181,N$3:N2180,N2181)=0),M2181,""))</f>
        <v/>
      </c>
    </row>
    <row r="2182">
      <c r="A2182" s="34" t="n"/>
      <c r="B2182" s="35" t="n"/>
      <c r="C2182" s="35" t="n"/>
      <c r="D2182" s="35" t="n"/>
      <c r="E2182" s="35" t="n"/>
      <c r="F2182" s="36" t="n"/>
      <c r="G2182" s="35" t="n"/>
      <c r="H2182" s="30">
        <f>IF(L2182="","",INDEX(SkiftNavn,L2182))</f>
        <v/>
      </c>
      <c r="I2182" s="30">
        <f>IF(OR(A2182="",L2182=""),"",IF(MOD(A2182-INDEX(SkiftStart,L2182),Syklus)&lt;DagK,"Kveld",IF(MOD(A2182-INDEX(SkiftStart,L2182),Syklus)&lt;DagK+DagH,"Helg",IF(MOD(A2182-INDEX(SkiftStart,L2182),Syklus)&lt;DagK+DagH+DagD,"Dag","Fri"))))</f>
        <v/>
      </c>
      <c r="J2182" s="30">
        <f>IF(I2182="Fri","Ja","")</f>
        <v/>
      </c>
      <c r="K2182" s="30">
        <f>IF(B2182="","",IF(L2182="","Ukjent tekniker",IF(ISNA(MATCH(C2182,Aktiviteter,0)),"Ukjent aktivitet",IF(AND(INDEX(AktRolle,MATCH(C2182,Aktiviteter,0))&amp;""&lt;&gt;"",ISERROR(SEARCH(INDEX(AktRolle,MATCH(C2182,Aktiviteter,0))&amp;"",INDEX(TekRoller,MATCH(B2182,Teknikere,0))))),"Mangler rollen "&amp;INDEX(AktRolle,MATCH(C2182,Aktiviteter,0))&amp;"",IF(AND(C2182="LMS",F2182&gt;0,OR(D2182="",E2182="")),"Mangler maskin eller arbeid",IF(AND(OR(C2182="LMS",C2182="Mod"),D2182&lt;&gt;""),IF(IFERROR(INDEX(MaskinStatus,MATCH(D2182,Maskiner,0)),"")="I dokk","","Maskinen er ikke i dokk"),""))))))</f>
        <v/>
      </c>
      <c r="L2182" s="2">
        <f>IF(B2182="","",IFERROR(INT((MATCH(B2182,Teknikere,0)-1)/18)+1,""))</f>
        <v/>
      </c>
      <c r="M2182" s="2">
        <f>IF(OR(A2182="",B2182=""),"",B2182&amp;"|"&amp;A2182)</f>
        <v/>
      </c>
      <c r="N2182" s="2">
        <f>IF(M2182="","",SUMIFS(TF_Timer,TF_Nokkel,M2182,TF_Akt,C2182))</f>
        <v/>
      </c>
      <c r="O2182" s="2">
        <f>IF(M2182="","",IF(AND(N2182=_xlfn.MAXIFS(TF_AktSum,TF_Nokkel,M2182),COUNTIFS(M$3:M2181,M2182,N$3:N2181,N2182)=0),M2182,""))</f>
        <v/>
      </c>
    </row>
    <row r="2183">
      <c r="A2183" s="34" t="n"/>
      <c r="B2183" s="35" t="n"/>
      <c r="C2183" s="35" t="n"/>
      <c r="D2183" s="35" t="n"/>
      <c r="E2183" s="35" t="n"/>
      <c r="F2183" s="36" t="n"/>
      <c r="G2183" s="35" t="n"/>
      <c r="H2183" s="30">
        <f>IF(L2183="","",INDEX(SkiftNavn,L2183))</f>
        <v/>
      </c>
      <c r="I2183" s="30">
        <f>IF(OR(A2183="",L2183=""),"",IF(MOD(A2183-INDEX(SkiftStart,L2183),Syklus)&lt;DagK,"Kveld",IF(MOD(A2183-INDEX(SkiftStart,L2183),Syklus)&lt;DagK+DagH,"Helg",IF(MOD(A2183-INDEX(SkiftStart,L2183),Syklus)&lt;DagK+DagH+DagD,"Dag","Fri"))))</f>
        <v/>
      </c>
      <c r="J2183" s="30">
        <f>IF(I2183="Fri","Ja","")</f>
        <v/>
      </c>
      <c r="K2183" s="30">
        <f>IF(B2183="","",IF(L2183="","Ukjent tekniker",IF(ISNA(MATCH(C2183,Aktiviteter,0)),"Ukjent aktivitet",IF(AND(INDEX(AktRolle,MATCH(C2183,Aktiviteter,0))&amp;""&lt;&gt;"",ISERROR(SEARCH(INDEX(AktRolle,MATCH(C2183,Aktiviteter,0))&amp;"",INDEX(TekRoller,MATCH(B2183,Teknikere,0))))),"Mangler rollen "&amp;INDEX(AktRolle,MATCH(C2183,Aktiviteter,0))&amp;"",IF(AND(C2183="LMS",F2183&gt;0,OR(D2183="",E2183="")),"Mangler maskin eller arbeid",IF(AND(OR(C2183="LMS",C2183="Mod"),D2183&lt;&gt;""),IF(IFERROR(INDEX(MaskinStatus,MATCH(D2183,Maskiner,0)),"")="I dokk","","Maskinen er ikke i dokk"),""))))))</f>
        <v/>
      </c>
      <c r="L2183" s="2">
        <f>IF(B2183="","",IFERROR(INT((MATCH(B2183,Teknikere,0)-1)/18)+1,""))</f>
        <v/>
      </c>
      <c r="M2183" s="2">
        <f>IF(OR(A2183="",B2183=""),"",B2183&amp;"|"&amp;A2183)</f>
        <v/>
      </c>
      <c r="N2183" s="2">
        <f>IF(M2183="","",SUMIFS(TF_Timer,TF_Nokkel,M2183,TF_Akt,C2183))</f>
        <v/>
      </c>
      <c r="O2183" s="2">
        <f>IF(M2183="","",IF(AND(N2183=_xlfn.MAXIFS(TF_AktSum,TF_Nokkel,M2183),COUNTIFS(M$3:M2182,M2183,N$3:N2182,N2183)=0),M2183,""))</f>
        <v/>
      </c>
    </row>
    <row r="2184">
      <c r="A2184" s="34" t="n"/>
      <c r="B2184" s="35" t="n"/>
      <c r="C2184" s="35" t="n"/>
      <c r="D2184" s="35" t="n"/>
      <c r="E2184" s="35" t="n"/>
      <c r="F2184" s="36" t="n"/>
      <c r="G2184" s="35" t="n"/>
      <c r="H2184" s="30">
        <f>IF(L2184="","",INDEX(SkiftNavn,L2184))</f>
        <v/>
      </c>
      <c r="I2184" s="30">
        <f>IF(OR(A2184="",L2184=""),"",IF(MOD(A2184-INDEX(SkiftStart,L2184),Syklus)&lt;DagK,"Kveld",IF(MOD(A2184-INDEX(SkiftStart,L2184),Syklus)&lt;DagK+DagH,"Helg",IF(MOD(A2184-INDEX(SkiftStart,L2184),Syklus)&lt;DagK+DagH+DagD,"Dag","Fri"))))</f>
        <v/>
      </c>
      <c r="J2184" s="30">
        <f>IF(I2184="Fri","Ja","")</f>
        <v/>
      </c>
      <c r="K2184" s="30">
        <f>IF(B2184="","",IF(L2184="","Ukjent tekniker",IF(ISNA(MATCH(C2184,Aktiviteter,0)),"Ukjent aktivitet",IF(AND(INDEX(AktRolle,MATCH(C2184,Aktiviteter,0))&amp;""&lt;&gt;"",ISERROR(SEARCH(INDEX(AktRolle,MATCH(C2184,Aktiviteter,0))&amp;"",INDEX(TekRoller,MATCH(B2184,Teknikere,0))))),"Mangler rollen "&amp;INDEX(AktRolle,MATCH(C2184,Aktiviteter,0))&amp;"",IF(AND(C2184="LMS",F2184&gt;0,OR(D2184="",E2184="")),"Mangler maskin eller arbeid",IF(AND(OR(C2184="LMS",C2184="Mod"),D2184&lt;&gt;""),IF(IFERROR(INDEX(MaskinStatus,MATCH(D2184,Maskiner,0)),"")="I dokk","","Maskinen er ikke i dokk"),""))))))</f>
        <v/>
      </c>
      <c r="L2184" s="2">
        <f>IF(B2184="","",IFERROR(INT((MATCH(B2184,Teknikere,0)-1)/18)+1,""))</f>
        <v/>
      </c>
      <c r="M2184" s="2">
        <f>IF(OR(A2184="",B2184=""),"",B2184&amp;"|"&amp;A2184)</f>
        <v/>
      </c>
      <c r="N2184" s="2">
        <f>IF(M2184="","",SUMIFS(TF_Timer,TF_Nokkel,M2184,TF_Akt,C2184))</f>
        <v/>
      </c>
      <c r="O2184" s="2">
        <f>IF(M2184="","",IF(AND(N2184=_xlfn.MAXIFS(TF_AktSum,TF_Nokkel,M2184),COUNTIFS(M$3:M2183,M2184,N$3:N2183,N2184)=0),M2184,""))</f>
        <v/>
      </c>
    </row>
    <row r="2185">
      <c r="A2185" s="34" t="n"/>
      <c r="B2185" s="35" t="n"/>
      <c r="C2185" s="35" t="n"/>
      <c r="D2185" s="35" t="n"/>
      <c r="E2185" s="35" t="n"/>
      <c r="F2185" s="36" t="n"/>
      <c r="G2185" s="35" t="n"/>
      <c r="H2185" s="30">
        <f>IF(L2185="","",INDEX(SkiftNavn,L2185))</f>
        <v/>
      </c>
      <c r="I2185" s="30">
        <f>IF(OR(A2185="",L2185=""),"",IF(MOD(A2185-INDEX(SkiftStart,L2185),Syklus)&lt;DagK,"Kveld",IF(MOD(A2185-INDEX(SkiftStart,L2185),Syklus)&lt;DagK+DagH,"Helg",IF(MOD(A2185-INDEX(SkiftStart,L2185),Syklus)&lt;DagK+DagH+DagD,"Dag","Fri"))))</f>
        <v/>
      </c>
      <c r="J2185" s="30">
        <f>IF(I2185="Fri","Ja","")</f>
        <v/>
      </c>
      <c r="K2185" s="30">
        <f>IF(B2185="","",IF(L2185="","Ukjent tekniker",IF(ISNA(MATCH(C2185,Aktiviteter,0)),"Ukjent aktivitet",IF(AND(INDEX(AktRolle,MATCH(C2185,Aktiviteter,0))&amp;""&lt;&gt;"",ISERROR(SEARCH(INDEX(AktRolle,MATCH(C2185,Aktiviteter,0))&amp;"",INDEX(TekRoller,MATCH(B2185,Teknikere,0))))),"Mangler rollen "&amp;INDEX(AktRolle,MATCH(C2185,Aktiviteter,0))&amp;"",IF(AND(C2185="LMS",F2185&gt;0,OR(D2185="",E2185="")),"Mangler maskin eller arbeid",IF(AND(OR(C2185="LMS",C2185="Mod"),D2185&lt;&gt;""),IF(IFERROR(INDEX(MaskinStatus,MATCH(D2185,Maskiner,0)),"")="I dokk","","Maskinen er ikke i dokk"),""))))))</f>
        <v/>
      </c>
      <c r="L2185" s="2">
        <f>IF(B2185="","",IFERROR(INT((MATCH(B2185,Teknikere,0)-1)/18)+1,""))</f>
        <v/>
      </c>
      <c r="M2185" s="2">
        <f>IF(OR(A2185="",B2185=""),"",B2185&amp;"|"&amp;A2185)</f>
        <v/>
      </c>
      <c r="N2185" s="2">
        <f>IF(M2185="","",SUMIFS(TF_Timer,TF_Nokkel,M2185,TF_Akt,C2185))</f>
        <v/>
      </c>
      <c r="O2185" s="2">
        <f>IF(M2185="","",IF(AND(N2185=_xlfn.MAXIFS(TF_AktSum,TF_Nokkel,M2185),COUNTIFS(M$3:M2184,M2185,N$3:N2184,N2185)=0),M2185,""))</f>
        <v/>
      </c>
    </row>
    <row r="2186">
      <c r="A2186" s="34" t="n"/>
      <c r="B2186" s="35" t="n"/>
      <c r="C2186" s="35" t="n"/>
      <c r="D2186" s="35" t="n"/>
      <c r="E2186" s="35" t="n"/>
      <c r="F2186" s="36" t="n"/>
      <c r="G2186" s="35" t="n"/>
      <c r="H2186" s="30">
        <f>IF(L2186="","",INDEX(SkiftNavn,L2186))</f>
        <v/>
      </c>
      <c r="I2186" s="30">
        <f>IF(OR(A2186="",L2186=""),"",IF(MOD(A2186-INDEX(SkiftStart,L2186),Syklus)&lt;DagK,"Kveld",IF(MOD(A2186-INDEX(SkiftStart,L2186),Syklus)&lt;DagK+DagH,"Helg",IF(MOD(A2186-INDEX(SkiftStart,L2186),Syklus)&lt;DagK+DagH+DagD,"Dag","Fri"))))</f>
        <v/>
      </c>
      <c r="J2186" s="30">
        <f>IF(I2186="Fri","Ja","")</f>
        <v/>
      </c>
      <c r="K2186" s="30">
        <f>IF(B2186="","",IF(L2186="","Ukjent tekniker",IF(ISNA(MATCH(C2186,Aktiviteter,0)),"Ukjent aktivitet",IF(AND(INDEX(AktRolle,MATCH(C2186,Aktiviteter,0))&amp;""&lt;&gt;"",ISERROR(SEARCH(INDEX(AktRolle,MATCH(C2186,Aktiviteter,0))&amp;"",INDEX(TekRoller,MATCH(B2186,Teknikere,0))))),"Mangler rollen "&amp;INDEX(AktRolle,MATCH(C2186,Aktiviteter,0))&amp;"",IF(AND(C2186="LMS",F2186&gt;0,OR(D2186="",E2186="")),"Mangler maskin eller arbeid",IF(AND(OR(C2186="LMS",C2186="Mod"),D2186&lt;&gt;""),IF(IFERROR(INDEX(MaskinStatus,MATCH(D2186,Maskiner,0)),"")="I dokk","","Maskinen er ikke i dokk"),""))))))</f>
        <v/>
      </c>
      <c r="L2186" s="2">
        <f>IF(B2186="","",IFERROR(INT((MATCH(B2186,Teknikere,0)-1)/18)+1,""))</f>
        <v/>
      </c>
      <c r="M2186" s="2">
        <f>IF(OR(A2186="",B2186=""),"",B2186&amp;"|"&amp;A2186)</f>
        <v/>
      </c>
      <c r="N2186" s="2">
        <f>IF(M2186="","",SUMIFS(TF_Timer,TF_Nokkel,M2186,TF_Akt,C2186))</f>
        <v/>
      </c>
      <c r="O2186" s="2">
        <f>IF(M2186="","",IF(AND(N2186=_xlfn.MAXIFS(TF_AktSum,TF_Nokkel,M2186),COUNTIFS(M$3:M2185,M2186,N$3:N2185,N2186)=0),M2186,""))</f>
        <v/>
      </c>
    </row>
    <row r="2187">
      <c r="A2187" s="34" t="n"/>
      <c r="B2187" s="35" t="n"/>
      <c r="C2187" s="35" t="n"/>
      <c r="D2187" s="35" t="n"/>
      <c r="E2187" s="35" t="n"/>
      <c r="F2187" s="36" t="n"/>
      <c r="G2187" s="35" t="n"/>
      <c r="H2187" s="30">
        <f>IF(L2187="","",INDEX(SkiftNavn,L2187))</f>
        <v/>
      </c>
      <c r="I2187" s="30">
        <f>IF(OR(A2187="",L2187=""),"",IF(MOD(A2187-INDEX(SkiftStart,L2187),Syklus)&lt;DagK,"Kveld",IF(MOD(A2187-INDEX(SkiftStart,L2187),Syklus)&lt;DagK+DagH,"Helg",IF(MOD(A2187-INDEX(SkiftStart,L2187),Syklus)&lt;DagK+DagH+DagD,"Dag","Fri"))))</f>
        <v/>
      </c>
      <c r="J2187" s="30">
        <f>IF(I2187="Fri","Ja","")</f>
        <v/>
      </c>
      <c r="K2187" s="30">
        <f>IF(B2187="","",IF(L2187="","Ukjent tekniker",IF(ISNA(MATCH(C2187,Aktiviteter,0)),"Ukjent aktivitet",IF(AND(INDEX(AktRolle,MATCH(C2187,Aktiviteter,0))&amp;""&lt;&gt;"",ISERROR(SEARCH(INDEX(AktRolle,MATCH(C2187,Aktiviteter,0))&amp;"",INDEX(TekRoller,MATCH(B2187,Teknikere,0))))),"Mangler rollen "&amp;INDEX(AktRolle,MATCH(C2187,Aktiviteter,0))&amp;"",IF(AND(C2187="LMS",F2187&gt;0,OR(D2187="",E2187="")),"Mangler maskin eller arbeid",IF(AND(OR(C2187="LMS",C2187="Mod"),D2187&lt;&gt;""),IF(IFERROR(INDEX(MaskinStatus,MATCH(D2187,Maskiner,0)),"")="I dokk","","Maskinen er ikke i dokk"),""))))))</f>
        <v/>
      </c>
      <c r="L2187" s="2">
        <f>IF(B2187="","",IFERROR(INT((MATCH(B2187,Teknikere,0)-1)/18)+1,""))</f>
        <v/>
      </c>
      <c r="M2187" s="2">
        <f>IF(OR(A2187="",B2187=""),"",B2187&amp;"|"&amp;A2187)</f>
        <v/>
      </c>
      <c r="N2187" s="2">
        <f>IF(M2187="","",SUMIFS(TF_Timer,TF_Nokkel,M2187,TF_Akt,C2187))</f>
        <v/>
      </c>
      <c r="O2187" s="2">
        <f>IF(M2187="","",IF(AND(N2187=_xlfn.MAXIFS(TF_AktSum,TF_Nokkel,M2187),COUNTIFS(M$3:M2186,M2187,N$3:N2186,N2187)=0),M2187,""))</f>
        <v/>
      </c>
    </row>
    <row r="2188">
      <c r="A2188" s="34" t="n"/>
      <c r="B2188" s="35" t="n"/>
      <c r="C2188" s="35" t="n"/>
      <c r="D2188" s="35" t="n"/>
      <c r="E2188" s="35" t="n"/>
      <c r="F2188" s="36" t="n"/>
      <c r="G2188" s="35" t="n"/>
      <c r="H2188" s="30">
        <f>IF(L2188="","",INDEX(SkiftNavn,L2188))</f>
        <v/>
      </c>
      <c r="I2188" s="30">
        <f>IF(OR(A2188="",L2188=""),"",IF(MOD(A2188-INDEX(SkiftStart,L2188),Syklus)&lt;DagK,"Kveld",IF(MOD(A2188-INDEX(SkiftStart,L2188),Syklus)&lt;DagK+DagH,"Helg",IF(MOD(A2188-INDEX(SkiftStart,L2188),Syklus)&lt;DagK+DagH+DagD,"Dag","Fri"))))</f>
        <v/>
      </c>
      <c r="J2188" s="30">
        <f>IF(I2188="Fri","Ja","")</f>
        <v/>
      </c>
      <c r="K2188" s="30">
        <f>IF(B2188="","",IF(L2188="","Ukjent tekniker",IF(ISNA(MATCH(C2188,Aktiviteter,0)),"Ukjent aktivitet",IF(AND(INDEX(AktRolle,MATCH(C2188,Aktiviteter,0))&amp;""&lt;&gt;"",ISERROR(SEARCH(INDEX(AktRolle,MATCH(C2188,Aktiviteter,0))&amp;"",INDEX(TekRoller,MATCH(B2188,Teknikere,0))))),"Mangler rollen "&amp;INDEX(AktRolle,MATCH(C2188,Aktiviteter,0))&amp;"",IF(AND(C2188="LMS",F2188&gt;0,OR(D2188="",E2188="")),"Mangler maskin eller arbeid",IF(AND(OR(C2188="LMS",C2188="Mod"),D2188&lt;&gt;""),IF(IFERROR(INDEX(MaskinStatus,MATCH(D2188,Maskiner,0)),"")="I dokk","","Maskinen er ikke i dokk"),""))))))</f>
        <v/>
      </c>
      <c r="L2188" s="2">
        <f>IF(B2188="","",IFERROR(INT((MATCH(B2188,Teknikere,0)-1)/18)+1,""))</f>
        <v/>
      </c>
      <c r="M2188" s="2">
        <f>IF(OR(A2188="",B2188=""),"",B2188&amp;"|"&amp;A2188)</f>
        <v/>
      </c>
      <c r="N2188" s="2">
        <f>IF(M2188="","",SUMIFS(TF_Timer,TF_Nokkel,M2188,TF_Akt,C2188))</f>
        <v/>
      </c>
      <c r="O2188" s="2">
        <f>IF(M2188="","",IF(AND(N2188=_xlfn.MAXIFS(TF_AktSum,TF_Nokkel,M2188),COUNTIFS(M$3:M2187,M2188,N$3:N2187,N2188)=0),M2188,""))</f>
        <v/>
      </c>
    </row>
    <row r="2189">
      <c r="A2189" s="34" t="n"/>
      <c r="B2189" s="35" t="n"/>
      <c r="C2189" s="35" t="n"/>
      <c r="D2189" s="35" t="n"/>
      <c r="E2189" s="35" t="n"/>
      <c r="F2189" s="36" t="n"/>
      <c r="G2189" s="35" t="n"/>
      <c r="H2189" s="30">
        <f>IF(L2189="","",INDEX(SkiftNavn,L2189))</f>
        <v/>
      </c>
      <c r="I2189" s="30">
        <f>IF(OR(A2189="",L2189=""),"",IF(MOD(A2189-INDEX(SkiftStart,L2189),Syklus)&lt;DagK,"Kveld",IF(MOD(A2189-INDEX(SkiftStart,L2189),Syklus)&lt;DagK+DagH,"Helg",IF(MOD(A2189-INDEX(SkiftStart,L2189),Syklus)&lt;DagK+DagH+DagD,"Dag","Fri"))))</f>
        <v/>
      </c>
      <c r="J2189" s="30">
        <f>IF(I2189="Fri","Ja","")</f>
        <v/>
      </c>
      <c r="K2189" s="30">
        <f>IF(B2189="","",IF(L2189="","Ukjent tekniker",IF(ISNA(MATCH(C2189,Aktiviteter,0)),"Ukjent aktivitet",IF(AND(INDEX(AktRolle,MATCH(C2189,Aktiviteter,0))&amp;""&lt;&gt;"",ISERROR(SEARCH(INDEX(AktRolle,MATCH(C2189,Aktiviteter,0))&amp;"",INDEX(TekRoller,MATCH(B2189,Teknikere,0))))),"Mangler rollen "&amp;INDEX(AktRolle,MATCH(C2189,Aktiviteter,0))&amp;"",IF(AND(C2189="LMS",F2189&gt;0,OR(D2189="",E2189="")),"Mangler maskin eller arbeid",IF(AND(OR(C2189="LMS",C2189="Mod"),D2189&lt;&gt;""),IF(IFERROR(INDEX(MaskinStatus,MATCH(D2189,Maskiner,0)),"")="I dokk","","Maskinen er ikke i dokk"),""))))))</f>
        <v/>
      </c>
      <c r="L2189" s="2">
        <f>IF(B2189="","",IFERROR(INT((MATCH(B2189,Teknikere,0)-1)/18)+1,""))</f>
        <v/>
      </c>
      <c r="M2189" s="2">
        <f>IF(OR(A2189="",B2189=""),"",B2189&amp;"|"&amp;A2189)</f>
        <v/>
      </c>
      <c r="N2189" s="2">
        <f>IF(M2189="","",SUMIFS(TF_Timer,TF_Nokkel,M2189,TF_Akt,C2189))</f>
        <v/>
      </c>
      <c r="O2189" s="2">
        <f>IF(M2189="","",IF(AND(N2189=_xlfn.MAXIFS(TF_AktSum,TF_Nokkel,M2189),COUNTIFS(M$3:M2188,M2189,N$3:N2188,N2189)=0),M2189,""))</f>
        <v/>
      </c>
    </row>
    <row r="2190">
      <c r="A2190" s="34" t="n"/>
      <c r="B2190" s="35" t="n"/>
      <c r="C2190" s="35" t="n"/>
      <c r="D2190" s="35" t="n"/>
      <c r="E2190" s="35" t="n"/>
      <c r="F2190" s="36" t="n"/>
      <c r="G2190" s="35" t="n"/>
      <c r="H2190" s="30">
        <f>IF(L2190="","",INDEX(SkiftNavn,L2190))</f>
        <v/>
      </c>
      <c r="I2190" s="30">
        <f>IF(OR(A2190="",L2190=""),"",IF(MOD(A2190-INDEX(SkiftStart,L2190),Syklus)&lt;DagK,"Kveld",IF(MOD(A2190-INDEX(SkiftStart,L2190),Syklus)&lt;DagK+DagH,"Helg",IF(MOD(A2190-INDEX(SkiftStart,L2190),Syklus)&lt;DagK+DagH+DagD,"Dag","Fri"))))</f>
        <v/>
      </c>
      <c r="J2190" s="30">
        <f>IF(I2190="Fri","Ja","")</f>
        <v/>
      </c>
      <c r="K2190" s="30">
        <f>IF(B2190="","",IF(L2190="","Ukjent tekniker",IF(ISNA(MATCH(C2190,Aktiviteter,0)),"Ukjent aktivitet",IF(AND(INDEX(AktRolle,MATCH(C2190,Aktiviteter,0))&amp;""&lt;&gt;"",ISERROR(SEARCH(INDEX(AktRolle,MATCH(C2190,Aktiviteter,0))&amp;"",INDEX(TekRoller,MATCH(B2190,Teknikere,0))))),"Mangler rollen "&amp;INDEX(AktRolle,MATCH(C2190,Aktiviteter,0))&amp;"",IF(AND(C2190="LMS",F2190&gt;0,OR(D2190="",E2190="")),"Mangler maskin eller arbeid",IF(AND(OR(C2190="LMS",C2190="Mod"),D2190&lt;&gt;""),IF(IFERROR(INDEX(MaskinStatus,MATCH(D2190,Maskiner,0)),"")="I dokk","","Maskinen er ikke i dokk"),""))))))</f>
        <v/>
      </c>
      <c r="L2190" s="2">
        <f>IF(B2190="","",IFERROR(INT((MATCH(B2190,Teknikere,0)-1)/18)+1,""))</f>
        <v/>
      </c>
      <c r="M2190" s="2">
        <f>IF(OR(A2190="",B2190=""),"",B2190&amp;"|"&amp;A2190)</f>
        <v/>
      </c>
      <c r="N2190" s="2">
        <f>IF(M2190="","",SUMIFS(TF_Timer,TF_Nokkel,M2190,TF_Akt,C2190))</f>
        <v/>
      </c>
      <c r="O2190" s="2">
        <f>IF(M2190="","",IF(AND(N2190=_xlfn.MAXIFS(TF_AktSum,TF_Nokkel,M2190),COUNTIFS(M$3:M2189,M2190,N$3:N2189,N2190)=0),M2190,""))</f>
        <v/>
      </c>
    </row>
    <row r="2191">
      <c r="A2191" s="34" t="n"/>
      <c r="B2191" s="35" t="n"/>
      <c r="C2191" s="35" t="n"/>
      <c r="D2191" s="35" t="n"/>
      <c r="E2191" s="35" t="n"/>
      <c r="F2191" s="36" t="n"/>
      <c r="G2191" s="35" t="n"/>
      <c r="H2191" s="30">
        <f>IF(L2191="","",INDEX(SkiftNavn,L2191))</f>
        <v/>
      </c>
      <c r="I2191" s="30">
        <f>IF(OR(A2191="",L2191=""),"",IF(MOD(A2191-INDEX(SkiftStart,L2191),Syklus)&lt;DagK,"Kveld",IF(MOD(A2191-INDEX(SkiftStart,L2191),Syklus)&lt;DagK+DagH,"Helg",IF(MOD(A2191-INDEX(SkiftStart,L2191),Syklus)&lt;DagK+DagH+DagD,"Dag","Fri"))))</f>
        <v/>
      </c>
      <c r="J2191" s="30">
        <f>IF(I2191="Fri","Ja","")</f>
        <v/>
      </c>
      <c r="K2191" s="30">
        <f>IF(B2191="","",IF(L2191="","Ukjent tekniker",IF(ISNA(MATCH(C2191,Aktiviteter,0)),"Ukjent aktivitet",IF(AND(INDEX(AktRolle,MATCH(C2191,Aktiviteter,0))&amp;""&lt;&gt;"",ISERROR(SEARCH(INDEX(AktRolle,MATCH(C2191,Aktiviteter,0))&amp;"",INDEX(TekRoller,MATCH(B2191,Teknikere,0))))),"Mangler rollen "&amp;INDEX(AktRolle,MATCH(C2191,Aktiviteter,0))&amp;"",IF(AND(C2191="LMS",F2191&gt;0,OR(D2191="",E2191="")),"Mangler maskin eller arbeid",IF(AND(OR(C2191="LMS",C2191="Mod"),D2191&lt;&gt;""),IF(IFERROR(INDEX(MaskinStatus,MATCH(D2191,Maskiner,0)),"")="I dokk","","Maskinen er ikke i dokk"),""))))))</f>
        <v/>
      </c>
      <c r="L2191" s="2">
        <f>IF(B2191="","",IFERROR(INT((MATCH(B2191,Teknikere,0)-1)/18)+1,""))</f>
        <v/>
      </c>
      <c r="M2191" s="2">
        <f>IF(OR(A2191="",B2191=""),"",B2191&amp;"|"&amp;A2191)</f>
        <v/>
      </c>
      <c r="N2191" s="2">
        <f>IF(M2191="","",SUMIFS(TF_Timer,TF_Nokkel,M2191,TF_Akt,C2191))</f>
        <v/>
      </c>
      <c r="O2191" s="2">
        <f>IF(M2191="","",IF(AND(N2191=_xlfn.MAXIFS(TF_AktSum,TF_Nokkel,M2191),COUNTIFS(M$3:M2190,M2191,N$3:N2190,N2191)=0),M2191,""))</f>
        <v/>
      </c>
    </row>
    <row r="2192">
      <c r="A2192" s="34" t="n"/>
      <c r="B2192" s="35" t="n"/>
      <c r="C2192" s="35" t="n"/>
      <c r="D2192" s="35" t="n"/>
      <c r="E2192" s="35" t="n"/>
      <c r="F2192" s="36" t="n"/>
      <c r="G2192" s="35" t="n"/>
      <c r="H2192" s="30">
        <f>IF(L2192="","",INDEX(SkiftNavn,L2192))</f>
        <v/>
      </c>
      <c r="I2192" s="30">
        <f>IF(OR(A2192="",L2192=""),"",IF(MOD(A2192-INDEX(SkiftStart,L2192),Syklus)&lt;DagK,"Kveld",IF(MOD(A2192-INDEX(SkiftStart,L2192),Syklus)&lt;DagK+DagH,"Helg",IF(MOD(A2192-INDEX(SkiftStart,L2192),Syklus)&lt;DagK+DagH+DagD,"Dag","Fri"))))</f>
        <v/>
      </c>
      <c r="J2192" s="30">
        <f>IF(I2192="Fri","Ja","")</f>
        <v/>
      </c>
      <c r="K2192" s="30">
        <f>IF(B2192="","",IF(L2192="","Ukjent tekniker",IF(ISNA(MATCH(C2192,Aktiviteter,0)),"Ukjent aktivitet",IF(AND(INDEX(AktRolle,MATCH(C2192,Aktiviteter,0))&amp;""&lt;&gt;"",ISERROR(SEARCH(INDEX(AktRolle,MATCH(C2192,Aktiviteter,0))&amp;"",INDEX(TekRoller,MATCH(B2192,Teknikere,0))))),"Mangler rollen "&amp;INDEX(AktRolle,MATCH(C2192,Aktiviteter,0))&amp;"",IF(AND(C2192="LMS",F2192&gt;0,OR(D2192="",E2192="")),"Mangler maskin eller arbeid",IF(AND(OR(C2192="LMS",C2192="Mod"),D2192&lt;&gt;""),IF(IFERROR(INDEX(MaskinStatus,MATCH(D2192,Maskiner,0)),"")="I dokk","","Maskinen er ikke i dokk"),""))))))</f>
        <v/>
      </c>
      <c r="L2192" s="2">
        <f>IF(B2192="","",IFERROR(INT((MATCH(B2192,Teknikere,0)-1)/18)+1,""))</f>
        <v/>
      </c>
      <c r="M2192" s="2">
        <f>IF(OR(A2192="",B2192=""),"",B2192&amp;"|"&amp;A2192)</f>
        <v/>
      </c>
      <c r="N2192" s="2">
        <f>IF(M2192="","",SUMIFS(TF_Timer,TF_Nokkel,M2192,TF_Akt,C2192))</f>
        <v/>
      </c>
      <c r="O2192" s="2">
        <f>IF(M2192="","",IF(AND(N2192=_xlfn.MAXIFS(TF_AktSum,TF_Nokkel,M2192),COUNTIFS(M$3:M2191,M2192,N$3:N2191,N2192)=0),M2192,""))</f>
        <v/>
      </c>
    </row>
    <row r="2193">
      <c r="A2193" s="34" t="n"/>
      <c r="B2193" s="35" t="n"/>
      <c r="C2193" s="35" t="n"/>
      <c r="D2193" s="35" t="n"/>
      <c r="E2193" s="35" t="n"/>
      <c r="F2193" s="36" t="n"/>
      <c r="G2193" s="35" t="n"/>
      <c r="H2193" s="30">
        <f>IF(L2193="","",INDEX(SkiftNavn,L2193))</f>
        <v/>
      </c>
      <c r="I2193" s="30">
        <f>IF(OR(A2193="",L2193=""),"",IF(MOD(A2193-INDEX(SkiftStart,L2193),Syklus)&lt;DagK,"Kveld",IF(MOD(A2193-INDEX(SkiftStart,L2193),Syklus)&lt;DagK+DagH,"Helg",IF(MOD(A2193-INDEX(SkiftStart,L2193),Syklus)&lt;DagK+DagH+DagD,"Dag","Fri"))))</f>
        <v/>
      </c>
      <c r="J2193" s="30">
        <f>IF(I2193="Fri","Ja","")</f>
        <v/>
      </c>
      <c r="K2193" s="30">
        <f>IF(B2193="","",IF(L2193="","Ukjent tekniker",IF(ISNA(MATCH(C2193,Aktiviteter,0)),"Ukjent aktivitet",IF(AND(INDEX(AktRolle,MATCH(C2193,Aktiviteter,0))&amp;""&lt;&gt;"",ISERROR(SEARCH(INDEX(AktRolle,MATCH(C2193,Aktiviteter,0))&amp;"",INDEX(TekRoller,MATCH(B2193,Teknikere,0))))),"Mangler rollen "&amp;INDEX(AktRolle,MATCH(C2193,Aktiviteter,0))&amp;"",IF(AND(C2193="LMS",F2193&gt;0,OR(D2193="",E2193="")),"Mangler maskin eller arbeid",IF(AND(OR(C2193="LMS",C2193="Mod"),D2193&lt;&gt;""),IF(IFERROR(INDEX(MaskinStatus,MATCH(D2193,Maskiner,0)),"")="I dokk","","Maskinen er ikke i dokk"),""))))))</f>
        <v/>
      </c>
      <c r="L2193" s="2">
        <f>IF(B2193="","",IFERROR(INT((MATCH(B2193,Teknikere,0)-1)/18)+1,""))</f>
        <v/>
      </c>
      <c r="M2193" s="2">
        <f>IF(OR(A2193="",B2193=""),"",B2193&amp;"|"&amp;A2193)</f>
        <v/>
      </c>
      <c r="N2193" s="2">
        <f>IF(M2193="","",SUMIFS(TF_Timer,TF_Nokkel,M2193,TF_Akt,C2193))</f>
        <v/>
      </c>
      <c r="O2193" s="2">
        <f>IF(M2193="","",IF(AND(N2193=_xlfn.MAXIFS(TF_AktSum,TF_Nokkel,M2193),COUNTIFS(M$3:M2192,M2193,N$3:N2192,N2193)=0),M2193,""))</f>
        <v/>
      </c>
    </row>
    <row r="2194">
      <c r="A2194" s="34" t="n"/>
      <c r="B2194" s="35" t="n"/>
      <c r="C2194" s="35" t="n"/>
      <c r="D2194" s="35" t="n"/>
      <c r="E2194" s="35" t="n"/>
      <c r="F2194" s="36" t="n"/>
      <c r="G2194" s="35" t="n"/>
      <c r="H2194" s="30">
        <f>IF(L2194="","",INDEX(SkiftNavn,L2194))</f>
        <v/>
      </c>
      <c r="I2194" s="30">
        <f>IF(OR(A2194="",L2194=""),"",IF(MOD(A2194-INDEX(SkiftStart,L2194),Syklus)&lt;DagK,"Kveld",IF(MOD(A2194-INDEX(SkiftStart,L2194),Syklus)&lt;DagK+DagH,"Helg",IF(MOD(A2194-INDEX(SkiftStart,L2194),Syklus)&lt;DagK+DagH+DagD,"Dag","Fri"))))</f>
        <v/>
      </c>
      <c r="J2194" s="30">
        <f>IF(I2194="Fri","Ja","")</f>
        <v/>
      </c>
      <c r="K2194" s="30">
        <f>IF(B2194="","",IF(L2194="","Ukjent tekniker",IF(ISNA(MATCH(C2194,Aktiviteter,0)),"Ukjent aktivitet",IF(AND(INDEX(AktRolle,MATCH(C2194,Aktiviteter,0))&amp;""&lt;&gt;"",ISERROR(SEARCH(INDEX(AktRolle,MATCH(C2194,Aktiviteter,0))&amp;"",INDEX(TekRoller,MATCH(B2194,Teknikere,0))))),"Mangler rollen "&amp;INDEX(AktRolle,MATCH(C2194,Aktiviteter,0))&amp;"",IF(AND(C2194="LMS",F2194&gt;0,OR(D2194="",E2194="")),"Mangler maskin eller arbeid",IF(AND(OR(C2194="LMS",C2194="Mod"),D2194&lt;&gt;""),IF(IFERROR(INDEX(MaskinStatus,MATCH(D2194,Maskiner,0)),"")="I dokk","","Maskinen er ikke i dokk"),""))))))</f>
        <v/>
      </c>
      <c r="L2194" s="2">
        <f>IF(B2194="","",IFERROR(INT((MATCH(B2194,Teknikere,0)-1)/18)+1,""))</f>
        <v/>
      </c>
      <c r="M2194" s="2">
        <f>IF(OR(A2194="",B2194=""),"",B2194&amp;"|"&amp;A2194)</f>
        <v/>
      </c>
      <c r="N2194" s="2">
        <f>IF(M2194="","",SUMIFS(TF_Timer,TF_Nokkel,M2194,TF_Akt,C2194))</f>
        <v/>
      </c>
      <c r="O2194" s="2">
        <f>IF(M2194="","",IF(AND(N2194=_xlfn.MAXIFS(TF_AktSum,TF_Nokkel,M2194),COUNTIFS(M$3:M2193,M2194,N$3:N2193,N2194)=0),M2194,""))</f>
        <v/>
      </c>
    </row>
    <row r="2195">
      <c r="A2195" s="34" t="n"/>
      <c r="B2195" s="35" t="n"/>
      <c r="C2195" s="35" t="n"/>
      <c r="D2195" s="35" t="n"/>
      <c r="E2195" s="35" t="n"/>
      <c r="F2195" s="36" t="n"/>
      <c r="G2195" s="35" t="n"/>
      <c r="H2195" s="30">
        <f>IF(L2195="","",INDEX(SkiftNavn,L2195))</f>
        <v/>
      </c>
      <c r="I2195" s="30">
        <f>IF(OR(A2195="",L2195=""),"",IF(MOD(A2195-INDEX(SkiftStart,L2195),Syklus)&lt;DagK,"Kveld",IF(MOD(A2195-INDEX(SkiftStart,L2195),Syklus)&lt;DagK+DagH,"Helg",IF(MOD(A2195-INDEX(SkiftStart,L2195),Syklus)&lt;DagK+DagH+DagD,"Dag","Fri"))))</f>
        <v/>
      </c>
      <c r="J2195" s="30">
        <f>IF(I2195="Fri","Ja","")</f>
        <v/>
      </c>
      <c r="K2195" s="30">
        <f>IF(B2195="","",IF(L2195="","Ukjent tekniker",IF(ISNA(MATCH(C2195,Aktiviteter,0)),"Ukjent aktivitet",IF(AND(INDEX(AktRolle,MATCH(C2195,Aktiviteter,0))&amp;""&lt;&gt;"",ISERROR(SEARCH(INDEX(AktRolle,MATCH(C2195,Aktiviteter,0))&amp;"",INDEX(TekRoller,MATCH(B2195,Teknikere,0))))),"Mangler rollen "&amp;INDEX(AktRolle,MATCH(C2195,Aktiviteter,0))&amp;"",IF(AND(C2195="LMS",F2195&gt;0,OR(D2195="",E2195="")),"Mangler maskin eller arbeid",IF(AND(OR(C2195="LMS",C2195="Mod"),D2195&lt;&gt;""),IF(IFERROR(INDEX(MaskinStatus,MATCH(D2195,Maskiner,0)),"")="I dokk","","Maskinen er ikke i dokk"),""))))))</f>
        <v/>
      </c>
      <c r="L2195" s="2">
        <f>IF(B2195="","",IFERROR(INT((MATCH(B2195,Teknikere,0)-1)/18)+1,""))</f>
        <v/>
      </c>
      <c r="M2195" s="2">
        <f>IF(OR(A2195="",B2195=""),"",B2195&amp;"|"&amp;A2195)</f>
        <v/>
      </c>
      <c r="N2195" s="2">
        <f>IF(M2195="","",SUMIFS(TF_Timer,TF_Nokkel,M2195,TF_Akt,C2195))</f>
        <v/>
      </c>
      <c r="O2195" s="2">
        <f>IF(M2195="","",IF(AND(N2195=_xlfn.MAXIFS(TF_AktSum,TF_Nokkel,M2195),COUNTIFS(M$3:M2194,M2195,N$3:N2194,N2195)=0),M2195,""))</f>
        <v/>
      </c>
    </row>
    <row r="2196">
      <c r="A2196" s="34" t="n"/>
      <c r="B2196" s="35" t="n"/>
      <c r="C2196" s="35" t="n"/>
      <c r="D2196" s="35" t="n"/>
      <c r="E2196" s="35" t="n"/>
      <c r="F2196" s="36" t="n"/>
      <c r="G2196" s="35" t="n"/>
      <c r="H2196" s="30">
        <f>IF(L2196="","",INDEX(SkiftNavn,L2196))</f>
        <v/>
      </c>
      <c r="I2196" s="30">
        <f>IF(OR(A2196="",L2196=""),"",IF(MOD(A2196-INDEX(SkiftStart,L2196),Syklus)&lt;DagK,"Kveld",IF(MOD(A2196-INDEX(SkiftStart,L2196),Syklus)&lt;DagK+DagH,"Helg",IF(MOD(A2196-INDEX(SkiftStart,L2196),Syklus)&lt;DagK+DagH+DagD,"Dag","Fri"))))</f>
        <v/>
      </c>
      <c r="J2196" s="30">
        <f>IF(I2196="Fri","Ja","")</f>
        <v/>
      </c>
      <c r="K2196" s="30">
        <f>IF(B2196="","",IF(L2196="","Ukjent tekniker",IF(ISNA(MATCH(C2196,Aktiviteter,0)),"Ukjent aktivitet",IF(AND(INDEX(AktRolle,MATCH(C2196,Aktiviteter,0))&amp;""&lt;&gt;"",ISERROR(SEARCH(INDEX(AktRolle,MATCH(C2196,Aktiviteter,0))&amp;"",INDEX(TekRoller,MATCH(B2196,Teknikere,0))))),"Mangler rollen "&amp;INDEX(AktRolle,MATCH(C2196,Aktiviteter,0))&amp;"",IF(AND(C2196="LMS",F2196&gt;0,OR(D2196="",E2196="")),"Mangler maskin eller arbeid",IF(AND(OR(C2196="LMS",C2196="Mod"),D2196&lt;&gt;""),IF(IFERROR(INDEX(MaskinStatus,MATCH(D2196,Maskiner,0)),"")="I dokk","","Maskinen er ikke i dokk"),""))))))</f>
        <v/>
      </c>
      <c r="L2196" s="2">
        <f>IF(B2196="","",IFERROR(INT((MATCH(B2196,Teknikere,0)-1)/18)+1,""))</f>
        <v/>
      </c>
      <c r="M2196" s="2">
        <f>IF(OR(A2196="",B2196=""),"",B2196&amp;"|"&amp;A2196)</f>
        <v/>
      </c>
      <c r="N2196" s="2">
        <f>IF(M2196="","",SUMIFS(TF_Timer,TF_Nokkel,M2196,TF_Akt,C2196))</f>
        <v/>
      </c>
      <c r="O2196" s="2">
        <f>IF(M2196="","",IF(AND(N2196=_xlfn.MAXIFS(TF_AktSum,TF_Nokkel,M2196),COUNTIFS(M$3:M2195,M2196,N$3:N2195,N2196)=0),M2196,""))</f>
        <v/>
      </c>
    </row>
    <row r="2197">
      <c r="A2197" s="34" t="n"/>
      <c r="B2197" s="35" t="n"/>
      <c r="C2197" s="35" t="n"/>
      <c r="D2197" s="35" t="n"/>
      <c r="E2197" s="35" t="n"/>
      <c r="F2197" s="36" t="n"/>
      <c r="G2197" s="35" t="n"/>
      <c r="H2197" s="30">
        <f>IF(L2197="","",INDEX(SkiftNavn,L2197))</f>
        <v/>
      </c>
      <c r="I2197" s="30">
        <f>IF(OR(A2197="",L2197=""),"",IF(MOD(A2197-INDEX(SkiftStart,L2197),Syklus)&lt;DagK,"Kveld",IF(MOD(A2197-INDEX(SkiftStart,L2197),Syklus)&lt;DagK+DagH,"Helg",IF(MOD(A2197-INDEX(SkiftStart,L2197),Syklus)&lt;DagK+DagH+DagD,"Dag","Fri"))))</f>
        <v/>
      </c>
      <c r="J2197" s="30">
        <f>IF(I2197="Fri","Ja","")</f>
        <v/>
      </c>
      <c r="K2197" s="30">
        <f>IF(B2197="","",IF(L2197="","Ukjent tekniker",IF(ISNA(MATCH(C2197,Aktiviteter,0)),"Ukjent aktivitet",IF(AND(INDEX(AktRolle,MATCH(C2197,Aktiviteter,0))&amp;""&lt;&gt;"",ISERROR(SEARCH(INDEX(AktRolle,MATCH(C2197,Aktiviteter,0))&amp;"",INDEX(TekRoller,MATCH(B2197,Teknikere,0))))),"Mangler rollen "&amp;INDEX(AktRolle,MATCH(C2197,Aktiviteter,0))&amp;"",IF(AND(C2197="LMS",F2197&gt;0,OR(D2197="",E2197="")),"Mangler maskin eller arbeid",IF(AND(OR(C2197="LMS",C2197="Mod"),D2197&lt;&gt;""),IF(IFERROR(INDEX(MaskinStatus,MATCH(D2197,Maskiner,0)),"")="I dokk","","Maskinen er ikke i dokk"),""))))))</f>
        <v/>
      </c>
      <c r="L2197" s="2">
        <f>IF(B2197="","",IFERROR(INT((MATCH(B2197,Teknikere,0)-1)/18)+1,""))</f>
        <v/>
      </c>
      <c r="M2197" s="2">
        <f>IF(OR(A2197="",B2197=""),"",B2197&amp;"|"&amp;A2197)</f>
        <v/>
      </c>
      <c r="N2197" s="2">
        <f>IF(M2197="","",SUMIFS(TF_Timer,TF_Nokkel,M2197,TF_Akt,C2197))</f>
        <v/>
      </c>
      <c r="O2197" s="2">
        <f>IF(M2197="","",IF(AND(N2197=_xlfn.MAXIFS(TF_AktSum,TF_Nokkel,M2197),COUNTIFS(M$3:M2196,M2197,N$3:N2196,N2197)=0),M2197,""))</f>
        <v/>
      </c>
    </row>
    <row r="2198">
      <c r="A2198" s="34" t="n"/>
      <c r="B2198" s="35" t="n"/>
      <c r="C2198" s="35" t="n"/>
      <c r="D2198" s="35" t="n"/>
      <c r="E2198" s="35" t="n"/>
      <c r="F2198" s="36" t="n"/>
      <c r="G2198" s="35" t="n"/>
      <c r="H2198" s="30">
        <f>IF(L2198="","",INDEX(SkiftNavn,L2198))</f>
        <v/>
      </c>
      <c r="I2198" s="30">
        <f>IF(OR(A2198="",L2198=""),"",IF(MOD(A2198-INDEX(SkiftStart,L2198),Syklus)&lt;DagK,"Kveld",IF(MOD(A2198-INDEX(SkiftStart,L2198),Syklus)&lt;DagK+DagH,"Helg",IF(MOD(A2198-INDEX(SkiftStart,L2198),Syklus)&lt;DagK+DagH+DagD,"Dag","Fri"))))</f>
        <v/>
      </c>
      <c r="J2198" s="30">
        <f>IF(I2198="Fri","Ja","")</f>
        <v/>
      </c>
      <c r="K2198" s="30">
        <f>IF(B2198="","",IF(L2198="","Ukjent tekniker",IF(ISNA(MATCH(C2198,Aktiviteter,0)),"Ukjent aktivitet",IF(AND(INDEX(AktRolle,MATCH(C2198,Aktiviteter,0))&amp;""&lt;&gt;"",ISERROR(SEARCH(INDEX(AktRolle,MATCH(C2198,Aktiviteter,0))&amp;"",INDEX(TekRoller,MATCH(B2198,Teknikere,0))))),"Mangler rollen "&amp;INDEX(AktRolle,MATCH(C2198,Aktiviteter,0))&amp;"",IF(AND(C2198="LMS",F2198&gt;0,OR(D2198="",E2198="")),"Mangler maskin eller arbeid",IF(AND(OR(C2198="LMS",C2198="Mod"),D2198&lt;&gt;""),IF(IFERROR(INDEX(MaskinStatus,MATCH(D2198,Maskiner,0)),"")="I dokk","","Maskinen er ikke i dokk"),""))))))</f>
        <v/>
      </c>
      <c r="L2198" s="2">
        <f>IF(B2198="","",IFERROR(INT((MATCH(B2198,Teknikere,0)-1)/18)+1,""))</f>
        <v/>
      </c>
      <c r="M2198" s="2">
        <f>IF(OR(A2198="",B2198=""),"",B2198&amp;"|"&amp;A2198)</f>
        <v/>
      </c>
      <c r="N2198" s="2">
        <f>IF(M2198="","",SUMIFS(TF_Timer,TF_Nokkel,M2198,TF_Akt,C2198))</f>
        <v/>
      </c>
      <c r="O2198" s="2">
        <f>IF(M2198="","",IF(AND(N2198=_xlfn.MAXIFS(TF_AktSum,TF_Nokkel,M2198),COUNTIFS(M$3:M2197,M2198,N$3:N2197,N2198)=0),M2198,""))</f>
        <v/>
      </c>
    </row>
    <row r="2199">
      <c r="A2199" s="34" t="n"/>
      <c r="B2199" s="35" t="n"/>
      <c r="C2199" s="35" t="n"/>
      <c r="D2199" s="35" t="n"/>
      <c r="E2199" s="35" t="n"/>
      <c r="F2199" s="36" t="n"/>
      <c r="G2199" s="35" t="n"/>
      <c r="H2199" s="30">
        <f>IF(L2199="","",INDEX(SkiftNavn,L2199))</f>
        <v/>
      </c>
      <c r="I2199" s="30">
        <f>IF(OR(A2199="",L2199=""),"",IF(MOD(A2199-INDEX(SkiftStart,L2199),Syklus)&lt;DagK,"Kveld",IF(MOD(A2199-INDEX(SkiftStart,L2199),Syklus)&lt;DagK+DagH,"Helg",IF(MOD(A2199-INDEX(SkiftStart,L2199),Syklus)&lt;DagK+DagH+DagD,"Dag","Fri"))))</f>
        <v/>
      </c>
      <c r="J2199" s="30">
        <f>IF(I2199="Fri","Ja","")</f>
        <v/>
      </c>
      <c r="K2199" s="30">
        <f>IF(B2199="","",IF(L2199="","Ukjent tekniker",IF(ISNA(MATCH(C2199,Aktiviteter,0)),"Ukjent aktivitet",IF(AND(INDEX(AktRolle,MATCH(C2199,Aktiviteter,0))&amp;""&lt;&gt;"",ISERROR(SEARCH(INDEX(AktRolle,MATCH(C2199,Aktiviteter,0))&amp;"",INDEX(TekRoller,MATCH(B2199,Teknikere,0))))),"Mangler rollen "&amp;INDEX(AktRolle,MATCH(C2199,Aktiviteter,0))&amp;"",IF(AND(C2199="LMS",F2199&gt;0,OR(D2199="",E2199="")),"Mangler maskin eller arbeid",IF(AND(OR(C2199="LMS",C2199="Mod"),D2199&lt;&gt;""),IF(IFERROR(INDEX(MaskinStatus,MATCH(D2199,Maskiner,0)),"")="I dokk","","Maskinen er ikke i dokk"),""))))))</f>
        <v/>
      </c>
      <c r="L2199" s="2">
        <f>IF(B2199="","",IFERROR(INT((MATCH(B2199,Teknikere,0)-1)/18)+1,""))</f>
        <v/>
      </c>
      <c r="M2199" s="2">
        <f>IF(OR(A2199="",B2199=""),"",B2199&amp;"|"&amp;A2199)</f>
        <v/>
      </c>
      <c r="N2199" s="2">
        <f>IF(M2199="","",SUMIFS(TF_Timer,TF_Nokkel,M2199,TF_Akt,C2199))</f>
        <v/>
      </c>
      <c r="O2199" s="2">
        <f>IF(M2199="","",IF(AND(N2199=_xlfn.MAXIFS(TF_AktSum,TF_Nokkel,M2199),COUNTIFS(M$3:M2198,M2199,N$3:N2198,N2199)=0),M2199,""))</f>
        <v/>
      </c>
    </row>
    <row r="2200">
      <c r="A2200" s="34" t="n"/>
      <c r="B2200" s="35" t="n"/>
      <c r="C2200" s="35" t="n"/>
      <c r="D2200" s="35" t="n"/>
      <c r="E2200" s="35" t="n"/>
      <c r="F2200" s="36" t="n"/>
      <c r="G2200" s="35" t="n"/>
      <c r="H2200" s="30">
        <f>IF(L2200="","",INDEX(SkiftNavn,L2200))</f>
        <v/>
      </c>
      <c r="I2200" s="30">
        <f>IF(OR(A2200="",L2200=""),"",IF(MOD(A2200-INDEX(SkiftStart,L2200),Syklus)&lt;DagK,"Kveld",IF(MOD(A2200-INDEX(SkiftStart,L2200),Syklus)&lt;DagK+DagH,"Helg",IF(MOD(A2200-INDEX(SkiftStart,L2200),Syklus)&lt;DagK+DagH+DagD,"Dag","Fri"))))</f>
        <v/>
      </c>
      <c r="J2200" s="30">
        <f>IF(I2200="Fri","Ja","")</f>
        <v/>
      </c>
      <c r="K2200" s="30">
        <f>IF(B2200="","",IF(L2200="","Ukjent tekniker",IF(ISNA(MATCH(C2200,Aktiviteter,0)),"Ukjent aktivitet",IF(AND(INDEX(AktRolle,MATCH(C2200,Aktiviteter,0))&amp;""&lt;&gt;"",ISERROR(SEARCH(INDEX(AktRolle,MATCH(C2200,Aktiviteter,0))&amp;"",INDEX(TekRoller,MATCH(B2200,Teknikere,0))))),"Mangler rollen "&amp;INDEX(AktRolle,MATCH(C2200,Aktiviteter,0))&amp;"",IF(AND(C2200="LMS",F2200&gt;0,OR(D2200="",E2200="")),"Mangler maskin eller arbeid",IF(AND(OR(C2200="LMS",C2200="Mod"),D2200&lt;&gt;""),IF(IFERROR(INDEX(MaskinStatus,MATCH(D2200,Maskiner,0)),"")="I dokk","","Maskinen er ikke i dokk"),""))))))</f>
        <v/>
      </c>
      <c r="L2200" s="2">
        <f>IF(B2200="","",IFERROR(INT((MATCH(B2200,Teknikere,0)-1)/18)+1,""))</f>
        <v/>
      </c>
      <c r="M2200" s="2">
        <f>IF(OR(A2200="",B2200=""),"",B2200&amp;"|"&amp;A2200)</f>
        <v/>
      </c>
      <c r="N2200" s="2">
        <f>IF(M2200="","",SUMIFS(TF_Timer,TF_Nokkel,M2200,TF_Akt,C2200))</f>
        <v/>
      </c>
      <c r="O2200" s="2">
        <f>IF(M2200="","",IF(AND(N2200=_xlfn.MAXIFS(TF_AktSum,TF_Nokkel,M2200),COUNTIFS(M$3:M2199,M2200,N$3:N2199,N2200)=0),M2200,""))</f>
        <v/>
      </c>
    </row>
    <row r="2201">
      <c r="A2201" s="34" t="n"/>
      <c r="B2201" s="35" t="n"/>
      <c r="C2201" s="35" t="n"/>
      <c r="D2201" s="35" t="n"/>
      <c r="E2201" s="35" t="n"/>
      <c r="F2201" s="36" t="n"/>
      <c r="G2201" s="35" t="n"/>
      <c r="H2201" s="30">
        <f>IF(L2201="","",INDEX(SkiftNavn,L2201))</f>
        <v/>
      </c>
      <c r="I2201" s="30">
        <f>IF(OR(A2201="",L2201=""),"",IF(MOD(A2201-INDEX(SkiftStart,L2201),Syklus)&lt;DagK,"Kveld",IF(MOD(A2201-INDEX(SkiftStart,L2201),Syklus)&lt;DagK+DagH,"Helg",IF(MOD(A2201-INDEX(SkiftStart,L2201),Syklus)&lt;DagK+DagH+DagD,"Dag","Fri"))))</f>
        <v/>
      </c>
      <c r="J2201" s="30">
        <f>IF(I2201="Fri","Ja","")</f>
        <v/>
      </c>
      <c r="K2201" s="30">
        <f>IF(B2201="","",IF(L2201="","Ukjent tekniker",IF(ISNA(MATCH(C2201,Aktiviteter,0)),"Ukjent aktivitet",IF(AND(INDEX(AktRolle,MATCH(C2201,Aktiviteter,0))&amp;""&lt;&gt;"",ISERROR(SEARCH(INDEX(AktRolle,MATCH(C2201,Aktiviteter,0))&amp;"",INDEX(TekRoller,MATCH(B2201,Teknikere,0))))),"Mangler rollen "&amp;INDEX(AktRolle,MATCH(C2201,Aktiviteter,0))&amp;"",IF(AND(C2201="LMS",F2201&gt;0,OR(D2201="",E2201="")),"Mangler maskin eller arbeid",IF(AND(OR(C2201="LMS",C2201="Mod"),D2201&lt;&gt;""),IF(IFERROR(INDEX(MaskinStatus,MATCH(D2201,Maskiner,0)),"")="I dokk","","Maskinen er ikke i dokk"),""))))))</f>
        <v/>
      </c>
      <c r="L2201" s="2">
        <f>IF(B2201="","",IFERROR(INT((MATCH(B2201,Teknikere,0)-1)/18)+1,""))</f>
        <v/>
      </c>
      <c r="M2201" s="2">
        <f>IF(OR(A2201="",B2201=""),"",B2201&amp;"|"&amp;A2201)</f>
        <v/>
      </c>
      <c r="N2201" s="2">
        <f>IF(M2201="","",SUMIFS(TF_Timer,TF_Nokkel,M2201,TF_Akt,C2201))</f>
        <v/>
      </c>
      <c r="O2201" s="2">
        <f>IF(M2201="","",IF(AND(N2201=_xlfn.MAXIFS(TF_AktSum,TF_Nokkel,M2201),COUNTIFS(M$3:M2200,M2201,N$3:N2200,N2201)=0),M2201,""))</f>
        <v/>
      </c>
    </row>
    <row r="2202">
      <c r="A2202" s="34" t="n"/>
      <c r="B2202" s="35" t="n"/>
      <c r="C2202" s="35" t="n"/>
      <c r="D2202" s="35" t="n"/>
      <c r="E2202" s="35" t="n"/>
      <c r="F2202" s="36" t="n"/>
      <c r="G2202" s="35" t="n"/>
      <c r="H2202" s="30">
        <f>IF(L2202="","",INDEX(SkiftNavn,L2202))</f>
        <v/>
      </c>
      <c r="I2202" s="30">
        <f>IF(OR(A2202="",L2202=""),"",IF(MOD(A2202-INDEX(SkiftStart,L2202),Syklus)&lt;DagK,"Kveld",IF(MOD(A2202-INDEX(SkiftStart,L2202),Syklus)&lt;DagK+DagH,"Helg",IF(MOD(A2202-INDEX(SkiftStart,L2202),Syklus)&lt;DagK+DagH+DagD,"Dag","Fri"))))</f>
        <v/>
      </c>
      <c r="J2202" s="30">
        <f>IF(I2202="Fri","Ja","")</f>
        <v/>
      </c>
      <c r="K2202" s="30">
        <f>IF(B2202="","",IF(L2202="","Ukjent tekniker",IF(ISNA(MATCH(C2202,Aktiviteter,0)),"Ukjent aktivitet",IF(AND(INDEX(AktRolle,MATCH(C2202,Aktiviteter,0))&amp;""&lt;&gt;"",ISERROR(SEARCH(INDEX(AktRolle,MATCH(C2202,Aktiviteter,0))&amp;"",INDEX(TekRoller,MATCH(B2202,Teknikere,0))))),"Mangler rollen "&amp;INDEX(AktRolle,MATCH(C2202,Aktiviteter,0))&amp;"",IF(AND(C2202="LMS",F2202&gt;0,OR(D2202="",E2202="")),"Mangler maskin eller arbeid",IF(AND(OR(C2202="LMS",C2202="Mod"),D2202&lt;&gt;""),IF(IFERROR(INDEX(MaskinStatus,MATCH(D2202,Maskiner,0)),"")="I dokk","","Maskinen er ikke i dokk"),""))))))</f>
        <v/>
      </c>
      <c r="L2202" s="2">
        <f>IF(B2202="","",IFERROR(INT((MATCH(B2202,Teknikere,0)-1)/18)+1,""))</f>
        <v/>
      </c>
      <c r="M2202" s="2">
        <f>IF(OR(A2202="",B2202=""),"",B2202&amp;"|"&amp;A2202)</f>
        <v/>
      </c>
      <c r="N2202" s="2">
        <f>IF(M2202="","",SUMIFS(TF_Timer,TF_Nokkel,M2202,TF_Akt,C2202))</f>
        <v/>
      </c>
      <c r="O2202" s="2">
        <f>IF(M2202="","",IF(AND(N2202=_xlfn.MAXIFS(TF_AktSum,TF_Nokkel,M2202),COUNTIFS(M$3:M2201,M2202,N$3:N2201,N2202)=0),M2202,""))</f>
        <v/>
      </c>
    </row>
    <row r="2203">
      <c r="A2203" s="34" t="n"/>
      <c r="B2203" s="35" t="n"/>
      <c r="C2203" s="35" t="n"/>
      <c r="D2203" s="35" t="n"/>
      <c r="E2203" s="35" t="n"/>
      <c r="F2203" s="36" t="n"/>
      <c r="G2203" s="35" t="n"/>
      <c r="H2203" s="30">
        <f>IF(L2203="","",INDEX(SkiftNavn,L2203))</f>
        <v/>
      </c>
      <c r="I2203" s="30">
        <f>IF(OR(A2203="",L2203=""),"",IF(MOD(A2203-INDEX(SkiftStart,L2203),Syklus)&lt;DagK,"Kveld",IF(MOD(A2203-INDEX(SkiftStart,L2203),Syklus)&lt;DagK+DagH,"Helg",IF(MOD(A2203-INDEX(SkiftStart,L2203),Syklus)&lt;DagK+DagH+DagD,"Dag","Fri"))))</f>
        <v/>
      </c>
      <c r="J2203" s="30">
        <f>IF(I2203="Fri","Ja","")</f>
        <v/>
      </c>
      <c r="K2203" s="30">
        <f>IF(B2203="","",IF(L2203="","Ukjent tekniker",IF(ISNA(MATCH(C2203,Aktiviteter,0)),"Ukjent aktivitet",IF(AND(INDEX(AktRolle,MATCH(C2203,Aktiviteter,0))&amp;""&lt;&gt;"",ISERROR(SEARCH(INDEX(AktRolle,MATCH(C2203,Aktiviteter,0))&amp;"",INDEX(TekRoller,MATCH(B2203,Teknikere,0))))),"Mangler rollen "&amp;INDEX(AktRolle,MATCH(C2203,Aktiviteter,0))&amp;"",IF(AND(C2203="LMS",F2203&gt;0,OR(D2203="",E2203="")),"Mangler maskin eller arbeid",IF(AND(OR(C2203="LMS",C2203="Mod"),D2203&lt;&gt;""),IF(IFERROR(INDEX(MaskinStatus,MATCH(D2203,Maskiner,0)),"")="I dokk","","Maskinen er ikke i dokk"),""))))))</f>
        <v/>
      </c>
      <c r="L2203" s="2">
        <f>IF(B2203="","",IFERROR(INT((MATCH(B2203,Teknikere,0)-1)/18)+1,""))</f>
        <v/>
      </c>
      <c r="M2203" s="2">
        <f>IF(OR(A2203="",B2203=""),"",B2203&amp;"|"&amp;A2203)</f>
        <v/>
      </c>
      <c r="N2203" s="2">
        <f>IF(M2203="","",SUMIFS(TF_Timer,TF_Nokkel,M2203,TF_Akt,C2203))</f>
        <v/>
      </c>
      <c r="O2203" s="2">
        <f>IF(M2203="","",IF(AND(N2203=_xlfn.MAXIFS(TF_AktSum,TF_Nokkel,M2203),COUNTIFS(M$3:M2202,M2203,N$3:N2202,N2203)=0),M2203,""))</f>
        <v/>
      </c>
    </row>
    <row r="2204">
      <c r="A2204" s="34" t="n"/>
      <c r="B2204" s="35" t="n"/>
      <c r="C2204" s="35" t="n"/>
      <c r="D2204" s="35" t="n"/>
      <c r="E2204" s="35" t="n"/>
      <c r="F2204" s="36" t="n"/>
      <c r="G2204" s="35" t="n"/>
      <c r="H2204" s="30">
        <f>IF(L2204="","",INDEX(SkiftNavn,L2204))</f>
        <v/>
      </c>
      <c r="I2204" s="30">
        <f>IF(OR(A2204="",L2204=""),"",IF(MOD(A2204-INDEX(SkiftStart,L2204),Syklus)&lt;DagK,"Kveld",IF(MOD(A2204-INDEX(SkiftStart,L2204),Syklus)&lt;DagK+DagH,"Helg",IF(MOD(A2204-INDEX(SkiftStart,L2204),Syklus)&lt;DagK+DagH+DagD,"Dag","Fri"))))</f>
        <v/>
      </c>
      <c r="J2204" s="30">
        <f>IF(I2204="Fri","Ja","")</f>
        <v/>
      </c>
      <c r="K2204" s="30">
        <f>IF(B2204="","",IF(L2204="","Ukjent tekniker",IF(ISNA(MATCH(C2204,Aktiviteter,0)),"Ukjent aktivitet",IF(AND(INDEX(AktRolle,MATCH(C2204,Aktiviteter,0))&amp;""&lt;&gt;"",ISERROR(SEARCH(INDEX(AktRolle,MATCH(C2204,Aktiviteter,0))&amp;"",INDEX(TekRoller,MATCH(B2204,Teknikere,0))))),"Mangler rollen "&amp;INDEX(AktRolle,MATCH(C2204,Aktiviteter,0))&amp;"",IF(AND(C2204="LMS",F2204&gt;0,OR(D2204="",E2204="")),"Mangler maskin eller arbeid",IF(AND(OR(C2204="LMS",C2204="Mod"),D2204&lt;&gt;""),IF(IFERROR(INDEX(MaskinStatus,MATCH(D2204,Maskiner,0)),"")="I dokk","","Maskinen er ikke i dokk"),""))))))</f>
        <v/>
      </c>
      <c r="L2204" s="2">
        <f>IF(B2204="","",IFERROR(INT((MATCH(B2204,Teknikere,0)-1)/18)+1,""))</f>
        <v/>
      </c>
      <c r="M2204" s="2">
        <f>IF(OR(A2204="",B2204=""),"",B2204&amp;"|"&amp;A2204)</f>
        <v/>
      </c>
      <c r="N2204" s="2">
        <f>IF(M2204="","",SUMIFS(TF_Timer,TF_Nokkel,M2204,TF_Akt,C2204))</f>
        <v/>
      </c>
      <c r="O2204" s="2">
        <f>IF(M2204="","",IF(AND(N2204=_xlfn.MAXIFS(TF_AktSum,TF_Nokkel,M2204),COUNTIFS(M$3:M2203,M2204,N$3:N2203,N2204)=0),M2204,""))</f>
        <v/>
      </c>
    </row>
    <row r="2205">
      <c r="A2205" s="34" t="n"/>
      <c r="B2205" s="35" t="n"/>
      <c r="C2205" s="35" t="n"/>
      <c r="D2205" s="35" t="n"/>
      <c r="E2205" s="35" t="n"/>
      <c r="F2205" s="36" t="n"/>
      <c r="G2205" s="35" t="n"/>
      <c r="H2205" s="30">
        <f>IF(L2205="","",INDEX(SkiftNavn,L2205))</f>
        <v/>
      </c>
      <c r="I2205" s="30">
        <f>IF(OR(A2205="",L2205=""),"",IF(MOD(A2205-INDEX(SkiftStart,L2205),Syklus)&lt;DagK,"Kveld",IF(MOD(A2205-INDEX(SkiftStart,L2205),Syklus)&lt;DagK+DagH,"Helg",IF(MOD(A2205-INDEX(SkiftStart,L2205),Syklus)&lt;DagK+DagH+DagD,"Dag","Fri"))))</f>
        <v/>
      </c>
      <c r="J2205" s="30">
        <f>IF(I2205="Fri","Ja","")</f>
        <v/>
      </c>
      <c r="K2205" s="30">
        <f>IF(B2205="","",IF(L2205="","Ukjent tekniker",IF(ISNA(MATCH(C2205,Aktiviteter,0)),"Ukjent aktivitet",IF(AND(INDEX(AktRolle,MATCH(C2205,Aktiviteter,0))&amp;""&lt;&gt;"",ISERROR(SEARCH(INDEX(AktRolle,MATCH(C2205,Aktiviteter,0))&amp;"",INDEX(TekRoller,MATCH(B2205,Teknikere,0))))),"Mangler rollen "&amp;INDEX(AktRolle,MATCH(C2205,Aktiviteter,0))&amp;"",IF(AND(C2205="LMS",F2205&gt;0,OR(D2205="",E2205="")),"Mangler maskin eller arbeid",IF(AND(OR(C2205="LMS",C2205="Mod"),D2205&lt;&gt;""),IF(IFERROR(INDEX(MaskinStatus,MATCH(D2205,Maskiner,0)),"")="I dokk","","Maskinen er ikke i dokk"),""))))))</f>
        <v/>
      </c>
      <c r="L2205" s="2">
        <f>IF(B2205="","",IFERROR(INT((MATCH(B2205,Teknikere,0)-1)/18)+1,""))</f>
        <v/>
      </c>
      <c r="M2205" s="2">
        <f>IF(OR(A2205="",B2205=""),"",B2205&amp;"|"&amp;A2205)</f>
        <v/>
      </c>
      <c r="N2205" s="2">
        <f>IF(M2205="","",SUMIFS(TF_Timer,TF_Nokkel,M2205,TF_Akt,C2205))</f>
        <v/>
      </c>
      <c r="O2205" s="2">
        <f>IF(M2205="","",IF(AND(N2205=_xlfn.MAXIFS(TF_AktSum,TF_Nokkel,M2205),COUNTIFS(M$3:M2204,M2205,N$3:N2204,N2205)=0),M2205,""))</f>
        <v/>
      </c>
    </row>
    <row r="2206">
      <c r="A2206" s="34" t="n"/>
      <c r="B2206" s="35" t="n"/>
      <c r="C2206" s="35" t="n"/>
      <c r="D2206" s="35" t="n"/>
      <c r="E2206" s="35" t="n"/>
      <c r="F2206" s="36" t="n"/>
      <c r="G2206" s="35" t="n"/>
      <c r="H2206" s="30">
        <f>IF(L2206="","",INDEX(SkiftNavn,L2206))</f>
        <v/>
      </c>
      <c r="I2206" s="30">
        <f>IF(OR(A2206="",L2206=""),"",IF(MOD(A2206-INDEX(SkiftStart,L2206),Syklus)&lt;DagK,"Kveld",IF(MOD(A2206-INDEX(SkiftStart,L2206),Syklus)&lt;DagK+DagH,"Helg",IF(MOD(A2206-INDEX(SkiftStart,L2206),Syklus)&lt;DagK+DagH+DagD,"Dag","Fri"))))</f>
        <v/>
      </c>
      <c r="J2206" s="30">
        <f>IF(I2206="Fri","Ja","")</f>
        <v/>
      </c>
      <c r="K2206" s="30">
        <f>IF(B2206="","",IF(L2206="","Ukjent tekniker",IF(ISNA(MATCH(C2206,Aktiviteter,0)),"Ukjent aktivitet",IF(AND(INDEX(AktRolle,MATCH(C2206,Aktiviteter,0))&amp;""&lt;&gt;"",ISERROR(SEARCH(INDEX(AktRolle,MATCH(C2206,Aktiviteter,0))&amp;"",INDEX(TekRoller,MATCH(B2206,Teknikere,0))))),"Mangler rollen "&amp;INDEX(AktRolle,MATCH(C2206,Aktiviteter,0))&amp;"",IF(AND(C2206="LMS",F2206&gt;0,OR(D2206="",E2206="")),"Mangler maskin eller arbeid",IF(AND(OR(C2206="LMS",C2206="Mod"),D2206&lt;&gt;""),IF(IFERROR(INDEX(MaskinStatus,MATCH(D2206,Maskiner,0)),"")="I dokk","","Maskinen er ikke i dokk"),""))))))</f>
        <v/>
      </c>
      <c r="L2206" s="2">
        <f>IF(B2206="","",IFERROR(INT((MATCH(B2206,Teknikere,0)-1)/18)+1,""))</f>
        <v/>
      </c>
      <c r="M2206" s="2">
        <f>IF(OR(A2206="",B2206=""),"",B2206&amp;"|"&amp;A2206)</f>
        <v/>
      </c>
      <c r="N2206" s="2">
        <f>IF(M2206="","",SUMIFS(TF_Timer,TF_Nokkel,M2206,TF_Akt,C2206))</f>
        <v/>
      </c>
      <c r="O2206" s="2">
        <f>IF(M2206="","",IF(AND(N2206=_xlfn.MAXIFS(TF_AktSum,TF_Nokkel,M2206),COUNTIFS(M$3:M2205,M2206,N$3:N2205,N2206)=0),M2206,""))</f>
        <v/>
      </c>
    </row>
    <row r="2207">
      <c r="A2207" s="34" t="n"/>
      <c r="B2207" s="35" t="n"/>
      <c r="C2207" s="35" t="n"/>
      <c r="D2207" s="35" t="n"/>
      <c r="E2207" s="35" t="n"/>
      <c r="F2207" s="36" t="n"/>
      <c r="G2207" s="35" t="n"/>
      <c r="H2207" s="30">
        <f>IF(L2207="","",INDEX(SkiftNavn,L2207))</f>
        <v/>
      </c>
      <c r="I2207" s="30">
        <f>IF(OR(A2207="",L2207=""),"",IF(MOD(A2207-INDEX(SkiftStart,L2207),Syklus)&lt;DagK,"Kveld",IF(MOD(A2207-INDEX(SkiftStart,L2207),Syklus)&lt;DagK+DagH,"Helg",IF(MOD(A2207-INDEX(SkiftStart,L2207),Syklus)&lt;DagK+DagH+DagD,"Dag","Fri"))))</f>
        <v/>
      </c>
      <c r="J2207" s="30">
        <f>IF(I2207="Fri","Ja","")</f>
        <v/>
      </c>
      <c r="K2207" s="30">
        <f>IF(B2207="","",IF(L2207="","Ukjent tekniker",IF(ISNA(MATCH(C2207,Aktiviteter,0)),"Ukjent aktivitet",IF(AND(INDEX(AktRolle,MATCH(C2207,Aktiviteter,0))&amp;""&lt;&gt;"",ISERROR(SEARCH(INDEX(AktRolle,MATCH(C2207,Aktiviteter,0))&amp;"",INDEX(TekRoller,MATCH(B2207,Teknikere,0))))),"Mangler rollen "&amp;INDEX(AktRolle,MATCH(C2207,Aktiviteter,0))&amp;"",IF(AND(C2207="LMS",F2207&gt;0,OR(D2207="",E2207="")),"Mangler maskin eller arbeid",IF(AND(OR(C2207="LMS",C2207="Mod"),D2207&lt;&gt;""),IF(IFERROR(INDEX(MaskinStatus,MATCH(D2207,Maskiner,0)),"")="I dokk","","Maskinen er ikke i dokk"),""))))))</f>
        <v/>
      </c>
      <c r="L2207" s="2">
        <f>IF(B2207="","",IFERROR(INT((MATCH(B2207,Teknikere,0)-1)/18)+1,""))</f>
        <v/>
      </c>
      <c r="M2207" s="2">
        <f>IF(OR(A2207="",B2207=""),"",B2207&amp;"|"&amp;A2207)</f>
        <v/>
      </c>
      <c r="N2207" s="2">
        <f>IF(M2207="","",SUMIFS(TF_Timer,TF_Nokkel,M2207,TF_Akt,C2207))</f>
        <v/>
      </c>
      <c r="O2207" s="2">
        <f>IF(M2207="","",IF(AND(N2207=_xlfn.MAXIFS(TF_AktSum,TF_Nokkel,M2207),COUNTIFS(M$3:M2206,M2207,N$3:N2206,N2207)=0),M2207,""))</f>
        <v/>
      </c>
    </row>
    <row r="2208">
      <c r="A2208" s="34" t="n"/>
      <c r="B2208" s="35" t="n"/>
      <c r="C2208" s="35" t="n"/>
      <c r="D2208" s="35" t="n"/>
      <c r="E2208" s="35" t="n"/>
      <c r="F2208" s="36" t="n"/>
      <c r="G2208" s="35" t="n"/>
      <c r="H2208" s="30">
        <f>IF(L2208="","",INDEX(SkiftNavn,L2208))</f>
        <v/>
      </c>
      <c r="I2208" s="30">
        <f>IF(OR(A2208="",L2208=""),"",IF(MOD(A2208-INDEX(SkiftStart,L2208),Syklus)&lt;DagK,"Kveld",IF(MOD(A2208-INDEX(SkiftStart,L2208),Syklus)&lt;DagK+DagH,"Helg",IF(MOD(A2208-INDEX(SkiftStart,L2208),Syklus)&lt;DagK+DagH+DagD,"Dag","Fri"))))</f>
        <v/>
      </c>
      <c r="J2208" s="30">
        <f>IF(I2208="Fri","Ja","")</f>
        <v/>
      </c>
      <c r="K2208" s="30">
        <f>IF(B2208="","",IF(L2208="","Ukjent tekniker",IF(ISNA(MATCH(C2208,Aktiviteter,0)),"Ukjent aktivitet",IF(AND(INDEX(AktRolle,MATCH(C2208,Aktiviteter,0))&amp;""&lt;&gt;"",ISERROR(SEARCH(INDEX(AktRolle,MATCH(C2208,Aktiviteter,0))&amp;"",INDEX(TekRoller,MATCH(B2208,Teknikere,0))))),"Mangler rollen "&amp;INDEX(AktRolle,MATCH(C2208,Aktiviteter,0))&amp;"",IF(AND(C2208="LMS",F2208&gt;0,OR(D2208="",E2208="")),"Mangler maskin eller arbeid",IF(AND(OR(C2208="LMS",C2208="Mod"),D2208&lt;&gt;""),IF(IFERROR(INDEX(MaskinStatus,MATCH(D2208,Maskiner,0)),"")="I dokk","","Maskinen er ikke i dokk"),""))))))</f>
        <v/>
      </c>
      <c r="L2208" s="2">
        <f>IF(B2208="","",IFERROR(INT((MATCH(B2208,Teknikere,0)-1)/18)+1,""))</f>
        <v/>
      </c>
      <c r="M2208" s="2">
        <f>IF(OR(A2208="",B2208=""),"",B2208&amp;"|"&amp;A2208)</f>
        <v/>
      </c>
      <c r="N2208" s="2">
        <f>IF(M2208="","",SUMIFS(TF_Timer,TF_Nokkel,M2208,TF_Akt,C2208))</f>
        <v/>
      </c>
      <c r="O2208" s="2">
        <f>IF(M2208="","",IF(AND(N2208=_xlfn.MAXIFS(TF_AktSum,TF_Nokkel,M2208),COUNTIFS(M$3:M2207,M2208,N$3:N2207,N2208)=0),M2208,""))</f>
        <v/>
      </c>
    </row>
    <row r="2209">
      <c r="A2209" s="34" t="n"/>
      <c r="B2209" s="35" t="n"/>
      <c r="C2209" s="35" t="n"/>
      <c r="D2209" s="35" t="n"/>
      <c r="E2209" s="35" t="n"/>
      <c r="F2209" s="36" t="n"/>
      <c r="G2209" s="35" t="n"/>
      <c r="H2209" s="30">
        <f>IF(L2209="","",INDEX(SkiftNavn,L2209))</f>
        <v/>
      </c>
      <c r="I2209" s="30">
        <f>IF(OR(A2209="",L2209=""),"",IF(MOD(A2209-INDEX(SkiftStart,L2209),Syklus)&lt;DagK,"Kveld",IF(MOD(A2209-INDEX(SkiftStart,L2209),Syklus)&lt;DagK+DagH,"Helg",IF(MOD(A2209-INDEX(SkiftStart,L2209),Syklus)&lt;DagK+DagH+DagD,"Dag","Fri"))))</f>
        <v/>
      </c>
      <c r="J2209" s="30">
        <f>IF(I2209="Fri","Ja","")</f>
        <v/>
      </c>
      <c r="K2209" s="30">
        <f>IF(B2209="","",IF(L2209="","Ukjent tekniker",IF(ISNA(MATCH(C2209,Aktiviteter,0)),"Ukjent aktivitet",IF(AND(INDEX(AktRolle,MATCH(C2209,Aktiviteter,0))&amp;""&lt;&gt;"",ISERROR(SEARCH(INDEX(AktRolle,MATCH(C2209,Aktiviteter,0))&amp;"",INDEX(TekRoller,MATCH(B2209,Teknikere,0))))),"Mangler rollen "&amp;INDEX(AktRolle,MATCH(C2209,Aktiviteter,0))&amp;"",IF(AND(C2209="LMS",F2209&gt;0,OR(D2209="",E2209="")),"Mangler maskin eller arbeid",IF(AND(OR(C2209="LMS",C2209="Mod"),D2209&lt;&gt;""),IF(IFERROR(INDEX(MaskinStatus,MATCH(D2209,Maskiner,0)),"")="I dokk","","Maskinen er ikke i dokk"),""))))))</f>
        <v/>
      </c>
      <c r="L2209" s="2">
        <f>IF(B2209="","",IFERROR(INT((MATCH(B2209,Teknikere,0)-1)/18)+1,""))</f>
        <v/>
      </c>
      <c r="M2209" s="2">
        <f>IF(OR(A2209="",B2209=""),"",B2209&amp;"|"&amp;A2209)</f>
        <v/>
      </c>
      <c r="N2209" s="2">
        <f>IF(M2209="","",SUMIFS(TF_Timer,TF_Nokkel,M2209,TF_Akt,C2209))</f>
        <v/>
      </c>
      <c r="O2209" s="2">
        <f>IF(M2209="","",IF(AND(N2209=_xlfn.MAXIFS(TF_AktSum,TF_Nokkel,M2209),COUNTIFS(M$3:M2208,M2209,N$3:N2208,N2209)=0),M2209,""))</f>
        <v/>
      </c>
    </row>
    <row r="2210">
      <c r="A2210" s="34" t="n"/>
      <c r="B2210" s="35" t="n"/>
      <c r="C2210" s="35" t="n"/>
      <c r="D2210" s="35" t="n"/>
      <c r="E2210" s="35" t="n"/>
      <c r="F2210" s="36" t="n"/>
      <c r="G2210" s="35" t="n"/>
      <c r="H2210" s="30">
        <f>IF(L2210="","",INDEX(SkiftNavn,L2210))</f>
        <v/>
      </c>
      <c r="I2210" s="30">
        <f>IF(OR(A2210="",L2210=""),"",IF(MOD(A2210-INDEX(SkiftStart,L2210),Syklus)&lt;DagK,"Kveld",IF(MOD(A2210-INDEX(SkiftStart,L2210),Syklus)&lt;DagK+DagH,"Helg",IF(MOD(A2210-INDEX(SkiftStart,L2210),Syklus)&lt;DagK+DagH+DagD,"Dag","Fri"))))</f>
        <v/>
      </c>
      <c r="J2210" s="30">
        <f>IF(I2210="Fri","Ja","")</f>
        <v/>
      </c>
      <c r="K2210" s="30">
        <f>IF(B2210="","",IF(L2210="","Ukjent tekniker",IF(ISNA(MATCH(C2210,Aktiviteter,0)),"Ukjent aktivitet",IF(AND(INDEX(AktRolle,MATCH(C2210,Aktiviteter,0))&amp;""&lt;&gt;"",ISERROR(SEARCH(INDEX(AktRolle,MATCH(C2210,Aktiviteter,0))&amp;"",INDEX(TekRoller,MATCH(B2210,Teknikere,0))))),"Mangler rollen "&amp;INDEX(AktRolle,MATCH(C2210,Aktiviteter,0))&amp;"",IF(AND(C2210="LMS",F2210&gt;0,OR(D2210="",E2210="")),"Mangler maskin eller arbeid",IF(AND(OR(C2210="LMS",C2210="Mod"),D2210&lt;&gt;""),IF(IFERROR(INDEX(MaskinStatus,MATCH(D2210,Maskiner,0)),"")="I dokk","","Maskinen er ikke i dokk"),""))))))</f>
        <v/>
      </c>
      <c r="L2210" s="2">
        <f>IF(B2210="","",IFERROR(INT((MATCH(B2210,Teknikere,0)-1)/18)+1,""))</f>
        <v/>
      </c>
      <c r="M2210" s="2">
        <f>IF(OR(A2210="",B2210=""),"",B2210&amp;"|"&amp;A2210)</f>
        <v/>
      </c>
      <c r="N2210" s="2">
        <f>IF(M2210="","",SUMIFS(TF_Timer,TF_Nokkel,M2210,TF_Akt,C2210))</f>
        <v/>
      </c>
      <c r="O2210" s="2">
        <f>IF(M2210="","",IF(AND(N2210=_xlfn.MAXIFS(TF_AktSum,TF_Nokkel,M2210),COUNTIFS(M$3:M2209,M2210,N$3:N2209,N2210)=0),M2210,""))</f>
        <v/>
      </c>
    </row>
    <row r="2211">
      <c r="A2211" s="34" t="n"/>
      <c r="B2211" s="35" t="n"/>
      <c r="C2211" s="35" t="n"/>
      <c r="D2211" s="35" t="n"/>
      <c r="E2211" s="35" t="n"/>
      <c r="F2211" s="36" t="n"/>
      <c r="G2211" s="35" t="n"/>
      <c r="H2211" s="30">
        <f>IF(L2211="","",INDEX(SkiftNavn,L2211))</f>
        <v/>
      </c>
      <c r="I2211" s="30">
        <f>IF(OR(A2211="",L2211=""),"",IF(MOD(A2211-INDEX(SkiftStart,L2211),Syklus)&lt;DagK,"Kveld",IF(MOD(A2211-INDEX(SkiftStart,L2211),Syklus)&lt;DagK+DagH,"Helg",IF(MOD(A2211-INDEX(SkiftStart,L2211),Syklus)&lt;DagK+DagH+DagD,"Dag","Fri"))))</f>
        <v/>
      </c>
      <c r="J2211" s="30">
        <f>IF(I2211="Fri","Ja","")</f>
        <v/>
      </c>
      <c r="K2211" s="30">
        <f>IF(B2211="","",IF(L2211="","Ukjent tekniker",IF(ISNA(MATCH(C2211,Aktiviteter,0)),"Ukjent aktivitet",IF(AND(INDEX(AktRolle,MATCH(C2211,Aktiviteter,0))&amp;""&lt;&gt;"",ISERROR(SEARCH(INDEX(AktRolle,MATCH(C2211,Aktiviteter,0))&amp;"",INDEX(TekRoller,MATCH(B2211,Teknikere,0))))),"Mangler rollen "&amp;INDEX(AktRolle,MATCH(C2211,Aktiviteter,0))&amp;"",IF(AND(C2211="LMS",F2211&gt;0,OR(D2211="",E2211="")),"Mangler maskin eller arbeid",IF(AND(OR(C2211="LMS",C2211="Mod"),D2211&lt;&gt;""),IF(IFERROR(INDEX(MaskinStatus,MATCH(D2211,Maskiner,0)),"")="I dokk","","Maskinen er ikke i dokk"),""))))))</f>
        <v/>
      </c>
      <c r="L2211" s="2">
        <f>IF(B2211="","",IFERROR(INT((MATCH(B2211,Teknikere,0)-1)/18)+1,""))</f>
        <v/>
      </c>
      <c r="M2211" s="2">
        <f>IF(OR(A2211="",B2211=""),"",B2211&amp;"|"&amp;A2211)</f>
        <v/>
      </c>
      <c r="N2211" s="2">
        <f>IF(M2211="","",SUMIFS(TF_Timer,TF_Nokkel,M2211,TF_Akt,C2211))</f>
        <v/>
      </c>
      <c r="O2211" s="2">
        <f>IF(M2211="","",IF(AND(N2211=_xlfn.MAXIFS(TF_AktSum,TF_Nokkel,M2211),COUNTIFS(M$3:M2210,M2211,N$3:N2210,N2211)=0),M2211,""))</f>
        <v/>
      </c>
    </row>
    <row r="2212">
      <c r="A2212" s="34" t="n"/>
      <c r="B2212" s="35" t="n"/>
      <c r="C2212" s="35" t="n"/>
      <c r="D2212" s="35" t="n"/>
      <c r="E2212" s="35" t="n"/>
      <c r="F2212" s="36" t="n"/>
      <c r="G2212" s="35" t="n"/>
      <c r="H2212" s="30">
        <f>IF(L2212="","",INDEX(SkiftNavn,L2212))</f>
        <v/>
      </c>
      <c r="I2212" s="30">
        <f>IF(OR(A2212="",L2212=""),"",IF(MOD(A2212-INDEX(SkiftStart,L2212),Syklus)&lt;DagK,"Kveld",IF(MOD(A2212-INDEX(SkiftStart,L2212),Syklus)&lt;DagK+DagH,"Helg",IF(MOD(A2212-INDEX(SkiftStart,L2212),Syklus)&lt;DagK+DagH+DagD,"Dag","Fri"))))</f>
        <v/>
      </c>
      <c r="J2212" s="30">
        <f>IF(I2212="Fri","Ja","")</f>
        <v/>
      </c>
      <c r="K2212" s="30">
        <f>IF(B2212="","",IF(L2212="","Ukjent tekniker",IF(ISNA(MATCH(C2212,Aktiviteter,0)),"Ukjent aktivitet",IF(AND(INDEX(AktRolle,MATCH(C2212,Aktiviteter,0))&amp;""&lt;&gt;"",ISERROR(SEARCH(INDEX(AktRolle,MATCH(C2212,Aktiviteter,0))&amp;"",INDEX(TekRoller,MATCH(B2212,Teknikere,0))))),"Mangler rollen "&amp;INDEX(AktRolle,MATCH(C2212,Aktiviteter,0))&amp;"",IF(AND(C2212="LMS",F2212&gt;0,OR(D2212="",E2212="")),"Mangler maskin eller arbeid",IF(AND(OR(C2212="LMS",C2212="Mod"),D2212&lt;&gt;""),IF(IFERROR(INDEX(MaskinStatus,MATCH(D2212,Maskiner,0)),"")="I dokk","","Maskinen er ikke i dokk"),""))))))</f>
        <v/>
      </c>
      <c r="L2212" s="2">
        <f>IF(B2212="","",IFERROR(INT((MATCH(B2212,Teknikere,0)-1)/18)+1,""))</f>
        <v/>
      </c>
      <c r="M2212" s="2">
        <f>IF(OR(A2212="",B2212=""),"",B2212&amp;"|"&amp;A2212)</f>
        <v/>
      </c>
      <c r="N2212" s="2">
        <f>IF(M2212="","",SUMIFS(TF_Timer,TF_Nokkel,M2212,TF_Akt,C2212))</f>
        <v/>
      </c>
      <c r="O2212" s="2">
        <f>IF(M2212="","",IF(AND(N2212=_xlfn.MAXIFS(TF_AktSum,TF_Nokkel,M2212),COUNTIFS(M$3:M2211,M2212,N$3:N2211,N2212)=0),M2212,""))</f>
        <v/>
      </c>
    </row>
    <row r="2213">
      <c r="A2213" s="34" t="n"/>
      <c r="B2213" s="35" t="n"/>
      <c r="C2213" s="35" t="n"/>
      <c r="D2213" s="35" t="n"/>
      <c r="E2213" s="35" t="n"/>
      <c r="F2213" s="36" t="n"/>
      <c r="G2213" s="35" t="n"/>
      <c r="H2213" s="30">
        <f>IF(L2213="","",INDEX(SkiftNavn,L2213))</f>
        <v/>
      </c>
      <c r="I2213" s="30">
        <f>IF(OR(A2213="",L2213=""),"",IF(MOD(A2213-INDEX(SkiftStart,L2213),Syklus)&lt;DagK,"Kveld",IF(MOD(A2213-INDEX(SkiftStart,L2213),Syklus)&lt;DagK+DagH,"Helg",IF(MOD(A2213-INDEX(SkiftStart,L2213),Syklus)&lt;DagK+DagH+DagD,"Dag","Fri"))))</f>
        <v/>
      </c>
      <c r="J2213" s="30">
        <f>IF(I2213="Fri","Ja","")</f>
        <v/>
      </c>
      <c r="K2213" s="30">
        <f>IF(B2213="","",IF(L2213="","Ukjent tekniker",IF(ISNA(MATCH(C2213,Aktiviteter,0)),"Ukjent aktivitet",IF(AND(INDEX(AktRolle,MATCH(C2213,Aktiviteter,0))&amp;""&lt;&gt;"",ISERROR(SEARCH(INDEX(AktRolle,MATCH(C2213,Aktiviteter,0))&amp;"",INDEX(TekRoller,MATCH(B2213,Teknikere,0))))),"Mangler rollen "&amp;INDEX(AktRolle,MATCH(C2213,Aktiviteter,0))&amp;"",IF(AND(C2213="LMS",F2213&gt;0,OR(D2213="",E2213="")),"Mangler maskin eller arbeid",IF(AND(OR(C2213="LMS",C2213="Mod"),D2213&lt;&gt;""),IF(IFERROR(INDEX(MaskinStatus,MATCH(D2213,Maskiner,0)),"")="I dokk","","Maskinen er ikke i dokk"),""))))))</f>
        <v/>
      </c>
      <c r="L2213" s="2">
        <f>IF(B2213="","",IFERROR(INT((MATCH(B2213,Teknikere,0)-1)/18)+1,""))</f>
        <v/>
      </c>
      <c r="M2213" s="2">
        <f>IF(OR(A2213="",B2213=""),"",B2213&amp;"|"&amp;A2213)</f>
        <v/>
      </c>
      <c r="N2213" s="2">
        <f>IF(M2213="","",SUMIFS(TF_Timer,TF_Nokkel,M2213,TF_Akt,C2213))</f>
        <v/>
      </c>
      <c r="O2213" s="2">
        <f>IF(M2213="","",IF(AND(N2213=_xlfn.MAXIFS(TF_AktSum,TF_Nokkel,M2213),COUNTIFS(M$3:M2212,M2213,N$3:N2212,N2213)=0),M2213,""))</f>
        <v/>
      </c>
    </row>
    <row r="2214">
      <c r="A2214" s="34" t="n"/>
      <c r="B2214" s="35" t="n"/>
      <c r="C2214" s="35" t="n"/>
      <c r="D2214" s="35" t="n"/>
      <c r="E2214" s="35" t="n"/>
      <c r="F2214" s="36" t="n"/>
      <c r="G2214" s="35" t="n"/>
      <c r="H2214" s="30">
        <f>IF(L2214="","",INDEX(SkiftNavn,L2214))</f>
        <v/>
      </c>
      <c r="I2214" s="30">
        <f>IF(OR(A2214="",L2214=""),"",IF(MOD(A2214-INDEX(SkiftStart,L2214),Syklus)&lt;DagK,"Kveld",IF(MOD(A2214-INDEX(SkiftStart,L2214),Syklus)&lt;DagK+DagH,"Helg",IF(MOD(A2214-INDEX(SkiftStart,L2214),Syklus)&lt;DagK+DagH+DagD,"Dag","Fri"))))</f>
        <v/>
      </c>
      <c r="J2214" s="30">
        <f>IF(I2214="Fri","Ja","")</f>
        <v/>
      </c>
      <c r="K2214" s="30">
        <f>IF(B2214="","",IF(L2214="","Ukjent tekniker",IF(ISNA(MATCH(C2214,Aktiviteter,0)),"Ukjent aktivitet",IF(AND(INDEX(AktRolle,MATCH(C2214,Aktiviteter,0))&amp;""&lt;&gt;"",ISERROR(SEARCH(INDEX(AktRolle,MATCH(C2214,Aktiviteter,0))&amp;"",INDEX(TekRoller,MATCH(B2214,Teknikere,0))))),"Mangler rollen "&amp;INDEX(AktRolle,MATCH(C2214,Aktiviteter,0))&amp;"",IF(AND(C2214="LMS",F2214&gt;0,OR(D2214="",E2214="")),"Mangler maskin eller arbeid",IF(AND(OR(C2214="LMS",C2214="Mod"),D2214&lt;&gt;""),IF(IFERROR(INDEX(MaskinStatus,MATCH(D2214,Maskiner,0)),"")="I dokk","","Maskinen er ikke i dokk"),""))))))</f>
        <v/>
      </c>
      <c r="L2214" s="2">
        <f>IF(B2214="","",IFERROR(INT((MATCH(B2214,Teknikere,0)-1)/18)+1,""))</f>
        <v/>
      </c>
      <c r="M2214" s="2">
        <f>IF(OR(A2214="",B2214=""),"",B2214&amp;"|"&amp;A2214)</f>
        <v/>
      </c>
      <c r="N2214" s="2">
        <f>IF(M2214="","",SUMIFS(TF_Timer,TF_Nokkel,M2214,TF_Akt,C2214))</f>
        <v/>
      </c>
      <c r="O2214" s="2">
        <f>IF(M2214="","",IF(AND(N2214=_xlfn.MAXIFS(TF_AktSum,TF_Nokkel,M2214),COUNTIFS(M$3:M2213,M2214,N$3:N2213,N2214)=0),M2214,""))</f>
        <v/>
      </c>
    </row>
    <row r="2215">
      <c r="A2215" s="34" t="n"/>
      <c r="B2215" s="35" t="n"/>
      <c r="C2215" s="35" t="n"/>
      <c r="D2215" s="35" t="n"/>
      <c r="E2215" s="35" t="n"/>
      <c r="F2215" s="36" t="n"/>
      <c r="G2215" s="35" t="n"/>
      <c r="H2215" s="30">
        <f>IF(L2215="","",INDEX(SkiftNavn,L2215))</f>
        <v/>
      </c>
      <c r="I2215" s="30">
        <f>IF(OR(A2215="",L2215=""),"",IF(MOD(A2215-INDEX(SkiftStart,L2215),Syklus)&lt;DagK,"Kveld",IF(MOD(A2215-INDEX(SkiftStart,L2215),Syklus)&lt;DagK+DagH,"Helg",IF(MOD(A2215-INDEX(SkiftStart,L2215),Syklus)&lt;DagK+DagH+DagD,"Dag","Fri"))))</f>
        <v/>
      </c>
      <c r="J2215" s="30">
        <f>IF(I2215="Fri","Ja","")</f>
        <v/>
      </c>
      <c r="K2215" s="30">
        <f>IF(B2215="","",IF(L2215="","Ukjent tekniker",IF(ISNA(MATCH(C2215,Aktiviteter,0)),"Ukjent aktivitet",IF(AND(INDEX(AktRolle,MATCH(C2215,Aktiviteter,0))&amp;""&lt;&gt;"",ISERROR(SEARCH(INDEX(AktRolle,MATCH(C2215,Aktiviteter,0))&amp;"",INDEX(TekRoller,MATCH(B2215,Teknikere,0))))),"Mangler rollen "&amp;INDEX(AktRolle,MATCH(C2215,Aktiviteter,0))&amp;"",IF(AND(C2215="LMS",F2215&gt;0,OR(D2215="",E2215="")),"Mangler maskin eller arbeid",IF(AND(OR(C2215="LMS",C2215="Mod"),D2215&lt;&gt;""),IF(IFERROR(INDEX(MaskinStatus,MATCH(D2215,Maskiner,0)),"")="I dokk","","Maskinen er ikke i dokk"),""))))))</f>
        <v/>
      </c>
      <c r="L2215" s="2">
        <f>IF(B2215="","",IFERROR(INT((MATCH(B2215,Teknikere,0)-1)/18)+1,""))</f>
        <v/>
      </c>
      <c r="M2215" s="2">
        <f>IF(OR(A2215="",B2215=""),"",B2215&amp;"|"&amp;A2215)</f>
        <v/>
      </c>
      <c r="N2215" s="2">
        <f>IF(M2215="","",SUMIFS(TF_Timer,TF_Nokkel,M2215,TF_Akt,C2215))</f>
        <v/>
      </c>
      <c r="O2215" s="2">
        <f>IF(M2215="","",IF(AND(N2215=_xlfn.MAXIFS(TF_AktSum,TF_Nokkel,M2215),COUNTIFS(M$3:M2214,M2215,N$3:N2214,N2215)=0),M2215,""))</f>
        <v/>
      </c>
    </row>
    <row r="2216">
      <c r="A2216" s="34" t="n"/>
      <c r="B2216" s="35" t="n"/>
      <c r="C2216" s="35" t="n"/>
      <c r="D2216" s="35" t="n"/>
      <c r="E2216" s="35" t="n"/>
      <c r="F2216" s="36" t="n"/>
      <c r="G2216" s="35" t="n"/>
      <c r="H2216" s="30">
        <f>IF(L2216="","",INDEX(SkiftNavn,L2216))</f>
        <v/>
      </c>
      <c r="I2216" s="30">
        <f>IF(OR(A2216="",L2216=""),"",IF(MOD(A2216-INDEX(SkiftStart,L2216),Syklus)&lt;DagK,"Kveld",IF(MOD(A2216-INDEX(SkiftStart,L2216),Syklus)&lt;DagK+DagH,"Helg",IF(MOD(A2216-INDEX(SkiftStart,L2216),Syklus)&lt;DagK+DagH+DagD,"Dag","Fri"))))</f>
        <v/>
      </c>
      <c r="J2216" s="30">
        <f>IF(I2216="Fri","Ja","")</f>
        <v/>
      </c>
      <c r="K2216" s="30">
        <f>IF(B2216="","",IF(L2216="","Ukjent tekniker",IF(ISNA(MATCH(C2216,Aktiviteter,0)),"Ukjent aktivitet",IF(AND(INDEX(AktRolle,MATCH(C2216,Aktiviteter,0))&amp;""&lt;&gt;"",ISERROR(SEARCH(INDEX(AktRolle,MATCH(C2216,Aktiviteter,0))&amp;"",INDEX(TekRoller,MATCH(B2216,Teknikere,0))))),"Mangler rollen "&amp;INDEX(AktRolle,MATCH(C2216,Aktiviteter,0))&amp;"",IF(AND(C2216="LMS",F2216&gt;0,OR(D2216="",E2216="")),"Mangler maskin eller arbeid",IF(AND(OR(C2216="LMS",C2216="Mod"),D2216&lt;&gt;""),IF(IFERROR(INDEX(MaskinStatus,MATCH(D2216,Maskiner,0)),"")="I dokk","","Maskinen er ikke i dokk"),""))))))</f>
        <v/>
      </c>
      <c r="L2216" s="2">
        <f>IF(B2216="","",IFERROR(INT((MATCH(B2216,Teknikere,0)-1)/18)+1,""))</f>
        <v/>
      </c>
      <c r="M2216" s="2">
        <f>IF(OR(A2216="",B2216=""),"",B2216&amp;"|"&amp;A2216)</f>
        <v/>
      </c>
      <c r="N2216" s="2">
        <f>IF(M2216="","",SUMIFS(TF_Timer,TF_Nokkel,M2216,TF_Akt,C2216))</f>
        <v/>
      </c>
      <c r="O2216" s="2">
        <f>IF(M2216="","",IF(AND(N2216=_xlfn.MAXIFS(TF_AktSum,TF_Nokkel,M2216),COUNTIFS(M$3:M2215,M2216,N$3:N2215,N2216)=0),M2216,""))</f>
        <v/>
      </c>
    </row>
    <row r="2217">
      <c r="A2217" s="34" t="n"/>
      <c r="B2217" s="35" t="n"/>
      <c r="C2217" s="35" t="n"/>
      <c r="D2217" s="35" t="n"/>
      <c r="E2217" s="35" t="n"/>
      <c r="F2217" s="36" t="n"/>
      <c r="G2217" s="35" t="n"/>
      <c r="H2217" s="30">
        <f>IF(L2217="","",INDEX(SkiftNavn,L2217))</f>
        <v/>
      </c>
      <c r="I2217" s="30">
        <f>IF(OR(A2217="",L2217=""),"",IF(MOD(A2217-INDEX(SkiftStart,L2217),Syklus)&lt;DagK,"Kveld",IF(MOD(A2217-INDEX(SkiftStart,L2217),Syklus)&lt;DagK+DagH,"Helg",IF(MOD(A2217-INDEX(SkiftStart,L2217),Syklus)&lt;DagK+DagH+DagD,"Dag","Fri"))))</f>
        <v/>
      </c>
      <c r="J2217" s="30">
        <f>IF(I2217="Fri","Ja","")</f>
        <v/>
      </c>
      <c r="K2217" s="30">
        <f>IF(B2217="","",IF(L2217="","Ukjent tekniker",IF(ISNA(MATCH(C2217,Aktiviteter,0)),"Ukjent aktivitet",IF(AND(INDEX(AktRolle,MATCH(C2217,Aktiviteter,0))&amp;""&lt;&gt;"",ISERROR(SEARCH(INDEX(AktRolle,MATCH(C2217,Aktiviteter,0))&amp;"",INDEX(TekRoller,MATCH(B2217,Teknikere,0))))),"Mangler rollen "&amp;INDEX(AktRolle,MATCH(C2217,Aktiviteter,0))&amp;"",IF(AND(C2217="LMS",F2217&gt;0,OR(D2217="",E2217="")),"Mangler maskin eller arbeid",IF(AND(OR(C2217="LMS",C2217="Mod"),D2217&lt;&gt;""),IF(IFERROR(INDEX(MaskinStatus,MATCH(D2217,Maskiner,0)),"")="I dokk","","Maskinen er ikke i dokk"),""))))))</f>
        <v/>
      </c>
      <c r="L2217" s="2">
        <f>IF(B2217="","",IFERROR(INT((MATCH(B2217,Teknikere,0)-1)/18)+1,""))</f>
        <v/>
      </c>
      <c r="M2217" s="2">
        <f>IF(OR(A2217="",B2217=""),"",B2217&amp;"|"&amp;A2217)</f>
        <v/>
      </c>
      <c r="N2217" s="2">
        <f>IF(M2217="","",SUMIFS(TF_Timer,TF_Nokkel,M2217,TF_Akt,C2217))</f>
        <v/>
      </c>
      <c r="O2217" s="2">
        <f>IF(M2217="","",IF(AND(N2217=_xlfn.MAXIFS(TF_AktSum,TF_Nokkel,M2217),COUNTIFS(M$3:M2216,M2217,N$3:N2216,N2217)=0),M2217,""))</f>
        <v/>
      </c>
    </row>
    <row r="2218">
      <c r="A2218" s="34" t="n"/>
      <c r="B2218" s="35" t="n"/>
      <c r="C2218" s="35" t="n"/>
      <c r="D2218" s="35" t="n"/>
      <c r="E2218" s="35" t="n"/>
      <c r="F2218" s="36" t="n"/>
      <c r="G2218" s="35" t="n"/>
      <c r="H2218" s="30">
        <f>IF(L2218="","",INDEX(SkiftNavn,L2218))</f>
        <v/>
      </c>
      <c r="I2218" s="30">
        <f>IF(OR(A2218="",L2218=""),"",IF(MOD(A2218-INDEX(SkiftStart,L2218),Syklus)&lt;DagK,"Kveld",IF(MOD(A2218-INDEX(SkiftStart,L2218),Syklus)&lt;DagK+DagH,"Helg",IF(MOD(A2218-INDEX(SkiftStart,L2218),Syklus)&lt;DagK+DagH+DagD,"Dag","Fri"))))</f>
        <v/>
      </c>
      <c r="J2218" s="30">
        <f>IF(I2218="Fri","Ja","")</f>
        <v/>
      </c>
      <c r="K2218" s="30">
        <f>IF(B2218="","",IF(L2218="","Ukjent tekniker",IF(ISNA(MATCH(C2218,Aktiviteter,0)),"Ukjent aktivitet",IF(AND(INDEX(AktRolle,MATCH(C2218,Aktiviteter,0))&amp;""&lt;&gt;"",ISERROR(SEARCH(INDEX(AktRolle,MATCH(C2218,Aktiviteter,0))&amp;"",INDEX(TekRoller,MATCH(B2218,Teknikere,0))))),"Mangler rollen "&amp;INDEX(AktRolle,MATCH(C2218,Aktiviteter,0))&amp;"",IF(AND(C2218="LMS",F2218&gt;0,OR(D2218="",E2218="")),"Mangler maskin eller arbeid",IF(AND(OR(C2218="LMS",C2218="Mod"),D2218&lt;&gt;""),IF(IFERROR(INDEX(MaskinStatus,MATCH(D2218,Maskiner,0)),"")="I dokk","","Maskinen er ikke i dokk"),""))))))</f>
        <v/>
      </c>
      <c r="L2218" s="2">
        <f>IF(B2218="","",IFERROR(INT((MATCH(B2218,Teknikere,0)-1)/18)+1,""))</f>
        <v/>
      </c>
      <c r="M2218" s="2">
        <f>IF(OR(A2218="",B2218=""),"",B2218&amp;"|"&amp;A2218)</f>
        <v/>
      </c>
      <c r="N2218" s="2">
        <f>IF(M2218="","",SUMIFS(TF_Timer,TF_Nokkel,M2218,TF_Akt,C2218))</f>
        <v/>
      </c>
      <c r="O2218" s="2">
        <f>IF(M2218="","",IF(AND(N2218=_xlfn.MAXIFS(TF_AktSum,TF_Nokkel,M2218),COUNTIFS(M$3:M2217,M2218,N$3:N2217,N2218)=0),M2218,""))</f>
        <v/>
      </c>
    </row>
    <row r="2219">
      <c r="A2219" s="34" t="n"/>
      <c r="B2219" s="35" t="n"/>
      <c r="C2219" s="35" t="n"/>
      <c r="D2219" s="35" t="n"/>
      <c r="E2219" s="35" t="n"/>
      <c r="F2219" s="36" t="n"/>
      <c r="G2219" s="35" t="n"/>
      <c r="H2219" s="30">
        <f>IF(L2219="","",INDEX(SkiftNavn,L2219))</f>
        <v/>
      </c>
      <c r="I2219" s="30">
        <f>IF(OR(A2219="",L2219=""),"",IF(MOD(A2219-INDEX(SkiftStart,L2219),Syklus)&lt;DagK,"Kveld",IF(MOD(A2219-INDEX(SkiftStart,L2219),Syklus)&lt;DagK+DagH,"Helg",IF(MOD(A2219-INDEX(SkiftStart,L2219),Syklus)&lt;DagK+DagH+DagD,"Dag","Fri"))))</f>
        <v/>
      </c>
      <c r="J2219" s="30">
        <f>IF(I2219="Fri","Ja","")</f>
        <v/>
      </c>
      <c r="K2219" s="30">
        <f>IF(B2219="","",IF(L2219="","Ukjent tekniker",IF(ISNA(MATCH(C2219,Aktiviteter,0)),"Ukjent aktivitet",IF(AND(INDEX(AktRolle,MATCH(C2219,Aktiviteter,0))&amp;""&lt;&gt;"",ISERROR(SEARCH(INDEX(AktRolle,MATCH(C2219,Aktiviteter,0))&amp;"",INDEX(TekRoller,MATCH(B2219,Teknikere,0))))),"Mangler rollen "&amp;INDEX(AktRolle,MATCH(C2219,Aktiviteter,0))&amp;"",IF(AND(C2219="LMS",F2219&gt;0,OR(D2219="",E2219="")),"Mangler maskin eller arbeid",IF(AND(OR(C2219="LMS",C2219="Mod"),D2219&lt;&gt;""),IF(IFERROR(INDEX(MaskinStatus,MATCH(D2219,Maskiner,0)),"")="I dokk","","Maskinen er ikke i dokk"),""))))))</f>
        <v/>
      </c>
      <c r="L2219" s="2">
        <f>IF(B2219="","",IFERROR(INT((MATCH(B2219,Teknikere,0)-1)/18)+1,""))</f>
        <v/>
      </c>
      <c r="M2219" s="2">
        <f>IF(OR(A2219="",B2219=""),"",B2219&amp;"|"&amp;A2219)</f>
        <v/>
      </c>
      <c r="N2219" s="2">
        <f>IF(M2219="","",SUMIFS(TF_Timer,TF_Nokkel,M2219,TF_Akt,C2219))</f>
        <v/>
      </c>
      <c r="O2219" s="2">
        <f>IF(M2219="","",IF(AND(N2219=_xlfn.MAXIFS(TF_AktSum,TF_Nokkel,M2219),COUNTIFS(M$3:M2218,M2219,N$3:N2218,N2219)=0),M2219,""))</f>
        <v/>
      </c>
    </row>
    <row r="2220">
      <c r="A2220" s="34" t="n"/>
      <c r="B2220" s="35" t="n"/>
      <c r="C2220" s="35" t="n"/>
      <c r="D2220" s="35" t="n"/>
      <c r="E2220" s="35" t="n"/>
      <c r="F2220" s="36" t="n"/>
      <c r="G2220" s="35" t="n"/>
      <c r="H2220" s="30">
        <f>IF(L2220="","",INDEX(SkiftNavn,L2220))</f>
        <v/>
      </c>
      <c r="I2220" s="30">
        <f>IF(OR(A2220="",L2220=""),"",IF(MOD(A2220-INDEX(SkiftStart,L2220),Syklus)&lt;DagK,"Kveld",IF(MOD(A2220-INDEX(SkiftStart,L2220),Syklus)&lt;DagK+DagH,"Helg",IF(MOD(A2220-INDEX(SkiftStart,L2220),Syklus)&lt;DagK+DagH+DagD,"Dag","Fri"))))</f>
        <v/>
      </c>
      <c r="J2220" s="30">
        <f>IF(I2220="Fri","Ja","")</f>
        <v/>
      </c>
      <c r="K2220" s="30">
        <f>IF(B2220="","",IF(L2220="","Ukjent tekniker",IF(ISNA(MATCH(C2220,Aktiviteter,0)),"Ukjent aktivitet",IF(AND(INDEX(AktRolle,MATCH(C2220,Aktiviteter,0))&amp;""&lt;&gt;"",ISERROR(SEARCH(INDEX(AktRolle,MATCH(C2220,Aktiviteter,0))&amp;"",INDEX(TekRoller,MATCH(B2220,Teknikere,0))))),"Mangler rollen "&amp;INDEX(AktRolle,MATCH(C2220,Aktiviteter,0))&amp;"",IF(AND(C2220="LMS",F2220&gt;0,OR(D2220="",E2220="")),"Mangler maskin eller arbeid",IF(AND(OR(C2220="LMS",C2220="Mod"),D2220&lt;&gt;""),IF(IFERROR(INDEX(MaskinStatus,MATCH(D2220,Maskiner,0)),"")="I dokk","","Maskinen er ikke i dokk"),""))))))</f>
        <v/>
      </c>
      <c r="L2220" s="2">
        <f>IF(B2220="","",IFERROR(INT((MATCH(B2220,Teknikere,0)-1)/18)+1,""))</f>
        <v/>
      </c>
      <c r="M2220" s="2">
        <f>IF(OR(A2220="",B2220=""),"",B2220&amp;"|"&amp;A2220)</f>
        <v/>
      </c>
      <c r="N2220" s="2">
        <f>IF(M2220="","",SUMIFS(TF_Timer,TF_Nokkel,M2220,TF_Akt,C2220))</f>
        <v/>
      </c>
      <c r="O2220" s="2">
        <f>IF(M2220="","",IF(AND(N2220=_xlfn.MAXIFS(TF_AktSum,TF_Nokkel,M2220),COUNTIFS(M$3:M2219,M2220,N$3:N2219,N2220)=0),M2220,""))</f>
        <v/>
      </c>
    </row>
    <row r="2221">
      <c r="A2221" s="34" t="n"/>
      <c r="B2221" s="35" t="n"/>
      <c r="C2221" s="35" t="n"/>
      <c r="D2221" s="35" t="n"/>
      <c r="E2221" s="35" t="n"/>
      <c r="F2221" s="36" t="n"/>
      <c r="G2221" s="35" t="n"/>
      <c r="H2221" s="30">
        <f>IF(L2221="","",INDEX(SkiftNavn,L2221))</f>
        <v/>
      </c>
      <c r="I2221" s="30">
        <f>IF(OR(A2221="",L2221=""),"",IF(MOD(A2221-INDEX(SkiftStart,L2221),Syklus)&lt;DagK,"Kveld",IF(MOD(A2221-INDEX(SkiftStart,L2221),Syklus)&lt;DagK+DagH,"Helg",IF(MOD(A2221-INDEX(SkiftStart,L2221),Syklus)&lt;DagK+DagH+DagD,"Dag","Fri"))))</f>
        <v/>
      </c>
      <c r="J2221" s="30">
        <f>IF(I2221="Fri","Ja","")</f>
        <v/>
      </c>
      <c r="K2221" s="30">
        <f>IF(B2221="","",IF(L2221="","Ukjent tekniker",IF(ISNA(MATCH(C2221,Aktiviteter,0)),"Ukjent aktivitet",IF(AND(INDEX(AktRolle,MATCH(C2221,Aktiviteter,0))&amp;""&lt;&gt;"",ISERROR(SEARCH(INDEX(AktRolle,MATCH(C2221,Aktiviteter,0))&amp;"",INDEX(TekRoller,MATCH(B2221,Teknikere,0))))),"Mangler rollen "&amp;INDEX(AktRolle,MATCH(C2221,Aktiviteter,0))&amp;"",IF(AND(C2221="LMS",F2221&gt;0,OR(D2221="",E2221="")),"Mangler maskin eller arbeid",IF(AND(OR(C2221="LMS",C2221="Mod"),D2221&lt;&gt;""),IF(IFERROR(INDEX(MaskinStatus,MATCH(D2221,Maskiner,0)),"")="I dokk","","Maskinen er ikke i dokk"),""))))))</f>
        <v/>
      </c>
      <c r="L2221" s="2">
        <f>IF(B2221="","",IFERROR(INT((MATCH(B2221,Teknikere,0)-1)/18)+1,""))</f>
        <v/>
      </c>
      <c r="M2221" s="2">
        <f>IF(OR(A2221="",B2221=""),"",B2221&amp;"|"&amp;A2221)</f>
        <v/>
      </c>
      <c r="N2221" s="2">
        <f>IF(M2221="","",SUMIFS(TF_Timer,TF_Nokkel,M2221,TF_Akt,C2221))</f>
        <v/>
      </c>
      <c r="O2221" s="2">
        <f>IF(M2221="","",IF(AND(N2221=_xlfn.MAXIFS(TF_AktSum,TF_Nokkel,M2221),COUNTIFS(M$3:M2220,M2221,N$3:N2220,N2221)=0),M2221,""))</f>
        <v/>
      </c>
    </row>
    <row r="2222">
      <c r="A2222" s="34" t="n"/>
      <c r="B2222" s="35" t="n"/>
      <c r="C2222" s="35" t="n"/>
      <c r="D2222" s="35" t="n"/>
      <c r="E2222" s="35" t="n"/>
      <c r="F2222" s="36" t="n"/>
      <c r="G2222" s="35" t="n"/>
      <c r="H2222" s="30">
        <f>IF(L2222="","",INDEX(SkiftNavn,L2222))</f>
        <v/>
      </c>
      <c r="I2222" s="30">
        <f>IF(OR(A2222="",L2222=""),"",IF(MOD(A2222-INDEX(SkiftStart,L2222),Syklus)&lt;DagK,"Kveld",IF(MOD(A2222-INDEX(SkiftStart,L2222),Syklus)&lt;DagK+DagH,"Helg",IF(MOD(A2222-INDEX(SkiftStart,L2222),Syklus)&lt;DagK+DagH+DagD,"Dag","Fri"))))</f>
        <v/>
      </c>
      <c r="J2222" s="30">
        <f>IF(I2222="Fri","Ja","")</f>
        <v/>
      </c>
      <c r="K2222" s="30">
        <f>IF(B2222="","",IF(L2222="","Ukjent tekniker",IF(ISNA(MATCH(C2222,Aktiviteter,0)),"Ukjent aktivitet",IF(AND(INDEX(AktRolle,MATCH(C2222,Aktiviteter,0))&amp;""&lt;&gt;"",ISERROR(SEARCH(INDEX(AktRolle,MATCH(C2222,Aktiviteter,0))&amp;"",INDEX(TekRoller,MATCH(B2222,Teknikere,0))))),"Mangler rollen "&amp;INDEX(AktRolle,MATCH(C2222,Aktiviteter,0))&amp;"",IF(AND(C2222="LMS",F2222&gt;0,OR(D2222="",E2222="")),"Mangler maskin eller arbeid",IF(AND(OR(C2222="LMS",C2222="Mod"),D2222&lt;&gt;""),IF(IFERROR(INDEX(MaskinStatus,MATCH(D2222,Maskiner,0)),"")="I dokk","","Maskinen er ikke i dokk"),""))))))</f>
        <v/>
      </c>
      <c r="L2222" s="2">
        <f>IF(B2222="","",IFERROR(INT((MATCH(B2222,Teknikere,0)-1)/18)+1,""))</f>
        <v/>
      </c>
      <c r="M2222" s="2">
        <f>IF(OR(A2222="",B2222=""),"",B2222&amp;"|"&amp;A2222)</f>
        <v/>
      </c>
      <c r="N2222" s="2">
        <f>IF(M2222="","",SUMIFS(TF_Timer,TF_Nokkel,M2222,TF_Akt,C2222))</f>
        <v/>
      </c>
      <c r="O2222" s="2">
        <f>IF(M2222="","",IF(AND(N2222=_xlfn.MAXIFS(TF_AktSum,TF_Nokkel,M2222),COUNTIFS(M$3:M2221,M2222,N$3:N2221,N2222)=0),M2222,""))</f>
        <v/>
      </c>
    </row>
    <row r="2223">
      <c r="A2223" s="34" t="n"/>
      <c r="B2223" s="35" t="n"/>
      <c r="C2223" s="35" t="n"/>
      <c r="D2223" s="35" t="n"/>
      <c r="E2223" s="35" t="n"/>
      <c r="F2223" s="36" t="n"/>
      <c r="G2223" s="35" t="n"/>
      <c r="H2223" s="30">
        <f>IF(L2223="","",INDEX(SkiftNavn,L2223))</f>
        <v/>
      </c>
      <c r="I2223" s="30">
        <f>IF(OR(A2223="",L2223=""),"",IF(MOD(A2223-INDEX(SkiftStart,L2223),Syklus)&lt;DagK,"Kveld",IF(MOD(A2223-INDEX(SkiftStart,L2223),Syklus)&lt;DagK+DagH,"Helg",IF(MOD(A2223-INDEX(SkiftStart,L2223),Syklus)&lt;DagK+DagH+DagD,"Dag","Fri"))))</f>
        <v/>
      </c>
      <c r="J2223" s="30">
        <f>IF(I2223="Fri","Ja","")</f>
        <v/>
      </c>
      <c r="K2223" s="30">
        <f>IF(B2223="","",IF(L2223="","Ukjent tekniker",IF(ISNA(MATCH(C2223,Aktiviteter,0)),"Ukjent aktivitet",IF(AND(INDEX(AktRolle,MATCH(C2223,Aktiviteter,0))&amp;""&lt;&gt;"",ISERROR(SEARCH(INDEX(AktRolle,MATCH(C2223,Aktiviteter,0))&amp;"",INDEX(TekRoller,MATCH(B2223,Teknikere,0))))),"Mangler rollen "&amp;INDEX(AktRolle,MATCH(C2223,Aktiviteter,0))&amp;"",IF(AND(C2223="LMS",F2223&gt;0,OR(D2223="",E2223="")),"Mangler maskin eller arbeid",IF(AND(OR(C2223="LMS",C2223="Mod"),D2223&lt;&gt;""),IF(IFERROR(INDEX(MaskinStatus,MATCH(D2223,Maskiner,0)),"")="I dokk","","Maskinen er ikke i dokk"),""))))))</f>
        <v/>
      </c>
      <c r="L2223" s="2">
        <f>IF(B2223="","",IFERROR(INT((MATCH(B2223,Teknikere,0)-1)/18)+1,""))</f>
        <v/>
      </c>
      <c r="M2223" s="2">
        <f>IF(OR(A2223="",B2223=""),"",B2223&amp;"|"&amp;A2223)</f>
        <v/>
      </c>
      <c r="N2223" s="2">
        <f>IF(M2223="","",SUMIFS(TF_Timer,TF_Nokkel,M2223,TF_Akt,C2223))</f>
        <v/>
      </c>
      <c r="O2223" s="2">
        <f>IF(M2223="","",IF(AND(N2223=_xlfn.MAXIFS(TF_AktSum,TF_Nokkel,M2223),COUNTIFS(M$3:M2222,M2223,N$3:N2222,N2223)=0),M2223,""))</f>
        <v/>
      </c>
    </row>
    <row r="2224">
      <c r="A2224" s="34" t="n"/>
      <c r="B2224" s="35" t="n"/>
      <c r="C2224" s="35" t="n"/>
      <c r="D2224" s="35" t="n"/>
      <c r="E2224" s="35" t="n"/>
      <c r="F2224" s="36" t="n"/>
      <c r="G2224" s="35" t="n"/>
      <c r="H2224" s="30">
        <f>IF(L2224="","",INDEX(SkiftNavn,L2224))</f>
        <v/>
      </c>
      <c r="I2224" s="30">
        <f>IF(OR(A2224="",L2224=""),"",IF(MOD(A2224-INDEX(SkiftStart,L2224),Syklus)&lt;DagK,"Kveld",IF(MOD(A2224-INDEX(SkiftStart,L2224),Syklus)&lt;DagK+DagH,"Helg",IF(MOD(A2224-INDEX(SkiftStart,L2224),Syklus)&lt;DagK+DagH+DagD,"Dag","Fri"))))</f>
        <v/>
      </c>
      <c r="J2224" s="30">
        <f>IF(I2224="Fri","Ja","")</f>
        <v/>
      </c>
      <c r="K2224" s="30">
        <f>IF(B2224="","",IF(L2224="","Ukjent tekniker",IF(ISNA(MATCH(C2224,Aktiviteter,0)),"Ukjent aktivitet",IF(AND(INDEX(AktRolle,MATCH(C2224,Aktiviteter,0))&amp;""&lt;&gt;"",ISERROR(SEARCH(INDEX(AktRolle,MATCH(C2224,Aktiviteter,0))&amp;"",INDEX(TekRoller,MATCH(B2224,Teknikere,0))))),"Mangler rollen "&amp;INDEX(AktRolle,MATCH(C2224,Aktiviteter,0))&amp;"",IF(AND(C2224="LMS",F2224&gt;0,OR(D2224="",E2224="")),"Mangler maskin eller arbeid",IF(AND(OR(C2224="LMS",C2224="Mod"),D2224&lt;&gt;""),IF(IFERROR(INDEX(MaskinStatus,MATCH(D2224,Maskiner,0)),"")="I dokk","","Maskinen er ikke i dokk"),""))))))</f>
        <v/>
      </c>
      <c r="L2224" s="2">
        <f>IF(B2224="","",IFERROR(INT((MATCH(B2224,Teknikere,0)-1)/18)+1,""))</f>
        <v/>
      </c>
      <c r="M2224" s="2">
        <f>IF(OR(A2224="",B2224=""),"",B2224&amp;"|"&amp;A2224)</f>
        <v/>
      </c>
      <c r="N2224" s="2">
        <f>IF(M2224="","",SUMIFS(TF_Timer,TF_Nokkel,M2224,TF_Akt,C2224))</f>
        <v/>
      </c>
      <c r="O2224" s="2">
        <f>IF(M2224="","",IF(AND(N2224=_xlfn.MAXIFS(TF_AktSum,TF_Nokkel,M2224),COUNTIFS(M$3:M2223,M2224,N$3:N2223,N2224)=0),M2224,""))</f>
        <v/>
      </c>
    </row>
    <row r="2225">
      <c r="A2225" s="34" t="n"/>
      <c r="B2225" s="35" t="n"/>
      <c r="C2225" s="35" t="n"/>
      <c r="D2225" s="35" t="n"/>
      <c r="E2225" s="35" t="n"/>
      <c r="F2225" s="36" t="n"/>
      <c r="G2225" s="35" t="n"/>
      <c r="H2225" s="30">
        <f>IF(L2225="","",INDEX(SkiftNavn,L2225))</f>
        <v/>
      </c>
      <c r="I2225" s="30">
        <f>IF(OR(A2225="",L2225=""),"",IF(MOD(A2225-INDEX(SkiftStart,L2225),Syklus)&lt;DagK,"Kveld",IF(MOD(A2225-INDEX(SkiftStart,L2225),Syklus)&lt;DagK+DagH,"Helg",IF(MOD(A2225-INDEX(SkiftStart,L2225),Syklus)&lt;DagK+DagH+DagD,"Dag","Fri"))))</f>
        <v/>
      </c>
      <c r="J2225" s="30">
        <f>IF(I2225="Fri","Ja","")</f>
        <v/>
      </c>
      <c r="K2225" s="30">
        <f>IF(B2225="","",IF(L2225="","Ukjent tekniker",IF(ISNA(MATCH(C2225,Aktiviteter,0)),"Ukjent aktivitet",IF(AND(INDEX(AktRolle,MATCH(C2225,Aktiviteter,0))&amp;""&lt;&gt;"",ISERROR(SEARCH(INDEX(AktRolle,MATCH(C2225,Aktiviteter,0))&amp;"",INDEX(TekRoller,MATCH(B2225,Teknikere,0))))),"Mangler rollen "&amp;INDEX(AktRolle,MATCH(C2225,Aktiviteter,0))&amp;"",IF(AND(C2225="LMS",F2225&gt;0,OR(D2225="",E2225="")),"Mangler maskin eller arbeid",IF(AND(OR(C2225="LMS",C2225="Mod"),D2225&lt;&gt;""),IF(IFERROR(INDEX(MaskinStatus,MATCH(D2225,Maskiner,0)),"")="I dokk","","Maskinen er ikke i dokk"),""))))))</f>
        <v/>
      </c>
      <c r="L2225" s="2">
        <f>IF(B2225="","",IFERROR(INT((MATCH(B2225,Teknikere,0)-1)/18)+1,""))</f>
        <v/>
      </c>
      <c r="M2225" s="2">
        <f>IF(OR(A2225="",B2225=""),"",B2225&amp;"|"&amp;A2225)</f>
        <v/>
      </c>
      <c r="N2225" s="2">
        <f>IF(M2225="","",SUMIFS(TF_Timer,TF_Nokkel,M2225,TF_Akt,C2225))</f>
        <v/>
      </c>
      <c r="O2225" s="2">
        <f>IF(M2225="","",IF(AND(N2225=_xlfn.MAXIFS(TF_AktSum,TF_Nokkel,M2225),COUNTIFS(M$3:M2224,M2225,N$3:N2224,N2225)=0),M2225,""))</f>
        <v/>
      </c>
    </row>
    <row r="2226">
      <c r="A2226" s="34" t="n"/>
      <c r="B2226" s="35" t="n"/>
      <c r="C2226" s="35" t="n"/>
      <c r="D2226" s="35" t="n"/>
      <c r="E2226" s="35" t="n"/>
      <c r="F2226" s="36" t="n"/>
      <c r="G2226" s="35" t="n"/>
      <c r="H2226" s="30">
        <f>IF(L2226="","",INDEX(SkiftNavn,L2226))</f>
        <v/>
      </c>
      <c r="I2226" s="30">
        <f>IF(OR(A2226="",L2226=""),"",IF(MOD(A2226-INDEX(SkiftStart,L2226),Syklus)&lt;DagK,"Kveld",IF(MOD(A2226-INDEX(SkiftStart,L2226),Syklus)&lt;DagK+DagH,"Helg",IF(MOD(A2226-INDEX(SkiftStart,L2226),Syklus)&lt;DagK+DagH+DagD,"Dag","Fri"))))</f>
        <v/>
      </c>
      <c r="J2226" s="30">
        <f>IF(I2226="Fri","Ja","")</f>
        <v/>
      </c>
      <c r="K2226" s="30">
        <f>IF(B2226="","",IF(L2226="","Ukjent tekniker",IF(ISNA(MATCH(C2226,Aktiviteter,0)),"Ukjent aktivitet",IF(AND(INDEX(AktRolle,MATCH(C2226,Aktiviteter,0))&amp;""&lt;&gt;"",ISERROR(SEARCH(INDEX(AktRolle,MATCH(C2226,Aktiviteter,0))&amp;"",INDEX(TekRoller,MATCH(B2226,Teknikere,0))))),"Mangler rollen "&amp;INDEX(AktRolle,MATCH(C2226,Aktiviteter,0))&amp;"",IF(AND(C2226="LMS",F2226&gt;0,OR(D2226="",E2226="")),"Mangler maskin eller arbeid",IF(AND(OR(C2226="LMS",C2226="Mod"),D2226&lt;&gt;""),IF(IFERROR(INDEX(MaskinStatus,MATCH(D2226,Maskiner,0)),"")="I dokk","","Maskinen er ikke i dokk"),""))))))</f>
        <v/>
      </c>
      <c r="L2226" s="2">
        <f>IF(B2226="","",IFERROR(INT((MATCH(B2226,Teknikere,0)-1)/18)+1,""))</f>
        <v/>
      </c>
      <c r="M2226" s="2">
        <f>IF(OR(A2226="",B2226=""),"",B2226&amp;"|"&amp;A2226)</f>
        <v/>
      </c>
      <c r="N2226" s="2">
        <f>IF(M2226="","",SUMIFS(TF_Timer,TF_Nokkel,M2226,TF_Akt,C2226))</f>
        <v/>
      </c>
      <c r="O2226" s="2">
        <f>IF(M2226="","",IF(AND(N2226=_xlfn.MAXIFS(TF_AktSum,TF_Nokkel,M2226),COUNTIFS(M$3:M2225,M2226,N$3:N2225,N2226)=0),M2226,""))</f>
        <v/>
      </c>
    </row>
    <row r="2227">
      <c r="A2227" s="34" t="n"/>
      <c r="B2227" s="35" t="n"/>
      <c r="C2227" s="35" t="n"/>
      <c r="D2227" s="35" t="n"/>
      <c r="E2227" s="35" t="n"/>
      <c r="F2227" s="36" t="n"/>
      <c r="G2227" s="35" t="n"/>
      <c r="H2227" s="30">
        <f>IF(L2227="","",INDEX(SkiftNavn,L2227))</f>
        <v/>
      </c>
      <c r="I2227" s="30">
        <f>IF(OR(A2227="",L2227=""),"",IF(MOD(A2227-INDEX(SkiftStart,L2227),Syklus)&lt;DagK,"Kveld",IF(MOD(A2227-INDEX(SkiftStart,L2227),Syklus)&lt;DagK+DagH,"Helg",IF(MOD(A2227-INDEX(SkiftStart,L2227),Syklus)&lt;DagK+DagH+DagD,"Dag","Fri"))))</f>
        <v/>
      </c>
      <c r="J2227" s="30">
        <f>IF(I2227="Fri","Ja","")</f>
        <v/>
      </c>
      <c r="K2227" s="30">
        <f>IF(B2227="","",IF(L2227="","Ukjent tekniker",IF(ISNA(MATCH(C2227,Aktiviteter,0)),"Ukjent aktivitet",IF(AND(INDEX(AktRolle,MATCH(C2227,Aktiviteter,0))&amp;""&lt;&gt;"",ISERROR(SEARCH(INDEX(AktRolle,MATCH(C2227,Aktiviteter,0))&amp;"",INDEX(TekRoller,MATCH(B2227,Teknikere,0))))),"Mangler rollen "&amp;INDEX(AktRolle,MATCH(C2227,Aktiviteter,0))&amp;"",IF(AND(C2227="LMS",F2227&gt;0,OR(D2227="",E2227="")),"Mangler maskin eller arbeid",IF(AND(OR(C2227="LMS",C2227="Mod"),D2227&lt;&gt;""),IF(IFERROR(INDEX(MaskinStatus,MATCH(D2227,Maskiner,0)),"")="I dokk","","Maskinen er ikke i dokk"),""))))))</f>
        <v/>
      </c>
      <c r="L2227" s="2">
        <f>IF(B2227="","",IFERROR(INT((MATCH(B2227,Teknikere,0)-1)/18)+1,""))</f>
        <v/>
      </c>
      <c r="M2227" s="2">
        <f>IF(OR(A2227="",B2227=""),"",B2227&amp;"|"&amp;A2227)</f>
        <v/>
      </c>
      <c r="N2227" s="2">
        <f>IF(M2227="","",SUMIFS(TF_Timer,TF_Nokkel,M2227,TF_Akt,C2227))</f>
        <v/>
      </c>
      <c r="O2227" s="2">
        <f>IF(M2227="","",IF(AND(N2227=_xlfn.MAXIFS(TF_AktSum,TF_Nokkel,M2227),COUNTIFS(M$3:M2226,M2227,N$3:N2226,N2227)=0),M2227,""))</f>
        <v/>
      </c>
    </row>
    <row r="2228">
      <c r="A2228" s="34" t="n"/>
      <c r="B2228" s="35" t="n"/>
      <c r="C2228" s="35" t="n"/>
      <c r="D2228" s="35" t="n"/>
      <c r="E2228" s="35" t="n"/>
      <c r="F2228" s="36" t="n"/>
      <c r="G2228" s="35" t="n"/>
      <c r="H2228" s="30">
        <f>IF(L2228="","",INDEX(SkiftNavn,L2228))</f>
        <v/>
      </c>
      <c r="I2228" s="30">
        <f>IF(OR(A2228="",L2228=""),"",IF(MOD(A2228-INDEX(SkiftStart,L2228),Syklus)&lt;DagK,"Kveld",IF(MOD(A2228-INDEX(SkiftStart,L2228),Syklus)&lt;DagK+DagH,"Helg",IF(MOD(A2228-INDEX(SkiftStart,L2228),Syklus)&lt;DagK+DagH+DagD,"Dag","Fri"))))</f>
        <v/>
      </c>
      <c r="J2228" s="30">
        <f>IF(I2228="Fri","Ja","")</f>
        <v/>
      </c>
      <c r="K2228" s="30">
        <f>IF(B2228="","",IF(L2228="","Ukjent tekniker",IF(ISNA(MATCH(C2228,Aktiviteter,0)),"Ukjent aktivitet",IF(AND(INDEX(AktRolle,MATCH(C2228,Aktiviteter,0))&amp;""&lt;&gt;"",ISERROR(SEARCH(INDEX(AktRolle,MATCH(C2228,Aktiviteter,0))&amp;"",INDEX(TekRoller,MATCH(B2228,Teknikere,0))))),"Mangler rollen "&amp;INDEX(AktRolle,MATCH(C2228,Aktiviteter,0))&amp;"",IF(AND(C2228="LMS",F2228&gt;0,OR(D2228="",E2228="")),"Mangler maskin eller arbeid",IF(AND(OR(C2228="LMS",C2228="Mod"),D2228&lt;&gt;""),IF(IFERROR(INDEX(MaskinStatus,MATCH(D2228,Maskiner,0)),"")="I dokk","","Maskinen er ikke i dokk"),""))))))</f>
        <v/>
      </c>
      <c r="L2228" s="2">
        <f>IF(B2228="","",IFERROR(INT((MATCH(B2228,Teknikere,0)-1)/18)+1,""))</f>
        <v/>
      </c>
      <c r="M2228" s="2">
        <f>IF(OR(A2228="",B2228=""),"",B2228&amp;"|"&amp;A2228)</f>
        <v/>
      </c>
      <c r="N2228" s="2">
        <f>IF(M2228="","",SUMIFS(TF_Timer,TF_Nokkel,M2228,TF_Akt,C2228))</f>
        <v/>
      </c>
      <c r="O2228" s="2">
        <f>IF(M2228="","",IF(AND(N2228=_xlfn.MAXIFS(TF_AktSum,TF_Nokkel,M2228),COUNTIFS(M$3:M2227,M2228,N$3:N2227,N2228)=0),M2228,""))</f>
        <v/>
      </c>
    </row>
    <row r="2229">
      <c r="A2229" s="34" t="n"/>
      <c r="B2229" s="35" t="n"/>
      <c r="C2229" s="35" t="n"/>
      <c r="D2229" s="35" t="n"/>
      <c r="E2229" s="35" t="n"/>
      <c r="F2229" s="36" t="n"/>
      <c r="G2229" s="35" t="n"/>
      <c r="H2229" s="30">
        <f>IF(L2229="","",INDEX(SkiftNavn,L2229))</f>
        <v/>
      </c>
      <c r="I2229" s="30">
        <f>IF(OR(A2229="",L2229=""),"",IF(MOD(A2229-INDEX(SkiftStart,L2229),Syklus)&lt;DagK,"Kveld",IF(MOD(A2229-INDEX(SkiftStart,L2229),Syklus)&lt;DagK+DagH,"Helg",IF(MOD(A2229-INDEX(SkiftStart,L2229),Syklus)&lt;DagK+DagH+DagD,"Dag","Fri"))))</f>
        <v/>
      </c>
      <c r="J2229" s="30">
        <f>IF(I2229="Fri","Ja","")</f>
        <v/>
      </c>
      <c r="K2229" s="30">
        <f>IF(B2229="","",IF(L2229="","Ukjent tekniker",IF(ISNA(MATCH(C2229,Aktiviteter,0)),"Ukjent aktivitet",IF(AND(INDEX(AktRolle,MATCH(C2229,Aktiviteter,0))&amp;""&lt;&gt;"",ISERROR(SEARCH(INDEX(AktRolle,MATCH(C2229,Aktiviteter,0))&amp;"",INDEX(TekRoller,MATCH(B2229,Teknikere,0))))),"Mangler rollen "&amp;INDEX(AktRolle,MATCH(C2229,Aktiviteter,0))&amp;"",IF(AND(C2229="LMS",F2229&gt;0,OR(D2229="",E2229="")),"Mangler maskin eller arbeid",IF(AND(OR(C2229="LMS",C2229="Mod"),D2229&lt;&gt;""),IF(IFERROR(INDEX(MaskinStatus,MATCH(D2229,Maskiner,0)),"")="I dokk","","Maskinen er ikke i dokk"),""))))))</f>
        <v/>
      </c>
      <c r="L2229" s="2">
        <f>IF(B2229="","",IFERROR(INT((MATCH(B2229,Teknikere,0)-1)/18)+1,""))</f>
        <v/>
      </c>
      <c r="M2229" s="2">
        <f>IF(OR(A2229="",B2229=""),"",B2229&amp;"|"&amp;A2229)</f>
        <v/>
      </c>
      <c r="N2229" s="2">
        <f>IF(M2229="","",SUMIFS(TF_Timer,TF_Nokkel,M2229,TF_Akt,C2229))</f>
        <v/>
      </c>
      <c r="O2229" s="2">
        <f>IF(M2229="","",IF(AND(N2229=_xlfn.MAXIFS(TF_AktSum,TF_Nokkel,M2229),COUNTIFS(M$3:M2228,M2229,N$3:N2228,N2229)=0),M2229,""))</f>
        <v/>
      </c>
    </row>
    <row r="2230">
      <c r="A2230" s="34" t="n"/>
      <c r="B2230" s="35" t="n"/>
      <c r="C2230" s="35" t="n"/>
      <c r="D2230" s="35" t="n"/>
      <c r="E2230" s="35" t="n"/>
      <c r="F2230" s="36" t="n"/>
      <c r="G2230" s="35" t="n"/>
      <c r="H2230" s="30">
        <f>IF(L2230="","",INDEX(SkiftNavn,L2230))</f>
        <v/>
      </c>
      <c r="I2230" s="30">
        <f>IF(OR(A2230="",L2230=""),"",IF(MOD(A2230-INDEX(SkiftStart,L2230),Syklus)&lt;DagK,"Kveld",IF(MOD(A2230-INDEX(SkiftStart,L2230),Syklus)&lt;DagK+DagH,"Helg",IF(MOD(A2230-INDEX(SkiftStart,L2230),Syklus)&lt;DagK+DagH+DagD,"Dag","Fri"))))</f>
        <v/>
      </c>
      <c r="J2230" s="30">
        <f>IF(I2230="Fri","Ja","")</f>
        <v/>
      </c>
      <c r="K2230" s="30">
        <f>IF(B2230="","",IF(L2230="","Ukjent tekniker",IF(ISNA(MATCH(C2230,Aktiviteter,0)),"Ukjent aktivitet",IF(AND(INDEX(AktRolle,MATCH(C2230,Aktiviteter,0))&amp;""&lt;&gt;"",ISERROR(SEARCH(INDEX(AktRolle,MATCH(C2230,Aktiviteter,0))&amp;"",INDEX(TekRoller,MATCH(B2230,Teknikere,0))))),"Mangler rollen "&amp;INDEX(AktRolle,MATCH(C2230,Aktiviteter,0))&amp;"",IF(AND(C2230="LMS",F2230&gt;0,OR(D2230="",E2230="")),"Mangler maskin eller arbeid",IF(AND(OR(C2230="LMS",C2230="Mod"),D2230&lt;&gt;""),IF(IFERROR(INDEX(MaskinStatus,MATCH(D2230,Maskiner,0)),"")="I dokk","","Maskinen er ikke i dokk"),""))))))</f>
        <v/>
      </c>
      <c r="L2230" s="2">
        <f>IF(B2230="","",IFERROR(INT((MATCH(B2230,Teknikere,0)-1)/18)+1,""))</f>
        <v/>
      </c>
      <c r="M2230" s="2">
        <f>IF(OR(A2230="",B2230=""),"",B2230&amp;"|"&amp;A2230)</f>
        <v/>
      </c>
      <c r="N2230" s="2">
        <f>IF(M2230="","",SUMIFS(TF_Timer,TF_Nokkel,M2230,TF_Akt,C2230))</f>
        <v/>
      </c>
      <c r="O2230" s="2">
        <f>IF(M2230="","",IF(AND(N2230=_xlfn.MAXIFS(TF_AktSum,TF_Nokkel,M2230),COUNTIFS(M$3:M2229,M2230,N$3:N2229,N2230)=0),M2230,""))</f>
        <v/>
      </c>
    </row>
    <row r="2231">
      <c r="A2231" s="34" t="n"/>
      <c r="B2231" s="35" t="n"/>
      <c r="C2231" s="35" t="n"/>
      <c r="D2231" s="35" t="n"/>
      <c r="E2231" s="35" t="n"/>
      <c r="F2231" s="36" t="n"/>
      <c r="G2231" s="35" t="n"/>
      <c r="H2231" s="30">
        <f>IF(L2231="","",INDEX(SkiftNavn,L2231))</f>
        <v/>
      </c>
      <c r="I2231" s="30">
        <f>IF(OR(A2231="",L2231=""),"",IF(MOD(A2231-INDEX(SkiftStart,L2231),Syklus)&lt;DagK,"Kveld",IF(MOD(A2231-INDEX(SkiftStart,L2231),Syklus)&lt;DagK+DagH,"Helg",IF(MOD(A2231-INDEX(SkiftStart,L2231),Syklus)&lt;DagK+DagH+DagD,"Dag","Fri"))))</f>
        <v/>
      </c>
      <c r="J2231" s="30">
        <f>IF(I2231="Fri","Ja","")</f>
        <v/>
      </c>
      <c r="K2231" s="30">
        <f>IF(B2231="","",IF(L2231="","Ukjent tekniker",IF(ISNA(MATCH(C2231,Aktiviteter,0)),"Ukjent aktivitet",IF(AND(INDEX(AktRolle,MATCH(C2231,Aktiviteter,0))&amp;""&lt;&gt;"",ISERROR(SEARCH(INDEX(AktRolle,MATCH(C2231,Aktiviteter,0))&amp;"",INDEX(TekRoller,MATCH(B2231,Teknikere,0))))),"Mangler rollen "&amp;INDEX(AktRolle,MATCH(C2231,Aktiviteter,0))&amp;"",IF(AND(C2231="LMS",F2231&gt;0,OR(D2231="",E2231="")),"Mangler maskin eller arbeid",IF(AND(OR(C2231="LMS",C2231="Mod"),D2231&lt;&gt;""),IF(IFERROR(INDEX(MaskinStatus,MATCH(D2231,Maskiner,0)),"")="I dokk","","Maskinen er ikke i dokk"),""))))))</f>
        <v/>
      </c>
      <c r="L2231" s="2">
        <f>IF(B2231="","",IFERROR(INT((MATCH(B2231,Teknikere,0)-1)/18)+1,""))</f>
        <v/>
      </c>
      <c r="M2231" s="2">
        <f>IF(OR(A2231="",B2231=""),"",B2231&amp;"|"&amp;A2231)</f>
        <v/>
      </c>
      <c r="N2231" s="2">
        <f>IF(M2231="","",SUMIFS(TF_Timer,TF_Nokkel,M2231,TF_Akt,C2231))</f>
        <v/>
      </c>
      <c r="O2231" s="2">
        <f>IF(M2231="","",IF(AND(N2231=_xlfn.MAXIFS(TF_AktSum,TF_Nokkel,M2231),COUNTIFS(M$3:M2230,M2231,N$3:N2230,N2231)=0),M2231,""))</f>
        <v/>
      </c>
    </row>
    <row r="2232">
      <c r="A2232" s="34" t="n"/>
      <c r="B2232" s="35" t="n"/>
      <c r="C2232" s="35" t="n"/>
      <c r="D2232" s="35" t="n"/>
      <c r="E2232" s="35" t="n"/>
      <c r="F2232" s="36" t="n"/>
      <c r="G2232" s="35" t="n"/>
      <c r="H2232" s="30">
        <f>IF(L2232="","",INDEX(SkiftNavn,L2232))</f>
        <v/>
      </c>
      <c r="I2232" s="30">
        <f>IF(OR(A2232="",L2232=""),"",IF(MOD(A2232-INDEX(SkiftStart,L2232),Syklus)&lt;DagK,"Kveld",IF(MOD(A2232-INDEX(SkiftStart,L2232),Syklus)&lt;DagK+DagH,"Helg",IF(MOD(A2232-INDEX(SkiftStart,L2232),Syklus)&lt;DagK+DagH+DagD,"Dag","Fri"))))</f>
        <v/>
      </c>
      <c r="J2232" s="30">
        <f>IF(I2232="Fri","Ja","")</f>
        <v/>
      </c>
      <c r="K2232" s="30">
        <f>IF(B2232="","",IF(L2232="","Ukjent tekniker",IF(ISNA(MATCH(C2232,Aktiviteter,0)),"Ukjent aktivitet",IF(AND(INDEX(AktRolle,MATCH(C2232,Aktiviteter,0))&amp;""&lt;&gt;"",ISERROR(SEARCH(INDEX(AktRolle,MATCH(C2232,Aktiviteter,0))&amp;"",INDEX(TekRoller,MATCH(B2232,Teknikere,0))))),"Mangler rollen "&amp;INDEX(AktRolle,MATCH(C2232,Aktiviteter,0))&amp;"",IF(AND(C2232="LMS",F2232&gt;0,OR(D2232="",E2232="")),"Mangler maskin eller arbeid",IF(AND(OR(C2232="LMS",C2232="Mod"),D2232&lt;&gt;""),IF(IFERROR(INDEX(MaskinStatus,MATCH(D2232,Maskiner,0)),"")="I dokk","","Maskinen er ikke i dokk"),""))))))</f>
        <v/>
      </c>
      <c r="L2232" s="2">
        <f>IF(B2232="","",IFERROR(INT((MATCH(B2232,Teknikere,0)-1)/18)+1,""))</f>
        <v/>
      </c>
      <c r="M2232" s="2">
        <f>IF(OR(A2232="",B2232=""),"",B2232&amp;"|"&amp;A2232)</f>
        <v/>
      </c>
      <c r="N2232" s="2">
        <f>IF(M2232="","",SUMIFS(TF_Timer,TF_Nokkel,M2232,TF_Akt,C2232))</f>
        <v/>
      </c>
      <c r="O2232" s="2">
        <f>IF(M2232="","",IF(AND(N2232=_xlfn.MAXIFS(TF_AktSum,TF_Nokkel,M2232),COUNTIFS(M$3:M2231,M2232,N$3:N2231,N2232)=0),M2232,""))</f>
        <v/>
      </c>
    </row>
    <row r="2233">
      <c r="A2233" s="34" t="n"/>
      <c r="B2233" s="35" t="n"/>
      <c r="C2233" s="35" t="n"/>
      <c r="D2233" s="35" t="n"/>
      <c r="E2233" s="35" t="n"/>
      <c r="F2233" s="36" t="n"/>
      <c r="G2233" s="35" t="n"/>
      <c r="H2233" s="30">
        <f>IF(L2233="","",INDEX(SkiftNavn,L2233))</f>
        <v/>
      </c>
      <c r="I2233" s="30">
        <f>IF(OR(A2233="",L2233=""),"",IF(MOD(A2233-INDEX(SkiftStart,L2233),Syklus)&lt;DagK,"Kveld",IF(MOD(A2233-INDEX(SkiftStart,L2233),Syklus)&lt;DagK+DagH,"Helg",IF(MOD(A2233-INDEX(SkiftStart,L2233),Syklus)&lt;DagK+DagH+DagD,"Dag","Fri"))))</f>
        <v/>
      </c>
      <c r="J2233" s="30">
        <f>IF(I2233="Fri","Ja","")</f>
        <v/>
      </c>
      <c r="K2233" s="30">
        <f>IF(B2233="","",IF(L2233="","Ukjent tekniker",IF(ISNA(MATCH(C2233,Aktiviteter,0)),"Ukjent aktivitet",IF(AND(INDEX(AktRolle,MATCH(C2233,Aktiviteter,0))&amp;""&lt;&gt;"",ISERROR(SEARCH(INDEX(AktRolle,MATCH(C2233,Aktiviteter,0))&amp;"",INDEX(TekRoller,MATCH(B2233,Teknikere,0))))),"Mangler rollen "&amp;INDEX(AktRolle,MATCH(C2233,Aktiviteter,0))&amp;"",IF(AND(C2233="LMS",F2233&gt;0,OR(D2233="",E2233="")),"Mangler maskin eller arbeid",IF(AND(OR(C2233="LMS",C2233="Mod"),D2233&lt;&gt;""),IF(IFERROR(INDEX(MaskinStatus,MATCH(D2233,Maskiner,0)),"")="I dokk","","Maskinen er ikke i dokk"),""))))))</f>
        <v/>
      </c>
      <c r="L2233" s="2">
        <f>IF(B2233="","",IFERROR(INT((MATCH(B2233,Teknikere,0)-1)/18)+1,""))</f>
        <v/>
      </c>
      <c r="M2233" s="2">
        <f>IF(OR(A2233="",B2233=""),"",B2233&amp;"|"&amp;A2233)</f>
        <v/>
      </c>
      <c r="N2233" s="2">
        <f>IF(M2233="","",SUMIFS(TF_Timer,TF_Nokkel,M2233,TF_Akt,C2233))</f>
        <v/>
      </c>
      <c r="O2233" s="2">
        <f>IF(M2233="","",IF(AND(N2233=_xlfn.MAXIFS(TF_AktSum,TF_Nokkel,M2233),COUNTIFS(M$3:M2232,M2233,N$3:N2232,N2233)=0),M2233,""))</f>
        <v/>
      </c>
    </row>
    <row r="2234">
      <c r="A2234" s="34" t="n"/>
      <c r="B2234" s="35" t="n"/>
      <c r="C2234" s="35" t="n"/>
      <c r="D2234" s="35" t="n"/>
      <c r="E2234" s="35" t="n"/>
      <c r="F2234" s="36" t="n"/>
      <c r="G2234" s="35" t="n"/>
      <c r="H2234" s="30">
        <f>IF(L2234="","",INDEX(SkiftNavn,L2234))</f>
        <v/>
      </c>
      <c r="I2234" s="30">
        <f>IF(OR(A2234="",L2234=""),"",IF(MOD(A2234-INDEX(SkiftStart,L2234),Syklus)&lt;DagK,"Kveld",IF(MOD(A2234-INDEX(SkiftStart,L2234),Syklus)&lt;DagK+DagH,"Helg",IF(MOD(A2234-INDEX(SkiftStart,L2234),Syklus)&lt;DagK+DagH+DagD,"Dag","Fri"))))</f>
        <v/>
      </c>
      <c r="J2234" s="30">
        <f>IF(I2234="Fri","Ja","")</f>
        <v/>
      </c>
      <c r="K2234" s="30">
        <f>IF(B2234="","",IF(L2234="","Ukjent tekniker",IF(ISNA(MATCH(C2234,Aktiviteter,0)),"Ukjent aktivitet",IF(AND(INDEX(AktRolle,MATCH(C2234,Aktiviteter,0))&amp;""&lt;&gt;"",ISERROR(SEARCH(INDEX(AktRolle,MATCH(C2234,Aktiviteter,0))&amp;"",INDEX(TekRoller,MATCH(B2234,Teknikere,0))))),"Mangler rollen "&amp;INDEX(AktRolle,MATCH(C2234,Aktiviteter,0))&amp;"",IF(AND(C2234="LMS",F2234&gt;0,OR(D2234="",E2234="")),"Mangler maskin eller arbeid",IF(AND(OR(C2234="LMS",C2234="Mod"),D2234&lt;&gt;""),IF(IFERROR(INDEX(MaskinStatus,MATCH(D2234,Maskiner,0)),"")="I dokk","","Maskinen er ikke i dokk"),""))))))</f>
        <v/>
      </c>
      <c r="L2234" s="2">
        <f>IF(B2234="","",IFERROR(INT((MATCH(B2234,Teknikere,0)-1)/18)+1,""))</f>
        <v/>
      </c>
      <c r="M2234" s="2">
        <f>IF(OR(A2234="",B2234=""),"",B2234&amp;"|"&amp;A2234)</f>
        <v/>
      </c>
      <c r="N2234" s="2">
        <f>IF(M2234="","",SUMIFS(TF_Timer,TF_Nokkel,M2234,TF_Akt,C2234))</f>
        <v/>
      </c>
      <c r="O2234" s="2">
        <f>IF(M2234="","",IF(AND(N2234=_xlfn.MAXIFS(TF_AktSum,TF_Nokkel,M2234),COUNTIFS(M$3:M2233,M2234,N$3:N2233,N2234)=0),M2234,""))</f>
        <v/>
      </c>
    </row>
    <row r="2235">
      <c r="A2235" s="34" t="n"/>
      <c r="B2235" s="35" t="n"/>
      <c r="C2235" s="35" t="n"/>
      <c r="D2235" s="35" t="n"/>
      <c r="E2235" s="35" t="n"/>
      <c r="F2235" s="36" t="n"/>
      <c r="G2235" s="35" t="n"/>
      <c r="H2235" s="30">
        <f>IF(L2235="","",INDEX(SkiftNavn,L2235))</f>
        <v/>
      </c>
      <c r="I2235" s="30">
        <f>IF(OR(A2235="",L2235=""),"",IF(MOD(A2235-INDEX(SkiftStart,L2235),Syklus)&lt;DagK,"Kveld",IF(MOD(A2235-INDEX(SkiftStart,L2235),Syklus)&lt;DagK+DagH,"Helg",IF(MOD(A2235-INDEX(SkiftStart,L2235),Syklus)&lt;DagK+DagH+DagD,"Dag","Fri"))))</f>
        <v/>
      </c>
      <c r="J2235" s="30">
        <f>IF(I2235="Fri","Ja","")</f>
        <v/>
      </c>
      <c r="K2235" s="30">
        <f>IF(B2235="","",IF(L2235="","Ukjent tekniker",IF(ISNA(MATCH(C2235,Aktiviteter,0)),"Ukjent aktivitet",IF(AND(INDEX(AktRolle,MATCH(C2235,Aktiviteter,0))&amp;""&lt;&gt;"",ISERROR(SEARCH(INDEX(AktRolle,MATCH(C2235,Aktiviteter,0))&amp;"",INDEX(TekRoller,MATCH(B2235,Teknikere,0))))),"Mangler rollen "&amp;INDEX(AktRolle,MATCH(C2235,Aktiviteter,0))&amp;"",IF(AND(C2235="LMS",F2235&gt;0,OR(D2235="",E2235="")),"Mangler maskin eller arbeid",IF(AND(OR(C2235="LMS",C2235="Mod"),D2235&lt;&gt;""),IF(IFERROR(INDEX(MaskinStatus,MATCH(D2235,Maskiner,0)),"")="I dokk","","Maskinen er ikke i dokk"),""))))))</f>
        <v/>
      </c>
      <c r="L2235" s="2">
        <f>IF(B2235="","",IFERROR(INT((MATCH(B2235,Teknikere,0)-1)/18)+1,""))</f>
        <v/>
      </c>
      <c r="M2235" s="2">
        <f>IF(OR(A2235="",B2235=""),"",B2235&amp;"|"&amp;A2235)</f>
        <v/>
      </c>
      <c r="N2235" s="2">
        <f>IF(M2235="","",SUMIFS(TF_Timer,TF_Nokkel,M2235,TF_Akt,C2235))</f>
        <v/>
      </c>
      <c r="O2235" s="2">
        <f>IF(M2235="","",IF(AND(N2235=_xlfn.MAXIFS(TF_AktSum,TF_Nokkel,M2235),COUNTIFS(M$3:M2234,M2235,N$3:N2234,N2235)=0),M2235,""))</f>
        <v/>
      </c>
    </row>
    <row r="2236">
      <c r="A2236" s="34" t="n"/>
      <c r="B2236" s="35" t="n"/>
      <c r="C2236" s="35" t="n"/>
      <c r="D2236" s="35" t="n"/>
      <c r="E2236" s="35" t="n"/>
      <c r="F2236" s="36" t="n"/>
      <c r="G2236" s="35" t="n"/>
      <c r="H2236" s="30">
        <f>IF(L2236="","",INDEX(SkiftNavn,L2236))</f>
        <v/>
      </c>
      <c r="I2236" s="30">
        <f>IF(OR(A2236="",L2236=""),"",IF(MOD(A2236-INDEX(SkiftStart,L2236),Syklus)&lt;DagK,"Kveld",IF(MOD(A2236-INDEX(SkiftStart,L2236),Syklus)&lt;DagK+DagH,"Helg",IF(MOD(A2236-INDEX(SkiftStart,L2236),Syklus)&lt;DagK+DagH+DagD,"Dag","Fri"))))</f>
        <v/>
      </c>
      <c r="J2236" s="30">
        <f>IF(I2236="Fri","Ja","")</f>
        <v/>
      </c>
      <c r="K2236" s="30">
        <f>IF(B2236="","",IF(L2236="","Ukjent tekniker",IF(ISNA(MATCH(C2236,Aktiviteter,0)),"Ukjent aktivitet",IF(AND(INDEX(AktRolle,MATCH(C2236,Aktiviteter,0))&amp;""&lt;&gt;"",ISERROR(SEARCH(INDEX(AktRolle,MATCH(C2236,Aktiviteter,0))&amp;"",INDEX(TekRoller,MATCH(B2236,Teknikere,0))))),"Mangler rollen "&amp;INDEX(AktRolle,MATCH(C2236,Aktiviteter,0))&amp;"",IF(AND(C2236="LMS",F2236&gt;0,OR(D2236="",E2236="")),"Mangler maskin eller arbeid",IF(AND(OR(C2236="LMS",C2236="Mod"),D2236&lt;&gt;""),IF(IFERROR(INDEX(MaskinStatus,MATCH(D2236,Maskiner,0)),"")="I dokk","","Maskinen er ikke i dokk"),""))))))</f>
        <v/>
      </c>
      <c r="L2236" s="2">
        <f>IF(B2236="","",IFERROR(INT((MATCH(B2236,Teknikere,0)-1)/18)+1,""))</f>
        <v/>
      </c>
      <c r="M2236" s="2">
        <f>IF(OR(A2236="",B2236=""),"",B2236&amp;"|"&amp;A2236)</f>
        <v/>
      </c>
      <c r="N2236" s="2">
        <f>IF(M2236="","",SUMIFS(TF_Timer,TF_Nokkel,M2236,TF_Akt,C2236))</f>
        <v/>
      </c>
      <c r="O2236" s="2">
        <f>IF(M2236="","",IF(AND(N2236=_xlfn.MAXIFS(TF_AktSum,TF_Nokkel,M2236),COUNTIFS(M$3:M2235,M2236,N$3:N2235,N2236)=0),M2236,""))</f>
        <v/>
      </c>
    </row>
    <row r="2237">
      <c r="A2237" s="34" t="n"/>
      <c r="B2237" s="35" t="n"/>
      <c r="C2237" s="35" t="n"/>
      <c r="D2237" s="35" t="n"/>
      <c r="E2237" s="35" t="n"/>
      <c r="F2237" s="36" t="n"/>
      <c r="G2237" s="35" t="n"/>
      <c r="H2237" s="30">
        <f>IF(L2237="","",INDEX(SkiftNavn,L2237))</f>
        <v/>
      </c>
      <c r="I2237" s="30">
        <f>IF(OR(A2237="",L2237=""),"",IF(MOD(A2237-INDEX(SkiftStart,L2237),Syklus)&lt;DagK,"Kveld",IF(MOD(A2237-INDEX(SkiftStart,L2237),Syklus)&lt;DagK+DagH,"Helg",IF(MOD(A2237-INDEX(SkiftStart,L2237),Syklus)&lt;DagK+DagH+DagD,"Dag","Fri"))))</f>
        <v/>
      </c>
      <c r="J2237" s="30">
        <f>IF(I2237="Fri","Ja","")</f>
        <v/>
      </c>
      <c r="K2237" s="30">
        <f>IF(B2237="","",IF(L2237="","Ukjent tekniker",IF(ISNA(MATCH(C2237,Aktiviteter,0)),"Ukjent aktivitet",IF(AND(INDEX(AktRolle,MATCH(C2237,Aktiviteter,0))&amp;""&lt;&gt;"",ISERROR(SEARCH(INDEX(AktRolle,MATCH(C2237,Aktiviteter,0))&amp;"",INDEX(TekRoller,MATCH(B2237,Teknikere,0))))),"Mangler rollen "&amp;INDEX(AktRolle,MATCH(C2237,Aktiviteter,0))&amp;"",IF(AND(C2237="LMS",F2237&gt;0,OR(D2237="",E2237="")),"Mangler maskin eller arbeid",IF(AND(OR(C2237="LMS",C2237="Mod"),D2237&lt;&gt;""),IF(IFERROR(INDEX(MaskinStatus,MATCH(D2237,Maskiner,0)),"")="I dokk","","Maskinen er ikke i dokk"),""))))))</f>
        <v/>
      </c>
      <c r="L2237" s="2">
        <f>IF(B2237="","",IFERROR(INT((MATCH(B2237,Teknikere,0)-1)/18)+1,""))</f>
        <v/>
      </c>
      <c r="M2237" s="2">
        <f>IF(OR(A2237="",B2237=""),"",B2237&amp;"|"&amp;A2237)</f>
        <v/>
      </c>
      <c r="N2237" s="2">
        <f>IF(M2237="","",SUMIFS(TF_Timer,TF_Nokkel,M2237,TF_Akt,C2237))</f>
        <v/>
      </c>
      <c r="O2237" s="2">
        <f>IF(M2237="","",IF(AND(N2237=_xlfn.MAXIFS(TF_AktSum,TF_Nokkel,M2237),COUNTIFS(M$3:M2236,M2237,N$3:N2236,N2237)=0),M2237,""))</f>
        <v/>
      </c>
    </row>
    <row r="2238">
      <c r="A2238" s="34" t="n"/>
      <c r="B2238" s="35" t="n"/>
      <c r="C2238" s="35" t="n"/>
      <c r="D2238" s="35" t="n"/>
      <c r="E2238" s="35" t="n"/>
      <c r="F2238" s="36" t="n"/>
      <c r="G2238" s="35" t="n"/>
      <c r="H2238" s="30">
        <f>IF(L2238="","",INDEX(SkiftNavn,L2238))</f>
        <v/>
      </c>
      <c r="I2238" s="30">
        <f>IF(OR(A2238="",L2238=""),"",IF(MOD(A2238-INDEX(SkiftStart,L2238),Syklus)&lt;DagK,"Kveld",IF(MOD(A2238-INDEX(SkiftStart,L2238),Syklus)&lt;DagK+DagH,"Helg",IF(MOD(A2238-INDEX(SkiftStart,L2238),Syklus)&lt;DagK+DagH+DagD,"Dag","Fri"))))</f>
        <v/>
      </c>
      <c r="J2238" s="30">
        <f>IF(I2238="Fri","Ja","")</f>
        <v/>
      </c>
      <c r="K2238" s="30">
        <f>IF(B2238="","",IF(L2238="","Ukjent tekniker",IF(ISNA(MATCH(C2238,Aktiviteter,0)),"Ukjent aktivitet",IF(AND(INDEX(AktRolle,MATCH(C2238,Aktiviteter,0))&amp;""&lt;&gt;"",ISERROR(SEARCH(INDEX(AktRolle,MATCH(C2238,Aktiviteter,0))&amp;"",INDEX(TekRoller,MATCH(B2238,Teknikere,0))))),"Mangler rollen "&amp;INDEX(AktRolle,MATCH(C2238,Aktiviteter,0))&amp;"",IF(AND(C2238="LMS",F2238&gt;0,OR(D2238="",E2238="")),"Mangler maskin eller arbeid",IF(AND(OR(C2238="LMS",C2238="Mod"),D2238&lt;&gt;""),IF(IFERROR(INDEX(MaskinStatus,MATCH(D2238,Maskiner,0)),"")="I dokk","","Maskinen er ikke i dokk"),""))))))</f>
        <v/>
      </c>
      <c r="L2238" s="2">
        <f>IF(B2238="","",IFERROR(INT((MATCH(B2238,Teknikere,0)-1)/18)+1,""))</f>
        <v/>
      </c>
      <c r="M2238" s="2">
        <f>IF(OR(A2238="",B2238=""),"",B2238&amp;"|"&amp;A2238)</f>
        <v/>
      </c>
      <c r="N2238" s="2">
        <f>IF(M2238="","",SUMIFS(TF_Timer,TF_Nokkel,M2238,TF_Akt,C2238))</f>
        <v/>
      </c>
      <c r="O2238" s="2">
        <f>IF(M2238="","",IF(AND(N2238=_xlfn.MAXIFS(TF_AktSum,TF_Nokkel,M2238),COUNTIFS(M$3:M2237,M2238,N$3:N2237,N2238)=0),M2238,""))</f>
        <v/>
      </c>
    </row>
    <row r="2239">
      <c r="A2239" s="34" t="n"/>
      <c r="B2239" s="35" t="n"/>
      <c r="C2239" s="35" t="n"/>
      <c r="D2239" s="35" t="n"/>
      <c r="E2239" s="35" t="n"/>
      <c r="F2239" s="36" t="n"/>
      <c r="G2239" s="35" t="n"/>
      <c r="H2239" s="30">
        <f>IF(L2239="","",INDEX(SkiftNavn,L2239))</f>
        <v/>
      </c>
      <c r="I2239" s="30">
        <f>IF(OR(A2239="",L2239=""),"",IF(MOD(A2239-INDEX(SkiftStart,L2239),Syklus)&lt;DagK,"Kveld",IF(MOD(A2239-INDEX(SkiftStart,L2239),Syklus)&lt;DagK+DagH,"Helg",IF(MOD(A2239-INDEX(SkiftStart,L2239),Syklus)&lt;DagK+DagH+DagD,"Dag","Fri"))))</f>
        <v/>
      </c>
      <c r="J2239" s="30">
        <f>IF(I2239="Fri","Ja","")</f>
        <v/>
      </c>
      <c r="K2239" s="30">
        <f>IF(B2239="","",IF(L2239="","Ukjent tekniker",IF(ISNA(MATCH(C2239,Aktiviteter,0)),"Ukjent aktivitet",IF(AND(INDEX(AktRolle,MATCH(C2239,Aktiviteter,0))&amp;""&lt;&gt;"",ISERROR(SEARCH(INDEX(AktRolle,MATCH(C2239,Aktiviteter,0))&amp;"",INDEX(TekRoller,MATCH(B2239,Teknikere,0))))),"Mangler rollen "&amp;INDEX(AktRolle,MATCH(C2239,Aktiviteter,0))&amp;"",IF(AND(C2239="LMS",F2239&gt;0,OR(D2239="",E2239="")),"Mangler maskin eller arbeid",IF(AND(OR(C2239="LMS",C2239="Mod"),D2239&lt;&gt;""),IF(IFERROR(INDEX(MaskinStatus,MATCH(D2239,Maskiner,0)),"")="I dokk","","Maskinen er ikke i dokk"),""))))))</f>
        <v/>
      </c>
      <c r="L2239" s="2">
        <f>IF(B2239="","",IFERROR(INT((MATCH(B2239,Teknikere,0)-1)/18)+1,""))</f>
        <v/>
      </c>
      <c r="M2239" s="2">
        <f>IF(OR(A2239="",B2239=""),"",B2239&amp;"|"&amp;A2239)</f>
        <v/>
      </c>
      <c r="N2239" s="2">
        <f>IF(M2239="","",SUMIFS(TF_Timer,TF_Nokkel,M2239,TF_Akt,C2239))</f>
        <v/>
      </c>
      <c r="O2239" s="2">
        <f>IF(M2239="","",IF(AND(N2239=_xlfn.MAXIFS(TF_AktSum,TF_Nokkel,M2239),COUNTIFS(M$3:M2238,M2239,N$3:N2238,N2239)=0),M2239,""))</f>
        <v/>
      </c>
    </row>
    <row r="2240">
      <c r="A2240" s="34" t="n"/>
      <c r="B2240" s="35" t="n"/>
      <c r="C2240" s="35" t="n"/>
      <c r="D2240" s="35" t="n"/>
      <c r="E2240" s="35" t="n"/>
      <c r="F2240" s="36" t="n"/>
      <c r="G2240" s="35" t="n"/>
      <c r="H2240" s="30">
        <f>IF(L2240="","",INDEX(SkiftNavn,L2240))</f>
        <v/>
      </c>
      <c r="I2240" s="30">
        <f>IF(OR(A2240="",L2240=""),"",IF(MOD(A2240-INDEX(SkiftStart,L2240),Syklus)&lt;DagK,"Kveld",IF(MOD(A2240-INDEX(SkiftStart,L2240),Syklus)&lt;DagK+DagH,"Helg",IF(MOD(A2240-INDEX(SkiftStart,L2240),Syklus)&lt;DagK+DagH+DagD,"Dag","Fri"))))</f>
        <v/>
      </c>
      <c r="J2240" s="30">
        <f>IF(I2240="Fri","Ja","")</f>
        <v/>
      </c>
      <c r="K2240" s="30">
        <f>IF(B2240="","",IF(L2240="","Ukjent tekniker",IF(ISNA(MATCH(C2240,Aktiviteter,0)),"Ukjent aktivitet",IF(AND(INDEX(AktRolle,MATCH(C2240,Aktiviteter,0))&amp;""&lt;&gt;"",ISERROR(SEARCH(INDEX(AktRolle,MATCH(C2240,Aktiviteter,0))&amp;"",INDEX(TekRoller,MATCH(B2240,Teknikere,0))))),"Mangler rollen "&amp;INDEX(AktRolle,MATCH(C2240,Aktiviteter,0))&amp;"",IF(AND(C2240="LMS",F2240&gt;0,OR(D2240="",E2240="")),"Mangler maskin eller arbeid",IF(AND(OR(C2240="LMS",C2240="Mod"),D2240&lt;&gt;""),IF(IFERROR(INDEX(MaskinStatus,MATCH(D2240,Maskiner,0)),"")="I dokk","","Maskinen er ikke i dokk"),""))))))</f>
        <v/>
      </c>
      <c r="L2240" s="2">
        <f>IF(B2240="","",IFERROR(INT((MATCH(B2240,Teknikere,0)-1)/18)+1,""))</f>
        <v/>
      </c>
      <c r="M2240" s="2">
        <f>IF(OR(A2240="",B2240=""),"",B2240&amp;"|"&amp;A2240)</f>
        <v/>
      </c>
      <c r="N2240" s="2">
        <f>IF(M2240="","",SUMIFS(TF_Timer,TF_Nokkel,M2240,TF_Akt,C2240))</f>
        <v/>
      </c>
      <c r="O2240" s="2">
        <f>IF(M2240="","",IF(AND(N2240=_xlfn.MAXIFS(TF_AktSum,TF_Nokkel,M2240),COUNTIFS(M$3:M2239,M2240,N$3:N2239,N2240)=0),M2240,""))</f>
        <v/>
      </c>
    </row>
    <row r="2241">
      <c r="A2241" s="34" t="n"/>
      <c r="B2241" s="35" t="n"/>
      <c r="C2241" s="35" t="n"/>
      <c r="D2241" s="35" t="n"/>
      <c r="E2241" s="35" t="n"/>
      <c r="F2241" s="36" t="n"/>
      <c r="G2241" s="35" t="n"/>
      <c r="H2241" s="30">
        <f>IF(L2241="","",INDEX(SkiftNavn,L2241))</f>
        <v/>
      </c>
      <c r="I2241" s="30">
        <f>IF(OR(A2241="",L2241=""),"",IF(MOD(A2241-INDEX(SkiftStart,L2241),Syklus)&lt;DagK,"Kveld",IF(MOD(A2241-INDEX(SkiftStart,L2241),Syklus)&lt;DagK+DagH,"Helg",IF(MOD(A2241-INDEX(SkiftStart,L2241),Syklus)&lt;DagK+DagH+DagD,"Dag","Fri"))))</f>
        <v/>
      </c>
      <c r="J2241" s="30">
        <f>IF(I2241="Fri","Ja","")</f>
        <v/>
      </c>
      <c r="K2241" s="30">
        <f>IF(B2241="","",IF(L2241="","Ukjent tekniker",IF(ISNA(MATCH(C2241,Aktiviteter,0)),"Ukjent aktivitet",IF(AND(INDEX(AktRolle,MATCH(C2241,Aktiviteter,0))&amp;""&lt;&gt;"",ISERROR(SEARCH(INDEX(AktRolle,MATCH(C2241,Aktiviteter,0))&amp;"",INDEX(TekRoller,MATCH(B2241,Teknikere,0))))),"Mangler rollen "&amp;INDEX(AktRolle,MATCH(C2241,Aktiviteter,0))&amp;"",IF(AND(C2241="LMS",F2241&gt;0,OR(D2241="",E2241="")),"Mangler maskin eller arbeid",IF(AND(OR(C2241="LMS",C2241="Mod"),D2241&lt;&gt;""),IF(IFERROR(INDEX(MaskinStatus,MATCH(D2241,Maskiner,0)),"")="I dokk","","Maskinen er ikke i dokk"),""))))))</f>
        <v/>
      </c>
      <c r="L2241" s="2">
        <f>IF(B2241="","",IFERROR(INT((MATCH(B2241,Teknikere,0)-1)/18)+1,""))</f>
        <v/>
      </c>
      <c r="M2241" s="2">
        <f>IF(OR(A2241="",B2241=""),"",B2241&amp;"|"&amp;A2241)</f>
        <v/>
      </c>
      <c r="N2241" s="2">
        <f>IF(M2241="","",SUMIFS(TF_Timer,TF_Nokkel,M2241,TF_Akt,C2241))</f>
        <v/>
      </c>
      <c r="O2241" s="2">
        <f>IF(M2241="","",IF(AND(N2241=_xlfn.MAXIFS(TF_AktSum,TF_Nokkel,M2241),COUNTIFS(M$3:M2240,M2241,N$3:N2240,N2241)=0),M2241,""))</f>
        <v/>
      </c>
    </row>
    <row r="2242">
      <c r="A2242" s="34" t="n"/>
      <c r="B2242" s="35" t="n"/>
      <c r="C2242" s="35" t="n"/>
      <c r="D2242" s="35" t="n"/>
      <c r="E2242" s="35" t="n"/>
      <c r="F2242" s="36" t="n"/>
      <c r="G2242" s="35" t="n"/>
      <c r="H2242" s="30">
        <f>IF(L2242="","",INDEX(SkiftNavn,L2242))</f>
        <v/>
      </c>
      <c r="I2242" s="30">
        <f>IF(OR(A2242="",L2242=""),"",IF(MOD(A2242-INDEX(SkiftStart,L2242),Syklus)&lt;DagK,"Kveld",IF(MOD(A2242-INDEX(SkiftStart,L2242),Syklus)&lt;DagK+DagH,"Helg",IF(MOD(A2242-INDEX(SkiftStart,L2242),Syklus)&lt;DagK+DagH+DagD,"Dag","Fri"))))</f>
        <v/>
      </c>
      <c r="J2242" s="30">
        <f>IF(I2242="Fri","Ja","")</f>
        <v/>
      </c>
      <c r="K2242" s="30">
        <f>IF(B2242="","",IF(L2242="","Ukjent tekniker",IF(ISNA(MATCH(C2242,Aktiviteter,0)),"Ukjent aktivitet",IF(AND(INDEX(AktRolle,MATCH(C2242,Aktiviteter,0))&amp;""&lt;&gt;"",ISERROR(SEARCH(INDEX(AktRolle,MATCH(C2242,Aktiviteter,0))&amp;"",INDEX(TekRoller,MATCH(B2242,Teknikere,0))))),"Mangler rollen "&amp;INDEX(AktRolle,MATCH(C2242,Aktiviteter,0))&amp;"",IF(AND(C2242="LMS",F2242&gt;0,OR(D2242="",E2242="")),"Mangler maskin eller arbeid",IF(AND(OR(C2242="LMS",C2242="Mod"),D2242&lt;&gt;""),IF(IFERROR(INDEX(MaskinStatus,MATCH(D2242,Maskiner,0)),"")="I dokk","","Maskinen er ikke i dokk"),""))))))</f>
        <v/>
      </c>
      <c r="L2242" s="2">
        <f>IF(B2242="","",IFERROR(INT((MATCH(B2242,Teknikere,0)-1)/18)+1,""))</f>
        <v/>
      </c>
      <c r="M2242" s="2">
        <f>IF(OR(A2242="",B2242=""),"",B2242&amp;"|"&amp;A2242)</f>
        <v/>
      </c>
      <c r="N2242" s="2">
        <f>IF(M2242="","",SUMIFS(TF_Timer,TF_Nokkel,M2242,TF_Akt,C2242))</f>
        <v/>
      </c>
      <c r="O2242" s="2">
        <f>IF(M2242="","",IF(AND(N2242=_xlfn.MAXIFS(TF_AktSum,TF_Nokkel,M2242),COUNTIFS(M$3:M2241,M2242,N$3:N2241,N2242)=0),M2242,""))</f>
        <v/>
      </c>
    </row>
    <row r="2243">
      <c r="A2243" s="34" t="n"/>
      <c r="B2243" s="35" t="n"/>
      <c r="C2243" s="35" t="n"/>
      <c r="D2243" s="35" t="n"/>
      <c r="E2243" s="35" t="n"/>
      <c r="F2243" s="36" t="n"/>
      <c r="G2243" s="35" t="n"/>
      <c r="H2243" s="30">
        <f>IF(L2243="","",INDEX(SkiftNavn,L2243))</f>
        <v/>
      </c>
      <c r="I2243" s="30">
        <f>IF(OR(A2243="",L2243=""),"",IF(MOD(A2243-INDEX(SkiftStart,L2243),Syklus)&lt;DagK,"Kveld",IF(MOD(A2243-INDEX(SkiftStart,L2243),Syklus)&lt;DagK+DagH,"Helg",IF(MOD(A2243-INDEX(SkiftStart,L2243),Syklus)&lt;DagK+DagH+DagD,"Dag","Fri"))))</f>
        <v/>
      </c>
      <c r="J2243" s="30">
        <f>IF(I2243="Fri","Ja","")</f>
        <v/>
      </c>
      <c r="K2243" s="30">
        <f>IF(B2243="","",IF(L2243="","Ukjent tekniker",IF(ISNA(MATCH(C2243,Aktiviteter,0)),"Ukjent aktivitet",IF(AND(INDEX(AktRolle,MATCH(C2243,Aktiviteter,0))&amp;""&lt;&gt;"",ISERROR(SEARCH(INDEX(AktRolle,MATCH(C2243,Aktiviteter,0))&amp;"",INDEX(TekRoller,MATCH(B2243,Teknikere,0))))),"Mangler rollen "&amp;INDEX(AktRolle,MATCH(C2243,Aktiviteter,0))&amp;"",IF(AND(C2243="LMS",F2243&gt;0,OR(D2243="",E2243="")),"Mangler maskin eller arbeid",IF(AND(OR(C2243="LMS",C2243="Mod"),D2243&lt;&gt;""),IF(IFERROR(INDEX(MaskinStatus,MATCH(D2243,Maskiner,0)),"")="I dokk","","Maskinen er ikke i dokk"),""))))))</f>
        <v/>
      </c>
      <c r="L2243" s="2">
        <f>IF(B2243="","",IFERROR(INT((MATCH(B2243,Teknikere,0)-1)/18)+1,""))</f>
        <v/>
      </c>
      <c r="M2243" s="2">
        <f>IF(OR(A2243="",B2243=""),"",B2243&amp;"|"&amp;A2243)</f>
        <v/>
      </c>
      <c r="N2243" s="2">
        <f>IF(M2243="","",SUMIFS(TF_Timer,TF_Nokkel,M2243,TF_Akt,C2243))</f>
        <v/>
      </c>
      <c r="O2243" s="2">
        <f>IF(M2243="","",IF(AND(N2243=_xlfn.MAXIFS(TF_AktSum,TF_Nokkel,M2243),COUNTIFS(M$3:M2242,M2243,N$3:N2242,N2243)=0),M2243,""))</f>
        <v/>
      </c>
    </row>
    <row r="2244">
      <c r="A2244" s="34" t="n"/>
      <c r="B2244" s="35" t="n"/>
      <c r="C2244" s="35" t="n"/>
      <c r="D2244" s="35" t="n"/>
      <c r="E2244" s="35" t="n"/>
      <c r="F2244" s="36" t="n"/>
      <c r="G2244" s="35" t="n"/>
      <c r="H2244" s="30">
        <f>IF(L2244="","",INDEX(SkiftNavn,L2244))</f>
        <v/>
      </c>
      <c r="I2244" s="30">
        <f>IF(OR(A2244="",L2244=""),"",IF(MOD(A2244-INDEX(SkiftStart,L2244),Syklus)&lt;DagK,"Kveld",IF(MOD(A2244-INDEX(SkiftStart,L2244),Syklus)&lt;DagK+DagH,"Helg",IF(MOD(A2244-INDEX(SkiftStart,L2244),Syklus)&lt;DagK+DagH+DagD,"Dag","Fri"))))</f>
        <v/>
      </c>
      <c r="J2244" s="30">
        <f>IF(I2244="Fri","Ja","")</f>
        <v/>
      </c>
      <c r="K2244" s="30">
        <f>IF(B2244="","",IF(L2244="","Ukjent tekniker",IF(ISNA(MATCH(C2244,Aktiviteter,0)),"Ukjent aktivitet",IF(AND(INDEX(AktRolle,MATCH(C2244,Aktiviteter,0))&amp;""&lt;&gt;"",ISERROR(SEARCH(INDEX(AktRolle,MATCH(C2244,Aktiviteter,0))&amp;"",INDEX(TekRoller,MATCH(B2244,Teknikere,0))))),"Mangler rollen "&amp;INDEX(AktRolle,MATCH(C2244,Aktiviteter,0))&amp;"",IF(AND(C2244="LMS",F2244&gt;0,OR(D2244="",E2244="")),"Mangler maskin eller arbeid",IF(AND(OR(C2244="LMS",C2244="Mod"),D2244&lt;&gt;""),IF(IFERROR(INDEX(MaskinStatus,MATCH(D2244,Maskiner,0)),"")="I dokk","","Maskinen er ikke i dokk"),""))))))</f>
        <v/>
      </c>
      <c r="L2244" s="2">
        <f>IF(B2244="","",IFERROR(INT((MATCH(B2244,Teknikere,0)-1)/18)+1,""))</f>
        <v/>
      </c>
      <c r="M2244" s="2">
        <f>IF(OR(A2244="",B2244=""),"",B2244&amp;"|"&amp;A2244)</f>
        <v/>
      </c>
      <c r="N2244" s="2">
        <f>IF(M2244="","",SUMIFS(TF_Timer,TF_Nokkel,M2244,TF_Akt,C2244))</f>
        <v/>
      </c>
      <c r="O2244" s="2">
        <f>IF(M2244="","",IF(AND(N2244=_xlfn.MAXIFS(TF_AktSum,TF_Nokkel,M2244),COUNTIFS(M$3:M2243,M2244,N$3:N2243,N2244)=0),M2244,""))</f>
        <v/>
      </c>
    </row>
    <row r="2245">
      <c r="A2245" s="34" t="n"/>
      <c r="B2245" s="35" t="n"/>
      <c r="C2245" s="35" t="n"/>
      <c r="D2245" s="35" t="n"/>
      <c r="E2245" s="35" t="n"/>
      <c r="F2245" s="36" t="n"/>
      <c r="G2245" s="35" t="n"/>
      <c r="H2245" s="30">
        <f>IF(L2245="","",INDEX(SkiftNavn,L2245))</f>
        <v/>
      </c>
      <c r="I2245" s="30">
        <f>IF(OR(A2245="",L2245=""),"",IF(MOD(A2245-INDEX(SkiftStart,L2245),Syklus)&lt;DagK,"Kveld",IF(MOD(A2245-INDEX(SkiftStart,L2245),Syklus)&lt;DagK+DagH,"Helg",IF(MOD(A2245-INDEX(SkiftStart,L2245),Syklus)&lt;DagK+DagH+DagD,"Dag","Fri"))))</f>
        <v/>
      </c>
      <c r="J2245" s="30">
        <f>IF(I2245="Fri","Ja","")</f>
        <v/>
      </c>
      <c r="K2245" s="30">
        <f>IF(B2245="","",IF(L2245="","Ukjent tekniker",IF(ISNA(MATCH(C2245,Aktiviteter,0)),"Ukjent aktivitet",IF(AND(INDEX(AktRolle,MATCH(C2245,Aktiviteter,0))&amp;""&lt;&gt;"",ISERROR(SEARCH(INDEX(AktRolle,MATCH(C2245,Aktiviteter,0))&amp;"",INDEX(TekRoller,MATCH(B2245,Teknikere,0))))),"Mangler rollen "&amp;INDEX(AktRolle,MATCH(C2245,Aktiviteter,0))&amp;"",IF(AND(C2245="LMS",F2245&gt;0,OR(D2245="",E2245="")),"Mangler maskin eller arbeid",IF(AND(OR(C2245="LMS",C2245="Mod"),D2245&lt;&gt;""),IF(IFERROR(INDEX(MaskinStatus,MATCH(D2245,Maskiner,0)),"")="I dokk","","Maskinen er ikke i dokk"),""))))))</f>
        <v/>
      </c>
      <c r="L2245" s="2">
        <f>IF(B2245="","",IFERROR(INT((MATCH(B2245,Teknikere,0)-1)/18)+1,""))</f>
        <v/>
      </c>
      <c r="M2245" s="2">
        <f>IF(OR(A2245="",B2245=""),"",B2245&amp;"|"&amp;A2245)</f>
        <v/>
      </c>
      <c r="N2245" s="2">
        <f>IF(M2245="","",SUMIFS(TF_Timer,TF_Nokkel,M2245,TF_Akt,C2245))</f>
        <v/>
      </c>
      <c r="O2245" s="2">
        <f>IF(M2245="","",IF(AND(N2245=_xlfn.MAXIFS(TF_AktSum,TF_Nokkel,M2245),COUNTIFS(M$3:M2244,M2245,N$3:N2244,N2245)=0),M2245,""))</f>
        <v/>
      </c>
    </row>
    <row r="2246">
      <c r="A2246" s="34" t="n"/>
      <c r="B2246" s="35" t="n"/>
      <c r="C2246" s="35" t="n"/>
      <c r="D2246" s="35" t="n"/>
      <c r="E2246" s="35" t="n"/>
      <c r="F2246" s="36" t="n"/>
      <c r="G2246" s="35" t="n"/>
      <c r="H2246" s="30">
        <f>IF(L2246="","",INDEX(SkiftNavn,L2246))</f>
        <v/>
      </c>
      <c r="I2246" s="30">
        <f>IF(OR(A2246="",L2246=""),"",IF(MOD(A2246-INDEX(SkiftStart,L2246),Syklus)&lt;DagK,"Kveld",IF(MOD(A2246-INDEX(SkiftStart,L2246),Syklus)&lt;DagK+DagH,"Helg",IF(MOD(A2246-INDEX(SkiftStart,L2246),Syklus)&lt;DagK+DagH+DagD,"Dag","Fri"))))</f>
        <v/>
      </c>
      <c r="J2246" s="30">
        <f>IF(I2246="Fri","Ja","")</f>
        <v/>
      </c>
      <c r="K2246" s="30">
        <f>IF(B2246="","",IF(L2246="","Ukjent tekniker",IF(ISNA(MATCH(C2246,Aktiviteter,0)),"Ukjent aktivitet",IF(AND(INDEX(AktRolle,MATCH(C2246,Aktiviteter,0))&amp;""&lt;&gt;"",ISERROR(SEARCH(INDEX(AktRolle,MATCH(C2246,Aktiviteter,0))&amp;"",INDEX(TekRoller,MATCH(B2246,Teknikere,0))))),"Mangler rollen "&amp;INDEX(AktRolle,MATCH(C2246,Aktiviteter,0))&amp;"",IF(AND(C2246="LMS",F2246&gt;0,OR(D2246="",E2246="")),"Mangler maskin eller arbeid",IF(AND(OR(C2246="LMS",C2246="Mod"),D2246&lt;&gt;""),IF(IFERROR(INDEX(MaskinStatus,MATCH(D2246,Maskiner,0)),"")="I dokk","","Maskinen er ikke i dokk"),""))))))</f>
        <v/>
      </c>
      <c r="L2246" s="2">
        <f>IF(B2246="","",IFERROR(INT((MATCH(B2246,Teknikere,0)-1)/18)+1,""))</f>
        <v/>
      </c>
      <c r="M2246" s="2">
        <f>IF(OR(A2246="",B2246=""),"",B2246&amp;"|"&amp;A2246)</f>
        <v/>
      </c>
      <c r="N2246" s="2">
        <f>IF(M2246="","",SUMIFS(TF_Timer,TF_Nokkel,M2246,TF_Akt,C2246))</f>
        <v/>
      </c>
      <c r="O2246" s="2">
        <f>IF(M2246="","",IF(AND(N2246=_xlfn.MAXIFS(TF_AktSum,TF_Nokkel,M2246),COUNTIFS(M$3:M2245,M2246,N$3:N2245,N2246)=0),M2246,""))</f>
        <v/>
      </c>
    </row>
    <row r="2247">
      <c r="A2247" s="34" t="n"/>
      <c r="B2247" s="35" t="n"/>
      <c r="C2247" s="35" t="n"/>
      <c r="D2247" s="35" t="n"/>
      <c r="E2247" s="35" t="n"/>
      <c r="F2247" s="36" t="n"/>
      <c r="G2247" s="35" t="n"/>
      <c r="H2247" s="30">
        <f>IF(L2247="","",INDEX(SkiftNavn,L2247))</f>
        <v/>
      </c>
      <c r="I2247" s="30">
        <f>IF(OR(A2247="",L2247=""),"",IF(MOD(A2247-INDEX(SkiftStart,L2247),Syklus)&lt;DagK,"Kveld",IF(MOD(A2247-INDEX(SkiftStart,L2247),Syklus)&lt;DagK+DagH,"Helg",IF(MOD(A2247-INDEX(SkiftStart,L2247),Syklus)&lt;DagK+DagH+DagD,"Dag","Fri"))))</f>
        <v/>
      </c>
      <c r="J2247" s="30">
        <f>IF(I2247="Fri","Ja","")</f>
        <v/>
      </c>
      <c r="K2247" s="30">
        <f>IF(B2247="","",IF(L2247="","Ukjent tekniker",IF(ISNA(MATCH(C2247,Aktiviteter,0)),"Ukjent aktivitet",IF(AND(INDEX(AktRolle,MATCH(C2247,Aktiviteter,0))&amp;""&lt;&gt;"",ISERROR(SEARCH(INDEX(AktRolle,MATCH(C2247,Aktiviteter,0))&amp;"",INDEX(TekRoller,MATCH(B2247,Teknikere,0))))),"Mangler rollen "&amp;INDEX(AktRolle,MATCH(C2247,Aktiviteter,0))&amp;"",IF(AND(C2247="LMS",F2247&gt;0,OR(D2247="",E2247="")),"Mangler maskin eller arbeid",IF(AND(OR(C2247="LMS",C2247="Mod"),D2247&lt;&gt;""),IF(IFERROR(INDEX(MaskinStatus,MATCH(D2247,Maskiner,0)),"")="I dokk","","Maskinen er ikke i dokk"),""))))))</f>
        <v/>
      </c>
      <c r="L2247" s="2">
        <f>IF(B2247="","",IFERROR(INT((MATCH(B2247,Teknikere,0)-1)/18)+1,""))</f>
        <v/>
      </c>
      <c r="M2247" s="2">
        <f>IF(OR(A2247="",B2247=""),"",B2247&amp;"|"&amp;A2247)</f>
        <v/>
      </c>
      <c r="N2247" s="2">
        <f>IF(M2247="","",SUMIFS(TF_Timer,TF_Nokkel,M2247,TF_Akt,C2247))</f>
        <v/>
      </c>
      <c r="O2247" s="2">
        <f>IF(M2247="","",IF(AND(N2247=_xlfn.MAXIFS(TF_AktSum,TF_Nokkel,M2247),COUNTIFS(M$3:M2246,M2247,N$3:N2246,N2247)=0),M2247,""))</f>
        <v/>
      </c>
    </row>
    <row r="2248">
      <c r="A2248" s="34" t="n"/>
      <c r="B2248" s="35" t="n"/>
      <c r="C2248" s="35" t="n"/>
      <c r="D2248" s="35" t="n"/>
      <c r="E2248" s="35" t="n"/>
      <c r="F2248" s="36" t="n"/>
      <c r="G2248" s="35" t="n"/>
      <c r="H2248" s="30">
        <f>IF(L2248="","",INDEX(SkiftNavn,L2248))</f>
        <v/>
      </c>
      <c r="I2248" s="30">
        <f>IF(OR(A2248="",L2248=""),"",IF(MOD(A2248-INDEX(SkiftStart,L2248),Syklus)&lt;DagK,"Kveld",IF(MOD(A2248-INDEX(SkiftStart,L2248),Syklus)&lt;DagK+DagH,"Helg",IF(MOD(A2248-INDEX(SkiftStart,L2248),Syklus)&lt;DagK+DagH+DagD,"Dag","Fri"))))</f>
        <v/>
      </c>
      <c r="J2248" s="30">
        <f>IF(I2248="Fri","Ja","")</f>
        <v/>
      </c>
      <c r="K2248" s="30">
        <f>IF(B2248="","",IF(L2248="","Ukjent tekniker",IF(ISNA(MATCH(C2248,Aktiviteter,0)),"Ukjent aktivitet",IF(AND(INDEX(AktRolle,MATCH(C2248,Aktiviteter,0))&amp;""&lt;&gt;"",ISERROR(SEARCH(INDEX(AktRolle,MATCH(C2248,Aktiviteter,0))&amp;"",INDEX(TekRoller,MATCH(B2248,Teknikere,0))))),"Mangler rollen "&amp;INDEX(AktRolle,MATCH(C2248,Aktiviteter,0))&amp;"",IF(AND(C2248="LMS",F2248&gt;0,OR(D2248="",E2248="")),"Mangler maskin eller arbeid",IF(AND(OR(C2248="LMS",C2248="Mod"),D2248&lt;&gt;""),IF(IFERROR(INDEX(MaskinStatus,MATCH(D2248,Maskiner,0)),"")="I dokk","","Maskinen er ikke i dokk"),""))))))</f>
        <v/>
      </c>
      <c r="L2248" s="2">
        <f>IF(B2248="","",IFERROR(INT((MATCH(B2248,Teknikere,0)-1)/18)+1,""))</f>
        <v/>
      </c>
      <c r="M2248" s="2">
        <f>IF(OR(A2248="",B2248=""),"",B2248&amp;"|"&amp;A2248)</f>
        <v/>
      </c>
      <c r="N2248" s="2">
        <f>IF(M2248="","",SUMIFS(TF_Timer,TF_Nokkel,M2248,TF_Akt,C2248))</f>
        <v/>
      </c>
      <c r="O2248" s="2">
        <f>IF(M2248="","",IF(AND(N2248=_xlfn.MAXIFS(TF_AktSum,TF_Nokkel,M2248),COUNTIFS(M$3:M2247,M2248,N$3:N2247,N2248)=0),M2248,""))</f>
        <v/>
      </c>
    </row>
    <row r="2249">
      <c r="A2249" s="34" t="n"/>
      <c r="B2249" s="35" t="n"/>
      <c r="C2249" s="35" t="n"/>
      <c r="D2249" s="35" t="n"/>
      <c r="E2249" s="35" t="n"/>
      <c r="F2249" s="36" t="n"/>
      <c r="G2249" s="35" t="n"/>
      <c r="H2249" s="30">
        <f>IF(L2249="","",INDEX(SkiftNavn,L2249))</f>
        <v/>
      </c>
      <c r="I2249" s="30">
        <f>IF(OR(A2249="",L2249=""),"",IF(MOD(A2249-INDEX(SkiftStart,L2249),Syklus)&lt;DagK,"Kveld",IF(MOD(A2249-INDEX(SkiftStart,L2249),Syklus)&lt;DagK+DagH,"Helg",IF(MOD(A2249-INDEX(SkiftStart,L2249),Syklus)&lt;DagK+DagH+DagD,"Dag","Fri"))))</f>
        <v/>
      </c>
      <c r="J2249" s="30">
        <f>IF(I2249="Fri","Ja","")</f>
        <v/>
      </c>
      <c r="K2249" s="30">
        <f>IF(B2249="","",IF(L2249="","Ukjent tekniker",IF(ISNA(MATCH(C2249,Aktiviteter,0)),"Ukjent aktivitet",IF(AND(INDEX(AktRolle,MATCH(C2249,Aktiviteter,0))&amp;""&lt;&gt;"",ISERROR(SEARCH(INDEX(AktRolle,MATCH(C2249,Aktiviteter,0))&amp;"",INDEX(TekRoller,MATCH(B2249,Teknikere,0))))),"Mangler rollen "&amp;INDEX(AktRolle,MATCH(C2249,Aktiviteter,0))&amp;"",IF(AND(C2249="LMS",F2249&gt;0,OR(D2249="",E2249="")),"Mangler maskin eller arbeid",IF(AND(OR(C2249="LMS",C2249="Mod"),D2249&lt;&gt;""),IF(IFERROR(INDEX(MaskinStatus,MATCH(D2249,Maskiner,0)),"")="I dokk","","Maskinen er ikke i dokk"),""))))))</f>
        <v/>
      </c>
      <c r="L2249" s="2">
        <f>IF(B2249="","",IFERROR(INT((MATCH(B2249,Teknikere,0)-1)/18)+1,""))</f>
        <v/>
      </c>
      <c r="M2249" s="2">
        <f>IF(OR(A2249="",B2249=""),"",B2249&amp;"|"&amp;A2249)</f>
        <v/>
      </c>
      <c r="N2249" s="2">
        <f>IF(M2249="","",SUMIFS(TF_Timer,TF_Nokkel,M2249,TF_Akt,C2249))</f>
        <v/>
      </c>
      <c r="O2249" s="2">
        <f>IF(M2249="","",IF(AND(N2249=_xlfn.MAXIFS(TF_AktSum,TF_Nokkel,M2249),COUNTIFS(M$3:M2248,M2249,N$3:N2248,N2249)=0),M2249,""))</f>
        <v/>
      </c>
    </row>
    <row r="2250">
      <c r="A2250" s="34" t="n"/>
      <c r="B2250" s="35" t="n"/>
      <c r="C2250" s="35" t="n"/>
      <c r="D2250" s="35" t="n"/>
      <c r="E2250" s="35" t="n"/>
      <c r="F2250" s="36" t="n"/>
      <c r="G2250" s="35" t="n"/>
      <c r="H2250" s="30">
        <f>IF(L2250="","",INDEX(SkiftNavn,L2250))</f>
        <v/>
      </c>
      <c r="I2250" s="30">
        <f>IF(OR(A2250="",L2250=""),"",IF(MOD(A2250-INDEX(SkiftStart,L2250),Syklus)&lt;DagK,"Kveld",IF(MOD(A2250-INDEX(SkiftStart,L2250),Syklus)&lt;DagK+DagH,"Helg",IF(MOD(A2250-INDEX(SkiftStart,L2250),Syklus)&lt;DagK+DagH+DagD,"Dag","Fri"))))</f>
        <v/>
      </c>
      <c r="J2250" s="30">
        <f>IF(I2250="Fri","Ja","")</f>
        <v/>
      </c>
      <c r="K2250" s="30">
        <f>IF(B2250="","",IF(L2250="","Ukjent tekniker",IF(ISNA(MATCH(C2250,Aktiviteter,0)),"Ukjent aktivitet",IF(AND(INDEX(AktRolle,MATCH(C2250,Aktiviteter,0))&amp;""&lt;&gt;"",ISERROR(SEARCH(INDEX(AktRolle,MATCH(C2250,Aktiviteter,0))&amp;"",INDEX(TekRoller,MATCH(B2250,Teknikere,0))))),"Mangler rollen "&amp;INDEX(AktRolle,MATCH(C2250,Aktiviteter,0))&amp;"",IF(AND(C2250="LMS",F2250&gt;0,OR(D2250="",E2250="")),"Mangler maskin eller arbeid",IF(AND(OR(C2250="LMS",C2250="Mod"),D2250&lt;&gt;""),IF(IFERROR(INDEX(MaskinStatus,MATCH(D2250,Maskiner,0)),"")="I dokk","","Maskinen er ikke i dokk"),""))))))</f>
        <v/>
      </c>
      <c r="L2250" s="2">
        <f>IF(B2250="","",IFERROR(INT((MATCH(B2250,Teknikere,0)-1)/18)+1,""))</f>
        <v/>
      </c>
      <c r="M2250" s="2">
        <f>IF(OR(A2250="",B2250=""),"",B2250&amp;"|"&amp;A2250)</f>
        <v/>
      </c>
      <c r="N2250" s="2">
        <f>IF(M2250="","",SUMIFS(TF_Timer,TF_Nokkel,M2250,TF_Akt,C2250))</f>
        <v/>
      </c>
      <c r="O2250" s="2">
        <f>IF(M2250="","",IF(AND(N2250=_xlfn.MAXIFS(TF_AktSum,TF_Nokkel,M2250),COUNTIFS(M$3:M2249,M2250,N$3:N2249,N2250)=0),M2250,""))</f>
        <v/>
      </c>
    </row>
    <row r="2251">
      <c r="A2251" s="34" t="n"/>
      <c r="B2251" s="35" t="n"/>
      <c r="C2251" s="35" t="n"/>
      <c r="D2251" s="35" t="n"/>
      <c r="E2251" s="35" t="n"/>
      <c r="F2251" s="36" t="n"/>
      <c r="G2251" s="35" t="n"/>
      <c r="H2251" s="30">
        <f>IF(L2251="","",INDEX(SkiftNavn,L2251))</f>
        <v/>
      </c>
      <c r="I2251" s="30">
        <f>IF(OR(A2251="",L2251=""),"",IF(MOD(A2251-INDEX(SkiftStart,L2251),Syklus)&lt;DagK,"Kveld",IF(MOD(A2251-INDEX(SkiftStart,L2251),Syklus)&lt;DagK+DagH,"Helg",IF(MOD(A2251-INDEX(SkiftStart,L2251),Syklus)&lt;DagK+DagH+DagD,"Dag","Fri"))))</f>
        <v/>
      </c>
      <c r="J2251" s="30">
        <f>IF(I2251="Fri","Ja","")</f>
        <v/>
      </c>
      <c r="K2251" s="30">
        <f>IF(B2251="","",IF(L2251="","Ukjent tekniker",IF(ISNA(MATCH(C2251,Aktiviteter,0)),"Ukjent aktivitet",IF(AND(INDEX(AktRolle,MATCH(C2251,Aktiviteter,0))&amp;""&lt;&gt;"",ISERROR(SEARCH(INDEX(AktRolle,MATCH(C2251,Aktiviteter,0))&amp;"",INDEX(TekRoller,MATCH(B2251,Teknikere,0))))),"Mangler rollen "&amp;INDEX(AktRolle,MATCH(C2251,Aktiviteter,0))&amp;"",IF(AND(C2251="LMS",F2251&gt;0,OR(D2251="",E2251="")),"Mangler maskin eller arbeid",IF(AND(OR(C2251="LMS",C2251="Mod"),D2251&lt;&gt;""),IF(IFERROR(INDEX(MaskinStatus,MATCH(D2251,Maskiner,0)),"")="I dokk","","Maskinen er ikke i dokk"),""))))))</f>
        <v/>
      </c>
      <c r="L2251" s="2">
        <f>IF(B2251="","",IFERROR(INT((MATCH(B2251,Teknikere,0)-1)/18)+1,""))</f>
        <v/>
      </c>
      <c r="M2251" s="2">
        <f>IF(OR(A2251="",B2251=""),"",B2251&amp;"|"&amp;A2251)</f>
        <v/>
      </c>
      <c r="N2251" s="2">
        <f>IF(M2251="","",SUMIFS(TF_Timer,TF_Nokkel,M2251,TF_Akt,C2251))</f>
        <v/>
      </c>
      <c r="O2251" s="2">
        <f>IF(M2251="","",IF(AND(N2251=_xlfn.MAXIFS(TF_AktSum,TF_Nokkel,M2251),COUNTIFS(M$3:M2250,M2251,N$3:N2250,N2251)=0),M2251,""))</f>
        <v/>
      </c>
    </row>
    <row r="2252">
      <c r="A2252" s="34" t="n"/>
      <c r="B2252" s="35" t="n"/>
      <c r="C2252" s="35" t="n"/>
      <c r="D2252" s="35" t="n"/>
      <c r="E2252" s="35" t="n"/>
      <c r="F2252" s="36" t="n"/>
      <c r="G2252" s="35" t="n"/>
      <c r="H2252" s="30">
        <f>IF(L2252="","",INDEX(SkiftNavn,L2252))</f>
        <v/>
      </c>
      <c r="I2252" s="30">
        <f>IF(OR(A2252="",L2252=""),"",IF(MOD(A2252-INDEX(SkiftStart,L2252),Syklus)&lt;DagK,"Kveld",IF(MOD(A2252-INDEX(SkiftStart,L2252),Syklus)&lt;DagK+DagH,"Helg",IF(MOD(A2252-INDEX(SkiftStart,L2252),Syklus)&lt;DagK+DagH+DagD,"Dag","Fri"))))</f>
        <v/>
      </c>
      <c r="J2252" s="30">
        <f>IF(I2252="Fri","Ja","")</f>
        <v/>
      </c>
      <c r="K2252" s="30">
        <f>IF(B2252="","",IF(L2252="","Ukjent tekniker",IF(ISNA(MATCH(C2252,Aktiviteter,0)),"Ukjent aktivitet",IF(AND(INDEX(AktRolle,MATCH(C2252,Aktiviteter,0))&amp;""&lt;&gt;"",ISERROR(SEARCH(INDEX(AktRolle,MATCH(C2252,Aktiviteter,0))&amp;"",INDEX(TekRoller,MATCH(B2252,Teknikere,0))))),"Mangler rollen "&amp;INDEX(AktRolle,MATCH(C2252,Aktiviteter,0))&amp;"",IF(AND(C2252="LMS",F2252&gt;0,OR(D2252="",E2252="")),"Mangler maskin eller arbeid",IF(AND(OR(C2252="LMS",C2252="Mod"),D2252&lt;&gt;""),IF(IFERROR(INDEX(MaskinStatus,MATCH(D2252,Maskiner,0)),"")="I dokk","","Maskinen er ikke i dokk"),""))))))</f>
        <v/>
      </c>
      <c r="L2252" s="2">
        <f>IF(B2252="","",IFERROR(INT((MATCH(B2252,Teknikere,0)-1)/18)+1,""))</f>
        <v/>
      </c>
      <c r="M2252" s="2">
        <f>IF(OR(A2252="",B2252=""),"",B2252&amp;"|"&amp;A2252)</f>
        <v/>
      </c>
      <c r="N2252" s="2">
        <f>IF(M2252="","",SUMIFS(TF_Timer,TF_Nokkel,M2252,TF_Akt,C2252))</f>
        <v/>
      </c>
      <c r="O2252" s="2">
        <f>IF(M2252="","",IF(AND(N2252=_xlfn.MAXIFS(TF_AktSum,TF_Nokkel,M2252),COUNTIFS(M$3:M2251,M2252,N$3:N2251,N2252)=0),M2252,""))</f>
        <v/>
      </c>
    </row>
    <row r="2253">
      <c r="A2253" s="34" t="n"/>
      <c r="B2253" s="35" t="n"/>
      <c r="C2253" s="35" t="n"/>
      <c r="D2253" s="35" t="n"/>
      <c r="E2253" s="35" t="n"/>
      <c r="F2253" s="36" t="n"/>
      <c r="G2253" s="35" t="n"/>
      <c r="H2253" s="30">
        <f>IF(L2253="","",INDEX(SkiftNavn,L2253))</f>
        <v/>
      </c>
      <c r="I2253" s="30">
        <f>IF(OR(A2253="",L2253=""),"",IF(MOD(A2253-INDEX(SkiftStart,L2253),Syklus)&lt;DagK,"Kveld",IF(MOD(A2253-INDEX(SkiftStart,L2253),Syklus)&lt;DagK+DagH,"Helg",IF(MOD(A2253-INDEX(SkiftStart,L2253),Syklus)&lt;DagK+DagH+DagD,"Dag","Fri"))))</f>
        <v/>
      </c>
      <c r="J2253" s="30">
        <f>IF(I2253="Fri","Ja","")</f>
        <v/>
      </c>
      <c r="K2253" s="30">
        <f>IF(B2253="","",IF(L2253="","Ukjent tekniker",IF(ISNA(MATCH(C2253,Aktiviteter,0)),"Ukjent aktivitet",IF(AND(INDEX(AktRolle,MATCH(C2253,Aktiviteter,0))&amp;""&lt;&gt;"",ISERROR(SEARCH(INDEX(AktRolle,MATCH(C2253,Aktiviteter,0))&amp;"",INDEX(TekRoller,MATCH(B2253,Teknikere,0))))),"Mangler rollen "&amp;INDEX(AktRolle,MATCH(C2253,Aktiviteter,0))&amp;"",IF(AND(C2253="LMS",F2253&gt;0,OR(D2253="",E2253="")),"Mangler maskin eller arbeid",IF(AND(OR(C2253="LMS",C2253="Mod"),D2253&lt;&gt;""),IF(IFERROR(INDEX(MaskinStatus,MATCH(D2253,Maskiner,0)),"")="I dokk","","Maskinen er ikke i dokk"),""))))))</f>
        <v/>
      </c>
      <c r="L2253" s="2">
        <f>IF(B2253="","",IFERROR(INT((MATCH(B2253,Teknikere,0)-1)/18)+1,""))</f>
        <v/>
      </c>
      <c r="M2253" s="2">
        <f>IF(OR(A2253="",B2253=""),"",B2253&amp;"|"&amp;A2253)</f>
        <v/>
      </c>
      <c r="N2253" s="2">
        <f>IF(M2253="","",SUMIFS(TF_Timer,TF_Nokkel,M2253,TF_Akt,C2253))</f>
        <v/>
      </c>
      <c r="O2253" s="2">
        <f>IF(M2253="","",IF(AND(N2253=_xlfn.MAXIFS(TF_AktSum,TF_Nokkel,M2253),COUNTIFS(M$3:M2252,M2253,N$3:N2252,N2253)=0),M2253,""))</f>
        <v/>
      </c>
    </row>
    <row r="2254">
      <c r="A2254" s="34" t="n"/>
      <c r="B2254" s="35" t="n"/>
      <c r="C2254" s="35" t="n"/>
      <c r="D2254" s="35" t="n"/>
      <c r="E2254" s="35" t="n"/>
      <c r="F2254" s="36" t="n"/>
      <c r="G2254" s="35" t="n"/>
      <c r="H2254" s="30">
        <f>IF(L2254="","",INDEX(SkiftNavn,L2254))</f>
        <v/>
      </c>
      <c r="I2254" s="30">
        <f>IF(OR(A2254="",L2254=""),"",IF(MOD(A2254-INDEX(SkiftStart,L2254),Syklus)&lt;DagK,"Kveld",IF(MOD(A2254-INDEX(SkiftStart,L2254),Syklus)&lt;DagK+DagH,"Helg",IF(MOD(A2254-INDEX(SkiftStart,L2254),Syklus)&lt;DagK+DagH+DagD,"Dag","Fri"))))</f>
        <v/>
      </c>
      <c r="J2254" s="30">
        <f>IF(I2254="Fri","Ja","")</f>
        <v/>
      </c>
      <c r="K2254" s="30">
        <f>IF(B2254="","",IF(L2254="","Ukjent tekniker",IF(ISNA(MATCH(C2254,Aktiviteter,0)),"Ukjent aktivitet",IF(AND(INDEX(AktRolle,MATCH(C2254,Aktiviteter,0))&amp;""&lt;&gt;"",ISERROR(SEARCH(INDEX(AktRolle,MATCH(C2254,Aktiviteter,0))&amp;"",INDEX(TekRoller,MATCH(B2254,Teknikere,0))))),"Mangler rollen "&amp;INDEX(AktRolle,MATCH(C2254,Aktiviteter,0))&amp;"",IF(AND(C2254="LMS",F2254&gt;0,OR(D2254="",E2254="")),"Mangler maskin eller arbeid",IF(AND(OR(C2254="LMS",C2254="Mod"),D2254&lt;&gt;""),IF(IFERROR(INDEX(MaskinStatus,MATCH(D2254,Maskiner,0)),"")="I dokk","","Maskinen er ikke i dokk"),""))))))</f>
        <v/>
      </c>
      <c r="L2254" s="2">
        <f>IF(B2254="","",IFERROR(INT((MATCH(B2254,Teknikere,0)-1)/18)+1,""))</f>
        <v/>
      </c>
      <c r="M2254" s="2">
        <f>IF(OR(A2254="",B2254=""),"",B2254&amp;"|"&amp;A2254)</f>
        <v/>
      </c>
      <c r="N2254" s="2">
        <f>IF(M2254="","",SUMIFS(TF_Timer,TF_Nokkel,M2254,TF_Akt,C2254))</f>
        <v/>
      </c>
      <c r="O2254" s="2">
        <f>IF(M2254="","",IF(AND(N2254=_xlfn.MAXIFS(TF_AktSum,TF_Nokkel,M2254),COUNTIFS(M$3:M2253,M2254,N$3:N2253,N2254)=0),M2254,""))</f>
        <v/>
      </c>
    </row>
    <row r="2255">
      <c r="A2255" s="34" t="n"/>
      <c r="B2255" s="35" t="n"/>
      <c r="C2255" s="35" t="n"/>
      <c r="D2255" s="35" t="n"/>
      <c r="E2255" s="35" t="n"/>
      <c r="F2255" s="36" t="n"/>
      <c r="G2255" s="35" t="n"/>
      <c r="H2255" s="30">
        <f>IF(L2255="","",INDEX(SkiftNavn,L2255))</f>
        <v/>
      </c>
      <c r="I2255" s="30">
        <f>IF(OR(A2255="",L2255=""),"",IF(MOD(A2255-INDEX(SkiftStart,L2255),Syklus)&lt;DagK,"Kveld",IF(MOD(A2255-INDEX(SkiftStart,L2255),Syklus)&lt;DagK+DagH,"Helg",IF(MOD(A2255-INDEX(SkiftStart,L2255),Syklus)&lt;DagK+DagH+DagD,"Dag","Fri"))))</f>
        <v/>
      </c>
      <c r="J2255" s="30">
        <f>IF(I2255="Fri","Ja","")</f>
        <v/>
      </c>
      <c r="K2255" s="30">
        <f>IF(B2255="","",IF(L2255="","Ukjent tekniker",IF(ISNA(MATCH(C2255,Aktiviteter,0)),"Ukjent aktivitet",IF(AND(INDEX(AktRolle,MATCH(C2255,Aktiviteter,0))&amp;""&lt;&gt;"",ISERROR(SEARCH(INDEX(AktRolle,MATCH(C2255,Aktiviteter,0))&amp;"",INDEX(TekRoller,MATCH(B2255,Teknikere,0))))),"Mangler rollen "&amp;INDEX(AktRolle,MATCH(C2255,Aktiviteter,0))&amp;"",IF(AND(C2255="LMS",F2255&gt;0,OR(D2255="",E2255="")),"Mangler maskin eller arbeid",IF(AND(OR(C2255="LMS",C2255="Mod"),D2255&lt;&gt;""),IF(IFERROR(INDEX(MaskinStatus,MATCH(D2255,Maskiner,0)),"")="I dokk","","Maskinen er ikke i dokk"),""))))))</f>
        <v/>
      </c>
      <c r="L2255" s="2">
        <f>IF(B2255="","",IFERROR(INT((MATCH(B2255,Teknikere,0)-1)/18)+1,""))</f>
        <v/>
      </c>
      <c r="M2255" s="2">
        <f>IF(OR(A2255="",B2255=""),"",B2255&amp;"|"&amp;A2255)</f>
        <v/>
      </c>
      <c r="N2255" s="2">
        <f>IF(M2255="","",SUMIFS(TF_Timer,TF_Nokkel,M2255,TF_Akt,C2255))</f>
        <v/>
      </c>
      <c r="O2255" s="2">
        <f>IF(M2255="","",IF(AND(N2255=_xlfn.MAXIFS(TF_AktSum,TF_Nokkel,M2255),COUNTIFS(M$3:M2254,M2255,N$3:N2254,N2255)=0),M2255,""))</f>
        <v/>
      </c>
    </row>
    <row r="2256">
      <c r="A2256" s="34" t="n"/>
      <c r="B2256" s="35" t="n"/>
      <c r="C2256" s="35" t="n"/>
      <c r="D2256" s="35" t="n"/>
      <c r="E2256" s="35" t="n"/>
      <c r="F2256" s="36" t="n"/>
      <c r="G2256" s="35" t="n"/>
      <c r="H2256" s="30">
        <f>IF(L2256="","",INDEX(SkiftNavn,L2256))</f>
        <v/>
      </c>
      <c r="I2256" s="30">
        <f>IF(OR(A2256="",L2256=""),"",IF(MOD(A2256-INDEX(SkiftStart,L2256),Syklus)&lt;DagK,"Kveld",IF(MOD(A2256-INDEX(SkiftStart,L2256),Syklus)&lt;DagK+DagH,"Helg",IF(MOD(A2256-INDEX(SkiftStart,L2256),Syklus)&lt;DagK+DagH+DagD,"Dag","Fri"))))</f>
        <v/>
      </c>
      <c r="J2256" s="30">
        <f>IF(I2256="Fri","Ja","")</f>
        <v/>
      </c>
      <c r="K2256" s="30">
        <f>IF(B2256="","",IF(L2256="","Ukjent tekniker",IF(ISNA(MATCH(C2256,Aktiviteter,0)),"Ukjent aktivitet",IF(AND(INDEX(AktRolle,MATCH(C2256,Aktiviteter,0))&amp;""&lt;&gt;"",ISERROR(SEARCH(INDEX(AktRolle,MATCH(C2256,Aktiviteter,0))&amp;"",INDEX(TekRoller,MATCH(B2256,Teknikere,0))))),"Mangler rollen "&amp;INDEX(AktRolle,MATCH(C2256,Aktiviteter,0))&amp;"",IF(AND(C2256="LMS",F2256&gt;0,OR(D2256="",E2256="")),"Mangler maskin eller arbeid",IF(AND(OR(C2256="LMS",C2256="Mod"),D2256&lt;&gt;""),IF(IFERROR(INDEX(MaskinStatus,MATCH(D2256,Maskiner,0)),"")="I dokk","","Maskinen er ikke i dokk"),""))))))</f>
        <v/>
      </c>
      <c r="L2256" s="2">
        <f>IF(B2256="","",IFERROR(INT((MATCH(B2256,Teknikere,0)-1)/18)+1,""))</f>
        <v/>
      </c>
      <c r="M2256" s="2">
        <f>IF(OR(A2256="",B2256=""),"",B2256&amp;"|"&amp;A2256)</f>
        <v/>
      </c>
      <c r="N2256" s="2">
        <f>IF(M2256="","",SUMIFS(TF_Timer,TF_Nokkel,M2256,TF_Akt,C2256))</f>
        <v/>
      </c>
      <c r="O2256" s="2">
        <f>IF(M2256="","",IF(AND(N2256=_xlfn.MAXIFS(TF_AktSum,TF_Nokkel,M2256),COUNTIFS(M$3:M2255,M2256,N$3:N2255,N2256)=0),M2256,""))</f>
        <v/>
      </c>
    </row>
    <row r="2257">
      <c r="A2257" s="34" t="n"/>
      <c r="B2257" s="35" t="n"/>
      <c r="C2257" s="35" t="n"/>
      <c r="D2257" s="35" t="n"/>
      <c r="E2257" s="35" t="n"/>
      <c r="F2257" s="36" t="n"/>
      <c r="G2257" s="35" t="n"/>
      <c r="H2257" s="30">
        <f>IF(L2257="","",INDEX(SkiftNavn,L2257))</f>
        <v/>
      </c>
      <c r="I2257" s="30">
        <f>IF(OR(A2257="",L2257=""),"",IF(MOD(A2257-INDEX(SkiftStart,L2257),Syklus)&lt;DagK,"Kveld",IF(MOD(A2257-INDEX(SkiftStart,L2257),Syklus)&lt;DagK+DagH,"Helg",IF(MOD(A2257-INDEX(SkiftStart,L2257),Syklus)&lt;DagK+DagH+DagD,"Dag","Fri"))))</f>
        <v/>
      </c>
      <c r="J2257" s="30">
        <f>IF(I2257="Fri","Ja","")</f>
        <v/>
      </c>
      <c r="K2257" s="30">
        <f>IF(B2257="","",IF(L2257="","Ukjent tekniker",IF(ISNA(MATCH(C2257,Aktiviteter,0)),"Ukjent aktivitet",IF(AND(INDEX(AktRolle,MATCH(C2257,Aktiviteter,0))&amp;""&lt;&gt;"",ISERROR(SEARCH(INDEX(AktRolle,MATCH(C2257,Aktiviteter,0))&amp;"",INDEX(TekRoller,MATCH(B2257,Teknikere,0))))),"Mangler rollen "&amp;INDEX(AktRolle,MATCH(C2257,Aktiviteter,0))&amp;"",IF(AND(C2257="LMS",F2257&gt;0,OR(D2257="",E2257="")),"Mangler maskin eller arbeid",IF(AND(OR(C2257="LMS",C2257="Mod"),D2257&lt;&gt;""),IF(IFERROR(INDEX(MaskinStatus,MATCH(D2257,Maskiner,0)),"")="I dokk","","Maskinen er ikke i dokk"),""))))))</f>
        <v/>
      </c>
      <c r="L2257" s="2">
        <f>IF(B2257="","",IFERROR(INT((MATCH(B2257,Teknikere,0)-1)/18)+1,""))</f>
        <v/>
      </c>
      <c r="M2257" s="2">
        <f>IF(OR(A2257="",B2257=""),"",B2257&amp;"|"&amp;A2257)</f>
        <v/>
      </c>
      <c r="N2257" s="2">
        <f>IF(M2257="","",SUMIFS(TF_Timer,TF_Nokkel,M2257,TF_Akt,C2257))</f>
        <v/>
      </c>
      <c r="O2257" s="2">
        <f>IF(M2257="","",IF(AND(N2257=_xlfn.MAXIFS(TF_AktSum,TF_Nokkel,M2257),COUNTIFS(M$3:M2256,M2257,N$3:N2256,N2257)=0),M2257,""))</f>
        <v/>
      </c>
    </row>
    <row r="2258">
      <c r="A2258" s="34" t="n"/>
      <c r="B2258" s="35" t="n"/>
      <c r="C2258" s="35" t="n"/>
      <c r="D2258" s="35" t="n"/>
      <c r="E2258" s="35" t="n"/>
      <c r="F2258" s="36" t="n"/>
      <c r="G2258" s="35" t="n"/>
      <c r="H2258" s="30">
        <f>IF(L2258="","",INDEX(SkiftNavn,L2258))</f>
        <v/>
      </c>
      <c r="I2258" s="30">
        <f>IF(OR(A2258="",L2258=""),"",IF(MOD(A2258-INDEX(SkiftStart,L2258),Syklus)&lt;DagK,"Kveld",IF(MOD(A2258-INDEX(SkiftStart,L2258),Syklus)&lt;DagK+DagH,"Helg",IF(MOD(A2258-INDEX(SkiftStart,L2258),Syklus)&lt;DagK+DagH+DagD,"Dag","Fri"))))</f>
        <v/>
      </c>
      <c r="J2258" s="30">
        <f>IF(I2258="Fri","Ja","")</f>
        <v/>
      </c>
      <c r="K2258" s="30">
        <f>IF(B2258="","",IF(L2258="","Ukjent tekniker",IF(ISNA(MATCH(C2258,Aktiviteter,0)),"Ukjent aktivitet",IF(AND(INDEX(AktRolle,MATCH(C2258,Aktiviteter,0))&amp;""&lt;&gt;"",ISERROR(SEARCH(INDEX(AktRolle,MATCH(C2258,Aktiviteter,0))&amp;"",INDEX(TekRoller,MATCH(B2258,Teknikere,0))))),"Mangler rollen "&amp;INDEX(AktRolle,MATCH(C2258,Aktiviteter,0))&amp;"",IF(AND(C2258="LMS",F2258&gt;0,OR(D2258="",E2258="")),"Mangler maskin eller arbeid",IF(AND(OR(C2258="LMS",C2258="Mod"),D2258&lt;&gt;""),IF(IFERROR(INDEX(MaskinStatus,MATCH(D2258,Maskiner,0)),"")="I dokk","","Maskinen er ikke i dokk"),""))))))</f>
        <v/>
      </c>
      <c r="L2258" s="2">
        <f>IF(B2258="","",IFERROR(INT((MATCH(B2258,Teknikere,0)-1)/18)+1,""))</f>
        <v/>
      </c>
      <c r="M2258" s="2">
        <f>IF(OR(A2258="",B2258=""),"",B2258&amp;"|"&amp;A2258)</f>
        <v/>
      </c>
      <c r="N2258" s="2">
        <f>IF(M2258="","",SUMIFS(TF_Timer,TF_Nokkel,M2258,TF_Akt,C2258))</f>
        <v/>
      </c>
      <c r="O2258" s="2">
        <f>IF(M2258="","",IF(AND(N2258=_xlfn.MAXIFS(TF_AktSum,TF_Nokkel,M2258),COUNTIFS(M$3:M2257,M2258,N$3:N2257,N2258)=0),M2258,""))</f>
        <v/>
      </c>
    </row>
    <row r="2259">
      <c r="A2259" s="34" t="n"/>
      <c r="B2259" s="35" t="n"/>
      <c r="C2259" s="35" t="n"/>
      <c r="D2259" s="35" t="n"/>
      <c r="E2259" s="35" t="n"/>
      <c r="F2259" s="36" t="n"/>
      <c r="G2259" s="35" t="n"/>
      <c r="H2259" s="30">
        <f>IF(L2259="","",INDEX(SkiftNavn,L2259))</f>
        <v/>
      </c>
      <c r="I2259" s="30">
        <f>IF(OR(A2259="",L2259=""),"",IF(MOD(A2259-INDEX(SkiftStart,L2259),Syklus)&lt;DagK,"Kveld",IF(MOD(A2259-INDEX(SkiftStart,L2259),Syklus)&lt;DagK+DagH,"Helg",IF(MOD(A2259-INDEX(SkiftStart,L2259),Syklus)&lt;DagK+DagH+DagD,"Dag","Fri"))))</f>
        <v/>
      </c>
      <c r="J2259" s="30">
        <f>IF(I2259="Fri","Ja","")</f>
        <v/>
      </c>
      <c r="K2259" s="30">
        <f>IF(B2259="","",IF(L2259="","Ukjent tekniker",IF(ISNA(MATCH(C2259,Aktiviteter,0)),"Ukjent aktivitet",IF(AND(INDEX(AktRolle,MATCH(C2259,Aktiviteter,0))&amp;""&lt;&gt;"",ISERROR(SEARCH(INDEX(AktRolle,MATCH(C2259,Aktiviteter,0))&amp;"",INDEX(TekRoller,MATCH(B2259,Teknikere,0))))),"Mangler rollen "&amp;INDEX(AktRolle,MATCH(C2259,Aktiviteter,0))&amp;"",IF(AND(C2259="LMS",F2259&gt;0,OR(D2259="",E2259="")),"Mangler maskin eller arbeid",IF(AND(OR(C2259="LMS",C2259="Mod"),D2259&lt;&gt;""),IF(IFERROR(INDEX(MaskinStatus,MATCH(D2259,Maskiner,0)),"")="I dokk","","Maskinen er ikke i dokk"),""))))))</f>
        <v/>
      </c>
      <c r="L2259" s="2">
        <f>IF(B2259="","",IFERROR(INT((MATCH(B2259,Teknikere,0)-1)/18)+1,""))</f>
        <v/>
      </c>
      <c r="M2259" s="2">
        <f>IF(OR(A2259="",B2259=""),"",B2259&amp;"|"&amp;A2259)</f>
        <v/>
      </c>
      <c r="N2259" s="2">
        <f>IF(M2259="","",SUMIFS(TF_Timer,TF_Nokkel,M2259,TF_Akt,C2259))</f>
        <v/>
      </c>
      <c r="O2259" s="2">
        <f>IF(M2259="","",IF(AND(N2259=_xlfn.MAXIFS(TF_AktSum,TF_Nokkel,M2259),COUNTIFS(M$3:M2258,M2259,N$3:N2258,N2259)=0),M2259,""))</f>
        <v/>
      </c>
    </row>
    <row r="2260">
      <c r="A2260" s="34" t="n"/>
      <c r="B2260" s="35" t="n"/>
      <c r="C2260" s="35" t="n"/>
      <c r="D2260" s="35" t="n"/>
      <c r="E2260" s="35" t="n"/>
      <c r="F2260" s="36" t="n"/>
      <c r="G2260" s="35" t="n"/>
      <c r="H2260" s="30">
        <f>IF(L2260="","",INDEX(SkiftNavn,L2260))</f>
        <v/>
      </c>
      <c r="I2260" s="30">
        <f>IF(OR(A2260="",L2260=""),"",IF(MOD(A2260-INDEX(SkiftStart,L2260),Syklus)&lt;DagK,"Kveld",IF(MOD(A2260-INDEX(SkiftStart,L2260),Syklus)&lt;DagK+DagH,"Helg",IF(MOD(A2260-INDEX(SkiftStart,L2260),Syklus)&lt;DagK+DagH+DagD,"Dag","Fri"))))</f>
        <v/>
      </c>
      <c r="J2260" s="30">
        <f>IF(I2260="Fri","Ja","")</f>
        <v/>
      </c>
      <c r="K2260" s="30">
        <f>IF(B2260="","",IF(L2260="","Ukjent tekniker",IF(ISNA(MATCH(C2260,Aktiviteter,0)),"Ukjent aktivitet",IF(AND(INDEX(AktRolle,MATCH(C2260,Aktiviteter,0))&amp;""&lt;&gt;"",ISERROR(SEARCH(INDEX(AktRolle,MATCH(C2260,Aktiviteter,0))&amp;"",INDEX(TekRoller,MATCH(B2260,Teknikere,0))))),"Mangler rollen "&amp;INDEX(AktRolle,MATCH(C2260,Aktiviteter,0))&amp;"",IF(AND(C2260="LMS",F2260&gt;0,OR(D2260="",E2260="")),"Mangler maskin eller arbeid",IF(AND(OR(C2260="LMS",C2260="Mod"),D2260&lt;&gt;""),IF(IFERROR(INDEX(MaskinStatus,MATCH(D2260,Maskiner,0)),"")="I dokk","","Maskinen er ikke i dokk"),""))))))</f>
        <v/>
      </c>
      <c r="L2260" s="2">
        <f>IF(B2260="","",IFERROR(INT((MATCH(B2260,Teknikere,0)-1)/18)+1,""))</f>
        <v/>
      </c>
      <c r="M2260" s="2">
        <f>IF(OR(A2260="",B2260=""),"",B2260&amp;"|"&amp;A2260)</f>
        <v/>
      </c>
      <c r="N2260" s="2">
        <f>IF(M2260="","",SUMIFS(TF_Timer,TF_Nokkel,M2260,TF_Akt,C2260))</f>
        <v/>
      </c>
      <c r="O2260" s="2">
        <f>IF(M2260="","",IF(AND(N2260=_xlfn.MAXIFS(TF_AktSum,TF_Nokkel,M2260),COUNTIFS(M$3:M2259,M2260,N$3:N2259,N2260)=0),M2260,""))</f>
        <v/>
      </c>
    </row>
    <row r="2261">
      <c r="A2261" s="34" t="n"/>
      <c r="B2261" s="35" t="n"/>
      <c r="C2261" s="35" t="n"/>
      <c r="D2261" s="35" t="n"/>
      <c r="E2261" s="35" t="n"/>
      <c r="F2261" s="36" t="n"/>
      <c r="G2261" s="35" t="n"/>
      <c r="H2261" s="30">
        <f>IF(L2261="","",INDEX(SkiftNavn,L2261))</f>
        <v/>
      </c>
      <c r="I2261" s="30">
        <f>IF(OR(A2261="",L2261=""),"",IF(MOD(A2261-INDEX(SkiftStart,L2261),Syklus)&lt;DagK,"Kveld",IF(MOD(A2261-INDEX(SkiftStart,L2261),Syklus)&lt;DagK+DagH,"Helg",IF(MOD(A2261-INDEX(SkiftStart,L2261),Syklus)&lt;DagK+DagH+DagD,"Dag","Fri"))))</f>
        <v/>
      </c>
      <c r="J2261" s="30">
        <f>IF(I2261="Fri","Ja","")</f>
        <v/>
      </c>
      <c r="K2261" s="30">
        <f>IF(B2261="","",IF(L2261="","Ukjent tekniker",IF(ISNA(MATCH(C2261,Aktiviteter,0)),"Ukjent aktivitet",IF(AND(INDEX(AktRolle,MATCH(C2261,Aktiviteter,0))&amp;""&lt;&gt;"",ISERROR(SEARCH(INDEX(AktRolle,MATCH(C2261,Aktiviteter,0))&amp;"",INDEX(TekRoller,MATCH(B2261,Teknikere,0))))),"Mangler rollen "&amp;INDEX(AktRolle,MATCH(C2261,Aktiviteter,0))&amp;"",IF(AND(C2261="LMS",F2261&gt;0,OR(D2261="",E2261="")),"Mangler maskin eller arbeid",IF(AND(OR(C2261="LMS",C2261="Mod"),D2261&lt;&gt;""),IF(IFERROR(INDEX(MaskinStatus,MATCH(D2261,Maskiner,0)),"")="I dokk","","Maskinen er ikke i dokk"),""))))))</f>
        <v/>
      </c>
      <c r="L2261" s="2">
        <f>IF(B2261="","",IFERROR(INT((MATCH(B2261,Teknikere,0)-1)/18)+1,""))</f>
        <v/>
      </c>
      <c r="M2261" s="2">
        <f>IF(OR(A2261="",B2261=""),"",B2261&amp;"|"&amp;A2261)</f>
        <v/>
      </c>
      <c r="N2261" s="2">
        <f>IF(M2261="","",SUMIFS(TF_Timer,TF_Nokkel,M2261,TF_Akt,C2261))</f>
        <v/>
      </c>
      <c r="O2261" s="2">
        <f>IF(M2261="","",IF(AND(N2261=_xlfn.MAXIFS(TF_AktSum,TF_Nokkel,M2261),COUNTIFS(M$3:M2260,M2261,N$3:N2260,N2261)=0),M2261,""))</f>
        <v/>
      </c>
    </row>
    <row r="2262">
      <c r="A2262" s="34" t="n"/>
      <c r="B2262" s="35" t="n"/>
      <c r="C2262" s="35" t="n"/>
      <c r="D2262" s="35" t="n"/>
      <c r="E2262" s="35" t="n"/>
      <c r="F2262" s="36" t="n"/>
      <c r="G2262" s="35" t="n"/>
      <c r="H2262" s="30">
        <f>IF(L2262="","",INDEX(SkiftNavn,L2262))</f>
        <v/>
      </c>
      <c r="I2262" s="30">
        <f>IF(OR(A2262="",L2262=""),"",IF(MOD(A2262-INDEX(SkiftStart,L2262),Syklus)&lt;DagK,"Kveld",IF(MOD(A2262-INDEX(SkiftStart,L2262),Syklus)&lt;DagK+DagH,"Helg",IF(MOD(A2262-INDEX(SkiftStart,L2262),Syklus)&lt;DagK+DagH+DagD,"Dag","Fri"))))</f>
        <v/>
      </c>
      <c r="J2262" s="30">
        <f>IF(I2262="Fri","Ja","")</f>
        <v/>
      </c>
      <c r="K2262" s="30">
        <f>IF(B2262="","",IF(L2262="","Ukjent tekniker",IF(ISNA(MATCH(C2262,Aktiviteter,0)),"Ukjent aktivitet",IF(AND(INDEX(AktRolle,MATCH(C2262,Aktiviteter,0))&amp;""&lt;&gt;"",ISERROR(SEARCH(INDEX(AktRolle,MATCH(C2262,Aktiviteter,0))&amp;"",INDEX(TekRoller,MATCH(B2262,Teknikere,0))))),"Mangler rollen "&amp;INDEX(AktRolle,MATCH(C2262,Aktiviteter,0))&amp;"",IF(AND(C2262="LMS",F2262&gt;0,OR(D2262="",E2262="")),"Mangler maskin eller arbeid",IF(AND(OR(C2262="LMS",C2262="Mod"),D2262&lt;&gt;""),IF(IFERROR(INDEX(MaskinStatus,MATCH(D2262,Maskiner,0)),"")="I dokk","","Maskinen er ikke i dokk"),""))))))</f>
        <v/>
      </c>
      <c r="L2262" s="2">
        <f>IF(B2262="","",IFERROR(INT((MATCH(B2262,Teknikere,0)-1)/18)+1,""))</f>
        <v/>
      </c>
      <c r="M2262" s="2">
        <f>IF(OR(A2262="",B2262=""),"",B2262&amp;"|"&amp;A2262)</f>
        <v/>
      </c>
      <c r="N2262" s="2">
        <f>IF(M2262="","",SUMIFS(TF_Timer,TF_Nokkel,M2262,TF_Akt,C2262))</f>
        <v/>
      </c>
      <c r="O2262" s="2">
        <f>IF(M2262="","",IF(AND(N2262=_xlfn.MAXIFS(TF_AktSum,TF_Nokkel,M2262),COUNTIFS(M$3:M2261,M2262,N$3:N2261,N2262)=0),M2262,""))</f>
        <v/>
      </c>
    </row>
    <row r="2263">
      <c r="A2263" s="34" t="n"/>
      <c r="B2263" s="35" t="n"/>
      <c r="C2263" s="35" t="n"/>
      <c r="D2263" s="35" t="n"/>
      <c r="E2263" s="35" t="n"/>
      <c r="F2263" s="36" t="n"/>
      <c r="G2263" s="35" t="n"/>
      <c r="H2263" s="30">
        <f>IF(L2263="","",INDEX(SkiftNavn,L2263))</f>
        <v/>
      </c>
      <c r="I2263" s="30">
        <f>IF(OR(A2263="",L2263=""),"",IF(MOD(A2263-INDEX(SkiftStart,L2263),Syklus)&lt;DagK,"Kveld",IF(MOD(A2263-INDEX(SkiftStart,L2263),Syklus)&lt;DagK+DagH,"Helg",IF(MOD(A2263-INDEX(SkiftStart,L2263),Syklus)&lt;DagK+DagH+DagD,"Dag","Fri"))))</f>
        <v/>
      </c>
      <c r="J2263" s="30">
        <f>IF(I2263="Fri","Ja","")</f>
        <v/>
      </c>
      <c r="K2263" s="30">
        <f>IF(B2263="","",IF(L2263="","Ukjent tekniker",IF(ISNA(MATCH(C2263,Aktiviteter,0)),"Ukjent aktivitet",IF(AND(INDEX(AktRolle,MATCH(C2263,Aktiviteter,0))&amp;""&lt;&gt;"",ISERROR(SEARCH(INDEX(AktRolle,MATCH(C2263,Aktiviteter,0))&amp;"",INDEX(TekRoller,MATCH(B2263,Teknikere,0))))),"Mangler rollen "&amp;INDEX(AktRolle,MATCH(C2263,Aktiviteter,0))&amp;"",IF(AND(C2263="LMS",F2263&gt;0,OR(D2263="",E2263="")),"Mangler maskin eller arbeid",IF(AND(OR(C2263="LMS",C2263="Mod"),D2263&lt;&gt;""),IF(IFERROR(INDEX(MaskinStatus,MATCH(D2263,Maskiner,0)),"")="I dokk","","Maskinen er ikke i dokk"),""))))))</f>
        <v/>
      </c>
      <c r="L2263" s="2">
        <f>IF(B2263="","",IFERROR(INT((MATCH(B2263,Teknikere,0)-1)/18)+1,""))</f>
        <v/>
      </c>
      <c r="M2263" s="2">
        <f>IF(OR(A2263="",B2263=""),"",B2263&amp;"|"&amp;A2263)</f>
        <v/>
      </c>
      <c r="N2263" s="2">
        <f>IF(M2263="","",SUMIFS(TF_Timer,TF_Nokkel,M2263,TF_Akt,C2263))</f>
        <v/>
      </c>
      <c r="O2263" s="2">
        <f>IF(M2263="","",IF(AND(N2263=_xlfn.MAXIFS(TF_AktSum,TF_Nokkel,M2263),COUNTIFS(M$3:M2262,M2263,N$3:N2262,N2263)=0),M2263,""))</f>
        <v/>
      </c>
    </row>
    <row r="2264">
      <c r="A2264" s="34" t="n"/>
      <c r="B2264" s="35" t="n"/>
      <c r="C2264" s="35" t="n"/>
      <c r="D2264" s="35" t="n"/>
      <c r="E2264" s="35" t="n"/>
      <c r="F2264" s="36" t="n"/>
      <c r="G2264" s="35" t="n"/>
      <c r="H2264" s="30">
        <f>IF(L2264="","",INDEX(SkiftNavn,L2264))</f>
        <v/>
      </c>
      <c r="I2264" s="30">
        <f>IF(OR(A2264="",L2264=""),"",IF(MOD(A2264-INDEX(SkiftStart,L2264),Syklus)&lt;DagK,"Kveld",IF(MOD(A2264-INDEX(SkiftStart,L2264),Syklus)&lt;DagK+DagH,"Helg",IF(MOD(A2264-INDEX(SkiftStart,L2264),Syklus)&lt;DagK+DagH+DagD,"Dag","Fri"))))</f>
        <v/>
      </c>
      <c r="J2264" s="30">
        <f>IF(I2264="Fri","Ja","")</f>
        <v/>
      </c>
      <c r="K2264" s="30">
        <f>IF(B2264="","",IF(L2264="","Ukjent tekniker",IF(ISNA(MATCH(C2264,Aktiviteter,0)),"Ukjent aktivitet",IF(AND(INDEX(AktRolle,MATCH(C2264,Aktiviteter,0))&amp;""&lt;&gt;"",ISERROR(SEARCH(INDEX(AktRolle,MATCH(C2264,Aktiviteter,0))&amp;"",INDEX(TekRoller,MATCH(B2264,Teknikere,0))))),"Mangler rollen "&amp;INDEX(AktRolle,MATCH(C2264,Aktiviteter,0))&amp;"",IF(AND(C2264="LMS",F2264&gt;0,OR(D2264="",E2264="")),"Mangler maskin eller arbeid",IF(AND(OR(C2264="LMS",C2264="Mod"),D2264&lt;&gt;""),IF(IFERROR(INDEX(MaskinStatus,MATCH(D2264,Maskiner,0)),"")="I dokk","","Maskinen er ikke i dokk"),""))))))</f>
        <v/>
      </c>
      <c r="L2264" s="2">
        <f>IF(B2264="","",IFERROR(INT((MATCH(B2264,Teknikere,0)-1)/18)+1,""))</f>
        <v/>
      </c>
      <c r="M2264" s="2">
        <f>IF(OR(A2264="",B2264=""),"",B2264&amp;"|"&amp;A2264)</f>
        <v/>
      </c>
      <c r="N2264" s="2">
        <f>IF(M2264="","",SUMIFS(TF_Timer,TF_Nokkel,M2264,TF_Akt,C2264))</f>
        <v/>
      </c>
      <c r="O2264" s="2">
        <f>IF(M2264="","",IF(AND(N2264=_xlfn.MAXIFS(TF_AktSum,TF_Nokkel,M2264),COUNTIFS(M$3:M2263,M2264,N$3:N2263,N2264)=0),M2264,""))</f>
        <v/>
      </c>
    </row>
    <row r="2265">
      <c r="A2265" s="34" t="n"/>
      <c r="B2265" s="35" t="n"/>
      <c r="C2265" s="35" t="n"/>
      <c r="D2265" s="35" t="n"/>
      <c r="E2265" s="35" t="n"/>
      <c r="F2265" s="36" t="n"/>
      <c r="G2265" s="35" t="n"/>
      <c r="H2265" s="30">
        <f>IF(L2265="","",INDEX(SkiftNavn,L2265))</f>
        <v/>
      </c>
      <c r="I2265" s="30">
        <f>IF(OR(A2265="",L2265=""),"",IF(MOD(A2265-INDEX(SkiftStart,L2265),Syklus)&lt;DagK,"Kveld",IF(MOD(A2265-INDEX(SkiftStart,L2265),Syklus)&lt;DagK+DagH,"Helg",IF(MOD(A2265-INDEX(SkiftStart,L2265),Syklus)&lt;DagK+DagH+DagD,"Dag","Fri"))))</f>
        <v/>
      </c>
      <c r="J2265" s="30">
        <f>IF(I2265="Fri","Ja","")</f>
        <v/>
      </c>
      <c r="K2265" s="30">
        <f>IF(B2265="","",IF(L2265="","Ukjent tekniker",IF(ISNA(MATCH(C2265,Aktiviteter,0)),"Ukjent aktivitet",IF(AND(INDEX(AktRolle,MATCH(C2265,Aktiviteter,0))&amp;""&lt;&gt;"",ISERROR(SEARCH(INDEX(AktRolle,MATCH(C2265,Aktiviteter,0))&amp;"",INDEX(TekRoller,MATCH(B2265,Teknikere,0))))),"Mangler rollen "&amp;INDEX(AktRolle,MATCH(C2265,Aktiviteter,0))&amp;"",IF(AND(C2265="LMS",F2265&gt;0,OR(D2265="",E2265="")),"Mangler maskin eller arbeid",IF(AND(OR(C2265="LMS",C2265="Mod"),D2265&lt;&gt;""),IF(IFERROR(INDEX(MaskinStatus,MATCH(D2265,Maskiner,0)),"")="I dokk","","Maskinen er ikke i dokk"),""))))))</f>
        <v/>
      </c>
      <c r="L2265" s="2">
        <f>IF(B2265="","",IFERROR(INT((MATCH(B2265,Teknikere,0)-1)/18)+1,""))</f>
        <v/>
      </c>
      <c r="M2265" s="2">
        <f>IF(OR(A2265="",B2265=""),"",B2265&amp;"|"&amp;A2265)</f>
        <v/>
      </c>
      <c r="N2265" s="2">
        <f>IF(M2265="","",SUMIFS(TF_Timer,TF_Nokkel,M2265,TF_Akt,C2265))</f>
        <v/>
      </c>
      <c r="O2265" s="2">
        <f>IF(M2265="","",IF(AND(N2265=_xlfn.MAXIFS(TF_AktSum,TF_Nokkel,M2265),COUNTIFS(M$3:M2264,M2265,N$3:N2264,N2265)=0),M2265,""))</f>
        <v/>
      </c>
    </row>
    <row r="2266">
      <c r="A2266" s="34" t="n"/>
      <c r="B2266" s="35" t="n"/>
      <c r="C2266" s="35" t="n"/>
      <c r="D2266" s="35" t="n"/>
      <c r="E2266" s="35" t="n"/>
      <c r="F2266" s="36" t="n"/>
      <c r="G2266" s="35" t="n"/>
      <c r="H2266" s="30">
        <f>IF(L2266="","",INDEX(SkiftNavn,L2266))</f>
        <v/>
      </c>
      <c r="I2266" s="30">
        <f>IF(OR(A2266="",L2266=""),"",IF(MOD(A2266-INDEX(SkiftStart,L2266),Syklus)&lt;DagK,"Kveld",IF(MOD(A2266-INDEX(SkiftStart,L2266),Syklus)&lt;DagK+DagH,"Helg",IF(MOD(A2266-INDEX(SkiftStart,L2266),Syklus)&lt;DagK+DagH+DagD,"Dag","Fri"))))</f>
        <v/>
      </c>
      <c r="J2266" s="30">
        <f>IF(I2266="Fri","Ja","")</f>
        <v/>
      </c>
      <c r="K2266" s="30">
        <f>IF(B2266="","",IF(L2266="","Ukjent tekniker",IF(ISNA(MATCH(C2266,Aktiviteter,0)),"Ukjent aktivitet",IF(AND(INDEX(AktRolle,MATCH(C2266,Aktiviteter,0))&amp;""&lt;&gt;"",ISERROR(SEARCH(INDEX(AktRolle,MATCH(C2266,Aktiviteter,0))&amp;"",INDEX(TekRoller,MATCH(B2266,Teknikere,0))))),"Mangler rollen "&amp;INDEX(AktRolle,MATCH(C2266,Aktiviteter,0))&amp;"",IF(AND(C2266="LMS",F2266&gt;0,OR(D2266="",E2266="")),"Mangler maskin eller arbeid",IF(AND(OR(C2266="LMS",C2266="Mod"),D2266&lt;&gt;""),IF(IFERROR(INDEX(MaskinStatus,MATCH(D2266,Maskiner,0)),"")="I dokk","","Maskinen er ikke i dokk"),""))))))</f>
        <v/>
      </c>
      <c r="L2266" s="2">
        <f>IF(B2266="","",IFERROR(INT((MATCH(B2266,Teknikere,0)-1)/18)+1,""))</f>
        <v/>
      </c>
      <c r="M2266" s="2">
        <f>IF(OR(A2266="",B2266=""),"",B2266&amp;"|"&amp;A2266)</f>
        <v/>
      </c>
      <c r="N2266" s="2">
        <f>IF(M2266="","",SUMIFS(TF_Timer,TF_Nokkel,M2266,TF_Akt,C2266))</f>
        <v/>
      </c>
      <c r="O2266" s="2">
        <f>IF(M2266="","",IF(AND(N2266=_xlfn.MAXIFS(TF_AktSum,TF_Nokkel,M2266),COUNTIFS(M$3:M2265,M2266,N$3:N2265,N2266)=0),M2266,""))</f>
        <v/>
      </c>
    </row>
    <row r="2267">
      <c r="A2267" s="34" t="n"/>
      <c r="B2267" s="35" t="n"/>
      <c r="C2267" s="35" t="n"/>
      <c r="D2267" s="35" t="n"/>
      <c r="E2267" s="35" t="n"/>
      <c r="F2267" s="36" t="n"/>
      <c r="G2267" s="35" t="n"/>
      <c r="H2267" s="30">
        <f>IF(L2267="","",INDEX(SkiftNavn,L2267))</f>
        <v/>
      </c>
      <c r="I2267" s="30">
        <f>IF(OR(A2267="",L2267=""),"",IF(MOD(A2267-INDEX(SkiftStart,L2267),Syklus)&lt;DagK,"Kveld",IF(MOD(A2267-INDEX(SkiftStart,L2267),Syklus)&lt;DagK+DagH,"Helg",IF(MOD(A2267-INDEX(SkiftStart,L2267),Syklus)&lt;DagK+DagH+DagD,"Dag","Fri"))))</f>
        <v/>
      </c>
      <c r="J2267" s="30">
        <f>IF(I2267="Fri","Ja","")</f>
        <v/>
      </c>
      <c r="K2267" s="30">
        <f>IF(B2267="","",IF(L2267="","Ukjent tekniker",IF(ISNA(MATCH(C2267,Aktiviteter,0)),"Ukjent aktivitet",IF(AND(INDEX(AktRolle,MATCH(C2267,Aktiviteter,0))&amp;""&lt;&gt;"",ISERROR(SEARCH(INDEX(AktRolle,MATCH(C2267,Aktiviteter,0))&amp;"",INDEX(TekRoller,MATCH(B2267,Teknikere,0))))),"Mangler rollen "&amp;INDEX(AktRolle,MATCH(C2267,Aktiviteter,0))&amp;"",IF(AND(C2267="LMS",F2267&gt;0,OR(D2267="",E2267="")),"Mangler maskin eller arbeid",IF(AND(OR(C2267="LMS",C2267="Mod"),D2267&lt;&gt;""),IF(IFERROR(INDEX(MaskinStatus,MATCH(D2267,Maskiner,0)),"")="I dokk","","Maskinen er ikke i dokk"),""))))))</f>
        <v/>
      </c>
      <c r="L2267" s="2">
        <f>IF(B2267="","",IFERROR(INT((MATCH(B2267,Teknikere,0)-1)/18)+1,""))</f>
        <v/>
      </c>
      <c r="M2267" s="2">
        <f>IF(OR(A2267="",B2267=""),"",B2267&amp;"|"&amp;A2267)</f>
        <v/>
      </c>
      <c r="N2267" s="2">
        <f>IF(M2267="","",SUMIFS(TF_Timer,TF_Nokkel,M2267,TF_Akt,C2267))</f>
        <v/>
      </c>
      <c r="O2267" s="2">
        <f>IF(M2267="","",IF(AND(N2267=_xlfn.MAXIFS(TF_AktSum,TF_Nokkel,M2267),COUNTIFS(M$3:M2266,M2267,N$3:N2266,N2267)=0),M2267,""))</f>
        <v/>
      </c>
    </row>
    <row r="2268">
      <c r="A2268" s="34" t="n"/>
      <c r="B2268" s="35" t="n"/>
      <c r="C2268" s="35" t="n"/>
      <c r="D2268" s="35" t="n"/>
      <c r="E2268" s="35" t="n"/>
      <c r="F2268" s="36" t="n"/>
      <c r="G2268" s="35" t="n"/>
      <c r="H2268" s="30">
        <f>IF(L2268="","",INDEX(SkiftNavn,L2268))</f>
        <v/>
      </c>
      <c r="I2268" s="30">
        <f>IF(OR(A2268="",L2268=""),"",IF(MOD(A2268-INDEX(SkiftStart,L2268),Syklus)&lt;DagK,"Kveld",IF(MOD(A2268-INDEX(SkiftStart,L2268),Syklus)&lt;DagK+DagH,"Helg",IF(MOD(A2268-INDEX(SkiftStart,L2268),Syklus)&lt;DagK+DagH+DagD,"Dag","Fri"))))</f>
        <v/>
      </c>
      <c r="J2268" s="30">
        <f>IF(I2268="Fri","Ja","")</f>
        <v/>
      </c>
      <c r="K2268" s="30">
        <f>IF(B2268="","",IF(L2268="","Ukjent tekniker",IF(ISNA(MATCH(C2268,Aktiviteter,0)),"Ukjent aktivitet",IF(AND(INDEX(AktRolle,MATCH(C2268,Aktiviteter,0))&amp;""&lt;&gt;"",ISERROR(SEARCH(INDEX(AktRolle,MATCH(C2268,Aktiviteter,0))&amp;"",INDEX(TekRoller,MATCH(B2268,Teknikere,0))))),"Mangler rollen "&amp;INDEX(AktRolle,MATCH(C2268,Aktiviteter,0))&amp;"",IF(AND(C2268="LMS",F2268&gt;0,OR(D2268="",E2268="")),"Mangler maskin eller arbeid",IF(AND(OR(C2268="LMS",C2268="Mod"),D2268&lt;&gt;""),IF(IFERROR(INDEX(MaskinStatus,MATCH(D2268,Maskiner,0)),"")="I dokk","","Maskinen er ikke i dokk"),""))))))</f>
        <v/>
      </c>
      <c r="L2268" s="2">
        <f>IF(B2268="","",IFERROR(INT((MATCH(B2268,Teknikere,0)-1)/18)+1,""))</f>
        <v/>
      </c>
      <c r="M2268" s="2">
        <f>IF(OR(A2268="",B2268=""),"",B2268&amp;"|"&amp;A2268)</f>
        <v/>
      </c>
      <c r="N2268" s="2">
        <f>IF(M2268="","",SUMIFS(TF_Timer,TF_Nokkel,M2268,TF_Akt,C2268))</f>
        <v/>
      </c>
      <c r="O2268" s="2">
        <f>IF(M2268="","",IF(AND(N2268=_xlfn.MAXIFS(TF_AktSum,TF_Nokkel,M2268),COUNTIFS(M$3:M2267,M2268,N$3:N2267,N2268)=0),M2268,""))</f>
        <v/>
      </c>
    </row>
    <row r="2269">
      <c r="A2269" s="34" t="n"/>
      <c r="B2269" s="35" t="n"/>
      <c r="C2269" s="35" t="n"/>
      <c r="D2269" s="35" t="n"/>
      <c r="E2269" s="35" t="n"/>
      <c r="F2269" s="36" t="n"/>
      <c r="G2269" s="35" t="n"/>
      <c r="H2269" s="30">
        <f>IF(L2269="","",INDEX(SkiftNavn,L2269))</f>
        <v/>
      </c>
      <c r="I2269" s="30">
        <f>IF(OR(A2269="",L2269=""),"",IF(MOD(A2269-INDEX(SkiftStart,L2269),Syklus)&lt;DagK,"Kveld",IF(MOD(A2269-INDEX(SkiftStart,L2269),Syklus)&lt;DagK+DagH,"Helg",IF(MOD(A2269-INDEX(SkiftStart,L2269),Syklus)&lt;DagK+DagH+DagD,"Dag","Fri"))))</f>
        <v/>
      </c>
      <c r="J2269" s="30">
        <f>IF(I2269="Fri","Ja","")</f>
        <v/>
      </c>
      <c r="K2269" s="30">
        <f>IF(B2269="","",IF(L2269="","Ukjent tekniker",IF(ISNA(MATCH(C2269,Aktiviteter,0)),"Ukjent aktivitet",IF(AND(INDEX(AktRolle,MATCH(C2269,Aktiviteter,0))&amp;""&lt;&gt;"",ISERROR(SEARCH(INDEX(AktRolle,MATCH(C2269,Aktiviteter,0))&amp;"",INDEX(TekRoller,MATCH(B2269,Teknikere,0))))),"Mangler rollen "&amp;INDEX(AktRolle,MATCH(C2269,Aktiviteter,0))&amp;"",IF(AND(C2269="LMS",F2269&gt;0,OR(D2269="",E2269="")),"Mangler maskin eller arbeid",IF(AND(OR(C2269="LMS",C2269="Mod"),D2269&lt;&gt;""),IF(IFERROR(INDEX(MaskinStatus,MATCH(D2269,Maskiner,0)),"")="I dokk","","Maskinen er ikke i dokk"),""))))))</f>
        <v/>
      </c>
      <c r="L2269" s="2">
        <f>IF(B2269="","",IFERROR(INT((MATCH(B2269,Teknikere,0)-1)/18)+1,""))</f>
        <v/>
      </c>
      <c r="M2269" s="2">
        <f>IF(OR(A2269="",B2269=""),"",B2269&amp;"|"&amp;A2269)</f>
        <v/>
      </c>
      <c r="N2269" s="2">
        <f>IF(M2269="","",SUMIFS(TF_Timer,TF_Nokkel,M2269,TF_Akt,C2269))</f>
        <v/>
      </c>
      <c r="O2269" s="2">
        <f>IF(M2269="","",IF(AND(N2269=_xlfn.MAXIFS(TF_AktSum,TF_Nokkel,M2269),COUNTIFS(M$3:M2268,M2269,N$3:N2268,N2269)=0),M2269,""))</f>
        <v/>
      </c>
    </row>
    <row r="2270">
      <c r="A2270" s="34" t="n"/>
      <c r="B2270" s="35" t="n"/>
      <c r="C2270" s="35" t="n"/>
      <c r="D2270" s="35" t="n"/>
      <c r="E2270" s="35" t="n"/>
      <c r="F2270" s="36" t="n"/>
      <c r="G2270" s="35" t="n"/>
      <c r="H2270" s="30">
        <f>IF(L2270="","",INDEX(SkiftNavn,L2270))</f>
        <v/>
      </c>
      <c r="I2270" s="30">
        <f>IF(OR(A2270="",L2270=""),"",IF(MOD(A2270-INDEX(SkiftStart,L2270),Syklus)&lt;DagK,"Kveld",IF(MOD(A2270-INDEX(SkiftStart,L2270),Syklus)&lt;DagK+DagH,"Helg",IF(MOD(A2270-INDEX(SkiftStart,L2270),Syklus)&lt;DagK+DagH+DagD,"Dag","Fri"))))</f>
        <v/>
      </c>
      <c r="J2270" s="30">
        <f>IF(I2270="Fri","Ja","")</f>
        <v/>
      </c>
      <c r="K2270" s="30">
        <f>IF(B2270="","",IF(L2270="","Ukjent tekniker",IF(ISNA(MATCH(C2270,Aktiviteter,0)),"Ukjent aktivitet",IF(AND(INDEX(AktRolle,MATCH(C2270,Aktiviteter,0))&amp;""&lt;&gt;"",ISERROR(SEARCH(INDEX(AktRolle,MATCH(C2270,Aktiviteter,0))&amp;"",INDEX(TekRoller,MATCH(B2270,Teknikere,0))))),"Mangler rollen "&amp;INDEX(AktRolle,MATCH(C2270,Aktiviteter,0))&amp;"",IF(AND(C2270="LMS",F2270&gt;0,OR(D2270="",E2270="")),"Mangler maskin eller arbeid",IF(AND(OR(C2270="LMS",C2270="Mod"),D2270&lt;&gt;""),IF(IFERROR(INDEX(MaskinStatus,MATCH(D2270,Maskiner,0)),"")="I dokk","","Maskinen er ikke i dokk"),""))))))</f>
        <v/>
      </c>
      <c r="L2270" s="2">
        <f>IF(B2270="","",IFERROR(INT((MATCH(B2270,Teknikere,0)-1)/18)+1,""))</f>
        <v/>
      </c>
      <c r="M2270" s="2">
        <f>IF(OR(A2270="",B2270=""),"",B2270&amp;"|"&amp;A2270)</f>
        <v/>
      </c>
      <c r="N2270" s="2">
        <f>IF(M2270="","",SUMIFS(TF_Timer,TF_Nokkel,M2270,TF_Akt,C2270))</f>
        <v/>
      </c>
      <c r="O2270" s="2">
        <f>IF(M2270="","",IF(AND(N2270=_xlfn.MAXIFS(TF_AktSum,TF_Nokkel,M2270),COUNTIFS(M$3:M2269,M2270,N$3:N2269,N2270)=0),M2270,""))</f>
        <v/>
      </c>
    </row>
    <row r="2271">
      <c r="A2271" s="34" t="n"/>
      <c r="B2271" s="35" t="n"/>
      <c r="C2271" s="35" t="n"/>
      <c r="D2271" s="35" t="n"/>
      <c r="E2271" s="35" t="n"/>
      <c r="F2271" s="36" t="n"/>
      <c r="G2271" s="35" t="n"/>
      <c r="H2271" s="30">
        <f>IF(L2271="","",INDEX(SkiftNavn,L2271))</f>
        <v/>
      </c>
      <c r="I2271" s="30">
        <f>IF(OR(A2271="",L2271=""),"",IF(MOD(A2271-INDEX(SkiftStart,L2271),Syklus)&lt;DagK,"Kveld",IF(MOD(A2271-INDEX(SkiftStart,L2271),Syklus)&lt;DagK+DagH,"Helg",IF(MOD(A2271-INDEX(SkiftStart,L2271),Syklus)&lt;DagK+DagH+DagD,"Dag","Fri"))))</f>
        <v/>
      </c>
      <c r="J2271" s="30">
        <f>IF(I2271="Fri","Ja","")</f>
        <v/>
      </c>
      <c r="K2271" s="30">
        <f>IF(B2271="","",IF(L2271="","Ukjent tekniker",IF(ISNA(MATCH(C2271,Aktiviteter,0)),"Ukjent aktivitet",IF(AND(INDEX(AktRolle,MATCH(C2271,Aktiviteter,0))&amp;""&lt;&gt;"",ISERROR(SEARCH(INDEX(AktRolle,MATCH(C2271,Aktiviteter,0))&amp;"",INDEX(TekRoller,MATCH(B2271,Teknikere,0))))),"Mangler rollen "&amp;INDEX(AktRolle,MATCH(C2271,Aktiviteter,0))&amp;"",IF(AND(C2271="LMS",F2271&gt;0,OR(D2271="",E2271="")),"Mangler maskin eller arbeid",IF(AND(OR(C2271="LMS",C2271="Mod"),D2271&lt;&gt;""),IF(IFERROR(INDEX(MaskinStatus,MATCH(D2271,Maskiner,0)),"")="I dokk","","Maskinen er ikke i dokk"),""))))))</f>
        <v/>
      </c>
      <c r="L2271" s="2">
        <f>IF(B2271="","",IFERROR(INT((MATCH(B2271,Teknikere,0)-1)/18)+1,""))</f>
        <v/>
      </c>
      <c r="M2271" s="2">
        <f>IF(OR(A2271="",B2271=""),"",B2271&amp;"|"&amp;A2271)</f>
        <v/>
      </c>
      <c r="N2271" s="2">
        <f>IF(M2271="","",SUMIFS(TF_Timer,TF_Nokkel,M2271,TF_Akt,C2271))</f>
        <v/>
      </c>
      <c r="O2271" s="2">
        <f>IF(M2271="","",IF(AND(N2271=_xlfn.MAXIFS(TF_AktSum,TF_Nokkel,M2271),COUNTIFS(M$3:M2270,M2271,N$3:N2270,N2271)=0),M2271,""))</f>
        <v/>
      </c>
    </row>
    <row r="2272">
      <c r="A2272" s="34" t="n"/>
      <c r="B2272" s="35" t="n"/>
      <c r="C2272" s="35" t="n"/>
      <c r="D2272" s="35" t="n"/>
      <c r="E2272" s="35" t="n"/>
      <c r="F2272" s="36" t="n"/>
      <c r="G2272" s="35" t="n"/>
      <c r="H2272" s="30">
        <f>IF(L2272="","",INDEX(SkiftNavn,L2272))</f>
        <v/>
      </c>
      <c r="I2272" s="30">
        <f>IF(OR(A2272="",L2272=""),"",IF(MOD(A2272-INDEX(SkiftStart,L2272),Syklus)&lt;DagK,"Kveld",IF(MOD(A2272-INDEX(SkiftStart,L2272),Syklus)&lt;DagK+DagH,"Helg",IF(MOD(A2272-INDEX(SkiftStart,L2272),Syklus)&lt;DagK+DagH+DagD,"Dag","Fri"))))</f>
        <v/>
      </c>
      <c r="J2272" s="30">
        <f>IF(I2272="Fri","Ja","")</f>
        <v/>
      </c>
      <c r="K2272" s="30">
        <f>IF(B2272="","",IF(L2272="","Ukjent tekniker",IF(ISNA(MATCH(C2272,Aktiviteter,0)),"Ukjent aktivitet",IF(AND(INDEX(AktRolle,MATCH(C2272,Aktiviteter,0))&amp;""&lt;&gt;"",ISERROR(SEARCH(INDEX(AktRolle,MATCH(C2272,Aktiviteter,0))&amp;"",INDEX(TekRoller,MATCH(B2272,Teknikere,0))))),"Mangler rollen "&amp;INDEX(AktRolle,MATCH(C2272,Aktiviteter,0))&amp;"",IF(AND(C2272="LMS",F2272&gt;0,OR(D2272="",E2272="")),"Mangler maskin eller arbeid",IF(AND(OR(C2272="LMS",C2272="Mod"),D2272&lt;&gt;""),IF(IFERROR(INDEX(MaskinStatus,MATCH(D2272,Maskiner,0)),"")="I dokk","","Maskinen er ikke i dokk"),""))))))</f>
        <v/>
      </c>
      <c r="L2272" s="2">
        <f>IF(B2272="","",IFERROR(INT((MATCH(B2272,Teknikere,0)-1)/18)+1,""))</f>
        <v/>
      </c>
      <c r="M2272" s="2">
        <f>IF(OR(A2272="",B2272=""),"",B2272&amp;"|"&amp;A2272)</f>
        <v/>
      </c>
      <c r="N2272" s="2">
        <f>IF(M2272="","",SUMIFS(TF_Timer,TF_Nokkel,M2272,TF_Akt,C2272))</f>
        <v/>
      </c>
      <c r="O2272" s="2">
        <f>IF(M2272="","",IF(AND(N2272=_xlfn.MAXIFS(TF_AktSum,TF_Nokkel,M2272),COUNTIFS(M$3:M2271,M2272,N$3:N2271,N2272)=0),M2272,""))</f>
        <v/>
      </c>
    </row>
    <row r="2273">
      <c r="A2273" s="34" t="n"/>
      <c r="B2273" s="35" t="n"/>
      <c r="C2273" s="35" t="n"/>
      <c r="D2273" s="35" t="n"/>
      <c r="E2273" s="35" t="n"/>
      <c r="F2273" s="36" t="n"/>
      <c r="G2273" s="35" t="n"/>
      <c r="H2273" s="30">
        <f>IF(L2273="","",INDEX(SkiftNavn,L2273))</f>
        <v/>
      </c>
      <c r="I2273" s="30">
        <f>IF(OR(A2273="",L2273=""),"",IF(MOD(A2273-INDEX(SkiftStart,L2273),Syklus)&lt;DagK,"Kveld",IF(MOD(A2273-INDEX(SkiftStart,L2273),Syklus)&lt;DagK+DagH,"Helg",IF(MOD(A2273-INDEX(SkiftStart,L2273),Syklus)&lt;DagK+DagH+DagD,"Dag","Fri"))))</f>
        <v/>
      </c>
      <c r="J2273" s="30">
        <f>IF(I2273="Fri","Ja","")</f>
        <v/>
      </c>
      <c r="K2273" s="30">
        <f>IF(B2273="","",IF(L2273="","Ukjent tekniker",IF(ISNA(MATCH(C2273,Aktiviteter,0)),"Ukjent aktivitet",IF(AND(INDEX(AktRolle,MATCH(C2273,Aktiviteter,0))&amp;""&lt;&gt;"",ISERROR(SEARCH(INDEX(AktRolle,MATCH(C2273,Aktiviteter,0))&amp;"",INDEX(TekRoller,MATCH(B2273,Teknikere,0))))),"Mangler rollen "&amp;INDEX(AktRolle,MATCH(C2273,Aktiviteter,0))&amp;"",IF(AND(C2273="LMS",F2273&gt;0,OR(D2273="",E2273="")),"Mangler maskin eller arbeid",IF(AND(OR(C2273="LMS",C2273="Mod"),D2273&lt;&gt;""),IF(IFERROR(INDEX(MaskinStatus,MATCH(D2273,Maskiner,0)),"")="I dokk","","Maskinen er ikke i dokk"),""))))))</f>
        <v/>
      </c>
      <c r="L2273" s="2">
        <f>IF(B2273="","",IFERROR(INT((MATCH(B2273,Teknikere,0)-1)/18)+1,""))</f>
        <v/>
      </c>
      <c r="M2273" s="2">
        <f>IF(OR(A2273="",B2273=""),"",B2273&amp;"|"&amp;A2273)</f>
        <v/>
      </c>
      <c r="N2273" s="2">
        <f>IF(M2273="","",SUMIFS(TF_Timer,TF_Nokkel,M2273,TF_Akt,C2273))</f>
        <v/>
      </c>
      <c r="O2273" s="2">
        <f>IF(M2273="","",IF(AND(N2273=_xlfn.MAXIFS(TF_AktSum,TF_Nokkel,M2273),COUNTIFS(M$3:M2272,M2273,N$3:N2272,N2273)=0),M2273,""))</f>
        <v/>
      </c>
    </row>
    <row r="2274">
      <c r="A2274" s="34" t="n"/>
      <c r="B2274" s="35" t="n"/>
      <c r="C2274" s="35" t="n"/>
      <c r="D2274" s="35" t="n"/>
      <c r="E2274" s="35" t="n"/>
      <c r="F2274" s="36" t="n"/>
      <c r="G2274" s="35" t="n"/>
      <c r="H2274" s="30">
        <f>IF(L2274="","",INDEX(SkiftNavn,L2274))</f>
        <v/>
      </c>
      <c r="I2274" s="30">
        <f>IF(OR(A2274="",L2274=""),"",IF(MOD(A2274-INDEX(SkiftStart,L2274),Syklus)&lt;DagK,"Kveld",IF(MOD(A2274-INDEX(SkiftStart,L2274),Syklus)&lt;DagK+DagH,"Helg",IF(MOD(A2274-INDEX(SkiftStart,L2274),Syklus)&lt;DagK+DagH+DagD,"Dag","Fri"))))</f>
        <v/>
      </c>
      <c r="J2274" s="30">
        <f>IF(I2274="Fri","Ja","")</f>
        <v/>
      </c>
      <c r="K2274" s="30">
        <f>IF(B2274="","",IF(L2274="","Ukjent tekniker",IF(ISNA(MATCH(C2274,Aktiviteter,0)),"Ukjent aktivitet",IF(AND(INDEX(AktRolle,MATCH(C2274,Aktiviteter,0))&amp;""&lt;&gt;"",ISERROR(SEARCH(INDEX(AktRolle,MATCH(C2274,Aktiviteter,0))&amp;"",INDEX(TekRoller,MATCH(B2274,Teknikere,0))))),"Mangler rollen "&amp;INDEX(AktRolle,MATCH(C2274,Aktiviteter,0))&amp;"",IF(AND(C2274="LMS",F2274&gt;0,OR(D2274="",E2274="")),"Mangler maskin eller arbeid",IF(AND(OR(C2274="LMS",C2274="Mod"),D2274&lt;&gt;""),IF(IFERROR(INDEX(MaskinStatus,MATCH(D2274,Maskiner,0)),"")="I dokk","","Maskinen er ikke i dokk"),""))))))</f>
        <v/>
      </c>
      <c r="L2274" s="2">
        <f>IF(B2274="","",IFERROR(INT((MATCH(B2274,Teknikere,0)-1)/18)+1,""))</f>
        <v/>
      </c>
      <c r="M2274" s="2">
        <f>IF(OR(A2274="",B2274=""),"",B2274&amp;"|"&amp;A2274)</f>
        <v/>
      </c>
      <c r="N2274" s="2">
        <f>IF(M2274="","",SUMIFS(TF_Timer,TF_Nokkel,M2274,TF_Akt,C2274))</f>
        <v/>
      </c>
      <c r="O2274" s="2">
        <f>IF(M2274="","",IF(AND(N2274=_xlfn.MAXIFS(TF_AktSum,TF_Nokkel,M2274),COUNTIFS(M$3:M2273,M2274,N$3:N2273,N2274)=0),M2274,""))</f>
        <v/>
      </c>
    </row>
    <row r="2275">
      <c r="A2275" s="34" t="n"/>
      <c r="B2275" s="35" t="n"/>
      <c r="C2275" s="35" t="n"/>
      <c r="D2275" s="35" t="n"/>
      <c r="E2275" s="35" t="n"/>
      <c r="F2275" s="36" t="n"/>
      <c r="G2275" s="35" t="n"/>
      <c r="H2275" s="30">
        <f>IF(L2275="","",INDEX(SkiftNavn,L2275))</f>
        <v/>
      </c>
      <c r="I2275" s="30">
        <f>IF(OR(A2275="",L2275=""),"",IF(MOD(A2275-INDEX(SkiftStart,L2275),Syklus)&lt;DagK,"Kveld",IF(MOD(A2275-INDEX(SkiftStart,L2275),Syklus)&lt;DagK+DagH,"Helg",IF(MOD(A2275-INDEX(SkiftStart,L2275),Syklus)&lt;DagK+DagH+DagD,"Dag","Fri"))))</f>
        <v/>
      </c>
      <c r="J2275" s="30">
        <f>IF(I2275="Fri","Ja","")</f>
        <v/>
      </c>
      <c r="K2275" s="30">
        <f>IF(B2275="","",IF(L2275="","Ukjent tekniker",IF(ISNA(MATCH(C2275,Aktiviteter,0)),"Ukjent aktivitet",IF(AND(INDEX(AktRolle,MATCH(C2275,Aktiviteter,0))&amp;""&lt;&gt;"",ISERROR(SEARCH(INDEX(AktRolle,MATCH(C2275,Aktiviteter,0))&amp;"",INDEX(TekRoller,MATCH(B2275,Teknikere,0))))),"Mangler rollen "&amp;INDEX(AktRolle,MATCH(C2275,Aktiviteter,0))&amp;"",IF(AND(C2275="LMS",F2275&gt;0,OR(D2275="",E2275="")),"Mangler maskin eller arbeid",IF(AND(OR(C2275="LMS",C2275="Mod"),D2275&lt;&gt;""),IF(IFERROR(INDEX(MaskinStatus,MATCH(D2275,Maskiner,0)),"")="I dokk","","Maskinen er ikke i dokk"),""))))))</f>
        <v/>
      </c>
      <c r="L2275" s="2">
        <f>IF(B2275="","",IFERROR(INT((MATCH(B2275,Teknikere,0)-1)/18)+1,""))</f>
        <v/>
      </c>
      <c r="M2275" s="2">
        <f>IF(OR(A2275="",B2275=""),"",B2275&amp;"|"&amp;A2275)</f>
        <v/>
      </c>
      <c r="N2275" s="2">
        <f>IF(M2275="","",SUMIFS(TF_Timer,TF_Nokkel,M2275,TF_Akt,C2275))</f>
        <v/>
      </c>
      <c r="O2275" s="2">
        <f>IF(M2275="","",IF(AND(N2275=_xlfn.MAXIFS(TF_AktSum,TF_Nokkel,M2275),COUNTIFS(M$3:M2274,M2275,N$3:N2274,N2275)=0),M2275,""))</f>
        <v/>
      </c>
    </row>
    <row r="2276">
      <c r="A2276" s="34" t="n"/>
      <c r="B2276" s="35" t="n"/>
      <c r="C2276" s="35" t="n"/>
      <c r="D2276" s="35" t="n"/>
      <c r="E2276" s="35" t="n"/>
      <c r="F2276" s="36" t="n"/>
      <c r="G2276" s="35" t="n"/>
      <c r="H2276" s="30">
        <f>IF(L2276="","",INDEX(SkiftNavn,L2276))</f>
        <v/>
      </c>
      <c r="I2276" s="30">
        <f>IF(OR(A2276="",L2276=""),"",IF(MOD(A2276-INDEX(SkiftStart,L2276),Syklus)&lt;DagK,"Kveld",IF(MOD(A2276-INDEX(SkiftStart,L2276),Syklus)&lt;DagK+DagH,"Helg",IF(MOD(A2276-INDEX(SkiftStart,L2276),Syklus)&lt;DagK+DagH+DagD,"Dag","Fri"))))</f>
        <v/>
      </c>
      <c r="J2276" s="30">
        <f>IF(I2276="Fri","Ja","")</f>
        <v/>
      </c>
      <c r="K2276" s="30">
        <f>IF(B2276="","",IF(L2276="","Ukjent tekniker",IF(ISNA(MATCH(C2276,Aktiviteter,0)),"Ukjent aktivitet",IF(AND(INDEX(AktRolle,MATCH(C2276,Aktiviteter,0))&amp;""&lt;&gt;"",ISERROR(SEARCH(INDEX(AktRolle,MATCH(C2276,Aktiviteter,0))&amp;"",INDEX(TekRoller,MATCH(B2276,Teknikere,0))))),"Mangler rollen "&amp;INDEX(AktRolle,MATCH(C2276,Aktiviteter,0))&amp;"",IF(AND(C2276="LMS",F2276&gt;0,OR(D2276="",E2276="")),"Mangler maskin eller arbeid",IF(AND(OR(C2276="LMS",C2276="Mod"),D2276&lt;&gt;""),IF(IFERROR(INDEX(MaskinStatus,MATCH(D2276,Maskiner,0)),"")="I dokk","","Maskinen er ikke i dokk"),""))))))</f>
        <v/>
      </c>
      <c r="L2276" s="2">
        <f>IF(B2276="","",IFERROR(INT((MATCH(B2276,Teknikere,0)-1)/18)+1,""))</f>
        <v/>
      </c>
      <c r="M2276" s="2">
        <f>IF(OR(A2276="",B2276=""),"",B2276&amp;"|"&amp;A2276)</f>
        <v/>
      </c>
      <c r="N2276" s="2">
        <f>IF(M2276="","",SUMIFS(TF_Timer,TF_Nokkel,M2276,TF_Akt,C2276))</f>
        <v/>
      </c>
      <c r="O2276" s="2">
        <f>IF(M2276="","",IF(AND(N2276=_xlfn.MAXIFS(TF_AktSum,TF_Nokkel,M2276),COUNTIFS(M$3:M2275,M2276,N$3:N2275,N2276)=0),M2276,""))</f>
        <v/>
      </c>
    </row>
    <row r="2277">
      <c r="A2277" s="34" t="n"/>
      <c r="B2277" s="35" t="n"/>
      <c r="C2277" s="35" t="n"/>
      <c r="D2277" s="35" t="n"/>
      <c r="E2277" s="35" t="n"/>
      <c r="F2277" s="36" t="n"/>
      <c r="G2277" s="35" t="n"/>
      <c r="H2277" s="30">
        <f>IF(L2277="","",INDEX(SkiftNavn,L2277))</f>
        <v/>
      </c>
      <c r="I2277" s="30">
        <f>IF(OR(A2277="",L2277=""),"",IF(MOD(A2277-INDEX(SkiftStart,L2277),Syklus)&lt;DagK,"Kveld",IF(MOD(A2277-INDEX(SkiftStart,L2277),Syklus)&lt;DagK+DagH,"Helg",IF(MOD(A2277-INDEX(SkiftStart,L2277),Syklus)&lt;DagK+DagH+DagD,"Dag","Fri"))))</f>
        <v/>
      </c>
      <c r="J2277" s="30">
        <f>IF(I2277="Fri","Ja","")</f>
        <v/>
      </c>
      <c r="K2277" s="30">
        <f>IF(B2277="","",IF(L2277="","Ukjent tekniker",IF(ISNA(MATCH(C2277,Aktiviteter,0)),"Ukjent aktivitet",IF(AND(INDEX(AktRolle,MATCH(C2277,Aktiviteter,0))&amp;""&lt;&gt;"",ISERROR(SEARCH(INDEX(AktRolle,MATCH(C2277,Aktiviteter,0))&amp;"",INDEX(TekRoller,MATCH(B2277,Teknikere,0))))),"Mangler rollen "&amp;INDEX(AktRolle,MATCH(C2277,Aktiviteter,0))&amp;"",IF(AND(C2277="LMS",F2277&gt;0,OR(D2277="",E2277="")),"Mangler maskin eller arbeid",IF(AND(OR(C2277="LMS",C2277="Mod"),D2277&lt;&gt;""),IF(IFERROR(INDEX(MaskinStatus,MATCH(D2277,Maskiner,0)),"")="I dokk","","Maskinen er ikke i dokk"),""))))))</f>
        <v/>
      </c>
      <c r="L2277" s="2">
        <f>IF(B2277="","",IFERROR(INT((MATCH(B2277,Teknikere,0)-1)/18)+1,""))</f>
        <v/>
      </c>
      <c r="M2277" s="2">
        <f>IF(OR(A2277="",B2277=""),"",B2277&amp;"|"&amp;A2277)</f>
        <v/>
      </c>
      <c r="N2277" s="2">
        <f>IF(M2277="","",SUMIFS(TF_Timer,TF_Nokkel,M2277,TF_Akt,C2277))</f>
        <v/>
      </c>
      <c r="O2277" s="2">
        <f>IF(M2277="","",IF(AND(N2277=_xlfn.MAXIFS(TF_AktSum,TF_Nokkel,M2277),COUNTIFS(M$3:M2276,M2277,N$3:N2276,N2277)=0),M2277,""))</f>
        <v/>
      </c>
    </row>
    <row r="2278">
      <c r="A2278" s="34" t="n"/>
      <c r="B2278" s="35" t="n"/>
      <c r="C2278" s="35" t="n"/>
      <c r="D2278" s="35" t="n"/>
      <c r="E2278" s="35" t="n"/>
      <c r="F2278" s="36" t="n"/>
      <c r="G2278" s="35" t="n"/>
      <c r="H2278" s="30">
        <f>IF(L2278="","",INDEX(SkiftNavn,L2278))</f>
        <v/>
      </c>
      <c r="I2278" s="30">
        <f>IF(OR(A2278="",L2278=""),"",IF(MOD(A2278-INDEX(SkiftStart,L2278),Syklus)&lt;DagK,"Kveld",IF(MOD(A2278-INDEX(SkiftStart,L2278),Syklus)&lt;DagK+DagH,"Helg",IF(MOD(A2278-INDEX(SkiftStart,L2278),Syklus)&lt;DagK+DagH+DagD,"Dag","Fri"))))</f>
        <v/>
      </c>
      <c r="J2278" s="30">
        <f>IF(I2278="Fri","Ja","")</f>
        <v/>
      </c>
      <c r="K2278" s="30">
        <f>IF(B2278="","",IF(L2278="","Ukjent tekniker",IF(ISNA(MATCH(C2278,Aktiviteter,0)),"Ukjent aktivitet",IF(AND(INDEX(AktRolle,MATCH(C2278,Aktiviteter,0))&amp;""&lt;&gt;"",ISERROR(SEARCH(INDEX(AktRolle,MATCH(C2278,Aktiviteter,0))&amp;"",INDEX(TekRoller,MATCH(B2278,Teknikere,0))))),"Mangler rollen "&amp;INDEX(AktRolle,MATCH(C2278,Aktiviteter,0))&amp;"",IF(AND(C2278="LMS",F2278&gt;0,OR(D2278="",E2278="")),"Mangler maskin eller arbeid",IF(AND(OR(C2278="LMS",C2278="Mod"),D2278&lt;&gt;""),IF(IFERROR(INDEX(MaskinStatus,MATCH(D2278,Maskiner,0)),"")="I dokk","","Maskinen er ikke i dokk"),""))))))</f>
        <v/>
      </c>
      <c r="L2278" s="2">
        <f>IF(B2278="","",IFERROR(INT((MATCH(B2278,Teknikere,0)-1)/18)+1,""))</f>
        <v/>
      </c>
      <c r="M2278" s="2">
        <f>IF(OR(A2278="",B2278=""),"",B2278&amp;"|"&amp;A2278)</f>
        <v/>
      </c>
      <c r="N2278" s="2">
        <f>IF(M2278="","",SUMIFS(TF_Timer,TF_Nokkel,M2278,TF_Akt,C2278))</f>
        <v/>
      </c>
      <c r="O2278" s="2">
        <f>IF(M2278="","",IF(AND(N2278=_xlfn.MAXIFS(TF_AktSum,TF_Nokkel,M2278),COUNTIFS(M$3:M2277,M2278,N$3:N2277,N2278)=0),M2278,""))</f>
        <v/>
      </c>
    </row>
    <row r="2279">
      <c r="A2279" s="34" t="n"/>
      <c r="B2279" s="35" t="n"/>
      <c r="C2279" s="35" t="n"/>
      <c r="D2279" s="35" t="n"/>
      <c r="E2279" s="35" t="n"/>
      <c r="F2279" s="36" t="n"/>
      <c r="G2279" s="35" t="n"/>
      <c r="H2279" s="30">
        <f>IF(L2279="","",INDEX(SkiftNavn,L2279))</f>
        <v/>
      </c>
      <c r="I2279" s="30">
        <f>IF(OR(A2279="",L2279=""),"",IF(MOD(A2279-INDEX(SkiftStart,L2279),Syklus)&lt;DagK,"Kveld",IF(MOD(A2279-INDEX(SkiftStart,L2279),Syklus)&lt;DagK+DagH,"Helg",IF(MOD(A2279-INDEX(SkiftStart,L2279),Syklus)&lt;DagK+DagH+DagD,"Dag","Fri"))))</f>
        <v/>
      </c>
      <c r="J2279" s="30">
        <f>IF(I2279="Fri","Ja","")</f>
        <v/>
      </c>
      <c r="K2279" s="30">
        <f>IF(B2279="","",IF(L2279="","Ukjent tekniker",IF(ISNA(MATCH(C2279,Aktiviteter,0)),"Ukjent aktivitet",IF(AND(INDEX(AktRolle,MATCH(C2279,Aktiviteter,0))&amp;""&lt;&gt;"",ISERROR(SEARCH(INDEX(AktRolle,MATCH(C2279,Aktiviteter,0))&amp;"",INDEX(TekRoller,MATCH(B2279,Teknikere,0))))),"Mangler rollen "&amp;INDEX(AktRolle,MATCH(C2279,Aktiviteter,0))&amp;"",IF(AND(C2279="LMS",F2279&gt;0,OR(D2279="",E2279="")),"Mangler maskin eller arbeid",IF(AND(OR(C2279="LMS",C2279="Mod"),D2279&lt;&gt;""),IF(IFERROR(INDEX(MaskinStatus,MATCH(D2279,Maskiner,0)),"")="I dokk","","Maskinen er ikke i dokk"),""))))))</f>
        <v/>
      </c>
      <c r="L2279" s="2">
        <f>IF(B2279="","",IFERROR(INT((MATCH(B2279,Teknikere,0)-1)/18)+1,""))</f>
        <v/>
      </c>
      <c r="M2279" s="2">
        <f>IF(OR(A2279="",B2279=""),"",B2279&amp;"|"&amp;A2279)</f>
        <v/>
      </c>
      <c r="N2279" s="2">
        <f>IF(M2279="","",SUMIFS(TF_Timer,TF_Nokkel,M2279,TF_Akt,C2279))</f>
        <v/>
      </c>
      <c r="O2279" s="2">
        <f>IF(M2279="","",IF(AND(N2279=_xlfn.MAXIFS(TF_AktSum,TF_Nokkel,M2279),COUNTIFS(M$3:M2278,M2279,N$3:N2278,N2279)=0),M2279,""))</f>
        <v/>
      </c>
    </row>
    <row r="2280">
      <c r="A2280" s="34" t="n"/>
      <c r="B2280" s="35" t="n"/>
      <c r="C2280" s="35" t="n"/>
      <c r="D2280" s="35" t="n"/>
      <c r="E2280" s="35" t="n"/>
      <c r="F2280" s="36" t="n"/>
      <c r="G2280" s="35" t="n"/>
      <c r="H2280" s="30">
        <f>IF(L2280="","",INDEX(SkiftNavn,L2280))</f>
        <v/>
      </c>
      <c r="I2280" s="30">
        <f>IF(OR(A2280="",L2280=""),"",IF(MOD(A2280-INDEX(SkiftStart,L2280),Syklus)&lt;DagK,"Kveld",IF(MOD(A2280-INDEX(SkiftStart,L2280),Syklus)&lt;DagK+DagH,"Helg",IF(MOD(A2280-INDEX(SkiftStart,L2280),Syklus)&lt;DagK+DagH+DagD,"Dag","Fri"))))</f>
        <v/>
      </c>
      <c r="J2280" s="30">
        <f>IF(I2280="Fri","Ja","")</f>
        <v/>
      </c>
      <c r="K2280" s="30">
        <f>IF(B2280="","",IF(L2280="","Ukjent tekniker",IF(ISNA(MATCH(C2280,Aktiviteter,0)),"Ukjent aktivitet",IF(AND(INDEX(AktRolle,MATCH(C2280,Aktiviteter,0))&amp;""&lt;&gt;"",ISERROR(SEARCH(INDEX(AktRolle,MATCH(C2280,Aktiviteter,0))&amp;"",INDEX(TekRoller,MATCH(B2280,Teknikere,0))))),"Mangler rollen "&amp;INDEX(AktRolle,MATCH(C2280,Aktiviteter,0))&amp;"",IF(AND(C2280="LMS",F2280&gt;0,OR(D2280="",E2280="")),"Mangler maskin eller arbeid",IF(AND(OR(C2280="LMS",C2280="Mod"),D2280&lt;&gt;""),IF(IFERROR(INDEX(MaskinStatus,MATCH(D2280,Maskiner,0)),"")="I dokk","","Maskinen er ikke i dokk"),""))))))</f>
        <v/>
      </c>
      <c r="L2280" s="2">
        <f>IF(B2280="","",IFERROR(INT((MATCH(B2280,Teknikere,0)-1)/18)+1,""))</f>
        <v/>
      </c>
      <c r="M2280" s="2">
        <f>IF(OR(A2280="",B2280=""),"",B2280&amp;"|"&amp;A2280)</f>
        <v/>
      </c>
      <c r="N2280" s="2">
        <f>IF(M2280="","",SUMIFS(TF_Timer,TF_Nokkel,M2280,TF_Akt,C2280))</f>
        <v/>
      </c>
      <c r="O2280" s="2">
        <f>IF(M2280="","",IF(AND(N2280=_xlfn.MAXIFS(TF_AktSum,TF_Nokkel,M2280),COUNTIFS(M$3:M2279,M2280,N$3:N2279,N2280)=0),M2280,""))</f>
        <v/>
      </c>
    </row>
    <row r="2281">
      <c r="A2281" s="34" t="n"/>
      <c r="B2281" s="35" t="n"/>
      <c r="C2281" s="35" t="n"/>
      <c r="D2281" s="35" t="n"/>
      <c r="E2281" s="35" t="n"/>
      <c r="F2281" s="36" t="n"/>
      <c r="G2281" s="35" t="n"/>
      <c r="H2281" s="30">
        <f>IF(L2281="","",INDEX(SkiftNavn,L2281))</f>
        <v/>
      </c>
      <c r="I2281" s="30">
        <f>IF(OR(A2281="",L2281=""),"",IF(MOD(A2281-INDEX(SkiftStart,L2281),Syklus)&lt;DagK,"Kveld",IF(MOD(A2281-INDEX(SkiftStart,L2281),Syklus)&lt;DagK+DagH,"Helg",IF(MOD(A2281-INDEX(SkiftStart,L2281),Syklus)&lt;DagK+DagH+DagD,"Dag","Fri"))))</f>
        <v/>
      </c>
      <c r="J2281" s="30">
        <f>IF(I2281="Fri","Ja","")</f>
        <v/>
      </c>
      <c r="K2281" s="30">
        <f>IF(B2281="","",IF(L2281="","Ukjent tekniker",IF(ISNA(MATCH(C2281,Aktiviteter,0)),"Ukjent aktivitet",IF(AND(INDEX(AktRolle,MATCH(C2281,Aktiviteter,0))&amp;""&lt;&gt;"",ISERROR(SEARCH(INDEX(AktRolle,MATCH(C2281,Aktiviteter,0))&amp;"",INDEX(TekRoller,MATCH(B2281,Teknikere,0))))),"Mangler rollen "&amp;INDEX(AktRolle,MATCH(C2281,Aktiviteter,0))&amp;"",IF(AND(C2281="LMS",F2281&gt;0,OR(D2281="",E2281="")),"Mangler maskin eller arbeid",IF(AND(OR(C2281="LMS",C2281="Mod"),D2281&lt;&gt;""),IF(IFERROR(INDEX(MaskinStatus,MATCH(D2281,Maskiner,0)),"")="I dokk","","Maskinen er ikke i dokk"),""))))))</f>
        <v/>
      </c>
      <c r="L2281" s="2">
        <f>IF(B2281="","",IFERROR(INT((MATCH(B2281,Teknikere,0)-1)/18)+1,""))</f>
        <v/>
      </c>
      <c r="M2281" s="2">
        <f>IF(OR(A2281="",B2281=""),"",B2281&amp;"|"&amp;A2281)</f>
        <v/>
      </c>
      <c r="N2281" s="2">
        <f>IF(M2281="","",SUMIFS(TF_Timer,TF_Nokkel,M2281,TF_Akt,C2281))</f>
        <v/>
      </c>
      <c r="O2281" s="2">
        <f>IF(M2281="","",IF(AND(N2281=_xlfn.MAXIFS(TF_AktSum,TF_Nokkel,M2281),COUNTIFS(M$3:M2280,M2281,N$3:N2280,N2281)=0),M2281,""))</f>
        <v/>
      </c>
    </row>
    <row r="2282">
      <c r="A2282" s="34" t="n"/>
      <c r="B2282" s="35" t="n"/>
      <c r="C2282" s="35" t="n"/>
      <c r="D2282" s="35" t="n"/>
      <c r="E2282" s="35" t="n"/>
      <c r="F2282" s="36" t="n"/>
      <c r="G2282" s="35" t="n"/>
      <c r="H2282" s="30">
        <f>IF(L2282="","",INDEX(SkiftNavn,L2282))</f>
        <v/>
      </c>
      <c r="I2282" s="30">
        <f>IF(OR(A2282="",L2282=""),"",IF(MOD(A2282-INDEX(SkiftStart,L2282),Syklus)&lt;DagK,"Kveld",IF(MOD(A2282-INDEX(SkiftStart,L2282),Syklus)&lt;DagK+DagH,"Helg",IF(MOD(A2282-INDEX(SkiftStart,L2282),Syklus)&lt;DagK+DagH+DagD,"Dag","Fri"))))</f>
        <v/>
      </c>
      <c r="J2282" s="30">
        <f>IF(I2282="Fri","Ja","")</f>
        <v/>
      </c>
      <c r="K2282" s="30">
        <f>IF(B2282="","",IF(L2282="","Ukjent tekniker",IF(ISNA(MATCH(C2282,Aktiviteter,0)),"Ukjent aktivitet",IF(AND(INDEX(AktRolle,MATCH(C2282,Aktiviteter,0))&amp;""&lt;&gt;"",ISERROR(SEARCH(INDEX(AktRolle,MATCH(C2282,Aktiviteter,0))&amp;"",INDEX(TekRoller,MATCH(B2282,Teknikere,0))))),"Mangler rollen "&amp;INDEX(AktRolle,MATCH(C2282,Aktiviteter,0))&amp;"",IF(AND(C2282="LMS",F2282&gt;0,OR(D2282="",E2282="")),"Mangler maskin eller arbeid",IF(AND(OR(C2282="LMS",C2282="Mod"),D2282&lt;&gt;""),IF(IFERROR(INDEX(MaskinStatus,MATCH(D2282,Maskiner,0)),"")="I dokk","","Maskinen er ikke i dokk"),""))))))</f>
        <v/>
      </c>
      <c r="L2282" s="2">
        <f>IF(B2282="","",IFERROR(INT((MATCH(B2282,Teknikere,0)-1)/18)+1,""))</f>
        <v/>
      </c>
      <c r="M2282" s="2">
        <f>IF(OR(A2282="",B2282=""),"",B2282&amp;"|"&amp;A2282)</f>
        <v/>
      </c>
      <c r="N2282" s="2">
        <f>IF(M2282="","",SUMIFS(TF_Timer,TF_Nokkel,M2282,TF_Akt,C2282))</f>
        <v/>
      </c>
      <c r="O2282" s="2">
        <f>IF(M2282="","",IF(AND(N2282=_xlfn.MAXIFS(TF_AktSum,TF_Nokkel,M2282),COUNTIFS(M$3:M2281,M2282,N$3:N2281,N2282)=0),M2282,""))</f>
        <v/>
      </c>
    </row>
    <row r="2283">
      <c r="A2283" s="34" t="n"/>
      <c r="B2283" s="35" t="n"/>
      <c r="C2283" s="35" t="n"/>
      <c r="D2283" s="35" t="n"/>
      <c r="E2283" s="35" t="n"/>
      <c r="F2283" s="36" t="n"/>
      <c r="G2283" s="35" t="n"/>
      <c r="H2283" s="30">
        <f>IF(L2283="","",INDEX(SkiftNavn,L2283))</f>
        <v/>
      </c>
      <c r="I2283" s="30">
        <f>IF(OR(A2283="",L2283=""),"",IF(MOD(A2283-INDEX(SkiftStart,L2283),Syklus)&lt;DagK,"Kveld",IF(MOD(A2283-INDEX(SkiftStart,L2283),Syklus)&lt;DagK+DagH,"Helg",IF(MOD(A2283-INDEX(SkiftStart,L2283),Syklus)&lt;DagK+DagH+DagD,"Dag","Fri"))))</f>
        <v/>
      </c>
      <c r="J2283" s="30">
        <f>IF(I2283="Fri","Ja","")</f>
        <v/>
      </c>
      <c r="K2283" s="30">
        <f>IF(B2283="","",IF(L2283="","Ukjent tekniker",IF(ISNA(MATCH(C2283,Aktiviteter,0)),"Ukjent aktivitet",IF(AND(INDEX(AktRolle,MATCH(C2283,Aktiviteter,0))&amp;""&lt;&gt;"",ISERROR(SEARCH(INDEX(AktRolle,MATCH(C2283,Aktiviteter,0))&amp;"",INDEX(TekRoller,MATCH(B2283,Teknikere,0))))),"Mangler rollen "&amp;INDEX(AktRolle,MATCH(C2283,Aktiviteter,0))&amp;"",IF(AND(C2283="LMS",F2283&gt;0,OR(D2283="",E2283="")),"Mangler maskin eller arbeid",IF(AND(OR(C2283="LMS",C2283="Mod"),D2283&lt;&gt;""),IF(IFERROR(INDEX(MaskinStatus,MATCH(D2283,Maskiner,0)),"")="I dokk","","Maskinen er ikke i dokk"),""))))))</f>
        <v/>
      </c>
      <c r="L2283" s="2">
        <f>IF(B2283="","",IFERROR(INT((MATCH(B2283,Teknikere,0)-1)/18)+1,""))</f>
        <v/>
      </c>
      <c r="M2283" s="2">
        <f>IF(OR(A2283="",B2283=""),"",B2283&amp;"|"&amp;A2283)</f>
        <v/>
      </c>
      <c r="N2283" s="2">
        <f>IF(M2283="","",SUMIFS(TF_Timer,TF_Nokkel,M2283,TF_Akt,C2283))</f>
        <v/>
      </c>
      <c r="O2283" s="2">
        <f>IF(M2283="","",IF(AND(N2283=_xlfn.MAXIFS(TF_AktSum,TF_Nokkel,M2283),COUNTIFS(M$3:M2282,M2283,N$3:N2282,N2283)=0),M2283,""))</f>
        <v/>
      </c>
    </row>
    <row r="2284">
      <c r="A2284" s="34" t="n"/>
      <c r="B2284" s="35" t="n"/>
      <c r="C2284" s="35" t="n"/>
      <c r="D2284" s="35" t="n"/>
      <c r="E2284" s="35" t="n"/>
      <c r="F2284" s="36" t="n"/>
      <c r="G2284" s="35" t="n"/>
      <c r="H2284" s="30">
        <f>IF(L2284="","",INDEX(SkiftNavn,L2284))</f>
        <v/>
      </c>
      <c r="I2284" s="30">
        <f>IF(OR(A2284="",L2284=""),"",IF(MOD(A2284-INDEX(SkiftStart,L2284),Syklus)&lt;DagK,"Kveld",IF(MOD(A2284-INDEX(SkiftStart,L2284),Syklus)&lt;DagK+DagH,"Helg",IF(MOD(A2284-INDEX(SkiftStart,L2284),Syklus)&lt;DagK+DagH+DagD,"Dag","Fri"))))</f>
        <v/>
      </c>
      <c r="J2284" s="30">
        <f>IF(I2284="Fri","Ja","")</f>
        <v/>
      </c>
      <c r="K2284" s="30">
        <f>IF(B2284="","",IF(L2284="","Ukjent tekniker",IF(ISNA(MATCH(C2284,Aktiviteter,0)),"Ukjent aktivitet",IF(AND(INDEX(AktRolle,MATCH(C2284,Aktiviteter,0))&amp;""&lt;&gt;"",ISERROR(SEARCH(INDEX(AktRolle,MATCH(C2284,Aktiviteter,0))&amp;"",INDEX(TekRoller,MATCH(B2284,Teknikere,0))))),"Mangler rollen "&amp;INDEX(AktRolle,MATCH(C2284,Aktiviteter,0))&amp;"",IF(AND(C2284="LMS",F2284&gt;0,OR(D2284="",E2284="")),"Mangler maskin eller arbeid",IF(AND(OR(C2284="LMS",C2284="Mod"),D2284&lt;&gt;""),IF(IFERROR(INDEX(MaskinStatus,MATCH(D2284,Maskiner,0)),"")="I dokk","","Maskinen er ikke i dokk"),""))))))</f>
        <v/>
      </c>
      <c r="L2284" s="2">
        <f>IF(B2284="","",IFERROR(INT((MATCH(B2284,Teknikere,0)-1)/18)+1,""))</f>
        <v/>
      </c>
      <c r="M2284" s="2">
        <f>IF(OR(A2284="",B2284=""),"",B2284&amp;"|"&amp;A2284)</f>
        <v/>
      </c>
      <c r="N2284" s="2">
        <f>IF(M2284="","",SUMIFS(TF_Timer,TF_Nokkel,M2284,TF_Akt,C2284))</f>
        <v/>
      </c>
      <c r="O2284" s="2">
        <f>IF(M2284="","",IF(AND(N2284=_xlfn.MAXIFS(TF_AktSum,TF_Nokkel,M2284),COUNTIFS(M$3:M2283,M2284,N$3:N2283,N2284)=0),M2284,""))</f>
        <v/>
      </c>
    </row>
    <row r="2285">
      <c r="A2285" s="34" t="n"/>
      <c r="B2285" s="35" t="n"/>
      <c r="C2285" s="35" t="n"/>
      <c r="D2285" s="35" t="n"/>
      <c r="E2285" s="35" t="n"/>
      <c r="F2285" s="36" t="n"/>
      <c r="G2285" s="35" t="n"/>
      <c r="H2285" s="30">
        <f>IF(L2285="","",INDEX(SkiftNavn,L2285))</f>
        <v/>
      </c>
      <c r="I2285" s="30">
        <f>IF(OR(A2285="",L2285=""),"",IF(MOD(A2285-INDEX(SkiftStart,L2285),Syklus)&lt;DagK,"Kveld",IF(MOD(A2285-INDEX(SkiftStart,L2285),Syklus)&lt;DagK+DagH,"Helg",IF(MOD(A2285-INDEX(SkiftStart,L2285),Syklus)&lt;DagK+DagH+DagD,"Dag","Fri"))))</f>
        <v/>
      </c>
      <c r="J2285" s="30">
        <f>IF(I2285="Fri","Ja","")</f>
        <v/>
      </c>
      <c r="K2285" s="30">
        <f>IF(B2285="","",IF(L2285="","Ukjent tekniker",IF(ISNA(MATCH(C2285,Aktiviteter,0)),"Ukjent aktivitet",IF(AND(INDEX(AktRolle,MATCH(C2285,Aktiviteter,0))&amp;""&lt;&gt;"",ISERROR(SEARCH(INDEX(AktRolle,MATCH(C2285,Aktiviteter,0))&amp;"",INDEX(TekRoller,MATCH(B2285,Teknikere,0))))),"Mangler rollen "&amp;INDEX(AktRolle,MATCH(C2285,Aktiviteter,0))&amp;"",IF(AND(C2285="LMS",F2285&gt;0,OR(D2285="",E2285="")),"Mangler maskin eller arbeid",IF(AND(OR(C2285="LMS",C2285="Mod"),D2285&lt;&gt;""),IF(IFERROR(INDEX(MaskinStatus,MATCH(D2285,Maskiner,0)),"")="I dokk","","Maskinen er ikke i dokk"),""))))))</f>
        <v/>
      </c>
      <c r="L2285" s="2">
        <f>IF(B2285="","",IFERROR(INT((MATCH(B2285,Teknikere,0)-1)/18)+1,""))</f>
        <v/>
      </c>
      <c r="M2285" s="2">
        <f>IF(OR(A2285="",B2285=""),"",B2285&amp;"|"&amp;A2285)</f>
        <v/>
      </c>
      <c r="N2285" s="2">
        <f>IF(M2285="","",SUMIFS(TF_Timer,TF_Nokkel,M2285,TF_Akt,C2285))</f>
        <v/>
      </c>
      <c r="O2285" s="2">
        <f>IF(M2285="","",IF(AND(N2285=_xlfn.MAXIFS(TF_AktSum,TF_Nokkel,M2285),COUNTIFS(M$3:M2284,M2285,N$3:N2284,N2285)=0),M2285,""))</f>
        <v/>
      </c>
    </row>
    <row r="2286">
      <c r="A2286" s="34" t="n"/>
      <c r="B2286" s="35" t="n"/>
      <c r="C2286" s="35" t="n"/>
      <c r="D2286" s="35" t="n"/>
      <c r="E2286" s="35" t="n"/>
      <c r="F2286" s="36" t="n"/>
      <c r="G2286" s="35" t="n"/>
      <c r="H2286" s="30">
        <f>IF(L2286="","",INDEX(SkiftNavn,L2286))</f>
        <v/>
      </c>
      <c r="I2286" s="30">
        <f>IF(OR(A2286="",L2286=""),"",IF(MOD(A2286-INDEX(SkiftStart,L2286),Syklus)&lt;DagK,"Kveld",IF(MOD(A2286-INDEX(SkiftStart,L2286),Syklus)&lt;DagK+DagH,"Helg",IF(MOD(A2286-INDEX(SkiftStart,L2286),Syklus)&lt;DagK+DagH+DagD,"Dag","Fri"))))</f>
        <v/>
      </c>
      <c r="J2286" s="30">
        <f>IF(I2286="Fri","Ja","")</f>
        <v/>
      </c>
      <c r="K2286" s="30">
        <f>IF(B2286="","",IF(L2286="","Ukjent tekniker",IF(ISNA(MATCH(C2286,Aktiviteter,0)),"Ukjent aktivitet",IF(AND(INDEX(AktRolle,MATCH(C2286,Aktiviteter,0))&amp;""&lt;&gt;"",ISERROR(SEARCH(INDEX(AktRolle,MATCH(C2286,Aktiviteter,0))&amp;"",INDEX(TekRoller,MATCH(B2286,Teknikere,0))))),"Mangler rollen "&amp;INDEX(AktRolle,MATCH(C2286,Aktiviteter,0))&amp;"",IF(AND(C2286="LMS",F2286&gt;0,OR(D2286="",E2286="")),"Mangler maskin eller arbeid",IF(AND(OR(C2286="LMS",C2286="Mod"),D2286&lt;&gt;""),IF(IFERROR(INDEX(MaskinStatus,MATCH(D2286,Maskiner,0)),"")="I dokk","","Maskinen er ikke i dokk"),""))))))</f>
        <v/>
      </c>
      <c r="L2286" s="2">
        <f>IF(B2286="","",IFERROR(INT((MATCH(B2286,Teknikere,0)-1)/18)+1,""))</f>
        <v/>
      </c>
      <c r="M2286" s="2">
        <f>IF(OR(A2286="",B2286=""),"",B2286&amp;"|"&amp;A2286)</f>
        <v/>
      </c>
      <c r="N2286" s="2">
        <f>IF(M2286="","",SUMIFS(TF_Timer,TF_Nokkel,M2286,TF_Akt,C2286))</f>
        <v/>
      </c>
      <c r="O2286" s="2">
        <f>IF(M2286="","",IF(AND(N2286=_xlfn.MAXIFS(TF_AktSum,TF_Nokkel,M2286),COUNTIFS(M$3:M2285,M2286,N$3:N2285,N2286)=0),M2286,""))</f>
        <v/>
      </c>
    </row>
    <row r="2287">
      <c r="A2287" s="34" t="n"/>
      <c r="B2287" s="35" t="n"/>
      <c r="C2287" s="35" t="n"/>
      <c r="D2287" s="35" t="n"/>
      <c r="E2287" s="35" t="n"/>
      <c r="F2287" s="36" t="n"/>
      <c r="G2287" s="35" t="n"/>
      <c r="H2287" s="30">
        <f>IF(L2287="","",INDEX(SkiftNavn,L2287))</f>
        <v/>
      </c>
      <c r="I2287" s="30">
        <f>IF(OR(A2287="",L2287=""),"",IF(MOD(A2287-INDEX(SkiftStart,L2287),Syklus)&lt;DagK,"Kveld",IF(MOD(A2287-INDEX(SkiftStart,L2287),Syklus)&lt;DagK+DagH,"Helg",IF(MOD(A2287-INDEX(SkiftStart,L2287),Syklus)&lt;DagK+DagH+DagD,"Dag","Fri"))))</f>
        <v/>
      </c>
      <c r="J2287" s="30">
        <f>IF(I2287="Fri","Ja","")</f>
        <v/>
      </c>
      <c r="K2287" s="30">
        <f>IF(B2287="","",IF(L2287="","Ukjent tekniker",IF(ISNA(MATCH(C2287,Aktiviteter,0)),"Ukjent aktivitet",IF(AND(INDEX(AktRolle,MATCH(C2287,Aktiviteter,0))&amp;""&lt;&gt;"",ISERROR(SEARCH(INDEX(AktRolle,MATCH(C2287,Aktiviteter,0))&amp;"",INDEX(TekRoller,MATCH(B2287,Teknikere,0))))),"Mangler rollen "&amp;INDEX(AktRolle,MATCH(C2287,Aktiviteter,0))&amp;"",IF(AND(C2287="LMS",F2287&gt;0,OR(D2287="",E2287="")),"Mangler maskin eller arbeid",IF(AND(OR(C2287="LMS",C2287="Mod"),D2287&lt;&gt;""),IF(IFERROR(INDEX(MaskinStatus,MATCH(D2287,Maskiner,0)),"")="I dokk","","Maskinen er ikke i dokk"),""))))))</f>
        <v/>
      </c>
      <c r="L2287" s="2">
        <f>IF(B2287="","",IFERROR(INT((MATCH(B2287,Teknikere,0)-1)/18)+1,""))</f>
        <v/>
      </c>
      <c r="M2287" s="2">
        <f>IF(OR(A2287="",B2287=""),"",B2287&amp;"|"&amp;A2287)</f>
        <v/>
      </c>
      <c r="N2287" s="2">
        <f>IF(M2287="","",SUMIFS(TF_Timer,TF_Nokkel,M2287,TF_Akt,C2287))</f>
        <v/>
      </c>
      <c r="O2287" s="2">
        <f>IF(M2287="","",IF(AND(N2287=_xlfn.MAXIFS(TF_AktSum,TF_Nokkel,M2287),COUNTIFS(M$3:M2286,M2287,N$3:N2286,N2287)=0),M2287,""))</f>
        <v/>
      </c>
    </row>
    <row r="2288">
      <c r="A2288" s="34" t="n"/>
      <c r="B2288" s="35" t="n"/>
      <c r="C2288" s="35" t="n"/>
      <c r="D2288" s="35" t="n"/>
      <c r="E2288" s="35" t="n"/>
      <c r="F2288" s="36" t="n"/>
      <c r="G2288" s="35" t="n"/>
      <c r="H2288" s="30">
        <f>IF(L2288="","",INDEX(SkiftNavn,L2288))</f>
        <v/>
      </c>
      <c r="I2288" s="30">
        <f>IF(OR(A2288="",L2288=""),"",IF(MOD(A2288-INDEX(SkiftStart,L2288),Syklus)&lt;DagK,"Kveld",IF(MOD(A2288-INDEX(SkiftStart,L2288),Syklus)&lt;DagK+DagH,"Helg",IF(MOD(A2288-INDEX(SkiftStart,L2288),Syklus)&lt;DagK+DagH+DagD,"Dag","Fri"))))</f>
        <v/>
      </c>
      <c r="J2288" s="30">
        <f>IF(I2288="Fri","Ja","")</f>
        <v/>
      </c>
      <c r="K2288" s="30">
        <f>IF(B2288="","",IF(L2288="","Ukjent tekniker",IF(ISNA(MATCH(C2288,Aktiviteter,0)),"Ukjent aktivitet",IF(AND(INDEX(AktRolle,MATCH(C2288,Aktiviteter,0))&amp;""&lt;&gt;"",ISERROR(SEARCH(INDEX(AktRolle,MATCH(C2288,Aktiviteter,0))&amp;"",INDEX(TekRoller,MATCH(B2288,Teknikere,0))))),"Mangler rollen "&amp;INDEX(AktRolle,MATCH(C2288,Aktiviteter,0))&amp;"",IF(AND(C2288="LMS",F2288&gt;0,OR(D2288="",E2288="")),"Mangler maskin eller arbeid",IF(AND(OR(C2288="LMS",C2288="Mod"),D2288&lt;&gt;""),IF(IFERROR(INDEX(MaskinStatus,MATCH(D2288,Maskiner,0)),"")="I dokk","","Maskinen er ikke i dokk"),""))))))</f>
        <v/>
      </c>
      <c r="L2288" s="2">
        <f>IF(B2288="","",IFERROR(INT((MATCH(B2288,Teknikere,0)-1)/18)+1,""))</f>
        <v/>
      </c>
      <c r="M2288" s="2">
        <f>IF(OR(A2288="",B2288=""),"",B2288&amp;"|"&amp;A2288)</f>
        <v/>
      </c>
      <c r="N2288" s="2">
        <f>IF(M2288="","",SUMIFS(TF_Timer,TF_Nokkel,M2288,TF_Akt,C2288))</f>
        <v/>
      </c>
      <c r="O2288" s="2">
        <f>IF(M2288="","",IF(AND(N2288=_xlfn.MAXIFS(TF_AktSum,TF_Nokkel,M2288),COUNTIFS(M$3:M2287,M2288,N$3:N2287,N2288)=0),M2288,""))</f>
        <v/>
      </c>
    </row>
    <row r="2289">
      <c r="A2289" s="34" t="n"/>
      <c r="B2289" s="35" t="n"/>
      <c r="C2289" s="35" t="n"/>
      <c r="D2289" s="35" t="n"/>
      <c r="E2289" s="35" t="n"/>
      <c r="F2289" s="36" t="n"/>
      <c r="G2289" s="35" t="n"/>
      <c r="H2289" s="30">
        <f>IF(L2289="","",INDEX(SkiftNavn,L2289))</f>
        <v/>
      </c>
      <c r="I2289" s="30">
        <f>IF(OR(A2289="",L2289=""),"",IF(MOD(A2289-INDEX(SkiftStart,L2289),Syklus)&lt;DagK,"Kveld",IF(MOD(A2289-INDEX(SkiftStart,L2289),Syklus)&lt;DagK+DagH,"Helg",IF(MOD(A2289-INDEX(SkiftStart,L2289),Syklus)&lt;DagK+DagH+DagD,"Dag","Fri"))))</f>
        <v/>
      </c>
      <c r="J2289" s="30">
        <f>IF(I2289="Fri","Ja","")</f>
        <v/>
      </c>
      <c r="K2289" s="30">
        <f>IF(B2289="","",IF(L2289="","Ukjent tekniker",IF(ISNA(MATCH(C2289,Aktiviteter,0)),"Ukjent aktivitet",IF(AND(INDEX(AktRolle,MATCH(C2289,Aktiviteter,0))&amp;""&lt;&gt;"",ISERROR(SEARCH(INDEX(AktRolle,MATCH(C2289,Aktiviteter,0))&amp;"",INDEX(TekRoller,MATCH(B2289,Teknikere,0))))),"Mangler rollen "&amp;INDEX(AktRolle,MATCH(C2289,Aktiviteter,0))&amp;"",IF(AND(C2289="LMS",F2289&gt;0,OR(D2289="",E2289="")),"Mangler maskin eller arbeid",IF(AND(OR(C2289="LMS",C2289="Mod"),D2289&lt;&gt;""),IF(IFERROR(INDEX(MaskinStatus,MATCH(D2289,Maskiner,0)),"")="I dokk","","Maskinen er ikke i dokk"),""))))))</f>
        <v/>
      </c>
      <c r="L2289" s="2">
        <f>IF(B2289="","",IFERROR(INT((MATCH(B2289,Teknikere,0)-1)/18)+1,""))</f>
        <v/>
      </c>
      <c r="M2289" s="2">
        <f>IF(OR(A2289="",B2289=""),"",B2289&amp;"|"&amp;A2289)</f>
        <v/>
      </c>
      <c r="N2289" s="2">
        <f>IF(M2289="","",SUMIFS(TF_Timer,TF_Nokkel,M2289,TF_Akt,C2289))</f>
        <v/>
      </c>
      <c r="O2289" s="2">
        <f>IF(M2289="","",IF(AND(N2289=_xlfn.MAXIFS(TF_AktSum,TF_Nokkel,M2289),COUNTIFS(M$3:M2288,M2289,N$3:N2288,N2289)=0),M2289,""))</f>
        <v/>
      </c>
    </row>
    <row r="2290">
      <c r="A2290" s="34" t="n"/>
      <c r="B2290" s="35" t="n"/>
      <c r="C2290" s="35" t="n"/>
      <c r="D2290" s="35" t="n"/>
      <c r="E2290" s="35" t="n"/>
      <c r="F2290" s="36" t="n"/>
      <c r="G2290" s="35" t="n"/>
      <c r="H2290" s="30">
        <f>IF(L2290="","",INDEX(SkiftNavn,L2290))</f>
        <v/>
      </c>
      <c r="I2290" s="30">
        <f>IF(OR(A2290="",L2290=""),"",IF(MOD(A2290-INDEX(SkiftStart,L2290),Syklus)&lt;DagK,"Kveld",IF(MOD(A2290-INDEX(SkiftStart,L2290),Syklus)&lt;DagK+DagH,"Helg",IF(MOD(A2290-INDEX(SkiftStart,L2290),Syklus)&lt;DagK+DagH+DagD,"Dag","Fri"))))</f>
        <v/>
      </c>
      <c r="J2290" s="30">
        <f>IF(I2290="Fri","Ja","")</f>
        <v/>
      </c>
      <c r="K2290" s="30">
        <f>IF(B2290="","",IF(L2290="","Ukjent tekniker",IF(ISNA(MATCH(C2290,Aktiviteter,0)),"Ukjent aktivitet",IF(AND(INDEX(AktRolle,MATCH(C2290,Aktiviteter,0))&amp;""&lt;&gt;"",ISERROR(SEARCH(INDEX(AktRolle,MATCH(C2290,Aktiviteter,0))&amp;"",INDEX(TekRoller,MATCH(B2290,Teknikere,0))))),"Mangler rollen "&amp;INDEX(AktRolle,MATCH(C2290,Aktiviteter,0))&amp;"",IF(AND(C2290="LMS",F2290&gt;0,OR(D2290="",E2290="")),"Mangler maskin eller arbeid",IF(AND(OR(C2290="LMS",C2290="Mod"),D2290&lt;&gt;""),IF(IFERROR(INDEX(MaskinStatus,MATCH(D2290,Maskiner,0)),"")="I dokk","","Maskinen er ikke i dokk"),""))))))</f>
        <v/>
      </c>
      <c r="L2290" s="2">
        <f>IF(B2290="","",IFERROR(INT((MATCH(B2290,Teknikere,0)-1)/18)+1,""))</f>
        <v/>
      </c>
      <c r="M2290" s="2">
        <f>IF(OR(A2290="",B2290=""),"",B2290&amp;"|"&amp;A2290)</f>
        <v/>
      </c>
      <c r="N2290" s="2">
        <f>IF(M2290="","",SUMIFS(TF_Timer,TF_Nokkel,M2290,TF_Akt,C2290))</f>
        <v/>
      </c>
      <c r="O2290" s="2">
        <f>IF(M2290="","",IF(AND(N2290=_xlfn.MAXIFS(TF_AktSum,TF_Nokkel,M2290),COUNTIFS(M$3:M2289,M2290,N$3:N2289,N2290)=0),M2290,""))</f>
        <v/>
      </c>
    </row>
    <row r="2291">
      <c r="A2291" s="34" t="n"/>
      <c r="B2291" s="35" t="n"/>
      <c r="C2291" s="35" t="n"/>
      <c r="D2291" s="35" t="n"/>
      <c r="E2291" s="35" t="n"/>
      <c r="F2291" s="36" t="n"/>
      <c r="G2291" s="35" t="n"/>
      <c r="H2291" s="30">
        <f>IF(L2291="","",INDEX(SkiftNavn,L2291))</f>
        <v/>
      </c>
      <c r="I2291" s="30">
        <f>IF(OR(A2291="",L2291=""),"",IF(MOD(A2291-INDEX(SkiftStart,L2291),Syklus)&lt;DagK,"Kveld",IF(MOD(A2291-INDEX(SkiftStart,L2291),Syklus)&lt;DagK+DagH,"Helg",IF(MOD(A2291-INDEX(SkiftStart,L2291),Syklus)&lt;DagK+DagH+DagD,"Dag","Fri"))))</f>
        <v/>
      </c>
      <c r="J2291" s="30">
        <f>IF(I2291="Fri","Ja","")</f>
        <v/>
      </c>
      <c r="K2291" s="30">
        <f>IF(B2291="","",IF(L2291="","Ukjent tekniker",IF(ISNA(MATCH(C2291,Aktiviteter,0)),"Ukjent aktivitet",IF(AND(INDEX(AktRolle,MATCH(C2291,Aktiviteter,0))&amp;""&lt;&gt;"",ISERROR(SEARCH(INDEX(AktRolle,MATCH(C2291,Aktiviteter,0))&amp;"",INDEX(TekRoller,MATCH(B2291,Teknikere,0))))),"Mangler rollen "&amp;INDEX(AktRolle,MATCH(C2291,Aktiviteter,0))&amp;"",IF(AND(C2291="LMS",F2291&gt;0,OR(D2291="",E2291="")),"Mangler maskin eller arbeid",IF(AND(OR(C2291="LMS",C2291="Mod"),D2291&lt;&gt;""),IF(IFERROR(INDEX(MaskinStatus,MATCH(D2291,Maskiner,0)),"")="I dokk","","Maskinen er ikke i dokk"),""))))))</f>
        <v/>
      </c>
      <c r="L2291" s="2">
        <f>IF(B2291="","",IFERROR(INT((MATCH(B2291,Teknikere,0)-1)/18)+1,""))</f>
        <v/>
      </c>
      <c r="M2291" s="2">
        <f>IF(OR(A2291="",B2291=""),"",B2291&amp;"|"&amp;A2291)</f>
        <v/>
      </c>
      <c r="N2291" s="2">
        <f>IF(M2291="","",SUMIFS(TF_Timer,TF_Nokkel,M2291,TF_Akt,C2291))</f>
        <v/>
      </c>
      <c r="O2291" s="2">
        <f>IF(M2291="","",IF(AND(N2291=_xlfn.MAXIFS(TF_AktSum,TF_Nokkel,M2291),COUNTIFS(M$3:M2290,M2291,N$3:N2290,N2291)=0),M2291,""))</f>
        <v/>
      </c>
    </row>
    <row r="2292">
      <c r="A2292" s="34" t="n"/>
      <c r="B2292" s="35" t="n"/>
      <c r="C2292" s="35" t="n"/>
      <c r="D2292" s="35" t="n"/>
      <c r="E2292" s="35" t="n"/>
      <c r="F2292" s="36" t="n"/>
      <c r="G2292" s="35" t="n"/>
      <c r="H2292" s="30">
        <f>IF(L2292="","",INDEX(SkiftNavn,L2292))</f>
        <v/>
      </c>
      <c r="I2292" s="30">
        <f>IF(OR(A2292="",L2292=""),"",IF(MOD(A2292-INDEX(SkiftStart,L2292),Syklus)&lt;DagK,"Kveld",IF(MOD(A2292-INDEX(SkiftStart,L2292),Syklus)&lt;DagK+DagH,"Helg",IF(MOD(A2292-INDEX(SkiftStart,L2292),Syklus)&lt;DagK+DagH+DagD,"Dag","Fri"))))</f>
        <v/>
      </c>
      <c r="J2292" s="30">
        <f>IF(I2292="Fri","Ja","")</f>
        <v/>
      </c>
      <c r="K2292" s="30">
        <f>IF(B2292="","",IF(L2292="","Ukjent tekniker",IF(ISNA(MATCH(C2292,Aktiviteter,0)),"Ukjent aktivitet",IF(AND(INDEX(AktRolle,MATCH(C2292,Aktiviteter,0))&amp;""&lt;&gt;"",ISERROR(SEARCH(INDEX(AktRolle,MATCH(C2292,Aktiviteter,0))&amp;"",INDEX(TekRoller,MATCH(B2292,Teknikere,0))))),"Mangler rollen "&amp;INDEX(AktRolle,MATCH(C2292,Aktiviteter,0))&amp;"",IF(AND(C2292="LMS",F2292&gt;0,OR(D2292="",E2292="")),"Mangler maskin eller arbeid",IF(AND(OR(C2292="LMS",C2292="Mod"),D2292&lt;&gt;""),IF(IFERROR(INDEX(MaskinStatus,MATCH(D2292,Maskiner,0)),"")="I dokk","","Maskinen er ikke i dokk"),""))))))</f>
        <v/>
      </c>
      <c r="L2292" s="2">
        <f>IF(B2292="","",IFERROR(INT((MATCH(B2292,Teknikere,0)-1)/18)+1,""))</f>
        <v/>
      </c>
      <c r="M2292" s="2">
        <f>IF(OR(A2292="",B2292=""),"",B2292&amp;"|"&amp;A2292)</f>
        <v/>
      </c>
      <c r="N2292" s="2">
        <f>IF(M2292="","",SUMIFS(TF_Timer,TF_Nokkel,M2292,TF_Akt,C2292))</f>
        <v/>
      </c>
      <c r="O2292" s="2">
        <f>IF(M2292="","",IF(AND(N2292=_xlfn.MAXIFS(TF_AktSum,TF_Nokkel,M2292),COUNTIFS(M$3:M2291,M2292,N$3:N2291,N2292)=0),M2292,""))</f>
        <v/>
      </c>
    </row>
    <row r="2293">
      <c r="A2293" s="34" t="n"/>
      <c r="B2293" s="35" t="n"/>
      <c r="C2293" s="35" t="n"/>
      <c r="D2293" s="35" t="n"/>
      <c r="E2293" s="35" t="n"/>
      <c r="F2293" s="36" t="n"/>
      <c r="G2293" s="35" t="n"/>
      <c r="H2293" s="30">
        <f>IF(L2293="","",INDEX(SkiftNavn,L2293))</f>
        <v/>
      </c>
      <c r="I2293" s="30">
        <f>IF(OR(A2293="",L2293=""),"",IF(MOD(A2293-INDEX(SkiftStart,L2293),Syklus)&lt;DagK,"Kveld",IF(MOD(A2293-INDEX(SkiftStart,L2293),Syklus)&lt;DagK+DagH,"Helg",IF(MOD(A2293-INDEX(SkiftStart,L2293),Syklus)&lt;DagK+DagH+DagD,"Dag","Fri"))))</f>
        <v/>
      </c>
      <c r="J2293" s="30">
        <f>IF(I2293="Fri","Ja","")</f>
        <v/>
      </c>
      <c r="K2293" s="30">
        <f>IF(B2293="","",IF(L2293="","Ukjent tekniker",IF(ISNA(MATCH(C2293,Aktiviteter,0)),"Ukjent aktivitet",IF(AND(INDEX(AktRolle,MATCH(C2293,Aktiviteter,0))&amp;""&lt;&gt;"",ISERROR(SEARCH(INDEX(AktRolle,MATCH(C2293,Aktiviteter,0))&amp;"",INDEX(TekRoller,MATCH(B2293,Teknikere,0))))),"Mangler rollen "&amp;INDEX(AktRolle,MATCH(C2293,Aktiviteter,0))&amp;"",IF(AND(C2293="LMS",F2293&gt;0,OR(D2293="",E2293="")),"Mangler maskin eller arbeid",IF(AND(OR(C2293="LMS",C2293="Mod"),D2293&lt;&gt;""),IF(IFERROR(INDEX(MaskinStatus,MATCH(D2293,Maskiner,0)),"")="I dokk","","Maskinen er ikke i dokk"),""))))))</f>
        <v/>
      </c>
      <c r="L2293" s="2">
        <f>IF(B2293="","",IFERROR(INT((MATCH(B2293,Teknikere,0)-1)/18)+1,""))</f>
        <v/>
      </c>
      <c r="M2293" s="2">
        <f>IF(OR(A2293="",B2293=""),"",B2293&amp;"|"&amp;A2293)</f>
        <v/>
      </c>
      <c r="N2293" s="2">
        <f>IF(M2293="","",SUMIFS(TF_Timer,TF_Nokkel,M2293,TF_Akt,C2293))</f>
        <v/>
      </c>
      <c r="O2293" s="2">
        <f>IF(M2293="","",IF(AND(N2293=_xlfn.MAXIFS(TF_AktSum,TF_Nokkel,M2293),COUNTIFS(M$3:M2292,M2293,N$3:N2292,N2293)=0),M2293,""))</f>
        <v/>
      </c>
    </row>
    <row r="2294">
      <c r="A2294" s="34" t="n"/>
      <c r="B2294" s="35" t="n"/>
      <c r="C2294" s="35" t="n"/>
      <c r="D2294" s="35" t="n"/>
      <c r="E2294" s="35" t="n"/>
      <c r="F2294" s="36" t="n"/>
      <c r="G2294" s="35" t="n"/>
      <c r="H2294" s="30">
        <f>IF(L2294="","",INDEX(SkiftNavn,L2294))</f>
        <v/>
      </c>
      <c r="I2294" s="30">
        <f>IF(OR(A2294="",L2294=""),"",IF(MOD(A2294-INDEX(SkiftStart,L2294),Syklus)&lt;DagK,"Kveld",IF(MOD(A2294-INDEX(SkiftStart,L2294),Syklus)&lt;DagK+DagH,"Helg",IF(MOD(A2294-INDEX(SkiftStart,L2294),Syklus)&lt;DagK+DagH+DagD,"Dag","Fri"))))</f>
        <v/>
      </c>
      <c r="J2294" s="30">
        <f>IF(I2294="Fri","Ja","")</f>
        <v/>
      </c>
      <c r="K2294" s="30">
        <f>IF(B2294="","",IF(L2294="","Ukjent tekniker",IF(ISNA(MATCH(C2294,Aktiviteter,0)),"Ukjent aktivitet",IF(AND(INDEX(AktRolle,MATCH(C2294,Aktiviteter,0))&amp;""&lt;&gt;"",ISERROR(SEARCH(INDEX(AktRolle,MATCH(C2294,Aktiviteter,0))&amp;"",INDEX(TekRoller,MATCH(B2294,Teknikere,0))))),"Mangler rollen "&amp;INDEX(AktRolle,MATCH(C2294,Aktiviteter,0))&amp;"",IF(AND(C2294="LMS",F2294&gt;0,OR(D2294="",E2294="")),"Mangler maskin eller arbeid",IF(AND(OR(C2294="LMS",C2294="Mod"),D2294&lt;&gt;""),IF(IFERROR(INDEX(MaskinStatus,MATCH(D2294,Maskiner,0)),"")="I dokk","","Maskinen er ikke i dokk"),""))))))</f>
        <v/>
      </c>
      <c r="L2294" s="2">
        <f>IF(B2294="","",IFERROR(INT((MATCH(B2294,Teknikere,0)-1)/18)+1,""))</f>
        <v/>
      </c>
      <c r="M2294" s="2">
        <f>IF(OR(A2294="",B2294=""),"",B2294&amp;"|"&amp;A2294)</f>
        <v/>
      </c>
      <c r="N2294" s="2">
        <f>IF(M2294="","",SUMIFS(TF_Timer,TF_Nokkel,M2294,TF_Akt,C2294))</f>
        <v/>
      </c>
      <c r="O2294" s="2">
        <f>IF(M2294="","",IF(AND(N2294=_xlfn.MAXIFS(TF_AktSum,TF_Nokkel,M2294),COUNTIFS(M$3:M2293,M2294,N$3:N2293,N2294)=0),M2294,""))</f>
        <v/>
      </c>
    </row>
    <row r="2295">
      <c r="A2295" s="34" t="n"/>
      <c r="B2295" s="35" t="n"/>
      <c r="C2295" s="35" t="n"/>
      <c r="D2295" s="35" t="n"/>
      <c r="E2295" s="35" t="n"/>
      <c r="F2295" s="36" t="n"/>
      <c r="G2295" s="35" t="n"/>
      <c r="H2295" s="30">
        <f>IF(L2295="","",INDEX(SkiftNavn,L2295))</f>
        <v/>
      </c>
      <c r="I2295" s="30">
        <f>IF(OR(A2295="",L2295=""),"",IF(MOD(A2295-INDEX(SkiftStart,L2295),Syklus)&lt;DagK,"Kveld",IF(MOD(A2295-INDEX(SkiftStart,L2295),Syklus)&lt;DagK+DagH,"Helg",IF(MOD(A2295-INDEX(SkiftStart,L2295),Syklus)&lt;DagK+DagH+DagD,"Dag","Fri"))))</f>
        <v/>
      </c>
      <c r="J2295" s="30">
        <f>IF(I2295="Fri","Ja","")</f>
        <v/>
      </c>
      <c r="K2295" s="30">
        <f>IF(B2295="","",IF(L2295="","Ukjent tekniker",IF(ISNA(MATCH(C2295,Aktiviteter,0)),"Ukjent aktivitet",IF(AND(INDEX(AktRolle,MATCH(C2295,Aktiviteter,0))&amp;""&lt;&gt;"",ISERROR(SEARCH(INDEX(AktRolle,MATCH(C2295,Aktiviteter,0))&amp;"",INDEX(TekRoller,MATCH(B2295,Teknikere,0))))),"Mangler rollen "&amp;INDEX(AktRolle,MATCH(C2295,Aktiviteter,0))&amp;"",IF(AND(C2295="LMS",F2295&gt;0,OR(D2295="",E2295="")),"Mangler maskin eller arbeid",IF(AND(OR(C2295="LMS",C2295="Mod"),D2295&lt;&gt;""),IF(IFERROR(INDEX(MaskinStatus,MATCH(D2295,Maskiner,0)),"")="I dokk","","Maskinen er ikke i dokk"),""))))))</f>
        <v/>
      </c>
      <c r="L2295" s="2">
        <f>IF(B2295="","",IFERROR(INT((MATCH(B2295,Teknikere,0)-1)/18)+1,""))</f>
        <v/>
      </c>
      <c r="M2295" s="2">
        <f>IF(OR(A2295="",B2295=""),"",B2295&amp;"|"&amp;A2295)</f>
        <v/>
      </c>
      <c r="N2295" s="2">
        <f>IF(M2295="","",SUMIFS(TF_Timer,TF_Nokkel,M2295,TF_Akt,C2295))</f>
        <v/>
      </c>
      <c r="O2295" s="2">
        <f>IF(M2295="","",IF(AND(N2295=_xlfn.MAXIFS(TF_AktSum,TF_Nokkel,M2295),COUNTIFS(M$3:M2294,M2295,N$3:N2294,N2295)=0),M2295,""))</f>
        <v/>
      </c>
    </row>
    <row r="2296">
      <c r="A2296" s="34" t="n"/>
      <c r="B2296" s="35" t="n"/>
      <c r="C2296" s="35" t="n"/>
      <c r="D2296" s="35" t="n"/>
      <c r="E2296" s="35" t="n"/>
      <c r="F2296" s="36" t="n"/>
      <c r="G2296" s="35" t="n"/>
      <c r="H2296" s="30">
        <f>IF(L2296="","",INDEX(SkiftNavn,L2296))</f>
        <v/>
      </c>
      <c r="I2296" s="30">
        <f>IF(OR(A2296="",L2296=""),"",IF(MOD(A2296-INDEX(SkiftStart,L2296),Syklus)&lt;DagK,"Kveld",IF(MOD(A2296-INDEX(SkiftStart,L2296),Syklus)&lt;DagK+DagH,"Helg",IF(MOD(A2296-INDEX(SkiftStart,L2296),Syklus)&lt;DagK+DagH+DagD,"Dag","Fri"))))</f>
        <v/>
      </c>
      <c r="J2296" s="30">
        <f>IF(I2296="Fri","Ja","")</f>
        <v/>
      </c>
      <c r="K2296" s="30">
        <f>IF(B2296="","",IF(L2296="","Ukjent tekniker",IF(ISNA(MATCH(C2296,Aktiviteter,0)),"Ukjent aktivitet",IF(AND(INDEX(AktRolle,MATCH(C2296,Aktiviteter,0))&amp;""&lt;&gt;"",ISERROR(SEARCH(INDEX(AktRolle,MATCH(C2296,Aktiviteter,0))&amp;"",INDEX(TekRoller,MATCH(B2296,Teknikere,0))))),"Mangler rollen "&amp;INDEX(AktRolle,MATCH(C2296,Aktiviteter,0))&amp;"",IF(AND(C2296="LMS",F2296&gt;0,OR(D2296="",E2296="")),"Mangler maskin eller arbeid",IF(AND(OR(C2296="LMS",C2296="Mod"),D2296&lt;&gt;""),IF(IFERROR(INDEX(MaskinStatus,MATCH(D2296,Maskiner,0)),"")="I dokk","","Maskinen er ikke i dokk"),""))))))</f>
        <v/>
      </c>
      <c r="L2296" s="2">
        <f>IF(B2296="","",IFERROR(INT((MATCH(B2296,Teknikere,0)-1)/18)+1,""))</f>
        <v/>
      </c>
      <c r="M2296" s="2">
        <f>IF(OR(A2296="",B2296=""),"",B2296&amp;"|"&amp;A2296)</f>
        <v/>
      </c>
      <c r="N2296" s="2">
        <f>IF(M2296="","",SUMIFS(TF_Timer,TF_Nokkel,M2296,TF_Akt,C2296))</f>
        <v/>
      </c>
      <c r="O2296" s="2">
        <f>IF(M2296="","",IF(AND(N2296=_xlfn.MAXIFS(TF_AktSum,TF_Nokkel,M2296),COUNTIFS(M$3:M2295,M2296,N$3:N2295,N2296)=0),M2296,""))</f>
        <v/>
      </c>
    </row>
    <row r="2297">
      <c r="A2297" s="34" t="n"/>
      <c r="B2297" s="35" t="n"/>
      <c r="C2297" s="35" t="n"/>
      <c r="D2297" s="35" t="n"/>
      <c r="E2297" s="35" t="n"/>
      <c r="F2297" s="36" t="n"/>
      <c r="G2297" s="35" t="n"/>
      <c r="H2297" s="30">
        <f>IF(L2297="","",INDEX(SkiftNavn,L2297))</f>
        <v/>
      </c>
      <c r="I2297" s="30">
        <f>IF(OR(A2297="",L2297=""),"",IF(MOD(A2297-INDEX(SkiftStart,L2297),Syklus)&lt;DagK,"Kveld",IF(MOD(A2297-INDEX(SkiftStart,L2297),Syklus)&lt;DagK+DagH,"Helg",IF(MOD(A2297-INDEX(SkiftStart,L2297),Syklus)&lt;DagK+DagH+DagD,"Dag","Fri"))))</f>
        <v/>
      </c>
      <c r="J2297" s="30">
        <f>IF(I2297="Fri","Ja","")</f>
        <v/>
      </c>
      <c r="K2297" s="30">
        <f>IF(B2297="","",IF(L2297="","Ukjent tekniker",IF(ISNA(MATCH(C2297,Aktiviteter,0)),"Ukjent aktivitet",IF(AND(INDEX(AktRolle,MATCH(C2297,Aktiviteter,0))&amp;""&lt;&gt;"",ISERROR(SEARCH(INDEX(AktRolle,MATCH(C2297,Aktiviteter,0))&amp;"",INDEX(TekRoller,MATCH(B2297,Teknikere,0))))),"Mangler rollen "&amp;INDEX(AktRolle,MATCH(C2297,Aktiviteter,0))&amp;"",IF(AND(C2297="LMS",F2297&gt;0,OR(D2297="",E2297="")),"Mangler maskin eller arbeid",IF(AND(OR(C2297="LMS",C2297="Mod"),D2297&lt;&gt;""),IF(IFERROR(INDEX(MaskinStatus,MATCH(D2297,Maskiner,0)),"")="I dokk","","Maskinen er ikke i dokk"),""))))))</f>
        <v/>
      </c>
      <c r="L2297" s="2">
        <f>IF(B2297="","",IFERROR(INT((MATCH(B2297,Teknikere,0)-1)/18)+1,""))</f>
        <v/>
      </c>
      <c r="M2297" s="2">
        <f>IF(OR(A2297="",B2297=""),"",B2297&amp;"|"&amp;A2297)</f>
        <v/>
      </c>
      <c r="N2297" s="2">
        <f>IF(M2297="","",SUMIFS(TF_Timer,TF_Nokkel,M2297,TF_Akt,C2297))</f>
        <v/>
      </c>
      <c r="O2297" s="2">
        <f>IF(M2297="","",IF(AND(N2297=_xlfn.MAXIFS(TF_AktSum,TF_Nokkel,M2297),COUNTIFS(M$3:M2296,M2297,N$3:N2296,N2297)=0),M2297,""))</f>
        <v/>
      </c>
    </row>
    <row r="2298">
      <c r="A2298" s="34" t="n"/>
      <c r="B2298" s="35" t="n"/>
      <c r="C2298" s="35" t="n"/>
      <c r="D2298" s="35" t="n"/>
      <c r="E2298" s="35" t="n"/>
      <c r="F2298" s="36" t="n"/>
      <c r="G2298" s="35" t="n"/>
      <c r="H2298" s="30">
        <f>IF(L2298="","",INDEX(SkiftNavn,L2298))</f>
        <v/>
      </c>
      <c r="I2298" s="30">
        <f>IF(OR(A2298="",L2298=""),"",IF(MOD(A2298-INDEX(SkiftStart,L2298),Syklus)&lt;DagK,"Kveld",IF(MOD(A2298-INDEX(SkiftStart,L2298),Syklus)&lt;DagK+DagH,"Helg",IF(MOD(A2298-INDEX(SkiftStart,L2298),Syklus)&lt;DagK+DagH+DagD,"Dag","Fri"))))</f>
        <v/>
      </c>
      <c r="J2298" s="30">
        <f>IF(I2298="Fri","Ja","")</f>
        <v/>
      </c>
      <c r="K2298" s="30">
        <f>IF(B2298="","",IF(L2298="","Ukjent tekniker",IF(ISNA(MATCH(C2298,Aktiviteter,0)),"Ukjent aktivitet",IF(AND(INDEX(AktRolle,MATCH(C2298,Aktiviteter,0))&amp;""&lt;&gt;"",ISERROR(SEARCH(INDEX(AktRolle,MATCH(C2298,Aktiviteter,0))&amp;"",INDEX(TekRoller,MATCH(B2298,Teknikere,0))))),"Mangler rollen "&amp;INDEX(AktRolle,MATCH(C2298,Aktiviteter,0))&amp;"",IF(AND(C2298="LMS",F2298&gt;0,OR(D2298="",E2298="")),"Mangler maskin eller arbeid",IF(AND(OR(C2298="LMS",C2298="Mod"),D2298&lt;&gt;""),IF(IFERROR(INDEX(MaskinStatus,MATCH(D2298,Maskiner,0)),"")="I dokk","","Maskinen er ikke i dokk"),""))))))</f>
        <v/>
      </c>
      <c r="L2298" s="2">
        <f>IF(B2298="","",IFERROR(INT((MATCH(B2298,Teknikere,0)-1)/18)+1,""))</f>
        <v/>
      </c>
      <c r="M2298" s="2">
        <f>IF(OR(A2298="",B2298=""),"",B2298&amp;"|"&amp;A2298)</f>
        <v/>
      </c>
      <c r="N2298" s="2">
        <f>IF(M2298="","",SUMIFS(TF_Timer,TF_Nokkel,M2298,TF_Akt,C2298))</f>
        <v/>
      </c>
      <c r="O2298" s="2">
        <f>IF(M2298="","",IF(AND(N2298=_xlfn.MAXIFS(TF_AktSum,TF_Nokkel,M2298),COUNTIFS(M$3:M2297,M2298,N$3:N2297,N2298)=0),M2298,""))</f>
        <v/>
      </c>
    </row>
    <row r="2299">
      <c r="A2299" s="34" t="n"/>
      <c r="B2299" s="35" t="n"/>
      <c r="C2299" s="35" t="n"/>
      <c r="D2299" s="35" t="n"/>
      <c r="E2299" s="35" t="n"/>
      <c r="F2299" s="36" t="n"/>
      <c r="G2299" s="35" t="n"/>
      <c r="H2299" s="30">
        <f>IF(L2299="","",INDEX(SkiftNavn,L2299))</f>
        <v/>
      </c>
      <c r="I2299" s="30">
        <f>IF(OR(A2299="",L2299=""),"",IF(MOD(A2299-INDEX(SkiftStart,L2299),Syklus)&lt;DagK,"Kveld",IF(MOD(A2299-INDEX(SkiftStart,L2299),Syklus)&lt;DagK+DagH,"Helg",IF(MOD(A2299-INDEX(SkiftStart,L2299),Syklus)&lt;DagK+DagH+DagD,"Dag","Fri"))))</f>
        <v/>
      </c>
      <c r="J2299" s="30">
        <f>IF(I2299="Fri","Ja","")</f>
        <v/>
      </c>
      <c r="K2299" s="30">
        <f>IF(B2299="","",IF(L2299="","Ukjent tekniker",IF(ISNA(MATCH(C2299,Aktiviteter,0)),"Ukjent aktivitet",IF(AND(INDEX(AktRolle,MATCH(C2299,Aktiviteter,0))&amp;""&lt;&gt;"",ISERROR(SEARCH(INDEX(AktRolle,MATCH(C2299,Aktiviteter,0))&amp;"",INDEX(TekRoller,MATCH(B2299,Teknikere,0))))),"Mangler rollen "&amp;INDEX(AktRolle,MATCH(C2299,Aktiviteter,0))&amp;"",IF(AND(C2299="LMS",F2299&gt;0,OR(D2299="",E2299="")),"Mangler maskin eller arbeid",IF(AND(OR(C2299="LMS",C2299="Mod"),D2299&lt;&gt;""),IF(IFERROR(INDEX(MaskinStatus,MATCH(D2299,Maskiner,0)),"")="I dokk","","Maskinen er ikke i dokk"),""))))))</f>
        <v/>
      </c>
      <c r="L2299" s="2">
        <f>IF(B2299="","",IFERROR(INT((MATCH(B2299,Teknikere,0)-1)/18)+1,""))</f>
        <v/>
      </c>
      <c r="M2299" s="2">
        <f>IF(OR(A2299="",B2299=""),"",B2299&amp;"|"&amp;A2299)</f>
        <v/>
      </c>
      <c r="N2299" s="2">
        <f>IF(M2299="","",SUMIFS(TF_Timer,TF_Nokkel,M2299,TF_Akt,C2299))</f>
        <v/>
      </c>
      <c r="O2299" s="2">
        <f>IF(M2299="","",IF(AND(N2299=_xlfn.MAXIFS(TF_AktSum,TF_Nokkel,M2299),COUNTIFS(M$3:M2298,M2299,N$3:N2298,N2299)=0),M2299,""))</f>
        <v/>
      </c>
    </row>
    <row r="2300">
      <c r="A2300" s="34" t="n"/>
      <c r="B2300" s="35" t="n"/>
      <c r="C2300" s="35" t="n"/>
      <c r="D2300" s="35" t="n"/>
      <c r="E2300" s="35" t="n"/>
      <c r="F2300" s="36" t="n"/>
      <c r="G2300" s="35" t="n"/>
      <c r="H2300" s="30">
        <f>IF(L2300="","",INDEX(SkiftNavn,L2300))</f>
        <v/>
      </c>
      <c r="I2300" s="30">
        <f>IF(OR(A2300="",L2300=""),"",IF(MOD(A2300-INDEX(SkiftStart,L2300),Syklus)&lt;DagK,"Kveld",IF(MOD(A2300-INDEX(SkiftStart,L2300),Syklus)&lt;DagK+DagH,"Helg",IF(MOD(A2300-INDEX(SkiftStart,L2300),Syklus)&lt;DagK+DagH+DagD,"Dag","Fri"))))</f>
        <v/>
      </c>
      <c r="J2300" s="30">
        <f>IF(I2300="Fri","Ja","")</f>
        <v/>
      </c>
      <c r="K2300" s="30">
        <f>IF(B2300="","",IF(L2300="","Ukjent tekniker",IF(ISNA(MATCH(C2300,Aktiviteter,0)),"Ukjent aktivitet",IF(AND(INDEX(AktRolle,MATCH(C2300,Aktiviteter,0))&amp;""&lt;&gt;"",ISERROR(SEARCH(INDEX(AktRolle,MATCH(C2300,Aktiviteter,0))&amp;"",INDEX(TekRoller,MATCH(B2300,Teknikere,0))))),"Mangler rollen "&amp;INDEX(AktRolle,MATCH(C2300,Aktiviteter,0))&amp;"",IF(AND(C2300="LMS",F2300&gt;0,OR(D2300="",E2300="")),"Mangler maskin eller arbeid",IF(AND(OR(C2300="LMS",C2300="Mod"),D2300&lt;&gt;""),IF(IFERROR(INDEX(MaskinStatus,MATCH(D2300,Maskiner,0)),"")="I dokk","","Maskinen er ikke i dokk"),""))))))</f>
        <v/>
      </c>
      <c r="L2300" s="2">
        <f>IF(B2300="","",IFERROR(INT((MATCH(B2300,Teknikere,0)-1)/18)+1,""))</f>
        <v/>
      </c>
      <c r="M2300" s="2">
        <f>IF(OR(A2300="",B2300=""),"",B2300&amp;"|"&amp;A2300)</f>
        <v/>
      </c>
      <c r="N2300" s="2">
        <f>IF(M2300="","",SUMIFS(TF_Timer,TF_Nokkel,M2300,TF_Akt,C2300))</f>
        <v/>
      </c>
      <c r="O2300" s="2">
        <f>IF(M2300="","",IF(AND(N2300=_xlfn.MAXIFS(TF_AktSum,TF_Nokkel,M2300),COUNTIFS(M$3:M2299,M2300,N$3:N2299,N2300)=0),M2300,""))</f>
        <v/>
      </c>
    </row>
    <row r="2301">
      <c r="A2301" s="34" t="n"/>
      <c r="B2301" s="35" t="n"/>
      <c r="C2301" s="35" t="n"/>
      <c r="D2301" s="35" t="n"/>
      <c r="E2301" s="35" t="n"/>
      <c r="F2301" s="36" t="n"/>
      <c r="G2301" s="35" t="n"/>
      <c r="H2301" s="30">
        <f>IF(L2301="","",INDEX(SkiftNavn,L2301))</f>
        <v/>
      </c>
      <c r="I2301" s="30">
        <f>IF(OR(A2301="",L2301=""),"",IF(MOD(A2301-INDEX(SkiftStart,L2301),Syklus)&lt;DagK,"Kveld",IF(MOD(A2301-INDEX(SkiftStart,L2301),Syklus)&lt;DagK+DagH,"Helg",IF(MOD(A2301-INDEX(SkiftStart,L2301),Syklus)&lt;DagK+DagH+DagD,"Dag","Fri"))))</f>
        <v/>
      </c>
      <c r="J2301" s="30">
        <f>IF(I2301="Fri","Ja","")</f>
        <v/>
      </c>
      <c r="K2301" s="30">
        <f>IF(B2301="","",IF(L2301="","Ukjent tekniker",IF(ISNA(MATCH(C2301,Aktiviteter,0)),"Ukjent aktivitet",IF(AND(INDEX(AktRolle,MATCH(C2301,Aktiviteter,0))&amp;""&lt;&gt;"",ISERROR(SEARCH(INDEX(AktRolle,MATCH(C2301,Aktiviteter,0))&amp;"",INDEX(TekRoller,MATCH(B2301,Teknikere,0))))),"Mangler rollen "&amp;INDEX(AktRolle,MATCH(C2301,Aktiviteter,0))&amp;"",IF(AND(C2301="LMS",F2301&gt;0,OR(D2301="",E2301="")),"Mangler maskin eller arbeid",IF(AND(OR(C2301="LMS",C2301="Mod"),D2301&lt;&gt;""),IF(IFERROR(INDEX(MaskinStatus,MATCH(D2301,Maskiner,0)),"")="I dokk","","Maskinen er ikke i dokk"),""))))))</f>
        <v/>
      </c>
      <c r="L2301" s="2">
        <f>IF(B2301="","",IFERROR(INT((MATCH(B2301,Teknikere,0)-1)/18)+1,""))</f>
        <v/>
      </c>
      <c r="M2301" s="2">
        <f>IF(OR(A2301="",B2301=""),"",B2301&amp;"|"&amp;A2301)</f>
        <v/>
      </c>
      <c r="N2301" s="2">
        <f>IF(M2301="","",SUMIFS(TF_Timer,TF_Nokkel,M2301,TF_Akt,C2301))</f>
        <v/>
      </c>
      <c r="O2301" s="2">
        <f>IF(M2301="","",IF(AND(N2301=_xlfn.MAXIFS(TF_AktSum,TF_Nokkel,M2301),COUNTIFS(M$3:M2300,M2301,N$3:N2300,N2301)=0),M2301,""))</f>
        <v/>
      </c>
    </row>
    <row r="2302">
      <c r="A2302" s="34" t="n"/>
      <c r="B2302" s="35" t="n"/>
      <c r="C2302" s="35" t="n"/>
      <c r="D2302" s="35" t="n"/>
      <c r="E2302" s="35" t="n"/>
      <c r="F2302" s="36" t="n"/>
      <c r="G2302" s="35" t="n"/>
      <c r="H2302" s="30">
        <f>IF(L2302="","",INDEX(SkiftNavn,L2302))</f>
        <v/>
      </c>
      <c r="I2302" s="30">
        <f>IF(OR(A2302="",L2302=""),"",IF(MOD(A2302-INDEX(SkiftStart,L2302),Syklus)&lt;DagK,"Kveld",IF(MOD(A2302-INDEX(SkiftStart,L2302),Syklus)&lt;DagK+DagH,"Helg",IF(MOD(A2302-INDEX(SkiftStart,L2302),Syklus)&lt;DagK+DagH+DagD,"Dag","Fri"))))</f>
        <v/>
      </c>
      <c r="J2302" s="30">
        <f>IF(I2302="Fri","Ja","")</f>
        <v/>
      </c>
      <c r="K2302" s="30">
        <f>IF(B2302="","",IF(L2302="","Ukjent tekniker",IF(ISNA(MATCH(C2302,Aktiviteter,0)),"Ukjent aktivitet",IF(AND(INDEX(AktRolle,MATCH(C2302,Aktiviteter,0))&amp;""&lt;&gt;"",ISERROR(SEARCH(INDEX(AktRolle,MATCH(C2302,Aktiviteter,0))&amp;"",INDEX(TekRoller,MATCH(B2302,Teknikere,0))))),"Mangler rollen "&amp;INDEX(AktRolle,MATCH(C2302,Aktiviteter,0))&amp;"",IF(AND(C2302="LMS",F2302&gt;0,OR(D2302="",E2302="")),"Mangler maskin eller arbeid",IF(AND(OR(C2302="LMS",C2302="Mod"),D2302&lt;&gt;""),IF(IFERROR(INDEX(MaskinStatus,MATCH(D2302,Maskiner,0)),"")="I dokk","","Maskinen er ikke i dokk"),""))))))</f>
        <v/>
      </c>
      <c r="L2302" s="2">
        <f>IF(B2302="","",IFERROR(INT((MATCH(B2302,Teknikere,0)-1)/18)+1,""))</f>
        <v/>
      </c>
      <c r="M2302" s="2">
        <f>IF(OR(A2302="",B2302=""),"",B2302&amp;"|"&amp;A2302)</f>
        <v/>
      </c>
      <c r="N2302" s="2">
        <f>IF(M2302="","",SUMIFS(TF_Timer,TF_Nokkel,M2302,TF_Akt,C2302))</f>
        <v/>
      </c>
      <c r="O2302" s="2">
        <f>IF(M2302="","",IF(AND(N2302=_xlfn.MAXIFS(TF_AktSum,TF_Nokkel,M2302),COUNTIFS(M$3:M2301,M2302,N$3:N2301,N2302)=0),M2302,""))</f>
        <v/>
      </c>
    </row>
    <row r="2303">
      <c r="A2303" s="34" t="n"/>
      <c r="B2303" s="35" t="n"/>
      <c r="C2303" s="35" t="n"/>
      <c r="D2303" s="35" t="n"/>
      <c r="E2303" s="35" t="n"/>
      <c r="F2303" s="36" t="n"/>
      <c r="G2303" s="35" t="n"/>
      <c r="H2303" s="30">
        <f>IF(L2303="","",INDEX(SkiftNavn,L2303))</f>
        <v/>
      </c>
      <c r="I2303" s="30">
        <f>IF(OR(A2303="",L2303=""),"",IF(MOD(A2303-INDEX(SkiftStart,L2303),Syklus)&lt;DagK,"Kveld",IF(MOD(A2303-INDEX(SkiftStart,L2303),Syklus)&lt;DagK+DagH,"Helg",IF(MOD(A2303-INDEX(SkiftStart,L2303),Syklus)&lt;DagK+DagH+DagD,"Dag","Fri"))))</f>
        <v/>
      </c>
      <c r="J2303" s="30">
        <f>IF(I2303="Fri","Ja","")</f>
        <v/>
      </c>
      <c r="K2303" s="30">
        <f>IF(B2303="","",IF(L2303="","Ukjent tekniker",IF(ISNA(MATCH(C2303,Aktiviteter,0)),"Ukjent aktivitet",IF(AND(INDEX(AktRolle,MATCH(C2303,Aktiviteter,0))&amp;""&lt;&gt;"",ISERROR(SEARCH(INDEX(AktRolle,MATCH(C2303,Aktiviteter,0))&amp;"",INDEX(TekRoller,MATCH(B2303,Teknikere,0))))),"Mangler rollen "&amp;INDEX(AktRolle,MATCH(C2303,Aktiviteter,0))&amp;"",IF(AND(C2303="LMS",F2303&gt;0,OR(D2303="",E2303="")),"Mangler maskin eller arbeid",IF(AND(OR(C2303="LMS",C2303="Mod"),D2303&lt;&gt;""),IF(IFERROR(INDEX(MaskinStatus,MATCH(D2303,Maskiner,0)),"")="I dokk","","Maskinen er ikke i dokk"),""))))))</f>
        <v/>
      </c>
      <c r="L2303" s="2">
        <f>IF(B2303="","",IFERROR(INT((MATCH(B2303,Teknikere,0)-1)/18)+1,""))</f>
        <v/>
      </c>
      <c r="M2303" s="2">
        <f>IF(OR(A2303="",B2303=""),"",B2303&amp;"|"&amp;A2303)</f>
        <v/>
      </c>
      <c r="N2303" s="2">
        <f>IF(M2303="","",SUMIFS(TF_Timer,TF_Nokkel,M2303,TF_Akt,C2303))</f>
        <v/>
      </c>
      <c r="O2303" s="2">
        <f>IF(M2303="","",IF(AND(N2303=_xlfn.MAXIFS(TF_AktSum,TF_Nokkel,M2303),COUNTIFS(M$3:M2302,M2303,N$3:N2302,N2303)=0),M2303,""))</f>
        <v/>
      </c>
    </row>
    <row r="2304">
      <c r="A2304" s="34" t="n"/>
      <c r="B2304" s="35" t="n"/>
      <c r="C2304" s="35" t="n"/>
      <c r="D2304" s="35" t="n"/>
      <c r="E2304" s="35" t="n"/>
      <c r="F2304" s="36" t="n"/>
      <c r="G2304" s="35" t="n"/>
      <c r="H2304" s="30">
        <f>IF(L2304="","",INDEX(SkiftNavn,L2304))</f>
        <v/>
      </c>
      <c r="I2304" s="30">
        <f>IF(OR(A2304="",L2304=""),"",IF(MOD(A2304-INDEX(SkiftStart,L2304),Syklus)&lt;DagK,"Kveld",IF(MOD(A2304-INDEX(SkiftStart,L2304),Syklus)&lt;DagK+DagH,"Helg",IF(MOD(A2304-INDEX(SkiftStart,L2304),Syklus)&lt;DagK+DagH+DagD,"Dag","Fri"))))</f>
        <v/>
      </c>
      <c r="J2304" s="30">
        <f>IF(I2304="Fri","Ja","")</f>
        <v/>
      </c>
      <c r="K2304" s="30">
        <f>IF(B2304="","",IF(L2304="","Ukjent tekniker",IF(ISNA(MATCH(C2304,Aktiviteter,0)),"Ukjent aktivitet",IF(AND(INDEX(AktRolle,MATCH(C2304,Aktiviteter,0))&amp;""&lt;&gt;"",ISERROR(SEARCH(INDEX(AktRolle,MATCH(C2304,Aktiviteter,0))&amp;"",INDEX(TekRoller,MATCH(B2304,Teknikere,0))))),"Mangler rollen "&amp;INDEX(AktRolle,MATCH(C2304,Aktiviteter,0))&amp;"",IF(AND(C2304="LMS",F2304&gt;0,OR(D2304="",E2304="")),"Mangler maskin eller arbeid",IF(AND(OR(C2304="LMS",C2304="Mod"),D2304&lt;&gt;""),IF(IFERROR(INDEX(MaskinStatus,MATCH(D2304,Maskiner,0)),"")="I dokk","","Maskinen er ikke i dokk"),""))))))</f>
        <v/>
      </c>
      <c r="L2304" s="2">
        <f>IF(B2304="","",IFERROR(INT((MATCH(B2304,Teknikere,0)-1)/18)+1,""))</f>
        <v/>
      </c>
      <c r="M2304" s="2">
        <f>IF(OR(A2304="",B2304=""),"",B2304&amp;"|"&amp;A2304)</f>
        <v/>
      </c>
      <c r="N2304" s="2">
        <f>IF(M2304="","",SUMIFS(TF_Timer,TF_Nokkel,M2304,TF_Akt,C2304))</f>
        <v/>
      </c>
      <c r="O2304" s="2">
        <f>IF(M2304="","",IF(AND(N2304=_xlfn.MAXIFS(TF_AktSum,TF_Nokkel,M2304),COUNTIFS(M$3:M2303,M2304,N$3:N2303,N2304)=0),M2304,""))</f>
        <v/>
      </c>
    </row>
    <row r="2305">
      <c r="A2305" s="34" t="n"/>
      <c r="B2305" s="35" t="n"/>
      <c r="C2305" s="35" t="n"/>
      <c r="D2305" s="35" t="n"/>
      <c r="E2305" s="35" t="n"/>
      <c r="F2305" s="36" t="n"/>
      <c r="G2305" s="35" t="n"/>
      <c r="H2305" s="30">
        <f>IF(L2305="","",INDEX(SkiftNavn,L2305))</f>
        <v/>
      </c>
      <c r="I2305" s="30">
        <f>IF(OR(A2305="",L2305=""),"",IF(MOD(A2305-INDEX(SkiftStart,L2305),Syklus)&lt;DagK,"Kveld",IF(MOD(A2305-INDEX(SkiftStart,L2305),Syklus)&lt;DagK+DagH,"Helg",IF(MOD(A2305-INDEX(SkiftStart,L2305),Syklus)&lt;DagK+DagH+DagD,"Dag","Fri"))))</f>
        <v/>
      </c>
      <c r="J2305" s="30">
        <f>IF(I2305="Fri","Ja","")</f>
        <v/>
      </c>
      <c r="K2305" s="30">
        <f>IF(B2305="","",IF(L2305="","Ukjent tekniker",IF(ISNA(MATCH(C2305,Aktiviteter,0)),"Ukjent aktivitet",IF(AND(INDEX(AktRolle,MATCH(C2305,Aktiviteter,0))&amp;""&lt;&gt;"",ISERROR(SEARCH(INDEX(AktRolle,MATCH(C2305,Aktiviteter,0))&amp;"",INDEX(TekRoller,MATCH(B2305,Teknikere,0))))),"Mangler rollen "&amp;INDEX(AktRolle,MATCH(C2305,Aktiviteter,0))&amp;"",IF(AND(C2305="LMS",F2305&gt;0,OR(D2305="",E2305="")),"Mangler maskin eller arbeid",IF(AND(OR(C2305="LMS",C2305="Mod"),D2305&lt;&gt;""),IF(IFERROR(INDEX(MaskinStatus,MATCH(D2305,Maskiner,0)),"")="I dokk","","Maskinen er ikke i dokk"),""))))))</f>
        <v/>
      </c>
      <c r="L2305" s="2">
        <f>IF(B2305="","",IFERROR(INT((MATCH(B2305,Teknikere,0)-1)/18)+1,""))</f>
        <v/>
      </c>
      <c r="M2305" s="2">
        <f>IF(OR(A2305="",B2305=""),"",B2305&amp;"|"&amp;A2305)</f>
        <v/>
      </c>
      <c r="N2305" s="2">
        <f>IF(M2305="","",SUMIFS(TF_Timer,TF_Nokkel,M2305,TF_Akt,C2305))</f>
        <v/>
      </c>
      <c r="O2305" s="2">
        <f>IF(M2305="","",IF(AND(N2305=_xlfn.MAXIFS(TF_AktSum,TF_Nokkel,M2305),COUNTIFS(M$3:M2304,M2305,N$3:N2304,N2305)=0),M2305,""))</f>
        <v/>
      </c>
    </row>
    <row r="2306">
      <c r="A2306" s="34" t="n"/>
      <c r="B2306" s="35" t="n"/>
      <c r="C2306" s="35" t="n"/>
      <c r="D2306" s="35" t="n"/>
      <c r="E2306" s="35" t="n"/>
      <c r="F2306" s="36" t="n"/>
      <c r="G2306" s="35" t="n"/>
      <c r="H2306" s="30">
        <f>IF(L2306="","",INDEX(SkiftNavn,L2306))</f>
        <v/>
      </c>
      <c r="I2306" s="30">
        <f>IF(OR(A2306="",L2306=""),"",IF(MOD(A2306-INDEX(SkiftStart,L2306),Syklus)&lt;DagK,"Kveld",IF(MOD(A2306-INDEX(SkiftStart,L2306),Syklus)&lt;DagK+DagH,"Helg",IF(MOD(A2306-INDEX(SkiftStart,L2306),Syklus)&lt;DagK+DagH+DagD,"Dag","Fri"))))</f>
        <v/>
      </c>
      <c r="J2306" s="30">
        <f>IF(I2306="Fri","Ja","")</f>
        <v/>
      </c>
      <c r="K2306" s="30">
        <f>IF(B2306="","",IF(L2306="","Ukjent tekniker",IF(ISNA(MATCH(C2306,Aktiviteter,0)),"Ukjent aktivitet",IF(AND(INDEX(AktRolle,MATCH(C2306,Aktiviteter,0))&amp;""&lt;&gt;"",ISERROR(SEARCH(INDEX(AktRolle,MATCH(C2306,Aktiviteter,0))&amp;"",INDEX(TekRoller,MATCH(B2306,Teknikere,0))))),"Mangler rollen "&amp;INDEX(AktRolle,MATCH(C2306,Aktiviteter,0))&amp;"",IF(AND(C2306="LMS",F2306&gt;0,OR(D2306="",E2306="")),"Mangler maskin eller arbeid",IF(AND(OR(C2306="LMS",C2306="Mod"),D2306&lt;&gt;""),IF(IFERROR(INDEX(MaskinStatus,MATCH(D2306,Maskiner,0)),"")="I dokk","","Maskinen er ikke i dokk"),""))))))</f>
        <v/>
      </c>
      <c r="L2306" s="2">
        <f>IF(B2306="","",IFERROR(INT((MATCH(B2306,Teknikere,0)-1)/18)+1,""))</f>
        <v/>
      </c>
      <c r="M2306" s="2">
        <f>IF(OR(A2306="",B2306=""),"",B2306&amp;"|"&amp;A2306)</f>
        <v/>
      </c>
      <c r="N2306" s="2">
        <f>IF(M2306="","",SUMIFS(TF_Timer,TF_Nokkel,M2306,TF_Akt,C2306))</f>
        <v/>
      </c>
      <c r="O2306" s="2">
        <f>IF(M2306="","",IF(AND(N2306=_xlfn.MAXIFS(TF_AktSum,TF_Nokkel,M2306),COUNTIFS(M$3:M2305,M2306,N$3:N2305,N2306)=0),M2306,""))</f>
        <v/>
      </c>
    </row>
    <row r="2307">
      <c r="A2307" s="34" t="n"/>
      <c r="B2307" s="35" t="n"/>
      <c r="C2307" s="35" t="n"/>
      <c r="D2307" s="35" t="n"/>
      <c r="E2307" s="35" t="n"/>
      <c r="F2307" s="36" t="n"/>
      <c r="G2307" s="35" t="n"/>
      <c r="H2307" s="30">
        <f>IF(L2307="","",INDEX(SkiftNavn,L2307))</f>
        <v/>
      </c>
      <c r="I2307" s="30">
        <f>IF(OR(A2307="",L2307=""),"",IF(MOD(A2307-INDEX(SkiftStart,L2307),Syklus)&lt;DagK,"Kveld",IF(MOD(A2307-INDEX(SkiftStart,L2307),Syklus)&lt;DagK+DagH,"Helg",IF(MOD(A2307-INDEX(SkiftStart,L2307),Syklus)&lt;DagK+DagH+DagD,"Dag","Fri"))))</f>
        <v/>
      </c>
      <c r="J2307" s="30">
        <f>IF(I2307="Fri","Ja","")</f>
        <v/>
      </c>
      <c r="K2307" s="30">
        <f>IF(B2307="","",IF(L2307="","Ukjent tekniker",IF(ISNA(MATCH(C2307,Aktiviteter,0)),"Ukjent aktivitet",IF(AND(INDEX(AktRolle,MATCH(C2307,Aktiviteter,0))&amp;""&lt;&gt;"",ISERROR(SEARCH(INDEX(AktRolle,MATCH(C2307,Aktiviteter,0))&amp;"",INDEX(TekRoller,MATCH(B2307,Teknikere,0))))),"Mangler rollen "&amp;INDEX(AktRolle,MATCH(C2307,Aktiviteter,0))&amp;"",IF(AND(C2307="LMS",F2307&gt;0,OR(D2307="",E2307="")),"Mangler maskin eller arbeid",IF(AND(OR(C2307="LMS",C2307="Mod"),D2307&lt;&gt;""),IF(IFERROR(INDEX(MaskinStatus,MATCH(D2307,Maskiner,0)),"")="I dokk","","Maskinen er ikke i dokk"),""))))))</f>
        <v/>
      </c>
      <c r="L2307" s="2">
        <f>IF(B2307="","",IFERROR(INT((MATCH(B2307,Teknikere,0)-1)/18)+1,""))</f>
        <v/>
      </c>
      <c r="M2307" s="2">
        <f>IF(OR(A2307="",B2307=""),"",B2307&amp;"|"&amp;A2307)</f>
        <v/>
      </c>
      <c r="N2307" s="2">
        <f>IF(M2307="","",SUMIFS(TF_Timer,TF_Nokkel,M2307,TF_Akt,C2307))</f>
        <v/>
      </c>
      <c r="O2307" s="2">
        <f>IF(M2307="","",IF(AND(N2307=_xlfn.MAXIFS(TF_AktSum,TF_Nokkel,M2307),COUNTIFS(M$3:M2306,M2307,N$3:N2306,N2307)=0),M2307,""))</f>
        <v/>
      </c>
    </row>
    <row r="2308">
      <c r="A2308" s="34" t="n"/>
      <c r="B2308" s="35" t="n"/>
      <c r="C2308" s="35" t="n"/>
      <c r="D2308" s="35" t="n"/>
      <c r="E2308" s="35" t="n"/>
      <c r="F2308" s="36" t="n"/>
      <c r="G2308" s="35" t="n"/>
      <c r="H2308" s="30">
        <f>IF(L2308="","",INDEX(SkiftNavn,L2308))</f>
        <v/>
      </c>
      <c r="I2308" s="30">
        <f>IF(OR(A2308="",L2308=""),"",IF(MOD(A2308-INDEX(SkiftStart,L2308),Syklus)&lt;DagK,"Kveld",IF(MOD(A2308-INDEX(SkiftStart,L2308),Syklus)&lt;DagK+DagH,"Helg",IF(MOD(A2308-INDEX(SkiftStart,L2308),Syklus)&lt;DagK+DagH+DagD,"Dag","Fri"))))</f>
        <v/>
      </c>
      <c r="J2308" s="30">
        <f>IF(I2308="Fri","Ja","")</f>
        <v/>
      </c>
      <c r="K2308" s="30">
        <f>IF(B2308="","",IF(L2308="","Ukjent tekniker",IF(ISNA(MATCH(C2308,Aktiviteter,0)),"Ukjent aktivitet",IF(AND(INDEX(AktRolle,MATCH(C2308,Aktiviteter,0))&amp;""&lt;&gt;"",ISERROR(SEARCH(INDEX(AktRolle,MATCH(C2308,Aktiviteter,0))&amp;"",INDEX(TekRoller,MATCH(B2308,Teknikere,0))))),"Mangler rollen "&amp;INDEX(AktRolle,MATCH(C2308,Aktiviteter,0))&amp;"",IF(AND(C2308="LMS",F2308&gt;0,OR(D2308="",E2308="")),"Mangler maskin eller arbeid",IF(AND(OR(C2308="LMS",C2308="Mod"),D2308&lt;&gt;""),IF(IFERROR(INDEX(MaskinStatus,MATCH(D2308,Maskiner,0)),"")="I dokk","","Maskinen er ikke i dokk"),""))))))</f>
        <v/>
      </c>
      <c r="L2308" s="2">
        <f>IF(B2308="","",IFERROR(INT((MATCH(B2308,Teknikere,0)-1)/18)+1,""))</f>
        <v/>
      </c>
      <c r="M2308" s="2">
        <f>IF(OR(A2308="",B2308=""),"",B2308&amp;"|"&amp;A2308)</f>
        <v/>
      </c>
      <c r="N2308" s="2">
        <f>IF(M2308="","",SUMIFS(TF_Timer,TF_Nokkel,M2308,TF_Akt,C2308))</f>
        <v/>
      </c>
      <c r="O2308" s="2">
        <f>IF(M2308="","",IF(AND(N2308=_xlfn.MAXIFS(TF_AktSum,TF_Nokkel,M2308),COUNTIFS(M$3:M2307,M2308,N$3:N2307,N2308)=0),M2308,""))</f>
        <v/>
      </c>
    </row>
    <row r="2309">
      <c r="A2309" s="34" t="n"/>
      <c r="B2309" s="35" t="n"/>
      <c r="C2309" s="35" t="n"/>
      <c r="D2309" s="35" t="n"/>
      <c r="E2309" s="35" t="n"/>
      <c r="F2309" s="36" t="n"/>
      <c r="G2309" s="35" t="n"/>
      <c r="H2309" s="30">
        <f>IF(L2309="","",INDEX(SkiftNavn,L2309))</f>
        <v/>
      </c>
      <c r="I2309" s="30">
        <f>IF(OR(A2309="",L2309=""),"",IF(MOD(A2309-INDEX(SkiftStart,L2309),Syklus)&lt;DagK,"Kveld",IF(MOD(A2309-INDEX(SkiftStart,L2309),Syklus)&lt;DagK+DagH,"Helg",IF(MOD(A2309-INDEX(SkiftStart,L2309),Syklus)&lt;DagK+DagH+DagD,"Dag","Fri"))))</f>
        <v/>
      </c>
      <c r="J2309" s="30">
        <f>IF(I2309="Fri","Ja","")</f>
        <v/>
      </c>
      <c r="K2309" s="30">
        <f>IF(B2309="","",IF(L2309="","Ukjent tekniker",IF(ISNA(MATCH(C2309,Aktiviteter,0)),"Ukjent aktivitet",IF(AND(INDEX(AktRolle,MATCH(C2309,Aktiviteter,0))&amp;""&lt;&gt;"",ISERROR(SEARCH(INDEX(AktRolle,MATCH(C2309,Aktiviteter,0))&amp;"",INDEX(TekRoller,MATCH(B2309,Teknikere,0))))),"Mangler rollen "&amp;INDEX(AktRolle,MATCH(C2309,Aktiviteter,0))&amp;"",IF(AND(C2309="LMS",F2309&gt;0,OR(D2309="",E2309="")),"Mangler maskin eller arbeid",IF(AND(OR(C2309="LMS",C2309="Mod"),D2309&lt;&gt;""),IF(IFERROR(INDEX(MaskinStatus,MATCH(D2309,Maskiner,0)),"")="I dokk","","Maskinen er ikke i dokk"),""))))))</f>
        <v/>
      </c>
      <c r="L2309" s="2">
        <f>IF(B2309="","",IFERROR(INT((MATCH(B2309,Teknikere,0)-1)/18)+1,""))</f>
        <v/>
      </c>
      <c r="M2309" s="2">
        <f>IF(OR(A2309="",B2309=""),"",B2309&amp;"|"&amp;A2309)</f>
        <v/>
      </c>
      <c r="N2309" s="2">
        <f>IF(M2309="","",SUMIFS(TF_Timer,TF_Nokkel,M2309,TF_Akt,C2309))</f>
        <v/>
      </c>
      <c r="O2309" s="2">
        <f>IF(M2309="","",IF(AND(N2309=_xlfn.MAXIFS(TF_AktSum,TF_Nokkel,M2309),COUNTIFS(M$3:M2308,M2309,N$3:N2308,N2309)=0),M2309,""))</f>
        <v/>
      </c>
    </row>
    <row r="2310">
      <c r="A2310" s="34" t="n"/>
      <c r="B2310" s="35" t="n"/>
      <c r="C2310" s="35" t="n"/>
      <c r="D2310" s="35" t="n"/>
      <c r="E2310" s="35" t="n"/>
      <c r="F2310" s="36" t="n"/>
      <c r="G2310" s="35" t="n"/>
      <c r="H2310" s="30">
        <f>IF(L2310="","",INDEX(SkiftNavn,L2310))</f>
        <v/>
      </c>
      <c r="I2310" s="30">
        <f>IF(OR(A2310="",L2310=""),"",IF(MOD(A2310-INDEX(SkiftStart,L2310),Syklus)&lt;DagK,"Kveld",IF(MOD(A2310-INDEX(SkiftStart,L2310),Syklus)&lt;DagK+DagH,"Helg",IF(MOD(A2310-INDEX(SkiftStart,L2310),Syklus)&lt;DagK+DagH+DagD,"Dag","Fri"))))</f>
        <v/>
      </c>
      <c r="J2310" s="30">
        <f>IF(I2310="Fri","Ja","")</f>
        <v/>
      </c>
      <c r="K2310" s="30">
        <f>IF(B2310="","",IF(L2310="","Ukjent tekniker",IF(ISNA(MATCH(C2310,Aktiviteter,0)),"Ukjent aktivitet",IF(AND(INDEX(AktRolle,MATCH(C2310,Aktiviteter,0))&amp;""&lt;&gt;"",ISERROR(SEARCH(INDEX(AktRolle,MATCH(C2310,Aktiviteter,0))&amp;"",INDEX(TekRoller,MATCH(B2310,Teknikere,0))))),"Mangler rollen "&amp;INDEX(AktRolle,MATCH(C2310,Aktiviteter,0))&amp;"",IF(AND(C2310="LMS",F2310&gt;0,OR(D2310="",E2310="")),"Mangler maskin eller arbeid",IF(AND(OR(C2310="LMS",C2310="Mod"),D2310&lt;&gt;""),IF(IFERROR(INDEX(MaskinStatus,MATCH(D2310,Maskiner,0)),"")="I dokk","","Maskinen er ikke i dokk"),""))))))</f>
        <v/>
      </c>
      <c r="L2310" s="2">
        <f>IF(B2310="","",IFERROR(INT((MATCH(B2310,Teknikere,0)-1)/18)+1,""))</f>
        <v/>
      </c>
      <c r="M2310" s="2">
        <f>IF(OR(A2310="",B2310=""),"",B2310&amp;"|"&amp;A2310)</f>
        <v/>
      </c>
      <c r="N2310" s="2">
        <f>IF(M2310="","",SUMIFS(TF_Timer,TF_Nokkel,M2310,TF_Akt,C2310))</f>
        <v/>
      </c>
      <c r="O2310" s="2">
        <f>IF(M2310="","",IF(AND(N2310=_xlfn.MAXIFS(TF_AktSum,TF_Nokkel,M2310),COUNTIFS(M$3:M2309,M2310,N$3:N2309,N2310)=0),M2310,""))</f>
        <v/>
      </c>
    </row>
    <row r="2311">
      <c r="A2311" s="34" t="n"/>
      <c r="B2311" s="35" t="n"/>
      <c r="C2311" s="35" t="n"/>
      <c r="D2311" s="35" t="n"/>
      <c r="E2311" s="35" t="n"/>
      <c r="F2311" s="36" t="n"/>
      <c r="G2311" s="35" t="n"/>
      <c r="H2311" s="30">
        <f>IF(L2311="","",INDEX(SkiftNavn,L2311))</f>
        <v/>
      </c>
      <c r="I2311" s="30">
        <f>IF(OR(A2311="",L2311=""),"",IF(MOD(A2311-INDEX(SkiftStart,L2311),Syklus)&lt;DagK,"Kveld",IF(MOD(A2311-INDEX(SkiftStart,L2311),Syklus)&lt;DagK+DagH,"Helg",IF(MOD(A2311-INDEX(SkiftStart,L2311),Syklus)&lt;DagK+DagH+DagD,"Dag","Fri"))))</f>
        <v/>
      </c>
      <c r="J2311" s="30">
        <f>IF(I2311="Fri","Ja","")</f>
        <v/>
      </c>
      <c r="K2311" s="30">
        <f>IF(B2311="","",IF(L2311="","Ukjent tekniker",IF(ISNA(MATCH(C2311,Aktiviteter,0)),"Ukjent aktivitet",IF(AND(INDEX(AktRolle,MATCH(C2311,Aktiviteter,0))&amp;""&lt;&gt;"",ISERROR(SEARCH(INDEX(AktRolle,MATCH(C2311,Aktiviteter,0))&amp;"",INDEX(TekRoller,MATCH(B2311,Teknikere,0))))),"Mangler rollen "&amp;INDEX(AktRolle,MATCH(C2311,Aktiviteter,0))&amp;"",IF(AND(C2311="LMS",F2311&gt;0,OR(D2311="",E2311="")),"Mangler maskin eller arbeid",IF(AND(OR(C2311="LMS",C2311="Mod"),D2311&lt;&gt;""),IF(IFERROR(INDEX(MaskinStatus,MATCH(D2311,Maskiner,0)),"")="I dokk","","Maskinen er ikke i dokk"),""))))))</f>
        <v/>
      </c>
      <c r="L2311" s="2">
        <f>IF(B2311="","",IFERROR(INT((MATCH(B2311,Teknikere,0)-1)/18)+1,""))</f>
        <v/>
      </c>
      <c r="M2311" s="2">
        <f>IF(OR(A2311="",B2311=""),"",B2311&amp;"|"&amp;A2311)</f>
        <v/>
      </c>
      <c r="N2311" s="2">
        <f>IF(M2311="","",SUMIFS(TF_Timer,TF_Nokkel,M2311,TF_Akt,C2311))</f>
        <v/>
      </c>
      <c r="O2311" s="2">
        <f>IF(M2311="","",IF(AND(N2311=_xlfn.MAXIFS(TF_AktSum,TF_Nokkel,M2311),COUNTIFS(M$3:M2310,M2311,N$3:N2310,N2311)=0),M2311,""))</f>
        <v/>
      </c>
    </row>
    <row r="2312">
      <c r="A2312" s="34" t="n"/>
      <c r="B2312" s="35" t="n"/>
      <c r="C2312" s="35" t="n"/>
      <c r="D2312" s="35" t="n"/>
      <c r="E2312" s="35" t="n"/>
      <c r="F2312" s="36" t="n"/>
      <c r="G2312" s="35" t="n"/>
      <c r="H2312" s="30">
        <f>IF(L2312="","",INDEX(SkiftNavn,L2312))</f>
        <v/>
      </c>
      <c r="I2312" s="30">
        <f>IF(OR(A2312="",L2312=""),"",IF(MOD(A2312-INDEX(SkiftStart,L2312),Syklus)&lt;DagK,"Kveld",IF(MOD(A2312-INDEX(SkiftStart,L2312),Syklus)&lt;DagK+DagH,"Helg",IF(MOD(A2312-INDEX(SkiftStart,L2312),Syklus)&lt;DagK+DagH+DagD,"Dag","Fri"))))</f>
        <v/>
      </c>
      <c r="J2312" s="30">
        <f>IF(I2312="Fri","Ja","")</f>
        <v/>
      </c>
      <c r="K2312" s="30">
        <f>IF(B2312="","",IF(L2312="","Ukjent tekniker",IF(ISNA(MATCH(C2312,Aktiviteter,0)),"Ukjent aktivitet",IF(AND(INDEX(AktRolle,MATCH(C2312,Aktiviteter,0))&amp;""&lt;&gt;"",ISERROR(SEARCH(INDEX(AktRolle,MATCH(C2312,Aktiviteter,0))&amp;"",INDEX(TekRoller,MATCH(B2312,Teknikere,0))))),"Mangler rollen "&amp;INDEX(AktRolle,MATCH(C2312,Aktiviteter,0))&amp;"",IF(AND(C2312="LMS",F2312&gt;0,OR(D2312="",E2312="")),"Mangler maskin eller arbeid",IF(AND(OR(C2312="LMS",C2312="Mod"),D2312&lt;&gt;""),IF(IFERROR(INDEX(MaskinStatus,MATCH(D2312,Maskiner,0)),"")="I dokk","","Maskinen er ikke i dokk"),""))))))</f>
        <v/>
      </c>
      <c r="L2312" s="2">
        <f>IF(B2312="","",IFERROR(INT((MATCH(B2312,Teknikere,0)-1)/18)+1,""))</f>
        <v/>
      </c>
      <c r="M2312" s="2">
        <f>IF(OR(A2312="",B2312=""),"",B2312&amp;"|"&amp;A2312)</f>
        <v/>
      </c>
      <c r="N2312" s="2">
        <f>IF(M2312="","",SUMIFS(TF_Timer,TF_Nokkel,M2312,TF_Akt,C2312))</f>
        <v/>
      </c>
      <c r="O2312" s="2">
        <f>IF(M2312="","",IF(AND(N2312=_xlfn.MAXIFS(TF_AktSum,TF_Nokkel,M2312),COUNTIFS(M$3:M2311,M2312,N$3:N2311,N2312)=0),M2312,""))</f>
        <v/>
      </c>
    </row>
    <row r="2313">
      <c r="A2313" s="34" t="n"/>
      <c r="B2313" s="35" t="n"/>
      <c r="C2313" s="35" t="n"/>
      <c r="D2313" s="35" t="n"/>
      <c r="E2313" s="35" t="n"/>
      <c r="F2313" s="36" t="n"/>
      <c r="G2313" s="35" t="n"/>
      <c r="H2313" s="30">
        <f>IF(L2313="","",INDEX(SkiftNavn,L2313))</f>
        <v/>
      </c>
      <c r="I2313" s="30">
        <f>IF(OR(A2313="",L2313=""),"",IF(MOD(A2313-INDEX(SkiftStart,L2313),Syklus)&lt;DagK,"Kveld",IF(MOD(A2313-INDEX(SkiftStart,L2313),Syklus)&lt;DagK+DagH,"Helg",IF(MOD(A2313-INDEX(SkiftStart,L2313),Syklus)&lt;DagK+DagH+DagD,"Dag","Fri"))))</f>
        <v/>
      </c>
      <c r="J2313" s="30">
        <f>IF(I2313="Fri","Ja","")</f>
        <v/>
      </c>
      <c r="K2313" s="30">
        <f>IF(B2313="","",IF(L2313="","Ukjent tekniker",IF(ISNA(MATCH(C2313,Aktiviteter,0)),"Ukjent aktivitet",IF(AND(INDEX(AktRolle,MATCH(C2313,Aktiviteter,0))&amp;""&lt;&gt;"",ISERROR(SEARCH(INDEX(AktRolle,MATCH(C2313,Aktiviteter,0))&amp;"",INDEX(TekRoller,MATCH(B2313,Teknikere,0))))),"Mangler rollen "&amp;INDEX(AktRolle,MATCH(C2313,Aktiviteter,0))&amp;"",IF(AND(C2313="LMS",F2313&gt;0,OR(D2313="",E2313="")),"Mangler maskin eller arbeid",IF(AND(OR(C2313="LMS",C2313="Mod"),D2313&lt;&gt;""),IF(IFERROR(INDEX(MaskinStatus,MATCH(D2313,Maskiner,0)),"")="I dokk","","Maskinen er ikke i dokk"),""))))))</f>
        <v/>
      </c>
      <c r="L2313" s="2">
        <f>IF(B2313="","",IFERROR(INT((MATCH(B2313,Teknikere,0)-1)/18)+1,""))</f>
        <v/>
      </c>
      <c r="M2313" s="2">
        <f>IF(OR(A2313="",B2313=""),"",B2313&amp;"|"&amp;A2313)</f>
        <v/>
      </c>
      <c r="N2313" s="2">
        <f>IF(M2313="","",SUMIFS(TF_Timer,TF_Nokkel,M2313,TF_Akt,C2313))</f>
        <v/>
      </c>
      <c r="O2313" s="2">
        <f>IF(M2313="","",IF(AND(N2313=_xlfn.MAXIFS(TF_AktSum,TF_Nokkel,M2313),COUNTIFS(M$3:M2312,M2313,N$3:N2312,N2313)=0),M2313,""))</f>
        <v/>
      </c>
    </row>
    <row r="2314">
      <c r="A2314" s="34" t="n"/>
      <c r="B2314" s="35" t="n"/>
      <c r="C2314" s="35" t="n"/>
      <c r="D2314" s="35" t="n"/>
      <c r="E2314" s="35" t="n"/>
      <c r="F2314" s="36" t="n"/>
      <c r="G2314" s="35" t="n"/>
      <c r="H2314" s="30">
        <f>IF(L2314="","",INDEX(SkiftNavn,L2314))</f>
        <v/>
      </c>
      <c r="I2314" s="30">
        <f>IF(OR(A2314="",L2314=""),"",IF(MOD(A2314-INDEX(SkiftStart,L2314),Syklus)&lt;DagK,"Kveld",IF(MOD(A2314-INDEX(SkiftStart,L2314),Syklus)&lt;DagK+DagH,"Helg",IF(MOD(A2314-INDEX(SkiftStart,L2314),Syklus)&lt;DagK+DagH+DagD,"Dag","Fri"))))</f>
        <v/>
      </c>
      <c r="J2314" s="30">
        <f>IF(I2314="Fri","Ja","")</f>
        <v/>
      </c>
      <c r="K2314" s="30">
        <f>IF(B2314="","",IF(L2314="","Ukjent tekniker",IF(ISNA(MATCH(C2314,Aktiviteter,0)),"Ukjent aktivitet",IF(AND(INDEX(AktRolle,MATCH(C2314,Aktiviteter,0))&amp;""&lt;&gt;"",ISERROR(SEARCH(INDEX(AktRolle,MATCH(C2314,Aktiviteter,0))&amp;"",INDEX(TekRoller,MATCH(B2314,Teknikere,0))))),"Mangler rollen "&amp;INDEX(AktRolle,MATCH(C2314,Aktiviteter,0))&amp;"",IF(AND(C2314="LMS",F2314&gt;0,OR(D2314="",E2314="")),"Mangler maskin eller arbeid",IF(AND(OR(C2314="LMS",C2314="Mod"),D2314&lt;&gt;""),IF(IFERROR(INDEX(MaskinStatus,MATCH(D2314,Maskiner,0)),"")="I dokk","","Maskinen er ikke i dokk"),""))))))</f>
        <v/>
      </c>
      <c r="L2314" s="2">
        <f>IF(B2314="","",IFERROR(INT((MATCH(B2314,Teknikere,0)-1)/18)+1,""))</f>
        <v/>
      </c>
      <c r="M2314" s="2">
        <f>IF(OR(A2314="",B2314=""),"",B2314&amp;"|"&amp;A2314)</f>
        <v/>
      </c>
      <c r="N2314" s="2">
        <f>IF(M2314="","",SUMIFS(TF_Timer,TF_Nokkel,M2314,TF_Akt,C2314))</f>
        <v/>
      </c>
      <c r="O2314" s="2">
        <f>IF(M2314="","",IF(AND(N2314=_xlfn.MAXIFS(TF_AktSum,TF_Nokkel,M2314),COUNTIFS(M$3:M2313,M2314,N$3:N2313,N2314)=0),M2314,""))</f>
        <v/>
      </c>
    </row>
    <row r="2315">
      <c r="A2315" s="34" t="n"/>
      <c r="B2315" s="35" t="n"/>
      <c r="C2315" s="35" t="n"/>
      <c r="D2315" s="35" t="n"/>
      <c r="E2315" s="35" t="n"/>
      <c r="F2315" s="36" t="n"/>
      <c r="G2315" s="35" t="n"/>
      <c r="H2315" s="30">
        <f>IF(L2315="","",INDEX(SkiftNavn,L2315))</f>
        <v/>
      </c>
      <c r="I2315" s="30">
        <f>IF(OR(A2315="",L2315=""),"",IF(MOD(A2315-INDEX(SkiftStart,L2315),Syklus)&lt;DagK,"Kveld",IF(MOD(A2315-INDEX(SkiftStart,L2315),Syklus)&lt;DagK+DagH,"Helg",IF(MOD(A2315-INDEX(SkiftStart,L2315),Syklus)&lt;DagK+DagH+DagD,"Dag","Fri"))))</f>
        <v/>
      </c>
      <c r="J2315" s="30">
        <f>IF(I2315="Fri","Ja","")</f>
        <v/>
      </c>
      <c r="K2315" s="30">
        <f>IF(B2315="","",IF(L2315="","Ukjent tekniker",IF(ISNA(MATCH(C2315,Aktiviteter,0)),"Ukjent aktivitet",IF(AND(INDEX(AktRolle,MATCH(C2315,Aktiviteter,0))&amp;""&lt;&gt;"",ISERROR(SEARCH(INDEX(AktRolle,MATCH(C2315,Aktiviteter,0))&amp;"",INDEX(TekRoller,MATCH(B2315,Teknikere,0))))),"Mangler rollen "&amp;INDEX(AktRolle,MATCH(C2315,Aktiviteter,0))&amp;"",IF(AND(C2315="LMS",F2315&gt;0,OR(D2315="",E2315="")),"Mangler maskin eller arbeid",IF(AND(OR(C2315="LMS",C2315="Mod"),D2315&lt;&gt;""),IF(IFERROR(INDEX(MaskinStatus,MATCH(D2315,Maskiner,0)),"")="I dokk","","Maskinen er ikke i dokk"),""))))))</f>
        <v/>
      </c>
      <c r="L2315" s="2">
        <f>IF(B2315="","",IFERROR(INT((MATCH(B2315,Teknikere,0)-1)/18)+1,""))</f>
        <v/>
      </c>
      <c r="M2315" s="2">
        <f>IF(OR(A2315="",B2315=""),"",B2315&amp;"|"&amp;A2315)</f>
        <v/>
      </c>
      <c r="N2315" s="2">
        <f>IF(M2315="","",SUMIFS(TF_Timer,TF_Nokkel,M2315,TF_Akt,C2315))</f>
        <v/>
      </c>
      <c r="O2315" s="2">
        <f>IF(M2315="","",IF(AND(N2315=_xlfn.MAXIFS(TF_AktSum,TF_Nokkel,M2315),COUNTIFS(M$3:M2314,M2315,N$3:N2314,N2315)=0),M2315,""))</f>
        <v/>
      </c>
    </row>
    <row r="2316">
      <c r="A2316" s="34" t="n"/>
      <c r="B2316" s="35" t="n"/>
      <c r="C2316" s="35" t="n"/>
      <c r="D2316" s="35" t="n"/>
      <c r="E2316" s="35" t="n"/>
      <c r="F2316" s="36" t="n"/>
      <c r="G2316" s="35" t="n"/>
      <c r="H2316" s="30">
        <f>IF(L2316="","",INDEX(SkiftNavn,L2316))</f>
        <v/>
      </c>
      <c r="I2316" s="30">
        <f>IF(OR(A2316="",L2316=""),"",IF(MOD(A2316-INDEX(SkiftStart,L2316),Syklus)&lt;DagK,"Kveld",IF(MOD(A2316-INDEX(SkiftStart,L2316),Syklus)&lt;DagK+DagH,"Helg",IF(MOD(A2316-INDEX(SkiftStart,L2316),Syklus)&lt;DagK+DagH+DagD,"Dag","Fri"))))</f>
        <v/>
      </c>
      <c r="J2316" s="30">
        <f>IF(I2316="Fri","Ja","")</f>
        <v/>
      </c>
      <c r="K2316" s="30">
        <f>IF(B2316="","",IF(L2316="","Ukjent tekniker",IF(ISNA(MATCH(C2316,Aktiviteter,0)),"Ukjent aktivitet",IF(AND(INDEX(AktRolle,MATCH(C2316,Aktiviteter,0))&amp;""&lt;&gt;"",ISERROR(SEARCH(INDEX(AktRolle,MATCH(C2316,Aktiviteter,0))&amp;"",INDEX(TekRoller,MATCH(B2316,Teknikere,0))))),"Mangler rollen "&amp;INDEX(AktRolle,MATCH(C2316,Aktiviteter,0))&amp;"",IF(AND(C2316="LMS",F2316&gt;0,OR(D2316="",E2316="")),"Mangler maskin eller arbeid",IF(AND(OR(C2316="LMS",C2316="Mod"),D2316&lt;&gt;""),IF(IFERROR(INDEX(MaskinStatus,MATCH(D2316,Maskiner,0)),"")="I dokk","","Maskinen er ikke i dokk"),""))))))</f>
        <v/>
      </c>
      <c r="L2316" s="2">
        <f>IF(B2316="","",IFERROR(INT((MATCH(B2316,Teknikere,0)-1)/18)+1,""))</f>
        <v/>
      </c>
      <c r="M2316" s="2">
        <f>IF(OR(A2316="",B2316=""),"",B2316&amp;"|"&amp;A2316)</f>
        <v/>
      </c>
      <c r="N2316" s="2">
        <f>IF(M2316="","",SUMIFS(TF_Timer,TF_Nokkel,M2316,TF_Akt,C2316))</f>
        <v/>
      </c>
      <c r="O2316" s="2">
        <f>IF(M2316="","",IF(AND(N2316=_xlfn.MAXIFS(TF_AktSum,TF_Nokkel,M2316),COUNTIFS(M$3:M2315,M2316,N$3:N2315,N2316)=0),M2316,""))</f>
        <v/>
      </c>
    </row>
    <row r="2317">
      <c r="A2317" s="34" t="n"/>
      <c r="B2317" s="35" t="n"/>
      <c r="C2317" s="35" t="n"/>
      <c r="D2317" s="35" t="n"/>
      <c r="E2317" s="35" t="n"/>
      <c r="F2317" s="36" t="n"/>
      <c r="G2317" s="35" t="n"/>
      <c r="H2317" s="30">
        <f>IF(L2317="","",INDEX(SkiftNavn,L2317))</f>
        <v/>
      </c>
      <c r="I2317" s="30">
        <f>IF(OR(A2317="",L2317=""),"",IF(MOD(A2317-INDEX(SkiftStart,L2317),Syklus)&lt;DagK,"Kveld",IF(MOD(A2317-INDEX(SkiftStart,L2317),Syklus)&lt;DagK+DagH,"Helg",IF(MOD(A2317-INDEX(SkiftStart,L2317),Syklus)&lt;DagK+DagH+DagD,"Dag","Fri"))))</f>
        <v/>
      </c>
      <c r="J2317" s="30">
        <f>IF(I2317="Fri","Ja","")</f>
        <v/>
      </c>
      <c r="K2317" s="30">
        <f>IF(B2317="","",IF(L2317="","Ukjent tekniker",IF(ISNA(MATCH(C2317,Aktiviteter,0)),"Ukjent aktivitet",IF(AND(INDEX(AktRolle,MATCH(C2317,Aktiviteter,0))&amp;""&lt;&gt;"",ISERROR(SEARCH(INDEX(AktRolle,MATCH(C2317,Aktiviteter,0))&amp;"",INDEX(TekRoller,MATCH(B2317,Teknikere,0))))),"Mangler rollen "&amp;INDEX(AktRolle,MATCH(C2317,Aktiviteter,0))&amp;"",IF(AND(C2317="LMS",F2317&gt;0,OR(D2317="",E2317="")),"Mangler maskin eller arbeid",IF(AND(OR(C2317="LMS",C2317="Mod"),D2317&lt;&gt;""),IF(IFERROR(INDEX(MaskinStatus,MATCH(D2317,Maskiner,0)),"")="I dokk","","Maskinen er ikke i dokk"),""))))))</f>
        <v/>
      </c>
      <c r="L2317" s="2">
        <f>IF(B2317="","",IFERROR(INT((MATCH(B2317,Teknikere,0)-1)/18)+1,""))</f>
        <v/>
      </c>
      <c r="M2317" s="2">
        <f>IF(OR(A2317="",B2317=""),"",B2317&amp;"|"&amp;A2317)</f>
        <v/>
      </c>
      <c r="N2317" s="2">
        <f>IF(M2317="","",SUMIFS(TF_Timer,TF_Nokkel,M2317,TF_Akt,C2317))</f>
        <v/>
      </c>
      <c r="O2317" s="2">
        <f>IF(M2317="","",IF(AND(N2317=_xlfn.MAXIFS(TF_AktSum,TF_Nokkel,M2317),COUNTIFS(M$3:M2316,M2317,N$3:N2316,N2317)=0),M2317,""))</f>
        <v/>
      </c>
    </row>
    <row r="2318">
      <c r="A2318" s="34" t="n"/>
      <c r="B2318" s="35" t="n"/>
      <c r="C2318" s="35" t="n"/>
      <c r="D2318" s="35" t="n"/>
      <c r="E2318" s="35" t="n"/>
      <c r="F2318" s="36" t="n"/>
      <c r="G2318" s="35" t="n"/>
      <c r="H2318" s="30">
        <f>IF(L2318="","",INDEX(SkiftNavn,L2318))</f>
        <v/>
      </c>
      <c r="I2318" s="30">
        <f>IF(OR(A2318="",L2318=""),"",IF(MOD(A2318-INDEX(SkiftStart,L2318),Syklus)&lt;DagK,"Kveld",IF(MOD(A2318-INDEX(SkiftStart,L2318),Syklus)&lt;DagK+DagH,"Helg",IF(MOD(A2318-INDEX(SkiftStart,L2318),Syklus)&lt;DagK+DagH+DagD,"Dag","Fri"))))</f>
        <v/>
      </c>
      <c r="J2318" s="30">
        <f>IF(I2318="Fri","Ja","")</f>
        <v/>
      </c>
      <c r="K2318" s="30">
        <f>IF(B2318="","",IF(L2318="","Ukjent tekniker",IF(ISNA(MATCH(C2318,Aktiviteter,0)),"Ukjent aktivitet",IF(AND(INDEX(AktRolle,MATCH(C2318,Aktiviteter,0))&amp;""&lt;&gt;"",ISERROR(SEARCH(INDEX(AktRolle,MATCH(C2318,Aktiviteter,0))&amp;"",INDEX(TekRoller,MATCH(B2318,Teknikere,0))))),"Mangler rollen "&amp;INDEX(AktRolle,MATCH(C2318,Aktiviteter,0))&amp;"",IF(AND(C2318="LMS",F2318&gt;0,OR(D2318="",E2318="")),"Mangler maskin eller arbeid",IF(AND(OR(C2318="LMS",C2318="Mod"),D2318&lt;&gt;""),IF(IFERROR(INDEX(MaskinStatus,MATCH(D2318,Maskiner,0)),"")="I dokk","","Maskinen er ikke i dokk"),""))))))</f>
        <v/>
      </c>
      <c r="L2318" s="2">
        <f>IF(B2318="","",IFERROR(INT((MATCH(B2318,Teknikere,0)-1)/18)+1,""))</f>
        <v/>
      </c>
      <c r="M2318" s="2">
        <f>IF(OR(A2318="",B2318=""),"",B2318&amp;"|"&amp;A2318)</f>
        <v/>
      </c>
      <c r="N2318" s="2">
        <f>IF(M2318="","",SUMIFS(TF_Timer,TF_Nokkel,M2318,TF_Akt,C2318))</f>
        <v/>
      </c>
      <c r="O2318" s="2">
        <f>IF(M2318="","",IF(AND(N2318=_xlfn.MAXIFS(TF_AktSum,TF_Nokkel,M2318),COUNTIFS(M$3:M2317,M2318,N$3:N2317,N2318)=0),M2318,""))</f>
        <v/>
      </c>
    </row>
    <row r="2319">
      <c r="A2319" s="34" t="n"/>
      <c r="B2319" s="35" t="n"/>
      <c r="C2319" s="35" t="n"/>
      <c r="D2319" s="35" t="n"/>
      <c r="E2319" s="35" t="n"/>
      <c r="F2319" s="36" t="n"/>
      <c r="G2319" s="35" t="n"/>
      <c r="H2319" s="30">
        <f>IF(L2319="","",INDEX(SkiftNavn,L2319))</f>
        <v/>
      </c>
      <c r="I2319" s="30">
        <f>IF(OR(A2319="",L2319=""),"",IF(MOD(A2319-INDEX(SkiftStart,L2319),Syklus)&lt;DagK,"Kveld",IF(MOD(A2319-INDEX(SkiftStart,L2319),Syklus)&lt;DagK+DagH,"Helg",IF(MOD(A2319-INDEX(SkiftStart,L2319),Syklus)&lt;DagK+DagH+DagD,"Dag","Fri"))))</f>
        <v/>
      </c>
      <c r="J2319" s="30">
        <f>IF(I2319="Fri","Ja","")</f>
        <v/>
      </c>
      <c r="K2319" s="30">
        <f>IF(B2319="","",IF(L2319="","Ukjent tekniker",IF(ISNA(MATCH(C2319,Aktiviteter,0)),"Ukjent aktivitet",IF(AND(INDEX(AktRolle,MATCH(C2319,Aktiviteter,0))&amp;""&lt;&gt;"",ISERROR(SEARCH(INDEX(AktRolle,MATCH(C2319,Aktiviteter,0))&amp;"",INDEX(TekRoller,MATCH(B2319,Teknikere,0))))),"Mangler rollen "&amp;INDEX(AktRolle,MATCH(C2319,Aktiviteter,0))&amp;"",IF(AND(C2319="LMS",F2319&gt;0,OR(D2319="",E2319="")),"Mangler maskin eller arbeid",IF(AND(OR(C2319="LMS",C2319="Mod"),D2319&lt;&gt;""),IF(IFERROR(INDEX(MaskinStatus,MATCH(D2319,Maskiner,0)),"")="I dokk","","Maskinen er ikke i dokk"),""))))))</f>
        <v/>
      </c>
      <c r="L2319" s="2">
        <f>IF(B2319="","",IFERROR(INT((MATCH(B2319,Teknikere,0)-1)/18)+1,""))</f>
        <v/>
      </c>
      <c r="M2319" s="2">
        <f>IF(OR(A2319="",B2319=""),"",B2319&amp;"|"&amp;A2319)</f>
        <v/>
      </c>
      <c r="N2319" s="2">
        <f>IF(M2319="","",SUMIFS(TF_Timer,TF_Nokkel,M2319,TF_Akt,C2319))</f>
        <v/>
      </c>
      <c r="O2319" s="2">
        <f>IF(M2319="","",IF(AND(N2319=_xlfn.MAXIFS(TF_AktSum,TF_Nokkel,M2319),COUNTIFS(M$3:M2318,M2319,N$3:N2318,N2319)=0),M2319,""))</f>
        <v/>
      </c>
    </row>
    <row r="2320">
      <c r="A2320" s="34" t="n"/>
      <c r="B2320" s="35" t="n"/>
      <c r="C2320" s="35" t="n"/>
      <c r="D2320" s="35" t="n"/>
      <c r="E2320" s="35" t="n"/>
      <c r="F2320" s="36" t="n"/>
      <c r="G2320" s="35" t="n"/>
      <c r="H2320" s="30">
        <f>IF(L2320="","",INDEX(SkiftNavn,L2320))</f>
        <v/>
      </c>
      <c r="I2320" s="30">
        <f>IF(OR(A2320="",L2320=""),"",IF(MOD(A2320-INDEX(SkiftStart,L2320),Syklus)&lt;DagK,"Kveld",IF(MOD(A2320-INDEX(SkiftStart,L2320),Syklus)&lt;DagK+DagH,"Helg",IF(MOD(A2320-INDEX(SkiftStart,L2320),Syklus)&lt;DagK+DagH+DagD,"Dag","Fri"))))</f>
        <v/>
      </c>
      <c r="J2320" s="30">
        <f>IF(I2320="Fri","Ja","")</f>
        <v/>
      </c>
      <c r="K2320" s="30">
        <f>IF(B2320="","",IF(L2320="","Ukjent tekniker",IF(ISNA(MATCH(C2320,Aktiviteter,0)),"Ukjent aktivitet",IF(AND(INDEX(AktRolle,MATCH(C2320,Aktiviteter,0))&amp;""&lt;&gt;"",ISERROR(SEARCH(INDEX(AktRolle,MATCH(C2320,Aktiviteter,0))&amp;"",INDEX(TekRoller,MATCH(B2320,Teknikere,0))))),"Mangler rollen "&amp;INDEX(AktRolle,MATCH(C2320,Aktiviteter,0))&amp;"",IF(AND(C2320="LMS",F2320&gt;0,OR(D2320="",E2320="")),"Mangler maskin eller arbeid",IF(AND(OR(C2320="LMS",C2320="Mod"),D2320&lt;&gt;""),IF(IFERROR(INDEX(MaskinStatus,MATCH(D2320,Maskiner,0)),"")="I dokk","","Maskinen er ikke i dokk"),""))))))</f>
        <v/>
      </c>
      <c r="L2320" s="2">
        <f>IF(B2320="","",IFERROR(INT((MATCH(B2320,Teknikere,0)-1)/18)+1,""))</f>
        <v/>
      </c>
      <c r="M2320" s="2">
        <f>IF(OR(A2320="",B2320=""),"",B2320&amp;"|"&amp;A2320)</f>
        <v/>
      </c>
      <c r="N2320" s="2">
        <f>IF(M2320="","",SUMIFS(TF_Timer,TF_Nokkel,M2320,TF_Akt,C2320))</f>
        <v/>
      </c>
      <c r="O2320" s="2">
        <f>IF(M2320="","",IF(AND(N2320=_xlfn.MAXIFS(TF_AktSum,TF_Nokkel,M2320),COUNTIFS(M$3:M2319,M2320,N$3:N2319,N2320)=0),M2320,""))</f>
        <v/>
      </c>
    </row>
    <row r="2321">
      <c r="A2321" s="34" t="n"/>
      <c r="B2321" s="35" t="n"/>
      <c r="C2321" s="35" t="n"/>
      <c r="D2321" s="35" t="n"/>
      <c r="E2321" s="35" t="n"/>
      <c r="F2321" s="36" t="n"/>
      <c r="G2321" s="35" t="n"/>
      <c r="H2321" s="30">
        <f>IF(L2321="","",INDEX(SkiftNavn,L2321))</f>
        <v/>
      </c>
      <c r="I2321" s="30">
        <f>IF(OR(A2321="",L2321=""),"",IF(MOD(A2321-INDEX(SkiftStart,L2321),Syklus)&lt;DagK,"Kveld",IF(MOD(A2321-INDEX(SkiftStart,L2321),Syklus)&lt;DagK+DagH,"Helg",IF(MOD(A2321-INDEX(SkiftStart,L2321),Syklus)&lt;DagK+DagH+DagD,"Dag","Fri"))))</f>
        <v/>
      </c>
      <c r="J2321" s="30">
        <f>IF(I2321="Fri","Ja","")</f>
        <v/>
      </c>
      <c r="K2321" s="30">
        <f>IF(B2321="","",IF(L2321="","Ukjent tekniker",IF(ISNA(MATCH(C2321,Aktiviteter,0)),"Ukjent aktivitet",IF(AND(INDEX(AktRolle,MATCH(C2321,Aktiviteter,0))&amp;""&lt;&gt;"",ISERROR(SEARCH(INDEX(AktRolle,MATCH(C2321,Aktiviteter,0))&amp;"",INDEX(TekRoller,MATCH(B2321,Teknikere,0))))),"Mangler rollen "&amp;INDEX(AktRolle,MATCH(C2321,Aktiviteter,0))&amp;"",IF(AND(C2321="LMS",F2321&gt;0,OR(D2321="",E2321="")),"Mangler maskin eller arbeid",IF(AND(OR(C2321="LMS",C2321="Mod"),D2321&lt;&gt;""),IF(IFERROR(INDEX(MaskinStatus,MATCH(D2321,Maskiner,0)),"")="I dokk","","Maskinen er ikke i dokk"),""))))))</f>
        <v/>
      </c>
      <c r="L2321" s="2">
        <f>IF(B2321="","",IFERROR(INT((MATCH(B2321,Teknikere,0)-1)/18)+1,""))</f>
        <v/>
      </c>
      <c r="M2321" s="2">
        <f>IF(OR(A2321="",B2321=""),"",B2321&amp;"|"&amp;A2321)</f>
        <v/>
      </c>
      <c r="N2321" s="2">
        <f>IF(M2321="","",SUMIFS(TF_Timer,TF_Nokkel,M2321,TF_Akt,C2321))</f>
        <v/>
      </c>
      <c r="O2321" s="2">
        <f>IF(M2321="","",IF(AND(N2321=_xlfn.MAXIFS(TF_AktSum,TF_Nokkel,M2321),COUNTIFS(M$3:M2320,M2321,N$3:N2320,N2321)=0),M2321,""))</f>
        <v/>
      </c>
    </row>
    <row r="2322">
      <c r="A2322" s="34" t="n"/>
      <c r="B2322" s="35" t="n"/>
      <c r="C2322" s="35" t="n"/>
      <c r="D2322" s="35" t="n"/>
      <c r="E2322" s="35" t="n"/>
      <c r="F2322" s="36" t="n"/>
      <c r="G2322" s="35" t="n"/>
      <c r="H2322" s="30">
        <f>IF(L2322="","",INDEX(SkiftNavn,L2322))</f>
        <v/>
      </c>
      <c r="I2322" s="30">
        <f>IF(OR(A2322="",L2322=""),"",IF(MOD(A2322-INDEX(SkiftStart,L2322),Syklus)&lt;DagK,"Kveld",IF(MOD(A2322-INDEX(SkiftStart,L2322),Syklus)&lt;DagK+DagH,"Helg",IF(MOD(A2322-INDEX(SkiftStart,L2322),Syklus)&lt;DagK+DagH+DagD,"Dag","Fri"))))</f>
        <v/>
      </c>
      <c r="J2322" s="30">
        <f>IF(I2322="Fri","Ja","")</f>
        <v/>
      </c>
      <c r="K2322" s="30">
        <f>IF(B2322="","",IF(L2322="","Ukjent tekniker",IF(ISNA(MATCH(C2322,Aktiviteter,0)),"Ukjent aktivitet",IF(AND(INDEX(AktRolle,MATCH(C2322,Aktiviteter,0))&amp;""&lt;&gt;"",ISERROR(SEARCH(INDEX(AktRolle,MATCH(C2322,Aktiviteter,0))&amp;"",INDEX(TekRoller,MATCH(B2322,Teknikere,0))))),"Mangler rollen "&amp;INDEX(AktRolle,MATCH(C2322,Aktiviteter,0))&amp;"",IF(AND(C2322="LMS",F2322&gt;0,OR(D2322="",E2322="")),"Mangler maskin eller arbeid",IF(AND(OR(C2322="LMS",C2322="Mod"),D2322&lt;&gt;""),IF(IFERROR(INDEX(MaskinStatus,MATCH(D2322,Maskiner,0)),"")="I dokk","","Maskinen er ikke i dokk"),""))))))</f>
        <v/>
      </c>
      <c r="L2322" s="2">
        <f>IF(B2322="","",IFERROR(INT((MATCH(B2322,Teknikere,0)-1)/18)+1,""))</f>
        <v/>
      </c>
      <c r="M2322" s="2">
        <f>IF(OR(A2322="",B2322=""),"",B2322&amp;"|"&amp;A2322)</f>
        <v/>
      </c>
      <c r="N2322" s="2">
        <f>IF(M2322="","",SUMIFS(TF_Timer,TF_Nokkel,M2322,TF_Akt,C2322))</f>
        <v/>
      </c>
      <c r="O2322" s="2">
        <f>IF(M2322="","",IF(AND(N2322=_xlfn.MAXIFS(TF_AktSum,TF_Nokkel,M2322),COUNTIFS(M$3:M2321,M2322,N$3:N2321,N2322)=0),M2322,""))</f>
        <v/>
      </c>
    </row>
    <row r="2323">
      <c r="A2323" s="34" t="n"/>
      <c r="B2323" s="35" t="n"/>
      <c r="C2323" s="35" t="n"/>
      <c r="D2323" s="35" t="n"/>
      <c r="E2323" s="35" t="n"/>
      <c r="F2323" s="36" t="n"/>
      <c r="G2323" s="35" t="n"/>
      <c r="H2323" s="30">
        <f>IF(L2323="","",INDEX(SkiftNavn,L2323))</f>
        <v/>
      </c>
      <c r="I2323" s="30">
        <f>IF(OR(A2323="",L2323=""),"",IF(MOD(A2323-INDEX(SkiftStart,L2323),Syklus)&lt;DagK,"Kveld",IF(MOD(A2323-INDEX(SkiftStart,L2323),Syklus)&lt;DagK+DagH,"Helg",IF(MOD(A2323-INDEX(SkiftStart,L2323),Syklus)&lt;DagK+DagH+DagD,"Dag","Fri"))))</f>
        <v/>
      </c>
      <c r="J2323" s="30">
        <f>IF(I2323="Fri","Ja","")</f>
        <v/>
      </c>
      <c r="K2323" s="30">
        <f>IF(B2323="","",IF(L2323="","Ukjent tekniker",IF(ISNA(MATCH(C2323,Aktiviteter,0)),"Ukjent aktivitet",IF(AND(INDEX(AktRolle,MATCH(C2323,Aktiviteter,0))&amp;""&lt;&gt;"",ISERROR(SEARCH(INDEX(AktRolle,MATCH(C2323,Aktiviteter,0))&amp;"",INDEX(TekRoller,MATCH(B2323,Teknikere,0))))),"Mangler rollen "&amp;INDEX(AktRolle,MATCH(C2323,Aktiviteter,0))&amp;"",IF(AND(C2323="LMS",F2323&gt;0,OR(D2323="",E2323="")),"Mangler maskin eller arbeid",IF(AND(OR(C2323="LMS",C2323="Mod"),D2323&lt;&gt;""),IF(IFERROR(INDEX(MaskinStatus,MATCH(D2323,Maskiner,0)),"")="I dokk","","Maskinen er ikke i dokk"),""))))))</f>
        <v/>
      </c>
      <c r="L2323" s="2">
        <f>IF(B2323="","",IFERROR(INT((MATCH(B2323,Teknikere,0)-1)/18)+1,""))</f>
        <v/>
      </c>
      <c r="M2323" s="2">
        <f>IF(OR(A2323="",B2323=""),"",B2323&amp;"|"&amp;A2323)</f>
        <v/>
      </c>
      <c r="N2323" s="2">
        <f>IF(M2323="","",SUMIFS(TF_Timer,TF_Nokkel,M2323,TF_Akt,C2323))</f>
        <v/>
      </c>
      <c r="O2323" s="2">
        <f>IF(M2323="","",IF(AND(N2323=_xlfn.MAXIFS(TF_AktSum,TF_Nokkel,M2323),COUNTIFS(M$3:M2322,M2323,N$3:N2322,N2323)=0),M2323,""))</f>
        <v/>
      </c>
    </row>
    <row r="2324">
      <c r="A2324" s="34" t="n"/>
      <c r="B2324" s="35" t="n"/>
      <c r="C2324" s="35" t="n"/>
      <c r="D2324" s="35" t="n"/>
      <c r="E2324" s="35" t="n"/>
      <c r="F2324" s="36" t="n"/>
      <c r="G2324" s="35" t="n"/>
      <c r="H2324" s="30">
        <f>IF(L2324="","",INDEX(SkiftNavn,L2324))</f>
        <v/>
      </c>
      <c r="I2324" s="30">
        <f>IF(OR(A2324="",L2324=""),"",IF(MOD(A2324-INDEX(SkiftStart,L2324),Syklus)&lt;DagK,"Kveld",IF(MOD(A2324-INDEX(SkiftStart,L2324),Syklus)&lt;DagK+DagH,"Helg",IF(MOD(A2324-INDEX(SkiftStart,L2324),Syklus)&lt;DagK+DagH+DagD,"Dag","Fri"))))</f>
        <v/>
      </c>
      <c r="J2324" s="30">
        <f>IF(I2324="Fri","Ja","")</f>
        <v/>
      </c>
      <c r="K2324" s="30">
        <f>IF(B2324="","",IF(L2324="","Ukjent tekniker",IF(ISNA(MATCH(C2324,Aktiviteter,0)),"Ukjent aktivitet",IF(AND(INDEX(AktRolle,MATCH(C2324,Aktiviteter,0))&amp;""&lt;&gt;"",ISERROR(SEARCH(INDEX(AktRolle,MATCH(C2324,Aktiviteter,0))&amp;"",INDEX(TekRoller,MATCH(B2324,Teknikere,0))))),"Mangler rollen "&amp;INDEX(AktRolle,MATCH(C2324,Aktiviteter,0))&amp;"",IF(AND(C2324="LMS",F2324&gt;0,OR(D2324="",E2324="")),"Mangler maskin eller arbeid",IF(AND(OR(C2324="LMS",C2324="Mod"),D2324&lt;&gt;""),IF(IFERROR(INDEX(MaskinStatus,MATCH(D2324,Maskiner,0)),"")="I dokk","","Maskinen er ikke i dokk"),""))))))</f>
        <v/>
      </c>
      <c r="L2324" s="2">
        <f>IF(B2324="","",IFERROR(INT((MATCH(B2324,Teknikere,0)-1)/18)+1,""))</f>
        <v/>
      </c>
      <c r="M2324" s="2">
        <f>IF(OR(A2324="",B2324=""),"",B2324&amp;"|"&amp;A2324)</f>
        <v/>
      </c>
      <c r="N2324" s="2">
        <f>IF(M2324="","",SUMIFS(TF_Timer,TF_Nokkel,M2324,TF_Akt,C2324))</f>
        <v/>
      </c>
      <c r="O2324" s="2">
        <f>IF(M2324="","",IF(AND(N2324=_xlfn.MAXIFS(TF_AktSum,TF_Nokkel,M2324),COUNTIFS(M$3:M2323,M2324,N$3:N2323,N2324)=0),M2324,""))</f>
        <v/>
      </c>
    </row>
    <row r="2325">
      <c r="A2325" s="34" t="n"/>
      <c r="B2325" s="35" t="n"/>
      <c r="C2325" s="35" t="n"/>
      <c r="D2325" s="35" t="n"/>
      <c r="E2325" s="35" t="n"/>
      <c r="F2325" s="36" t="n"/>
      <c r="G2325" s="35" t="n"/>
      <c r="H2325" s="30">
        <f>IF(L2325="","",INDEX(SkiftNavn,L2325))</f>
        <v/>
      </c>
      <c r="I2325" s="30">
        <f>IF(OR(A2325="",L2325=""),"",IF(MOD(A2325-INDEX(SkiftStart,L2325),Syklus)&lt;DagK,"Kveld",IF(MOD(A2325-INDEX(SkiftStart,L2325),Syklus)&lt;DagK+DagH,"Helg",IF(MOD(A2325-INDEX(SkiftStart,L2325),Syklus)&lt;DagK+DagH+DagD,"Dag","Fri"))))</f>
        <v/>
      </c>
      <c r="J2325" s="30">
        <f>IF(I2325="Fri","Ja","")</f>
        <v/>
      </c>
      <c r="K2325" s="30">
        <f>IF(B2325="","",IF(L2325="","Ukjent tekniker",IF(ISNA(MATCH(C2325,Aktiviteter,0)),"Ukjent aktivitet",IF(AND(INDEX(AktRolle,MATCH(C2325,Aktiviteter,0))&amp;""&lt;&gt;"",ISERROR(SEARCH(INDEX(AktRolle,MATCH(C2325,Aktiviteter,0))&amp;"",INDEX(TekRoller,MATCH(B2325,Teknikere,0))))),"Mangler rollen "&amp;INDEX(AktRolle,MATCH(C2325,Aktiviteter,0))&amp;"",IF(AND(C2325="LMS",F2325&gt;0,OR(D2325="",E2325="")),"Mangler maskin eller arbeid",IF(AND(OR(C2325="LMS",C2325="Mod"),D2325&lt;&gt;""),IF(IFERROR(INDEX(MaskinStatus,MATCH(D2325,Maskiner,0)),"")="I dokk","","Maskinen er ikke i dokk"),""))))))</f>
        <v/>
      </c>
      <c r="L2325" s="2">
        <f>IF(B2325="","",IFERROR(INT((MATCH(B2325,Teknikere,0)-1)/18)+1,""))</f>
        <v/>
      </c>
      <c r="M2325" s="2">
        <f>IF(OR(A2325="",B2325=""),"",B2325&amp;"|"&amp;A2325)</f>
        <v/>
      </c>
      <c r="N2325" s="2">
        <f>IF(M2325="","",SUMIFS(TF_Timer,TF_Nokkel,M2325,TF_Akt,C2325))</f>
        <v/>
      </c>
      <c r="O2325" s="2">
        <f>IF(M2325="","",IF(AND(N2325=_xlfn.MAXIFS(TF_AktSum,TF_Nokkel,M2325),COUNTIFS(M$3:M2324,M2325,N$3:N2324,N2325)=0),M2325,""))</f>
        <v/>
      </c>
    </row>
    <row r="2326">
      <c r="A2326" s="34" t="n"/>
      <c r="B2326" s="35" t="n"/>
      <c r="C2326" s="35" t="n"/>
      <c r="D2326" s="35" t="n"/>
      <c r="E2326" s="35" t="n"/>
      <c r="F2326" s="36" t="n"/>
      <c r="G2326" s="35" t="n"/>
      <c r="H2326" s="30">
        <f>IF(L2326="","",INDEX(SkiftNavn,L2326))</f>
        <v/>
      </c>
      <c r="I2326" s="30">
        <f>IF(OR(A2326="",L2326=""),"",IF(MOD(A2326-INDEX(SkiftStart,L2326),Syklus)&lt;DagK,"Kveld",IF(MOD(A2326-INDEX(SkiftStart,L2326),Syklus)&lt;DagK+DagH,"Helg",IF(MOD(A2326-INDEX(SkiftStart,L2326),Syklus)&lt;DagK+DagH+DagD,"Dag","Fri"))))</f>
        <v/>
      </c>
      <c r="J2326" s="30">
        <f>IF(I2326="Fri","Ja","")</f>
        <v/>
      </c>
      <c r="K2326" s="30">
        <f>IF(B2326="","",IF(L2326="","Ukjent tekniker",IF(ISNA(MATCH(C2326,Aktiviteter,0)),"Ukjent aktivitet",IF(AND(INDEX(AktRolle,MATCH(C2326,Aktiviteter,0))&amp;""&lt;&gt;"",ISERROR(SEARCH(INDEX(AktRolle,MATCH(C2326,Aktiviteter,0))&amp;"",INDEX(TekRoller,MATCH(B2326,Teknikere,0))))),"Mangler rollen "&amp;INDEX(AktRolle,MATCH(C2326,Aktiviteter,0))&amp;"",IF(AND(C2326="LMS",F2326&gt;0,OR(D2326="",E2326="")),"Mangler maskin eller arbeid",IF(AND(OR(C2326="LMS",C2326="Mod"),D2326&lt;&gt;""),IF(IFERROR(INDEX(MaskinStatus,MATCH(D2326,Maskiner,0)),"")="I dokk","","Maskinen er ikke i dokk"),""))))))</f>
        <v/>
      </c>
      <c r="L2326" s="2">
        <f>IF(B2326="","",IFERROR(INT((MATCH(B2326,Teknikere,0)-1)/18)+1,""))</f>
        <v/>
      </c>
      <c r="M2326" s="2">
        <f>IF(OR(A2326="",B2326=""),"",B2326&amp;"|"&amp;A2326)</f>
        <v/>
      </c>
      <c r="N2326" s="2">
        <f>IF(M2326="","",SUMIFS(TF_Timer,TF_Nokkel,M2326,TF_Akt,C2326))</f>
        <v/>
      </c>
      <c r="O2326" s="2">
        <f>IF(M2326="","",IF(AND(N2326=_xlfn.MAXIFS(TF_AktSum,TF_Nokkel,M2326),COUNTIFS(M$3:M2325,M2326,N$3:N2325,N2326)=0),M2326,""))</f>
        <v/>
      </c>
    </row>
    <row r="2327">
      <c r="A2327" s="34" t="n"/>
      <c r="B2327" s="35" t="n"/>
      <c r="C2327" s="35" t="n"/>
      <c r="D2327" s="35" t="n"/>
      <c r="E2327" s="35" t="n"/>
      <c r="F2327" s="36" t="n"/>
      <c r="G2327" s="35" t="n"/>
      <c r="H2327" s="30">
        <f>IF(L2327="","",INDEX(SkiftNavn,L2327))</f>
        <v/>
      </c>
      <c r="I2327" s="30">
        <f>IF(OR(A2327="",L2327=""),"",IF(MOD(A2327-INDEX(SkiftStart,L2327),Syklus)&lt;DagK,"Kveld",IF(MOD(A2327-INDEX(SkiftStart,L2327),Syklus)&lt;DagK+DagH,"Helg",IF(MOD(A2327-INDEX(SkiftStart,L2327),Syklus)&lt;DagK+DagH+DagD,"Dag","Fri"))))</f>
        <v/>
      </c>
      <c r="J2327" s="30">
        <f>IF(I2327="Fri","Ja","")</f>
        <v/>
      </c>
      <c r="K2327" s="30">
        <f>IF(B2327="","",IF(L2327="","Ukjent tekniker",IF(ISNA(MATCH(C2327,Aktiviteter,0)),"Ukjent aktivitet",IF(AND(INDEX(AktRolle,MATCH(C2327,Aktiviteter,0))&amp;""&lt;&gt;"",ISERROR(SEARCH(INDEX(AktRolle,MATCH(C2327,Aktiviteter,0))&amp;"",INDEX(TekRoller,MATCH(B2327,Teknikere,0))))),"Mangler rollen "&amp;INDEX(AktRolle,MATCH(C2327,Aktiviteter,0))&amp;"",IF(AND(C2327="LMS",F2327&gt;0,OR(D2327="",E2327="")),"Mangler maskin eller arbeid",IF(AND(OR(C2327="LMS",C2327="Mod"),D2327&lt;&gt;""),IF(IFERROR(INDEX(MaskinStatus,MATCH(D2327,Maskiner,0)),"")="I dokk","","Maskinen er ikke i dokk"),""))))))</f>
        <v/>
      </c>
      <c r="L2327" s="2">
        <f>IF(B2327="","",IFERROR(INT((MATCH(B2327,Teknikere,0)-1)/18)+1,""))</f>
        <v/>
      </c>
      <c r="M2327" s="2">
        <f>IF(OR(A2327="",B2327=""),"",B2327&amp;"|"&amp;A2327)</f>
        <v/>
      </c>
      <c r="N2327" s="2">
        <f>IF(M2327="","",SUMIFS(TF_Timer,TF_Nokkel,M2327,TF_Akt,C2327))</f>
        <v/>
      </c>
      <c r="O2327" s="2">
        <f>IF(M2327="","",IF(AND(N2327=_xlfn.MAXIFS(TF_AktSum,TF_Nokkel,M2327),COUNTIFS(M$3:M2326,M2327,N$3:N2326,N2327)=0),M2327,""))</f>
        <v/>
      </c>
    </row>
    <row r="2328">
      <c r="A2328" s="34" t="n"/>
      <c r="B2328" s="35" t="n"/>
      <c r="C2328" s="35" t="n"/>
      <c r="D2328" s="35" t="n"/>
      <c r="E2328" s="35" t="n"/>
      <c r="F2328" s="36" t="n"/>
      <c r="G2328" s="35" t="n"/>
      <c r="H2328" s="30">
        <f>IF(L2328="","",INDEX(SkiftNavn,L2328))</f>
        <v/>
      </c>
      <c r="I2328" s="30">
        <f>IF(OR(A2328="",L2328=""),"",IF(MOD(A2328-INDEX(SkiftStart,L2328),Syklus)&lt;DagK,"Kveld",IF(MOD(A2328-INDEX(SkiftStart,L2328),Syklus)&lt;DagK+DagH,"Helg",IF(MOD(A2328-INDEX(SkiftStart,L2328),Syklus)&lt;DagK+DagH+DagD,"Dag","Fri"))))</f>
        <v/>
      </c>
      <c r="J2328" s="30">
        <f>IF(I2328="Fri","Ja","")</f>
        <v/>
      </c>
      <c r="K2328" s="30">
        <f>IF(B2328="","",IF(L2328="","Ukjent tekniker",IF(ISNA(MATCH(C2328,Aktiviteter,0)),"Ukjent aktivitet",IF(AND(INDEX(AktRolle,MATCH(C2328,Aktiviteter,0))&amp;""&lt;&gt;"",ISERROR(SEARCH(INDEX(AktRolle,MATCH(C2328,Aktiviteter,0))&amp;"",INDEX(TekRoller,MATCH(B2328,Teknikere,0))))),"Mangler rollen "&amp;INDEX(AktRolle,MATCH(C2328,Aktiviteter,0))&amp;"",IF(AND(C2328="LMS",F2328&gt;0,OR(D2328="",E2328="")),"Mangler maskin eller arbeid",IF(AND(OR(C2328="LMS",C2328="Mod"),D2328&lt;&gt;""),IF(IFERROR(INDEX(MaskinStatus,MATCH(D2328,Maskiner,0)),"")="I dokk","","Maskinen er ikke i dokk"),""))))))</f>
        <v/>
      </c>
      <c r="L2328" s="2">
        <f>IF(B2328="","",IFERROR(INT((MATCH(B2328,Teknikere,0)-1)/18)+1,""))</f>
        <v/>
      </c>
      <c r="M2328" s="2">
        <f>IF(OR(A2328="",B2328=""),"",B2328&amp;"|"&amp;A2328)</f>
        <v/>
      </c>
      <c r="N2328" s="2">
        <f>IF(M2328="","",SUMIFS(TF_Timer,TF_Nokkel,M2328,TF_Akt,C2328))</f>
        <v/>
      </c>
      <c r="O2328" s="2">
        <f>IF(M2328="","",IF(AND(N2328=_xlfn.MAXIFS(TF_AktSum,TF_Nokkel,M2328),COUNTIFS(M$3:M2327,M2328,N$3:N2327,N2328)=0),M2328,""))</f>
        <v/>
      </c>
    </row>
    <row r="2329">
      <c r="A2329" s="34" t="n"/>
      <c r="B2329" s="35" t="n"/>
      <c r="C2329" s="35" t="n"/>
      <c r="D2329" s="35" t="n"/>
      <c r="E2329" s="35" t="n"/>
      <c r="F2329" s="36" t="n"/>
      <c r="G2329" s="35" t="n"/>
      <c r="H2329" s="30">
        <f>IF(L2329="","",INDEX(SkiftNavn,L2329))</f>
        <v/>
      </c>
      <c r="I2329" s="30">
        <f>IF(OR(A2329="",L2329=""),"",IF(MOD(A2329-INDEX(SkiftStart,L2329),Syklus)&lt;DagK,"Kveld",IF(MOD(A2329-INDEX(SkiftStart,L2329),Syklus)&lt;DagK+DagH,"Helg",IF(MOD(A2329-INDEX(SkiftStart,L2329),Syklus)&lt;DagK+DagH+DagD,"Dag","Fri"))))</f>
        <v/>
      </c>
      <c r="J2329" s="30">
        <f>IF(I2329="Fri","Ja","")</f>
        <v/>
      </c>
      <c r="K2329" s="30">
        <f>IF(B2329="","",IF(L2329="","Ukjent tekniker",IF(ISNA(MATCH(C2329,Aktiviteter,0)),"Ukjent aktivitet",IF(AND(INDEX(AktRolle,MATCH(C2329,Aktiviteter,0))&amp;""&lt;&gt;"",ISERROR(SEARCH(INDEX(AktRolle,MATCH(C2329,Aktiviteter,0))&amp;"",INDEX(TekRoller,MATCH(B2329,Teknikere,0))))),"Mangler rollen "&amp;INDEX(AktRolle,MATCH(C2329,Aktiviteter,0))&amp;"",IF(AND(C2329="LMS",F2329&gt;0,OR(D2329="",E2329="")),"Mangler maskin eller arbeid",IF(AND(OR(C2329="LMS",C2329="Mod"),D2329&lt;&gt;""),IF(IFERROR(INDEX(MaskinStatus,MATCH(D2329,Maskiner,0)),"")="I dokk","","Maskinen er ikke i dokk"),""))))))</f>
        <v/>
      </c>
      <c r="L2329" s="2">
        <f>IF(B2329="","",IFERROR(INT((MATCH(B2329,Teknikere,0)-1)/18)+1,""))</f>
        <v/>
      </c>
      <c r="M2329" s="2">
        <f>IF(OR(A2329="",B2329=""),"",B2329&amp;"|"&amp;A2329)</f>
        <v/>
      </c>
      <c r="N2329" s="2">
        <f>IF(M2329="","",SUMIFS(TF_Timer,TF_Nokkel,M2329,TF_Akt,C2329))</f>
        <v/>
      </c>
      <c r="O2329" s="2">
        <f>IF(M2329="","",IF(AND(N2329=_xlfn.MAXIFS(TF_AktSum,TF_Nokkel,M2329),COUNTIFS(M$3:M2328,M2329,N$3:N2328,N2329)=0),M2329,""))</f>
        <v/>
      </c>
    </row>
    <row r="2330">
      <c r="A2330" s="34" t="n"/>
      <c r="B2330" s="35" t="n"/>
      <c r="C2330" s="35" t="n"/>
      <c r="D2330" s="35" t="n"/>
      <c r="E2330" s="35" t="n"/>
      <c r="F2330" s="36" t="n"/>
      <c r="G2330" s="35" t="n"/>
      <c r="H2330" s="30">
        <f>IF(L2330="","",INDEX(SkiftNavn,L2330))</f>
        <v/>
      </c>
      <c r="I2330" s="30">
        <f>IF(OR(A2330="",L2330=""),"",IF(MOD(A2330-INDEX(SkiftStart,L2330),Syklus)&lt;DagK,"Kveld",IF(MOD(A2330-INDEX(SkiftStart,L2330),Syklus)&lt;DagK+DagH,"Helg",IF(MOD(A2330-INDEX(SkiftStart,L2330),Syklus)&lt;DagK+DagH+DagD,"Dag","Fri"))))</f>
        <v/>
      </c>
      <c r="J2330" s="30">
        <f>IF(I2330="Fri","Ja","")</f>
        <v/>
      </c>
      <c r="K2330" s="30">
        <f>IF(B2330="","",IF(L2330="","Ukjent tekniker",IF(ISNA(MATCH(C2330,Aktiviteter,0)),"Ukjent aktivitet",IF(AND(INDEX(AktRolle,MATCH(C2330,Aktiviteter,0))&amp;""&lt;&gt;"",ISERROR(SEARCH(INDEX(AktRolle,MATCH(C2330,Aktiviteter,0))&amp;"",INDEX(TekRoller,MATCH(B2330,Teknikere,0))))),"Mangler rollen "&amp;INDEX(AktRolle,MATCH(C2330,Aktiviteter,0))&amp;"",IF(AND(C2330="LMS",F2330&gt;0,OR(D2330="",E2330="")),"Mangler maskin eller arbeid",IF(AND(OR(C2330="LMS",C2330="Mod"),D2330&lt;&gt;""),IF(IFERROR(INDEX(MaskinStatus,MATCH(D2330,Maskiner,0)),"")="I dokk","","Maskinen er ikke i dokk"),""))))))</f>
        <v/>
      </c>
      <c r="L2330" s="2">
        <f>IF(B2330="","",IFERROR(INT((MATCH(B2330,Teknikere,0)-1)/18)+1,""))</f>
        <v/>
      </c>
      <c r="M2330" s="2">
        <f>IF(OR(A2330="",B2330=""),"",B2330&amp;"|"&amp;A2330)</f>
        <v/>
      </c>
      <c r="N2330" s="2">
        <f>IF(M2330="","",SUMIFS(TF_Timer,TF_Nokkel,M2330,TF_Akt,C2330))</f>
        <v/>
      </c>
      <c r="O2330" s="2">
        <f>IF(M2330="","",IF(AND(N2330=_xlfn.MAXIFS(TF_AktSum,TF_Nokkel,M2330),COUNTIFS(M$3:M2329,M2330,N$3:N2329,N2330)=0),M2330,""))</f>
        <v/>
      </c>
    </row>
    <row r="2331">
      <c r="A2331" s="34" t="n"/>
      <c r="B2331" s="35" t="n"/>
      <c r="C2331" s="35" t="n"/>
      <c r="D2331" s="35" t="n"/>
      <c r="E2331" s="35" t="n"/>
      <c r="F2331" s="36" t="n"/>
      <c r="G2331" s="35" t="n"/>
      <c r="H2331" s="30">
        <f>IF(L2331="","",INDEX(SkiftNavn,L2331))</f>
        <v/>
      </c>
      <c r="I2331" s="30">
        <f>IF(OR(A2331="",L2331=""),"",IF(MOD(A2331-INDEX(SkiftStart,L2331),Syklus)&lt;DagK,"Kveld",IF(MOD(A2331-INDEX(SkiftStart,L2331),Syklus)&lt;DagK+DagH,"Helg",IF(MOD(A2331-INDEX(SkiftStart,L2331),Syklus)&lt;DagK+DagH+DagD,"Dag","Fri"))))</f>
        <v/>
      </c>
      <c r="J2331" s="30">
        <f>IF(I2331="Fri","Ja","")</f>
        <v/>
      </c>
      <c r="K2331" s="30">
        <f>IF(B2331="","",IF(L2331="","Ukjent tekniker",IF(ISNA(MATCH(C2331,Aktiviteter,0)),"Ukjent aktivitet",IF(AND(INDEX(AktRolle,MATCH(C2331,Aktiviteter,0))&amp;""&lt;&gt;"",ISERROR(SEARCH(INDEX(AktRolle,MATCH(C2331,Aktiviteter,0))&amp;"",INDEX(TekRoller,MATCH(B2331,Teknikere,0))))),"Mangler rollen "&amp;INDEX(AktRolle,MATCH(C2331,Aktiviteter,0))&amp;"",IF(AND(C2331="LMS",F2331&gt;0,OR(D2331="",E2331="")),"Mangler maskin eller arbeid",IF(AND(OR(C2331="LMS",C2331="Mod"),D2331&lt;&gt;""),IF(IFERROR(INDEX(MaskinStatus,MATCH(D2331,Maskiner,0)),"")="I dokk","","Maskinen er ikke i dokk"),""))))))</f>
        <v/>
      </c>
      <c r="L2331" s="2">
        <f>IF(B2331="","",IFERROR(INT((MATCH(B2331,Teknikere,0)-1)/18)+1,""))</f>
        <v/>
      </c>
      <c r="M2331" s="2">
        <f>IF(OR(A2331="",B2331=""),"",B2331&amp;"|"&amp;A2331)</f>
        <v/>
      </c>
      <c r="N2331" s="2">
        <f>IF(M2331="","",SUMIFS(TF_Timer,TF_Nokkel,M2331,TF_Akt,C2331))</f>
        <v/>
      </c>
      <c r="O2331" s="2">
        <f>IF(M2331="","",IF(AND(N2331=_xlfn.MAXIFS(TF_AktSum,TF_Nokkel,M2331),COUNTIFS(M$3:M2330,M2331,N$3:N2330,N2331)=0),M2331,""))</f>
        <v/>
      </c>
    </row>
    <row r="2332">
      <c r="A2332" s="34" t="n"/>
      <c r="B2332" s="35" t="n"/>
      <c r="C2332" s="35" t="n"/>
      <c r="D2332" s="35" t="n"/>
      <c r="E2332" s="35" t="n"/>
      <c r="F2332" s="36" t="n"/>
      <c r="G2332" s="35" t="n"/>
      <c r="H2332" s="30">
        <f>IF(L2332="","",INDEX(SkiftNavn,L2332))</f>
        <v/>
      </c>
      <c r="I2332" s="30">
        <f>IF(OR(A2332="",L2332=""),"",IF(MOD(A2332-INDEX(SkiftStart,L2332),Syklus)&lt;DagK,"Kveld",IF(MOD(A2332-INDEX(SkiftStart,L2332),Syklus)&lt;DagK+DagH,"Helg",IF(MOD(A2332-INDEX(SkiftStart,L2332),Syklus)&lt;DagK+DagH+DagD,"Dag","Fri"))))</f>
        <v/>
      </c>
      <c r="J2332" s="30">
        <f>IF(I2332="Fri","Ja","")</f>
        <v/>
      </c>
      <c r="K2332" s="30">
        <f>IF(B2332="","",IF(L2332="","Ukjent tekniker",IF(ISNA(MATCH(C2332,Aktiviteter,0)),"Ukjent aktivitet",IF(AND(INDEX(AktRolle,MATCH(C2332,Aktiviteter,0))&amp;""&lt;&gt;"",ISERROR(SEARCH(INDEX(AktRolle,MATCH(C2332,Aktiviteter,0))&amp;"",INDEX(TekRoller,MATCH(B2332,Teknikere,0))))),"Mangler rollen "&amp;INDEX(AktRolle,MATCH(C2332,Aktiviteter,0))&amp;"",IF(AND(C2332="LMS",F2332&gt;0,OR(D2332="",E2332="")),"Mangler maskin eller arbeid",IF(AND(OR(C2332="LMS",C2332="Mod"),D2332&lt;&gt;""),IF(IFERROR(INDEX(MaskinStatus,MATCH(D2332,Maskiner,0)),"")="I dokk","","Maskinen er ikke i dokk"),""))))))</f>
        <v/>
      </c>
      <c r="L2332" s="2">
        <f>IF(B2332="","",IFERROR(INT((MATCH(B2332,Teknikere,0)-1)/18)+1,""))</f>
        <v/>
      </c>
      <c r="M2332" s="2">
        <f>IF(OR(A2332="",B2332=""),"",B2332&amp;"|"&amp;A2332)</f>
        <v/>
      </c>
      <c r="N2332" s="2">
        <f>IF(M2332="","",SUMIFS(TF_Timer,TF_Nokkel,M2332,TF_Akt,C2332))</f>
        <v/>
      </c>
      <c r="O2332" s="2">
        <f>IF(M2332="","",IF(AND(N2332=_xlfn.MAXIFS(TF_AktSum,TF_Nokkel,M2332),COUNTIFS(M$3:M2331,M2332,N$3:N2331,N2332)=0),M2332,""))</f>
        <v/>
      </c>
    </row>
    <row r="2333">
      <c r="A2333" s="34" t="n"/>
      <c r="B2333" s="35" t="n"/>
      <c r="C2333" s="35" t="n"/>
      <c r="D2333" s="35" t="n"/>
      <c r="E2333" s="35" t="n"/>
      <c r="F2333" s="36" t="n"/>
      <c r="G2333" s="35" t="n"/>
      <c r="H2333" s="30">
        <f>IF(L2333="","",INDEX(SkiftNavn,L2333))</f>
        <v/>
      </c>
      <c r="I2333" s="30">
        <f>IF(OR(A2333="",L2333=""),"",IF(MOD(A2333-INDEX(SkiftStart,L2333),Syklus)&lt;DagK,"Kveld",IF(MOD(A2333-INDEX(SkiftStart,L2333),Syklus)&lt;DagK+DagH,"Helg",IF(MOD(A2333-INDEX(SkiftStart,L2333),Syklus)&lt;DagK+DagH+DagD,"Dag","Fri"))))</f>
        <v/>
      </c>
      <c r="J2333" s="30">
        <f>IF(I2333="Fri","Ja","")</f>
        <v/>
      </c>
      <c r="K2333" s="30">
        <f>IF(B2333="","",IF(L2333="","Ukjent tekniker",IF(ISNA(MATCH(C2333,Aktiviteter,0)),"Ukjent aktivitet",IF(AND(INDEX(AktRolle,MATCH(C2333,Aktiviteter,0))&amp;""&lt;&gt;"",ISERROR(SEARCH(INDEX(AktRolle,MATCH(C2333,Aktiviteter,0))&amp;"",INDEX(TekRoller,MATCH(B2333,Teknikere,0))))),"Mangler rollen "&amp;INDEX(AktRolle,MATCH(C2333,Aktiviteter,0))&amp;"",IF(AND(C2333="LMS",F2333&gt;0,OR(D2333="",E2333="")),"Mangler maskin eller arbeid",IF(AND(OR(C2333="LMS",C2333="Mod"),D2333&lt;&gt;""),IF(IFERROR(INDEX(MaskinStatus,MATCH(D2333,Maskiner,0)),"")="I dokk","","Maskinen er ikke i dokk"),""))))))</f>
        <v/>
      </c>
      <c r="L2333" s="2">
        <f>IF(B2333="","",IFERROR(INT((MATCH(B2333,Teknikere,0)-1)/18)+1,""))</f>
        <v/>
      </c>
      <c r="M2333" s="2">
        <f>IF(OR(A2333="",B2333=""),"",B2333&amp;"|"&amp;A2333)</f>
        <v/>
      </c>
      <c r="N2333" s="2">
        <f>IF(M2333="","",SUMIFS(TF_Timer,TF_Nokkel,M2333,TF_Akt,C2333))</f>
        <v/>
      </c>
      <c r="O2333" s="2">
        <f>IF(M2333="","",IF(AND(N2333=_xlfn.MAXIFS(TF_AktSum,TF_Nokkel,M2333),COUNTIFS(M$3:M2332,M2333,N$3:N2332,N2333)=0),M2333,""))</f>
        <v/>
      </c>
    </row>
    <row r="2334">
      <c r="A2334" s="34" t="n"/>
      <c r="B2334" s="35" t="n"/>
      <c r="C2334" s="35" t="n"/>
      <c r="D2334" s="35" t="n"/>
      <c r="E2334" s="35" t="n"/>
      <c r="F2334" s="36" t="n"/>
      <c r="G2334" s="35" t="n"/>
      <c r="H2334" s="30">
        <f>IF(L2334="","",INDEX(SkiftNavn,L2334))</f>
        <v/>
      </c>
      <c r="I2334" s="30">
        <f>IF(OR(A2334="",L2334=""),"",IF(MOD(A2334-INDEX(SkiftStart,L2334),Syklus)&lt;DagK,"Kveld",IF(MOD(A2334-INDEX(SkiftStart,L2334),Syklus)&lt;DagK+DagH,"Helg",IF(MOD(A2334-INDEX(SkiftStart,L2334),Syklus)&lt;DagK+DagH+DagD,"Dag","Fri"))))</f>
        <v/>
      </c>
      <c r="J2334" s="30">
        <f>IF(I2334="Fri","Ja","")</f>
        <v/>
      </c>
      <c r="K2334" s="30">
        <f>IF(B2334="","",IF(L2334="","Ukjent tekniker",IF(ISNA(MATCH(C2334,Aktiviteter,0)),"Ukjent aktivitet",IF(AND(INDEX(AktRolle,MATCH(C2334,Aktiviteter,0))&amp;""&lt;&gt;"",ISERROR(SEARCH(INDEX(AktRolle,MATCH(C2334,Aktiviteter,0))&amp;"",INDEX(TekRoller,MATCH(B2334,Teknikere,0))))),"Mangler rollen "&amp;INDEX(AktRolle,MATCH(C2334,Aktiviteter,0))&amp;"",IF(AND(C2334="LMS",F2334&gt;0,OR(D2334="",E2334="")),"Mangler maskin eller arbeid",IF(AND(OR(C2334="LMS",C2334="Mod"),D2334&lt;&gt;""),IF(IFERROR(INDEX(MaskinStatus,MATCH(D2334,Maskiner,0)),"")="I dokk","","Maskinen er ikke i dokk"),""))))))</f>
        <v/>
      </c>
      <c r="L2334" s="2">
        <f>IF(B2334="","",IFERROR(INT((MATCH(B2334,Teknikere,0)-1)/18)+1,""))</f>
        <v/>
      </c>
      <c r="M2334" s="2">
        <f>IF(OR(A2334="",B2334=""),"",B2334&amp;"|"&amp;A2334)</f>
        <v/>
      </c>
      <c r="N2334" s="2">
        <f>IF(M2334="","",SUMIFS(TF_Timer,TF_Nokkel,M2334,TF_Akt,C2334))</f>
        <v/>
      </c>
      <c r="O2334" s="2">
        <f>IF(M2334="","",IF(AND(N2334=_xlfn.MAXIFS(TF_AktSum,TF_Nokkel,M2334),COUNTIFS(M$3:M2333,M2334,N$3:N2333,N2334)=0),M2334,""))</f>
        <v/>
      </c>
    </row>
    <row r="2335">
      <c r="A2335" s="34" t="n"/>
      <c r="B2335" s="35" t="n"/>
      <c r="C2335" s="35" t="n"/>
      <c r="D2335" s="35" t="n"/>
      <c r="E2335" s="35" t="n"/>
      <c r="F2335" s="36" t="n"/>
      <c r="G2335" s="35" t="n"/>
      <c r="H2335" s="30">
        <f>IF(L2335="","",INDEX(SkiftNavn,L2335))</f>
        <v/>
      </c>
      <c r="I2335" s="30">
        <f>IF(OR(A2335="",L2335=""),"",IF(MOD(A2335-INDEX(SkiftStart,L2335),Syklus)&lt;DagK,"Kveld",IF(MOD(A2335-INDEX(SkiftStart,L2335),Syklus)&lt;DagK+DagH,"Helg",IF(MOD(A2335-INDEX(SkiftStart,L2335),Syklus)&lt;DagK+DagH+DagD,"Dag","Fri"))))</f>
        <v/>
      </c>
      <c r="J2335" s="30">
        <f>IF(I2335="Fri","Ja","")</f>
        <v/>
      </c>
      <c r="K2335" s="30">
        <f>IF(B2335="","",IF(L2335="","Ukjent tekniker",IF(ISNA(MATCH(C2335,Aktiviteter,0)),"Ukjent aktivitet",IF(AND(INDEX(AktRolle,MATCH(C2335,Aktiviteter,0))&amp;""&lt;&gt;"",ISERROR(SEARCH(INDEX(AktRolle,MATCH(C2335,Aktiviteter,0))&amp;"",INDEX(TekRoller,MATCH(B2335,Teknikere,0))))),"Mangler rollen "&amp;INDEX(AktRolle,MATCH(C2335,Aktiviteter,0))&amp;"",IF(AND(C2335="LMS",F2335&gt;0,OR(D2335="",E2335="")),"Mangler maskin eller arbeid",IF(AND(OR(C2335="LMS",C2335="Mod"),D2335&lt;&gt;""),IF(IFERROR(INDEX(MaskinStatus,MATCH(D2335,Maskiner,0)),"")="I dokk","","Maskinen er ikke i dokk"),""))))))</f>
        <v/>
      </c>
      <c r="L2335" s="2">
        <f>IF(B2335="","",IFERROR(INT((MATCH(B2335,Teknikere,0)-1)/18)+1,""))</f>
        <v/>
      </c>
      <c r="M2335" s="2">
        <f>IF(OR(A2335="",B2335=""),"",B2335&amp;"|"&amp;A2335)</f>
        <v/>
      </c>
      <c r="N2335" s="2">
        <f>IF(M2335="","",SUMIFS(TF_Timer,TF_Nokkel,M2335,TF_Akt,C2335))</f>
        <v/>
      </c>
      <c r="O2335" s="2">
        <f>IF(M2335="","",IF(AND(N2335=_xlfn.MAXIFS(TF_AktSum,TF_Nokkel,M2335),COUNTIFS(M$3:M2334,M2335,N$3:N2334,N2335)=0),M2335,""))</f>
        <v/>
      </c>
    </row>
    <row r="2336">
      <c r="A2336" s="34" t="n"/>
      <c r="B2336" s="35" t="n"/>
      <c r="C2336" s="35" t="n"/>
      <c r="D2336" s="35" t="n"/>
      <c r="E2336" s="35" t="n"/>
      <c r="F2336" s="36" t="n"/>
      <c r="G2336" s="35" t="n"/>
      <c r="H2336" s="30">
        <f>IF(L2336="","",INDEX(SkiftNavn,L2336))</f>
        <v/>
      </c>
      <c r="I2336" s="30">
        <f>IF(OR(A2336="",L2336=""),"",IF(MOD(A2336-INDEX(SkiftStart,L2336),Syklus)&lt;DagK,"Kveld",IF(MOD(A2336-INDEX(SkiftStart,L2336),Syklus)&lt;DagK+DagH,"Helg",IF(MOD(A2336-INDEX(SkiftStart,L2336),Syklus)&lt;DagK+DagH+DagD,"Dag","Fri"))))</f>
        <v/>
      </c>
      <c r="J2336" s="30">
        <f>IF(I2336="Fri","Ja","")</f>
        <v/>
      </c>
      <c r="K2336" s="30">
        <f>IF(B2336="","",IF(L2336="","Ukjent tekniker",IF(ISNA(MATCH(C2336,Aktiviteter,0)),"Ukjent aktivitet",IF(AND(INDEX(AktRolle,MATCH(C2336,Aktiviteter,0))&amp;""&lt;&gt;"",ISERROR(SEARCH(INDEX(AktRolle,MATCH(C2336,Aktiviteter,0))&amp;"",INDEX(TekRoller,MATCH(B2336,Teknikere,0))))),"Mangler rollen "&amp;INDEX(AktRolle,MATCH(C2336,Aktiviteter,0))&amp;"",IF(AND(C2336="LMS",F2336&gt;0,OR(D2336="",E2336="")),"Mangler maskin eller arbeid",IF(AND(OR(C2336="LMS",C2336="Mod"),D2336&lt;&gt;""),IF(IFERROR(INDEX(MaskinStatus,MATCH(D2336,Maskiner,0)),"")="I dokk","","Maskinen er ikke i dokk"),""))))))</f>
        <v/>
      </c>
      <c r="L2336" s="2">
        <f>IF(B2336="","",IFERROR(INT((MATCH(B2336,Teknikere,0)-1)/18)+1,""))</f>
        <v/>
      </c>
      <c r="M2336" s="2">
        <f>IF(OR(A2336="",B2336=""),"",B2336&amp;"|"&amp;A2336)</f>
        <v/>
      </c>
      <c r="N2336" s="2">
        <f>IF(M2336="","",SUMIFS(TF_Timer,TF_Nokkel,M2336,TF_Akt,C2336))</f>
        <v/>
      </c>
      <c r="O2336" s="2">
        <f>IF(M2336="","",IF(AND(N2336=_xlfn.MAXIFS(TF_AktSum,TF_Nokkel,M2336),COUNTIFS(M$3:M2335,M2336,N$3:N2335,N2336)=0),M2336,""))</f>
        <v/>
      </c>
    </row>
    <row r="2337">
      <c r="A2337" s="34" t="n"/>
      <c r="B2337" s="35" t="n"/>
      <c r="C2337" s="35" t="n"/>
      <c r="D2337" s="35" t="n"/>
      <c r="E2337" s="35" t="n"/>
      <c r="F2337" s="36" t="n"/>
      <c r="G2337" s="35" t="n"/>
      <c r="H2337" s="30">
        <f>IF(L2337="","",INDEX(SkiftNavn,L2337))</f>
        <v/>
      </c>
      <c r="I2337" s="30">
        <f>IF(OR(A2337="",L2337=""),"",IF(MOD(A2337-INDEX(SkiftStart,L2337),Syklus)&lt;DagK,"Kveld",IF(MOD(A2337-INDEX(SkiftStart,L2337),Syklus)&lt;DagK+DagH,"Helg",IF(MOD(A2337-INDEX(SkiftStart,L2337),Syklus)&lt;DagK+DagH+DagD,"Dag","Fri"))))</f>
        <v/>
      </c>
      <c r="J2337" s="30">
        <f>IF(I2337="Fri","Ja","")</f>
        <v/>
      </c>
      <c r="K2337" s="30">
        <f>IF(B2337="","",IF(L2337="","Ukjent tekniker",IF(ISNA(MATCH(C2337,Aktiviteter,0)),"Ukjent aktivitet",IF(AND(INDEX(AktRolle,MATCH(C2337,Aktiviteter,0))&amp;""&lt;&gt;"",ISERROR(SEARCH(INDEX(AktRolle,MATCH(C2337,Aktiviteter,0))&amp;"",INDEX(TekRoller,MATCH(B2337,Teknikere,0))))),"Mangler rollen "&amp;INDEX(AktRolle,MATCH(C2337,Aktiviteter,0))&amp;"",IF(AND(C2337="LMS",F2337&gt;0,OR(D2337="",E2337="")),"Mangler maskin eller arbeid",IF(AND(OR(C2337="LMS",C2337="Mod"),D2337&lt;&gt;""),IF(IFERROR(INDEX(MaskinStatus,MATCH(D2337,Maskiner,0)),"")="I dokk","","Maskinen er ikke i dokk"),""))))))</f>
        <v/>
      </c>
      <c r="L2337" s="2">
        <f>IF(B2337="","",IFERROR(INT((MATCH(B2337,Teknikere,0)-1)/18)+1,""))</f>
        <v/>
      </c>
      <c r="M2337" s="2">
        <f>IF(OR(A2337="",B2337=""),"",B2337&amp;"|"&amp;A2337)</f>
        <v/>
      </c>
      <c r="N2337" s="2">
        <f>IF(M2337="","",SUMIFS(TF_Timer,TF_Nokkel,M2337,TF_Akt,C2337))</f>
        <v/>
      </c>
      <c r="O2337" s="2">
        <f>IF(M2337="","",IF(AND(N2337=_xlfn.MAXIFS(TF_AktSum,TF_Nokkel,M2337),COUNTIFS(M$3:M2336,M2337,N$3:N2336,N2337)=0),M2337,""))</f>
        <v/>
      </c>
    </row>
    <row r="2338">
      <c r="A2338" s="34" t="n"/>
      <c r="B2338" s="35" t="n"/>
      <c r="C2338" s="35" t="n"/>
      <c r="D2338" s="35" t="n"/>
      <c r="E2338" s="35" t="n"/>
      <c r="F2338" s="36" t="n"/>
      <c r="G2338" s="35" t="n"/>
      <c r="H2338" s="30">
        <f>IF(L2338="","",INDEX(SkiftNavn,L2338))</f>
        <v/>
      </c>
      <c r="I2338" s="30">
        <f>IF(OR(A2338="",L2338=""),"",IF(MOD(A2338-INDEX(SkiftStart,L2338),Syklus)&lt;DagK,"Kveld",IF(MOD(A2338-INDEX(SkiftStart,L2338),Syklus)&lt;DagK+DagH,"Helg",IF(MOD(A2338-INDEX(SkiftStart,L2338),Syklus)&lt;DagK+DagH+DagD,"Dag","Fri"))))</f>
        <v/>
      </c>
      <c r="J2338" s="30">
        <f>IF(I2338="Fri","Ja","")</f>
        <v/>
      </c>
      <c r="K2338" s="30">
        <f>IF(B2338="","",IF(L2338="","Ukjent tekniker",IF(ISNA(MATCH(C2338,Aktiviteter,0)),"Ukjent aktivitet",IF(AND(INDEX(AktRolle,MATCH(C2338,Aktiviteter,0))&amp;""&lt;&gt;"",ISERROR(SEARCH(INDEX(AktRolle,MATCH(C2338,Aktiviteter,0))&amp;"",INDEX(TekRoller,MATCH(B2338,Teknikere,0))))),"Mangler rollen "&amp;INDEX(AktRolle,MATCH(C2338,Aktiviteter,0))&amp;"",IF(AND(C2338="LMS",F2338&gt;0,OR(D2338="",E2338="")),"Mangler maskin eller arbeid",IF(AND(OR(C2338="LMS",C2338="Mod"),D2338&lt;&gt;""),IF(IFERROR(INDEX(MaskinStatus,MATCH(D2338,Maskiner,0)),"")="I dokk","","Maskinen er ikke i dokk"),""))))))</f>
        <v/>
      </c>
      <c r="L2338" s="2">
        <f>IF(B2338="","",IFERROR(INT((MATCH(B2338,Teknikere,0)-1)/18)+1,""))</f>
        <v/>
      </c>
      <c r="M2338" s="2">
        <f>IF(OR(A2338="",B2338=""),"",B2338&amp;"|"&amp;A2338)</f>
        <v/>
      </c>
      <c r="N2338" s="2">
        <f>IF(M2338="","",SUMIFS(TF_Timer,TF_Nokkel,M2338,TF_Akt,C2338))</f>
        <v/>
      </c>
      <c r="O2338" s="2">
        <f>IF(M2338="","",IF(AND(N2338=_xlfn.MAXIFS(TF_AktSum,TF_Nokkel,M2338),COUNTIFS(M$3:M2337,M2338,N$3:N2337,N2338)=0),M2338,""))</f>
        <v/>
      </c>
    </row>
    <row r="2339">
      <c r="A2339" s="34" t="n"/>
      <c r="B2339" s="35" t="n"/>
      <c r="C2339" s="35" t="n"/>
      <c r="D2339" s="35" t="n"/>
      <c r="E2339" s="35" t="n"/>
      <c r="F2339" s="36" t="n"/>
      <c r="G2339" s="35" t="n"/>
      <c r="H2339" s="30">
        <f>IF(L2339="","",INDEX(SkiftNavn,L2339))</f>
        <v/>
      </c>
      <c r="I2339" s="30">
        <f>IF(OR(A2339="",L2339=""),"",IF(MOD(A2339-INDEX(SkiftStart,L2339),Syklus)&lt;DagK,"Kveld",IF(MOD(A2339-INDEX(SkiftStart,L2339),Syklus)&lt;DagK+DagH,"Helg",IF(MOD(A2339-INDEX(SkiftStart,L2339),Syklus)&lt;DagK+DagH+DagD,"Dag","Fri"))))</f>
        <v/>
      </c>
      <c r="J2339" s="30">
        <f>IF(I2339="Fri","Ja","")</f>
        <v/>
      </c>
      <c r="K2339" s="30">
        <f>IF(B2339="","",IF(L2339="","Ukjent tekniker",IF(ISNA(MATCH(C2339,Aktiviteter,0)),"Ukjent aktivitet",IF(AND(INDEX(AktRolle,MATCH(C2339,Aktiviteter,0))&amp;""&lt;&gt;"",ISERROR(SEARCH(INDEX(AktRolle,MATCH(C2339,Aktiviteter,0))&amp;"",INDEX(TekRoller,MATCH(B2339,Teknikere,0))))),"Mangler rollen "&amp;INDEX(AktRolle,MATCH(C2339,Aktiviteter,0))&amp;"",IF(AND(C2339="LMS",F2339&gt;0,OR(D2339="",E2339="")),"Mangler maskin eller arbeid",IF(AND(OR(C2339="LMS",C2339="Mod"),D2339&lt;&gt;""),IF(IFERROR(INDEX(MaskinStatus,MATCH(D2339,Maskiner,0)),"")="I dokk","","Maskinen er ikke i dokk"),""))))))</f>
        <v/>
      </c>
      <c r="L2339" s="2">
        <f>IF(B2339="","",IFERROR(INT((MATCH(B2339,Teknikere,0)-1)/18)+1,""))</f>
        <v/>
      </c>
      <c r="M2339" s="2">
        <f>IF(OR(A2339="",B2339=""),"",B2339&amp;"|"&amp;A2339)</f>
        <v/>
      </c>
      <c r="N2339" s="2">
        <f>IF(M2339="","",SUMIFS(TF_Timer,TF_Nokkel,M2339,TF_Akt,C2339))</f>
        <v/>
      </c>
      <c r="O2339" s="2">
        <f>IF(M2339="","",IF(AND(N2339=_xlfn.MAXIFS(TF_AktSum,TF_Nokkel,M2339),COUNTIFS(M$3:M2338,M2339,N$3:N2338,N2339)=0),M2339,""))</f>
        <v/>
      </c>
    </row>
    <row r="2340">
      <c r="A2340" s="34" t="n"/>
      <c r="B2340" s="35" t="n"/>
      <c r="C2340" s="35" t="n"/>
      <c r="D2340" s="35" t="n"/>
      <c r="E2340" s="35" t="n"/>
      <c r="F2340" s="36" t="n"/>
      <c r="G2340" s="35" t="n"/>
      <c r="H2340" s="30">
        <f>IF(L2340="","",INDEX(SkiftNavn,L2340))</f>
        <v/>
      </c>
      <c r="I2340" s="30">
        <f>IF(OR(A2340="",L2340=""),"",IF(MOD(A2340-INDEX(SkiftStart,L2340),Syklus)&lt;DagK,"Kveld",IF(MOD(A2340-INDEX(SkiftStart,L2340),Syklus)&lt;DagK+DagH,"Helg",IF(MOD(A2340-INDEX(SkiftStart,L2340),Syklus)&lt;DagK+DagH+DagD,"Dag","Fri"))))</f>
        <v/>
      </c>
      <c r="J2340" s="30">
        <f>IF(I2340="Fri","Ja","")</f>
        <v/>
      </c>
      <c r="K2340" s="30">
        <f>IF(B2340="","",IF(L2340="","Ukjent tekniker",IF(ISNA(MATCH(C2340,Aktiviteter,0)),"Ukjent aktivitet",IF(AND(INDEX(AktRolle,MATCH(C2340,Aktiviteter,0))&amp;""&lt;&gt;"",ISERROR(SEARCH(INDEX(AktRolle,MATCH(C2340,Aktiviteter,0))&amp;"",INDEX(TekRoller,MATCH(B2340,Teknikere,0))))),"Mangler rollen "&amp;INDEX(AktRolle,MATCH(C2340,Aktiviteter,0))&amp;"",IF(AND(C2340="LMS",F2340&gt;0,OR(D2340="",E2340="")),"Mangler maskin eller arbeid",IF(AND(OR(C2340="LMS",C2340="Mod"),D2340&lt;&gt;""),IF(IFERROR(INDEX(MaskinStatus,MATCH(D2340,Maskiner,0)),"")="I dokk","","Maskinen er ikke i dokk"),""))))))</f>
        <v/>
      </c>
      <c r="L2340" s="2">
        <f>IF(B2340="","",IFERROR(INT((MATCH(B2340,Teknikere,0)-1)/18)+1,""))</f>
        <v/>
      </c>
      <c r="M2340" s="2">
        <f>IF(OR(A2340="",B2340=""),"",B2340&amp;"|"&amp;A2340)</f>
        <v/>
      </c>
      <c r="N2340" s="2">
        <f>IF(M2340="","",SUMIFS(TF_Timer,TF_Nokkel,M2340,TF_Akt,C2340))</f>
        <v/>
      </c>
      <c r="O2340" s="2">
        <f>IF(M2340="","",IF(AND(N2340=_xlfn.MAXIFS(TF_AktSum,TF_Nokkel,M2340),COUNTIFS(M$3:M2339,M2340,N$3:N2339,N2340)=0),M2340,""))</f>
        <v/>
      </c>
    </row>
    <row r="2341">
      <c r="A2341" s="34" t="n"/>
      <c r="B2341" s="35" t="n"/>
      <c r="C2341" s="35" t="n"/>
      <c r="D2341" s="35" t="n"/>
      <c r="E2341" s="35" t="n"/>
      <c r="F2341" s="36" t="n"/>
      <c r="G2341" s="35" t="n"/>
      <c r="H2341" s="30">
        <f>IF(L2341="","",INDEX(SkiftNavn,L2341))</f>
        <v/>
      </c>
      <c r="I2341" s="30">
        <f>IF(OR(A2341="",L2341=""),"",IF(MOD(A2341-INDEX(SkiftStart,L2341),Syklus)&lt;DagK,"Kveld",IF(MOD(A2341-INDEX(SkiftStart,L2341),Syklus)&lt;DagK+DagH,"Helg",IF(MOD(A2341-INDEX(SkiftStart,L2341),Syklus)&lt;DagK+DagH+DagD,"Dag","Fri"))))</f>
        <v/>
      </c>
      <c r="J2341" s="30">
        <f>IF(I2341="Fri","Ja","")</f>
        <v/>
      </c>
      <c r="K2341" s="30">
        <f>IF(B2341="","",IF(L2341="","Ukjent tekniker",IF(ISNA(MATCH(C2341,Aktiviteter,0)),"Ukjent aktivitet",IF(AND(INDEX(AktRolle,MATCH(C2341,Aktiviteter,0))&amp;""&lt;&gt;"",ISERROR(SEARCH(INDEX(AktRolle,MATCH(C2341,Aktiviteter,0))&amp;"",INDEX(TekRoller,MATCH(B2341,Teknikere,0))))),"Mangler rollen "&amp;INDEX(AktRolle,MATCH(C2341,Aktiviteter,0))&amp;"",IF(AND(C2341="LMS",F2341&gt;0,OR(D2341="",E2341="")),"Mangler maskin eller arbeid",IF(AND(OR(C2341="LMS",C2341="Mod"),D2341&lt;&gt;""),IF(IFERROR(INDEX(MaskinStatus,MATCH(D2341,Maskiner,0)),"")="I dokk","","Maskinen er ikke i dokk"),""))))))</f>
        <v/>
      </c>
      <c r="L2341" s="2">
        <f>IF(B2341="","",IFERROR(INT((MATCH(B2341,Teknikere,0)-1)/18)+1,""))</f>
        <v/>
      </c>
      <c r="M2341" s="2">
        <f>IF(OR(A2341="",B2341=""),"",B2341&amp;"|"&amp;A2341)</f>
        <v/>
      </c>
      <c r="N2341" s="2">
        <f>IF(M2341="","",SUMIFS(TF_Timer,TF_Nokkel,M2341,TF_Akt,C2341))</f>
        <v/>
      </c>
      <c r="O2341" s="2">
        <f>IF(M2341="","",IF(AND(N2341=_xlfn.MAXIFS(TF_AktSum,TF_Nokkel,M2341),COUNTIFS(M$3:M2340,M2341,N$3:N2340,N2341)=0),M2341,""))</f>
        <v/>
      </c>
    </row>
    <row r="2342">
      <c r="A2342" s="34" t="n"/>
      <c r="B2342" s="35" t="n"/>
      <c r="C2342" s="35" t="n"/>
      <c r="D2342" s="35" t="n"/>
      <c r="E2342" s="35" t="n"/>
      <c r="F2342" s="36" t="n"/>
      <c r="G2342" s="35" t="n"/>
      <c r="H2342" s="30">
        <f>IF(L2342="","",INDEX(SkiftNavn,L2342))</f>
        <v/>
      </c>
      <c r="I2342" s="30">
        <f>IF(OR(A2342="",L2342=""),"",IF(MOD(A2342-INDEX(SkiftStart,L2342),Syklus)&lt;DagK,"Kveld",IF(MOD(A2342-INDEX(SkiftStart,L2342),Syklus)&lt;DagK+DagH,"Helg",IF(MOD(A2342-INDEX(SkiftStart,L2342),Syklus)&lt;DagK+DagH+DagD,"Dag","Fri"))))</f>
        <v/>
      </c>
      <c r="J2342" s="30">
        <f>IF(I2342="Fri","Ja","")</f>
        <v/>
      </c>
      <c r="K2342" s="30">
        <f>IF(B2342="","",IF(L2342="","Ukjent tekniker",IF(ISNA(MATCH(C2342,Aktiviteter,0)),"Ukjent aktivitet",IF(AND(INDEX(AktRolle,MATCH(C2342,Aktiviteter,0))&amp;""&lt;&gt;"",ISERROR(SEARCH(INDEX(AktRolle,MATCH(C2342,Aktiviteter,0))&amp;"",INDEX(TekRoller,MATCH(B2342,Teknikere,0))))),"Mangler rollen "&amp;INDEX(AktRolle,MATCH(C2342,Aktiviteter,0))&amp;"",IF(AND(C2342="LMS",F2342&gt;0,OR(D2342="",E2342="")),"Mangler maskin eller arbeid",IF(AND(OR(C2342="LMS",C2342="Mod"),D2342&lt;&gt;""),IF(IFERROR(INDEX(MaskinStatus,MATCH(D2342,Maskiner,0)),"")="I dokk","","Maskinen er ikke i dokk"),""))))))</f>
        <v/>
      </c>
      <c r="L2342" s="2">
        <f>IF(B2342="","",IFERROR(INT((MATCH(B2342,Teknikere,0)-1)/18)+1,""))</f>
        <v/>
      </c>
      <c r="M2342" s="2">
        <f>IF(OR(A2342="",B2342=""),"",B2342&amp;"|"&amp;A2342)</f>
        <v/>
      </c>
      <c r="N2342" s="2">
        <f>IF(M2342="","",SUMIFS(TF_Timer,TF_Nokkel,M2342,TF_Akt,C2342))</f>
        <v/>
      </c>
      <c r="O2342" s="2">
        <f>IF(M2342="","",IF(AND(N2342=_xlfn.MAXIFS(TF_AktSum,TF_Nokkel,M2342),COUNTIFS(M$3:M2341,M2342,N$3:N2341,N2342)=0),M2342,""))</f>
        <v/>
      </c>
    </row>
    <row r="2343">
      <c r="A2343" s="34" t="n"/>
      <c r="B2343" s="35" t="n"/>
      <c r="C2343" s="35" t="n"/>
      <c r="D2343" s="35" t="n"/>
      <c r="E2343" s="35" t="n"/>
      <c r="F2343" s="36" t="n"/>
      <c r="G2343" s="35" t="n"/>
      <c r="H2343" s="30">
        <f>IF(L2343="","",INDEX(SkiftNavn,L2343))</f>
        <v/>
      </c>
      <c r="I2343" s="30">
        <f>IF(OR(A2343="",L2343=""),"",IF(MOD(A2343-INDEX(SkiftStart,L2343),Syklus)&lt;DagK,"Kveld",IF(MOD(A2343-INDEX(SkiftStart,L2343),Syklus)&lt;DagK+DagH,"Helg",IF(MOD(A2343-INDEX(SkiftStart,L2343),Syklus)&lt;DagK+DagH+DagD,"Dag","Fri"))))</f>
        <v/>
      </c>
      <c r="J2343" s="30">
        <f>IF(I2343="Fri","Ja","")</f>
        <v/>
      </c>
      <c r="K2343" s="30">
        <f>IF(B2343="","",IF(L2343="","Ukjent tekniker",IF(ISNA(MATCH(C2343,Aktiviteter,0)),"Ukjent aktivitet",IF(AND(INDEX(AktRolle,MATCH(C2343,Aktiviteter,0))&amp;""&lt;&gt;"",ISERROR(SEARCH(INDEX(AktRolle,MATCH(C2343,Aktiviteter,0))&amp;"",INDEX(TekRoller,MATCH(B2343,Teknikere,0))))),"Mangler rollen "&amp;INDEX(AktRolle,MATCH(C2343,Aktiviteter,0))&amp;"",IF(AND(C2343="LMS",F2343&gt;0,OR(D2343="",E2343="")),"Mangler maskin eller arbeid",IF(AND(OR(C2343="LMS",C2343="Mod"),D2343&lt;&gt;""),IF(IFERROR(INDEX(MaskinStatus,MATCH(D2343,Maskiner,0)),"")="I dokk","","Maskinen er ikke i dokk"),""))))))</f>
        <v/>
      </c>
      <c r="L2343" s="2">
        <f>IF(B2343="","",IFERROR(INT((MATCH(B2343,Teknikere,0)-1)/18)+1,""))</f>
        <v/>
      </c>
      <c r="M2343" s="2">
        <f>IF(OR(A2343="",B2343=""),"",B2343&amp;"|"&amp;A2343)</f>
        <v/>
      </c>
      <c r="N2343" s="2">
        <f>IF(M2343="","",SUMIFS(TF_Timer,TF_Nokkel,M2343,TF_Akt,C2343))</f>
        <v/>
      </c>
      <c r="O2343" s="2">
        <f>IF(M2343="","",IF(AND(N2343=_xlfn.MAXIFS(TF_AktSum,TF_Nokkel,M2343),COUNTIFS(M$3:M2342,M2343,N$3:N2342,N2343)=0),M2343,""))</f>
        <v/>
      </c>
    </row>
    <row r="2344">
      <c r="A2344" s="34" t="n"/>
      <c r="B2344" s="35" t="n"/>
      <c r="C2344" s="35" t="n"/>
      <c r="D2344" s="35" t="n"/>
      <c r="E2344" s="35" t="n"/>
      <c r="F2344" s="36" t="n"/>
      <c r="G2344" s="35" t="n"/>
      <c r="H2344" s="30">
        <f>IF(L2344="","",INDEX(SkiftNavn,L2344))</f>
        <v/>
      </c>
      <c r="I2344" s="30">
        <f>IF(OR(A2344="",L2344=""),"",IF(MOD(A2344-INDEX(SkiftStart,L2344),Syklus)&lt;DagK,"Kveld",IF(MOD(A2344-INDEX(SkiftStart,L2344),Syklus)&lt;DagK+DagH,"Helg",IF(MOD(A2344-INDEX(SkiftStart,L2344),Syklus)&lt;DagK+DagH+DagD,"Dag","Fri"))))</f>
        <v/>
      </c>
      <c r="J2344" s="30">
        <f>IF(I2344="Fri","Ja","")</f>
        <v/>
      </c>
      <c r="K2344" s="30">
        <f>IF(B2344="","",IF(L2344="","Ukjent tekniker",IF(ISNA(MATCH(C2344,Aktiviteter,0)),"Ukjent aktivitet",IF(AND(INDEX(AktRolle,MATCH(C2344,Aktiviteter,0))&amp;""&lt;&gt;"",ISERROR(SEARCH(INDEX(AktRolle,MATCH(C2344,Aktiviteter,0))&amp;"",INDEX(TekRoller,MATCH(B2344,Teknikere,0))))),"Mangler rollen "&amp;INDEX(AktRolle,MATCH(C2344,Aktiviteter,0))&amp;"",IF(AND(C2344="LMS",F2344&gt;0,OR(D2344="",E2344="")),"Mangler maskin eller arbeid",IF(AND(OR(C2344="LMS",C2344="Mod"),D2344&lt;&gt;""),IF(IFERROR(INDEX(MaskinStatus,MATCH(D2344,Maskiner,0)),"")="I dokk","","Maskinen er ikke i dokk"),""))))))</f>
        <v/>
      </c>
      <c r="L2344" s="2">
        <f>IF(B2344="","",IFERROR(INT((MATCH(B2344,Teknikere,0)-1)/18)+1,""))</f>
        <v/>
      </c>
      <c r="M2344" s="2">
        <f>IF(OR(A2344="",B2344=""),"",B2344&amp;"|"&amp;A2344)</f>
        <v/>
      </c>
      <c r="N2344" s="2">
        <f>IF(M2344="","",SUMIFS(TF_Timer,TF_Nokkel,M2344,TF_Akt,C2344))</f>
        <v/>
      </c>
      <c r="O2344" s="2">
        <f>IF(M2344="","",IF(AND(N2344=_xlfn.MAXIFS(TF_AktSum,TF_Nokkel,M2344),COUNTIFS(M$3:M2343,M2344,N$3:N2343,N2344)=0),M2344,""))</f>
        <v/>
      </c>
    </row>
    <row r="2345">
      <c r="A2345" s="34" t="n"/>
      <c r="B2345" s="35" t="n"/>
      <c r="C2345" s="35" t="n"/>
      <c r="D2345" s="35" t="n"/>
      <c r="E2345" s="35" t="n"/>
      <c r="F2345" s="36" t="n"/>
      <c r="G2345" s="35" t="n"/>
      <c r="H2345" s="30">
        <f>IF(L2345="","",INDEX(SkiftNavn,L2345))</f>
        <v/>
      </c>
      <c r="I2345" s="30">
        <f>IF(OR(A2345="",L2345=""),"",IF(MOD(A2345-INDEX(SkiftStart,L2345),Syklus)&lt;DagK,"Kveld",IF(MOD(A2345-INDEX(SkiftStart,L2345),Syklus)&lt;DagK+DagH,"Helg",IF(MOD(A2345-INDEX(SkiftStart,L2345),Syklus)&lt;DagK+DagH+DagD,"Dag","Fri"))))</f>
        <v/>
      </c>
      <c r="J2345" s="30">
        <f>IF(I2345="Fri","Ja","")</f>
        <v/>
      </c>
      <c r="K2345" s="30">
        <f>IF(B2345="","",IF(L2345="","Ukjent tekniker",IF(ISNA(MATCH(C2345,Aktiviteter,0)),"Ukjent aktivitet",IF(AND(INDEX(AktRolle,MATCH(C2345,Aktiviteter,0))&amp;""&lt;&gt;"",ISERROR(SEARCH(INDEX(AktRolle,MATCH(C2345,Aktiviteter,0))&amp;"",INDEX(TekRoller,MATCH(B2345,Teknikere,0))))),"Mangler rollen "&amp;INDEX(AktRolle,MATCH(C2345,Aktiviteter,0))&amp;"",IF(AND(C2345="LMS",F2345&gt;0,OR(D2345="",E2345="")),"Mangler maskin eller arbeid",IF(AND(OR(C2345="LMS",C2345="Mod"),D2345&lt;&gt;""),IF(IFERROR(INDEX(MaskinStatus,MATCH(D2345,Maskiner,0)),"")="I dokk","","Maskinen er ikke i dokk"),""))))))</f>
        <v/>
      </c>
      <c r="L2345" s="2">
        <f>IF(B2345="","",IFERROR(INT((MATCH(B2345,Teknikere,0)-1)/18)+1,""))</f>
        <v/>
      </c>
      <c r="M2345" s="2">
        <f>IF(OR(A2345="",B2345=""),"",B2345&amp;"|"&amp;A2345)</f>
        <v/>
      </c>
      <c r="N2345" s="2">
        <f>IF(M2345="","",SUMIFS(TF_Timer,TF_Nokkel,M2345,TF_Akt,C2345))</f>
        <v/>
      </c>
      <c r="O2345" s="2">
        <f>IF(M2345="","",IF(AND(N2345=_xlfn.MAXIFS(TF_AktSum,TF_Nokkel,M2345),COUNTIFS(M$3:M2344,M2345,N$3:N2344,N2345)=0),M2345,""))</f>
        <v/>
      </c>
    </row>
    <row r="2346">
      <c r="A2346" s="34" t="n"/>
      <c r="B2346" s="35" t="n"/>
      <c r="C2346" s="35" t="n"/>
      <c r="D2346" s="35" t="n"/>
      <c r="E2346" s="35" t="n"/>
      <c r="F2346" s="36" t="n"/>
      <c r="G2346" s="35" t="n"/>
      <c r="H2346" s="30">
        <f>IF(L2346="","",INDEX(SkiftNavn,L2346))</f>
        <v/>
      </c>
      <c r="I2346" s="30">
        <f>IF(OR(A2346="",L2346=""),"",IF(MOD(A2346-INDEX(SkiftStart,L2346),Syklus)&lt;DagK,"Kveld",IF(MOD(A2346-INDEX(SkiftStart,L2346),Syklus)&lt;DagK+DagH,"Helg",IF(MOD(A2346-INDEX(SkiftStart,L2346),Syklus)&lt;DagK+DagH+DagD,"Dag","Fri"))))</f>
        <v/>
      </c>
      <c r="J2346" s="30">
        <f>IF(I2346="Fri","Ja","")</f>
        <v/>
      </c>
      <c r="K2346" s="30">
        <f>IF(B2346="","",IF(L2346="","Ukjent tekniker",IF(ISNA(MATCH(C2346,Aktiviteter,0)),"Ukjent aktivitet",IF(AND(INDEX(AktRolle,MATCH(C2346,Aktiviteter,0))&amp;""&lt;&gt;"",ISERROR(SEARCH(INDEX(AktRolle,MATCH(C2346,Aktiviteter,0))&amp;"",INDEX(TekRoller,MATCH(B2346,Teknikere,0))))),"Mangler rollen "&amp;INDEX(AktRolle,MATCH(C2346,Aktiviteter,0))&amp;"",IF(AND(C2346="LMS",F2346&gt;0,OR(D2346="",E2346="")),"Mangler maskin eller arbeid",IF(AND(OR(C2346="LMS",C2346="Mod"),D2346&lt;&gt;""),IF(IFERROR(INDEX(MaskinStatus,MATCH(D2346,Maskiner,0)),"")="I dokk","","Maskinen er ikke i dokk"),""))))))</f>
        <v/>
      </c>
      <c r="L2346" s="2">
        <f>IF(B2346="","",IFERROR(INT((MATCH(B2346,Teknikere,0)-1)/18)+1,""))</f>
        <v/>
      </c>
      <c r="M2346" s="2">
        <f>IF(OR(A2346="",B2346=""),"",B2346&amp;"|"&amp;A2346)</f>
        <v/>
      </c>
      <c r="N2346" s="2">
        <f>IF(M2346="","",SUMIFS(TF_Timer,TF_Nokkel,M2346,TF_Akt,C2346))</f>
        <v/>
      </c>
      <c r="O2346" s="2">
        <f>IF(M2346="","",IF(AND(N2346=_xlfn.MAXIFS(TF_AktSum,TF_Nokkel,M2346),COUNTIFS(M$3:M2345,M2346,N$3:N2345,N2346)=0),M2346,""))</f>
        <v/>
      </c>
    </row>
    <row r="2347">
      <c r="A2347" s="34" t="n"/>
      <c r="B2347" s="35" t="n"/>
      <c r="C2347" s="35" t="n"/>
      <c r="D2347" s="35" t="n"/>
      <c r="E2347" s="35" t="n"/>
      <c r="F2347" s="36" t="n"/>
      <c r="G2347" s="35" t="n"/>
      <c r="H2347" s="30">
        <f>IF(L2347="","",INDEX(SkiftNavn,L2347))</f>
        <v/>
      </c>
      <c r="I2347" s="30">
        <f>IF(OR(A2347="",L2347=""),"",IF(MOD(A2347-INDEX(SkiftStart,L2347),Syklus)&lt;DagK,"Kveld",IF(MOD(A2347-INDEX(SkiftStart,L2347),Syklus)&lt;DagK+DagH,"Helg",IF(MOD(A2347-INDEX(SkiftStart,L2347),Syklus)&lt;DagK+DagH+DagD,"Dag","Fri"))))</f>
        <v/>
      </c>
      <c r="J2347" s="30">
        <f>IF(I2347="Fri","Ja","")</f>
        <v/>
      </c>
      <c r="K2347" s="30">
        <f>IF(B2347="","",IF(L2347="","Ukjent tekniker",IF(ISNA(MATCH(C2347,Aktiviteter,0)),"Ukjent aktivitet",IF(AND(INDEX(AktRolle,MATCH(C2347,Aktiviteter,0))&amp;""&lt;&gt;"",ISERROR(SEARCH(INDEX(AktRolle,MATCH(C2347,Aktiviteter,0))&amp;"",INDEX(TekRoller,MATCH(B2347,Teknikere,0))))),"Mangler rollen "&amp;INDEX(AktRolle,MATCH(C2347,Aktiviteter,0))&amp;"",IF(AND(C2347="LMS",F2347&gt;0,OR(D2347="",E2347="")),"Mangler maskin eller arbeid",IF(AND(OR(C2347="LMS",C2347="Mod"),D2347&lt;&gt;""),IF(IFERROR(INDEX(MaskinStatus,MATCH(D2347,Maskiner,0)),"")="I dokk","","Maskinen er ikke i dokk"),""))))))</f>
        <v/>
      </c>
      <c r="L2347" s="2">
        <f>IF(B2347="","",IFERROR(INT((MATCH(B2347,Teknikere,0)-1)/18)+1,""))</f>
        <v/>
      </c>
      <c r="M2347" s="2">
        <f>IF(OR(A2347="",B2347=""),"",B2347&amp;"|"&amp;A2347)</f>
        <v/>
      </c>
      <c r="N2347" s="2">
        <f>IF(M2347="","",SUMIFS(TF_Timer,TF_Nokkel,M2347,TF_Akt,C2347))</f>
        <v/>
      </c>
      <c r="O2347" s="2">
        <f>IF(M2347="","",IF(AND(N2347=_xlfn.MAXIFS(TF_AktSum,TF_Nokkel,M2347),COUNTIFS(M$3:M2346,M2347,N$3:N2346,N2347)=0),M2347,""))</f>
        <v/>
      </c>
    </row>
    <row r="2348">
      <c r="A2348" s="34" t="n"/>
      <c r="B2348" s="35" t="n"/>
      <c r="C2348" s="35" t="n"/>
      <c r="D2348" s="35" t="n"/>
      <c r="E2348" s="35" t="n"/>
      <c r="F2348" s="36" t="n"/>
      <c r="G2348" s="35" t="n"/>
      <c r="H2348" s="30">
        <f>IF(L2348="","",INDEX(SkiftNavn,L2348))</f>
        <v/>
      </c>
      <c r="I2348" s="30">
        <f>IF(OR(A2348="",L2348=""),"",IF(MOD(A2348-INDEX(SkiftStart,L2348),Syklus)&lt;DagK,"Kveld",IF(MOD(A2348-INDEX(SkiftStart,L2348),Syklus)&lt;DagK+DagH,"Helg",IF(MOD(A2348-INDEX(SkiftStart,L2348),Syklus)&lt;DagK+DagH+DagD,"Dag","Fri"))))</f>
        <v/>
      </c>
      <c r="J2348" s="30">
        <f>IF(I2348="Fri","Ja","")</f>
        <v/>
      </c>
      <c r="K2348" s="30">
        <f>IF(B2348="","",IF(L2348="","Ukjent tekniker",IF(ISNA(MATCH(C2348,Aktiviteter,0)),"Ukjent aktivitet",IF(AND(INDEX(AktRolle,MATCH(C2348,Aktiviteter,0))&amp;""&lt;&gt;"",ISERROR(SEARCH(INDEX(AktRolle,MATCH(C2348,Aktiviteter,0))&amp;"",INDEX(TekRoller,MATCH(B2348,Teknikere,0))))),"Mangler rollen "&amp;INDEX(AktRolle,MATCH(C2348,Aktiviteter,0))&amp;"",IF(AND(C2348="LMS",F2348&gt;0,OR(D2348="",E2348="")),"Mangler maskin eller arbeid",IF(AND(OR(C2348="LMS",C2348="Mod"),D2348&lt;&gt;""),IF(IFERROR(INDEX(MaskinStatus,MATCH(D2348,Maskiner,0)),"")="I dokk","","Maskinen er ikke i dokk"),""))))))</f>
        <v/>
      </c>
      <c r="L2348" s="2">
        <f>IF(B2348="","",IFERROR(INT((MATCH(B2348,Teknikere,0)-1)/18)+1,""))</f>
        <v/>
      </c>
      <c r="M2348" s="2">
        <f>IF(OR(A2348="",B2348=""),"",B2348&amp;"|"&amp;A2348)</f>
        <v/>
      </c>
      <c r="N2348" s="2">
        <f>IF(M2348="","",SUMIFS(TF_Timer,TF_Nokkel,M2348,TF_Akt,C2348))</f>
        <v/>
      </c>
      <c r="O2348" s="2">
        <f>IF(M2348="","",IF(AND(N2348=_xlfn.MAXIFS(TF_AktSum,TF_Nokkel,M2348),COUNTIFS(M$3:M2347,M2348,N$3:N2347,N2348)=0),M2348,""))</f>
        <v/>
      </c>
    </row>
    <row r="2349">
      <c r="A2349" s="34" t="n"/>
      <c r="B2349" s="35" t="n"/>
      <c r="C2349" s="35" t="n"/>
      <c r="D2349" s="35" t="n"/>
      <c r="E2349" s="35" t="n"/>
      <c r="F2349" s="36" t="n"/>
      <c r="G2349" s="35" t="n"/>
      <c r="H2349" s="30">
        <f>IF(L2349="","",INDEX(SkiftNavn,L2349))</f>
        <v/>
      </c>
      <c r="I2349" s="30">
        <f>IF(OR(A2349="",L2349=""),"",IF(MOD(A2349-INDEX(SkiftStart,L2349),Syklus)&lt;DagK,"Kveld",IF(MOD(A2349-INDEX(SkiftStart,L2349),Syklus)&lt;DagK+DagH,"Helg",IF(MOD(A2349-INDEX(SkiftStart,L2349),Syklus)&lt;DagK+DagH+DagD,"Dag","Fri"))))</f>
        <v/>
      </c>
      <c r="J2349" s="30">
        <f>IF(I2349="Fri","Ja","")</f>
        <v/>
      </c>
      <c r="K2349" s="30">
        <f>IF(B2349="","",IF(L2349="","Ukjent tekniker",IF(ISNA(MATCH(C2349,Aktiviteter,0)),"Ukjent aktivitet",IF(AND(INDEX(AktRolle,MATCH(C2349,Aktiviteter,0))&amp;""&lt;&gt;"",ISERROR(SEARCH(INDEX(AktRolle,MATCH(C2349,Aktiviteter,0))&amp;"",INDEX(TekRoller,MATCH(B2349,Teknikere,0))))),"Mangler rollen "&amp;INDEX(AktRolle,MATCH(C2349,Aktiviteter,0))&amp;"",IF(AND(C2349="LMS",F2349&gt;0,OR(D2349="",E2349="")),"Mangler maskin eller arbeid",IF(AND(OR(C2349="LMS",C2349="Mod"),D2349&lt;&gt;""),IF(IFERROR(INDEX(MaskinStatus,MATCH(D2349,Maskiner,0)),"")="I dokk","","Maskinen er ikke i dokk"),""))))))</f>
        <v/>
      </c>
      <c r="L2349" s="2">
        <f>IF(B2349="","",IFERROR(INT((MATCH(B2349,Teknikere,0)-1)/18)+1,""))</f>
        <v/>
      </c>
      <c r="M2349" s="2">
        <f>IF(OR(A2349="",B2349=""),"",B2349&amp;"|"&amp;A2349)</f>
        <v/>
      </c>
      <c r="N2349" s="2">
        <f>IF(M2349="","",SUMIFS(TF_Timer,TF_Nokkel,M2349,TF_Akt,C2349))</f>
        <v/>
      </c>
      <c r="O2349" s="2">
        <f>IF(M2349="","",IF(AND(N2349=_xlfn.MAXIFS(TF_AktSum,TF_Nokkel,M2349),COUNTIFS(M$3:M2348,M2349,N$3:N2348,N2349)=0),M2349,""))</f>
        <v/>
      </c>
    </row>
    <row r="2350">
      <c r="A2350" s="34" t="n"/>
      <c r="B2350" s="35" t="n"/>
      <c r="C2350" s="35" t="n"/>
      <c r="D2350" s="35" t="n"/>
      <c r="E2350" s="35" t="n"/>
      <c r="F2350" s="36" t="n"/>
      <c r="G2350" s="35" t="n"/>
      <c r="H2350" s="30">
        <f>IF(L2350="","",INDEX(SkiftNavn,L2350))</f>
        <v/>
      </c>
      <c r="I2350" s="30">
        <f>IF(OR(A2350="",L2350=""),"",IF(MOD(A2350-INDEX(SkiftStart,L2350),Syklus)&lt;DagK,"Kveld",IF(MOD(A2350-INDEX(SkiftStart,L2350),Syklus)&lt;DagK+DagH,"Helg",IF(MOD(A2350-INDEX(SkiftStart,L2350),Syklus)&lt;DagK+DagH+DagD,"Dag","Fri"))))</f>
        <v/>
      </c>
      <c r="J2350" s="30">
        <f>IF(I2350="Fri","Ja","")</f>
        <v/>
      </c>
      <c r="K2350" s="30">
        <f>IF(B2350="","",IF(L2350="","Ukjent tekniker",IF(ISNA(MATCH(C2350,Aktiviteter,0)),"Ukjent aktivitet",IF(AND(INDEX(AktRolle,MATCH(C2350,Aktiviteter,0))&amp;""&lt;&gt;"",ISERROR(SEARCH(INDEX(AktRolle,MATCH(C2350,Aktiviteter,0))&amp;"",INDEX(TekRoller,MATCH(B2350,Teknikere,0))))),"Mangler rollen "&amp;INDEX(AktRolle,MATCH(C2350,Aktiviteter,0))&amp;"",IF(AND(C2350="LMS",F2350&gt;0,OR(D2350="",E2350="")),"Mangler maskin eller arbeid",IF(AND(OR(C2350="LMS",C2350="Mod"),D2350&lt;&gt;""),IF(IFERROR(INDEX(MaskinStatus,MATCH(D2350,Maskiner,0)),"")="I dokk","","Maskinen er ikke i dokk"),""))))))</f>
        <v/>
      </c>
      <c r="L2350" s="2">
        <f>IF(B2350="","",IFERROR(INT((MATCH(B2350,Teknikere,0)-1)/18)+1,""))</f>
        <v/>
      </c>
      <c r="M2350" s="2">
        <f>IF(OR(A2350="",B2350=""),"",B2350&amp;"|"&amp;A2350)</f>
        <v/>
      </c>
      <c r="N2350" s="2">
        <f>IF(M2350="","",SUMIFS(TF_Timer,TF_Nokkel,M2350,TF_Akt,C2350))</f>
        <v/>
      </c>
      <c r="O2350" s="2">
        <f>IF(M2350="","",IF(AND(N2350=_xlfn.MAXIFS(TF_AktSum,TF_Nokkel,M2350),COUNTIFS(M$3:M2349,M2350,N$3:N2349,N2350)=0),M2350,""))</f>
        <v/>
      </c>
    </row>
    <row r="2351">
      <c r="A2351" s="34" t="n"/>
      <c r="B2351" s="35" t="n"/>
      <c r="C2351" s="35" t="n"/>
      <c r="D2351" s="35" t="n"/>
      <c r="E2351" s="35" t="n"/>
      <c r="F2351" s="36" t="n"/>
      <c r="G2351" s="35" t="n"/>
      <c r="H2351" s="30">
        <f>IF(L2351="","",INDEX(SkiftNavn,L2351))</f>
        <v/>
      </c>
      <c r="I2351" s="30">
        <f>IF(OR(A2351="",L2351=""),"",IF(MOD(A2351-INDEX(SkiftStart,L2351),Syklus)&lt;DagK,"Kveld",IF(MOD(A2351-INDEX(SkiftStart,L2351),Syklus)&lt;DagK+DagH,"Helg",IF(MOD(A2351-INDEX(SkiftStart,L2351),Syklus)&lt;DagK+DagH+DagD,"Dag","Fri"))))</f>
        <v/>
      </c>
      <c r="J2351" s="30">
        <f>IF(I2351="Fri","Ja","")</f>
        <v/>
      </c>
      <c r="K2351" s="30">
        <f>IF(B2351="","",IF(L2351="","Ukjent tekniker",IF(ISNA(MATCH(C2351,Aktiviteter,0)),"Ukjent aktivitet",IF(AND(INDEX(AktRolle,MATCH(C2351,Aktiviteter,0))&amp;""&lt;&gt;"",ISERROR(SEARCH(INDEX(AktRolle,MATCH(C2351,Aktiviteter,0))&amp;"",INDEX(TekRoller,MATCH(B2351,Teknikere,0))))),"Mangler rollen "&amp;INDEX(AktRolle,MATCH(C2351,Aktiviteter,0))&amp;"",IF(AND(C2351="LMS",F2351&gt;0,OR(D2351="",E2351="")),"Mangler maskin eller arbeid",IF(AND(OR(C2351="LMS",C2351="Mod"),D2351&lt;&gt;""),IF(IFERROR(INDEX(MaskinStatus,MATCH(D2351,Maskiner,0)),"")="I dokk","","Maskinen er ikke i dokk"),""))))))</f>
        <v/>
      </c>
      <c r="L2351" s="2">
        <f>IF(B2351="","",IFERROR(INT((MATCH(B2351,Teknikere,0)-1)/18)+1,""))</f>
        <v/>
      </c>
      <c r="M2351" s="2">
        <f>IF(OR(A2351="",B2351=""),"",B2351&amp;"|"&amp;A2351)</f>
        <v/>
      </c>
      <c r="N2351" s="2">
        <f>IF(M2351="","",SUMIFS(TF_Timer,TF_Nokkel,M2351,TF_Akt,C2351))</f>
        <v/>
      </c>
      <c r="O2351" s="2">
        <f>IF(M2351="","",IF(AND(N2351=_xlfn.MAXIFS(TF_AktSum,TF_Nokkel,M2351),COUNTIFS(M$3:M2350,M2351,N$3:N2350,N2351)=0),M2351,""))</f>
        <v/>
      </c>
    </row>
    <row r="2352">
      <c r="A2352" s="34" t="n"/>
      <c r="B2352" s="35" t="n"/>
      <c r="C2352" s="35" t="n"/>
      <c r="D2352" s="35" t="n"/>
      <c r="E2352" s="35" t="n"/>
      <c r="F2352" s="36" t="n"/>
      <c r="G2352" s="35" t="n"/>
      <c r="H2352" s="30">
        <f>IF(L2352="","",INDEX(SkiftNavn,L2352))</f>
        <v/>
      </c>
      <c r="I2352" s="30">
        <f>IF(OR(A2352="",L2352=""),"",IF(MOD(A2352-INDEX(SkiftStart,L2352),Syklus)&lt;DagK,"Kveld",IF(MOD(A2352-INDEX(SkiftStart,L2352),Syklus)&lt;DagK+DagH,"Helg",IF(MOD(A2352-INDEX(SkiftStart,L2352),Syklus)&lt;DagK+DagH+DagD,"Dag","Fri"))))</f>
        <v/>
      </c>
      <c r="J2352" s="30">
        <f>IF(I2352="Fri","Ja","")</f>
        <v/>
      </c>
      <c r="K2352" s="30">
        <f>IF(B2352="","",IF(L2352="","Ukjent tekniker",IF(ISNA(MATCH(C2352,Aktiviteter,0)),"Ukjent aktivitet",IF(AND(INDEX(AktRolle,MATCH(C2352,Aktiviteter,0))&amp;""&lt;&gt;"",ISERROR(SEARCH(INDEX(AktRolle,MATCH(C2352,Aktiviteter,0))&amp;"",INDEX(TekRoller,MATCH(B2352,Teknikere,0))))),"Mangler rollen "&amp;INDEX(AktRolle,MATCH(C2352,Aktiviteter,0))&amp;"",IF(AND(C2352="LMS",F2352&gt;0,OR(D2352="",E2352="")),"Mangler maskin eller arbeid",IF(AND(OR(C2352="LMS",C2352="Mod"),D2352&lt;&gt;""),IF(IFERROR(INDEX(MaskinStatus,MATCH(D2352,Maskiner,0)),"")="I dokk","","Maskinen er ikke i dokk"),""))))))</f>
        <v/>
      </c>
      <c r="L2352" s="2">
        <f>IF(B2352="","",IFERROR(INT((MATCH(B2352,Teknikere,0)-1)/18)+1,""))</f>
        <v/>
      </c>
      <c r="M2352" s="2">
        <f>IF(OR(A2352="",B2352=""),"",B2352&amp;"|"&amp;A2352)</f>
        <v/>
      </c>
      <c r="N2352" s="2">
        <f>IF(M2352="","",SUMIFS(TF_Timer,TF_Nokkel,M2352,TF_Akt,C2352))</f>
        <v/>
      </c>
      <c r="O2352" s="2">
        <f>IF(M2352="","",IF(AND(N2352=_xlfn.MAXIFS(TF_AktSum,TF_Nokkel,M2352),COUNTIFS(M$3:M2351,M2352,N$3:N2351,N2352)=0),M2352,""))</f>
        <v/>
      </c>
    </row>
    <row r="2353">
      <c r="A2353" s="34" t="n"/>
      <c r="B2353" s="35" t="n"/>
      <c r="C2353" s="35" t="n"/>
      <c r="D2353" s="35" t="n"/>
      <c r="E2353" s="35" t="n"/>
      <c r="F2353" s="36" t="n"/>
      <c r="G2353" s="35" t="n"/>
      <c r="H2353" s="30">
        <f>IF(L2353="","",INDEX(SkiftNavn,L2353))</f>
        <v/>
      </c>
      <c r="I2353" s="30">
        <f>IF(OR(A2353="",L2353=""),"",IF(MOD(A2353-INDEX(SkiftStart,L2353),Syklus)&lt;DagK,"Kveld",IF(MOD(A2353-INDEX(SkiftStart,L2353),Syklus)&lt;DagK+DagH,"Helg",IF(MOD(A2353-INDEX(SkiftStart,L2353),Syklus)&lt;DagK+DagH+DagD,"Dag","Fri"))))</f>
        <v/>
      </c>
      <c r="J2353" s="30">
        <f>IF(I2353="Fri","Ja","")</f>
        <v/>
      </c>
      <c r="K2353" s="30">
        <f>IF(B2353="","",IF(L2353="","Ukjent tekniker",IF(ISNA(MATCH(C2353,Aktiviteter,0)),"Ukjent aktivitet",IF(AND(INDEX(AktRolle,MATCH(C2353,Aktiviteter,0))&amp;""&lt;&gt;"",ISERROR(SEARCH(INDEX(AktRolle,MATCH(C2353,Aktiviteter,0))&amp;"",INDEX(TekRoller,MATCH(B2353,Teknikere,0))))),"Mangler rollen "&amp;INDEX(AktRolle,MATCH(C2353,Aktiviteter,0))&amp;"",IF(AND(C2353="LMS",F2353&gt;0,OR(D2353="",E2353="")),"Mangler maskin eller arbeid",IF(AND(OR(C2353="LMS",C2353="Mod"),D2353&lt;&gt;""),IF(IFERROR(INDEX(MaskinStatus,MATCH(D2353,Maskiner,0)),"")="I dokk","","Maskinen er ikke i dokk"),""))))))</f>
        <v/>
      </c>
      <c r="L2353" s="2">
        <f>IF(B2353="","",IFERROR(INT((MATCH(B2353,Teknikere,0)-1)/18)+1,""))</f>
        <v/>
      </c>
      <c r="M2353" s="2">
        <f>IF(OR(A2353="",B2353=""),"",B2353&amp;"|"&amp;A2353)</f>
        <v/>
      </c>
      <c r="N2353" s="2">
        <f>IF(M2353="","",SUMIFS(TF_Timer,TF_Nokkel,M2353,TF_Akt,C2353))</f>
        <v/>
      </c>
      <c r="O2353" s="2">
        <f>IF(M2353="","",IF(AND(N2353=_xlfn.MAXIFS(TF_AktSum,TF_Nokkel,M2353),COUNTIFS(M$3:M2352,M2353,N$3:N2352,N2353)=0),M2353,""))</f>
        <v/>
      </c>
    </row>
    <row r="2354">
      <c r="A2354" s="34" t="n"/>
      <c r="B2354" s="35" t="n"/>
      <c r="C2354" s="35" t="n"/>
      <c r="D2354" s="35" t="n"/>
      <c r="E2354" s="35" t="n"/>
      <c r="F2354" s="36" t="n"/>
      <c r="G2354" s="35" t="n"/>
      <c r="H2354" s="30">
        <f>IF(L2354="","",INDEX(SkiftNavn,L2354))</f>
        <v/>
      </c>
      <c r="I2354" s="30">
        <f>IF(OR(A2354="",L2354=""),"",IF(MOD(A2354-INDEX(SkiftStart,L2354),Syklus)&lt;DagK,"Kveld",IF(MOD(A2354-INDEX(SkiftStart,L2354),Syklus)&lt;DagK+DagH,"Helg",IF(MOD(A2354-INDEX(SkiftStart,L2354),Syklus)&lt;DagK+DagH+DagD,"Dag","Fri"))))</f>
        <v/>
      </c>
      <c r="J2354" s="30">
        <f>IF(I2354="Fri","Ja","")</f>
        <v/>
      </c>
      <c r="K2354" s="30">
        <f>IF(B2354="","",IF(L2354="","Ukjent tekniker",IF(ISNA(MATCH(C2354,Aktiviteter,0)),"Ukjent aktivitet",IF(AND(INDEX(AktRolle,MATCH(C2354,Aktiviteter,0))&amp;""&lt;&gt;"",ISERROR(SEARCH(INDEX(AktRolle,MATCH(C2354,Aktiviteter,0))&amp;"",INDEX(TekRoller,MATCH(B2354,Teknikere,0))))),"Mangler rollen "&amp;INDEX(AktRolle,MATCH(C2354,Aktiviteter,0))&amp;"",IF(AND(C2354="LMS",F2354&gt;0,OR(D2354="",E2354="")),"Mangler maskin eller arbeid",IF(AND(OR(C2354="LMS",C2354="Mod"),D2354&lt;&gt;""),IF(IFERROR(INDEX(MaskinStatus,MATCH(D2354,Maskiner,0)),"")="I dokk","","Maskinen er ikke i dokk"),""))))))</f>
        <v/>
      </c>
      <c r="L2354" s="2">
        <f>IF(B2354="","",IFERROR(INT((MATCH(B2354,Teknikere,0)-1)/18)+1,""))</f>
        <v/>
      </c>
      <c r="M2354" s="2">
        <f>IF(OR(A2354="",B2354=""),"",B2354&amp;"|"&amp;A2354)</f>
        <v/>
      </c>
      <c r="N2354" s="2">
        <f>IF(M2354="","",SUMIFS(TF_Timer,TF_Nokkel,M2354,TF_Akt,C2354))</f>
        <v/>
      </c>
      <c r="O2354" s="2">
        <f>IF(M2354="","",IF(AND(N2354=_xlfn.MAXIFS(TF_AktSum,TF_Nokkel,M2354),COUNTIFS(M$3:M2353,M2354,N$3:N2353,N2354)=0),M2354,""))</f>
        <v/>
      </c>
    </row>
    <row r="2355">
      <c r="A2355" s="34" t="n"/>
      <c r="B2355" s="35" t="n"/>
      <c r="C2355" s="35" t="n"/>
      <c r="D2355" s="35" t="n"/>
      <c r="E2355" s="35" t="n"/>
      <c r="F2355" s="36" t="n"/>
      <c r="G2355" s="35" t="n"/>
      <c r="H2355" s="30">
        <f>IF(L2355="","",INDEX(SkiftNavn,L2355))</f>
        <v/>
      </c>
      <c r="I2355" s="30">
        <f>IF(OR(A2355="",L2355=""),"",IF(MOD(A2355-INDEX(SkiftStart,L2355),Syklus)&lt;DagK,"Kveld",IF(MOD(A2355-INDEX(SkiftStart,L2355),Syklus)&lt;DagK+DagH,"Helg",IF(MOD(A2355-INDEX(SkiftStart,L2355),Syklus)&lt;DagK+DagH+DagD,"Dag","Fri"))))</f>
        <v/>
      </c>
      <c r="J2355" s="30">
        <f>IF(I2355="Fri","Ja","")</f>
        <v/>
      </c>
      <c r="K2355" s="30">
        <f>IF(B2355="","",IF(L2355="","Ukjent tekniker",IF(ISNA(MATCH(C2355,Aktiviteter,0)),"Ukjent aktivitet",IF(AND(INDEX(AktRolle,MATCH(C2355,Aktiviteter,0))&amp;""&lt;&gt;"",ISERROR(SEARCH(INDEX(AktRolle,MATCH(C2355,Aktiviteter,0))&amp;"",INDEX(TekRoller,MATCH(B2355,Teknikere,0))))),"Mangler rollen "&amp;INDEX(AktRolle,MATCH(C2355,Aktiviteter,0))&amp;"",IF(AND(C2355="LMS",F2355&gt;0,OR(D2355="",E2355="")),"Mangler maskin eller arbeid",IF(AND(OR(C2355="LMS",C2355="Mod"),D2355&lt;&gt;""),IF(IFERROR(INDEX(MaskinStatus,MATCH(D2355,Maskiner,0)),"")="I dokk","","Maskinen er ikke i dokk"),""))))))</f>
        <v/>
      </c>
      <c r="L2355" s="2">
        <f>IF(B2355="","",IFERROR(INT((MATCH(B2355,Teknikere,0)-1)/18)+1,""))</f>
        <v/>
      </c>
      <c r="M2355" s="2">
        <f>IF(OR(A2355="",B2355=""),"",B2355&amp;"|"&amp;A2355)</f>
        <v/>
      </c>
      <c r="N2355" s="2">
        <f>IF(M2355="","",SUMIFS(TF_Timer,TF_Nokkel,M2355,TF_Akt,C2355))</f>
        <v/>
      </c>
      <c r="O2355" s="2">
        <f>IF(M2355="","",IF(AND(N2355=_xlfn.MAXIFS(TF_AktSum,TF_Nokkel,M2355),COUNTIFS(M$3:M2354,M2355,N$3:N2354,N2355)=0),M2355,""))</f>
        <v/>
      </c>
    </row>
    <row r="2356">
      <c r="A2356" s="34" t="n"/>
      <c r="B2356" s="35" t="n"/>
      <c r="C2356" s="35" t="n"/>
      <c r="D2356" s="35" t="n"/>
      <c r="E2356" s="35" t="n"/>
      <c r="F2356" s="36" t="n"/>
      <c r="G2356" s="35" t="n"/>
      <c r="H2356" s="30">
        <f>IF(L2356="","",INDEX(SkiftNavn,L2356))</f>
        <v/>
      </c>
      <c r="I2356" s="30">
        <f>IF(OR(A2356="",L2356=""),"",IF(MOD(A2356-INDEX(SkiftStart,L2356),Syklus)&lt;DagK,"Kveld",IF(MOD(A2356-INDEX(SkiftStart,L2356),Syklus)&lt;DagK+DagH,"Helg",IF(MOD(A2356-INDEX(SkiftStart,L2356),Syklus)&lt;DagK+DagH+DagD,"Dag","Fri"))))</f>
        <v/>
      </c>
      <c r="J2356" s="30">
        <f>IF(I2356="Fri","Ja","")</f>
        <v/>
      </c>
      <c r="K2356" s="30">
        <f>IF(B2356="","",IF(L2356="","Ukjent tekniker",IF(ISNA(MATCH(C2356,Aktiviteter,0)),"Ukjent aktivitet",IF(AND(INDEX(AktRolle,MATCH(C2356,Aktiviteter,0))&amp;""&lt;&gt;"",ISERROR(SEARCH(INDEX(AktRolle,MATCH(C2356,Aktiviteter,0))&amp;"",INDEX(TekRoller,MATCH(B2356,Teknikere,0))))),"Mangler rollen "&amp;INDEX(AktRolle,MATCH(C2356,Aktiviteter,0))&amp;"",IF(AND(C2356="LMS",F2356&gt;0,OR(D2356="",E2356="")),"Mangler maskin eller arbeid",IF(AND(OR(C2356="LMS",C2356="Mod"),D2356&lt;&gt;""),IF(IFERROR(INDEX(MaskinStatus,MATCH(D2356,Maskiner,0)),"")="I dokk","","Maskinen er ikke i dokk"),""))))))</f>
        <v/>
      </c>
      <c r="L2356" s="2">
        <f>IF(B2356="","",IFERROR(INT((MATCH(B2356,Teknikere,0)-1)/18)+1,""))</f>
        <v/>
      </c>
      <c r="M2356" s="2">
        <f>IF(OR(A2356="",B2356=""),"",B2356&amp;"|"&amp;A2356)</f>
        <v/>
      </c>
      <c r="N2356" s="2">
        <f>IF(M2356="","",SUMIFS(TF_Timer,TF_Nokkel,M2356,TF_Akt,C2356))</f>
        <v/>
      </c>
      <c r="O2356" s="2">
        <f>IF(M2356="","",IF(AND(N2356=_xlfn.MAXIFS(TF_AktSum,TF_Nokkel,M2356),COUNTIFS(M$3:M2355,M2356,N$3:N2355,N2356)=0),M2356,""))</f>
        <v/>
      </c>
    </row>
    <row r="2357">
      <c r="A2357" s="34" t="n"/>
      <c r="B2357" s="35" t="n"/>
      <c r="C2357" s="35" t="n"/>
      <c r="D2357" s="35" t="n"/>
      <c r="E2357" s="35" t="n"/>
      <c r="F2357" s="36" t="n"/>
      <c r="G2357" s="35" t="n"/>
      <c r="H2357" s="30">
        <f>IF(L2357="","",INDEX(SkiftNavn,L2357))</f>
        <v/>
      </c>
      <c r="I2357" s="30">
        <f>IF(OR(A2357="",L2357=""),"",IF(MOD(A2357-INDEX(SkiftStart,L2357),Syklus)&lt;DagK,"Kveld",IF(MOD(A2357-INDEX(SkiftStart,L2357),Syklus)&lt;DagK+DagH,"Helg",IF(MOD(A2357-INDEX(SkiftStart,L2357),Syklus)&lt;DagK+DagH+DagD,"Dag","Fri"))))</f>
        <v/>
      </c>
      <c r="J2357" s="30">
        <f>IF(I2357="Fri","Ja","")</f>
        <v/>
      </c>
      <c r="K2357" s="30">
        <f>IF(B2357="","",IF(L2357="","Ukjent tekniker",IF(ISNA(MATCH(C2357,Aktiviteter,0)),"Ukjent aktivitet",IF(AND(INDEX(AktRolle,MATCH(C2357,Aktiviteter,0))&amp;""&lt;&gt;"",ISERROR(SEARCH(INDEX(AktRolle,MATCH(C2357,Aktiviteter,0))&amp;"",INDEX(TekRoller,MATCH(B2357,Teknikere,0))))),"Mangler rollen "&amp;INDEX(AktRolle,MATCH(C2357,Aktiviteter,0))&amp;"",IF(AND(C2357="LMS",F2357&gt;0,OR(D2357="",E2357="")),"Mangler maskin eller arbeid",IF(AND(OR(C2357="LMS",C2357="Mod"),D2357&lt;&gt;""),IF(IFERROR(INDEX(MaskinStatus,MATCH(D2357,Maskiner,0)),"")="I dokk","","Maskinen er ikke i dokk"),""))))))</f>
        <v/>
      </c>
      <c r="L2357" s="2">
        <f>IF(B2357="","",IFERROR(INT((MATCH(B2357,Teknikere,0)-1)/18)+1,""))</f>
        <v/>
      </c>
      <c r="M2357" s="2">
        <f>IF(OR(A2357="",B2357=""),"",B2357&amp;"|"&amp;A2357)</f>
        <v/>
      </c>
      <c r="N2357" s="2">
        <f>IF(M2357="","",SUMIFS(TF_Timer,TF_Nokkel,M2357,TF_Akt,C2357))</f>
        <v/>
      </c>
      <c r="O2357" s="2">
        <f>IF(M2357="","",IF(AND(N2357=_xlfn.MAXIFS(TF_AktSum,TF_Nokkel,M2357),COUNTIFS(M$3:M2356,M2357,N$3:N2356,N2357)=0),M2357,""))</f>
        <v/>
      </c>
    </row>
    <row r="2358">
      <c r="A2358" s="34" t="n"/>
      <c r="B2358" s="35" t="n"/>
      <c r="C2358" s="35" t="n"/>
      <c r="D2358" s="35" t="n"/>
      <c r="E2358" s="35" t="n"/>
      <c r="F2358" s="36" t="n"/>
      <c r="G2358" s="35" t="n"/>
      <c r="H2358" s="30">
        <f>IF(L2358="","",INDEX(SkiftNavn,L2358))</f>
        <v/>
      </c>
      <c r="I2358" s="30">
        <f>IF(OR(A2358="",L2358=""),"",IF(MOD(A2358-INDEX(SkiftStart,L2358),Syklus)&lt;DagK,"Kveld",IF(MOD(A2358-INDEX(SkiftStart,L2358),Syklus)&lt;DagK+DagH,"Helg",IF(MOD(A2358-INDEX(SkiftStart,L2358),Syklus)&lt;DagK+DagH+DagD,"Dag","Fri"))))</f>
        <v/>
      </c>
      <c r="J2358" s="30">
        <f>IF(I2358="Fri","Ja","")</f>
        <v/>
      </c>
      <c r="K2358" s="30">
        <f>IF(B2358="","",IF(L2358="","Ukjent tekniker",IF(ISNA(MATCH(C2358,Aktiviteter,0)),"Ukjent aktivitet",IF(AND(INDEX(AktRolle,MATCH(C2358,Aktiviteter,0))&amp;""&lt;&gt;"",ISERROR(SEARCH(INDEX(AktRolle,MATCH(C2358,Aktiviteter,0))&amp;"",INDEX(TekRoller,MATCH(B2358,Teknikere,0))))),"Mangler rollen "&amp;INDEX(AktRolle,MATCH(C2358,Aktiviteter,0))&amp;"",IF(AND(C2358="LMS",F2358&gt;0,OR(D2358="",E2358="")),"Mangler maskin eller arbeid",IF(AND(OR(C2358="LMS",C2358="Mod"),D2358&lt;&gt;""),IF(IFERROR(INDEX(MaskinStatus,MATCH(D2358,Maskiner,0)),"")="I dokk","","Maskinen er ikke i dokk"),""))))))</f>
        <v/>
      </c>
      <c r="L2358" s="2">
        <f>IF(B2358="","",IFERROR(INT((MATCH(B2358,Teknikere,0)-1)/18)+1,""))</f>
        <v/>
      </c>
      <c r="M2358" s="2">
        <f>IF(OR(A2358="",B2358=""),"",B2358&amp;"|"&amp;A2358)</f>
        <v/>
      </c>
      <c r="N2358" s="2">
        <f>IF(M2358="","",SUMIFS(TF_Timer,TF_Nokkel,M2358,TF_Akt,C2358))</f>
        <v/>
      </c>
      <c r="O2358" s="2">
        <f>IF(M2358="","",IF(AND(N2358=_xlfn.MAXIFS(TF_AktSum,TF_Nokkel,M2358),COUNTIFS(M$3:M2357,M2358,N$3:N2357,N2358)=0),M2358,""))</f>
        <v/>
      </c>
    </row>
    <row r="2359">
      <c r="A2359" s="34" t="n"/>
      <c r="B2359" s="35" t="n"/>
      <c r="C2359" s="35" t="n"/>
      <c r="D2359" s="35" t="n"/>
      <c r="E2359" s="35" t="n"/>
      <c r="F2359" s="36" t="n"/>
      <c r="G2359" s="35" t="n"/>
      <c r="H2359" s="30">
        <f>IF(L2359="","",INDEX(SkiftNavn,L2359))</f>
        <v/>
      </c>
      <c r="I2359" s="30">
        <f>IF(OR(A2359="",L2359=""),"",IF(MOD(A2359-INDEX(SkiftStart,L2359),Syklus)&lt;DagK,"Kveld",IF(MOD(A2359-INDEX(SkiftStart,L2359),Syklus)&lt;DagK+DagH,"Helg",IF(MOD(A2359-INDEX(SkiftStart,L2359),Syklus)&lt;DagK+DagH+DagD,"Dag","Fri"))))</f>
        <v/>
      </c>
      <c r="J2359" s="30">
        <f>IF(I2359="Fri","Ja","")</f>
        <v/>
      </c>
      <c r="K2359" s="30">
        <f>IF(B2359="","",IF(L2359="","Ukjent tekniker",IF(ISNA(MATCH(C2359,Aktiviteter,0)),"Ukjent aktivitet",IF(AND(INDEX(AktRolle,MATCH(C2359,Aktiviteter,0))&amp;""&lt;&gt;"",ISERROR(SEARCH(INDEX(AktRolle,MATCH(C2359,Aktiviteter,0))&amp;"",INDEX(TekRoller,MATCH(B2359,Teknikere,0))))),"Mangler rollen "&amp;INDEX(AktRolle,MATCH(C2359,Aktiviteter,0))&amp;"",IF(AND(C2359="LMS",F2359&gt;0,OR(D2359="",E2359="")),"Mangler maskin eller arbeid",IF(AND(OR(C2359="LMS",C2359="Mod"),D2359&lt;&gt;""),IF(IFERROR(INDEX(MaskinStatus,MATCH(D2359,Maskiner,0)),"")="I dokk","","Maskinen er ikke i dokk"),""))))))</f>
        <v/>
      </c>
      <c r="L2359" s="2">
        <f>IF(B2359="","",IFERROR(INT((MATCH(B2359,Teknikere,0)-1)/18)+1,""))</f>
        <v/>
      </c>
      <c r="M2359" s="2">
        <f>IF(OR(A2359="",B2359=""),"",B2359&amp;"|"&amp;A2359)</f>
        <v/>
      </c>
      <c r="N2359" s="2">
        <f>IF(M2359="","",SUMIFS(TF_Timer,TF_Nokkel,M2359,TF_Akt,C2359))</f>
        <v/>
      </c>
      <c r="O2359" s="2">
        <f>IF(M2359="","",IF(AND(N2359=_xlfn.MAXIFS(TF_AktSum,TF_Nokkel,M2359),COUNTIFS(M$3:M2358,M2359,N$3:N2358,N2359)=0),M2359,""))</f>
        <v/>
      </c>
    </row>
    <row r="2360">
      <c r="A2360" s="34" t="n"/>
      <c r="B2360" s="35" t="n"/>
      <c r="C2360" s="35" t="n"/>
      <c r="D2360" s="35" t="n"/>
      <c r="E2360" s="35" t="n"/>
      <c r="F2360" s="36" t="n"/>
      <c r="G2360" s="35" t="n"/>
      <c r="H2360" s="30">
        <f>IF(L2360="","",INDEX(SkiftNavn,L2360))</f>
        <v/>
      </c>
      <c r="I2360" s="30">
        <f>IF(OR(A2360="",L2360=""),"",IF(MOD(A2360-INDEX(SkiftStart,L2360),Syklus)&lt;DagK,"Kveld",IF(MOD(A2360-INDEX(SkiftStart,L2360),Syklus)&lt;DagK+DagH,"Helg",IF(MOD(A2360-INDEX(SkiftStart,L2360),Syklus)&lt;DagK+DagH+DagD,"Dag","Fri"))))</f>
        <v/>
      </c>
      <c r="J2360" s="30">
        <f>IF(I2360="Fri","Ja","")</f>
        <v/>
      </c>
      <c r="K2360" s="30">
        <f>IF(B2360="","",IF(L2360="","Ukjent tekniker",IF(ISNA(MATCH(C2360,Aktiviteter,0)),"Ukjent aktivitet",IF(AND(INDEX(AktRolle,MATCH(C2360,Aktiviteter,0))&amp;""&lt;&gt;"",ISERROR(SEARCH(INDEX(AktRolle,MATCH(C2360,Aktiviteter,0))&amp;"",INDEX(TekRoller,MATCH(B2360,Teknikere,0))))),"Mangler rollen "&amp;INDEX(AktRolle,MATCH(C2360,Aktiviteter,0))&amp;"",IF(AND(C2360="LMS",F2360&gt;0,OR(D2360="",E2360="")),"Mangler maskin eller arbeid",IF(AND(OR(C2360="LMS",C2360="Mod"),D2360&lt;&gt;""),IF(IFERROR(INDEX(MaskinStatus,MATCH(D2360,Maskiner,0)),"")="I dokk","","Maskinen er ikke i dokk"),""))))))</f>
        <v/>
      </c>
      <c r="L2360" s="2">
        <f>IF(B2360="","",IFERROR(INT((MATCH(B2360,Teknikere,0)-1)/18)+1,""))</f>
        <v/>
      </c>
      <c r="M2360" s="2">
        <f>IF(OR(A2360="",B2360=""),"",B2360&amp;"|"&amp;A2360)</f>
        <v/>
      </c>
      <c r="N2360" s="2">
        <f>IF(M2360="","",SUMIFS(TF_Timer,TF_Nokkel,M2360,TF_Akt,C2360))</f>
        <v/>
      </c>
      <c r="O2360" s="2">
        <f>IF(M2360="","",IF(AND(N2360=_xlfn.MAXIFS(TF_AktSum,TF_Nokkel,M2360),COUNTIFS(M$3:M2359,M2360,N$3:N2359,N2360)=0),M2360,""))</f>
        <v/>
      </c>
    </row>
    <row r="2361">
      <c r="A2361" s="34" t="n"/>
      <c r="B2361" s="35" t="n"/>
      <c r="C2361" s="35" t="n"/>
      <c r="D2361" s="35" t="n"/>
      <c r="E2361" s="35" t="n"/>
      <c r="F2361" s="36" t="n"/>
      <c r="G2361" s="35" t="n"/>
      <c r="H2361" s="30">
        <f>IF(L2361="","",INDEX(SkiftNavn,L2361))</f>
        <v/>
      </c>
      <c r="I2361" s="30">
        <f>IF(OR(A2361="",L2361=""),"",IF(MOD(A2361-INDEX(SkiftStart,L2361),Syklus)&lt;DagK,"Kveld",IF(MOD(A2361-INDEX(SkiftStart,L2361),Syklus)&lt;DagK+DagH,"Helg",IF(MOD(A2361-INDEX(SkiftStart,L2361),Syklus)&lt;DagK+DagH+DagD,"Dag","Fri"))))</f>
        <v/>
      </c>
      <c r="J2361" s="30">
        <f>IF(I2361="Fri","Ja","")</f>
        <v/>
      </c>
      <c r="K2361" s="30">
        <f>IF(B2361="","",IF(L2361="","Ukjent tekniker",IF(ISNA(MATCH(C2361,Aktiviteter,0)),"Ukjent aktivitet",IF(AND(INDEX(AktRolle,MATCH(C2361,Aktiviteter,0))&amp;""&lt;&gt;"",ISERROR(SEARCH(INDEX(AktRolle,MATCH(C2361,Aktiviteter,0))&amp;"",INDEX(TekRoller,MATCH(B2361,Teknikere,0))))),"Mangler rollen "&amp;INDEX(AktRolle,MATCH(C2361,Aktiviteter,0))&amp;"",IF(AND(C2361="LMS",F2361&gt;0,OR(D2361="",E2361="")),"Mangler maskin eller arbeid",IF(AND(OR(C2361="LMS",C2361="Mod"),D2361&lt;&gt;""),IF(IFERROR(INDEX(MaskinStatus,MATCH(D2361,Maskiner,0)),"")="I dokk","","Maskinen er ikke i dokk"),""))))))</f>
        <v/>
      </c>
      <c r="L2361" s="2">
        <f>IF(B2361="","",IFERROR(INT((MATCH(B2361,Teknikere,0)-1)/18)+1,""))</f>
        <v/>
      </c>
      <c r="M2361" s="2">
        <f>IF(OR(A2361="",B2361=""),"",B2361&amp;"|"&amp;A2361)</f>
        <v/>
      </c>
      <c r="N2361" s="2">
        <f>IF(M2361="","",SUMIFS(TF_Timer,TF_Nokkel,M2361,TF_Akt,C2361))</f>
        <v/>
      </c>
      <c r="O2361" s="2">
        <f>IF(M2361="","",IF(AND(N2361=_xlfn.MAXIFS(TF_AktSum,TF_Nokkel,M2361),COUNTIFS(M$3:M2360,M2361,N$3:N2360,N2361)=0),M2361,""))</f>
        <v/>
      </c>
    </row>
    <row r="2362">
      <c r="A2362" s="34" t="n"/>
      <c r="B2362" s="35" t="n"/>
      <c r="C2362" s="35" t="n"/>
      <c r="D2362" s="35" t="n"/>
      <c r="E2362" s="35" t="n"/>
      <c r="F2362" s="36" t="n"/>
      <c r="G2362" s="35" t="n"/>
      <c r="H2362" s="30">
        <f>IF(L2362="","",INDEX(SkiftNavn,L2362))</f>
        <v/>
      </c>
      <c r="I2362" s="30">
        <f>IF(OR(A2362="",L2362=""),"",IF(MOD(A2362-INDEX(SkiftStart,L2362),Syklus)&lt;DagK,"Kveld",IF(MOD(A2362-INDEX(SkiftStart,L2362),Syklus)&lt;DagK+DagH,"Helg",IF(MOD(A2362-INDEX(SkiftStart,L2362),Syklus)&lt;DagK+DagH+DagD,"Dag","Fri"))))</f>
        <v/>
      </c>
      <c r="J2362" s="30">
        <f>IF(I2362="Fri","Ja","")</f>
        <v/>
      </c>
      <c r="K2362" s="30">
        <f>IF(B2362="","",IF(L2362="","Ukjent tekniker",IF(ISNA(MATCH(C2362,Aktiviteter,0)),"Ukjent aktivitet",IF(AND(INDEX(AktRolle,MATCH(C2362,Aktiviteter,0))&amp;""&lt;&gt;"",ISERROR(SEARCH(INDEX(AktRolle,MATCH(C2362,Aktiviteter,0))&amp;"",INDEX(TekRoller,MATCH(B2362,Teknikere,0))))),"Mangler rollen "&amp;INDEX(AktRolle,MATCH(C2362,Aktiviteter,0))&amp;"",IF(AND(C2362="LMS",F2362&gt;0,OR(D2362="",E2362="")),"Mangler maskin eller arbeid",IF(AND(OR(C2362="LMS",C2362="Mod"),D2362&lt;&gt;""),IF(IFERROR(INDEX(MaskinStatus,MATCH(D2362,Maskiner,0)),"")="I dokk","","Maskinen er ikke i dokk"),""))))))</f>
        <v/>
      </c>
      <c r="L2362" s="2">
        <f>IF(B2362="","",IFERROR(INT((MATCH(B2362,Teknikere,0)-1)/18)+1,""))</f>
        <v/>
      </c>
      <c r="M2362" s="2">
        <f>IF(OR(A2362="",B2362=""),"",B2362&amp;"|"&amp;A2362)</f>
        <v/>
      </c>
      <c r="N2362" s="2">
        <f>IF(M2362="","",SUMIFS(TF_Timer,TF_Nokkel,M2362,TF_Akt,C2362))</f>
        <v/>
      </c>
      <c r="O2362" s="2">
        <f>IF(M2362="","",IF(AND(N2362=_xlfn.MAXIFS(TF_AktSum,TF_Nokkel,M2362),COUNTIFS(M$3:M2361,M2362,N$3:N2361,N2362)=0),M2362,""))</f>
        <v/>
      </c>
    </row>
    <row r="2363">
      <c r="A2363" s="34" t="n"/>
      <c r="B2363" s="35" t="n"/>
      <c r="C2363" s="35" t="n"/>
      <c r="D2363" s="35" t="n"/>
      <c r="E2363" s="35" t="n"/>
      <c r="F2363" s="36" t="n"/>
      <c r="G2363" s="35" t="n"/>
      <c r="H2363" s="30">
        <f>IF(L2363="","",INDEX(SkiftNavn,L2363))</f>
        <v/>
      </c>
      <c r="I2363" s="30">
        <f>IF(OR(A2363="",L2363=""),"",IF(MOD(A2363-INDEX(SkiftStart,L2363),Syklus)&lt;DagK,"Kveld",IF(MOD(A2363-INDEX(SkiftStart,L2363),Syklus)&lt;DagK+DagH,"Helg",IF(MOD(A2363-INDEX(SkiftStart,L2363),Syklus)&lt;DagK+DagH+DagD,"Dag","Fri"))))</f>
        <v/>
      </c>
      <c r="J2363" s="30">
        <f>IF(I2363="Fri","Ja","")</f>
        <v/>
      </c>
      <c r="K2363" s="30">
        <f>IF(B2363="","",IF(L2363="","Ukjent tekniker",IF(ISNA(MATCH(C2363,Aktiviteter,0)),"Ukjent aktivitet",IF(AND(INDEX(AktRolle,MATCH(C2363,Aktiviteter,0))&amp;""&lt;&gt;"",ISERROR(SEARCH(INDEX(AktRolle,MATCH(C2363,Aktiviteter,0))&amp;"",INDEX(TekRoller,MATCH(B2363,Teknikere,0))))),"Mangler rollen "&amp;INDEX(AktRolle,MATCH(C2363,Aktiviteter,0))&amp;"",IF(AND(C2363="LMS",F2363&gt;0,OR(D2363="",E2363="")),"Mangler maskin eller arbeid",IF(AND(OR(C2363="LMS",C2363="Mod"),D2363&lt;&gt;""),IF(IFERROR(INDEX(MaskinStatus,MATCH(D2363,Maskiner,0)),"")="I dokk","","Maskinen er ikke i dokk"),""))))))</f>
        <v/>
      </c>
      <c r="L2363" s="2">
        <f>IF(B2363="","",IFERROR(INT((MATCH(B2363,Teknikere,0)-1)/18)+1,""))</f>
        <v/>
      </c>
      <c r="M2363" s="2">
        <f>IF(OR(A2363="",B2363=""),"",B2363&amp;"|"&amp;A2363)</f>
        <v/>
      </c>
      <c r="N2363" s="2">
        <f>IF(M2363="","",SUMIFS(TF_Timer,TF_Nokkel,M2363,TF_Akt,C2363))</f>
        <v/>
      </c>
      <c r="O2363" s="2">
        <f>IF(M2363="","",IF(AND(N2363=_xlfn.MAXIFS(TF_AktSum,TF_Nokkel,M2363),COUNTIFS(M$3:M2362,M2363,N$3:N2362,N2363)=0),M2363,""))</f>
        <v/>
      </c>
    </row>
    <row r="2364">
      <c r="A2364" s="34" t="n"/>
      <c r="B2364" s="35" t="n"/>
      <c r="C2364" s="35" t="n"/>
      <c r="D2364" s="35" t="n"/>
      <c r="E2364" s="35" t="n"/>
      <c r="F2364" s="36" t="n"/>
      <c r="G2364" s="35" t="n"/>
      <c r="H2364" s="30">
        <f>IF(L2364="","",INDEX(SkiftNavn,L2364))</f>
        <v/>
      </c>
      <c r="I2364" s="30">
        <f>IF(OR(A2364="",L2364=""),"",IF(MOD(A2364-INDEX(SkiftStart,L2364),Syklus)&lt;DagK,"Kveld",IF(MOD(A2364-INDEX(SkiftStart,L2364),Syklus)&lt;DagK+DagH,"Helg",IF(MOD(A2364-INDEX(SkiftStart,L2364),Syklus)&lt;DagK+DagH+DagD,"Dag","Fri"))))</f>
        <v/>
      </c>
      <c r="J2364" s="30">
        <f>IF(I2364="Fri","Ja","")</f>
        <v/>
      </c>
      <c r="K2364" s="30">
        <f>IF(B2364="","",IF(L2364="","Ukjent tekniker",IF(ISNA(MATCH(C2364,Aktiviteter,0)),"Ukjent aktivitet",IF(AND(INDEX(AktRolle,MATCH(C2364,Aktiviteter,0))&amp;""&lt;&gt;"",ISERROR(SEARCH(INDEX(AktRolle,MATCH(C2364,Aktiviteter,0))&amp;"",INDEX(TekRoller,MATCH(B2364,Teknikere,0))))),"Mangler rollen "&amp;INDEX(AktRolle,MATCH(C2364,Aktiviteter,0))&amp;"",IF(AND(C2364="LMS",F2364&gt;0,OR(D2364="",E2364="")),"Mangler maskin eller arbeid",IF(AND(OR(C2364="LMS",C2364="Mod"),D2364&lt;&gt;""),IF(IFERROR(INDEX(MaskinStatus,MATCH(D2364,Maskiner,0)),"")="I dokk","","Maskinen er ikke i dokk"),""))))))</f>
        <v/>
      </c>
      <c r="L2364" s="2">
        <f>IF(B2364="","",IFERROR(INT((MATCH(B2364,Teknikere,0)-1)/18)+1,""))</f>
        <v/>
      </c>
      <c r="M2364" s="2">
        <f>IF(OR(A2364="",B2364=""),"",B2364&amp;"|"&amp;A2364)</f>
        <v/>
      </c>
      <c r="N2364" s="2">
        <f>IF(M2364="","",SUMIFS(TF_Timer,TF_Nokkel,M2364,TF_Akt,C2364))</f>
        <v/>
      </c>
      <c r="O2364" s="2">
        <f>IF(M2364="","",IF(AND(N2364=_xlfn.MAXIFS(TF_AktSum,TF_Nokkel,M2364),COUNTIFS(M$3:M2363,M2364,N$3:N2363,N2364)=0),M2364,""))</f>
        <v/>
      </c>
    </row>
    <row r="2365">
      <c r="A2365" s="34" t="n"/>
      <c r="B2365" s="35" t="n"/>
      <c r="C2365" s="35" t="n"/>
      <c r="D2365" s="35" t="n"/>
      <c r="E2365" s="35" t="n"/>
      <c r="F2365" s="36" t="n"/>
      <c r="G2365" s="35" t="n"/>
      <c r="H2365" s="30">
        <f>IF(L2365="","",INDEX(SkiftNavn,L2365))</f>
        <v/>
      </c>
      <c r="I2365" s="30">
        <f>IF(OR(A2365="",L2365=""),"",IF(MOD(A2365-INDEX(SkiftStart,L2365),Syklus)&lt;DagK,"Kveld",IF(MOD(A2365-INDEX(SkiftStart,L2365),Syklus)&lt;DagK+DagH,"Helg",IF(MOD(A2365-INDEX(SkiftStart,L2365),Syklus)&lt;DagK+DagH+DagD,"Dag","Fri"))))</f>
        <v/>
      </c>
      <c r="J2365" s="30">
        <f>IF(I2365="Fri","Ja","")</f>
        <v/>
      </c>
      <c r="K2365" s="30">
        <f>IF(B2365="","",IF(L2365="","Ukjent tekniker",IF(ISNA(MATCH(C2365,Aktiviteter,0)),"Ukjent aktivitet",IF(AND(INDEX(AktRolle,MATCH(C2365,Aktiviteter,0))&amp;""&lt;&gt;"",ISERROR(SEARCH(INDEX(AktRolle,MATCH(C2365,Aktiviteter,0))&amp;"",INDEX(TekRoller,MATCH(B2365,Teknikere,0))))),"Mangler rollen "&amp;INDEX(AktRolle,MATCH(C2365,Aktiviteter,0))&amp;"",IF(AND(C2365="LMS",F2365&gt;0,OR(D2365="",E2365="")),"Mangler maskin eller arbeid",IF(AND(OR(C2365="LMS",C2365="Mod"),D2365&lt;&gt;""),IF(IFERROR(INDEX(MaskinStatus,MATCH(D2365,Maskiner,0)),"")="I dokk","","Maskinen er ikke i dokk"),""))))))</f>
        <v/>
      </c>
      <c r="L2365" s="2">
        <f>IF(B2365="","",IFERROR(INT((MATCH(B2365,Teknikere,0)-1)/18)+1,""))</f>
        <v/>
      </c>
      <c r="M2365" s="2">
        <f>IF(OR(A2365="",B2365=""),"",B2365&amp;"|"&amp;A2365)</f>
        <v/>
      </c>
      <c r="N2365" s="2">
        <f>IF(M2365="","",SUMIFS(TF_Timer,TF_Nokkel,M2365,TF_Akt,C2365))</f>
        <v/>
      </c>
      <c r="O2365" s="2">
        <f>IF(M2365="","",IF(AND(N2365=_xlfn.MAXIFS(TF_AktSum,TF_Nokkel,M2365),COUNTIFS(M$3:M2364,M2365,N$3:N2364,N2365)=0),M2365,""))</f>
        <v/>
      </c>
    </row>
    <row r="2366">
      <c r="A2366" s="34" t="n"/>
      <c r="B2366" s="35" t="n"/>
      <c r="C2366" s="35" t="n"/>
      <c r="D2366" s="35" t="n"/>
      <c r="E2366" s="35" t="n"/>
      <c r="F2366" s="36" t="n"/>
      <c r="G2366" s="35" t="n"/>
      <c r="H2366" s="30">
        <f>IF(L2366="","",INDEX(SkiftNavn,L2366))</f>
        <v/>
      </c>
      <c r="I2366" s="30">
        <f>IF(OR(A2366="",L2366=""),"",IF(MOD(A2366-INDEX(SkiftStart,L2366),Syklus)&lt;DagK,"Kveld",IF(MOD(A2366-INDEX(SkiftStart,L2366),Syklus)&lt;DagK+DagH,"Helg",IF(MOD(A2366-INDEX(SkiftStart,L2366),Syklus)&lt;DagK+DagH+DagD,"Dag","Fri"))))</f>
        <v/>
      </c>
      <c r="J2366" s="30">
        <f>IF(I2366="Fri","Ja","")</f>
        <v/>
      </c>
      <c r="K2366" s="30">
        <f>IF(B2366="","",IF(L2366="","Ukjent tekniker",IF(ISNA(MATCH(C2366,Aktiviteter,0)),"Ukjent aktivitet",IF(AND(INDEX(AktRolle,MATCH(C2366,Aktiviteter,0))&amp;""&lt;&gt;"",ISERROR(SEARCH(INDEX(AktRolle,MATCH(C2366,Aktiviteter,0))&amp;"",INDEX(TekRoller,MATCH(B2366,Teknikere,0))))),"Mangler rollen "&amp;INDEX(AktRolle,MATCH(C2366,Aktiviteter,0))&amp;"",IF(AND(C2366="LMS",F2366&gt;0,OR(D2366="",E2366="")),"Mangler maskin eller arbeid",IF(AND(OR(C2366="LMS",C2366="Mod"),D2366&lt;&gt;""),IF(IFERROR(INDEX(MaskinStatus,MATCH(D2366,Maskiner,0)),"")="I dokk","","Maskinen er ikke i dokk"),""))))))</f>
        <v/>
      </c>
      <c r="L2366" s="2">
        <f>IF(B2366="","",IFERROR(INT((MATCH(B2366,Teknikere,0)-1)/18)+1,""))</f>
        <v/>
      </c>
      <c r="M2366" s="2">
        <f>IF(OR(A2366="",B2366=""),"",B2366&amp;"|"&amp;A2366)</f>
        <v/>
      </c>
      <c r="N2366" s="2">
        <f>IF(M2366="","",SUMIFS(TF_Timer,TF_Nokkel,M2366,TF_Akt,C2366))</f>
        <v/>
      </c>
      <c r="O2366" s="2">
        <f>IF(M2366="","",IF(AND(N2366=_xlfn.MAXIFS(TF_AktSum,TF_Nokkel,M2366),COUNTIFS(M$3:M2365,M2366,N$3:N2365,N2366)=0),M2366,""))</f>
        <v/>
      </c>
    </row>
    <row r="2367">
      <c r="A2367" s="34" t="n"/>
      <c r="B2367" s="35" t="n"/>
      <c r="C2367" s="35" t="n"/>
      <c r="D2367" s="35" t="n"/>
      <c r="E2367" s="35" t="n"/>
      <c r="F2367" s="36" t="n"/>
      <c r="G2367" s="35" t="n"/>
      <c r="H2367" s="30">
        <f>IF(L2367="","",INDEX(SkiftNavn,L2367))</f>
        <v/>
      </c>
      <c r="I2367" s="30">
        <f>IF(OR(A2367="",L2367=""),"",IF(MOD(A2367-INDEX(SkiftStart,L2367),Syklus)&lt;DagK,"Kveld",IF(MOD(A2367-INDEX(SkiftStart,L2367),Syklus)&lt;DagK+DagH,"Helg",IF(MOD(A2367-INDEX(SkiftStart,L2367),Syklus)&lt;DagK+DagH+DagD,"Dag","Fri"))))</f>
        <v/>
      </c>
      <c r="J2367" s="30">
        <f>IF(I2367="Fri","Ja","")</f>
        <v/>
      </c>
      <c r="K2367" s="30">
        <f>IF(B2367="","",IF(L2367="","Ukjent tekniker",IF(ISNA(MATCH(C2367,Aktiviteter,0)),"Ukjent aktivitet",IF(AND(INDEX(AktRolle,MATCH(C2367,Aktiviteter,0))&amp;""&lt;&gt;"",ISERROR(SEARCH(INDEX(AktRolle,MATCH(C2367,Aktiviteter,0))&amp;"",INDEX(TekRoller,MATCH(B2367,Teknikere,0))))),"Mangler rollen "&amp;INDEX(AktRolle,MATCH(C2367,Aktiviteter,0))&amp;"",IF(AND(C2367="LMS",F2367&gt;0,OR(D2367="",E2367="")),"Mangler maskin eller arbeid",IF(AND(OR(C2367="LMS",C2367="Mod"),D2367&lt;&gt;""),IF(IFERROR(INDEX(MaskinStatus,MATCH(D2367,Maskiner,0)),"")="I dokk","","Maskinen er ikke i dokk"),""))))))</f>
        <v/>
      </c>
      <c r="L2367" s="2">
        <f>IF(B2367="","",IFERROR(INT((MATCH(B2367,Teknikere,0)-1)/18)+1,""))</f>
        <v/>
      </c>
      <c r="M2367" s="2">
        <f>IF(OR(A2367="",B2367=""),"",B2367&amp;"|"&amp;A2367)</f>
        <v/>
      </c>
      <c r="N2367" s="2">
        <f>IF(M2367="","",SUMIFS(TF_Timer,TF_Nokkel,M2367,TF_Akt,C2367))</f>
        <v/>
      </c>
      <c r="O2367" s="2">
        <f>IF(M2367="","",IF(AND(N2367=_xlfn.MAXIFS(TF_AktSum,TF_Nokkel,M2367),COUNTIFS(M$3:M2366,M2367,N$3:N2366,N2367)=0),M2367,""))</f>
        <v/>
      </c>
    </row>
    <row r="2368">
      <c r="A2368" s="34" t="n"/>
      <c r="B2368" s="35" t="n"/>
      <c r="C2368" s="35" t="n"/>
      <c r="D2368" s="35" t="n"/>
      <c r="E2368" s="35" t="n"/>
      <c r="F2368" s="36" t="n"/>
      <c r="G2368" s="35" t="n"/>
      <c r="H2368" s="30">
        <f>IF(L2368="","",INDEX(SkiftNavn,L2368))</f>
        <v/>
      </c>
      <c r="I2368" s="30">
        <f>IF(OR(A2368="",L2368=""),"",IF(MOD(A2368-INDEX(SkiftStart,L2368),Syklus)&lt;DagK,"Kveld",IF(MOD(A2368-INDEX(SkiftStart,L2368),Syklus)&lt;DagK+DagH,"Helg",IF(MOD(A2368-INDEX(SkiftStart,L2368),Syklus)&lt;DagK+DagH+DagD,"Dag","Fri"))))</f>
        <v/>
      </c>
      <c r="J2368" s="30">
        <f>IF(I2368="Fri","Ja","")</f>
        <v/>
      </c>
      <c r="K2368" s="30">
        <f>IF(B2368="","",IF(L2368="","Ukjent tekniker",IF(ISNA(MATCH(C2368,Aktiviteter,0)),"Ukjent aktivitet",IF(AND(INDEX(AktRolle,MATCH(C2368,Aktiviteter,0))&amp;""&lt;&gt;"",ISERROR(SEARCH(INDEX(AktRolle,MATCH(C2368,Aktiviteter,0))&amp;"",INDEX(TekRoller,MATCH(B2368,Teknikere,0))))),"Mangler rollen "&amp;INDEX(AktRolle,MATCH(C2368,Aktiviteter,0))&amp;"",IF(AND(C2368="LMS",F2368&gt;0,OR(D2368="",E2368="")),"Mangler maskin eller arbeid",IF(AND(OR(C2368="LMS",C2368="Mod"),D2368&lt;&gt;""),IF(IFERROR(INDEX(MaskinStatus,MATCH(D2368,Maskiner,0)),"")="I dokk","","Maskinen er ikke i dokk"),""))))))</f>
        <v/>
      </c>
      <c r="L2368" s="2">
        <f>IF(B2368="","",IFERROR(INT((MATCH(B2368,Teknikere,0)-1)/18)+1,""))</f>
        <v/>
      </c>
      <c r="M2368" s="2">
        <f>IF(OR(A2368="",B2368=""),"",B2368&amp;"|"&amp;A2368)</f>
        <v/>
      </c>
      <c r="N2368" s="2">
        <f>IF(M2368="","",SUMIFS(TF_Timer,TF_Nokkel,M2368,TF_Akt,C2368))</f>
        <v/>
      </c>
      <c r="O2368" s="2">
        <f>IF(M2368="","",IF(AND(N2368=_xlfn.MAXIFS(TF_AktSum,TF_Nokkel,M2368),COUNTIFS(M$3:M2367,M2368,N$3:N2367,N2368)=0),M2368,""))</f>
        <v/>
      </c>
    </row>
    <row r="2369">
      <c r="A2369" s="34" t="n"/>
      <c r="B2369" s="35" t="n"/>
      <c r="C2369" s="35" t="n"/>
      <c r="D2369" s="35" t="n"/>
      <c r="E2369" s="35" t="n"/>
      <c r="F2369" s="36" t="n"/>
      <c r="G2369" s="35" t="n"/>
      <c r="H2369" s="30">
        <f>IF(L2369="","",INDEX(SkiftNavn,L2369))</f>
        <v/>
      </c>
      <c r="I2369" s="30">
        <f>IF(OR(A2369="",L2369=""),"",IF(MOD(A2369-INDEX(SkiftStart,L2369),Syklus)&lt;DagK,"Kveld",IF(MOD(A2369-INDEX(SkiftStart,L2369),Syklus)&lt;DagK+DagH,"Helg",IF(MOD(A2369-INDEX(SkiftStart,L2369),Syklus)&lt;DagK+DagH+DagD,"Dag","Fri"))))</f>
        <v/>
      </c>
      <c r="J2369" s="30">
        <f>IF(I2369="Fri","Ja","")</f>
        <v/>
      </c>
      <c r="K2369" s="30">
        <f>IF(B2369="","",IF(L2369="","Ukjent tekniker",IF(ISNA(MATCH(C2369,Aktiviteter,0)),"Ukjent aktivitet",IF(AND(INDEX(AktRolle,MATCH(C2369,Aktiviteter,0))&amp;""&lt;&gt;"",ISERROR(SEARCH(INDEX(AktRolle,MATCH(C2369,Aktiviteter,0))&amp;"",INDEX(TekRoller,MATCH(B2369,Teknikere,0))))),"Mangler rollen "&amp;INDEX(AktRolle,MATCH(C2369,Aktiviteter,0))&amp;"",IF(AND(C2369="LMS",F2369&gt;0,OR(D2369="",E2369="")),"Mangler maskin eller arbeid",IF(AND(OR(C2369="LMS",C2369="Mod"),D2369&lt;&gt;""),IF(IFERROR(INDEX(MaskinStatus,MATCH(D2369,Maskiner,0)),"")="I dokk","","Maskinen er ikke i dokk"),""))))))</f>
        <v/>
      </c>
      <c r="L2369" s="2">
        <f>IF(B2369="","",IFERROR(INT((MATCH(B2369,Teknikere,0)-1)/18)+1,""))</f>
        <v/>
      </c>
      <c r="M2369" s="2">
        <f>IF(OR(A2369="",B2369=""),"",B2369&amp;"|"&amp;A2369)</f>
        <v/>
      </c>
      <c r="N2369" s="2">
        <f>IF(M2369="","",SUMIFS(TF_Timer,TF_Nokkel,M2369,TF_Akt,C2369))</f>
        <v/>
      </c>
      <c r="O2369" s="2">
        <f>IF(M2369="","",IF(AND(N2369=_xlfn.MAXIFS(TF_AktSum,TF_Nokkel,M2369),COUNTIFS(M$3:M2368,M2369,N$3:N2368,N2369)=0),M2369,""))</f>
        <v/>
      </c>
    </row>
    <row r="2370">
      <c r="A2370" s="34" t="n"/>
      <c r="B2370" s="35" t="n"/>
      <c r="C2370" s="35" t="n"/>
      <c r="D2370" s="35" t="n"/>
      <c r="E2370" s="35" t="n"/>
      <c r="F2370" s="36" t="n"/>
      <c r="G2370" s="35" t="n"/>
      <c r="H2370" s="30">
        <f>IF(L2370="","",INDEX(SkiftNavn,L2370))</f>
        <v/>
      </c>
      <c r="I2370" s="30">
        <f>IF(OR(A2370="",L2370=""),"",IF(MOD(A2370-INDEX(SkiftStart,L2370),Syklus)&lt;DagK,"Kveld",IF(MOD(A2370-INDEX(SkiftStart,L2370),Syklus)&lt;DagK+DagH,"Helg",IF(MOD(A2370-INDEX(SkiftStart,L2370),Syklus)&lt;DagK+DagH+DagD,"Dag","Fri"))))</f>
        <v/>
      </c>
      <c r="J2370" s="30">
        <f>IF(I2370="Fri","Ja","")</f>
        <v/>
      </c>
      <c r="K2370" s="30">
        <f>IF(B2370="","",IF(L2370="","Ukjent tekniker",IF(ISNA(MATCH(C2370,Aktiviteter,0)),"Ukjent aktivitet",IF(AND(INDEX(AktRolle,MATCH(C2370,Aktiviteter,0))&amp;""&lt;&gt;"",ISERROR(SEARCH(INDEX(AktRolle,MATCH(C2370,Aktiviteter,0))&amp;"",INDEX(TekRoller,MATCH(B2370,Teknikere,0))))),"Mangler rollen "&amp;INDEX(AktRolle,MATCH(C2370,Aktiviteter,0))&amp;"",IF(AND(C2370="LMS",F2370&gt;0,OR(D2370="",E2370="")),"Mangler maskin eller arbeid",IF(AND(OR(C2370="LMS",C2370="Mod"),D2370&lt;&gt;""),IF(IFERROR(INDEX(MaskinStatus,MATCH(D2370,Maskiner,0)),"")="I dokk","","Maskinen er ikke i dokk"),""))))))</f>
        <v/>
      </c>
      <c r="L2370" s="2">
        <f>IF(B2370="","",IFERROR(INT((MATCH(B2370,Teknikere,0)-1)/18)+1,""))</f>
        <v/>
      </c>
      <c r="M2370" s="2">
        <f>IF(OR(A2370="",B2370=""),"",B2370&amp;"|"&amp;A2370)</f>
        <v/>
      </c>
      <c r="N2370" s="2">
        <f>IF(M2370="","",SUMIFS(TF_Timer,TF_Nokkel,M2370,TF_Akt,C2370))</f>
        <v/>
      </c>
      <c r="O2370" s="2">
        <f>IF(M2370="","",IF(AND(N2370=_xlfn.MAXIFS(TF_AktSum,TF_Nokkel,M2370),COUNTIFS(M$3:M2369,M2370,N$3:N2369,N2370)=0),M2370,""))</f>
        <v/>
      </c>
    </row>
    <row r="2371">
      <c r="A2371" s="34" t="n"/>
      <c r="B2371" s="35" t="n"/>
      <c r="C2371" s="35" t="n"/>
      <c r="D2371" s="35" t="n"/>
      <c r="E2371" s="35" t="n"/>
      <c r="F2371" s="36" t="n"/>
      <c r="G2371" s="35" t="n"/>
      <c r="H2371" s="30">
        <f>IF(L2371="","",INDEX(SkiftNavn,L2371))</f>
        <v/>
      </c>
      <c r="I2371" s="30">
        <f>IF(OR(A2371="",L2371=""),"",IF(MOD(A2371-INDEX(SkiftStart,L2371),Syklus)&lt;DagK,"Kveld",IF(MOD(A2371-INDEX(SkiftStart,L2371),Syklus)&lt;DagK+DagH,"Helg",IF(MOD(A2371-INDEX(SkiftStart,L2371),Syklus)&lt;DagK+DagH+DagD,"Dag","Fri"))))</f>
        <v/>
      </c>
      <c r="J2371" s="30">
        <f>IF(I2371="Fri","Ja","")</f>
        <v/>
      </c>
      <c r="K2371" s="30">
        <f>IF(B2371="","",IF(L2371="","Ukjent tekniker",IF(ISNA(MATCH(C2371,Aktiviteter,0)),"Ukjent aktivitet",IF(AND(INDEX(AktRolle,MATCH(C2371,Aktiviteter,0))&amp;""&lt;&gt;"",ISERROR(SEARCH(INDEX(AktRolle,MATCH(C2371,Aktiviteter,0))&amp;"",INDEX(TekRoller,MATCH(B2371,Teknikere,0))))),"Mangler rollen "&amp;INDEX(AktRolle,MATCH(C2371,Aktiviteter,0))&amp;"",IF(AND(C2371="LMS",F2371&gt;0,OR(D2371="",E2371="")),"Mangler maskin eller arbeid",IF(AND(OR(C2371="LMS",C2371="Mod"),D2371&lt;&gt;""),IF(IFERROR(INDEX(MaskinStatus,MATCH(D2371,Maskiner,0)),"")="I dokk","","Maskinen er ikke i dokk"),""))))))</f>
        <v/>
      </c>
      <c r="L2371" s="2">
        <f>IF(B2371="","",IFERROR(INT((MATCH(B2371,Teknikere,0)-1)/18)+1,""))</f>
        <v/>
      </c>
      <c r="M2371" s="2">
        <f>IF(OR(A2371="",B2371=""),"",B2371&amp;"|"&amp;A2371)</f>
        <v/>
      </c>
      <c r="N2371" s="2">
        <f>IF(M2371="","",SUMIFS(TF_Timer,TF_Nokkel,M2371,TF_Akt,C2371))</f>
        <v/>
      </c>
      <c r="O2371" s="2">
        <f>IF(M2371="","",IF(AND(N2371=_xlfn.MAXIFS(TF_AktSum,TF_Nokkel,M2371),COUNTIFS(M$3:M2370,M2371,N$3:N2370,N2371)=0),M2371,""))</f>
        <v/>
      </c>
    </row>
    <row r="2372">
      <c r="A2372" s="34" t="n"/>
      <c r="B2372" s="35" t="n"/>
      <c r="C2372" s="35" t="n"/>
      <c r="D2372" s="35" t="n"/>
      <c r="E2372" s="35" t="n"/>
      <c r="F2372" s="36" t="n"/>
      <c r="G2372" s="35" t="n"/>
      <c r="H2372" s="30">
        <f>IF(L2372="","",INDEX(SkiftNavn,L2372))</f>
        <v/>
      </c>
      <c r="I2372" s="30">
        <f>IF(OR(A2372="",L2372=""),"",IF(MOD(A2372-INDEX(SkiftStart,L2372),Syklus)&lt;DagK,"Kveld",IF(MOD(A2372-INDEX(SkiftStart,L2372),Syklus)&lt;DagK+DagH,"Helg",IF(MOD(A2372-INDEX(SkiftStart,L2372),Syklus)&lt;DagK+DagH+DagD,"Dag","Fri"))))</f>
        <v/>
      </c>
      <c r="J2372" s="30">
        <f>IF(I2372="Fri","Ja","")</f>
        <v/>
      </c>
      <c r="K2372" s="30">
        <f>IF(B2372="","",IF(L2372="","Ukjent tekniker",IF(ISNA(MATCH(C2372,Aktiviteter,0)),"Ukjent aktivitet",IF(AND(INDEX(AktRolle,MATCH(C2372,Aktiviteter,0))&amp;""&lt;&gt;"",ISERROR(SEARCH(INDEX(AktRolle,MATCH(C2372,Aktiviteter,0))&amp;"",INDEX(TekRoller,MATCH(B2372,Teknikere,0))))),"Mangler rollen "&amp;INDEX(AktRolle,MATCH(C2372,Aktiviteter,0))&amp;"",IF(AND(C2372="LMS",F2372&gt;0,OR(D2372="",E2372="")),"Mangler maskin eller arbeid",IF(AND(OR(C2372="LMS",C2372="Mod"),D2372&lt;&gt;""),IF(IFERROR(INDEX(MaskinStatus,MATCH(D2372,Maskiner,0)),"")="I dokk","","Maskinen er ikke i dokk"),""))))))</f>
        <v/>
      </c>
      <c r="L2372" s="2">
        <f>IF(B2372="","",IFERROR(INT((MATCH(B2372,Teknikere,0)-1)/18)+1,""))</f>
        <v/>
      </c>
      <c r="M2372" s="2">
        <f>IF(OR(A2372="",B2372=""),"",B2372&amp;"|"&amp;A2372)</f>
        <v/>
      </c>
      <c r="N2372" s="2">
        <f>IF(M2372="","",SUMIFS(TF_Timer,TF_Nokkel,M2372,TF_Akt,C2372))</f>
        <v/>
      </c>
      <c r="O2372" s="2">
        <f>IF(M2372="","",IF(AND(N2372=_xlfn.MAXIFS(TF_AktSum,TF_Nokkel,M2372),COUNTIFS(M$3:M2371,M2372,N$3:N2371,N2372)=0),M2372,""))</f>
        <v/>
      </c>
    </row>
    <row r="2373">
      <c r="A2373" s="34" t="n"/>
      <c r="B2373" s="35" t="n"/>
      <c r="C2373" s="35" t="n"/>
      <c r="D2373" s="35" t="n"/>
      <c r="E2373" s="35" t="n"/>
      <c r="F2373" s="36" t="n"/>
      <c r="G2373" s="35" t="n"/>
      <c r="H2373" s="30">
        <f>IF(L2373="","",INDEX(SkiftNavn,L2373))</f>
        <v/>
      </c>
      <c r="I2373" s="30">
        <f>IF(OR(A2373="",L2373=""),"",IF(MOD(A2373-INDEX(SkiftStart,L2373),Syklus)&lt;DagK,"Kveld",IF(MOD(A2373-INDEX(SkiftStart,L2373),Syklus)&lt;DagK+DagH,"Helg",IF(MOD(A2373-INDEX(SkiftStart,L2373),Syklus)&lt;DagK+DagH+DagD,"Dag","Fri"))))</f>
        <v/>
      </c>
      <c r="J2373" s="30">
        <f>IF(I2373="Fri","Ja","")</f>
        <v/>
      </c>
      <c r="K2373" s="30">
        <f>IF(B2373="","",IF(L2373="","Ukjent tekniker",IF(ISNA(MATCH(C2373,Aktiviteter,0)),"Ukjent aktivitet",IF(AND(INDEX(AktRolle,MATCH(C2373,Aktiviteter,0))&amp;""&lt;&gt;"",ISERROR(SEARCH(INDEX(AktRolle,MATCH(C2373,Aktiviteter,0))&amp;"",INDEX(TekRoller,MATCH(B2373,Teknikere,0))))),"Mangler rollen "&amp;INDEX(AktRolle,MATCH(C2373,Aktiviteter,0))&amp;"",IF(AND(C2373="LMS",F2373&gt;0,OR(D2373="",E2373="")),"Mangler maskin eller arbeid",IF(AND(OR(C2373="LMS",C2373="Mod"),D2373&lt;&gt;""),IF(IFERROR(INDEX(MaskinStatus,MATCH(D2373,Maskiner,0)),"")="I dokk","","Maskinen er ikke i dokk"),""))))))</f>
        <v/>
      </c>
      <c r="L2373" s="2">
        <f>IF(B2373="","",IFERROR(INT((MATCH(B2373,Teknikere,0)-1)/18)+1,""))</f>
        <v/>
      </c>
      <c r="M2373" s="2">
        <f>IF(OR(A2373="",B2373=""),"",B2373&amp;"|"&amp;A2373)</f>
        <v/>
      </c>
      <c r="N2373" s="2">
        <f>IF(M2373="","",SUMIFS(TF_Timer,TF_Nokkel,M2373,TF_Akt,C2373))</f>
        <v/>
      </c>
      <c r="O2373" s="2">
        <f>IF(M2373="","",IF(AND(N2373=_xlfn.MAXIFS(TF_AktSum,TF_Nokkel,M2373),COUNTIFS(M$3:M2372,M2373,N$3:N2372,N2373)=0),M2373,""))</f>
        <v/>
      </c>
    </row>
    <row r="2374">
      <c r="A2374" s="34" t="n"/>
      <c r="B2374" s="35" t="n"/>
      <c r="C2374" s="35" t="n"/>
      <c r="D2374" s="35" t="n"/>
      <c r="E2374" s="35" t="n"/>
      <c r="F2374" s="36" t="n"/>
      <c r="G2374" s="35" t="n"/>
      <c r="H2374" s="30">
        <f>IF(L2374="","",INDEX(SkiftNavn,L2374))</f>
        <v/>
      </c>
      <c r="I2374" s="30">
        <f>IF(OR(A2374="",L2374=""),"",IF(MOD(A2374-INDEX(SkiftStart,L2374),Syklus)&lt;DagK,"Kveld",IF(MOD(A2374-INDEX(SkiftStart,L2374),Syklus)&lt;DagK+DagH,"Helg",IF(MOD(A2374-INDEX(SkiftStart,L2374),Syklus)&lt;DagK+DagH+DagD,"Dag","Fri"))))</f>
        <v/>
      </c>
      <c r="J2374" s="30">
        <f>IF(I2374="Fri","Ja","")</f>
        <v/>
      </c>
      <c r="K2374" s="30">
        <f>IF(B2374="","",IF(L2374="","Ukjent tekniker",IF(ISNA(MATCH(C2374,Aktiviteter,0)),"Ukjent aktivitet",IF(AND(INDEX(AktRolle,MATCH(C2374,Aktiviteter,0))&amp;""&lt;&gt;"",ISERROR(SEARCH(INDEX(AktRolle,MATCH(C2374,Aktiviteter,0))&amp;"",INDEX(TekRoller,MATCH(B2374,Teknikere,0))))),"Mangler rollen "&amp;INDEX(AktRolle,MATCH(C2374,Aktiviteter,0))&amp;"",IF(AND(C2374="LMS",F2374&gt;0,OR(D2374="",E2374="")),"Mangler maskin eller arbeid",IF(AND(OR(C2374="LMS",C2374="Mod"),D2374&lt;&gt;""),IF(IFERROR(INDEX(MaskinStatus,MATCH(D2374,Maskiner,0)),"")="I dokk","","Maskinen er ikke i dokk"),""))))))</f>
        <v/>
      </c>
      <c r="L2374" s="2">
        <f>IF(B2374="","",IFERROR(INT((MATCH(B2374,Teknikere,0)-1)/18)+1,""))</f>
        <v/>
      </c>
      <c r="M2374" s="2">
        <f>IF(OR(A2374="",B2374=""),"",B2374&amp;"|"&amp;A2374)</f>
        <v/>
      </c>
      <c r="N2374" s="2">
        <f>IF(M2374="","",SUMIFS(TF_Timer,TF_Nokkel,M2374,TF_Akt,C2374))</f>
        <v/>
      </c>
      <c r="O2374" s="2">
        <f>IF(M2374="","",IF(AND(N2374=_xlfn.MAXIFS(TF_AktSum,TF_Nokkel,M2374),COUNTIFS(M$3:M2373,M2374,N$3:N2373,N2374)=0),M2374,""))</f>
        <v/>
      </c>
    </row>
    <row r="2375">
      <c r="A2375" s="34" t="n"/>
      <c r="B2375" s="35" t="n"/>
      <c r="C2375" s="35" t="n"/>
      <c r="D2375" s="35" t="n"/>
      <c r="E2375" s="35" t="n"/>
      <c r="F2375" s="36" t="n"/>
      <c r="G2375" s="35" t="n"/>
      <c r="H2375" s="30">
        <f>IF(L2375="","",INDEX(SkiftNavn,L2375))</f>
        <v/>
      </c>
      <c r="I2375" s="30">
        <f>IF(OR(A2375="",L2375=""),"",IF(MOD(A2375-INDEX(SkiftStart,L2375),Syklus)&lt;DagK,"Kveld",IF(MOD(A2375-INDEX(SkiftStart,L2375),Syklus)&lt;DagK+DagH,"Helg",IF(MOD(A2375-INDEX(SkiftStart,L2375),Syklus)&lt;DagK+DagH+DagD,"Dag","Fri"))))</f>
        <v/>
      </c>
      <c r="J2375" s="30">
        <f>IF(I2375="Fri","Ja","")</f>
        <v/>
      </c>
      <c r="K2375" s="30">
        <f>IF(B2375="","",IF(L2375="","Ukjent tekniker",IF(ISNA(MATCH(C2375,Aktiviteter,0)),"Ukjent aktivitet",IF(AND(INDEX(AktRolle,MATCH(C2375,Aktiviteter,0))&amp;""&lt;&gt;"",ISERROR(SEARCH(INDEX(AktRolle,MATCH(C2375,Aktiviteter,0))&amp;"",INDEX(TekRoller,MATCH(B2375,Teknikere,0))))),"Mangler rollen "&amp;INDEX(AktRolle,MATCH(C2375,Aktiviteter,0))&amp;"",IF(AND(C2375="LMS",F2375&gt;0,OR(D2375="",E2375="")),"Mangler maskin eller arbeid",IF(AND(OR(C2375="LMS",C2375="Mod"),D2375&lt;&gt;""),IF(IFERROR(INDEX(MaskinStatus,MATCH(D2375,Maskiner,0)),"")="I dokk","","Maskinen er ikke i dokk"),""))))))</f>
        <v/>
      </c>
      <c r="L2375" s="2">
        <f>IF(B2375="","",IFERROR(INT((MATCH(B2375,Teknikere,0)-1)/18)+1,""))</f>
        <v/>
      </c>
      <c r="M2375" s="2">
        <f>IF(OR(A2375="",B2375=""),"",B2375&amp;"|"&amp;A2375)</f>
        <v/>
      </c>
      <c r="N2375" s="2">
        <f>IF(M2375="","",SUMIFS(TF_Timer,TF_Nokkel,M2375,TF_Akt,C2375))</f>
        <v/>
      </c>
      <c r="O2375" s="2">
        <f>IF(M2375="","",IF(AND(N2375=_xlfn.MAXIFS(TF_AktSum,TF_Nokkel,M2375),COUNTIFS(M$3:M2374,M2375,N$3:N2374,N2375)=0),M2375,""))</f>
        <v/>
      </c>
    </row>
    <row r="2376">
      <c r="A2376" s="34" t="n"/>
      <c r="B2376" s="35" t="n"/>
      <c r="C2376" s="35" t="n"/>
      <c r="D2376" s="35" t="n"/>
      <c r="E2376" s="35" t="n"/>
      <c r="F2376" s="36" t="n"/>
      <c r="G2376" s="35" t="n"/>
      <c r="H2376" s="30">
        <f>IF(L2376="","",INDEX(SkiftNavn,L2376))</f>
        <v/>
      </c>
      <c r="I2376" s="30">
        <f>IF(OR(A2376="",L2376=""),"",IF(MOD(A2376-INDEX(SkiftStart,L2376),Syklus)&lt;DagK,"Kveld",IF(MOD(A2376-INDEX(SkiftStart,L2376),Syklus)&lt;DagK+DagH,"Helg",IF(MOD(A2376-INDEX(SkiftStart,L2376),Syklus)&lt;DagK+DagH+DagD,"Dag","Fri"))))</f>
        <v/>
      </c>
      <c r="J2376" s="30">
        <f>IF(I2376="Fri","Ja","")</f>
        <v/>
      </c>
      <c r="K2376" s="30">
        <f>IF(B2376="","",IF(L2376="","Ukjent tekniker",IF(ISNA(MATCH(C2376,Aktiviteter,0)),"Ukjent aktivitet",IF(AND(INDEX(AktRolle,MATCH(C2376,Aktiviteter,0))&amp;""&lt;&gt;"",ISERROR(SEARCH(INDEX(AktRolle,MATCH(C2376,Aktiviteter,0))&amp;"",INDEX(TekRoller,MATCH(B2376,Teknikere,0))))),"Mangler rollen "&amp;INDEX(AktRolle,MATCH(C2376,Aktiviteter,0))&amp;"",IF(AND(C2376="LMS",F2376&gt;0,OR(D2376="",E2376="")),"Mangler maskin eller arbeid",IF(AND(OR(C2376="LMS",C2376="Mod"),D2376&lt;&gt;""),IF(IFERROR(INDEX(MaskinStatus,MATCH(D2376,Maskiner,0)),"")="I dokk","","Maskinen er ikke i dokk"),""))))))</f>
        <v/>
      </c>
      <c r="L2376" s="2">
        <f>IF(B2376="","",IFERROR(INT((MATCH(B2376,Teknikere,0)-1)/18)+1,""))</f>
        <v/>
      </c>
      <c r="M2376" s="2">
        <f>IF(OR(A2376="",B2376=""),"",B2376&amp;"|"&amp;A2376)</f>
        <v/>
      </c>
      <c r="N2376" s="2">
        <f>IF(M2376="","",SUMIFS(TF_Timer,TF_Nokkel,M2376,TF_Akt,C2376))</f>
        <v/>
      </c>
      <c r="O2376" s="2">
        <f>IF(M2376="","",IF(AND(N2376=_xlfn.MAXIFS(TF_AktSum,TF_Nokkel,M2376),COUNTIFS(M$3:M2375,M2376,N$3:N2375,N2376)=0),M2376,""))</f>
        <v/>
      </c>
    </row>
    <row r="2377">
      <c r="A2377" s="34" t="n"/>
      <c r="B2377" s="35" t="n"/>
      <c r="C2377" s="35" t="n"/>
      <c r="D2377" s="35" t="n"/>
      <c r="E2377" s="35" t="n"/>
      <c r="F2377" s="36" t="n"/>
      <c r="G2377" s="35" t="n"/>
      <c r="H2377" s="30">
        <f>IF(L2377="","",INDEX(SkiftNavn,L2377))</f>
        <v/>
      </c>
      <c r="I2377" s="30">
        <f>IF(OR(A2377="",L2377=""),"",IF(MOD(A2377-INDEX(SkiftStart,L2377),Syklus)&lt;DagK,"Kveld",IF(MOD(A2377-INDEX(SkiftStart,L2377),Syklus)&lt;DagK+DagH,"Helg",IF(MOD(A2377-INDEX(SkiftStart,L2377),Syklus)&lt;DagK+DagH+DagD,"Dag","Fri"))))</f>
        <v/>
      </c>
      <c r="J2377" s="30">
        <f>IF(I2377="Fri","Ja","")</f>
        <v/>
      </c>
      <c r="K2377" s="30">
        <f>IF(B2377="","",IF(L2377="","Ukjent tekniker",IF(ISNA(MATCH(C2377,Aktiviteter,0)),"Ukjent aktivitet",IF(AND(INDEX(AktRolle,MATCH(C2377,Aktiviteter,0))&amp;""&lt;&gt;"",ISERROR(SEARCH(INDEX(AktRolle,MATCH(C2377,Aktiviteter,0))&amp;"",INDEX(TekRoller,MATCH(B2377,Teknikere,0))))),"Mangler rollen "&amp;INDEX(AktRolle,MATCH(C2377,Aktiviteter,0))&amp;"",IF(AND(C2377="LMS",F2377&gt;0,OR(D2377="",E2377="")),"Mangler maskin eller arbeid",IF(AND(OR(C2377="LMS",C2377="Mod"),D2377&lt;&gt;""),IF(IFERROR(INDEX(MaskinStatus,MATCH(D2377,Maskiner,0)),"")="I dokk","","Maskinen er ikke i dokk"),""))))))</f>
        <v/>
      </c>
      <c r="L2377" s="2">
        <f>IF(B2377="","",IFERROR(INT((MATCH(B2377,Teknikere,0)-1)/18)+1,""))</f>
        <v/>
      </c>
      <c r="M2377" s="2">
        <f>IF(OR(A2377="",B2377=""),"",B2377&amp;"|"&amp;A2377)</f>
        <v/>
      </c>
      <c r="N2377" s="2">
        <f>IF(M2377="","",SUMIFS(TF_Timer,TF_Nokkel,M2377,TF_Akt,C2377))</f>
        <v/>
      </c>
      <c r="O2377" s="2">
        <f>IF(M2377="","",IF(AND(N2377=_xlfn.MAXIFS(TF_AktSum,TF_Nokkel,M2377),COUNTIFS(M$3:M2376,M2377,N$3:N2376,N2377)=0),M2377,""))</f>
        <v/>
      </c>
    </row>
    <row r="2378">
      <c r="A2378" s="34" t="n"/>
      <c r="B2378" s="35" t="n"/>
      <c r="C2378" s="35" t="n"/>
      <c r="D2378" s="35" t="n"/>
      <c r="E2378" s="35" t="n"/>
      <c r="F2378" s="36" t="n"/>
      <c r="G2378" s="35" t="n"/>
      <c r="H2378" s="30">
        <f>IF(L2378="","",INDEX(SkiftNavn,L2378))</f>
        <v/>
      </c>
      <c r="I2378" s="30">
        <f>IF(OR(A2378="",L2378=""),"",IF(MOD(A2378-INDEX(SkiftStart,L2378),Syklus)&lt;DagK,"Kveld",IF(MOD(A2378-INDEX(SkiftStart,L2378),Syklus)&lt;DagK+DagH,"Helg",IF(MOD(A2378-INDEX(SkiftStart,L2378),Syklus)&lt;DagK+DagH+DagD,"Dag","Fri"))))</f>
        <v/>
      </c>
      <c r="J2378" s="30">
        <f>IF(I2378="Fri","Ja","")</f>
        <v/>
      </c>
      <c r="K2378" s="30">
        <f>IF(B2378="","",IF(L2378="","Ukjent tekniker",IF(ISNA(MATCH(C2378,Aktiviteter,0)),"Ukjent aktivitet",IF(AND(INDEX(AktRolle,MATCH(C2378,Aktiviteter,0))&amp;""&lt;&gt;"",ISERROR(SEARCH(INDEX(AktRolle,MATCH(C2378,Aktiviteter,0))&amp;"",INDEX(TekRoller,MATCH(B2378,Teknikere,0))))),"Mangler rollen "&amp;INDEX(AktRolle,MATCH(C2378,Aktiviteter,0))&amp;"",IF(AND(C2378="LMS",F2378&gt;0,OR(D2378="",E2378="")),"Mangler maskin eller arbeid",IF(AND(OR(C2378="LMS",C2378="Mod"),D2378&lt;&gt;""),IF(IFERROR(INDEX(MaskinStatus,MATCH(D2378,Maskiner,0)),"")="I dokk","","Maskinen er ikke i dokk"),""))))))</f>
        <v/>
      </c>
      <c r="L2378" s="2">
        <f>IF(B2378="","",IFERROR(INT((MATCH(B2378,Teknikere,0)-1)/18)+1,""))</f>
        <v/>
      </c>
      <c r="M2378" s="2">
        <f>IF(OR(A2378="",B2378=""),"",B2378&amp;"|"&amp;A2378)</f>
        <v/>
      </c>
      <c r="N2378" s="2">
        <f>IF(M2378="","",SUMIFS(TF_Timer,TF_Nokkel,M2378,TF_Akt,C2378))</f>
        <v/>
      </c>
      <c r="O2378" s="2">
        <f>IF(M2378="","",IF(AND(N2378=_xlfn.MAXIFS(TF_AktSum,TF_Nokkel,M2378),COUNTIFS(M$3:M2377,M2378,N$3:N2377,N2378)=0),M2378,""))</f>
        <v/>
      </c>
    </row>
    <row r="2379">
      <c r="A2379" s="34" t="n"/>
      <c r="B2379" s="35" t="n"/>
      <c r="C2379" s="35" t="n"/>
      <c r="D2379" s="35" t="n"/>
      <c r="E2379" s="35" t="n"/>
      <c r="F2379" s="36" t="n"/>
      <c r="G2379" s="35" t="n"/>
      <c r="H2379" s="30">
        <f>IF(L2379="","",INDEX(SkiftNavn,L2379))</f>
        <v/>
      </c>
      <c r="I2379" s="30">
        <f>IF(OR(A2379="",L2379=""),"",IF(MOD(A2379-INDEX(SkiftStart,L2379),Syklus)&lt;DagK,"Kveld",IF(MOD(A2379-INDEX(SkiftStart,L2379),Syklus)&lt;DagK+DagH,"Helg",IF(MOD(A2379-INDEX(SkiftStart,L2379),Syklus)&lt;DagK+DagH+DagD,"Dag","Fri"))))</f>
        <v/>
      </c>
      <c r="J2379" s="30">
        <f>IF(I2379="Fri","Ja","")</f>
        <v/>
      </c>
      <c r="K2379" s="30">
        <f>IF(B2379="","",IF(L2379="","Ukjent tekniker",IF(ISNA(MATCH(C2379,Aktiviteter,0)),"Ukjent aktivitet",IF(AND(INDEX(AktRolle,MATCH(C2379,Aktiviteter,0))&amp;""&lt;&gt;"",ISERROR(SEARCH(INDEX(AktRolle,MATCH(C2379,Aktiviteter,0))&amp;"",INDEX(TekRoller,MATCH(B2379,Teknikere,0))))),"Mangler rollen "&amp;INDEX(AktRolle,MATCH(C2379,Aktiviteter,0))&amp;"",IF(AND(C2379="LMS",F2379&gt;0,OR(D2379="",E2379="")),"Mangler maskin eller arbeid",IF(AND(OR(C2379="LMS",C2379="Mod"),D2379&lt;&gt;""),IF(IFERROR(INDEX(MaskinStatus,MATCH(D2379,Maskiner,0)),"")="I dokk","","Maskinen er ikke i dokk"),""))))))</f>
        <v/>
      </c>
      <c r="L2379" s="2">
        <f>IF(B2379="","",IFERROR(INT((MATCH(B2379,Teknikere,0)-1)/18)+1,""))</f>
        <v/>
      </c>
      <c r="M2379" s="2">
        <f>IF(OR(A2379="",B2379=""),"",B2379&amp;"|"&amp;A2379)</f>
        <v/>
      </c>
      <c r="N2379" s="2">
        <f>IF(M2379="","",SUMIFS(TF_Timer,TF_Nokkel,M2379,TF_Akt,C2379))</f>
        <v/>
      </c>
      <c r="O2379" s="2">
        <f>IF(M2379="","",IF(AND(N2379=_xlfn.MAXIFS(TF_AktSum,TF_Nokkel,M2379),COUNTIFS(M$3:M2378,M2379,N$3:N2378,N2379)=0),M2379,""))</f>
        <v/>
      </c>
    </row>
    <row r="2380">
      <c r="A2380" s="34" t="n"/>
      <c r="B2380" s="35" t="n"/>
      <c r="C2380" s="35" t="n"/>
      <c r="D2380" s="35" t="n"/>
      <c r="E2380" s="35" t="n"/>
      <c r="F2380" s="36" t="n"/>
      <c r="G2380" s="35" t="n"/>
      <c r="H2380" s="30">
        <f>IF(L2380="","",INDEX(SkiftNavn,L2380))</f>
        <v/>
      </c>
      <c r="I2380" s="30">
        <f>IF(OR(A2380="",L2380=""),"",IF(MOD(A2380-INDEX(SkiftStart,L2380),Syklus)&lt;DagK,"Kveld",IF(MOD(A2380-INDEX(SkiftStart,L2380),Syklus)&lt;DagK+DagH,"Helg",IF(MOD(A2380-INDEX(SkiftStart,L2380),Syklus)&lt;DagK+DagH+DagD,"Dag","Fri"))))</f>
        <v/>
      </c>
      <c r="J2380" s="30">
        <f>IF(I2380="Fri","Ja","")</f>
        <v/>
      </c>
      <c r="K2380" s="30">
        <f>IF(B2380="","",IF(L2380="","Ukjent tekniker",IF(ISNA(MATCH(C2380,Aktiviteter,0)),"Ukjent aktivitet",IF(AND(INDEX(AktRolle,MATCH(C2380,Aktiviteter,0))&amp;""&lt;&gt;"",ISERROR(SEARCH(INDEX(AktRolle,MATCH(C2380,Aktiviteter,0))&amp;"",INDEX(TekRoller,MATCH(B2380,Teknikere,0))))),"Mangler rollen "&amp;INDEX(AktRolle,MATCH(C2380,Aktiviteter,0))&amp;"",IF(AND(C2380="LMS",F2380&gt;0,OR(D2380="",E2380="")),"Mangler maskin eller arbeid",IF(AND(OR(C2380="LMS",C2380="Mod"),D2380&lt;&gt;""),IF(IFERROR(INDEX(MaskinStatus,MATCH(D2380,Maskiner,0)),"")="I dokk","","Maskinen er ikke i dokk"),""))))))</f>
        <v/>
      </c>
      <c r="L2380" s="2">
        <f>IF(B2380="","",IFERROR(INT((MATCH(B2380,Teknikere,0)-1)/18)+1,""))</f>
        <v/>
      </c>
      <c r="M2380" s="2">
        <f>IF(OR(A2380="",B2380=""),"",B2380&amp;"|"&amp;A2380)</f>
        <v/>
      </c>
      <c r="N2380" s="2">
        <f>IF(M2380="","",SUMIFS(TF_Timer,TF_Nokkel,M2380,TF_Akt,C2380))</f>
        <v/>
      </c>
      <c r="O2380" s="2">
        <f>IF(M2380="","",IF(AND(N2380=_xlfn.MAXIFS(TF_AktSum,TF_Nokkel,M2380),COUNTIFS(M$3:M2379,M2380,N$3:N2379,N2380)=0),M2380,""))</f>
        <v/>
      </c>
    </row>
    <row r="2381">
      <c r="A2381" s="34" t="n"/>
      <c r="B2381" s="35" t="n"/>
      <c r="C2381" s="35" t="n"/>
      <c r="D2381" s="35" t="n"/>
      <c r="E2381" s="35" t="n"/>
      <c r="F2381" s="36" t="n"/>
      <c r="G2381" s="35" t="n"/>
      <c r="H2381" s="30">
        <f>IF(L2381="","",INDEX(SkiftNavn,L2381))</f>
        <v/>
      </c>
      <c r="I2381" s="30">
        <f>IF(OR(A2381="",L2381=""),"",IF(MOD(A2381-INDEX(SkiftStart,L2381),Syklus)&lt;DagK,"Kveld",IF(MOD(A2381-INDEX(SkiftStart,L2381),Syklus)&lt;DagK+DagH,"Helg",IF(MOD(A2381-INDEX(SkiftStart,L2381),Syklus)&lt;DagK+DagH+DagD,"Dag","Fri"))))</f>
        <v/>
      </c>
      <c r="J2381" s="30">
        <f>IF(I2381="Fri","Ja","")</f>
        <v/>
      </c>
      <c r="K2381" s="30">
        <f>IF(B2381="","",IF(L2381="","Ukjent tekniker",IF(ISNA(MATCH(C2381,Aktiviteter,0)),"Ukjent aktivitet",IF(AND(INDEX(AktRolle,MATCH(C2381,Aktiviteter,0))&amp;""&lt;&gt;"",ISERROR(SEARCH(INDEX(AktRolle,MATCH(C2381,Aktiviteter,0))&amp;"",INDEX(TekRoller,MATCH(B2381,Teknikere,0))))),"Mangler rollen "&amp;INDEX(AktRolle,MATCH(C2381,Aktiviteter,0))&amp;"",IF(AND(C2381="LMS",F2381&gt;0,OR(D2381="",E2381="")),"Mangler maskin eller arbeid",IF(AND(OR(C2381="LMS",C2381="Mod"),D2381&lt;&gt;""),IF(IFERROR(INDEX(MaskinStatus,MATCH(D2381,Maskiner,0)),"")="I dokk","","Maskinen er ikke i dokk"),""))))))</f>
        <v/>
      </c>
      <c r="L2381" s="2">
        <f>IF(B2381="","",IFERROR(INT((MATCH(B2381,Teknikere,0)-1)/18)+1,""))</f>
        <v/>
      </c>
      <c r="M2381" s="2">
        <f>IF(OR(A2381="",B2381=""),"",B2381&amp;"|"&amp;A2381)</f>
        <v/>
      </c>
      <c r="N2381" s="2">
        <f>IF(M2381="","",SUMIFS(TF_Timer,TF_Nokkel,M2381,TF_Akt,C2381))</f>
        <v/>
      </c>
      <c r="O2381" s="2">
        <f>IF(M2381="","",IF(AND(N2381=_xlfn.MAXIFS(TF_AktSum,TF_Nokkel,M2381),COUNTIFS(M$3:M2380,M2381,N$3:N2380,N2381)=0),M2381,""))</f>
        <v/>
      </c>
    </row>
    <row r="2382">
      <c r="A2382" s="34" t="n"/>
      <c r="B2382" s="35" t="n"/>
      <c r="C2382" s="35" t="n"/>
      <c r="D2382" s="35" t="n"/>
      <c r="E2382" s="35" t="n"/>
      <c r="F2382" s="36" t="n"/>
      <c r="G2382" s="35" t="n"/>
      <c r="H2382" s="30">
        <f>IF(L2382="","",INDEX(SkiftNavn,L2382))</f>
        <v/>
      </c>
      <c r="I2382" s="30">
        <f>IF(OR(A2382="",L2382=""),"",IF(MOD(A2382-INDEX(SkiftStart,L2382),Syklus)&lt;DagK,"Kveld",IF(MOD(A2382-INDEX(SkiftStart,L2382),Syklus)&lt;DagK+DagH,"Helg",IF(MOD(A2382-INDEX(SkiftStart,L2382),Syklus)&lt;DagK+DagH+DagD,"Dag","Fri"))))</f>
        <v/>
      </c>
      <c r="J2382" s="30">
        <f>IF(I2382="Fri","Ja","")</f>
        <v/>
      </c>
      <c r="K2382" s="30">
        <f>IF(B2382="","",IF(L2382="","Ukjent tekniker",IF(ISNA(MATCH(C2382,Aktiviteter,0)),"Ukjent aktivitet",IF(AND(INDEX(AktRolle,MATCH(C2382,Aktiviteter,0))&amp;""&lt;&gt;"",ISERROR(SEARCH(INDEX(AktRolle,MATCH(C2382,Aktiviteter,0))&amp;"",INDEX(TekRoller,MATCH(B2382,Teknikere,0))))),"Mangler rollen "&amp;INDEX(AktRolle,MATCH(C2382,Aktiviteter,0))&amp;"",IF(AND(C2382="LMS",F2382&gt;0,OR(D2382="",E2382="")),"Mangler maskin eller arbeid",IF(AND(OR(C2382="LMS",C2382="Mod"),D2382&lt;&gt;""),IF(IFERROR(INDEX(MaskinStatus,MATCH(D2382,Maskiner,0)),"")="I dokk","","Maskinen er ikke i dokk"),""))))))</f>
        <v/>
      </c>
      <c r="L2382" s="2">
        <f>IF(B2382="","",IFERROR(INT((MATCH(B2382,Teknikere,0)-1)/18)+1,""))</f>
        <v/>
      </c>
      <c r="M2382" s="2">
        <f>IF(OR(A2382="",B2382=""),"",B2382&amp;"|"&amp;A2382)</f>
        <v/>
      </c>
      <c r="N2382" s="2">
        <f>IF(M2382="","",SUMIFS(TF_Timer,TF_Nokkel,M2382,TF_Akt,C2382))</f>
        <v/>
      </c>
      <c r="O2382" s="2">
        <f>IF(M2382="","",IF(AND(N2382=_xlfn.MAXIFS(TF_AktSum,TF_Nokkel,M2382),COUNTIFS(M$3:M2381,M2382,N$3:N2381,N2382)=0),M2382,""))</f>
        <v/>
      </c>
    </row>
    <row r="2383">
      <c r="A2383" s="34" t="n"/>
      <c r="B2383" s="35" t="n"/>
      <c r="C2383" s="35" t="n"/>
      <c r="D2383" s="35" t="n"/>
      <c r="E2383" s="35" t="n"/>
      <c r="F2383" s="36" t="n"/>
      <c r="G2383" s="35" t="n"/>
      <c r="H2383" s="30">
        <f>IF(L2383="","",INDEX(SkiftNavn,L2383))</f>
        <v/>
      </c>
      <c r="I2383" s="30">
        <f>IF(OR(A2383="",L2383=""),"",IF(MOD(A2383-INDEX(SkiftStart,L2383),Syklus)&lt;DagK,"Kveld",IF(MOD(A2383-INDEX(SkiftStart,L2383),Syklus)&lt;DagK+DagH,"Helg",IF(MOD(A2383-INDEX(SkiftStart,L2383),Syklus)&lt;DagK+DagH+DagD,"Dag","Fri"))))</f>
        <v/>
      </c>
      <c r="J2383" s="30">
        <f>IF(I2383="Fri","Ja","")</f>
        <v/>
      </c>
      <c r="K2383" s="30">
        <f>IF(B2383="","",IF(L2383="","Ukjent tekniker",IF(ISNA(MATCH(C2383,Aktiviteter,0)),"Ukjent aktivitet",IF(AND(INDEX(AktRolle,MATCH(C2383,Aktiviteter,0))&amp;""&lt;&gt;"",ISERROR(SEARCH(INDEX(AktRolle,MATCH(C2383,Aktiviteter,0))&amp;"",INDEX(TekRoller,MATCH(B2383,Teknikere,0))))),"Mangler rollen "&amp;INDEX(AktRolle,MATCH(C2383,Aktiviteter,0))&amp;"",IF(AND(C2383="LMS",F2383&gt;0,OR(D2383="",E2383="")),"Mangler maskin eller arbeid",IF(AND(OR(C2383="LMS",C2383="Mod"),D2383&lt;&gt;""),IF(IFERROR(INDEX(MaskinStatus,MATCH(D2383,Maskiner,0)),"")="I dokk","","Maskinen er ikke i dokk"),""))))))</f>
        <v/>
      </c>
      <c r="L2383" s="2">
        <f>IF(B2383="","",IFERROR(INT((MATCH(B2383,Teknikere,0)-1)/18)+1,""))</f>
        <v/>
      </c>
      <c r="M2383" s="2">
        <f>IF(OR(A2383="",B2383=""),"",B2383&amp;"|"&amp;A2383)</f>
        <v/>
      </c>
      <c r="N2383" s="2">
        <f>IF(M2383="","",SUMIFS(TF_Timer,TF_Nokkel,M2383,TF_Akt,C2383))</f>
        <v/>
      </c>
      <c r="O2383" s="2">
        <f>IF(M2383="","",IF(AND(N2383=_xlfn.MAXIFS(TF_AktSum,TF_Nokkel,M2383),COUNTIFS(M$3:M2382,M2383,N$3:N2382,N2383)=0),M2383,""))</f>
        <v/>
      </c>
    </row>
    <row r="2384">
      <c r="A2384" s="34" t="n"/>
      <c r="B2384" s="35" t="n"/>
      <c r="C2384" s="35" t="n"/>
      <c r="D2384" s="35" t="n"/>
      <c r="E2384" s="35" t="n"/>
      <c r="F2384" s="36" t="n"/>
      <c r="G2384" s="35" t="n"/>
      <c r="H2384" s="30">
        <f>IF(L2384="","",INDEX(SkiftNavn,L2384))</f>
        <v/>
      </c>
      <c r="I2384" s="30">
        <f>IF(OR(A2384="",L2384=""),"",IF(MOD(A2384-INDEX(SkiftStart,L2384),Syklus)&lt;DagK,"Kveld",IF(MOD(A2384-INDEX(SkiftStart,L2384),Syklus)&lt;DagK+DagH,"Helg",IF(MOD(A2384-INDEX(SkiftStart,L2384),Syklus)&lt;DagK+DagH+DagD,"Dag","Fri"))))</f>
        <v/>
      </c>
      <c r="J2384" s="30">
        <f>IF(I2384="Fri","Ja","")</f>
        <v/>
      </c>
      <c r="K2384" s="30">
        <f>IF(B2384="","",IF(L2384="","Ukjent tekniker",IF(ISNA(MATCH(C2384,Aktiviteter,0)),"Ukjent aktivitet",IF(AND(INDEX(AktRolle,MATCH(C2384,Aktiviteter,0))&amp;""&lt;&gt;"",ISERROR(SEARCH(INDEX(AktRolle,MATCH(C2384,Aktiviteter,0))&amp;"",INDEX(TekRoller,MATCH(B2384,Teknikere,0))))),"Mangler rollen "&amp;INDEX(AktRolle,MATCH(C2384,Aktiviteter,0))&amp;"",IF(AND(C2384="LMS",F2384&gt;0,OR(D2384="",E2384="")),"Mangler maskin eller arbeid",IF(AND(OR(C2384="LMS",C2384="Mod"),D2384&lt;&gt;""),IF(IFERROR(INDEX(MaskinStatus,MATCH(D2384,Maskiner,0)),"")="I dokk","","Maskinen er ikke i dokk"),""))))))</f>
        <v/>
      </c>
      <c r="L2384" s="2">
        <f>IF(B2384="","",IFERROR(INT((MATCH(B2384,Teknikere,0)-1)/18)+1,""))</f>
        <v/>
      </c>
      <c r="M2384" s="2">
        <f>IF(OR(A2384="",B2384=""),"",B2384&amp;"|"&amp;A2384)</f>
        <v/>
      </c>
      <c r="N2384" s="2">
        <f>IF(M2384="","",SUMIFS(TF_Timer,TF_Nokkel,M2384,TF_Akt,C2384))</f>
        <v/>
      </c>
      <c r="O2384" s="2">
        <f>IF(M2384="","",IF(AND(N2384=_xlfn.MAXIFS(TF_AktSum,TF_Nokkel,M2384),COUNTIFS(M$3:M2383,M2384,N$3:N2383,N2384)=0),M2384,""))</f>
        <v/>
      </c>
    </row>
    <row r="2385">
      <c r="A2385" s="34" t="n"/>
      <c r="B2385" s="35" t="n"/>
      <c r="C2385" s="35" t="n"/>
      <c r="D2385" s="35" t="n"/>
      <c r="E2385" s="35" t="n"/>
      <c r="F2385" s="36" t="n"/>
      <c r="G2385" s="35" t="n"/>
      <c r="H2385" s="30">
        <f>IF(L2385="","",INDEX(SkiftNavn,L2385))</f>
        <v/>
      </c>
      <c r="I2385" s="30">
        <f>IF(OR(A2385="",L2385=""),"",IF(MOD(A2385-INDEX(SkiftStart,L2385),Syklus)&lt;DagK,"Kveld",IF(MOD(A2385-INDEX(SkiftStart,L2385),Syklus)&lt;DagK+DagH,"Helg",IF(MOD(A2385-INDEX(SkiftStart,L2385),Syklus)&lt;DagK+DagH+DagD,"Dag","Fri"))))</f>
        <v/>
      </c>
      <c r="J2385" s="30">
        <f>IF(I2385="Fri","Ja","")</f>
        <v/>
      </c>
      <c r="K2385" s="30">
        <f>IF(B2385="","",IF(L2385="","Ukjent tekniker",IF(ISNA(MATCH(C2385,Aktiviteter,0)),"Ukjent aktivitet",IF(AND(INDEX(AktRolle,MATCH(C2385,Aktiviteter,0))&amp;""&lt;&gt;"",ISERROR(SEARCH(INDEX(AktRolle,MATCH(C2385,Aktiviteter,0))&amp;"",INDEX(TekRoller,MATCH(B2385,Teknikere,0))))),"Mangler rollen "&amp;INDEX(AktRolle,MATCH(C2385,Aktiviteter,0))&amp;"",IF(AND(C2385="LMS",F2385&gt;0,OR(D2385="",E2385="")),"Mangler maskin eller arbeid",IF(AND(OR(C2385="LMS",C2385="Mod"),D2385&lt;&gt;""),IF(IFERROR(INDEX(MaskinStatus,MATCH(D2385,Maskiner,0)),"")="I dokk","","Maskinen er ikke i dokk"),""))))))</f>
        <v/>
      </c>
      <c r="L2385" s="2">
        <f>IF(B2385="","",IFERROR(INT((MATCH(B2385,Teknikere,0)-1)/18)+1,""))</f>
        <v/>
      </c>
      <c r="M2385" s="2">
        <f>IF(OR(A2385="",B2385=""),"",B2385&amp;"|"&amp;A2385)</f>
        <v/>
      </c>
      <c r="N2385" s="2">
        <f>IF(M2385="","",SUMIFS(TF_Timer,TF_Nokkel,M2385,TF_Akt,C2385))</f>
        <v/>
      </c>
      <c r="O2385" s="2">
        <f>IF(M2385="","",IF(AND(N2385=_xlfn.MAXIFS(TF_AktSum,TF_Nokkel,M2385),COUNTIFS(M$3:M2384,M2385,N$3:N2384,N2385)=0),M2385,""))</f>
        <v/>
      </c>
    </row>
    <row r="2386">
      <c r="A2386" s="34" t="n"/>
      <c r="B2386" s="35" t="n"/>
      <c r="C2386" s="35" t="n"/>
      <c r="D2386" s="35" t="n"/>
      <c r="E2386" s="35" t="n"/>
      <c r="F2386" s="36" t="n"/>
      <c r="G2386" s="35" t="n"/>
      <c r="H2386" s="30">
        <f>IF(L2386="","",INDEX(SkiftNavn,L2386))</f>
        <v/>
      </c>
      <c r="I2386" s="30">
        <f>IF(OR(A2386="",L2386=""),"",IF(MOD(A2386-INDEX(SkiftStart,L2386),Syklus)&lt;DagK,"Kveld",IF(MOD(A2386-INDEX(SkiftStart,L2386),Syklus)&lt;DagK+DagH,"Helg",IF(MOD(A2386-INDEX(SkiftStart,L2386),Syklus)&lt;DagK+DagH+DagD,"Dag","Fri"))))</f>
        <v/>
      </c>
      <c r="J2386" s="30">
        <f>IF(I2386="Fri","Ja","")</f>
        <v/>
      </c>
      <c r="K2386" s="30">
        <f>IF(B2386="","",IF(L2386="","Ukjent tekniker",IF(ISNA(MATCH(C2386,Aktiviteter,0)),"Ukjent aktivitet",IF(AND(INDEX(AktRolle,MATCH(C2386,Aktiviteter,0))&amp;""&lt;&gt;"",ISERROR(SEARCH(INDEX(AktRolle,MATCH(C2386,Aktiviteter,0))&amp;"",INDEX(TekRoller,MATCH(B2386,Teknikere,0))))),"Mangler rollen "&amp;INDEX(AktRolle,MATCH(C2386,Aktiviteter,0))&amp;"",IF(AND(C2386="LMS",F2386&gt;0,OR(D2386="",E2386="")),"Mangler maskin eller arbeid",IF(AND(OR(C2386="LMS",C2386="Mod"),D2386&lt;&gt;""),IF(IFERROR(INDEX(MaskinStatus,MATCH(D2386,Maskiner,0)),"")="I dokk","","Maskinen er ikke i dokk"),""))))))</f>
        <v/>
      </c>
      <c r="L2386" s="2">
        <f>IF(B2386="","",IFERROR(INT((MATCH(B2386,Teknikere,0)-1)/18)+1,""))</f>
        <v/>
      </c>
      <c r="M2386" s="2">
        <f>IF(OR(A2386="",B2386=""),"",B2386&amp;"|"&amp;A2386)</f>
        <v/>
      </c>
      <c r="N2386" s="2">
        <f>IF(M2386="","",SUMIFS(TF_Timer,TF_Nokkel,M2386,TF_Akt,C2386))</f>
        <v/>
      </c>
      <c r="O2386" s="2">
        <f>IF(M2386="","",IF(AND(N2386=_xlfn.MAXIFS(TF_AktSum,TF_Nokkel,M2386),COUNTIFS(M$3:M2385,M2386,N$3:N2385,N2386)=0),M2386,""))</f>
        <v/>
      </c>
    </row>
    <row r="2387">
      <c r="A2387" s="34" t="n"/>
      <c r="B2387" s="35" t="n"/>
      <c r="C2387" s="35" t="n"/>
      <c r="D2387" s="35" t="n"/>
      <c r="E2387" s="35" t="n"/>
      <c r="F2387" s="36" t="n"/>
      <c r="G2387" s="35" t="n"/>
      <c r="H2387" s="30">
        <f>IF(L2387="","",INDEX(SkiftNavn,L2387))</f>
        <v/>
      </c>
      <c r="I2387" s="30">
        <f>IF(OR(A2387="",L2387=""),"",IF(MOD(A2387-INDEX(SkiftStart,L2387),Syklus)&lt;DagK,"Kveld",IF(MOD(A2387-INDEX(SkiftStart,L2387),Syklus)&lt;DagK+DagH,"Helg",IF(MOD(A2387-INDEX(SkiftStart,L2387),Syklus)&lt;DagK+DagH+DagD,"Dag","Fri"))))</f>
        <v/>
      </c>
      <c r="J2387" s="30">
        <f>IF(I2387="Fri","Ja","")</f>
        <v/>
      </c>
      <c r="K2387" s="30">
        <f>IF(B2387="","",IF(L2387="","Ukjent tekniker",IF(ISNA(MATCH(C2387,Aktiviteter,0)),"Ukjent aktivitet",IF(AND(INDEX(AktRolle,MATCH(C2387,Aktiviteter,0))&amp;""&lt;&gt;"",ISERROR(SEARCH(INDEX(AktRolle,MATCH(C2387,Aktiviteter,0))&amp;"",INDEX(TekRoller,MATCH(B2387,Teknikere,0))))),"Mangler rollen "&amp;INDEX(AktRolle,MATCH(C2387,Aktiviteter,0))&amp;"",IF(AND(C2387="LMS",F2387&gt;0,OR(D2387="",E2387="")),"Mangler maskin eller arbeid",IF(AND(OR(C2387="LMS",C2387="Mod"),D2387&lt;&gt;""),IF(IFERROR(INDEX(MaskinStatus,MATCH(D2387,Maskiner,0)),"")="I dokk","","Maskinen er ikke i dokk"),""))))))</f>
        <v/>
      </c>
      <c r="L2387" s="2">
        <f>IF(B2387="","",IFERROR(INT((MATCH(B2387,Teknikere,0)-1)/18)+1,""))</f>
        <v/>
      </c>
      <c r="M2387" s="2">
        <f>IF(OR(A2387="",B2387=""),"",B2387&amp;"|"&amp;A2387)</f>
        <v/>
      </c>
      <c r="N2387" s="2">
        <f>IF(M2387="","",SUMIFS(TF_Timer,TF_Nokkel,M2387,TF_Akt,C2387))</f>
        <v/>
      </c>
      <c r="O2387" s="2">
        <f>IF(M2387="","",IF(AND(N2387=_xlfn.MAXIFS(TF_AktSum,TF_Nokkel,M2387),COUNTIFS(M$3:M2386,M2387,N$3:N2386,N2387)=0),M2387,""))</f>
        <v/>
      </c>
    </row>
    <row r="2388">
      <c r="A2388" s="34" t="n"/>
      <c r="B2388" s="35" t="n"/>
      <c r="C2388" s="35" t="n"/>
      <c r="D2388" s="35" t="n"/>
      <c r="E2388" s="35" t="n"/>
      <c r="F2388" s="36" t="n"/>
      <c r="G2388" s="35" t="n"/>
      <c r="H2388" s="30">
        <f>IF(L2388="","",INDEX(SkiftNavn,L2388))</f>
        <v/>
      </c>
      <c r="I2388" s="30">
        <f>IF(OR(A2388="",L2388=""),"",IF(MOD(A2388-INDEX(SkiftStart,L2388),Syklus)&lt;DagK,"Kveld",IF(MOD(A2388-INDEX(SkiftStart,L2388),Syklus)&lt;DagK+DagH,"Helg",IF(MOD(A2388-INDEX(SkiftStart,L2388),Syklus)&lt;DagK+DagH+DagD,"Dag","Fri"))))</f>
        <v/>
      </c>
      <c r="J2388" s="30">
        <f>IF(I2388="Fri","Ja","")</f>
        <v/>
      </c>
      <c r="K2388" s="30">
        <f>IF(B2388="","",IF(L2388="","Ukjent tekniker",IF(ISNA(MATCH(C2388,Aktiviteter,0)),"Ukjent aktivitet",IF(AND(INDEX(AktRolle,MATCH(C2388,Aktiviteter,0))&amp;""&lt;&gt;"",ISERROR(SEARCH(INDEX(AktRolle,MATCH(C2388,Aktiviteter,0))&amp;"",INDEX(TekRoller,MATCH(B2388,Teknikere,0))))),"Mangler rollen "&amp;INDEX(AktRolle,MATCH(C2388,Aktiviteter,0))&amp;"",IF(AND(C2388="LMS",F2388&gt;0,OR(D2388="",E2388="")),"Mangler maskin eller arbeid",IF(AND(OR(C2388="LMS",C2388="Mod"),D2388&lt;&gt;""),IF(IFERROR(INDEX(MaskinStatus,MATCH(D2388,Maskiner,0)),"")="I dokk","","Maskinen er ikke i dokk"),""))))))</f>
        <v/>
      </c>
      <c r="L2388" s="2">
        <f>IF(B2388="","",IFERROR(INT((MATCH(B2388,Teknikere,0)-1)/18)+1,""))</f>
        <v/>
      </c>
      <c r="M2388" s="2">
        <f>IF(OR(A2388="",B2388=""),"",B2388&amp;"|"&amp;A2388)</f>
        <v/>
      </c>
      <c r="N2388" s="2">
        <f>IF(M2388="","",SUMIFS(TF_Timer,TF_Nokkel,M2388,TF_Akt,C2388))</f>
        <v/>
      </c>
      <c r="O2388" s="2">
        <f>IF(M2388="","",IF(AND(N2388=_xlfn.MAXIFS(TF_AktSum,TF_Nokkel,M2388),COUNTIFS(M$3:M2387,M2388,N$3:N2387,N2388)=0),M2388,""))</f>
        <v/>
      </c>
    </row>
    <row r="2389">
      <c r="A2389" s="34" t="n"/>
      <c r="B2389" s="35" t="n"/>
      <c r="C2389" s="35" t="n"/>
      <c r="D2389" s="35" t="n"/>
      <c r="E2389" s="35" t="n"/>
      <c r="F2389" s="36" t="n"/>
      <c r="G2389" s="35" t="n"/>
      <c r="H2389" s="30">
        <f>IF(L2389="","",INDEX(SkiftNavn,L2389))</f>
        <v/>
      </c>
      <c r="I2389" s="30">
        <f>IF(OR(A2389="",L2389=""),"",IF(MOD(A2389-INDEX(SkiftStart,L2389),Syklus)&lt;DagK,"Kveld",IF(MOD(A2389-INDEX(SkiftStart,L2389),Syklus)&lt;DagK+DagH,"Helg",IF(MOD(A2389-INDEX(SkiftStart,L2389),Syklus)&lt;DagK+DagH+DagD,"Dag","Fri"))))</f>
        <v/>
      </c>
      <c r="J2389" s="30">
        <f>IF(I2389="Fri","Ja","")</f>
        <v/>
      </c>
      <c r="K2389" s="30">
        <f>IF(B2389="","",IF(L2389="","Ukjent tekniker",IF(ISNA(MATCH(C2389,Aktiviteter,0)),"Ukjent aktivitet",IF(AND(INDEX(AktRolle,MATCH(C2389,Aktiviteter,0))&amp;""&lt;&gt;"",ISERROR(SEARCH(INDEX(AktRolle,MATCH(C2389,Aktiviteter,0))&amp;"",INDEX(TekRoller,MATCH(B2389,Teknikere,0))))),"Mangler rollen "&amp;INDEX(AktRolle,MATCH(C2389,Aktiviteter,0))&amp;"",IF(AND(C2389="LMS",F2389&gt;0,OR(D2389="",E2389="")),"Mangler maskin eller arbeid",IF(AND(OR(C2389="LMS",C2389="Mod"),D2389&lt;&gt;""),IF(IFERROR(INDEX(MaskinStatus,MATCH(D2389,Maskiner,0)),"")="I dokk","","Maskinen er ikke i dokk"),""))))))</f>
        <v/>
      </c>
      <c r="L2389" s="2">
        <f>IF(B2389="","",IFERROR(INT((MATCH(B2389,Teknikere,0)-1)/18)+1,""))</f>
        <v/>
      </c>
      <c r="M2389" s="2">
        <f>IF(OR(A2389="",B2389=""),"",B2389&amp;"|"&amp;A2389)</f>
        <v/>
      </c>
      <c r="N2389" s="2">
        <f>IF(M2389="","",SUMIFS(TF_Timer,TF_Nokkel,M2389,TF_Akt,C2389))</f>
        <v/>
      </c>
      <c r="O2389" s="2">
        <f>IF(M2389="","",IF(AND(N2389=_xlfn.MAXIFS(TF_AktSum,TF_Nokkel,M2389),COUNTIFS(M$3:M2388,M2389,N$3:N2388,N2389)=0),M2389,""))</f>
        <v/>
      </c>
    </row>
    <row r="2390">
      <c r="A2390" s="34" t="n"/>
      <c r="B2390" s="35" t="n"/>
      <c r="C2390" s="35" t="n"/>
      <c r="D2390" s="35" t="n"/>
      <c r="E2390" s="35" t="n"/>
      <c r="F2390" s="36" t="n"/>
      <c r="G2390" s="35" t="n"/>
      <c r="H2390" s="30">
        <f>IF(L2390="","",INDEX(SkiftNavn,L2390))</f>
        <v/>
      </c>
      <c r="I2390" s="30">
        <f>IF(OR(A2390="",L2390=""),"",IF(MOD(A2390-INDEX(SkiftStart,L2390),Syklus)&lt;DagK,"Kveld",IF(MOD(A2390-INDEX(SkiftStart,L2390),Syklus)&lt;DagK+DagH,"Helg",IF(MOD(A2390-INDEX(SkiftStart,L2390),Syklus)&lt;DagK+DagH+DagD,"Dag","Fri"))))</f>
        <v/>
      </c>
      <c r="J2390" s="30">
        <f>IF(I2390="Fri","Ja","")</f>
        <v/>
      </c>
      <c r="K2390" s="30">
        <f>IF(B2390="","",IF(L2390="","Ukjent tekniker",IF(ISNA(MATCH(C2390,Aktiviteter,0)),"Ukjent aktivitet",IF(AND(INDEX(AktRolle,MATCH(C2390,Aktiviteter,0))&amp;""&lt;&gt;"",ISERROR(SEARCH(INDEX(AktRolle,MATCH(C2390,Aktiviteter,0))&amp;"",INDEX(TekRoller,MATCH(B2390,Teknikere,0))))),"Mangler rollen "&amp;INDEX(AktRolle,MATCH(C2390,Aktiviteter,0))&amp;"",IF(AND(C2390="LMS",F2390&gt;0,OR(D2390="",E2390="")),"Mangler maskin eller arbeid",IF(AND(OR(C2390="LMS",C2390="Mod"),D2390&lt;&gt;""),IF(IFERROR(INDEX(MaskinStatus,MATCH(D2390,Maskiner,0)),"")="I dokk","","Maskinen er ikke i dokk"),""))))))</f>
        <v/>
      </c>
      <c r="L2390" s="2">
        <f>IF(B2390="","",IFERROR(INT((MATCH(B2390,Teknikere,0)-1)/18)+1,""))</f>
        <v/>
      </c>
      <c r="M2390" s="2">
        <f>IF(OR(A2390="",B2390=""),"",B2390&amp;"|"&amp;A2390)</f>
        <v/>
      </c>
      <c r="N2390" s="2">
        <f>IF(M2390="","",SUMIFS(TF_Timer,TF_Nokkel,M2390,TF_Akt,C2390))</f>
        <v/>
      </c>
      <c r="O2390" s="2">
        <f>IF(M2390="","",IF(AND(N2390=_xlfn.MAXIFS(TF_AktSum,TF_Nokkel,M2390),COUNTIFS(M$3:M2389,M2390,N$3:N2389,N2390)=0),M2390,""))</f>
        <v/>
      </c>
    </row>
    <row r="2391">
      <c r="A2391" s="34" t="n"/>
      <c r="B2391" s="35" t="n"/>
      <c r="C2391" s="35" t="n"/>
      <c r="D2391" s="35" t="n"/>
      <c r="E2391" s="35" t="n"/>
      <c r="F2391" s="36" t="n"/>
      <c r="G2391" s="35" t="n"/>
      <c r="H2391" s="30">
        <f>IF(L2391="","",INDEX(SkiftNavn,L2391))</f>
        <v/>
      </c>
      <c r="I2391" s="30">
        <f>IF(OR(A2391="",L2391=""),"",IF(MOD(A2391-INDEX(SkiftStart,L2391),Syklus)&lt;DagK,"Kveld",IF(MOD(A2391-INDEX(SkiftStart,L2391),Syklus)&lt;DagK+DagH,"Helg",IF(MOD(A2391-INDEX(SkiftStart,L2391),Syklus)&lt;DagK+DagH+DagD,"Dag","Fri"))))</f>
        <v/>
      </c>
      <c r="J2391" s="30">
        <f>IF(I2391="Fri","Ja","")</f>
        <v/>
      </c>
      <c r="K2391" s="30">
        <f>IF(B2391="","",IF(L2391="","Ukjent tekniker",IF(ISNA(MATCH(C2391,Aktiviteter,0)),"Ukjent aktivitet",IF(AND(INDEX(AktRolle,MATCH(C2391,Aktiviteter,0))&amp;""&lt;&gt;"",ISERROR(SEARCH(INDEX(AktRolle,MATCH(C2391,Aktiviteter,0))&amp;"",INDEX(TekRoller,MATCH(B2391,Teknikere,0))))),"Mangler rollen "&amp;INDEX(AktRolle,MATCH(C2391,Aktiviteter,0))&amp;"",IF(AND(C2391="LMS",F2391&gt;0,OR(D2391="",E2391="")),"Mangler maskin eller arbeid",IF(AND(OR(C2391="LMS",C2391="Mod"),D2391&lt;&gt;""),IF(IFERROR(INDEX(MaskinStatus,MATCH(D2391,Maskiner,0)),"")="I dokk","","Maskinen er ikke i dokk"),""))))))</f>
        <v/>
      </c>
      <c r="L2391" s="2">
        <f>IF(B2391="","",IFERROR(INT((MATCH(B2391,Teknikere,0)-1)/18)+1,""))</f>
        <v/>
      </c>
      <c r="M2391" s="2">
        <f>IF(OR(A2391="",B2391=""),"",B2391&amp;"|"&amp;A2391)</f>
        <v/>
      </c>
      <c r="N2391" s="2">
        <f>IF(M2391="","",SUMIFS(TF_Timer,TF_Nokkel,M2391,TF_Akt,C2391))</f>
        <v/>
      </c>
      <c r="O2391" s="2">
        <f>IF(M2391="","",IF(AND(N2391=_xlfn.MAXIFS(TF_AktSum,TF_Nokkel,M2391),COUNTIFS(M$3:M2390,M2391,N$3:N2390,N2391)=0),M2391,""))</f>
        <v/>
      </c>
    </row>
    <row r="2392">
      <c r="A2392" s="34" t="n"/>
      <c r="B2392" s="35" t="n"/>
      <c r="C2392" s="35" t="n"/>
      <c r="D2392" s="35" t="n"/>
      <c r="E2392" s="35" t="n"/>
      <c r="F2392" s="36" t="n"/>
      <c r="G2392" s="35" t="n"/>
      <c r="H2392" s="30">
        <f>IF(L2392="","",INDEX(SkiftNavn,L2392))</f>
        <v/>
      </c>
      <c r="I2392" s="30">
        <f>IF(OR(A2392="",L2392=""),"",IF(MOD(A2392-INDEX(SkiftStart,L2392),Syklus)&lt;DagK,"Kveld",IF(MOD(A2392-INDEX(SkiftStart,L2392),Syklus)&lt;DagK+DagH,"Helg",IF(MOD(A2392-INDEX(SkiftStart,L2392),Syklus)&lt;DagK+DagH+DagD,"Dag","Fri"))))</f>
        <v/>
      </c>
      <c r="J2392" s="30">
        <f>IF(I2392="Fri","Ja","")</f>
        <v/>
      </c>
      <c r="K2392" s="30">
        <f>IF(B2392="","",IF(L2392="","Ukjent tekniker",IF(ISNA(MATCH(C2392,Aktiviteter,0)),"Ukjent aktivitet",IF(AND(INDEX(AktRolle,MATCH(C2392,Aktiviteter,0))&amp;""&lt;&gt;"",ISERROR(SEARCH(INDEX(AktRolle,MATCH(C2392,Aktiviteter,0))&amp;"",INDEX(TekRoller,MATCH(B2392,Teknikere,0))))),"Mangler rollen "&amp;INDEX(AktRolle,MATCH(C2392,Aktiviteter,0))&amp;"",IF(AND(C2392="LMS",F2392&gt;0,OR(D2392="",E2392="")),"Mangler maskin eller arbeid",IF(AND(OR(C2392="LMS",C2392="Mod"),D2392&lt;&gt;""),IF(IFERROR(INDEX(MaskinStatus,MATCH(D2392,Maskiner,0)),"")="I dokk","","Maskinen er ikke i dokk"),""))))))</f>
        <v/>
      </c>
      <c r="L2392" s="2">
        <f>IF(B2392="","",IFERROR(INT((MATCH(B2392,Teknikere,0)-1)/18)+1,""))</f>
        <v/>
      </c>
      <c r="M2392" s="2">
        <f>IF(OR(A2392="",B2392=""),"",B2392&amp;"|"&amp;A2392)</f>
        <v/>
      </c>
      <c r="N2392" s="2">
        <f>IF(M2392="","",SUMIFS(TF_Timer,TF_Nokkel,M2392,TF_Akt,C2392))</f>
        <v/>
      </c>
      <c r="O2392" s="2">
        <f>IF(M2392="","",IF(AND(N2392=_xlfn.MAXIFS(TF_AktSum,TF_Nokkel,M2392),COUNTIFS(M$3:M2391,M2392,N$3:N2391,N2392)=0),M2392,""))</f>
        <v/>
      </c>
    </row>
    <row r="2393">
      <c r="A2393" s="34" t="n"/>
      <c r="B2393" s="35" t="n"/>
      <c r="C2393" s="35" t="n"/>
      <c r="D2393" s="35" t="n"/>
      <c r="E2393" s="35" t="n"/>
      <c r="F2393" s="36" t="n"/>
      <c r="G2393" s="35" t="n"/>
      <c r="H2393" s="30">
        <f>IF(L2393="","",INDEX(SkiftNavn,L2393))</f>
        <v/>
      </c>
      <c r="I2393" s="30">
        <f>IF(OR(A2393="",L2393=""),"",IF(MOD(A2393-INDEX(SkiftStart,L2393),Syklus)&lt;DagK,"Kveld",IF(MOD(A2393-INDEX(SkiftStart,L2393),Syklus)&lt;DagK+DagH,"Helg",IF(MOD(A2393-INDEX(SkiftStart,L2393),Syklus)&lt;DagK+DagH+DagD,"Dag","Fri"))))</f>
        <v/>
      </c>
      <c r="J2393" s="30">
        <f>IF(I2393="Fri","Ja","")</f>
        <v/>
      </c>
      <c r="K2393" s="30">
        <f>IF(B2393="","",IF(L2393="","Ukjent tekniker",IF(ISNA(MATCH(C2393,Aktiviteter,0)),"Ukjent aktivitet",IF(AND(INDEX(AktRolle,MATCH(C2393,Aktiviteter,0))&amp;""&lt;&gt;"",ISERROR(SEARCH(INDEX(AktRolle,MATCH(C2393,Aktiviteter,0))&amp;"",INDEX(TekRoller,MATCH(B2393,Teknikere,0))))),"Mangler rollen "&amp;INDEX(AktRolle,MATCH(C2393,Aktiviteter,0))&amp;"",IF(AND(C2393="LMS",F2393&gt;0,OR(D2393="",E2393="")),"Mangler maskin eller arbeid",IF(AND(OR(C2393="LMS",C2393="Mod"),D2393&lt;&gt;""),IF(IFERROR(INDEX(MaskinStatus,MATCH(D2393,Maskiner,0)),"")="I dokk","","Maskinen er ikke i dokk"),""))))))</f>
        <v/>
      </c>
      <c r="L2393" s="2">
        <f>IF(B2393="","",IFERROR(INT((MATCH(B2393,Teknikere,0)-1)/18)+1,""))</f>
        <v/>
      </c>
      <c r="M2393" s="2">
        <f>IF(OR(A2393="",B2393=""),"",B2393&amp;"|"&amp;A2393)</f>
        <v/>
      </c>
      <c r="N2393" s="2">
        <f>IF(M2393="","",SUMIFS(TF_Timer,TF_Nokkel,M2393,TF_Akt,C2393))</f>
        <v/>
      </c>
      <c r="O2393" s="2">
        <f>IF(M2393="","",IF(AND(N2393=_xlfn.MAXIFS(TF_AktSum,TF_Nokkel,M2393),COUNTIFS(M$3:M2392,M2393,N$3:N2392,N2393)=0),M2393,""))</f>
        <v/>
      </c>
    </row>
    <row r="2394">
      <c r="A2394" s="34" t="n"/>
      <c r="B2394" s="35" t="n"/>
      <c r="C2394" s="35" t="n"/>
      <c r="D2394" s="35" t="n"/>
      <c r="E2394" s="35" t="n"/>
      <c r="F2394" s="36" t="n"/>
      <c r="G2394" s="35" t="n"/>
      <c r="H2394" s="30">
        <f>IF(L2394="","",INDEX(SkiftNavn,L2394))</f>
        <v/>
      </c>
      <c r="I2394" s="30">
        <f>IF(OR(A2394="",L2394=""),"",IF(MOD(A2394-INDEX(SkiftStart,L2394),Syklus)&lt;DagK,"Kveld",IF(MOD(A2394-INDEX(SkiftStart,L2394),Syklus)&lt;DagK+DagH,"Helg",IF(MOD(A2394-INDEX(SkiftStart,L2394),Syklus)&lt;DagK+DagH+DagD,"Dag","Fri"))))</f>
        <v/>
      </c>
      <c r="J2394" s="30">
        <f>IF(I2394="Fri","Ja","")</f>
        <v/>
      </c>
      <c r="K2394" s="30">
        <f>IF(B2394="","",IF(L2394="","Ukjent tekniker",IF(ISNA(MATCH(C2394,Aktiviteter,0)),"Ukjent aktivitet",IF(AND(INDEX(AktRolle,MATCH(C2394,Aktiviteter,0))&amp;""&lt;&gt;"",ISERROR(SEARCH(INDEX(AktRolle,MATCH(C2394,Aktiviteter,0))&amp;"",INDEX(TekRoller,MATCH(B2394,Teknikere,0))))),"Mangler rollen "&amp;INDEX(AktRolle,MATCH(C2394,Aktiviteter,0))&amp;"",IF(AND(C2394="LMS",F2394&gt;0,OR(D2394="",E2394="")),"Mangler maskin eller arbeid",IF(AND(OR(C2394="LMS",C2394="Mod"),D2394&lt;&gt;""),IF(IFERROR(INDEX(MaskinStatus,MATCH(D2394,Maskiner,0)),"")="I dokk","","Maskinen er ikke i dokk"),""))))))</f>
        <v/>
      </c>
      <c r="L2394" s="2">
        <f>IF(B2394="","",IFERROR(INT((MATCH(B2394,Teknikere,0)-1)/18)+1,""))</f>
        <v/>
      </c>
      <c r="M2394" s="2">
        <f>IF(OR(A2394="",B2394=""),"",B2394&amp;"|"&amp;A2394)</f>
        <v/>
      </c>
      <c r="N2394" s="2">
        <f>IF(M2394="","",SUMIFS(TF_Timer,TF_Nokkel,M2394,TF_Akt,C2394))</f>
        <v/>
      </c>
      <c r="O2394" s="2">
        <f>IF(M2394="","",IF(AND(N2394=_xlfn.MAXIFS(TF_AktSum,TF_Nokkel,M2394),COUNTIFS(M$3:M2393,M2394,N$3:N2393,N2394)=0),M2394,""))</f>
        <v/>
      </c>
    </row>
    <row r="2395">
      <c r="A2395" s="34" t="n"/>
      <c r="B2395" s="35" t="n"/>
      <c r="C2395" s="35" t="n"/>
      <c r="D2395" s="35" t="n"/>
      <c r="E2395" s="35" t="n"/>
      <c r="F2395" s="36" t="n"/>
      <c r="G2395" s="35" t="n"/>
      <c r="H2395" s="30">
        <f>IF(L2395="","",INDEX(SkiftNavn,L2395))</f>
        <v/>
      </c>
      <c r="I2395" s="30">
        <f>IF(OR(A2395="",L2395=""),"",IF(MOD(A2395-INDEX(SkiftStart,L2395),Syklus)&lt;DagK,"Kveld",IF(MOD(A2395-INDEX(SkiftStart,L2395),Syklus)&lt;DagK+DagH,"Helg",IF(MOD(A2395-INDEX(SkiftStart,L2395),Syklus)&lt;DagK+DagH+DagD,"Dag","Fri"))))</f>
        <v/>
      </c>
      <c r="J2395" s="30">
        <f>IF(I2395="Fri","Ja","")</f>
        <v/>
      </c>
      <c r="K2395" s="30">
        <f>IF(B2395="","",IF(L2395="","Ukjent tekniker",IF(ISNA(MATCH(C2395,Aktiviteter,0)),"Ukjent aktivitet",IF(AND(INDEX(AktRolle,MATCH(C2395,Aktiviteter,0))&amp;""&lt;&gt;"",ISERROR(SEARCH(INDEX(AktRolle,MATCH(C2395,Aktiviteter,0))&amp;"",INDEX(TekRoller,MATCH(B2395,Teknikere,0))))),"Mangler rollen "&amp;INDEX(AktRolle,MATCH(C2395,Aktiviteter,0))&amp;"",IF(AND(C2395="LMS",F2395&gt;0,OR(D2395="",E2395="")),"Mangler maskin eller arbeid",IF(AND(OR(C2395="LMS",C2395="Mod"),D2395&lt;&gt;""),IF(IFERROR(INDEX(MaskinStatus,MATCH(D2395,Maskiner,0)),"")="I dokk","","Maskinen er ikke i dokk"),""))))))</f>
        <v/>
      </c>
      <c r="L2395" s="2">
        <f>IF(B2395="","",IFERROR(INT((MATCH(B2395,Teknikere,0)-1)/18)+1,""))</f>
        <v/>
      </c>
      <c r="M2395" s="2">
        <f>IF(OR(A2395="",B2395=""),"",B2395&amp;"|"&amp;A2395)</f>
        <v/>
      </c>
      <c r="N2395" s="2">
        <f>IF(M2395="","",SUMIFS(TF_Timer,TF_Nokkel,M2395,TF_Akt,C2395))</f>
        <v/>
      </c>
      <c r="O2395" s="2">
        <f>IF(M2395="","",IF(AND(N2395=_xlfn.MAXIFS(TF_AktSum,TF_Nokkel,M2395),COUNTIFS(M$3:M2394,M2395,N$3:N2394,N2395)=0),M2395,""))</f>
        <v/>
      </c>
    </row>
    <row r="2396">
      <c r="A2396" s="34" t="n"/>
      <c r="B2396" s="35" t="n"/>
      <c r="C2396" s="35" t="n"/>
      <c r="D2396" s="35" t="n"/>
      <c r="E2396" s="35" t="n"/>
      <c r="F2396" s="36" t="n"/>
      <c r="G2396" s="35" t="n"/>
      <c r="H2396" s="30">
        <f>IF(L2396="","",INDEX(SkiftNavn,L2396))</f>
        <v/>
      </c>
      <c r="I2396" s="30">
        <f>IF(OR(A2396="",L2396=""),"",IF(MOD(A2396-INDEX(SkiftStart,L2396),Syklus)&lt;DagK,"Kveld",IF(MOD(A2396-INDEX(SkiftStart,L2396),Syklus)&lt;DagK+DagH,"Helg",IF(MOD(A2396-INDEX(SkiftStart,L2396),Syklus)&lt;DagK+DagH+DagD,"Dag","Fri"))))</f>
        <v/>
      </c>
      <c r="J2396" s="30">
        <f>IF(I2396="Fri","Ja","")</f>
        <v/>
      </c>
      <c r="K2396" s="30">
        <f>IF(B2396="","",IF(L2396="","Ukjent tekniker",IF(ISNA(MATCH(C2396,Aktiviteter,0)),"Ukjent aktivitet",IF(AND(INDEX(AktRolle,MATCH(C2396,Aktiviteter,0))&amp;""&lt;&gt;"",ISERROR(SEARCH(INDEX(AktRolle,MATCH(C2396,Aktiviteter,0))&amp;"",INDEX(TekRoller,MATCH(B2396,Teknikere,0))))),"Mangler rollen "&amp;INDEX(AktRolle,MATCH(C2396,Aktiviteter,0))&amp;"",IF(AND(C2396="LMS",F2396&gt;0,OR(D2396="",E2396="")),"Mangler maskin eller arbeid",IF(AND(OR(C2396="LMS",C2396="Mod"),D2396&lt;&gt;""),IF(IFERROR(INDEX(MaskinStatus,MATCH(D2396,Maskiner,0)),"")="I dokk","","Maskinen er ikke i dokk"),""))))))</f>
        <v/>
      </c>
      <c r="L2396" s="2">
        <f>IF(B2396="","",IFERROR(INT((MATCH(B2396,Teknikere,0)-1)/18)+1,""))</f>
        <v/>
      </c>
      <c r="M2396" s="2">
        <f>IF(OR(A2396="",B2396=""),"",B2396&amp;"|"&amp;A2396)</f>
        <v/>
      </c>
      <c r="N2396" s="2">
        <f>IF(M2396="","",SUMIFS(TF_Timer,TF_Nokkel,M2396,TF_Akt,C2396))</f>
        <v/>
      </c>
      <c r="O2396" s="2">
        <f>IF(M2396="","",IF(AND(N2396=_xlfn.MAXIFS(TF_AktSum,TF_Nokkel,M2396),COUNTIFS(M$3:M2395,M2396,N$3:N2395,N2396)=0),M2396,""))</f>
        <v/>
      </c>
    </row>
    <row r="2397">
      <c r="A2397" s="34" t="n"/>
      <c r="B2397" s="35" t="n"/>
      <c r="C2397" s="35" t="n"/>
      <c r="D2397" s="35" t="n"/>
      <c r="E2397" s="35" t="n"/>
      <c r="F2397" s="36" t="n"/>
      <c r="G2397" s="35" t="n"/>
      <c r="H2397" s="30">
        <f>IF(L2397="","",INDEX(SkiftNavn,L2397))</f>
        <v/>
      </c>
      <c r="I2397" s="30">
        <f>IF(OR(A2397="",L2397=""),"",IF(MOD(A2397-INDEX(SkiftStart,L2397),Syklus)&lt;DagK,"Kveld",IF(MOD(A2397-INDEX(SkiftStart,L2397),Syklus)&lt;DagK+DagH,"Helg",IF(MOD(A2397-INDEX(SkiftStart,L2397),Syklus)&lt;DagK+DagH+DagD,"Dag","Fri"))))</f>
        <v/>
      </c>
      <c r="J2397" s="30">
        <f>IF(I2397="Fri","Ja","")</f>
        <v/>
      </c>
      <c r="K2397" s="30">
        <f>IF(B2397="","",IF(L2397="","Ukjent tekniker",IF(ISNA(MATCH(C2397,Aktiviteter,0)),"Ukjent aktivitet",IF(AND(INDEX(AktRolle,MATCH(C2397,Aktiviteter,0))&amp;""&lt;&gt;"",ISERROR(SEARCH(INDEX(AktRolle,MATCH(C2397,Aktiviteter,0))&amp;"",INDEX(TekRoller,MATCH(B2397,Teknikere,0))))),"Mangler rollen "&amp;INDEX(AktRolle,MATCH(C2397,Aktiviteter,0))&amp;"",IF(AND(C2397="LMS",F2397&gt;0,OR(D2397="",E2397="")),"Mangler maskin eller arbeid",IF(AND(OR(C2397="LMS",C2397="Mod"),D2397&lt;&gt;""),IF(IFERROR(INDEX(MaskinStatus,MATCH(D2397,Maskiner,0)),"")="I dokk","","Maskinen er ikke i dokk"),""))))))</f>
        <v/>
      </c>
      <c r="L2397" s="2">
        <f>IF(B2397="","",IFERROR(INT((MATCH(B2397,Teknikere,0)-1)/18)+1,""))</f>
        <v/>
      </c>
      <c r="M2397" s="2">
        <f>IF(OR(A2397="",B2397=""),"",B2397&amp;"|"&amp;A2397)</f>
        <v/>
      </c>
      <c r="N2397" s="2">
        <f>IF(M2397="","",SUMIFS(TF_Timer,TF_Nokkel,M2397,TF_Akt,C2397))</f>
        <v/>
      </c>
      <c r="O2397" s="2">
        <f>IF(M2397="","",IF(AND(N2397=_xlfn.MAXIFS(TF_AktSum,TF_Nokkel,M2397),COUNTIFS(M$3:M2396,M2397,N$3:N2396,N2397)=0),M2397,""))</f>
        <v/>
      </c>
    </row>
    <row r="2398">
      <c r="A2398" s="34" t="n"/>
      <c r="B2398" s="35" t="n"/>
      <c r="C2398" s="35" t="n"/>
      <c r="D2398" s="35" t="n"/>
      <c r="E2398" s="35" t="n"/>
      <c r="F2398" s="36" t="n"/>
      <c r="G2398" s="35" t="n"/>
      <c r="H2398" s="30">
        <f>IF(L2398="","",INDEX(SkiftNavn,L2398))</f>
        <v/>
      </c>
      <c r="I2398" s="30">
        <f>IF(OR(A2398="",L2398=""),"",IF(MOD(A2398-INDEX(SkiftStart,L2398),Syklus)&lt;DagK,"Kveld",IF(MOD(A2398-INDEX(SkiftStart,L2398),Syklus)&lt;DagK+DagH,"Helg",IF(MOD(A2398-INDEX(SkiftStart,L2398),Syklus)&lt;DagK+DagH+DagD,"Dag","Fri"))))</f>
        <v/>
      </c>
      <c r="J2398" s="30">
        <f>IF(I2398="Fri","Ja","")</f>
        <v/>
      </c>
      <c r="K2398" s="30">
        <f>IF(B2398="","",IF(L2398="","Ukjent tekniker",IF(ISNA(MATCH(C2398,Aktiviteter,0)),"Ukjent aktivitet",IF(AND(INDEX(AktRolle,MATCH(C2398,Aktiviteter,0))&amp;""&lt;&gt;"",ISERROR(SEARCH(INDEX(AktRolle,MATCH(C2398,Aktiviteter,0))&amp;"",INDEX(TekRoller,MATCH(B2398,Teknikere,0))))),"Mangler rollen "&amp;INDEX(AktRolle,MATCH(C2398,Aktiviteter,0))&amp;"",IF(AND(C2398="LMS",F2398&gt;0,OR(D2398="",E2398="")),"Mangler maskin eller arbeid",IF(AND(OR(C2398="LMS",C2398="Mod"),D2398&lt;&gt;""),IF(IFERROR(INDEX(MaskinStatus,MATCH(D2398,Maskiner,0)),"")="I dokk","","Maskinen er ikke i dokk"),""))))))</f>
        <v/>
      </c>
      <c r="L2398" s="2">
        <f>IF(B2398="","",IFERROR(INT((MATCH(B2398,Teknikere,0)-1)/18)+1,""))</f>
        <v/>
      </c>
      <c r="M2398" s="2">
        <f>IF(OR(A2398="",B2398=""),"",B2398&amp;"|"&amp;A2398)</f>
        <v/>
      </c>
      <c r="N2398" s="2">
        <f>IF(M2398="","",SUMIFS(TF_Timer,TF_Nokkel,M2398,TF_Akt,C2398))</f>
        <v/>
      </c>
      <c r="O2398" s="2">
        <f>IF(M2398="","",IF(AND(N2398=_xlfn.MAXIFS(TF_AktSum,TF_Nokkel,M2398),COUNTIFS(M$3:M2397,M2398,N$3:N2397,N2398)=0),M2398,""))</f>
        <v/>
      </c>
    </row>
    <row r="2399">
      <c r="A2399" s="34" t="n"/>
      <c r="B2399" s="35" t="n"/>
      <c r="C2399" s="35" t="n"/>
      <c r="D2399" s="35" t="n"/>
      <c r="E2399" s="35" t="n"/>
      <c r="F2399" s="36" t="n"/>
      <c r="G2399" s="35" t="n"/>
      <c r="H2399" s="30">
        <f>IF(L2399="","",INDEX(SkiftNavn,L2399))</f>
        <v/>
      </c>
      <c r="I2399" s="30">
        <f>IF(OR(A2399="",L2399=""),"",IF(MOD(A2399-INDEX(SkiftStart,L2399),Syklus)&lt;DagK,"Kveld",IF(MOD(A2399-INDEX(SkiftStart,L2399),Syklus)&lt;DagK+DagH,"Helg",IF(MOD(A2399-INDEX(SkiftStart,L2399),Syklus)&lt;DagK+DagH+DagD,"Dag","Fri"))))</f>
        <v/>
      </c>
      <c r="J2399" s="30">
        <f>IF(I2399="Fri","Ja","")</f>
        <v/>
      </c>
      <c r="K2399" s="30">
        <f>IF(B2399="","",IF(L2399="","Ukjent tekniker",IF(ISNA(MATCH(C2399,Aktiviteter,0)),"Ukjent aktivitet",IF(AND(INDEX(AktRolle,MATCH(C2399,Aktiviteter,0))&amp;""&lt;&gt;"",ISERROR(SEARCH(INDEX(AktRolle,MATCH(C2399,Aktiviteter,0))&amp;"",INDEX(TekRoller,MATCH(B2399,Teknikere,0))))),"Mangler rollen "&amp;INDEX(AktRolle,MATCH(C2399,Aktiviteter,0))&amp;"",IF(AND(C2399="LMS",F2399&gt;0,OR(D2399="",E2399="")),"Mangler maskin eller arbeid",IF(AND(OR(C2399="LMS",C2399="Mod"),D2399&lt;&gt;""),IF(IFERROR(INDEX(MaskinStatus,MATCH(D2399,Maskiner,0)),"")="I dokk","","Maskinen er ikke i dokk"),""))))))</f>
        <v/>
      </c>
      <c r="L2399" s="2">
        <f>IF(B2399="","",IFERROR(INT((MATCH(B2399,Teknikere,0)-1)/18)+1,""))</f>
        <v/>
      </c>
      <c r="M2399" s="2">
        <f>IF(OR(A2399="",B2399=""),"",B2399&amp;"|"&amp;A2399)</f>
        <v/>
      </c>
      <c r="N2399" s="2">
        <f>IF(M2399="","",SUMIFS(TF_Timer,TF_Nokkel,M2399,TF_Akt,C2399))</f>
        <v/>
      </c>
      <c r="O2399" s="2">
        <f>IF(M2399="","",IF(AND(N2399=_xlfn.MAXIFS(TF_AktSum,TF_Nokkel,M2399),COUNTIFS(M$3:M2398,M2399,N$3:N2398,N2399)=0),M2399,""))</f>
        <v/>
      </c>
    </row>
    <row r="2400">
      <c r="A2400" s="34" t="n"/>
      <c r="B2400" s="35" t="n"/>
      <c r="C2400" s="35" t="n"/>
      <c r="D2400" s="35" t="n"/>
      <c r="E2400" s="35" t="n"/>
      <c r="F2400" s="36" t="n"/>
      <c r="G2400" s="35" t="n"/>
      <c r="H2400" s="30">
        <f>IF(L2400="","",INDEX(SkiftNavn,L2400))</f>
        <v/>
      </c>
      <c r="I2400" s="30">
        <f>IF(OR(A2400="",L2400=""),"",IF(MOD(A2400-INDEX(SkiftStart,L2400),Syklus)&lt;DagK,"Kveld",IF(MOD(A2400-INDEX(SkiftStart,L2400),Syklus)&lt;DagK+DagH,"Helg",IF(MOD(A2400-INDEX(SkiftStart,L2400),Syklus)&lt;DagK+DagH+DagD,"Dag","Fri"))))</f>
        <v/>
      </c>
      <c r="J2400" s="30">
        <f>IF(I2400="Fri","Ja","")</f>
        <v/>
      </c>
      <c r="K2400" s="30">
        <f>IF(B2400="","",IF(L2400="","Ukjent tekniker",IF(ISNA(MATCH(C2400,Aktiviteter,0)),"Ukjent aktivitet",IF(AND(INDEX(AktRolle,MATCH(C2400,Aktiviteter,0))&amp;""&lt;&gt;"",ISERROR(SEARCH(INDEX(AktRolle,MATCH(C2400,Aktiviteter,0))&amp;"",INDEX(TekRoller,MATCH(B2400,Teknikere,0))))),"Mangler rollen "&amp;INDEX(AktRolle,MATCH(C2400,Aktiviteter,0))&amp;"",IF(AND(C2400="LMS",F2400&gt;0,OR(D2400="",E2400="")),"Mangler maskin eller arbeid",IF(AND(OR(C2400="LMS",C2400="Mod"),D2400&lt;&gt;""),IF(IFERROR(INDEX(MaskinStatus,MATCH(D2400,Maskiner,0)),"")="I dokk","","Maskinen er ikke i dokk"),""))))))</f>
        <v/>
      </c>
      <c r="L2400" s="2">
        <f>IF(B2400="","",IFERROR(INT((MATCH(B2400,Teknikere,0)-1)/18)+1,""))</f>
        <v/>
      </c>
      <c r="M2400" s="2">
        <f>IF(OR(A2400="",B2400=""),"",B2400&amp;"|"&amp;A2400)</f>
        <v/>
      </c>
      <c r="N2400" s="2">
        <f>IF(M2400="","",SUMIFS(TF_Timer,TF_Nokkel,M2400,TF_Akt,C2400))</f>
        <v/>
      </c>
      <c r="O2400" s="2">
        <f>IF(M2400="","",IF(AND(N2400=_xlfn.MAXIFS(TF_AktSum,TF_Nokkel,M2400),COUNTIFS(M$3:M2399,M2400,N$3:N2399,N2400)=0),M2400,""))</f>
        <v/>
      </c>
    </row>
    <row r="2401">
      <c r="A2401" s="34" t="n"/>
      <c r="B2401" s="35" t="n"/>
      <c r="C2401" s="35" t="n"/>
      <c r="D2401" s="35" t="n"/>
      <c r="E2401" s="35" t="n"/>
      <c r="F2401" s="36" t="n"/>
      <c r="G2401" s="35" t="n"/>
      <c r="H2401" s="30">
        <f>IF(L2401="","",INDEX(SkiftNavn,L2401))</f>
        <v/>
      </c>
      <c r="I2401" s="30">
        <f>IF(OR(A2401="",L2401=""),"",IF(MOD(A2401-INDEX(SkiftStart,L2401),Syklus)&lt;DagK,"Kveld",IF(MOD(A2401-INDEX(SkiftStart,L2401),Syklus)&lt;DagK+DagH,"Helg",IF(MOD(A2401-INDEX(SkiftStart,L2401),Syklus)&lt;DagK+DagH+DagD,"Dag","Fri"))))</f>
        <v/>
      </c>
      <c r="J2401" s="30">
        <f>IF(I2401="Fri","Ja","")</f>
        <v/>
      </c>
      <c r="K2401" s="30">
        <f>IF(B2401="","",IF(L2401="","Ukjent tekniker",IF(ISNA(MATCH(C2401,Aktiviteter,0)),"Ukjent aktivitet",IF(AND(INDEX(AktRolle,MATCH(C2401,Aktiviteter,0))&amp;""&lt;&gt;"",ISERROR(SEARCH(INDEX(AktRolle,MATCH(C2401,Aktiviteter,0))&amp;"",INDEX(TekRoller,MATCH(B2401,Teknikere,0))))),"Mangler rollen "&amp;INDEX(AktRolle,MATCH(C2401,Aktiviteter,0))&amp;"",IF(AND(C2401="LMS",F2401&gt;0,OR(D2401="",E2401="")),"Mangler maskin eller arbeid",IF(AND(OR(C2401="LMS",C2401="Mod"),D2401&lt;&gt;""),IF(IFERROR(INDEX(MaskinStatus,MATCH(D2401,Maskiner,0)),"")="I dokk","","Maskinen er ikke i dokk"),""))))))</f>
        <v/>
      </c>
      <c r="L2401" s="2">
        <f>IF(B2401="","",IFERROR(INT((MATCH(B2401,Teknikere,0)-1)/18)+1,""))</f>
        <v/>
      </c>
      <c r="M2401" s="2">
        <f>IF(OR(A2401="",B2401=""),"",B2401&amp;"|"&amp;A2401)</f>
        <v/>
      </c>
      <c r="N2401" s="2">
        <f>IF(M2401="","",SUMIFS(TF_Timer,TF_Nokkel,M2401,TF_Akt,C2401))</f>
        <v/>
      </c>
      <c r="O2401" s="2">
        <f>IF(M2401="","",IF(AND(N2401=_xlfn.MAXIFS(TF_AktSum,TF_Nokkel,M2401),COUNTIFS(M$3:M2400,M2401,N$3:N2400,N2401)=0),M2401,""))</f>
        <v/>
      </c>
    </row>
    <row r="2402">
      <c r="A2402" s="34" t="n"/>
      <c r="B2402" s="35" t="n"/>
      <c r="C2402" s="35" t="n"/>
      <c r="D2402" s="35" t="n"/>
      <c r="E2402" s="35" t="n"/>
      <c r="F2402" s="36" t="n"/>
      <c r="G2402" s="35" t="n"/>
      <c r="H2402" s="30">
        <f>IF(L2402="","",INDEX(SkiftNavn,L2402))</f>
        <v/>
      </c>
      <c r="I2402" s="30">
        <f>IF(OR(A2402="",L2402=""),"",IF(MOD(A2402-INDEX(SkiftStart,L2402),Syklus)&lt;DagK,"Kveld",IF(MOD(A2402-INDEX(SkiftStart,L2402),Syklus)&lt;DagK+DagH,"Helg",IF(MOD(A2402-INDEX(SkiftStart,L2402),Syklus)&lt;DagK+DagH+DagD,"Dag","Fri"))))</f>
        <v/>
      </c>
      <c r="J2402" s="30">
        <f>IF(I2402="Fri","Ja","")</f>
        <v/>
      </c>
      <c r="K2402" s="30">
        <f>IF(B2402="","",IF(L2402="","Ukjent tekniker",IF(ISNA(MATCH(C2402,Aktiviteter,0)),"Ukjent aktivitet",IF(AND(INDEX(AktRolle,MATCH(C2402,Aktiviteter,0))&amp;""&lt;&gt;"",ISERROR(SEARCH(INDEX(AktRolle,MATCH(C2402,Aktiviteter,0))&amp;"",INDEX(TekRoller,MATCH(B2402,Teknikere,0))))),"Mangler rollen "&amp;INDEX(AktRolle,MATCH(C2402,Aktiviteter,0))&amp;"",IF(AND(C2402="LMS",F2402&gt;0,OR(D2402="",E2402="")),"Mangler maskin eller arbeid",IF(AND(OR(C2402="LMS",C2402="Mod"),D2402&lt;&gt;""),IF(IFERROR(INDEX(MaskinStatus,MATCH(D2402,Maskiner,0)),"")="I dokk","","Maskinen er ikke i dokk"),""))))))</f>
        <v/>
      </c>
      <c r="L2402" s="2">
        <f>IF(B2402="","",IFERROR(INT((MATCH(B2402,Teknikere,0)-1)/18)+1,""))</f>
        <v/>
      </c>
      <c r="M2402" s="2">
        <f>IF(OR(A2402="",B2402=""),"",B2402&amp;"|"&amp;A2402)</f>
        <v/>
      </c>
      <c r="N2402" s="2">
        <f>IF(M2402="","",SUMIFS(TF_Timer,TF_Nokkel,M2402,TF_Akt,C2402))</f>
        <v/>
      </c>
      <c r="O2402" s="2">
        <f>IF(M2402="","",IF(AND(N2402=_xlfn.MAXIFS(TF_AktSum,TF_Nokkel,M2402),COUNTIFS(M$3:M2401,M2402,N$3:N2401,N2402)=0),M2402,""))</f>
        <v/>
      </c>
    </row>
    <row r="2403">
      <c r="A2403" s="34" t="n"/>
      <c r="B2403" s="35" t="n"/>
      <c r="C2403" s="35" t="n"/>
      <c r="D2403" s="35" t="n"/>
      <c r="E2403" s="35" t="n"/>
      <c r="F2403" s="36" t="n"/>
      <c r="G2403" s="35" t="n"/>
      <c r="H2403" s="30">
        <f>IF(L2403="","",INDEX(SkiftNavn,L2403))</f>
        <v/>
      </c>
      <c r="I2403" s="30">
        <f>IF(OR(A2403="",L2403=""),"",IF(MOD(A2403-INDEX(SkiftStart,L2403),Syklus)&lt;DagK,"Kveld",IF(MOD(A2403-INDEX(SkiftStart,L2403),Syklus)&lt;DagK+DagH,"Helg",IF(MOD(A2403-INDEX(SkiftStart,L2403),Syklus)&lt;DagK+DagH+DagD,"Dag","Fri"))))</f>
        <v/>
      </c>
      <c r="J2403" s="30">
        <f>IF(I2403="Fri","Ja","")</f>
        <v/>
      </c>
      <c r="K2403" s="30">
        <f>IF(B2403="","",IF(L2403="","Ukjent tekniker",IF(ISNA(MATCH(C2403,Aktiviteter,0)),"Ukjent aktivitet",IF(AND(INDEX(AktRolle,MATCH(C2403,Aktiviteter,0))&amp;""&lt;&gt;"",ISERROR(SEARCH(INDEX(AktRolle,MATCH(C2403,Aktiviteter,0))&amp;"",INDEX(TekRoller,MATCH(B2403,Teknikere,0))))),"Mangler rollen "&amp;INDEX(AktRolle,MATCH(C2403,Aktiviteter,0))&amp;"",IF(AND(C2403="LMS",F2403&gt;0,OR(D2403="",E2403="")),"Mangler maskin eller arbeid",IF(AND(OR(C2403="LMS",C2403="Mod"),D2403&lt;&gt;""),IF(IFERROR(INDEX(MaskinStatus,MATCH(D2403,Maskiner,0)),"")="I dokk","","Maskinen er ikke i dokk"),""))))))</f>
        <v/>
      </c>
      <c r="L2403" s="2">
        <f>IF(B2403="","",IFERROR(INT((MATCH(B2403,Teknikere,0)-1)/18)+1,""))</f>
        <v/>
      </c>
      <c r="M2403" s="2">
        <f>IF(OR(A2403="",B2403=""),"",B2403&amp;"|"&amp;A2403)</f>
        <v/>
      </c>
      <c r="N2403" s="2">
        <f>IF(M2403="","",SUMIFS(TF_Timer,TF_Nokkel,M2403,TF_Akt,C2403))</f>
        <v/>
      </c>
      <c r="O2403" s="2">
        <f>IF(M2403="","",IF(AND(N2403=_xlfn.MAXIFS(TF_AktSum,TF_Nokkel,M2403),COUNTIFS(M$3:M2402,M2403,N$3:N2402,N2403)=0),M2403,""))</f>
        <v/>
      </c>
    </row>
    <row r="2404">
      <c r="A2404" s="34" t="n"/>
      <c r="B2404" s="35" t="n"/>
      <c r="C2404" s="35" t="n"/>
      <c r="D2404" s="35" t="n"/>
      <c r="E2404" s="35" t="n"/>
      <c r="F2404" s="36" t="n"/>
      <c r="G2404" s="35" t="n"/>
      <c r="H2404" s="30">
        <f>IF(L2404="","",INDEX(SkiftNavn,L2404))</f>
        <v/>
      </c>
      <c r="I2404" s="30">
        <f>IF(OR(A2404="",L2404=""),"",IF(MOD(A2404-INDEX(SkiftStart,L2404),Syklus)&lt;DagK,"Kveld",IF(MOD(A2404-INDEX(SkiftStart,L2404),Syklus)&lt;DagK+DagH,"Helg",IF(MOD(A2404-INDEX(SkiftStart,L2404),Syklus)&lt;DagK+DagH+DagD,"Dag","Fri"))))</f>
        <v/>
      </c>
      <c r="J2404" s="30">
        <f>IF(I2404="Fri","Ja","")</f>
        <v/>
      </c>
      <c r="K2404" s="30">
        <f>IF(B2404="","",IF(L2404="","Ukjent tekniker",IF(ISNA(MATCH(C2404,Aktiviteter,0)),"Ukjent aktivitet",IF(AND(INDEX(AktRolle,MATCH(C2404,Aktiviteter,0))&amp;""&lt;&gt;"",ISERROR(SEARCH(INDEX(AktRolle,MATCH(C2404,Aktiviteter,0))&amp;"",INDEX(TekRoller,MATCH(B2404,Teknikere,0))))),"Mangler rollen "&amp;INDEX(AktRolle,MATCH(C2404,Aktiviteter,0))&amp;"",IF(AND(C2404="LMS",F2404&gt;0,OR(D2404="",E2404="")),"Mangler maskin eller arbeid",IF(AND(OR(C2404="LMS",C2404="Mod"),D2404&lt;&gt;""),IF(IFERROR(INDEX(MaskinStatus,MATCH(D2404,Maskiner,0)),"")="I dokk","","Maskinen er ikke i dokk"),""))))))</f>
        <v/>
      </c>
      <c r="L2404" s="2">
        <f>IF(B2404="","",IFERROR(INT((MATCH(B2404,Teknikere,0)-1)/18)+1,""))</f>
        <v/>
      </c>
      <c r="M2404" s="2">
        <f>IF(OR(A2404="",B2404=""),"",B2404&amp;"|"&amp;A2404)</f>
        <v/>
      </c>
      <c r="N2404" s="2">
        <f>IF(M2404="","",SUMIFS(TF_Timer,TF_Nokkel,M2404,TF_Akt,C2404))</f>
        <v/>
      </c>
      <c r="O2404" s="2">
        <f>IF(M2404="","",IF(AND(N2404=_xlfn.MAXIFS(TF_AktSum,TF_Nokkel,M2404),COUNTIFS(M$3:M2403,M2404,N$3:N2403,N2404)=0),M2404,""))</f>
        <v/>
      </c>
    </row>
    <row r="2405">
      <c r="A2405" s="34" t="n"/>
      <c r="B2405" s="35" t="n"/>
      <c r="C2405" s="35" t="n"/>
      <c r="D2405" s="35" t="n"/>
      <c r="E2405" s="35" t="n"/>
      <c r="F2405" s="36" t="n"/>
      <c r="G2405" s="35" t="n"/>
      <c r="H2405" s="30">
        <f>IF(L2405="","",INDEX(SkiftNavn,L2405))</f>
        <v/>
      </c>
      <c r="I2405" s="30">
        <f>IF(OR(A2405="",L2405=""),"",IF(MOD(A2405-INDEX(SkiftStart,L2405),Syklus)&lt;DagK,"Kveld",IF(MOD(A2405-INDEX(SkiftStart,L2405),Syklus)&lt;DagK+DagH,"Helg",IF(MOD(A2405-INDEX(SkiftStart,L2405),Syklus)&lt;DagK+DagH+DagD,"Dag","Fri"))))</f>
        <v/>
      </c>
      <c r="J2405" s="30">
        <f>IF(I2405="Fri","Ja","")</f>
        <v/>
      </c>
      <c r="K2405" s="30">
        <f>IF(B2405="","",IF(L2405="","Ukjent tekniker",IF(ISNA(MATCH(C2405,Aktiviteter,0)),"Ukjent aktivitet",IF(AND(INDEX(AktRolle,MATCH(C2405,Aktiviteter,0))&amp;""&lt;&gt;"",ISERROR(SEARCH(INDEX(AktRolle,MATCH(C2405,Aktiviteter,0))&amp;"",INDEX(TekRoller,MATCH(B2405,Teknikere,0))))),"Mangler rollen "&amp;INDEX(AktRolle,MATCH(C2405,Aktiviteter,0))&amp;"",IF(AND(C2405="LMS",F2405&gt;0,OR(D2405="",E2405="")),"Mangler maskin eller arbeid",IF(AND(OR(C2405="LMS",C2405="Mod"),D2405&lt;&gt;""),IF(IFERROR(INDEX(MaskinStatus,MATCH(D2405,Maskiner,0)),"")="I dokk","","Maskinen er ikke i dokk"),""))))))</f>
        <v/>
      </c>
      <c r="L2405" s="2">
        <f>IF(B2405="","",IFERROR(INT((MATCH(B2405,Teknikere,0)-1)/18)+1,""))</f>
        <v/>
      </c>
      <c r="M2405" s="2">
        <f>IF(OR(A2405="",B2405=""),"",B2405&amp;"|"&amp;A2405)</f>
        <v/>
      </c>
      <c r="N2405" s="2">
        <f>IF(M2405="","",SUMIFS(TF_Timer,TF_Nokkel,M2405,TF_Akt,C2405))</f>
        <v/>
      </c>
      <c r="O2405" s="2">
        <f>IF(M2405="","",IF(AND(N2405=_xlfn.MAXIFS(TF_AktSum,TF_Nokkel,M2405),COUNTIFS(M$3:M2404,M2405,N$3:N2404,N2405)=0),M2405,""))</f>
        <v/>
      </c>
    </row>
    <row r="2406">
      <c r="A2406" s="34" t="n"/>
      <c r="B2406" s="35" t="n"/>
      <c r="C2406" s="35" t="n"/>
      <c r="D2406" s="35" t="n"/>
      <c r="E2406" s="35" t="n"/>
      <c r="F2406" s="36" t="n"/>
      <c r="G2406" s="35" t="n"/>
      <c r="H2406" s="30">
        <f>IF(L2406="","",INDEX(SkiftNavn,L2406))</f>
        <v/>
      </c>
      <c r="I2406" s="30">
        <f>IF(OR(A2406="",L2406=""),"",IF(MOD(A2406-INDEX(SkiftStart,L2406),Syklus)&lt;DagK,"Kveld",IF(MOD(A2406-INDEX(SkiftStart,L2406),Syklus)&lt;DagK+DagH,"Helg",IF(MOD(A2406-INDEX(SkiftStart,L2406),Syklus)&lt;DagK+DagH+DagD,"Dag","Fri"))))</f>
        <v/>
      </c>
      <c r="J2406" s="30">
        <f>IF(I2406="Fri","Ja","")</f>
        <v/>
      </c>
      <c r="K2406" s="30">
        <f>IF(B2406="","",IF(L2406="","Ukjent tekniker",IF(ISNA(MATCH(C2406,Aktiviteter,0)),"Ukjent aktivitet",IF(AND(INDEX(AktRolle,MATCH(C2406,Aktiviteter,0))&amp;""&lt;&gt;"",ISERROR(SEARCH(INDEX(AktRolle,MATCH(C2406,Aktiviteter,0))&amp;"",INDEX(TekRoller,MATCH(B2406,Teknikere,0))))),"Mangler rollen "&amp;INDEX(AktRolle,MATCH(C2406,Aktiviteter,0))&amp;"",IF(AND(C2406="LMS",F2406&gt;0,OR(D2406="",E2406="")),"Mangler maskin eller arbeid",IF(AND(OR(C2406="LMS",C2406="Mod"),D2406&lt;&gt;""),IF(IFERROR(INDEX(MaskinStatus,MATCH(D2406,Maskiner,0)),"")="I dokk","","Maskinen er ikke i dokk"),""))))))</f>
        <v/>
      </c>
      <c r="L2406" s="2">
        <f>IF(B2406="","",IFERROR(INT((MATCH(B2406,Teknikere,0)-1)/18)+1,""))</f>
        <v/>
      </c>
      <c r="M2406" s="2">
        <f>IF(OR(A2406="",B2406=""),"",B2406&amp;"|"&amp;A2406)</f>
        <v/>
      </c>
      <c r="N2406" s="2">
        <f>IF(M2406="","",SUMIFS(TF_Timer,TF_Nokkel,M2406,TF_Akt,C2406))</f>
        <v/>
      </c>
      <c r="O2406" s="2">
        <f>IF(M2406="","",IF(AND(N2406=_xlfn.MAXIFS(TF_AktSum,TF_Nokkel,M2406),COUNTIFS(M$3:M2405,M2406,N$3:N2405,N2406)=0),M2406,""))</f>
        <v/>
      </c>
    </row>
    <row r="2407">
      <c r="A2407" s="34" t="n"/>
      <c r="B2407" s="35" t="n"/>
      <c r="C2407" s="35" t="n"/>
      <c r="D2407" s="35" t="n"/>
      <c r="E2407" s="35" t="n"/>
      <c r="F2407" s="36" t="n"/>
      <c r="G2407" s="35" t="n"/>
      <c r="H2407" s="30">
        <f>IF(L2407="","",INDEX(SkiftNavn,L2407))</f>
        <v/>
      </c>
      <c r="I2407" s="30">
        <f>IF(OR(A2407="",L2407=""),"",IF(MOD(A2407-INDEX(SkiftStart,L2407),Syklus)&lt;DagK,"Kveld",IF(MOD(A2407-INDEX(SkiftStart,L2407),Syklus)&lt;DagK+DagH,"Helg",IF(MOD(A2407-INDEX(SkiftStart,L2407),Syklus)&lt;DagK+DagH+DagD,"Dag","Fri"))))</f>
        <v/>
      </c>
      <c r="J2407" s="30">
        <f>IF(I2407="Fri","Ja","")</f>
        <v/>
      </c>
      <c r="K2407" s="30">
        <f>IF(B2407="","",IF(L2407="","Ukjent tekniker",IF(ISNA(MATCH(C2407,Aktiviteter,0)),"Ukjent aktivitet",IF(AND(INDEX(AktRolle,MATCH(C2407,Aktiviteter,0))&amp;""&lt;&gt;"",ISERROR(SEARCH(INDEX(AktRolle,MATCH(C2407,Aktiviteter,0))&amp;"",INDEX(TekRoller,MATCH(B2407,Teknikere,0))))),"Mangler rollen "&amp;INDEX(AktRolle,MATCH(C2407,Aktiviteter,0))&amp;"",IF(AND(C2407="LMS",F2407&gt;0,OR(D2407="",E2407="")),"Mangler maskin eller arbeid",IF(AND(OR(C2407="LMS",C2407="Mod"),D2407&lt;&gt;""),IF(IFERROR(INDEX(MaskinStatus,MATCH(D2407,Maskiner,0)),"")="I dokk","","Maskinen er ikke i dokk"),""))))))</f>
        <v/>
      </c>
      <c r="L2407" s="2">
        <f>IF(B2407="","",IFERROR(INT((MATCH(B2407,Teknikere,0)-1)/18)+1,""))</f>
        <v/>
      </c>
      <c r="M2407" s="2">
        <f>IF(OR(A2407="",B2407=""),"",B2407&amp;"|"&amp;A2407)</f>
        <v/>
      </c>
      <c r="N2407" s="2">
        <f>IF(M2407="","",SUMIFS(TF_Timer,TF_Nokkel,M2407,TF_Akt,C2407))</f>
        <v/>
      </c>
      <c r="O2407" s="2">
        <f>IF(M2407="","",IF(AND(N2407=_xlfn.MAXIFS(TF_AktSum,TF_Nokkel,M2407),COUNTIFS(M$3:M2406,M2407,N$3:N2406,N2407)=0),M2407,""))</f>
        <v/>
      </c>
    </row>
    <row r="2408">
      <c r="A2408" s="34" t="n"/>
      <c r="B2408" s="35" t="n"/>
      <c r="C2408" s="35" t="n"/>
      <c r="D2408" s="35" t="n"/>
      <c r="E2408" s="35" t="n"/>
      <c r="F2408" s="36" t="n"/>
      <c r="G2408" s="35" t="n"/>
      <c r="H2408" s="30">
        <f>IF(L2408="","",INDEX(SkiftNavn,L2408))</f>
        <v/>
      </c>
      <c r="I2408" s="30">
        <f>IF(OR(A2408="",L2408=""),"",IF(MOD(A2408-INDEX(SkiftStart,L2408),Syklus)&lt;DagK,"Kveld",IF(MOD(A2408-INDEX(SkiftStart,L2408),Syklus)&lt;DagK+DagH,"Helg",IF(MOD(A2408-INDEX(SkiftStart,L2408),Syklus)&lt;DagK+DagH+DagD,"Dag","Fri"))))</f>
        <v/>
      </c>
      <c r="J2408" s="30">
        <f>IF(I2408="Fri","Ja","")</f>
        <v/>
      </c>
      <c r="K2408" s="30">
        <f>IF(B2408="","",IF(L2408="","Ukjent tekniker",IF(ISNA(MATCH(C2408,Aktiviteter,0)),"Ukjent aktivitet",IF(AND(INDEX(AktRolle,MATCH(C2408,Aktiviteter,0))&amp;""&lt;&gt;"",ISERROR(SEARCH(INDEX(AktRolle,MATCH(C2408,Aktiviteter,0))&amp;"",INDEX(TekRoller,MATCH(B2408,Teknikere,0))))),"Mangler rollen "&amp;INDEX(AktRolle,MATCH(C2408,Aktiviteter,0))&amp;"",IF(AND(C2408="LMS",F2408&gt;0,OR(D2408="",E2408="")),"Mangler maskin eller arbeid",IF(AND(OR(C2408="LMS",C2408="Mod"),D2408&lt;&gt;""),IF(IFERROR(INDEX(MaskinStatus,MATCH(D2408,Maskiner,0)),"")="I dokk","","Maskinen er ikke i dokk"),""))))))</f>
        <v/>
      </c>
      <c r="L2408" s="2">
        <f>IF(B2408="","",IFERROR(INT((MATCH(B2408,Teknikere,0)-1)/18)+1,""))</f>
        <v/>
      </c>
      <c r="M2408" s="2">
        <f>IF(OR(A2408="",B2408=""),"",B2408&amp;"|"&amp;A2408)</f>
        <v/>
      </c>
      <c r="N2408" s="2">
        <f>IF(M2408="","",SUMIFS(TF_Timer,TF_Nokkel,M2408,TF_Akt,C2408))</f>
        <v/>
      </c>
      <c r="O2408" s="2">
        <f>IF(M2408="","",IF(AND(N2408=_xlfn.MAXIFS(TF_AktSum,TF_Nokkel,M2408),COUNTIFS(M$3:M2407,M2408,N$3:N2407,N2408)=0),M2408,""))</f>
        <v/>
      </c>
    </row>
    <row r="2409">
      <c r="A2409" s="34" t="n"/>
      <c r="B2409" s="35" t="n"/>
      <c r="C2409" s="35" t="n"/>
      <c r="D2409" s="35" t="n"/>
      <c r="E2409" s="35" t="n"/>
      <c r="F2409" s="36" t="n"/>
      <c r="G2409" s="35" t="n"/>
      <c r="H2409" s="30">
        <f>IF(L2409="","",INDEX(SkiftNavn,L2409))</f>
        <v/>
      </c>
      <c r="I2409" s="30">
        <f>IF(OR(A2409="",L2409=""),"",IF(MOD(A2409-INDEX(SkiftStart,L2409),Syklus)&lt;DagK,"Kveld",IF(MOD(A2409-INDEX(SkiftStart,L2409),Syklus)&lt;DagK+DagH,"Helg",IF(MOD(A2409-INDEX(SkiftStart,L2409),Syklus)&lt;DagK+DagH+DagD,"Dag","Fri"))))</f>
        <v/>
      </c>
      <c r="J2409" s="30">
        <f>IF(I2409="Fri","Ja","")</f>
        <v/>
      </c>
      <c r="K2409" s="30">
        <f>IF(B2409="","",IF(L2409="","Ukjent tekniker",IF(ISNA(MATCH(C2409,Aktiviteter,0)),"Ukjent aktivitet",IF(AND(INDEX(AktRolle,MATCH(C2409,Aktiviteter,0))&amp;""&lt;&gt;"",ISERROR(SEARCH(INDEX(AktRolle,MATCH(C2409,Aktiviteter,0))&amp;"",INDEX(TekRoller,MATCH(B2409,Teknikere,0))))),"Mangler rollen "&amp;INDEX(AktRolle,MATCH(C2409,Aktiviteter,0))&amp;"",IF(AND(C2409="LMS",F2409&gt;0,OR(D2409="",E2409="")),"Mangler maskin eller arbeid",IF(AND(OR(C2409="LMS",C2409="Mod"),D2409&lt;&gt;""),IF(IFERROR(INDEX(MaskinStatus,MATCH(D2409,Maskiner,0)),"")="I dokk","","Maskinen er ikke i dokk"),""))))))</f>
        <v/>
      </c>
      <c r="L2409" s="2">
        <f>IF(B2409="","",IFERROR(INT((MATCH(B2409,Teknikere,0)-1)/18)+1,""))</f>
        <v/>
      </c>
      <c r="M2409" s="2">
        <f>IF(OR(A2409="",B2409=""),"",B2409&amp;"|"&amp;A2409)</f>
        <v/>
      </c>
      <c r="N2409" s="2">
        <f>IF(M2409="","",SUMIFS(TF_Timer,TF_Nokkel,M2409,TF_Akt,C2409))</f>
        <v/>
      </c>
      <c r="O2409" s="2">
        <f>IF(M2409="","",IF(AND(N2409=_xlfn.MAXIFS(TF_AktSum,TF_Nokkel,M2409),COUNTIFS(M$3:M2408,M2409,N$3:N2408,N2409)=0),M2409,""))</f>
        <v/>
      </c>
    </row>
    <row r="2410">
      <c r="A2410" s="34" t="n"/>
      <c r="B2410" s="35" t="n"/>
      <c r="C2410" s="35" t="n"/>
      <c r="D2410" s="35" t="n"/>
      <c r="E2410" s="35" t="n"/>
      <c r="F2410" s="36" t="n"/>
      <c r="G2410" s="35" t="n"/>
      <c r="H2410" s="30">
        <f>IF(L2410="","",INDEX(SkiftNavn,L2410))</f>
        <v/>
      </c>
      <c r="I2410" s="30">
        <f>IF(OR(A2410="",L2410=""),"",IF(MOD(A2410-INDEX(SkiftStart,L2410),Syklus)&lt;DagK,"Kveld",IF(MOD(A2410-INDEX(SkiftStart,L2410),Syklus)&lt;DagK+DagH,"Helg",IF(MOD(A2410-INDEX(SkiftStart,L2410),Syklus)&lt;DagK+DagH+DagD,"Dag","Fri"))))</f>
        <v/>
      </c>
      <c r="J2410" s="30">
        <f>IF(I2410="Fri","Ja","")</f>
        <v/>
      </c>
      <c r="K2410" s="30">
        <f>IF(B2410="","",IF(L2410="","Ukjent tekniker",IF(ISNA(MATCH(C2410,Aktiviteter,0)),"Ukjent aktivitet",IF(AND(INDEX(AktRolle,MATCH(C2410,Aktiviteter,0))&amp;""&lt;&gt;"",ISERROR(SEARCH(INDEX(AktRolle,MATCH(C2410,Aktiviteter,0))&amp;"",INDEX(TekRoller,MATCH(B2410,Teknikere,0))))),"Mangler rollen "&amp;INDEX(AktRolle,MATCH(C2410,Aktiviteter,0))&amp;"",IF(AND(C2410="LMS",F2410&gt;0,OR(D2410="",E2410="")),"Mangler maskin eller arbeid",IF(AND(OR(C2410="LMS",C2410="Mod"),D2410&lt;&gt;""),IF(IFERROR(INDEX(MaskinStatus,MATCH(D2410,Maskiner,0)),"")="I dokk","","Maskinen er ikke i dokk"),""))))))</f>
        <v/>
      </c>
      <c r="L2410" s="2">
        <f>IF(B2410="","",IFERROR(INT((MATCH(B2410,Teknikere,0)-1)/18)+1,""))</f>
        <v/>
      </c>
      <c r="M2410" s="2">
        <f>IF(OR(A2410="",B2410=""),"",B2410&amp;"|"&amp;A2410)</f>
        <v/>
      </c>
      <c r="N2410" s="2">
        <f>IF(M2410="","",SUMIFS(TF_Timer,TF_Nokkel,M2410,TF_Akt,C2410))</f>
        <v/>
      </c>
      <c r="O2410" s="2">
        <f>IF(M2410="","",IF(AND(N2410=_xlfn.MAXIFS(TF_AktSum,TF_Nokkel,M2410),COUNTIFS(M$3:M2409,M2410,N$3:N2409,N2410)=0),M2410,""))</f>
        <v/>
      </c>
    </row>
    <row r="2411">
      <c r="A2411" s="34" t="n"/>
      <c r="B2411" s="35" t="n"/>
      <c r="C2411" s="35" t="n"/>
      <c r="D2411" s="35" t="n"/>
      <c r="E2411" s="35" t="n"/>
      <c r="F2411" s="36" t="n"/>
      <c r="G2411" s="35" t="n"/>
      <c r="H2411" s="30">
        <f>IF(L2411="","",INDEX(SkiftNavn,L2411))</f>
        <v/>
      </c>
      <c r="I2411" s="30">
        <f>IF(OR(A2411="",L2411=""),"",IF(MOD(A2411-INDEX(SkiftStart,L2411),Syklus)&lt;DagK,"Kveld",IF(MOD(A2411-INDEX(SkiftStart,L2411),Syklus)&lt;DagK+DagH,"Helg",IF(MOD(A2411-INDEX(SkiftStart,L2411),Syklus)&lt;DagK+DagH+DagD,"Dag","Fri"))))</f>
        <v/>
      </c>
      <c r="J2411" s="30">
        <f>IF(I2411="Fri","Ja","")</f>
        <v/>
      </c>
      <c r="K2411" s="30">
        <f>IF(B2411="","",IF(L2411="","Ukjent tekniker",IF(ISNA(MATCH(C2411,Aktiviteter,0)),"Ukjent aktivitet",IF(AND(INDEX(AktRolle,MATCH(C2411,Aktiviteter,0))&amp;""&lt;&gt;"",ISERROR(SEARCH(INDEX(AktRolle,MATCH(C2411,Aktiviteter,0))&amp;"",INDEX(TekRoller,MATCH(B2411,Teknikere,0))))),"Mangler rollen "&amp;INDEX(AktRolle,MATCH(C2411,Aktiviteter,0))&amp;"",IF(AND(C2411="LMS",F2411&gt;0,OR(D2411="",E2411="")),"Mangler maskin eller arbeid",IF(AND(OR(C2411="LMS",C2411="Mod"),D2411&lt;&gt;""),IF(IFERROR(INDEX(MaskinStatus,MATCH(D2411,Maskiner,0)),"")="I dokk","","Maskinen er ikke i dokk"),""))))))</f>
        <v/>
      </c>
      <c r="L2411" s="2">
        <f>IF(B2411="","",IFERROR(INT((MATCH(B2411,Teknikere,0)-1)/18)+1,""))</f>
        <v/>
      </c>
      <c r="M2411" s="2">
        <f>IF(OR(A2411="",B2411=""),"",B2411&amp;"|"&amp;A2411)</f>
        <v/>
      </c>
      <c r="N2411" s="2">
        <f>IF(M2411="","",SUMIFS(TF_Timer,TF_Nokkel,M2411,TF_Akt,C2411))</f>
        <v/>
      </c>
      <c r="O2411" s="2">
        <f>IF(M2411="","",IF(AND(N2411=_xlfn.MAXIFS(TF_AktSum,TF_Nokkel,M2411),COUNTIFS(M$3:M2410,M2411,N$3:N2410,N2411)=0),M2411,""))</f>
        <v/>
      </c>
    </row>
    <row r="2412">
      <c r="A2412" s="34" t="n"/>
      <c r="B2412" s="35" t="n"/>
      <c r="C2412" s="35" t="n"/>
      <c r="D2412" s="35" t="n"/>
      <c r="E2412" s="35" t="n"/>
      <c r="F2412" s="36" t="n"/>
      <c r="G2412" s="35" t="n"/>
      <c r="H2412" s="30">
        <f>IF(L2412="","",INDEX(SkiftNavn,L2412))</f>
        <v/>
      </c>
      <c r="I2412" s="30">
        <f>IF(OR(A2412="",L2412=""),"",IF(MOD(A2412-INDEX(SkiftStart,L2412),Syklus)&lt;DagK,"Kveld",IF(MOD(A2412-INDEX(SkiftStart,L2412),Syklus)&lt;DagK+DagH,"Helg",IF(MOD(A2412-INDEX(SkiftStart,L2412),Syklus)&lt;DagK+DagH+DagD,"Dag","Fri"))))</f>
        <v/>
      </c>
      <c r="J2412" s="30">
        <f>IF(I2412="Fri","Ja","")</f>
        <v/>
      </c>
      <c r="K2412" s="30">
        <f>IF(B2412="","",IF(L2412="","Ukjent tekniker",IF(ISNA(MATCH(C2412,Aktiviteter,0)),"Ukjent aktivitet",IF(AND(INDEX(AktRolle,MATCH(C2412,Aktiviteter,0))&amp;""&lt;&gt;"",ISERROR(SEARCH(INDEX(AktRolle,MATCH(C2412,Aktiviteter,0))&amp;"",INDEX(TekRoller,MATCH(B2412,Teknikere,0))))),"Mangler rollen "&amp;INDEX(AktRolle,MATCH(C2412,Aktiviteter,0))&amp;"",IF(AND(C2412="LMS",F2412&gt;0,OR(D2412="",E2412="")),"Mangler maskin eller arbeid",IF(AND(OR(C2412="LMS",C2412="Mod"),D2412&lt;&gt;""),IF(IFERROR(INDEX(MaskinStatus,MATCH(D2412,Maskiner,0)),"")="I dokk","","Maskinen er ikke i dokk"),""))))))</f>
        <v/>
      </c>
      <c r="L2412" s="2">
        <f>IF(B2412="","",IFERROR(INT((MATCH(B2412,Teknikere,0)-1)/18)+1,""))</f>
        <v/>
      </c>
      <c r="M2412" s="2">
        <f>IF(OR(A2412="",B2412=""),"",B2412&amp;"|"&amp;A2412)</f>
        <v/>
      </c>
      <c r="N2412" s="2">
        <f>IF(M2412="","",SUMIFS(TF_Timer,TF_Nokkel,M2412,TF_Akt,C2412))</f>
        <v/>
      </c>
      <c r="O2412" s="2">
        <f>IF(M2412="","",IF(AND(N2412=_xlfn.MAXIFS(TF_AktSum,TF_Nokkel,M2412),COUNTIFS(M$3:M2411,M2412,N$3:N2411,N2412)=0),M2412,""))</f>
        <v/>
      </c>
    </row>
    <row r="2413">
      <c r="A2413" s="34" t="n"/>
      <c r="B2413" s="35" t="n"/>
      <c r="C2413" s="35" t="n"/>
      <c r="D2413" s="35" t="n"/>
      <c r="E2413" s="35" t="n"/>
      <c r="F2413" s="36" t="n"/>
      <c r="G2413" s="35" t="n"/>
      <c r="H2413" s="30">
        <f>IF(L2413="","",INDEX(SkiftNavn,L2413))</f>
        <v/>
      </c>
      <c r="I2413" s="30">
        <f>IF(OR(A2413="",L2413=""),"",IF(MOD(A2413-INDEX(SkiftStart,L2413),Syklus)&lt;DagK,"Kveld",IF(MOD(A2413-INDEX(SkiftStart,L2413),Syklus)&lt;DagK+DagH,"Helg",IF(MOD(A2413-INDEX(SkiftStart,L2413),Syklus)&lt;DagK+DagH+DagD,"Dag","Fri"))))</f>
        <v/>
      </c>
      <c r="J2413" s="30">
        <f>IF(I2413="Fri","Ja","")</f>
        <v/>
      </c>
      <c r="K2413" s="30">
        <f>IF(B2413="","",IF(L2413="","Ukjent tekniker",IF(ISNA(MATCH(C2413,Aktiviteter,0)),"Ukjent aktivitet",IF(AND(INDEX(AktRolle,MATCH(C2413,Aktiviteter,0))&amp;""&lt;&gt;"",ISERROR(SEARCH(INDEX(AktRolle,MATCH(C2413,Aktiviteter,0))&amp;"",INDEX(TekRoller,MATCH(B2413,Teknikere,0))))),"Mangler rollen "&amp;INDEX(AktRolle,MATCH(C2413,Aktiviteter,0))&amp;"",IF(AND(C2413="LMS",F2413&gt;0,OR(D2413="",E2413="")),"Mangler maskin eller arbeid",IF(AND(OR(C2413="LMS",C2413="Mod"),D2413&lt;&gt;""),IF(IFERROR(INDEX(MaskinStatus,MATCH(D2413,Maskiner,0)),"")="I dokk","","Maskinen er ikke i dokk"),""))))))</f>
        <v/>
      </c>
      <c r="L2413" s="2">
        <f>IF(B2413="","",IFERROR(INT((MATCH(B2413,Teknikere,0)-1)/18)+1,""))</f>
        <v/>
      </c>
      <c r="M2413" s="2">
        <f>IF(OR(A2413="",B2413=""),"",B2413&amp;"|"&amp;A2413)</f>
        <v/>
      </c>
      <c r="N2413" s="2">
        <f>IF(M2413="","",SUMIFS(TF_Timer,TF_Nokkel,M2413,TF_Akt,C2413))</f>
        <v/>
      </c>
      <c r="O2413" s="2">
        <f>IF(M2413="","",IF(AND(N2413=_xlfn.MAXIFS(TF_AktSum,TF_Nokkel,M2413),COUNTIFS(M$3:M2412,M2413,N$3:N2412,N2413)=0),M2413,""))</f>
        <v/>
      </c>
    </row>
    <row r="2414">
      <c r="A2414" s="34" t="n"/>
      <c r="B2414" s="35" t="n"/>
      <c r="C2414" s="35" t="n"/>
      <c r="D2414" s="35" t="n"/>
      <c r="E2414" s="35" t="n"/>
      <c r="F2414" s="36" t="n"/>
      <c r="G2414" s="35" t="n"/>
      <c r="H2414" s="30">
        <f>IF(L2414="","",INDEX(SkiftNavn,L2414))</f>
        <v/>
      </c>
      <c r="I2414" s="30">
        <f>IF(OR(A2414="",L2414=""),"",IF(MOD(A2414-INDEX(SkiftStart,L2414),Syklus)&lt;DagK,"Kveld",IF(MOD(A2414-INDEX(SkiftStart,L2414),Syklus)&lt;DagK+DagH,"Helg",IF(MOD(A2414-INDEX(SkiftStart,L2414),Syklus)&lt;DagK+DagH+DagD,"Dag","Fri"))))</f>
        <v/>
      </c>
      <c r="J2414" s="30">
        <f>IF(I2414="Fri","Ja","")</f>
        <v/>
      </c>
      <c r="K2414" s="30">
        <f>IF(B2414="","",IF(L2414="","Ukjent tekniker",IF(ISNA(MATCH(C2414,Aktiviteter,0)),"Ukjent aktivitet",IF(AND(INDEX(AktRolle,MATCH(C2414,Aktiviteter,0))&amp;""&lt;&gt;"",ISERROR(SEARCH(INDEX(AktRolle,MATCH(C2414,Aktiviteter,0))&amp;"",INDEX(TekRoller,MATCH(B2414,Teknikere,0))))),"Mangler rollen "&amp;INDEX(AktRolle,MATCH(C2414,Aktiviteter,0))&amp;"",IF(AND(C2414="LMS",F2414&gt;0,OR(D2414="",E2414="")),"Mangler maskin eller arbeid",IF(AND(OR(C2414="LMS",C2414="Mod"),D2414&lt;&gt;""),IF(IFERROR(INDEX(MaskinStatus,MATCH(D2414,Maskiner,0)),"")="I dokk","","Maskinen er ikke i dokk"),""))))))</f>
        <v/>
      </c>
      <c r="L2414" s="2">
        <f>IF(B2414="","",IFERROR(INT((MATCH(B2414,Teknikere,0)-1)/18)+1,""))</f>
        <v/>
      </c>
      <c r="M2414" s="2">
        <f>IF(OR(A2414="",B2414=""),"",B2414&amp;"|"&amp;A2414)</f>
        <v/>
      </c>
      <c r="N2414" s="2">
        <f>IF(M2414="","",SUMIFS(TF_Timer,TF_Nokkel,M2414,TF_Akt,C2414))</f>
        <v/>
      </c>
      <c r="O2414" s="2">
        <f>IF(M2414="","",IF(AND(N2414=_xlfn.MAXIFS(TF_AktSum,TF_Nokkel,M2414),COUNTIFS(M$3:M2413,M2414,N$3:N2413,N2414)=0),M2414,""))</f>
        <v/>
      </c>
    </row>
    <row r="2415">
      <c r="A2415" s="34" t="n"/>
      <c r="B2415" s="35" t="n"/>
      <c r="C2415" s="35" t="n"/>
      <c r="D2415" s="35" t="n"/>
      <c r="E2415" s="35" t="n"/>
      <c r="F2415" s="36" t="n"/>
      <c r="G2415" s="35" t="n"/>
      <c r="H2415" s="30">
        <f>IF(L2415="","",INDEX(SkiftNavn,L2415))</f>
        <v/>
      </c>
      <c r="I2415" s="30">
        <f>IF(OR(A2415="",L2415=""),"",IF(MOD(A2415-INDEX(SkiftStart,L2415),Syklus)&lt;DagK,"Kveld",IF(MOD(A2415-INDEX(SkiftStart,L2415),Syklus)&lt;DagK+DagH,"Helg",IF(MOD(A2415-INDEX(SkiftStart,L2415),Syklus)&lt;DagK+DagH+DagD,"Dag","Fri"))))</f>
        <v/>
      </c>
      <c r="J2415" s="30">
        <f>IF(I2415="Fri","Ja","")</f>
        <v/>
      </c>
      <c r="K2415" s="30">
        <f>IF(B2415="","",IF(L2415="","Ukjent tekniker",IF(ISNA(MATCH(C2415,Aktiviteter,0)),"Ukjent aktivitet",IF(AND(INDEX(AktRolle,MATCH(C2415,Aktiviteter,0))&amp;""&lt;&gt;"",ISERROR(SEARCH(INDEX(AktRolle,MATCH(C2415,Aktiviteter,0))&amp;"",INDEX(TekRoller,MATCH(B2415,Teknikere,0))))),"Mangler rollen "&amp;INDEX(AktRolle,MATCH(C2415,Aktiviteter,0))&amp;"",IF(AND(C2415="LMS",F2415&gt;0,OR(D2415="",E2415="")),"Mangler maskin eller arbeid",IF(AND(OR(C2415="LMS",C2415="Mod"),D2415&lt;&gt;""),IF(IFERROR(INDEX(MaskinStatus,MATCH(D2415,Maskiner,0)),"")="I dokk","","Maskinen er ikke i dokk"),""))))))</f>
        <v/>
      </c>
      <c r="L2415" s="2">
        <f>IF(B2415="","",IFERROR(INT((MATCH(B2415,Teknikere,0)-1)/18)+1,""))</f>
        <v/>
      </c>
      <c r="M2415" s="2">
        <f>IF(OR(A2415="",B2415=""),"",B2415&amp;"|"&amp;A2415)</f>
        <v/>
      </c>
      <c r="N2415" s="2">
        <f>IF(M2415="","",SUMIFS(TF_Timer,TF_Nokkel,M2415,TF_Akt,C2415))</f>
        <v/>
      </c>
      <c r="O2415" s="2">
        <f>IF(M2415="","",IF(AND(N2415=_xlfn.MAXIFS(TF_AktSum,TF_Nokkel,M2415),COUNTIFS(M$3:M2414,M2415,N$3:N2414,N2415)=0),M2415,""))</f>
        <v/>
      </c>
    </row>
    <row r="2416">
      <c r="A2416" s="34" t="n"/>
      <c r="B2416" s="35" t="n"/>
      <c r="C2416" s="35" t="n"/>
      <c r="D2416" s="35" t="n"/>
      <c r="E2416" s="35" t="n"/>
      <c r="F2416" s="36" t="n"/>
      <c r="G2416" s="35" t="n"/>
      <c r="H2416" s="30">
        <f>IF(L2416="","",INDEX(SkiftNavn,L2416))</f>
        <v/>
      </c>
      <c r="I2416" s="30">
        <f>IF(OR(A2416="",L2416=""),"",IF(MOD(A2416-INDEX(SkiftStart,L2416),Syklus)&lt;DagK,"Kveld",IF(MOD(A2416-INDEX(SkiftStart,L2416),Syklus)&lt;DagK+DagH,"Helg",IF(MOD(A2416-INDEX(SkiftStart,L2416),Syklus)&lt;DagK+DagH+DagD,"Dag","Fri"))))</f>
        <v/>
      </c>
      <c r="J2416" s="30">
        <f>IF(I2416="Fri","Ja","")</f>
        <v/>
      </c>
      <c r="K2416" s="30">
        <f>IF(B2416="","",IF(L2416="","Ukjent tekniker",IF(ISNA(MATCH(C2416,Aktiviteter,0)),"Ukjent aktivitet",IF(AND(INDEX(AktRolle,MATCH(C2416,Aktiviteter,0))&amp;""&lt;&gt;"",ISERROR(SEARCH(INDEX(AktRolle,MATCH(C2416,Aktiviteter,0))&amp;"",INDEX(TekRoller,MATCH(B2416,Teknikere,0))))),"Mangler rollen "&amp;INDEX(AktRolle,MATCH(C2416,Aktiviteter,0))&amp;"",IF(AND(C2416="LMS",F2416&gt;0,OR(D2416="",E2416="")),"Mangler maskin eller arbeid",IF(AND(OR(C2416="LMS",C2416="Mod"),D2416&lt;&gt;""),IF(IFERROR(INDEX(MaskinStatus,MATCH(D2416,Maskiner,0)),"")="I dokk","","Maskinen er ikke i dokk"),""))))))</f>
        <v/>
      </c>
      <c r="L2416" s="2">
        <f>IF(B2416="","",IFERROR(INT((MATCH(B2416,Teknikere,0)-1)/18)+1,""))</f>
        <v/>
      </c>
      <c r="M2416" s="2">
        <f>IF(OR(A2416="",B2416=""),"",B2416&amp;"|"&amp;A2416)</f>
        <v/>
      </c>
      <c r="N2416" s="2">
        <f>IF(M2416="","",SUMIFS(TF_Timer,TF_Nokkel,M2416,TF_Akt,C2416))</f>
        <v/>
      </c>
      <c r="O2416" s="2">
        <f>IF(M2416="","",IF(AND(N2416=_xlfn.MAXIFS(TF_AktSum,TF_Nokkel,M2416),COUNTIFS(M$3:M2415,M2416,N$3:N2415,N2416)=0),M2416,""))</f>
        <v/>
      </c>
    </row>
    <row r="2417">
      <c r="A2417" s="34" t="n"/>
      <c r="B2417" s="35" t="n"/>
      <c r="C2417" s="35" t="n"/>
      <c r="D2417" s="35" t="n"/>
      <c r="E2417" s="35" t="n"/>
      <c r="F2417" s="36" t="n"/>
      <c r="G2417" s="35" t="n"/>
      <c r="H2417" s="30">
        <f>IF(L2417="","",INDEX(SkiftNavn,L2417))</f>
        <v/>
      </c>
      <c r="I2417" s="30">
        <f>IF(OR(A2417="",L2417=""),"",IF(MOD(A2417-INDEX(SkiftStart,L2417),Syklus)&lt;DagK,"Kveld",IF(MOD(A2417-INDEX(SkiftStart,L2417),Syklus)&lt;DagK+DagH,"Helg",IF(MOD(A2417-INDEX(SkiftStart,L2417),Syklus)&lt;DagK+DagH+DagD,"Dag","Fri"))))</f>
        <v/>
      </c>
      <c r="J2417" s="30">
        <f>IF(I2417="Fri","Ja","")</f>
        <v/>
      </c>
      <c r="K2417" s="30">
        <f>IF(B2417="","",IF(L2417="","Ukjent tekniker",IF(ISNA(MATCH(C2417,Aktiviteter,0)),"Ukjent aktivitet",IF(AND(INDEX(AktRolle,MATCH(C2417,Aktiviteter,0))&amp;""&lt;&gt;"",ISERROR(SEARCH(INDEX(AktRolle,MATCH(C2417,Aktiviteter,0))&amp;"",INDEX(TekRoller,MATCH(B2417,Teknikere,0))))),"Mangler rollen "&amp;INDEX(AktRolle,MATCH(C2417,Aktiviteter,0))&amp;"",IF(AND(C2417="LMS",F2417&gt;0,OR(D2417="",E2417="")),"Mangler maskin eller arbeid",IF(AND(OR(C2417="LMS",C2417="Mod"),D2417&lt;&gt;""),IF(IFERROR(INDEX(MaskinStatus,MATCH(D2417,Maskiner,0)),"")="I dokk","","Maskinen er ikke i dokk"),""))))))</f>
        <v/>
      </c>
      <c r="L2417" s="2">
        <f>IF(B2417="","",IFERROR(INT((MATCH(B2417,Teknikere,0)-1)/18)+1,""))</f>
        <v/>
      </c>
      <c r="M2417" s="2">
        <f>IF(OR(A2417="",B2417=""),"",B2417&amp;"|"&amp;A2417)</f>
        <v/>
      </c>
      <c r="N2417" s="2">
        <f>IF(M2417="","",SUMIFS(TF_Timer,TF_Nokkel,M2417,TF_Akt,C2417))</f>
        <v/>
      </c>
      <c r="O2417" s="2">
        <f>IF(M2417="","",IF(AND(N2417=_xlfn.MAXIFS(TF_AktSum,TF_Nokkel,M2417),COUNTIFS(M$3:M2416,M2417,N$3:N2416,N2417)=0),M2417,""))</f>
        <v/>
      </c>
    </row>
    <row r="2418">
      <c r="A2418" s="34" t="n"/>
      <c r="B2418" s="35" t="n"/>
      <c r="C2418" s="35" t="n"/>
      <c r="D2418" s="35" t="n"/>
      <c r="E2418" s="35" t="n"/>
      <c r="F2418" s="36" t="n"/>
      <c r="G2418" s="35" t="n"/>
      <c r="H2418" s="30">
        <f>IF(L2418="","",INDEX(SkiftNavn,L2418))</f>
        <v/>
      </c>
      <c r="I2418" s="30">
        <f>IF(OR(A2418="",L2418=""),"",IF(MOD(A2418-INDEX(SkiftStart,L2418),Syklus)&lt;DagK,"Kveld",IF(MOD(A2418-INDEX(SkiftStart,L2418),Syklus)&lt;DagK+DagH,"Helg",IF(MOD(A2418-INDEX(SkiftStart,L2418),Syklus)&lt;DagK+DagH+DagD,"Dag","Fri"))))</f>
        <v/>
      </c>
      <c r="J2418" s="30">
        <f>IF(I2418="Fri","Ja","")</f>
        <v/>
      </c>
      <c r="K2418" s="30">
        <f>IF(B2418="","",IF(L2418="","Ukjent tekniker",IF(ISNA(MATCH(C2418,Aktiviteter,0)),"Ukjent aktivitet",IF(AND(INDEX(AktRolle,MATCH(C2418,Aktiviteter,0))&amp;""&lt;&gt;"",ISERROR(SEARCH(INDEX(AktRolle,MATCH(C2418,Aktiviteter,0))&amp;"",INDEX(TekRoller,MATCH(B2418,Teknikere,0))))),"Mangler rollen "&amp;INDEX(AktRolle,MATCH(C2418,Aktiviteter,0))&amp;"",IF(AND(C2418="LMS",F2418&gt;0,OR(D2418="",E2418="")),"Mangler maskin eller arbeid",IF(AND(OR(C2418="LMS",C2418="Mod"),D2418&lt;&gt;""),IF(IFERROR(INDEX(MaskinStatus,MATCH(D2418,Maskiner,0)),"")="I dokk","","Maskinen er ikke i dokk"),""))))))</f>
        <v/>
      </c>
      <c r="L2418" s="2">
        <f>IF(B2418="","",IFERROR(INT((MATCH(B2418,Teknikere,0)-1)/18)+1,""))</f>
        <v/>
      </c>
      <c r="M2418" s="2">
        <f>IF(OR(A2418="",B2418=""),"",B2418&amp;"|"&amp;A2418)</f>
        <v/>
      </c>
      <c r="N2418" s="2">
        <f>IF(M2418="","",SUMIFS(TF_Timer,TF_Nokkel,M2418,TF_Akt,C2418))</f>
        <v/>
      </c>
      <c r="O2418" s="2">
        <f>IF(M2418="","",IF(AND(N2418=_xlfn.MAXIFS(TF_AktSum,TF_Nokkel,M2418),COUNTIFS(M$3:M2417,M2418,N$3:N2417,N2418)=0),M2418,""))</f>
        <v/>
      </c>
    </row>
    <row r="2419">
      <c r="A2419" s="34" t="n"/>
      <c r="B2419" s="35" t="n"/>
      <c r="C2419" s="35" t="n"/>
      <c r="D2419" s="35" t="n"/>
      <c r="E2419" s="35" t="n"/>
      <c r="F2419" s="36" t="n"/>
      <c r="G2419" s="35" t="n"/>
      <c r="H2419" s="30">
        <f>IF(L2419="","",INDEX(SkiftNavn,L2419))</f>
        <v/>
      </c>
      <c r="I2419" s="30">
        <f>IF(OR(A2419="",L2419=""),"",IF(MOD(A2419-INDEX(SkiftStart,L2419),Syklus)&lt;DagK,"Kveld",IF(MOD(A2419-INDEX(SkiftStart,L2419),Syklus)&lt;DagK+DagH,"Helg",IF(MOD(A2419-INDEX(SkiftStart,L2419),Syklus)&lt;DagK+DagH+DagD,"Dag","Fri"))))</f>
        <v/>
      </c>
      <c r="J2419" s="30">
        <f>IF(I2419="Fri","Ja","")</f>
        <v/>
      </c>
      <c r="K2419" s="30">
        <f>IF(B2419="","",IF(L2419="","Ukjent tekniker",IF(ISNA(MATCH(C2419,Aktiviteter,0)),"Ukjent aktivitet",IF(AND(INDEX(AktRolle,MATCH(C2419,Aktiviteter,0))&amp;""&lt;&gt;"",ISERROR(SEARCH(INDEX(AktRolle,MATCH(C2419,Aktiviteter,0))&amp;"",INDEX(TekRoller,MATCH(B2419,Teknikere,0))))),"Mangler rollen "&amp;INDEX(AktRolle,MATCH(C2419,Aktiviteter,0))&amp;"",IF(AND(C2419="LMS",F2419&gt;0,OR(D2419="",E2419="")),"Mangler maskin eller arbeid",IF(AND(OR(C2419="LMS",C2419="Mod"),D2419&lt;&gt;""),IF(IFERROR(INDEX(MaskinStatus,MATCH(D2419,Maskiner,0)),"")="I dokk","","Maskinen er ikke i dokk"),""))))))</f>
        <v/>
      </c>
      <c r="L2419" s="2">
        <f>IF(B2419="","",IFERROR(INT((MATCH(B2419,Teknikere,0)-1)/18)+1,""))</f>
        <v/>
      </c>
      <c r="M2419" s="2">
        <f>IF(OR(A2419="",B2419=""),"",B2419&amp;"|"&amp;A2419)</f>
        <v/>
      </c>
      <c r="N2419" s="2">
        <f>IF(M2419="","",SUMIFS(TF_Timer,TF_Nokkel,M2419,TF_Akt,C2419))</f>
        <v/>
      </c>
      <c r="O2419" s="2">
        <f>IF(M2419="","",IF(AND(N2419=_xlfn.MAXIFS(TF_AktSum,TF_Nokkel,M2419),COUNTIFS(M$3:M2418,M2419,N$3:N2418,N2419)=0),M2419,""))</f>
        <v/>
      </c>
    </row>
    <row r="2420">
      <c r="A2420" s="34" t="n"/>
      <c r="B2420" s="35" t="n"/>
      <c r="C2420" s="35" t="n"/>
      <c r="D2420" s="35" t="n"/>
      <c r="E2420" s="35" t="n"/>
      <c r="F2420" s="36" t="n"/>
      <c r="G2420" s="35" t="n"/>
      <c r="H2420" s="30">
        <f>IF(L2420="","",INDEX(SkiftNavn,L2420))</f>
        <v/>
      </c>
      <c r="I2420" s="30">
        <f>IF(OR(A2420="",L2420=""),"",IF(MOD(A2420-INDEX(SkiftStart,L2420),Syklus)&lt;DagK,"Kveld",IF(MOD(A2420-INDEX(SkiftStart,L2420),Syklus)&lt;DagK+DagH,"Helg",IF(MOD(A2420-INDEX(SkiftStart,L2420),Syklus)&lt;DagK+DagH+DagD,"Dag","Fri"))))</f>
        <v/>
      </c>
      <c r="J2420" s="30">
        <f>IF(I2420="Fri","Ja","")</f>
        <v/>
      </c>
      <c r="K2420" s="30">
        <f>IF(B2420="","",IF(L2420="","Ukjent tekniker",IF(ISNA(MATCH(C2420,Aktiviteter,0)),"Ukjent aktivitet",IF(AND(INDEX(AktRolle,MATCH(C2420,Aktiviteter,0))&amp;""&lt;&gt;"",ISERROR(SEARCH(INDEX(AktRolle,MATCH(C2420,Aktiviteter,0))&amp;"",INDEX(TekRoller,MATCH(B2420,Teknikere,0))))),"Mangler rollen "&amp;INDEX(AktRolle,MATCH(C2420,Aktiviteter,0))&amp;"",IF(AND(C2420="LMS",F2420&gt;0,OR(D2420="",E2420="")),"Mangler maskin eller arbeid",IF(AND(OR(C2420="LMS",C2420="Mod"),D2420&lt;&gt;""),IF(IFERROR(INDEX(MaskinStatus,MATCH(D2420,Maskiner,0)),"")="I dokk","","Maskinen er ikke i dokk"),""))))))</f>
        <v/>
      </c>
      <c r="L2420" s="2">
        <f>IF(B2420="","",IFERROR(INT((MATCH(B2420,Teknikere,0)-1)/18)+1,""))</f>
        <v/>
      </c>
      <c r="M2420" s="2">
        <f>IF(OR(A2420="",B2420=""),"",B2420&amp;"|"&amp;A2420)</f>
        <v/>
      </c>
      <c r="N2420" s="2">
        <f>IF(M2420="","",SUMIFS(TF_Timer,TF_Nokkel,M2420,TF_Akt,C2420))</f>
        <v/>
      </c>
      <c r="O2420" s="2">
        <f>IF(M2420="","",IF(AND(N2420=_xlfn.MAXIFS(TF_AktSum,TF_Nokkel,M2420),COUNTIFS(M$3:M2419,M2420,N$3:N2419,N2420)=0),M2420,""))</f>
        <v/>
      </c>
    </row>
    <row r="2421">
      <c r="A2421" s="34" t="n"/>
      <c r="B2421" s="35" t="n"/>
      <c r="C2421" s="35" t="n"/>
      <c r="D2421" s="35" t="n"/>
      <c r="E2421" s="35" t="n"/>
      <c r="F2421" s="36" t="n"/>
      <c r="G2421" s="35" t="n"/>
      <c r="H2421" s="30">
        <f>IF(L2421="","",INDEX(SkiftNavn,L2421))</f>
        <v/>
      </c>
      <c r="I2421" s="30">
        <f>IF(OR(A2421="",L2421=""),"",IF(MOD(A2421-INDEX(SkiftStart,L2421),Syklus)&lt;DagK,"Kveld",IF(MOD(A2421-INDEX(SkiftStart,L2421),Syklus)&lt;DagK+DagH,"Helg",IF(MOD(A2421-INDEX(SkiftStart,L2421),Syklus)&lt;DagK+DagH+DagD,"Dag","Fri"))))</f>
        <v/>
      </c>
      <c r="J2421" s="30">
        <f>IF(I2421="Fri","Ja","")</f>
        <v/>
      </c>
      <c r="K2421" s="30">
        <f>IF(B2421="","",IF(L2421="","Ukjent tekniker",IF(ISNA(MATCH(C2421,Aktiviteter,0)),"Ukjent aktivitet",IF(AND(INDEX(AktRolle,MATCH(C2421,Aktiviteter,0))&amp;""&lt;&gt;"",ISERROR(SEARCH(INDEX(AktRolle,MATCH(C2421,Aktiviteter,0))&amp;"",INDEX(TekRoller,MATCH(B2421,Teknikere,0))))),"Mangler rollen "&amp;INDEX(AktRolle,MATCH(C2421,Aktiviteter,0))&amp;"",IF(AND(C2421="LMS",F2421&gt;0,OR(D2421="",E2421="")),"Mangler maskin eller arbeid",IF(AND(OR(C2421="LMS",C2421="Mod"),D2421&lt;&gt;""),IF(IFERROR(INDEX(MaskinStatus,MATCH(D2421,Maskiner,0)),"")="I dokk","","Maskinen er ikke i dokk"),""))))))</f>
        <v/>
      </c>
      <c r="L2421" s="2">
        <f>IF(B2421="","",IFERROR(INT((MATCH(B2421,Teknikere,0)-1)/18)+1,""))</f>
        <v/>
      </c>
      <c r="M2421" s="2">
        <f>IF(OR(A2421="",B2421=""),"",B2421&amp;"|"&amp;A2421)</f>
        <v/>
      </c>
      <c r="N2421" s="2">
        <f>IF(M2421="","",SUMIFS(TF_Timer,TF_Nokkel,M2421,TF_Akt,C2421))</f>
        <v/>
      </c>
      <c r="O2421" s="2">
        <f>IF(M2421="","",IF(AND(N2421=_xlfn.MAXIFS(TF_AktSum,TF_Nokkel,M2421),COUNTIFS(M$3:M2420,M2421,N$3:N2420,N2421)=0),M2421,""))</f>
        <v/>
      </c>
    </row>
    <row r="2422">
      <c r="A2422" s="34" t="n"/>
      <c r="B2422" s="35" t="n"/>
      <c r="C2422" s="35" t="n"/>
      <c r="D2422" s="35" t="n"/>
      <c r="E2422" s="35" t="n"/>
      <c r="F2422" s="36" t="n"/>
      <c r="G2422" s="35" t="n"/>
      <c r="H2422" s="30">
        <f>IF(L2422="","",INDEX(SkiftNavn,L2422))</f>
        <v/>
      </c>
      <c r="I2422" s="30">
        <f>IF(OR(A2422="",L2422=""),"",IF(MOD(A2422-INDEX(SkiftStart,L2422),Syklus)&lt;DagK,"Kveld",IF(MOD(A2422-INDEX(SkiftStart,L2422),Syklus)&lt;DagK+DagH,"Helg",IF(MOD(A2422-INDEX(SkiftStart,L2422),Syklus)&lt;DagK+DagH+DagD,"Dag","Fri"))))</f>
        <v/>
      </c>
      <c r="J2422" s="30">
        <f>IF(I2422="Fri","Ja","")</f>
        <v/>
      </c>
      <c r="K2422" s="30">
        <f>IF(B2422="","",IF(L2422="","Ukjent tekniker",IF(ISNA(MATCH(C2422,Aktiviteter,0)),"Ukjent aktivitet",IF(AND(INDEX(AktRolle,MATCH(C2422,Aktiviteter,0))&amp;""&lt;&gt;"",ISERROR(SEARCH(INDEX(AktRolle,MATCH(C2422,Aktiviteter,0))&amp;"",INDEX(TekRoller,MATCH(B2422,Teknikere,0))))),"Mangler rollen "&amp;INDEX(AktRolle,MATCH(C2422,Aktiviteter,0))&amp;"",IF(AND(C2422="LMS",F2422&gt;0,OR(D2422="",E2422="")),"Mangler maskin eller arbeid",IF(AND(OR(C2422="LMS",C2422="Mod"),D2422&lt;&gt;""),IF(IFERROR(INDEX(MaskinStatus,MATCH(D2422,Maskiner,0)),"")="I dokk","","Maskinen er ikke i dokk"),""))))))</f>
        <v/>
      </c>
      <c r="L2422" s="2">
        <f>IF(B2422="","",IFERROR(INT((MATCH(B2422,Teknikere,0)-1)/18)+1,""))</f>
        <v/>
      </c>
      <c r="M2422" s="2">
        <f>IF(OR(A2422="",B2422=""),"",B2422&amp;"|"&amp;A2422)</f>
        <v/>
      </c>
      <c r="N2422" s="2">
        <f>IF(M2422="","",SUMIFS(TF_Timer,TF_Nokkel,M2422,TF_Akt,C2422))</f>
        <v/>
      </c>
      <c r="O2422" s="2">
        <f>IF(M2422="","",IF(AND(N2422=_xlfn.MAXIFS(TF_AktSum,TF_Nokkel,M2422),COUNTIFS(M$3:M2421,M2422,N$3:N2421,N2422)=0),M2422,""))</f>
        <v/>
      </c>
    </row>
    <row r="2423">
      <c r="A2423" s="34" t="n"/>
      <c r="B2423" s="35" t="n"/>
      <c r="C2423" s="35" t="n"/>
      <c r="D2423" s="35" t="n"/>
      <c r="E2423" s="35" t="n"/>
      <c r="F2423" s="36" t="n"/>
      <c r="G2423" s="35" t="n"/>
      <c r="H2423" s="30">
        <f>IF(L2423="","",INDEX(SkiftNavn,L2423))</f>
        <v/>
      </c>
      <c r="I2423" s="30">
        <f>IF(OR(A2423="",L2423=""),"",IF(MOD(A2423-INDEX(SkiftStart,L2423),Syklus)&lt;DagK,"Kveld",IF(MOD(A2423-INDEX(SkiftStart,L2423),Syklus)&lt;DagK+DagH,"Helg",IF(MOD(A2423-INDEX(SkiftStart,L2423),Syklus)&lt;DagK+DagH+DagD,"Dag","Fri"))))</f>
        <v/>
      </c>
      <c r="J2423" s="30">
        <f>IF(I2423="Fri","Ja","")</f>
        <v/>
      </c>
      <c r="K2423" s="30">
        <f>IF(B2423="","",IF(L2423="","Ukjent tekniker",IF(ISNA(MATCH(C2423,Aktiviteter,0)),"Ukjent aktivitet",IF(AND(INDEX(AktRolle,MATCH(C2423,Aktiviteter,0))&amp;""&lt;&gt;"",ISERROR(SEARCH(INDEX(AktRolle,MATCH(C2423,Aktiviteter,0))&amp;"",INDEX(TekRoller,MATCH(B2423,Teknikere,0))))),"Mangler rollen "&amp;INDEX(AktRolle,MATCH(C2423,Aktiviteter,0))&amp;"",IF(AND(C2423="LMS",F2423&gt;0,OR(D2423="",E2423="")),"Mangler maskin eller arbeid",IF(AND(OR(C2423="LMS",C2423="Mod"),D2423&lt;&gt;""),IF(IFERROR(INDEX(MaskinStatus,MATCH(D2423,Maskiner,0)),"")="I dokk","","Maskinen er ikke i dokk"),""))))))</f>
        <v/>
      </c>
      <c r="L2423" s="2">
        <f>IF(B2423="","",IFERROR(INT((MATCH(B2423,Teknikere,0)-1)/18)+1,""))</f>
        <v/>
      </c>
      <c r="M2423" s="2">
        <f>IF(OR(A2423="",B2423=""),"",B2423&amp;"|"&amp;A2423)</f>
        <v/>
      </c>
      <c r="N2423" s="2">
        <f>IF(M2423="","",SUMIFS(TF_Timer,TF_Nokkel,M2423,TF_Akt,C2423))</f>
        <v/>
      </c>
      <c r="O2423" s="2">
        <f>IF(M2423="","",IF(AND(N2423=_xlfn.MAXIFS(TF_AktSum,TF_Nokkel,M2423),COUNTIFS(M$3:M2422,M2423,N$3:N2422,N2423)=0),M2423,""))</f>
        <v/>
      </c>
    </row>
    <row r="2424">
      <c r="A2424" s="34" t="n"/>
      <c r="B2424" s="35" t="n"/>
      <c r="C2424" s="35" t="n"/>
      <c r="D2424" s="35" t="n"/>
      <c r="E2424" s="35" t="n"/>
      <c r="F2424" s="36" t="n"/>
      <c r="G2424" s="35" t="n"/>
      <c r="H2424" s="30">
        <f>IF(L2424="","",INDEX(SkiftNavn,L2424))</f>
        <v/>
      </c>
      <c r="I2424" s="30">
        <f>IF(OR(A2424="",L2424=""),"",IF(MOD(A2424-INDEX(SkiftStart,L2424),Syklus)&lt;DagK,"Kveld",IF(MOD(A2424-INDEX(SkiftStart,L2424),Syklus)&lt;DagK+DagH,"Helg",IF(MOD(A2424-INDEX(SkiftStart,L2424),Syklus)&lt;DagK+DagH+DagD,"Dag","Fri"))))</f>
        <v/>
      </c>
      <c r="J2424" s="30">
        <f>IF(I2424="Fri","Ja","")</f>
        <v/>
      </c>
      <c r="K2424" s="30">
        <f>IF(B2424="","",IF(L2424="","Ukjent tekniker",IF(ISNA(MATCH(C2424,Aktiviteter,0)),"Ukjent aktivitet",IF(AND(INDEX(AktRolle,MATCH(C2424,Aktiviteter,0))&amp;""&lt;&gt;"",ISERROR(SEARCH(INDEX(AktRolle,MATCH(C2424,Aktiviteter,0))&amp;"",INDEX(TekRoller,MATCH(B2424,Teknikere,0))))),"Mangler rollen "&amp;INDEX(AktRolle,MATCH(C2424,Aktiviteter,0))&amp;"",IF(AND(C2424="LMS",F2424&gt;0,OR(D2424="",E2424="")),"Mangler maskin eller arbeid",IF(AND(OR(C2424="LMS",C2424="Mod"),D2424&lt;&gt;""),IF(IFERROR(INDEX(MaskinStatus,MATCH(D2424,Maskiner,0)),"")="I dokk","","Maskinen er ikke i dokk"),""))))))</f>
        <v/>
      </c>
      <c r="L2424" s="2">
        <f>IF(B2424="","",IFERROR(INT((MATCH(B2424,Teknikere,0)-1)/18)+1,""))</f>
        <v/>
      </c>
      <c r="M2424" s="2">
        <f>IF(OR(A2424="",B2424=""),"",B2424&amp;"|"&amp;A2424)</f>
        <v/>
      </c>
      <c r="N2424" s="2">
        <f>IF(M2424="","",SUMIFS(TF_Timer,TF_Nokkel,M2424,TF_Akt,C2424))</f>
        <v/>
      </c>
      <c r="O2424" s="2">
        <f>IF(M2424="","",IF(AND(N2424=_xlfn.MAXIFS(TF_AktSum,TF_Nokkel,M2424),COUNTIFS(M$3:M2423,M2424,N$3:N2423,N2424)=0),M2424,""))</f>
        <v/>
      </c>
    </row>
    <row r="2425">
      <c r="A2425" s="34" t="n"/>
      <c r="B2425" s="35" t="n"/>
      <c r="C2425" s="35" t="n"/>
      <c r="D2425" s="35" t="n"/>
      <c r="E2425" s="35" t="n"/>
      <c r="F2425" s="36" t="n"/>
      <c r="G2425" s="35" t="n"/>
      <c r="H2425" s="30">
        <f>IF(L2425="","",INDEX(SkiftNavn,L2425))</f>
        <v/>
      </c>
      <c r="I2425" s="30">
        <f>IF(OR(A2425="",L2425=""),"",IF(MOD(A2425-INDEX(SkiftStart,L2425),Syklus)&lt;DagK,"Kveld",IF(MOD(A2425-INDEX(SkiftStart,L2425),Syklus)&lt;DagK+DagH,"Helg",IF(MOD(A2425-INDEX(SkiftStart,L2425),Syklus)&lt;DagK+DagH+DagD,"Dag","Fri"))))</f>
        <v/>
      </c>
      <c r="J2425" s="30">
        <f>IF(I2425="Fri","Ja","")</f>
        <v/>
      </c>
      <c r="K2425" s="30">
        <f>IF(B2425="","",IF(L2425="","Ukjent tekniker",IF(ISNA(MATCH(C2425,Aktiviteter,0)),"Ukjent aktivitet",IF(AND(INDEX(AktRolle,MATCH(C2425,Aktiviteter,0))&amp;""&lt;&gt;"",ISERROR(SEARCH(INDEX(AktRolle,MATCH(C2425,Aktiviteter,0))&amp;"",INDEX(TekRoller,MATCH(B2425,Teknikere,0))))),"Mangler rollen "&amp;INDEX(AktRolle,MATCH(C2425,Aktiviteter,0))&amp;"",IF(AND(C2425="LMS",F2425&gt;0,OR(D2425="",E2425="")),"Mangler maskin eller arbeid",IF(AND(OR(C2425="LMS",C2425="Mod"),D2425&lt;&gt;""),IF(IFERROR(INDEX(MaskinStatus,MATCH(D2425,Maskiner,0)),"")="I dokk","","Maskinen er ikke i dokk"),""))))))</f>
        <v/>
      </c>
      <c r="L2425" s="2">
        <f>IF(B2425="","",IFERROR(INT((MATCH(B2425,Teknikere,0)-1)/18)+1,""))</f>
        <v/>
      </c>
      <c r="M2425" s="2">
        <f>IF(OR(A2425="",B2425=""),"",B2425&amp;"|"&amp;A2425)</f>
        <v/>
      </c>
      <c r="N2425" s="2">
        <f>IF(M2425="","",SUMIFS(TF_Timer,TF_Nokkel,M2425,TF_Akt,C2425))</f>
        <v/>
      </c>
      <c r="O2425" s="2">
        <f>IF(M2425="","",IF(AND(N2425=_xlfn.MAXIFS(TF_AktSum,TF_Nokkel,M2425),COUNTIFS(M$3:M2424,M2425,N$3:N2424,N2425)=0),M2425,""))</f>
        <v/>
      </c>
    </row>
    <row r="2426">
      <c r="A2426" s="34" t="n"/>
      <c r="B2426" s="35" t="n"/>
      <c r="C2426" s="35" t="n"/>
      <c r="D2426" s="35" t="n"/>
      <c r="E2426" s="35" t="n"/>
      <c r="F2426" s="36" t="n"/>
      <c r="G2426" s="35" t="n"/>
      <c r="H2426" s="30">
        <f>IF(L2426="","",INDEX(SkiftNavn,L2426))</f>
        <v/>
      </c>
      <c r="I2426" s="30">
        <f>IF(OR(A2426="",L2426=""),"",IF(MOD(A2426-INDEX(SkiftStart,L2426),Syklus)&lt;DagK,"Kveld",IF(MOD(A2426-INDEX(SkiftStart,L2426),Syklus)&lt;DagK+DagH,"Helg",IF(MOD(A2426-INDEX(SkiftStart,L2426),Syklus)&lt;DagK+DagH+DagD,"Dag","Fri"))))</f>
        <v/>
      </c>
      <c r="J2426" s="30">
        <f>IF(I2426="Fri","Ja","")</f>
        <v/>
      </c>
      <c r="K2426" s="30">
        <f>IF(B2426="","",IF(L2426="","Ukjent tekniker",IF(ISNA(MATCH(C2426,Aktiviteter,0)),"Ukjent aktivitet",IF(AND(INDEX(AktRolle,MATCH(C2426,Aktiviteter,0))&amp;""&lt;&gt;"",ISERROR(SEARCH(INDEX(AktRolle,MATCH(C2426,Aktiviteter,0))&amp;"",INDEX(TekRoller,MATCH(B2426,Teknikere,0))))),"Mangler rollen "&amp;INDEX(AktRolle,MATCH(C2426,Aktiviteter,0))&amp;"",IF(AND(C2426="LMS",F2426&gt;0,OR(D2426="",E2426="")),"Mangler maskin eller arbeid",IF(AND(OR(C2426="LMS",C2426="Mod"),D2426&lt;&gt;""),IF(IFERROR(INDEX(MaskinStatus,MATCH(D2426,Maskiner,0)),"")="I dokk","","Maskinen er ikke i dokk"),""))))))</f>
        <v/>
      </c>
      <c r="L2426" s="2">
        <f>IF(B2426="","",IFERROR(INT((MATCH(B2426,Teknikere,0)-1)/18)+1,""))</f>
        <v/>
      </c>
      <c r="M2426" s="2">
        <f>IF(OR(A2426="",B2426=""),"",B2426&amp;"|"&amp;A2426)</f>
        <v/>
      </c>
      <c r="N2426" s="2">
        <f>IF(M2426="","",SUMIFS(TF_Timer,TF_Nokkel,M2426,TF_Akt,C2426))</f>
        <v/>
      </c>
      <c r="O2426" s="2">
        <f>IF(M2426="","",IF(AND(N2426=_xlfn.MAXIFS(TF_AktSum,TF_Nokkel,M2426),COUNTIFS(M$3:M2425,M2426,N$3:N2425,N2426)=0),M2426,""))</f>
        <v/>
      </c>
    </row>
    <row r="2427">
      <c r="A2427" s="34" t="n"/>
      <c r="B2427" s="35" t="n"/>
      <c r="C2427" s="35" t="n"/>
      <c r="D2427" s="35" t="n"/>
      <c r="E2427" s="35" t="n"/>
      <c r="F2427" s="36" t="n"/>
      <c r="G2427" s="35" t="n"/>
      <c r="H2427" s="30">
        <f>IF(L2427="","",INDEX(SkiftNavn,L2427))</f>
        <v/>
      </c>
      <c r="I2427" s="30">
        <f>IF(OR(A2427="",L2427=""),"",IF(MOD(A2427-INDEX(SkiftStart,L2427),Syklus)&lt;DagK,"Kveld",IF(MOD(A2427-INDEX(SkiftStart,L2427),Syklus)&lt;DagK+DagH,"Helg",IF(MOD(A2427-INDEX(SkiftStart,L2427),Syklus)&lt;DagK+DagH+DagD,"Dag","Fri"))))</f>
        <v/>
      </c>
      <c r="J2427" s="30">
        <f>IF(I2427="Fri","Ja","")</f>
        <v/>
      </c>
      <c r="K2427" s="30">
        <f>IF(B2427="","",IF(L2427="","Ukjent tekniker",IF(ISNA(MATCH(C2427,Aktiviteter,0)),"Ukjent aktivitet",IF(AND(INDEX(AktRolle,MATCH(C2427,Aktiviteter,0))&amp;""&lt;&gt;"",ISERROR(SEARCH(INDEX(AktRolle,MATCH(C2427,Aktiviteter,0))&amp;"",INDEX(TekRoller,MATCH(B2427,Teknikere,0))))),"Mangler rollen "&amp;INDEX(AktRolle,MATCH(C2427,Aktiviteter,0))&amp;"",IF(AND(C2427="LMS",F2427&gt;0,OR(D2427="",E2427="")),"Mangler maskin eller arbeid",IF(AND(OR(C2427="LMS",C2427="Mod"),D2427&lt;&gt;""),IF(IFERROR(INDEX(MaskinStatus,MATCH(D2427,Maskiner,0)),"")="I dokk","","Maskinen er ikke i dokk"),""))))))</f>
        <v/>
      </c>
      <c r="L2427" s="2">
        <f>IF(B2427="","",IFERROR(INT((MATCH(B2427,Teknikere,0)-1)/18)+1,""))</f>
        <v/>
      </c>
      <c r="M2427" s="2">
        <f>IF(OR(A2427="",B2427=""),"",B2427&amp;"|"&amp;A2427)</f>
        <v/>
      </c>
      <c r="N2427" s="2">
        <f>IF(M2427="","",SUMIFS(TF_Timer,TF_Nokkel,M2427,TF_Akt,C2427))</f>
        <v/>
      </c>
      <c r="O2427" s="2">
        <f>IF(M2427="","",IF(AND(N2427=_xlfn.MAXIFS(TF_AktSum,TF_Nokkel,M2427),COUNTIFS(M$3:M2426,M2427,N$3:N2426,N2427)=0),M2427,""))</f>
        <v/>
      </c>
    </row>
    <row r="2428">
      <c r="A2428" s="34" t="n"/>
      <c r="B2428" s="35" t="n"/>
      <c r="C2428" s="35" t="n"/>
      <c r="D2428" s="35" t="n"/>
      <c r="E2428" s="35" t="n"/>
      <c r="F2428" s="36" t="n"/>
      <c r="G2428" s="35" t="n"/>
      <c r="H2428" s="30">
        <f>IF(L2428="","",INDEX(SkiftNavn,L2428))</f>
        <v/>
      </c>
      <c r="I2428" s="30">
        <f>IF(OR(A2428="",L2428=""),"",IF(MOD(A2428-INDEX(SkiftStart,L2428),Syklus)&lt;DagK,"Kveld",IF(MOD(A2428-INDEX(SkiftStart,L2428),Syklus)&lt;DagK+DagH,"Helg",IF(MOD(A2428-INDEX(SkiftStart,L2428),Syklus)&lt;DagK+DagH+DagD,"Dag","Fri"))))</f>
        <v/>
      </c>
      <c r="J2428" s="30">
        <f>IF(I2428="Fri","Ja","")</f>
        <v/>
      </c>
      <c r="K2428" s="30">
        <f>IF(B2428="","",IF(L2428="","Ukjent tekniker",IF(ISNA(MATCH(C2428,Aktiviteter,0)),"Ukjent aktivitet",IF(AND(INDEX(AktRolle,MATCH(C2428,Aktiviteter,0))&amp;""&lt;&gt;"",ISERROR(SEARCH(INDEX(AktRolle,MATCH(C2428,Aktiviteter,0))&amp;"",INDEX(TekRoller,MATCH(B2428,Teknikere,0))))),"Mangler rollen "&amp;INDEX(AktRolle,MATCH(C2428,Aktiviteter,0))&amp;"",IF(AND(C2428="LMS",F2428&gt;0,OR(D2428="",E2428="")),"Mangler maskin eller arbeid",IF(AND(OR(C2428="LMS",C2428="Mod"),D2428&lt;&gt;""),IF(IFERROR(INDEX(MaskinStatus,MATCH(D2428,Maskiner,0)),"")="I dokk","","Maskinen er ikke i dokk"),""))))))</f>
        <v/>
      </c>
      <c r="L2428" s="2">
        <f>IF(B2428="","",IFERROR(INT((MATCH(B2428,Teknikere,0)-1)/18)+1,""))</f>
        <v/>
      </c>
      <c r="M2428" s="2">
        <f>IF(OR(A2428="",B2428=""),"",B2428&amp;"|"&amp;A2428)</f>
        <v/>
      </c>
      <c r="N2428" s="2">
        <f>IF(M2428="","",SUMIFS(TF_Timer,TF_Nokkel,M2428,TF_Akt,C2428))</f>
        <v/>
      </c>
      <c r="O2428" s="2">
        <f>IF(M2428="","",IF(AND(N2428=_xlfn.MAXIFS(TF_AktSum,TF_Nokkel,M2428),COUNTIFS(M$3:M2427,M2428,N$3:N2427,N2428)=0),M2428,""))</f>
        <v/>
      </c>
    </row>
    <row r="2429">
      <c r="A2429" s="34" t="n"/>
      <c r="B2429" s="35" t="n"/>
      <c r="C2429" s="35" t="n"/>
      <c r="D2429" s="35" t="n"/>
      <c r="E2429" s="35" t="n"/>
      <c r="F2429" s="36" t="n"/>
      <c r="G2429" s="35" t="n"/>
      <c r="H2429" s="30">
        <f>IF(L2429="","",INDEX(SkiftNavn,L2429))</f>
        <v/>
      </c>
      <c r="I2429" s="30">
        <f>IF(OR(A2429="",L2429=""),"",IF(MOD(A2429-INDEX(SkiftStart,L2429),Syklus)&lt;DagK,"Kveld",IF(MOD(A2429-INDEX(SkiftStart,L2429),Syklus)&lt;DagK+DagH,"Helg",IF(MOD(A2429-INDEX(SkiftStart,L2429),Syklus)&lt;DagK+DagH+DagD,"Dag","Fri"))))</f>
        <v/>
      </c>
      <c r="J2429" s="30">
        <f>IF(I2429="Fri","Ja","")</f>
        <v/>
      </c>
      <c r="K2429" s="30">
        <f>IF(B2429="","",IF(L2429="","Ukjent tekniker",IF(ISNA(MATCH(C2429,Aktiviteter,0)),"Ukjent aktivitet",IF(AND(INDEX(AktRolle,MATCH(C2429,Aktiviteter,0))&amp;""&lt;&gt;"",ISERROR(SEARCH(INDEX(AktRolle,MATCH(C2429,Aktiviteter,0))&amp;"",INDEX(TekRoller,MATCH(B2429,Teknikere,0))))),"Mangler rollen "&amp;INDEX(AktRolle,MATCH(C2429,Aktiviteter,0))&amp;"",IF(AND(C2429="LMS",F2429&gt;0,OR(D2429="",E2429="")),"Mangler maskin eller arbeid",IF(AND(OR(C2429="LMS",C2429="Mod"),D2429&lt;&gt;""),IF(IFERROR(INDEX(MaskinStatus,MATCH(D2429,Maskiner,0)),"")="I dokk","","Maskinen er ikke i dokk"),""))))))</f>
        <v/>
      </c>
      <c r="L2429" s="2">
        <f>IF(B2429="","",IFERROR(INT((MATCH(B2429,Teknikere,0)-1)/18)+1,""))</f>
        <v/>
      </c>
      <c r="M2429" s="2">
        <f>IF(OR(A2429="",B2429=""),"",B2429&amp;"|"&amp;A2429)</f>
        <v/>
      </c>
      <c r="N2429" s="2">
        <f>IF(M2429="","",SUMIFS(TF_Timer,TF_Nokkel,M2429,TF_Akt,C2429))</f>
        <v/>
      </c>
      <c r="O2429" s="2">
        <f>IF(M2429="","",IF(AND(N2429=_xlfn.MAXIFS(TF_AktSum,TF_Nokkel,M2429),COUNTIFS(M$3:M2428,M2429,N$3:N2428,N2429)=0),M2429,""))</f>
        <v/>
      </c>
    </row>
    <row r="2430">
      <c r="A2430" s="34" t="n"/>
      <c r="B2430" s="35" t="n"/>
      <c r="C2430" s="35" t="n"/>
      <c r="D2430" s="35" t="n"/>
      <c r="E2430" s="35" t="n"/>
      <c r="F2430" s="36" t="n"/>
      <c r="G2430" s="35" t="n"/>
      <c r="H2430" s="30">
        <f>IF(L2430="","",INDEX(SkiftNavn,L2430))</f>
        <v/>
      </c>
      <c r="I2430" s="30">
        <f>IF(OR(A2430="",L2430=""),"",IF(MOD(A2430-INDEX(SkiftStart,L2430),Syklus)&lt;DagK,"Kveld",IF(MOD(A2430-INDEX(SkiftStart,L2430),Syklus)&lt;DagK+DagH,"Helg",IF(MOD(A2430-INDEX(SkiftStart,L2430),Syklus)&lt;DagK+DagH+DagD,"Dag","Fri"))))</f>
        <v/>
      </c>
      <c r="J2430" s="30">
        <f>IF(I2430="Fri","Ja","")</f>
        <v/>
      </c>
      <c r="K2430" s="30">
        <f>IF(B2430="","",IF(L2430="","Ukjent tekniker",IF(ISNA(MATCH(C2430,Aktiviteter,0)),"Ukjent aktivitet",IF(AND(INDEX(AktRolle,MATCH(C2430,Aktiviteter,0))&amp;""&lt;&gt;"",ISERROR(SEARCH(INDEX(AktRolle,MATCH(C2430,Aktiviteter,0))&amp;"",INDEX(TekRoller,MATCH(B2430,Teknikere,0))))),"Mangler rollen "&amp;INDEX(AktRolle,MATCH(C2430,Aktiviteter,0))&amp;"",IF(AND(C2430="LMS",F2430&gt;0,OR(D2430="",E2430="")),"Mangler maskin eller arbeid",IF(AND(OR(C2430="LMS",C2430="Mod"),D2430&lt;&gt;""),IF(IFERROR(INDEX(MaskinStatus,MATCH(D2430,Maskiner,0)),"")="I dokk","","Maskinen er ikke i dokk"),""))))))</f>
        <v/>
      </c>
      <c r="L2430" s="2">
        <f>IF(B2430="","",IFERROR(INT((MATCH(B2430,Teknikere,0)-1)/18)+1,""))</f>
        <v/>
      </c>
      <c r="M2430" s="2">
        <f>IF(OR(A2430="",B2430=""),"",B2430&amp;"|"&amp;A2430)</f>
        <v/>
      </c>
      <c r="N2430" s="2">
        <f>IF(M2430="","",SUMIFS(TF_Timer,TF_Nokkel,M2430,TF_Akt,C2430))</f>
        <v/>
      </c>
      <c r="O2430" s="2">
        <f>IF(M2430="","",IF(AND(N2430=_xlfn.MAXIFS(TF_AktSum,TF_Nokkel,M2430),COUNTIFS(M$3:M2429,M2430,N$3:N2429,N2430)=0),M2430,""))</f>
        <v/>
      </c>
    </row>
    <row r="2431">
      <c r="A2431" s="34" t="n"/>
      <c r="B2431" s="35" t="n"/>
      <c r="C2431" s="35" t="n"/>
      <c r="D2431" s="35" t="n"/>
      <c r="E2431" s="35" t="n"/>
      <c r="F2431" s="36" t="n"/>
      <c r="G2431" s="35" t="n"/>
      <c r="H2431" s="30">
        <f>IF(L2431="","",INDEX(SkiftNavn,L2431))</f>
        <v/>
      </c>
      <c r="I2431" s="30">
        <f>IF(OR(A2431="",L2431=""),"",IF(MOD(A2431-INDEX(SkiftStart,L2431),Syklus)&lt;DagK,"Kveld",IF(MOD(A2431-INDEX(SkiftStart,L2431),Syklus)&lt;DagK+DagH,"Helg",IF(MOD(A2431-INDEX(SkiftStart,L2431),Syklus)&lt;DagK+DagH+DagD,"Dag","Fri"))))</f>
        <v/>
      </c>
      <c r="J2431" s="30">
        <f>IF(I2431="Fri","Ja","")</f>
        <v/>
      </c>
      <c r="K2431" s="30">
        <f>IF(B2431="","",IF(L2431="","Ukjent tekniker",IF(ISNA(MATCH(C2431,Aktiviteter,0)),"Ukjent aktivitet",IF(AND(INDEX(AktRolle,MATCH(C2431,Aktiviteter,0))&amp;""&lt;&gt;"",ISERROR(SEARCH(INDEX(AktRolle,MATCH(C2431,Aktiviteter,0))&amp;"",INDEX(TekRoller,MATCH(B2431,Teknikere,0))))),"Mangler rollen "&amp;INDEX(AktRolle,MATCH(C2431,Aktiviteter,0))&amp;"",IF(AND(C2431="LMS",F2431&gt;0,OR(D2431="",E2431="")),"Mangler maskin eller arbeid",IF(AND(OR(C2431="LMS",C2431="Mod"),D2431&lt;&gt;""),IF(IFERROR(INDEX(MaskinStatus,MATCH(D2431,Maskiner,0)),"")="I dokk","","Maskinen er ikke i dokk"),""))))))</f>
        <v/>
      </c>
      <c r="L2431" s="2">
        <f>IF(B2431="","",IFERROR(INT((MATCH(B2431,Teknikere,0)-1)/18)+1,""))</f>
        <v/>
      </c>
      <c r="M2431" s="2">
        <f>IF(OR(A2431="",B2431=""),"",B2431&amp;"|"&amp;A2431)</f>
        <v/>
      </c>
      <c r="N2431" s="2">
        <f>IF(M2431="","",SUMIFS(TF_Timer,TF_Nokkel,M2431,TF_Akt,C2431))</f>
        <v/>
      </c>
      <c r="O2431" s="2">
        <f>IF(M2431="","",IF(AND(N2431=_xlfn.MAXIFS(TF_AktSum,TF_Nokkel,M2431),COUNTIFS(M$3:M2430,M2431,N$3:N2430,N2431)=0),M2431,""))</f>
        <v/>
      </c>
    </row>
    <row r="2432">
      <c r="A2432" s="34" t="n"/>
      <c r="B2432" s="35" t="n"/>
      <c r="C2432" s="35" t="n"/>
      <c r="D2432" s="35" t="n"/>
      <c r="E2432" s="35" t="n"/>
      <c r="F2432" s="36" t="n"/>
      <c r="G2432" s="35" t="n"/>
      <c r="H2432" s="30">
        <f>IF(L2432="","",INDEX(SkiftNavn,L2432))</f>
        <v/>
      </c>
      <c r="I2432" s="30">
        <f>IF(OR(A2432="",L2432=""),"",IF(MOD(A2432-INDEX(SkiftStart,L2432),Syklus)&lt;DagK,"Kveld",IF(MOD(A2432-INDEX(SkiftStart,L2432),Syklus)&lt;DagK+DagH,"Helg",IF(MOD(A2432-INDEX(SkiftStart,L2432),Syklus)&lt;DagK+DagH+DagD,"Dag","Fri"))))</f>
        <v/>
      </c>
      <c r="J2432" s="30">
        <f>IF(I2432="Fri","Ja","")</f>
        <v/>
      </c>
      <c r="K2432" s="30">
        <f>IF(B2432="","",IF(L2432="","Ukjent tekniker",IF(ISNA(MATCH(C2432,Aktiviteter,0)),"Ukjent aktivitet",IF(AND(INDEX(AktRolle,MATCH(C2432,Aktiviteter,0))&amp;""&lt;&gt;"",ISERROR(SEARCH(INDEX(AktRolle,MATCH(C2432,Aktiviteter,0))&amp;"",INDEX(TekRoller,MATCH(B2432,Teknikere,0))))),"Mangler rollen "&amp;INDEX(AktRolle,MATCH(C2432,Aktiviteter,0))&amp;"",IF(AND(C2432="LMS",F2432&gt;0,OR(D2432="",E2432="")),"Mangler maskin eller arbeid",IF(AND(OR(C2432="LMS",C2432="Mod"),D2432&lt;&gt;""),IF(IFERROR(INDEX(MaskinStatus,MATCH(D2432,Maskiner,0)),"")="I dokk","","Maskinen er ikke i dokk"),""))))))</f>
        <v/>
      </c>
      <c r="L2432" s="2">
        <f>IF(B2432="","",IFERROR(INT((MATCH(B2432,Teknikere,0)-1)/18)+1,""))</f>
        <v/>
      </c>
      <c r="M2432" s="2">
        <f>IF(OR(A2432="",B2432=""),"",B2432&amp;"|"&amp;A2432)</f>
        <v/>
      </c>
      <c r="N2432" s="2">
        <f>IF(M2432="","",SUMIFS(TF_Timer,TF_Nokkel,M2432,TF_Akt,C2432))</f>
        <v/>
      </c>
      <c r="O2432" s="2">
        <f>IF(M2432="","",IF(AND(N2432=_xlfn.MAXIFS(TF_AktSum,TF_Nokkel,M2432),COUNTIFS(M$3:M2431,M2432,N$3:N2431,N2432)=0),M2432,""))</f>
        <v/>
      </c>
    </row>
    <row r="2433">
      <c r="A2433" s="34" t="n"/>
      <c r="B2433" s="35" t="n"/>
      <c r="C2433" s="35" t="n"/>
      <c r="D2433" s="35" t="n"/>
      <c r="E2433" s="35" t="n"/>
      <c r="F2433" s="36" t="n"/>
      <c r="G2433" s="35" t="n"/>
      <c r="H2433" s="30">
        <f>IF(L2433="","",INDEX(SkiftNavn,L2433))</f>
        <v/>
      </c>
      <c r="I2433" s="30">
        <f>IF(OR(A2433="",L2433=""),"",IF(MOD(A2433-INDEX(SkiftStart,L2433),Syklus)&lt;DagK,"Kveld",IF(MOD(A2433-INDEX(SkiftStart,L2433),Syklus)&lt;DagK+DagH,"Helg",IF(MOD(A2433-INDEX(SkiftStart,L2433),Syklus)&lt;DagK+DagH+DagD,"Dag","Fri"))))</f>
        <v/>
      </c>
      <c r="J2433" s="30">
        <f>IF(I2433="Fri","Ja","")</f>
        <v/>
      </c>
      <c r="K2433" s="30">
        <f>IF(B2433="","",IF(L2433="","Ukjent tekniker",IF(ISNA(MATCH(C2433,Aktiviteter,0)),"Ukjent aktivitet",IF(AND(INDEX(AktRolle,MATCH(C2433,Aktiviteter,0))&amp;""&lt;&gt;"",ISERROR(SEARCH(INDEX(AktRolle,MATCH(C2433,Aktiviteter,0))&amp;"",INDEX(TekRoller,MATCH(B2433,Teknikere,0))))),"Mangler rollen "&amp;INDEX(AktRolle,MATCH(C2433,Aktiviteter,0))&amp;"",IF(AND(C2433="LMS",F2433&gt;0,OR(D2433="",E2433="")),"Mangler maskin eller arbeid",IF(AND(OR(C2433="LMS",C2433="Mod"),D2433&lt;&gt;""),IF(IFERROR(INDEX(MaskinStatus,MATCH(D2433,Maskiner,0)),"")="I dokk","","Maskinen er ikke i dokk"),""))))))</f>
        <v/>
      </c>
      <c r="L2433" s="2">
        <f>IF(B2433="","",IFERROR(INT((MATCH(B2433,Teknikere,0)-1)/18)+1,""))</f>
        <v/>
      </c>
      <c r="M2433" s="2">
        <f>IF(OR(A2433="",B2433=""),"",B2433&amp;"|"&amp;A2433)</f>
        <v/>
      </c>
      <c r="N2433" s="2">
        <f>IF(M2433="","",SUMIFS(TF_Timer,TF_Nokkel,M2433,TF_Akt,C2433))</f>
        <v/>
      </c>
      <c r="O2433" s="2">
        <f>IF(M2433="","",IF(AND(N2433=_xlfn.MAXIFS(TF_AktSum,TF_Nokkel,M2433),COUNTIFS(M$3:M2432,M2433,N$3:N2432,N2433)=0),M2433,""))</f>
        <v/>
      </c>
    </row>
    <row r="2434">
      <c r="A2434" s="34" t="n"/>
      <c r="B2434" s="35" t="n"/>
      <c r="C2434" s="35" t="n"/>
      <c r="D2434" s="35" t="n"/>
      <c r="E2434" s="35" t="n"/>
      <c r="F2434" s="36" t="n"/>
      <c r="G2434" s="35" t="n"/>
      <c r="H2434" s="30">
        <f>IF(L2434="","",INDEX(SkiftNavn,L2434))</f>
        <v/>
      </c>
      <c r="I2434" s="30">
        <f>IF(OR(A2434="",L2434=""),"",IF(MOD(A2434-INDEX(SkiftStart,L2434),Syklus)&lt;DagK,"Kveld",IF(MOD(A2434-INDEX(SkiftStart,L2434),Syklus)&lt;DagK+DagH,"Helg",IF(MOD(A2434-INDEX(SkiftStart,L2434),Syklus)&lt;DagK+DagH+DagD,"Dag","Fri"))))</f>
        <v/>
      </c>
      <c r="J2434" s="30">
        <f>IF(I2434="Fri","Ja","")</f>
        <v/>
      </c>
      <c r="K2434" s="30">
        <f>IF(B2434="","",IF(L2434="","Ukjent tekniker",IF(ISNA(MATCH(C2434,Aktiviteter,0)),"Ukjent aktivitet",IF(AND(INDEX(AktRolle,MATCH(C2434,Aktiviteter,0))&amp;""&lt;&gt;"",ISERROR(SEARCH(INDEX(AktRolle,MATCH(C2434,Aktiviteter,0))&amp;"",INDEX(TekRoller,MATCH(B2434,Teknikere,0))))),"Mangler rollen "&amp;INDEX(AktRolle,MATCH(C2434,Aktiviteter,0))&amp;"",IF(AND(C2434="LMS",F2434&gt;0,OR(D2434="",E2434="")),"Mangler maskin eller arbeid",IF(AND(OR(C2434="LMS",C2434="Mod"),D2434&lt;&gt;""),IF(IFERROR(INDEX(MaskinStatus,MATCH(D2434,Maskiner,0)),"")="I dokk","","Maskinen er ikke i dokk"),""))))))</f>
        <v/>
      </c>
      <c r="L2434" s="2">
        <f>IF(B2434="","",IFERROR(INT((MATCH(B2434,Teknikere,0)-1)/18)+1,""))</f>
        <v/>
      </c>
      <c r="M2434" s="2">
        <f>IF(OR(A2434="",B2434=""),"",B2434&amp;"|"&amp;A2434)</f>
        <v/>
      </c>
      <c r="N2434" s="2">
        <f>IF(M2434="","",SUMIFS(TF_Timer,TF_Nokkel,M2434,TF_Akt,C2434))</f>
        <v/>
      </c>
      <c r="O2434" s="2">
        <f>IF(M2434="","",IF(AND(N2434=_xlfn.MAXIFS(TF_AktSum,TF_Nokkel,M2434),COUNTIFS(M$3:M2433,M2434,N$3:N2433,N2434)=0),M2434,""))</f>
        <v/>
      </c>
    </row>
    <row r="2435">
      <c r="A2435" s="34" t="n"/>
      <c r="B2435" s="35" t="n"/>
      <c r="C2435" s="35" t="n"/>
      <c r="D2435" s="35" t="n"/>
      <c r="E2435" s="35" t="n"/>
      <c r="F2435" s="36" t="n"/>
      <c r="G2435" s="35" t="n"/>
      <c r="H2435" s="30">
        <f>IF(L2435="","",INDEX(SkiftNavn,L2435))</f>
        <v/>
      </c>
      <c r="I2435" s="30">
        <f>IF(OR(A2435="",L2435=""),"",IF(MOD(A2435-INDEX(SkiftStart,L2435),Syklus)&lt;DagK,"Kveld",IF(MOD(A2435-INDEX(SkiftStart,L2435),Syklus)&lt;DagK+DagH,"Helg",IF(MOD(A2435-INDEX(SkiftStart,L2435),Syklus)&lt;DagK+DagH+DagD,"Dag","Fri"))))</f>
        <v/>
      </c>
      <c r="J2435" s="30">
        <f>IF(I2435="Fri","Ja","")</f>
        <v/>
      </c>
      <c r="K2435" s="30">
        <f>IF(B2435="","",IF(L2435="","Ukjent tekniker",IF(ISNA(MATCH(C2435,Aktiviteter,0)),"Ukjent aktivitet",IF(AND(INDEX(AktRolle,MATCH(C2435,Aktiviteter,0))&amp;""&lt;&gt;"",ISERROR(SEARCH(INDEX(AktRolle,MATCH(C2435,Aktiviteter,0))&amp;"",INDEX(TekRoller,MATCH(B2435,Teknikere,0))))),"Mangler rollen "&amp;INDEX(AktRolle,MATCH(C2435,Aktiviteter,0))&amp;"",IF(AND(C2435="LMS",F2435&gt;0,OR(D2435="",E2435="")),"Mangler maskin eller arbeid",IF(AND(OR(C2435="LMS",C2435="Mod"),D2435&lt;&gt;""),IF(IFERROR(INDEX(MaskinStatus,MATCH(D2435,Maskiner,0)),"")="I dokk","","Maskinen er ikke i dokk"),""))))))</f>
        <v/>
      </c>
      <c r="L2435" s="2">
        <f>IF(B2435="","",IFERROR(INT((MATCH(B2435,Teknikere,0)-1)/18)+1,""))</f>
        <v/>
      </c>
      <c r="M2435" s="2">
        <f>IF(OR(A2435="",B2435=""),"",B2435&amp;"|"&amp;A2435)</f>
        <v/>
      </c>
      <c r="N2435" s="2">
        <f>IF(M2435="","",SUMIFS(TF_Timer,TF_Nokkel,M2435,TF_Akt,C2435))</f>
        <v/>
      </c>
      <c r="O2435" s="2">
        <f>IF(M2435="","",IF(AND(N2435=_xlfn.MAXIFS(TF_AktSum,TF_Nokkel,M2435),COUNTIFS(M$3:M2434,M2435,N$3:N2434,N2435)=0),M2435,""))</f>
        <v/>
      </c>
    </row>
    <row r="2436">
      <c r="A2436" s="34" t="n"/>
      <c r="B2436" s="35" t="n"/>
      <c r="C2436" s="35" t="n"/>
      <c r="D2436" s="35" t="n"/>
      <c r="E2436" s="35" t="n"/>
      <c r="F2436" s="36" t="n"/>
      <c r="G2436" s="35" t="n"/>
      <c r="H2436" s="30">
        <f>IF(L2436="","",INDEX(SkiftNavn,L2436))</f>
        <v/>
      </c>
      <c r="I2436" s="30">
        <f>IF(OR(A2436="",L2436=""),"",IF(MOD(A2436-INDEX(SkiftStart,L2436),Syklus)&lt;DagK,"Kveld",IF(MOD(A2436-INDEX(SkiftStart,L2436),Syklus)&lt;DagK+DagH,"Helg",IF(MOD(A2436-INDEX(SkiftStart,L2436),Syklus)&lt;DagK+DagH+DagD,"Dag","Fri"))))</f>
        <v/>
      </c>
      <c r="J2436" s="30">
        <f>IF(I2436="Fri","Ja","")</f>
        <v/>
      </c>
      <c r="K2436" s="30">
        <f>IF(B2436="","",IF(L2436="","Ukjent tekniker",IF(ISNA(MATCH(C2436,Aktiviteter,0)),"Ukjent aktivitet",IF(AND(INDEX(AktRolle,MATCH(C2436,Aktiviteter,0))&amp;""&lt;&gt;"",ISERROR(SEARCH(INDEX(AktRolle,MATCH(C2436,Aktiviteter,0))&amp;"",INDEX(TekRoller,MATCH(B2436,Teknikere,0))))),"Mangler rollen "&amp;INDEX(AktRolle,MATCH(C2436,Aktiviteter,0))&amp;"",IF(AND(C2436="LMS",F2436&gt;0,OR(D2436="",E2436="")),"Mangler maskin eller arbeid",IF(AND(OR(C2436="LMS",C2436="Mod"),D2436&lt;&gt;""),IF(IFERROR(INDEX(MaskinStatus,MATCH(D2436,Maskiner,0)),"")="I dokk","","Maskinen er ikke i dokk"),""))))))</f>
        <v/>
      </c>
      <c r="L2436" s="2">
        <f>IF(B2436="","",IFERROR(INT((MATCH(B2436,Teknikere,0)-1)/18)+1,""))</f>
        <v/>
      </c>
      <c r="M2436" s="2">
        <f>IF(OR(A2436="",B2436=""),"",B2436&amp;"|"&amp;A2436)</f>
        <v/>
      </c>
      <c r="N2436" s="2">
        <f>IF(M2436="","",SUMIFS(TF_Timer,TF_Nokkel,M2436,TF_Akt,C2436))</f>
        <v/>
      </c>
      <c r="O2436" s="2">
        <f>IF(M2436="","",IF(AND(N2436=_xlfn.MAXIFS(TF_AktSum,TF_Nokkel,M2436),COUNTIFS(M$3:M2435,M2436,N$3:N2435,N2436)=0),M2436,""))</f>
        <v/>
      </c>
    </row>
    <row r="2437">
      <c r="A2437" s="34" t="n"/>
      <c r="B2437" s="35" t="n"/>
      <c r="C2437" s="35" t="n"/>
      <c r="D2437" s="35" t="n"/>
      <c r="E2437" s="35" t="n"/>
      <c r="F2437" s="36" t="n"/>
      <c r="G2437" s="35" t="n"/>
      <c r="H2437" s="30">
        <f>IF(L2437="","",INDEX(SkiftNavn,L2437))</f>
        <v/>
      </c>
      <c r="I2437" s="30">
        <f>IF(OR(A2437="",L2437=""),"",IF(MOD(A2437-INDEX(SkiftStart,L2437),Syklus)&lt;DagK,"Kveld",IF(MOD(A2437-INDEX(SkiftStart,L2437),Syklus)&lt;DagK+DagH,"Helg",IF(MOD(A2437-INDEX(SkiftStart,L2437),Syklus)&lt;DagK+DagH+DagD,"Dag","Fri"))))</f>
        <v/>
      </c>
      <c r="J2437" s="30">
        <f>IF(I2437="Fri","Ja","")</f>
        <v/>
      </c>
      <c r="K2437" s="30">
        <f>IF(B2437="","",IF(L2437="","Ukjent tekniker",IF(ISNA(MATCH(C2437,Aktiviteter,0)),"Ukjent aktivitet",IF(AND(INDEX(AktRolle,MATCH(C2437,Aktiviteter,0))&amp;""&lt;&gt;"",ISERROR(SEARCH(INDEX(AktRolle,MATCH(C2437,Aktiviteter,0))&amp;"",INDEX(TekRoller,MATCH(B2437,Teknikere,0))))),"Mangler rollen "&amp;INDEX(AktRolle,MATCH(C2437,Aktiviteter,0))&amp;"",IF(AND(C2437="LMS",F2437&gt;0,OR(D2437="",E2437="")),"Mangler maskin eller arbeid",IF(AND(OR(C2437="LMS",C2437="Mod"),D2437&lt;&gt;""),IF(IFERROR(INDEX(MaskinStatus,MATCH(D2437,Maskiner,0)),"")="I dokk","","Maskinen er ikke i dokk"),""))))))</f>
        <v/>
      </c>
      <c r="L2437" s="2">
        <f>IF(B2437="","",IFERROR(INT((MATCH(B2437,Teknikere,0)-1)/18)+1,""))</f>
        <v/>
      </c>
      <c r="M2437" s="2">
        <f>IF(OR(A2437="",B2437=""),"",B2437&amp;"|"&amp;A2437)</f>
        <v/>
      </c>
      <c r="N2437" s="2">
        <f>IF(M2437="","",SUMIFS(TF_Timer,TF_Nokkel,M2437,TF_Akt,C2437))</f>
        <v/>
      </c>
      <c r="O2437" s="2">
        <f>IF(M2437="","",IF(AND(N2437=_xlfn.MAXIFS(TF_AktSum,TF_Nokkel,M2437),COUNTIFS(M$3:M2436,M2437,N$3:N2436,N2437)=0),M2437,""))</f>
        <v/>
      </c>
    </row>
    <row r="2438">
      <c r="A2438" s="34" t="n"/>
      <c r="B2438" s="35" t="n"/>
      <c r="C2438" s="35" t="n"/>
      <c r="D2438" s="35" t="n"/>
      <c r="E2438" s="35" t="n"/>
      <c r="F2438" s="36" t="n"/>
      <c r="G2438" s="35" t="n"/>
      <c r="H2438" s="30">
        <f>IF(L2438="","",INDEX(SkiftNavn,L2438))</f>
        <v/>
      </c>
      <c r="I2438" s="30">
        <f>IF(OR(A2438="",L2438=""),"",IF(MOD(A2438-INDEX(SkiftStart,L2438),Syklus)&lt;DagK,"Kveld",IF(MOD(A2438-INDEX(SkiftStart,L2438),Syklus)&lt;DagK+DagH,"Helg",IF(MOD(A2438-INDEX(SkiftStart,L2438),Syklus)&lt;DagK+DagH+DagD,"Dag","Fri"))))</f>
        <v/>
      </c>
      <c r="J2438" s="30">
        <f>IF(I2438="Fri","Ja","")</f>
        <v/>
      </c>
      <c r="K2438" s="30">
        <f>IF(B2438="","",IF(L2438="","Ukjent tekniker",IF(ISNA(MATCH(C2438,Aktiviteter,0)),"Ukjent aktivitet",IF(AND(INDEX(AktRolle,MATCH(C2438,Aktiviteter,0))&amp;""&lt;&gt;"",ISERROR(SEARCH(INDEX(AktRolle,MATCH(C2438,Aktiviteter,0))&amp;"",INDEX(TekRoller,MATCH(B2438,Teknikere,0))))),"Mangler rollen "&amp;INDEX(AktRolle,MATCH(C2438,Aktiviteter,0))&amp;"",IF(AND(C2438="LMS",F2438&gt;0,OR(D2438="",E2438="")),"Mangler maskin eller arbeid",IF(AND(OR(C2438="LMS",C2438="Mod"),D2438&lt;&gt;""),IF(IFERROR(INDEX(MaskinStatus,MATCH(D2438,Maskiner,0)),"")="I dokk","","Maskinen er ikke i dokk"),""))))))</f>
        <v/>
      </c>
      <c r="L2438" s="2">
        <f>IF(B2438="","",IFERROR(INT((MATCH(B2438,Teknikere,0)-1)/18)+1,""))</f>
        <v/>
      </c>
      <c r="M2438" s="2">
        <f>IF(OR(A2438="",B2438=""),"",B2438&amp;"|"&amp;A2438)</f>
        <v/>
      </c>
      <c r="N2438" s="2">
        <f>IF(M2438="","",SUMIFS(TF_Timer,TF_Nokkel,M2438,TF_Akt,C2438))</f>
        <v/>
      </c>
      <c r="O2438" s="2">
        <f>IF(M2438="","",IF(AND(N2438=_xlfn.MAXIFS(TF_AktSum,TF_Nokkel,M2438),COUNTIFS(M$3:M2437,M2438,N$3:N2437,N2438)=0),M2438,""))</f>
        <v/>
      </c>
    </row>
    <row r="2439">
      <c r="A2439" s="34" t="n"/>
      <c r="B2439" s="35" t="n"/>
      <c r="C2439" s="35" t="n"/>
      <c r="D2439" s="35" t="n"/>
      <c r="E2439" s="35" t="n"/>
      <c r="F2439" s="36" t="n"/>
      <c r="G2439" s="35" t="n"/>
      <c r="H2439" s="30">
        <f>IF(L2439="","",INDEX(SkiftNavn,L2439))</f>
        <v/>
      </c>
      <c r="I2439" s="30">
        <f>IF(OR(A2439="",L2439=""),"",IF(MOD(A2439-INDEX(SkiftStart,L2439),Syklus)&lt;DagK,"Kveld",IF(MOD(A2439-INDEX(SkiftStart,L2439),Syklus)&lt;DagK+DagH,"Helg",IF(MOD(A2439-INDEX(SkiftStart,L2439),Syklus)&lt;DagK+DagH+DagD,"Dag","Fri"))))</f>
        <v/>
      </c>
      <c r="J2439" s="30">
        <f>IF(I2439="Fri","Ja","")</f>
        <v/>
      </c>
      <c r="K2439" s="30">
        <f>IF(B2439="","",IF(L2439="","Ukjent tekniker",IF(ISNA(MATCH(C2439,Aktiviteter,0)),"Ukjent aktivitet",IF(AND(INDEX(AktRolle,MATCH(C2439,Aktiviteter,0))&amp;""&lt;&gt;"",ISERROR(SEARCH(INDEX(AktRolle,MATCH(C2439,Aktiviteter,0))&amp;"",INDEX(TekRoller,MATCH(B2439,Teknikere,0))))),"Mangler rollen "&amp;INDEX(AktRolle,MATCH(C2439,Aktiviteter,0))&amp;"",IF(AND(C2439="LMS",F2439&gt;0,OR(D2439="",E2439="")),"Mangler maskin eller arbeid",IF(AND(OR(C2439="LMS",C2439="Mod"),D2439&lt;&gt;""),IF(IFERROR(INDEX(MaskinStatus,MATCH(D2439,Maskiner,0)),"")="I dokk","","Maskinen er ikke i dokk"),""))))))</f>
        <v/>
      </c>
      <c r="L2439" s="2">
        <f>IF(B2439="","",IFERROR(INT((MATCH(B2439,Teknikere,0)-1)/18)+1,""))</f>
        <v/>
      </c>
      <c r="M2439" s="2">
        <f>IF(OR(A2439="",B2439=""),"",B2439&amp;"|"&amp;A2439)</f>
        <v/>
      </c>
      <c r="N2439" s="2">
        <f>IF(M2439="","",SUMIFS(TF_Timer,TF_Nokkel,M2439,TF_Akt,C2439))</f>
        <v/>
      </c>
      <c r="O2439" s="2">
        <f>IF(M2439="","",IF(AND(N2439=_xlfn.MAXIFS(TF_AktSum,TF_Nokkel,M2439),COUNTIFS(M$3:M2438,M2439,N$3:N2438,N2439)=0),M2439,""))</f>
        <v/>
      </c>
    </row>
    <row r="2440">
      <c r="A2440" s="34" t="n"/>
      <c r="B2440" s="35" t="n"/>
      <c r="C2440" s="35" t="n"/>
      <c r="D2440" s="35" t="n"/>
      <c r="E2440" s="35" t="n"/>
      <c r="F2440" s="36" t="n"/>
      <c r="G2440" s="35" t="n"/>
      <c r="H2440" s="30">
        <f>IF(L2440="","",INDEX(SkiftNavn,L2440))</f>
        <v/>
      </c>
      <c r="I2440" s="30">
        <f>IF(OR(A2440="",L2440=""),"",IF(MOD(A2440-INDEX(SkiftStart,L2440),Syklus)&lt;DagK,"Kveld",IF(MOD(A2440-INDEX(SkiftStart,L2440),Syklus)&lt;DagK+DagH,"Helg",IF(MOD(A2440-INDEX(SkiftStart,L2440),Syklus)&lt;DagK+DagH+DagD,"Dag","Fri"))))</f>
        <v/>
      </c>
      <c r="J2440" s="30">
        <f>IF(I2440="Fri","Ja","")</f>
        <v/>
      </c>
      <c r="K2440" s="30">
        <f>IF(B2440="","",IF(L2440="","Ukjent tekniker",IF(ISNA(MATCH(C2440,Aktiviteter,0)),"Ukjent aktivitet",IF(AND(INDEX(AktRolle,MATCH(C2440,Aktiviteter,0))&amp;""&lt;&gt;"",ISERROR(SEARCH(INDEX(AktRolle,MATCH(C2440,Aktiviteter,0))&amp;"",INDEX(TekRoller,MATCH(B2440,Teknikere,0))))),"Mangler rollen "&amp;INDEX(AktRolle,MATCH(C2440,Aktiviteter,0))&amp;"",IF(AND(C2440="LMS",F2440&gt;0,OR(D2440="",E2440="")),"Mangler maskin eller arbeid",IF(AND(OR(C2440="LMS",C2440="Mod"),D2440&lt;&gt;""),IF(IFERROR(INDEX(MaskinStatus,MATCH(D2440,Maskiner,0)),"")="I dokk","","Maskinen er ikke i dokk"),""))))))</f>
        <v/>
      </c>
      <c r="L2440" s="2">
        <f>IF(B2440="","",IFERROR(INT((MATCH(B2440,Teknikere,0)-1)/18)+1,""))</f>
        <v/>
      </c>
      <c r="M2440" s="2">
        <f>IF(OR(A2440="",B2440=""),"",B2440&amp;"|"&amp;A2440)</f>
        <v/>
      </c>
      <c r="N2440" s="2">
        <f>IF(M2440="","",SUMIFS(TF_Timer,TF_Nokkel,M2440,TF_Akt,C2440))</f>
        <v/>
      </c>
      <c r="O2440" s="2">
        <f>IF(M2440="","",IF(AND(N2440=_xlfn.MAXIFS(TF_AktSum,TF_Nokkel,M2440),COUNTIFS(M$3:M2439,M2440,N$3:N2439,N2440)=0),M2440,""))</f>
        <v/>
      </c>
    </row>
    <row r="2441">
      <c r="A2441" s="34" t="n"/>
      <c r="B2441" s="35" t="n"/>
      <c r="C2441" s="35" t="n"/>
      <c r="D2441" s="35" t="n"/>
      <c r="E2441" s="35" t="n"/>
      <c r="F2441" s="36" t="n"/>
      <c r="G2441" s="35" t="n"/>
      <c r="H2441" s="30">
        <f>IF(L2441="","",INDEX(SkiftNavn,L2441))</f>
        <v/>
      </c>
      <c r="I2441" s="30">
        <f>IF(OR(A2441="",L2441=""),"",IF(MOD(A2441-INDEX(SkiftStart,L2441),Syklus)&lt;DagK,"Kveld",IF(MOD(A2441-INDEX(SkiftStart,L2441),Syklus)&lt;DagK+DagH,"Helg",IF(MOD(A2441-INDEX(SkiftStart,L2441),Syklus)&lt;DagK+DagH+DagD,"Dag","Fri"))))</f>
        <v/>
      </c>
      <c r="J2441" s="30">
        <f>IF(I2441="Fri","Ja","")</f>
        <v/>
      </c>
      <c r="K2441" s="30">
        <f>IF(B2441="","",IF(L2441="","Ukjent tekniker",IF(ISNA(MATCH(C2441,Aktiviteter,0)),"Ukjent aktivitet",IF(AND(INDEX(AktRolle,MATCH(C2441,Aktiviteter,0))&amp;""&lt;&gt;"",ISERROR(SEARCH(INDEX(AktRolle,MATCH(C2441,Aktiviteter,0))&amp;"",INDEX(TekRoller,MATCH(B2441,Teknikere,0))))),"Mangler rollen "&amp;INDEX(AktRolle,MATCH(C2441,Aktiviteter,0))&amp;"",IF(AND(C2441="LMS",F2441&gt;0,OR(D2441="",E2441="")),"Mangler maskin eller arbeid",IF(AND(OR(C2441="LMS",C2441="Mod"),D2441&lt;&gt;""),IF(IFERROR(INDEX(MaskinStatus,MATCH(D2441,Maskiner,0)),"")="I dokk","","Maskinen er ikke i dokk"),""))))))</f>
        <v/>
      </c>
      <c r="L2441" s="2">
        <f>IF(B2441="","",IFERROR(INT((MATCH(B2441,Teknikere,0)-1)/18)+1,""))</f>
        <v/>
      </c>
      <c r="M2441" s="2">
        <f>IF(OR(A2441="",B2441=""),"",B2441&amp;"|"&amp;A2441)</f>
        <v/>
      </c>
      <c r="N2441" s="2">
        <f>IF(M2441="","",SUMIFS(TF_Timer,TF_Nokkel,M2441,TF_Akt,C2441))</f>
        <v/>
      </c>
      <c r="O2441" s="2">
        <f>IF(M2441="","",IF(AND(N2441=_xlfn.MAXIFS(TF_AktSum,TF_Nokkel,M2441),COUNTIFS(M$3:M2440,M2441,N$3:N2440,N2441)=0),M2441,""))</f>
        <v/>
      </c>
    </row>
    <row r="2442">
      <c r="A2442" s="34" t="n"/>
      <c r="B2442" s="35" t="n"/>
      <c r="C2442" s="35" t="n"/>
      <c r="D2442" s="35" t="n"/>
      <c r="E2442" s="35" t="n"/>
      <c r="F2442" s="36" t="n"/>
      <c r="G2442" s="35" t="n"/>
      <c r="H2442" s="30">
        <f>IF(L2442="","",INDEX(SkiftNavn,L2442))</f>
        <v/>
      </c>
      <c r="I2442" s="30">
        <f>IF(OR(A2442="",L2442=""),"",IF(MOD(A2442-INDEX(SkiftStart,L2442),Syklus)&lt;DagK,"Kveld",IF(MOD(A2442-INDEX(SkiftStart,L2442),Syklus)&lt;DagK+DagH,"Helg",IF(MOD(A2442-INDEX(SkiftStart,L2442),Syklus)&lt;DagK+DagH+DagD,"Dag","Fri"))))</f>
        <v/>
      </c>
      <c r="J2442" s="30">
        <f>IF(I2442="Fri","Ja","")</f>
        <v/>
      </c>
      <c r="K2442" s="30">
        <f>IF(B2442="","",IF(L2442="","Ukjent tekniker",IF(ISNA(MATCH(C2442,Aktiviteter,0)),"Ukjent aktivitet",IF(AND(INDEX(AktRolle,MATCH(C2442,Aktiviteter,0))&amp;""&lt;&gt;"",ISERROR(SEARCH(INDEX(AktRolle,MATCH(C2442,Aktiviteter,0))&amp;"",INDEX(TekRoller,MATCH(B2442,Teknikere,0))))),"Mangler rollen "&amp;INDEX(AktRolle,MATCH(C2442,Aktiviteter,0))&amp;"",IF(AND(C2442="LMS",F2442&gt;0,OR(D2442="",E2442="")),"Mangler maskin eller arbeid",IF(AND(OR(C2442="LMS",C2442="Mod"),D2442&lt;&gt;""),IF(IFERROR(INDEX(MaskinStatus,MATCH(D2442,Maskiner,0)),"")="I dokk","","Maskinen er ikke i dokk"),""))))))</f>
        <v/>
      </c>
      <c r="L2442" s="2">
        <f>IF(B2442="","",IFERROR(INT((MATCH(B2442,Teknikere,0)-1)/18)+1,""))</f>
        <v/>
      </c>
      <c r="M2442" s="2">
        <f>IF(OR(A2442="",B2442=""),"",B2442&amp;"|"&amp;A2442)</f>
        <v/>
      </c>
      <c r="N2442" s="2">
        <f>IF(M2442="","",SUMIFS(TF_Timer,TF_Nokkel,M2442,TF_Akt,C2442))</f>
        <v/>
      </c>
      <c r="O2442" s="2">
        <f>IF(M2442="","",IF(AND(N2442=_xlfn.MAXIFS(TF_AktSum,TF_Nokkel,M2442),COUNTIFS(M$3:M2441,M2442,N$3:N2441,N2442)=0),M2442,""))</f>
        <v/>
      </c>
    </row>
    <row r="2443">
      <c r="A2443" s="34" t="n"/>
      <c r="B2443" s="35" t="n"/>
      <c r="C2443" s="35" t="n"/>
      <c r="D2443" s="35" t="n"/>
      <c r="E2443" s="35" t="n"/>
      <c r="F2443" s="36" t="n"/>
      <c r="G2443" s="35" t="n"/>
      <c r="H2443" s="30">
        <f>IF(L2443="","",INDEX(SkiftNavn,L2443))</f>
        <v/>
      </c>
      <c r="I2443" s="30">
        <f>IF(OR(A2443="",L2443=""),"",IF(MOD(A2443-INDEX(SkiftStart,L2443),Syklus)&lt;DagK,"Kveld",IF(MOD(A2443-INDEX(SkiftStart,L2443),Syklus)&lt;DagK+DagH,"Helg",IF(MOD(A2443-INDEX(SkiftStart,L2443),Syklus)&lt;DagK+DagH+DagD,"Dag","Fri"))))</f>
        <v/>
      </c>
      <c r="J2443" s="30">
        <f>IF(I2443="Fri","Ja","")</f>
        <v/>
      </c>
      <c r="K2443" s="30">
        <f>IF(B2443="","",IF(L2443="","Ukjent tekniker",IF(ISNA(MATCH(C2443,Aktiviteter,0)),"Ukjent aktivitet",IF(AND(INDEX(AktRolle,MATCH(C2443,Aktiviteter,0))&amp;""&lt;&gt;"",ISERROR(SEARCH(INDEX(AktRolle,MATCH(C2443,Aktiviteter,0))&amp;"",INDEX(TekRoller,MATCH(B2443,Teknikere,0))))),"Mangler rollen "&amp;INDEX(AktRolle,MATCH(C2443,Aktiviteter,0))&amp;"",IF(AND(C2443="LMS",F2443&gt;0,OR(D2443="",E2443="")),"Mangler maskin eller arbeid",IF(AND(OR(C2443="LMS",C2443="Mod"),D2443&lt;&gt;""),IF(IFERROR(INDEX(MaskinStatus,MATCH(D2443,Maskiner,0)),"")="I dokk","","Maskinen er ikke i dokk"),""))))))</f>
        <v/>
      </c>
      <c r="L2443" s="2">
        <f>IF(B2443="","",IFERROR(INT((MATCH(B2443,Teknikere,0)-1)/18)+1,""))</f>
        <v/>
      </c>
      <c r="M2443" s="2">
        <f>IF(OR(A2443="",B2443=""),"",B2443&amp;"|"&amp;A2443)</f>
        <v/>
      </c>
      <c r="N2443" s="2">
        <f>IF(M2443="","",SUMIFS(TF_Timer,TF_Nokkel,M2443,TF_Akt,C2443))</f>
        <v/>
      </c>
      <c r="O2443" s="2">
        <f>IF(M2443="","",IF(AND(N2443=_xlfn.MAXIFS(TF_AktSum,TF_Nokkel,M2443),COUNTIFS(M$3:M2442,M2443,N$3:N2442,N2443)=0),M2443,""))</f>
        <v/>
      </c>
    </row>
    <row r="2444">
      <c r="A2444" s="34" t="n"/>
      <c r="B2444" s="35" t="n"/>
      <c r="C2444" s="35" t="n"/>
      <c r="D2444" s="35" t="n"/>
      <c r="E2444" s="35" t="n"/>
      <c r="F2444" s="36" t="n"/>
      <c r="G2444" s="35" t="n"/>
      <c r="H2444" s="30">
        <f>IF(L2444="","",INDEX(SkiftNavn,L2444))</f>
        <v/>
      </c>
      <c r="I2444" s="30">
        <f>IF(OR(A2444="",L2444=""),"",IF(MOD(A2444-INDEX(SkiftStart,L2444),Syklus)&lt;DagK,"Kveld",IF(MOD(A2444-INDEX(SkiftStart,L2444),Syklus)&lt;DagK+DagH,"Helg",IF(MOD(A2444-INDEX(SkiftStart,L2444),Syklus)&lt;DagK+DagH+DagD,"Dag","Fri"))))</f>
        <v/>
      </c>
      <c r="J2444" s="30">
        <f>IF(I2444="Fri","Ja","")</f>
        <v/>
      </c>
      <c r="K2444" s="30">
        <f>IF(B2444="","",IF(L2444="","Ukjent tekniker",IF(ISNA(MATCH(C2444,Aktiviteter,0)),"Ukjent aktivitet",IF(AND(INDEX(AktRolle,MATCH(C2444,Aktiviteter,0))&amp;""&lt;&gt;"",ISERROR(SEARCH(INDEX(AktRolle,MATCH(C2444,Aktiviteter,0))&amp;"",INDEX(TekRoller,MATCH(B2444,Teknikere,0))))),"Mangler rollen "&amp;INDEX(AktRolle,MATCH(C2444,Aktiviteter,0))&amp;"",IF(AND(C2444="LMS",F2444&gt;0,OR(D2444="",E2444="")),"Mangler maskin eller arbeid",IF(AND(OR(C2444="LMS",C2444="Mod"),D2444&lt;&gt;""),IF(IFERROR(INDEX(MaskinStatus,MATCH(D2444,Maskiner,0)),"")="I dokk","","Maskinen er ikke i dokk"),""))))))</f>
        <v/>
      </c>
      <c r="L2444" s="2">
        <f>IF(B2444="","",IFERROR(INT((MATCH(B2444,Teknikere,0)-1)/18)+1,""))</f>
        <v/>
      </c>
      <c r="M2444" s="2">
        <f>IF(OR(A2444="",B2444=""),"",B2444&amp;"|"&amp;A2444)</f>
        <v/>
      </c>
      <c r="N2444" s="2">
        <f>IF(M2444="","",SUMIFS(TF_Timer,TF_Nokkel,M2444,TF_Akt,C2444))</f>
        <v/>
      </c>
      <c r="O2444" s="2">
        <f>IF(M2444="","",IF(AND(N2444=_xlfn.MAXIFS(TF_AktSum,TF_Nokkel,M2444),COUNTIFS(M$3:M2443,M2444,N$3:N2443,N2444)=0),M2444,""))</f>
        <v/>
      </c>
    </row>
    <row r="2445">
      <c r="A2445" s="34" t="n"/>
      <c r="B2445" s="35" t="n"/>
      <c r="C2445" s="35" t="n"/>
      <c r="D2445" s="35" t="n"/>
      <c r="E2445" s="35" t="n"/>
      <c r="F2445" s="36" t="n"/>
      <c r="G2445" s="35" t="n"/>
      <c r="H2445" s="30">
        <f>IF(L2445="","",INDEX(SkiftNavn,L2445))</f>
        <v/>
      </c>
      <c r="I2445" s="30">
        <f>IF(OR(A2445="",L2445=""),"",IF(MOD(A2445-INDEX(SkiftStart,L2445),Syklus)&lt;DagK,"Kveld",IF(MOD(A2445-INDEX(SkiftStart,L2445),Syklus)&lt;DagK+DagH,"Helg",IF(MOD(A2445-INDEX(SkiftStart,L2445),Syklus)&lt;DagK+DagH+DagD,"Dag","Fri"))))</f>
        <v/>
      </c>
      <c r="J2445" s="30">
        <f>IF(I2445="Fri","Ja","")</f>
        <v/>
      </c>
      <c r="K2445" s="30">
        <f>IF(B2445="","",IF(L2445="","Ukjent tekniker",IF(ISNA(MATCH(C2445,Aktiviteter,0)),"Ukjent aktivitet",IF(AND(INDEX(AktRolle,MATCH(C2445,Aktiviteter,0))&amp;""&lt;&gt;"",ISERROR(SEARCH(INDEX(AktRolle,MATCH(C2445,Aktiviteter,0))&amp;"",INDEX(TekRoller,MATCH(B2445,Teknikere,0))))),"Mangler rollen "&amp;INDEX(AktRolle,MATCH(C2445,Aktiviteter,0))&amp;"",IF(AND(C2445="LMS",F2445&gt;0,OR(D2445="",E2445="")),"Mangler maskin eller arbeid",IF(AND(OR(C2445="LMS",C2445="Mod"),D2445&lt;&gt;""),IF(IFERROR(INDEX(MaskinStatus,MATCH(D2445,Maskiner,0)),"")="I dokk","","Maskinen er ikke i dokk"),""))))))</f>
        <v/>
      </c>
      <c r="L2445" s="2">
        <f>IF(B2445="","",IFERROR(INT((MATCH(B2445,Teknikere,0)-1)/18)+1,""))</f>
        <v/>
      </c>
      <c r="M2445" s="2">
        <f>IF(OR(A2445="",B2445=""),"",B2445&amp;"|"&amp;A2445)</f>
        <v/>
      </c>
      <c r="N2445" s="2">
        <f>IF(M2445="","",SUMIFS(TF_Timer,TF_Nokkel,M2445,TF_Akt,C2445))</f>
        <v/>
      </c>
      <c r="O2445" s="2">
        <f>IF(M2445="","",IF(AND(N2445=_xlfn.MAXIFS(TF_AktSum,TF_Nokkel,M2445),COUNTIFS(M$3:M2444,M2445,N$3:N2444,N2445)=0),M2445,""))</f>
        <v/>
      </c>
    </row>
    <row r="2446">
      <c r="A2446" s="34" t="n"/>
      <c r="B2446" s="35" t="n"/>
      <c r="C2446" s="35" t="n"/>
      <c r="D2446" s="35" t="n"/>
      <c r="E2446" s="35" t="n"/>
      <c r="F2446" s="36" t="n"/>
      <c r="G2446" s="35" t="n"/>
      <c r="H2446" s="30">
        <f>IF(L2446="","",INDEX(SkiftNavn,L2446))</f>
        <v/>
      </c>
      <c r="I2446" s="30">
        <f>IF(OR(A2446="",L2446=""),"",IF(MOD(A2446-INDEX(SkiftStart,L2446),Syklus)&lt;DagK,"Kveld",IF(MOD(A2446-INDEX(SkiftStart,L2446),Syklus)&lt;DagK+DagH,"Helg",IF(MOD(A2446-INDEX(SkiftStart,L2446),Syklus)&lt;DagK+DagH+DagD,"Dag","Fri"))))</f>
        <v/>
      </c>
      <c r="J2446" s="30">
        <f>IF(I2446="Fri","Ja","")</f>
        <v/>
      </c>
      <c r="K2446" s="30">
        <f>IF(B2446="","",IF(L2446="","Ukjent tekniker",IF(ISNA(MATCH(C2446,Aktiviteter,0)),"Ukjent aktivitet",IF(AND(INDEX(AktRolle,MATCH(C2446,Aktiviteter,0))&amp;""&lt;&gt;"",ISERROR(SEARCH(INDEX(AktRolle,MATCH(C2446,Aktiviteter,0))&amp;"",INDEX(TekRoller,MATCH(B2446,Teknikere,0))))),"Mangler rollen "&amp;INDEX(AktRolle,MATCH(C2446,Aktiviteter,0))&amp;"",IF(AND(C2446="LMS",F2446&gt;0,OR(D2446="",E2446="")),"Mangler maskin eller arbeid",IF(AND(OR(C2446="LMS",C2446="Mod"),D2446&lt;&gt;""),IF(IFERROR(INDEX(MaskinStatus,MATCH(D2446,Maskiner,0)),"")="I dokk","","Maskinen er ikke i dokk"),""))))))</f>
        <v/>
      </c>
      <c r="L2446" s="2">
        <f>IF(B2446="","",IFERROR(INT((MATCH(B2446,Teknikere,0)-1)/18)+1,""))</f>
        <v/>
      </c>
      <c r="M2446" s="2">
        <f>IF(OR(A2446="",B2446=""),"",B2446&amp;"|"&amp;A2446)</f>
        <v/>
      </c>
      <c r="N2446" s="2">
        <f>IF(M2446="","",SUMIFS(TF_Timer,TF_Nokkel,M2446,TF_Akt,C2446))</f>
        <v/>
      </c>
      <c r="O2446" s="2">
        <f>IF(M2446="","",IF(AND(N2446=_xlfn.MAXIFS(TF_AktSum,TF_Nokkel,M2446),COUNTIFS(M$3:M2445,M2446,N$3:N2445,N2446)=0),M2446,""))</f>
        <v/>
      </c>
    </row>
    <row r="2447">
      <c r="A2447" s="34" t="n"/>
      <c r="B2447" s="35" t="n"/>
      <c r="C2447" s="35" t="n"/>
      <c r="D2447" s="35" t="n"/>
      <c r="E2447" s="35" t="n"/>
      <c r="F2447" s="36" t="n"/>
      <c r="G2447" s="35" t="n"/>
      <c r="H2447" s="30">
        <f>IF(L2447="","",INDEX(SkiftNavn,L2447))</f>
        <v/>
      </c>
      <c r="I2447" s="30">
        <f>IF(OR(A2447="",L2447=""),"",IF(MOD(A2447-INDEX(SkiftStart,L2447),Syklus)&lt;DagK,"Kveld",IF(MOD(A2447-INDEX(SkiftStart,L2447),Syklus)&lt;DagK+DagH,"Helg",IF(MOD(A2447-INDEX(SkiftStart,L2447),Syklus)&lt;DagK+DagH+DagD,"Dag","Fri"))))</f>
        <v/>
      </c>
      <c r="J2447" s="30">
        <f>IF(I2447="Fri","Ja","")</f>
        <v/>
      </c>
      <c r="K2447" s="30">
        <f>IF(B2447="","",IF(L2447="","Ukjent tekniker",IF(ISNA(MATCH(C2447,Aktiviteter,0)),"Ukjent aktivitet",IF(AND(INDEX(AktRolle,MATCH(C2447,Aktiviteter,0))&amp;""&lt;&gt;"",ISERROR(SEARCH(INDEX(AktRolle,MATCH(C2447,Aktiviteter,0))&amp;"",INDEX(TekRoller,MATCH(B2447,Teknikere,0))))),"Mangler rollen "&amp;INDEX(AktRolle,MATCH(C2447,Aktiviteter,0))&amp;"",IF(AND(C2447="LMS",F2447&gt;0,OR(D2447="",E2447="")),"Mangler maskin eller arbeid",IF(AND(OR(C2447="LMS",C2447="Mod"),D2447&lt;&gt;""),IF(IFERROR(INDEX(MaskinStatus,MATCH(D2447,Maskiner,0)),"")="I dokk","","Maskinen er ikke i dokk"),""))))))</f>
        <v/>
      </c>
      <c r="L2447" s="2">
        <f>IF(B2447="","",IFERROR(INT((MATCH(B2447,Teknikere,0)-1)/18)+1,""))</f>
        <v/>
      </c>
      <c r="M2447" s="2">
        <f>IF(OR(A2447="",B2447=""),"",B2447&amp;"|"&amp;A2447)</f>
        <v/>
      </c>
      <c r="N2447" s="2">
        <f>IF(M2447="","",SUMIFS(TF_Timer,TF_Nokkel,M2447,TF_Akt,C2447))</f>
        <v/>
      </c>
      <c r="O2447" s="2">
        <f>IF(M2447="","",IF(AND(N2447=_xlfn.MAXIFS(TF_AktSum,TF_Nokkel,M2447),COUNTIFS(M$3:M2446,M2447,N$3:N2446,N2447)=0),M2447,""))</f>
        <v/>
      </c>
    </row>
    <row r="2448">
      <c r="A2448" s="34" t="n"/>
      <c r="B2448" s="35" t="n"/>
      <c r="C2448" s="35" t="n"/>
      <c r="D2448" s="35" t="n"/>
      <c r="E2448" s="35" t="n"/>
      <c r="F2448" s="36" t="n"/>
      <c r="G2448" s="35" t="n"/>
      <c r="H2448" s="30">
        <f>IF(L2448="","",INDEX(SkiftNavn,L2448))</f>
        <v/>
      </c>
      <c r="I2448" s="30">
        <f>IF(OR(A2448="",L2448=""),"",IF(MOD(A2448-INDEX(SkiftStart,L2448),Syklus)&lt;DagK,"Kveld",IF(MOD(A2448-INDEX(SkiftStart,L2448),Syklus)&lt;DagK+DagH,"Helg",IF(MOD(A2448-INDEX(SkiftStart,L2448),Syklus)&lt;DagK+DagH+DagD,"Dag","Fri"))))</f>
        <v/>
      </c>
      <c r="J2448" s="30">
        <f>IF(I2448="Fri","Ja","")</f>
        <v/>
      </c>
      <c r="K2448" s="30">
        <f>IF(B2448="","",IF(L2448="","Ukjent tekniker",IF(ISNA(MATCH(C2448,Aktiviteter,0)),"Ukjent aktivitet",IF(AND(INDEX(AktRolle,MATCH(C2448,Aktiviteter,0))&amp;""&lt;&gt;"",ISERROR(SEARCH(INDEX(AktRolle,MATCH(C2448,Aktiviteter,0))&amp;"",INDEX(TekRoller,MATCH(B2448,Teknikere,0))))),"Mangler rollen "&amp;INDEX(AktRolle,MATCH(C2448,Aktiviteter,0))&amp;"",IF(AND(C2448="LMS",F2448&gt;0,OR(D2448="",E2448="")),"Mangler maskin eller arbeid",IF(AND(OR(C2448="LMS",C2448="Mod"),D2448&lt;&gt;""),IF(IFERROR(INDEX(MaskinStatus,MATCH(D2448,Maskiner,0)),"")="I dokk","","Maskinen er ikke i dokk"),""))))))</f>
        <v/>
      </c>
      <c r="L2448" s="2">
        <f>IF(B2448="","",IFERROR(INT((MATCH(B2448,Teknikere,0)-1)/18)+1,""))</f>
        <v/>
      </c>
      <c r="M2448" s="2">
        <f>IF(OR(A2448="",B2448=""),"",B2448&amp;"|"&amp;A2448)</f>
        <v/>
      </c>
      <c r="N2448" s="2">
        <f>IF(M2448="","",SUMIFS(TF_Timer,TF_Nokkel,M2448,TF_Akt,C2448))</f>
        <v/>
      </c>
      <c r="O2448" s="2">
        <f>IF(M2448="","",IF(AND(N2448=_xlfn.MAXIFS(TF_AktSum,TF_Nokkel,M2448),COUNTIFS(M$3:M2447,M2448,N$3:N2447,N2448)=0),M2448,""))</f>
        <v/>
      </c>
    </row>
    <row r="2449">
      <c r="A2449" s="34" t="n"/>
      <c r="B2449" s="35" t="n"/>
      <c r="C2449" s="35" t="n"/>
      <c r="D2449" s="35" t="n"/>
      <c r="E2449" s="35" t="n"/>
      <c r="F2449" s="36" t="n"/>
      <c r="G2449" s="35" t="n"/>
      <c r="H2449" s="30">
        <f>IF(L2449="","",INDEX(SkiftNavn,L2449))</f>
        <v/>
      </c>
      <c r="I2449" s="30">
        <f>IF(OR(A2449="",L2449=""),"",IF(MOD(A2449-INDEX(SkiftStart,L2449),Syklus)&lt;DagK,"Kveld",IF(MOD(A2449-INDEX(SkiftStart,L2449),Syklus)&lt;DagK+DagH,"Helg",IF(MOD(A2449-INDEX(SkiftStart,L2449),Syklus)&lt;DagK+DagH+DagD,"Dag","Fri"))))</f>
        <v/>
      </c>
      <c r="J2449" s="30">
        <f>IF(I2449="Fri","Ja","")</f>
        <v/>
      </c>
      <c r="K2449" s="30">
        <f>IF(B2449="","",IF(L2449="","Ukjent tekniker",IF(ISNA(MATCH(C2449,Aktiviteter,0)),"Ukjent aktivitet",IF(AND(INDEX(AktRolle,MATCH(C2449,Aktiviteter,0))&amp;""&lt;&gt;"",ISERROR(SEARCH(INDEX(AktRolle,MATCH(C2449,Aktiviteter,0))&amp;"",INDEX(TekRoller,MATCH(B2449,Teknikere,0))))),"Mangler rollen "&amp;INDEX(AktRolle,MATCH(C2449,Aktiviteter,0))&amp;"",IF(AND(C2449="LMS",F2449&gt;0,OR(D2449="",E2449="")),"Mangler maskin eller arbeid",IF(AND(OR(C2449="LMS",C2449="Mod"),D2449&lt;&gt;""),IF(IFERROR(INDEX(MaskinStatus,MATCH(D2449,Maskiner,0)),"")="I dokk","","Maskinen er ikke i dokk"),""))))))</f>
        <v/>
      </c>
      <c r="L2449" s="2">
        <f>IF(B2449="","",IFERROR(INT((MATCH(B2449,Teknikere,0)-1)/18)+1,""))</f>
        <v/>
      </c>
      <c r="M2449" s="2">
        <f>IF(OR(A2449="",B2449=""),"",B2449&amp;"|"&amp;A2449)</f>
        <v/>
      </c>
      <c r="N2449" s="2">
        <f>IF(M2449="","",SUMIFS(TF_Timer,TF_Nokkel,M2449,TF_Akt,C2449))</f>
        <v/>
      </c>
      <c r="O2449" s="2">
        <f>IF(M2449="","",IF(AND(N2449=_xlfn.MAXIFS(TF_AktSum,TF_Nokkel,M2449),COUNTIFS(M$3:M2448,M2449,N$3:N2448,N2449)=0),M2449,""))</f>
        <v/>
      </c>
    </row>
    <row r="2450">
      <c r="A2450" s="34" t="n"/>
      <c r="B2450" s="35" t="n"/>
      <c r="C2450" s="35" t="n"/>
      <c r="D2450" s="35" t="n"/>
      <c r="E2450" s="35" t="n"/>
      <c r="F2450" s="36" t="n"/>
      <c r="G2450" s="35" t="n"/>
      <c r="H2450" s="30">
        <f>IF(L2450="","",INDEX(SkiftNavn,L2450))</f>
        <v/>
      </c>
      <c r="I2450" s="30">
        <f>IF(OR(A2450="",L2450=""),"",IF(MOD(A2450-INDEX(SkiftStart,L2450),Syklus)&lt;DagK,"Kveld",IF(MOD(A2450-INDEX(SkiftStart,L2450),Syklus)&lt;DagK+DagH,"Helg",IF(MOD(A2450-INDEX(SkiftStart,L2450),Syklus)&lt;DagK+DagH+DagD,"Dag","Fri"))))</f>
        <v/>
      </c>
      <c r="J2450" s="30">
        <f>IF(I2450="Fri","Ja","")</f>
        <v/>
      </c>
      <c r="K2450" s="30">
        <f>IF(B2450="","",IF(L2450="","Ukjent tekniker",IF(ISNA(MATCH(C2450,Aktiviteter,0)),"Ukjent aktivitet",IF(AND(INDEX(AktRolle,MATCH(C2450,Aktiviteter,0))&amp;""&lt;&gt;"",ISERROR(SEARCH(INDEX(AktRolle,MATCH(C2450,Aktiviteter,0))&amp;"",INDEX(TekRoller,MATCH(B2450,Teknikere,0))))),"Mangler rollen "&amp;INDEX(AktRolle,MATCH(C2450,Aktiviteter,0))&amp;"",IF(AND(C2450="LMS",F2450&gt;0,OR(D2450="",E2450="")),"Mangler maskin eller arbeid",IF(AND(OR(C2450="LMS",C2450="Mod"),D2450&lt;&gt;""),IF(IFERROR(INDEX(MaskinStatus,MATCH(D2450,Maskiner,0)),"")="I dokk","","Maskinen er ikke i dokk"),""))))))</f>
        <v/>
      </c>
      <c r="L2450" s="2">
        <f>IF(B2450="","",IFERROR(INT((MATCH(B2450,Teknikere,0)-1)/18)+1,""))</f>
        <v/>
      </c>
      <c r="M2450" s="2">
        <f>IF(OR(A2450="",B2450=""),"",B2450&amp;"|"&amp;A2450)</f>
        <v/>
      </c>
      <c r="N2450" s="2">
        <f>IF(M2450="","",SUMIFS(TF_Timer,TF_Nokkel,M2450,TF_Akt,C2450))</f>
        <v/>
      </c>
      <c r="O2450" s="2">
        <f>IF(M2450="","",IF(AND(N2450=_xlfn.MAXIFS(TF_AktSum,TF_Nokkel,M2450),COUNTIFS(M$3:M2449,M2450,N$3:N2449,N2450)=0),M2450,""))</f>
        <v/>
      </c>
    </row>
    <row r="2451">
      <c r="A2451" s="34" t="n"/>
      <c r="B2451" s="35" t="n"/>
      <c r="C2451" s="35" t="n"/>
      <c r="D2451" s="35" t="n"/>
      <c r="E2451" s="35" t="n"/>
      <c r="F2451" s="36" t="n"/>
      <c r="G2451" s="35" t="n"/>
      <c r="H2451" s="30">
        <f>IF(L2451="","",INDEX(SkiftNavn,L2451))</f>
        <v/>
      </c>
      <c r="I2451" s="30">
        <f>IF(OR(A2451="",L2451=""),"",IF(MOD(A2451-INDEX(SkiftStart,L2451),Syklus)&lt;DagK,"Kveld",IF(MOD(A2451-INDEX(SkiftStart,L2451),Syklus)&lt;DagK+DagH,"Helg",IF(MOD(A2451-INDEX(SkiftStart,L2451),Syklus)&lt;DagK+DagH+DagD,"Dag","Fri"))))</f>
        <v/>
      </c>
      <c r="J2451" s="30">
        <f>IF(I2451="Fri","Ja","")</f>
        <v/>
      </c>
      <c r="K2451" s="30">
        <f>IF(B2451="","",IF(L2451="","Ukjent tekniker",IF(ISNA(MATCH(C2451,Aktiviteter,0)),"Ukjent aktivitet",IF(AND(INDEX(AktRolle,MATCH(C2451,Aktiviteter,0))&amp;""&lt;&gt;"",ISERROR(SEARCH(INDEX(AktRolle,MATCH(C2451,Aktiviteter,0))&amp;"",INDEX(TekRoller,MATCH(B2451,Teknikere,0))))),"Mangler rollen "&amp;INDEX(AktRolle,MATCH(C2451,Aktiviteter,0))&amp;"",IF(AND(C2451="LMS",F2451&gt;0,OR(D2451="",E2451="")),"Mangler maskin eller arbeid",IF(AND(OR(C2451="LMS",C2451="Mod"),D2451&lt;&gt;""),IF(IFERROR(INDEX(MaskinStatus,MATCH(D2451,Maskiner,0)),"")="I dokk","","Maskinen er ikke i dokk"),""))))))</f>
        <v/>
      </c>
      <c r="L2451" s="2">
        <f>IF(B2451="","",IFERROR(INT((MATCH(B2451,Teknikere,0)-1)/18)+1,""))</f>
        <v/>
      </c>
      <c r="M2451" s="2">
        <f>IF(OR(A2451="",B2451=""),"",B2451&amp;"|"&amp;A2451)</f>
        <v/>
      </c>
      <c r="N2451" s="2">
        <f>IF(M2451="","",SUMIFS(TF_Timer,TF_Nokkel,M2451,TF_Akt,C2451))</f>
        <v/>
      </c>
      <c r="O2451" s="2">
        <f>IF(M2451="","",IF(AND(N2451=_xlfn.MAXIFS(TF_AktSum,TF_Nokkel,M2451),COUNTIFS(M$3:M2450,M2451,N$3:N2450,N2451)=0),M2451,""))</f>
        <v/>
      </c>
    </row>
    <row r="2452">
      <c r="A2452" s="34" t="n"/>
      <c r="B2452" s="35" t="n"/>
      <c r="C2452" s="35" t="n"/>
      <c r="D2452" s="35" t="n"/>
      <c r="E2452" s="35" t="n"/>
      <c r="F2452" s="36" t="n"/>
      <c r="G2452" s="35" t="n"/>
      <c r="H2452" s="30">
        <f>IF(L2452="","",INDEX(SkiftNavn,L2452))</f>
        <v/>
      </c>
      <c r="I2452" s="30">
        <f>IF(OR(A2452="",L2452=""),"",IF(MOD(A2452-INDEX(SkiftStart,L2452),Syklus)&lt;DagK,"Kveld",IF(MOD(A2452-INDEX(SkiftStart,L2452),Syklus)&lt;DagK+DagH,"Helg",IF(MOD(A2452-INDEX(SkiftStart,L2452),Syklus)&lt;DagK+DagH+DagD,"Dag","Fri"))))</f>
        <v/>
      </c>
      <c r="J2452" s="30">
        <f>IF(I2452="Fri","Ja","")</f>
        <v/>
      </c>
      <c r="K2452" s="30">
        <f>IF(B2452="","",IF(L2452="","Ukjent tekniker",IF(ISNA(MATCH(C2452,Aktiviteter,0)),"Ukjent aktivitet",IF(AND(INDEX(AktRolle,MATCH(C2452,Aktiviteter,0))&amp;""&lt;&gt;"",ISERROR(SEARCH(INDEX(AktRolle,MATCH(C2452,Aktiviteter,0))&amp;"",INDEX(TekRoller,MATCH(B2452,Teknikere,0))))),"Mangler rollen "&amp;INDEX(AktRolle,MATCH(C2452,Aktiviteter,0))&amp;"",IF(AND(C2452="LMS",F2452&gt;0,OR(D2452="",E2452="")),"Mangler maskin eller arbeid",IF(AND(OR(C2452="LMS",C2452="Mod"),D2452&lt;&gt;""),IF(IFERROR(INDEX(MaskinStatus,MATCH(D2452,Maskiner,0)),"")="I dokk","","Maskinen er ikke i dokk"),""))))))</f>
        <v/>
      </c>
      <c r="L2452" s="2">
        <f>IF(B2452="","",IFERROR(INT((MATCH(B2452,Teknikere,0)-1)/18)+1,""))</f>
        <v/>
      </c>
      <c r="M2452" s="2">
        <f>IF(OR(A2452="",B2452=""),"",B2452&amp;"|"&amp;A2452)</f>
        <v/>
      </c>
      <c r="N2452" s="2">
        <f>IF(M2452="","",SUMIFS(TF_Timer,TF_Nokkel,M2452,TF_Akt,C2452))</f>
        <v/>
      </c>
      <c r="O2452" s="2">
        <f>IF(M2452="","",IF(AND(N2452=_xlfn.MAXIFS(TF_AktSum,TF_Nokkel,M2452),COUNTIFS(M$3:M2451,M2452,N$3:N2451,N2452)=0),M2452,""))</f>
        <v/>
      </c>
    </row>
    <row r="2453">
      <c r="A2453" s="34" t="n"/>
      <c r="B2453" s="35" t="n"/>
      <c r="C2453" s="35" t="n"/>
      <c r="D2453" s="35" t="n"/>
      <c r="E2453" s="35" t="n"/>
      <c r="F2453" s="36" t="n"/>
      <c r="G2453" s="35" t="n"/>
      <c r="H2453" s="30">
        <f>IF(L2453="","",INDEX(SkiftNavn,L2453))</f>
        <v/>
      </c>
      <c r="I2453" s="30">
        <f>IF(OR(A2453="",L2453=""),"",IF(MOD(A2453-INDEX(SkiftStart,L2453),Syklus)&lt;DagK,"Kveld",IF(MOD(A2453-INDEX(SkiftStart,L2453),Syklus)&lt;DagK+DagH,"Helg",IF(MOD(A2453-INDEX(SkiftStart,L2453),Syklus)&lt;DagK+DagH+DagD,"Dag","Fri"))))</f>
        <v/>
      </c>
      <c r="J2453" s="30">
        <f>IF(I2453="Fri","Ja","")</f>
        <v/>
      </c>
      <c r="K2453" s="30">
        <f>IF(B2453="","",IF(L2453="","Ukjent tekniker",IF(ISNA(MATCH(C2453,Aktiviteter,0)),"Ukjent aktivitet",IF(AND(INDEX(AktRolle,MATCH(C2453,Aktiviteter,0))&amp;""&lt;&gt;"",ISERROR(SEARCH(INDEX(AktRolle,MATCH(C2453,Aktiviteter,0))&amp;"",INDEX(TekRoller,MATCH(B2453,Teknikere,0))))),"Mangler rollen "&amp;INDEX(AktRolle,MATCH(C2453,Aktiviteter,0))&amp;"",IF(AND(C2453="LMS",F2453&gt;0,OR(D2453="",E2453="")),"Mangler maskin eller arbeid",IF(AND(OR(C2453="LMS",C2453="Mod"),D2453&lt;&gt;""),IF(IFERROR(INDEX(MaskinStatus,MATCH(D2453,Maskiner,0)),"")="I dokk","","Maskinen er ikke i dokk"),""))))))</f>
        <v/>
      </c>
      <c r="L2453" s="2">
        <f>IF(B2453="","",IFERROR(INT((MATCH(B2453,Teknikere,0)-1)/18)+1,""))</f>
        <v/>
      </c>
      <c r="M2453" s="2">
        <f>IF(OR(A2453="",B2453=""),"",B2453&amp;"|"&amp;A2453)</f>
        <v/>
      </c>
      <c r="N2453" s="2">
        <f>IF(M2453="","",SUMIFS(TF_Timer,TF_Nokkel,M2453,TF_Akt,C2453))</f>
        <v/>
      </c>
      <c r="O2453" s="2">
        <f>IF(M2453="","",IF(AND(N2453=_xlfn.MAXIFS(TF_AktSum,TF_Nokkel,M2453),COUNTIFS(M$3:M2452,M2453,N$3:N2452,N2453)=0),M2453,""))</f>
        <v/>
      </c>
    </row>
    <row r="2454">
      <c r="A2454" s="34" t="n"/>
      <c r="B2454" s="35" t="n"/>
      <c r="C2454" s="35" t="n"/>
      <c r="D2454" s="35" t="n"/>
      <c r="E2454" s="35" t="n"/>
      <c r="F2454" s="36" t="n"/>
      <c r="G2454" s="35" t="n"/>
      <c r="H2454" s="30">
        <f>IF(L2454="","",INDEX(SkiftNavn,L2454))</f>
        <v/>
      </c>
      <c r="I2454" s="30">
        <f>IF(OR(A2454="",L2454=""),"",IF(MOD(A2454-INDEX(SkiftStart,L2454),Syklus)&lt;DagK,"Kveld",IF(MOD(A2454-INDEX(SkiftStart,L2454),Syklus)&lt;DagK+DagH,"Helg",IF(MOD(A2454-INDEX(SkiftStart,L2454),Syklus)&lt;DagK+DagH+DagD,"Dag","Fri"))))</f>
        <v/>
      </c>
      <c r="J2454" s="30">
        <f>IF(I2454="Fri","Ja","")</f>
        <v/>
      </c>
      <c r="K2454" s="30">
        <f>IF(B2454="","",IF(L2454="","Ukjent tekniker",IF(ISNA(MATCH(C2454,Aktiviteter,0)),"Ukjent aktivitet",IF(AND(INDEX(AktRolle,MATCH(C2454,Aktiviteter,0))&amp;""&lt;&gt;"",ISERROR(SEARCH(INDEX(AktRolle,MATCH(C2454,Aktiviteter,0))&amp;"",INDEX(TekRoller,MATCH(B2454,Teknikere,0))))),"Mangler rollen "&amp;INDEX(AktRolle,MATCH(C2454,Aktiviteter,0))&amp;"",IF(AND(C2454="LMS",F2454&gt;0,OR(D2454="",E2454="")),"Mangler maskin eller arbeid",IF(AND(OR(C2454="LMS",C2454="Mod"),D2454&lt;&gt;""),IF(IFERROR(INDEX(MaskinStatus,MATCH(D2454,Maskiner,0)),"")="I dokk","","Maskinen er ikke i dokk"),""))))))</f>
        <v/>
      </c>
      <c r="L2454" s="2">
        <f>IF(B2454="","",IFERROR(INT((MATCH(B2454,Teknikere,0)-1)/18)+1,""))</f>
        <v/>
      </c>
      <c r="M2454" s="2">
        <f>IF(OR(A2454="",B2454=""),"",B2454&amp;"|"&amp;A2454)</f>
        <v/>
      </c>
      <c r="N2454" s="2">
        <f>IF(M2454="","",SUMIFS(TF_Timer,TF_Nokkel,M2454,TF_Akt,C2454))</f>
        <v/>
      </c>
      <c r="O2454" s="2">
        <f>IF(M2454="","",IF(AND(N2454=_xlfn.MAXIFS(TF_AktSum,TF_Nokkel,M2454),COUNTIFS(M$3:M2453,M2454,N$3:N2453,N2454)=0),M2454,""))</f>
        <v/>
      </c>
    </row>
    <row r="2455">
      <c r="A2455" s="34" t="n"/>
      <c r="B2455" s="35" t="n"/>
      <c r="C2455" s="35" t="n"/>
      <c r="D2455" s="35" t="n"/>
      <c r="E2455" s="35" t="n"/>
      <c r="F2455" s="36" t="n"/>
      <c r="G2455" s="35" t="n"/>
      <c r="H2455" s="30">
        <f>IF(L2455="","",INDEX(SkiftNavn,L2455))</f>
        <v/>
      </c>
      <c r="I2455" s="30">
        <f>IF(OR(A2455="",L2455=""),"",IF(MOD(A2455-INDEX(SkiftStart,L2455),Syklus)&lt;DagK,"Kveld",IF(MOD(A2455-INDEX(SkiftStart,L2455),Syklus)&lt;DagK+DagH,"Helg",IF(MOD(A2455-INDEX(SkiftStart,L2455),Syklus)&lt;DagK+DagH+DagD,"Dag","Fri"))))</f>
        <v/>
      </c>
      <c r="J2455" s="30">
        <f>IF(I2455="Fri","Ja","")</f>
        <v/>
      </c>
      <c r="K2455" s="30">
        <f>IF(B2455="","",IF(L2455="","Ukjent tekniker",IF(ISNA(MATCH(C2455,Aktiviteter,0)),"Ukjent aktivitet",IF(AND(INDEX(AktRolle,MATCH(C2455,Aktiviteter,0))&amp;""&lt;&gt;"",ISERROR(SEARCH(INDEX(AktRolle,MATCH(C2455,Aktiviteter,0))&amp;"",INDEX(TekRoller,MATCH(B2455,Teknikere,0))))),"Mangler rollen "&amp;INDEX(AktRolle,MATCH(C2455,Aktiviteter,0))&amp;"",IF(AND(C2455="LMS",F2455&gt;0,OR(D2455="",E2455="")),"Mangler maskin eller arbeid",IF(AND(OR(C2455="LMS",C2455="Mod"),D2455&lt;&gt;""),IF(IFERROR(INDEX(MaskinStatus,MATCH(D2455,Maskiner,0)),"")="I dokk","","Maskinen er ikke i dokk"),""))))))</f>
        <v/>
      </c>
      <c r="L2455" s="2">
        <f>IF(B2455="","",IFERROR(INT((MATCH(B2455,Teknikere,0)-1)/18)+1,""))</f>
        <v/>
      </c>
      <c r="M2455" s="2">
        <f>IF(OR(A2455="",B2455=""),"",B2455&amp;"|"&amp;A2455)</f>
        <v/>
      </c>
      <c r="N2455" s="2">
        <f>IF(M2455="","",SUMIFS(TF_Timer,TF_Nokkel,M2455,TF_Akt,C2455))</f>
        <v/>
      </c>
      <c r="O2455" s="2">
        <f>IF(M2455="","",IF(AND(N2455=_xlfn.MAXIFS(TF_AktSum,TF_Nokkel,M2455),COUNTIFS(M$3:M2454,M2455,N$3:N2454,N2455)=0),M2455,""))</f>
        <v/>
      </c>
    </row>
    <row r="2456">
      <c r="A2456" s="34" t="n"/>
      <c r="B2456" s="35" t="n"/>
      <c r="C2456" s="35" t="n"/>
      <c r="D2456" s="35" t="n"/>
      <c r="E2456" s="35" t="n"/>
      <c r="F2456" s="36" t="n"/>
      <c r="G2456" s="35" t="n"/>
      <c r="H2456" s="30">
        <f>IF(L2456="","",INDEX(SkiftNavn,L2456))</f>
        <v/>
      </c>
      <c r="I2456" s="30">
        <f>IF(OR(A2456="",L2456=""),"",IF(MOD(A2456-INDEX(SkiftStart,L2456),Syklus)&lt;DagK,"Kveld",IF(MOD(A2456-INDEX(SkiftStart,L2456),Syklus)&lt;DagK+DagH,"Helg",IF(MOD(A2456-INDEX(SkiftStart,L2456),Syklus)&lt;DagK+DagH+DagD,"Dag","Fri"))))</f>
        <v/>
      </c>
      <c r="J2456" s="30">
        <f>IF(I2456="Fri","Ja","")</f>
        <v/>
      </c>
      <c r="K2456" s="30">
        <f>IF(B2456="","",IF(L2456="","Ukjent tekniker",IF(ISNA(MATCH(C2456,Aktiviteter,0)),"Ukjent aktivitet",IF(AND(INDEX(AktRolle,MATCH(C2456,Aktiviteter,0))&amp;""&lt;&gt;"",ISERROR(SEARCH(INDEX(AktRolle,MATCH(C2456,Aktiviteter,0))&amp;"",INDEX(TekRoller,MATCH(B2456,Teknikere,0))))),"Mangler rollen "&amp;INDEX(AktRolle,MATCH(C2456,Aktiviteter,0))&amp;"",IF(AND(C2456="LMS",F2456&gt;0,OR(D2456="",E2456="")),"Mangler maskin eller arbeid",IF(AND(OR(C2456="LMS",C2456="Mod"),D2456&lt;&gt;""),IF(IFERROR(INDEX(MaskinStatus,MATCH(D2456,Maskiner,0)),"")="I dokk","","Maskinen er ikke i dokk"),""))))))</f>
        <v/>
      </c>
      <c r="L2456" s="2">
        <f>IF(B2456="","",IFERROR(INT((MATCH(B2456,Teknikere,0)-1)/18)+1,""))</f>
        <v/>
      </c>
      <c r="M2456" s="2">
        <f>IF(OR(A2456="",B2456=""),"",B2456&amp;"|"&amp;A2456)</f>
        <v/>
      </c>
      <c r="N2456" s="2">
        <f>IF(M2456="","",SUMIFS(TF_Timer,TF_Nokkel,M2456,TF_Akt,C2456))</f>
        <v/>
      </c>
      <c r="O2456" s="2">
        <f>IF(M2456="","",IF(AND(N2456=_xlfn.MAXIFS(TF_AktSum,TF_Nokkel,M2456),COUNTIFS(M$3:M2455,M2456,N$3:N2455,N2456)=0),M2456,""))</f>
        <v/>
      </c>
    </row>
    <row r="2457">
      <c r="A2457" s="34" t="n"/>
      <c r="B2457" s="35" t="n"/>
      <c r="C2457" s="35" t="n"/>
      <c r="D2457" s="35" t="n"/>
      <c r="E2457" s="35" t="n"/>
      <c r="F2457" s="36" t="n"/>
      <c r="G2457" s="35" t="n"/>
      <c r="H2457" s="30">
        <f>IF(L2457="","",INDEX(SkiftNavn,L2457))</f>
        <v/>
      </c>
      <c r="I2457" s="30">
        <f>IF(OR(A2457="",L2457=""),"",IF(MOD(A2457-INDEX(SkiftStart,L2457),Syklus)&lt;DagK,"Kveld",IF(MOD(A2457-INDEX(SkiftStart,L2457),Syklus)&lt;DagK+DagH,"Helg",IF(MOD(A2457-INDEX(SkiftStart,L2457),Syklus)&lt;DagK+DagH+DagD,"Dag","Fri"))))</f>
        <v/>
      </c>
      <c r="J2457" s="30">
        <f>IF(I2457="Fri","Ja","")</f>
        <v/>
      </c>
      <c r="K2457" s="30">
        <f>IF(B2457="","",IF(L2457="","Ukjent tekniker",IF(ISNA(MATCH(C2457,Aktiviteter,0)),"Ukjent aktivitet",IF(AND(INDEX(AktRolle,MATCH(C2457,Aktiviteter,0))&amp;""&lt;&gt;"",ISERROR(SEARCH(INDEX(AktRolle,MATCH(C2457,Aktiviteter,0))&amp;"",INDEX(TekRoller,MATCH(B2457,Teknikere,0))))),"Mangler rollen "&amp;INDEX(AktRolle,MATCH(C2457,Aktiviteter,0))&amp;"",IF(AND(C2457="LMS",F2457&gt;0,OR(D2457="",E2457="")),"Mangler maskin eller arbeid",IF(AND(OR(C2457="LMS",C2457="Mod"),D2457&lt;&gt;""),IF(IFERROR(INDEX(MaskinStatus,MATCH(D2457,Maskiner,0)),"")="I dokk","","Maskinen er ikke i dokk"),""))))))</f>
        <v/>
      </c>
      <c r="L2457" s="2">
        <f>IF(B2457="","",IFERROR(INT((MATCH(B2457,Teknikere,0)-1)/18)+1,""))</f>
        <v/>
      </c>
      <c r="M2457" s="2">
        <f>IF(OR(A2457="",B2457=""),"",B2457&amp;"|"&amp;A2457)</f>
        <v/>
      </c>
      <c r="N2457" s="2">
        <f>IF(M2457="","",SUMIFS(TF_Timer,TF_Nokkel,M2457,TF_Akt,C2457))</f>
        <v/>
      </c>
      <c r="O2457" s="2">
        <f>IF(M2457="","",IF(AND(N2457=_xlfn.MAXIFS(TF_AktSum,TF_Nokkel,M2457),COUNTIFS(M$3:M2456,M2457,N$3:N2456,N2457)=0),M2457,""))</f>
        <v/>
      </c>
    </row>
    <row r="2458">
      <c r="A2458" s="34" t="n"/>
      <c r="B2458" s="35" t="n"/>
      <c r="C2458" s="35" t="n"/>
      <c r="D2458" s="35" t="n"/>
      <c r="E2458" s="35" t="n"/>
      <c r="F2458" s="36" t="n"/>
      <c r="G2458" s="35" t="n"/>
      <c r="H2458" s="30">
        <f>IF(L2458="","",INDEX(SkiftNavn,L2458))</f>
        <v/>
      </c>
      <c r="I2458" s="30">
        <f>IF(OR(A2458="",L2458=""),"",IF(MOD(A2458-INDEX(SkiftStart,L2458),Syklus)&lt;DagK,"Kveld",IF(MOD(A2458-INDEX(SkiftStart,L2458),Syklus)&lt;DagK+DagH,"Helg",IF(MOD(A2458-INDEX(SkiftStart,L2458),Syklus)&lt;DagK+DagH+DagD,"Dag","Fri"))))</f>
        <v/>
      </c>
      <c r="J2458" s="30">
        <f>IF(I2458="Fri","Ja","")</f>
        <v/>
      </c>
      <c r="K2458" s="30">
        <f>IF(B2458="","",IF(L2458="","Ukjent tekniker",IF(ISNA(MATCH(C2458,Aktiviteter,0)),"Ukjent aktivitet",IF(AND(INDEX(AktRolle,MATCH(C2458,Aktiviteter,0))&amp;""&lt;&gt;"",ISERROR(SEARCH(INDEX(AktRolle,MATCH(C2458,Aktiviteter,0))&amp;"",INDEX(TekRoller,MATCH(B2458,Teknikere,0))))),"Mangler rollen "&amp;INDEX(AktRolle,MATCH(C2458,Aktiviteter,0))&amp;"",IF(AND(C2458="LMS",F2458&gt;0,OR(D2458="",E2458="")),"Mangler maskin eller arbeid",IF(AND(OR(C2458="LMS",C2458="Mod"),D2458&lt;&gt;""),IF(IFERROR(INDEX(MaskinStatus,MATCH(D2458,Maskiner,0)),"")="I dokk","","Maskinen er ikke i dokk"),""))))))</f>
        <v/>
      </c>
      <c r="L2458" s="2">
        <f>IF(B2458="","",IFERROR(INT((MATCH(B2458,Teknikere,0)-1)/18)+1,""))</f>
        <v/>
      </c>
      <c r="M2458" s="2">
        <f>IF(OR(A2458="",B2458=""),"",B2458&amp;"|"&amp;A2458)</f>
        <v/>
      </c>
      <c r="N2458" s="2">
        <f>IF(M2458="","",SUMIFS(TF_Timer,TF_Nokkel,M2458,TF_Akt,C2458))</f>
        <v/>
      </c>
      <c r="O2458" s="2">
        <f>IF(M2458="","",IF(AND(N2458=_xlfn.MAXIFS(TF_AktSum,TF_Nokkel,M2458),COUNTIFS(M$3:M2457,M2458,N$3:N2457,N2458)=0),M2458,""))</f>
        <v/>
      </c>
    </row>
    <row r="2459">
      <c r="A2459" s="34" t="n"/>
      <c r="B2459" s="35" t="n"/>
      <c r="C2459" s="35" t="n"/>
      <c r="D2459" s="35" t="n"/>
      <c r="E2459" s="35" t="n"/>
      <c r="F2459" s="36" t="n"/>
      <c r="G2459" s="35" t="n"/>
      <c r="H2459" s="30">
        <f>IF(L2459="","",INDEX(SkiftNavn,L2459))</f>
        <v/>
      </c>
      <c r="I2459" s="30">
        <f>IF(OR(A2459="",L2459=""),"",IF(MOD(A2459-INDEX(SkiftStart,L2459),Syklus)&lt;DagK,"Kveld",IF(MOD(A2459-INDEX(SkiftStart,L2459),Syklus)&lt;DagK+DagH,"Helg",IF(MOD(A2459-INDEX(SkiftStart,L2459),Syklus)&lt;DagK+DagH+DagD,"Dag","Fri"))))</f>
        <v/>
      </c>
      <c r="J2459" s="30">
        <f>IF(I2459="Fri","Ja","")</f>
        <v/>
      </c>
      <c r="K2459" s="30">
        <f>IF(B2459="","",IF(L2459="","Ukjent tekniker",IF(ISNA(MATCH(C2459,Aktiviteter,0)),"Ukjent aktivitet",IF(AND(INDEX(AktRolle,MATCH(C2459,Aktiviteter,0))&amp;""&lt;&gt;"",ISERROR(SEARCH(INDEX(AktRolle,MATCH(C2459,Aktiviteter,0))&amp;"",INDEX(TekRoller,MATCH(B2459,Teknikere,0))))),"Mangler rollen "&amp;INDEX(AktRolle,MATCH(C2459,Aktiviteter,0))&amp;"",IF(AND(C2459="LMS",F2459&gt;0,OR(D2459="",E2459="")),"Mangler maskin eller arbeid",IF(AND(OR(C2459="LMS",C2459="Mod"),D2459&lt;&gt;""),IF(IFERROR(INDEX(MaskinStatus,MATCH(D2459,Maskiner,0)),"")="I dokk","","Maskinen er ikke i dokk"),""))))))</f>
        <v/>
      </c>
      <c r="L2459" s="2">
        <f>IF(B2459="","",IFERROR(INT((MATCH(B2459,Teknikere,0)-1)/18)+1,""))</f>
        <v/>
      </c>
      <c r="M2459" s="2">
        <f>IF(OR(A2459="",B2459=""),"",B2459&amp;"|"&amp;A2459)</f>
        <v/>
      </c>
      <c r="N2459" s="2">
        <f>IF(M2459="","",SUMIFS(TF_Timer,TF_Nokkel,M2459,TF_Akt,C2459))</f>
        <v/>
      </c>
      <c r="O2459" s="2">
        <f>IF(M2459="","",IF(AND(N2459=_xlfn.MAXIFS(TF_AktSum,TF_Nokkel,M2459),COUNTIFS(M$3:M2458,M2459,N$3:N2458,N2459)=0),M2459,""))</f>
        <v/>
      </c>
    </row>
    <row r="2460">
      <c r="A2460" s="34" t="n"/>
      <c r="B2460" s="35" t="n"/>
      <c r="C2460" s="35" t="n"/>
      <c r="D2460" s="35" t="n"/>
      <c r="E2460" s="35" t="n"/>
      <c r="F2460" s="36" t="n"/>
      <c r="G2460" s="35" t="n"/>
      <c r="H2460" s="30">
        <f>IF(L2460="","",INDEX(SkiftNavn,L2460))</f>
        <v/>
      </c>
      <c r="I2460" s="30">
        <f>IF(OR(A2460="",L2460=""),"",IF(MOD(A2460-INDEX(SkiftStart,L2460),Syklus)&lt;DagK,"Kveld",IF(MOD(A2460-INDEX(SkiftStart,L2460),Syklus)&lt;DagK+DagH,"Helg",IF(MOD(A2460-INDEX(SkiftStart,L2460),Syklus)&lt;DagK+DagH+DagD,"Dag","Fri"))))</f>
        <v/>
      </c>
      <c r="J2460" s="30">
        <f>IF(I2460="Fri","Ja","")</f>
        <v/>
      </c>
      <c r="K2460" s="30">
        <f>IF(B2460="","",IF(L2460="","Ukjent tekniker",IF(ISNA(MATCH(C2460,Aktiviteter,0)),"Ukjent aktivitet",IF(AND(INDEX(AktRolle,MATCH(C2460,Aktiviteter,0))&amp;""&lt;&gt;"",ISERROR(SEARCH(INDEX(AktRolle,MATCH(C2460,Aktiviteter,0))&amp;"",INDEX(TekRoller,MATCH(B2460,Teknikere,0))))),"Mangler rollen "&amp;INDEX(AktRolle,MATCH(C2460,Aktiviteter,0))&amp;"",IF(AND(C2460="LMS",F2460&gt;0,OR(D2460="",E2460="")),"Mangler maskin eller arbeid",IF(AND(OR(C2460="LMS",C2460="Mod"),D2460&lt;&gt;""),IF(IFERROR(INDEX(MaskinStatus,MATCH(D2460,Maskiner,0)),"")="I dokk","","Maskinen er ikke i dokk"),""))))))</f>
        <v/>
      </c>
      <c r="L2460" s="2">
        <f>IF(B2460="","",IFERROR(INT((MATCH(B2460,Teknikere,0)-1)/18)+1,""))</f>
        <v/>
      </c>
      <c r="M2460" s="2">
        <f>IF(OR(A2460="",B2460=""),"",B2460&amp;"|"&amp;A2460)</f>
        <v/>
      </c>
      <c r="N2460" s="2">
        <f>IF(M2460="","",SUMIFS(TF_Timer,TF_Nokkel,M2460,TF_Akt,C2460))</f>
        <v/>
      </c>
      <c r="O2460" s="2">
        <f>IF(M2460="","",IF(AND(N2460=_xlfn.MAXIFS(TF_AktSum,TF_Nokkel,M2460),COUNTIFS(M$3:M2459,M2460,N$3:N2459,N2460)=0),M2460,""))</f>
        <v/>
      </c>
    </row>
    <row r="2461">
      <c r="A2461" s="34" t="n"/>
      <c r="B2461" s="35" t="n"/>
      <c r="C2461" s="35" t="n"/>
      <c r="D2461" s="35" t="n"/>
      <c r="E2461" s="35" t="n"/>
      <c r="F2461" s="36" t="n"/>
      <c r="G2461" s="35" t="n"/>
      <c r="H2461" s="30">
        <f>IF(L2461="","",INDEX(SkiftNavn,L2461))</f>
        <v/>
      </c>
      <c r="I2461" s="30">
        <f>IF(OR(A2461="",L2461=""),"",IF(MOD(A2461-INDEX(SkiftStart,L2461),Syklus)&lt;DagK,"Kveld",IF(MOD(A2461-INDEX(SkiftStart,L2461),Syklus)&lt;DagK+DagH,"Helg",IF(MOD(A2461-INDEX(SkiftStart,L2461),Syklus)&lt;DagK+DagH+DagD,"Dag","Fri"))))</f>
        <v/>
      </c>
      <c r="J2461" s="30">
        <f>IF(I2461="Fri","Ja","")</f>
        <v/>
      </c>
      <c r="K2461" s="30">
        <f>IF(B2461="","",IF(L2461="","Ukjent tekniker",IF(ISNA(MATCH(C2461,Aktiviteter,0)),"Ukjent aktivitet",IF(AND(INDEX(AktRolle,MATCH(C2461,Aktiviteter,0))&amp;""&lt;&gt;"",ISERROR(SEARCH(INDEX(AktRolle,MATCH(C2461,Aktiviteter,0))&amp;"",INDEX(TekRoller,MATCH(B2461,Teknikere,0))))),"Mangler rollen "&amp;INDEX(AktRolle,MATCH(C2461,Aktiviteter,0))&amp;"",IF(AND(C2461="LMS",F2461&gt;0,OR(D2461="",E2461="")),"Mangler maskin eller arbeid",IF(AND(OR(C2461="LMS",C2461="Mod"),D2461&lt;&gt;""),IF(IFERROR(INDEX(MaskinStatus,MATCH(D2461,Maskiner,0)),"")="I dokk","","Maskinen er ikke i dokk"),""))))))</f>
        <v/>
      </c>
      <c r="L2461" s="2">
        <f>IF(B2461="","",IFERROR(INT((MATCH(B2461,Teknikere,0)-1)/18)+1,""))</f>
        <v/>
      </c>
      <c r="M2461" s="2">
        <f>IF(OR(A2461="",B2461=""),"",B2461&amp;"|"&amp;A2461)</f>
        <v/>
      </c>
      <c r="N2461" s="2">
        <f>IF(M2461="","",SUMIFS(TF_Timer,TF_Nokkel,M2461,TF_Akt,C2461))</f>
        <v/>
      </c>
      <c r="O2461" s="2">
        <f>IF(M2461="","",IF(AND(N2461=_xlfn.MAXIFS(TF_AktSum,TF_Nokkel,M2461),COUNTIFS(M$3:M2460,M2461,N$3:N2460,N2461)=0),M2461,""))</f>
        <v/>
      </c>
    </row>
    <row r="2462">
      <c r="A2462" s="34" t="n"/>
      <c r="B2462" s="35" t="n"/>
      <c r="C2462" s="35" t="n"/>
      <c r="D2462" s="35" t="n"/>
      <c r="E2462" s="35" t="n"/>
      <c r="F2462" s="36" t="n"/>
      <c r="G2462" s="35" t="n"/>
      <c r="H2462" s="30">
        <f>IF(L2462="","",INDEX(SkiftNavn,L2462))</f>
        <v/>
      </c>
      <c r="I2462" s="30">
        <f>IF(OR(A2462="",L2462=""),"",IF(MOD(A2462-INDEX(SkiftStart,L2462),Syklus)&lt;DagK,"Kveld",IF(MOD(A2462-INDEX(SkiftStart,L2462),Syklus)&lt;DagK+DagH,"Helg",IF(MOD(A2462-INDEX(SkiftStart,L2462),Syklus)&lt;DagK+DagH+DagD,"Dag","Fri"))))</f>
        <v/>
      </c>
      <c r="J2462" s="30">
        <f>IF(I2462="Fri","Ja","")</f>
        <v/>
      </c>
      <c r="K2462" s="30">
        <f>IF(B2462="","",IF(L2462="","Ukjent tekniker",IF(ISNA(MATCH(C2462,Aktiviteter,0)),"Ukjent aktivitet",IF(AND(INDEX(AktRolle,MATCH(C2462,Aktiviteter,0))&amp;""&lt;&gt;"",ISERROR(SEARCH(INDEX(AktRolle,MATCH(C2462,Aktiviteter,0))&amp;"",INDEX(TekRoller,MATCH(B2462,Teknikere,0))))),"Mangler rollen "&amp;INDEX(AktRolle,MATCH(C2462,Aktiviteter,0))&amp;"",IF(AND(C2462="LMS",F2462&gt;0,OR(D2462="",E2462="")),"Mangler maskin eller arbeid",IF(AND(OR(C2462="LMS",C2462="Mod"),D2462&lt;&gt;""),IF(IFERROR(INDEX(MaskinStatus,MATCH(D2462,Maskiner,0)),"")="I dokk","","Maskinen er ikke i dokk"),""))))))</f>
        <v/>
      </c>
      <c r="L2462" s="2">
        <f>IF(B2462="","",IFERROR(INT((MATCH(B2462,Teknikere,0)-1)/18)+1,""))</f>
        <v/>
      </c>
      <c r="M2462" s="2">
        <f>IF(OR(A2462="",B2462=""),"",B2462&amp;"|"&amp;A2462)</f>
        <v/>
      </c>
      <c r="N2462" s="2">
        <f>IF(M2462="","",SUMIFS(TF_Timer,TF_Nokkel,M2462,TF_Akt,C2462))</f>
        <v/>
      </c>
      <c r="O2462" s="2">
        <f>IF(M2462="","",IF(AND(N2462=_xlfn.MAXIFS(TF_AktSum,TF_Nokkel,M2462),COUNTIFS(M$3:M2461,M2462,N$3:N2461,N2462)=0),M2462,""))</f>
        <v/>
      </c>
    </row>
    <row r="2463">
      <c r="A2463" s="34" t="n"/>
      <c r="B2463" s="35" t="n"/>
      <c r="C2463" s="35" t="n"/>
      <c r="D2463" s="35" t="n"/>
      <c r="E2463" s="35" t="n"/>
      <c r="F2463" s="36" t="n"/>
      <c r="G2463" s="35" t="n"/>
      <c r="H2463" s="30">
        <f>IF(L2463="","",INDEX(SkiftNavn,L2463))</f>
        <v/>
      </c>
      <c r="I2463" s="30">
        <f>IF(OR(A2463="",L2463=""),"",IF(MOD(A2463-INDEX(SkiftStart,L2463),Syklus)&lt;DagK,"Kveld",IF(MOD(A2463-INDEX(SkiftStart,L2463),Syklus)&lt;DagK+DagH,"Helg",IF(MOD(A2463-INDEX(SkiftStart,L2463),Syklus)&lt;DagK+DagH+DagD,"Dag","Fri"))))</f>
        <v/>
      </c>
      <c r="J2463" s="30">
        <f>IF(I2463="Fri","Ja","")</f>
        <v/>
      </c>
      <c r="K2463" s="30">
        <f>IF(B2463="","",IF(L2463="","Ukjent tekniker",IF(ISNA(MATCH(C2463,Aktiviteter,0)),"Ukjent aktivitet",IF(AND(INDEX(AktRolle,MATCH(C2463,Aktiviteter,0))&amp;""&lt;&gt;"",ISERROR(SEARCH(INDEX(AktRolle,MATCH(C2463,Aktiviteter,0))&amp;"",INDEX(TekRoller,MATCH(B2463,Teknikere,0))))),"Mangler rollen "&amp;INDEX(AktRolle,MATCH(C2463,Aktiviteter,0))&amp;"",IF(AND(C2463="LMS",F2463&gt;0,OR(D2463="",E2463="")),"Mangler maskin eller arbeid",IF(AND(OR(C2463="LMS",C2463="Mod"),D2463&lt;&gt;""),IF(IFERROR(INDEX(MaskinStatus,MATCH(D2463,Maskiner,0)),"")="I dokk","","Maskinen er ikke i dokk"),""))))))</f>
        <v/>
      </c>
      <c r="L2463" s="2">
        <f>IF(B2463="","",IFERROR(INT((MATCH(B2463,Teknikere,0)-1)/18)+1,""))</f>
        <v/>
      </c>
      <c r="M2463" s="2">
        <f>IF(OR(A2463="",B2463=""),"",B2463&amp;"|"&amp;A2463)</f>
        <v/>
      </c>
      <c r="N2463" s="2">
        <f>IF(M2463="","",SUMIFS(TF_Timer,TF_Nokkel,M2463,TF_Akt,C2463))</f>
        <v/>
      </c>
      <c r="O2463" s="2">
        <f>IF(M2463="","",IF(AND(N2463=_xlfn.MAXIFS(TF_AktSum,TF_Nokkel,M2463),COUNTIFS(M$3:M2462,M2463,N$3:N2462,N2463)=0),M2463,""))</f>
        <v/>
      </c>
    </row>
    <row r="2464">
      <c r="A2464" s="34" t="n"/>
      <c r="B2464" s="35" t="n"/>
      <c r="C2464" s="35" t="n"/>
      <c r="D2464" s="35" t="n"/>
      <c r="E2464" s="35" t="n"/>
      <c r="F2464" s="36" t="n"/>
      <c r="G2464" s="35" t="n"/>
      <c r="H2464" s="30">
        <f>IF(L2464="","",INDEX(SkiftNavn,L2464))</f>
        <v/>
      </c>
      <c r="I2464" s="30">
        <f>IF(OR(A2464="",L2464=""),"",IF(MOD(A2464-INDEX(SkiftStart,L2464),Syklus)&lt;DagK,"Kveld",IF(MOD(A2464-INDEX(SkiftStart,L2464),Syklus)&lt;DagK+DagH,"Helg",IF(MOD(A2464-INDEX(SkiftStart,L2464),Syklus)&lt;DagK+DagH+DagD,"Dag","Fri"))))</f>
        <v/>
      </c>
      <c r="J2464" s="30">
        <f>IF(I2464="Fri","Ja","")</f>
        <v/>
      </c>
      <c r="K2464" s="30">
        <f>IF(B2464="","",IF(L2464="","Ukjent tekniker",IF(ISNA(MATCH(C2464,Aktiviteter,0)),"Ukjent aktivitet",IF(AND(INDEX(AktRolle,MATCH(C2464,Aktiviteter,0))&amp;""&lt;&gt;"",ISERROR(SEARCH(INDEX(AktRolle,MATCH(C2464,Aktiviteter,0))&amp;"",INDEX(TekRoller,MATCH(B2464,Teknikere,0))))),"Mangler rollen "&amp;INDEX(AktRolle,MATCH(C2464,Aktiviteter,0))&amp;"",IF(AND(C2464="LMS",F2464&gt;0,OR(D2464="",E2464="")),"Mangler maskin eller arbeid",IF(AND(OR(C2464="LMS",C2464="Mod"),D2464&lt;&gt;""),IF(IFERROR(INDEX(MaskinStatus,MATCH(D2464,Maskiner,0)),"")="I dokk","","Maskinen er ikke i dokk"),""))))))</f>
        <v/>
      </c>
      <c r="L2464" s="2">
        <f>IF(B2464="","",IFERROR(INT((MATCH(B2464,Teknikere,0)-1)/18)+1,""))</f>
        <v/>
      </c>
      <c r="M2464" s="2">
        <f>IF(OR(A2464="",B2464=""),"",B2464&amp;"|"&amp;A2464)</f>
        <v/>
      </c>
      <c r="N2464" s="2">
        <f>IF(M2464="","",SUMIFS(TF_Timer,TF_Nokkel,M2464,TF_Akt,C2464))</f>
        <v/>
      </c>
      <c r="O2464" s="2">
        <f>IF(M2464="","",IF(AND(N2464=_xlfn.MAXIFS(TF_AktSum,TF_Nokkel,M2464),COUNTIFS(M$3:M2463,M2464,N$3:N2463,N2464)=0),M2464,""))</f>
        <v/>
      </c>
    </row>
    <row r="2465">
      <c r="A2465" s="34" t="n"/>
      <c r="B2465" s="35" t="n"/>
      <c r="C2465" s="35" t="n"/>
      <c r="D2465" s="35" t="n"/>
      <c r="E2465" s="35" t="n"/>
      <c r="F2465" s="36" t="n"/>
      <c r="G2465" s="35" t="n"/>
      <c r="H2465" s="30">
        <f>IF(L2465="","",INDEX(SkiftNavn,L2465))</f>
        <v/>
      </c>
      <c r="I2465" s="30">
        <f>IF(OR(A2465="",L2465=""),"",IF(MOD(A2465-INDEX(SkiftStart,L2465),Syklus)&lt;DagK,"Kveld",IF(MOD(A2465-INDEX(SkiftStart,L2465),Syklus)&lt;DagK+DagH,"Helg",IF(MOD(A2465-INDEX(SkiftStart,L2465),Syklus)&lt;DagK+DagH+DagD,"Dag","Fri"))))</f>
        <v/>
      </c>
      <c r="J2465" s="30">
        <f>IF(I2465="Fri","Ja","")</f>
        <v/>
      </c>
      <c r="K2465" s="30">
        <f>IF(B2465="","",IF(L2465="","Ukjent tekniker",IF(ISNA(MATCH(C2465,Aktiviteter,0)),"Ukjent aktivitet",IF(AND(INDEX(AktRolle,MATCH(C2465,Aktiviteter,0))&amp;""&lt;&gt;"",ISERROR(SEARCH(INDEX(AktRolle,MATCH(C2465,Aktiviteter,0))&amp;"",INDEX(TekRoller,MATCH(B2465,Teknikere,0))))),"Mangler rollen "&amp;INDEX(AktRolle,MATCH(C2465,Aktiviteter,0))&amp;"",IF(AND(C2465="LMS",F2465&gt;0,OR(D2465="",E2465="")),"Mangler maskin eller arbeid",IF(AND(OR(C2465="LMS",C2465="Mod"),D2465&lt;&gt;""),IF(IFERROR(INDEX(MaskinStatus,MATCH(D2465,Maskiner,0)),"")="I dokk","","Maskinen er ikke i dokk"),""))))))</f>
        <v/>
      </c>
      <c r="L2465" s="2">
        <f>IF(B2465="","",IFERROR(INT((MATCH(B2465,Teknikere,0)-1)/18)+1,""))</f>
        <v/>
      </c>
      <c r="M2465" s="2">
        <f>IF(OR(A2465="",B2465=""),"",B2465&amp;"|"&amp;A2465)</f>
        <v/>
      </c>
      <c r="N2465" s="2">
        <f>IF(M2465="","",SUMIFS(TF_Timer,TF_Nokkel,M2465,TF_Akt,C2465))</f>
        <v/>
      </c>
      <c r="O2465" s="2">
        <f>IF(M2465="","",IF(AND(N2465=_xlfn.MAXIFS(TF_AktSum,TF_Nokkel,M2465),COUNTIFS(M$3:M2464,M2465,N$3:N2464,N2465)=0),M2465,""))</f>
        <v/>
      </c>
    </row>
    <row r="2466">
      <c r="A2466" s="34" t="n"/>
      <c r="B2466" s="35" t="n"/>
      <c r="C2466" s="35" t="n"/>
      <c r="D2466" s="35" t="n"/>
      <c r="E2466" s="35" t="n"/>
      <c r="F2466" s="36" t="n"/>
      <c r="G2466" s="35" t="n"/>
      <c r="H2466" s="30">
        <f>IF(L2466="","",INDEX(SkiftNavn,L2466))</f>
        <v/>
      </c>
      <c r="I2466" s="30">
        <f>IF(OR(A2466="",L2466=""),"",IF(MOD(A2466-INDEX(SkiftStart,L2466),Syklus)&lt;DagK,"Kveld",IF(MOD(A2466-INDEX(SkiftStart,L2466),Syklus)&lt;DagK+DagH,"Helg",IF(MOD(A2466-INDEX(SkiftStart,L2466),Syklus)&lt;DagK+DagH+DagD,"Dag","Fri"))))</f>
        <v/>
      </c>
      <c r="J2466" s="30">
        <f>IF(I2466="Fri","Ja","")</f>
        <v/>
      </c>
      <c r="K2466" s="30">
        <f>IF(B2466="","",IF(L2466="","Ukjent tekniker",IF(ISNA(MATCH(C2466,Aktiviteter,0)),"Ukjent aktivitet",IF(AND(INDEX(AktRolle,MATCH(C2466,Aktiviteter,0))&amp;""&lt;&gt;"",ISERROR(SEARCH(INDEX(AktRolle,MATCH(C2466,Aktiviteter,0))&amp;"",INDEX(TekRoller,MATCH(B2466,Teknikere,0))))),"Mangler rollen "&amp;INDEX(AktRolle,MATCH(C2466,Aktiviteter,0))&amp;"",IF(AND(C2466="LMS",F2466&gt;0,OR(D2466="",E2466="")),"Mangler maskin eller arbeid",IF(AND(OR(C2466="LMS",C2466="Mod"),D2466&lt;&gt;""),IF(IFERROR(INDEX(MaskinStatus,MATCH(D2466,Maskiner,0)),"")="I dokk","","Maskinen er ikke i dokk"),""))))))</f>
        <v/>
      </c>
      <c r="L2466" s="2">
        <f>IF(B2466="","",IFERROR(INT((MATCH(B2466,Teknikere,0)-1)/18)+1,""))</f>
        <v/>
      </c>
      <c r="M2466" s="2">
        <f>IF(OR(A2466="",B2466=""),"",B2466&amp;"|"&amp;A2466)</f>
        <v/>
      </c>
      <c r="N2466" s="2">
        <f>IF(M2466="","",SUMIFS(TF_Timer,TF_Nokkel,M2466,TF_Akt,C2466))</f>
        <v/>
      </c>
      <c r="O2466" s="2">
        <f>IF(M2466="","",IF(AND(N2466=_xlfn.MAXIFS(TF_AktSum,TF_Nokkel,M2466),COUNTIFS(M$3:M2465,M2466,N$3:N2465,N2466)=0),M2466,""))</f>
        <v/>
      </c>
    </row>
    <row r="2467">
      <c r="A2467" s="34" t="n"/>
      <c r="B2467" s="35" t="n"/>
      <c r="C2467" s="35" t="n"/>
      <c r="D2467" s="35" t="n"/>
      <c r="E2467" s="35" t="n"/>
      <c r="F2467" s="36" t="n"/>
      <c r="G2467" s="35" t="n"/>
      <c r="H2467" s="30">
        <f>IF(L2467="","",INDEX(SkiftNavn,L2467))</f>
        <v/>
      </c>
      <c r="I2467" s="30">
        <f>IF(OR(A2467="",L2467=""),"",IF(MOD(A2467-INDEX(SkiftStart,L2467),Syklus)&lt;DagK,"Kveld",IF(MOD(A2467-INDEX(SkiftStart,L2467),Syklus)&lt;DagK+DagH,"Helg",IF(MOD(A2467-INDEX(SkiftStart,L2467),Syklus)&lt;DagK+DagH+DagD,"Dag","Fri"))))</f>
        <v/>
      </c>
      <c r="J2467" s="30">
        <f>IF(I2467="Fri","Ja","")</f>
        <v/>
      </c>
      <c r="K2467" s="30">
        <f>IF(B2467="","",IF(L2467="","Ukjent tekniker",IF(ISNA(MATCH(C2467,Aktiviteter,0)),"Ukjent aktivitet",IF(AND(INDEX(AktRolle,MATCH(C2467,Aktiviteter,0))&amp;""&lt;&gt;"",ISERROR(SEARCH(INDEX(AktRolle,MATCH(C2467,Aktiviteter,0))&amp;"",INDEX(TekRoller,MATCH(B2467,Teknikere,0))))),"Mangler rollen "&amp;INDEX(AktRolle,MATCH(C2467,Aktiviteter,0))&amp;"",IF(AND(C2467="LMS",F2467&gt;0,OR(D2467="",E2467="")),"Mangler maskin eller arbeid",IF(AND(OR(C2467="LMS",C2467="Mod"),D2467&lt;&gt;""),IF(IFERROR(INDEX(MaskinStatus,MATCH(D2467,Maskiner,0)),"")="I dokk","","Maskinen er ikke i dokk"),""))))))</f>
        <v/>
      </c>
      <c r="L2467" s="2">
        <f>IF(B2467="","",IFERROR(INT((MATCH(B2467,Teknikere,0)-1)/18)+1,""))</f>
        <v/>
      </c>
      <c r="M2467" s="2">
        <f>IF(OR(A2467="",B2467=""),"",B2467&amp;"|"&amp;A2467)</f>
        <v/>
      </c>
      <c r="N2467" s="2">
        <f>IF(M2467="","",SUMIFS(TF_Timer,TF_Nokkel,M2467,TF_Akt,C2467))</f>
        <v/>
      </c>
      <c r="O2467" s="2">
        <f>IF(M2467="","",IF(AND(N2467=_xlfn.MAXIFS(TF_AktSum,TF_Nokkel,M2467),COUNTIFS(M$3:M2466,M2467,N$3:N2466,N2467)=0),M2467,""))</f>
        <v/>
      </c>
    </row>
    <row r="2468">
      <c r="A2468" s="34" t="n"/>
      <c r="B2468" s="35" t="n"/>
      <c r="C2468" s="35" t="n"/>
      <c r="D2468" s="35" t="n"/>
      <c r="E2468" s="35" t="n"/>
      <c r="F2468" s="36" t="n"/>
      <c r="G2468" s="35" t="n"/>
      <c r="H2468" s="30">
        <f>IF(L2468="","",INDEX(SkiftNavn,L2468))</f>
        <v/>
      </c>
      <c r="I2468" s="30">
        <f>IF(OR(A2468="",L2468=""),"",IF(MOD(A2468-INDEX(SkiftStart,L2468),Syklus)&lt;DagK,"Kveld",IF(MOD(A2468-INDEX(SkiftStart,L2468),Syklus)&lt;DagK+DagH,"Helg",IF(MOD(A2468-INDEX(SkiftStart,L2468),Syklus)&lt;DagK+DagH+DagD,"Dag","Fri"))))</f>
        <v/>
      </c>
      <c r="J2468" s="30">
        <f>IF(I2468="Fri","Ja","")</f>
        <v/>
      </c>
      <c r="K2468" s="30">
        <f>IF(B2468="","",IF(L2468="","Ukjent tekniker",IF(ISNA(MATCH(C2468,Aktiviteter,0)),"Ukjent aktivitet",IF(AND(INDEX(AktRolle,MATCH(C2468,Aktiviteter,0))&amp;""&lt;&gt;"",ISERROR(SEARCH(INDEX(AktRolle,MATCH(C2468,Aktiviteter,0))&amp;"",INDEX(TekRoller,MATCH(B2468,Teknikere,0))))),"Mangler rollen "&amp;INDEX(AktRolle,MATCH(C2468,Aktiviteter,0))&amp;"",IF(AND(C2468="LMS",F2468&gt;0,OR(D2468="",E2468="")),"Mangler maskin eller arbeid",IF(AND(OR(C2468="LMS",C2468="Mod"),D2468&lt;&gt;""),IF(IFERROR(INDEX(MaskinStatus,MATCH(D2468,Maskiner,0)),"")="I dokk","","Maskinen er ikke i dokk"),""))))))</f>
        <v/>
      </c>
      <c r="L2468" s="2">
        <f>IF(B2468="","",IFERROR(INT((MATCH(B2468,Teknikere,0)-1)/18)+1,""))</f>
        <v/>
      </c>
      <c r="M2468" s="2">
        <f>IF(OR(A2468="",B2468=""),"",B2468&amp;"|"&amp;A2468)</f>
        <v/>
      </c>
      <c r="N2468" s="2">
        <f>IF(M2468="","",SUMIFS(TF_Timer,TF_Nokkel,M2468,TF_Akt,C2468))</f>
        <v/>
      </c>
      <c r="O2468" s="2">
        <f>IF(M2468="","",IF(AND(N2468=_xlfn.MAXIFS(TF_AktSum,TF_Nokkel,M2468),COUNTIFS(M$3:M2467,M2468,N$3:N2467,N2468)=0),M2468,""))</f>
        <v/>
      </c>
    </row>
    <row r="2469">
      <c r="A2469" s="34" t="n"/>
      <c r="B2469" s="35" t="n"/>
      <c r="C2469" s="35" t="n"/>
      <c r="D2469" s="35" t="n"/>
      <c r="E2469" s="35" t="n"/>
      <c r="F2469" s="36" t="n"/>
      <c r="G2469" s="35" t="n"/>
      <c r="H2469" s="30">
        <f>IF(L2469="","",INDEX(SkiftNavn,L2469))</f>
        <v/>
      </c>
      <c r="I2469" s="30">
        <f>IF(OR(A2469="",L2469=""),"",IF(MOD(A2469-INDEX(SkiftStart,L2469),Syklus)&lt;DagK,"Kveld",IF(MOD(A2469-INDEX(SkiftStart,L2469),Syklus)&lt;DagK+DagH,"Helg",IF(MOD(A2469-INDEX(SkiftStart,L2469),Syklus)&lt;DagK+DagH+DagD,"Dag","Fri"))))</f>
        <v/>
      </c>
      <c r="J2469" s="30">
        <f>IF(I2469="Fri","Ja","")</f>
        <v/>
      </c>
      <c r="K2469" s="30">
        <f>IF(B2469="","",IF(L2469="","Ukjent tekniker",IF(ISNA(MATCH(C2469,Aktiviteter,0)),"Ukjent aktivitet",IF(AND(INDEX(AktRolle,MATCH(C2469,Aktiviteter,0))&amp;""&lt;&gt;"",ISERROR(SEARCH(INDEX(AktRolle,MATCH(C2469,Aktiviteter,0))&amp;"",INDEX(TekRoller,MATCH(B2469,Teknikere,0))))),"Mangler rollen "&amp;INDEX(AktRolle,MATCH(C2469,Aktiviteter,0))&amp;"",IF(AND(C2469="LMS",F2469&gt;0,OR(D2469="",E2469="")),"Mangler maskin eller arbeid",IF(AND(OR(C2469="LMS",C2469="Mod"),D2469&lt;&gt;""),IF(IFERROR(INDEX(MaskinStatus,MATCH(D2469,Maskiner,0)),"")="I dokk","","Maskinen er ikke i dokk"),""))))))</f>
        <v/>
      </c>
      <c r="L2469" s="2">
        <f>IF(B2469="","",IFERROR(INT((MATCH(B2469,Teknikere,0)-1)/18)+1,""))</f>
        <v/>
      </c>
      <c r="M2469" s="2">
        <f>IF(OR(A2469="",B2469=""),"",B2469&amp;"|"&amp;A2469)</f>
        <v/>
      </c>
      <c r="N2469" s="2">
        <f>IF(M2469="","",SUMIFS(TF_Timer,TF_Nokkel,M2469,TF_Akt,C2469))</f>
        <v/>
      </c>
      <c r="O2469" s="2">
        <f>IF(M2469="","",IF(AND(N2469=_xlfn.MAXIFS(TF_AktSum,TF_Nokkel,M2469),COUNTIFS(M$3:M2468,M2469,N$3:N2468,N2469)=0),M2469,""))</f>
        <v/>
      </c>
    </row>
    <row r="2470">
      <c r="A2470" s="34" t="n"/>
      <c r="B2470" s="35" t="n"/>
      <c r="C2470" s="35" t="n"/>
      <c r="D2470" s="35" t="n"/>
      <c r="E2470" s="35" t="n"/>
      <c r="F2470" s="36" t="n"/>
      <c r="G2470" s="35" t="n"/>
      <c r="H2470" s="30">
        <f>IF(L2470="","",INDEX(SkiftNavn,L2470))</f>
        <v/>
      </c>
      <c r="I2470" s="30">
        <f>IF(OR(A2470="",L2470=""),"",IF(MOD(A2470-INDEX(SkiftStart,L2470),Syklus)&lt;DagK,"Kveld",IF(MOD(A2470-INDEX(SkiftStart,L2470),Syklus)&lt;DagK+DagH,"Helg",IF(MOD(A2470-INDEX(SkiftStart,L2470),Syklus)&lt;DagK+DagH+DagD,"Dag","Fri"))))</f>
        <v/>
      </c>
      <c r="J2470" s="30">
        <f>IF(I2470="Fri","Ja","")</f>
        <v/>
      </c>
      <c r="K2470" s="30">
        <f>IF(B2470="","",IF(L2470="","Ukjent tekniker",IF(ISNA(MATCH(C2470,Aktiviteter,0)),"Ukjent aktivitet",IF(AND(INDEX(AktRolle,MATCH(C2470,Aktiviteter,0))&amp;""&lt;&gt;"",ISERROR(SEARCH(INDEX(AktRolle,MATCH(C2470,Aktiviteter,0))&amp;"",INDEX(TekRoller,MATCH(B2470,Teknikere,0))))),"Mangler rollen "&amp;INDEX(AktRolle,MATCH(C2470,Aktiviteter,0))&amp;"",IF(AND(C2470="LMS",F2470&gt;0,OR(D2470="",E2470="")),"Mangler maskin eller arbeid",IF(AND(OR(C2470="LMS",C2470="Mod"),D2470&lt;&gt;""),IF(IFERROR(INDEX(MaskinStatus,MATCH(D2470,Maskiner,0)),"")="I dokk","","Maskinen er ikke i dokk"),""))))))</f>
        <v/>
      </c>
      <c r="L2470" s="2">
        <f>IF(B2470="","",IFERROR(INT((MATCH(B2470,Teknikere,0)-1)/18)+1,""))</f>
        <v/>
      </c>
      <c r="M2470" s="2">
        <f>IF(OR(A2470="",B2470=""),"",B2470&amp;"|"&amp;A2470)</f>
        <v/>
      </c>
      <c r="N2470" s="2">
        <f>IF(M2470="","",SUMIFS(TF_Timer,TF_Nokkel,M2470,TF_Akt,C2470))</f>
        <v/>
      </c>
      <c r="O2470" s="2">
        <f>IF(M2470="","",IF(AND(N2470=_xlfn.MAXIFS(TF_AktSum,TF_Nokkel,M2470),COUNTIFS(M$3:M2469,M2470,N$3:N2469,N2470)=0),M2470,""))</f>
        <v/>
      </c>
    </row>
    <row r="2471">
      <c r="A2471" s="34" t="n"/>
      <c r="B2471" s="35" t="n"/>
      <c r="C2471" s="35" t="n"/>
      <c r="D2471" s="35" t="n"/>
      <c r="E2471" s="35" t="n"/>
      <c r="F2471" s="36" t="n"/>
      <c r="G2471" s="35" t="n"/>
      <c r="H2471" s="30">
        <f>IF(L2471="","",INDEX(SkiftNavn,L2471))</f>
        <v/>
      </c>
      <c r="I2471" s="30">
        <f>IF(OR(A2471="",L2471=""),"",IF(MOD(A2471-INDEX(SkiftStart,L2471),Syklus)&lt;DagK,"Kveld",IF(MOD(A2471-INDEX(SkiftStart,L2471),Syklus)&lt;DagK+DagH,"Helg",IF(MOD(A2471-INDEX(SkiftStart,L2471),Syklus)&lt;DagK+DagH+DagD,"Dag","Fri"))))</f>
        <v/>
      </c>
      <c r="J2471" s="30">
        <f>IF(I2471="Fri","Ja","")</f>
        <v/>
      </c>
      <c r="K2471" s="30">
        <f>IF(B2471="","",IF(L2471="","Ukjent tekniker",IF(ISNA(MATCH(C2471,Aktiviteter,0)),"Ukjent aktivitet",IF(AND(INDEX(AktRolle,MATCH(C2471,Aktiviteter,0))&amp;""&lt;&gt;"",ISERROR(SEARCH(INDEX(AktRolle,MATCH(C2471,Aktiviteter,0))&amp;"",INDEX(TekRoller,MATCH(B2471,Teknikere,0))))),"Mangler rollen "&amp;INDEX(AktRolle,MATCH(C2471,Aktiviteter,0))&amp;"",IF(AND(C2471="LMS",F2471&gt;0,OR(D2471="",E2471="")),"Mangler maskin eller arbeid",IF(AND(OR(C2471="LMS",C2471="Mod"),D2471&lt;&gt;""),IF(IFERROR(INDEX(MaskinStatus,MATCH(D2471,Maskiner,0)),"")="I dokk","","Maskinen er ikke i dokk"),""))))))</f>
        <v/>
      </c>
      <c r="L2471" s="2">
        <f>IF(B2471="","",IFERROR(INT((MATCH(B2471,Teknikere,0)-1)/18)+1,""))</f>
        <v/>
      </c>
      <c r="M2471" s="2">
        <f>IF(OR(A2471="",B2471=""),"",B2471&amp;"|"&amp;A2471)</f>
        <v/>
      </c>
      <c r="N2471" s="2">
        <f>IF(M2471="","",SUMIFS(TF_Timer,TF_Nokkel,M2471,TF_Akt,C2471))</f>
        <v/>
      </c>
      <c r="O2471" s="2">
        <f>IF(M2471="","",IF(AND(N2471=_xlfn.MAXIFS(TF_AktSum,TF_Nokkel,M2471),COUNTIFS(M$3:M2470,M2471,N$3:N2470,N2471)=0),M2471,""))</f>
        <v/>
      </c>
    </row>
    <row r="2472">
      <c r="A2472" s="34" t="n"/>
      <c r="B2472" s="35" t="n"/>
      <c r="C2472" s="35" t="n"/>
      <c r="D2472" s="35" t="n"/>
      <c r="E2472" s="35" t="n"/>
      <c r="F2472" s="36" t="n"/>
      <c r="G2472" s="35" t="n"/>
      <c r="H2472" s="30">
        <f>IF(L2472="","",INDEX(SkiftNavn,L2472))</f>
        <v/>
      </c>
      <c r="I2472" s="30">
        <f>IF(OR(A2472="",L2472=""),"",IF(MOD(A2472-INDEX(SkiftStart,L2472),Syklus)&lt;DagK,"Kveld",IF(MOD(A2472-INDEX(SkiftStart,L2472),Syklus)&lt;DagK+DagH,"Helg",IF(MOD(A2472-INDEX(SkiftStart,L2472),Syklus)&lt;DagK+DagH+DagD,"Dag","Fri"))))</f>
        <v/>
      </c>
      <c r="J2472" s="30">
        <f>IF(I2472="Fri","Ja","")</f>
        <v/>
      </c>
      <c r="K2472" s="30">
        <f>IF(B2472="","",IF(L2472="","Ukjent tekniker",IF(ISNA(MATCH(C2472,Aktiviteter,0)),"Ukjent aktivitet",IF(AND(INDEX(AktRolle,MATCH(C2472,Aktiviteter,0))&amp;""&lt;&gt;"",ISERROR(SEARCH(INDEX(AktRolle,MATCH(C2472,Aktiviteter,0))&amp;"",INDEX(TekRoller,MATCH(B2472,Teknikere,0))))),"Mangler rollen "&amp;INDEX(AktRolle,MATCH(C2472,Aktiviteter,0))&amp;"",IF(AND(C2472="LMS",F2472&gt;0,OR(D2472="",E2472="")),"Mangler maskin eller arbeid",IF(AND(OR(C2472="LMS",C2472="Mod"),D2472&lt;&gt;""),IF(IFERROR(INDEX(MaskinStatus,MATCH(D2472,Maskiner,0)),"")="I dokk","","Maskinen er ikke i dokk"),""))))))</f>
        <v/>
      </c>
      <c r="L2472" s="2">
        <f>IF(B2472="","",IFERROR(INT((MATCH(B2472,Teknikere,0)-1)/18)+1,""))</f>
        <v/>
      </c>
      <c r="M2472" s="2">
        <f>IF(OR(A2472="",B2472=""),"",B2472&amp;"|"&amp;A2472)</f>
        <v/>
      </c>
      <c r="N2472" s="2">
        <f>IF(M2472="","",SUMIFS(TF_Timer,TF_Nokkel,M2472,TF_Akt,C2472))</f>
        <v/>
      </c>
      <c r="O2472" s="2">
        <f>IF(M2472="","",IF(AND(N2472=_xlfn.MAXIFS(TF_AktSum,TF_Nokkel,M2472),COUNTIFS(M$3:M2471,M2472,N$3:N2471,N2472)=0),M2472,""))</f>
        <v/>
      </c>
    </row>
    <row r="2473">
      <c r="A2473" s="34" t="n"/>
      <c r="B2473" s="35" t="n"/>
      <c r="C2473" s="35" t="n"/>
      <c r="D2473" s="35" t="n"/>
      <c r="E2473" s="35" t="n"/>
      <c r="F2473" s="36" t="n"/>
      <c r="G2473" s="35" t="n"/>
      <c r="H2473" s="30">
        <f>IF(L2473="","",INDEX(SkiftNavn,L2473))</f>
        <v/>
      </c>
      <c r="I2473" s="30">
        <f>IF(OR(A2473="",L2473=""),"",IF(MOD(A2473-INDEX(SkiftStart,L2473),Syklus)&lt;DagK,"Kveld",IF(MOD(A2473-INDEX(SkiftStart,L2473),Syklus)&lt;DagK+DagH,"Helg",IF(MOD(A2473-INDEX(SkiftStart,L2473),Syklus)&lt;DagK+DagH+DagD,"Dag","Fri"))))</f>
        <v/>
      </c>
      <c r="J2473" s="30">
        <f>IF(I2473="Fri","Ja","")</f>
        <v/>
      </c>
      <c r="K2473" s="30">
        <f>IF(B2473="","",IF(L2473="","Ukjent tekniker",IF(ISNA(MATCH(C2473,Aktiviteter,0)),"Ukjent aktivitet",IF(AND(INDEX(AktRolle,MATCH(C2473,Aktiviteter,0))&amp;""&lt;&gt;"",ISERROR(SEARCH(INDEX(AktRolle,MATCH(C2473,Aktiviteter,0))&amp;"",INDEX(TekRoller,MATCH(B2473,Teknikere,0))))),"Mangler rollen "&amp;INDEX(AktRolle,MATCH(C2473,Aktiviteter,0))&amp;"",IF(AND(C2473="LMS",F2473&gt;0,OR(D2473="",E2473="")),"Mangler maskin eller arbeid",IF(AND(OR(C2473="LMS",C2473="Mod"),D2473&lt;&gt;""),IF(IFERROR(INDEX(MaskinStatus,MATCH(D2473,Maskiner,0)),"")="I dokk","","Maskinen er ikke i dokk"),""))))))</f>
        <v/>
      </c>
      <c r="L2473" s="2">
        <f>IF(B2473="","",IFERROR(INT((MATCH(B2473,Teknikere,0)-1)/18)+1,""))</f>
        <v/>
      </c>
      <c r="M2473" s="2">
        <f>IF(OR(A2473="",B2473=""),"",B2473&amp;"|"&amp;A2473)</f>
        <v/>
      </c>
      <c r="N2473" s="2">
        <f>IF(M2473="","",SUMIFS(TF_Timer,TF_Nokkel,M2473,TF_Akt,C2473))</f>
        <v/>
      </c>
      <c r="O2473" s="2">
        <f>IF(M2473="","",IF(AND(N2473=_xlfn.MAXIFS(TF_AktSum,TF_Nokkel,M2473),COUNTIFS(M$3:M2472,M2473,N$3:N2472,N2473)=0),M2473,""))</f>
        <v/>
      </c>
    </row>
    <row r="2474">
      <c r="A2474" s="34" t="n"/>
      <c r="B2474" s="35" t="n"/>
      <c r="C2474" s="35" t="n"/>
      <c r="D2474" s="35" t="n"/>
      <c r="E2474" s="35" t="n"/>
      <c r="F2474" s="36" t="n"/>
      <c r="G2474" s="35" t="n"/>
      <c r="H2474" s="30">
        <f>IF(L2474="","",INDEX(SkiftNavn,L2474))</f>
        <v/>
      </c>
      <c r="I2474" s="30">
        <f>IF(OR(A2474="",L2474=""),"",IF(MOD(A2474-INDEX(SkiftStart,L2474),Syklus)&lt;DagK,"Kveld",IF(MOD(A2474-INDEX(SkiftStart,L2474),Syklus)&lt;DagK+DagH,"Helg",IF(MOD(A2474-INDEX(SkiftStart,L2474),Syklus)&lt;DagK+DagH+DagD,"Dag","Fri"))))</f>
        <v/>
      </c>
      <c r="J2474" s="30">
        <f>IF(I2474="Fri","Ja","")</f>
        <v/>
      </c>
      <c r="K2474" s="30">
        <f>IF(B2474="","",IF(L2474="","Ukjent tekniker",IF(ISNA(MATCH(C2474,Aktiviteter,0)),"Ukjent aktivitet",IF(AND(INDEX(AktRolle,MATCH(C2474,Aktiviteter,0))&amp;""&lt;&gt;"",ISERROR(SEARCH(INDEX(AktRolle,MATCH(C2474,Aktiviteter,0))&amp;"",INDEX(TekRoller,MATCH(B2474,Teknikere,0))))),"Mangler rollen "&amp;INDEX(AktRolle,MATCH(C2474,Aktiviteter,0))&amp;"",IF(AND(C2474="LMS",F2474&gt;0,OR(D2474="",E2474="")),"Mangler maskin eller arbeid",IF(AND(OR(C2474="LMS",C2474="Mod"),D2474&lt;&gt;""),IF(IFERROR(INDEX(MaskinStatus,MATCH(D2474,Maskiner,0)),"")="I dokk","","Maskinen er ikke i dokk"),""))))))</f>
        <v/>
      </c>
      <c r="L2474" s="2">
        <f>IF(B2474="","",IFERROR(INT((MATCH(B2474,Teknikere,0)-1)/18)+1,""))</f>
        <v/>
      </c>
      <c r="M2474" s="2">
        <f>IF(OR(A2474="",B2474=""),"",B2474&amp;"|"&amp;A2474)</f>
        <v/>
      </c>
      <c r="N2474" s="2">
        <f>IF(M2474="","",SUMIFS(TF_Timer,TF_Nokkel,M2474,TF_Akt,C2474))</f>
        <v/>
      </c>
      <c r="O2474" s="2">
        <f>IF(M2474="","",IF(AND(N2474=_xlfn.MAXIFS(TF_AktSum,TF_Nokkel,M2474),COUNTIFS(M$3:M2473,M2474,N$3:N2473,N2474)=0),M2474,""))</f>
        <v/>
      </c>
    </row>
    <row r="2475">
      <c r="A2475" s="34" t="n"/>
      <c r="B2475" s="35" t="n"/>
      <c r="C2475" s="35" t="n"/>
      <c r="D2475" s="35" t="n"/>
      <c r="E2475" s="35" t="n"/>
      <c r="F2475" s="36" t="n"/>
      <c r="G2475" s="35" t="n"/>
      <c r="H2475" s="30">
        <f>IF(L2475="","",INDEX(SkiftNavn,L2475))</f>
        <v/>
      </c>
      <c r="I2475" s="30">
        <f>IF(OR(A2475="",L2475=""),"",IF(MOD(A2475-INDEX(SkiftStart,L2475),Syklus)&lt;DagK,"Kveld",IF(MOD(A2475-INDEX(SkiftStart,L2475),Syklus)&lt;DagK+DagH,"Helg",IF(MOD(A2475-INDEX(SkiftStart,L2475),Syklus)&lt;DagK+DagH+DagD,"Dag","Fri"))))</f>
        <v/>
      </c>
      <c r="J2475" s="30">
        <f>IF(I2475="Fri","Ja","")</f>
        <v/>
      </c>
      <c r="K2475" s="30">
        <f>IF(B2475="","",IF(L2475="","Ukjent tekniker",IF(ISNA(MATCH(C2475,Aktiviteter,0)),"Ukjent aktivitet",IF(AND(INDEX(AktRolle,MATCH(C2475,Aktiviteter,0))&amp;""&lt;&gt;"",ISERROR(SEARCH(INDEX(AktRolle,MATCH(C2475,Aktiviteter,0))&amp;"",INDEX(TekRoller,MATCH(B2475,Teknikere,0))))),"Mangler rollen "&amp;INDEX(AktRolle,MATCH(C2475,Aktiviteter,0))&amp;"",IF(AND(C2475="LMS",F2475&gt;0,OR(D2475="",E2475="")),"Mangler maskin eller arbeid",IF(AND(OR(C2475="LMS",C2475="Mod"),D2475&lt;&gt;""),IF(IFERROR(INDEX(MaskinStatus,MATCH(D2475,Maskiner,0)),"")="I dokk","","Maskinen er ikke i dokk"),""))))))</f>
        <v/>
      </c>
      <c r="L2475" s="2">
        <f>IF(B2475="","",IFERROR(INT((MATCH(B2475,Teknikere,0)-1)/18)+1,""))</f>
        <v/>
      </c>
      <c r="M2475" s="2">
        <f>IF(OR(A2475="",B2475=""),"",B2475&amp;"|"&amp;A2475)</f>
        <v/>
      </c>
      <c r="N2475" s="2">
        <f>IF(M2475="","",SUMIFS(TF_Timer,TF_Nokkel,M2475,TF_Akt,C2475))</f>
        <v/>
      </c>
      <c r="O2475" s="2">
        <f>IF(M2475="","",IF(AND(N2475=_xlfn.MAXIFS(TF_AktSum,TF_Nokkel,M2475),COUNTIFS(M$3:M2474,M2475,N$3:N2474,N2475)=0),M2475,""))</f>
        <v/>
      </c>
    </row>
    <row r="2476">
      <c r="A2476" s="34" t="n"/>
      <c r="B2476" s="35" t="n"/>
      <c r="C2476" s="35" t="n"/>
      <c r="D2476" s="35" t="n"/>
      <c r="E2476" s="35" t="n"/>
      <c r="F2476" s="36" t="n"/>
      <c r="G2476" s="35" t="n"/>
      <c r="H2476" s="30">
        <f>IF(L2476="","",INDEX(SkiftNavn,L2476))</f>
        <v/>
      </c>
      <c r="I2476" s="30">
        <f>IF(OR(A2476="",L2476=""),"",IF(MOD(A2476-INDEX(SkiftStart,L2476),Syklus)&lt;DagK,"Kveld",IF(MOD(A2476-INDEX(SkiftStart,L2476),Syklus)&lt;DagK+DagH,"Helg",IF(MOD(A2476-INDEX(SkiftStart,L2476),Syklus)&lt;DagK+DagH+DagD,"Dag","Fri"))))</f>
        <v/>
      </c>
      <c r="J2476" s="30">
        <f>IF(I2476="Fri","Ja","")</f>
        <v/>
      </c>
      <c r="K2476" s="30">
        <f>IF(B2476="","",IF(L2476="","Ukjent tekniker",IF(ISNA(MATCH(C2476,Aktiviteter,0)),"Ukjent aktivitet",IF(AND(INDEX(AktRolle,MATCH(C2476,Aktiviteter,0))&amp;""&lt;&gt;"",ISERROR(SEARCH(INDEX(AktRolle,MATCH(C2476,Aktiviteter,0))&amp;"",INDEX(TekRoller,MATCH(B2476,Teknikere,0))))),"Mangler rollen "&amp;INDEX(AktRolle,MATCH(C2476,Aktiviteter,0))&amp;"",IF(AND(C2476="LMS",F2476&gt;0,OR(D2476="",E2476="")),"Mangler maskin eller arbeid",IF(AND(OR(C2476="LMS",C2476="Mod"),D2476&lt;&gt;""),IF(IFERROR(INDEX(MaskinStatus,MATCH(D2476,Maskiner,0)),"")="I dokk","","Maskinen er ikke i dokk"),""))))))</f>
        <v/>
      </c>
      <c r="L2476" s="2">
        <f>IF(B2476="","",IFERROR(INT((MATCH(B2476,Teknikere,0)-1)/18)+1,""))</f>
        <v/>
      </c>
      <c r="M2476" s="2">
        <f>IF(OR(A2476="",B2476=""),"",B2476&amp;"|"&amp;A2476)</f>
        <v/>
      </c>
      <c r="N2476" s="2">
        <f>IF(M2476="","",SUMIFS(TF_Timer,TF_Nokkel,M2476,TF_Akt,C2476))</f>
        <v/>
      </c>
      <c r="O2476" s="2">
        <f>IF(M2476="","",IF(AND(N2476=_xlfn.MAXIFS(TF_AktSum,TF_Nokkel,M2476),COUNTIFS(M$3:M2475,M2476,N$3:N2475,N2476)=0),M2476,""))</f>
        <v/>
      </c>
    </row>
    <row r="2477">
      <c r="A2477" s="34" t="n"/>
      <c r="B2477" s="35" t="n"/>
      <c r="C2477" s="35" t="n"/>
      <c r="D2477" s="35" t="n"/>
      <c r="E2477" s="35" t="n"/>
      <c r="F2477" s="36" t="n"/>
      <c r="G2477" s="35" t="n"/>
      <c r="H2477" s="30">
        <f>IF(L2477="","",INDEX(SkiftNavn,L2477))</f>
        <v/>
      </c>
      <c r="I2477" s="30">
        <f>IF(OR(A2477="",L2477=""),"",IF(MOD(A2477-INDEX(SkiftStart,L2477),Syklus)&lt;DagK,"Kveld",IF(MOD(A2477-INDEX(SkiftStart,L2477),Syklus)&lt;DagK+DagH,"Helg",IF(MOD(A2477-INDEX(SkiftStart,L2477),Syklus)&lt;DagK+DagH+DagD,"Dag","Fri"))))</f>
        <v/>
      </c>
      <c r="J2477" s="30">
        <f>IF(I2477="Fri","Ja","")</f>
        <v/>
      </c>
      <c r="K2477" s="30">
        <f>IF(B2477="","",IF(L2477="","Ukjent tekniker",IF(ISNA(MATCH(C2477,Aktiviteter,0)),"Ukjent aktivitet",IF(AND(INDEX(AktRolle,MATCH(C2477,Aktiviteter,0))&amp;""&lt;&gt;"",ISERROR(SEARCH(INDEX(AktRolle,MATCH(C2477,Aktiviteter,0))&amp;"",INDEX(TekRoller,MATCH(B2477,Teknikere,0))))),"Mangler rollen "&amp;INDEX(AktRolle,MATCH(C2477,Aktiviteter,0))&amp;"",IF(AND(C2477="LMS",F2477&gt;0,OR(D2477="",E2477="")),"Mangler maskin eller arbeid",IF(AND(OR(C2477="LMS",C2477="Mod"),D2477&lt;&gt;""),IF(IFERROR(INDEX(MaskinStatus,MATCH(D2477,Maskiner,0)),"")="I dokk","","Maskinen er ikke i dokk"),""))))))</f>
        <v/>
      </c>
      <c r="L2477" s="2">
        <f>IF(B2477="","",IFERROR(INT((MATCH(B2477,Teknikere,0)-1)/18)+1,""))</f>
        <v/>
      </c>
      <c r="M2477" s="2">
        <f>IF(OR(A2477="",B2477=""),"",B2477&amp;"|"&amp;A2477)</f>
        <v/>
      </c>
      <c r="N2477" s="2">
        <f>IF(M2477="","",SUMIFS(TF_Timer,TF_Nokkel,M2477,TF_Akt,C2477))</f>
        <v/>
      </c>
      <c r="O2477" s="2">
        <f>IF(M2477="","",IF(AND(N2477=_xlfn.MAXIFS(TF_AktSum,TF_Nokkel,M2477),COUNTIFS(M$3:M2476,M2477,N$3:N2476,N2477)=0),M2477,""))</f>
        <v/>
      </c>
    </row>
    <row r="2478">
      <c r="A2478" s="34" t="n"/>
      <c r="B2478" s="35" t="n"/>
      <c r="C2478" s="35" t="n"/>
      <c r="D2478" s="35" t="n"/>
      <c r="E2478" s="35" t="n"/>
      <c r="F2478" s="36" t="n"/>
      <c r="G2478" s="35" t="n"/>
      <c r="H2478" s="30">
        <f>IF(L2478="","",INDEX(SkiftNavn,L2478))</f>
        <v/>
      </c>
      <c r="I2478" s="30">
        <f>IF(OR(A2478="",L2478=""),"",IF(MOD(A2478-INDEX(SkiftStart,L2478),Syklus)&lt;DagK,"Kveld",IF(MOD(A2478-INDEX(SkiftStart,L2478),Syklus)&lt;DagK+DagH,"Helg",IF(MOD(A2478-INDEX(SkiftStart,L2478),Syklus)&lt;DagK+DagH+DagD,"Dag","Fri"))))</f>
        <v/>
      </c>
      <c r="J2478" s="30">
        <f>IF(I2478="Fri","Ja","")</f>
        <v/>
      </c>
      <c r="K2478" s="30">
        <f>IF(B2478="","",IF(L2478="","Ukjent tekniker",IF(ISNA(MATCH(C2478,Aktiviteter,0)),"Ukjent aktivitet",IF(AND(INDEX(AktRolle,MATCH(C2478,Aktiviteter,0))&amp;""&lt;&gt;"",ISERROR(SEARCH(INDEX(AktRolle,MATCH(C2478,Aktiviteter,0))&amp;"",INDEX(TekRoller,MATCH(B2478,Teknikere,0))))),"Mangler rollen "&amp;INDEX(AktRolle,MATCH(C2478,Aktiviteter,0))&amp;"",IF(AND(C2478="LMS",F2478&gt;0,OR(D2478="",E2478="")),"Mangler maskin eller arbeid",IF(AND(OR(C2478="LMS",C2478="Mod"),D2478&lt;&gt;""),IF(IFERROR(INDEX(MaskinStatus,MATCH(D2478,Maskiner,0)),"")="I dokk","","Maskinen er ikke i dokk"),""))))))</f>
        <v/>
      </c>
      <c r="L2478" s="2">
        <f>IF(B2478="","",IFERROR(INT((MATCH(B2478,Teknikere,0)-1)/18)+1,""))</f>
        <v/>
      </c>
      <c r="M2478" s="2">
        <f>IF(OR(A2478="",B2478=""),"",B2478&amp;"|"&amp;A2478)</f>
        <v/>
      </c>
      <c r="N2478" s="2">
        <f>IF(M2478="","",SUMIFS(TF_Timer,TF_Nokkel,M2478,TF_Akt,C2478))</f>
        <v/>
      </c>
      <c r="O2478" s="2">
        <f>IF(M2478="","",IF(AND(N2478=_xlfn.MAXIFS(TF_AktSum,TF_Nokkel,M2478),COUNTIFS(M$3:M2477,M2478,N$3:N2477,N2478)=0),M2478,""))</f>
        <v/>
      </c>
    </row>
    <row r="2479">
      <c r="A2479" s="34" t="n"/>
      <c r="B2479" s="35" t="n"/>
      <c r="C2479" s="35" t="n"/>
      <c r="D2479" s="35" t="n"/>
      <c r="E2479" s="35" t="n"/>
      <c r="F2479" s="36" t="n"/>
      <c r="G2479" s="35" t="n"/>
      <c r="H2479" s="30">
        <f>IF(L2479="","",INDEX(SkiftNavn,L2479))</f>
        <v/>
      </c>
      <c r="I2479" s="30">
        <f>IF(OR(A2479="",L2479=""),"",IF(MOD(A2479-INDEX(SkiftStart,L2479),Syklus)&lt;DagK,"Kveld",IF(MOD(A2479-INDEX(SkiftStart,L2479),Syklus)&lt;DagK+DagH,"Helg",IF(MOD(A2479-INDEX(SkiftStart,L2479),Syklus)&lt;DagK+DagH+DagD,"Dag","Fri"))))</f>
        <v/>
      </c>
      <c r="J2479" s="30">
        <f>IF(I2479="Fri","Ja","")</f>
        <v/>
      </c>
      <c r="K2479" s="30">
        <f>IF(B2479="","",IF(L2479="","Ukjent tekniker",IF(ISNA(MATCH(C2479,Aktiviteter,0)),"Ukjent aktivitet",IF(AND(INDEX(AktRolle,MATCH(C2479,Aktiviteter,0))&amp;""&lt;&gt;"",ISERROR(SEARCH(INDEX(AktRolle,MATCH(C2479,Aktiviteter,0))&amp;"",INDEX(TekRoller,MATCH(B2479,Teknikere,0))))),"Mangler rollen "&amp;INDEX(AktRolle,MATCH(C2479,Aktiviteter,0))&amp;"",IF(AND(C2479="LMS",F2479&gt;0,OR(D2479="",E2479="")),"Mangler maskin eller arbeid",IF(AND(OR(C2479="LMS",C2479="Mod"),D2479&lt;&gt;""),IF(IFERROR(INDEX(MaskinStatus,MATCH(D2479,Maskiner,0)),"")="I dokk","","Maskinen er ikke i dokk"),""))))))</f>
        <v/>
      </c>
      <c r="L2479" s="2">
        <f>IF(B2479="","",IFERROR(INT((MATCH(B2479,Teknikere,0)-1)/18)+1,""))</f>
        <v/>
      </c>
      <c r="M2479" s="2">
        <f>IF(OR(A2479="",B2479=""),"",B2479&amp;"|"&amp;A2479)</f>
        <v/>
      </c>
      <c r="N2479" s="2">
        <f>IF(M2479="","",SUMIFS(TF_Timer,TF_Nokkel,M2479,TF_Akt,C2479))</f>
        <v/>
      </c>
      <c r="O2479" s="2">
        <f>IF(M2479="","",IF(AND(N2479=_xlfn.MAXIFS(TF_AktSum,TF_Nokkel,M2479),COUNTIFS(M$3:M2478,M2479,N$3:N2478,N2479)=0),M2479,""))</f>
        <v/>
      </c>
    </row>
    <row r="2480">
      <c r="A2480" s="34" t="n"/>
      <c r="B2480" s="35" t="n"/>
      <c r="C2480" s="35" t="n"/>
      <c r="D2480" s="35" t="n"/>
      <c r="E2480" s="35" t="n"/>
      <c r="F2480" s="36" t="n"/>
      <c r="G2480" s="35" t="n"/>
      <c r="H2480" s="30">
        <f>IF(L2480="","",INDEX(SkiftNavn,L2480))</f>
        <v/>
      </c>
      <c r="I2480" s="30">
        <f>IF(OR(A2480="",L2480=""),"",IF(MOD(A2480-INDEX(SkiftStart,L2480),Syklus)&lt;DagK,"Kveld",IF(MOD(A2480-INDEX(SkiftStart,L2480),Syklus)&lt;DagK+DagH,"Helg",IF(MOD(A2480-INDEX(SkiftStart,L2480),Syklus)&lt;DagK+DagH+DagD,"Dag","Fri"))))</f>
        <v/>
      </c>
      <c r="J2480" s="30">
        <f>IF(I2480="Fri","Ja","")</f>
        <v/>
      </c>
      <c r="K2480" s="30">
        <f>IF(B2480="","",IF(L2480="","Ukjent tekniker",IF(ISNA(MATCH(C2480,Aktiviteter,0)),"Ukjent aktivitet",IF(AND(INDEX(AktRolle,MATCH(C2480,Aktiviteter,0))&amp;""&lt;&gt;"",ISERROR(SEARCH(INDEX(AktRolle,MATCH(C2480,Aktiviteter,0))&amp;"",INDEX(TekRoller,MATCH(B2480,Teknikere,0))))),"Mangler rollen "&amp;INDEX(AktRolle,MATCH(C2480,Aktiviteter,0))&amp;"",IF(AND(C2480="LMS",F2480&gt;0,OR(D2480="",E2480="")),"Mangler maskin eller arbeid",IF(AND(OR(C2480="LMS",C2480="Mod"),D2480&lt;&gt;""),IF(IFERROR(INDEX(MaskinStatus,MATCH(D2480,Maskiner,0)),"")="I dokk","","Maskinen er ikke i dokk"),""))))))</f>
        <v/>
      </c>
      <c r="L2480" s="2">
        <f>IF(B2480="","",IFERROR(INT((MATCH(B2480,Teknikere,0)-1)/18)+1,""))</f>
        <v/>
      </c>
      <c r="M2480" s="2">
        <f>IF(OR(A2480="",B2480=""),"",B2480&amp;"|"&amp;A2480)</f>
        <v/>
      </c>
      <c r="N2480" s="2">
        <f>IF(M2480="","",SUMIFS(TF_Timer,TF_Nokkel,M2480,TF_Akt,C2480))</f>
        <v/>
      </c>
      <c r="O2480" s="2">
        <f>IF(M2480="","",IF(AND(N2480=_xlfn.MAXIFS(TF_AktSum,TF_Nokkel,M2480),COUNTIFS(M$3:M2479,M2480,N$3:N2479,N2480)=0),M2480,""))</f>
        <v/>
      </c>
    </row>
    <row r="2481">
      <c r="A2481" s="34" t="n"/>
      <c r="B2481" s="35" t="n"/>
      <c r="C2481" s="35" t="n"/>
      <c r="D2481" s="35" t="n"/>
      <c r="E2481" s="35" t="n"/>
      <c r="F2481" s="36" t="n"/>
      <c r="G2481" s="35" t="n"/>
      <c r="H2481" s="30">
        <f>IF(L2481="","",INDEX(SkiftNavn,L2481))</f>
        <v/>
      </c>
      <c r="I2481" s="30">
        <f>IF(OR(A2481="",L2481=""),"",IF(MOD(A2481-INDEX(SkiftStart,L2481),Syklus)&lt;DagK,"Kveld",IF(MOD(A2481-INDEX(SkiftStart,L2481),Syklus)&lt;DagK+DagH,"Helg",IF(MOD(A2481-INDEX(SkiftStart,L2481),Syklus)&lt;DagK+DagH+DagD,"Dag","Fri"))))</f>
        <v/>
      </c>
      <c r="J2481" s="30">
        <f>IF(I2481="Fri","Ja","")</f>
        <v/>
      </c>
      <c r="K2481" s="30">
        <f>IF(B2481="","",IF(L2481="","Ukjent tekniker",IF(ISNA(MATCH(C2481,Aktiviteter,0)),"Ukjent aktivitet",IF(AND(INDEX(AktRolle,MATCH(C2481,Aktiviteter,0))&amp;""&lt;&gt;"",ISERROR(SEARCH(INDEX(AktRolle,MATCH(C2481,Aktiviteter,0))&amp;"",INDEX(TekRoller,MATCH(B2481,Teknikere,0))))),"Mangler rollen "&amp;INDEX(AktRolle,MATCH(C2481,Aktiviteter,0))&amp;"",IF(AND(C2481="LMS",F2481&gt;0,OR(D2481="",E2481="")),"Mangler maskin eller arbeid",IF(AND(OR(C2481="LMS",C2481="Mod"),D2481&lt;&gt;""),IF(IFERROR(INDEX(MaskinStatus,MATCH(D2481,Maskiner,0)),"")="I dokk","","Maskinen er ikke i dokk"),""))))))</f>
        <v/>
      </c>
      <c r="L2481" s="2">
        <f>IF(B2481="","",IFERROR(INT((MATCH(B2481,Teknikere,0)-1)/18)+1,""))</f>
        <v/>
      </c>
      <c r="M2481" s="2">
        <f>IF(OR(A2481="",B2481=""),"",B2481&amp;"|"&amp;A2481)</f>
        <v/>
      </c>
      <c r="N2481" s="2">
        <f>IF(M2481="","",SUMIFS(TF_Timer,TF_Nokkel,M2481,TF_Akt,C2481))</f>
        <v/>
      </c>
      <c r="O2481" s="2">
        <f>IF(M2481="","",IF(AND(N2481=_xlfn.MAXIFS(TF_AktSum,TF_Nokkel,M2481),COUNTIFS(M$3:M2480,M2481,N$3:N2480,N2481)=0),M2481,""))</f>
        <v/>
      </c>
    </row>
    <row r="2482">
      <c r="A2482" s="34" t="n"/>
      <c r="B2482" s="35" t="n"/>
      <c r="C2482" s="35" t="n"/>
      <c r="D2482" s="35" t="n"/>
      <c r="E2482" s="35" t="n"/>
      <c r="F2482" s="36" t="n"/>
      <c r="G2482" s="35" t="n"/>
      <c r="H2482" s="30">
        <f>IF(L2482="","",INDEX(SkiftNavn,L2482))</f>
        <v/>
      </c>
      <c r="I2482" s="30">
        <f>IF(OR(A2482="",L2482=""),"",IF(MOD(A2482-INDEX(SkiftStart,L2482),Syklus)&lt;DagK,"Kveld",IF(MOD(A2482-INDEX(SkiftStart,L2482),Syklus)&lt;DagK+DagH,"Helg",IF(MOD(A2482-INDEX(SkiftStart,L2482),Syklus)&lt;DagK+DagH+DagD,"Dag","Fri"))))</f>
        <v/>
      </c>
      <c r="J2482" s="30">
        <f>IF(I2482="Fri","Ja","")</f>
        <v/>
      </c>
      <c r="K2482" s="30">
        <f>IF(B2482="","",IF(L2482="","Ukjent tekniker",IF(ISNA(MATCH(C2482,Aktiviteter,0)),"Ukjent aktivitet",IF(AND(INDEX(AktRolle,MATCH(C2482,Aktiviteter,0))&amp;""&lt;&gt;"",ISERROR(SEARCH(INDEX(AktRolle,MATCH(C2482,Aktiviteter,0))&amp;"",INDEX(TekRoller,MATCH(B2482,Teknikere,0))))),"Mangler rollen "&amp;INDEX(AktRolle,MATCH(C2482,Aktiviteter,0))&amp;"",IF(AND(C2482="LMS",F2482&gt;0,OR(D2482="",E2482="")),"Mangler maskin eller arbeid",IF(AND(OR(C2482="LMS",C2482="Mod"),D2482&lt;&gt;""),IF(IFERROR(INDEX(MaskinStatus,MATCH(D2482,Maskiner,0)),"")="I dokk","","Maskinen er ikke i dokk"),""))))))</f>
        <v/>
      </c>
      <c r="L2482" s="2">
        <f>IF(B2482="","",IFERROR(INT((MATCH(B2482,Teknikere,0)-1)/18)+1,""))</f>
        <v/>
      </c>
      <c r="M2482" s="2">
        <f>IF(OR(A2482="",B2482=""),"",B2482&amp;"|"&amp;A2482)</f>
        <v/>
      </c>
      <c r="N2482" s="2">
        <f>IF(M2482="","",SUMIFS(TF_Timer,TF_Nokkel,M2482,TF_Akt,C2482))</f>
        <v/>
      </c>
      <c r="O2482" s="2">
        <f>IF(M2482="","",IF(AND(N2482=_xlfn.MAXIFS(TF_AktSum,TF_Nokkel,M2482),COUNTIFS(M$3:M2481,M2482,N$3:N2481,N2482)=0),M2482,""))</f>
        <v/>
      </c>
    </row>
    <row r="2483">
      <c r="A2483" s="34" t="n"/>
      <c r="B2483" s="35" t="n"/>
      <c r="C2483" s="35" t="n"/>
      <c r="D2483" s="35" t="n"/>
      <c r="E2483" s="35" t="n"/>
      <c r="F2483" s="36" t="n"/>
      <c r="G2483" s="35" t="n"/>
      <c r="H2483" s="30">
        <f>IF(L2483="","",INDEX(SkiftNavn,L2483))</f>
        <v/>
      </c>
      <c r="I2483" s="30">
        <f>IF(OR(A2483="",L2483=""),"",IF(MOD(A2483-INDEX(SkiftStart,L2483),Syklus)&lt;DagK,"Kveld",IF(MOD(A2483-INDEX(SkiftStart,L2483),Syklus)&lt;DagK+DagH,"Helg",IF(MOD(A2483-INDEX(SkiftStart,L2483),Syklus)&lt;DagK+DagH+DagD,"Dag","Fri"))))</f>
        <v/>
      </c>
      <c r="J2483" s="30">
        <f>IF(I2483="Fri","Ja","")</f>
        <v/>
      </c>
      <c r="K2483" s="30">
        <f>IF(B2483="","",IF(L2483="","Ukjent tekniker",IF(ISNA(MATCH(C2483,Aktiviteter,0)),"Ukjent aktivitet",IF(AND(INDEX(AktRolle,MATCH(C2483,Aktiviteter,0))&amp;""&lt;&gt;"",ISERROR(SEARCH(INDEX(AktRolle,MATCH(C2483,Aktiviteter,0))&amp;"",INDEX(TekRoller,MATCH(B2483,Teknikere,0))))),"Mangler rollen "&amp;INDEX(AktRolle,MATCH(C2483,Aktiviteter,0))&amp;"",IF(AND(C2483="LMS",F2483&gt;0,OR(D2483="",E2483="")),"Mangler maskin eller arbeid",IF(AND(OR(C2483="LMS",C2483="Mod"),D2483&lt;&gt;""),IF(IFERROR(INDEX(MaskinStatus,MATCH(D2483,Maskiner,0)),"")="I dokk","","Maskinen er ikke i dokk"),""))))))</f>
        <v/>
      </c>
      <c r="L2483" s="2">
        <f>IF(B2483="","",IFERROR(INT((MATCH(B2483,Teknikere,0)-1)/18)+1,""))</f>
        <v/>
      </c>
      <c r="M2483" s="2">
        <f>IF(OR(A2483="",B2483=""),"",B2483&amp;"|"&amp;A2483)</f>
        <v/>
      </c>
      <c r="N2483" s="2">
        <f>IF(M2483="","",SUMIFS(TF_Timer,TF_Nokkel,M2483,TF_Akt,C2483))</f>
        <v/>
      </c>
      <c r="O2483" s="2">
        <f>IF(M2483="","",IF(AND(N2483=_xlfn.MAXIFS(TF_AktSum,TF_Nokkel,M2483),COUNTIFS(M$3:M2482,M2483,N$3:N2482,N2483)=0),M2483,""))</f>
        <v/>
      </c>
    </row>
    <row r="2484">
      <c r="A2484" s="34" t="n"/>
      <c r="B2484" s="35" t="n"/>
      <c r="C2484" s="35" t="n"/>
      <c r="D2484" s="35" t="n"/>
      <c r="E2484" s="35" t="n"/>
      <c r="F2484" s="36" t="n"/>
      <c r="G2484" s="35" t="n"/>
      <c r="H2484" s="30">
        <f>IF(L2484="","",INDEX(SkiftNavn,L2484))</f>
        <v/>
      </c>
      <c r="I2484" s="30">
        <f>IF(OR(A2484="",L2484=""),"",IF(MOD(A2484-INDEX(SkiftStart,L2484),Syklus)&lt;DagK,"Kveld",IF(MOD(A2484-INDEX(SkiftStart,L2484),Syklus)&lt;DagK+DagH,"Helg",IF(MOD(A2484-INDEX(SkiftStart,L2484),Syklus)&lt;DagK+DagH+DagD,"Dag","Fri"))))</f>
        <v/>
      </c>
      <c r="J2484" s="30">
        <f>IF(I2484="Fri","Ja","")</f>
        <v/>
      </c>
      <c r="K2484" s="30">
        <f>IF(B2484="","",IF(L2484="","Ukjent tekniker",IF(ISNA(MATCH(C2484,Aktiviteter,0)),"Ukjent aktivitet",IF(AND(INDEX(AktRolle,MATCH(C2484,Aktiviteter,0))&amp;""&lt;&gt;"",ISERROR(SEARCH(INDEX(AktRolle,MATCH(C2484,Aktiviteter,0))&amp;"",INDEX(TekRoller,MATCH(B2484,Teknikere,0))))),"Mangler rollen "&amp;INDEX(AktRolle,MATCH(C2484,Aktiviteter,0))&amp;"",IF(AND(C2484="LMS",F2484&gt;0,OR(D2484="",E2484="")),"Mangler maskin eller arbeid",IF(AND(OR(C2484="LMS",C2484="Mod"),D2484&lt;&gt;""),IF(IFERROR(INDEX(MaskinStatus,MATCH(D2484,Maskiner,0)),"")="I dokk","","Maskinen er ikke i dokk"),""))))))</f>
        <v/>
      </c>
      <c r="L2484" s="2">
        <f>IF(B2484="","",IFERROR(INT((MATCH(B2484,Teknikere,0)-1)/18)+1,""))</f>
        <v/>
      </c>
      <c r="M2484" s="2">
        <f>IF(OR(A2484="",B2484=""),"",B2484&amp;"|"&amp;A2484)</f>
        <v/>
      </c>
      <c r="N2484" s="2">
        <f>IF(M2484="","",SUMIFS(TF_Timer,TF_Nokkel,M2484,TF_Akt,C2484))</f>
        <v/>
      </c>
      <c r="O2484" s="2">
        <f>IF(M2484="","",IF(AND(N2484=_xlfn.MAXIFS(TF_AktSum,TF_Nokkel,M2484),COUNTIFS(M$3:M2483,M2484,N$3:N2483,N2484)=0),M2484,""))</f>
        <v/>
      </c>
    </row>
    <row r="2485">
      <c r="A2485" s="34" t="n"/>
      <c r="B2485" s="35" t="n"/>
      <c r="C2485" s="35" t="n"/>
      <c r="D2485" s="35" t="n"/>
      <c r="E2485" s="35" t="n"/>
      <c r="F2485" s="36" t="n"/>
      <c r="G2485" s="35" t="n"/>
      <c r="H2485" s="30">
        <f>IF(L2485="","",INDEX(SkiftNavn,L2485))</f>
        <v/>
      </c>
      <c r="I2485" s="30">
        <f>IF(OR(A2485="",L2485=""),"",IF(MOD(A2485-INDEX(SkiftStart,L2485),Syklus)&lt;DagK,"Kveld",IF(MOD(A2485-INDEX(SkiftStart,L2485),Syklus)&lt;DagK+DagH,"Helg",IF(MOD(A2485-INDEX(SkiftStart,L2485),Syklus)&lt;DagK+DagH+DagD,"Dag","Fri"))))</f>
        <v/>
      </c>
      <c r="J2485" s="30">
        <f>IF(I2485="Fri","Ja","")</f>
        <v/>
      </c>
      <c r="K2485" s="30">
        <f>IF(B2485="","",IF(L2485="","Ukjent tekniker",IF(ISNA(MATCH(C2485,Aktiviteter,0)),"Ukjent aktivitet",IF(AND(INDEX(AktRolle,MATCH(C2485,Aktiviteter,0))&amp;""&lt;&gt;"",ISERROR(SEARCH(INDEX(AktRolle,MATCH(C2485,Aktiviteter,0))&amp;"",INDEX(TekRoller,MATCH(B2485,Teknikere,0))))),"Mangler rollen "&amp;INDEX(AktRolle,MATCH(C2485,Aktiviteter,0))&amp;"",IF(AND(C2485="LMS",F2485&gt;0,OR(D2485="",E2485="")),"Mangler maskin eller arbeid",IF(AND(OR(C2485="LMS",C2485="Mod"),D2485&lt;&gt;""),IF(IFERROR(INDEX(MaskinStatus,MATCH(D2485,Maskiner,0)),"")="I dokk","","Maskinen er ikke i dokk"),""))))))</f>
        <v/>
      </c>
      <c r="L2485" s="2">
        <f>IF(B2485="","",IFERROR(INT((MATCH(B2485,Teknikere,0)-1)/18)+1,""))</f>
        <v/>
      </c>
      <c r="M2485" s="2">
        <f>IF(OR(A2485="",B2485=""),"",B2485&amp;"|"&amp;A2485)</f>
        <v/>
      </c>
      <c r="N2485" s="2">
        <f>IF(M2485="","",SUMIFS(TF_Timer,TF_Nokkel,M2485,TF_Akt,C2485))</f>
        <v/>
      </c>
      <c r="O2485" s="2">
        <f>IF(M2485="","",IF(AND(N2485=_xlfn.MAXIFS(TF_AktSum,TF_Nokkel,M2485),COUNTIFS(M$3:M2484,M2485,N$3:N2484,N2485)=0),M2485,""))</f>
        <v/>
      </c>
    </row>
    <row r="2486">
      <c r="A2486" s="34" t="n"/>
      <c r="B2486" s="35" t="n"/>
      <c r="C2486" s="35" t="n"/>
      <c r="D2486" s="35" t="n"/>
      <c r="E2486" s="35" t="n"/>
      <c r="F2486" s="36" t="n"/>
      <c r="G2486" s="35" t="n"/>
      <c r="H2486" s="30">
        <f>IF(L2486="","",INDEX(SkiftNavn,L2486))</f>
        <v/>
      </c>
      <c r="I2486" s="30">
        <f>IF(OR(A2486="",L2486=""),"",IF(MOD(A2486-INDEX(SkiftStart,L2486),Syklus)&lt;DagK,"Kveld",IF(MOD(A2486-INDEX(SkiftStart,L2486),Syklus)&lt;DagK+DagH,"Helg",IF(MOD(A2486-INDEX(SkiftStart,L2486),Syklus)&lt;DagK+DagH+DagD,"Dag","Fri"))))</f>
        <v/>
      </c>
      <c r="J2486" s="30">
        <f>IF(I2486="Fri","Ja","")</f>
        <v/>
      </c>
      <c r="K2486" s="30">
        <f>IF(B2486="","",IF(L2486="","Ukjent tekniker",IF(ISNA(MATCH(C2486,Aktiviteter,0)),"Ukjent aktivitet",IF(AND(INDEX(AktRolle,MATCH(C2486,Aktiviteter,0))&amp;""&lt;&gt;"",ISERROR(SEARCH(INDEX(AktRolle,MATCH(C2486,Aktiviteter,0))&amp;"",INDEX(TekRoller,MATCH(B2486,Teknikere,0))))),"Mangler rollen "&amp;INDEX(AktRolle,MATCH(C2486,Aktiviteter,0))&amp;"",IF(AND(C2486="LMS",F2486&gt;0,OR(D2486="",E2486="")),"Mangler maskin eller arbeid",IF(AND(OR(C2486="LMS",C2486="Mod"),D2486&lt;&gt;""),IF(IFERROR(INDEX(MaskinStatus,MATCH(D2486,Maskiner,0)),"")="I dokk","","Maskinen er ikke i dokk"),""))))))</f>
        <v/>
      </c>
      <c r="L2486" s="2">
        <f>IF(B2486="","",IFERROR(INT((MATCH(B2486,Teknikere,0)-1)/18)+1,""))</f>
        <v/>
      </c>
      <c r="M2486" s="2">
        <f>IF(OR(A2486="",B2486=""),"",B2486&amp;"|"&amp;A2486)</f>
        <v/>
      </c>
      <c r="N2486" s="2">
        <f>IF(M2486="","",SUMIFS(TF_Timer,TF_Nokkel,M2486,TF_Akt,C2486))</f>
        <v/>
      </c>
      <c r="O2486" s="2">
        <f>IF(M2486="","",IF(AND(N2486=_xlfn.MAXIFS(TF_AktSum,TF_Nokkel,M2486),COUNTIFS(M$3:M2485,M2486,N$3:N2485,N2486)=0),M2486,""))</f>
        <v/>
      </c>
    </row>
    <row r="2487">
      <c r="A2487" s="34" t="n"/>
      <c r="B2487" s="35" t="n"/>
      <c r="C2487" s="35" t="n"/>
      <c r="D2487" s="35" t="n"/>
      <c r="E2487" s="35" t="n"/>
      <c r="F2487" s="36" t="n"/>
      <c r="G2487" s="35" t="n"/>
      <c r="H2487" s="30">
        <f>IF(L2487="","",INDEX(SkiftNavn,L2487))</f>
        <v/>
      </c>
      <c r="I2487" s="30">
        <f>IF(OR(A2487="",L2487=""),"",IF(MOD(A2487-INDEX(SkiftStart,L2487),Syklus)&lt;DagK,"Kveld",IF(MOD(A2487-INDEX(SkiftStart,L2487),Syklus)&lt;DagK+DagH,"Helg",IF(MOD(A2487-INDEX(SkiftStart,L2487),Syklus)&lt;DagK+DagH+DagD,"Dag","Fri"))))</f>
        <v/>
      </c>
      <c r="J2487" s="30">
        <f>IF(I2487="Fri","Ja","")</f>
        <v/>
      </c>
      <c r="K2487" s="30">
        <f>IF(B2487="","",IF(L2487="","Ukjent tekniker",IF(ISNA(MATCH(C2487,Aktiviteter,0)),"Ukjent aktivitet",IF(AND(INDEX(AktRolle,MATCH(C2487,Aktiviteter,0))&amp;""&lt;&gt;"",ISERROR(SEARCH(INDEX(AktRolle,MATCH(C2487,Aktiviteter,0))&amp;"",INDEX(TekRoller,MATCH(B2487,Teknikere,0))))),"Mangler rollen "&amp;INDEX(AktRolle,MATCH(C2487,Aktiviteter,0))&amp;"",IF(AND(C2487="LMS",F2487&gt;0,OR(D2487="",E2487="")),"Mangler maskin eller arbeid",IF(AND(OR(C2487="LMS",C2487="Mod"),D2487&lt;&gt;""),IF(IFERROR(INDEX(MaskinStatus,MATCH(D2487,Maskiner,0)),"")="I dokk","","Maskinen er ikke i dokk"),""))))))</f>
        <v/>
      </c>
      <c r="L2487" s="2">
        <f>IF(B2487="","",IFERROR(INT((MATCH(B2487,Teknikere,0)-1)/18)+1,""))</f>
        <v/>
      </c>
      <c r="M2487" s="2">
        <f>IF(OR(A2487="",B2487=""),"",B2487&amp;"|"&amp;A2487)</f>
        <v/>
      </c>
      <c r="N2487" s="2">
        <f>IF(M2487="","",SUMIFS(TF_Timer,TF_Nokkel,M2487,TF_Akt,C2487))</f>
        <v/>
      </c>
      <c r="O2487" s="2">
        <f>IF(M2487="","",IF(AND(N2487=_xlfn.MAXIFS(TF_AktSum,TF_Nokkel,M2487),COUNTIFS(M$3:M2486,M2487,N$3:N2486,N2487)=0),M2487,""))</f>
        <v/>
      </c>
    </row>
    <row r="2488">
      <c r="A2488" s="34" t="n"/>
      <c r="B2488" s="35" t="n"/>
      <c r="C2488" s="35" t="n"/>
      <c r="D2488" s="35" t="n"/>
      <c r="E2488" s="35" t="n"/>
      <c r="F2488" s="36" t="n"/>
      <c r="G2488" s="35" t="n"/>
      <c r="H2488" s="30">
        <f>IF(L2488="","",INDEX(SkiftNavn,L2488))</f>
        <v/>
      </c>
      <c r="I2488" s="30">
        <f>IF(OR(A2488="",L2488=""),"",IF(MOD(A2488-INDEX(SkiftStart,L2488),Syklus)&lt;DagK,"Kveld",IF(MOD(A2488-INDEX(SkiftStart,L2488),Syklus)&lt;DagK+DagH,"Helg",IF(MOD(A2488-INDEX(SkiftStart,L2488),Syklus)&lt;DagK+DagH+DagD,"Dag","Fri"))))</f>
        <v/>
      </c>
      <c r="J2488" s="30">
        <f>IF(I2488="Fri","Ja","")</f>
        <v/>
      </c>
      <c r="K2488" s="30">
        <f>IF(B2488="","",IF(L2488="","Ukjent tekniker",IF(ISNA(MATCH(C2488,Aktiviteter,0)),"Ukjent aktivitet",IF(AND(INDEX(AktRolle,MATCH(C2488,Aktiviteter,0))&amp;""&lt;&gt;"",ISERROR(SEARCH(INDEX(AktRolle,MATCH(C2488,Aktiviteter,0))&amp;"",INDEX(TekRoller,MATCH(B2488,Teknikere,0))))),"Mangler rollen "&amp;INDEX(AktRolle,MATCH(C2488,Aktiviteter,0))&amp;"",IF(AND(C2488="LMS",F2488&gt;0,OR(D2488="",E2488="")),"Mangler maskin eller arbeid",IF(AND(OR(C2488="LMS",C2488="Mod"),D2488&lt;&gt;""),IF(IFERROR(INDEX(MaskinStatus,MATCH(D2488,Maskiner,0)),"")="I dokk","","Maskinen er ikke i dokk"),""))))))</f>
        <v/>
      </c>
      <c r="L2488" s="2">
        <f>IF(B2488="","",IFERROR(INT((MATCH(B2488,Teknikere,0)-1)/18)+1,""))</f>
        <v/>
      </c>
      <c r="M2488" s="2">
        <f>IF(OR(A2488="",B2488=""),"",B2488&amp;"|"&amp;A2488)</f>
        <v/>
      </c>
      <c r="N2488" s="2">
        <f>IF(M2488="","",SUMIFS(TF_Timer,TF_Nokkel,M2488,TF_Akt,C2488))</f>
        <v/>
      </c>
      <c r="O2488" s="2">
        <f>IF(M2488="","",IF(AND(N2488=_xlfn.MAXIFS(TF_AktSum,TF_Nokkel,M2488),COUNTIFS(M$3:M2487,M2488,N$3:N2487,N2488)=0),M2488,""))</f>
        <v/>
      </c>
    </row>
    <row r="2489">
      <c r="A2489" s="34" t="n"/>
      <c r="B2489" s="35" t="n"/>
      <c r="C2489" s="35" t="n"/>
      <c r="D2489" s="35" t="n"/>
      <c r="E2489" s="35" t="n"/>
      <c r="F2489" s="36" t="n"/>
      <c r="G2489" s="35" t="n"/>
      <c r="H2489" s="30">
        <f>IF(L2489="","",INDEX(SkiftNavn,L2489))</f>
        <v/>
      </c>
      <c r="I2489" s="30">
        <f>IF(OR(A2489="",L2489=""),"",IF(MOD(A2489-INDEX(SkiftStart,L2489),Syklus)&lt;DagK,"Kveld",IF(MOD(A2489-INDEX(SkiftStart,L2489),Syklus)&lt;DagK+DagH,"Helg",IF(MOD(A2489-INDEX(SkiftStart,L2489),Syklus)&lt;DagK+DagH+DagD,"Dag","Fri"))))</f>
        <v/>
      </c>
      <c r="J2489" s="30">
        <f>IF(I2489="Fri","Ja","")</f>
        <v/>
      </c>
      <c r="K2489" s="30">
        <f>IF(B2489="","",IF(L2489="","Ukjent tekniker",IF(ISNA(MATCH(C2489,Aktiviteter,0)),"Ukjent aktivitet",IF(AND(INDEX(AktRolle,MATCH(C2489,Aktiviteter,0))&amp;""&lt;&gt;"",ISERROR(SEARCH(INDEX(AktRolle,MATCH(C2489,Aktiviteter,0))&amp;"",INDEX(TekRoller,MATCH(B2489,Teknikere,0))))),"Mangler rollen "&amp;INDEX(AktRolle,MATCH(C2489,Aktiviteter,0))&amp;"",IF(AND(C2489="LMS",F2489&gt;0,OR(D2489="",E2489="")),"Mangler maskin eller arbeid",IF(AND(OR(C2489="LMS",C2489="Mod"),D2489&lt;&gt;""),IF(IFERROR(INDEX(MaskinStatus,MATCH(D2489,Maskiner,0)),"")="I dokk","","Maskinen er ikke i dokk"),""))))))</f>
        <v/>
      </c>
      <c r="L2489" s="2">
        <f>IF(B2489="","",IFERROR(INT((MATCH(B2489,Teknikere,0)-1)/18)+1,""))</f>
        <v/>
      </c>
      <c r="M2489" s="2">
        <f>IF(OR(A2489="",B2489=""),"",B2489&amp;"|"&amp;A2489)</f>
        <v/>
      </c>
      <c r="N2489" s="2">
        <f>IF(M2489="","",SUMIFS(TF_Timer,TF_Nokkel,M2489,TF_Akt,C2489))</f>
        <v/>
      </c>
      <c r="O2489" s="2">
        <f>IF(M2489="","",IF(AND(N2489=_xlfn.MAXIFS(TF_AktSum,TF_Nokkel,M2489),COUNTIFS(M$3:M2488,M2489,N$3:N2488,N2489)=0),M2489,""))</f>
        <v/>
      </c>
    </row>
    <row r="2490">
      <c r="A2490" s="34" t="n"/>
      <c r="B2490" s="35" t="n"/>
      <c r="C2490" s="35" t="n"/>
      <c r="D2490" s="35" t="n"/>
      <c r="E2490" s="35" t="n"/>
      <c r="F2490" s="36" t="n"/>
      <c r="G2490" s="35" t="n"/>
      <c r="H2490" s="30">
        <f>IF(L2490="","",INDEX(SkiftNavn,L2490))</f>
        <v/>
      </c>
      <c r="I2490" s="30">
        <f>IF(OR(A2490="",L2490=""),"",IF(MOD(A2490-INDEX(SkiftStart,L2490),Syklus)&lt;DagK,"Kveld",IF(MOD(A2490-INDEX(SkiftStart,L2490),Syklus)&lt;DagK+DagH,"Helg",IF(MOD(A2490-INDEX(SkiftStart,L2490),Syklus)&lt;DagK+DagH+DagD,"Dag","Fri"))))</f>
        <v/>
      </c>
      <c r="J2490" s="30">
        <f>IF(I2490="Fri","Ja","")</f>
        <v/>
      </c>
      <c r="K2490" s="30">
        <f>IF(B2490="","",IF(L2490="","Ukjent tekniker",IF(ISNA(MATCH(C2490,Aktiviteter,0)),"Ukjent aktivitet",IF(AND(INDEX(AktRolle,MATCH(C2490,Aktiviteter,0))&amp;""&lt;&gt;"",ISERROR(SEARCH(INDEX(AktRolle,MATCH(C2490,Aktiviteter,0))&amp;"",INDEX(TekRoller,MATCH(B2490,Teknikere,0))))),"Mangler rollen "&amp;INDEX(AktRolle,MATCH(C2490,Aktiviteter,0))&amp;"",IF(AND(C2490="LMS",F2490&gt;0,OR(D2490="",E2490="")),"Mangler maskin eller arbeid",IF(AND(OR(C2490="LMS",C2490="Mod"),D2490&lt;&gt;""),IF(IFERROR(INDEX(MaskinStatus,MATCH(D2490,Maskiner,0)),"")="I dokk","","Maskinen er ikke i dokk"),""))))))</f>
        <v/>
      </c>
      <c r="L2490" s="2">
        <f>IF(B2490="","",IFERROR(INT((MATCH(B2490,Teknikere,0)-1)/18)+1,""))</f>
        <v/>
      </c>
      <c r="M2490" s="2">
        <f>IF(OR(A2490="",B2490=""),"",B2490&amp;"|"&amp;A2490)</f>
        <v/>
      </c>
      <c r="N2490" s="2">
        <f>IF(M2490="","",SUMIFS(TF_Timer,TF_Nokkel,M2490,TF_Akt,C2490))</f>
        <v/>
      </c>
      <c r="O2490" s="2">
        <f>IF(M2490="","",IF(AND(N2490=_xlfn.MAXIFS(TF_AktSum,TF_Nokkel,M2490),COUNTIFS(M$3:M2489,M2490,N$3:N2489,N2490)=0),M2490,""))</f>
        <v/>
      </c>
    </row>
    <row r="2491">
      <c r="A2491" s="34" t="n"/>
      <c r="B2491" s="35" t="n"/>
      <c r="C2491" s="35" t="n"/>
      <c r="D2491" s="35" t="n"/>
      <c r="E2491" s="35" t="n"/>
      <c r="F2491" s="36" t="n"/>
      <c r="G2491" s="35" t="n"/>
      <c r="H2491" s="30">
        <f>IF(L2491="","",INDEX(SkiftNavn,L2491))</f>
        <v/>
      </c>
      <c r="I2491" s="30">
        <f>IF(OR(A2491="",L2491=""),"",IF(MOD(A2491-INDEX(SkiftStart,L2491),Syklus)&lt;DagK,"Kveld",IF(MOD(A2491-INDEX(SkiftStart,L2491),Syklus)&lt;DagK+DagH,"Helg",IF(MOD(A2491-INDEX(SkiftStart,L2491),Syklus)&lt;DagK+DagH+DagD,"Dag","Fri"))))</f>
        <v/>
      </c>
      <c r="J2491" s="30">
        <f>IF(I2491="Fri","Ja","")</f>
        <v/>
      </c>
      <c r="K2491" s="30">
        <f>IF(B2491="","",IF(L2491="","Ukjent tekniker",IF(ISNA(MATCH(C2491,Aktiviteter,0)),"Ukjent aktivitet",IF(AND(INDEX(AktRolle,MATCH(C2491,Aktiviteter,0))&amp;""&lt;&gt;"",ISERROR(SEARCH(INDEX(AktRolle,MATCH(C2491,Aktiviteter,0))&amp;"",INDEX(TekRoller,MATCH(B2491,Teknikere,0))))),"Mangler rollen "&amp;INDEX(AktRolle,MATCH(C2491,Aktiviteter,0))&amp;"",IF(AND(C2491="LMS",F2491&gt;0,OR(D2491="",E2491="")),"Mangler maskin eller arbeid",IF(AND(OR(C2491="LMS",C2491="Mod"),D2491&lt;&gt;""),IF(IFERROR(INDEX(MaskinStatus,MATCH(D2491,Maskiner,0)),"")="I dokk","","Maskinen er ikke i dokk"),""))))))</f>
        <v/>
      </c>
      <c r="L2491" s="2">
        <f>IF(B2491="","",IFERROR(INT((MATCH(B2491,Teknikere,0)-1)/18)+1,""))</f>
        <v/>
      </c>
      <c r="M2491" s="2">
        <f>IF(OR(A2491="",B2491=""),"",B2491&amp;"|"&amp;A2491)</f>
        <v/>
      </c>
      <c r="N2491" s="2">
        <f>IF(M2491="","",SUMIFS(TF_Timer,TF_Nokkel,M2491,TF_Akt,C2491))</f>
        <v/>
      </c>
      <c r="O2491" s="2">
        <f>IF(M2491="","",IF(AND(N2491=_xlfn.MAXIFS(TF_AktSum,TF_Nokkel,M2491),COUNTIFS(M$3:M2490,M2491,N$3:N2490,N2491)=0),M2491,""))</f>
        <v/>
      </c>
    </row>
    <row r="2492">
      <c r="A2492" s="34" t="n"/>
      <c r="B2492" s="35" t="n"/>
      <c r="C2492" s="35" t="n"/>
      <c r="D2492" s="35" t="n"/>
      <c r="E2492" s="35" t="n"/>
      <c r="F2492" s="36" t="n"/>
      <c r="G2492" s="35" t="n"/>
      <c r="H2492" s="30">
        <f>IF(L2492="","",INDEX(SkiftNavn,L2492))</f>
        <v/>
      </c>
      <c r="I2492" s="30">
        <f>IF(OR(A2492="",L2492=""),"",IF(MOD(A2492-INDEX(SkiftStart,L2492),Syklus)&lt;DagK,"Kveld",IF(MOD(A2492-INDEX(SkiftStart,L2492),Syklus)&lt;DagK+DagH,"Helg",IF(MOD(A2492-INDEX(SkiftStart,L2492),Syklus)&lt;DagK+DagH+DagD,"Dag","Fri"))))</f>
        <v/>
      </c>
      <c r="J2492" s="30">
        <f>IF(I2492="Fri","Ja","")</f>
        <v/>
      </c>
      <c r="K2492" s="30">
        <f>IF(B2492="","",IF(L2492="","Ukjent tekniker",IF(ISNA(MATCH(C2492,Aktiviteter,0)),"Ukjent aktivitet",IF(AND(INDEX(AktRolle,MATCH(C2492,Aktiviteter,0))&amp;""&lt;&gt;"",ISERROR(SEARCH(INDEX(AktRolle,MATCH(C2492,Aktiviteter,0))&amp;"",INDEX(TekRoller,MATCH(B2492,Teknikere,0))))),"Mangler rollen "&amp;INDEX(AktRolle,MATCH(C2492,Aktiviteter,0))&amp;"",IF(AND(C2492="LMS",F2492&gt;0,OR(D2492="",E2492="")),"Mangler maskin eller arbeid",IF(AND(OR(C2492="LMS",C2492="Mod"),D2492&lt;&gt;""),IF(IFERROR(INDEX(MaskinStatus,MATCH(D2492,Maskiner,0)),"")="I dokk","","Maskinen er ikke i dokk"),""))))))</f>
        <v/>
      </c>
      <c r="L2492" s="2">
        <f>IF(B2492="","",IFERROR(INT((MATCH(B2492,Teknikere,0)-1)/18)+1,""))</f>
        <v/>
      </c>
      <c r="M2492" s="2">
        <f>IF(OR(A2492="",B2492=""),"",B2492&amp;"|"&amp;A2492)</f>
        <v/>
      </c>
      <c r="N2492" s="2">
        <f>IF(M2492="","",SUMIFS(TF_Timer,TF_Nokkel,M2492,TF_Akt,C2492))</f>
        <v/>
      </c>
      <c r="O2492" s="2">
        <f>IF(M2492="","",IF(AND(N2492=_xlfn.MAXIFS(TF_AktSum,TF_Nokkel,M2492),COUNTIFS(M$3:M2491,M2492,N$3:N2491,N2492)=0),M2492,""))</f>
        <v/>
      </c>
    </row>
    <row r="2493">
      <c r="A2493" s="34" t="n"/>
      <c r="B2493" s="35" t="n"/>
      <c r="C2493" s="35" t="n"/>
      <c r="D2493" s="35" t="n"/>
      <c r="E2493" s="35" t="n"/>
      <c r="F2493" s="36" t="n"/>
      <c r="G2493" s="35" t="n"/>
      <c r="H2493" s="30">
        <f>IF(L2493="","",INDEX(SkiftNavn,L2493))</f>
        <v/>
      </c>
      <c r="I2493" s="30">
        <f>IF(OR(A2493="",L2493=""),"",IF(MOD(A2493-INDEX(SkiftStart,L2493),Syklus)&lt;DagK,"Kveld",IF(MOD(A2493-INDEX(SkiftStart,L2493),Syklus)&lt;DagK+DagH,"Helg",IF(MOD(A2493-INDEX(SkiftStart,L2493),Syklus)&lt;DagK+DagH+DagD,"Dag","Fri"))))</f>
        <v/>
      </c>
      <c r="J2493" s="30">
        <f>IF(I2493="Fri","Ja","")</f>
        <v/>
      </c>
      <c r="K2493" s="30">
        <f>IF(B2493="","",IF(L2493="","Ukjent tekniker",IF(ISNA(MATCH(C2493,Aktiviteter,0)),"Ukjent aktivitet",IF(AND(INDEX(AktRolle,MATCH(C2493,Aktiviteter,0))&amp;""&lt;&gt;"",ISERROR(SEARCH(INDEX(AktRolle,MATCH(C2493,Aktiviteter,0))&amp;"",INDEX(TekRoller,MATCH(B2493,Teknikere,0))))),"Mangler rollen "&amp;INDEX(AktRolle,MATCH(C2493,Aktiviteter,0))&amp;"",IF(AND(C2493="LMS",F2493&gt;0,OR(D2493="",E2493="")),"Mangler maskin eller arbeid",IF(AND(OR(C2493="LMS",C2493="Mod"),D2493&lt;&gt;""),IF(IFERROR(INDEX(MaskinStatus,MATCH(D2493,Maskiner,0)),"")="I dokk","","Maskinen er ikke i dokk"),""))))))</f>
        <v/>
      </c>
      <c r="L2493" s="2">
        <f>IF(B2493="","",IFERROR(INT((MATCH(B2493,Teknikere,0)-1)/18)+1,""))</f>
        <v/>
      </c>
      <c r="M2493" s="2">
        <f>IF(OR(A2493="",B2493=""),"",B2493&amp;"|"&amp;A2493)</f>
        <v/>
      </c>
      <c r="N2493" s="2">
        <f>IF(M2493="","",SUMIFS(TF_Timer,TF_Nokkel,M2493,TF_Akt,C2493))</f>
        <v/>
      </c>
      <c r="O2493" s="2">
        <f>IF(M2493="","",IF(AND(N2493=_xlfn.MAXIFS(TF_AktSum,TF_Nokkel,M2493),COUNTIFS(M$3:M2492,M2493,N$3:N2492,N2493)=0),M2493,""))</f>
        <v/>
      </c>
    </row>
    <row r="2494">
      <c r="A2494" s="34" t="n"/>
      <c r="B2494" s="35" t="n"/>
      <c r="C2494" s="35" t="n"/>
      <c r="D2494" s="35" t="n"/>
      <c r="E2494" s="35" t="n"/>
      <c r="F2494" s="36" t="n"/>
      <c r="G2494" s="35" t="n"/>
      <c r="H2494" s="30">
        <f>IF(L2494="","",INDEX(SkiftNavn,L2494))</f>
        <v/>
      </c>
      <c r="I2494" s="30">
        <f>IF(OR(A2494="",L2494=""),"",IF(MOD(A2494-INDEX(SkiftStart,L2494),Syklus)&lt;DagK,"Kveld",IF(MOD(A2494-INDEX(SkiftStart,L2494),Syklus)&lt;DagK+DagH,"Helg",IF(MOD(A2494-INDEX(SkiftStart,L2494),Syklus)&lt;DagK+DagH+DagD,"Dag","Fri"))))</f>
        <v/>
      </c>
      <c r="J2494" s="30">
        <f>IF(I2494="Fri","Ja","")</f>
        <v/>
      </c>
      <c r="K2494" s="30">
        <f>IF(B2494="","",IF(L2494="","Ukjent tekniker",IF(ISNA(MATCH(C2494,Aktiviteter,0)),"Ukjent aktivitet",IF(AND(INDEX(AktRolle,MATCH(C2494,Aktiviteter,0))&amp;""&lt;&gt;"",ISERROR(SEARCH(INDEX(AktRolle,MATCH(C2494,Aktiviteter,0))&amp;"",INDEX(TekRoller,MATCH(B2494,Teknikere,0))))),"Mangler rollen "&amp;INDEX(AktRolle,MATCH(C2494,Aktiviteter,0))&amp;"",IF(AND(C2494="LMS",F2494&gt;0,OR(D2494="",E2494="")),"Mangler maskin eller arbeid",IF(AND(OR(C2494="LMS",C2494="Mod"),D2494&lt;&gt;""),IF(IFERROR(INDEX(MaskinStatus,MATCH(D2494,Maskiner,0)),"")="I dokk","","Maskinen er ikke i dokk"),""))))))</f>
        <v/>
      </c>
      <c r="L2494" s="2">
        <f>IF(B2494="","",IFERROR(INT((MATCH(B2494,Teknikere,0)-1)/18)+1,""))</f>
        <v/>
      </c>
      <c r="M2494" s="2">
        <f>IF(OR(A2494="",B2494=""),"",B2494&amp;"|"&amp;A2494)</f>
        <v/>
      </c>
      <c r="N2494" s="2">
        <f>IF(M2494="","",SUMIFS(TF_Timer,TF_Nokkel,M2494,TF_Akt,C2494))</f>
        <v/>
      </c>
      <c r="O2494" s="2">
        <f>IF(M2494="","",IF(AND(N2494=_xlfn.MAXIFS(TF_AktSum,TF_Nokkel,M2494),COUNTIFS(M$3:M2493,M2494,N$3:N2493,N2494)=0),M2494,""))</f>
        <v/>
      </c>
    </row>
    <row r="2495">
      <c r="A2495" s="34" t="n"/>
      <c r="B2495" s="35" t="n"/>
      <c r="C2495" s="35" t="n"/>
      <c r="D2495" s="35" t="n"/>
      <c r="E2495" s="35" t="n"/>
      <c r="F2495" s="36" t="n"/>
      <c r="G2495" s="35" t="n"/>
      <c r="H2495" s="30">
        <f>IF(L2495="","",INDEX(SkiftNavn,L2495))</f>
        <v/>
      </c>
      <c r="I2495" s="30">
        <f>IF(OR(A2495="",L2495=""),"",IF(MOD(A2495-INDEX(SkiftStart,L2495),Syklus)&lt;DagK,"Kveld",IF(MOD(A2495-INDEX(SkiftStart,L2495),Syklus)&lt;DagK+DagH,"Helg",IF(MOD(A2495-INDEX(SkiftStart,L2495),Syklus)&lt;DagK+DagH+DagD,"Dag","Fri"))))</f>
        <v/>
      </c>
      <c r="J2495" s="30">
        <f>IF(I2495="Fri","Ja","")</f>
        <v/>
      </c>
      <c r="K2495" s="30">
        <f>IF(B2495="","",IF(L2495="","Ukjent tekniker",IF(ISNA(MATCH(C2495,Aktiviteter,0)),"Ukjent aktivitet",IF(AND(INDEX(AktRolle,MATCH(C2495,Aktiviteter,0))&amp;""&lt;&gt;"",ISERROR(SEARCH(INDEX(AktRolle,MATCH(C2495,Aktiviteter,0))&amp;"",INDEX(TekRoller,MATCH(B2495,Teknikere,0))))),"Mangler rollen "&amp;INDEX(AktRolle,MATCH(C2495,Aktiviteter,0))&amp;"",IF(AND(C2495="LMS",F2495&gt;0,OR(D2495="",E2495="")),"Mangler maskin eller arbeid",IF(AND(OR(C2495="LMS",C2495="Mod"),D2495&lt;&gt;""),IF(IFERROR(INDEX(MaskinStatus,MATCH(D2495,Maskiner,0)),"")="I dokk","","Maskinen er ikke i dokk"),""))))))</f>
        <v/>
      </c>
      <c r="L2495" s="2">
        <f>IF(B2495="","",IFERROR(INT((MATCH(B2495,Teknikere,0)-1)/18)+1,""))</f>
        <v/>
      </c>
      <c r="M2495" s="2">
        <f>IF(OR(A2495="",B2495=""),"",B2495&amp;"|"&amp;A2495)</f>
        <v/>
      </c>
      <c r="N2495" s="2">
        <f>IF(M2495="","",SUMIFS(TF_Timer,TF_Nokkel,M2495,TF_Akt,C2495))</f>
        <v/>
      </c>
      <c r="O2495" s="2">
        <f>IF(M2495="","",IF(AND(N2495=_xlfn.MAXIFS(TF_AktSum,TF_Nokkel,M2495),COUNTIFS(M$3:M2494,M2495,N$3:N2494,N2495)=0),M2495,""))</f>
        <v/>
      </c>
    </row>
    <row r="2496">
      <c r="A2496" s="34" t="n"/>
      <c r="B2496" s="35" t="n"/>
      <c r="C2496" s="35" t="n"/>
      <c r="D2496" s="35" t="n"/>
      <c r="E2496" s="35" t="n"/>
      <c r="F2496" s="36" t="n"/>
      <c r="G2496" s="35" t="n"/>
      <c r="H2496" s="30">
        <f>IF(L2496="","",INDEX(SkiftNavn,L2496))</f>
        <v/>
      </c>
      <c r="I2496" s="30">
        <f>IF(OR(A2496="",L2496=""),"",IF(MOD(A2496-INDEX(SkiftStart,L2496),Syklus)&lt;DagK,"Kveld",IF(MOD(A2496-INDEX(SkiftStart,L2496),Syklus)&lt;DagK+DagH,"Helg",IF(MOD(A2496-INDEX(SkiftStart,L2496),Syklus)&lt;DagK+DagH+DagD,"Dag","Fri"))))</f>
        <v/>
      </c>
      <c r="J2496" s="30">
        <f>IF(I2496="Fri","Ja","")</f>
        <v/>
      </c>
      <c r="K2496" s="30">
        <f>IF(B2496="","",IF(L2496="","Ukjent tekniker",IF(ISNA(MATCH(C2496,Aktiviteter,0)),"Ukjent aktivitet",IF(AND(INDEX(AktRolle,MATCH(C2496,Aktiviteter,0))&amp;""&lt;&gt;"",ISERROR(SEARCH(INDEX(AktRolle,MATCH(C2496,Aktiviteter,0))&amp;"",INDEX(TekRoller,MATCH(B2496,Teknikere,0))))),"Mangler rollen "&amp;INDEX(AktRolle,MATCH(C2496,Aktiviteter,0))&amp;"",IF(AND(C2496="LMS",F2496&gt;0,OR(D2496="",E2496="")),"Mangler maskin eller arbeid",IF(AND(OR(C2496="LMS",C2496="Mod"),D2496&lt;&gt;""),IF(IFERROR(INDEX(MaskinStatus,MATCH(D2496,Maskiner,0)),"")="I dokk","","Maskinen er ikke i dokk"),""))))))</f>
        <v/>
      </c>
      <c r="L2496" s="2">
        <f>IF(B2496="","",IFERROR(INT((MATCH(B2496,Teknikere,0)-1)/18)+1,""))</f>
        <v/>
      </c>
      <c r="M2496" s="2">
        <f>IF(OR(A2496="",B2496=""),"",B2496&amp;"|"&amp;A2496)</f>
        <v/>
      </c>
      <c r="N2496" s="2">
        <f>IF(M2496="","",SUMIFS(TF_Timer,TF_Nokkel,M2496,TF_Akt,C2496))</f>
        <v/>
      </c>
      <c r="O2496" s="2">
        <f>IF(M2496="","",IF(AND(N2496=_xlfn.MAXIFS(TF_AktSum,TF_Nokkel,M2496),COUNTIFS(M$3:M2495,M2496,N$3:N2495,N2496)=0),M2496,""))</f>
        <v/>
      </c>
    </row>
    <row r="2497">
      <c r="A2497" s="34" t="n"/>
      <c r="B2497" s="35" t="n"/>
      <c r="C2497" s="35" t="n"/>
      <c r="D2497" s="35" t="n"/>
      <c r="E2497" s="35" t="n"/>
      <c r="F2497" s="36" t="n"/>
      <c r="G2497" s="35" t="n"/>
      <c r="H2497" s="30">
        <f>IF(L2497="","",INDEX(SkiftNavn,L2497))</f>
        <v/>
      </c>
      <c r="I2497" s="30">
        <f>IF(OR(A2497="",L2497=""),"",IF(MOD(A2497-INDEX(SkiftStart,L2497),Syklus)&lt;DagK,"Kveld",IF(MOD(A2497-INDEX(SkiftStart,L2497),Syklus)&lt;DagK+DagH,"Helg",IF(MOD(A2497-INDEX(SkiftStart,L2497),Syklus)&lt;DagK+DagH+DagD,"Dag","Fri"))))</f>
        <v/>
      </c>
      <c r="J2497" s="30">
        <f>IF(I2497="Fri","Ja","")</f>
        <v/>
      </c>
      <c r="K2497" s="30">
        <f>IF(B2497="","",IF(L2497="","Ukjent tekniker",IF(ISNA(MATCH(C2497,Aktiviteter,0)),"Ukjent aktivitet",IF(AND(INDEX(AktRolle,MATCH(C2497,Aktiviteter,0))&amp;""&lt;&gt;"",ISERROR(SEARCH(INDEX(AktRolle,MATCH(C2497,Aktiviteter,0))&amp;"",INDEX(TekRoller,MATCH(B2497,Teknikere,0))))),"Mangler rollen "&amp;INDEX(AktRolle,MATCH(C2497,Aktiviteter,0))&amp;"",IF(AND(C2497="LMS",F2497&gt;0,OR(D2497="",E2497="")),"Mangler maskin eller arbeid",IF(AND(OR(C2497="LMS",C2497="Mod"),D2497&lt;&gt;""),IF(IFERROR(INDEX(MaskinStatus,MATCH(D2497,Maskiner,0)),"")="I dokk","","Maskinen er ikke i dokk"),""))))))</f>
        <v/>
      </c>
      <c r="L2497" s="2">
        <f>IF(B2497="","",IFERROR(INT((MATCH(B2497,Teknikere,0)-1)/18)+1,""))</f>
        <v/>
      </c>
      <c r="M2497" s="2">
        <f>IF(OR(A2497="",B2497=""),"",B2497&amp;"|"&amp;A2497)</f>
        <v/>
      </c>
      <c r="N2497" s="2">
        <f>IF(M2497="","",SUMIFS(TF_Timer,TF_Nokkel,M2497,TF_Akt,C2497))</f>
        <v/>
      </c>
      <c r="O2497" s="2">
        <f>IF(M2497="","",IF(AND(N2497=_xlfn.MAXIFS(TF_AktSum,TF_Nokkel,M2497),COUNTIFS(M$3:M2496,M2497,N$3:N2496,N2497)=0),M2497,""))</f>
        <v/>
      </c>
    </row>
    <row r="2498">
      <c r="A2498" s="34" t="n"/>
      <c r="B2498" s="35" t="n"/>
      <c r="C2498" s="35" t="n"/>
      <c r="D2498" s="35" t="n"/>
      <c r="E2498" s="35" t="n"/>
      <c r="F2498" s="36" t="n"/>
      <c r="G2498" s="35" t="n"/>
      <c r="H2498" s="30">
        <f>IF(L2498="","",INDEX(SkiftNavn,L2498))</f>
        <v/>
      </c>
      <c r="I2498" s="30">
        <f>IF(OR(A2498="",L2498=""),"",IF(MOD(A2498-INDEX(SkiftStart,L2498),Syklus)&lt;DagK,"Kveld",IF(MOD(A2498-INDEX(SkiftStart,L2498),Syklus)&lt;DagK+DagH,"Helg",IF(MOD(A2498-INDEX(SkiftStart,L2498),Syklus)&lt;DagK+DagH+DagD,"Dag","Fri"))))</f>
        <v/>
      </c>
      <c r="J2498" s="30">
        <f>IF(I2498="Fri","Ja","")</f>
        <v/>
      </c>
      <c r="K2498" s="30">
        <f>IF(B2498="","",IF(L2498="","Ukjent tekniker",IF(ISNA(MATCH(C2498,Aktiviteter,0)),"Ukjent aktivitet",IF(AND(INDEX(AktRolle,MATCH(C2498,Aktiviteter,0))&amp;""&lt;&gt;"",ISERROR(SEARCH(INDEX(AktRolle,MATCH(C2498,Aktiviteter,0))&amp;"",INDEX(TekRoller,MATCH(B2498,Teknikere,0))))),"Mangler rollen "&amp;INDEX(AktRolle,MATCH(C2498,Aktiviteter,0))&amp;"",IF(AND(C2498="LMS",F2498&gt;0,OR(D2498="",E2498="")),"Mangler maskin eller arbeid",IF(AND(OR(C2498="LMS",C2498="Mod"),D2498&lt;&gt;""),IF(IFERROR(INDEX(MaskinStatus,MATCH(D2498,Maskiner,0)),"")="I dokk","","Maskinen er ikke i dokk"),""))))))</f>
        <v/>
      </c>
      <c r="L2498" s="2">
        <f>IF(B2498="","",IFERROR(INT((MATCH(B2498,Teknikere,0)-1)/18)+1,""))</f>
        <v/>
      </c>
      <c r="M2498" s="2">
        <f>IF(OR(A2498="",B2498=""),"",B2498&amp;"|"&amp;A2498)</f>
        <v/>
      </c>
      <c r="N2498" s="2">
        <f>IF(M2498="","",SUMIFS(TF_Timer,TF_Nokkel,M2498,TF_Akt,C2498))</f>
        <v/>
      </c>
      <c r="O2498" s="2">
        <f>IF(M2498="","",IF(AND(N2498=_xlfn.MAXIFS(TF_AktSum,TF_Nokkel,M2498),COUNTIFS(M$3:M2497,M2498,N$3:N2497,N2498)=0),M2498,""))</f>
        <v/>
      </c>
    </row>
    <row r="2499">
      <c r="A2499" s="34" t="n"/>
      <c r="B2499" s="35" t="n"/>
      <c r="C2499" s="35" t="n"/>
      <c r="D2499" s="35" t="n"/>
      <c r="E2499" s="35" t="n"/>
      <c r="F2499" s="36" t="n"/>
      <c r="G2499" s="35" t="n"/>
      <c r="H2499" s="30">
        <f>IF(L2499="","",INDEX(SkiftNavn,L2499))</f>
        <v/>
      </c>
      <c r="I2499" s="30">
        <f>IF(OR(A2499="",L2499=""),"",IF(MOD(A2499-INDEX(SkiftStart,L2499),Syklus)&lt;DagK,"Kveld",IF(MOD(A2499-INDEX(SkiftStart,L2499),Syklus)&lt;DagK+DagH,"Helg",IF(MOD(A2499-INDEX(SkiftStart,L2499),Syklus)&lt;DagK+DagH+DagD,"Dag","Fri"))))</f>
        <v/>
      </c>
      <c r="J2499" s="30">
        <f>IF(I2499="Fri","Ja","")</f>
        <v/>
      </c>
      <c r="K2499" s="30">
        <f>IF(B2499="","",IF(L2499="","Ukjent tekniker",IF(ISNA(MATCH(C2499,Aktiviteter,0)),"Ukjent aktivitet",IF(AND(INDEX(AktRolle,MATCH(C2499,Aktiviteter,0))&amp;""&lt;&gt;"",ISERROR(SEARCH(INDEX(AktRolle,MATCH(C2499,Aktiviteter,0))&amp;"",INDEX(TekRoller,MATCH(B2499,Teknikere,0))))),"Mangler rollen "&amp;INDEX(AktRolle,MATCH(C2499,Aktiviteter,0))&amp;"",IF(AND(C2499="LMS",F2499&gt;0,OR(D2499="",E2499="")),"Mangler maskin eller arbeid",IF(AND(OR(C2499="LMS",C2499="Mod"),D2499&lt;&gt;""),IF(IFERROR(INDEX(MaskinStatus,MATCH(D2499,Maskiner,0)),"")="I dokk","","Maskinen er ikke i dokk"),""))))))</f>
        <v/>
      </c>
      <c r="L2499" s="2">
        <f>IF(B2499="","",IFERROR(INT((MATCH(B2499,Teknikere,0)-1)/18)+1,""))</f>
        <v/>
      </c>
      <c r="M2499" s="2">
        <f>IF(OR(A2499="",B2499=""),"",B2499&amp;"|"&amp;A2499)</f>
        <v/>
      </c>
      <c r="N2499" s="2">
        <f>IF(M2499="","",SUMIFS(TF_Timer,TF_Nokkel,M2499,TF_Akt,C2499))</f>
        <v/>
      </c>
      <c r="O2499" s="2">
        <f>IF(M2499="","",IF(AND(N2499=_xlfn.MAXIFS(TF_AktSum,TF_Nokkel,M2499),COUNTIFS(M$3:M2498,M2499,N$3:N2498,N2499)=0),M2499,""))</f>
        <v/>
      </c>
    </row>
    <row r="2500">
      <c r="A2500" s="34" t="n"/>
      <c r="B2500" s="35" t="n"/>
      <c r="C2500" s="35" t="n"/>
      <c r="D2500" s="35" t="n"/>
      <c r="E2500" s="35" t="n"/>
      <c r="F2500" s="36" t="n"/>
      <c r="G2500" s="35" t="n"/>
      <c r="H2500" s="30">
        <f>IF(L2500="","",INDEX(SkiftNavn,L2500))</f>
        <v/>
      </c>
      <c r="I2500" s="30">
        <f>IF(OR(A2500="",L2500=""),"",IF(MOD(A2500-INDEX(SkiftStart,L2500),Syklus)&lt;DagK,"Kveld",IF(MOD(A2500-INDEX(SkiftStart,L2500),Syklus)&lt;DagK+DagH,"Helg",IF(MOD(A2500-INDEX(SkiftStart,L2500),Syklus)&lt;DagK+DagH+DagD,"Dag","Fri"))))</f>
        <v/>
      </c>
      <c r="J2500" s="30">
        <f>IF(I2500="Fri","Ja","")</f>
        <v/>
      </c>
      <c r="K2500" s="30">
        <f>IF(B2500="","",IF(L2500="","Ukjent tekniker",IF(ISNA(MATCH(C2500,Aktiviteter,0)),"Ukjent aktivitet",IF(AND(INDEX(AktRolle,MATCH(C2500,Aktiviteter,0))&amp;""&lt;&gt;"",ISERROR(SEARCH(INDEX(AktRolle,MATCH(C2500,Aktiviteter,0))&amp;"",INDEX(TekRoller,MATCH(B2500,Teknikere,0))))),"Mangler rollen "&amp;INDEX(AktRolle,MATCH(C2500,Aktiviteter,0))&amp;"",IF(AND(C2500="LMS",F2500&gt;0,OR(D2500="",E2500="")),"Mangler maskin eller arbeid",IF(AND(OR(C2500="LMS",C2500="Mod"),D2500&lt;&gt;""),IF(IFERROR(INDEX(MaskinStatus,MATCH(D2500,Maskiner,0)),"")="I dokk","","Maskinen er ikke i dokk"),""))))))</f>
        <v/>
      </c>
      <c r="L2500" s="2">
        <f>IF(B2500="","",IFERROR(INT((MATCH(B2500,Teknikere,0)-1)/18)+1,""))</f>
        <v/>
      </c>
      <c r="M2500" s="2">
        <f>IF(OR(A2500="",B2500=""),"",B2500&amp;"|"&amp;A2500)</f>
        <v/>
      </c>
      <c r="N2500" s="2">
        <f>IF(M2500="","",SUMIFS(TF_Timer,TF_Nokkel,M2500,TF_Akt,C2500))</f>
        <v/>
      </c>
      <c r="O2500" s="2">
        <f>IF(M2500="","",IF(AND(N2500=_xlfn.MAXIFS(TF_AktSum,TF_Nokkel,M2500),COUNTIFS(M$3:M2499,M2500,N$3:N2499,N2500)=0),M2500,""))</f>
        <v/>
      </c>
    </row>
    <row r="2501">
      <c r="A2501" s="34" t="n"/>
      <c r="B2501" s="35" t="n"/>
      <c r="C2501" s="35" t="n"/>
      <c r="D2501" s="35" t="n"/>
      <c r="E2501" s="35" t="n"/>
      <c r="F2501" s="36" t="n"/>
      <c r="G2501" s="35" t="n"/>
      <c r="H2501" s="30">
        <f>IF(L2501="","",INDEX(SkiftNavn,L2501))</f>
        <v/>
      </c>
      <c r="I2501" s="30">
        <f>IF(OR(A2501="",L2501=""),"",IF(MOD(A2501-INDEX(SkiftStart,L2501),Syklus)&lt;DagK,"Kveld",IF(MOD(A2501-INDEX(SkiftStart,L2501),Syklus)&lt;DagK+DagH,"Helg",IF(MOD(A2501-INDEX(SkiftStart,L2501),Syklus)&lt;DagK+DagH+DagD,"Dag","Fri"))))</f>
        <v/>
      </c>
      <c r="J2501" s="30">
        <f>IF(I2501="Fri","Ja","")</f>
        <v/>
      </c>
      <c r="K2501" s="30">
        <f>IF(B2501="","",IF(L2501="","Ukjent tekniker",IF(ISNA(MATCH(C2501,Aktiviteter,0)),"Ukjent aktivitet",IF(AND(INDEX(AktRolle,MATCH(C2501,Aktiviteter,0))&amp;""&lt;&gt;"",ISERROR(SEARCH(INDEX(AktRolle,MATCH(C2501,Aktiviteter,0))&amp;"",INDEX(TekRoller,MATCH(B2501,Teknikere,0))))),"Mangler rollen "&amp;INDEX(AktRolle,MATCH(C2501,Aktiviteter,0))&amp;"",IF(AND(C2501="LMS",F2501&gt;0,OR(D2501="",E2501="")),"Mangler maskin eller arbeid",IF(AND(OR(C2501="LMS",C2501="Mod"),D2501&lt;&gt;""),IF(IFERROR(INDEX(MaskinStatus,MATCH(D2501,Maskiner,0)),"")="I dokk","","Maskinen er ikke i dokk"),""))))))</f>
        <v/>
      </c>
      <c r="L2501" s="2">
        <f>IF(B2501="","",IFERROR(INT((MATCH(B2501,Teknikere,0)-1)/18)+1,""))</f>
        <v/>
      </c>
      <c r="M2501" s="2">
        <f>IF(OR(A2501="",B2501=""),"",B2501&amp;"|"&amp;A2501)</f>
        <v/>
      </c>
      <c r="N2501" s="2">
        <f>IF(M2501="","",SUMIFS(TF_Timer,TF_Nokkel,M2501,TF_Akt,C2501))</f>
        <v/>
      </c>
      <c r="O2501" s="2">
        <f>IF(M2501="","",IF(AND(N2501=_xlfn.MAXIFS(TF_AktSum,TF_Nokkel,M2501),COUNTIFS(M$3:M2500,M2501,N$3:N2500,N2501)=0),M2501,""))</f>
        <v/>
      </c>
    </row>
    <row r="2502">
      <c r="A2502" s="34" t="n"/>
      <c r="B2502" s="35" t="n"/>
      <c r="C2502" s="35" t="n"/>
      <c r="D2502" s="35" t="n"/>
      <c r="E2502" s="35" t="n"/>
      <c r="F2502" s="36" t="n"/>
      <c r="G2502" s="35" t="n"/>
      <c r="H2502" s="30">
        <f>IF(L2502="","",INDEX(SkiftNavn,L2502))</f>
        <v/>
      </c>
      <c r="I2502" s="30">
        <f>IF(OR(A2502="",L2502=""),"",IF(MOD(A2502-INDEX(SkiftStart,L2502),Syklus)&lt;DagK,"Kveld",IF(MOD(A2502-INDEX(SkiftStart,L2502),Syklus)&lt;DagK+DagH,"Helg",IF(MOD(A2502-INDEX(SkiftStart,L2502),Syklus)&lt;DagK+DagH+DagD,"Dag","Fri"))))</f>
        <v/>
      </c>
      <c r="J2502" s="30">
        <f>IF(I2502="Fri","Ja","")</f>
        <v/>
      </c>
      <c r="K2502" s="30">
        <f>IF(B2502="","",IF(L2502="","Ukjent tekniker",IF(ISNA(MATCH(C2502,Aktiviteter,0)),"Ukjent aktivitet",IF(AND(INDEX(AktRolle,MATCH(C2502,Aktiviteter,0))&amp;""&lt;&gt;"",ISERROR(SEARCH(INDEX(AktRolle,MATCH(C2502,Aktiviteter,0))&amp;"",INDEX(TekRoller,MATCH(B2502,Teknikere,0))))),"Mangler rollen "&amp;INDEX(AktRolle,MATCH(C2502,Aktiviteter,0))&amp;"",IF(AND(C2502="LMS",F2502&gt;0,OR(D2502="",E2502="")),"Mangler maskin eller arbeid",IF(AND(OR(C2502="LMS",C2502="Mod"),D2502&lt;&gt;""),IF(IFERROR(INDEX(MaskinStatus,MATCH(D2502,Maskiner,0)),"")="I dokk","","Maskinen er ikke i dokk"),""))))))</f>
        <v/>
      </c>
      <c r="L2502" s="2">
        <f>IF(B2502="","",IFERROR(INT((MATCH(B2502,Teknikere,0)-1)/18)+1,""))</f>
        <v/>
      </c>
      <c r="M2502" s="2">
        <f>IF(OR(A2502="",B2502=""),"",B2502&amp;"|"&amp;A2502)</f>
        <v/>
      </c>
      <c r="N2502" s="2">
        <f>IF(M2502="","",SUMIFS(TF_Timer,TF_Nokkel,M2502,TF_Akt,C2502))</f>
        <v/>
      </c>
      <c r="O2502" s="2">
        <f>IF(M2502="","",IF(AND(N2502=_xlfn.MAXIFS(TF_AktSum,TF_Nokkel,M2502),COUNTIFS(M$3:M2501,M2502,N$3:N2501,N2502)=0),M2502,""))</f>
        <v/>
      </c>
    </row>
    <row r="2503">
      <c r="A2503" s="34" t="n"/>
      <c r="B2503" s="35" t="n"/>
      <c r="C2503" s="35" t="n"/>
      <c r="D2503" s="35" t="n"/>
      <c r="E2503" s="35" t="n"/>
      <c r="F2503" s="36" t="n"/>
      <c r="G2503" s="35" t="n"/>
      <c r="H2503" s="30">
        <f>IF(L2503="","",INDEX(SkiftNavn,L2503))</f>
        <v/>
      </c>
      <c r="I2503" s="30">
        <f>IF(OR(A2503="",L2503=""),"",IF(MOD(A2503-INDEX(SkiftStart,L2503),Syklus)&lt;DagK,"Kveld",IF(MOD(A2503-INDEX(SkiftStart,L2503),Syklus)&lt;DagK+DagH,"Helg",IF(MOD(A2503-INDEX(SkiftStart,L2503),Syklus)&lt;DagK+DagH+DagD,"Dag","Fri"))))</f>
        <v/>
      </c>
      <c r="J2503" s="30">
        <f>IF(I2503="Fri","Ja","")</f>
        <v/>
      </c>
      <c r="K2503" s="30">
        <f>IF(B2503="","",IF(L2503="","Ukjent tekniker",IF(ISNA(MATCH(C2503,Aktiviteter,0)),"Ukjent aktivitet",IF(AND(INDEX(AktRolle,MATCH(C2503,Aktiviteter,0))&amp;""&lt;&gt;"",ISERROR(SEARCH(INDEX(AktRolle,MATCH(C2503,Aktiviteter,0))&amp;"",INDEX(TekRoller,MATCH(B2503,Teknikere,0))))),"Mangler rollen "&amp;INDEX(AktRolle,MATCH(C2503,Aktiviteter,0))&amp;"",IF(AND(C2503="LMS",F2503&gt;0,OR(D2503="",E2503="")),"Mangler maskin eller arbeid",IF(AND(OR(C2503="LMS",C2503="Mod"),D2503&lt;&gt;""),IF(IFERROR(INDEX(MaskinStatus,MATCH(D2503,Maskiner,0)),"")="I dokk","","Maskinen er ikke i dokk"),""))))))</f>
        <v/>
      </c>
      <c r="L2503" s="2">
        <f>IF(B2503="","",IFERROR(INT((MATCH(B2503,Teknikere,0)-1)/18)+1,""))</f>
        <v/>
      </c>
      <c r="M2503" s="2">
        <f>IF(OR(A2503="",B2503=""),"",B2503&amp;"|"&amp;A2503)</f>
        <v/>
      </c>
      <c r="N2503" s="2">
        <f>IF(M2503="","",SUMIFS(TF_Timer,TF_Nokkel,M2503,TF_Akt,C2503))</f>
        <v/>
      </c>
      <c r="O2503" s="2">
        <f>IF(M2503="","",IF(AND(N2503=_xlfn.MAXIFS(TF_AktSum,TF_Nokkel,M2503),COUNTIFS(M$3:M2502,M2503,N$3:N2502,N2503)=0),M2503,""))</f>
        <v/>
      </c>
    </row>
    <row r="2504">
      <c r="A2504" s="34" t="n"/>
      <c r="B2504" s="35" t="n"/>
      <c r="C2504" s="35" t="n"/>
      <c r="D2504" s="35" t="n"/>
      <c r="E2504" s="35" t="n"/>
      <c r="F2504" s="36" t="n"/>
      <c r="G2504" s="35" t="n"/>
      <c r="H2504" s="30">
        <f>IF(L2504="","",INDEX(SkiftNavn,L2504))</f>
        <v/>
      </c>
      <c r="I2504" s="30">
        <f>IF(OR(A2504="",L2504=""),"",IF(MOD(A2504-INDEX(SkiftStart,L2504),Syklus)&lt;DagK,"Kveld",IF(MOD(A2504-INDEX(SkiftStart,L2504),Syklus)&lt;DagK+DagH,"Helg",IF(MOD(A2504-INDEX(SkiftStart,L2504),Syklus)&lt;DagK+DagH+DagD,"Dag","Fri"))))</f>
        <v/>
      </c>
      <c r="J2504" s="30">
        <f>IF(I2504="Fri","Ja","")</f>
        <v/>
      </c>
      <c r="K2504" s="30">
        <f>IF(B2504="","",IF(L2504="","Ukjent tekniker",IF(ISNA(MATCH(C2504,Aktiviteter,0)),"Ukjent aktivitet",IF(AND(INDEX(AktRolle,MATCH(C2504,Aktiviteter,0))&amp;""&lt;&gt;"",ISERROR(SEARCH(INDEX(AktRolle,MATCH(C2504,Aktiviteter,0))&amp;"",INDEX(TekRoller,MATCH(B2504,Teknikere,0))))),"Mangler rollen "&amp;INDEX(AktRolle,MATCH(C2504,Aktiviteter,0))&amp;"",IF(AND(C2504="LMS",F2504&gt;0,OR(D2504="",E2504="")),"Mangler maskin eller arbeid",IF(AND(OR(C2504="LMS",C2504="Mod"),D2504&lt;&gt;""),IF(IFERROR(INDEX(MaskinStatus,MATCH(D2504,Maskiner,0)),"")="I dokk","","Maskinen er ikke i dokk"),""))))))</f>
        <v/>
      </c>
      <c r="L2504" s="2">
        <f>IF(B2504="","",IFERROR(INT((MATCH(B2504,Teknikere,0)-1)/18)+1,""))</f>
        <v/>
      </c>
      <c r="M2504" s="2">
        <f>IF(OR(A2504="",B2504=""),"",B2504&amp;"|"&amp;A2504)</f>
        <v/>
      </c>
      <c r="N2504" s="2">
        <f>IF(M2504="","",SUMIFS(TF_Timer,TF_Nokkel,M2504,TF_Akt,C2504))</f>
        <v/>
      </c>
      <c r="O2504" s="2">
        <f>IF(M2504="","",IF(AND(N2504=_xlfn.MAXIFS(TF_AktSum,TF_Nokkel,M2504),COUNTIFS(M$3:M2503,M2504,N$3:N2503,N2504)=0),M2504,""))</f>
        <v/>
      </c>
    </row>
    <row r="2505">
      <c r="A2505" s="34" t="n"/>
      <c r="B2505" s="35" t="n"/>
      <c r="C2505" s="35" t="n"/>
      <c r="D2505" s="35" t="n"/>
      <c r="E2505" s="35" t="n"/>
      <c r="F2505" s="36" t="n"/>
      <c r="G2505" s="35" t="n"/>
      <c r="H2505" s="30">
        <f>IF(L2505="","",INDEX(SkiftNavn,L2505))</f>
        <v/>
      </c>
      <c r="I2505" s="30">
        <f>IF(OR(A2505="",L2505=""),"",IF(MOD(A2505-INDEX(SkiftStart,L2505),Syklus)&lt;DagK,"Kveld",IF(MOD(A2505-INDEX(SkiftStart,L2505),Syklus)&lt;DagK+DagH,"Helg",IF(MOD(A2505-INDEX(SkiftStart,L2505),Syklus)&lt;DagK+DagH+DagD,"Dag","Fri"))))</f>
        <v/>
      </c>
      <c r="J2505" s="30">
        <f>IF(I2505="Fri","Ja","")</f>
        <v/>
      </c>
      <c r="K2505" s="30">
        <f>IF(B2505="","",IF(L2505="","Ukjent tekniker",IF(ISNA(MATCH(C2505,Aktiviteter,0)),"Ukjent aktivitet",IF(AND(INDEX(AktRolle,MATCH(C2505,Aktiviteter,0))&amp;""&lt;&gt;"",ISERROR(SEARCH(INDEX(AktRolle,MATCH(C2505,Aktiviteter,0))&amp;"",INDEX(TekRoller,MATCH(B2505,Teknikere,0))))),"Mangler rollen "&amp;INDEX(AktRolle,MATCH(C2505,Aktiviteter,0))&amp;"",IF(AND(C2505="LMS",F2505&gt;0,OR(D2505="",E2505="")),"Mangler maskin eller arbeid",IF(AND(OR(C2505="LMS",C2505="Mod"),D2505&lt;&gt;""),IF(IFERROR(INDEX(MaskinStatus,MATCH(D2505,Maskiner,0)),"")="I dokk","","Maskinen er ikke i dokk"),""))))))</f>
        <v/>
      </c>
      <c r="L2505" s="2">
        <f>IF(B2505="","",IFERROR(INT((MATCH(B2505,Teknikere,0)-1)/18)+1,""))</f>
        <v/>
      </c>
      <c r="M2505" s="2">
        <f>IF(OR(A2505="",B2505=""),"",B2505&amp;"|"&amp;A2505)</f>
        <v/>
      </c>
      <c r="N2505" s="2">
        <f>IF(M2505="","",SUMIFS(TF_Timer,TF_Nokkel,M2505,TF_Akt,C2505))</f>
        <v/>
      </c>
      <c r="O2505" s="2">
        <f>IF(M2505="","",IF(AND(N2505=_xlfn.MAXIFS(TF_AktSum,TF_Nokkel,M2505),COUNTIFS(M$3:M2504,M2505,N$3:N2504,N2505)=0),M2505,""))</f>
        <v/>
      </c>
    </row>
    <row r="2506">
      <c r="A2506" s="34" t="n"/>
      <c r="B2506" s="35" t="n"/>
      <c r="C2506" s="35" t="n"/>
      <c r="D2506" s="35" t="n"/>
      <c r="E2506" s="35" t="n"/>
      <c r="F2506" s="36" t="n"/>
      <c r="G2506" s="35" t="n"/>
      <c r="H2506" s="30">
        <f>IF(L2506="","",INDEX(SkiftNavn,L2506))</f>
        <v/>
      </c>
      <c r="I2506" s="30">
        <f>IF(OR(A2506="",L2506=""),"",IF(MOD(A2506-INDEX(SkiftStart,L2506),Syklus)&lt;DagK,"Kveld",IF(MOD(A2506-INDEX(SkiftStart,L2506),Syklus)&lt;DagK+DagH,"Helg",IF(MOD(A2506-INDEX(SkiftStart,L2506),Syklus)&lt;DagK+DagH+DagD,"Dag","Fri"))))</f>
        <v/>
      </c>
      <c r="J2506" s="30">
        <f>IF(I2506="Fri","Ja","")</f>
        <v/>
      </c>
      <c r="K2506" s="30">
        <f>IF(B2506="","",IF(L2506="","Ukjent tekniker",IF(ISNA(MATCH(C2506,Aktiviteter,0)),"Ukjent aktivitet",IF(AND(INDEX(AktRolle,MATCH(C2506,Aktiviteter,0))&amp;""&lt;&gt;"",ISERROR(SEARCH(INDEX(AktRolle,MATCH(C2506,Aktiviteter,0))&amp;"",INDEX(TekRoller,MATCH(B2506,Teknikere,0))))),"Mangler rollen "&amp;INDEX(AktRolle,MATCH(C2506,Aktiviteter,0))&amp;"",IF(AND(C2506="LMS",F2506&gt;0,OR(D2506="",E2506="")),"Mangler maskin eller arbeid",IF(AND(OR(C2506="LMS",C2506="Mod"),D2506&lt;&gt;""),IF(IFERROR(INDEX(MaskinStatus,MATCH(D2506,Maskiner,0)),"")="I dokk","","Maskinen er ikke i dokk"),""))))))</f>
        <v/>
      </c>
      <c r="L2506" s="2">
        <f>IF(B2506="","",IFERROR(INT((MATCH(B2506,Teknikere,0)-1)/18)+1,""))</f>
        <v/>
      </c>
      <c r="M2506" s="2">
        <f>IF(OR(A2506="",B2506=""),"",B2506&amp;"|"&amp;A2506)</f>
        <v/>
      </c>
      <c r="N2506" s="2">
        <f>IF(M2506="","",SUMIFS(TF_Timer,TF_Nokkel,M2506,TF_Akt,C2506))</f>
        <v/>
      </c>
      <c r="O2506" s="2">
        <f>IF(M2506="","",IF(AND(N2506=_xlfn.MAXIFS(TF_AktSum,TF_Nokkel,M2506),COUNTIFS(M$3:M2505,M2506,N$3:N2505,N2506)=0),M2506,""))</f>
        <v/>
      </c>
    </row>
    <row r="2507">
      <c r="A2507" s="34" t="n"/>
      <c r="B2507" s="35" t="n"/>
      <c r="C2507" s="35" t="n"/>
      <c r="D2507" s="35" t="n"/>
      <c r="E2507" s="35" t="n"/>
      <c r="F2507" s="36" t="n"/>
      <c r="G2507" s="35" t="n"/>
      <c r="H2507" s="30">
        <f>IF(L2507="","",INDEX(SkiftNavn,L2507))</f>
        <v/>
      </c>
      <c r="I2507" s="30">
        <f>IF(OR(A2507="",L2507=""),"",IF(MOD(A2507-INDEX(SkiftStart,L2507),Syklus)&lt;DagK,"Kveld",IF(MOD(A2507-INDEX(SkiftStart,L2507),Syklus)&lt;DagK+DagH,"Helg",IF(MOD(A2507-INDEX(SkiftStart,L2507),Syklus)&lt;DagK+DagH+DagD,"Dag","Fri"))))</f>
        <v/>
      </c>
      <c r="J2507" s="30">
        <f>IF(I2507="Fri","Ja","")</f>
        <v/>
      </c>
      <c r="K2507" s="30">
        <f>IF(B2507="","",IF(L2507="","Ukjent tekniker",IF(ISNA(MATCH(C2507,Aktiviteter,0)),"Ukjent aktivitet",IF(AND(INDEX(AktRolle,MATCH(C2507,Aktiviteter,0))&amp;""&lt;&gt;"",ISERROR(SEARCH(INDEX(AktRolle,MATCH(C2507,Aktiviteter,0))&amp;"",INDEX(TekRoller,MATCH(B2507,Teknikere,0))))),"Mangler rollen "&amp;INDEX(AktRolle,MATCH(C2507,Aktiviteter,0))&amp;"",IF(AND(C2507="LMS",F2507&gt;0,OR(D2507="",E2507="")),"Mangler maskin eller arbeid",IF(AND(OR(C2507="LMS",C2507="Mod"),D2507&lt;&gt;""),IF(IFERROR(INDEX(MaskinStatus,MATCH(D2507,Maskiner,0)),"")="I dokk","","Maskinen er ikke i dokk"),""))))))</f>
        <v/>
      </c>
      <c r="L2507" s="2">
        <f>IF(B2507="","",IFERROR(INT((MATCH(B2507,Teknikere,0)-1)/18)+1,""))</f>
        <v/>
      </c>
      <c r="M2507" s="2">
        <f>IF(OR(A2507="",B2507=""),"",B2507&amp;"|"&amp;A2507)</f>
        <v/>
      </c>
      <c r="N2507" s="2">
        <f>IF(M2507="","",SUMIFS(TF_Timer,TF_Nokkel,M2507,TF_Akt,C2507))</f>
        <v/>
      </c>
      <c r="O2507" s="2">
        <f>IF(M2507="","",IF(AND(N2507=_xlfn.MAXIFS(TF_AktSum,TF_Nokkel,M2507),COUNTIFS(M$3:M2506,M2507,N$3:N2506,N2507)=0),M2507,""))</f>
        <v/>
      </c>
    </row>
    <row r="2508">
      <c r="A2508" s="34" t="n"/>
      <c r="B2508" s="35" t="n"/>
      <c r="C2508" s="35" t="n"/>
      <c r="D2508" s="35" t="n"/>
      <c r="E2508" s="35" t="n"/>
      <c r="F2508" s="36" t="n"/>
      <c r="G2508" s="35" t="n"/>
      <c r="H2508" s="30">
        <f>IF(L2508="","",INDEX(SkiftNavn,L2508))</f>
        <v/>
      </c>
      <c r="I2508" s="30">
        <f>IF(OR(A2508="",L2508=""),"",IF(MOD(A2508-INDEX(SkiftStart,L2508),Syklus)&lt;DagK,"Kveld",IF(MOD(A2508-INDEX(SkiftStart,L2508),Syklus)&lt;DagK+DagH,"Helg",IF(MOD(A2508-INDEX(SkiftStart,L2508),Syklus)&lt;DagK+DagH+DagD,"Dag","Fri"))))</f>
        <v/>
      </c>
      <c r="J2508" s="30">
        <f>IF(I2508="Fri","Ja","")</f>
        <v/>
      </c>
      <c r="K2508" s="30">
        <f>IF(B2508="","",IF(L2508="","Ukjent tekniker",IF(ISNA(MATCH(C2508,Aktiviteter,0)),"Ukjent aktivitet",IF(AND(INDEX(AktRolle,MATCH(C2508,Aktiviteter,0))&amp;""&lt;&gt;"",ISERROR(SEARCH(INDEX(AktRolle,MATCH(C2508,Aktiviteter,0))&amp;"",INDEX(TekRoller,MATCH(B2508,Teknikere,0))))),"Mangler rollen "&amp;INDEX(AktRolle,MATCH(C2508,Aktiviteter,0))&amp;"",IF(AND(C2508="LMS",F2508&gt;0,OR(D2508="",E2508="")),"Mangler maskin eller arbeid",IF(AND(OR(C2508="LMS",C2508="Mod"),D2508&lt;&gt;""),IF(IFERROR(INDEX(MaskinStatus,MATCH(D2508,Maskiner,0)),"")="I dokk","","Maskinen er ikke i dokk"),""))))))</f>
        <v/>
      </c>
      <c r="L2508" s="2">
        <f>IF(B2508="","",IFERROR(INT((MATCH(B2508,Teknikere,0)-1)/18)+1,""))</f>
        <v/>
      </c>
      <c r="M2508" s="2">
        <f>IF(OR(A2508="",B2508=""),"",B2508&amp;"|"&amp;A2508)</f>
        <v/>
      </c>
      <c r="N2508" s="2">
        <f>IF(M2508="","",SUMIFS(TF_Timer,TF_Nokkel,M2508,TF_Akt,C2508))</f>
        <v/>
      </c>
      <c r="O2508" s="2">
        <f>IF(M2508="","",IF(AND(N2508=_xlfn.MAXIFS(TF_AktSum,TF_Nokkel,M2508),COUNTIFS(M$3:M2507,M2508,N$3:N2507,N2508)=0),M2508,""))</f>
        <v/>
      </c>
    </row>
    <row r="2509">
      <c r="A2509" s="34" t="n"/>
      <c r="B2509" s="35" t="n"/>
      <c r="C2509" s="35" t="n"/>
      <c r="D2509" s="35" t="n"/>
      <c r="E2509" s="35" t="n"/>
      <c r="F2509" s="36" t="n"/>
      <c r="G2509" s="35" t="n"/>
      <c r="H2509" s="30">
        <f>IF(L2509="","",INDEX(SkiftNavn,L2509))</f>
        <v/>
      </c>
      <c r="I2509" s="30">
        <f>IF(OR(A2509="",L2509=""),"",IF(MOD(A2509-INDEX(SkiftStart,L2509),Syklus)&lt;DagK,"Kveld",IF(MOD(A2509-INDEX(SkiftStart,L2509),Syklus)&lt;DagK+DagH,"Helg",IF(MOD(A2509-INDEX(SkiftStart,L2509),Syklus)&lt;DagK+DagH+DagD,"Dag","Fri"))))</f>
        <v/>
      </c>
      <c r="J2509" s="30">
        <f>IF(I2509="Fri","Ja","")</f>
        <v/>
      </c>
      <c r="K2509" s="30">
        <f>IF(B2509="","",IF(L2509="","Ukjent tekniker",IF(ISNA(MATCH(C2509,Aktiviteter,0)),"Ukjent aktivitet",IF(AND(INDEX(AktRolle,MATCH(C2509,Aktiviteter,0))&amp;""&lt;&gt;"",ISERROR(SEARCH(INDEX(AktRolle,MATCH(C2509,Aktiviteter,0))&amp;"",INDEX(TekRoller,MATCH(B2509,Teknikere,0))))),"Mangler rollen "&amp;INDEX(AktRolle,MATCH(C2509,Aktiviteter,0))&amp;"",IF(AND(C2509="LMS",F2509&gt;0,OR(D2509="",E2509="")),"Mangler maskin eller arbeid",IF(AND(OR(C2509="LMS",C2509="Mod"),D2509&lt;&gt;""),IF(IFERROR(INDEX(MaskinStatus,MATCH(D2509,Maskiner,0)),"")="I dokk","","Maskinen er ikke i dokk"),""))))))</f>
        <v/>
      </c>
      <c r="L2509" s="2">
        <f>IF(B2509="","",IFERROR(INT((MATCH(B2509,Teknikere,0)-1)/18)+1,""))</f>
        <v/>
      </c>
      <c r="M2509" s="2">
        <f>IF(OR(A2509="",B2509=""),"",B2509&amp;"|"&amp;A2509)</f>
        <v/>
      </c>
      <c r="N2509" s="2">
        <f>IF(M2509="","",SUMIFS(TF_Timer,TF_Nokkel,M2509,TF_Akt,C2509))</f>
        <v/>
      </c>
      <c r="O2509" s="2">
        <f>IF(M2509="","",IF(AND(N2509=_xlfn.MAXIFS(TF_AktSum,TF_Nokkel,M2509),COUNTIFS(M$3:M2508,M2509,N$3:N2508,N2509)=0),M2509,""))</f>
        <v/>
      </c>
    </row>
    <row r="2510">
      <c r="A2510" s="34" t="n"/>
      <c r="B2510" s="35" t="n"/>
      <c r="C2510" s="35" t="n"/>
      <c r="D2510" s="35" t="n"/>
      <c r="E2510" s="35" t="n"/>
      <c r="F2510" s="36" t="n"/>
      <c r="G2510" s="35" t="n"/>
      <c r="H2510" s="30">
        <f>IF(L2510="","",INDEX(SkiftNavn,L2510))</f>
        <v/>
      </c>
      <c r="I2510" s="30">
        <f>IF(OR(A2510="",L2510=""),"",IF(MOD(A2510-INDEX(SkiftStart,L2510),Syklus)&lt;DagK,"Kveld",IF(MOD(A2510-INDEX(SkiftStart,L2510),Syklus)&lt;DagK+DagH,"Helg",IF(MOD(A2510-INDEX(SkiftStart,L2510),Syklus)&lt;DagK+DagH+DagD,"Dag","Fri"))))</f>
        <v/>
      </c>
      <c r="J2510" s="30">
        <f>IF(I2510="Fri","Ja","")</f>
        <v/>
      </c>
      <c r="K2510" s="30">
        <f>IF(B2510="","",IF(L2510="","Ukjent tekniker",IF(ISNA(MATCH(C2510,Aktiviteter,0)),"Ukjent aktivitet",IF(AND(INDEX(AktRolle,MATCH(C2510,Aktiviteter,0))&amp;""&lt;&gt;"",ISERROR(SEARCH(INDEX(AktRolle,MATCH(C2510,Aktiviteter,0))&amp;"",INDEX(TekRoller,MATCH(B2510,Teknikere,0))))),"Mangler rollen "&amp;INDEX(AktRolle,MATCH(C2510,Aktiviteter,0))&amp;"",IF(AND(C2510="LMS",F2510&gt;0,OR(D2510="",E2510="")),"Mangler maskin eller arbeid",IF(AND(OR(C2510="LMS",C2510="Mod"),D2510&lt;&gt;""),IF(IFERROR(INDEX(MaskinStatus,MATCH(D2510,Maskiner,0)),"")="I dokk","","Maskinen er ikke i dokk"),""))))))</f>
        <v/>
      </c>
      <c r="L2510" s="2">
        <f>IF(B2510="","",IFERROR(INT((MATCH(B2510,Teknikere,0)-1)/18)+1,""))</f>
        <v/>
      </c>
      <c r="M2510" s="2">
        <f>IF(OR(A2510="",B2510=""),"",B2510&amp;"|"&amp;A2510)</f>
        <v/>
      </c>
      <c r="N2510" s="2">
        <f>IF(M2510="","",SUMIFS(TF_Timer,TF_Nokkel,M2510,TF_Akt,C2510))</f>
        <v/>
      </c>
      <c r="O2510" s="2">
        <f>IF(M2510="","",IF(AND(N2510=_xlfn.MAXIFS(TF_AktSum,TF_Nokkel,M2510),COUNTIFS(M$3:M2509,M2510,N$3:N2509,N2510)=0),M2510,""))</f>
        <v/>
      </c>
    </row>
    <row r="2511">
      <c r="A2511" s="34" t="n"/>
      <c r="B2511" s="35" t="n"/>
      <c r="C2511" s="35" t="n"/>
      <c r="D2511" s="35" t="n"/>
      <c r="E2511" s="35" t="n"/>
      <c r="F2511" s="36" t="n"/>
      <c r="G2511" s="35" t="n"/>
      <c r="H2511" s="30">
        <f>IF(L2511="","",INDEX(SkiftNavn,L2511))</f>
        <v/>
      </c>
      <c r="I2511" s="30">
        <f>IF(OR(A2511="",L2511=""),"",IF(MOD(A2511-INDEX(SkiftStart,L2511),Syklus)&lt;DagK,"Kveld",IF(MOD(A2511-INDEX(SkiftStart,L2511),Syklus)&lt;DagK+DagH,"Helg",IF(MOD(A2511-INDEX(SkiftStart,L2511),Syklus)&lt;DagK+DagH+DagD,"Dag","Fri"))))</f>
        <v/>
      </c>
      <c r="J2511" s="30">
        <f>IF(I2511="Fri","Ja","")</f>
        <v/>
      </c>
      <c r="K2511" s="30">
        <f>IF(B2511="","",IF(L2511="","Ukjent tekniker",IF(ISNA(MATCH(C2511,Aktiviteter,0)),"Ukjent aktivitet",IF(AND(INDEX(AktRolle,MATCH(C2511,Aktiviteter,0))&amp;""&lt;&gt;"",ISERROR(SEARCH(INDEX(AktRolle,MATCH(C2511,Aktiviteter,0))&amp;"",INDEX(TekRoller,MATCH(B2511,Teknikere,0))))),"Mangler rollen "&amp;INDEX(AktRolle,MATCH(C2511,Aktiviteter,0))&amp;"",IF(AND(C2511="LMS",F2511&gt;0,OR(D2511="",E2511="")),"Mangler maskin eller arbeid",IF(AND(OR(C2511="LMS",C2511="Mod"),D2511&lt;&gt;""),IF(IFERROR(INDEX(MaskinStatus,MATCH(D2511,Maskiner,0)),"")="I dokk","","Maskinen er ikke i dokk"),""))))))</f>
        <v/>
      </c>
      <c r="L2511" s="2">
        <f>IF(B2511="","",IFERROR(INT((MATCH(B2511,Teknikere,0)-1)/18)+1,""))</f>
        <v/>
      </c>
      <c r="M2511" s="2">
        <f>IF(OR(A2511="",B2511=""),"",B2511&amp;"|"&amp;A2511)</f>
        <v/>
      </c>
      <c r="N2511" s="2">
        <f>IF(M2511="","",SUMIFS(TF_Timer,TF_Nokkel,M2511,TF_Akt,C2511))</f>
        <v/>
      </c>
      <c r="O2511" s="2">
        <f>IF(M2511="","",IF(AND(N2511=_xlfn.MAXIFS(TF_AktSum,TF_Nokkel,M2511),COUNTIFS(M$3:M2510,M2511,N$3:N2510,N2511)=0),M2511,""))</f>
        <v/>
      </c>
    </row>
    <row r="2512">
      <c r="A2512" s="34" t="n"/>
      <c r="B2512" s="35" t="n"/>
      <c r="C2512" s="35" t="n"/>
      <c r="D2512" s="35" t="n"/>
      <c r="E2512" s="35" t="n"/>
      <c r="F2512" s="36" t="n"/>
      <c r="G2512" s="35" t="n"/>
      <c r="H2512" s="30">
        <f>IF(L2512="","",INDEX(SkiftNavn,L2512))</f>
        <v/>
      </c>
      <c r="I2512" s="30">
        <f>IF(OR(A2512="",L2512=""),"",IF(MOD(A2512-INDEX(SkiftStart,L2512),Syklus)&lt;DagK,"Kveld",IF(MOD(A2512-INDEX(SkiftStart,L2512),Syklus)&lt;DagK+DagH,"Helg",IF(MOD(A2512-INDEX(SkiftStart,L2512),Syklus)&lt;DagK+DagH+DagD,"Dag","Fri"))))</f>
        <v/>
      </c>
      <c r="J2512" s="30">
        <f>IF(I2512="Fri","Ja","")</f>
        <v/>
      </c>
      <c r="K2512" s="30">
        <f>IF(B2512="","",IF(L2512="","Ukjent tekniker",IF(ISNA(MATCH(C2512,Aktiviteter,0)),"Ukjent aktivitet",IF(AND(INDEX(AktRolle,MATCH(C2512,Aktiviteter,0))&amp;""&lt;&gt;"",ISERROR(SEARCH(INDEX(AktRolle,MATCH(C2512,Aktiviteter,0))&amp;"",INDEX(TekRoller,MATCH(B2512,Teknikere,0))))),"Mangler rollen "&amp;INDEX(AktRolle,MATCH(C2512,Aktiviteter,0))&amp;"",IF(AND(C2512="LMS",F2512&gt;0,OR(D2512="",E2512="")),"Mangler maskin eller arbeid",IF(AND(OR(C2512="LMS",C2512="Mod"),D2512&lt;&gt;""),IF(IFERROR(INDEX(MaskinStatus,MATCH(D2512,Maskiner,0)),"")="I dokk","","Maskinen er ikke i dokk"),""))))))</f>
        <v/>
      </c>
      <c r="L2512" s="2">
        <f>IF(B2512="","",IFERROR(INT((MATCH(B2512,Teknikere,0)-1)/18)+1,""))</f>
        <v/>
      </c>
      <c r="M2512" s="2">
        <f>IF(OR(A2512="",B2512=""),"",B2512&amp;"|"&amp;A2512)</f>
        <v/>
      </c>
      <c r="N2512" s="2">
        <f>IF(M2512="","",SUMIFS(TF_Timer,TF_Nokkel,M2512,TF_Akt,C2512))</f>
        <v/>
      </c>
      <c r="O2512" s="2">
        <f>IF(M2512="","",IF(AND(N2512=_xlfn.MAXIFS(TF_AktSum,TF_Nokkel,M2512),COUNTIFS(M$3:M2511,M2512,N$3:N2511,N2512)=0),M2512,""))</f>
        <v/>
      </c>
    </row>
    <row r="2513">
      <c r="A2513" s="34" t="n"/>
      <c r="B2513" s="35" t="n"/>
      <c r="C2513" s="35" t="n"/>
      <c r="D2513" s="35" t="n"/>
      <c r="E2513" s="35" t="n"/>
      <c r="F2513" s="36" t="n"/>
      <c r="G2513" s="35" t="n"/>
      <c r="H2513" s="30">
        <f>IF(L2513="","",INDEX(SkiftNavn,L2513))</f>
        <v/>
      </c>
      <c r="I2513" s="30">
        <f>IF(OR(A2513="",L2513=""),"",IF(MOD(A2513-INDEX(SkiftStart,L2513),Syklus)&lt;DagK,"Kveld",IF(MOD(A2513-INDEX(SkiftStart,L2513),Syklus)&lt;DagK+DagH,"Helg",IF(MOD(A2513-INDEX(SkiftStart,L2513),Syklus)&lt;DagK+DagH+DagD,"Dag","Fri"))))</f>
        <v/>
      </c>
      <c r="J2513" s="30">
        <f>IF(I2513="Fri","Ja","")</f>
        <v/>
      </c>
      <c r="K2513" s="30">
        <f>IF(B2513="","",IF(L2513="","Ukjent tekniker",IF(ISNA(MATCH(C2513,Aktiviteter,0)),"Ukjent aktivitet",IF(AND(INDEX(AktRolle,MATCH(C2513,Aktiviteter,0))&amp;""&lt;&gt;"",ISERROR(SEARCH(INDEX(AktRolle,MATCH(C2513,Aktiviteter,0))&amp;"",INDEX(TekRoller,MATCH(B2513,Teknikere,0))))),"Mangler rollen "&amp;INDEX(AktRolle,MATCH(C2513,Aktiviteter,0))&amp;"",IF(AND(C2513="LMS",F2513&gt;0,OR(D2513="",E2513="")),"Mangler maskin eller arbeid",IF(AND(OR(C2513="LMS",C2513="Mod"),D2513&lt;&gt;""),IF(IFERROR(INDEX(MaskinStatus,MATCH(D2513,Maskiner,0)),"")="I dokk","","Maskinen er ikke i dokk"),""))))))</f>
        <v/>
      </c>
      <c r="L2513" s="2">
        <f>IF(B2513="","",IFERROR(INT((MATCH(B2513,Teknikere,0)-1)/18)+1,""))</f>
        <v/>
      </c>
      <c r="M2513" s="2">
        <f>IF(OR(A2513="",B2513=""),"",B2513&amp;"|"&amp;A2513)</f>
        <v/>
      </c>
      <c r="N2513" s="2">
        <f>IF(M2513="","",SUMIFS(TF_Timer,TF_Nokkel,M2513,TF_Akt,C2513))</f>
        <v/>
      </c>
      <c r="O2513" s="2">
        <f>IF(M2513="","",IF(AND(N2513=_xlfn.MAXIFS(TF_AktSum,TF_Nokkel,M2513),COUNTIFS(M$3:M2512,M2513,N$3:N2512,N2513)=0),M2513,""))</f>
        <v/>
      </c>
    </row>
    <row r="2514">
      <c r="A2514" s="34" t="n"/>
      <c r="B2514" s="35" t="n"/>
      <c r="C2514" s="35" t="n"/>
      <c r="D2514" s="35" t="n"/>
      <c r="E2514" s="35" t="n"/>
      <c r="F2514" s="36" t="n"/>
      <c r="G2514" s="35" t="n"/>
      <c r="H2514" s="30">
        <f>IF(L2514="","",INDEX(SkiftNavn,L2514))</f>
        <v/>
      </c>
      <c r="I2514" s="30">
        <f>IF(OR(A2514="",L2514=""),"",IF(MOD(A2514-INDEX(SkiftStart,L2514),Syklus)&lt;DagK,"Kveld",IF(MOD(A2514-INDEX(SkiftStart,L2514),Syklus)&lt;DagK+DagH,"Helg",IF(MOD(A2514-INDEX(SkiftStart,L2514),Syklus)&lt;DagK+DagH+DagD,"Dag","Fri"))))</f>
        <v/>
      </c>
      <c r="J2514" s="30">
        <f>IF(I2514="Fri","Ja","")</f>
        <v/>
      </c>
      <c r="K2514" s="30">
        <f>IF(B2514="","",IF(L2514="","Ukjent tekniker",IF(ISNA(MATCH(C2514,Aktiviteter,0)),"Ukjent aktivitet",IF(AND(INDEX(AktRolle,MATCH(C2514,Aktiviteter,0))&amp;""&lt;&gt;"",ISERROR(SEARCH(INDEX(AktRolle,MATCH(C2514,Aktiviteter,0))&amp;"",INDEX(TekRoller,MATCH(B2514,Teknikere,0))))),"Mangler rollen "&amp;INDEX(AktRolle,MATCH(C2514,Aktiviteter,0))&amp;"",IF(AND(C2514="LMS",F2514&gt;0,OR(D2514="",E2514="")),"Mangler maskin eller arbeid",IF(AND(OR(C2514="LMS",C2514="Mod"),D2514&lt;&gt;""),IF(IFERROR(INDEX(MaskinStatus,MATCH(D2514,Maskiner,0)),"")="I dokk","","Maskinen er ikke i dokk"),""))))))</f>
        <v/>
      </c>
      <c r="L2514" s="2">
        <f>IF(B2514="","",IFERROR(INT((MATCH(B2514,Teknikere,0)-1)/18)+1,""))</f>
        <v/>
      </c>
      <c r="M2514" s="2">
        <f>IF(OR(A2514="",B2514=""),"",B2514&amp;"|"&amp;A2514)</f>
        <v/>
      </c>
      <c r="N2514" s="2">
        <f>IF(M2514="","",SUMIFS(TF_Timer,TF_Nokkel,M2514,TF_Akt,C2514))</f>
        <v/>
      </c>
      <c r="O2514" s="2">
        <f>IF(M2514="","",IF(AND(N2514=_xlfn.MAXIFS(TF_AktSum,TF_Nokkel,M2514),COUNTIFS(M$3:M2513,M2514,N$3:N2513,N2514)=0),M2514,""))</f>
        <v/>
      </c>
    </row>
    <row r="2515">
      <c r="A2515" s="34" t="n"/>
      <c r="B2515" s="35" t="n"/>
      <c r="C2515" s="35" t="n"/>
      <c r="D2515" s="35" t="n"/>
      <c r="E2515" s="35" t="n"/>
      <c r="F2515" s="36" t="n"/>
      <c r="G2515" s="35" t="n"/>
      <c r="H2515" s="30">
        <f>IF(L2515="","",INDEX(SkiftNavn,L2515))</f>
        <v/>
      </c>
      <c r="I2515" s="30">
        <f>IF(OR(A2515="",L2515=""),"",IF(MOD(A2515-INDEX(SkiftStart,L2515),Syklus)&lt;DagK,"Kveld",IF(MOD(A2515-INDEX(SkiftStart,L2515),Syklus)&lt;DagK+DagH,"Helg",IF(MOD(A2515-INDEX(SkiftStart,L2515),Syklus)&lt;DagK+DagH+DagD,"Dag","Fri"))))</f>
        <v/>
      </c>
      <c r="J2515" s="30">
        <f>IF(I2515="Fri","Ja","")</f>
        <v/>
      </c>
      <c r="K2515" s="30">
        <f>IF(B2515="","",IF(L2515="","Ukjent tekniker",IF(ISNA(MATCH(C2515,Aktiviteter,0)),"Ukjent aktivitet",IF(AND(INDEX(AktRolle,MATCH(C2515,Aktiviteter,0))&amp;""&lt;&gt;"",ISERROR(SEARCH(INDEX(AktRolle,MATCH(C2515,Aktiviteter,0))&amp;"",INDEX(TekRoller,MATCH(B2515,Teknikere,0))))),"Mangler rollen "&amp;INDEX(AktRolle,MATCH(C2515,Aktiviteter,0))&amp;"",IF(AND(C2515="LMS",F2515&gt;0,OR(D2515="",E2515="")),"Mangler maskin eller arbeid",IF(AND(OR(C2515="LMS",C2515="Mod"),D2515&lt;&gt;""),IF(IFERROR(INDEX(MaskinStatus,MATCH(D2515,Maskiner,0)),"")="I dokk","","Maskinen er ikke i dokk"),""))))))</f>
        <v/>
      </c>
      <c r="L2515" s="2">
        <f>IF(B2515="","",IFERROR(INT((MATCH(B2515,Teknikere,0)-1)/18)+1,""))</f>
        <v/>
      </c>
      <c r="M2515" s="2">
        <f>IF(OR(A2515="",B2515=""),"",B2515&amp;"|"&amp;A2515)</f>
        <v/>
      </c>
      <c r="N2515" s="2">
        <f>IF(M2515="","",SUMIFS(TF_Timer,TF_Nokkel,M2515,TF_Akt,C2515))</f>
        <v/>
      </c>
      <c r="O2515" s="2">
        <f>IF(M2515="","",IF(AND(N2515=_xlfn.MAXIFS(TF_AktSum,TF_Nokkel,M2515),COUNTIFS(M$3:M2514,M2515,N$3:N2514,N2515)=0),M2515,""))</f>
        <v/>
      </c>
    </row>
    <row r="2516">
      <c r="A2516" s="34" t="n"/>
      <c r="B2516" s="35" t="n"/>
      <c r="C2516" s="35" t="n"/>
      <c r="D2516" s="35" t="n"/>
      <c r="E2516" s="35" t="n"/>
      <c r="F2516" s="36" t="n"/>
      <c r="G2516" s="35" t="n"/>
      <c r="H2516" s="30">
        <f>IF(L2516="","",INDEX(SkiftNavn,L2516))</f>
        <v/>
      </c>
      <c r="I2516" s="30">
        <f>IF(OR(A2516="",L2516=""),"",IF(MOD(A2516-INDEX(SkiftStart,L2516),Syklus)&lt;DagK,"Kveld",IF(MOD(A2516-INDEX(SkiftStart,L2516),Syklus)&lt;DagK+DagH,"Helg",IF(MOD(A2516-INDEX(SkiftStart,L2516),Syklus)&lt;DagK+DagH+DagD,"Dag","Fri"))))</f>
        <v/>
      </c>
      <c r="J2516" s="30">
        <f>IF(I2516="Fri","Ja","")</f>
        <v/>
      </c>
      <c r="K2516" s="30">
        <f>IF(B2516="","",IF(L2516="","Ukjent tekniker",IF(ISNA(MATCH(C2516,Aktiviteter,0)),"Ukjent aktivitet",IF(AND(INDEX(AktRolle,MATCH(C2516,Aktiviteter,0))&amp;""&lt;&gt;"",ISERROR(SEARCH(INDEX(AktRolle,MATCH(C2516,Aktiviteter,0))&amp;"",INDEX(TekRoller,MATCH(B2516,Teknikere,0))))),"Mangler rollen "&amp;INDEX(AktRolle,MATCH(C2516,Aktiviteter,0))&amp;"",IF(AND(C2516="LMS",F2516&gt;0,OR(D2516="",E2516="")),"Mangler maskin eller arbeid",IF(AND(OR(C2516="LMS",C2516="Mod"),D2516&lt;&gt;""),IF(IFERROR(INDEX(MaskinStatus,MATCH(D2516,Maskiner,0)),"")="I dokk","","Maskinen er ikke i dokk"),""))))))</f>
        <v/>
      </c>
      <c r="L2516" s="2">
        <f>IF(B2516="","",IFERROR(INT((MATCH(B2516,Teknikere,0)-1)/18)+1,""))</f>
        <v/>
      </c>
      <c r="M2516" s="2">
        <f>IF(OR(A2516="",B2516=""),"",B2516&amp;"|"&amp;A2516)</f>
        <v/>
      </c>
      <c r="N2516" s="2">
        <f>IF(M2516="","",SUMIFS(TF_Timer,TF_Nokkel,M2516,TF_Akt,C2516))</f>
        <v/>
      </c>
      <c r="O2516" s="2">
        <f>IF(M2516="","",IF(AND(N2516=_xlfn.MAXIFS(TF_AktSum,TF_Nokkel,M2516),COUNTIFS(M$3:M2515,M2516,N$3:N2515,N2516)=0),M2516,""))</f>
        <v/>
      </c>
    </row>
    <row r="2517">
      <c r="A2517" s="34" t="n"/>
      <c r="B2517" s="35" t="n"/>
      <c r="C2517" s="35" t="n"/>
      <c r="D2517" s="35" t="n"/>
      <c r="E2517" s="35" t="n"/>
      <c r="F2517" s="36" t="n"/>
      <c r="G2517" s="35" t="n"/>
      <c r="H2517" s="30">
        <f>IF(L2517="","",INDEX(SkiftNavn,L2517))</f>
        <v/>
      </c>
      <c r="I2517" s="30">
        <f>IF(OR(A2517="",L2517=""),"",IF(MOD(A2517-INDEX(SkiftStart,L2517),Syklus)&lt;DagK,"Kveld",IF(MOD(A2517-INDEX(SkiftStart,L2517),Syklus)&lt;DagK+DagH,"Helg",IF(MOD(A2517-INDEX(SkiftStart,L2517),Syklus)&lt;DagK+DagH+DagD,"Dag","Fri"))))</f>
        <v/>
      </c>
      <c r="J2517" s="30">
        <f>IF(I2517="Fri","Ja","")</f>
        <v/>
      </c>
      <c r="K2517" s="30">
        <f>IF(B2517="","",IF(L2517="","Ukjent tekniker",IF(ISNA(MATCH(C2517,Aktiviteter,0)),"Ukjent aktivitet",IF(AND(INDEX(AktRolle,MATCH(C2517,Aktiviteter,0))&amp;""&lt;&gt;"",ISERROR(SEARCH(INDEX(AktRolle,MATCH(C2517,Aktiviteter,0))&amp;"",INDEX(TekRoller,MATCH(B2517,Teknikere,0))))),"Mangler rollen "&amp;INDEX(AktRolle,MATCH(C2517,Aktiviteter,0))&amp;"",IF(AND(C2517="LMS",F2517&gt;0,OR(D2517="",E2517="")),"Mangler maskin eller arbeid",IF(AND(OR(C2517="LMS",C2517="Mod"),D2517&lt;&gt;""),IF(IFERROR(INDEX(MaskinStatus,MATCH(D2517,Maskiner,0)),"")="I dokk","","Maskinen er ikke i dokk"),""))))))</f>
        <v/>
      </c>
      <c r="L2517" s="2">
        <f>IF(B2517="","",IFERROR(INT((MATCH(B2517,Teknikere,0)-1)/18)+1,""))</f>
        <v/>
      </c>
      <c r="M2517" s="2">
        <f>IF(OR(A2517="",B2517=""),"",B2517&amp;"|"&amp;A2517)</f>
        <v/>
      </c>
      <c r="N2517" s="2">
        <f>IF(M2517="","",SUMIFS(TF_Timer,TF_Nokkel,M2517,TF_Akt,C2517))</f>
        <v/>
      </c>
      <c r="O2517" s="2">
        <f>IF(M2517="","",IF(AND(N2517=_xlfn.MAXIFS(TF_AktSum,TF_Nokkel,M2517),COUNTIFS(M$3:M2516,M2517,N$3:N2516,N2517)=0),M2517,""))</f>
        <v/>
      </c>
    </row>
    <row r="2518">
      <c r="A2518" s="34" t="n"/>
      <c r="B2518" s="35" t="n"/>
      <c r="C2518" s="35" t="n"/>
      <c r="D2518" s="35" t="n"/>
      <c r="E2518" s="35" t="n"/>
      <c r="F2518" s="36" t="n"/>
      <c r="G2518" s="35" t="n"/>
      <c r="H2518" s="30">
        <f>IF(L2518="","",INDEX(SkiftNavn,L2518))</f>
        <v/>
      </c>
      <c r="I2518" s="30">
        <f>IF(OR(A2518="",L2518=""),"",IF(MOD(A2518-INDEX(SkiftStart,L2518),Syklus)&lt;DagK,"Kveld",IF(MOD(A2518-INDEX(SkiftStart,L2518),Syklus)&lt;DagK+DagH,"Helg",IF(MOD(A2518-INDEX(SkiftStart,L2518),Syklus)&lt;DagK+DagH+DagD,"Dag","Fri"))))</f>
        <v/>
      </c>
      <c r="J2518" s="30">
        <f>IF(I2518="Fri","Ja","")</f>
        <v/>
      </c>
      <c r="K2518" s="30">
        <f>IF(B2518="","",IF(L2518="","Ukjent tekniker",IF(ISNA(MATCH(C2518,Aktiviteter,0)),"Ukjent aktivitet",IF(AND(INDEX(AktRolle,MATCH(C2518,Aktiviteter,0))&amp;""&lt;&gt;"",ISERROR(SEARCH(INDEX(AktRolle,MATCH(C2518,Aktiviteter,0))&amp;"",INDEX(TekRoller,MATCH(B2518,Teknikere,0))))),"Mangler rollen "&amp;INDEX(AktRolle,MATCH(C2518,Aktiviteter,0))&amp;"",IF(AND(C2518="LMS",F2518&gt;0,OR(D2518="",E2518="")),"Mangler maskin eller arbeid",IF(AND(OR(C2518="LMS",C2518="Mod"),D2518&lt;&gt;""),IF(IFERROR(INDEX(MaskinStatus,MATCH(D2518,Maskiner,0)),"")="I dokk","","Maskinen er ikke i dokk"),""))))))</f>
        <v/>
      </c>
      <c r="L2518" s="2">
        <f>IF(B2518="","",IFERROR(INT((MATCH(B2518,Teknikere,0)-1)/18)+1,""))</f>
        <v/>
      </c>
      <c r="M2518" s="2">
        <f>IF(OR(A2518="",B2518=""),"",B2518&amp;"|"&amp;A2518)</f>
        <v/>
      </c>
      <c r="N2518" s="2">
        <f>IF(M2518="","",SUMIFS(TF_Timer,TF_Nokkel,M2518,TF_Akt,C2518))</f>
        <v/>
      </c>
      <c r="O2518" s="2">
        <f>IF(M2518="","",IF(AND(N2518=_xlfn.MAXIFS(TF_AktSum,TF_Nokkel,M2518),COUNTIFS(M$3:M2517,M2518,N$3:N2517,N2518)=0),M2518,""))</f>
        <v/>
      </c>
    </row>
    <row r="2519">
      <c r="A2519" s="34" t="n"/>
      <c r="B2519" s="35" t="n"/>
      <c r="C2519" s="35" t="n"/>
      <c r="D2519" s="35" t="n"/>
      <c r="E2519" s="35" t="n"/>
      <c r="F2519" s="36" t="n"/>
      <c r="G2519" s="35" t="n"/>
      <c r="H2519" s="30">
        <f>IF(L2519="","",INDEX(SkiftNavn,L2519))</f>
        <v/>
      </c>
      <c r="I2519" s="30">
        <f>IF(OR(A2519="",L2519=""),"",IF(MOD(A2519-INDEX(SkiftStart,L2519),Syklus)&lt;DagK,"Kveld",IF(MOD(A2519-INDEX(SkiftStart,L2519),Syklus)&lt;DagK+DagH,"Helg",IF(MOD(A2519-INDEX(SkiftStart,L2519),Syklus)&lt;DagK+DagH+DagD,"Dag","Fri"))))</f>
        <v/>
      </c>
      <c r="J2519" s="30">
        <f>IF(I2519="Fri","Ja","")</f>
        <v/>
      </c>
      <c r="K2519" s="30">
        <f>IF(B2519="","",IF(L2519="","Ukjent tekniker",IF(ISNA(MATCH(C2519,Aktiviteter,0)),"Ukjent aktivitet",IF(AND(INDEX(AktRolle,MATCH(C2519,Aktiviteter,0))&amp;""&lt;&gt;"",ISERROR(SEARCH(INDEX(AktRolle,MATCH(C2519,Aktiviteter,0))&amp;"",INDEX(TekRoller,MATCH(B2519,Teknikere,0))))),"Mangler rollen "&amp;INDEX(AktRolle,MATCH(C2519,Aktiviteter,0))&amp;"",IF(AND(C2519="LMS",F2519&gt;0,OR(D2519="",E2519="")),"Mangler maskin eller arbeid",IF(AND(OR(C2519="LMS",C2519="Mod"),D2519&lt;&gt;""),IF(IFERROR(INDEX(MaskinStatus,MATCH(D2519,Maskiner,0)),"")="I dokk","","Maskinen er ikke i dokk"),""))))))</f>
        <v/>
      </c>
      <c r="L2519" s="2">
        <f>IF(B2519="","",IFERROR(INT((MATCH(B2519,Teknikere,0)-1)/18)+1,""))</f>
        <v/>
      </c>
      <c r="M2519" s="2">
        <f>IF(OR(A2519="",B2519=""),"",B2519&amp;"|"&amp;A2519)</f>
        <v/>
      </c>
      <c r="N2519" s="2">
        <f>IF(M2519="","",SUMIFS(TF_Timer,TF_Nokkel,M2519,TF_Akt,C2519))</f>
        <v/>
      </c>
      <c r="O2519" s="2">
        <f>IF(M2519="","",IF(AND(N2519=_xlfn.MAXIFS(TF_AktSum,TF_Nokkel,M2519),COUNTIFS(M$3:M2518,M2519,N$3:N2518,N2519)=0),M2519,""))</f>
        <v/>
      </c>
    </row>
    <row r="2520">
      <c r="A2520" s="34" t="n"/>
      <c r="B2520" s="35" t="n"/>
      <c r="C2520" s="35" t="n"/>
      <c r="D2520" s="35" t="n"/>
      <c r="E2520" s="35" t="n"/>
      <c r="F2520" s="36" t="n"/>
      <c r="G2520" s="35" t="n"/>
      <c r="H2520" s="30">
        <f>IF(L2520="","",INDEX(SkiftNavn,L2520))</f>
        <v/>
      </c>
      <c r="I2520" s="30">
        <f>IF(OR(A2520="",L2520=""),"",IF(MOD(A2520-INDEX(SkiftStart,L2520),Syklus)&lt;DagK,"Kveld",IF(MOD(A2520-INDEX(SkiftStart,L2520),Syklus)&lt;DagK+DagH,"Helg",IF(MOD(A2520-INDEX(SkiftStart,L2520),Syklus)&lt;DagK+DagH+DagD,"Dag","Fri"))))</f>
        <v/>
      </c>
      <c r="J2520" s="30">
        <f>IF(I2520="Fri","Ja","")</f>
        <v/>
      </c>
      <c r="K2520" s="30">
        <f>IF(B2520="","",IF(L2520="","Ukjent tekniker",IF(ISNA(MATCH(C2520,Aktiviteter,0)),"Ukjent aktivitet",IF(AND(INDEX(AktRolle,MATCH(C2520,Aktiviteter,0))&amp;""&lt;&gt;"",ISERROR(SEARCH(INDEX(AktRolle,MATCH(C2520,Aktiviteter,0))&amp;"",INDEX(TekRoller,MATCH(B2520,Teknikere,0))))),"Mangler rollen "&amp;INDEX(AktRolle,MATCH(C2520,Aktiviteter,0))&amp;"",IF(AND(C2520="LMS",F2520&gt;0,OR(D2520="",E2520="")),"Mangler maskin eller arbeid",IF(AND(OR(C2520="LMS",C2520="Mod"),D2520&lt;&gt;""),IF(IFERROR(INDEX(MaskinStatus,MATCH(D2520,Maskiner,0)),"")="I dokk","","Maskinen er ikke i dokk"),""))))))</f>
        <v/>
      </c>
      <c r="L2520" s="2">
        <f>IF(B2520="","",IFERROR(INT((MATCH(B2520,Teknikere,0)-1)/18)+1,""))</f>
        <v/>
      </c>
      <c r="M2520" s="2">
        <f>IF(OR(A2520="",B2520=""),"",B2520&amp;"|"&amp;A2520)</f>
        <v/>
      </c>
      <c r="N2520" s="2">
        <f>IF(M2520="","",SUMIFS(TF_Timer,TF_Nokkel,M2520,TF_Akt,C2520))</f>
        <v/>
      </c>
      <c r="O2520" s="2">
        <f>IF(M2520="","",IF(AND(N2520=_xlfn.MAXIFS(TF_AktSum,TF_Nokkel,M2520),COUNTIFS(M$3:M2519,M2520,N$3:N2519,N2520)=0),M2520,""))</f>
        <v/>
      </c>
    </row>
    <row r="2521">
      <c r="A2521" s="34" t="n"/>
      <c r="B2521" s="35" t="n"/>
      <c r="C2521" s="35" t="n"/>
      <c r="D2521" s="35" t="n"/>
      <c r="E2521" s="35" t="n"/>
      <c r="F2521" s="36" t="n"/>
      <c r="G2521" s="35" t="n"/>
      <c r="H2521" s="30">
        <f>IF(L2521="","",INDEX(SkiftNavn,L2521))</f>
        <v/>
      </c>
      <c r="I2521" s="30">
        <f>IF(OR(A2521="",L2521=""),"",IF(MOD(A2521-INDEX(SkiftStart,L2521),Syklus)&lt;DagK,"Kveld",IF(MOD(A2521-INDEX(SkiftStart,L2521),Syklus)&lt;DagK+DagH,"Helg",IF(MOD(A2521-INDEX(SkiftStart,L2521),Syklus)&lt;DagK+DagH+DagD,"Dag","Fri"))))</f>
        <v/>
      </c>
      <c r="J2521" s="30">
        <f>IF(I2521="Fri","Ja","")</f>
        <v/>
      </c>
      <c r="K2521" s="30">
        <f>IF(B2521="","",IF(L2521="","Ukjent tekniker",IF(ISNA(MATCH(C2521,Aktiviteter,0)),"Ukjent aktivitet",IF(AND(INDEX(AktRolle,MATCH(C2521,Aktiviteter,0))&amp;""&lt;&gt;"",ISERROR(SEARCH(INDEX(AktRolle,MATCH(C2521,Aktiviteter,0))&amp;"",INDEX(TekRoller,MATCH(B2521,Teknikere,0))))),"Mangler rollen "&amp;INDEX(AktRolle,MATCH(C2521,Aktiviteter,0))&amp;"",IF(AND(C2521="LMS",F2521&gt;0,OR(D2521="",E2521="")),"Mangler maskin eller arbeid",IF(AND(OR(C2521="LMS",C2521="Mod"),D2521&lt;&gt;""),IF(IFERROR(INDEX(MaskinStatus,MATCH(D2521,Maskiner,0)),"")="I dokk","","Maskinen er ikke i dokk"),""))))))</f>
        <v/>
      </c>
      <c r="L2521" s="2">
        <f>IF(B2521="","",IFERROR(INT((MATCH(B2521,Teknikere,0)-1)/18)+1,""))</f>
        <v/>
      </c>
      <c r="M2521" s="2">
        <f>IF(OR(A2521="",B2521=""),"",B2521&amp;"|"&amp;A2521)</f>
        <v/>
      </c>
      <c r="N2521" s="2">
        <f>IF(M2521="","",SUMIFS(TF_Timer,TF_Nokkel,M2521,TF_Akt,C2521))</f>
        <v/>
      </c>
      <c r="O2521" s="2">
        <f>IF(M2521="","",IF(AND(N2521=_xlfn.MAXIFS(TF_AktSum,TF_Nokkel,M2521),COUNTIFS(M$3:M2520,M2521,N$3:N2520,N2521)=0),M2521,""))</f>
        <v/>
      </c>
    </row>
    <row r="2522">
      <c r="A2522" s="34" t="n"/>
      <c r="B2522" s="35" t="n"/>
      <c r="C2522" s="35" t="n"/>
      <c r="D2522" s="35" t="n"/>
      <c r="E2522" s="35" t="n"/>
      <c r="F2522" s="36" t="n"/>
      <c r="G2522" s="35" t="n"/>
      <c r="H2522" s="30">
        <f>IF(L2522="","",INDEX(SkiftNavn,L2522))</f>
        <v/>
      </c>
      <c r="I2522" s="30">
        <f>IF(OR(A2522="",L2522=""),"",IF(MOD(A2522-INDEX(SkiftStart,L2522),Syklus)&lt;DagK,"Kveld",IF(MOD(A2522-INDEX(SkiftStart,L2522),Syklus)&lt;DagK+DagH,"Helg",IF(MOD(A2522-INDEX(SkiftStart,L2522),Syklus)&lt;DagK+DagH+DagD,"Dag","Fri"))))</f>
        <v/>
      </c>
      <c r="J2522" s="30">
        <f>IF(I2522="Fri","Ja","")</f>
        <v/>
      </c>
      <c r="K2522" s="30">
        <f>IF(B2522="","",IF(L2522="","Ukjent tekniker",IF(ISNA(MATCH(C2522,Aktiviteter,0)),"Ukjent aktivitet",IF(AND(INDEX(AktRolle,MATCH(C2522,Aktiviteter,0))&amp;""&lt;&gt;"",ISERROR(SEARCH(INDEX(AktRolle,MATCH(C2522,Aktiviteter,0))&amp;"",INDEX(TekRoller,MATCH(B2522,Teknikere,0))))),"Mangler rollen "&amp;INDEX(AktRolle,MATCH(C2522,Aktiviteter,0))&amp;"",IF(AND(C2522="LMS",F2522&gt;0,OR(D2522="",E2522="")),"Mangler maskin eller arbeid",IF(AND(OR(C2522="LMS",C2522="Mod"),D2522&lt;&gt;""),IF(IFERROR(INDEX(MaskinStatus,MATCH(D2522,Maskiner,0)),"")="I dokk","","Maskinen er ikke i dokk"),""))))))</f>
        <v/>
      </c>
      <c r="L2522" s="2">
        <f>IF(B2522="","",IFERROR(INT((MATCH(B2522,Teknikere,0)-1)/18)+1,""))</f>
        <v/>
      </c>
      <c r="M2522" s="2">
        <f>IF(OR(A2522="",B2522=""),"",B2522&amp;"|"&amp;A2522)</f>
        <v/>
      </c>
      <c r="N2522" s="2">
        <f>IF(M2522="","",SUMIFS(TF_Timer,TF_Nokkel,M2522,TF_Akt,C2522))</f>
        <v/>
      </c>
      <c r="O2522" s="2">
        <f>IF(M2522="","",IF(AND(N2522=_xlfn.MAXIFS(TF_AktSum,TF_Nokkel,M2522),COUNTIFS(M$3:M2521,M2522,N$3:N2521,N2522)=0),M2522,""))</f>
        <v/>
      </c>
    </row>
    <row r="2523">
      <c r="A2523" s="34" t="n"/>
      <c r="B2523" s="35" t="n"/>
      <c r="C2523" s="35" t="n"/>
      <c r="D2523" s="35" t="n"/>
      <c r="E2523" s="35" t="n"/>
      <c r="F2523" s="36" t="n"/>
      <c r="G2523" s="35" t="n"/>
      <c r="H2523" s="30">
        <f>IF(L2523="","",INDEX(SkiftNavn,L2523))</f>
        <v/>
      </c>
      <c r="I2523" s="30">
        <f>IF(OR(A2523="",L2523=""),"",IF(MOD(A2523-INDEX(SkiftStart,L2523),Syklus)&lt;DagK,"Kveld",IF(MOD(A2523-INDEX(SkiftStart,L2523),Syklus)&lt;DagK+DagH,"Helg",IF(MOD(A2523-INDEX(SkiftStart,L2523),Syklus)&lt;DagK+DagH+DagD,"Dag","Fri"))))</f>
        <v/>
      </c>
      <c r="J2523" s="30">
        <f>IF(I2523="Fri","Ja","")</f>
        <v/>
      </c>
      <c r="K2523" s="30">
        <f>IF(B2523="","",IF(L2523="","Ukjent tekniker",IF(ISNA(MATCH(C2523,Aktiviteter,0)),"Ukjent aktivitet",IF(AND(INDEX(AktRolle,MATCH(C2523,Aktiviteter,0))&amp;""&lt;&gt;"",ISERROR(SEARCH(INDEX(AktRolle,MATCH(C2523,Aktiviteter,0))&amp;"",INDEX(TekRoller,MATCH(B2523,Teknikere,0))))),"Mangler rollen "&amp;INDEX(AktRolle,MATCH(C2523,Aktiviteter,0))&amp;"",IF(AND(C2523="LMS",F2523&gt;0,OR(D2523="",E2523="")),"Mangler maskin eller arbeid",IF(AND(OR(C2523="LMS",C2523="Mod"),D2523&lt;&gt;""),IF(IFERROR(INDEX(MaskinStatus,MATCH(D2523,Maskiner,0)),"")="I dokk","","Maskinen er ikke i dokk"),""))))))</f>
        <v/>
      </c>
      <c r="L2523" s="2">
        <f>IF(B2523="","",IFERROR(INT((MATCH(B2523,Teknikere,0)-1)/18)+1,""))</f>
        <v/>
      </c>
      <c r="M2523" s="2">
        <f>IF(OR(A2523="",B2523=""),"",B2523&amp;"|"&amp;A2523)</f>
        <v/>
      </c>
      <c r="N2523" s="2">
        <f>IF(M2523="","",SUMIFS(TF_Timer,TF_Nokkel,M2523,TF_Akt,C2523))</f>
        <v/>
      </c>
      <c r="O2523" s="2">
        <f>IF(M2523="","",IF(AND(N2523=_xlfn.MAXIFS(TF_AktSum,TF_Nokkel,M2523),COUNTIFS(M$3:M2522,M2523,N$3:N2522,N2523)=0),M2523,""))</f>
        <v/>
      </c>
    </row>
    <row r="2524">
      <c r="A2524" s="34" t="n"/>
      <c r="B2524" s="35" t="n"/>
      <c r="C2524" s="35" t="n"/>
      <c r="D2524" s="35" t="n"/>
      <c r="E2524" s="35" t="n"/>
      <c r="F2524" s="36" t="n"/>
      <c r="G2524" s="35" t="n"/>
      <c r="H2524" s="30">
        <f>IF(L2524="","",INDEX(SkiftNavn,L2524))</f>
        <v/>
      </c>
      <c r="I2524" s="30">
        <f>IF(OR(A2524="",L2524=""),"",IF(MOD(A2524-INDEX(SkiftStart,L2524),Syklus)&lt;DagK,"Kveld",IF(MOD(A2524-INDEX(SkiftStart,L2524),Syklus)&lt;DagK+DagH,"Helg",IF(MOD(A2524-INDEX(SkiftStart,L2524),Syklus)&lt;DagK+DagH+DagD,"Dag","Fri"))))</f>
        <v/>
      </c>
      <c r="J2524" s="30">
        <f>IF(I2524="Fri","Ja","")</f>
        <v/>
      </c>
      <c r="K2524" s="30">
        <f>IF(B2524="","",IF(L2524="","Ukjent tekniker",IF(ISNA(MATCH(C2524,Aktiviteter,0)),"Ukjent aktivitet",IF(AND(INDEX(AktRolle,MATCH(C2524,Aktiviteter,0))&amp;""&lt;&gt;"",ISERROR(SEARCH(INDEX(AktRolle,MATCH(C2524,Aktiviteter,0))&amp;"",INDEX(TekRoller,MATCH(B2524,Teknikere,0))))),"Mangler rollen "&amp;INDEX(AktRolle,MATCH(C2524,Aktiviteter,0))&amp;"",IF(AND(C2524="LMS",F2524&gt;0,OR(D2524="",E2524="")),"Mangler maskin eller arbeid",IF(AND(OR(C2524="LMS",C2524="Mod"),D2524&lt;&gt;""),IF(IFERROR(INDEX(MaskinStatus,MATCH(D2524,Maskiner,0)),"")="I dokk","","Maskinen er ikke i dokk"),""))))))</f>
        <v/>
      </c>
      <c r="L2524" s="2">
        <f>IF(B2524="","",IFERROR(INT((MATCH(B2524,Teknikere,0)-1)/18)+1,""))</f>
        <v/>
      </c>
      <c r="M2524" s="2">
        <f>IF(OR(A2524="",B2524=""),"",B2524&amp;"|"&amp;A2524)</f>
        <v/>
      </c>
      <c r="N2524" s="2">
        <f>IF(M2524="","",SUMIFS(TF_Timer,TF_Nokkel,M2524,TF_Akt,C2524))</f>
        <v/>
      </c>
      <c r="O2524" s="2">
        <f>IF(M2524="","",IF(AND(N2524=_xlfn.MAXIFS(TF_AktSum,TF_Nokkel,M2524),COUNTIFS(M$3:M2523,M2524,N$3:N2523,N2524)=0),M2524,""))</f>
        <v/>
      </c>
    </row>
    <row r="2525">
      <c r="A2525" s="34" t="n"/>
      <c r="B2525" s="35" t="n"/>
      <c r="C2525" s="35" t="n"/>
      <c r="D2525" s="35" t="n"/>
      <c r="E2525" s="35" t="n"/>
      <c r="F2525" s="36" t="n"/>
      <c r="G2525" s="35" t="n"/>
      <c r="H2525" s="30">
        <f>IF(L2525="","",INDEX(SkiftNavn,L2525))</f>
        <v/>
      </c>
      <c r="I2525" s="30">
        <f>IF(OR(A2525="",L2525=""),"",IF(MOD(A2525-INDEX(SkiftStart,L2525),Syklus)&lt;DagK,"Kveld",IF(MOD(A2525-INDEX(SkiftStart,L2525),Syklus)&lt;DagK+DagH,"Helg",IF(MOD(A2525-INDEX(SkiftStart,L2525),Syklus)&lt;DagK+DagH+DagD,"Dag","Fri"))))</f>
        <v/>
      </c>
      <c r="J2525" s="30">
        <f>IF(I2525="Fri","Ja","")</f>
        <v/>
      </c>
      <c r="K2525" s="30">
        <f>IF(B2525="","",IF(L2525="","Ukjent tekniker",IF(ISNA(MATCH(C2525,Aktiviteter,0)),"Ukjent aktivitet",IF(AND(INDEX(AktRolle,MATCH(C2525,Aktiviteter,0))&amp;""&lt;&gt;"",ISERROR(SEARCH(INDEX(AktRolle,MATCH(C2525,Aktiviteter,0))&amp;"",INDEX(TekRoller,MATCH(B2525,Teknikere,0))))),"Mangler rollen "&amp;INDEX(AktRolle,MATCH(C2525,Aktiviteter,0))&amp;"",IF(AND(C2525="LMS",F2525&gt;0,OR(D2525="",E2525="")),"Mangler maskin eller arbeid",IF(AND(OR(C2525="LMS",C2525="Mod"),D2525&lt;&gt;""),IF(IFERROR(INDEX(MaskinStatus,MATCH(D2525,Maskiner,0)),"")="I dokk","","Maskinen er ikke i dokk"),""))))))</f>
        <v/>
      </c>
      <c r="L2525" s="2">
        <f>IF(B2525="","",IFERROR(INT((MATCH(B2525,Teknikere,0)-1)/18)+1,""))</f>
        <v/>
      </c>
      <c r="M2525" s="2">
        <f>IF(OR(A2525="",B2525=""),"",B2525&amp;"|"&amp;A2525)</f>
        <v/>
      </c>
      <c r="N2525" s="2">
        <f>IF(M2525="","",SUMIFS(TF_Timer,TF_Nokkel,M2525,TF_Akt,C2525))</f>
        <v/>
      </c>
      <c r="O2525" s="2">
        <f>IF(M2525="","",IF(AND(N2525=_xlfn.MAXIFS(TF_AktSum,TF_Nokkel,M2525),COUNTIFS(M$3:M2524,M2525,N$3:N2524,N2525)=0),M2525,""))</f>
        <v/>
      </c>
    </row>
    <row r="2526">
      <c r="A2526" s="34" t="n"/>
      <c r="B2526" s="35" t="n"/>
      <c r="C2526" s="35" t="n"/>
      <c r="D2526" s="35" t="n"/>
      <c r="E2526" s="35" t="n"/>
      <c r="F2526" s="36" t="n"/>
      <c r="G2526" s="35" t="n"/>
      <c r="H2526" s="30">
        <f>IF(L2526="","",INDEX(SkiftNavn,L2526))</f>
        <v/>
      </c>
      <c r="I2526" s="30">
        <f>IF(OR(A2526="",L2526=""),"",IF(MOD(A2526-INDEX(SkiftStart,L2526),Syklus)&lt;DagK,"Kveld",IF(MOD(A2526-INDEX(SkiftStart,L2526),Syklus)&lt;DagK+DagH,"Helg",IF(MOD(A2526-INDEX(SkiftStart,L2526),Syklus)&lt;DagK+DagH+DagD,"Dag","Fri"))))</f>
        <v/>
      </c>
      <c r="J2526" s="30">
        <f>IF(I2526="Fri","Ja","")</f>
        <v/>
      </c>
      <c r="K2526" s="30">
        <f>IF(B2526="","",IF(L2526="","Ukjent tekniker",IF(ISNA(MATCH(C2526,Aktiviteter,0)),"Ukjent aktivitet",IF(AND(INDEX(AktRolle,MATCH(C2526,Aktiviteter,0))&amp;""&lt;&gt;"",ISERROR(SEARCH(INDEX(AktRolle,MATCH(C2526,Aktiviteter,0))&amp;"",INDEX(TekRoller,MATCH(B2526,Teknikere,0))))),"Mangler rollen "&amp;INDEX(AktRolle,MATCH(C2526,Aktiviteter,0))&amp;"",IF(AND(C2526="LMS",F2526&gt;0,OR(D2526="",E2526="")),"Mangler maskin eller arbeid",IF(AND(OR(C2526="LMS",C2526="Mod"),D2526&lt;&gt;""),IF(IFERROR(INDEX(MaskinStatus,MATCH(D2526,Maskiner,0)),"")="I dokk","","Maskinen er ikke i dokk"),""))))))</f>
        <v/>
      </c>
      <c r="L2526" s="2">
        <f>IF(B2526="","",IFERROR(INT((MATCH(B2526,Teknikere,0)-1)/18)+1,""))</f>
        <v/>
      </c>
      <c r="M2526" s="2">
        <f>IF(OR(A2526="",B2526=""),"",B2526&amp;"|"&amp;A2526)</f>
        <v/>
      </c>
      <c r="N2526" s="2">
        <f>IF(M2526="","",SUMIFS(TF_Timer,TF_Nokkel,M2526,TF_Akt,C2526))</f>
        <v/>
      </c>
      <c r="O2526" s="2">
        <f>IF(M2526="","",IF(AND(N2526=_xlfn.MAXIFS(TF_AktSum,TF_Nokkel,M2526),COUNTIFS(M$3:M2525,M2526,N$3:N2525,N2526)=0),M2526,""))</f>
        <v/>
      </c>
    </row>
    <row r="2527">
      <c r="A2527" s="34" t="n"/>
      <c r="B2527" s="35" t="n"/>
      <c r="C2527" s="35" t="n"/>
      <c r="D2527" s="35" t="n"/>
      <c r="E2527" s="35" t="n"/>
      <c r="F2527" s="36" t="n"/>
      <c r="G2527" s="35" t="n"/>
      <c r="H2527" s="30">
        <f>IF(L2527="","",INDEX(SkiftNavn,L2527))</f>
        <v/>
      </c>
      <c r="I2527" s="30">
        <f>IF(OR(A2527="",L2527=""),"",IF(MOD(A2527-INDEX(SkiftStart,L2527),Syklus)&lt;DagK,"Kveld",IF(MOD(A2527-INDEX(SkiftStart,L2527),Syklus)&lt;DagK+DagH,"Helg",IF(MOD(A2527-INDEX(SkiftStart,L2527),Syklus)&lt;DagK+DagH+DagD,"Dag","Fri"))))</f>
        <v/>
      </c>
      <c r="J2527" s="30">
        <f>IF(I2527="Fri","Ja","")</f>
        <v/>
      </c>
      <c r="K2527" s="30">
        <f>IF(B2527="","",IF(L2527="","Ukjent tekniker",IF(ISNA(MATCH(C2527,Aktiviteter,0)),"Ukjent aktivitet",IF(AND(INDEX(AktRolle,MATCH(C2527,Aktiviteter,0))&amp;""&lt;&gt;"",ISERROR(SEARCH(INDEX(AktRolle,MATCH(C2527,Aktiviteter,0))&amp;"",INDEX(TekRoller,MATCH(B2527,Teknikere,0))))),"Mangler rollen "&amp;INDEX(AktRolle,MATCH(C2527,Aktiviteter,0))&amp;"",IF(AND(C2527="LMS",F2527&gt;0,OR(D2527="",E2527="")),"Mangler maskin eller arbeid",IF(AND(OR(C2527="LMS",C2527="Mod"),D2527&lt;&gt;""),IF(IFERROR(INDEX(MaskinStatus,MATCH(D2527,Maskiner,0)),"")="I dokk","","Maskinen er ikke i dokk"),""))))))</f>
        <v/>
      </c>
      <c r="L2527" s="2">
        <f>IF(B2527="","",IFERROR(INT((MATCH(B2527,Teknikere,0)-1)/18)+1,""))</f>
        <v/>
      </c>
      <c r="M2527" s="2">
        <f>IF(OR(A2527="",B2527=""),"",B2527&amp;"|"&amp;A2527)</f>
        <v/>
      </c>
      <c r="N2527" s="2">
        <f>IF(M2527="","",SUMIFS(TF_Timer,TF_Nokkel,M2527,TF_Akt,C2527))</f>
        <v/>
      </c>
      <c r="O2527" s="2">
        <f>IF(M2527="","",IF(AND(N2527=_xlfn.MAXIFS(TF_AktSum,TF_Nokkel,M2527),COUNTIFS(M$3:M2526,M2527,N$3:N2526,N2527)=0),M2527,""))</f>
        <v/>
      </c>
    </row>
    <row r="2528">
      <c r="A2528" s="34" t="n"/>
      <c r="B2528" s="35" t="n"/>
      <c r="C2528" s="35" t="n"/>
      <c r="D2528" s="35" t="n"/>
      <c r="E2528" s="35" t="n"/>
      <c r="F2528" s="36" t="n"/>
      <c r="G2528" s="35" t="n"/>
      <c r="H2528" s="30">
        <f>IF(L2528="","",INDEX(SkiftNavn,L2528))</f>
        <v/>
      </c>
      <c r="I2528" s="30">
        <f>IF(OR(A2528="",L2528=""),"",IF(MOD(A2528-INDEX(SkiftStart,L2528),Syklus)&lt;DagK,"Kveld",IF(MOD(A2528-INDEX(SkiftStart,L2528),Syklus)&lt;DagK+DagH,"Helg",IF(MOD(A2528-INDEX(SkiftStart,L2528),Syklus)&lt;DagK+DagH+DagD,"Dag","Fri"))))</f>
        <v/>
      </c>
      <c r="J2528" s="30">
        <f>IF(I2528="Fri","Ja","")</f>
        <v/>
      </c>
      <c r="K2528" s="30">
        <f>IF(B2528="","",IF(L2528="","Ukjent tekniker",IF(ISNA(MATCH(C2528,Aktiviteter,0)),"Ukjent aktivitet",IF(AND(INDEX(AktRolle,MATCH(C2528,Aktiviteter,0))&amp;""&lt;&gt;"",ISERROR(SEARCH(INDEX(AktRolle,MATCH(C2528,Aktiviteter,0))&amp;"",INDEX(TekRoller,MATCH(B2528,Teknikere,0))))),"Mangler rollen "&amp;INDEX(AktRolle,MATCH(C2528,Aktiviteter,0))&amp;"",IF(AND(C2528="LMS",F2528&gt;0,OR(D2528="",E2528="")),"Mangler maskin eller arbeid",IF(AND(OR(C2528="LMS",C2528="Mod"),D2528&lt;&gt;""),IF(IFERROR(INDEX(MaskinStatus,MATCH(D2528,Maskiner,0)),"")="I dokk","","Maskinen er ikke i dokk"),""))))))</f>
        <v/>
      </c>
      <c r="L2528" s="2">
        <f>IF(B2528="","",IFERROR(INT((MATCH(B2528,Teknikere,0)-1)/18)+1,""))</f>
        <v/>
      </c>
      <c r="M2528" s="2">
        <f>IF(OR(A2528="",B2528=""),"",B2528&amp;"|"&amp;A2528)</f>
        <v/>
      </c>
      <c r="N2528" s="2">
        <f>IF(M2528="","",SUMIFS(TF_Timer,TF_Nokkel,M2528,TF_Akt,C2528))</f>
        <v/>
      </c>
      <c r="O2528" s="2">
        <f>IF(M2528="","",IF(AND(N2528=_xlfn.MAXIFS(TF_AktSum,TF_Nokkel,M2528),COUNTIFS(M$3:M2527,M2528,N$3:N2527,N2528)=0),M2528,""))</f>
        <v/>
      </c>
    </row>
    <row r="2529">
      <c r="A2529" s="34" t="n"/>
      <c r="B2529" s="35" t="n"/>
      <c r="C2529" s="35" t="n"/>
      <c r="D2529" s="35" t="n"/>
      <c r="E2529" s="35" t="n"/>
      <c r="F2529" s="36" t="n"/>
      <c r="G2529" s="35" t="n"/>
      <c r="H2529" s="30">
        <f>IF(L2529="","",INDEX(SkiftNavn,L2529))</f>
        <v/>
      </c>
      <c r="I2529" s="30">
        <f>IF(OR(A2529="",L2529=""),"",IF(MOD(A2529-INDEX(SkiftStart,L2529),Syklus)&lt;DagK,"Kveld",IF(MOD(A2529-INDEX(SkiftStart,L2529),Syklus)&lt;DagK+DagH,"Helg",IF(MOD(A2529-INDEX(SkiftStart,L2529),Syklus)&lt;DagK+DagH+DagD,"Dag","Fri"))))</f>
        <v/>
      </c>
      <c r="J2529" s="30">
        <f>IF(I2529="Fri","Ja","")</f>
        <v/>
      </c>
      <c r="K2529" s="30">
        <f>IF(B2529="","",IF(L2529="","Ukjent tekniker",IF(ISNA(MATCH(C2529,Aktiviteter,0)),"Ukjent aktivitet",IF(AND(INDEX(AktRolle,MATCH(C2529,Aktiviteter,0))&amp;""&lt;&gt;"",ISERROR(SEARCH(INDEX(AktRolle,MATCH(C2529,Aktiviteter,0))&amp;"",INDEX(TekRoller,MATCH(B2529,Teknikere,0))))),"Mangler rollen "&amp;INDEX(AktRolle,MATCH(C2529,Aktiviteter,0))&amp;"",IF(AND(C2529="LMS",F2529&gt;0,OR(D2529="",E2529="")),"Mangler maskin eller arbeid",IF(AND(OR(C2529="LMS",C2529="Mod"),D2529&lt;&gt;""),IF(IFERROR(INDEX(MaskinStatus,MATCH(D2529,Maskiner,0)),"")="I dokk","","Maskinen er ikke i dokk"),""))))))</f>
        <v/>
      </c>
      <c r="L2529" s="2">
        <f>IF(B2529="","",IFERROR(INT((MATCH(B2529,Teknikere,0)-1)/18)+1,""))</f>
        <v/>
      </c>
      <c r="M2529" s="2">
        <f>IF(OR(A2529="",B2529=""),"",B2529&amp;"|"&amp;A2529)</f>
        <v/>
      </c>
      <c r="N2529" s="2">
        <f>IF(M2529="","",SUMIFS(TF_Timer,TF_Nokkel,M2529,TF_Akt,C2529))</f>
        <v/>
      </c>
      <c r="O2529" s="2">
        <f>IF(M2529="","",IF(AND(N2529=_xlfn.MAXIFS(TF_AktSum,TF_Nokkel,M2529),COUNTIFS(M$3:M2528,M2529,N$3:N2528,N2529)=0),M2529,""))</f>
        <v/>
      </c>
    </row>
    <row r="2530">
      <c r="A2530" s="34" t="n"/>
      <c r="B2530" s="35" t="n"/>
      <c r="C2530" s="35" t="n"/>
      <c r="D2530" s="35" t="n"/>
      <c r="E2530" s="35" t="n"/>
      <c r="F2530" s="36" t="n"/>
      <c r="G2530" s="35" t="n"/>
      <c r="H2530" s="30">
        <f>IF(L2530="","",INDEX(SkiftNavn,L2530))</f>
        <v/>
      </c>
      <c r="I2530" s="30">
        <f>IF(OR(A2530="",L2530=""),"",IF(MOD(A2530-INDEX(SkiftStart,L2530),Syklus)&lt;DagK,"Kveld",IF(MOD(A2530-INDEX(SkiftStart,L2530),Syklus)&lt;DagK+DagH,"Helg",IF(MOD(A2530-INDEX(SkiftStart,L2530),Syklus)&lt;DagK+DagH+DagD,"Dag","Fri"))))</f>
        <v/>
      </c>
      <c r="J2530" s="30">
        <f>IF(I2530="Fri","Ja","")</f>
        <v/>
      </c>
      <c r="K2530" s="30">
        <f>IF(B2530="","",IF(L2530="","Ukjent tekniker",IF(ISNA(MATCH(C2530,Aktiviteter,0)),"Ukjent aktivitet",IF(AND(INDEX(AktRolle,MATCH(C2530,Aktiviteter,0))&amp;""&lt;&gt;"",ISERROR(SEARCH(INDEX(AktRolle,MATCH(C2530,Aktiviteter,0))&amp;"",INDEX(TekRoller,MATCH(B2530,Teknikere,0))))),"Mangler rollen "&amp;INDEX(AktRolle,MATCH(C2530,Aktiviteter,0))&amp;"",IF(AND(C2530="LMS",F2530&gt;0,OR(D2530="",E2530="")),"Mangler maskin eller arbeid",IF(AND(OR(C2530="LMS",C2530="Mod"),D2530&lt;&gt;""),IF(IFERROR(INDEX(MaskinStatus,MATCH(D2530,Maskiner,0)),"")="I dokk","","Maskinen er ikke i dokk"),""))))))</f>
        <v/>
      </c>
      <c r="L2530" s="2">
        <f>IF(B2530="","",IFERROR(INT((MATCH(B2530,Teknikere,0)-1)/18)+1,""))</f>
        <v/>
      </c>
      <c r="M2530" s="2">
        <f>IF(OR(A2530="",B2530=""),"",B2530&amp;"|"&amp;A2530)</f>
        <v/>
      </c>
      <c r="N2530" s="2">
        <f>IF(M2530="","",SUMIFS(TF_Timer,TF_Nokkel,M2530,TF_Akt,C2530))</f>
        <v/>
      </c>
      <c r="O2530" s="2">
        <f>IF(M2530="","",IF(AND(N2530=_xlfn.MAXIFS(TF_AktSum,TF_Nokkel,M2530),COUNTIFS(M$3:M2529,M2530,N$3:N2529,N2530)=0),M2530,""))</f>
        <v/>
      </c>
    </row>
    <row r="2531">
      <c r="A2531" s="34" t="n"/>
      <c r="B2531" s="35" t="n"/>
      <c r="C2531" s="35" t="n"/>
      <c r="D2531" s="35" t="n"/>
      <c r="E2531" s="35" t="n"/>
      <c r="F2531" s="36" t="n"/>
      <c r="G2531" s="35" t="n"/>
      <c r="H2531" s="30">
        <f>IF(L2531="","",INDEX(SkiftNavn,L2531))</f>
        <v/>
      </c>
      <c r="I2531" s="30">
        <f>IF(OR(A2531="",L2531=""),"",IF(MOD(A2531-INDEX(SkiftStart,L2531),Syklus)&lt;DagK,"Kveld",IF(MOD(A2531-INDEX(SkiftStart,L2531),Syklus)&lt;DagK+DagH,"Helg",IF(MOD(A2531-INDEX(SkiftStart,L2531),Syklus)&lt;DagK+DagH+DagD,"Dag","Fri"))))</f>
        <v/>
      </c>
      <c r="J2531" s="30">
        <f>IF(I2531="Fri","Ja","")</f>
        <v/>
      </c>
      <c r="K2531" s="30">
        <f>IF(B2531="","",IF(L2531="","Ukjent tekniker",IF(ISNA(MATCH(C2531,Aktiviteter,0)),"Ukjent aktivitet",IF(AND(INDEX(AktRolle,MATCH(C2531,Aktiviteter,0))&amp;""&lt;&gt;"",ISERROR(SEARCH(INDEX(AktRolle,MATCH(C2531,Aktiviteter,0))&amp;"",INDEX(TekRoller,MATCH(B2531,Teknikere,0))))),"Mangler rollen "&amp;INDEX(AktRolle,MATCH(C2531,Aktiviteter,0))&amp;"",IF(AND(C2531="LMS",F2531&gt;0,OR(D2531="",E2531="")),"Mangler maskin eller arbeid",IF(AND(OR(C2531="LMS",C2531="Mod"),D2531&lt;&gt;""),IF(IFERROR(INDEX(MaskinStatus,MATCH(D2531,Maskiner,0)),"")="I dokk","","Maskinen er ikke i dokk"),""))))))</f>
        <v/>
      </c>
      <c r="L2531" s="2">
        <f>IF(B2531="","",IFERROR(INT((MATCH(B2531,Teknikere,0)-1)/18)+1,""))</f>
        <v/>
      </c>
      <c r="M2531" s="2">
        <f>IF(OR(A2531="",B2531=""),"",B2531&amp;"|"&amp;A2531)</f>
        <v/>
      </c>
      <c r="N2531" s="2">
        <f>IF(M2531="","",SUMIFS(TF_Timer,TF_Nokkel,M2531,TF_Akt,C2531))</f>
        <v/>
      </c>
      <c r="O2531" s="2">
        <f>IF(M2531="","",IF(AND(N2531=_xlfn.MAXIFS(TF_AktSum,TF_Nokkel,M2531),COUNTIFS(M$3:M2530,M2531,N$3:N2530,N2531)=0),M2531,""))</f>
        <v/>
      </c>
    </row>
    <row r="2532">
      <c r="A2532" s="34" t="n"/>
      <c r="B2532" s="35" t="n"/>
      <c r="C2532" s="35" t="n"/>
      <c r="D2532" s="35" t="n"/>
      <c r="E2532" s="35" t="n"/>
      <c r="F2532" s="36" t="n"/>
      <c r="G2532" s="35" t="n"/>
      <c r="H2532" s="30">
        <f>IF(L2532="","",INDEX(SkiftNavn,L2532))</f>
        <v/>
      </c>
      <c r="I2532" s="30">
        <f>IF(OR(A2532="",L2532=""),"",IF(MOD(A2532-INDEX(SkiftStart,L2532),Syklus)&lt;DagK,"Kveld",IF(MOD(A2532-INDEX(SkiftStart,L2532),Syklus)&lt;DagK+DagH,"Helg",IF(MOD(A2532-INDEX(SkiftStart,L2532),Syklus)&lt;DagK+DagH+DagD,"Dag","Fri"))))</f>
        <v/>
      </c>
      <c r="J2532" s="30">
        <f>IF(I2532="Fri","Ja","")</f>
        <v/>
      </c>
      <c r="K2532" s="30">
        <f>IF(B2532="","",IF(L2532="","Ukjent tekniker",IF(ISNA(MATCH(C2532,Aktiviteter,0)),"Ukjent aktivitet",IF(AND(INDEX(AktRolle,MATCH(C2532,Aktiviteter,0))&amp;""&lt;&gt;"",ISERROR(SEARCH(INDEX(AktRolle,MATCH(C2532,Aktiviteter,0))&amp;"",INDEX(TekRoller,MATCH(B2532,Teknikere,0))))),"Mangler rollen "&amp;INDEX(AktRolle,MATCH(C2532,Aktiviteter,0))&amp;"",IF(AND(C2532="LMS",F2532&gt;0,OR(D2532="",E2532="")),"Mangler maskin eller arbeid",IF(AND(OR(C2532="LMS",C2532="Mod"),D2532&lt;&gt;""),IF(IFERROR(INDEX(MaskinStatus,MATCH(D2532,Maskiner,0)),"")="I dokk","","Maskinen er ikke i dokk"),""))))))</f>
        <v/>
      </c>
      <c r="L2532" s="2">
        <f>IF(B2532="","",IFERROR(INT((MATCH(B2532,Teknikere,0)-1)/18)+1,""))</f>
        <v/>
      </c>
      <c r="M2532" s="2">
        <f>IF(OR(A2532="",B2532=""),"",B2532&amp;"|"&amp;A2532)</f>
        <v/>
      </c>
      <c r="N2532" s="2">
        <f>IF(M2532="","",SUMIFS(TF_Timer,TF_Nokkel,M2532,TF_Akt,C2532))</f>
        <v/>
      </c>
      <c r="O2532" s="2">
        <f>IF(M2532="","",IF(AND(N2532=_xlfn.MAXIFS(TF_AktSum,TF_Nokkel,M2532),COUNTIFS(M$3:M2531,M2532,N$3:N2531,N2532)=0),M2532,""))</f>
        <v/>
      </c>
    </row>
    <row r="2533">
      <c r="A2533" s="34" t="n"/>
      <c r="B2533" s="35" t="n"/>
      <c r="C2533" s="35" t="n"/>
      <c r="D2533" s="35" t="n"/>
      <c r="E2533" s="35" t="n"/>
      <c r="F2533" s="36" t="n"/>
      <c r="G2533" s="35" t="n"/>
      <c r="H2533" s="30">
        <f>IF(L2533="","",INDEX(SkiftNavn,L2533))</f>
        <v/>
      </c>
      <c r="I2533" s="30">
        <f>IF(OR(A2533="",L2533=""),"",IF(MOD(A2533-INDEX(SkiftStart,L2533),Syklus)&lt;DagK,"Kveld",IF(MOD(A2533-INDEX(SkiftStart,L2533),Syklus)&lt;DagK+DagH,"Helg",IF(MOD(A2533-INDEX(SkiftStart,L2533),Syklus)&lt;DagK+DagH+DagD,"Dag","Fri"))))</f>
        <v/>
      </c>
      <c r="J2533" s="30">
        <f>IF(I2533="Fri","Ja","")</f>
        <v/>
      </c>
      <c r="K2533" s="30">
        <f>IF(B2533="","",IF(L2533="","Ukjent tekniker",IF(ISNA(MATCH(C2533,Aktiviteter,0)),"Ukjent aktivitet",IF(AND(INDEX(AktRolle,MATCH(C2533,Aktiviteter,0))&amp;""&lt;&gt;"",ISERROR(SEARCH(INDEX(AktRolle,MATCH(C2533,Aktiviteter,0))&amp;"",INDEX(TekRoller,MATCH(B2533,Teknikere,0))))),"Mangler rollen "&amp;INDEX(AktRolle,MATCH(C2533,Aktiviteter,0))&amp;"",IF(AND(C2533="LMS",F2533&gt;0,OR(D2533="",E2533="")),"Mangler maskin eller arbeid",IF(AND(OR(C2533="LMS",C2533="Mod"),D2533&lt;&gt;""),IF(IFERROR(INDEX(MaskinStatus,MATCH(D2533,Maskiner,0)),"")="I dokk","","Maskinen er ikke i dokk"),""))))))</f>
        <v/>
      </c>
      <c r="L2533" s="2">
        <f>IF(B2533="","",IFERROR(INT((MATCH(B2533,Teknikere,0)-1)/18)+1,""))</f>
        <v/>
      </c>
      <c r="M2533" s="2">
        <f>IF(OR(A2533="",B2533=""),"",B2533&amp;"|"&amp;A2533)</f>
        <v/>
      </c>
      <c r="N2533" s="2">
        <f>IF(M2533="","",SUMIFS(TF_Timer,TF_Nokkel,M2533,TF_Akt,C2533))</f>
        <v/>
      </c>
      <c r="O2533" s="2">
        <f>IF(M2533="","",IF(AND(N2533=_xlfn.MAXIFS(TF_AktSum,TF_Nokkel,M2533),COUNTIFS(M$3:M2532,M2533,N$3:N2532,N2533)=0),M2533,""))</f>
        <v/>
      </c>
    </row>
    <row r="2534">
      <c r="A2534" s="34" t="n"/>
      <c r="B2534" s="35" t="n"/>
      <c r="C2534" s="35" t="n"/>
      <c r="D2534" s="35" t="n"/>
      <c r="E2534" s="35" t="n"/>
      <c r="F2534" s="36" t="n"/>
      <c r="G2534" s="35" t="n"/>
      <c r="H2534" s="30">
        <f>IF(L2534="","",INDEX(SkiftNavn,L2534))</f>
        <v/>
      </c>
      <c r="I2534" s="30">
        <f>IF(OR(A2534="",L2534=""),"",IF(MOD(A2534-INDEX(SkiftStart,L2534),Syklus)&lt;DagK,"Kveld",IF(MOD(A2534-INDEX(SkiftStart,L2534),Syklus)&lt;DagK+DagH,"Helg",IF(MOD(A2534-INDEX(SkiftStart,L2534),Syklus)&lt;DagK+DagH+DagD,"Dag","Fri"))))</f>
        <v/>
      </c>
      <c r="J2534" s="30">
        <f>IF(I2534="Fri","Ja","")</f>
        <v/>
      </c>
      <c r="K2534" s="30">
        <f>IF(B2534="","",IF(L2534="","Ukjent tekniker",IF(ISNA(MATCH(C2534,Aktiviteter,0)),"Ukjent aktivitet",IF(AND(INDEX(AktRolle,MATCH(C2534,Aktiviteter,0))&amp;""&lt;&gt;"",ISERROR(SEARCH(INDEX(AktRolle,MATCH(C2534,Aktiviteter,0))&amp;"",INDEX(TekRoller,MATCH(B2534,Teknikere,0))))),"Mangler rollen "&amp;INDEX(AktRolle,MATCH(C2534,Aktiviteter,0))&amp;"",IF(AND(C2534="LMS",F2534&gt;0,OR(D2534="",E2534="")),"Mangler maskin eller arbeid",IF(AND(OR(C2534="LMS",C2534="Mod"),D2534&lt;&gt;""),IF(IFERROR(INDEX(MaskinStatus,MATCH(D2534,Maskiner,0)),"")="I dokk","","Maskinen er ikke i dokk"),""))))))</f>
        <v/>
      </c>
      <c r="L2534" s="2">
        <f>IF(B2534="","",IFERROR(INT((MATCH(B2534,Teknikere,0)-1)/18)+1,""))</f>
        <v/>
      </c>
      <c r="M2534" s="2">
        <f>IF(OR(A2534="",B2534=""),"",B2534&amp;"|"&amp;A2534)</f>
        <v/>
      </c>
      <c r="N2534" s="2">
        <f>IF(M2534="","",SUMIFS(TF_Timer,TF_Nokkel,M2534,TF_Akt,C2534))</f>
        <v/>
      </c>
      <c r="O2534" s="2">
        <f>IF(M2534="","",IF(AND(N2534=_xlfn.MAXIFS(TF_AktSum,TF_Nokkel,M2534),COUNTIFS(M$3:M2533,M2534,N$3:N2533,N2534)=0),M2534,""))</f>
        <v/>
      </c>
    </row>
    <row r="2535">
      <c r="A2535" s="34" t="n"/>
      <c r="B2535" s="35" t="n"/>
      <c r="C2535" s="35" t="n"/>
      <c r="D2535" s="35" t="n"/>
      <c r="E2535" s="35" t="n"/>
      <c r="F2535" s="36" t="n"/>
      <c r="G2535" s="35" t="n"/>
      <c r="H2535" s="30">
        <f>IF(L2535="","",INDEX(SkiftNavn,L2535))</f>
        <v/>
      </c>
      <c r="I2535" s="30">
        <f>IF(OR(A2535="",L2535=""),"",IF(MOD(A2535-INDEX(SkiftStart,L2535),Syklus)&lt;DagK,"Kveld",IF(MOD(A2535-INDEX(SkiftStart,L2535),Syklus)&lt;DagK+DagH,"Helg",IF(MOD(A2535-INDEX(SkiftStart,L2535),Syklus)&lt;DagK+DagH+DagD,"Dag","Fri"))))</f>
        <v/>
      </c>
      <c r="J2535" s="30">
        <f>IF(I2535="Fri","Ja","")</f>
        <v/>
      </c>
      <c r="K2535" s="30">
        <f>IF(B2535="","",IF(L2535="","Ukjent tekniker",IF(ISNA(MATCH(C2535,Aktiviteter,0)),"Ukjent aktivitet",IF(AND(INDEX(AktRolle,MATCH(C2535,Aktiviteter,0))&amp;""&lt;&gt;"",ISERROR(SEARCH(INDEX(AktRolle,MATCH(C2535,Aktiviteter,0))&amp;"",INDEX(TekRoller,MATCH(B2535,Teknikere,0))))),"Mangler rollen "&amp;INDEX(AktRolle,MATCH(C2535,Aktiviteter,0))&amp;"",IF(AND(C2535="LMS",F2535&gt;0,OR(D2535="",E2535="")),"Mangler maskin eller arbeid",IF(AND(OR(C2535="LMS",C2535="Mod"),D2535&lt;&gt;""),IF(IFERROR(INDEX(MaskinStatus,MATCH(D2535,Maskiner,0)),"")="I dokk","","Maskinen er ikke i dokk"),""))))))</f>
        <v/>
      </c>
      <c r="L2535" s="2">
        <f>IF(B2535="","",IFERROR(INT((MATCH(B2535,Teknikere,0)-1)/18)+1,""))</f>
        <v/>
      </c>
      <c r="M2535" s="2">
        <f>IF(OR(A2535="",B2535=""),"",B2535&amp;"|"&amp;A2535)</f>
        <v/>
      </c>
      <c r="N2535" s="2">
        <f>IF(M2535="","",SUMIFS(TF_Timer,TF_Nokkel,M2535,TF_Akt,C2535))</f>
        <v/>
      </c>
      <c r="O2535" s="2">
        <f>IF(M2535="","",IF(AND(N2535=_xlfn.MAXIFS(TF_AktSum,TF_Nokkel,M2535),COUNTIFS(M$3:M2534,M2535,N$3:N2534,N2535)=0),M2535,""))</f>
        <v/>
      </c>
    </row>
    <row r="2536">
      <c r="A2536" s="34" t="n"/>
      <c r="B2536" s="35" t="n"/>
      <c r="C2536" s="35" t="n"/>
      <c r="D2536" s="35" t="n"/>
      <c r="E2536" s="35" t="n"/>
      <c r="F2536" s="36" t="n"/>
      <c r="G2536" s="35" t="n"/>
      <c r="H2536" s="30">
        <f>IF(L2536="","",INDEX(SkiftNavn,L2536))</f>
        <v/>
      </c>
      <c r="I2536" s="30">
        <f>IF(OR(A2536="",L2536=""),"",IF(MOD(A2536-INDEX(SkiftStart,L2536),Syklus)&lt;DagK,"Kveld",IF(MOD(A2536-INDEX(SkiftStart,L2536),Syklus)&lt;DagK+DagH,"Helg",IF(MOD(A2536-INDEX(SkiftStart,L2536),Syklus)&lt;DagK+DagH+DagD,"Dag","Fri"))))</f>
        <v/>
      </c>
      <c r="J2536" s="30">
        <f>IF(I2536="Fri","Ja","")</f>
        <v/>
      </c>
      <c r="K2536" s="30">
        <f>IF(B2536="","",IF(L2536="","Ukjent tekniker",IF(ISNA(MATCH(C2536,Aktiviteter,0)),"Ukjent aktivitet",IF(AND(INDEX(AktRolle,MATCH(C2536,Aktiviteter,0))&amp;""&lt;&gt;"",ISERROR(SEARCH(INDEX(AktRolle,MATCH(C2536,Aktiviteter,0))&amp;"",INDEX(TekRoller,MATCH(B2536,Teknikere,0))))),"Mangler rollen "&amp;INDEX(AktRolle,MATCH(C2536,Aktiviteter,0))&amp;"",IF(AND(C2536="LMS",F2536&gt;0,OR(D2536="",E2536="")),"Mangler maskin eller arbeid",IF(AND(OR(C2536="LMS",C2536="Mod"),D2536&lt;&gt;""),IF(IFERROR(INDEX(MaskinStatus,MATCH(D2536,Maskiner,0)),"")="I dokk","","Maskinen er ikke i dokk"),""))))))</f>
        <v/>
      </c>
      <c r="L2536" s="2">
        <f>IF(B2536="","",IFERROR(INT((MATCH(B2536,Teknikere,0)-1)/18)+1,""))</f>
        <v/>
      </c>
      <c r="M2536" s="2">
        <f>IF(OR(A2536="",B2536=""),"",B2536&amp;"|"&amp;A2536)</f>
        <v/>
      </c>
      <c r="N2536" s="2">
        <f>IF(M2536="","",SUMIFS(TF_Timer,TF_Nokkel,M2536,TF_Akt,C2536))</f>
        <v/>
      </c>
      <c r="O2536" s="2">
        <f>IF(M2536="","",IF(AND(N2536=_xlfn.MAXIFS(TF_AktSum,TF_Nokkel,M2536),COUNTIFS(M$3:M2535,M2536,N$3:N2535,N2536)=0),M2536,""))</f>
        <v/>
      </c>
    </row>
    <row r="2537">
      <c r="A2537" s="34" t="n"/>
      <c r="B2537" s="35" t="n"/>
      <c r="C2537" s="35" t="n"/>
      <c r="D2537" s="35" t="n"/>
      <c r="E2537" s="35" t="n"/>
      <c r="F2537" s="36" t="n"/>
      <c r="G2537" s="35" t="n"/>
      <c r="H2537" s="30">
        <f>IF(L2537="","",INDEX(SkiftNavn,L2537))</f>
        <v/>
      </c>
      <c r="I2537" s="30">
        <f>IF(OR(A2537="",L2537=""),"",IF(MOD(A2537-INDEX(SkiftStart,L2537),Syklus)&lt;DagK,"Kveld",IF(MOD(A2537-INDEX(SkiftStart,L2537),Syklus)&lt;DagK+DagH,"Helg",IF(MOD(A2537-INDEX(SkiftStart,L2537),Syklus)&lt;DagK+DagH+DagD,"Dag","Fri"))))</f>
        <v/>
      </c>
      <c r="J2537" s="30">
        <f>IF(I2537="Fri","Ja","")</f>
        <v/>
      </c>
      <c r="K2537" s="30">
        <f>IF(B2537="","",IF(L2537="","Ukjent tekniker",IF(ISNA(MATCH(C2537,Aktiviteter,0)),"Ukjent aktivitet",IF(AND(INDEX(AktRolle,MATCH(C2537,Aktiviteter,0))&amp;""&lt;&gt;"",ISERROR(SEARCH(INDEX(AktRolle,MATCH(C2537,Aktiviteter,0))&amp;"",INDEX(TekRoller,MATCH(B2537,Teknikere,0))))),"Mangler rollen "&amp;INDEX(AktRolle,MATCH(C2537,Aktiviteter,0))&amp;"",IF(AND(C2537="LMS",F2537&gt;0,OR(D2537="",E2537="")),"Mangler maskin eller arbeid",IF(AND(OR(C2537="LMS",C2537="Mod"),D2537&lt;&gt;""),IF(IFERROR(INDEX(MaskinStatus,MATCH(D2537,Maskiner,0)),"")="I dokk","","Maskinen er ikke i dokk"),""))))))</f>
        <v/>
      </c>
      <c r="L2537" s="2">
        <f>IF(B2537="","",IFERROR(INT((MATCH(B2537,Teknikere,0)-1)/18)+1,""))</f>
        <v/>
      </c>
      <c r="M2537" s="2">
        <f>IF(OR(A2537="",B2537=""),"",B2537&amp;"|"&amp;A2537)</f>
        <v/>
      </c>
      <c r="N2537" s="2">
        <f>IF(M2537="","",SUMIFS(TF_Timer,TF_Nokkel,M2537,TF_Akt,C2537))</f>
        <v/>
      </c>
      <c r="O2537" s="2">
        <f>IF(M2537="","",IF(AND(N2537=_xlfn.MAXIFS(TF_AktSum,TF_Nokkel,M2537),COUNTIFS(M$3:M2536,M2537,N$3:N2536,N2537)=0),M2537,""))</f>
        <v/>
      </c>
    </row>
    <row r="2538">
      <c r="A2538" s="34" t="n"/>
      <c r="B2538" s="35" t="n"/>
      <c r="C2538" s="35" t="n"/>
      <c r="D2538" s="35" t="n"/>
      <c r="E2538" s="35" t="n"/>
      <c r="F2538" s="36" t="n"/>
      <c r="G2538" s="35" t="n"/>
      <c r="H2538" s="30">
        <f>IF(L2538="","",INDEX(SkiftNavn,L2538))</f>
        <v/>
      </c>
      <c r="I2538" s="30">
        <f>IF(OR(A2538="",L2538=""),"",IF(MOD(A2538-INDEX(SkiftStart,L2538),Syklus)&lt;DagK,"Kveld",IF(MOD(A2538-INDEX(SkiftStart,L2538),Syklus)&lt;DagK+DagH,"Helg",IF(MOD(A2538-INDEX(SkiftStart,L2538),Syklus)&lt;DagK+DagH+DagD,"Dag","Fri"))))</f>
        <v/>
      </c>
      <c r="J2538" s="30">
        <f>IF(I2538="Fri","Ja","")</f>
        <v/>
      </c>
      <c r="K2538" s="30">
        <f>IF(B2538="","",IF(L2538="","Ukjent tekniker",IF(ISNA(MATCH(C2538,Aktiviteter,0)),"Ukjent aktivitet",IF(AND(INDEX(AktRolle,MATCH(C2538,Aktiviteter,0))&amp;""&lt;&gt;"",ISERROR(SEARCH(INDEX(AktRolle,MATCH(C2538,Aktiviteter,0))&amp;"",INDEX(TekRoller,MATCH(B2538,Teknikere,0))))),"Mangler rollen "&amp;INDEX(AktRolle,MATCH(C2538,Aktiviteter,0))&amp;"",IF(AND(C2538="LMS",F2538&gt;0,OR(D2538="",E2538="")),"Mangler maskin eller arbeid",IF(AND(OR(C2538="LMS",C2538="Mod"),D2538&lt;&gt;""),IF(IFERROR(INDEX(MaskinStatus,MATCH(D2538,Maskiner,0)),"")="I dokk","","Maskinen er ikke i dokk"),""))))))</f>
        <v/>
      </c>
      <c r="L2538" s="2">
        <f>IF(B2538="","",IFERROR(INT((MATCH(B2538,Teknikere,0)-1)/18)+1,""))</f>
        <v/>
      </c>
      <c r="M2538" s="2">
        <f>IF(OR(A2538="",B2538=""),"",B2538&amp;"|"&amp;A2538)</f>
        <v/>
      </c>
      <c r="N2538" s="2">
        <f>IF(M2538="","",SUMIFS(TF_Timer,TF_Nokkel,M2538,TF_Akt,C2538))</f>
        <v/>
      </c>
      <c r="O2538" s="2">
        <f>IF(M2538="","",IF(AND(N2538=_xlfn.MAXIFS(TF_AktSum,TF_Nokkel,M2538),COUNTIFS(M$3:M2537,M2538,N$3:N2537,N2538)=0),M2538,""))</f>
        <v/>
      </c>
    </row>
    <row r="2539">
      <c r="A2539" s="34" t="n"/>
      <c r="B2539" s="35" t="n"/>
      <c r="C2539" s="35" t="n"/>
      <c r="D2539" s="35" t="n"/>
      <c r="E2539" s="35" t="n"/>
      <c r="F2539" s="36" t="n"/>
      <c r="G2539" s="35" t="n"/>
      <c r="H2539" s="30">
        <f>IF(L2539="","",INDEX(SkiftNavn,L2539))</f>
        <v/>
      </c>
      <c r="I2539" s="30">
        <f>IF(OR(A2539="",L2539=""),"",IF(MOD(A2539-INDEX(SkiftStart,L2539),Syklus)&lt;DagK,"Kveld",IF(MOD(A2539-INDEX(SkiftStart,L2539),Syklus)&lt;DagK+DagH,"Helg",IF(MOD(A2539-INDEX(SkiftStart,L2539),Syklus)&lt;DagK+DagH+DagD,"Dag","Fri"))))</f>
        <v/>
      </c>
      <c r="J2539" s="30">
        <f>IF(I2539="Fri","Ja","")</f>
        <v/>
      </c>
      <c r="K2539" s="30">
        <f>IF(B2539="","",IF(L2539="","Ukjent tekniker",IF(ISNA(MATCH(C2539,Aktiviteter,0)),"Ukjent aktivitet",IF(AND(INDEX(AktRolle,MATCH(C2539,Aktiviteter,0))&amp;""&lt;&gt;"",ISERROR(SEARCH(INDEX(AktRolle,MATCH(C2539,Aktiviteter,0))&amp;"",INDEX(TekRoller,MATCH(B2539,Teknikere,0))))),"Mangler rollen "&amp;INDEX(AktRolle,MATCH(C2539,Aktiviteter,0))&amp;"",IF(AND(C2539="LMS",F2539&gt;0,OR(D2539="",E2539="")),"Mangler maskin eller arbeid",IF(AND(OR(C2539="LMS",C2539="Mod"),D2539&lt;&gt;""),IF(IFERROR(INDEX(MaskinStatus,MATCH(D2539,Maskiner,0)),"")="I dokk","","Maskinen er ikke i dokk"),""))))))</f>
        <v/>
      </c>
      <c r="L2539" s="2">
        <f>IF(B2539="","",IFERROR(INT((MATCH(B2539,Teknikere,0)-1)/18)+1,""))</f>
        <v/>
      </c>
      <c r="M2539" s="2">
        <f>IF(OR(A2539="",B2539=""),"",B2539&amp;"|"&amp;A2539)</f>
        <v/>
      </c>
      <c r="N2539" s="2">
        <f>IF(M2539="","",SUMIFS(TF_Timer,TF_Nokkel,M2539,TF_Akt,C2539))</f>
        <v/>
      </c>
      <c r="O2539" s="2">
        <f>IF(M2539="","",IF(AND(N2539=_xlfn.MAXIFS(TF_AktSum,TF_Nokkel,M2539),COUNTIFS(M$3:M2538,M2539,N$3:N2538,N2539)=0),M2539,""))</f>
        <v/>
      </c>
    </row>
    <row r="2540">
      <c r="A2540" s="34" t="n"/>
      <c r="B2540" s="35" t="n"/>
      <c r="C2540" s="35" t="n"/>
      <c r="D2540" s="35" t="n"/>
      <c r="E2540" s="35" t="n"/>
      <c r="F2540" s="36" t="n"/>
      <c r="G2540" s="35" t="n"/>
      <c r="H2540" s="30">
        <f>IF(L2540="","",INDEX(SkiftNavn,L2540))</f>
        <v/>
      </c>
      <c r="I2540" s="30">
        <f>IF(OR(A2540="",L2540=""),"",IF(MOD(A2540-INDEX(SkiftStart,L2540),Syklus)&lt;DagK,"Kveld",IF(MOD(A2540-INDEX(SkiftStart,L2540),Syklus)&lt;DagK+DagH,"Helg",IF(MOD(A2540-INDEX(SkiftStart,L2540),Syklus)&lt;DagK+DagH+DagD,"Dag","Fri"))))</f>
        <v/>
      </c>
      <c r="J2540" s="30">
        <f>IF(I2540="Fri","Ja","")</f>
        <v/>
      </c>
      <c r="K2540" s="30">
        <f>IF(B2540="","",IF(L2540="","Ukjent tekniker",IF(ISNA(MATCH(C2540,Aktiviteter,0)),"Ukjent aktivitet",IF(AND(INDEX(AktRolle,MATCH(C2540,Aktiviteter,0))&amp;""&lt;&gt;"",ISERROR(SEARCH(INDEX(AktRolle,MATCH(C2540,Aktiviteter,0))&amp;"",INDEX(TekRoller,MATCH(B2540,Teknikere,0))))),"Mangler rollen "&amp;INDEX(AktRolle,MATCH(C2540,Aktiviteter,0))&amp;"",IF(AND(C2540="LMS",F2540&gt;0,OR(D2540="",E2540="")),"Mangler maskin eller arbeid",IF(AND(OR(C2540="LMS",C2540="Mod"),D2540&lt;&gt;""),IF(IFERROR(INDEX(MaskinStatus,MATCH(D2540,Maskiner,0)),"")="I dokk","","Maskinen er ikke i dokk"),""))))))</f>
        <v/>
      </c>
      <c r="L2540" s="2">
        <f>IF(B2540="","",IFERROR(INT((MATCH(B2540,Teknikere,0)-1)/18)+1,""))</f>
        <v/>
      </c>
      <c r="M2540" s="2">
        <f>IF(OR(A2540="",B2540=""),"",B2540&amp;"|"&amp;A2540)</f>
        <v/>
      </c>
      <c r="N2540" s="2">
        <f>IF(M2540="","",SUMIFS(TF_Timer,TF_Nokkel,M2540,TF_Akt,C2540))</f>
        <v/>
      </c>
      <c r="O2540" s="2">
        <f>IF(M2540="","",IF(AND(N2540=_xlfn.MAXIFS(TF_AktSum,TF_Nokkel,M2540),COUNTIFS(M$3:M2539,M2540,N$3:N2539,N2540)=0),M2540,""))</f>
        <v/>
      </c>
    </row>
    <row r="2541">
      <c r="A2541" s="34" t="n"/>
      <c r="B2541" s="35" t="n"/>
      <c r="C2541" s="35" t="n"/>
      <c r="D2541" s="35" t="n"/>
      <c r="E2541" s="35" t="n"/>
      <c r="F2541" s="36" t="n"/>
      <c r="G2541" s="35" t="n"/>
      <c r="H2541" s="30">
        <f>IF(L2541="","",INDEX(SkiftNavn,L2541))</f>
        <v/>
      </c>
      <c r="I2541" s="30">
        <f>IF(OR(A2541="",L2541=""),"",IF(MOD(A2541-INDEX(SkiftStart,L2541),Syklus)&lt;DagK,"Kveld",IF(MOD(A2541-INDEX(SkiftStart,L2541),Syklus)&lt;DagK+DagH,"Helg",IF(MOD(A2541-INDEX(SkiftStart,L2541),Syklus)&lt;DagK+DagH+DagD,"Dag","Fri"))))</f>
        <v/>
      </c>
      <c r="J2541" s="30">
        <f>IF(I2541="Fri","Ja","")</f>
        <v/>
      </c>
      <c r="K2541" s="30">
        <f>IF(B2541="","",IF(L2541="","Ukjent tekniker",IF(ISNA(MATCH(C2541,Aktiviteter,0)),"Ukjent aktivitet",IF(AND(INDEX(AktRolle,MATCH(C2541,Aktiviteter,0))&amp;""&lt;&gt;"",ISERROR(SEARCH(INDEX(AktRolle,MATCH(C2541,Aktiviteter,0))&amp;"",INDEX(TekRoller,MATCH(B2541,Teknikere,0))))),"Mangler rollen "&amp;INDEX(AktRolle,MATCH(C2541,Aktiviteter,0))&amp;"",IF(AND(C2541="LMS",F2541&gt;0,OR(D2541="",E2541="")),"Mangler maskin eller arbeid",IF(AND(OR(C2541="LMS",C2541="Mod"),D2541&lt;&gt;""),IF(IFERROR(INDEX(MaskinStatus,MATCH(D2541,Maskiner,0)),"")="I dokk","","Maskinen er ikke i dokk"),""))))))</f>
        <v/>
      </c>
      <c r="L2541" s="2">
        <f>IF(B2541="","",IFERROR(INT((MATCH(B2541,Teknikere,0)-1)/18)+1,""))</f>
        <v/>
      </c>
      <c r="M2541" s="2">
        <f>IF(OR(A2541="",B2541=""),"",B2541&amp;"|"&amp;A2541)</f>
        <v/>
      </c>
      <c r="N2541" s="2">
        <f>IF(M2541="","",SUMIFS(TF_Timer,TF_Nokkel,M2541,TF_Akt,C2541))</f>
        <v/>
      </c>
      <c r="O2541" s="2">
        <f>IF(M2541="","",IF(AND(N2541=_xlfn.MAXIFS(TF_AktSum,TF_Nokkel,M2541),COUNTIFS(M$3:M2540,M2541,N$3:N2540,N2541)=0),M2541,""))</f>
        <v/>
      </c>
    </row>
    <row r="2542">
      <c r="A2542" s="34" t="n"/>
      <c r="B2542" s="35" t="n"/>
      <c r="C2542" s="35" t="n"/>
      <c r="D2542" s="35" t="n"/>
      <c r="E2542" s="35" t="n"/>
      <c r="F2542" s="36" t="n"/>
      <c r="G2542" s="35" t="n"/>
      <c r="H2542" s="30">
        <f>IF(L2542="","",INDEX(SkiftNavn,L2542))</f>
        <v/>
      </c>
      <c r="I2542" s="30">
        <f>IF(OR(A2542="",L2542=""),"",IF(MOD(A2542-INDEX(SkiftStart,L2542),Syklus)&lt;DagK,"Kveld",IF(MOD(A2542-INDEX(SkiftStart,L2542),Syklus)&lt;DagK+DagH,"Helg",IF(MOD(A2542-INDEX(SkiftStart,L2542),Syklus)&lt;DagK+DagH+DagD,"Dag","Fri"))))</f>
        <v/>
      </c>
      <c r="J2542" s="30">
        <f>IF(I2542="Fri","Ja","")</f>
        <v/>
      </c>
      <c r="K2542" s="30">
        <f>IF(B2542="","",IF(L2542="","Ukjent tekniker",IF(ISNA(MATCH(C2542,Aktiviteter,0)),"Ukjent aktivitet",IF(AND(INDEX(AktRolle,MATCH(C2542,Aktiviteter,0))&amp;""&lt;&gt;"",ISERROR(SEARCH(INDEX(AktRolle,MATCH(C2542,Aktiviteter,0))&amp;"",INDEX(TekRoller,MATCH(B2542,Teknikere,0))))),"Mangler rollen "&amp;INDEX(AktRolle,MATCH(C2542,Aktiviteter,0))&amp;"",IF(AND(C2542="LMS",F2542&gt;0,OR(D2542="",E2542="")),"Mangler maskin eller arbeid",IF(AND(OR(C2542="LMS",C2542="Mod"),D2542&lt;&gt;""),IF(IFERROR(INDEX(MaskinStatus,MATCH(D2542,Maskiner,0)),"")="I dokk","","Maskinen er ikke i dokk"),""))))))</f>
        <v/>
      </c>
      <c r="L2542" s="2">
        <f>IF(B2542="","",IFERROR(INT((MATCH(B2542,Teknikere,0)-1)/18)+1,""))</f>
        <v/>
      </c>
      <c r="M2542" s="2">
        <f>IF(OR(A2542="",B2542=""),"",B2542&amp;"|"&amp;A2542)</f>
        <v/>
      </c>
      <c r="N2542" s="2">
        <f>IF(M2542="","",SUMIFS(TF_Timer,TF_Nokkel,M2542,TF_Akt,C2542))</f>
        <v/>
      </c>
      <c r="O2542" s="2">
        <f>IF(M2542="","",IF(AND(N2542=_xlfn.MAXIFS(TF_AktSum,TF_Nokkel,M2542),COUNTIFS(M$3:M2541,M2542,N$3:N2541,N2542)=0),M2542,""))</f>
        <v/>
      </c>
    </row>
    <row r="2543">
      <c r="A2543" s="34" t="n"/>
      <c r="B2543" s="35" t="n"/>
      <c r="C2543" s="35" t="n"/>
      <c r="D2543" s="35" t="n"/>
      <c r="E2543" s="35" t="n"/>
      <c r="F2543" s="36" t="n"/>
      <c r="G2543" s="35" t="n"/>
      <c r="H2543" s="30">
        <f>IF(L2543="","",INDEX(SkiftNavn,L2543))</f>
        <v/>
      </c>
      <c r="I2543" s="30">
        <f>IF(OR(A2543="",L2543=""),"",IF(MOD(A2543-INDEX(SkiftStart,L2543),Syklus)&lt;DagK,"Kveld",IF(MOD(A2543-INDEX(SkiftStart,L2543),Syklus)&lt;DagK+DagH,"Helg",IF(MOD(A2543-INDEX(SkiftStart,L2543),Syklus)&lt;DagK+DagH+DagD,"Dag","Fri"))))</f>
        <v/>
      </c>
      <c r="J2543" s="30">
        <f>IF(I2543="Fri","Ja","")</f>
        <v/>
      </c>
      <c r="K2543" s="30">
        <f>IF(B2543="","",IF(L2543="","Ukjent tekniker",IF(ISNA(MATCH(C2543,Aktiviteter,0)),"Ukjent aktivitet",IF(AND(INDEX(AktRolle,MATCH(C2543,Aktiviteter,0))&amp;""&lt;&gt;"",ISERROR(SEARCH(INDEX(AktRolle,MATCH(C2543,Aktiviteter,0))&amp;"",INDEX(TekRoller,MATCH(B2543,Teknikere,0))))),"Mangler rollen "&amp;INDEX(AktRolle,MATCH(C2543,Aktiviteter,0))&amp;"",IF(AND(C2543="LMS",F2543&gt;0,OR(D2543="",E2543="")),"Mangler maskin eller arbeid",IF(AND(OR(C2543="LMS",C2543="Mod"),D2543&lt;&gt;""),IF(IFERROR(INDEX(MaskinStatus,MATCH(D2543,Maskiner,0)),"")="I dokk","","Maskinen er ikke i dokk"),""))))))</f>
        <v/>
      </c>
      <c r="L2543" s="2">
        <f>IF(B2543="","",IFERROR(INT((MATCH(B2543,Teknikere,0)-1)/18)+1,""))</f>
        <v/>
      </c>
      <c r="M2543" s="2">
        <f>IF(OR(A2543="",B2543=""),"",B2543&amp;"|"&amp;A2543)</f>
        <v/>
      </c>
      <c r="N2543" s="2">
        <f>IF(M2543="","",SUMIFS(TF_Timer,TF_Nokkel,M2543,TF_Akt,C2543))</f>
        <v/>
      </c>
      <c r="O2543" s="2">
        <f>IF(M2543="","",IF(AND(N2543=_xlfn.MAXIFS(TF_AktSum,TF_Nokkel,M2543),COUNTIFS(M$3:M2542,M2543,N$3:N2542,N2543)=0),M2543,""))</f>
        <v/>
      </c>
    </row>
    <row r="2544">
      <c r="A2544" s="34" t="n"/>
      <c r="B2544" s="35" t="n"/>
      <c r="C2544" s="35" t="n"/>
      <c r="D2544" s="35" t="n"/>
      <c r="E2544" s="35" t="n"/>
      <c r="F2544" s="36" t="n"/>
      <c r="G2544" s="35" t="n"/>
      <c r="H2544" s="30">
        <f>IF(L2544="","",INDEX(SkiftNavn,L2544))</f>
        <v/>
      </c>
      <c r="I2544" s="30">
        <f>IF(OR(A2544="",L2544=""),"",IF(MOD(A2544-INDEX(SkiftStart,L2544),Syklus)&lt;DagK,"Kveld",IF(MOD(A2544-INDEX(SkiftStart,L2544),Syklus)&lt;DagK+DagH,"Helg",IF(MOD(A2544-INDEX(SkiftStart,L2544),Syklus)&lt;DagK+DagH+DagD,"Dag","Fri"))))</f>
        <v/>
      </c>
      <c r="J2544" s="30">
        <f>IF(I2544="Fri","Ja","")</f>
        <v/>
      </c>
      <c r="K2544" s="30">
        <f>IF(B2544="","",IF(L2544="","Ukjent tekniker",IF(ISNA(MATCH(C2544,Aktiviteter,0)),"Ukjent aktivitet",IF(AND(INDEX(AktRolle,MATCH(C2544,Aktiviteter,0))&amp;""&lt;&gt;"",ISERROR(SEARCH(INDEX(AktRolle,MATCH(C2544,Aktiviteter,0))&amp;"",INDEX(TekRoller,MATCH(B2544,Teknikere,0))))),"Mangler rollen "&amp;INDEX(AktRolle,MATCH(C2544,Aktiviteter,0))&amp;"",IF(AND(C2544="LMS",F2544&gt;0,OR(D2544="",E2544="")),"Mangler maskin eller arbeid",IF(AND(OR(C2544="LMS",C2544="Mod"),D2544&lt;&gt;""),IF(IFERROR(INDEX(MaskinStatus,MATCH(D2544,Maskiner,0)),"")="I dokk","","Maskinen er ikke i dokk"),""))))))</f>
        <v/>
      </c>
      <c r="L2544" s="2">
        <f>IF(B2544="","",IFERROR(INT((MATCH(B2544,Teknikere,0)-1)/18)+1,""))</f>
        <v/>
      </c>
      <c r="M2544" s="2">
        <f>IF(OR(A2544="",B2544=""),"",B2544&amp;"|"&amp;A2544)</f>
        <v/>
      </c>
      <c r="N2544" s="2">
        <f>IF(M2544="","",SUMIFS(TF_Timer,TF_Nokkel,M2544,TF_Akt,C2544))</f>
        <v/>
      </c>
      <c r="O2544" s="2">
        <f>IF(M2544="","",IF(AND(N2544=_xlfn.MAXIFS(TF_AktSum,TF_Nokkel,M2544),COUNTIFS(M$3:M2543,M2544,N$3:N2543,N2544)=0),M2544,""))</f>
        <v/>
      </c>
    </row>
    <row r="2545">
      <c r="A2545" s="34" t="n"/>
      <c r="B2545" s="35" t="n"/>
      <c r="C2545" s="35" t="n"/>
      <c r="D2545" s="35" t="n"/>
      <c r="E2545" s="35" t="n"/>
      <c r="F2545" s="36" t="n"/>
      <c r="G2545" s="35" t="n"/>
      <c r="H2545" s="30">
        <f>IF(L2545="","",INDEX(SkiftNavn,L2545))</f>
        <v/>
      </c>
      <c r="I2545" s="30">
        <f>IF(OR(A2545="",L2545=""),"",IF(MOD(A2545-INDEX(SkiftStart,L2545),Syklus)&lt;DagK,"Kveld",IF(MOD(A2545-INDEX(SkiftStart,L2545),Syklus)&lt;DagK+DagH,"Helg",IF(MOD(A2545-INDEX(SkiftStart,L2545),Syklus)&lt;DagK+DagH+DagD,"Dag","Fri"))))</f>
        <v/>
      </c>
      <c r="J2545" s="30">
        <f>IF(I2545="Fri","Ja","")</f>
        <v/>
      </c>
      <c r="K2545" s="30">
        <f>IF(B2545="","",IF(L2545="","Ukjent tekniker",IF(ISNA(MATCH(C2545,Aktiviteter,0)),"Ukjent aktivitet",IF(AND(INDEX(AktRolle,MATCH(C2545,Aktiviteter,0))&amp;""&lt;&gt;"",ISERROR(SEARCH(INDEX(AktRolle,MATCH(C2545,Aktiviteter,0))&amp;"",INDEX(TekRoller,MATCH(B2545,Teknikere,0))))),"Mangler rollen "&amp;INDEX(AktRolle,MATCH(C2545,Aktiviteter,0))&amp;"",IF(AND(C2545="LMS",F2545&gt;0,OR(D2545="",E2545="")),"Mangler maskin eller arbeid",IF(AND(OR(C2545="LMS",C2545="Mod"),D2545&lt;&gt;""),IF(IFERROR(INDEX(MaskinStatus,MATCH(D2545,Maskiner,0)),"")="I dokk","","Maskinen er ikke i dokk"),""))))))</f>
        <v/>
      </c>
      <c r="L2545" s="2">
        <f>IF(B2545="","",IFERROR(INT((MATCH(B2545,Teknikere,0)-1)/18)+1,""))</f>
        <v/>
      </c>
      <c r="M2545" s="2">
        <f>IF(OR(A2545="",B2545=""),"",B2545&amp;"|"&amp;A2545)</f>
        <v/>
      </c>
      <c r="N2545" s="2">
        <f>IF(M2545="","",SUMIFS(TF_Timer,TF_Nokkel,M2545,TF_Akt,C2545))</f>
        <v/>
      </c>
      <c r="O2545" s="2">
        <f>IF(M2545="","",IF(AND(N2545=_xlfn.MAXIFS(TF_AktSum,TF_Nokkel,M2545),COUNTIFS(M$3:M2544,M2545,N$3:N2544,N2545)=0),M2545,""))</f>
        <v/>
      </c>
    </row>
    <row r="2546">
      <c r="A2546" s="34" t="n"/>
      <c r="B2546" s="35" t="n"/>
      <c r="C2546" s="35" t="n"/>
      <c r="D2546" s="35" t="n"/>
      <c r="E2546" s="35" t="n"/>
      <c r="F2546" s="36" t="n"/>
      <c r="G2546" s="35" t="n"/>
      <c r="H2546" s="30">
        <f>IF(L2546="","",INDEX(SkiftNavn,L2546))</f>
        <v/>
      </c>
      <c r="I2546" s="30">
        <f>IF(OR(A2546="",L2546=""),"",IF(MOD(A2546-INDEX(SkiftStart,L2546),Syklus)&lt;DagK,"Kveld",IF(MOD(A2546-INDEX(SkiftStart,L2546),Syklus)&lt;DagK+DagH,"Helg",IF(MOD(A2546-INDEX(SkiftStart,L2546),Syklus)&lt;DagK+DagH+DagD,"Dag","Fri"))))</f>
        <v/>
      </c>
      <c r="J2546" s="30">
        <f>IF(I2546="Fri","Ja","")</f>
        <v/>
      </c>
      <c r="K2546" s="30">
        <f>IF(B2546="","",IF(L2546="","Ukjent tekniker",IF(ISNA(MATCH(C2546,Aktiviteter,0)),"Ukjent aktivitet",IF(AND(INDEX(AktRolle,MATCH(C2546,Aktiviteter,0))&amp;""&lt;&gt;"",ISERROR(SEARCH(INDEX(AktRolle,MATCH(C2546,Aktiviteter,0))&amp;"",INDEX(TekRoller,MATCH(B2546,Teknikere,0))))),"Mangler rollen "&amp;INDEX(AktRolle,MATCH(C2546,Aktiviteter,0))&amp;"",IF(AND(C2546="LMS",F2546&gt;0,OR(D2546="",E2546="")),"Mangler maskin eller arbeid",IF(AND(OR(C2546="LMS",C2546="Mod"),D2546&lt;&gt;""),IF(IFERROR(INDEX(MaskinStatus,MATCH(D2546,Maskiner,0)),"")="I dokk","","Maskinen er ikke i dokk"),""))))))</f>
        <v/>
      </c>
      <c r="L2546" s="2">
        <f>IF(B2546="","",IFERROR(INT((MATCH(B2546,Teknikere,0)-1)/18)+1,""))</f>
        <v/>
      </c>
      <c r="M2546" s="2">
        <f>IF(OR(A2546="",B2546=""),"",B2546&amp;"|"&amp;A2546)</f>
        <v/>
      </c>
      <c r="N2546" s="2">
        <f>IF(M2546="","",SUMIFS(TF_Timer,TF_Nokkel,M2546,TF_Akt,C2546))</f>
        <v/>
      </c>
      <c r="O2546" s="2">
        <f>IF(M2546="","",IF(AND(N2546=_xlfn.MAXIFS(TF_AktSum,TF_Nokkel,M2546),COUNTIFS(M$3:M2545,M2546,N$3:N2545,N2546)=0),M2546,""))</f>
        <v/>
      </c>
    </row>
    <row r="2547">
      <c r="A2547" s="34" t="n"/>
      <c r="B2547" s="35" t="n"/>
      <c r="C2547" s="35" t="n"/>
      <c r="D2547" s="35" t="n"/>
      <c r="E2547" s="35" t="n"/>
      <c r="F2547" s="36" t="n"/>
      <c r="G2547" s="35" t="n"/>
      <c r="H2547" s="30">
        <f>IF(L2547="","",INDEX(SkiftNavn,L2547))</f>
        <v/>
      </c>
      <c r="I2547" s="30">
        <f>IF(OR(A2547="",L2547=""),"",IF(MOD(A2547-INDEX(SkiftStart,L2547),Syklus)&lt;DagK,"Kveld",IF(MOD(A2547-INDEX(SkiftStart,L2547),Syklus)&lt;DagK+DagH,"Helg",IF(MOD(A2547-INDEX(SkiftStart,L2547),Syklus)&lt;DagK+DagH+DagD,"Dag","Fri"))))</f>
        <v/>
      </c>
      <c r="J2547" s="30">
        <f>IF(I2547="Fri","Ja","")</f>
        <v/>
      </c>
      <c r="K2547" s="30">
        <f>IF(B2547="","",IF(L2547="","Ukjent tekniker",IF(ISNA(MATCH(C2547,Aktiviteter,0)),"Ukjent aktivitet",IF(AND(INDEX(AktRolle,MATCH(C2547,Aktiviteter,0))&amp;""&lt;&gt;"",ISERROR(SEARCH(INDEX(AktRolle,MATCH(C2547,Aktiviteter,0))&amp;"",INDEX(TekRoller,MATCH(B2547,Teknikere,0))))),"Mangler rollen "&amp;INDEX(AktRolle,MATCH(C2547,Aktiviteter,0))&amp;"",IF(AND(C2547="LMS",F2547&gt;0,OR(D2547="",E2547="")),"Mangler maskin eller arbeid",IF(AND(OR(C2547="LMS",C2547="Mod"),D2547&lt;&gt;""),IF(IFERROR(INDEX(MaskinStatus,MATCH(D2547,Maskiner,0)),"")="I dokk","","Maskinen er ikke i dokk"),""))))))</f>
        <v/>
      </c>
      <c r="L2547" s="2">
        <f>IF(B2547="","",IFERROR(INT((MATCH(B2547,Teknikere,0)-1)/18)+1,""))</f>
        <v/>
      </c>
      <c r="M2547" s="2">
        <f>IF(OR(A2547="",B2547=""),"",B2547&amp;"|"&amp;A2547)</f>
        <v/>
      </c>
      <c r="N2547" s="2">
        <f>IF(M2547="","",SUMIFS(TF_Timer,TF_Nokkel,M2547,TF_Akt,C2547))</f>
        <v/>
      </c>
      <c r="O2547" s="2">
        <f>IF(M2547="","",IF(AND(N2547=_xlfn.MAXIFS(TF_AktSum,TF_Nokkel,M2547),COUNTIFS(M$3:M2546,M2547,N$3:N2546,N2547)=0),M2547,""))</f>
        <v/>
      </c>
    </row>
    <row r="2548">
      <c r="A2548" s="34" t="n"/>
      <c r="B2548" s="35" t="n"/>
      <c r="C2548" s="35" t="n"/>
      <c r="D2548" s="35" t="n"/>
      <c r="E2548" s="35" t="n"/>
      <c r="F2548" s="36" t="n"/>
      <c r="G2548" s="35" t="n"/>
      <c r="H2548" s="30">
        <f>IF(L2548="","",INDEX(SkiftNavn,L2548))</f>
        <v/>
      </c>
      <c r="I2548" s="30">
        <f>IF(OR(A2548="",L2548=""),"",IF(MOD(A2548-INDEX(SkiftStart,L2548),Syklus)&lt;DagK,"Kveld",IF(MOD(A2548-INDEX(SkiftStart,L2548),Syklus)&lt;DagK+DagH,"Helg",IF(MOD(A2548-INDEX(SkiftStart,L2548),Syklus)&lt;DagK+DagH+DagD,"Dag","Fri"))))</f>
        <v/>
      </c>
      <c r="J2548" s="30">
        <f>IF(I2548="Fri","Ja","")</f>
        <v/>
      </c>
      <c r="K2548" s="30">
        <f>IF(B2548="","",IF(L2548="","Ukjent tekniker",IF(ISNA(MATCH(C2548,Aktiviteter,0)),"Ukjent aktivitet",IF(AND(INDEX(AktRolle,MATCH(C2548,Aktiviteter,0))&amp;""&lt;&gt;"",ISERROR(SEARCH(INDEX(AktRolle,MATCH(C2548,Aktiviteter,0))&amp;"",INDEX(TekRoller,MATCH(B2548,Teknikere,0))))),"Mangler rollen "&amp;INDEX(AktRolle,MATCH(C2548,Aktiviteter,0))&amp;"",IF(AND(C2548="LMS",F2548&gt;0,OR(D2548="",E2548="")),"Mangler maskin eller arbeid",IF(AND(OR(C2548="LMS",C2548="Mod"),D2548&lt;&gt;""),IF(IFERROR(INDEX(MaskinStatus,MATCH(D2548,Maskiner,0)),"")="I dokk","","Maskinen er ikke i dokk"),""))))))</f>
        <v/>
      </c>
      <c r="L2548" s="2">
        <f>IF(B2548="","",IFERROR(INT((MATCH(B2548,Teknikere,0)-1)/18)+1,""))</f>
        <v/>
      </c>
      <c r="M2548" s="2">
        <f>IF(OR(A2548="",B2548=""),"",B2548&amp;"|"&amp;A2548)</f>
        <v/>
      </c>
      <c r="N2548" s="2">
        <f>IF(M2548="","",SUMIFS(TF_Timer,TF_Nokkel,M2548,TF_Akt,C2548))</f>
        <v/>
      </c>
      <c r="O2548" s="2">
        <f>IF(M2548="","",IF(AND(N2548=_xlfn.MAXIFS(TF_AktSum,TF_Nokkel,M2548),COUNTIFS(M$3:M2547,M2548,N$3:N2547,N2548)=0),M2548,""))</f>
        <v/>
      </c>
    </row>
    <row r="2549">
      <c r="A2549" s="34" t="n"/>
      <c r="B2549" s="35" t="n"/>
      <c r="C2549" s="35" t="n"/>
      <c r="D2549" s="35" t="n"/>
      <c r="E2549" s="35" t="n"/>
      <c r="F2549" s="36" t="n"/>
      <c r="G2549" s="35" t="n"/>
      <c r="H2549" s="30">
        <f>IF(L2549="","",INDEX(SkiftNavn,L2549))</f>
        <v/>
      </c>
      <c r="I2549" s="30">
        <f>IF(OR(A2549="",L2549=""),"",IF(MOD(A2549-INDEX(SkiftStart,L2549),Syklus)&lt;DagK,"Kveld",IF(MOD(A2549-INDEX(SkiftStart,L2549),Syklus)&lt;DagK+DagH,"Helg",IF(MOD(A2549-INDEX(SkiftStart,L2549),Syklus)&lt;DagK+DagH+DagD,"Dag","Fri"))))</f>
        <v/>
      </c>
      <c r="J2549" s="30">
        <f>IF(I2549="Fri","Ja","")</f>
        <v/>
      </c>
      <c r="K2549" s="30">
        <f>IF(B2549="","",IF(L2549="","Ukjent tekniker",IF(ISNA(MATCH(C2549,Aktiviteter,0)),"Ukjent aktivitet",IF(AND(INDEX(AktRolle,MATCH(C2549,Aktiviteter,0))&amp;""&lt;&gt;"",ISERROR(SEARCH(INDEX(AktRolle,MATCH(C2549,Aktiviteter,0))&amp;"",INDEX(TekRoller,MATCH(B2549,Teknikere,0))))),"Mangler rollen "&amp;INDEX(AktRolle,MATCH(C2549,Aktiviteter,0))&amp;"",IF(AND(C2549="LMS",F2549&gt;0,OR(D2549="",E2549="")),"Mangler maskin eller arbeid",IF(AND(OR(C2549="LMS",C2549="Mod"),D2549&lt;&gt;""),IF(IFERROR(INDEX(MaskinStatus,MATCH(D2549,Maskiner,0)),"")="I dokk","","Maskinen er ikke i dokk"),""))))))</f>
        <v/>
      </c>
      <c r="L2549" s="2">
        <f>IF(B2549="","",IFERROR(INT((MATCH(B2549,Teknikere,0)-1)/18)+1,""))</f>
        <v/>
      </c>
      <c r="M2549" s="2">
        <f>IF(OR(A2549="",B2549=""),"",B2549&amp;"|"&amp;A2549)</f>
        <v/>
      </c>
      <c r="N2549" s="2">
        <f>IF(M2549="","",SUMIFS(TF_Timer,TF_Nokkel,M2549,TF_Akt,C2549))</f>
        <v/>
      </c>
      <c r="O2549" s="2">
        <f>IF(M2549="","",IF(AND(N2549=_xlfn.MAXIFS(TF_AktSum,TF_Nokkel,M2549),COUNTIFS(M$3:M2548,M2549,N$3:N2548,N2549)=0),M2549,""))</f>
        <v/>
      </c>
    </row>
    <row r="2550">
      <c r="A2550" s="34" t="n"/>
      <c r="B2550" s="35" t="n"/>
      <c r="C2550" s="35" t="n"/>
      <c r="D2550" s="35" t="n"/>
      <c r="E2550" s="35" t="n"/>
      <c r="F2550" s="36" t="n"/>
      <c r="G2550" s="35" t="n"/>
      <c r="H2550" s="30">
        <f>IF(L2550="","",INDEX(SkiftNavn,L2550))</f>
        <v/>
      </c>
      <c r="I2550" s="30">
        <f>IF(OR(A2550="",L2550=""),"",IF(MOD(A2550-INDEX(SkiftStart,L2550),Syklus)&lt;DagK,"Kveld",IF(MOD(A2550-INDEX(SkiftStart,L2550),Syklus)&lt;DagK+DagH,"Helg",IF(MOD(A2550-INDEX(SkiftStart,L2550),Syklus)&lt;DagK+DagH+DagD,"Dag","Fri"))))</f>
        <v/>
      </c>
      <c r="J2550" s="30">
        <f>IF(I2550="Fri","Ja","")</f>
        <v/>
      </c>
      <c r="K2550" s="30">
        <f>IF(B2550="","",IF(L2550="","Ukjent tekniker",IF(ISNA(MATCH(C2550,Aktiviteter,0)),"Ukjent aktivitet",IF(AND(INDEX(AktRolle,MATCH(C2550,Aktiviteter,0))&amp;""&lt;&gt;"",ISERROR(SEARCH(INDEX(AktRolle,MATCH(C2550,Aktiviteter,0))&amp;"",INDEX(TekRoller,MATCH(B2550,Teknikere,0))))),"Mangler rollen "&amp;INDEX(AktRolle,MATCH(C2550,Aktiviteter,0))&amp;"",IF(AND(C2550="LMS",F2550&gt;0,OR(D2550="",E2550="")),"Mangler maskin eller arbeid",IF(AND(OR(C2550="LMS",C2550="Mod"),D2550&lt;&gt;""),IF(IFERROR(INDEX(MaskinStatus,MATCH(D2550,Maskiner,0)),"")="I dokk","","Maskinen er ikke i dokk"),""))))))</f>
        <v/>
      </c>
      <c r="L2550" s="2">
        <f>IF(B2550="","",IFERROR(INT((MATCH(B2550,Teknikere,0)-1)/18)+1,""))</f>
        <v/>
      </c>
      <c r="M2550" s="2">
        <f>IF(OR(A2550="",B2550=""),"",B2550&amp;"|"&amp;A2550)</f>
        <v/>
      </c>
      <c r="N2550" s="2">
        <f>IF(M2550="","",SUMIFS(TF_Timer,TF_Nokkel,M2550,TF_Akt,C2550))</f>
        <v/>
      </c>
      <c r="O2550" s="2">
        <f>IF(M2550="","",IF(AND(N2550=_xlfn.MAXIFS(TF_AktSum,TF_Nokkel,M2550),COUNTIFS(M$3:M2549,M2550,N$3:N2549,N2550)=0),M2550,""))</f>
        <v/>
      </c>
    </row>
    <row r="2551">
      <c r="A2551" s="34" t="n"/>
      <c r="B2551" s="35" t="n"/>
      <c r="C2551" s="35" t="n"/>
      <c r="D2551" s="35" t="n"/>
      <c r="E2551" s="35" t="n"/>
      <c r="F2551" s="36" t="n"/>
      <c r="G2551" s="35" t="n"/>
      <c r="H2551" s="30">
        <f>IF(L2551="","",INDEX(SkiftNavn,L2551))</f>
        <v/>
      </c>
      <c r="I2551" s="30">
        <f>IF(OR(A2551="",L2551=""),"",IF(MOD(A2551-INDEX(SkiftStart,L2551),Syklus)&lt;DagK,"Kveld",IF(MOD(A2551-INDEX(SkiftStart,L2551),Syklus)&lt;DagK+DagH,"Helg",IF(MOD(A2551-INDEX(SkiftStart,L2551),Syklus)&lt;DagK+DagH+DagD,"Dag","Fri"))))</f>
        <v/>
      </c>
      <c r="J2551" s="30">
        <f>IF(I2551="Fri","Ja","")</f>
        <v/>
      </c>
      <c r="K2551" s="30">
        <f>IF(B2551="","",IF(L2551="","Ukjent tekniker",IF(ISNA(MATCH(C2551,Aktiviteter,0)),"Ukjent aktivitet",IF(AND(INDEX(AktRolle,MATCH(C2551,Aktiviteter,0))&amp;""&lt;&gt;"",ISERROR(SEARCH(INDEX(AktRolle,MATCH(C2551,Aktiviteter,0))&amp;"",INDEX(TekRoller,MATCH(B2551,Teknikere,0))))),"Mangler rollen "&amp;INDEX(AktRolle,MATCH(C2551,Aktiviteter,0))&amp;"",IF(AND(C2551="LMS",F2551&gt;0,OR(D2551="",E2551="")),"Mangler maskin eller arbeid",IF(AND(OR(C2551="LMS",C2551="Mod"),D2551&lt;&gt;""),IF(IFERROR(INDEX(MaskinStatus,MATCH(D2551,Maskiner,0)),"")="I dokk","","Maskinen er ikke i dokk"),""))))))</f>
        <v/>
      </c>
      <c r="L2551" s="2">
        <f>IF(B2551="","",IFERROR(INT((MATCH(B2551,Teknikere,0)-1)/18)+1,""))</f>
        <v/>
      </c>
      <c r="M2551" s="2">
        <f>IF(OR(A2551="",B2551=""),"",B2551&amp;"|"&amp;A2551)</f>
        <v/>
      </c>
      <c r="N2551" s="2">
        <f>IF(M2551="","",SUMIFS(TF_Timer,TF_Nokkel,M2551,TF_Akt,C2551))</f>
        <v/>
      </c>
      <c r="O2551" s="2">
        <f>IF(M2551="","",IF(AND(N2551=_xlfn.MAXIFS(TF_AktSum,TF_Nokkel,M2551),COUNTIFS(M$3:M2550,M2551,N$3:N2550,N2551)=0),M2551,""))</f>
        <v/>
      </c>
    </row>
    <row r="2552">
      <c r="A2552" s="34" t="n"/>
      <c r="B2552" s="35" t="n"/>
      <c r="C2552" s="35" t="n"/>
      <c r="D2552" s="35" t="n"/>
      <c r="E2552" s="35" t="n"/>
      <c r="F2552" s="36" t="n"/>
      <c r="G2552" s="35" t="n"/>
      <c r="H2552" s="30">
        <f>IF(L2552="","",INDEX(SkiftNavn,L2552))</f>
        <v/>
      </c>
      <c r="I2552" s="30">
        <f>IF(OR(A2552="",L2552=""),"",IF(MOD(A2552-INDEX(SkiftStart,L2552),Syklus)&lt;DagK,"Kveld",IF(MOD(A2552-INDEX(SkiftStart,L2552),Syklus)&lt;DagK+DagH,"Helg",IF(MOD(A2552-INDEX(SkiftStart,L2552),Syklus)&lt;DagK+DagH+DagD,"Dag","Fri"))))</f>
        <v/>
      </c>
      <c r="J2552" s="30">
        <f>IF(I2552="Fri","Ja","")</f>
        <v/>
      </c>
      <c r="K2552" s="30">
        <f>IF(B2552="","",IF(L2552="","Ukjent tekniker",IF(ISNA(MATCH(C2552,Aktiviteter,0)),"Ukjent aktivitet",IF(AND(INDEX(AktRolle,MATCH(C2552,Aktiviteter,0))&amp;""&lt;&gt;"",ISERROR(SEARCH(INDEX(AktRolle,MATCH(C2552,Aktiviteter,0))&amp;"",INDEX(TekRoller,MATCH(B2552,Teknikere,0))))),"Mangler rollen "&amp;INDEX(AktRolle,MATCH(C2552,Aktiviteter,0))&amp;"",IF(AND(C2552="LMS",F2552&gt;0,OR(D2552="",E2552="")),"Mangler maskin eller arbeid",IF(AND(OR(C2552="LMS",C2552="Mod"),D2552&lt;&gt;""),IF(IFERROR(INDEX(MaskinStatus,MATCH(D2552,Maskiner,0)),"")="I dokk","","Maskinen er ikke i dokk"),""))))))</f>
        <v/>
      </c>
      <c r="L2552" s="2">
        <f>IF(B2552="","",IFERROR(INT((MATCH(B2552,Teknikere,0)-1)/18)+1,""))</f>
        <v/>
      </c>
      <c r="M2552" s="2">
        <f>IF(OR(A2552="",B2552=""),"",B2552&amp;"|"&amp;A2552)</f>
        <v/>
      </c>
      <c r="N2552" s="2">
        <f>IF(M2552="","",SUMIFS(TF_Timer,TF_Nokkel,M2552,TF_Akt,C2552))</f>
        <v/>
      </c>
      <c r="O2552" s="2">
        <f>IF(M2552="","",IF(AND(N2552=_xlfn.MAXIFS(TF_AktSum,TF_Nokkel,M2552),COUNTIFS(M$3:M2551,M2552,N$3:N2551,N2552)=0),M2552,""))</f>
        <v/>
      </c>
    </row>
    <row r="2553">
      <c r="A2553" s="34" t="n"/>
      <c r="B2553" s="35" t="n"/>
      <c r="C2553" s="35" t="n"/>
      <c r="D2553" s="35" t="n"/>
      <c r="E2553" s="35" t="n"/>
      <c r="F2553" s="36" t="n"/>
      <c r="G2553" s="35" t="n"/>
      <c r="H2553" s="30">
        <f>IF(L2553="","",INDEX(SkiftNavn,L2553))</f>
        <v/>
      </c>
      <c r="I2553" s="30">
        <f>IF(OR(A2553="",L2553=""),"",IF(MOD(A2553-INDEX(SkiftStart,L2553),Syklus)&lt;DagK,"Kveld",IF(MOD(A2553-INDEX(SkiftStart,L2553),Syklus)&lt;DagK+DagH,"Helg",IF(MOD(A2553-INDEX(SkiftStart,L2553),Syklus)&lt;DagK+DagH+DagD,"Dag","Fri"))))</f>
        <v/>
      </c>
      <c r="J2553" s="30">
        <f>IF(I2553="Fri","Ja","")</f>
        <v/>
      </c>
      <c r="K2553" s="30">
        <f>IF(B2553="","",IF(L2553="","Ukjent tekniker",IF(ISNA(MATCH(C2553,Aktiviteter,0)),"Ukjent aktivitet",IF(AND(INDEX(AktRolle,MATCH(C2553,Aktiviteter,0))&amp;""&lt;&gt;"",ISERROR(SEARCH(INDEX(AktRolle,MATCH(C2553,Aktiviteter,0))&amp;"",INDEX(TekRoller,MATCH(B2553,Teknikere,0))))),"Mangler rollen "&amp;INDEX(AktRolle,MATCH(C2553,Aktiviteter,0))&amp;"",IF(AND(C2553="LMS",F2553&gt;0,OR(D2553="",E2553="")),"Mangler maskin eller arbeid",IF(AND(OR(C2553="LMS",C2553="Mod"),D2553&lt;&gt;""),IF(IFERROR(INDEX(MaskinStatus,MATCH(D2553,Maskiner,0)),"")="I dokk","","Maskinen er ikke i dokk"),""))))))</f>
        <v/>
      </c>
      <c r="L2553" s="2">
        <f>IF(B2553="","",IFERROR(INT((MATCH(B2553,Teknikere,0)-1)/18)+1,""))</f>
        <v/>
      </c>
      <c r="M2553" s="2">
        <f>IF(OR(A2553="",B2553=""),"",B2553&amp;"|"&amp;A2553)</f>
        <v/>
      </c>
      <c r="N2553" s="2">
        <f>IF(M2553="","",SUMIFS(TF_Timer,TF_Nokkel,M2553,TF_Akt,C2553))</f>
        <v/>
      </c>
      <c r="O2553" s="2">
        <f>IF(M2553="","",IF(AND(N2553=_xlfn.MAXIFS(TF_AktSum,TF_Nokkel,M2553),COUNTIFS(M$3:M2552,M2553,N$3:N2552,N2553)=0),M2553,""))</f>
        <v/>
      </c>
    </row>
    <row r="2554">
      <c r="A2554" s="34" t="n"/>
      <c r="B2554" s="35" t="n"/>
      <c r="C2554" s="35" t="n"/>
      <c r="D2554" s="35" t="n"/>
      <c r="E2554" s="35" t="n"/>
      <c r="F2554" s="36" t="n"/>
      <c r="G2554" s="35" t="n"/>
      <c r="H2554" s="30">
        <f>IF(L2554="","",INDEX(SkiftNavn,L2554))</f>
        <v/>
      </c>
      <c r="I2554" s="30">
        <f>IF(OR(A2554="",L2554=""),"",IF(MOD(A2554-INDEX(SkiftStart,L2554),Syklus)&lt;DagK,"Kveld",IF(MOD(A2554-INDEX(SkiftStart,L2554),Syklus)&lt;DagK+DagH,"Helg",IF(MOD(A2554-INDEX(SkiftStart,L2554),Syklus)&lt;DagK+DagH+DagD,"Dag","Fri"))))</f>
        <v/>
      </c>
      <c r="J2554" s="30">
        <f>IF(I2554="Fri","Ja","")</f>
        <v/>
      </c>
      <c r="K2554" s="30">
        <f>IF(B2554="","",IF(L2554="","Ukjent tekniker",IF(ISNA(MATCH(C2554,Aktiviteter,0)),"Ukjent aktivitet",IF(AND(INDEX(AktRolle,MATCH(C2554,Aktiviteter,0))&amp;""&lt;&gt;"",ISERROR(SEARCH(INDEX(AktRolle,MATCH(C2554,Aktiviteter,0))&amp;"",INDEX(TekRoller,MATCH(B2554,Teknikere,0))))),"Mangler rollen "&amp;INDEX(AktRolle,MATCH(C2554,Aktiviteter,0))&amp;"",IF(AND(C2554="LMS",F2554&gt;0,OR(D2554="",E2554="")),"Mangler maskin eller arbeid",IF(AND(OR(C2554="LMS",C2554="Mod"),D2554&lt;&gt;""),IF(IFERROR(INDEX(MaskinStatus,MATCH(D2554,Maskiner,0)),"")="I dokk","","Maskinen er ikke i dokk"),""))))))</f>
        <v/>
      </c>
      <c r="L2554" s="2">
        <f>IF(B2554="","",IFERROR(INT((MATCH(B2554,Teknikere,0)-1)/18)+1,""))</f>
        <v/>
      </c>
      <c r="M2554" s="2">
        <f>IF(OR(A2554="",B2554=""),"",B2554&amp;"|"&amp;A2554)</f>
        <v/>
      </c>
      <c r="N2554" s="2">
        <f>IF(M2554="","",SUMIFS(TF_Timer,TF_Nokkel,M2554,TF_Akt,C2554))</f>
        <v/>
      </c>
      <c r="O2554" s="2">
        <f>IF(M2554="","",IF(AND(N2554=_xlfn.MAXIFS(TF_AktSum,TF_Nokkel,M2554),COUNTIFS(M$3:M2553,M2554,N$3:N2553,N2554)=0),M2554,""))</f>
        <v/>
      </c>
    </row>
    <row r="2555">
      <c r="A2555" s="34" t="n"/>
      <c r="B2555" s="35" t="n"/>
      <c r="C2555" s="35" t="n"/>
      <c r="D2555" s="35" t="n"/>
      <c r="E2555" s="35" t="n"/>
      <c r="F2555" s="36" t="n"/>
      <c r="G2555" s="35" t="n"/>
      <c r="H2555" s="30">
        <f>IF(L2555="","",INDEX(SkiftNavn,L2555))</f>
        <v/>
      </c>
      <c r="I2555" s="30">
        <f>IF(OR(A2555="",L2555=""),"",IF(MOD(A2555-INDEX(SkiftStart,L2555),Syklus)&lt;DagK,"Kveld",IF(MOD(A2555-INDEX(SkiftStart,L2555),Syklus)&lt;DagK+DagH,"Helg",IF(MOD(A2555-INDEX(SkiftStart,L2555),Syklus)&lt;DagK+DagH+DagD,"Dag","Fri"))))</f>
        <v/>
      </c>
      <c r="J2555" s="30">
        <f>IF(I2555="Fri","Ja","")</f>
        <v/>
      </c>
      <c r="K2555" s="30">
        <f>IF(B2555="","",IF(L2555="","Ukjent tekniker",IF(ISNA(MATCH(C2555,Aktiviteter,0)),"Ukjent aktivitet",IF(AND(INDEX(AktRolle,MATCH(C2555,Aktiviteter,0))&amp;""&lt;&gt;"",ISERROR(SEARCH(INDEX(AktRolle,MATCH(C2555,Aktiviteter,0))&amp;"",INDEX(TekRoller,MATCH(B2555,Teknikere,0))))),"Mangler rollen "&amp;INDEX(AktRolle,MATCH(C2555,Aktiviteter,0))&amp;"",IF(AND(C2555="LMS",F2555&gt;0,OR(D2555="",E2555="")),"Mangler maskin eller arbeid",IF(AND(OR(C2555="LMS",C2555="Mod"),D2555&lt;&gt;""),IF(IFERROR(INDEX(MaskinStatus,MATCH(D2555,Maskiner,0)),"")="I dokk","","Maskinen er ikke i dokk"),""))))))</f>
        <v/>
      </c>
      <c r="L2555" s="2">
        <f>IF(B2555="","",IFERROR(INT((MATCH(B2555,Teknikere,0)-1)/18)+1,""))</f>
        <v/>
      </c>
      <c r="M2555" s="2">
        <f>IF(OR(A2555="",B2555=""),"",B2555&amp;"|"&amp;A2555)</f>
        <v/>
      </c>
      <c r="N2555" s="2">
        <f>IF(M2555="","",SUMIFS(TF_Timer,TF_Nokkel,M2555,TF_Akt,C2555))</f>
        <v/>
      </c>
      <c r="O2555" s="2">
        <f>IF(M2555="","",IF(AND(N2555=_xlfn.MAXIFS(TF_AktSum,TF_Nokkel,M2555),COUNTIFS(M$3:M2554,M2555,N$3:N2554,N2555)=0),M2555,""))</f>
        <v/>
      </c>
    </row>
    <row r="2556">
      <c r="A2556" s="34" t="n"/>
      <c r="B2556" s="35" t="n"/>
      <c r="C2556" s="35" t="n"/>
      <c r="D2556" s="35" t="n"/>
      <c r="E2556" s="35" t="n"/>
      <c r="F2556" s="36" t="n"/>
      <c r="G2556" s="35" t="n"/>
      <c r="H2556" s="30">
        <f>IF(L2556="","",INDEX(SkiftNavn,L2556))</f>
        <v/>
      </c>
      <c r="I2556" s="30">
        <f>IF(OR(A2556="",L2556=""),"",IF(MOD(A2556-INDEX(SkiftStart,L2556),Syklus)&lt;DagK,"Kveld",IF(MOD(A2556-INDEX(SkiftStart,L2556),Syklus)&lt;DagK+DagH,"Helg",IF(MOD(A2556-INDEX(SkiftStart,L2556),Syklus)&lt;DagK+DagH+DagD,"Dag","Fri"))))</f>
        <v/>
      </c>
      <c r="J2556" s="30">
        <f>IF(I2556="Fri","Ja","")</f>
        <v/>
      </c>
      <c r="K2556" s="30">
        <f>IF(B2556="","",IF(L2556="","Ukjent tekniker",IF(ISNA(MATCH(C2556,Aktiviteter,0)),"Ukjent aktivitet",IF(AND(INDEX(AktRolle,MATCH(C2556,Aktiviteter,0))&amp;""&lt;&gt;"",ISERROR(SEARCH(INDEX(AktRolle,MATCH(C2556,Aktiviteter,0))&amp;"",INDEX(TekRoller,MATCH(B2556,Teknikere,0))))),"Mangler rollen "&amp;INDEX(AktRolle,MATCH(C2556,Aktiviteter,0))&amp;"",IF(AND(C2556="LMS",F2556&gt;0,OR(D2556="",E2556="")),"Mangler maskin eller arbeid",IF(AND(OR(C2556="LMS",C2556="Mod"),D2556&lt;&gt;""),IF(IFERROR(INDEX(MaskinStatus,MATCH(D2556,Maskiner,0)),"")="I dokk","","Maskinen er ikke i dokk"),""))))))</f>
        <v/>
      </c>
      <c r="L2556" s="2">
        <f>IF(B2556="","",IFERROR(INT((MATCH(B2556,Teknikere,0)-1)/18)+1,""))</f>
        <v/>
      </c>
      <c r="M2556" s="2">
        <f>IF(OR(A2556="",B2556=""),"",B2556&amp;"|"&amp;A2556)</f>
        <v/>
      </c>
      <c r="N2556" s="2">
        <f>IF(M2556="","",SUMIFS(TF_Timer,TF_Nokkel,M2556,TF_Akt,C2556))</f>
        <v/>
      </c>
      <c r="O2556" s="2">
        <f>IF(M2556="","",IF(AND(N2556=_xlfn.MAXIFS(TF_AktSum,TF_Nokkel,M2556),COUNTIFS(M$3:M2555,M2556,N$3:N2555,N2556)=0),M2556,""))</f>
        <v/>
      </c>
    </row>
    <row r="2557">
      <c r="A2557" s="34" t="n"/>
      <c r="B2557" s="35" t="n"/>
      <c r="C2557" s="35" t="n"/>
      <c r="D2557" s="35" t="n"/>
      <c r="E2557" s="35" t="n"/>
      <c r="F2557" s="36" t="n"/>
      <c r="G2557" s="35" t="n"/>
      <c r="H2557" s="30">
        <f>IF(L2557="","",INDEX(SkiftNavn,L2557))</f>
        <v/>
      </c>
      <c r="I2557" s="30">
        <f>IF(OR(A2557="",L2557=""),"",IF(MOD(A2557-INDEX(SkiftStart,L2557),Syklus)&lt;DagK,"Kveld",IF(MOD(A2557-INDEX(SkiftStart,L2557),Syklus)&lt;DagK+DagH,"Helg",IF(MOD(A2557-INDEX(SkiftStart,L2557),Syklus)&lt;DagK+DagH+DagD,"Dag","Fri"))))</f>
        <v/>
      </c>
      <c r="J2557" s="30">
        <f>IF(I2557="Fri","Ja","")</f>
        <v/>
      </c>
      <c r="K2557" s="30">
        <f>IF(B2557="","",IF(L2557="","Ukjent tekniker",IF(ISNA(MATCH(C2557,Aktiviteter,0)),"Ukjent aktivitet",IF(AND(INDEX(AktRolle,MATCH(C2557,Aktiviteter,0))&amp;""&lt;&gt;"",ISERROR(SEARCH(INDEX(AktRolle,MATCH(C2557,Aktiviteter,0))&amp;"",INDEX(TekRoller,MATCH(B2557,Teknikere,0))))),"Mangler rollen "&amp;INDEX(AktRolle,MATCH(C2557,Aktiviteter,0))&amp;"",IF(AND(C2557="LMS",F2557&gt;0,OR(D2557="",E2557="")),"Mangler maskin eller arbeid",IF(AND(OR(C2557="LMS",C2557="Mod"),D2557&lt;&gt;""),IF(IFERROR(INDEX(MaskinStatus,MATCH(D2557,Maskiner,0)),"")="I dokk","","Maskinen er ikke i dokk"),""))))))</f>
        <v/>
      </c>
      <c r="L2557" s="2">
        <f>IF(B2557="","",IFERROR(INT((MATCH(B2557,Teknikere,0)-1)/18)+1,""))</f>
        <v/>
      </c>
      <c r="M2557" s="2">
        <f>IF(OR(A2557="",B2557=""),"",B2557&amp;"|"&amp;A2557)</f>
        <v/>
      </c>
      <c r="N2557" s="2">
        <f>IF(M2557="","",SUMIFS(TF_Timer,TF_Nokkel,M2557,TF_Akt,C2557))</f>
        <v/>
      </c>
      <c r="O2557" s="2">
        <f>IF(M2557="","",IF(AND(N2557=_xlfn.MAXIFS(TF_AktSum,TF_Nokkel,M2557),COUNTIFS(M$3:M2556,M2557,N$3:N2556,N2557)=0),M2557,""))</f>
        <v/>
      </c>
    </row>
    <row r="2558">
      <c r="A2558" s="34" t="n"/>
      <c r="B2558" s="35" t="n"/>
      <c r="C2558" s="35" t="n"/>
      <c r="D2558" s="35" t="n"/>
      <c r="E2558" s="35" t="n"/>
      <c r="F2558" s="36" t="n"/>
      <c r="G2558" s="35" t="n"/>
      <c r="H2558" s="30">
        <f>IF(L2558="","",INDEX(SkiftNavn,L2558))</f>
        <v/>
      </c>
      <c r="I2558" s="30">
        <f>IF(OR(A2558="",L2558=""),"",IF(MOD(A2558-INDEX(SkiftStart,L2558),Syklus)&lt;DagK,"Kveld",IF(MOD(A2558-INDEX(SkiftStart,L2558),Syklus)&lt;DagK+DagH,"Helg",IF(MOD(A2558-INDEX(SkiftStart,L2558),Syklus)&lt;DagK+DagH+DagD,"Dag","Fri"))))</f>
        <v/>
      </c>
      <c r="J2558" s="30">
        <f>IF(I2558="Fri","Ja","")</f>
        <v/>
      </c>
      <c r="K2558" s="30">
        <f>IF(B2558="","",IF(L2558="","Ukjent tekniker",IF(ISNA(MATCH(C2558,Aktiviteter,0)),"Ukjent aktivitet",IF(AND(INDEX(AktRolle,MATCH(C2558,Aktiviteter,0))&amp;""&lt;&gt;"",ISERROR(SEARCH(INDEX(AktRolle,MATCH(C2558,Aktiviteter,0))&amp;"",INDEX(TekRoller,MATCH(B2558,Teknikere,0))))),"Mangler rollen "&amp;INDEX(AktRolle,MATCH(C2558,Aktiviteter,0))&amp;"",IF(AND(C2558="LMS",F2558&gt;0,OR(D2558="",E2558="")),"Mangler maskin eller arbeid",IF(AND(OR(C2558="LMS",C2558="Mod"),D2558&lt;&gt;""),IF(IFERROR(INDEX(MaskinStatus,MATCH(D2558,Maskiner,0)),"")="I dokk","","Maskinen er ikke i dokk"),""))))))</f>
        <v/>
      </c>
      <c r="L2558" s="2">
        <f>IF(B2558="","",IFERROR(INT((MATCH(B2558,Teknikere,0)-1)/18)+1,""))</f>
        <v/>
      </c>
      <c r="M2558" s="2">
        <f>IF(OR(A2558="",B2558=""),"",B2558&amp;"|"&amp;A2558)</f>
        <v/>
      </c>
      <c r="N2558" s="2">
        <f>IF(M2558="","",SUMIFS(TF_Timer,TF_Nokkel,M2558,TF_Akt,C2558))</f>
        <v/>
      </c>
      <c r="O2558" s="2">
        <f>IF(M2558="","",IF(AND(N2558=_xlfn.MAXIFS(TF_AktSum,TF_Nokkel,M2558),COUNTIFS(M$3:M2557,M2558,N$3:N2557,N2558)=0),M2558,""))</f>
        <v/>
      </c>
    </row>
    <row r="2559">
      <c r="A2559" s="34" t="n"/>
      <c r="B2559" s="35" t="n"/>
      <c r="C2559" s="35" t="n"/>
      <c r="D2559" s="35" t="n"/>
      <c r="E2559" s="35" t="n"/>
      <c r="F2559" s="36" t="n"/>
      <c r="G2559" s="35" t="n"/>
      <c r="H2559" s="30">
        <f>IF(L2559="","",INDEX(SkiftNavn,L2559))</f>
        <v/>
      </c>
      <c r="I2559" s="30">
        <f>IF(OR(A2559="",L2559=""),"",IF(MOD(A2559-INDEX(SkiftStart,L2559),Syklus)&lt;DagK,"Kveld",IF(MOD(A2559-INDEX(SkiftStart,L2559),Syklus)&lt;DagK+DagH,"Helg",IF(MOD(A2559-INDEX(SkiftStart,L2559),Syklus)&lt;DagK+DagH+DagD,"Dag","Fri"))))</f>
        <v/>
      </c>
      <c r="J2559" s="30">
        <f>IF(I2559="Fri","Ja","")</f>
        <v/>
      </c>
      <c r="K2559" s="30">
        <f>IF(B2559="","",IF(L2559="","Ukjent tekniker",IF(ISNA(MATCH(C2559,Aktiviteter,0)),"Ukjent aktivitet",IF(AND(INDEX(AktRolle,MATCH(C2559,Aktiviteter,0))&amp;""&lt;&gt;"",ISERROR(SEARCH(INDEX(AktRolle,MATCH(C2559,Aktiviteter,0))&amp;"",INDEX(TekRoller,MATCH(B2559,Teknikere,0))))),"Mangler rollen "&amp;INDEX(AktRolle,MATCH(C2559,Aktiviteter,0))&amp;"",IF(AND(C2559="LMS",F2559&gt;0,OR(D2559="",E2559="")),"Mangler maskin eller arbeid",IF(AND(OR(C2559="LMS",C2559="Mod"),D2559&lt;&gt;""),IF(IFERROR(INDEX(MaskinStatus,MATCH(D2559,Maskiner,0)),"")="I dokk","","Maskinen er ikke i dokk"),""))))))</f>
        <v/>
      </c>
      <c r="L2559" s="2">
        <f>IF(B2559="","",IFERROR(INT((MATCH(B2559,Teknikere,0)-1)/18)+1,""))</f>
        <v/>
      </c>
      <c r="M2559" s="2">
        <f>IF(OR(A2559="",B2559=""),"",B2559&amp;"|"&amp;A2559)</f>
        <v/>
      </c>
      <c r="N2559" s="2">
        <f>IF(M2559="","",SUMIFS(TF_Timer,TF_Nokkel,M2559,TF_Akt,C2559))</f>
        <v/>
      </c>
      <c r="O2559" s="2">
        <f>IF(M2559="","",IF(AND(N2559=_xlfn.MAXIFS(TF_AktSum,TF_Nokkel,M2559),COUNTIFS(M$3:M2558,M2559,N$3:N2558,N2559)=0),M2559,""))</f>
        <v/>
      </c>
    </row>
    <row r="2560">
      <c r="A2560" s="34" t="n"/>
      <c r="B2560" s="35" t="n"/>
      <c r="C2560" s="35" t="n"/>
      <c r="D2560" s="35" t="n"/>
      <c r="E2560" s="35" t="n"/>
      <c r="F2560" s="36" t="n"/>
      <c r="G2560" s="35" t="n"/>
      <c r="H2560" s="30">
        <f>IF(L2560="","",INDEX(SkiftNavn,L2560))</f>
        <v/>
      </c>
      <c r="I2560" s="30">
        <f>IF(OR(A2560="",L2560=""),"",IF(MOD(A2560-INDEX(SkiftStart,L2560),Syklus)&lt;DagK,"Kveld",IF(MOD(A2560-INDEX(SkiftStart,L2560),Syklus)&lt;DagK+DagH,"Helg",IF(MOD(A2560-INDEX(SkiftStart,L2560),Syklus)&lt;DagK+DagH+DagD,"Dag","Fri"))))</f>
        <v/>
      </c>
      <c r="J2560" s="30">
        <f>IF(I2560="Fri","Ja","")</f>
        <v/>
      </c>
      <c r="K2560" s="30">
        <f>IF(B2560="","",IF(L2560="","Ukjent tekniker",IF(ISNA(MATCH(C2560,Aktiviteter,0)),"Ukjent aktivitet",IF(AND(INDEX(AktRolle,MATCH(C2560,Aktiviteter,0))&amp;""&lt;&gt;"",ISERROR(SEARCH(INDEX(AktRolle,MATCH(C2560,Aktiviteter,0))&amp;"",INDEX(TekRoller,MATCH(B2560,Teknikere,0))))),"Mangler rollen "&amp;INDEX(AktRolle,MATCH(C2560,Aktiviteter,0))&amp;"",IF(AND(C2560="LMS",F2560&gt;0,OR(D2560="",E2560="")),"Mangler maskin eller arbeid",IF(AND(OR(C2560="LMS",C2560="Mod"),D2560&lt;&gt;""),IF(IFERROR(INDEX(MaskinStatus,MATCH(D2560,Maskiner,0)),"")="I dokk","","Maskinen er ikke i dokk"),""))))))</f>
        <v/>
      </c>
      <c r="L2560" s="2">
        <f>IF(B2560="","",IFERROR(INT((MATCH(B2560,Teknikere,0)-1)/18)+1,""))</f>
        <v/>
      </c>
      <c r="M2560" s="2">
        <f>IF(OR(A2560="",B2560=""),"",B2560&amp;"|"&amp;A2560)</f>
        <v/>
      </c>
      <c r="N2560" s="2">
        <f>IF(M2560="","",SUMIFS(TF_Timer,TF_Nokkel,M2560,TF_Akt,C2560))</f>
        <v/>
      </c>
      <c r="O2560" s="2">
        <f>IF(M2560="","",IF(AND(N2560=_xlfn.MAXIFS(TF_AktSum,TF_Nokkel,M2560),COUNTIFS(M$3:M2559,M2560,N$3:N2559,N2560)=0),M2560,""))</f>
        <v/>
      </c>
    </row>
    <row r="2561">
      <c r="A2561" s="34" t="n"/>
      <c r="B2561" s="35" t="n"/>
      <c r="C2561" s="35" t="n"/>
      <c r="D2561" s="35" t="n"/>
      <c r="E2561" s="35" t="n"/>
      <c r="F2561" s="36" t="n"/>
      <c r="G2561" s="35" t="n"/>
      <c r="H2561" s="30">
        <f>IF(L2561="","",INDEX(SkiftNavn,L2561))</f>
        <v/>
      </c>
      <c r="I2561" s="30">
        <f>IF(OR(A2561="",L2561=""),"",IF(MOD(A2561-INDEX(SkiftStart,L2561),Syklus)&lt;DagK,"Kveld",IF(MOD(A2561-INDEX(SkiftStart,L2561),Syklus)&lt;DagK+DagH,"Helg",IF(MOD(A2561-INDEX(SkiftStart,L2561),Syklus)&lt;DagK+DagH+DagD,"Dag","Fri"))))</f>
        <v/>
      </c>
      <c r="J2561" s="30">
        <f>IF(I2561="Fri","Ja","")</f>
        <v/>
      </c>
      <c r="K2561" s="30">
        <f>IF(B2561="","",IF(L2561="","Ukjent tekniker",IF(ISNA(MATCH(C2561,Aktiviteter,0)),"Ukjent aktivitet",IF(AND(INDEX(AktRolle,MATCH(C2561,Aktiviteter,0))&amp;""&lt;&gt;"",ISERROR(SEARCH(INDEX(AktRolle,MATCH(C2561,Aktiviteter,0))&amp;"",INDEX(TekRoller,MATCH(B2561,Teknikere,0))))),"Mangler rollen "&amp;INDEX(AktRolle,MATCH(C2561,Aktiviteter,0))&amp;"",IF(AND(C2561="LMS",F2561&gt;0,OR(D2561="",E2561="")),"Mangler maskin eller arbeid",IF(AND(OR(C2561="LMS",C2561="Mod"),D2561&lt;&gt;""),IF(IFERROR(INDEX(MaskinStatus,MATCH(D2561,Maskiner,0)),"")="I dokk","","Maskinen er ikke i dokk"),""))))))</f>
        <v/>
      </c>
      <c r="L2561" s="2">
        <f>IF(B2561="","",IFERROR(INT((MATCH(B2561,Teknikere,0)-1)/18)+1,""))</f>
        <v/>
      </c>
      <c r="M2561" s="2">
        <f>IF(OR(A2561="",B2561=""),"",B2561&amp;"|"&amp;A2561)</f>
        <v/>
      </c>
      <c r="N2561" s="2">
        <f>IF(M2561="","",SUMIFS(TF_Timer,TF_Nokkel,M2561,TF_Akt,C2561))</f>
        <v/>
      </c>
      <c r="O2561" s="2">
        <f>IF(M2561="","",IF(AND(N2561=_xlfn.MAXIFS(TF_AktSum,TF_Nokkel,M2561),COUNTIFS(M$3:M2560,M2561,N$3:N2560,N2561)=0),M2561,""))</f>
        <v/>
      </c>
    </row>
    <row r="2562">
      <c r="A2562" s="34" t="n"/>
      <c r="B2562" s="35" t="n"/>
      <c r="C2562" s="35" t="n"/>
      <c r="D2562" s="35" t="n"/>
      <c r="E2562" s="35" t="n"/>
      <c r="F2562" s="36" t="n"/>
      <c r="G2562" s="35" t="n"/>
      <c r="H2562" s="30">
        <f>IF(L2562="","",INDEX(SkiftNavn,L2562))</f>
        <v/>
      </c>
      <c r="I2562" s="30">
        <f>IF(OR(A2562="",L2562=""),"",IF(MOD(A2562-INDEX(SkiftStart,L2562),Syklus)&lt;DagK,"Kveld",IF(MOD(A2562-INDEX(SkiftStart,L2562),Syklus)&lt;DagK+DagH,"Helg",IF(MOD(A2562-INDEX(SkiftStart,L2562),Syklus)&lt;DagK+DagH+DagD,"Dag","Fri"))))</f>
        <v/>
      </c>
      <c r="J2562" s="30">
        <f>IF(I2562="Fri","Ja","")</f>
        <v/>
      </c>
      <c r="K2562" s="30">
        <f>IF(B2562="","",IF(L2562="","Ukjent tekniker",IF(ISNA(MATCH(C2562,Aktiviteter,0)),"Ukjent aktivitet",IF(AND(INDEX(AktRolle,MATCH(C2562,Aktiviteter,0))&amp;""&lt;&gt;"",ISERROR(SEARCH(INDEX(AktRolle,MATCH(C2562,Aktiviteter,0))&amp;"",INDEX(TekRoller,MATCH(B2562,Teknikere,0))))),"Mangler rollen "&amp;INDEX(AktRolle,MATCH(C2562,Aktiviteter,0))&amp;"",IF(AND(C2562="LMS",F2562&gt;0,OR(D2562="",E2562="")),"Mangler maskin eller arbeid",IF(AND(OR(C2562="LMS",C2562="Mod"),D2562&lt;&gt;""),IF(IFERROR(INDEX(MaskinStatus,MATCH(D2562,Maskiner,0)),"")="I dokk","","Maskinen er ikke i dokk"),""))))))</f>
        <v/>
      </c>
      <c r="L2562" s="2">
        <f>IF(B2562="","",IFERROR(INT((MATCH(B2562,Teknikere,0)-1)/18)+1,""))</f>
        <v/>
      </c>
      <c r="M2562" s="2">
        <f>IF(OR(A2562="",B2562=""),"",B2562&amp;"|"&amp;A2562)</f>
        <v/>
      </c>
      <c r="N2562" s="2">
        <f>IF(M2562="","",SUMIFS(TF_Timer,TF_Nokkel,M2562,TF_Akt,C2562))</f>
        <v/>
      </c>
      <c r="O2562" s="2">
        <f>IF(M2562="","",IF(AND(N2562=_xlfn.MAXIFS(TF_AktSum,TF_Nokkel,M2562),COUNTIFS(M$3:M2561,M2562,N$3:N2561,N2562)=0),M2562,""))</f>
        <v/>
      </c>
    </row>
    <row r="2563">
      <c r="A2563" s="34" t="n"/>
      <c r="B2563" s="35" t="n"/>
      <c r="C2563" s="35" t="n"/>
      <c r="D2563" s="35" t="n"/>
      <c r="E2563" s="35" t="n"/>
      <c r="F2563" s="36" t="n"/>
      <c r="G2563" s="35" t="n"/>
      <c r="H2563" s="30">
        <f>IF(L2563="","",INDEX(SkiftNavn,L2563))</f>
        <v/>
      </c>
      <c r="I2563" s="30">
        <f>IF(OR(A2563="",L2563=""),"",IF(MOD(A2563-INDEX(SkiftStart,L2563),Syklus)&lt;DagK,"Kveld",IF(MOD(A2563-INDEX(SkiftStart,L2563),Syklus)&lt;DagK+DagH,"Helg",IF(MOD(A2563-INDEX(SkiftStart,L2563),Syklus)&lt;DagK+DagH+DagD,"Dag","Fri"))))</f>
        <v/>
      </c>
      <c r="J2563" s="30">
        <f>IF(I2563="Fri","Ja","")</f>
        <v/>
      </c>
      <c r="K2563" s="30">
        <f>IF(B2563="","",IF(L2563="","Ukjent tekniker",IF(ISNA(MATCH(C2563,Aktiviteter,0)),"Ukjent aktivitet",IF(AND(INDEX(AktRolle,MATCH(C2563,Aktiviteter,0))&amp;""&lt;&gt;"",ISERROR(SEARCH(INDEX(AktRolle,MATCH(C2563,Aktiviteter,0))&amp;"",INDEX(TekRoller,MATCH(B2563,Teknikere,0))))),"Mangler rollen "&amp;INDEX(AktRolle,MATCH(C2563,Aktiviteter,0))&amp;"",IF(AND(C2563="LMS",F2563&gt;0,OR(D2563="",E2563="")),"Mangler maskin eller arbeid",IF(AND(OR(C2563="LMS",C2563="Mod"),D2563&lt;&gt;""),IF(IFERROR(INDEX(MaskinStatus,MATCH(D2563,Maskiner,0)),"")="I dokk","","Maskinen er ikke i dokk"),""))))))</f>
        <v/>
      </c>
      <c r="L2563" s="2">
        <f>IF(B2563="","",IFERROR(INT((MATCH(B2563,Teknikere,0)-1)/18)+1,""))</f>
        <v/>
      </c>
      <c r="M2563" s="2">
        <f>IF(OR(A2563="",B2563=""),"",B2563&amp;"|"&amp;A2563)</f>
        <v/>
      </c>
      <c r="N2563" s="2">
        <f>IF(M2563="","",SUMIFS(TF_Timer,TF_Nokkel,M2563,TF_Akt,C2563))</f>
        <v/>
      </c>
      <c r="O2563" s="2">
        <f>IF(M2563="","",IF(AND(N2563=_xlfn.MAXIFS(TF_AktSum,TF_Nokkel,M2563),COUNTIFS(M$3:M2562,M2563,N$3:N2562,N2563)=0),M2563,""))</f>
        <v/>
      </c>
    </row>
    <row r="2564">
      <c r="A2564" s="34" t="n"/>
      <c r="B2564" s="35" t="n"/>
      <c r="C2564" s="35" t="n"/>
      <c r="D2564" s="35" t="n"/>
      <c r="E2564" s="35" t="n"/>
      <c r="F2564" s="36" t="n"/>
      <c r="G2564" s="35" t="n"/>
      <c r="H2564" s="30">
        <f>IF(L2564="","",INDEX(SkiftNavn,L2564))</f>
        <v/>
      </c>
      <c r="I2564" s="30">
        <f>IF(OR(A2564="",L2564=""),"",IF(MOD(A2564-INDEX(SkiftStart,L2564),Syklus)&lt;DagK,"Kveld",IF(MOD(A2564-INDEX(SkiftStart,L2564),Syklus)&lt;DagK+DagH,"Helg",IF(MOD(A2564-INDEX(SkiftStart,L2564),Syklus)&lt;DagK+DagH+DagD,"Dag","Fri"))))</f>
        <v/>
      </c>
      <c r="J2564" s="30">
        <f>IF(I2564="Fri","Ja","")</f>
        <v/>
      </c>
      <c r="K2564" s="30">
        <f>IF(B2564="","",IF(L2564="","Ukjent tekniker",IF(ISNA(MATCH(C2564,Aktiviteter,0)),"Ukjent aktivitet",IF(AND(INDEX(AktRolle,MATCH(C2564,Aktiviteter,0))&amp;""&lt;&gt;"",ISERROR(SEARCH(INDEX(AktRolle,MATCH(C2564,Aktiviteter,0))&amp;"",INDEX(TekRoller,MATCH(B2564,Teknikere,0))))),"Mangler rollen "&amp;INDEX(AktRolle,MATCH(C2564,Aktiviteter,0))&amp;"",IF(AND(C2564="LMS",F2564&gt;0,OR(D2564="",E2564="")),"Mangler maskin eller arbeid",IF(AND(OR(C2564="LMS",C2564="Mod"),D2564&lt;&gt;""),IF(IFERROR(INDEX(MaskinStatus,MATCH(D2564,Maskiner,0)),"")="I dokk","","Maskinen er ikke i dokk"),""))))))</f>
        <v/>
      </c>
      <c r="L2564" s="2">
        <f>IF(B2564="","",IFERROR(INT((MATCH(B2564,Teknikere,0)-1)/18)+1,""))</f>
        <v/>
      </c>
      <c r="M2564" s="2">
        <f>IF(OR(A2564="",B2564=""),"",B2564&amp;"|"&amp;A2564)</f>
        <v/>
      </c>
      <c r="N2564" s="2">
        <f>IF(M2564="","",SUMIFS(TF_Timer,TF_Nokkel,M2564,TF_Akt,C2564))</f>
        <v/>
      </c>
      <c r="O2564" s="2">
        <f>IF(M2564="","",IF(AND(N2564=_xlfn.MAXIFS(TF_AktSum,TF_Nokkel,M2564),COUNTIFS(M$3:M2563,M2564,N$3:N2563,N2564)=0),M2564,""))</f>
        <v/>
      </c>
    </row>
    <row r="2565">
      <c r="A2565" s="34" t="n"/>
      <c r="B2565" s="35" t="n"/>
      <c r="C2565" s="35" t="n"/>
      <c r="D2565" s="35" t="n"/>
      <c r="E2565" s="35" t="n"/>
      <c r="F2565" s="36" t="n"/>
      <c r="G2565" s="35" t="n"/>
      <c r="H2565" s="30">
        <f>IF(L2565="","",INDEX(SkiftNavn,L2565))</f>
        <v/>
      </c>
      <c r="I2565" s="30">
        <f>IF(OR(A2565="",L2565=""),"",IF(MOD(A2565-INDEX(SkiftStart,L2565),Syklus)&lt;DagK,"Kveld",IF(MOD(A2565-INDEX(SkiftStart,L2565),Syklus)&lt;DagK+DagH,"Helg",IF(MOD(A2565-INDEX(SkiftStart,L2565),Syklus)&lt;DagK+DagH+DagD,"Dag","Fri"))))</f>
        <v/>
      </c>
      <c r="J2565" s="30">
        <f>IF(I2565="Fri","Ja","")</f>
        <v/>
      </c>
      <c r="K2565" s="30">
        <f>IF(B2565="","",IF(L2565="","Ukjent tekniker",IF(ISNA(MATCH(C2565,Aktiviteter,0)),"Ukjent aktivitet",IF(AND(INDEX(AktRolle,MATCH(C2565,Aktiviteter,0))&amp;""&lt;&gt;"",ISERROR(SEARCH(INDEX(AktRolle,MATCH(C2565,Aktiviteter,0))&amp;"",INDEX(TekRoller,MATCH(B2565,Teknikere,0))))),"Mangler rollen "&amp;INDEX(AktRolle,MATCH(C2565,Aktiviteter,0))&amp;"",IF(AND(C2565="LMS",F2565&gt;0,OR(D2565="",E2565="")),"Mangler maskin eller arbeid",IF(AND(OR(C2565="LMS",C2565="Mod"),D2565&lt;&gt;""),IF(IFERROR(INDEX(MaskinStatus,MATCH(D2565,Maskiner,0)),"")="I dokk","","Maskinen er ikke i dokk"),""))))))</f>
        <v/>
      </c>
      <c r="L2565" s="2">
        <f>IF(B2565="","",IFERROR(INT((MATCH(B2565,Teknikere,0)-1)/18)+1,""))</f>
        <v/>
      </c>
      <c r="M2565" s="2">
        <f>IF(OR(A2565="",B2565=""),"",B2565&amp;"|"&amp;A2565)</f>
        <v/>
      </c>
      <c r="N2565" s="2">
        <f>IF(M2565="","",SUMIFS(TF_Timer,TF_Nokkel,M2565,TF_Akt,C2565))</f>
        <v/>
      </c>
      <c r="O2565" s="2">
        <f>IF(M2565="","",IF(AND(N2565=_xlfn.MAXIFS(TF_AktSum,TF_Nokkel,M2565),COUNTIFS(M$3:M2564,M2565,N$3:N2564,N2565)=0),M2565,""))</f>
        <v/>
      </c>
    </row>
    <row r="2566">
      <c r="A2566" s="34" t="n"/>
      <c r="B2566" s="35" t="n"/>
      <c r="C2566" s="35" t="n"/>
      <c r="D2566" s="35" t="n"/>
      <c r="E2566" s="35" t="n"/>
      <c r="F2566" s="36" t="n"/>
      <c r="G2566" s="35" t="n"/>
      <c r="H2566" s="30">
        <f>IF(L2566="","",INDEX(SkiftNavn,L2566))</f>
        <v/>
      </c>
      <c r="I2566" s="30">
        <f>IF(OR(A2566="",L2566=""),"",IF(MOD(A2566-INDEX(SkiftStart,L2566),Syklus)&lt;DagK,"Kveld",IF(MOD(A2566-INDEX(SkiftStart,L2566),Syklus)&lt;DagK+DagH,"Helg",IF(MOD(A2566-INDEX(SkiftStart,L2566),Syklus)&lt;DagK+DagH+DagD,"Dag","Fri"))))</f>
        <v/>
      </c>
      <c r="J2566" s="30">
        <f>IF(I2566="Fri","Ja","")</f>
        <v/>
      </c>
      <c r="K2566" s="30">
        <f>IF(B2566="","",IF(L2566="","Ukjent tekniker",IF(ISNA(MATCH(C2566,Aktiviteter,0)),"Ukjent aktivitet",IF(AND(INDEX(AktRolle,MATCH(C2566,Aktiviteter,0))&amp;""&lt;&gt;"",ISERROR(SEARCH(INDEX(AktRolle,MATCH(C2566,Aktiviteter,0))&amp;"",INDEX(TekRoller,MATCH(B2566,Teknikere,0))))),"Mangler rollen "&amp;INDEX(AktRolle,MATCH(C2566,Aktiviteter,0))&amp;"",IF(AND(C2566="LMS",F2566&gt;0,OR(D2566="",E2566="")),"Mangler maskin eller arbeid",IF(AND(OR(C2566="LMS",C2566="Mod"),D2566&lt;&gt;""),IF(IFERROR(INDEX(MaskinStatus,MATCH(D2566,Maskiner,0)),"")="I dokk","","Maskinen er ikke i dokk"),""))))))</f>
        <v/>
      </c>
      <c r="L2566" s="2">
        <f>IF(B2566="","",IFERROR(INT((MATCH(B2566,Teknikere,0)-1)/18)+1,""))</f>
        <v/>
      </c>
      <c r="M2566" s="2">
        <f>IF(OR(A2566="",B2566=""),"",B2566&amp;"|"&amp;A2566)</f>
        <v/>
      </c>
      <c r="N2566" s="2">
        <f>IF(M2566="","",SUMIFS(TF_Timer,TF_Nokkel,M2566,TF_Akt,C2566))</f>
        <v/>
      </c>
      <c r="O2566" s="2">
        <f>IF(M2566="","",IF(AND(N2566=_xlfn.MAXIFS(TF_AktSum,TF_Nokkel,M2566),COUNTIFS(M$3:M2565,M2566,N$3:N2565,N2566)=0),M2566,""))</f>
        <v/>
      </c>
    </row>
    <row r="2567">
      <c r="A2567" s="34" t="n"/>
      <c r="B2567" s="35" t="n"/>
      <c r="C2567" s="35" t="n"/>
      <c r="D2567" s="35" t="n"/>
      <c r="E2567" s="35" t="n"/>
      <c r="F2567" s="36" t="n"/>
      <c r="G2567" s="35" t="n"/>
      <c r="H2567" s="30">
        <f>IF(L2567="","",INDEX(SkiftNavn,L2567))</f>
        <v/>
      </c>
      <c r="I2567" s="30">
        <f>IF(OR(A2567="",L2567=""),"",IF(MOD(A2567-INDEX(SkiftStart,L2567),Syklus)&lt;DagK,"Kveld",IF(MOD(A2567-INDEX(SkiftStart,L2567),Syklus)&lt;DagK+DagH,"Helg",IF(MOD(A2567-INDEX(SkiftStart,L2567),Syklus)&lt;DagK+DagH+DagD,"Dag","Fri"))))</f>
        <v/>
      </c>
      <c r="J2567" s="30">
        <f>IF(I2567="Fri","Ja","")</f>
        <v/>
      </c>
      <c r="K2567" s="30">
        <f>IF(B2567="","",IF(L2567="","Ukjent tekniker",IF(ISNA(MATCH(C2567,Aktiviteter,0)),"Ukjent aktivitet",IF(AND(INDEX(AktRolle,MATCH(C2567,Aktiviteter,0))&amp;""&lt;&gt;"",ISERROR(SEARCH(INDEX(AktRolle,MATCH(C2567,Aktiviteter,0))&amp;"",INDEX(TekRoller,MATCH(B2567,Teknikere,0))))),"Mangler rollen "&amp;INDEX(AktRolle,MATCH(C2567,Aktiviteter,0))&amp;"",IF(AND(C2567="LMS",F2567&gt;0,OR(D2567="",E2567="")),"Mangler maskin eller arbeid",IF(AND(OR(C2567="LMS",C2567="Mod"),D2567&lt;&gt;""),IF(IFERROR(INDEX(MaskinStatus,MATCH(D2567,Maskiner,0)),"")="I dokk","","Maskinen er ikke i dokk"),""))))))</f>
        <v/>
      </c>
      <c r="L2567" s="2">
        <f>IF(B2567="","",IFERROR(INT((MATCH(B2567,Teknikere,0)-1)/18)+1,""))</f>
        <v/>
      </c>
      <c r="M2567" s="2">
        <f>IF(OR(A2567="",B2567=""),"",B2567&amp;"|"&amp;A2567)</f>
        <v/>
      </c>
      <c r="N2567" s="2">
        <f>IF(M2567="","",SUMIFS(TF_Timer,TF_Nokkel,M2567,TF_Akt,C2567))</f>
        <v/>
      </c>
      <c r="O2567" s="2">
        <f>IF(M2567="","",IF(AND(N2567=_xlfn.MAXIFS(TF_AktSum,TF_Nokkel,M2567),COUNTIFS(M$3:M2566,M2567,N$3:N2566,N2567)=0),M2567,""))</f>
        <v/>
      </c>
    </row>
    <row r="2568">
      <c r="A2568" s="34" t="n"/>
      <c r="B2568" s="35" t="n"/>
      <c r="C2568" s="35" t="n"/>
      <c r="D2568" s="35" t="n"/>
      <c r="E2568" s="35" t="n"/>
      <c r="F2568" s="36" t="n"/>
      <c r="G2568" s="35" t="n"/>
      <c r="H2568" s="30">
        <f>IF(L2568="","",INDEX(SkiftNavn,L2568))</f>
        <v/>
      </c>
      <c r="I2568" s="30">
        <f>IF(OR(A2568="",L2568=""),"",IF(MOD(A2568-INDEX(SkiftStart,L2568),Syklus)&lt;DagK,"Kveld",IF(MOD(A2568-INDEX(SkiftStart,L2568),Syklus)&lt;DagK+DagH,"Helg",IF(MOD(A2568-INDEX(SkiftStart,L2568),Syklus)&lt;DagK+DagH+DagD,"Dag","Fri"))))</f>
        <v/>
      </c>
      <c r="J2568" s="30">
        <f>IF(I2568="Fri","Ja","")</f>
        <v/>
      </c>
      <c r="K2568" s="30">
        <f>IF(B2568="","",IF(L2568="","Ukjent tekniker",IF(ISNA(MATCH(C2568,Aktiviteter,0)),"Ukjent aktivitet",IF(AND(INDEX(AktRolle,MATCH(C2568,Aktiviteter,0))&amp;""&lt;&gt;"",ISERROR(SEARCH(INDEX(AktRolle,MATCH(C2568,Aktiviteter,0))&amp;"",INDEX(TekRoller,MATCH(B2568,Teknikere,0))))),"Mangler rollen "&amp;INDEX(AktRolle,MATCH(C2568,Aktiviteter,0))&amp;"",IF(AND(C2568="LMS",F2568&gt;0,OR(D2568="",E2568="")),"Mangler maskin eller arbeid",IF(AND(OR(C2568="LMS",C2568="Mod"),D2568&lt;&gt;""),IF(IFERROR(INDEX(MaskinStatus,MATCH(D2568,Maskiner,0)),"")="I dokk","","Maskinen er ikke i dokk"),""))))))</f>
        <v/>
      </c>
      <c r="L2568" s="2">
        <f>IF(B2568="","",IFERROR(INT((MATCH(B2568,Teknikere,0)-1)/18)+1,""))</f>
        <v/>
      </c>
      <c r="M2568" s="2">
        <f>IF(OR(A2568="",B2568=""),"",B2568&amp;"|"&amp;A2568)</f>
        <v/>
      </c>
      <c r="N2568" s="2">
        <f>IF(M2568="","",SUMIFS(TF_Timer,TF_Nokkel,M2568,TF_Akt,C2568))</f>
        <v/>
      </c>
      <c r="O2568" s="2">
        <f>IF(M2568="","",IF(AND(N2568=_xlfn.MAXIFS(TF_AktSum,TF_Nokkel,M2568),COUNTIFS(M$3:M2567,M2568,N$3:N2567,N2568)=0),M2568,""))</f>
        <v/>
      </c>
    </row>
    <row r="2569">
      <c r="A2569" s="34" t="n"/>
      <c r="B2569" s="35" t="n"/>
      <c r="C2569" s="35" t="n"/>
      <c r="D2569" s="35" t="n"/>
      <c r="E2569" s="35" t="n"/>
      <c r="F2569" s="36" t="n"/>
      <c r="G2569" s="35" t="n"/>
      <c r="H2569" s="30">
        <f>IF(L2569="","",INDEX(SkiftNavn,L2569))</f>
        <v/>
      </c>
      <c r="I2569" s="30">
        <f>IF(OR(A2569="",L2569=""),"",IF(MOD(A2569-INDEX(SkiftStart,L2569),Syklus)&lt;DagK,"Kveld",IF(MOD(A2569-INDEX(SkiftStart,L2569),Syklus)&lt;DagK+DagH,"Helg",IF(MOD(A2569-INDEX(SkiftStart,L2569),Syklus)&lt;DagK+DagH+DagD,"Dag","Fri"))))</f>
        <v/>
      </c>
      <c r="J2569" s="30">
        <f>IF(I2569="Fri","Ja","")</f>
        <v/>
      </c>
      <c r="K2569" s="30">
        <f>IF(B2569="","",IF(L2569="","Ukjent tekniker",IF(ISNA(MATCH(C2569,Aktiviteter,0)),"Ukjent aktivitet",IF(AND(INDEX(AktRolle,MATCH(C2569,Aktiviteter,0))&amp;""&lt;&gt;"",ISERROR(SEARCH(INDEX(AktRolle,MATCH(C2569,Aktiviteter,0))&amp;"",INDEX(TekRoller,MATCH(B2569,Teknikere,0))))),"Mangler rollen "&amp;INDEX(AktRolle,MATCH(C2569,Aktiviteter,0))&amp;"",IF(AND(C2569="LMS",F2569&gt;0,OR(D2569="",E2569="")),"Mangler maskin eller arbeid",IF(AND(OR(C2569="LMS",C2569="Mod"),D2569&lt;&gt;""),IF(IFERROR(INDEX(MaskinStatus,MATCH(D2569,Maskiner,0)),"")="I dokk","","Maskinen er ikke i dokk"),""))))))</f>
        <v/>
      </c>
      <c r="L2569" s="2">
        <f>IF(B2569="","",IFERROR(INT((MATCH(B2569,Teknikere,0)-1)/18)+1,""))</f>
        <v/>
      </c>
      <c r="M2569" s="2">
        <f>IF(OR(A2569="",B2569=""),"",B2569&amp;"|"&amp;A2569)</f>
        <v/>
      </c>
      <c r="N2569" s="2">
        <f>IF(M2569="","",SUMIFS(TF_Timer,TF_Nokkel,M2569,TF_Akt,C2569))</f>
        <v/>
      </c>
      <c r="O2569" s="2">
        <f>IF(M2569="","",IF(AND(N2569=_xlfn.MAXIFS(TF_AktSum,TF_Nokkel,M2569),COUNTIFS(M$3:M2568,M2569,N$3:N2568,N2569)=0),M2569,""))</f>
        <v/>
      </c>
    </row>
    <row r="2570">
      <c r="A2570" s="34" t="n"/>
      <c r="B2570" s="35" t="n"/>
      <c r="C2570" s="35" t="n"/>
      <c r="D2570" s="35" t="n"/>
      <c r="E2570" s="35" t="n"/>
      <c r="F2570" s="36" t="n"/>
      <c r="G2570" s="35" t="n"/>
      <c r="H2570" s="30">
        <f>IF(L2570="","",INDEX(SkiftNavn,L2570))</f>
        <v/>
      </c>
      <c r="I2570" s="30">
        <f>IF(OR(A2570="",L2570=""),"",IF(MOD(A2570-INDEX(SkiftStart,L2570),Syklus)&lt;DagK,"Kveld",IF(MOD(A2570-INDEX(SkiftStart,L2570),Syklus)&lt;DagK+DagH,"Helg",IF(MOD(A2570-INDEX(SkiftStart,L2570),Syklus)&lt;DagK+DagH+DagD,"Dag","Fri"))))</f>
        <v/>
      </c>
      <c r="J2570" s="30">
        <f>IF(I2570="Fri","Ja","")</f>
        <v/>
      </c>
      <c r="K2570" s="30">
        <f>IF(B2570="","",IF(L2570="","Ukjent tekniker",IF(ISNA(MATCH(C2570,Aktiviteter,0)),"Ukjent aktivitet",IF(AND(INDEX(AktRolle,MATCH(C2570,Aktiviteter,0))&amp;""&lt;&gt;"",ISERROR(SEARCH(INDEX(AktRolle,MATCH(C2570,Aktiviteter,0))&amp;"",INDEX(TekRoller,MATCH(B2570,Teknikere,0))))),"Mangler rollen "&amp;INDEX(AktRolle,MATCH(C2570,Aktiviteter,0))&amp;"",IF(AND(C2570="LMS",F2570&gt;0,OR(D2570="",E2570="")),"Mangler maskin eller arbeid",IF(AND(OR(C2570="LMS",C2570="Mod"),D2570&lt;&gt;""),IF(IFERROR(INDEX(MaskinStatus,MATCH(D2570,Maskiner,0)),"")="I dokk","","Maskinen er ikke i dokk"),""))))))</f>
        <v/>
      </c>
      <c r="L2570" s="2">
        <f>IF(B2570="","",IFERROR(INT((MATCH(B2570,Teknikere,0)-1)/18)+1,""))</f>
        <v/>
      </c>
      <c r="M2570" s="2">
        <f>IF(OR(A2570="",B2570=""),"",B2570&amp;"|"&amp;A2570)</f>
        <v/>
      </c>
      <c r="N2570" s="2">
        <f>IF(M2570="","",SUMIFS(TF_Timer,TF_Nokkel,M2570,TF_Akt,C2570))</f>
        <v/>
      </c>
      <c r="O2570" s="2">
        <f>IF(M2570="","",IF(AND(N2570=_xlfn.MAXIFS(TF_AktSum,TF_Nokkel,M2570),COUNTIFS(M$3:M2569,M2570,N$3:N2569,N2570)=0),M2570,""))</f>
        <v/>
      </c>
    </row>
    <row r="2571">
      <c r="A2571" s="34" t="n"/>
      <c r="B2571" s="35" t="n"/>
      <c r="C2571" s="35" t="n"/>
      <c r="D2571" s="35" t="n"/>
      <c r="E2571" s="35" t="n"/>
      <c r="F2571" s="36" t="n"/>
      <c r="G2571" s="35" t="n"/>
      <c r="H2571" s="30">
        <f>IF(L2571="","",INDEX(SkiftNavn,L2571))</f>
        <v/>
      </c>
      <c r="I2571" s="30">
        <f>IF(OR(A2571="",L2571=""),"",IF(MOD(A2571-INDEX(SkiftStart,L2571),Syklus)&lt;DagK,"Kveld",IF(MOD(A2571-INDEX(SkiftStart,L2571),Syklus)&lt;DagK+DagH,"Helg",IF(MOD(A2571-INDEX(SkiftStart,L2571),Syklus)&lt;DagK+DagH+DagD,"Dag","Fri"))))</f>
        <v/>
      </c>
      <c r="J2571" s="30">
        <f>IF(I2571="Fri","Ja","")</f>
        <v/>
      </c>
      <c r="K2571" s="30">
        <f>IF(B2571="","",IF(L2571="","Ukjent tekniker",IF(ISNA(MATCH(C2571,Aktiviteter,0)),"Ukjent aktivitet",IF(AND(INDEX(AktRolle,MATCH(C2571,Aktiviteter,0))&amp;""&lt;&gt;"",ISERROR(SEARCH(INDEX(AktRolle,MATCH(C2571,Aktiviteter,0))&amp;"",INDEX(TekRoller,MATCH(B2571,Teknikere,0))))),"Mangler rollen "&amp;INDEX(AktRolle,MATCH(C2571,Aktiviteter,0))&amp;"",IF(AND(C2571="LMS",F2571&gt;0,OR(D2571="",E2571="")),"Mangler maskin eller arbeid",IF(AND(OR(C2571="LMS",C2571="Mod"),D2571&lt;&gt;""),IF(IFERROR(INDEX(MaskinStatus,MATCH(D2571,Maskiner,0)),"")="I dokk","","Maskinen er ikke i dokk"),""))))))</f>
        <v/>
      </c>
      <c r="L2571" s="2">
        <f>IF(B2571="","",IFERROR(INT((MATCH(B2571,Teknikere,0)-1)/18)+1,""))</f>
        <v/>
      </c>
      <c r="M2571" s="2">
        <f>IF(OR(A2571="",B2571=""),"",B2571&amp;"|"&amp;A2571)</f>
        <v/>
      </c>
      <c r="N2571" s="2">
        <f>IF(M2571="","",SUMIFS(TF_Timer,TF_Nokkel,M2571,TF_Akt,C2571))</f>
        <v/>
      </c>
      <c r="O2571" s="2">
        <f>IF(M2571="","",IF(AND(N2571=_xlfn.MAXIFS(TF_AktSum,TF_Nokkel,M2571),COUNTIFS(M$3:M2570,M2571,N$3:N2570,N2571)=0),M2571,""))</f>
        <v/>
      </c>
    </row>
    <row r="2572">
      <c r="A2572" s="34" t="n"/>
      <c r="B2572" s="35" t="n"/>
      <c r="C2572" s="35" t="n"/>
      <c r="D2572" s="35" t="n"/>
      <c r="E2572" s="35" t="n"/>
      <c r="F2572" s="36" t="n"/>
      <c r="G2572" s="35" t="n"/>
      <c r="H2572" s="30">
        <f>IF(L2572="","",INDEX(SkiftNavn,L2572))</f>
        <v/>
      </c>
      <c r="I2572" s="30">
        <f>IF(OR(A2572="",L2572=""),"",IF(MOD(A2572-INDEX(SkiftStart,L2572),Syklus)&lt;DagK,"Kveld",IF(MOD(A2572-INDEX(SkiftStart,L2572),Syklus)&lt;DagK+DagH,"Helg",IF(MOD(A2572-INDEX(SkiftStart,L2572),Syklus)&lt;DagK+DagH+DagD,"Dag","Fri"))))</f>
        <v/>
      </c>
      <c r="J2572" s="30">
        <f>IF(I2572="Fri","Ja","")</f>
        <v/>
      </c>
      <c r="K2572" s="30">
        <f>IF(B2572="","",IF(L2572="","Ukjent tekniker",IF(ISNA(MATCH(C2572,Aktiviteter,0)),"Ukjent aktivitet",IF(AND(INDEX(AktRolle,MATCH(C2572,Aktiviteter,0))&amp;""&lt;&gt;"",ISERROR(SEARCH(INDEX(AktRolle,MATCH(C2572,Aktiviteter,0))&amp;"",INDEX(TekRoller,MATCH(B2572,Teknikere,0))))),"Mangler rollen "&amp;INDEX(AktRolle,MATCH(C2572,Aktiviteter,0))&amp;"",IF(AND(C2572="LMS",F2572&gt;0,OR(D2572="",E2572="")),"Mangler maskin eller arbeid",IF(AND(OR(C2572="LMS",C2572="Mod"),D2572&lt;&gt;""),IF(IFERROR(INDEX(MaskinStatus,MATCH(D2572,Maskiner,0)),"")="I dokk","","Maskinen er ikke i dokk"),""))))))</f>
        <v/>
      </c>
      <c r="L2572" s="2">
        <f>IF(B2572="","",IFERROR(INT((MATCH(B2572,Teknikere,0)-1)/18)+1,""))</f>
        <v/>
      </c>
      <c r="M2572" s="2">
        <f>IF(OR(A2572="",B2572=""),"",B2572&amp;"|"&amp;A2572)</f>
        <v/>
      </c>
      <c r="N2572" s="2">
        <f>IF(M2572="","",SUMIFS(TF_Timer,TF_Nokkel,M2572,TF_Akt,C2572))</f>
        <v/>
      </c>
      <c r="O2572" s="2">
        <f>IF(M2572="","",IF(AND(N2572=_xlfn.MAXIFS(TF_AktSum,TF_Nokkel,M2572),COUNTIFS(M$3:M2571,M2572,N$3:N2571,N2572)=0),M2572,""))</f>
        <v/>
      </c>
    </row>
    <row r="2573">
      <c r="A2573" s="34" t="n"/>
      <c r="B2573" s="35" t="n"/>
      <c r="C2573" s="35" t="n"/>
      <c r="D2573" s="35" t="n"/>
      <c r="E2573" s="35" t="n"/>
      <c r="F2573" s="36" t="n"/>
      <c r="G2573" s="35" t="n"/>
      <c r="H2573" s="30">
        <f>IF(L2573="","",INDEX(SkiftNavn,L2573))</f>
        <v/>
      </c>
      <c r="I2573" s="30">
        <f>IF(OR(A2573="",L2573=""),"",IF(MOD(A2573-INDEX(SkiftStart,L2573),Syklus)&lt;DagK,"Kveld",IF(MOD(A2573-INDEX(SkiftStart,L2573),Syklus)&lt;DagK+DagH,"Helg",IF(MOD(A2573-INDEX(SkiftStart,L2573),Syklus)&lt;DagK+DagH+DagD,"Dag","Fri"))))</f>
        <v/>
      </c>
      <c r="J2573" s="30">
        <f>IF(I2573="Fri","Ja","")</f>
        <v/>
      </c>
      <c r="K2573" s="30">
        <f>IF(B2573="","",IF(L2573="","Ukjent tekniker",IF(ISNA(MATCH(C2573,Aktiviteter,0)),"Ukjent aktivitet",IF(AND(INDEX(AktRolle,MATCH(C2573,Aktiviteter,0))&amp;""&lt;&gt;"",ISERROR(SEARCH(INDEX(AktRolle,MATCH(C2573,Aktiviteter,0))&amp;"",INDEX(TekRoller,MATCH(B2573,Teknikere,0))))),"Mangler rollen "&amp;INDEX(AktRolle,MATCH(C2573,Aktiviteter,0))&amp;"",IF(AND(C2573="LMS",F2573&gt;0,OR(D2573="",E2573="")),"Mangler maskin eller arbeid",IF(AND(OR(C2573="LMS",C2573="Mod"),D2573&lt;&gt;""),IF(IFERROR(INDEX(MaskinStatus,MATCH(D2573,Maskiner,0)),"")="I dokk","","Maskinen er ikke i dokk"),""))))))</f>
        <v/>
      </c>
      <c r="L2573" s="2">
        <f>IF(B2573="","",IFERROR(INT((MATCH(B2573,Teknikere,0)-1)/18)+1,""))</f>
        <v/>
      </c>
      <c r="M2573" s="2">
        <f>IF(OR(A2573="",B2573=""),"",B2573&amp;"|"&amp;A2573)</f>
        <v/>
      </c>
      <c r="N2573" s="2">
        <f>IF(M2573="","",SUMIFS(TF_Timer,TF_Nokkel,M2573,TF_Akt,C2573))</f>
        <v/>
      </c>
      <c r="O2573" s="2">
        <f>IF(M2573="","",IF(AND(N2573=_xlfn.MAXIFS(TF_AktSum,TF_Nokkel,M2573),COUNTIFS(M$3:M2572,M2573,N$3:N2572,N2573)=0),M2573,""))</f>
        <v/>
      </c>
    </row>
    <row r="2574">
      <c r="A2574" s="34" t="n"/>
      <c r="B2574" s="35" t="n"/>
      <c r="C2574" s="35" t="n"/>
      <c r="D2574" s="35" t="n"/>
      <c r="E2574" s="35" t="n"/>
      <c r="F2574" s="36" t="n"/>
      <c r="G2574" s="35" t="n"/>
      <c r="H2574" s="30">
        <f>IF(L2574="","",INDEX(SkiftNavn,L2574))</f>
        <v/>
      </c>
      <c r="I2574" s="30">
        <f>IF(OR(A2574="",L2574=""),"",IF(MOD(A2574-INDEX(SkiftStart,L2574),Syklus)&lt;DagK,"Kveld",IF(MOD(A2574-INDEX(SkiftStart,L2574),Syklus)&lt;DagK+DagH,"Helg",IF(MOD(A2574-INDEX(SkiftStart,L2574),Syklus)&lt;DagK+DagH+DagD,"Dag","Fri"))))</f>
        <v/>
      </c>
      <c r="J2574" s="30">
        <f>IF(I2574="Fri","Ja","")</f>
        <v/>
      </c>
      <c r="K2574" s="30">
        <f>IF(B2574="","",IF(L2574="","Ukjent tekniker",IF(ISNA(MATCH(C2574,Aktiviteter,0)),"Ukjent aktivitet",IF(AND(INDEX(AktRolle,MATCH(C2574,Aktiviteter,0))&amp;""&lt;&gt;"",ISERROR(SEARCH(INDEX(AktRolle,MATCH(C2574,Aktiviteter,0))&amp;"",INDEX(TekRoller,MATCH(B2574,Teknikere,0))))),"Mangler rollen "&amp;INDEX(AktRolle,MATCH(C2574,Aktiviteter,0))&amp;"",IF(AND(C2574="LMS",F2574&gt;0,OR(D2574="",E2574="")),"Mangler maskin eller arbeid",IF(AND(OR(C2574="LMS",C2574="Mod"),D2574&lt;&gt;""),IF(IFERROR(INDEX(MaskinStatus,MATCH(D2574,Maskiner,0)),"")="I dokk","","Maskinen er ikke i dokk"),""))))))</f>
        <v/>
      </c>
      <c r="L2574" s="2">
        <f>IF(B2574="","",IFERROR(INT((MATCH(B2574,Teknikere,0)-1)/18)+1,""))</f>
        <v/>
      </c>
      <c r="M2574" s="2">
        <f>IF(OR(A2574="",B2574=""),"",B2574&amp;"|"&amp;A2574)</f>
        <v/>
      </c>
      <c r="N2574" s="2">
        <f>IF(M2574="","",SUMIFS(TF_Timer,TF_Nokkel,M2574,TF_Akt,C2574))</f>
        <v/>
      </c>
      <c r="O2574" s="2">
        <f>IF(M2574="","",IF(AND(N2574=_xlfn.MAXIFS(TF_AktSum,TF_Nokkel,M2574),COUNTIFS(M$3:M2573,M2574,N$3:N2573,N2574)=0),M2574,""))</f>
        <v/>
      </c>
    </row>
    <row r="2575">
      <c r="A2575" s="34" t="n"/>
      <c r="B2575" s="35" t="n"/>
      <c r="C2575" s="35" t="n"/>
      <c r="D2575" s="35" t="n"/>
      <c r="E2575" s="35" t="n"/>
      <c r="F2575" s="36" t="n"/>
      <c r="G2575" s="35" t="n"/>
      <c r="H2575" s="30">
        <f>IF(L2575="","",INDEX(SkiftNavn,L2575))</f>
        <v/>
      </c>
      <c r="I2575" s="30">
        <f>IF(OR(A2575="",L2575=""),"",IF(MOD(A2575-INDEX(SkiftStart,L2575),Syklus)&lt;DagK,"Kveld",IF(MOD(A2575-INDEX(SkiftStart,L2575),Syklus)&lt;DagK+DagH,"Helg",IF(MOD(A2575-INDEX(SkiftStart,L2575),Syklus)&lt;DagK+DagH+DagD,"Dag","Fri"))))</f>
        <v/>
      </c>
      <c r="J2575" s="30">
        <f>IF(I2575="Fri","Ja","")</f>
        <v/>
      </c>
      <c r="K2575" s="30">
        <f>IF(B2575="","",IF(L2575="","Ukjent tekniker",IF(ISNA(MATCH(C2575,Aktiviteter,0)),"Ukjent aktivitet",IF(AND(INDEX(AktRolle,MATCH(C2575,Aktiviteter,0))&amp;""&lt;&gt;"",ISERROR(SEARCH(INDEX(AktRolle,MATCH(C2575,Aktiviteter,0))&amp;"",INDEX(TekRoller,MATCH(B2575,Teknikere,0))))),"Mangler rollen "&amp;INDEX(AktRolle,MATCH(C2575,Aktiviteter,0))&amp;"",IF(AND(C2575="LMS",F2575&gt;0,OR(D2575="",E2575="")),"Mangler maskin eller arbeid",IF(AND(OR(C2575="LMS",C2575="Mod"),D2575&lt;&gt;""),IF(IFERROR(INDEX(MaskinStatus,MATCH(D2575,Maskiner,0)),"")="I dokk","","Maskinen er ikke i dokk"),""))))))</f>
        <v/>
      </c>
      <c r="L2575" s="2">
        <f>IF(B2575="","",IFERROR(INT((MATCH(B2575,Teknikere,0)-1)/18)+1,""))</f>
        <v/>
      </c>
      <c r="M2575" s="2">
        <f>IF(OR(A2575="",B2575=""),"",B2575&amp;"|"&amp;A2575)</f>
        <v/>
      </c>
      <c r="N2575" s="2">
        <f>IF(M2575="","",SUMIFS(TF_Timer,TF_Nokkel,M2575,TF_Akt,C2575))</f>
        <v/>
      </c>
      <c r="O2575" s="2">
        <f>IF(M2575="","",IF(AND(N2575=_xlfn.MAXIFS(TF_AktSum,TF_Nokkel,M2575),COUNTIFS(M$3:M2574,M2575,N$3:N2574,N2575)=0),M2575,""))</f>
        <v/>
      </c>
    </row>
    <row r="2576">
      <c r="A2576" s="34" t="n"/>
      <c r="B2576" s="35" t="n"/>
      <c r="C2576" s="35" t="n"/>
      <c r="D2576" s="35" t="n"/>
      <c r="E2576" s="35" t="n"/>
      <c r="F2576" s="36" t="n"/>
      <c r="G2576" s="35" t="n"/>
      <c r="H2576" s="30">
        <f>IF(L2576="","",INDEX(SkiftNavn,L2576))</f>
        <v/>
      </c>
      <c r="I2576" s="30">
        <f>IF(OR(A2576="",L2576=""),"",IF(MOD(A2576-INDEX(SkiftStart,L2576),Syklus)&lt;DagK,"Kveld",IF(MOD(A2576-INDEX(SkiftStart,L2576),Syklus)&lt;DagK+DagH,"Helg",IF(MOD(A2576-INDEX(SkiftStart,L2576),Syklus)&lt;DagK+DagH+DagD,"Dag","Fri"))))</f>
        <v/>
      </c>
      <c r="J2576" s="30">
        <f>IF(I2576="Fri","Ja","")</f>
        <v/>
      </c>
      <c r="K2576" s="30">
        <f>IF(B2576="","",IF(L2576="","Ukjent tekniker",IF(ISNA(MATCH(C2576,Aktiviteter,0)),"Ukjent aktivitet",IF(AND(INDEX(AktRolle,MATCH(C2576,Aktiviteter,0))&amp;""&lt;&gt;"",ISERROR(SEARCH(INDEX(AktRolle,MATCH(C2576,Aktiviteter,0))&amp;"",INDEX(TekRoller,MATCH(B2576,Teknikere,0))))),"Mangler rollen "&amp;INDEX(AktRolle,MATCH(C2576,Aktiviteter,0))&amp;"",IF(AND(C2576="LMS",F2576&gt;0,OR(D2576="",E2576="")),"Mangler maskin eller arbeid",IF(AND(OR(C2576="LMS",C2576="Mod"),D2576&lt;&gt;""),IF(IFERROR(INDEX(MaskinStatus,MATCH(D2576,Maskiner,0)),"")="I dokk","","Maskinen er ikke i dokk"),""))))))</f>
        <v/>
      </c>
      <c r="L2576" s="2">
        <f>IF(B2576="","",IFERROR(INT((MATCH(B2576,Teknikere,0)-1)/18)+1,""))</f>
        <v/>
      </c>
      <c r="M2576" s="2">
        <f>IF(OR(A2576="",B2576=""),"",B2576&amp;"|"&amp;A2576)</f>
        <v/>
      </c>
      <c r="N2576" s="2">
        <f>IF(M2576="","",SUMIFS(TF_Timer,TF_Nokkel,M2576,TF_Akt,C2576))</f>
        <v/>
      </c>
      <c r="O2576" s="2">
        <f>IF(M2576="","",IF(AND(N2576=_xlfn.MAXIFS(TF_AktSum,TF_Nokkel,M2576),COUNTIFS(M$3:M2575,M2576,N$3:N2575,N2576)=0),M2576,""))</f>
        <v/>
      </c>
    </row>
    <row r="2577">
      <c r="A2577" s="34" t="n"/>
      <c r="B2577" s="35" t="n"/>
      <c r="C2577" s="35" t="n"/>
      <c r="D2577" s="35" t="n"/>
      <c r="E2577" s="35" t="n"/>
      <c r="F2577" s="36" t="n"/>
      <c r="G2577" s="35" t="n"/>
      <c r="H2577" s="30">
        <f>IF(L2577="","",INDEX(SkiftNavn,L2577))</f>
        <v/>
      </c>
      <c r="I2577" s="30">
        <f>IF(OR(A2577="",L2577=""),"",IF(MOD(A2577-INDEX(SkiftStart,L2577),Syklus)&lt;DagK,"Kveld",IF(MOD(A2577-INDEX(SkiftStart,L2577),Syklus)&lt;DagK+DagH,"Helg",IF(MOD(A2577-INDEX(SkiftStart,L2577),Syklus)&lt;DagK+DagH+DagD,"Dag","Fri"))))</f>
        <v/>
      </c>
      <c r="J2577" s="30">
        <f>IF(I2577="Fri","Ja","")</f>
        <v/>
      </c>
      <c r="K2577" s="30">
        <f>IF(B2577="","",IF(L2577="","Ukjent tekniker",IF(ISNA(MATCH(C2577,Aktiviteter,0)),"Ukjent aktivitet",IF(AND(INDEX(AktRolle,MATCH(C2577,Aktiviteter,0))&amp;""&lt;&gt;"",ISERROR(SEARCH(INDEX(AktRolle,MATCH(C2577,Aktiviteter,0))&amp;"",INDEX(TekRoller,MATCH(B2577,Teknikere,0))))),"Mangler rollen "&amp;INDEX(AktRolle,MATCH(C2577,Aktiviteter,0))&amp;"",IF(AND(C2577="LMS",F2577&gt;0,OR(D2577="",E2577="")),"Mangler maskin eller arbeid",IF(AND(OR(C2577="LMS",C2577="Mod"),D2577&lt;&gt;""),IF(IFERROR(INDEX(MaskinStatus,MATCH(D2577,Maskiner,0)),"")="I dokk","","Maskinen er ikke i dokk"),""))))))</f>
        <v/>
      </c>
      <c r="L2577" s="2">
        <f>IF(B2577="","",IFERROR(INT((MATCH(B2577,Teknikere,0)-1)/18)+1,""))</f>
        <v/>
      </c>
      <c r="M2577" s="2">
        <f>IF(OR(A2577="",B2577=""),"",B2577&amp;"|"&amp;A2577)</f>
        <v/>
      </c>
      <c r="N2577" s="2">
        <f>IF(M2577="","",SUMIFS(TF_Timer,TF_Nokkel,M2577,TF_Akt,C2577))</f>
        <v/>
      </c>
      <c r="O2577" s="2">
        <f>IF(M2577="","",IF(AND(N2577=_xlfn.MAXIFS(TF_AktSum,TF_Nokkel,M2577),COUNTIFS(M$3:M2576,M2577,N$3:N2576,N2577)=0),M2577,""))</f>
        <v/>
      </c>
    </row>
    <row r="2578">
      <c r="A2578" s="34" t="n"/>
      <c r="B2578" s="35" t="n"/>
      <c r="C2578" s="35" t="n"/>
      <c r="D2578" s="35" t="n"/>
      <c r="E2578" s="35" t="n"/>
      <c r="F2578" s="36" t="n"/>
      <c r="G2578" s="35" t="n"/>
      <c r="H2578" s="30">
        <f>IF(L2578="","",INDEX(SkiftNavn,L2578))</f>
        <v/>
      </c>
      <c r="I2578" s="30">
        <f>IF(OR(A2578="",L2578=""),"",IF(MOD(A2578-INDEX(SkiftStart,L2578),Syklus)&lt;DagK,"Kveld",IF(MOD(A2578-INDEX(SkiftStart,L2578),Syklus)&lt;DagK+DagH,"Helg",IF(MOD(A2578-INDEX(SkiftStart,L2578),Syklus)&lt;DagK+DagH+DagD,"Dag","Fri"))))</f>
        <v/>
      </c>
      <c r="J2578" s="30">
        <f>IF(I2578="Fri","Ja","")</f>
        <v/>
      </c>
      <c r="K2578" s="30">
        <f>IF(B2578="","",IF(L2578="","Ukjent tekniker",IF(ISNA(MATCH(C2578,Aktiviteter,0)),"Ukjent aktivitet",IF(AND(INDEX(AktRolle,MATCH(C2578,Aktiviteter,0))&amp;""&lt;&gt;"",ISERROR(SEARCH(INDEX(AktRolle,MATCH(C2578,Aktiviteter,0))&amp;"",INDEX(TekRoller,MATCH(B2578,Teknikere,0))))),"Mangler rollen "&amp;INDEX(AktRolle,MATCH(C2578,Aktiviteter,0))&amp;"",IF(AND(C2578="LMS",F2578&gt;0,OR(D2578="",E2578="")),"Mangler maskin eller arbeid",IF(AND(OR(C2578="LMS",C2578="Mod"),D2578&lt;&gt;""),IF(IFERROR(INDEX(MaskinStatus,MATCH(D2578,Maskiner,0)),"")="I dokk","","Maskinen er ikke i dokk"),""))))))</f>
        <v/>
      </c>
      <c r="L2578" s="2">
        <f>IF(B2578="","",IFERROR(INT((MATCH(B2578,Teknikere,0)-1)/18)+1,""))</f>
        <v/>
      </c>
      <c r="M2578" s="2">
        <f>IF(OR(A2578="",B2578=""),"",B2578&amp;"|"&amp;A2578)</f>
        <v/>
      </c>
      <c r="N2578" s="2">
        <f>IF(M2578="","",SUMIFS(TF_Timer,TF_Nokkel,M2578,TF_Akt,C2578))</f>
        <v/>
      </c>
      <c r="O2578" s="2">
        <f>IF(M2578="","",IF(AND(N2578=_xlfn.MAXIFS(TF_AktSum,TF_Nokkel,M2578),COUNTIFS(M$3:M2577,M2578,N$3:N2577,N2578)=0),M2578,""))</f>
        <v/>
      </c>
    </row>
    <row r="2579">
      <c r="A2579" s="34" t="n"/>
      <c r="B2579" s="35" t="n"/>
      <c r="C2579" s="35" t="n"/>
      <c r="D2579" s="35" t="n"/>
      <c r="E2579" s="35" t="n"/>
      <c r="F2579" s="36" t="n"/>
      <c r="G2579" s="35" t="n"/>
      <c r="H2579" s="30">
        <f>IF(L2579="","",INDEX(SkiftNavn,L2579))</f>
        <v/>
      </c>
      <c r="I2579" s="30">
        <f>IF(OR(A2579="",L2579=""),"",IF(MOD(A2579-INDEX(SkiftStart,L2579),Syklus)&lt;DagK,"Kveld",IF(MOD(A2579-INDEX(SkiftStart,L2579),Syklus)&lt;DagK+DagH,"Helg",IF(MOD(A2579-INDEX(SkiftStart,L2579),Syklus)&lt;DagK+DagH+DagD,"Dag","Fri"))))</f>
        <v/>
      </c>
      <c r="J2579" s="30">
        <f>IF(I2579="Fri","Ja","")</f>
        <v/>
      </c>
      <c r="K2579" s="30">
        <f>IF(B2579="","",IF(L2579="","Ukjent tekniker",IF(ISNA(MATCH(C2579,Aktiviteter,0)),"Ukjent aktivitet",IF(AND(INDEX(AktRolle,MATCH(C2579,Aktiviteter,0))&amp;""&lt;&gt;"",ISERROR(SEARCH(INDEX(AktRolle,MATCH(C2579,Aktiviteter,0))&amp;"",INDEX(TekRoller,MATCH(B2579,Teknikere,0))))),"Mangler rollen "&amp;INDEX(AktRolle,MATCH(C2579,Aktiviteter,0))&amp;"",IF(AND(C2579="LMS",F2579&gt;0,OR(D2579="",E2579="")),"Mangler maskin eller arbeid",IF(AND(OR(C2579="LMS",C2579="Mod"),D2579&lt;&gt;""),IF(IFERROR(INDEX(MaskinStatus,MATCH(D2579,Maskiner,0)),"")="I dokk","","Maskinen er ikke i dokk"),""))))))</f>
        <v/>
      </c>
      <c r="L2579" s="2">
        <f>IF(B2579="","",IFERROR(INT((MATCH(B2579,Teknikere,0)-1)/18)+1,""))</f>
        <v/>
      </c>
      <c r="M2579" s="2">
        <f>IF(OR(A2579="",B2579=""),"",B2579&amp;"|"&amp;A2579)</f>
        <v/>
      </c>
      <c r="N2579" s="2">
        <f>IF(M2579="","",SUMIFS(TF_Timer,TF_Nokkel,M2579,TF_Akt,C2579))</f>
        <v/>
      </c>
      <c r="O2579" s="2">
        <f>IF(M2579="","",IF(AND(N2579=_xlfn.MAXIFS(TF_AktSum,TF_Nokkel,M2579),COUNTIFS(M$3:M2578,M2579,N$3:N2578,N2579)=0),M2579,""))</f>
        <v/>
      </c>
    </row>
    <row r="2580">
      <c r="A2580" s="34" t="n"/>
      <c r="B2580" s="35" t="n"/>
      <c r="C2580" s="35" t="n"/>
      <c r="D2580" s="35" t="n"/>
      <c r="E2580" s="35" t="n"/>
      <c r="F2580" s="36" t="n"/>
      <c r="G2580" s="35" t="n"/>
      <c r="H2580" s="30">
        <f>IF(L2580="","",INDEX(SkiftNavn,L2580))</f>
        <v/>
      </c>
      <c r="I2580" s="30">
        <f>IF(OR(A2580="",L2580=""),"",IF(MOD(A2580-INDEX(SkiftStart,L2580),Syklus)&lt;DagK,"Kveld",IF(MOD(A2580-INDEX(SkiftStart,L2580),Syklus)&lt;DagK+DagH,"Helg",IF(MOD(A2580-INDEX(SkiftStart,L2580),Syklus)&lt;DagK+DagH+DagD,"Dag","Fri"))))</f>
        <v/>
      </c>
      <c r="J2580" s="30">
        <f>IF(I2580="Fri","Ja","")</f>
        <v/>
      </c>
      <c r="K2580" s="30">
        <f>IF(B2580="","",IF(L2580="","Ukjent tekniker",IF(ISNA(MATCH(C2580,Aktiviteter,0)),"Ukjent aktivitet",IF(AND(INDEX(AktRolle,MATCH(C2580,Aktiviteter,0))&amp;""&lt;&gt;"",ISERROR(SEARCH(INDEX(AktRolle,MATCH(C2580,Aktiviteter,0))&amp;"",INDEX(TekRoller,MATCH(B2580,Teknikere,0))))),"Mangler rollen "&amp;INDEX(AktRolle,MATCH(C2580,Aktiviteter,0))&amp;"",IF(AND(C2580="LMS",F2580&gt;0,OR(D2580="",E2580="")),"Mangler maskin eller arbeid",IF(AND(OR(C2580="LMS",C2580="Mod"),D2580&lt;&gt;""),IF(IFERROR(INDEX(MaskinStatus,MATCH(D2580,Maskiner,0)),"")="I dokk","","Maskinen er ikke i dokk"),""))))))</f>
        <v/>
      </c>
      <c r="L2580" s="2">
        <f>IF(B2580="","",IFERROR(INT((MATCH(B2580,Teknikere,0)-1)/18)+1,""))</f>
        <v/>
      </c>
      <c r="M2580" s="2">
        <f>IF(OR(A2580="",B2580=""),"",B2580&amp;"|"&amp;A2580)</f>
        <v/>
      </c>
      <c r="N2580" s="2">
        <f>IF(M2580="","",SUMIFS(TF_Timer,TF_Nokkel,M2580,TF_Akt,C2580))</f>
        <v/>
      </c>
      <c r="O2580" s="2">
        <f>IF(M2580="","",IF(AND(N2580=_xlfn.MAXIFS(TF_AktSum,TF_Nokkel,M2580),COUNTIFS(M$3:M2579,M2580,N$3:N2579,N2580)=0),M2580,""))</f>
        <v/>
      </c>
    </row>
    <row r="2581">
      <c r="A2581" s="34" t="n"/>
      <c r="B2581" s="35" t="n"/>
      <c r="C2581" s="35" t="n"/>
      <c r="D2581" s="35" t="n"/>
      <c r="E2581" s="35" t="n"/>
      <c r="F2581" s="36" t="n"/>
      <c r="G2581" s="35" t="n"/>
      <c r="H2581" s="30">
        <f>IF(L2581="","",INDEX(SkiftNavn,L2581))</f>
        <v/>
      </c>
      <c r="I2581" s="30">
        <f>IF(OR(A2581="",L2581=""),"",IF(MOD(A2581-INDEX(SkiftStart,L2581),Syklus)&lt;DagK,"Kveld",IF(MOD(A2581-INDEX(SkiftStart,L2581),Syklus)&lt;DagK+DagH,"Helg",IF(MOD(A2581-INDEX(SkiftStart,L2581),Syklus)&lt;DagK+DagH+DagD,"Dag","Fri"))))</f>
        <v/>
      </c>
      <c r="J2581" s="30">
        <f>IF(I2581="Fri","Ja","")</f>
        <v/>
      </c>
      <c r="K2581" s="30">
        <f>IF(B2581="","",IF(L2581="","Ukjent tekniker",IF(ISNA(MATCH(C2581,Aktiviteter,0)),"Ukjent aktivitet",IF(AND(INDEX(AktRolle,MATCH(C2581,Aktiviteter,0))&amp;""&lt;&gt;"",ISERROR(SEARCH(INDEX(AktRolle,MATCH(C2581,Aktiviteter,0))&amp;"",INDEX(TekRoller,MATCH(B2581,Teknikere,0))))),"Mangler rollen "&amp;INDEX(AktRolle,MATCH(C2581,Aktiviteter,0))&amp;"",IF(AND(C2581="LMS",F2581&gt;0,OR(D2581="",E2581="")),"Mangler maskin eller arbeid",IF(AND(OR(C2581="LMS",C2581="Mod"),D2581&lt;&gt;""),IF(IFERROR(INDEX(MaskinStatus,MATCH(D2581,Maskiner,0)),"")="I dokk","","Maskinen er ikke i dokk"),""))))))</f>
        <v/>
      </c>
      <c r="L2581" s="2">
        <f>IF(B2581="","",IFERROR(INT((MATCH(B2581,Teknikere,0)-1)/18)+1,""))</f>
        <v/>
      </c>
      <c r="M2581" s="2">
        <f>IF(OR(A2581="",B2581=""),"",B2581&amp;"|"&amp;A2581)</f>
        <v/>
      </c>
      <c r="N2581" s="2">
        <f>IF(M2581="","",SUMIFS(TF_Timer,TF_Nokkel,M2581,TF_Akt,C2581))</f>
        <v/>
      </c>
      <c r="O2581" s="2">
        <f>IF(M2581="","",IF(AND(N2581=_xlfn.MAXIFS(TF_AktSum,TF_Nokkel,M2581),COUNTIFS(M$3:M2580,M2581,N$3:N2580,N2581)=0),M2581,""))</f>
        <v/>
      </c>
    </row>
    <row r="2582">
      <c r="A2582" s="34" t="n"/>
      <c r="B2582" s="35" t="n"/>
      <c r="C2582" s="35" t="n"/>
      <c r="D2582" s="35" t="n"/>
      <c r="E2582" s="35" t="n"/>
      <c r="F2582" s="36" t="n"/>
      <c r="G2582" s="35" t="n"/>
      <c r="H2582" s="30">
        <f>IF(L2582="","",INDEX(SkiftNavn,L2582))</f>
        <v/>
      </c>
      <c r="I2582" s="30">
        <f>IF(OR(A2582="",L2582=""),"",IF(MOD(A2582-INDEX(SkiftStart,L2582),Syklus)&lt;DagK,"Kveld",IF(MOD(A2582-INDEX(SkiftStart,L2582),Syklus)&lt;DagK+DagH,"Helg",IF(MOD(A2582-INDEX(SkiftStart,L2582),Syklus)&lt;DagK+DagH+DagD,"Dag","Fri"))))</f>
        <v/>
      </c>
      <c r="J2582" s="30">
        <f>IF(I2582="Fri","Ja","")</f>
        <v/>
      </c>
      <c r="K2582" s="30">
        <f>IF(B2582="","",IF(L2582="","Ukjent tekniker",IF(ISNA(MATCH(C2582,Aktiviteter,0)),"Ukjent aktivitet",IF(AND(INDEX(AktRolle,MATCH(C2582,Aktiviteter,0))&amp;""&lt;&gt;"",ISERROR(SEARCH(INDEX(AktRolle,MATCH(C2582,Aktiviteter,0))&amp;"",INDEX(TekRoller,MATCH(B2582,Teknikere,0))))),"Mangler rollen "&amp;INDEX(AktRolle,MATCH(C2582,Aktiviteter,0))&amp;"",IF(AND(C2582="LMS",F2582&gt;0,OR(D2582="",E2582="")),"Mangler maskin eller arbeid",IF(AND(OR(C2582="LMS",C2582="Mod"),D2582&lt;&gt;""),IF(IFERROR(INDEX(MaskinStatus,MATCH(D2582,Maskiner,0)),"")="I dokk","","Maskinen er ikke i dokk"),""))))))</f>
        <v/>
      </c>
      <c r="L2582" s="2">
        <f>IF(B2582="","",IFERROR(INT((MATCH(B2582,Teknikere,0)-1)/18)+1,""))</f>
        <v/>
      </c>
      <c r="M2582" s="2">
        <f>IF(OR(A2582="",B2582=""),"",B2582&amp;"|"&amp;A2582)</f>
        <v/>
      </c>
      <c r="N2582" s="2">
        <f>IF(M2582="","",SUMIFS(TF_Timer,TF_Nokkel,M2582,TF_Akt,C2582))</f>
        <v/>
      </c>
      <c r="O2582" s="2">
        <f>IF(M2582="","",IF(AND(N2582=_xlfn.MAXIFS(TF_AktSum,TF_Nokkel,M2582),COUNTIFS(M$3:M2581,M2582,N$3:N2581,N2582)=0),M2582,""))</f>
        <v/>
      </c>
    </row>
    <row r="2583">
      <c r="A2583" s="34" t="n"/>
      <c r="B2583" s="35" t="n"/>
      <c r="C2583" s="35" t="n"/>
      <c r="D2583" s="35" t="n"/>
      <c r="E2583" s="35" t="n"/>
      <c r="F2583" s="36" t="n"/>
      <c r="G2583" s="35" t="n"/>
      <c r="H2583" s="30">
        <f>IF(L2583="","",INDEX(SkiftNavn,L2583))</f>
        <v/>
      </c>
      <c r="I2583" s="30">
        <f>IF(OR(A2583="",L2583=""),"",IF(MOD(A2583-INDEX(SkiftStart,L2583),Syklus)&lt;DagK,"Kveld",IF(MOD(A2583-INDEX(SkiftStart,L2583),Syklus)&lt;DagK+DagH,"Helg",IF(MOD(A2583-INDEX(SkiftStart,L2583),Syklus)&lt;DagK+DagH+DagD,"Dag","Fri"))))</f>
        <v/>
      </c>
      <c r="J2583" s="30">
        <f>IF(I2583="Fri","Ja","")</f>
        <v/>
      </c>
      <c r="K2583" s="30">
        <f>IF(B2583="","",IF(L2583="","Ukjent tekniker",IF(ISNA(MATCH(C2583,Aktiviteter,0)),"Ukjent aktivitet",IF(AND(INDEX(AktRolle,MATCH(C2583,Aktiviteter,0))&amp;""&lt;&gt;"",ISERROR(SEARCH(INDEX(AktRolle,MATCH(C2583,Aktiviteter,0))&amp;"",INDEX(TekRoller,MATCH(B2583,Teknikere,0))))),"Mangler rollen "&amp;INDEX(AktRolle,MATCH(C2583,Aktiviteter,0))&amp;"",IF(AND(C2583="LMS",F2583&gt;0,OR(D2583="",E2583="")),"Mangler maskin eller arbeid",IF(AND(OR(C2583="LMS",C2583="Mod"),D2583&lt;&gt;""),IF(IFERROR(INDEX(MaskinStatus,MATCH(D2583,Maskiner,0)),"")="I dokk","","Maskinen er ikke i dokk"),""))))))</f>
        <v/>
      </c>
      <c r="L2583" s="2">
        <f>IF(B2583="","",IFERROR(INT((MATCH(B2583,Teknikere,0)-1)/18)+1,""))</f>
        <v/>
      </c>
      <c r="M2583" s="2">
        <f>IF(OR(A2583="",B2583=""),"",B2583&amp;"|"&amp;A2583)</f>
        <v/>
      </c>
      <c r="N2583" s="2">
        <f>IF(M2583="","",SUMIFS(TF_Timer,TF_Nokkel,M2583,TF_Akt,C2583))</f>
        <v/>
      </c>
      <c r="O2583" s="2">
        <f>IF(M2583="","",IF(AND(N2583=_xlfn.MAXIFS(TF_AktSum,TF_Nokkel,M2583),COUNTIFS(M$3:M2582,M2583,N$3:N2582,N2583)=0),M2583,""))</f>
        <v/>
      </c>
    </row>
    <row r="2584">
      <c r="A2584" s="34" t="n"/>
      <c r="B2584" s="35" t="n"/>
      <c r="C2584" s="35" t="n"/>
      <c r="D2584" s="35" t="n"/>
      <c r="E2584" s="35" t="n"/>
      <c r="F2584" s="36" t="n"/>
      <c r="G2584" s="35" t="n"/>
      <c r="H2584" s="30">
        <f>IF(L2584="","",INDEX(SkiftNavn,L2584))</f>
        <v/>
      </c>
      <c r="I2584" s="30">
        <f>IF(OR(A2584="",L2584=""),"",IF(MOD(A2584-INDEX(SkiftStart,L2584),Syklus)&lt;DagK,"Kveld",IF(MOD(A2584-INDEX(SkiftStart,L2584),Syklus)&lt;DagK+DagH,"Helg",IF(MOD(A2584-INDEX(SkiftStart,L2584),Syklus)&lt;DagK+DagH+DagD,"Dag","Fri"))))</f>
        <v/>
      </c>
      <c r="J2584" s="30">
        <f>IF(I2584="Fri","Ja","")</f>
        <v/>
      </c>
      <c r="K2584" s="30">
        <f>IF(B2584="","",IF(L2584="","Ukjent tekniker",IF(ISNA(MATCH(C2584,Aktiviteter,0)),"Ukjent aktivitet",IF(AND(INDEX(AktRolle,MATCH(C2584,Aktiviteter,0))&amp;""&lt;&gt;"",ISERROR(SEARCH(INDEX(AktRolle,MATCH(C2584,Aktiviteter,0))&amp;"",INDEX(TekRoller,MATCH(B2584,Teknikere,0))))),"Mangler rollen "&amp;INDEX(AktRolle,MATCH(C2584,Aktiviteter,0))&amp;"",IF(AND(C2584="LMS",F2584&gt;0,OR(D2584="",E2584="")),"Mangler maskin eller arbeid",IF(AND(OR(C2584="LMS",C2584="Mod"),D2584&lt;&gt;""),IF(IFERROR(INDEX(MaskinStatus,MATCH(D2584,Maskiner,0)),"")="I dokk","","Maskinen er ikke i dokk"),""))))))</f>
        <v/>
      </c>
      <c r="L2584" s="2">
        <f>IF(B2584="","",IFERROR(INT((MATCH(B2584,Teknikere,0)-1)/18)+1,""))</f>
        <v/>
      </c>
      <c r="M2584" s="2">
        <f>IF(OR(A2584="",B2584=""),"",B2584&amp;"|"&amp;A2584)</f>
        <v/>
      </c>
      <c r="N2584" s="2">
        <f>IF(M2584="","",SUMIFS(TF_Timer,TF_Nokkel,M2584,TF_Akt,C2584))</f>
        <v/>
      </c>
      <c r="O2584" s="2">
        <f>IF(M2584="","",IF(AND(N2584=_xlfn.MAXIFS(TF_AktSum,TF_Nokkel,M2584),COUNTIFS(M$3:M2583,M2584,N$3:N2583,N2584)=0),M2584,""))</f>
        <v/>
      </c>
    </row>
    <row r="2585">
      <c r="A2585" s="34" t="n"/>
      <c r="B2585" s="35" t="n"/>
      <c r="C2585" s="35" t="n"/>
      <c r="D2585" s="35" t="n"/>
      <c r="E2585" s="35" t="n"/>
      <c r="F2585" s="36" t="n"/>
      <c r="G2585" s="35" t="n"/>
      <c r="H2585" s="30">
        <f>IF(L2585="","",INDEX(SkiftNavn,L2585))</f>
        <v/>
      </c>
      <c r="I2585" s="30">
        <f>IF(OR(A2585="",L2585=""),"",IF(MOD(A2585-INDEX(SkiftStart,L2585),Syklus)&lt;DagK,"Kveld",IF(MOD(A2585-INDEX(SkiftStart,L2585),Syklus)&lt;DagK+DagH,"Helg",IF(MOD(A2585-INDEX(SkiftStart,L2585),Syklus)&lt;DagK+DagH+DagD,"Dag","Fri"))))</f>
        <v/>
      </c>
      <c r="J2585" s="30">
        <f>IF(I2585="Fri","Ja","")</f>
        <v/>
      </c>
      <c r="K2585" s="30">
        <f>IF(B2585="","",IF(L2585="","Ukjent tekniker",IF(ISNA(MATCH(C2585,Aktiviteter,0)),"Ukjent aktivitet",IF(AND(INDEX(AktRolle,MATCH(C2585,Aktiviteter,0))&amp;""&lt;&gt;"",ISERROR(SEARCH(INDEX(AktRolle,MATCH(C2585,Aktiviteter,0))&amp;"",INDEX(TekRoller,MATCH(B2585,Teknikere,0))))),"Mangler rollen "&amp;INDEX(AktRolle,MATCH(C2585,Aktiviteter,0))&amp;"",IF(AND(C2585="LMS",F2585&gt;0,OR(D2585="",E2585="")),"Mangler maskin eller arbeid",IF(AND(OR(C2585="LMS",C2585="Mod"),D2585&lt;&gt;""),IF(IFERROR(INDEX(MaskinStatus,MATCH(D2585,Maskiner,0)),"")="I dokk","","Maskinen er ikke i dokk"),""))))))</f>
        <v/>
      </c>
      <c r="L2585" s="2">
        <f>IF(B2585="","",IFERROR(INT((MATCH(B2585,Teknikere,0)-1)/18)+1,""))</f>
        <v/>
      </c>
      <c r="M2585" s="2">
        <f>IF(OR(A2585="",B2585=""),"",B2585&amp;"|"&amp;A2585)</f>
        <v/>
      </c>
      <c r="N2585" s="2">
        <f>IF(M2585="","",SUMIFS(TF_Timer,TF_Nokkel,M2585,TF_Akt,C2585))</f>
        <v/>
      </c>
      <c r="O2585" s="2">
        <f>IF(M2585="","",IF(AND(N2585=_xlfn.MAXIFS(TF_AktSum,TF_Nokkel,M2585),COUNTIFS(M$3:M2584,M2585,N$3:N2584,N2585)=0),M2585,""))</f>
        <v/>
      </c>
    </row>
    <row r="2586">
      <c r="A2586" s="34" t="n"/>
      <c r="B2586" s="35" t="n"/>
      <c r="C2586" s="35" t="n"/>
      <c r="D2586" s="35" t="n"/>
      <c r="E2586" s="35" t="n"/>
      <c r="F2586" s="36" t="n"/>
      <c r="G2586" s="35" t="n"/>
      <c r="H2586" s="30">
        <f>IF(L2586="","",INDEX(SkiftNavn,L2586))</f>
        <v/>
      </c>
      <c r="I2586" s="30">
        <f>IF(OR(A2586="",L2586=""),"",IF(MOD(A2586-INDEX(SkiftStart,L2586),Syklus)&lt;DagK,"Kveld",IF(MOD(A2586-INDEX(SkiftStart,L2586),Syklus)&lt;DagK+DagH,"Helg",IF(MOD(A2586-INDEX(SkiftStart,L2586),Syklus)&lt;DagK+DagH+DagD,"Dag","Fri"))))</f>
        <v/>
      </c>
      <c r="J2586" s="30">
        <f>IF(I2586="Fri","Ja","")</f>
        <v/>
      </c>
      <c r="K2586" s="30">
        <f>IF(B2586="","",IF(L2586="","Ukjent tekniker",IF(ISNA(MATCH(C2586,Aktiviteter,0)),"Ukjent aktivitet",IF(AND(INDEX(AktRolle,MATCH(C2586,Aktiviteter,0))&amp;""&lt;&gt;"",ISERROR(SEARCH(INDEX(AktRolle,MATCH(C2586,Aktiviteter,0))&amp;"",INDEX(TekRoller,MATCH(B2586,Teknikere,0))))),"Mangler rollen "&amp;INDEX(AktRolle,MATCH(C2586,Aktiviteter,0))&amp;"",IF(AND(C2586="LMS",F2586&gt;0,OR(D2586="",E2586="")),"Mangler maskin eller arbeid",IF(AND(OR(C2586="LMS",C2586="Mod"),D2586&lt;&gt;""),IF(IFERROR(INDEX(MaskinStatus,MATCH(D2586,Maskiner,0)),"")="I dokk","","Maskinen er ikke i dokk"),""))))))</f>
        <v/>
      </c>
      <c r="L2586" s="2">
        <f>IF(B2586="","",IFERROR(INT((MATCH(B2586,Teknikere,0)-1)/18)+1,""))</f>
        <v/>
      </c>
      <c r="M2586" s="2">
        <f>IF(OR(A2586="",B2586=""),"",B2586&amp;"|"&amp;A2586)</f>
        <v/>
      </c>
      <c r="N2586" s="2">
        <f>IF(M2586="","",SUMIFS(TF_Timer,TF_Nokkel,M2586,TF_Akt,C2586))</f>
        <v/>
      </c>
      <c r="O2586" s="2">
        <f>IF(M2586="","",IF(AND(N2586=_xlfn.MAXIFS(TF_AktSum,TF_Nokkel,M2586),COUNTIFS(M$3:M2585,M2586,N$3:N2585,N2586)=0),M2586,""))</f>
        <v/>
      </c>
    </row>
    <row r="2587">
      <c r="A2587" s="34" t="n"/>
      <c r="B2587" s="35" t="n"/>
      <c r="C2587" s="35" t="n"/>
      <c r="D2587" s="35" t="n"/>
      <c r="E2587" s="35" t="n"/>
      <c r="F2587" s="36" t="n"/>
      <c r="G2587" s="35" t="n"/>
      <c r="H2587" s="30">
        <f>IF(L2587="","",INDEX(SkiftNavn,L2587))</f>
        <v/>
      </c>
      <c r="I2587" s="30">
        <f>IF(OR(A2587="",L2587=""),"",IF(MOD(A2587-INDEX(SkiftStart,L2587),Syklus)&lt;DagK,"Kveld",IF(MOD(A2587-INDEX(SkiftStart,L2587),Syklus)&lt;DagK+DagH,"Helg",IF(MOD(A2587-INDEX(SkiftStart,L2587),Syklus)&lt;DagK+DagH+DagD,"Dag","Fri"))))</f>
        <v/>
      </c>
      <c r="J2587" s="30">
        <f>IF(I2587="Fri","Ja","")</f>
        <v/>
      </c>
      <c r="K2587" s="30">
        <f>IF(B2587="","",IF(L2587="","Ukjent tekniker",IF(ISNA(MATCH(C2587,Aktiviteter,0)),"Ukjent aktivitet",IF(AND(INDEX(AktRolle,MATCH(C2587,Aktiviteter,0))&amp;""&lt;&gt;"",ISERROR(SEARCH(INDEX(AktRolle,MATCH(C2587,Aktiviteter,0))&amp;"",INDEX(TekRoller,MATCH(B2587,Teknikere,0))))),"Mangler rollen "&amp;INDEX(AktRolle,MATCH(C2587,Aktiviteter,0))&amp;"",IF(AND(C2587="LMS",F2587&gt;0,OR(D2587="",E2587="")),"Mangler maskin eller arbeid",IF(AND(OR(C2587="LMS",C2587="Mod"),D2587&lt;&gt;""),IF(IFERROR(INDEX(MaskinStatus,MATCH(D2587,Maskiner,0)),"")="I dokk","","Maskinen er ikke i dokk"),""))))))</f>
        <v/>
      </c>
      <c r="L2587" s="2">
        <f>IF(B2587="","",IFERROR(INT((MATCH(B2587,Teknikere,0)-1)/18)+1,""))</f>
        <v/>
      </c>
      <c r="M2587" s="2">
        <f>IF(OR(A2587="",B2587=""),"",B2587&amp;"|"&amp;A2587)</f>
        <v/>
      </c>
      <c r="N2587" s="2">
        <f>IF(M2587="","",SUMIFS(TF_Timer,TF_Nokkel,M2587,TF_Akt,C2587))</f>
        <v/>
      </c>
      <c r="O2587" s="2">
        <f>IF(M2587="","",IF(AND(N2587=_xlfn.MAXIFS(TF_AktSum,TF_Nokkel,M2587),COUNTIFS(M$3:M2586,M2587,N$3:N2586,N2587)=0),M2587,""))</f>
        <v/>
      </c>
    </row>
    <row r="2588">
      <c r="A2588" s="34" t="n"/>
      <c r="B2588" s="35" t="n"/>
      <c r="C2588" s="35" t="n"/>
      <c r="D2588" s="35" t="n"/>
      <c r="E2588" s="35" t="n"/>
      <c r="F2588" s="36" t="n"/>
      <c r="G2588" s="35" t="n"/>
      <c r="H2588" s="30">
        <f>IF(L2588="","",INDEX(SkiftNavn,L2588))</f>
        <v/>
      </c>
      <c r="I2588" s="30">
        <f>IF(OR(A2588="",L2588=""),"",IF(MOD(A2588-INDEX(SkiftStart,L2588),Syklus)&lt;DagK,"Kveld",IF(MOD(A2588-INDEX(SkiftStart,L2588),Syklus)&lt;DagK+DagH,"Helg",IF(MOD(A2588-INDEX(SkiftStart,L2588),Syklus)&lt;DagK+DagH+DagD,"Dag","Fri"))))</f>
        <v/>
      </c>
      <c r="J2588" s="30">
        <f>IF(I2588="Fri","Ja","")</f>
        <v/>
      </c>
      <c r="K2588" s="30">
        <f>IF(B2588="","",IF(L2588="","Ukjent tekniker",IF(ISNA(MATCH(C2588,Aktiviteter,0)),"Ukjent aktivitet",IF(AND(INDEX(AktRolle,MATCH(C2588,Aktiviteter,0))&amp;""&lt;&gt;"",ISERROR(SEARCH(INDEX(AktRolle,MATCH(C2588,Aktiviteter,0))&amp;"",INDEX(TekRoller,MATCH(B2588,Teknikere,0))))),"Mangler rollen "&amp;INDEX(AktRolle,MATCH(C2588,Aktiviteter,0))&amp;"",IF(AND(C2588="LMS",F2588&gt;0,OR(D2588="",E2588="")),"Mangler maskin eller arbeid",IF(AND(OR(C2588="LMS",C2588="Mod"),D2588&lt;&gt;""),IF(IFERROR(INDEX(MaskinStatus,MATCH(D2588,Maskiner,0)),"")="I dokk","","Maskinen er ikke i dokk"),""))))))</f>
        <v/>
      </c>
      <c r="L2588" s="2">
        <f>IF(B2588="","",IFERROR(INT((MATCH(B2588,Teknikere,0)-1)/18)+1,""))</f>
        <v/>
      </c>
      <c r="M2588" s="2">
        <f>IF(OR(A2588="",B2588=""),"",B2588&amp;"|"&amp;A2588)</f>
        <v/>
      </c>
      <c r="N2588" s="2">
        <f>IF(M2588="","",SUMIFS(TF_Timer,TF_Nokkel,M2588,TF_Akt,C2588))</f>
        <v/>
      </c>
      <c r="O2588" s="2">
        <f>IF(M2588="","",IF(AND(N2588=_xlfn.MAXIFS(TF_AktSum,TF_Nokkel,M2588),COUNTIFS(M$3:M2587,M2588,N$3:N2587,N2588)=0),M2588,""))</f>
        <v/>
      </c>
    </row>
    <row r="2589">
      <c r="A2589" s="34" t="n"/>
      <c r="B2589" s="35" t="n"/>
      <c r="C2589" s="35" t="n"/>
      <c r="D2589" s="35" t="n"/>
      <c r="E2589" s="35" t="n"/>
      <c r="F2589" s="36" t="n"/>
      <c r="G2589" s="35" t="n"/>
      <c r="H2589" s="30">
        <f>IF(L2589="","",INDEX(SkiftNavn,L2589))</f>
        <v/>
      </c>
      <c r="I2589" s="30">
        <f>IF(OR(A2589="",L2589=""),"",IF(MOD(A2589-INDEX(SkiftStart,L2589),Syklus)&lt;DagK,"Kveld",IF(MOD(A2589-INDEX(SkiftStart,L2589),Syklus)&lt;DagK+DagH,"Helg",IF(MOD(A2589-INDEX(SkiftStart,L2589),Syklus)&lt;DagK+DagH+DagD,"Dag","Fri"))))</f>
        <v/>
      </c>
      <c r="J2589" s="30">
        <f>IF(I2589="Fri","Ja","")</f>
        <v/>
      </c>
      <c r="K2589" s="30">
        <f>IF(B2589="","",IF(L2589="","Ukjent tekniker",IF(ISNA(MATCH(C2589,Aktiviteter,0)),"Ukjent aktivitet",IF(AND(INDEX(AktRolle,MATCH(C2589,Aktiviteter,0))&amp;""&lt;&gt;"",ISERROR(SEARCH(INDEX(AktRolle,MATCH(C2589,Aktiviteter,0))&amp;"",INDEX(TekRoller,MATCH(B2589,Teknikere,0))))),"Mangler rollen "&amp;INDEX(AktRolle,MATCH(C2589,Aktiviteter,0))&amp;"",IF(AND(C2589="LMS",F2589&gt;0,OR(D2589="",E2589="")),"Mangler maskin eller arbeid",IF(AND(OR(C2589="LMS",C2589="Mod"),D2589&lt;&gt;""),IF(IFERROR(INDEX(MaskinStatus,MATCH(D2589,Maskiner,0)),"")="I dokk","","Maskinen er ikke i dokk"),""))))))</f>
        <v/>
      </c>
      <c r="L2589" s="2">
        <f>IF(B2589="","",IFERROR(INT((MATCH(B2589,Teknikere,0)-1)/18)+1,""))</f>
        <v/>
      </c>
      <c r="M2589" s="2">
        <f>IF(OR(A2589="",B2589=""),"",B2589&amp;"|"&amp;A2589)</f>
        <v/>
      </c>
      <c r="N2589" s="2">
        <f>IF(M2589="","",SUMIFS(TF_Timer,TF_Nokkel,M2589,TF_Akt,C2589))</f>
        <v/>
      </c>
      <c r="O2589" s="2">
        <f>IF(M2589="","",IF(AND(N2589=_xlfn.MAXIFS(TF_AktSum,TF_Nokkel,M2589),COUNTIFS(M$3:M2588,M2589,N$3:N2588,N2589)=0),M2589,""))</f>
        <v/>
      </c>
    </row>
    <row r="2590">
      <c r="A2590" s="34" t="n"/>
      <c r="B2590" s="35" t="n"/>
      <c r="C2590" s="35" t="n"/>
      <c r="D2590" s="35" t="n"/>
      <c r="E2590" s="35" t="n"/>
      <c r="F2590" s="36" t="n"/>
      <c r="G2590" s="35" t="n"/>
      <c r="H2590" s="30">
        <f>IF(L2590="","",INDEX(SkiftNavn,L2590))</f>
        <v/>
      </c>
      <c r="I2590" s="30">
        <f>IF(OR(A2590="",L2590=""),"",IF(MOD(A2590-INDEX(SkiftStart,L2590),Syklus)&lt;DagK,"Kveld",IF(MOD(A2590-INDEX(SkiftStart,L2590),Syklus)&lt;DagK+DagH,"Helg",IF(MOD(A2590-INDEX(SkiftStart,L2590),Syklus)&lt;DagK+DagH+DagD,"Dag","Fri"))))</f>
        <v/>
      </c>
      <c r="J2590" s="30">
        <f>IF(I2590="Fri","Ja","")</f>
        <v/>
      </c>
      <c r="K2590" s="30">
        <f>IF(B2590="","",IF(L2590="","Ukjent tekniker",IF(ISNA(MATCH(C2590,Aktiviteter,0)),"Ukjent aktivitet",IF(AND(INDEX(AktRolle,MATCH(C2590,Aktiviteter,0))&amp;""&lt;&gt;"",ISERROR(SEARCH(INDEX(AktRolle,MATCH(C2590,Aktiviteter,0))&amp;"",INDEX(TekRoller,MATCH(B2590,Teknikere,0))))),"Mangler rollen "&amp;INDEX(AktRolle,MATCH(C2590,Aktiviteter,0))&amp;"",IF(AND(C2590="LMS",F2590&gt;0,OR(D2590="",E2590="")),"Mangler maskin eller arbeid",IF(AND(OR(C2590="LMS",C2590="Mod"),D2590&lt;&gt;""),IF(IFERROR(INDEX(MaskinStatus,MATCH(D2590,Maskiner,0)),"")="I dokk","","Maskinen er ikke i dokk"),""))))))</f>
        <v/>
      </c>
      <c r="L2590" s="2">
        <f>IF(B2590="","",IFERROR(INT((MATCH(B2590,Teknikere,0)-1)/18)+1,""))</f>
        <v/>
      </c>
      <c r="M2590" s="2">
        <f>IF(OR(A2590="",B2590=""),"",B2590&amp;"|"&amp;A2590)</f>
        <v/>
      </c>
      <c r="N2590" s="2">
        <f>IF(M2590="","",SUMIFS(TF_Timer,TF_Nokkel,M2590,TF_Akt,C2590))</f>
        <v/>
      </c>
      <c r="O2590" s="2">
        <f>IF(M2590="","",IF(AND(N2590=_xlfn.MAXIFS(TF_AktSum,TF_Nokkel,M2590),COUNTIFS(M$3:M2589,M2590,N$3:N2589,N2590)=0),M2590,""))</f>
        <v/>
      </c>
    </row>
    <row r="2591">
      <c r="A2591" s="34" t="n"/>
      <c r="B2591" s="35" t="n"/>
      <c r="C2591" s="35" t="n"/>
      <c r="D2591" s="35" t="n"/>
      <c r="E2591" s="35" t="n"/>
      <c r="F2591" s="36" t="n"/>
      <c r="G2591" s="35" t="n"/>
      <c r="H2591" s="30">
        <f>IF(L2591="","",INDEX(SkiftNavn,L2591))</f>
        <v/>
      </c>
      <c r="I2591" s="30">
        <f>IF(OR(A2591="",L2591=""),"",IF(MOD(A2591-INDEX(SkiftStart,L2591),Syklus)&lt;DagK,"Kveld",IF(MOD(A2591-INDEX(SkiftStart,L2591),Syklus)&lt;DagK+DagH,"Helg",IF(MOD(A2591-INDEX(SkiftStart,L2591),Syklus)&lt;DagK+DagH+DagD,"Dag","Fri"))))</f>
        <v/>
      </c>
      <c r="J2591" s="30">
        <f>IF(I2591="Fri","Ja","")</f>
        <v/>
      </c>
      <c r="K2591" s="30">
        <f>IF(B2591="","",IF(L2591="","Ukjent tekniker",IF(ISNA(MATCH(C2591,Aktiviteter,0)),"Ukjent aktivitet",IF(AND(INDEX(AktRolle,MATCH(C2591,Aktiviteter,0))&amp;""&lt;&gt;"",ISERROR(SEARCH(INDEX(AktRolle,MATCH(C2591,Aktiviteter,0))&amp;"",INDEX(TekRoller,MATCH(B2591,Teknikere,0))))),"Mangler rollen "&amp;INDEX(AktRolle,MATCH(C2591,Aktiviteter,0))&amp;"",IF(AND(C2591="LMS",F2591&gt;0,OR(D2591="",E2591="")),"Mangler maskin eller arbeid",IF(AND(OR(C2591="LMS",C2591="Mod"),D2591&lt;&gt;""),IF(IFERROR(INDEX(MaskinStatus,MATCH(D2591,Maskiner,0)),"")="I dokk","","Maskinen er ikke i dokk"),""))))))</f>
        <v/>
      </c>
      <c r="L2591" s="2">
        <f>IF(B2591="","",IFERROR(INT((MATCH(B2591,Teknikere,0)-1)/18)+1,""))</f>
        <v/>
      </c>
      <c r="M2591" s="2">
        <f>IF(OR(A2591="",B2591=""),"",B2591&amp;"|"&amp;A2591)</f>
        <v/>
      </c>
      <c r="N2591" s="2">
        <f>IF(M2591="","",SUMIFS(TF_Timer,TF_Nokkel,M2591,TF_Akt,C2591))</f>
        <v/>
      </c>
      <c r="O2591" s="2">
        <f>IF(M2591="","",IF(AND(N2591=_xlfn.MAXIFS(TF_AktSum,TF_Nokkel,M2591),COUNTIFS(M$3:M2590,M2591,N$3:N2590,N2591)=0),M2591,""))</f>
        <v/>
      </c>
    </row>
    <row r="2592">
      <c r="A2592" s="34" t="n"/>
      <c r="B2592" s="35" t="n"/>
      <c r="C2592" s="35" t="n"/>
      <c r="D2592" s="35" t="n"/>
      <c r="E2592" s="35" t="n"/>
      <c r="F2592" s="36" t="n"/>
      <c r="G2592" s="35" t="n"/>
      <c r="H2592" s="30">
        <f>IF(L2592="","",INDEX(SkiftNavn,L2592))</f>
        <v/>
      </c>
      <c r="I2592" s="30">
        <f>IF(OR(A2592="",L2592=""),"",IF(MOD(A2592-INDEX(SkiftStart,L2592),Syklus)&lt;DagK,"Kveld",IF(MOD(A2592-INDEX(SkiftStart,L2592),Syklus)&lt;DagK+DagH,"Helg",IF(MOD(A2592-INDEX(SkiftStart,L2592),Syklus)&lt;DagK+DagH+DagD,"Dag","Fri"))))</f>
        <v/>
      </c>
      <c r="J2592" s="30">
        <f>IF(I2592="Fri","Ja","")</f>
        <v/>
      </c>
      <c r="K2592" s="30">
        <f>IF(B2592="","",IF(L2592="","Ukjent tekniker",IF(ISNA(MATCH(C2592,Aktiviteter,0)),"Ukjent aktivitet",IF(AND(INDEX(AktRolle,MATCH(C2592,Aktiviteter,0))&amp;""&lt;&gt;"",ISERROR(SEARCH(INDEX(AktRolle,MATCH(C2592,Aktiviteter,0))&amp;"",INDEX(TekRoller,MATCH(B2592,Teknikere,0))))),"Mangler rollen "&amp;INDEX(AktRolle,MATCH(C2592,Aktiviteter,0))&amp;"",IF(AND(C2592="LMS",F2592&gt;0,OR(D2592="",E2592="")),"Mangler maskin eller arbeid",IF(AND(OR(C2592="LMS",C2592="Mod"),D2592&lt;&gt;""),IF(IFERROR(INDEX(MaskinStatus,MATCH(D2592,Maskiner,0)),"")="I dokk","","Maskinen er ikke i dokk"),""))))))</f>
        <v/>
      </c>
      <c r="L2592" s="2">
        <f>IF(B2592="","",IFERROR(INT((MATCH(B2592,Teknikere,0)-1)/18)+1,""))</f>
        <v/>
      </c>
      <c r="M2592" s="2">
        <f>IF(OR(A2592="",B2592=""),"",B2592&amp;"|"&amp;A2592)</f>
        <v/>
      </c>
      <c r="N2592" s="2">
        <f>IF(M2592="","",SUMIFS(TF_Timer,TF_Nokkel,M2592,TF_Akt,C2592))</f>
        <v/>
      </c>
      <c r="O2592" s="2">
        <f>IF(M2592="","",IF(AND(N2592=_xlfn.MAXIFS(TF_AktSum,TF_Nokkel,M2592),COUNTIFS(M$3:M2591,M2592,N$3:N2591,N2592)=0),M2592,""))</f>
        <v/>
      </c>
    </row>
    <row r="2593">
      <c r="A2593" s="34" t="n"/>
      <c r="B2593" s="35" t="n"/>
      <c r="C2593" s="35" t="n"/>
      <c r="D2593" s="35" t="n"/>
      <c r="E2593" s="35" t="n"/>
      <c r="F2593" s="36" t="n"/>
      <c r="G2593" s="35" t="n"/>
      <c r="H2593" s="30">
        <f>IF(L2593="","",INDEX(SkiftNavn,L2593))</f>
        <v/>
      </c>
      <c r="I2593" s="30">
        <f>IF(OR(A2593="",L2593=""),"",IF(MOD(A2593-INDEX(SkiftStart,L2593),Syklus)&lt;DagK,"Kveld",IF(MOD(A2593-INDEX(SkiftStart,L2593),Syklus)&lt;DagK+DagH,"Helg",IF(MOD(A2593-INDEX(SkiftStart,L2593),Syklus)&lt;DagK+DagH+DagD,"Dag","Fri"))))</f>
        <v/>
      </c>
      <c r="J2593" s="30">
        <f>IF(I2593="Fri","Ja","")</f>
        <v/>
      </c>
      <c r="K2593" s="30">
        <f>IF(B2593="","",IF(L2593="","Ukjent tekniker",IF(ISNA(MATCH(C2593,Aktiviteter,0)),"Ukjent aktivitet",IF(AND(INDEX(AktRolle,MATCH(C2593,Aktiviteter,0))&amp;""&lt;&gt;"",ISERROR(SEARCH(INDEX(AktRolle,MATCH(C2593,Aktiviteter,0))&amp;"",INDEX(TekRoller,MATCH(B2593,Teknikere,0))))),"Mangler rollen "&amp;INDEX(AktRolle,MATCH(C2593,Aktiviteter,0))&amp;"",IF(AND(C2593="LMS",F2593&gt;0,OR(D2593="",E2593="")),"Mangler maskin eller arbeid",IF(AND(OR(C2593="LMS",C2593="Mod"),D2593&lt;&gt;""),IF(IFERROR(INDEX(MaskinStatus,MATCH(D2593,Maskiner,0)),"")="I dokk","","Maskinen er ikke i dokk"),""))))))</f>
        <v/>
      </c>
      <c r="L2593" s="2">
        <f>IF(B2593="","",IFERROR(INT((MATCH(B2593,Teknikere,0)-1)/18)+1,""))</f>
        <v/>
      </c>
      <c r="M2593" s="2">
        <f>IF(OR(A2593="",B2593=""),"",B2593&amp;"|"&amp;A2593)</f>
        <v/>
      </c>
      <c r="N2593" s="2">
        <f>IF(M2593="","",SUMIFS(TF_Timer,TF_Nokkel,M2593,TF_Akt,C2593))</f>
        <v/>
      </c>
      <c r="O2593" s="2">
        <f>IF(M2593="","",IF(AND(N2593=_xlfn.MAXIFS(TF_AktSum,TF_Nokkel,M2593),COUNTIFS(M$3:M2592,M2593,N$3:N2592,N2593)=0),M2593,""))</f>
        <v/>
      </c>
    </row>
    <row r="2594">
      <c r="A2594" s="34" t="n"/>
      <c r="B2594" s="35" t="n"/>
      <c r="C2594" s="35" t="n"/>
      <c r="D2594" s="35" t="n"/>
      <c r="E2594" s="35" t="n"/>
      <c r="F2594" s="36" t="n"/>
      <c r="G2594" s="35" t="n"/>
      <c r="H2594" s="30">
        <f>IF(L2594="","",INDEX(SkiftNavn,L2594))</f>
        <v/>
      </c>
      <c r="I2594" s="30">
        <f>IF(OR(A2594="",L2594=""),"",IF(MOD(A2594-INDEX(SkiftStart,L2594),Syklus)&lt;DagK,"Kveld",IF(MOD(A2594-INDEX(SkiftStart,L2594),Syklus)&lt;DagK+DagH,"Helg",IF(MOD(A2594-INDEX(SkiftStart,L2594),Syklus)&lt;DagK+DagH+DagD,"Dag","Fri"))))</f>
        <v/>
      </c>
      <c r="J2594" s="30">
        <f>IF(I2594="Fri","Ja","")</f>
        <v/>
      </c>
      <c r="K2594" s="30">
        <f>IF(B2594="","",IF(L2594="","Ukjent tekniker",IF(ISNA(MATCH(C2594,Aktiviteter,0)),"Ukjent aktivitet",IF(AND(INDEX(AktRolle,MATCH(C2594,Aktiviteter,0))&amp;""&lt;&gt;"",ISERROR(SEARCH(INDEX(AktRolle,MATCH(C2594,Aktiviteter,0))&amp;"",INDEX(TekRoller,MATCH(B2594,Teknikere,0))))),"Mangler rollen "&amp;INDEX(AktRolle,MATCH(C2594,Aktiviteter,0))&amp;"",IF(AND(C2594="LMS",F2594&gt;0,OR(D2594="",E2594="")),"Mangler maskin eller arbeid",IF(AND(OR(C2594="LMS",C2594="Mod"),D2594&lt;&gt;""),IF(IFERROR(INDEX(MaskinStatus,MATCH(D2594,Maskiner,0)),"")="I dokk","","Maskinen er ikke i dokk"),""))))))</f>
        <v/>
      </c>
      <c r="L2594" s="2">
        <f>IF(B2594="","",IFERROR(INT((MATCH(B2594,Teknikere,0)-1)/18)+1,""))</f>
        <v/>
      </c>
      <c r="M2594" s="2">
        <f>IF(OR(A2594="",B2594=""),"",B2594&amp;"|"&amp;A2594)</f>
        <v/>
      </c>
      <c r="N2594" s="2">
        <f>IF(M2594="","",SUMIFS(TF_Timer,TF_Nokkel,M2594,TF_Akt,C2594))</f>
        <v/>
      </c>
      <c r="O2594" s="2">
        <f>IF(M2594="","",IF(AND(N2594=_xlfn.MAXIFS(TF_AktSum,TF_Nokkel,M2594),COUNTIFS(M$3:M2593,M2594,N$3:N2593,N2594)=0),M2594,""))</f>
        <v/>
      </c>
    </row>
    <row r="2595">
      <c r="A2595" s="34" t="n"/>
      <c r="B2595" s="35" t="n"/>
      <c r="C2595" s="35" t="n"/>
      <c r="D2595" s="35" t="n"/>
      <c r="E2595" s="35" t="n"/>
      <c r="F2595" s="36" t="n"/>
      <c r="G2595" s="35" t="n"/>
      <c r="H2595" s="30">
        <f>IF(L2595="","",INDEX(SkiftNavn,L2595))</f>
        <v/>
      </c>
      <c r="I2595" s="30">
        <f>IF(OR(A2595="",L2595=""),"",IF(MOD(A2595-INDEX(SkiftStart,L2595),Syklus)&lt;DagK,"Kveld",IF(MOD(A2595-INDEX(SkiftStart,L2595),Syklus)&lt;DagK+DagH,"Helg",IF(MOD(A2595-INDEX(SkiftStart,L2595),Syklus)&lt;DagK+DagH+DagD,"Dag","Fri"))))</f>
        <v/>
      </c>
      <c r="J2595" s="30">
        <f>IF(I2595="Fri","Ja","")</f>
        <v/>
      </c>
      <c r="K2595" s="30">
        <f>IF(B2595="","",IF(L2595="","Ukjent tekniker",IF(ISNA(MATCH(C2595,Aktiviteter,0)),"Ukjent aktivitet",IF(AND(INDEX(AktRolle,MATCH(C2595,Aktiviteter,0))&amp;""&lt;&gt;"",ISERROR(SEARCH(INDEX(AktRolle,MATCH(C2595,Aktiviteter,0))&amp;"",INDEX(TekRoller,MATCH(B2595,Teknikere,0))))),"Mangler rollen "&amp;INDEX(AktRolle,MATCH(C2595,Aktiviteter,0))&amp;"",IF(AND(C2595="LMS",F2595&gt;0,OR(D2595="",E2595="")),"Mangler maskin eller arbeid",IF(AND(OR(C2595="LMS",C2595="Mod"),D2595&lt;&gt;""),IF(IFERROR(INDEX(MaskinStatus,MATCH(D2595,Maskiner,0)),"")="I dokk","","Maskinen er ikke i dokk"),""))))))</f>
        <v/>
      </c>
      <c r="L2595" s="2">
        <f>IF(B2595="","",IFERROR(INT((MATCH(B2595,Teknikere,0)-1)/18)+1,""))</f>
        <v/>
      </c>
      <c r="M2595" s="2">
        <f>IF(OR(A2595="",B2595=""),"",B2595&amp;"|"&amp;A2595)</f>
        <v/>
      </c>
      <c r="N2595" s="2">
        <f>IF(M2595="","",SUMIFS(TF_Timer,TF_Nokkel,M2595,TF_Akt,C2595))</f>
        <v/>
      </c>
      <c r="O2595" s="2">
        <f>IF(M2595="","",IF(AND(N2595=_xlfn.MAXIFS(TF_AktSum,TF_Nokkel,M2595),COUNTIFS(M$3:M2594,M2595,N$3:N2594,N2595)=0),M2595,""))</f>
        <v/>
      </c>
    </row>
    <row r="2596">
      <c r="A2596" s="34" t="n"/>
      <c r="B2596" s="35" t="n"/>
      <c r="C2596" s="35" t="n"/>
      <c r="D2596" s="35" t="n"/>
      <c r="E2596" s="35" t="n"/>
      <c r="F2596" s="36" t="n"/>
      <c r="G2596" s="35" t="n"/>
      <c r="H2596" s="30">
        <f>IF(L2596="","",INDEX(SkiftNavn,L2596))</f>
        <v/>
      </c>
      <c r="I2596" s="30">
        <f>IF(OR(A2596="",L2596=""),"",IF(MOD(A2596-INDEX(SkiftStart,L2596),Syklus)&lt;DagK,"Kveld",IF(MOD(A2596-INDEX(SkiftStart,L2596),Syklus)&lt;DagK+DagH,"Helg",IF(MOD(A2596-INDEX(SkiftStart,L2596),Syklus)&lt;DagK+DagH+DagD,"Dag","Fri"))))</f>
        <v/>
      </c>
      <c r="J2596" s="30">
        <f>IF(I2596="Fri","Ja","")</f>
        <v/>
      </c>
      <c r="K2596" s="30">
        <f>IF(B2596="","",IF(L2596="","Ukjent tekniker",IF(ISNA(MATCH(C2596,Aktiviteter,0)),"Ukjent aktivitet",IF(AND(INDEX(AktRolle,MATCH(C2596,Aktiviteter,0))&amp;""&lt;&gt;"",ISERROR(SEARCH(INDEX(AktRolle,MATCH(C2596,Aktiviteter,0))&amp;"",INDEX(TekRoller,MATCH(B2596,Teknikere,0))))),"Mangler rollen "&amp;INDEX(AktRolle,MATCH(C2596,Aktiviteter,0))&amp;"",IF(AND(C2596="LMS",F2596&gt;0,OR(D2596="",E2596="")),"Mangler maskin eller arbeid",IF(AND(OR(C2596="LMS",C2596="Mod"),D2596&lt;&gt;""),IF(IFERROR(INDEX(MaskinStatus,MATCH(D2596,Maskiner,0)),"")="I dokk","","Maskinen er ikke i dokk"),""))))))</f>
        <v/>
      </c>
      <c r="L2596" s="2">
        <f>IF(B2596="","",IFERROR(INT((MATCH(B2596,Teknikere,0)-1)/18)+1,""))</f>
        <v/>
      </c>
      <c r="M2596" s="2">
        <f>IF(OR(A2596="",B2596=""),"",B2596&amp;"|"&amp;A2596)</f>
        <v/>
      </c>
      <c r="N2596" s="2">
        <f>IF(M2596="","",SUMIFS(TF_Timer,TF_Nokkel,M2596,TF_Akt,C2596))</f>
        <v/>
      </c>
      <c r="O2596" s="2">
        <f>IF(M2596="","",IF(AND(N2596=_xlfn.MAXIFS(TF_AktSum,TF_Nokkel,M2596),COUNTIFS(M$3:M2595,M2596,N$3:N2595,N2596)=0),M2596,""))</f>
        <v/>
      </c>
    </row>
    <row r="2597">
      <c r="A2597" s="34" t="n"/>
      <c r="B2597" s="35" t="n"/>
      <c r="C2597" s="35" t="n"/>
      <c r="D2597" s="35" t="n"/>
      <c r="E2597" s="35" t="n"/>
      <c r="F2597" s="36" t="n"/>
      <c r="G2597" s="35" t="n"/>
      <c r="H2597" s="30">
        <f>IF(L2597="","",INDEX(SkiftNavn,L2597))</f>
        <v/>
      </c>
      <c r="I2597" s="30">
        <f>IF(OR(A2597="",L2597=""),"",IF(MOD(A2597-INDEX(SkiftStart,L2597),Syklus)&lt;DagK,"Kveld",IF(MOD(A2597-INDEX(SkiftStart,L2597),Syklus)&lt;DagK+DagH,"Helg",IF(MOD(A2597-INDEX(SkiftStart,L2597),Syklus)&lt;DagK+DagH+DagD,"Dag","Fri"))))</f>
        <v/>
      </c>
      <c r="J2597" s="30">
        <f>IF(I2597="Fri","Ja","")</f>
        <v/>
      </c>
      <c r="K2597" s="30">
        <f>IF(B2597="","",IF(L2597="","Ukjent tekniker",IF(ISNA(MATCH(C2597,Aktiviteter,0)),"Ukjent aktivitet",IF(AND(INDEX(AktRolle,MATCH(C2597,Aktiviteter,0))&amp;""&lt;&gt;"",ISERROR(SEARCH(INDEX(AktRolle,MATCH(C2597,Aktiviteter,0))&amp;"",INDEX(TekRoller,MATCH(B2597,Teknikere,0))))),"Mangler rollen "&amp;INDEX(AktRolle,MATCH(C2597,Aktiviteter,0))&amp;"",IF(AND(C2597="LMS",F2597&gt;0,OR(D2597="",E2597="")),"Mangler maskin eller arbeid",IF(AND(OR(C2597="LMS",C2597="Mod"),D2597&lt;&gt;""),IF(IFERROR(INDEX(MaskinStatus,MATCH(D2597,Maskiner,0)),"")="I dokk","","Maskinen er ikke i dokk"),""))))))</f>
        <v/>
      </c>
      <c r="L2597" s="2">
        <f>IF(B2597="","",IFERROR(INT((MATCH(B2597,Teknikere,0)-1)/18)+1,""))</f>
        <v/>
      </c>
      <c r="M2597" s="2">
        <f>IF(OR(A2597="",B2597=""),"",B2597&amp;"|"&amp;A2597)</f>
        <v/>
      </c>
      <c r="N2597" s="2">
        <f>IF(M2597="","",SUMIFS(TF_Timer,TF_Nokkel,M2597,TF_Akt,C2597))</f>
        <v/>
      </c>
      <c r="O2597" s="2">
        <f>IF(M2597="","",IF(AND(N2597=_xlfn.MAXIFS(TF_AktSum,TF_Nokkel,M2597),COUNTIFS(M$3:M2596,M2597,N$3:N2596,N2597)=0),M2597,""))</f>
        <v/>
      </c>
    </row>
    <row r="2598">
      <c r="A2598" s="34" t="n"/>
      <c r="B2598" s="35" t="n"/>
      <c r="C2598" s="35" t="n"/>
      <c r="D2598" s="35" t="n"/>
      <c r="E2598" s="35" t="n"/>
      <c r="F2598" s="36" t="n"/>
      <c r="G2598" s="35" t="n"/>
      <c r="H2598" s="30">
        <f>IF(L2598="","",INDEX(SkiftNavn,L2598))</f>
        <v/>
      </c>
      <c r="I2598" s="30">
        <f>IF(OR(A2598="",L2598=""),"",IF(MOD(A2598-INDEX(SkiftStart,L2598),Syklus)&lt;DagK,"Kveld",IF(MOD(A2598-INDEX(SkiftStart,L2598),Syklus)&lt;DagK+DagH,"Helg",IF(MOD(A2598-INDEX(SkiftStart,L2598),Syklus)&lt;DagK+DagH+DagD,"Dag","Fri"))))</f>
        <v/>
      </c>
      <c r="J2598" s="30">
        <f>IF(I2598="Fri","Ja","")</f>
        <v/>
      </c>
      <c r="K2598" s="30">
        <f>IF(B2598="","",IF(L2598="","Ukjent tekniker",IF(ISNA(MATCH(C2598,Aktiviteter,0)),"Ukjent aktivitet",IF(AND(INDEX(AktRolle,MATCH(C2598,Aktiviteter,0))&amp;""&lt;&gt;"",ISERROR(SEARCH(INDEX(AktRolle,MATCH(C2598,Aktiviteter,0))&amp;"",INDEX(TekRoller,MATCH(B2598,Teknikere,0))))),"Mangler rollen "&amp;INDEX(AktRolle,MATCH(C2598,Aktiviteter,0))&amp;"",IF(AND(C2598="LMS",F2598&gt;0,OR(D2598="",E2598="")),"Mangler maskin eller arbeid",IF(AND(OR(C2598="LMS",C2598="Mod"),D2598&lt;&gt;""),IF(IFERROR(INDEX(MaskinStatus,MATCH(D2598,Maskiner,0)),"")="I dokk","","Maskinen er ikke i dokk"),""))))))</f>
        <v/>
      </c>
      <c r="L2598" s="2">
        <f>IF(B2598="","",IFERROR(INT((MATCH(B2598,Teknikere,0)-1)/18)+1,""))</f>
        <v/>
      </c>
      <c r="M2598" s="2">
        <f>IF(OR(A2598="",B2598=""),"",B2598&amp;"|"&amp;A2598)</f>
        <v/>
      </c>
      <c r="N2598" s="2">
        <f>IF(M2598="","",SUMIFS(TF_Timer,TF_Nokkel,M2598,TF_Akt,C2598))</f>
        <v/>
      </c>
      <c r="O2598" s="2">
        <f>IF(M2598="","",IF(AND(N2598=_xlfn.MAXIFS(TF_AktSum,TF_Nokkel,M2598),COUNTIFS(M$3:M2597,M2598,N$3:N2597,N2598)=0),M2598,""))</f>
        <v/>
      </c>
    </row>
    <row r="2599">
      <c r="A2599" s="34" t="n"/>
      <c r="B2599" s="35" t="n"/>
      <c r="C2599" s="35" t="n"/>
      <c r="D2599" s="35" t="n"/>
      <c r="E2599" s="35" t="n"/>
      <c r="F2599" s="36" t="n"/>
      <c r="G2599" s="35" t="n"/>
      <c r="H2599" s="30">
        <f>IF(L2599="","",INDEX(SkiftNavn,L2599))</f>
        <v/>
      </c>
      <c r="I2599" s="30">
        <f>IF(OR(A2599="",L2599=""),"",IF(MOD(A2599-INDEX(SkiftStart,L2599),Syklus)&lt;DagK,"Kveld",IF(MOD(A2599-INDEX(SkiftStart,L2599),Syklus)&lt;DagK+DagH,"Helg",IF(MOD(A2599-INDEX(SkiftStart,L2599),Syklus)&lt;DagK+DagH+DagD,"Dag","Fri"))))</f>
        <v/>
      </c>
      <c r="J2599" s="30">
        <f>IF(I2599="Fri","Ja","")</f>
        <v/>
      </c>
      <c r="K2599" s="30">
        <f>IF(B2599="","",IF(L2599="","Ukjent tekniker",IF(ISNA(MATCH(C2599,Aktiviteter,0)),"Ukjent aktivitet",IF(AND(INDEX(AktRolle,MATCH(C2599,Aktiviteter,0))&amp;""&lt;&gt;"",ISERROR(SEARCH(INDEX(AktRolle,MATCH(C2599,Aktiviteter,0))&amp;"",INDEX(TekRoller,MATCH(B2599,Teknikere,0))))),"Mangler rollen "&amp;INDEX(AktRolle,MATCH(C2599,Aktiviteter,0))&amp;"",IF(AND(C2599="LMS",F2599&gt;0,OR(D2599="",E2599="")),"Mangler maskin eller arbeid",IF(AND(OR(C2599="LMS",C2599="Mod"),D2599&lt;&gt;""),IF(IFERROR(INDEX(MaskinStatus,MATCH(D2599,Maskiner,0)),"")="I dokk","","Maskinen er ikke i dokk"),""))))))</f>
        <v/>
      </c>
      <c r="L2599" s="2">
        <f>IF(B2599="","",IFERROR(INT((MATCH(B2599,Teknikere,0)-1)/18)+1,""))</f>
        <v/>
      </c>
      <c r="M2599" s="2">
        <f>IF(OR(A2599="",B2599=""),"",B2599&amp;"|"&amp;A2599)</f>
        <v/>
      </c>
      <c r="N2599" s="2">
        <f>IF(M2599="","",SUMIFS(TF_Timer,TF_Nokkel,M2599,TF_Akt,C2599))</f>
        <v/>
      </c>
      <c r="O2599" s="2">
        <f>IF(M2599="","",IF(AND(N2599=_xlfn.MAXIFS(TF_AktSum,TF_Nokkel,M2599),COUNTIFS(M$3:M2598,M2599,N$3:N2598,N2599)=0),M2599,""))</f>
        <v/>
      </c>
    </row>
    <row r="2600">
      <c r="A2600" s="34" t="n"/>
      <c r="B2600" s="35" t="n"/>
      <c r="C2600" s="35" t="n"/>
      <c r="D2600" s="35" t="n"/>
      <c r="E2600" s="35" t="n"/>
      <c r="F2600" s="36" t="n"/>
      <c r="G2600" s="35" t="n"/>
      <c r="H2600" s="30">
        <f>IF(L2600="","",INDEX(SkiftNavn,L2600))</f>
        <v/>
      </c>
      <c r="I2600" s="30">
        <f>IF(OR(A2600="",L2600=""),"",IF(MOD(A2600-INDEX(SkiftStart,L2600),Syklus)&lt;DagK,"Kveld",IF(MOD(A2600-INDEX(SkiftStart,L2600),Syklus)&lt;DagK+DagH,"Helg",IF(MOD(A2600-INDEX(SkiftStart,L2600),Syklus)&lt;DagK+DagH+DagD,"Dag","Fri"))))</f>
        <v/>
      </c>
      <c r="J2600" s="30">
        <f>IF(I2600="Fri","Ja","")</f>
        <v/>
      </c>
      <c r="K2600" s="30">
        <f>IF(B2600="","",IF(L2600="","Ukjent tekniker",IF(ISNA(MATCH(C2600,Aktiviteter,0)),"Ukjent aktivitet",IF(AND(INDEX(AktRolle,MATCH(C2600,Aktiviteter,0))&amp;""&lt;&gt;"",ISERROR(SEARCH(INDEX(AktRolle,MATCH(C2600,Aktiviteter,0))&amp;"",INDEX(TekRoller,MATCH(B2600,Teknikere,0))))),"Mangler rollen "&amp;INDEX(AktRolle,MATCH(C2600,Aktiviteter,0))&amp;"",IF(AND(C2600="LMS",F2600&gt;0,OR(D2600="",E2600="")),"Mangler maskin eller arbeid",IF(AND(OR(C2600="LMS",C2600="Mod"),D2600&lt;&gt;""),IF(IFERROR(INDEX(MaskinStatus,MATCH(D2600,Maskiner,0)),"")="I dokk","","Maskinen er ikke i dokk"),""))))))</f>
        <v/>
      </c>
      <c r="L2600" s="2">
        <f>IF(B2600="","",IFERROR(INT((MATCH(B2600,Teknikere,0)-1)/18)+1,""))</f>
        <v/>
      </c>
      <c r="M2600" s="2">
        <f>IF(OR(A2600="",B2600=""),"",B2600&amp;"|"&amp;A2600)</f>
        <v/>
      </c>
      <c r="N2600" s="2">
        <f>IF(M2600="","",SUMIFS(TF_Timer,TF_Nokkel,M2600,TF_Akt,C2600))</f>
        <v/>
      </c>
      <c r="O2600" s="2">
        <f>IF(M2600="","",IF(AND(N2600=_xlfn.MAXIFS(TF_AktSum,TF_Nokkel,M2600),COUNTIFS(M$3:M2599,M2600,N$3:N2599,N2600)=0),M2600,""))</f>
        <v/>
      </c>
    </row>
    <row r="2601">
      <c r="A2601" s="34" t="n"/>
      <c r="B2601" s="35" t="n"/>
      <c r="C2601" s="35" t="n"/>
      <c r="D2601" s="35" t="n"/>
      <c r="E2601" s="35" t="n"/>
      <c r="F2601" s="36" t="n"/>
      <c r="G2601" s="35" t="n"/>
      <c r="H2601" s="30">
        <f>IF(L2601="","",INDEX(SkiftNavn,L2601))</f>
        <v/>
      </c>
      <c r="I2601" s="30">
        <f>IF(OR(A2601="",L2601=""),"",IF(MOD(A2601-INDEX(SkiftStart,L2601),Syklus)&lt;DagK,"Kveld",IF(MOD(A2601-INDEX(SkiftStart,L2601),Syklus)&lt;DagK+DagH,"Helg",IF(MOD(A2601-INDEX(SkiftStart,L2601),Syklus)&lt;DagK+DagH+DagD,"Dag","Fri"))))</f>
        <v/>
      </c>
      <c r="J2601" s="30">
        <f>IF(I2601="Fri","Ja","")</f>
        <v/>
      </c>
      <c r="K2601" s="30">
        <f>IF(B2601="","",IF(L2601="","Ukjent tekniker",IF(ISNA(MATCH(C2601,Aktiviteter,0)),"Ukjent aktivitet",IF(AND(INDEX(AktRolle,MATCH(C2601,Aktiviteter,0))&amp;""&lt;&gt;"",ISERROR(SEARCH(INDEX(AktRolle,MATCH(C2601,Aktiviteter,0))&amp;"",INDEX(TekRoller,MATCH(B2601,Teknikere,0))))),"Mangler rollen "&amp;INDEX(AktRolle,MATCH(C2601,Aktiviteter,0))&amp;"",IF(AND(C2601="LMS",F2601&gt;0,OR(D2601="",E2601="")),"Mangler maskin eller arbeid",IF(AND(OR(C2601="LMS",C2601="Mod"),D2601&lt;&gt;""),IF(IFERROR(INDEX(MaskinStatus,MATCH(D2601,Maskiner,0)),"")="I dokk","","Maskinen er ikke i dokk"),""))))))</f>
        <v/>
      </c>
      <c r="L2601" s="2">
        <f>IF(B2601="","",IFERROR(INT((MATCH(B2601,Teknikere,0)-1)/18)+1,""))</f>
        <v/>
      </c>
      <c r="M2601" s="2">
        <f>IF(OR(A2601="",B2601=""),"",B2601&amp;"|"&amp;A2601)</f>
        <v/>
      </c>
      <c r="N2601" s="2">
        <f>IF(M2601="","",SUMIFS(TF_Timer,TF_Nokkel,M2601,TF_Akt,C2601))</f>
        <v/>
      </c>
      <c r="O2601" s="2">
        <f>IF(M2601="","",IF(AND(N2601=_xlfn.MAXIFS(TF_AktSum,TF_Nokkel,M2601),COUNTIFS(M$3:M2600,M2601,N$3:N2600,N2601)=0),M2601,""))</f>
        <v/>
      </c>
    </row>
    <row r="2602">
      <c r="A2602" s="34" t="n"/>
      <c r="B2602" s="35" t="n"/>
      <c r="C2602" s="35" t="n"/>
      <c r="D2602" s="35" t="n"/>
      <c r="E2602" s="35" t="n"/>
      <c r="F2602" s="36" t="n"/>
      <c r="G2602" s="35" t="n"/>
      <c r="H2602" s="30">
        <f>IF(L2602="","",INDEX(SkiftNavn,L2602))</f>
        <v/>
      </c>
      <c r="I2602" s="30">
        <f>IF(OR(A2602="",L2602=""),"",IF(MOD(A2602-INDEX(SkiftStart,L2602),Syklus)&lt;DagK,"Kveld",IF(MOD(A2602-INDEX(SkiftStart,L2602),Syklus)&lt;DagK+DagH,"Helg",IF(MOD(A2602-INDEX(SkiftStart,L2602),Syklus)&lt;DagK+DagH+DagD,"Dag","Fri"))))</f>
        <v/>
      </c>
      <c r="J2602" s="30">
        <f>IF(I2602="Fri","Ja","")</f>
        <v/>
      </c>
      <c r="K2602" s="30">
        <f>IF(B2602="","",IF(L2602="","Ukjent tekniker",IF(ISNA(MATCH(C2602,Aktiviteter,0)),"Ukjent aktivitet",IF(AND(INDEX(AktRolle,MATCH(C2602,Aktiviteter,0))&amp;""&lt;&gt;"",ISERROR(SEARCH(INDEX(AktRolle,MATCH(C2602,Aktiviteter,0))&amp;"",INDEX(TekRoller,MATCH(B2602,Teknikere,0))))),"Mangler rollen "&amp;INDEX(AktRolle,MATCH(C2602,Aktiviteter,0))&amp;"",IF(AND(C2602="LMS",F2602&gt;0,OR(D2602="",E2602="")),"Mangler maskin eller arbeid",IF(AND(OR(C2602="LMS",C2602="Mod"),D2602&lt;&gt;""),IF(IFERROR(INDEX(MaskinStatus,MATCH(D2602,Maskiner,0)),"")="I dokk","","Maskinen er ikke i dokk"),""))))))</f>
        <v/>
      </c>
      <c r="L2602" s="2">
        <f>IF(B2602="","",IFERROR(INT((MATCH(B2602,Teknikere,0)-1)/18)+1,""))</f>
        <v/>
      </c>
      <c r="M2602" s="2">
        <f>IF(OR(A2602="",B2602=""),"",B2602&amp;"|"&amp;A2602)</f>
        <v/>
      </c>
      <c r="N2602" s="2">
        <f>IF(M2602="","",SUMIFS(TF_Timer,TF_Nokkel,M2602,TF_Akt,C2602))</f>
        <v/>
      </c>
      <c r="O2602" s="2">
        <f>IF(M2602="","",IF(AND(N2602=_xlfn.MAXIFS(TF_AktSum,TF_Nokkel,M2602),COUNTIFS(M$3:M2601,M2602,N$3:N2601,N2602)=0),M2602,""))</f>
        <v/>
      </c>
    </row>
    <row r="2603">
      <c r="A2603" s="34" t="n"/>
      <c r="B2603" s="35" t="n"/>
      <c r="C2603" s="35" t="n"/>
      <c r="D2603" s="35" t="n"/>
      <c r="E2603" s="35" t="n"/>
      <c r="F2603" s="36" t="n"/>
      <c r="G2603" s="35" t="n"/>
      <c r="H2603" s="30">
        <f>IF(L2603="","",INDEX(SkiftNavn,L2603))</f>
        <v/>
      </c>
      <c r="I2603" s="30">
        <f>IF(OR(A2603="",L2603=""),"",IF(MOD(A2603-INDEX(SkiftStart,L2603),Syklus)&lt;DagK,"Kveld",IF(MOD(A2603-INDEX(SkiftStart,L2603),Syklus)&lt;DagK+DagH,"Helg",IF(MOD(A2603-INDEX(SkiftStart,L2603),Syklus)&lt;DagK+DagH+DagD,"Dag","Fri"))))</f>
        <v/>
      </c>
      <c r="J2603" s="30">
        <f>IF(I2603="Fri","Ja","")</f>
        <v/>
      </c>
      <c r="K2603" s="30">
        <f>IF(B2603="","",IF(L2603="","Ukjent tekniker",IF(ISNA(MATCH(C2603,Aktiviteter,0)),"Ukjent aktivitet",IF(AND(INDEX(AktRolle,MATCH(C2603,Aktiviteter,0))&amp;""&lt;&gt;"",ISERROR(SEARCH(INDEX(AktRolle,MATCH(C2603,Aktiviteter,0))&amp;"",INDEX(TekRoller,MATCH(B2603,Teknikere,0))))),"Mangler rollen "&amp;INDEX(AktRolle,MATCH(C2603,Aktiviteter,0))&amp;"",IF(AND(C2603="LMS",F2603&gt;0,OR(D2603="",E2603="")),"Mangler maskin eller arbeid",IF(AND(OR(C2603="LMS",C2603="Mod"),D2603&lt;&gt;""),IF(IFERROR(INDEX(MaskinStatus,MATCH(D2603,Maskiner,0)),"")="I dokk","","Maskinen er ikke i dokk"),""))))))</f>
        <v/>
      </c>
      <c r="L2603" s="2">
        <f>IF(B2603="","",IFERROR(INT((MATCH(B2603,Teknikere,0)-1)/18)+1,""))</f>
        <v/>
      </c>
      <c r="M2603" s="2">
        <f>IF(OR(A2603="",B2603=""),"",B2603&amp;"|"&amp;A2603)</f>
        <v/>
      </c>
      <c r="N2603" s="2">
        <f>IF(M2603="","",SUMIFS(TF_Timer,TF_Nokkel,M2603,TF_Akt,C2603))</f>
        <v/>
      </c>
      <c r="O2603" s="2">
        <f>IF(M2603="","",IF(AND(N2603=_xlfn.MAXIFS(TF_AktSum,TF_Nokkel,M2603),COUNTIFS(M$3:M2602,M2603,N$3:N2602,N2603)=0),M2603,""))</f>
        <v/>
      </c>
    </row>
    <row r="2604">
      <c r="A2604" s="34" t="n"/>
      <c r="B2604" s="35" t="n"/>
      <c r="C2604" s="35" t="n"/>
      <c r="D2604" s="35" t="n"/>
      <c r="E2604" s="35" t="n"/>
      <c r="F2604" s="36" t="n"/>
      <c r="G2604" s="35" t="n"/>
      <c r="H2604" s="30">
        <f>IF(L2604="","",INDEX(SkiftNavn,L2604))</f>
        <v/>
      </c>
      <c r="I2604" s="30">
        <f>IF(OR(A2604="",L2604=""),"",IF(MOD(A2604-INDEX(SkiftStart,L2604),Syklus)&lt;DagK,"Kveld",IF(MOD(A2604-INDEX(SkiftStart,L2604),Syklus)&lt;DagK+DagH,"Helg",IF(MOD(A2604-INDEX(SkiftStart,L2604),Syklus)&lt;DagK+DagH+DagD,"Dag","Fri"))))</f>
        <v/>
      </c>
      <c r="J2604" s="30">
        <f>IF(I2604="Fri","Ja","")</f>
        <v/>
      </c>
      <c r="K2604" s="30">
        <f>IF(B2604="","",IF(L2604="","Ukjent tekniker",IF(ISNA(MATCH(C2604,Aktiviteter,0)),"Ukjent aktivitet",IF(AND(INDEX(AktRolle,MATCH(C2604,Aktiviteter,0))&amp;""&lt;&gt;"",ISERROR(SEARCH(INDEX(AktRolle,MATCH(C2604,Aktiviteter,0))&amp;"",INDEX(TekRoller,MATCH(B2604,Teknikere,0))))),"Mangler rollen "&amp;INDEX(AktRolle,MATCH(C2604,Aktiviteter,0))&amp;"",IF(AND(C2604="LMS",F2604&gt;0,OR(D2604="",E2604="")),"Mangler maskin eller arbeid",IF(AND(OR(C2604="LMS",C2604="Mod"),D2604&lt;&gt;""),IF(IFERROR(INDEX(MaskinStatus,MATCH(D2604,Maskiner,0)),"")="I dokk","","Maskinen er ikke i dokk"),""))))))</f>
        <v/>
      </c>
      <c r="L2604" s="2">
        <f>IF(B2604="","",IFERROR(INT((MATCH(B2604,Teknikere,0)-1)/18)+1,""))</f>
        <v/>
      </c>
      <c r="M2604" s="2">
        <f>IF(OR(A2604="",B2604=""),"",B2604&amp;"|"&amp;A2604)</f>
        <v/>
      </c>
      <c r="N2604" s="2">
        <f>IF(M2604="","",SUMIFS(TF_Timer,TF_Nokkel,M2604,TF_Akt,C2604))</f>
        <v/>
      </c>
      <c r="O2604" s="2">
        <f>IF(M2604="","",IF(AND(N2604=_xlfn.MAXIFS(TF_AktSum,TF_Nokkel,M2604),COUNTIFS(M$3:M2603,M2604,N$3:N2603,N2604)=0),M2604,""))</f>
        <v/>
      </c>
    </row>
    <row r="2605">
      <c r="A2605" s="34" t="n"/>
      <c r="B2605" s="35" t="n"/>
      <c r="C2605" s="35" t="n"/>
      <c r="D2605" s="35" t="n"/>
      <c r="E2605" s="35" t="n"/>
      <c r="F2605" s="36" t="n"/>
      <c r="G2605" s="35" t="n"/>
      <c r="H2605" s="30">
        <f>IF(L2605="","",INDEX(SkiftNavn,L2605))</f>
        <v/>
      </c>
      <c r="I2605" s="30">
        <f>IF(OR(A2605="",L2605=""),"",IF(MOD(A2605-INDEX(SkiftStart,L2605),Syklus)&lt;DagK,"Kveld",IF(MOD(A2605-INDEX(SkiftStart,L2605),Syklus)&lt;DagK+DagH,"Helg",IF(MOD(A2605-INDEX(SkiftStart,L2605),Syklus)&lt;DagK+DagH+DagD,"Dag","Fri"))))</f>
        <v/>
      </c>
      <c r="J2605" s="30">
        <f>IF(I2605="Fri","Ja","")</f>
        <v/>
      </c>
      <c r="K2605" s="30">
        <f>IF(B2605="","",IF(L2605="","Ukjent tekniker",IF(ISNA(MATCH(C2605,Aktiviteter,0)),"Ukjent aktivitet",IF(AND(INDEX(AktRolle,MATCH(C2605,Aktiviteter,0))&amp;""&lt;&gt;"",ISERROR(SEARCH(INDEX(AktRolle,MATCH(C2605,Aktiviteter,0))&amp;"",INDEX(TekRoller,MATCH(B2605,Teknikere,0))))),"Mangler rollen "&amp;INDEX(AktRolle,MATCH(C2605,Aktiviteter,0))&amp;"",IF(AND(C2605="LMS",F2605&gt;0,OR(D2605="",E2605="")),"Mangler maskin eller arbeid",IF(AND(OR(C2605="LMS",C2605="Mod"),D2605&lt;&gt;""),IF(IFERROR(INDEX(MaskinStatus,MATCH(D2605,Maskiner,0)),"")="I dokk","","Maskinen er ikke i dokk"),""))))))</f>
        <v/>
      </c>
      <c r="L2605" s="2">
        <f>IF(B2605="","",IFERROR(INT((MATCH(B2605,Teknikere,0)-1)/18)+1,""))</f>
        <v/>
      </c>
      <c r="M2605" s="2">
        <f>IF(OR(A2605="",B2605=""),"",B2605&amp;"|"&amp;A2605)</f>
        <v/>
      </c>
      <c r="N2605" s="2">
        <f>IF(M2605="","",SUMIFS(TF_Timer,TF_Nokkel,M2605,TF_Akt,C2605))</f>
        <v/>
      </c>
      <c r="O2605" s="2">
        <f>IF(M2605="","",IF(AND(N2605=_xlfn.MAXIFS(TF_AktSum,TF_Nokkel,M2605),COUNTIFS(M$3:M2604,M2605,N$3:N2604,N2605)=0),M2605,""))</f>
        <v/>
      </c>
    </row>
    <row r="2606">
      <c r="A2606" s="34" t="n"/>
      <c r="B2606" s="35" t="n"/>
      <c r="C2606" s="35" t="n"/>
      <c r="D2606" s="35" t="n"/>
      <c r="E2606" s="35" t="n"/>
      <c r="F2606" s="36" t="n"/>
      <c r="G2606" s="35" t="n"/>
      <c r="H2606" s="30">
        <f>IF(L2606="","",INDEX(SkiftNavn,L2606))</f>
        <v/>
      </c>
      <c r="I2606" s="30">
        <f>IF(OR(A2606="",L2606=""),"",IF(MOD(A2606-INDEX(SkiftStart,L2606),Syklus)&lt;DagK,"Kveld",IF(MOD(A2606-INDEX(SkiftStart,L2606),Syklus)&lt;DagK+DagH,"Helg",IF(MOD(A2606-INDEX(SkiftStart,L2606),Syklus)&lt;DagK+DagH+DagD,"Dag","Fri"))))</f>
        <v/>
      </c>
      <c r="J2606" s="30">
        <f>IF(I2606="Fri","Ja","")</f>
        <v/>
      </c>
      <c r="K2606" s="30">
        <f>IF(B2606="","",IF(L2606="","Ukjent tekniker",IF(ISNA(MATCH(C2606,Aktiviteter,0)),"Ukjent aktivitet",IF(AND(INDEX(AktRolle,MATCH(C2606,Aktiviteter,0))&amp;""&lt;&gt;"",ISERROR(SEARCH(INDEX(AktRolle,MATCH(C2606,Aktiviteter,0))&amp;"",INDEX(TekRoller,MATCH(B2606,Teknikere,0))))),"Mangler rollen "&amp;INDEX(AktRolle,MATCH(C2606,Aktiviteter,0))&amp;"",IF(AND(C2606="LMS",F2606&gt;0,OR(D2606="",E2606="")),"Mangler maskin eller arbeid",IF(AND(OR(C2606="LMS",C2606="Mod"),D2606&lt;&gt;""),IF(IFERROR(INDEX(MaskinStatus,MATCH(D2606,Maskiner,0)),"")="I dokk","","Maskinen er ikke i dokk"),""))))))</f>
        <v/>
      </c>
      <c r="L2606" s="2">
        <f>IF(B2606="","",IFERROR(INT((MATCH(B2606,Teknikere,0)-1)/18)+1,""))</f>
        <v/>
      </c>
      <c r="M2606" s="2">
        <f>IF(OR(A2606="",B2606=""),"",B2606&amp;"|"&amp;A2606)</f>
        <v/>
      </c>
      <c r="N2606" s="2">
        <f>IF(M2606="","",SUMIFS(TF_Timer,TF_Nokkel,M2606,TF_Akt,C2606))</f>
        <v/>
      </c>
      <c r="O2606" s="2">
        <f>IF(M2606="","",IF(AND(N2606=_xlfn.MAXIFS(TF_AktSum,TF_Nokkel,M2606),COUNTIFS(M$3:M2605,M2606,N$3:N2605,N2606)=0),M2606,""))</f>
        <v/>
      </c>
    </row>
    <row r="2607">
      <c r="A2607" s="34" t="n"/>
      <c r="B2607" s="35" t="n"/>
      <c r="C2607" s="35" t="n"/>
      <c r="D2607" s="35" t="n"/>
      <c r="E2607" s="35" t="n"/>
      <c r="F2607" s="36" t="n"/>
      <c r="G2607" s="35" t="n"/>
      <c r="H2607" s="30">
        <f>IF(L2607="","",INDEX(SkiftNavn,L2607))</f>
        <v/>
      </c>
      <c r="I2607" s="30">
        <f>IF(OR(A2607="",L2607=""),"",IF(MOD(A2607-INDEX(SkiftStart,L2607),Syklus)&lt;DagK,"Kveld",IF(MOD(A2607-INDEX(SkiftStart,L2607),Syklus)&lt;DagK+DagH,"Helg",IF(MOD(A2607-INDEX(SkiftStart,L2607),Syklus)&lt;DagK+DagH+DagD,"Dag","Fri"))))</f>
        <v/>
      </c>
      <c r="J2607" s="30">
        <f>IF(I2607="Fri","Ja","")</f>
        <v/>
      </c>
      <c r="K2607" s="30">
        <f>IF(B2607="","",IF(L2607="","Ukjent tekniker",IF(ISNA(MATCH(C2607,Aktiviteter,0)),"Ukjent aktivitet",IF(AND(INDEX(AktRolle,MATCH(C2607,Aktiviteter,0))&amp;""&lt;&gt;"",ISERROR(SEARCH(INDEX(AktRolle,MATCH(C2607,Aktiviteter,0))&amp;"",INDEX(TekRoller,MATCH(B2607,Teknikere,0))))),"Mangler rollen "&amp;INDEX(AktRolle,MATCH(C2607,Aktiviteter,0))&amp;"",IF(AND(C2607="LMS",F2607&gt;0,OR(D2607="",E2607="")),"Mangler maskin eller arbeid",IF(AND(OR(C2607="LMS",C2607="Mod"),D2607&lt;&gt;""),IF(IFERROR(INDEX(MaskinStatus,MATCH(D2607,Maskiner,0)),"")="I dokk","","Maskinen er ikke i dokk"),""))))))</f>
        <v/>
      </c>
      <c r="L2607" s="2">
        <f>IF(B2607="","",IFERROR(INT((MATCH(B2607,Teknikere,0)-1)/18)+1,""))</f>
        <v/>
      </c>
      <c r="M2607" s="2">
        <f>IF(OR(A2607="",B2607=""),"",B2607&amp;"|"&amp;A2607)</f>
        <v/>
      </c>
      <c r="N2607" s="2">
        <f>IF(M2607="","",SUMIFS(TF_Timer,TF_Nokkel,M2607,TF_Akt,C2607))</f>
        <v/>
      </c>
      <c r="O2607" s="2">
        <f>IF(M2607="","",IF(AND(N2607=_xlfn.MAXIFS(TF_AktSum,TF_Nokkel,M2607),COUNTIFS(M$3:M2606,M2607,N$3:N2606,N2607)=0),M2607,""))</f>
        <v/>
      </c>
    </row>
    <row r="2608">
      <c r="A2608" s="34" t="n"/>
      <c r="B2608" s="35" t="n"/>
      <c r="C2608" s="35" t="n"/>
      <c r="D2608" s="35" t="n"/>
      <c r="E2608" s="35" t="n"/>
      <c r="F2608" s="36" t="n"/>
      <c r="G2608" s="35" t="n"/>
      <c r="H2608" s="30">
        <f>IF(L2608="","",INDEX(SkiftNavn,L2608))</f>
        <v/>
      </c>
      <c r="I2608" s="30">
        <f>IF(OR(A2608="",L2608=""),"",IF(MOD(A2608-INDEX(SkiftStart,L2608),Syklus)&lt;DagK,"Kveld",IF(MOD(A2608-INDEX(SkiftStart,L2608),Syklus)&lt;DagK+DagH,"Helg",IF(MOD(A2608-INDEX(SkiftStart,L2608),Syklus)&lt;DagK+DagH+DagD,"Dag","Fri"))))</f>
        <v/>
      </c>
      <c r="J2608" s="30">
        <f>IF(I2608="Fri","Ja","")</f>
        <v/>
      </c>
      <c r="K2608" s="30">
        <f>IF(B2608="","",IF(L2608="","Ukjent tekniker",IF(ISNA(MATCH(C2608,Aktiviteter,0)),"Ukjent aktivitet",IF(AND(INDEX(AktRolle,MATCH(C2608,Aktiviteter,0))&amp;""&lt;&gt;"",ISERROR(SEARCH(INDEX(AktRolle,MATCH(C2608,Aktiviteter,0))&amp;"",INDEX(TekRoller,MATCH(B2608,Teknikere,0))))),"Mangler rollen "&amp;INDEX(AktRolle,MATCH(C2608,Aktiviteter,0))&amp;"",IF(AND(C2608="LMS",F2608&gt;0,OR(D2608="",E2608="")),"Mangler maskin eller arbeid",IF(AND(OR(C2608="LMS",C2608="Mod"),D2608&lt;&gt;""),IF(IFERROR(INDEX(MaskinStatus,MATCH(D2608,Maskiner,0)),"")="I dokk","","Maskinen er ikke i dokk"),""))))))</f>
        <v/>
      </c>
      <c r="L2608" s="2">
        <f>IF(B2608="","",IFERROR(INT((MATCH(B2608,Teknikere,0)-1)/18)+1,""))</f>
        <v/>
      </c>
      <c r="M2608" s="2">
        <f>IF(OR(A2608="",B2608=""),"",B2608&amp;"|"&amp;A2608)</f>
        <v/>
      </c>
      <c r="N2608" s="2">
        <f>IF(M2608="","",SUMIFS(TF_Timer,TF_Nokkel,M2608,TF_Akt,C2608))</f>
        <v/>
      </c>
      <c r="O2608" s="2">
        <f>IF(M2608="","",IF(AND(N2608=_xlfn.MAXIFS(TF_AktSum,TF_Nokkel,M2608),COUNTIFS(M$3:M2607,M2608,N$3:N2607,N2608)=0),M2608,""))</f>
        <v/>
      </c>
    </row>
    <row r="2609">
      <c r="A2609" s="34" t="n"/>
      <c r="B2609" s="35" t="n"/>
      <c r="C2609" s="35" t="n"/>
      <c r="D2609" s="35" t="n"/>
      <c r="E2609" s="35" t="n"/>
      <c r="F2609" s="36" t="n"/>
      <c r="G2609" s="35" t="n"/>
      <c r="H2609" s="30">
        <f>IF(L2609="","",INDEX(SkiftNavn,L2609))</f>
        <v/>
      </c>
      <c r="I2609" s="30">
        <f>IF(OR(A2609="",L2609=""),"",IF(MOD(A2609-INDEX(SkiftStart,L2609),Syklus)&lt;DagK,"Kveld",IF(MOD(A2609-INDEX(SkiftStart,L2609),Syklus)&lt;DagK+DagH,"Helg",IF(MOD(A2609-INDEX(SkiftStart,L2609),Syklus)&lt;DagK+DagH+DagD,"Dag","Fri"))))</f>
        <v/>
      </c>
      <c r="J2609" s="30">
        <f>IF(I2609="Fri","Ja","")</f>
        <v/>
      </c>
      <c r="K2609" s="30">
        <f>IF(B2609="","",IF(L2609="","Ukjent tekniker",IF(ISNA(MATCH(C2609,Aktiviteter,0)),"Ukjent aktivitet",IF(AND(INDEX(AktRolle,MATCH(C2609,Aktiviteter,0))&amp;""&lt;&gt;"",ISERROR(SEARCH(INDEX(AktRolle,MATCH(C2609,Aktiviteter,0))&amp;"",INDEX(TekRoller,MATCH(B2609,Teknikere,0))))),"Mangler rollen "&amp;INDEX(AktRolle,MATCH(C2609,Aktiviteter,0))&amp;"",IF(AND(C2609="LMS",F2609&gt;0,OR(D2609="",E2609="")),"Mangler maskin eller arbeid",IF(AND(OR(C2609="LMS",C2609="Mod"),D2609&lt;&gt;""),IF(IFERROR(INDEX(MaskinStatus,MATCH(D2609,Maskiner,0)),"")="I dokk","","Maskinen er ikke i dokk"),""))))))</f>
        <v/>
      </c>
      <c r="L2609" s="2">
        <f>IF(B2609="","",IFERROR(INT((MATCH(B2609,Teknikere,0)-1)/18)+1,""))</f>
        <v/>
      </c>
      <c r="M2609" s="2">
        <f>IF(OR(A2609="",B2609=""),"",B2609&amp;"|"&amp;A2609)</f>
        <v/>
      </c>
      <c r="N2609" s="2">
        <f>IF(M2609="","",SUMIFS(TF_Timer,TF_Nokkel,M2609,TF_Akt,C2609))</f>
        <v/>
      </c>
      <c r="O2609" s="2">
        <f>IF(M2609="","",IF(AND(N2609=_xlfn.MAXIFS(TF_AktSum,TF_Nokkel,M2609),COUNTIFS(M$3:M2608,M2609,N$3:N2608,N2609)=0),M2609,""))</f>
        <v/>
      </c>
    </row>
    <row r="2610">
      <c r="A2610" s="34" t="n"/>
      <c r="B2610" s="35" t="n"/>
      <c r="C2610" s="35" t="n"/>
      <c r="D2610" s="35" t="n"/>
      <c r="E2610" s="35" t="n"/>
      <c r="F2610" s="36" t="n"/>
      <c r="G2610" s="35" t="n"/>
      <c r="H2610" s="30">
        <f>IF(L2610="","",INDEX(SkiftNavn,L2610))</f>
        <v/>
      </c>
      <c r="I2610" s="30">
        <f>IF(OR(A2610="",L2610=""),"",IF(MOD(A2610-INDEX(SkiftStart,L2610),Syklus)&lt;DagK,"Kveld",IF(MOD(A2610-INDEX(SkiftStart,L2610),Syklus)&lt;DagK+DagH,"Helg",IF(MOD(A2610-INDEX(SkiftStart,L2610),Syklus)&lt;DagK+DagH+DagD,"Dag","Fri"))))</f>
        <v/>
      </c>
      <c r="J2610" s="30">
        <f>IF(I2610="Fri","Ja","")</f>
        <v/>
      </c>
      <c r="K2610" s="30">
        <f>IF(B2610="","",IF(L2610="","Ukjent tekniker",IF(ISNA(MATCH(C2610,Aktiviteter,0)),"Ukjent aktivitet",IF(AND(INDEX(AktRolle,MATCH(C2610,Aktiviteter,0))&amp;""&lt;&gt;"",ISERROR(SEARCH(INDEX(AktRolle,MATCH(C2610,Aktiviteter,0))&amp;"",INDEX(TekRoller,MATCH(B2610,Teknikere,0))))),"Mangler rollen "&amp;INDEX(AktRolle,MATCH(C2610,Aktiviteter,0))&amp;"",IF(AND(C2610="LMS",F2610&gt;0,OR(D2610="",E2610="")),"Mangler maskin eller arbeid",IF(AND(OR(C2610="LMS",C2610="Mod"),D2610&lt;&gt;""),IF(IFERROR(INDEX(MaskinStatus,MATCH(D2610,Maskiner,0)),"")="I dokk","","Maskinen er ikke i dokk"),""))))))</f>
        <v/>
      </c>
      <c r="L2610" s="2">
        <f>IF(B2610="","",IFERROR(INT((MATCH(B2610,Teknikere,0)-1)/18)+1,""))</f>
        <v/>
      </c>
      <c r="M2610" s="2">
        <f>IF(OR(A2610="",B2610=""),"",B2610&amp;"|"&amp;A2610)</f>
        <v/>
      </c>
      <c r="N2610" s="2">
        <f>IF(M2610="","",SUMIFS(TF_Timer,TF_Nokkel,M2610,TF_Akt,C2610))</f>
        <v/>
      </c>
      <c r="O2610" s="2">
        <f>IF(M2610="","",IF(AND(N2610=_xlfn.MAXIFS(TF_AktSum,TF_Nokkel,M2610),COUNTIFS(M$3:M2609,M2610,N$3:N2609,N2610)=0),M2610,""))</f>
        <v/>
      </c>
    </row>
    <row r="2611">
      <c r="A2611" s="34" t="n"/>
      <c r="B2611" s="35" t="n"/>
      <c r="C2611" s="35" t="n"/>
      <c r="D2611" s="35" t="n"/>
      <c r="E2611" s="35" t="n"/>
      <c r="F2611" s="36" t="n"/>
      <c r="G2611" s="35" t="n"/>
      <c r="H2611" s="30">
        <f>IF(L2611="","",INDEX(SkiftNavn,L2611))</f>
        <v/>
      </c>
      <c r="I2611" s="30">
        <f>IF(OR(A2611="",L2611=""),"",IF(MOD(A2611-INDEX(SkiftStart,L2611),Syklus)&lt;DagK,"Kveld",IF(MOD(A2611-INDEX(SkiftStart,L2611),Syklus)&lt;DagK+DagH,"Helg",IF(MOD(A2611-INDEX(SkiftStart,L2611),Syklus)&lt;DagK+DagH+DagD,"Dag","Fri"))))</f>
        <v/>
      </c>
      <c r="J2611" s="30">
        <f>IF(I2611="Fri","Ja","")</f>
        <v/>
      </c>
      <c r="K2611" s="30">
        <f>IF(B2611="","",IF(L2611="","Ukjent tekniker",IF(ISNA(MATCH(C2611,Aktiviteter,0)),"Ukjent aktivitet",IF(AND(INDEX(AktRolle,MATCH(C2611,Aktiviteter,0))&amp;""&lt;&gt;"",ISERROR(SEARCH(INDEX(AktRolle,MATCH(C2611,Aktiviteter,0))&amp;"",INDEX(TekRoller,MATCH(B2611,Teknikere,0))))),"Mangler rollen "&amp;INDEX(AktRolle,MATCH(C2611,Aktiviteter,0))&amp;"",IF(AND(C2611="LMS",F2611&gt;0,OR(D2611="",E2611="")),"Mangler maskin eller arbeid",IF(AND(OR(C2611="LMS",C2611="Mod"),D2611&lt;&gt;""),IF(IFERROR(INDEX(MaskinStatus,MATCH(D2611,Maskiner,0)),"")="I dokk","","Maskinen er ikke i dokk"),""))))))</f>
        <v/>
      </c>
      <c r="L2611" s="2">
        <f>IF(B2611="","",IFERROR(INT((MATCH(B2611,Teknikere,0)-1)/18)+1,""))</f>
        <v/>
      </c>
      <c r="M2611" s="2">
        <f>IF(OR(A2611="",B2611=""),"",B2611&amp;"|"&amp;A2611)</f>
        <v/>
      </c>
      <c r="N2611" s="2">
        <f>IF(M2611="","",SUMIFS(TF_Timer,TF_Nokkel,M2611,TF_Akt,C2611))</f>
        <v/>
      </c>
      <c r="O2611" s="2">
        <f>IF(M2611="","",IF(AND(N2611=_xlfn.MAXIFS(TF_AktSum,TF_Nokkel,M2611),COUNTIFS(M$3:M2610,M2611,N$3:N2610,N2611)=0),M2611,""))</f>
        <v/>
      </c>
    </row>
    <row r="2612">
      <c r="A2612" s="34" t="n"/>
      <c r="B2612" s="35" t="n"/>
      <c r="C2612" s="35" t="n"/>
      <c r="D2612" s="35" t="n"/>
      <c r="E2612" s="35" t="n"/>
      <c r="F2612" s="36" t="n"/>
      <c r="G2612" s="35" t="n"/>
      <c r="H2612" s="30">
        <f>IF(L2612="","",INDEX(SkiftNavn,L2612))</f>
        <v/>
      </c>
      <c r="I2612" s="30">
        <f>IF(OR(A2612="",L2612=""),"",IF(MOD(A2612-INDEX(SkiftStart,L2612),Syklus)&lt;DagK,"Kveld",IF(MOD(A2612-INDEX(SkiftStart,L2612),Syklus)&lt;DagK+DagH,"Helg",IF(MOD(A2612-INDEX(SkiftStart,L2612),Syklus)&lt;DagK+DagH+DagD,"Dag","Fri"))))</f>
        <v/>
      </c>
      <c r="J2612" s="30">
        <f>IF(I2612="Fri","Ja","")</f>
        <v/>
      </c>
      <c r="K2612" s="30">
        <f>IF(B2612="","",IF(L2612="","Ukjent tekniker",IF(ISNA(MATCH(C2612,Aktiviteter,0)),"Ukjent aktivitet",IF(AND(INDEX(AktRolle,MATCH(C2612,Aktiviteter,0))&amp;""&lt;&gt;"",ISERROR(SEARCH(INDEX(AktRolle,MATCH(C2612,Aktiviteter,0))&amp;"",INDEX(TekRoller,MATCH(B2612,Teknikere,0))))),"Mangler rollen "&amp;INDEX(AktRolle,MATCH(C2612,Aktiviteter,0))&amp;"",IF(AND(C2612="LMS",F2612&gt;0,OR(D2612="",E2612="")),"Mangler maskin eller arbeid",IF(AND(OR(C2612="LMS",C2612="Mod"),D2612&lt;&gt;""),IF(IFERROR(INDEX(MaskinStatus,MATCH(D2612,Maskiner,0)),"")="I dokk","","Maskinen er ikke i dokk"),""))))))</f>
        <v/>
      </c>
      <c r="L2612" s="2">
        <f>IF(B2612="","",IFERROR(INT((MATCH(B2612,Teknikere,0)-1)/18)+1,""))</f>
        <v/>
      </c>
      <c r="M2612" s="2">
        <f>IF(OR(A2612="",B2612=""),"",B2612&amp;"|"&amp;A2612)</f>
        <v/>
      </c>
      <c r="N2612" s="2">
        <f>IF(M2612="","",SUMIFS(TF_Timer,TF_Nokkel,M2612,TF_Akt,C2612))</f>
        <v/>
      </c>
      <c r="O2612" s="2">
        <f>IF(M2612="","",IF(AND(N2612=_xlfn.MAXIFS(TF_AktSum,TF_Nokkel,M2612),COUNTIFS(M$3:M2611,M2612,N$3:N2611,N2612)=0),M2612,""))</f>
        <v/>
      </c>
    </row>
    <row r="2613">
      <c r="A2613" s="34" t="n"/>
      <c r="B2613" s="35" t="n"/>
      <c r="C2613" s="35" t="n"/>
      <c r="D2613" s="35" t="n"/>
      <c r="E2613" s="35" t="n"/>
      <c r="F2613" s="36" t="n"/>
      <c r="G2613" s="35" t="n"/>
      <c r="H2613" s="30">
        <f>IF(L2613="","",INDEX(SkiftNavn,L2613))</f>
        <v/>
      </c>
      <c r="I2613" s="30">
        <f>IF(OR(A2613="",L2613=""),"",IF(MOD(A2613-INDEX(SkiftStart,L2613),Syklus)&lt;DagK,"Kveld",IF(MOD(A2613-INDEX(SkiftStart,L2613),Syklus)&lt;DagK+DagH,"Helg",IF(MOD(A2613-INDEX(SkiftStart,L2613),Syklus)&lt;DagK+DagH+DagD,"Dag","Fri"))))</f>
        <v/>
      </c>
      <c r="J2613" s="30">
        <f>IF(I2613="Fri","Ja","")</f>
        <v/>
      </c>
      <c r="K2613" s="30">
        <f>IF(B2613="","",IF(L2613="","Ukjent tekniker",IF(ISNA(MATCH(C2613,Aktiviteter,0)),"Ukjent aktivitet",IF(AND(INDEX(AktRolle,MATCH(C2613,Aktiviteter,0))&amp;""&lt;&gt;"",ISERROR(SEARCH(INDEX(AktRolle,MATCH(C2613,Aktiviteter,0))&amp;"",INDEX(TekRoller,MATCH(B2613,Teknikere,0))))),"Mangler rollen "&amp;INDEX(AktRolle,MATCH(C2613,Aktiviteter,0))&amp;"",IF(AND(C2613="LMS",F2613&gt;0,OR(D2613="",E2613="")),"Mangler maskin eller arbeid",IF(AND(OR(C2613="LMS",C2613="Mod"),D2613&lt;&gt;""),IF(IFERROR(INDEX(MaskinStatus,MATCH(D2613,Maskiner,0)),"")="I dokk","","Maskinen er ikke i dokk"),""))))))</f>
        <v/>
      </c>
      <c r="L2613" s="2">
        <f>IF(B2613="","",IFERROR(INT((MATCH(B2613,Teknikere,0)-1)/18)+1,""))</f>
        <v/>
      </c>
      <c r="M2613" s="2">
        <f>IF(OR(A2613="",B2613=""),"",B2613&amp;"|"&amp;A2613)</f>
        <v/>
      </c>
      <c r="N2613" s="2">
        <f>IF(M2613="","",SUMIFS(TF_Timer,TF_Nokkel,M2613,TF_Akt,C2613))</f>
        <v/>
      </c>
      <c r="O2613" s="2">
        <f>IF(M2613="","",IF(AND(N2613=_xlfn.MAXIFS(TF_AktSum,TF_Nokkel,M2613),COUNTIFS(M$3:M2612,M2613,N$3:N2612,N2613)=0),M2613,""))</f>
        <v/>
      </c>
    </row>
    <row r="2614">
      <c r="A2614" s="34" t="n"/>
      <c r="B2614" s="35" t="n"/>
      <c r="C2614" s="35" t="n"/>
      <c r="D2614" s="35" t="n"/>
      <c r="E2614" s="35" t="n"/>
      <c r="F2614" s="36" t="n"/>
      <c r="G2614" s="35" t="n"/>
      <c r="H2614" s="30">
        <f>IF(L2614="","",INDEX(SkiftNavn,L2614))</f>
        <v/>
      </c>
      <c r="I2614" s="30">
        <f>IF(OR(A2614="",L2614=""),"",IF(MOD(A2614-INDEX(SkiftStart,L2614),Syklus)&lt;DagK,"Kveld",IF(MOD(A2614-INDEX(SkiftStart,L2614),Syklus)&lt;DagK+DagH,"Helg",IF(MOD(A2614-INDEX(SkiftStart,L2614),Syklus)&lt;DagK+DagH+DagD,"Dag","Fri"))))</f>
        <v/>
      </c>
      <c r="J2614" s="30">
        <f>IF(I2614="Fri","Ja","")</f>
        <v/>
      </c>
      <c r="K2614" s="30">
        <f>IF(B2614="","",IF(L2614="","Ukjent tekniker",IF(ISNA(MATCH(C2614,Aktiviteter,0)),"Ukjent aktivitet",IF(AND(INDEX(AktRolle,MATCH(C2614,Aktiviteter,0))&amp;""&lt;&gt;"",ISERROR(SEARCH(INDEX(AktRolle,MATCH(C2614,Aktiviteter,0))&amp;"",INDEX(TekRoller,MATCH(B2614,Teknikere,0))))),"Mangler rollen "&amp;INDEX(AktRolle,MATCH(C2614,Aktiviteter,0))&amp;"",IF(AND(C2614="LMS",F2614&gt;0,OR(D2614="",E2614="")),"Mangler maskin eller arbeid",IF(AND(OR(C2614="LMS",C2614="Mod"),D2614&lt;&gt;""),IF(IFERROR(INDEX(MaskinStatus,MATCH(D2614,Maskiner,0)),"")="I dokk","","Maskinen er ikke i dokk"),""))))))</f>
        <v/>
      </c>
      <c r="L2614" s="2">
        <f>IF(B2614="","",IFERROR(INT((MATCH(B2614,Teknikere,0)-1)/18)+1,""))</f>
        <v/>
      </c>
      <c r="M2614" s="2">
        <f>IF(OR(A2614="",B2614=""),"",B2614&amp;"|"&amp;A2614)</f>
        <v/>
      </c>
      <c r="N2614" s="2">
        <f>IF(M2614="","",SUMIFS(TF_Timer,TF_Nokkel,M2614,TF_Akt,C2614))</f>
        <v/>
      </c>
      <c r="O2614" s="2">
        <f>IF(M2614="","",IF(AND(N2614=_xlfn.MAXIFS(TF_AktSum,TF_Nokkel,M2614),COUNTIFS(M$3:M2613,M2614,N$3:N2613,N2614)=0),M2614,""))</f>
        <v/>
      </c>
    </row>
    <row r="2615">
      <c r="A2615" s="34" t="n"/>
      <c r="B2615" s="35" t="n"/>
      <c r="C2615" s="35" t="n"/>
      <c r="D2615" s="35" t="n"/>
      <c r="E2615" s="35" t="n"/>
      <c r="F2615" s="36" t="n"/>
      <c r="G2615" s="35" t="n"/>
      <c r="H2615" s="30">
        <f>IF(L2615="","",INDEX(SkiftNavn,L2615))</f>
        <v/>
      </c>
      <c r="I2615" s="30">
        <f>IF(OR(A2615="",L2615=""),"",IF(MOD(A2615-INDEX(SkiftStart,L2615),Syklus)&lt;DagK,"Kveld",IF(MOD(A2615-INDEX(SkiftStart,L2615),Syklus)&lt;DagK+DagH,"Helg",IF(MOD(A2615-INDEX(SkiftStart,L2615),Syklus)&lt;DagK+DagH+DagD,"Dag","Fri"))))</f>
        <v/>
      </c>
      <c r="J2615" s="30">
        <f>IF(I2615="Fri","Ja","")</f>
        <v/>
      </c>
      <c r="K2615" s="30">
        <f>IF(B2615="","",IF(L2615="","Ukjent tekniker",IF(ISNA(MATCH(C2615,Aktiviteter,0)),"Ukjent aktivitet",IF(AND(INDEX(AktRolle,MATCH(C2615,Aktiviteter,0))&amp;""&lt;&gt;"",ISERROR(SEARCH(INDEX(AktRolle,MATCH(C2615,Aktiviteter,0))&amp;"",INDEX(TekRoller,MATCH(B2615,Teknikere,0))))),"Mangler rollen "&amp;INDEX(AktRolle,MATCH(C2615,Aktiviteter,0))&amp;"",IF(AND(C2615="LMS",F2615&gt;0,OR(D2615="",E2615="")),"Mangler maskin eller arbeid",IF(AND(OR(C2615="LMS",C2615="Mod"),D2615&lt;&gt;""),IF(IFERROR(INDEX(MaskinStatus,MATCH(D2615,Maskiner,0)),"")="I dokk","","Maskinen er ikke i dokk"),""))))))</f>
        <v/>
      </c>
      <c r="L2615" s="2">
        <f>IF(B2615="","",IFERROR(INT((MATCH(B2615,Teknikere,0)-1)/18)+1,""))</f>
        <v/>
      </c>
      <c r="M2615" s="2">
        <f>IF(OR(A2615="",B2615=""),"",B2615&amp;"|"&amp;A2615)</f>
        <v/>
      </c>
      <c r="N2615" s="2">
        <f>IF(M2615="","",SUMIFS(TF_Timer,TF_Nokkel,M2615,TF_Akt,C2615))</f>
        <v/>
      </c>
      <c r="O2615" s="2">
        <f>IF(M2615="","",IF(AND(N2615=_xlfn.MAXIFS(TF_AktSum,TF_Nokkel,M2615),COUNTIFS(M$3:M2614,M2615,N$3:N2614,N2615)=0),M2615,""))</f>
        <v/>
      </c>
    </row>
    <row r="2616">
      <c r="A2616" s="34" t="n"/>
      <c r="B2616" s="35" t="n"/>
      <c r="C2616" s="35" t="n"/>
      <c r="D2616" s="35" t="n"/>
      <c r="E2616" s="35" t="n"/>
      <c r="F2616" s="36" t="n"/>
      <c r="G2616" s="35" t="n"/>
      <c r="H2616" s="30">
        <f>IF(L2616="","",INDEX(SkiftNavn,L2616))</f>
        <v/>
      </c>
      <c r="I2616" s="30">
        <f>IF(OR(A2616="",L2616=""),"",IF(MOD(A2616-INDEX(SkiftStart,L2616),Syklus)&lt;DagK,"Kveld",IF(MOD(A2616-INDEX(SkiftStart,L2616),Syklus)&lt;DagK+DagH,"Helg",IF(MOD(A2616-INDEX(SkiftStart,L2616),Syklus)&lt;DagK+DagH+DagD,"Dag","Fri"))))</f>
        <v/>
      </c>
      <c r="J2616" s="30">
        <f>IF(I2616="Fri","Ja","")</f>
        <v/>
      </c>
      <c r="K2616" s="30">
        <f>IF(B2616="","",IF(L2616="","Ukjent tekniker",IF(ISNA(MATCH(C2616,Aktiviteter,0)),"Ukjent aktivitet",IF(AND(INDEX(AktRolle,MATCH(C2616,Aktiviteter,0))&amp;""&lt;&gt;"",ISERROR(SEARCH(INDEX(AktRolle,MATCH(C2616,Aktiviteter,0))&amp;"",INDEX(TekRoller,MATCH(B2616,Teknikere,0))))),"Mangler rollen "&amp;INDEX(AktRolle,MATCH(C2616,Aktiviteter,0))&amp;"",IF(AND(C2616="LMS",F2616&gt;0,OR(D2616="",E2616="")),"Mangler maskin eller arbeid",IF(AND(OR(C2616="LMS",C2616="Mod"),D2616&lt;&gt;""),IF(IFERROR(INDEX(MaskinStatus,MATCH(D2616,Maskiner,0)),"")="I dokk","","Maskinen er ikke i dokk"),""))))))</f>
        <v/>
      </c>
      <c r="L2616" s="2">
        <f>IF(B2616="","",IFERROR(INT((MATCH(B2616,Teknikere,0)-1)/18)+1,""))</f>
        <v/>
      </c>
      <c r="M2616" s="2">
        <f>IF(OR(A2616="",B2616=""),"",B2616&amp;"|"&amp;A2616)</f>
        <v/>
      </c>
      <c r="N2616" s="2">
        <f>IF(M2616="","",SUMIFS(TF_Timer,TF_Nokkel,M2616,TF_Akt,C2616))</f>
        <v/>
      </c>
      <c r="O2616" s="2">
        <f>IF(M2616="","",IF(AND(N2616=_xlfn.MAXIFS(TF_AktSum,TF_Nokkel,M2616),COUNTIFS(M$3:M2615,M2616,N$3:N2615,N2616)=0),M2616,""))</f>
        <v/>
      </c>
    </row>
    <row r="2617">
      <c r="A2617" s="34" t="n"/>
      <c r="B2617" s="35" t="n"/>
      <c r="C2617" s="35" t="n"/>
      <c r="D2617" s="35" t="n"/>
      <c r="E2617" s="35" t="n"/>
      <c r="F2617" s="36" t="n"/>
      <c r="G2617" s="35" t="n"/>
      <c r="H2617" s="30">
        <f>IF(L2617="","",INDEX(SkiftNavn,L2617))</f>
        <v/>
      </c>
      <c r="I2617" s="30">
        <f>IF(OR(A2617="",L2617=""),"",IF(MOD(A2617-INDEX(SkiftStart,L2617),Syklus)&lt;DagK,"Kveld",IF(MOD(A2617-INDEX(SkiftStart,L2617),Syklus)&lt;DagK+DagH,"Helg",IF(MOD(A2617-INDEX(SkiftStart,L2617),Syklus)&lt;DagK+DagH+DagD,"Dag","Fri"))))</f>
        <v/>
      </c>
      <c r="J2617" s="30">
        <f>IF(I2617="Fri","Ja","")</f>
        <v/>
      </c>
      <c r="K2617" s="30">
        <f>IF(B2617="","",IF(L2617="","Ukjent tekniker",IF(ISNA(MATCH(C2617,Aktiviteter,0)),"Ukjent aktivitet",IF(AND(INDEX(AktRolle,MATCH(C2617,Aktiviteter,0))&amp;""&lt;&gt;"",ISERROR(SEARCH(INDEX(AktRolle,MATCH(C2617,Aktiviteter,0))&amp;"",INDEX(TekRoller,MATCH(B2617,Teknikere,0))))),"Mangler rollen "&amp;INDEX(AktRolle,MATCH(C2617,Aktiviteter,0))&amp;"",IF(AND(C2617="LMS",F2617&gt;0,OR(D2617="",E2617="")),"Mangler maskin eller arbeid",IF(AND(OR(C2617="LMS",C2617="Mod"),D2617&lt;&gt;""),IF(IFERROR(INDEX(MaskinStatus,MATCH(D2617,Maskiner,0)),"")="I dokk","","Maskinen er ikke i dokk"),""))))))</f>
        <v/>
      </c>
      <c r="L2617" s="2">
        <f>IF(B2617="","",IFERROR(INT((MATCH(B2617,Teknikere,0)-1)/18)+1,""))</f>
        <v/>
      </c>
      <c r="M2617" s="2">
        <f>IF(OR(A2617="",B2617=""),"",B2617&amp;"|"&amp;A2617)</f>
        <v/>
      </c>
      <c r="N2617" s="2">
        <f>IF(M2617="","",SUMIFS(TF_Timer,TF_Nokkel,M2617,TF_Akt,C2617))</f>
        <v/>
      </c>
      <c r="O2617" s="2">
        <f>IF(M2617="","",IF(AND(N2617=_xlfn.MAXIFS(TF_AktSum,TF_Nokkel,M2617),COUNTIFS(M$3:M2616,M2617,N$3:N2616,N2617)=0),M2617,""))</f>
        <v/>
      </c>
    </row>
    <row r="2618">
      <c r="A2618" s="34" t="n"/>
      <c r="B2618" s="35" t="n"/>
      <c r="C2618" s="35" t="n"/>
      <c r="D2618" s="35" t="n"/>
      <c r="E2618" s="35" t="n"/>
      <c r="F2618" s="36" t="n"/>
      <c r="G2618" s="35" t="n"/>
      <c r="H2618" s="30">
        <f>IF(L2618="","",INDEX(SkiftNavn,L2618))</f>
        <v/>
      </c>
      <c r="I2618" s="30">
        <f>IF(OR(A2618="",L2618=""),"",IF(MOD(A2618-INDEX(SkiftStart,L2618),Syklus)&lt;DagK,"Kveld",IF(MOD(A2618-INDEX(SkiftStart,L2618),Syklus)&lt;DagK+DagH,"Helg",IF(MOD(A2618-INDEX(SkiftStart,L2618),Syklus)&lt;DagK+DagH+DagD,"Dag","Fri"))))</f>
        <v/>
      </c>
      <c r="J2618" s="30">
        <f>IF(I2618="Fri","Ja","")</f>
        <v/>
      </c>
      <c r="K2618" s="30">
        <f>IF(B2618="","",IF(L2618="","Ukjent tekniker",IF(ISNA(MATCH(C2618,Aktiviteter,0)),"Ukjent aktivitet",IF(AND(INDEX(AktRolle,MATCH(C2618,Aktiviteter,0))&amp;""&lt;&gt;"",ISERROR(SEARCH(INDEX(AktRolle,MATCH(C2618,Aktiviteter,0))&amp;"",INDEX(TekRoller,MATCH(B2618,Teknikere,0))))),"Mangler rollen "&amp;INDEX(AktRolle,MATCH(C2618,Aktiviteter,0))&amp;"",IF(AND(C2618="LMS",F2618&gt;0,OR(D2618="",E2618="")),"Mangler maskin eller arbeid",IF(AND(OR(C2618="LMS",C2618="Mod"),D2618&lt;&gt;""),IF(IFERROR(INDEX(MaskinStatus,MATCH(D2618,Maskiner,0)),"")="I dokk","","Maskinen er ikke i dokk"),""))))))</f>
        <v/>
      </c>
      <c r="L2618" s="2">
        <f>IF(B2618="","",IFERROR(INT((MATCH(B2618,Teknikere,0)-1)/18)+1,""))</f>
        <v/>
      </c>
      <c r="M2618" s="2">
        <f>IF(OR(A2618="",B2618=""),"",B2618&amp;"|"&amp;A2618)</f>
        <v/>
      </c>
      <c r="N2618" s="2">
        <f>IF(M2618="","",SUMIFS(TF_Timer,TF_Nokkel,M2618,TF_Akt,C2618))</f>
        <v/>
      </c>
      <c r="O2618" s="2">
        <f>IF(M2618="","",IF(AND(N2618=_xlfn.MAXIFS(TF_AktSum,TF_Nokkel,M2618),COUNTIFS(M$3:M2617,M2618,N$3:N2617,N2618)=0),M2618,""))</f>
        <v/>
      </c>
    </row>
    <row r="2619">
      <c r="A2619" s="34" t="n"/>
      <c r="B2619" s="35" t="n"/>
      <c r="C2619" s="35" t="n"/>
      <c r="D2619" s="35" t="n"/>
      <c r="E2619" s="35" t="n"/>
      <c r="F2619" s="36" t="n"/>
      <c r="G2619" s="35" t="n"/>
      <c r="H2619" s="30">
        <f>IF(L2619="","",INDEX(SkiftNavn,L2619))</f>
        <v/>
      </c>
      <c r="I2619" s="30">
        <f>IF(OR(A2619="",L2619=""),"",IF(MOD(A2619-INDEX(SkiftStart,L2619),Syklus)&lt;DagK,"Kveld",IF(MOD(A2619-INDEX(SkiftStart,L2619),Syklus)&lt;DagK+DagH,"Helg",IF(MOD(A2619-INDEX(SkiftStart,L2619),Syklus)&lt;DagK+DagH+DagD,"Dag","Fri"))))</f>
        <v/>
      </c>
      <c r="J2619" s="30">
        <f>IF(I2619="Fri","Ja","")</f>
        <v/>
      </c>
      <c r="K2619" s="30">
        <f>IF(B2619="","",IF(L2619="","Ukjent tekniker",IF(ISNA(MATCH(C2619,Aktiviteter,0)),"Ukjent aktivitet",IF(AND(INDEX(AktRolle,MATCH(C2619,Aktiviteter,0))&amp;""&lt;&gt;"",ISERROR(SEARCH(INDEX(AktRolle,MATCH(C2619,Aktiviteter,0))&amp;"",INDEX(TekRoller,MATCH(B2619,Teknikere,0))))),"Mangler rollen "&amp;INDEX(AktRolle,MATCH(C2619,Aktiviteter,0))&amp;"",IF(AND(C2619="LMS",F2619&gt;0,OR(D2619="",E2619="")),"Mangler maskin eller arbeid",IF(AND(OR(C2619="LMS",C2619="Mod"),D2619&lt;&gt;""),IF(IFERROR(INDEX(MaskinStatus,MATCH(D2619,Maskiner,0)),"")="I dokk","","Maskinen er ikke i dokk"),""))))))</f>
        <v/>
      </c>
      <c r="L2619" s="2">
        <f>IF(B2619="","",IFERROR(INT((MATCH(B2619,Teknikere,0)-1)/18)+1,""))</f>
        <v/>
      </c>
      <c r="M2619" s="2">
        <f>IF(OR(A2619="",B2619=""),"",B2619&amp;"|"&amp;A2619)</f>
        <v/>
      </c>
      <c r="N2619" s="2">
        <f>IF(M2619="","",SUMIFS(TF_Timer,TF_Nokkel,M2619,TF_Akt,C2619))</f>
        <v/>
      </c>
      <c r="O2619" s="2">
        <f>IF(M2619="","",IF(AND(N2619=_xlfn.MAXIFS(TF_AktSum,TF_Nokkel,M2619),COUNTIFS(M$3:M2618,M2619,N$3:N2618,N2619)=0),M2619,""))</f>
        <v/>
      </c>
    </row>
    <row r="2620">
      <c r="A2620" s="34" t="n"/>
      <c r="B2620" s="35" t="n"/>
      <c r="C2620" s="35" t="n"/>
      <c r="D2620" s="35" t="n"/>
      <c r="E2620" s="35" t="n"/>
      <c r="F2620" s="36" t="n"/>
      <c r="G2620" s="35" t="n"/>
      <c r="H2620" s="30">
        <f>IF(L2620="","",INDEX(SkiftNavn,L2620))</f>
        <v/>
      </c>
      <c r="I2620" s="30">
        <f>IF(OR(A2620="",L2620=""),"",IF(MOD(A2620-INDEX(SkiftStart,L2620),Syklus)&lt;DagK,"Kveld",IF(MOD(A2620-INDEX(SkiftStart,L2620),Syklus)&lt;DagK+DagH,"Helg",IF(MOD(A2620-INDEX(SkiftStart,L2620),Syklus)&lt;DagK+DagH+DagD,"Dag","Fri"))))</f>
        <v/>
      </c>
      <c r="J2620" s="30">
        <f>IF(I2620="Fri","Ja","")</f>
        <v/>
      </c>
      <c r="K2620" s="30">
        <f>IF(B2620="","",IF(L2620="","Ukjent tekniker",IF(ISNA(MATCH(C2620,Aktiviteter,0)),"Ukjent aktivitet",IF(AND(INDEX(AktRolle,MATCH(C2620,Aktiviteter,0))&amp;""&lt;&gt;"",ISERROR(SEARCH(INDEX(AktRolle,MATCH(C2620,Aktiviteter,0))&amp;"",INDEX(TekRoller,MATCH(B2620,Teknikere,0))))),"Mangler rollen "&amp;INDEX(AktRolle,MATCH(C2620,Aktiviteter,0))&amp;"",IF(AND(C2620="LMS",F2620&gt;0,OR(D2620="",E2620="")),"Mangler maskin eller arbeid",IF(AND(OR(C2620="LMS",C2620="Mod"),D2620&lt;&gt;""),IF(IFERROR(INDEX(MaskinStatus,MATCH(D2620,Maskiner,0)),"")="I dokk","","Maskinen er ikke i dokk"),""))))))</f>
        <v/>
      </c>
      <c r="L2620" s="2">
        <f>IF(B2620="","",IFERROR(INT((MATCH(B2620,Teknikere,0)-1)/18)+1,""))</f>
        <v/>
      </c>
      <c r="M2620" s="2">
        <f>IF(OR(A2620="",B2620=""),"",B2620&amp;"|"&amp;A2620)</f>
        <v/>
      </c>
      <c r="N2620" s="2">
        <f>IF(M2620="","",SUMIFS(TF_Timer,TF_Nokkel,M2620,TF_Akt,C2620))</f>
        <v/>
      </c>
      <c r="O2620" s="2">
        <f>IF(M2620="","",IF(AND(N2620=_xlfn.MAXIFS(TF_AktSum,TF_Nokkel,M2620),COUNTIFS(M$3:M2619,M2620,N$3:N2619,N2620)=0),M2620,""))</f>
        <v/>
      </c>
    </row>
    <row r="2621">
      <c r="A2621" s="34" t="n"/>
      <c r="B2621" s="35" t="n"/>
      <c r="C2621" s="35" t="n"/>
      <c r="D2621" s="35" t="n"/>
      <c r="E2621" s="35" t="n"/>
      <c r="F2621" s="36" t="n"/>
      <c r="G2621" s="35" t="n"/>
      <c r="H2621" s="30">
        <f>IF(L2621="","",INDEX(SkiftNavn,L2621))</f>
        <v/>
      </c>
      <c r="I2621" s="30">
        <f>IF(OR(A2621="",L2621=""),"",IF(MOD(A2621-INDEX(SkiftStart,L2621),Syklus)&lt;DagK,"Kveld",IF(MOD(A2621-INDEX(SkiftStart,L2621),Syklus)&lt;DagK+DagH,"Helg",IF(MOD(A2621-INDEX(SkiftStart,L2621),Syklus)&lt;DagK+DagH+DagD,"Dag","Fri"))))</f>
        <v/>
      </c>
      <c r="J2621" s="30">
        <f>IF(I2621="Fri","Ja","")</f>
        <v/>
      </c>
      <c r="K2621" s="30">
        <f>IF(B2621="","",IF(L2621="","Ukjent tekniker",IF(ISNA(MATCH(C2621,Aktiviteter,0)),"Ukjent aktivitet",IF(AND(INDEX(AktRolle,MATCH(C2621,Aktiviteter,0))&amp;""&lt;&gt;"",ISERROR(SEARCH(INDEX(AktRolle,MATCH(C2621,Aktiviteter,0))&amp;"",INDEX(TekRoller,MATCH(B2621,Teknikere,0))))),"Mangler rollen "&amp;INDEX(AktRolle,MATCH(C2621,Aktiviteter,0))&amp;"",IF(AND(C2621="LMS",F2621&gt;0,OR(D2621="",E2621="")),"Mangler maskin eller arbeid",IF(AND(OR(C2621="LMS",C2621="Mod"),D2621&lt;&gt;""),IF(IFERROR(INDEX(MaskinStatus,MATCH(D2621,Maskiner,0)),"")="I dokk","","Maskinen er ikke i dokk"),""))))))</f>
        <v/>
      </c>
      <c r="L2621" s="2">
        <f>IF(B2621="","",IFERROR(INT((MATCH(B2621,Teknikere,0)-1)/18)+1,""))</f>
        <v/>
      </c>
      <c r="M2621" s="2">
        <f>IF(OR(A2621="",B2621=""),"",B2621&amp;"|"&amp;A2621)</f>
        <v/>
      </c>
      <c r="N2621" s="2">
        <f>IF(M2621="","",SUMIFS(TF_Timer,TF_Nokkel,M2621,TF_Akt,C2621))</f>
        <v/>
      </c>
      <c r="O2621" s="2">
        <f>IF(M2621="","",IF(AND(N2621=_xlfn.MAXIFS(TF_AktSum,TF_Nokkel,M2621),COUNTIFS(M$3:M2620,M2621,N$3:N2620,N2621)=0),M2621,""))</f>
        <v/>
      </c>
    </row>
    <row r="2622">
      <c r="A2622" s="34" t="n"/>
      <c r="B2622" s="35" t="n"/>
      <c r="C2622" s="35" t="n"/>
      <c r="D2622" s="35" t="n"/>
      <c r="E2622" s="35" t="n"/>
      <c r="F2622" s="36" t="n"/>
      <c r="G2622" s="35" t="n"/>
      <c r="H2622" s="30">
        <f>IF(L2622="","",INDEX(SkiftNavn,L2622))</f>
        <v/>
      </c>
      <c r="I2622" s="30">
        <f>IF(OR(A2622="",L2622=""),"",IF(MOD(A2622-INDEX(SkiftStart,L2622),Syklus)&lt;DagK,"Kveld",IF(MOD(A2622-INDEX(SkiftStart,L2622),Syklus)&lt;DagK+DagH,"Helg",IF(MOD(A2622-INDEX(SkiftStart,L2622),Syklus)&lt;DagK+DagH+DagD,"Dag","Fri"))))</f>
        <v/>
      </c>
      <c r="J2622" s="30">
        <f>IF(I2622="Fri","Ja","")</f>
        <v/>
      </c>
      <c r="K2622" s="30">
        <f>IF(B2622="","",IF(L2622="","Ukjent tekniker",IF(ISNA(MATCH(C2622,Aktiviteter,0)),"Ukjent aktivitet",IF(AND(INDEX(AktRolle,MATCH(C2622,Aktiviteter,0))&amp;""&lt;&gt;"",ISERROR(SEARCH(INDEX(AktRolle,MATCH(C2622,Aktiviteter,0))&amp;"",INDEX(TekRoller,MATCH(B2622,Teknikere,0))))),"Mangler rollen "&amp;INDEX(AktRolle,MATCH(C2622,Aktiviteter,0))&amp;"",IF(AND(C2622="LMS",F2622&gt;0,OR(D2622="",E2622="")),"Mangler maskin eller arbeid",IF(AND(OR(C2622="LMS",C2622="Mod"),D2622&lt;&gt;""),IF(IFERROR(INDEX(MaskinStatus,MATCH(D2622,Maskiner,0)),"")="I dokk","","Maskinen er ikke i dokk"),""))))))</f>
        <v/>
      </c>
      <c r="L2622" s="2">
        <f>IF(B2622="","",IFERROR(INT((MATCH(B2622,Teknikere,0)-1)/18)+1,""))</f>
        <v/>
      </c>
      <c r="M2622" s="2">
        <f>IF(OR(A2622="",B2622=""),"",B2622&amp;"|"&amp;A2622)</f>
        <v/>
      </c>
      <c r="N2622" s="2">
        <f>IF(M2622="","",SUMIFS(TF_Timer,TF_Nokkel,M2622,TF_Akt,C2622))</f>
        <v/>
      </c>
      <c r="O2622" s="2">
        <f>IF(M2622="","",IF(AND(N2622=_xlfn.MAXIFS(TF_AktSum,TF_Nokkel,M2622),COUNTIFS(M$3:M2621,M2622,N$3:N2621,N2622)=0),M2622,""))</f>
        <v/>
      </c>
    </row>
    <row r="2623">
      <c r="A2623" s="34" t="n"/>
      <c r="B2623" s="35" t="n"/>
      <c r="C2623" s="35" t="n"/>
      <c r="D2623" s="35" t="n"/>
      <c r="E2623" s="35" t="n"/>
      <c r="F2623" s="36" t="n"/>
      <c r="G2623" s="35" t="n"/>
      <c r="H2623" s="30">
        <f>IF(L2623="","",INDEX(SkiftNavn,L2623))</f>
        <v/>
      </c>
      <c r="I2623" s="30">
        <f>IF(OR(A2623="",L2623=""),"",IF(MOD(A2623-INDEX(SkiftStart,L2623),Syklus)&lt;DagK,"Kveld",IF(MOD(A2623-INDEX(SkiftStart,L2623),Syklus)&lt;DagK+DagH,"Helg",IF(MOD(A2623-INDEX(SkiftStart,L2623),Syklus)&lt;DagK+DagH+DagD,"Dag","Fri"))))</f>
        <v/>
      </c>
      <c r="J2623" s="30">
        <f>IF(I2623="Fri","Ja","")</f>
        <v/>
      </c>
      <c r="K2623" s="30">
        <f>IF(B2623="","",IF(L2623="","Ukjent tekniker",IF(ISNA(MATCH(C2623,Aktiviteter,0)),"Ukjent aktivitet",IF(AND(INDEX(AktRolle,MATCH(C2623,Aktiviteter,0))&amp;""&lt;&gt;"",ISERROR(SEARCH(INDEX(AktRolle,MATCH(C2623,Aktiviteter,0))&amp;"",INDEX(TekRoller,MATCH(B2623,Teknikere,0))))),"Mangler rollen "&amp;INDEX(AktRolle,MATCH(C2623,Aktiviteter,0))&amp;"",IF(AND(C2623="LMS",F2623&gt;0,OR(D2623="",E2623="")),"Mangler maskin eller arbeid",IF(AND(OR(C2623="LMS",C2623="Mod"),D2623&lt;&gt;""),IF(IFERROR(INDEX(MaskinStatus,MATCH(D2623,Maskiner,0)),"")="I dokk","","Maskinen er ikke i dokk"),""))))))</f>
        <v/>
      </c>
      <c r="L2623" s="2">
        <f>IF(B2623="","",IFERROR(INT((MATCH(B2623,Teknikere,0)-1)/18)+1,""))</f>
        <v/>
      </c>
      <c r="M2623" s="2">
        <f>IF(OR(A2623="",B2623=""),"",B2623&amp;"|"&amp;A2623)</f>
        <v/>
      </c>
      <c r="N2623" s="2">
        <f>IF(M2623="","",SUMIFS(TF_Timer,TF_Nokkel,M2623,TF_Akt,C2623))</f>
        <v/>
      </c>
      <c r="O2623" s="2">
        <f>IF(M2623="","",IF(AND(N2623=_xlfn.MAXIFS(TF_AktSum,TF_Nokkel,M2623),COUNTIFS(M$3:M2622,M2623,N$3:N2622,N2623)=0),M2623,""))</f>
        <v/>
      </c>
    </row>
    <row r="2624">
      <c r="A2624" s="34" t="n"/>
      <c r="B2624" s="35" t="n"/>
      <c r="C2624" s="35" t="n"/>
      <c r="D2624" s="35" t="n"/>
      <c r="E2624" s="35" t="n"/>
      <c r="F2624" s="36" t="n"/>
      <c r="G2624" s="35" t="n"/>
      <c r="H2624" s="30">
        <f>IF(L2624="","",INDEX(SkiftNavn,L2624))</f>
        <v/>
      </c>
      <c r="I2624" s="30">
        <f>IF(OR(A2624="",L2624=""),"",IF(MOD(A2624-INDEX(SkiftStart,L2624),Syklus)&lt;DagK,"Kveld",IF(MOD(A2624-INDEX(SkiftStart,L2624),Syklus)&lt;DagK+DagH,"Helg",IF(MOD(A2624-INDEX(SkiftStart,L2624),Syklus)&lt;DagK+DagH+DagD,"Dag","Fri"))))</f>
        <v/>
      </c>
      <c r="J2624" s="30">
        <f>IF(I2624="Fri","Ja","")</f>
        <v/>
      </c>
      <c r="K2624" s="30">
        <f>IF(B2624="","",IF(L2624="","Ukjent tekniker",IF(ISNA(MATCH(C2624,Aktiviteter,0)),"Ukjent aktivitet",IF(AND(INDEX(AktRolle,MATCH(C2624,Aktiviteter,0))&amp;""&lt;&gt;"",ISERROR(SEARCH(INDEX(AktRolle,MATCH(C2624,Aktiviteter,0))&amp;"",INDEX(TekRoller,MATCH(B2624,Teknikere,0))))),"Mangler rollen "&amp;INDEX(AktRolle,MATCH(C2624,Aktiviteter,0))&amp;"",IF(AND(C2624="LMS",F2624&gt;0,OR(D2624="",E2624="")),"Mangler maskin eller arbeid",IF(AND(OR(C2624="LMS",C2624="Mod"),D2624&lt;&gt;""),IF(IFERROR(INDEX(MaskinStatus,MATCH(D2624,Maskiner,0)),"")="I dokk","","Maskinen er ikke i dokk"),""))))))</f>
        <v/>
      </c>
      <c r="L2624" s="2">
        <f>IF(B2624="","",IFERROR(INT((MATCH(B2624,Teknikere,0)-1)/18)+1,""))</f>
        <v/>
      </c>
      <c r="M2624" s="2">
        <f>IF(OR(A2624="",B2624=""),"",B2624&amp;"|"&amp;A2624)</f>
        <v/>
      </c>
      <c r="N2624" s="2">
        <f>IF(M2624="","",SUMIFS(TF_Timer,TF_Nokkel,M2624,TF_Akt,C2624))</f>
        <v/>
      </c>
      <c r="O2624" s="2">
        <f>IF(M2624="","",IF(AND(N2624=_xlfn.MAXIFS(TF_AktSum,TF_Nokkel,M2624),COUNTIFS(M$3:M2623,M2624,N$3:N2623,N2624)=0),M2624,""))</f>
        <v/>
      </c>
    </row>
    <row r="2625">
      <c r="A2625" s="34" t="n"/>
      <c r="B2625" s="35" t="n"/>
      <c r="C2625" s="35" t="n"/>
      <c r="D2625" s="35" t="n"/>
      <c r="E2625" s="35" t="n"/>
      <c r="F2625" s="36" t="n"/>
      <c r="G2625" s="35" t="n"/>
      <c r="H2625" s="30">
        <f>IF(L2625="","",INDEX(SkiftNavn,L2625))</f>
        <v/>
      </c>
      <c r="I2625" s="30">
        <f>IF(OR(A2625="",L2625=""),"",IF(MOD(A2625-INDEX(SkiftStart,L2625),Syklus)&lt;DagK,"Kveld",IF(MOD(A2625-INDEX(SkiftStart,L2625),Syklus)&lt;DagK+DagH,"Helg",IF(MOD(A2625-INDEX(SkiftStart,L2625),Syklus)&lt;DagK+DagH+DagD,"Dag","Fri"))))</f>
        <v/>
      </c>
      <c r="J2625" s="30">
        <f>IF(I2625="Fri","Ja","")</f>
        <v/>
      </c>
      <c r="K2625" s="30">
        <f>IF(B2625="","",IF(L2625="","Ukjent tekniker",IF(ISNA(MATCH(C2625,Aktiviteter,0)),"Ukjent aktivitet",IF(AND(INDEX(AktRolle,MATCH(C2625,Aktiviteter,0))&amp;""&lt;&gt;"",ISERROR(SEARCH(INDEX(AktRolle,MATCH(C2625,Aktiviteter,0))&amp;"",INDEX(TekRoller,MATCH(B2625,Teknikere,0))))),"Mangler rollen "&amp;INDEX(AktRolle,MATCH(C2625,Aktiviteter,0))&amp;"",IF(AND(C2625="LMS",F2625&gt;0,OR(D2625="",E2625="")),"Mangler maskin eller arbeid",IF(AND(OR(C2625="LMS",C2625="Mod"),D2625&lt;&gt;""),IF(IFERROR(INDEX(MaskinStatus,MATCH(D2625,Maskiner,0)),"")="I dokk","","Maskinen er ikke i dokk"),""))))))</f>
        <v/>
      </c>
      <c r="L2625" s="2">
        <f>IF(B2625="","",IFERROR(INT((MATCH(B2625,Teknikere,0)-1)/18)+1,""))</f>
        <v/>
      </c>
      <c r="M2625" s="2">
        <f>IF(OR(A2625="",B2625=""),"",B2625&amp;"|"&amp;A2625)</f>
        <v/>
      </c>
      <c r="N2625" s="2">
        <f>IF(M2625="","",SUMIFS(TF_Timer,TF_Nokkel,M2625,TF_Akt,C2625))</f>
        <v/>
      </c>
      <c r="O2625" s="2">
        <f>IF(M2625="","",IF(AND(N2625=_xlfn.MAXIFS(TF_AktSum,TF_Nokkel,M2625),COUNTIFS(M$3:M2624,M2625,N$3:N2624,N2625)=0),M2625,""))</f>
        <v/>
      </c>
    </row>
    <row r="2626">
      <c r="A2626" s="34" t="n"/>
      <c r="B2626" s="35" t="n"/>
      <c r="C2626" s="35" t="n"/>
      <c r="D2626" s="35" t="n"/>
      <c r="E2626" s="35" t="n"/>
      <c r="F2626" s="36" t="n"/>
      <c r="G2626" s="35" t="n"/>
      <c r="H2626" s="30">
        <f>IF(L2626="","",INDEX(SkiftNavn,L2626))</f>
        <v/>
      </c>
      <c r="I2626" s="30">
        <f>IF(OR(A2626="",L2626=""),"",IF(MOD(A2626-INDEX(SkiftStart,L2626),Syklus)&lt;DagK,"Kveld",IF(MOD(A2626-INDEX(SkiftStart,L2626),Syklus)&lt;DagK+DagH,"Helg",IF(MOD(A2626-INDEX(SkiftStart,L2626),Syklus)&lt;DagK+DagH+DagD,"Dag","Fri"))))</f>
        <v/>
      </c>
      <c r="J2626" s="30">
        <f>IF(I2626="Fri","Ja","")</f>
        <v/>
      </c>
      <c r="K2626" s="30">
        <f>IF(B2626="","",IF(L2626="","Ukjent tekniker",IF(ISNA(MATCH(C2626,Aktiviteter,0)),"Ukjent aktivitet",IF(AND(INDEX(AktRolle,MATCH(C2626,Aktiviteter,0))&amp;""&lt;&gt;"",ISERROR(SEARCH(INDEX(AktRolle,MATCH(C2626,Aktiviteter,0))&amp;"",INDEX(TekRoller,MATCH(B2626,Teknikere,0))))),"Mangler rollen "&amp;INDEX(AktRolle,MATCH(C2626,Aktiviteter,0))&amp;"",IF(AND(C2626="LMS",F2626&gt;0,OR(D2626="",E2626="")),"Mangler maskin eller arbeid",IF(AND(OR(C2626="LMS",C2626="Mod"),D2626&lt;&gt;""),IF(IFERROR(INDEX(MaskinStatus,MATCH(D2626,Maskiner,0)),"")="I dokk","","Maskinen er ikke i dokk"),""))))))</f>
        <v/>
      </c>
      <c r="L2626" s="2">
        <f>IF(B2626="","",IFERROR(INT((MATCH(B2626,Teknikere,0)-1)/18)+1,""))</f>
        <v/>
      </c>
      <c r="M2626" s="2">
        <f>IF(OR(A2626="",B2626=""),"",B2626&amp;"|"&amp;A2626)</f>
        <v/>
      </c>
      <c r="N2626" s="2">
        <f>IF(M2626="","",SUMIFS(TF_Timer,TF_Nokkel,M2626,TF_Akt,C2626))</f>
        <v/>
      </c>
      <c r="O2626" s="2">
        <f>IF(M2626="","",IF(AND(N2626=_xlfn.MAXIFS(TF_AktSum,TF_Nokkel,M2626),COUNTIFS(M$3:M2625,M2626,N$3:N2625,N2626)=0),M2626,""))</f>
        <v/>
      </c>
    </row>
    <row r="2627">
      <c r="A2627" s="34" t="n"/>
      <c r="B2627" s="35" t="n"/>
      <c r="C2627" s="35" t="n"/>
      <c r="D2627" s="35" t="n"/>
      <c r="E2627" s="35" t="n"/>
      <c r="F2627" s="36" t="n"/>
      <c r="G2627" s="35" t="n"/>
      <c r="H2627" s="30">
        <f>IF(L2627="","",INDEX(SkiftNavn,L2627))</f>
        <v/>
      </c>
      <c r="I2627" s="30">
        <f>IF(OR(A2627="",L2627=""),"",IF(MOD(A2627-INDEX(SkiftStart,L2627),Syklus)&lt;DagK,"Kveld",IF(MOD(A2627-INDEX(SkiftStart,L2627),Syklus)&lt;DagK+DagH,"Helg",IF(MOD(A2627-INDEX(SkiftStart,L2627),Syklus)&lt;DagK+DagH+DagD,"Dag","Fri"))))</f>
        <v/>
      </c>
      <c r="J2627" s="30">
        <f>IF(I2627="Fri","Ja","")</f>
        <v/>
      </c>
      <c r="K2627" s="30">
        <f>IF(B2627="","",IF(L2627="","Ukjent tekniker",IF(ISNA(MATCH(C2627,Aktiviteter,0)),"Ukjent aktivitet",IF(AND(INDEX(AktRolle,MATCH(C2627,Aktiviteter,0))&amp;""&lt;&gt;"",ISERROR(SEARCH(INDEX(AktRolle,MATCH(C2627,Aktiviteter,0))&amp;"",INDEX(TekRoller,MATCH(B2627,Teknikere,0))))),"Mangler rollen "&amp;INDEX(AktRolle,MATCH(C2627,Aktiviteter,0))&amp;"",IF(AND(C2627="LMS",F2627&gt;0,OR(D2627="",E2627="")),"Mangler maskin eller arbeid",IF(AND(OR(C2627="LMS",C2627="Mod"),D2627&lt;&gt;""),IF(IFERROR(INDEX(MaskinStatus,MATCH(D2627,Maskiner,0)),"")="I dokk","","Maskinen er ikke i dokk"),""))))))</f>
        <v/>
      </c>
      <c r="L2627" s="2">
        <f>IF(B2627="","",IFERROR(INT((MATCH(B2627,Teknikere,0)-1)/18)+1,""))</f>
        <v/>
      </c>
      <c r="M2627" s="2">
        <f>IF(OR(A2627="",B2627=""),"",B2627&amp;"|"&amp;A2627)</f>
        <v/>
      </c>
      <c r="N2627" s="2">
        <f>IF(M2627="","",SUMIFS(TF_Timer,TF_Nokkel,M2627,TF_Akt,C2627))</f>
        <v/>
      </c>
      <c r="O2627" s="2">
        <f>IF(M2627="","",IF(AND(N2627=_xlfn.MAXIFS(TF_AktSum,TF_Nokkel,M2627),COUNTIFS(M$3:M2626,M2627,N$3:N2626,N2627)=0),M2627,""))</f>
        <v/>
      </c>
    </row>
    <row r="2628">
      <c r="A2628" s="34" t="n"/>
      <c r="B2628" s="35" t="n"/>
      <c r="C2628" s="35" t="n"/>
      <c r="D2628" s="35" t="n"/>
      <c r="E2628" s="35" t="n"/>
      <c r="F2628" s="36" t="n"/>
      <c r="G2628" s="35" t="n"/>
      <c r="H2628" s="30">
        <f>IF(L2628="","",INDEX(SkiftNavn,L2628))</f>
        <v/>
      </c>
      <c r="I2628" s="30">
        <f>IF(OR(A2628="",L2628=""),"",IF(MOD(A2628-INDEX(SkiftStart,L2628),Syklus)&lt;DagK,"Kveld",IF(MOD(A2628-INDEX(SkiftStart,L2628),Syklus)&lt;DagK+DagH,"Helg",IF(MOD(A2628-INDEX(SkiftStart,L2628),Syklus)&lt;DagK+DagH+DagD,"Dag","Fri"))))</f>
        <v/>
      </c>
      <c r="J2628" s="30">
        <f>IF(I2628="Fri","Ja","")</f>
        <v/>
      </c>
      <c r="K2628" s="30">
        <f>IF(B2628="","",IF(L2628="","Ukjent tekniker",IF(ISNA(MATCH(C2628,Aktiviteter,0)),"Ukjent aktivitet",IF(AND(INDEX(AktRolle,MATCH(C2628,Aktiviteter,0))&amp;""&lt;&gt;"",ISERROR(SEARCH(INDEX(AktRolle,MATCH(C2628,Aktiviteter,0))&amp;"",INDEX(TekRoller,MATCH(B2628,Teknikere,0))))),"Mangler rollen "&amp;INDEX(AktRolle,MATCH(C2628,Aktiviteter,0))&amp;"",IF(AND(C2628="LMS",F2628&gt;0,OR(D2628="",E2628="")),"Mangler maskin eller arbeid",IF(AND(OR(C2628="LMS",C2628="Mod"),D2628&lt;&gt;""),IF(IFERROR(INDEX(MaskinStatus,MATCH(D2628,Maskiner,0)),"")="I dokk","","Maskinen er ikke i dokk"),""))))))</f>
        <v/>
      </c>
      <c r="L2628" s="2">
        <f>IF(B2628="","",IFERROR(INT((MATCH(B2628,Teknikere,0)-1)/18)+1,""))</f>
        <v/>
      </c>
      <c r="M2628" s="2">
        <f>IF(OR(A2628="",B2628=""),"",B2628&amp;"|"&amp;A2628)</f>
        <v/>
      </c>
      <c r="N2628" s="2">
        <f>IF(M2628="","",SUMIFS(TF_Timer,TF_Nokkel,M2628,TF_Akt,C2628))</f>
        <v/>
      </c>
      <c r="O2628" s="2">
        <f>IF(M2628="","",IF(AND(N2628=_xlfn.MAXIFS(TF_AktSum,TF_Nokkel,M2628),COUNTIFS(M$3:M2627,M2628,N$3:N2627,N2628)=0),M2628,""))</f>
        <v/>
      </c>
    </row>
    <row r="2629">
      <c r="A2629" s="34" t="n"/>
      <c r="B2629" s="35" t="n"/>
      <c r="C2629" s="35" t="n"/>
      <c r="D2629" s="35" t="n"/>
      <c r="E2629" s="35" t="n"/>
      <c r="F2629" s="36" t="n"/>
      <c r="G2629" s="35" t="n"/>
      <c r="H2629" s="30">
        <f>IF(L2629="","",INDEX(SkiftNavn,L2629))</f>
        <v/>
      </c>
      <c r="I2629" s="30">
        <f>IF(OR(A2629="",L2629=""),"",IF(MOD(A2629-INDEX(SkiftStart,L2629),Syklus)&lt;DagK,"Kveld",IF(MOD(A2629-INDEX(SkiftStart,L2629),Syklus)&lt;DagK+DagH,"Helg",IF(MOD(A2629-INDEX(SkiftStart,L2629),Syklus)&lt;DagK+DagH+DagD,"Dag","Fri"))))</f>
        <v/>
      </c>
      <c r="J2629" s="30">
        <f>IF(I2629="Fri","Ja","")</f>
        <v/>
      </c>
      <c r="K2629" s="30">
        <f>IF(B2629="","",IF(L2629="","Ukjent tekniker",IF(ISNA(MATCH(C2629,Aktiviteter,0)),"Ukjent aktivitet",IF(AND(INDEX(AktRolle,MATCH(C2629,Aktiviteter,0))&amp;""&lt;&gt;"",ISERROR(SEARCH(INDEX(AktRolle,MATCH(C2629,Aktiviteter,0))&amp;"",INDEX(TekRoller,MATCH(B2629,Teknikere,0))))),"Mangler rollen "&amp;INDEX(AktRolle,MATCH(C2629,Aktiviteter,0))&amp;"",IF(AND(C2629="LMS",F2629&gt;0,OR(D2629="",E2629="")),"Mangler maskin eller arbeid",IF(AND(OR(C2629="LMS",C2629="Mod"),D2629&lt;&gt;""),IF(IFERROR(INDEX(MaskinStatus,MATCH(D2629,Maskiner,0)),"")="I dokk","","Maskinen er ikke i dokk"),""))))))</f>
        <v/>
      </c>
      <c r="L2629" s="2">
        <f>IF(B2629="","",IFERROR(INT((MATCH(B2629,Teknikere,0)-1)/18)+1,""))</f>
        <v/>
      </c>
      <c r="M2629" s="2">
        <f>IF(OR(A2629="",B2629=""),"",B2629&amp;"|"&amp;A2629)</f>
        <v/>
      </c>
      <c r="N2629" s="2">
        <f>IF(M2629="","",SUMIFS(TF_Timer,TF_Nokkel,M2629,TF_Akt,C2629))</f>
        <v/>
      </c>
      <c r="O2629" s="2">
        <f>IF(M2629="","",IF(AND(N2629=_xlfn.MAXIFS(TF_AktSum,TF_Nokkel,M2629),COUNTIFS(M$3:M2628,M2629,N$3:N2628,N2629)=0),M2629,""))</f>
        <v/>
      </c>
    </row>
    <row r="2630">
      <c r="A2630" s="34" t="n"/>
      <c r="B2630" s="35" t="n"/>
      <c r="C2630" s="35" t="n"/>
      <c r="D2630" s="35" t="n"/>
      <c r="E2630" s="35" t="n"/>
      <c r="F2630" s="36" t="n"/>
      <c r="G2630" s="35" t="n"/>
      <c r="H2630" s="30">
        <f>IF(L2630="","",INDEX(SkiftNavn,L2630))</f>
        <v/>
      </c>
      <c r="I2630" s="30">
        <f>IF(OR(A2630="",L2630=""),"",IF(MOD(A2630-INDEX(SkiftStart,L2630),Syklus)&lt;DagK,"Kveld",IF(MOD(A2630-INDEX(SkiftStart,L2630),Syklus)&lt;DagK+DagH,"Helg",IF(MOD(A2630-INDEX(SkiftStart,L2630),Syklus)&lt;DagK+DagH+DagD,"Dag","Fri"))))</f>
        <v/>
      </c>
      <c r="J2630" s="30">
        <f>IF(I2630="Fri","Ja","")</f>
        <v/>
      </c>
      <c r="K2630" s="30">
        <f>IF(B2630="","",IF(L2630="","Ukjent tekniker",IF(ISNA(MATCH(C2630,Aktiviteter,0)),"Ukjent aktivitet",IF(AND(INDEX(AktRolle,MATCH(C2630,Aktiviteter,0))&amp;""&lt;&gt;"",ISERROR(SEARCH(INDEX(AktRolle,MATCH(C2630,Aktiviteter,0))&amp;"",INDEX(TekRoller,MATCH(B2630,Teknikere,0))))),"Mangler rollen "&amp;INDEX(AktRolle,MATCH(C2630,Aktiviteter,0))&amp;"",IF(AND(C2630="LMS",F2630&gt;0,OR(D2630="",E2630="")),"Mangler maskin eller arbeid",IF(AND(OR(C2630="LMS",C2630="Mod"),D2630&lt;&gt;""),IF(IFERROR(INDEX(MaskinStatus,MATCH(D2630,Maskiner,0)),"")="I dokk","","Maskinen er ikke i dokk"),""))))))</f>
        <v/>
      </c>
      <c r="L2630" s="2">
        <f>IF(B2630="","",IFERROR(INT((MATCH(B2630,Teknikere,0)-1)/18)+1,""))</f>
        <v/>
      </c>
      <c r="M2630" s="2">
        <f>IF(OR(A2630="",B2630=""),"",B2630&amp;"|"&amp;A2630)</f>
        <v/>
      </c>
      <c r="N2630" s="2">
        <f>IF(M2630="","",SUMIFS(TF_Timer,TF_Nokkel,M2630,TF_Akt,C2630))</f>
        <v/>
      </c>
      <c r="O2630" s="2">
        <f>IF(M2630="","",IF(AND(N2630=_xlfn.MAXIFS(TF_AktSum,TF_Nokkel,M2630),COUNTIFS(M$3:M2629,M2630,N$3:N2629,N2630)=0),M2630,""))</f>
        <v/>
      </c>
    </row>
    <row r="2631">
      <c r="A2631" s="34" t="n"/>
      <c r="B2631" s="35" t="n"/>
      <c r="C2631" s="35" t="n"/>
      <c r="D2631" s="35" t="n"/>
      <c r="E2631" s="35" t="n"/>
      <c r="F2631" s="36" t="n"/>
      <c r="G2631" s="35" t="n"/>
      <c r="H2631" s="30">
        <f>IF(L2631="","",INDEX(SkiftNavn,L2631))</f>
        <v/>
      </c>
      <c r="I2631" s="30">
        <f>IF(OR(A2631="",L2631=""),"",IF(MOD(A2631-INDEX(SkiftStart,L2631),Syklus)&lt;DagK,"Kveld",IF(MOD(A2631-INDEX(SkiftStart,L2631),Syklus)&lt;DagK+DagH,"Helg",IF(MOD(A2631-INDEX(SkiftStart,L2631),Syklus)&lt;DagK+DagH+DagD,"Dag","Fri"))))</f>
        <v/>
      </c>
      <c r="J2631" s="30">
        <f>IF(I2631="Fri","Ja","")</f>
        <v/>
      </c>
      <c r="K2631" s="30">
        <f>IF(B2631="","",IF(L2631="","Ukjent tekniker",IF(ISNA(MATCH(C2631,Aktiviteter,0)),"Ukjent aktivitet",IF(AND(INDEX(AktRolle,MATCH(C2631,Aktiviteter,0))&amp;""&lt;&gt;"",ISERROR(SEARCH(INDEX(AktRolle,MATCH(C2631,Aktiviteter,0))&amp;"",INDEX(TekRoller,MATCH(B2631,Teknikere,0))))),"Mangler rollen "&amp;INDEX(AktRolle,MATCH(C2631,Aktiviteter,0))&amp;"",IF(AND(C2631="LMS",F2631&gt;0,OR(D2631="",E2631="")),"Mangler maskin eller arbeid",IF(AND(OR(C2631="LMS",C2631="Mod"),D2631&lt;&gt;""),IF(IFERROR(INDEX(MaskinStatus,MATCH(D2631,Maskiner,0)),"")="I dokk","","Maskinen er ikke i dokk"),""))))))</f>
        <v/>
      </c>
      <c r="L2631" s="2">
        <f>IF(B2631="","",IFERROR(INT((MATCH(B2631,Teknikere,0)-1)/18)+1,""))</f>
        <v/>
      </c>
      <c r="M2631" s="2">
        <f>IF(OR(A2631="",B2631=""),"",B2631&amp;"|"&amp;A2631)</f>
        <v/>
      </c>
      <c r="N2631" s="2">
        <f>IF(M2631="","",SUMIFS(TF_Timer,TF_Nokkel,M2631,TF_Akt,C2631))</f>
        <v/>
      </c>
      <c r="O2631" s="2">
        <f>IF(M2631="","",IF(AND(N2631=_xlfn.MAXIFS(TF_AktSum,TF_Nokkel,M2631),COUNTIFS(M$3:M2630,M2631,N$3:N2630,N2631)=0),M2631,""))</f>
        <v/>
      </c>
    </row>
    <row r="2632">
      <c r="A2632" s="34" t="n"/>
      <c r="B2632" s="35" t="n"/>
      <c r="C2632" s="35" t="n"/>
      <c r="D2632" s="35" t="n"/>
      <c r="E2632" s="35" t="n"/>
      <c r="F2632" s="36" t="n"/>
      <c r="G2632" s="35" t="n"/>
      <c r="H2632" s="30">
        <f>IF(L2632="","",INDEX(SkiftNavn,L2632))</f>
        <v/>
      </c>
      <c r="I2632" s="30">
        <f>IF(OR(A2632="",L2632=""),"",IF(MOD(A2632-INDEX(SkiftStart,L2632),Syklus)&lt;DagK,"Kveld",IF(MOD(A2632-INDEX(SkiftStart,L2632),Syklus)&lt;DagK+DagH,"Helg",IF(MOD(A2632-INDEX(SkiftStart,L2632),Syklus)&lt;DagK+DagH+DagD,"Dag","Fri"))))</f>
        <v/>
      </c>
      <c r="J2632" s="30">
        <f>IF(I2632="Fri","Ja","")</f>
        <v/>
      </c>
      <c r="K2632" s="30">
        <f>IF(B2632="","",IF(L2632="","Ukjent tekniker",IF(ISNA(MATCH(C2632,Aktiviteter,0)),"Ukjent aktivitet",IF(AND(INDEX(AktRolle,MATCH(C2632,Aktiviteter,0))&amp;""&lt;&gt;"",ISERROR(SEARCH(INDEX(AktRolle,MATCH(C2632,Aktiviteter,0))&amp;"",INDEX(TekRoller,MATCH(B2632,Teknikere,0))))),"Mangler rollen "&amp;INDEX(AktRolle,MATCH(C2632,Aktiviteter,0))&amp;"",IF(AND(C2632="LMS",F2632&gt;0,OR(D2632="",E2632="")),"Mangler maskin eller arbeid",IF(AND(OR(C2632="LMS",C2632="Mod"),D2632&lt;&gt;""),IF(IFERROR(INDEX(MaskinStatus,MATCH(D2632,Maskiner,0)),"")="I dokk","","Maskinen er ikke i dokk"),""))))))</f>
        <v/>
      </c>
      <c r="L2632" s="2">
        <f>IF(B2632="","",IFERROR(INT((MATCH(B2632,Teknikere,0)-1)/18)+1,""))</f>
        <v/>
      </c>
      <c r="M2632" s="2">
        <f>IF(OR(A2632="",B2632=""),"",B2632&amp;"|"&amp;A2632)</f>
        <v/>
      </c>
      <c r="N2632" s="2">
        <f>IF(M2632="","",SUMIFS(TF_Timer,TF_Nokkel,M2632,TF_Akt,C2632))</f>
        <v/>
      </c>
      <c r="O2632" s="2">
        <f>IF(M2632="","",IF(AND(N2632=_xlfn.MAXIFS(TF_AktSum,TF_Nokkel,M2632),COUNTIFS(M$3:M2631,M2632,N$3:N2631,N2632)=0),M2632,""))</f>
        <v/>
      </c>
    </row>
    <row r="2633">
      <c r="A2633" s="34" t="n"/>
      <c r="B2633" s="35" t="n"/>
      <c r="C2633" s="35" t="n"/>
      <c r="D2633" s="35" t="n"/>
      <c r="E2633" s="35" t="n"/>
      <c r="F2633" s="36" t="n"/>
      <c r="G2633" s="35" t="n"/>
      <c r="H2633" s="30">
        <f>IF(L2633="","",INDEX(SkiftNavn,L2633))</f>
        <v/>
      </c>
      <c r="I2633" s="30">
        <f>IF(OR(A2633="",L2633=""),"",IF(MOD(A2633-INDEX(SkiftStart,L2633),Syklus)&lt;DagK,"Kveld",IF(MOD(A2633-INDEX(SkiftStart,L2633),Syklus)&lt;DagK+DagH,"Helg",IF(MOD(A2633-INDEX(SkiftStart,L2633),Syklus)&lt;DagK+DagH+DagD,"Dag","Fri"))))</f>
        <v/>
      </c>
      <c r="J2633" s="30">
        <f>IF(I2633="Fri","Ja","")</f>
        <v/>
      </c>
      <c r="K2633" s="30">
        <f>IF(B2633="","",IF(L2633="","Ukjent tekniker",IF(ISNA(MATCH(C2633,Aktiviteter,0)),"Ukjent aktivitet",IF(AND(INDEX(AktRolle,MATCH(C2633,Aktiviteter,0))&amp;""&lt;&gt;"",ISERROR(SEARCH(INDEX(AktRolle,MATCH(C2633,Aktiviteter,0))&amp;"",INDEX(TekRoller,MATCH(B2633,Teknikere,0))))),"Mangler rollen "&amp;INDEX(AktRolle,MATCH(C2633,Aktiviteter,0))&amp;"",IF(AND(C2633="LMS",F2633&gt;0,OR(D2633="",E2633="")),"Mangler maskin eller arbeid",IF(AND(OR(C2633="LMS",C2633="Mod"),D2633&lt;&gt;""),IF(IFERROR(INDEX(MaskinStatus,MATCH(D2633,Maskiner,0)),"")="I dokk","","Maskinen er ikke i dokk"),""))))))</f>
        <v/>
      </c>
      <c r="L2633" s="2">
        <f>IF(B2633="","",IFERROR(INT((MATCH(B2633,Teknikere,0)-1)/18)+1,""))</f>
        <v/>
      </c>
      <c r="M2633" s="2">
        <f>IF(OR(A2633="",B2633=""),"",B2633&amp;"|"&amp;A2633)</f>
        <v/>
      </c>
      <c r="N2633" s="2">
        <f>IF(M2633="","",SUMIFS(TF_Timer,TF_Nokkel,M2633,TF_Akt,C2633))</f>
        <v/>
      </c>
      <c r="O2633" s="2">
        <f>IF(M2633="","",IF(AND(N2633=_xlfn.MAXIFS(TF_AktSum,TF_Nokkel,M2633),COUNTIFS(M$3:M2632,M2633,N$3:N2632,N2633)=0),M2633,""))</f>
        <v/>
      </c>
    </row>
    <row r="2634">
      <c r="A2634" s="34" t="n"/>
      <c r="B2634" s="35" t="n"/>
      <c r="C2634" s="35" t="n"/>
      <c r="D2634" s="35" t="n"/>
      <c r="E2634" s="35" t="n"/>
      <c r="F2634" s="36" t="n"/>
      <c r="G2634" s="35" t="n"/>
      <c r="H2634" s="30">
        <f>IF(L2634="","",INDEX(SkiftNavn,L2634))</f>
        <v/>
      </c>
      <c r="I2634" s="30">
        <f>IF(OR(A2634="",L2634=""),"",IF(MOD(A2634-INDEX(SkiftStart,L2634),Syklus)&lt;DagK,"Kveld",IF(MOD(A2634-INDEX(SkiftStart,L2634),Syklus)&lt;DagK+DagH,"Helg",IF(MOD(A2634-INDEX(SkiftStart,L2634),Syklus)&lt;DagK+DagH+DagD,"Dag","Fri"))))</f>
        <v/>
      </c>
      <c r="J2634" s="30">
        <f>IF(I2634="Fri","Ja","")</f>
        <v/>
      </c>
      <c r="K2634" s="30">
        <f>IF(B2634="","",IF(L2634="","Ukjent tekniker",IF(ISNA(MATCH(C2634,Aktiviteter,0)),"Ukjent aktivitet",IF(AND(INDEX(AktRolle,MATCH(C2634,Aktiviteter,0))&amp;""&lt;&gt;"",ISERROR(SEARCH(INDEX(AktRolle,MATCH(C2634,Aktiviteter,0))&amp;"",INDEX(TekRoller,MATCH(B2634,Teknikere,0))))),"Mangler rollen "&amp;INDEX(AktRolle,MATCH(C2634,Aktiviteter,0))&amp;"",IF(AND(C2634="LMS",F2634&gt;0,OR(D2634="",E2634="")),"Mangler maskin eller arbeid",IF(AND(OR(C2634="LMS",C2634="Mod"),D2634&lt;&gt;""),IF(IFERROR(INDEX(MaskinStatus,MATCH(D2634,Maskiner,0)),"")="I dokk","","Maskinen er ikke i dokk"),""))))))</f>
        <v/>
      </c>
      <c r="L2634" s="2">
        <f>IF(B2634="","",IFERROR(INT((MATCH(B2634,Teknikere,0)-1)/18)+1,""))</f>
        <v/>
      </c>
      <c r="M2634" s="2">
        <f>IF(OR(A2634="",B2634=""),"",B2634&amp;"|"&amp;A2634)</f>
        <v/>
      </c>
      <c r="N2634" s="2">
        <f>IF(M2634="","",SUMIFS(TF_Timer,TF_Nokkel,M2634,TF_Akt,C2634))</f>
        <v/>
      </c>
      <c r="O2634" s="2">
        <f>IF(M2634="","",IF(AND(N2634=_xlfn.MAXIFS(TF_AktSum,TF_Nokkel,M2634),COUNTIFS(M$3:M2633,M2634,N$3:N2633,N2634)=0),M2634,""))</f>
        <v/>
      </c>
    </row>
    <row r="2635">
      <c r="A2635" s="34" t="n"/>
      <c r="B2635" s="35" t="n"/>
      <c r="C2635" s="35" t="n"/>
      <c r="D2635" s="35" t="n"/>
      <c r="E2635" s="35" t="n"/>
      <c r="F2635" s="36" t="n"/>
      <c r="G2635" s="35" t="n"/>
      <c r="H2635" s="30">
        <f>IF(L2635="","",INDEX(SkiftNavn,L2635))</f>
        <v/>
      </c>
      <c r="I2635" s="30">
        <f>IF(OR(A2635="",L2635=""),"",IF(MOD(A2635-INDEX(SkiftStart,L2635),Syklus)&lt;DagK,"Kveld",IF(MOD(A2635-INDEX(SkiftStart,L2635),Syklus)&lt;DagK+DagH,"Helg",IF(MOD(A2635-INDEX(SkiftStart,L2635),Syklus)&lt;DagK+DagH+DagD,"Dag","Fri"))))</f>
        <v/>
      </c>
      <c r="J2635" s="30">
        <f>IF(I2635="Fri","Ja","")</f>
        <v/>
      </c>
      <c r="K2635" s="30">
        <f>IF(B2635="","",IF(L2635="","Ukjent tekniker",IF(ISNA(MATCH(C2635,Aktiviteter,0)),"Ukjent aktivitet",IF(AND(INDEX(AktRolle,MATCH(C2635,Aktiviteter,0))&amp;""&lt;&gt;"",ISERROR(SEARCH(INDEX(AktRolle,MATCH(C2635,Aktiviteter,0))&amp;"",INDEX(TekRoller,MATCH(B2635,Teknikere,0))))),"Mangler rollen "&amp;INDEX(AktRolle,MATCH(C2635,Aktiviteter,0))&amp;"",IF(AND(C2635="LMS",F2635&gt;0,OR(D2635="",E2635="")),"Mangler maskin eller arbeid",IF(AND(OR(C2635="LMS",C2635="Mod"),D2635&lt;&gt;""),IF(IFERROR(INDEX(MaskinStatus,MATCH(D2635,Maskiner,0)),"")="I dokk","","Maskinen er ikke i dokk"),""))))))</f>
        <v/>
      </c>
      <c r="L2635" s="2">
        <f>IF(B2635="","",IFERROR(INT((MATCH(B2635,Teknikere,0)-1)/18)+1,""))</f>
        <v/>
      </c>
      <c r="M2635" s="2">
        <f>IF(OR(A2635="",B2635=""),"",B2635&amp;"|"&amp;A2635)</f>
        <v/>
      </c>
      <c r="N2635" s="2">
        <f>IF(M2635="","",SUMIFS(TF_Timer,TF_Nokkel,M2635,TF_Akt,C2635))</f>
        <v/>
      </c>
      <c r="O2635" s="2">
        <f>IF(M2635="","",IF(AND(N2635=_xlfn.MAXIFS(TF_AktSum,TF_Nokkel,M2635),COUNTIFS(M$3:M2634,M2635,N$3:N2634,N2635)=0),M2635,""))</f>
        <v/>
      </c>
    </row>
    <row r="2636">
      <c r="A2636" s="34" t="n"/>
      <c r="B2636" s="35" t="n"/>
      <c r="C2636" s="35" t="n"/>
      <c r="D2636" s="35" t="n"/>
      <c r="E2636" s="35" t="n"/>
      <c r="F2636" s="36" t="n"/>
      <c r="G2636" s="35" t="n"/>
      <c r="H2636" s="30">
        <f>IF(L2636="","",INDEX(SkiftNavn,L2636))</f>
        <v/>
      </c>
      <c r="I2636" s="30">
        <f>IF(OR(A2636="",L2636=""),"",IF(MOD(A2636-INDEX(SkiftStart,L2636),Syklus)&lt;DagK,"Kveld",IF(MOD(A2636-INDEX(SkiftStart,L2636),Syklus)&lt;DagK+DagH,"Helg",IF(MOD(A2636-INDEX(SkiftStart,L2636),Syklus)&lt;DagK+DagH+DagD,"Dag","Fri"))))</f>
        <v/>
      </c>
      <c r="J2636" s="30">
        <f>IF(I2636="Fri","Ja","")</f>
        <v/>
      </c>
      <c r="K2636" s="30">
        <f>IF(B2636="","",IF(L2636="","Ukjent tekniker",IF(ISNA(MATCH(C2636,Aktiviteter,0)),"Ukjent aktivitet",IF(AND(INDEX(AktRolle,MATCH(C2636,Aktiviteter,0))&amp;""&lt;&gt;"",ISERROR(SEARCH(INDEX(AktRolle,MATCH(C2636,Aktiviteter,0))&amp;"",INDEX(TekRoller,MATCH(B2636,Teknikere,0))))),"Mangler rollen "&amp;INDEX(AktRolle,MATCH(C2636,Aktiviteter,0))&amp;"",IF(AND(C2636="LMS",F2636&gt;0,OR(D2636="",E2636="")),"Mangler maskin eller arbeid",IF(AND(OR(C2636="LMS",C2636="Mod"),D2636&lt;&gt;""),IF(IFERROR(INDEX(MaskinStatus,MATCH(D2636,Maskiner,0)),"")="I dokk","","Maskinen er ikke i dokk"),""))))))</f>
        <v/>
      </c>
      <c r="L2636" s="2">
        <f>IF(B2636="","",IFERROR(INT((MATCH(B2636,Teknikere,0)-1)/18)+1,""))</f>
        <v/>
      </c>
      <c r="M2636" s="2">
        <f>IF(OR(A2636="",B2636=""),"",B2636&amp;"|"&amp;A2636)</f>
        <v/>
      </c>
      <c r="N2636" s="2">
        <f>IF(M2636="","",SUMIFS(TF_Timer,TF_Nokkel,M2636,TF_Akt,C2636))</f>
        <v/>
      </c>
      <c r="O2636" s="2">
        <f>IF(M2636="","",IF(AND(N2636=_xlfn.MAXIFS(TF_AktSum,TF_Nokkel,M2636),COUNTIFS(M$3:M2635,M2636,N$3:N2635,N2636)=0),M2636,""))</f>
        <v/>
      </c>
    </row>
    <row r="2637">
      <c r="A2637" s="34" t="n"/>
      <c r="B2637" s="35" t="n"/>
      <c r="C2637" s="35" t="n"/>
      <c r="D2637" s="35" t="n"/>
      <c r="E2637" s="35" t="n"/>
      <c r="F2637" s="36" t="n"/>
      <c r="G2637" s="35" t="n"/>
      <c r="H2637" s="30">
        <f>IF(L2637="","",INDEX(SkiftNavn,L2637))</f>
        <v/>
      </c>
      <c r="I2637" s="30">
        <f>IF(OR(A2637="",L2637=""),"",IF(MOD(A2637-INDEX(SkiftStart,L2637),Syklus)&lt;DagK,"Kveld",IF(MOD(A2637-INDEX(SkiftStart,L2637),Syklus)&lt;DagK+DagH,"Helg",IF(MOD(A2637-INDEX(SkiftStart,L2637),Syklus)&lt;DagK+DagH+DagD,"Dag","Fri"))))</f>
        <v/>
      </c>
      <c r="J2637" s="30">
        <f>IF(I2637="Fri","Ja","")</f>
        <v/>
      </c>
      <c r="K2637" s="30">
        <f>IF(B2637="","",IF(L2637="","Ukjent tekniker",IF(ISNA(MATCH(C2637,Aktiviteter,0)),"Ukjent aktivitet",IF(AND(INDEX(AktRolle,MATCH(C2637,Aktiviteter,0))&amp;""&lt;&gt;"",ISERROR(SEARCH(INDEX(AktRolle,MATCH(C2637,Aktiviteter,0))&amp;"",INDEX(TekRoller,MATCH(B2637,Teknikere,0))))),"Mangler rollen "&amp;INDEX(AktRolle,MATCH(C2637,Aktiviteter,0))&amp;"",IF(AND(C2637="LMS",F2637&gt;0,OR(D2637="",E2637="")),"Mangler maskin eller arbeid",IF(AND(OR(C2637="LMS",C2637="Mod"),D2637&lt;&gt;""),IF(IFERROR(INDEX(MaskinStatus,MATCH(D2637,Maskiner,0)),"")="I dokk","","Maskinen er ikke i dokk"),""))))))</f>
        <v/>
      </c>
      <c r="L2637" s="2">
        <f>IF(B2637="","",IFERROR(INT((MATCH(B2637,Teknikere,0)-1)/18)+1,""))</f>
        <v/>
      </c>
      <c r="M2637" s="2">
        <f>IF(OR(A2637="",B2637=""),"",B2637&amp;"|"&amp;A2637)</f>
        <v/>
      </c>
      <c r="N2637" s="2">
        <f>IF(M2637="","",SUMIFS(TF_Timer,TF_Nokkel,M2637,TF_Akt,C2637))</f>
        <v/>
      </c>
      <c r="O2637" s="2">
        <f>IF(M2637="","",IF(AND(N2637=_xlfn.MAXIFS(TF_AktSum,TF_Nokkel,M2637),COUNTIFS(M$3:M2636,M2637,N$3:N2636,N2637)=0),M2637,""))</f>
        <v/>
      </c>
    </row>
    <row r="2638">
      <c r="A2638" s="34" t="n"/>
      <c r="B2638" s="35" t="n"/>
      <c r="C2638" s="35" t="n"/>
      <c r="D2638" s="35" t="n"/>
      <c r="E2638" s="35" t="n"/>
      <c r="F2638" s="36" t="n"/>
      <c r="G2638" s="35" t="n"/>
      <c r="H2638" s="30">
        <f>IF(L2638="","",INDEX(SkiftNavn,L2638))</f>
        <v/>
      </c>
      <c r="I2638" s="30">
        <f>IF(OR(A2638="",L2638=""),"",IF(MOD(A2638-INDEX(SkiftStart,L2638),Syklus)&lt;DagK,"Kveld",IF(MOD(A2638-INDEX(SkiftStart,L2638),Syklus)&lt;DagK+DagH,"Helg",IF(MOD(A2638-INDEX(SkiftStart,L2638),Syklus)&lt;DagK+DagH+DagD,"Dag","Fri"))))</f>
        <v/>
      </c>
      <c r="J2638" s="30">
        <f>IF(I2638="Fri","Ja","")</f>
        <v/>
      </c>
      <c r="K2638" s="30">
        <f>IF(B2638="","",IF(L2638="","Ukjent tekniker",IF(ISNA(MATCH(C2638,Aktiviteter,0)),"Ukjent aktivitet",IF(AND(INDEX(AktRolle,MATCH(C2638,Aktiviteter,0))&amp;""&lt;&gt;"",ISERROR(SEARCH(INDEX(AktRolle,MATCH(C2638,Aktiviteter,0))&amp;"",INDEX(TekRoller,MATCH(B2638,Teknikere,0))))),"Mangler rollen "&amp;INDEX(AktRolle,MATCH(C2638,Aktiviteter,0))&amp;"",IF(AND(C2638="LMS",F2638&gt;0,OR(D2638="",E2638="")),"Mangler maskin eller arbeid",IF(AND(OR(C2638="LMS",C2638="Mod"),D2638&lt;&gt;""),IF(IFERROR(INDEX(MaskinStatus,MATCH(D2638,Maskiner,0)),"")="I dokk","","Maskinen er ikke i dokk"),""))))))</f>
        <v/>
      </c>
      <c r="L2638" s="2">
        <f>IF(B2638="","",IFERROR(INT((MATCH(B2638,Teknikere,0)-1)/18)+1,""))</f>
        <v/>
      </c>
      <c r="M2638" s="2">
        <f>IF(OR(A2638="",B2638=""),"",B2638&amp;"|"&amp;A2638)</f>
        <v/>
      </c>
      <c r="N2638" s="2">
        <f>IF(M2638="","",SUMIFS(TF_Timer,TF_Nokkel,M2638,TF_Akt,C2638))</f>
        <v/>
      </c>
      <c r="O2638" s="2">
        <f>IF(M2638="","",IF(AND(N2638=_xlfn.MAXIFS(TF_AktSum,TF_Nokkel,M2638),COUNTIFS(M$3:M2637,M2638,N$3:N2637,N2638)=0),M2638,""))</f>
        <v/>
      </c>
    </row>
    <row r="2639">
      <c r="A2639" s="34" t="n"/>
      <c r="B2639" s="35" t="n"/>
      <c r="C2639" s="35" t="n"/>
      <c r="D2639" s="35" t="n"/>
      <c r="E2639" s="35" t="n"/>
      <c r="F2639" s="36" t="n"/>
      <c r="G2639" s="35" t="n"/>
      <c r="H2639" s="30">
        <f>IF(L2639="","",INDEX(SkiftNavn,L2639))</f>
        <v/>
      </c>
      <c r="I2639" s="30">
        <f>IF(OR(A2639="",L2639=""),"",IF(MOD(A2639-INDEX(SkiftStart,L2639),Syklus)&lt;DagK,"Kveld",IF(MOD(A2639-INDEX(SkiftStart,L2639),Syklus)&lt;DagK+DagH,"Helg",IF(MOD(A2639-INDEX(SkiftStart,L2639),Syklus)&lt;DagK+DagH+DagD,"Dag","Fri"))))</f>
        <v/>
      </c>
      <c r="J2639" s="30">
        <f>IF(I2639="Fri","Ja","")</f>
        <v/>
      </c>
      <c r="K2639" s="30">
        <f>IF(B2639="","",IF(L2639="","Ukjent tekniker",IF(ISNA(MATCH(C2639,Aktiviteter,0)),"Ukjent aktivitet",IF(AND(INDEX(AktRolle,MATCH(C2639,Aktiviteter,0))&amp;""&lt;&gt;"",ISERROR(SEARCH(INDEX(AktRolle,MATCH(C2639,Aktiviteter,0))&amp;"",INDEX(TekRoller,MATCH(B2639,Teknikere,0))))),"Mangler rollen "&amp;INDEX(AktRolle,MATCH(C2639,Aktiviteter,0))&amp;"",IF(AND(C2639="LMS",F2639&gt;0,OR(D2639="",E2639="")),"Mangler maskin eller arbeid",IF(AND(OR(C2639="LMS",C2639="Mod"),D2639&lt;&gt;""),IF(IFERROR(INDEX(MaskinStatus,MATCH(D2639,Maskiner,0)),"")="I dokk","","Maskinen er ikke i dokk"),""))))))</f>
        <v/>
      </c>
      <c r="L2639" s="2">
        <f>IF(B2639="","",IFERROR(INT((MATCH(B2639,Teknikere,0)-1)/18)+1,""))</f>
        <v/>
      </c>
      <c r="M2639" s="2">
        <f>IF(OR(A2639="",B2639=""),"",B2639&amp;"|"&amp;A2639)</f>
        <v/>
      </c>
      <c r="N2639" s="2">
        <f>IF(M2639="","",SUMIFS(TF_Timer,TF_Nokkel,M2639,TF_Akt,C2639))</f>
        <v/>
      </c>
      <c r="O2639" s="2">
        <f>IF(M2639="","",IF(AND(N2639=_xlfn.MAXIFS(TF_AktSum,TF_Nokkel,M2639),COUNTIFS(M$3:M2638,M2639,N$3:N2638,N2639)=0),M2639,""))</f>
        <v/>
      </c>
    </row>
    <row r="2640">
      <c r="A2640" s="34" t="n"/>
      <c r="B2640" s="35" t="n"/>
      <c r="C2640" s="35" t="n"/>
      <c r="D2640" s="35" t="n"/>
      <c r="E2640" s="35" t="n"/>
      <c r="F2640" s="36" t="n"/>
      <c r="G2640" s="35" t="n"/>
      <c r="H2640" s="30">
        <f>IF(L2640="","",INDEX(SkiftNavn,L2640))</f>
        <v/>
      </c>
      <c r="I2640" s="30">
        <f>IF(OR(A2640="",L2640=""),"",IF(MOD(A2640-INDEX(SkiftStart,L2640),Syklus)&lt;DagK,"Kveld",IF(MOD(A2640-INDEX(SkiftStart,L2640),Syklus)&lt;DagK+DagH,"Helg",IF(MOD(A2640-INDEX(SkiftStart,L2640),Syklus)&lt;DagK+DagH+DagD,"Dag","Fri"))))</f>
        <v/>
      </c>
      <c r="J2640" s="30">
        <f>IF(I2640="Fri","Ja","")</f>
        <v/>
      </c>
      <c r="K2640" s="30">
        <f>IF(B2640="","",IF(L2640="","Ukjent tekniker",IF(ISNA(MATCH(C2640,Aktiviteter,0)),"Ukjent aktivitet",IF(AND(INDEX(AktRolle,MATCH(C2640,Aktiviteter,0))&amp;""&lt;&gt;"",ISERROR(SEARCH(INDEX(AktRolle,MATCH(C2640,Aktiviteter,0))&amp;"",INDEX(TekRoller,MATCH(B2640,Teknikere,0))))),"Mangler rollen "&amp;INDEX(AktRolle,MATCH(C2640,Aktiviteter,0))&amp;"",IF(AND(C2640="LMS",F2640&gt;0,OR(D2640="",E2640="")),"Mangler maskin eller arbeid",IF(AND(OR(C2640="LMS",C2640="Mod"),D2640&lt;&gt;""),IF(IFERROR(INDEX(MaskinStatus,MATCH(D2640,Maskiner,0)),"")="I dokk","","Maskinen er ikke i dokk"),""))))))</f>
        <v/>
      </c>
      <c r="L2640" s="2">
        <f>IF(B2640="","",IFERROR(INT((MATCH(B2640,Teknikere,0)-1)/18)+1,""))</f>
        <v/>
      </c>
      <c r="M2640" s="2">
        <f>IF(OR(A2640="",B2640=""),"",B2640&amp;"|"&amp;A2640)</f>
        <v/>
      </c>
      <c r="N2640" s="2">
        <f>IF(M2640="","",SUMIFS(TF_Timer,TF_Nokkel,M2640,TF_Akt,C2640))</f>
        <v/>
      </c>
      <c r="O2640" s="2">
        <f>IF(M2640="","",IF(AND(N2640=_xlfn.MAXIFS(TF_AktSum,TF_Nokkel,M2640),COUNTIFS(M$3:M2639,M2640,N$3:N2639,N2640)=0),M2640,""))</f>
        <v/>
      </c>
    </row>
    <row r="2641">
      <c r="A2641" s="34" t="n"/>
      <c r="B2641" s="35" t="n"/>
      <c r="C2641" s="35" t="n"/>
      <c r="D2641" s="35" t="n"/>
      <c r="E2641" s="35" t="n"/>
      <c r="F2641" s="36" t="n"/>
      <c r="G2641" s="35" t="n"/>
      <c r="H2641" s="30">
        <f>IF(L2641="","",INDEX(SkiftNavn,L2641))</f>
        <v/>
      </c>
      <c r="I2641" s="30">
        <f>IF(OR(A2641="",L2641=""),"",IF(MOD(A2641-INDEX(SkiftStart,L2641),Syklus)&lt;DagK,"Kveld",IF(MOD(A2641-INDEX(SkiftStart,L2641),Syklus)&lt;DagK+DagH,"Helg",IF(MOD(A2641-INDEX(SkiftStart,L2641),Syklus)&lt;DagK+DagH+DagD,"Dag","Fri"))))</f>
        <v/>
      </c>
      <c r="J2641" s="30">
        <f>IF(I2641="Fri","Ja","")</f>
        <v/>
      </c>
      <c r="K2641" s="30">
        <f>IF(B2641="","",IF(L2641="","Ukjent tekniker",IF(ISNA(MATCH(C2641,Aktiviteter,0)),"Ukjent aktivitet",IF(AND(INDEX(AktRolle,MATCH(C2641,Aktiviteter,0))&amp;""&lt;&gt;"",ISERROR(SEARCH(INDEX(AktRolle,MATCH(C2641,Aktiviteter,0))&amp;"",INDEX(TekRoller,MATCH(B2641,Teknikere,0))))),"Mangler rollen "&amp;INDEX(AktRolle,MATCH(C2641,Aktiviteter,0))&amp;"",IF(AND(C2641="LMS",F2641&gt;0,OR(D2641="",E2641="")),"Mangler maskin eller arbeid",IF(AND(OR(C2641="LMS",C2641="Mod"),D2641&lt;&gt;""),IF(IFERROR(INDEX(MaskinStatus,MATCH(D2641,Maskiner,0)),"")="I dokk","","Maskinen er ikke i dokk"),""))))))</f>
        <v/>
      </c>
      <c r="L2641" s="2">
        <f>IF(B2641="","",IFERROR(INT((MATCH(B2641,Teknikere,0)-1)/18)+1,""))</f>
        <v/>
      </c>
      <c r="M2641" s="2">
        <f>IF(OR(A2641="",B2641=""),"",B2641&amp;"|"&amp;A2641)</f>
        <v/>
      </c>
      <c r="N2641" s="2">
        <f>IF(M2641="","",SUMIFS(TF_Timer,TF_Nokkel,M2641,TF_Akt,C2641))</f>
        <v/>
      </c>
      <c r="O2641" s="2">
        <f>IF(M2641="","",IF(AND(N2641=_xlfn.MAXIFS(TF_AktSum,TF_Nokkel,M2641),COUNTIFS(M$3:M2640,M2641,N$3:N2640,N2641)=0),M2641,""))</f>
        <v/>
      </c>
    </row>
    <row r="2642">
      <c r="A2642" s="34" t="n"/>
      <c r="B2642" s="35" t="n"/>
      <c r="C2642" s="35" t="n"/>
      <c r="D2642" s="35" t="n"/>
      <c r="E2642" s="35" t="n"/>
      <c r="F2642" s="36" t="n"/>
      <c r="G2642" s="35" t="n"/>
      <c r="H2642" s="30">
        <f>IF(L2642="","",INDEX(SkiftNavn,L2642))</f>
        <v/>
      </c>
      <c r="I2642" s="30">
        <f>IF(OR(A2642="",L2642=""),"",IF(MOD(A2642-INDEX(SkiftStart,L2642),Syklus)&lt;DagK,"Kveld",IF(MOD(A2642-INDEX(SkiftStart,L2642),Syklus)&lt;DagK+DagH,"Helg",IF(MOD(A2642-INDEX(SkiftStart,L2642),Syklus)&lt;DagK+DagH+DagD,"Dag","Fri"))))</f>
        <v/>
      </c>
      <c r="J2642" s="30">
        <f>IF(I2642="Fri","Ja","")</f>
        <v/>
      </c>
      <c r="K2642" s="30">
        <f>IF(B2642="","",IF(L2642="","Ukjent tekniker",IF(ISNA(MATCH(C2642,Aktiviteter,0)),"Ukjent aktivitet",IF(AND(INDEX(AktRolle,MATCH(C2642,Aktiviteter,0))&amp;""&lt;&gt;"",ISERROR(SEARCH(INDEX(AktRolle,MATCH(C2642,Aktiviteter,0))&amp;"",INDEX(TekRoller,MATCH(B2642,Teknikere,0))))),"Mangler rollen "&amp;INDEX(AktRolle,MATCH(C2642,Aktiviteter,0))&amp;"",IF(AND(C2642="LMS",F2642&gt;0,OR(D2642="",E2642="")),"Mangler maskin eller arbeid",IF(AND(OR(C2642="LMS",C2642="Mod"),D2642&lt;&gt;""),IF(IFERROR(INDEX(MaskinStatus,MATCH(D2642,Maskiner,0)),"")="I dokk","","Maskinen er ikke i dokk"),""))))))</f>
        <v/>
      </c>
      <c r="L2642" s="2">
        <f>IF(B2642="","",IFERROR(INT((MATCH(B2642,Teknikere,0)-1)/18)+1,""))</f>
        <v/>
      </c>
      <c r="M2642" s="2">
        <f>IF(OR(A2642="",B2642=""),"",B2642&amp;"|"&amp;A2642)</f>
        <v/>
      </c>
      <c r="N2642" s="2">
        <f>IF(M2642="","",SUMIFS(TF_Timer,TF_Nokkel,M2642,TF_Akt,C2642))</f>
        <v/>
      </c>
      <c r="O2642" s="2">
        <f>IF(M2642="","",IF(AND(N2642=_xlfn.MAXIFS(TF_AktSum,TF_Nokkel,M2642),COUNTIFS(M$3:M2641,M2642,N$3:N2641,N2642)=0),M2642,""))</f>
        <v/>
      </c>
    </row>
    <row r="2643">
      <c r="A2643" s="34" t="n"/>
      <c r="B2643" s="35" t="n"/>
      <c r="C2643" s="35" t="n"/>
      <c r="D2643" s="35" t="n"/>
      <c r="E2643" s="35" t="n"/>
      <c r="F2643" s="36" t="n"/>
      <c r="G2643" s="35" t="n"/>
      <c r="H2643" s="30">
        <f>IF(L2643="","",INDEX(SkiftNavn,L2643))</f>
        <v/>
      </c>
      <c r="I2643" s="30">
        <f>IF(OR(A2643="",L2643=""),"",IF(MOD(A2643-INDEX(SkiftStart,L2643),Syklus)&lt;DagK,"Kveld",IF(MOD(A2643-INDEX(SkiftStart,L2643),Syklus)&lt;DagK+DagH,"Helg",IF(MOD(A2643-INDEX(SkiftStart,L2643),Syklus)&lt;DagK+DagH+DagD,"Dag","Fri"))))</f>
        <v/>
      </c>
      <c r="J2643" s="30">
        <f>IF(I2643="Fri","Ja","")</f>
        <v/>
      </c>
      <c r="K2643" s="30">
        <f>IF(B2643="","",IF(L2643="","Ukjent tekniker",IF(ISNA(MATCH(C2643,Aktiviteter,0)),"Ukjent aktivitet",IF(AND(INDEX(AktRolle,MATCH(C2643,Aktiviteter,0))&amp;""&lt;&gt;"",ISERROR(SEARCH(INDEX(AktRolle,MATCH(C2643,Aktiviteter,0))&amp;"",INDEX(TekRoller,MATCH(B2643,Teknikere,0))))),"Mangler rollen "&amp;INDEX(AktRolle,MATCH(C2643,Aktiviteter,0))&amp;"",IF(AND(C2643="LMS",F2643&gt;0,OR(D2643="",E2643="")),"Mangler maskin eller arbeid",IF(AND(OR(C2643="LMS",C2643="Mod"),D2643&lt;&gt;""),IF(IFERROR(INDEX(MaskinStatus,MATCH(D2643,Maskiner,0)),"")="I dokk","","Maskinen er ikke i dokk"),""))))))</f>
        <v/>
      </c>
      <c r="L2643" s="2">
        <f>IF(B2643="","",IFERROR(INT((MATCH(B2643,Teknikere,0)-1)/18)+1,""))</f>
        <v/>
      </c>
      <c r="M2643" s="2">
        <f>IF(OR(A2643="",B2643=""),"",B2643&amp;"|"&amp;A2643)</f>
        <v/>
      </c>
      <c r="N2643" s="2">
        <f>IF(M2643="","",SUMIFS(TF_Timer,TF_Nokkel,M2643,TF_Akt,C2643))</f>
        <v/>
      </c>
      <c r="O2643" s="2">
        <f>IF(M2643="","",IF(AND(N2643=_xlfn.MAXIFS(TF_AktSum,TF_Nokkel,M2643),COUNTIFS(M$3:M2642,M2643,N$3:N2642,N2643)=0),M2643,""))</f>
        <v/>
      </c>
    </row>
    <row r="2644">
      <c r="A2644" s="34" t="n"/>
      <c r="B2644" s="35" t="n"/>
      <c r="C2644" s="35" t="n"/>
      <c r="D2644" s="35" t="n"/>
      <c r="E2644" s="35" t="n"/>
      <c r="F2644" s="36" t="n"/>
      <c r="G2644" s="35" t="n"/>
      <c r="H2644" s="30">
        <f>IF(L2644="","",INDEX(SkiftNavn,L2644))</f>
        <v/>
      </c>
      <c r="I2644" s="30">
        <f>IF(OR(A2644="",L2644=""),"",IF(MOD(A2644-INDEX(SkiftStart,L2644),Syklus)&lt;DagK,"Kveld",IF(MOD(A2644-INDEX(SkiftStart,L2644),Syklus)&lt;DagK+DagH,"Helg",IF(MOD(A2644-INDEX(SkiftStart,L2644),Syklus)&lt;DagK+DagH+DagD,"Dag","Fri"))))</f>
        <v/>
      </c>
      <c r="J2644" s="30">
        <f>IF(I2644="Fri","Ja","")</f>
        <v/>
      </c>
      <c r="K2644" s="30">
        <f>IF(B2644="","",IF(L2644="","Ukjent tekniker",IF(ISNA(MATCH(C2644,Aktiviteter,0)),"Ukjent aktivitet",IF(AND(INDEX(AktRolle,MATCH(C2644,Aktiviteter,0))&amp;""&lt;&gt;"",ISERROR(SEARCH(INDEX(AktRolle,MATCH(C2644,Aktiviteter,0))&amp;"",INDEX(TekRoller,MATCH(B2644,Teknikere,0))))),"Mangler rollen "&amp;INDEX(AktRolle,MATCH(C2644,Aktiviteter,0))&amp;"",IF(AND(C2644="LMS",F2644&gt;0,OR(D2644="",E2644="")),"Mangler maskin eller arbeid",IF(AND(OR(C2644="LMS",C2644="Mod"),D2644&lt;&gt;""),IF(IFERROR(INDEX(MaskinStatus,MATCH(D2644,Maskiner,0)),"")="I dokk","","Maskinen er ikke i dokk"),""))))))</f>
        <v/>
      </c>
      <c r="L2644" s="2">
        <f>IF(B2644="","",IFERROR(INT((MATCH(B2644,Teknikere,0)-1)/18)+1,""))</f>
        <v/>
      </c>
      <c r="M2644" s="2">
        <f>IF(OR(A2644="",B2644=""),"",B2644&amp;"|"&amp;A2644)</f>
        <v/>
      </c>
      <c r="N2644" s="2">
        <f>IF(M2644="","",SUMIFS(TF_Timer,TF_Nokkel,M2644,TF_Akt,C2644))</f>
        <v/>
      </c>
      <c r="O2644" s="2">
        <f>IF(M2644="","",IF(AND(N2644=_xlfn.MAXIFS(TF_AktSum,TF_Nokkel,M2644),COUNTIFS(M$3:M2643,M2644,N$3:N2643,N2644)=0),M2644,""))</f>
        <v/>
      </c>
    </row>
    <row r="2645">
      <c r="A2645" s="34" t="n"/>
      <c r="B2645" s="35" t="n"/>
      <c r="C2645" s="35" t="n"/>
      <c r="D2645" s="35" t="n"/>
      <c r="E2645" s="35" t="n"/>
      <c r="F2645" s="36" t="n"/>
      <c r="G2645" s="35" t="n"/>
      <c r="H2645" s="30">
        <f>IF(L2645="","",INDEX(SkiftNavn,L2645))</f>
        <v/>
      </c>
      <c r="I2645" s="30">
        <f>IF(OR(A2645="",L2645=""),"",IF(MOD(A2645-INDEX(SkiftStart,L2645),Syklus)&lt;DagK,"Kveld",IF(MOD(A2645-INDEX(SkiftStart,L2645),Syklus)&lt;DagK+DagH,"Helg",IF(MOD(A2645-INDEX(SkiftStart,L2645),Syklus)&lt;DagK+DagH+DagD,"Dag","Fri"))))</f>
        <v/>
      </c>
      <c r="J2645" s="30">
        <f>IF(I2645="Fri","Ja","")</f>
        <v/>
      </c>
      <c r="K2645" s="30">
        <f>IF(B2645="","",IF(L2645="","Ukjent tekniker",IF(ISNA(MATCH(C2645,Aktiviteter,0)),"Ukjent aktivitet",IF(AND(INDEX(AktRolle,MATCH(C2645,Aktiviteter,0))&amp;""&lt;&gt;"",ISERROR(SEARCH(INDEX(AktRolle,MATCH(C2645,Aktiviteter,0))&amp;"",INDEX(TekRoller,MATCH(B2645,Teknikere,0))))),"Mangler rollen "&amp;INDEX(AktRolle,MATCH(C2645,Aktiviteter,0))&amp;"",IF(AND(C2645="LMS",F2645&gt;0,OR(D2645="",E2645="")),"Mangler maskin eller arbeid",IF(AND(OR(C2645="LMS",C2645="Mod"),D2645&lt;&gt;""),IF(IFERROR(INDEX(MaskinStatus,MATCH(D2645,Maskiner,0)),"")="I dokk","","Maskinen er ikke i dokk"),""))))))</f>
        <v/>
      </c>
      <c r="L2645" s="2">
        <f>IF(B2645="","",IFERROR(INT((MATCH(B2645,Teknikere,0)-1)/18)+1,""))</f>
        <v/>
      </c>
      <c r="M2645" s="2">
        <f>IF(OR(A2645="",B2645=""),"",B2645&amp;"|"&amp;A2645)</f>
        <v/>
      </c>
      <c r="N2645" s="2">
        <f>IF(M2645="","",SUMIFS(TF_Timer,TF_Nokkel,M2645,TF_Akt,C2645))</f>
        <v/>
      </c>
      <c r="O2645" s="2">
        <f>IF(M2645="","",IF(AND(N2645=_xlfn.MAXIFS(TF_AktSum,TF_Nokkel,M2645),COUNTIFS(M$3:M2644,M2645,N$3:N2644,N2645)=0),M2645,""))</f>
        <v/>
      </c>
    </row>
    <row r="2646">
      <c r="A2646" s="34" t="n"/>
      <c r="B2646" s="35" t="n"/>
      <c r="C2646" s="35" t="n"/>
      <c r="D2646" s="35" t="n"/>
      <c r="E2646" s="35" t="n"/>
      <c r="F2646" s="36" t="n"/>
      <c r="G2646" s="35" t="n"/>
      <c r="H2646" s="30">
        <f>IF(L2646="","",INDEX(SkiftNavn,L2646))</f>
        <v/>
      </c>
      <c r="I2646" s="30">
        <f>IF(OR(A2646="",L2646=""),"",IF(MOD(A2646-INDEX(SkiftStart,L2646),Syklus)&lt;DagK,"Kveld",IF(MOD(A2646-INDEX(SkiftStart,L2646),Syklus)&lt;DagK+DagH,"Helg",IF(MOD(A2646-INDEX(SkiftStart,L2646),Syklus)&lt;DagK+DagH+DagD,"Dag","Fri"))))</f>
        <v/>
      </c>
      <c r="J2646" s="30">
        <f>IF(I2646="Fri","Ja","")</f>
        <v/>
      </c>
      <c r="K2646" s="30">
        <f>IF(B2646="","",IF(L2646="","Ukjent tekniker",IF(ISNA(MATCH(C2646,Aktiviteter,0)),"Ukjent aktivitet",IF(AND(INDEX(AktRolle,MATCH(C2646,Aktiviteter,0))&amp;""&lt;&gt;"",ISERROR(SEARCH(INDEX(AktRolle,MATCH(C2646,Aktiviteter,0))&amp;"",INDEX(TekRoller,MATCH(B2646,Teknikere,0))))),"Mangler rollen "&amp;INDEX(AktRolle,MATCH(C2646,Aktiviteter,0))&amp;"",IF(AND(C2646="LMS",F2646&gt;0,OR(D2646="",E2646="")),"Mangler maskin eller arbeid",IF(AND(OR(C2646="LMS",C2646="Mod"),D2646&lt;&gt;""),IF(IFERROR(INDEX(MaskinStatus,MATCH(D2646,Maskiner,0)),"")="I dokk","","Maskinen er ikke i dokk"),""))))))</f>
        <v/>
      </c>
      <c r="L2646" s="2">
        <f>IF(B2646="","",IFERROR(INT((MATCH(B2646,Teknikere,0)-1)/18)+1,""))</f>
        <v/>
      </c>
      <c r="M2646" s="2">
        <f>IF(OR(A2646="",B2646=""),"",B2646&amp;"|"&amp;A2646)</f>
        <v/>
      </c>
      <c r="N2646" s="2">
        <f>IF(M2646="","",SUMIFS(TF_Timer,TF_Nokkel,M2646,TF_Akt,C2646))</f>
        <v/>
      </c>
      <c r="O2646" s="2">
        <f>IF(M2646="","",IF(AND(N2646=_xlfn.MAXIFS(TF_AktSum,TF_Nokkel,M2646),COUNTIFS(M$3:M2645,M2646,N$3:N2645,N2646)=0),M2646,""))</f>
        <v/>
      </c>
    </row>
    <row r="2647">
      <c r="A2647" s="34" t="n"/>
      <c r="B2647" s="35" t="n"/>
      <c r="C2647" s="35" t="n"/>
      <c r="D2647" s="35" t="n"/>
      <c r="E2647" s="35" t="n"/>
      <c r="F2647" s="36" t="n"/>
      <c r="G2647" s="35" t="n"/>
      <c r="H2647" s="30">
        <f>IF(L2647="","",INDEX(SkiftNavn,L2647))</f>
        <v/>
      </c>
      <c r="I2647" s="30">
        <f>IF(OR(A2647="",L2647=""),"",IF(MOD(A2647-INDEX(SkiftStart,L2647),Syklus)&lt;DagK,"Kveld",IF(MOD(A2647-INDEX(SkiftStart,L2647),Syklus)&lt;DagK+DagH,"Helg",IF(MOD(A2647-INDEX(SkiftStart,L2647),Syklus)&lt;DagK+DagH+DagD,"Dag","Fri"))))</f>
        <v/>
      </c>
      <c r="J2647" s="30">
        <f>IF(I2647="Fri","Ja","")</f>
        <v/>
      </c>
      <c r="K2647" s="30">
        <f>IF(B2647="","",IF(L2647="","Ukjent tekniker",IF(ISNA(MATCH(C2647,Aktiviteter,0)),"Ukjent aktivitet",IF(AND(INDEX(AktRolle,MATCH(C2647,Aktiviteter,0))&amp;""&lt;&gt;"",ISERROR(SEARCH(INDEX(AktRolle,MATCH(C2647,Aktiviteter,0))&amp;"",INDEX(TekRoller,MATCH(B2647,Teknikere,0))))),"Mangler rollen "&amp;INDEX(AktRolle,MATCH(C2647,Aktiviteter,0))&amp;"",IF(AND(C2647="LMS",F2647&gt;0,OR(D2647="",E2647="")),"Mangler maskin eller arbeid",IF(AND(OR(C2647="LMS",C2647="Mod"),D2647&lt;&gt;""),IF(IFERROR(INDEX(MaskinStatus,MATCH(D2647,Maskiner,0)),"")="I dokk","","Maskinen er ikke i dokk"),""))))))</f>
        <v/>
      </c>
      <c r="L2647" s="2">
        <f>IF(B2647="","",IFERROR(INT((MATCH(B2647,Teknikere,0)-1)/18)+1,""))</f>
        <v/>
      </c>
      <c r="M2647" s="2">
        <f>IF(OR(A2647="",B2647=""),"",B2647&amp;"|"&amp;A2647)</f>
        <v/>
      </c>
      <c r="N2647" s="2">
        <f>IF(M2647="","",SUMIFS(TF_Timer,TF_Nokkel,M2647,TF_Akt,C2647))</f>
        <v/>
      </c>
      <c r="O2647" s="2">
        <f>IF(M2647="","",IF(AND(N2647=_xlfn.MAXIFS(TF_AktSum,TF_Nokkel,M2647),COUNTIFS(M$3:M2646,M2647,N$3:N2646,N2647)=0),M2647,""))</f>
        <v/>
      </c>
    </row>
    <row r="2648">
      <c r="A2648" s="34" t="n"/>
      <c r="B2648" s="35" t="n"/>
      <c r="C2648" s="35" t="n"/>
      <c r="D2648" s="35" t="n"/>
      <c r="E2648" s="35" t="n"/>
      <c r="F2648" s="36" t="n"/>
      <c r="G2648" s="35" t="n"/>
      <c r="H2648" s="30">
        <f>IF(L2648="","",INDEX(SkiftNavn,L2648))</f>
        <v/>
      </c>
      <c r="I2648" s="30">
        <f>IF(OR(A2648="",L2648=""),"",IF(MOD(A2648-INDEX(SkiftStart,L2648),Syklus)&lt;DagK,"Kveld",IF(MOD(A2648-INDEX(SkiftStart,L2648),Syklus)&lt;DagK+DagH,"Helg",IF(MOD(A2648-INDEX(SkiftStart,L2648),Syklus)&lt;DagK+DagH+DagD,"Dag","Fri"))))</f>
        <v/>
      </c>
      <c r="J2648" s="30">
        <f>IF(I2648="Fri","Ja","")</f>
        <v/>
      </c>
      <c r="K2648" s="30">
        <f>IF(B2648="","",IF(L2648="","Ukjent tekniker",IF(ISNA(MATCH(C2648,Aktiviteter,0)),"Ukjent aktivitet",IF(AND(INDEX(AktRolle,MATCH(C2648,Aktiviteter,0))&amp;""&lt;&gt;"",ISERROR(SEARCH(INDEX(AktRolle,MATCH(C2648,Aktiviteter,0))&amp;"",INDEX(TekRoller,MATCH(B2648,Teknikere,0))))),"Mangler rollen "&amp;INDEX(AktRolle,MATCH(C2648,Aktiviteter,0))&amp;"",IF(AND(C2648="LMS",F2648&gt;0,OR(D2648="",E2648="")),"Mangler maskin eller arbeid",IF(AND(OR(C2648="LMS",C2648="Mod"),D2648&lt;&gt;""),IF(IFERROR(INDEX(MaskinStatus,MATCH(D2648,Maskiner,0)),"")="I dokk","","Maskinen er ikke i dokk"),""))))))</f>
        <v/>
      </c>
      <c r="L2648" s="2">
        <f>IF(B2648="","",IFERROR(INT((MATCH(B2648,Teknikere,0)-1)/18)+1,""))</f>
        <v/>
      </c>
      <c r="M2648" s="2">
        <f>IF(OR(A2648="",B2648=""),"",B2648&amp;"|"&amp;A2648)</f>
        <v/>
      </c>
      <c r="N2648" s="2">
        <f>IF(M2648="","",SUMIFS(TF_Timer,TF_Nokkel,M2648,TF_Akt,C2648))</f>
        <v/>
      </c>
      <c r="O2648" s="2">
        <f>IF(M2648="","",IF(AND(N2648=_xlfn.MAXIFS(TF_AktSum,TF_Nokkel,M2648),COUNTIFS(M$3:M2647,M2648,N$3:N2647,N2648)=0),M2648,""))</f>
        <v/>
      </c>
    </row>
    <row r="2649">
      <c r="A2649" s="34" t="n"/>
      <c r="B2649" s="35" t="n"/>
      <c r="C2649" s="35" t="n"/>
      <c r="D2649" s="35" t="n"/>
      <c r="E2649" s="35" t="n"/>
      <c r="F2649" s="36" t="n"/>
      <c r="G2649" s="35" t="n"/>
      <c r="H2649" s="30">
        <f>IF(L2649="","",INDEX(SkiftNavn,L2649))</f>
        <v/>
      </c>
      <c r="I2649" s="30">
        <f>IF(OR(A2649="",L2649=""),"",IF(MOD(A2649-INDEX(SkiftStart,L2649),Syklus)&lt;DagK,"Kveld",IF(MOD(A2649-INDEX(SkiftStart,L2649),Syklus)&lt;DagK+DagH,"Helg",IF(MOD(A2649-INDEX(SkiftStart,L2649),Syklus)&lt;DagK+DagH+DagD,"Dag","Fri"))))</f>
        <v/>
      </c>
      <c r="J2649" s="30">
        <f>IF(I2649="Fri","Ja","")</f>
        <v/>
      </c>
      <c r="K2649" s="30">
        <f>IF(B2649="","",IF(L2649="","Ukjent tekniker",IF(ISNA(MATCH(C2649,Aktiviteter,0)),"Ukjent aktivitet",IF(AND(INDEX(AktRolle,MATCH(C2649,Aktiviteter,0))&amp;""&lt;&gt;"",ISERROR(SEARCH(INDEX(AktRolle,MATCH(C2649,Aktiviteter,0))&amp;"",INDEX(TekRoller,MATCH(B2649,Teknikere,0))))),"Mangler rollen "&amp;INDEX(AktRolle,MATCH(C2649,Aktiviteter,0))&amp;"",IF(AND(C2649="LMS",F2649&gt;0,OR(D2649="",E2649="")),"Mangler maskin eller arbeid",IF(AND(OR(C2649="LMS",C2649="Mod"),D2649&lt;&gt;""),IF(IFERROR(INDEX(MaskinStatus,MATCH(D2649,Maskiner,0)),"")="I dokk","","Maskinen er ikke i dokk"),""))))))</f>
        <v/>
      </c>
      <c r="L2649" s="2">
        <f>IF(B2649="","",IFERROR(INT((MATCH(B2649,Teknikere,0)-1)/18)+1,""))</f>
        <v/>
      </c>
      <c r="M2649" s="2">
        <f>IF(OR(A2649="",B2649=""),"",B2649&amp;"|"&amp;A2649)</f>
        <v/>
      </c>
      <c r="N2649" s="2">
        <f>IF(M2649="","",SUMIFS(TF_Timer,TF_Nokkel,M2649,TF_Akt,C2649))</f>
        <v/>
      </c>
      <c r="O2649" s="2">
        <f>IF(M2649="","",IF(AND(N2649=_xlfn.MAXIFS(TF_AktSum,TF_Nokkel,M2649),COUNTIFS(M$3:M2648,M2649,N$3:N2648,N2649)=0),M2649,""))</f>
        <v/>
      </c>
    </row>
    <row r="2650">
      <c r="A2650" s="34" t="n"/>
      <c r="B2650" s="35" t="n"/>
      <c r="C2650" s="35" t="n"/>
      <c r="D2650" s="35" t="n"/>
      <c r="E2650" s="35" t="n"/>
      <c r="F2650" s="36" t="n"/>
      <c r="G2650" s="35" t="n"/>
      <c r="H2650" s="30">
        <f>IF(L2650="","",INDEX(SkiftNavn,L2650))</f>
        <v/>
      </c>
      <c r="I2650" s="30">
        <f>IF(OR(A2650="",L2650=""),"",IF(MOD(A2650-INDEX(SkiftStart,L2650),Syklus)&lt;DagK,"Kveld",IF(MOD(A2650-INDEX(SkiftStart,L2650),Syklus)&lt;DagK+DagH,"Helg",IF(MOD(A2650-INDEX(SkiftStart,L2650),Syklus)&lt;DagK+DagH+DagD,"Dag","Fri"))))</f>
        <v/>
      </c>
      <c r="J2650" s="30">
        <f>IF(I2650="Fri","Ja","")</f>
        <v/>
      </c>
      <c r="K2650" s="30">
        <f>IF(B2650="","",IF(L2650="","Ukjent tekniker",IF(ISNA(MATCH(C2650,Aktiviteter,0)),"Ukjent aktivitet",IF(AND(INDEX(AktRolle,MATCH(C2650,Aktiviteter,0))&amp;""&lt;&gt;"",ISERROR(SEARCH(INDEX(AktRolle,MATCH(C2650,Aktiviteter,0))&amp;"",INDEX(TekRoller,MATCH(B2650,Teknikere,0))))),"Mangler rollen "&amp;INDEX(AktRolle,MATCH(C2650,Aktiviteter,0))&amp;"",IF(AND(C2650="LMS",F2650&gt;0,OR(D2650="",E2650="")),"Mangler maskin eller arbeid",IF(AND(OR(C2650="LMS",C2650="Mod"),D2650&lt;&gt;""),IF(IFERROR(INDEX(MaskinStatus,MATCH(D2650,Maskiner,0)),"")="I dokk","","Maskinen er ikke i dokk"),""))))))</f>
        <v/>
      </c>
      <c r="L2650" s="2">
        <f>IF(B2650="","",IFERROR(INT((MATCH(B2650,Teknikere,0)-1)/18)+1,""))</f>
        <v/>
      </c>
      <c r="M2650" s="2">
        <f>IF(OR(A2650="",B2650=""),"",B2650&amp;"|"&amp;A2650)</f>
        <v/>
      </c>
      <c r="N2650" s="2">
        <f>IF(M2650="","",SUMIFS(TF_Timer,TF_Nokkel,M2650,TF_Akt,C2650))</f>
        <v/>
      </c>
      <c r="O2650" s="2">
        <f>IF(M2650="","",IF(AND(N2650=_xlfn.MAXIFS(TF_AktSum,TF_Nokkel,M2650),COUNTIFS(M$3:M2649,M2650,N$3:N2649,N2650)=0),M2650,""))</f>
        <v/>
      </c>
    </row>
    <row r="2651">
      <c r="A2651" s="34" t="n"/>
      <c r="B2651" s="35" t="n"/>
      <c r="C2651" s="35" t="n"/>
      <c r="D2651" s="35" t="n"/>
      <c r="E2651" s="35" t="n"/>
      <c r="F2651" s="36" t="n"/>
      <c r="G2651" s="35" t="n"/>
      <c r="H2651" s="30">
        <f>IF(L2651="","",INDEX(SkiftNavn,L2651))</f>
        <v/>
      </c>
      <c r="I2651" s="30">
        <f>IF(OR(A2651="",L2651=""),"",IF(MOD(A2651-INDEX(SkiftStart,L2651),Syklus)&lt;DagK,"Kveld",IF(MOD(A2651-INDEX(SkiftStart,L2651),Syklus)&lt;DagK+DagH,"Helg",IF(MOD(A2651-INDEX(SkiftStart,L2651),Syklus)&lt;DagK+DagH+DagD,"Dag","Fri"))))</f>
        <v/>
      </c>
      <c r="J2651" s="30">
        <f>IF(I2651="Fri","Ja","")</f>
        <v/>
      </c>
      <c r="K2651" s="30">
        <f>IF(B2651="","",IF(L2651="","Ukjent tekniker",IF(ISNA(MATCH(C2651,Aktiviteter,0)),"Ukjent aktivitet",IF(AND(INDEX(AktRolle,MATCH(C2651,Aktiviteter,0))&amp;""&lt;&gt;"",ISERROR(SEARCH(INDEX(AktRolle,MATCH(C2651,Aktiviteter,0))&amp;"",INDEX(TekRoller,MATCH(B2651,Teknikere,0))))),"Mangler rollen "&amp;INDEX(AktRolle,MATCH(C2651,Aktiviteter,0))&amp;"",IF(AND(C2651="LMS",F2651&gt;0,OR(D2651="",E2651="")),"Mangler maskin eller arbeid",IF(AND(OR(C2651="LMS",C2651="Mod"),D2651&lt;&gt;""),IF(IFERROR(INDEX(MaskinStatus,MATCH(D2651,Maskiner,0)),"")="I dokk","","Maskinen er ikke i dokk"),""))))))</f>
        <v/>
      </c>
      <c r="L2651" s="2">
        <f>IF(B2651="","",IFERROR(INT((MATCH(B2651,Teknikere,0)-1)/18)+1,""))</f>
        <v/>
      </c>
      <c r="M2651" s="2">
        <f>IF(OR(A2651="",B2651=""),"",B2651&amp;"|"&amp;A2651)</f>
        <v/>
      </c>
      <c r="N2651" s="2">
        <f>IF(M2651="","",SUMIFS(TF_Timer,TF_Nokkel,M2651,TF_Akt,C2651))</f>
        <v/>
      </c>
      <c r="O2651" s="2">
        <f>IF(M2651="","",IF(AND(N2651=_xlfn.MAXIFS(TF_AktSum,TF_Nokkel,M2651),COUNTIFS(M$3:M2650,M2651,N$3:N2650,N2651)=0),M2651,""))</f>
        <v/>
      </c>
    </row>
    <row r="2652">
      <c r="A2652" s="34" t="n"/>
      <c r="B2652" s="35" t="n"/>
      <c r="C2652" s="35" t="n"/>
      <c r="D2652" s="35" t="n"/>
      <c r="E2652" s="35" t="n"/>
      <c r="F2652" s="36" t="n"/>
      <c r="G2652" s="35" t="n"/>
      <c r="H2652" s="30">
        <f>IF(L2652="","",INDEX(SkiftNavn,L2652))</f>
        <v/>
      </c>
      <c r="I2652" s="30">
        <f>IF(OR(A2652="",L2652=""),"",IF(MOD(A2652-INDEX(SkiftStart,L2652),Syklus)&lt;DagK,"Kveld",IF(MOD(A2652-INDEX(SkiftStart,L2652),Syklus)&lt;DagK+DagH,"Helg",IF(MOD(A2652-INDEX(SkiftStart,L2652),Syklus)&lt;DagK+DagH+DagD,"Dag","Fri"))))</f>
        <v/>
      </c>
      <c r="J2652" s="30">
        <f>IF(I2652="Fri","Ja","")</f>
        <v/>
      </c>
      <c r="K2652" s="30">
        <f>IF(B2652="","",IF(L2652="","Ukjent tekniker",IF(ISNA(MATCH(C2652,Aktiviteter,0)),"Ukjent aktivitet",IF(AND(INDEX(AktRolle,MATCH(C2652,Aktiviteter,0))&amp;""&lt;&gt;"",ISERROR(SEARCH(INDEX(AktRolle,MATCH(C2652,Aktiviteter,0))&amp;"",INDEX(TekRoller,MATCH(B2652,Teknikere,0))))),"Mangler rollen "&amp;INDEX(AktRolle,MATCH(C2652,Aktiviteter,0))&amp;"",IF(AND(C2652="LMS",F2652&gt;0,OR(D2652="",E2652="")),"Mangler maskin eller arbeid",IF(AND(OR(C2652="LMS",C2652="Mod"),D2652&lt;&gt;""),IF(IFERROR(INDEX(MaskinStatus,MATCH(D2652,Maskiner,0)),"")="I dokk","","Maskinen er ikke i dokk"),""))))))</f>
        <v/>
      </c>
      <c r="L2652" s="2">
        <f>IF(B2652="","",IFERROR(INT((MATCH(B2652,Teknikere,0)-1)/18)+1,""))</f>
        <v/>
      </c>
      <c r="M2652" s="2">
        <f>IF(OR(A2652="",B2652=""),"",B2652&amp;"|"&amp;A2652)</f>
        <v/>
      </c>
      <c r="N2652" s="2">
        <f>IF(M2652="","",SUMIFS(TF_Timer,TF_Nokkel,M2652,TF_Akt,C2652))</f>
        <v/>
      </c>
      <c r="O2652" s="2">
        <f>IF(M2652="","",IF(AND(N2652=_xlfn.MAXIFS(TF_AktSum,TF_Nokkel,M2652),COUNTIFS(M$3:M2651,M2652,N$3:N2651,N2652)=0),M2652,""))</f>
        <v/>
      </c>
    </row>
    <row r="2653">
      <c r="A2653" s="34" t="n"/>
      <c r="B2653" s="35" t="n"/>
      <c r="C2653" s="35" t="n"/>
      <c r="D2653" s="35" t="n"/>
      <c r="E2653" s="35" t="n"/>
      <c r="F2653" s="36" t="n"/>
      <c r="G2653" s="35" t="n"/>
      <c r="H2653" s="30">
        <f>IF(L2653="","",INDEX(SkiftNavn,L2653))</f>
        <v/>
      </c>
      <c r="I2653" s="30">
        <f>IF(OR(A2653="",L2653=""),"",IF(MOD(A2653-INDEX(SkiftStart,L2653),Syklus)&lt;DagK,"Kveld",IF(MOD(A2653-INDEX(SkiftStart,L2653),Syklus)&lt;DagK+DagH,"Helg",IF(MOD(A2653-INDEX(SkiftStart,L2653),Syklus)&lt;DagK+DagH+DagD,"Dag","Fri"))))</f>
        <v/>
      </c>
      <c r="J2653" s="30">
        <f>IF(I2653="Fri","Ja","")</f>
        <v/>
      </c>
      <c r="K2653" s="30">
        <f>IF(B2653="","",IF(L2653="","Ukjent tekniker",IF(ISNA(MATCH(C2653,Aktiviteter,0)),"Ukjent aktivitet",IF(AND(INDEX(AktRolle,MATCH(C2653,Aktiviteter,0))&amp;""&lt;&gt;"",ISERROR(SEARCH(INDEX(AktRolle,MATCH(C2653,Aktiviteter,0))&amp;"",INDEX(TekRoller,MATCH(B2653,Teknikere,0))))),"Mangler rollen "&amp;INDEX(AktRolle,MATCH(C2653,Aktiviteter,0))&amp;"",IF(AND(C2653="LMS",F2653&gt;0,OR(D2653="",E2653="")),"Mangler maskin eller arbeid",IF(AND(OR(C2653="LMS",C2653="Mod"),D2653&lt;&gt;""),IF(IFERROR(INDEX(MaskinStatus,MATCH(D2653,Maskiner,0)),"")="I dokk","","Maskinen er ikke i dokk"),""))))))</f>
        <v/>
      </c>
      <c r="L2653" s="2">
        <f>IF(B2653="","",IFERROR(INT((MATCH(B2653,Teknikere,0)-1)/18)+1,""))</f>
        <v/>
      </c>
      <c r="M2653" s="2">
        <f>IF(OR(A2653="",B2653=""),"",B2653&amp;"|"&amp;A2653)</f>
        <v/>
      </c>
      <c r="N2653" s="2">
        <f>IF(M2653="","",SUMIFS(TF_Timer,TF_Nokkel,M2653,TF_Akt,C2653))</f>
        <v/>
      </c>
      <c r="O2653" s="2">
        <f>IF(M2653="","",IF(AND(N2653=_xlfn.MAXIFS(TF_AktSum,TF_Nokkel,M2653),COUNTIFS(M$3:M2652,M2653,N$3:N2652,N2653)=0),M2653,""))</f>
        <v/>
      </c>
    </row>
    <row r="2654">
      <c r="A2654" s="34" t="n"/>
      <c r="B2654" s="35" t="n"/>
      <c r="C2654" s="35" t="n"/>
      <c r="D2654" s="35" t="n"/>
      <c r="E2654" s="35" t="n"/>
      <c r="F2654" s="36" t="n"/>
      <c r="G2654" s="35" t="n"/>
      <c r="H2654" s="30">
        <f>IF(L2654="","",INDEX(SkiftNavn,L2654))</f>
        <v/>
      </c>
      <c r="I2654" s="30">
        <f>IF(OR(A2654="",L2654=""),"",IF(MOD(A2654-INDEX(SkiftStart,L2654),Syklus)&lt;DagK,"Kveld",IF(MOD(A2654-INDEX(SkiftStart,L2654),Syklus)&lt;DagK+DagH,"Helg",IF(MOD(A2654-INDEX(SkiftStart,L2654),Syklus)&lt;DagK+DagH+DagD,"Dag","Fri"))))</f>
        <v/>
      </c>
      <c r="J2654" s="30">
        <f>IF(I2654="Fri","Ja","")</f>
        <v/>
      </c>
      <c r="K2654" s="30">
        <f>IF(B2654="","",IF(L2654="","Ukjent tekniker",IF(ISNA(MATCH(C2654,Aktiviteter,0)),"Ukjent aktivitet",IF(AND(INDEX(AktRolle,MATCH(C2654,Aktiviteter,0))&amp;""&lt;&gt;"",ISERROR(SEARCH(INDEX(AktRolle,MATCH(C2654,Aktiviteter,0))&amp;"",INDEX(TekRoller,MATCH(B2654,Teknikere,0))))),"Mangler rollen "&amp;INDEX(AktRolle,MATCH(C2654,Aktiviteter,0))&amp;"",IF(AND(C2654="LMS",F2654&gt;0,OR(D2654="",E2654="")),"Mangler maskin eller arbeid",IF(AND(OR(C2654="LMS",C2654="Mod"),D2654&lt;&gt;""),IF(IFERROR(INDEX(MaskinStatus,MATCH(D2654,Maskiner,0)),"")="I dokk","","Maskinen er ikke i dokk"),""))))))</f>
        <v/>
      </c>
      <c r="L2654" s="2">
        <f>IF(B2654="","",IFERROR(INT((MATCH(B2654,Teknikere,0)-1)/18)+1,""))</f>
        <v/>
      </c>
      <c r="M2654" s="2">
        <f>IF(OR(A2654="",B2654=""),"",B2654&amp;"|"&amp;A2654)</f>
        <v/>
      </c>
      <c r="N2654" s="2">
        <f>IF(M2654="","",SUMIFS(TF_Timer,TF_Nokkel,M2654,TF_Akt,C2654))</f>
        <v/>
      </c>
      <c r="O2654" s="2">
        <f>IF(M2654="","",IF(AND(N2654=_xlfn.MAXIFS(TF_AktSum,TF_Nokkel,M2654),COUNTIFS(M$3:M2653,M2654,N$3:N2653,N2654)=0),M2654,""))</f>
        <v/>
      </c>
    </row>
    <row r="2655">
      <c r="A2655" s="34" t="n"/>
      <c r="B2655" s="35" t="n"/>
      <c r="C2655" s="35" t="n"/>
      <c r="D2655" s="35" t="n"/>
      <c r="E2655" s="35" t="n"/>
      <c r="F2655" s="36" t="n"/>
      <c r="G2655" s="35" t="n"/>
      <c r="H2655" s="30">
        <f>IF(L2655="","",INDEX(SkiftNavn,L2655))</f>
        <v/>
      </c>
      <c r="I2655" s="30">
        <f>IF(OR(A2655="",L2655=""),"",IF(MOD(A2655-INDEX(SkiftStart,L2655),Syklus)&lt;DagK,"Kveld",IF(MOD(A2655-INDEX(SkiftStart,L2655),Syklus)&lt;DagK+DagH,"Helg",IF(MOD(A2655-INDEX(SkiftStart,L2655),Syklus)&lt;DagK+DagH+DagD,"Dag","Fri"))))</f>
        <v/>
      </c>
      <c r="J2655" s="30">
        <f>IF(I2655="Fri","Ja","")</f>
        <v/>
      </c>
      <c r="K2655" s="30">
        <f>IF(B2655="","",IF(L2655="","Ukjent tekniker",IF(ISNA(MATCH(C2655,Aktiviteter,0)),"Ukjent aktivitet",IF(AND(INDEX(AktRolle,MATCH(C2655,Aktiviteter,0))&amp;""&lt;&gt;"",ISERROR(SEARCH(INDEX(AktRolle,MATCH(C2655,Aktiviteter,0))&amp;"",INDEX(TekRoller,MATCH(B2655,Teknikere,0))))),"Mangler rollen "&amp;INDEX(AktRolle,MATCH(C2655,Aktiviteter,0))&amp;"",IF(AND(C2655="LMS",F2655&gt;0,OR(D2655="",E2655="")),"Mangler maskin eller arbeid",IF(AND(OR(C2655="LMS",C2655="Mod"),D2655&lt;&gt;""),IF(IFERROR(INDEX(MaskinStatus,MATCH(D2655,Maskiner,0)),"")="I dokk","","Maskinen er ikke i dokk"),""))))))</f>
        <v/>
      </c>
      <c r="L2655" s="2">
        <f>IF(B2655="","",IFERROR(INT((MATCH(B2655,Teknikere,0)-1)/18)+1,""))</f>
        <v/>
      </c>
      <c r="M2655" s="2">
        <f>IF(OR(A2655="",B2655=""),"",B2655&amp;"|"&amp;A2655)</f>
        <v/>
      </c>
      <c r="N2655" s="2">
        <f>IF(M2655="","",SUMIFS(TF_Timer,TF_Nokkel,M2655,TF_Akt,C2655))</f>
        <v/>
      </c>
      <c r="O2655" s="2">
        <f>IF(M2655="","",IF(AND(N2655=_xlfn.MAXIFS(TF_AktSum,TF_Nokkel,M2655),COUNTIFS(M$3:M2654,M2655,N$3:N2654,N2655)=0),M2655,""))</f>
        <v/>
      </c>
    </row>
    <row r="2656">
      <c r="A2656" s="34" t="n"/>
      <c r="B2656" s="35" t="n"/>
      <c r="C2656" s="35" t="n"/>
      <c r="D2656" s="35" t="n"/>
      <c r="E2656" s="35" t="n"/>
      <c r="F2656" s="36" t="n"/>
      <c r="G2656" s="35" t="n"/>
      <c r="H2656" s="30">
        <f>IF(L2656="","",INDEX(SkiftNavn,L2656))</f>
        <v/>
      </c>
      <c r="I2656" s="30">
        <f>IF(OR(A2656="",L2656=""),"",IF(MOD(A2656-INDEX(SkiftStart,L2656),Syklus)&lt;DagK,"Kveld",IF(MOD(A2656-INDEX(SkiftStart,L2656),Syklus)&lt;DagK+DagH,"Helg",IF(MOD(A2656-INDEX(SkiftStart,L2656),Syklus)&lt;DagK+DagH+DagD,"Dag","Fri"))))</f>
        <v/>
      </c>
      <c r="J2656" s="30">
        <f>IF(I2656="Fri","Ja","")</f>
        <v/>
      </c>
      <c r="K2656" s="30">
        <f>IF(B2656="","",IF(L2656="","Ukjent tekniker",IF(ISNA(MATCH(C2656,Aktiviteter,0)),"Ukjent aktivitet",IF(AND(INDEX(AktRolle,MATCH(C2656,Aktiviteter,0))&amp;""&lt;&gt;"",ISERROR(SEARCH(INDEX(AktRolle,MATCH(C2656,Aktiviteter,0))&amp;"",INDEX(TekRoller,MATCH(B2656,Teknikere,0))))),"Mangler rollen "&amp;INDEX(AktRolle,MATCH(C2656,Aktiviteter,0))&amp;"",IF(AND(C2656="LMS",F2656&gt;0,OR(D2656="",E2656="")),"Mangler maskin eller arbeid",IF(AND(OR(C2656="LMS",C2656="Mod"),D2656&lt;&gt;""),IF(IFERROR(INDEX(MaskinStatus,MATCH(D2656,Maskiner,0)),"")="I dokk","","Maskinen er ikke i dokk"),""))))))</f>
        <v/>
      </c>
      <c r="L2656" s="2">
        <f>IF(B2656="","",IFERROR(INT((MATCH(B2656,Teknikere,0)-1)/18)+1,""))</f>
        <v/>
      </c>
      <c r="M2656" s="2">
        <f>IF(OR(A2656="",B2656=""),"",B2656&amp;"|"&amp;A2656)</f>
        <v/>
      </c>
      <c r="N2656" s="2">
        <f>IF(M2656="","",SUMIFS(TF_Timer,TF_Nokkel,M2656,TF_Akt,C2656))</f>
        <v/>
      </c>
      <c r="O2656" s="2">
        <f>IF(M2656="","",IF(AND(N2656=_xlfn.MAXIFS(TF_AktSum,TF_Nokkel,M2656),COUNTIFS(M$3:M2655,M2656,N$3:N2655,N2656)=0),M2656,""))</f>
        <v/>
      </c>
    </row>
    <row r="2657">
      <c r="A2657" s="34" t="n"/>
      <c r="B2657" s="35" t="n"/>
      <c r="C2657" s="35" t="n"/>
      <c r="D2657" s="35" t="n"/>
      <c r="E2657" s="35" t="n"/>
      <c r="F2657" s="36" t="n"/>
      <c r="G2657" s="35" t="n"/>
      <c r="H2657" s="30">
        <f>IF(L2657="","",INDEX(SkiftNavn,L2657))</f>
        <v/>
      </c>
      <c r="I2657" s="30">
        <f>IF(OR(A2657="",L2657=""),"",IF(MOD(A2657-INDEX(SkiftStart,L2657),Syklus)&lt;DagK,"Kveld",IF(MOD(A2657-INDEX(SkiftStart,L2657),Syklus)&lt;DagK+DagH,"Helg",IF(MOD(A2657-INDEX(SkiftStart,L2657),Syklus)&lt;DagK+DagH+DagD,"Dag","Fri"))))</f>
        <v/>
      </c>
      <c r="J2657" s="30">
        <f>IF(I2657="Fri","Ja","")</f>
        <v/>
      </c>
      <c r="K2657" s="30">
        <f>IF(B2657="","",IF(L2657="","Ukjent tekniker",IF(ISNA(MATCH(C2657,Aktiviteter,0)),"Ukjent aktivitet",IF(AND(INDEX(AktRolle,MATCH(C2657,Aktiviteter,0))&amp;""&lt;&gt;"",ISERROR(SEARCH(INDEX(AktRolle,MATCH(C2657,Aktiviteter,0))&amp;"",INDEX(TekRoller,MATCH(B2657,Teknikere,0))))),"Mangler rollen "&amp;INDEX(AktRolle,MATCH(C2657,Aktiviteter,0))&amp;"",IF(AND(C2657="LMS",F2657&gt;0,OR(D2657="",E2657="")),"Mangler maskin eller arbeid",IF(AND(OR(C2657="LMS",C2657="Mod"),D2657&lt;&gt;""),IF(IFERROR(INDEX(MaskinStatus,MATCH(D2657,Maskiner,0)),"")="I dokk","","Maskinen er ikke i dokk"),""))))))</f>
        <v/>
      </c>
      <c r="L2657" s="2">
        <f>IF(B2657="","",IFERROR(INT((MATCH(B2657,Teknikere,0)-1)/18)+1,""))</f>
        <v/>
      </c>
      <c r="M2657" s="2">
        <f>IF(OR(A2657="",B2657=""),"",B2657&amp;"|"&amp;A2657)</f>
        <v/>
      </c>
      <c r="N2657" s="2">
        <f>IF(M2657="","",SUMIFS(TF_Timer,TF_Nokkel,M2657,TF_Akt,C2657))</f>
        <v/>
      </c>
      <c r="O2657" s="2">
        <f>IF(M2657="","",IF(AND(N2657=_xlfn.MAXIFS(TF_AktSum,TF_Nokkel,M2657),COUNTIFS(M$3:M2656,M2657,N$3:N2656,N2657)=0),M2657,""))</f>
        <v/>
      </c>
    </row>
    <row r="2658">
      <c r="A2658" s="34" t="n"/>
      <c r="B2658" s="35" t="n"/>
      <c r="C2658" s="35" t="n"/>
      <c r="D2658" s="35" t="n"/>
      <c r="E2658" s="35" t="n"/>
      <c r="F2658" s="36" t="n"/>
      <c r="G2658" s="35" t="n"/>
      <c r="H2658" s="30">
        <f>IF(L2658="","",INDEX(SkiftNavn,L2658))</f>
        <v/>
      </c>
      <c r="I2658" s="30">
        <f>IF(OR(A2658="",L2658=""),"",IF(MOD(A2658-INDEX(SkiftStart,L2658),Syklus)&lt;DagK,"Kveld",IF(MOD(A2658-INDEX(SkiftStart,L2658),Syklus)&lt;DagK+DagH,"Helg",IF(MOD(A2658-INDEX(SkiftStart,L2658),Syklus)&lt;DagK+DagH+DagD,"Dag","Fri"))))</f>
        <v/>
      </c>
      <c r="J2658" s="30">
        <f>IF(I2658="Fri","Ja","")</f>
        <v/>
      </c>
      <c r="K2658" s="30">
        <f>IF(B2658="","",IF(L2658="","Ukjent tekniker",IF(ISNA(MATCH(C2658,Aktiviteter,0)),"Ukjent aktivitet",IF(AND(INDEX(AktRolle,MATCH(C2658,Aktiviteter,0))&amp;""&lt;&gt;"",ISERROR(SEARCH(INDEX(AktRolle,MATCH(C2658,Aktiviteter,0))&amp;"",INDEX(TekRoller,MATCH(B2658,Teknikere,0))))),"Mangler rollen "&amp;INDEX(AktRolle,MATCH(C2658,Aktiviteter,0))&amp;"",IF(AND(C2658="LMS",F2658&gt;0,OR(D2658="",E2658="")),"Mangler maskin eller arbeid",IF(AND(OR(C2658="LMS",C2658="Mod"),D2658&lt;&gt;""),IF(IFERROR(INDEX(MaskinStatus,MATCH(D2658,Maskiner,0)),"")="I dokk","","Maskinen er ikke i dokk"),""))))))</f>
        <v/>
      </c>
      <c r="L2658" s="2">
        <f>IF(B2658="","",IFERROR(INT((MATCH(B2658,Teknikere,0)-1)/18)+1,""))</f>
        <v/>
      </c>
      <c r="M2658" s="2">
        <f>IF(OR(A2658="",B2658=""),"",B2658&amp;"|"&amp;A2658)</f>
        <v/>
      </c>
      <c r="N2658" s="2">
        <f>IF(M2658="","",SUMIFS(TF_Timer,TF_Nokkel,M2658,TF_Akt,C2658))</f>
        <v/>
      </c>
      <c r="O2658" s="2">
        <f>IF(M2658="","",IF(AND(N2658=_xlfn.MAXIFS(TF_AktSum,TF_Nokkel,M2658),COUNTIFS(M$3:M2657,M2658,N$3:N2657,N2658)=0),M2658,""))</f>
        <v/>
      </c>
    </row>
    <row r="2659">
      <c r="A2659" s="34" t="n"/>
      <c r="B2659" s="35" t="n"/>
      <c r="C2659" s="35" t="n"/>
      <c r="D2659" s="35" t="n"/>
      <c r="E2659" s="35" t="n"/>
      <c r="F2659" s="36" t="n"/>
      <c r="G2659" s="35" t="n"/>
      <c r="H2659" s="30">
        <f>IF(L2659="","",INDEX(SkiftNavn,L2659))</f>
        <v/>
      </c>
      <c r="I2659" s="30">
        <f>IF(OR(A2659="",L2659=""),"",IF(MOD(A2659-INDEX(SkiftStart,L2659),Syklus)&lt;DagK,"Kveld",IF(MOD(A2659-INDEX(SkiftStart,L2659),Syklus)&lt;DagK+DagH,"Helg",IF(MOD(A2659-INDEX(SkiftStart,L2659),Syklus)&lt;DagK+DagH+DagD,"Dag","Fri"))))</f>
        <v/>
      </c>
      <c r="J2659" s="30">
        <f>IF(I2659="Fri","Ja","")</f>
        <v/>
      </c>
      <c r="K2659" s="30">
        <f>IF(B2659="","",IF(L2659="","Ukjent tekniker",IF(ISNA(MATCH(C2659,Aktiviteter,0)),"Ukjent aktivitet",IF(AND(INDEX(AktRolle,MATCH(C2659,Aktiviteter,0))&amp;""&lt;&gt;"",ISERROR(SEARCH(INDEX(AktRolle,MATCH(C2659,Aktiviteter,0))&amp;"",INDEX(TekRoller,MATCH(B2659,Teknikere,0))))),"Mangler rollen "&amp;INDEX(AktRolle,MATCH(C2659,Aktiviteter,0))&amp;"",IF(AND(C2659="LMS",F2659&gt;0,OR(D2659="",E2659="")),"Mangler maskin eller arbeid",IF(AND(OR(C2659="LMS",C2659="Mod"),D2659&lt;&gt;""),IF(IFERROR(INDEX(MaskinStatus,MATCH(D2659,Maskiner,0)),"")="I dokk","","Maskinen er ikke i dokk"),""))))))</f>
        <v/>
      </c>
      <c r="L2659" s="2">
        <f>IF(B2659="","",IFERROR(INT((MATCH(B2659,Teknikere,0)-1)/18)+1,""))</f>
        <v/>
      </c>
      <c r="M2659" s="2">
        <f>IF(OR(A2659="",B2659=""),"",B2659&amp;"|"&amp;A2659)</f>
        <v/>
      </c>
      <c r="N2659" s="2">
        <f>IF(M2659="","",SUMIFS(TF_Timer,TF_Nokkel,M2659,TF_Akt,C2659))</f>
        <v/>
      </c>
      <c r="O2659" s="2">
        <f>IF(M2659="","",IF(AND(N2659=_xlfn.MAXIFS(TF_AktSum,TF_Nokkel,M2659),COUNTIFS(M$3:M2658,M2659,N$3:N2658,N2659)=0),M2659,""))</f>
        <v/>
      </c>
    </row>
    <row r="2660">
      <c r="A2660" s="34" t="n"/>
      <c r="B2660" s="35" t="n"/>
      <c r="C2660" s="35" t="n"/>
      <c r="D2660" s="35" t="n"/>
      <c r="E2660" s="35" t="n"/>
      <c r="F2660" s="36" t="n"/>
      <c r="G2660" s="35" t="n"/>
      <c r="H2660" s="30">
        <f>IF(L2660="","",INDEX(SkiftNavn,L2660))</f>
        <v/>
      </c>
      <c r="I2660" s="30">
        <f>IF(OR(A2660="",L2660=""),"",IF(MOD(A2660-INDEX(SkiftStart,L2660),Syklus)&lt;DagK,"Kveld",IF(MOD(A2660-INDEX(SkiftStart,L2660),Syklus)&lt;DagK+DagH,"Helg",IF(MOD(A2660-INDEX(SkiftStart,L2660),Syklus)&lt;DagK+DagH+DagD,"Dag","Fri"))))</f>
        <v/>
      </c>
      <c r="J2660" s="30">
        <f>IF(I2660="Fri","Ja","")</f>
        <v/>
      </c>
      <c r="K2660" s="30">
        <f>IF(B2660="","",IF(L2660="","Ukjent tekniker",IF(ISNA(MATCH(C2660,Aktiviteter,0)),"Ukjent aktivitet",IF(AND(INDEX(AktRolle,MATCH(C2660,Aktiviteter,0))&amp;""&lt;&gt;"",ISERROR(SEARCH(INDEX(AktRolle,MATCH(C2660,Aktiviteter,0))&amp;"",INDEX(TekRoller,MATCH(B2660,Teknikere,0))))),"Mangler rollen "&amp;INDEX(AktRolle,MATCH(C2660,Aktiviteter,0))&amp;"",IF(AND(C2660="LMS",F2660&gt;0,OR(D2660="",E2660="")),"Mangler maskin eller arbeid",IF(AND(OR(C2660="LMS",C2660="Mod"),D2660&lt;&gt;""),IF(IFERROR(INDEX(MaskinStatus,MATCH(D2660,Maskiner,0)),"")="I dokk","","Maskinen er ikke i dokk"),""))))))</f>
        <v/>
      </c>
      <c r="L2660" s="2">
        <f>IF(B2660="","",IFERROR(INT((MATCH(B2660,Teknikere,0)-1)/18)+1,""))</f>
        <v/>
      </c>
      <c r="M2660" s="2">
        <f>IF(OR(A2660="",B2660=""),"",B2660&amp;"|"&amp;A2660)</f>
        <v/>
      </c>
      <c r="N2660" s="2">
        <f>IF(M2660="","",SUMIFS(TF_Timer,TF_Nokkel,M2660,TF_Akt,C2660))</f>
        <v/>
      </c>
      <c r="O2660" s="2">
        <f>IF(M2660="","",IF(AND(N2660=_xlfn.MAXIFS(TF_AktSum,TF_Nokkel,M2660),COUNTIFS(M$3:M2659,M2660,N$3:N2659,N2660)=0),M2660,""))</f>
        <v/>
      </c>
    </row>
    <row r="2661">
      <c r="A2661" s="34" t="n"/>
      <c r="B2661" s="35" t="n"/>
      <c r="C2661" s="35" t="n"/>
      <c r="D2661" s="35" t="n"/>
      <c r="E2661" s="35" t="n"/>
      <c r="F2661" s="36" t="n"/>
      <c r="G2661" s="35" t="n"/>
      <c r="H2661" s="30">
        <f>IF(L2661="","",INDEX(SkiftNavn,L2661))</f>
        <v/>
      </c>
      <c r="I2661" s="30">
        <f>IF(OR(A2661="",L2661=""),"",IF(MOD(A2661-INDEX(SkiftStart,L2661),Syklus)&lt;DagK,"Kveld",IF(MOD(A2661-INDEX(SkiftStart,L2661),Syklus)&lt;DagK+DagH,"Helg",IF(MOD(A2661-INDEX(SkiftStart,L2661),Syklus)&lt;DagK+DagH+DagD,"Dag","Fri"))))</f>
        <v/>
      </c>
      <c r="J2661" s="30">
        <f>IF(I2661="Fri","Ja","")</f>
        <v/>
      </c>
      <c r="K2661" s="30">
        <f>IF(B2661="","",IF(L2661="","Ukjent tekniker",IF(ISNA(MATCH(C2661,Aktiviteter,0)),"Ukjent aktivitet",IF(AND(INDEX(AktRolle,MATCH(C2661,Aktiviteter,0))&amp;""&lt;&gt;"",ISERROR(SEARCH(INDEX(AktRolle,MATCH(C2661,Aktiviteter,0))&amp;"",INDEX(TekRoller,MATCH(B2661,Teknikere,0))))),"Mangler rollen "&amp;INDEX(AktRolle,MATCH(C2661,Aktiviteter,0))&amp;"",IF(AND(C2661="LMS",F2661&gt;0,OR(D2661="",E2661="")),"Mangler maskin eller arbeid",IF(AND(OR(C2661="LMS",C2661="Mod"),D2661&lt;&gt;""),IF(IFERROR(INDEX(MaskinStatus,MATCH(D2661,Maskiner,0)),"")="I dokk","","Maskinen er ikke i dokk"),""))))))</f>
        <v/>
      </c>
      <c r="L2661" s="2">
        <f>IF(B2661="","",IFERROR(INT((MATCH(B2661,Teknikere,0)-1)/18)+1,""))</f>
        <v/>
      </c>
      <c r="M2661" s="2">
        <f>IF(OR(A2661="",B2661=""),"",B2661&amp;"|"&amp;A2661)</f>
        <v/>
      </c>
      <c r="N2661" s="2">
        <f>IF(M2661="","",SUMIFS(TF_Timer,TF_Nokkel,M2661,TF_Akt,C2661))</f>
        <v/>
      </c>
      <c r="O2661" s="2">
        <f>IF(M2661="","",IF(AND(N2661=_xlfn.MAXIFS(TF_AktSum,TF_Nokkel,M2661),COUNTIFS(M$3:M2660,M2661,N$3:N2660,N2661)=0),M2661,""))</f>
        <v/>
      </c>
    </row>
    <row r="2662">
      <c r="A2662" s="34" t="n"/>
      <c r="B2662" s="35" t="n"/>
      <c r="C2662" s="35" t="n"/>
      <c r="D2662" s="35" t="n"/>
      <c r="E2662" s="35" t="n"/>
      <c r="F2662" s="36" t="n"/>
      <c r="G2662" s="35" t="n"/>
      <c r="H2662" s="30">
        <f>IF(L2662="","",INDEX(SkiftNavn,L2662))</f>
        <v/>
      </c>
      <c r="I2662" s="30">
        <f>IF(OR(A2662="",L2662=""),"",IF(MOD(A2662-INDEX(SkiftStart,L2662),Syklus)&lt;DagK,"Kveld",IF(MOD(A2662-INDEX(SkiftStart,L2662),Syklus)&lt;DagK+DagH,"Helg",IF(MOD(A2662-INDEX(SkiftStart,L2662),Syklus)&lt;DagK+DagH+DagD,"Dag","Fri"))))</f>
        <v/>
      </c>
      <c r="J2662" s="30">
        <f>IF(I2662="Fri","Ja","")</f>
        <v/>
      </c>
      <c r="K2662" s="30">
        <f>IF(B2662="","",IF(L2662="","Ukjent tekniker",IF(ISNA(MATCH(C2662,Aktiviteter,0)),"Ukjent aktivitet",IF(AND(INDEX(AktRolle,MATCH(C2662,Aktiviteter,0))&amp;""&lt;&gt;"",ISERROR(SEARCH(INDEX(AktRolle,MATCH(C2662,Aktiviteter,0))&amp;"",INDEX(TekRoller,MATCH(B2662,Teknikere,0))))),"Mangler rollen "&amp;INDEX(AktRolle,MATCH(C2662,Aktiviteter,0))&amp;"",IF(AND(C2662="LMS",F2662&gt;0,OR(D2662="",E2662="")),"Mangler maskin eller arbeid",IF(AND(OR(C2662="LMS",C2662="Mod"),D2662&lt;&gt;""),IF(IFERROR(INDEX(MaskinStatus,MATCH(D2662,Maskiner,0)),"")="I dokk","","Maskinen er ikke i dokk"),""))))))</f>
        <v/>
      </c>
      <c r="L2662" s="2">
        <f>IF(B2662="","",IFERROR(INT((MATCH(B2662,Teknikere,0)-1)/18)+1,""))</f>
        <v/>
      </c>
      <c r="M2662" s="2">
        <f>IF(OR(A2662="",B2662=""),"",B2662&amp;"|"&amp;A2662)</f>
        <v/>
      </c>
      <c r="N2662" s="2">
        <f>IF(M2662="","",SUMIFS(TF_Timer,TF_Nokkel,M2662,TF_Akt,C2662))</f>
        <v/>
      </c>
      <c r="O2662" s="2">
        <f>IF(M2662="","",IF(AND(N2662=_xlfn.MAXIFS(TF_AktSum,TF_Nokkel,M2662),COUNTIFS(M$3:M2661,M2662,N$3:N2661,N2662)=0),M2662,""))</f>
        <v/>
      </c>
    </row>
    <row r="2663">
      <c r="A2663" s="34" t="n"/>
      <c r="B2663" s="35" t="n"/>
      <c r="C2663" s="35" t="n"/>
      <c r="D2663" s="35" t="n"/>
      <c r="E2663" s="35" t="n"/>
      <c r="F2663" s="36" t="n"/>
      <c r="G2663" s="35" t="n"/>
      <c r="H2663" s="30">
        <f>IF(L2663="","",INDEX(SkiftNavn,L2663))</f>
        <v/>
      </c>
      <c r="I2663" s="30">
        <f>IF(OR(A2663="",L2663=""),"",IF(MOD(A2663-INDEX(SkiftStart,L2663),Syklus)&lt;DagK,"Kveld",IF(MOD(A2663-INDEX(SkiftStart,L2663),Syklus)&lt;DagK+DagH,"Helg",IF(MOD(A2663-INDEX(SkiftStart,L2663),Syklus)&lt;DagK+DagH+DagD,"Dag","Fri"))))</f>
        <v/>
      </c>
      <c r="J2663" s="30">
        <f>IF(I2663="Fri","Ja","")</f>
        <v/>
      </c>
      <c r="K2663" s="30">
        <f>IF(B2663="","",IF(L2663="","Ukjent tekniker",IF(ISNA(MATCH(C2663,Aktiviteter,0)),"Ukjent aktivitet",IF(AND(INDEX(AktRolle,MATCH(C2663,Aktiviteter,0))&amp;""&lt;&gt;"",ISERROR(SEARCH(INDEX(AktRolle,MATCH(C2663,Aktiviteter,0))&amp;"",INDEX(TekRoller,MATCH(B2663,Teknikere,0))))),"Mangler rollen "&amp;INDEX(AktRolle,MATCH(C2663,Aktiviteter,0))&amp;"",IF(AND(C2663="LMS",F2663&gt;0,OR(D2663="",E2663="")),"Mangler maskin eller arbeid",IF(AND(OR(C2663="LMS",C2663="Mod"),D2663&lt;&gt;""),IF(IFERROR(INDEX(MaskinStatus,MATCH(D2663,Maskiner,0)),"")="I dokk","","Maskinen er ikke i dokk"),""))))))</f>
        <v/>
      </c>
      <c r="L2663" s="2">
        <f>IF(B2663="","",IFERROR(INT((MATCH(B2663,Teknikere,0)-1)/18)+1,""))</f>
        <v/>
      </c>
      <c r="M2663" s="2">
        <f>IF(OR(A2663="",B2663=""),"",B2663&amp;"|"&amp;A2663)</f>
        <v/>
      </c>
      <c r="N2663" s="2">
        <f>IF(M2663="","",SUMIFS(TF_Timer,TF_Nokkel,M2663,TF_Akt,C2663))</f>
        <v/>
      </c>
      <c r="O2663" s="2">
        <f>IF(M2663="","",IF(AND(N2663=_xlfn.MAXIFS(TF_AktSum,TF_Nokkel,M2663),COUNTIFS(M$3:M2662,M2663,N$3:N2662,N2663)=0),M2663,""))</f>
        <v/>
      </c>
    </row>
    <row r="2664">
      <c r="A2664" s="34" t="n"/>
      <c r="B2664" s="35" t="n"/>
      <c r="C2664" s="35" t="n"/>
      <c r="D2664" s="35" t="n"/>
      <c r="E2664" s="35" t="n"/>
      <c r="F2664" s="36" t="n"/>
      <c r="G2664" s="35" t="n"/>
      <c r="H2664" s="30">
        <f>IF(L2664="","",INDEX(SkiftNavn,L2664))</f>
        <v/>
      </c>
      <c r="I2664" s="30">
        <f>IF(OR(A2664="",L2664=""),"",IF(MOD(A2664-INDEX(SkiftStart,L2664),Syklus)&lt;DagK,"Kveld",IF(MOD(A2664-INDEX(SkiftStart,L2664),Syklus)&lt;DagK+DagH,"Helg",IF(MOD(A2664-INDEX(SkiftStart,L2664),Syklus)&lt;DagK+DagH+DagD,"Dag","Fri"))))</f>
        <v/>
      </c>
      <c r="J2664" s="30">
        <f>IF(I2664="Fri","Ja","")</f>
        <v/>
      </c>
      <c r="K2664" s="30">
        <f>IF(B2664="","",IF(L2664="","Ukjent tekniker",IF(ISNA(MATCH(C2664,Aktiviteter,0)),"Ukjent aktivitet",IF(AND(INDEX(AktRolle,MATCH(C2664,Aktiviteter,0))&amp;""&lt;&gt;"",ISERROR(SEARCH(INDEX(AktRolle,MATCH(C2664,Aktiviteter,0))&amp;"",INDEX(TekRoller,MATCH(B2664,Teknikere,0))))),"Mangler rollen "&amp;INDEX(AktRolle,MATCH(C2664,Aktiviteter,0))&amp;"",IF(AND(C2664="LMS",F2664&gt;0,OR(D2664="",E2664="")),"Mangler maskin eller arbeid",IF(AND(OR(C2664="LMS",C2664="Mod"),D2664&lt;&gt;""),IF(IFERROR(INDEX(MaskinStatus,MATCH(D2664,Maskiner,0)),"")="I dokk","","Maskinen er ikke i dokk"),""))))))</f>
        <v/>
      </c>
      <c r="L2664" s="2">
        <f>IF(B2664="","",IFERROR(INT((MATCH(B2664,Teknikere,0)-1)/18)+1,""))</f>
        <v/>
      </c>
      <c r="M2664" s="2">
        <f>IF(OR(A2664="",B2664=""),"",B2664&amp;"|"&amp;A2664)</f>
        <v/>
      </c>
      <c r="N2664" s="2">
        <f>IF(M2664="","",SUMIFS(TF_Timer,TF_Nokkel,M2664,TF_Akt,C2664))</f>
        <v/>
      </c>
      <c r="O2664" s="2">
        <f>IF(M2664="","",IF(AND(N2664=_xlfn.MAXIFS(TF_AktSum,TF_Nokkel,M2664),COUNTIFS(M$3:M2663,M2664,N$3:N2663,N2664)=0),M2664,""))</f>
        <v/>
      </c>
    </row>
    <row r="2665">
      <c r="A2665" s="34" t="n"/>
      <c r="B2665" s="35" t="n"/>
      <c r="C2665" s="35" t="n"/>
      <c r="D2665" s="35" t="n"/>
      <c r="E2665" s="35" t="n"/>
      <c r="F2665" s="36" t="n"/>
      <c r="G2665" s="35" t="n"/>
      <c r="H2665" s="30">
        <f>IF(L2665="","",INDEX(SkiftNavn,L2665))</f>
        <v/>
      </c>
      <c r="I2665" s="30">
        <f>IF(OR(A2665="",L2665=""),"",IF(MOD(A2665-INDEX(SkiftStart,L2665),Syklus)&lt;DagK,"Kveld",IF(MOD(A2665-INDEX(SkiftStart,L2665),Syklus)&lt;DagK+DagH,"Helg",IF(MOD(A2665-INDEX(SkiftStart,L2665),Syklus)&lt;DagK+DagH+DagD,"Dag","Fri"))))</f>
        <v/>
      </c>
      <c r="J2665" s="30">
        <f>IF(I2665="Fri","Ja","")</f>
        <v/>
      </c>
      <c r="K2665" s="30">
        <f>IF(B2665="","",IF(L2665="","Ukjent tekniker",IF(ISNA(MATCH(C2665,Aktiviteter,0)),"Ukjent aktivitet",IF(AND(INDEX(AktRolle,MATCH(C2665,Aktiviteter,0))&amp;""&lt;&gt;"",ISERROR(SEARCH(INDEX(AktRolle,MATCH(C2665,Aktiviteter,0))&amp;"",INDEX(TekRoller,MATCH(B2665,Teknikere,0))))),"Mangler rollen "&amp;INDEX(AktRolle,MATCH(C2665,Aktiviteter,0))&amp;"",IF(AND(C2665="LMS",F2665&gt;0,OR(D2665="",E2665="")),"Mangler maskin eller arbeid",IF(AND(OR(C2665="LMS",C2665="Mod"),D2665&lt;&gt;""),IF(IFERROR(INDEX(MaskinStatus,MATCH(D2665,Maskiner,0)),"")="I dokk","","Maskinen er ikke i dokk"),""))))))</f>
        <v/>
      </c>
      <c r="L2665" s="2">
        <f>IF(B2665="","",IFERROR(INT((MATCH(B2665,Teknikere,0)-1)/18)+1,""))</f>
        <v/>
      </c>
      <c r="M2665" s="2">
        <f>IF(OR(A2665="",B2665=""),"",B2665&amp;"|"&amp;A2665)</f>
        <v/>
      </c>
      <c r="N2665" s="2">
        <f>IF(M2665="","",SUMIFS(TF_Timer,TF_Nokkel,M2665,TF_Akt,C2665))</f>
        <v/>
      </c>
      <c r="O2665" s="2">
        <f>IF(M2665="","",IF(AND(N2665=_xlfn.MAXIFS(TF_AktSum,TF_Nokkel,M2665),COUNTIFS(M$3:M2664,M2665,N$3:N2664,N2665)=0),M2665,""))</f>
        <v/>
      </c>
    </row>
    <row r="2666">
      <c r="A2666" s="34" t="n"/>
      <c r="B2666" s="35" t="n"/>
      <c r="C2666" s="35" t="n"/>
      <c r="D2666" s="35" t="n"/>
      <c r="E2666" s="35" t="n"/>
      <c r="F2666" s="36" t="n"/>
      <c r="G2666" s="35" t="n"/>
      <c r="H2666" s="30">
        <f>IF(L2666="","",INDEX(SkiftNavn,L2666))</f>
        <v/>
      </c>
      <c r="I2666" s="30">
        <f>IF(OR(A2666="",L2666=""),"",IF(MOD(A2666-INDEX(SkiftStart,L2666),Syklus)&lt;DagK,"Kveld",IF(MOD(A2666-INDEX(SkiftStart,L2666),Syklus)&lt;DagK+DagH,"Helg",IF(MOD(A2666-INDEX(SkiftStart,L2666),Syklus)&lt;DagK+DagH+DagD,"Dag","Fri"))))</f>
        <v/>
      </c>
      <c r="J2666" s="30">
        <f>IF(I2666="Fri","Ja","")</f>
        <v/>
      </c>
      <c r="K2666" s="30">
        <f>IF(B2666="","",IF(L2666="","Ukjent tekniker",IF(ISNA(MATCH(C2666,Aktiviteter,0)),"Ukjent aktivitet",IF(AND(INDEX(AktRolle,MATCH(C2666,Aktiviteter,0))&amp;""&lt;&gt;"",ISERROR(SEARCH(INDEX(AktRolle,MATCH(C2666,Aktiviteter,0))&amp;"",INDEX(TekRoller,MATCH(B2666,Teknikere,0))))),"Mangler rollen "&amp;INDEX(AktRolle,MATCH(C2666,Aktiviteter,0))&amp;"",IF(AND(C2666="LMS",F2666&gt;0,OR(D2666="",E2666="")),"Mangler maskin eller arbeid",IF(AND(OR(C2666="LMS",C2666="Mod"),D2666&lt;&gt;""),IF(IFERROR(INDEX(MaskinStatus,MATCH(D2666,Maskiner,0)),"")="I dokk","","Maskinen er ikke i dokk"),""))))))</f>
        <v/>
      </c>
      <c r="L2666" s="2">
        <f>IF(B2666="","",IFERROR(INT((MATCH(B2666,Teknikere,0)-1)/18)+1,""))</f>
        <v/>
      </c>
      <c r="M2666" s="2">
        <f>IF(OR(A2666="",B2666=""),"",B2666&amp;"|"&amp;A2666)</f>
        <v/>
      </c>
      <c r="N2666" s="2">
        <f>IF(M2666="","",SUMIFS(TF_Timer,TF_Nokkel,M2666,TF_Akt,C2666))</f>
        <v/>
      </c>
      <c r="O2666" s="2">
        <f>IF(M2666="","",IF(AND(N2666=_xlfn.MAXIFS(TF_AktSum,TF_Nokkel,M2666),COUNTIFS(M$3:M2665,M2666,N$3:N2665,N2666)=0),M2666,""))</f>
        <v/>
      </c>
    </row>
    <row r="2667">
      <c r="A2667" s="34" t="n"/>
      <c r="B2667" s="35" t="n"/>
      <c r="C2667" s="35" t="n"/>
      <c r="D2667" s="35" t="n"/>
      <c r="E2667" s="35" t="n"/>
      <c r="F2667" s="36" t="n"/>
      <c r="G2667" s="35" t="n"/>
      <c r="H2667" s="30">
        <f>IF(L2667="","",INDEX(SkiftNavn,L2667))</f>
        <v/>
      </c>
      <c r="I2667" s="30">
        <f>IF(OR(A2667="",L2667=""),"",IF(MOD(A2667-INDEX(SkiftStart,L2667),Syklus)&lt;DagK,"Kveld",IF(MOD(A2667-INDEX(SkiftStart,L2667),Syklus)&lt;DagK+DagH,"Helg",IF(MOD(A2667-INDEX(SkiftStart,L2667),Syklus)&lt;DagK+DagH+DagD,"Dag","Fri"))))</f>
        <v/>
      </c>
      <c r="J2667" s="30">
        <f>IF(I2667="Fri","Ja","")</f>
        <v/>
      </c>
      <c r="K2667" s="30">
        <f>IF(B2667="","",IF(L2667="","Ukjent tekniker",IF(ISNA(MATCH(C2667,Aktiviteter,0)),"Ukjent aktivitet",IF(AND(INDEX(AktRolle,MATCH(C2667,Aktiviteter,0))&amp;""&lt;&gt;"",ISERROR(SEARCH(INDEX(AktRolle,MATCH(C2667,Aktiviteter,0))&amp;"",INDEX(TekRoller,MATCH(B2667,Teknikere,0))))),"Mangler rollen "&amp;INDEX(AktRolle,MATCH(C2667,Aktiviteter,0))&amp;"",IF(AND(C2667="LMS",F2667&gt;0,OR(D2667="",E2667="")),"Mangler maskin eller arbeid",IF(AND(OR(C2667="LMS",C2667="Mod"),D2667&lt;&gt;""),IF(IFERROR(INDEX(MaskinStatus,MATCH(D2667,Maskiner,0)),"")="I dokk","","Maskinen er ikke i dokk"),""))))))</f>
        <v/>
      </c>
      <c r="L2667" s="2">
        <f>IF(B2667="","",IFERROR(INT((MATCH(B2667,Teknikere,0)-1)/18)+1,""))</f>
        <v/>
      </c>
      <c r="M2667" s="2">
        <f>IF(OR(A2667="",B2667=""),"",B2667&amp;"|"&amp;A2667)</f>
        <v/>
      </c>
      <c r="N2667" s="2">
        <f>IF(M2667="","",SUMIFS(TF_Timer,TF_Nokkel,M2667,TF_Akt,C2667))</f>
        <v/>
      </c>
      <c r="O2667" s="2">
        <f>IF(M2667="","",IF(AND(N2667=_xlfn.MAXIFS(TF_AktSum,TF_Nokkel,M2667),COUNTIFS(M$3:M2666,M2667,N$3:N2666,N2667)=0),M2667,""))</f>
        <v/>
      </c>
    </row>
    <row r="2668">
      <c r="A2668" s="34" t="n"/>
      <c r="B2668" s="35" t="n"/>
      <c r="C2668" s="35" t="n"/>
      <c r="D2668" s="35" t="n"/>
      <c r="E2668" s="35" t="n"/>
      <c r="F2668" s="36" t="n"/>
      <c r="G2668" s="35" t="n"/>
      <c r="H2668" s="30">
        <f>IF(L2668="","",INDEX(SkiftNavn,L2668))</f>
        <v/>
      </c>
      <c r="I2668" s="30">
        <f>IF(OR(A2668="",L2668=""),"",IF(MOD(A2668-INDEX(SkiftStart,L2668),Syklus)&lt;DagK,"Kveld",IF(MOD(A2668-INDEX(SkiftStart,L2668),Syklus)&lt;DagK+DagH,"Helg",IF(MOD(A2668-INDEX(SkiftStart,L2668),Syklus)&lt;DagK+DagH+DagD,"Dag","Fri"))))</f>
        <v/>
      </c>
      <c r="J2668" s="30">
        <f>IF(I2668="Fri","Ja","")</f>
        <v/>
      </c>
      <c r="K2668" s="30">
        <f>IF(B2668="","",IF(L2668="","Ukjent tekniker",IF(ISNA(MATCH(C2668,Aktiviteter,0)),"Ukjent aktivitet",IF(AND(INDEX(AktRolle,MATCH(C2668,Aktiviteter,0))&amp;""&lt;&gt;"",ISERROR(SEARCH(INDEX(AktRolle,MATCH(C2668,Aktiviteter,0))&amp;"",INDEX(TekRoller,MATCH(B2668,Teknikere,0))))),"Mangler rollen "&amp;INDEX(AktRolle,MATCH(C2668,Aktiviteter,0))&amp;"",IF(AND(C2668="LMS",F2668&gt;0,OR(D2668="",E2668="")),"Mangler maskin eller arbeid",IF(AND(OR(C2668="LMS",C2668="Mod"),D2668&lt;&gt;""),IF(IFERROR(INDEX(MaskinStatus,MATCH(D2668,Maskiner,0)),"")="I dokk","","Maskinen er ikke i dokk"),""))))))</f>
        <v/>
      </c>
      <c r="L2668" s="2">
        <f>IF(B2668="","",IFERROR(INT((MATCH(B2668,Teknikere,0)-1)/18)+1,""))</f>
        <v/>
      </c>
      <c r="M2668" s="2">
        <f>IF(OR(A2668="",B2668=""),"",B2668&amp;"|"&amp;A2668)</f>
        <v/>
      </c>
      <c r="N2668" s="2">
        <f>IF(M2668="","",SUMIFS(TF_Timer,TF_Nokkel,M2668,TF_Akt,C2668))</f>
        <v/>
      </c>
      <c r="O2668" s="2">
        <f>IF(M2668="","",IF(AND(N2668=_xlfn.MAXIFS(TF_AktSum,TF_Nokkel,M2668),COUNTIFS(M$3:M2667,M2668,N$3:N2667,N2668)=0),M2668,""))</f>
        <v/>
      </c>
    </row>
    <row r="2669">
      <c r="A2669" s="34" t="n"/>
      <c r="B2669" s="35" t="n"/>
      <c r="C2669" s="35" t="n"/>
      <c r="D2669" s="35" t="n"/>
      <c r="E2669" s="35" t="n"/>
      <c r="F2669" s="36" t="n"/>
      <c r="G2669" s="35" t="n"/>
      <c r="H2669" s="30">
        <f>IF(L2669="","",INDEX(SkiftNavn,L2669))</f>
        <v/>
      </c>
      <c r="I2669" s="30">
        <f>IF(OR(A2669="",L2669=""),"",IF(MOD(A2669-INDEX(SkiftStart,L2669),Syklus)&lt;DagK,"Kveld",IF(MOD(A2669-INDEX(SkiftStart,L2669),Syklus)&lt;DagK+DagH,"Helg",IF(MOD(A2669-INDEX(SkiftStart,L2669),Syklus)&lt;DagK+DagH+DagD,"Dag","Fri"))))</f>
        <v/>
      </c>
      <c r="J2669" s="30">
        <f>IF(I2669="Fri","Ja","")</f>
        <v/>
      </c>
      <c r="K2669" s="30">
        <f>IF(B2669="","",IF(L2669="","Ukjent tekniker",IF(ISNA(MATCH(C2669,Aktiviteter,0)),"Ukjent aktivitet",IF(AND(INDEX(AktRolle,MATCH(C2669,Aktiviteter,0))&amp;""&lt;&gt;"",ISERROR(SEARCH(INDEX(AktRolle,MATCH(C2669,Aktiviteter,0))&amp;"",INDEX(TekRoller,MATCH(B2669,Teknikere,0))))),"Mangler rollen "&amp;INDEX(AktRolle,MATCH(C2669,Aktiviteter,0))&amp;"",IF(AND(C2669="LMS",F2669&gt;0,OR(D2669="",E2669="")),"Mangler maskin eller arbeid",IF(AND(OR(C2669="LMS",C2669="Mod"),D2669&lt;&gt;""),IF(IFERROR(INDEX(MaskinStatus,MATCH(D2669,Maskiner,0)),"")="I dokk","","Maskinen er ikke i dokk"),""))))))</f>
        <v/>
      </c>
      <c r="L2669" s="2">
        <f>IF(B2669="","",IFERROR(INT((MATCH(B2669,Teknikere,0)-1)/18)+1,""))</f>
        <v/>
      </c>
      <c r="M2669" s="2">
        <f>IF(OR(A2669="",B2669=""),"",B2669&amp;"|"&amp;A2669)</f>
        <v/>
      </c>
      <c r="N2669" s="2">
        <f>IF(M2669="","",SUMIFS(TF_Timer,TF_Nokkel,M2669,TF_Akt,C2669))</f>
        <v/>
      </c>
      <c r="O2669" s="2">
        <f>IF(M2669="","",IF(AND(N2669=_xlfn.MAXIFS(TF_AktSum,TF_Nokkel,M2669),COUNTIFS(M$3:M2668,M2669,N$3:N2668,N2669)=0),M2669,""))</f>
        <v/>
      </c>
    </row>
    <row r="2670">
      <c r="A2670" s="34" t="n"/>
      <c r="B2670" s="35" t="n"/>
      <c r="C2670" s="35" t="n"/>
      <c r="D2670" s="35" t="n"/>
      <c r="E2670" s="35" t="n"/>
      <c r="F2670" s="36" t="n"/>
      <c r="G2670" s="35" t="n"/>
      <c r="H2670" s="30">
        <f>IF(L2670="","",INDEX(SkiftNavn,L2670))</f>
        <v/>
      </c>
      <c r="I2670" s="30">
        <f>IF(OR(A2670="",L2670=""),"",IF(MOD(A2670-INDEX(SkiftStart,L2670),Syklus)&lt;DagK,"Kveld",IF(MOD(A2670-INDEX(SkiftStart,L2670),Syklus)&lt;DagK+DagH,"Helg",IF(MOD(A2670-INDEX(SkiftStart,L2670),Syklus)&lt;DagK+DagH+DagD,"Dag","Fri"))))</f>
        <v/>
      </c>
      <c r="J2670" s="30">
        <f>IF(I2670="Fri","Ja","")</f>
        <v/>
      </c>
      <c r="K2670" s="30">
        <f>IF(B2670="","",IF(L2670="","Ukjent tekniker",IF(ISNA(MATCH(C2670,Aktiviteter,0)),"Ukjent aktivitet",IF(AND(INDEX(AktRolle,MATCH(C2670,Aktiviteter,0))&amp;""&lt;&gt;"",ISERROR(SEARCH(INDEX(AktRolle,MATCH(C2670,Aktiviteter,0))&amp;"",INDEX(TekRoller,MATCH(B2670,Teknikere,0))))),"Mangler rollen "&amp;INDEX(AktRolle,MATCH(C2670,Aktiviteter,0))&amp;"",IF(AND(C2670="LMS",F2670&gt;0,OR(D2670="",E2670="")),"Mangler maskin eller arbeid",IF(AND(OR(C2670="LMS",C2670="Mod"),D2670&lt;&gt;""),IF(IFERROR(INDEX(MaskinStatus,MATCH(D2670,Maskiner,0)),"")="I dokk","","Maskinen er ikke i dokk"),""))))))</f>
        <v/>
      </c>
      <c r="L2670" s="2">
        <f>IF(B2670="","",IFERROR(INT((MATCH(B2670,Teknikere,0)-1)/18)+1,""))</f>
        <v/>
      </c>
      <c r="M2670" s="2">
        <f>IF(OR(A2670="",B2670=""),"",B2670&amp;"|"&amp;A2670)</f>
        <v/>
      </c>
      <c r="N2670" s="2">
        <f>IF(M2670="","",SUMIFS(TF_Timer,TF_Nokkel,M2670,TF_Akt,C2670))</f>
        <v/>
      </c>
      <c r="O2670" s="2">
        <f>IF(M2670="","",IF(AND(N2670=_xlfn.MAXIFS(TF_AktSum,TF_Nokkel,M2670),COUNTIFS(M$3:M2669,M2670,N$3:N2669,N2670)=0),M2670,""))</f>
        <v/>
      </c>
    </row>
    <row r="2671">
      <c r="A2671" s="34" t="n"/>
      <c r="B2671" s="35" t="n"/>
      <c r="C2671" s="35" t="n"/>
      <c r="D2671" s="35" t="n"/>
      <c r="E2671" s="35" t="n"/>
      <c r="F2671" s="36" t="n"/>
      <c r="G2671" s="35" t="n"/>
      <c r="H2671" s="30">
        <f>IF(L2671="","",INDEX(SkiftNavn,L2671))</f>
        <v/>
      </c>
      <c r="I2671" s="30">
        <f>IF(OR(A2671="",L2671=""),"",IF(MOD(A2671-INDEX(SkiftStart,L2671),Syklus)&lt;DagK,"Kveld",IF(MOD(A2671-INDEX(SkiftStart,L2671),Syklus)&lt;DagK+DagH,"Helg",IF(MOD(A2671-INDEX(SkiftStart,L2671),Syklus)&lt;DagK+DagH+DagD,"Dag","Fri"))))</f>
        <v/>
      </c>
      <c r="J2671" s="30">
        <f>IF(I2671="Fri","Ja","")</f>
        <v/>
      </c>
      <c r="K2671" s="30">
        <f>IF(B2671="","",IF(L2671="","Ukjent tekniker",IF(ISNA(MATCH(C2671,Aktiviteter,0)),"Ukjent aktivitet",IF(AND(INDEX(AktRolle,MATCH(C2671,Aktiviteter,0))&amp;""&lt;&gt;"",ISERROR(SEARCH(INDEX(AktRolle,MATCH(C2671,Aktiviteter,0))&amp;"",INDEX(TekRoller,MATCH(B2671,Teknikere,0))))),"Mangler rollen "&amp;INDEX(AktRolle,MATCH(C2671,Aktiviteter,0))&amp;"",IF(AND(C2671="LMS",F2671&gt;0,OR(D2671="",E2671="")),"Mangler maskin eller arbeid",IF(AND(OR(C2671="LMS",C2671="Mod"),D2671&lt;&gt;""),IF(IFERROR(INDEX(MaskinStatus,MATCH(D2671,Maskiner,0)),"")="I dokk","","Maskinen er ikke i dokk"),""))))))</f>
        <v/>
      </c>
      <c r="L2671" s="2">
        <f>IF(B2671="","",IFERROR(INT((MATCH(B2671,Teknikere,0)-1)/18)+1,""))</f>
        <v/>
      </c>
      <c r="M2671" s="2">
        <f>IF(OR(A2671="",B2671=""),"",B2671&amp;"|"&amp;A2671)</f>
        <v/>
      </c>
      <c r="N2671" s="2">
        <f>IF(M2671="","",SUMIFS(TF_Timer,TF_Nokkel,M2671,TF_Akt,C2671))</f>
        <v/>
      </c>
      <c r="O2671" s="2">
        <f>IF(M2671="","",IF(AND(N2671=_xlfn.MAXIFS(TF_AktSum,TF_Nokkel,M2671),COUNTIFS(M$3:M2670,M2671,N$3:N2670,N2671)=0),M2671,""))</f>
        <v/>
      </c>
    </row>
    <row r="2672">
      <c r="A2672" s="34" t="n"/>
      <c r="B2672" s="35" t="n"/>
      <c r="C2672" s="35" t="n"/>
      <c r="D2672" s="35" t="n"/>
      <c r="E2672" s="35" t="n"/>
      <c r="F2672" s="36" t="n"/>
      <c r="G2672" s="35" t="n"/>
      <c r="H2672" s="30">
        <f>IF(L2672="","",INDEX(SkiftNavn,L2672))</f>
        <v/>
      </c>
      <c r="I2672" s="30">
        <f>IF(OR(A2672="",L2672=""),"",IF(MOD(A2672-INDEX(SkiftStart,L2672),Syklus)&lt;DagK,"Kveld",IF(MOD(A2672-INDEX(SkiftStart,L2672),Syklus)&lt;DagK+DagH,"Helg",IF(MOD(A2672-INDEX(SkiftStart,L2672),Syklus)&lt;DagK+DagH+DagD,"Dag","Fri"))))</f>
        <v/>
      </c>
      <c r="J2672" s="30">
        <f>IF(I2672="Fri","Ja","")</f>
        <v/>
      </c>
      <c r="K2672" s="30">
        <f>IF(B2672="","",IF(L2672="","Ukjent tekniker",IF(ISNA(MATCH(C2672,Aktiviteter,0)),"Ukjent aktivitet",IF(AND(INDEX(AktRolle,MATCH(C2672,Aktiviteter,0))&amp;""&lt;&gt;"",ISERROR(SEARCH(INDEX(AktRolle,MATCH(C2672,Aktiviteter,0))&amp;"",INDEX(TekRoller,MATCH(B2672,Teknikere,0))))),"Mangler rollen "&amp;INDEX(AktRolle,MATCH(C2672,Aktiviteter,0))&amp;"",IF(AND(C2672="LMS",F2672&gt;0,OR(D2672="",E2672="")),"Mangler maskin eller arbeid",IF(AND(OR(C2672="LMS",C2672="Mod"),D2672&lt;&gt;""),IF(IFERROR(INDEX(MaskinStatus,MATCH(D2672,Maskiner,0)),"")="I dokk","","Maskinen er ikke i dokk"),""))))))</f>
        <v/>
      </c>
      <c r="L2672" s="2">
        <f>IF(B2672="","",IFERROR(INT((MATCH(B2672,Teknikere,0)-1)/18)+1,""))</f>
        <v/>
      </c>
      <c r="M2672" s="2">
        <f>IF(OR(A2672="",B2672=""),"",B2672&amp;"|"&amp;A2672)</f>
        <v/>
      </c>
      <c r="N2672" s="2">
        <f>IF(M2672="","",SUMIFS(TF_Timer,TF_Nokkel,M2672,TF_Akt,C2672))</f>
        <v/>
      </c>
      <c r="O2672" s="2">
        <f>IF(M2672="","",IF(AND(N2672=_xlfn.MAXIFS(TF_AktSum,TF_Nokkel,M2672),COUNTIFS(M$3:M2671,M2672,N$3:N2671,N2672)=0),M2672,""))</f>
        <v/>
      </c>
    </row>
    <row r="2673">
      <c r="A2673" s="34" t="n"/>
      <c r="B2673" s="35" t="n"/>
      <c r="C2673" s="35" t="n"/>
      <c r="D2673" s="35" t="n"/>
      <c r="E2673" s="35" t="n"/>
      <c r="F2673" s="36" t="n"/>
      <c r="G2673" s="35" t="n"/>
      <c r="H2673" s="30">
        <f>IF(L2673="","",INDEX(SkiftNavn,L2673))</f>
        <v/>
      </c>
      <c r="I2673" s="30">
        <f>IF(OR(A2673="",L2673=""),"",IF(MOD(A2673-INDEX(SkiftStart,L2673),Syklus)&lt;DagK,"Kveld",IF(MOD(A2673-INDEX(SkiftStart,L2673),Syklus)&lt;DagK+DagH,"Helg",IF(MOD(A2673-INDEX(SkiftStart,L2673),Syklus)&lt;DagK+DagH+DagD,"Dag","Fri"))))</f>
        <v/>
      </c>
      <c r="J2673" s="30">
        <f>IF(I2673="Fri","Ja","")</f>
        <v/>
      </c>
      <c r="K2673" s="30">
        <f>IF(B2673="","",IF(L2673="","Ukjent tekniker",IF(ISNA(MATCH(C2673,Aktiviteter,0)),"Ukjent aktivitet",IF(AND(INDEX(AktRolle,MATCH(C2673,Aktiviteter,0))&amp;""&lt;&gt;"",ISERROR(SEARCH(INDEX(AktRolle,MATCH(C2673,Aktiviteter,0))&amp;"",INDEX(TekRoller,MATCH(B2673,Teknikere,0))))),"Mangler rollen "&amp;INDEX(AktRolle,MATCH(C2673,Aktiviteter,0))&amp;"",IF(AND(C2673="LMS",F2673&gt;0,OR(D2673="",E2673="")),"Mangler maskin eller arbeid",IF(AND(OR(C2673="LMS",C2673="Mod"),D2673&lt;&gt;""),IF(IFERROR(INDEX(MaskinStatus,MATCH(D2673,Maskiner,0)),"")="I dokk","","Maskinen er ikke i dokk"),""))))))</f>
        <v/>
      </c>
      <c r="L2673" s="2">
        <f>IF(B2673="","",IFERROR(INT((MATCH(B2673,Teknikere,0)-1)/18)+1,""))</f>
        <v/>
      </c>
      <c r="M2673" s="2">
        <f>IF(OR(A2673="",B2673=""),"",B2673&amp;"|"&amp;A2673)</f>
        <v/>
      </c>
      <c r="N2673" s="2">
        <f>IF(M2673="","",SUMIFS(TF_Timer,TF_Nokkel,M2673,TF_Akt,C2673))</f>
        <v/>
      </c>
      <c r="O2673" s="2">
        <f>IF(M2673="","",IF(AND(N2673=_xlfn.MAXIFS(TF_AktSum,TF_Nokkel,M2673),COUNTIFS(M$3:M2672,M2673,N$3:N2672,N2673)=0),M2673,""))</f>
        <v/>
      </c>
    </row>
    <row r="2674">
      <c r="A2674" s="34" t="n"/>
      <c r="B2674" s="35" t="n"/>
      <c r="C2674" s="35" t="n"/>
      <c r="D2674" s="35" t="n"/>
      <c r="E2674" s="35" t="n"/>
      <c r="F2674" s="36" t="n"/>
      <c r="G2674" s="35" t="n"/>
      <c r="H2674" s="30">
        <f>IF(L2674="","",INDEX(SkiftNavn,L2674))</f>
        <v/>
      </c>
      <c r="I2674" s="30">
        <f>IF(OR(A2674="",L2674=""),"",IF(MOD(A2674-INDEX(SkiftStart,L2674),Syklus)&lt;DagK,"Kveld",IF(MOD(A2674-INDEX(SkiftStart,L2674),Syklus)&lt;DagK+DagH,"Helg",IF(MOD(A2674-INDEX(SkiftStart,L2674),Syklus)&lt;DagK+DagH+DagD,"Dag","Fri"))))</f>
        <v/>
      </c>
      <c r="J2674" s="30">
        <f>IF(I2674="Fri","Ja","")</f>
        <v/>
      </c>
      <c r="K2674" s="30">
        <f>IF(B2674="","",IF(L2674="","Ukjent tekniker",IF(ISNA(MATCH(C2674,Aktiviteter,0)),"Ukjent aktivitet",IF(AND(INDEX(AktRolle,MATCH(C2674,Aktiviteter,0))&amp;""&lt;&gt;"",ISERROR(SEARCH(INDEX(AktRolle,MATCH(C2674,Aktiviteter,0))&amp;"",INDEX(TekRoller,MATCH(B2674,Teknikere,0))))),"Mangler rollen "&amp;INDEX(AktRolle,MATCH(C2674,Aktiviteter,0))&amp;"",IF(AND(C2674="LMS",F2674&gt;0,OR(D2674="",E2674="")),"Mangler maskin eller arbeid",IF(AND(OR(C2674="LMS",C2674="Mod"),D2674&lt;&gt;""),IF(IFERROR(INDEX(MaskinStatus,MATCH(D2674,Maskiner,0)),"")="I dokk","","Maskinen er ikke i dokk"),""))))))</f>
        <v/>
      </c>
      <c r="L2674" s="2">
        <f>IF(B2674="","",IFERROR(INT((MATCH(B2674,Teknikere,0)-1)/18)+1,""))</f>
        <v/>
      </c>
      <c r="M2674" s="2">
        <f>IF(OR(A2674="",B2674=""),"",B2674&amp;"|"&amp;A2674)</f>
        <v/>
      </c>
      <c r="N2674" s="2">
        <f>IF(M2674="","",SUMIFS(TF_Timer,TF_Nokkel,M2674,TF_Akt,C2674))</f>
        <v/>
      </c>
      <c r="O2674" s="2">
        <f>IF(M2674="","",IF(AND(N2674=_xlfn.MAXIFS(TF_AktSum,TF_Nokkel,M2674),COUNTIFS(M$3:M2673,M2674,N$3:N2673,N2674)=0),M2674,""))</f>
        <v/>
      </c>
    </row>
    <row r="2675">
      <c r="A2675" s="34" t="n"/>
      <c r="B2675" s="35" t="n"/>
      <c r="C2675" s="35" t="n"/>
      <c r="D2675" s="35" t="n"/>
      <c r="E2675" s="35" t="n"/>
      <c r="F2675" s="36" t="n"/>
      <c r="G2675" s="35" t="n"/>
      <c r="H2675" s="30">
        <f>IF(L2675="","",INDEX(SkiftNavn,L2675))</f>
        <v/>
      </c>
      <c r="I2675" s="30">
        <f>IF(OR(A2675="",L2675=""),"",IF(MOD(A2675-INDEX(SkiftStart,L2675),Syklus)&lt;DagK,"Kveld",IF(MOD(A2675-INDEX(SkiftStart,L2675),Syklus)&lt;DagK+DagH,"Helg",IF(MOD(A2675-INDEX(SkiftStart,L2675),Syklus)&lt;DagK+DagH+DagD,"Dag","Fri"))))</f>
        <v/>
      </c>
      <c r="J2675" s="30">
        <f>IF(I2675="Fri","Ja","")</f>
        <v/>
      </c>
      <c r="K2675" s="30">
        <f>IF(B2675="","",IF(L2675="","Ukjent tekniker",IF(ISNA(MATCH(C2675,Aktiviteter,0)),"Ukjent aktivitet",IF(AND(INDEX(AktRolle,MATCH(C2675,Aktiviteter,0))&amp;""&lt;&gt;"",ISERROR(SEARCH(INDEX(AktRolle,MATCH(C2675,Aktiviteter,0))&amp;"",INDEX(TekRoller,MATCH(B2675,Teknikere,0))))),"Mangler rollen "&amp;INDEX(AktRolle,MATCH(C2675,Aktiviteter,0))&amp;"",IF(AND(C2675="LMS",F2675&gt;0,OR(D2675="",E2675="")),"Mangler maskin eller arbeid",IF(AND(OR(C2675="LMS",C2675="Mod"),D2675&lt;&gt;""),IF(IFERROR(INDEX(MaskinStatus,MATCH(D2675,Maskiner,0)),"")="I dokk","","Maskinen er ikke i dokk"),""))))))</f>
        <v/>
      </c>
      <c r="L2675" s="2">
        <f>IF(B2675="","",IFERROR(INT((MATCH(B2675,Teknikere,0)-1)/18)+1,""))</f>
        <v/>
      </c>
      <c r="M2675" s="2">
        <f>IF(OR(A2675="",B2675=""),"",B2675&amp;"|"&amp;A2675)</f>
        <v/>
      </c>
      <c r="N2675" s="2">
        <f>IF(M2675="","",SUMIFS(TF_Timer,TF_Nokkel,M2675,TF_Akt,C2675))</f>
        <v/>
      </c>
      <c r="O2675" s="2">
        <f>IF(M2675="","",IF(AND(N2675=_xlfn.MAXIFS(TF_AktSum,TF_Nokkel,M2675),COUNTIFS(M$3:M2674,M2675,N$3:N2674,N2675)=0),M2675,""))</f>
        <v/>
      </c>
    </row>
    <row r="2676">
      <c r="A2676" s="34" t="n"/>
      <c r="B2676" s="35" t="n"/>
      <c r="C2676" s="35" t="n"/>
      <c r="D2676" s="35" t="n"/>
      <c r="E2676" s="35" t="n"/>
      <c r="F2676" s="36" t="n"/>
      <c r="G2676" s="35" t="n"/>
      <c r="H2676" s="30">
        <f>IF(L2676="","",INDEX(SkiftNavn,L2676))</f>
        <v/>
      </c>
      <c r="I2676" s="30">
        <f>IF(OR(A2676="",L2676=""),"",IF(MOD(A2676-INDEX(SkiftStart,L2676),Syklus)&lt;DagK,"Kveld",IF(MOD(A2676-INDEX(SkiftStart,L2676),Syklus)&lt;DagK+DagH,"Helg",IF(MOD(A2676-INDEX(SkiftStart,L2676),Syklus)&lt;DagK+DagH+DagD,"Dag","Fri"))))</f>
        <v/>
      </c>
      <c r="J2676" s="30">
        <f>IF(I2676="Fri","Ja","")</f>
        <v/>
      </c>
      <c r="K2676" s="30">
        <f>IF(B2676="","",IF(L2676="","Ukjent tekniker",IF(ISNA(MATCH(C2676,Aktiviteter,0)),"Ukjent aktivitet",IF(AND(INDEX(AktRolle,MATCH(C2676,Aktiviteter,0))&amp;""&lt;&gt;"",ISERROR(SEARCH(INDEX(AktRolle,MATCH(C2676,Aktiviteter,0))&amp;"",INDEX(TekRoller,MATCH(B2676,Teknikere,0))))),"Mangler rollen "&amp;INDEX(AktRolle,MATCH(C2676,Aktiviteter,0))&amp;"",IF(AND(C2676="LMS",F2676&gt;0,OR(D2676="",E2676="")),"Mangler maskin eller arbeid",IF(AND(OR(C2676="LMS",C2676="Mod"),D2676&lt;&gt;""),IF(IFERROR(INDEX(MaskinStatus,MATCH(D2676,Maskiner,0)),"")="I dokk","","Maskinen er ikke i dokk"),""))))))</f>
        <v/>
      </c>
      <c r="L2676" s="2">
        <f>IF(B2676="","",IFERROR(INT((MATCH(B2676,Teknikere,0)-1)/18)+1,""))</f>
        <v/>
      </c>
      <c r="M2676" s="2">
        <f>IF(OR(A2676="",B2676=""),"",B2676&amp;"|"&amp;A2676)</f>
        <v/>
      </c>
      <c r="N2676" s="2">
        <f>IF(M2676="","",SUMIFS(TF_Timer,TF_Nokkel,M2676,TF_Akt,C2676))</f>
        <v/>
      </c>
      <c r="O2676" s="2">
        <f>IF(M2676="","",IF(AND(N2676=_xlfn.MAXIFS(TF_AktSum,TF_Nokkel,M2676),COUNTIFS(M$3:M2675,M2676,N$3:N2675,N2676)=0),M2676,""))</f>
        <v/>
      </c>
    </row>
    <row r="2677">
      <c r="A2677" s="34" t="n"/>
      <c r="B2677" s="35" t="n"/>
      <c r="C2677" s="35" t="n"/>
      <c r="D2677" s="35" t="n"/>
      <c r="E2677" s="35" t="n"/>
      <c r="F2677" s="36" t="n"/>
      <c r="G2677" s="35" t="n"/>
      <c r="H2677" s="30">
        <f>IF(L2677="","",INDEX(SkiftNavn,L2677))</f>
        <v/>
      </c>
      <c r="I2677" s="30">
        <f>IF(OR(A2677="",L2677=""),"",IF(MOD(A2677-INDEX(SkiftStart,L2677),Syklus)&lt;DagK,"Kveld",IF(MOD(A2677-INDEX(SkiftStart,L2677),Syklus)&lt;DagK+DagH,"Helg",IF(MOD(A2677-INDEX(SkiftStart,L2677),Syklus)&lt;DagK+DagH+DagD,"Dag","Fri"))))</f>
        <v/>
      </c>
      <c r="J2677" s="30">
        <f>IF(I2677="Fri","Ja","")</f>
        <v/>
      </c>
      <c r="K2677" s="30">
        <f>IF(B2677="","",IF(L2677="","Ukjent tekniker",IF(ISNA(MATCH(C2677,Aktiviteter,0)),"Ukjent aktivitet",IF(AND(INDEX(AktRolle,MATCH(C2677,Aktiviteter,0))&amp;""&lt;&gt;"",ISERROR(SEARCH(INDEX(AktRolle,MATCH(C2677,Aktiviteter,0))&amp;"",INDEX(TekRoller,MATCH(B2677,Teknikere,0))))),"Mangler rollen "&amp;INDEX(AktRolle,MATCH(C2677,Aktiviteter,0))&amp;"",IF(AND(C2677="LMS",F2677&gt;0,OR(D2677="",E2677="")),"Mangler maskin eller arbeid",IF(AND(OR(C2677="LMS",C2677="Mod"),D2677&lt;&gt;""),IF(IFERROR(INDEX(MaskinStatus,MATCH(D2677,Maskiner,0)),"")="I dokk","","Maskinen er ikke i dokk"),""))))))</f>
        <v/>
      </c>
      <c r="L2677" s="2">
        <f>IF(B2677="","",IFERROR(INT((MATCH(B2677,Teknikere,0)-1)/18)+1,""))</f>
        <v/>
      </c>
      <c r="M2677" s="2">
        <f>IF(OR(A2677="",B2677=""),"",B2677&amp;"|"&amp;A2677)</f>
        <v/>
      </c>
      <c r="N2677" s="2">
        <f>IF(M2677="","",SUMIFS(TF_Timer,TF_Nokkel,M2677,TF_Akt,C2677))</f>
        <v/>
      </c>
      <c r="O2677" s="2">
        <f>IF(M2677="","",IF(AND(N2677=_xlfn.MAXIFS(TF_AktSum,TF_Nokkel,M2677),COUNTIFS(M$3:M2676,M2677,N$3:N2676,N2677)=0),M2677,""))</f>
        <v/>
      </c>
    </row>
    <row r="2678">
      <c r="A2678" s="34" t="n"/>
      <c r="B2678" s="35" t="n"/>
      <c r="C2678" s="35" t="n"/>
      <c r="D2678" s="35" t="n"/>
      <c r="E2678" s="35" t="n"/>
      <c r="F2678" s="36" t="n"/>
      <c r="G2678" s="35" t="n"/>
      <c r="H2678" s="30">
        <f>IF(L2678="","",INDEX(SkiftNavn,L2678))</f>
        <v/>
      </c>
      <c r="I2678" s="30">
        <f>IF(OR(A2678="",L2678=""),"",IF(MOD(A2678-INDEX(SkiftStart,L2678),Syklus)&lt;DagK,"Kveld",IF(MOD(A2678-INDEX(SkiftStart,L2678),Syklus)&lt;DagK+DagH,"Helg",IF(MOD(A2678-INDEX(SkiftStart,L2678),Syklus)&lt;DagK+DagH+DagD,"Dag","Fri"))))</f>
        <v/>
      </c>
      <c r="J2678" s="30">
        <f>IF(I2678="Fri","Ja","")</f>
        <v/>
      </c>
      <c r="K2678" s="30">
        <f>IF(B2678="","",IF(L2678="","Ukjent tekniker",IF(ISNA(MATCH(C2678,Aktiviteter,0)),"Ukjent aktivitet",IF(AND(INDEX(AktRolle,MATCH(C2678,Aktiviteter,0))&amp;""&lt;&gt;"",ISERROR(SEARCH(INDEX(AktRolle,MATCH(C2678,Aktiviteter,0))&amp;"",INDEX(TekRoller,MATCH(B2678,Teknikere,0))))),"Mangler rollen "&amp;INDEX(AktRolle,MATCH(C2678,Aktiviteter,0))&amp;"",IF(AND(C2678="LMS",F2678&gt;0,OR(D2678="",E2678="")),"Mangler maskin eller arbeid",IF(AND(OR(C2678="LMS",C2678="Mod"),D2678&lt;&gt;""),IF(IFERROR(INDEX(MaskinStatus,MATCH(D2678,Maskiner,0)),"")="I dokk","","Maskinen er ikke i dokk"),""))))))</f>
        <v/>
      </c>
      <c r="L2678" s="2">
        <f>IF(B2678="","",IFERROR(INT((MATCH(B2678,Teknikere,0)-1)/18)+1,""))</f>
        <v/>
      </c>
      <c r="M2678" s="2">
        <f>IF(OR(A2678="",B2678=""),"",B2678&amp;"|"&amp;A2678)</f>
        <v/>
      </c>
      <c r="N2678" s="2">
        <f>IF(M2678="","",SUMIFS(TF_Timer,TF_Nokkel,M2678,TF_Akt,C2678))</f>
        <v/>
      </c>
      <c r="O2678" s="2">
        <f>IF(M2678="","",IF(AND(N2678=_xlfn.MAXIFS(TF_AktSum,TF_Nokkel,M2678),COUNTIFS(M$3:M2677,M2678,N$3:N2677,N2678)=0),M2678,""))</f>
        <v/>
      </c>
    </row>
    <row r="2679">
      <c r="A2679" s="34" t="n"/>
      <c r="B2679" s="35" t="n"/>
      <c r="C2679" s="35" t="n"/>
      <c r="D2679" s="35" t="n"/>
      <c r="E2679" s="35" t="n"/>
      <c r="F2679" s="36" t="n"/>
      <c r="G2679" s="35" t="n"/>
      <c r="H2679" s="30">
        <f>IF(L2679="","",INDEX(SkiftNavn,L2679))</f>
        <v/>
      </c>
      <c r="I2679" s="30">
        <f>IF(OR(A2679="",L2679=""),"",IF(MOD(A2679-INDEX(SkiftStart,L2679),Syklus)&lt;DagK,"Kveld",IF(MOD(A2679-INDEX(SkiftStart,L2679),Syklus)&lt;DagK+DagH,"Helg",IF(MOD(A2679-INDEX(SkiftStart,L2679),Syklus)&lt;DagK+DagH+DagD,"Dag","Fri"))))</f>
        <v/>
      </c>
      <c r="J2679" s="30">
        <f>IF(I2679="Fri","Ja","")</f>
        <v/>
      </c>
      <c r="K2679" s="30">
        <f>IF(B2679="","",IF(L2679="","Ukjent tekniker",IF(ISNA(MATCH(C2679,Aktiviteter,0)),"Ukjent aktivitet",IF(AND(INDEX(AktRolle,MATCH(C2679,Aktiviteter,0))&amp;""&lt;&gt;"",ISERROR(SEARCH(INDEX(AktRolle,MATCH(C2679,Aktiviteter,0))&amp;"",INDEX(TekRoller,MATCH(B2679,Teknikere,0))))),"Mangler rollen "&amp;INDEX(AktRolle,MATCH(C2679,Aktiviteter,0))&amp;"",IF(AND(C2679="LMS",F2679&gt;0,OR(D2679="",E2679="")),"Mangler maskin eller arbeid",IF(AND(OR(C2679="LMS",C2679="Mod"),D2679&lt;&gt;""),IF(IFERROR(INDEX(MaskinStatus,MATCH(D2679,Maskiner,0)),"")="I dokk","","Maskinen er ikke i dokk"),""))))))</f>
        <v/>
      </c>
      <c r="L2679" s="2">
        <f>IF(B2679="","",IFERROR(INT((MATCH(B2679,Teknikere,0)-1)/18)+1,""))</f>
        <v/>
      </c>
      <c r="M2679" s="2">
        <f>IF(OR(A2679="",B2679=""),"",B2679&amp;"|"&amp;A2679)</f>
        <v/>
      </c>
      <c r="N2679" s="2">
        <f>IF(M2679="","",SUMIFS(TF_Timer,TF_Nokkel,M2679,TF_Akt,C2679))</f>
        <v/>
      </c>
      <c r="O2679" s="2">
        <f>IF(M2679="","",IF(AND(N2679=_xlfn.MAXIFS(TF_AktSum,TF_Nokkel,M2679),COUNTIFS(M$3:M2678,M2679,N$3:N2678,N2679)=0),M2679,""))</f>
        <v/>
      </c>
    </row>
    <row r="2680">
      <c r="A2680" s="34" t="n"/>
      <c r="B2680" s="35" t="n"/>
      <c r="C2680" s="35" t="n"/>
      <c r="D2680" s="35" t="n"/>
      <c r="E2680" s="35" t="n"/>
      <c r="F2680" s="36" t="n"/>
      <c r="G2680" s="35" t="n"/>
      <c r="H2680" s="30">
        <f>IF(L2680="","",INDEX(SkiftNavn,L2680))</f>
        <v/>
      </c>
      <c r="I2680" s="30">
        <f>IF(OR(A2680="",L2680=""),"",IF(MOD(A2680-INDEX(SkiftStart,L2680),Syklus)&lt;DagK,"Kveld",IF(MOD(A2680-INDEX(SkiftStart,L2680),Syklus)&lt;DagK+DagH,"Helg",IF(MOD(A2680-INDEX(SkiftStart,L2680),Syklus)&lt;DagK+DagH+DagD,"Dag","Fri"))))</f>
        <v/>
      </c>
      <c r="J2680" s="30">
        <f>IF(I2680="Fri","Ja","")</f>
        <v/>
      </c>
      <c r="K2680" s="30">
        <f>IF(B2680="","",IF(L2680="","Ukjent tekniker",IF(ISNA(MATCH(C2680,Aktiviteter,0)),"Ukjent aktivitet",IF(AND(INDEX(AktRolle,MATCH(C2680,Aktiviteter,0))&amp;""&lt;&gt;"",ISERROR(SEARCH(INDEX(AktRolle,MATCH(C2680,Aktiviteter,0))&amp;"",INDEX(TekRoller,MATCH(B2680,Teknikere,0))))),"Mangler rollen "&amp;INDEX(AktRolle,MATCH(C2680,Aktiviteter,0))&amp;"",IF(AND(C2680="LMS",F2680&gt;0,OR(D2680="",E2680="")),"Mangler maskin eller arbeid",IF(AND(OR(C2680="LMS",C2680="Mod"),D2680&lt;&gt;""),IF(IFERROR(INDEX(MaskinStatus,MATCH(D2680,Maskiner,0)),"")="I dokk","","Maskinen er ikke i dokk"),""))))))</f>
        <v/>
      </c>
      <c r="L2680" s="2">
        <f>IF(B2680="","",IFERROR(INT((MATCH(B2680,Teknikere,0)-1)/18)+1,""))</f>
        <v/>
      </c>
      <c r="M2680" s="2">
        <f>IF(OR(A2680="",B2680=""),"",B2680&amp;"|"&amp;A2680)</f>
        <v/>
      </c>
      <c r="N2680" s="2">
        <f>IF(M2680="","",SUMIFS(TF_Timer,TF_Nokkel,M2680,TF_Akt,C2680))</f>
        <v/>
      </c>
      <c r="O2680" s="2">
        <f>IF(M2680="","",IF(AND(N2680=_xlfn.MAXIFS(TF_AktSum,TF_Nokkel,M2680),COUNTIFS(M$3:M2679,M2680,N$3:N2679,N2680)=0),M2680,""))</f>
        <v/>
      </c>
    </row>
    <row r="2681">
      <c r="A2681" s="34" t="n"/>
      <c r="B2681" s="35" t="n"/>
      <c r="C2681" s="35" t="n"/>
      <c r="D2681" s="35" t="n"/>
      <c r="E2681" s="35" t="n"/>
      <c r="F2681" s="36" t="n"/>
      <c r="G2681" s="35" t="n"/>
      <c r="H2681" s="30">
        <f>IF(L2681="","",INDEX(SkiftNavn,L2681))</f>
        <v/>
      </c>
      <c r="I2681" s="30">
        <f>IF(OR(A2681="",L2681=""),"",IF(MOD(A2681-INDEX(SkiftStart,L2681),Syklus)&lt;DagK,"Kveld",IF(MOD(A2681-INDEX(SkiftStart,L2681),Syklus)&lt;DagK+DagH,"Helg",IF(MOD(A2681-INDEX(SkiftStart,L2681),Syklus)&lt;DagK+DagH+DagD,"Dag","Fri"))))</f>
        <v/>
      </c>
      <c r="J2681" s="30">
        <f>IF(I2681="Fri","Ja","")</f>
        <v/>
      </c>
      <c r="K2681" s="30">
        <f>IF(B2681="","",IF(L2681="","Ukjent tekniker",IF(ISNA(MATCH(C2681,Aktiviteter,0)),"Ukjent aktivitet",IF(AND(INDEX(AktRolle,MATCH(C2681,Aktiviteter,0))&amp;""&lt;&gt;"",ISERROR(SEARCH(INDEX(AktRolle,MATCH(C2681,Aktiviteter,0))&amp;"",INDEX(TekRoller,MATCH(B2681,Teknikere,0))))),"Mangler rollen "&amp;INDEX(AktRolle,MATCH(C2681,Aktiviteter,0))&amp;"",IF(AND(C2681="LMS",F2681&gt;0,OR(D2681="",E2681="")),"Mangler maskin eller arbeid",IF(AND(OR(C2681="LMS",C2681="Mod"),D2681&lt;&gt;""),IF(IFERROR(INDEX(MaskinStatus,MATCH(D2681,Maskiner,0)),"")="I dokk","","Maskinen er ikke i dokk"),""))))))</f>
        <v/>
      </c>
      <c r="L2681" s="2">
        <f>IF(B2681="","",IFERROR(INT((MATCH(B2681,Teknikere,0)-1)/18)+1,""))</f>
        <v/>
      </c>
      <c r="M2681" s="2">
        <f>IF(OR(A2681="",B2681=""),"",B2681&amp;"|"&amp;A2681)</f>
        <v/>
      </c>
      <c r="N2681" s="2">
        <f>IF(M2681="","",SUMIFS(TF_Timer,TF_Nokkel,M2681,TF_Akt,C2681))</f>
        <v/>
      </c>
      <c r="O2681" s="2">
        <f>IF(M2681="","",IF(AND(N2681=_xlfn.MAXIFS(TF_AktSum,TF_Nokkel,M2681),COUNTIFS(M$3:M2680,M2681,N$3:N2680,N2681)=0),M2681,""))</f>
        <v/>
      </c>
    </row>
    <row r="2682">
      <c r="A2682" s="34" t="n"/>
      <c r="B2682" s="35" t="n"/>
      <c r="C2682" s="35" t="n"/>
      <c r="D2682" s="35" t="n"/>
      <c r="E2682" s="35" t="n"/>
      <c r="F2682" s="36" t="n"/>
      <c r="G2682" s="35" t="n"/>
      <c r="H2682" s="30">
        <f>IF(L2682="","",INDEX(SkiftNavn,L2682))</f>
        <v/>
      </c>
      <c r="I2682" s="30">
        <f>IF(OR(A2682="",L2682=""),"",IF(MOD(A2682-INDEX(SkiftStart,L2682),Syklus)&lt;DagK,"Kveld",IF(MOD(A2682-INDEX(SkiftStart,L2682),Syklus)&lt;DagK+DagH,"Helg",IF(MOD(A2682-INDEX(SkiftStart,L2682),Syklus)&lt;DagK+DagH+DagD,"Dag","Fri"))))</f>
        <v/>
      </c>
      <c r="J2682" s="30">
        <f>IF(I2682="Fri","Ja","")</f>
        <v/>
      </c>
      <c r="K2682" s="30">
        <f>IF(B2682="","",IF(L2682="","Ukjent tekniker",IF(ISNA(MATCH(C2682,Aktiviteter,0)),"Ukjent aktivitet",IF(AND(INDEX(AktRolle,MATCH(C2682,Aktiviteter,0))&amp;""&lt;&gt;"",ISERROR(SEARCH(INDEX(AktRolle,MATCH(C2682,Aktiviteter,0))&amp;"",INDEX(TekRoller,MATCH(B2682,Teknikere,0))))),"Mangler rollen "&amp;INDEX(AktRolle,MATCH(C2682,Aktiviteter,0))&amp;"",IF(AND(C2682="LMS",F2682&gt;0,OR(D2682="",E2682="")),"Mangler maskin eller arbeid",IF(AND(OR(C2682="LMS",C2682="Mod"),D2682&lt;&gt;""),IF(IFERROR(INDEX(MaskinStatus,MATCH(D2682,Maskiner,0)),"")="I dokk","","Maskinen er ikke i dokk"),""))))))</f>
        <v/>
      </c>
      <c r="L2682" s="2">
        <f>IF(B2682="","",IFERROR(INT((MATCH(B2682,Teknikere,0)-1)/18)+1,""))</f>
        <v/>
      </c>
      <c r="M2682" s="2">
        <f>IF(OR(A2682="",B2682=""),"",B2682&amp;"|"&amp;A2682)</f>
        <v/>
      </c>
      <c r="N2682" s="2">
        <f>IF(M2682="","",SUMIFS(TF_Timer,TF_Nokkel,M2682,TF_Akt,C2682))</f>
        <v/>
      </c>
      <c r="O2682" s="2">
        <f>IF(M2682="","",IF(AND(N2682=_xlfn.MAXIFS(TF_AktSum,TF_Nokkel,M2682),COUNTIFS(M$3:M2681,M2682,N$3:N2681,N2682)=0),M2682,""))</f>
        <v/>
      </c>
    </row>
    <row r="2683">
      <c r="A2683" s="34" t="n"/>
      <c r="B2683" s="35" t="n"/>
      <c r="C2683" s="35" t="n"/>
      <c r="D2683" s="35" t="n"/>
      <c r="E2683" s="35" t="n"/>
      <c r="F2683" s="36" t="n"/>
      <c r="G2683" s="35" t="n"/>
      <c r="H2683" s="30">
        <f>IF(L2683="","",INDEX(SkiftNavn,L2683))</f>
        <v/>
      </c>
      <c r="I2683" s="30">
        <f>IF(OR(A2683="",L2683=""),"",IF(MOD(A2683-INDEX(SkiftStart,L2683),Syklus)&lt;DagK,"Kveld",IF(MOD(A2683-INDEX(SkiftStart,L2683),Syklus)&lt;DagK+DagH,"Helg",IF(MOD(A2683-INDEX(SkiftStart,L2683),Syklus)&lt;DagK+DagH+DagD,"Dag","Fri"))))</f>
        <v/>
      </c>
      <c r="J2683" s="30">
        <f>IF(I2683="Fri","Ja","")</f>
        <v/>
      </c>
      <c r="K2683" s="30">
        <f>IF(B2683="","",IF(L2683="","Ukjent tekniker",IF(ISNA(MATCH(C2683,Aktiviteter,0)),"Ukjent aktivitet",IF(AND(INDEX(AktRolle,MATCH(C2683,Aktiviteter,0))&amp;""&lt;&gt;"",ISERROR(SEARCH(INDEX(AktRolle,MATCH(C2683,Aktiviteter,0))&amp;"",INDEX(TekRoller,MATCH(B2683,Teknikere,0))))),"Mangler rollen "&amp;INDEX(AktRolle,MATCH(C2683,Aktiviteter,0))&amp;"",IF(AND(C2683="LMS",F2683&gt;0,OR(D2683="",E2683="")),"Mangler maskin eller arbeid",IF(AND(OR(C2683="LMS",C2683="Mod"),D2683&lt;&gt;""),IF(IFERROR(INDEX(MaskinStatus,MATCH(D2683,Maskiner,0)),"")="I dokk","","Maskinen er ikke i dokk"),""))))))</f>
        <v/>
      </c>
      <c r="L2683" s="2">
        <f>IF(B2683="","",IFERROR(INT((MATCH(B2683,Teknikere,0)-1)/18)+1,""))</f>
        <v/>
      </c>
      <c r="M2683" s="2">
        <f>IF(OR(A2683="",B2683=""),"",B2683&amp;"|"&amp;A2683)</f>
        <v/>
      </c>
      <c r="N2683" s="2">
        <f>IF(M2683="","",SUMIFS(TF_Timer,TF_Nokkel,M2683,TF_Akt,C2683))</f>
        <v/>
      </c>
      <c r="O2683" s="2">
        <f>IF(M2683="","",IF(AND(N2683=_xlfn.MAXIFS(TF_AktSum,TF_Nokkel,M2683),COUNTIFS(M$3:M2682,M2683,N$3:N2682,N2683)=0),M2683,""))</f>
        <v/>
      </c>
    </row>
    <row r="2684">
      <c r="A2684" s="34" t="n"/>
      <c r="B2684" s="35" t="n"/>
      <c r="C2684" s="35" t="n"/>
      <c r="D2684" s="35" t="n"/>
      <c r="E2684" s="35" t="n"/>
      <c r="F2684" s="36" t="n"/>
      <c r="G2684" s="35" t="n"/>
      <c r="H2684" s="30">
        <f>IF(L2684="","",INDEX(SkiftNavn,L2684))</f>
        <v/>
      </c>
      <c r="I2684" s="30">
        <f>IF(OR(A2684="",L2684=""),"",IF(MOD(A2684-INDEX(SkiftStart,L2684),Syklus)&lt;DagK,"Kveld",IF(MOD(A2684-INDEX(SkiftStart,L2684),Syklus)&lt;DagK+DagH,"Helg",IF(MOD(A2684-INDEX(SkiftStart,L2684),Syklus)&lt;DagK+DagH+DagD,"Dag","Fri"))))</f>
        <v/>
      </c>
      <c r="J2684" s="30">
        <f>IF(I2684="Fri","Ja","")</f>
        <v/>
      </c>
      <c r="K2684" s="30">
        <f>IF(B2684="","",IF(L2684="","Ukjent tekniker",IF(ISNA(MATCH(C2684,Aktiviteter,0)),"Ukjent aktivitet",IF(AND(INDEX(AktRolle,MATCH(C2684,Aktiviteter,0))&amp;""&lt;&gt;"",ISERROR(SEARCH(INDEX(AktRolle,MATCH(C2684,Aktiviteter,0))&amp;"",INDEX(TekRoller,MATCH(B2684,Teknikere,0))))),"Mangler rollen "&amp;INDEX(AktRolle,MATCH(C2684,Aktiviteter,0))&amp;"",IF(AND(C2684="LMS",F2684&gt;0,OR(D2684="",E2684="")),"Mangler maskin eller arbeid",IF(AND(OR(C2684="LMS",C2684="Mod"),D2684&lt;&gt;""),IF(IFERROR(INDEX(MaskinStatus,MATCH(D2684,Maskiner,0)),"")="I dokk","","Maskinen er ikke i dokk"),""))))))</f>
        <v/>
      </c>
      <c r="L2684" s="2">
        <f>IF(B2684="","",IFERROR(INT((MATCH(B2684,Teknikere,0)-1)/18)+1,""))</f>
        <v/>
      </c>
      <c r="M2684" s="2">
        <f>IF(OR(A2684="",B2684=""),"",B2684&amp;"|"&amp;A2684)</f>
        <v/>
      </c>
      <c r="N2684" s="2">
        <f>IF(M2684="","",SUMIFS(TF_Timer,TF_Nokkel,M2684,TF_Akt,C2684))</f>
        <v/>
      </c>
      <c r="O2684" s="2">
        <f>IF(M2684="","",IF(AND(N2684=_xlfn.MAXIFS(TF_AktSum,TF_Nokkel,M2684),COUNTIFS(M$3:M2683,M2684,N$3:N2683,N2684)=0),M2684,""))</f>
        <v/>
      </c>
    </row>
    <row r="2685">
      <c r="A2685" s="34" t="n"/>
      <c r="B2685" s="35" t="n"/>
      <c r="C2685" s="35" t="n"/>
      <c r="D2685" s="35" t="n"/>
      <c r="E2685" s="35" t="n"/>
      <c r="F2685" s="36" t="n"/>
      <c r="G2685" s="35" t="n"/>
      <c r="H2685" s="30">
        <f>IF(L2685="","",INDEX(SkiftNavn,L2685))</f>
        <v/>
      </c>
      <c r="I2685" s="30">
        <f>IF(OR(A2685="",L2685=""),"",IF(MOD(A2685-INDEX(SkiftStart,L2685),Syklus)&lt;DagK,"Kveld",IF(MOD(A2685-INDEX(SkiftStart,L2685),Syklus)&lt;DagK+DagH,"Helg",IF(MOD(A2685-INDEX(SkiftStart,L2685),Syklus)&lt;DagK+DagH+DagD,"Dag","Fri"))))</f>
        <v/>
      </c>
      <c r="J2685" s="30">
        <f>IF(I2685="Fri","Ja","")</f>
        <v/>
      </c>
      <c r="K2685" s="30">
        <f>IF(B2685="","",IF(L2685="","Ukjent tekniker",IF(ISNA(MATCH(C2685,Aktiviteter,0)),"Ukjent aktivitet",IF(AND(INDEX(AktRolle,MATCH(C2685,Aktiviteter,0))&amp;""&lt;&gt;"",ISERROR(SEARCH(INDEX(AktRolle,MATCH(C2685,Aktiviteter,0))&amp;"",INDEX(TekRoller,MATCH(B2685,Teknikere,0))))),"Mangler rollen "&amp;INDEX(AktRolle,MATCH(C2685,Aktiviteter,0))&amp;"",IF(AND(C2685="LMS",F2685&gt;0,OR(D2685="",E2685="")),"Mangler maskin eller arbeid",IF(AND(OR(C2685="LMS",C2685="Mod"),D2685&lt;&gt;""),IF(IFERROR(INDEX(MaskinStatus,MATCH(D2685,Maskiner,0)),"")="I dokk","","Maskinen er ikke i dokk"),""))))))</f>
        <v/>
      </c>
      <c r="L2685" s="2">
        <f>IF(B2685="","",IFERROR(INT((MATCH(B2685,Teknikere,0)-1)/18)+1,""))</f>
        <v/>
      </c>
      <c r="M2685" s="2">
        <f>IF(OR(A2685="",B2685=""),"",B2685&amp;"|"&amp;A2685)</f>
        <v/>
      </c>
      <c r="N2685" s="2">
        <f>IF(M2685="","",SUMIFS(TF_Timer,TF_Nokkel,M2685,TF_Akt,C2685))</f>
        <v/>
      </c>
      <c r="O2685" s="2">
        <f>IF(M2685="","",IF(AND(N2685=_xlfn.MAXIFS(TF_AktSum,TF_Nokkel,M2685),COUNTIFS(M$3:M2684,M2685,N$3:N2684,N2685)=0),M2685,""))</f>
        <v/>
      </c>
    </row>
    <row r="2686">
      <c r="A2686" s="34" t="n"/>
      <c r="B2686" s="35" t="n"/>
      <c r="C2686" s="35" t="n"/>
      <c r="D2686" s="35" t="n"/>
      <c r="E2686" s="35" t="n"/>
      <c r="F2686" s="36" t="n"/>
      <c r="G2686" s="35" t="n"/>
      <c r="H2686" s="30">
        <f>IF(L2686="","",INDEX(SkiftNavn,L2686))</f>
        <v/>
      </c>
      <c r="I2686" s="30">
        <f>IF(OR(A2686="",L2686=""),"",IF(MOD(A2686-INDEX(SkiftStart,L2686),Syklus)&lt;DagK,"Kveld",IF(MOD(A2686-INDEX(SkiftStart,L2686),Syklus)&lt;DagK+DagH,"Helg",IF(MOD(A2686-INDEX(SkiftStart,L2686),Syklus)&lt;DagK+DagH+DagD,"Dag","Fri"))))</f>
        <v/>
      </c>
      <c r="J2686" s="30">
        <f>IF(I2686="Fri","Ja","")</f>
        <v/>
      </c>
      <c r="K2686" s="30">
        <f>IF(B2686="","",IF(L2686="","Ukjent tekniker",IF(ISNA(MATCH(C2686,Aktiviteter,0)),"Ukjent aktivitet",IF(AND(INDEX(AktRolle,MATCH(C2686,Aktiviteter,0))&amp;""&lt;&gt;"",ISERROR(SEARCH(INDEX(AktRolle,MATCH(C2686,Aktiviteter,0))&amp;"",INDEX(TekRoller,MATCH(B2686,Teknikere,0))))),"Mangler rollen "&amp;INDEX(AktRolle,MATCH(C2686,Aktiviteter,0))&amp;"",IF(AND(C2686="LMS",F2686&gt;0,OR(D2686="",E2686="")),"Mangler maskin eller arbeid",IF(AND(OR(C2686="LMS",C2686="Mod"),D2686&lt;&gt;""),IF(IFERROR(INDEX(MaskinStatus,MATCH(D2686,Maskiner,0)),"")="I dokk","","Maskinen er ikke i dokk"),""))))))</f>
        <v/>
      </c>
      <c r="L2686" s="2">
        <f>IF(B2686="","",IFERROR(INT((MATCH(B2686,Teknikere,0)-1)/18)+1,""))</f>
        <v/>
      </c>
      <c r="M2686" s="2">
        <f>IF(OR(A2686="",B2686=""),"",B2686&amp;"|"&amp;A2686)</f>
        <v/>
      </c>
      <c r="N2686" s="2">
        <f>IF(M2686="","",SUMIFS(TF_Timer,TF_Nokkel,M2686,TF_Akt,C2686))</f>
        <v/>
      </c>
      <c r="O2686" s="2">
        <f>IF(M2686="","",IF(AND(N2686=_xlfn.MAXIFS(TF_AktSum,TF_Nokkel,M2686),COUNTIFS(M$3:M2685,M2686,N$3:N2685,N2686)=0),M2686,""))</f>
        <v/>
      </c>
    </row>
    <row r="2687">
      <c r="A2687" s="34" t="n"/>
      <c r="B2687" s="35" t="n"/>
      <c r="C2687" s="35" t="n"/>
      <c r="D2687" s="35" t="n"/>
      <c r="E2687" s="35" t="n"/>
      <c r="F2687" s="36" t="n"/>
      <c r="G2687" s="35" t="n"/>
      <c r="H2687" s="30">
        <f>IF(L2687="","",INDEX(SkiftNavn,L2687))</f>
        <v/>
      </c>
      <c r="I2687" s="30">
        <f>IF(OR(A2687="",L2687=""),"",IF(MOD(A2687-INDEX(SkiftStart,L2687),Syklus)&lt;DagK,"Kveld",IF(MOD(A2687-INDEX(SkiftStart,L2687),Syklus)&lt;DagK+DagH,"Helg",IF(MOD(A2687-INDEX(SkiftStart,L2687),Syklus)&lt;DagK+DagH+DagD,"Dag","Fri"))))</f>
        <v/>
      </c>
      <c r="J2687" s="30">
        <f>IF(I2687="Fri","Ja","")</f>
        <v/>
      </c>
      <c r="K2687" s="30">
        <f>IF(B2687="","",IF(L2687="","Ukjent tekniker",IF(ISNA(MATCH(C2687,Aktiviteter,0)),"Ukjent aktivitet",IF(AND(INDEX(AktRolle,MATCH(C2687,Aktiviteter,0))&amp;""&lt;&gt;"",ISERROR(SEARCH(INDEX(AktRolle,MATCH(C2687,Aktiviteter,0))&amp;"",INDEX(TekRoller,MATCH(B2687,Teknikere,0))))),"Mangler rollen "&amp;INDEX(AktRolle,MATCH(C2687,Aktiviteter,0))&amp;"",IF(AND(C2687="LMS",F2687&gt;0,OR(D2687="",E2687="")),"Mangler maskin eller arbeid",IF(AND(OR(C2687="LMS",C2687="Mod"),D2687&lt;&gt;""),IF(IFERROR(INDEX(MaskinStatus,MATCH(D2687,Maskiner,0)),"")="I dokk","","Maskinen er ikke i dokk"),""))))))</f>
        <v/>
      </c>
      <c r="L2687" s="2">
        <f>IF(B2687="","",IFERROR(INT((MATCH(B2687,Teknikere,0)-1)/18)+1,""))</f>
        <v/>
      </c>
      <c r="M2687" s="2">
        <f>IF(OR(A2687="",B2687=""),"",B2687&amp;"|"&amp;A2687)</f>
        <v/>
      </c>
      <c r="N2687" s="2">
        <f>IF(M2687="","",SUMIFS(TF_Timer,TF_Nokkel,M2687,TF_Akt,C2687))</f>
        <v/>
      </c>
      <c r="O2687" s="2">
        <f>IF(M2687="","",IF(AND(N2687=_xlfn.MAXIFS(TF_AktSum,TF_Nokkel,M2687),COUNTIFS(M$3:M2686,M2687,N$3:N2686,N2687)=0),M2687,""))</f>
        <v/>
      </c>
    </row>
    <row r="2688">
      <c r="A2688" s="34" t="n"/>
      <c r="B2688" s="35" t="n"/>
      <c r="C2688" s="35" t="n"/>
      <c r="D2688" s="35" t="n"/>
      <c r="E2688" s="35" t="n"/>
      <c r="F2688" s="36" t="n"/>
      <c r="G2688" s="35" t="n"/>
      <c r="H2688" s="30">
        <f>IF(L2688="","",INDEX(SkiftNavn,L2688))</f>
        <v/>
      </c>
      <c r="I2688" s="30">
        <f>IF(OR(A2688="",L2688=""),"",IF(MOD(A2688-INDEX(SkiftStart,L2688),Syklus)&lt;DagK,"Kveld",IF(MOD(A2688-INDEX(SkiftStart,L2688),Syklus)&lt;DagK+DagH,"Helg",IF(MOD(A2688-INDEX(SkiftStart,L2688),Syklus)&lt;DagK+DagH+DagD,"Dag","Fri"))))</f>
        <v/>
      </c>
      <c r="J2688" s="30">
        <f>IF(I2688="Fri","Ja","")</f>
        <v/>
      </c>
      <c r="K2688" s="30">
        <f>IF(B2688="","",IF(L2688="","Ukjent tekniker",IF(ISNA(MATCH(C2688,Aktiviteter,0)),"Ukjent aktivitet",IF(AND(INDEX(AktRolle,MATCH(C2688,Aktiviteter,0))&amp;""&lt;&gt;"",ISERROR(SEARCH(INDEX(AktRolle,MATCH(C2688,Aktiviteter,0))&amp;"",INDEX(TekRoller,MATCH(B2688,Teknikere,0))))),"Mangler rollen "&amp;INDEX(AktRolle,MATCH(C2688,Aktiviteter,0))&amp;"",IF(AND(C2688="LMS",F2688&gt;0,OR(D2688="",E2688="")),"Mangler maskin eller arbeid",IF(AND(OR(C2688="LMS",C2688="Mod"),D2688&lt;&gt;""),IF(IFERROR(INDEX(MaskinStatus,MATCH(D2688,Maskiner,0)),"")="I dokk","","Maskinen er ikke i dokk"),""))))))</f>
        <v/>
      </c>
      <c r="L2688" s="2">
        <f>IF(B2688="","",IFERROR(INT((MATCH(B2688,Teknikere,0)-1)/18)+1,""))</f>
        <v/>
      </c>
      <c r="M2688" s="2">
        <f>IF(OR(A2688="",B2688=""),"",B2688&amp;"|"&amp;A2688)</f>
        <v/>
      </c>
      <c r="N2688" s="2">
        <f>IF(M2688="","",SUMIFS(TF_Timer,TF_Nokkel,M2688,TF_Akt,C2688))</f>
        <v/>
      </c>
      <c r="O2688" s="2">
        <f>IF(M2688="","",IF(AND(N2688=_xlfn.MAXIFS(TF_AktSum,TF_Nokkel,M2688),COUNTIFS(M$3:M2687,M2688,N$3:N2687,N2688)=0),M2688,""))</f>
        <v/>
      </c>
    </row>
    <row r="2689">
      <c r="A2689" s="34" t="n"/>
      <c r="B2689" s="35" t="n"/>
      <c r="C2689" s="35" t="n"/>
      <c r="D2689" s="35" t="n"/>
      <c r="E2689" s="35" t="n"/>
      <c r="F2689" s="36" t="n"/>
      <c r="G2689" s="35" t="n"/>
      <c r="H2689" s="30">
        <f>IF(L2689="","",INDEX(SkiftNavn,L2689))</f>
        <v/>
      </c>
      <c r="I2689" s="30">
        <f>IF(OR(A2689="",L2689=""),"",IF(MOD(A2689-INDEX(SkiftStart,L2689),Syklus)&lt;DagK,"Kveld",IF(MOD(A2689-INDEX(SkiftStart,L2689),Syklus)&lt;DagK+DagH,"Helg",IF(MOD(A2689-INDEX(SkiftStart,L2689),Syklus)&lt;DagK+DagH+DagD,"Dag","Fri"))))</f>
        <v/>
      </c>
      <c r="J2689" s="30">
        <f>IF(I2689="Fri","Ja","")</f>
        <v/>
      </c>
      <c r="K2689" s="30">
        <f>IF(B2689="","",IF(L2689="","Ukjent tekniker",IF(ISNA(MATCH(C2689,Aktiviteter,0)),"Ukjent aktivitet",IF(AND(INDEX(AktRolle,MATCH(C2689,Aktiviteter,0))&amp;""&lt;&gt;"",ISERROR(SEARCH(INDEX(AktRolle,MATCH(C2689,Aktiviteter,0))&amp;"",INDEX(TekRoller,MATCH(B2689,Teknikere,0))))),"Mangler rollen "&amp;INDEX(AktRolle,MATCH(C2689,Aktiviteter,0))&amp;"",IF(AND(C2689="LMS",F2689&gt;0,OR(D2689="",E2689="")),"Mangler maskin eller arbeid",IF(AND(OR(C2689="LMS",C2689="Mod"),D2689&lt;&gt;""),IF(IFERROR(INDEX(MaskinStatus,MATCH(D2689,Maskiner,0)),"")="I dokk","","Maskinen er ikke i dokk"),""))))))</f>
        <v/>
      </c>
      <c r="L2689" s="2">
        <f>IF(B2689="","",IFERROR(INT((MATCH(B2689,Teknikere,0)-1)/18)+1,""))</f>
        <v/>
      </c>
      <c r="M2689" s="2">
        <f>IF(OR(A2689="",B2689=""),"",B2689&amp;"|"&amp;A2689)</f>
        <v/>
      </c>
      <c r="N2689" s="2">
        <f>IF(M2689="","",SUMIFS(TF_Timer,TF_Nokkel,M2689,TF_Akt,C2689))</f>
        <v/>
      </c>
      <c r="O2689" s="2">
        <f>IF(M2689="","",IF(AND(N2689=_xlfn.MAXIFS(TF_AktSum,TF_Nokkel,M2689),COUNTIFS(M$3:M2688,M2689,N$3:N2688,N2689)=0),M2689,""))</f>
        <v/>
      </c>
    </row>
    <row r="2690">
      <c r="A2690" s="34" t="n"/>
      <c r="B2690" s="35" t="n"/>
      <c r="C2690" s="35" t="n"/>
      <c r="D2690" s="35" t="n"/>
      <c r="E2690" s="35" t="n"/>
      <c r="F2690" s="36" t="n"/>
      <c r="G2690" s="35" t="n"/>
      <c r="H2690" s="30">
        <f>IF(L2690="","",INDEX(SkiftNavn,L2690))</f>
        <v/>
      </c>
      <c r="I2690" s="30">
        <f>IF(OR(A2690="",L2690=""),"",IF(MOD(A2690-INDEX(SkiftStart,L2690),Syklus)&lt;DagK,"Kveld",IF(MOD(A2690-INDEX(SkiftStart,L2690),Syklus)&lt;DagK+DagH,"Helg",IF(MOD(A2690-INDEX(SkiftStart,L2690),Syklus)&lt;DagK+DagH+DagD,"Dag","Fri"))))</f>
        <v/>
      </c>
      <c r="J2690" s="30">
        <f>IF(I2690="Fri","Ja","")</f>
        <v/>
      </c>
      <c r="K2690" s="30">
        <f>IF(B2690="","",IF(L2690="","Ukjent tekniker",IF(ISNA(MATCH(C2690,Aktiviteter,0)),"Ukjent aktivitet",IF(AND(INDEX(AktRolle,MATCH(C2690,Aktiviteter,0))&amp;""&lt;&gt;"",ISERROR(SEARCH(INDEX(AktRolle,MATCH(C2690,Aktiviteter,0))&amp;"",INDEX(TekRoller,MATCH(B2690,Teknikere,0))))),"Mangler rollen "&amp;INDEX(AktRolle,MATCH(C2690,Aktiviteter,0))&amp;"",IF(AND(C2690="LMS",F2690&gt;0,OR(D2690="",E2690="")),"Mangler maskin eller arbeid",IF(AND(OR(C2690="LMS",C2690="Mod"),D2690&lt;&gt;""),IF(IFERROR(INDEX(MaskinStatus,MATCH(D2690,Maskiner,0)),"")="I dokk","","Maskinen er ikke i dokk"),""))))))</f>
        <v/>
      </c>
      <c r="L2690" s="2">
        <f>IF(B2690="","",IFERROR(INT((MATCH(B2690,Teknikere,0)-1)/18)+1,""))</f>
        <v/>
      </c>
      <c r="M2690" s="2">
        <f>IF(OR(A2690="",B2690=""),"",B2690&amp;"|"&amp;A2690)</f>
        <v/>
      </c>
      <c r="N2690" s="2">
        <f>IF(M2690="","",SUMIFS(TF_Timer,TF_Nokkel,M2690,TF_Akt,C2690))</f>
        <v/>
      </c>
      <c r="O2690" s="2">
        <f>IF(M2690="","",IF(AND(N2690=_xlfn.MAXIFS(TF_AktSum,TF_Nokkel,M2690),COUNTIFS(M$3:M2689,M2690,N$3:N2689,N2690)=0),M2690,""))</f>
        <v/>
      </c>
    </row>
    <row r="2691">
      <c r="A2691" s="34" t="n"/>
      <c r="B2691" s="35" t="n"/>
      <c r="C2691" s="35" t="n"/>
      <c r="D2691" s="35" t="n"/>
      <c r="E2691" s="35" t="n"/>
      <c r="F2691" s="36" t="n"/>
      <c r="G2691" s="35" t="n"/>
      <c r="H2691" s="30">
        <f>IF(L2691="","",INDEX(SkiftNavn,L2691))</f>
        <v/>
      </c>
      <c r="I2691" s="30">
        <f>IF(OR(A2691="",L2691=""),"",IF(MOD(A2691-INDEX(SkiftStart,L2691),Syklus)&lt;DagK,"Kveld",IF(MOD(A2691-INDEX(SkiftStart,L2691),Syklus)&lt;DagK+DagH,"Helg",IF(MOD(A2691-INDEX(SkiftStart,L2691),Syklus)&lt;DagK+DagH+DagD,"Dag","Fri"))))</f>
        <v/>
      </c>
      <c r="J2691" s="30">
        <f>IF(I2691="Fri","Ja","")</f>
        <v/>
      </c>
      <c r="K2691" s="30">
        <f>IF(B2691="","",IF(L2691="","Ukjent tekniker",IF(ISNA(MATCH(C2691,Aktiviteter,0)),"Ukjent aktivitet",IF(AND(INDEX(AktRolle,MATCH(C2691,Aktiviteter,0))&amp;""&lt;&gt;"",ISERROR(SEARCH(INDEX(AktRolle,MATCH(C2691,Aktiviteter,0))&amp;"",INDEX(TekRoller,MATCH(B2691,Teknikere,0))))),"Mangler rollen "&amp;INDEX(AktRolle,MATCH(C2691,Aktiviteter,0))&amp;"",IF(AND(C2691="LMS",F2691&gt;0,OR(D2691="",E2691="")),"Mangler maskin eller arbeid",IF(AND(OR(C2691="LMS",C2691="Mod"),D2691&lt;&gt;""),IF(IFERROR(INDEX(MaskinStatus,MATCH(D2691,Maskiner,0)),"")="I dokk","","Maskinen er ikke i dokk"),""))))))</f>
        <v/>
      </c>
      <c r="L2691" s="2">
        <f>IF(B2691="","",IFERROR(INT((MATCH(B2691,Teknikere,0)-1)/18)+1,""))</f>
        <v/>
      </c>
      <c r="M2691" s="2">
        <f>IF(OR(A2691="",B2691=""),"",B2691&amp;"|"&amp;A2691)</f>
        <v/>
      </c>
      <c r="N2691" s="2">
        <f>IF(M2691="","",SUMIFS(TF_Timer,TF_Nokkel,M2691,TF_Akt,C2691))</f>
        <v/>
      </c>
      <c r="O2691" s="2">
        <f>IF(M2691="","",IF(AND(N2691=_xlfn.MAXIFS(TF_AktSum,TF_Nokkel,M2691),COUNTIFS(M$3:M2690,M2691,N$3:N2690,N2691)=0),M2691,""))</f>
        <v/>
      </c>
    </row>
    <row r="2692">
      <c r="A2692" s="34" t="n"/>
      <c r="B2692" s="35" t="n"/>
      <c r="C2692" s="35" t="n"/>
      <c r="D2692" s="35" t="n"/>
      <c r="E2692" s="35" t="n"/>
      <c r="F2692" s="36" t="n"/>
      <c r="G2692" s="35" t="n"/>
      <c r="H2692" s="30">
        <f>IF(L2692="","",INDEX(SkiftNavn,L2692))</f>
        <v/>
      </c>
      <c r="I2692" s="30">
        <f>IF(OR(A2692="",L2692=""),"",IF(MOD(A2692-INDEX(SkiftStart,L2692),Syklus)&lt;DagK,"Kveld",IF(MOD(A2692-INDEX(SkiftStart,L2692),Syklus)&lt;DagK+DagH,"Helg",IF(MOD(A2692-INDEX(SkiftStart,L2692),Syklus)&lt;DagK+DagH+DagD,"Dag","Fri"))))</f>
        <v/>
      </c>
      <c r="J2692" s="30">
        <f>IF(I2692="Fri","Ja","")</f>
        <v/>
      </c>
      <c r="K2692" s="30">
        <f>IF(B2692="","",IF(L2692="","Ukjent tekniker",IF(ISNA(MATCH(C2692,Aktiviteter,0)),"Ukjent aktivitet",IF(AND(INDEX(AktRolle,MATCH(C2692,Aktiviteter,0))&amp;""&lt;&gt;"",ISERROR(SEARCH(INDEX(AktRolle,MATCH(C2692,Aktiviteter,0))&amp;"",INDEX(TekRoller,MATCH(B2692,Teknikere,0))))),"Mangler rollen "&amp;INDEX(AktRolle,MATCH(C2692,Aktiviteter,0))&amp;"",IF(AND(C2692="LMS",F2692&gt;0,OR(D2692="",E2692="")),"Mangler maskin eller arbeid",IF(AND(OR(C2692="LMS",C2692="Mod"),D2692&lt;&gt;""),IF(IFERROR(INDEX(MaskinStatus,MATCH(D2692,Maskiner,0)),"")="I dokk","","Maskinen er ikke i dokk"),""))))))</f>
        <v/>
      </c>
      <c r="L2692" s="2">
        <f>IF(B2692="","",IFERROR(INT((MATCH(B2692,Teknikere,0)-1)/18)+1,""))</f>
        <v/>
      </c>
      <c r="M2692" s="2">
        <f>IF(OR(A2692="",B2692=""),"",B2692&amp;"|"&amp;A2692)</f>
        <v/>
      </c>
      <c r="N2692" s="2">
        <f>IF(M2692="","",SUMIFS(TF_Timer,TF_Nokkel,M2692,TF_Akt,C2692))</f>
        <v/>
      </c>
      <c r="O2692" s="2">
        <f>IF(M2692="","",IF(AND(N2692=_xlfn.MAXIFS(TF_AktSum,TF_Nokkel,M2692),COUNTIFS(M$3:M2691,M2692,N$3:N2691,N2692)=0),M2692,""))</f>
        <v/>
      </c>
    </row>
    <row r="2693">
      <c r="A2693" s="34" t="n"/>
      <c r="B2693" s="35" t="n"/>
      <c r="C2693" s="35" t="n"/>
      <c r="D2693" s="35" t="n"/>
      <c r="E2693" s="35" t="n"/>
      <c r="F2693" s="36" t="n"/>
      <c r="G2693" s="35" t="n"/>
      <c r="H2693" s="30">
        <f>IF(L2693="","",INDEX(SkiftNavn,L2693))</f>
        <v/>
      </c>
      <c r="I2693" s="30">
        <f>IF(OR(A2693="",L2693=""),"",IF(MOD(A2693-INDEX(SkiftStart,L2693),Syklus)&lt;DagK,"Kveld",IF(MOD(A2693-INDEX(SkiftStart,L2693),Syklus)&lt;DagK+DagH,"Helg",IF(MOD(A2693-INDEX(SkiftStart,L2693),Syklus)&lt;DagK+DagH+DagD,"Dag","Fri"))))</f>
        <v/>
      </c>
      <c r="J2693" s="30">
        <f>IF(I2693="Fri","Ja","")</f>
        <v/>
      </c>
      <c r="K2693" s="30">
        <f>IF(B2693="","",IF(L2693="","Ukjent tekniker",IF(ISNA(MATCH(C2693,Aktiviteter,0)),"Ukjent aktivitet",IF(AND(INDEX(AktRolle,MATCH(C2693,Aktiviteter,0))&amp;""&lt;&gt;"",ISERROR(SEARCH(INDEX(AktRolle,MATCH(C2693,Aktiviteter,0))&amp;"",INDEX(TekRoller,MATCH(B2693,Teknikere,0))))),"Mangler rollen "&amp;INDEX(AktRolle,MATCH(C2693,Aktiviteter,0))&amp;"",IF(AND(C2693="LMS",F2693&gt;0,OR(D2693="",E2693="")),"Mangler maskin eller arbeid",IF(AND(OR(C2693="LMS",C2693="Mod"),D2693&lt;&gt;""),IF(IFERROR(INDEX(MaskinStatus,MATCH(D2693,Maskiner,0)),"")="I dokk","","Maskinen er ikke i dokk"),""))))))</f>
        <v/>
      </c>
      <c r="L2693" s="2">
        <f>IF(B2693="","",IFERROR(INT((MATCH(B2693,Teknikere,0)-1)/18)+1,""))</f>
        <v/>
      </c>
      <c r="M2693" s="2">
        <f>IF(OR(A2693="",B2693=""),"",B2693&amp;"|"&amp;A2693)</f>
        <v/>
      </c>
      <c r="N2693" s="2">
        <f>IF(M2693="","",SUMIFS(TF_Timer,TF_Nokkel,M2693,TF_Akt,C2693))</f>
        <v/>
      </c>
      <c r="O2693" s="2">
        <f>IF(M2693="","",IF(AND(N2693=_xlfn.MAXIFS(TF_AktSum,TF_Nokkel,M2693),COUNTIFS(M$3:M2692,M2693,N$3:N2692,N2693)=0),M2693,""))</f>
        <v/>
      </c>
    </row>
    <row r="2694">
      <c r="A2694" s="34" t="n"/>
      <c r="B2694" s="35" t="n"/>
      <c r="C2694" s="35" t="n"/>
      <c r="D2694" s="35" t="n"/>
      <c r="E2694" s="35" t="n"/>
      <c r="F2694" s="36" t="n"/>
      <c r="G2694" s="35" t="n"/>
      <c r="H2694" s="30">
        <f>IF(L2694="","",INDEX(SkiftNavn,L2694))</f>
        <v/>
      </c>
      <c r="I2694" s="30">
        <f>IF(OR(A2694="",L2694=""),"",IF(MOD(A2694-INDEX(SkiftStart,L2694),Syklus)&lt;DagK,"Kveld",IF(MOD(A2694-INDEX(SkiftStart,L2694),Syklus)&lt;DagK+DagH,"Helg",IF(MOD(A2694-INDEX(SkiftStart,L2694),Syklus)&lt;DagK+DagH+DagD,"Dag","Fri"))))</f>
        <v/>
      </c>
      <c r="J2694" s="30">
        <f>IF(I2694="Fri","Ja","")</f>
        <v/>
      </c>
      <c r="K2694" s="30">
        <f>IF(B2694="","",IF(L2694="","Ukjent tekniker",IF(ISNA(MATCH(C2694,Aktiviteter,0)),"Ukjent aktivitet",IF(AND(INDEX(AktRolle,MATCH(C2694,Aktiviteter,0))&amp;""&lt;&gt;"",ISERROR(SEARCH(INDEX(AktRolle,MATCH(C2694,Aktiviteter,0))&amp;"",INDEX(TekRoller,MATCH(B2694,Teknikere,0))))),"Mangler rollen "&amp;INDEX(AktRolle,MATCH(C2694,Aktiviteter,0))&amp;"",IF(AND(C2694="LMS",F2694&gt;0,OR(D2694="",E2694="")),"Mangler maskin eller arbeid",IF(AND(OR(C2694="LMS",C2694="Mod"),D2694&lt;&gt;""),IF(IFERROR(INDEX(MaskinStatus,MATCH(D2694,Maskiner,0)),"")="I dokk","","Maskinen er ikke i dokk"),""))))))</f>
        <v/>
      </c>
      <c r="L2694" s="2">
        <f>IF(B2694="","",IFERROR(INT((MATCH(B2694,Teknikere,0)-1)/18)+1,""))</f>
        <v/>
      </c>
      <c r="M2694" s="2">
        <f>IF(OR(A2694="",B2694=""),"",B2694&amp;"|"&amp;A2694)</f>
        <v/>
      </c>
      <c r="N2694" s="2">
        <f>IF(M2694="","",SUMIFS(TF_Timer,TF_Nokkel,M2694,TF_Akt,C2694))</f>
        <v/>
      </c>
      <c r="O2694" s="2">
        <f>IF(M2694="","",IF(AND(N2694=_xlfn.MAXIFS(TF_AktSum,TF_Nokkel,M2694),COUNTIFS(M$3:M2693,M2694,N$3:N2693,N2694)=0),M2694,""))</f>
        <v/>
      </c>
    </row>
    <row r="2695">
      <c r="A2695" s="34" t="n"/>
      <c r="B2695" s="35" t="n"/>
      <c r="C2695" s="35" t="n"/>
      <c r="D2695" s="35" t="n"/>
      <c r="E2695" s="35" t="n"/>
      <c r="F2695" s="36" t="n"/>
      <c r="G2695" s="35" t="n"/>
      <c r="H2695" s="30">
        <f>IF(L2695="","",INDEX(SkiftNavn,L2695))</f>
        <v/>
      </c>
      <c r="I2695" s="30">
        <f>IF(OR(A2695="",L2695=""),"",IF(MOD(A2695-INDEX(SkiftStart,L2695),Syklus)&lt;DagK,"Kveld",IF(MOD(A2695-INDEX(SkiftStart,L2695),Syklus)&lt;DagK+DagH,"Helg",IF(MOD(A2695-INDEX(SkiftStart,L2695),Syklus)&lt;DagK+DagH+DagD,"Dag","Fri"))))</f>
        <v/>
      </c>
      <c r="J2695" s="30">
        <f>IF(I2695="Fri","Ja","")</f>
        <v/>
      </c>
      <c r="K2695" s="30">
        <f>IF(B2695="","",IF(L2695="","Ukjent tekniker",IF(ISNA(MATCH(C2695,Aktiviteter,0)),"Ukjent aktivitet",IF(AND(INDEX(AktRolle,MATCH(C2695,Aktiviteter,0))&amp;""&lt;&gt;"",ISERROR(SEARCH(INDEX(AktRolle,MATCH(C2695,Aktiviteter,0))&amp;"",INDEX(TekRoller,MATCH(B2695,Teknikere,0))))),"Mangler rollen "&amp;INDEX(AktRolle,MATCH(C2695,Aktiviteter,0))&amp;"",IF(AND(C2695="LMS",F2695&gt;0,OR(D2695="",E2695="")),"Mangler maskin eller arbeid",IF(AND(OR(C2695="LMS",C2695="Mod"),D2695&lt;&gt;""),IF(IFERROR(INDEX(MaskinStatus,MATCH(D2695,Maskiner,0)),"")="I dokk","","Maskinen er ikke i dokk"),""))))))</f>
        <v/>
      </c>
      <c r="L2695" s="2">
        <f>IF(B2695="","",IFERROR(INT((MATCH(B2695,Teknikere,0)-1)/18)+1,""))</f>
        <v/>
      </c>
      <c r="M2695" s="2">
        <f>IF(OR(A2695="",B2695=""),"",B2695&amp;"|"&amp;A2695)</f>
        <v/>
      </c>
      <c r="N2695" s="2">
        <f>IF(M2695="","",SUMIFS(TF_Timer,TF_Nokkel,M2695,TF_Akt,C2695))</f>
        <v/>
      </c>
      <c r="O2695" s="2">
        <f>IF(M2695="","",IF(AND(N2695=_xlfn.MAXIFS(TF_AktSum,TF_Nokkel,M2695),COUNTIFS(M$3:M2694,M2695,N$3:N2694,N2695)=0),M2695,""))</f>
        <v/>
      </c>
    </row>
    <row r="2696">
      <c r="A2696" s="34" t="n"/>
      <c r="B2696" s="35" t="n"/>
      <c r="C2696" s="35" t="n"/>
      <c r="D2696" s="35" t="n"/>
      <c r="E2696" s="35" t="n"/>
      <c r="F2696" s="36" t="n"/>
      <c r="G2696" s="35" t="n"/>
      <c r="H2696" s="30">
        <f>IF(L2696="","",INDEX(SkiftNavn,L2696))</f>
        <v/>
      </c>
      <c r="I2696" s="30">
        <f>IF(OR(A2696="",L2696=""),"",IF(MOD(A2696-INDEX(SkiftStart,L2696),Syklus)&lt;DagK,"Kveld",IF(MOD(A2696-INDEX(SkiftStart,L2696),Syklus)&lt;DagK+DagH,"Helg",IF(MOD(A2696-INDEX(SkiftStart,L2696),Syklus)&lt;DagK+DagH+DagD,"Dag","Fri"))))</f>
        <v/>
      </c>
      <c r="J2696" s="30">
        <f>IF(I2696="Fri","Ja","")</f>
        <v/>
      </c>
      <c r="K2696" s="30">
        <f>IF(B2696="","",IF(L2696="","Ukjent tekniker",IF(ISNA(MATCH(C2696,Aktiviteter,0)),"Ukjent aktivitet",IF(AND(INDEX(AktRolle,MATCH(C2696,Aktiviteter,0))&amp;""&lt;&gt;"",ISERROR(SEARCH(INDEX(AktRolle,MATCH(C2696,Aktiviteter,0))&amp;"",INDEX(TekRoller,MATCH(B2696,Teknikere,0))))),"Mangler rollen "&amp;INDEX(AktRolle,MATCH(C2696,Aktiviteter,0))&amp;"",IF(AND(C2696="LMS",F2696&gt;0,OR(D2696="",E2696="")),"Mangler maskin eller arbeid",IF(AND(OR(C2696="LMS",C2696="Mod"),D2696&lt;&gt;""),IF(IFERROR(INDEX(MaskinStatus,MATCH(D2696,Maskiner,0)),"")="I dokk","","Maskinen er ikke i dokk"),""))))))</f>
        <v/>
      </c>
      <c r="L2696" s="2">
        <f>IF(B2696="","",IFERROR(INT((MATCH(B2696,Teknikere,0)-1)/18)+1,""))</f>
        <v/>
      </c>
      <c r="M2696" s="2">
        <f>IF(OR(A2696="",B2696=""),"",B2696&amp;"|"&amp;A2696)</f>
        <v/>
      </c>
      <c r="N2696" s="2">
        <f>IF(M2696="","",SUMIFS(TF_Timer,TF_Nokkel,M2696,TF_Akt,C2696))</f>
        <v/>
      </c>
      <c r="O2696" s="2">
        <f>IF(M2696="","",IF(AND(N2696=_xlfn.MAXIFS(TF_AktSum,TF_Nokkel,M2696),COUNTIFS(M$3:M2695,M2696,N$3:N2695,N2696)=0),M2696,""))</f>
        <v/>
      </c>
    </row>
    <row r="2697">
      <c r="A2697" s="34" t="n"/>
      <c r="B2697" s="35" t="n"/>
      <c r="C2697" s="35" t="n"/>
      <c r="D2697" s="35" t="n"/>
      <c r="E2697" s="35" t="n"/>
      <c r="F2697" s="36" t="n"/>
      <c r="G2697" s="35" t="n"/>
      <c r="H2697" s="30">
        <f>IF(L2697="","",INDEX(SkiftNavn,L2697))</f>
        <v/>
      </c>
      <c r="I2697" s="30">
        <f>IF(OR(A2697="",L2697=""),"",IF(MOD(A2697-INDEX(SkiftStart,L2697),Syklus)&lt;DagK,"Kveld",IF(MOD(A2697-INDEX(SkiftStart,L2697),Syklus)&lt;DagK+DagH,"Helg",IF(MOD(A2697-INDEX(SkiftStart,L2697),Syklus)&lt;DagK+DagH+DagD,"Dag","Fri"))))</f>
        <v/>
      </c>
      <c r="J2697" s="30">
        <f>IF(I2697="Fri","Ja","")</f>
        <v/>
      </c>
      <c r="K2697" s="30">
        <f>IF(B2697="","",IF(L2697="","Ukjent tekniker",IF(ISNA(MATCH(C2697,Aktiviteter,0)),"Ukjent aktivitet",IF(AND(INDEX(AktRolle,MATCH(C2697,Aktiviteter,0))&amp;""&lt;&gt;"",ISERROR(SEARCH(INDEX(AktRolle,MATCH(C2697,Aktiviteter,0))&amp;"",INDEX(TekRoller,MATCH(B2697,Teknikere,0))))),"Mangler rollen "&amp;INDEX(AktRolle,MATCH(C2697,Aktiviteter,0))&amp;"",IF(AND(C2697="LMS",F2697&gt;0,OR(D2697="",E2697="")),"Mangler maskin eller arbeid",IF(AND(OR(C2697="LMS",C2697="Mod"),D2697&lt;&gt;""),IF(IFERROR(INDEX(MaskinStatus,MATCH(D2697,Maskiner,0)),"")="I dokk","","Maskinen er ikke i dokk"),""))))))</f>
        <v/>
      </c>
      <c r="L2697" s="2">
        <f>IF(B2697="","",IFERROR(INT((MATCH(B2697,Teknikere,0)-1)/18)+1,""))</f>
        <v/>
      </c>
      <c r="M2697" s="2">
        <f>IF(OR(A2697="",B2697=""),"",B2697&amp;"|"&amp;A2697)</f>
        <v/>
      </c>
      <c r="N2697" s="2">
        <f>IF(M2697="","",SUMIFS(TF_Timer,TF_Nokkel,M2697,TF_Akt,C2697))</f>
        <v/>
      </c>
      <c r="O2697" s="2">
        <f>IF(M2697="","",IF(AND(N2697=_xlfn.MAXIFS(TF_AktSum,TF_Nokkel,M2697),COUNTIFS(M$3:M2696,M2697,N$3:N2696,N2697)=0),M2697,""))</f>
        <v/>
      </c>
    </row>
    <row r="2698">
      <c r="A2698" s="34" t="n"/>
      <c r="B2698" s="35" t="n"/>
      <c r="C2698" s="35" t="n"/>
      <c r="D2698" s="35" t="n"/>
      <c r="E2698" s="35" t="n"/>
      <c r="F2698" s="36" t="n"/>
      <c r="G2698" s="35" t="n"/>
      <c r="H2698" s="30">
        <f>IF(L2698="","",INDEX(SkiftNavn,L2698))</f>
        <v/>
      </c>
      <c r="I2698" s="30">
        <f>IF(OR(A2698="",L2698=""),"",IF(MOD(A2698-INDEX(SkiftStart,L2698),Syklus)&lt;DagK,"Kveld",IF(MOD(A2698-INDEX(SkiftStart,L2698),Syklus)&lt;DagK+DagH,"Helg",IF(MOD(A2698-INDEX(SkiftStart,L2698),Syklus)&lt;DagK+DagH+DagD,"Dag","Fri"))))</f>
        <v/>
      </c>
      <c r="J2698" s="30">
        <f>IF(I2698="Fri","Ja","")</f>
        <v/>
      </c>
      <c r="K2698" s="30">
        <f>IF(B2698="","",IF(L2698="","Ukjent tekniker",IF(ISNA(MATCH(C2698,Aktiviteter,0)),"Ukjent aktivitet",IF(AND(INDEX(AktRolle,MATCH(C2698,Aktiviteter,0))&amp;""&lt;&gt;"",ISERROR(SEARCH(INDEX(AktRolle,MATCH(C2698,Aktiviteter,0))&amp;"",INDEX(TekRoller,MATCH(B2698,Teknikere,0))))),"Mangler rollen "&amp;INDEX(AktRolle,MATCH(C2698,Aktiviteter,0))&amp;"",IF(AND(C2698="LMS",F2698&gt;0,OR(D2698="",E2698="")),"Mangler maskin eller arbeid",IF(AND(OR(C2698="LMS",C2698="Mod"),D2698&lt;&gt;""),IF(IFERROR(INDEX(MaskinStatus,MATCH(D2698,Maskiner,0)),"")="I dokk","","Maskinen er ikke i dokk"),""))))))</f>
        <v/>
      </c>
      <c r="L2698" s="2">
        <f>IF(B2698="","",IFERROR(INT((MATCH(B2698,Teknikere,0)-1)/18)+1,""))</f>
        <v/>
      </c>
      <c r="M2698" s="2">
        <f>IF(OR(A2698="",B2698=""),"",B2698&amp;"|"&amp;A2698)</f>
        <v/>
      </c>
      <c r="N2698" s="2">
        <f>IF(M2698="","",SUMIFS(TF_Timer,TF_Nokkel,M2698,TF_Akt,C2698))</f>
        <v/>
      </c>
      <c r="O2698" s="2">
        <f>IF(M2698="","",IF(AND(N2698=_xlfn.MAXIFS(TF_AktSum,TF_Nokkel,M2698),COUNTIFS(M$3:M2697,M2698,N$3:N2697,N2698)=0),M2698,""))</f>
        <v/>
      </c>
    </row>
    <row r="2699">
      <c r="A2699" s="34" t="n"/>
      <c r="B2699" s="35" t="n"/>
      <c r="C2699" s="35" t="n"/>
      <c r="D2699" s="35" t="n"/>
      <c r="E2699" s="35" t="n"/>
      <c r="F2699" s="36" t="n"/>
      <c r="G2699" s="35" t="n"/>
      <c r="H2699" s="30">
        <f>IF(L2699="","",INDEX(SkiftNavn,L2699))</f>
        <v/>
      </c>
      <c r="I2699" s="30">
        <f>IF(OR(A2699="",L2699=""),"",IF(MOD(A2699-INDEX(SkiftStart,L2699),Syklus)&lt;DagK,"Kveld",IF(MOD(A2699-INDEX(SkiftStart,L2699),Syklus)&lt;DagK+DagH,"Helg",IF(MOD(A2699-INDEX(SkiftStart,L2699),Syklus)&lt;DagK+DagH+DagD,"Dag","Fri"))))</f>
        <v/>
      </c>
      <c r="J2699" s="30">
        <f>IF(I2699="Fri","Ja","")</f>
        <v/>
      </c>
      <c r="K2699" s="30">
        <f>IF(B2699="","",IF(L2699="","Ukjent tekniker",IF(ISNA(MATCH(C2699,Aktiviteter,0)),"Ukjent aktivitet",IF(AND(INDEX(AktRolle,MATCH(C2699,Aktiviteter,0))&amp;""&lt;&gt;"",ISERROR(SEARCH(INDEX(AktRolle,MATCH(C2699,Aktiviteter,0))&amp;"",INDEX(TekRoller,MATCH(B2699,Teknikere,0))))),"Mangler rollen "&amp;INDEX(AktRolle,MATCH(C2699,Aktiviteter,0))&amp;"",IF(AND(C2699="LMS",F2699&gt;0,OR(D2699="",E2699="")),"Mangler maskin eller arbeid",IF(AND(OR(C2699="LMS",C2699="Mod"),D2699&lt;&gt;""),IF(IFERROR(INDEX(MaskinStatus,MATCH(D2699,Maskiner,0)),"")="I dokk","","Maskinen er ikke i dokk"),""))))))</f>
        <v/>
      </c>
      <c r="L2699" s="2">
        <f>IF(B2699="","",IFERROR(INT((MATCH(B2699,Teknikere,0)-1)/18)+1,""))</f>
        <v/>
      </c>
      <c r="M2699" s="2">
        <f>IF(OR(A2699="",B2699=""),"",B2699&amp;"|"&amp;A2699)</f>
        <v/>
      </c>
      <c r="N2699" s="2">
        <f>IF(M2699="","",SUMIFS(TF_Timer,TF_Nokkel,M2699,TF_Akt,C2699))</f>
        <v/>
      </c>
      <c r="O2699" s="2">
        <f>IF(M2699="","",IF(AND(N2699=_xlfn.MAXIFS(TF_AktSum,TF_Nokkel,M2699),COUNTIFS(M$3:M2698,M2699,N$3:N2698,N2699)=0),M2699,""))</f>
        <v/>
      </c>
    </row>
    <row r="2700">
      <c r="A2700" s="34" t="n"/>
      <c r="B2700" s="35" t="n"/>
      <c r="C2700" s="35" t="n"/>
      <c r="D2700" s="35" t="n"/>
      <c r="E2700" s="35" t="n"/>
      <c r="F2700" s="36" t="n"/>
      <c r="G2700" s="35" t="n"/>
      <c r="H2700" s="30">
        <f>IF(L2700="","",INDEX(SkiftNavn,L2700))</f>
        <v/>
      </c>
      <c r="I2700" s="30">
        <f>IF(OR(A2700="",L2700=""),"",IF(MOD(A2700-INDEX(SkiftStart,L2700),Syklus)&lt;DagK,"Kveld",IF(MOD(A2700-INDEX(SkiftStart,L2700),Syklus)&lt;DagK+DagH,"Helg",IF(MOD(A2700-INDEX(SkiftStart,L2700),Syklus)&lt;DagK+DagH+DagD,"Dag","Fri"))))</f>
        <v/>
      </c>
      <c r="J2700" s="30">
        <f>IF(I2700="Fri","Ja","")</f>
        <v/>
      </c>
      <c r="K2700" s="30">
        <f>IF(B2700="","",IF(L2700="","Ukjent tekniker",IF(ISNA(MATCH(C2700,Aktiviteter,0)),"Ukjent aktivitet",IF(AND(INDEX(AktRolle,MATCH(C2700,Aktiviteter,0))&amp;""&lt;&gt;"",ISERROR(SEARCH(INDEX(AktRolle,MATCH(C2700,Aktiviteter,0))&amp;"",INDEX(TekRoller,MATCH(B2700,Teknikere,0))))),"Mangler rollen "&amp;INDEX(AktRolle,MATCH(C2700,Aktiviteter,0))&amp;"",IF(AND(C2700="LMS",F2700&gt;0,OR(D2700="",E2700="")),"Mangler maskin eller arbeid",IF(AND(OR(C2700="LMS",C2700="Mod"),D2700&lt;&gt;""),IF(IFERROR(INDEX(MaskinStatus,MATCH(D2700,Maskiner,0)),"")="I dokk","","Maskinen er ikke i dokk"),""))))))</f>
        <v/>
      </c>
      <c r="L2700" s="2">
        <f>IF(B2700="","",IFERROR(INT((MATCH(B2700,Teknikere,0)-1)/18)+1,""))</f>
        <v/>
      </c>
      <c r="M2700" s="2">
        <f>IF(OR(A2700="",B2700=""),"",B2700&amp;"|"&amp;A2700)</f>
        <v/>
      </c>
      <c r="N2700" s="2">
        <f>IF(M2700="","",SUMIFS(TF_Timer,TF_Nokkel,M2700,TF_Akt,C2700))</f>
        <v/>
      </c>
      <c r="O2700" s="2">
        <f>IF(M2700="","",IF(AND(N2700=_xlfn.MAXIFS(TF_AktSum,TF_Nokkel,M2700),COUNTIFS(M$3:M2699,M2700,N$3:N2699,N2700)=0),M2700,""))</f>
        <v/>
      </c>
    </row>
    <row r="2701">
      <c r="A2701" s="34" t="n"/>
      <c r="B2701" s="35" t="n"/>
      <c r="C2701" s="35" t="n"/>
      <c r="D2701" s="35" t="n"/>
      <c r="E2701" s="35" t="n"/>
      <c r="F2701" s="36" t="n"/>
      <c r="G2701" s="35" t="n"/>
      <c r="H2701" s="30">
        <f>IF(L2701="","",INDEX(SkiftNavn,L2701))</f>
        <v/>
      </c>
      <c r="I2701" s="30">
        <f>IF(OR(A2701="",L2701=""),"",IF(MOD(A2701-INDEX(SkiftStart,L2701),Syklus)&lt;DagK,"Kveld",IF(MOD(A2701-INDEX(SkiftStart,L2701),Syklus)&lt;DagK+DagH,"Helg",IF(MOD(A2701-INDEX(SkiftStart,L2701),Syklus)&lt;DagK+DagH+DagD,"Dag","Fri"))))</f>
        <v/>
      </c>
      <c r="J2701" s="30">
        <f>IF(I2701="Fri","Ja","")</f>
        <v/>
      </c>
      <c r="K2701" s="30">
        <f>IF(B2701="","",IF(L2701="","Ukjent tekniker",IF(ISNA(MATCH(C2701,Aktiviteter,0)),"Ukjent aktivitet",IF(AND(INDEX(AktRolle,MATCH(C2701,Aktiviteter,0))&amp;""&lt;&gt;"",ISERROR(SEARCH(INDEX(AktRolle,MATCH(C2701,Aktiviteter,0))&amp;"",INDEX(TekRoller,MATCH(B2701,Teknikere,0))))),"Mangler rollen "&amp;INDEX(AktRolle,MATCH(C2701,Aktiviteter,0))&amp;"",IF(AND(C2701="LMS",F2701&gt;0,OR(D2701="",E2701="")),"Mangler maskin eller arbeid",IF(AND(OR(C2701="LMS",C2701="Mod"),D2701&lt;&gt;""),IF(IFERROR(INDEX(MaskinStatus,MATCH(D2701,Maskiner,0)),"")="I dokk","","Maskinen er ikke i dokk"),""))))))</f>
        <v/>
      </c>
      <c r="L2701" s="2">
        <f>IF(B2701="","",IFERROR(INT((MATCH(B2701,Teknikere,0)-1)/18)+1,""))</f>
        <v/>
      </c>
      <c r="M2701" s="2">
        <f>IF(OR(A2701="",B2701=""),"",B2701&amp;"|"&amp;A2701)</f>
        <v/>
      </c>
      <c r="N2701" s="2">
        <f>IF(M2701="","",SUMIFS(TF_Timer,TF_Nokkel,M2701,TF_Akt,C2701))</f>
        <v/>
      </c>
      <c r="O2701" s="2">
        <f>IF(M2701="","",IF(AND(N2701=_xlfn.MAXIFS(TF_AktSum,TF_Nokkel,M2701),COUNTIFS(M$3:M2700,M2701,N$3:N2700,N2701)=0),M2701,""))</f>
        <v/>
      </c>
    </row>
    <row r="2702">
      <c r="A2702" s="34" t="n"/>
      <c r="B2702" s="35" t="n"/>
      <c r="C2702" s="35" t="n"/>
      <c r="D2702" s="35" t="n"/>
      <c r="E2702" s="35" t="n"/>
      <c r="F2702" s="36" t="n"/>
      <c r="G2702" s="35" t="n"/>
      <c r="H2702" s="30">
        <f>IF(L2702="","",INDEX(SkiftNavn,L2702))</f>
        <v/>
      </c>
      <c r="I2702" s="30">
        <f>IF(OR(A2702="",L2702=""),"",IF(MOD(A2702-INDEX(SkiftStart,L2702),Syklus)&lt;DagK,"Kveld",IF(MOD(A2702-INDEX(SkiftStart,L2702),Syklus)&lt;DagK+DagH,"Helg",IF(MOD(A2702-INDEX(SkiftStart,L2702),Syklus)&lt;DagK+DagH+DagD,"Dag","Fri"))))</f>
        <v/>
      </c>
      <c r="J2702" s="30">
        <f>IF(I2702="Fri","Ja","")</f>
        <v/>
      </c>
      <c r="K2702" s="30">
        <f>IF(B2702="","",IF(L2702="","Ukjent tekniker",IF(ISNA(MATCH(C2702,Aktiviteter,0)),"Ukjent aktivitet",IF(AND(INDEX(AktRolle,MATCH(C2702,Aktiviteter,0))&amp;""&lt;&gt;"",ISERROR(SEARCH(INDEX(AktRolle,MATCH(C2702,Aktiviteter,0))&amp;"",INDEX(TekRoller,MATCH(B2702,Teknikere,0))))),"Mangler rollen "&amp;INDEX(AktRolle,MATCH(C2702,Aktiviteter,0))&amp;"",IF(AND(C2702="LMS",F2702&gt;0,OR(D2702="",E2702="")),"Mangler maskin eller arbeid",IF(AND(OR(C2702="LMS",C2702="Mod"),D2702&lt;&gt;""),IF(IFERROR(INDEX(MaskinStatus,MATCH(D2702,Maskiner,0)),"")="I dokk","","Maskinen er ikke i dokk"),""))))))</f>
        <v/>
      </c>
      <c r="L2702" s="2">
        <f>IF(B2702="","",IFERROR(INT((MATCH(B2702,Teknikere,0)-1)/18)+1,""))</f>
        <v/>
      </c>
      <c r="M2702" s="2">
        <f>IF(OR(A2702="",B2702=""),"",B2702&amp;"|"&amp;A2702)</f>
        <v/>
      </c>
      <c r="N2702" s="2">
        <f>IF(M2702="","",SUMIFS(TF_Timer,TF_Nokkel,M2702,TF_Akt,C2702))</f>
        <v/>
      </c>
      <c r="O2702" s="2">
        <f>IF(M2702="","",IF(AND(N2702=_xlfn.MAXIFS(TF_AktSum,TF_Nokkel,M2702),COUNTIFS(M$3:M2701,M2702,N$3:N2701,N2702)=0),M2702,""))</f>
        <v/>
      </c>
    </row>
    <row r="2703">
      <c r="A2703" s="34" t="n"/>
      <c r="B2703" s="35" t="n"/>
      <c r="C2703" s="35" t="n"/>
      <c r="D2703" s="35" t="n"/>
      <c r="E2703" s="35" t="n"/>
      <c r="F2703" s="36" t="n"/>
      <c r="G2703" s="35" t="n"/>
      <c r="H2703" s="30">
        <f>IF(L2703="","",INDEX(SkiftNavn,L2703))</f>
        <v/>
      </c>
      <c r="I2703" s="30">
        <f>IF(OR(A2703="",L2703=""),"",IF(MOD(A2703-INDEX(SkiftStart,L2703),Syklus)&lt;DagK,"Kveld",IF(MOD(A2703-INDEX(SkiftStart,L2703),Syklus)&lt;DagK+DagH,"Helg",IF(MOD(A2703-INDEX(SkiftStart,L2703),Syklus)&lt;DagK+DagH+DagD,"Dag","Fri"))))</f>
        <v/>
      </c>
      <c r="J2703" s="30">
        <f>IF(I2703="Fri","Ja","")</f>
        <v/>
      </c>
      <c r="K2703" s="30">
        <f>IF(B2703="","",IF(L2703="","Ukjent tekniker",IF(ISNA(MATCH(C2703,Aktiviteter,0)),"Ukjent aktivitet",IF(AND(INDEX(AktRolle,MATCH(C2703,Aktiviteter,0))&amp;""&lt;&gt;"",ISERROR(SEARCH(INDEX(AktRolle,MATCH(C2703,Aktiviteter,0))&amp;"",INDEX(TekRoller,MATCH(B2703,Teknikere,0))))),"Mangler rollen "&amp;INDEX(AktRolle,MATCH(C2703,Aktiviteter,0))&amp;"",IF(AND(C2703="LMS",F2703&gt;0,OR(D2703="",E2703="")),"Mangler maskin eller arbeid",IF(AND(OR(C2703="LMS",C2703="Mod"),D2703&lt;&gt;""),IF(IFERROR(INDEX(MaskinStatus,MATCH(D2703,Maskiner,0)),"")="I dokk","","Maskinen er ikke i dokk"),""))))))</f>
        <v/>
      </c>
      <c r="L2703" s="2">
        <f>IF(B2703="","",IFERROR(INT((MATCH(B2703,Teknikere,0)-1)/18)+1,""))</f>
        <v/>
      </c>
      <c r="M2703" s="2">
        <f>IF(OR(A2703="",B2703=""),"",B2703&amp;"|"&amp;A2703)</f>
        <v/>
      </c>
      <c r="N2703" s="2">
        <f>IF(M2703="","",SUMIFS(TF_Timer,TF_Nokkel,M2703,TF_Akt,C2703))</f>
        <v/>
      </c>
      <c r="O2703" s="2">
        <f>IF(M2703="","",IF(AND(N2703=_xlfn.MAXIFS(TF_AktSum,TF_Nokkel,M2703),COUNTIFS(M$3:M2702,M2703,N$3:N2702,N2703)=0),M2703,""))</f>
        <v/>
      </c>
    </row>
    <row r="2704">
      <c r="A2704" s="34" t="n"/>
      <c r="B2704" s="35" t="n"/>
      <c r="C2704" s="35" t="n"/>
      <c r="D2704" s="35" t="n"/>
      <c r="E2704" s="35" t="n"/>
      <c r="F2704" s="36" t="n"/>
      <c r="G2704" s="35" t="n"/>
      <c r="H2704" s="30">
        <f>IF(L2704="","",INDEX(SkiftNavn,L2704))</f>
        <v/>
      </c>
      <c r="I2704" s="30">
        <f>IF(OR(A2704="",L2704=""),"",IF(MOD(A2704-INDEX(SkiftStart,L2704),Syklus)&lt;DagK,"Kveld",IF(MOD(A2704-INDEX(SkiftStart,L2704),Syklus)&lt;DagK+DagH,"Helg",IF(MOD(A2704-INDEX(SkiftStart,L2704),Syklus)&lt;DagK+DagH+DagD,"Dag","Fri"))))</f>
        <v/>
      </c>
      <c r="J2704" s="30">
        <f>IF(I2704="Fri","Ja","")</f>
        <v/>
      </c>
      <c r="K2704" s="30">
        <f>IF(B2704="","",IF(L2704="","Ukjent tekniker",IF(ISNA(MATCH(C2704,Aktiviteter,0)),"Ukjent aktivitet",IF(AND(INDEX(AktRolle,MATCH(C2704,Aktiviteter,0))&amp;""&lt;&gt;"",ISERROR(SEARCH(INDEX(AktRolle,MATCH(C2704,Aktiviteter,0))&amp;"",INDEX(TekRoller,MATCH(B2704,Teknikere,0))))),"Mangler rollen "&amp;INDEX(AktRolle,MATCH(C2704,Aktiviteter,0))&amp;"",IF(AND(C2704="LMS",F2704&gt;0,OR(D2704="",E2704="")),"Mangler maskin eller arbeid",IF(AND(OR(C2704="LMS",C2704="Mod"),D2704&lt;&gt;""),IF(IFERROR(INDEX(MaskinStatus,MATCH(D2704,Maskiner,0)),"")="I dokk","","Maskinen er ikke i dokk"),""))))))</f>
        <v/>
      </c>
      <c r="L2704" s="2">
        <f>IF(B2704="","",IFERROR(INT((MATCH(B2704,Teknikere,0)-1)/18)+1,""))</f>
        <v/>
      </c>
      <c r="M2704" s="2">
        <f>IF(OR(A2704="",B2704=""),"",B2704&amp;"|"&amp;A2704)</f>
        <v/>
      </c>
      <c r="N2704" s="2">
        <f>IF(M2704="","",SUMIFS(TF_Timer,TF_Nokkel,M2704,TF_Akt,C2704))</f>
        <v/>
      </c>
      <c r="O2704" s="2">
        <f>IF(M2704="","",IF(AND(N2704=_xlfn.MAXIFS(TF_AktSum,TF_Nokkel,M2704),COUNTIFS(M$3:M2703,M2704,N$3:N2703,N2704)=0),M2704,""))</f>
        <v/>
      </c>
    </row>
    <row r="2705">
      <c r="A2705" s="34" t="n"/>
      <c r="B2705" s="35" t="n"/>
      <c r="C2705" s="35" t="n"/>
      <c r="D2705" s="35" t="n"/>
      <c r="E2705" s="35" t="n"/>
      <c r="F2705" s="36" t="n"/>
      <c r="G2705" s="35" t="n"/>
      <c r="H2705" s="30">
        <f>IF(L2705="","",INDEX(SkiftNavn,L2705))</f>
        <v/>
      </c>
      <c r="I2705" s="30">
        <f>IF(OR(A2705="",L2705=""),"",IF(MOD(A2705-INDEX(SkiftStart,L2705),Syklus)&lt;DagK,"Kveld",IF(MOD(A2705-INDEX(SkiftStart,L2705),Syklus)&lt;DagK+DagH,"Helg",IF(MOD(A2705-INDEX(SkiftStart,L2705),Syklus)&lt;DagK+DagH+DagD,"Dag","Fri"))))</f>
        <v/>
      </c>
      <c r="J2705" s="30">
        <f>IF(I2705="Fri","Ja","")</f>
        <v/>
      </c>
      <c r="K2705" s="30">
        <f>IF(B2705="","",IF(L2705="","Ukjent tekniker",IF(ISNA(MATCH(C2705,Aktiviteter,0)),"Ukjent aktivitet",IF(AND(INDEX(AktRolle,MATCH(C2705,Aktiviteter,0))&amp;""&lt;&gt;"",ISERROR(SEARCH(INDEX(AktRolle,MATCH(C2705,Aktiviteter,0))&amp;"",INDEX(TekRoller,MATCH(B2705,Teknikere,0))))),"Mangler rollen "&amp;INDEX(AktRolle,MATCH(C2705,Aktiviteter,0))&amp;"",IF(AND(C2705="LMS",F2705&gt;0,OR(D2705="",E2705="")),"Mangler maskin eller arbeid",IF(AND(OR(C2705="LMS",C2705="Mod"),D2705&lt;&gt;""),IF(IFERROR(INDEX(MaskinStatus,MATCH(D2705,Maskiner,0)),"")="I dokk","","Maskinen er ikke i dokk"),""))))))</f>
        <v/>
      </c>
      <c r="L2705" s="2">
        <f>IF(B2705="","",IFERROR(INT((MATCH(B2705,Teknikere,0)-1)/18)+1,""))</f>
        <v/>
      </c>
      <c r="M2705" s="2">
        <f>IF(OR(A2705="",B2705=""),"",B2705&amp;"|"&amp;A2705)</f>
        <v/>
      </c>
      <c r="N2705" s="2">
        <f>IF(M2705="","",SUMIFS(TF_Timer,TF_Nokkel,M2705,TF_Akt,C2705))</f>
        <v/>
      </c>
      <c r="O2705" s="2">
        <f>IF(M2705="","",IF(AND(N2705=_xlfn.MAXIFS(TF_AktSum,TF_Nokkel,M2705),COUNTIFS(M$3:M2704,M2705,N$3:N2704,N2705)=0),M2705,""))</f>
        <v/>
      </c>
    </row>
    <row r="2706">
      <c r="A2706" s="34" t="n"/>
      <c r="B2706" s="35" t="n"/>
      <c r="C2706" s="35" t="n"/>
      <c r="D2706" s="35" t="n"/>
      <c r="E2706" s="35" t="n"/>
      <c r="F2706" s="36" t="n"/>
      <c r="G2706" s="35" t="n"/>
      <c r="H2706" s="30">
        <f>IF(L2706="","",INDEX(SkiftNavn,L2706))</f>
        <v/>
      </c>
      <c r="I2706" s="30">
        <f>IF(OR(A2706="",L2706=""),"",IF(MOD(A2706-INDEX(SkiftStart,L2706),Syklus)&lt;DagK,"Kveld",IF(MOD(A2706-INDEX(SkiftStart,L2706),Syklus)&lt;DagK+DagH,"Helg",IF(MOD(A2706-INDEX(SkiftStart,L2706),Syklus)&lt;DagK+DagH+DagD,"Dag","Fri"))))</f>
        <v/>
      </c>
      <c r="J2706" s="30">
        <f>IF(I2706="Fri","Ja","")</f>
        <v/>
      </c>
      <c r="K2706" s="30">
        <f>IF(B2706="","",IF(L2706="","Ukjent tekniker",IF(ISNA(MATCH(C2706,Aktiviteter,0)),"Ukjent aktivitet",IF(AND(INDEX(AktRolle,MATCH(C2706,Aktiviteter,0))&amp;""&lt;&gt;"",ISERROR(SEARCH(INDEX(AktRolle,MATCH(C2706,Aktiviteter,0))&amp;"",INDEX(TekRoller,MATCH(B2706,Teknikere,0))))),"Mangler rollen "&amp;INDEX(AktRolle,MATCH(C2706,Aktiviteter,0))&amp;"",IF(AND(C2706="LMS",F2706&gt;0,OR(D2706="",E2706="")),"Mangler maskin eller arbeid",IF(AND(OR(C2706="LMS",C2706="Mod"),D2706&lt;&gt;""),IF(IFERROR(INDEX(MaskinStatus,MATCH(D2706,Maskiner,0)),"")="I dokk","","Maskinen er ikke i dokk"),""))))))</f>
        <v/>
      </c>
      <c r="L2706" s="2">
        <f>IF(B2706="","",IFERROR(INT((MATCH(B2706,Teknikere,0)-1)/18)+1,""))</f>
        <v/>
      </c>
      <c r="M2706" s="2">
        <f>IF(OR(A2706="",B2706=""),"",B2706&amp;"|"&amp;A2706)</f>
        <v/>
      </c>
      <c r="N2706" s="2">
        <f>IF(M2706="","",SUMIFS(TF_Timer,TF_Nokkel,M2706,TF_Akt,C2706))</f>
        <v/>
      </c>
      <c r="O2706" s="2">
        <f>IF(M2706="","",IF(AND(N2706=_xlfn.MAXIFS(TF_AktSum,TF_Nokkel,M2706),COUNTIFS(M$3:M2705,M2706,N$3:N2705,N2706)=0),M2706,""))</f>
        <v/>
      </c>
    </row>
    <row r="2707">
      <c r="A2707" s="34" t="n"/>
      <c r="B2707" s="35" t="n"/>
      <c r="C2707" s="35" t="n"/>
      <c r="D2707" s="35" t="n"/>
      <c r="E2707" s="35" t="n"/>
      <c r="F2707" s="36" t="n"/>
      <c r="G2707" s="35" t="n"/>
      <c r="H2707" s="30">
        <f>IF(L2707="","",INDEX(SkiftNavn,L2707))</f>
        <v/>
      </c>
      <c r="I2707" s="30">
        <f>IF(OR(A2707="",L2707=""),"",IF(MOD(A2707-INDEX(SkiftStart,L2707),Syklus)&lt;DagK,"Kveld",IF(MOD(A2707-INDEX(SkiftStart,L2707),Syklus)&lt;DagK+DagH,"Helg",IF(MOD(A2707-INDEX(SkiftStart,L2707),Syklus)&lt;DagK+DagH+DagD,"Dag","Fri"))))</f>
        <v/>
      </c>
      <c r="J2707" s="30">
        <f>IF(I2707="Fri","Ja","")</f>
        <v/>
      </c>
      <c r="K2707" s="30">
        <f>IF(B2707="","",IF(L2707="","Ukjent tekniker",IF(ISNA(MATCH(C2707,Aktiviteter,0)),"Ukjent aktivitet",IF(AND(INDEX(AktRolle,MATCH(C2707,Aktiviteter,0))&amp;""&lt;&gt;"",ISERROR(SEARCH(INDEX(AktRolle,MATCH(C2707,Aktiviteter,0))&amp;"",INDEX(TekRoller,MATCH(B2707,Teknikere,0))))),"Mangler rollen "&amp;INDEX(AktRolle,MATCH(C2707,Aktiviteter,0))&amp;"",IF(AND(C2707="LMS",F2707&gt;0,OR(D2707="",E2707="")),"Mangler maskin eller arbeid",IF(AND(OR(C2707="LMS",C2707="Mod"),D2707&lt;&gt;""),IF(IFERROR(INDEX(MaskinStatus,MATCH(D2707,Maskiner,0)),"")="I dokk","","Maskinen er ikke i dokk"),""))))))</f>
        <v/>
      </c>
      <c r="L2707" s="2">
        <f>IF(B2707="","",IFERROR(INT((MATCH(B2707,Teknikere,0)-1)/18)+1,""))</f>
        <v/>
      </c>
      <c r="M2707" s="2">
        <f>IF(OR(A2707="",B2707=""),"",B2707&amp;"|"&amp;A2707)</f>
        <v/>
      </c>
      <c r="N2707" s="2">
        <f>IF(M2707="","",SUMIFS(TF_Timer,TF_Nokkel,M2707,TF_Akt,C2707))</f>
        <v/>
      </c>
      <c r="O2707" s="2">
        <f>IF(M2707="","",IF(AND(N2707=_xlfn.MAXIFS(TF_AktSum,TF_Nokkel,M2707),COUNTIFS(M$3:M2706,M2707,N$3:N2706,N2707)=0),M2707,""))</f>
        <v/>
      </c>
    </row>
    <row r="2708">
      <c r="A2708" s="34" t="n"/>
      <c r="B2708" s="35" t="n"/>
      <c r="C2708" s="35" t="n"/>
      <c r="D2708" s="35" t="n"/>
      <c r="E2708" s="35" t="n"/>
      <c r="F2708" s="36" t="n"/>
      <c r="G2708" s="35" t="n"/>
      <c r="H2708" s="30">
        <f>IF(L2708="","",INDEX(SkiftNavn,L2708))</f>
        <v/>
      </c>
      <c r="I2708" s="30">
        <f>IF(OR(A2708="",L2708=""),"",IF(MOD(A2708-INDEX(SkiftStart,L2708),Syklus)&lt;DagK,"Kveld",IF(MOD(A2708-INDEX(SkiftStart,L2708),Syklus)&lt;DagK+DagH,"Helg",IF(MOD(A2708-INDEX(SkiftStart,L2708),Syklus)&lt;DagK+DagH+DagD,"Dag","Fri"))))</f>
        <v/>
      </c>
      <c r="J2708" s="30">
        <f>IF(I2708="Fri","Ja","")</f>
        <v/>
      </c>
      <c r="K2708" s="30">
        <f>IF(B2708="","",IF(L2708="","Ukjent tekniker",IF(ISNA(MATCH(C2708,Aktiviteter,0)),"Ukjent aktivitet",IF(AND(INDEX(AktRolle,MATCH(C2708,Aktiviteter,0))&amp;""&lt;&gt;"",ISERROR(SEARCH(INDEX(AktRolle,MATCH(C2708,Aktiviteter,0))&amp;"",INDEX(TekRoller,MATCH(B2708,Teknikere,0))))),"Mangler rollen "&amp;INDEX(AktRolle,MATCH(C2708,Aktiviteter,0))&amp;"",IF(AND(C2708="LMS",F2708&gt;0,OR(D2708="",E2708="")),"Mangler maskin eller arbeid",IF(AND(OR(C2708="LMS",C2708="Mod"),D2708&lt;&gt;""),IF(IFERROR(INDEX(MaskinStatus,MATCH(D2708,Maskiner,0)),"")="I dokk","","Maskinen er ikke i dokk"),""))))))</f>
        <v/>
      </c>
      <c r="L2708" s="2">
        <f>IF(B2708="","",IFERROR(INT((MATCH(B2708,Teknikere,0)-1)/18)+1,""))</f>
        <v/>
      </c>
      <c r="M2708" s="2">
        <f>IF(OR(A2708="",B2708=""),"",B2708&amp;"|"&amp;A2708)</f>
        <v/>
      </c>
      <c r="N2708" s="2">
        <f>IF(M2708="","",SUMIFS(TF_Timer,TF_Nokkel,M2708,TF_Akt,C2708))</f>
        <v/>
      </c>
      <c r="O2708" s="2">
        <f>IF(M2708="","",IF(AND(N2708=_xlfn.MAXIFS(TF_AktSum,TF_Nokkel,M2708),COUNTIFS(M$3:M2707,M2708,N$3:N2707,N2708)=0),M2708,""))</f>
        <v/>
      </c>
    </row>
    <row r="2709">
      <c r="A2709" s="34" t="n"/>
      <c r="B2709" s="35" t="n"/>
      <c r="C2709" s="35" t="n"/>
      <c r="D2709" s="35" t="n"/>
      <c r="E2709" s="35" t="n"/>
      <c r="F2709" s="36" t="n"/>
      <c r="G2709" s="35" t="n"/>
      <c r="H2709" s="30">
        <f>IF(L2709="","",INDEX(SkiftNavn,L2709))</f>
        <v/>
      </c>
      <c r="I2709" s="30">
        <f>IF(OR(A2709="",L2709=""),"",IF(MOD(A2709-INDEX(SkiftStart,L2709),Syklus)&lt;DagK,"Kveld",IF(MOD(A2709-INDEX(SkiftStart,L2709),Syklus)&lt;DagK+DagH,"Helg",IF(MOD(A2709-INDEX(SkiftStart,L2709),Syklus)&lt;DagK+DagH+DagD,"Dag","Fri"))))</f>
        <v/>
      </c>
      <c r="J2709" s="30">
        <f>IF(I2709="Fri","Ja","")</f>
        <v/>
      </c>
      <c r="K2709" s="30">
        <f>IF(B2709="","",IF(L2709="","Ukjent tekniker",IF(ISNA(MATCH(C2709,Aktiviteter,0)),"Ukjent aktivitet",IF(AND(INDEX(AktRolle,MATCH(C2709,Aktiviteter,0))&amp;""&lt;&gt;"",ISERROR(SEARCH(INDEX(AktRolle,MATCH(C2709,Aktiviteter,0))&amp;"",INDEX(TekRoller,MATCH(B2709,Teknikere,0))))),"Mangler rollen "&amp;INDEX(AktRolle,MATCH(C2709,Aktiviteter,0))&amp;"",IF(AND(C2709="LMS",F2709&gt;0,OR(D2709="",E2709="")),"Mangler maskin eller arbeid",IF(AND(OR(C2709="LMS",C2709="Mod"),D2709&lt;&gt;""),IF(IFERROR(INDEX(MaskinStatus,MATCH(D2709,Maskiner,0)),"")="I dokk","","Maskinen er ikke i dokk"),""))))))</f>
        <v/>
      </c>
      <c r="L2709" s="2">
        <f>IF(B2709="","",IFERROR(INT((MATCH(B2709,Teknikere,0)-1)/18)+1,""))</f>
        <v/>
      </c>
      <c r="M2709" s="2">
        <f>IF(OR(A2709="",B2709=""),"",B2709&amp;"|"&amp;A2709)</f>
        <v/>
      </c>
      <c r="N2709" s="2">
        <f>IF(M2709="","",SUMIFS(TF_Timer,TF_Nokkel,M2709,TF_Akt,C2709))</f>
        <v/>
      </c>
      <c r="O2709" s="2">
        <f>IF(M2709="","",IF(AND(N2709=_xlfn.MAXIFS(TF_AktSum,TF_Nokkel,M2709),COUNTIFS(M$3:M2708,M2709,N$3:N2708,N2709)=0),M2709,""))</f>
        <v/>
      </c>
    </row>
    <row r="2710">
      <c r="A2710" s="34" t="n"/>
      <c r="B2710" s="35" t="n"/>
      <c r="C2710" s="35" t="n"/>
      <c r="D2710" s="35" t="n"/>
      <c r="E2710" s="35" t="n"/>
      <c r="F2710" s="36" t="n"/>
      <c r="G2710" s="35" t="n"/>
      <c r="H2710" s="30">
        <f>IF(L2710="","",INDEX(SkiftNavn,L2710))</f>
        <v/>
      </c>
      <c r="I2710" s="30">
        <f>IF(OR(A2710="",L2710=""),"",IF(MOD(A2710-INDEX(SkiftStart,L2710),Syklus)&lt;DagK,"Kveld",IF(MOD(A2710-INDEX(SkiftStart,L2710),Syklus)&lt;DagK+DagH,"Helg",IF(MOD(A2710-INDEX(SkiftStart,L2710),Syklus)&lt;DagK+DagH+DagD,"Dag","Fri"))))</f>
        <v/>
      </c>
      <c r="J2710" s="30">
        <f>IF(I2710="Fri","Ja","")</f>
        <v/>
      </c>
      <c r="K2710" s="30">
        <f>IF(B2710="","",IF(L2710="","Ukjent tekniker",IF(ISNA(MATCH(C2710,Aktiviteter,0)),"Ukjent aktivitet",IF(AND(INDEX(AktRolle,MATCH(C2710,Aktiviteter,0))&amp;""&lt;&gt;"",ISERROR(SEARCH(INDEX(AktRolle,MATCH(C2710,Aktiviteter,0))&amp;"",INDEX(TekRoller,MATCH(B2710,Teknikere,0))))),"Mangler rollen "&amp;INDEX(AktRolle,MATCH(C2710,Aktiviteter,0))&amp;"",IF(AND(C2710="LMS",F2710&gt;0,OR(D2710="",E2710="")),"Mangler maskin eller arbeid",IF(AND(OR(C2710="LMS",C2710="Mod"),D2710&lt;&gt;""),IF(IFERROR(INDEX(MaskinStatus,MATCH(D2710,Maskiner,0)),"")="I dokk","","Maskinen er ikke i dokk"),""))))))</f>
        <v/>
      </c>
      <c r="L2710" s="2">
        <f>IF(B2710="","",IFERROR(INT((MATCH(B2710,Teknikere,0)-1)/18)+1,""))</f>
        <v/>
      </c>
      <c r="M2710" s="2">
        <f>IF(OR(A2710="",B2710=""),"",B2710&amp;"|"&amp;A2710)</f>
        <v/>
      </c>
      <c r="N2710" s="2">
        <f>IF(M2710="","",SUMIFS(TF_Timer,TF_Nokkel,M2710,TF_Akt,C2710))</f>
        <v/>
      </c>
      <c r="O2710" s="2">
        <f>IF(M2710="","",IF(AND(N2710=_xlfn.MAXIFS(TF_AktSum,TF_Nokkel,M2710),COUNTIFS(M$3:M2709,M2710,N$3:N2709,N2710)=0),M2710,""))</f>
        <v/>
      </c>
    </row>
    <row r="2711">
      <c r="A2711" s="34" t="n"/>
      <c r="B2711" s="35" t="n"/>
      <c r="C2711" s="35" t="n"/>
      <c r="D2711" s="35" t="n"/>
      <c r="E2711" s="35" t="n"/>
      <c r="F2711" s="36" t="n"/>
      <c r="G2711" s="35" t="n"/>
      <c r="H2711" s="30">
        <f>IF(L2711="","",INDEX(SkiftNavn,L2711))</f>
        <v/>
      </c>
      <c r="I2711" s="30">
        <f>IF(OR(A2711="",L2711=""),"",IF(MOD(A2711-INDEX(SkiftStart,L2711),Syklus)&lt;DagK,"Kveld",IF(MOD(A2711-INDEX(SkiftStart,L2711),Syklus)&lt;DagK+DagH,"Helg",IF(MOD(A2711-INDEX(SkiftStart,L2711),Syklus)&lt;DagK+DagH+DagD,"Dag","Fri"))))</f>
        <v/>
      </c>
      <c r="J2711" s="30">
        <f>IF(I2711="Fri","Ja","")</f>
        <v/>
      </c>
      <c r="K2711" s="30">
        <f>IF(B2711="","",IF(L2711="","Ukjent tekniker",IF(ISNA(MATCH(C2711,Aktiviteter,0)),"Ukjent aktivitet",IF(AND(INDEX(AktRolle,MATCH(C2711,Aktiviteter,0))&amp;""&lt;&gt;"",ISERROR(SEARCH(INDEX(AktRolle,MATCH(C2711,Aktiviteter,0))&amp;"",INDEX(TekRoller,MATCH(B2711,Teknikere,0))))),"Mangler rollen "&amp;INDEX(AktRolle,MATCH(C2711,Aktiviteter,0))&amp;"",IF(AND(C2711="LMS",F2711&gt;0,OR(D2711="",E2711="")),"Mangler maskin eller arbeid",IF(AND(OR(C2711="LMS",C2711="Mod"),D2711&lt;&gt;""),IF(IFERROR(INDEX(MaskinStatus,MATCH(D2711,Maskiner,0)),"")="I dokk","","Maskinen er ikke i dokk"),""))))))</f>
        <v/>
      </c>
      <c r="L2711" s="2">
        <f>IF(B2711="","",IFERROR(INT((MATCH(B2711,Teknikere,0)-1)/18)+1,""))</f>
        <v/>
      </c>
      <c r="M2711" s="2">
        <f>IF(OR(A2711="",B2711=""),"",B2711&amp;"|"&amp;A2711)</f>
        <v/>
      </c>
      <c r="N2711" s="2">
        <f>IF(M2711="","",SUMIFS(TF_Timer,TF_Nokkel,M2711,TF_Akt,C2711))</f>
        <v/>
      </c>
      <c r="O2711" s="2">
        <f>IF(M2711="","",IF(AND(N2711=_xlfn.MAXIFS(TF_AktSum,TF_Nokkel,M2711),COUNTIFS(M$3:M2710,M2711,N$3:N2710,N2711)=0),M2711,""))</f>
        <v/>
      </c>
    </row>
    <row r="2712">
      <c r="A2712" s="34" t="n"/>
      <c r="B2712" s="35" t="n"/>
      <c r="C2712" s="35" t="n"/>
      <c r="D2712" s="35" t="n"/>
      <c r="E2712" s="35" t="n"/>
      <c r="F2712" s="36" t="n"/>
      <c r="G2712" s="35" t="n"/>
      <c r="H2712" s="30">
        <f>IF(L2712="","",INDEX(SkiftNavn,L2712))</f>
        <v/>
      </c>
      <c r="I2712" s="30">
        <f>IF(OR(A2712="",L2712=""),"",IF(MOD(A2712-INDEX(SkiftStart,L2712),Syklus)&lt;DagK,"Kveld",IF(MOD(A2712-INDEX(SkiftStart,L2712),Syklus)&lt;DagK+DagH,"Helg",IF(MOD(A2712-INDEX(SkiftStart,L2712),Syklus)&lt;DagK+DagH+DagD,"Dag","Fri"))))</f>
        <v/>
      </c>
      <c r="J2712" s="30">
        <f>IF(I2712="Fri","Ja","")</f>
        <v/>
      </c>
      <c r="K2712" s="30">
        <f>IF(B2712="","",IF(L2712="","Ukjent tekniker",IF(ISNA(MATCH(C2712,Aktiviteter,0)),"Ukjent aktivitet",IF(AND(INDEX(AktRolle,MATCH(C2712,Aktiviteter,0))&amp;""&lt;&gt;"",ISERROR(SEARCH(INDEX(AktRolle,MATCH(C2712,Aktiviteter,0))&amp;"",INDEX(TekRoller,MATCH(B2712,Teknikere,0))))),"Mangler rollen "&amp;INDEX(AktRolle,MATCH(C2712,Aktiviteter,0))&amp;"",IF(AND(C2712="LMS",F2712&gt;0,OR(D2712="",E2712="")),"Mangler maskin eller arbeid",IF(AND(OR(C2712="LMS",C2712="Mod"),D2712&lt;&gt;""),IF(IFERROR(INDEX(MaskinStatus,MATCH(D2712,Maskiner,0)),"")="I dokk","","Maskinen er ikke i dokk"),""))))))</f>
        <v/>
      </c>
      <c r="L2712" s="2">
        <f>IF(B2712="","",IFERROR(INT((MATCH(B2712,Teknikere,0)-1)/18)+1,""))</f>
        <v/>
      </c>
      <c r="M2712" s="2">
        <f>IF(OR(A2712="",B2712=""),"",B2712&amp;"|"&amp;A2712)</f>
        <v/>
      </c>
      <c r="N2712" s="2">
        <f>IF(M2712="","",SUMIFS(TF_Timer,TF_Nokkel,M2712,TF_Akt,C2712))</f>
        <v/>
      </c>
      <c r="O2712" s="2">
        <f>IF(M2712="","",IF(AND(N2712=_xlfn.MAXIFS(TF_AktSum,TF_Nokkel,M2712),COUNTIFS(M$3:M2711,M2712,N$3:N2711,N2712)=0),M2712,""))</f>
        <v/>
      </c>
    </row>
    <row r="2713">
      <c r="A2713" s="34" t="n"/>
      <c r="B2713" s="35" t="n"/>
      <c r="C2713" s="35" t="n"/>
      <c r="D2713" s="35" t="n"/>
      <c r="E2713" s="35" t="n"/>
      <c r="F2713" s="36" t="n"/>
      <c r="G2713" s="35" t="n"/>
      <c r="H2713" s="30">
        <f>IF(L2713="","",INDEX(SkiftNavn,L2713))</f>
        <v/>
      </c>
      <c r="I2713" s="30">
        <f>IF(OR(A2713="",L2713=""),"",IF(MOD(A2713-INDEX(SkiftStart,L2713),Syklus)&lt;DagK,"Kveld",IF(MOD(A2713-INDEX(SkiftStart,L2713),Syklus)&lt;DagK+DagH,"Helg",IF(MOD(A2713-INDEX(SkiftStart,L2713),Syklus)&lt;DagK+DagH+DagD,"Dag","Fri"))))</f>
        <v/>
      </c>
      <c r="J2713" s="30">
        <f>IF(I2713="Fri","Ja","")</f>
        <v/>
      </c>
      <c r="K2713" s="30">
        <f>IF(B2713="","",IF(L2713="","Ukjent tekniker",IF(ISNA(MATCH(C2713,Aktiviteter,0)),"Ukjent aktivitet",IF(AND(INDEX(AktRolle,MATCH(C2713,Aktiviteter,0))&amp;""&lt;&gt;"",ISERROR(SEARCH(INDEX(AktRolle,MATCH(C2713,Aktiviteter,0))&amp;"",INDEX(TekRoller,MATCH(B2713,Teknikere,0))))),"Mangler rollen "&amp;INDEX(AktRolle,MATCH(C2713,Aktiviteter,0))&amp;"",IF(AND(C2713="LMS",F2713&gt;0,OR(D2713="",E2713="")),"Mangler maskin eller arbeid",IF(AND(OR(C2713="LMS",C2713="Mod"),D2713&lt;&gt;""),IF(IFERROR(INDEX(MaskinStatus,MATCH(D2713,Maskiner,0)),"")="I dokk","","Maskinen er ikke i dokk"),""))))))</f>
        <v/>
      </c>
      <c r="L2713" s="2">
        <f>IF(B2713="","",IFERROR(INT((MATCH(B2713,Teknikere,0)-1)/18)+1,""))</f>
        <v/>
      </c>
      <c r="M2713" s="2">
        <f>IF(OR(A2713="",B2713=""),"",B2713&amp;"|"&amp;A2713)</f>
        <v/>
      </c>
      <c r="N2713" s="2">
        <f>IF(M2713="","",SUMIFS(TF_Timer,TF_Nokkel,M2713,TF_Akt,C2713))</f>
        <v/>
      </c>
      <c r="O2713" s="2">
        <f>IF(M2713="","",IF(AND(N2713=_xlfn.MAXIFS(TF_AktSum,TF_Nokkel,M2713),COUNTIFS(M$3:M2712,M2713,N$3:N2712,N2713)=0),M2713,""))</f>
        <v/>
      </c>
    </row>
    <row r="2714">
      <c r="A2714" s="34" t="n"/>
      <c r="B2714" s="35" t="n"/>
      <c r="C2714" s="35" t="n"/>
      <c r="D2714" s="35" t="n"/>
      <c r="E2714" s="35" t="n"/>
      <c r="F2714" s="36" t="n"/>
      <c r="G2714" s="35" t="n"/>
      <c r="H2714" s="30">
        <f>IF(L2714="","",INDEX(SkiftNavn,L2714))</f>
        <v/>
      </c>
      <c r="I2714" s="30">
        <f>IF(OR(A2714="",L2714=""),"",IF(MOD(A2714-INDEX(SkiftStart,L2714),Syklus)&lt;DagK,"Kveld",IF(MOD(A2714-INDEX(SkiftStart,L2714),Syklus)&lt;DagK+DagH,"Helg",IF(MOD(A2714-INDEX(SkiftStart,L2714),Syklus)&lt;DagK+DagH+DagD,"Dag","Fri"))))</f>
        <v/>
      </c>
      <c r="J2714" s="30">
        <f>IF(I2714="Fri","Ja","")</f>
        <v/>
      </c>
      <c r="K2714" s="30">
        <f>IF(B2714="","",IF(L2714="","Ukjent tekniker",IF(ISNA(MATCH(C2714,Aktiviteter,0)),"Ukjent aktivitet",IF(AND(INDEX(AktRolle,MATCH(C2714,Aktiviteter,0))&amp;""&lt;&gt;"",ISERROR(SEARCH(INDEX(AktRolle,MATCH(C2714,Aktiviteter,0))&amp;"",INDEX(TekRoller,MATCH(B2714,Teknikere,0))))),"Mangler rollen "&amp;INDEX(AktRolle,MATCH(C2714,Aktiviteter,0))&amp;"",IF(AND(C2714="LMS",F2714&gt;0,OR(D2714="",E2714="")),"Mangler maskin eller arbeid",IF(AND(OR(C2714="LMS",C2714="Mod"),D2714&lt;&gt;""),IF(IFERROR(INDEX(MaskinStatus,MATCH(D2714,Maskiner,0)),"")="I dokk","","Maskinen er ikke i dokk"),""))))))</f>
        <v/>
      </c>
      <c r="L2714" s="2">
        <f>IF(B2714="","",IFERROR(INT((MATCH(B2714,Teknikere,0)-1)/18)+1,""))</f>
        <v/>
      </c>
      <c r="M2714" s="2">
        <f>IF(OR(A2714="",B2714=""),"",B2714&amp;"|"&amp;A2714)</f>
        <v/>
      </c>
      <c r="N2714" s="2">
        <f>IF(M2714="","",SUMIFS(TF_Timer,TF_Nokkel,M2714,TF_Akt,C2714))</f>
        <v/>
      </c>
      <c r="O2714" s="2">
        <f>IF(M2714="","",IF(AND(N2714=_xlfn.MAXIFS(TF_AktSum,TF_Nokkel,M2714),COUNTIFS(M$3:M2713,M2714,N$3:N2713,N2714)=0),M2714,""))</f>
        <v/>
      </c>
    </row>
    <row r="2715">
      <c r="A2715" s="34" t="n"/>
      <c r="B2715" s="35" t="n"/>
      <c r="C2715" s="35" t="n"/>
      <c r="D2715" s="35" t="n"/>
      <c r="E2715" s="35" t="n"/>
      <c r="F2715" s="36" t="n"/>
      <c r="G2715" s="35" t="n"/>
      <c r="H2715" s="30">
        <f>IF(L2715="","",INDEX(SkiftNavn,L2715))</f>
        <v/>
      </c>
      <c r="I2715" s="30">
        <f>IF(OR(A2715="",L2715=""),"",IF(MOD(A2715-INDEX(SkiftStart,L2715),Syklus)&lt;DagK,"Kveld",IF(MOD(A2715-INDEX(SkiftStart,L2715),Syklus)&lt;DagK+DagH,"Helg",IF(MOD(A2715-INDEX(SkiftStart,L2715),Syklus)&lt;DagK+DagH+DagD,"Dag","Fri"))))</f>
        <v/>
      </c>
      <c r="J2715" s="30">
        <f>IF(I2715="Fri","Ja","")</f>
        <v/>
      </c>
      <c r="K2715" s="30">
        <f>IF(B2715="","",IF(L2715="","Ukjent tekniker",IF(ISNA(MATCH(C2715,Aktiviteter,0)),"Ukjent aktivitet",IF(AND(INDEX(AktRolle,MATCH(C2715,Aktiviteter,0))&amp;""&lt;&gt;"",ISERROR(SEARCH(INDEX(AktRolle,MATCH(C2715,Aktiviteter,0))&amp;"",INDEX(TekRoller,MATCH(B2715,Teknikere,0))))),"Mangler rollen "&amp;INDEX(AktRolle,MATCH(C2715,Aktiviteter,0))&amp;"",IF(AND(C2715="LMS",F2715&gt;0,OR(D2715="",E2715="")),"Mangler maskin eller arbeid",IF(AND(OR(C2715="LMS",C2715="Mod"),D2715&lt;&gt;""),IF(IFERROR(INDEX(MaskinStatus,MATCH(D2715,Maskiner,0)),"")="I dokk","","Maskinen er ikke i dokk"),""))))))</f>
        <v/>
      </c>
      <c r="L2715" s="2">
        <f>IF(B2715="","",IFERROR(INT((MATCH(B2715,Teknikere,0)-1)/18)+1,""))</f>
        <v/>
      </c>
      <c r="M2715" s="2">
        <f>IF(OR(A2715="",B2715=""),"",B2715&amp;"|"&amp;A2715)</f>
        <v/>
      </c>
      <c r="N2715" s="2">
        <f>IF(M2715="","",SUMIFS(TF_Timer,TF_Nokkel,M2715,TF_Akt,C2715))</f>
        <v/>
      </c>
      <c r="O2715" s="2">
        <f>IF(M2715="","",IF(AND(N2715=_xlfn.MAXIFS(TF_AktSum,TF_Nokkel,M2715),COUNTIFS(M$3:M2714,M2715,N$3:N2714,N2715)=0),M2715,""))</f>
        <v/>
      </c>
    </row>
    <row r="2716">
      <c r="A2716" s="34" t="n"/>
      <c r="B2716" s="35" t="n"/>
      <c r="C2716" s="35" t="n"/>
      <c r="D2716" s="35" t="n"/>
      <c r="E2716" s="35" t="n"/>
      <c r="F2716" s="36" t="n"/>
      <c r="G2716" s="35" t="n"/>
      <c r="H2716" s="30">
        <f>IF(L2716="","",INDEX(SkiftNavn,L2716))</f>
        <v/>
      </c>
      <c r="I2716" s="30">
        <f>IF(OR(A2716="",L2716=""),"",IF(MOD(A2716-INDEX(SkiftStart,L2716),Syklus)&lt;DagK,"Kveld",IF(MOD(A2716-INDEX(SkiftStart,L2716),Syklus)&lt;DagK+DagH,"Helg",IF(MOD(A2716-INDEX(SkiftStart,L2716),Syklus)&lt;DagK+DagH+DagD,"Dag","Fri"))))</f>
        <v/>
      </c>
      <c r="J2716" s="30">
        <f>IF(I2716="Fri","Ja","")</f>
        <v/>
      </c>
      <c r="K2716" s="30">
        <f>IF(B2716="","",IF(L2716="","Ukjent tekniker",IF(ISNA(MATCH(C2716,Aktiviteter,0)),"Ukjent aktivitet",IF(AND(INDEX(AktRolle,MATCH(C2716,Aktiviteter,0))&amp;""&lt;&gt;"",ISERROR(SEARCH(INDEX(AktRolle,MATCH(C2716,Aktiviteter,0))&amp;"",INDEX(TekRoller,MATCH(B2716,Teknikere,0))))),"Mangler rollen "&amp;INDEX(AktRolle,MATCH(C2716,Aktiviteter,0))&amp;"",IF(AND(C2716="LMS",F2716&gt;0,OR(D2716="",E2716="")),"Mangler maskin eller arbeid",IF(AND(OR(C2716="LMS",C2716="Mod"),D2716&lt;&gt;""),IF(IFERROR(INDEX(MaskinStatus,MATCH(D2716,Maskiner,0)),"")="I dokk","","Maskinen er ikke i dokk"),""))))))</f>
        <v/>
      </c>
      <c r="L2716" s="2">
        <f>IF(B2716="","",IFERROR(INT((MATCH(B2716,Teknikere,0)-1)/18)+1,""))</f>
        <v/>
      </c>
      <c r="M2716" s="2">
        <f>IF(OR(A2716="",B2716=""),"",B2716&amp;"|"&amp;A2716)</f>
        <v/>
      </c>
      <c r="N2716" s="2">
        <f>IF(M2716="","",SUMIFS(TF_Timer,TF_Nokkel,M2716,TF_Akt,C2716))</f>
        <v/>
      </c>
      <c r="O2716" s="2">
        <f>IF(M2716="","",IF(AND(N2716=_xlfn.MAXIFS(TF_AktSum,TF_Nokkel,M2716),COUNTIFS(M$3:M2715,M2716,N$3:N2715,N2716)=0),M2716,""))</f>
        <v/>
      </c>
    </row>
    <row r="2717">
      <c r="A2717" s="34" t="n"/>
      <c r="B2717" s="35" t="n"/>
      <c r="C2717" s="35" t="n"/>
      <c r="D2717" s="35" t="n"/>
      <c r="E2717" s="35" t="n"/>
      <c r="F2717" s="36" t="n"/>
      <c r="G2717" s="35" t="n"/>
      <c r="H2717" s="30">
        <f>IF(L2717="","",INDEX(SkiftNavn,L2717))</f>
        <v/>
      </c>
      <c r="I2717" s="30">
        <f>IF(OR(A2717="",L2717=""),"",IF(MOD(A2717-INDEX(SkiftStart,L2717),Syklus)&lt;DagK,"Kveld",IF(MOD(A2717-INDEX(SkiftStart,L2717),Syklus)&lt;DagK+DagH,"Helg",IF(MOD(A2717-INDEX(SkiftStart,L2717),Syklus)&lt;DagK+DagH+DagD,"Dag","Fri"))))</f>
        <v/>
      </c>
      <c r="J2717" s="30">
        <f>IF(I2717="Fri","Ja","")</f>
        <v/>
      </c>
      <c r="K2717" s="30">
        <f>IF(B2717="","",IF(L2717="","Ukjent tekniker",IF(ISNA(MATCH(C2717,Aktiviteter,0)),"Ukjent aktivitet",IF(AND(INDEX(AktRolle,MATCH(C2717,Aktiviteter,0))&amp;""&lt;&gt;"",ISERROR(SEARCH(INDEX(AktRolle,MATCH(C2717,Aktiviteter,0))&amp;"",INDEX(TekRoller,MATCH(B2717,Teknikere,0))))),"Mangler rollen "&amp;INDEX(AktRolle,MATCH(C2717,Aktiviteter,0))&amp;"",IF(AND(C2717="LMS",F2717&gt;0,OR(D2717="",E2717="")),"Mangler maskin eller arbeid",IF(AND(OR(C2717="LMS",C2717="Mod"),D2717&lt;&gt;""),IF(IFERROR(INDEX(MaskinStatus,MATCH(D2717,Maskiner,0)),"")="I dokk","","Maskinen er ikke i dokk"),""))))))</f>
        <v/>
      </c>
      <c r="L2717" s="2">
        <f>IF(B2717="","",IFERROR(INT((MATCH(B2717,Teknikere,0)-1)/18)+1,""))</f>
        <v/>
      </c>
      <c r="M2717" s="2">
        <f>IF(OR(A2717="",B2717=""),"",B2717&amp;"|"&amp;A2717)</f>
        <v/>
      </c>
      <c r="N2717" s="2">
        <f>IF(M2717="","",SUMIFS(TF_Timer,TF_Nokkel,M2717,TF_Akt,C2717))</f>
        <v/>
      </c>
      <c r="O2717" s="2">
        <f>IF(M2717="","",IF(AND(N2717=_xlfn.MAXIFS(TF_AktSum,TF_Nokkel,M2717),COUNTIFS(M$3:M2716,M2717,N$3:N2716,N2717)=0),M2717,""))</f>
        <v/>
      </c>
    </row>
    <row r="2718">
      <c r="A2718" s="34" t="n"/>
      <c r="B2718" s="35" t="n"/>
      <c r="C2718" s="35" t="n"/>
      <c r="D2718" s="35" t="n"/>
      <c r="E2718" s="35" t="n"/>
      <c r="F2718" s="36" t="n"/>
      <c r="G2718" s="35" t="n"/>
      <c r="H2718" s="30">
        <f>IF(L2718="","",INDEX(SkiftNavn,L2718))</f>
        <v/>
      </c>
      <c r="I2718" s="30">
        <f>IF(OR(A2718="",L2718=""),"",IF(MOD(A2718-INDEX(SkiftStart,L2718),Syklus)&lt;DagK,"Kveld",IF(MOD(A2718-INDEX(SkiftStart,L2718),Syklus)&lt;DagK+DagH,"Helg",IF(MOD(A2718-INDEX(SkiftStart,L2718),Syklus)&lt;DagK+DagH+DagD,"Dag","Fri"))))</f>
        <v/>
      </c>
      <c r="J2718" s="30">
        <f>IF(I2718="Fri","Ja","")</f>
        <v/>
      </c>
      <c r="K2718" s="30">
        <f>IF(B2718="","",IF(L2718="","Ukjent tekniker",IF(ISNA(MATCH(C2718,Aktiviteter,0)),"Ukjent aktivitet",IF(AND(INDEX(AktRolle,MATCH(C2718,Aktiviteter,0))&amp;""&lt;&gt;"",ISERROR(SEARCH(INDEX(AktRolle,MATCH(C2718,Aktiviteter,0))&amp;"",INDEX(TekRoller,MATCH(B2718,Teknikere,0))))),"Mangler rollen "&amp;INDEX(AktRolle,MATCH(C2718,Aktiviteter,0))&amp;"",IF(AND(C2718="LMS",F2718&gt;0,OR(D2718="",E2718="")),"Mangler maskin eller arbeid",IF(AND(OR(C2718="LMS",C2718="Mod"),D2718&lt;&gt;""),IF(IFERROR(INDEX(MaskinStatus,MATCH(D2718,Maskiner,0)),"")="I dokk","","Maskinen er ikke i dokk"),""))))))</f>
        <v/>
      </c>
      <c r="L2718" s="2">
        <f>IF(B2718="","",IFERROR(INT((MATCH(B2718,Teknikere,0)-1)/18)+1,""))</f>
        <v/>
      </c>
      <c r="M2718" s="2">
        <f>IF(OR(A2718="",B2718=""),"",B2718&amp;"|"&amp;A2718)</f>
        <v/>
      </c>
      <c r="N2718" s="2">
        <f>IF(M2718="","",SUMIFS(TF_Timer,TF_Nokkel,M2718,TF_Akt,C2718))</f>
        <v/>
      </c>
      <c r="O2718" s="2">
        <f>IF(M2718="","",IF(AND(N2718=_xlfn.MAXIFS(TF_AktSum,TF_Nokkel,M2718),COUNTIFS(M$3:M2717,M2718,N$3:N2717,N2718)=0),M2718,""))</f>
        <v/>
      </c>
    </row>
    <row r="2719">
      <c r="A2719" s="34" t="n"/>
      <c r="B2719" s="35" t="n"/>
      <c r="C2719" s="35" t="n"/>
      <c r="D2719" s="35" t="n"/>
      <c r="E2719" s="35" t="n"/>
      <c r="F2719" s="36" t="n"/>
      <c r="G2719" s="35" t="n"/>
      <c r="H2719" s="30">
        <f>IF(L2719="","",INDEX(SkiftNavn,L2719))</f>
        <v/>
      </c>
      <c r="I2719" s="30">
        <f>IF(OR(A2719="",L2719=""),"",IF(MOD(A2719-INDEX(SkiftStart,L2719),Syklus)&lt;DagK,"Kveld",IF(MOD(A2719-INDEX(SkiftStart,L2719),Syklus)&lt;DagK+DagH,"Helg",IF(MOD(A2719-INDEX(SkiftStart,L2719),Syklus)&lt;DagK+DagH+DagD,"Dag","Fri"))))</f>
        <v/>
      </c>
      <c r="J2719" s="30">
        <f>IF(I2719="Fri","Ja","")</f>
        <v/>
      </c>
      <c r="K2719" s="30">
        <f>IF(B2719="","",IF(L2719="","Ukjent tekniker",IF(ISNA(MATCH(C2719,Aktiviteter,0)),"Ukjent aktivitet",IF(AND(INDEX(AktRolle,MATCH(C2719,Aktiviteter,0))&amp;""&lt;&gt;"",ISERROR(SEARCH(INDEX(AktRolle,MATCH(C2719,Aktiviteter,0))&amp;"",INDEX(TekRoller,MATCH(B2719,Teknikere,0))))),"Mangler rollen "&amp;INDEX(AktRolle,MATCH(C2719,Aktiviteter,0))&amp;"",IF(AND(C2719="LMS",F2719&gt;0,OR(D2719="",E2719="")),"Mangler maskin eller arbeid",IF(AND(OR(C2719="LMS",C2719="Mod"),D2719&lt;&gt;""),IF(IFERROR(INDEX(MaskinStatus,MATCH(D2719,Maskiner,0)),"")="I dokk","","Maskinen er ikke i dokk"),""))))))</f>
        <v/>
      </c>
      <c r="L2719" s="2">
        <f>IF(B2719="","",IFERROR(INT((MATCH(B2719,Teknikere,0)-1)/18)+1,""))</f>
        <v/>
      </c>
      <c r="M2719" s="2">
        <f>IF(OR(A2719="",B2719=""),"",B2719&amp;"|"&amp;A2719)</f>
        <v/>
      </c>
      <c r="N2719" s="2">
        <f>IF(M2719="","",SUMIFS(TF_Timer,TF_Nokkel,M2719,TF_Akt,C2719))</f>
        <v/>
      </c>
      <c r="O2719" s="2">
        <f>IF(M2719="","",IF(AND(N2719=_xlfn.MAXIFS(TF_AktSum,TF_Nokkel,M2719),COUNTIFS(M$3:M2718,M2719,N$3:N2718,N2719)=0),M2719,""))</f>
        <v/>
      </c>
    </row>
    <row r="2720">
      <c r="A2720" s="34" t="n"/>
      <c r="B2720" s="35" t="n"/>
      <c r="C2720" s="35" t="n"/>
      <c r="D2720" s="35" t="n"/>
      <c r="E2720" s="35" t="n"/>
      <c r="F2720" s="36" t="n"/>
      <c r="G2720" s="35" t="n"/>
      <c r="H2720" s="30">
        <f>IF(L2720="","",INDEX(SkiftNavn,L2720))</f>
        <v/>
      </c>
      <c r="I2720" s="30">
        <f>IF(OR(A2720="",L2720=""),"",IF(MOD(A2720-INDEX(SkiftStart,L2720),Syklus)&lt;DagK,"Kveld",IF(MOD(A2720-INDEX(SkiftStart,L2720),Syklus)&lt;DagK+DagH,"Helg",IF(MOD(A2720-INDEX(SkiftStart,L2720),Syklus)&lt;DagK+DagH+DagD,"Dag","Fri"))))</f>
        <v/>
      </c>
      <c r="J2720" s="30">
        <f>IF(I2720="Fri","Ja","")</f>
        <v/>
      </c>
      <c r="K2720" s="30">
        <f>IF(B2720="","",IF(L2720="","Ukjent tekniker",IF(ISNA(MATCH(C2720,Aktiviteter,0)),"Ukjent aktivitet",IF(AND(INDEX(AktRolle,MATCH(C2720,Aktiviteter,0))&amp;""&lt;&gt;"",ISERROR(SEARCH(INDEX(AktRolle,MATCH(C2720,Aktiviteter,0))&amp;"",INDEX(TekRoller,MATCH(B2720,Teknikere,0))))),"Mangler rollen "&amp;INDEX(AktRolle,MATCH(C2720,Aktiviteter,0))&amp;"",IF(AND(C2720="LMS",F2720&gt;0,OR(D2720="",E2720="")),"Mangler maskin eller arbeid",IF(AND(OR(C2720="LMS",C2720="Mod"),D2720&lt;&gt;""),IF(IFERROR(INDEX(MaskinStatus,MATCH(D2720,Maskiner,0)),"")="I dokk","","Maskinen er ikke i dokk"),""))))))</f>
        <v/>
      </c>
      <c r="L2720" s="2">
        <f>IF(B2720="","",IFERROR(INT((MATCH(B2720,Teknikere,0)-1)/18)+1,""))</f>
        <v/>
      </c>
      <c r="M2720" s="2">
        <f>IF(OR(A2720="",B2720=""),"",B2720&amp;"|"&amp;A2720)</f>
        <v/>
      </c>
      <c r="N2720" s="2">
        <f>IF(M2720="","",SUMIFS(TF_Timer,TF_Nokkel,M2720,TF_Akt,C2720))</f>
        <v/>
      </c>
      <c r="O2720" s="2">
        <f>IF(M2720="","",IF(AND(N2720=_xlfn.MAXIFS(TF_AktSum,TF_Nokkel,M2720),COUNTIFS(M$3:M2719,M2720,N$3:N2719,N2720)=0),M2720,""))</f>
        <v/>
      </c>
    </row>
    <row r="2721">
      <c r="A2721" s="34" t="n"/>
      <c r="B2721" s="35" t="n"/>
      <c r="C2721" s="35" t="n"/>
      <c r="D2721" s="35" t="n"/>
      <c r="E2721" s="35" t="n"/>
      <c r="F2721" s="36" t="n"/>
      <c r="G2721" s="35" t="n"/>
      <c r="H2721" s="30">
        <f>IF(L2721="","",INDEX(SkiftNavn,L2721))</f>
        <v/>
      </c>
      <c r="I2721" s="30">
        <f>IF(OR(A2721="",L2721=""),"",IF(MOD(A2721-INDEX(SkiftStart,L2721),Syklus)&lt;DagK,"Kveld",IF(MOD(A2721-INDEX(SkiftStart,L2721),Syklus)&lt;DagK+DagH,"Helg",IF(MOD(A2721-INDEX(SkiftStart,L2721),Syklus)&lt;DagK+DagH+DagD,"Dag","Fri"))))</f>
        <v/>
      </c>
      <c r="J2721" s="30">
        <f>IF(I2721="Fri","Ja","")</f>
        <v/>
      </c>
      <c r="K2721" s="30">
        <f>IF(B2721="","",IF(L2721="","Ukjent tekniker",IF(ISNA(MATCH(C2721,Aktiviteter,0)),"Ukjent aktivitet",IF(AND(INDEX(AktRolle,MATCH(C2721,Aktiviteter,0))&amp;""&lt;&gt;"",ISERROR(SEARCH(INDEX(AktRolle,MATCH(C2721,Aktiviteter,0))&amp;"",INDEX(TekRoller,MATCH(B2721,Teknikere,0))))),"Mangler rollen "&amp;INDEX(AktRolle,MATCH(C2721,Aktiviteter,0))&amp;"",IF(AND(C2721="LMS",F2721&gt;0,OR(D2721="",E2721="")),"Mangler maskin eller arbeid",IF(AND(OR(C2721="LMS",C2721="Mod"),D2721&lt;&gt;""),IF(IFERROR(INDEX(MaskinStatus,MATCH(D2721,Maskiner,0)),"")="I dokk","","Maskinen er ikke i dokk"),""))))))</f>
        <v/>
      </c>
      <c r="L2721" s="2">
        <f>IF(B2721="","",IFERROR(INT((MATCH(B2721,Teknikere,0)-1)/18)+1,""))</f>
        <v/>
      </c>
      <c r="M2721" s="2">
        <f>IF(OR(A2721="",B2721=""),"",B2721&amp;"|"&amp;A2721)</f>
        <v/>
      </c>
      <c r="N2721" s="2">
        <f>IF(M2721="","",SUMIFS(TF_Timer,TF_Nokkel,M2721,TF_Akt,C2721))</f>
        <v/>
      </c>
      <c r="O2721" s="2">
        <f>IF(M2721="","",IF(AND(N2721=_xlfn.MAXIFS(TF_AktSum,TF_Nokkel,M2721),COUNTIFS(M$3:M2720,M2721,N$3:N2720,N2721)=0),M2721,""))</f>
        <v/>
      </c>
    </row>
    <row r="2722">
      <c r="A2722" s="34" t="n"/>
      <c r="B2722" s="35" t="n"/>
      <c r="C2722" s="35" t="n"/>
      <c r="D2722" s="35" t="n"/>
      <c r="E2722" s="35" t="n"/>
      <c r="F2722" s="36" t="n"/>
      <c r="G2722" s="35" t="n"/>
      <c r="H2722" s="30">
        <f>IF(L2722="","",INDEX(SkiftNavn,L2722))</f>
        <v/>
      </c>
      <c r="I2722" s="30">
        <f>IF(OR(A2722="",L2722=""),"",IF(MOD(A2722-INDEX(SkiftStart,L2722),Syklus)&lt;DagK,"Kveld",IF(MOD(A2722-INDEX(SkiftStart,L2722),Syklus)&lt;DagK+DagH,"Helg",IF(MOD(A2722-INDEX(SkiftStart,L2722),Syklus)&lt;DagK+DagH+DagD,"Dag","Fri"))))</f>
        <v/>
      </c>
      <c r="J2722" s="30">
        <f>IF(I2722="Fri","Ja","")</f>
        <v/>
      </c>
      <c r="K2722" s="30">
        <f>IF(B2722="","",IF(L2722="","Ukjent tekniker",IF(ISNA(MATCH(C2722,Aktiviteter,0)),"Ukjent aktivitet",IF(AND(INDEX(AktRolle,MATCH(C2722,Aktiviteter,0))&amp;""&lt;&gt;"",ISERROR(SEARCH(INDEX(AktRolle,MATCH(C2722,Aktiviteter,0))&amp;"",INDEX(TekRoller,MATCH(B2722,Teknikere,0))))),"Mangler rollen "&amp;INDEX(AktRolle,MATCH(C2722,Aktiviteter,0))&amp;"",IF(AND(C2722="LMS",F2722&gt;0,OR(D2722="",E2722="")),"Mangler maskin eller arbeid",IF(AND(OR(C2722="LMS",C2722="Mod"),D2722&lt;&gt;""),IF(IFERROR(INDEX(MaskinStatus,MATCH(D2722,Maskiner,0)),"")="I dokk","","Maskinen er ikke i dokk"),""))))))</f>
        <v/>
      </c>
      <c r="L2722" s="2">
        <f>IF(B2722="","",IFERROR(INT((MATCH(B2722,Teknikere,0)-1)/18)+1,""))</f>
        <v/>
      </c>
      <c r="M2722" s="2">
        <f>IF(OR(A2722="",B2722=""),"",B2722&amp;"|"&amp;A2722)</f>
        <v/>
      </c>
      <c r="N2722" s="2">
        <f>IF(M2722="","",SUMIFS(TF_Timer,TF_Nokkel,M2722,TF_Akt,C2722))</f>
        <v/>
      </c>
      <c r="O2722" s="2">
        <f>IF(M2722="","",IF(AND(N2722=_xlfn.MAXIFS(TF_AktSum,TF_Nokkel,M2722),COUNTIFS(M$3:M2721,M2722,N$3:N2721,N2722)=0),M2722,""))</f>
        <v/>
      </c>
    </row>
    <row r="2723">
      <c r="A2723" s="34" t="n"/>
      <c r="B2723" s="35" t="n"/>
      <c r="C2723" s="35" t="n"/>
      <c r="D2723" s="35" t="n"/>
      <c r="E2723" s="35" t="n"/>
      <c r="F2723" s="36" t="n"/>
      <c r="G2723" s="35" t="n"/>
      <c r="H2723" s="30">
        <f>IF(L2723="","",INDEX(SkiftNavn,L2723))</f>
        <v/>
      </c>
      <c r="I2723" s="30">
        <f>IF(OR(A2723="",L2723=""),"",IF(MOD(A2723-INDEX(SkiftStart,L2723),Syklus)&lt;DagK,"Kveld",IF(MOD(A2723-INDEX(SkiftStart,L2723),Syklus)&lt;DagK+DagH,"Helg",IF(MOD(A2723-INDEX(SkiftStart,L2723),Syklus)&lt;DagK+DagH+DagD,"Dag","Fri"))))</f>
        <v/>
      </c>
      <c r="J2723" s="30">
        <f>IF(I2723="Fri","Ja","")</f>
        <v/>
      </c>
      <c r="K2723" s="30">
        <f>IF(B2723="","",IF(L2723="","Ukjent tekniker",IF(ISNA(MATCH(C2723,Aktiviteter,0)),"Ukjent aktivitet",IF(AND(INDEX(AktRolle,MATCH(C2723,Aktiviteter,0))&amp;""&lt;&gt;"",ISERROR(SEARCH(INDEX(AktRolle,MATCH(C2723,Aktiviteter,0))&amp;"",INDEX(TekRoller,MATCH(B2723,Teknikere,0))))),"Mangler rollen "&amp;INDEX(AktRolle,MATCH(C2723,Aktiviteter,0))&amp;"",IF(AND(C2723="LMS",F2723&gt;0,OR(D2723="",E2723="")),"Mangler maskin eller arbeid",IF(AND(OR(C2723="LMS",C2723="Mod"),D2723&lt;&gt;""),IF(IFERROR(INDEX(MaskinStatus,MATCH(D2723,Maskiner,0)),"")="I dokk","","Maskinen er ikke i dokk"),""))))))</f>
        <v/>
      </c>
      <c r="L2723" s="2">
        <f>IF(B2723="","",IFERROR(INT((MATCH(B2723,Teknikere,0)-1)/18)+1,""))</f>
        <v/>
      </c>
      <c r="M2723" s="2">
        <f>IF(OR(A2723="",B2723=""),"",B2723&amp;"|"&amp;A2723)</f>
        <v/>
      </c>
      <c r="N2723" s="2">
        <f>IF(M2723="","",SUMIFS(TF_Timer,TF_Nokkel,M2723,TF_Akt,C2723))</f>
        <v/>
      </c>
      <c r="O2723" s="2">
        <f>IF(M2723="","",IF(AND(N2723=_xlfn.MAXIFS(TF_AktSum,TF_Nokkel,M2723),COUNTIFS(M$3:M2722,M2723,N$3:N2722,N2723)=0),M2723,""))</f>
        <v/>
      </c>
    </row>
    <row r="2724">
      <c r="A2724" s="34" t="n"/>
      <c r="B2724" s="35" t="n"/>
      <c r="C2724" s="35" t="n"/>
      <c r="D2724" s="35" t="n"/>
      <c r="E2724" s="35" t="n"/>
      <c r="F2724" s="36" t="n"/>
      <c r="G2724" s="35" t="n"/>
      <c r="H2724" s="30">
        <f>IF(L2724="","",INDEX(SkiftNavn,L2724))</f>
        <v/>
      </c>
      <c r="I2724" s="30">
        <f>IF(OR(A2724="",L2724=""),"",IF(MOD(A2724-INDEX(SkiftStart,L2724),Syklus)&lt;DagK,"Kveld",IF(MOD(A2724-INDEX(SkiftStart,L2724),Syklus)&lt;DagK+DagH,"Helg",IF(MOD(A2724-INDEX(SkiftStart,L2724),Syklus)&lt;DagK+DagH+DagD,"Dag","Fri"))))</f>
        <v/>
      </c>
      <c r="J2724" s="30">
        <f>IF(I2724="Fri","Ja","")</f>
        <v/>
      </c>
      <c r="K2724" s="30">
        <f>IF(B2724="","",IF(L2724="","Ukjent tekniker",IF(ISNA(MATCH(C2724,Aktiviteter,0)),"Ukjent aktivitet",IF(AND(INDEX(AktRolle,MATCH(C2724,Aktiviteter,0))&amp;""&lt;&gt;"",ISERROR(SEARCH(INDEX(AktRolle,MATCH(C2724,Aktiviteter,0))&amp;"",INDEX(TekRoller,MATCH(B2724,Teknikere,0))))),"Mangler rollen "&amp;INDEX(AktRolle,MATCH(C2724,Aktiviteter,0))&amp;"",IF(AND(C2724="LMS",F2724&gt;0,OR(D2724="",E2724="")),"Mangler maskin eller arbeid",IF(AND(OR(C2724="LMS",C2724="Mod"),D2724&lt;&gt;""),IF(IFERROR(INDEX(MaskinStatus,MATCH(D2724,Maskiner,0)),"")="I dokk","","Maskinen er ikke i dokk"),""))))))</f>
        <v/>
      </c>
      <c r="L2724" s="2">
        <f>IF(B2724="","",IFERROR(INT((MATCH(B2724,Teknikere,0)-1)/18)+1,""))</f>
        <v/>
      </c>
      <c r="M2724" s="2">
        <f>IF(OR(A2724="",B2724=""),"",B2724&amp;"|"&amp;A2724)</f>
        <v/>
      </c>
      <c r="N2724" s="2">
        <f>IF(M2724="","",SUMIFS(TF_Timer,TF_Nokkel,M2724,TF_Akt,C2724))</f>
        <v/>
      </c>
      <c r="O2724" s="2">
        <f>IF(M2724="","",IF(AND(N2724=_xlfn.MAXIFS(TF_AktSum,TF_Nokkel,M2724),COUNTIFS(M$3:M2723,M2724,N$3:N2723,N2724)=0),M2724,""))</f>
        <v/>
      </c>
    </row>
    <row r="2725">
      <c r="A2725" s="34" t="n"/>
      <c r="B2725" s="35" t="n"/>
      <c r="C2725" s="35" t="n"/>
      <c r="D2725" s="35" t="n"/>
      <c r="E2725" s="35" t="n"/>
      <c r="F2725" s="36" t="n"/>
      <c r="G2725" s="35" t="n"/>
      <c r="H2725" s="30">
        <f>IF(L2725="","",INDEX(SkiftNavn,L2725))</f>
        <v/>
      </c>
      <c r="I2725" s="30">
        <f>IF(OR(A2725="",L2725=""),"",IF(MOD(A2725-INDEX(SkiftStart,L2725),Syklus)&lt;DagK,"Kveld",IF(MOD(A2725-INDEX(SkiftStart,L2725),Syklus)&lt;DagK+DagH,"Helg",IF(MOD(A2725-INDEX(SkiftStart,L2725),Syklus)&lt;DagK+DagH+DagD,"Dag","Fri"))))</f>
        <v/>
      </c>
      <c r="J2725" s="30">
        <f>IF(I2725="Fri","Ja","")</f>
        <v/>
      </c>
      <c r="K2725" s="30">
        <f>IF(B2725="","",IF(L2725="","Ukjent tekniker",IF(ISNA(MATCH(C2725,Aktiviteter,0)),"Ukjent aktivitet",IF(AND(INDEX(AktRolle,MATCH(C2725,Aktiviteter,0))&amp;""&lt;&gt;"",ISERROR(SEARCH(INDEX(AktRolle,MATCH(C2725,Aktiviteter,0))&amp;"",INDEX(TekRoller,MATCH(B2725,Teknikere,0))))),"Mangler rollen "&amp;INDEX(AktRolle,MATCH(C2725,Aktiviteter,0))&amp;"",IF(AND(C2725="LMS",F2725&gt;0,OR(D2725="",E2725="")),"Mangler maskin eller arbeid",IF(AND(OR(C2725="LMS",C2725="Mod"),D2725&lt;&gt;""),IF(IFERROR(INDEX(MaskinStatus,MATCH(D2725,Maskiner,0)),"")="I dokk","","Maskinen er ikke i dokk"),""))))))</f>
        <v/>
      </c>
      <c r="L2725" s="2">
        <f>IF(B2725="","",IFERROR(INT((MATCH(B2725,Teknikere,0)-1)/18)+1,""))</f>
        <v/>
      </c>
      <c r="M2725" s="2">
        <f>IF(OR(A2725="",B2725=""),"",B2725&amp;"|"&amp;A2725)</f>
        <v/>
      </c>
      <c r="N2725" s="2">
        <f>IF(M2725="","",SUMIFS(TF_Timer,TF_Nokkel,M2725,TF_Akt,C2725))</f>
        <v/>
      </c>
      <c r="O2725" s="2">
        <f>IF(M2725="","",IF(AND(N2725=_xlfn.MAXIFS(TF_AktSum,TF_Nokkel,M2725),COUNTIFS(M$3:M2724,M2725,N$3:N2724,N2725)=0),M2725,""))</f>
        <v/>
      </c>
    </row>
    <row r="2726">
      <c r="A2726" s="34" t="n"/>
      <c r="B2726" s="35" t="n"/>
      <c r="C2726" s="35" t="n"/>
      <c r="D2726" s="35" t="n"/>
      <c r="E2726" s="35" t="n"/>
      <c r="F2726" s="36" t="n"/>
      <c r="G2726" s="35" t="n"/>
      <c r="H2726" s="30">
        <f>IF(L2726="","",INDEX(SkiftNavn,L2726))</f>
        <v/>
      </c>
      <c r="I2726" s="30">
        <f>IF(OR(A2726="",L2726=""),"",IF(MOD(A2726-INDEX(SkiftStart,L2726),Syklus)&lt;DagK,"Kveld",IF(MOD(A2726-INDEX(SkiftStart,L2726),Syklus)&lt;DagK+DagH,"Helg",IF(MOD(A2726-INDEX(SkiftStart,L2726),Syklus)&lt;DagK+DagH+DagD,"Dag","Fri"))))</f>
        <v/>
      </c>
      <c r="J2726" s="30">
        <f>IF(I2726="Fri","Ja","")</f>
        <v/>
      </c>
      <c r="K2726" s="30">
        <f>IF(B2726="","",IF(L2726="","Ukjent tekniker",IF(ISNA(MATCH(C2726,Aktiviteter,0)),"Ukjent aktivitet",IF(AND(INDEX(AktRolle,MATCH(C2726,Aktiviteter,0))&amp;""&lt;&gt;"",ISERROR(SEARCH(INDEX(AktRolle,MATCH(C2726,Aktiviteter,0))&amp;"",INDEX(TekRoller,MATCH(B2726,Teknikere,0))))),"Mangler rollen "&amp;INDEX(AktRolle,MATCH(C2726,Aktiviteter,0))&amp;"",IF(AND(C2726="LMS",F2726&gt;0,OR(D2726="",E2726="")),"Mangler maskin eller arbeid",IF(AND(OR(C2726="LMS",C2726="Mod"),D2726&lt;&gt;""),IF(IFERROR(INDEX(MaskinStatus,MATCH(D2726,Maskiner,0)),"")="I dokk","","Maskinen er ikke i dokk"),""))))))</f>
        <v/>
      </c>
      <c r="L2726" s="2">
        <f>IF(B2726="","",IFERROR(INT((MATCH(B2726,Teknikere,0)-1)/18)+1,""))</f>
        <v/>
      </c>
      <c r="M2726" s="2">
        <f>IF(OR(A2726="",B2726=""),"",B2726&amp;"|"&amp;A2726)</f>
        <v/>
      </c>
      <c r="N2726" s="2">
        <f>IF(M2726="","",SUMIFS(TF_Timer,TF_Nokkel,M2726,TF_Akt,C2726))</f>
        <v/>
      </c>
      <c r="O2726" s="2">
        <f>IF(M2726="","",IF(AND(N2726=_xlfn.MAXIFS(TF_AktSum,TF_Nokkel,M2726),COUNTIFS(M$3:M2725,M2726,N$3:N2725,N2726)=0),M2726,""))</f>
        <v/>
      </c>
    </row>
    <row r="2727">
      <c r="A2727" s="34" t="n"/>
      <c r="B2727" s="35" t="n"/>
      <c r="C2727" s="35" t="n"/>
      <c r="D2727" s="35" t="n"/>
      <c r="E2727" s="35" t="n"/>
      <c r="F2727" s="36" t="n"/>
      <c r="G2727" s="35" t="n"/>
      <c r="H2727" s="30">
        <f>IF(L2727="","",INDEX(SkiftNavn,L2727))</f>
        <v/>
      </c>
      <c r="I2727" s="30">
        <f>IF(OR(A2727="",L2727=""),"",IF(MOD(A2727-INDEX(SkiftStart,L2727),Syklus)&lt;DagK,"Kveld",IF(MOD(A2727-INDEX(SkiftStart,L2727),Syklus)&lt;DagK+DagH,"Helg",IF(MOD(A2727-INDEX(SkiftStart,L2727),Syklus)&lt;DagK+DagH+DagD,"Dag","Fri"))))</f>
        <v/>
      </c>
      <c r="J2727" s="30">
        <f>IF(I2727="Fri","Ja","")</f>
        <v/>
      </c>
      <c r="K2727" s="30">
        <f>IF(B2727="","",IF(L2727="","Ukjent tekniker",IF(ISNA(MATCH(C2727,Aktiviteter,0)),"Ukjent aktivitet",IF(AND(INDEX(AktRolle,MATCH(C2727,Aktiviteter,0))&amp;""&lt;&gt;"",ISERROR(SEARCH(INDEX(AktRolle,MATCH(C2727,Aktiviteter,0))&amp;"",INDEX(TekRoller,MATCH(B2727,Teknikere,0))))),"Mangler rollen "&amp;INDEX(AktRolle,MATCH(C2727,Aktiviteter,0))&amp;"",IF(AND(C2727="LMS",F2727&gt;0,OR(D2727="",E2727="")),"Mangler maskin eller arbeid",IF(AND(OR(C2727="LMS",C2727="Mod"),D2727&lt;&gt;""),IF(IFERROR(INDEX(MaskinStatus,MATCH(D2727,Maskiner,0)),"")="I dokk","","Maskinen er ikke i dokk"),""))))))</f>
        <v/>
      </c>
      <c r="L2727" s="2">
        <f>IF(B2727="","",IFERROR(INT((MATCH(B2727,Teknikere,0)-1)/18)+1,""))</f>
        <v/>
      </c>
      <c r="M2727" s="2">
        <f>IF(OR(A2727="",B2727=""),"",B2727&amp;"|"&amp;A2727)</f>
        <v/>
      </c>
      <c r="N2727" s="2">
        <f>IF(M2727="","",SUMIFS(TF_Timer,TF_Nokkel,M2727,TF_Akt,C2727))</f>
        <v/>
      </c>
      <c r="O2727" s="2">
        <f>IF(M2727="","",IF(AND(N2727=_xlfn.MAXIFS(TF_AktSum,TF_Nokkel,M2727),COUNTIFS(M$3:M2726,M2727,N$3:N2726,N2727)=0),M2727,""))</f>
        <v/>
      </c>
    </row>
    <row r="2728">
      <c r="A2728" s="34" t="n"/>
      <c r="B2728" s="35" t="n"/>
      <c r="C2728" s="35" t="n"/>
      <c r="D2728" s="35" t="n"/>
      <c r="E2728" s="35" t="n"/>
      <c r="F2728" s="36" t="n"/>
      <c r="G2728" s="35" t="n"/>
      <c r="H2728" s="30">
        <f>IF(L2728="","",INDEX(SkiftNavn,L2728))</f>
        <v/>
      </c>
      <c r="I2728" s="30">
        <f>IF(OR(A2728="",L2728=""),"",IF(MOD(A2728-INDEX(SkiftStart,L2728),Syklus)&lt;DagK,"Kveld",IF(MOD(A2728-INDEX(SkiftStart,L2728),Syklus)&lt;DagK+DagH,"Helg",IF(MOD(A2728-INDEX(SkiftStart,L2728),Syklus)&lt;DagK+DagH+DagD,"Dag","Fri"))))</f>
        <v/>
      </c>
      <c r="J2728" s="30">
        <f>IF(I2728="Fri","Ja","")</f>
        <v/>
      </c>
      <c r="K2728" s="30">
        <f>IF(B2728="","",IF(L2728="","Ukjent tekniker",IF(ISNA(MATCH(C2728,Aktiviteter,0)),"Ukjent aktivitet",IF(AND(INDEX(AktRolle,MATCH(C2728,Aktiviteter,0))&amp;""&lt;&gt;"",ISERROR(SEARCH(INDEX(AktRolle,MATCH(C2728,Aktiviteter,0))&amp;"",INDEX(TekRoller,MATCH(B2728,Teknikere,0))))),"Mangler rollen "&amp;INDEX(AktRolle,MATCH(C2728,Aktiviteter,0))&amp;"",IF(AND(C2728="LMS",F2728&gt;0,OR(D2728="",E2728="")),"Mangler maskin eller arbeid",IF(AND(OR(C2728="LMS",C2728="Mod"),D2728&lt;&gt;""),IF(IFERROR(INDEX(MaskinStatus,MATCH(D2728,Maskiner,0)),"")="I dokk","","Maskinen er ikke i dokk"),""))))))</f>
        <v/>
      </c>
      <c r="L2728" s="2">
        <f>IF(B2728="","",IFERROR(INT((MATCH(B2728,Teknikere,0)-1)/18)+1,""))</f>
        <v/>
      </c>
      <c r="M2728" s="2">
        <f>IF(OR(A2728="",B2728=""),"",B2728&amp;"|"&amp;A2728)</f>
        <v/>
      </c>
      <c r="N2728" s="2">
        <f>IF(M2728="","",SUMIFS(TF_Timer,TF_Nokkel,M2728,TF_Akt,C2728))</f>
        <v/>
      </c>
      <c r="O2728" s="2">
        <f>IF(M2728="","",IF(AND(N2728=_xlfn.MAXIFS(TF_AktSum,TF_Nokkel,M2728),COUNTIFS(M$3:M2727,M2728,N$3:N2727,N2728)=0),M2728,""))</f>
        <v/>
      </c>
    </row>
    <row r="2729">
      <c r="A2729" s="34" t="n"/>
      <c r="B2729" s="35" t="n"/>
      <c r="C2729" s="35" t="n"/>
      <c r="D2729" s="35" t="n"/>
      <c r="E2729" s="35" t="n"/>
      <c r="F2729" s="36" t="n"/>
      <c r="G2729" s="35" t="n"/>
      <c r="H2729" s="30">
        <f>IF(L2729="","",INDEX(SkiftNavn,L2729))</f>
        <v/>
      </c>
      <c r="I2729" s="30">
        <f>IF(OR(A2729="",L2729=""),"",IF(MOD(A2729-INDEX(SkiftStart,L2729),Syklus)&lt;DagK,"Kveld",IF(MOD(A2729-INDEX(SkiftStart,L2729),Syklus)&lt;DagK+DagH,"Helg",IF(MOD(A2729-INDEX(SkiftStart,L2729),Syklus)&lt;DagK+DagH+DagD,"Dag","Fri"))))</f>
        <v/>
      </c>
      <c r="J2729" s="30">
        <f>IF(I2729="Fri","Ja","")</f>
        <v/>
      </c>
      <c r="K2729" s="30">
        <f>IF(B2729="","",IF(L2729="","Ukjent tekniker",IF(ISNA(MATCH(C2729,Aktiviteter,0)),"Ukjent aktivitet",IF(AND(INDEX(AktRolle,MATCH(C2729,Aktiviteter,0))&amp;""&lt;&gt;"",ISERROR(SEARCH(INDEX(AktRolle,MATCH(C2729,Aktiviteter,0))&amp;"",INDEX(TekRoller,MATCH(B2729,Teknikere,0))))),"Mangler rollen "&amp;INDEX(AktRolle,MATCH(C2729,Aktiviteter,0))&amp;"",IF(AND(C2729="LMS",F2729&gt;0,OR(D2729="",E2729="")),"Mangler maskin eller arbeid",IF(AND(OR(C2729="LMS",C2729="Mod"),D2729&lt;&gt;""),IF(IFERROR(INDEX(MaskinStatus,MATCH(D2729,Maskiner,0)),"")="I dokk","","Maskinen er ikke i dokk"),""))))))</f>
        <v/>
      </c>
      <c r="L2729" s="2">
        <f>IF(B2729="","",IFERROR(INT((MATCH(B2729,Teknikere,0)-1)/18)+1,""))</f>
        <v/>
      </c>
      <c r="M2729" s="2">
        <f>IF(OR(A2729="",B2729=""),"",B2729&amp;"|"&amp;A2729)</f>
        <v/>
      </c>
      <c r="N2729" s="2">
        <f>IF(M2729="","",SUMIFS(TF_Timer,TF_Nokkel,M2729,TF_Akt,C2729))</f>
        <v/>
      </c>
      <c r="O2729" s="2">
        <f>IF(M2729="","",IF(AND(N2729=_xlfn.MAXIFS(TF_AktSum,TF_Nokkel,M2729),COUNTIFS(M$3:M2728,M2729,N$3:N2728,N2729)=0),M2729,""))</f>
        <v/>
      </c>
    </row>
    <row r="2730">
      <c r="A2730" s="34" t="n"/>
      <c r="B2730" s="35" t="n"/>
      <c r="C2730" s="35" t="n"/>
      <c r="D2730" s="35" t="n"/>
      <c r="E2730" s="35" t="n"/>
      <c r="F2730" s="36" t="n"/>
      <c r="G2730" s="35" t="n"/>
      <c r="H2730" s="30">
        <f>IF(L2730="","",INDEX(SkiftNavn,L2730))</f>
        <v/>
      </c>
      <c r="I2730" s="30">
        <f>IF(OR(A2730="",L2730=""),"",IF(MOD(A2730-INDEX(SkiftStart,L2730),Syklus)&lt;DagK,"Kveld",IF(MOD(A2730-INDEX(SkiftStart,L2730),Syklus)&lt;DagK+DagH,"Helg",IF(MOD(A2730-INDEX(SkiftStart,L2730),Syklus)&lt;DagK+DagH+DagD,"Dag","Fri"))))</f>
        <v/>
      </c>
      <c r="J2730" s="30">
        <f>IF(I2730="Fri","Ja","")</f>
        <v/>
      </c>
      <c r="K2730" s="30">
        <f>IF(B2730="","",IF(L2730="","Ukjent tekniker",IF(ISNA(MATCH(C2730,Aktiviteter,0)),"Ukjent aktivitet",IF(AND(INDEX(AktRolle,MATCH(C2730,Aktiviteter,0))&amp;""&lt;&gt;"",ISERROR(SEARCH(INDEX(AktRolle,MATCH(C2730,Aktiviteter,0))&amp;"",INDEX(TekRoller,MATCH(B2730,Teknikere,0))))),"Mangler rollen "&amp;INDEX(AktRolle,MATCH(C2730,Aktiviteter,0))&amp;"",IF(AND(C2730="LMS",F2730&gt;0,OR(D2730="",E2730="")),"Mangler maskin eller arbeid",IF(AND(OR(C2730="LMS",C2730="Mod"),D2730&lt;&gt;""),IF(IFERROR(INDEX(MaskinStatus,MATCH(D2730,Maskiner,0)),"")="I dokk","","Maskinen er ikke i dokk"),""))))))</f>
        <v/>
      </c>
      <c r="L2730" s="2">
        <f>IF(B2730="","",IFERROR(INT((MATCH(B2730,Teknikere,0)-1)/18)+1,""))</f>
        <v/>
      </c>
      <c r="M2730" s="2">
        <f>IF(OR(A2730="",B2730=""),"",B2730&amp;"|"&amp;A2730)</f>
        <v/>
      </c>
      <c r="N2730" s="2">
        <f>IF(M2730="","",SUMIFS(TF_Timer,TF_Nokkel,M2730,TF_Akt,C2730))</f>
        <v/>
      </c>
      <c r="O2730" s="2">
        <f>IF(M2730="","",IF(AND(N2730=_xlfn.MAXIFS(TF_AktSum,TF_Nokkel,M2730),COUNTIFS(M$3:M2729,M2730,N$3:N2729,N2730)=0),M2730,""))</f>
        <v/>
      </c>
    </row>
    <row r="2731">
      <c r="A2731" s="34" t="n"/>
      <c r="B2731" s="35" t="n"/>
      <c r="C2731" s="35" t="n"/>
      <c r="D2731" s="35" t="n"/>
      <c r="E2731" s="35" t="n"/>
      <c r="F2731" s="36" t="n"/>
      <c r="G2731" s="35" t="n"/>
      <c r="H2731" s="30">
        <f>IF(L2731="","",INDEX(SkiftNavn,L2731))</f>
        <v/>
      </c>
      <c r="I2731" s="30">
        <f>IF(OR(A2731="",L2731=""),"",IF(MOD(A2731-INDEX(SkiftStart,L2731),Syklus)&lt;DagK,"Kveld",IF(MOD(A2731-INDEX(SkiftStart,L2731),Syklus)&lt;DagK+DagH,"Helg",IF(MOD(A2731-INDEX(SkiftStart,L2731),Syklus)&lt;DagK+DagH+DagD,"Dag","Fri"))))</f>
        <v/>
      </c>
      <c r="J2731" s="30">
        <f>IF(I2731="Fri","Ja","")</f>
        <v/>
      </c>
      <c r="K2731" s="30">
        <f>IF(B2731="","",IF(L2731="","Ukjent tekniker",IF(ISNA(MATCH(C2731,Aktiviteter,0)),"Ukjent aktivitet",IF(AND(INDEX(AktRolle,MATCH(C2731,Aktiviteter,0))&amp;""&lt;&gt;"",ISERROR(SEARCH(INDEX(AktRolle,MATCH(C2731,Aktiviteter,0))&amp;"",INDEX(TekRoller,MATCH(B2731,Teknikere,0))))),"Mangler rollen "&amp;INDEX(AktRolle,MATCH(C2731,Aktiviteter,0))&amp;"",IF(AND(C2731="LMS",F2731&gt;0,OR(D2731="",E2731="")),"Mangler maskin eller arbeid",IF(AND(OR(C2731="LMS",C2731="Mod"),D2731&lt;&gt;""),IF(IFERROR(INDEX(MaskinStatus,MATCH(D2731,Maskiner,0)),"")="I dokk","","Maskinen er ikke i dokk"),""))))))</f>
        <v/>
      </c>
      <c r="L2731" s="2">
        <f>IF(B2731="","",IFERROR(INT((MATCH(B2731,Teknikere,0)-1)/18)+1,""))</f>
        <v/>
      </c>
      <c r="M2731" s="2">
        <f>IF(OR(A2731="",B2731=""),"",B2731&amp;"|"&amp;A2731)</f>
        <v/>
      </c>
      <c r="N2731" s="2">
        <f>IF(M2731="","",SUMIFS(TF_Timer,TF_Nokkel,M2731,TF_Akt,C2731))</f>
        <v/>
      </c>
      <c r="O2731" s="2">
        <f>IF(M2731="","",IF(AND(N2731=_xlfn.MAXIFS(TF_AktSum,TF_Nokkel,M2731),COUNTIFS(M$3:M2730,M2731,N$3:N2730,N2731)=0),M2731,""))</f>
        <v/>
      </c>
    </row>
    <row r="2732">
      <c r="A2732" s="34" t="n"/>
      <c r="B2732" s="35" t="n"/>
      <c r="C2732" s="35" t="n"/>
      <c r="D2732" s="35" t="n"/>
      <c r="E2732" s="35" t="n"/>
      <c r="F2732" s="36" t="n"/>
      <c r="G2732" s="35" t="n"/>
      <c r="H2732" s="30">
        <f>IF(L2732="","",INDEX(SkiftNavn,L2732))</f>
        <v/>
      </c>
      <c r="I2732" s="30">
        <f>IF(OR(A2732="",L2732=""),"",IF(MOD(A2732-INDEX(SkiftStart,L2732),Syklus)&lt;DagK,"Kveld",IF(MOD(A2732-INDEX(SkiftStart,L2732),Syklus)&lt;DagK+DagH,"Helg",IF(MOD(A2732-INDEX(SkiftStart,L2732),Syklus)&lt;DagK+DagH+DagD,"Dag","Fri"))))</f>
        <v/>
      </c>
      <c r="J2732" s="30">
        <f>IF(I2732="Fri","Ja","")</f>
        <v/>
      </c>
      <c r="K2732" s="30">
        <f>IF(B2732="","",IF(L2732="","Ukjent tekniker",IF(ISNA(MATCH(C2732,Aktiviteter,0)),"Ukjent aktivitet",IF(AND(INDEX(AktRolle,MATCH(C2732,Aktiviteter,0))&amp;""&lt;&gt;"",ISERROR(SEARCH(INDEX(AktRolle,MATCH(C2732,Aktiviteter,0))&amp;"",INDEX(TekRoller,MATCH(B2732,Teknikere,0))))),"Mangler rollen "&amp;INDEX(AktRolle,MATCH(C2732,Aktiviteter,0))&amp;"",IF(AND(C2732="LMS",F2732&gt;0,OR(D2732="",E2732="")),"Mangler maskin eller arbeid",IF(AND(OR(C2732="LMS",C2732="Mod"),D2732&lt;&gt;""),IF(IFERROR(INDEX(MaskinStatus,MATCH(D2732,Maskiner,0)),"")="I dokk","","Maskinen er ikke i dokk"),""))))))</f>
        <v/>
      </c>
      <c r="L2732" s="2">
        <f>IF(B2732="","",IFERROR(INT((MATCH(B2732,Teknikere,0)-1)/18)+1,""))</f>
        <v/>
      </c>
      <c r="M2732" s="2">
        <f>IF(OR(A2732="",B2732=""),"",B2732&amp;"|"&amp;A2732)</f>
        <v/>
      </c>
      <c r="N2732" s="2">
        <f>IF(M2732="","",SUMIFS(TF_Timer,TF_Nokkel,M2732,TF_Akt,C2732))</f>
        <v/>
      </c>
      <c r="O2732" s="2">
        <f>IF(M2732="","",IF(AND(N2732=_xlfn.MAXIFS(TF_AktSum,TF_Nokkel,M2732),COUNTIFS(M$3:M2731,M2732,N$3:N2731,N2732)=0),M2732,""))</f>
        <v/>
      </c>
    </row>
    <row r="2733">
      <c r="A2733" s="34" t="n"/>
      <c r="B2733" s="35" t="n"/>
      <c r="C2733" s="35" t="n"/>
      <c r="D2733" s="35" t="n"/>
      <c r="E2733" s="35" t="n"/>
      <c r="F2733" s="36" t="n"/>
      <c r="G2733" s="35" t="n"/>
      <c r="H2733" s="30">
        <f>IF(L2733="","",INDEX(SkiftNavn,L2733))</f>
        <v/>
      </c>
      <c r="I2733" s="30">
        <f>IF(OR(A2733="",L2733=""),"",IF(MOD(A2733-INDEX(SkiftStart,L2733),Syklus)&lt;DagK,"Kveld",IF(MOD(A2733-INDEX(SkiftStart,L2733),Syklus)&lt;DagK+DagH,"Helg",IF(MOD(A2733-INDEX(SkiftStart,L2733),Syklus)&lt;DagK+DagH+DagD,"Dag","Fri"))))</f>
        <v/>
      </c>
      <c r="J2733" s="30">
        <f>IF(I2733="Fri","Ja","")</f>
        <v/>
      </c>
      <c r="K2733" s="30">
        <f>IF(B2733="","",IF(L2733="","Ukjent tekniker",IF(ISNA(MATCH(C2733,Aktiviteter,0)),"Ukjent aktivitet",IF(AND(INDEX(AktRolle,MATCH(C2733,Aktiviteter,0))&amp;""&lt;&gt;"",ISERROR(SEARCH(INDEX(AktRolle,MATCH(C2733,Aktiviteter,0))&amp;"",INDEX(TekRoller,MATCH(B2733,Teknikere,0))))),"Mangler rollen "&amp;INDEX(AktRolle,MATCH(C2733,Aktiviteter,0))&amp;"",IF(AND(C2733="LMS",F2733&gt;0,OR(D2733="",E2733="")),"Mangler maskin eller arbeid",IF(AND(OR(C2733="LMS",C2733="Mod"),D2733&lt;&gt;""),IF(IFERROR(INDEX(MaskinStatus,MATCH(D2733,Maskiner,0)),"")="I dokk","","Maskinen er ikke i dokk"),""))))))</f>
        <v/>
      </c>
      <c r="L2733" s="2">
        <f>IF(B2733="","",IFERROR(INT((MATCH(B2733,Teknikere,0)-1)/18)+1,""))</f>
        <v/>
      </c>
      <c r="M2733" s="2">
        <f>IF(OR(A2733="",B2733=""),"",B2733&amp;"|"&amp;A2733)</f>
        <v/>
      </c>
      <c r="N2733" s="2">
        <f>IF(M2733="","",SUMIFS(TF_Timer,TF_Nokkel,M2733,TF_Akt,C2733))</f>
        <v/>
      </c>
      <c r="O2733" s="2">
        <f>IF(M2733="","",IF(AND(N2733=_xlfn.MAXIFS(TF_AktSum,TF_Nokkel,M2733),COUNTIFS(M$3:M2732,M2733,N$3:N2732,N2733)=0),M2733,""))</f>
        <v/>
      </c>
    </row>
    <row r="2734">
      <c r="A2734" s="34" t="n"/>
      <c r="B2734" s="35" t="n"/>
      <c r="C2734" s="35" t="n"/>
      <c r="D2734" s="35" t="n"/>
      <c r="E2734" s="35" t="n"/>
      <c r="F2734" s="36" t="n"/>
      <c r="G2734" s="35" t="n"/>
      <c r="H2734" s="30">
        <f>IF(L2734="","",INDEX(SkiftNavn,L2734))</f>
        <v/>
      </c>
      <c r="I2734" s="30">
        <f>IF(OR(A2734="",L2734=""),"",IF(MOD(A2734-INDEX(SkiftStart,L2734),Syklus)&lt;DagK,"Kveld",IF(MOD(A2734-INDEX(SkiftStart,L2734),Syklus)&lt;DagK+DagH,"Helg",IF(MOD(A2734-INDEX(SkiftStart,L2734),Syklus)&lt;DagK+DagH+DagD,"Dag","Fri"))))</f>
        <v/>
      </c>
      <c r="J2734" s="30">
        <f>IF(I2734="Fri","Ja","")</f>
        <v/>
      </c>
      <c r="K2734" s="30">
        <f>IF(B2734="","",IF(L2734="","Ukjent tekniker",IF(ISNA(MATCH(C2734,Aktiviteter,0)),"Ukjent aktivitet",IF(AND(INDEX(AktRolle,MATCH(C2734,Aktiviteter,0))&amp;""&lt;&gt;"",ISERROR(SEARCH(INDEX(AktRolle,MATCH(C2734,Aktiviteter,0))&amp;"",INDEX(TekRoller,MATCH(B2734,Teknikere,0))))),"Mangler rollen "&amp;INDEX(AktRolle,MATCH(C2734,Aktiviteter,0))&amp;"",IF(AND(C2734="LMS",F2734&gt;0,OR(D2734="",E2734="")),"Mangler maskin eller arbeid",IF(AND(OR(C2734="LMS",C2734="Mod"),D2734&lt;&gt;""),IF(IFERROR(INDEX(MaskinStatus,MATCH(D2734,Maskiner,0)),"")="I dokk","","Maskinen er ikke i dokk"),""))))))</f>
        <v/>
      </c>
      <c r="L2734" s="2">
        <f>IF(B2734="","",IFERROR(INT((MATCH(B2734,Teknikere,0)-1)/18)+1,""))</f>
        <v/>
      </c>
      <c r="M2734" s="2">
        <f>IF(OR(A2734="",B2734=""),"",B2734&amp;"|"&amp;A2734)</f>
        <v/>
      </c>
      <c r="N2734" s="2">
        <f>IF(M2734="","",SUMIFS(TF_Timer,TF_Nokkel,M2734,TF_Akt,C2734))</f>
        <v/>
      </c>
      <c r="O2734" s="2">
        <f>IF(M2734="","",IF(AND(N2734=_xlfn.MAXIFS(TF_AktSum,TF_Nokkel,M2734),COUNTIFS(M$3:M2733,M2734,N$3:N2733,N2734)=0),M2734,""))</f>
        <v/>
      </c>
    </row>
    <row r="2735">
      <c r="A2735" s="34" t="n"/>
      <c r="B2735" s="35" t="n"/>
      <c r="C2735" s="35" t="n"/>
      <c r="D2735" s="35" t="n"/>
      <c r="E2735" s="35" t="n"/>
      <c r="F2735" s="36" t="n"/>
      <c r="G2735" s="35" t="n"/>
      <c r="H2735" s="30">
        <f>IF(L2735="","",INDEX(SkiftNavn,L2735))</f>
        <v/>
      </c>
      <c r="I2735" s="30">
        <f>IF(OR(A2735="",L2735=""),"",IF(MOD(A2735-INDEX(SkiftStart,L2735),Syklus)&lt;DagK,"Kveld",IF(MOD(A2735-INDEX(SkiftStart,L2735),Syklus)&lt;DagK+DagH,"Helg",IF(MOD(A2735-INDEX(SkiftStart,L2735),Syklus)&lt;DagK+DagH+DagD,"Dag","Fri"))))</f>
        <v/>
      </c>
      <c r="J2735" s="30">
        <f>IF(I2735="Fri","Ja","")</f>
        <v/>
      </c>
      <c r="K2735" s="30">
        <f>IF(B2735="","",IF(L2735="","Ukjent tekniker",IF(ISNA(MATCH(C2735,Aktiviteter,0)),"Ukjent aktivitet",IF(AND(INDEX(AktRolle,MATCH(C2735,Aktiviteter,0))&amp;""&lt;&gt;"",ISERROR(SEARCH(INDEX(AktRolle,MATCH(C2735,Aktiviteter,0))&amp;"",INDEX(TekRoller,MATCH(B2735,Teknikere,0))))),"Mangler rollen "&amp;INDEX(AktRolle,MATCH(C2735,Aktiviteter,0))&amp;"",IF(AND(C2735="LMS",F2735&gt;0,OR(D2735="",E2735="")),"Mangler maskin eller arbeid",IF(AND(OR(C2735="LMS",C2735="Mod"),D2735&lt;&gt;""),IF(IFERROR(INDEX(MaskinStatus,MATCH(D2735,Maskiner,0)),"")="I dokk","","Maskinen er ikke i dokk"),""))))))</f>
        <v/>
      </c>
      <c r="L2735" s="2">
        <f>IF(B2735="","",IFERROR(INT((MATCH(B2735,Teknikere,0)-1)/18)+1,""))</f>
        <v/>
      </c>
      <c r="M2735" s="2">
        <f>IF(OR(A2735="",B2735=""),"",B2735&amp;"|"&amp;A2735)</f>
        <v/>
      </c>
      <c r="N2735" s="2">
        <f>IF(M2735="","",SUMIFS(TF_Timer,TF_Nokkel,M2735,TF_Akt,C2735))</f>
        <v/>
      </c>
      <c r="O2735" s="2">
        <f>IF(M2735="","",IF(AND(N2735=_xlfn.MAXIFS(TF_AktSum,TF_Nokkel,M2735),COUNTIFS(M$3:M2734,M2735,N$3:N2734,N2735)=0),M2735,""))</f>
        <v/>
      </c>
    </row>
    <row r="2736">
      <c r="A2736" s="34" t="n"/>
      <c r="B2736" s="35" t="n"/>
      <c r="C2736" s="35" t="n"/>
      <c r="D2736" s="35" t="n"/>
      <c r="E2736" s="35" t="n"/>
      <c r="F2736" s="36" t="n"/>
      <c r="G2736" s="35" t="n"/>
      <c r="H2736" s="30">
        <f>IF(L2736="","",INDEX(SkiftNavn,L2736))</f>
        <v/>
      </c>
      <c r="I2736" s="30">
        <f>IF(OR(A2736="",L2736=""),"",IF(MOD(A2736-INDEX(SkiftStart,L2736),Syklus)&lt;DagK,"Kveld",IF(MOD(A2736-INDEX(SkiftStart,L2736),Syklus)&lt;DagK+DagH,"Helg",IF(MOD(A2736-INDEX(SkiftStart,L2736),Syklus)&lt;DagK+DagH+DagD,"Dag","Fri"))))</f>
        <v/>
      </c>
      <c r="J2736" s="30">
        <f>IF(I2736="Fri","Ja","")</f>
        <v/>
      </c>
      <c r="K2736" s="30">
        <f>IF(B2736="","",IF(L2736="","Ukjent tekniker",IF(ISNA(MATCH(C2736,Aktiviteter,0)),"Ukjent aktivitet",IF(AND(INDEX(AktRolle,MATCH(C2736,Aktiviteter,0))&amp;""&lt;&gt;"",ISERROR(SEARCH(INDEX(AktRolle,MATCH(C2736,Aktiviteter,0))&amp;"",INDEX(TekRoller,MATCH(B2736,Teknikere,0))))),"Mangler rollen "&amp;INDEX(AktRolle,MATCH(C2736,Aktiviteter,0))&amp;"",IF(AND(C2736="LMS",F2736&gt;0,OR(D2736="",E2736="")),"Mangler maskin eller arbeid",IF(AND(OR(C2736="LMS",C2736="Mod"),D2736&lt;&gt;""),IF(IFERROR(INDEX(MaskinStatus,MATCH(D2736,Maskiner,0)),"")="I dokk","","Maskinen er ikke i dokk"),""))))))</f>
        <v/>
      </c>
      <c r="L2736" s="2">
        <f>IF(B2736="","",IFERROR(INT((MATCH(B2736,Teknikere,0)-1)/18)+1,""))</f>
        <v/>
      </c>
      <c r="M2736" s="2">
        <f>IF(OR(A2736="",B2736=""),"",B2736&amp;"|"&amp;A2736)</f>
        <v/>
      </c>
      <c r="N2736" s="2">
        <f>IF(M2736="","",SUMIFS(TF_Timer,TF_Nokkel,M2736,TF_Akt,C2736))</f>
        <v/>
      </c>
      <c r="O2736" s="2">
        <f>IF(M2736="","",IF(AND(N2736=_xlfn.MAXIFS(TF_AktSum,TF_Nokkel,M2736),COUNTIFS(M$3:M2735,M2736,N$3:N2735,N2736)=0),M2736,""))</f>
        <v/>
      </c>
    </row>
    <row r="2737">
      <c r="A2737" s="34" t="n"/>
      <c r="B2737" s="35" t="n"/>
      <c r="C2737" s="35" t="n"/>
      <c r="D2737" s="35" t="n"/>
      <c r="E2737" s="35" t="n"/>
      <c r="F2737" s="36" t="n"/>
      <c r="G2737" s="35" t="n"/>
      <c r="H2737" s="30">
        <f>IF(L2737="","",INDEX(SkiftNavn,L2737))</f>
        <v/>
      </c>
      <c r="I2737" s="30">
        <f>IF(OR(A2737="",L2737=""),"",IF(MOD(A2737-INDEX(SkiftStart,L2737),Syklus)&lt;DagK,"Kveld",IF(MOD(A2737-INDEX(SkiftStart,L2737),Syklus)&lt;DagK+DagH,"Helg",IF(MOD(A2737-INDEX(SkiftStart,L2737),Syklus)&lt;DagK+DagH+DagD,"Dag","Fri"))))</f>
        <v/>
      </c>
      <c r="J2737" s="30">
        <f>IF(I2737="Fri","Ja","")</f>
        <v/>
      </c>
      <c r="K2737" s="30">
        <f>IF(B2737="","",IF(L2737="","Ukjent tekniker",IF(ISNA(MATCH(C2737,Aktiviteter,0)),"Ukjent aktivitet",IF(AND(INDEX(AktRolle,MATCH(C2737,Aktiviteter,0))&amp;""&lt;&gt;"",ISERROR(SEARCH(INDEX(AktRolle,MATCH(C2737,Aktiviteter,0))&amp;"",INDEX(TekRoller,MATCH(B2737,Teknikere,0))))),"Mangler rollen "&amp;INDEX(AktRolle,MATCH(C2737,Aktiviteter,0))&amp;"",IF(AND(C2737="LMS",F2737&gt;0,OR(D2737="",E2737="")),"Mangler maskin eller arbeid",IF(AND(OR(C2737="LMS",C2737="Mod"),D2737&lt;&gt;""),IF(IFERROR(INDEX(MaskinStatus,MATCH(D2737,Maskiner,0)),"")="I dokk","","Maskinen er ikke i dokk"),""))))))</f>
        <v/>
      </c>
      <c r="L2737" s="2">
        <f>IF(B2737="","",IFERROR(INT((MATCH(B2737,Teknikere,0)-1)/18)+1,""))</f>
        <v/>
      </c>
      <c r="M2737" s="2">
        <f>IF(OR(A2737="",B2737=""),"",B2737&amp;"|"&amp;A2737)</f>
        <v/>
      </c>
      <c r="N2737" s="2">
        <f>IF(M2737="","",SUMIFS(TF_Timer,TF_Nokkel,M2737,TF_Akt,C2737))</f>
        <v/>
      </c>
      <c r="O2737" s="2">
        <f>IF(M2737="","",IF(AND(N2737=_xlfn.MAXIFS(TF_AktSum,TF_Nokkel,M2737),COUNTIFS(M$3:M2736,M2737,N$3:N2736,N2737)=0),M2737,""))</f>
        <v/>
      </c>
    </row>
    <row r="2738">
      <c r="A2738" s="34" t="n"/>
      <c r="B2738" s="35" t="n"/>
      <c r="C2738" s="35" t="n"/>
      <c r="D2738" s="35" t="n"/>
      <c r="E2738" s="35" t="n"/>
      <c r="F2738" s="36" t="n"/>
      <c r="G2738" s="35" t="n"/>
      <c r="H2738" s="30">
        <f>IF(L2738="","",INDEX(SkiftNavn,L2738))</f>
        <v/>
      </c>
      <c r="I2738" s="30">
        <f>IF(OR(A2738="",L2738=""),"",IF(MOD(A2738-INDEX(SkiftStart,L2738),Syklus)&lt;DagK,"Kveld",IF(MOD(A2738-INDEX(SkiftStart,L2738),Syklus)&lt;DagK+DagH,"Helg",IF(MOD(A2738-INDEX(SkiftStart,L2738),Syklus)&lt;DagK+DagH+DagD,"Dag","Fri"))))</f>
        <v/>
      </c>
      <c r="J2738" s="30">
        <f>IF(I2738="Fri","Ja","")</f>
        <v/>
      </c>
      <c r="K2738" s="30">
        <f>IF(B2738="","",IF(L2738="","Ukjent tekniker",IF(ISNA(MATCH(C2738,Aktiviteter,0)),"Ukjent aktivitet",IF(AND(INDEX(AktRolle,MATCH(C2738,Aktiviteter,0))&amp;""&lt;&gt;"",ISERROR(SEARCH(INDEX(AktRolle,MATCH(C2738,Aktiviteter,0))&amp;"",INDEX(TekRoller,MATCH(B2738,Teknikere,0))))),"Mangler rollen "&amp;INDEX(AktRolle,MATCH(C2738,Aktiviteter,0))&amp;"",IF(AND(C2738="LMS",F2738&gt;0,OR(D2738="",E2738="")),"Mangler maskin eller arbeid",IF(AND(OR(C2738="LMS",C2738="Mod"),D2738&lt;&gt;""),IF(IFERROR(INDEX(MaskinStatus,MATCH(D2738,Maskiner,0)),"")="I dokk","","Maskinen er ikke i dokk"),""))))))</f>
        <v/>
      </c>
      <c r="L2738" s="2">
        <f>IF(B2738="","",IFERROR(INT((MATCH(B2738,Teknikere,0)-1)/18)+1,""))</f>
        <v/>
      </c>
      <c r="M2738" s="2">
        <f>IF(OR(A2738="",B2738=""),"",B2738&amp;"|"&amp;A2738)</f>
        <v/>
      </c>
      <c r="N2738" s="2">
        <f>IF(M2738="","",SUMIFS(TF_Timer,TF_Nokkel,M2738,TF_Akt,C2738))</f>
        <v/>
      </c>
      <c r="O2738" s="2">
        <f>IF(M2738="","",IF(AND(N2738=_xlfn.MAXIFS(TF_AktSum,TF_Nokkel,M2738),COUNTIFS(M$3:M2737,M2738,N$3:N2737,N2738)=0),M2738,""))</f>
        <v/>
      </c>
    </row>
    <row r="2739">
      <c r="A2739" s="34" t="n"/>
      <c r="B2739" s="35" t="n"/>
      <c r="C2739" s="35" t="n"/>
      <c r="D2739" s="35" t="n"/>
      <c r="E2739" s="35" t="n"/>
      <c r="F2739" s="36" t="n"/>
      <c r="G2739" s="35" t="n"/>
      <c r="H2739" s="30">
        <f>IF(L2739="","",INDEX(SkiftNavn,L2739))</f>
        <v/>
      </c>
      <c r="I2739" s="30">
        <f>IF(OR(A2739="",L2739=""),"",IF(MOD(A2739-INDEX(SkiftStart,L2739),Syklus)&lt;DagK,"Kveld",IF(MOD(A2739-INDEX(SkiftStart,L2739),Syklus)&lt;DagK+DagH,"Helg",IF(MOD(A2739-INDEX(SkiftStart,L2739),Syklus)&lt;DagK+DagH+DagD,"Dag","Fri"))))</f>
        <v/>
      </c>
      <c r="J2739" s="30">
        <f>IF(I2739="Fri","Ja","")</f>
        <v/>
      </c>
      <c r="K2739" s="30">
        <f>IF(B2739="","",IF(L2739="","Ukjent tekniker",IF(ISNA(MATCH(C2739,Aktiviteter,0)),"Ukjent aktivitet",IF(AND(INDEX(AktRolle,MATCH(C2739,Aktiviteter,0))&amp;""&lt;&gt;"",ISERROR(SEARCH(INDEX(AktRolle,MATCH(C2739,Aktiviteter,0))&amp;"",INDEX(TekRoller,MATCH(B2739,Teknikere,0))))),"Mangler rollen "&amp;INDEX(AktRolle,MATCH(C2739,Aktiviteter,0))&amp;"",IF(AND(C2739="LMS",F2739&gt;0,OR(D2739="",E2739="")),"Mangler maskin eller arbeid",IF(AND(OR(C2739="LMS",C2739="Mod"),D2739&lt;&gt;""),IF(IFERROR(INDEX(MaskinStatus,MATCH(D2739,Maskiner,0)),"")="I dokk","","Maskinen er ikke i dokk"),""))))))</f>
        <v/>
      </c>
      <c r="L2739" s="2">
        <f>IF(B2739="","",IFERROR(INT((MATCH(B2739,Teknikere,0)-1)/18)+1,""))</f>
        <v/>
      </c>
      <c r="M2739" s="2">
        <f>IF(OR(A2739="",B2739=""),"",B2739&amp;"|"&amp;A2739)</f>
        <v/>
      </c>
      <c r="N2739" s="2">
        <f>IF(M2739="","",SUMIFS(TF_Timer,TF_Nokkel,M2739,TF_Akt,C2739))</f>
        <v/>
      </c>
      <c r="O2739" s="2">
        <f>IF(M2739="","",IF(AND(N2739=_xlfn.MAXIFS(TF_AktSum,TF_Nokkel,M2739),COUNTIFS(M$3:M2738,M2739,N$3:N2738,N2739)=0),M2739,""))</f>
        <v/>
      </c>
    </row>
    <row r="2740">
      <c r="A2740" s="34" t="n"/>
      <c r="B2740" s="35" t="n"/>
      <c r="C2740" s="35" t="n"/>
      <c r="D2740" s="35" t="n"/>
      <c r="E2740" s="35" t="n"/>
      <c r="F2740" s="36" t="n"/>
      <c r="G2740" s="35" t="n"/>
      <c r="H2740" s="30">
        <f>IF(L2740="","",INDEX(SkiftNavn,L2740))</f>
        <v/>
      </c>
      <c r="I2740" s="30">
        <f>IF(OR(A2740="",L2740=""),"",IF(MOD(A2740-INDEX(SkiftStart,L2740),Syklus)&lt;DagK,"Kveld",IF(MOD(A2740-INDEX(SkiftStart,L2740),Syklus)&lt;DagK+DagH,"Helg",IF(MOD(A2740-INDEX(SkiftStart,L2740),Syklus)&lt;DagK+DagH+DagD,"Dag","Fri"))))</f>
        <v/>
      </c>
      <c r="J2740" s="30">
        <f>IF(I2740="Fri","Ja","")</f>
        <v/>
      </c>
      <c r="K2740" s="30">
        <f>IF(B2740="","",IF(L2740="","Ukjent tekniker",IF(ISNA(MATCH(C2740,Aktiviteter,0)),"Ukjent aktivitet",IF(AND(INDEX(AktRolle,MATCH(C2740,Aktiviteter,0))&amp;""&lt;&gt;"",ISERROR(SEARCH(INDEX(AktRolle,MATCH(C2740,Aktiviteter,0))&amp;"",INDEX(TekRoller,MATCH(B2740,Teknikere,0))))),"Mangler rollen "&amp;INDEX(AktRolle,MATCH(C2740,Aktiviteter,0))&amp;"",IF(AND(C2740="LMS",F2740&gt;0,OR(D2740="",E2740="")),"Mangler maskin eller arbeid",IF(AND(OR(C2740="LMS",C2740="Mod"),D2740&lt;&gt;""),IF(IFERROR(INDEX(MaskinStatus,MATCH(D2740,Maskiner,0)),"")="I dokk","","Maskinen er ikke i dokk"),""))))))</f>
        <v/>
      </c>
      <c r="L2740" s="2">
        <f>IF(B2740="","",IFERROR(INT((MATCH(B2740,Teknikere,0)-1)/18)+1,""))</f>
        <v/>
      </c>
      <c r="M2740" s="2">
        <f>IF(OR(A2740="",B2740=""),"",B2740&amp;"|"&amp;A2740)</f>
        <v/>
      </c>
      <c r="N2740" s="2">
        <f>IF(M2740="","",SUMIFS(TF_Timer,TF_Nokkel,M2740,TF_Akt,C2740))</f>
        <v/>
      </c>
      <c r="O2740" s="2">
        <f>IF(M2740="","",IF(AND(N2740=_xlfn.MAXIFS(TF_AktSum,TF_Nokkel,M2740),COUNTIFS(M$3:M2739,M2740,N$3:N2739,N2740)=0),M2740,""))</f>
        <v/>
      </c>
    </row>
    <row r="2741">
      <c r="A2741" s="34" t="n"/>
      <c r="B2741" s="35" t="n"/>
      <c r="C2741" s="35" t="n"/>
      <c r="D2741" s="35" t="n"/>
      <c r="E2741" s="35" t="n"/>
      <c r="F2741" s="36" t="n"/>
      <c r="G2741" s="35" t="n"/>
      <c r="H2741" s="30">
        <f>IF(L2741="","",INDEX(SkiftNavn,L2741))</f>
        <v/>
      </c>
      <c r="I2741" s="30">
        <f>IF(OR(A2741="",L2741=""),"",IF(MOD(A2741-INDEX(SkiftStart,L2741),Syklus)&lt;DagK,"Kveld",IF(MOD(A2741-INDEX(SkiftStart,L2741),Syklus)&lt;DagK+DagH,"Helg",IF(MOD(A2741-INDEX(SkiftStart,L2741),Syklus)&lt;DagK+DagH+DagD,"Dag","Fri"))))</f>
        <v/>
      </c>
      <c r="J2741" s="30">
        <f>IF(I2741="Fri","Ja","")</f>
        <v/>
      </c>
      <c r="K2741" s="30">
        <f>IF(B2741="","",IF(L2741="","Ukjent tekniker",IF(ISNA(MATCH(C2741,Aktiviteter,0)),"Ukjent aktivitet",IF(AND(INDEX(AktRolle,MATCH(C2741,Aktiviteter,0))&amp;""&lt;&gt;"",ISERROR(SEARCH(INDEX(AktRolle,MATCH(C2741,Aktiviteter,0))&amp;"",INDEX(TekRoller,MATCH(B2741,Teknikere,0))))),"Mangler rollen "&amp;INDEX(AktRolle,MATCH(C2741,Aktiviteter,0))&amp;"",IF(AND(C2741="LMS",F2741&gt;0,OR(D2741="",E2741="")),"Mangler maskin eller arbeid",IF(AND(OR(C2741="LMS",C2741="Mod"),D2741&lt;&gt;""),IF(IFERROR(INDEX(MaskinStatus,MATCH(D2741,Maskiner,0)),"")="I dokk","","Maskinen er ikke i dokk"),""))))))</f>
        <v/>
      </c>
      <c r="L2741" s="2">
        <f>IF(B2741="","",IFERROR(INT((MATCH(B2741,Teknikere,0)-1)/18)+1,""))</f>
        <v/>
      </c>
      <c r="M2741" s="2">
        <f>IF(OR(A2741="",B2741=""),"",B2741&amp;"|"&amp;A2741)</f>
        <v/>
      </c>
      <c r="N2741" s="2">
        <f>IF(M2741="","",SUMIFS(TF_Timer,TF_Nokkel,M2741,TF_Akt,C2741))</f>
        <v/>
      </c>
      <c r="O2741" s="2">
        <f>IF(M2741="","",IF(AND(N2741=_xlfn.MAXIFS(TF_AktSum,TF_Nokkel,M2741),COUNTIFS(M$3:M2740,M2741,N$3:N2740,N2741)=0),M2741,""))</f>
        <v/>
      </c>
    </row>
    <row r="2742">
      <c r="A2742" s="34" t="n"/>
      <c r="B2742" s="35" t="n"/>
      <c r="C2742" s="35" t="n"/>
      <c r="D2742" s="35" t="n"/>
      <c r="E2742" s="35" t="n"/>
      <c r="F2742" s="36" t="n"/>
      <c r="G2742" s="35" t="n"/>
      <c r="H2742" s="30">
        <f>IF(L2742="","",INDEX(SkiftNavn,L2742))</f>
        <v/>
      </c>
      <c r="I2742" s="30">
        <f>IF(OR(A2742="",L2742=""),"",IF(MOD(A2742-INDEX(SkiftStart,L2742),Syklus)&lt;DagK,"Kveld",IF(MOD(A2742-INDEX(SkiftStart,L2742),Syklus)&lt;DagK+DagH,"Helg",IF(MOD(A2742-INDEX(SkiftStart,L2742),Syklus)&lt;DagK+DagH+DagD,"Dag","Fri"))))</f>
        <v/>
      </c>
      <c r="J2742" s="30">
        <f>IF(I2742="Fri","Ja","")</f>
        <v/>
      </c>
      <c r="K2742" s="30">
        <f>IF(B2742="","",IF(L2742="","Ukjent tekniker",IF(ISNA(MATCH(C2742,Aktiviteter,0)),"Ukjent aktivitet",IF(AND(INDEX(AktRolle,MATCH(C2742,Aktiviteter,0))&amp;""&lt;&gt;"",ISERROR(SEARCH(INDEX(AktRolle,MATCH(C2742,Aktiviteter,0))&amp;"",INDEX(TekRoller,MATCH(B2742,Teknikere,0))))),"Mangler rollen "&amp;INDEX(AktRolle,MATCH(C2742,Aktiviteter,0))&amp;"",IF(AND(C2742="LMS",F2742&gt;0,OR(D2742="",E2742="")),"Mangler maskin eller arbeid",IF(AND(OR(C2742="LMS",C2742="Mod"),D2742&lt;&gt;""),IF(IFERROR(INDEX(MaskinStatus,MATCH(D2742,Maskiner,0)),"")="I dokk","","Maskinen er ikke i dokk"),""))))))</f>
        <v/>
      </c>
      <c r="L2742" s="2">
        <f>IF(B2742="","",IFERROR(INT((MATCH(B2742,Teknikere,0)-1)/18)+1,""))</f>
        <v/>
      </c>
      <c r="M2742" s="2">
        <f>IF(OR(A2742="",B2742=""),"",B2742&amp;"|"&amp;A2742)</f>
        <v/>
      </c>
      <c r="N2742" s="2">
        <f>IF(M2742="","",SUMIFS(TF_Timer,TF_Nokkel,M2742,TF_Akt,C2742))</f>
        <v/>
      </c>
      <c r="O2742" s="2">
        <f>IF(M2742="","",IF(AND(N2742=_xlfn.MAXIFS(TF_AktSum,TF_Nokkel,M2742),COUNTIFS(M$3:M2741,M2742,N$3:N2741,N2742)=0),M2742,""))</f>
        <v/>
      </c>
    </row>
    <row r="2743">
      <c r="A2743" s="34" t="n"/>
      <c r="B2743" s="35" t="n"/>
      <c r="C2743" s="35" t="n"/>
      <c r="D2743" s="35" t="n"/>
      <c r="E2743" s="35" t="n"/>
      <c r="F2743" s="36" t="n"/>
      <c r="G2743" s="35" t="n"/>
      <c r="H2743" s="30">
        <f>IF(L2743="","",INDEX(SkiftNavn,L2743))</f>
        <v/>
      </c>
      <c r="I2743" s="30">
        <f>IF(OR(A2743="",L2743=""),"",IF(MOD(A2743-INDEX(SkiftStart,L2743),Syklus)&lt;DagK,"Kveld",IF(MOD(A2743-INDEX(SkiftStart,L2743),Syklus)&lt;DagK+DagH,"Helg",IF(MOD(A2743-INDEX(SkiftStart,L2743),Syklus)&lt;DagK+DagH+DagD,"Dag","Fri"))))</f>
        <v/>
      </c>
      <c r="J2743" s="30">
        <f>IF(I2743="Fri","Ja","")</f>
        <v/>
      </c>
      <c r="K2743" s="30">
        <f>IF(B2743="","",IF(L2743="","Ukjent tekniker",IF(ISNA(MATCH(C2743,Aktiviteter,0)),"Ukjent aktivitet",IF(AND(INDEX(AktRolle,MATCH(C2743,Aktiviteter,0))&amp;""&lt;&gt;"",ISERROR(SEARCH(INDEX(AktRolle,MATCH(C2743,Aktiviteter,0))&amp;"",INDEX(TekRoller,MATCH(B2743,Teknikere,0))))),"Mangler rollen "&amp;INDEX(AktRolle,MATCH(C2743,Aktiviteter,0))&amp;"",IF(AND(C2743="LMS",F2743&gt;0,OR(D2743="",E2743="")),"Mangler maskin eller arbeid",IF(AND(OR(C2743="LMS",C2743="Mod"),D2743&lt;&gt;""),IF(IFERROR(INDEX(MaskinStatus,MATCH(D2743,Maskiner,0)),"")="I dokk","","Maskinen er ikke i dokk"),""))))))</f>
        <v/>
      </c>
      <c r="L2743" s="2">
        <f>IF(B2743="","",IFERROR(INT((MATCH(B2743,Teknikere,0)-1)/18)+1,""))</f>
        <v/>
      </c>
      <c r="M2743" s="2">
        <f>IF(OR(A2743="",B2743=""),"",B2743&amp;"|"&amp;A2743)</f>
        <v/>
      </c>
      <c r="N2743" s="2">
        <f>IF(M2743="","",SUMIFS(TF_Timer,TF_Nokkel,M2743,TF_Akt,C2743))</f>
        <v/>
      </c>
      <c r="O2743" s="2">
        <f>IF(M2743="","",IF(AND(N2743=_xlfn.MAXIFS(TF_AktSum,TF_Nokkel,M2743),COUNTIFS(M$3:M2742,M2743,N$3:N2742,N2743)=0),M2743,""))</f>
        <v/>
      </c>
    </row>
    <row r="2744">
      <c r="A2744" s="34" t="n"/>
      <c r="B2744" s="35" t="n"/>
      <c r="C2744" s="35" t="n"/>
      <c r="D2744" s="35" t="n"/>
      <c r="E2744" s="35" t="n"/>
      <c r="F2744" s="36" t="n"/>
      <c r="G2744" s="35" t="n"/>
      <c r="H2744" s="30">
        <f>IF(L2744="","",INDEX(SkiftNavn,L2744))</f>
        <v/>
      </c>
      <c r="I2744" s="30">
        <f>IF(OR(A2744="",L2744=""),"",IF(MOD(A2744-INDEX(SkiftStart,L2744),Syklus)&lt;DagK,"Kveld",IF(MOD(A2744-INDEX(SkiftStart,L2744),Syklus)&lt;DagK+DagH,"Helg",IF(MOD(A2744-INDEX(SkiftStart,L2744),Syklus)&lt;DagK+DagH+DagD,"Dag","Fri"))))</f>
        <v/>
      </c>
      <c r="J2744" s="30">
        <f>IF(I2744="Fri","Ja","")</f>
        <v/>
      </c>
      <c r="K2744" s="30">
        <f>IF(B2744="","",IF(L2744="","Ukjent tekniker",IF(ISNA(MATCH(C2744,Aktiviteter,0)),"Ukjent aktivitet",IF(AND(INDEX(AktRolle,MATCH(C2744,Aktiviteter,0))&amp;""&lt;&gt;"",ISERROR(SEARCH(INDEX(AktRolle,MATCH(C2744,Aktiviteter,0))&amp;"",INDEX(TekRoller,MATCH(B2744,Teknikere,0))))),"Mangler rollen "&amp;INDEX(AktRolle,MATCH(C2744,Aktiviteter,0))&amp;"",IF(AND(C2744="LMS",F2744&gt;0,OR(D2744="",E2744="")),"Mangler maskin eller arbeid",IF(AND(OR(C2744="LMS",C2744="Mod"),D2744&lt;&gt;""),IF(IFERROR(INDEX(MaskinStatus,MATCH(D2744,Maskiner,0)),"")="I dokk","","Maskinen er ikke i dokk"),""))))))</f>
        <v/>
      </c>
      <c r="L2744" s="2">
        <f>IF(B2744="","",IFERROR(INT((MATCH(B2744,Teknikere,0)-1)/18)+1,""))</f>
        <v/>
      </c>
      <c r="M2744" s="2">
        <f>IF(OR(A2744="",B2744=""),"",B2744&amp;"|"&amp;A2744)</f>
        <v/>
      </c>
      <c r="N2744" s="2">
        <f>IF(M2744="","",SUMIFS(TF_Timer,TF_Nokkel,M2744,TF_Akt,C2744))</f>
        <v/>
      </c>
      <c r="O2744" s="2">
        <f>IF(M2744="","",IF(AND(N2744=_xlfn.MAXIFS(TF_AktSum,TF_Nokkel,M2744),COUNTIFS(M$3:M2743,M2744,N$3:N2743,N2744)=0),M2744,""))</f>
        <v/>
      </c>
    </row>
    <row r="2745">
      <c r="A2745" s="34" t="n"/>
      <c r="B2745" s="35" t="n"/>
      <c r="C2745" s="35" t="n"/>
      <c r="D2745" s="35" t="n"/>
      <c r="E2745" s="35" t="n"/>
      <c r="F2745" s="36" t="n"/>
      <c r="G2745" s="35" t="n"/>
      <c r="H2745" s="30">
        <f>IF(L2745="","",INDEX(SkiftNavn,L2745))</f>
        <v/>
      </c>
      <c r="I2745" s="30">
        <f>IF(OR(A2745="",L2745=""),"",IF(MOD(A2745-INDEX(SkiftStart,L2745),Syklus)&lt;DagK,"Kveld",IF(MOD(A2745-INDEX(SkiftStart,L2745),Syklus)&lt;DagK+DagH,"Helg",IF(MOD(A2745-INDEX(SkiftStart,L2745),Syklus)&lt;DagK+DagH+DagD,"Dag","Fri"))))</f>
        <v/>
      </c>
      <c r="J2745" s="30">
        <f>IF(I2745="Fri","Ja","")</f>
        <v/>
      </c>
      <c r="K2745" s="30">
        <f>IF(B2745="","",IF(L2745="","Ukjent tekniker",IF(ISNA(MATCH(C2745,Aktiviteter,0)),"Ukjent aktivitet",IF(AND(INDEX(AktRolle,MATCH(C2745,Aktiviteter,0))&amp;""&lt;&gt;"",ISERROR(SEARCH(INDEX(AktRolle,MATCH(C2745,Aktiviteter,0))&amp;"",INDEX(TekRoller,MATCH(B2745,Teknikere,0))))),"Mangler rollen "&amp;INDEX(AktRolle,MATCH(C2745,Aktiviteter,0))&amp;"",IF(AND(C2745="LMS",F2745&gt;0,OR(D2745="",E2745="")),"Mangler maskin eller arbeid",IF(AND(OR(C2745="LMS",C2745="Mod"),D2745&lt;&gt;""),IF(IFERROR(INDEX(MaskinStatus,MATCH(D2745,Maskiner,0)),"")="I dokk","","Maskinen er ikke i dokk"),""))))))</f>
        <v/>
      </c>
      <c r="L2745" s="2">
        <f>IF(B2745="","",IFERROR(INT((MATCH(B2745,Teknikere,0)-1)/18)+1,""))</f>
        <v/>
      </c>
      <c r="M2745" s="2">
        <f>IF(OR(A2745="",B2745=""),"",B2745&amp;"|"&amp;A2745)</f>
        <v/>
      </c>
      <c r="N2745" s="2">
        <f>IF(M2745="","",SUMIFS(TF_Timer,TF_Nokkel,M2745,TF_Akt,C2745))</f>
        <v/>
      </c>
      <c r="O2745" s="2">
        <f>IF(M2745="","",IF(AND(N2745=_xlfn.MAXIFS(TF_AktSum,TF_Nokkel,M2745),COUNTIFS(M$3:M2744,M2745,N$3:N2744,N2745)=0),M2745,""))</f>
        <v/>
      </c>
    </row>
    <row r="2746">
      <c r="A2746" s="34" t="n"/>
      <c r="B2746" s="35" t="n"/>
      <c r="C2746" s="35" t="n"/>
      <c r="D2746" s="35" t="n"/>
      <c r="E2746" s="35" t="n"/>
      <c r="F2746" s="36" t="n"/>
      <c r="G2746" s="35" t="n"/>
      <c r="H2746" s="30">
        <f>IF(L2746="","",INDEX(SkiftNavn,L2746))</f>
        <v/>
      </c>
      <c r="I2746" s="30">
        <f>IF(OR(A2746="",L2746=""),"",IF(MOD(A2746-INDEX(SkiftStart,L2746),Syklus)&lt;DagK,"Kveld",IF(MOD(A2746-INDEX(SkiftStart,L2746),Syklus)&lt;DagK+DagH,"Helg",IF(MOD(A2746-INDEX(SkiftStart,L2746),Syklus)&lt;DagK+DagH+DagD,"Dag","Fri"))))</f>
        <v/>
      </c>
      <c r="J2746" s="30">
        <f>IF(I2746="Fri","Ja","")</f>
        <v/>
      </c>
      <c r="K2746" s="30">
        <f>IF(B2746="","",IF(L2746="","Ukjent tekniker",IF(ISNA(MATCH(C2746,Aktiviteter,0)),"Ukjent aktivitet",IF(AND(INDEX(AktRolle,MATCH(C2746,Aktiviteter,0))&amp;""&lt;&gt;"",ISERROR(SEARCH(INDEX(AktRolle,MATCH(C2746,Aktiviteter,0))&amp;"",INDEX(TekRoller,MATCH(B2746,Teknikere,0))))),"Mangler rollen "&amp;INDEX(AktRolle,MATCH(C2746,Aktiviteter,0))&amp;"",IF(AND(C2746="LMS",F2746&gt;0,OR(D2746="",E2746="")),"Mangler maskin eller arbeid",IF(AND(OR(C2746="LMS",C2746="Mod"),D2746&lt;&gt;""),IF(IFERROR(INDEX(MaskinStatus,MATCH(D2746,Maskiner,0)),"")="I dokk","","Maskinen er ikke i dokk"),""))))))</f>
        <v/>
      </c>
      <c r="L2746" s="2">
        <f>IF(B2746="","",IFERROR(INT((MATCH(B2746,Teknikere,0)-1)/18)+1,""))</f>
        <v/>
      </c>
      <c r="M2746" s="2">
        <f>IF(OR(A2746="",B2746=""),"",B2746&amp;"|"&amp;A2746)</f>
        <v/>
      </c>
      <c r="N2746" s="2">
        <f>IF(M2746="","",SUMIFS(TF_Timer,TF_Nokkel,M2746,TF_Akt,C2746))</f>
        <v/>
      </c>
      <c r="O2746" s="2">
        <f>IF(M2746="","",IF(AND(N2746=_xlfn.MAXIFS(TF_AktSum,TF_Nokkel,M2746),COUNTIFS(M$3:M2745,M2746,N$3:N2745,N2746)=0),M2746,""))</f>
        <v/>
      </c>
    </row>
    <row r="2747">
      <c r="A2747" s="34" t="n"/>
      <c r="B2747" s="35" t="n"/>
      <c r="C2747" s="35" t="n"/>
      <c r="D2747" s="35" t="n"/>
      <c r="E2747" s="35" t="n"/>
      <c r="F2747" s="36" t="n"/>
      <c r="G2747" s="35" t="n"/>
      <c r="H2747" s="30">
        <f>IF(L2747="","",INDEX(SkiftNavn,L2747))</f>
        <v/>
      </c>
      <c r="I2747" s="30">
        <f>IF(OR(A2747="",L2747=""),"",IF(MOD(A2747-INDEX(SkiftStart,L2747),Syklus)&lt;DagK,"Kveld",IF(MOD(A2747-INDEX(SkiftStart,L2747),Syklus)&lt;DagK+DagH,"Helg",IF(MOD(A2747-INDEX(SkiftStart,L2747),Syklus)&lt;DagK+DagH+DagD,"Dag","Fri"))))</f>
        <v/>
      </c>
      <c r="J2747" s="30">
        <f>IF(I2747="Fri","Ja","")</f>
        <v/>
      </c>
      <c r="K2747" s="30">
        <f>IF(B2747="","",IF(L2747="","Ukjent tekniker",IF(ISNA(MATCH(C2747,Aktiviteter,0)),"Ukjent aktivitet",IF(AND(INDEX(AktRolle,MATCH(C2747,Aktiviteter,0))&amp;""&lt;&gt;"",ISERROR(SEARCH(INDEX(AktRolle,MATCH(C2747,Aktiviteter,0))&amp;"",INDEX(TekRoller,MATCH(B2747,Teknikere,0))))),"Mangler rollen "&amp;INDEX(AktRolle,MATCH(C2747,Aktiviteter,0))&amp;"",IF(AND(C2747="LMS",F2747&gt;0,OR(D2747="",E2747="")),"Mangler maskin eller arbeid",IF(AND(OR(C2747="LMS",C2747="Mod"),D2747&lt;&gt;""),IF(IFERROR(INDEX(MaskinStatus,MATCH(D2747,Maskiner,0)),"")="I dokk","","Maskinen er ikke i dokk"),""))))))</f>
        <v/>
      </c>
      <c r="L2747" s="2">
        <f>IF(B2747="","",IFERROR(INT((MATCH(B2747,Teknikere,0)-1)/18)+1,""))</f>
        <v/>
      </c>
      <c r="M2747" s="2">
        <f>IF(OR(A2747="",B2747=""),"",B2747&amp;"|"&amp;A2747)</f>
        <v/>
      </c>
      <c r="N2747" s="2">
        <f>IF(M2747="","",SUMIFS(TF_Timer,TF_Nokkel,M2747,TF_Akt,C2747))</f>
        <v/>
      </c>
      <c r="O2747" s="2">
        <f>IF(M2747="","",IF(AND(N2747=_xlfn.MAXIFS(TF_AktSum,TF_Nokkel,M2747),COUNTIFS(M$3:M2746,M2747,N$3:N2746,N2747)=0),M2747,""))</f>
        <v/>
      </c>
    </row>
    <row r="2748">
      <c r="A2748" s="34" t="n"/>
      <c r="B2748" s="35" t="n"/>
      <c r="C2748" s="35" t="n"/>
      <c r="D2748" s="35" t="n"/>
      <c r="E2748" s="35" t="n"/>
      <c r="F2748" s="36" t="n"/>
      <c r="G2748" s="35" t="n"/>
      <c r="H2748" s="30">
        <f>IF(L2748="","",INDEX(SkiftNavn,L2748))</f>
        <v/>
      </c>
      <c r="I2748" s="30">
        <f>IF(OR(A2748="",L2748=""),"",IF(MOD(A2748-INDEX(SkiftStart,L2748),Syklus)&lt;DagK,"Kveld",IF(MOD(A2748-INDEX(SkiftStart,L2748),Syklus)&lt;DagK+DagH,"Helg",IF(MOD(A2748-INDEX(SkiftStart,L2748),Syklus)&lt;DagK+DagH+DagD,"Dag","Fri"))))</f>
        <v/>
      </c>
      <c r="J2748" s="30">
        <f>IF(I2748="Fri","Ja","")</f>
        <v/>
      </c>
      <c r="K2748" s="30">
        <f>IF(B2748="","",IF(L2748="","Ukjent tekniker",IF(ISNA(MATCH(C2748,Aktiviteter,0)),"Ukjent aktivitet",IF(AND(INDEX(AktRolle,MATCH(C2748,Aktiviteter,0))&amp;""&lt;&gt;"",ISERROR(SEARCH(INDEX(AktRolle,MATCH(C2748,Aktiviteter,0))&amp;"",INDEX(TekRoller,MATCH(B2748,Teknikere,0))))),"Mangler rollen "&amp;INDEX(AktRolle,MATCH(C2748,Aktiviteter,0))&amp;"",IF(AND(C2748="LMS",F2748&gt;0,OR(D2748="",E2748="")),"Mangler maskin eller arbeid",IF(AND(OR(C2748="LMS",C2748="Mod"),D2748&lt;&gt;""),IF(IFERROR(INDEX(MaskinStatus,MATCH(D2748,Maskiner,0)),"")="I dokk","","Maskinen er ikke i dokk"),""))))))</f>
        <v/>
      </c>
      <c r="L2748" s="2">
        <f>IF(B2748="","",IFERROR(INT((MATCH(B2748,Teknikere,0)-1)/18)+1,""))</f>
        <v/>
      </c>
      <c r="M2748" s="2">
        <f>IF(OR(A2748="",B2748=""),"",B2748&amp;"|"&amp;A2748)</f>
        <v/>
      </c>
      <c r="N2748" s="2">
        <f>IF(M2748="","",SUMIFS(TF_Timer,TF_Nokkel,M2748,TF_Akt,C2748))</f>
        <v/>
      </c>
      <c r="O2748" s="2">
        <f>IF(M2748="","",IF(AND(N2748=_xlfn.MAXIFS(TF_AktSum,TF_Nokkel,M2748),COUNTIFS(M$3:M2747,M2748,N$3:N2747,N2748)=0),M2748,""))</f>
        <v/>
      </c>
    </row>
    <row r="2749">
      <c r="A2749" s="34" t="n"/>
      <c r="B2749" s="35" t="n"/>
      <c r="C2749" s="35" t="n"/>
      <c r="D2749" s="35" t="n"/>
      <c r="E2749" s="35" t="n"/>
      <c r="F2749" s="36" t="n"/>
      <c r="G2749" s="35" t="n"/>
      <c r="H2749" s="30">
        <f>IF(L2749="","",INDEX(SkiftNavn,L2749))</f>
        <v/>
      </c>
      <c r="I2749" s="30">
        <f>IF(OR(A2749="",L2749=""),"",IF(MOD(A2749-INDEX(SkiftStart,L2749),Syklus)&lt;DagK,"Kveld",IF(MOD(A2749-INDEX(SkiftStart,L2749),Syklus)&lt;DagK+DagH,"Helg",IF(MOD(A2749-INDEX(SkiftStart,L2749),Syklus)&lt;DagK+DagH+DagD,"Dag","Fri"))))</f>
        <v/>
      </c>
      <c r="J2749" s="30">
        <f>IF(I2749="Fri","Ja","")</f>
        <v/>
      </c>
      <c r="K2749" s="30">
        <f>IF(B2749="","",IF(L2749="","Ukjent tekniker",IF(ISNA(MATCH(C2749,Aktiviteter,0)),"Ukjent aktivitet",IF(AND(INDEX(AktRolle,MATCH(C2749,Aktiviteter,0))&amp;""&lt;&gt;"",ISERROR(SEARCH(INDEX(AktRolle,MATCH(C2749,Aktiviteter,0))&amp;"",INDEX(TekRoller,MATCH(B2749,Teknikere,0))))),"Mangler rollen "&amp;INDEX(AktRolle,MATCH(C2749,Aktiviteter,0))&amp;"",IF(AND(C2749="LMS",F2749&gt;0,OR(D2749="",E2749="")),"Mangler maskin eller arbeid",IF(AND(OR(C2749="LMS",C2749="Mod"),D2749&lt;&gt;""),IF(IFERROR(INDEX(MaskinStatus,MATCH(D2749,Maskiner,0)),"")="I dokk","","Maskinen er ikke i dokk"),""))))))</f>
        <v/>
      </c>
      <c r="L2749" s="2">
        <f>IF(B2749="","",IFERROR(INT((MATCH(B2749,Teknikere,0)-1)/18)+1,""))</f>
        <v/>
      </c>
      <c r="M2749" s="2">
        <f>IF(OR(A2749="",B2749=""),"",B2749&amp;"|"&amp;A2749)</f>
        <v/>
      </c>
      <c r="N2749" s="2">
        <f>IF(M2749="","",SUMIFS(TF_Timer,TF_Nokkel,M2749,TF_Akt,C2749))</f>
        <v/>
      </c>
      <c r="O2749" s="2">
        <f>IF(M2749="","",IF(AND(N2749=_xlfn.MAXIFS(TF_AktSum,TF_Nokkel,M2749),COUNTIFS(M$3:M2748,M2749,N$3:N2748,N2749)=0),M2749,""))</f>
        <v/>
      </c>
    </row>
    <row r="2750">
      <c r="A2750" s="34" t="n"/>
      <c r="B2750" s="35" t="n"/>
      <c r="C2750" s="35" t="n"/>
      <c r="D2750" s="35" t="n"/>
      <c r="E2750" s="35" t="n"/>
      <c r="F2750" s="36" t="n"/>
      <c r="G2750" s="35" t="n"/>
      <c r="H2750" s="30">
        <f>IF(L2750="","",INDEX(SkiftNavn,L2750))</f>
        <v/>
      </c>
      <c r="I2750" s="30">
        <f>IF(OR(A2750="",L2750=""),"",IF(MOD(A2750-INDEX(SkiftStart,L2750),Syklus)&lt;DagK,"Kveld",IF(MOD(A2750-INDEX(SkiftStart,L2750),Syklus)&lt;DagK+DagH,"Helg",IF(MOD(A2750-INDEX(SkiftStart,L2750),Syklus)&lt;DagK+DagH+DagD,"Dag","Fri"))))</f>
        <v/>
      </c>
      <c r="J2750" s="30">
        <f>IF(I2750="Fri","Ja","")</f>
        <v/>
      </c>
      <c r="K2750" s="30">
        <f>IF(B2750="","",IF(L2750="","Ukjent tekniker",IF(ISNA(MATCH(C2750,Aktiviteter,0)),"Ukjent aktivitet",IF(AND(INDEX(AktRolle,MATCH(C2750,Aktiviteter,0))&amp;""&lt;&gt;"",ISERROR(SEARCH(INDEX(AktRolle,MATCH(C2750,Aktiviteter,0))&amp;"",INDEX(TekRoller,MATCH(B2750,Teknikere,0))))),"Mangler rollen "&amp;INDEX(AktRolle,MATCH(C2750,Aktiviteter,0))&amp;"",IF(AND(C2750="LMS",F2750&gt;0,OR(D2750="",E2750="")),"Mangler maskin eller arbeid",IF(AND(OR(C2750="LMS",C2750="Mod"),D2750&lt;&gt;""),IF(IFERROR(INDEX(MaskinStatus,MATCH(D2750,Maskiner,0)),"")="I dokk","","Maskinen er ikke i dokk"),""))))))</f>
        <v/>
      </c>
      <c r="L2750" s="2">
        <f>IF(B2750="","",IFERROR(INT((MATCH(B2750,Teknikere,0)-1)/18)+1,""))</f>
        <v/>
      </c>
      <c r="M2750" s="2">
        <f>IF(OR(A2750="",B2750=""),"",B2750&amp;"|"&amp;A2750)</f>
        <v/>
      </c>
      <c r="N2750" s="2">
        <f>IF(M2750="","",SUMIFS(TF_Timer,TF_Nokkel,M2750,TF_Akt,C2750))</f>
        <v/>
      </c>
      <c r="O2750" s="2">
        <f>IF(M2750="","",IF(AND(N2750=_xlfn.MAXIFS(TF_AktSum,TF_Nokkel,M2750),COUNTIFS(M$3:M2749,M2750,N$3:N2749,N2750)=0),M2750,""))</f>
        <v/>
      </c>
    </row>
    <row r="2751">
      <c r="A2751" s="34" t="n"/>
      <c r="B2751" s="35" t="n"/>
      <c r="C2751" s="35" t="n"/>
      <c r="D2751" s="35" t="n"/>
      <c r="E2751" s="35" t="n"/>
      <c r="F2751" s="36" t="n"/>
      <c r="G2751" s="35" t="n"/>
      <c r="H2751" s="30">
        <f>IF(L2751="","",INDEX(SkiftNavn,L2751))</f>
        <v/>
      </c>
      <c r="I2751" s="30">
        <f>IF(OR(A2751="",L2751=""),"",IF(MOD(A2751-INDEX(SkiftStart,L2751),Syklus)&lt;DagK,"Kveld",IF(MOD(A2751-INDEX(SkiftStart,L2751),Syklus)&lt;DagK+DagH,"Helg",IF(MOD(A2751-INDEX(SkiftStart,L2751),Syklus)&lt;DagK+DagH+DagD,"Dag","Fri"))))</f>
        <v/>
      </c>
      <c r="J2751" s="30">
        <f>IF(I2751="Fri","Ja","")</f>
        <v/>
      </c>
      <c r="K2751" s="30">
        <f>IF(B2751="","",IF(L2751="","Ukjent tekniker",IF(ISNA(MATCH(C2751,Aktiviteter,0)),"Ukjent aktivitet",IF(AND(INDEX(AktRolle,MATCH(C2751,Aktiviteter,0))&amp;""&lt;&gt;"",ISERROR(SEARCH(INDEX(AktRolle,MATCH(C2751,Aktiviteter,0))&amp;"",INDEX(TekRoller,MATCH(B2751,Teknikere,0))))),"Mangler rollen "&amp;INDEX(AktRolle,MATCH(C2751,Aktiviteter,0))&amp;"",IF(AND(C2751="LMS",F2751&gt;0,OR(D2751="",E2751="")),"Mangler maskin eller arbeid",IF(AND(OR(C2751="LMS",C2751="Mod"),D2751&lt;&gt;""),IF(IFERROR(INDEX(MaskinStatus,MATCH(D2751,Maskiner,0)),"")="I dokk","","Maskinen er ikke i dokk"),""))))))</f>
        <v/>
      </c>
      <c r="L2751" s="2">
        <f>IF(B2751="","",IFERROR(INT((MATCH(B2751,Teknikere,0)-1)/18)+1,""))</f>
        <v/>
      </c>
      <c r="M2751" s="2">
        <f>IF(OR(A2751="",B2751=""),"",B2751&amp;"|"&amp;A2751)</f>
        <v/>
      </c>
      <c r="N2751" s="2">
        <f>IF(M2751="","",SUMIFS(TF_Timer,TF_Nokkel,M2751,TF_Akt,C2751))</f>
        <v/>
      </c>
      <c r="O2751" s="2">
        <f>IF(M2751="","",IF(AND(N2751=_xlfn.MAXIFS(TF_AktSum,TF_Nokkel,M2751),COUNTIFS(M$3:M2750,M2751,N$3:N2750,N2751)=0),M2751,""))</f>
        <v/>
      </c>
    </row>
    <row r="2752">
      <c r="A2752" s="34" t="n"/>
      <c r="B2752" s="35" t="n"/>
      <c r="C2752" s="35" t="n"/>
      <c r="D2752" s="35" t="n"/>
      <c r="E2752" s="35" t="n"/>
      <c r="F2752" s="36" t="n"/>
      <c r="G2752" s="35" t="n"/>
      <c r="H2752" s="30">
        <f>IF(L2752="","",INDEX(SkiftNavn,L2752))</f>
        <v/>
      </c>
      <c r="I2752" s="30">
        <f>IF(OR(A2752="",L2752=""),"",IF(MOD(A2752-INDEX(SkiftStart,L2752),Syklus)&lt;DagK,"Kveld",IF(MOD(A2752-INDEX(SkiftStart,L2752),Syklus)&lt;DagK+DagH,"Helg",IF(MOD(A2752-INDEX(SkiftStart,L2752),Syklus)&lt;DagK+DagH+DagD,"Dag","Fri"))))</f>
        <v/>
      </c>
      <c r="J2752" s="30">
        <f>IF(I2752="Fri","Ja","")</f>
        <v/>
      </c>
      <c r="K2752" s="30">
        <f>IF(B2752="","",IF(L2752="","Ukjent tekniker",IF(ISNA(MATCH(C2752,Aktiviteter,0)),"Ukjent aktivitet",IF(AND(INDEX(AktRolle,MATCH(C2752,Aktiviteter,0))&amp;""&lt;&gt;"",ISERROR(SEARCH(INDEX(AktRolle,MATCH(C2752,Aktiviteter,0))&amp;"",INDEX(TekRoller,MATCH(B2752,Teknikere,0))))),"Mangler rollen "&amp;INDEX(AktRolle,MATCH(C2752,Aktiviteter,0))&amp;"",IF(AND(C2752="LMS",F2752&gt;0,OR(D2752="",E2752="")),"Mangler maskin eller arbeid",IF(AND(OR(C2752="LMS",C2752="Mod"),D2752&lt;&gt;""),IF(IFERROR(INDEX(MaskinStatus,MATCH(D2752,Maskiner,0)),"")="I dokk","","Maskinen er ikke i dokk"),""))))))</f>
        <v/>
      </c>
      <c r="L2752" s="2">
        <f>IF(B2752="","",IFERROR(INT((MATCH(B2752,Teknikere,0)-1)/18)+1,""))</f>
        <v/>
      </c>
      <c r="M2752" s="2">
        <f>IF(OR(A2752="",B2752=""),"",B2752&amp;"|"&amp;A2752)</f>
        <v/>
      </c>
      <c r="N2752" s="2">
        <f>IF(M2752="","",SUMIFS(TF_Timer,TF_Nokkel,M2752,TF_Akt,C2752))</f>
        <v/>
      </c>
      <c r="O2752" s="2">
        <f>IF(M2752="","",IF(AND(N2752=_xlfn.MAXIFS(TF_AktSum,TF_Nokkel,M2752),COUNTIFS(M$3:M2751,M2752,N$3:N2751,N2752)=0),M2752,""))</f>
        <v/>
      </c>
    </row>
    <row r="2753">
      <c r="A2753" s="34" t="n"/>
      <c r="B2753" s="35" t="n"/>
      <c r="C2753" s="35" t="n"/>
      <c r="D2753" s="35" t="n"/>
      <c r="E2753" s="35" t="n"/>
      <c r="F2753" s="36" t="n"/>
      <c r="G2753" s="35" t="n"/>
      <c r="H2753" s="30">
        <f>IF(L2753="","",INDEX(SkiftNavn,L2753))</f>
        <v/>
      </c>
      <c r="I2753" s="30">
        <f>IF(OR(A2753="",L2753=""),"",IF(MOD(A2753-INDEX(SkiftStart,L2753),Syklus)&lt;DagK,"Kveld",IF(MOD(A2753-INDEX(SkiftStart,L2753),Syklus)&lt;DagK+DagH,"Helg",IF(MOD(A2753-INDEX(SkiftStart,L2753),Syklus)&lt;DagK+DagH+DagD,"Dag","Fri"))))</f>
        <v/>
      </c>
      <c r="J2753" s="30">
        <f>IF(I2753="Fri","Ja","")</f>
        <v/>
      </c>
      <c r="K2753" s="30">
        <f>IF(B2753="","",IF(L2753="","Ukjent tekniker",IF(ISNA(MATCH(C2753,Aktiviteter,0)),"Ukjent aktivitet",IF(AND(INDEX(AktRolle,MATCH(C2753,Aktiviteter,0))&amp;""&lt;&gt;"",ISERROR(SEARCH(INDEX(AktRolle,MATCH(C2753,Aktiviteter,0))&amp;"",INDEX(TekRoller,MATCH(B2753,Teknikere,0))))),"Mangler rollen "&amp;INDEX(AktRolle,MATCH(C2753,Aktiviteter,0))&amp;"",IF(AND(C2753="LMS",F2753&gt;0,OR(D2753="",E2753="")),"Mangler maskin eller arbeid",IF(AND(OR(C2753="LMS",C2753="Mod"),D2753&lt;&gt;""),IF(IFERROR(INDEX(MaskinStatus,MATCH(D2753,Maskiner,0)),"")="I dokk","","Maskinen er ikke i dokk"),""))))))</f>
        <v/>
      </c>
      <c r="L2753" s="2">
        <f>IF(B2753="","",IFERROR(INT((MATCH(B2753,Teknikere,0)-1)/18)+1,""))</f>
        <v/>
      </c>
      <c r="M2753" s="2">
        <f>IF(OR(A2753="",B2753=""),"",B2753&amp;"|"&amp;A2753)</f>
        <v/>
      </c>
      <c r="N2753" s="2">
        <f>IF(M2753="","",SUMIFS(TF_Timer,TF_Nokkel,M2753,TF_Akt,C2753))</f>
        <v/>
      </c>
      <c r="O2753" s="2">
        <f>IF(M2753="","",IF(AND(N2753=_xlfn.MAXIFS(TF_AktSum,TF_Nokkel,M2753),COUNTIFS(M$3:M2752,M2753,N$3:N2752,N2753)=0),M2753,""))</f>
        <v/>
      </c>
    </row>
    <row r="2754">
      <c r="A2754" s="34" t="n"/>
      <c r="B2754" s="35" t="n"/>
      <c r="C2754" s="35" t="n"/>
      <c r="D2754" s="35" t="n"/>
      <c r="E2754" s="35" t="n"/>
      <c r="F2754" s="36" t="n"/>
      <c r="G2754" s="35" t="n"/>
      <c r="H2754" s="30">
        <f>IF(L2754="","",INDEX(SkiftNavn,L2754))</f>
        <v/>
      </c>
      <c r="I2754" s="30">
        <f>IF(OR(A2754="",L2754=""),"",IF(MOD(A2754-INDEX(SkiftStart,L2754),Syklus)&lt;DagK,"Kveld",IF(MOD(A2754-INDEX(SkiftStart,L2754),Syklus)&lt;DagK+DagH,"Helg",IF(MOD(A2754-INDEX(SkiftStart,L2754),Syklus)&lt;DagK+DagH+DagD,"Dag","Fri"))))</f>
        <v/>
      </c>
      <c r="J2754" s="30">
        <f>IF(I2754="Fri","Ja","")</f>
        <v/>
      </c>
      <c r="K2754" s="30">
        <f>IF(B2754="","",IF(L2754="","Ukjent tekniker",IF(ISNA(MATCH(C2754,Aktiviteter,0)),"Ukjent aktivitet",IF(AND(INDEX(AktRolle,MATCH(C2754,Aktiviteter,0))&amp;""&lt;&gt;"",ISERROR(SEARCH(INDEX(AktRolle,MATCH(C2754,Aktiviteter,0))&amp;"",INDEX(TekRoller,MATCH(B2754,Teknikere,0))))),"Mangler rollen "&amp;INDEX(AktRolle,MATCH(C2754,Aktiviteter,0))&amp;"",IF(AND(C2754="LMS",F2754&gt;0,OR(D2754="",E2754="")),"Mangler maskin eller arbeid",IF(AND(OR(C2754="LMS",C2754="Mod"),D2754&lt;&gt;""),IF(IFERROR(INDEX(MaskinStatus,MATCH(D2754,Maskiner,0)),"")="I dokk","","Maskinen er ikke i dokk"),""))))))</f>
        <v/>
      </c>
      <c r="L2754" s="2">
        <f>IF(B2754="","",IFERROR(INT((MATCH(B2754,Teknikere,0)-1)/18)+1,""))</f>
        <v/>
      </c>
      <c r="M2754" s="2">
        <f>IF(OR(A2754="",B2754=""),"",B2754&amp;"|"&amp;A2754)</f>
        <v/>
      </c>
      <c r="N2754" s="2">
        <f>IF(M2754="","",SUMIFS(TF_Timer,TF_Nokkel,M2754,TF_Akt,C2754))</f>
        <v/>
      </c>
      <c r="O2754" s="2">
        <f>IF(M2754="","",IF(AND(N2754=_xlfn.MAXIFS(TF_AktSum,TF_Nokkel,M2754),COUNTIFS(M$3:M2753,M2754,N$3:N2753,N2754)=0),M2754,""))</f>
        <v/>
      </c>
    </row>
    <row r="2755">
      <c r="A2755" s="34" t="n"/>
      <c r="B2755" s="35" t="n"/>
      <c r="C2755" s="35" t="n"/>
      <c r="D2755" s="35" t="n"/>
      <c r="E2755" s="35" t="n"/>
      <c r="F2755" s="36" t="n"/>
      <c r="G2755" s="35" t="n"/>
      <c r="H2755" s="30">
        <f>IF(L2755="","",INDEX(SkiftNavn,L2755))</f>
        <v/>
      </c>
      <c r="I2755" s="30">
        <f>IF(OR(A2755="",L2755=""),"",IF(MOD(A2755-INDEX(SkiftStart,L2755),Syklus)&lt;DagK,"Kveld",IF(MOD(A2755-INDEX(SkiftStart,L2755),Syklus)&lt;DagK+DagH,"Helg",IF(MOD(A2755-INDEX(SkiftStart,L2755),Syklus)&lt;DagK+DagH+DagD,"Dag","Fri"))))</f>
        <v/>
      </c>
      <c r="J2755" s="30">
        <f>IF(I2755="Fri","Ja","")</f>
        <v/>
      </c>
      <c r="K2755" s="30">
        <f>IF(B2755="","",IF(L2755="","Ukjent tekniker",IF(ISNA(MATCH(C2755,Aktiviteter,0)),"Ukjent aktivitet",IF(AND(INDEX(AktRolle,MATCH(C2755,Aktiviteter,0))&amp;""&lt;&gt;"",ISERROR(SEARCH(INDEX(AktRolle,MATCH(C2755,Aktiviteter,0))&amp;"",INDEX(TekRoller,MATCH(B2755,Teknikere,0))))),"Mangler rollen "&amp;INDEX(AktRolle,MATCH(C2755,Aktiviteter,0))&amp;"",IF(AND(C2755="LMS",F2755&gt;0,OR(D2755="",E2755="")),"Mangler maskin eller arbeid",IF(AND(OR(C2755="LMS",C2755="Mod"),D2755&lt;&gt;""),IF(IFERROR(INDEX(MaskinStatus,MATCH(D2755,Maskiner,0)),"")="I dokk","","Maskinen er ikke i dokk"),""))))))</f>
        <v/>
      </c>
      <c r="L2755" s="2">
        <f>IF(B2755="","",IFERROR(INT((MATCH(B2755,Teknikere,0)-1)/18)+1,""))</f>
        <v/>
      </c>
      <c r="M2755" s="2">
        <f>IF(OR(A2755="",B2755=""),"",B2755&amp;"|"&amp;A2755)</f>
        <v/>
      </c>
      <c r="N2755" s="2">
        <f>IF(M2755="","",SUMIFS(TF_Timer,TF_Nokkel,M2755,TF_Akt,C2755))</f>
        <v/>
      </c>
      <c r="O2755" s="2">
        <f>IF(M2755="","",IF(AND(N2755=_xlfn.MAXIFS(TF_AktSum,TF_Nokkel,M2755),COUNTIFS(M$3:M2754,M2755,N$3:N2754,N2755)=0),M2755,""))</f>
        <v/>
      </c>
    </row>
    <row r="2756">
      <c r="A2756" s="34" t="n"/>
      <c r="B2756" s="35" t="n"/>
      <c r="C2756" s="35" t="n"/>
      <c r="D2756" s="35" t="n"/>
      <c r="E2756" s="35" t="n"/>
      <c r="F2756" s="36" t="n"/>
      <c r="G2756" s="35" t="n"/>
      <c r="H2756" s="30">
        <f>IF(L2756="","",INDEX(SkiftNavn,L2756))</f>
        <v/>
      </c>
      <c r="I2756" s="30">
        <f>IF(OR(A2756="",L2756=""),"",IF(MOD(A2756-INDEX(SkiftStart,L2756),Syklus)&lt;DagK,"Kveld",IF(MOD(A2756-INDEX(SkiftStart,L2756),Syklus)&lt;DagK+DagH,"Helg",IF(MOD(A2756-INDEX(SkiftStart,L2756),Syklus)&lt;DagK+DagH+DagD,"Dag","Fri"))))</f>
        <v/>
      </c>
      <c r="J2756" s="30">
        <f>IF(I2756="Fri","Ja","")</f>
        <v/>
      </c>
      <c r="K2756" s="30">
        <f>IF(B2756="","",IF(L2756="","Ukjent tekniker",IF(ISNA(MATCH(C2756,Aktiviteter,0)),"Ukjent aktivitet",IF(AND(INDEX(AktRolle,MATCH(C2756,Aktiviteter,0))&amp;""&lt;&gt;"",ISERROR(SEARCH(INDEX(AktRolle,MATCH(C2756,Aktiviteter,0))&amp;"",INDEX(TekRoller,MATCH(B2756,Teknikere,0))))),"Mangler rollen "&amp;INDEX(AktRolle,MATCH(C2756,Aktiviteter,0))&amp;"",IF(AND(C2756="LMS",F2756&gt;0,OR(D2756="",E2756="")),"Mangler maskin eller arbeid",IF(AND(OR(C2756="LMS",C2756="Mod"),D2756&lt;&gt;""),IF(IFERROR(INDEX(MaskinStatus,MATCH(D2756,Maskiner,0)),"")="I dokk","","Maskinen er ikke i dokk"),""))))))</f>
        <v/>
      </c>
      <c r="L2756" s="2">
        <f>IF(B2756="","",IFERROR(INT((MATCH(B2756,Teknikere,0)-1)/18)+1,""))</f>
        <v/>
      </c>
      <c r="M2756" s="2">
        <f>IF(OR(A2756="",B2756=""),"",B2756&amp;"|"&amp;A2756)</f>
        <v/>
      </c>
      <c r="N2756" s="2">
        <f>IF(M2756="","",SUMIFS(TF_Timer,TF_Nokkel,M2756,TF_Akt,C2756))</f>
        <v/>
      </c>
      <c r="O2756" s="2">
        <f>IF(M2756="","",IF(AND(N2756=_xlfn.MAXIFS(TF_AktSum,TF_Nokkel,M2756),COUNTIFS(M$3:M2755,M2756,N$3:N2755,N2756)=0),M2756,""))</f>
        <v/>
      </c>
    </row>
    <row r="2757">
      <c r="A2757" s="34" t="n"/>
      <c r="B2757" s="35" t="n"/>
      <c r="C2757" s="35" t="n"/>
      <c r="D2757" s="35" t="n"/>
      <c r="E2757" s="35" t="n"/>
      <c r="F2757" s="36" t="n"/>
      <c r="G2757" s="35" t="n"/>
      <c r="H2757" s="30">
        <f>IF(L2757="","",INDEX(SkiftNavn,L2757))</f>
        <v/>
      </c>
      <c r="I2757" s="30">
        <f>IF(OR(A2757="",L2757=""),"",IF(MOD(A2757-INDEX(SkiftStart,L2757),Syklus)&lt;DagK,"Kveld",IF(MOD(A2757-INDEX(SkiftStart,L2757),Syklus)&lt;DagK+DagH,"Helg",IF(MOD(A2757-INDEX(SkiftStart,L2757),Syklus)&lt;DagK+DagH+DagD,"Dag","Fri"))))</f>
        <v/>
      </c>
      <c r="J2757" s="30">
        <f>IF(I2757="Fri","Ja","")</f>
        <v/>
      </c>
      <c r="K2757" s="30">
        <f>IF(B2757="","",IF(L2757="","Ukjent tekniker",IF(ISNA(MATCH(C2757,Aktiviteter,0)),"Ukjent aktivitet",IF(AND(INDEX(AktRolle,MATCH(C2757,Aktiviteter,0))&amp;""&lt;&gt;"",ISERROR(SEARCH(INDEX(AktRolle,MATCH(C2757,Aktiviteter,0))&amp;"",INDEX(TekRoller,MATCH(B2757,Teknikere,0))))),"Mangler rollen "&amp;INDEX(AktRolle,MATCH(C2757,Aktiviteter,0))&amp;"",IF(AND(C2757="LMS",F2757&gt;0,OR(D2757="",E2757="")),"Mangler maskin eller arbeid",IF(AND(OR(C2757="LMS",C2757="Mod"),D2757&lt;&gt;""),IF(IFERROR(INDEX(MaskinStatus,MATCH(D2757,Maskiner,0)),"")="I dokk","","Maskinen er ikke i dokk"),""))))))</f>
        <v/>
      </c>
      <c r="L2757" s="2">
        <f>IF(B2757="","",IFERROR(INT((MATCH(B2757,Teknikere,0)-1)/18)+1,""))</f>
        <v/>
      </c>
      <c r="M2757" s="2">
        <f>IF(OR(A2757="",B2757=""),"",B2757&amp;"|"&amp;A2757)</f>
        <v/>
      </c>
      <c r="N2757" s="2">
        <f>IF(M2757="","",SUMIFS(TF_Timer,TF_Nokkel,M2757,TF_Akt,C2757))</f>
        <v/>
      </c>
      <c r="O2757" s="2">
        <f>IF(M2757="","",IF(AND(N2757=_xlfn.MAXIFS(TF_AktSum,TF_Nokkel,M2757),COUNTIFS(M$3:M2756,M2757,N$3:N2756,N2757)=0),M2757,""))</f>
        <v/>
      </c>
    </row>
    <row r="2758">
      <c r="A2758" s="34" t="n"/>
      <c r="B2758" s="35" t="n"/>
      <c r="C2758" s="35" t="n"/>
      <c r="D2758" s="35" t="n"/>
      <c r="E2758" s="35" t="n"/>
      <c r="F2758" s="36" t="n"/>
      <c r="G2758" s="35" t="n"/>
      <c r="H2758" s="30">
        <f>IF(L2758="","",INDEX(SkiftNavn,L2758))</f>
        <v/>
      </c>
      <c r="I2758" s="30">
        <f>IF(OR(A2758="",L2758=""),"",IF(MOD(A2758-INDEX(SkiftStart,L2758),Syklus)&lt;DagK,"Kveld",IF(MOD(A2758-INDEX(SkiftStart,L2758),Syklus)&lt;DagK+DagH,"Helg",IF(MOD(A2758-INDEX(SkiftStart,L2758),Syklus)&lt;DagK+DagH+DagD,"Dag","Fri"))))</f>
        <v/>
      </c>
      <c r="J2758" s="30">
        <f>IF(I2758="Fri","Ja","")</f>
        <v/>
      </c>
      <c r="K2758" s="30">
        <f>IF(B2758="","",IF(L2758="","Ukjent tekniker",IF(ISNA(MATCH(C2758,Aktiviteter,0)),"Ukjent aktivitet",IF(AND(INDEX(AktRolle,MATCH(C2758,Aktiviteter,0))&amp;""&lt;&gt;"",ISERROR(SEARCH(INDEX(AktRolle,MATCH(C2758,Aktiviteter,0))&amp;"",INDEX(TekRoller,MATCH(B2758,Teknikere,0))))),"Mangler rollen "&amp;INDEX(AktRolle,MATCH(C2758,Aktiviteter,0))&amp;"",IF(AND(C2758="LMS",F2758&gt;0,OR(D2758="",E2758="")),"Mangler maskin eller arbeid",IF(AND(OR(C2758="LMS",C2758="Mod"),D2758&lt;&gt;""),IF(IFERROR(INDEX(MaskinStatus,MATCH(D2758,Maskiner,0)),"")="I dokk","","Maskinen er ikke i dokk"),""))))))</f>
        <v/>
      </c>
      <c r="L2758" s="2">
        <f>IF(B2758="","",IFERROR(INT((MATCH(B2758,Teknikere,0)-1)/18)+1,""))</f>
        <v/>
      </c>
      <c r="M2758" s="2">
        <f>IF(OR(A2758="",B2758=""),"",B2758&amp;"|"&amp;A2758)</f>
        <v/>
      </c>
      <c r="N2758" s="2">
        <f>IF(M2758="","",SUMIFS(TF_Timer,TF_Nokkel,M2758,TF_Akt,C2758))</f>
        <v/>
      </c>
      <c r="O2758" s="2">
        <f>IF(M2758="","",IF(AND(N2758=_xlfn.MAXIFS(TF_AktSum,TF_Nokkel,M2758),COUNTIFS(M$3:M2757,M2758,N$3:N2757,N2758)=0),M2758,""))</f>
        <v/>
      </c>
    </row>
    <row r="2759">
      <c r="A2759" s="34" t="n"/>
      <c r="B2759" s="35" t="n"/>
      <c r="C2759" s="35" t="n"/>
      <c r="D2759" s="35" t="n"/>
      <c r="E2759" s="35" t="n"/>
      <c r="F2759" s="36" t="n"/>
      <c r="G2759" s="35" t="n"/>
      <c r="H2759" s="30">
        <f>IF(L2759="","",INDEX(SkiftNavn,L2759))</f>
        <v/>
      </c>
      <c r="I2759" s="30">
        <f>IF(OR(A2759="",L2759=""),"",IF(MOD(A2759-INDEX(SkiftStart,L2759),Syklus)&lt;DagK,"Kveld",IF(MOD(A2759-INDEX(SkiftStart,L2759),Syklus)&lt;DagK+DagH,"Helg",IF(MOD(A2759-INDEX(SkiftStart,L2759),Syklus)&lt;DagK+DagH+DagD,"Dag","Fri"))))</f>
        <v/>
      </c>
      <c r="J2759" s="30">
        <f>IF(I2759="Fri","Ja","")</f>
        <v/>
      </c>
      <c r="K2759" s="30">
        <f>IF(B2759="","",IF(L2759="","Ukjent tekniker",IF(ISNA(MATCH(C2759,Aktiviteter,0)),"Ukjent aktivitet",IF(AND(INDEX(AktRolle,MATCH(C2759,Aktiviteter,0))&amp;""&lt;&gt;"",ISERROR(SEARCH(INDEX(AktRolle,MATCH(C2759,Aktiviteter,0))&amp;"",INDEX(TekRoller,MATCH(B2759,Teknikere,0))))),"Mangler rollen "&amp;INDEX(AktRolle,MATCH(C2759,Aktiviteter,0))&amp;"",IF(AND(C2759="LMS",F2759&gt;0,OR(D2759="",E2759="")),"Mangler maskin eller arbeid",IF(AND(OR(C2759="LMS",C2759="Mod"),D2759&lt;&gt;""),IF(IFERROR(INDEX(MaskinStatus,MATCH(D2759,Maskiner,0)),"")="I dokk","","Maskinen er ikke i dokk"),""))))))</f>
        <v/>
      </c>
      <c r="L2759" s="2">
        <f>IF(B2759="","",IFERROR(INT((MATCH(B2759,Teknikere,0)-1)/18)+1,""))</f>
        <v/>
      </c>
      <c r="M2759" s="2">
        <f>IF(OR(A2759="",B2759=""),"",B2759&amp;"|"&amp;A2759)</f>
        <v/>
      </c>
      <c r="N2759" s="2">
        <f>IF(M2759="","",SUMIFS(TF_Timer,TF_Nokkel,M2759,TF_Akt,C2759))</f>
        <v/>
      </c>
      <c r="O2759" s="2">
        <f>IF(M2759="","",IF(AND(N2759=_xlfn.MAXIFS(TF_AktSum,TF_Nokkel,M2759),COUNTIFS(M$3:M2758,M2759,N$3:N2758,N2759)=0),M2759,""))</f>
        <v/>
      </c>
    </row>
    <row r="2760">
      <c r="A2760" s="34" t="n"/>
      <c r="B2760" s="35" t="n"/>
      <c r="C2760" s="35" t="n"/>
      <c r="D2760" s="35" t="n"/>
      <c r="E2760" s="35" t="n"/>
      <c r="F2760" s="36" t="n"/>
      <c r="G2760" s="35" t="n"/>
      <c r="H2760" s="30">
        <f>IF(L2760="","",INDEX(SkiftNavn,L2760))</f>
        <v/>
      </c>
      <c r="I2760" s="30">
        <f>IF(OR(A2760="",L2760=""),"",IF(MOD(A2760-INDEX(SkiftStart,L2760),Syklus)&lt;DagK,"Kveld",IF(MOD(A2760-INDEX(SkiftStart,L2760),Syklus)&lt;DagK+DagH,"Helg",IF(MOD(A2760-INDEX(SkiftStart,L2760),Syklus)&lt;DagK+DagH+DagD,"Dag","Fri"))))</f>
        <v/>
      </c>
      <c r="J2760" s="30">
        <f>IF(I2760="Fri","Ja","")</f>
        <v/>
      </c>
      <c r="K2760" s="30">
        <f>IF(B2760="","",IF(L2760="","Ukjent tekniker",IF(ISNA(MATCH(C2760,Aktiviteter,0)),"Ukjent aktivitet",IF(AND(INDEX(AktRolle,MATCH(C2760,Aktiviteter,0))&amp;""&lt;&gt;"",ISERROR(SEARCH(INDEX(AktRolle,MATCH(C2760,Aktiviteter,0))&amp;"",INDEX(TekRoller,MATCH(B2760,Teknikere,0))))),"Mangler rollen "&amp;INDEX(AktRolle,MATCH(C2760,Aktiviteter,0))&amp;"",IF(AND(C2760="LMS",F2760&gt;0,OR(D2760="",E2760="")),"Mangler maskin eller arbeid",IF(AND(OR(C2760="LMS",C2760="Mod"),D2760&lt;&gt;""),IF(IFERROR(INDEX(MaskinStatus,MATCH(D2760,Maskiner,0)),"")="I dokk","","Maskinen er ikke i dokk"),""))))))</f>
        <v/>
      </c>
      <c r="L2760" s="2">
        <f>IF(B2760="","",IFERROR(INT((MATCH(B2760,Teknikere,0)-1)/18)+1,""))</f>
        <v/>
      </c>
      <c r="M2760" s="2">
        <f>IF(OR(A2760="",B2760=""),"",B2760&amp;"|"&amp;A2760)</f>
        <v/>
      </c>
      <c r="N2760" s="2">
        <f>IF(M2760="","",SUMIFS(TF_Timer,TF_Nokkel,M2760,TF_Akt,C2760))</f>
        <v/>
      </c>
      <c r="O2760" s="2">
        <f>IF(M2760="","",IF(AND(N2760=_xlfn.MAXIFS(TF_AktSum,TF_Nokkel,M2760),COUNTIFS(M$3:M2759,M2760,N$3:N2759,N2760)=0),M2760,""))</f>
        <v/>
      </c>
    </row>
    <row r="2761">
      <c r="A2761" s="34" t="n"/>
      <c r="B2761" s="35" t="n"/>
      <c r="C2761" s="35" t="n"/>
      <c r="D2761" s="35" t="n"/>
      <c r="E2761" s="35" t="n"/>
      <c r="F2761" s="36" t="n"/>
      <c r="G2761" s="35" t="n"/>
      <c r="H2761" s="30">
        <f>IF(L2761="","",INDEX(SkiftNavn,L2761))</f>
        <v/>
      </c>
      <c r="I2761" s="30">
        <f>IF(OR(A2761="",L2761=""),"",IF(MOD(A2761-INDEX(SkiftStart,L2761),Syklus)&lt;DagK,"Kveld",IF(MOD(A2761-INDEX(SkiftStart,L2761),Syklus)&lt;DagK+DagH,"Helg",IF(MOD(A2761-INDEX(SkiftStart,L2761),Syklus)&lt;DagK+DagH+DagD,"Dag","Fri"))))</f>
        <v/>
      </c>
      <c r="J2761" s="30">
        <f>IF(I2761="Fri","Ja","")</f>
        <v/>
      </c>
      <c r="K2761" s="30">
        <f>IF(B2761="","",IF(L2761="","Ukjent tekniker",IF(ISNA(MATCH(C2761,Aktiviteter,0)),"Ukjent aktivitet",IF(AND(INDEX(AktRolle,MATCH(C2761,Aktiviteter,0))&amp;""&lt;&gt;"",ISERROR(SEARCH(INDEX(AktRolle,MATCH(C2761,Aktiviteter,0))&amp;"",INDEX(TekRoller,MATCH(B2761,Teknikere,0))))),"Mangler rollen "&amp;INDEX(AktRolle,MATCH(C2761,Aktiviteter,0))&amp;"",IF(AND(C2761="LMS",F2761&gt;0,OR(D2761="",E2761="")),"Mangler maskin eller arbeid",IF(AND(OR(C2761="LMS",C2761="Mod"),D2761&lt;&gt;""),IF(IFERROR(INDEX(MaskinStatus,MATCH(D2761,Maskiner,0)),"")="I dokk","","Maskinen er ikke i dokk"),""))))))</f>
        <v/>
      </c>
      <c r="L2761" s="2">
        <f>IF(B2761="","",IFERROR(INT((MATCH(B2761,Teknikere,0)-1)/18)+1,""))</f>
        <v/>
      </c>
      <c r="M2761" s="2">
        <f>IF(OR(A2761="",B2761=""),"",B2761&amp;"|"&amp;A2761)</f>
        <v/>
      </c>
      <c r="N2761" s="2">
        <f>IF(M2761="","",SUMIFS(TF_Timer,TF_Nokkel,M2761,TF_Akt,C2761))</f>
        <v/>
      </c>
      <c r="O2761" s="2">
        <f>IF(M2761="","",IF(AND(N2761=_xlfn.MAXIFS(TF_AktSum,TF_Nokkel,M2761),COUNTIFS(M$3:M2760,M2761,N$3:N2760,N2761)=0),M2761,""))</f>
        <v/>
      </c>
    </row>
    <row r="2762">
      <c r="A2762" s="34" t="n"/>
      <c r="B2762" s="35" t="n"/>
      <c r="C2762" s="35" t="n"/>
      <c r="D2762" s="35" t="n"/>
      <c r="E2762" s="35" t="n"/>
      <c r="F2762" s="36" t="n"/>
      <c r="G2762" s="35" t="n"/>
      <c r="H2762" s="30">
        <f>IF(L2762="","",INDEX(SkiftNavn,L2762))</f>
        <v/>
      </c>
      <c r="I2762" s="30">
        <f>IF(OR(A2762="",L2762=""),"",IF(MOD(A2762-INDEX(SkiftStart,L2762),Syklus)&lt;DagK,"Kveld",IF(MOD(A2762-INDEX(SkiftStart,L2762),Syklus)&lt;DagK+DagH,"Helg",IF(MOD(A2762-INDEX(SkiftStart,L2762),Syklus)&lt;DagK+DagH+DagD,"Dag","Fri"))))</f>
        <v/>
      </c>
      <c r="J2762" s="30">
        <f>IF(I2762="Fri","Ja","")</f>
        <v/>
      </c>
      <c r="K2762" s="30">
        <f>IF(B2762="","",IF(L2762="","Ukjent tekniker",IF(ISNA(MATCH(C2762,Aktiviteter,0)),"Ukjent aktivitet",IF(AND(INDEX(AktRolle,MATCH(C2762,Aktiviteter,0))&amp;""&lt;&gt;"",ISERROR(SEARCH(INDEX(AktRolle,MATCH(C2762,Aktiviteter,0))&amp;"",INDEX(TekRoller,MATCH(B2762,Teknikere,0))))),"Mangler rollen "&amp;INDEX(AktRolle,MATCH(C2762,Aktiviteter,0))&amp;"",IF(AND(C2762="LMS",F2762&gt;0,OR(D2762="",E2762="")),"Mangler maskin eller arbeid",IF(AND(OR(C2762="LMS",C2762="Mod"),D2762&lt;&gt;""),IF(IFERROR(INDEX(MaskinStatus,MATCH(D2762,Maskiner,0)),"")="I dokk","","Maskinen er ikke i dokk"),""))))))</f>
        <v/>
      </c>
      <c r="L2762" s="2">
        <f>IF(B2762="","",IFERROR(INT((MATCH(B2762,Teknikere,0)-1)/18)+1,""))</f>
        <v/>
      </c>
      <c r="M2762" s="2">
        <f>IF(OR(A2762="",B2762=""),"",B2762&amp;"|"&amp;A2762)</f>
        <v/>
      </c>
      <c r="N2762" s="2">
        <f>IF(M2762="","",SUMIFS(TF_Timer,TF_Nokkel,M2762,TF_Akt,C2762))</f>
        <v/>
      </c>
      <c r="O2762" s="2">
        <f>IF(M2762="","",IF(AND(N2762=_xlfn.MAXIFS(TF_AktSum,TF_Nokkel,M2762),COUNTIFS(M$3:M2761,M2762,N$3:N2761,N2762)=0),M2762,""))</f>
        <v/>
      </c>
    </row>
    <row r="2763">
      <c r="A2763" s="34" t="n"/>
      <c r="B2763" s="35" t="n"/>
      <c r="C2763" s="35" t="n"/>
      <c r="D2763" s="35" t="n"/>
      <c r="E2763" s="35" t="n"/>
      <c r="F2763" s="36" t="n"/>
      <c r="G2763" s="35" t="n"/>
      <c r="H2763" s="30">
        <f>IF(L2763="","",INDEX(SkiftNavn,L2763))</f>
        <v/>
      </c>
      <c r="I2763" s="30">
        <f>IF(OR(A2763="",L2763=""),"",IF(MOD(A2763-INDEX(SkiftStart,L2763),Syklus)&lt;DagK,"Kveld",IF(MOD(A2763-INDEX(SkiftStart,L2763),Syklus)&lt;DagK+DagH,"Helg",IF(MOD(A2763-INDEX(SkiftStart,L2763),Syklus)&lt;DagK+DagH+DagD,"Dag","Fri"))))</f>
        <v/>
      </c>
      <c r="J2763" s="30">
        <f>IF(I2763="Fri","Ja","")</f>
        <v/>
      </c>
      <c r="K2763" s="30">
        <f>IF(B2763="","",IF(L2763="","Ukjent tekniker",IF(ISNA(MATCH(C2763,Aktiviteter,0)),"Ukjent aktivitet",IF(AND(INDEX(AktRolle,MATCH(C2763,Aktiviteter,0))&amp;""&lt;&gt;"",ISERROR(SEARCH(INDEX(AktRolle,MATCH(C2763,Aktiviteter,0))&amp;"",INDEX(TekRoller,MATCH(B2763,Teknikere,0))))),"Mangler rollen "&amp;INDEX(AktRolle,MATCH(C2763,Aktiviteter,0))&amp;"",IF(AND(C2763="LMS",F2763&gt;0,OR(D2763="",E2763="")),"Mangler maskin eller arbeid",IF(AND(OR(C2763="LMS",C2763="Mod"),D2763&lt;&gt;""),IF(IFERROR(INDEX(MaskinStatus,MATCH(D2763,Maskiner,0)),"")="I dokk","","Maskinen er ikke i dokk"),""))))))</f>
        <v/>
      </c>
      <c r="L2763" s="2">
        <f>IF(B2763="","",IFERROR(INT((MATCH(B2763,Teknikere,0)-1)/18)+1,""))</f>
        <v/>
      </c>
      <c r="M2763" s="2">
        <f>IF(OR(A2763="",B2763=""),"",B2763&amp;"|"&amp;A2763)</f>
        <v/>
      </c>
      <c r="N2763" s="2">
        <f>IF(M2763="","",SUMIFS(TF_Timer,TF_Nokkel,M2763,TF_Akt,C2763))</f>
        <v/>
      </c>
      <c r="O2763" s="2">
        <f>IF(M2763="","",IF(AND(N2763=_xlfn.MAXIFS(TF_AktSum,TF_Nokkel,M2763),COUNTIFS(M$3:M2762,M2763,N$3:N2762,N2763)=0),M2763,""))</f>
        <v/>
      </c>
    </row>
    <row r="2764">
      <c r="A2764" s="34" t="n"/>
      <c r="B2764" s="35" t="n"/>
      <c r="C2764" s="35" t="n"/>
      <c r="D2764" s="35" t="n"/>
      <c r="E2764" s="35" t="n"/>
      <c r="F2764" s="36" t="n"/>
      <c r="G2764" s="35" t="n"/>
      <c r="H2764" s="30">
        <f>IF(L2764="","",INDEX(SkiftNavn,L2764))</f>
        <v/>
      </c>
      <c r="I2764" s="30">
        <f>IF(OR(A2764="",L2764=""),"",IF(MOD(A2764-INDEX(SkiftStart,L2764),Syklus)&lt;DagK,"Kveld",IF(MOD(A2764-INDEX(SkiftStart,L2764),Syklus)&lt;DagK+DagH,"Helg",IF(MOD(A2764-INDEX(SkiftStart,L2764),Syklus)&lt;DagK+DagH+DagD,"Dag","Fri"))))</f>
        <v/>
      </c>
      <c r="J2764" s="30">
        <f>IF(I2764="Fri","Ja","")</f>
        <v/>
      </c>
      <c r="K2764" s="30">
        <f>IF(B2764="","",IF(L2764="","Ukjent tekniker",IF(ISNA(MATCH(C2764,Aktiviteter,0)),"Ukjent aktivitet",IF(AND(INDEX(AktRolle,MATCH(C2764,Aktiviteter,0))&amp;""&lt;&gt;"",ISERROR(SEARCH(INDEX(AktRolle,MATCH(C2764,Aktiviteter,0))&amp;"",INDEX(TekRoller,MATCH(B2764,Teknikere,0))))),"Mangler rollen "&amp;INDEX(AktRolle,MATCH(C2764,Aktiviteter,0))&amp;"",IF(AND(C2764="LMS",F2764&gt;0,OR(D2764="",E2764="")),"Mangler maskin eller arbeid",IF(AND(OR(C2764="LMS",C2764="Mod"),D2764&lt;&gt;""),IF(IFERROR(INDEX(MaskinStatus,MATCH(D2764,Maskiner,0)),"")="I dokk","","Maskinen er ikke i dokk"),""))))))</f>
        <v/>
      </c>
      <c r="L2764" s="2">
        <f>IF(B2764="","",IFERROR(INT((MATCH(B2764,Teknikere,0)-1)/18)+1,""))</f>
        <v/>
      </c>
      <c r="M2764" s="2">
        <f>IF(OR(A2764="",B2764=""),"",B2764&amp;"|"&amp;A2764)</f>
        <v/>
      </c>
      <c r="N2764" s="2">
        <f>IF(M2764="","",SUMIFS(TF_Timer,TF_Nokkel,M2764,TF_Akt,C2764))</f>
        <v/>
      </c>
      <c r="O2764" s="2">
        <f>IF(M2764="","",IF(AND(N2764=_xlfn.MAXIFS(TF_AktSum,TF_Nokkel,M2764),COUNTIFS(M$3:M2763,M2764,N$3:N2763,N2764)=0),M2764,""))</f>
        <v/>
      </c>
    </row>
    <row r="2765">
      <c r="A2765" s="34" t="n"/>
      <c r="B2765" s="35" t="n"/>
      <c r="C2765" s="35" t="n"/>
      <c r="D2765" s="35" t="n"/>
      <c r="E2765" s="35" t="n"/>
      <c r="F2765" s="36" t="n"/>
      <c r="G2765" s="35" t="n"/>
      <c r="H2765" s="30">
        <f>IF(L2765="","",INDEX(SkiftNavn,L2765))</f>
        <v/>
      </c>
      <c r="I2765" s="30">
        <f>IF(OR(A2765="",L2765=""),"",IF(MOD(A2765-INDEX(SkiftStart,L2765),Syklus)&lt;DagK,"Kveld",IF(MOD(A2765-INDEX(SkiftStart,L2765),Syklus)&lt;DagK+DagH,"Helg",IF(MOD(A2765-INDEX(SkiftStart,L2765),Syklus)&lt;DagK+DagH+DagD,"Dag","Fri"))))</f>
        <v/>
      </c>
      <c r="J2765" s="30">
        <f>IF(I2765="Fri","Ja","")</f>
        <v/>
      </c>
      <c r="K2765" s="30">
        <f>IF(B2765="","",IF(L2765="","Ukjent tekniker",IF(ISNA(MATCH(C2765,Aktiviteter,0)),"Ukjent aktivitet",IF(AND(INDEX(AktRolle,MATCH(C2765,Aktiviteter,0))&amp;""&lt;&gt;"",ISERROR(SEARCH(INDEX(AktRolle,MATCH(C2765,Aktiviteter,0))&amp;"",INDEX(TekRoller,MATCH(B2765,Teknikere,0))))),"Mangler rollen "&amp;INDEX(AktRolle,MATCH(C2765,Aktiviteter,0))&amp;"",IF(AND(C2765="LMS",F2765&gt;0,OR(D2765="",E2765="")),"Mangler maskin eller arbeid",IF(AND(OR(C2765="LMS",C2765="Mod"),D2765&lt;&gt;""),IF(IFERROR(INDEX(MaskinStatus,MATCH(D2765,Maskiner,0)),"")="I dokk","","Maskinen er ikke i dokk"),""))))))</f>
        <v/>
      </c>
      <c r="L2765" s="2">
        <f>IF(B2765="","",IFERROR(INT((MATCH(B2765,Teknikere,0)-1)/18)+1,""))</f>
        <v/>
      </c>
      <c r="M2765" s="2">
        <f>IF(OR(A2765="",B2765=""),"",B2765&amp;"|"&amp;A2765)</f>
        <v/>
      </c>
      <c r="N2765" s="2">
        <f>IF(M2765="","",SUMIFS(TF_Timer,TF_Nokkel,M2765,TF_Akt,C2765))</f>
        <v/>
      </c>
      <c r="O2765" s="2">
        <f>IF(M2765="","",IF(AND(N2765=_xlfn.MAXIFS(TF_AktSum,TF_Nokkel,M2765),COUNTIFS(M$3:M2764,M2765,N$3:N2764,N2765)=0),M2765,""))</f>
        <v/>
      </c>
    </row>
    <row r="2766">
      <c r="A2766" s="34" t="n"/>
      <c r="B2766" s="35" t="n"/>
      <c r="C2766" s="35" t="n"/>
      <c r="D2766" s="35" t="n"/>
      <c r="E2766" s="35" t="n"/>
      <c r="F2766" s="36" t="n"/>
      <c r="G2766" s="35" t="n"/>
      <c r="H2766" s="30">
        <f>IF(L2766="","",INDEX(SkiftNavn,L2766))</f>
        <v/>
      </c>
      <c r="I2766" s="30">
        <f>IF(OR(A2766="",L2766=""),"",IF(MOD(A2766-INDEX(SkiftStart,L2766),Syklus)&lt;DagK,"Kveld",IF(MOD(A2766-INDEX(SkiftStart,L2766),Syklus)&lt;DagK+DagH,"Helg",IF(MOD(A2766-INDEX(SkiftStart,L2766),Syklus)&lt;DagK+DagH+DagD,"Dag","Fri"))))</f>
        <v/>
      </c>
      <c r="J2766" s="30">
        <f>IF(I2766="Fri","Ja","")</f>
        <v/>
      </c>
      <c r="K2766" s="30">
        <f>IF(B2766="","",IF(L2766="","Ukjent tekniker",IF(ISNA(MATCH(C2766,Aktiviteter,0)),"Ukjent aktivitet",IF(AND(INDEX(AktRolle,MATCH(C2766,Aktiviteter,0))&amp;""&lt;&gt;"",ISERROR(SEARCH(INDEX(AktRolle,MATCH(C2766,Aktiviteter,0))&amp;"",INDEX(TekRoller,MATCH(B2766,Teknikere,0))))),"Mangler rollen "&amp;INDEX(AktRolle,MATCH(C2766,Aktiviteter,0))&amp;"",IF(AND(C2766="LMS",F2766&gt;0,OR(D2766="",E2766="")),"Mangler maskin eller arbeid",IF(AND(OR(C2766="LMS",C2766="Mod"),D2766&lt;&gt;""),IF(IFERROR(INDEX(MaskinStatus,MATCH(D2766,Maskiner,0)),"")="I dokk","","Maskinen er ikke i dokk"),""))))))</f>
        <v/>
      </c>
      <c r="L2766" s="2">
        <f>IF(B2766="","",IFERROR(INT((MATCH(B2766,Teknikere,0)-1)/18)+1,""))</f>
        <v/>
      </c>
      <c r="M2766" s="2">
        <f>IF(OR(A2766="",B2766=""),"",B2766&amp;"|"&amp;A2766)</f>
        <v/>
      </c>
      <c r="N2766" s="2">
        <f>IF(M2766="","",SUMIFS(TF_Timer,TF_Nokkel,M2766,TF_Akt,C2766))</f>
        <v/>
      </c>
      <c r="O2766" s="2">
        <f>IF(M2766="","",IF(AND(N2766=_xlfn.MAXIFS(TF_AktSum,TF_Nokkel,M2766),COUNTIFS(M$3:M2765,M2766,N$3:N2765,N2766)=0),M2766,""))</f>
        <v/>
      </c>
    </row>
    <row r="2767">
      <c r="A2767" s="34" t="n"/>
      <c r="B2767" s="35" t="n"/>
      <c r="C2767" s="35" t="n"/>
      <c r="D2767" s="35" t="n"/>
      <c r="E2767" s="35" t="n"/>
      <c r="F2767" s="36" t="n"/>
      <c r="G2767" s="35" t="n"/>
      <c r="H2767" s="30">
        <f>IF(L2767="","",INDEX(SkiftNavn,L2767))</f>
        <v/>
      </c>
      <c r="I2767" s="30">
        <f>IF(OR(A2767="",L2767=""),"",IF(MOD(A2767-INDEX(SkiftStart,L2767),Syklus)&lt;DagK,"Kveld",IF(MOD(A2767-INDEX(SkiftStart,L2767),Syklus)&lt;DagK+DagH,"Helg",IF(MOD(A2767-INDEX(SkiftStart,L2767),Syklus)&lt;DagK+DagH+DagD,"Dag","Fri"))))</f>
        <v/>
      </c>
      <c r="J2767" s="30">
        <f>IF(I2767="Fri","Ja","")</f>
        <v/>
      </c>
      <c r="K2767" s="30">
        <f>IF(B2767="","",IF(L2767="","Ukjent tekniker",IF(ISNA(MATCH(C2767,Aktiviteter,0)),"Ukjent aktivitet",IF(AND(INDEX(AktRolle,MATCH(C2767,Aktiviteter,0))&amp;""&lt;&gt;"",ISERROR(SEARCH(INDEX(AktRolle,MATCH(C2767,Aktiviteter,0))&amp;"",INDEX(TekRoller,MATCH(B2767,Teknikere,0))))),"Mangler rollen "&amp;INDEX(AktRolle,MATCH(C2767,Aktiviteter,0))&amp;"",IF(AND(C2767="LMS",F2767&gt;0,OR(D2767="",E2767="")),"Mangler maskin eller arbeid",IF(AND(OR(C2767="LMS",C2767="Mod"),D2767&lt;&gt;""),IF(IFERROR(INDEX(MaskinStatus,MATCH(D2767,Maskiner,0)),"")="I dokk","","Maskinen er ikke i dokk"),""))))))</f>
        <v/>
      </c>
      <c r="L2767" s="2">
        <f>IF(B2767="","",IFERROR(INT((MATCH(B2767,Teknikere,0)-1)/18)+1,""))</f>
        <v/>
      </c>
      <c r="M2767" s="2">
        <f>IF(OR(A2767="",B2767=""),"",B2767&amp;"|"&amp;A2767)</f>
        <v/>
      </c>
      <c r="N2767" s="2">
        <f>IF(M2767="","",SUMIFS(TF_Timer,TF_Nokkel,M2767,TF_Akt,C2767))</f>
        <v/>
      </c>
      <c r="O2767" s="2">
        <f>IF(M2767="","",IF(AND(N2767=_xlfn.MAXIFS(TF_AktSum,TF_Nokkel,M2767),COUNTIFS(M$3:M2766,M2767,N$3:N2766,N2767)=0),M2767,""))</f>
        <v/>
      </c>
    </row>
    <row r="2768">
      <c r="A2768" s="34" t="n"/>
      <c r="B2768" s="35" t="n"/>
      <c r="C2768" s="35" t="n"/>
      <c r="D2768" s="35" t="n"/>
      <c r="E2768" s="35" t="n"/>
      <c r="F2768" s="36" t="n"/>
      <c r="G2768" s="35" t="n"/>
      <c r="H2768" s="30">
        <f>IF(L2768="","",INDEX(SkiftNavn,L2768))</f>
        <v/>
      </c>
      <c r="I2768" s="30">
        <f>IF(OR(A2768="",L2768=""),"",IF(MOD(A2768-INDEX(SkiftStart,L2768),Syklus)&lt;DagK,"Kveld",IF(MOD(A2768-INDEX(SkiftStart,L2768),Syklus)&lt;DagK+DagH,"Helg",IF(MOD(A2768-INDEX(SkiftStart,L2768),Syklus)&lt;DagK+DagH+DagD,"Dag","Fri"))))</f>
        <v/>
      </c>
      <c r="J2768" s="30">
        <f>IF(I2768="Fri","Ja","")</f>
        <v/>
      </c>
      <c r="K2768" s="30">
        <f>IF(B2768="","",IF(L2768="","Ukjent tekniker",IF(ISNA(MATCH(C2768,Aktiviteter,0)),"Ukjent aktivitet",IF(AND(INDEX(AktRolle,MATCH(C2768,Aktiviteter,0))&amp;""&lt;&gt;"",ISERROR(SEARCH(INDEX(AktRolle,MATCH(C2768,Aktiviteter,0))&amp;"",INDEX(TekRoller,MATCH(B2768,Teknikere,0))))),"Mangler rollen "&amp;INDEX(AktRolle,MATCH(C2768,Aktiviteter,0))&amp;"",IF(AND(C2768="LMS",F2768&gt;0,OR(D2768="",E2768="")),"Mangler maskin eller arbeid",IF(AND(OR(C2768="LMS",C2768="Mod"),D2768&lt;&gt;""),IF(IFERROR(INDEX(MaskinStatus,MATCH(D2768,Maskiner,0)),"")="I dokk","","Maskinen er ikke i dokk"),""))))))</f>
        <v/>
      </c>
      <c r="L2768" s="2">
        <f>IF(B2768="","",IFERROR(INT((MATCH(B2768,Teknikere,0)-1)/18)+1,""))</f>
        <v/>
      </c>
      <c r="M2768" s="2">
        <f>IF(OR(A2768="",B2768=""),"",B2768&amp;"|"&amp;A2768)</f>
        <v/>
      </c>
      <c r="N2768" s="2">
        <f>IF(M2768="","",SUMIFS(TF_Timer,TF_Nokkel,M2768,TF_Akt,C2768))</f>
        <v/>
      </c>
      <c r="O2768" s="2">
        <f>IF(M2768="","",IF(AND(N2768=_xlfn.MAXIFS(TF_AktSum,TF_Nokkel,M2768),COUNTIFS(M$3:M2767,M2768,N$3:N2767,N2768)=0),M2768,""))</f>
        <v/>
      </c>
    </row>
    <row r="2769">
      <c r="A2769" s="34" t="n"/>
      <c r="B2769" s="35" t="n"/>
      <c r="C2769" s="35" t="n"/>
      <c r="D2769" s="35" t="n"/>
      <c r="E2769" s="35" t="n"/>
      <c r="F2769" s="36" t="n"/>
      <c r="G2769" s="35" t="n"/>
      <c r="H2769" s="30">
        <f>IF(L2769="","",INDEX(SkiftNavn,L2769))</f>
        <v/>
      </c>
      <c r="I2769" s="30">
        <f>IF(OR(A2769="",L2769=""),"",IF(MOD(A2769-INDEX(SkiftStart,L2769),Syklus)&lt;DagK,"Kveld",IF(MOD(A2769-INDEX(SkiftStart,L2769),Syklus)&lt;DagK+DagH,"Helg",IF(MOD(A2769-INDEX(SkiftStart,L2769),Syklus)&lt;DagK+DagH+DagD,"Dag","Fri"))))</f>
        <v/>
      </c>
      <c r="J2769" s="30">
        <f>IF(I2769="Fri","Ja","")</f>
        <v/>
      </c>
      <c r="K2769" s="30">
        <f>IF(B2769="","",IF(L2769="","Ukjent tekniker",IF(ISNA(MATCH(C2769,Aktiviteter,0)),"Ukjent aktivitet",IF(AND(INDEX(AktRolle,MATCH(C2769,Aktiviteter,0))&amp;""&lt;&gt;"",ISERROR(SEARCH(INDEX(AktRolle,MATCH(C2769,Aktiviteter,0))&amp;"",INDEX(TekRoller,MATCH(B2769,Teknikere,0))))),"Mangler rollen "&amp;INDEX(AktRolle,MATCH(C2769,Aktiviteter,0))&amp;"",IF(AND(C2769="LMS",F2769&gt;0,OR(D2769="",E2769="")),"Mangler maskin eller arbeid",IF(AND(OR(C2769="LMS",C2769="Mod"),D2769&lt;&gt;""),IF(IFERROR(INDEX(MaskinStatus,MATCH(D2769,Maskiner,0)),"")="I dokk","","Maskinen er ikke i dokk"),""))))))</f>
        <v/>
      </c>
      <c r="L2769" s="2">
        <f>IF(B2769="","",IFERROR(INT((MATCH(B2769,Teknikere,0)-1)/18)+1,""))</f>
        <v/>
      </c>
      <c r="M2769" s="2">
        <f>IF(OR(A2769="",B2769=""),"",B2769&amp;"|"&amp;A2769)</f>
        <v/>
      </c>
      <c r="N2769" s="2">
        <f>IF(M2769="","",SUMIFS(TF_Timer,TF_Nokkel,M2769,TF_Akt,C2769))</f>
        <v/>
      </c>
      <c r="O2769" s="2">
        <f>IF(M2769="","",IF(AND(N2769=_xlfn.MAXIFS(TF_AktSum,TF_Nokkel,M2769),COUNTIFS(M$3:M2768,M2769,N$3:N2768,N2769)=0),M2769,""))</f>
        <v/>
      </c>
    </row>
    <row r="2770">
      <c r="A2770" s="34" t="n"/>
      <c r="B2770" s="35" t="n"/>
      <c r="C2770" s="35" t="n"/>
      <c r="D2770" s="35" t="n"/>
      <c r="E2770" s="35" t="n"/>
      <c r="F2770" s="36" t="n"/>
      <c r="G2770" s="35" t="n"/>
      <c r="H2770" s="30">
        <f>IF(L2770="","",INDEX(SkiftNavn,L2770))</f>
        <v/>
      </c>
      <c r="I2770" s="30">
        <f>IF(OR(A2770="",L2770=""),"",IF(MOD(A2770-INDEX(SkiftStart,L2770),Syklus)&lt;DagK,"Kveld",IF(MOD(A2770-INDEX(SkiftStart,L2770),Syklus)&lt;DagK+DagH,"Helg",IF(MOD(A2770-INDEX(SkiftStart,L2770),Syklus)&lt;DagK+DagH+DagD,"Dag","Fri"))))</f>
        <v/>
      </c>
      <c r="J2770" s="30">
        <f>IF(I2770="Fri","Ja","")</f>
        <v/>
      </c>
      <c r="K2770" s="30">
        <f>IF(B2770="","",IF(L2770="","Ukjent tekniker",IF(ISNA(MATCH(C2770,Aktiviteter,0)),"Ukjent aktivitet",IF(AND(INDEX(AktRolle,MATCH(C2770,Aktiviteter,0))&amp;""&lt;&gt;"",ISERROR(SEARCH(INDEX(AktRolle,MATCH(C2770,Aktiviteter,0))&amp;"",INDEX(TekRoller,MATCH(B2770,Teknikere,0))))),"Mangler rollen "&amp;INDEX(AktRolle,MATCH(C2770,Aktiviteter,0))&amp;"",IF(AND(C2770="LMS",F2770&gt;0,OR(D2770="",E2770="")),"Mangler maskin eller arbeid",IF(AND(OR(C2770="LMS",C2770="Mod"),D2770&lt;&gt;""),IF(IFERROR(INDEX(MaskinStatus,MATCH(D2770,Maskiner,0)),"")="I dokk","","Maskinen er ikke i dokk"),""))))))</f>
        <v/>
      </c>
      <c r="L2770" s="2">
        <f>IF(B2770="","",IFERROR(INT((MATCH(B2770,Teknikere,0)-1)/18)+1,""))</f>
        <v/>
      </c>
      <c r="M2770" s="2">
        <f>IF(OR(A2770="",B2770=""),"",B2770&amp;"|"&amp;A2770)</f>
        <v/>
      </c>
      <c r="N2770" s="2">
        <f>IF(M2770="","",SUMIFS(TF_Timer,TF_Nokkel,M2770,TF_Akt,C2770))</f>
        <v/>
      </c>
      <c r="O2770" s="2">
        <f>IF(M2770="","",IF(AND(N2770=_xlfn.MAXIFS(TF_AktSum,TF_Nokkel,M2770),COUNTIFS(M$3:M2769,M2770,N$3:N2769,N2770)=0),M2770,""))</f>
        <v/>
      </c>
    </row>
    <row r="2771">
      <c r="A2771" s="34" t="n"/>
      <c r="B2771" s="35" t="n"/>
      <c r="C2771" s="35" t="n"/>
      <c r="D2771" s="35" t="n"/>
      <c r="E2771" s="35" t="n"/>
      <c r="F2771" s="36" t="n"/>
      <c r="G2771" s="35" t="n"/>
      <c r="H2771" s="30">
        <f>IF(L2771="","",INDEX(SkiftNavn,L2771))</f>
        <v/>
      </c>
      <c r="I2771" s="30">
        <f>IF(OR(A2771="",L2771=""),"",IF(MOD(A2771-INDEX(SkiftStart,L2771),Syklus)&lt;DagK,"Kveld",IF(MOD(A2771-INDEX(SkiftStart,L2771),Syklus)&lt;DagK+DagH,"Helg",IF(MOD(A2771-INDEX(SkiftStart,L2771),Syklus)&lt;DagK+DagH+DagD,"Dag","Fri"))))</f>
        <v/>
      </c>
      <c r="J2771" s="30">
        <f>IF(I2771="Fri","Ja","")</f>
        <v/>
      </c>
      <c r="K2771" s="30">
        <f>IF(B2771="","",IF(L2771="","Ukjent tekniker",IF(ISNA(MATCH(C2771,Aktiviteter,0)),"Ukjent aktivitet",IF(AND(INDEX(AktRolle,MATCH(C2771,Aktiviteter,0))&amp;""&lt;&gt;"",ISERROR(SEARCH(INDEX(AktRolle,MATCH(C2771,Aktiviteter,0))&amp;"",INDEX(TekRoller,MATCH(B2771,Teknikere,0))))),"Mangler rollen "&amp;INDEX(AktRolle,MATCH(C2771,Aktiviteter,0))&amp;"",IF(AND(C2771="LMS",F2771&gt;0,OR(D2771="",E2771="")),"Mangler maskin eller arbeid",IF(AND(OR(C2771="LMS",C2771="Mod"),D2771&lt;&gt;""),IF(IFERROR(INDEX(MaskinStatus,MATCH(D2771,Maskiner,0)),"")="I dokk","","Maskinen er ikke i dokk"),""))))))</f>
        <v/>
      </c>
      <c r="L2771" s="2">
        <f>IF(B2771="","",IFERROR(INT((MATCH(B2771,Teknikere,0)-1)/18)+1,""))</f>
        <v/>
      </c>
      <c r="M2771" s="2">
        <f>IF(OR(A2771="",B2771=""),"",B2771&amp;"|"&amp;A2771)</f>
        <v/>
      </c>
      <c r="N2771" s="2">
        <f>IF(M2771="","",SUMIFS(TF_Timer,TF_Nokkel,M2771,TF_Akt,C2771))</f>
        <v/>
      </c>
      <c r="O2771" s="2">
        <f>IF(M2771="","",IF(AND(N2771=_xlfn.MAXIFS(TF_AktSum,TF_Nokkel,M2771),COUNTIFS(M$3:M2770,M2771,N$3:N2770,N2771)=0),M2771,""))</f>
        <v/>
      </c>
    </row>
    <row r="2772">
      <c r="A2772" s="34" t="n"/>
      <c r="B2772" s="35" t="n"/>
      <c r="C2772" s="35" t="n"/>
      <c r="D2772" s="35" t="n"/>
      <c r="E2772" s="35" t="n"/>
      <c r="F2772" s="36" t="n"/>
      <c r="G2772" s="35" t="n"/>
      <c r="H2772" s="30">
        <f>IF(L2772="","",INDEX(SkiftNavn,L2772))</f>
        <v/>
      </c>
      <c r="I2772" s="30">
        <f>IF(OR(A2772="",L2772=""),"",IF(MOD(A2772-INDEX(SkiftStart,L2772),Syklus)&lt;DagK,"Kveld",IF(MOD(A2772-INDEX(SkiftStart,L2772),Syklus)&lt;DagK+DagH,"Helg",IF(MOD(A2772-INDEX(SkiftStart,L2772),Syklus)&lt;DagK+DagH+DagD,"Dag","Fri"))))</f>
        <v/>
      </c>
      <c r="J2772" s="30">
        <f>IF(I2772="Fri","Ja","")</f>
        <v/>
      </c>
      <c r="K2772" s="30">
        <f>IF(B2772="","",IF(L2772="","Ukjent tekniker",IF(ISNA(MATCH(C2772,Aktiviteter,0)),"Ukjent aktivitet",IF(AND(INDEX(AktRolle,MATCH(C2772,Aktiviteter,0))&amp;""&lt;&gt;"",ISERROR(SEARCH(INDEX(AktRolle,MATCH(C2772,Aktiviteter,0))&amp;"",INDEX(TekRoller,MATCH(B2772,Teknikere,0))))),"Mangler rollen "&amp;INDEX(AktRolle,MATCH(C2772,Aktiviteter,0))&amp;"",IF(AND(C2772="LMS",F2772&gt;0,OR(D2772="",E2772="")),"Mangler maskin eller arbeid",IF(AND(OR(C2772="LMS",C2772="Mod"),D2772&lt;&gt;""),IF(IFERROR(INDEX(MaskinStatus,MATCH(D2772,Maskiner,0)),"")="I dokk","","Maskinen er ikke i dokk"),""))))))</f>
        <v/>
      </c>
      <c r="L2772" s="2">
        <f>IF(B2772="","",IFERROR(INT((MATCH(B2772,Teknikere,0)-1)/18)+1,""))</f>
        <v/>
      </c>
      <c r="M2772" s="2">
        <f>IF(OR(A2772="",B2772=""),"",B2772&amp;"|"&amp;A2772)</f>
        <v/>
      </c>
      <c r="N2772" s="2">
        <f>IF(M2772="","",SUMIFS(TF_Timer,TF_Nokkel,M2772,TF_Akt,C2772))</f>
        <v/>
      </c>
      <c r="O2772" s="2">
        <f>IF(M2772="","",IF(AND(N2772=_xlfn.MAXIFS(TF_AktSum,TF_Nokkel,M2772),COUNTIFS(M$3:M2771,M2772,N$3:N2771,N2772)=0),M2772,""))</f>
        <v/>
      </c>
    </row>
    <row r="2773">
      <c r="A2773" s="34" t="n"/>
      <c r="B2773" s="35" t="n"/>
      <c r="C2773" s="35" t="n"/>
      <c r="D2773" s="35" t="n"/>
      <c r="E2773" s="35" t="n"/>
      <c r="F2773" s="36" t="n"/>
      <c r="G2773" s="35" t="n"/>
      <c r="H2773" s="30">
        <f>IF(L2773="","",INDEX(SkiftNavn,L2773))</f>
        <v/>
      </c>
      <c r="I2773" s="30">
        <f>IF(OR(A2773="",L2773=""),"",IF(MOD(A2773-INDEX(SkiftStart,L2773),Syklus)&lt;DagK,"Kveld",IF(MOD(A2773-INDEX(SkiftStart,L2773),Syklus)&lt;DagK+DagH,"Helg",IF(MOD(A2773-INDEX(SkiftStart,L2773),Syklus)&lt;DagK+DagH+DagD,"Dag","Fri"))))</f>
        <v/>
      </c>
      <c r="J2773" s="30">
        <f>IF(I2773="Fri","Ja","")</f>
        <v/>
      </c>
      <c r="K2773" s="30">
        <f>IF(B2773="","",IF(L2773="","Ukjent tekniker",IF(ISNA(MATCH(C2773,Aktiviteter,0)),"Ukjent aktivitet",IF(AND(INDEX(AktRolle,MATCH(C2773,Aktiviteter,0))&amp;""&lt;&gt;"",ISERROR(SEARCH(INDEX(AktRolle,MATCH(C2773,Aktiviteter,0))&amp;"",INDEX(TekRoller,MATCH(B2773,Teknikere,0))))),"Mangler rollen "&amp;INDEX(AktRolle,MATCH(C2773,Aktiviteter,0))&amp;"",IF(AND(C2773="LMS",F2773&gt;0,OR(D2773="",E2773="")),"Mangler maskin eller arbeid",IF(AND(OR(C2773="LMS",C2773="Mod"),D2773&lt;&gt;""),IF(IFERROR(INDEX(MaskinStatus,MATCH(D2773,Maskiner,0)),"")="I dokk","","Maskinen er ikke i dokk"),""))))))</f>
        <v/>
      </c>
      <c r="L2773" s="2">
        <f>IF(B2773="","",IFERROR(INT((MATCH(B2773,Teknikere,0)-1)/18)+1,""))</f>
        <v/>
      </c>
      <c r="M2773" s="2">
        <f>IF(OR(A2773="",B2773=""),"",B2773&amp;"|"&amp;A2773)</f>
        <v/>
      </c>
      <c r="N2773" s="2">
        <f>IF(M2773="","",SUMIFS(TF_Timer,TF_Nokkel,M2773,TF_Akt,C2773))</f>
        <v/>
      </c>
      <c r="O2773" s="2">
        <f>IF(M2773="","",IF(AND(N2773=_xlfn.MAXIFS(TF_AktSum,TF_Nokkel,M2773),COUNTIFS(M$3:M2772,M2773,N$3:N2772,N2773)=0),M2773,""))</f>
        <v/>
      </c>
    </row>
    <row r="2774">
      <c r="A2774" s="34" t="n"/>
      <c r="B2774" s="35" t="n"/>
      <c r="C2774" s="35" t="n"/>
      <c r="D2774" s="35" t="n"/>
      <c r="E2774" s="35" t="n"/>
      <c r="F2774" s="36" t="n"/>
      <c r="G2774" s="35" t="n"/>
      <c r="H2774" s="30">
        <f>IF(L2774="","",INDEX(SkiftNavn,L2774))</f>
        <v/>
      </c>
      <c r="I2774" s="30">
        <f>IF(OR(A2774="",L2774=""),"",IF(MOD(A2774-INDEX(SkiftStart,L2774),Syklus)&lt;DagK,"Kveld",IF(MOD(A2774-INDEX(SkiftStart,L2774),Syklus)&lt;DagK+DagH,"Helg",IF(MOD(A2774-INDEX(SkiftStart,L2774),Syklus)&lt;DagK+DagH+DagD,"Dag","Fri"))))</f>
        <v/>
      </c>
      <c r="J2774" s="30">
        <f>IF(I2774="Fri","Ja","")</f>
        <v/>
      </c>
      <c r="K2774" s="30">
        <f>IF(B2774="","",IF(L2774="","Ukjent tekniker",IF(ISNA(MATCH(C2774,Aktiviteter,0)),"Ukjent aktivitet",IF(AND(INDEX(AktRolle,MATCH(C2774,Aktiviteter,0))&amp;""&lt;&gt;"",ISERROR(SEARCH(INDEX(AktRolle,MATCH(C2774,Aktiviteter,0))&amp;"",INDEX(TekRoller,MATCH(B2774,Teknikere,0))))),"Mangler rollen "&amp;INDEX(AktRolle,MATCH(C2774,Aktiviteter,0))&amp;"",IF(AND(C2774="LMS",F2774&gt;0,OR(D2774="",E2774="")),"Mangler maskin eller arbeid",IF(AND(OR(C2774="LMS",C2774="Mod"),D2774&lt;&gt;""),IF(IFERROR(INDEX(MaskinStatus,MATCH(D2774,Maskiner,0)),"")="I dokk","","Maskinen er ikke i dokk"),""))))))</f>
        <v/>
      </c>
      <c r="L2774" s="2">
        <f>IF(B2774="","",IFERROR(INT((MATCH(B2774,Teknikere,0)-1)/18)+1,""))</f>
        <v/>
      </c>
      <c r="M2774" s="2">
        <f>IF(OR(A2774="",B2774=""),"",B2774&amp;"|"&amp;A2774)</f>
        <v/>
      </c>
      <c r="N2774" s="2">
        <f>IF(M2774="","",SUMIFS(TF_Timer,TF_Nokkel,M2774,TF_Akt,C2774))</f>
        <v/>
      </c>
      <c r="O2774" s="2">
        <f>IF(M2774="","",IF(AND(N2774=_xlfn.MAXIFS(TF_AktSum,TF_Nokkel,M2774),COUNTIFS(M$3:M2773,M2774,N$3:N2773,N2774)=0),M2774,""))</f>
        <v/>
      </c>
    </row>
    <row r="2775">
      <c r="A2775" s="34" t="n"/>
      <c r="B2775" s="35" t="n"/>
      <c r="C2775" s="35" t="n"/>
      <c r="D2775" s="35" t="n"/>
      <c r="E2775" s="35" t="n"/>
      <c r="F2775" s="36" t="n"/>
      <c r="G2775" s="35" t="n"/>
      <c r="H2775" s="30">
        <f>IF(L2775="","",INDEX(SkiftNavn,L2775))</f>
        <v/>
      </c>
      <c r="I2775" s="30">
        <f>IF(OR(A2775="",L2775=""),"",IF(MOD(A2775-INDEX(SkiftStart,L2775),Syklus)&lt;DagK,"Kveld",IF(MOD(A2775-INDEX(SkiftStart,L2775),Syklus)&lt;DagK+DagH,"Helg",IF(MOD(A2775-INDEX(SkiftStart,L2775),Syklus)&lt;DagK+DagH+DagD,"Dag","Fri"))))</f>
        <v/>
      </c>
      <c r="J2775" s="30">
        <f>IF(I2775="Fri","Ja","")</f>
        <v/>
      </c>
      <c r="K2775" s="30">
        <f>IF(B2775="","",IF(L2775="","Ukjent tekniker",IF(ISNA(MATCH(C2775,Aktiviteter,0)),"Ukjent aktivitet",IF(AND(INDEX(AktRolle,MATCH(C2775,Aktiviteter,0))&amp;""&lt;&gt;"",ISERROR(SEARCH(INDEX(AktRolle,MATCH(C2775,Aktiviteter,0))&amp;"",INDEX(TekRoller,MATCH(B2775,Teknikere,0))))),"Mangler rollen "&amp;INDEX(AktRolle,MATCH(C2775,Aktiviteter,0))&amp;"",IF(AND(C2775="LMS",F2775&gt;0,OR(D2775="",E2775="")),"Mangler maskin eller arbeid",IF(AND(OR(C2775="LMS",C2775="Mod"),D2775&lt;&gt;""),IF(IFERROR(INDEX(MaskinStatus,MATCH(D2775,Maskiner,0)),"")="I dokk","","Maskinen er ikke i dokk"),""))))))</f>
        <v/>
      </c>
      <c r="L2775" s="2">
        <f>IF(B2775="","",IFERROR(INT((MATCH(B2775,Teknikere,0)-1)/18)+1,""))</f>
        <v/>
      </c>
      <c r="M2775" s="2">
        <f>IF(OR(A2775="",B2775=""),"",B2775&amp;"|"&amp;A2775)</f>
        <v/>
      </c>
      <c r="N2775" s="2">
        <f>IF(M2775="","",SUMIFS(TF_Timer,TF_Nokkel,M2775,TF_Akt,C2775))</f>
        <v/>
      </c>
      <c r="O2775" s="2">
        <f>IF(M2775="","",IF(AND(N2775=_xlfn.MAXIFS(TF_AktSum,TF_Nokkel,M2775),COUNTIFS(M$3:M2774,M2775,N$3:N2774,N2775)=0),M2775,""))</f>
        <v/>
      </c>
    </row>
    <row r="2776">
      <c r="A2776" s="34" t="n"/>
      <c r="B2776" s="35" t="n"/>
      <c r="C2776" s="35" t="n"/>
      <c r="D2776" s="35" t="n"/>
      <c r="E2776" s="35" t="n"/>
      <c r="F2776" s="36" t="n"/>
      <c r="G2776" s="35" t="n"/>
      <c r="H2776" s="30">
        <f>IF(L2776="","",INDEX(SkiftNavn,L2776))</f>
        <v/>
      </c>
      <c r="I2776" s="30">
        <f>IF(OR(A2776="",L2776=""),"",IF(MOD(A2776-INDEX(SkiftStart,L2776),Syklus)&lt;DagK,"Kveld",IF(MOD(A2776-INDEX(SkiftStart,L2776),Syklus)&lt;DagK+DagH,"Helg",IF(MOD(A2776-INDEX(SkiftStart,L2776),Syklus)&lt;DagK+DagH+DagD,"Dag","Fri"))))</f>
        <v/>
      </c>
      <c r="J2776" s="30">
        <f>IF(I2776="Fri","Ja","")</f>
        <v/>
      </c>
      <c r="K2776" s="30">
        <f>IF(B2776="","",IF(L2776="","Ukjent tekniker",IF(ISNA(MATCH(C2776,Aktiviteter,0)),"Ukjent aktivitet",IF(AND(INDEX(AktRolle,MATCH(C2776,Aktiviteter,0))&amp;""&lt;&gt;"",ISERROR(SEARCH(INDEX(AktRolle,MATCH(C2776,Aktiviteter,0))&amp;"",INDEX(TekRoller,MATCH(B2776,Teknikere,0))))),"Mangler rollen "&amp;INDEX(AktRolle,MATCH(C2776,Aktiviteter,0))&amp;"",IF(AND(C2776="LMS",F2776&gt;0,OR(D2776="",E2776="")),"Mangler maskin eller arbeid",IF(AND(OR(C2776="LMS",C2776="Mod"),D2776&lt;&gt;""),IF(IFERROR(INDEX(MaskinStatus,MATCH(D2776,Maskiner,0)),"")="I dokk","","Maskinen er ikke i dokk"),""))))))</f>
        <v/>
      </c>
      <c r="L2776" s="2">
        <f>IF(B2776="","",IFERROR(INT((MATCH(B2776,Teknikere,0)-1)/18)+1,""))</f>
        <v/>
      </c>
      <c r="M2776" s="2">
        <f>IF(OR(A2776="",B2776=""),"",B2776&amp;"|"&amp;A2776)</f>
        <v/>
      </c>
      <c r="N2776" s="2">
        <f>IF(M2776="","",SUMIFS(TF_Timer,TF_Nokkel,M2776,TF_Akt,C2776))</f>
        <v/>
      </c>
      <c r="O2776" s="2">
        <f>IF(M2776="","",IF(AND(N2776=_xlfn.MAXIFS(TF_AktSum,TF_Nokkel,M2776),COUNTIFS(M$3:M2775,M2776,N$3:N2775,N2776)=0),M2776,""))</f>
        <v/>
      </c>
    </row>
    <row r="2777">
      <c r="A2777" s="34" t="n"/>
      <c r="B2777" s="35" t="n"/>
      <c r="C2777" s="35" t="n"/>
      <c r="D2777" s="35" t="n"/>
      <c r="E2777" s="35" t="n"/>
      <c r="F2777" s="36" t="n"/>
      <c r="G2777" s="35" t="n"/>
      <c r="H2777" s="30">
        <f>IF(L2777="","",INDEX(SkiftNavn,L2777))</f>
        <v/>
      </c>
      <c r="I2777" s="30">
        <f>IF(OR(A2777="",L2777=""),"",IF(MOD(A2777-INDEX(SkiftStart,L2777),Syklus)&lt;DagK,"Kveld",IF(MOD(A2777-INDEX(SkiftStart,L2777),Syklus)&lt;DagK+DagH,"Helg",IF(MOD(A2777-INDEX(SkiftStart,L2777),Syklus)&lt;DagK+DagH+DagD,"Dag","Fri"))))</f>
        <v/>
      </c>
      <c r="J2777" s="30">
        <f>IF(I2777="Fri","Ja","")</f>
        <v/>
      </c>
      <c r="K2777" s="30">
        <f>IF(B2777="","",IF(L2777="","Ukjent tekniker",IF(ISNA(MATCH(C2777,Aktiviteter,0)),"Ukjent aktivitet",IF(AND(INDEX(AktRolle,MATCH(C2777,Aktiviteter,0))&amp;""&lt;&gt;"",ISERROR(SEARCH(INDEX(AktRolle,MATCH(C2777,Aktiviteter,0))&amp;"",INDEX(TekRoller,MATCH(B2777,Teknikere,0))))),"Mangler rollen "&amp;INDEX(AktRolle,MATCH(C2777,Aktiviteter,0))&amp;"",IF(AND(C2777="LMS",F2777&gt;0,OR(D2777="",E2777="")),"Mangler maskin eller arbeid",IF(AND(OR(C2777="LMS",C2777="Mod"),D2777&lt;&gt;""),IF(IFERROR(INDEX(MaskinStatus,MATCH(D2777,Maskiner,0)),"")="I dokk","","Maskinen er ikke i dokk"),""))))))</f>
        <v/>
      </c>
      <c r="L2777" s="2">
        <f>IF(B2777="","",IFERROR(INT((MATCH(B2777,Teknikere,0)-1)/18)+1,""))</f>
        <v/>
      </c>
      <c r="M2777" s="2">
        <f>IF(OR(A2777="",B2777=""),"",B2777&amp;"|"&amp;A2777)</f>
        <v/>
      </c>
      <c r="N2777" s="2">
        <f>IF(M2777="","",SUMIFS(TF_Timer,TF_Nokkel,M2777,TF_Akt,C2777))</f>
        <v/>
      </c>
      <c r="O2777" s="2">
        <f>IF(M2777="","",IF(AND(N2777=_xlfn.MAXIFS(TF_AktSum,TF_Nokkel,M2777),COUNTIFS(M$3:M2776,M2777,N$3:N2776,N2777)=0),M2777,""))</f>
        <v/>
      </c>
    </row>
    <row r="2778">
      <c r="A2778" s="34" t="n"/>
      <c r="B2778" s="35" t="n"/>
      <c r="C2778" s="35" t="n"/>
      <c r="D2778" s="35" t="n"/>
      <c r="E2778" s="35" t="n"/>
      <c r="F2778" s="36" t="n"/>
      <c r="G2778" s="35" t="n"/>
      <c r="H2778" s="30">
        <f>IF(L2778="","",INDEX(SkiftNavn,L2778))</f>
        <v/>
      </c>
      <c r="I2778" s="30">
        <f>IF(OR(A2778="",L2778=""),"",IF(MOD(A2778-INDEX(SkiftStart,L2778),Syklus)&lt;DagK,"Kveld",IF(MOD(A2778-INDEX(SkiftStart,L2778),Syklus)&lt;DagK+DagH,"Helg",IF(MOD(A2778-INDEX(SkiftStart,L2778),Syklus)&lt;DagK+DagH+DagD,"Dag","Fri"))))</f>
        <v/>
      </c>
      <c r="J2778" s="30">
        <f>IF(I2778="Fri","Ja","")</f>
        <v/>
      </c>
      <c r="K2778" s="30">
        <f>IF(B2778="","",IF(L2778="","Ukjent tekniker",IF(ISNA(MATCH(C2778,Aktiviteter,0)),"Ukjent aktivitet",IF(AND(INDEX(AktRolle,MATCH(C2778,Aktiviteter,0))&amp;""&lt;&gt;"",ISERROR(SEARCH(INDEX(AktRolle,MATCH(C2778,Aktiviteter,0))&amp;"",INDEX(TekRoller,MATCH(B2778,Teknikere,0))))),"Mangler rollen "&amp;INDEX(AktRolle,MATCH(C2778,Aktiviteter,0))&amp;"",IF(AND(C2778="LMS",F2778&gt;0,OR(D2778="",E2778="")),"Mangler maskin eller arbeid",IF(AND(OR(C2778="LMS",C2778="Mod"),D2778&lt;&gt;""),IF(IFERROR(INDEX(MaskinStatus,MATCH(D2778,Maskiner,0)),"")="I dokk","","Maskinen er ikke i dokk"),""))))))</f>
        <v/>
      </c>
      <c r="L2778" s="2">
        <f>IF(B2778="","",IFERROR(INT((MATCH(B2778,Teknikere,0)-1)/18)+1,""))</f>
        <v/>
      </c>
      <c r="M2778" s="2">
        <f>IF(OR(A2778="",B2778=""),"",B2778&amp;"|"&amp;A2778)</f>
        <v/>
      </c>
      <c r="N2778" s="2">
        <f>IF(M2778="","",SUMIFS(TF_Timer,TF_Nokkel,M2778,TF_Akt,C2778))</f>
        <v/>
      </c>
      <c r="O2778" s="2">
        <f>IF(M2778="","",IF(AND(N2778=_xlfn.MAXIFS(TF_AktSum,TF_Nokkel,M2778),COUNTIFS(M$3:M2777,M2778,N$3:N2777,N2778)=0),M2778,""))</f>
        <v/>
      </c>
    </row>
    <row r="2779">
      <c r="A2779" s="34" t="n"/>
      <c r="B2779" s="35" t="n"/>
      <c r="C2779" s="35" t="n"/>
      <c r="D2779" s="35" t="n"/>
      <c r="E2779" s="35" t="n"/>
      <c r="F2779" s="36" t="n"/>
      <c r="G2779" s="35" t="n"/>
      <c r="H2779" s="30">
        <f>IF(L2779="","",INDEX(SkiftNavn,L2779))</f>
        <v/>
      </c>
      <c r="I2779" s="30">
        <f>IF(OR(A2779="",L2779=""),"",IF(MOD(A2779-INDEX(SkiftStart,L2779),Syklus)&lt;DagK,"Kveld",IF(MOD(A2779-INDEX(SkiftStart,L2779),Syklus)&lt;DagK+DagH,"Helg",IF(MOD(A2779-INDEX(SkiftStart,L2779),Syklus)&lt;DagK+DagH+DagD,"Dag","Fri"))))</f>
        <v/>
      </c>
      <c r="J2779" s="30">
        <f>IF(I2779="Fri","Ja","")</f>
        <v/>
      </c>
      <c r="K2779" s="30">
        <f>IF(B2779="","",IF(L2779="","Ukjent tekniker",IF(ISNA(MATCH(C2779,Aktiviteter,0)),"Ukjent aktivitet",IF(AND(INDEX(AktRolle,MATCH(C2779,Aktiviteter,0))&amp;""&lt;&gt;"",ISERROR(SEARCH(INDEX(AktRolle,MATCH(C2779,Aktiviteter,0))&amp;"",INDEX(TekRoller,MATCH(B2779,Teknikere,0))))),"Mangler rollen "&amp;INDEX(AktRolle,MATCH(C2779,Aktiviteter,0))&amp;"",IF(AND(C2779="LMS",F2779&gt;0,OR(D2779="",E2779="")),"Mangler maskin eller arbeid",IF(AND(OR(C2779="LMS",C2779="Mod"),D2779&lt;&gt;""),IF(IFERROR(INDEX(MaskinStatus,MATCH(D2779,Maskiner,0)),"")="I dokk","","Maskinen er ikke i dokk"),""))))))</f>
        <v/>
      </c>
      <c r="L2779" s="2">
        <f>IF(B2779="","",IFERROR(INT((MATCH(B2779,Teknikere,0)-1)/18)+1,""))</f>
        <v/>
      </c>
      <c r="M2779" s="2">
        <f>IF(OR(A2779="",B2779=""),"",B2779&amp;"|"&amp;A2779)</f>
        <v/>
      </c>
      <c r="N2779" s="2">
        <f>IF(M2779="","",SUMIFS(TF_Timer,TF_Nokkel,M2779,TF_Akt,C2779))</f>
        <v/>
      </c>
      <c r="O2779" s="2">
        <f>IF(M2779="","",IF(AND(N2779=_xlfn.MAXIFS(TF_AktSum,TF_Nokkel,M2779),COUNTIFS(M$3:M2778,M2779,N$3:N2778,N2779)=0),M2779,""))</f>
        <v/>
      </c>
    </row>
    <row r="2780">
      <c r="A2780" s="34" t="n"/>
      <c r="B2780" s="35" t="n"/>
      <c r="C2780" s="35" t="n"/>
      <c r="D2780" s="35" t="n"/>
      <c r="E2780" s="35" t="n"/>
      <c r="F2780" s="36" t="n"/>
      <c r="G2780" s="35" t="n"/>
      <c r="H2780" s="30">
        <f>IF(L2780="","",INDEX(SkiftNavn,L2780))</f>
        <v/>
      </c>
      <c r="I2780" s="30">
        <f>IF(OR(A2780="",L2780=""),"",IF(MOD(A2780-INDEX(SkiftStart,L2780),Syklus)&lt;DagK,"Kveld",IF(MOD(A2780-INDEX(SkiftStart,L2780),Syklus)&lt;DagK+DagH,"Helg",IF(MOD(A2780-INDEX(SkiftStart,L2780),Syklus)&lt;DagK+DagH+DagD,"Dag","Fri"))))</f>
        <v/>
      </c>
      <c r="J2780" s="30">
        <f>IF(I2780="Fri","Ja","")</f>
        <v/>
      </c>
      <c r="K2780" s="30">
        <f>IF(B2780="","",IF(L2780="","Ukjent tekniker",IF(ISNA(MATCH(C2780,Aktiviteter,0)),"Ukjent aktivitet",IF(AND(INDEX(AktRolle,MATCH(C2780,Aktiviteter,0))&amp;""&lt;&gt;"",ISERROR(SEARCH(INDEX(AktRolle,MATCH(C2780,Aktiviteter,0))&amp;"",INDEX(TekRoller,MATCH(B2780,Teknikere,0))))),"Mangler rollen "&amp;INDEX(AktRolle,MATCH(C2780,Aktiviteter,0))&amp;"",IF(AND(C2780="LMS",F2780&gt;0,OR(D2780="",E2780="")),"Mangler maskin eller arbeid",IF(AND(OR(C2780="LMS",C2780="Mod"),D2780&lt;&gt;""),IF(IFERROR(INDEX(MaskinStatus,MATCH(D2780,Maskiner,0)),"")="I dokk","","Maskinen er ikke i dokk"),""))))))</f>
        <v/>
      </c>
      <c r="L2780" s="2">
        <f>IF(B2780="","",IFERROR(INT((MATCH(B2780,Teknikere,0)-1)/18)+1,""))</f>
        <v/>
      </c>
      <c r="M2780" s="2">
        <f>IF(OR(A2780="",B2780=""),"",B2780&amp;"|"&amp;A2780)</f>
        <v/>
      </c>
      <c r="N2780" s="2">
        <f>IF(M2780="","",SUMIFS(TF_Timer,TF_Nokkel,M2780,TF_Akt,C2780))</f>
        <v/>
      </c>
      <c r="O2780" s="2">
        <f>IF(M2780="","",IF(AND(N2780=_xlfn.MAXIFS(TF_AktSum,TF_Nokkel,M2780),COUNTIFS(M$3:M2779,M2780,N$3:N2779,N2780)=0),M2780,""))</f>
        <v/>
      </c>
    </row>
    <row r="2781">
      <c r="A2781" s="34" t="n"/>
      <c r="B2781" s="35" t="n"/>
      <c r="C2781" s="35" t="n"/>
      <c r="D2781" s="35" t="n"/>
      <c r="E2781" s="35" t="n"/>
      <c r="F2781" s="36" t="n"/>
      <c r="G2781" s="35" t="n"/>
      <c r="H2781" s="30">
        <f>IF(L2781="","",INDEX(SkiftNavn,L2781))</f>
        <v/>
      </c>
      <c r="I2781" s="30">
        <f>IF(OR(A2781="",L2781=""),"",IF(MOD(A2781-INDEX(SkiftStart,L2781),Syklus)&lt;DagK,"Kveld",IF(MOD(A2781-INDEX(SkiftStart,L2781),Syklus)&lt;DagK+DagH,"Helg",IF(MOD(A2781-INDEX(SkiftStart,L2781),Syklus)&lt;DagK+DagH+DagD,"Dag","Fri"))))</f>
        <v/>
      </c>
      <c r="J2781" s="30">
        <f>IF(I2781="Fri","Ja","")</f>
        <v/>
      </c>
      <c r="K2781" s="30">
        <f>IF(B2781="","",IF(L2781="","Ukjent tekniker",IF(ISNA(MATCH(C2781,Aktiviteter,0)),"Ukjent aktivitet",IF(AND(INDEX(AktRolle,MATCH(C2781,Aktiviteter,0))&amp;""&lt;&gt;"",ISERROR(SEARCH(INDEX(AktRolle,MATCH(C2781,Aktiviteter,0))&amp;"",INDEX(TekRoller,MATCH(B2781,Teknikere,0))))),"Mangler rollen "&amp;INDEX(AktRolle,MATCH(C2781,Aktiviteter,0))&amp;"",IF(AND(C2781="LMS",F2781&gt;0,OR(D2781="",E2781="")),"Mangler maskin eller arbeid",IF(AND(OR(C2781="LMS",C2781="Mod"),D2781&lt;&gt;""),IF(IFERROR(INDEX(MaskinStatus,MATCH(D2781,Maskiner,0)),"")="I dokk","","Maskinen er ikke i dokk"),""))))))</f>
        <v/>
      </c>
      <c r="L2781" s="2">
        <f>IF(B2781="","",IFERROR(INT((MATCH(B2781,Teknikere,0)-1)/18)+1,""))</f>
        <v/>
      </c>
      <c r="M2781" s="2">
        <f>IF(OR(A2781="",B2781=""),"",B2781&amp;"|"&amp;A2781)</f>
        <v/>
      </c>
      <c r="N2781" s="2">
        <f>IF(M2781="","",SUMIFS(TF_Timer,TF_Nokkel,M2781,TF_Akt,C2781))</f>
        <v/>
      </c>
      <c r="O2781" s="2">
        <f>IF(M2781="","",IF(AND(N2781=_xlfn.MAXIFS(TF_AktSum,TF_Nokkel,M2781),COUNTIFS(M$3:M2780,M2781,N$3:N2780,N2781)=0),M2781,""))</f>
        <v/>
      </c>
    </row>
    <row r="2782">
      <c r="A2782" s="34" t="n"/>
      <c r="B2782" s="35" t="n"/>
      <c r="C2782" s="35" t="n"/>
      <c r="D2782" s="35" t="n"/>
      <c r="E2782" s="35" t="n"/>
      <c r="F2782" s="36" t="n"/>
      <c r="G2782" s="35" t="n"/>
      <c r="H2782" s="30">
        <f>IF(L2782="","",INDEX(SkiftNavn,L2782))</f>
        <v/>
      </c>
      <c r="I2782" s="30">
        <f>IF(OR(A2782="",L2782=""),"",IF(MOD(A2782-INDEX(SkiftStart,L2782),Syklus)&lt;DagK,"Kveld",IF(MOD(A2782-INDEX(SkiftStart,L2782),Syklus)&lt;DagK+DagH,"Helg",IF(MOD(A2782-INDEX(SkiftStart,L2782),Syklus)&lt;DagK+DagH+DagD,"Dag","Fri"))))</f>
        <v/>
      </c>
      <c r="J2782" s="30">
        <f>IF(I2782="Fri","Ja","")</f>
        <v/>
      </c>
      <c r="K2782" s="30">
        <f>IF(B2782="","",IF(L2782="","Ukjent tekniker",IF(ISNA(MATCH(C2782,Aktiviteter,0)),"Ukjent aktivitet",IF(AND(INDEX(AktRolle,MATCH(C2782,Aktiviteter,0))&amp;""&lt;&gt;"",ISERROR(SEARCH(INDEX(AktRolle,MATCH(C2782,Aktiviteter,0))&amp;"",INDEX(TekRoller,MATCH(B2782,Teknikere,0))))),"Mangler rollen "&amp;INDEX(AktRolle,MATCH(C2782,Aktiviteter,0))&amp;"",IF(AND(C2782="LMS",F2782&gt;0,OR(D2782="",E2782="")),"Mangler maskin eller arbeid",IF(AND(OR(C2782="LMS",C2782="Mod"),D2782&lt;&gt;""),IF(IFERROR(INDEX(MaskinStatus,MATCH(D2782,Maskiner,0)),"")="I dokk","","Maskinen er ikke i dokk"),""))))))</f>
        <v/>
      </c>
      <c r="L2782" s="2">
        <f>IF(B2782="","",IFERROR(INT((MATCH(B2782,Teknikere,0)-1)/18)+1,""))</f>
        <v/>
      </c>
      <c r="M2782" s="2">
        <f>IF(OR(A2782="",B2782=""),"",B2782&amp;"|"&amp;A2782)</f>
        <v/>
      </c>
      <c r="N2782" s="2">
        <f>IF(M2782="","",SUMIFS(TF_Timer,TF_Nokkel,M2782,TF_Akt,C2782))</f>
        <v/>
      </c>
      <c r="O2782" s="2">
        <f>IF(M2782="","",IF(AND(N2782=_xlfn.MAXIFS(TF_AktSum,TF_Nokkel,M2782),COUNTIFS(M$3:M2781,M2782,N$3:N2781,N2782)=0),M2782,""))</f>
        <v/>
      </c>
    </row>
    <row r="2783">
      <c r="A2783" s="34" t="n"/>
      <c r="B2783" s="35" t="n"/>
      <c r="C2783" s="35" t="n"/>
      <c r="D2783" s="35" t="n"/>
      <c r="E2783" s="35" t="n"/>
      <c r="F2783" s="36" t="n"/>
      <c r="G2783" s="35" t="n"/>
      <c r="H2783" s="30">
        <f>IF(L2783="","",INDEX(SkiftNavn,L2783))</f>
        <v/>
      </c>
      <c r="I2783" s="30">
        <f>IF(OR(A2783="",L2783=""),"",IF(MOD(A2783-INDEX(SkiftStart,L2783),Syklus)&lt;DagK,"Kveld",IF(MOD(A2783-INDEX(SkiftStart,L2783),Syklus)&lt;DagK+DagH,"Helg",IF(MOD(A2783-INDEX(SkiftStart,L2783),Syklus)&lt;DagK+DagH+DagD,"Dag","Fri"))))</f>
        <v/>
      </c>
      <c r="J2783" s="30">
        <f>IF(I2783="Fri","Ja","")</f>
        <v/>
      </c>
      <c r="K2783" s="30">
        <f>IF(B2783="","",IF(L2783="","Ukjent tekniker",IF(ISNA(MATCH(C2783,Aktiviteter,0)),"Ukjent aktivitet",IF(AND(INDEX(AktRolle,MATCH(C2783,Aktiviteter,0))&amp;""&lt;&gt;"",ISERROR(SEARCH(INDEX(AktRolle,MATCH(C2783,Aktiviteter,0))&amp;"",INDEX(TekRoller,MATCH(B2783,Teknikere,0))))),"Mangler rollen "&amp;INDEX(AktRolle,MATCH(C2783,Aktiviteter,0))&amp;"",IF(AND(C2783="LMS",F2783&gt;0,OR(D2783="",E2783="")),"Mangler maskin eller arbeid",IF(AND(OR(C2783="LMS",C2783="Mod"),D2783&lt;&gt;""),IF(IFERROR(INDEX(MaskinStatus,MATCH(D2783,Maskiner,0)),"")="I dokk","","Maskinen er ikke i dokk"),""))))))</f>
        <v/>
      </c>
      <c r="L2783" s="2">
        <f>IF(B2783="","",IFERROR(INT((MATCH(B2783,Teknikere,0)-1)/18)+1,""))</f>
        <v/>
      </c>
      <c r="M2783" s="2">
        <f>IF(OR(A2783="",B2783=""),"",B2783&amp;"|"&amp;A2783)</f>
        <v/>
      </c>
      <c r="N2783" s="2">
        <f>IF(M2783="","",SUMIFS(TF_Timer,TF_Nokkel,M2783,TF_Akt,C2783))</f>
        <v/>
      </c>
      <c r="O2783" s="2">
        <f>IF(M2783="","",IF(AND(N2783=_xlfn.MAXIFS(TF_AktSum,TF_Nokkel,M2783),COUNTIFS(M$3:M2782,M2783,N$3:N2782,N2783)=0),M2783,""))</f>
        <v/>
      </c>
    </row>
    <row r="2784">
      <c r="A2784" s="34" t="n"/>
      <c r="B2784" s="35" t="n"/>
      <c r="C2784" s="35" t="n"/>
      <c r="D2784" s="35" t="n"/>
      <c r="E2784" s="35" t="n"/>
      <c r="F2784" s="36" t="n"/>
      <c r="G2784" s="35" t="n"/>
      <c r="H2784" s="30">
        <f>IF(L2784="","",INDEX(SkiftNavn,L2784))</f>
        <v/>
      </c>
      <c r="I2784" s="30">
        <f>IF(OR(A2784="",L2784=""),"",IF(MOD(A2784-INDEX(SkiftStart,L2784),Syklus)&lt;DagK,"Kveld",IF(MOD(A2784-INDEX(SkiftStart,L2784),Syklus)&lt;DagK+DagH,"Helg",IF(MOD(A2784-INDEX(SkiftStart,L2784),Syklus)&lt;DagK+DagH+DagD,"Dag","Fri"))))</f>
        <v/>
      </c>
      <c r="J2784" s="30">
        <f>IF(I2784="Fri","Ja","")</f>
        <v/>
      </c>
      <c r="K2784" s="30">
        <f>IF(B2784="","",IF(L2784="","Ukjent tekniker",IF(ISNA(MATCH(C2784,Aktiviteter,0)),"Ukjent aktivitet",IF(AND(INDEX(AktRolle,MATCH(C2784,Aktiviteter,0))&amp;""&lt;&gt;"",ISERROR(SEARCH(INDEX(AktRolle,MATCH(C2784,Aktiviteter,0))&amp;"",INDEX(TekRoller,MATCH(B2784,Teknikere,0))))),"Mangler rollen "&amp;INDEX(AktRolle,MATCH(C2784,Aktiviteter,0))&amp;"",IF(AND(C2784="LMS",F2784&gt;0,OR(D2784="",E2784="")),"Mangler maskin eller arbeid",IF(AND(OR(C2784="LMS",C2784="Mod"),D2784&lt;&gt;""),IF(IFERROR(INDEX(MaskinStatus,MATCH(D2784,Maskiner,0)),"")="I dokk","","Maskinen er ikke i dokk"),""))))))</f>
        <v/>
      </c>
      <c r="L2784" s="2">
        <f>IF(B2784="","",IFERROR(INT((MATCH(B2784,Teknikere,0)-1)/18)+1,""))</f>
        <v/>
      </c>
      <c r="M2784" s="2">
        <f>IF(OR(A2784="",B2784=""),"",B2784&amp;"|"&amp;A2784)</f>
        <v/>
      </c>
      <c r="N2784" s="2">
        <f>IF(M2784="","",SUMIFS(TF_Timer,TF_Nokkel,M2784,TF_Akt,C2784))</f>
        <v/>
      </c>
      <c r="O2784" s="2">
        <f>IF(M2784="","",IF(AND(N2784=_xlfn.MAXIFS(TF_AktSum,TF_Nokkel,M2784),COUNTIFS(M$3:M2783,M2784,N$3:N2783,N2784)=0),M2784,""))</f>
        <v/>
      </c>
    </row>
    <row r="2785">
      <c r="A2785" s="34" t="n"/>
      <c r="B2785" s="35" t="n"/>
      <c r="C2785" s="35" t="n"/>
      <c r="D2785" s="35" t="n"/>
      <c r="E2785" s="35" t="n"/>
      <c r="F2785" s="36" t="n"/>
      <c r="G2785" s="35" t="n"/>
      <c r="H2785" s="30">
        <f>IF(L2785="","",INDEX(SkiftNavn,L2785))</f>
        <v/>
      </c>
      <c r="I2785" s="30">
        <f>IF(OR(A2785="",L2785=""),"",IF(MOD(A2785-INDEX(SkiftStart,L2785),Syklus)&lt;DagK,"Kveld",IF(MOD(A2785-INDEX(SkiftStart,L2785),Syklus)&lt;DagK+DagH,"Helg",IF(MOD(A2785-INDEX(SkiftStart,L2785),Syklus)&lt;DagK+DagH+DagD,"Dag","Fri"))))</f>
        <v/>
      </c>
      <c r="J2785" s="30">
        <f>IF(I2785="Fri","Ja","")</f>
        <v/>
      </c>
      <c r="K2785" s="30">
        <f>IF(B2785="","",IF(L2785="","Ukjent tekniker",IF(ISNA(MATCH(C2785,Aktiviteter,0)),"Ukjent aktivitet",IF(AND(INDEX(AktRolle,MATCH(C2785,Aktiviteter,0))&amp;""&lt;&gt;"",ISERROR(SEARCH(INDEX(AktRolle,MATCH(C2785,Aktiviteter,0))&amp;"",INDEX(TekRoller,MATCH(B2785,Teknikere,0))))),"Mangler rollen "&amp;INDEX(AktRolle,MATCH(C2785,Aktiviteter,0))&amp;"",IF(AND(C2785="LMS",F2785&gt;0,OR(D2785="",E2785="")),"Mangler maskin eller arbeid",IF(AND(OR(C2785="LMS",C2785="Mod"),D2785&lt;&gt;""),IF(IFERROR(INDEX(MaskinStatus,MATCH(D2785,Maskiner,0)),"")="I dokk","","Maskinen er ikke i dokk"),""))))))</f>
        <v/>
      </c>
      <c r="L2785" s="2">
        <f>IF(B2785="","",IFERROR(INT((MATCH(B2785,Teknikere,0)-1)/18)+1,""))</f>
        <v/>
      </c>
      <c r="M2785" s="2">
        <f>IF(OR(A2785="",B2785=""),"",B2785&amp;"|"&amp;A2785)</f>
        <v/>
      </c>
      <c r="N2785" s="2">
        <f>IF(M2785="","",SUMIFS(TF_Timer,TF_Nokkel,M2785,TF_Akt,C2785))</f>
        <v/>
      </c>
      <c r="O2785" s="2">
        <f>IF(M2785="","",IF(AND(N2785=_xlfn.MAXIFS(TF_AktSum,TF_Nokkel,M2785),COUNTIFS(M$3:M2784,M2785,N$3:N2784,N2785)=0),M2785,""))</f>
        <v/>
      </c>
    </row>
    <row r="2786">
      <c r="A2786" s="34" t="n"/>
      <c r="B2786" s="35" t="n"/>
      <c r="C2786" s="35" t="n"/>
      <c r="D2786" s="35" t="n"/>
      <c r="E2786" s="35" t="n"/>
      <c r="F2786" s="36" t="n"/>
      <c r="G2786" s="35" t="n"/>
      <c r="H2786" s="30">
        <f>IF(L2786="","",INDEX(SkiftNavn,L2786))</f>
        <v/>
      </c>
      <c r="I2786" s="30">
        <f>IF(OR(A2786="",L2786=""),"",IF(MOD(A2786-INDEX(SkiftStart,L2786),Syklus)&lt;DagK,"Kveld",IF(MOD(A2786-INDEX(SkiftStart,L2786),Syklus)&lt;DagK+DagH,"Helg",IF(MOD(A2786-INDEX(SkiftStart,L2786),Syklus)&lt;DagK+DagH+DagD,"Dag","Fri"))))</f>
        <v/>
      </c>
      <c r="J2786" s="30">
        <f>IF(I2786="Fri","Ja","")</f>
        <v/>
      </c>
      <c r="K2786" s="30">
        <f>IF(B2786="","",IF(L2786="","Ukjent tekniker",IF(ISNA(MATCH(C2786,Aktiviteter,0)),"Ukjent aktivitet",IF(AND(INDEX(AktRolle,MATCH(C2786,Aktiviteter,0))&amp;""&lt;&gt;"",ISERROR(SEARCH(INDEX(AktRolle,MATCH(C2786,Aktiviteter,0))&amp;"",INDEX(TekRoller,MATCH(B2786,Teknikere,0))))),"Mangler rollen "&amp;INDEX(AktRolle,MATCH(C2786,Aktiviteter,0))&amp;"",IF(AND(C2786="LMS",F2786&gt;0,OR(D2786="",E2786="")),"Mangler maskin eller arbeid",IF(AND(OR(C2786="LMS",C2786="Mod"),D2786&lt;&gt;""),IF(IFERROR(INDEX(MaskinStatus,MATCH(D2786,Maskiner,0)),"")="I dokk","","Maskinen er ikke i dokk"),""))))))</f>
        <v/>
      </c>
      <c r="L2786" s="2">
        <f>IF(B2786="","",IFERROR(INT((MATCH(B2786,Teknikere,0)-1)/18)+1,""))</f>
        <v/>
      </c>
      <c r="M2786" s="2">
        <f>IF(OR(A2786="",B2786=""),"",B2786&amp;"|"&amp;A2786)</f>
        <v/>
      </c>
      <c r="N2786" s="2">
        <f>IF(M2786="","",SUMIFS(TF_Timer,TF_Nokkel,M2786,TF_Akt,C2786))</f>
        <v/>
      </c>
      <c r="O2786" s="2">
        <f>IF(M2786="","",IF(AND(N2786=_xlfn.MAXIFS(TF_AktSum,TF_Nokkel,M2786),COUNTIFS(M$3:M2785,M2786,N$3:N2785,N2786)=0),M2786,""))</f>
        <v/>
      </c>
    </row>
    <row r="2787">
      <c r="A2787" s="34" t="n"/>
      <c r="B2787" s="35" t="n"/>
      <c r="C2787" s="35" t="n"/>
      <c r="D2787" s="35" t="n"/>
      <c r="E2787" s="35" t="n"/>
      <c r="F2787" s="36" t="n"/>
      <c r="G2787" s="35" t="n"/>
      <c r="H2787" s="30">
        <f>IF(L2787="","",INDEX(SkiftNavn,L2787))</f>
        <v/>
      </c>
      <c r="I2787" s="30">
        <f>IF(OR(A2787="",L2787=""),"",IF(MOD(A2787-INDEX(SkiftStart,L2787),Syklus)&lt;DagK,"Kveld",IF(MOD(A2787-INDEX(SkiftStart,L2787),Syklus)&lt;DagK+DagH,"Helg",IF(MOD(A2787-INDEX(SkiftStart,L2787),Syklus)&lt;DagK+DagH+DagD,"Dag","Fri"))))</f>
        <v/>
      </c>
      <c r="J2787" s="30">
        <f>IF(I2787="Fri","Ja","")</f>
        <v/>
      </c>
      <c r="K2787" s="30">
        <f>IF(B2787="","",IF(L2787="","Ukjent tekniker",IF(ISNA(MATCH(C2787,Aktiviteter,0)),"Ukjent aktivitet",IF(AND(INDEX(AktRolle,MATCH(C2787,Aktiviteter,0))&amp;""&lt;&gt;"",ISERROR(SEARCH(INDEX(AktRolle,MATCH(C2787,Aktiviteter,0))&amp;"",INDEX(TekRoller,MATCH(B2787,Teknikere,0))))),"Mangler rollen "&amp;INDEX(AktRolle,MATCH(C2787,Aktiviteter,0))&amp;"",IF(AND(C2787="LMS",F2787&gt;0,OR(D2787="",E2787="")),"Mangler maskin eller arbeid",IF(AND(OR(C2787="LMS",C2787="Mod"),D2787&lt;&gt;""),IF(IFERROR(INDEX(MaskinStatus,MATCH(D2787,Maskiner,0)),"")="I dokk","","Maskinen er ikke i dokk"),""))))))</f>
        <v/>
      </c>
      <c r="L2787" s="2">
        <f>IF(B2787="","",IFERROR(INT((MATCH(B2787,Teknikere,0)-1)/18)+1,""))</f>
        <v/>
      </c>
      <c r="M2787" s="2">
        <f>IF(OR(A2787="",B2787=""),"",B2787&amp;"|"&amp;A2787)</f>
        <v/>
      </c>
      <c r="N2787" s="2">
        <f>IF(M2787="","",SUMIFS(TF_Timer,TF_Nokkel,M2787,TF_Akt,C2787))</f>
        <v/>
      </c>
      <c r="O2787" s="2">
        <f>IF(M2787="","",IF(AND(N2787=_xlfn.MAXIFS(TF_AktSum,TF_Nokkel,M2787),COUNTIFS(M$3:M2786,M2787,N$3:N2786,N2787)=0),M2787,""))</f>
        <v/>
      </c>
    </row>
    <row r="2788">
      <c r="A2788" s="34" t="n"/>
      <c r="B2788" s="35" t="n"/>
      <c r="C2788" s="35" t="n"/>
      <c r="D2788" s="35" t="n"/>
      <c r="E2788" s="35" t="n"/>
      <c r="F2788" s="36" t="n"/>
      <c r="G2788" s="35" t="n"/>
      <c r="H2788" s="30">
        <f>IF(L2788="","",INDEX(SkiftNavn,L2788))</f>
        <v/>
      </c>
      <c r="I2788" s="30">
        <f>IF(OR(A2788="",L2788=""),"",IF(MOD(A2788-INDEX(SkiftStart,L2788),Syklus)&lt;DagK,"Kveld",IF(MOD(A2788-INDEX(SkiftStart,L2788),Syklus)&lt;DagK+DagH,"Helg",IF(MOD(A2788-INDEX(SkiftStart,L2788),Syklus)&lt;DagK+DagH+DagD,"Dag","Fri"))))</f>
        <v/>
      </c>
      <c r="J2788" s="30">
        <f>IF(I2788="Fri","Ja","")</f>
        <v/>
      </c>
      <c r="K2788" s="30">
        <f>IF(B2788="","",IF(L2788="","Ukjent tekniker",IF(ISNA(MATCH(C2788,Aktiviteter,0)),"Ukjent aktivitet",IF(AND(INDEX(AktRolle,MATCH(C2788,Aktiviteter,0))&amp;""&lt;&gt;"",ISERROR(SEARCH(INDEX(AktRolle,MATCH(C2788,Aktiviteter,0))&amp;"",INDEX(TekRoller,MATCH(B2788,Teknikere,0))))),"Mangler rollen "&amp;INDEX(AktRolle,MATCH(C2788,Aktiviteter,0))&amp;"",IF(AND(C2788="LMS",F2788&gt;0,OR(D2788="",E2788="")),"Mangler maskin eller arbeid",IF(AND(OR(C2788="LMS",C2788="Mod"),D2788&lt;&gt;""),IF(IFERROR(INDEX(MaskinStatus,MATCH(D2788,Maskiner,0)),"")="I dokk","","Maskinen er ikke i dokk"),""))))))</f>
        <v/>
      </c>
      <c r="L2788" s="2">
        <f>IF(B2788="","",IFERROR(INT((MATCH(B2788,Teknikere,0)-1)/18)+1,""))</f>
        <v/>
      </c>
      <c r="M2788" s="2">
        <f>IF(OR(A2788="",B2788=""),"",B2788&amp;"|"&amp;A2788)</f>
        <v/>
      </c>
      <c r="N2788" s="2">
        <f>IF(M2788="","",SUMIFS(TF_Timer,TF_Nokkel,M2788,TF_Akt,C2788))</f>
        <v/>
      </c>
      <c r="O2788" s="2">
        <f>IF(M2788="","",IF(AND(N2788=_xlfn.MAXIFS(TF_AktSum,TF_Nokkel,M2788),COUNTIFS(M$3:M2787,M2788,N$3:N2787,N2788)=0),M2788,""))</f>
        <v/>
      </c>
    </row>
    <row r="2789">
      <c r="A2789" s="34" t="n"/>
      <c r="B2789" s="35" t="n"/>
      <c r="C2789" s="35" t="n"/>
      <c r="D2789" s="35" t="n"/>
      <c r="E2789" s="35" t="n"/>
      <c r="F2789" s="36" t="n"/>
      <c r="G2789" s="35" t="n"/>
      <c r="H2789" s="30">
        <f>IF(L2789="","",INDEX(SkiftNavn,L2789))</f>
        <v/>
      </c>
      <c r="I2789" s="30">
        <f>IF(OR(A2789="",L2789=""),"",IF(MOD(A2789-INDEX(SkiftStart,L2789),Syklus)&lt;DagK,"Kveld",IF(MOD(A2789-INDEX(SkiftStart,L2789),Syklus)&lt;DagK+DagH,"Helg",IF(MOD(A2789-INDEX(SkiftStart,L2789),Syklus)&lt;DagK+DagH+DagD,"Dag","Fri"))))</f>
        <v/>
      </c>
      <c r="J2789" s="30">
        <f>IF(I2789="Fri","Ja","")</f>
        <v/>
      </c>
      <c r="K2789" s="30">
        <f>IF(B2789="","",IF(L2789="","Ukjent tekniker",IF(ISNA(MATCH(C2789,Aktiviteter,0)),"Ukjent aktivitet",IF(AND(INDEX(AktRolle,MATCH(C2789,Aktiviteter,0))&amp;""&lt;&gt;"",ISERROR(SEARCH(INDEX(AktRolle,MATCH(C2789,Aktiviteter,0))&amp;"",INDEX(TekRoller,MATCH(B2789,Teknikere,0))))),"Mangler rollen "&amp;INDEX(AktRolle,MATCH(C2789,Aktiviteter,0))&amp;"",IF(AND(C2789="LMS",F2789&gt;0,OR(D2789="",E2789="")),"Mangler maskin eller arbeid",IF(AND(OR(C2789="LMS",C2789="Mod"),D2789&lt;&gt;""),IF(IFERROR(INDEX(MaskinStatus,MATCH(D2789,Maskiner,0)),"")="I dokk","","Maskinen er ikke i dokk"),""))))))</f>
        <v/>
      </c>
      <c r="L2789" s="2">
        <f>IF(B2789="","",IFERROR(INT((MATCH(B2789,Teknikere,0)-1)/18)+1,""))</f>
        <v/>
      </c>
      <c r="M2789" s="2">
        <f>IF(OR(A2789="",B2789=""),"",B2789&amp;"|"&amp;A2789)</f>
        <v/>
      </c>
      <c r="N2789" s="2">
        <f>IF(M2789="","",SUMIFS(TF_Timer,TF_Nokkel,M2789,TF_Akt,C2789))</f>
        <v/>
      </c>
      <c r="O2789" s="2">
        <f>IF(M2789="","",IF(AND(N2789=_xlfn.MAXIFS(TF_AktSum,TF_Nokkel,M2789),COUNTIFS(M$3:M2788,M2789,N$3:N2788,N2789)=0),M2789,""))</f>
        <v/>
      </c>
    </row>
    <row r="2790">
      <c r="A2790" s="34" t="n"/>
      <c r="B2790" s="35" t="n"/>
      <c r="C2790" s="35" t="n"/>
      <c r="D2790" s="35" t="n"/>
      <c r="E2790" s="35" t="n"/>
      <c r="F2790" s="36" t="n"/>
      <c r="G2790" s="35" t="n"/>
      <c r="H2790" s="30">
        <f>IF(L2790="","",INDEX(SkiftNavn,L2790))</f>
        <v/>
      </c>
      <c r="I2790" s="30">
        <f>IF(OR(A2790="",L2790=""),"",IF(MOD(A2790-INDEX(SkiftStart,L2790),Syklus)&lt;DagK,"Kveld",IF(MOD(A2790-INDEX(SkiftStart,L2790),Syklus)&lt;DagK+DagH,"Helg",IF(MOD(A2790-INDEX(SkiftStart,L2790),Syklus)&lt;DagK+DagH+DagD,"Dag","Fri"))))</f>
        <v/>
      </c>
      <c r="J2790" s="30">
        <f>IF(I2790="Fri","Ja","")</f>
        <v/>
      </c>
      <c r="K2790" s="30">
        <f>IF(B2790="","",IF(L2790="","Ukjent tekniker",IF(ISNA(MATCH(C2790,Aktiviteter,0)),"Ukjent aktivitet",IF(AND(INDEX(AktRolle,MATCH(C2790,Aktiviteter,0))&amp;""&lt;&gt;"",ISERROR(SEARCH(INDEX(AktRolle,MATCH(C2790,Aktiviteter,0))&amp;"",INDEX(TekRoller,MATCH(B2790,Teknikere,0))))),"Mangler rollen "&amp;INDEX(AktRolle,MATCH(C2790,Aktiviteter,0))&amp;"",IF(AND(C2790="LMS",F2790&gt;0,OR(D2790="",E2790="")),"Mangler maskin eller arbeid",IF(AND(OR(C2790="LMS",C2790="Mod"),D2790&lt;&gt;""),IF(IFERROR(INDEX(MaskinStatus,MATCH(D2790,Maskiner,0)),"")="I dokk","","Maskinen er ikke i dokk"),""))))))</f>
        <v/>
      </c>
      <c r="L2790" s="2">
        <f>IF(B2790="","",IFERROR(INT((MATCH(B2790,Teknikere,0)-1)/18)+1,""))</f>
        <v/>
      </c>
      <c r="M2790" s="2">
        <f>IF(OR(A2790="",B2790=""),"",B2790&amp;"|"&amp;A2790)</f>
        <v/>
      </c>
      <c r="N2790" s="2">
        <f>IF(M2790="","",SUMIFS(TF_Timer,TF_Nokkel,M2790,TF_Akt,C2790))</f>
        <v/>
      </c>
      <c r="O2790" s="2">
        <f>IF(M2790="","",IF(AND(N2790=_xlfn.MAXIFS(TF_AktSum,TF_Nokkel,M2790),COUNTIFS(M$3:M2789,M2790,N$3:N2789,N2790)=0),M2790,""))</f>
        <v/>
      </c>
    </row>
    <row r="2791">
      <c r="A2791" s="34" t="n"/>
      <c r="B2791" s="35" t="n"/>
      <c r="C2791" s="35" t="n"/>
      <c r="D2791" s="35" t="n"/>
      <c r="E2791" s="35" t="n"/>
      <c r="F2791" s="36" t="n"/>
      <c r="G2791" s="35" t="n"/>
      <c r="H2791" s="30">
        <f>IF(L2791="","",INDEX(SkiftNavn,L2791))</f>
        <v/>
      </c>
      <c r="I2791" s="30">
        <f>IF(OR(A2791="",L2791=""),"",IF(MOD(A2791-INDEX(SkiftStart,L2791),Syklus)&lt;DagK,"Kveld",IF(MOD(A2791-INDEX(SkiftStart,L2791),Syklus)&lt;DagK+DagH,"Helg",IF(MOD(A2791-INDEX(SkiftStart,L2791),Syklus)&lt;DagK+DagH+DagD,"Dag","Fri"))))</f>
        <v/>
      </c>
      <c r="J2791" s="30">
        <f>IF(I2791="Fri","Ja","")</f>
        <v/>
      </c>
      <c r="K2791" s="30">
        <f>IF(B2791="","",IF(L2791="","Ukjent tekniker",IF(ISNA(MATCH(C2791,Aktiviteter,0)),"Ukjent aktivitet",IF(AND(INDEX(AktRolle,MATCH(C2791,Aktiviteter,0))&amp;""&lt;&gt;"",ISERROR(SEARCH(INDEX(AktRolle,MATCH(C2791,Aktiviteter,0))&amp;"",INDEX(TekRoller,MATCH(B2791,Teknikere,0))))),"Mangler rollen "&amp;INDEX(AktRolle,MATCH(C2791,Aktiviteter,0))&amp;"",IF(AND(C2791="LMS",F2791&gt;0,OR(D2791="",E2791="")),"Mangler maskin eller arbeid",IF(AND(OR(C2791="LMS",C2791="Mod"),D2791&lt;&gt;""),IF(IFERROR(INDEX(MaskinStatus,MATCH(D2791,Maskiner,0)),"")="I dokk","","Maskinen er ikke i dokk"),""))))))</f>
        <v/>
      </c>
      <c r="L2791" s="2">
        <f>IF(B2791="","",IFERROR(INT((MATCH(B2791,Teknikere,0)-1)/18)+1,""))</f>
        <v/>
      </c>
      <c r="M2791" s="2">
        <f>IF(OR(A2791="",B2791=""),"",B2791&amp;"|"&amp;A2791)</f>
        <v/>
      </c>
      <c r="N2791" s="2">
        <f>IF(M2791="","",SUMIFS(TF_Timer,TF_Nokkel,M2791,TF_Akt,C2791))</f>
        <v/>
      </c>
      <c r="O2791" s="2">
        <f>IF(M2791="","",IF(AND(N2791=_xlfn.MAXIFS(TF_AktSum,TF_Nokkel,M2791),COUNTIFS(M$3:M2790,M2791,N$3:N2790,N2791)=0),M2791,""))</f>
        <v/>
      </c>
    </row>
    <row r="2792">
      <c r="A2792" s="34" t="n"/>
      <c r="B2792" s="35" t="n"/>
      <c r="C2792" s="35" t="n"/>
      <c r="D2792" s="35" t="n"/>
      <c r="E2792" s="35" t="n"/>
      <c r="F2792" s="36" t="n"/>
      <c r="G2792" s="35" t="n"/>
      <c r="H2792" s="30">
        <f>IF(L2792="","",INDEX(SkiftNavn,L2792))</f>
        <v/>
      </c>
      <c r="I2792" s="30">
        <f>IF(OR(A2792="",L2792=""),"",IF(MOD(A2792-INDEX(SkiftStart,L2792),Syklus)&lt;DagK,"Kveld",IF(MOD(A2792-INDEX(SkiftStart,L2792),Syklus)&lt;DagK+DagH,"Helg",IF(MOD(A2792-INDEX(SkiftStart,L2792),Syklus)&lt;DagK+DagH+DagD,"Dag","Fri"))))</f>
        <v/>
      </c>
      <c r="J2792" s="30">
        <f>IF(I2792="Fri","Ja","")</f>
        <v/>
      </c>
      <c r="K2792" s="30">
        <f>IF(B2792="","",IF(L2792="","Ukjent tekniker",IF(ISNA(MATCH(C2792,Aktiviteter,0)),"Ukjent aktivitet",IF(AND(INDEX(AktRolle,MATCH(C2792,Aktiviteter,0))&amp;""&lt;&gt;"",ISERROR(SEARCH(INDEX(AktRolle,MATCH(C2792,Aktiviteter,0))&amp;"",INDEX(TekRoller,MATCH(B2792,Teknikere,0))))),"Mangler rollen "&amp;INDEX(AktRolle,MATCH(C2792,Aktiviteter,0))&amp;"",IF(AND(C2792="LMS",F2792&gt;0,OR(D2792="",E2792="")),"Mangler maskin eller arbeid",IF(AND(OR(C2792="LMS",C2792="Mod"),D2792&lt;&gt;""),IF(IFERROR(INDEX(MaskinStatus,MATCH(D2792,Maskiner,0)),"")="I dokk","","Maskinen er ikke i dokk"),""))))))</f>
        <v/>
      </c>
      <c r="L2792" s="2">
        <f>IF(B2792="","",IFERROR(INT((MATCH(B2792,Teknikere,0)-1)/18)+1,""))</f>
        <v/>
      </c>
      <c r="M2792" s="2">
        <f>IF(OR(A2792="",B2792=""),"",B2792&amp;"|"&amp;A2792)</f>
        <v/>
      </c>
      <c r="N2792" s="2">
        <f>IF(M2792="","",SUMIFS(TF_Timer,TF_Nokkel,M2792,TF_Akt,C2792))</f>
        <v/>
      </c>
      <c r="O2792" s="2">
        <f>IF(M2792="","",IF(AND(N2792=_xlfn.MAXIFS(TF_AktSum,TF_Nokkel,M2792),COUNTIFS(M$3:M2791,M2792,N$3:N2791,N2792)=0),M2792,""))</f>
        <v/>
      </c>
    </row>
    <row r="2793">
      <c r="A2793" s="34" t="n"/>
      <c r="B2793" s="35" t="n"/>
      <c r="C2793" s="35" t="n"/>
      <c r="D2793" s="35" t="n"/>
      <c r="E2793" s="35" t="n"/>
      <c r="F2793" s="36" t="n"/>
      <c r="G2793" s="35" t="n"/>
      <c r="H2793" s="30">
        <f>IF(L2793="","",INDEX(SkiftNavn,L2793))</f>
        <v/>
      </c>
      <c r="I2793" s="30">
        <f>IF(OR(A2793="",L2793=""),"",IF(MOD(A2793-INDEX(SkiftStart,L2793),Syklus)&lt;DagK,"Kveld",IF(MOD(A2793-INDEX(SkiftStart,L2793),Syklus)&lt;DagK+DagH,"Helg",IF(MOD(A2793-INDEX(SkiftStart,L2793),Syklus)&lt;DagK+DagH+DagD,"Dag","Fri"))))</f>
        <v/>
      </c>
      <c r="J2793" s="30">
        <f>IF(I2793="Fri","Ja","")</f>
        <v/>
      </c>
      <c r="K2793" s="30">
        <f>IF(B2793="","",IF(L2793="","Ukjent tekniker",IF(ISNA(MATCH(C2793,Aktiviteter,0)),"Ukjent aktivitet",IF(AND(INDEX(AktRolle,MATCH(C2793,Aktiviteter,0))&amp;""&lt;&gt;"",ISERROR(SEARCH(INDEX(AktRolle,MATCH(C2793,Aktiviteter,0))&amp;"",INDEX(TekRoller,MATCH(B2793,Teknikere,0))))),"Mangler rollen "&amp;INDEX(AktRolle,MATCH(C2793,Aktiviteter,0))&amp;"",IF(AND(C2793="LMS",F2793&gt;0,OR(D2793="",E2793="")),"Mangler maskin eller arbeid",IF(AND(OR(C2793="LMS",C2793="Mod"),D2793&lt;&gt;""),IF(IFERROR(INDEX(MaskinStatus,MATCH(D2793,Maskiner,0)),"")="I dokk","","Maskinen er ikke i dokk"),""))))))</f>
        <v/>
      </c>
      <c r="L2793" s="2">
        <f>IF(B2793="","",IFERROR(INT((MATCH(B2793,Teknikere,0)-1)/18)+1,""))</f>
        <v/>
      </c>
      <c r="M2793" s="2">
        <f>IF(OR(A2793="",B2793=""),"",B2793&amp;"|"&amp;A2793)</f>
        <v/>
      </c>
      <c r="N2793" s="2">
        <f>IF(M2793="","",SUMIFS(TF_Timer,TF_Nokkel,M2793,TF_Akt,C2793))</f>
        <v/>
      </c>
      <c r="O2793" s="2">
        <f>IF(M2793="","",IF(AND(N2793=_xlfn.MAXIFS(TF_AktSum,TF_Nokkel,M2793),COUNTIFS(M$3:M2792,M2793,N$3:N2792,N2793)=0),M2793,""))</f>
        <v/>
      </c>
    </row>
    <row r="2794">
      <c r="A2794" s="34" t="n"/>
      <c r="B2794" s="35" t="n"/>
      <c r="C2794" s="35" t="n"/>
      <c r="D2794" s="35" t="n"/>
      <c r="E2794" s="35" t="n"/>
      <c r="F2794" s="36" t="n"/>
      <c r="G2794" s="35" t="n"/>
      <c r="H2794" s="30">
        <f>IF(L2794="","",INDEX(SkiftNavn,L2794))</f>
        <v/>
      </c>
      <c r="I2794" s="30">
        <f>IF(OR(A2794="",L2794=""),"",IF(MOD(A2794-INDEX(SkiftStart,L2794),Syklus)&lt;DagK,"Kveld",IF(MOD(A2794-INDEX(SkiftStart,L2794),Syklus)&lt;DagK+DagH,"Helg",IF(MOD(A2794-INDEX(SkiftStart,L2794),Syklus)&lt;DagK+DagH+DagD,"Dag","Fri"))))</f>
        <v/>
      </c>
      <c r="J2794" s="30">
        <f>IF(I2794="Fri","Ja","")</f>
        <v/>
      </c>
      <c r="K2794" s="30">
        <f>IF(B2794="","",IF(L2794="","Ukjent tekniker",IF(ISNA(MATCH(C2794,Aktiviteter,0)),"Ukjent aktivitet",IF(AND(INDEX(AktRolle,MATCH(C2794,Aktiviteter,0))&amp;""&lt;&gt;"",ISERROR(SEARCH(INDEX(AktRolle,MATCH(C2794,Aktiviteter,0))&amp;"",INDEX(TekRoller,MATCH(B2794,Teknikere,0))))),"Mangler rollen "&amp;INDEX(AktRolle,MATCH(C2794,Aktiviteter,0))&amp;"",IF(AND(C2794="LMS",F2794&gt;0,OR(D2794="",E2794="")),"Mangler maskin eller arbeid",IF(AND(OR(C2794="LMS",C2794="Mod"),D2794&lt;&gt;""),IF(IFERROR(INDEX(MaskinStatus,MATCH(D2794,Maskiner,0)),"")="I dokk","","Maskinen er ikke i dokk"),""))))))</f>
        <v/>
      </c>
      <c r="L2794" s="2">
        <f>IF(B2794="","",IFERROR(INT((MATCH(B2794,Teknikere,0)-1)/18)+1,""))</f>
        <v/>
      </c>
      <c r="M2794" s="2">
        <f>IF(OR(A2794="",B2794=""),"",B2794&amp;"|"&amp;A2794)</f>
        <v/>
      </c>
      <c r="N2794" s="2">
        <f>IF(M2794="","",SUMIFS(TF_Timer,TF_Nokkel,M2794,TF_Akt,C2794))</f>
        <v/>
      </c>
      <c r="O2794" s="2">
        <f>IF(M2794="","",IF(AND(N2794=_xlfn.MAXIFS(TF_AktSum,TF_Nokkel,M2794),COUNTIFS(M$3:M2793,M2794,N$3:N2793,N2794)=0),M2794,""))</f>
        <v/>
      </c>
    </row>
    <row r="2795">
      <c r="A2795" s="34" t="n"/>
      <c r="B2795" s="35" t="n"/>
      <c r="C2795" s="35" t="n"/>
      <c r="D2795" s="35" t="n"/>
      <c r="E2795" s="35" t="n"/>
      <c r="F2795" s="36" t="n"/>
      <c r="G2795" s="35" t="n"/>
      <c r="H2795" s="30">
        <f>IF(L2795="","",INDEX(SkiftNavn,L2795))</f>
        <v/>
      </c>
      <c r="I2795" s="30">
        <f>IF(OR(A2795="",L2795=""),"",IF(MOD(A2795-INDEX(SkiftStart,L2795),Syklus)&lt;DagK,"Kveld",IF(MOD(A2795-INDEX(SkiftStart,L2795),Syklus)&lt;DagK+DagH,"Helg",IF(MOD(A2795-INDEX(SkiftStart,L2795),Syklus)&lt;DagK+DagH+DagD,"Dag","Fri"))))</f>
        <v/>
      </c>
      <c r="J2795" s="30">
        <f>IF(I2795="Fri","Ja","")</f>
        <v/>
      </c>
      <c r="K2795" s="30">
        <f>IF(B2795="","",IF(L2795="","Ukjent tekniker",IF(ISNA(MATCH(C2795,Aktiviteter,0)),"Ukjent aktivitet",IF(AND(INDEX(AktRolle,MATCH(C2795,Aktiviteter,0))&amp;""&lt;&gt;"",ISERROR(SEARCH(INDEX(AktRolle,MATCH(C2795,Aktiviteter,0))&amp;"",INDEX(TekRoller,MATCH(B2795,Teknikere,0))))),"Mangler rollen "&amp;INDEX(AktRolle,MATCH(C2795,Aktiviteter,0))&amp;"",IF(AND(C2795="LMS",F2795&gt;0,OR(D2795="",E2795="")),"Mangler maskin eller arbeid",IF(AND(OR(C2795="LMS",C2795="Mod"),D2795&lt;&gt;""),IF(IFERROR(INDEX(MaskinStatus,MATCH(D2795,Maskiner,0)),"")="I dokk","","Maskinen er ikke i dokk"),""))))))</f>
        <v/>
      </c>
      <c r="L2795" s="2">
        <f>IF(B2795="","",IFERROR(INT((MATCH(B2795,Teknikere,0)-1)/18)+1,""))</f>
        <v/>
      </c>
      <c r="M2795" s="2">
        <f>IF(OR(A2795="",B2795=""),"",B2795&amp;"|"&amp;A2795)</f>
        <v/>
      </c>
      <c r="N2795" s="2">
        <f>IF(M2795="","",SUMIFS(TF_Timer,TF_Nokkel,M2795,TF_Akt,C2795))</f>
        <v/>
      </c>
      <c r="O2795" s="2">
        <f>IF(M2795="","",IF(AND(N2795=_xlfn.MAXIFS(TF_AktSum,TF_Nokkel,M2795),COUNTIFS(M$3:M2794,M2795,N$3:N2794,N2795)=0),M2795,""))</f>
        <v/>
      </c>
    </row>
    <row r="2796">
      <c r="A2796" s="34" t="n"/>
      <c r="B2796" s="35" t="n"/>
      <c r="C2796" s="35" t="n"/>
      <c r="D2796" s="35" t="n"/>
      <c r="E2796" s="35" t="n"/>
      <c r="F2796" s="36" t="n"/>
      <c r="G2796" s="35" t="n"/>
      <c r="H2796" s="30">
        <f>IF(L2796="","",INDEX(SkiftNavn,L2796))</f>
        <v/>
      </c>
      <c r="I2796" s="30">
        <f>IF(OR(A2796="",L2796=""),"",IF(MOD(A2796-INDEX(SkiftStart,L2796),Syklus)&lt;DagK,"Kveld",IF(MOD(A2796-INDEX(SkiftStart,L2796),Syklus)&lt;DagK+DagH,"Helg",IF(MOD(A2796-INDEX(SkiftStart,L2796),Syklus)&lt;DagK+DagH+DagD,"Dag","Fri"))))</f>
        <v/>
      </c>
      <c r="J2796" s="30">
        <f>IF(I2796="Fri","Ja","")</f>
        <v/>
      </c>
      <c r="K2796" s="30">
        <f>IF(B2796="","",IF(L2796="","Ukjent tekniker",IF(ISNA(MATCH(C2796,Aktiviteter,0)),"Ukjent aktivitet",IF(AND(INDEX(AktRolle,MATCH(C2796,Aktiviteter,0))&amp;""&lt;&gt;"",ISERROR(SEARCH(INDEX(AktRolle,MATCH(C2796,Aktiviteter,0))&amp;"",INDEX(TekRoller,MATCH(B2796,Teknikere,0))))),"Mangler rollen "&amp;INDEX(AktRolle,MATCH(C2796,Aktiviteter,0))&amp;"",IF(AND(C2796="LMS",F2796&gt;0,OR(D2796="",E2796="")),"Mangler maskin eller arbeid",IF(AND(OR(C2796="LMS",C2796="Mod"),D2796&lt;&gt;""),IF(IFERROR(INDEX(MaskinStatus,MATCH(D2796,Maskiner,0)),"")="I dokk","","Maskinen er ikke i dokk"),""))))))</f>
        <v/>
      </c>
      <c r="L2796" s="2">
        <f>IF(B2796="","",IFERROR(INT((MATCH(B2796,Teknikere,0)-1)/18)+1,""))</f>
        <v/>
      </c>
      <c r="M2796" s="2">
        <f>IF(OR(A2796="",B2796=""),"",B2796&amp;"|"&amp;A2796)</f>
        <v/>
      </c>
      <c r="N2796" s="2">
        <f>IF(M2796="","",SUMIFS(TF_Timer,TF_Nokkel,M2796,TF_Akt,C2796))</f>
        <v/>
      </c>
      <c r="O2796" s="2">
        <f>IF(M2796="","",IF(AND(N2796=_xlfn.MAXIFS(TF_AktSum,TF_Nokkel,M2796),COUNTIFS(M$3:M2795,M2796,N$3:N2795,N2796)=0),M2796,""))</f>
        <v/>
      </c>
    </row>
    <row r="2797">
      <c r="A2797" s="34" t="n"/>
      <c r="B2797" s="35" t="n"/>
      <c r="C2797" s="35" t="n"/>
      <c r="D2797" s="35" t="n"/>
      <c r="E2797" s="35" t="n"/>
      <c r="F2797" s="36" t="n"/>
      <c r="G2797" s="35" t="n"/>
      <c r="H2797" s="30">
        <f>IF(L2797="","",INDEX(SkiftNavn,L2797))</f>
        <v/>
      </c>
      <c r="I2797" s="30">
        <f>IF(OR(A2797="",L2797=""),"",IF(MOD(A2797-INDEX(SkiftStart,L2797),Syklus)&lt;DagK,"Kveld",IF(MOD(A2797-INDEX(SkiftStart,L2797),Syklus)&lt;DagK+DagH,"Helg",IF(MOD(A2797-INDEX(SkiftStart,L2797),Syklus)&lt;DagK+DagH+DagD,"Dag","Fri"))))</f>
        <v/>
      </c>
      <c r="J2797" s="30">
        <f>IF(I2797="Fri","Ja","")</f>
        <v/>
      </c>
      <c r="K2797" s="30">
        <f>IF(B2797="","",IF(L2797="","Ukjent tekniker",IF(ISNA(MATCH(C2797,Aktiviteter,0)),"Ukjent aktivitet",IF(AND(INDEX(AktRolle,MATCH(C2797,Aktiviteter,0))&amp;""&lt;&gt;"",ISERROR(SEARCH(INDEX(AktRolle,MATCH(C2797,Aktiviteter,0))&amp;"",INDEX(TekRoller,MATCH(B2797,Teknikere,0))))),"Mangler rollen "&amp;INDEX(AktRolle,MATCH(C2797,Aktiviteter,0))&amp;"",IF(AND(C2797="LMS",F2797&gt;0,OR(D2797="",E2797="")),"Mangler maskin eller arbeid",IF(AND(OR(C2797="LMS",C2797="Mod"),D2797&lt;&gt;""),IF(IFERROR(INDEX(MaskinStatus,MATCH(D2797,Maskiner,0)),"")="I dokk","","Maskinen er ikke i dokk"),""))))))</f>
        <v/>
      </c>
      <c r="L2797" s="2">
        <f>IF(B2797="","",IFERROR(INT((MATCH(B2797,Teknikere,0)-1)/18)+1,""))</f>
        <v/>
      </c>
      <c r="M2797" s="2">
        <f>IF(OR(A2797="",B2797=""),"",B2797&amp;"|"&amp;A2797)</f>
        <v/>
      </c>
      <c r="N2797" s="2">
        <f>IF(M2797="","",SUMIFS(TF_Timer,TF_Nokkel,M2797,TF_Akt,C2797))</f>
        <v/>
      </c>
      <c r="O2797" s="2">
        <f>IF(M2797="","",IF(AND(N2797=_xlfn.MAXIFS(TF_AktSum,TF_Nokkel,M2797),COUNTIFS(M$3:M2796,M2797,N$3:N2796,N2797)=0),M2797,""))</f>
        <v/>
      </c>
    </row>
    <row r="2798">
      <c r="A2798" s="34" t="n"/>
      <c r="B2798" s="35" t="n"/>
      <c r="C2798" s="35" t="n"/>
      <c r="D2798" s="35" t="n"/>
      <c r="E2798" s="35" t="n"/>
      <c r="F2798" s="36" t="n"/>
      <c r="G2798" s="35" t="n"/>
      <c r="H2798" s="30">
        <f>IF(L2798="","",INDEX(SkiftNavn,L2798))</f>
        <v/>
      </c>
      <c r="I2798" s="30">
        <f>IF(OR(A2798="",L2798=""),"",IF(MOD(A2798-INDEX(SkiftStart,L2798),Syklus)&lt;DagK,"Kveld",IF(MOD(A2798-INDEX(SkiftStart,L2798),Syklus)&lt;DagK+DagH,"Helg",IF(MOD(A2798-INDEX(SkiftStart,L2798),Syklus)&lt;DagK+DagH+DagD,"Dag","Fri"))))</f>
        <v/>
      </c>
      <c r="J2798" s="30">
        <f>IF(I2798="Fri","Ja","")</f>
        <v/>
      </c>
      <c r="K2798" s="30">
        <f>IF(B2798="","",IF(L2798="","Ukjent tekniker",IF(ISNA(MATCH(C2798,Aktiviteter,0)),"Ukjent aktivitet",IF(AND(INDEX(AktRolle,MATCH(C2798,Aktiviteter,0))&amp;""&lt;&gt;"",ISERROR(SEARCH(INDEX(AktRolle,MATCH(C2798,Aktiviteter,0))&amp;"",INDEX(TekRoller,MATCH(B2798,Teknikere,0))))),"Mangler rollen "&amp;INDEX(AktRolle,MATCH(C2798,Aktiviteter,0))&amp;"",IF(AND(C2798="LMS",F2798&gt;0,OR(D2798="",E2798="")),"Mangler maskin eller arbeid",IF(AND(OR(C2798="LMS",C2798="Mod"),D2798&lt;&gt;""),IF(IFERROR(INDEX(MaskinStatus,MATCH(D2798,Maskiner,0)),"")="I dokk","","Maskinen er ikke i dokk"),""))))))</f>
        <v/>
      </c>
      <c r="L2798" s="2">
        <f>IF(B2798="","",IFERROR(INT((MATCH(B2798,Teknikere,0)-1)/18)+1,""))</f>
        <v/>
      </c>
      <c r="M2798" s="2">
        <f>IF(OR(A2798="",B2798=""),"",B2798&amp;"|"&amp;A2798)</f>
        <v/>
      </c>
      <c r="N2798" s="2">
        <f>IF(M2798="","",SUMIFS(TF_Timer,TF_Nokkel,M2798,TF_Akt,C2798))</f>
        <v/>
      </c>
      <c r="O2798" s="2">
        <f>IF(M2798="","",IF(AND(N2798=_xlfn.MAXIFS(TF_AktSum,TF_Nokkel,M2798),COUNTIFS(M$3:M2797,M2798,N$3:N2797,N2798)=0),M2798,""))</f>
        <v/>
      </c>
    </row>
    <row r="2799">
      <c r="A2799" s="34" t="n"/>
      <c r="B2799" s="35" t="n"/>
      <c r="C2799" s="35" t="n"/>
      <c r="D2799" s="35" t="n"/>
      <c r="E2799" s="35" t="n"/>
      <c r="F2799" s="36" t="n"/>
      <c r="G2799" s="35" t="n"/>
      <c r="H2799" s="30">
        <f>IF(L2799="","",INDEX(SkiftNavn,L2799))</f>
        <v/>
      </c>
      <c r="I2799" s="30">
        <f>IF(OR(A2799="",L2799=""),"",IF(MOD(A2799-INDEX(SkiftStart,L2799),Syklus)&lt;DagK,"Kveld",IF(MOD(A2799-INDEX(SkiftStart,L2799),Syklus)&lt;DagK+DagH,"Helg",IF(MOD(A2799-INDEX(SkiftStart,L2799),Syklus)&lt;DagK+DagH+DagD,"Dag","Fri"))))</f>
        <v/>
      </c>
      <c r="J2799" s="30">
        <f>IF(I2799="Fri","Ja","")</f>
        <v/>
      </c>
      <c r="K2799" s="30">
        <f>IF(B2799="","",IF(L2799="","Ukjent tekniker",IF(ISNA(MATCH(C2799,Aktiviteter,0)),"Ukjent aktivitet",IF(AND(INDEX(AktRolle,MATCH(C2799,Aktiviteter,0))&amp;""&lt;&gt;"",ISERROR(SEARCH(INDEX(AktRolle,MATCH(C2799,Aktiviteter,0))&amp;"",INDEX(TekRoller,MATCH(B2799,Teknikere,0))))),"Mangler rollen "&amp;INDEX(AktRolle,MATCH(C2799,Aktiviteter,0))&amp;"",IF(AND(C2799="LMS",F2799&gt;0,OR(D2799="",E2799="")),"Mangler maskin eller arbeid",IF(AND(OR(C2799="LMS",C2799="Mod"),D2799&lt;&gt;""),IF(IFERROR(INDEX(MaskinStatus,MATCH(D2799,Maskiner,0)),"")="I dokk","","Maskinen er ikke i dokk"),""))))))</f>
        <v/>
      </c>
      <c r="L2799" s="2">
        <f>IF(B2799="","",IFERROR(INT((MATCH(B2799,Teknikere,0)-1)/18)+1,""))</f>
        <v/>
      </c>
      <c r="M2799" s="2">
        <f>IF(OR(A2799="",B2799=""),"",B2799&amp;"|"&amp;A2799)</f>
        <v/>
      </c>
      <c r="N2799" s="2">
        <f>IF(M2799="","",SUMIFS(TF_Timer,TF_Nokkel,M2799,TF_Akt,C2799))</f>
        <v/>
      </c>
      <c r="O2799" s="2">
        <f>IF(M2799="","",IF(AND(N2799=_xlfn.MAXIFS(TF_AktSum,TF_Nokkel,M2799),COUNTIFS(M$3:M2798,M2799,N$3:N2798,N2799)=0),M2799,""))</f>
        <v/>
      </c>
    </row>
    <row r="2800">
      <c r="A2800" s="34" t="n"/>
      <c r="B2800" s="35" t="n"/>
      <c r="C2800" s="35" t="n"/>
      <c r="D2800" s="35" t="n"/>
      <c r="E2800" s="35" t="n"/>
      <c r="F2800" s="36" t="n"/>
      <c r="G2800" s="35" t="n"/>
      <c r="H2800" s="30">
        <f>IF(L2800="","",INDEX(SkiftNavn,L2800))</f>
        <v/>
      </c>
      <c r="I2800" s="30">
        <f>IF(OR(A2800="",L2800=""),"",IF(MOD(A2800-INDEX(SkiftStart,L2800),Syklus)&lt;DagK,"Kveld",IF(MOD(A2800-INDEX(SkiftStart,L2800),Syklus)&lt;DagK+DagH,"Helg",IF(MOD(A2800-INDEX(SkiftStart,L2800),Syklus)&lt;DagK+DagH+DagD,"Dag","Fri"))))</f>
        <v/>
      </c>
      <c r="J2800" s="30">
        <f>IF(I2800="Fri","Ja","")</f>
        <v/>
      </c>
      <c r="K2800" s="30">
        <f>IF(B2800="","",IF(L2800="","Ukjent tekniker",IF(ISNA(MATCH(C2800,Aktiviteter,0)),"Ukjent aktivitet",IF(AND(INDEX(AktRolle,MATCH(C2800,Aktiviteter,0))&amp;""&lt;&gt;"",ISERROR(SEARCH(INDEX(AktRolle,MATCH(C2800,Aktiviteter,0))&amp;"",INDEX(TekRoller,MATCH(B2800,Teknikere,0))))),"Mangler rollen "&amp;INDEX(AktRolle,MATCH(C2800,Aktiviteter,0))&amp;"",IF(AND(C2800="LMS",F2800&gt;0,OR(D2800="",E2800="")),"Mangler maskin eller arbeid",IF(AND(OR(C2800="LMS",C2800="Mod"),D2800&lt;&gt;""),IF(IFERROR(INDEX(MaskinStatus,MATCH(D2800,Maskiner,0)),"")="I dokk","","Maskinen er ikke i dokk"),""))))))</f>
        <v/>
      </c>
      <c r="L2800" s="2">
        <f>IF(B2800="","",IFERROR(INT((MATCH(B2800,Teknikere,0)-1)/18)+1,""))</f>
        <v/>
      </c>
      <c r="M2800" s="2">
        <f>IF(OR(A2800="",B2800=""),"",B2800&amp;"|"&amp;A2800)</f>
        <v/>
      </c>
      <c r="N2800" s="2">
        <f>IF(M2800="","",SUMIFS(TF_Timer,TF_Nokkel,M2800,TF_Akt,C2800))</f>
        <v/>
      </c>
      <c r="O2800" s="2">
        <f>IF(M2800="","",IF(AND(N2800=_xlfn.MAXIFS(TF_AktSum,TF_Nokkel,M2800),COUNTIFS(M$3:M2799,M2800,N$3:N2799,N2800)=0),M2800,""))</f>
        <v/>
      </c>
    </row>
    <row r="2801">
      <c r="A2801" s="34" t="n"/>
      <c r="B2801" s="35" t="n"/>
      <c r="C2801" s="35" t="n"/>
      <c r="D2801" s="35" t="n"/>
      <c r="E2801" s="35" t="n"/>
      <c r="F2801" s="36" t="n"/>
      <c r="G2801" s="35" t="n"/>
      <c r="H2801" s="30">
        <f>IF(L2801="","",INDEX(SkiftNavn,L2801))</f>
        <v/>
      </c>
      <c r="I2801" s="30">
        <f>IF(OR(A2801="",L2801=""),"",IF(MOD(A2801-INDEX(SkiftStart,L2801),Syklus)&lt;DagK,"Kveld",IF(MOD(A2801-INDEX(SkiftStart,L2801),Syklus)&lt;DagK+DagH,"Helg",IF(MOD(A2801-INDEX(SkiftStart,L2801),Syklus)&lt;DagK+DagH+DagD,"Dag","Fri"))))</f>
        <v/>
      </c>
      <c r="J2801" s="30">
        <f>IF(I2801="Fri","Ja","")</f>
        <v/>
      </c>
      <c r="K2801" s="30">
        <f>IF(B2801="","",IF(L2801="","Ukjent tekniker",IF(ISNA(MATCH(C2801,Aktiviteter,0)),"Ukjent aktivitet",IF(AND(INDEX(AktRolle,MATCH(C2801,Aktiviteter,0))&amp;""&lt;&gt;"",ISERROR(SEARCH(INDEX(AktRolle,MATCH(C2801,Aktiviteter,0))&amp;"",INDEX(TekRoller,MATCH(B2801,Teknikere,0))))),"Mangler rollen "&amp;INDEX(AktRolle,MATCH(C2801,Aktiviteter,0))&amp;"",IF(AND(C2801="LMS",F2801&gt;0,OR(D2801="",E2801="")),"Mangler maskin eller arbeid",IF(AND(OR(C2801="LMS",C2801="Mod"),D2801&lt;&gt;""),IF(IFERROR(INDEX(MaskinStatus,MATCH(D2801,Maskiner,0)),"")="I dokk","","Maskinen er ikke i dokk"),""))))))</f>
        <v/>
      </c>
      <c r="L2801" s="2">
        <f>IF(B2801="","",IFERROR(INT((MATCH(B2801,Teknikere,0)-1)/18)+1,""))</f>
        <v/>
      </c>
      <c r="M2801" s="2">
        <f>IF(OR(A2801="",B2801=""),"",B2801&amp;"|"&amp;A2801)</f>
        <v/>
      </c>
      <c r="N2801" s="2">
        <f>IF(M2801="","",SUMIFS(TF_Timer,TF_Nokkel,M2801,TF_Akt,C2801))</f>
        <v/>
      </c>
      <c r="O2801" s="2">
        <f>IF(M2801="","",IF(AND(N2801=_xlfn.MAXIFS(TF_AktSum,TF_Nokkel,M2801),COUNTIFS(M$3:M2800,M2801,N$3:N2800,N2801)=0),M2801,""))</f>
        <v/>
      </c>
    </row>
    <row r="2802">
      <c r="A2802" s="34" t="n"/>
      <c r="B2802" s="35" t="n"/>
      <c r="C2802" s="35" t="n"/>
      <c r="D2802" s="35" t="n"/>
      <c r="E2802" s="35" t="n"/>
      <c r="F2802" s="36" t="n"/>
      <c r="G2802" s="35" t="n"/>
      <c r="H2802" s="30">
        <f>IF(L2802="","",INDEX(SkiftNavn,L2802))</f>
        <v/>
      </c>
      <c r="I2802" s="30">
        <f>IF(OR(A2802="",L2802=""),"",IF(MOD(A2802-INDEX(SkiftStart,L2802),Syklus)&lt;DagK,"Kveld",IF(MOD(A2802-INDEX(SkiftStart,L2802),Syklus)&lt;DagK+DagH,"Helg",IF(MOD(A2802-INDEX(SkiftStart,L2802),Syklus)&lt;DagK+DagH+DagD,"Dag","Fri"))))</f>
        <v/>
      </c>
      <c r="J2802" s="30">
        <f>IF(I2802="Fri","Ja","")</f>
        <v/>
      </c>
      <c r="K2802" s="30">
        <f>IF(B2802="","",IF(L2802="","Ukjent tekniker",IF(ISNA(MATCH(C2802,Aktiviteter,0)),"Ukjent aktivitet",IF(AND(INDEX(AktRolle,MATCH(C2802,Aktiviteter,0))&amp;""&lt;&gt;"",ISERROR(SEARCH(INDEX(AktRolle,MATCH(C2802,Aktiviteter,0))&amp;"",INDEX(TekRoller,MATCH(B2802,Teknikere,0))))),"Mangler rollen "&amp;INDEX(AktRolle,MATCH(C2802,Aktiviteter,0))&amp;"",IF(AND(C2802="LMS",F2802&gt;0,OR(D2802="",E2802="")),"Mangler maskin eller arbeid",IF(AND(OR(C2802="LMS",C2802="Mod"),D2802&lt;&gt;""),IF(IFERROR(INDEX(MaskinStatus,MATCH(D2802,Maskiner,0)),"")="I dokk","","Maskinen er ikke i dokk"),""))))))</f>
        <v/>
      </c>
      <c r="L2802" s="2">
        <f>IF(B2802="","",IFERROR(INT((MATCH(B2802,Teknikere,0)-1)/18)+1,""))</f>
        <v/>
      </c>
      <c r="M2802" s="2">
        <f>IF(OR(A2802="",B2802=""),"",B2802&amp;"|"&amp;A2802)</f>
        <v/>
      </c>
      <c r="N2802" s="2">
        <f>IF(M2802="","",SUMIFS(TF_Timer,TF_Nokkel,M2802,TF_Akt,C2802))</f>
        <v/>
      </c>
      <c r="O2802" s="2">
        <f>IF(M2802="","",IF(AND(N2802=_xlfn.MAXIFS(TF_AktSum,TF_Nokkel,M2802),COUNTIFS(M$3:M2801,M2802,N$3:N2801,N2802)=0),M2802,""))</f>
        <v/>
      </c>
    </row>
    <row r="2803">
      <c r="A2803" s="34" t="n"/>
      <c r="B2803" s="35" t="n"/>
      <c r="C2803" s="35" t="n"/>
      <c r="D2803" s="35" t="n"/>
      <c r="E2803" s="35" t="n"/>
      <c r="F2803" s="36" t="n"/>
      <c r="G2803" s="35" t="n"/>
      <c r="H2803" s="30">
        <f>IF(L2803="","",INDEX(SkiftNavn,L2803))</f>
        <v/>
      </c>
      <c r="I2803" s="30">
        <f>IF(OR(A2803="",L2803=""),"",IF(MOD(A2803-INDEX(SkiftStart,L2803),Syklus)&lt;DagK,"Kveld",IF(MOD(A2803-INDEX(SkiftStart,L2803),Syklus)&lt;DagK+DagH,"Helg",IF(MOD(A2803-INDEX(SkiftStart,L2803),Syklus)&lt;DagK+DagH+DagD,"Dag","Fri"))))</f>
        <v/>
      </c>
      <c r="J2803" s="30">
        <f>IF(I2803="Fri","Ja","")</f>
        <v/>
      </c>
      <c r="K2803" s="30">
        <f>IF(B2803="","",IF(L2803="","Ukjent tekniker",IF(ISNA(MATCH(C2803,Aktiviteter,0)),"Ukjent aktivitet",IF(AND(INDEX(AktRolle,MATCH(C2803,Aktiviteter,0))&amp;""&lt;&gt;"",ISERROR(SEARCH(INDEX(AktRolle,MATCH(C2803,Aktiviteter,0))&amp;"",INDEX(TekRoller,MATCH(B2803,Teknikere,0))))),"Mangler rollen "&amp;INDEX(AktRolle,MATCH(C2803,Aktiviteter,0))&amp;"",IF(AND(C2803="LMS",F2803&gt;0,OR(D2803="",E2803="")),"Mangler maskin eller arbeid",IF(AND(OR(C2803="LMS",C2803="Mod"),D2803&lt;&gt;""),IF(IFERROR(INDEX(MaskinStatus,MATCH(D2803,Maskiner,0)),"")="I dokk","","Maskinen er ikke i dokk"),""))))))</f>
        <v/>
      </c>
      <c r="L2803" s="2">
        <f>IF(B2803="","",IFERROR(INT((MATCH(B2803,Teknikere,0)-1)/18)+1,""))</f>
        <v/>
      </c>
      <c r="M2803" s="2">
        <f>IF(OR(A2803="",B2803=""),"",B2803&amp;"|"&amp;A2803)</f>
        <v/>
      </c>
      <c r="N2803" s="2">
        <f>IF(M2803="","",SUMIFS(TF_Timer,TF_Nokkel,M2803,TF_Akt,C2803))</f>
        <v/>
      </c>
      <c r="O2803" s="2">
        <f>IF(M2803="","",IF(AND(N2803=_xlfn.MAXIFS(TF_AktSum,TF_Nokkel,M2803),COUNTIFS(M$3:M2802,M2803,N$3:N2802,N2803)=0),M2803,""))</f>
        <v/>
      </c>
    </row>
    <row r="2804">
      <c r="A2804" s="34" t="n"/>
      <c r="B2804" s="35" t="n"/>
      <c r="C2804" s="35" t="n"/>
      <c r="D2804" s="35" t="n"/>
      <c r="E2804" s="35" t="n"/>
      <c r="F2804" s="36" t="n"/>
      <c r="G2804" s="35" t="n"/>
      <c r="H2804" s="30">
        <f>IF(L2804="","",INDEX(SkiftNavn,L2804))</f>
        <v/>
      </c>
      <c r="I2804" s="30">
        <f>IF(OR(A2804="",L2804=""),"",IF(MOD(A2804-INDEX(SkiftStart,L2804),Syklus)&lt;DagK,"Kveld",IF(MOD(A2804-INDEX(SkiftStart,L2804),Syklus)&lt;DagK+DagH,"Helg",IF(MOD(A2804-INDEX(SkiftStart,L2804),Syklus)&lt;DagK+DagH+DagD,"Dag","Fri"))))</f>
        <v/>
      </c>
      <c r="J2804" s="30">
        <f>IF(I2804="Fri","Ja","")</f>
        <v/>
      </c>
      <c r="K2804" s="30">
        <f>IF(B2804="","",IF(L2804="","Ukjent tekniker",IF(ISNA(MATCH(C2804,Aktiviteter,0)),"Ukjent aktivitet",IF(AND(INDEX(AktRolle,MATCH(C2804,Aktiviteter,0))&amp;""&lt;&gt;"",ISERROR(SEARCH(INDEX(AktRolle,MATCH(C2804,Aktiviteter,0))&amp;"",INDEX(TekRoller,MATCH(B2804,Teknikere,0))))),"Mangler rollen "&amp;INDEX(AktRolle,MATCH(C2804,Aktiviteter,0))&amp;"",IF(AND(C2804="LMS",F2804&gt;0,OR(D2804="",E2804="")),"Mangler maskin eller arbeid",IF(AND(OR(C2804="LMS",C2804="Mod"),D2804&lt;&gt;""),IF(IFERROR(INDEX(MaskinStatus,MATCH(D2804,Maskiner,0)),"")="I dokk","","Maskinen er ikke i dokk"),""))))))</f>
        <v/>
      </c>
      <c r="L2804" s="2">
        <f>IF(B2804="","",IFERROR(INT((MATCH(B2804,Teknikere,0)-1)/18)+1,""))</f>
        <v/>
      </c>
      <c r="M2804" s="2">
        <f>IF(OR(A2804="",B2804=""),"",B2804&amp;"|"&amp;A2804)</f>
        <v/>
      </c>
      <c r="N2804" s="2">
        <f>IF(M2804="","",SUMIFS(TF_Timer,TF_Nokkel,M2804,TF_Akt,C2804))</f>
        <v/>
      </c>
      <c r="O2804" s="2">
        <f>IF(M2804="","",IF(AND(N2804=_xlfn.MAXIFS(TF_AktSum,TF_Nokkel,M2804),COUNTIFS(M$3:M2803,M2804,N$3:N2803,N2804)=0),M2804,""))</f>
        <v/>
      </c>
    </row>
    <row r="2805">
      <c r="A2805" s="34" t="n"/>
      <c r="B2805" s="35" t="n"/>
      <c r="C2805" s="35" t="n"/>
      <c r="D2805" s="35" t="n"/>
      <c r="E2805" s="35" t="n"/>
      <c r="F2805" s="36" t="n"/>
      <c r="G2805" s="35" t="n"/>
      <c r="H2805" s="30">
        <f>IF(L2805="","",INDEX(SkiftNavn,L2805))</f>
        <v/>
      </c>
      <c r="I2805" s="30">
        <f>IF(OR(A2805="",L2805=""),"",IF(MOD(A2805-INDEX(SkiftStart,L2805),Syklus)&lt;DagK,"Kveld",IF(MOD(A2805-INDEX(SkiftStart,L2805),Syklus)&lt;DagK+DagH,"Helg",IF(MOD(A2805-INDEX(SkiftStart,L2805),Syklus)&lt;DagK+DagH+DagD,"Dag","Fri"))))</f>
        <v/>
      </c>
      <c r="J2805" s="30">
        <f>IF(I2805="Fri","Ja","")</f>
        <v/>
      </c>
      <c r="K2805" s="30">
        <f>IF(B2805="","",IF(L2805="","Ukjent tekniker",IF(ISNA(MATCH(C2805,Aktiviteter,0)),"Ukjent aktivitet",IF(AND(INDEX(AktRolle,MATCH(C2805,Aktiviteter,0))&amp;""&lt;&gt;"",ISERROR(SEARCH(INDEX(AktRolle,MATCH(C2805,Aktiviteter,0))&amp;"",INDEX(TekRoller,MATCH(B2805,Teknikere,0))))),"Mangler rollen "&amp;INDEX(AktRolle,MATCH(C2805,Aktiviteter,0))&amp;"",IF(AND(C2805="LMS",F2805&gt;0,OR(D2805="",E2805="")),"Mangler maskin eller arbeid",IF(AND(OR(C2805="LMS",C2805="Mod"),D2805&lt;&gt;""),IF(IFERROR(INDEX(MaskinStatus,MATCH(D2805,Maskiner,0)),"")="I dokk","","Maskinen er ikke i dokk"),""))))))</f>
        <v/>
      </c>
      <c r="L2805" s="2">
        <f>IF(B2805="","",IFERROR(INT((MATCH(B2805,Teknikere,0)-1)/18)+1,""))</f>
        <v/>
      </c>
      <c r="M2805" s="2">
        <f>IF(OR(A2805="",B2805=""),"",B2805&amp;"|"&amp;A2805)</f>
        <v/>
      </c>
      <c r="N2805" s="2">
        <f>IF(M2805="","",SUMIFS(TF_Timer,TF_Nokkel,M2805,TF_Akt,C2805))</f>
        <v/>
      </c>
      <c r="O2805" s="2">
        <f>IF(M2805="","",IF(AND(N2805=_xlfn.MAXIFS(TF_AktSum,TF_Nokkel,M2805),COUNTIFS(M$3:M2804,M2805,N$3:N2804,N2805)=0),M2805,""))</f>
        <v/>
      </c>
    </row>
    <row r="2806">
      <c r="A2806" s="34" t="n"/>
      <c r="B2806" s="35" t="n"/>
      <c r="C2806" s="35" t="n"/>
      <c r="D2806" s="35" t="n"/>
      <c r="E2806" s="35" t="n"/>
      <c r="F2806" s="36" t="n"/>
      <c r="G2806" s="35" t="n"/>
      <c r="H2806" s="30">
        <f>IF(L2806="","",INDEX(SkiftNavn,L2806))</f>
        <v/>
      </c>
      <c r="I2806" s="30">
        <f>IF(OR(A2806="",L2806=""),"",IF(MOD(A2806-INDEX(SkiftStart,L2806),Syklus)&lt;DagK,"Kveld",IF(MOD(A2806-INDEX(SkiftStart,L2806),Syklus)&lt;DagK+DagH,"Helg",IF(MOD(A2806-INDEX(SkiftStart,L2806),Syklus)&lt;DagK+DagH+DagD,"Dag","Fri"))))</f>
        <v/>
      </c>
      <c r="J2806" s="30">
        <f>IF(I2806="Fri","Ja","")</f>
        <v/>
      </c>
      <c r="K2806" s="30">
        <f>IF(B2806="","",IF(L2806="","Ukjent tekniker",IF(ISNA(MATCH(C2806,Aktiviteter,0)),"Ukjent aktivitet",IF(AND(INDEX(AktRolle,MATCH(C2806,Aktiviteter,0))&amp;""&lt;&gt;"",ISERROR(SEARCH(INDEX(AktRolle,MATCH(C2806,Aktiviteter,0))&amp;"",INDEX(TekRoller,MATCH(B2806,Teknikere,0))))),"Mangler rollen "&amp;INDEX(AktRolle,MATCH(C2806,Aktiviteter,0))&amp;"",IF(AND(C2806="LMS",F2806&gt;0,OR(D2806="",E2806="")),"Mangler maskin eller arbeid",IF(AND(OR(C2806="LMS",C2806="Mod"),D2806&lt;&gt;""),IF(IFERROR(INDEX(MaskinStatus,MATCH(D2806,Maskiner,0)),"")="I dokk","","Maskinen er ikke i dokk"),""))))))</f>
        <v/>
      </c>
      <c r="L2806" s="2">
        <f>IF(B2806="","",IFERROR(INT((MATCH(B2806,Teknikere,0)-1)/18)+1,""))</f>
        <v/>
      </c>
      <c r="M2806" s="2">
        <f>IF(OR(A2806="",B2806=""),"",B2806&amp;"|"&amp;A2806)</f>
        <v/>
      </c>
      <c r="N2806" s="2">
        <f>IF(M2806="","",SUMIFS(TF_Timer,TF_Nokkel,M2806,TF_Akt,C2806))</f>
        <v/>
      </c>
      <c r="O2806" s="2">
        <f>IF(M2806="","",IF(AND(N2806=_xlfn.MAXIFS(TF_AktSum,TF_Nokkel,M2806),COUNTIFS(M$3:M2805,M2806,N$3:N2805,N2806)=0),M2806,""))</f>
        <v/>
      </c>
    </row>
    <row r="2807">
      <c r="A2807" s="34" t="n"/>
      <c r="B2807" s="35" t="n"/>
      <c r="C2807" s="35" t="n"/>
      <c r="D2807" s="35" t="n"/>
      <c r="E2807" s="35" t="n"/>
      <c r="F2807" s="36" t="n"/>
      <c r="G2807" s="35" t="n"/>
      <c r="H2807" s="30">
        <f>IF(L2807="","",INDEX(SkiftNavn,L2807))</f>
        <v/>
      </c>
      <c r="I2807" s="30">
        <f>IF(OR(A2807="",L2807=""),"",IF(MOD(A2807-INDEX(SkiftStart,L2807),Syklus)&lt;DagK,"Kveld",IF(MOD(A2807-INDEX(SkiftStart,L2807),Syklus)&lt;DagK+DagH,"Helg",IF(MOD(A2807-INDEX(SkiftStart,L2807),Syklus)&lt;DagK+DagH+DagD,"Dag","Fri"))))</f>
        <v/>
      </c>
      <c r="J2807" s="30">
        <f>IF(I2807="Fri","Ja","")</f>
        <v/>
      </c>
      <c r="K2807" s="30">
        <f>IF(B2807="","",IF(L2807="","Ukjent tekniker",IF(ISNA(MATCH(C2807,Aktiviteter,0)),"Ukjent aktivitet",IF(AND(INDEX(AktRolle,MATCH(C2807,Aktiviteter,0))&amp;""&lt;&gt;"",ISERROR(SEARCH(INDEX(AktRolle,MATCH(C2807,Aktiviteter,0))&amp;"",INDEX(TekRoller,MATCH(B2807,Teknikere,0))))),"Mangler rollen "&amp;INDEX(AktRolle,MATCH(C2807,Aktiviteter,0))&amp;"",IF(AND(C2807="LMS",F2807&gt;0,OR(D2807="",E2807="")),"Mangler maskin eller arbeid",IF(AND(OR(C2807="LMS",C2807="Mod"),D2807&lt;&gt;""),IF(IFERROR(INDEX(MaskinStatus,MATCH(D2807,Maskiner,0)),"")="I dokk","","Maskinen er ikke i dokk"),""))))))</f>
        <v/>
      </c>
      <c r="L2807" s="2">
        <f>IF(B2807="","",IFERROR(INT((MATCH(B2807,Teknikere,0)-1)/18)+1,""))</f>
        <v/>
      </c>
      <c r="M2807" s="2">
        <f>IF(OR(A2807="",B2807=""),"",B2807&amp;"|"&amp;A2807)</f>
        <v/>
      </c>
      <c r="N2807" s="2">
        <f>IF(M2807="","",SUMIFS(TF_Timer,TF_Nokkel,M2807,TF_Akt,C2807))</f>
        <v/>
      </c>
      <c r="O2807" s="2">
        <f>IF(M2807="","",IF(AND(N2807=_xlfn.MAXIFS(TF_AktSum,TF_Nokkel,M2807),COUNTIFS(M$3:M2806,M2807,N$3:N2806,N2807)=0),M2807,""))</f>
        <v/>
      </c>
    </row>
    <row r="2808">
      <c r="A2808" s="34" t="n"/>
      <c r="B2808" s="35" t="n"/>
      <c r="C2808" s="35" t="n"/>
      <c r="D2808" s="35" t="n"/>
      <c r="E2808" s="35" t="n"/>
      <c r="F2808" s="36" t="n"/>
      <c r="G2808" s="35" t="n"/>
      <c r="H2808" s="30">
        <f>IF(L2808="","",INDEX(SkiftNavn,L2808))</f>
        <v/>
      </c>
      <c r="I2808" s="30">
        <f>IF(OR(A2808="",L2808=""),"",IF(MOD(A2808-INDEX(SkiftStart,L2808),Syklus)&lt;DagK,"Kveld",IF(MOD(A2808-INDEX(SkiftStart,L2808),Syklus)&lt;DagK+DagH,"Helg",IF(MOD(A2808-INDEX(SkiftStart,L2808),Syklus)&lt;DagK+DagH+DagD,"Dag","Fri"))))</f>
        <v/>
      </c>
      <c r="J2808" s="30">
        <f>IF(I2808="Fri","Ja","")</f>
        <v/>
      </c>
      <c r="K2808" s="30">
        <f>IF(B2808="","",IF(L2808="","Ukjent tekniker",IF(ISNA(MATCH(C2808,Aktiviteter,0)),"Ukjent aktivitet",IF(AND(INDEX(AktRolle,MATCH(C2808,Aktiviteter,0))&amp;""&lt;&gt;"",ISERROR(SEARCH(INDEX(AktRolle,MATCH(C2808,Aktiviteter,0))&amp;"",INDEX(TekRoller,MATCH(B2808,Teknikere,0))))),"Mangler rollen "&amp;INDEX(AktRolle,MATCH(C2808,Aktiviteter,0))&amp;"",IF(AND(C2808="LMS",F2808&gt;0,OR(D2808="",E2808="")),"Mangler maskin eller arbeid",IF(AND(OR(C2808="LMS",C2808="Mod"),D2808&lt;&gt;""),IF(IFERROR(INDEX(MaskinStatus,MATCH(D2808,Maskiner,0)),"")="I dokk","","Maskinen er ikke i dokk"),""))))))</f>
        <v/>
      </c>
      <c r="L2808" s="2">
        <f>IF(B2808="","",IFERROR(INT((MATCH(B2808,Teknikere,0)-1)/18)+1,""))</f>
        <v/>
      </c>
      <c r="M2808" s="2">
        <f>IF(OR(A2808="",B2808=""),"",B2808&amp;"|"&amp;A2808)</f>
        <v/>
      </c>
      <c r="N2808" s="2">
        <f>IF(M2808="","",SUMIFS(TF_Timer,TF_Nokkel,M2808,TF_Akt,C2808))</f>
        <v/>
      </c>
      <c r="O2808" s="2">
        <f>IF(M2808="","",IF(AND(N2808=_xlfn.MAXIFS(TF_AktSum,TF_Nokkel,M2808),COUNTIFS(M$3:M2807,M2808,N$3:N2807,N2808)=0),M2808,""))</f>
        <v/>
      </c>
    </row>
    <row r="2809">
      <c r="A2809" s="34" t="n"/>
      <c r="B2809" s="35" t="n"/>
      <c r="C2809" s="35" t="n"/>
      <c r="D2809" s="35" t="n"/>
      <c r="E2809" s="35" t="n"/>
      <c r="F2809" s="36" t="n"/>
      <c r="G2809" s="35" t="n"/>
      <c r="H2809" s="30">
        <f>IF(L2809="","",INDEX(SkiftNavn,L2809))</f>
        <v/>
      </c>
      <c r="I2809" s="30">
        <f>IF(OR(A2809="",L2809=""),"",IF(MOD(A2809-INDEX(SkiftStart,L2809),Syklus)&lt;DagK,"Kveld",IF(MOD(A2809-INDEX(SkiftStart,L2809),Syklus)&lt;DagK+DagH,"Helg",IF(MOD(A2809-INDEX(SkiftStart,L2809),Syklus)&lt;DagK+DagH+DagD,"Dag","Fri"))))</f>
        <v/>
      </c>
      <c r="J2809" s="30">
        <f>IF(I2809="Fri","Ja","")</f>
        <v/>
      </c>
      <c r="K2809" s="30">
        <f>IF(B2809="","",IF(L2809="","Ukjent tekniker",IF(ISNA(MATCH(C2809,Aktiviteter,0)),"Ukjent aktivitet",IF(AND(INDEX(AktRolle,MATCH(C2809,Aktiviteter,0))&amp;""&lt;&gt;"",ISERROR(SEARCH(INDEX(AktRolle,MATCH(C2809,Aktiviteter,0))&amp;"",INDEX(TekRoller,MATCH(B2809,Teknikere,0))))),"Mangler rollen "&amp;INDEX(AktRolle,MATCH(C2809,Aktiviteter,0))&amp;"",IF(AND(C2809="LMS",F2809&gt;0,OR(D2809="",E2809="")),"Mangler maskin eller arbeid",IF(AND(OR(C2809="LMS",C2809="Mod"),D2809&lt;&gt;""),IF(IFERROR(INDEX(MaskinStatus,MATCH(D2809,Maskiner,0)),"")="I dokk","","Maskinen er ikke i dokk"),""))))))</f>
        <v/>
      </c>
      <c r="L2809" s="2">
        <f>IF(B2809="","",IFERROR(INT((MATCH(B2809,Teknikere,0)-1)/18)+1,""))</f>
        <v/>
      </c>
      <c r="M2809" s="2">
        <f>IF(OR(A2809="",B2809=""),"",B2809&amp;"|"&amp;A2809)</f>
        <v/>
      </c>
      <c r="N2809" s="2">
        <f>IF(M2809="","",SUMIFS(TF_Timer,TF_Nokkel,M2809,TF_Akt,C2809))</f>
        <v/>
      </c>
      <c r="O2809" s="2">
        <f>IF(M2809="","",IF(AND(N2809=_xlfn.MAXIFS(TF_AktSum,TF_Nokkel,M2809),COUNTIFS(M$3:M2808,M2809,N$3:N2808,N2809)=0),M2809,""))</f>
        <v/>
      </c>
    </row>
    <row r="2810">
      <c r="A2810" s="34" t="n"/>
      <c r="B2810" s="35" t="n"/>
      <c r="C2810" s="35" t="n"/>
      <c r="D2810" s="35" t="n"/>
      <c r="E2810" s="35" t="n"/>
      <c r="F2810" s="36" t="n"/>
      <c r="G2810" s="35" t="n"/>
      <c r="H2810" s="30">
        <f>IF(L2810="","",INDEX(SkiftNavn,L2810))</f>
        <v/>
      </c>
      <c r="I2810" s="30">
        <f>IF(OR(A2810="",L2810=""),"",IF(MOD(A2810-INDEX(SkiftStart,L2810),Syklus)&lt;DagK,"Kveld",IF(MOD(A2810-INDEX(SkiftStart,L2810),Syklus)&lt;DagK+DagH,"Helg",IF(MOD(A2810-INDEX(SkiftStart,L2810),Syklus)&lt;DagK+DagH+DagD,"Dag","Fri"))))</f>
        <v/>
      </c>
      <c r="J2810" s="30">
        <f>IF(I2810="Fri","Ja","")</f>
        <v/>
      </c>
      <c r="K2810" s="30">
        <f>IF(B2810="","",IF(L2810="","Ukjent tekniker",IF(ISNA(MATCH(C2810,Aktiviteter,0)),"Ukjent aktivitet",IF(AND(INDEX(AktRolle,MATCH(C2810,Aktiviteter,0))&amp;""&lt;&gt;"",ISERROR(SEARCH(INDEX(AktRolle,MATCH(C2810,Aktiviteter,0))&amp;"",INDEX(TekRoller,MATCH(B2810,Teknikere,0))))),"Mangler rollen "&amp;INDEX(AktRolle,MATCH(C2810,Aktiviteter,0))&amp;"",IF(AND(C2810="LMS",F2810&gt;0,OR(D2810="",E2810="")),"Mangler maskin eller arbeid",IF(AND(OR(C2810="LMS",C2810="Mod"),D2810&lt;&gt;""),IF(IFERROR(INDEX(MaskinStatus,MATCH(D2810,Maskiner,0)),"")="I dokk","","Maskinen er ikke i dokk"),""))))))</f>
        <v/>
      </c>
      <c r="L2810" s="2">
        <f>IF(B2810="","",IFERROR(INT((MATCH(B2810,Teknikere,0)-1)/18)+1,""))</f>
        <v/>
      </c>
      <c r="M2810" s="2">
        <f>IF(OR(A2810="",B2810=""),"",B2810&amp;"|"&amp;A2810)</f>
        <v/>
      </c>
      <c r="N2810" s="2">
        <f>IF(M2810="","",SUMIFS(TF_Timer,TF_Nokkel,M2810,TF_Akt,C2810))</f>
        <v/>
      </c>
      <c r="O2810" s="2">
        <f>IF(M2810="","",IF(AND(N2810=_xlfn.MAXIFS(TF_AktSum,TF_Nokkel,M2810),COUNTIFS(M$3:M2809,M2810,N$3:N2809,N2810)=0),M2810,""))</f>
        <v/>
      </c>
    </row>
    <row r="2811">
      <c r="A2811" s="34" t="n"/>
      <c r="B2811" s="35" t="n"/>
      <c r="C2811" s="35" t="n"/>
      <c r="D2811" s="35" t="n"/>
      <c r="E2811" s="35" t="n"/>
      <c r="F2811" s="36" t="n"/>
      <c r="G2811" s="35" t="n"/>
      <c r="H2811" s="30">
        <f>IF(L2811="","",INDEX(SkiftNavn,L2811))</f>
        <v/>
      </c>
      <c r="I2811" s="30">
        <f>IF(OR(A2811="",L2811=""),"",IF(MOD(A2811-INDEX(SkiftStart,L2811),Syklus)&lt;DagK,"Kveld",IF(MOD(A2811-INDEX(SkiftStart,L2811),Syklus)&lt;DagK+DagH,"Helg",IF(MOD(A2811-INDEX(SkiftStart,L2811),Syklus)&lt;DagK+DagH+DagD,"Dag","Fri"))))</f>
        <v/>
      </c>
      <c r="J2811" s="30">
        <f>IF(I2811="Fri","Ja","")</f>
        <v/>
      </c>
      <c r="K2811" s="30">
        <f>IF(B2811="","",IF(L2811="","Ukjent tekniker",IF(ISNA(MATCH(C2811,Aktiviteter,0)),"Ukjent aktivitet",IF(AND(INDEX(AktRolle,MATCH(C2811,Aktiviteter,0))&amp;""&lt;&gt;"",ISERROR(SEARCH(INDEX(AktRolle,MATCH(C2811,Aktiviteter,0))&amp;"",INDEX(TekRoller,MATCH(B2811,Teknikere,0))))),"Mangler rollen "&amp;INDEX(AktRolle,MATCH(C2811,Aktiviteter,0))&amp;"",IF(AND(C2811="LMS",F2811&gt;0,OR(D2811="",E2811="")),"Mangler maskin eller arbeid",IF(AND(OR(C2811="LMS",C2811="Mod"),D2811&lt;&gt;""),IF(IFERROR(INDEX(MaskinStatus,MATCH(D2811,Maskiner,0)),"")="I dokk","","Maskinen er ikke i dokk"),""))))))</f>
        <v/>
      </c>
      <c r="L2811" s="2">
        <f>IF(B2811="","",IFERROR(INT((MATCH(B2811,Teknikere,0)-1)/18)+1,""))</f>
        <v/>
      </c>
      <c r="M2811" s="2">
        <f>IF(OR(A2811="",B2811=""),"",B2811&amp;"|"&amp;A2811)</f>
        <v/>
      </c>
      <c r="N2811" s="2">
        <f>IF(M2811="","",SUMIFS(TF_Timer,TF_Nokkel,M2811,TF_Akt,C2811))</f>
        <v/>
      </c>
      <c r="O2811" s="2">
        <f>IF(M2811="","",IF(AND(N2811=_xlfn.MAXIFS(TF_AktSum,TF_Nokkel,M2811),COUNTIFS(M$3:M2810,M2811,N$3:N2810,N2811)=0),M2811,""))</f>
        <v/>
      </c>
    </row>
    <row r="2812">
      <c r="A2812" s="34" t="n"/>
      <c r="B2812" s="35" t="n"/>
      <c r="C2812" s="35" t="n"/>
      <c r="D2812" s="35" t="n"/>
      <c r="E2812" s="35" t="n"/>
      <c r="F2812" s="36" t="n"/>
      <c r="G2812" s="35" t="n"/>
      <c r="H2812" s="30">
        <f>IF(L2812="","",INDEX(SkiftNavn,L2812))</f>
        <v/>
      </c>
      <c r="I2812" s="30">
        <f>IF(OR(A2812="",L2812=""),"",IF(MOD(A2812-INDEX(SkiftStart,L2812),Syklus)&lt;DagK,"Kveld",IF(MOD(A2812-INDEX(SkiftStart,L2812),Syklus)&lt;DagK+DagH,"Helg",IF(MOD(A2812-INDEX(SkiftStart,L2812),Syklus)&lt;DagK+DagH+DagD,"Dag","Fri"))))</f>
        <v/>
      </c>
      <c r="J2812" s="30">
        <f>IF(I2812="Fri","Ja","")</f>
        <v/>
      </c>
      <c r="K2812" s="30">
        <f>IF(B2812="","",IF(L2812="","Ukjent tekniker",IF(ISNA(MATCH(C2812,Aktiviteter,0)),"Ukjent aktivitet",IF(AND(INDEX(AktRolle,MATCH(C2812,Aktiviteter,0))&amp;""&lt;&gt;"",ISERROR(SEARCH(INDEX(AktRolle,MATCH(C2812,Aktiviteter,0))&amp;"",INDEX(TekRoller,MATCH(B2812,Teknikere,0))))),"Mangler rollen "&amp;INDEX(AktRolle,MATCH(C2812,Aktiviteter,0))&amp;"",IF(AND(C2812="LMS",F2812&gt;0,OR(D2812="",E2812="")),"Mangler maskin eller arbeid",IF(AND(OR(C2812="LMS",C2812="Mod"),D2812&lt;&gt;""),IF(IFERROR(INDEX(MaskinStatus,MATCH(D2812,Maskiner,0)),"")="I dokk","","Maskinen er ikke i dokk"),""))))))</f>
        <v/>
      </c>
      <c r="L2812" s="2">
        <f>IF(B2812="","",IFERROR(INT((MATCH(B2812,Teknikere,0)-1)/18)+1,""))</f>
        <v/>
      </c>
      <c r="M2812" s="2">
        <f>IF(OR(A2812="",B2812=""),"",B2812&amp;"|"&amp;A2812)</f>
        <v/>
      </c>
      <c r="N2812" s="2">
        <f>IF(M2812="","",SUMIFS(TF_Timer,TF_Nokkel,M2812,TF_Akt,C2812))</f>
        <v/>
      </c>
      <c r="O2812" s="2">
        <f>IF(M2812="","",IF(AND(N2812=_xlfn.MAXIFS(TF_AktSum,TF_Nokkel,M2812),COUNTIFS(M$3:M2811,M2812,N$3:N2811,N2812)=0),M2812,""))</f>
        <v/>
      </c>
    </row>
    <row r="2813">
      <c r="A2813" s="34" t="n"/>
      <c r="B2813" s="35" t="n"/>
      <c r="C2813" s="35" t="n"/>
      <c r="D2813" s="35" t="n"/>
      <c r="E2813" s="35" t="n"/>
      <c r="F2813" s="36" t="n"/>
      <c r="G2813" s="35" t="n"/>
      <c r="H2813" s="30">
        <f>IF(L2813="","",INDEX(SkiftNavn,L2813))</f>
        <v/>
      </c>
      <c r="I2813" s="30">
        <f>IF(OR(A2813="",L2813=""),"",IF(MOD(A2813-INDEX(SkiftStart,L2813),Syklus)&lt;DagK,"Kveld",IF(MOD(A2813-INDEX(SkiftStart,L2813),Syklus)&lt;DagK+DagH,"Helg",IF(MOD(A2813-INDEX(SkiftStart,L2813),Syklus)&lt;DagK+DagH+DagD,"Dag","Fri"))))</f>
        <v/>
      </c>
      <c r="J2813" s="30">
        <f>IF(I2813="Fri","Ja","")</f>
        <v/>
      </c>
      <c r="K2813" s="30">
        <f>IF(B2813="","",IF(L2813="","Ukjent tekniker",IF(ISNA(MATCH(C2813,Aktiviteter,0)),"Ukjent aktivitet",IF(AND(INDEX(AktRolle,MATCH(C2813,Aktiviteter,0))&amp;""&lt;&gt;"",ISERROR(SEARCH(INDEX(AktRolle,MATCH(C2813,Aktiviteter,0))&amp;"",INDEX(TekRoller,MATCH(B2813,Teknikere,0))))),"Mangler rollen "&amp;INDEX(AktRolle,MATCH(C2813,Aktiviteter,0))&amp;"",IF(AND(C2813="LMS",F2813&gt;0,OR(D2813="",E2813="")),"Mangler maskin eller arbeid",IF(AND(OR(C2813="LMS",C2813="Mod"),D2813&lt;&gt;""),IF(IFERROR(INDEX(MaskinStatus,MATCH(D2813,Maskiner,0)),"")="I dokk","","Maskinen er ikke i dokk"),""))))))</f>
        <v/>
      </c>
      <c r="L2813" s="2">
        <f>IF(B2813="","",IFERROR(INT((MATCH(B2813,Teknikere,0)-1)/18)+1,""))</f>
        <v/>
      </c>
      <c r="M2813" s="2">
        <f>IF(OR(A2813="",B2813=""),"",B2813&amp;"|"&amp;A2813)</f>
        <v/>
      </c>
      <c r="N2813" s="2">
        <f>IF(M2813="","",SUMIFS(TF_Timer,TF_Nokkel,M2813,TF_Akt,C2813))</f>
        <v/>
      </c>
      <c r="O2813" s="2">
        <f>IF(M2813="","",IF(AND(N2813=_xlfn.MAXIFS(TF_AktSum,TF_Nokkel,M2813),COUNTIFS(M$3:M2812,M2813,N$3:N2812,N2813)=0),M2813,""))</f>
        <v/>
      </c>
    </row>
    <row r="2814">
      <c r="A2814" s="34" t="n"/>
      <c r="B2814" s="35" t="n"/>
      <c r="C2814" s="35" t="n"/>
      <c r="D2814" s="35" t="n"/>
      <c r="E2814" s="35" t="n"/>
      <c r="F2814" s="36" t="n"/>
      <c r="G2814" s="35" t="n"/>
      <c r="H2814" s="30">
        <f>IF(L2814="","",INDEX(SkiftNavn,L2814))</f>
        <v/>
      </c>
      <c r="I2814" s="30">
        <f>IF(OR(A2814="",L2814=""),"",IF(MOD(A2814-INDEX(SkiftStart,L2814),Syklus)&lt;DagK,"Kveld",IF(MOD(A2814-INDEX(SkiftStart,L2814),Syklus)&lt;DagK+DagH,"Helg",IF(MOD(A2814-INDEX(SkiftStart,L2814),Syklus)&lt;DagK+DagH+DagD,"Dag","Fri"))))</f>
        <v/>
      </c>
      <c r="J2814" s="30">
        <f>IF(I2814="Fri","Ja","")</f>
        <v/>
      </c>
      <c r="K2814" s="30">
        <f>IF(B2814="","",IF(L2814="","Ukjent tekniker",IF(ISNA(MATCH(C2814,Aktiviteter,0)),"Ukjent aktivitet",IF(AND(INDEX(AktRolle,MATCH(C2814,Aktiviteter,0))&amp;""&lt;&gt;"",ISERROR(SEARCH(INDEX(AktRolle,MATCH(C2814,Aktiviteter,0))&amp;"",INDEX(TekRoller,MATCH(B2814,Teknikere,0))))),"Mangler rollen "&amp;INDEX(AktRolle,MATCH(C2814,Aktiviteter,0))&amp;"",IF(AND(C2814="LMS",F2814&gt;0,OR(D2814="",E2814="")),"Mangler maskin eller arbeid",IF(AND(OR(C2814="LMS",C2814="Mod"),D2814&lt;&gt;""),IF(IFERROR(INDEX(MaskinStatus,MATCH(D2814,Maskiner,0)),"")="I dokk","","Maskinen er ikke i dokk"),""))))))</f>
        <v/>
      </c>
      <c r="L2814" s="2">
        <f>IF(B2814="","",IFERROR(INT((MATCH(B2814,Teknikere,0)-1)/18)+1,""))</f>
        <v/>
      </c>
      <c r="M2814" s="2">
        <f>IF(OR(A2814="",B2814=""),"",B2814&amp;"|"&amp;A2814)</f>
        <v/>
      </c>
      <c r="N2814" s="2">
        <f>IF(M2814="","",SUMIFS(TF_Timer,TF_Nokkel,M2814,TF_Akt,C2814))</f>
        <v/>
      </c>
      <c r="O2814" s="2">
        <f>IF(M2814="","",IF(AND(N2814=_xlfn.MAXIFS(TF_AktSum,TF_Nokkel,M2814),COUNTIFS(M$3:M2813,M2814,N$3:N2813,N2814)=0),M2814,""))</f>
        <v/>
      </c>
    </row>
    <row r="2815">
      <c r="A2815" s="34" t="n"/>
      <c r="B2815" s="35" t="n"/>
      <c r="C2815" s="35" t="n"/>
      <c r="D2815" s="35" t="n"/>
      <c r="E2815" s="35" t="n"/>
      <c r="F2815" s="36" t="n"/>
      <c r="G2815" s="35" t="n"/>
      <c r="H2815" s="30">
        <f>IF(L2815="","",INDEX(SkiftNavn,L2815))</f>
        <v/>
      </c>
      <c r="I2815" s="30">
        <f>IF(OR(A2815="",L2815=""),"",IF(MOD(A2815-INDEX(SkiftStart,L2815),Syklus)&lt;DagK,"Kveld",IF(MOD(A2815-INDEX(SkiftStart,L2815),Syklus)&lt;DagK+DagH,"Helg",IF(MOD(A2815-INDEX(SkiftStart,L2815),Syklus)&lt;DagK+DagH+DagD,"Dag","Fri"))))</f>
        <v/>
      </c>
      <c r="J2815" s="30">
        <f>IF(I2815="Fri","Ja","")</f>
        <v/>
      </c>
      <c r="K2815" s="30">
        <f>IF(B2815="","",IF(L2815="","Ukjent tekniker",IF(ISNA(MATCH(C2815,Aktiviteter,0)),"Ukjent aktivitet",IF(AND(INDEX(AktRolle,MATCH(C2815,Aktiviteter,0))&amp;""&lt;&gt;"",ISERROR(SEARCH(INDEX(AktRolle,MATCH(C2815,Aktiviteter,0))&amp;"",INDEX(TekRoller,MATCH(B2815,Teknikere,0))))),"Mangler rollen "&amp;INDEX(AktRolle,MATCH(C2815,Aktiviteter,0))&amp;"",IF(AND(C2815="LMS",F2815&gt;0,OR(D2815="",E2815="")),"Mangler maskin eller arbeid",IF(AND(OR(C2815="LMS",C2815="Mod"),D2815&lt;&gt;""),IF(IFERROR(INDEX(MaskinStatus,MATCH(D2815,Maskiner,0)),"")="I dokk","","Maskinen er ikke i dokk"),""))))))</f>
        <v/>
      </c>
      <c r="L2815" s="2">
        <f>IF(B2815="","",IFERROR(INT((MATCH(B2815,Teknikere,0)-1)/18)+1,""))</f>
        <v/>
      </c>
      <c r="M2815" s="2">
        <f>IF(OR(A2815="",B2815=""),"",B2815&amp;"|"&amp;A2815)</f>
        <v/>
      </c>
      <c r="N2815" s="2">
        <f>IF(M2815="","",SUMIFS(TF_Timer,TF_Nokkel,M2815,TF_Akt,C2815))</f>
        <v/>
      </c>
      <c r="O2815" s="2">
        <f>IF(M2815="","",IF(AND(N2815=_xlfn.MAXIFS(TF_AktSum,TF_Nokkel,M2815),COUNTIFS(M$3:M2814,M2815,N$3:N2814,N2815)=0),M2815,""))</f>
        <v/>
      </c>
    </row>
    <row r="2816">
      <c r="A2816" s="34" t="n"/>
      <c r="B2816" s="35" t="n"/>
      <c r="C2816" s="35" t="n"/>
      <c r="D2816" s="35" t="n"/>
      <c r="E2816" s="35" t="n"/>
      <c r="F2816" s="36" t="n"/>
      <c r="G2816" s="35" t="n"/>
      <c r="H2816" s="30">
        <f>IF(L2816="","",INDEX(SkiftNavn,L2816))</f>
        <v/>
      </c>
      <c r="I2816" s="30">
        <f>IF(OR(A2816="",L2816=""),"",IF(MOD(A2816-INDEX(SkiftStart,L2816),Syklus)&lt;DagK,"Kveld",IF(MOD(A2816-INDEX(SkiftStart,L2816),Syklus)&lt;DagK+DagH,"Helg",IF(MOD(A2816-INDEX(SkiftStart,L2816),Syklus)&lt;DagK+DagH+DagD,"Dag","Fri"))))</f>
        <v/>
      </c>
      <c r="J2816" s="30">
        <f>IF(I2816="Fri","Ja","")</f>
        <v/>
      </c>
      <c r="K2816" s="30">
        <f>IF(B2816="","",IF(L2816="","Ukjent tekniker",IF(ISNA(MATCH(C2816,Aktiviteter,0)),"Ukjent aktivitet",IF(AND(INDEX(AktRolle,MATCH(C2816,Aktiviteter,0))&amp;""&lt;&gt;"",ISERROR(SEARCH(INDEX(AktRolle,MATCH(C2816,Aktiviteter,0))&amp;"",INDEX(TekRoller,MATCH(B2816,Teknikere,0))))),"Mangler rollen "&amp;INDEX(AktRolle,MATCH(C2816,Aktiviteter,0))&amp;"",IF(AND(C2816="LMS",F2816&gt;0,OR(D2816="",E2816="")),"Mangler maskin eller arbeid",IF(AND(OR(C2816="LMS",C2816="Mod"),D2816&lt;&gt;""),IF(IFERROR(INDEX(MaskinStatus,MATCH(D2816,Maskiner,0)),"")="I dokk","","Maskinen er ikke i dokk"),""))))))</f>
        <v/>
      </c>
      <c r="L2816" s="2">
        <f>IF(B2816="","",IFERROR(INT((MATCH(B2816,Teknikere,0)-1)/18)+1,""))</f>
        <v/>
      </c>
      <c r="M2816" s="2">
        <f>IF(OR(A2816="",B2816=""),"",B2816&amp;"|"&amp;A2816)</f>
        <v/>
      </c>
      <c r="N2816" s="2">
        <f>IF(M2816="","",SUMIFS(TF_Timer,TF_Nokkel,M2816,TF_Akt,C2816))</f>
        <v/>
      </c>
      <c r="O2816" s="2">
        <f>IF(M2816="","",IF(AND(N2816=_xlfn.MAXIFS(TF_AktSum,TF_Nokkel,M2816),COUNTIFS(M$3:M2815,M2816,N$3:N2815,N2816)=0),M2816,""))</f>
        <v/>
      </c>
    </row>
    <row r="2817">
      <c r="A2817" s="34" t="n"/>
      <c r="B2817" s="35" t="n"/>
      <c r="C2817" s="35" t="n"/>
      <c r="D2817" s="35" t="n"/>
      <c r="E2817" s="35" t="n"/>
      <c r="F2817" s="36" t="n"/>
      <c r="G2817" s="35" t="n"/>
      <c r="H2817" s="30">
        <f>IF(L2817="","",INDEX(SkiftNavn,L2817))</f>
        <v/>
      </c>
      <c r="I2817" s="30">
        <f>IF(OR(A2817="",L2817=""),"",IF(MOD(A2817-INDEX(SkiftStart,L2817),Syklus)&lt;DagK,"Kveld",IF(MOD(A2817-INDEX(SkiftStart,L2817),Syklus)&lt;DagK+DagH,"Helg",IF(MOD(A2817-INDEX(SkiftStart,L2817),Syklus)&lt;DagK+DagH+DagD,"Dag","Fri"))))</f>
        <v/>
      </c>
      <c r="J2817" s="30">
        <f>IF(I2817="Fri","Ja","")</f>
        <v/>
      </c>
      <c r="K2817" s="30">
        <f>IF(B2817="","",IF(L2817="","Ukjent tekniker",IF(ISNA(MATCH(C2817,Aktiviteter,0)),"Ukjent aktivitet",IF(AND(INDEX(AktRolle,MATCH(C2817,Aktiviteter,0))&amp;""&lt;&gt;"",ISERROR(SEARCH(INDEX(AktRolle,MATCH(C2817,Aktiviteter,0))&amp;"",INDEX(TekRoller,MATCH(B2817,Teknikere,0))))),"Mangler rollen "&amp;INDEX(AktRolle,MATCH(C2817,Aktiviteter,0))&amp;"",IF(AND(C2817="LMS",F2817&gt;0,OR(D2817="",E2817="")),"Mangler maskin eller arbeid",IF(AND(OR(C2817="LMS",C2817="Mod"),D2817&lt;&gt;""),IF(IFERROR(INDEX(MaskinStatus,MATCH(D2817,Maskiner,0)),"")="I dokk","","Maskinen er ikke i dokk"),""))))))</f>
        <v/>
      </c>
      <c r="L2817" s="2">
        <f>IF(B2817="","",IFERROR(INT((MATCH(B2817,Teknikere,0)-1)/18)+1,""))</f>
        <v/>
      </c>
      <c r="M2817" s="2">
        <f>IF(OR(A2817="",B2817=""),"",B2817&amp;"|"&amp;A2817)</f>
        <v/>
      </c>
      <c r="N2817" s="2">
        <f>IF(M2817="","",SUMIFS(TF_Timer,TF_Nokkel,M2817,TF_Akt,C2817))</f>
        <v/>
      </c>
      <c r="O2817" s="2">
        <f>IF(M2817="","",IF(AND(N2817=_xlfn.MAXIFS(TF_AktSum,TF_Nokkel,M2817),COUNTIFS(M$3:M2816,M2817,N$3:N2816,N2817)=0),M2817,""))</f>
        <v/>
      </c>
    </row>
    <row r="2818">
      <c r="A2818" s="34" t="n"/>
      <c r="B2818" s="35" t="n"/>
      <c r="C2818" s="35" t="n"/>
      <c r="D2818" s="35" t="n"/>
      <c r="E2818" s="35" t="n"/>
      <c r="F2818" s="36" t="n"/>
      <c r="G2818" s="35" t="n"/>
      <c r="H2818" s="30">
        <f>IF(L2818="","",INDEX(SkiftNavn,L2818))</f>
        <v/>
      </c>
      <c r="I2818" s="30">
        <f>IF(OR(A2818="",L2818=""),"",IF(MOD(A2818-INDEX(SkiftStart,L2818),Syklus)&lt;DagK,"Kveld",IF(MOD(A2818-INDEX(SkiftStart,L2818),Syklus)&lt;DagK+DagH,"Helg",IF(MOD(A2818-INDEX(SkiftStart,L2818),Syklus)&lt;DagK+DagH+DagD,"Dag","Fri"))))</f>
        <v/>
      </c>
      <c r="J2818" s="30">
        <f>IF(I2818="Fri","Ja","")</f>
        <v/>
      </c>
      <c r="K2818" s="30">
        <f>IF(B2818="","",IF(L2818="","Ukjent tekniker",IF(ISNA(MATCH(C2818,Aktiviteter,0)),"Ukjent aktivitet",IF(AND(INDEX(AktRolle,MATCH(C2818,Aktiviteter,0))&amp;""&lt;&gt;"",ISERROR(SEARCH(INDEX(AktRolle,MATCH(C2818,Aktiviteter,0))&amp;"",INDEX(TekRoller,MATCH(B2818,Teknikere,0))))),"Mangler rollen "&amp;INDEX(AktRolle,MATCH(C2818,Aktiviteter,0))&amp;"",IF(AND(C2818="LMS",F2818&gt;0,OR(D2818="",E2818="")),"Mangler maskin eller arbeid",IF(AND(OR(C2818="LMS",C2818="Mod"),D2818&lt;&gt;""),IF(IFERROR(INDEX(MaskinStatus,MATCH(D2818,Maskiner,0)),"")="I dokk","","Maskinen er ikke i dokk"),""))))))</f>
        <v/>
      </c>
      <c r="L2818" s="2">
        <f>IF(B2818="","",IFERROR(INT((MATCH(B2818,Teknikere,0)-1)/18)+1,""))</f>
        <v/>
      </c>
      <c r="M2818" s="2">
        <f>IF(OR(A2818="",B2818=""),"",B2818&amp;"|"&amp;A2818)</f>
        <v/>
      </c>
      <c r="N2818" s="2">
        <f>IF(M2818="","",SUMIFS(TF_Timer,TF_Nokkel,M2818,TF_Akt,C2818))</f>
        <v/>
      </c>
      <c r="O2818" s="2">
        <f>IF(M2818="","",IF(AND(N2818=_xlfn.MAXIFS(TF_AktSum,TF_Nokkel,M2818),COUNTIFS(M$3:M2817,M2818,N$3:N2817,N2818)=0),M2818,""))</f>
        <v/>
      </c>
    </row>
    <row r="2819">
      <c r="A2819" s="34" t="n"/>
      <c r="B2819" s="35" t="n"/>
      <c r="C2819" s="35" t="n"/>
      <c r="D2819" s="35" t="n"/>
      <c r="E2819" s="35" t="n"/>
      <c r="F2819" s="36" t="n"/>
      <c r="G2819" s="35" t="n"/>
      <c r="H2819" s="30">
        <f>IF(L2819="","",INDEX(SkiftNavn,L2819))</f>
        <v/>
      </c>
      <c r="I2819" s="30">
        <f>IF(OR(A2819="",L2819=""),"",IF(MOD(A2819-INDEX(SkiftStart,L2819),Syklus)&lt;DagK,"Kveld",IF(MOD(A2819-INDEX(SkiftStart,L2819),Syklus)&lt;DagK+DagH,"Helg",IF(MOD(A2819-INDEX(SkiftStart,L2819),Syklus)&lt;DagK+DagH+DagD,"Dag","Fri"))))</f>
        <v/>
      </c>
      <c r="J2819" s="30">
        <f>IF(I2819="Fri","Ja","")</f>
        <v/>
      </c>
      <c r="K2819" s="30">
        <f>IF(B2819="","",IF(L2819="","Ukjent tekniker",IF(ISNA(MATCH(C2819,Aktiviteter,0)),"Ukjent aktivitet",IF(AND(INDEX(AktRolle,MATCH(C2819,Aktiviteter,0))&amp;""&lt;&gt;"",ISERROR(SEARCH(INDEX(AktRolle,MATCH(C2819,Aktiviteter,0))&amp;"",INDEX(TekRoller,MATCH(B2819,Teknikere,0))))),"Mangler rollen "&amp;INDEX(AktRolle,MATCH(C2819,Aktiviteter,0))&amp;"",IF(AND(C2819="LMS",F2819&gt;0,OR(D2819="",E2819="")),"Mangler maskin eller arbeid",IF(AND(OR(C2819="LMS",C2819="Mod"),D2819&lt;&gt;""),IF(IFERROR(INDEX(MaskinStatus,MATCH(D2819,Maskiner,0)),"")="I dokk","","Maskinen er ikke i dokk"),""))))))</f>
        <v/>
      </c>
      <c r="L2819" s="2">
        <f>IF(B2819="","",IFERROR(INT((MATCH(B2819,Teknikere,0)-1)/18)+1,""))</f>
        <v/>
      </c>
      <c r="M2819" s="2">
        <f>IF(OR(A2819="",B2819=""),"",B2819&amp;"|"&amp;A2819)</f>
        <v/>
      </c>
      <c r="N2819" s="2">
        <f>IF(M2819="","",SUMIFS(TF_Timer,TF_Nokkel,M2819,TF_Akt,C2819))</f>
        <v/>
      </c>
      <c r="O2819" s="2">
        <f>IF(M2819="","",IF(AND(N2819=_xlfn.MAXIFS(TF_AktSum,TF_Nokkel,M2819),COUNTIFS(M$3:M2818,M2819,N$3:N2818,N2819)=0),M2819,""))</f>
        <v/>
      </c>
    </row>
    <row r="2820">
      <c r="A2820" s="34" t="n"/>
      <c r="B2820" s="35" t="n"/>
      <c r="C2820" s="35" t="n"/>
      <c r="D2820" s="35" t="n"/>
      <c r="E2820" s="35" t="n"/>
      <c r="F2820" s="36" t="n"/>
      <c r="G2820" s="35" t="n"/>
      <c r="H2820" s="30">
        <f>IF(L2820="","",INDEX(SkiftNavn,L2820))</f>
        <v/>
      </c>
      <c r="I2820" s="30">
        <f>IF(OR(A2820="",L2820=""),"",IF(MOD(A2820-INDEX(SkiftStart,L2820),Syklus)&lt;DagK,"Kveld",IF(MOD(A2820-INDEX(SkiftStart,L2820),Syklus)&lt;DagK+DagH,"Helg",IF(MOD(A2820-INDEX(SkiftStart,L2820),Syklus)&lt;DagK+DagH+DagD,"Dag","Fri"))))</f>
        <v/>
      </c>
      <c r="J2820" s="30">
        <f>IF(I2820="Fri","Ja","")</f>
        <v/>
      </c>
      <c r="K2820" s="30">
        <f>IF(B2820="","",IF(L2820="","Ukjent tekniker",IF(ISNA(MATCH(C2820,Aktiviteter,0)),"Ukjent aktivitet",IF(AND(INDEX(AktRolle,MATCH(C2820,Aktiviteter,0))&amp;""&lt;&gt;"",ISERROR(SEARCH(INDEX(AktRolle,MATCH(C2820,Aktiviteter,0))&amp;"",INDEX(TekRoller,MATCH(B2820,Teknikere,0))))),"Mangler rollen "&amp;INDEX(AktRolle,MATCH(C2820,Aktiviteter,0))&amp;"",IF(AND(C2820="LMS",F2820&gt;0,OR(D2820="",E2820="")),"Mangler maskin eller arbeid",IF(AND(OR(C2820="LMS",C2820="Mod"),D2820&lt;&gt;""),IF(IFERROR(INDEX(MaskinStatus,MATCH(D2820,Maskiner,0)),"")="I dokk","","Maskinen er ikke i dokk"),""))))))</f>
        <v/>
      </c>
      <c r="L2820" s="2">
        <f>IF(B2820="","",IFERROR(INT((MATCH(B2820,Teknikere,0)-1)/18)+1,""))</f>
        <v/>
      </c>
      <c r="M2820" s="2">
        <f>IF(OR(A2820="",B2820=""),"",B2820&amp;"|"&amp;A2820)</f>
        <v/>
      </c>
      <c r="N2820" s="2">
        <f>IF(M2820="","",SUMIFS(TF_Timer,TF_Nokkel,M2820,TF_Akt,C2820))</f>
        <v/>
      </c>
      <c r="O2820" s="2">
        <f>IF(M2820="","",IF(AND(N2820=_xlfn.MAXIFS(TF_AktSum,TF_Nokkel,M2820),COUNTIFS(M$3:M2819,M2820,N$3:N2819,N2820)=0),M2820,""))</f>
        <v/>
      </c>
    </row>
    <row r="2821">
      <c r="A2821" s="34" t="n"/>
      <c r="B2821" s="35" t="n"/>
      <c r="C2821" s="35" t="n"/>
      <c r="D2821" s="35" t="n"/>
      <c r="E2821" s="35" t="n"/>
      <c r="F2821" s="36" t="n"/>
      <c r="G2821" s="35" t="n"/>
      <c r="H2821" s="30">
        <f>IF(L2821="","",INDEX(SkiftNavn,L2821))</f>
        <v/>
      </c>
      <c r="I2821" s="30">
        <f>IF(OR(A2821="",L2821=""),"",IF(MOD(A2821-INDEX(SkiftStart,L2821),Syklus)&lt;DagK,"Kveld",IF(MOD(A2821-INDEX(SkiftStart,L2821),Syklus)&lt;DagK+DagH,"Helg",IF(MOD(A2821-INDEX(SkiftStart,L2821),Syklus)&lt;DagK+DagH+DagD,"Dag","Fri"))))</f>
        <v/>
      </c>
      <c r="J2821" s="30">
        <f>IF(I2821="Fri","Ja","")</f>
        <v/>
      </c>
      <c r="K2821" s="30">
        <f>IF(B2821="","",IF(L2821="","Ukjent tekniker",IF(ISNA(MATCH(C2821,Aktiviteter,0)),"Ukjent aktivitet",IF(AND(INDEX(AktRolle,MATCH(C2821,Aktiviteter,0))&amp;""&lt;&gt;"",ISERROR(SEARCH(INDEX(AktRolle,MATCH(C2821,Aktiviteter,0))&amp;"",INDEX(TekRoller,MATCH(B2821,Teknikere,0))))),"Mangler rollen "&amp;INDEX(AktRolle,MATCH(C2821,Aktiviteter,0))&amp;"",IF(AND(C2821="LMS",F2821&gt;0,OR(D2821="",E2821="")),"Mangler maskin eller arbeid",IF(AND(OR(C2821="LMS",C2821="Mod"),D2821&lt;&gt;""),IF(IFERROR(INDEX(MaskinStatus,MATCH(D2821,Maskiner,0)),"")="I dokk","","Maskinen er ikke i dokk"),""))))))</f>
        <v/>
      </c>
      <c r="L2821" s="2">
        <f>IF(B2821="","",IFERROR(INT((MATCH(B2821,Teknikere,0)-1)/18)+1,""))</f>
        <v/>
      </c>
      <c r="M2821" s="2">
        <f>IF(OR(A2821="",B2821=""),"",B2821&amp;"|"&amp;A2821)</f>
        <v/>
      </c>
      <c r="N2821" s="2">
        <f>IF(M2821="","",SUMIFS(TF_Timer,TF_Nokkel,M2821,TF_Akt,C2821))</f>
        <v/>
      </c>
      <c r="O2821" s="2">
        <f>IF(M2821="","",IF(AND(N2821=_xlfn.MAXIFS(TF_AktSum,TF_Nokkel,M2821),COUNTIFS(M$3:M2820,M2821,N$3:N2820,N2821)=0),M2821,""))</f>
        <v/>
      </c>
    </row>
    <row r="2822">
      <c r="A2822" s="34" t="n"/>
      <c r="B2822" s="35" t="n"/>
      <c r="C2822" s="35" t="n"/>
      <c r="D2822" s="35" t="n"/>
      <c r="E2822" s="35" t="n"/>
      <c r="F2822" s="36" t="n"/>
      <c r="G2822" s="35" t="n"/>
      <c r="H2822" s="30">
        <f>IF(L2822="","",INDEX(SkiftNavn,L2822))</f>
        <v/>
      </c>
      <c r="I2822" s="30">
        <f>IF(OR(A2822="",L2822=""),"",IF(MOD(A2822-INDEX(SkiftStart,L2822),Syklus)&lt;DagK,"Kveld",IF(MOD(A2822-INDEX(SkiftStart,L2822),Syklus)&lt;DagK+DagH,"Helg",IF(MOD(A2822-INDEX(SkiftStart,L2822),Syklus)&lt;DagK+DagH+DagD,"Dag","Fri"))))</f>
        <v/>
      </c>
      <c r="J2822" s="30">
        <f>IF(I2822="Fri","Ja","")</f>
        <v/>
      </c>
      <c r="K2822" s="30">
        <f>IF(B2822="","",IF(L2822="","Ukjent tekniker",IF(ISNA(MATCH(C2822,Aktiviteter,0)),"Ukjent aktivitet",IF(AND(INDEX(AktRolle,MATCH(C2822,Aktiviteter,0))&amp;""&lt;&gt;"",ISERROR(SEARCH(INDEX(AktRolle,MATCH(C2822,Aktiviteter,0))&amp;"",INDEX(TekRoller,MATCH(B2822,Teknikere,0))))),"Mangler rollen "&amp;INDEX(AktRolle,MATCH(C2822,Aktiviteter,0))&amp;"",IF(AND(C2822="LMS",F2822&gt;0,OR(D2822="",E2822="")),"Mangler maskin eller arbeid",IF(AND(OR(C2822="LMS",C2822="Mod"),D2822&lt;&gt;""),IF(IFERROR(INDEX(MaskinStatus,MATCH(D2822,Maskiner,0)),"")="I dokk","","Maskinen er ikke i dokk"),""))))))</f>
        <v/>
      </c>
      <c r="L2822" s="2">
        <f>IF(B2822="","",IFERROR(INT((MATCH(B2822,Teknikere,0)-1)/18)+1,""))</f>
        <v/>
      </c>
      <c r="M2822" s="2">
        <f>IF(OR(A2822="",B2822=""),"",B2822&amp;"|"&amp;A2822)</f>
        <v/>
      </c>
      <c r="N2822" s="2">
        <f>IF(M2822="","",SUMIFS(TF_Timer,TF_Nokkel,M2822,TF_Akt,C2822))</f>
        <v/>
      </c>
      <c r="O2822" s="2">
        <f>IF(M2822="","",IF(AND(N2822=_xlfn.MAXIFS(TF_AktSum,TF_Nokkel,M2822),COUNTIFS(M$3:M2821,M2822,N$3:N2821,N2822)=0),M2822,""))</f>
        <v/>
      </c>
    </row>
    <row r="2823">
      <c r="A2823" s="34" t="n"/>
      <c r="B2823" s="35" t="n"/>
      <c r="C2823" s="35" t="n"/>
      <c r="D2823" s="35" t="n"/>
      <c r="E2823" s="35" t="n"/>
      <c r="F2823" s="36" t="n"/>
      <c r="G2823" s="35" t="n"/>
      <c r="H2823" s="30">
        <f>IF(L2823="","",INDEX(SkiftNavn,L2823))</f>
        <v/>
      </c>
      <c r="I2823" s="30">
        <f>IF(OR(A2823="",L2823=""),"",IF(MOD(A2823-INDEX(SkiftStart,L2823),Syklus)&lt;DagK,"Kveld",IF(MOD(A2823-INDEX(SkiftStart,L2823),Syklus)&lt;DagK+DagH,"Helg",IF(MOD(A2823-INDEX(SkiftStart,L2823),Syklus)&lt;DagK+DagH+DagD,"Dag","Fri"))))</f>
        <v/>
      </c>
      <c r="J2823" s="30">
        <f>IF(I2823="Fri","Ja","")</f>
        <v/>
      </c>
      <c r="K2823" s="30">
        <f>IF(B2823="","",IF(L2823="","Ukjent tekniker",IF(ISNA(MATCH(C2823,Aktiviteter,0)),"Ukjent aktivitet",IF(AND(INDEX(AktRolle,MATCH(C2823,Aktiviteter,0))&amp;""&lt;&gt;"",ISERROR(SEARCH(INDEX(AktRolle,MATCH(C2823,Aktiviteter,0))&amp;"",INDEX(TekRoller,MATCH(B2823,Teknikere,0))))),"Mangler rollen "&amp;INDEX(AktRolle,MATCH(C2823,Aktiviteter,0))&amp;"",IF(AND(C2823="LMS",F2823&gt;0,OR(D2823="",E2823="")),"Mangler maskin eller arbeid",IF(AND(OR(C2823="LMS",C2823="Mod"),D2823&lt;&gt;""),IF(IFERROR(INDEX(MaskinStatus,MATCH(D2823,Maskiner,0)),"")="I dokk","","Maskinen er ikke i dokk"),""))))))</f>
        <v/>
      </c>
      <c r="L2823" s="2">
        <f>IF(B2823="","",IFERROR(INT((MATCH(B2823,Teknikere,0)-1)/18)+1,""))</f>
        <v/>
      </c>
      <c r="M2823" s="2">
        <f>IF(OR(A2823="",B2823=""),"",B2823&amp;"|"&amp;A2823)</f>
        <v/>
      </c>
      <c r="N2823" s="2">
        <f>IF(M2823="","",SUMIFS(TF_Timer,TF_Nokkel,M2823,TF_Akt,C2823))</f>
        <v/>
      </c>
      <c r="O2823" s="2">
        <f>IF(M2823="","",IF(AND(N2823=_xlfn.MAXIFS(TF_AktSum,TF_Nokkel,M2823),COUNTIFS(M$3:M2822,M2823,N$3:N2822,N2823)=0),M2823,""))</f>
        <v/>
      </c>
    </row>
    <row r="2824">
      <c r="A2824" s="34" t="n"/>
      <c r="B2824" s="35" t="n"/>
      <c r="C2824" s="35" t="n"/>
      <c r="D2824" s="35" t="n"/>
      <c r="E2824" s="35" t="n"/>
      <c r="F2824" s="36" t="n"/>
      <c r="G2824" s="35" t="n"/>
      <c r="H2824" s="30">
        <f>IF(L2824="","",INDEX(SkiftNavn,L2824))</f>
        <v/>
      </c>
      <c r="I2824" s="30">
        <f>IF(OR(A2824="",L2824=""),"",IF(MOD(A2824-INDEX(SkiftStart,L2824),Syklus)&lt;DagK,"Kveld",IF(MOD(A2824-INDEX(SkiftStart,L2824),Syklus)&lt;DagK+DagH,"Helg",IF(MOD(A2824-INDEX(SkiftStart,L2824),Syklus)&lt;DagK+DagH+DagD,"Dag","Fri"))))</f>
        <v/>
      </c>
      <c r="J2824" s="30">
        <f>IF(I2824="Fri","Ja","")</f>
        <v/>
      </c>
      <c r="K2824" s="30">
        <f>IF(B2824="","",IF(L2824="","Ukjent tekniker",IF(ISNA(MATCH(C2824,Aktiviteter,0)),"Ukjent aktivitet",IF(AND(INDEX(AktRolle,MATCH(C2824,Aktiviteter,0))&amp;""&lt;&gt;"",ISERROR(SEARCH(INDEX(AktRolle,MATCH(C2824,Aktiviteter,0))&amp;"",INDEX(TekRoller,MATCH(B2824,Teknikere,0))))),"Mangler rollen "&amp;INDEX(AktRolle,MATCH(C2824,Aktiviteter,0))&amp;"",IF(AND(C2824="LMS",F2824&gt;0,OR(D2824="",E2824="")),"Mangler maskin eller arbeid",IF(AND(OR(C2824="LMS",C2824="Mod"),D2824&lt;&gt;""),IF(IFERROR(INDEX(MaskinStatus,MATCH(D2824,Maskiner,0)),"")="I dokk","","Maskinen er ikke i dokk"),""))))))</f>
        <v/>
      </c>
      <c r="L2824" s="2">
        <f>IF(B2824="","",IFERROR(INT((MATCH(B2824,Teknikere,0)-1)/18)+1,""))</f>
        <v/>
      </c>
      <c r="M2824" s="2">
        <f>IF(OR(A2824="",B2824=""),"",B2824&amp;"|"&amp;A2824)</f>
        <v/>
      </c>
      <c r="N2824" s="2">
        <f>IF(M2824="","",SUMIFS(TF_Timer,TF_Nokkel,M2824,TF_Akt,C2824))</f>
        <v/>
      </c>
      <c r="O2824" s="2">
        <f>IF(M2824="","",IF(AND(N2824=_xlfn.MAXIFS(TF_AktSum,TF_Nokkel,M2824),COUNTIFS(M$3:M2823,M2824,N$3:N2823,N2824)=0),M2824,""))</f>
        <v/>
      </c>
    </row>
    <row r="2825">
      <c r="A2825" s="34" t="n"/>
      <c r="B2825" s="35" t="n"/>
      <c r="C2825" s="35" t="n"/>
      <c r="D2825" s="35" t="n"/>
      <c r="E2825" s="35" t="n"/>
      <c r="F2825" s="36" t="n"/>
      <c r="G2825" s="35" t="n"/>
      <c r="H2825" s="30">
        <f>IF(L2825="","",INDEX(SkiftNavn,L2825))</f>
        <v/>
      </c>
      <c r="I2825" s="30">
        <f>IF(OR(A2825="",L2825=""),"",IF(MOD(A2825-INDEX(SkiftStart,L2825),Syklus)&lt;DagK,"Kveld",IF(MOD(A2825-INDEX(SkiftStart,L2825),Syklus)&lt;DagK+DagH,"Helg",IF(MOD(A2825-INDEX(SkiftStart,L2825),Syklus)&lt;DagK+DagH+DagD,"Dag","Fri"))))</f>
        <v/>
      </c>
      <c r="J2825" s="30">
        <f>IF(I2825="Fri","Ja","")</f>
        <v/>
      </c>
      <c r="K2825" s="30">
        <f>IF(B2825="","",IF(L2825="","Ukjent tekniker",IF(ISNA(MATCH(C2825,Aktiviteter,0)),"Ukjent aktivitet",IF(AND(INDEX(AktRolle,MATCH(C2825,Aktiviteter,0))&amp;""&lt;&gt;"",ISERROR(SEARCH(INDEX(AktRolle,MATCH(C2825,Aktiviteter,0))&amp;"",INDEX(TekRoller,MATCH(B2825,Teknikere,0))))),"Mangler rollen "&amp;INDEX(AktRolle,MATCH(C2825,Aktiviteter,0))&amp;"",IF(AND(C2825="LMS",F2825&gt;0,OR(D2825="",E2825="")),"Mangler maskin eller arbeid",IF(AND(OR(C2825="LMS",C2825="Mod"),D2825&lt;&gt;""),IF(IFERROR(INDEX(MaskinStatus,MATCH(D2825,Maskiner,0)),"")="I dokk","","Maskinen er ikke i dokk"),""))))))</f>
        <v/>
      </c>
      <c r="L2825" s="2">
        <f>IF(B2825="","",IFERROR(INT((MATCH(B2825,Teknikere,0)-1)/18)+1,""))</f>
        <v/>
      </c>
      <c r="M2825" s="2">
        <f>IF(OR(A2825="",B2825=""),"",B2825&amp;"|"&amp;A2825)</f>
        <v/>
      </c>
      <c r="N2825" s="2">
        <f>IF(M2825="","",SUMIFS(TF_Timer,TF_Nokkel,M2825,TF_Akt,C2825))</f>
        <v/>
      </c>
      <c r="O2825" s="2">
        <f>IF(M2825="","",IF(AND(N2825=_xlfn.MAXIFS(TF_AktSum,TF_Nokkel,M2825),COUNTIFS(M$3:M2824,M2825,N$3:N2824,N2825)=0),M2825,""))</f>
        <v/>
      </c>
    </row>
    <row r="2826">
      <c r="A2826" s="34" t="n"/>
      <c r="B2826" s="35" t="n"/>
      <c r="C2826" s="35" t="n"/>
      <c r="D2826" s="35" t="n"/>
      <c r="E2826" s="35" t="n"/>
      <c r="F2826" s="36" t="n"/>
      <c r="G2826" s="35" t="n"/>
      <c r="H2826" s="30">
        <f>IF(L2826="","",INDEX(SkiftNavn,L2826))</f>
        <v/>
      </c>
      <c r="I2826" s="30">
        <f>IF(OR(A2826="",L2826=""),"",IF(MOD(A2826-INDEX(SkiftStart,L2826),Syklus)&lt;DagK,"Kveld",IF(MOD(A2826-INDEX(SkiftStart,L2826),Syklus)&lt;DagK+DagH,"Helg",IF(MOD(A2826-INDEX(SkiftStart,L2826),Syklus)&lt;DagK+DagH+DagD,"Dag","Fri"))))</f>
        <v/>
      </c>
      <c r="J2826" s="30">
        <f>IF(I2826="Fri","Ja","")</f>
        <v/>
      </c>
      <c r="K2826" s="30">
        <f>IF(B2826="","",IF(L2826="","Ukjent tekniker",IF(ISNA(MATCH(C2826,Aktiviteter,0)),"Ukjent aktivitet",IF(AND(INDEX(AktRolle,MATCH(C2826,Aktiviteter,0))&amp;""&lt;&gt;"",ISERROR(SEARCH(INDEX(AktRolle,MATCH(C2826,Aktiviteter,0))&amp;"",INDEX(TekRoller,MATCH(B2826,Teknikere,0))))),"Mangler rollen "&amp;INDEX(AktRolle,MATCH(C2826,Aktiviteter,0))&amp;"",IF(AND(C2826="LMS",F2826&gt;0,OR(D2826="",E2826="")),"Mangler maskin eller arbeid",IF(AND(OR(C2826="LMS",C2826="Mod"),D2826&lt;&gt;""),IF(IFERROR(INDEX(MaskinStatus,MATCH(D2826,Maskiner,0)),"")="I dokk","","Maskinen er ikke i dokk"),""))))))</f>
        <v/>
      </c>
      <c r="L2826" s="2">
        <f>IF(B2826="","",IFERROR(INT((MATCH(B2826,Teknikere,0)-1)/18)+1,""))</f>
        <v/>
      </c>
      <c r="M2826" s="2">
        <f>IF(OR(A2826="",B2826=""),"",B2826&amp;"|"&amp;A2826)</f>
        <v/>
      </c>
      <c r="N2826" s="2">
        <f>IF(M2826="","",SUMIFS(TF_Timer,TF_Nokkel,M2826,TF_Akt,C2826))</f>
        <v/>
      </c>
      <c r="O2826" s="2">
        <f>IF(M2826="","",IF(AND(N2826=_xlfn.MAXIFS(TF_AktSum,TF_Nokkel,M2826),COUNTIFS(M$3:M2825,M2826,N$3:N2825,N2826)=0),M2826,""))</f>
        <v/>
      </c>
    </row>
    <row r="2827">
      <c r="A2827" s="34" t="n"/>
      <c r="B2827" s="35" t="n"/>
      <c r="C2827" s="35" t="n"/>
      <c r="D2827" s="35" t="n"/>
      <c r="E2827" s="35" t="n"/>
      <c r="F2827" s="36" t="n"/>
      <c r="G2827" s="35" t="n"/>
      <c r="H2827" s="30">
        <f>IF(L2827="","",INDEX(SkiftNavn,L2827))</f>
        <v/>
      </c>
      <c r="I2827" s="30">
        <f>IF(OR(A2827="",L2827=""),"",IF(MOD(A2827-INDEX(SkiftStart,L2827),Syklus)&lt;DagK,"Kveld",IF(MOD(A2827-INDEX(SkiftStart,L2827),Syklus)&lt;DagK+DagH,"Helg",IF(MOD(A2827-INDEX(SkiftStart,L2827),Syklus)&lt;DagK+DagH+DagD,"Dag","Fri"))))</f>
        <v/>
      </c>
      <c r="J2827" s="30">
        <f>IF(I2827="Fri","Ja","")</f>
        <v/>
      </c>
      <c r="K2827" s="30">
        <f>IF(B2827="","",IF(L2827="","Ukjent tekniker",IF(ISNA(MATCH(C2827,Aktiviteter,0)),"Ukjent aktivitet",IF(AND(INDEX(AktRolle,MATCH(C2827,Aktiviteter,0))&amp;""&lt;&gt;"",ISERROR(SEARCH(INDEX(AktRolle,MATCH(C2827,Aktiviteter,0))&amp;"",INDEX(TekRoller,MATCH(B2827,Teknikere,0))))),"Mangler rollen "&amp;INDEX(AktRolle,MATCH(C2827,Aktiviteter,0))&amp;"",IF(AND(C2827="LMS",F2827&gt;0,OR(D2827="",E2827="")),"Mangler maskin eller arbeid",IF(AND(OR(C2827="LMS",C2827="Mod"),D2827&lt;&gt;""),IF(IFERROR(INDEX(MaskinStatus,MATCH(D2827,Maskiner,0)),"")="I dokk","","Maskinen er ikke i dokk"),""))))))</f>
        <v/>
      </c>
      <c r="L2827" s="2">
        <f>IF(B2827="","",IFERROR(INT((MATCH(B2827,Teknikere,0)-1)/18)+1,""))</f>
        <v/>
      </c>
      <c r="M2827" s="2">
        <f>IF(OR(A2827="",B2827=""),"",B2827&amp;"|"&amp;A2827)</f>
        <v/>
      </c>
      <c r="N2827" s="2">
        <f>IF(M2827="","",SUMIFS(TF_Timer,TF_Nokkel,M2827,TF_Akt,C2827))</f>
        <v/>
      </c>
      <c r="O2827" s="2">
        <f>IF(M2827="","",IF(AND(N2827=_xlfn.MAXIFS(TF_AktSum,TF_Nokkel,M2827),COUNTIFS(M$3:M2826,M2827,N$3:N2826,N2827)=0),M2827,""))</f>
        <v/>
      </c>
    </row>
    <row r="2828">
      <c r="A2828" s="34" t="n"/>
      <c r="B2828" s="35" t="n"/>
      <c r="C2828" s="35" t="n"/>
      <c r="D2828" s="35" t="n"/>
      <c r="E2828" s="35" t="n"/>
      <c r="F2828" s="36" t="n"/>
      <c r="G2828" s="35" t="n"/>
      <c r="H2828" s="30">
        <f>IF(L2828="","",INDEX(SkiftNavn,L2828))</f>
        <v/>
      </c>
      <c r="I2828" s="30">
        <f>IF(OR(A2828="",L2828=""),"",IF(MOD(A2828-INDEX(SkiftStart,L2828),Syklus)&lt;DagK,"Kveld",IF(MOD(A2828-INDEX(SkiftStart,L2828),Syklus)&lt;DagK+DagH,"Helg",IF(MOD(A2828-INDEX(SkiftStart,L2828),Syklus)&lt;DagK+DagH+DagD,"Dag","Fri"))))</f>
        <v/>
      </c>
      <c r="J2828" s="30">
        <f>IF(I2828="Fri","Ja","")</f>
        <v/>
      </c>
      <c r="K2828" s="30">
        <f>IF(B2828="","",IF(L2828="","Ukjent tekniker",IF(ISNA(MATCH(C2828,Aktiviteter,0)),"Ukjent aktivitet",IF(AND(INDEX(AktRolle,MATCH(C2828,Aktiviteter,0))&amp;""&lt;&gt;"",ISERROR(SEARCH(INDEX(AktRolle,MATCH(C2828,Aktiviteter,0))&amp;"",INDEX(TekRoller,MATCH(B2828,Teknikere,0))))),"Mangler rollen "&amp;INDEX(AktRolle,MATCH(C2828,Aktiviteter,0))&amp;"",IF(AND(C2828="LMS",F2828&gt;0,OR(D2828="",E2828="")),"Mangler maskin eller arbeid",IF(AND(OR(C2828="LMS",C2828="Mod"),D2828&lt;&gt;""),IF(IFERROR(INDEX(MaskinStatus,MATCH(D2828,Maskiner,0)),"")="I dokk","","Maskinen er ikke i dokk"),""))))))</f>
        <v/>
      </c>
      <c r="L2828" s="2">
        <f>IF(B2828="","",IFERROR(INT((MATCH(B2828,Teknikere,0)-1)/18)+1,""))</f>
        <v/>
      </c>
      <c r="M2828" s="2">
        <f>IF(OR(A2828="",B2828=""),"",B2828&amp;"|"&amp;A2828)</f>
        <v/>
      </c>
      <c r="N2828" s="2">
        <f>IF(M2828="","",SUMIFS(TF_Timer,TF_Nokkel,M2828,TF_Akt,C2828))</f>
        <v/>
      </c>
      <c r="O2828" s="2">
        <f>IF(M2828="","",IF(AND(N2828=_xlfn.MAXIFS(TF_AktSum,TF_Nokkel,M2828),COUNTIFS(M$3:M2827,M2828,N$3:N2827,N2828)=0),M2828,""))</f>
        <v/>
      </c>
    </row>
    <row r="2829">
      <c r="A2829" s="34" t="n"/>
      <c r="B2829" s="35" t="n"/>
      <c r="C2829" s="35" t="n"/>
      <c r="D2829" s="35" t="n"/>
      <c r="E2829" s="35" t="n"/>
      <c r="F2829" s="36" t="n"/>
      <c r="G2829" s="35" t="n"/>
      <c r="H2829" s="30">
        <f>IF(L2829="","",INDEX(SkiftNavn,L2829))</f>
        <v/>
      </c>
      <c r="I2829" s="30">
        <f>IF(OR(A2829="",L2829=""),"",IF(MOD(A2829-INDEX(SkiftStart,L2829),Syklus)&lt;DagK,"Kveld",IF(MOD(A2829-INDEX(SkiftStart,L2829),Syklus)&lt;DagK+DagH,"Helg",IF(MOD(A2829-INDEX(SkiftStart,L2829),Syklus)&lt;DagK+DagH+DagD,"Dag","Fri"))))</f>
        <v/>
      </c>
      <c r="J2829" s="30">
        <f>IF(I2829="Fri","Ja","")</f>
        <v/>
      </c>
      <c r="K2829" s="30">
        <f>IF(B2829="","",IF(L2829="","Ukjent tekniker",IF(ISNA(MATCH(C2829,Aktiviteter,0)),"Ukjent aktivitet",IF(AND(INDEX(AktRolle,MATCH(C2829,Aktiviteter,0))&amp;""&lt;&gt;"",ISERROR(SEARCH(INDEX(AktRolle,MATCH(C2829,Aktiviteter,0))&amp;"",INDEX(TekRoller,MATCH(B2829,Teknikere,0))))),"Mangler rollen "&amp;INDEX(AktRolle,MATCH(C2829,Aktiviteter,0))&amp;"",IF(AND(C2829="LMS",F2829&gt;0,OR(D2829="",E2829="")),"Mangler maskin eller arbeid",IF(AND(OR(C2829="LMS",C2829="Mod"),D2829&lt;&gt;""),IF(IFERROR(INDEX(MaskinStatus,MATCH(D2829,Maskiner,0)),"")="I dokk","","Maskinen er ikke i dokk"),""))))))</f>
        <v/>
      </c>
      <c r="L2829" s="2">
        <f>IF(B2829="","",IFERROR(INT((MATCH(B2829,Teknikere,0)-1)/18)+1,""))</f>
        <v/>
      </c>
      <c r="M2829" s="2">
        <f>IF(OR(A2829="",B2829=""),"",B2829&amp;"|"&amp;A2829)</f>
        <v/>
      </c>
      <c r="N2829" s="2">
        <f>IF(M2829="","",SUMIFS(TF_Timer,TF_Nokkel,M2829,TF_Akt,C2829))</f>
        <v/>
      </c>
      <c r="O2829" s="2">
        <f>IF(M2829="","",IF(AND(N2829=_xlfn.MAXIFS(TF_AktSum,TF_Nokkel,M2829),COUNTIFS(M$3:M2828,M2829,N$3:N2828,N2829)=0),M2829,""))</f>
        <v/>
      </c>
    </row>
    <row r="2830">
      <c r="A2830" s="34" t="n"/>
      <c r="B2830" s="35" t="n"/>
      <c r="C2830" s="35" t="n"/>
      <c r="D2830" s="35" t="n"/>
      <c r="E2830" s="35" t="n"/>
      <c r="F2830" s="36" t="n"/>
      <c r="G2830" s="35" t="n"/>
      <c r="H2830" s="30">
        <f>IF(L2830="","",INDEX(SkiftNavn,L2830))</f>
        <v/>
      </c>
      <c r="I2830" s="30">
        <f>IF(OR(A2830="",L2830=""),"",IF(MOD(A2830-INDEX(SkiftStart,L2830),Syklus)&lt;DagK,"Kveld",IF(MOD(A2830-INDEX(SkiftStart,L2830),Syklus)&lt;DagK+DagH,"Helg",IF(MOD(A2830-INDEX(SkiftStart,L2830),Syklus)&lt;DagK+DagH+DagD,"Dag","Fri"))))</f>
        <v/>
      </c>
      <c r="J2830" s="30">
        <f>IF(I2830="Fri","Ja","")</f>
        <v/>
      </c>
      <c r="K2830" s="30">
        <f>IF(B2830="","",IF(L2830="","Ukjent tekniker",IF(ISNA(MATCH(C2830,Aktiviteter,0)),"Ukjent aktivitet",IF(AND(INDEX(AktRolle,MATCH(C2830,Aktiviteter,0))&amp;""&lt;&gt;"",ISERROR(SEARCH(INDEX(AktRolle,MATCH(C2830,Aktiviteter,0))&amp;"",INDEX(TekRoller,MATCH(B2830,Teknikere,0))))),"Mangler rollen "&amp;INDEX(AktRolle,MATCH(C2830,Aktiviteter,0))&amp;"",IF(AND(C2830="LMS",F2830&gt;0,OR(D2830="",E2830="")),"Mangler maskin eller arbeid",IF(AND(OR(C2830="LMS",C2830="Mod"),D2830&lt;&gt;""),IF(IFERROR(INDEX(MaskinStatus,MATCH(D2830,Maskiner,0)),"")="I dokk","","Maskinen er ikke i dokk"),""))))))</f>
        <v/>
      </c>
      <c r="L2830" s="2">
        <f>IF(B2830="","",IFERROR(INT((MATCH(B2830,Teknikere,0)-1)/18)+1,""))</f>
        <v/>
      </c>
      <c r="M2830" s="2">
        <f>IF(OR(A2830="",B2830=""),"",B2830&amp;"|"&amp;A2830)</f>
        <v/>
      </c>
      <c r="N2830" s="2">
        <f>IF(M2830="","",SUMIFS(TF_Timer,TF_Nokkel,M2830,TF_Akt,C2830))</f>
        <v/>
      </c>
      <c r="O2830" s="2">
        <f>IF(M2830="","",IF(AND(N2830=_xlfn.MAXIFS(TF_AktSum,TF_Nokkel,M2830),COUNTIFS(M$3:M2829,M2830,N$3:N2829,N2830)=0),M2830,""))</f>
        <v/>
      </c>
    </row>
    <row r="2831">
      <c r="A2831" s="34" t="n"/>
      <c r="B2831" s="35" t="n"/>
      <c r="C2831" s="35" t="n"/>
      <c r="D2831" s="35" t="n"/>
      <c r="E2831" s="35" t="n"/>
      <c r="F2831" s="36" t="n"/>
      <c r="G2831" s="35" t="n"/>
      <c r="H2831" s="30">
        <f>IF(L2831="","",INDEX(SkiftNavn,L2831))</f>
        <v/>
      </c>
      <c r="I2831" s="30">
        <f>IF(OR(A2831="",L2831=""),"",IF(MOD(A2831-INDEX(SkiftStart,L2831),Syklus)&lt;DagK,"Kveld",IF(MOD(A2831-INDEX(SkiftStart,L2831),Syklus)&lt;DagK+DagH,"Helg",IF(MOD(A2831-INDEX(SkiftStart,L2831),Syklus)&lt;DagK+DagH+DagD,"Dag","Fri"))))</f>
        <v/>
      </c>
      <c r="J2831" s="30">
        <f>IF(I2831="Fri","Ja","")</f>
        <v/>
      </c>
      <c r="K2831" s="30">
        <f>IF(B2831="","",IF(L2831="","Ukjent tekniker",IF(ISNA(MATCH(C2831,Aktiviteter,0)),"Ukjent aktivitet",IF(AND(INDEX(AktRolle,MATCH(C2831,Aktiviteter,0))&amp;""&lt;&gt;"",ISERROR(SEARCH(INDEX(AktRolle,MATCH(C2831,Aktiviteter,0))&amp;"",INDEX(TekRoller,MATCH(B2831,Teknikere,0))))),"Mangler rollen "&amp;INDEX(AktRolle,MATCH(C2831,Aktiviteter,0))&amp;"",IF(AND(C2831="LMS",F2831&gt;0,OR(D2831="",E2831="")),"Mangler maskin eller arbeid",IF(AND(OR(C2831="LMS",C2831="Mod"),D2831&lt;&gt;""),IF(IFERROR(INDEX(MaskinStatus,MATCH(D2831,Maskiner,0)),"")="I dokk","","Maskinen er ikke i dokk"),""))))))</f>
        <v/>
      </c>
      <c r="L2831" s="2">
        <f>IF(B2831="","",IFERROR(INT((MATCH(B2831,Teknikere,0)-1)/18)+1,""))</f>
        <v/>
      </c>
      <c r="M2831" s="2">
        <f>IF(OR(A2831="",B2831=""),"",B2831&amp;"|"&amp;A2831)</f>
        <v/>
      </c>
      <c r="N2831" s="2">
        <f>IF(M2831="","",SUMIFS(TF_Timer,TF_Nokkel,M2831,TF_Akt,C2831))</f>
        <v/>
      </c>
      <c r="O2831" s="2">
        <f>IF(M2831="","",IF(AND(N2831=_xlfn.MAXIFS(TF_AktSum,TF_Nokkel,M2831),COUNTIFS(M$3:M2830,M2831,N$3:N2830,N2831)=0),M2831,""))</f>
        <v/>
      </c>
    </row>
    <row r="2832">
      <c r="A2832" s="34" t="n"/>
      <c r="B2832" s="35" t="n"/>
      <c r="C2832" s="35" t="n"/>
      <c r="D2832" s="35" t="n"/>
      <c r="E2832" s="35" t="n"/>
      <c r="F2832" s="36" t="n"/>
      <c r="G2832" s="35" t="n"/>
      <c r="H2832" s="30">
        <f>IF(L2832="","",INDEX(SkiftNavn,L2832))</f>
        <v/>
      </c>
      <c r="I2832" s="30">
        <f>IF(OR(A2832="",L2832=""),"",IF(MOD(A2832-INDEX(SkiftStart,L2832),Syklus)&lt;DagK,"Kveld",IF(MOD(A2832-INDEX(SkiftStart,L2832),Syklus)&lt;DagK+DagH,"Helg",IF(MOD(A2832-INDEX(SkiftStart,L2832),Syklus)&lt;DagK+DagH+DagD,"Dag","Fri"))))</f>
        <v/>
      </c>
      <c r="J2832" s="30">
        <f>IF(I2832="Fri","Ja","")</f>
        <v/>
      </c>
      <c r="K2832" s="30">
        <f>IF(B2832="","",IF(L2832="","Ukjent tekniker",IF(ISNA(MATCH(C2832,Aktiviteter,0)),"Ukjent aktivitet",IF(AND(INDEX(AktRolle,MATCH(C2832,Aktiviteter,0))&amp;""&lt;&gt;"",ISERROR(SEARCH(INDEX(AktRolle,MATCH(C2832,Aktiviteter,0))&amp;"",INDEX(TekRoller,MATCH(B2832,Teknikere,0))))),"Mangler rollen "&amp;INDEX(AktRolle,MATCH(C2832,Aktiviteter,0))&amp;"",IF(AND(C2832="LMS",F2832&gt;0,OR(D2832="",E2832="")),"Mangler maskin eller arbeid",IF(AND(OR(C2832="LMS",C2832="Mod"),D2832&lt;&gt;""),IF(IFERROR(INDEX(MaskinStatus,MATCH(D2832,Maskiner,0)),"")="I dokk","","Maskinen er ikke i dokk"),""))))))</f>
        <v/>
      </c>
      <c r="L2832" s="2">
        <f>IF(B2832="","",IFERROR(INT((MATCH(B2832,Teknikere,0)-1)/18)+1,""))</f>
        <v/>
      </c>
      <c r="M2832" s="2">
        <f>IF(OR(A2832="",B2832=""),"",B2832&amp;"|"&amp;A2832)</f>
        <v/>
      </c>
      <c r="N2832" s="2">
        <f>IF(M2832="","",SUMIFS(TF_Timer,TF_Nokkel,M2832,TF_Akt,C2832))</f>
        <v/>
      </c>
      <c r="O2832" s="2">
        <f>IF(M2832="","",IF(AND(N2832=_xlfn.MAXIFS(TF_AktSum,TF_Nokkel,M2832),COUNTIFS(M$3:M2831,M2832,N$3:N2831,N2832)=0),M2832,""))</f>
        <v/>
      </c>
    </row>
    <row r="2833">
      <c r="A2833" s="34" t="n"/>
      <c r="B2833" s="35" t="n"/>
      <c r="C2833" s="35" t="n"/>
      <c r="D2833" s="35" t="n"/>
      <c r="E2833" s="35" t="n"/>
      <c r="F2833" s="36" t="n"/>
      <c r="G2833" s="35" t="n"/>
      <c r="H2833" s="30">
        <f>IF(L2833="","",INDEX(SkiftNavn,L2833))</f>
        <v/>
      </c>
      <c r="I2833" s="30">
        <f>IF(OR(A2833="",L2833=""),"",IF(MOD(A2833-INDEX(SkiftStart,L2833),Syklus)&lt;DagK,"Kveld",IF(MOD(A2833-INDEX(SkiftStart,L2833),Syklus)&lt;DagK+DagH,"Helg",IF(MOD(A2833-INDEX(SkiftStart,L2833),Syklus)&lt;DagK+DagH+DagD,"Dag","Fri"))))</f>
        <v/>
      </c>
      <c r="J2833" s="30">
        <f>IF(I2833="Fri","Ja","")</f>
        <v/>
      </c>
      <c r="K2833" s="30">
        <f>IF(B2833="","",IF(L2833="","Ukjent tekniker",IF(ISNA(MATCH(C2833,Aktiviteter,0)),"Ukjent aktivitet",IF(AND(INDEX(AktRolle,MATCH(C2833,Aktiviteter,0))&amp;""&lt;&gt;"",ISERROR(SEARCH(INDEX(AktRolle,MATCH(C2833,Aktiviteter,0))&amp;"",INDEX(TekRoller,MATCH(B2833,Teknikere,0))))),"Mangler rollen "&amp;INDEX(AktRolle,MATCH(C2833,Aktiviteter,0))&amp;"",IF(AND(C2833="LMS",F2833&gt;0,OR(D2833="",E2833="")),"Mangler maskin eller arbeid",IF(AND(OR(C2833="LMS",C2833="Mod"),D2833&lt;&gt;""),IF(IFERROR(INDEX(MaskinStatus,MATCH(D2833,Maskiner,0)),"")="I dokk","","Maskinen er ikke i dokk"),""))))))</f>
        <v/>
      </c>
      <c r="L2833" s="2">
        <f>IF(B2833="","",IFERROR(INT((MATCH(B2833,Teknikere,0)-1)/18)+1,""))</f>
        <v/>
      </c>
      <c r="M2833" s="2">
        <f>IF(OR(A2833="",B2833=""),"",B2833&amp;"|"&amp;A2833)</f>
        <v/>
      </c>
      <c r="N2833" s="2">
        <f>IF(M2833="","",SUMIFS(TF_Timer,TF_Nokkel,M2833,TF_Akt,C2833))</f>
        <v/>
      </c>
      <c r="O2833" s="2">
        <f>IF(M2833="","",IF(AND(N2833=_xlfn.MAXIFS(TF_AktSum,TF_Nokkel,M2833),COUNTIFS(M$3:M2832,M2833,N$3:N2832,N2833)=0),M2833,""))</f>
        <v/>
      </c>
    </row>
    <row r="2834">
      <c r="A2834" s="34" t="n"/>
      <c r="B2834" s="35" t="n"/>
      <c r="C2834" s="35" t="n"/>
      <c r="D2834" s="35" t="n"/>
      <c r="E2834" s="35" t="n"/>
      <c r="F2834" s="36" t="n"/>
      <c r="G2834" s="35" t="n"/>
      <c r="H2834" s="30">
        <f>IF(L2834="","",INDEX(SkiftNavn,L2834))</f>
        <v/>
      </c>
      <c r="I2834" s="30">
        <f>IF(OR(A2834="",L2834=""),"",IF(MOD(A2834-INDEX(SkiftStart,L2834),Syklus)&lt;DagK,"Kveld",IF(MOD(A2834-INDEX(SkiftStart,L2834),Syklus)&lt;DagK+DagH,"Helg",IF(MOD(A2834-INDEX(SkiftStart,L2834),Syklus)&lt;DagK+DagH+DagD,"Dag","Fri"))))</f>
        <v/>
      </c>
      <c r="J2834" s="30">
        <f>IF(I2834="Fri","Ja","")</f>
        <v/>
      </c>
      <c r="K2834" s="30">
        <f>IF(B2834="","",IF(L2834="","Ukjent tekniker",IF(ISNA(MATCH(C2834,Aktiviteter,0)),"Ukjent aktivitet",IF(AND(INDEX(AktRolle,MATCH(C2834,Aktiviteter,0))&amp;""&lt;&gt;"",ISERROR(SEARCH(INDEX(AktRolle,MATCH(C2834,Aktiviteter,0))&amp;"",INDEX(TekRoller,MATCH(B2834,Teknikere,0))))),"Mangler rollen "&amp;INDEX(AktRolle,MATCH(C2834,Aktiviteter,0))&amp;"",IF(AND(C2834="LMS",F2834&gt;0,OR(D2834="",E2834="")),"Mangler maskin eller arbeid",IF(AND(OR(C2834="LMS",C2834="Mod"),D2834&lt;&gt;""),IF(IFERROR(INDEX(MaskinStatus,MATCH(D2834,Maskiner,0)),"")="I dokk","","Maskinen er ikke i dokk"),""))))))</f>
        <v/>
      </c>
      <c r="L2834" s="2">
        <f>IF(B2834="","",IFERROR(INT((MATCH(B2834,Teknikere,0)-1)/18)+1,""))</f>
        <v/>
      </c>
      <c r="M2834" s="2">
        <f>IF(OR(A2834="",B2834=""),"",B2834&amp;"|"&amp;A2834)</f>
        <v/>
      </c>
      <c r="N2834" s="2">
        <f>IF(M2834="","",SUMIFS(TF_Timer,TF_Nokkel,M2834,TF_Akt,C2834))</f>
        <v/>
      </c>
      <c r="O2834" s="2">
        <f>IF(M2834="","",IF(AND(N2834=_xlfn.MAXIFS(TF_AktSum,TF_Nokkel,M2834),COUNTIFS(M$3:M2833,M2834,N$3:N2833,N2834)=0),M2834,""))</f>
        <v/>
      </c>
    </row>
    <row r="2835">
      <c r="A2835" s="34" t="n"/>
      <c r="B2835" s="35" t="n"/>
      <c r="C2835" s="35" t="n"/>
      <c r="D2835" s="35" t="n"/>
      <c r="E2835" s="35" t="n"/>
      <c r="F2835" s="36" t="n"/>
      <c r="G2835" s="35" t="n"/>
      <c r="H2835" s="30">
        <f>IF(L2835="","",INDEX(SkiftNavn,L2835))</f>
        <v/>
      </c>
      <c r="I2835" s="30">
        <f>IF(OR(A2835="",L2835=""),"",IF(MOD(A2835-INDEX(SkiftStart,L2835),Syklus)&lt;DagK,"Kveld",IF(MOD(A2835-INDEX(SkiftStart,L2835),Syklus)&lt;DagK+DagH,"Helg",IF(MOD(A2835-INDEX(SkiftStart,L2835),Syklus)&lt;DagK+DagH+DagD,"Dag","Fri"))))</f>
        <v/>
      </c>
      <c r="J2835" s="30">
        <f>IF(I2835="Fri","Ja","")</f>
        <v/>
      </c>
      <c r="K2835" s="30">
        <f>IF(B2835="","",IF(L2835="","Ukjent tekniker",IF(ISNA(MATCH(C2835,Aktiviteter,0)),"Ukjent aktivitet",IF(AND(INDEX(AktRolle,MATCH(C2835,Aktiviteter,0))&amp;""&lt;&gt;"",ISERROR(SEARCH(INDEX(AktRolle,MATCH(C2835,Aktiviteter,0))&amp;"",INDEX(TekRoller,MATCH(B2835,Teknikere,0))))),"Mangler rollen "&amp;INDEX(AktRolle,MATCH(C2835,Aktiviteter,0))&amp;"",IF(AND(C2835="LMS",F2835&gt;0,OR(D2835="",E2835="")),"Mangler maskin eller arbeid",IF(AND(OR(C2835="LMS",C2835="Mod"),D2835&lt;&gt;""),IF(IFERROR(INDEX(MaskinStatus,MATCH(D2835,Maskiner,0)),"")="I dokk","","Maskinen er ikke i dokk"),""))))))</f>
        <v/>
      </c>
      <c r="L2835" s="2">
        <f>IF(B2835="","",IFERROR(INT((MATCH(B2835,Teknikere,0)-1)/18)+1,""))</f>
        <v/>
      </c>
      <c r="M2835" s="2">
        <f>IF(OR(A2835="",B2835=""),"",B2835&amp;"|"&amp;A2835)</f>
        <v/>
      </c>
      <c r="N2835" s="2">
        <f>IF(M2835="","",SUMIFS(TF_Timer,TF_Nokkel,M2835,TF_Akt,C2835))</f>
        <v/>
      </c>
      <c r="O2835" s="2">
        <f>IF(M2835="","",IF(AND(N2835=_xlfn.MAXIFS(TF_AktSum,TF_Nokkel,M2835),COUNTIFS(M$3:M2834,M2835,N$3:N2834,N2835)=0),M2835,""))</f>
        <v/>
      </c>
    </row>
    <row r="2836">
      <c r="A2836" s="34" t="n"/>
      <c r="B2836" s="35" t="n"/>
      <c r="C2836" s="35" t="n"/>
      <c r="D2836" s="35" t="n"/>
      <c r="E2836" s="35" t="n"/>
      <c r="F2836" s="36" t="n"/>
      <c r="G2836" s="35" t="n"/>
      <c r="H2836" s="30">
        <f>IF(L2836="","",INDEX(SkiftNavn,L2836))</f>
        <v/>
      </c>
      <c r="I2836" s="30">
        <f>IF(OR(A2836="",L2836=""),"",IF(MOD(A2836-INDEX(SkiftStart,L2836),Syklus)&lt;DagK,"Kveld",IF(MOD(A2836-INDEX(SkiftStart,L2836),Syklus)&lt;DagK+DagH,"Helg",IF(MOD(A2836-INDEX(SkiftStart,L2836),Syklus)&lt;DagK+DagH+DagD,"Dag","Fri"))))</f>
        <v/>
      </c>
      <c r="J2836" s="30">
        <f>IF(I2836="Fri","Ja","")</f>
        <v/>
      </c>
      <c r="K2836" s="30">
        <f>IF(B2836="","",IF(L2836="","Ukjent tekniker",IF(ISNA(MATCH(C2836,Aktiviteter,0)),"Ukjent aktivitet",IF(AND(INDEX(AktRolle,MATCH(C2836,Aktiviteter,0))&amp;""&lt;&gt;"",ISERROR(SEARCH(INDEX(AktRolle,MATCH(C2836,Aktiviteter,0))&amp;"",INDEX(TekRoller,MATCH(B2836,Teknikere,0))))),"Mangler rollen "&amp;INDEX(AktRolle,MATCH(C2836,Aktiviteter,0))&amp;"",IF(AND(C2836="LMS",F2836&gt;0,OR(D2836="",E2836="")),"Mangler maskin eller arbeid",IF(AND(OR(C2836="LMS",C2836="Mod"),D2836&lt;&gt;""),IF(IFERROR(INDEX(MaskinStatus,MATCH(D2836,Maskiner,0)),"")="I dokk","","Maskinen er ikke i dokk"),""))))))</f>
        <v/>
      </c>
      <c r="L2836" s="2">
        <f>IF(B2836="","",IFERROR(INT((MATCH(B2836,Teknikere,0)-1)/18)+1,""))</f>
        <v/>
      </c>
      <c r="M2836" s="2">
        <f>IF(OR(A2836="",B2836=""),"",B2836&amp;"|"&amp;A2836)</f>
        <v/>
      </c>
      <c r="N2836" s="2">
        <f>IF(M2836="","",SUMIFS(TF_Timer,TF_Nokkel,M2836,TF_Akt,C2836))</f>
        <v/>
      </c>
      <c r="O2836" s="2">
        <f>IF(M2836="","",IF(AND(N2836=_xlfn.MAXIFS(TF_AktSum,TF_Nokkel,M2836),COUNTIFS(M$3:M2835,M2836,N$3:N2835,N2836)=0),M2836,""))</f>
        <v/>
      </c>
    </row>
    <row r="2837">
      <c r="A2837" s="34" t="n"/>
      <c r="B2837" s="35" t="n"/>
      <c r="C2837" s="35" t="n"/>
      <c r="D2837" s="35" t="n"/>
      <c r="E2837" s="35" t="n"/>
      <c r="F2837" s="36" t="n"/>
      <c r="G2837" s="35" t="n"/>
      <c r="H2837" s="30">
        <f>IF(L2837="","",INDEX(SkiftNavn,L2837))</f>
        <v/>
      </c>
      <c r="I2837" s="30">
        <f>IF(OR(A2837="",L2837=""),"",IF(MOD(A2837-INDEX(SkiftStart,L2837),Syklus)&lt;DagK,"Kveld",IF(MOD(A2837-INDEX(SkiftStart,L2837),Syklus)&lt;DagK+DagH,"Helg",IF(MOD(A2837-INDEX(SkiftStart,L2837),Syklus)&lt;DagK+DagH+DagD,"Dag","Fri"))))</f>
        <v/>
      </c>
      <c r="J2837" s="30">
        <f>IF(I2837="Fri","Ja","")</f>
        <v/>
      </c>
      <c r="K2837" s="30">
        <f>IF(B2837="","",IF(L2837="","Ukjent tekniker",IF(ISNA(MATCH(C2837,Aktiviteter,0)),"Ukjent aktivitet",IF(AND(INDEX(AktRolle,MATCH(C2837,Aktiviteter,0))&amp;""&lt;&gt;"",ISERROR(SEARCH(INDEX(AktRolle,MATCH(C2837,Aktiviteter,0))&amp;"",INDEX(TekRoller,MATCH(B2837,Teknikere,0))))),"Mangler rollen "&amp;INDEX(AktRolle,MATCH(C2837,Aktiviteter,0))&amp;"",IF(AND(C2837="LMS",F2837&gt;0,OR(D2837="",E2837="")),"Mangler maskin eller arbeid",IF(AND(OR(C2837="LMS",C2837="Mod"),D2837&lt;&gt;""),IF(IFERROR(INDEX(MaskinStatus,MATCH(D2837,Maskiner,0)),"")="I dokk","","Maskinen er ikke i dokk"),""))))))</f>
        <v/>
      </c>
      <c r="L2837" s="2">
        <f>IF(B2837="","",IFERROR(INT((MATCH(B2837,Teknikere,0)-1)/18)+1,""))</f>
        <v/>
      </c>
      <c r="M2837" s="2">
        <f>IF(OR(A2837="",B2837=""),"",B2837&amp;"|"&amp;A2837)</f>
        <v/>
      </c>
      <c r="N2837" s="2">
        <f>IF(M2837="","",SUMIFS(TF_Timer,TF_Nokkel,M2837,TF_Akt,C2837))</f>
        <v/>
      </c>
      <c r="O2837" s="2">
        <f>IF(M2837="","",IF(AND(N2837=_xlfn.MAXIFS(TF_AktSum,TF_Nokkel,M2837),COUNTIFS(M$3:M2836,M2837,N$3:N2836,N2837)=0),M2837,""))</f>
        <v/>
      </c>
    </row>
    <row r="2838">
      <c r="A2838" s="34" t="n"/>
      <c r="B2838" s="35" t="n"/>
      <c r="C2838" s="35" t="n"/>
      <c r="D2838" s="35" t="n"/>
      <c r="E2838" s="35" t="n"/>
      <c r="F2838" s="36" t="n"/>
      <c r="G2838" s="35" t="n"/>
      <c r="H2838" s="30">
        <f>IF(L2838="","",INDEX(SkiftNavn,L2838))</f>
        <v/>
      </c>
      <c r="I2838" s="30">
        <f>IF(OR(A2838="",L2838=""),"",IF(MOD(A2838-INDEX(SkiftStart,L2838),Syklus)&lt;DagK,"Kveld",IF(MOD(A2838-INDEX(SkiftStart,L2838),Syklus)&lt;DagK+DagH,"Helg",IF(MOD(A2838-INDEX(SkiftStart,L2838),Syklus)&lt;DagK+DagH+DagD,"Dag","Fri"))))</f>
        <v/>
      </c>
      <c r="J2838" s="30">
        <f>IF(I2838="Fri","Ja","")</f>
        <v/>
      </c>
      <c r="K2838" s="30">
        <f>IF(B2838="","",IF(L2838="","Ukjent tekniker",IF(ISNA(MATCH(C2838,Aktiviteter,0)),"Ukjent aktivitet",IF(AND(INDEX(AktRolle,MATCH(C2838,Aktiviteter,0))&amp;""&lt;&gt;"",ISERROR(SEARCH(INDEX(AktRolle,MATCH(C2838,Aktiviteter,0))&amp;"",INDEX(TekRoller,MATCH(B2838,Teknikere,0))))),"Mangler rollen "&amp;INDEX(AktRolle,MATCH(C2838,Aktiviteter,0))&amp;"",IF(AND(C2838="LMS",F2838&gt;0,OR(D2838="",E2838="")),"Mangler maskin eller arbeid",IF(AND(OR(C2838="LMS",C2838="Mod"),D2838&lt;&gt;""),IF(IFERROR(INDEX(MaskinStatus,MATCH(D2838,Maskiner,0)),"")="I dokk","","Maskinen er ikke i dokk"),""))))))</f>
        <v/>
      </c>
      <c r="L2838" s="2">
        <f>IF(B2838="","",IFERROR(INT((MATCH(B2838,Teknikere,0)-1)/18)+1,""))</f>
        <v/>
      </c>
      <c r="M2838" s="2">
        <f>IF(OR(A2838="",B2838=""),"",B2838&amp;"|"&amp;A2838)</f>
        <v/>
      </c>
      <c r="N2838" s="2">
        <f>IF(M2838="","",SUMIFS(TF_Timer,TF_Nokkel,M2838,TF_Akt,C2838))</f>
        <v/>
      </c>
      <c r="O2838" s="2">
        <f>IF(M2838="","",IF(AND(N2838=_xlfn.MAXIFS(TF_AktSum,TF_Nokkel,M2838),COUNTIFS(M$3:M2837,M2838,N$3:N2837,N2838)=0),M2838,""))</f>
        <v/>
      </c>
    </row>
    <row r="2839">
      <c r="A2839" s="34" t="n"/>
      <c r="B2839" s="35" t="n"/>
      <c r="C2839" s="35" t="n"/>
      <c r="D2839" s="35" t="n"/>
      <c r="E2839" s="35" t="n"/>
      <c r="F2839" s="36" t="n"/>
      <c r="G2839" s="35" t="n"/>
      <c r="H2839" s="30">
        <f>IF(L2839="","",INDEX(SkiftNavn,L2839))</f>
        <v/>
      </c>
      <c r="I2839" s="30">
        <f>IF(OR(A2839="",L2839=""),"",IF(MOD(A2839-INDEX(SkiftStart,L2839),Syklus)&lt;DagK,"Kveld",IF(MOD(A2839-INDEX(SkiftStart,L2839),Syklus)&lt;DagK+DagH,"Helg",IF(MOD(A2839-INDEX(SkiftStart,L2839),Syklus)&lt;DagK+DagH+DagD,"Dag","Fri"))))</f>
        <v/>
      </c>
      <c r="J2839" s="30">
        <f>IF(I2839="Fri","Ja","")</f>
        <v/>
      </c>
      <c r="K2839" s="30">
        <f>IF(B2839="","",IF(L2839="","Ukjent tekniker",IF(ISNA(MATCH(C2839,Aktiviteter,0)),"Ukjent aktivitet",IF(AND(INDEX(AktRolle,MATCH(C2839,Aktiviteter,0))&amp;""&lt;&gt;"",ISERROR(SEARCH(INDEX(AktRolle,MATCH(C2839,Aktiviteter,0))&amp;"",INDEX(TekRoller,MATCH(B2839,Teknikere,0))))),"Mangler rollen "&amp;INDEX(AktRolle,MATCH(C2839,Aktiviteter,0))&amp;"",IF(AND(C2839="LMS",F2839&gt;0,OR(D2839="",E2839="")),"Mangler maskin eller arbeid",IF(AND(OR(C2839="LMS",C2839="Mod"),D2839&lt;&gt;""),IF(IFERROR(INDEX(MaskinStatus,MATCH(D2839,Maskiner,0)),"")="I dokk","","Maskinen er ikke i dokk"),""))))))</f>
        <v/>
      </c>
      <c r="L2839" s="2">
        <f>IF(B2839="","",IFERROR(INT((MATCH(B2839,Teknikere,0)-1)/18)+1,""))</f>
        <v/>
      </c>
      <c r="M2839" s="2">
        <f>IF(OR(A2839="",B2839=""),"",B2839&amp;"|"&amp;A2839)</f>
        <v/>
      </c>
      <c r="N2839" s="2">
        <f>IF(M2839="","",SUMIFS(TF_Timer,TF_Nokkel,M2839,TF_Akt,C2839))</f>
        <v/>
      </c>
      <c r="O2839" s="2">
        <f>IF(M2839="","",IF(AND(N2839=_xlfn.MAXIFS(TF_AktSum,TF_Nokkel,M2839),COUNTIFS(M$3:M2838,M2839,N$3:N2838,N2839)=0),M2839,""))</f>
        <v/>
      </c>
    </row>
    <row r="2840">
      <c r="A2840" s="34" t="n"/>
      <c r="B2840" s="35" t="n"/>
      <c r="C2840" s="35" t="n"/>
      <c r="D2840" s="35" t="n"/>
      <c r="E2840" s="35" t="n"/>
      <c r="F2840" s="36" t="n"/>
      <c r="G2840" s="35" t="n"/>
      <c r="H2840" s="30">
        <f>IF(L2840="","",INDEX(SkiftNavn,L2840))</f>
        <v/>
      </c>
      <c r="I2840" s="30">
        <f>IF(OR(A2840="",L2840=""),"",IF(MOD(A2840-INDEX(SkiftStart,L2840),Syklus)&lt;DagK,"Kveld",IF(MOD(A2840-INDEX(SkiftStart,L2840),Syklus)&lt;DagK+DagH,"Helg",IF(MOD(A2840-INDEX(SkiftStart,L2840),Syklus)&lt;DagK+DagH+DagD,"Dag","Fri"))))</f>
        <v/>
      </c>
      <c r="J2840" s="30">
        <f>IF(I2840="Fri","Ja","")</f>
        <v/>
      </c>
      <c r="K2840" s="30">
        <f>IF(B2840="","",IF(L2840="","Ukjent tekniker",IF(ISNA(MATCH(C2840,Aktiviteter,0)),"Ukjent aktivitet",IF(AND(INDEX(AktRolle,MATCH(C2840,Aktiviteter,0))&amp;""&lt;&gt;"",ISERROR(SEARCH(INDEX(AktRolle,MATCH(C2840,Aktiviteter,0))&amp;"",INDEX(TekRoller,MATCH(B2840,Teknikere,0))))),"Mangler rollen "&amp;INDEX(AktRolle,MATCH(C2840,Aktiviteter,0))&amp;"",IF(AND(C2840="LMS",F2840&gt;0,OR(D2840="",E2840="")),"Mangler maskin eller arbeid",IF(AND(OR(C2840="LMS",C2840="Mod"),D2840&lt;&gt;""),IF(IFERROR(INDEX(MaskinStatus,MATCH(D2840,Maskiner,0)),"")="I dokk","","Maskinen er ikke i dokk"),""))))))</f>
        <v/>
      </c>
      <c r="L2840" s="2">
        <f>IF(B2840="","",IFERROR(INT((MATCH(B2840,Teknikere,0)-1)/18)+1,""))</f>
        <v/>
      </c>
      <c r="M2840" s="2">
        <f>IF(OR(A2840="",B2840=""),"",B2840&amp;"|"&amp;A2840)</f>
        <v/>
      </c>
      <c r="N2840" s="2">
        <f>IF(M2840="","",SUMIFS(TF_Timer,TF_Nokkel,M2840,TF_Akt,C2840))</f>
        <v/>
      </c>
      <c r="O2840" s="2">
        <f>IF(M2840="","",IF(AND(N2840=_xlfn.MAXIFS(TF_AktSum,TF_Nokkel,M2840),COUNTIFS(M$3:M2839,M2840,N$3:N2839,N2840)=0),M2840,""))</f>
        <v/>
      </c>
    </row>
    <row r="2841">
      <c r="A2841" s="34" t="n"/>
      <c r="B2841" s="35" t="n"/>
      <c r="C2841" s="35" t="n"/>
      <c r="D2841" s="35" t="n"/>
      <c r="E2841" s="35" t="n"/>
      <c r="F2841" s="36" t="n"/>
      <c r="G2841" s="35" t="n"/>
      <c r="H2841" s="30">
        <f>IF(L2841="","",INDEX(SkiftNavn,L2841))</f>
        <v/>
      </c>
      <c r="I2841" s="30">
        <f>IF(OR(A2841="",L2841=""),"",IF(MOD(A2841-INDEX(SkiftStart,L2841),Syklus)&lt;DagK,"Kveld",IF(MOD(A2841-INDEX(SkiftStart,L2841),Syklus)&lt;DagK+DagH,"Helg",IF(MOD(A2841-INDEX(SkiftStart,L2841),Syklus)&lt;DagK+DagH+DagD,"Dag","Fri"))))</f>
        <v/>
      </c>
      <c r="J2841" s="30">
        <f>IF(I2841="Fri","Ja","")</f>
        <v/>
      </c>
      <c r="K2841" s="30">
        <f>IF(B2841="","",IF(L2841="","Ukjent tekniker",IF(ISNA(MATCH(C2841,Aktiviteter,0)),"Ukjent aktivitet",IF(AND(INDEX(AktRolle,MATCH(C2841,Aktiviteter,0))&amp;""&lt;&gt;"",ISERROR(SEARCH(INDEX(AktRolle,MATCH(C2841,Aktiviteter,0))&amp;"",INDEX(TekRoller,MATCH(B2841,Teknikere,0))))),"Mangler rollen "&amp;INDEX(AktRolle,MATCH(C2841,Aktiviteter,0))&amp;"",IF(AND(C2841="LMS",F2841&gt;0,OR(D2841="",E2841="")),"Mangler maskin eller arbeid",IF(AND(OR(C2841="LMS",C2841="Mod"),D2841&lt;&gt;""),IF(IFERROR(INDEX(MaskinStatus,MATCH(D2841,Maskiner,0)),"")="I dokk","","Maskinen er ikke i dokk"),""))))))</f>
        <v/>
      </c>
      <c r="L2841" s="2">
        <f>IF(B2841="","",IFERROR(INT((MATCH(B2841,Teknikere,0)-1)/18)+1,""))</f>
        <v/>
      </c>
      <c r="M2841" s="2">
        <f>IF(OR(A2841="",B2841=""),"",B2841&amp;"|"&amp;A2841)</f>
        <v/>
      </c>
      <c r="N2841" s="2">
        <f>IF(M2841="","",SUMIFS(TF_Timer,TF_Nokkel,M2841,TF_Akt,C2841))</f>
        <v/>
      </c>
      <c r="O2841" s="2">
        <f>IF(M2841="","",IF(AND(N2841=_xlfn.MAXIFS(TF_AktSum,TF_Nokkel,M2841),COUNTIFS(M$3:M2840,M2841,N$3:N2840,N2841)=0),M2841,""))</f>
        <v/>
      </c>
    </row>
    <row r="2842">
      <c r="A2842" s="34" t="n"/>
      <c r="B2842" s="35" t="n"/>
      <c r="C2842" s="35" t="n"/>
      <c r="D2842" s="35" t="n"/>
      <c r="E2842" s="35" t="n"/>
      <c r="F2842" s="36" t="n"/>
      <c r="G2842" s="35" t="n"/>
      <c r="H2842" s="30">
        <f>IF(L2842="","",INDEX(SkiftNavn,L2842))</f>
        <v/>
      </c>
      <c r="I2842" s="30">
        <f>IF(OR(A2842="",L2842=""),"",IF(MOD(A2842-INDEX(SkiftStart,L2842),Syklus)&lt;DagK,"Kveld",IF(MOD(A2842-INDEX(SkiftStart,L2842),Syklus)&lt;DagK+DagH,"Helg",IF(MOD(A2842-INDEX(SkiftStart,L2842),Syklus)&lt;DagK+DagH+DagD,"Dag","Fri"))))</f>
        <v/>
      </c>
      <c r="J2842" s="30">
        <f>IF(I2842="Fri","Ja","")</f>
        <v/>
      </c>
      <c r="K2842" s="30">
        <f>IF(B2842="","",IF(L2842="","Ukjent tekniker",IF(ISNA(MATCH(C2842,Aktiviteter,0)),"Ukjent aktivitet",IF(AND(INDEX(AktRolle,MATCH(C2842,Aktiviteter,0))&amp;""&lt;&gt;"",ISERROR(SEARCH(INDEX(AktRolle,MATCH(C2842,Aktiviteter,0))&amp;"",INDEX(TekRoller,MATCH(B2842,Teknikere,0))))),"Mangler rollen "&amp;INDEX(AktRolle,MATCH(C2842,Aktiviteter,0))&amp;"",IF(AND(C2842="LMS",F2842&gt;0,OR(D2842="",E2842="")),"Mangler maskin eller arbeid",IF(AND(OR(C2842="LMS",C2842="Mod"),D2842&lt;&gt;""),IF(IFERROR(INDEX(MaskinStatus,MATCH(D2842,Maskiner,0)),"")="I dokk","","Maskinen er ikke i dokk"),""))))))</f>
        <v/>
      </c>
      <c r="L2842" s="2">
        <f>IF(B2842="","",IFERROR(INT((MATCH(B2842,Teknikere,0)-1)/18)+1,""))</f>
        <v/>
      </c>
      <c r="M2842" s="2">
        <f>IF(OR(A2842="",B2842=""),"",B2842&amp;"|"&amp;A2842)</f>
        <v/>
      </c>
      <c r="N2842" s="2">
        <f>IF(M2842="","",SUMIFS(TF_Timer,TF_Nokkel,M2842,TF_Akt,C2842))</f>
        <v/>
      </c>
      <c r="O2842" s="2">
        <f>IF(M2842="","",IF(AND(N2842=_xlfn.MAXIFS(TF_AktSum,TF_Nokkel,M2842),COUNTIFS(M$3:M2841,M2842,N$3:N2841,N2842)=0),M2842,""))</f>
        <v/>
      </c>
    </row>
    <row r="2843">
      <c r="A2843" s="34" t="n"/>
      <c r="B2843" s="35" t="n"/>
      <c r="C2843" s="35" t="n"/>
      <c r="D2843" s="35" t="n"/>
      <c r="E2843" s="35" t="n"/>
      <c r="F2843" s="36" t="n"/>
      <c r="G2843" s="35" t="n"/>
      <c r="H2843" s="30">
        <f>IF(L2843="","",INDEX(SkiftNavn,L2843))</f>
        <v/>
      </c>
      <c r="I2843" s="30">
        <f>IF(OR(A2843="",L2843=""),"",IF(MOD(A2843-INDEX(SkiftStart,L2843),Syklus)&lt;DagK,"Kveld",IF(MOD(A2843-INDEX(SkiftStart,L2843),Syklus)&lt;DagK+DagH,"Helg",IF(MOD(A2843-INDEX(SkiftStart,L2843),Syklus)&lt;DagK+DagH+DagD,"Dag","Fri"))))</f>
        <v/>
      </c>
      <c r="J2843" s="30">
        <f>IF(I2843="Fri","Ja","")</f>
        <v/>
      </c>
      <c r="K2843" s="30">
        <f>IF(B2843="","",IF(L2843="","Ukjent tekniker",IF(ISNA(MATCH(C2843,Aktiviteter,0)),"Ukjent aktivitet",IF(AND(INDEX(AktRolle,MATCH(C2843,Aktiviteter,0))&amp;""&lt;&gt;"",ISERROR(SEARCH(INDEX(AktRolle,MATCH(C2843,Aktiviteter,0))&amp;"",INDEX(TekRoller,MATCH(B2843,Teknikere,0))))),"Mangler rollen "&amp;INDEX(AktRolle,MATCH(C2843,Aktiviteter,0))&amp;"",IF(AND(C2843="LMS",F2843&gt;0,OR(D2843="",E2843="")),"Mangler maskin eller arbeid",IF(AND(OR(C2843="LMS",C2843="Mod"),D2843&lt;&gt;""),IF(IFERROR(INDEX(MaskinStatus,MATCH(D2843,Maskiner,0)),"")="I dokk","","Maskinen er ikke i dokk"),""))))))</f>
        <v/>
      </c>
      <c r="L2843" s="2">
        <f>IF(B2843="","",IFERROR(INT((MATCH(B2843,Teknikere,0)-1)/18)+1,""))</f>
        <v/>
      </c>
      <c r="M2843" s="2">
        <f>IF(OR(A2843="",B2843=""),"",B2843&amp;"|"&amp;A2843)</f>
        <v/>
      </c>
      <c r="N2843" s="2">
        <f>IF(M2843="","",SUMIFS(TF_Timer,TF_Nokkel,M2843,TF_Akt,C2843))</f>
        <v/>
      </c>
      <c r="O2843" s="2">
        <f>IF(M2843="","",IF(AND(N2843=_xlfn.MAXIFS(TF_AktSum,TF_Nokkel,M2843),COUNTIFS(M$3:M2842,M2843,N$3:N2842,N2843)=0),M2843,""))</f>
        <v/>
      </c>
    </row>
    <row r="2844">
      <c r="A2844" s="34" t="n"/>
      <c r="B2844" s="35" t="n"/>
      <c r="C2844" s="35" t="n"/>
      <c r="D2844" s="35" t="n"/>
      <c r="E2844" s="35" t="n"/>
      <c r="F2844" s="36" t="n"/>
      <c r="G2844" s="35" t="n"/>
      <c r="H2844" s="30">
        <f>IF(L2844="","",INDEX(SkiftNavn,L2844))</f>
        <v/>
      </c>
      <c r="I2844" s="30">
        <f>IF(OR(A2844="",L2844=""),"",IF(MOD(A2844-INDEX(SkiftStart,L2844),Syklus)&lt;DagK,"Kveld",IF(MOD(A2844-INDEX(SkiftStart,L2844),Syklus)&lt;DagK+DagH,"Helg",IF(MOD(A2844-INDEX(SkiftStart,L2844),Syklus)&lt;DagK+DagH+DagD,"Dag","Fri"))))</f>
        <v/>
      </c>
      <c r="J2844" s="30">
        <f>IF(I2844="Fri","Ja","")</f>
        <v/>
      </c>
      <c r="K2844" s="30">
        <f>IF(B2844="","",IF(L2844="","Ukjent tekniker",IF(ISNA(MATCH(C2844,Aktiviteter,0)),"Ukjent aktivitet",IF(AND(INDEX(AktRolle,MATCH(C2844,Aktiviteter,0))&amp;""&lt;&gt;"",ISERROR(SEARCH(INDEX(AktRolle,MATCH(C2844,Aktiviteter,0))&amp;"",INDEX(TekRoller,MATCH(B2844,Teknikere,0))))),"Mangler rollen "&amp;INDEX(AktRolle,MATCH(C2844,Aktiviteter,0))&amp;"",IF(AND(C2844="LMS",F2844&gt;0,OR(D2844="",E2844="")),"Mangler maskin eller arbeid",IF(AND(OR(C2844="LMS",C2844="Mod"),D2844&lt;&gt;""),IF(IFERROR(INDEX(MaskinStatus,MATCH(D2844,Maskiner,0)),"")="I dokk","","Maskinen er ikke i dokk"),""))))))</f>
        <v/>
      </c>
      <c r="L2844" s="2">
        <f>IF(B2844="","",IFERROR(INT((MATCH(B2844,Teknikere,0)-1)/18)+1,""))</f>
        <v/>
      </c>
      <c r="M2844" s="2">
        <f>IF(OR(A2844="",B2844=""),"",B2844&amp;"|"&amp;A2844)</f>
        <v/>
      </c>
      <c r="N2844" s="2">
        <f>IF(M2844="","",SUMIFS(TF_Timer,TF_Nokkel,M2844,TF_Akt,C2844))</f>
        <v/>
      </c>
      <c r="O2844" s="2">
        <f>IF(M2844="","",IF(AND(N2844=_xlfn.MAXIFS(TF_AktSum,TF_Nokkel,M2844),COUNTIFS(M$3:M2843,M2844,N$3:N2843,N2844)=0),M2844,""))</f>
        <v/>
      </c>
    </row>
    <row r="2845">
      <c r="A2845" s="34" t="n"/>
      <c r="B2845" s="35" t="n"/>
      <c r="C2845" s="35" t="n"/>
      <c r="D2845" s="35" t="n"/>
      <c r="E2845" s="35" t="n"/>
      <c r="F2845" s="36" t="n"/>
      <c r="G2845" s="35" t="n"/>
      <c r="H2845" s="30">
        <f>IF(L2845="","",INDEX(SkiftNavn,L2845))</f>
        <v/>
      </c>
      <c r="I2845" s="30">
        <f>IF(OR(A2845="",L2845=""),"",IF(MOD(A2845-INDEX(SkiftStart,L2845),Syklus)&lt;DagK,"Kveld",IF(MOD(A2845-INDEX(SkiftStart,L2845),Syklus)&lt;DagK+DagH,"Helg",IF(MOD(A2845-INDEX(SkiftStart,L2845),Syklus)&lt;DagK+DagH+DagD,"Dag","Fri"))))</f>
        <v/>
      </c>
      <c r="J2845" s="30">
        <f>IF(I2845="Fri","Ja","")</f>
        <v/>
      </c>
      <c r="K2845" s="30">
        <f>IF(B2845="","",IF(L2845="","Ukjent tekniker",IF(ISNA(MATCH(C2845,Aktiviteter,0)),"Ukjent aktivitet",IF(AND(INDEX(AktRolle,MATCH(C2845,Aktiviteter,0))&amp;""&lt;&gt;"",ISERROR(SEARCH(INDEX(AktRolle,MATCH(C2845,Aktiviteter,0))&amp;"",INDEX(TekRoller,MATCH(B2845,Teknikere,0))))),"Mangler rollen "&amp;INDEX(AktRolle,MATCH(C2845,Aktiviteter,0))&amp;"",IF(AND(C2845="LMS",F2845&gt;0,OR(D2845="",E2845="")),"Mangler maskin eller arbeid",IF(AND(OR(C2845="LMS",C2845="Mod"),D2845&lt;&gt;""),IF(IFERROR(INDEX(MaskinStatus,MATCH(D2845,Maskiner,0)),"")="I dokk","","Maskinen er ikke i dokk"),""))))))</f>
        <v/>
      </c>
      <c r="L2845" s="2">
        <f>IF(B2845="","",IFERROR(INT((MATCH(B2845,Teknikere,0)-1)/18)+1,""))</f>
        <v/>
      </c>
      <c r="M2845" s="2">
        <f>IF(OR(A2845="",B2845=""),"",B2845&amp;"|"&amp;A2845)</f>
        <v/>
      </c>
      <c r="N2845" s="2">
        <f>IF(M2845="","",SUMIFS(TF_Timer,TF_Nokkel,M2845,TF_Akt,C2845))</f>
        <v/>
      </c>
      <c r="O2845" s="2">
        <f>IF(M2845="","",IF(AND(N2845=_xlfn.MAXIFS(TF_AktSum,TF_Nokkel,M2845),COUNTIFS(M$3:M2844,M2845,N$3:N2844,N2845)=0),M2845,""))</f>
        <v/>
      </c>
    </row>
    <row r="2846">
      <c r="A2846" s="34" t="n"/>
      <c r="B2846" s="35" t="n"/>
      <c r="C2846" s="35" t="n"/>
      <c r="D2846" s="35" t="n"/>
      <c r="E2846" s="35" t="n"/>
      <c r="F2846" s="36" t="n"/>
      <c r="G2846" s="35" t="n"/>
      <c r="H2846" s="30">
        <f>IF(L2846="","",INDEX(SkiftNavn,L2846))</f>
        <v/>
      </c>
      <c r="I2846" s="30">
        <f>IF(OR(A2846="",L2846=""),"",IF(MOD(A2846-INDEX(SkiftStart,L2846),Syklus)&lt;DagK,"Kveld",IF(MOD(A2846-INDEX(SkiftStart,L2846),Syklus)&lt;DagK+DagH,"Helg",IF(MOD(A2846-INDEX(SkiftStart,L2846),Syklus)&lt;DagK+DagH+DagD,"Dag","Fri"))))</f>
        <v/>
      </c>
      <c r="J2846" s="30">
        <f>IF(I2846="Fri","Ja","")</f>
        <v/>
      </c>
      <c r="K2846" s="30">
        <f>IF(B2846="","",IF(L2846="","Ukjent tekniker",IF(ISNA(MATCH(C2846,Aktiviteter,0)),"Ukjent aktivitet",IF(AND(INDEX(AktRolle,MATCH(C2846,Aktiviteter,0))&amp;""&lt;&gt;"",ISERROR(SEARCH(INDEX(AktRolle,MATCH(C2846,Aktiviteter,0))&amp;"",INDEX(TekRoller,MATCH(B2846,Teknikere,0))))),"Mangler rollen "&amp;INDEX(AktRolle,MATCH(C2846,Aktiviteter,0))&amp;"",IF(AND(C2846="LMS",F2846&gt;0,OR(D2846="",E2846="")),"Mangler maskin eller arbeid",IF(AND(OR(C2846="LMS",C2846="Mod"),D2846&lt;&gt;""),IF(IFERROR(INDEX(MaskinStatus,MATCH(D2846,Maskiner,0)),"")="I dokk","","Maskinen er ikke i dokk"),""))))))</f>
        <v/>
      </c>
      <c r="L2846" s="2">
        <f>IF(B2846="","",IFERROR(INT((MATCH(B2846,Teknikere,0)-1)/18)+1,""))</f>
        <v/>
      </c>
      <c r="M2846" s="2">
        <f>IF(OR(A2846="",B2846=""),"",B2846&amp;"|"&amp;A2846)</f>
        <v/>
      </c>
      <c r="N2846" s="2">
        <f>IF(M2846="","",SUMIFS(TF_Timer,TF_Nokkel,M2846,TF_Akt,C2846))</f>
        <v/>
      </c>
      <c r="O2846" s="2">
        <f>IF(M2846="","",IF(AND(N2846=_xlfn.MAXIFS(TF_AktSum,TF_Nokkel,M2846),COUNTIFS(M$3:M2845,M2846,N$3:N2845,N2846)=0),M2846,""))</f>
        <v/>
      </c>
    </row>
    <row r="2847">
      <c r="A2847" s="34" t="n"/>
      <c r="B2847" s="35" t="n"/>
      <c r="C2847" s="35" t="n"/>
      <c r="D2847" s="35" t="n"/>
      <c r="E2847" s="35" t="n"/>
      <c r="F2847" s="36" t="n"/>
      <c r="G2847" s="35" t="n"/>
      <c r="H2847" s="30">
        <f>IF(L2847="","",INDEX(SkiftNavn,L2847))</f>
        <v/>
      </c>
      <c r="I2847" s="30">
        <f>IF(OR(A2847="",L2847=""),"",IF(MOD(A2847-INDEX(SkiftStart,L2847),Syklus)&lt;DagK,"Kveld",IF(MOD(A2847-INDEX(SkiftStart,L2847),Syklus)&lt;DagK+DagH,"Helg",IF(MOD(A2847-INDEX(SkiftStart,L2847),Syklus)&lt;DagK+DagH+DagD,"Dag","Fri"))))</f>
        <v/>
      </c>
      <c r="J2847" s="30">
        <f>IF(I2847="Fri","Ja","")</f>
        <v/>
      </c>
      <c r="K2847" s="30">
        <f>IF(B2847="","",IF(L2847="","Ukjent tekniker",IF(ISNA(MATCH(C2847,Aktiviteter,0)),"Ukjent aktivitet",IF(AND(INDEX(AktRolle,MATCH(C2847,Aktiviteter,0))&amp;""&lt;&gt;"",ISERROR(SEARCH(INDEX(AktRolle,MATCH(C2847,Aktiviteter,0))&amp;"",INDEX(TekRoller,MATCH(B2847,Teknikere,0))))),"Mangler rollen "&amp;INDEX(AktRolle,MATCH(C2847,Aktiviteter,0))&amp;"",IF(AND(C2847="LMS",F2847&gt;0,OR(D2847="",E2847="")),"Mangler maskin eller arbeid",IF(AND(OR(C2847="LMS",C2847="Mod"),D2847&lt;&gt;""),IF(IFERROR(INDEX(MaskinStatus,MATCH(D2847,Maskiner,0)),"")="I dokk","","Maskinen er ikke i dokk"),""))))))</f>
        <v/>
      </c>
      <c r="L2847" s="2">
        <f>IF(B2847="","",IFERROR(INT((MATCH(B2847,Teknikere,0)-1)/18)+1,""))</f>
        <v/>
      </c>
      <c r="M2847" s="2">
        <f>IF(OR(A2847="",B2847=""),"",B2847&amp;"|"&amp;A2847)</f>
        <v/>
      </c>
      <c r="N2847" s="2">
        <f>IF(M2847="","",SUMIFS(TF_Timer,TF_Nokkel,M2847,TF_Akt,C2847))</f>
        <v/>
      </c>
      <c r="O2847" s="2">
        <f>IF(M2847="","",IF(AND(N2847=_xlfn.MAXIFS(TF_AktSum,TF_Nokkel,M2847),COUNTIFS(M$3:M2846,M2847,N$3:N2846,N2847)=0),M2847,""))</f>
        <v/>
      </c>
    </row>
    <row r="2848">
      <c r="A2848" s="34" t="n"/>
      <c r="B2848" s="35" t="n"/>
      <c r="C2848" s="35" t="n"/>
      <c r="D2848" s="35" t="n"/>
      <c r="E2848" s="35" t="n"/>
      <c r="F2848" s="36" t="n"/>
      <c r="G2848" s="35" t="n"/>
      <c r="H2848" s="30">
        <f>IF(L2848="","",INDEX(SkiftNavn,L2848))</f>
        <v/>
      </c>
      <c r="I2848" s="30">
        <f>IF(OR(A2848="",L2848=""),"",IF(MOD(A2848-INDEX(SkiftStart,L2848),Syklus)&lt;DagK,"Kveld",IF(MOD(A2848-INDEX(SkiftStart,L2848),Syklus)&lt;DagK+DagH,"Helg",IF(MOD(A2848-INDEX(SkiftStart,L2848),Syklus)&lt;DagK+DagH+DagD,"Dag","Fri"))))</f>
        <v/>
      </c>
      <c r="J2848" s="30">
        <f>IF(I2848="Fri","Ja","")</f>
        <v/>
      </c>
      <c r="K2848" s="30">
        <f>IF(B2848="","",IF(L2848="","Ukjent tekniker",IF(ISNA(MATCH(C2848,Aktiviteter,0)),"Ukjent aktivitet",IF(AND(INDEX(AktRolle,MATCH(C2848,Aktiviteter,0))&amp;""&lt;&gt;"",ISERROR(SEARCH(INDEX(AktRolle,MATCH(C2848,Aktiviteter,0))&amp;"",INDEX(TekRoller,MATCH(B2848,Teknikere,0))))),"Mangler rollen "&amp;INDEX(AktRolle,MATCH(C2848,Aktiviteter,0))&amp;"",IF(AND(C2848="LMS",F2848&gt;0,OR(D2848="",E2848="")),"Mangler maskin eller arbeid",IF(AND(OR(C2848="LMS",C2848="Mod"),D2848&lt;&gt;""),IF(IFERROR(INDEX(MaskinStatus,MATCH(D2848,Maskiner,0)),"")="I dokk","","Maskinen er ikke i dokk"),""))))))</f>
        <v/>
      </c>
      <c r="L2848" s="2">
        <f>IF(B2848="","",IFERROR(INT((MATCH(B2848,Teknikere,0)-1)/18)+1,""))</f>
        <v/>
      </c>
      <c r="M2848" s="2">
        <f>IF(OR(A2848="",B2848=""),"",B2848&amp;"|"&amp;A2848)</f>
        <v/>
      </c>
      <c r="N2848" s="2">
        <f>IF(M2848="","",SUMIFS(TF_Timer,TF_Nokkel,M2848,TF_Akt,C2848))</f>
        <v/>
      </c>
      <c r="O2848" s="2">
        <f>IF(M2848="","",IF(AND(N2848=_xlfn.MAXIFS(TF_AktSum,TF_Nokkel,M2848),COUNTIFS(M$3:M2847,M2848,N$3:N2847,N2848)=0),M2848,""))</f>
        <v/>
      </c>
    </row>
    <row r="2849">
      <c r="A2849" s="34" t="n"/>
      <c r="B2849" s="35" t="n"/>
      <c r="C2849" s="35" t="n"/>
      <c r="D2849" s="35" t="n"/>
      <c r="E2849" s="35" t="n"/>
      <c r="F2849" s="36" t="n"/>
      <c r="G2849" s="35" t="n"/>
      <c r="H2849" s="30">
        <f>IF(L2849="","",INDEX(SkiftNavn,L2849))</f>
        <v/>
      </c>
      <c r="I2849" s="30">
        <f>IF(OR(A2849="",L2849=""),"",IF(MOD(A2849-INDEX(SkiftStart,L2849),Syklus)&lt;DagK,"Kveld",IF(MOD(A2849-INDEX(SkiftStart,L2849),Syklus)&lt;DagK+DagH,"Helg",IF(MOD(A2849-INDEX(SkiftStart,L2849),Syklus)&lt;DagK+DagH+DagD,"Dag","Fri"))))</f>
        <v/>
      </c>
      <c r="J2849" s="30">
        <f>IF(I2849="Fri","Ja","")</f>
        <v/>
      </c>
      <c r="K2849" s="30">
        <f>IF(B2849="","",IF(L2849="","Ukjent tekniker",IF(ISNA(MATCH(C2849,Aktiviteter,0)),"Ukjent aktivitet",IF(AND(INDEX(AktRolle,MATCH(C2849,Aktiviteter,0))&amp;""&lt;&gt;"",ISERROR(SEARCH(INDEX(AktRolle,MATCH(C2849,Aktiviteter,0))&amp;"",INDEX(TekRoller,MATCH(B2849,Teknikere,0))))),"Mangler rollen "&amp;INDEX(AktRolle,MATCH(C2849,Aktiviteter,0))&amp;"",IF(AND(C2849="LMS",F2849&gt;0,OR(D2849="",E2849="")),"Mangler maskin eller arbeid",IF(AND(OR(C2849="LMS",C2849="Mod"),D2849&lt;&gt;""),IF(IFERROR(INDEX(MaskinStatus,MATCH(D2849,Maskiner,0)),"")="I dokk","","Maskinen er ikke i dokk"),""))))))</f>
        <v/>
      </c>
      <c r="L2849" s="2">
        <f>IF(B2849="","",IFERROR(INT((MATCH(B2849,Teknikere,0)-1)/18)+1,""))</f>
        <v/>
      </c>
      <c r="M2849" s="2">
        <f>IF(OR(A2849="",B2849=""),"",B2849&amp;"|"&amp;A2849)</f>
        <v/>
      </c>
      <c r="N2849" s="2">
        <f>IF(M2849="","",SUMIFS(TF_Timer,TF_Nokkel,M2849,TF_Akt,C2849))</f>
        <v/>
      </c>
      <c r="O2849" s="2">
        <f>IF(M2849="","",IF(AND(N2849=_xlfn.MAXIFS(TF_AktSum,TF_Nokkel,M2849),COUNTIFS(M$3:M2848,M2849,N$3:N2848,N2849)=0),M2849,""))</f>
        <v/>
      </c>
    </row>
    <row r="2850">
      <c r="A2850" s="34" t="n"/>
      <c r="B2850" s="35" t="n"/>
      <c r="C2850" s="35" t="n"/>
      <c r="D2850" s="35" t="n"/>
      <c r="E2850" s="35" t="n"/>
      <c r="F2850" s="36" t="n"/>
      <c r="G2850" s="35" t="n"/>
      <c r="H2850" s="30">
        <f>IF(L2850="","",INDEX(SkiftNavn,L2850))</f>
        <v/>
      </c>
      <c r="I2850" s="30">
        <f>IF(OR(A2850="",L2850=""),"",IF(MOD(A2850-INDEX(SkiftStart,L2850),Syklus)&lt;DagK,"Kveld",IF(MOD(A2850-INDEX(SkiftStart,L2850),Syklus)&lt;DagK+DagH,"Helg",IF(MOD(A2850-INDEX(SkiftStart,L2850),Syklus)&lt;DagK+DagH+DagD,"Dag","Fri"))))</f>
        <v/>
      </c>
      <c r="J2850" s="30">
        <f>IF(I2850="Fri","Ja","")</f>
        <v/>
      </c>
      <c r="K2850" s="30">
        <f>IF(B2850="","",IF(L2850="","Ukjent tekniker",IF(ISNA(MATCH(C2850,Aktiviteter,0)),"Ukjent aktivitet",IF(AND(INDEX(AktRolle,MATCH(C2850,Aktiviteter,0))&amp;""&lt;&gt;"",ISERROR(SEARCH(INDEX(AktRolle,MATCH(C2850,Aktiviteter,0))&amp;"",INDEX(TekRoller,MATCH(B2850,Teknikere,0))))),"Mangler rollen "&amp;INDEX(AktRolle,MATCH(C2850,Aktiviteter,0))&amp;"",IF(AND(C2850="LMS",F2850&gt;0,OR(D2850="",E2850="")),"Mangler maskin eller arbeid",IF(AND(OR(C2850="LMS",C2850="Mod"),D2850&lt;&gt;""),IF(IFERROR(INDEX(MaskinStatus,MATCH(D2850,Maskiner,0)),"")="I dokk","","Maskinen er ikke i dokk"),""))))))</f>
        <v/>
      </c>
      <c r="L2850" s="2">
        <f>IF(B2850="","",IFERROR(INT((MATCH(B2850,Teknikere,0)-1)/18)+1,""))</f>
        <v/>
      </c>
      <c r="M2850" s="2">
        <f>IF(OR(A2850="",B2850=""),"",B2850&amp;"|"&amp;A2850)</f>
        <v/>
      </c>
      <c r="N2850" s="2">
        <f>IF(M2850="","",SUMIFS(TF_Timer,TF_Nokkel,M2850,TF_Akt,C2850))</f>
        <v/>
      </c>
      <c r="O2850" s="2">
        <f>IF(M2850="","",IF(AND(N2850=_xlfn.MAXIFS(TF_AktSum,TF_Nokkel,M2850),COUNTIFS(M$3:M2849,M2850,N$3:N2849,N2850)=0),M2850,""))</f>
        <v/>
      </c>
    </row>
    <row r="2851">
      <c r="A2851" s="34" t="n"/>
      <c r="B2851" s="35" t="n"/>
      <c r="C2851" s="35" t="n"/>
      <c r="D2851" s="35" t="n"/>
      <c r="E2851" s="35" t="n"/>
      <c r="F2851" s="36" t="n"/>
      <c r="G2851" s="35" t="n"/>
      <c r="H2851" s="30">
        <f>IF(L2851="","",INDEX(SkiftNavn,L2851))</f>
        <v/>
      </c>
      <c r="I2851" s="30">
        <f>IF(OR(A2851="",L2851=""),"",IF(MOD(A2851-INDEX(SkiftStart,L2851),Syklus)&lt;DagK,"Kveld",IF(MOD(A2851-INDEX(SkiftStart,L2851),Syklus)&lt;DagK+DagH,"Helg",IF(MOD(A2851-INDEX(SkiftStart,L2851),Syklus)&lt;DagK+DagH+DagD,"Dag","Fri"))))</f>
        <v/>
      </c>
      <c r="J2851" s="30">
        <f>IF(I2851="Fri","Ja","")</f>
        <v/>
      </c>
      <c r="K2851" s="30">
        <f>IF(B2851="","",IF(L2851="","Ukjent tekniker",IF(ISNA(MATCH(C2851,Aktiviteter,0)),"Ukjent aktivitet",IF(AND(INDEX(AktRolle,MATCH(C2851,Aktiviteter,0))&amp;""&lt;&gt;"",ISERROR(SEARCH(INDEX(AktRolle,MATCH(C2851,Aktiviteter,0))&amp;"",INDEX(TekRoller,MATCH(B2851,Teknikere,0))))),"Mangler rollen "&amp;INDEX(AktRolle,MATCH(C2851,Aktiviteter,0))&amp;"",IF(AND(C2851="LMS",F2851&gt;0,OR(D2851="",E2851="")),"Mangler maskin eller arbeid",IF(AND(OR(C2851="LMS",C2851="Mod"),D2851&lt;&gt;""),IF(IFERROR(INDEX(MaskinStatus,MATCH(D2851,Maskiner,0)),"")="I dokk","","Maskinen er ikke i dokk"),""))))))</f>
        <v/>
      </c>
      <c r="L2851" s="2">
        <f>IF(B2851="","",IFERROR(INT((MATCH(B2851,Teknikere,0)-1)/18)+1,""))</f>
        <v/>
      </c>
      <c r="M2851" s="2">
        <f>IF(OR(A2851="",B2851=""),"",B2851&amp;"|"&amp;A2851)</f>
        <v/>
      </c>
      <c r="N2851" s="2">
        <f>IF(M2851="","",SUMIFS(TF_Timer,TF_Nokkel,M2851,TF_Akt,C2851))</f>
        <v/>
      </c>
      <c r="O2851" s="2">
        <f>IF(M2851="","",IF(AND(N2851=_xlfn.MAXIFS(TF_AktSum,TF_Nokkel,M2851),COUNTIFS(M$3:M2850,M2851,N$3:N2850,N2851)=0),M2851,""))</f>
        <v/>
      </c>
    </row>
    <row r="2852">
      <c r="A2852" s="34" t="n"/>
      <c r="B2852" s="35" t="n"/>
      <c r="C2852" s="35" t="n"/>
      <c r="D2852" s="35" t="n"/>
      <c r="E2852" s="35" t="n"/>
      <c r="F2852" s="36" t="n"/>
      <c r="G2852" s="35" t="n"/>
      <c r="H2852" s="30">
        <f>IF(L2852="","",INDEX(SkiftNavn,L2852))</f>
        <v/>
      </c>
      <c r="I2852" s="30">
        <f>IF(OR(A2852="",L2852=""),"",IF(MOD(A2852-INDEX(SkiftStart,L2852),Syklus)&lt;DagK,"Kveld",IF(MOD(A2852-INDEX(SkiftStart,L2852),Syklus)&lt;DagK+DagH,"Helg",IF(MOD(A2852-INDEX(SkiftStart,L2852),Syklus)&lt;DagK+DagH+DagD,"Dag","Fri"))))</f>
        <v/>
      </c>
      <c r="J2852" s="30">
        <f>IF(I2852="Fri","Ja","")</f>
        <v/>
      </c>
      <c r="K2852" s="30">
        <f>IF(B2852="","",IF(L2852="","Ukjent tekniker",IF(ISNA(MATCH(C2852,Aktiviteter,0)),"Ukjent aktivitet",IF(AND(INDEX(AktRolle,MATCH(C2852,Aktiviteter,0))&amp;""&lt;&gt;"",ISERROR(SEARCH(INDEX(AktRolle,MATCH(C2852,Aktiviteter,0))&amp;"",INDEX(TekRoller,MATCH(B2852,Teknikere,0))))),"Mangler rollen "&amp;INDEX(AktRolle,MATCH(C2852,Aktiviteter,0))&amp;"",IF(AND(C2852="LMS",F2852&gt;0,OR(D2852="",E2852="")),"Mangler maskin eller arbeid",IF(AND(OR(C2852="LMS",C2852="Mod"),D2852&lt;&gt;""),IF(IFERROR(INDEX(MaskinStatus,MATCH(D2852,Maskiner,0)),"")="I dokk","","Maskinen er ikke i dokk"),""))))))</f>
        <v/>
      </c>
      <c r="L2852" s="2">
        <f>IF(B2852="","",IFERROR(INT((MATCH(B2852,Teknikere,0)-1)/18)+1,""))</f>
        <v/>
      </c>
      <c r="M2852" s="2">
        <f>IF(OR(A2852="",B2852=""),"",B2852&amp;"|"&amp;A2852)</f>
        <v/>
      </c>
      <c r="N2852" s="2">
        <f>IF(M2852="","",SUMIFS(TF_Timer,TF_Nokkel,M2852,TF_Akt,C2852))</f>
        <v/>
      </c>
      <c r="O2852" s="2">
        <f>IF(M2852="","",IF(AND(N2852=_xlfn.MAXIFS(TF_AktSum,TF_Nokkel,M2852),COUNTIFS(M$3:M2851,M2852,N$3:N2851,N2852)=0),M2852,""))</f>
        <v/>
      </c>
    </row>
    <row r="2853">
      <c r="A2853" s="34" t="n"/>
      <c r="B2853" s="35" t="n"/>
      <c r="C2853" s="35" t="n"/>
      <c r="D2853" s="35" t="n"/>
      <c r="E2853" s="35" t="n"/>
      <c r="F2853" s="36" t="n"/>
      <c r="G2853" s="35" t="n"/>
      <c r="H2853" s="30">
        <f>IF(L2853="","",INDEX(SkiftNavn,L2853))</f>
        <v/>
      </c>
      <c r="I2853" s="30">
        <f>IF(OR(A2853="",L2853=""),"",IF(MOD(A2853-INDEX(SkiftStart,L2853),Syklus)&lt;DagK,"Kveld",IF(MOD(A2853-INDEX(SkiftStart,L2853),Syklus)&lt;DagK+DagH,"Helg",IF(MOD(A2853-INDEX(SkiftStart,L2853),Syklus)&lt;DagK+DagH+DagD,"Dag","Fri"))))</f>
        <v/>
      </c>
      <c r="J2853" s="30">
        <f>IF(I2853="Fri","Ja","")</f>
        <v/>
      </c>
      <c r="K2853" s="30">
        <f>IF(B2853="","",IF(L2853="","Ukjent tekniker",IF(ISNA(MATCH(C2853,Aktiviteter,0)),"Ukjent aktivitet",IF(AND(INDEX(AktRolle,MATCH(C2853,Aktiviteter,0))&amp;""&lt;&gt;"",ISERROR(SEARCH(INDEX(AktRolle,MATCH(C2853,Aktiviteter,0))&amp;"",INDEX(TekRoller,MATCH(B2853,Teknikere,0))))),"Mangler rollen "&amp;INDEX(AktRolle,MATCH(C2853,Aktiviteter,0))&amp;"",IF(AND(C2853="LMS",F2853&gt;0,OR(D2853="",E2853="")),"Mangler maskin eller arbeid",IF(AND(OR(C2853="LMS",C2853="Mod"),D2853&lt;&gt;""),IF(IFERROR(INDEX(MaskinStatus,MATCH(D2853,Maskiner,0)),"")="I dokk","","Maskinen er ikke i dokk"),""))))))</f>
        <v/>
      </c>
      <c r="L2853" s="2">
        <f>IF(B2853="","",IFERROR(INT((MATCH(B2853,Teknikere,0)-1)/18)+1,""))</f>
        <v/>
      </c>
      <c r="M2853" s="2">
        <f>IF(OR(A2853="",B2853=""),"",B2853&amp;"|"&amp;A2853)</f>
        <v/>
      </c>
      <c r="N2853" s="2">
        <f>IF(M2853="","",SUMIFS(TF_Timer,TF_Nokkel,M2853,TF_Akt,C2853))</f>
        <v/>
      </c>
      <c r="O2853" s="2">
        <f>IF(M2853="","",IF(AND(N2853=_xlfn.MAXIFS(TF_AktSum,TF_Nokkel,M2853),COUNTIFS(M$3:M2852,M2853,N$3:N2852,N2853)=0),M2853,""))</f>
        <v/>
      </c>
    </row>
    <row r="2854">
      <c r="A2854" s="34" t="n"/>
      <c r="B2854" s="35" t="n"/>
      <c r="C2854" s="35" t="n"/>
      <c r="D2854" s="35" t="n"/>
      <c r="E2854" s="35" t="n"/>
      <c r="F2854" s="36" t="n"/>
      <c r="G2854" s="35" t="n"/>
      <c r="H2854" s="30">
        <f>IF(L2854="","",INDEX(SkiftNavn,L2854))</f>
        <v/>
      </c>
      <c r="I2854" s="30">
        <f>IF(OR(A2854="",L2854=""),"",IF(MOD(A2854-INDEX(SkiftStart,L2854),Syklus)&lt;DagK,"Kveld",IF(MOD(A2854-INDEX(SkiftStart,L2854),Syklus)&lt;DagK+DagH,"Helg",IF(MOD(A2854-INDEX(SkiftStart,L2854),Syklus)&lt;DagK+DagH+DagD,"Dag","Fri"))))</f>
        <v/>
      </c>
      <c r="J2854" s="30">
        <f>IF(I2854="Fri","Ja","")</f>
        <v/>
      </c>
      <c r="K2854" s="30">
        <f>IF(B2854="","",IF(L2854="","Ukjent tekniker",IF(ISNA(MATCH(C2854,Aktiviteter,0)),"Ukjent aktivitet",IF(AND(INDEX(AktRolle,MATCH(C2854,Aktiviteter,0))&amp;""&lt;&gt;"",ISERROR(SEARCH(INDEX(AktRolle,MATCH(C2854,Aktiviteter,0))&amp;"",INDEX(TekRoller,MATCH(B2854,Teknikere,0))))),"Mangler rollen "&amp;INDEX(AktRolle,MATCH(C2854,Aktiviteter,0))&amp;"",IF(AND(C2854="LMS",F2854&gt;0,OR(D2854="",E2854="")),"Mangler maskin eller arbeid",IF(AND(OR(C2854="LMS",C2854="Mod"),D2854&lt;&gt;""),IF(IFERROR(INDEX(MaskinStatus,MATCH(D2854,Maskiner,0)),"")="I dokk","","Maskinen er ikke i dokk"),""))))))</f>
        <v/>
      </c>
      <c r="L2854" s="2">
        <f>IF(B2854="","",IFERROR(INT((MATCH(B2854,Teknikere,0)-1)/18)+1,""))</f>
        <v/>
      </c>
      <c r="M2854" s="2">
        <f>IF(OR(A2854="",B2854=""),"",B2854&amp;"|"&amp;A2854)</f>
        <v/>
      </c>
      <c r="N2854" s="2">
        <f>IF(M2854="","",SUMIFS(TF_Timer,TF_Nokkel,M2854,TF_Akt,C2854))</f>
        <v/>
      </c>
      <c r="O2854" s="2">
        <f>IF(M2854="","",IF(AND(N2854=_xlfn.MAXIFS(TF_AktSum,TF_Nokkel,M2854),COUNTIFS(M$3:M2853,M2854,N$3:N2853,N2854)=0),M2854,""))</f>
        <v/>
      </c>
    </row>
    <row r="2855">
      <c r="A2855" s="34" t="n"/>
      <c r="B2855" s="35" t="n"/>
      <c r="C2855" s="35" t="n"/>
      <c r="D2855" s="35" t="n"/>
      <c r="E2855" s="35" t="n"/>
      <c r="F2855" s="36" t="n"/>
      <c r="G2855" s="35" t="n"/>
      <c r="H2855" s="30">
        <f>IF(L2855="","",INDEX(SkiftNavn,L2855))</f>
        <v/>
      </c>
      <c r="I2855" s="30">
        <f>IF(OR(A2855="",L2855=""),"",IF(MOD(A2855-INDEX(SkiftStart,L2855),Syklus)&lt;DagK,"Kveld",IF(MOD(A2855-INDEX(SkiftStart,L2855),Syklus)&lt;DagK+DagH,"Helg",IF(MOD(A2855-INDEX(SkiftStart,L2855),Syklus)&lt;DagK+DagH+DagD,"Dag","Fri"))))</f>
        <v/>
      </c>
      <c r="J2855" s="30">
        <f>IF(I2855="Fri","Ja","")</f>
        <v/>
      </c>
      <c r="K2855" s="30">
        <f>IF(B2855="","",IF(L2855="","Ukjent tekniker",IF(ISNA(MATCH(C2855,Aktiviteter,0)),"Ukjent aktivitet",IF(AND(INDEX(AktRolle,MATCH(C2855,Aktiviteter,0))&amp;""&lt;&gt;"",ISERROR(SEARCH(INDEX(AktRolle,MATCH(C2855,Aktiviteter,0))&amp;"",INDEX(TekRoller,MATCH(B2855,Teknikere,0))))),"Mangler rollen "&amp;INDEX(AktRolle,MATCH(C2855,Aktiviteter,0))&amp;"",IF(AND(C2855="LMS",F2855&gt;0,OR(D2855="",E2855="")),"Mangler maskin eller arbeid",IF(AND(OR(C2855="LMS",C2855="Mod"),D2855&lt;&gt;""),IF(IFERROR(INDEX(MaskinStatus,MATCH(D2855,Maskiner,0)),"")="I dokk","","Maskinen er ikke i dokk"),""))))))</f>
        <v/>
      </c>
      <c r="L2855" s="2">
        <f>IF(B2855="","",IFERROR(INT((MATCH(B2855,Teknikere,0)-1)/18)+1,""))</f>
        <v/>
      </c>
      <c r="M2855" s="2">
        <f>IF(OR(A2855="",B2855=""),"",B2855&amp;"|"&amp;A2855)</f>
        <v/>
      </c>
      <c r="N2855" s="2">
        <f>IF(M2855="","",SUMIFS(TF_Timer,TF_Nokkel,M2855,TF_Akt,C2855))</f>
        <v/>
      </c>
      <c r="O2855" s="2">
        <f>IF(M2855="","",IF(AND(N2855=_xlfn.MAXIFS(TF_AktSum,TF_Nokkel,M2855),COUNTIFS(M$3:M2854,M2855,N$3:N2854,N2855)=0),M2855,""))</f>
        <v/>
      </c>
    </row>
    <row r="2856">
      <c r="A2856" s="34" t="n"/>
      <c r="B2856" s="35" t="n"/>
      <c r="C2856" s="35" t="n"/>
      <c r="D2856" s="35" t="n"/>
      <c r="E2856" s="35" t="n"/>
      <c r="F2856" s="36" t="n"/>
      <c r="G2856" s="35" t="n"/>
      <c r="H2856" s="30">
        <f>IF(L2856="","",INDEX(SkiftNavn,L2856))</f>
        <v/>
      </c>
      <c r="I2856" s="30">
        <f>IF(OR(A2856="",L2856=""),"",IF(MOD(A2856-INDEX(SkiftStart,L2856),Syklus)&lt;DagK,"Kveld",IF(MOD(A2856-INDEX(SkiftStart,L2856),Syklus)&lt;DagK+DagH,"Helg",IF(MOD(A2856-INDEX(SkiftStart,L2856),Syklus)&lt;DagK+DagH+DagD,"Dag","Fri"))))</f>
        <v/>
      </c>
      <c r="J2856" s="30">
        <f>IF(I2856="Fri","Ja","")</f>
        <v/>
      </c>
      <c r="K2856" s="30">
        <f>IF(B2856="","",IF(L2856="","Ukjent tekniker",IF(ISNA(MATCH(C2856,Aktiviteter,0)),"Ukjent aktivitet",IF(AND(INDEX(AktRolle,MATCH(C2856,Aktiviteter,0))&amp;""&lt;&gt;"",ISERROR(SEARCH(INDEX(AktRolle,MATCH(C2856,Aktiviteter,0))&amp;"",INDEX(TekRoller,MATCH(B2856,Teknikere,0))))),"Mangler rollen "&amp;INDEX(AktRolle,MATCH(C2856,Aktiviteter,0))&amp;"",IF(AND(C2856="LMS",F2856&gt;0,OR(D2856="",E2856="")),"Mangler maskin eller arbeid",IF(AND(OR(C2856="LMS",C2856="Mod"),D2856&lt;&gt;""),IF(IFERROR(INDEX(MaskinStatus,MATCH(D2856,Maskiner,0)),"")="I dokk","","Maskinen er ikke i dokk"),""))))))</f>
        <v/>
      </c>
      <c r="L2856" s="2">
        <f>IF(B2856="","",IFERROR(INT((MATCH(B2856,Teknikere,0)-1)/18)+1,""))</f>
        <v/>
      </c>
      <c r="M2856" s="2">
        <f>IF(OR(A2856="",B2856=""),"",B2856&amp;"|"&amp;A2856)</f>
        <v/>
      </c>
      <c r="N2856" s="2">
        <f>IF(M2856="","",SUMIFS(TF_Timer,TF_Nokkel,M2856,TF_Akt,C2856))</f>
        <v/>
      </c>
      <c r="O2856" s="2">
        <f>IF(M2856="","",IF(AND(N2856=_xlfn.MAXIFS(TF_AktSum,TF_Nokkel,M2856),COUNTIFS(M$3:M2855,M2856,N$3:N2855,N2856)=0),M2856,""))</f>
        <v/>
      </c>
    </row>
    <row r="2857">
      <c r="A2857" s="34" t="n"/>
      <c r="B2857" s="35" t="n"/>
      <c r="C2857" s="35" t="n"/>
      <c r="D2857" s="35" t="n"/>
      <c r="E2857" s="35" t="n"/>
      <c r="F2857" s="36" t="n"/>
      <c r="G2857" s="35" t="n"/>
      <c r="H2857" s="30">
        <f>IF(L2857="","",INDEX(SkiftNavn,L2857))</f>
        <v/>
      </c>
      <c r="I2857" s="30">
        <f>IF(OR(A2857="",L2857=""),"",IF(MOD(A2857-INDEX(SkiftStart,L2857),Syklus)&lt;DagK,"Kveld",IF(MOD(A2857-INDEX(SkiftStart,L2857),Syklus)&lt;DagK+DagH,"Helg",IF(MOD(A2857-INDEX(SkiftStart,L2857),Syklus)&lt;DagK+DagH+DagD,"Dag","Fri"))))</f>
        <v/>
      </c>
      <c r="J2857" s="30">
        <f>IF(I2857="Fri","Ja","")</f>
        <v/>
      </c>
      <c r="K2857" s="30">
        <f>IF(B2857="","",IF(L2857="","Ukjent tekniker",IF(ISNA(MATCH(C2857,Aktiviteter,0)),"Ukjent aktivitet",IF(AND(INDEX(AktRolle,MATCH(C2857,Aktiviteter,0))&amp;""&lt;&gt;"",ISERROR(SEARCH(INDEX(AktRolle,MATCH(C2857,Aktiviteter,0))&amp;"",INDEX(TekRoller,MATCH(B2857,Teknikere,0))))),"Mangler rollen "&amp;INDEX(AktRolle,MATCH(C2857,Aktiviteter,0))&amp;"",IF(AND(C2857="LMS",F2857&gt;0,OR(D2857="",E2857="")),"Mangler maskin eller arbeid",IF(AND(OR(C2857="LMS",C2857="Mod"),D2857&lt;&gt;""),IF(IFERROR(INDEX(MaskinStatus,MATCH(D2857,Maskiner,0)),"")="I dokk","","Maskinen er ikke i dokk"),""))))))</f>
        <v/>
      </c>
      <c r="L2857" s="2">
        <f>IF(B2857="","",IFERROR(INT((MATCH(B2857,Teknikere,0)-1)/18)+1,""))</f>
        <v/>
      </c>
      <c r="M2857" s="2">
        <f>IF(OR(A2857="",B2857=""),"",B2857&amp;"|"&amp;A2857)</f>
        <v/>
      </c>
      <c r="N2857" s="2">
        <f>IF(M2857="","",SUMIFS(TF_Timer,TF_Nokkel,M2857,TF_Akt,C2857))</f>
        <v/>
      </c>
      <c r="O2857" s="2">
        <f>IF(M2857="","",IF(AND(N2857=_xlfn.MAXIFS(TF_AktSum,TF_Nokkel,M2857),COUNTIFS(M$3:M2856,M2857,N$3:N2856,N2857)=0),M2857,""))</f>
        <v/>
      </c>
    </row>
    <row r="2858">
      <c r="A2858" s="34" t="n"/>
      <c r="B2858" s="35" t="n"/>
      <c r="C2858" s="35" t="n"/>
      <c r="D2858" s="35" t="n"/>
      <c r="E2858" s="35" t="n"/>
      <c r="F2858" s="36" t="n"/>
      <c r="G2858" s="35" t="n"/>
      <c r="H2858" s="30">
        <f>IF(L2858="","",INDEX(SkiftNavn,L2858))</f>
        <v/>
      </c>
      <c r="I2858" s="30">
        <f>IF(OR(A2858="",L2858=""),"",IF(MOD(A2858-INDEX(SkiftStart,L2858),Syklus)&lt;DagK,"Kveld",IF(MOD(A2858-INDEX(SkiftStart,L2858),Syklus)&lt;DagK+DagH,"Helg",IF(MOD(A2858-INDEX(SkiftStart,L2858),Syklus)&lt;DagK+DagH+DagD,"Dag","Fri"))))</f>
        <v/>
      </c>
      <c r="J2858" s="30">
        <f>IF(I2858="Fri","Ja","")</f>
        <v/>
      </c>
      <c r="K2858" s="30">
        <f>IF(B2858="","",IF(L2858="","Ukjent tekniker",IF(ISNA(MATCH(C2858,Aktiviteter,0)),"Ukjent aktivitet",IF(AND(INDEX(AktRolle,MATCH(C2858,Aktiviteter,0))&amp;""&lt;&gt;"",ISERROR(SEARCH(INDEX(AktRolle,MATCH(C2858,Aktiviteter,0))&amp;"",INDEX(TekRoller,MATCH(B2858,Teknikere,0))))),"Mangler rollen "&amp;INDEX(AktRolle,MATCH(C2858,Aktiviteter,0))&amp;"",IF(AND(C2858="LMS",F2858&gt;0,OR(D2858="",E2858="")),"Mangler maskin eller arbeid",IF(AND(OR(C2858="LMS",C2858="Mod"),D2858&lt;&gt;""),IF(IFERROR(INDEX(MaskinStatus,MATCH(D2858,Maskiner,0)),"")="I dokk","","Maskinen er ikke i dokk"),""))))))</f>
        <v/>
      </c>
      <c r="L2858" s="2">
        <f>IF(B2858="","",IFERROR(INT((MATCH(B2858,Teknikere,0)-1)/18)+1,""))</f>
        <v/>
      </c>
      <c r="M2858" s="2">
        <f>IF(OR(A2858="",B2858=""),"",B2858&amp;"|"&amp;A2858)</f>
        <v/>
      </c>
      <c r="N2858" s="2">
        <f>IF(M2858="","",SUMIFS(TF_Timer,TF_Nokkel,M2858,TF_Akt,C2858))</f>
        <v/>
      </c>
      <c r="O2858" s="2">
        <f>IF(M2858="","",IF(AND(N2858=_xlfn.MAXIFS(TF_AktSum,TF_Nokkel,M2858),COUNTIFS(M$3:M2857,M2858,N$3:N2857,N2858)=0),M2858,""))</f>
        <v/>
      </c>
    </row>
    <row r="2859">
      <c r="A2859" s="34" t="n"/>
      <c r="B2859" s="35" t="n"/>
      <c r="C2859" s="35" t="n"/>
      <c r="D2859" s="35" t="n"/>
      <c r="E2859" s="35" t="n"/>
      <c r="F2859" s="36" t="n"/>
      <c r="G2859" s="35" t="n"/>
      <c r="H2859" s="30">
        <f>IF(L2859="","",INDEX(SkiftNavn,L2859))</f>
        <v/>
      </c>
      <c r="I2859" s="30">
        <f>IF(OR(A2859="",L2859=""),"",IF(MOD(A2859-INDEX(SkiftStart,L2859),Syklus)&lt;DagK,"Kveld",IF(MOD(A2859-INDEX(SkiftStart,L2859),Syklus)&lt;DagK+DagH,"Helg",IF(MOD(A2859-INDEX(SkiftStart,L2859),Syklus)&lt;DagK+DagH+DagD,"Dag","Fri"))))</f>
        <v/>
      </c>
      <c r="J2859" s="30">
        <f>IF(I2859="Fri","Ja","")</f>
        <v/>
      </c>
      <c r="K2859" s="30">
        <f>IF(B2859="","",IF(L2859="","Ukjent tekniker",IF(ISNA(MATCH(C2859,Aktiviteter,0)),"Ukjent aktivitet",IF(AND(INDEX(AktRolle,MATCH(C2859,Aktiviteter,0))&amp;""&lt;&gt;"",ISERROR(SEARCH(INDEX(AktRolle,MATCH(C2859,Aktiviteter,0))&amp;"",INDEX(TekRoller,MATCH(B2859,Teknikere,0))))),"Mangler rollen "&amp;INDEX(AktRolle,MATCH(C2859,Aktiviteter,0))&amp;"",IF(AND(C2859="LMS",F2859&gt;0,OR(D2859="",E2859="")),"Mangler maskin eller arbeid",IF(AND(OR(C2859="LMS",C2859="Mod"),D2859&lt;&gt;""),IF(IFERROR(INDEX(MaskinStatus,MATCH(D2859,Maskiner,0)),"")="I dokk","","Maskinen er ikke i dokk"),""))))))</f>
        <v/>
      </c>
      <c r="L2859" s="2">
        <f>IF(B2859="","",IFERROR(INT((MATCH(B2859,Teknikere,0)-1)/18)+1,""))</f>
        <v/>
      </c>
      <c r="M2859" s="2">
        <f>IF(OR(A2859="",B2859=""),"",B2859&amp;"|"&amp;A2859)</f>
        <v/>
      </c>
      <c r="N2859" s="2">
        <f>IF(M2859="","",SUMIFS(TF_Timer,TF_Nokkel,M2859,TF_Akt,C2859))</f>
        <v/>
      </c>
      <c r="O2859" s="2">
        <f>IF(M2859="","",IF(AND(N2859=_xlfn.MAXIFS(TF_AktSum,TF_Nokkel,M2859),COUNTIFS(M$3:M2858,M2859,N$3:N2858,N2859)=0),M2859,""))</f>
        <v/>
      </c>
    </row>
    <row r="2860">
      <c r="A2860" s="34" t="n"/>
      <c r="B2860" s="35" t="n"/>
      <c r="C2860" s="35" t="n"/>
      <c r="D2860" s="35" t="n"/>
      <c r="E2860" s="35" t="n"/>
      <c r="F2860" s="36" t="n"/>
      <c r="G2860" s="35" t="n"/>
      <c r="H2860" s="30">
        <f>IF(L2860="","",INDEX(SkiftNavn,L2860))</f>
        <v/>
      </c>
      <c r="I2860" s="30">
        <f>IF(OR(A2860="",L2860=""),"",IF(MOD(A2860-INDEX(SkiftStart,L2860),Syklus)&lt;DagK,"Kveld",IF(MOD(A2860-INDEX(SkiftStart,L2860),Syklus)&lt;DagK+DagH,"Helg",IF(MOD(A2860-INDEX(SkiftStart,L2860),Syklus)&lt;DagK+DagH+DagD,"Dag","Fri"))))</f>
        <v/>
      </c>
      <c r="J2860" s="30">
        <f>IF(I2860="Fri","Ja","")</f>
        <v/>
      </c>
      <c r="K2860" s="30">
        <f>IF(B2860="","",IF(L2860="","Ukjent tekniker",IF(ISNA(MATCH(C2860,Aktiviteter,0)),"Ukjent aktivitet",IF(AND(INDEX(AktRolle,MATCH(C2860,Aktiviteter,0))&amp;""&lt;&gt;"",ISERROR(SEARCH(INDEX(AktRolle,MATCH(C2860,Aktiviteter,0))&amp;"",INDEX(TekRoller,MATCH(B2860,Teknikere,0))))),"Mangler rollen "&amp;INDEX(AktRolle,MATCH(C2860,Aktiviteter,0))&amp;"",IF(AND(C2860="LMS",F2860&gt;0,OR(D2860="",E2860="")),"Mangler maskin eller arbeid",IF(AND(OR(C2860="LMS",C2860="Mod"),D2860&lt;&gt;""),IF(IFERROR(INDEX(MaskinStatus,MATCH(D2860,Maskiner,0)),"")="I dokk","","Maskinen er ikke i dokk"),""))))))</f>
        <v/>
      </c>
      <c r="L2860" s="2">
        <f>IF(B2860="","",IFERROR(INT((MATCH(B2860,Teknikere,0)-1)/18)+1,""))</f>
        <v/>
      </c>
      <c r="M2860" s="2">
        <f>IF(OR(A2860="",B2860=""),"",B2860&amp;"|"&amp;A2860)</f>
        <v/>
      </c>
      <c r="N2860" s="2">
        <f>IF(M2860="","",SUMIFS(TF_Timer,TF_Nokkel,M2860,TF_Akt,C2860))</f>
        <v/>
      </c>
      <c r="O2860" s="2">
        <f>IF(M2860="","",IF(AND(N2860=_xlfn.MAXIFS(TF_AktSum,TF_Nokkel,M2860),COUNTIFS(M$3:M2859,M2860,N$3:N2859,N2860)=0),M2860,""))</f>
        <v/>
      </c>
    </row>
    <row r="2861">
      <c r="A2861" s="34" t="n"/>
      <c r="B2861" s="35" t="n"/>
      <c r="C2861" s="35" t="n"/>
      <c r="D2861" s="35" t="n"/>
      <c r="E2861" s="35" t="n"/>
      <c r="F2861" s="36" t="n"/>
      <c r="G2861" s="35" t="n"/>
      <c r="H2861" s="30">
        <f>IF(L2861="","",INDEX(SkiftNavn,L2861))</f>
        <v/>
      </c>
      <c r="I2861" s="30">
        <f>IF(OR(A2861="",L2861=""),"",IF(MOD(A2861-INDEX(SkiftStart,L2861),Syklus)&lt;DagK,"Kveld",IF(MOD(A2861-INDEX(SkiftStart,L2861),Syklus)&lt;DagK+DagH,"Helg",IF(MOD(A2861-INDEX(SkiftStart,L2861),Syklus)&lt;DagK+DagH+DagD,"Dag","Fri"))))</f>
        <v/>
      </c>
      <c r="J2861" s="30">
        <f>IF(I2861="Fri","Ja","")</f>
        <v/>
      </c>
      <c r="K2861" s="30">
        <f>IF(B2861="","",IF(L2861="","Ukjent tekniker",IF(ISNA(MATCH(C2861,Aktiviteter,0)),"Ukjent aktivitet",IF(AND(INDEX(AktRolle,MATCH(C2861,Aktiviteter,0))&amp;""&lt;&gt;"",ISERROR(SEARCH(INDEX(AktRolle,MATCH(C2861,Aktiviteter,0))&amp;"",INDEX(TekRoller,MATCH(B2861,Teknikere,0))))),"Mangler rollen "&amp;INDEX(AktRolle,MATCH(C2861,Aktiviteter,0))&amp;"",IF(AND(C2861="LMS",F2861&gt;0,OR(D2861="",E2861="")),"Mangler maskin eller arbeid",IF(AND(OR(C2861="LMS",C2861="Mod"),D2861&lt;&gt;""),IF(IFERROR(INDEX(MaskinStatus,MATCH(D2861,Maskiner,0)),"")="I dokk","","Maskinen er ikke i dokk"),""))))))</f>
        <v/>
      </c>
      <c r="L2861" s="2">
        <f>IF(B2861="","",IFERROR(INT((MATCH(B2861,Teknikere,0)-1)/18)+1,""))</f>
        <v/>
      </c>
      <c r="M2861" s="2">
        <f>IF(OR(A2861="",B2861=""),"",B2861&amp;"|"&amp;A2861)</f>
        <v/>
      </c>
      <c r="N2861" s="2">
        <f>IF(M2861="","",SUMIFS(TF_Timer,TF_Nokkel,M2861,TF_Akt,C2861))</f>
        <v/>
      </c>
      <c r="O2861" s="2">
        <f>IF(M2861="","",IF(AND(N2861=_xlfn.MAXIFS(TF_AktSum,TF_Nokkel,M2861),COUNTIFS(M$3:M2860,M2861,N$3:N2860,N2861)=0),M2861,""))</f>
        <v/>
      </c>
    </row>
    <row r="2862">
      <c r="A2862" s="34" t="n"/>
      <c r="B2862" s="35" t="n"/>
      <c r="C2862" s="35" t="n"/>
      <c r="D2862" s="35" t="n"/>
      <c r="E2862" s="35" t="n"/>
      <c r="F2862" s="36" t="n"/>
      <c r="G2862" s="35" t="n"/>
      <c r="H2862" s="30">
        <f>IF(L2862="","",INDEX(SkiftNavn,L2862))</f>
        <v/>
      </c>
      <c r="I2862" s="30">
        <f>IF(OR(A2862="",L2862=""),"",IF(MOD(A2862-INDEX(SkiftStart,L2862),Syklus)&lt;DagK,"Kveld",IF(MOD(A2862-INDEX(SkiftStart,L2862),Syklus)&lt;DagK+DagH,"Helg",IF(MOD(A2862-INDEX(SkiftStart,L2862),Syklus)&lt;DagK+DagH+DagD,"Dag","Fri"))))</f>
        <v/>
      </c>
      <c r="J2862" s="30">
        <f>IF(I2862="Fri","Ja","")</f>
        <v/>
      </c>
      <c r="K2862" s="30">
        <f>IF(B2862="","",IF(L2862="","Ukjent tekniker",IF(ISNA(MATCH(C2862,Aktiviteter,0)),"Ukjent aktivitet",IF(AND(INDEX(AktRolle,MATCH(C2862,Aktiviteter,0))&amp;""&lt;&gt;"",ISERROR(SEARCH(INDEX(AktRolle,MATCH(C2862,Aktiviteter,0))&amp;"",INDEX(TekRoller,MATCH(B2862,Teknikere,0))))),"Mangler rollen "&amp;INDEX(AktRolle,MATCH(C2862,Aktiviteter,0))&amp;"",IF(AND(C2862="LMS",F2862&gt;0,OR(D2862="",E2862="")),"Mangler maskin eller arbeid",IF(AND(OR(C2862="LMS",C2862="Mod"),D2862&lt;&gt;""),IF(IFERROR(INDEX(MaskinStatus,MATCH(D2862,Maskiner,0)),"")="I dokk","","Maskinen er ikke i dokk"),""))))))</f>
        <v/>
      </c>
      <c r="L2862" s="2">
        <f>IF(B2862="","",IFERROR(INT((MATCH(B2862,Teknikere,0)-1)/18)+1,""))</f>
        <v/>
      </c>
      <c r="M2862" s="2">
        <f>IF(OR(A2862="",B2862=""),"",B2862&amp;"|"&amp;A2862)</f>
        <v/>
      </c>
      <c r="N2862" s="2">
        <f>IF(M2862="","",SUMIFS(TF_Timer,TF_Nokkel,M2862,TF_Akt,C2862))</f>
        <v/>
      </c>
      <c r="O2862" s="2">
        <f>IF(M2862="","",IF(AND(N2862=_xlfn.MAXIFS(TF_AktSum,TF_Nokkel,M2862),COUNTIFS(M$3:M2861,M2862,N$3:N2861,N2862)=0),M2862,""))</f>
        <v/>
      </c>
    </row>
    <row r="2863">
      <c r="A2863" s="34" t="n"/>
      <c r="B2863" s="35" t="n"/>
      <c r="C2863" s="35" t="n"/>
      <c r="D2863" s="35" t="n"/>
      <c r="E2863" s="35" t="n"/>
      <c r="F2863" s="36" t="n"/>
      <c r="G2863" s="35" t="n"/>
      <c r="H2863" s="30">
        <f>IF(L2863="","",INDEX(SkiftNavn,L2863))</f>
        <v/>
      </c>
      <c r="I2863" s="30">
        <f>IF(OR(A2863="",L2863=""),"",IF(MOD(A2863-INDEX(SkiftStart,L2863),Syklus)&lt;DagK,"Kveld",IF(MOD(A2863-INDEX(SkiftStart,L2863),Syklus)&lt;DagK+DagH,"Helg",IF(MOD(A2863-INDEX(SkiftStart,L2863),Syklus)&lt;DagK+DagH+DagD,"Dag","Fri"))))</f>
        <v/>
      </c>
      <c r="J2863" s="30">
        <f>IF(I2863="Fri","Ja","")</f>
        <v/>
      </c>
      <c r="K2863" s="30">
        <f>IF(B2863="","",IF(L2863="","Ukjent tekniker",IF(ISNA(MATCH(C2863,Aktiviteter,0)),"Ukjent aktivitet",IF(AND(INDEX(AktRolle,MATCH(C2863,Aktiviteter,0))&amp;""&lt;&gt;"",ISERROR(SEARCH(INDEX(AktRolle,MATCH(C2863,Aktiviteter,0))&amp;"",INDEX(TekRoller,MATCH(B2863,Teknikere,0))))),"Mangler rollen "&amp;INDEX(AktRolle,MATCH(C2863,Aktiviteter,0))&amp;"",IF(AND(C2863="LMS",F2863&gt;0,OR(D2863="",E2863="")),"Mangler maskin eller arbeid",IF(AND(OR(C2863="LMS",C2863="Mod"),D2863&lt;&gt;""),IF(IFERROR(INDEX(MaskinStatus,MATCH(D2863,Maskiner,0)),"")="I dokk","","Maskinen er ikke i dokk"),""))))))</f>
        <v/>
      </c>
      <c r="L2863" s="2">
        <f>IF(B2863="","",IFERROR(INT((MATCH(B2863,Teknikere,0)-1)/18)+1,""))</f>
        <v/>
      </c>
      <c r="M2863" s="2">
        <f>IF(OR(A2863="",B2863=""),"",B2863&amp;"|"&amp;A2863)</f>
        <v/>
      </c>
      <c r="N2863" s="2">
        <f>IF(M2863="","",SUMIFS(TF_Timer,TF_Nokkel,M2863,TF_Akt,C2863))</f>
        <v/>
      </c>
      <c r="O2863" s="2">
        <f>IF(M2863="","",IF(AND(N2863=_xlfn.MAXIFS(TF_AktSum,TF_Nokkel,M2863),COUNTIFS(M$3:M2862,M2863,N$3:N2862,N2863)=0),M2863,""))</f>
        <v/>
      </c>
    </row>
    <row r="2864">
      <c r="A2864" s="34" t="n"/>
      <c r="B2864" s="35" t="n"/>
      <c r="C2864" s="35" t="n"/>
      <c r="D2864" s="35" t="n"/>
      <c r="E2864" s="35" t="n"/>
      <c r="F2864" s="36" t="n"/>
      <c r="G2864" s="35" t="n"/>
      <c r="H2864" s="30">
        <f>IF(L2864="","",INDEX(SkiftNavn,L2864))</f>
        <v/>
      </c>
      <c r="I2864" s="30">
        <f>IF(OR(A2864="",L2864=""),"",IF(MOD(A2864-INDEX(SkiftStart,L2864),Syklus)&lt;DagK,"Kveld",IF(MOD(A2864-INDEX(SkiftStart,L2864),Syklus)&lt;DagK+DagH,"Helg",IF(MOD(A2864-INDEX(SkiftStart,L2864),Syklus)&lt;DagK+DagH+DagD,"Dag","Fri"))))</f>
        <v/>
      </c>
      <c r="J2864" s="30">
        <f>IF(I2864="Fri","Ja","")</f>
        <v/>
      </c>
      <c r="K2864" s="30">
        <f>IF(B2864="","",IF(L2864="","Ukjent tekniker",IF(ISNA(MATCH(C2864,Aktiviteter,0)),"Ukjent aktivitet",IF(AND(INDEX(AktRolle,MATCH(C2864,Aktiviteter,0))&amp;""&lt;&gt;"",ISERROR(SEARCH(INDEX(AktRolle,MATCH(C2864,Aktiviteter,0))&amp;"",INDEX(TekRoller,MATCH(B2864,Teknikere,0))))),"Mangler rollen "&amp;INDEX(AktRolle,MATCH(C2864,Aktiviteter,0))&amp;"",IF(AND(C2864="LMS",F2864&gt;0,OR(D2864="",E2864="")),"Mangler maskin eller arbeid",IF(AND(OR(C2864="LMS",C2864="Mod"),D2864&lt;&gt;""),IF(IFERROR(INDEX(MaskinStatus,MATCH(D2864,Maskiner,0)),"")="I dokk","","Maskinen er ikke i dokk"),""))))))</f>
        <v/>
      </c>
      <c r="L2864" s="2">
        <f>IF(B2864="","",IFERROR(INT((MATCH(B2864,Teknikere,0)-1)/18)+1,""))</f>
        <v/>
      </c>
      <c r="M2864" s="2">
        <f>IF(OR(A2864="",B2864=""),"",B2864&amp;"|"&amp;A2864)</f>
        <v/>
      </c>
      <c r="N2864" s="2">
        <f>IF(M2864="","",SUMIFS(TF_Timer,TF_Nokkel,M2864,TF_Akt,C2864))</f>
        <v/>
      </c>
      <c r="O2864" s="2">
        <f>IF(M2864="","",IF(AND(N2864=_xlfn.MAXIFS(TF_AktSum,TF_Nokkel,M2864),COUNTIFS(M$3:M2863,M2864,N$3:N2863,N2864)=0),M2864,""))</f>
        <v/>
      </c>
    </row>
    <row r="2865">
      <c r="A2865" s="34" t="n"/>
      <c r="B2865" s="35" t="n"/>
      <c r="C2865" s="35" t="n"/>
      <c r="D2865" s="35" t="n"/>
      <c r="E2865" s="35" t="n"/>
      <c r="F2865" s="36" t="n"/>
      <c r="G2865" s="35" t="n"/>
      <c r="H2865" s="30">
        <f>IF(L2865="","",INDEX(SkiftNavn,L2865))</f>
        <v/>
      </c>
      <c r="I2865" s="30">
        <f>IF(OR(A2865="",L2865=""),"",IF(MOD(A2865-INDEX(SkiftStart,L2865),Syklus)&lt;DagK,"Kveld",IF(MOD(A2865-INDEX(SkiftStart,L2865),Syklus)&lt;DagK+DagH,"Helg",IF(MOD(A2865-INDEX(SkiftStart,L2865),Syklus)&lt;DagK+DagH+DagD,"Dag","Fri"))))</f>
        <v/>
      </c>
      <c r="J2865" s="30">
        <f>IF(I2865="Fri","Ja","")</f>
        <v/>
      </c>
      <c r="K2865" s="30">
        <f>IF(B2865="","",IF(L2865="","Ukjent tekniker",IF(ISNA(MATCH(C2865,Aktiviteter,0)),"Ukjent aktivitet",IF(AND(INDEX(AktRolle,MATCH(C2865,Aktiviteter,0))&amp;""&lt;&gt;"",ISERROR(SEARCH(INDEX(AktRolle,MATCH(C2865,Aktiviteter,0))&amp;"",INDEX(TekRoller,MATCH(B2865,Teknikere,0))))),"Mangler rollen "&amp;INDEX(AktRolle,MATCH(C2865,Aktiviteter,0))&amp;"",IF(AND(C2865="LMS",F2865&gt;0,OR(D2865="",E2865="")),"Mangler maskin eller arbeid",IF(AND(OR(C2865="LMS",C2865="Mod"),D2865&lt;&gt;""),IF(IFERROR(INDEX(MaskinStatus,MATCH(D2865,Maskiner,0)),"")="I dokk","","Maskinen er ikke i dokk"),""))))))</f>
        <v/>
      </c>
      <c r="L2865" s="2">
        <f>IF(B2865="","",IFERROR(INT((MATCH(B2865,Teknikere,0)-1)/18)+1,""))</f>
        <v/>
      </c>
      <c r="M2865" s="2">
        <f>IF(OR(A2865="",B2865=""),"",B2865&amp;"|"&amp;A2865)</f>
        <v/>
      </c>
      <c r="N2865" s="2">
        <f>IF(M2865="","",SUMIFS(TF_Timer,TF_Nokkel,M2865,TF_Akt,C2865))</f>
        <v/>
      </c>
      <c r="O2865" s="2">
        <f>IF(M2865="","",IF(AND(N2865=_xlfn.MAXIFS(TF_AktSum,TF_Nokkel,M2865),COUNTIFS(M$3:M2864,M2865,N$3:N2864,N2865)=0),M2865,""))</f>
        <v/>
      </c>
    </row>
    <row r="2866">
      <c r="A2866" s="34" t="n"/>
      <c r="B2866" s="35" t="n"/>
      <c r="C2866" s="35" t="n"/>
      <c r="D2866" s="35" t="n"/>
      <c r="E2866" s="35" t="n"/>
      <c r="F2866" s="36" t="n"/>
      <c r="G2866" s="35" t="n"/>
      <c r="H2866" s="30">
        <f>IF(L2866="","",INDEX(SkiftNavn,L2866))</f>
        <v/>
      </c>
      <c r="I2866" s="30">
        <f>IF(OR(A2866="",L2866=""),"",IF(MOD(A2866-INDEX(SkiftStart,L2866),Syklus)&lt;DagK,"Kveld",IF(MOD(A2866-INDEX(SkiftStart,L2866),Syklus)&lt;DagK+DagH,"Helg",IF(MOD(A2866-INDEX(SkiftStart,L2866),Syklus)&lt;DagK+DagH+DagD,"Dag","Fri"))))</f>
        <v/>
      </c>
      <c r="J2866" s="30">
        <f>IF(I2866="Fri","Ja","")</f>
        <v/>
      </c>
      <c r="K2866" s="30">
        <f>IF(B2866="","",IF(L2866="","Ukjent tekniker",IF(ISNA(MATCH(C2866,Aktiviteter,0)),"Ukjent aktivitet",IF(AND(INDEX(AktRolle,MATCH(C2866,Aktiviteter,0))&amp;""&lt;&gt;"",ISERROR(SEARCH(INDEX(AktRolle,MATCH(C2866,Aktiviteter,0))&amp;"",INDEX(TekRoller,MATCH(B2866,Teknikere,0))))),"Mangler rollen "&amp;INDEX(AktRolle,MATCH(C2866,Aktiviteter,0))&amp;"",IF(AND(C2866="LMS",F2866&gt;0,OR(D2866="",E2866="")),"Mangler maskin eller arbeid",IF(AND(OR(C2866="LMS",C2866="Mod"),D2866&lt;&gt;""),IF(IFERROR(INDEX(MaskinStatus,MATCH(D2866,Maskiner,0)),"")="I dokk","","Maskinen er ikke i dokk"),""))))))</f>
        <v/>
      </c>
      <c r="L2866" s="2">
        <f>IF(B2866="","",IFERROR(INT((MATCH(B2866,Teknikere,0)-1)/18)+1,""))</f>
        <v/>
      </c>
      <c r="M2866" s="2">
        <f>IF(OR(A2866="",B2866=""),"",B2866&amp;"|"&amp;A2866)</f>
        <v/>
      </c>
      <c r="N2866" s="2">
        <f>IF(M2866="","",SUMIFS(TF_Timer,TF_Nokkel,M2866,TF_Akt,C2866))</f>
        <v/>
      </c>
      <c r="O2866" s="2">
        <f>IF(M2866="","",IF(AND(N2866=_xlfn.MAXIFS(TF_AktSum,TF_Nokkel,M2866),COUNTIFS(M$3:M2865,M2866,N$3:N2865,N2866)=0),M2866,""))</f>
        <v/>
      </c>
    </row>
    <row r="2867">
      <c r="A2867" s="34" t="n"/>
      <c r="B2867" s="35" t="n"/>
      <c r="C2867" s="35" t="n"/>
      <c r="D2867" s="35" t="n"/>
      <c r="E2867" s="35" t="n"/>
      <c r="F2867" s="36" t="n"/>
      <c r="G2867" s="35" t="n"/>
      <c r="H2867" s="30">
        <f>IF(L2867="","",INDEX(SkiftNavn,L2867))</f>
        <v/>
      </c>
      <c r="I2867" s="30">
        <f>IF(OR(A2867="",L2867=""),"",IF(MOD(A2867-INDEX(SkiftStart,L2867),Syklus)&lt;DagK,"Kveld",IF(MOD(A2867-INDEX(SkiftStart,L2867),Syklus)&lt;DagK+DagH,"Helg",IF(MOD(A2867-INDEX(SkiftStart,L2867),Syklus)&lt;DagK+DagH+DagD,"Dag","Fri"))))</f>
        <v/>
      </c>
      <c r="J2867" s="30">
        <f>IF(I2867="Fri","Ja","")</f>
        <v/>
      </c>
      <c r="K2867" s="30">
        <f>IF(B2867="","",IF(L2867="","Ukjent tekniker",IF(ISNA(MATCH(C2867,Aktiviteter,0)),"Ukjent aktivitet",IF(AND(INDEX(AktRolle,MATCH(C2867,Aktiviteter,0))&amp;""&lt;&gt;"",ISERROR(SEARCH(INDEX(AktRolle,MATCH(C2867,Aktiviteter,0))&amp;"",INDEX(TekRoller,MATCH(B2867,Teknikere,0))))),"Mangler rollen "&amp;INDEX(AktRolle,MATCH(C2867,Aktiviteter,0))&amp;"",IF(AND(C2867="LMS",F2867&gt;0,OR(D2867="",E2867="")),"Mangler maskin eller arbeid",IF(AND(OR(C2867="LMS",C2867="Mod"),D2867&lt;&gt;""),IF(IFERROR(INDEX(MaskinStatus,MATCH(D2867,Maskiner,0)),"")="I dokk","","Maskinen er ikke i dokk"),""))))))</f>
        <v/>
      </c>
      <c r="L2867" s="2">
        <f>IF(B2867="","",IFERROR(INT((MATCH(B2867,Teknikere,0)-1)/18)+1,""))</f>
        <v/>
      </c>
      <c r="M2867" s="2">
        <f>IF(OR(A2867="",B2867=""),"",B2867&amp;"|"&amp;A2867)</f>
        <v/>
      </c>
      <c r="N2867" s="2">
        <f>IF(M2867="","",SUMIFS(TF_Timer,TF_Nokkel,M2867,TF_Akt,C2867))</f>
        <v/>
      </c>
      <c r="O2867" s="2">
        <f>IF(M2867="","",IF(AND(N2867=_xlfn.MAXIFS(TF_AktSum,TF_Nokkel,M2867),COUNTIFS(M$3:M2866,M2867,N$3:N2866,N2867)=0),M2867,""))</f>
        <v/>
      </c>
    </row>
    <row r="2868">
      <c r="A2868" s="34" t="n"/>
      <c r="B2868" s="35" t="n"/>
      <c r="C2868" s="35" t="n"/>
      <c r="D2868" s="35" t="n"/>
      <c r="E2868" s="35" t="n"/>
      <c r="F2868" s="36" t="n"/>
      <c r="G2868" s="35" t="n"/>
      <c r="H2868" s="30">
        <f>IF(L2868="","",INDEX(SkiftNavn,L2868))</f>
        <v/>
      </c>
      <c r="I2868" s="30">
        <f>IF(OR(A2868="",L2868=""),"",IF(MOD(A2868-INDEX(SkiftStart,L2868),Syklus)&lt;DagK,"Kveld",IF(MOD(A2868-INDEX(SkiftStart,L2868),Syklus)&lt;DagK+DagH,"Helg",IF(MOD(A2868-INDEX(SkiftStart,L2868),Syklus)&lt;DagK+DagH+DagD,"Dag","Fri"))))</f>
        <v/>
      </c>
      <c r="J2868" s="30">
        <f>IF(I2868="Fri","Ja","")</f>
        <v/>
      </c>
      <c r="K2868" s="30">
        <f>IF(B2868="","",IF(L2868="","Ukjent tekniker",IF(ISNA(MATCH(C2868,Aktiviteter,0)),"Ukjent aktivitet",IF(AND(INDEX(AktRolle,MATCH(C2868,Aktiviteter,0))&amp;""&lt;&gt;"",ISERROR(SEARCH(INDEX(AktRolle,MATCH(C2868,Aktiviteter,0))&amp;"",INDEX(TekRoller,MATCH(B2868,Teknikere,0))))),"Mangler rollen "&amp;INDEX(AktRolle,MATCH(C2868,Aktiviteter,0))&amp;"",IF(AND(C2868="LMS",F2868&gt;0,OR(D2868="",E2868="")),"Mangler maskin eller arbeid",IF(AND(OR(C2868="LMS",C2868="Mod"),D2868&lt;&gt;""),IF(IFERROR(INDEX(MaskinStatus,MATCH(D2868,Maskiner,0)),"")="I dokk","","Maskinen er ikke i dokk"),""))))))</f>
        <v/>
      </c>
      <c r="L2868" s="2">
        <f>IF(B2868="","",IFERROR(INT((MATCH(B2868,Teknikere,0)-1)/18)+1,""))</f>
        <v/>
      </c>
      <c r="M2868" s="2">
        <f>IF(OR(A2868="",B2868=""),"",B2868&amp;"|"&amp;A2868)</f>
        <v/>
      </c>
      <c r="N2868" s="2">
        <f>IF(M2868="","",SUMIFS(TF_Timer,TF_Nokkel,M2868,TF_Akt,C2868))</f>
        <v/>
      </c>
      <c r="O2868" s="2">
        <f>IF(M2868="","",IF(AND(N2868=_xlfn.MAXIFS(TF_AktSum,TF_Nokkel,M2868),COUNTIFS(M$3:M2867,M2868,N$3:N2867,N2868)=0),M2868,""))</f>
        <v/>
      </c>
    </row>
    <row r="2869">
      <c r="A2869" s="34" t="n"/>
      <c r="B2869" s="35" t="n"/>
      <c r="C2869" s="35" t="n"/>
      <c r="D2869" s="35" t="n"/>
      <c r="E2869" s="35" t="n"/>
      <c r="F2869" s="36" t="n"/>
      <c r="G2869" s="35" t="n"/>
      <c r="H2869" s="30">
        <f>IF(L2869="","",INDEX(SkiftNavn,L2869))</f>
        <v/>
      </c>
      <c r="I2869" s="30">
        <f>IF(OR(A2869="",L2869=""),"",IF(MOD(A2869-INDEX(SkiftStart,L2869),Syklus)&lt;DagK,"Kveld",IF(MOD(A2869-INDEX(SkiftStart,L2869),Syklus)&lt;DagK+DagH,"Helg",IF(MOD(A2869-INDEX(SkiftStart,L2869),Syklus)&lt;DagK+DagH+DagD,"Dag","Fri"))))</f>
        <v/>
      </c>
      <c r="J2869" s="30">
        <f>IF(I2869="Fri","Ja","")</f>
        <v/>
      </c>
      <c r="K2869" s="30">
        <f>IF(B2869="","",IF(L2869="","Ukjent tekniker",IF(ISNA(MATCH(C2869,Aktiviteter,0)),"Ukjent aktivitet",IF(AND(INDEX(AktRolle,MATCH(C2869,Aktiviteter,0))&amp;""&lt;&gt;"",ISERROR(SEARCH(INDEX(AktRolle,MATCH(C2869,Aktiviteter,0))&amp;"",INDEX(TekRoller,MATCH(B2869,Teknikere,0))))),"Mangler rollen "&amp;INDEX(AktRolle,MATCH(C2869,Aktiviteter,0))&amp;"",IF(AND(C2869="LMS",F2869&gt;0,OR(D2869="",E2869="")),"Mangler maskin eller arbeid",IF(AND(OR(C2869="LMS",C2869="Mod"),D2869&lt;&gt;""),IF(IFERROR(INDEX(MaskinStatus,MATCH(D2869,Maskiner,0)),"")="I dokk","","Maskinen er ikke i dokk"),""))))))</f>
        <v/>
      </c>
      <c r="L2869" s="2">
        <f>IF(B2869="","",IFERROR(INT((MATCH(B2869,Teknikere,0)-1)/18)+1,""))</f>
        <v/>
      </c>
      <c r="M2869" s="2">
        <f>IF(OR(A2869="",B2869=""),"",B2869&amp;"|"&amp;A2869)</f>
        <v/>
      </c>
      <c r="N2869" s="2">
        <f>IF(M2869="","",SUMIFS(TF_Timer,TF_Nokkel,M2869,TF_Akt,C2869))</f>
        <v/>
      </c>
      <c r="O2869" s="2">
        <f>IF(M2869="","",IF(AND(N2869=_xlfn.MAXIFS(TF_AktSum,TF_Nokkel,M2869),COUNTIFS(M$3:M2868,M2869,N$3:N2868,N2869)=0),M2869,""))</f>
        <v/>
      </c>
    </row>
    <row r="2870">
      <c r="A2870" s="34" t="n"/>
      <c r="B2870" s="35" t="n"/>
      <c r="C2870" s="35" t="n"/>
      <c r="D2870" s="35" t="n"/>
      <c r="E2870" s="35" t="n"/>
      <c r="F2870" s="36" t="n"/>
      <c r="G2870" s="35" t="n"/>
      <c r="H2870" s="30">
        <f>IF(L2870="","",INDEX(SkiftNavn,L2870))</f>
        <v/>
      </c>
      <c r="I2870" s="30">
        <f>IF(OR(A2870="",L2870=""),"",IF(MOD(A2870-INDEX(SkiftStart,L2870),Syklus)&lt;DagK,"Kveld",IF(MOD(A2870-INDEX(SkiftStart,L2870),Syklus)&lt;DagK+DagH,"Helg",IF(MOD(A2870-INDEX(SkiftStart,L2870),Syklus)&lt;DagK+DagH+DagD,"Dag","Fri"))))</f>
        <v/>
      </c>
      <c r="J2870" s="30">
        <f>IF(I2870="Fri","Ja","")</f>
        <v/>
      </c>
      <c r="K2870" s="30">
        <f>IF(B2870="","",IF(L2870="","Ukjent tekniker",IF(ISNA(MATCH(C2870,Aktiviteter,0)),"Ukjent aktivitet",IF(AND(INDEX(AktRolle,MATCH(C2870,Aktiviteter,0))&amp;""&lt;&gt;"",ISERROR(SEARCH(INDEX(AktRolle,MATCH(C2870,Aktiviteter,0))&amp;"",INDEX(TekRoller,MATCH(B2870,Teknikere,0))))),"Mangler rollen "&amp;INDEX(AktRolle,MATCH(C2870,Aktiviteter,0))&amp;"",IF(AND(C2870="LMS",F2870&gt;0,OR(D2870="",E2870="")),"Mangler maskin eller arbeid",IF(AND(OR(C2870="LMS",C2870="Mod"),D2870&lt;&gt;""),IF(IFERROR(INDEX(MaskinStatus,MATCH(D2870,Maskiner,0)),"")="I dokk","","Maskinen er ikke i dokk"),""))))))</f>
        <v/>
      </c>
      <c r="L2870" s="2">
        <f>IF(B2870="","",IFERROR(INT((MATCH(B2870,Teknikere,0)-1)/18)+1,""))</f>
        <v/>
      </c>
      <c r="M2870" s="2">
        <f>IF(OR(A2870="",B2870=""),"",B2870&amp;"|"&amp;A2870)</f>
        <v/>
      </c>
      <c r="N2870" s="2">
        <f>IF(M2870="","",SUMIFS(TF_Timer,TF_Nokkel,M2870,TF_Akt,C2870))</f>
        <v/>
      </c>
      <c r="O2870" s="2">
        <f>IF(M2870="","",IF(AND(N2870=_xlfn.MAXIFS(TF_AktSum,TF_Nokkel,M2870),COUNTIFS(M$3:M2869,M2870,N$3:N2869,N2870)=0),M2870,""))</f>
        <v/>
      </c>
    </row>
    <row r="2871">
      <c r="A2871" s="34" t="n"/>
      <c r="B2871" s="35" t="n"/>
      <c r="C2871" s="35" t="n"/>
      <c r="D2871" s="35" t="n"/>
      <c r="E2871" s="35" t="n"/>
      <c r="F2871" s="36" t="n"/>
      <c r="G2871" s="35" t="n"/>
      <c r="H2871" s="30">
        <f>IF(L2871="","",INDEX(SkiftNavn,L2871))</f>
        <v/>
      </c>
      <c r="I2871" s="30">
        <f>IF(OR(A2871="",L2871=""),"",IF(MOD(A2871-INDEX(SkiftStart,L2871),Syklus)&lt;DagK,"Kveld",IF(MOD(A2871-INDEX(SkiftStart,L2871),Syklus)&lt;DagK+DagH,"Helg",IF(MOD(A2871-INDEX(SkiftStart,L2871),Syklus)&lt;DagK+DagH+DagD,"Dag","Fri"))))</f>
        <v/>
      </c>
      <c r="J2871" s="30">
        <f>IF(I2871="Fri","Ja","")</f>
        <v/>
      </c>
      <c r="K2871" s="30">
        <f>IF(B2871="","",IF(L2871="","Ukjent tekniker",IF(ISNA(MATCH(C2871,Aktiviteter,0)),"Ukjent aktivitet",IF(AND(INDEX(AktRolle,MATCH(C2871,Aktiviteter,0))&amp;""&lt;&gt;"",ISERROR(SEARCH(INDEX(AktRolle,MATCH(C2871,Aktiviteter,0))&amp;"",INDEX(TekRoller,MATCH(B2871,Teknikere,0))))),"Mangler rollen "&amp;INDEX(AktRolle,MATCH(C2871,Aktiviteter,0))&amp;"",IF(AND(C2871="LMS",F2871&gt;0,OR(D2871="",E2871="")),"Mangler maskin eller arbeid",IF(AND(OR(C2871="LMS",C2871="Mod"),D2871&lt;&gt;""),IF(IFERROR(INDEX(MaskinStatus,MATCH(D2871,Maskiner,0)),"")="I dokk","","Maskinen er ikke i dokk"),""))))))</f>
        <v/>
      </c>
      <c r="L2871" s="2">
        <f>IF(B2871="","",IFERROR(INT((MATCH(B2871,Teknikere,0)-1)/18)+1,""))</f>
        <v/>
      </c>
      <c r="M2871" s="2">
        <f>IF(OR(A2871="",B2871=""),"",B2871&amp;"|"&amp;A2871)</f>
        <v/>
      </c>
      <c r="N2871" s="2">
        <f>IF(M2871="","",SUMIFS(TF_Timer,TF_Nokkel,M2871,TF_Akt,C2871))</f>
        <v/>
      </c>
      <c r="O2871" s="2">
        <f>IF(M2871="","",IF(AND(N2871=_xlfn.MAXIFS(TF_AktSum,TF_Nokkel,M2871),COUNTIFS(M$3:M2870,M2871,N$3:N2870,N2871)=0),M2871,""))</f>
        <v/>
      </c>
    </row>
    <row r="2872">
      <c r="A2872" s="34" t="n"/>
      <c r="B2872" s="35" t="n"/>
      <c r="C2872" s="35" t="n"/>
      <c r="D2872" s="35" t="n"/>
      <c r="E2872" s="35" t="n"/>
      <c r="F2872" s="36" t="n"/>
      <c r="G2872" s="35" t="n"/>
      <c r="H2872" s="30">
        <f>IF(L2872="","",INDEX(SkiftNavn,L2872))</f>
        <v/>
      </c>
      <c r="I2872" s="30">
        <f>IF(OR(A2872="",L2872=""),"",IF(MOD(A2872-INDEX(SkiftStart,L2872),Syklus)&lt;DagK,"Kveld",IF(MOD(A2872-INDEX(SkiftStart,L2872),Syklus)&lt;DagK+DagH,"Helg",IF(MOD(A2872-INDEX(SkiftStart,L2872),Syklus)&lt;DagK+DagH+DagD,"Dag","Fri"))))</f>
        <v/>
      </c>
      <c r="J2872" s="30">
        <f>IF(I2872="Fri","Ja","")</f>
        <v/>
      </c>
      <c r="K2872" s="30">
        <f>IF(B2872="","",IF(L2872="","Ukjent tekniker",IF(ISNA(MATCH(C2872,Aktiviteter,0)),"Ukjent aktivitet",IF(AND(INDEX(AktRolle,MATCH(C2872,Aktiviteter,0))&amp;""&lt;&gt;"",ISERROR(SEARCH(INDEX(AktRolle,MATCH(C2872,Aktiviteter,0))&amp;"",INDEX(TekRoller,MATCH(B2872,Teknikere,0))))),"Mangler rollen "&amp;INDEX(AktRolle,MATCH(C2872,Aktiviteter,0))&amp;"",IF(AND(C2872="LMS",F2872&gt;0,OR(D2872="",E2872="")),"Mangler maskin eller arbeid",IF(AND(OR(C2872="LMS",C2872="Mod"),D2872&lt;&gt;""),IF(IFERROR(INDEX(MaskinStatus,MATCH(D2872,Maskiner,0)),"")="I dokk","","Maskinen er ikke i dokk"),""))))))</f>
        <v/>
      </c>
      <c r="L2872" s="2">
        <f>IF(B2872="","",IFERROR(INT((MATCH(B2872,Teknikere,0)-1)/18)+1,""))</f>
        <v/>
      </c>
      <c r="M2872" s="2">
        <f>IF(OR(A2872="",B2872=""),"",B2872&amp;"|"&amp;A2872)</f>
        <v/>
      </c>
      <c r="N2872" s="2">
        <f>IF(M2872="","",SUMIFS(TF_Timer,TF_Nokkel,M2872,TF_Akt,C2872))</f>
        <v/>
      </c>
      <c r="O2872" s="2">
        <f>IF(M2872="","",IF(AND(N2872=_xlfn.MAXIFS(TF_AktSum,TF_Nokkel,M2872),COUNTIFS(M$3:M2871,M2872,N$3:N2871,N2872)=0),M2872,""))</f>
        <v/>
      </c>
    </row>
    <row r="2873">
      <c r="A2873" s="34" t="n"/>
      <c r="B2873" s="35" t="n"/>
      <c r="C2873" s="35" t="n"/>
      <c r="D2873" s="35" t="n"/>
      <c r="E2873" s="35" t="n"/>
      <c r="F2873" s="36" t="n"/>
      <c r="G2873" s="35" t="n"/>
      <c r="H2873" s="30">
        <f>IF(L2873="","",INDEX(SkiftNavn,L2873))</f>
        <v/>
      </c>
      <c r="I2873" s="30">
        <f>IF(OR(A2873="",L2873=""),"",IF(MOD(A2873-INDEX(SkiftStart,L2873),Syklus)&lt;DagK,"Kveld",IF(MOD(A2873-INDEX(SkiftStart,L2873),Syklus)&lt;DagK+DagH,"Helg",IF(MOD(A2873-INDEX(SkiftStart,L2873),Syklus)&lt;DagK+DagH+DagD,"Dag","Fri"))))</f>
        <v/>
      </c>
      <c r="J2873" s="30">
        <f>IF(I2873="Fri","Ja","")</f>
        <v/>
      </c>
      <c r="K2873" s="30">
        <f>IF(B2873="","",IF(L2873="","Ukjent tekniker",IF(ISNA(MATCH(C2873,Aktiviteter,0)),"Ukjent aktivitet",IF(AND(INDEX(AktRolle,MATCH(C2873,Aktiviteter,0))&amp;""&lt;&gt;"",ISERROR(SEARCH(INDEX(AktRolle,MATCH(C2873,Aktiviteter,0))&amp;"",INDEX(TekRoller,MATCH(B2873,Teknikere,0))))),"Mangler rollen "&amp;INDEX(AktRolle,MATCH(C2873,Aktiviteter,0))&amp;"",IF(AND(C2873="LMS",F2873&gt;0,OR(D2873="",E2873="")),"Mangler maskin eller arbeid",IF(AND(OR(C2873="LMS",C2873="Mod"),D2873&lt;&gt;""),IF(IFERROR(INDEX(MaskinStatus,MATCH(D2873,Maskiner,0)),"")="I dokk","","Maskinen er ikke i dokk"),""))))))</f>
        <v/>
      </c>
      <c r="L2873" s="2">
        <f>IF(B2873="","",IFERROR(INT((MATCH(B2873,Teknikere,0)-1)/18)+1,""))</f>
        <v/>
      </c>
      <c r="M2873" s="2">
        <f>IF(OR(A2873="",B2873=""),"",B2873&amp;"|"&amp;A2873)</f>
        <v/>
      </c>
      <c r="N2873" s="2">
        <f>IF(M2873="","",SUMIFS(TF_Timer,TF_Nokkel,M2873,TF_Akt,C2873))</f>
        <v/>
      </c>
      <c r="O2873" s="2">
        <f>IF(M2873="","",IF(AND(N2873=_xlfn.MAXIFS(TF_AktSum,TF_Nokkel,M2873),COUNTIFS(M$3:M2872,M2873,N$3:N2872,N2873)=0),M2873,""))</f>
        <v/>
      </c>
    </row>
    <row r="2874">
      <c r="A2874" s="34" t="n"/>
      <c r="B2874" s="35" t="n"/>
      <c r="C2874" s="35" t="n"/>
      <c r="D2874" s="35" t="n"/>
      <c r="E2874" s="35" t="n"/>
      <c r="F2874" s="36" t="n"/>
      <c r="G2874" s="35" t="n"/>
      <c r="H2874" s="30">
        <f>IF(L2874="","",INDEX(SkiftNavn,L2874))</f>
        <v/>
      </c>
      <c r="I2874" s="30">
        <f>IF(OR(A2874="",L2874=""),"",IF(MOD(A2874-INDEX(SkiftStart,L2874),Syklus)&lt;DagK,"Kveld",IF(MOD(A2874-INDEX(SkiftStart,L2874),Syklus)&lt;DagK+DagH,"Helg",IF(MOD(A2874-INDEX(SkiftStart,L2874),Syklus)&lt;DagK+DagH+DagD,"Dag","Fri"))))</f>
        <v/>
      </c>
      <c r="J2874" s="30">
        <f>IF(I2874="Fri","Ja","")</f>
        <v/>
      </c>
      <c r="K2874" s="30">
        <f>IF(B2874="","",IF(L2874="","Ukjent tekniker",IF(ISNA(MATCH(C2874,Aktiviteter,0)),"Ukjent aktivitet",IF(AND(INDEX(AktRolle,MATCH(C2874,Aktiviteter,0))&amp;""&lt;&gt;"",ISERROR(SEARCH(INDEX(AktRolle,MATCH(C2874,Aktiviteter,0))&amp;"",INDEX(TekRoller,MATCH(B2874,Teknikere,0))))),"Mangler rollen "&amp;INDEX(AktRolle,MATCH(C2874,Aktiviteter,0))&amp;"",IF(AND(C2874="LMS",F2874&gt;0,OR(D2874="",E2874="")),"Mangler maskin eller arbeid",IF(AND(OR(C2874="LMS",C2874="Mod"),D2874&lt;&gt;""),IF(IFERROR(INDEX(MaskinStatus,MATCH(D2874,Maskiner,0)),"")="I dokk","","Maskinen er ikke i dokk"),""))))))</f>
        <v/>
      </c>
      <c r="L2874" s="2">
        <f>IF(B2874="","",IFERROR(INT((MATCH(B2874,Teknikere,0)-1)/18)+1,""))</f>
        <v/>
      </c>
      <c r="M2874" s="2">
        <f>IF(OR(A2874="",B2874=""),"",B2874&amp;"|"&amp;A2874)</f>
        <v/>
      </c>
      <c r="N2874" s="2">
        <f>IF(M2874="","",SUMIFS(TF_Timer,TF_Nokkel,M2874,TF_Akt,C2874))</f>
        <v/>
      </c>
      <c r="O2874" s="2">
        <f>IF(M2874="","",IF(AND(N2874=_xlfn.MAXIFS(TF_AktSum,TF_Nokkel,M2874),COUNTIFS(M$3:M2873,M2874,N$3:N2873,N2874)=0),M2874,""))</f>
        <v/>
      </c>
    </row>
    <row r="2875">
      <c r="A2875" s="34" t="n"/>
      <c r="B2875" s="35" t="n"/>
      <c r="C2875" s="35" t="n"/>
      <c r="D2875" s="35" t="n"/>
      <c r="E2875" s="35" t="n"/>
      <c r="F2875" s="36" t="n"/>
      <c r="G2875" s="35" t="n"/>
      <c r="H2875" s="30">
        <f>IF(L2875="","",INDEX(SkiftNavn,L2875))</f>
        <v/>
      </c>
      <c r="I2875" s="30">
        <f>IF(OR(A2875="",L2875=""),"",IF(MOD(A2875-INDEX(SkiftStart,L2875),Syklus)&lt;DagK,"Kveld",IF(MOD(A2875-INDEX(SkiftStart,L2875),Syklus)&lt;DagK+DagH,"Helg",IF(MOD(A2875-INDEX(SkiftStart,L2875),Syklus)&lt;DagK+DagH+DagD,"Dag","Fri"))))</f>
        <v/>
      </c>
      <c r="J2875" s="30">
        <f>IF(I2875="Fri","Ja","")</f>
        <v/>
      </c>
      <c r="K2875" s="30">
        <f>IF(B2875="","",IF(L2875="","Ukjent tekniker",IF(ISNA(MATCH(C2875,Aktiviteter,0)),"Ukjent aktivitet",IF(AND(INDEX(AktRolle,MATCH(C2875,Aktiviteter,0))&amp;""&lt;&gt;"",ISERROR(SEARCH(INDEX(AktRolle,MATCH(C2875,Aktiviteter,0))&amp;"",INDEX(TekRoller,MATCH(B2875,Teknikere,0))))),"Mangler rollen "&amp;INDEX(AktRolle,MATCH(C2875,Aktiviteter,0))&amp;"",IF(AND(C2875="LMS",F2875&gt;0,OR(D2875="",E2875="")),"Mangler maskin eller arbeid",IF(AND(OR(C2875="LMS",C2875="Mod"),D2875&lt;&gt;""),IF(IFERROR(INDEX(MaskinStatus,MATCH(D2875,Maskiner,0)),"")="I dokk","","Maskinen er ikke i dokk"),""))))))</f>
        <v/>
      </c>
      <c r="L2875" s="2">
        <f>IF(B2875="","",IFERROR(INT((MATCH(B2875,Teknikere,0)-1)/18)+1,""))</f>
        <v/>
      </c>
      <c r="M2875" s="2">
        <f>IF(OR(A2875="",B2875=""),"",B2875&amp;"|"&amp;A2875)</f>
        <v/>
      </c>
      <c r="N2875" s="2">
        <f>IF(M2875="","",SUMIFS(TF_Timer,TF_Nokkel,M2875,TF_Akt,C2875))</f>
        <v/>
      </c>
      <c r="O2875" s="2">
        <f>IF(M2875="","",IF(AND(N2875=_xlfn.MAXIFS(TF_AktSum,TF_Nokkel,M2875),COUNTIFS(M$3:M2874,M2875,N$3:N2874,N2875)=0),M2875,""))</f>
        <v/>
      </c>
    </row>
    <row r="2876">
      <c r="A2876" s="34" t="n"/>
      <c r="B2876" s="35" t="n"/>
      <c r="C2876" s="35" t="n"/>
      <c r="D2876" s="35" t="n"/>
      <c r="E2876" s="35" t="n"/>
      <c r="F2876" s="36" t="n"/>
      <c r="G2876" s="35" t="n"/>
      <c r="H2876" s="30">
        <f>IF(L2876="","",INDEX(SkiftNavn,L2876))</f>
        <v/>
      </c>
      <c r="I2876" s="30">
        <f>IF(OR(A2876="",L2876=""),"",IF(MOD(A2876-INDEX(SkiftStart,L2876),Syklus)&lt;DagK,"Kveld",IF(MOD(A2876-INDEX(SkiftStart,L2876),Syklus)&lt;DagK+DagH,"Helg",IF(MOD(A2876-INDEX(SkiftStart,L2876),Syklus)&lt;DagK+DagH+DagD,"Dag","Fri"))))</f>
        <v/>
      </c>
      <c r="J2876" s="30">
        <f>IF(I2876="Fri","Ja","")</f>
        <v/>
      </c>
      <c r="K2876" s="30">
        <f>IF(B2876="","",IF(L2876="","Ukjent tekniker",IF(ISNA(MATCH(C2876,Aktiviteter,0)),"Ukjent aktivitet",IF(AND(INDEX(AktRolle,MATCH(C2876,Aktiviteter,0))&amp;""&lt;&gt;"",ISERROR(SEARCH(INDEX(AktRolle,MATCH(C2876,Aktiviteter,0))&amp;"",INDEX(TekRoller,MATCH(B2876,Teknikere,0))))),"Mangler rollen "&amp;INDEX(AktRolle,MATCH(C2876,Aktiviteter,0))&amp;"",IF(AND(C2876="LMS",F2876&gt;0,OR(D2876="",E2876="")),"Mangler maskin eller arbeid",IF(AND(OR(C2876="LMS",C2876="Mod"),D2876&lt;&gt;""),IF(IFERROR(INDEX(MaskinStatus,MATCH(D2876,Maskiner,0)),"")="I dokk","","Maskinen er ikke i dokk"),""))))))</f>
        <v/>
      </c>
      <c r="L2876" s="2">
        <f>IF(B2876="","",IFERROR(INT((MATCH(B2876,Teknikere,0)-1)/18)+1,""))</f>
        <v/>
      </c>
      <c r="M2876" s="2">
        <f>IF(OR(A2876="",B2876=""),"",B2876&amp;"|"&amp;A2876)</f>
        <v/>
      </c>
      <c r="N2876" s="2">
        <f>IF(M2876="","",SUMIFS(TF_Timer,TF_Nokkel,M2876,TF_Akt,C2876))</f>
        <v/>
      </c>
      <c r="O2876" s="2">
        <f>IF(M2876="","",IF(AND(N2876=_xlfn.MAXIFS(TF_AktSum,TF_Nokkel,M2876),COUNTIFS(M$3:M2875,M2876,N$3:N2875,N2876)=0),M2876,""))</f>
        <v/>
      </c>
    </row>
    <row r="2877">
      <c r="A2877" s="34" t="n"/>
      <c r="B2877" s="35" t="n"/>
      <c r="C2877" s="35" t="n"/>
      <c r="D2877" s="35" t="n"/>
      <c r="E2877" s="35" t="n"/>
      <c r="F2877" s="36" t="n"/>
      <c r="G2877" s="35" t="n"/>
      <c r="H2877" s="30">
        <f>IF(L2877="","",INDEX(SkiftNavn,L2877))</f>
        <v/>
      </c>
      <c r="I2877" s="30">
        <f>IF(OR(A2877="",L2877=""),"",IF(MOD(A2877-INDEX(SkiftStart,L2877),Syklus)&lt;DagK,"Kveld",IF(MOD(A2877-INDEX(SkiftStart,L2877),Syklus)&lt;DagK+DagH,"Helg",IF(MOD(A2877-INDEX(SkiftStart,L2877),Syklus)&lt;DagK+DagH+DagD,"Dag","Fri"))))</f>
        <v/>
      </c>
      <c r="J2877" s="30">
        <f>IF(I2877="Fri","Ja","")</f>
        <v/>
      </c>
      <c r="K2877" s="30">
        <f>IF(B2877="","",IF(L2877="","Ukjent tekniker",IF(ISNA(MATCH(C2877,Aktiviteter,0)),"Ukjent aktivitet",IF(AND(INDEX(AktRolle,MATCH(C2877,Aktiviteter,0))&amp;""&lt;&gt;"",ISERROR(SEARCH(INDEX(AktRolle,MATCH(C2877,Aktiviteter,0))&amp;"",INDEX(TekRoller,MATCH(B2877,Teknikere,0))))),"Mangler rollen "&amp;INDEX(AktRolle,MATCH(C2877,Aktiviteter,0))&amp;"",IF(AND(C2877="LMS",F2877&gt;0,OR(D2877="",E2877="")),"Mangler maskin eller arbeid",IF(AND(OR(C2877="LMS",C2877="Mod"),D2877&lt;&gt;""),IF(IFERROR(INDEX(MaskinStatus,MATCH(D2877,Maskiner,0)),"")="I dokk","","Maskinen er ikke i dokk"),""))))))</f>
        <v/>
      </c>
      <c r="L2877" s="2">
        <f>IF(B2877="","",IFERROR(INT((MATCH(B2877,Teknikere,0)-1)/18)+1,""))</f>
        <v/>
      </c>
      <c r="M2877" s="2">
        <f>IF(OR(A2877="",B2877=""),"",B2877&amp;"|"&amp;A2877)</f>
        <v/>
      </c>
      <c r="N2877" s="2">
        <f>IF(M2877="","",SUMIFS(TF_Timer,TF_Nokkel,M2877,TF_Akt,C2877))</f>
        <v/>
      </c>
      <c r="O2877" s="2">
        <f>IF(M2877="","",IF(AND(N2877=_xlfn.MAXIFS(TF_AktSum,TF_Nokkel,M2877),COUNTIFS(M$3:M2876,M2877,N$3:N2876,N2877)=0),M2877,""))</f>
        <v/>
      </c>
    </row>
    <row r="2878">
      <c r="A2878" s="34" t="n"/>
      <c r="B2878" s="35" t="n"/>
      <c r="C2878" s="35" t="n"/>
      <c r="D2878" s="35" t="n"/>
      <c r="E2878" s="35" t="n"/>
      <c r="F2878" s="36" t="n"/>
      <c r="G2878" s="35" t="n"/>
      <c r="H2878" s="30">
        <f>IF(L2878="","",INDEX(SkiftNavn,L2878))</f>
        <v/>
      </c>
      <c r="I2878" s="30">
        <f>IF(OR(A2878="",L2878=""),"",IF(MOD(A2878-INDEX(SkiftStart,L2878),Syklus)&lt;DagK,"Kveld",IF(MOD(A2878-INDEX(SkiftStart,L2878),Syklus)&lt;DagK+DagH,"Helg",IF(MOD(A2878-INDEX(SkiftStart,L2878),Syklus)&lt;DagK+DagH+DagD,"Dag","Fri"))))</f>
        <v/>
      </c>
      <c r="J2878" s="30">
        <f>IF(I2878="Fri","Ja","")</f>
        <v/>
      </c>
      <c r="K2878" s="30">
        <f>IF(B2878="","",IF(L2878="","Ukjent tekniker",IF(ISNA(MATCH(C2878,Aktiviteter,0)),"Ukjent aktivitet",IF(AND(INDEX(AktRolle,MATCH(C2878,Aktiviteter,0))&amp;""&lt;&gt;"",ISERROR(SEARCH(INDEX(AktRolle,MATCH(C2878,Aktiviteter,0))&amp;"",INDEX(TekRoller,MATCH(B2878,Teknikere,0))))),"Mangler rollen "&amp;INDEX(AktRolle,MATCH(C2878,Aktiviteter,0))&amp;"",IF(AND(C2878="LMS",F2878&gt;0,OR(D2878="",E2878="")),"Mangler maskin eller arbeid",IF(AND(OR(C2878="LMS",C2878="Mod"),D2878&lt;&gt;""),IF(IFERROR(INDEX(MaskinStatus,MATCH(D2878,Maskiner,0)),"")="I dokk","","Maskinen er ikke i dokk"),""))))))</f>
        <v/>
      </c>
      <c r="L2878" s="2">
        <f>IF(B2878="","",IFERROR(INT((MATCH(B2878,Teknikere,0)-1)/18)+1,""))</f>
        <v/>
      </c>
      <c r="M2878" s="2">
        <f>IF(OR(A2878="",B2878=""),"",B2878&amp;"|"&amp;A2878)</f>
        <v/>
      </c>
      <c r="N2878" s="2">
        <f>IF(M2878="","",SUMIFS(TF_Timer,TF_Nokkel,M2878,TF_Akt,C2878))</f>
        <v/>
      </c>
      <c r="O2878" s="2">
        <f>IF(M2878="","",IF(AND(N2878=_xlfn.MAXIFS(TF_AktSum,TF_Nokkel,M2878),COUNTIFS(M$3:M2877,M2878,N$3:N2877,N2878)=0),M2878,""))</f>
        <v/>
      </c>
    </row>
    <row r="2879">
      <c r="A2879" s="34" t="n"/>
      <c r="B2879" s="35" t="n"/>
      <c r="C2879" s="35" t="n"/>
      <c r="D2879" s="35" t="n"/>
      <c r="E2879" s="35" t="n"/>
      <c r="F2879" s="36" t="n"/>
      <c r="G2879" s="35" t="n"/>
      <c r="H2879" s="30">
        <f>IF(L2879="","",INDEX(SkiftNavn,L2879))</f>
        <v/>
      </c>
      <c r="I2879" s="30">
        <f>IF(OR(A2879="",L2879=""),"",IF(MOD(A2879-INDEX(SkiftStart,L2879),Syklus)&lt;DagK,"Kveld",IF(MOD(A2879-INDEX(SkiftStart,L2879),Syklus)&lt;DagK+DagH,"Helg",IF(MOD(A2879-INDEX(SkiftStart,L2879),Syklus)&lt;DagK+DagH+DagD,"Dag","Fri"))))</f>
        <v/>
      </c>
      <c r="J2879" s="30">
        <f>IF(I2879="Fri","Ja","")</f>
        <v/>
      </c>
      <c r="K2879" s="30">
        <f>IF(B2879="","",IF(L2879="","Ukjent tekniker",IF(ISNA(MATCH(C2879,Aktiviteter,0)),"Ukjent aktivitet",IF(AND(INDEX(AktRolle,MATCH(C2879,Aktiviteter,0))&amp;""&lt;&gt;"",ISERROR(SEARCH(INDEX(AktRolle,MATCH(C2879,Aktiviteter,0))&amp;"",INDEX(TekRoller,MATCH(B2879,Teknikere,0))))),"Mangler rollen "&amp;INDEX(AktRolle,MATCH(C2879,Aktiviteter,0))&amp;"",IF(AND(C2879="LMS",F2879&gt;0,OR(D2879="",E2879="")),"Mangler maskin eller arbeid",IF(AND(OR(C2879="LMS",C2879="Mod"),D2879&lt;&gt;""),IF(IFERROR(INDEX(MaskinStatus,MATCH(D2879,Maskiner,0)),"")="I dokk","","Maskinen er ikke i dokk"),""))))))</f>
        <v/>
      </c>
      <c r="L2879" s="2">
        <f>IF(B2879="","",IFERROR(INT((MATCH(B2879,Teknikere,0)-1)/18)+1,""))</f>
        <v/>
      </c>
      <c r="M2879" s="2">
        <f>IF(OR(A2879="",B2879=""),"",B2879&amp;"|"&amp;A2879)</f>
        <v/>
      </c>
      <c r="N2879" s="2">
        <f>IF(M2879="","",SUMIFS(TF_Timer,TF_Nokkel,M2879,TF_Akt,C2879))</f>
        <v/>
      </c>
      <c r="O2879" s="2">
        <f>IF(M2879="","",IF(AND(N2879=_xlfn.MAXIFS(TF_AktSum,TF_Nokkel,M2879),COUNTIFS(M$3:M2878,M2879,N$3:N2878,N2879)=0),M2879,""))</f>
        <v/>
      </c>
    </row>
    <row r="2880">
      <c r="A2880" s="34" t="n"/>
      <c r="B2880" s="35" t="n"/>
      <c r="C2880" s="35" t="n"/>
      <c r="D2880" s="35" t="n"/>
      <c r="E2880" s="35" t="n"/>
      <c r="F2880" s="36" t="n"/>
      <c r="G2880" s="35" t="n"/>
      <c r="H2880" s="30">
        <f>IF(L2880="","",INDEX(SkiftNavn,L2880))</f>
        <v/>
      </c>
      <c r="I2880" s="30">
        <f>IF(OR(A2880="",L2880=""),"",IF(MOD(A2880-INDEX(SkiftStart,L2880),Syklus)&lt;DagK,"Kveld",IF(MOD(A2880-INDEX(SkiftStart,L2880),Syklus)&lt;DagK+DagH,"Helg",IF(MOD(A2880-INDEX(SkiftStart,L2880),Syklus)&lt;DagK+DagH+DagD,"Dag","Fri"))))</f>
        <v/>
      </c>
      <c r="J2880" s="30">
        <f>IF(I2880="Fri","Ja","")</f>
        <v/>
      </c>
      <c r="K2880" s="30">
        <f>IF(B2880="","",IF(L2880="","Ukjent tekniker",IF(ISNA(MATCH(C2880,Aktiviteter,0)),"Ukjent aktivitet",IF(AND(INDEX(AktRolle,MATCH(C2880,Aktiviteter,0))&amp;""&lt;&gt;"",ISERROR(SEARCH(INDEX(AktRolle,MATCH(C2880,Aktiviteter,0))&amp;"",INDEX(TekRoller,MATCH(B2880,Teknikere,0))))),"Mangler rollen "&amp;INDEX(AktRolle,MATCH(C2880,Aktiviteter,0))&amp;"",IF(AND(C2880="LMS",F2880&gt;0,OR(D2880="",E2880="")),"Mangler maskin eller arbeid",IF(AND(OR(C2880="LMS",C2880="Mod"),D2880&lt;&gt;""),IF(IFERROR(INDEX(MaskinStatus,MATCH(D2880,Maskiner,0)),"")="I dokk","","Maskinen er ikke i dokk"),""))))))</f>
        <v/>
      </c>
      <c r="L2880" s="2">
        <f>IF(B2880="","",IFERROR(INT((MATCH(B2880,Teknikere,0)-1)/18)+1,""))</f>
        <v/>
      </c>
      <c r="M2880" s="2">
        <f>IF(OR(A2880="",B2880=""),"",B2880&amp;"|"&amp;A2880)</f>
        <v/>
      </c>
      <c r="N2880" s="2">
        <f>IF(M2880="","",SUMIFS(TF_Timer,TF_Nokkel,M2880,TF_Akt,C2880))</f>
        <v/>
      </c>
      <c r="O2880" s="2">
        <f>IF(M2880="","",IF(AND(N2880=_xlfn.MAXIFS(TF_AktSum,TF_Nokkel,M2880),COUNTIFS(M$3:M2879,M2880,N$3:N2879,N2880)=0),M2880,""))</f>
        <v/>
      </c>
    </row>
    <row r="2881">
      <c r="A2881" s="34" t="n"/>
      <c r="B2881" s="35" t="n"/>
      <c r="C2881" s="35" t="n"/>
      <c r="D2881" s="35" t="n"/>
      <c r="E2881" s="35" t="n"/>
      <c r="F2881" s="36" t="n"/>
      <c r="G2881" s="35" t="n"/>
      <c r="H2881" s="30">
        <f>IF(L2881="","",INDEX(SkiftNavn,L2881))</f>
        <v/>
      </c>
      <c r="I2881" s="30">
        <f>IF(OR(A2881="",L2881=""),"",IF(MOD(A2881-INDEX(SkiftStart,L2881),Syklus)&lt;DagK,"Kveld",IF(MOD(A2881-INDEX(SkiftStart,L2881),Syklus)&lt;DagK+DagH,"Helg",IF(MOD(A2881-INDEX(SkiftStart,L2881),Syklus)&lt;DagK+DagH+DagD,"Dag","Fri"))))</f>
        <v/>
      </c>
      <c r="J2881" s="30">
        <f>IF(I2881="Fri","Ja","")</f>
        <v/>
      </c>
      <c r="K2881" s="30">
        <f>IF(B2881="","",IF(L2881="","Ukjent tekniker",IF(ISNA(MATCH(C2881,Aktiviteter,0)),"Ukjent aktivitet",IF(AND(INDEX(AktRolle,MATCH(C2881,Aktiviteter,0))&amp;""&lt;&gt;"",ISERROR(SEARCH(INDEX(AktRolle,MATCH(C2881,Aktiviteter,0))&amp;"",INDEX(TekRoller,MATCH(B2881,Teknikere,0))))),"Mangler rollen "&amp;INDEX(AktRolle,MATCH(C2881,Aktiviteter,0))&amp;"",IF(AND(C2881="LMS",F2881&gt;0,OR(D2881="",E2881="")),"Mangler maskin eller arbeid",IF(AND(OR(C2881="LMS",C2881="Mod"),D2881&lt;&gt;""),IF(IFERROR(INDEX(MaskinStatus,MATCH(D2881,Maskiner,0)),"")="I dokk","","Maskinen er ikke i dokk"),""))))))</f>
        <v/>
      </c>
      <c r="L2881" s="2">
        <f>IF(B2881="","",IFERROR(INT((MATCH(B2881,Teknikere,0)-1)/18)+1,""))</f>
        <v/>
      </c>
      <c r="M2881" s="2">
        <f>IF(OR(A2881="",B2881=""),"",B2881&amp;"|"&amp;A2881)</f>
        <v/>
      </c>
      <c r="N2881" s="2">
        <f>IF(M2881="","",SUMIFS(TF_Timer,TF_Nokkel,M2881,TF_Akt,C2881))</f>
        <v/>
      </c>
      <c r="O2881" s="2">
        <f>IF(M2881="","",IF(AND(N2881=_xlfn.MAXIFS(TF_AktSum,TF_Nokkel,M2881),COUNTIFS(M$3:M2880,M2881,N$3:N2880,N2881)=0),M2881,""))</f>
        <v/>
      </c>
    </row>
    <row r="2882">
      <c r="A2882" s="34" t="n"/>
      <c r="B2882" s="35" t="n"/>
      <c r="C2882" s="35" t="n"/>
      <c r="D2882" s="35" t="n"/>
      <c r="E2882" s="35" t="n"/>
      <c r="F2882" s="36" t="n"/>
      <c r="G2882" s="35" t="n"/>
      <c r="H2882" s="30">
        <f>IF(L2882="","",INDEX(SkiftNavn,L2882))</f>
        <v/>
      </c>
      <c r="I2882" s="30">
        <f>IF(OR(A2882="",L2882=""),"",IF(MOD(A2882-INDEX(SkiftStart,L2882),Syklus)&lt;DagK,"Kveld",IF(MOD(A2882-INDEX(SkiftStart,L2882),Syklus)&lt;DagK+DagH,"Helg",IF(MOD(A2882-INDEX(SkiftStart,L2882),Syklus)&lt;DagK+DagH+DagD,"Dag","Fri"))))</f>
        <v/>
      </c>
      <c r="J2882" s="30">
        <f>IF(I2882="Fri","Ja","")</f>
        <v/>
      </c>
      <c r="K2882" s="30">
        <f>IF(B2882="","",IF(L2882="","Ukjent tekniker",IF(ISNA(MATCH(C2882,Aktiviteter,0)),"Ukjent aktivitet",IF(AND(INDEX(AktRolle,MATCH(C2882,Aktiviteter,0))&amp;""&lt;&gt;"",ISERROR(SEARCH(INDEX(AktRolle,MATCH(C2882,Aktiviteter,0))&amp;"",INDEX(TekRoller,MATCH(B2882,Teknikere,0))))),"Mangler rollen "&amp;INDEX(AktRolle,MATCH(C2882,Aktiviteter,0))&amp;"",IF(AND(C2882="LMS",F2882&gt;0,OR(D2882="",E2882="")),"Mangler maskin eller arbeid",IF(AND(OR(C2882="LMS",C2882="Mod"),D2882&lt;&gt;""),IF(IFERROR(INDEX(MaskinStatus,MATCH(D2882,Maskiner,0)),"")="I dokk","","Maskinen er ikke i dokk"),""))))))</f>
        <v/>
      </c>
      <c r="L2882" s="2">
        <f>IF(B2882="","",IFERROR(INT((MATCH(B2882,Teknikere,0)-1)/18)+1,""))</f>
        <v/>
      </c>
      <c r="M2882" s="2">
        <f>IF(OR(A2882="",B2882=""),"",B2882&amp;"|"&amp;A2882)</f>
        <v/>
      </c>
      <c r="N2882" s="2">
        <f>IF(M2882="","",SUMIFS(TF_Timer,TF_Nokkel,M2882,TF_Akt,C2882))</f>
        <v/>
      </c>
      <c r="O2882" s="2">
        <f>IF(M2882="","",IF(AND(N2882=_xlfn.MAXIFS(TF_AktSum,TF_Nokkel,M2882),COUNTIFS(M$3:M2881,M2882,N$3:N2881,N2882)=0),M2882,""))</f>
        <v/>
      </c>
    </row>
    <row r="2883">
      <c r="A2883" s="34" t="n"/>
      <c r="B2883" s="35" t="n"/>
      <c r="C2883" s="35" t="n"/>
      <c r="D2883" s="35" t="n"/>
      <c r="E2883" s="35" t="n"/>
      <c r="F2883" s="36" t="n"/>
      <c r="G2883" s="35" t="n"/>
      <c r="H2883" s="30">
        <f>IF(L2883="","",INDEX(SkiftNavn,L2883))</f>
        <v/>
      </c>
      <c r="I2883" s="30">
        <f>IF(OR(A2883="",L2883=""),"",IF(MOD(A2883-INDEX(SkiftStart,L2883),Syklus)&lt;DagK,"Kveld",IF(MOD(A2883-INDEX(SkiftStart,L2883),Syklus)&lt;DagK+DagH,"Helg",IF(MOD(A2883-INDEX(SkiftStart,L2883),Syklus)&lt;DagK+DagH+DagD,"Dag","Fri"))))</f>
        <v/>
      </c>
      <c r="J2883" s="30">
        <f>IF(I2883="Fri","Ja","")</f>
        <v/>
      </c>
      <c r="K2883" s="30">
        <f>IF(B2883="","",IF(L2883="","Ukjent tekniker",IF(ISNA(MATCH(C2883,Aktiviteter,0)),"Ukjent aktivitet",IF(AND(INDEX(AktRolle,MATCH(C2883,Aktiviteter,0))&amp;""&lt;&gt;"",ISERROR(SEARCH(INDEX(AktRolle,MATCH(C2883,Aktiviteter,0))&amp;"",INDEX(TekRoller,MATCH(B2883,Teknikere,0))))),"Mangler rollen "&amp;INDEX(AktRolle,MATCH(C2883,Aktiviteter,0))&amp;"",IF(AND(C2883="LMS",F2883&gt;0,OR(D2883="",E2883="")),"Mangler maskin eller arbeid",IF(AND(OR(C2883="LMS",C2883="Mod"),D2883&lt;&gt;""),IF(IFERROR(INDEX(MaskinStatus,MATCH(D2883,Maskiner,0)),"")="I dokk","","Maskinen er ikke i dokk"),""))))))</f>
        <v/>
      </c>
      <c r="L2883" s="2">
        <f>IF(B2883="","",IFERROR(INT((MATCH(B2883,Teknikere,0)-1)/18)+1,""))</f>
        <v/>
      </c>
      <c r="M2883" s="2">
        <f>IF(OR(A2883="",B2883=""),"",B2883&amp;"|"&amp;A2883)</f>
        <v/>
      </c>
      <c r="N2883" s="2">
        <f>IF(M2883="","",SUMIFS(TF_Timer,TF_Nokkel,M2883,TF_Akt,C2883))</f>
        <v/>
      </c>
      <c r="O2883" s="2">
        <f>IF(M2883="","",IF(AND(N2883=_xlfn.MAXIFS(TF_AktSum,TF_Nokkel,M2883),COUNTIFS(M$3:M2882,M2883,N$3:N2882,N2883)=0),M2883,""))</f>
        <v/>
      </c>
    </row>
    <row r="2884">
      <c r="A2884" s="34" t="n"/>
      <c r="B2884" s="35" t="n"/>
      <c r="C2884" s="35" t="n"/>
      <c r="D2884" s="35" t="n"/>
      <c r="E2884" s="35" t="n"/>
      <c r="F2884" s="36" t="n"/>
      <c r="G2884" s="35" t="n"/>
      <c r="H2884" s="30">
        <f>IF(L2884="","",INDEX(SkiftNavn,L2884))</f>
        <v/>
      </c>
      <c r="I2884" s="30">
        <f>IF(OR(A2884="",L2884=""),"",IF(MOD(A2884-INDEX(SkiftStart,L2884),Syklus)&lt;DagK,"Kveld",IF(MOD(A2884-INDEX(SkiftStart,L2884),Syklus)&lt;DagK+DagH,"Helg",IF(MOD(A2884-INDEX(SkiftStart,L2884),Syklus)&lt;DagK+DagH+DagD,"Dag","Fri"))))</f>
        <v/>
      </c>
      <c r="J2884" s="30">
        <f>IF(I2884="Fri","Ja","")</f>
        <v/>
      </c>
      <c r="K2884" s="30">
        <f>IF(B2884="","",IF(L2884="","Ukjent tekniker",IF(ISNA(MATCH(C2884,Aktiviteter,0)),"Ukjent aktivitet",IF(AND(INDEX(AktRolle,MATCH(C2884,Aktiviteter,0))&amp;""&lt;&gt;"",ISERROR(SEARCH(INDEX(AktRolle,MATCH(C2884,Aktiviteter,0))&amp;"",INDEX(TekRoller,MATCH(B2884,Teknikere,0))))),"Mangler rollen "&amp;INDEX(AktRolle,MATCH(C2884,Aktiviteter,0))&amp;"",IF(AND(C2884="LMS",F2884&gt;0,OR(D2884="",E2884="")),"Mangler maskin eller arbeid",IF(AND(OR(C2884="LMS",C2884="Mod"),D2884&lt;&gt;""),IF(IFERROR(INDEX(MaskinStatus,MATCH(D2884,Maskiner,0)),"")="I dokk","","Maskinen er ikke i dokk"),""))))))</f>
        <v/>
      </c>
      <c r="L2884" s="2">
        <f>IF(B2884="","",IFERROR(INT((MATCH(B2884,Teknikere,0)-1)/18)+1,""))</f>
        <v/>
      </c>
      <c r="M2884" s="2">
        <f>IF(OR(A2884="",B2884=""),"",B2884&amp;"|"&amp;A2884)</f>
        <v/>
      </c>
      <c r="N2884" s="2">
        <f>IF(M2884="","",SUMIFS(TF_Timer,TF_Nokkel,M2884,TF_Akt,C2884))</f>
        <v/>
      </c>
      <c r="O2884" s="2">
        <f>IF(M2884="","",IF(AND(N2884=_xlfn.MAXIFS(TF_AktSum,TF_Nokkel,M2884),COUNTIFS(M$3:M2883,M2884,N$3:N2883,N2884)=0),M2884,""))</f>
        <v/>
      </c>
    </row>
    <row r="2885">
      <c r="A2885" s="34" t="n"/>
      <c r="B2885" s="35" t="n"/>
      <c r="C2885" s="35" t="n"/>
      <c r="D2885" s="35" t="n"/>
      <c r="E2885" s="35" t="n"/>
      <c r="F2885" s="36" t="n"/>
      <c r="G2885" s="35" t="n"/>
      <c r="H2885" s="30">
        <f>IF(L2885="","",INDEX(SkiftNavn,L2885))</f>
        <v/>
      </c>
      <c r="I2885" s="30">
        <f>IF(OR(A2885="",L2885=""),"",IF(MOD(A2885-INDEX(SkiftStart,L2885),Syklus)&lt;DagK,"Kveld",IF(MOD(A2885-INDEX(SkiftStart,L2885),Syklus)&lt;DagK+DagH,"Helg",IF(MOD(A2885-INDEX(SkiftStart,L2885),Syklus)&lt;DagK+DagH+DagD,"Dag","Fri"))))</f>
        <v/>
      </c>
      <c r="J2885" s="30">
        <f>IF(I2885="Fri","Ja","")</f>
        <v/>
      </c>
      <c r="K2885" s="30">
        <f>IF(B2885="","",IF(L2885="","Ukjent tekniker",IF(ISNA(MATCH(C2885,Aktiviteter,0)),"Ukjent aktivitet",IF(AND(INDEX(AktRolle,MATCH(C2885,Aktiviteter,0))&amp;""&lt;&gt;"",ISERROR(SEARCH(INDEX(AktRolle,MATCH(C2885,Aktiviteter,0))&amp;"",INDEX(TekRoller,MATCH(B2885,Teknikere,0))))),"Mangler rollen "&amp;INDEX(AktRolle,MATCH(C2885,Aktiviteter,0))&amp;"",IF(AND(C2885="LMS",F2885&gt;0,OR(D2885="",E2885="")),"Mangler maskin eller arbeid",IF(AND(OR(C2885="LMS",C2885="Mod"),D2885&lt;&gt;""),IF(IFERROR(INDEX(MaskinStatus,MATCH(D2885,Maskiner,0)),"")="I dokk","","Maskinen er ikke i dokk"),""))))))</f>
        <v/>
      </c>
      <c r="L2885" s="2">
        <f>IF(B2885="","",IFERROR(INT((MATCH(B2885,Teknikere,0)-1)/18)+1,""))</f>
        <v/>
      </c>
      <c r="M2885" s="2">
        <f>IF(OR(A2885="",B2885=""),"",B2885&amp;"|"&amp;A2885)</f>
        <v/>
      </c>
      <c r="N2885" s="2">
        <f>IF(M2885="","",SUMIFS(TF_Timer,TF_Nokkel,M2885,TF_Akt,C2885))</f>
        <v/>
      </c>
      <c r="O2885" s="2">
        <f>IF(M2885="","",IF(AND(N2885=_xlfn.MAXIFS(TF_AktSum,TF_Nokkel,M2885),COUNTIFS(M$3:M2884,M2885,N$3:N2884,N2885)=0),M2885,""))</f>
        <v/>
      </c>
    </row>
    <row r="2886">
      <c r="A2886" s="34" t="n"/>
      <c r="B2886" s="35" t="n"/>
      <c r="C2886" s="35" t="n"/>
      <c r="D2886" s="35" t="n"/>
      <c r="E2886" s="35" t="n"/>
      <c r="F2886" s="36" t="n"/>
      <c r="G2886" s="35" t="n"/>
      <c r="H2886" s="30">
        <f>IF(L2886="","",INDEX(SkiftNavn,L2886))</f>
        <v/>
      </c>
      <c r="I2886" s="30">
        <f>IF(OR(A2886="",L2886=""),"",IF(MOD(A2886-INDEX(SkiftStart,L2886),Syklus)&lt;DagK,"Kveld",IF(MOD(A2886-INDEX(SkiftStart,L2886),Syklus)&lt;DagK+DagH,"Helg",IF(MOD(A2886-INDEX(SkiftStart,L2886),Syklus)&lt;DagK+DagH+DagD,"Dag","Fri"))))</f>
        <v/>
      </c>
      <c r="J2886" s="30">
        <f>IF(I2886="Fri","Ja","")</f>
        <v/>
      </c>
      <c r="K2886" s="30">
        <f>IF(B2886="","",IF(L2886="","Ukjent tekniker",IF(ISNA(MATCH(C2886,Aktiviteter,0)),"Ukjent aktivitet",IF(AND(INDEX(AktRolle,MATCH(C2886,Aktiviteter,0))&amp;""&lt;&gt;"",ISERROR(SEARCH(INDEX(AktRolle,MATCH(C2886,Aktiviteter,0))&amp;"",INDEX(TekRoller,MATCH(B2886,Teknikere,0))))),"Mangler rollen "&amp;INDEX(AktRolle,MATCH(C2886,Aktiviteter,0))&amp;"",IF(AND(C2886="LMS",F2886&gt;0,OR(D2886="",E2886="")),"Mangler maskin eller arbeid",IF(AND(OR(C2886="LMS",C2886="Mod"),D2886&lt;&gt;""),IF(IFERROR(INDEX(MaskinStatus,MATCH(D2886,Maskiner,0)),"")="I dokk","","Maskinen er ikke i dokk"),""))))))</f>
        <v/>
      </c>
      <c r="L2886" s="2">
        <f>IF(B2886="","",IFERROR(INT((MATCH(B2886,Teknikere,0)-1)/18)+1,""))</f>
        <v/>
      </c>
      <c r="M2886" s="2">
        <f>IF(OR(A2886="",B2886=""),"",B2886&amp;"|"&amp;A2886)</f>
        <v/>
      </c>
      <c r="N2886" s="2">
        <f>IF(M2886="","",SUMIFS(TF_Timer,TF_Nokkel,M2886,TF_Akt,C2886))</f>
        <v/>
      </c>
      <c r="O2886" s="2">
        <f>IF(M2886="","",IF(AND(N2886=_xlfn.MAXIFS(TF_AktSum,TF_Nokkel,M2886),COUNTIFS(M$3:M2885,M2886,N$3:N2885,N2886)=0),M2886,""))</f>
        <v/>
      </c>
    </row>
    <row r="2887">
      <c r="A2887" s="34" t="n"/>
      <c r="B2887" s="35" t="n"/>
      <c r="C2887" s="35" t="n"/>
      <c r="D2887" s="35" t="n"/>
      <c r="E2887" s="35" t="n"/>
      <c r="F2887" s="36" t="n"/>
      <c r="G2887" s="35" t="n"/>
      <c r="H2887" s="30">
        <f>IF(L2887="","",INDEX(SkiftNavn,L2887))</f>
        <v/>
      </c>
      <c r="I2887" s="30">
        <f>IF(OR(A2887="",L2887=""),"",IF(MOD(A2887-INDEX(SkiftStart,L2887),Syklus)&lt;DagK,"Kveld",IF(MOD(A2887-INDEX(SkiftStart,L2887),Syklus)&lt;DagK+DagH,"Helg",IF(MOD(A2887-INDEX(SkiftStart,L2887),Syklus)&lt;DagK+DagH+DagD,"Dag","Fri"))))</f>
        <v/>
      </c>
      <c r="J2887" s="30">
        <f>IF(I2887="Fri","Ja","")</f>
        <v/>
      </c>
      <c r="K2887" s="30">
        <f>IF(B2887="","",IF(L2887="","Ukjent tekniker",IF(ISNA(MATCH(C2887,Aktiviteter,0)),"Ukjent aktivitet",IF(AND(INDEX(AktRolle,MATCH(C2887,Aktiviteter,0))&amp;""&lt;&gt;"",ISERROR(SEARCH(INDEX(AktRolle,MATCH(C2887,Aktiviteter,0))&amp;"",INDEX(TekRoller,MATCH(B2887,Teknikere,0))))),"Mangler rollen "&amp;INDEX(AktRolle,MATCH(C2887,Aktiviteter,0))&amp;"",IF(AND(C2887="LMS",F2887&gt;0,OR(D2887="",E2887="")),"Mangler maskin eller arbeid",IF(AND(OR(C2887="LMS",C2887="Mod"),D2887&lt;&gt;""),IF(IFERROR(INDEX(MaskinStatus,MATCH(D2887,Maskiner,0)),"")="I dokk","","Maskinen er ikke i dokk"),""))))))</f>
        <v/>
      </c>
      <c r="L2887" s="2">
        <f>IF(B2887="","",IFERROR(INT((MATCH(B2887,Teknikere,0)-1)/18)+1,""))</f>
        <v/>
      </c>
      <c r="M2887" s="2">
        <f>IF(OR(A2887="",B2887=""),"",B2887&amp;"|"&amp;A2887)</f>
        <v/>
      </c>
      <c r="N2887" s="2">
        <f>IF(M2887="","",SUMIFS(TF_Timer,TF_Nokkel,M2887,TF_Akt,C2887))</f>
        <v/>
      </c>
      <c r="O2887" s="2">
        <f>IF(M2887="","",IF(AND(N2887=_xlfn.MAXIFS(TF_AktSum,TF_Nokkel,M2887),COUNTIFS(M$3:M2886,M2887,N$3:N2886,N2887)=0),M2887,""))</f>
        <v/>
      </c>
    </row>
    <row r="2888">
      <c r="A2888" s="34" t="n"/>
      <c r="B2888" s="35" t="n"/>
      <c r="C2888" s="35" t="n"/>
      <c r="D2888" s="35" t="n"/>
      <c r="E2888" s="35" t="n"/>
      <c r="F2888" s="36" t="n"/>
      <c r="G2888" s="35" t="n"/>
      <c r="H2888" s="30">
        <f>IF(L2888="","",INDEX(SkiftNavn,L2888))</f>
        <v/>
      </c>
      <c r="I2888" s="30">
        <f>IF(OR(A2888="",L2888=""),"",IF(MOD(A2888-INDEX(SkiftStart,L2888),Syklus)&lt;DagK,"Kveld",IF(MOD(A2888-INDEX(SkiftStart,L2888),Syklus)&lt;DagK+DagH,"Helg",IF(MOD(A2888-INDEX(SkiftStart,L2888),Syklus)&lt;DagK+DagH+DagD,"Dag","Fri"))))</f>
        <v/>
      </c>
      <c r="J2888" s="30">
        <f>IF(I2888="Fri","Ja","")</f>
        <v/>
      </c>
      <c r="K2888" s="30">
        <f>IF(B2888="","",IF(L2888="","Ukjent tekniker",IF(ISNA(MATCH(C2888,Aktiviteter,0)),"Ukjent aktivitet",IF(AND(INDEX(AktRolle,MATCH(C2888,Aktiviteter,0))&amp;""&lt;&gt;"",ISERROR(SEARCH(INDEX(AktRolle,MATCH(C2888,Aktiviteter,0))&amp;"",INDEX(TekRoller,MATCH(B2888,Teknikere,0))))),"Mangler rollen "&amp;INDEX(AktRolle,MATCH(C2888,Aktiviteter,0))&amp;"",IF(AND(C2888="LMS",F2888&gt;0,OR(D2888="",E2888="")),"Mangler maskin eller arbeid",IF(AND(OR(C2888="LMS",C2888="Mod"),D2888&lt;&gt;""),IF(IFERROR(INDEX(MaskinStatus,MATCH(D2888,Maskiner,0)),"")="I dokk","","Maskinen er ikke i dokk"),""))))))</f>
        <v/>
      </c>
      <c r="L2888" s="2">
        <f>IF(B2888="","",IFERROR(INT((MATCH(B2888,Teknikere,0)-1)/18)+1,""))</f>
        <v/>
      </c>
      <c r="M2888" s="2">
        <f>IF(OR(A2888="",B2888=""),"",B2888&amp;"|"&amp;A2888)</f>
        <v/>
      </c>
      <c r="N2888" s="2">
        <f>IF(M2888="","",SUMIFS(TF_Timer,TF_Nokkel,M2888,TF_Akt,C2888))</f>
        <v/>
      </c>
      <c r="O2888" s="2">
        <f>IF(M2888="","",IF(AND(N2888=_xlfn.MAXIFS(TF_AktSum,TF_Nokkel,M2888),COUNTIFS(M$3:M2887,M2888,N$3:N2887,N2888)=0),M2888,""))</f>
        <v/>
      </c>
    </row>
    <row r="2889">
      <c r="A2889" s="34" t="n"/>
      <c r="B2889" s="35" t="n"/>
      <c r="C2889" s="35" t="n"/>
      <c r="D2889" s="35" t="n"/>
      <c r="E2889" s="35" t="n"/>
      <c r="F2889" s="36" t="n"/>
      <c r="G2889" s="35" t="n"/>
      <c r="H2889" s="30">
        <f>IF(L2889="","",INDEX(SkiftNavn,L2889))</f>
        <v/>
      </c>
      <c r="I2889" s="30">
        <f>IF(OR(A2889="",L2889=""),"",IF(MOD(A2889-INDEX(SkiftStart,L2889),Syklus)&lt;DagK,"Kveld",IF(MOD(A2889-INDEX(SkiftStart,L2889),Syklus)&lt;DagK+DagH,"Helg",IF(MOD(A2889-INDEX(SkiftStart,L2889),Syklus)&lt;DagK+DagH+DagD,"Dag","Fri"))))</f>
        <v/>
      </c>
      <c r="J2889" s="30">
        <f>IF(I2889="Fri","Ja","")</f>
        <v/>
      </c>
      <c r="K2889" s="30">
        <f>IF(B2889="","",IF(L2889="","Ukjent tekniker",IF(ISNA(MATCH(C2889,Aktiviteter,0)),"Ukjent aktivitet",IF(AND(INDEX(AktRolle,MATCH(C2889,Aktiviteter,0))&amp;""&lt;&gt;"",ISERROR(SEARCH(INDEX(AktRolle,MATCH(C2889,Aktiviteter,0))&amp;"",INDEX(TekRoller,MATCH(B2889,Teknikere,0))))),"Mangler rollen "&amp;INDEX(AktRolle,MATCH(C2889,Aktiviteter,0))&amp;"",IF(AND(C2889="LMS",F2889&gt;0,OR(D2889="",E2889="")),"Mangler maskin eller arbeid",IF(AND(OR(C2889="LMS",C2889="Mod"),D2889&lt;&gt;""),IF(IFERROR(INDEX(MaskinStatus,MATCH(D2889,Maskiner,0)),"")="I dokk","","Maskinen er ikke i dokk"),""))))))</f>
        <v/>
      </c>
      <c r="L2889" s="2">
        <f>IF(B2889="","",IFERROR(INT((MATCH(B2889,Teknikere,0)-1)/18)+1,""))</f>
        <v/>
      </c>
      <c r="M2889" s="2">
        <f>IF(OR(A2889="",B2889=""),"",B2889&amp;"|"&amp;A2889)</f>
        <v/>
      </c>
      <c r="N2889" s="2">
        <f>IF(M2889="","",SUMIFS(TF_Timer,TF_Nokkel,M2889,TF_Akt,C2889))</f>
        <v/>
      </c>
      <c r="O2889" s="2">
        <f>IF(M2889="","",IF(AND(N2889=_xlfn.MAXIFS(TF_AktSum,TF_Nokkel,M2889),COUNTIFS(M$3:M2888,M2889,N$3:N2888,N2889)=0),M2889,""))</f>
        <v/>
      </c>
    </row>
    <row r="2890">
      <c r="A2890" s="34" t="n"/>
      <c r="B2890" s="35" t="n"/>
      <c r="C2890" s="35" t="n"/>
      <c r="D2890" s="35" t="n"/>
      <c r="E2890" s="35" t="n"/>
      <c r="F2890" s="36" t="n"/>
      <c r="G2890" s="35" t="n"/>
      <c r="H2890" s="30">
        <f>IF(L2890="","",INDEX(SkiftNavn,L2890))</f>
        <v/>
      </c>
      <c r="I2890" s="30">
        <f>IF(OR(A2890="",L2890=""),"",IF(MOD(A2890-INDEX(SkiftStart,L2890),Syklus)&lt;DagK,"Kveld",IF(MOD(A2890-INDEX(SkiftStart,L2890),Syklus)&lt;DagK+DagH,"Helg",IF(MOD(A2890-INDEX(SkiftStart,L2890),Syklus)&lt;DagK+DagH+DagD,"Dag","Fri"))))</f>
        <v/>
      </c>
      <c r="J2890" s="30">
        <f>IF(I2890="Fri","Ja","")</f>
        <v/>
      </c>
      <c r="K2890" s="30">
        <f>IF(B2890="","",IF(L2890="","Ukjent tekniker",IF(ISNA(MATCH(C2890,Aktiviteter,0)),"Ukjent aktivitet",IF(AND(INDEX(AktRolle,MATCH(C2890,Aktiviteter,0))&amp;""&lt;&gt;"",ISERROR(SEARCH(INDEX(AktRolle,MATCH(C2890,Aktiviteter,0))&amp;"",INDEX(TekRoller,MATCH(B2890,Teknikere,0))))),"Mangler rollen "&amp;INDEX(AktRolle,MATCH(C2890,Aktiviteter,0))&amp;"",IF(AND(C2890="LMS",F2890&gt;0,OR(D2890="",E2890="")),"Mangler maskin eller arbeid",IF(AND(OR(C2890="LMS",C2890="Mod"),D2890&lt;&gt;""),IF(IFERROR(INDEX(MaskinStatus,MATCH(D2890,Maskiner,0)),"")="I dokk","","Maskinen er ikke i dokk"),""))))))</f>
        <v/>
      </c>
      <c r="L2890" s="2">
        <f>IF(B2890="","",IFERROR(INT((MATCH(B2890,Teknikere,0)-1)/18)+1,""))</f>
        <v/>
      </c>
      <c r="M2890" s="2">
        <f>IF(OR(A2890="",B2890=""),"",B2890&amp;"|"&amp;A2890)</f>
        <v/>
      </c>
      <c r="N2890" s="2">
        <f>IF(M2890="","",SUMIFS(TF_Timer,TF_Nokkel,M2890,TF_Akt,C2890))</f>
        <v/>
      </c>
      <c r="O2890" s="2">
        <f>IF(M2890="","",IF(AND(N2890=_xlfn.MAXIFS(TF_AktSum,TF_Nokkel,M2890),COUNTIFS(M$3:M2889,M2890,N$3:N2889,N2890)=0),M2890,""))</f>
        <v/>
      </c>
    </row>
    <row r="2891">
      <c r="A2891" s="34" t="n"/>
      <c r="B2891" s="35" t="n"/>
      <c r="C2891" s="35" t="n"/>
      <c r="D2891" s="35" t="n"/>
      <c r="E2891" s="35" t="n"/>
      <c r="F2891" s="36" t="n"/>
      <c r="G2891" s="35" t="n"/>
      <c r="H2891" s="30">
        <f>IF(L2891="","",INDEX(SkiftNavn,L2891))</f>
        <v/>
      </c>
      <c r="I2891" s="30">
        <f>IF(OR(A2891="",L2891=""),"",IF(MOD(A2891-INDEX(SkiftStart,L2891),Syklus)&lt;DagK,"Kveld",IF(MOD(A2891-INDEX(SkiftStart,L2891),Syklus)&lt;DagK+DagH,"Helg",IF(MOD(A2891-INDEX(SkiftStart,L2891),Syklus)&lt;DagK+DagH+DagD,"Dag","Fri"))))</f>
        <v/>
      </c>
      <c r="J2891" s="30">
        <f>IF(I2891="Fri","Ja","")</f>
        <v/>
      </c>
      <c r="K2891" s="30">
        <f>IF(B2891="","",IF(L2891="","Ukjent tekniker",IF(ISNA(MATCH(C2891,Aktiviteter,0)),"Ukjent aktivitet",IF(AND(INDEX(AktRolle,MATCH(C2891,Aktiviteter,0))&amp;""&lt;&gt;"",ISERROR(SEARCH(INDEX(AktRolle,MATCH(C2891,Aktiviteter,0))&amp;"",INDEX(TekRoller,MATCH(B2891,Teknikere,0))))),"Mangler rollen "&amp;INDEX(AktRolle,MATCH(C2891,Aktiviteter,0))&amp;"",IF(AND(C2891="LMS",F2891&gt;0,OR(D2891="",E2891="")),"Mangler maskin eller arbeid",IF(AND(OR(C2891="LMS",C2891="Mod"),D2891&lt;&gt;""),IF(IFERROR(INDEX(MaskinStatus,MATCH(D2891,Maskiner,0)),"")="I dokk","","Maskinen er ikke i dokk"),""))))))</f>
        <v/>
      </c>
      <c r="L2891" s="2">
        <f>IF(B2891="","",IFERROR(INT((MATCH(B2891,Teknikere,0)-1)/18)+1,""))</f>
        <v/>
      </c>
      <c r="M2891" s="2">
        <f>IF(OR(A2891="",B2891=""),"",B2891&amp;"|"&amp;A2891)</f>
        <v/>
      </c>
      <c r="N2891" s="2">
        <f>IF(M2891="","",SUMIFS(TF_Timer,TF_Nokkel,M2891,TF_Akt,C2891))</f>
        <v/>
      </c>
      <c r="O2891" s="2">
        <f>IF(M2891="","",IF(AND(N2891=_xlfn.MAXIFS(TF_AktSum,TF_Nokkel,M2891),COUNTIFS(M$3:M2890,M2891,N$3:N2890,N2891)=0),M2891,""))</f>
        <v/>
      </c>
    </row>
    <row r="2892">
      <c r="A2892" s="34" t="n"/>
      <c r="B2892" s="35" t="n"/>
      <c r="C2892" s="35" t="n"/>
      <c r="D2892" s="35" t="n"/>
      <c r="E2892" s="35" t="n"/>
      <c r="F2892" s="36" t="n"/>
      <c r="G2892" s="35" t="n"/>
      <c r="H2892" s="30">
        <f>IF(L2892="","",INDEX(SkiftNavn,L2892))</f>
        <v/>
      </c>
      <c r="I2892" s="30">
        <f>IF(OR(A2892="",L2892=""),"",IF(MOD(A2892-INDEX(SkiftStart,L2892),Syklus)&lt;DagK,"Kveld",IF(MOD(A2892-INDEX(SkiftStart,L2892),Syklus)&lt;DagK+DagH,"Helg",IF(MOD(A2892-INDEX(SkiftStart,L2892),Syklus)&lt;DagK+DagH+DagD,"Dag","Fri"))))</f>
        <v/>
      </c>
      <c r="J2892" s="30">
        <f>IF(I2892="Fri","Ja","")</f>
        <v/>
      </c>
      <c r="K2892" s="30">
        <f>IF(B2892="","",IF(L2892="","Ukjent tekniker",IF(ISNA(MATCH(C2892,Aktiviteter,0)),"Ukjent aktivitet",IF(AND(INDEX(AktRolle,MATCH(C2892,Aktiviteter,0))&amp;""&lt;&gt;"",ISERROR(SEARCH(INDEX(AktRolle,MATCH(C2892,Aktiviteter,0))&amp;"",INDEX(TekRoller,MATCH(B2892,Teknikere,0))))),"Mangler rollen "&amp;INDEX(AktRolle,MATCH(C2892,Aktiviteter,0))&amp;"",IF(AND(C2892="LMS",F2892&gt;0,OR(D2892="",E2892="")),"Mangler maskin eller arbeid",IF(AND(OR(C2892="LMS",C2892="Mod"),D2892&lt;&gt;""),IF(IFERROR(INDEX(MaskinStatus,MATCH(D2892,Maskiner,0)),"")="I dokk","","Maskinen er ikke i dokk"),""))))))</f>
        <v/>
      </c>
      <c r="L2892" s="2">
        <f>IF(B2892="","",IFERROR(INT((MATCH(B2892,Teknikere,0)-1)/18)+1,""))</f>
        <v/>
      </c>
      <c r="M2892" s="2">
        <f>IF(OR(A2892="",B2892=""),"",B2892&amp;"|"&amp;A2892)</f>
        <v/>
      </c>
      <c r="N2892" s="2">
        <f>IF(M2892="","",SUMIFS(TF_Timer,TF_Nokkel,M2892,TF_Akt,C2892))</f>
        <v/>
      </c>
      <c r="O2892" s="2">
        <f>IF(M2892="","",IF(AND(N2892=_xlfn.MAXIFS(TF_AktSum,TF_Nokkel,M2892),COUNTIFS(M$3:M2891,M2892,N$3:N2891,N2892)=0),M2892,""))</f>
        <v/>
      </c>
    </row>
    <row r="2893">
      <c r="A2893" s="34" t="n"/>
      <c r="B2893" s="35" t="n"/>
      <c r="C2893" s="35" t="n"/>
      <c r="D2893" s="35" t="n"/>
      <c r="E2893" s="35" t="n"/>
      <c r="F2893" s="36" t="n"/>
      <c r="G2893" s="35" t="n"/>
      <c r="H2893" s="30">
        <f>IF(L2893="","",INDEX(SkiftNavn,L2893))</f>
        <v/>
      </c>
      <c r="I2893" s="30">
        <f>IF(OR(A2893="",L2893=""),"",IF(MOD(A2893-INDEX(SkiftStart,L2893),Syklus)&lt;DagK,"Kveld",IF(MOD(A2893-INDEX(SkiftStart,L2893),Syklus)&lt;DagK+DagH,"Helg",IF(MOD(A2893-INDEX(SkiftStart,L2893),Syklus)&lt;DagK+DagH+DagD,"Dag","Fri"))))</f>
        <v/>
      </c>
      <c r="J2893" s="30">
        <f>IF(I2893="Fri","Ja","")</f>
        <v/>
      </c>
      <c r="K2893" s="30">
        <f>IF(B2893="","",IF(L2893="","Ukjent tekniker",IF(ISNA(MATCH(C2893,Aktiviteter,0)),"Ukjent aktivitet",IF(AND(INDEX(AktRolle,MATCH(C2893,Aktiviteter,0))&amp;""&lt;&gt;"",ISERROR(SEARCH(INDEX(AktRolle,MATCH(C2893,Aktiviteter,0))&amp;"",INDEX(TekRoller,MATCH(B2893,Teknikere,0))))),"Mangler rollen "&amp;INDEX(AktRolle,MATCH(C2893,Aktiviteter,0))&amp;"",IF(AND(C2893="LMS",F2893&gt;0,OR(D2893="",E2893="")),"Mangler maskin eller arbeid",IF(AND(OR(C2893="LMS",C2893="Mod"),D2893&lt;&gt;""),IF(IFERROR(INDEX(MaskinStatus,MATCH(D2893,Maskiner,0)),"")="I dokk","","Maskinen er ikke i dokk"),""))))))</f>
        <v/>
      </c>
      <c r="L2893" s="2">
        <f>IF(B2893="","",IFERROR(INT((MATCH(B2893,Teknikere,0)-1)/18)+1,""))</f>
        <v/>
      </c>
      <c r="M2893" s="2">
        <f>IF(OR(A2893="",B2893=""),"",B2893&amp;"|"&amp;A2893)</f>
        <v/>
      </c>
      <c r="N2893" s="2">
        <f>IF(M2893="","",SUMIFS(TF_Timer,TF_Nokkel,M2893,TF_Akt,C2893))</f>
        <v/>
      </c>
      <c r="O2893" s="2">
        <f>IF(M2893="","",IF(AND(N2893=_xlfn.MAXIFS(TF_AktSum,TF_Nokkel,M2893),COUNTIFS(M$3:M2892,M2893,N$3:N2892,N2893)=0),M2893,""))</f>
        <v/>
      </c>
    </row>
    <row r="2894">
      <c r="A2894" s="34" t="n"/>
      <c r="B2894" s="35" t="n"/>
      <c r="C2894" s="35" t="n"/>
      <c r="D2894" s="35" t="n"/>
      <c r="E2894" s="35" t="n"/>
      <c r="F2894" s="36" t="n"/>
      <c r="G2894" s="35" t="n"/>
      <c r="H2894" s="30">
        <f>IF(L2894="","",INDEX(SkiftNavn,L2894))</f>
        <v/>
      </c>
      <c r="I2894" s="30">
        <f>IF(OR(A2894="",L2894=""),"",IF(MOD(A2894-INDEX(SkiftStart,L2894),Syklus)&lt;DagK,"Kveld",IF(MOD(A2894-INDEX(SkiftStart,L2894),Syklus)&lt;DagK+DagH,"Helg",IF(MOD(A2894-INDEX(SkiftStart,L2894),Syklus)&lt;DagK+DagH+DagD,"Dag","Fri"))))</f>
        <v/>
      </c>
      <c r="J2894" s="30">
        <f>IF(I2894="Fri","Ja","")</f>
        <v/>
      </c>
      <c r="K2894" s="30">
        <f>IF(B2894="","",IF(L2894="","Ukjent tekniker",IF(ISNA(MATCH(C2894,Aktiviteter,0)),"Ukjent aktivitet",IF(AND(INDEX(AktRolle,MATCH(C2894,Aktiviteter,0))&amp;""&lt;&gt;"",ISERROR(SEARCH(INDEX(AktRolle,MATCH(C2894,Aktiviteter,0))&amp;"",INDEX(TekRoller,MATCH(B2894,Teknikere,0))))),"Mangler rollen "&amp;INDEX(AktRolle,MATCH(C2894,Aktiviteter,0))&amp;"",IF(AND(C2894="LMS",F2894&gt;0,OR(D2894="",E2894="")),"Mangler maskin eller arbeid",IF(AND(OR(C2894="LMS",C2894="Mod"),D2894&lt;&gt;""),IF(IFERROR(INDEX(MaskinStatus,MATCH(D2894,Maskiner,0)),"")="I dokk","","Maskinen er ikke i dokk"),""))))))</f>
        <v/>
      </c>
      <c r="L2894" s="2">
        <f>IF(B2894="","",IFERROR(INT((MATCH(B2894,Teknikere,0)-1)/18)+1,""))</f>
        <v/>
      </c>
      <c r="M2894" s="2">
        <f>IF(OR(A2894="",B2894=""),"",B2894&amp;"|"&amp;A2894)</f>
        <v/>
      </c>
      <c r="N2894" s="2">
        <f>IF(M2894="","",SUMIFS(TF_Timer,TF_Nokkel,M2894,TF_Akt,C2894))</f>
        <v/>
      </c>
      <c r="O2894" s="2">
        <f>IF(M2894="","",IF(AND(N2894=_xlfn.MAXIFS(TF_AktSum,TF_Nokkel,M2894),COUNTIFS(M$3:M2893,M2894,N$3:N2893,N2894)=0),M2894,""))</f>
        <v/>
      </c>
    </row>
    <row r="2895">
      <c r="A2895" s="34" t="n"/>
      <c r="B2895" s="35" t="n"/>
      <c r="C2895" s="35" t="n"/>
      <c r="D2895" s="35" t="n"/>
      <c r="E2895" s="35" t="n"/>
      <c r="F2895" s="36" t="n"/>
      <c r="G2895" s="35" t="n"/>
      <c r="H2895" s="30">
        <f>IF(L2895="","",INDEX(SkiftNavn,L2895))</f>
        <v/>
      </c>
      <c r="I2895" s="30">
        <f>IF(OR(A2895="",L2895=""),"",IF(MOD(A2895-INDEX(SkiftStart,L2895),Syklus)&lt;DagK,"Kveld",IF(MOD(A2895-INDEX(SkiftStart,L2895),Syklus)&lt;DagK+DagH,"Helg",IF(MOD(A2895-INDEX(SkiftStart,L2895),Syklus)&lt;DagK+DagH+DagD,"Dag","Fri"))))</f>
        <v/>
      </c>
      <c r="J2895" s="30">
        <f>IF(I2895="Fri","Ja","")</f>
        <v/>
      </c>
      <c r="K2895" s="30">
        <f>IF(B2895="","",IF(L2895="","Ukjent tekniker",IF(ISNA(MATCH(C2895,Aktiviteter,0)),"Ukjent aktivitet",IF(AND(INDEX(AktRolle,MATCH(C2895,Aktiviteter,0))&amp;""&lt;&gt;"",ISERROR(SEARCH(INDEX(AktRolle,MATCH(C2895,Aktiviteter,0))&amp;"",INDEX(TekRoller,MATCH(B2895,Teknikere,0))))),"Mangler rollen "&amp;INDEX(AktRolle,MATCH(C2895,Aktiviteter,0))&amp;"",IF(AND(C2895="LMS",F2895&gt;0,OR(D2895="",E2895="")),"Mangler maskin eller arbeid",IF(AND(OR(C2895="LMS",C2895="Mod"),D2895&lt;&gt;""),IF(IFERROR(INDEX(MaskinStatus,MATCH(D2895,Maskiner,0)),"")="I dokk","","Maskinen er ikke i dokk"),""))))))</f>
        <v/>
      </c>
      <c r="L2895" s="2">
        <f>IF(B2895="","",IFERROR(INT((MATCH(B2895,Teknikere,0)-1)/18)+1,""))</f>
        <v/>
      </c>
      <c r="M2895" s="2">
        <f>IF(OR(A2895="",B2895=""),"",B2895&amp;"|"&amp;A2895)</f>
        <v/>
      </c>
      <c r="N2895" s="2">
        <f>IF(M2895="","",SUMIFS(TF_Timer,TF_Nokkel,M2895,TF_Akt,C2895))</f>
        <v/>
      </c>
      <c r="O2895" s="2">
        <f>IF(M2895="","",IF(AND(N2895=_xlfn.MAXIFS(TF_AktSum,TF_Nokkel,M2895),COUNTIFS(M$3:M2894,M2895,N$3:N2894,N2895)=0),M2895,""))</f>
        <v/>
      </c>
    </row>
    <row r="2896">
      <c r="A2896" s="34" t="n"/>
      <c r="B2896" s="35" t="n"/>
      <c r="C2896" s="35" t="n"/>
      <c r="D2896" s="35" t="n"/>
      <c r="E2896" s="35" t="n"/>
      <c r="F2896" s="36" t="n"/>
      <c r="G2896" s="35" t="n"/>
      <c r="H2896" s="30">
        <f>IF(L2896="","",INDEX(SkiftNavn,L2896))</f>
        <v/>
      </c>
      <c r="I2896" s="30">
        <f>IF(OR(A2896="",L2896=""),"",IF(MOD(A2896-INDEX(SkiftStart,L2896),Syklus)&lt;DagK,"Kveld",IF(MOD(A2896-INDEX(SkiftStart,L2896),Syklus)&lt;DagK+DagH,"Helg",IF(MOD(A2896-INDEX(SkiftStart,L2896),Syklus)&lt;DagK+DagH+DagD,"Dag","Fri"))))</f>
        <v/>
      </c>
      <c r="J2896" s="30">
        <f>IF(I2896="Fri","Ja","")</f>
        <v/>
      </c>
      <c r="K2896" s="30">
        <f>IF(B2896="","",IF(L2896="","Ukjent tekniker",IF(ISNA(MATCH(C2896,Aktiviteter,0)),"Ukjent aktivitet",IF(AND(INDEX(AktRolle,MATCH(C2896,Aktiviteter,0))&amp;""&lt;&gt;"",ISERROR(SEARCH(INDEX(AktRolle,MATCH(C2896,Aktiviteter,0))&amp;"",INDEX(TekRoller,MATCH(B2896,Teknikere,0))))),"Mangler rollen "&amp;INDEX(AktRolle,MATCH(C2896,Aktiviteter,0))&amp;"",IF(AND(C2896="LMS",F2896&gt;0,OR(D2896="",E2896="")),"Mangler maskin eller arbeid",IF(AND(OR(C2896="LMS",C2896="Mod"),D2896&lt;&gt;""),IF(IFERROR(INDEX(MaskinStatus,MATCH(D2896,Maskiner,0)),"")="I dokk","","Maskinen er ikke i dokk"),""))))))</f>
        <v/>
      </c>
      <c r="L2896" s="2">
        <f>IF(B2896="","",IFERROR(INT((MATCH(B2896,Teknikere,0)-1)/18)+1,""))</f>
        <v/>
      </c>
      <c r="M2896" s="2">
        <f>IF(OR(A2896="",B2896=""),"",B2896&amp;"|"&amp;A2896)</f>
        <v/>
      </c>
      <c r="N2896" s="2">
        <f>IF(M2896="","",SUMIFS(TF_Timer,TF_Nokkel,M2896,TF_Akt,C2896))</f>
        <v/>
      </c>
      <c r="O2896" s="2">
        <f>IF(M2896="","",IF(AND(N2896=_xlfn.MAXIFS(TF_AktSum,TF_Nokkel,M2896),COUNTIFS(M$3:M2895,M2896,N$3:N2895,N2896)=0),M2896,""))</f>
        <v/>
      </c>
    </row>
    <row r="2897">
      <c r="A2897" s="34" t="n"/>
      <c r="B2897" s="35" t="n"/>
      <c r="C2897" s="35" t="n"/>
      <c r="D2897" s="35" t="n"/>
      <c r="E2897" s="35" t="n"/>
      <c r="F2897" s="36" t="n"/>
      <c r="G2897" s="35" t="n"/>
      <c r="H2897" s="30">
        <f>IF(L2897="","",INDEX(SkiftNavn,L2897))</f>
        <v/>
      </c>
      <c r="I2897" s="30">
        <f>IF(OR(A2897="",L2897=""),"",IF(MOD(A2897-INDEX(SkiftStart,L2897),Syklus)&lt;DagK,"Kveld",IF(MOD(A2897-INDEX(SkiftStart,L2897),Syklus)&lt;DagK+DagH,"Helg",IF(MOD(A2897-INDEX(SkiftStart,L2897),Syklus)&lt;DagK+DagH+DagD,"Dag","Fri"))))</f>
        <v/>
      </c>
      <c r="J2897" s="30">
        <f>IF(I2897="Fri","Ja","")</f>
        <v/>
      </c>
      <c r="K2897" s="30">
        <f>IF(B2897="","",IF(L2897="","Ukjent tekniker",IF(ISNA(MATCH(C2897,Aktiviteter,0)),"Ukjent aktivitet",IF(AND(INDEX(AktRolle,MATCH(C2897,Aktiviteter,0))&amp;""&lt;&gt;"",ISERROR(SEARCH(INDEX(AktRolle,MATCH(C2897,Aktiviteter,0))&amp;"",INDEX(TekRoller,MATCH(B2897,Teknikere,0))))),"Mangler rollen "&amp;INDEX(AktRolle,MATCH(C2897,Aktiviteter,0))&amp;"",IF(AND(C2897="LMS",F2897&gt;0,OR(D2897="",E2897="")),"Mangler maskin eller arbeid",IF(AND(OR(C2897="LMS",C2897="Mod"),D2897&lt;&gt;""),IF(IFERROR(INDEX(MaskinStatus,MATCH(D2897,Maskiner,0)),"")="I dokk","","Maskinen er ikke i dokk"),""))))))</f>
        <v/>
      </c>
      <c r="L2897" s="2">
        <f>IF(B2897="","",IFERROR(INT((MATCH(B2897,Teknikere,0)-1)/18)+1,""))</f>
        <v/>
      </c>
      <c r="M2897" s="2">
        <f>IF(OR(A2897="",B2897=""),"",B2897&amp;"|"&amp;A2897)</f>
        <v/>
      </c>
      <c r="N2897" s="2">
        <f>IF(M2897="","",SUMIFS(TF_Timer,TF_Nokkel,M2897,TF_Akt,C2897))</f>
        <v/>
      </c>
      <c r="O2897" s="2">
        <f>IF(M2897="","",IF(AND(N2897=_xlfn.MAXIFS(TF_AktSum,TF_Nokkel,M2897),COUNTIFS(M$3:M2896,M2897,N$3:N2896,N2897)=0),M2897,""))</f>
        <v/>
      </c>
    </row>
    <row r="2898">
      <c r="A2898" s="34" t="n"/>
      <c r="B2898" s="35" t="n"/>
      <c r="C2898" s="35" t="n"/>
      <c r="D2898" s="35" t="n"/>
      <c r="E2898" s="35" t="n"/>
      <c r="F2898" s="36" t="n"/>
      <c r="G2898" s="35" t="n"/>
      <c r="H2898" s="30">
        <f>IF(L2898="","",INDEX(SkiftNavn,L2898))</f>
        <v/>
      </c>
      <c r="I2898" s="30">
        <f>IF(OR(A2898="",L2898=""),"",IF(MOD(A2898-INDEX(SkiftStart,L2898),Syklus)&lt;DagK,"Kveld",IF(MOD(A2898-INDEX(SkiftStart,L2898),Syklus)&lt;DagK+DagH,"Helg",IF(MOD(A2898-INDEX(SkiftStart,L2898),Syklus)&lt;DagK+DagH+DagD,"Dag","Fri"))))</f>
        <v/>
      </c>
      <c r="J2898" s="30">
        <f>IF(I2898="Fri","Ja","")</f>
        <v/>
      </c>
      <c r="K2898" s="30">
        <f>IF(B2898="","",IF(L2898="","Ukjent tekniker",IF(ISNA(MATCH(C2898,Aktiviteter,0)),"Ukjent aktivitet",IF(AND(INDEX(AktRolle,MATCH(C2898,Aktiviteter,0))&amp;""&lt;&gt;"",ISERROR(SEARCH(INDEX(AktRolle,MATCH(C2898,Aktiviteter,0))&amp;"",INDEX(TekRoller,MATCH(B2898,Teknikere,0))))),"Mangler rollen "&amp;INDEX(AktRolle,MATCH(C2898,Aktiviteter,0))&amp;"",IF(AND(C2898="LMS",F2898&gt;0,OR(D2898="",E2898="")),"Mangler maskin eller arbeid",IF(AND(OR(C2898="LMS",C2898="Mod"),D2898&lt;&gt;""),IF(IFERROR(INDEX(MaskinStatus,MATCH(D2898,Maskiner,0)),"")="I dokk","","Maskinen er ikke i dokk"),""))))))</f>
        <v/>
      </c>
      <c r="L2898" s="2">
        <f>IF(B2898="","",IFERROR(INT((MATCH(B2898,Teknikere,0)-1)/18)+1,""))</f>
        <v/>
      </c>
      <c r="M2898" s="2">
        <f>IF(OR(A2898="",B2898=""),"",B2898&amp;"|"&amp;A2898)</f>
        <v/>
      </c>
      <c r="N2898" s="2">
        <f>IF(M2898="","",SUMIFS(TF_Timer,TF_Nokkel,M2898,TF_Akt,C2898))</f>
        <v/>
      </c>
      <c r="O2898" s="2">
        <f>IF(M2898="","",IF(AND(N2898=_xlfn.MAXIFS(TF_AktSum,TF_Nokkel,M2898),COUNTIFS(M$3:M2897,M2898,N$3:N2897,N2898)=0),M2898,""))</f>
        <v/>
      </c>
    </row>
    <row r="2899">
      <c r="A2899" s="34" t="n"/>
      <c r="B2899" s="35" t="n"/>
      <c r="C2899" s="35" t="n"/>
      <c r="D2899" s="35" t="n"/>
      <c r="E2899" s="35" t="n"/>
      <c r="F2899" s="36" t="n"/>
      <c r="G2899" s="35" t="n"/>
      <c r="H2899" s="30">
        <f>IF(L2899="","",INDEX(SkiftNavn,L2899))</f>
        <v/>
      </c>
      <c r="I2899" s="30">
        <f>IF(OR(A2899="",L2899=""),"",IF(MOD(A2899-INDEX(SkiftStart,L2899),Syklus)&lt;DagK,"Kveld",IF(MOD(A2899-INDEX(SkiftStart,L2899),Syklus)&lt;DagK+DagH,"Helg",IF(MOD(A2899-INDEX(SkiftStart,L2899),Syklus)&lt;DagK+DagH+DagD,"Dag","Fri"))))</f>
        <v/>
      </c>
      <c r="J2899" s="30">
        <f>IF(I2899="Fri","Ja","")</f>
        <v/>
      </c>
      <c r="K2899" s="30">
        <f>IF(B2899="","",IF(L2899="","Ukjent tekniker",IF(ISNA(MATCH(C2899,Aktiviteter,0)),"Ukjent aktivitet",IF(AND(INDEX(AktRolle,MATCH(C2899,Aktiviteter,0))&amp;""&lt;&gt;"",ISERROR(SEARCH(INDEX(AktRolle,MATCH(C2899,Aktiviteter,0))&amp;"",INDEX(TekRoller,MATCH(B2899,Teknikere,0))))),"Mangler rollen "&amp;INDEX(AktRolle,MATCH(C2899,Aktiviteter,0))&amp;"",IF(AND(C2899="LMS",F2899&gt;0,OR(D2899="",E2899="")),"Mangler maskin eller arbeid",IF(AND(OR(C2899="LMS",C2899="Mod"),D2899&lt;&gt;""),IF(IFERROR(INDEX(MaskinStatus,MATCH(D2899,Maskiner,0)),"")="I dokk","","Maskinen er ikke i dokk"),""))))))</f>
        <v/>
      </c>
      <c r="L2899" s="2">
        <f>IF(B2899="","",IFERROR(INT((MATCH(B2899,Teknikere,0)-1)/18)+1,""))</f>
        <v/>
      </c>
      <c r="M2899" s="2">
        <f>IF(OR(A2899="",B2899=""),"",B2899&amp;"|"&amp;A2899)</f>
        <v/>
      </c>
      <c r="N2899" s="2">
        <f>IF(M2899="","",SUMIFS(TF_Timer,TF_Nokkel,M2899,TF_Akt,C2899))</f>
        <v/>
      </c>
      <c r="O2899" s="2">
        <f>IF(M2899="","",IF(AND(N2899=_xlfn.MAXIFS(TF_AktSum,TF_Nokkel,M2899),COUNTIFS(M$3:M2898,M2899,N$3:N2898,N2899)=0),M2899,""))</f>
        <v/>
      </c>
    </row>
    <row r="2900">
      <c r="A2900" s="34" t="n"/>
      <c r="B2900" s="35" t="n"/>
      <c r="C2900" s="35" t="n"/>
      <c r="D2900" s="35" t="n"/>
      <c r="E2900" s="35" t="n"/>
      <c r="F2900" s="36" t="n"/>
      <c r="G2900" s="35" t="n"/>
      <c r="H2900" s="30">
        <f>IF(L2900="","",INDEX(SkiftNavn,L2900))</f>
        <v/>
      </c>
      <c r="I2900" s="30">
        <f>IF(OR(A2900="",L2900=""),"",IF(MOD(A2900-INDEX(SkiftStart,L2900),Syklus)&lt;DagK,"Kveld",IF(MOD(A2900-INDEX(SkiftStart,L2900),Syklus)&lt;DagK+DagH,"Helg",IF(MOD(A2900-INDEX(SkiftStart,L2900),Syklus)&lt;DagK+DagH+DagD,"Dag","Fri"))))</f>
        <v/>
      </c>
      <c r="J2900" s="30">
        <f>IF(I2900="Fri","Ja","")</f>
        <v/>
      </c>
      <c r="K2900" s="30">
        <f>IF(B2900="","",IF(L2900="","Ukjent tekniker",IF(ISNA(MATCH(C2900,Aktiviteter,0)),"Ukjent aktivitet",IF(AND(INDEX(AktRolle,MATCH(C2900,Aktiviteter,0))&amp;""&lt;&gt;"",ISERROR(SEARCH(INDEX(AktRolle,MATCH(C2900,Aktiviteter,0))&amp;"",INDEX(TekRoller,MATCH(B2900,Teknikere,0))))),"Mangler rollen "&amp;INDEX(AktRolle,MATCH(C2900,Aktiviteter,0))&amp;"",IF(AND(C2900="LMS",F2900&gt;0,OR(D2900="",E2900="")),"Mangler maskin eller arbeid",IF(AND(OR(C2900="LMS",C2900="Mod"),D2900&lt;&gt;""),IF(IFERROR(INDEX(MaskinStatus,MATCH(D2900,Maskiner,0)),"")="I dokk","","Maskinen er ikke i dokk"),""))))))</f>
        <v/>
      </c>
      <c r="L2900" s="2">
        <f>IF(B2900="","",IFERROR(INT((MATCH(B2900,Teknikere,0)-1)/18)+1,""))</f>
        <v/>
      </c>
      <c r="M2900" s="2">
        <f>IF(OR(A2900="",B2900=""),"",B2900&amp;"|"&amp;A2900)</f>
        <v/>
      </c>
      <c r="N2900" s="2">
        <f>IF(M2900="","",SUMIFS(TF_Timer,TF_Nokkel,M2900,TF_Akt,C2900))</f>
        <v/>
      </c>
      <c r="O2900" s="2">
        <f>IF(M2900="","",IF(AND(N2900=_xlfn.MAXIFS(TF_AktSum,TF_Nokkel,M2900),COUNTIFS(M$3:M2899,M2900,N$3:N2899,N2900)=0),M2900,""))</f>
        <v/>
      </c>
    </row>
    <row r="2901">
      <c r="A2901" s="34" t="n"/>
      <c r="B2901" s="35" t="n"/>
      <c r="C2901" s="35" t="n"/>
      <c r="D2901" s="35" t="n"/>
      <c r="E2901" s="35" t="n"/>
      <c r="F2901" s="36" t="n"/>
      <c r="G2901" s="35" t="n"/>
      <c r="H2901" s="30">
        <f>IF(L2901="","",INDEX(SkiftNavn,L2901))</f>
        <v/>
      </c>
      <c r="I2901" s="30">
        <f>IF(OR(A2901="",L2901=""),"",IF(MOD(A2901-INDEX(SkiftStart,L2901),Syklus)&lt;DagK,"Kveld",IF(MOD(A2901-INDEX(SkiftStart,L2901),Syklus)&lt;DagK+DagH,"Helg",IF(MOD(A2901-INDEX(SkiftStart,L2901),Syklus)&lt;DagK+DagH+DagD,"Dag","Fri"))))</f>
        <v/>
      </c>
      <c r="J2901" s="30">
        <f>IF(I2901="Fri","Ja","")</f>
        <v/>
      </c>
      <c r="K2901" s="30">
        <f>IF(B2901="","",IF(L2901="","Ukjent tekniker",IF(ISNA(MATCH(C2901,Aktiviteter,0)),"Ukjent aktivitet",IF(AND(INDEX(AktRolle,MATCH(C2901,Aktiviteter,0))&amp;""&lt;&gt;"",ISERROR(SEARCH(INDEX(AktRolle,MATCH(C2901,Aktiviteter,0))&amp;"",INDEX(TekRoller,MATCH(B2901,Teknikere,0))))),"Mangler rollen "&amp;INDEX(AktRolle,MATCH(C2901,Aktiviteter,0))&amp;"",IF(AND(C2901="LMS",F2901&gt;0,OR(D2901="",E2901="")),"Mangler maskin eller arbeid",IF(AND(OR(C2901="LMS",C2901="Mod"),D2901&lt;&gt;""),IF(IFERROR(INDEX(MaskinStatus,MATCH(D2901,Maskiner,0)),"")="I dokk","","Maskinen er ikke i dokk"),""))))))</f>
        <v/>
      </c>
      <c r="L2901" s="2">
        <f>IF(B2901="","",IFERROR(INT((MATCH(B2901,Teknikere,0)-1)/18)+1,""))</f>
        <v/>
      </c>
      <c r="M2901" s="2">
        <f>IF(OR(A2901="",B2901=""),"",B2901&amp;"|"&amp;A2901)</f>
        <v/>
      </c>
      <c r="N2901" s="2">
        <f>IF(M2901="","",SUMIFS(TF_Timer,TF_Nokkel,M2901,TF_Akt,C2901))</f>
        <v/>
      </c>
      <c r="O2901" s="2">
        <f>IF(M2901="","",IF(AND(N2901=_xlfn.MAXIFS(TF_AktSum,TF_Nokkel,M2901),COUNTIFS(M$3:M2900,M2901,N$3:N2900,N2901)=0),M2901,""))</f>
        <v/>
      </c>
    </row>
    <row r="2902">
      <c r="A2902" s="34" t="n"/>
      <c r="B2902" s="35" t="n"/>
      <c r="C2902" s="35" t="n"/>
      <c r="D2902" s="35" t="n"/>
      <c r="E2902" s="35" t="n"/>
      <c r="F2902" s="36" t="n"/>
      <c r="G2902" s="35" t="n"/>
      <c r="H2902" s="30">
        <f>IF(L2902="","",INDEX(SkiftNavn,L2902))</f>
        <v/>
      </c>
      <c r="I2902" s="30">
        <f>IF(OR(A2902="",L2902=""),"",IF(MOD(A2902-INDEX(SkiftStart,L2902),Syklus)&lt;DagK,"Kveld",IF(MOD(A2902-INDEX(SkiftStart,L2902),Syklus)&lt;DagK+DagH,"Helg",IF(MOD(A2902-INDEX(SkiftStart,L2902),Syklus)&lt;DagK+DagH+DagD,"Dag","Fri"))))</f>
        <v/>
      </c>
      <c r="J2902" s="30">
        <f>IF(I2902="Fri","Ja","")</f>
        <v/>
      </c>
      <c r="K2902" s="30">
        <f>IF(B2902="","",IF(L2902="","Ukjent tekniker",IF(ISNA(MATCH(C2902,Aktiviteter,0)),"Ukjent aktivitet",IF(AND(INDEX(AktRolle,MATCH(C2902,Aktiviteter,0))&amp;""&lt;&gt;"",ISERROR(SEARCH(INDEX(AktRolle,MATCH(C2902,Aktiviteter,0))&amp;"",INDEX(TekRoller,MATCH(B2902,Teknikere,0))))),"Mangler rollen "&amp;INDEX(AktRolle,MATCH(C2902,Aktiviteter,0))&amp;"",IF(AND(C2902="LMS",F2902&gt;0,OR(D2902="",E2902="")),"Mangler maskin eller arbeid",IF(AND(OR(C2902="LMS",C2902="Mod"),D2902&lt;&gt;""),IF(IFERROR(INDEX(MaskinStatus,MATCH(D2902,Maskiner,0)),"")="I dokk","","Maskinen er ikke i dokk"),""))))))</f>
        <v/>
      </c>
      <c r="L2902" s="2">
        <f>IF(B2902="","",IFERROR(INT((MATCH(B2902,Teknikere,0)-1)/18)+1,""))</f>
        <v/>
      </c>
      <c r="M2902" s="2">
        <f>IF(OR(A2902="",B2902=""),"",B2902&amp;"|"&amp;A2902)</f>
        <v/>
      </c>
      <c r="N2902" s="2">
        <f>IF(M2902="","",SUMIFS(TF_Timer,TF_Nokkel,M2902,TF_Akt,C2902))</f>
        <v/>
      </c>
      <c r="O2902" s="2">
        <f>IF(M2902="","",IF(AND(N2902=_xlfn.MAXIFS(TF_AktSum,TF_Nokkel,M2902),COUNTIFS(M$3:M2901,M2902,N$3:N2901,N2902)=0),M2902,""))</f>
        <v/>
      </c>
    </row>
    <row r="2903">
      <c r="A2903" s="34" t="n"/>
      <c r="B2903" s="35" t="n"/>
      <c r="C2903" s="35" t="n"/>
      <c r="D2903" s="35" t="n"/>
      <c r="E2903" s="35" t="n"/>
      <c r="F2903" s="36" t="n"/>
      <c r="G2903" s="35" t="n"/>
      <c r="H2903" s="30">
        <f>IF(L2903="","",INDEX(SkiftNavn,L2903))</f>
        <v/>
      </c>
      <c r="I2903" s="30">
        <f>IF(OR(A2903="",L2903=""),"",IF(MOD(A2903-INDEX(SkiftStart,L2903),Syklus)&lt;DagK,"Kveld",IF(MOD(A2903-INDEX(SkiftStart,L2903),Syklus)&lt;DagK+DagH,"Helg",IF(MOD(A2903-INDEX(SkiftStart,L2903),Syklus)&lt;DagK+DagH+DagD,"Dag","Fri"))))</f>
        <v/>
      </c>
      <c r="J2903" s="30">
        <f>IF(I2903="Fri","Ja","")</f>
        <v/>
      </c>
      <c r="K2903" s="30">
        <f>IF(B2903="","",IF(L2903="","Ukjent tekniker",IF(ISNA(MATCH(C2903,Aktiviteter,0)),"Ukjent aktivitet",IF(AND(INDEX(AktRolle,MATCH(C2903,Aktiviteter,0))&amp;""&lt;&gt;"",ISERROR(SEARCH(INDEX(AktRolle,MATCH(C2903,Aktiviteter,0))&amp;"",INDEX(TekRoller,MATCH(B2903,Teknikere,0))))),"Mangler rollen "&amp;INDEX(AktRolle,MATCH(C2903,Aktiviteter,0))&amp;"",IF(AND(C2903="LMS",F2903&gt;0,OR(D2903="",E2903="")),"Mangler maskin eller arbeid",IF(AND(OR(C2903="LMS",C2903="Mod"),D2903&lt;&gt;""),IF(IFERROR(INDEX(MaskinStatus,MATCH(D2903,Maskiner,0)),"")="I dokk","","Maskinen er ikke i dokk"),""))))))</f>
        <v/>
      </c>
      <c r="L2903" s="2">
        <f>IF(B2903="","",IFERROR(INT((MATCH(B2903,Teknikere,0)-1)/18)+1,""))</f>
        <v/>
      </c>
      <c r="M2903" s="2">
        <f>IF(OR(A2903="",B2903=""),"",B2903&amp;"|"&amp;A2903)</f>
        <v/>
      </c>
      <c r="N2903" s="2">
        <f>IF(M2903="","",SUMIFS(TF_Timer,TF_Nokkel,M2903,TF_Akt,C2903))</f>
        <v/>
      </c>
      <c r="O2903" s="2">
        <f>IF(M2903="","",IF(AND(N2903=_xlfn.MAXIFS(TF_AktSum,TF_Nokkel,M2903),COUNTIFS(M$3:M2902,M2903,N$3:N2902,N2903)=0),M2903,""))</f>
        <v/>
      </c>
    </row>
    <row r="2904">
      <c r="A2904" s="34" t="n"/>
      <c r="B2904" s="35" t="n"/>
      <c r="C2904" s="35" t="n"/>
      <c r="D2904" s="35" t="n"/>
      <c r="E2904" s="35" t="n"/>
      <c r="F2904" s="36" t="n"/>
      <c r="G2904" s="35" t="n"/>
      <c r="H2904" s="30">
        <f>IF(L2904="","",INDEX(SkiftNavn,L2904))</f>
        <v/>
      </c>
      <c r="I2904" s="30">
        <f>IF(OR(A2904="",L2904=""),"",IF(MOD(A2904-INDEX(SkiftStart,L2904),Syklus)&lt;DagK,"Kveld",IF(MOD(A2904-INDEX(SkiftStart,L2904),Syklus)&lt;DagK+DagH,"Helg",IF(MOD(A2904-INDEX(SkiftStart,L2904),Syklus)&lt;DagK+DagH+DagD,"Dag","Fri"))))</f>
        <v/>
      </c>
      <c r="J2904" s="30">
        <f>IF(I2904="Fri","Ja","")</f>
        <v/>
      </c>
      <c r="K2904" s="30">
        <f>IF(B2904="","",IF(L2904="","Ukjent tekniker",IF(ISNA(MATCH(C2904,Aktiviteter,0)),"Ukjent aktivitet",IF(AND(INDEX(AktRolle,MATCH(C2904,Aktiviteter,0))&amp;""&lt;&gt;"",ISERROR(SEARCH(INDEX(AktRolle,MATCH(C2904,Aktiviteter,0))&amp;"",INDEX(TekRoller,MATCH(B2904,Teknikere,0))))),"Mangler rollen "&amp;INDEX(AktRolle,MATCH(C2904,Aktiviteter,0))&amp;"",IF(AND(C2904="LMS",F2904&gt;0,OR(D2904="",E2904="")),"Mangler maskin eller arbeid",IF(AND(OR(C2904="LMS",C2904="Mod"),D2904&lt;&gt;""),IF(IFERROR(INDEX(MaskinStatus,MATCH(D2904,Maskiner,0)),"")="I dokk","","Maskinen er ikke i dokk"),""))))))</f>
        <v/>
      </c>
      <c r="L2904" s="2">
        <f>IF(B2904="","",IFERROR(INT((MATCH(B2904,Teknikere,0)-1)/18)+1,""))</f>
        <v/>
      </c>
      <c r="M2904" s="2">
        <f>IF(OR(A2904="",B2904=""),"",B2904&amp;"|"&amp;A2904)</f>
        <v/>
      </c>
      <c r="N2904" s="2">
        <f>IF(M2904="","",SUMIFS(TF_Timer,TF_Nokkel,M2904,TF_Akt,C2904))</f>
        <v/>
      </c>
      <c r="O2904" s="2">
        <f>IF(M2904="","",IF(AND(N2904=_xlfn.MAXIFS(TF_AktSum,TF_Nokkel,M2904),COUNTIFS(M$3:M2903,M2904,N$3:N2903,N2904)=0),M2904,""))</f>
        <v/>
      </c>
    </row>
    <row r="2905">
      <c r="A2905" s="34" t="n"/>
      <c r="B2905" s="35" t="n"/>
      <c r="C2905" s="35" t="n"/>
      <c r="D2905" s="35" t="n"/>
      <c r="E2905" s="35" t="n"/>
      <c r="F2905" s="36" t="n"/>
      <c r="G2905" s="35" t="n"/>
      <c r="H2905" s="30">
        <f>IF(L2905="","",INDEX(SkiftNavn,L2905))</f>
        <v/>
      </c>
      <c r="I2905" s="30">
        <f>IF(OR(A2905="",L2905=""),"",IF(MOD(A2905-INDEX(SkiftStart,L2905),Syklus)&lt;DagK,"Kveld",IF(MOD(A2905-INDEX(SkiftStart,L2905),Syklus)&lt;DagK+DagH,"Helg",IF(MOD(A2905-INDEX(SkiftStart,L2905),Syklus)&lt;DagK+DagH+DagD,"Dag","Fri"))))</f>
        <v/>
      </c>
      <c r="J2905" s="30">
        <f>IF(I2905="Fri","Ja","")</f>
        <v/>
      </c>
      <c r="K2905" s="30">
        <f>IF(B2905="","",IF(L2905="","Ukjent tekniker",IF(ISNA(MATCH(C2905,Aktiviteter,0)),"Ukjent aktivitet",IF(AND(INDEX(AktRolle,MATCH(C2905,Aktiviteter,0))&amp;""&lt;&gt;"",ISERROR(SEARCH(INDEX(AktRolle,MATCH(C2905,Aktiviteter,0))&amp;"",INDEX(TekRoller,MATCH(B2905,Teknikere,0))))),"Mangler rollen "&amp;INDEX(AktRolle,MATCH(C2905,Aktiviteter,0))&amp;"",IF(AND(C2905="LMS",F2905&gt;0,OR(D2905="",E2905="")),"Mangler maskin eller arbeid",IF(AND(OR(C2905="LMS",C2905="Mod"),D2905&lt;&gt;""),IF(IFERROR(INDEX(MaskinStatus,MATCH(D2905,Maskiner,0)),"")="I dokk","","Maskinen er ikke i dokk"),""))))))</f>
        <v/>
      </c>
      <c r="L2905" s="2">
        <f>IF(B2905="","",IFERROR(INT((MATCH(B2905,Teknikere,0)-1)/18)+1,""))</f>
        <v/>
      </c>
      <c r="M2905" s="2">
        <f>IF(OR(A2905="",B2905=""),"",B2905&amp;"|"&amp;A2905)</f>
        <v/>
      </c>
      <c r="N2905" s="2">
        <f>IF(M2905="","",SUMIFS(TF_Timer,TF_Nokkel,M2905,TF_Akt,C2905))</f>
        <v/>
      </c>
      <c r="O2905" s="2">
        <f>IF(M2905="","",IF(AND(N2905=_xlfn.MAXIFS(TF_AktSum,TF_Nokkel,M2905),COUNTIFS(M$3:M2904,M2905,N$3:N2904,N2905)=0),M2905,""))</f>
        <v/>
      </c>
    </row>
    <row r="2906">
      <c r="A2906" s="34" t="n"/>
      <c r="B2906" s="35" t="n"/>
      <c r="C2906" s="35" t="n"/>
      <c r="D2906" s="35" t="n"/>
      <c r="E2906" s="35" t="n"/>
      <c r="F2906" s="36" t="n"/>
      <c r="G2906" s="35" t="n"/>
      <c r="H2906" s="30">
        <f>IF(L2906="","",INDEX(SkiftNavn,L2906))</f>
        <v/>
      </c>
      <c r="I2906" s="30">
        <f>IF(OR(A2906="",L2906=""),"",IF(MOD(A2906-INDEX(SkiftStart,L2906),Syklus)&lt;DagK,"Kveld",IF(MOD(A2906-INDEX(SkiftStart,L2906),Syklus)&lt;DagK+DagH,"Helg",IF(MOD(A2906-INDEX(SkiftStart,L2906),Syklus)&lt;DagK+DagH+DagD,"Dag","Fri"))))</f>
        <v/>
      </c>
      <c r="J2906" s="30">
        <f>IF(I2906="Fri","Ja","")</f>
        <v/>
      </c>
      <c r="K2906" s="30">
        <f>IF(B2906="","",IF(L2906="","Ukjent tekniker",IF(ISNA(MATCH(C2906,Aktiviteter,0)),"Ukjent aktivitet",IF(AND(INDEX(AktRolle,MATCH(C2906,Aktiviteter,0))&amp;""&lt;&gt;"",ISERROR(SEARCH(INDEX(AktRolle,MATCH(C2906,Aktiviteter,0))&amp;"",INDEX(TekRoller,MATCH(B2906,Teknikere,0))))),"Mangler rollen "&amp;INDEX(AktRolle,MATCH(C2906,Aktiviteter,0))&amp;"",IF(AND(C2906="LMS",F2906&gt;0,OR(D2906="",E2906="")),"Mangler maskin eller arbeid",IF(AND(OR(C2906="LMS",C2906="Mod"),D2906&lt;&gt;""),IF(IFERROR(INDEX(MaskinStatus,MATCH(D2906,Maskiner,0)),"")="I dokk","","Maskinen er ikke i dokk"),""))))))</f>
        <v/>
      </c>
      <c r="L2906" s="2">
        <f>IF(B2906="","",IFERROR(INT((MATCH(B2906,Teknikere,0)-1)/18)+1,""))</f>
        <v/>
      </c>
      <c r="M2906" s="2">
        <f>IF(OR(A2906="",B2906=""),"",B2906&amp;"|"&amp;A2906)</f>
        <v/>
      </c>
      <c r="N2906" s="2">
        <f>IF(M2906="","",SUMIFS(TF_Timer,TF_Nokkel,M2906,TF_Akt,C2906))</f>
        <v/>
      </c>
      <c r="O2906" s="2">
        <f>IF(M2906="","",IF(AND(N2906=_xlfn.MAXIFS(TF_AktSum,TF_Nokkel,M2906),COUNTIFS(M$3:M2905,M2906,N$3:N2905,N2906)=0),M2906,""))</f>
        <v/>
      </c>
    </row>
    <row r="2907">
      <c r="A2907" s="34" t="n"/>
      <c r="B2907" s="35" t="n"/>
      <c r="C2907" s="35" t="n"/>
      <c r="D2907" s="35" t="n"/>
      <c r="E2907" s="35" t="n"/>
      <c r="F2907" s="36" t="n"/>
      <c r="G2907" s="35" t="n"/>
      <c r="H2907" s="30">
        <f>IF(L2907="","",INDEX(SkiftNavn,L2907))</f>
        <v/>
      </c>
      <c r="I2907" s="30">
        <f>IF(OR(A2907="",L2907=""),"",IF(MOD(A2907-INDEX(SkiftStart,L2907),Syklus)&lt;DagK,"Kveld",IF(MOD(A2907-INDEX(SkiftStart,L2907),Syklus)&lt;DagK+DagH,"Helg",IF(MOD(A2907-INDEX(SkiftStart,L2907),Syklus)&lt;DagK+DagH+DagD,"Dag","Fri"))))</f>
        <v/>
      </c>
      <c r="J2907" s="30">
        <f>IF(I2907="Fri","Ja","")</f>
        <v/>
      </c>
      <c r="K2907" s="30">
        <f>IF(B2907="","",IF(L2907="","Ukjent tekniker",IF(ISNA(MATCH(C2907,Aktiviteter,0)),"Ukjent aktivitet",IF(AND(INDEX(AktRolle,MATCH(C2907,Aktiviteter,0))&amp;""&lt;&gt;"",ISERROR(SEARCH(INDEX(AktRolle,MATCH(C2907,Aktiviteter,0))&amp;"",INDEX(TekRoller,MATCH(B2907,Teknikere,0))))),"Mangler rollen "&amp;INDEX(AktRolle,MATCH(C2907,Aktiviteter,0))&amp;"",IF(AND(C2907="LMS",F2907&gt;0,OR(D2907="",E2907="")),"Mangler maskin eller arbeid",IF(AND(OR(C2907="LMS",C2907="Mod"),D2907&lt;&gt;""),IF(IFERROR(INDEX(MaskinStatus,MATCH(D2907,Maskiner,0)),"")="I dokk","","Maskinen er ikke i dokk"),""))))))</f>
        <v/>
      </c>
      <c r="L2907" s="2">
        <f>IF(B2907="","",IFERROR(INT((MATCH(B2907,Teknikere,0)-1)/18)+1,""))</f>
        <v/>
      </c>
      <c r="M2907" s="2">
        <f>IF(OR(A2907="",B2907=""),"",B2907&amp;"|"&amp;A2907)</f>
        <v/>
      </c>
      <c r="N2907" s="2">
        <f>IF(M2907="","",SUMIFS(TF_Timer,TF_Nokkel,M2907,TF_Akt,C2907))</f>
        <v/>
      </c>
      <c r="O2907" s="2">
        <f>IF(M2907="","",IF(AND(N2907=_xlfn.MAXIFS(TF_AktSum,TF_Nokkel,M2907),COUNTIFS(M$3:M2906,M2907,N$3:N2906,N2907)=0),M2907,""))</f>
        <v/>
      </c>
    </row>
    <row r="2908">
      <c r="A2908" s="34" t="n"/>
      <c r="B2908" s="35" t="n"/>
      <c r="C2908" s="35" t="n"/>
      <c r="D2908" s="35" t="n"/>
      <c r="E2908" s="35" t="n"/>
      <c r="F2908" s="36" t="n"/>
      <c r="G2908" s="35" t="n"/>
      <c r="H2908" s="30">
        <f>IF(L2908="","",INDEX(SkiftNavn,L2908))</f>
        <v/>
      </c>
      <c r="I2908" s="30">
        <f>IF(OR(A2908="",L2908=""),"",IF(MOD(A2908-INDEX(SkiftStart,L2908),Syklus)&lt;DagK,"Kveld",IF(MOD(A2908-INDEX(SkiftStart,L2908),Syklus)&lt;DagK+DagH,"Helg",IF(MOD(A2908-INDEX(SkiftStart,L2908),Syklus)&lt;DagK+DagH+DagD,"Dag","Fri"))))</f>
        <v/>
      </c>
      <c r="J2908" s="30">
        <f>IF(I2908="Fri","Ja","")</f>
        <v/>
      </c>
      <c r="K2908" s="30">
        <f>IF(B2908="","",IF(L2908="","Ukjent tekniker",IF(ISNA(MATCH(C2908,Aktiviteter,0)),"Ukjent aktivitet",IF(AND(INDEX(AktRolle,MATCH(C2908,Aktiviteter,0))&amp;""&lt;&gt;"",ISERROR(SEARCH(INDEX(AktRolle,MATCH(C2908,Aktiviteter,0))&amp;"",INDEX(TekRoller,MATCH(B2908,Teknikere,0))))),"Mangler rollen "&amp;INDEX(AktRolle,MATCH(C2908,Aktiviteter,0))&amp;"",IF(AND(C2908="LMS",F2908&gt;0,OR(D2908="",E2908="")),"Mangler maskin eller arbeid",IF(AND(OR(C2908="LMS",C2908="Mod"),D2908&lt;&gt;""),IF(IFERROR(INDEX(MaskinStatus,MATCH(D2908,Maskiner,0)),"")="I dokk","","Maskinen er ikke i dokk"),""))))))</f>
        <v/>
      </c>
      <c r="L2908" s="2">
        <f>IF(B2908="","",IFERROR(INT((MATCH(B2908,Teknikere,0)-1)/18)+1,""))</f>
        <v/>
      </c>
      <c r="M2908" s="2">
        <f>IF(OR(A2908="",B2908=""),"",B2908&amp;"|"&amp;A2908)</f>
        <v/>
      </c>
      <c r="N2908" s="2">
        <f>IF(M2908="","",SUMIFS(TF_Timer,TF_Nokkel,M2908,TF_Akt,C2908))</f>
        <v/>
      </c>
      <c r="O2908" s="2">
        <f>IF(M2908="","",IF(AND(N2908=_xlfn.MAXIFS(TF_AktSum,TF_Nokkel,M2908),COUNTIFS(M$3:M2907,M2908,N$3:N2907,N2908)=0),M2908,""))</f>
        <v/>
      </c>
    </row>
    <row r="2909">
      <c r="A2909" s="34" t="n"/>
      <c r="B2909" s="35" t="n"/>
      <c r="C2909" s="35" t="n"/>
      <c r="D2909" s="35" t="n"/>
      <c r="E2909" s="35" t="n"/>
      <c r="F2909" s="36" t="n"/>
      <c r="G2909" s="35" t="n"/>
      <c r="H2909" s="30">
        <f>IF(L2909="","",INDEX(SkiftNavn,L2909))</f>
        <v/>
      </c>
      <c r="I2909" s="30">
        <f>IF(OR(A2909="",L2909=""),"",IF(MOD(A2909-INDEX(SkiftStart,L2909),Syklus)&lt;DagK,"Kveld",IF(MOD(A2909-INDEX(SkiftStart,L2909),Syklus)&lt;DagK+DagH,"Helg",IF(MOD(A2909-INDEX(SkiftStart,L2909),Syklus)&lt;DagK+DagH+DagD,"Dag","Fri"))))</f>
        <v/>
      </c>
      <c r="J2909" s="30">
        <f>IF(I2909="Fri","Ja","")</f>
        <v/>
      </c>
      <c r="K2909" s="30">
        <f>IF(B2909="","",IF(L2909="","Ukjent tekniker",IF(ISNA(MATCH(C2909,Aktiviteter,0)),"Ukjent aktivitet",IF(AND(INDEX(AktRolle,MATCH(C2909,Aktiviteter,0))&amp;""&lt;&gt;"",ISERROR(SEARCH(INDEX(AktRolle,MATCH(C2909,Aktiviteter,0))&amp;"",INDEX(TekRoller,MATCH(B2909,Teknikere,0))))),"Mangler rollen "&amp;INDEX(AktRolle,MATCH(C2909,Aktiviteter,0))&amp;"",IF(AND(C2909="LMS",F2909&gt;0,OR(D2909="",E2909="")),"Mangler maskin eller arbeid",IF(AND(OR(C2909="LMS",C2909="Mod"),D2909&lt;&gt;""),IF(IFERROR(INDEX(MaskinStatus,MATCH(D2909,Maskiner,0)),"")="I dokk","","Maskinen er ikke i dokk"),""))))))</f>
        <v/>
      </c>
      <c r="L2909" s="2">
        <f>IF(B2909="","",IFERROR(INT((MATCH(B2909,Teknikere,0)-1)/18)+1,""))</f>
        <v/>
      </c>
      <c r="M2909" s="2">
        <f>IF(OR(A2909="",B2909=""),"",B2909&amp;"|"&amp;A2909)</f>
        <v/>
      </c>
      <c r="N2909" s="2">
        <f>IF(M2909="","",SUMIFS(TF_Timer,TF_Nokkel,M2909,TF_Akt,C2909))</f>
        <v/>
      </c>
      <c r="O2909" s="2">
        <f>IF(M2909="","",IF(AND(N2909=_xlfn.MAXIFS(TF_AktSum,TF_Nokkel,M2909),COUNTIFS(M$3:M2908,M2909,N$3:N2908,N2909)=0),M2909,""))</f>
        <v/>
      </c>
    </row>
    <row r="2910">
      <c r="A2910" s="34" t="n"/>
      <c r="B2910" s="35" t="n"/>
      <c r="C2910" s="35" t="n"/>
      <c r="D2910" s="35" t="n"/>
      <c r="E2910" s="35" t="n"/>
      <c r="F2910" s="36" t="n"/>
      <c r="G2910" s="35" t="n"/>
      <c r="H2910" s="30">
        <f>IF(L2910="","",INDEX(SkiftNavn,L2910))</f>
        <v/>
      </c>
      <c r="I2910" s="30">
        <f>IF(OR(A2910="",L2910=""),"",IF(MOD(A2910-INDEX(SkiftStart,L2910),Syklus)&lt;DagK,"Kveld",IF(MOD(A2910-INDEX(SkiftStart,L2910),Syklus)&lt;DagK+DagH,"Helg",IF(MOD(A2910-INDEX(SkiftStart,L2910),Syklus)&lt;DagK+DagH+DagD,"Dag","Fri"))))</f>
        <v/>
      </c>
      <c r="J2910" s="30">
        <f>IF(I2910="Fri","Ja","")</f>
        <v/>
      </c>
      <c r="K2910" s="30">
        <f>IF(B2910="","",IF(L2910="","Ukjent tekniker",IF(ISNA(MATCH(C2910,Aktiviteter,0)),"Ukjent aktivitet",IF(AND(INDEX(AktRolle,MATCH(C2910,Aktiviteter,0))&amp;""&lt;&gt;"",ISERROR(SEARCH(INDEX(AktRolle,MATCH(C2910,Aktiviteter,0))&amp;"",INDEX(TekRoller,MATCH(B2910,Teknikere,0))))),"Mangler rollen "&amp;INDEX(AktRolle,MATCH(C2910,Aktiviteter,0))&amp;"",IF(AND(C2910="LMS",F2910&gt;0,OR(D2910="",E2910="")),"Mangler maskin eller arbeid",IF(AND(OR(C2910="LMS",C2910="Mod"),D2910&lt;&gt;""),IF(IFERROR(INDEX(MaskinStatus,MATCH(D2910,Maskiner,0)),"")="I dokk","","Maskinen er ikke i dokk"),""))))))</f>
        <v/>
      </c>
      <c r="L2910" s="2">
        <f>IF(B2910="","",IFERROR(INT((MATCH(B2910,Teknikere,0)-1)/18)+1,""))</f>
        <v/>
      </c>
      <c r="M2910" s="2">
        <f>IF(OR(A2910="",B2910=""),"",B2910&amp;"|"&amp;A2910)</f>
        <v/>
      </c>
      <c r="N2910" s="2">
        <f>IF(M2910="","",SUMIFS(TF_Timer,TF_Nokkel,M2910,TF_Akt,C2910))</f>
        <v/>
      </c>
      <c r="O2910" s="2">
        <f>IF(M2910="","",IF(AND(N2910=_xlfn.MAXIFS(TF_AktSum,TF_Nokkel,M2910),COUNTIFS(M$3:M2909,M2910,N$3:N2909,N2910)=0),M2910,""))</f>
        <v/>
      </c>
    </row>
    <row r="2911">
      <c r="A2911" s="34" t="n"/>
      <c r="B2911" s="35" t="n"/>
      <c r="C2911" s="35" t="n"/>
      <c r="D2911" s="35" t="n"/>
      <c r="E2911" s="35" t="n"/>
      <c r="F2911" s="36" t="n"/>
      <c r="G2911" s="35" t="n"/>
      <c r="H2911" s="30">
        <f>IF(L2911="","",INDEX(SkiftNavn,L2911))</f>
        <v/>
      </c>
      <c r="I2911" s="30">
        <f>IF(OR(A2911="",L2911=""),"",IF(MOD(A2911-INDEX(SkiftStart,L2911),Syklus)&lt;DagK,"Kveld",IF(MOD(A2911-INDEX(SkiftStart,L2911),Syklus)&lt;DagK+DagH,"Helg",IF(MOD(A2911-INDEX(SkiftStart,L2911),Syklus)&lt;DagK+DagH+DagD,"Dag","Fri"))))</f>
        <v/>
      </c>
      <c r="J2911" s="30">
        <f>IF(I2911="Fri","Ja","")</f>
        <v/>
      </c>
      <c r="K2911" s="30">
        <f>IF(B2911="","",IF(L2911="","Ukjent tekniker",IF(ISNA(MATCH(C2911,Aktiviteter,0)),"Ukjent aktivitet",IF(AND(INDEX(AktRolle,MATCH(C2911,Aktiviteter,0))&amp;""&lt;&gt;"",ISERROR(SEARCH(INDEX(AktRolle,MATCH(C2911,Aktiviteter,0))&amp;"",INDEX(TekRoller,MATCH(B2911,Teknikere,0))))),"Mangler rollen "&amp;INDEX(AktRolle,MATCH(C2911,Aktiviteter,0))&amp;"",IF(AND(C2911="LMS",F2911&gt;0,OR(D2911="",E2911="")),"Mangler maskin eller arbeid",IF(AND(OR(C2911="LMS",C2911="Mod"),D2911&lt;&gt;""),IF(IFERROR(INDEX(MaskinStatus,MATCH(D2911,Maskiner,0)),"")="I dokk","","Maskinen er ikke i dokk"),""))))))</f>
        <v/>
      </c>
      <c r="L2911" s="2">
        <f>IF(B2911="","",IFERROR(INT((MATCH(B2911,Teknikere,0)-1)/18)+1,""))</f>
        <v/>
      </c>
      <c r="M2911" s="2">
        <f>IF(OR(A2911="",B2911=""),"",B2911&amp;"|"&amp;A2911)</f>
        <v/>
      </c>
      <c r="N2911" s="2">
        <f>IF(M2911="","",SUMIFS(TF_Timer,TF_Nokkel,M2911,TF_Akt,C2911))</f>
        <v/>
      </c>
      <c r="O2911" s="2">
        <f>IF(M2911="","",IF(AND(N2911=_xlfn.MAXIFS(TF_AktSum,TF_Nokkel,M2911),COUNTIFS(M$3:M2910,M2911,N$3:N2910,N2911)=0),M2911,""))</f>
        <v/>
      </c>
    </row>
    <row r="2912">
      <c r="A2912" s="34" t="n"/>
      <c r="B2912" s="35" t="n"/>
      <c r="C2912" s="35" t="n"/>
      <c r="D2912" s="35" t="n"/>
      <c r="E2912" s="35" t="n"/>
      <c r="F2912" s="36" t="n"/>
      <c r="G2912" s="35" t="n"/>
      <c r="H2912" s="30">
        <f>IF(L2912="","",INDEX(SkiftNavn,L2912))</f>
        <v/>
      </c>
      <c r="I2912" s="30">
        <f>IF(OR(A2912="",L2912=""),"",IF(MOD(A2912-INDEX(SkiftStart,L2912),Syklus)&lt;DagK,"Kveld",IF(MOD(A2912-INDEX(SkiftStart,L2912),Syklus)&lt;DagK+DagH,"Helg",IF(MOD(A2912-INDEX(SkiftStart,L2912),Syklus)&lt;DagK+DagH+DagD,"Dag","Fri"))))</f>
        <v/>
      </c>
      <c r="J2912" s="30">
        <f>IF(I2912="Fri","Ja","")</f>
        <v/>
      </c>
      <c r="K2912" s="30">
        <f>IF(B2912="","",IF(L2912="","Ukjent tekniker",IF(ISNA(MATCH(C2912,Aktiviteter,0)),"Ukjent aktivitet",IF(AND(INDEX(AktRolle,MATCH(C2912,Aktiviteter,0))&amp;""&lt;&gt;"",ISERROR(SEARCH(INDEX(AktRolle,MATCH(C2912,Aktiviteter,0))&amp;"",INDEX(TekRoller,MATCH(B2912,Teknikere,0))))),"Mangler rollen "&amp;INDEX(AktRolle,MATCH(C2912,Aktiviteter,0))&amp;"",IF(AND(C2912="LMS",F2912&gt;0,OR(D2912="",E2912="")),"Mangler maskin eller arbeid",IF(AND(OR(C2912="LMS",C2912="Mod"),D2912&lt;&gt;""),IF(IFERROR(INDEX(MaskinStatus,MATCH(D2912,Maskiner,0)),"")="I dokk","","Maskinen er ikke i dokk"),""))))))</f>
        <v/>
      </c>
      <c r="L2912" s="2">
        <f>IF(B2912="","",IFERROR(INT((MATCH(B2912,Teknikere,0)-1)/18)+1,""))</f>
        <v/>
      </c>
      <c r="M2912" s="2">
        <f>IF(OR(A2912="",B2912=""),"",B2912&amp;"|"&amp;A2912)</f>
        <v/>
      </c>
      <c r="N2912" s="2">
        <f>IF(M2912="","",SUMIFS(TF_Timer,TF_Nokkel,M2912,TF_Akt,C2912))</f>
        <v/>
      </c>
      <c r="O2912" s="2">
        <f>IF(M2912="","",IF(AND(N2912=_xlfn.MAXIFS(TF_AktSum,TF_Nokkel,M2912),COUNTIFS(M$3:M2911,M2912,N$3:N2911,N2912)=0),M2912,""))</f>
        <v/>
      </c>
    </row>
    <row r="2913">
      <c r="A2913" s="34" t="n"/>
      <c r="B2913" s="35" t="n"/>
      <c r="C2913" s="35" t="n"/>
      <c r="D2913" s="35" t="n"/>
      <c r="E2913" s="35" t="n"/>
      <c r="F2913" s="36" t="n"/>
      <c r="G2913" s="35" t="n"/>
      <c r="H2913" s="30">
        <f>IF(L2913="","",INDEX(SkiftNavn,L2913))</f>
        <v/>
      </c>
      <c r="I2913" s="30">
        <f>IF(OR(A2913="",L2913=""),"",IF(MOD(A2913-INDEX(SkiftStart,L2913),Syklus)&lt;DagK,"Kveld",IF(MOD(A2913-INDEX(SkiftStart,L2913),Syklus)&lt;DagK+DagH,"Helg",IF(MOD(A2913-INDEX(SkiftStart,L2913),Syklus)&lt;DagK+DagH+DagD,"Dag","Fri"))))</f>
        <v/>
      </c>
      <c r="J2913" s="30">
        <f>IF(I2913="Fri","Ja","")</f>
        <v/>
      </c>
      <c r="K2913" s="30">
        <f>IF(B2913="","",IF(L2913="","Ukjent tekniker",IF(ISNA(MATCH(C2913,Aktiviteter,0)),"Ukjent aktivitet",IF(AND(INDEX(AktRolle,MATCH(C2913,Aktiviteter,0))&amp;""&lt;&gt;"",ISERROR(SEARCH(INDEX(AktRolle,MATCH(C2913,Aktiviteter,0))&amp;"",INDEX(TekRoller,MATCH(B2913,Teknikere,0))))),"Mangler rollen "&amp;INDEX(AktRolle,MATCH(C2913,Aktiviteter,0))&amp;"",IF(AND(C2913="LMS",F2913&gt;0,OR(D2913="",E2913="")),"Mangler maskin eller arbeid",IF(AND(OR(C2913="LMS",C2913="Mod"),D2913&lt;&gt;""),IF(IFERROR(INDEX(MaskinStatus,MATCH(D2913,Maskiner,0)),"")="I dokk","","Maskinen er ikke i dokk"),""))))))</f>
        <v/>
      </c>
      <c r="L2913" s="2">
        <f>IF(B2913="","",IFERROR(INT((MATCH(B2913,Teknikere,0)-1)/18)+1,""))</f>
        <v/>
      </c>
      <c r="M2913" s="2">
        <f>IF(OR(A2913="",B2913=""),"",B2913&amp;"|"&amp;A2913)</f>
        <v/>
      </c>
      <c r="N2913" s="2">
        <f>IF(M2913="","",SUMIFS(TF_Timer,TF_Nokkel,M2913,TF_Akt,C2913))</f>
        <v/>
      </c>
      <c r="O2913" s="2">
        <f>IF(M2913="","",IF(AND(N2913=_xlfn.MAXIFS(TF_AktSum,TF_Nokkel,M2913),COUNTIFS(M$3:M2912,M2913,N$3:N2912,N2913)=0),M2913,""))</f>
        <v/>
      </c>
    </row>
    <row r="2914">
      <c r="A2914" s="34" t="n"/>
      <c r="B2914" s="35" t="n"/>
      <c r="C2914" s="35" t="n"/>
      <c r="D2914" s="35" t="n"/>
      <c r="E2914" s="35" t="n"/>
      <c r="F2914" s="36" t="n"/>
      <c r="G2914" s="35" t="n"/>
      <c r="H2914" s="30">
        <f>IF(L2914="","",INDEX(SkiftNavn,L2914))</f>
        <v/>
      </c>
      <c r="I2914" s="30">
        <f>IF(OR(A2914="",L2914=""),"",IF(MOD(A2914-INDEX(SkiftStart,L2914),Syklus)&lt;DagK,"Kveld",IF(MOD(A2914-INDEX(SkiftStart,L2914),Syklus)&lt;DagK+DagH,"Helg",IF(MOD(A2914-INDEX(SkiftStart,L2914),Syklus)&lt;DagK+DagH+DagD,"Dag","Fri"))))</f>
        <v/>
      </c>
      <c r="J2914" s="30">
        <f>IF(I2914="Fri","Ja","")</f>
        <v/>
      </c>
      <c r="K2914" s="30">
        <f>IF(B2914="","",IF(L2914="","Ukjent tekniker",IF(ISNA(MATCH(C2914,Aktiviteter,0)),"Ukjent aktivitet",IF(AND(INDEX(AktRolle,MATCH(C2914,Aktiviteter,0))&amp;""&lt;&gt;"",ISERROR(SEARCH(INDEX(AktRolle,MATCH(C2914,Aktiviteter,0))&amp;"",INDEX(TekRoller,MATCH(B2914,Teknikere,0))))),"Mangler rollen "&amp;INDEX(AktRolle,MATCH(C2914,Aktiviteter,0))&amp;"",IF(AND(C2914="LMS",F2914&gt;0,OR(D2914="",E2914="")),"Mangler maskin eller arbeid",IF(AND(OR(C2914="LMS",C2914="Mod"),D2914&lt;&gt;""),IF(IFERROR(INDEX(MaskinStatus,MATCH(D2914,Maskiner,0)),"")="I dokk","","Maskinen er ikke i dokk"),""))))))</f>
        <v/>
      </c>
      <c r="L2914" s="2">
        <f>IF(B2914="","",IFERROR(INT((MATCH(B2914,Teknikere,0)-1)/18)+1,""))</f>
        <v/>
      </c>
      <c r="M2914" s="2">
        <f>IF(OR(A2914="",B2914=""),"",B2914&amp;"|"&amp;A2914)</f>
        <v/>
      </c>
      <c r="N2914" s="2">
        <f>IF(M2914="","",SUMIFS(TF_Timer,TF_Nokkel,M2914,TF_Akt,C2914))</f>
        <v/>
      </c>
      <c r="O2914" s="2">
        <f>IF(M2914="","",IF(AND(N2914=_xlfn.MAXIFS(TF_AktSum,TF_Nokkel,M2914),COUNTIFS(M$3:M2913,M2914,N$3:N2913,N2914)=0),M2914,""))</f>
        <v/>
      </c>
    </row>
    <row r="2915">
      <c r="A2915" s="34" t="n"/>
      <c r="B2915" s="35" t="n"/>
      <c r="C2915" s="35" t="n"/>
      <c r="D2915" s="35" t="n"/>
      <c r="E2915" s="35" t="n"/>
      <c r="F2915" s="36" t="n"/>
      <c r="G2915" s="35" t="n"/>
      <c r="H2915" s="30">
        <f>IF(L2915="","",INDEX(SkiftNavn,L2915))</f>
        <v/>
      </c>
      <c r="I2915" s="30">
        <f>IF(OR(A2915="",L2915=""),"",IF(MOD(A2915-INDEX(SkiftStart,L2915),Syklus)&lt;DagK,"Kveld",IF(MOD(A2915-INDEX(SkiftStart,L2915),Syklus)&lt;DagK+DagH,"Helg",IF(MOD(A2915-INDEX(SkiftStart,L2915),Syklus)&lt;DagK+DagH+DagD,"Dag","Fri"))))</f>
        <v/>
      </c>
      <c r="J2915" s="30">
        <f>IF(I2915="Fri","Ja","")</f>
        <v/>
      </c>
      <c r="K2915" s="30">
        <f>IF(B2915="","",IF(L2915="","Ukjent tekniker",IF(ISNA(MATCH(C2915,Aktiviteter,0)),"Ukjent aktivitet",IF(AND(INDEX(AktRolle,MATCH(C2915,Aktiviteter,0))&amp;""&lt;&gt;"",ISERROR(SEARCH(INDEX(AktRolle,MATCH(C2915,Aktiviteter,0))&amp;"",INDEX(TekRoller,MATCH(B2915,Teknikere,0))))),"Mangler rollen "&amp;INDEX(AktRolle,MATCH(C2915,Aktiviteter,0))&amp;"",IF(AND(C2915="LMS",F2915&gt;0,OR(D2915="",E2915="")),"Mangler maskin eller arbeid",IF(AND(OR(C2915="LMS",C2915="Mod"),D2915&lt;&gt;""),IF(IFERROR(INDEX(MaskinStatus,MATCH(D2915,Maskiner,0)),"")="I dokk","","Maskinen er ikke i dokk"),""))))))</f>
        <v/>
      </c>
      <c r="L2915" s="2">
        <f>IF(B2915="","",IFERROR(INT((MATCH(B2915,Teknikere,0)-1)/18)+1,""))</f>
        <v/>
      </c>
      <c r="M2915" s="2">
        <f>IF(OR(A2915="",B2915=""),"",B2915&amp;"|"&amp;A2915)</f>
        <v/>
      </c>
      <c r="N2915" s="2">
        <f>IF(M2915="","",SUMIFS(TF_Timer,TF_Nokkel,M2915,TF_Akt,C2915))</f>
        <v/>
      </c>
      <c r="O2915" s="2">
        <f>IF(M2915="","",IF(AND(N2915=_xlfn.MAXIFS(TF_AktSum,TF_Nokkel,M2915),COUNTIFS(M$3:M2914,M2915,N$3:N2914,N2915)=0),M2915,""))</f>
        <v/>
      </c>
    </row>
    <row r="2916">
      <c r="A2916" s="34" t="n"/>
      <c r="B2916" s="35" t="n"/>
      <c r="C2916" s="35" t="n"/>
      <c r="D2916" s="35" t="n"/>
      <c r="E2916" s="35" t="n"/>
      <c r="F2916" s="36" t="n"/>
      <c r="G2916" s="35" t="n"/>
      <c r="H2916" s="30">
        <f>IF(L2916="","",INDEX(SkiftNavn,L2916))</f>
        <v/>
      </c>
      <c r="I2916" s="30">
        <f>IF(OR(A2916="",L2916=""),"",IF(MOD(A2916-INDEX(SkiftStart,L2916),Syklus)&lt;DagK,"Kveld",IF(MOD(A2916-INDEX(SkiftStart,L2916),Syklus)&lt;DagK+DagH,"Helg",IF(MOD(A2916-INDEX(SkiftStart,L2916),Syklus)&lt;DagK+DagH+DagD,"Dag","Fri"))))</f>
        <v/>
      </c>
      <c r="J2916" s="30">
        <f>IF(I2916="Fri","Ja","")</f>
        <v/>
      </c>
      <c r="K2916" s="30">
        <f>IF(B2916="","",IF(L2916="","Ukjent tekniker",IF(ISNA(MATCH(C2916,Aktiviteter,0)),"Ukjent aktivitet",IF(AND(INDEX(AktRolle,MATCH(C2916,Aktiviteter,0))&amp;""&lt;&gt;"",ISERROR(SEARCH(INDEX(AktRolle,MATCH(C2916,Aktiviteter,0))&amp;"",INDEX(TekRoller,MATCH(B2916,Teknikere,0))))),"Mangler rollen "&amp;INDEX(AktRolle,MATCH(C2916,Aktiviteter,0))&amp;"",IF(AND(C2916="LMS",F2916&gt;0,OR(D2916="",E2916="")),"Mangler maskin eller arbeid",IF(AND(OR(C2916="LMS",C2916="Mod"),D2916&lt;&gt;""),IF(IFERROR(INDEX(MaskinStatus,MATCH(D2916,Maskiner,0)),"")="I dokk","","Maskinen er ikke i dokk"),""))))))</f>
        <v/>
      </c>
      <c r="L2916" s="2">
        <f>IF(B2916="","",IFERROR(INT((MATCH(B2916,Teknikere,0)-1)/18)+1,""))</f>
        <v/>
      </c>
      <c r="M2916" s="2">
        <f>IF(OR(A2916="",B2916=""),"",B2916&amp;"|"&amp;A2916)</f>
        <v/>
      </c>
      <c r="N2916" s="2">
        <f>IF(M2916="","",SUMIFS(TF_Timer,TF_Nokkel,M2916,TF_Akt,C2916))</f>
        <v/>
      </c>
      <c r="O2916" s="2">
        <f>IF(M2916="","",IF(AND(N2916=_xlfn.MAXIFS(TF_AktSum,TF_Nokkel,M2916),COUNTIFS(M$3:M2915,M2916,N$3:N2915,N2916)=0),M2916,""))</f>
        <v/>
      </c>
    </row>
    <row r="2917">
      <c r="A2917" s="34" t="n"/>
      <c r="B2917" s="35" t="n"/>
      <c r="C2917" s="35" t="n"/>
      <c r="D2917" s="35" t="n"/>
      <c r="E2917" s="35" t="n"/>
      <c r="F2917" s="36" t="n"/>
      <c r="G2917" s="35" t="n"/>
      <c r="H2917" s="30">
        <f>IF(L2917="","",INDEX(SkiftNavn,L2917))</f>
        <v/>
      </c>
      <c r="I2917" s="30">
        <f>IF(OR(A2917="",L2917=""),"",IF(MOD(A2917-INDEX(SkiftStart,L2917),Syklus)&lt;DagK,"Kveld",IF(MOD(A2917-INDEX(SkiftStart,L2917),Syklus)&lt;DagK+DagH,"Helg",IF(MOD(A2917-INDEX(SkiftStart,L2917),Syklus)&lt;DagK+DagH+DagD,"Dag","Fri"))))</f>
        <v/>
      </c>
      <c r="J2917" s="30">
        <f>IF(I2917="Fri","Ja","")</f>
        <v/>
      </c>
      <c r="K2917" s="30">
        <f>IF(B2917="","",IF(L2917="","Ukjent tekniker",IF(ISNA(MATCH(C2917,Aktiviteter,0)),"Ukjent aktivitet",IF(AND(INDEX(AktRolle,MATCH(C2917,Aktiviteter,0))&amp;""&lt;&gt;"",ISERROR(SEARCH(INDEX(AktRolle,MATCH(C2917,Aktiviteter,0))&amp;"",INDEX(TekRoller,MATCH(B2917,Teknikere,0))))),"Mangler rollen "&amp;INDEX(AktRolle,MATCH(C2917,Aktiviteter,0))&amp;"",IF(AND(C2917="LMS",F2917&gt;0,OR(D2917="",E2917="")),"Mangler maskin eller arbeid",IF(AND(OR(C2917="LMS",C2917="Mod"),D2917&lt;&gt;""),IF(IFERROR(INDEX(MaskinStatus,MATCH(D2917,Maskiner,0)),"")="I dokk","","Maskinen er ikke i dokk"),""))))))</f>
        <v/>
      </c>
      <c r="L2917" s="2">
        <f>IF(B2917="","",IFERROR(INT((MATCH(B2917,Teknikere,0)-1)/18)+1,""))</f>
        <v/>
      </c>
      <c r="M2917" s="2">
        <f>IF(OR(A2917="",B2917=""),"",B2917&amp;"|"&amp;A2917)</f>
        <v/>
      </c>
      <c r="N2917" s="2">
        <f>IF(M2917="","",SUMIFS(TF_Timer,TF_Nokkel,M2917,TF_Akt,C2917))</f>
        <v/>
      </c>
      <c r="O2917" s="2">
        <f>IF(M2917="","",IF(AND(N2917=_xlfn.MAXIFS(TF_AktSum,TF_Nokkel,M2917),COUNTIFS(M$3:M2916,M2917,N$3:N2916,N2917)=0),M2917,""))</f>
        <v/>
      </c>
    </row>
    <row r="2918">
      <c r="A2918" s="34" t="n"/>
      <c r="B2918" s="35" t="n"/>
      <c r="C2918" s="35" t="n"/>
      <c r="D2918" s="35" t="n"/>
      <c r="E2918" s="35" t="n"/>
      <c r="F2918" s="36" t="n"/>
      <c r="G2918" s="35" t="n"/>
      <c r="H2918" s="30">
        <f>IF(L2918="","",INDEX(SkiftNavn,L2918))</f>
        <v/>
      </c>
      <c r="I2918" s="30">
        <f>IF(OR(A2918="",L2918=""),"",IF(MOD(A2918-INDEX(SkiftStart,L2918),Syklus)&lt;DagK,"Kveld",IF(MOD(A2918-INDEX(SkiftStart,L2918),Syklus)&lt;DagK+DagH,"Helg",IF(MOD(A2918-INDEX(SkiftStart,L2918),Syklus)&lt;DagK+DagH+DagD,"Dag","Fri"))))</f>
        <v/>
      </c>
      <c r="J2918" s="30">
        <f>IF(I2918="Fri","Ja","")</f>
        <v/>
      </c>
      <c r="K2918" s="30">
        <f>IF(B2918="","",IF(L2918="","Ukjent tekniker",IF(ISNA(MATCH(C2918,Aktiviteter,0)),"Ukjent aktivitet",IF(AND(INDEX(AktRolle,MATCH(C2918,Aktiviteter,0))&amp;""&lt;&gt;"",ISERROR(SEARCH(INDEX(AktRolle,MATCH(C2918,Aktiviteter,0))&amp;"",INDEX(TekRoller,MATCH(B2918,Teknikere,0))))),"Mangler rollen "&amp;INDEX(AktRolle,MATCH(C2918,Aktiviteter,0))&amp;"",IF(AND(C2918="LMS",F2918&gt;0,OR(D2918="",E2918="")),"Mangler maskin eller arbeid",IF(AND(OR(C2918="LMS",C2918="Mod"),D2918&lt;&gt;""),IF(IFERROR(INDEX(MaskinStatus,MATCH(D2918,Maskiner,0)),"")="I dokk","","Maskinen er ikke i dokk"),""))))))</f>
        <v/>
      </c>
      <c r="L2918" s="2">
        <f>IF(B2918="","",IFERROR(INT((MATCH(B2918,Teknikere,0)-1)/18)+1,""))</f>
        <v/>
      </c>
      <c r="M2918" s="2">
        <f>IF(OR(A2918="",B2918=""),"",B2918&amp;"|"&amp;A2918)</f>
        <v/>
      </c>
      <c r="N2918" s="2">
        <f>IF(M2918="","",SUMIFS(TF_Timer,TF_Nokkel,M2918,TF_Akt,C2918))</f>
        <v/>
      </c>
      <c r="O2918" s="2">
        <f>IF(M2918="","",IF(AND(N2918=_xlfn.MAXIFS(TF_AktSum,TF_Nokkel,M2918),COUNTIFS(M$3:M2917,M2918,N$3:N2917,N2918)=0),M2918,""))</f>
        <v/>
      </c>
    </row>
    <row r="2919">
      <c r="A2919" s="34" t="n"/>
      <c r="B2919" s="35" t="n"/>
      <c r="C2919" s="35" t="n"/>
      <c r="D2919" s="35" t="n"/>
      <c r="E2919" s="35" t="n"/>
      <c r="F2919" s="36" t="n"/>
      <c r="G2919" s="35" t="n"/>
      <c r="H2919" s="30">
        <f>IF(L2919="","",INDEX(SkiftNavn,L2919))</f>
        <v/>
      </c>
      <c r="I2919" s="30">
        <f>IF(OR(A2919="",L2919=""),"",IF(MOD(A2919-INDEX(SkiftStart,L2919),Syklus)&lt;DagK,"Kveld",IF(MOD(A2919-INDEX(SkiftStart,L2919),Syklus)&lt;DagK+DagH,"Helg",IF(MOD(A2919-INDEX(SkiftStart,L2919),Syklus)&lt;DagK+DagH+DagD,"Dag","Fri"))))</f>
        <v/>
      </c>
      <c r="J2919" s="30">
        <f>IF(I2919="Fri","Ja","")</f>
        <v/>
      </c>
      <c r="K2919" s="30">
        <f>IF(B2919="","",IF(L2919="","Ukjent tekniker",IF(ISNA(MATCH(C2919,Aktiviteter,0)),"Ukjent aktivitet",IF(AND(INDEX(AktRolle,MATCH(C2919,Aktiviteter,0))&amp;""&lt;&gt;"",ISERROR(SEARCH(INDEX(AktRolle,MATCH(C2919,Aktiviteter,0))&amp;"",INDEX(TekRoller,MATCH(B2919,Teknikere,0))))),"Mangler rollen "&amp;INDEX(AktRolle,MATCH(C2919,Aktiviteter,0))&amp;"",IF(AND(C2919="LMS",F2919&gt;0,OR(D2919="",E2919="")),"Mangler maskin eller arbeid",IF(AND(OR(C2919="LMS",C2919="Mod"),D2919&lt;&gt;""),IF(IFERROR(INDEX(MaskinStatus,MATCH(D2919,Maskiner,0)),"")="I dokk","","Maskinen er ikke i dokk"),""))))))</f>
        <v/>
      </c>
      <c r="L2919" s="2">
        <f>IF(B2919="","",IFERROR(INT((MATCH(B2919,Teknikere,0)-1)/18)+1,""))</f>
        <v/>
      </c>
      <c r="M2919" s="2">
        <f>IF(OR(A2919="",B2919=""),"",B2919&amp;"|"&amp;A2919)</f>
        <v/>
      </c>
      <c r="N2919" s="2">
        <f>IF(M2919="","",SUMIFS(TF_Timer,TF_Nokkel,M2919,TF_Akt,C2919))</f>
        <v/>
      </c>
      <c r="O2919" s="2">
        <f>IF(M2919="","",IF(AND(N2919=_xlfn.MAXIFS(TF_AktSum,TF_Nokkel,M2919),COUNTIFS(M$3:M2918,M2919,N$3:N2918,N2919)=0),M2919,""))</f>
        <v/>
      </c>
    </row>
    <row r="2920">
      <c r="A2920" s="34" t="n"/>
      <c r="B2920" s="35" t="n"/>
      <c r="C2920" s="35" t="n"/>
      <c r="D2920" s="35" t="n"/>
      <c r="E2920" s="35" t="n"/>
      <c r="F2920" s="36" t="n"/>
      <c r="G2920" s="35" t="n"/>
      <c r="H2920" s="30">
        <f>IF(L2920="","",INDEX(SkiftNavn,L2920))</f>
        <v/>
      </c>
      <c r="I2920" s="30">
        <f>IF(OR(A2920="",L2920=""),"",IF(MOD(A2920-INDEX(SkiftStart,L2920),Syklus)&lt;DagK,"Kveld",IF(MOD(A2920-INDEX(SkiftStart,L2920),Syklus)&lt;DagK+DagH,"Helg",IF(MOD(A2920-INDEX(SkiftStart,L2920),Syklus)&lt;DagK+DagH+DagD,"Dag","Fri"))))</f>
        <v/>
      </c>
      <c r="J2920" s="30">
        <f>IF(I2920="Fri","Ja","")</f>
        <v/>
      </c>
      <c r="K2920" s="30">
        <f>IF(B2920="","",IF(L2920="","Ukjent tekniker",IF(ISNA(MATCH(C2920,Aktiviteter,0)),"Ukjent aktivitet",IF(AND(INDEX(AktRolle,MATCH(C2920,Aktiviteter,0))&amp;""&lt;&gt;"",ISERROR(SEARCH(INDEX(AktRolle,MATCH(C2920,Aktiviteter,0))&amp;"",INDEX(TekRoller,MATCH(B2920,Teknikere,0))))),"Mangler rollen "&amp;INDEX(AktRolle,MATCH(C2920,Aktiviteter,0))&amp;"",IF(AND(C2920="LMS",F2920&gt;0,OR(D2920="",E2920="")),"Mangler maskin eller arbeid",IF(AND(OR(C2920="LMS",C2920="Mod"),D2920&lt;&gt;""),IF(IFERROR(INDEX(MaskinStatus,MATCH(D2920,Maskiner,0)),"")="I dokk","","Maskinen er ikke i dokk"),""))))))</f>
        <v/>
      </c>
      <c r="L2920" s="2">
        <f>IF(B2920="","",IFERROR(INT((MATCH(B2920,Teknikere,0)-1)/18)+1,""))</f>
        <v/>
      </c>
      <c r="M2920" s="2">
        <f>IF(OR(A2920="",B2920=""),"",B2920&amp;"|"&amp;A2920)</f>
        <v/>
      </c>
      <c r="N2920" s="2">
        <f>IF(M2920="","",SUMIFS(TF_Timer,TF_Nokkel,M2920,TF_Akt,C2920))</f>
        <v/>
      </c>
      <c r="O2920" s="2">
        <f>IF(M2920="","",IF(AND(N2920=_xlfn.MAXIFS(TF_AktSum,TF_Nokkel,M2920),COUNTIFS(M$3:M2919,M2920,N$3:N2919,N2920)=0),M2920,""))</f>
        <v/>
      </c>
    </row>
    <row r="2921">
      <c r="A2921" s="34" t="n"/>
      <c r="B2921" s="35" t="n"/>
      <c r="C2921" s="35" t="n"/>
      <c r="D2921" s="35" t="n"/>
      <c r="E2921" s="35" t="n"/>
      <c r="F2921" s="36" t="n"/>
      <c r="G2921" s="35" t="n"/>
      <c r="H2921" s="30">
        <f>IF(L2921="","",INDEX(SkiftNavn,L2921))</f>
        <v/>
      </c>
      <c r="I2921" s="30">
        <f>IF(OR(A2921="",L2921=""),"",IF(MOD(A2921-INDEX(SkiftStart,L2921),Syklus)&lt;DagK,"Kveld",IF(MOD(A2921-INDEX(SkiftStart,L2921),Syklus)&lt;DagK+DagH,"Helg",IF(MOD(A2921-INDEX(SkiftStart,L2921),Syklus)&lt;DagK+DagH+DagD,"Dag","Fri"))))</f>
        <v/>
      </c>
      <c r="J2921" s="30">
        <f>IF(I2921="Fri","Ja","")</f>
        <v/>
      </c>
      <c r="K2921" s="30">
        <f>IF(B2921="","",IF(L2921="","Ukjent tekniker",IF(ISNA(MATCH(C2921,Aktiviteter,0)),"Ukjent aktivitet",IF(AND(INDEX(AktRolle,MATCH(C2921,Aktiviteter,0))&amp;""&lt;&gt;"",ISERROR(SEARCH(INDEX(AktRolle,MATCH(C2921,Aktiviteter,0))&amp;"",INDEX(TekRoller,MATCH(B2921,Teknikere,0))))),"Mangler rollen "&amp;INDEX(AktRolle,MATCH(C2921,Aktiviteter,0))&amp;"",IF(AND(C2921="LMS",F2921&gt;0,OR(D2921="",E2921="")),"Mangler maskin eller arbeid",IF(AND(OR(C2921="LMS",C2921="Mod"),D2921&lt;&gt;""),IF(IFERROR(INDEX(MaskinStatus,MATCH(D2921,Maskiner,0)),"")="I dokk","","Maskinen er ikke i dokk"),""))))))</f>
        <v/>
      </c>
      <c r="L2921" s="2">
        <f>IF(B2921="","",IFERROR(INT((MATCH(B2921,Teknikere,0)-1)/18)+1,""))</f>
        <v/>
      </c>
      <c r="M2921" s="2">
        <f>IF(OR(A2921="",B2921=""),"",B2921&amp;"|"&amp;A2921)</f>
        <v/>
      </c>
      <c r="N2921" s="2">
        <f>IF(M2921="","",SUMIFS(TF_Timer,TF_Nokkel,M2921,TF_Akt,C2921))</f>
        <v/>
      </c>
      <c r="O2921" s="2">
        <f>IF(M2921="","",IF(AND(N2921=_xlfn.MAXIFS(TF_AktSum,TF_Nokkel,M2921),COUNTIFS(M$3:M2920,M2921,N$3:N2920,N2921)=0),M2921,""))</f>
        <v/>
      </c>
    </row>
    <row r="2922">
      <c r="A2922" s="34" t="n"/>
      <c r="B2922" s="35" t="n"/>
      <c r="C2922" s="35" t="n"/>
      <c r="D2922" s="35" t="n"/>
      <c r="E2922" s="35" t="n"/>
      <c r="F2922" s="36" t="n"/>
      <c r="G2922" s="35" t="n"/>
      <c r="H2922" s="30">
        <f>IF(L2922="","",INDEX(SkiftNavn,L2922))</f>
        <v/>
      </c>
      <c r="I2922" s="30">
        <f>IF(OR(A2922="",L2922=""),"",IF(MOD(A2922-INDEX(SkiftStart,L2922),Syklus)&lt;DagK,"Kveld",IF(MOD(A2922-INDEX(SkiftStart,L2922),Syklus)&lt;DagK+DagH,"Helg",IF(MOD(A2922-INDEX(SkiftStart,L2922),Syklus)&lt;DagK+DagH+DagD,"Dag","Fri"))))</f>
        <v/>
      </c>
      <c r="J2922" s="30">
        <f>IF(I2922="Fri","Ja","")</f>
        <v/>
      </c>
      <c r="K2922" s="30">
        <f>IF(B2922="","",IF(L2922="","Ukjent tekniker",IF(ISNA(MATCH(C2922,Aktiviteter,0)),"Ukjent aktivitet",IF(AND(INDEX(AktRolle,MATCH(C2922,Aktiviteter,0))&amp;""&lt;&gt;"",ISERROR(SEARCH(INDEX(AktRolle,MATCH(C2922,Aktiviteter,0))&amp;"",INDEX(TekRoller,MATCH(B2922,Teknikere,0))))),"Mangler rollen "&amp;INDEX(AktRolle,MATCH(C2922,Aktiviteter,0))&amp;"",IF(AND(C2922="LMS",F2922&gt;0,OR(D2922="",E2922="")),"Mangler maskin eller arbeid",IF(AND(OR(C2922="LMS",C2922="Mod"),D2922&lt;&gt;""),IF(IFERROR(INDEX(MaskinStatus,MATCH(D2922,Maskiner,0)),"")="I dokk","","Maskinen er ikke i dokk"),""))))))</f>
        <v/>
      </c>
      <c r="L2922" s="2">
        <f>IF(B2922="","",IFERROR(INT((MATCH(B2922,Teknikere,0)-1)/18)+1,""))</f>
        <v/>
      </c>
      <c r="M2922" s="2">
        <f>IF(OR(A2922="",B2922=""),"",B2922&amp;"|"&amp;A2922)</f>
        <v/>
      </c>
      <c r="N2922" s="2">
        <f>IF(M2922="","",SUMIFS(TF_Timer,TF_Nokkel,M2922,TF_Akt,C2922))</f>
        <v/>
      </c>
      <c r="O2922" s="2">
        <f>IF(M2922="","",IF(AND(N2922=_xlfn.MAXIFS(TF_AktSum,TF_Nokkel,M2922),COUNTIFS(M$3:M2921,M2922,N$3:N2921,N2922)=0),M2922,""))</f>
        <v/>
      </c>
    </row>
    <row r="2923">
      <c r="A2923" s="34" t="n"/>
      <c r="B2923" s="35" t="n"/>
      <c r="C2923" s="35" t="n"/>
      <c r="D2923" s="35" t="n"/>
      <c r="E2923" s="35" t="n"/>
      <c r="F2923" s="36" t="n"/>
      <c r="G2923" s="35" t="n"/>
      <c r="H2923" s="30">
        <f>IF(L2923="","",INDEX(SkiftNavn,L2923))</f>
        <v/>
      </c>
      <c r="I2923" s="30">
        <f>IF(OR(A2923="",L2923=""),"",IF(MOD(A2923-INDEX(SkiftStart,L2923),Syklus)&lt;DagK,"Kveld",IF(MOD(A2923-INDEX(SkiftStart,L2923),Syklus)&lt;DagK+DagH,"Helg",IF(MOD(A2923-INDEX(SkiftStart,L2923),Syklus)&lt;DagK+DagH+DagD,"Dag","Fri"))))</f>
        <v/>
      </c>
      <c r="J2923" s="30">
        <f>IF(I2923="Fri","Ja","")</f>
        <v/>
      </c>
      <c r="K2923" s="30">
        <f>IF(B2923="","",IF(L2923="","Ukjent tekniker",IF(ISNA(MATCH(C2923,Aktiviteter,0)),"Ukjent aktivitet",IF(AND(INDEX(AktRolle,MATCH(C2923,Aktiviteter,0))&amp;""&lt;&gt;"",ISERROR(SEARCH(INDEX(AktRolle,MATCH(C2923,Aktiviteter,0))&amp;"",INDEX(TekRoller,MATCH(B2923,Teknikere,0))))),"Mangler rollen "&amp;INDEX(AktRolle,MATCH(C2923,Aktiviteter,0))&amp;"",IF(AND(C2923="LMS",F2923&gt;0,OR(D2923="",E2923="")),"Mangler maskin eller arbeid",IF(AND(OR(C2923="LMS",C2923="Mod"),D2923&lt;&gt;""),IF(IFERROR(INDEX(MaskinStatus,MATCH(D2923,Maskiner,0)),"")="I dokk","","Maskinen er ikke i dokk"),""))))))</f>
        <v/>
      </c>
      <c r="L2923" s="2">
        <f>IF(B2923="","",IFERROR(INT((MATCH(B2923,Teknikere,0)-1)/18)+1,""))</f>
        <v/>
      </c>
      <c r="M2923" s="2">
        <f>IF(OR(A2923="",B2923=""),"",B2923&amp;"|"&amp;A2923)</f>
        <v/>
      </c>
      <c r="N2923" s="2">
        <f>IF(M2923="","",SUMIFS(TF_Timer,TF_Nokkel,M2923,TF_Akt,C2923))</f>
        <v/>
      </c>
      <c r="O2923" s="2">
        <f>IF(M2923="","",IF(AND(N2923=_xlfn.MAXIFS(TF_AktSum,TF_Nokkel,M2923),COUNTIFS(M$3:M2922,M2923,N$3:N2922,N2923)=0),M2923,""))</f>
        <v/>
      </c>
    </row>
    <row r="2924">
      <c r="A2924" s="34" t="n"/>
      <c r="B2924" s="35" t="n"/>
      <c r="C2924" s="35" t="n"/>
      <c r="D2924" s="35" t="n"/>
      <c r="E2924" s="35" t="n"/>
      <c r="F2924" s="36" t="n"/>
      <c r="G2924" s="35" t="n"/>
      <c r="H2924" s="30">
        <f>IF(L2924="","",INDEX(SkiftNavn,L2924))</f>
        <v/>
      </c>
      <c r="I2924" s="30">
        <f>IF(OR(A2924="",L2924=""),"",IF(MOD(A2924-INDEX(SkiftStart,L2924),Syklus)&lt;DagK,"Kveld",IF(MOD(A2924-INDEX(SkiftStart,L2924),Syklus)&lt;DagK+DagH,"Helg",IF(MOD(A2924-INDEX(SkiftStart,L2924),Syklus)&lt;DagK+DagH+DagD,"Dag","Fri"))))</f>
        <v/>
      </c>
      <c r="J2924" s="30">
        <f>IF(I2924="Fri","Ja","")</f>
        <v/>
      </c>
      <c r="K2924" s="30">
        <f>IF(B2924="","",IF(L2924="","Ukjent tekniker",IF(ISNA(MATCH(C2924,Aktiviteter,0)),"Ukjent aktivitet",IF(AND(INDEX(AktRolle,MATCH(C2924,Aktiviteter,0))&amp;""&lt;&gt;"",ISERROR(SEARCH(INDEX(AktRolle,MATCH(C2924,Aktiviteter,0))&amp;"",INDEX(TekRoller,MATCH(B2924,Teknikere,0))))),"Mangler rollen "&amp;INDEX(AktRolle,MATCH(C2924,Aktiviteter,0))&amp;"",IF(AND(C2924="LMS",F2924&gt;0,OR(D2924="",E2924="")),"Mangler maskin eller arbeid",IF(AND(OR(C2924="LMS",C2924="Mod"),D2924&lt;&gt;""),IF(IFERROR(INDEX(MaskinStatus,MATCH(D2924,Maskiner,0)),"")="I dokk","","Maskinen er ikke i dokk"),""))))))</f>
        <v/>
      </c>
      <c r="L2924" s="2">
        <f>IF(B2924="","",IFERROR(INT((MATCH(B2924,Teknikere,0)-1)/18)+1,""))</f>
        <v/>
      </c>
      <c r="M2924" s="2">
        <f>IF(OR(A2924="",B2924=""),"",B2924&amp;"|"&amp;A2924)</f>
        <v/>
      </c>
      <c r="N2924" s="2">
        <f>IF(M2924="","",SUMIFS(TF_Timer,TF_Nokkel,M2924,TF_Akt,C2924))</f>
        <v/>
      </c>
      <c r="O2924" s="2">
        <f>IF(M2924="","",IF(AND(N2924=_xlfn.MAXIFS(TF_AktSum,TF_Nokkel,M2924),COUNTIFS(M$3:M2923,M2924,N$3:N2923,N2924)=0),M2924,""))</f>
        <v/>
      </c>
    </row>
    <row r="2925">
      <c r="A2925" s="34" t="n"/>
      <c r="B2925" s="35" t="n"/>
      <c r="C2925" s="35" t="n"/>
      <c r="D2925" s="35" t="n"/>
      <c r="E2925" s="35" t="n"/>
      <c r="F2925" s="36" t="n"/>
      <c r="G2925" s="35" t="n"/>
      <c r="H2925" s="30">
        <f>IF(L2925="","",INDEX(SkiftNavn,L2925))</f>
        <v/>
      </c>
      <c r="I2925" s="30">
        <f>IF(OR(A2925="",L2925=""),"",IF(MOD(A2925-INDEX(SkiftStart,L2925),Syklus)&lt;DagK,"Kveld",IF(MOD(A2925-INDEX(SkiftStart,L2925),Syklus)&lt;DagK+DagH,"Helg",IF(MOD(A2925-INDEX(SkiftStart,L2925),Syklus)&lt;DagK+DagH+DagD,"Dag","Fri"))))</f>
        <v/>
      </c>
      <c r="J2925" s="30">
        <f>IF(I2925="Fri","Ja","")</f>
        <v/>
      </c>
      <c r="K2925" s="30">
        <f>IF(B2925="","",IF(L2925="","Ukjent tekniker",IF(ISNA(MATCH(C2925,Aktiviteter,0)),"Ukjent aktivitet",IF(AND(INDEX(AktRolle,MATCH(C2925,Aktiviteter,0))&amp;""&lt;&gt;"",ISERROR(SEARCH(INDEX(AktRolle,MATCH(C2925,Aktiviteter,0))&amp;"",INDEX(TekRoller,MATCH(B2925,Teknikere,0))))),"Mangler rollen "&amp;INDEX(AktRolle,MATCH(C2925,Aktiviteter,0))&amp;"",IF(AND(C2925="LMS",F2925&gt;0,OR(D2925="",E2925="")),"Mangler maskin eller arbeid",IF(AND(OR(C2925="LMS",C2925="Mod"),D2925&lt;&gt;""),IF(IFERROR(INDEX(MaskinStatus,MATCH(D2925,Maskiner,0)),"")="I dokk","","Maskinen er ikke i dokk"),""))))))</f>
        <v/>
      </c>
      <c r="L2925" s="2">
        <f>IF(B2925="","",IFERROR(INT((MATCH(B2925,Teknikere,0)-1)/18)+1,""))</f>
        <v/>
      </c>
      <c r="M2925" s="2">
        <f>IF(OR(A2925="",B2925=""),"",B2925&amp;"|"&amp;A2925)</f>
        <v/>
      </c>
      <c r="N2925" s="2">
        <f>IF(M2925="","",SUMIFS(TF_Timer,TF_Nokkel,M2925,TF_Akt,C2925))</f>
        <v/>
      </c>
      <c r="O2925" s="2">
        <f>IF(M2925="","",IF(AND(N2925=_xlfn.MAXIFS(TF_AktSum,TF_Nokkel,M2925),COUNTIFS(M$3:M2924,M2925,N$3:N2924,N2925)=0),M2925,""))</f>
        <v/>
      </c>
    </row>
    <row r="2926">
      <c r="A2926" s="34" t="n"/>
      <c r="B2926" s="35" t="n"/>
      <c r="C2926" s="35" t="n"/>
      <c r="D2926" s="35" t="n"/>
      <c r="E2926" s="35" t="n"/>
      <c r="F2926" s="36" t="n"/>
      <c r="G2926" s="35" t="n"/>
      <c r="H2926" s="30">
        <f>IF(L2926="","",INDEX(SkiftNavn,L2926))</f>
        <v/>
      </c>
      <c r="I2926" s="30">
        <f>IF(OR(A2926="",L2926=""),"",IF(MOD(A2926-INDEX(SkiftStart,L2926),Syklus)&lt;DagK,"Kveld",IF(MOD(A2926-INDEX(SkiftStart,L2926),Syklus)&lt;DagK+DagH,"Helg",IF(MOD(A2926-INDEX(SkiftStart,L2926),Syklus)&lt;DagK+DagH+DagD,"Dag","Fri"))))</f>
        <v/>
      </c>
      <c r="J2926" s="30">
        <f>IF(I2926="Fri","Ja","")</f>
        <v/>
      </c>
      <c r="K2926" s="30">
        <f>IF(B2926="","",IF(L2926="","Ukjent tekniker",IF(ISNA(MATCH(C2926,Aktiviteter,0)),"Ukjent aktivitet",IF(AND(INDEX(AktRolle,MATCH(C2926,Aktiviteter,0))&amp;""&lt;&gt;"",ISERROR(SEARCH(INDEX(AktRolle,MATCH(C2926,Aktiviteter,0))&amp;"",INDEX(TekRoller,MATCH(B2926,Teknikere,0))))),"Mangler rollen "&amp;INDEX(AktRolle,MATCH(C2926,Aktiviteter,0))&amp;"",IF(AND(C2926="LMS",F2926&gt;0,OR(D2926="",E2926="")),"Mangler maskin eller arbeid",IF(AND(OR(C2926="LMS",C2926="Mod"),D2926&lt;&gt;""),IF(IFERROR(INDEX(MaskinStatus,MATCH(D2926,Maskiner,0)),"")="I dokk","","Maskinen er ikke i dokk"),""))))))</f>
        <v/>
      </c>
      <c r="L2926" s="2">
        <f>IF(B2926="","",IFERROR(INT((MATCH(B2926,Teknikere,0)-1)/18)+1,""))</f>
        <v/>
      </c>
      <c r="M2926" s="2">
        <f>IF(OR(A2926="",B2926=""),"",B2926&amp;"|"&amp;A2926)</f>
        <v/>
      </c>
      <c r="N2926" s="2">
        <f>IF(M2926="","",SUMIFS(TF_Timer,TF_Nokkel,M2926,TF_Akt,C2926))</f>
        <v/>
      </c>
      <c r="O2926" s="2">
        <f>IF(M2926="","",IF(AND(N2926=_xlfn.MAXIFS(TF_AktSum,TF_Nokkel,M2926),COUNTIFS(M$3:M2925,M2926,N$3:N2925,N2926)=0),M2926,""))</f>
        <v/>
      </c>
    </row>
    <row r="2927">
      <c r="A2927" s="34" t="n"/>
      <c r="B2927" s="35" t="n"/>
      <c r="C2927" s="35" t="n"/>
      <c r="D2927" s="35" t="n"/>
      <c r="E2927" s="35" t="n"/>
      <c r="F2927" s="36" t="n"/>
      <c r="G2927" s="35" t="n"/>
      <c r="H2927" s="30">
        <f>IF(L2927="","",INDEX(SkiftNavn,L2927))</f>
        <v/>
      </c>
      <c r="I2927" s="30">
        <f>IF(OR(A2927="",L2927=""),"",IF(MOD(A2927-INDEX(SkiftStart,L2927),Syklus)&lt;DagK,"Kveld",IF(MOD(A2927-INDEX(SkiftStart,L2927),Syklus)&lt;DagK+DagH,"Helg",IF(MOD(A2927-INDEX(SkiftStart,L2927),Syklus)&lt;DagK+DagH+DagD,"Dag","Fri"))))</f>
        <v/>
      </c>
      <c r="J2927" s="30">
        <f>IF(I2927="Fri","Ja","")</f>
        <v/>
      </c>
      <c r="K2927" s="30">
        <f>IF(B2927="","",IF(L2927="","Ukjent tekniker",IF(ISNA(MATCH(C2927,Aktiviteter,0)),"Ukjent aktivitet",IF(AND(INDEX(AktRolle,MATCH(C2927,Aktiviteter,0))&amp;""&lt;&gt;"",ISERROR(SEARCH(INDEX(AktRolle,MATCH(C2927,Aktiviteter,0))&amp;"",INDEX(TekRoller,MATCH(B2927,Teknikere,0))))),"Mangler rollen "&amp;INDEX(AktRolle,MATCH(C2927,Aktiviteter,0))&amp;"",IF(AND(C2927="LMS",F2927&gt;0,OR(D2927="",E2927="")),"Mangler maskin eller arbeid",IF(AND(OR(C2927="LMS",C2927="Mod"),D2927&lt;&gt;""),IF(IFERROR(INDEX(MaskinStatus,MATCH(D2927,Maskiner,0)),"")="I dokk","","Maskinen er ikke i dokk"),""))))))</f>
        <v/>
      </c>
      <c r="L2927" s="2">
        <f>IF(B2927="","",IFERROR(INT((MATCH(B2927,Teknikere,0)-1)/18)+1,""))</f>
        <v/>
      </c>
      <c r="M2927" s="2">
        <f>IF(OR(A2927="",B2927=""),"",B2927&amp;"|"&amp;A2927)</f>
        <v/>
      </c>
      <c r="N2927" s="2">
        <f>IF(M2927="","",SUMIFS(TF_Timer,TF_Nokkel,M2927,TF_Akt,C2927))</f>
        <v/>
      </c>
      <c r="O2927" s="2">
        <f>IF(M2927="","",IF(AND(N2927=_xlfn.MAXIFS(TF_AktSum,TF_Nokkel,M2927),COUNTIFS(M$3:M2926,M2927,N$3:N2926,N2927)=0),M2927,""))</f>
        <v/>
      </c>
    </row>
    <row r="2928">
      <c r="A2928" s="34" t="n"/>
      <c r="B2928" s="35" t="n"/>
      <c r="C2928" s="35" t="n"/>
      <c r="D2928" s="35" t="n"/>
      <c r="E2928" s="35" t="n"/>
      <c r="F2928" s="36" t="n"/>
      <c r="G2928" s="35" t="n"/>
      <c r="H2928" s="30">
        <f>IF(L2928="","",INDEX(SkiftNavn,L2928))</f>
        <v/>
      </c>
      <c r="I2928" s="30">
        <f>IF(OR(A2928="",L2928=""),"",IF(MOD(A2928-INDEX(SkiftStart,L2928),Syklus)&lt;DagK,"Kveld",IF(MOD(A2928-INDEX(SkiftStart,L2928),Syklus)&lt;DagK+DagH,"Helg",IF(MOD(A2928-INDEX(SkiftStart,L2928),Syklus)&lt;DagK+DagH+DagD,"Dag","Fri"))))</f>
        <v/>
      </c>
      <c r="J2928" s="30">
        <f>IF(I2928="Fri","Ja","")</f>
        <v/>
      </c>
      <c r="K2928" s="30">
        <f>IF(B2928="","",IF(L2928="","Ukjent tekniker",IF(ISNA(MATCH(C2928,Aktiviteter,0)),"Ukjent aktivitet",IF(AND(INDEX(AktRolle,MATCH(C2928,Aktiviteter,0))&amp;""&lt;&gt;"",ISERROR(SEARCH(INDEX(AktRolle,MATCH(C2928,Aktiviteter,0))&amp;"",INDEX(TekRoller,MATCH(B2928,Teknikere,0))))),"Mangler rollen "&amp;INDEX(AktRolle,MATCH(C2928,Aktiviteter,0))&amp;"",IF(AND(C2928="LMS",F2928&gt;0,OR(D2928="",E2928="")),"Mangler maskin eller arbeid",IF(AND(OR(C2928="LMS",C2928="Mod"),D2928&lt;&gt;""),IF(IFERROR(INDEX(MaskinStatus,MATCH(D2928,Maskiner,0)),"")="I dokk","","Maskinen er ikke i dokk"),""))))))</f>
        <v/>
      </c>
      <c r="L2928" s="2">
        <f>IF(B2928="","",IFERROR(INT((MATCH(B2928,Teknikere,0)-1)/18)+1,""))</f>
        <v/>
      </c>
      <c r="M2928" s="2">
        <f>IF(OR(A2928="",B2928=""),"",B2928&amp;"|"&amp;A2928)</f>
        <v/>
      </c>
      <c r="N2928" s="2">
        <f>IF(M2928="","",SUMIFS(TF_Timer,TF_Nokkel,M2928,TF_Akt,C2928))</f>
        <v/>
      </c>
      <c r="O2928" s="2">
        <f>IF(M2928="","",IF(AND(N2928=_xlfn.MAXIFS(TF_AktSum,TF_Nokkel,M2928),COUNTIFS(M$3:M2927,M2928,N$3:N2927,N2928)=0),M2928,""))</f>
        <v/>
      </c>
    </row>
    <row r="2929">
      <c r="A2929" s="34" t="n"/>
      <c r="B2929" s="35" t="n"/>
      <c r="C2929" s="35" t="n"/>
      <c r="D2929" s="35" t="n"/>
      <c r="E2929" s="35" t="n"/>
      <c r="F2929" s="36" t="n"/>
      <c r="G2929" s="35" t="n"/>
      <c r="H2929" s="30">
        <f>IF(L2929="","",INDEX(SkiftNavn,L2929))</f>
        <v/>
      </c>
      <c r="I2929" s="30">
        <f>IF(OR(A2929="",L2929=""),"",IF(MOD(A2929-INDEX(SkiftStart,L2929),Syklus)&lt;DagK,"Kveld",IF(MOD(A2929-INDEX(SkiftStart,L2929),Syklus)&lt;DagK+DagH,"Helg",IF(MOD(A2929-INDEX(SkiftStart,L2929),Syklus)&lt;DagK+DagH+DagD,"Dag","Fri"))))</f>
        <v/>
      </c>
      <c r="J2929" s="30">
        <f>IF(I2929="Fri","Ja","")</f>
        <v/>
      </c>
      <c r="K2929" s="30">
        <f>IF(B2929="","",IF(L2929="","Ukjent tekniker",IF(ISNA(MATCH(C2929,Aktiviteter,0)),"Ukjent aktivitet",IF(AND(INDEX(AktRolle,MATCH(C2929,Aktiviteter,0))&amp;""&lt;&gt;"",ISERROR(SEARCH(INDEX(AktRolle,MATCH(C2929,Aktiviteter,0))&amp;"",INDEX(TekRoller,MATCH(B2929,Teknikere,0))))),"Mangler rollen "&amp;INDEX(AktRolle,MATCH(C2929,Aktiviteter,0))&amp;"",IF(AND(C2929="LMS",F2929&gt;0,OR(D2929="",E2929="")),"Mangler maskin eller arbeid",IF(AND(OR(C2929="LMS",C2929="Mod"),D2929&lt;&gt;""),IF(IFERROR(INDEX(MaskinStatus,MATCH(D2929,Maskiner,0)),"")="I dokk","","Maskinen er ikke i dokk"),""))))))</f>
        <v/>
      </c>
      <c r="L2929" s="2">
        <f>IF(B2929="","",IFERROR(INT((MATCH(B2929,Teknikere,0)-1)/18)+1,""))</f>
        <v/>
      </c>
      <c r="M2929" s="2">
        <f>IF(OR(A2929="",B2929=""),"",B2929&amp;"|"&amp;A2929)</f>
        <v/>
      </c>
      <c r="N2929" s="2">
        <f>IF(M2929="","",SUMIFS(TF_Timer,TF_Nokkel,M2929,TF_Akt,C2929))</f>
        <v/>
      </c>
      <c r="O2929" s="2">
        <f>IF(M2929="","",IF(AND(N2929=_xlfn.MAXIFS(TF_AktSum,TF_Nokkel,M2929),COUNTIFS(M$3:M2928,M2929,N$3:N2928,N2929)=0),M2929,""))</f>
        <v/>
      </c>
    </row>
    <row r="2930">
      <c r="A2930" s="34" t="n"/>
      <c r="B2930" s="35" t="n"/>
      <c r="C2930" s="35" t="n"/>
      <c r="D2930" s="35" t="n"/>
      <c r="E2930" s="35" t="n"/>
      <c r="F2930" s="36" t="n"/>
      <c r="G2930" s="35" t="n"/>
      <c r="H2930" s="30">
        <f>IF(L2930="","",INDEX(SkiftNavn,L2930))</f>
        <v/>
      </c>
      <c r="I2930" s="30">
        <f>IF(OR(A2930="",L2930=""),"",IF(MOD(A2930-INDEX(SkiftStart,L2930),Syklus)&lt;DagK,"Kveld",IF(MOD(A2930-INDEX(SkiftStart,L2930),Syklus)&lt;DagK+DagH,"Helg",IF(MOD(A2930-INDEX(SkiftStart,L2930),Syklus)&lt;DagK+DagH+DagD,"Dag","Fri"))))</f>
        <v/>
      </c>
      <c r="J2930" s="30">
        <f>IF(I2930="Fri","Ja","")</f>
        <v/>
      </c>
      <c r="K2930" s="30">
        <f>IF(B2930="","",IF(L2930="","Ukjent tekniker",IF(ISNA(MATCH(C2930,Aktiviteter,0)),"Ukjent aktivitet",IF(AND(INDEX(AktRolle,MATCH(C2930,Aktiviteter,0))&amp;""&lt;&gt;"",ISERROR(SEARCH(INDEX(AktRolle,MATCH(C2930,Aktiviteter,0))&amp;"",INDEX(TekRoller,MATCH(B2930,Teknikere,0))))),"Mangler rollen "&amp;INDEX(AktRolle,MATCH(C2930,Aktiviteter,0))&amp;"",IF(AND(C2930="LMS",F2930&gt;0,OR(D2930="",E2930="")),"Mangler maskin eller arbeid",IF(AND(OR(C2930="LMS",C2930="Mod"),D2930&lt;&gt;""),IF(IFERROR(INDEX(MaskinStatus,MATCH(D2930,Maskiner,0)),"")="I dokk","","Maskinen er ikke i dokk"),""))))))</f>
        <v/>
      </c>
      <c r="L2930" s="2">
        <f>IF(B2930="","",IFERROR(INT((MATCH(B2930,Teknikere,0)-1)/18)+1,""))</f>
        <v/>
      </c>
      <c r="M2930" s="2">
        <f>IF(OR(A2930="",B2930=""),"",B2930&amp;"|"&amp;A2930)</f>
        <v/>
      </c>
      <c r="N2930" s="2">
        <f>IF(M2930="","",SUMIFS(TF_Timer,TF_Nokkel,M2930,TF_Akt,C2930))</f>
        <v/>
      </c>
      <c r="O2930" s="2">
        <f>IF(M2930="","",IF(AND(N2930=_xlfn.MAXIFS(TF_AktSum,TF_Nokkel,M2930),COUNTIFS(M$3:M2929,M2930,N$3:N2929,N2930)=0),M2930,""))</f>
        <v/>
      </c>
    </row>
    <row r="2931">
      <c r="A2931" s="34" t="n"/>
      <c r="B2931" s="35" t="n"/>
      <c r="C2931" s="35" t="n"/>
      <c r="D2931" s="35" t="n"/>
      <c r="E2931" s="35" t="n"/>
      <c r="F2931" s="36" t="n"/>
      <c r="G2931" s="35" t="n"/>
      <c r="H2931" s="30">
        <f>IF(L2931="","",INDEX(SkiftNavn,L2931))</f>
        <v/>
      </c>
      <c r="I2931" s="30">
        <f>IF(OR(A2931="",L2931=""),"",IF(MOD(A2931-INDEX(SkiftStart,L2931),Syklus)&lt;DagK,"Kveld",IF(MOD(A2931-INDEX(SkiftStart,L2931),Syklus)&lt;DagK+DagH,"Helg",IF(MOD(A2931-INDEX(SkiftStart,L2931),Syklus)&lt;DagK+DagH+DagD,"Dag","Fri"))))</f>
        <v/>
      </c>
      <c r="J2931" s="30">
        <f>IF(I2931="Fri","Ja","")</f>
        <v/>
      </c>
      <c r="K2931" s="30">
        <f>IF(B2931="","",IF(L2931="","Ukjent tekniker",IF(ISNA(MATCH(C2931,Aktiviteter,0)),"Ukjent aktivitet",IF(AND(INDEX(AktRolle,MATCH(C2931,Aktiviteter,0))&amp;""&lt;&gt;"",ISERROR(SEARCH(INDEX(AktRolle,MATCH(C2931,Aktiviteter,0))&amp;"",INDEX(TekRoller,MATCH(B2931,Teknikere,0))))),"Mangler rollen "&amp;INDEX(AktRolle,MATCH(C2931,Aktiviteter,0))&amp;"",IF(AND(C2931="LMS",F2931&gt;0,OR(D2931="",E2931="")),"Mangler maskin eller arbeid",IF(AND(OR(C2931="LMS",C2931="Mod"),D2931&lt;&gt;""),IF(IFERROR(INDEX(MaskinStatus,MATCH(D2931,Maskiner,0)),"")="I dokk","","Maskinen er ikke i dokk"),""))))))</f>
        <v/>
      </c>
      <c r="L2931" s="2">
        <f>IF(B2931="","",IFERROR(INT((MATCH(B2931,Teknikere,0)-1)/18)+1,""))</f>
        <v/>
      </c>
      <c r="M2931" s="2">
        <f>IF(OR(A2931="",B2931=""),"",B2931&amp;"|"&amp;A2931)</f>
        <v/>
      </c>
      <c r="N2931" s="2">
        <f>IF(M2931="","",SUMIFS(TF_Timer,TF_Nokkel,M2931,TF_Akt,C2931))</f>
        <v/>
      </c>
      <c r="O2931" s="2">
        <f>IF(M2931="","",IF(AND(N2931=_xlfn.MAXIFS(TF_AktSum,TF_Nokkel,M2931),COUNTIFS(M$3:M2930,M2931,N$3:N2930,N2931)=0),M2931,""))</f>
        <v/>
      </c>
    </row>
    <row r="2932">
      <c r="A2932" s="34" t="n"/>
      <c r="B2932" s="35" t="n"/>
      <c r="C2932" s="35" t="n"/>
      <c r="D2932" s="35" t="n"/>
      <c r="E2932" s="35" t="n"/>
      <c r="F2932" s="36" t="n"/>
      <c r="G2932" s="35" t="n"/>
      <c r="H2932" s="30">
        <f>IF(L2932="","",INDEX(SkiftNavn,L2932))</f>
        <v/>
      </c>
      <c r="I2932" s="30">
        <f>IF(OR(A2932="",L2932=""),"",IF(MOD(A2932-INDEX(SkiftStart,L2932),Syklus)&lt;DagK,"Kveld",IF(MOD(A2932-INDEX(SkiftStart,L2932),Syklus)&lt;DagK+DagH,"Helg",IF(MOD(A2932-INDEX(SkiftStart,L2932),Syklus)&lt;DagK+DagH+DagD,"Dag","Fri"))))</f>
        <v/>
      </c>
      <c r="J2932" s="30">
        <f>IF(I2932="Fri","Ja","")</f>
        <v/>
      </c>
      <c r="K2932" s="30">
        <f>IF(B2932="","",IF(L2932="","Ukjent tekniker",IF(ISNA(MATCH(C2932,Aktiviteter,0)),"Ukjent aktivitet",IF(AND(INDEX(AktRolle,MATCH(C2932,Aktiviteter,0))&amp;""&lt;&gt;"",ISERROR(SEARCH(INDEX(AktRolle,MATCH(C2932,Aktiviteter,0))&amp;"",INDEX(TekRoller,MATCH(B2932,Teknikere,0))))),"Mangler rollen "&amp;INDEX(AktRolle,MATCH(C2932,Aktiviteter,0))&amp;"",IF(AND(C2932="LMS",F2932&gt;0,OR(D2932="",E2932="")),"Mangler maskin eller arbeid",IF(AND(OR(C2932="LMS",C2932="Mod"),D2932&lt;&gt;""),IF(IFERROR(INDEX(MaskinStatus,MATCH(D2932,Maskiner,0)),"")="I dokk","","Maskinen er ikke i dokk"),""))))))</f>
        <v/>
      </c>
      <c r="L2932" s="2">
        <f>IF(B2932="","",IFERROR(INT((MATCH(B2932,Teknikere,0)-1)/18)+1,""))</f>
        <v/>
      </c>
      <c r="M2932" s="2">
        <f>IF(OR(A2932="",B2932=""),"",B2932&amp;"|"&amp;A2932)</f>
        <v/>
      </c>
      <c r="N2932" s="2">
        <f>IF(M2932="","",SUMIFS(TF_Timer,TF_Nokkel,M2932,TF_Akt,C2932))</f>
        <v/>
      </c>
      <c r="O2932" s="2">
        <f>IF(M2932="","",IF(AND(N2932=_xlfn.MAXIFS(TF_AktSum,TF_Nokkel,M2932),COUNTIFS(M$3:M2931,M2932,N$3:N2931,N2932)=0),M2932,""))</f>
        <v/>
      </c>
    </row>
    <row r="2933">
      <c r="A2933" s="34" t="n"/>
      <c r="B2933" s="35" t="n"/>
      <c r="C2933" s="35" t="n"/>
      <c r="D2933" s="35" t="n"/>
      <c r="E2933" s="35" t="n"/>
      <c r="F2933" s="36" t="n"/>
      <c r="G2933" s="35" t="n"/>
      <c r="H2933" s="30">
        <f>IF(L2933="","",INDEX(SkiftNavn,L2933))</f>
        <v/>
      </c>
      <c r="I2933" s="30">
        <f>IF(OR(A2933="",L2933=""),"",IF(MOD(A2933-INDEX(SkiftStart,L2933),Syklus)&lt;DagK,"Kveld",IF(MOD(A2933-INDEX(SkiftStart,L2933),Syklus)&lt;DagK+DagH,"Helg",IF(MOD(A2933-INDEX(SkiftStart,L2933),Syklus)&lt;DagK+DagH+DagD,"Dag","Fri"))))</f>
        <v/>
      </c>
      <c r="J2933" s="30">
        <f>IF(I2933="Fri","Ja","")</f>
        <v/>
      </c>
      <c r="K2933" s="30">
        <f>IF(B2933="","",IF(L2933="","Ukjent tekniker",IF(ISNA(MATCH(C2933,Aktiviteter,0)),"Ukjent aktivitet",IF(AND(INDEX(AktRolle,MATCH(C2933,Aktiviteter,0))&amp;""&lt;&gt;"",ISERROR(SEARCH(INDEX(AktRolle,MATCH(C2933,Aktiviteter,0))&amp;"",INDEX(TekRoller,MATCH(B2933,Teknikere,0))))),"Mangler rollen "&amp;INDEX(AktRolle,MATCH(C2933,Aktiviteter,0))&amp;"",IF(AND(C2933="LMS",F2933&gt;0,OR(D2933="",E2933="")),"Mangler maskin eller arbeid",IF(AND(OR(C2933="LMS",C2933="Mod"),D2933&lt;&gt;""),IF(IFERROR(INDEX(MaskinStatus,MATCH(D2933,Maskiner,0)),"")="I dokk","","Maskinen er ikke i dokk"),""))))))</f>
        <v/>
      </c>
      <c r="L2933" s="2">
        <f>IF(B2933="","",IFERROR(INT((MATCH(B2933,Teknikere,0)-1)/18)+1,""))</f>
        <v/>
      </c>
      <c r="M2933" s="2">
        <f>IF(OR(A2933="",B2933=""),"",B2933&amp;"|"&amp;A2933)</f>
        <v/>
      </c>
      <c r="N2933" s="2">
        <f>IF(M2933="","",SUMIFS(TF_Timer,TF_Nokkel,M2933,TF_Akt,C2933))</f>
        <v/>
      </c>
      <c r="O2933" s="2">
        <f>IF(M2933="","",IF(AND(N2933=_xlfn.MAXIFS(TF_AktSum,TF_Nokkel,M2933),COUNTIFS(M$3:M2932,M2933,N$3:N2932,N2933)=0),M2933,""))</f>
        <v/>
      </c>
    </row>
    <row r="2934">
      <c r="A2934" s="34" t="n"/>
      <c r="B2934" s="35" t="n"/>
      <c r="C2934" s="35" t="n"/>
      <c r="D2934" s="35" t="n"/>
      <c r="E2934" s="35" t="n"/>
      <c r="F2934" s="36" t="n"/>
      <c r="G2934" s="35" t="n"/>
      <c r="H2934" s="30">
        <f>IF(L2934="","",INDEX(SkiftNavn,L2934))</f>
        <v/>
      </c>
      <c r="I2934" s="30">
        <f>IF(OR(A2934="",L2934=""),"",IF(MOD(A2934-INDEX(SkiftStart,L2934),Syklus)&lt;DagK,"Kveld",IF(MOD(A2934-INDEX(SkiftStart,L2934),Syklus)&lt;DagK+DagH,"Helg",IF(MOD(A2934-INDEX(SkiftStart,L2934),Syklus)&lt;DagK+DagH+DagD,"Dag","Fri"))))</f>
        <v/>
      </c>
      <c r="J2934" s="30">
        <f>IF(I2934="Fri","Ja","")</f>
        <v/>
      </c>
      <c r="K2934" s="30">
        <f>IF(B2934="","",IF(L2934="","Ukjent tekniker",IF(ISNA(MATCH(C2934,Aktiviteter,0)),"Ukjent aktivitet",IF(AND(INDEX(AktRolle,MATCH(C2934,Aktiviteter,0))&amp;""&lt;&gt;"",ISERROR(SEARCH(INDEX(AktRolle,MATCH(C2934,Aktiviteter,0))&amp;"",INDEX(TekRoller,MATCH(B2934,Teknikere,0))))),"Mangler rollen "&amp;INDEX(AktRolle,MATCH(C2934,Aktiviteter,0))&amp;"",IF(AND(C2934="LMS",F2934&gt;0,OR(D2934="",E2934="")),"Mangler maskin eller arbeid",IF(AND(OR(C2934="LMS",C2934="Mod"),D2934&lt;&gt;""),IF(IFERROR(INDEX(MaskinStatus,MATCH(D2934,Maskiner,0)),"")="I dokk","","Maskinen er ikke i dokk"),""))))))</f>
        <v/>
      </c>
      <c r="L2934" s="2">
        <f>IF(B2934="","",IFERROR(INT((MATCH(B2934,Teknikere,0)-1)/18)+1,""))</f>
        <v/>
      </c>
      <c r="M2934" s="2">
        <f>IF(OR(A2934="",B2934=""),"",B2934&amp;"|"&amp;A2934)</f>
        <v/>
      </c>
      <c r="N2934" s="2">
        <f>IF(M2934="","",SUMIFS(TF_Timer,TF_Nokkel,M2934,TF_Akt,C2934))</f>
        <v/>
      </c>
      <c r="O2934" s="2">
        <f>IF(M2934="","",IF(AND(N2934=_xlfn.MAXIFS(TF_AktSum,TF_Nokkel,M2934),COUNTIFS(M$3:M2933,M2934,N$3:N2933,N2934)=0),M2934,""))</f>
        <v/>
      </c>
    </row>
    <row r="2935">
      <c r="A2935" s="34" t="n"/>
      <c r="B2935" s="35" t="n"/>
      <c r="C2935" s="35" t="n"/>
      <c r="D2935" s="35" t="n"/>
      <c r="E2935" s="35" t="n"/>
      <c r="F2935" s="36" t="n"/>
      <c r="G2935" s="35" t="n"/>
      <c r="H2935" s="30">
        <f>IF(L2935="","",INDEX(SkiftNavn,L2935))</f>
        <v/>
      </c>
      <c r="I2935" s="30">
        <f>IF(OR(A2935="",L2935=""),"",IF(MOD(A2935-INDEX(SkiftStart,L2935),Syklus)&lt;DagK,"Kveld",IF(MOD(A2935-INDEX(SkiftStart,L2935),Syklus)&lt;DagK+DagH,"Helg",IF(MOD(A2935-INDEX(SkiftStart,L2935),Syklus)&lt;DagK+DagH+DagD,"Dag","Fri"))))</f>
        <v/>
      </c>
      <c r="J2935" s="30">
        <f>IF(I2935="Fri","Ja","")</f>
        <v/>
      </c>
      <c r="K2935" s="30">
        <f>IF(B2935="","",IF(L2935="","Ukjent tekniker",IF(ISNA(MATCH(C2935,Aktiviteter,0)),"Ukjent aktivitet",IF(AND(INDEX(AktRolle,MATCH(C2935,Aktiviteter,0))&amp;""&lt;&gt;"",ISERROR(SEARCH(INDEX(AktRolle,MATCH(C2935,Aktiviteter,0))&amp;"",INDEX(TekRoller,MATCH(B2935,Teknikere,0))))),"Mangler rollen "&amp;INDEX(AktRolle,MATCH(C2935,Aktiviteter,0))&amp;"",IF(AND(C2935="LMS",F2935&gt;0,OR(D2935="",E2935="")),"Mangler maskin eller arbeid",IF(AND(OR(C2935="LMS",C2935="Mod"),D2935&lt;&gt;""),IF(IFERROR(INDEX(MaskinStatus,MATCH(D2935,Maskiner,0)),"")="I dokk","","Maskinen er ikke i dokk"),""))))))</f>
        <v/>
      </c>
      <c r="L2935" s="2">
        <f>IF(B2935="","",IFERROR(INT((MATCH(B2935,Teknikere,0)-1)/18)+1,""))</f>
        <v/>
      </c>
      <c r="M2935" s="2">
        <f>IF(OR(A2935="",B2935=""),"",B2935&amp;"|"&amp;A2935)</f>
        <v/>
      </c>
      <c r="N2935" s="2">
        <f>IF(M2935="","",SUMIFS(TF_Timer,TF_Nokkel,M2935,TF_Akt,C2935))</f>
        <v/>
      </c>
      <c r="O2935" s="2">
        <f>IF(M2935="","",IF(AND(N2935=_xlfn.MAXIFS(TF_AktSum,TF_Nokkel,M2935),COUNTIFS(M$3:M2934,M2935,N$3:N2934,N2935)=0),M2935,""))</f>
        <v/>
      </c>
    </row>
    <row r="2936">
      <c r="A2936" s="34" t="n"/>
      <c r="B2936" s="35" t="n"/>
      <c r="C2936" s="35" t="n"/>
      <c r="D2936" s="35" t="n"/>
      <c r="E2936" s="35" t="n"/>
      <c r="F2936" s="36" t="n"/>
      <c r="G2936" s="35" t="n"/>
      <c r="H2936" s="30">
        <f>IF(L2936="","",INDEX(SkiftNavn,L2936))</f>
        <v/>
      </c>
      <c r="I2936" s="30">
        <f>IF(OR(A2936="",L2936=""),"",IF(MOD(A2936-INDEX(SkiftStart,L2936),Syklus)&lt;DagK,"Kveld",IF(MOD(A2936-INDEX(SkiftStart,L2936),Syklus)&lt;DagK+DagH,"Helg",IF(MOD(A2936-INDEX(SkiftStart,L2936),Syklus)&lt;DagK+DagH+DagD,"Dag","Fri"))))</f>
        <v/>
      </c>
      <c r="J2936" s="30">
        <f>IF(I2936="Fri","Ja","")</f>
        <v/>
      </c>
      <c r="K2936" s="30">
        <f>IF(B2936="","",IF(L2936="","Ukjent tekniker",IF(ISNA(MATCH(C2936,Aktiviteter,0)),"Ukjent aktivitet",IF(AND(INDEX(AktRolle,MATCH(C2936,Aktiviteter,0))&amp;""&lt;&gt;"",ISERROR(SEARCH(INDEX(AktRolle,MATCH(C2936,Aktiviteter,0))&amp;"",INDEX(TekRoller,MATCH(B2936,Teknikere,0))))),"Mangler rollen "&amp;INDEX(AktRolle,MATCH(C2936,Aktiviteter,0))&amp;"",IF(AND(C2936="LMS",F2936&gt;0,OR(D2936="",E2936="")),"Mangler maskin eller arbeid",IF(AND(OR(C2936="LMS",C2936="Mod"),D2936&lt;&gt;""),IF(IFERROR(INDEX(MaskinStatus,MATCH(D2936,Maskiner,0)),"")="I dokk","","Maskinen er ikke i dokk"),""))))))</f>
        <v/>
      </c>
      <c r="L2936" s="2">
        <f>IF(B2936="","",IFERROR(INT((MATCH(B2936,Teknikere,0)-1)/18)+1,""))</f>
        <v/>
      </c>
      <c r="M2936" s="2">
        <f>IF(OR(A2936="",B2936=""),"",B2936&amp;"|"&amp;A2936)</f>
        <v/>
      </c>
      <c r="N2936" s="2">
        <f>IF(M2936="","",SUMIFS(TF_Timer,TF_Nokkel,M2936,TF_Akt,C2936))</f>
        <v/>
      </c>
      <c r="O2936" s="2">
        <f>IF(M2936="","",IF(AND(N2936=_xlfn.MAXIFS(TF_AktSum,TF_Nokkel,M2936),COUNTIFS(M$3:M2935,M2936,N$3:N2935,N2936)=0),M2936,""))</f>
        <v/>
      </c>
    </row>
    <row r="2937">
      <c r="A2937" s="34" t="n"/>
      <c r="B2937" s="35" t="n"/>
      <c r="C2937" s="35" t="n"/>
      <c r="D2937" s="35" t="n"/>
      <c r="E2937" s="35" t="n"/>
      <c r="F2937" s="36" t="n"/>
      <c r="G2937" s="35" t="n"/>
      <c r="H2937" s="30">
        <f>IF(L2937="","",INDEX(SkiftNavn,L2937))</f>
        <v/>
      </c>
      <c r="I2937" s="30">
        <f>IF(OR(A2937="",L2937=""),"",IF(MOD(A2937-INDEX(SkiftStart,L2937),Syklus)&lt;DagK,"Kveld",IF(MOD(A2937-INDEX(SkiftStart,L2937),Syklus)&lt;DagK+DagH,"Helg",IF(MOD(A2937-INDEX(SkiftStart,L2937),Syklus)&lt;DagK+DagH+DagD,"Dag","Fri"))))</f>
        <v/>
      </c>
      <c r="J2937" s="30">
        <f>IF(I2937="Fri","Ja","")</f>
        <v/>
      </c>
      <c r="K2937" s="30">
        <f>IF(B2937="","",IF(L2937="","Ukjent tekniker",IF(ISNA(MATCH(C2937,Aktiviteter,0)),"Ukjent aktivitet",IF(AND(INDEX(AktRolle,MATCH(C2937,Aktiviteter,0))&amp;""&lt;&gt;"",ISERROR(SEARCH(INDEX(AktRolle,MATCH(C2937,Aktiviteter,0))&amp;"",INDEX(TekRoller,MATCH(B2937,Teknikere,0))))),"Mangler rollen "&amp;INDEX(AktRolle,MATCH(C2937,Aktiviteter,0))&amp;"",IF(AND(C2937="LMS",F2937&gt;0,OR(D2937="",E2937="")),"Mangler maskin eller arbeid",IF(AND(OR(C2937="LMS",C2937="Mod"),D2937&lt;&gt;""),IF(IFERROR(INDEX(MaskinStatus,MATCH(D2937,Maskiner,0)),"")="I dokk","","Maskinen er ikke i dokk"),""))))))</f>
        <v/>
      </c>
      <c r="L2937" s="2">
        <f>IF(B2937="","",IFERROR(INT((MATCH(B2937,Teknikere,0)-1)/18)+1,""))</f>
        <v/>
      </c>
      <c r="M2937" s="2">
        <f>IF(OR(A2937="",B2937=""),"",B2937&amp;"|"&amp;A2937)</f>
        <v/>
      </c>
      <c r="N2937" s="2">
        <f>IF(M2937="","",SUMIFS(TF_Timer,TF_Nokkel,M2937,TF_Akt,C2937))</f>
        <v/>
      </c>
      <c r="O2937" s="2">
        <f>IF(M2937="","",IF(AND(N2937=_xlfn.MAXIFS(TF_AktSum,TF_Nokkel,M2937),COUNTIFS(M$3:M2936,M2937,N$3:N2936,N2937)=0),M2937,""))</f>
        <v/>
      </c>
    </row>
    <row r="2938">
      <c r="A2938" s="34" t="n"/>
      <c r="B2938" s="35" t="n"/>
      <c r="C2938" s="35" t="n"/>
      <c r="D2938" s="35" t="n"/>
      <c r="E2938" s="35" t="n"/>
      <c r="F2938" s="36" t="n"/>
      <c r="G2938" s="35" t="n"/>
      <c r="H2938" s="30">
        <f>IF(L2938="","",INDEX(SkiftNavn,L2938))</f>
        <v/>
      </c>
      <c r="I2938" s="30">
        <f>IF(OR(A2938="",L2938=""),"",IF(MOD(A2938-INDEX(SkiftStart,L2938),Syklus)&lt;DagK,"Kveld",IF(MOD(A2938-INDEX(SkiftStart,L2938),Syklus)&lt;DagK+DagH,"Helg",IF(MOD(A2938-INDEX(SkiftStart,L2938),Syklus)&lt;DagK+DagH+DagD,"Dag","Fri"))))</f>
        <v/>
      </c>
      <c r="J2938" s="30">
        <f>IF(I2938="Fri","Ja","")</f>
        <v/>
      </c>
      <c r="K2938" s="30">
        <f>IF(B2938="","",IF(L2938="","Ukjent tekniker",IF(ISNA(MATCH(C2938,Aktiviteter,0)),"Ukjent aktivitet",IF(AND(INDEX(AktRolle,MATCH(C2938,Aktiviteter,0))&amp;""&lt;&gt;"",ISERROR(SEARCH(INDEX(AktRolle,MATCH(C2938,Aktiviteter,0))&amp;"",INDEX(TekRoller,MATCH(B2938,Teknikere,0))))),"Mangler rollen "&amp;INDEX(AktRolle,MATCH(C2938,Aktiviteter,0))&amp;"",IF(AND(C2938="LMS",F2938&gt;0,OR(D2938="",E2938="")),"Mangler maskin eller arbeid",IF(AND(OR(C2938="LMS",C2938="Mod"),D2938&lt;&gt;""),IF(IFERROR(INDEX(MaskinStatus,MATCH(D2938,Maskiner,0)),"")="I dokk","","Maskinen er ikke i dokk"),""))))))</f>
        <v/>
      </c>
      <c r="L2938" s="2">
        <f>IF(B2938="","",IFERROR(INT((MATCH(B2938,Teknikere,0)-1)/18)+1,""))</f>
        <v/>
      </c>
      <c r="M2938" s="2">
        <f>IF(OR(A2938="",B2938=""),"",B2938&amp;"|"&amp;A2938)</f>
        <v/>
      </c>
      <c r="N2938" s="2">
        <f>IF(M2938="","",SUMIFS(TF_Timer,TF_Nokkel,M2938,TF_Akt,C2938))</f>
        <v/>
      </c>
      <c r="O2938" s="2">
        <f>IF(M2938="","",IF(AND(N2938=_xlfn.MAXIFS(TF_AktSum,TF_Nokkel,M2938),COUNTIFS(M$3:M2937,M2938,N$3:N2937,N2938)=0),M2938,""))</f>
        <v/>
      </c>
    </row>
    <row r="2939">
      <c r="A2939" s="34" t="n"/>
      <c r="B2939" s="35" t="n"/>
      <c r="C2939" s="35" t="n"/>
      <c r="D2939" s="35" t="n"/>
      <c r="E2939" s="35" t="n"/>
      <c r="F2939" s="36" t="n"/>
      <c r="G2939" s="35" t="n"/>
      <c r="H2939" s="30">
        <f>IF(L2939="","",INDEX(SkiftNavn,L2939))</f>
        <v/>
      </c>
      <c r="I2939" s="30">
        <f>IF(OR(A2939="",L2939=""),"",IF(MOD(A2939-INDEX(SkiftStart,L2939),Syklus)&lt;DagK,"Kveld",IF(MOD(A2939-INDEX(SkiftStart,L2939),Syklus)&lt;DagK+DagH,"Helg",IF(MOD(A2939-INDEX(SkiftStart,L2939),Syklus)&lt;DagK+DagH+DagD,"Dag","Fri"))))</f>
        <v/>
      </c>
      <c r="J2939" s="30">
        <f>IF(I2939="Fri","Ja","")</f>
        <v/>
      </c>
      <c r="K2939" s="30">
        <f>IF(B2939="","",IF(L2939="","Ukjent tekniker",IF(ISNA(MATCH(C2939,Aktiviteter,0)),"Ukjent aktivitet",IF(AND(INDEX(AktRolle,MATCH(C2939,Aktiviteter,0))&amp;""&lt;&gt;"",ISERROR(SEARCH(INDEX(AktRolle,MATCH(C2939,Aktiviteter,0))&amp;"",INDEX(TekRoller,MATCH(B2939,Teknikere,0))))),"Mangler rollen "&amp;INDEX(AktRolle,MATCH(C2939,Aktiviteter,0))&amp;"",IF(AND(C2939="LMS",F2939&gt;0,OR(D2939="",E2939="")),"Mangler maskin eller arbeid",IF(AND(OR(C2939="LMS",C2939="Mod"),D2939&lt;&gt;""),IF(IFERROR(INDEX(MaskinStatus,MATCH(D2939,Maskiner,0)),"")="I dokk","","Maskinen er ikke i dokk"),""))))))</f>
        <v/>
      </c>
      <c r="L2939" s="2">
        <f>IF(B2939="","",IFERROR(INT((MATCH(B2939,Teknikere,0)-1)/18)+1,""))</f>
        <v/>
      </c>
      <c r="M2939" s="2">
        <f>IF(OR(A2939="",B2939=""),"",B2939&amp;"|"&amp;A2939)</f>
        <v/>
      </c>
      <c r="N2939" s="2">
        <f>IF(M2939="","",SUMIFS(TF_Timer,TF_Nokkel,M2939,TF_Akt,C2939))</f>
        <v/>
      </c>
      <c r="O2939" s="2">
        <f>IF(M2939="","",IF(AND(N2939=_xlfn.MAXIFS(TF_AktSum,TF_Nokkel,M2939),COUNTIFS(M$3:M2938,M2939,N$3:N2938,N2939)=0),M2939,""))</f>
        <v/>
      </c>
    </row>
    <row r="2940">
      <c r="A2940" s="34" t="n"/>
      <c r="B2940" s="35" t="n"/>
      <c r="C2940" s="35" t="n"/>
      <c r="D2940" s="35" t="n"/>
      <c r="E2940" s="35" t="n"/>
      <c r="F2940" s="36" t="n"/>
      <c r="G2940" s="35" t="n"/>
      <c r="H2940" s="30">
        <f>IF(L2940="","",INDEX(SkiftNavn,L2940))</f>
        <v/>
      </c>
      <c r="I2940" s="30">
        <f>IF(OR(A2940="",L2940=""),"",IF(MOD(A2940-INDEX(SkiftStart,L2940),Syklus)&lt;DagK,"Kveld",IF(MOD(A2940-INDEX(SkiftStart,L2940),Syklus)&lt;DagK+DagH,"Helg",IF(MOD(A2940-INDEX(SkiftStart,L2940),Syklus)&lt;DagK+DagH+DagD,"Dag","Fri"))))</f>
        <v/>
      </c>
      <c r="J2940" s="30">
        <f>IF(I2940="Fri","Ja","")</f>
        <v/>
      </c>
      <c r="K2940" s="30">
        <f>IF(B2940="","",IF(L2940="","Ukjent tekniker",IF(ISNA(MATCH(C2940,Aktiviteter,0)),"Ukjent aktivitet",IF(AND(INDEX(AktRolle,MATCH(C2940,Aktiviteter,0))&amp;""&lt;&gt;"",ISERROR(SEARCH(INDEX(AktRolle,MATCH(C2940,Aktiviteter,0))&amp;"",INDEX(TekRoller,MATCH(B2940,Teknikere,0))))),"Mangler rollen "&amp;INDEX(AktRolle,MATCH(C2940,Aktiviteter,0))&amp;"",IF(AND(C2940="LMS",F2940&gt;0,OR(D2940="",E2940="")),"Mangler maskin eller arbeid",IF(AND(OR(C2940="LMS",C2940="Mod"),D2940&lt;&gt;""),IF(IFERROR(INDEX(MaskinStatus,MATCH(D2940,Maskiner,0)),"")="I dokk","","Maskinen er ikke i dokk"),""))))))</f>
        <v/>
      </c>
      <c r="L2940" s="2">
        <f>IF(B2940="","",IFERROR(INT((MATCH(B2940,Teknikere,0)-1)/18)+1,""))</f>
        <v/>
      </c>
      <c r="M2940" s="2">
        <f>IF(OR(A2940="",B2940=""),"",B2940&amp;"|"&amp;A2940)</f>
        <v/>
      </c>
      <c r="N2940" s="2">
        <f>IF(M2940="","",SUMIFS(TF_Timer,TF_Nokkel,M2940,TF_Akt,C2940))</f>
        <v/>
      </c>
      <c r="O2940" s="2">
        <f>IF(M2940="","",IF(AND(N2940=_xlfn.MAXIFS(TF_AktSum,TF_Nokkel,M2940),COUNTIFS(M$3:M2939,M2940,N$3:N2939,N2940)=0),M2940,""))</f>
        <v/>
      </c>
    </row>
    <row r="2941">
      <c r="A2941" s="34" t="n"/>
      <c r="B2941" s="35" t="n"/>
      <c r="C2941" s="35" t="n"/>
      <c r="D2941" s="35" t="n"/>
      <c r="E2941" s="35" t="n"/>
      <c r="F2941" s="36" t="n"/>
      <c r="G2941" s="35" t="n"/>
      <c r="H2941" s="30">
        <f>IF(L2941="","",INDEX(SkiftNavn,L2941))</f>
        <v/>
      </c>
      <c r="I2941" s="30">
        <f>IF(OR(A2941="",L2941=""),"",IF(MOD(A2941-INDEX(SkiftStart,L2941),Syklus)&lt;DagK,"Kveld",IF(MOD(A2941-INDEX(SkiftStart,L2941),Syklus)&lt;DagK+DagH,"Helg",IF(MOD(A2941-INDEX(SkiftStart,L2941),Syklus)&lt;DagK+DagH+DagD,"Dag","Fri"))))</f>
        <v/>
      </c>
      <c r="J2941" s="30">
        <f>IF(I2941="Fri","Ja","")</f>
        <v/>
      </c>
      <c r="K2941" s="30">
        <f>IF(B2941="","",IF(L2941="","Ukjent tekniker",IF(ISNA(MATCH(C2941,Aktiviteter,0)),"Ukjent aktivitet",IF(AND(INDEX(AktRolle,MATCH(C2941,Aktiviteter,0))&amp;""&lt;&gt;"",ISERROR(SEARCH(INDEX(AktRolle,MATCH(C2941,Aktiviteter,0))&amp;"",INDEX(TekRoller,MATCH(B2941,Teknikere,0))))),"Mangler rollen "&amp;INDEX(AktRolle,MATCH(C2941,Aktiviteter,0))&amp;"",IF(AND(C2941="LMS",F2941&gt;0,OR(D2941="",E2941="")),"Mangler maskin eller arbeid",IF(AND(OR(C2941="LMS",C2941="Mod"),D2941&lt;&gt;""),IF(IFERROR(INDEX(MaskinStatus,MATCH(D2941,Maskiner,0)),"")="I dokk","","Maskinen er ikke i dokk"),""))))))</f>
        <v/>
      </c>
      <c r="L2941" s="2">
        <f>IF(B2941="","",IFERROR(INT((MATCH(B2941,Teknikere,0)-1)/18)+1,""))</f>
        <v/>
      </c>
      <c r="M2941" s="2">
        <f>IF(OR(A2941="",B2941=""),"",B2941&amp;"|"&amp;A2941)</f>
        <v/>
      </c>
      <c r="N2941" s="2">
        <f>IF(M2941="","",SUMIFS(TF_Timer,TF_Nokkel,M2941,TF_Akt,C2941))</f>
        <v/>
      </c>
      <c r="O2941" s="2">
        <f>IF(M2941="","",IF(AND(N2941=_xlfn.MAXIFS(TF_AktSum,TF_Nokkel,M2941),COUNTIFS(M$3:M2940,M2941,N$3:N2940,N2941)=0),M2941,""))</f>
        <v/>
      </c>
    </row>
    <row r="2942">
      <c r="A2942" s="34" t="n"/>
      <c r="B2942" s="35" t="n"/>
      <c r="C2942" s="35" t="n"/>
      <c r="D2942" s="35" t="n"/>
      <c r="E2942" s="35" t="n"/>
      <c r="F2942" s="36" t="n"/>
      <c r="G2942" s="35" t="n"/>
      <c r="H2942" s="30">
        <f>IF(L2942="","",INDEX(SkiftNavn,L2942))</f>
        <v/>
      </c>
      <c r="I2942" s="30">
        <f>IF(OR(A2942="",L2942=""),"",IF(MOD(A2942-INDEX(SkiftStart,L2942),Syklus)&lt;DagK,"Kveld",IF(MOD(A2942-INDEX(SkiftStart,L2942),Syklus)&lt;DagK+DagH,"Helg",IF(MOD(A2942-INDEX(SkiftStart,L2942),Syklus)&lt;DagK+DagH+DagD,"Dag","Fri"))))</f>
        <v/>
      </c>
      <c r="J2942" s="30">
        <f>IF(I2942="Fri","Ja","")</f>
        <v/>
      </c>
      <c r="K2942" s="30">
        <f>IF(B2942="","",IF(L2942="","Ukjent tekniker",IF(ISNA(MATCH(C2942,Aktiviteter,0)),"Ukjent aktivitet",IF(AND(INDEX(AktRolle,MATCH(C2942,Aktiviteter,0))&amp;""&lt;&gt;"",ISERROR(SEARCH(INDEX(AktRolle,MATCH(C2942,Aktiviteter,0))&amp;"",INDEX(TekRoller,MATCH(B2942,Teknikere,0))))),"Mangler rollen "&amp;INDEX(AktRolle,MATCH(C2942,Aktiviteter,0))&amp;"",IF(AND(C2942="LMS",F2942&gt;0,OR(D2942="",E2942="")),"Mangler maskin eller arbeid",IF(AND(OR(C2942="LMS",C2942="Mod"),D2942&lt;&gt;""),IF(IFERROR(INDEX(MaskinStatus,MATCH(D2942,Maskiner,0)),"")="I dokk","","Maskinen er ikke i dokk"),""))))))</f>
        <v/>
      </c>
      <c r="L2942" s="2">
        <f>IF(B2942="","",IFERROR(INT((MATCH(B2942,Teknikere,0)-1)/18)+1,""))</f>
        <v/>
      </c>
      <c r="M2942" s="2">
        <f>IF(OR(A2942="",B2942=""),"",B2942&amp;"|"&amp;A2942)</f>
        <v/>
      </c>
      <c r="N2942" s="2">
        <f>IF(M2942="","",SUMIFS(TF_Timer,TF_Nokkel,M2942,TF_Akt,C2942))</f>
        <v/>
      </c>
      <c r="O2942" s="2">
        <f>IF(M2942="","",IF(AND(N2942=_xlfn.MAXIFS(TF_AktSum,TF_Nokkel,M2942),COUNTIFS(M$3:M2941,M2942,N$3:N2941,N2942)=0),M2942,""))</f>
        <v/>
      </c>
    </row>
    <row r="2943">
      <c r="A2943" s="34" t="n"/>
      <c r="B2943" s="35" t="n"/>
      <c r="C2943" s="35" t="n"/>
      <c r="D2943" s="35" t="n"/>
      <c r="E2943" s="35" t="n"/>
      <c r="F2943" s="36" t="n"/>
      <c r="G2943" s="35" t="n"/>
      <c r="H2943" s="30">
        <f>IF(L2943="","",INDEX(SkiftNavn,L2943))</f>
        <v/>
      </c>
      <c r="I2943" s="30">
        <f>IF(OR(A2943="",L2943=""),"",IF(MOD(A2943-INDEX(SkiftStart,L2943),Syklus)&lt;DagK,"Kveld",IF(MOD(A2943-INDEX(SkiftStart,L2943),Syklus)&lt;DagK+DagH,"Helg",IF(MOD(A2943-INDEX(SkiftStart,L2943),Syklus)&lt;DagK+DagH+DagD,"Dag","Fri"))))</f>
        <v/>
      </c>
      <c r="J2943" s="30">
        <f>IF(I2943="Fri","Ja","")</f>
        <v/>
      </c>
      <c r="K2943" s="30">
        <f>IF(B2943="","",IF(L2943="","Ukjent tekniker",IF(ISNA(MATCH(C2943,Aktiviteter,0)),"Ukjent aktivitet",IF(AND(INDEX(AktRolle,MATCH(C2943,Aktiviteter,0))&amp;""&lt;&gt;"",ISERROR(SEARCH(INDEX(AktRolle,MATCH(C2943,Aktiviteter,0))&amp;"",INDEX(TekRoller,MATCH(B2943,Teknikere,0))))),"Mangler rollen "&amp;INDEX(AktRolle,MATCH(C2943,Aktiviteter,0))&amp;"",IF(AND(C2943="LMS",F2943&gt;0,OR(D2943="",E2943="")),"Mangler maskin eller arbeid",IF(AND(OR(C2943="LMS",C2943="Mod"),D2943&lt;&gt;""),IF(IFERROR(INDEX(MaskinStatus,MATCH(D2943,Maskiner,0)),"")="I dokk","","Maskinen er ikke i dokk"),""))))))</f>
        <v/>
      </c>
      <c r="L2943" s="2">
        <f>IF(B2943="","",IFERROR(INT((MATCH(B2943,Teknikere,0)-1)/18)+1,""))</f>
        <v/>
      </c>
      <c r="M2943" s="2">
        <f>IF(OR(A2943="",B2943=""),"",B2943&amp;"|"&amp;A2943)</f>
        <v/>
      </c>
      <c r="N2943" s="2">
        <f>IF(M2943="","",SUMIFS(TF_Timer,TF_Nokkel,M2943,TF_Akt,C2943))</f>
        <v/>
      </c>
      <c r="O2943" s="2">
        <f>IF(M2943="","",IF(AND(N2943=_xlfn.MAXIFS(TF_AktSum,TF_Nokkel,M2943),COUNTIFS(M$3:M2942,M2943,N$3:N2942,N2943)=0),M2943,""))</f>
        <v/>
      </c>
    </row>
    <row r="2944">
      <c r="A2944" s="34" t="n"/>
      <c r="B2944" s="35" t="n"/>
      <c r="C2944" s="35" t="n"/>
      <c r="D2944" s="35" t="n"/>
      <c r="E2944" s="35" t="n"/>
      <c r="F2944" s="36" t="n"/>
      <c r="G2944" s="35" t="n"/>
      <c r="H2944" s="30">
        <f>IF(L2944="","",INDEX(SkiftNavn,L2944))</f>
        <v/>
      </c>
      <c r="I2944" s="30">
        <f>IF(OR(A2944="",L2944=""),"",IF(MOD(A2944-INDEX(SkiftStart,L2944),Syklus)&lt;DagK,"Kveld",IF(MOD(A2944-INDEX(SkiftStart,L2944),Syklus)&lt;DagK+DagH,"Helg",IF(MOD(A2944-INDEX(SkiftStart,L2944),Syklus)&lt;DagK+DagH+DagD,"Dag","Fri"))))</f>
        <v/>
      </c>
      <c r="J2944" s="30">
        <f>IF(I2944="Fri","Ja","")</f>
        <v/>
      </c>
      <c r="K2944" s="30">
        <f>IF(B2944="","",IF(L2944="","Ukjent tekniker",IF(ISNA(MATCH(C2944,Aktiviteter,0)),"Ukjent aktivitet",IF(AND(INDEX(AktRolle,MATCH(C2944,Aktiviteter,0))&amp;""&lt;&gt;"",ISERROR(SEARCH(INDEX(AktRolle,MATCH(C2944,Aktiviteter,0))&amp;"",INDEX(TekRoller,MATCH(B2944,Teknikere,0))))),"Mangler rollen "&amp;INDEX(AktRolle,MATCH(C2944,Aktiviteter,0))&amp;"",IF(AND(C2944="LMS",F2944&gt;0,OR(D2944="",E2944="")),"Mangler maskin eller arbeid",IF(AND(OR(C2944="LMS",C2944="Mod"),D2944&lt;&gt;""),IF(IFERROR(INDEX(MaskinStatus,MATCH(D2944,Maskiner,0)),"")="I dokk","","Maskinen er ikke i dokk"),""))))))</f>
        <v/>
      </c>
      <c r="L2944" s="2">
        <f>IF(B2944="","",IFERROR(INT((MATCH(B2944,Teknikere,0)-1)/18)+1,""))</f>
        <v/>
      </c>
      <c r="M2944" s="2">
        <f>IF(OR(A2944="",B2944=""),"",B2944&amp;"|"&amp;A2944)</f>
        <v/>
      </c>
      <c r="N2944" s="2">
        <f>IF(M2944="","",SUMIFS(TF_Timer,TF_Nokkel,M2944,TF_Akt,C2944))</f>
        <v/>
      </c>
      <c r="O2944" s="2">
        <f>IF(M2944="","",IF(AND(N2944=_xlfn.MAXIFS(TF_AktSum,TF_Nokkel,M2944),COUNTIFS(M$3:M2943,M2944,N$3:N2943,N2944)=0),M2944,""))</f>
        <v/>
      </c>
    </row>
    <row r="2945">
      <c r="A2945" s="34" t="n"/>
      <c r="B2945" s="35" t="n"/>
      <c r="C2945" s="35" t="n"/>
      <c r="D2945" s="35" t="n"/>
      <c r="E2945" s="35" t="n"/>
      <c r="F2945" s="36" t="n"/>
      <c r="G2945" s="35" t="n"/>
      <c r="H2945" s="30">
        <f>IF(L2945="","",INDEX(SkiftNavn,L2945))</f>
        <v/>
      </c>
      <c r="I2945" s="30">
        <f>IF(OR(A2945="",L2945=""),"",IF(MOD(A2945-INDEX(SkiftStart,L2945),Syklus)&lt;DagK,"Kveld",IF(MOD(A2945-INDEX(SkiftStart,L2945),Syklus)&lt;DagK+DagH,"Helg",IF(MOD(A2945-INDEX(SkiftStart,L2945),Syklus)&lt;DagK+DagH+DagD,"Dag","Fri"))))</f>
        <v/>
      </c>
      <c r="J2945" s="30">
        <f>IF(I2945="Fri","Ja","")</f>
        <v/>
      </c>
      <c r="K2945" s="30">
        <f>IF(B2945="","",IF(L2945="","Ukjent tekniker",IF(ISNA(MATCH(C2945,Aktiviteter,0)),"Ukjent aktivitet",IF(AND(INDEX(AktRolle,MATCH(C2945,Aktiviteter,0))&amp;""&lt;&gt;"",ISERROR(SEARCH(INDEX(AktRolle,MATCH(C2945,Aktiviteter,0))&amp;"",INDEX(TekRoller,MATCH(B2945,Teknikere,0))))),"Mangler rollen "&amp;INDEX(AktRolle,MATCH(C2945,Aktiviteter,0))&amp;"",IF(AND(C2945="LMS",F2945&gt;0,OR(D2945="",E2945="")),"Mangler maskin eller arbeid",IF(AND(OR(C2945="LMS",C2945="Mod"),D2945&lt;&gt;""),IF(IFERROR(INDEX(MaskinStatus,MATCH(D2945,Maskiner,0)),"")="I dokk","","Maskinen er ikke i dokk"),""))))))</f>
        <v/>
      </c>
      <c r="L2945" s="2">
        <f>IF(B2945="","",IFERROR(INT((MATCH(B2945,Teknikere,0)-1)/18)+1,""))</f>
        <v/>
      </c>
      <c r="M2945" s="2">
        <f>IF(OR(A2945="",B2945=""),"",B2945&amp;"|"&amp;A2945)</f>
        <v/>
      </c>
      <c r="N2945" s="2">
        <f>IF(M2945="","",SUMIFS(TF_Timer,TF_Nokkel,M2945,TF_Akt,C2945))</f>
        <v/>
      </c>
      <c r="O2945" s="2">
        <f>IF(M2945="","",IF(AND(N2945=_xlfn.MAXIFS(TF_AktSum,TF_Nokkel,M2945),COUNTIFS(M$3:M2944,M2945,N$3:N2944,N2945)=0),M2945,""))</f>
        <v/>
      </c>
    </row>
    <row r="2946">
      <c r="A2946" s="34" t="n"/>
      <c r="B2946" s="35" t="n"/>
      <c r="C2946" s="35" t="n"/>
      <c r="D2946" s="35" t="n"/>
      <c r="E2946" s="35" t="n"/>
      <c r="F2946" s="36" t="n"/>
      <c r="G2946" s="35" t="n"/>
      <c r="H2946" s="30">
        <f>IF(L2946="","",INDEX(SkiftNavn,L2946))</f>
        <v/>
      </c>
      <c r="I2946" s="30">
        <f>IF(OR(A2946="",L2946=""),"",IF(MOD(A2946-INDEX(SkiftStart,L2946),Syklus)&lt;DagK,"Kveld",IF(MOD(A2946-INDEX(SkiftStart,L2946),Syklus)&lt;DagK+DagH,"Helg",IF(MOD(A2946-INDEX(SkiftStart,L2946),Syklus)&lt;DagK+DagH+DagD,"Dag","Fri"))))</f>
        <v/>
      </c>
      <c r="J2946" s="30">
        <f>IF(I2946="Fri","Ja","")</f>
        <v/>
      </c>
      <c r="K2946" s="30">
        <f>IF(B2946="","",IF(L2946="","Ukjent tekniker",IF(ISNA(MATCH(C2946,Aktiviteter,0)),"Ukjent aktivitet",IF(AND(INDEX(AktRolle,MATCH(C2946,Aktiviteter,0))&amp;""&lt;&gt;"",ISERROR(SEARCH(INDEX(AktRolle,MATCH(C2946,Aktiviteter,0))&amp;"",INDEX(TekRoller,MATCH(B2946,Teknikere,0))))),"Mangler rollen "&amp;INDEX(AktRolle,MATCH(C2946,Aktiviteter,0))&amp;"",IF(AND(C2946="LMS",F2946&gt;0,OR(D2946="",E2946="")),"Mangler maskin eller arbeid",IF(AND(OR(C2946="LMS",C2946="Mod"),D2946&lt;&gt;""),IF(IFERROR(INDEX(MaskinStatus,MATCH(D2946,Maskiner,0)),"")="I dokk","","Maskinen er ikke i dokk"),""))))))</f>
        <v/>
      </c>
      <c r="L2946" s="2">
        <f>IF(B2946="","",IFERROR(INT((MATCH(B2946,Teknikere,0)-1)/18)+1,""))</f>
        <v/>
      </c>
      <c r="M2946" s="2">
        <f>IF(OR(A2946="",B2946=""),"",B2946&amp;"|"&amp;A2946)</f>
        <v/>
      </c>
      <c r="N2946" s="2">
        <f>IF(M2946="","",SUMIFS(TF_Timer,TF_Nokkel,M2946,TF_Akt,C2946))</f>
        <v/>
      </c>
      <c r="O2946" s="2">
        <f>IF(M2946="","",IF(AND(N2946=_xlfn.MAXIFS(TF_AktSum,TF_Nokkel,M2946),COUNTIFS(M$3:M2945,M2946,N$3:N2945,N2946)=0),M2946,""))</f>
        <v/>
      </c>
    </row>
    <row r="2947">
      <c r="A2947" s="34" t="n"/>
      <c r="B2947" s="35" t="n"/>
      <c r="C2947" s="35" t="n"/>
      <c r="D2947" s="35" t="n"/>
      <c r="E2947" s="35" t="n"/>
      <c r="F2947" s="36" t="n"/>
      <c r="G2947" s="35" t="n"/>
      <c r="H2947" s="30">
        <f>IF(L2947="","",INDEX(SkiftNavn,L2947))</f>
        <v/>
      </c>
      <c r="I2947" s="30">
        <f>IF(OR(A2947="",L2947=""),"",IF(MOD(A2947-INDEX(SkiftStart,L2947),Syklus)&lt;DagK,"Kveld",IF(MOD(A2947-INDEX(SkiftStart,L2947),Syklus)&lt;DagK+DagH,"Helg",IF(MOD(A2947-INDEX(SkiftStart,L2947),Syklus)&lt;DagK+DagH+DagD,"Dag","Fri"))))</f>
        <v/>
      </c>
      <c r="J2947" s="30">
        <f>IF(I2947="Fri","Ja","")</f>
        <v/>
      </c>
      <c r="K2947" s="30">
        <f>IF(B2947="","",IF(L2947="","Ukjent tekniker",IF(ISNA(MATCH(C2947,Aktiviteter,0)),"Ukjent aktivitet",IF(AND(INDEX(AktRolle,MATCH(C2947,Aktiviteter,0))&amp;""&lt;&gt;"",ISERROR(SEARCH(INDEX(AktRolle,MATCH(C2947,Aktiviteter,0))&amp;"",INDEX(TekRoller,MATCH(B2947,Teknikere,0))))),"Mangler rollen "&amp;INDEX(AktRolle,MATCH(C2947,Aktiviteter,0))&amp;"",IF(AND(C2947="LMS",F2947&gt;0,OR(D2947="",E2947="")),"Mangler maskin eller arbeid",IF(AND(OR(C2947="LMS",C2947="Mod"),D2947&lt;&gt;""),IF(IFERROR(INDEX(MaskinStatus,MATCH(D2947,Maskiner,0)),"")="I dokk","","Maskinen er ikke i dokk"),""))))))</f>
        <v/>
      </c>
      <c r="L2947" s="2">
        <f>IF(B2947="","",IFERROR(INT((MATCH(B2947,Teknikere,0)-1)/18)+1,""))</f>
        <v/>
      </c>
      <c r="M2947" s="2">
        <f>IF(OR(A2947="",B2947=""),"",B2947&amp;"|"&amp;A2947)</f>
        <v/>
      </c>
      <c r="N2947" s="2">
        <f>IF(M2947="","",SUMIFS(TF_Timer,TF_Nokkel,M2947,TF_Akt,C2947))</f>
        <v/>
      </c>
      <c r="O2947" s="2">
        <f>IF(M2947="","",IF(AND(N2947=_xlfn.MAXIFS(TF_AktSum,TF_Nokkel,M2947),COUNTIFS(M$3:M2946,M2947,N$3:N2946,N2947)=0),M2947,""))</f>
        <v/>
      </c>
    </row>
    <row r="2948">
      <c r="A2948" s="34" t="n"/>
      <c r="B2948" s="35" t="n"/>
      <c r="C2948" s="35" t="n"/>
      <c r="D2948" s="35" t="n"/>
      <c r="E2948" s="35" t="n"/>
      <c r="F2948" s="36" t="n"/>
      <c r="G2948" s="35" t="n"/>
      <c r="H2948" s="30">
        <f>IF(L2948="","",INDEX(SkiftNavn,L2948))</f>
        <v/>
      </c>
      <c r="I2948" s="30">
        <f>IF(OR(A2948="",L2948=""),"",IF(MOD(A2948-INDEX(SkiftStart,L2948),Syklus)&lt;DagK,"Kveld",IF(MOD(A2948-INDEX(SkiftStart,L2948),Syklus)&lt;DagK+DagH,"Helg",IF(MOD(A2948-INDEX(SkiftStart,L2948),Syklus)&lt;DagK+DagH+DagD,"Dag","Fri"))))</f>
        <v/>
      </c>
      <c r="J2948" s="30">
        <f>IF(I2948="Fri","Ja","")</f>
        <v/>
      </c>
      <c r="K2948" s="30">
        <f>IF(B2948="","",IF(L2948="","Ukjent tekniker",IF(ISNA(MATCH(C2948,Aktiviteter,0)),"Ukjent aktivitet",IF(AND(INDEX(AktRolle,MATCH(C2948,Aktiviteter,0))&amp;""&lt;&gt;"",ISERROR(SEARCH(INDEX(AktRolle,MATCH(C2948,Aktiviteter,0))&amp;"",INDEX(TekRoller,MATCH(B2948,Teknikere,0))))),"Mangler rollen "&amp;INDEX(AktRolle,MATCH(C2948,Aktiviteter,0))&amp;"",IF(AND(C2948="LMS",F2948&gt;0,OR(D2948="",E2948="")),"Mangler maskin eller arbeid",IF(AND(OR(C2948="LMS",C2948="Mod"),D2948&lt;&gt;""),IF(IFERROR(INDEX(MaskinStatus,MATCH(D2948,Maskiner,0)),"")="I dokk","","Maskinen er ikke i dokk"),""))))))</f>
        <v/>
      </c>
      <c r="L2948" s="2">
        <f>IF(B2948="","",IFERROR(INT((MATCH(B2948,Teknikere,0)-1)/18)+1,""))</f>
        <v/>
      </c>
      <c r="M2948" s="2">
        <f>IF(OR(A2948="",B2948=""),"",B2948&amp;"|"&amp;A2948)</f>
        <v/>
      </c>
      <c r="N2948" s="2">
        <f>IF(M2948="","",SUMIFS(TF_Timer,TF_Nokkel,M2948,TF_Akt,C2948))</f>
        <v/>
      </c>
      <c r="O2948" s="2">
        <f>IF(M2948="","",IF(AND(N2948=_xlfn.MAXIFS(TF_AktSum,TF_Nokkel,M2948),COUNTIFS(M$3:M2947,M2948,N$3:N2947,N2948)=0),M2948,""))</f>
        <v/>
      </c>
    </row>
    <row r="2949">
      <c r="A2949" s="34" t="n"/>
      <c r="B2949" s="35" t="n"/>
      <c r="C2949" s="35" t="n"/>
      <c r="D2949" s="35" t="n"/>
      <c r="E2949" s="35" t="n"/>
      <c r="F2949" s="36" t="n"/>
      <c r="G2949" s="35" t="n"/>
      <c r="H2949" s="30">
        <f>IF(L2949="","",INDEX(SkiftNavn,L2949))</f>
        <v/>
      </c>
      <c r="I2949" s="30">
        <f>IF(OR(A2949="",L2949=""),"",IF(MOD(A2949-INDEX(SkiftStart,L2949),Syklus)&lt;DagK,"Kveld",IF(MOD(A2949-INDEX(SkiftStart,L2949),Syklus)&lt;DagK+DagH,"Helg",IF(MOD(A2949-INDEX(SkiftStart,L2949),Syklus)&lt;DagK+DagH+DagD,"Dag","Fri"))))</f>
        <v/>
      </c>
      <c r="J2949" s="30">
        <f>IF(I2949="Fri","Ja","")</f>
        <v/>
      </c>
      <c r="K2949" s="30">
        <f>IF(B2949="","",IF(L2949="","Ukjent tekniker",IF(ISNA(MATCH(C2949,Aktiviteter,0)),"Ukjent aktivitet",IF(AND(INDEX(AktRolle,MATCH(C2949,Aktiviteter,0))&amp;""&lt;&gt;"",ISERROR(SEARCH(INDEX(AktRolle,MATCH(C2949,Aktiviteter,0))&amp;"",INDEX(TekRoller,MATCH(B2949,Teknikere,0))))),"Mangler rollen "&amp;INDEX(AktRolle,MATCH(C2949,Aktiviteter,0))&amp;"",IF(AND(C2949="LMS",F2949&gt;0,OR(D2949="",E2949="")),"Mangler maskin eller arbeid",IF(AND(OR(C2949="LMS",C2949="Mod"),D2949&lt;&gt;""),IF(IFERROR(INDEX(MaskinStatus,MATCH(D2949,Maskiner,0)),"")="I dokk","","Maskinen er ikke i dokk"),""))))))</f>
        <v/>
      </c>
      <c r="L2949" s="2">
        <f>IF(B2949="","",IFERROR(INT((MATCH(B2949,Teknikere,0)-1)/18)+1,""))</f>
        <v/>
      </c>
      <c r="M2949" s="2">
        <f>IF(OR(A2949="",B2949=""),"",B2949&amp;"|"&amp;A2949)</f>
        <v/>
      </c>
      <c r="N2949" s="2">
        <f>IF(M2949="","",SUMIFS(TF_Timer,TF_Nokkel,M2949,TF_Akt,C2949))</f>
        <v/>
      </c>
      <c r="O2949" s="2">
        <f>IF(M2949="","",IF(AND(N2949=_xlfn.MAXIFS(TF_AktSum,TF_Nokkel,M2949),COUNTIFS(M$3:M2948,M2949,N$3:N2948,N2949)=0),M2949,""))</f>
        <v/>
      </c>
    </row>
    <row r="2950">
      <c r="A2950" s="34" t="n"/>
      <c r="B2950" s="35" t="n"/>
      <c r="C2950" s="35" t="n"/>
      <c r="D2950" s="35" t="n"/>
      <c r="E2950" s="35" t="n"/>
      <c r="F2950" s="36" t="n"/>
      <c r="G2950" s="35" t="n"/>
      <c r="H2950" s="30">
        <f>IF(L2950="","",INDEX(SkiftNavn,L2950))</f>
        <v/>
      </c>
      <c r="I2950" s="30">
        <f>IF(OR(A2950="",L2950=""),"",IF(MOD(A2950-INDEX(SkiftStart,L2950),Syklus)&lt;DagK,"Kveld",IF(MOD(A2950-INDEX(SkiftStart,L2950),Syklus)&lt;DagK+DagH,"Helg",IF(MOD(A2950-INDEX(SkiftStart,L2950),Syklus)&lt;DagK+DagH+DagD,"Dag","Fri"))))</f>
        <v/>
      </c>
      <c r="J2950" s="30">
        <f>IF(I2950="Fri","Ja","")</f>
        <v/>
      </c>
      <c r="K2950" s="30">
        <f>IF(B2950="","",IF(L2950="","Ukjent tekniker",IF(ISNA(MATCH(C2950,Aktiviteter,0)),"Ukjent aktivitet",IF(AND(INDEX(AktRolle,MATCH(C2950,Aktiviteter,0))&amp;""&lt;&gt;"",ISERROR(SEARCH(INDEX(AktRolle,MATCH(C2950,Aktiviteter,0))&amp;"",INDEX(TekRoller,MATCH(B2950,Teknikere,0))))),"Mangler rollen "&amp;INDEX(AktRolle,MATCH(C2950,Aktiviteter,0))&amp;"",IF(AND(C2950="LMS",F2950&gt;0,OR(D2950="",E2950="")),"Mangler maskin eller arbeid",IF(AND(OR(C2950="LMS",C2950="Mod"),D2950&lt;&gt;""),IF(IFERROR(INDEX(MaskinStatus,MATCH(D2950,Maskiner,0)),"")="I dokk","","Maskinen er ikke i dokk"),""))))))</f>
        <v/>
      </c>
      <c r="L2950" s="2">
        <f>IF(B2950="","",IFERROR(INT((MATCH(B2950,Teknikere,0)-1)/18)+1,""))</f>
        <v/>
      </c>
      <c r="M2950" s="2">
        <f>IF(OR(A2950="",B2950=""),"",B2950&amp;"|"&amp;A2950)</f>
        <v/>
      </c>
      <c r="N2950" s="2">
        <f>IF(M2950="","",SUMIFS(TF_Timer,TF_Nokkel,M2950,TF_Akt,C2950))</f>
        <v/>
      </c>
      <c r="O2950" s="2">
        <f>IF(M2950="","",IF(AND(N2950=_xlfn.MAXIFS(TF_AktSum,TF_Nokkel,M2950),COUNTIFS(M$3:M2949,M2950,N$3:N2949,N2950)=0),M2950,""))</f>
        <v/>
      </c>
    </row>
    <row r="2951">
      <c r="A2951" s="34" t="n"/>
      <c r="B2951" s="35" t="n"/>
      <c r="C2951" s="35" t="n"/>
      <c r="D2951" s="35" t="n"/>
      <c r="E2951" s="35" t="n"/>
      <c r="F2951" s="36" t="n"/>
      <c r="G2951" s="35" t="n"/>
      <c r="H2951" s="30">
        <f>IF(L2951="","",INDEX(SkiftNavn,L2951))</f>
        <v/>
      </c>
      <c r="I2951" s="30">
        <f>IF(OR(A2951="",L2951=""),"",IF(MOD(A2951-INDEX(SkiftStart,L2951),Syklus)&lt;DagK,"Kveld",IF(MOD(A2951-INDEX(SkiftStart,L2951),Syklus)&lt;DagK+DagH,"Helg",IF(MOD(A2951-INDEX(SkiftStart,L2951),Syklus)&lt;DagK+DagH+DagD,"Dag","Fri"))))</f>
        <v/>
      </c>
      <c r="J2951" s="30">
        <f>IF(I2951="Fri","Ja","")</f>
        <v/>
      </c>
      <c r="K2951" s="30">
        <f>IF(B2951="","",IF(L2951="","Ukjent tekniker",IF(ISNA(MATCH(C2951,Aktiviteter,0)),"Ukjent aktivitet",IF(AND(INDEX(AktRolle,MATCH(C2951,Aktiviteter,0))&amp;""&lt;&gt;"",ISERROR(SEARCH(INDEX(AktRolle,MATCH(C2951,Aktiviteter,0))&amp;"",INDEX(TekRoller,MATCH(B2951,Teknikere,0))))),"Mangler rollen "&amp;INDEX(AktRolle,MATCH(C2951,Aktiviteter,0))&amp;"",IF(AND(C2951="LMS",F2951&gt;0,OR(D2951="",E2951="")),"Mangler maskin eller arbeid",IF(AND(OR(C2951="LMS",C2951="Mod"),D2951&lt;&gt;""),IF(IFERROR(INDEX(MaskinStatus,MATCH(D2951,Maskiner,0)),"")="I dokk","","Maskinen er ikke i dokk"),""))))))</f>
        <v/>
      </c>
      <c r="L2951" s="2">
        <f>IF(B2951="","",IFERROR(INT((MATCH(B2951,Teknikere,0)-1)/18)+1,""))</f>
        <v/>
      </c>
      <c r="M2951" s="2">
        <f>IF(OR(A2951="",B2951=""),"",B2951&amp;"|"&amp;A2951)</f>
        <v/>
      </c>
      <c r="N2951" s="2">
        <f>IF(M2951="","",SUMIFS(TF_Timer,TF_Nokkel,M2951,TF_Akt,C2951))</f>
        <v/>
      </c>
      <c r="O2951" s="2">
        <f>IF(M2951="","",IF(AND(N2951=_xlfn.MAXIFS(TF_AktSum,TF_Nokkel,M2951),COUNTIFS(M$3:M2950,M2951,N$3:N2950,N2951)=0),M2951,""))</f>
        <v/>
      </c>
    </row>
    <row r="2952">
      <c r="A2952" s="34" t="n"/>
      <c r="B2952" s="35" t="n"/>
      <c r="C2952" s="35" t="n"/>
      <c r="D2952" s="35" t="n"/>
      <c r="E2952" s="35" t="n"/>
      <c r="F2952" s="36" t="n"/>
      <c r="G2952" s="35" t="n"/>
      <c r="H2952" s="30">
        <f>IF(L2952="","",INDEX(SkiftNavn,L2952))</f>
        <v/>
      </c>
      <c r="I2952" s="30">
        <f>IF(OR(A2952="",L2952=""),"",IF(MOD(A2952-INDEX(SkiftStart,L2952),Syklus)&lt;DagK,"Kveld",IF(MOD(A2952-INDEX(SkiftStart,L2952),Syklus)&lt;DagK+DagH,"Helg",IF(MOD(A2952-INDEX(SkiftStart,L2952),Syklus)&lt;DagK+DagH+DagD,"Dag","Fri"))))</f>
        <v/>
      </c>
      <c r="J2952" s="30">
        <f>IF(I2952="Fri","Ja","")</f>
        <v/>
      </c>
      <c r="K2952" s="30">
        <f>IF(B2952="","",IF(L2952="","Ukjent tekniker",IF(ISNA(MATCH(C2952,Aktiviteter,0)),"Ukjent aktivitet",IF(AND(INDEX(AktRolle,MATCH(C2952,Aktiviteter,0))&amp;""&lt;&gt;"",ISERROR(SEARCH(INDEX(AktRolle,MATCH(C2952,Aktiviteter,0))&amp;"",INDEX(TekRoller,MATCH(B2952,Teknikere,0))))),"Mangler rollen "&amp;INDEX(AktRolle,MATCH(C2952,Aktiviteter,0))&amp;"",IF(AND(C2952="LMS",F2952&gt;0,OR(D2952="",E2952="")),"Mangler maskin eller arbeid",IF(AND(OR(C2952="LMS",C2952="Mod"),D2952&lt;&gt;""),IF(IFERROR(INDEX(MaskinStatus,MATCH(D2952,Maskiner,0)),"")="I dokk","","Maskinen er ikke i dokk"),""))))))</f>
        <v/>
      </c>
      <c r="L2952" s="2">
        <f>IF(B2952="","",IFERROR(INT((MATCH(B2952,Teknikere,0)-1)/18)+1,""))</f>
        <v/>
      </c>
      <c r="M2952" s="2">
        <f>IF(OR(A2952="",B2952=""),"",B2952&amp;"|"&amp;A2952)</f>
        <v/>
      </c>
      <c r="N2952" s="2">
        <f>IF(M2952="","",SUMIFS(TF_Timer,TF_Nokkel,M2952,TF_Akt,C2952))</f>
        <v/>
      </c>
      <c r="O2952" s="2">
        <f>IF(M2952="","",IF(AND(N2952=_xlfn.MAXIFS(TF_AktSum,TF_Nokkel,M2952),COUNTIFS(M$3:M2951,M2952,N$3:N2951,N2952)=0),M2952,""))</f>
        <v/>
      </c>
    </row>
    <row r="2953">
      <c r="A2953" s="34" t="n"/>
      <c r="B2953" s="35" t="n"/>
      <c r="C2953" s="35" t="n"/>
      <c r="D2953" s="35" t="n"/>
      <c r="E2953" s="35" t="n"/>
      <c r="F2953" s="36" t="n"/>
      <c r="G2953" s="35" t="n"/>
      <c r="H2953" s="30">
        <f>IF(L2953="","",INDEX(SkiftNavn,L2953))</f>
        <v/>
      </c>
      <c r="I2953" s="30">
        <f>IF(OR(A2953="",L2953=""),"",IF(MOD(A2953-INDEX(SkiftStart,L2953),Syklus)&lt;DagK,"Kveld",IF(MOD(A2953-INDEX(SkiftStart,L2953),Syklus)&lt;DagK+DagH,"Helg",IF(MOD(A2953-INDEX(SkiftStart,L2953),Syklus)&lt;DagK+DagH+DagD,"Dag","Fri"))))</f>
        <v/>
      </c>
      <c r="J2953" s="30">
        <f>IF(I2953="Fri","Ja","")</f>
        <v/>
      </c>
      <c r="K2953" s="30">
        <f>IF(B2953="","",IF(L2953="","Ukjent tekniker",IF(ISNA(MATCH(C2953,Aktiviteter,0)),"Ukjent aktivitet",IF(AND(INDEX(AktRolle,MATCH(C2953,Aktiviteter,0))&amp;""&lt;&gt;"",ISERROR(SEARCH(INDEX(AktRolle,MATCH(C2953,Aktiviteter,0))&amp;"",INDEX(TekRoller,MATCH(B2953,Teknikere,0))))),"Mangler rollen "&amp;INDEX(AktRolle,MATCH(C2953,Aktiviteter,0))&amp;"",IF(AND(C2953="LMS",F2953&gt;0,OR(D2953="",E2953="")),"Mangler maskin eller arbeid",IF(AND(OR(C2953="LMS",C2953="Mod"),D2953&lt;&gt;""),IF(IFERROR(INDEX(MaskinStatus,MATCH(D2953,Maskiner,0)),"")="I dokk","","Maskinen er ikke i dokk"),""))))))</f>
        <v/>
      </c>
      <c r="L2953" s="2">
        <f>IF(B2953="","",IFERROR(INT((MATCH(B2953,Teknikere,0)-1)/18)+1,""))</f>
        <v/>
      </c>
      <c r="M2953" s="2">
        <f>IF(OR(A2953="",B2953=""),"",B2953&amp;"|"&amp;A2953)</f>
        <v/>
      </c>
      <c r="N2953" s="2">
        <f>IF(M2953="","",SUMIFS(TF_Timer,TF_Nokkel,M2953,TF_Akt,C2953))</f>
        <v/>
      </c>
      <c r="O2953" s="2">
        <f>IF(M2953="","",IF(AND(N2953=_xlfn.MAXIFS(TF_AktSum,TF_Nokkel,M2953),COUNTIFS(M$3:M2952,M2953,N$3:N2952,N2953)=0),M2953,""))</f>
        <v/>
      </c>
    </row>
    <row r="2954">
      <c r="A2954" s="34" t="n"/>
      <c r="B2954" s="35" t="n"/>
      <c r="C2954" s="35" t="n"/>
      <c r="D2954" s="35" t="n"/>
      <c r="E2954" s="35" t="n"/>
      <c r="F2954" s="36" t="n"/>
      <c r="G2954" s="35" t="n"/>
      <c r="H2954" s="30">
        <f>IF(L2954="","",INDEX(SkiftNavn,L2954))</f>
        <v/>
      </c>
      <c r="I2954" s="30">
        <f>IF(OR(A2954="",L2954=""),"",IF(MOD(A2954-INDEX(SkiftStart,L2954),Syklus)&lt;DagK,"Kveld",IF(MOD(A2954-INDEX(SkiftStart,L2954),Syklus)&lt;DagK+DagH,"Helg",IF(MOD(A2954-INDEX(SkiftStart,L2954),Syklus)&lt;DagK+DagH+DagD,"Dag","Fri"))))</f>
        <v/>
      </c>
      <c r="J2954" s="30">
        <f>IF(I2954="Fri","Ja","")</f>
        <v/>
      </c>
      <c r="K2954" s="30">
        <f>IF(B2954="","",IF(L2954="","Ukjent tekniker",IF(ISNA(MATCH(C2954,Aktiviteter,0)),"Ukjent aktivitet",IF(AND(INDEX(AktRolle,MATCH(C2954,Aktiviteter,0))&amp;""&lt;&gt;"",ISERROR(SEARCH(INDEX(AktRolle,MATCH(C2954,Aktiviteter,0))&amp;"",INDEX(TekRoller,MATCH(B2954,Teknikere,0))))),"Mangler rollen "&amp;INDEX(AktRolle,MATCH(C2954,Aktiviteter,0))&amp;"",IF(AND(C2954="LMS",F2954&gt;0,OR(D2954="",E2954="")),"Mangler maskin eller arbeid",IF(AND(OR(C2954="LMS",C2954="Mod"),D2954&lt;&gt;""),IF(IFERROR(INDEX(MaskinStatus,MATCH(D2954,Maskiner,0)),"")="I dokk","","Maskinen er ikke i dokk"),""))))))</f>
        <v/>
      </c>
      <c r="L2954" s="2">
        <f>IF(B2954="","",IFERROR(INT((MATCH(B2954,Teknikere,0)-1)/18)+1,""))</f>
        <v/>
      </c>
      <c r="M2954" s="2">
        <f>IF(OR(A2954="",B2954=""),"",B2954&amp;"|"&amp;A2954)</f>
        <v/>
      </c>
      <c r="N2954" s="2">
        <f>IF(M2954="","",SUMIFS(TF_Timer,TF_Nokkel,M2954,TF_Akt,C2954))</f>
        <v/>
      </c>
      <c r="O2954" s="2">
        <f>IF(M2954="","",IF(AND(N2954=_xlfn.MAXIFS(TF_AktSum,TF_Nokkel,M2954),COUNTIFS(M$3:M2953,M2954,N$3:N2953,N2954)=0),M2954,""))</f>
        <v/>
      </c>
    </row>
    <row r="2955">
      <c r="A2955" s="34" t="n"/>
      <c r="B2955" s="35" t="n"/>
      <c r="C2955" s="35" t="n"/>
      <c r="D2955" s="35" t="n"/>
      <c r="E2955" s="35" t="n"/>
      <c r="F2955" s="36" t="n"/>
      <c r="G2955" s="35" t="n"/>
      <c r="H2955" s="30">
        <f>IF(L2955="","",INDEX(SkiftNavn,L2955))</f>
        <v/>
      </c>
      <c r="I2955" s="30">
        <f>IF(OR(A2955="",L2955=""),"",IF(MOD(A2955-INDEX(SkiftStart,L2955),Syklus)&lt;DagK,"Kveld",IF(MOD(A2955-INDEX(SkiftStart,L2955),Syklus)&lt;DagK+DagH,"Helg",IF(MOD(A2955-INDEX(SkiftStart,L2955),Syklus)&lt;DagK+DagH+DagD,"Dag","Fri"))))</f>
        <v/>
      </c>
      <c r="J2955" s="30">
        <f>IF(I2955="Fri","Ja","")</f>
        <v/>
      </c>
      <c r="K2955" s="30">
        <f>IF(B2955="","",IF(L2955="","Ukjent tekniker",IF(ISNA(MATCH(C2955,Aktiviteter,0)),"Ukjent aktivitet",IF(AND(INDEX(AktRolle,MATCH(C2955,Aktiviteter,0))&amp;""&lt;&gt;"",ISERROR(SEARCH(INDEX(AktRolle,MATCH(C2955,Aktiviteter,0))&amp;"",INDEX(TekRoller,MATCH(B2955,Teknikere,0))))),"Mangler rollen "&amp;INDEX(AktRolle,MATCH(C2955,Aktiviteter,0))&amp;"",IF(AND(C2955="LMS",F2955&gt;0,OR(D2955="",E2955="")),"Mangler maskin eller arbeid",IF(AND(OR(C2955="LMS",C2955="Mod"),D2955&lt;&gt;""),IF(IFERROR(INDEX(MaskinStatus,MATCH(D2955,Maskiner,0)),"")="I dokk","","Maskinen er ikke i dokk"),""))))))</f>
        <v/>
      </c>
      <c r="L2955" s="2">
        <f>IF(B2955="","",IFERROR(INT((MATCH(B2955,Teknikere,0)-1)/18)+1,""))</f>
        <v/>
      </c>
      <c r="M2955" s="2">
        <f>IF(OR(A2955="",B2955=""),"",B2955&amp;"|"&amp;A2955)</f>
        <v/>
      </c>
      <c r="N2955" s="2">
        <f>IF(M2955="","",SUMIFS(TF_Timer,TF_Nokkel,M2955,TF_Akt,C2955))</f>
        <v/>
      </c>
      <c r="O2955" s="2">
        <f>IF(M2955="","",IF(AND(N2955=_xlfn.MAXIFS(TF_AktSum,TF_Nokkel,M2955),COUNTIFS(M$3:M2954,M2955,N$3:N2954,N2955)=0),M2955,""))</f>
        <v/>
      </c>
    </row>
    <row r="2956">
      <c r="A2956" s="34" t="n"/>
      <c r="B2956" s="35" t="n"/>
      <c r="C2956" s="35" t="n"/>
      <c r="D2956" s="35" t="n"/>
      <c r="E2956" s="35" t="n"/>
      <c r="F2956" s="36" t="n"/>
      <c r="G2956" s="35" t="n"/>
      <c r="H2956" s="30">
        <f>IF(L2956="","",INDEX(SkiftNavn,L2956))</f>
        <v/>
      </c>
      <c r="I2956" s="30">
        <f>IF(OR(A2956="",L2956=""),"",IF(MOD(A2956-INDEX(SkiftStart,L2956),Syklus)&lt;DagK,"Kveld",IF(MOD(A2956-INDEX(SkiftStart,L2956),Syklus)&lt;DagK+DagH,"Helg",IF(MOD(A2956-INDEX(SkiftStart,L2956),Syklus)&lt;DagK+DagH+DagD,"Dag","Fri"))))</f>
        <v/>
      </c>
      <c r="J2956" s="30">
        <f>IF(I2956="Fri","Ja","")</f>
        <v/>
      </c>
      <c r="K2956" s="30">
        <f>IF(B2956="","",IF(L2956="","Ukjent tekniker",IF(ISNA(MATCH(C2956,Aktiviteter,0)),"Ukjent aktivitet",IF(AND(INDEX(AktRolle,MATCH(C2956,Aktiviteter,0))&amp;""&lt;&gt;"",ISERROR(SEARCH(INDEX(AktRolle,MATCH(C2956,Aktiviteter,0))&amp;"",INDEX(TekRoller,MATCH(B2956,Teknikere,0))))),"Mangler rollen "&amp;INDEX(AktRolle,MATCH(C2956,Aktiviteter,0))&amp;"",IF(AND(C2956="LMS",F2956&gt;0,OR(D2956="",E2956="")),"Mangler maskin eller arbeid",IF(AND(OR(C2956="LMS",C2956="Mod"),D2956&lt;&gt;""),IF(IFERROR(INDEX(MaskinStatus,MATCH(D2956,Maskiner,0)),"")="I dokk","","Maskinen er ikke i dokk"),""))))))</f>
        <v/>
      </c>
      <c r="L2956" s="2">
        <f>IF(B2956="","",IFERROR(INT((MATCH(B2956,Teknikere,0)-1)/18)+1,""))</f>
        <v/>
      </c>
      <c r="M2956" s="2">
        <f>IF(OR(A2956="",B2956=""),"",B2956&amp;"|"&amp;A2956)</f>
        <v/>
      </c>
      <c r="N2956" s="2">
        <f>IF(M2956="","",SUMIFS(TF_Timer,TF_Nokkel,M2956,TF_Akt,C2956))</f>
        <v/>
      </c>
      <c r="O2956" s="2">
        <f>IF(M2956="","",IF(AND(N2956=_xlfn.MAXIFS(TF_AktSum,TF_Nokkel,M2956),COUNTIFS(M$3:M2955,M2956,N$3:N2955,N2956)=0),M2956,""))</f>
        <v/>
      </c>
    </row>
    <row r="2957">
      <c r="A2957" s="34" t="n"/>
      <c r="B2957" s="35" t="n"/>
      <c r="C2957" s="35" t="n"/>
      <c r="D2957" s="35" t="n"/>
      <c r="E2957" s="35" t="n"/>
      <c r="F2957" s="36" t="n"/>
      <c r="G2957" s="35" t="n"/>
      <c r="H2957" s="30">
        <f>IF(L2957="","",INDEX(SkiftNavn,L2957))</f>
        <v/>
      </c>
      <c r="I2957" s="30">
        <f>IF(OR(A2957="",L2957=""),"",IF(MOD(A2957-INDEX(SkiftStart,L2957),Syklus)&lt;DagK,"Kveld",IF(MOD(A2957-INDEX(SkiftStart,L2957),Syklus)&lt;DagK+DagH,"Helg",IF(MOD(A2957-INDEX(SkiftStart,L2957),Syklus)&lt;DagK+DagH+DagD,"Dag","Fri"))))</f>
        <v/>
      </c>
      <c r="J2957" s="30">
        <f>IF(I2957="Fri","Ja","")</f>
        <v/>
      </c>
      <c r="K2957" s="30">
        <f>IF(B2957="","",IF(L2957="","Ukjent tekniker",IF(ISNA(MATCH(C2957,Aktiviteter,0)),"Ukjent aktivitet",IF(AND(INDEX(AktRolle,MATCH(C2957,Aktiviteter,0))&amp;""&lt;&gt;"",ISERROR(SEARCH(INDEX(AktRolle,MATCH(C2957,Aktiviteter,0))&amp;"",INDEX(TekRoller,MATCH(B2957,Teknikere,0))))),"Mangler rollen "&amp;INDEX(AktRolle,MATCH(C2957,Aktiviteter,0))&amp;"",IF(AND(C2957="LMS",F2957&gt;0,OR(D2957="",E2957="")),"Mangler maskin eller arbeid",IF(AND(OR(C2957="LMS",C2957="Mod"),D2957&lt;&gt;""),IF(IFERROR(INDEX(MaskinStatus,MATCH(D2957,Maskiner,0)),"")="I dokk","","Maskinen er ikke i dokk"),""))))))</f>
        <v/>
      </c>
      <c r="L2957" s="2">
        <f>IF(B2957="","",IFERROR(INT((MATCH(B2957,Teknikere,0)-1)/18)+1,""))</f>
        <v/>
      </c>
      <c r="M2957" s="2">
        <f>IF(OR(A2957="",B2957=""),"",B2957&amp;"|"&amp;A2957)</f>
        <v/>
      </c>
      <c r="N2957" s="2">
        <f>IF(M2957="","",SUMIFS(TF_Timer,TF_Nokkel,M2957,TF_Akt,C2957))</f>
        <v/>
      </c>
      <c r="O2957" s="2">
        <f>IF(M2957="","",IF(AND(N2957=_xlfn.MAXIFS(TF_AktSum,TF_Nokkel,M2957),COUNTIFS(M$3:M2956,M2957,N$3:N2956,N2957)=0),M2957,""))</f>
        <v/>
      </c>
    </row>
    <row r="2958">
      <c r="A2958" s="34" t="n"/>
      <c r="B2958" s="35" t="n"/>
      <c r="C2958" s="35" t="n"/>
      <c r="D2958" s="35" t="n"/>
      <c r="E2958" s="35" t="n"/>
      <c r="F2958" s="36" t="n"/>
      <c r="G2958" s="35" t="n"/>
      <c r="H2958" s="30">
        <f>IF(L2958="","",INDEX(SkiftNavn,L2958))</f>
        <v/>
      </c>
      <c r="I2958" s="30">
        <f>IF(OR(A2958="",L2958=""),"",IF(MOD(A2958-INDEX(SkiftStart,L2958),Syklus)&lt;DagK,"Kveld",IF(MOD(A2958-INDEX(SkiftStart,L2958),Syklus)&lt;DagK+DagH,"Helg",IF(MOD(A2958-INDEX(SkiftStart,L2958),Syklus)&lt;DagK+DagH+DagD,"Dag","Fri"))))</f>
        <v/>
      </c>
      <c r="J2958" s="30">
        <f>IF(I2958="Fri","Ja","")</f>
        <v/>
      </c>
      <c r="K2958" s="30">
        <f>IF(B2958="","",IF(L2958="","Ukjent tekniker",IF(ISNA(MATCH(C2958,Aktiviteter,0)),"Ukjent aktivitet",IF(AND(INDEX(AktRolle,MATCH(C2958,Aktiviteter,0))&amp;""&lt;&gt;"",ISERROR(SEARCH(INDEX(AktRolle,MATCH(C2958,Aktiviteter,0))&amp;"",INDEX(TekRoller,MATCH(B2958,Teknikere,0))))),"Mangler rollen "&amp;INDEX(AktRolle,MATCH(C2958,Aktiviteter,0))&amp;"",IF(AND(C2958="LMS",F2958&gt;0,OR(D2958="",E2958="")),"Mangler maskin eller arbeid",IF(AND(OR(C2958="LMS",C2958="Mod"),D2958&lt;&gt;""),IF(IFERROR(INDEX(MaskinStatus,MATCH(D2958,Maskiner,0)),"")="I dokk","","Maskinen er ikke i dokk"),""))))))</f>
        <v/>
      </c>
      <c r="L2958" s="2">
        <f>IF(B2958="","",IFERROR(INT((MATCH(B2958,Teknikere,0)-1)/18)+1,""))</f>
        <v/>
      </c>
      <c r="M2958" s="2">
        <f>IF(OR(A2958="",B2958=""),"",B2958&amp;"|"&amp;A2958)</f>
        <v/>
      </c>
      <c r="N2958" s="2">
        <f>IF(M2958="","",SUMIFS(TF_Timer,TF_Nokkel,M2958,TF_Akt,C2958))</f>
        <v/>
      </c>
      <c r="O2958" s="2">
        <f>IF(M2958="","",IF(AND(N2958=_xlfn.MAXIFS(TF_AktSum,TF_Nokkel,M2958),COUNTIFS(M$3:M2957,M2958,N$3:N2957,N2958)=0),M2958,""))</f>
        <v/>
      </c>
    </row>
    <row r="2959">
      <c r="A2959" s="34" t="n"/>
      <c r="B2959" s="35" t="n"/>
      <c r="C2959" s="35" t="n"/>
      <c r="D2959" s="35" t="n"/>
      <c r="E2959" s="35" t="n"/>
      <c r="F2959" s="36" t="n"/>
      <c r="G2959" s="35" t="n"/>
      <c r="H2959" s="30">
        <f>IF(L2959="","",INDEX(SkiftNavn,L2959))</f>
        <v/>
      </c>
      <c r="I2959" s="30">
        <f>IF(OR(A2959="",L2959=""),"",IF(MOD(A2959-INDEX(SkiftStart,L2959),Syklus)&lt;DagK,"Kveld",IF(MOD(A2959-INDEX(SkiftStart,L2959),Syklus)&lt;DagK+DagH,"Helg",IF(MOD(A2959-INDEX(SkiftStart,L2959),Syklus)&lt;DagK+DagH+DagD,"Dag","Fri"))))</f>
        <v/>
      </c>
      <c r="J2959" s="30">
        <f>IF(I2959="Fri","Ja","")</f>
        <v/>
      </c>
      <c r="K2959" s="30">
        <f>IF(B2959="","",IF(L2959="","Ukjent tekniker",IF(ISNA(MATCH(C2959,Aktiviteter,0)),"Ukjent aktivitet",IF(AND(INDEX(AktRolle,MATCH(C2959,Aktiviteter,0))&amp;""&lt;&gt;"",ISERROR(SEARCH(INDEX(AktRolle,MATCH(C2959,Aktiviteter,0))&amp;"",INDEX(TekRoller,MATCH(B2959,Teknikere,0))))),"Mangler rollen "&amp;INDEX(AktRolle,MATCH(C2959,Aktiviteter,0))&amp;"",IF(AND(C2959="LMS",F2959&gt;0,OR(D2959="",E2959="")),"Mangler maskin eller arbeid",IF(AND(OR(C2959="LMS",C2959="Mod"),D2959&lt;&gt;""),IF(IFERROR(INDEX(MaskinStatus,MATCH(D2959,Maskiner,0)),"")="I dokk","","Maskinen er ikke i dokk"),""))))))</f>
        <v/>
      </c>
      <c r="L2959" s="2">
        <f>IF(B2959="","",IFERROR(INT((MATCH(B2959,Teknikere,0)-1)/18)+1,""))</f>
        <v/>
      </c>
      <c r="M2959" s="2">
        <f>IF(OR(A2959="",B2959=""),"",B2959&amp;"|"&amp;A2959)</f>
        <v/>
      </c>
      <c r="N2959" s="2">
        <f>IF(M2959="","",SUMIFS(TF_Timer,TF_Nokkel,M2959,TF_Akt,C2959))</f>
        <v/>
      </c>
      <c r="O2959" s="2">
        <f>IF(M2959="","",IF(AND(N2959=_xlfn.MAXIFS(TF_AktSum,TF_Nokkel,M2959),COUNTIFS(M$3:M2958,M2959,N$3:N2958,N2959)=0),M2959,""))</f>
        <v/>
      </c>
    </row>
    <row r="2960">
      <c r="A2960" s="34" t="n"/>
      <c r="B2960" s="35" t="n"/>
      <c r="C2960" s="35" t="n"/>
      <c r="D2960" s="35" t="n"/>
      <c r="E2960" s="35" t="n"/>
      <c r="F2960" s="36" t="n"/>
      <c r="G2960" s="35" t="n"/>
      <c r="H2960" s="30">
        <f>IF(L2960="","",INDEX(SkiftNavn,L2960))</f>
        <v/>
      </c>
      <c r="I2960" s="30">
        <f>IF(OR(A2960="",L2960=""),"",IF(MOD(A2960-INDEX(SkiftStart,L2960),Syklus)&lt;DagK,"Kveld",IF(MOD(A2960-INDEX(SkiftStart,L2960),Syklus)&lt;DagK+DagH,"Helg",IF(MOD(A2960-INDEX(SkiftStart,L2960),Syklus)&lt;DagK+DagH+DagD,"Dag","Fri"))))</f>
        <v/>
      </c>
      <c r="J2960" s="30">
        <f>IF(I2960="Fri","Ja","")</f>
        <v/>
      </c>
      <c r="K2960" s="30">
        <f>IF(B2960="","",IF(L2960="","Ukjent tekniker",IF(ISNA(MATCH(C2960,Aktiviteter,0)),"Ukjent aktivitet",IF(AND(INDEX(AktRolle,MATCH(C2960,Aktiviteter,0))&amp;""&lt;&gt;"",ISERROR(SEARCH(INDEX(AktRolle,MATCH(C2960,Aktiviteter,0))&amp;"",INDEX(TekRoller,MATCH(B2960,Teknikere,0))))),"Mangler rollen "&amp;INDEX(AktRolle,MATCH(C2960,Aktiviteter,0))&amp;"",IF(AND(C2960="LMS",F2960&gt;0,OR(D2960="",E2960="")),"Mangler maskin eller arbeid",IF(AND(OR(C2960="LMS",C2960="Mod"),D2960&lt;&gt;""),IF(IFERROR(INDEX(MaskinStatus,MATCH(D2960,Maskiner,0)),"")="I dokk","","Maskinen er ikke i dokk"),""))))))</f>
        <v/>
      </c>
      <c r="L2960" s="2">
        <f>IF(B2960="","",IFERROR(INT((MATCH(B2960,Teknikere,0)-1)/18)+1,""))</f>
        <v/>
      </c>
      <c r="M2960" s="2">
        <f>IF(OR(A2960="",B2960=""),"",B2960&amp;"|"&amp;A2960)</f>
        <v/>
      </c>
      <c r="N2960" s="2">
        <f>IF(M2960="","",SUMIFS(TF_Timer,TF_Nokkel,M2960,TF_Akt,C2960))</f>
        <v/>
      </c>
      <c r="O2960" s="2">
        <f>IF(M2960="","",IF(AND(N2960=_xlfn.MAXIFS(TF_AktSum,TF_Nokkel,M2960),COUNTIFS(M$3:M2959,M2960,N$3:N2959,N2960)=0),M2960,""))</f>
        <v/>
      </c>
    </row>
    <row r="2961">
      <c r="A2961" s="34" t="n"/>
      <c r="B2961" s="35" t="n"/>
      <c r="C2961" s="35" t="n"/>
      <c r="D2961" s="35" t="n"/>
      <c r="E2961" s="35" t="n"/>
      <c r="F2961" s="36" t="n"/>
      <c r="G2961" s="35" t="n"/>
      <c r="H2961" s="30">
        <f>IF(L2961="","",INDEX(SkiftNavn,L2961))</f>
        <v/>
      </c>
      <c r="I2961" s="30">
        <f>IF(OR(A2961="",L2961=""),"",IF(MOD(A2961-INDEX(SkiftStart,L2961),Syklus)&lt;DagK,"Kveld",IF(MOD(A2961-INDEX(SkiftStart,L2961),Syklus)&lt;DagK+DagH,"Helg",IF(MOD(A2961-INDEX(SkiftStart,L2961),Syklus)&lt;DagK+DagH+DagD,"Dag","Fri"))))</f>
        <v/>
      </c>
      <c r="J2961" s="30">
        <f>IF(I2961="Fri","Ja","")</f>
        <v/>
      </c>
      <c r="K2961" s="30">
        <f>IF(B2961="","",IF(L2961="","Ukjent tekniker",IF(ISNA(MATCH(C2961,Aktiviteter,0)),"Ukjent aktivitet",IF(AND(INDEX(AktRolle,MATCH(C2961,Aktiviteter,0))&amp;""&lt;&gt;"",ISERROR(SEARCH(INDEX(AktRolle,MATCH(C2961,Aktiviteter,0))&amp;"",INDEX(TekRoller,MATCH(B2961,Teknikere,0))))),"Mangler rollen "&amp;INDEX(AktRolle,MATCH(C2961,Aktiviteter,0))&amp;"",IF(AND(C2961="LMS",F2961&gt;0,OR(D2961="",E2961="")),"Mangler maskin eller arbeid",IF(AND(OR(C2961="LMS",C2961="Mod"),D2961&lt;&gt;""),IF(IFERROR(INDEX(MaskinStatus,MATCH(D2961,Maskiner,0)),"")="I dokk","","Maskinen er ikke i dokk"),""))))))</f>
        <v/>
      </c>
      <c r="L2961" s="2">
        <f>IF(B2961="","",IFERROR(INT((MATCH(B2961,Teknikere,0)-1)/18)+1,""))</f>
        <v/>
      </c>
      <c r="M2961" s="2">
        <f>IF(OR(A2961="",B2961=""),"",B2961&amp;"|"&amp;A2961)</f>
        <v/>
      </c>
      <c r="N2961" s="2">
        <f>IF(M2961="","",SUMIFS(TF_Timer,TF_Nokkel,M2961,TF_Akt,C2961))</f>
        <v/>
      </c>
      <c r="O2961" s="2">
        <f>IF(M2961="","",IF(AND(N2961=_xlfn.MAXIFS(TF_AktSum,TF_Nokkel,M2961),COUNTIFS(M$3:M2960,M2961,N$3:N2960,N2961)=0),M2961,""))</f>
        <v/>
      </c>
    </row>
    <row r="2962">
      <c r="A2962" s="34" t="n"/>
      <c r="B2962" s="35" t="n"/>
      <c r="C2962" s="35" t="n"/>
      <c r="D2962" s="35" t="n"/>
      <c r="E2962" s="35" t="n"/>
      <c r="F2962" s="36" t="n"/>
      <c r="G2962" s="35" t="n"/>
      <c r="H2962" s="30">
        <f>IF(L2962="","",INDEX(SkiftNavn,L2962))</f>
        <v/>
      </c>
      <c r="I2962" s="30">
        <f>IF(OR(A2962="",L2962=""),"",IF(MOD(A2962-INDEX(SkiftStart,L2962),Syklus)&lt;DagK,"Kveld",IF(MOD(A2962-INDEX(SkiftStart,L2962),Syklus)&lt;DagK+DagH,"Helg",IF(MOD(A2962-INDEX(SkiftStart,L2962),Syklus)&lt;DagK+DagH+DagD,"Dag","Fri"))))</f>
        <v/>
      </c>
      <c r="J2962" s="30">
        <f>IF(I2962="Fri","Ja","")</f>
        <v/>
      </c>
      <c r="K2962" s="30">
        <f>IF(B2962="","",IF(L2962="","Ukjent tekniker",IF(ISNA(MATCH(C2962,Aktiviteter,0)),"Ukjent aktivitet",IF(AND(INDEX(AktRolle,MATCH(C2962,Aktiviteter,0))&amp;""&lt;&gt;"",ISERROR(SEARCH(INDEX(AktRolle,MATCH(C2962,Aktiviteter,0))&amp;"",INDEX(TekRoller,MATCH(B2962,Teknikere,0))))),"Mangler rollen "&amp;INDEX(AktRolle,MATCH(C2962,Aktiviteter,0))&amp;"",IF(AND(C2962="LMS",F2962&gt;0,OR(D2962="",E2962="")),"Mangler maskin eller arbeid",IF(AND(OR(C2962="LMS",C2962="Mod"),D2962&lt;&gt;""),IF(IFERROR(INDEX(MaskinStatus,MATCH(D2962,Maskiner,0)),"")="I dokk","","Maskinen er ikke i dokk"),""))))))</f>
        <v/>
      </c>
      <c r="L2962" s="2">
        <f>IF(B2962="","",IFERROR(INT((MATCH(B2962,Teknikere,0)-1)/18)+1,""))</f>
        <v/>
      </c>
      <c r="M2962" s="2">
        <f>IF(OR(A2962="",B2962=""),"",B2962&amp;"|"&amp;A2962)</f>
        <v/>
      </c>
      <c r="N2962" s="2">
        <f>IF(M2962="","",SUMIFS(TF_Timer,TF_Nokkel,M2962,TF_Akt,C2962))</f>
        <v/>
      </c>
      <c r="O2962" s="2">
        <f>IF(M2962="","",IF(AND(N2962=_xlfn.MAXIFS(TF_AktSum,TF_Nokkel,M2962),COUNTIFS(M$3:M2961,M2962,N$3:N2961,N2962)=0),M2962,""))</f>
        <v/>
      </c>
    </row>
    <row r="2963">
      <c r="A2963" s="34" t="n"/>
      <c r="B2963" s="35" t="n"/>
      <c r="C2963" s="35" t="n"/>
      <c r="D2963" s="35" t="n"/>
      <c r="E2963" s="35" t="n"/>
      <c r="F2963" s="36" t="n"/>
      <c r="G2963" s="35" t="n"/>
      <c r="H2963" s="30">
        <f>IF(L2963="","",INDEX(SkiftNavn,L2963))</f>
        <v/>
      </c>
      <c r="I2963" s="30">
        <f>IF(OR(A2963="",L2963=""),"",IF(MOD(A2963-INDEX(SkiftStart,L2963),Syklus)&lt;DagK,"Kveld",IF(MOD(A2963-INDEX(SkiftStart,L2963),Syklus)&lt;DagK+DagH,"Helg",IF(MOD(A2963-INDEX(SkiftStart,L2963),Syklus)&lt;DagK+DagH+DagD,"Dag","Fri"))))</f>
        <v/>
      </c>
      <c r="J2963" s="30">
        <f>IF(I2963="Fri","Ja","")</f>
        <v/>
      </c>
      <c r="K2963" s="30">
        <f>IF(B2963="","",IF(L2963="","Ukjent tekniker",IF(ISNA(MATCH(C2963,Aktiviteter,0)),"Ukjent aktivitet",IF(AND(INDEX(AktRolle,MATCH(C2963,Aktiviteter,0))&amp;""&lt;&gt;"",ISERROR(SEARCH(INDEX(AktRolle,MATCH(C2963,Aktiviteter,0))&amp;"",INDEX(TekRoller,MATCH(B2963,Teknikere,0))))),"Mangler rollen "&amp;INDEX(AktRolle,MATCH(C2963,Aktiviteter,0))&amp;"",IF(AND(C2963="LMS",F2963&gt;0,OR(D2963="",E2963="")),"Mangler maskin eller arbeid",IF(AND(OR(C2963="LMS",C2963="Mod"),D2963&lt;&gt;""),IF(IFERROR(INDEX(MaskinStatus,MATCH(D2963,Maskiner,0)),"")="I dokk","","Maskinen er ikke i dokk"),""))))))</f>
        <v/>
      </c>
      <c r="L2963" s="2">
        <f>IF(B2963="","",IFERROR(INT((MATCH(B2963,Teknikere,0)-1)/18)+1,""))</f>
        <v/>
      </c>
      <c r="M2963" s="2">
        <f>IF(OR(A2963="",B2963=""),"",B2963&amp;"|"&amp;A2963)</f>
        <v/>
      </c>
      <c r="N2963" s="2">
        <f>IF(M2963="","",SUMIFS(TF_Timer,TF_Nokkel,M2963,TF_Akt,C2963))</f>
        <v/>
      </c>
      <c r="O2963" s="2">
        <f>IF(M2963="","",IF(AND(N2963=_xlfn.MAXIFS(TF_AktSum,TF_Nokkel,M2963),COUNTIFS(M$3:M2962,M2963,N$3:N2962,N2963)=0),M2963,""))</f>
        <v/>
      </c>
    </row>
    <row r="2964">
      <c r="A2964" s="34" t="n"/>
      <c r="B2964" s="35" t="n"/>
      <c r="C2964" s="35" t="n"/>
      <c r="D2964" s="35" t="n"/>
      <c r="E2964" s="35" t="n"/>
      <c r="F2964" s="36" t="n"/>
      <c r="G2964" s="35" t="n"/>
      <c r="H2964" s="30">
        <f>IF(L2964="","",INDEX(SkiftNavn,L2964))</f>
        <v/>
      </c>
      <c r="I2964" s="30">
        <f>IF(OR(A2964="",L2964=""),"",IF(MOD(A2964-INDEX(SkiftStart,L2964),Syklus)&lt;DagK,"Kveld",IF(MOD(A2964-INDEX(SkiftStart,L2964),Syklus)&lt;DagK+DagH,"Helg",IF(MOD(A2964-INDEX(SkiftStart,L2964),Syklus)&lt;DagK+DagH+DagD,"Dag","Fri"))))</f>
        <v/>
      </c>
      <c r="J2964" s="30">
        <f>IF(I2964="Fri","Ja","")</f>
        <v/>
      </c>
      <c r="K2964" s="30">
        <f>IF(B2964="","",IF(L2964="","Ukjent tekniker",IF(ISNA(MATCH(C2964,Aktiviteter,0)),"Ukjent aktivitet",IF(AND(INDEX(AktRolle,MATCH(C2964,Aktiviteter,0))&amp;""&lt;&gt;"",ISERROR(SEARCH(INDEX(AktRolle,MATCH(C2964,Aktiviteter,0))&amp;"",INDEX(TekRoller,MATCH(B2964,Teknikere,0))))),"Mangler rollen "&amp;INDEX(AktRolle,MATCH(C2964,Aktiviteter,0))&amp;"",IF(AND(C2964="LMS",F2964&gt;0,OR(D2964="",E2964="")),"Mangler maskin eller arbeid",IF(AND(OR(C2964="LMS",C2964="Mod"),D2964&lt;&gt;""),IF(IFERROR(INDEX(MaskinStatus,MATCH(D2964,Maskiner,0)),"")="I dokk","","Maskinen er ikke i dokk"),""))))))</f>
        <v/>
      </c>
      <c r="L2964" s="2">
        <f>IF(B2964="","",IFERROR(INT((MATCH(B2964,Teknikere,0)-1)/18)+1,""))</f>
        <v/>
      </c>
      <c r="M2964" s="2">
        <f>IF(OR(A2964="",B2964=""),"",B2964&amp;"|"&amp;A2964)</f>
        <v/>
      </c>
      <c r="N2964" s="2">
        <f>IF(M2964="","",SUMIFS(TF_Timer,TF_Nokkel,M2964,TF_Akt,C2964))</f>
        <v/>
      </c>
      <c r="O2964" s="2">
        <f>IF(M2964="","",IF(AND(N2964=_xlfn.MAXIFS(TF_AktSum,TF_Nokkel,M2964),COUNTIFS(M$3:M2963,M2964,N$3:N2963,N2964)=0),M2964,""))</f>
        <v/>
      </c>
    </row>
    <row r="2965">
      <c r="A2965" s="34" t="n"/>
      <c r="B2965" s="35" t="n"/>
      <c r="C2965" s="35" t="n"/>
      <c r="D2965" s="35" t="n"/>
      <c r="E2965" s="35" t="n"/>
      <c r="F2965" s="36" t="n"/>
      <c r="G2965" s="35" t="n"/>
      <c r="H2965" s="30">
        <f>IF(L2965="","",INDEX(SkiftNavn,L2965))</f>
        <v/>
      </c>
      <c r="I2965" s="30">
        <f>IF(OR(A2965="",L2965=""),"",IF(MOD(A2965-INDEX(SkiftStart,L2965),Syklus)&lt;DagK,"Kveld",IF(MOD(A2965-INDEX(SkiftStart,L2965),Syklus)&lt;DagK+DagH,"Helg",IF(MOD(A2965-INDEX(SkiftStart,L2965),Syklus)&lt;DagK+DagH+DagD,"Dag","Fri"))))</f>
        <v/>
      </c>
      <c r="J2965" s="30">
        <f>IF(I2965="Fri","Ja","")</f>
        <v/>
      </c>
      <c r="K2965" s="30">
        <f>IF(B2965="","",IF(L2965="","Ukjent tekniker",IF(ISNA(MATCH(C2965,Aktiviteter,0)),"Ukjent aktivitet",IF(AND(INDEX(AktRolle,MATCH(C2965,Aktiviteter,0))&amp;""&lt;&gt;"",ISERROR(SEARCH(INDEX(AktRolle,MATCH(C2965,Aktiviteter,0))&amp;"",INDEX(TekRoller,MATCH(B2965,Teknikere,0))))),"Mangler rollen "&amp;INDEX(AktRolle,MATCH(C2965,Aktiviteter,0))&amp;"",IF(AND(C2965="LMS",F2965&gt;0,OR(D2965="",E2965="")),"Mangler maskin eller arbeid",IF(AND(OR(C2965="LMS",C2965="Mod"),D2965&lt;&gt;""),IF(IFERROR(INDEX(MaskinStatus,MATCH(D2965,Maskiner,0)),"")="I dokk","","Maskinen er ikke i dokk"),""))))))</f>
        <v/>
      </c>
      <c r="L2965" s="2">
        <f>IF(B2965="","",IFERROR(INT((MATCH(B2965,Teknikere,0)-1)/18)+1,""))</f>
        <v/>
      </c>
      <c r="M2965" s="2">
        <f>IF(OR(A2965="",B2965=""),"",B2965&amp;"|"&amp;A2965)</f>
        <v/>
      </c>
      <c r="N2965" s="2">
        <f>IF(M2965="","",SUMIFS(TF_Timer,TF_Nokkel,M2965,TF_Akt,C2965))</f>
        <v/>
      </c>
      <c r="O2965" s="2">
        <f>IF(M2965="","",IF(AND(N2965=_xlfn.MAXIFS(TF_AktSum,TF_Nokkel,M2965),COUNTIFS(M$3:M2964,M2965,N$3:N2964,N2965)=0),M2965,""))</f>
        <v/>
      </c>
    </row>
    <row r="2966">
      <c r="A2966" s="34" t="n"/>
      <c r="B2966" s="35" t="n"/>
      <c r="C2966" s="35" t="n"/>
      <c r="D2966" s="35" t="n"/>
      <c r="E2966" s="35" t="n"/>
      <c r="F2966" s="36" t="n"/>
      <c r="G2966" s="35" t="n"/>
      <c r="H2966" s="30">
        <f>IF(L2966="","",INDEX(SkiftNavn,L2966))</f>
        <v/>
      </c>
      <c r="I2966" s="30">
        <f>IF(OR(A2966="",L2966=""),"",IF(MOD(A2966-INDEX(SkiftStart,L2966),Syklus)&lt;DagK,"Kveld",IF(MOD(A2966-INDEX(SkiftStart,L2966),Syklus)&lt;DagK+DagH,"Helg",IF(MOD(A2966-INDEX(SkiftStart,L2966),Syklus)&lt;DagK+DagH+DagD,"Dag","Fri"))))</f>
        <v/>
      </c>
      <c r="J2966" s="30">
        <f>IF(I2966="Fri","Ja","")</f>
        <v/>
      </c>
      <c r="K2966" s="30">
        <f>IF(B2966="","",IF(L2966="","Ukjent tekniker",IF(ISNA(MATCH(C2966,Aktiviteter,0)),"Ukjent aktivitet",IF(AND(INDEX(AktRolle,MATCH(C2966,Aktiviteter,0))&amp;""&lt;&gt;"",ISERROR(SEARCH(INDEX(AktRolle,MATCH(C2966,Aktiviteter,0))&amp;"",INDEX(TekRoller,MATCH(B2966,Teknikere,0))))),"Mangler rollen "&amp;INDEX(AktRolle,MATCH(C2966,Aktiviteter,0))&amp;"",IF(AND(C2966="LMS",F2966&gt;0,OR(D2966="",E2966="")),"Mangler maskin eller arbeid",IF(AND(OR(C2966="LMS",C2966="Mod"),D2966&lt;&gt;""),IF(IFERROR(INDEX(MaskinStatus,MATCH(D2966,Maskiner,0)),"")="I dokk","","Maskinen er ikke i dokk"),""))))))</f>
        <v/>
      </c>
      <c r="L2966" s="2">
        <f>IF(B2966="","",IFERROR(INT((MATCH(B2966,Teknikere,0)-1)/18)+1,""))</f>
        <v/>
      </c>
      <c r="M2966" s="2">
        <f>IF(OR(A2966="",B2966=""),"",B2966&amp;"|"&amp;A2966)</f>
        <v/>
      </c>
      <c r="N2966" s="2">
        <f>IF(M2966="","",SUMIFS(TF_Timer,TF_Nokkel,M2966,TF_Akt,C2966))</f>
        <v/>
      </c>
      <c r="O2966" s="2">
        <f>IF(M2966="","",IF(AND(N2966=_xlfn.MAXIFS(TF_AktSum,TF_Nokkel,M2966),COUNTIFS(M$3:M2965,M2966,N$3:N2965,N2966)=0),M2966,""))</f>
        <v/>
      </c>
    </row>
    <row r="2967">
      <c r="A2967" s="34" t="n"/>
      <c r="B2967" s="35" t="n"/>
      <c r="C2967" s="35" t="n"/>
      <c r="D2967" s="35" t="n"/>
      <c r="E2967" s="35" t="n"/>
      <c r="F2967" s="36" t="n"/>
      <c r="G2967" s="35" t="n"/>
      <c r="H2967" s="30">
        <f>IF(L2967="","",INDEX(SkiftNavn,L2967))</f>
        <v/>
      </c>
      <c r="I2967" s="30">
        <f>IF(OR(A2967="",L2967=""),"",IF(MOD(A2967-INDEX(SkiftStart,L2967),Syklus)&lt;DagK,"Kveld",IF(MOD(A2967-INDEX(SkiftStart,L2967),Syklus)&lt;DagK+DagH,"Helg",IF(MOD(A2967-INDEX(SkiftStart,L2967),Syklus)&lt;DagK+DagH+DagD,"Dag","Fri"))))</f>
        <v/>
      </c>
      <c r="J2967" s="30">
        <f>IF(I2967="Fri","Ja","")</f>
        <v/>
      </c>
      <c r="K2967" s="30">
        <f>IF(B2967="","",IF(L2967="","Ukjent tekniker",IF(ISNA(MATCH(C2967,Aktiviteter,0)),"Ukjent aktivitet",IF(AND(INDEX(AktRolle,MATCH(C2967,Aktiviteter,0))&amp;""&lt;&gt;"",ISERROR(SEARCH(INDEX(AktRolle,MATCH(C2967,Aktiviteter,0))&amp;"",INDEX(TekRoller,MATCH(B2967,Teknikere,0))))),"Mangler rollen "&amp;INDEX(AktRolle,MATCH(C2967,Aktiviteter,0))&amp;"",IF(AND(C2967="LMS",F2967&gt;0,OR(D2967="",E2967="")),"Mangler maskin eller arbeid",IF(AND(OR(C2967="LMS",C2967="Mod"),D2967&lt;&gt;""),IF(IFERROR(INDEX(MaskinStatus,MATCH(D2967,Maskiner,0)),"")="I dokk","","Maskinen er ikke i dokk"),""))))))</f>
        <v/>
      </c>
      <c r="L2967" s="2">
        <f>IF(B2967="","",IFERROR(INT((MATCH(B2967,Teknikere,0)-1)/18)+1,""))</f>
        <v/>
      </c>
      <c r="M2967" s="2">
        <f>IF(OR(A2967="",B2967=""),"",B2967&amp;"|"&amp;A2967)</f>
        <v/>
      </c>
      <c r="N2967" s="2">
        <f>IF(M2967="","",SUMIFS(TF_Timer,TF_Nokkel,M2967,TF_Akt,C2967))</f>
        <v/>
      </c>
      <c r="O2967" s="2">
        <f>IF(M2967="","",IF(AND(N2967=_xlfn.MAXIFS(TF_AktSum,TF_Nokkel,M2967),COUNTIFS(M$3:M2966,M2967,N$3:N2966,N2967)=0),M2967,""))</f>
        <v/>
      </c>
    </row>
    <row r="2968">
      <c r="A2968" s="34" t="n"/>
      <c r="B2968" s="35" t="n"/>
      <c r="C2968" s="35" t="n"/>
      <c r="D2968" s="35" t="n"/>
      <c r="E2968" s="35" t="n"/>
      <c r="F2968" s="36" t="n"/>
      <c r="G2968" s="35" t="n"/>
      <c r="H2968" s="30">
        <f>IF(L2968="","",INDEX(SkiftNavn,L2968))</f>
        <v/>
      </c>
      <c r="I2968" s="30">
        <f>IF(OR(A2968="",L2968=""),"",IF(MOD(A2968-INDEX(SkiftStart,L2968),Syklus)&lt;DagK,"Kveld",IF(MOD(A2968-INDEX(SkiftStart,L2968),Syklus)&lt;DagK+DagH,"Helg",IF(MOD(A2968-INDEX(SkiftStart,L2968),Syklus)&lt;DagK+DagH+DagD,"Dag","Fri"))))</f>
        <v/>
      </c>
      <c r="J2968" s="30">
        <f>IF(I2968="Fri","Ja","")</f>
        <v/>
      </c>
      <c r="K2968" s="30">
        <f>IF(B2968="","",IF(L2968="","Ukjent tekniker",IF(ISNA(MATCH(C2968,Aktiviteter,0)),"Ukjent aktivitet",IF(AND(INDEX(AktRolle,MATCH(C2968,Aktiviteter,0))&amp;""&lt;&gt;"",ISERROR(SEARCH(INDEX(AktRolle,MATCH(C2968,Aktiviteter,0))&amp;"",INDEX(TekRoller,MATCH(B2968,Teknikere,0))))),"Mangler rollen "&amp;INDEX(AktRolle,MATCH(C2968,Aktiviteter,0))&amp;"",IF(AND(C2968="LMS",F2968&gt;0,OR(D2968="",E2968="")),"Mangler maskin eller arbeid",IF(AND(OR(C2968="LMS",C2968="Mod"),D2968&lt;&gt;""),IF(IFERROR(INDEX(MaskinStatus,MATCH(D2968,Maskiner,0)),"")="I dokk","","Maskinen er ikke i dokk"),""))))))</f>
        <v/>
      </c>
      <c r="L2968" s="2">
        <f>IF(B2968="","",IFERROR(INT((MATCH(B2968,Teknikere,0)-1)/18)+1,""))</f>
        <v/>
      </c>
      <c r="M2968" s="2">
        <f>IF(OR(A2968="",B2968=""),"",B2968&amp;"|"&amp;A2968)</f>
        <v/>
      </c>
      <c r="N2968" s="2">
        <f>IF(M2968="","",SUMIFS(TF_Timer,TF_Nokkel,M2968,TF_Akt,C2968))</f>
        <v/>
      </c>
      <c r="O2968" s="2">
        <f>IF(M2968="","",IF(AND(N2968=_xlfn.MAXIFS(TF_AktSum,TF_Nokkel,M2968),COUNTIFS(M$3:M2967,M2968,N$3:N2967,N2968)=0),M2968,""))</f>
        <v/>
      </c>
    </row>
    <row r="2969">
      <c r="A2969" s="34" t="n"/>
      <c r="B2969" s="35" t="n"/>
      <c r="C2969" s="35" t="n"/>
      <c r="D2969" s="35" t="n"/>
      <c r="E2969" s="35" t="n"/>
      <c r="F2969" s="36" t="n"/>
      <c r="G2969" s="35" t="n"/>
      <c r="H2969" s="30">
        <f>IF(L2969="","",INDEX(SkiftNavn,L2969))</f>
        <v/>
      </c>
      <c r="I2969" s="30">
        <f>IF(OR(A2969="",L2969=""),"",IF(MOD(A2969-INDEX(SkiftStart,L2969),Syklus)&lt;DagK,"Kveld",IF(MOD(A2969-INDEX(SkiftStart,L2969),Syklus)&lt;DagK+DagH,"Helg",IF(MOD(A2969-INDEX(SkiftStart,L2969),Syklus)&lt;DagK+DagH+DagD,"Dag","Fri"))))</f>
        <v/>
      </c>
      <c r="J2969" s="30">
        <f>IF(I2969="Fri","Ja","")</f>
        <v/>
      </c>
      <c r="K2969" s="30">
        <f>IF(B2969="","",IF(L2969="","Ukjent tekniker",IF(ISNA(MATCH(C2969,Aktiviteter,0)),"Ukjent aktivitet",IF(AND(INDEX(AktRolle,MATCH(C2969,Aktiviteter,0))&amp;""&lt;&gt;"",ISERROR(SEARCH(INDEX(AktRolle,MATCH(C2969,Aktiviteter,0))&amp;"",INDEX(TekRoller,MATCH(B2969,Teknikere,0))))),"Mangler rollen "&amp;INDEX(AktRolle,MATCH(C2969,Aktiviteter,0))&amp;"",IF(AND(C2969="LMS",F2969&gt;0,OR(D2969="",E2969="")),"Mangler maskin eller arbeid",IF(AND(OR(C2969="LMS",C2969="Mod"),D2969&lt;&gt;""),IF(IFERROR(INDEX(MaskinStatus,MATCH(D2969,Maskiner,0)),"")="I dokk","","Maskinen er ikke i dokk"),""))))))</f>
        <v/>
      </c>
      <c r="L2969" s="2">
        <f>IF(B2969="","",IFERROR(INT((MATCH(B2969,Teknikere,0)-1)/18)+1,""))</f>
        <v/>
      </c>
      <c r="M2969" s="2">
        <f>IF(OR(A2969="",B2969=""),"",B2969&amp;"|"&amp;A2969)</f>
        <v/>
      </c>
      <c r="N2969" s="2">
        <f>IF(M2969="","",SUMIFS(TF_Timer,TF_Nokkel,M2969,TF_Akt,C2969))</f>
        <v/>
      </c>
      <c r="O2969" s="2">
        <f>IF(M2969="","",IF(AND(N2969=_xlfn.MAXIFS(TF_AktSum,TF_Nokkel,M2969),COUNTIFS(M$3:M2968,M2969,N$3:N2968,N2969)=0),M2969,""))</f>
        <v/>
      </c>
    </row>
    <row r="2970">
      <c r="A2970" s="34" t="n"/>
      <c r="B2970" s="35" t="n"/>
      <c r="C2970" s="35" t="n"/>
      <c r="D2970" s="35" t="n"/>
      <c r="E2970" s="35" t="n"/>
      <c r="F2970" s="36" t="n"/>
      <c r="G2970" s="35" t="n"/>
      <c r="H2970" s="30">
        <f>IF(L2970="","",INDEX(SkiftNavn,L2970))</f>
        <v/>
      </c>
      <c r="I2970" s="30">
        <f>IF(OR(A2970="",L2970=""),"",IF(MOD(A2970-INDEX(SkiftStart,L2970),Syklus)&lt;DagK,"Kveld",IF(MOD(A2970-INDEX(SkiftStart,L2970),Syklus)&lt;DagK+DagH,"Helg",IF(MOD(A2970-INDEX(SkiftStart,L2970),Syklus)&lt;DagK+DagH+DagD,"Dag","Fri"))))</f>
        <v/>
      </c>
      <c r="J2970" s="30">
        <f>IF(I2970="Fri","Ja","")</f>
        <v/>
      </c>
      <c r="K2970" s="30">
        <f>IF(B2970="","",IF(L2970="","Ukjent tekniker",IF(ISNA(MATCH(C2970,Aktiviteter,0)),"Ukjent aktivitet",IF(AND(INDEX(AktRolle,MATCH(C2970,Aktiviteter,0))&amp;""&lt;&gt;"",ISERROR(SEARCH(INDEX(AktRolle,MATCH(C2970,Aktiviteter,0))&amp;"",INDEX(TekRoller,MATCH(B2970,Teknikere,0))))),"Mangler rollen "&amp;INDEX(AktRolle,MATCH(C2970,Aktiviteter,0))&amp;"",IF(AND(C2970="LMS",F2970&gt;0,OR(D2970="",E2970="")),"Mangler maskin eller arbeid",IF(AND(OR(C2970="LMS",C2970="Mod"),D2970&lt;&gt;""),IF(IFERROR(INDEX(MaskinStatus,MATCH(D2970,Maskiner,0)),"")="I dokk","","Maskinen er ikke i dokk"),""))))))</f>
        <v/>
      </c>
      <c r="L2970" s="2">
        <f>IF(B2970="","",IFERROR(INT((MATCH(B2970,Teknikere,0)-1)/18)+1,""))</f>
        <v/>
      </c>
      <c r="M2970" s="2">
        <f>IF(OR(A2970="",B2970=""),"",B2970&amp;"|"&amp;A2970)</f>
        <v/>
      </c>
      <c r="N2970" s="2">
        <f>IF(M2970="","",SUMIFS(TF_Timer,TF_Nokkel,M2970,TF_Akt,C2970))</f>
        <v/>
      </c>
      <c r="O2970" s="2">
        <f>IF(M2970="","",IF(AND(N2970=_xlfn.MAXIFS(TF_AktSum,TF_Nokkel,M2970),COUNTIFS(M$3:M2969,M2970,N$3:N2969,N2970)=0),M2970,""))</f>
        <v/>
      </c>
    </row>
    <row r="2971">
      <c r="A2971" s="34" t="n"/>
      <c r="B2971" s="35" t="n"/>
      <c r="C2971" s="35" t="n"/>
      <c r="D2971" s="35" t="n"/>
      <c r="E2971" s="35" t="n"/>
      <c r="F2971" s="36" t="n"/>
      <c r="G2971" s="35" t="n"/>
      <c r="H2971" s="30">
        <f>IF(L2971="","",INDEX(SkiftNavn,L2971))</f>
        <v/>
      </c>
      <c r="I2971" s="30">
        <f>IF(OR(A2971="",L2971=""),"",IF(MOD(A2971-INDEX(SkiftStart,L2971),Syklus)&lt;DagK,"Kveld",IF(MOD(A2971-INDEX(SkiftStart,L2971),Syklus)&lt;DagK+DagH,"Helg",IF(MOD(A2971-INDEX(SkiftStart,L2971),Syklus)&lt;DagK+DagH+DagD,"Dag","Fri"))))</f>
        <v/>
      </c>
      <c r="J2971" s="30">
        <f>IF(I2971="Fri","Ja","")</f>
        <v/>
      </c>
      <c r="K2971" s="30">
        <f>IF(B2971="","",IF(L2971="","Ukjent tekniker",IF(ISNA(MATCH(C2971,Aktiviteter,0)),"Ukjent aktivitet",IF(AND(INDEX(AktRolle,MATCH(C2971,Aktiviteter,0))&amp;""&lt;&gt;"",ISERROR(SEARCH(INDEX(AktRolle,MATCH(C2971,Aktiviteter,0))&amp;"",INDEX(TekRoller,MATCH(B2971,Teknikere,0))))),"Mangler rollen "&amp;INDEX(AktRolle,MATCH(C2971,Aktiviteter,0))&amp;"",IF(AND(C2971="LMS",F2971&gt;0,OR(D2971="",E2971="")),"Mangler maskin eller arbeid",IF(AND(OR(C2971="LMS",C2971="Mod"),D2971&lt;&gt;""),IF(IFERROR(INDEX(MaskinStatus,MATCH(D2971,Maskiner,0)),"")="I dokk","","Maskinen er ikke i dokk"),""))))))</f>
        <v/>
      </c>
      <c r="L2971" s="2">
        <f>IF(B2971="","",IFERROR(INT((MATCH(B2971,Teknikere,0)-1)/18)+1,""))</f>
        <v/>
      </c>
      <c r="M2971" s="2">
        <f>IF(OR(A2971="",B2971=""),"",B2971&amp;"|"&amp;A2971)</f>
        <v/>
      </c>
      <c r="N2971" s="2">
        <f>IF(M2971="","",SUMIFS(TF_Timer,TF_Nokkel,M2971,TF_Akt,C2971))</f>
        <v/>
      </c>
      <c r="O2971" s="2">
        <f>IF(M2971="","",IF(AND(N2971=_xlfn.MAXIFS(TF_AktSum,TF_Nokkel,M2971),COUNTIFS(M$3:M2970,M2971,N$3:N2970,N2971)=0),M2971,""))</f>
        <v/>
      </c>
    </row>
    <row r="2972">
      <c r="A2972" s="34" t="n"/>
      <c r="B2972" s="35" t="n"/>
      <c r="C2972" s="35" t="n"/>
      <c r="D2972" s="35" t="n"/>
      <c r="E2972" s="35" t="n"/>
      <c r="F2972" s="36" t="n"/>
      <c r="G2972" s="35" t="n"/>
      <c r="H2972" s="30">
        <f>IF(L2972="","",INDEX(SkiftNavn,L2972))</f>
        <v/>
      </c>
      <c r="I2972" s="30">
        <f>IF(OR(A2972="",L2972=""),"",IF(MOD(A2972-INDEX(SkiftStart,L2972),Syklus)&lt;DagK,"Kveld",IF(MOD(A2972-INDEX(SkiftStart,L2972),Syklus)&lt;DagK+DagH,"Helg",IF(MOD(A2972-INDEX(SkiftStart,L2972),Syklus)&lt;DagK+DagH+DagD,"Dag","Fri"))))</f>
        <v/>
      </c>
      <c r="J2972" s="30">
        <f>IF(I2972="Fri","Ja","")</f>
        <v/>
      </c>
      <c r="K2972" s="30">
        <f>IF(B2972="","",IF(L2972="","Ukjent tekniker",IF(ISNA(MATCH(C2972,Aktiviteter,0)),"Ukjent aktivitet",IF(AND(INDEX(AktRolle,MATCH(C2972,Aktiviteter,0))&amp;""&lt;&gt;"",ISERROR(SEARCH(INDEX(AktRolle,MATCH(C2972,Aktiviteter,0))&amp;"",INDEX(TekRoller,MATCH(B2972,Teknikere,0))))),"Mangler rollen "&amp;INDEX(AktRolle,MATCH(C2972,Aktiviteter,0))&amp;"",IF(AND(C2972="LMS",F2972&gt;0,OR(D2972="",E2972="")),"Mangler maskin eller arbeid",IF(AND(OR(C2972="LMS",C2972="Mod"),D2972&lt;&gt;""),IF(IFERROR(INDEX(MaskinStatus,MATCH(D2972,Maskiner,0)),"")="I dokk","","Maskinen er ikke i dokk"),""))))))</f>
        <v/>
      </c>
      <c r="L2972" s="2">
        <f>IF(B2972="","",IFERROR(INT((MATCH(B2972,Teknikere,0)-1)/18)+1,""))</f>
        <v/>
      </c>
      <c r="M2972" s="2">
        <f>IF(OR(A2972="",B2972=""),"",B2972&amp;"|"&amp;A2972)</f>
        <v/>
      </c>
      <c r="N2972" s="2">
        <f>IF(M2972="","",SUMIFS(TF_Timer,TF_Nokkel,M2972,TF_Akt,C2972))</f>
        <v/>
      </c>
      <c r="O2972" s="2">
        <f>IF(M2972="","",IF(AND(N2972=_xlfn.MAXIFS(TF_AktSum,TF_Nokkel,M2972),COUNTIFS(M$3:M2971,M2972,N$3:N2971,N2972)=0),M2972,""))</f>
        <v/>
      </c>
    </row>
    <row r="2973">
      <c r="A2973" s="34" t="n"/>
      <c r="B2973" s="35" t="n"/>
      <c r="C2973" s="35" t="n"/>
      <c r="D2973" s="35" t="n"/>
      <c r="E2973" s="35" t="n"/>
      <c r="F2973" s="36" t="n"/>
      <c r="G2973" s="35" t="n"/>
      <c r="H2973" s="30">
        <f>IF(L2973="","",INDEX(SkiftNavn,L2973))</f>
        <v/>
      </c>
      <c r="I2973" s="30">
        <f>IF(OR(A2973="",L2973=""),"",IF(MOD(A2973-INDEX(SkiftStart,L2973),Syklus)&lt;DagK,"Kveld",IF(MOD(A2973-INDEX(SkiftStart,L2973),Syklus)&lt;DagK+DagH,"Helg",IF(MOD(A2973-INDEX(SkiftStart,L2973),Syklus)&lt;DagK+DagH+DagD,"Dag","Fri"))))</f>
        <v/>
      </c>
      <c r="J2973" s="30">
        <f>IF(I2973="Fri","Ja","")</f>
        <v/>
      </c>
      <c r="K2973" s="30">
        <f>IF(B2973="","",IF(L2973="","Ukjent tekniker",IF(ISNA(MATCH(C2973,Aktiviteter,0)),"Ukjent aktivitet",IF(AND(INDEX(AktRolle,MATCH(C2973,Aktiviteter,0))&amp;""&lt;&gt;"",ISERROR(SEARCH(INDEX(AktRolle,MATCH(C2973,Aktiviteter,0))&amp;"",INDEX(TekRoller,MATCH(B2973,Teknikere,0))))),"Mangler rollen "&amp;INDEX(AktRolle,MATCH(C2973,Aktiviteter,0))&amp;"",IF(AND(C2973="LMS",F2973&gt;0,OR(D2973="",E2973="")),"Mangler maskin eller arbeid",IF(AND(OR(C2973="LMS",C2973="Mod"),D2973&lt;&gt;""),IF(IFERROR(INDEX(MaskinStatus,MATCH(D2973,Maskiner,0)),"")="I dokk","","Maskinen er ikke i dokk"),""))))))</f>
        <v/>
      </c>
      <c r="L2973" s="2">
        <f>IF(B2973="","",IFERROR(INT((MATCH(B2973,Teknikere,0)-1)/18)+1,""))</f>
        <v/>
      </c>
      <c r="M2973" s="2">
        <f>IF(OR(A2973="",B2973=""),"",B2973&amp;"|"&amp;A2973)</f>
        <v/>
      </c>
      <c r="N2973" s="2">
        <f>IF(M2973="","",SUMIFS(TF_Timer,TF_Nokkel,M2973,TF_Akt,C2973))</f>
        <v/>
      </c>
      <c r="O2973" s="2">
        <f>IF(M2973="","",IF(AND(N2973=_xlfn.MAXIFS(TF_AktSum,TF_Nokkel,M2973),COUNTIFS(M$3:M2972,M2973,N$3:N2972,N2973)=0),M2973,""))</f>
        <v/>
      </c>
    </row>
    <row r="2974">
      <c r="A2974" s="34" t="n"/>
      <c r="B2974" s="35" t="n"/>
      <c r="C2974" s="35" t="n"/>
      <c r="D2974" s="35" t="n"/>
      <c r="E2974" s="35" t="n"/>
      <c r="F2974" s="36" t="n"/>
      <c r="G2974" s="35" t="n"/>
      <c r="H2974" s="30">
        <f>IF(L2974="","",INDEX(SkiftNavn,L2974))</f>
        <v/>
      </c>
      <c r="I2974" s="30">
        <f>IF(OR(A2974="",L2974=""),"",IF(MOD(A2974-INDEX(SkiftStart,L2974),Syklus)&lt;DagK,"Kveld",IF(MOD(A2974-INDEX(SkiftStart,L2974),Syklus)&lt;DagK+DagH,"Helg",IF(MOD(A2974-INDEX(SkiftStart,L2974),Syklus)&lt;DagK+DagH+DagD,"Dag","Fri"))))</f>
        <v/>
      </c>
      <c r="J2974" s="30">
        <f>IF(I2974="Fri","Ja","")</f>
        <v/>
      </c>
      <c r="K2974" s="30">
        <f>IF(B2974="","",IF(L2974="","Ukjent tekniker",IF(ISNA(MATCH(C2974,Aktiviteter,0)),"Ukjent aktivitet",IF(AND(INDEX(AktRolle,MATCH(C2974,Aktiviteter,0))&amp;""&lt;&gt;"",ISERROR(SEARCH(INDEX(AktRolle,MATCH(C2974,Aktiviteter,0))&amp;"",INDEX(TekRoller,MATCH(B2974,Teknikere,0))))),"Mangler rollen "&amp;INDEX(AktRolle,MATCH(C2974,Aktiviteter,0))&amp;"",IF(AND(C2974="LMS",F2974&gt;0,OR(D2974="",E2974="")),"Mangler maskin eller arbeid",IF(AND(OR(C2974="LMS",C2974="Mod"),D2974&lt;&gt;""),IF(IFERROR(INDEX(MaskinStatus,MATCH(D2974,Maskiner,0)),"")="I dokk","","Maskinen er ikke i dokk"),""))))))</f>
        <v/>
      </c>
      <c r="L2974" s="2">
        <f>IF(B2974="","",IFERROR(INT((MATCH(B2974,Teknikere,0)-1)/18)+1,""))</f>
        <v/>
      </c>
      <c r="M2974" s="2">
        <f>IF(OR(A2974="",B2974=""),"",B2974&amp;"|"&amp;A2974)</f>
        <v/>
      </c>
      <c r="N2974" s="2">
        <f>IF(M2974="","",SUMIFS(TF_Timer,TF_Nokkel,M2974,TF_Akt,C2974))</f>
        <v/>
      </c>
      <c r="O2974" s="2">
        <f>IF(M2974="","",IF(AND(N2974=_xlfn.MAXIFS(TF_AktSum,TF_Nokkel,M2974),COUNTIFS(M$3:M2973,M2974,N$3:N2973,N2974)=0),M2974,""))</f>
        <v/>
      </c>
    </row>
    <row r="2975">
      <c r="A2975" s="34" t="n"/>
      <c r="B2975" s="35" t="n"/>
      <c r="C2975" s="35" t="n"/>
      <c r="D2975" s="35" t="n"/>
      <c r="E2975" s="35" t="n"/>
      <c r="F2975" s="36" t="n"/>
      <c r="G2975" s="35" t="n"/>
      <c r="H2975" s="30">
        <f>IF(L2975="","",INDEX(SkiftNavn,L2975))</f>
        <v/>
      </c>
      <c r="I2975" s="30">
        <f>IF(OR(A2975="",L2975=""),"",IF(MOD(A2975-INDEX(SkiftStart,L2975),Syklus)&lt;DagK,"Kveld",IF(MOD(A2975-INDEX(SkiftStart,L2975),Syklus)&lt;DagK+DagH,"Helg",IF(MOD(A2975-INDEX(SkiftStart,L2975),Syklus)&lt;DagK+DagH+DagD,"Dag","Fri"))))</f>
        <v/>
      </c>
      <c r="J2975" s="30">
        <f>IF(I2975="Fri","Ja","")</f>
        <v/>
      </c>
      <c r="K2975" s="30">
        <f>IF(B2975="","",IF(L2975="","Ukjent tekniker",IF(ISNA(MATCH(C2975,Aktiviteter,0)),"Ukjent aktivitet",IF(AND(INDEX(AktRolle,MATCH(C2975,Aktiviteter,0))&amp;""&lt;&gt;"",ISERROR(SEARCH(INDEX(AktRolle,MATCH(C2975,Aktiviteter,0))&amp;"",INDEX(TekRoller,MATCH(B2975,Teknikere,0))))),"Mangler rollen "&amp;INDEX(AktRolle,MATCH(C2975,Aktiviteter,0))&amp;"",IF(AND(C2975="LMS",F2975&gt;0,OR(D2975="",E2975="")),"Mangler maskin eller arbeid",IF(AND(OR(C2975="LMS",C2975="Mod"),D2975&lt;&gt;""),IF(IFERROR(INDEX(MaskinStatus,MATCH(D2975,Maskiner,0)),"")="I dokk","","Maskinen er ikke i dokk"),""))))))</f>
        <v/>
      </c>
      <c r="L2975" s="2">
        <f>IF(B2975="","",IFERROR(INT((MATCH(B2975,Teknikere,0)-1)/18)+1,""))</f>
        <v/>
      </c>
      <c r="M2975" s="2">
        <f>IF(OR(A2975="",B2975=""),"",B2975&amp;"|"&amp;A2975)</f>
        <v/>
      </c>
      <c r="N2975" s="2">
        <f>IF(M2975="","",SUMIFS(TF_Timer,TF_Nokkel,M2975,TF_Akt,C2975))</f>
        <v/>
      </c>
      <c r="O2975" s="2">
        <f>IF(M2975="","",IF(AND(N2975=_xlfn.MAXIFS(TF_AktSum,TF_Nokkel,M2975),COUNTIFS(M$3:M2974,M2975,N$3:N2974,N2975)=0),M2975,""))</f>
        <v/>
      </c>
    </row>
    <row r="2976">
      <c r="A2976" s="34" t="n"/>
      <c r="B2976" s="35" t="n"/>
      <c r="C2976" s="35" t="n"/>
      <c r="D2976" s="35" t="n"/>
      <c r="E2976" s="35" t="n"/>
      <c r="F2976" s="36" t="n"/>
      <c r="G2976" s="35" t="n"/>
      <c r="H2976" s="30">
        <f>IF(L2976="","",INDEX(SkiftNavn,L2976))</f>
        <v/>
      </c>
      <c r="I2976" s="30">
        <f>IF(OR(A2976="",L2976=""),"",IF(MOD(A2976-INDEX(SkiftStart,L2976),Syklus)&lt;DagK,"Kveld",IF(MOD(A2976-INDEX(SkiftStart,L2976),Syklus)&lt;DagK+DagH,"Helg",IF(MOD(A2976-INDEX(SkiftStart,L2976),Syklus)&lt;DagK+DagH+DagD,"Dag","Fri"))))</f>
        <v/>
      </c>
      <c r="J2976" s="30">
        <f>IF(I2976="Fri","Ja","")</f>
        <v/>
      </c>
      <c r="K2976" s="30">
        <f>IF(B2976="","",IF(L2976="","Ukjent tekniker",IF(ISNA(MATCH(C2976,Aktiviteter,0)),"Ukjent aktivitet",IF(AND(INDEX(AktRolle,MATCH(C2976,Aktiviteter,0))&amp;""&lt;&gt;"",ISERROR(SEARCH(INDEX(AktRolle,MATCH(C2976,Aktiviteter,0))&amp;"",INDEX(TekRoller,MATCH(B2976,Teknikere,0))))),"Mangler rollen "&amp;INDEX(AktRolle,MATCH(C2976,Aktiviteter,0))&amp;"",IF(AND(C2976="LMS",F2976&gt;0,OR(D2976="",E2976="")),"Mangler maskin eller arbeid",IF(AND(OR(C2976="LMS",C2976="Mod"),D2976&lt;&gt;""),IF(IFERROR(INDEX(MaskinStatus,MATCH(D2976,Maskiner,0)),"")="I dokk","","Maskinen er ikke i dokk"),""))))))</f>
        <v/>
      </c>
      <c r="L2976" s="2">
        <f>IF(B2976="","",IFERROR(INT((MATCH(B2976,Teknikere,0)-1)/18)+1,""))</f>
        <v/>
      </c>
      <c r="M2976" s="2">
        <f>IF(OR(A2976="",B2976=""),"",B2976&amp;"|"&amp;A2976)</f>
        <v/>
      </c>
      <c r="N2976" s="2">
        <f>IF(M2976="","",SUMIFS(TF_Timer,TF_Nokkel,M2976,TF_Akt,C2976))</f>
        <v/>
      </c>
      <c r="O2976" s="2">
        <f>IF(M2976="","",IF(AND(N2976=_xlfn.MAXIFS(TF_AktSum,TF_Nokkel,M2976),COUNTIFS(M$3:M2975,M2976,N$3:N2975,N2976)=0),M2976,""))</f>
        <v/>
      </c>
    </row>
    <row r="2977">
      <c r="A2977" s="34" t="n"/>
      <c r="B2977" s="35" t="n"/>
      <c r="C2977" s="35" t="n"/>
      <c r="D2977" s="35" t="n"/>
      <c r="E2977" s="35" t="n"/>
      <c r="F2977" s="36" t="n"/>
      <c r="G2977" s="35" t="n"/>
      <c r="H2977" s="30">
        <f>IF(L2977="","",INDEX(SkiftNavn,L2977))</f>
        <v/>
      </c>
      <c r="I2977" s="30">
        <f>IF(OR(A2977="",L2977=""),"",IF(MOD(A2977-INDEX(SkiftStart,L2977),Syklus)&lt;DagK,"Kveld",IF(MOD(A2977-INDEX(SkiftStart,L2977),Syklus)&lt;DagK+DagH,"Helg",IF(MOD(A2977-INDEX(SkiftStart,L2977),Syklus)&lt;DagK+DagH+DagD,"Dag","Fri"))))</f>
        <v/>
      </c>
      <c r="J2977" s="30">
        <f>IF(I2977="Fri","Ja","")</f>
        <v/>
      </c>
      <c r="K2977" s="30">
        <f>IF(B2977="","",IF(L2977="","Ukjent tekniker",IF(ISNA(MATCH(C2977,Aktiviteter,0)),"Ukjent aktivitet",IF(AND(INDEX(AktRolle,MATCH(C2977,Aktiviteter,0))&amp;""&lt;&gt;"",ISERROR(SEARCH(INDEX(AktRolle,MATCH(C2977,Aktiviteter,0))&amp;"",INDEX(TekRoller,MATCH(B2977,Teknikere,0))))),"Mangler rollen "&amp;INDEX(AktRolle,MATCH(C2977,Aktiviteter,0))&amp;"",IF(AND(C2977="LMS",F2977&gt;0,OR(D2977="",E2977="")),"Mangler maskin eller arbeid",IF(AND(OR(C2977="LMS",C2977="Mod"),D2977&lt;&gt;""),IF(IFERROR(INDEX(MaskinStatus,MATCH(D2977,Maskiner,0)),"")="I dokk","","Maskinen er ikke i dokk"),""))))))</f>
        <v/>
      </c>
      <c r="L2977" s="2">
        <f>IF(B2977="","",IFERROR(INT((MATCH(B2977,Teknikere,0)-1)/18)+1,""))</f>
        <v/>
      </c>
      <c r="M2977" s="2">
        <f>IF(OR(A2977="",B2977=""),"",B2977&amp;"|"&amp;A2977)</f>
        <v/>
      </c>
      <c r="N2977" s="2">
        <f>IF(M2977="","",SUMIFS(TF_Timer,TF_Nokkel,M2977,TF_Akt,C2977))</f>
        <v/>
      </c>
      <c r="O2977" s="2">
        <f>IF(M2977="","",IF(AND(N2977=_xlfn.MAXIFS(TF_AktSum,TF_Nokkel,M2977),COUNTIFS(M$3:M2976,M2977,N$3:N2976,N2977)=0),M2977,""))</f>
        <v/>
      </c>
    </row>
    <row r="2978">
      <c r="A2978" s="34" t="n"/>
      <c r="B2978" s="35" t="n"/>
      <c r="C2978" s="35" t="n"/>
      <c r="D2978" s="35" t="n"/>
      <c r="E2978" s="35" t="n"/>
      <c r="F2978" s="36" t="n"/>
      <c r="G2978" s="35" t="n"/>
      <c r="H2978" s="30">
        <f>IF(L2978="","",INDEX(SkiftNavn,L2978))</f>
        <v/>
      </c>
      <c r="I2978" s="30">
        <f>IF(OR(A2978="",L2978=""),"",IF(MOD(A2978-INDEX(SkiftStart,L2978),Syklus)&lt;DagK,"Kveld",IF(MOD(A2978-INDEX(SkiftStart,L2978),Syklus)&lt;DagK+DagH,"Helg",IF(MOD(A2978-INDEX(SkiftStart,L2978),Syklus)&lt;DagK+DagH+DagD,"Dag","Fri"))))</f>
        <v/>
      </c>
      <c r="J2978" s="30">
        <f>IF(I2978="Fri","Ja","")</f>
        <v/>
      </c>
      <c r="K2978" s="30">
        <f>IF(B2978="","",IF(L2978="","Ukjent tekniker",IF(ISNA(MATCH(C2978,Aktiviteter,0)),"Ukjent aktivitet",IF(AND(INDEX(AktRolle,MATCH(C2978,Aktiviteter,0))&amp;""&lt;&gt;"",ISERROR(SEARCH(INDEX(AktRolle,MATCH(C2978,Aktiviteter,0))&amp;"",INDEX(TekRoller,MATCH(B2978,Teknikere,0))))),"Mangler rollen "&amp;INDEX(AktRolle,MATCH(C2978,Aktiviteter,0))&amp;"",IF(AND(C2978="LMS",F2978&gt;0,OR(D2978="",E2978="")),"Mangler maskin eller arbeid",IF(AND(OR(C2978="LMS",C2978="Mod"),D2978&lt;&gt;""),IF(IFERROR(INDEX(MaskinStatus,MATCH(D2978,Maskiner,0)),"")="I dokk","","Maskinen er ikke i dokk"),""))))))</f>
        <v/>
      </c>
      <c r="L2978" s="2">
        <f>IF(B2978="","",IFERROR(INT((MATCH(B2978,Teknikere,0)-1)/18)+1,""))</f>
        <v/>
      </c>
      <c r="M2978" s="2">
        <f>IF(OR(A2978="",B2978=""),"",B2978&amp;"|"&amp;A2978)</f>
        <v/>
      </c>
      <c r="N2978" s="2">
        <f>IF(M2978="","",SUMIFS(TF_Timer,TF_Nokkel,M2978,TF_Akt,C2978))</f>
        <v/>
      </c>
      <c r="O2978" s="2">
        <f>IF(M2978="","",IF(AND(N2978=_xlfn.MAXIFS(TF_AktSum,TF_Nokkel,M2978),COUNTIFS(M$3:M2977,M2978,N$3:N2977,N2978)=0),M2978,""))</f>
        <v/>
      </c>
    </row>
    <row r="2979">
      <c r="A2979" s="34" t="n"/>
      <c r="B2979" s="35" t="n"/>
      <c r="C2979" s="35" t="n"/>
      <c r="D2979" s="35" t="n"/>
      <c r="E2979" s="35" t="n"/>
      <c r="F2979" s="36" t="n"/>
      <c r="G2979" s="35" t="n"/>
      <c r="H2979" s="30">
        <f>IF(L2979="","",INDEX(SkiftNavn,L2979))</f>
        <v/>
      </c>
      <c r="I2979" s="30">
        <f>IF(OR(A2979="",L2979=""),"",IF(MOD(A2979-INDEX(SkiftStart,L2979),Syklus)&lt;DagK,"Kveld",IF(MOD(A2979-INDEX(SkiftStart,L2979),Syklus)&lt;DagK+DagH,"Helg",IF(MOD(A2979-INDEX(SkiftStart,L2979),Syklus)&lt;DagK+DagH+DagD,"Dag","Fri"))))</f>
        <v/>
      </c>
      <c r="J2979" s="30">
        <f>IF(I2979="Fri","Ja","")</f>
        <v/>
      </c>
      <c r="K2979" s="30">
        <f>IF(B2979="","",IF(L2979="","Ukjent tekniker",IF(ISNA(MATCH(C2979,Aktiviteter,0)),"Ukjent aktivitet",IF(AND(INDEX(AktRolle,MATCH(C2979,Aktiviteter,0))&amp;""&lt;&gt;"",ISERROR(SEARCH(INDEX(AktRolle,MATCH(C2979,Aktiviteter,0))&amp;"",INDEX(TekRoller,MATCH(B2979,Teknikere,0))))),"Mangler rollen "&amp;INDEX(AktRolle,MATCH(C2979,Aktiviteter,0))&amp;"",IF(AND(C2979="LMS",F2979&gt;0,OR(D2979="",E2979="")),"Mangler maskin eller arbeid",IF(AND(OR(C2979="LMS",C2979="Mod"),D2979&lt;&gt;""),IF(IFERROR(INDEX(MaskinStatus,MATCH(D2979,Maskiner,0)),"")="I dokk","","Maskinen er ikke i dokk"),""))))))</f>
        <v/>
      </c>
      <c r="L2979" s="2">
        <f>IF(B2979="","",IFERROR(INT((MATCH(B2979,Teknikere,0)-1)/18)+1,""))</f>
        <v/>
      </c>
      <c r="M2979" s="2">
        <f>IF(OR(A2979="",B2979=""),"",B2979&amp;"|"&amp;A2979)</f>
        <v/>
      </c>
      <c r="N2979" s="2">
        <f>IF(M2979="","",SUMIFS(TF_Timer,TF_Nokkel,M2979,TF_Akt,C2979))</f>
        <v/>
      </c>
      <c r="O2979" s="2">
        <f>IF(M2979="","",IF(AND(N2979=_xlfn.MAXIFS(TF_AktSum,TF_Nokkel,M2979),COUNTIFS(M$3:M2978,M2979,N$3:N2978,N2979)=0),M2979,""))</f>
        <v/>
      </c>
    </row>
    <row r="2980">
      <c r="A2980" s="34" t="n"/>
      <c r="B2980" s="35" t="n"/>
      <c r="C2980" s="35" t="n"/>
      <c r="D2980" s="35" t="n"/>
      <c r="E2980" s="35" t="n"/>
      <c r="F2980" s="36" t="n"/>
      <c r="G2980" s="35" t="n"/>
      <c r="H2980" s="30">
        <f>IF(L2980="","",INDEX(SkiftNavn,L2980))</f>
        <v/>
      </c>
      <c r="I2980" s="30">
        <f>IF(OR(A2980="",L2980=""),"",IF(MOD(A2980-INDEX(SkiftStart,L2980),Syklus)&lt;DagK,"Kveld",IF(MOD(A2980-INDEX(SkiftStart,L2980),Syklus)&lt;DagK+DagH,"Helg",IF(MOD(A2980-INDEX(SkiftStart,L2980),Syklus)&lt;DagK+DagH+DagD,"Dag","Fri"))))</f>
        <v/>
      </c>
      <c r="J2980" s="30">
        <f>IF(I2980="Fri","Ja","")</f>
        <v/>
      </c>
      <c r="K2980" s="30">
        <f>IF(B2980="","",IF(L2980="","Ukjent tekniker",IF(ISNA(MATCH(C2980,Aktiviteter,0)),"Ukjent aktivitet",IF(AND(INDEX(AktRolle,MATCH(C2980,Aktiviteter,0))&amp;""&lt;&gt;"",ISERROR(SEARCH(INDEX(AktRolle,MATCH(C2980,Aktiviteter,0))&amp;"",INDEX(TekRoller,MATCH(B2980,Teknikere,0))))),"Mangler rollen "&amp;INDEX(AktRolle,MATCH(C2980,Aktiviteter,0))&amp;"",IF(AND(C2980="LMS",F2980&gt;0,OR(D2980="",E2980="")),"Mangler maskin eller arbeid",IF(AND(OR(C2980="LMS",C2980="Mod"),D2980&lt;&gt;""),IF(IFERROR(INDEX(MaskinStatus,MATCH(D2980,Maskiner,0)),"")="I dokk","","Maskinen er ikke i dokk"),""))))))</f>
        <v/>
      </c>
      <c r="L2980" s="2">
        <f>IF(B2980="","",IFERROR(INT((MATCH(B2980,Teknikere,0)-1)/18)+1,""))</f>
        <v/>
      </c>
      <c r="M2980" s="2">
        <f>IF(OR(A2980="",B2980=""),"",B2980&amp;"|"&amp;A2980)</f>
        <v/>
      </c>
      <c r="N2980" s="2">
        <f>IF(M2980="","",SUMIFS(TF_Timer,TF_Nokkel,M2980,TF_Akt,C2980))</f>
        <v/>
      </c>
      <c r="O2980" s="2">
        <f>IF(M2980="","",IF(AND(N2980=_xlfn.MAXIFS(TF_AktSum,TF_Nokkel,M2980),COUNTIFS(M$3:M2979,M2980,N$3:N2979,N2980)=0),M2980,""))</f>
        <v/>
      </c>
    </row>
    <row r="2981">
      <c r="A2981" s="34" t="n"/>
      <c r="B2981" s="35" t="n"/>
      <c r="C2981" s="35" t="n"/>
      <c r="D2981" s="35" t="n"/>
      <c r="E2981" s="35" t="n"/>
      <c r="F2981" s="36" t="n"/>
      <c r="G2981" s="35" t="n"/>
      <c r="H2981" s="30">
        <f>IF(L2981="","",INDEX(SkiftNavn,L2981))</f>
        <v/>
      </c>
      <c r="I2981" s="30">
        <f>IF(OR(A2981="",L2981=""),"",IF(MOD(A2981-INDEX(SkiftStart,L2981),Syklus)&lt;DagK,"Kveld",IF(MOD(A2981-INDEX(SkiftStart,L2981),Syklus)&lt;DagK+DagH,"Helg",IF(MOD(A2981-INDEX(SkiftStart,L2981),Syklus)&lt;DagK+DagH+DagD,"Dag","Fri"))))</f>
        <v/>
      </c>
      <c r="J2981" s="30">
        <f>IF(I2981="Fri","Ja","")</f>
        <v/>
      </c>
      <c r="K2981" s="30">
        <f>IF(B2981="","",IF(L2981="","Ukjent tekniker",IF(ISNA(MATCH(C2981,Aktiviteter,0)),"Ukjent aktivitet",IF(AND(INDEX(AktRolle,MATCH(C2981,Aktiviteter,0))&amp;""&lt;&gt;"",ISERROR(SEARCH(INDEX(AktRolle,MATCH(C2981,Aktiviteter,0))&amp;"",INDEX(TekRoller,MATCH(B2981,Teknikere,0))))),"Mangler rollen "&amp;INDEX(AktRolle,MATCH(C2981,Aktiviteter,0))&amp;"",IF(AND(C2981="LMS",F2981&gt;0,OR(D2981="",E2981="")),"Mangler maskin eller arbeid",IF(AND(OR(C2981="LMS",C2981="Mod"),D2981&lt;&gt;""),IF(IFERROR(INDEX(MaskinStatus,MATCH(D2981,Maskiner,0)),"")="I dokk","","Maskinen er ikke i dokk"),""))))))</f>
        <v/>
      </c>
      <c r="L2981" s="2">
        <f>IF(B2981="","",IFERROR(INT((MATCH(B2981,Teknikere,0)-1)/18)+1,""))</f>
        <v/>
      </c>
      <c r="M2981" s="2">
        <f>IF(OR(A2981="",B2981=""),"",B2981&amp;"|"&amp;A2981)</f>
        <v/>
      </c>
      <c r="N2981" s="2">
        <f>IF(M2981="","",SUMIFS(TF_Timer,TF_Nokkel,M2981,TF_Akt,C2981))</f>
        <v/>
      </c>
      <c r="O2981" s="2">
        <f>IF(M2981="","",IF(AND(N2981=_xlfn.MAXIFS(TF_AktSum,TF_Nokkel,M2981),COUNTIFS(M$3:M2980,M2981,N$3:N2980,N2981)=0),M2981,""))</f>
        <v/>
      </c>
    </row>
    <row r="2982">
      <c r="A2982" s="34" t="n"/>
      <c r="B2982" s="35" t="n"/>
      <c r="C2982" s="35" t="n"/>
      <c r="D2982" s="35" t="n"/>
      <c r="E2982" s="35" t="n"/>
      <c r="F2982" s="36" t="n"/>
      <c r="G2982" s="35" t="n"/>
      <c r="H2982" s="30">
        <f>IF(L2982="","",INDEX(SkiftNavn,L2982))</f>
        <v/>
      </c>
      <c r="I2982" s="30">
        <f>IF(OR(A2982="",L2982=""),"",IF(MOD(A2982-INDEX(SkiftStart,L2982),Syklus)&lt;DagK,"Kveld",IF(MOD(A2982-INDEX(SkiftStart,L2982),Syklus)&lt;DagK+DagH,"Helg",IF(MOD(A2982-INDEX(SkiftStart,L2982),Syklus)&lt;DagK+DagH+DagD,"Dag","Fri"))))</f>
        <v/>
      </c>
      <c r="J2982" s="30">
        <f>IF(I2982="Fri","Ja","")</f>
        <v/>
      </c>
      <c r="K2982" s="30">
        <f>IF(B2982="","",IF(L2982="","Ukjent tekniker",IF(ISNA(MATCH(C2982,Aktiviteter,0)),"Ukjent aktivitet",IF(AND(INDEX(AktRolle,MATCH(C2982,Aktiviteter,0))&amp;""&lt;&gt;"",ISERROR(SEARCH(INDEX(AktRolle,MATCH(C2982,Aktiviteter,0))&amp;"",INDEX(TekRoller,MATCH(B2982,Teknikere,0))))),"Mangler rollen "&amp;INDEX(AktRolle,MATCH(C2982,Aktiviteter,0))&amp;"",IF(AND(C2982="LMS",F2982&gt;0,OR(D2982="",E2982="")),"Mangler maskin eller arbeid",IF(AND(OR(C2982="LMS",C2982="Mod"),D2982&lt;&gt;""),IF(IFERROR(INDEX(MaskinStatus,MATCH(D2982,Maskiner,0)),"")="I dokk","","Maskinen er ikke i dokk"),""))))))</f>
        <v/>
      </c>
      <c r="L2982" s="2">
        <f>IF(B2982="","",IFERROR(INT((MATCH(B2982,Teknikere,0)-1)/18)+1,""))</f>
        <v/>
      </c>
      <c r="M2982" s="2">
        <f>IF(OR(A2982="",B2982=""),"",B2982&amp;"|"&amp;A2982)</f>
        <v/>
      </c>
      <c r="N2982" s="2">
        <f>IF(M2982="","",SUMIFS(TF_Timer,TF_Nokkel,M2982,TF_Akt,C2982))</f>
        <v/>
      </c>
      <c r="O2982" s="2">
        <f>IF(M2982="","",IF(AND(N2982=_xlfn.MAXIFS(TF_AktSum,TF_Nokkel,M2982),COUNTIFS(M$3:M2981,M2982,N$3:N2981,N2982)=0),M2982,""))</f>
        <v/>
      </c>
    </row>
    <row r="2983">
      <c r="A2983" s="34" t="n"/>
      <c r="B2983" s="35" t="n"/>
      <c r="C2983" s="35" t="n"/>
      <c r="D2983" s="35" t="n"/>
      <c r="E2983" s="35" t="n"/>
      <c r="F2983" s="36" t="n"/>
      <c r="G2983" s="35" t="n"/>
      <c r="H2983" s="30">
        <f>IF(L2983="","",INDEX(SkiftNavn,L2983))</f>
        <v/>
      </c>
      <c r="I2983" s="30">
        <f>IF(OR(A2983="",L2983=""),"",IF(MOD(A2983-INDEX(SkiftStart,L2983),Syklus)&lt;DagK,"Kveld",IF(MOD(A2983-INDEX(SkiftStart,L2983),Syklus)&lt;DagK+DagH,"Helg",IF(MOD(A2983-INDEX(SkiftStart,L2983),Syklus)&lt;DagK+DagH+DagD,"Dag","Fri"))))</f>
        <v/>
      </c>
      <c r="J2983" s="30">
        <f>IF(I2983="Fri","Ja","")</f>
        <v/>
      </c>
      <c r="K2983" s="30">
        <f>IF(B2983="","",IF(L2983="","Ukjent tekniker",IF(ISNA(MATCH(C2983,Aktiviteter,0)),"Ukjent aktivitet",IF(AND(INDEX(AktRolle,MATCH(C2983,Aktiviteter,0))&amp;""&lt;&gt;"",ISERROR(SEARCH(INDEX(AktRolle,MATCH(C2983,Aktiviteter,0))&amp;"",INDEX(TekRoller,MATCH(B2983,Teknikere,0))))),"Mangler rollen "&amp;INDEX(AktRolle,MATCH(C2983,Aktiviteter,0))&amp;"",IF(AND(C2983="LMS",F2983&gt;0,OR(D2983="",E2983="")),"Mangler maskin eller arbeid",IF(AND(OR(C2983="LMS",C2983="Mod"),D2983&lt;&gt;""),IF(IFERROR(INDEX(MaskinStatus,MATCH(D2983,Maskiner,0)),"")="I dokk","","Maskinen er ikke i dokk"),""))))))</f>
        <v/>
      </c>
      <c r="L2983" s="2">
        <f>IF(B2983="","",IFERROR(INT((MATCH(B2983,Teknikere,0)-1)/18)+1,""))</f>
        <v/>
      </c>
      <c r="M2983" s="2">
        <f>IF(OR(A2983="",B2983=""),"",B2983&amp;"|"&amp;A2983)</f>
        <v/>
      </c>
      <c r="N2983" s="2">
        <f>IF(M2983="","",SUMIFS(TF_Timer,TF_Nokkel,M2983,TF_Akt,C2983))</f>
        <v/>
      </c>
      <c r="O2983" s="2">
        <f>IF(M2983="","",IF(AND(N2983=_xlfn.MAXIFS(TF_AktSum,TF_Nokkel,M2983),COUNTIFS(M$3:M2982,M2983,N$3:N2982,N2983)=0),M2983,""))</f>
        <v/>
      </c>
    </row>
    <row r="2984">
      <c r="A2984" s="34" t="n"/>
      <c r="B2984" s="35" t="n"/>
      <c r="C2984" s="35" t="n"/>
      <c r="D2984" s="35" t="n"/>
      <c r="E2984" s="35" t="n"/>
      <c r="F2984" s="36" t="n"/>
      <c r="G2984" s="35" t="n"/>
      <c r="H2984" s="30">
        <f>IF(L2984="","",INDEX(SkiftNavn,L2984))</f>
        <v/>
      </c>
      <c r="I2984" s="30">
        <f>IF(OR(A2984="",L2984=""),"",IF(MOD(A2984-INDEX(SkiftStart,L2984),Syklus)&lt;DagK,"Kveld",IF(MOD(A2984-INDEX(SkiftStart,L2984),Syklus)&lt;DagK+DagH,"Helg",IF(MOD(A2984-INDEX(SkiftStart,L2984),Syklus)&lt;DagK+DagH+DagD,"Dag","Fri"))))</f>
        <v/>
      </c>
      <c r="J2984" s="30">
        <f>IF(I2984="Fri","Ja","")</f>
        <v/>
      </c>
      <c r="K2984" s="30">
        <f>IF(B2984="","",IF(L2984="","Ukjent tekniker",IF(ISNA(MATCH(C2984,Aktiviteter,0)),"Ukjent aktivitet",IF(AND(INDEX(AktRolle,MATCH(C2984,Aktiviteter,0))&amp;""&lt;&gt;"",ISERROR(SEARCH(INDEX(AktRolle,MATCH(C2984,Aktiviteter,0))&amp;"",INDEX(TekRoller,MATCH(B2984,Teknikere,0))))),"Mangler rollen "&amp;INDEX(AktRolle,MATCH(C2984,Aktiviteter,0))&amp;"",IF(AND(C2984="LMS",F2984&gt;0,OR(D2984="",E2984="")),"Mangler maskin eller arbeid",IF(AND(OR(C2984="LMS",C2984="Mod"),D2984&lt;&gt;""),IF(IFERROR(INDEX(MaskinStatus,MATCH(D2984,Maskiner,0)),"")="I dokk","","Maskinen er ikke i dokk"),""))))))</f>
        <v/>
      </c>
      <c r="L2984" s="2">
        <f>IF(B2984="","",IFERROR(INT((MATCH(B2984,Teknikere,0)-1)/18)+1,""))</f>
        <v/>
      </c>
      <c r="M2984" s="2">
        <f>IF(OR(A2984="",B2984=""),"",B2984&amp;"|"&amp;A2984)</f>
        <v/>
      </c>
      <c r="N2984" s="2">
        <f>IF(M2984="","",SUMIFS(TF_Timer,TF_Nokkel,M2984,TF_Akt,C2984))</f>
        <v/>
      </c>
      <c r="O2984" s="2">
        <f>IF(M2984="","",IF(AND(N2984=_xlfn.MAXIFS(TF_AktSum,TF_Nokkel,M2984),COUNTIFS(M$3:M2983,M2984,N$3:N2983,N2984)=0),M2984,""))</f>
        <v/>
      </c>
    </row>
    <row r="2985">
      <c r="A2985" s="34" t="n"/>
      <c r="B2985" s="35" t="n"/>
      <c r="C2985" s="35" t="n"/>
      <c r="D2985" s="35" t="n"/>
      <c r="E2985" s="35" t="n"/>
      <c r="F2985" s="36" t="n"/>
      <c r="G2985" s="35" t="n"/>
      <c r="H2985" s="30">
        <f>IF(L2985="","",INDEX(SkiftNavn,L2985))</f>
        <v/>
      </c>
      <c r="I2985" s="30">
        <f>IF(OR(A2985="",L2985=""),"",IF(MOD(A2985-INDEX(SkiftStart,L2985),Syklus)&lt;DagK,"Kveld",IF(MOD(A2985-INDEX(SkiftStart,L2985),Syklus)&lt;DagK+DagH,"Helg",IF(MOD(A2985-INDEX(SkiftStart,L2985),Syklus)&lt;DagK+DagH+DagD,"Dag","Fri"))))</f>
        <v/>
      </c>
      <c r="J2985" s="30">
        <f>IF(I2985="Fri","Ja","")</f>
        <v/>
      </c>
      <c r="K2985" s="30">
        <f>IF(B2985="","",IF(L2985="","Ukjent tekniker",IF(ISNA(MATCH(C2985,Aktiviteter,0)),"Ukjent aktivitet",IF(AND(INDEX(AktRolle,MATCH(C2985,Aktiviteter,0))&amp;""&lt;&gt;"",ISERROR(SEARCH(INDEX(AktRolle,MATCH(C2985,Aktiviteter,0))&amp;"",INDEX(TekRoller,MATCH(B2985,Teknikere,0))))),"Mangler rollen "&amp;INDEX(AktRolle,MATCH(C2985,Aktiviteter,0))&amp;"",IF(AND(C2985="LMS",F2985&gt;0,OR(D2985="",E2985="")),"Mangler maskin eller arbeid",IF(AND(OR(C2985="LMS",C2985="Mod"),D2985&lt;&gt;""),IF(IFERROR(INDEX(MaskinStatus,MATCH(D2985,Maskiner,0)),"")="I dokk","","Maskinen er ikke i dokk"),""))))))</f>
        <v/>
      </c>
      <c r="L2985" s="2">
        <f>IF(B2985="","",IFERROR(INT((MATCH(B2985,Teknikere,0)-1)/18)+1,""))</f>
        <v/>
      </c>
      <c r="M2985" s="2">
        <f>IF(OR(A2985="",B2985=""),"",B2985&amp;"|"&amp;A2985)</f>
        <v/>
      </c>
      <c r="N2985" s="2">
        <f>IF(M2985="","",SUMIFS(TF_Timer,TF_Nokkel,M2985,TF_Akt,C2985))</f>
        <v/>
      </c>
      <c r="O2985" s="2">
        <f>IF(M2985="","",IF(AND(N2985=_xlfn.MAXIFS(TF_AktSum,TF_Nokkel,M2985),COUNTIFS(M$3:M2984,M2985,N$3:N2984,N2985)=0),M2985,""))</f>
        <v/>
      </c>
    </row>
    <row r="2986">
      <c r="A2986" s="34" t="n"/>
      <c r="B2986" s="35" t="n"/>
      <c r="C2986" s="35" t="n"/>
      <c r="D2986" s="35" t="n"/>
      <c r="E2986" s="35" t="n"/>
      <c r="F2986" s="36" t="n"/>
      <c r="G2986" s="35" t="n"/>
      <c r="H2986" s="30">
        <f>IF(L2986="","",INDEX(SkiftNavn,L2986))</f>
        <v/>
      </c>
      <c r="I2986" s="30">
        <f>IF(OR(A2986="",L2986=""),"",IF(MOD(A2986-INDEX(SkiftStart,L2986),Syklus)&lt;DagK,"Kveld",IF(MOD(A2986-INDEX(SkiftStart,L2986),Syklus)&lt;DagK+DagH,"Helg",IF(MOD(A2986-INDEX(SkiftStart,L2986),Syklus)&lt;DagK+DagH+DagD,"Dag","Fri"))))</f>
        <v/>
      </c>
      <c r="J2986" s="30">
        <f>IF(I2986="Fri","Ja","")</f>
        <v/>
      </c>
      <c r="K2986" s="30">
        <f>IF(B2986="","",IF(L2986="","Ukjent tekniker",IF(ISNA(MATCH(C2986,Aktiviteter,0)),"Ukjent aktivitet",IF(AND(INDEX(AktRolle,MATCH(C2986,Aktiviteter,0))&amp;""&lt;&gt;"",ISERROR(SEARCH(INDEX(AktRolle,MATCH(C2986,Aktiviteter,0))&amp;"",INDEX(TekRoller,MATCH(B2986,Teknikere,0))))),"Mangler rollen "&amp;INDEX(AktRolle,MATCH(C2986,Aktiviteter,0))&amp;"",IF(AND(C2986="LMS",F2986&gt;0,OR(D2986="",E2986="")),"Mangler maskin eller arbeid",IF(AND(OR(C2986="LMS",C2986="Mod"),D2986&lt;&gt;""),IF(IFERROR(INDEX(MaskinStatus,MATCH(D2986,Maskiner,0)),"")="I dokk","","Maskinen er ikke i dokk"),""))))))</f>
        <v/>
      </c>
      <c r="L2986" s="2">
        <f>IF(B2986="","",IFERROR(INT((MATCH(B2986,Teknikere,0)-1)/18)+1,""))</f>
        <v/>
      </c>
      <c r="M2986" s="2">
        <f>IF(OR(A2986="",B2986=""),"",B2986&amp;"|"&amp;A2986)</f>
        <v/>
      </c>
      <c r="N2986" s="2">
        <f>IF(M2986="","",SUMIFS(TF_Timer,TF_Nokkel,M2986,TF_Akt,C2986))</f>
        <v/>
      </c>
      <c r="O2986" s="2">
        <f>IF(M2986="","",IF(AND(N2986=_xlfn.MAXIFS(TF_AktSum,TF_Nokkel,M2986),COUNTIFS(M$3:M2985,M2986,N$3:N2985,N2986)=0),M2986,""))</f>
        <v/>
      </c>
    </row>
    <row r="2987">
      <c r="A2987" s="34" t="n"/>
      <c r="B2987" s="35" t="n"/>
      <c r="C2987" s="35" t="n"/>
      <c r="D2987" s="35" t="n"/>
      <c r="E2987" s="35" t="n"/>
      <c r="F2987" s="36" t="n"/>
      <c r="G2987" s="35" t="n"/>
      <c r="H2987" s="30">
        <f>IF(L2987="","",INDEX(SkiftNavn,L2987))</f>
        <v/>
      </c>
      <c r="I2987" s="30">
        <f>IF(OR(A2987="",L2987=""),"",IF(MOD(A2987-INDEX(SkiftStart,L2987),Syklus)&lt;DagK,"Kveld",IF(MOD(A2987-INDEX(SkiftStart,L2987),Syklus)&lt;DagK+DagH,"Helg",IF(MOD(A2987-INDEX(SkiftStart,L2987),Syklus)&lt;DagK+DagH+DagD,"Dag","Fri"))))</f>
        <v/>
      </c>
      <c r="J2987" s="30">
        <f>IF(I2987="Fri","Ja","")</f>
        <v/>
      </c>
      <c r="K2987" s="30">
        <f>IF(B2987="","",IF(L2987="","Ukjent tekniker",IF(ISNA(MATCH(C2987,Aktiviteter,0)),"Ukjent aktivitet",IF(AND(INDEX(AktRolle,MATCH(C2987,Aktiviteter,0))&amp;""&lt;&gt;"",ISERROR(SEARCH(INDEX(AktRolle,MATCH(C2987,Aktiviteter,0))&amp;"",INDEX(TekRoller,MATCH(B2987,Teknikere,0))))),"Mangler rollen "&amp;INDEX(AktRolle,MATCH(C2987,Aktiviteter,0))&amp;"",IF(AND(C2987="LMS",F2987&gt;0,OR(D2987="",E2987="")),"Mangler maskin eller arbeid",IF(AND(OR(C2987="LMS",C2987="Mod"),D2987&lt;&gt;""),IF(IFERROR(INDEX(MaskinStatus,MATCH(D2987,Maskiner,0)),"")="I dokk","","Maskinen er ikke i dokk"),""))))))</f>
        <v/>
      </c>
      <c r="L2987" s="2">
        <f>IF(B2987="","",IFERROR(INT((MATCH(B2987,Teknikere,0)-1)/18)+1,""))</f>
        <v/>
      </c>
      <c r="M2987" s="2">
        <f>IF(OR(A2987="",B2987=""),"",B2987&amp;"|"&amp;A2987)</f>
        <v/>
      </c>
      <c r="N2987" s="2">
        <f>IF(M2987="","",SUMIFS(TF_Timer,TF_Nokkel,M2987,TF_Akt,C2987))</f>
        <v/>
      </c>
      <c r="O2987" s="2">
        <f>IF(M2987="","",IF(AND(N2987=_xlfn.MAXIFS(TF_AktSum,TF_Nokkel,M2987),COUNTIFS(M$3:M2986,M2987,N$3:N2986,N2987)=0),M2987,""))</f>
        <v/>
      </c>
    </row>
    <row r="2988">
      <c r="A2988" s="34" t="n"/>
      <c r="B2988" s="35" t="n"/>
      <c r="C2988" s="35" t="n"/>
      <c r="D2988" s="35" t="n"/>
      <c r="E2988" s="35" t="n"/>
      <c r="F2988" s="36" t="n"/>
      <c r="G2988" s="35" t="n"/>
      <c r="H2988" s="30">
        <f>IF(L2988="","",INDEX(SkiftNavn,L2988))</f>
        <v/>
      </c>
      <c r="I2988" s="30">
        <f>IF(OR(A2988="",L2988=""),"",IF(MOD(A2988-INDEX(SkiftStart,L2988),Syklus)&lt;DagK,"Kveld",IF(MOD(A2988-INDEX(SkiftStart,L2988),Syklus)&lt;DagK+DagH,"Helg",IF(MOD(A2988-INDEX(SkiftStart,L2988),Syklus)&lt;DagK+DagH+DagD,"Dag","Fri"))))</f>
        <v/>
      </c>
      <c r="J2988" s="30">
        <f>IF(I2988="Fri","Ja","")</f>
        <v/>
      </c>
      <c r="K2988" s="30">
        <f>IF(B2988="","",IF(L2988="","Ukjent tekniker",IF(ISNA(MATCH(C2988,Aktiviteter,0)),"Ukjent aktivitet",IF(AND(INDEX(AktRolle,MATCH(C2988,Aktiviteter,0))&amp;""&lt;&gt;"",ISERROR(SEARCH(INDEX(AktRolle,MATCH(C2988,Aktiviteter,0))&amp;"",INDEX(TekRoller,MATCH(B2988,Teknikere,0))))),"Mangler rollen "&amp;INDEX(AktRolle,MATCH(C2988,Aktiviteter,0))&amp;"",IF(AND(C2988="LMS",F2988&gt;0,OR(D2988="",E2988="")),"Mangler maskin eller arbeid",IF(AND(OR(C2988="LMS",C2988="Mod"),D2988&lt;&gt;""),IF(IFERROR(INDEX(MaskinStatus,MATCH(D2988,Maskiner,0)),"")="I dokk","","Maskinen er ikke i dokk"),""))))))</f>
        <v/>
      </c>
      <c r="L2988" s="2">
        <f>IF(B2988="","",IFERROR(INT((MATCH(B2988,Teknikere,0)-1)/18)+1,""))</f>
        <v/>
      </c>
      <c r="M2988" s="2">
        <f>IF(OR(A2988="",B2988=""),"",B2988&amp;"|"&amp;A2988)</f>
        <v/>
      </c>
      <c r="N2988" s="2">
        <f>IF(M2988="","",SUMIFS(TF_Timer,TF_Nokkel,M2988,TF_Akt,C2988))</f>
        <v/>
      </c>
      <c r="O2988" s="2">
        <f>IF(M2988="","",IF(AND(N2988=_xlfn.MAXIFS(TF_AktSum,TF_Nokkel,M2988),COUNTIFS(M$3:M2987,M2988,N$3:N2987,N2988)=0),M2988,""))</f>
        <v/>
      </c>
    </row>
    <row r="2989">
      <c r="A2989" s="34" t="n"/>
      <c r="B2989" s="35" t="n"/>
      <c r="C2989" s="35" t="n"/>
      <c r="D2989" s="35" t="n"/>
      <c r="E2989" s="35" t="n"/>
      <c r="F2989" s="36" t="n"/>
      <c r="G2989" s="35" t="n"/>
      <c r="H2989" s="30">
        <f>IF(L2989="","",INDEX(SkiftNavn,L2989))</f>
        <v/>
      </c>
      <c r="I2989" s="30">
        <f>IF(OR(A2989="",L2989=""),"",IF(MOD(A2989-INDEX(SkiftStart,L2989),Syklus)&lt;DagK,"Kveld",IF(MOD(A2989-INDEX(SkiftStart,L2989),Syklus)&lt;DagK+DagH,"Helg",IF(MOD(A2989-INDEX(SkiftStart,L2989),Syklus)&lt;DagK+DagH+DagD,"Dag","Fri"))))</f>
        <v/>
      </c>
      <c r="J2989" s="30">
        <f>IF(I2989="Fri","Ja","")</f>
        <v/>
      </c>
      <c r="K2989" s="30">
        <f>IF(B2989="","",IF(L2989="","Ukjent tekniker",IF(ISNA(MATCH(C2989,Aktiviteter,0)),"Ukjent aktivitet",IF(AND(INDEX(AktRolle,MATCH(C2989,Aktiviteter,0))&amp;""&lt;&gt;"",ISERROR(SEARCH(INDEX(AktRolle,MATCH(C2989,Aktiviteter,0))&amp;"",INDEX(TekRoller,MATCH(B2989,Teknikere,0))))),"Mangler rollen "&amp;INDEX(AktRolle,MATCH(C2989,Aktiviteter,0))&amp;"",IF(AND(C2989="LMS",F2989&gt;0,OR(D2989="",E2989="")),"Mangler maskin eller arbeid",IF(AND(OR(C2989="LMS",C2989="Mod"),D2989&lt;&gt;""),IF(IFERROR(INDEX(MaskinStatus,MATCH(D2989,Maskiner,0)),"")="I dokk","","Maskinen er ikke i dokk"),""))))))</f>
        <v/>
      </c>
      <c r="L2989" s="2">
        <f>IF(B2989="","",IFERROR(INT((MATCH(B2989,Teknikere,0)-1)/18)+1,""))</f>
        <v/>
      </c>
      <c r="M2989" s="2">
        <f>IF(OR(A2989="",B2989=""),"",B2989&amp;"|"&amp;A2989)</f>
        <v/>
      </c>
      <c r="N2989" s="2">
        <f>IF(M2989="","",SUMIFS(TF_Timer,TF_Nokkel,M2989,TF_Akt,C2989))</f>
        <v/>
      </c>
      <c r="O2989" s="2">
        <f>IF(M2989="","",IF(AND(N2989=_xlfn.MAXIFS(TF_AktSum,TF_Nokkel,M2989),COUNTIFS(M$3:M2988,M2989,N$3:N2988,N2989)=0),M2989,""))</f>
        <v/>
      </c>
    </row>
    <row r="2990">
      <c r="A2990" s="34" t="n"/>
      <c r="B2990" s="35" t="n"/>
      <c r="C2990" s="35" t="n"/>
      <c r="D2990" s="35" t="n"/>
      <c r="E2990" s="35" t="n"/>
      <c r="F2990" s="36" t="n"/>
      <c r="G2990" s="35" t="n"/>
      <c r="H2990" s="30">
        <f>IF(L2990="","",INDEX(SkiftNavn,L2990))</f>
        <v/>
      </c>
      <c r="I2990" s="30">
        <f>IF(OR(A2990="",L2990=""),"",IF(MOD(A2990-INDEX(SkiftStart,L2990),Syklus)&lt;DagK,"Kveld",IF(MOD(A2990-INDEX(SkiftStart,L2990),Syklus)&lt;DagK+DagH,"Helg",IF(MOD(A2990-INDEX(SkiftStart,L2990),Syklus)&lt;DagK+DagH+DagD,"Dag","Fri"))))</f>
        <v/>
      </c>
      <c r="J2990" s="30">
        <f>IF(I2990="Fri","Ja","")</f>
        <v/>
      </c>
      <c r="K2990" s="30">
        <f>IF(B2990="","",IF(L2990="","Ukjent tekniker",IF(ISNA(MATCH(C2990,Aktiviteter,0)),"Ukjent aktivitet",IF(AND(INDEX(AktRolle,MATCH(C2990,Aktiviteter,0))&amp;""&lt;&gt;"",ISERROR(SEARCH(INDEX(AktRolle,MATCH(C2990,Aktiviteter,0))&amp;"",INDEX(TekRoller,MATCH(B2990,Teknikere,0))))),"Mangler rollen "&amp;INDEX(AktRolle,MATCH(C2990,Aktiviteter,0))&amp;"",IF(AND(C2990="LMS",F2990&gt;0,OR(D2990="",E2990="")),"Mangler maskin eller arbeid",IF(AND(OR(C2990="LMS",C2990="Mod"),D2990&lt;&gt;""),IF(IFERROR(INDEX(MaskinStatus,MATCH(D2990,Maskiner,0)),"")="I dokk","","Maskinen er ikke i dokk"),""))))))</f>
        <v/>
      </c>
      <c r="L2990" s="2">
        <f>IF(B2990="","",IFERROR(INT((MATCH(B2990,Teknikere,0)-1)/18)+1,""))</f>
        <v/>
      </c>
      <c r="M2990" s="2">
        <f>IF(OR(A2990="",B2990=""),"",B2990&amp;"|"&amp;A2990)</f>
        <v/>
      </c>
      <c r="N2990" s="2">
        <f>IF(M2990="","",SUMIFS(TF_Timer,TF_Nokkel,M2990,TF_Akt,C2990))</f>
        <v/>
      </c>
      <c r="O2990" s="2">
        <f>IF(M2990="","",IF(AND(N2990=_xlfn.MAXIFS(TF_AktSum,TF_Nokkel,M2990),COUNTIFS(M$3:M2989,M2990,N$3:N2989,N2990)=0),M2990,""))</f>
        <v/>
      </c>
    </row>
    <row r="2991">
      <c r="A2991" s="34" t="n"/>
      <c r="B2991" s="35" t="n"/>
      <c r="C2991" s="35" t="n"/>
      <c r="D2991" s="35" t="n"/>
      <c r="E2991" s="35" t="n"/>
      <c r="F2991" s="36" t="n"/>
      <c r="G2991" s="35" t="n"/>
      <c r="H2991" s="30">
        <f>IF(L2991="","",INDEX(SkiftNavn,L2991))</f>
        <v/>
      </c>
      <c r="I2991" s="30">
        <f>IF(OR(A2991="",L2991=""),"",IF(MOD(A2991-INDEX(SkiftStart,L2991),Syklus)&lt;DagK,"Kveld",IF(MOD(A2991-INDEX(SkiftStart,L2991),Syklus)&lt;DagK+DagH,"Helg",IF(MOD(A2991-INDEX(SkiftStart,L2991),Syklus)&lt;DagK+DagH+DagD,"Dag","Fri"))))</f>
        <v/>
      </c>
      <c r="J2991" s="30">
        <f>IF(I2991="Fri","Ja","")</f>
        <v/>
      </c>
      <c r="K2991" s="30">
        <f>IF(B2991="","",IF(L2991="","Ukjent tekniker",IF(ISNA(MATCH(C2991,Aktiviteter,0)),"Ukjent aktivitet",IF(AND(INDEX(AktRolle,MATCH(C2991,Aktiviteter,0))&amp;""&lt;&gt;"",ISERROR(SEARCH(INDEX(AktRolle,MATCH(C2991,Aktiviteter,0))&amp;"",INDEX(TekRoller,MATCH(B2991,Teknikere,0))))),"Mangler rollen "&amp;INDEX(AktRolle,MATCH(C2991,Aktiviteter,0))&amp;"",IF(AND(C2991="LMS",F2991&gt;0,OR(D2991="",E2991="")),"Mangler maskin eller arbeid",IF(AND(OR(C2991="LMS",C2991="Mod"),D2991&lt;&gt;""),IF(IFERROR(INDEX(MaskinStatus,MATCH(D2991,Maskiner,0)),"")="I dokk","","Maskinen er ikke i dokk"),""))))))</f>
        <v/>
      </c>
      <c r="L2991" s="2">
        <f>IF(B2991="","",IFERROR(INT((MATCH(B2991,Teknikere,0)-1)/18)+1,""))</f>
        <v/>
      </c>
      <c r="M2991" s="2">
        <f>IF(OR(A2991="",B2991=""),"",B2991&amp;"|"&amp;A2991)</f>
        <v/>
      </c>
      <c r="N2991" s="2">
        <f>IF(M2991="","",SUMIFS(TF_Timer,TF_Nokkel,M2991,TF_Akt,C2991))</f>
        <v/>
      </c>
      <c r="O2991" s="2">
        <f>IF(M2991="","",IF(AND(N2991=_xlfn.MAXIFS(TF_AktSum,TF_Nokkel,M2991),COUNTIFS(M$3:M2990,M2991,N$3:N2990,N2991)=0),M2991,""))</f>
        <v/>
      </c>
    </row>
    <row r="2992">
      <c r="A2992" s="34" t="n"/>
      <c r="B2992" s="35" t="n"/>
      <c r="C2992" s="35" t="n"/>
      <c r="D2992" s="35" t="n"/>
      <c r="E2992" s="35" t="n"/>
      <c r="F2992" s="36" t="n"/>
      <c r="G2992" s="35" t="n"/>
      <c r="H2992" s="30">
        <f>IF(L2992="","",INDEX(SkiftNavn,L2992))</f>
        <v/>
      </c>
      <c r="I2992" s="30">
        <f>IF(OR(A2992="",L2992=""),"",IF(MOD(A2992-INDEX(SkiftStart,L2992),Syklus)&lt;DagK,"Kveld",IF(MOD(A2992-INDEX(SkiftStart,L2992),Syklus)&lt;DagK+DagH,"Helg",IF(MOD(A2992-INDEX(SkiftStart,L2992),Syklus)&lt;DagK+DagH+DagD,"Dag","Fri"))))</f>
        <v/>
      </c>
      <c r="J2992" s="30">
        <f>IF(I2992="Fri","Ja","")</f>
        <v/>
      </c>
      <c r="K2992" s="30">
        <f>IF(B2992="","",IF(L2992="","Ukjent tekniker",IF(ISNA(MATCH(C2992,Aktiviteter,0)),"Ukjent aktivitet",IF(AND(INDEX(AktRolle,MATCH(C2992,Aktiviteter,0))&amp;""&lt;&gt;"",ISERROR(SEARCH(INDEX(AktRolle,MATCH(C2992,Aktiviteter,0))&amp;"",INDEX(TekRoller,MATCH(B2992,Teknikere,0))))),"Mangler rollen "&amp;INDEX(AktRolle,MATCH(C2992,Aktiviteter,0))&amp;"",IF(AND(C2992="LMS",F2992&gt;0,OR(D2992="",E2992="")),"Mangler maskin eller arbeid",IF(AND(OR(C2992="LMS",C2992="Mod"),D2992&lt;&gt;""),IF(IFERROR(INDEX(MaskinStatus,MATCH(D2992,Maskiner,0)),"")="I dokk","","Maskinen er ikke i dokk"),""))))))</f>
        <v/>
      </c>
      <c r="L2992" s="2">
        <f>IF(B2992="","",IFERROR(INT((MATCH(B2992,Teknikere,0)-1)/18)+1,""))</f>
        <v/>
      </c>
      <c r="M2992" s="2">
        <f>IF(OR(A2992="",B2992=""),"",B2992&amp;"|"&amp;A2992)</f>
        <v/>
      </c>
      <c r="N2992" s="2">
        <f>IF(M2992="","",SUMIFS(TF_Timer,TF_Nokkel,M2992,TF_Akt,C2992))</f>
        <v/>
      </c>
      <c r="O2992" s="2">
        <f>IF(M2992="","",IF(AND(N2992=_xlfn.MAXIFS(TF_AktSum,TF_Nokkel,M2992),COUNTIFS(M$3:M2991,M2992,N$3:N2991,N2992)=0),M2992,""))</f>
        <v/>
      </c>
    </row>
    <row r="2993">
      <c r="A2993" s="34" t="n"/>
      <c r="B2993" s="35" t="n"/>
      <c r="C2993" s="35" t="n"/>
      <c r="D2993" s="35" t="n"/>
      <c r="E2993" s="35" t="n"/>
      <c r="F2993" s="36" t="n"/>
      <c r="G2993" s="35" t="n"/>
      <c r="H2993" s="30">
        <f>IF(L2993="","",INDEX(SkiftNavn,L2993))</f>
        <v/>
      </c>
      <c r="I2993" s="30">
        <f>IF(OR(A2993="",L2993=""),"",IF(MOD(A2993-INDEX(SkiftStart,L2993),Syklus)&lt;DagK,"Kveld",IF(MOD(A2993-INDEX(SkiftStart,L2993),Syklus)&lt;DagK+DagH,"Helg",IF(MOD(A2993-INDEX(SkiftStart,L2993),Syklus)&lt;DagK+DagH+DagD,"Dag","Fri"))))</f>
        <v/>
      </c>
      <c r="J2993" s="30">
        <f>IF(I2993="Fri","Ja","")</f>
        <v/>
      </c>
      <c r="K2993" s="30">
        <f>IF(B2993="","",IF(L2993="","Ukjent tekniker",IF(ISNA(MATCH(C2993,Aktiviteter,0)),"Ukjent aktivitet",IF(AND(INDEX(AktRolle,MATCH(C2993,Aktiviteter,0))&amp;""&lt;&gt;"",ISERROR(SEARCH(INDEX(AktRolle,MATCH(C2993,Aktiviteter,0))&amp;"",INDEX(TekRoller,MATCH(B2993,Teknikere,0))))),"Mangler rollen "&amp;INDEX(AktRolle,MATCH(C2993,Aktiviteter,0))&amp;"",IF(AND(C2993="LMS",F2993&gt;0,OR(D2993="",E2993="")),"Mangler maskin eller arbeid",IF(AND(OR(C2993="LMS",C2993="Mod"),D2993&lt;&gt;""),IF(IFERROR(INDEX(MaskinStatus,MATCH(D2993,Maskiner,0)),"")="I dokk","","Maskinen er ikke i dokk"),""))))))</f>
        <v/>
      </c>
      <c r="L2993" s="2">
        <f>IF(B2993="","",IFERROR(INT((MATCH(B2993,Teknikere,0)-1)/18)+1,""))</f>
        <v/>
      </c>
      <c r="M2993" s="2">
        <f>IF(OR(A2993="",B2993=""),"",B2993&amp;"|"&amp;A2993)</f>
        <v/>
      </c>
      <c r="N2993" s="2">
        <f>IF(M2993="","",SUMIFS(TF_Timer,TF_Nokkel,M2993,TF_Akt,C2993))</f>
        <v/>
      </c>
      <c r="O2993" s="2">
        <f>IF(M2993="","",IF(AND(N2993=_xlfn.MAXIFS(TF_AktSum,TF_Nokkel,M2993),COUNTIFS(M$3:M2992,M2993,N$3:N2992,N2993)=0),M2993,""))</f>
        <v/>
      </c>
    </row>
    <row r="2994">
      <c r="A2994" s="34" t="n"/>
      <c r="B2994" s="35" t="n"/>
      <c r="C2994" s="35" t="n"/>
      <c r="D2994" s="35" t="n"/>
      <c r="E2994" s="35" t="n"/>
      <c r="F2994" s="36" t="n"/>
      <c r="G2994" s="35" t="n"/>
      <c r="H2994" s="30">
        <f>IF(L2994="","",INDEX(SkiftNavn,L2994))</f>
        <v/>
      </c>
      <c r="I2994" s="30">
        <f>IF(OR(A2994="",L2994=""),"",IF(MOD(A2994-INDEX(SkiftStart,L2994),Syklus)&lt;DagK,"Kveld",IF(MOD(A2994-INDEX(SkiftStart,L2994),Syklus)&lt;DagK+DagH,"Helg",IF(MOD(A2994-INDEX(SkiftStart,L2994),Syklus)&lt;DagK+DagH+DagD,"Dag","Fri"))))</f>
        <v/>
      </c>
      <c r="J2994" s="30">
        <f>IF(I2994="Fri","Ja","")</f>
        <v/>
      </c>
      <c r="K2994" s="30">
        <f>IF(B2994="","",IF(L2994="","Ukjent tekniker",IF(ISNA(MATCH(C2994,Aktiviteter,0)),"Ukjent aktivitet",IF(AND(INDEX(AktRolle,MATCH(C2994,Aktiviteter,0))&amp;""&lt;&gt;"",ISERROR(SEARCH(INDEX(AktRolle,MATCH(C2994,Aktiviteter,0))&amp;"",INDEX(TekRoller,MATCH(B2994,Teknikere,0))))),"Mangler rollen "&amp;INDEX(AktRolle,MATCH(C2994,Aktiviteter,0))&amp;"",IF(AND(C2994="LMS",F2994&gt;0,OR(D2994="",E2994="")),"Mangler maskin eller arbeid",IF(AND(OR(C2994="LMS",C2994="Mod"),D2994&lt;&gt;""),IF(IFERROR(INDEX(MaskinStatus,MATCH(D2994,Maskiner,0)),"")="I dokk","","Maskinen er ikke i dokk"),""))))))</f>
        <v/>
      </c>
      <c r="L2994" s="2">
        <f>IF(B2994="","",IFERROR(INT((MATCH(B2994,Teknikere,0)-1)/18)+1,""))</f>
        <v/>
      </c>
      <c r="M2994" s="2">
        <f>IF(OR(A2994="",B2994=""),"",B2994&amp;"|"&amp;A2994)</f>
        <v/>
      </c>
      <c r="N2994" s="2">
        <f>IF(M2994="","",SUMIFS(TF_Timer,TF_Nokkel,M2994,TF_Akt,C2994))</f>
        <v/>
      </c>
      <c r="O2994" s="2">
        <f>IF(M2994="","",IF(AND(N2994=_xlfn.MAXIFS(TF_AktSum,TF_Nokkel,M2994),COUNTIFS(M$3:M2993,M2994,N$3:N2993,N2994)=0),M2994,""))</f>
        <v/>
      </c>
    </row>
    <row r="2995">
      <c r="A2995" s="34" t="n"/>
      <c r="B2995" s="35" t="n"/>
      <c r="C2995" s="35" t="n"/>
      <c r="D2995" s="35" t="n"/>
      <c r="E2995" s="35" t="n"/>
      <c r="F2995" s="36" t="n"/>
      <c r="G2995" s="35" t="n"/>
      <c r="H2995" s="30">
        <f>IF(L2995="","",INDEX(SkiftNavn,L2995))</f>
        <v/>
      </c>
      <c r="I2995" s="30">
        <f>IF(OR(A2995="",L2995=""),"",IF(MOD(A2995-INDEX(SkiftStart,L2995),Syklus)&lt;DagK,"Kveld",IF(MOD(A2995-INDEX(SkiftStart,L2995),Syklus)&lt;DagK+DagH,"Helg",IF(MOD(A2995-INDEX(SkiftStart,L2995),Syklus)&lt;DagK+DagH+DagD,"Dag","Fri"))))</f>
        <v/>
      </c>
      <c r="J2995" s="30">
        <f>IF(I2995="Fri","Ja","")</f>
        <v/>
      </c>
      <c r="K2995" s="30">
        <f>IF(B2995="","",IF(L2995="","Ukjent tekniker",IF(ISNA(MATCH(C2995,Aktiviteter,0)),"Ukjent aktivitet",IF(AND(INDEX(AktRolle,MATCH(C2995,Aktiviteter,0))&amp;""&lt;&gt;"",ISERROR(SEARCH(INDEX(AktRolle,MATCH(C2995,Aktiviteter,0))&amp;"",INDEX(TekRoller,MATCH(B2995,Teknikere,0))))),"Mangler rollen "&amp;INDEX(AktRolle,MATCH(C2995,Aktiviteter,0))&amp;"",IF(AND(C2995="LMS",F2995&gt;0,OR(D2995="",E2995="")),"Mangler maskin eller arbeid",IF(AND(OR(C2995="LMS",C2995="Mod"),D2995&lt;&gt;""),IF(IFERROR(INDEX(MaskinStatus,MATCH(D2995,Maskiner,0)),"")="I dokk","","Maskinen er ikke i dokk"),""))))))</f>
        <v/>
      </c>
      <c r="L2995" s="2">
        <f>IF(B2995="","",IFERROR(INT((MATCH(B2995,Teknikere,0)-1)/18)+1,""))</f>
        <v/>
      </c>
      <c r="M2995" s="2">
        <f>IF(OR(A2995="",B2995=""),"",B2995&amp;"|"&amp;A2995)</f>
        <v/>
      </c>
      <c r="N2995" s="2">
        <f>IF(M2995="","",SUMIFS(TF_Timer,TF_Nokkel,M2995,TF_Akt,C2995))</f>
        <v/>
      </c>
      <c r="O2995" s="2">
        <f>IF(M2995="","",IF(AND(N2995=_xlfn.MAXIFS(TF_AktSum,TF_Nokkel,M2995),COUNTIFS(M$3:M2994,M2995,N$3:N2994,N2995)=0),M2995,""))</f>
        <v/>
      </c>
    </row>
    <row r="2996">
      <c r="A2996" s="34" t="n"/>
      <c r="B2996" s="35" t="n"/>
      <c r="C2996" s="35" t="n"/>
      <c r="D2996" s="35" t="n"/>
      <c r="E2996" s="35" t="n"/>
      <c r="F2996" s="36" t="n"/>
      <c r="G2996" s="35" t="n"/>
      <c r="H2996" s="30">
        <f>IF(L2996="","",INDEX(SkiftNavn,L2996))</f>
        <v/>
      </c>
      <c r="I2996" s="30">
        <f>IF(OR(A2996="",L2996=""),"",IF(MOD(A2996-INDEX(SkiftStart,L2996),Syklus)&lt;DagK,"Kveld",IF(MOD(A2996-INDEX(SkiftStart,L2996),Syklus)&lt;DagK+DagH,"Helg",IF(MOD(A2996-INDEX(SkiftStart,L2996),Syklus)&lt;DagK+DagH+DagD,"Dag","Fri"))))</f>
        <v/>
      </c>
      <c r="J2996" s="30">
        <f>IF(I2996="Fri","Ja","")</f>
        <v/>
      </c>
      <c r="K2996" s="30">
        <f>IF(B2996="","",IF(L2996="","Ukjent tekniker",IF(ISNA(MATCH(C2996,Aktiviteter,0)),"Ukjent aktivitet",IF(AND(INDEX(AktRolle,MATCH(C2996,Aktiviteter,0))&amp;""&lt;&gt;"",ISERROR(SEARCH(INDEX(AktRolle,MATCH(C2996,Aktiviteter,0))&amp;"",INDEX(TekRoller,MATCH(B2996,Teknikere,0))))),"Mangler rollen "&amp;INDEX(AktRolle,MATCH(C2996,Aktiviteter,0))&amp;"",IF(AND(C2996="LMS",F2996&gt;0,OR(D2996="",E2996="")),"Mangler maskin eller arbeid",IF(AND(OR(C2996="LMS",C2996="Mod"),D2996&lt;&gt;""),IF(IFERROR(INDEX(MaskinStatus,MATCH(D2996,Maskiner,0)),"")="I dokk","","Maskinen er ikke i dokk"),""))))))</f>
        <v/>
      </c>
      <c r="L2996" s="2">
        <f>IF(B2996="","",IFERROR(INT((MATCH(B2996,Teknikere,0)-1)/18)+1,""))</f>
        <v/>
      </c>
      <c r="M2996" s="2">
        <f>IF(OR(A2996="",B2996=""),"",B2996&amp;"|"&amp;A2996)</f>
        <v/>
      </c>
      <c r="N2996" s="2">
        <f>IF(M2996="","",SUMIFS(TF_Timer,TF_Nokkel,M2996,TF_Akt,C2996))</f>
        <v/>
      </c>
      <c r="O2996" s="2">
        <f>IF(M2996="","",IF(AND(N2996=_xlfn.MAXIFS(TF_AktSum,TF_Nokkel,M2996),COUNTIFS(M$3:M2995,M2996,N$3:N2995,N2996)=0),M2996,""))</f>
        <v/>
      </c>
    </row>
    <row r="2997">
      <c r="A2997" s="34" t="n"/>
      <c r="B2997" s="35" t="n"/>
      <c r="C2997" s="35" t="n"/>
      <c r="D2997" s="35" t="n"/>
      <c r="E2997" s="35" t="n"/>
      <c r="F2997" s="36" t="n"/>
      <c r="G2997" s="35" t="n"/>
      <c r="H2997" s="30">
        <f>IF(L2997="","",INDEX(SkiftNavn,L2997))</f>
        <v/>
      </c>
      <c r="I2997" s="30">
        <f>IF(OR(A2997="",L2997=""),"",IF(MOD(A2997-INDEX(SkiftStart,L2997),Syklus)&lt;DagK,"Kveld",IF(MOD(A2997-INDEX(SkiftStart,L2997),Syklus)&lt;DagK+DagH,"Helg",IF(MOD(A2997-INDEX(SkiftStart,L2997),Syklus)&lt;DagK+DagH+DagD,"Dag","Fri"))))</f>
        <v/>
      </c>
      <c r="J2997" s="30">
        <f>IF(I2997="Fri","Ja","")</f>
        <v/>
      </c>
      <c r="K2997" s="30">
        <f>IF(B2997="","",IF(L2997="","Ukjent tekniker",IF(ISNA(MATCH(C2997,Aktiviteter,0)),"Ukjent aktivitet",IF(AND(INDEX(AktRolle,MATCH(C2997,Aktiviteter,0))&amp;""&lt;&gt;"",ISERROR(SEARCH(INDEX(AktRolle,MATCH(C2997,Aktiviteter,0))&amp;"",INDEX(TekRoller,MATCH(B2997,Teknikere,0))))),"Mangler rollen "&amp;INDEX(AktRolle,MATCH(C2997,Aktiviteter,0))&amp;"",IF(AND(C2997="LMS",F2997&gt;0,OR(D2997="",E2997="")),"Mangler maskin eller arbeid",IF(AND(OR(C2997="LMS",C2997="Mod"),D2997&lt;&gt;""),IF(IFERROR(INDEX(MaskinStatus,MATCH(D2997,Maskiner,0)),"")="I dokk","","Maskinen er ikke i dokk"),""))))))</f>
        <v/>
      </c>
      <c r="L2997" s="2">
        <f>IF(B2997="","",IFERROR(INT((MATCH(B2997,Teknikere,0)-1)/18)+1,""))</f>
        <v/>
      </c>
      <c r="M2997" s="2">
        <f>IF(OR(A2997="",B2997=""),"",B2997&amp;"|"&amp;A2997)</f>
        <v/>
      </c>
      <c r="N2997" s="2">
        <f>IF(M2997="","",SUMIFS(TF_Timer,TF_Nokkel,M2997,TF_Akt,C2997))</f>
        <v/>
      </c>
      <c r="O2997" s="2">
        <f>IF(M2997="","",IF(AND(N2997=_xlfn.MAXIFS(TF_AktSum,TF_Nokkel,M2997),COUNTIFS(M$3:M2996,M2997,N$3:N2996,N2997)=0),M2997,""))</f>
        <v/>
      </c>
    </row>
    <row r="2998">
      <c r="A2998" s="34" t="n"/>
      <c r="B2998" s="35" t="n"/>
      <c r="C2998" s="35" t="n"/>
      <c r="D2998" s="35" t="n"/>
      <c r="E2998" s="35" t="n"/>
      <c r="F2998" s="36" t="n"/>
      <c r="G2998" s="35" t="n"/>
      <c r="H2998" s="30">
        <f>IF(L2998="","",INDEX(SkiftNavn,L2998))</f>
        <v/>
      </c>
      <c r="I2998" s="30">
        <f>IF(OR(A2998="",L2998=""),"",IF(MOD(A2998-INDEX(SkiftStart,L2998),Syklus)&lt;DagK,"Kveld",IF(MOD(A2998-INDEX(SkiftStart,L2998),Syklus)&lt;DagK+DagH,"Helg",IF(MOD(A2998-INDEX(SkiftStart,L2998),Syklus)&lt;DagK+DagH+DagD,"Dag","Fri"))))</f>
        <v/>
      </c>
      <c r="J2998" s="30">
        <f>IF(I2998="Fri","Ja","")</f>
        <v/>
      </c>
      <c r="K2998" s="30">
        <f>IF(B2998="","",IF(L2998="","Ukjent tekniker",IF(ISNA(MATCH(C2998,Aktiviteter,0)),"Ukjent aktivitet",IF(AND(INDEX(AktRolle,MATCH(C2998,Aktiviteter,0))&amp;""&lt;&gt;"",ISERROR(SEARCH(INDEX(AktRolle,MATCH(C2998,Aktiviteter,0))&amp;"",INDEX(TekRoller,MATCH(B2998,Teknikere,0))))),"Mangler rollen "&amp;INDEX(AktRolle,MATCH(C2998,Aktiviteter,0))&amp;"",IF(AND(C2998="LMS",F2998&gt;0,OR(D2998="",E2998="")),"Mangler maskin eller arbeid",IF(AND(OR(C2998="LMS",C2998="Mod"),D2998&lt;&gt;""),IF(IFERROR(INDEX(MaskinStatus,MATCH(D2998,Maskiner,0)),"")="I dokk","","Maskinen er ikke i dokk"),""))))))</f>
        <v/>
      </c>
      <c r="L2998" s="2">
        <f>IF(B2998="","",IFERROR(INT((MATCH(B2998,Teknikere,0)-1)/18)+1,""))</f>
        <v/>
      </c>
      <c r="M2998" s="2">
        <f>IF(OR(A2998="",B2998=""),"",B2998&amp;"|"&amp;A2998)</f>
        <v/>
      </c>
      <c r="N2998" s="2">
        <f>IF(M2998="","",SUMIFS(TF_Timer,TF_Nokkel,M2998,TF_Akt,C2998))</f>
        <v/>
      </c>
      <c r="O2998" s="2">
        <f>IF(M2998="","",IF(AND(N2998=_xlfn.MAXIFS(TF_AktSum,TF_Nokkel,M2998),COUNTIFS(M$3:M2997,M2998,N$3:N2997,N2998)=0),M2998,""))</f>
        <v/>
      </c>
    </row>
    <row r="2999">
      <c r="A2999" s="34" t="n"/>
      <c r="B2999" s="35" t="n"/>
      <c r="C2999" s="35" t="n"/>
      <c r="D2999" s="35" t="n"/>
      <c r="E2999" s="35" t="n"/>
      <c r="F2999" s="36" t="n"/>
      <c r="G2999" s="35" t="n"/>
      <c r="H2999" s="30">
        <f>IF(L2999="","",INDEX(SkiftNavn,L2999))</f>
        <v/>
      </c>
      <c r="I2999" s="30">
        <f>IF(OR(A2999="",L2999=""),"",IF(MOD(A2999-INDEX(SkiftStart,L2999),Syklus)&lt;DagK,"Kveld",IF(MOD(A2999-INDEX(SkiftStart,L2999),Syklus)&lt;DagK+DagH,"Helg",IF(MOD(A2999-INDEX(SkiftStart,L2999),Syklus)&lt;DagK+DagH+DagD,"Dag","Fri"))))</f>
        <v/>
      </c>
      <c r="J2999" s="30">
        <f>IF(I2999="Fri","Ja","")</f>
        <v/>
      </c>
      <c r="K2999" s="30">
        <f>IF(B2999="","",IF(L2999="","Ukjent tekniker",IF(ISNA(MATCH(C2999,Aktiviteter,0)),"Ukjent aktivitet",IF(AND(INDEX(AktRolle,MATCH(C2999,Aktiviteter,0))&amp;""&lt;&gt;"",ISERROR(SEARCH(INDEX(AktRolle,MATCH(C2999,Aktiviteter,0))&amp;"",INDEX(TekRoller,MATCH(B2999,Teknikere,0))))),"Mangler rollen "&amp;INDEX(AktRolle,MATCH(C2999,Aktiviteter,0))&amp;"",IF(AND(C2999="LMS",F2999&gt;0,OR(D2999="",E2999="")),"Mangler maskin eller arbeid",IF(AND(OR(C2999="LMS",C2999="Mod"),D2999&lt;&gt;""),IF(IFERROR(INDEX(MaskinStatus,MATCH(D2999,Maskiner,0)),"")="I dokk","","Maskinen er ikke i dokk"),""))))))</f>
        <v/>
      </c>
      <c r="L2999" s="2">
        <f>IF(B2999="","",IFERROR(INT((MATCH(B2999,Teknikere,0)-1)/18)+1,""))</f>
        <v/>
      </c>
      <c r="M2999" s="2">
        <f>IF(OR(A2999="",B2999=""),"",B2999&amp;"|"&amp;A2999)</f>
        <v/>
      </c>
      <c r="N2999" s="2">
        <f>IF(M2999="","",SUMIFS(TF_Timer,TF_Nokkel,M2999,TF_Akt,C2999))</f>
        <v/>
      </c>
      <c r="O2999" s="2">
        <f>IF(M2999="","",IF(AND(N2999=_xlfn.MAXIFS(TF_AktSum,TF_Nokkel,M2999),COUNTIFS(M$3:M2998,M2999,N$3:N2998,N2999)=0),M2999,""))</f>
        <v/>
      </c>
    </row>
    <row r="3000">
      <c r="A3000" s="34" t="n"/>
      <c r="B3000" s="35" t="n"/>
      <c r="C3000" s="35" t="n"/>
      <c r="D3000" s="35" t="n"/>
      <c r="E3000" s="35" t="n"/>
      <c r="F3000" s="36" t="n"/>
      <c r="G3000" s="35" t="n"/>
      <c r="H3000" s="30">
        <f>IF(L3000="","",INDEX(SkiftNavn,L3000))</f>
        <v/>
      </c>
      <c r="I3000" s="30">
        <f>IF(OR(A3000="",L3000=""),"",IF(MOD(A3000-INDEX(SkiftStart,L3000),Syklus)&lt;DagK,"Kveld",IF(MOD(A3000-INDEX(SkiftStart,L3000),Syklus)&lt;DagK+DagH,"Helg",IF(MOD(A3000-INDEX(SkiftStart,L3000),Syklus)&lt;DagK+DagH+DagD,"Dag","Fri"))))</f>
        <v/>
      </c>
      <c r="J3000" s="30">
        <f>IF(I3000="Fri","Ja","")</f>
        <v/>
      </c>
      <c r="K3000" s="30">
        <f>IF(B3000="","",IF(L3000="","Ukjent tekniker",IF(ISNA(MATCH(C3000,Aktiviteter,0)),"Ukjent aktivitet",IF(AND(INDEX(AktRolle,MATCH(C3000,Aktiviteter,0))&amp;""&lt;&gt;"",ISERROR(SEARCH(INDEX(AktRolle,MATCH(C3000,Aktiviteter,0))&amp;"",INDEX(TekRoller,MATCH(B3000,Teknikere,0))))),"Mangler rollen "&amp;INDEX(AktRolle,MATCH(C3000,Aktiviteter,0))&amp;"",IF(AND(C3000="LMS",F3000&gt;0,OR(D3000="",E3000="")),"Mangler maskin eller arbeid",IF(AND(OR(C3000="LMS",C3000="Mod"),D3000&lt;&gt;""),IF(IFERROR(INDEX(MaskinStatus,MATCH(D3000,Maskiner,0)),"")="I dokk","","Maskinen er ikke i dokk"),""))))))</f>
        <v/>
      </c>
      <c r="L3000" s="2">
        <f>IF(B3000="","",IFERROR(INT((MATCH(B3000,Teknikere,0)-1)/18)+1,""))</f>
        <v/>
      </c>
      <c r="M3000" s="2">
        <f>IF(OR(A3000="",B3000=""),"",B3000&amp;"|"&amp;A3000)</f>
        <v/>
      </c>
      <c r="N3000" s="2">
        <f>IF(M3000="","",SUMIFS(TF_Timer,TF_Nokkel,M3000,TF_Akt,C3000))</f>
        <v/>
      </c>
      <c r="O3000" s="2">
        <f>IF(M3000="","",IF(AND(N3000=_xlfn.MAXIFS(TF_AktSum,TF_Nokkel,M3000),COUNTIFS(M$3:M2999,M3000,N$3:N2999,N3000)=0),M3000,""))</f>
        <v/>
      </c>
    </row>
    <row r="3001">
      <c r="A3001" s="34" t="n"/>
      <c r="B3001" s="35" t="n"/>
      <c r="C3001" s="35" t="n"/>
      <c r="D3001" s="35" t="n"/>
      <c r="E3001" s="35" t="n"/>
      <c r="F3001" s="36" t="n"/>
      <c r="G3001" s="35" t="n"/>
      <c r="H3001" s="30">
        <f>IF(L3001="","",INDEX(SkiftNavn,L3001))</f>
        <v/>
      </c>
      <c r="I3001" s="30">
        <f>IF(OR(A3001="",L3001=""),"",IF(MOD(A3001-INDEX(SkiftStart,L3001),Syklus)&lt;DagK,"Kveld",IF(MOD(A3001-INDEX(SkiftStart,L3001),Syklus)&lt;DagK+DagH,"Helg",IF(MOD(A3001-INDEX(SkiftStart,L3001),Syklus)&lt;DagK+DagH+DagD,"Dag","Fri"))))</f>
        <v/>
      </c>
      <c r="J3001" s="30">
        <f>IF(I3001="Fri","Ja","")</f>
        <v/>
      </c>
      <c r="K3001" s="30">
        <f>IF(B3001="","",IF(L3001="","Ukjent tekniker",IF(ISNA(MATCH(C3001,Aktiviteter,0)),"Ukjent aktivitet",IF(AND(INDEX(AktRolle,MATCH(C3001,Aktiviteter,0))&amp;""&lt;&gt;"",ISERROR(SEARCH(INDEX(AktRolle,MATCH(C3001,Aktiviteter,0))&amp;"",INDEX(TekRoller,MATCH(B3001,Teknikere,0))))),"Mangler rollen "&amp;INDEX(AktRolle,MATCH(C3001,Aktiviteter,0))&amp;"",IF(AND(C3001="LMS",F3001&gt;0,OR(D3001="",E3001="")),"Mangler maskin eller arbeid",IF(AND(OR(C3001="LMS",C3001="Mod"),D3001&lt;&gt;""),IF(IFERROR(INDEX(MaskinStatus,MATCH(D3001,Maskiner,0)),"")="I dokk","","Maskinen er ikke i dokk"),""))))))</f>
        <v/>
      </c>
      <c r="L3001" s="2">
        <f>IF(B3001="","",IFERROR(INT((MATCH(B3001,Teknikere,0)-1)/18)+1,""))</f>
        <v/>
      </c>
      <c r="M3001" s="2">
        <f>IF(OR(A3001="",B3001=""),"",B3001&amp;"|"&amp;A3001)</f>
        <v/>
      </c>
      <c r="N3001" s="2">
        <f>IF(M3001="","",SUMIFS(TF_Timer,TF_Nokkel,M3001,TF_Akt,C3001))</f>
        <v/>
      </c>
      <c r="O3001" s="2">
        <f>IF(M3001="","",IF(AND(N3001=_xlfn.MAXIFS(TF_AktSum,TF_Nokkel,M3001),COUNTIFS(M$3:M3000,M3001,N$3:N3000,N3001)=0),M3001,""))</f>
        <v/>
      </c>
    </row>
    <row r="3002">
      <c r="A3002" s="34" t="n"/>
      <c r="B3002" s="35" t="n"/>
      <c r="C3002" s="35" t="n"/>
      <c r="D3002" s="35" t="n"/>
      <c r="E3002" s="35" t="n"/>
      <c r="F3002" s="36" t="n"/>
      <c r="G3002" s="35" t="n"/>
      <c r="H3002" s="30">
        <f>IF(L3002="","",INDEX(SkiftNavn,L3002))</f>
        <v/>
      </c>
      <c r="I3002" s="30">
        <f>IF(OR(A3002="",L3002=""),"",IF(MOD(A3002-INDEX(SkiftStart,L3002),Syklus)&lt;DagK,"Kveld",IF(MOD(A3002-INDEX(SkiftStart,L3002),Syklus)&lt;DagK+DagH,"Helg",IF(MOD(A3002-INDEX(SkiftStart,L3002),Syklus)&lt;DagK+DagH+DagD,"Dag","Fri"))))</f>
        <v/>
      </c>
      <c r="J3002" s="30">
        <f>IF(I3002="Fri","Ja","")</f>
        <v/>
      </c>
      <c r="K3002" s="30">
        <f>IF(B3002="","",IF(L3002="","Ukjent tekniker",IF(ISNA(MATCH(C3002,Aktiviteter,0)),"Ukjent aktivitet",IF(AND(INDEX(AktRolle,MATCH(C3002,Aktiviteter,0))&amp;""&lt;&gt;"",ISERROR(SEARCH(INDEX(AktRolle,MATCH(C3002,Aktiviteter,0))&amp;"",INDEX(TekRoller,MATCH(B3002,Teknikere,0))))),"Mangler rollen "&amp;INDEX(AktRolle,MATCH(C3002,Aktiviteter,0))&amp;"",IF(AND(C3002="LMS",F3002&gt;0,OR(D3002="",E3002="")),"Mangler maskin eller arbeid",IF(AND(OR(C3002="LMS",C3002="Mod"),D3002&lt;&gt;""),IF(IFERROR(INDEX(MaskinStatus,MATCH(D3002,Maskiner,0)),"")="I dokk","","Maskinen er ikke i dokk"),""))))))</f>
        <v/>
      </c>
      <c r="L3002" s="2">
        <f>IF(B3002="","",IFERROR(INT((MATCH(B3002,Teknikere,0)-1)/18)+1,""))</f>
        <v/>
      </c>
      <c r="M3002" s="2">
        <f>IF(OR(A3002="",B3002=""),"",B3002&amp;"|"&amp;A3002)</f>
        <v/>
      </c>
      <c r="N3002" s="2">
        <f>IF(M3002="","",SUMIFS(TF_Timer,TF_Nokkel,M3002,TF_Akt,C3002))</f>
        <v/>
      </c>
      <c r="O3002" s="2">
        <f>IF(M3002="","",IF(AND(N3002=_xlfn.MAXIFS(TF_AktSum,TF_Nokkel,M3002),COUNTIFS(M$3:M3001,M3002,N$3:N3001,N3002)=0),M3002,""))</f>
        <v/>
      </c>
    </row>
    <row r="3003">
      <c r="A3003" s="34" t="n"/>
      <c r="B3003" s="35" t="n"/>
      <c r="C3003" s="35" t="n"/>
      <c r="D3003" s="35" t="n"/>
      <c r="E3003" s="35" t="n"/>
      <c r="F3003" s="36" t="n"/>
      <c r="G3003" s="35" t="n"/>
      <c r="H3003" s="30">
        <f>IF(L3003="","",INDEX(SkiftNavn,L3003))</f>
        <v/>
      </c>
      <c r="I3003" s="30">
        <f>IF(OR(A3003="",L3003=""),"",IF(MOD(A3003-INDEX(SkiftStart,L3003),Syklus)&lt;DagK,"Kveld",IF(MOD(A3003-INDEX(SkiftStart,L3003),Syklus)&lt;DagK+DagH,"Helg",IF(MOD(A3003-INDEX(SkiftStart,L3003),Syklus)&lt;DagK+DagH+DagD,"Dag","Fri"))))</f>
        <v/>
      </c>
      <c r="J3003" s="30">
        <f>IF(I3003="Fri","Ja","")</f>
        <v/>
      </c>
      <c r="K3003" s="30">
        <f>IF(B3003="","",IF(L3003="","Ukjent tekniker",IF(ISNA(MATCH(C3003,Aktiviteter,0)),"Ukjent aktivitet",IF(AND(INDEX(AktRolle,MATCH(C3003,Aktiviteter,0))&amp;""&lt;&gt;"",ISERROR(SEARCH(INDEX(AktRolle,MATCH(C3003,Aktiviteter,0))&amp;"",INDEX(TekRoller,MATCH(B3003,Teknikere,0))))),"Mangler rollen "&amp;INDEX(AktRolle,MATCH(C3003,Aktiviteter,0))&amp;"",IF(AND(C3003="LMS",F3003&gt;0,OR(D3003="",E3003="")),"Mangler maskin eller arbeid",IF(AND(OR(C3003="LMS",C3003="Mod"),D3003&lt;&gt;""),IF(IFERROR(INDEX(MaskinStatus,MATCH(D3003,Maskiner,0)),"")="I dokk","","Maskinen er ikke i dokk"),""))))))</f>
        <v/>
      </c>
      <c r="L3003" s="2">
        <f>IF(B3003="","",IFERROR(INT((MATCH(B3003,Teknikere,0)-1)/18)+1,""))</f>
        <v/>
      </c>
      <c r="M3003" s="2">
        <f>IF(OR(A3003="",B3003=""),"",B3003&amp;"|"&amp;A3003)</f>
        <v/>
      </c>
      <c r="N3003" s="2">
        <f>IF(M3003="","",SUMIFS(TF_Timer,TF_Nokkel,M3003,TF_Akt,C3003))</f>
        <v/>
      </c>
      <c r="O3003" s="2">
        <f>IF(M3003="","",IF(AND(N3003=_xlfn.MAXIFS(TF_AktSum,TF_Nokkel,M3003),COUNTIFS(M$3:M3002,M3003,N$3:N3002,N3003)=0),M3003,""))</f>
        <v/>
      </c>
    </row>
  </sheetData>
  <autoFilter ref="A3:K3003"/>
  <conditionalFormatting sqref="K4:K3003">
    <cfRule type="expression" priority="1" dxfId="18">
      <formula>K4&lt;&gt;""</formula>
    </cfRule>
  </conditionalFormatting>
  <conditionalFormatting sqref="J4:J3003">
    <cfRule type="expression" priority="2" dxfId="19">
      <formula>J4="Ja"</formula>
    </cfRule>
  </conditionalFormatting>
  <dataValidations count="6">
    <dataValidation sqref="B4:B3003" showDropDown="0" showInputMessage="0" showErrorMessage="0" allowBlank="1" type="list">
      <formula1>=Teknikere</formula1>
    </dataValidation>
    <dataValidation sqref="C4:C3003" showDropDown="0" showInputMessage="0" showErrorMessage="0" allowBlank="1" type="list">
      <formula1>=Aktiviteter</formula1>
    </dataValidation>
    <dataValidation sqref="D4:D3003" showDropDown="0" showInputMessage="0" showErrorMessage="0" allowBlank="1" type="list">
      <formula1>=Maskiner</formula1>
    </dataValidation>
    <dataValidation sqref="E4:E3003" showDropDown="0" showInputMessage="0" showErrorMessage="0" allowBlank="1" type="list">
      <formula1>=Arbeid</formula1>
    </dataValidation>
    <dataValidation sqref="A4:A3003" showDropDown="0" showInputMessage="0" showErrorMessage="0" allowBlank="1" error="Skriv en dato, f.eks. 06.01.2026" type="date" operator="greaterThan">
      <formula1>36526</formula1>
    </dataValidation>
    <dataValidation sqref="F4:F3003" showDropDown="0" showInputMessage="0" showErrorMessage="0" allowBlank="1" error="Timer mellom 0 og 24" type="decimal" operator="between">
      <formula1>0</formula1>
      <formula2>24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N10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Rapport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0" t="inlineStr">
        <is>
          <t>Timer i perioden per aktivitet, maskin, skift og tekniker. Automatisk LMS (LMS-standard) er tatt med.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37" t="inlineStr">
        <is>
          <t>Snarveier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0" t="inlineStr">
        <is>
          <t>Fra</t>
        </is>
      </c>
      <c r="B4" s="38">
        <f>DATE(YEAR(TODAY()),MONTH(TODAY()),1)</f>
        <v/>
      </c>
      <c r="C4" s="2" t="n"/>
      <c r="D4" s="30" t="inlineStr">
        <is>
          <t>Denne måneden</t>
        </is>
      </c>
      <c r="E4" s="2" t="n"/>
      <c r="F4" s="39">
        <f>DATE(YEAR(TODAY()),MONTH(TODAY()),1)</f>
        <v/>
      </c>
      <c r="G4" s="39">
        <f>TODAY()</f>
        <v/>
      </c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Til</t>
        </is>
      </c>
      <c r="B5" s="38">
        <f>TODAY()</f>
        <v/>
      </c>
      <c r="C5" s="2" t="n"/>
      <c r="D5" s="30" t="inlineStr">
        <is>
          <t>Denne skiftperioden</t>
        </is>
      </c>
      <c r="E5" s="2" t="n"/>
      <c r="F5" s="39">
        <f>TODAY()-MOD(TODAY()-INDEX(SkiftStart,1),Syklus)</f>
        <v/>
      </c>
      <c r="G5" s="39">
        <f>TODAY()-MOD(TODAY()-INDEX(SkiftStart,1),Syklus)+Syklus-1</f>
        <v/>
      </c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30" t="inlineStr">
        <is>
          <t>I år</t>
        </is>
      </c>
      <c r="E6" s="2" t="n"/>
      <c r="F6" s="39">
        <f>DATE(YEAR(TODAY()),1,1)</f>
        <v/>
      </c>
      <c r="G6" s="39">
        <f>TODAY()</f>
        <v/>
      </c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7" t="inlineStr">
        <is>
          <t>Timer totalt</t>
        </is>
      </c>
      <c r="B8" s="2" t="n"/>
      <c r="C8" s="7" t="inlineStr">
        <is>
          <t>Timer LMS</t>
        </is>
      </c>
      <c r="D8" s="2" t="n"/>
      <c r="E8" s="7" t="inlineStr">
        <is>
          <t>LMS-andel</t>
        </is>
      </c>
      <c r="F8" s="2" t="n"/>
      <c r="G8" s="7" t="inlineStr">
        <is>
          <t>Timer overtid (fridager)</t>
        </is>
      </c>
      <c r="H8" s="2" t="n"/>
      <c r="I8" s="2" t="n"/>
      <c r="J8" s="7" t="inlineStr">
        <is>
          <t>Herav automatisk LMS</t>
        </is>
      </c>
      <c r="K8" s="2" t="n"/>
      <c r="L8" s="2" t="n"/>
      <c r="M8" s="2" t="n"/>
      <c r="N8" s="2" t="n"/>
    </row>
    <row r="9">
      <c r="A9" s="40">
        <f>B24</f>
        <v/>
      </c>
      <c r="B9" s="2" t="n"/>
      <c r="C9" s="40">
        <f>B14</f>
        <v/>
      </c>
      <c r="D9" s="2" t="n"/>
      <c r="E9" s="41">
        <f>IF(A9=0,0,C9/A9)</f>
        <v/>
      </c>
      <c r="F9" s="2" t="n"/>
      <c r="G9" s="40">
        <f>SUMIFS(TF_Timer,TF_Overtid,"Ja",TF_Dato,"&gt;="&amp;Fra,TF_Dato,"&lt;="&amp;Til)</f>
        <v/>
      </c>
      <c r="H9" s="2" t="n"/>
      <c r="I9" s="2" t="n"/>
      <c r="J9" s="40">
        <f>SUMPRODUCT((GR_Dato&gt;=Fra)*(GR_Dato&lt;=Til)*GR_Auto)</f>
        <v/>
      </c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42" t="inlineStr">
        <is>
          <t>Per aktivitet</t>
        </is>
      </c>
      <c r="B11" s="2" t="n"/>
      <c r="C11" s="2" t="n"/>
      <c r="D11" s="2" t="n"/>
      <c r="E11" s="42" t="inlineStr">
        <is>
          <t>LMS per maskin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43" t="inlineStr">
        <is>
          <t>Aktivitet</t>
        </is>
      </c>
      <c r="B12" s="33" t="inlineStr">
        <is>
          <t>Timer</t>
        </is>
      </c>
      <c r="C12" s="33" t="inlineStr">
        <is>
          <t>Andel</t>
        </is>
      </c>
      <c r="D12" s="2" t="n"/>
      <c r="E12" s="43" t="inlineStr">
        <is>
          <t>Maskin</t>
        </is>
      </c>
      <c r="F12" s="33" t="inlineStr">
        <is>
          <t>Sheet</t>
        </is>
      </c>
      <c r="G12" s="33" t="inlineStr">
        <is>
          <t>Repair</t>
        </is>
      </c>
      <c r="H12" s="33" t="inlineStr">
        <is>
          <t>Inspection</t>
        </is>
      </c>
      <c r="I12" s="33" t="inlineStr">
        <is>
          <t>Mod</t>
        </is>
      </c>
      <c r="J12" s="33" t="inlineStr">
        <is>
          <t>SLL</t>
        </is>
      </c>
      <c r="K12" s="33" t="inlineStr">
        <is>
          <t>Testing</t>
        </is>
      </c>
      <c r="L12" s="33" t="inlineStr">
        <is>
          <t>Final</t>
        </is>
      </c>
      <c r="M12" s="33" t="inlineStr">
        <is>
          <t>Sum</t>
        </is>
      </c>
      <c r="N12" s="2" t="n"/>
    </row>
    <row r="13">
      <c r="A13" s="44" t="inlineStr">
        <is>
          <t>Line</t>
        </is>
      </c>
      <c r="B13" s="45">
        <f>SUMIFS(TF_Timer,TF_Akt,A13,TF_Dato,"&gt;="&amp;Fra,TF_Dato,"&lt;="&amp;Til)</f>
        <v/>
      </c>
      <c r="C13" s="46">
        <f>IF($B$24=0,0,B13/$B$24)</f>
        <v/>
      </c>
      <c r="D13" s="2" t="n"/>
      <c r="E13" s="47">
        <f>INDEX(Maskiner,1)</f>
        <v/>
      </c>
      <c r="F13" s="48">
        <f>SUMIFS(TF_Timer,TF_Akt,"LMS",TF_Maskin,E13,TF_Arbeid,F$12,TF_Dato,"&gt;="&amp;Fra,TF_Dato,"&lt;="&amp;Til)</f>
        <v/>
      </c>
      <c r="G13" s="48">
        <f>SUMIFS(TF_Timer,TF_Akt,"LMS",TF_Maskin,E13,TF_Arbeid,G$12,TF_Dato,"&gt;="&amp;Fra,TF_Dato,"&lt;="&amp;Til)</f>
        <v/>
      </c>
      <c r="H13" s="48">
        <f>SUMIFS(TF_Timer,TF_Akt,"LMS",TF_Maskin,E13,TF_Arbeid,H$12,TF_Dato,"&gt;="&amp;Fra,TF_Dato,"&lt;="&amp;Til)</f>
        <v/>
      </c>
      <c r="I13" s="48">
        <f>SUMIFS(TF_Timer,TF_Akt,"LMS",TF_Maskin,E13,TF_Arbeid,I$12,TF_Dato,"&gt;="&amp;Fra,TF_Dato,"&lt;="&amp;Til)</f>
        <v/>
      </c>
      <c r="J13" s="48">
        <f>SUMIFS(TF_Timer,TF_Akt,"LMS",TF_Maskin,E13,TF_Arbeid,J$12,TF_Dato,"&gt;="&amp;Fra,TF_Dato,"&lt;="&amp;Til)</f>
        <v/>
      </c>
      <c r="K13" s="48">
        <f>SUMIFS(TF_Timer,TF_Akt,"LMS",TF_Maskin,E13,TF_Arbeid,K$12,TF_Dato,"&gt;="&amp;Fra,TF_Dato,"&lt;="&amp;Til)</f>
        <v/>
      </c>
      <c r="L13" s="48">
        <f>SUMIFS(TF_Timer,TF_Akt,"LMS",TF_Maskin,E13,TF_Arbeid,L$12,TF_Dato,"&gt;="&amp;Fra,TF_Dato,"&lt;="&amp;Til)</f>
        <v/>
      </c>
      <c r="M13" s="49">
        <f>SUMIFS(TF_Timer,TF_Akt,"LMS",TF_Maskin,E13,TF_Dato,"&gt;="&amp;Fra,TF_Dato,"&lt;="&amp;Til)</f>
        <v/>
      </c>
      <c r="N13" s="2" t="n"/>
    </row>
    <row r="14">
      <c r="A14" s="44" t="inlineStr">
        <is>
          <t>LMS</t>
        </is>
      </c>
      <c r="B14" s="45">
        <f>SUMIFS(TF_Timer,TF_Akt,A14,TF_Dato,"&gt;="&amp;Fra,TF_Dato,"&lt;="&amp;Til)+SUMPRODUCT((GR_Dato&gt;=Fra)*(GR_Dato&lt;=Til)*GR_Auto)</f>
        <v/>
      </c>
      <c r="C14" s="46">
        <f>IF($B$24=0,0,B14/$B$24)</f>
        <v/>
      </c>
      <c r="D14" s="2" t="n"/>
      <c r="E14" s="47">
        <f>INDEX(Maskiner,2)</f>
        <v/>
      </c>
      <c r="F14" s="48">
        <f>SUMIFS(TF_Timer,TF_Akt,"LMS",TF_Maskin,E14,TF_Arbeid,F$12,TF_Dato,"&gt;="&amp;Fra,TF_Dato,"&lt;="&amp;Til)</f>
        <v/>
      </c>
      <c r="G14" s="48">
        <f>SUMIFS(TF_Timer,TF_Akt,"LMS",TF_Maskin,E14,TF_Arbeid,G$12,TF_Dato,"&gt;="&amp;Fra,TF_Dato,"&lt;="&amp;Til)</f>
        <v/>
      </c>
      <c r="H14" s="48">
        <f>SUMIFS(TF_Timer,TF_Akt,"LMS",TF_Maskin,E14,TF_Arbeid,H$12,TF_Dato,"&gt;="&amp;Fra,TF_Dato,"&lt;="&amp;Til)</f>
        <v/>
      </c>
      <c r="I14" s="48">
        <f>SUMIFS(TF_Timer,TF_Akt,"LMS",TF_Maskin,E14,TF_Arbeid,I$12,TF_Dato,"&gt;="&amp;Fra,TF_Dato,"&lt;="&amp;Til)</f>
        <v/>
      </c>
      <c r="J14" s="48">
        <f>SUMIFS(TF_Timer,TF_Akt,"LMS",TF_Maskin,E14,TF_Arbeid,J$12,TF_Dato,"&gt;="&amp;Fra,TF_Dato,"&lt;="&amp;Til)</f>
        <v/>
      </c>
      <c r="K14" s="48">
        <f>SUMIFS(TF_Timer,TF_Akt,"LMS",TF_Maskin,E14,TF_Arbeid,K$12,TF_Dato,"&gt;="&amp;Fra,TF_Dato,"&lt;="&amp;Til)</f>
        <v/>
      </c>
      <c r="L14" s="48">
        <f>SUMIFS(TF_Timer,TF_Akt,"LMS",TF_Maskin,E14,TF_Arbeid,L$12,TF_Dato,"&gt;="&amp;Fra,TF_Dato,"&lt;="&amp;Til)</f>
        <v/>
      </c>
      <c r="M14" s="49">
        <f>SUMIFS(TF_Timer,TF_Akt,"LMS",TF_Maskin,E14,TF_Dato,"&gt;="&amp;Fra,TF_Dato,"&lt;="&amp;Til)</f>
        <v/>
      </c>
      <c r="N14" s="2" t="n"/>
    </row>
    <row r="15">
      <c r="A15" s="44" t="inlineStr">
        <is>
          <t>Assessor</t>
        </is>
      </c>
      <c r="B15" s="45">
        <f>SUMIFS(TF_Timer,TF_Akt,A15,TF_Dato,"&gt;="&amp;Fra,TF_Dato,"&lt;="&amp;Til)</f>
        <v/>
      </c>
      <c r="C15" s="46">
        <f>IF($B$24=0,0,B15/$B$24)</f>
        <v/>
      </c>
      <c r="D15" s="2" t="n"/>
      <c r="E15" s="47">
        <f>INDEX(Maskiner,3)</f>
        <v/>
      </c>
      <c r="F15" s="48">
        <f>SUMIFS(TF_Timer,TF_Akt,"LMS",TF_Maskin,E15,TF_Arbeid,F$12,TF_Dato,"&gt;="&amp;Fra,TF_Dato,"&lt;="&amp;Til)</f>
        <v/>
      </c>
      <c r="G15" s="48">
        <f>SUMIFS(TF_Timer,TF_Akt,"LMS",TF_Maskin,E15,TF_Arbeid,G$12,TF_Dato,"&gt;="&amp;Fra,TF_Dato,"&lt;="&amp;Til)</f>
        <v/>
      </c>
      <c r="H15" s="48">
        <f>SUMIFS(TF_Timer,TF_Akt,"LMS",TF_Maskin,E15,TF_Arbeid,H$12,TF_Dato,"&gt;="&amp;Fra,TF_Dato,"&lt;="&amp;Til)</f>
        <v/>
      </c>
      <c r="I15" s="48">
        <f>SUMIFS(TF_Timer,TF_Akt,"LMS",TF_Maskin,E15,TF_Arbeid,I$12,TF_Dato,"&gt;="&amp;Fra,TF_Dato,"&lt;="&amp;Til)</f>
        <v/>
      </c>
      <c r="J15" s="48">
        <f>SUMIFS(TF_Timer,TF_Akt,"LMS",TF_Maskin,E15,TF_Arbeid,J$12,TF_Dato,"&gt;="&amp;Fra,TF_Dato,"&lt;="&amp;Til)</f>
        <v/>
      </c>
      <c r="K15" s="48">
        <f>SUMIFS(TF_Timer,TF_Akt,"LMS",TF_Maskin,E15,TF_Arbeid,K$12,TF_Dato,"&gt;="&amp;Fra,TF_Dato,"&lt;="&amp;Til)</f>
        <v/>
      </c>
      <c r="L15" s="48">
        <f>SUMIFS(TF_Timer,TF_Akt,"LMS",TF_Maskin,E15,TF_Arbeid,L$12,TF_Dato,"&gt;="&amp;Fra,TF_Dato,"&lt;="&amp;Til)</f>
        <v/>
      </c>
      <c r="M15" s="49">
        <f>SUMIFS(TF_Timer,TF_Akt,"LMS",TF_Maskin,E15,TF_Dato,"&gt;="&amp;Fra,TF_Dato,"&lt;="&amp;Til)</f>
        <v/>
      </c>
      <c r="N15" s="2" t="n"/>
    </row>
    <row r="16">
      <c r="A16" s="44" t="inlineStr">
        <is>
          <t>Assessment</t>
        </is>
      </c>
      <c r="B16" s="45">
        <f>SUMIFS(TF_Timer,TF_Akt,A16,TF_Dato,"&gt;="&amp;Fra,TF_Dato,"&lt;="&amp;Til)</f>
        <v/>
      </c>
      <c r="C16" s="46">
        <f>IF($B$24=0,0,B16/$B$24)</f>
        <v/>
      </c>
      <c r="D16" s="2" t="n"/>
      <c r="E16" s="47">
        <f>INDEX(Maskiner,4)</f>
        <v/>
      </c>
      <c r="F16" s="48">
        <f>SUMIFS(TF_Timer,TF_Akt,"LMS",TF_Maskin,E16,TF_Arbeid,F$12,TF_Dato,"&gt;="&amp;Fra,TF_Dato,"&lt;="&amp;Til)</f>
        <v/>
      </c>
      <c r="G16" s="48">
        <f>SUMIFS(TF_Timer,TF_Akt,"LMS",TF_Maskin,E16,TF_Arbeid,G$12,TF_Dato,"&gt;="&amp;Fra,TF_Dato,"&lt;="&amp;Til)</f>
        <v/>
      </c>
      <c r="H16" s="48">
        <f>SUMIFS(TF_Timer,TF_Akt,"LMS",TF_Maskin,E16,TF_Arbeid,H$12,TF_Dato,"&gt;="&amp;Fra,TF_Dato,"&lt;="&amp;Til)</f>
        <v/>
      </c>
      <c r="I16" s="48">
        <f>SUMIFS(TF_Timer,TF_Akt,"LMS",TF_Maskin,E16,TF_Arbeid,I$12,TF_Dato,"&gt;="&amp;Fra,TF_Dato,"&lt;="&amp;Til)</f>
        <v/>
      </c>
      <c r="J16" s="48">
        <f>SUMIFS(TF_Timer,TF_Akt,"LMS",TF_Maskin,E16,TF_Arbeid,J$12,TF_Dato,"&gt;="&amp;Fra,TF_Dato,"&lt;="&amp;Til)</f>
        <v/>
      </c>
      <c r="K16" s="48">
        <f>SUMIFS(TF_Timer,TF_Akt,"LMS",TF_Maskin,E16,TF_Arbeid,K$12,TF_Dato,"&gt;="&amp;Fra,TF_Dato,"&lt;="&amp;Til)</f>
        <v/>
      </c>
      <c r="L16" s="48">
        <f>SUMIFS(TF_Timer,TF_Akt,"LMS",TF_Maskin,E16,TF_Arbeid,L$12,TF_Dato,"&gt;="&amp;Fra,TF_Dato,"&lt;="&amp;Til)</f>
        <v/>
      </c>
      <c r="M16" s="49">
        <f>SUMIFS(TF_Timer,TF_Akt,"LMS",TF_Maskin,E16,TF_Dato,"&gt;="&amp;Fra,TF_Dato,"&lt;="&amp;Til)</f>
        <v/>
      </c>
      <c r="N16" s="2" t="n"/>
    </row>
    <row r="17">
      <c r="A17" s="44" t="inlineStr">
        <is>
          <t>Hot Section</t>
        </is>
      </c>
      <c r="B17" s="45">
        <f>SUMIFS(TF_Timer,TF_Akt,A17,TF_Dato,"&gt;="&amp;Fra,TF_Dato,"&lt;="&amp;Til)</f>
        <v/>
      </c>
      <c r="C17" s="46">
        <f>IF($B$24=0,0,B17/$B$24)</f>
        <v/>
      </c>
      <c r="D17" s="2" t="n"/>
      <c r="E17" s="47">
        <f>INDEX(Maskiner,5)</f>
        <v/>
      </c>
      <c r="F17" s="48">
        <f>SUMIFS(TF_Timer,TF_Akt,"LMS",TF_Maskin,E17,TF_Arbeid,F$12,TF_Dato,"&gt;="&amp;Fra,TF_Dato,"&lt;="&amp;Til)</f>
        <v/>
      </c>
      <c r="G17" s="48">
        <f>SUMIFS(TF_Timer,TF_Akt,"LMS",TF_Maskin,E17,TF_Arbeid,G$12,TF_Dato,"&gt;="&amp;Fra,TF_Dato,"&lt;="&amp;Til)</f>
        <v/>
      </c>
      <c r="H17" s="48">
        <f>SUMIFS(TF_Timer,TF_Akt,"LMS",TF_Maskin,E17,TF_Arbeid,H$12,TF_Dato,"&gt;="&amp;Fra,TF_Dato,"&lt;="&amp;Til)</f>
        <v/>
      </c>
      <c r="I17" s="48">
        <f>SUMIFS(TF_Timer,TF_Akt,"LMS",TF_Maskin,E17,TF_Arbeid,I$12,TF_Dato,"&gt;="&amp;Fra,TF_Dato,"&lt;="&amp;Til)</f>
        <v/>
      </c>
      <c r="J17" s="48">
        <f>SUMIFS(TF_Timer,TF_Akt,"LMS",TF_Maskin,E17,TF_Arbeid,J$12,TF_Dato,"&gt;="&amp;Fra,TF_Dato,"&lt;="&amp;Til)</f>
        <v/>
      </c>
      <c r="K17" s="48">
        <f>SUMIFS(TF_Timer,TF_Akt,"LMS",TF_Maskin,E17,TF_Arbeid,K$12,TF_Dato,"&gt;="&amp;Fra,TF_Dato,"&lt;="&amp;Til)</f>
        <v/>
      </c>
      <c r="L17" s="48">
        <f>SUMIFS(TF_Timer,TF_Akt,"LMS",TF_Maskin,E17,TF_Arbeid,L$12,TF_Dato,"&gt;="&amp;Fra,TF_Dato,"&lt;="&amp;Til)</f>
        <v/>
      </c>
      <c r="M17" s="49">
        <f>SUMIFS(TF_Timer,TF_Akt,"LMS",TF_Maskin,E17,TF_Dato,"&gt;="&amp;Fra,TF_Dato,"&lt;="&amp;Til)</f>
        <v/>
      </c>
      <c r="N17" s="2" t="n"/>
    </row>
    <row r="18">
      <c r="A18" s="44" t="inlineStr">
        <is>
          <t>Kurs</t>
        </is>
      </c>
      <c r="B18" s="45">
        <f>SUMIFS(TF_Timer,TF_Akt,A18,TF_Dato,"&gt;="&amp;Fra,TF_Dato,"&lt;="&amp;Til)</f>
        <v/>
      </c>
      <c r="C18" s="46">
        <f>IF($B$24=0,0,B18/$B$24)</f>
        <v/>
      </c>
      <c r="D18" s="2" t="n"/>
      <c r="E18" s="47">
        <f>INDEX(Maskiner,6)</f>
        <v/>
      </c>
      <c r="F18" s="48">
        <f>SUMIFS(TF_Timer,TF_Akt,"LMS",TF_Maskin,E18,TF_Arbeid,F$12,TF_Dato,"&gt;="&amp;Fra,TF_Dato,"&lt;="&amp;Til)</f>
        <v/>
      </c>
      <c r="G18" s="48">
        <f>SUMIFS(TF_Timer,TF_Akt,"LMS",TF_Maskin,E18,TF_Arbeid,G$12,TF_Dato,"&gt;="&amp;Fra,TF_Dato,"&lt;="&amp;Til)</f>
        <v/>
      </c>
      <c r="H18" s="48">
        <f>SUMIFS(TF_Timer,TF_Akt,"LMS",TF_Maskin,E18,TF_Arbeid,H$12,TF_Dato,"&gt;="&amp;Fra,TF_Dato,"&lt;="&amp;Til)</f>
        <v/>
      </c>
      <c r="I18" s="48">
        <f>SUMIFS(TF_Timer,TF_Akt,"LMS",TF_Maskin,E18,TF_Arbeid,I$12,TF_Dato,"&gt;="&amp;Fra,TF_Dato,"&lt;="&amp;Til)</f>
        <v/>
      </c>
      <c r="J18" s="48">
        <f>SUMIFS(TF_Timer,TF_Akt,"LMS",TF_Maskin,E18,TF_Arbeid,J$12,TF_Dato,"&gt;="&amp;Fra,TF_Dato,"&lt;="&amp;Til)</f>
        <v/>
      </c>
      <c r="K18" s="48">
        <f>SUMIFS(TF_Timer,TF_Akt,"LMS",TF_Maskin,E18,TF_Arbeid,K$12,TF_Dato,"&gt;="&amp;Fra,TF_Dato,"&lt;="&amp;Til)</f>
        <v/>
      </c>
      <c r="L18" s="48">
        <f>SUMIFS(TF_Timer,TF_Akt,"LMS",TF_Maskin,E18,TF_Arbeid,L$12,TF_Dato,"&gt;="&amp;Fra,TF_Dato,"&lt;="&amp;Til)</f>
        <v/>
      </c>
      <c r="M18" s="49">
        <f>SUMIFS(TF_Timer,TF_Akt,"LMS",TF_Maskin,E18,TF_Dato,"&gt;="&amp;Fra,TF_Dato,"&lt;="&amp;Til)</f>
        <v/>
      </c>
      <c r="N18" s="2" t="n"/>
    </row>
    <row r="19">
      <c r="A19" s="44" t="inlineStr">
        <is>
          <t>Mod</t>
        </is>
      </c>
      <c r="B19" s="45">
        <f>SUMIFS(TF_Timer,TF_Akt,A19,TF_Dato,"&gt;="&amp;Fra,TF_Dato,"&lt;="&amp;Til)</f>
        <v/>
      </c>
      <c r="C19" s="46">
        <f>IF($B$24=0,0,B19/$B$24)</f>
        <v/>
      </c>
      <c r="D19" s="2" t="n"/>
      <c r="E19" s="47">
        <f>INDEX(Maskiner,7)</f>
        <v/>
      </c>
      <c r="F19" s="48">
        <f>SUMIFS(TF_Timer,TF_Akt,"LMS",TF_Maskin,E19,TF_Arbeid,F$12,TF_Dato,"&gt;="&amp;Fra,TF_Dato,"&lt;="&amp;Til)</f>
        <v/>
      </c>
      <c r="G19" s="48">
        <f>SUMIFS(TF_Timer,TF_Akt,"LMS",TF_Maskin,E19,TF_Arbeid,G$12,TF_Dato,"&gt;="&amp;Fra,TF_Dato,"&lt;="&amp;Til)</f>
        <v/>
      </c>
      <c r="H19" s="48">
        <f>SUMIFS(TF_Timer,TF_Akt,"LMS",TF_Maskin,E19,TF_Arbeid,H$12,TF_Dato,"&gt;="&amp;Fra,TF_Dato,"&lt;="&amp;Til)</f>
        <v/>
      </c>
      <c r="I19" s="48">
        <f>SUMIFS(TF_Timer,TF_Akt,"LMS",TF_Maskin,E19,TF_Arbeid,I$12,TF_Dato,"&gt;="&amp;Fra,TF_Dato,"&lt;="&amp;Til)</f>
        <v/>
      </c>
      <c r="J19" s="48">
        <f>SUMIFS(TF_Timer,TF_Akt,"LMS",TF_Maskin,E19,TF_Arbeid,J$12,TF_Dato,"&gt;="&amp;Fra,TF_Dato,"&lt;="&amp;Til)</f>
        <v/>
      </c>
      <c r="K19" s="48">
        <f>SUMIFS(TF_Timer,TF_Akt,"LMS",TF_Maskin,E19,TF_Arbeid,K$12,TF_Dato,"&gt;="&amp;Fra,TF_Dato,"&lt;="&amp;Til)</f>
        <v/>
      </c>
      <c r="L19" s="48">
        <f>SUMIFS(TF_Timer,TF_Akt,"LMS",TF_Maskin,E19,TF_Arbeid,L$12,TF_Dato,"&gt;="&amp;Fra,TF_Dato,"&lt;="&amp;Til)</f>
        <v/>
      </c>
      <c r="M19" s="49">
        <f>SUMIFS(TF_Timer,TF_Akt,"LMS",TF_Maskin,E19,TF_Dato,"&gt;="&amp;Fra,TF_Dato,"&lt;="&amp;Til)</f>
        <v/>
      </c>
      <c r="N19" s="2" t="n"/>
    </row>
    <row r="20">
      <c r="A20" s="44" t="inlineStr">
        <is>
          <t>Ferie</t>
        </is>
      </c>
      <c r="B20" s="45">
        <f>SUMIFS(TF_Timer,TF_Akt,A20,TF_Dato,"&gt;="&amp;Fra,TF_Dato,"&lt;="&amp;Til)</f>
        <v/>
      </c>
      <c r="C20" s="46">
        <f>IF($B$24=0,0,B20/$B$24)</f>
        <v/>
      </c>
      <c r="D20" s="2" t="n"/>
      <c r="E20" s="47">
        <f>INDEX(Maskiner,8)</f>
        <v/>
      </c>
      <c r="F20" s="48">
        <f>SUMIFS(TF_Timer,TF_Akt,"LMS",TF_Maskin,E20,TF_Arbeid,F$12,TF_Dato,"&gt;="&amp;Fra,TF_Dato,"&lt;="&amp;Til)</f>
        <v/>
      </c>
      <c r="G20" s="48">
        <f>SUMIFS(TF_Timer,TF_Akt,"LMS",TF_Maskin,E20,TF_Arbeid,G$12,TF_Dato,"&gt;="&amp;Fra,TF_Dato,"&lt;="&amp;Til)</f>
        <v/>
      </c>
      <c r="H20" s="48">
        <f>SUMIFS(TF_Timer,TF_Akt,"LMS",TF_Maskin,E20,TF_Arbeid,H$12,TF_Dato,"&gt;="&amp;Fra,TF_Dato,"&lt;="&amp;Til)</f>
        <v/>
      </c>
      <c r="I20" s="48">
        <f>SUMIFS(TF_Timer,TF_Akt,"LMS",TF_Maskin,E20,TF_Arbeid,I$12,TF_Dato,"&gt;="&amp;Fra,TF_Dato,"&lt;="&amp;Til)</f>
        <v/>
      </c>
      <c r="J20" s="48">
        <f>SUMIFS(TF_Timer,TF_Akt,"LMS",TF_Maskin,E20,TF_Arbeid,J$12,TF_Dato,"&gt;="&amp;Fra,TF_Dato,"&lt;="&amp;Til)</f>
        <v/>
      </c>
      <c r="K20" s="48">
        <f>SUMIFS(TF_Timer,TF_Akt,"LMS",TF_Maskin,E20,TF_Arbeid,K$12,TF_Dato,"&gt;="&amp;Fra,TF_Dato,"&lt;="&amp;Til)</f>
        <v/>
      </c>
      <c r="L20" s="48">
        <f>SUMIFS(TF_Timer,TF_Akt,"LMS",TF_Maskin,E20,TF_Arbeid,L$12,TF_Dato,"&gt;="&amp;Fra,TF_Dato,"&lt;="&amp;Til)</f>
        <v/>
      </c>
      <c r="M20" s="49">
        <f>SUMIFS(TF_Timer,TF_Akt,"LMS",TF_Maskin,E20,TF_Dato,"&gt;="&amp;Fra,TF_Dato,"&lt;="&amp;Til)</f>
        <v/>
      </c>
      <c r="N20" s="2" t="n"/>
    </row>
    <row r="21">
      <c r="A21" s="44" t="inlineStr">
        <is>
          <t>Avspasering</t>
        </is>
      </c>
      <c r="B21" s="45">
        <f>SUMIFS(TF_Timer,TF_Akt,A21,TF_Dato,"&gt;="&amp;Fra,TF_Dato,"&lt;="&amp;Til)</f>
        <v/>
      </c>
      <c r="C21" s="46">
        <f>IF($B$24=0,0,B21/$B$24)</f>
        <v/>
      </c>
      <c r="D21" s="2" t="n"/>
      <c r="E21" s="47">
        <f>INDEX(Maskiner,9)</f>
        <v/>
      </c>
      <c r="F21" s="48">
        <f>SUMIFS(TF_Timer,TF_Akt,"LMS",TF_Maskin,E21,TF_Arbeid,F$12,TF_Dato,"&gt;="&amp;Fra,TF_Dato,"&lt;="&amp;Til)</f>
        <v/>
      </c>
      <c r="G21" s="48">
        <f>SUMIFS(TF_Timer,TF_Akt,"LMS",TF_Maskin,E21,TF_Arbeid,G$12,TF_Dato,"&gt;="&amp;Fra,TF_Dato,"&lt;="&amp;Til)</f>
        <v/>
      </c>
      <c r="H21" s="48">
        <f>SUMIFS(TF_Timer,TF_Akt,"LMS",TF_Maskin,E21,TF_Arbeid,H$12,TF_Dato,"&gt;="&amp;Fra,TF_Dato,"&lt;="&amp;Til)</f>
        <v/>
      </c>
      <c r="I21" s="48">
        <f>SUMIFS(TF_Timer,TF_Akt,"LMS",TF_Maskin,E21,TF_Arbeid,I$12,TF_Dato,"&gt;="&amp;Fra,TF_Dato,"&lt;="&amp;Til)</f>
        <v/>
      </c>
      <c r="J21" s="48">
        <f>SUMIFS(TF_Timer,TF_Akt,"LMS",TF_Maskin,E21,TF_Arbeid,J$12,TF_Dato,"&gt;="&amp;Fra,TF_Dato,"&lt;="&amp;Til)</f>
        <v/>
      </c>
      <c r="K21" s="48">
        <f>SUMIFS(TF_Timer,TF_Akt,"LMS",TF_Maskin,E21,TF_Arbeid,K$12,TF_Dato,"&gt;="&amp;Fra,TF_Dato,"&lt;="&amp;Til)</f>
        <v/>
      </c>
      <c r="L21" s="48">
        <f>SUMIFS(TF_Timer,TF_Akt,"LMS",TF_Maskin,E21,TF_Arbeid,L$12,TF_Dato,"&gt;="&amp;Fra,TF_Dato,"&lt;="&amp;Til)</f>
        <v/>
      </c>
      <c r="M21" s="49">
        <f>SUMIFS(TF_Timer,TF_Akt,"LMS",TF_Maskin,E21,TF_Dato,"&gt;="&amp;Fra,TF_Dato,"&lt;="&amp;Til)</f>
        <v/>
      </c>
      <c r="N21" s="2" t="n"/>
    </row>
    <row r="22">
      <c r="A22" s="44" t="inlineStr">
        <is>
          <t>Fravær</t>
        </is>
      </c>
      <c r="B22" s="45">
        <f>SUMIFS(TF_Timer,TF_Akt,A22,TF_Dato,"&gt;="&amp;Fra,TF_Dato,"&lt;="&amp;Til)</f>
        <v/>
      </c>
      <c r="C22" s="46">
        <f>IF($B$24=0,0,B22/$B$24)</f>
        <v/>
      </c>
      <c r="D22" s="2" t="n"/>
      <c r="E22" s="47">
        <f>INDEX(Maskiner,10)</f>
        <v/>
      </c>
      <c r="F22" s="48">
        <f>SUMIFS(TF_Timer,TF_Akt,"LMS",TF_Maskin,E22,TF_Arbeid,F$12,TF_Dato,"&gt;="&amp;Fra,TF_Dato,"&lt;="&amp;Til)</f>
        <v/>
      </c>
      <c r="G22" s="48">
        <f>SUMIFS(TF_Timer,TF_Akt,"LMS",TF_Maskin,E22,TF_Arbeid,G$12,TF_Dato,"&gt;="&amp;Fra,TF_Dato,"&lt;="&amp;Til)</f>
        <v/>
      </c>
      <c r="H22" s="48">
        <f>SUMIFS(TF_Timer,TF_Akt,"LMS",TF_Maskin,E22,TF_Arbeid,H$12,TF_Dato,"&gt;="&amp;Fra,TF_Dato,"&lt;="&amp;Til)</f>
        <v/>
      </c>
      <c r="I22" s="48">
        <f>SUMIFS(TF_Timer,TF_Akt,"LMS",TF_Maskin,E22,TF_Arbeid,I$12,TF_Dato,"&gt;="&amp;Fra,TF_Dato,"&lt;="&amp;Til)</f>
        <v/>
      </c>
      <c r="J22" s="48">
        <f>SUMIFS(TF_Timer,TF_Akt,"LMS",TF_Maskin,E22,TF_Arbeid,J$12,TF_Dato,"&gt;="&amp;Fra,TF_Dato,"&lt;="&amp;Til)</f>
        <v/>
      </c>
      <c r="K22" s="48">
        <f>SUMIFS(TF_Timer,TF_Akt,"LMS",TF_Maskin,E22,TF_Arbeid,K$12,TF_Dato,"&gt;="&amp;Fra,TF_Dato,"&lt;="&amp;Til)</f>
        <v/>
      </c>
      <c r="L22" s="48">
        <f>SUMIFS(TF_Timer,TF_Akt,"LMS",TF_Maskin,E22,TF_Arbeid,L$12,TF_Dato,"&gt;="&amp;Fra,TF_Dato,"&lt;="&amp;Til)</f>
        <v/>
      </c>
      <c r="M22" s="49">
        <f>SUMIFS(TF_Timer,TF_Akt,"LMS",TF_Maskin,E22,TF_Dato,"&gt;="&amp;Fra,TF_Dato,"&lt;="&amp;Til)</f>
        <v/>
      </c>
      <c r="N22" s="2" t="n"/>
    </row>
    <row r="23">
      <c r="A23" s="44" t="inlineStr">
        <is>
          <t>Annet</t>
        </is>
      </c>
      <c r="B23" s="45">
        <f>SUMIFS(TF_Timer,TF_Akt,A23,TF_Dato,"&gt;="&amp;Fra,TF_Dato,"&lt;="&amp;Til)</f>
        <v/>
      </c>
      <c r="C23" s="46">
        <f>IF($B$24=0,0,B23/$B$24)</f>
        <v/>
      </c>
      <c r="D23" s="2" t="n"/>
      <c r="E23" s="47">
        <f>INDEX(Maskiner,11)</f>
        <v/>
      </c>
      <c r="F23" s="48">
        <f>SUMIFS(TF_Timer,TF_Akt,"LMS",TF_Maskin,E23,TF_Arbeid,F$12,TF_Dato,"&gt;="&amp;Fra,TF_Dato,"&lt;="&amp;Til)</f>
        <v/>
      </c>
      <c r="G23" s="48">
        <f>SUMIFS(TF_Timer,TF_Akt,"LMS",TF_Maskin,E23,TF_Arbeid,G$12,TF_Dato,"&gt;="&amp;Fra,TF_Dato,"&lt;="&amp;Til)</f>
        <v/>
      </c>
      <c r="H23" s="48">
        <f>SUMIFS(TF_Timer,TF_Akt,"LMS",TF_Maskin,E23,TF_Arbeid,H$12,TF_Dato,"&gt;="&amp;Fra,TF_Dato,"&lt;="&amp;Til)</f>
        <v/>
      </c>
      <c r="I23" s="48">
        <f>SUMIFS(TF_Timer,TF_Akt,"LMS",TF_Maskin,E23,TF_Arbeid,I$12,TF_Dato,"&gt;="&amp;Fra,TF_Dato,"&lt;="&amp;Til)</f>
        <v/>
      </c>
      <c r="J23" s="48">
        <f>SUMIFS(TF_Timer,TF_Akt,"LMS",TF_Maskin,E23,TF_Arbeid,J$12,TF_Dato,"&gt;="&amp;Fra,TF_Dato,"&lt;="&amp;Til)</f>
        <v/>
      </c>
      <c r="K23" s="48">
        <f>SUMIFS(TF_Timer,TF_Akt,"LMS",TF_Maskin,E23,TF_Arbeid,K$12,TF_Dato,"&gt;="&amp;Fra,TF_Dato,"&lt;="&amp;Til)</f>
        <v/>
      </c>
      <c r="L23" s="48">
        <f>SUMIFS(TF_Timer,TF_Akt,"LMS",TF_Maskin,E23,TF_Arbeid,L$12,TF_Dato,"&gt;="&amp;Fra,TF_Dato,"&lt;="&amp;Til)</f>
        <v/>
      </c>
      <c r="M23" s="49">
        <f>SUMIFS(TF_Timer,TF_Akt,"LMS",TF_Maskin,E23,TF_Dato,"&gt;="&amp;Fra,TF_Dato,"&lt;="&amp;Til)</f>
        <v/>
      </c>
      <c r="N23" s="2" t="n"/>
    </row>
    <row r="24">
      <c r="A24" s="50" t="inlineStr">
        <is>
          <t>Sum</t>
        </is>
      </c>
      <c r="B24" s="51">
        <f>SUM(B13:B23)</f>
        <v/>
      </c>
      <c r="C24" s="52">
        <f>IF(B24=0,0,1)</f>
        <v/>
      </c>
      <c r="D24" s="2" t="n"/>
      <c r="E24" s="47">
        <f>INDEX(Maskiner,12)</f>
        <v/>
      </c>
      <c r="F24" s="48">
        <f>SUMIFS(TF_Timer,TF_Akt,"LMS",TF_Maskin,E24,TF_Arbeid,F$12,TF_Dato,"&gt;="&amp;Fra,TF_Dato,"&lt;="&amp;Til)</f>
        <v/>
      </c>
      <c r="G24" s="48">
        <f>SUMIFS(TF_Timer,TF_Akt,"LMS",TF_Maskin,E24,TF_Arbeid,G$12,TF_Dato,"&gt;="&amp;Fra,TF_Dato,"&lt;="&amp;Til)</f>
        <v/>
      </c>
      <c r="H24" s="48">
        <f>SUMIFS(TF_Timer,TF_Akt,"LMS",TF_Maskin,E24,TF_Arbeid,H$12,TF_Dato,"&gt;="&amp;Fra,TF_Dato,"&lt;="&amp;Til)</f>
        <v/>
      </c>
      <c r="I24" s="48">
        <f>SUMIFS(TF_Timer,TF_Akt,"LMS",TF_Maskin,E24,TF_Arbeid,I$12,TF_Dato,"&gt;="&amp;Fra,TF_Dato,"&lt;="&amp;Til)</f>
        <v/>
      </c>
      <c r="J24" s="48">
        <f>SUMIFS(TF_Timer,TF_Akt,"LMS",TF_Maskin,E24,TF_Arbeid,J$12,TF_Dato,"&gt;="&amp;Fra,TF_Dato,"&lt;="&amp;Til)</f>
        <v/>
      </c>
      <c r="K24" s="48">
        <f>SUMIFS(TF_Timer,TF_Akt,"LMS",TF_Maskin,E24,TF_Arbeid,K$12,TF_Dato,"&gt;="&amp;Fra,TF_Dato,"&lt;="&amp;Til)</f>
        <v/>
      </c>
      <c r="L24" s="48">
        <f>SUMIFS(TF_Timer,TF_Akt,"LMS",TF_Maskin,E24,TF_Arbeid,L$12,TF_Dato,"&gt;="&amp;Fra,TF_Dato,"&lt;="&amp;Til)</f>
        <v/>
      </c>
      <c r="M24" s="49">
        <f>SUMIFS(TF_Timer,TF_Akt,"LMS",TF_Maskin,E24,TF_Dato,"&gt;="&amp;Fra,TF_Dato,"&lt;="&amp;Til)</f>
        <v/>
      </c>
      <c r="N24" s="2" t="n"/>
    </row>
    <row r="25">
      <c r="A25" s="2" t="n"/>
      <c r="B25" s="2" t="n"/>
      <c r="C25" s="2" t="n"/>
      <c r="D25" s="2" t="n"/>
      <c r="E25" s="47">
        <f>INDEX(Maskiner,13)</f>
        <v/>
      </c>
      <c r="F25" s="48">
        <f>SUMIFS(TF_Timer,TF_Akt,"LMS",TF_Maskin,E25,TF_Arbeid,F$12,TF_Dato,"&gt;="&amp;Fra,TF_Dato,"&lt;="&amp;Til)</f>
        <v/>
      </c>
      <c r="G25" s="48">
        <f>SUMIFS(TF_Timer,TF_Akt,"LMS",TF_Maskin,E25,TF_Arbeid,G$12,TF_Dato,"&gt;="&amp;Fra,TF_Dato,"&lt;="&amp;Til)</f>
        <v/>
      </c>
      <c r="H25" s="48">
        <f>SUMIFS(TF_Timer,TF_Akt,"LMS",TF_Maskin,E25,TF_Arbeid,H$12,TF_Dato,"&gt;="&amp;Fra,TF_Dato,"&lt;="&amp;Til)</f>
        <v/>
      </c>
      <c r="I25" s="48">
        <f>SUMIFS(TF_Timer,TF_Akt,"LMS",TF_Maskin,E25,TF_Arbeid,I$12,TF_Dato,"&gt;="&amp;Fra,TF_Dato,"&lt;="&amp;Til)</f>
        <v/>
      </c>
      <c r="J25" s="48">
        <f>SUMIFS(TF_Timer,TF_Akt,"LMS",TF_Maskin,E25,TF_Arbeid,J$12,TF_Dato,"&gt;="&amp;Fra,TF_Dato,"&lt;="&amp;Til)</f>
        <v/>
      </c>
      <c r="K25" s="48">
        <f>SUMIFS(TF_Timer,TF_Akt,"LMS",TF_Maskin,E25,TF_Arbeid,K$12,TF_Dato,"&gt;="&amp;Fra,TF_Dato,"&lt;="&amp;Til)</f>
        <v/>
      </c>
      <c r="L25" s="48">
        <f>SUMIFS(TF_Timer,TF_Akt,"LMS",TF_Maskin,E25,TF_Arbeid,L$12,TF_Dato,"&gt;="&amp;Fra,TF_Dato,"&lt;="&amp;Til)</f>
        <v/>
      </c>
      <c r="M25" s="49">
        <f>SUMIFS(TF_Timer,TF_Akt,"LMS",TF_Maskin,E25,TF_Dato,"&gt;="&amp;Fra,TF_Dato,"&lt;="&amp;Til)</f>
        <v/>
      </c>
      <c r="N25" s="2" t="n"/>
    </row>
    <row r="26">
      <c r="A26" s="42" t="inlineStr">
        <is>
          <t>Per skift</t>
        </is>
      </c>
      <c r="B26" s="2" t="n"/>
      <c r="C26" s="2" t="n"/>
      <c r="D26" s="2" t="n"/>
      <c r="E26" s="47">
        <f>INDEX(Maskiner,14)</f>
        <v/>
      </c>
      <c r="F26" s="48">
        <f>SUMIFS(TF_Timer,TF_Akt,"LMS",TF_Maskin,E26,TF_Arbeid,F$12,TF_Dato,"&gt;="&amp;Fra,TF_Dato,"&lt;="&amp;Til)</f>
        <v/>
      </c>
      <c r="G26" s="48">
        <f>SUMIFS(TF_Timer,TF_Akt,"LMS",TF_Maskin,E26,TF_Arbeid,G$12,TF_Dato,"&gt;="&amp;Fra,TF_Dato,"&lt;="&amp;Til)</f>
        <v/>
      </c>
      <c r="H26" s="48">
        <f>SUMIFS(TF_Timer,TF_Akt,"LMS",TF_Maskin,E26,TF_Arbeid,H$12,TF_Dato,"&gt;="&amp;Fra,TF_Dato,"&lt;="&amp;Til)</f>
        <v/>
      </c>
      <c r="I26" s="48">
        <f>SUMIFS(TF_Timer,TF_Akt,"LMS",TF_Maskin,E26,TF_Arbeid,I$12,TF_Dato,"&gt;="&amp;Fra,TF_Dato,"&lt;="&amp;Til)</f>
        <v/>
      </c>
      <c r="J26" s="48">
        <f>SUMIFS(TF_Timer,TF_Akt,"LMS",TF_Maskin,E26,TF_Arbeid,J$12,TF_Dato,"&gt;="&amp;Fra,TF_Dato,"&lt;="&amp;Til)</f>
        <v/>
      </c>
      <c r="K26" s="48">
        <f>SUMIFS(TF_Timer,TF_Akt,"LMS",TF_Maskin,E26,TF_Arbeid,K$12,TF_Dato,"&gt;="&amp;Fra,TF_Dato,"&lt;="&amp;Til)</f>
        <v/>
      </c>
      <c r="L26" s="48">
        <f>SUMIFS(TF_Timer,TF_Akt,"LMS",TF_Maskin,E26,TF_Arbeid,L$12,TF_Dato,"&gt;="&amp;Fra,TF_Dato,"&lt;="&amp;Til)</f>
        <v/>
      </c>
      <c r="M26" s="49">
        <f>SUMIFS(TF_Timer,TF_Akt,"LMS",TF_Maskin,E26,TF_Dato,"&gt;="&amp;Fra,TF_Dato,"&lt;="&amp;Til)</f>
        <v/>
      </c>
      <c r="N26" s="2" t="n"/>
    </row>
    <row r="27">
      <c r="A27" s="43" t="inlineStr">
        <is>
          <t>Skift</t>
        </is>
      </c>
      <c r="B27" s="33" t="inlineStr">
        <is>
          <t>Timer</t>
        </is>
      </c>
      <c r="C27" s="33" t="inlineStr">
        <is>
          <t>Herav overtid</t>
        </is>
      </c>
      <c r="D27" s="2" t="n"/>
      <c r="E27" s="47">
        <f>INDEX(Maskiner,15)</f>
        <v/>
      </c>
      <c r="F27" s="48">
        <f>SUMIFS(TF_Timer,TF_Akt,"LMS",TF_Maskin,E27,TF_Arbeid,F$12,TF_Dato,"&gt;="&amp;Fra,TF_Dato,"&lt;="&amp;Til)</f>
        <v/>
      </c>
      <c r="G27" s="48">
        <f>SUMIFS(TF_Timer,TF_Akt,"LMS",TF_Maskin,E27,TF_Arbeid,G$12,TF_Dato,"&gt;="&amp;Fra,TF_Dato,"&lt;="&amp;Til)</f>
        <v/>
      </c>
      <c r="H27" s="48">
        <f>SUMIFS(TF_Timer,TF_Akt,"LMS",TF_Maskin,E27,TF_Arbeid,H$12,TF_Dato,"&gt;="&amp;Fra,TF_Dato,"&lt;="&amp;Til)</f>
        <v/>
      </c>
      <c r="I27" s="48">
        <f>SUMIFS(TF_Timer,TF_Akt,"LMS",TF_Maskin,E27,TF_Arbeid,I$12,TF_Dato,"&gt;="&amp;Fra,TF_Dato,"&lt;="&amp;Til)</f>
        <v/>
      </c>
      <c r="J27" s="48">
        <f>SUMIFS(TF_Timer,TF_Akt,"LMS",TF_Maskin,E27,TF_Arbeid,J$12,TF_Dato,"&gt;="&amp;Fra,TF_Dato,"&lt;="&amp;Til)</f>
        <v/>
      </c>
      <c r="K27" s="48">
        <f>SUMIFS(TF_Timer,TF_Akt,"LMS",TF_Maskin,E27,TF_Arbeid,K$12,TF_Dato,"&gt;="&amp;Fra,TF_Dato,"&lt;="&amp;Til)</f>
        <v/>
      </c>
      <c r="L27" s="48">
        <f>SUMIFS(TF_Timer,TF_Akt,"LMS",TF_Maskin,E27,TF_Arbeid,L$12,TF_Dato,"&gt;="&amp;Fra,TF_Dato,"&lt;="&amp;Til)</f>
        <v/>
      </c>
      <c r="M27" s="49">
        <f>SUMIFS(TF_Timer,TF_Akt,"LMS",TF_Maskin,E27,TF_Dato,"&gt;="&amp;Fra,TF_Dato,"&lt;="&amp;Til)</f>
        <v/>
      </c>
      <c r="N27" s="2" t="n"/>
    </row>
    <row r="28">
      <c r="A28" s="44">
        <f>INDEX(SkiftNavn,1)</f>
        <v/>
      </c>
      <c r="B28" s="45">
        <f>M43</f>
        <v/>
      </c>
      <c r="C28" s="45">
        <f>N43</f>
        <v/>
      </c>
      <c r="D28" s="2" t="n"/>
      <c r="E28" s="47">
        <f>INDEX(Maskiner,16)</f>
        <v/>
      </c>
      <c r="F28" s="48">
        <f>SUMIFS(TF_Timer,TF_Akt,"LMS",TF_Maskin,E28,TF_Arbeid,F$12,TF_Dato,"&gt;="&amp;Fra,TF_Dato,"&lt;="&amp;Til)</f>
        <v/>
      </c>
      <c r="G28" s="48">
        <f>SUMIFS(TF_Timer,TF_Akt,"LMS",TF_Maskin,E28,TF_Arbeid,G$12,TF_Dato,"&gt;="&amp;Fra,TF_Dato,"&lt;="&amp;Til)</f>
        <v/>
      </c>
      <c r="H28" s="48">
        <f>SUMIFS(TF_Timer,TF_Akt,"LMS",TF_Maskin,E28,TF_Arbeid,H$12,TF_Dato,"&gt;="&amp;Fra,TF_Dato,"&lt;="&amp;Til)</f>
        <v/>
      </c>
      <c r="I28" s="48">
        <f>SUMIFS(TF_Timer,TF_Akt,"LMS",TF_Maskin,E28,TF_Arbeid,I$12,TF_Dato,"&gt;="&amp;Fra,TF_Dato,"&lt;="&amp;Til)</f>
        <v/>
      </c>
      <c r="J28" s="48">
        <f>SUMIFS(TF_Timer,TF_Akt,"LMS",TF_Maskin,E28,TF_Arbeid,J$12,TF_Dato,"&gt;="&amp;Fra,TF_Dato,"&lt;="&amp;Til)</f>
        <v/>
      </c>
      <c r="K28" s="48">
        <f>SUMIFS(TF_Timer,TF_Akt,"LMS",TF_Maskin,E28,TF_Arbeid,K$12,TF_Dato,"&gt;="&amp;Fra,TF_Dato,"&lt;="&amp;Til)</f>
        <v/>
      </c>
      <c r="L28" s="48">
        <f>SUMIFS(TF_Timer,TF_Akt,"LMS",TF_Maskin,E28,TF_Arbeid,L$12,TF_Dato,"&gt;="&amp;Fra,TF_Dato,"&lt;="&amp;Til)</f>
        <v/>
      </c>
      <c r="M28" s="49">
        <f>SUMIFS(TF_Timer,TF_Akt,"LMS",TF_Maskin,E28,TF_Dato,"&gt;="&amp;Fra,TF_Dato,"&lt;="&amp;Til)</f>
        <v/>
      </c>
      <c r="N28" s="2" t="n"/>
    </row>
    <row r="29">
      <c r="A29" s="44">
        <f>INDEX(SkiftNavn,2)</f>
        <v/>
      </c>
      <c r="B29" s="45">
        <f>M62</f>
        <v/>
      </c>
      <c r="C29" s="45">
        <f>N62</f>
        <v/>
      </c>
      <c r="D29" s="2" t="n"/>
      <c r="E29" s="47">
        <f>INDEX(Maskiner,17)</f>
        <v/>
      </c>
      <c r="F29" s="48">
        <f>SUMIFS(TF_Timer,TF_Akt,"LMS",TF_Maskin,E29,TF_Arbeid,F$12,TF_Dato,"&gt;="&amp;Fra,TF_Dato,"&lt;="&amp;Til)</f>
        <v/>
      </c>
      <c r="G29" s="48">
        <f>SUMIFS(TF_Timer,TF_Akt,"LMS",TF_Maskin,E29,TF_Arbeid,G$12,TF_Dato,"&gt;="&amp;Fra,TF_Dato,"&lt;="&amp;Til)</f>
        <v/>
      </c>
      <c r="H29" s="48">
        <f>SUMIFS(TF_Timer,TF_Akt,"LMS",TF_Maskin,E29,TF_Arbeid,H$12,TF_Dato,"&gt;="&amp;Fra,TF_Dato,"&lt;="&amp;Til)</f>
        <v/>
      </c>
      <c r="I29" s="48">
        <f>SUMIFS(TF_Timer,TF_Akt,"LMS",TF_Maskin,E29,TF_Arbeid,I$12,TF_Dato,"&gt;="&amp;Fra,TF_Dato,"&lt;="&amp;Til)</f>
        <v/>
      </c>
      <c r="J29" s="48">
        <f>SUMIFS(TF_Timer,TF_Akt,"LMS",TF_Maskin,E29,TF_Arbeid,J$12,TF_Dato,"&gt;="&amp;Fra,TF_Dato,"&lt;="&amp;Til)</f>
        <v/>
      </c>
      <c r="K29" s="48">
        <f>SUMIFS(TF_Timer,TF_Akt,"LMS",TF_Maskin,E29,TF_Arbeid,K$12,TF_Dato,"&gt;="&amp;Fra,TF_Dato,"&lt;="&amp;Til)</f>
        <v/>
      </c>
      <c r="L29" s="48">
        <f>SUMIFS(TF_Timer,TF_Akt,"LMS",TF_Maskin,E29,TF_Arbeid,L$12,TF_Dato,"&gt;="&amp;Fra,TF_Dato,"&lt;="&amp;Til)</f>
        <v/>
      </c>
      <c r="M29" s="49">
        <f>SUMIFS(TF_Timer,TF_Akt,"LMS",TF_Maskin,E29,TF_Dato,"&gt;="&amp;Fra,TF_Dato,"&lt;="&amp;Til)</f>
        <v/>
      </c>
      <c r="N29" s="2" t="n"/>
    </row>
    <row r="30">
      <c r="A30" s="44">
        <f>INDEX(SkiftNavn,3)</f>
        <v/>
      </c>
      <c r="B30" s="45">
        <f>M81</f>
        <v/>
      </c>
      <c r="C30" s="45">
        <f>N81</f>
        <v/>
      </c>
      <c r="D30" s="2" t="n"/>
      <c r="E30" s="47">
        <f>INDEX(Maskiner,18)</f>
        <v/>
      </c>
      <c r="F30" s="48">
        <f>SUMIFS(TF_Timer,TF_Akt,"LMS",TF_Maskin,E30,TF_Arbeid,F$12,TF_Dato,"&gt;="&amp;Fra,TF_Dato,"&lt;="&amp;Til)</f>
        <v/>
      </c>
      <c r="G30" s="48">
        <f>SUMIFS(TF_Timer,TF_Akt,"LMS",TF_Maskin,E30,TF_Arbeid,G$12,TF_Dato,"&gt;="&amp;Fra,TF_Dato,"&lt;="&amp;Til)</f>
        <v/>
      </c>
      <c r="H30" s="48">
        <f>SUMIFS(TF_Timer,TF_Akt,"LMS",TF_Maskin,E30,TF_Arbeid,H$12,TF_Dato,"&gt;="&amp;Fra,TF_Dato,"&lt;="&amp;Til)</f>
        <v/>
      </c>
      <c r="I30" s="48">
        <f>SUMIFS(TF_Timer,TF_Akt,"LMS",TF_Maskin,E30,TF_Arbeid,I$12,TF_Dato,"&gt;="&amp;Fra,TF_Dato,"&lt;="&amp;Til)</f>
        <v/>
      </c>
      <c r="J30" s="48">
        <f>SUMIFS(TF_Timer,TF_Akt,"LMS",TF_Maskin,E30,TF_Arbeid,J$12,TF_Dato,"&gt;="&amp;Fra,TF_Dato,"&lt;="&amp;Til)</f>
        <v/>
      </c>
      <c r="K30" s="48">
        <f>SUMIFS(TF_Timer,TF_Akt,"LMS",TF_Maskin,E30,TF_Arbeid,K$12,TF_Dato,"&gt;="&amp;Fra,TF_Dato,"&lt;="&amp;Til)</f>
        <v/>
      </c>
      <c r="L30" s="48">
        <f>SUMIFS(TF_Timer,TF_Akt,"LMS",TF_Maskin,E30,TF_Arbeid,L$12,TF_Dato,"&gt;="&amp;Fra,TF_Dato,"&lt;="&amp;Til)</f>
        <v/>
      </c>
      <c r="M30" s="49">
        <f>SUMIFS(TF_Timer,TF_Akt,"LMS",TF_Maskin,E30,TF_Dato,"&gt;="&amp;Fra,TF_Dato,"&lt;="&amp;Til)</f>
        <v/>
      </c>
      <c r="N30" s="2" t="n"/>
    </row>
    <row r="31">
      <c r="A31" s="2" t="n"/>
      <c r="B31" s="2" t="n"/>
      <c r="C31" s="2" t="n"/>
      <c r="D31" s="2" t="n"/>
      <c r="E31" s="47">
        <f>INDEX(Maskiner,19)</f>
        <v/>
      </c>
      <c r="F31" s="48">
        <f>SUMIFS(TF_Timer,TF_Akt,"LMS",TF_Maskin,E31,TF_Arbeid,F$12,TF_Dato,"&gt;="&amp;Fra,TF_Dato,"&lt;="&amp;Til)</f>
        <v/>
      </c>
      <c r="G31" s="48">
        <f>SUMIFS(TF_Timer,TF_Akt,"LMS",TF_Maskin,E31,TF_Arbeid,G$12,TF_Dato,"&gt;="&amp;Fra,TF_Dato,"&lt;="&amp;Til)</f>
        <v/>
      </c>
      <c r="H31" s="48">
        <f>SUMIFS(TF_Timer,TF_Akt,"LMS",TF_Maskin,E31,TF_Arbeid,H$12,TF_Dato,"&gt;="&amp;Fra,TF_Dato,"&lt;="&amp;Til)</f>
        <v/>
      </c>
      <c r="I31" s="48">
        <f>SUMIFS(TF_Timer,TF_Akt,"LMS",TF_Maskin,E31,TF_Arbeid,I$12,TF_Dato,"&gt;="&amp;Fra,TF_Dato,"&lt;="&amp;Til)</f>
        <v/>
      </c>
      <c r="J31" s="48">
        <f>SUMIFS(TF_Timer,TF_Akt,"LMS",TF_Maskin,E31,TF_Arbeid,J$12,TF_Dato,"&gt;="&amp;Fra,TF_Dato,"&lt;="&amp;Til)</f>
        <v/>
      </c>
      <c r="K31" s="48">
        <f>SUMIFS(TF_Timer,TF_Akt,"LMS",TF_Maskin,E31,TF_Arbeid,K$12,TF_Dato,"&gt;="&amp;Fra,TF_Dato,"&lt;="&amp;Til)</f>
        <v/>
      </c>
      <c r="L31" s="48">
        <f>SUMIFS(TF_Timer,TF_Akt,"LMS",TF_Maskin,E31,TF_Arbeid,L$12,TF_Dato,"&gt;="&amp;Fra,TF_Dato,"&lt;="&amp;Til)</f>
        <v/>
      </c>
      <c r="M31" s="49">
        <f>SUMIFS(TF_Timer,TF_Akt,"LMS",TF_Maskin,E31,TF_Dato,"&gt;="&amp;Fra,TF_Dato,"&lt;="&amp;Til)</f>
        <v/>
      </c>
      <c r="N31" s="2" t="n"/>
    </row>
    <row r="32">
      <c r="A32" s="2" t="n"/>
      <c r="B32" s="2" t="n"/>
      <c r="C32" s="2" t="n"/>
      <c r="D32" s="2" t="n"/>
      <c r="E32" s="47">
        <f>INDEX(Maskiner,20)</f>
        <v/>
      </c>
      <c r="F32" s="48">
        <f>SUMIFS(TF_Timer,TF_Akt,"LMS",TF_Maskin,E32,TF_Arbeid,F$12,TF_Dato,"&gt;="&amp;Fra,TF_Dato,"&lt;="&amp;Til)</f>
        <v/>
      </c>
      <c r="G32" s="48">
        <f>SUMIFS(TF_Timer,TF_Akt,"LMS",TF_Maskin,E32,TF_Arbeid,G$12,TF_Dato,"&gt;="&amp;Fra,TF_Dato,"&lt;="&amp;Til)</f>
        <v/>
      </c>
      <c r="H32" s="48">
        <f>SUMIFS(TF_Timer,TF_Akt,"LMS",TF_Maskin,E32,TF_Arbeid,H$12,TF_Dato,"&gt;="&amp;Fra,TF_Dato,"&lt;="&amp;Til)</f>
        <v/>
      </c>
      <c r="I32" s="48">
        <f>SUMIFS(TF_Timer,TF_Akt,"LMS",TF_Maskin,E32,TF_Arbeid,I$12,TF_Dato,"&gt;="&amp;Fra,TF_Dato,"&lt;="&amp;Til)</f>
        <v/>
      </c>
      <c r="J32" s="48">
        <f>SUMIFS(TF_Timer,TF_Akt,"LMS",TF_Maskin,E32,TF_Arbeid,J$12,TF_Dato,"&gt;="&amp;Fra,TF_Dato,"&lt;="&amp;Til)</f>
        <v/>
      </c>
      <c r="K32" s="48">
        <f>SUMIFS(TF_Timer,TF_Akt,"LMS",TF_Maskin,E32,TF_Arbeid,K$12,TF_Dato,"&gt;="&amp;Fra,TF_Dato,"&lt;="&amp;Til)</f>
        <v/>
      </c>
      <c r="L32" s="48">
        <f>SUMIFS(TF_Timer,TF_Akt,"LMS",TF_Maskin,E32,TF_Arbeid,L$12,TF_Dato,"&gt;="&amp;Fra,TF_Dato,"&lt;="&amp;Til)</f>
        <v/>
      </c>
      <c r="M32" s="49">
        <f>SUMIFS(TF_Timer,TF_Akt,"LMS",TF_Maskin,E32,TF_Dato,"&gt;="&amp;Fra,TF_Dato,"&lt;="&amp;Til)</f>
        <v/>
      </c>
      <c r="N32" s="2" t="n"/>
    </row>
    <row r="33">
      <c r="A33" s="2" t="n"/>
      <c r="B33" s="2" t="n"/>
      <c r="C33" s="2" t="n"/>
      <c r="D33" s="2" t="n"/>
      <c r="E33" s="47">
        <f>INDEX(Maskiner,21)</f>
        <v/>
      </c>
      <c r="F33" s="48">
        <f>SUMIFS(TF_Timer,TF_Akt,"LMS",TF_Maskin,E33,TF_Arbeid,F$12,TF_Dato,"&gt;="&amp;Fra,TF_Dato,"&lt;="&amp;Til)</f>
        <v/>
      </c>
      <c r="G33" s="48">
        <f>SUMIFS(TF_Timer,TF_Akt,"LMS",TF_Maskin,E33,TF_Arbeid,G$12,TF_Dato,"&gt;="&amp;Fra,TF_Dato,"&lt;="&amp;Til)</f>
        <v/>
      </c>
      <c r="H33" s="48">
        <f>SUMIFS(TF_Timer,TF_Akt,"LMS",TF_Maskin,E33,TF_Arbeid,H$12,TF_Dato,"&gt;="&amp;Fra,TF_Dato,"&lt;="&amp;Til)</f>
        <v/>
      </c>
      <c r="I33" s="48">
        <f>SUMIFS(TF_Timer,TF_Akt,"LMS",TF_Maskin,E33,TF_Arbeid,I$12,TF_Dato,"&gt;="&amp;Fra,TF_Dato,"&lt;="&amp;Til)</f>
        <v/>
      </c>
      <c r="J33" s="48">
        <f>SUMIFS(TF_Timer,TF_Akt,"LMS",TF_Maskin,E33,TF_Arbeid,J$12,TF_Dato,"&gt;="&amp;Fra,TF_Dato,"&lt;="&amp;Til)</f>
        <v/>
      </c>
      <c r="K33" s="48">
        <f>SUMIFS(TF_Timer,TF_Akt,"LMS",TF_Maskin,E33,TF_Arbeid,K$12,TF_Dato,"&gt;="&amp;Fra,TF_Dato,"&lt;="&amp;Til)</f>
        <v/>
      </c>
      <c r="L33" s="48">
        <f>SUMIFS(TF_Timer,TF_Akt,"LMS",TF_Maskin,E33,TF_Arbeid,L$12,TF_Dato,"&gt;="&amp;Fra,TF_Dato,"&lt;="&amp;Til)</f>
        <v/>
      </c>
      <c r="M33" s="49">
        <f>SUMIFS(TF_Timer,TF_Akt,"LMS",TF_Maskin,E33,TF_Dato,"&gt;="&amp;Fra,TF_Dato,"&lt;="&amp;Til)</f>
        <v/>
      </c>
      <c r="N33" s="2" t="n"/>
    </row>
    <row r="34">
      <c r="A34" s="2" t="n"/>
      <c r="B34" s="2" t="n"/>
      <c r="C34" s="2" t="n"/>
      <c r="D34" s="2" t="n"/>
      <c r="E34" s="47">
        <f>INDEX(Maskiner,22)</f>
        <v/>
      </c>
      <c r="F34" s="48">
        <f>SUMIFS(TF_Timer,TF_Akt,"LMS",TF_Maskin,E34,TF_Arbeid,F$12,TF_Dato,"&gt;="&amp;Fra,TF_Dato,"&lt;="&amp;Til)</f>
        <v/>
      </c>
      <c r="G34" s="48">
        <f>SUMIFS(TF_Timer,TF_Akt,"LMS",TF_Maskin,E34,TF_Arbeid,G$12,TF_Dato,"&gt;="&amp;Fra,TF_Dato,"&lt;="&amp;Til)</f>
        <v/>
      </c>
      <c r="H34" s="48">
        <f>SUMIFS(TF_Timer,TF_Akt,"LMS",TF_Maskin,E34,TF_Arbeid,H$12,TF_Dato,"&gt;="&amp;Fra,TF_Dato,"&lt;="&amp;Til)</f>
        <v/>
      </c>
      <c r="I34" s="48">
        <f>SUMIFS(TF_Timer,TF_Akt,"LMS",TF_Maskin,E34,TF_Arbeid,I$12,TF_Dato,"&gt;="&amp;Fra,TF_Dato,"&lt;="&amp;Til)</f>
        <v/>
      </c>
      <c r="J34" s="48">
        <f>SUMIFS(TF_Timer,TF_Akt,"LMS",TF_Maskin,E34,TF_Arbeid,J$12,TF_Dato,"&gt;="&amp;Fra,TF_Dato,"&lt;="&amp;Til)</f>
        <v/>
      </c>
      <c r="K34" s="48">
        <f>SUMIFS(TF_Timer,TF_Akt,"LMS",TF_Maskin,E34,TF_Arbeid,K$12,TF_Dato,"&gt;="&amp;Fra,TF_Dato,"&lt;="&amp;Til)</f>
        <v/>
      </c>
      <c r="L34" s="48">
        <f>SUMIFS(TF_Timer,TF_Akt,"LMS",TF_Maskin,E34,TF_Arbeid,L$12,TF_Dato,"&gt;="&amp;Fra,TF_Dato,"&lt;="&amp;Til)</f>
        <v/>
      </c>
      <c r="M34" s="49">
        <f>SUMIFS(TF_Timer,TF_Akt,"LMS",TF_Maskin,E34,TF_Dato,"&gt;="&amp;Fra,TF_Dato,"&lt;="&amp;Til)</f>
        <v/>
      </c>
      <c r="N34" s="2" t="n"/>
    </row>
    <row r="35">
      <c r="A35" s="2" t="n"/>
      <c r="B35" s="2" t="n"/>
      <c r="C35" s="2" t="n"/>
      <c r="D35" s="2" t="n"/>
      <c r="E35" s="47">
        <f>INDEX(Maskiner,23)</f>
        <v/>
      </c>
      <c r="F35" s="48">
        <f>SUMIFS(TF_Timer,TF_Akt,"LMS",TF_Maskin,E35,TF_Arbeid,F$12,TF_Dato,"&gt;="&amp;Fra,TF_Dato,"&lt;="&amp;Til)</f>
        <v/>
      </c>
      <c r="G35" s="48">
        <f>SUMIFS(TF_Timer,TF_Akt,"LMS",TF_Maskin,E35,TF_Arbeid,G$12,TF_Dato,"&gt;="&amp;Fra,TF_Dato,"&lt;="&amp;Til)</f>
        <v/>
      </c>
      <c r="H35" s="48">
        <f>SUMIFS(TF_Timer,TF_Akt,"LMS",TF_Maskin,E35,TF_Arbeid,H$12,TF_Dato,"&gt;="&amp;Fra,TF_Dato,"&lt;="&amp;Til)</f>
        <v/>
      </c>
      <c r="I35" s="48">
        <f>SUMIFS(TF_Timer,TF_Akt,"LMS",TF_Maskin,E35,TF_Arbeid,I$12,TF_Dato,"&gt;="&amp;Fra,TF_Dato,"&lt;="&amp;Til)</f>
        <v/>
      </c>
      <c r="J35" s="48">
        <f>SUMIFS(TF_Timer,TF_Akt,"LMS",TF_Maskin,E35,TF_Arbeid,J$12,TF_Dato,"&gt;="&amp;Fra,TF_Dato,"&lt;="&amp;Til)</f>
        <v/>
      </c>
      <c r="K35" s="48">
        <f>SUMIFS(TF_Timer,TF_Akt,"LMS",TF_Maskin,E35,TF_Arbeid,K$12,TF_Dato,"&gt;="&amp;Fra,TF_Dato,"&lt;="&amp;Til)</f>
        <v/>
      </c>
      <c r="L35" s="48">
        <f>SUMIFS(TF_Timer,TF_Akt,"LMS",TF_Maskin,E35,TF_Arbeid,L$12,TF_Dato,"&gt;="&amp;Fra,TF_Dato,"&lt;="&amp;Til)</f>
        <v/>
      </c>
      <c r="M35" s="49">
        <f>SUMIFS(TF_Timer,TF_Akt,"LMS",TF_Maskin,E35,TF_Dato,"&gt;="&amp;Fra,TF_Dato,"&lt;="&amp;Til)</f>
        <v/>
      </c>
      <c r="N35" s="2" t="n"/>
    </row>
    <row r="36">
      <c r="A36" s="2" t="n"/>
      <c r="B36" s="2" t="n"/>
      <c r="C36" s="2" t="n"/>
      <c r="D36" s="2" t="n"/>
      <c r="E36" s="47">
        <f>INDEX(Maskiner,24)</f>
        <v/>
      </c>
      <c r="F36" s="48">
        <f>SUMIFS(TF_Timer,TF_Akt,"LMS",TF_Maskin,E36,TF_Arbeid,F$12,TF_Dato,"&gt;="&amp;Fra,TF_Dato,"&lt;="&amp;Til)</f>
        <v/>
      </c>
      <c r="G36" s="48">
        <f>SUMIFS(TF_Timer,TF_Akt,"LMS",TF_Maskin,E36,TF_Arbeid,G$12,TF_Dato,"&gt;="&amp;Fra,TF_Dato,"&lt;="&amp;Til)</f>
        <v/>
      </c>
      <c r="H36" s="48">
        <f>SUMIFS(TF_Timer,TF_Akt,"LMS",TF_Maskin,E36,TF_Arbeid,H$12,TF_Dato,"&gt;="&amp;Fra,TF_Dato,"&lt;="&amp;Til)</f>
        <v/>
      </c>
      <c r="I36" s="48">
        <f>SUMIFS(TF_Timer,TF_Akt,"LMS",TF_Maskin,E36,TF_Arbeid,I$12,TF_Dato,"&gt;="&amp;Fra,TF_Dato,"&lt;="&amp;Til)</f>
        <v/>
      </c>
      <c r="J36" s="48">
        <f>SUMIFS(TF_Timer,TF_Akt,"LMS",TF_Maskin,E36,TF_Arbeid,J$12,TF_Dato,"&gt;="&amp;Fra,TF_Dato,"&lt;="&amp;Til)</f>
        <v/>
      </c>
      <c r="K36" s="48">
        <f>SUMIFS(TF_Timer,TF_Akt,"LMS",TF_Maskin,E36,TF_Arbeid,K$12,TF_Dato,"&gt;="&amp;Fra,TF_Dato,"&lt;="&amp;Til)</f>
        <v/>
      </c>
      <c r="L36" s="48">
        <f>SUMIFS(TF_Timer,TF_Akt,"LMS",TF_Maskin,E36,TF_Arbeid,L$12,TF_Dato,"&gt;="&amp;Fra,TF_Dato,"&lt;="&amp;Til)</f>
        <v/>
      </c>
      <c r="M36" s="49">
        <f>SUMIFS(TF_Timer,TF_Akt,"LMS",TF_Maskin,E36,TF_Dato,"&gt;="&amp;Fra,TF_Dato,"&lt;="&amp;Til)</f>
        <v/>
      </c>
      <c r="N36" s="2" t="n"/>
    </row>
    <row r="37">
      <c r="A37" s="2" t="n"/>
      <c r="B37" s="2" t="n"/>
      <c r="C37" s="2" t="n"/>
      <c r="D37" s="2" t="n"/>
      <c r="E37" s="53" t="inlineStr">
        <is>
          <t>Ingen maskin</t>
        </is>
      </c>
      <c r="F37" s="48">
        <f>SUMIFS(TF_Timer,TF_Akt,"LMS",TF_Maskin,"",TF_Arbeid,F$12,TF_Dato,"&gt;="&amp;Fra,TF_Dato,"&lt;="&amp;Til)</f>
        <v/>
      </c>
      <c r="G37" s="48">
        <f>SUMIFS(TF_Timer,TF_Akt,"LMS",TF_Maskin,"",TF_Arbeid,G$12,TF_Dato,"&gt;="&amp;Fra,TF_Dato,"&lt;="&amp;Til)</f>
        <v/>
      </c>
      <c r="H37" s="48">
        <f>SUMIFS(TF_Timer,TF_Akt,"LMS",TF_Maskin,"",TF_Arbeid,H$12,TF_Dato,"&gt;="&amp;Fra,TF_Dato,"&lt;="&amp;Til)</f>
        <v/>
      </c>
      <c r="I37" s="48">
        <f>SUMIFS(TF_Timer,TF_Akt,"LMS",TF_Maskin,"",TF_Arbeid,I$12,TF_Dato,"&gt;="&amp;Fra,TF_Dato,"&lt;="&amp;Til)</f>
        <v/>
      </c>
      <c r="J37" s="48">
        <f>SUMIFS(TF_Timer,TF_Akt,"LMS",TF_Maskin,"",TF_Arbeid,J$12,TF_Dato,"&gt;="&amp;Fra,TF_Dato,"&lt;="&amp;Til)</f>
        <v/>
      </c>
      <c r="K37" s="48">
        <f>SUMIFS(TF_Timer,TF_Akt,"LMS",TF_Maskin,"",TF_Arbeid,K$12,TF_Dato,"&gt;="&amp;Fra,TF_Dato,"&lt;="&amp;Til)</f>
        <v/>
      </c>
      <c r="L37" s="48">
        <f>SUMIFS(TF_Timer,TF_Akt,"LMS",TF_Maskin,"",TF_Arbeid,L$12,TF_Dato,"&gt;="&amp;Fra,TF_Dato,"&lt;="&amp;Til)</f>
        <v/>
      </c>
      <c r="M37" s="49">
        <f>SUMIFS(TF_Timer,TF_Akt,"LMS",TF_Maskin,"",TF_Dato,"&gt;="&amp;Fra,TF_Dato,"&lt;="&amp;Til)+SUMPRODUCT((GR_Dato&gt;=Fra)*(GR_Dato&lt;=Til)*GR_Auto)</f>
        <v/>
      </c>
      <c r="N37" s="2" t="n"/>
    </row>
    <row r="38">
      <c r="A38" s="2" t="n"/>
      <c r="B38" s="2" t="n"/>
      <c r="C38" s="2" t="n"/>
      <c r="D38" s="2" t="n"/>
      <c r="E38" s="50" t="inlineStr">
        <is>
          <t>Sum</t>
        </is>
      </c>
      <c r="F38" s="51">
        <f>SUM(F13:F37)</f>
        <v/>
      </c>
      <c r="G38" s="51">
        <f>SUM(G13:G37)</f>
        <v/>
      </c>
      <c r="H38" s="51">
        <f>SUM(H13:H37)</f>
        <v/>
      </c>
      <c r="I38" s="51">
        <f>SUM(I13:I37)</f>
        <v/>
      </c>
      <c r="J38" s="51">
        <f>SUM(J13:J37)</f>
        <v/>
      </c>
      <c r="K38" s="51">
        <f>SUM(K13:K37)</f>
        <v/>
      </c>
      <c r="L38" s="51">
        <f>SUM(L13:L37)</f>
        <v/>
      </c>
      <c r="M38" s="51">
        <f>SUM(M13:M37)</f>
        <v/>
      </c>
      <c r="N38" s="2" t="n"/>
    </row>
    <row r="39">
      <c r="A39" s="2" t="n"/>
      <c r="B39" s="2" t="n"/>
      <c r="C39" s="2" t="n"/>
      <c r="D39" s="2" t="n"/>
      <c r="E39" s="7" t="inlineStr">
        <is>
          <t>Automatisk LMS har ingen maskin og står under «Ingen maskin». Før LMS med maskin og arbeid i Timeføring.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42" t="inlineStr">
        <is>
          <t>Per tekniker</t>
        </is>
      </c>
      <c r="B41" s="2" t="n"/>
      <c r="C41" s="7" t="inlineStr">
        <is>
          <t>Trykk + / − i margen til venstre for å vise eller skjule teknikerne i et skift.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30" customHeight="1">
      <c r="A42" s="54" t="inlineStr">
        <is>
          <t>Tekniker</t>
        </is>
      </c>
      <c r="B42" s="55" t="inlineStr">
        <is>
          <t>Line</t>
        </is>
      </c>
      <c r="C42" s="55" t="inlineStr">
        <is>
          <t>LMS</t>
        </is>
      </c>
      <c r="D42" s="55" t="inlineStr">
        <is>
          <t>Assessor</t>
        </is>
      </c>
      <c r="E42" s="55" t="inlineStr">
        <is>
          <t>Assessment</t>
        </is>
      </c>
      <c r="F42" s="55" t="inlineStr">
        <is>
          <t>Hot Section</t>
        </is>
      </c>
      <c r="G42" s="55" t="inlineStr">
        <is>
          <t>Kurs</t>
        </is>
      </c>
      <c r="H42" s="55" t="inlineStr">
        <is>
          <t>Mod</t>
        </is>
      </c>
      <c r="I42" s="55" t="inlineStr">
        <is>
          <t>Ferie</t>
        </is>
      </c>
      <c r="J42" s="55" t="inlineStr">
        <is>
          <t>Avspasering</t>
        </is>
      </c>
      <c r="K42" s="55" t="inlineStr">
        <is>
          <t>Fravær</t>
        </is>
      </c>
      <c r="L42" s="55" t="inlineStr">
        <is>
          <t>Annet</t>
        </is>
      </c>
      <c r="M42" s="55" t="inlineStr">
        <is>
          <t>Sum</t>
        </is>
      </c>
      <c r="N42" s="55" t="inlineStr">
        <is>
          <t>Herav overtid</t>
        </is>
      </c>
    </row>
    <row r="43">
      <c r="A43" s="50">
        <f>INDEX(SkiftNavn,1)&amp;" · "&amp;COUNTIF(A44:A61,"?*")</f>
        <v/>
      </c>
      <c r="B43" s="51">
        <f>SUM(B44:B61)</f>
        <v/>
      </c>
      <c r="C43" s="51">
        <f>SUM(C44:C61)</f>
        <v/>
      </c>
      <c r="D43" s="51">
        <f>SUM(D44:D61)</f>
        <v/>
      </c>
      <c r="E43" s="51">
        <f>SUM(E44:E61)</f>
        <v/>
      </c>
      <c r="F43" s="51">
        <f>SUM(F44:F61)</f>
        <v/>
      </c>
      <c r="G43" s="51">
        <f>SUM(G44:G61)</f>
        <v/>
      </c>
      <c r="H43" s="51">
        <f>SUM(H44:H61)</f>
        <v/>
      </c>
      <c r="I43" s="51">
        <f>SUM(I44:I61)</f>
        <v/>
      </c>
      <c r="J43" s="51">
        <f>SUM(J44:J61)</f>
        <v/>
      </c>
      <c r="K43" s="51">
        <f>SUM(K44:K61)</f>
        <v/>
      </c>
      <c r="L43" s="51">
        <f>SUM(L44:L61)</f>
        <v/>
      </c>
      <c r="M43" s="51">
        <f>SUM(M44:M61)</f>
        <v/>
      </c>
      <c r="N43" s="51">
        <f>SUM(N44:N61)</f>
        <v/>
      </c>
    </row>
    <row r="44" hidden="1" outlineLevel="1">
      <c r="A44" s="56">
        <f>INDEX(Teknikere,1)&amp;""</f>
        <v/>
      </c>
      <c r="B44" s="45">
        <f>IF($A44="","",SUMIFS(TF_Timer,TF_Tekniker,$A44,TF_Akt,B$42,TF_Dato,"&gt;="&amp;Fra,TF_Dato,"&lt;="&amp;Til))</f>
        <v/>
      </c>
      <c r="C44" s="45">
        <f>IF($A44="","",SUMIFS(TF_Timer,TF_Tekniker,$A44,TF_Akt,C$42,TF_Dato,"&gt;="&amp;Fra,TF_Dato,"&lt;="&amp;Til)+SUMIFS(INDEX(GR_Auto,0,1),GR_Dato,"&gt;="&amp;Fra,GR_Dato,"&lt;="&amp;Til))</f>
        <v/>
      </c>
      <c r="D44" s="45">
        <f>IF($A44="","",SUMIFS(TF_Timer,TF_Tekniker,$A44,TF_Akt,D$42,TF_Dato,"&gt;="&amp;Fra,TF_Dato,"&lt;="&amp;Til))</f>
        <v/>
      </c>
      <c r="E44" s="45">
        <f>IF($A44="","",SUMIFS(TF_Timer,TF_Tekniker,$A44,TF_Akt,E$42,TF_Dato,"&gt;="&amp;Fra,TF_Dato,"&lt;="&amp;Til))</f>
        <v/>
      </c>
      <c r="F44" s="45">
        <f>IF($A44="","",SUMIFS(TF_Timer,TF_Tekniker,$A44,TF_Akt,F$42,TF_Dato,"&gt;="&amp;Fra,TF_Dato,"&lt;="&amp;Til))</f>
        <v/>
      </c>
      <c r="G44" s="45">
        <f>IF($A44="","",SUMIFS(TF_Timer,TF_Tekniker,$A44,TF_Akt,G$42,TF_Dato,"&gt;="&amp;Fra,TF_Dato,"&lt;="&amp;Til))</f>
        <v/>
      </c>
      <c r="H44" s="45">
        <f>IF($A44="","",SUMIFS(TF_Timer,TF_Tekniker,$A44,TF_Akt,H$42,TF_Dato,"&gt;="&amp;Fra,TF_Dato,"&lt;="&amp;Til))</f>
        <v/>
      </c>
      <c r="I44" s="45">
        <f>IF($A44="","",SUMIFS(TF_Timer,TF_Tekniker,$A44,TF_Akt,I$42,TF_Dato,"&gt;="&amp;Fra,TF_Dato,"&lt;="&amp;Til))</f>
        <v/>
      </c>
      <c r="J44" s="45">
        <f>IF($A44="","",SUMIFS(TF_Timer,TF_Tekniker,$A44,TF_Akt,J$42,TF_Dato,"&gt;="&amp;Fra,TF_Dato,"&lt;="&amp;Til))</f>
        <v/>
      </c>
      <c r="K44" s="45">
        <f>IF($A44="","",SUMIFS(TF_Timer,TF_Tekniker,$A44,TF_Akt,K$42,TF_Dato,"&gt;="&amp;Fra,TF_Dato,"&lt;="&amp;Til))</f>
        <v/>
      </c>
      <c r="L44" s="45">
        <f>IF($A44="","",SUMIFS(TF_Timer,TF_Tekniker,$A44,TF_Akt,L$42,TF_Dato,"&gt;="&amp;Fra,TF_Dato,"&lt;="&amp;Til))</f>
        <v/>
      </c>
      <c r="M44" s="57">
        <f>IF($A44="","",SUM(B44:L44))</f>
        <v/>
      </c>
      <c r="N44" s="45">
        <f>IF($A44="","",SUMIFS(TF_Timer,TF_Tekniker,$A44,TF_Overtid,"Ja",TF_Dato,"&gt;="&amp;Fra,TF_Dato,"&lt;="&amp;Til))</f>
        <v/>
      </c>
    </row>
    <row r="45" hidden="1" outlineLevel="1">
      <c r="A45" s="56">
        <f>INDEX(Teknikere,2)&amp;""</f>
        <v/>
      </c>
      <c r="B45" s="45">
        <f>IF($A45="","",SUMIFS(TF_Timer,TF_Tekniker,$A45,TF_Akt,B$42,TF_Dato,"&gt;="&amp;Fra,TF_Dato,"&lt;="&amp;Til))</f>
        <v/>
      </c>
      <c r="C45" s="45">
        <f>IF($A45="","",SUMIFS(TF_Timer,TF_Tekniker,$A45,TF_Akt,C$42,TF_Dato,"&gt;="&amp;Fra,TF_Dato,"&lt;="&amp;Til)+SUMIFS(INDEX(GR_Auto,0,2),GR_Dato,"&gt;="&amp;Fra,GR_Dato,"&lt;="&amp;Til))</f>
        <v/>
      </c>
      <c r="D45" s="45">
        <f>IF($A45="","",SUMIFS(TF_Timer,TF_Tekniker,$A45,TF_Akt,D$42,TF_Dato,"&gt;="&amp;Fra,TF_Dato,"&lt;="&amp;Til))</f>
        <v/>
      </c>
      <c r="E45" s="45">
        <f>IF($A45="","",SUMIFS(TF_Timer,TF_Tekniker,$A45,TF_Akt,E$42,TF_Dato,"&gt;="&amp;Fra,TF_Dato,"&lt;="&amp;Til))</f>
        <v/>
      </c>
      <c r="F45" s="45">
        <f>IF($A45="","",SUMIFS(TF_Timer,TF_Tekniker,$A45,TF_Akt,F$42,TF_Dato,"&gt;="&amp;Fra,TF_Dato,"&lt;="&amp;Til))</f>
        <v/>
      </c>
      <c r="G45" s="45">
        <f>IF($A45="","",SUMIFS(TF_Timer,TF_Tekniker,$A45,TF_Akt,G$42,TF_Dato,"&gt;="&amp;Fra,TF_Dato,"&lt;="&amp;Til))</f>
        <v/>
      </c>
      <c r="H45" s="45">
        <f>IF($A45="","",SUMIFS(TF_Timer,TF_Tekniker,$A45,TF_Akt,H$42,TF_Dato,"&gt;="&amp;Fra,TF_Dato,"&lt;="&amp;Til))</f>
        <v/>
      </c>
      <c r="I45" s="45">
        <f>IF($A45="","",SUMIFS(TF_Timer,TF_Tekniker,$A45,TF_Akt,I$42,TF_Dato,"&gt;="&amp;Fra,TF_Dato,"&lt;="&amp;Til))</f>
        <v/>
      </c>
      <c r="J45" s="45">
        <f>IF($A45="","",SUMIFS(TF_Timer,TF_Tekniker,$A45,TF_Akt,J$42,TF_Dato,"&gt;="&amp;Fra,TF_Dato,"&lt;="&amp;Til))</f>
        <v/>
      </c>
      <c r="K45" s="45">
        <f>IF($A45="","",SUMIFS(TF_Timer,TF_Tekniker,$A45,TF_Akt,K$42,TF_Dato,"&gt;="&amp;Fra,TF_Dato,"&lt;="&amp;Til))</f>
        <v/>
      </c>
      <c r="L45" s="45">
        <f>IF($A45="","",SUMIFS(TF_Timer,TF_Tekniker,$A45,TF_Akt,L$42,TF_Dato,"&gt;="&amp;Fra,TF_Dato,"&lt;="&amp;Til))</f>
        <v/>
      </c>
      <c r="M45" s="57">
        <f>IF($A45="","",SUM(B45:L45))</f>
        <v/>
      </c>
      <c r="N45" s="45">
        <f>IF($A45="","",SUMIFS(TF_Timer,TF_Tekniker,$A45,TF_Overtid,"Ja",TF_Dato,"&gt;="&amp;Fra,TF_Dato,"&lt;="&amp;Til))</f>
        <v/>
      </c>
    </row>
    <row r="46" hidden="1" outlineLevel="1">
      <c r="A46" s="56">
        <f>INDEX(Teknikere,3)&amp;""</f>
        <v/>
      </c>
      <c r="B46" s="45">
        <f>IF($A46="","",SUMIFS(TF_Timer,TF_Tekniker,$A46,TF_Akt,B$42,TF_Dato,"&gt;="&amp;Fra,TF_Dato,"&lt;="&amp;Til))</f>
        <v/>
      </c>
      <c r="C46" s="45">
        <f>IF($A46="","",SUMIFS(TF_Timer,TF_Tekniker,$A46,TF_Akt,C$42,TF_Dato,"&gt;="&amp;Fra,TF_Dato,"&lt;="&amp;Til)+SUMIFS(INDEX(GR_Auto,0,3),GR_Dato,"&gt;="&amp;Fra,GR_Dato,"&lt;="&amp;Til))</f>
        <v/>
      </c>
      <c r="D46" s="45">
        <f>IF($A46="","",SUMIFS(TF_Timer,TF_Tekniker,$A46,TF_Akt,D$42,TF_Dato,"&gt;="&amp;Fra,TF_Dato,"&lt;="&amp;Til))</f>
        <v/>
      </c>
      <c r="E46" s="45">
        <f>IF($A46="","",SUMIFS(TF_Timer,TF_Tekniker,$A46,TF_Akt,E$42,TF_Dato,"&gt;="&amp;Fra,TF_Dato,"&lt;="&amp;Til))</f>
        <v/>
      </c>
      <c r="F46" s="45">
        <f>IF($A46="","",SUMIFS(TF_Timer,TF_Tekniker,$A46,TF_Akt,F$42,TF_Dato,"&gt;="&amp;Fra,TF_Dato,"&lt;="&amp;Til))</f>
        <v/>
      </c>
      <c r="G46" s="45">
        <f>IF($A46="","",SUMIFS(TF_Timer,TF_Tekniker,$A46,TF_Akt,G$42,TF_Dato,"&gt;="&amp;Fra,TF_Dato,"&lt;="&amp;Til))</f>
        <v/>
      </c>
      <c r="H46" s="45">
        <f>IF($A46="","",SUMIFS(TF_Timer,TF_Tekniker,$A46,TF_Akt,H$42,TF_Dato,"&gt;="&amp;Fra,TF_Dato,"&lt;="&amp;Til))</f>
        <v/>
      </c>
      <c r="I46" s="45">
        <f>IF($A46="","",SUMIFS(TF_Timer,TF_Tekniker,$A46,TF_Akt,I$42,TF_Dato,"&gt;="&amp;Fra,TF_Dato,"&lt;="&amp;Til))</f>
        <v/>
      </c>
      <c r="J46" s="45">
        <f>IF($A46="","",SUMIFS(TF_Timer,TF_Tekniker,$A46,TF_Akt,J$42,TF_Dato,"&gt;="&amp;Fra,TF_Dato,"&lt;="&amp;Til))</f>
        <v/>
      </c>
      <c r="K46" s="45">
        <f>IF($A46="","",SUMIFS(TF_Timer,TF_Tekniker,$A46,TF_Akt,K$42,TF_Dato,"&gt;="&amp;Fra,TF_Dato,"&lt;="&amp;Til))</f>
        <v/>
      </c>
      <c r="L46" s="45">
        <f>IF($A46="","",SUMIFS(TF_Timer,TF_Tekniker,$A46,TF_Akt,L$42,TF_Dato,"&gt;="&amp;Fra,TF_Dato,"&lt;="&amp;Til))</f>
        <v/>
      </c>
      <c r="M46" s="57">
        <f>IF($A46="","",SUM(B46:L46))</f>
        <v/>
      </c>
      <c r="N46" s="45">
        <f>IF($A46="","",SUMIFS(TF_Timer,TF_Tekniker,$A46,TF_Overtid,"Ja",TF_Dato,"&gt;="&amp;Fra,TF_Dato,"&lt;="&amp;Til))</f>
        <v/>
      </c>
    </row>
    <row r="47" hidden="1" outlineLevel="1">
      <c r="A47" s="56">
        <f>INDEX(Teknikere,4)&amp;""</f>
        <v/>
      </c>
      <c r="B47" s="45">
        <f>IF($A47="","",SUMIFS(TF_Timer,TF_Tekniker,$A47,TF_Akt,B$42,TF_Dato,"&gt;="&amp;Fra,TF_Dato,"&lt;="&amp;Til))</f>
        <v/>
      </c>
      <c r="C47" s="45">
        <f>IF($A47="","",SUMIFS(TF_Timer,TF_Tekniker,$A47,TF_Akt,C$42,TF_Dato,"&gt;="&amp;Fra,TF_Dato,"&lt;="&amp;Til)+SUMIFS(INDEX(GR_Auto,0,4),GR_Dato,"&gt;="&amp;Fra,GR_Dato,"&lt;="&amp;Til))</f>
        <v/>
      </c>
      <c r="D47" s="45">
        <f>IF($A47="","",SUMIFS(TF_Timer,TF_Tekniker,$A47,TF_Akt,D$42,TF_Dato,"&gt;="&amp;Fra,TF_Dato,"&lt;="&amp;Til))</f>
        <v/>
      </c>
      <c r="E47" s="45">
        <f>IF($A47="","",SUMIFS(TF_Timer,TF_Tekniker,$A47,TF_Akt,E$42,TF_Dato,"&gt;="&amp;Fra,TF_Dato,"&lt;="&amp;Til))</f>
        <v/>
      </c>
      <c r="F47" s="45">
        <f>IF($A47="","",SUMIFS(TF_Timer,TF_Tekniker,$A47,TF_Akt,F$42,TF_Dato,"&gt;="&amp;Fra,TF_Dato,"&lt;="&amp;Til))</f>
        <v/>
      </c>
      <c r="G47" s="45">
        <f>IF($A47="","",SUMIFS(TF_Timer,TF_Tekniker,$A47,TF_Akt,G$42,TF_Dato,"&gt;="&amp;Fra,TF_Dato,"&lt;="&amp;Til))</f>
        <v/>
      </c>
      <c r="H47" s="45">
        <f>IF($A47="","",SUMIFS(TF_Timer,TF_Tekniker,$A47,TF_Akt,H$42,TF_Dato,"&gt;="&amp;Fra,TF_Dato,"&lt;="&amp;Til))</f>
        <v/>
      </c>
      <c r="I47" s="45">
        <f>IF($A47="","",SUMIFS(TF_Timer,TF_Tekniker,$A47,TF_Akt,I$42,TF_Dato,"&gt;="&amp;Fra,TF_Dato,"&lt;="&amp;Til))</f>
        <v/>
      </c>
      <c r="J47" s="45">
        <f>IF($A47="","",SUMIFS(TF_Timer,TF_Tekniker,$A47,TF_Akt,J$42,TF_Dato,"&gt;="&amp;Fra,TF_Dato,"&lt;="&amp;Til))</f>
        <v/>
      </c>
      <c r="K47" s="45">
        <f>IF($A47="","",SUMIFS(TF_Timer,TF_Tekniker,$A47,TF_Akt,K$42,TF_Dato,"&gt;="&amp;Fra,TF_Dato,"&lt;="&amp;Til))</f>
        <v/>
      </c>
      <c r="L47" s="45">
        <f>IF($A47="","",SUMIFS(TF_Timer,TF_Tekniker,$A47,TF_Akt,L$42,TF_Dato,"&gt;="&amp;Fra,TF_Dato,"&lt;="&amp;Til))</f>
        <v/>
      </c>
      <c r="M47" s="57">
        <f>IF($A47="","",SUM(B47:L47))</f>
        <v/>
      </c>
      <c r="N47" s="45">
        <f>IF($A47="","",SUMIFS(TF_Timer,TF_Tekniker,$A47,TF_Overtid,"Ja",TF_Dato,"&gt;="&amp;Fra,TF_Dato,"&lt;="&amp;Til))</f>
        <v/>
      </c>
    </row>
    <row r="48" hidden="1" outlineLevel="1">
      <c r="A48" s="56">
        <f>INDEX(Teknikere,5)&amp;""</f>
        <v/>
      </c>
      <c r="B48" s="45">
        <f>IF($A48="","",SUMIFS(TF_Timer,TF_Tekniker,$A48,TF_Akt,B$42,TF_Dato,"&gt;="&amp;Fra,TF_Dato,"&lt;="&amp;Til))</f>
        <v/>
      </c>
      <c r="C48" s="45">
        <f>IF($A48="","",SUMIFS(TF_Timer,TF_Tekniker,$A48,TF_Akt,C$42,TF_Dato,"&gt;="&amp;Fra,TF_Dato,"&lt;="&amp;Til)+SUMIFS(INDEX(GR_Auto,0,5),GR_Dato,"&gt;="&amp;Fra,GR_Dato,"&lt;="&amp;Til))</f>
        <v/>
      </c>
      <c r="D48" s="45">
        <f>IF($A48="","",SUMIFS(TF_Timer,TF_Tekniker,$A48,TF_Akt,D$42,TF_Dato,"&gt;="&amp;Fra,TF_Dato,"&lt;="&amp;Til))</f>
        <v/>
      </c>
      <c r="E48" s="45">
        <f>IF($A48="","",SUMIFS(TF_Timer,TF_Tekniker,$A48,TF_Akt,E$42,TF_Dato,"&gt;="&amp;Fra,TF_Dato,"&lt;="&amp;Til))</f>
        <v/>
      </c>
      <c r="F48" s="45">
        <f>IF($A48="","",SUMIFS(TF_Timer,TF_Tekniker,$A48,TF_Akt,F$42,TF_Dato,"&gt;="&amp;Fra,TF_Dato,"&lt;="&amp;Til))</f>
        <v/>
      </c>
      <c r="G48" s="45">
        <f>IF($A48="","",SUMIFS(TF_Timer,TF_Tekniker,$A48,TF_Akt,G$42,TF_Dato,"&gt;="&amp;Fra,TF_Dato,"&lt;="&amp;Til))</f>
        <v/>
      </c>
      <c r="H48" s="45">
        <f>IF($A48="","",SUMIFS(TF_Timer,TF_Tekniker,$A48,TF_Akt,H$42,TF_Dato,"&gt;="&amp;Fra,TF_Dato,"&lt;="&amp;Til))</f>
        <v/>
      </c>
      <c r="I48" s="45">
        <f>IF($A48="","",SUMIFS(TF_Timer,TF_Tekniker,$A48,TF_Akt,I$42,TF_Dato,"&gt;="&amp;Fra,TF_Dato,"&lt;="&amp;Til))</f>
        <v/>
      </c>
      <c r="J48" s="45">
        <f>IF($A48="","",SUMIFS(TF_Timer,TF_Tekniker,$A48,TF_Akt,J$42,TF_Dato,"&gt;="&amp;Fra,TF_Dato,"&lt;="&amp;Til))</f>
        <v/>
      </c>
      <c r="K48" s="45">
        <f>IF($A48="","",SUMIFS(TF_Timer,TF_Tekniker,$A48,TF_Akt,K$42,TF_Dato,"&gt;="&amp;Fra,TF_Dato,"&lt;="&amp;Til))</f>
        <v/>
      </c>
      <c r="L48" s="45">
        <f>IF($A48="","",SUMIFS(TF_Timer,TF_Tekniker,$A48,TF_Akt,L$42,TF_Dato,"&gt;="&amp;Fra,TF_Dato,"&lt;="&amp;Til))</f>
        <v/>
      </c>
      <c r="M48" s="57">
        <f>IF($A48="","",SUM(B48:L48))</f>
        <v/>
      </c>
      <c r="N48" s="45">
        <f>IF($A48="","",SUMIFS(TF_Timer,TF_Tekniker,$A48,TF_Overtid,"Ja",TF_Dato,"&gt;="&amp;Fra,TF_Dato,"&lt;="&amp;Til))</f>
        <v/>
      </c>
    </row>
    <row r="49" hidden="1" outlineLevel="1">
      <c r="A49" s="56">
        <f>INDEX(Teknikere,6)&amp;""</f>
        <v/>
      </c>
      <c r="B49" s="45">
        <f>IF($A49="","",SUMIFS(TF_Timer,TF_Tekniker,$A49,TF_Akt,B$42,TF_Dato,"&gt;="&amp;Fra,TF_Dato,"&lt;="&amp;Til))</f>
        <v/>
      </c>
      <c r="C49" s="45">
        <f>IF($A49="","",SUMIFS(TF_Timer,TF_Tekniker,$A49,TF_Akt,C$42,TF_Dato,"&gt;="&amp;Fra,TF_Dato,"&lt;="&amp;Til)+SUMIFS(INDEX(GR_Auto,0,6),GR_Dato,"&gt;="&amp;Fra,GR_Dato,"&lt;="&amp;Til))</f>
        <v/>
      </c>
      <c r="D49" s="45">
        <f>IF($A49="","",SUMIFS(TF_Timer,TF_Tekniker,$A49,TF_Akt,D$42,TF_Dato,"&gt;="&amp;Fra,TF_Dato,"&lt;="&amp;Til))</f>
        <v/>
      </c>
      <c r="E49" s="45">
        <f>IF($A49="","",SUMIFS(TF_Timer,TF_Tekniker,$A49,TF_Akt,E$42,TF_Dato,"&gt;="&amp;Fra,TF_Dato,"&lt;="&amp;Til))</f>
        <v/>
      </c>
      <c r="F49" s="45">
        <f>IF($A49="","",SUMIFS(TF_Timer,TF_Tekniker,$A49,TF_Akt,F$42,TF_Dato,"&gt;="&amp;Fra,TF_Dato,"&lt;="&amp;Til))</f>
        <v/>
      </c>
      <c r="G49" s="45">
        <f>IF($A49="","",SUMIFS(TF_Timer,TF_Tekniker,$A49,TF_Akt,G$42,TF_Dato,"&gt;="&amp;Fra,TF_Dato,"&lt;="&amp;Til))</f>
        <v/>
      </c>
      <c r="H49" s="45">
        <f>IF($A49="","",SUMIFS(TF_Timer,TF_Tekniker,$A49,TF_Akt,H$42,TF_Dato,"&gt;="&amp;Fra,TF_Dato,"&lt;="&amp;Til))</f>
        <v/>
      </c>
      <c r="I49" s="45">
        <f>IF($A49="","",SUMIFS(TF_Timer,TF_Tekniker,$A49,TF_Akt,I$42,TF_Dato,"&gt;="&amp;Fra,TF_Dato,"&lt;="&amp;Til))</f>
        <v/>
      </c>
      <c r="J49" s="45">
        <f>IF($A49="","",SUMIFS(TF_Timer,TF_Tekniker,$A49,TF_Akt,J$42,TF_Dato,"&gt;="&amp;Fra,TF_Dato,"&lt;="&amp;Til))</f>
        <v/>
      </c>
      <c r="K49" s="45">
        <f>IF($A49="","",SUMIFS(TF_Timer,TF_Tekniker,$A49,TF_Akt,K$42,TF_Dato,"&gt;="&amp;Fra,TF_Dato,"&lt;="&amp;Til))</f>
        <v/>
      </c>
      <c r="L49" s="45">
        <f>IF($A49="","",SUMIFS(TF_Timer,TF_Tekniker,$A49,TF_Akt,L$42,TF_Dato,"&gt;="&amp;Fra,TF_Dato,"&lt;="&amp;Til))</f>
        <v/>
      </c>
      <c r="M49" s="57">
        <f>IF($A49="","",SUM(B49:L49))</f>
        <v/>
      </c>
      <c r="N49" s="45">
        <f>IF($A49="","",SUMIFS(TF_Timer,TF_Tekniker,$A49,TF_Overtid,"Ja",TF_Dato,"&gt;="&amp;Fra,TF_Dato,"&lt;="&amp;Til))</f>
        <v/>
      </c>
    </row>
    <row r="50" hidden="1" outlineLevel="1">
      <c r="A50" s="56">
        <f>INDEX(Teknikere,7)&amp;""</f>
        <v/>
      </c>
      <c r="B50" s="45">
        <f>IF($A50="","",SUMIFS(TF_Timer,TF_Tekniker,$A50,TF_Akt,B$42,TF_Dato,"&gt;="&amp;Fra,TF_Dato,"&lt;="&amp;Til))</f>
        <v/>
      </c>
      <c r="C50" s="45">
        <f>IF($A50="","",SUMIFS(TF_Timer,TF_Tekniker,$A50,TF_Akt,C$42,TF_Dato,"&gt;="&amp;Fra,TF_Dato,"&lt;="&amp;Til)+SUMIFS(INDEX(GR_Auto,0,7),GR_Dato,"&gt;="&amp;Fra,GR_Dato,"&lt;="&amp;Til))</f>
        <v/>
      </c>
      <c r="D50" s="45">
        <f>IF($A50="","",SUMIFS(TF_Timer,TF_Tekniker,$A50,TF_Akt,D$42,TF_Dato,"&gt;="&amp;Fra,TF_Dato,"&lt;="&amp;Til))</f>
        <v/>
      </c>
      <c r="E50" s="45">
        <f>IF($A50="","",SUMIFS(TF_Timer,TF_Tekniker,$A50,TF_Akt,E$42,TF_Dato,"&gt;="&amp;Fra,TF_Dato,"&lt;="&amp;Til))</f>
        <v/>
      </c>
      <c r="F50" s="45">
        <f>IF($A50="","",SUMIFS(TF_Timer,TF_Tekniker,$A50,TF_Akt,F$42,TF_Dato,"&gt;="&amp;Fra,TF_Dato,"&lt;="&amp;Til))</f>
        <v/>
      </c>
      <c r="G50" s="45">
        <f>IF($A50="","",SUMIFS(TF_Timer,TF_Tekniker,$A50,TF_Akt,G$42,TF_Dato,"&gt;="&amp;Fra,TF_Dato,"&lt;="&amp;Til))</f>
        <v/>
      </c>
      <c r="H50" s="45">
        <f>IF($A50="","",SUMIFS(TF_Timer,TF_Tekniker,$A50,TF_Akt,H$42,TF_Dato,"&gt;="&amp;Fra,TF_Dato,"&lt;="&amp;Til))</f>
        <v/>
      </c>
      <c r="I50" s="45">
        <f>IF($A50="","",SUMIFS(TF_Timer,TF_Tekniker,$A50,TF_Akt,I$42,TF_Dato,"&gt;="&amp;Fra,TF_Dato,"&lt;="&amp;Til))</f>
        <v/>
      </c>
      <c r="J50" s="45">
        <f>IF($A50="","",SUMIFS(TF_Timer,TF_Tekniker,$A50,TF_Akt,J$42,TF_Dato,"&gt;="&amp;Fra,TF_Dato,"&lt;="&amp;Til))</f>
        <v/>
      </c>
      <c r="K50" s="45">
        <f>IF($A50="","",SUMIFS(TF_Timer,TF_Tekniker,$A50,TF_Akt,K$42,TF_Dato,"&gt;="&amp;Fra,TF_Dato,"&lt;="&amp;Til))</f>
        <v/>
      </c>
      <c r="L50" s="45">
        <f>IF($A50="","",SUMIFS(TF_Timer,TF_Tekniker,$A50,TF_Akt,L$42,TF_Dato,"&gt;="&amp;Fra,TF_Dato,"&lt;="&amp;Til))</f>
        <v/>
      </c>
      <c r="M50" s="57">
        <f>IF($A50="","",SUM(B50:L50))</f>
        <v/>
      </c>
      <c r="N50" s="45">
        <f>IF($A50="","",SUMIFS(TF_Timer,TF_Tekniker,$A50,TF_Overtid,"Ja",TF_Dato,"&gt;="&amp;Fra,TF_Dato,"&lt;="&amp;Til))</f>
        <v/>
      </c>
    </row>
    <row r="51" hidden="1" outlineLevel="1">
      <c r="A51" s="56">
        <f>INDEX(Teknikere,8)&amp;""</f>
        <v/>
      </c>
      <c r="B51" s="45">
        <f>IF($A51="","",SUMIFS(TF_Timer,TF_Tekniker,$A51,TF_Akt,B$42,TF_Dato,"&gt;="&amp;Fra,TF_Dato,"&lt;="&amp;Til))</f>
        <v/>
      </c>
      <c r="C51" s="45">
        <f>IF($A51="","",SUMIFS(TF_Timer,TF_Tekniker,$A51,TF_Akt,C$42,TF_Dato,"&gt;="&amp;Fra,TF_Dato,"&lt;="&amp;Til)+SUMIFS(INDEX(GR_Auto,0,8),GR_Dato,"&gt;="&amp;Fra,GR_Dato,"&lt;="&amp;Til))</f>
        <v/>
      </c>
      <c r="D51" s="45">
        <f>IF($A51="","",SUMIFS(TF_Timer,TF_Tekniker,$A51,TF_Akt,D$42,TF_Dato,"&gt;="&amp;Fra,TF_Dato,"&lt;="&amp;Til))</f>
        <v/>
      </c>
      <c r="E51" s="45">
        <f>IF($A51="","",SUMIFS(TF_Timer,TF_Tekniker,$A51,TF_Akt,E$42,TF_Dato,"&gt;="&amp;Fra,TF_Dato,"&lt;="&amp;Til))</f>
        <v/>
      </c>
      <c r="F51" s="45">
        <f>IF($A51="","",SUMIFS(TF_Timer,TF_Tekniker,$A51,TF_Akt,F$42,TF_Dato,"&gt;="&amp;Fra,TF_Dato,"&lt;="&amp;Til))</f>
        <v/>
      </c>
      <c r="G51" s="45">
        <f>IF($A51="","",SUMIFS(TF_Timer,TF_Tekniker,$A51,TF_Akt,G$42,TF_Dato,"&gt;="&amp;Fra,TF_Dato,"&lt;="&amp;Til))</f>
        <v/>
      </c>
      <c r="H51" s="45">
        <f>IF($A51="","",SUMIFS(TF_Timer,TF_Tekniker,$A51,TF_Akt,H$42,TF_Dato,"&gt;="&amp;Fra,TF_Dato,"&lt;="&amp;Til))</f>
        <v/>
      </c>
      <c r="I51" s="45">
        <f>IF($A51="","",SUMIFS(TF_Timer,TF_Tekniker,$A51,TF_Akt,I$42,TF_Dato,"&gt;="&amp;Fra,TF_Dato,"&lt;="&amp;Til))</f>
        <v/>
      </c>
      <c r="J51" s="45">
        <f>IF($A51="","",SUMIFS(TF_Timer,TF_Tekniker,$A51,TF_Akt,J$42,TF_Dato,"&gt;="&amp;Fra,TF_Dato,"&lt;="&amp;Til))</f>
        <v/>
      </c>
      <c r="K51" s="45">
        <f>IF($A51="","",SUMIFS(TF_Timer,TF_Tekniker,$A51,TF_Akt,K$42,TF_Dato,"&gt;="&amp;Fra,TF_Dato,"&lt;="&amp;Til))</f>
        <v/>
      </c>
      <c r="L51" s="45">
        <f>IF($A51="","",SUMIFS(TF_Timer,TF_Tekniker,$A51,TF_Akt,L$42,TF_Dato,"&gt;="&amp;Fra,TF_Dato,"&lt;="&amp;Til))</f>
        <v/>
      </c>
      <c r="M51" s="57">
        <f>IF($A51="","",SUM(B51:L51))</f>
        <v/>
      </c>
      <c r="N51" s="45">
        <f>IF($A51="","",SUMIFS(TF_Timer,TF_Tekniker,$A51,TF_Overtid,"Ja",TF_Dato,"&gt;="&amp;Fra,TF_Dato,"&lt;="&amp;Til))</f>
        <v/>
      </c>
    </row>
    <row r="52" hidden="1" outlineLevel="1">
      <c r="A52" s="56">
        <f>INDEX(Teknikere,9)&amp;""</f>
        <v/>
      </c>
      <c r="B52" s="45">
        <f>IF($A52="","",SUMIFS(TF_Timer,TF_Tekniker,$A52,TF_Akt,B$42,TF_Dato,"&gt;="&amp;Fra,TF_Dato,"&lt;="&amp;Til))</f>
        <v/>
      </c>
      <c r="C52" s="45">
        <f>IF($A52="","",SUMIFS(TF_Timer,TF_Tekniker,$A52,TF_Akt,C$42,TF_Dato,"&gt;="&amp;Fra,TF_Dato,"&lt;="&amp;Til)+SUMIFS(INDEX(GR_Auto,0,9),GR_Dato,"&gt;="&amp;Fra,GR_Dato,"&lt;="&amp;Til))</f>
        <v/>
      </c>
      <c r="D52" s="45">
        <f>IF($A52="","",SUMIFS(TF_Timer,TF_Tekniker,$A52,TF_Akt,D$42,TF_Dato,"&gt;="&amp;Fra,TF_Dato,"&lt;="&amp;Til))</f>
        <v/>
      </c>
      <c r="E52" s="45">
        <f>IF($A52="","",SUMIFS(TF_Timer,TF_Tekniker,$A52,TF_Akt,E$42,TF_Dato,"&gt;="&amp;Fra,TF_Dato,"&lt;="&amp;Til))</f>
        <v/>
      </c>
      <c r="F52" s="45">
        <f>IF($A52="","",SUMIFS(TF_Timer,TF_Tekniker,$A52,TF_Akt,F$42,TF_Dato,"&gt;="&amp;Fra,TF_Dato,"&lt;="&amp;Til))</f>
        <v/>
      </c>
      <c r="G52" s="45">
        <f>IF($A52="","",SUMIFS(TF_Timer,TF_Tekniker,$A52,TF_Akt,G$42,TF_Dato,"&gt;="&amp;Fra,TF_Dato,"&lt;="&amp;Til))</f>
        <v/>
      </c>
      <c r="H52" s="45">
        <f>IF($A52="","",SUMIFS(TF_Timer,TF_Tekniker,$A52,TF_Akt,H$42,TF_Dato,"&gt;="&amp;Fra,TF_Dato,"&lt;="&amp;Til))</f>
        <v/>
      </c>
      <c r="I52" s="45">
        <f>IF($A52="","",SUMIFS(TF_Timer,TF_Tekniker,$A52,TF_Akt,I$42,TF_Dato,"&gt;="&amp;Fra,TF_Dato,"&lt;="&amp;Til))</f>
        <v/>
      </c>
      <c r="J52" s="45">
        <f>IF($A52="","",SUMIFS(TF_Timer,TF_Tekniker,$A52,TF_Akt,J$42,TF_Dato,"&gt;="&amp;Fra,TF_Dato,"&lt;="&amp;Til))</f>
        <v/>
      </c>
      <c r="K52" s="45">
        <f>IF($A52="","",SUMIFS(TF_Timer,TF_Tekniker,$A52,TF_Akt,K$42,TF_Dato,"&gt;="&amp;Fra,TF_Dato,"&lt;="&amp;Til))</f>
        <v/>
      </c>
      <c r="L52" s="45">
        <f>IF($A52="","",SUMIFS(TF_Timer,TF_Tekniker,$A52,TF_Akt,L$42,TF_Dato,"&gt;="&amp;Fra,TF_Dato,"&lt;="&amp;Til))</f>
        <v/>
      </c>
      <c r="M52" s="57">
        <f>IF($A52="","",SUM(B52:L52))</f>
        <v/>
      </c>
      <c r="N52" s="45">
        <f>IF($A52="","",SUMIFS(TF_Timer,TF_Tekniker,$A52,TF_Overtid,"Ja",TF_Dato,"&gt;="&amp;Fra,TF_Dato,"&lt;="&amp;Til))</f>
        <v/>
      </c>
    </row>
    <row r="53" hidden="1" outlineLevel="1">
      <c r="A53" s="56">
        <f>INDEX(Teknikere,10)&amp;""</f>
        <v/>
      </c>
      <c r="B53" s="45">
        <f>IF($A53="","",SUMIFS(TF_Timer,TF_Tekniker,$A53,TF_Akt,B$42,TF_Dato,"&gt;="&amp;Fra,TF_Dato,"&lt;="&amp;Til))</f>
        <v/>
      </c>
      <c r="C53" s="45">
        <f>IF($A53="","",SUMIFS(TF_Timer,TF_Tekniker,$A53,TF_Akt,C$42,TF_Dato,"&gt;="&amp;Fra,TF_Dato,"&lt;="&amp;Til)+SUMIFS(INDEX(GR_Auto,0,10),GR_Dato,"&gt;="&amp;Fra,GR_Dato,"&lt;="&amp;Til))</f>
        <v/>
      </c>
      <c r="D53" s="45">
        <f>IF($A53="","",SUMIFS(TF_Timer,TF_Tekniker,$A53,TF_Akt,D$42,TF_Dato,"&gt;="&amp;Fra,TF_Dato,"&lt;="&amp;Til))</f>
        <v/>
      </c>
      <c r="E53" s="45">
        <f>IF($A53="","",SUMIFS(TF_Timer,TF_Tekniker,$A53,TF_Akt,E$42,TF_Dato,"&gt;="&amp;Fra,TF_Dato,"&lt;="&amp;Til))</f>
        <v/>
      </c>
      <c r="F53" s="45">
        <f>IF($A53="","",SUMIFS(TF_Timer,TF_Tekniker,$A53,TF_Akt,F$42,TF_Dato,"&gt;="&amp;Fra,TF_Dato,"&lt;="&amp;Til))</f>
        <v/>
      </c>
      <c r="G53" s="45">
        <f>IF($A53="","",SUMIFS(TF_Timer,TF_Tekniker,$A53,TF_Akt,G$42,TF_Dato,"&gt;="&amp;Fra,TF_Dato,"&lt;="&amp;Til))</f>
        <v/>
      </c>
      <c r="H53" s="45">
        <f>IF($A53="","",SUMIFS(TF_Timer,TF_Tekniker,$A53,TF_Akt,H$42,TF_Dato,"&gt;="&amp;Fra,TF_Dato,"&lt;="&amp;Til))</f>
        <v/>
      </c>
      <c r="I53" s="45">
        <f>IF($A53="","",SUMIFS(TF_Timer,TF_Tekniker,$A53,TF_Akt,I$42,TF_Dato,"&gt;="&amp;Fra,TF_Dato,"&lt;="&amp;Til))</f>
        <v/>
      </c>
      <c r="J53" s="45">
        <f>IF($A53="","",SUMIFS(TF_Timer,TF_Tekniker,$A53,TF_Akt,J$42,TF_Dato,"&gt;="&amp;Fra,TF_Dato,"&lt;="&amp;Til))</f>
        <v/>
      </c>
      <c r="K53" s="45">
        <f>IF($A53="","",SUMIFS(TF_Timer,TF_Tekniker,$A53,TF_Akt,K$42,TF_Dato,"&gt;="&amp;Fra,TF_Dato,"&lt;="&amp;Til))</f>
        <v/>
      </c>
      <c r="L53" s="45">
        <f>IF($A53="","",SUMIFS(TF_Timer,TF_Tekniker,$A53,TF_Akt,L$42,TF_Dato,"&gt;="&amp;Fra,TF_Dato,"&lt;="&amp;Til))</f>
        <v/>
      </c>
      <c r="M53" s="57">
        <f>IF($A53="","",SUM(B53:L53))</f>
        <v/>
      </c>
      <c r="N53" s="45">
        <f>IF($A53="","",SUMIFS(TF_Timer,TF_Tekniker,$A53,TF_Overtid,"Ja",TF_Dato,"&gt;="&amp;Fra,TF_Dato,"&lt;="&amp;Til))</f>
        <v/>
      </c>
    </row>
    <row r="54" hidden="1" outlineLevel="1">
      <c r="A54" s="56">
        <f>INDEX(Teknikere,11)&amp;""</f>
        <v/>
      </c>
      <c r="B54" s="45">
        <f>IF($A54="","",SUMIFS(TF_Timer,TF_Tekniker,$A54,TF_Akt,B$42,TF_Dato,"&gt;="&amp;Fra,TF_Dato,"&lt;="&amp;Til))</f>
        <v/>
      </c>
      <c r="C54" s="45">
        <f>IF($A54="","",SUMIFS(TF_Timer,TF_Tekniker,$A54,TF_Akt,C$42,TF_Dato,"&gt;="&amp;Fra,TF_Dato,"&lt;="&amp;Til)+SUMIFS(INDEX(GR_Auto,0,11),GR_Dato,"&gt;="&amp;Fra,GR_Dato,"&lt;="&amp;Til))</f>
        <v/>
      </c>
      <c r="D54" s="45">
        <f>IF($A54="","",SUMIFS(TF_Timer,TF_Tekniker,$A54,TF_Akt,D$42,TF_Dato,"&gt;="&amp;Fra,TF_Dato,"&lt;="&amp;Til))</f>
        <v/>
      </c>
      <c r="E54" s="45">
        <f>IF($A54="","",SUMIFS(TF_Timer,TF_Tekniker,$A54,TF_Akt,E$42,TF_Dato,"&gt;="&amp;Fra,TF_Dato,"&lt;="&amp;Til))</f>
        <v/>
      </c>
      <c r="F54" s="45">
        <f>IF($A54="","",SUMIFS(TF_Timer,TF_Tekniker,$A54,TF_Akt,F$42,TF_Dato,"&gt;="&amp;Fra,TF_Dato,"&lt;="&amp;Til))</f>
        <v/>
      </c>
      <c r="G54" s="45">
        <f>IF($A54="","",SUMIFS(TF_Timer,TF_Tekniker,$A54,TF_Akt,G$42,TF_Dato,"&gt;="&amp;Fra,TF_Dato,"&lt;="&amp;Til))</f>
        <v/>
      </c>
      <c r="H54" s="45">
        <f>IF($A54="","",SUMIFS(TF_Timer,TF_Tekniker,$A54,TF_Akt,H$42,TF_Dato,"&gt;="&amp;Fra,TF_Dato,"&lt;="&amp;Til))</f>
        <v/>
      </c>
      <c r="I54" s="45">
        <f>IF($A54="","",SUMIFS(TF_Timer,TF_Tekniker,$A54,TF_Akt,I$42,TF_Dato,"&gt;="&amp;Fra,TF_Dato,"&lt;="&amp;Til))</f>
        <v/>
      </c>
      <c r="J54" s="45">
        <f>IF($A54="","",SUMIFS(TF_Timer,TF_Tekniker,$A54,TF_Akt,J$42,TF_Dato,"&gt;="&amp;Fra,TF_Dato,"&lt;="&amp;Til))</f>
        <v/>
      </c>
      <c r="K54" s="45">
        <f>IF($A54="","",SUMIFS(TF_Timer,TF_Tekniker,$A54,TF_Akt,K$42,TF_Dato,"&gt;="&amp;Fra,TF_Dato,"&lt;="&amp;Til))</f>
        <v/>
      </c>
      <c r="L54" s="45">
        <f>IF($A54="","",SUMIFS(TF_Timer,TF_Tekniker,$A54,TF_Akt,L$42,TF_Dato,"&gt;="&amp;Fra,TF_Dato,"&lt;="&amp;Til))</f>
        <v/>
      </c>
      <c r="M54" s="57">
        <f>IF($A54="","",SUM(B54:L54))</f>
        <v/>
      </c>
      <c r="N54" s="45">
        <f>IF($A54="","",SUMIFS(TF_Timer,TF_Tekniker,$A54,TF_Overtid,"Ja",TF_Dato,"&gt;="&amp;Fra,TF_Dato,"&lt;="&amp;Til))</f>
        <v/>
      </c>
    </row>
    <row r="55" hidden="1" outlineLevel="1">
      <c r="A55" s="56">
        <f>INDEX(Teknikere,12)&amp;""</f>
        <v/>
      </c>
      <c r="B55" s="45">
        <f>IF($A55="","",SUMIFS(TF_Timer,TF_Tekniker,$A55,TF_Akt,B$42,TF_Dato,"&gt;="&amp;Fra,TF_Dato,"&lt;="&amp;Til))</f>
        <v/>
      </c>
      <c r="C55" s="45">
        <f>IF($A55="","",SUMIFS(TF_Timer,TF_Tekniker,$A55,TF_Akt,C$42,TF_Dato,"&gt;="&amp;Fra,TF_Dato,"&lt;="&amp;Til)+SUMIFS(INDEX(GR_Auto,0,12),GR_Dato,"&gt;="&amp;Fra,GR_Dato,"&lt;="&amp;Til))</f>
        <v/>
      </c>
      <c r="D55" s="45">
        <f>IF($A55="","",SUMIFS(TF_Timer,TF_Tekniker,$A55,TF_Akt,D$42,TF_Dato,"&gt;="&amp;Fra,TF_Dato,"&lt;="&amp;Til))</f>
        <v/>
      </c>
      <c r="E55" s="45">
        <f>IF($A55="","",SUMIFS(TF_Timer,TF_Tekniker,$A55,TF_Akt,E$42,TF_Dato,"&gt;="&amp;Fra,TF_Dato,"&lt;="&amp;Til))</f>
        <v/>
      </c>
      <c r="F55" s="45">
        <f>IF($A55="","",SUMIFS(TF_Timer,TF_Tekniker,$A55,TF_Akt,F$42,TF_Dato,"&gt;="&amp;Fra,TF_Dato,"&lt;="&amp;Til))</f>
        <v/>
      </c>
      <c r="G55" s="45">
        <f>IF($A55="","",SUMIFS(TF_Timer,TF_Tekniker,$A55,TF_Akt,G$42,TF_Dato,"&gt;="&amp;Fra,TF_Dato,"&lt;="&amp;Til))</f>
        <v/>
      </c>
      <c r="H55" s="45">
        <f>IF($A55="","",SUMIFS(TF_Timer,TF_Tekniker,$A55,TF_Akt,H$42,TF_Dato,"&gt;="&amp;Fra,TF_Dato,"&lt;="&amp;Til))</f>
        <v/>
      </c>
      <c r="I55" s="45">
        <f>IF($A55="","",SUMIFS(TF_Timer,TF_Tekniker,$A55,TF_Akt,I$42,TF_Dato,"&gt;="&amp;Fra,TF_Dato,"&lt;="&amp;Til))</f>
        <v/>
      </c>
      <c r="J55" s="45">
        <f>IF($A55="","",SUMIFS(TF_Timer,TF_Tekniker,$A55,TF_Akt,J$42,TF_Dato,"&gt;="&amp;Fra,TF_Dato,"&lt;="&amp;Til))</f>
        <v/>
      </c>
      <c r="K55" s="45">
        <f>IF($A55="","",SUMIFS(TF_Timer,TF_Tekniker,$A55,TF_Akt,K$42,TF_Dato,"&gt;="&amp;Fra,TF_Dato,"&lt;="&amp;Til))</f>
        <v/>
      </c>
      <c r="L55" s="45">
        <f>IF($A55="","",SUMIFS(TF_Timer,TF_Tekniker,$A55,TF_Akt,L$42,TF_Dato,"&gt;="&amp;Fra,TF_Dato,"&lt;="&amp;Til))</f>
        <v/>
      </c>
      <c r="M55" s="57">
        <f>IF($A55="","",SUM(B55:L55))</f>
        <v/>
      </c>
      <c r="N55" s="45">
        <f>IF($A55="","",SUMIFS(TF_Timer,TF_Tekniker,$A55,TF_Overtid,"Ja",TF_Dato,"&gt;="&amp;Fra,TF_Dato,"&lt;="&amp;Til))</f>
        <v/>
      </c>
    </row>
    <row r="56" hidden="1" outlineLevel="1">
      <c r="A56" s="56">
        <f>INDEX(Teknikere,13)&amp;""</f>
        <v/>
      </c>
      <c r="B56" s="45">
        <f>IF($A56="","",SUMIFS(TF_Timer,TF_Tekniker,$A56,TF_Akt,B$42,TF_Dato,"&gt;="&amp;Fra,TF_Dato,"&lt;="&amp;Til))</f>
        <v/>
      </c>
      <c r="C56" s="45">
        <f>IF($A56="","",SUMIFS(TF_Timer,TF_Tekniker,$A56,TF_Akt,C$42,TF_Dato,"&gt;="&amp;Fra,TF_Dato,"&lt;="&amp;Til)+SUMIFS(INDEX(GR_Auto,0,13),GR_Dato,"&gt;="&amp;Fra,GR_Dato,"&lt;="&amp;Til))</f>
        <v/>
      </c>
      <c r="D56" s="45">
        <f>IF($A56="","",SUMIFS(TF_Timer,TF_Tekniker,$A56,TF_Akt,D$42,TF_Dato,"&gt;="&amp;Fra,TF_Dato,"&lt;="&amp;Til))</f>
        <v/>
      </c>
      <c r="E56" s="45">
        <f>IF($A56="","",SUMIFS(TF_Timer,TF_Tekniker,$A56,TF_Akt,E$42,TF_Dato,"&gt;="&amp;Fra,TF_Dato,"&lt;="&amp;Til))</f>
        <v/>
      </c>
      <c r="F56" s="45">
        <f>IF($A56="","",SUMIFS(TF_Timer,TF_Tekniker,$A56,TF_Akt,F$42,TF_Dato,"&gt;="&amp;Fra,TF_Dato,"&lt;="&amp;Til))</f>
        <v/>
      </c>
      <c r="G56" s="45">
        <f>IF($A56="","",SUMIFS(TF_Timer,TF_Tekniker,$A56,TF_Akt,G$42,TF_Dato,"&gt;="&amp;Fra,TF_Dato,"&lt;="&amp;Til))</f>
        <v/>
      </c>
      <c r="H56" s="45">
        <f>IF($A56="","",SUMIFS(TF_Timer,TF_Tekniker,$A56,TF_Akt,H$42,TF_Dato,"&gt;="&amp;Fra,TF_Dato,"&lt;="&amp;Til))</f>
        <v/>
      </c>
      <c r="I56" s="45">
        <f>IF($A56="","",SUMIFS(TF_Timer,TF_Tekniker,$A56,TF_Akt,I$42,TF_Dato,"&gt;="&amp;Fra,TF_Dato,"&lt;="&amp;Til))</f>
        <v/>
      </c>
      <c r="J56" s="45">
        <f>IF($A56="","",SUMIFS(TF_Timer,TF_Tekniker,$A56,TF_Akt,J$42,TF_Dato,"&gt;="&amp;Fra,TF_Dato,"&lt;="&amp;Til))</f>
        <v/>
      </c>
      <c r="K56" s="45">
        <f>IF($A56="","",SUMIFS(TF_Timer,TF_Tekniker,$A56,TF_Akt,K$42,TF_Dato,"&gt;="&amp;Fra,TF_Dato,"&lt;="&amp;Til))</f>
        <v/>
      </c>
      <c r="L56" s="45">
        <f>IF($A56="","",SUMIFS(TF_Timer,TF_Tekniker,$A56,TF_Akt,L$42,TF_Dato,"&gt;="&amp;Fra,TF_Dato,"&lt;="&amp;Til))</f>
        <v/>
      </c>
      <c r="M56" s="57">
        <f>IF($A56="","",SUM(B56:L56))</f>
        <v/>
      </c>
      <c r="N56" s="45">
        <f>IF($A56="","",SUMIFS(TF_Timer,TF_Tekniker,$A56,TF_Overtid,"Ja",TF_Dato,"&gt;="&amp;Fra,TF_Dato,"&lt;="&amp;Til))</f>
        <v/>
      </c>
    </row>
    <row r="57" hidden="1" outlineLevel="1">
      <c r="A57" s="56">
        <f>INDEX(Teknikere,14)&amp;""</f>
        <v/>
      </c>
      <c r="B57" s="45">
        <f>IF($A57="","",SUMIFS(TF_Timer,TF_Tekniker,$A57,TF_Akt,B$42,TF_Dato,"&gt;="&amp;Fra,TF_Dato,"&lt;="&amp;Til))</f>
        <v/>
      </c>
      <c r="C57" s="45">
        <f>IF($A57="","",SUMIFS(TF_Timer,TF_Tekniker,$A57,TF_Akt,C$42,TF_Dato,"&gt;="&amp;Fra,TF_Dato,"&lt;="&amp;Til)+SUMIFS(INDEX(GR_Auto,0,14),GR_Dato,"&gt;="&amp;Fra,GR_Dato,"&lt;="&amp;Til))</f>
        <v/>
      </c>
      <c r="D57" s="45">
        <f>IF($A57="","",SUMIFS(TF_Timer,TF_Tekniker,$A57,TF_Akt,D$42,TF_Dato,"&gt;="&amp;Fra,TF_Dato,"&lt;="&amp;Til))</f>
        <v/>
      </c>
      <c r="E57" s="45">
        <f>IF($A57="","",SUMIFS(TF_Timer,TF_Tekniker,$A57,TF_Akt,E$42,TF_Dato,"&gt;="&amp;Fra,TF_Dato,"&lt;="&amp;Til))</f>
        <v/>
      </c>
      <c r="F57" s="45">
        <f>IF($A57="","",SUMIFS(TF_Timer,TF_Tekniker,$A57,TF_Akt,F$42,TF_Dato,"&gt;="&amp;Fra,TF_Dato,"&lt;="&amp;Til))</f>
        <v/>
      </c>
      <c r="G57" s="45">
        <f>IF($A57="","",SUMIFS(TF_Timer,TF_Tekniker,$A57,TF_Akt,G$42,TF_Dato,"&gt;="&amp;Fra,TF_Dato,"&lt;="&amp;Til))</f>
        <v/>
      </c>
      <c r="H57" s="45">
        <f>IF($A57="","",SUMIFS(TF_Timer,TF_Tekniker,$A57,TF_Akt,H$42,TF_Dato,"&gt;="&amp;Fra,TF_Dato,"&lt;="&amp;Til))</f>
        <v/>
      </c>
      <c r="I57" s="45">
        <f>IF($A57="","",SUMIFS(TF_Timer,TF_Tekniker,$A57,TF_Akt,I$42,TF_Dato,"&gt;="&amp;Fra,TF_Dato,"&lt;="&amp;Til))</f>
        <v/>
      </c>
      <c r="J57" s="45">
        <f>IF($A57="","",SUMIFS(TF_Timer,TF_Tekniker,$A57,TF_Akt,J$42,TF_Dato,"&gt;="&amp;Fra,TF_Dato,"&lt;="&amp;Til))</f>
        <v/>
      </c>
      <c r="K57" s="45">
        <f>IF($A57="","",SUMIFS(TF_Timer,TF_Tekniker,$A57,TF_Akt,K$42,TF_Dato,"&gt;="&amp;Fra,TF_Dato,"&lt;="&amp;Til))</f>
        <v/>
      </c>
      <c r="L57" s="45">
        <f>IF($A57="","",SUMIFS(TF_Timer,TF_Tekniker,$A57,TF_Akt,L$42,TF_Dato,"&gt;="&amp;Fra,TF_Dato,"&lt;="&amp;Til))</f>
        <v/>
      </c>
      <c r="M57" s="57">
        <f>IF($A57="","",SUM(B57:L57))</f>
        <v/>
      </c>
      <c r="N57" s="45">
        <f>IF($A57="","",SUMIFS(TF_Timer,TF_Tekniker,$A57,TF_Overtid,"Ja",TF_Dato,"&gt;="&amp;Fra,TF_Dato,"&lt;="&amp;Til))</f>
        <v/>
      </c>
    </row>
    <row r="58" hidden="1" outlineLevel="1">
      <c r="A58" s="56">
        <f>INDEX(Teknikere,15)&amp;""</f>
        <v/>
      </c>
      <c r="B58" s="45">
        <f>IF($A58="","",SUMIFS(TF_Timer,TF_Tekniker,$A58,TF_Akt,B$42,TF_Dato,"&gt;="&amp;Fra,TF_Dato,"&lt;="&amp;Til))</f>
        <v/>
      </c>
      <c r="C58" s="45">
        <f>IF($A58="","",SUMIFS(TF_Timer,TF_Tekniker,$A58,TF_Akt,C$42,TF_Dato,"&gt;="&amp;Fra,TF_Dato,"&lt;="&amp;Til)+SUMIFS(INDEX(GR_Auto,0,15),GR_Dato,"&gt;="&amp;Fra,GR_Dato,"&lt;="&amp;Til))</f>
        <v/>
      </c>
      <c r="D58" s="45">
        <f>IF($A58="","",SUMIFS(TF_Timer,TF_Tekniker,$A58,TF_Akt,D$42,TF_Dato,"&gt;="&amp;Fra,TF_Dato,"&lt;="&amp;Til))</f>
        <v/>
      </c>
      <c r="E58" s="45">
        <f>IF($A58="","",SUMIFS(TF_Timer,TF_Tekniker,$A58,TF_Akt,E$42,TF_Dato,"&gt;="&amp;Fra,TF_Dato,"&lt;="&amp;Til))</f>
        <v/>
      </c>
      <c r="F58" s="45">
        <f>IF($A58="","",SUMIFS(TF_Timer,TF_Tekniker,$A58,TF_Akt,F$42,TF_Dato,"&gt;="&amp;Fra,TF_Dato,"&lt;="&amp;Til))</f>
        <v/>
      </c>
      <c r="G58" s="45">
        <f>IF($A58="","",SUMIFS(TF_Timer,TF_Tekniker,$A58,TF_Akt,G$42,TF_Dato,"&gt;="&amp;Fra,TF_Dato,"&lt;="&amp;Til))</f>
        <v/>
      </c>
      <c r="H58" s="45">
        <f>IF($A58="","",SUMIFS(TF_Timer,TF_Tekniker,$A58,TF_Akt,H$42,TF_Dato,"&gt;="&amp;Fra,TF_Dato,"&lt;="&amp;Til))</f>
        <v/>
      </c>
      <c r="I58" s="45">
        <f>IF($A58="","",SUMIFS(TF_Timer,TF_Tekniker,$A58,TF_Akt,I$42,TF_Dato,"&gt;="&amp;Fra,TF_Dato,"&lt;="&amp;Til))</f>
        <v/>
      </c>
      <c r="J58" s="45">
        <f>IF($A58="","",SUMIFS(TF_Timer,TF_Tekniker,$A58,TF_Akt,J$42,TF_Dato,"&gt;="&amp;Fra,TF_Dato,"&lt;="&amp;Til))</f>
        <v/>
      </c>
      <c r="K58" s="45">
        <f>IF($A58="","",SUMIFS(TF_Timer,TF_Tekniker,$A58,TF_Akt,K$42,TF_Dato,"&gt;="&amp;Fra,TF_Dato,"&lt;="&amp;Til))</f>
        <v/>
      </c>
      <c r="L58" s="45">
        <f>IF($A58="","",SUMIFS(TF_Timer,TF_Tekniker,$A58,TF_Akt,L$42,TF_Dato,"&gt;="&amp;Fra,TF_Dato,"&lt;="&amp;Til))</f>
        <v/>
      </c>
      <c r="M58" s="57">
        <f>IF($A58="","",SUM(B58:L58))</f>
        <v/>
      </c>
      <c r="N58" s="45">
        <f>IF($A58="","",SUMIFS(TF_Timer,TF_Tekniker,$A58,TF_Overtid,"Ja",TF_Dato,"&gt;="&amp;Fra,TF_Dato,"&lt;="&amp;Til))</f>
        <v/>
      </c>
    </row>
    <row r="59" hidden="1" outlineLevel="1">
      <c r="A59" s="56">
        <f>INDEX(Teknikere,16)&amp;""</f>
        <v/>
      </c>
      <c r="B59" s="45">
        <f>IF($A59="","",SUMIFS(TF_Timer,TF_Tekniker,$A59,TF_Akt,B$42,TF_Dato,"&gt;="&amp;Fra,TF_Dato,"&lt;="&amp;Til))</f>
        <v/>
      </c>
      <c r="C59" s="45">
        <f>IF($A59="","",SUMIFS(TF_Timer,TF_Tekniker,$A59,TF_Akt,C$42,TF_Dato,"&gt;="&amp;Fra,TF_Dato,"&lt;="&amp;Til)+SUMIFS(INDEX(GR_Auto,0,16),GR_Dato,"&gt;="&amp;Fra,GR_Dato,"&lt;="&amp;Til))</f>
        <v/>
      </c>
      <c r="D59" s="45">
        <f>IF($A59="","",SUMIFS(TF_Timer,TF_Tekniker,$A59,TF_Akt,D$42,TF_Dato,"&gt;="&amp;Fra,TF_Dato,"&lt;="&amp;Til))</f>
        <v/>
      </c>
      <c r="E59" s="45">
        <f>IF($A59="","",SUMIFS(TF_Timer,TF_Tekniker,$A59,TF_Akt,E$42,TF_Dato,"&gt;="&amp;Fra,TF_Dato,"&lt;="&amp;Til))</f>
        <v/>
      </c>
      <c r="F59" s="45">
        <f>IF($A59="","",SUMIFS(TF_Timer,TF_Tekniker,$A59,TF_Akt,F$42,TF_Dato,"&gt;="&amp;Fra,TF_Dato,"&lt;="&amp;Til))</f>
        <v/>
      </c>
      <c r="G59" s="45">
        <f>IF($A59="","",SUMIFS(TF_Timer,TF_Tekniker,$A59,TF_Akt,G$42,TF_Dato,"&gt;="&amp;Fra,TF_Dato,"&lt;="&amp;Til))</f>
        <v/>
      </c>
      <c r="H59" s="45">
        <f>IF($A59="","",SUMIFS(TF_Timer,TF_Tekniker,$A59,TF_Akt,H$42,TF_Dato,"&gt;="&amp;Fra,TF_Dato,"&lt;="&amp;Til))</f>
        <v/>
      </c>
      <c r="I59" s="45">
        <f>IF($A59="","",SUMIFS(TF_Timer,TF_Tekniker,$A59,TF_Akt,I$42,TF_Dato,"&gt;="&amp;Fra,TF_Dato,"&lt;="&amp;Til))</f>
        <v/>
      </c>
      <c r="J59" s="45">
        <f>IF($A59="","",SUMIFS(TF_Timer,TF_Tekniker,$A59,TF_Akt,J$42,TF_Dato,"&gt;="&amp;Fra,TF_Dato,"&lt;="&amp;Til))</f>
        <v/>
      </c>
      <c r="K59" s="45">
        <f>IF($A59="","",SUMIFS(TF_Timer,TF_Tekniker,$A59,TF_Akt,K$42,TF_Dato,"&gt;="&amp;Fra,TF_Dato,"&lt;="&amp;Til))</f>
        <v/>
      </c>
      <c r="L59" s="45">
        <f>IF($A59="","",SUMIFS(TF_Timer,TF_Tekniker,$A59,TF_Akt,L$42,TF_Dato,"&gt;="&amp;Fra,TF_Dato,"&lt;="&amp;Til))</f>
        <v/>
      </c>
      <c r="M59" s="57">
        <f>IF($A59="","",SUM(B59:L59))</f>
        <v/>
      </c>
      <c r="N59" s="45">
        <f>IF($A59="","",SUMIFS(TF_Timer,TF_Tekniker,$A59,TF_Overtid,"Ja",TF_Dato,"&gt;="&amp;Fra,TF_Dato,"&lt;="&amp;Til))</f>
        <v/>
      </c>
    </row>
    <row r="60" hidden="1" outlineLevel="1">
      <c r="A60" s="56">
        <f>INDEX(Teknikere,17)&amp;""</f>
        <v/>
      </c>
      <c r="B60" s="45">
        <f>IF($A60="","",SUMIFS(TF_Timer,TF_Tekniker,$A60,TF_Akt,B$42,TF_Dato,"&gt;="&amp;Fra,TF_Dato,"&lt;="&amp;Til))</f>
        <v/>
      </c>
      <c r="C60" s="45">
        <f>IF($A60="","",SUMIFS(TF_Timer,TF_Tekniker,$A60,TF_Akt,C$42,TF_Dato,"&gt;="&amp;Fra,TF_Dato,"&lt;="&amp;Til)+SUMIFS(INDEX(GR_Auto,0,17),GR_Dato,"&gt;="&amp;Fra,GR_Dato,"&lt;="&amp;Til))</f>
        <v/>
      </c>
      <c r="D60" s="45">
        <f>IF($A60="","",SUMIFS(TF_Timer,TF_Tekniker,$A60,TF_Akt,D$42,TF_Dato,"&gt;="&amp;Fra,TF_Dato,"&lt;="&amp;Til))</f>
        <v/>
      </c>
      <c r="E60" s="45">
        <f>IF($A60="","",SUMIFS(TF_Timer,TF_Tekniker,$A60,TF_Akt,E$42,TF_Dato,"&gt;="&amp;Fra,TF_Dato,"&lt;="&amp;Til))</f>
        <v/>
      </c>
      <c r="F60" s="45">
        <f>IF($A60="","",SUMIFS(TF_Timer,TF_Tekniker,$A60,TF_Akt,F$42,TF_Dato,"&gt;="&amp;Fra,TF_Dato,"&lt;="&amp;Til))</f>
        <v/>
      </c>
      <c r="G60" s="45">
        <f>IF($A60="","",SUMIFS(TF_Timer,TF_Tekniker,$A60,TF_Akt,G$42,TF_Dato,"&gt;="&amp;Fra,TF_Dato,"&lt;="&amp;Til))</f>
        <v/>
      </c>
      <c r="H60" s="45">
        <f>IF($A60="","",SUMIFS(TF_Timer,TF_Tekniker,$A60,TF_Akt,H$42,TF_Dato,"&gt;="&amp;Fra,TF_Dato,"&lt;="&amp;Til))</f>
        <v/>
      </c>
      <c r="I60" s="45">
        <f>IF($A60="","",SUMIFS(TF_Timer,TF_Tekniker,$A60,TF_Akt,I$42,TF_Dato,"&gt;="&amp;Fra,TF_Dato,"&lt;="&amp;Til))</f>
        <v/>
      </c>
      <c r="J60" s="45">
        <f>IF($A60="","",SUMIFS(TF_Timer,TF_Tekniker,$A60,TF_Akt,J$42,TF_Dato,"&gt;="&amp;Fra,TF_Dato,"&lt;="&amp;Til))</f>
        <v/>
      </c>
      <c r="K60" s="45">
        <f>IF($A60="","",SUMIFS(TF_Timer,TF_Tekniker,$A60,TF_Akt,K$42,TF_Dato,"&gt;="&amp;Fra,TF_Dato,"&lt;="&amp;Til))</f>
        <v/>
      </c>
      <c r="L60" s="45">
        <f>IF($A60="","",SUMIFS(TF_Timer,TF_Tekniker,$A60,TF_Akt,L$42,TF_Dato,"&gt;="&amp;Fra,TF_Dato,"&lt;="&amp;Til))</f>
        <v/>
      </c>
      <c r="M60" s="57">
        <f>IF($A60="","",SUM(B60:L60))</f>
        <v/>
      </c>
      <c r="N60" s="45">
        <f>IF($A60="","",SUMIFS(TF_Timer,TF_Tekniker,$A60,TF_Overtid,"Ja",TF_Dato,"&gt;="&amp;Fra,TF_Dato,"&lt;="&amp;Til))</f>
        <v/>
      </c>
    </row>
    <row r="61" hidden="1" outlineLevel="1">
      <c r="A61" s="56">
        <f>INDEX(Teknikere,18)&amp;""</f>
        <v/>
      </c>
      <c r="B61" s="45">
        <f>IF($A61="","",SUMIFS(TF_Timer,TF_Tekniker,$A61,TF_Akt,B$42,TF_Dato,"&gt;="&amp;Fra,TF_Dato,"&lt;="&amp;Til))</f>
        <v/>
      </c>
      <c r="C61" s="45">
        <f>IF($A61="","",SUMIFS(TF_Timer,TF_Tekniker,$A61,TF_Akt,C$42,TF_Dato,"&gt;="&amp;Fra,TF_Dato,"&lt;="&amp;Til)+SUMIFS(INDEX(GR_Auto,0,18),GR_Dato,"&gt;="&amp;Fra,GR_Dato,"&lt;="&amp;Til))</f>
        <v/>
      </c>
      <c r="D61" s="45">
        <f>IF($A61="","",SUMIFS(TF_Timer,TF_Tekniker,$A61,TF_Akt,D$42,TF_Dato,"&gt;="&amp;Fra,TF_Dato,"&lt;="&amp;Til))</f>
        <v/>
      </c>
      <c r="E61" s="45">
        <f>IF($A61="","",SUMIFS(TF_Timer,TF_Tekniker,$A61,TF_Akt,E$42,TF_Dato,"&gt;="&amp;Fra,TF_Dato,"&lt;="&amp;Til))</f>
        <v/>
      </c>
      <c r="F61" s="45">
        <f>IF($A61="","",SUMIFS(TF_Timer,TF_Tekniker,$A61,TF_Akt,F$42,TF_Dato,"&gt;="&amp;Fra,TF_Dato,"&lt;="&amp;Til))</f>
        <v/>
      </c>
      <c r="G61" s="45">
        <f>IF($A61="","",SUMIFS(TF_Timer,TF_Tekniker,$A61,TF_Akt,G$42,TF_Dato,"&gt;="&amp;Fra,TF_Dato,"&lt;="&amp;Til))</f>
        <v/>
      </c>
      <c r="H61" s="45">
        <f>IF($A61="","",SUMIFS(TF_Timer,TF_Tekniker,$A61,TF_Akt,H$42,TF_Dato,"&gt;="&amp;Fra,TF_Dato,"&lt;="&amp;Til))</f>
        <v/>
      </c>
      <c r="I61" s="45">
        <f>IF($A61="","",SUMIFS(TF_Timer,TF_Tekniker,$A61,TF_Akt,I$42,TF_Dato,"&gt;="&amp;Fra,TF_Dato,"&lt;="&amp;Til))</f>
        <v/>
      </c>
      <c r="J61" s="45">
        <f>IF($A61="","",SUMIFS(TF_Timer,TF_Tekniker,$A61,TF_Akt,J$42,TF_Dato,"&gt;="&amp;Fra,TF_Dato,"&lt;="&amp;Til))</f>
        <v/>
      </c>
      <c r="K61" s="45">
        <f>IF($A61="","",SUMIFS(TF_Timer,TF_Tekniker,$A61,TF_Akt,K$42,TF_Dato,"&gt;="&amp;Fra,TF_Dato,"&lt;="&amp;Til))</f>
        <v/>
      </c>
      <c r="L61" s="45">
        <f>IF($A61="","",SUMIFS(TF_Timer,TF_Tekniker,$A61,TF_Akt,L$42,TF_Dato,"&gt;="&amp;Fra,TF_Dato,"&lt;="&amp;Til))</f>
        <v/>
      </c>
      <c r="M61" s="57">
        <f>IF($A61="","",SUM(B61:L61))</f>
        <v/>
      </c>
      <c r="N61" s="45">
        <f>IF($A61="","",SUMIFS(TF_Timer,TF_Tekniker,$A61,TF_Overtid,"Ja",TF_Dato,"&gt;="&amp;Fra,TF_Dato,"&lt;="&amp;Til))</f>
        <v/>
      </c>
    </row>
    <row r="62">
      <c r="A62" s="50">
        <f>INDEX(SkiftNavn,2)&amp;" · "&amp;COUNTIF(A63:A80,"?*")</f>
        <v/>
      </c>
      <c r="B62" s="51">
        <f>SUM(B63:B80)</f>
        <v/>
      </c>
      <c r="C62" s="51">
        <f>SUM(C63:C80)</f>
        <v/>
      </c>
      <c r="D62" s="51">
        <f>SUM(D63:D80)</f>
        <v/>
      </c>
      <c r="E62" s="51">
        <f>SUM(E63:E80)</f>
        <v/>
      </c>
      <c r="F62" s="51">
        <f>SUM(F63:F80)</f>
        <v/>
      </c>
      <c r="G62" s="51">
        <f>SUM(G63:G80)</f>
        <v/>
      </c>
      <c r="H62" s="51">
        <f>SUM(H63:H80)</f>
        <v/>
      </c>
      <c r="I62" s="51">
        <f>SUM(I63:I80)</f>
        <v/>
      </c>
      <c r="J62" s="51">
        <f>SUM(J63:J80)</f>
        <v/>
      </c>
      <c r="K62" s="51">
        <f>SUM(K63:K80)</f>
        <v/>
      </c>
      <c r="L62" s="51">
        <f>SUM(L63:L80)</f>
        <v/>
      </c>
      <c r="M62" s="51">
        <f>SUM(M63:M80)</f>
        <v/>
      </c>
      <c r="N62" s="51">
        <f>SUM(N63:N80)</f>
        <v/>
      </c>
    </row>
    <row r="63" hidden="1" outlineLevel="1">
      <c r="A63" s="56">
        <f>INDEX(Teknikere,19)&amp;""</f>
        <v/>
      </c>
      <c r="B63" s="45">
        <f>IF($A63="","",SUMIFS(TF_Timer,TF_Tekniker,$A63,TF_Akt,B$42,TF_Dato,"&gt;="&amp;Fra,TF_Dato,"&lt;="&amp;Til))</f>
        <v/>
      </c>
      <c r="C63" s="45">
        <f>IF($A63="","",SUMIFS(TF_Timer,TF_Tekniker,$A63,TF_Akt,C$42,TF_Dato,"&gt;="&amp;Fra,TF_Dato,"&lt;="&amp;Til)+SUMIFS(INDEX(GR_Auto,0,19),GR_Dato,"&gt;="&amp;Fra,GR_Dato,"&lt;="&amp;Til))</f>
        <v/>
      </c>
      <c r="D63" s="45">
        <f>IF($A63="","",SUMIFS(TF_Timer,TF_Tekniker,$A63,TF_Akt,D$42,TF_Dato,"&gt;="&amp;Fra,TF_Dato,"&lt;="&amp;Til))</f>
        <v/>
      </c>
      <c r="E63" s="45">
        <f>IF($A63="","",SUMIFS(TF_Timer,TF_Tekniker,$A63,TF_Akt,E$42,TF_Dato,"&gt;="&amp;Fra,TF_Dato,"&lt;="&amp;Til))</f>
        <v/>
      </c>
      <c r="F63" s="45">
        <f>IF($A63="","",SUMIFS(TF_Timer,TF_Tekniker,$A63,TF_Akt,F$42,TF_Dato,"&gt;="&amp;Fra,TF_Dato,"&lt;="&amp;Til))</f>
        <v/>
      </c>
      <c r="G63" s="45">
        <f>IF($A63="","",SUMIFS(TF_Timer,TF_Tekniker,$A63,TF_Akt,G$42,TF_Dato,"&gt;="&amp;Fra,TF_Dato,"&lt;="&amp;Til))</f>
        <v/>
      </c>
      <c r="H63" s="45">
        <f>IF($A63="","",SUMIFS(TF_Timer,TF_Tekniker,$A63,TF_Akt,H$42,TF_Dato,"&gt;="&amp;Fra,TF_Dato,"&lt;="&amp;Til))</f>
        <v/>
      </c>
      <c r="I63" s="45">
        <f>IF($A63="","",SUMIFS(TF_Timer,TF_Tekniker,$A63,TF_Akt,I$42,TF_Dato,"&gt;="&amp;Fra,TF_Dato,"&lt;="&amp;Til))</f>
        <v/>
      </c>
      <c r="J63" s="45">
        <f>IF($A63="","",SUMIFS(TF_Timer,TF_Tekniker,$A63,TF_Akt,J$42,TF_Dato,"&gt;="&amp;Fra,TF_Dato,"&lt;="&amp;Til))</f>
        <v/>
      </c>
      <c r="K63" s="45">
        <f>IF($A63="","",SUMIFS(TF_Timer,TF_Tekniker,$A63,TF_Akt,K$42,TF_Dato,"&gt;="&amp;Fra,TF_Dato,"&lt;="&amp;Til))</f>
        <v/>
      </c>
      <c r="L63" s="45">
        <f>IF($A63="","",SUMIFS(TF_Timer,TF_Tekniker,$A63,TF_Akt,L$42,TF_Dato,"&gt;="&amp;Fra,TF_Dato,"&lt;="&amp;Til))</f>
        <v/>
      </c>
      <c r="M63" s="57">
        <f>IF($A63="","",SUM(B63:L63))</f>
        <v/>
      </c>
      <c r="N63" s="45">
        <f>IF($A63="","",SUMIFS(TF_Timer,TF_Tekniker,$A63,TF_Overtid,"Ja",TF_Dato,"&gt;="&amp;Fra,TF_Dato,"&lt;="&amp;Til))</f>
        <v/>
      </c>
    </row>
    <row r="64" hidden="1" outlineLevel="1">
      <c r="A64" s="56">
        <f>INDEX(Teknikere,20)&amp;""</f>
        <v/>
      </c>
      <c r="B64" s="45">
        <f>IF($A64="","",SUMIFS(TF_Timer,TF_Tekniker,$A64,TF_Akt,B$42,TF_Dato,"&gt;="&amp;Fra,TF_Dato,"&lt;="&amp;Til))</f>
        <v/>
      </c>
      <c r="C64" s="45">
        <f>IF($A64="","",SUMIFS(TF_Timer,TF_Tekniker,$A64,TF_Akt,C$42,TF_Dato,"&gt;="&amp;Fra,TF_Dato,"&lt;="&amp;Til)+SUMIFS(INDEX(GR_Auto,0,20),GR_Dato,"&gt;="&amp;Fra,GR_Dato,"&lt;="&amp;Til))</f>
        <v/>
      </c>
      <c r="D64" s="45">
        <f>IF($A64="","",SUMIFS(TF_Timer,TF_Tekniker,$A64,TF_Akt,D$42,TF_Dato,"&gt;="&amp;Fra,TF_Dato,"&lt;="&amp;Til))</f>
        <v/>
      </c>
      <c r="E64" s="45">
        <f>IF($A64="","",SUMIFS(TF_Timer,TF_Tekniker,$A64,TF_Akt,E$42,TF_Dato,"&gt;="&amp;Fra,TF_Dato,"&lt;="&amp;Til))</f>
        <v/>
      </c>
      <c r="F64" s="45">
        <f>IF($A64="","",SUMIFS(TF_Timer,TF_Tekniker,$A64,TF_Akt,F$42,TF_Dato,"&gt;="&amp;Fra,TF_Dato,"&lt;="&amp;Til))</f>
        <v/>
      </c>
      <c r="G64" s="45">
        <f>IF($A64="","",SUMIFS(TF_Timer,TF_Tekniker,$A64,TF_Akt,G$42,TF_Dato,"&gt;="&amp;Fra,TF_Dato,"&lt;="&amp;Til))</f>
        <v/>
      </c>
      <c r="H64" s="45">
        <f>IF($A64="","",SUMIFS(TF_Timer,TF_Tekniker,$A64,TF_Akt,H$42,TF_Dato,"&gt;="&amp;Fra,TF_Dato,"&lt;="&amp;Til))</f>
        <v/>
      </c>
      <c r="I64" s="45">
        <f>IF($A64="","",SUMIFS(TF_Timer,TF_Tekniker,$A64,TF_Akt,I$42,TF_Dato,"&gt;="&amp;Fra,TF_Dato,"&lt;="&amp;Til))</f>
        <v/>
      </c>
      <c r="J64" s="45">
        <f>IF($A64="","",SUMIFS(TF_Timer,TF_Tekniker,$A64,TF_Akt,J$42,TF_Dato,"&gt;="&amp;Fra,TF_Dato,"&lt;="&amp;Til))</f>
        <v/>
      </c>
      <c r="K64" s="45">
        <f>IF($A64="","",SUMIFS(TF_Timer,TF_Tekniker,$A64,TF_Akt,K$42,TF_Dato,"&gt;="&amp;Fra,TF_Dato,"&lt;="&amp;Til))</f>
        <v/>
      </c>
      <c r="L64" s="45">
        <f>IF($A64="","",SUMIFS(TF_Timer,TF_Tekniker,$A64,TF_Akt,L$42,TF_Dato,"&gt;="&amp;Fra,TF_Dato,"&lt;="&amp;Til))</f>
        <v/>
      </c>
      <c r="M64" s="57">
        <f>IF($A64="","",SUM(B64:L64))</f>
        <v/>
      </c>
      <c r="N64" s="45">
        <f>IF($A64="","",SUMIFS(TF_Timer,TF_Tekniker,$A64,TF_Overtid,"Ja",TF_Dato,"&gt;="&amp;Fra,TF_Dato,"&lt;="&amp;Til))</f>
        <v/>
      </c>
    </row>
    <row r="65" hidden="1" outlineLevel="1">
      <c r="A65" s="56">
        <f>INDEX(Teknikere,21)&amp;""</f>
        <v/>
      </c>
      <c r="B65" s="45">
        <f>IF($A65="","",SUMIFS(TF_Timer,TF_Tekniker,$A65,TF_Akt,B$42,TF_Dato,"&gt;="&amp;Fra,TF_Dato,"&lt;="&amp;Til))</f>
        <v/>
      </c>
      <c r="C65" s="45">
        <f>IF($A65="","",SUMIFS(TF_Timer,TF_Tekniker,$A65,TF_Akt,C$42,TF_Dato,"&gt;="&amp;Fra,TF_Dato,"&lt;="&amp;Til)+SUMIFS(INDEX(GR_Auto,0,21),GR_Dato,"&gt;="&amp;Fra,GR_Dato,"&lt;="&amp;Til))</f>
        <v/>
      </c>
      <c r="D65" s="45">
        <f>IF($A65="","",SUMIFS(TF_Timer,TF_Tekniker,$A65,TF_Akt,D$42,TF_Dato,"&gt;="&amp;Fra,TF_Dato,"&lt;="&amp;Til))</f>
        <v/>
      </c>
      <c r="E65" s="45">
        <f>IF($A65="","",SUMIFS(TF_Timer,TF_Tekniker,$A65,TF_Akt,E$42,TF_Dato,"&gt;="&amp;Fra,TF_Dato,"&lt;="&amp;Til))</f>
        <v/>
      </c>
      <c r="F65" s="45">
        <f>IF($A65="","",SUMIFS(TF_Timer,TF_Tekniker,$A65,TF_Akt,F$42,TF_Dato,"&gt;="&amp;Fra,TF_Dato,"&lt;="&amp;Til))</f>
        <v/>
      </c>
      <c r="G65" s="45">
        <f>IF($A65="","",SUMIFS(TF_Timer,TF_Tekniker,$A65,TF_Akt,G$42,TF_Dato,"&gt;="&amp;Fra,TF_Dato,"&lt;="&amp;Til))</f>
        <v/>
      </c>
      <c r="H65" s="45">
        <f>IF($A65="","",SUMIFS(TF_Timer,TF_Tekniker,$A65,TF_Akt,H$42,TF_Dato,"&gt;="&amp;Fra,TF_Dato,"&lt;="&amp;Til))</f>
        <v/>
      </c>
      <c r="I65" s="45">
        <f>IF($A65="","",SUMIFS(TF_Timer,TF_Tekniker,$A65,TF_Akt,I$42,TF_Dato,"&gt;="&amp;Fra,TF_Dato,"&lt;="&amp;Til))</f>
        <v/>
      </c>
      <c r="J65" s="45">
        <f>IF($A65="","",SUMIFS(TF_Timer,TF_Tekniker,$A65,TF_Akt,J$42,TF_Dato,"&gt;="&amp;Fra,TF_Dato,"&lt;="&amp;Til))</f>
        <v/>
      </c>
      <c r="K65" s="45">
        <f>IF($A65="","",SUMIFS(TF_Timer,TF_Tekniker,$A65,TF_Akt,K$42,TF_Dato,"&gt;="&amp;Fra,TF_Dato,"&lt;="&amp;Til))</f>
        <v/>
      </c>
      <c r="L65" s="45">
        <f>IF($A65="","",SUMIFS(TF_Timer,TF_Tekniker,$A65,TF_Akt,L$42,TF_Dato,"&gt;="&amp;Fra,TF_Dato,"&lt;="&amp;Til))</f>
        <v/>
      </c>
      <c r="M65" s="57">
        <f>IF($A65="","",SUM(B65:L65))</f>
        <v/>
      </c>
      <c r="N65" s="45">
        <f>IF($A65="","",SUMIFS(TF_Timer,TF_Tekniker,$A65,TF_Overtid,"Ja",TF_Dato,"&gt;="&amp;Fra,TF_Dato,"&lt;="&amp;Til))</f>
        <v/>
      </c>
    </row>
    <row r="66" hidden="1" outlineLevel="1">
      <c r="A66" s="56">
        <f>INDEX(Teknikere,22)&amp;""</f>
        <v/>
      </c>
      <c r="B66" s="45">
        <f>IF($A66="","",SUMIFS(TF_Timer,TF_Tekniker,$A66,TF_Akt,B$42,TF_Dato,"&gt;="&amp;Fra,TF_Dato,"&lt;="&amp;Til))</f>
        <v/>
      </c>
      <c r="C66" s="45">
        <f>IF($A66="","",SUMIFS(TF_Timer,TF_Tekniker,$A66,TF_Akt,C$42,TF_Dato,"&gt;="&amp;Fra,TF_Dato,"&lt;="&amp;Til)+SUMIFS(INDEX(GR_Auto,0,22),GR_Dato,"&gt;="&amp;Fra,GR_Dato,"&lt;="&amp;Til))</f>
        <v/>
      </c>
      <c r="D66" s="45">
        <f>IF($A66="","",SUMIFS(TF_Timer,TF_Tekniker,$A66,TF_Akt,D$42,TF_Dato,"&gt;="&amp;Fra,TF_Dato,"&lt;="&amp;Til))</f>
        <v/>
      </c>
      <c r="E66" s="45">
        <f>IF($A66="","",SUMIFS(TF_Timer,TF_Tekniker,$A66,TF_Akt,E$42,TF_Dato,"&gt;="&amp;Fra,TF_Dato,"&lt;="&amp;Til))</f>
        <v/>
      </c>
      <c r="F66" s="45">
        <f>IF($A66="","",SUMIFS(TF_Timer,TF_Tekniker,$A66,TF_Akt,F$42,TF_Dato,"&gt;="&amp;Fra,TF_Dato,"&lt;="&amp;Til))</f>
        <v/>
      </c>
      <c r="G66" s="45">
        <f>IF($A66="","",SUMIFS(TF_Timer,TF_Tekniker,$A66,TF_Akt,G$42,TF_Dato,"&gt;="&amp;Fra,TF_Dato,"&lt;="&amp;Til))</f>
        <v/>
      </c>
      <c r="H66" s="45">
        <f>IF($A66="","",SUMIFS(TF_Timer,TF_Tekniker,$A66,TF_Akt,H$42,TF_Dato,"&gt;="&amp;Fra,TF_Dato,"&lt;="&amp;Til))</f>
        <v/>
      </c>
      <c r="I66" s="45">
        <f>IF($A66="","",SUMIFS(TF_Timer,TF_Tekniker,$A66,TF_Akt,I$42,TF_Dato,"&gt;="&amp;Fra,TF_Dato,"&lt;="&amp;Til))</f>
        <v/>
      </c>
      <c r="J66" s="45">
        <f>IF($A66="","",SUMIFS(TF_Timer,TF_Tekniker,$A66,TF_Akt,J$42,TF_Dato,"&gt;="&amp;Fra,TF_Dato,"&lt;="&amp;Til))</f>
        <v/>
      </c>
      <c r="K66" s="45">
        <f>IF($A66="","",SUMIFS(TF_Timer,TF_Tekniker,$A66,TF_Akt,K$42,TF_Dato,"&gt;="&amp;Fra,TF_Dato,"&lt;="&amp;Til))</f>
        <v/>
      </c>
      <c r="L66" s="45">
        <f>IF($A66="","",SUMIFS(TF_Timer,TF_Tekniker,$A66,TF_Akt,L$42,TF_Dato,"&gt;="&amp;Fra,TF_Dato,"&lt;="&amp;Til))</f>
        <v/>
      </c>
      <c r="M66" s="57">
        <f>IF($A66="","",SUM(B66:L66))</f>
        <v/>
      </c>
      <c r="N66" s="45">
        <f>IF($A66="","",SUMIFS(TF_Timer,TF_Tekniker,$A66,TF_Overtid,"Ja",TF_Dato,"&gt;="&amp;Fra,TF_Dato,"&lt;="&amp;Til))</f>
        <v/>
      </c>
    </row>
    <row r="67" hidden="1" outlineLevel="1">
      <c r="A67" s="56">
        <f>INDEX(Teknikere,23)&amp;""</f>
        <v/>
      </c>
      <c r="B67" s="45">
        <f>IF($A67="","",SUMIFS(TF_Timer,TF_Tekniker,$A67,TF_Akt,B$42,TF_Dato,"&gt;="&amp;Fra,TF_Dato,"&lt;="&amp;Til))</f>
        <v/>
      </c>
      <c r="C67" s="45">
        <f>IF($A67="","",SUMIFS(TF_Timer,TF_Tekniker,$A67,TF_Akt,C$42,TF_Dato,"&gt;="&amp;Fra,TF_Dato,"&lt;="&amp;Til)+SUMIFS(INDEX(GR_Auto,0,23),GR_Dato,"&gt;="&amp;Fra,GR_Dato,"&lt;="&amp;Til))</f>
        <v/>
      </c>
      <c r="D67" s="45">
        <f>IF($A67="","",SUMIFS(TF_Timer,TF_Tekniker,$A67,TF_Akt,D$42,TF_Dato,"&gt;="&amp;Fra,TF_Dato,"&lt;="&amp;Til))</f>
        <v/>
      </c>
      <c r="E67" s="45">
        <f>IF($A67="","",SUMIFS(TF_Timer,TF_Tekniker,$A67,TF_Akt,E$42,TF_Dato,"&gt;="&amp;Fra,TF_Dato,"&lt;="&amp;Til))</f>
        <v/>
      </c>
      <c r="F67" s="45">
        <f>IF($A67="","",SUMIFS(TF_Timer,TF_Tekniker,$A67,TF_Akt,F$42,TF_Dato,"&gt;="&amp;Fra,TF_Dato,"&lt;="&amp;Til))</f>
        <v/>
      </c>
      <c r="G67" s="45">
        <f>IF($A67="","",SUMIFS(TF_Timer,TF_Tekniker,$A67,TF_Akt,G$42,TF_Dato,"&gt;="&amp;Fra,TF_Dato,"&lt;="&amp;Til))</f>
        <v/>
      </c>
      <c r="H67" s="45">
        <f>IF($A67="","",SUMIFS(TF_Timer,TF_Tekniker,$A67,TF_Akt,H$42,TF_Dato,"&gt;="&amp;Fra,TF_Dato,"&lt;="&amp;Til))</f>
        <v/>
      </c>
      <c r="I67" s="45">
        <f>IF($A67="","",SUMIFS(TF_Timer,TF_Tekniker,$A67,TF_Akt,I$42,TF_Dato,"&gt;="&amp;Fra,TF_Dato,"&lt;="&amp;Til))</f>
        <v/>
      </c>
      <c r="J67" s="45">
        <f>IF($A67="","",SUMIFS(TF_Timer,TF_Tekniker,$A67,TF_Akt,J$42,TF_Dato,"&gt;="&amp;Fra,TF_Dato,"&lt;="&amp;Til))</f>
        <v/>
      </c>
      <c r="K67" s="45">
        <f>IF($A67="","",SUMIFS(TF_Timer,TF_Tekniker,$A67,TF_Akt,K$42,TF_Dato,"&gt;="&amp;Fra,TF_Dato,"&lt;="&amp;Til))</f>
        <v/>
      </c>
      <c r="L67" s="45">
        <f>IF($A67="","",SUMIFS(TF_Timer,TF_Tekniker,$A67,TF_Akt,L$42,TF_Dato,"&gt;="&amp;Fra,TF_Dato,"&lt;="&amp;Til))</f>
        <v/>
      </c>
      <c r="M67" s="57">
        <f>IF($A67="","",SUM(B67:L67))</f>
        <v/>
      </c>
      <c r="N67" s="45">
        <f>IF($A67="","",SUMIFS(TF_Timer,TF_Tekniker,$A67,TF_Overtid,"Ja",TF_Dato,"&gt;="&amp;Fra,TF_Dato,"&lt;="&amp;Til))</f>
        <v/>
      </c>
    </row>
    <row r="68" hidden="1" outlineLevel="1">
      <c r="A68" s="56">
        <f>INDEX(Teknikere,24)&amp;""</f>
        <v/>
      </c>
      <c r="B68" s="45">
        <f>IF($A68="","",SUMIFS(TF_Timer,TF_Tekniker,$A68,TF_Akt,B$42,TF_Dato,"&gt;="&amp;Fra,TF_Dato,"&lt;="&amp;Til))</f>
        <v/>
      </c>
      <c r="C68" s="45">
        <f>IF($A68="","",SUMIFS(TF_Timer,TF_Tekniker,$A68,TF_Akt,C$42,TF_Dato,"&gt;="&amp;Fra,TF_Dato,"&lt;="&amp;Til)+SUMIFS(INDEX(GR_Auto,0,24),GR_Dato,"&gt;="&amp;Fra,GR_Dato,"&lt;="&amp;Til))</f>
        <v/>
      </c>
      <c r="D68" s="45">
        <f>IF($A68="","",SUMIFS(TF_Timer,TF_Tekniker,$A68,TF_Akt,D$42,TF_Dato,"&gt;="&amp;Fra,TF_Dato,"&lt;="&amp;Til))</f>
        <v/>
      </c>
      <c r="E68" s="45">
        <f>IF($A68="","",SUMIFS(TF_Timer,TF_Tekniker,$A68,TF_Akt,E$42,TF_Dato,"&gt;="&amp;Fra,TF_Dato,"&lt;="&amp;Til))</f>
        <v/>
      </c>
      <c r="F68" s="45">
        <f>IF($A68="","",SUMIFS(TF_Timer,TF_Tekniker,$A68,TF_Akt,F$42,TF_Dato,"&gt;="&amp;Fra,TF_Dato,"&lt;="&amp;Til))</f>
        <v/>
      </c>
      <c r="G68" s="45">
        <f>IF($A68="","",SUMIFS(TF_Timer,TF_Tekniker,$A68,TF_Akt,G$42,TF_Dato,"&gt;="&amp;Fra,TF_Dato,"&lt;="&amp;Til))</f>
        <v/>
      </c>
      <c r="H68" s="45">
        <f>IF($A68="","",SUMIFS(TF_Timer,TF_Tekniker,$A68,TF_Akt,H$42,TF_Dato,"&gt;="&amp;Fra,TF_Dato,"&lt;="&amp;Til))</f>
        <v/>
      </c>
      <c r="I68" s="45">
        <f>IF($A68="","",SUMIFS(TF_Timer,TF_Tekniker,$A68,TF_Akt,I$42,TF_Dato,"&gt;="&amp;Fra,TF_Dato,"&lt;="&amp;Til))</f>
        <v/>
      </c>
      <c r="J68" s="45">
        <f>IF($A68="","",SUMIFS(TF_Timer,TF_Tekniker,$A68,TF_Akt,J$42,TF_Dato,"&gt;="&amp;Fra,TF_Dato,"&lt;="&amp;Til))</f>
        <v/>
      </c>
      <c r="K68" s="45">
        <f>IF($A68="","",SUMIFS(TF_Timer,TF_Tekniker,$A68,TF_Akt,K$42,TF_Dato,"&gt;="&amp;Fra,TF_Dato,"&lt;="&amp;Til))</f>
        <v/>
      </c>
      <c r="L68" s="45">
        <f>IF($A68="","",SUMIFS(TF_Timer,TF_Tekniker,$A68,TF_Akt,L$42,TF_Dato,"&gt;="&amp;Fra,TF_Dato,"&lt;="&amp;Til))</f>
        <v/>
      </c>
      <c r="M68" s="57">
        <f>IF($A68="","",SUM(B68:L68))</f>
        <v/>
      </c>
      <c r="N68" s="45">
        <f>IF($A68="","",SUMIFS(TF_Timer,TF_Tekniker,$A68,TF_Overtid,"Ja",TF_Dato,"&gt;="&amp;Fra,TF_Dato,"&lt;="&amp;Til))</f>
        <v/>
      </c>
    </row>
    <row r="69" hidden="1" outlineLevel="1">
      <c r="A69" s="56">
        <f>INDEX(Teknikere,25)&amp;""</f>
        <v/>
      </c>
      <c r="B69" s="45">
        <f>IF($A69="","",SUMIFS(TF_Timer,TF_Tekniker,$A69,TF_Akt,B$42,TF_Dato,"&gt;="&amp;Fra,TF_Dato,"&lt;="&amp;Til))</f>
        <v/>
      </c>
      <c r="C69" s="45">
        <f>IF($A69="","",SUMIFS(TF_Timer,TF_Tekniker,$A69,TF_Akt,C$42,TF_Dato,"&gt;="&amp;Fra,TF_Dato,"&lt;="&amp;Til)+SUMIFS(INDEX(GR_Auto,0,25),GR_Dato,"&gt;="&amp;Fra,GR_Dato,"&lt;="&amp;Til))</f>
        <v/>
      </c>
      <c r="D69" s="45">
        <f>IF($A69="","",SUMIFS(TF_Timer,TF_Tekniker,$A69,TF_Akt,D$42,TF_Dato,"&gt;="&amp;Fra,TF_Dato,"&lt;="&amp;Til))</f>
        <v/>
      </c>
      <c r="E69" s="45">
        <f>IF($A69="","",SUMIFS(TF_Timer,TF_Tekniker,$A69,TF_Akt,E$42,TF_Dato,"&gt;="&amp;Fra,TF_Dato,"&lt;="&amp;Til))</f>
        <v/>
      </c>
      <c r="F69" s="45">
        <f>IF($A69="","",SUMIFS(TF_Timer,TF_Tekniker,$A69,TF_Akt,F$42,TF_Dato,"&gt;="&amp;Fra,TF_Dato,"&lt;="&amp;Til))</f>
        <v/>
      </c>
      <c r="G69" s="45">
        <f>IF($A69="","",SUMIFS(TF_Timer,TF_Tekniker,$A69,TF_Akt,G$42,TF_Dato,"&gt;="&amp;Fra,TF_Dato,"&lt;="&amp;Til))</f>
        <v/>
      </c>
      <c r="H69" s="45">
        <f>IF($A69="","",SUMIFS(TF_Timer,TF_Tekniker,$A69,TF_Akt,H$42,TF_Dato,"&gt;="&amp;Fra,TF_Dato,"&lt;="&amp;Til))</f>
        <v/>
      </c>
      <c r="I69" s="45">
        <f>IF($A69="","",SUMIFS(TF_Timer,TF_Tekniker,$A69,TF_Akt,I$42,TF_Dato,"&gt;="&amp;Fra,TF_Dato,"&lt;="&amp;Til))</f>
        <v/>
      </c>
      <c r="J69" s="45">
        <f>IF($A69="","",SUMIFS(TF_Timer,TF_Tekniker,$A69,TF_Akt,J$42,TF_Dato,"&gt;="&amp;Fra,TF_Dato,"&lt;="&amp;Til))</f>
        <v/>
      </c>
      <c r="K69" s="45">
        <f>IF($A69="","",SUMIFS(TF_Timer,TF_Tekniker,$A69,TF_Akt,K$42,TF_Dato,"&gt;="&amp;Fra,TF_Dato,"&lt;="&amp;Til))</f>
        <v/>
      </c>
      <c r="L69" s="45">
        <f>IF($A69="","",SUMIFS(TF_Timer,TF_Tekniker,$A69,TF_Akt,L$42,TF_Dato,"&gt;="&amp;Fra,TF_Dato,"&lt;="&amp;Til))</f>
        <v/>
      </c>
      <c r="M69" s="57">
        <f>IF($A69="","",SUM(B69:L69))</f>
        <v/>
      </c>
      <c r="N69" s="45">
        <f>IF($A69="","",SUMIFS(TF_Timer,TF_Tekniker,$A69,TF_Overtid,"Ja",TF_Dato,"&gt;="&amp;Fra,TF_Dato,"&lt;="&amp;Til))</f>
        <v/>
      </c>
    </row>
    <row r="70" hidden="1" outlineLevel="1">
      <c r="A70" s="56">
        <f>INDEX(Teknikere,26)&amp;""</f>
        <v/>
      </c>
      <c r="B70" s="45">
        <f>IF($A70="","",SUMIFS(TF_Timer,TF_Tekniker,$A70,TF_Akt,B$42,TF_Dato,"&gt;="&amp;Fra,TF_Dato,"&lt;="&amp;Til))</f>
        <v/>
      </c>
      <c r="C70" s="45">
        <f>IF($A70="","",SUMIFS(TF_Timer,TF_Tekniker,$A70,TF_Akt,C$42,TF_Dato,"&gt;="&amp;Fra,TF_Dato,"&lt;="&amp;Til)+SUMIFS(INDEX(GR_Auto,0,26),GR_Dato,"&gt;="&amp;Fra,GR_Dato,"&lt;="&amp;Til))</f>
        <v/>
      </c>
      <c r="D70" s="45">
        <f>IF($A70="","",SUMIFS(TF_Timer,TF_Tekniker,$A70,TF_Akt,D$42,TF_Dato,"&gt;="&amp;Fra,TF_Dato,"&lt;="&amp;Til))</f>
        <v/>
      </c>
      <c r="E70" s="45">
        <f>IF($A70="","",SUMIFS(TF_Timer,TF_Tekniker,$A70,TF_Akt,E$42,TF_Dato,"&gt;="&amp;Fra,TF_Dato,"&lt;="&amp;Til))</f>
        <v/>
      </c>
      <c r="F70" s="45">
        <f>IF($A70="","",SUMIFS(TF_Timer,TF_Tekniker,$A70,TF_Akt,F$42,TF_Dato,"&gt;="&amp;Fra,TF_Dato,"&lt;="&amp;Til))</f>
        <v/>
      </c>
      <c r="G70" s="45">
        <f>IF($A70="","",SUMIFS(TF_Timer,TF_Tekniker,$A70,TF_Akt,G$42,TF_Dato,"&gt;="&amp;Fra,TF_Dato,"&lt;="&amp;Til))</f>
        <v/>
      </c>
      <c r="H70" s="45">
        <f>IF($A70="","",SUMIFS(TF_Timer,TF_Tekniker,$A70,TF_Akt,H$42,TF_Dato,"&gt;="&amp;Fra,TF_Dato,"&lt;="&amp;Til))</f>
        <v/>
      </c>
      <c r="I70" s="45">
        <f>IF($A70="","",SUMIFS(TF_Timer,TF_Tekniker,$A70,TF_Akt,I$42,TF_Dato,"&gt;="&amp;Fra,TF_Dato,"&lt;="&amp;Til))</f>
        <v/>
      </c>
      <c r="J70" s="45">
        <f>IF($A70="","",SUMIFS(TF_Timer,TF_Tekniker,$A70,TF_Akt,J$42,TF_Dato,"&gt;="&amp;Fra,TF_Dato,"&lt;="&amp;Til))</f>
        <v/>
      </c>
      <c r="K70" s="45">
        <f>IF($A70="","",SUMIFS(TF_Timer,TF_Tekniker,$A70,TF_Akt,K$42,TF_Dato,"&gt;="&amp;Fra,TF_Dato,"&lt;="&amp;Til))</f>
        <v/>
      </c>
      <c r="L70" s="45">
        <f>IF($A70="","",SUMIFS(TF_Timer,TF_Tekniker,$A70,TF_Akt,L$42,TF_Dato,"&gt;="&amp;Fra,TF_Dato,"&lt;="&amp;Til))</f>
        <v/>
      </c>
      <c r="M70" s="57">
        <f>IF($A70="","",SUM(B70:L70))</f>
        <v/>
      </c>
      <c r="N70" s="45">
        <f>IF($A70="","",SUMIFS(TF_Timer,TF_Tekniker,$A70,TF_Overtid,"Ja",TF_Dato,"&gt;="&amp;Fra,TF_Dato,"&lt;="&amp;Til))</f>
        <v/>
      </c>
    </row>
    <row r="71" hidden="1" outlineLevel="1">
      <c r="A71" s="56">
        <f>INDEX(Teknikere,27)&amp;""</f>
        <v/>
      </c>
      <c r="B71" s="45">
        <f>IF($A71="","",SUMIFS(TF_Timer,TF_Tekniker,$A71,TF_Akt,B$42,TF_Dato,"&gt;="&amp;Fra,TF_Dato,"&lt;="&amp;Til))</f>
        <v/>
      </c>
      <c r="C71" s="45">
        <f>IF($A71="","",SUMIFS(TF_Timer,TF_Tekniker,$A71,TF_Akt,C$42,TF_Dato,"&gt;="&amp;Fra,TF_Dato,"&lt;="&amp;Til)+SUMIFS(INDEX(GR_Auto,0,27),GR_Dato,"&gt;="&amp;Fra,GR_Dato,"&lt;="&amp;Til))</f>
        <v/>
      </c>
      <c r="D71" s="45">
        <f>IF($A71="","",SUMIFS(TF_Timer,TF_Tekniker,$A71,TF_Akt,D$42,TF_Dato,"&gt;="&amp;Fra,TF_Dato,"&lt;="&amp;Til))</f>
        <v/>
      </c>
      <c r="E71" s="45">
        <f>IF($A71="","",SUMIFS(TF_Timer,TF_Tekniker,$A71,TF_Akt,E$42,TF_Dato,"&gt;="&amp;Fra,TF_Dato,"&lt;="&amp;Til))</f>
        <v/>
      </c>
      <c r="F71" s="45">
        <f>IF($A71="","",SUMIFS(TF_Timer,TF_Tekniker,$A71,TF_Akt,F$42,TF_Dato,"&gt;="&amp;Fra,TF_Dato,"&lt;="&amp;Til))</f>
        <v/>
      </c>
      <c r="G71" s="45">
        <f>IF($A71="","",SUMIFS(TF_Timer,TF_Tekniker,$A71,TF_Akt,G$42,TF_Dato,"&gt;="&amp;Fra,TF_Dato,"&lt;="&amp;Til))</f>
        <v/>
      </c>
      <c r="H71" s="45">
        <f>IF($A71="","",SUMIFS(TF_Timer,TF_Tekniker,$A71,TF_Akt,H$42,TF_Dato,"&gt;="&amp;Fra,TF_Dato,"&lt;="&amp;Til))</f>
        <v/>
      </c>
      <c r="I71" s="45">
        <f>IF($A71="","",SUMIFS(TF_Timer,TF_Tekniker,$A71,TF_Akt,I$42,TF_Dato,"&gt;="&amp;Fra,TF_Dato,"&lt;="&amp;Til))</f>
        <v/>
      </c>
      <c r="J71" s="45">
        <f>IF($A71="","",SUMIFS(TF_Timer,TF_Tekniker,$A71,TF_Akt,J$42,TF_Dato,"&gt;="&amp;Fra,TF_Dato,"&lt;="&amp;Til))</f>
        <v/>
      </c>
      <c r="K71" s="45">
        <f>IF($A71="","",SUMIFS(TF_Timer,TF_Tekniker,$A71,TF_Akt,K$42,TF_Dato,"&gt;="&amp;Fra,TF_Dato,"&lt;="&amp;Til))</f>
        <v/>
      </c>
      <c r="L71" s="45">
        <f>IF($A71="","",SUMIFS(TF_Timer,TF_Tekniker,$A71,TF_Akt,L$42,TF_Dato,"&gt;="&amp;Fra,TF_Dato,"&lt;="&amp;Til))</f>
        <v/>
      </c>
      <c r="M71" s="57">
        <f>IF($A71="","",SUM(B71:L71))</f>
        <v/>
      </c>
      <c r="N71" s="45">
        <f>IF($A71="","",SUMIFS(TF_Timer,TF_Tekniker,$A71,TF_Overtid,"Ja",TF_Dato,"&gt;="&amp;Fra,TF_Dato,"&lt;="&amp;Til))</f>
        <v/>
      </c>
    </row>
    <row r="72" hidden="1" outlineLevel="1">
      <c r="A72" s="56">
        <f>INDEX(Teknikere,28)&amp;""</f>
        <v/>
      </c>
      <c r="B72" s="45">
        <f>IF($A72="","",SUMIFS(TF_Timer,TF_Tekniker,$A72,TF_Akt,B$42,TF_Dato,"&gt;="&amp;Fra,TF_Dato,"&lt;="&amp;Til))</f>
        <v/>
      </c>
      <c r="C72" s="45">
        <f>IF($A72="","",SUMIFS(TF_Timer,TF_Tekniker,$A72,TF_Akt,C$42,TF_Dato,"&gt;="&amp;Fra,TF_Dato,"&lt;="&amp;Til)+SUMIFS(INDEX(GR_Auto,0,28),GR_Dato,"&gt;="&amp;Fra,GR_Dato,"&lt;="&amp;Til))</f>
        <v/>
      </c>
      <c r="D72" s="45">
        <f>IF($A72="","",SUMIFS(TF_Timer,TF_Tekniker,$A72,TF_Akt,D$42,TF_Dato,"&gt;="&amp;Fra,TF_Dato,"&lt;="&amp;Til))</f>
        <v/>
      </c>
      <c r="E72" s="45">
        <f>IF($A72="","",SUMIFS(TF_Timer,TF_Tekniker,$A72,TF_Akt,E$42,TF_Dato,"&gt;="&amp;Fra,TF_Dato,"&lt;="&amp;Til))</f>
        <v/>
      </c>
      <c r="F72" s="45">
        <f>IF($A72="","",SUMIFS(TF_Timer,TF_Tekniker,$A72,TF_Akt,F$42,TF_Dato,"&gt;="&amp;Fra,TF_Dato,"&lt;="&amp;Til))</f>
        <v/>
      </c>
      <c r="G72" s="45">
        <f>IF($A72="","",SUMIFS(TF_Timer,TF_Tekniker,$A72,TF_Akt,G$42,TF_Dato,"&gt;="&amp;Fra,TF_Dato,"&lt;="&amp;Til))</f>
        <v/>
      </c>
      <c r="H72" s="45">
        <f>IF($A72="","",SUMIFS(TF_Timer,TF_Tekniker,$A72,TF_Akt,H$42,TF_Dato,"&gt;="&amp;Fra,TF_Dato,"&lt;="&amp;Til))</f>
        <v/>
      </c>
      <c r="I72" s="45">
        <f>IF($A72="","",SUMIFS(TF_Timer,TF_Tekniker,$A72,TF_Akt,I$42,TF_Dato,"&gt;="&amp;Fra,TF_Dato,"&lt;="&amp;Til))</f>
        <v/>
      </c>
      <c r="J72" s="45">
        <f>IF($A72="","",SUMIFS(TF_Timer,TF_Tekniker,$A72,TF_Akt,J$42,TF_Dato,"&gt;="&amp;Fra,TF_Dato,"&lt;="&amp;Til))</f>
        <v/>
      </c>
      <c r="K72" s="45">
        <f>IF($A72="","",SUMIFS(TF_Timer,TF_Tekniker,$A72,TF_Akt,K$42,TF_Dato,"&gt;="&amp;Fra,TF_Dato,"&lt;="&amp;Til))</f>
        <v/>
      </c>
      <c r="L72" s="45">
        <f>IF($A72="","",SUMIFS(TF_Timer,TF_Tekniker,$A72,TF_Akt,L$42,TF_Dato,"&gt;="&amp;Fra,TF_Dato,"&lt;="&amp;Til))</f>
        <v/>
      </c>
      <c r="M72" s="57">
        <f>IF($A72="","",SUM(B72:L72))</f>
        <v/>
      </c>
      <c r="N72" s="45">
        <f>IF($A72="","",SUMIFS(TF_Timer,TF_Tekniker,$A72,TF_Overtid,"Ja",TF_Dato,"&gt;="&amp;Fra,TF_Dato,"&lt;="&amp;Til))</f>
        <v/>
      </c>
    </row>
    <row r="73" hidden="1" outlineLevel="1">
      <c r="A73" s="56">
        <f>INDEX(Teknikere,29)&amp;""</f>
        <v/>
      </c>
      <c r="B73" s="45">
        <f>IF($A73="","",SUMIFS(TF_Timer,TF_Tekniker,$A73,TF_Akt,B$42,TF_Dato,"&gt;="&amp;Fra,TF_Dato,"&lt;="&amp;Til))</f>
        <v/>
      </c>
      <c r="C73" s="45">
        <f>IF($A73="","",SUMIFS(TF_Timer,TF_Tekniker,$A73,TF_Akt,C$42,TF_Dato,"&gt;="&amp;Fra,TF_Dato,"&lt;="&amp;Til)+SUMIFS(INDEX(GR_Auto,0,29),GR_Dato,"&gt;="&amp;Fra,GR_Dato,"&lt;="&amp;Til))</f>
        <v/>
      </c>
      <c r="D73" s="45">
        <f>IF($A73="","",SUMIFS(TF_Timer,TF_Tekniker,$A73,TF_Akt,D$42,TF_Dato,"&gt;="&amp;Fra,TF_Dato,"&lt;="&amp;Til))</f>
        <v/>
      </c>
      <c r="E73" s="45">
        <f>IF($A73="","",SUMIFS(TF_Timer,TF_Tekniker,$A73,TF_Akt,E$42,TF_Dato,"&gt;="&amp;Fra,TF_Dato,"&lt;="&amp;Til))</f>
        <v/>
      </c>
      <c r="F73" s="45">
        <f>IF($A73="","",SUMIFS(TF_Timer,TF_Tekniker,$A73,TF_Akt,F$42,TF_Dato,"&gt;="&amp;Fra,TF_Dato,"&lt;="&amp;Til))</f>
        <v/>
      </c>
      <c r="G73" s="45">
        <f>IF($A73="","",SUMIFS(TF_Timer,TF_Tekniker,$A73,TF_Akt,G$42,TF_Dato,"&gt;="&amp;Fra,TF_Dato,"&lt;="&amp;Til))</f>
        <v/>
      </c>
      <c r="H73" s="45">
        <f>IF($A73="","",SUMIFS(TF_Timer,TF_Tekniker,$A73,TF_Akt,H$42,TF_Dato,"&gt;="&amp;Fra,TF_Dato,"&lt;="&amp;Til))</f>
        <v/>
      </c>
      <c r="I73" s="45">
        <f>IF($A73="","",SUMIFS(TF_Timer,TF_Tekniker,$A73,TF_Akt,I$42,TF_Dato,"&gt;="&amp;Fra,TF_Dato,"&lt;="&amp;Til))</f>
        <v/>
      </c>
      <c r="J73" s="45">
        <f>IF($A73="","",SUMIFS(TF_Timer,TF_Tekniker,$A73,TF_Akt,J$42,TF_Dato,"&gt;="&amp;Fra,TF_Dato,"&lt;="&amp;Til))</f>
        <v/>
      </c>
      <c r="K73" s="45">
        <f>IF($A73="","",SUMIFS(TF_Timer,TF_Tekniker,$A73,TF_Akt,K$42,TF_Dato,"&gt;="&amp;Fra,TF_Dato,"&lt;="&amp;Til))</f>
        <v/>
      </c>
      <c r="L73" s="45">
        <f>IF($A73="","",SUMIFS(TF_Timer,TF_Tekniker,$A73,TF_Akt,L$42,TF_Dato,"&gt;="&amp;Fra,TF_Dato,"&lt;="&amp;Til))</f>
        <v/>
      </c>
      <c r="M73" s="57">
        <f>IF($A73="","",SUM(B73:L73))</f>
        <v/>
      </c>
      <c r="N73" s="45">
        <f>IF($A73="","",SUMIFS(TF_Timer,TF_Tekniker,$A73,TF_Overtid,"Ja",TF_Dato,"&gt;="&amp;Fra,TF_Dato,"&lt;="&amp;Til))</f>
        <v/>
      </c>
    </row>
    <row r="74" hidden="1" outlineLevel="1">
      <c r="A74" s="56">
        <f>INDEX(Teknikere,30)&amp;""</f>
        <v/>
      </c>
      <c r="B74" s="45">
        <f>IF($A74="","",SUMIFS(TF_Timer,TF_Tekniker,$A74,TF_Akt,B$42,TF_Dato,"&gt;="&amp;Fra,TF_Dato,"&lt;="&amp;Til))</f>
        <v/>
      </c>
      <c r="C74" s="45">
        <f>IF($A74="","",SUMIFS(TF_Timer,TF_Tekniker,$A74,TF_Akt,C$42,TF_Dato,"&gt;="&amp;Fra,TF_Dato,"&lt;="&amp;Til)+SUMIFS(INDEX(GR_Auto,0,30),GR_Dato,"&gt;="&amp;Fra,GR_Dato,"&lt;="&amp;Til))</f>
        <v/>
      </c>
      <c r="D74" s="45">
        <f>IF($A74="","",SUMIFS(TF_Timer,TF_Tekniker,$A74,TF_Akt,D$42,TF_Dato,"&gt;="&amp;Fra,TF_Dato,"&lt;="&amp;Til))</f>
        <v/>
      </c>
      <c r="E74" s="45">
        <f>IF($A74="","",SUMIFS(TF_Timer,TF_Tekniker,$A74,TF_Akt,E$42,TF_Dato,"&gt;="&amp;Fra,TF_Dato,"&lt;="&amp;Til))</f>
        <v/>
      </c>
      <c r="F74" s="45">
        <f>IF($A74="","",SUMIFS(TF_Timer,TF_Tekniker,$A74,TF_Akt,F$42,TF_Dato,"&gt;="&amp;Fra,TF_Dato,"&lt;="&amp;Til))</f>
        <v/>
      </c>
      <c r="G74" s="45">
        <f>IF($A74="","",SUMIFS(TF_Timer,TF_Tekniker,$A74,TF_Akt,G$42,TF_Dato,"&gt;="&amp;Fra,TF_Dato,"&lt;="&amp;Til))</f>
        <v/>
      </c>
      <c r="H74" s="45">
        <f>IF($A74="","",SUMIFS(TF_Timer,TF_Tekniker,$A74,TF_Akt,H$42,TF_Dato,"&gt;="&amp;Fra,TF_Dato,"&lt;="&amp;Til))</f>
        <v/>
      </c>
      <c r="I74" s="45">
        <f>IF($A74="","",SUMIFS(TF_Timer,TF_Tekniker,$A74,TF_Akt,I$42,TF_Dato,"&gt;="&amp;Fra,TF_Dato,"&lt;="&amp;Til))</f>
        <v/>
      </c>
      <c r="J74" s="45">
        <f>IF($A74="","",SUMIFS(TF_Timer,TF_Tekniker,$A74,TF_Akt,J$42,TF_Dato,"&gt;="&amp;Fra,TF_Dato,"&lt;="&amp;Til))</f>
        <v/>
      </c>
      <c r="K74" s="45">
        <f>IF($A74="","",SUMIFS(TF_Timer,TF_Tekniker,$A74,TF_Akt,K$42,TF_Dato,"&gt;="&amp;Fra,TF_Dato,"&lt;="&amp;Til))</f>
        <v/>
      </c>
      <c r="L74" s="45">
        <f>IF($A74="","",SUMIFS(TF_Timer,TF_Tekniker,$A74,TF_Akt,L$42,TF_Dato,"&gt;="&amp;Fra,TF_Dato,"&lt;="&amp;Til))</f>
        <v/>
      </c>
      <c r="M74" s="57">
        <f>IF($A74="","",SUM(B74:L74))</f>
        <v/>
      </c>
      <c r="N74" s="45">
        <f>IF($A74="","",SUMIFS(TF_Timer,TF_Tekniker,$A74,TF_Overtid,"Ja",TF_Dato,"&gt;="&amp;Fra,TF_Dato,"&lt;="&amp;Til))</f>
        <v/>
      </c>
    </row>
    <row r="75" hidden="1" outlineLevel="1">
      <c r="A75" s="56">
        <f>INDEX(Teknikere,31)&amp;""</f>
        <v/>
      </c>
      <c r="B75" s="45">
        <f>IF($A75="","",SUMIFS(TF_Timer,TF_Tekniker,$A75,TF_Akt,B$42,TF_Dato,"&gt;="&amp;Fra,TF_Dato,"&lt;="&amp;Til))</f>
        <v/>
      </c>
      <c r="C75" s="45">
        <f>IF($A75="","",SUMIFS(TF_Timer,TF_Tekniker,$A75,TF_Akt,C$42,TF_Dato,"&gt;="&amp;Fra,TF_Dato,"&lt;="&amp;Til)+SUMIFS(INDEX(GR_Auto,0,31),GR_Dato,"&gt;="&amp;Fra,GR_Dato,"&lt;="&amp;Til))</f>
        <v/>
      </c>
      <c r="D75" s="45">
        <f>IF($A75="","",SUMIFS(TF_Timer,TF_Tekniker,$A75,TF_Akt,D$42,TF_Dato,"&gt;="&amp;Fra,TF_Dato,"&lt;="&amp;Til))</f>
        <v/>
      </c>
      <c r="E75" s="45">
        <f>IF($A75="","",SUMIFS(TF_Timer,TF_Tekniker,$A75,TF_Akt,E$42,TF_Dato,"&gt;="&amp;Fra,TF_Dato,"&lt;="&amp;Til))</f>
        <v/>
      </c>
      <c r="F75" s="45">
        <f>IF($A75="","",SUMIFS(TF_Timer,TF_Tekniker,$A75,TF_Akt,F$42,TF_Dato,"&gt;="&amp;Fra,TF_Dato,"&lt;="&amp;Til))</f>
        <v/>
      </c>
      <c r="G75" s="45">
        <f>IF($A75="","",SUMIFS(TF_Timer,TF_Tekniker,$A75,TF_Akt,G$42,TF_Dato,"&gt;="&amp;Fra,TF_Dato,"&lt;="&amp;Til))</f>
        <v/>
      </c>
      <c r="H75" s="45">
        <f>IF($A75="","",SUMIFS(TF_Timer,TF_Tekniker,$A75,TF_Akt,H$42,TF_Dato,"&gt;="&amp;Fra,TF_Dato,"&lt;="&amp;Til))</f>
        <v/>
      </c>
      <c r="I75" s="45">
        <f>IF($A75="","",SUMIFS(TF_Timer,TF_Tekniker,$A75,TF_Akt,I$42,TF_Dato,"&gt;="&amp;Fra,TF_Dato,"&lt;="&amp;Til))</f>
        <v/>
      </c>
      <c r="J75" s="45">
        <f>IF($A75="","",SUMIFS(TF_Timer,TF_Tekniker,$A75,TF_Akt,J$42,TF_Dato,"&gt;="&amp;Fra,TF_Dato,"&lt;="&amp;Til))</f>
        <v/>
      </c>
      <c r="K75" s="45">
        <f>IF($A75="","",SUMIFS(TF_Timer,TF_Tekniker,$A75,TF_Akt,K$42,TF_Dato,"&gt;="&amp;Fra,TF_Dato,"&lt;="&amp;Til))</f>
        <v/>
      </c>
      <c r="L75" s="45">
        <f>IF($A75="","",SUMIFS(TF_Timer,TF_Tekniker,$A75,TF_Akt,L$42,TF_Dato,"&gt;="&amp;Fra,TF_Dato,"&lt;="&amp;Til))</f>
        <v/>
      </c>
      <c r="M75" s="57">
        <f>IF($A75="","",SUM(B75:L75))</f>
        <v/>
      </c>
      <c r="N75" s="45">
        <f>IF($A75="","",SUMIFS(TF_Timer,TF_Tekniker,$A75,TF_Overtid,"Ja",TF_Dato,"&gt;="&amp;Fra,TF_Dato,"&lt;="&amp;Til))</f>
        <v/>
      </c>
    </row>
    <row r="76" hidden="1" outlineLevel="1">
      <c r="A76" s="56">
        <f>INDEX(Teknikere,32)&amp;""</f>
        <v/>
      </c>
      <c r="B76" s="45">
        <f>IF($A76="","",SUMIFS(TF_Timer,TF_Tekniker,$A76,TF_Akt,B$42,TF_Dato,"&gt;="&amp;Fra,TF_Dato,"&lt;="&amp;Til))</f>
        <v/>
      </c>
      <c r="C76" s="45">
        <f>IF($A76="","",SUMIFS(TF_Timer,TF_Tekniker,$A76,TF_Akt,C$42,TF_Dato,"&gt;="&amp;Fra,TF_Dato,"&lt;="&amp;Til)+SUMIFS(INDEX(GR_Auto,0,32),GR_Dato,"&gt;="&amp;Fra,GR_Dato,"&lt;="&amp;Til))</f>
        <v/>
      </c>
      <c r="D76" s="45">
        <f>IF($A76="","",SUMIFS(TF_Timer,TF_Tekniker,$A76,TF_Akt,D$42,TF_Dato,"&gt;="&amp;Fra,TF_Dato,"&lt;="&amp;Til))</f>
        <v/>
      </c>
      <c r="E76" s="45">
        <f>IF($A76="","",SUMIFS(TF_Timer,TF_Tekniker,$A76,TF_Akt,E$42,TF_Dato,"&gt;="&amp;Fra,TF_Dato,"&lt;="&amp;Til))</f>
        <v/>
      </c>
      <c r="F76" s="45">
        <f>IF($A76="","",SUMIFS(TF_Timer,TF_Tekniker,$A76,TF_Akt,F$42,TF_Dato,"&gt;="&amp;Fra,TF_Dato,"&lt;="&amp;Til))</f>
        <v/>
      </c>
      <c r="G76" s="45">
        <f>IF($A76="","",SUMIFS(TF_Timer,TF_Tekniker,$A76,TF_Akt,G$42,TF_Dato,"&gt;="&amp;Fra,TF_Dato,"&lt;="&amp;Til))</f>
        <v/>
      </c>
      <c r="H76" s="45">
        <f>IF($A76="","",SUMIFS(TF_Timer,TF_Tekniker,$A76,TF_Akt,H$42,TF_Dato,"&gt;="&amp;Fra,TF_Dato,"&lt;="&amp;Til))</f>
        <v/>
      </c>
      <c r="I76" s="45">
        <f>IF($A76="","",SUMIFS(TF_Timer,TF_Tekniker,$A76,TF_Akt,I$42,TF_Dato,"&gt;="&amp;Fra,TF_Dato,"&lt;="&amp;Til))</f>
        <v/>
      </c>
      <c r="J76" s="45">
        <f>IF($A76="","",SUMIFS(TF_Timer,TF_Tekniker,$A76,TF_Akt,J$42,TF_Dato,"&gt;="&amp;Fra,TF_Dato,"&lt;="&amp;Til))</f>
        <v/>
      </c>
      <c r="K76" s="45">
        <f>IF($A76="","",SUMIFS(TF_Timer,TF_Tekniker,$A76,TF_Akt,K$42,TF_Dato,"&gt;="&amp;Fra,TF_Dato,"&lt;="&amp;Til))</f>
        <v/>
      </c>
      <c r="L76" s="45">
        <f>IF($A76="","",SUMIFS(TF_Timer,TF_Tekniker,$A76,TF_Akt,L$42,TF_Dato,"&gt;="&amp;Fra,TF_Dato,"&lt;="&amp;Til))</f>
        <v/>
      </c>
      <c r="M76" s="57">
        <f>IF($A76="","",SUM(B76:L76))</f>
        <v/>
      </c>
      <c r="N76" s="45">
        <f>IF($A76="","",SUMIFS(TF_Timer,TF_Tekniker,$A76,TF_Overtid,"Ja",TF_Dato,"&gt;="&amp;Fra,TF_Dato,"&lt;="&amp;Til))</f>
        <v/>
      </c>
    </row>
    <row r="77" hidden="1" outlineLevel="1">
      <c r="A77" s="56">
        <f>INDEX(Teknikere,33)&amp;""</f>
        <v/>
      </c>
      <c r="B77" s="45">
        <f>IF($A77="","",SUMIFS(TF_Timer,TF_Tekniker,$A77,TF_Akt,B$42,TF_Dato,"&gt;="&amp;Fra,TF_Dato,"&lt;="&amp;Til))</f>
        <v/>
      </c>
      <c r="C77" s="45">
        <f>IF($A77="","",SUMIFS(TF_Timer,TF_Tekniker,$A77,TF_Akt,C$42,TF_Dato,"&gt;="&amp;Fra,TF_Dato,"&lt;="&amp;Til)+SUMIFS(INDEX(GR_Auto,0,33),GR_Dato,"&gt;="&amp;Fra,GR_Dato,"&lt;="&amp;Til))</f>
        <v/>
      </c>
      <c r="D77" s="45">
        <f>IF($A77="","",SUMIFS(TF_Timer,TF_Tekniker,$A77,TF_Akt,D$42,TF_Dato,"&gt;="&amp;Fra,TF_Dato,"&lt;="&amp;Til))</f>
        <v/>
      </c>
      <c r="E77" s="45">
        <f>IF($A77="","",SUMIFS(TF_Timer,TF_Tekniker,$A77,TF_Akt,E$42,TF_Dato,"&gt;="&amp;Fra,TF_Dato,"&lt;="&amp;Til))</f>
        <v/>
      </c>
      <c r="F77" s="45">
        <f>IF($A77="","",SUMIFS(TF_Timer,TF_Tekniker,$A77,TF_Akt,F$42,TF_Dato,"&gt;="&amp;Fra,TF_Dato,"&lt;="&amp;Til))</f>
        <v/>
      </c>
      <c r="G77" s="45">
        <f>IF($A77="","",SUMIFS(TF_Timer,TF_Tekniker,$A77,TF_Akt,G$42,TF_Dato,"&gt;="&amp;Fra,TF_Dato,"&lt;="&amp;Til))</f>
        <v/>
      </c>
      <c r="H77" s="45">
        <f>IF($A77="","",SUMIFS(TF_Timer,TF_Tekniker,$A77,TF_Akt,H$42,TF_Dato,"&gt;="&amp;Fra,TF_Dato,"&lt;="&amp;Til))</f>
        <v/>
      </c>
      <c r="I77" s="45">
        <f>IF($A77="","",SUMIFS(TF_Timer,TF_Tekniker,$A77,TF_Akt,I$42,TF_Dato,"&gt;="&amp;Fra,TF_Dato,"&lt;="&amp;Til))</f>
        <v/>
      </c>
      <c r="J77" s="45">
        <f>IF($A77="","",SUMIFS(TF_Timer,TF_Tekniker,$A77,TF_Akt,J$42,TF_Dato,"&gt;="&amp;Fra,TF_Dato,"&lt;="&amp;Til))</f>
        <v/>
      </c>
      <c r="K77" s="45">
        <f>IF($A77="","",SUMIFS(TF_Timer,TF_Tekniker,$A77,TF_Akt,K$42,TF_Dato,"&gt;="&amp;Fra,TF_Dato,"&lt;="&amp;Til))</f>
        <v/>
      </c>
      <c r="L77" s="45">
        <f>IF($A77="","",SUMIFS(TF_Timer,TF_Tekniker,$A77,TF_Akt,L$42,TF_Dato,"&gt;="&amp;Fra,TF_Dato,"&lt;="&amp;Til))</f>
        <v/>
      </c>
      <c r="M77" s="57">
        <f>IF($A77="","",SUM(B77:L77))</f>
        <v/>
      </c>
      <c r="N77" s="45">
        <f>IF($A77="","",SUMIFS(TF_Timer,TF_Tekniker,$A77,TF_Overtid,"Ja",TF_Dato,"&gt;="&amp;Fra,TF_Dato,"&lt;="&amp;Til))</f>
        <v/>
      </c>
    </row>
    <row r="78" hidden="1" outlineLevel="1">
      <c r="A78" s="56">
        <f>INDEX(Teknikere,34)&amp;""</f>
        <v/>
      </c>
      <c r="B78" s="45">
        <f>IF($A78="","",SUMIFS(TF_Timer,TF_Tekniker,$A78,TF_Akt,B$42,TF_Dato,"&gt;="&amp;Fra,TF_Dato,"&lt;="&amp;Til))</f>
        <v/>
      </c>
      <c r="C78" s="45">
        <f>IF($A78="","",SUMIFS(TF_Timer,TF_Tekniker,$A78,TF_Akt,C$42,TF_Dato,"&gt;="&amp;Fra,TF_Dato,"&lt;="&amp;Til)+SUMIFS(INDEX(GR_Auto,0,34),GR_Dato,"&gt;="&amp;Fra,GR_Dato,"&lt;="&amp;Til))</f>
        <v/>
      </c>
      <c r="D78" s="45">
        <f>IF($A78="","",SUMIFS(TF_Timer,TF_Tekniker,$A78,TF_Akt,D$42,TF_Dato,"&gt;="&amp;Fra,TF_Dato,"&lt;="&amp;Til))</f>
        <v/>
      </c>
      <c r="E78" s="45">
        <f>IF($A78="","",SUMIFS(TF_Timer,TF_Tekniker,$A78,TF_Akt,E$42,TF_Dato,"&gt;="&amp;Fra,TF_Dato,"&lt;="&amp;Til))</f>
        <v/>
      </c>
      <c r="F78" s="45">
        <f>IF($A78="","",SUMIFS(TF_Timer,TF_Tekniker,$A78,TF_Akt,F$42,TF_Dato,"&gt;="&amp;Fra,TF_Dato,"&lt;="&amp;Til))</f>
        <v/>
      </c>
      <c r="G78" s="45">
        <f>IF($A78="","",SUMIFS(TF_Timer,TF_Tekniker,$A78,TF_Akt,G$42,TF_Dato,"&gt;="&amp;Fra,TF_Dato,"&lt;="&amp;Til))</f>
        <v/>
      </c>
      <c r="H78" s="45">
        <f>IF($A78="","",SUMIFS(TF_Timer,TF_Tekniker,$A78,TF_Akt,H$42,TF_Dato,"&gt;="&amp;Fra,TF_Dato,"&lt;="&amp;Til))</f>
        <v/>
      </c>
      <c r="I78" s="45">
        <f>IF($A78="","",SUMIFS(TF_Timer,TF_Tekniker,$A78,TF_Akt,I$42,TF_Dato,"&gt;="&amp;Fra,TF_Dato,"&lt;="&amp;Til))</f>
        <v/>
      </c>
      <c r="J78" s="45">
        <f>IF($A78="","",SUMIFS(TF_Timer,TF_Tekniker,$A78,TF_Akt,J$42,TF_Dato,"&gt;="&amp;Fra,TF_Dato,"&lt;="&amp;Til))</f>
        <v/>
      </c>
      <c r="K78" s="45">
        <f>IF($A78="","",SUMIFS(TF_Timer,TF_Tekniker,$A78,TF_Akt,K$42,TF_Dato,"&gt;="&amp;Fra,TF_Dato,"&lt;="&amp;Til))</f>
        <v/>
      </c>
      <c r="L78" s="45">
        <f>IF($A78="","",SUMIFS(TF_Timer,TF_Tekniker,$A78,TF_Akt,L$42,TF_Dato,"&gt;="&amp;Fra,TF_Dato,"&lt;="&amp;Til))</f>
        <v/>
      </c>
      <c r="M78" s="57">
        <f>IF($A78="","",SUM(B78:L78))</f>
        <v/>
      </c>
      <c r="N78" s="45">
        <f>IF($A78="","",SUMIFS(TF_Timer,TF_Tekniker,$A78,TF_Overtid,"Ja",TF_Dato,"&gt;="&amp;Fra,TF_Dato,"&lt;="&amp;Til))</f>
        <v/>
      </c>
    </row>
    <row r="79" hidden="1" outlineLevel="1">
      <c r="A79" s="56">
        <f>INDEX(Teknikere,35)&amp;""</f>
        <v/>
      </c>
      <c r="B79" s="45">
        <f>IF($A79="","",SUMIFS(TF_Timer,TF_Tekniker,$A79,TF_Akt,B$42,TF_Dato,"&gt;="&amp;Fra,TF_Dato,"&lt;="&amp;Til))</f>
        <v/>
      </c>
      <c r="C79" s="45">
        <f>IF($A79="","",SUMIFS(TF_Timer,TF_Tekniker,$A79,TF_Akt,C$42,TF_Dato,"&gt;="&amp;Fra,TF_Dato,"&lt;="&amp;Til)+SUMIFS(INDEX(GR_Auto,0,35),GR_Dato,"&gt;="&amp;Fra,GR_Dato,"&lt;="&amp;Til))</f>
        <v/>
      </c>
      <c r="D79" s="45">
        <f>IF($A79="","",SUMIFS(TF_Timer,TF_Tekniker,$A79,TF_Akt,D$42,TF_Dato,"&gt;="&amp;Fra,TF_Dato,"&lt;="&amp;Til))</f>
        <v/>
      </c>
      <c r="E79" s="45">
        <f>IF($A79="","",SUMIFS(TF_Timer,TF_Tekniker,$A79,TF_Akt,E$42,TF_Dato,"&gt;="&amp;Fra,TF_Dato,"&lt;="&amp;Til))</f>
        <v/>
      </c>
      <c r="F79" s="45">
        <f>IF($A79="","",SUMIFS(TF_Timer,TF_Tekniker,$A79,TF_Akt,F$42,TF_Dato,"&gt;="&amp;Fra,TF_Dato,"&lt;="&amp;Til))</f>
        <v/>
      </c>
      <c r="G79" s="45">
        <f>IF($A79="","",SUMIFS(TF_Timer,TF_Tekniker,$A79,TF_Akt,G$42,TF_Dato,"&gt;="&amp;Fra,TF_Dato,"&lt;="&amp;Til))</f>
        <v/>
      </c>
      <c r="H79" s="45">
        <f>IF($A79="","",SUMIFS(TF_Timer,TF_Tekniker,$A79,TF_Akt,H$42,TF_Dato,"&gt;="&amp;Fra,TF_Dato,"&lt;="&amp;Til))</f>
        <v/>
      </c>
      <c r="I79" s="45">
        <f>IF($A79="","",SUMIFS(TF_Timer,TF_Tekniker,$A79,TF_Akt,I$42,TF_Dato,"&gt;="&amp;Fra,TF_Dato,"&lt;="&amp;Til))</f>
        <v/>
      </c>
      <c r="J79" s="45">
        <f>IF($A79="","",SUMIFS(TF_Timer,TF_Tekniker,$A79,TF_Akt,J$42,TF_Dato,"&gt;="&amp;Fra,TF_Dato,"&lt;="&amp;Til))</f>
        <v/>
      </c>
      <c r="K79" s="45">
        <f>IF($A79="","",SUMIFS(TF_Timer,TF_Tekniker,$A79,TF_Akt,K$42,TF_Dato,"&gt;="&amp;Fra,TF_Dato,"&lt;="&amp;Til))</f>
        <v/>
      </c>
      <c r="L79" s="45">
        <f>IF($A79="","",SUMIFS(TF_Timer,TF_Tekniker,$A79,TF_Akt,L$42,TF_Dato,"&gt;="&amp;Fra,TF_Dato,"&lt;="&amp;Til))</f>
        <v/>
      </c>
      <c r="M79" s="57">
        <f>IF($A79="","",SUM(B79:L79))</f>
        <v/>
      </c>
      <c r="N79" s="45">
        <f>IF($A79="","",SUMIFS(TF_Timer,TF_Tekniker,$A79,TF_Overtid,"Ja",TF_Dato,"&gt;="&amp;Fra,TF_Dato,"&lt;="&amp;Til))</f>
        <v/>
      </c>
    </row>
    <row r="80" hidden="1" outlineLevel="1">
      <c r="A80" s="56">
        <f>INDEX(Teknikere,36)&amp;""</f>
        <v/>
      </c>
      <c r="B80" s="45">
        <f>IF($A80="","",SUMIFS(TF_Timer,TF_Tekniker,$A80,TF_Akt,B$42,TF_Dato,"&gt;="&amp;Fra,TF_Dato,"&lt;="&amp;Til))</f>
        <v/>
      </c>
      <c r="C80" s="45">
        <f>IF($A80="","",SUMIFS(TF_Timer,TF_Tekniker,$A80,TF_Akt,C$42,TF_Dato,"&gt;="&amp;Fra,TF_Dato,"&lt;="&amp;Til)+SUMIFS(INDEX(GR_Auto,0,36),GR_Dato,"&gt;="&amp;Fra,GR_Dato,"&lt;="&amp;Til))</f>
        <v/>
      </c>
      <c r="D80" s="45">
        <f>IF($A80="","",SUMIFS(TF_Timer,TF_Tekniker,$A80,TF_Akt,D$42,TF_Dato,"&gt;="&amp;Fra,TF_Dato,"&lt;="&amp;Til))</f>
        <v/>
      </c>
      <c r="E80" s="45">
        <f>IF($A80="","",SUMIFS(TF_Timer,TF_Tekniker,$A80,TF_Akt,E$42,TF_Dato,"&gt;="&amp;Fra,TF_Dato,"&lt;="&amp;Til))</f>
        <v/>
      </c>
      <c r="F80" s="45">
        <f>IF($A80="","",SUMIFS(TF_Timer,TF_Tekniker,$A80,TF_Akt,F$42,TF_Dato,"&gt;="&amp;Fra,TF_Dato,"&lt;="&amp;Til))</f>
        <v/>
      </c>
      <c r="G80" s="45">
        <f>IF($A80="","",SUMIFS(TF_Timer,TF_Tekniker,$A80,TF_Akt,G$42,TF_Dato,"&gt;="&amp;Fra,TF_Dato,"&lt;="&amp;Til))</f>
        <v/>
      </c>
      <c r="H80" s="45">
        <f>IF($A80="","",SUMIFS(TF_Timer,TF_Tekniker,$A80,TF_Akt,H$42,TF_Dato,"&gt;="&amp;Fra,TF_Dato,"&lt;="&amp;Til))</f>
        <v/>
      </c>
      <c r="I80" s="45">
        <f>IF($A80="","",SUMIFS(TF_Timer,TF_Tekniker,$A80,TF_Akt,I$42,TF_Dato,"&gt;="&amp;Fra,TF_Dato,"&lt;="&amp;Til))</f>
        <v/>
      </c>
      <c r="J80" s="45">
        <f>IF($A80="","",SUMIFS(TF_Timer,TF_Tekniker,$A80,TF_Akt,J$42,TF_Dato,"&gt;="&amp;Fra,TF_Dato,"&lt;="&amp;Til))</f>
        <v/>
      </c>
      <c r="K80" s="45">
        <f>IF($A80="","",SUMIFS(TF_Timer,TF_Tekniker,$A80,TF_Akt,K$42,TF_Dato,"&gt;="&amp;Fra,TF_Dato,"&lt;="&amp;Til))</f>
        <v/>
      </c>
      <c r="L80" s="45">
        <f>IF($A80="","",SUMIFS(TF_Timer,TF_Tekniker,$A80,TF_Akt,L$42,TF_Dato,"&gt;="&amp;Fra,TF_Dato,"&lt;="&amp;Til))</f>
        <v/>
      </c>
      <c r="M80" s="57">
        <f>IF($A80="","",SUM(B80:L80))</f>
        <v/>
      </c>
      <c r="N80" s="45">
        <f>IF($A80="","",SUMIFS(TF_Timer,TF_Tekniker,$A80,TF_Overtid,"Ja",TF_Dato,"&gt;="&amp;Fra,TF_Dato,"&lt;="&amp;Til))</f>
        <v/>
      </c>
    </row>
    <row r="81">
      <c r="A81" s="50">
        <f>INDEX(SkiftNavn,3)&amp;" · "&amp;COUNTIF(A82:A99,"?*")</f>
        <v/>
      </c>
      <c r="B81" s="51">
        <f>SUM(B82:B99)</f>
        <v/>
      </c>
      <c r="C81" s="51">
        <f>SUM(C82:C99)</f>
        <v/>
      </c>
      <c r="D81" s="51">
        <f>SUM(D82:D99)</f>
        <v/>
      </c>
      <c r="E81" s="51">
        <f>SUM(E82:E99)</f>
        <v/>
      </c>
      <c r="F81" s="51">
        <f>SUM(F82:F99)</f>
        <v/>
      </c>
      <c r="G81" s="51">
        <f>SUM(G82:G99)</f>
        <v/>
      </c>
      <c r="H81" s="51">
        <f>SUM(H82:H99)</f>
        <v/>
      </c>
      <c r="I81" s="51">
        <f>SUM(I82:I99)</f>
        <v/>
      </c>
      <c r="J81" s="51">
        <f>SUM(J82:J99)</f>
        <v/>
      </c>
      <c r="K81" s="51">
        <f>SUM(K82:K99)</f>
        <v/>
      </c>
      <c r="L81" s="51">
        <f>SUM(L82:L99)</f>
        <v/>
      </c>
      <c r="M81" s="51">
        <f>SUM(M82:M99)</f>
        <v/>
      </c>
      <c r="N81" s="51">
        <f>SUM(N82:N99)</f>
        <v/>
      </c>
    </row>
    <row r="82" hidden="1" outlineLevel="1">
      <c r="A82" s="56">
        <f>INDEX(Teknikere,37)&amp;""</f>
        <v/>
      </c>
      <c r="B82" s="45">
        <f>IF($A82="","",SUMIFS(TF_Timer,TF_Tekniker,$A82,TF_Akt,B$42,TF_Dato,"&gt;="&amp;Fra,TF_Dato,"&lt;="&amp;Til))</f>
        <v/>
      </c>
      <c r="C82" s="45">
        <f>IF($A82="","",SUMIFS(TF_Timer,TF_Tekniker,$A82,TF_Akt,C$42,TF_Dato,"&gt;="&amp;Fra,TF_Dato,"&lt;="&amp;Til)+SUMIFS(INDEX(GR_Auto,0,37),GR_Dato,"&gt;="&amp;Fra,GR_Dato,"&lt;="&amp;Til))</f>
        <v/>
      </c>
      <c r="D82" s="45">
        <f>IF($A82="","",SUMIFS(TF_Timer,TF_Tekniker,$A82,TF_Akt,D$42,TF_Dato,"&gt;="&amp;Fra,TF_Dato,"&lt;="&amp;Til))</f>
        <v/>
      </c>
      <c r="E82" s="45">
        <f>IF($A82="","",SUMIFS(TF_Timer,TF_Tekniker,$A82,TF_Akt,E$42,TF_Dato,"&gt;="&amp;Fra,TF_Dato,"&lt;="&amp;Til))</f>
        <v/>
      </c>
      <c r="F82" s="45">
        <f>IF($A82="","",SUMIFS(TF_Timer,TF_Tekniker,$A82,TF_Akt,F$42,TF_Dato,"&gt;="&amp;Fra,TF_Dato,"&lt;="&amp;Til))</f>
        <v/>
      </c>
      <c r="G82" s="45">
        <f>IF($A82="","",SUMIFS(TF_Timer,TF_Tekniker,$A82,TF_Akt,G$42,TF_Dato,"&gt;="&amp;Fra,TF_Dato,"&lt;="&amp;Til))</f>
        <v/>
      </c>
      <c r="H82" s="45">
        <f>IF($A82="","",SUMIFS(TF_Timer,TF_Tekniker,$A82,TF_Akt,H$42,TF_Dato,"&gt;="&amp;Fra,TF_Dato,"&lt;="&amp;Til))</f>
        <v/>
      </c>
      <c r="I82" s="45">
        <f>IF($A82="","",SUMIFS(TF_Timer,TF_Tekniker,$A82,TF_Akt,I$42,TF_Dato,"&gt;="&amp;Fra,TF_Dato,"&lt;="&amp;Til))</f>
        <v/>
      </c>
      <c r="J82" s="45">
        <f>IF($A82="","",SUMIFS(TF_Timer,TF_Tekniker,$A82,TF_Akt,J$42,TF_Dato,"&gt;="&amp;Fra,TF_Dato,"&lt;="&amp;Til))</f>
        <v/>
      </c>
      <c r="K82" s="45">
        <f>IF($A82="","",SUMIFS(TF_Timer,TF_Tekniker,$A82,TF_Akt,K$42,TF_Dato,"&gt;="&amp;Fra,TF_Dato,"&lt;="&amp;Til))</f>
        <v/>
      </c>
      <c r="L82" s="45">
        <f>IF($A82="","",SUMIFS(TF_Timer,TF_Tekniker,$A82,TF_Akt,L$42,TF_Dato,"&gt;="&amp;Fra,TF_Dato,"&lt;="&amp;Til))</f>
        <v/>
      </c>
      <c r="M82" s="57">
        <f>IF($A82="","",SUM(B82:L82))</f>
        <v/>
      </c>
      <c r="N82" s="45">
        <f>IF($A82="","",SUMIFS(TF_Timer,TF_Tekniker,$A82,TF_Overtid,"Ja",TF_Dato,"&gt;="&amp;Fra,TF_Dato,"&lt;="&amp;Til))</f>
        <v/>
      </c>
    </row>
    <row r="83" hidden="1" outlineLevel="1">
      <c r="A83" s="56">
        <f>INDEX(Teknikere,38)&amp;""</f>
        <v/>
      </c>
      <c r="B83" s="45">
        <f>IF($A83="","",SUMIFS(TF_Timer,TF_Tekniker,$A83,TF_Akt,B$42,TF_Dato,"&gt;="&amp;Fra,TF_Dato,"&lt;="&amp;Til))</f>
        <v/>
      </c>
      <c r="C83" s="45">
        <f>IF($A83="","",SUMIFS(TF_Timer,TF_Tekniker,$A83,TF_Akt,C$42,TF_Dato,"&gt;="&amp;Fra,TF_Dato,"&lt;="&amp;Til)+SUMIFS(INDEX(GR_Auto,0,38),GR_Dato,"&gt;="&amp;Fra,GR_Dato,"&lt;="&amp;Til))</f>
        <v/>
      </c>
      <c r="D83" s="45">
        <f>IF($A83="","",SUMIFS(TF_Timer,TF_Tekniker,$A83,TF_Akt,D$42,TF_Dato,"&gt;="&amp;Fra,TF_Dato,"&lt;="&amp;Til))</f>
        <v/>
      </c>
      <c r="E83" s="45">
        <f>IF($A83="","",SUMIFS(TF_Timer,TF_Tekniker,$A83,TF_Akt,E$42,TF_Dato,"&gt;="&amp;Fra,TF_Dato,"&lt;="&amp;Til))</f>
        <v/>
      </c>
      <c r="F83" s="45">
        <f>IF($A83="","",SUMIFS(TF_Timer,TF_Tekniker,$A83,TF_Akt,F$42,TF_Dato,"&gt;="&amp;Fra,TF_Dato,"&lt;="&amp;Til))</f>
        <v/>
      </c>
      <c r="G83" s="45">
        <f>IF($A83="","",SUMIFS(TF_Timer,TF_Tekniker,$A83,TF_Akt,G$42,TF_Dato,"&gt;="&amp;Fra,TF_Dato,"&lt;="&amp;Til))</f>
        <v/>
      </c>
      <c r="H83" s="45">
        <f>IF($A83="","",SUMIFS(TF_Timer,TF_Tekniker,$A83,TF_Akt,H$42,TF_Dato,"&gt;="&amp;Fra,TF_Dato,"&lt;="&amp;Til))</f>
        <v/>
      </c>
      <c r="I83" s="45">
        <f>IF($A83="","",SUMIFS(TF_Timer,TF_Tekniker,$A83,TF_Akt,I$42,TF_Dato,"&gt;="&amp;Fra,TF_Dato,"&lt;="&amp;Til))</f>
        <v/>
      </c>
      <c r="J83" s="45">
        <f>IF($A83="","",SUMIFS(TF_Timer,TF_Tekniker,$A83,TF_Akt,J$42,TF_Dato,"&gt;="&amp;Fra,TF_Dato,"&lt;="&amp;Til))</f>
        <v/>
      </c>
      <c r="K83" s="45">
        <f>IF($A83="","",SUMIFS(TF_Timer,TF_Tekniker,$A83,TF_Akt,K$42,TF_Dato,"&gt;="&amp;Fra,TF_Dato,"&lt;="&amp;Til))</f>
        <v/>
      </c>
      <c r="L83" s="45">
        <f>IF($A83="","",SUMIFS(TF_Timer,TF_Tekniker,$A83,TF_Akt,L$42,TF_Dato,"&gt;="&amp;Fra,TF_Dato,"&lt;="&amp;Til))</f>
        <v/>
      </c>
      <c r="M83" s="57">
        <f>IF($A83="","",SUM(B83:L83))</f>
        <v/>
      </c>
      <c r="N83" s="45">
        <f>IF($A83="","",SUMIFS(TF_Timer,TF_Tekniker,$A83,TF_Overtid,"Ja",TF_Dato,"&gt;="&amp;Fra,TF_Dato,"&lt;="&amp;Til))</f>
        <v/>
      </c>
    </row>
    <row r="84" hidden="1" outlineLevel="1">
      <c r="A84" s="56">
        <f>INDEX(Teknikere,39)&amp;""</f>
        <v/>
      </c>
      <c r="B84" s="45">
        <f>IF($A84="","",SUMIFS(TF_Timer,TF_Tekniker,$A84,TF_Akt,B$42,TF_Dato,"&gt;="&amp;Fra,TF_Dato,"&lt;="&amp;Til))</f>
        <v/>
      </c>
      <c r="C84" s="45">
        <f>IF($A84="","",SUMIFS(TF_Timer,TF_Tekniker,$A84,TF_Akt,C$42,TF_Dato,"&gt;="&amp;Fra,TF_Dato,"&lt;="&amp;Til)+SUMIFS(INDEX(GR_Auto,0,39),GR_Dato,"&gt;="&amp;Fra,GR_Dato,"&lt;="&amp;Til))</f>
        <v/>
      </c>
      <c r="D84" s="45">
        <f>IF($A84="","",SUMIFS(TF_Timer,TF_Tekniker,$A84,TF_Akt,D$42,TF_Dato,"&gt;="&amp;Fra,TF_Dato,"&lt;="&amp;Til))</f>
        <v/>
      </c>
      <c r="E84" s="45">
        <f>IF($A84="","",SUMIFS(TF_Timer,TF_Tekniker,$A84,TF_Akt,E$42,TF_Dato,"&gt;="&amp;Fra,TF_Dato,"&lt;="&amp;Til))</f>
        <v/>
      </c>
      <c r="F84" s="45">
        <f>IF($A84="","",SUMIFS(TF_Timer,TF_Tekniker,$A84,TF_Akt,F$42,TF_Dato,"&gt;="&amp;Fra,TF_Dato,"&lt;="&amp;Til))</f>
        <v/>
      </c>
      <c r="G84" s="45">
        <f>IF($A84="","",SUMIFS(TF_Timer,TF_Tekniker,$A84,TF_Akt,G$42,TF_Dato,"&gt;="&amp;Fra,TF_Dato,"&lt;="&amp;Til))</f>
        <v/>
      </c>
      <c r="H84" s="45">
        <f>IF($A84="","",SUMIFS(TF_Timer,TF_Tekniker,$A84,TF_Akt,H$42,TF_Dato,"&gt;="&amp;Fra,TF_Dato,"&lt;="&amp;Til))</f>
        <v/>
      </c>
      <c r="I84" s="45">
        <f>IF($A84="","",SUMIFS(TF_Timer,TF_Tekniker,$A84,TF_Akt,I$42,TF_Dato,"&gt;="&amp;Fra,TF_Dato,"&lt;="&amp;Til))</f>
        <v/>
      </c>
      <c r="J84" s="45">
        <f>IF($A84="","",SUMIFS(TF_Timer,TF_Tekniker,$A84,TF_Akt,J$42,TF_Dato,"&gt;="&amp;Fra,TF_Dato,"&lt;="&amp;Til))</f>
        <v/>
      </c>
      <c r="K84" s="45">
        <f>IF($A84="","",SUMIFS(TF_Timer,TF_Tekniker,$A84,TF_Akt,K$42,TF_Dato,"&gt;="&amp;Fra,TF_Dato,"&lt;="&amp;Til))</f>
        <v/>
      </c>
      <c r="L84" s="45">
        <f>IF($A84="","",SUMIFS(TF_Timer,TF_Tekniker,$A84,TF_Akt,L$42,TF_Dato,"&gt;="&amp;Fra,TF_Dato,"&lt;="&amp;Til))</f>
        <v/>
      </c>
      <c r="M84" s="57">
        <f>IF($A84="","",SUM(B84:L84))</f>
        <v/>
      </c>
      <c r="N84" s="45">
        <f>IF($A84="","",SUMIFS(TF_Timer,TF_Tekniker,$A84,TF_Overtid,"Ja",TF_Dato,"&gt;="&amp;Fra,TF_Dato,"&lt;="&amp;Til))</f>
        <v/>
      </c>
    </row>
    <row r="85" hidden="1" outlineLevel="1">
      <c r="A85" s="56">
        <f>INDEX(Teknikere,40)&amp;""</f>
        <v/>
      </c>
      <c r="B85" s="45">
        <f>IF($A85="","",SUMIFS(TF_Timer,TF_Tekniker,$A85,TF_Akt,B$42,TF_Dato,"&gt;="&amp;Fra,TF_Dato,"&lt;="&amp;Til))</f>
        <v/>
      </c>
      <c r="C85" s="45">
        <f>IF($A85="","",SUMIFS(TF_Timer,TF_Tekniker,$A85,TF_Akt,C$42,TF_Dato,"&gt;="&amp;Fra,TF_Dato,"&lt;="&amp;Til)+SUMIFS(INDEX(GR_Auto,0,40),GR_Dato,"&gt;="&amp;Fra,GR_Dato,"&lt;="&amp;Til))</f>
        <v/>
      </c>
      <c r="D85" s="45">
        <f>IF($A85="","",SUMIFS(TF_Timer,TF_Tekniker,$A85,TF_Akt,D$42,TF_Dato,"&gt;="&amp;Fra,TF_Dato,"&lt;="&amp;Til))</f>
        <v/>
      </c>
      <c r="E85" s="45">
        <f>IF($A85="","",SUMIFS(TF_Timer,TF_Tekniker,$A85,TF_Akt,E$42,TF_Dato,"&gt;="&amp;Fra,TF_Dato,"&lt;="&amp;Til))</f>
        <v/>
      </c>
      <c r="F85" s="45">
        <f>IF($A85="","",SUMIFS(TF_Timer,TF_Tekniker,$A85,TF_Akt,F$42,TF_Dato,"&gt;="&amp;Fra,TF_Dato,"&lt;="&amp;Til))</f>
        <v/>
      </c>
      <c r="G85" s="45">
        <f>IF($A85="","",SUMIFS(TF_Timer,TF_Tekniker,$A85,TF_Akt,G$42,TF_Dato,"&gt;="&amp;Fra,TF_Dato,"&lt;="&amp;Til))</f>
        <v/>
      </c>
      <c r="H85" s="45">
        <f>IF($A85="","",SUMIFS(TF_Timer,TF_Tekniker,$A85,TF_Akt,H$42,TF_Dato,"&gt;="&amp;Fra,TF_Dato,"&lt;="&amp;Til))</f>
        <v/>
      </c>
      <c r="I85" s="45">
        <f>IF($A85="","",SUMIFS(TF_Timer,TF_Tekniker,$A85,TF_Akt,I$42,TF_Dato,"&gt;="&amp;Fra,TF_Dato,"&lt;="&amp;Til))</f>
        <v/>
      </c>
      <c r="J85" s="45">
        <f>IF($A85="","",SUMIFS(TF_Timer,TF_Tekniker,$A85,TF_Akt,J$42,TF_Dato,"&gt;="&amp;Fra,TF_Dato,"&lt;="&amp;Til))</f>
        <v/>
      </c>
      <c r="K85" s="45">
        <f>IF($A85="","",SUMIFS(TF_Timer,TF_Tekniker,$A85,TF_Akt,K$42,TF_Dato,"&gt;="&amp;Fra,TF_Dato,"&lt;="&amp;Til))</f>
        <v/>
      </c>
      <c r="L85" s="45">
        <f>IF($A85="","",SUMIFS(TF_Timer,TF_Tekniker,$A85,TF_Akt,L$42,TF_Dato,"&gt;="&amp;Fra,TF_Dato,"&lt;="&amp;Til))</f>
        <v/>
      </c>
      <c r="M85" s="57">
        <f>IF($A85="","",SUM(B85:L85))</f>
        <v/>
      </c>
      <c r="N85" s="45">
        <f>IF($A85="","",SUMIFS(TF_Timer,TF_Tekniker,$A85,TF_Overtid,"Ja",TF_Dato,"&gt;="&amp;Fra,TF_Dato,"&lt;="&amp;Til))</f>
        <v/>
      </c>
    </row>
    <row r="86" hidden="1" outlineLevel="1">
      <c r="A86" s="56">
        <f>INDEX(Teknikere,41)&amp;""</f>
        <v/>
      </c>
      <c r="B86" s="45">
        <f>IF($A86="","",SUMIFS(TF_Timer,TF_Tekniker,$A86,TF_Akt,B$42,TF_Dato,"&gt;="&amp;Fra,TF_Dato,"&lt;="&amp;Til))</f>
        <v/>
      </c>
      <c r="C86" s="45">
        <f>IF($A86="","",SUMIFS(TF_Timer,TF_Tekniker,$A86,TF_Akt,C$42,TF_Dato,"&gt;="&amp;Fra,TF_Dato,"&lt;="&amp;Til)+SUMIFS(INDEX(GR_Auto,0,41),GR_Dato,"&gt;="&amp;Fra,GR_Dato,"&lt;="&amp;Til))</f>
        <v/>
      </c>
      <c r="D86" s="45">
        <f>IF($A86="","",SUMIFS(TF_Timer,TF_Tekniker,$A86,TF_Akt,D$42,TF_Dato,"&gt;="&amp;Fra,TF_Dato,"&lt;="&amp;Til))</f>
        <v/>
      </c>
      <c r="E86" s="45">
        <f>IF($A86="","",SUMIFS(TF_Timer,TF_Tekniker,$A86,TF_Akt,E$42,TF_Dato,"&gt;="&amp;Fra,TF_Dato,"&lt;="&amp;Til))</f>
        <v/>
      </c>
      <c r="F86" s="45">
        <f>IF($A86="","",SUMIFS(TF_Timer,TF_Tekniker,$A86,TF_Akt,F$42,TF_Dato,"&gt;="&amp;Fra,TF_Dato,"&lt;="&amp;Til))</f>
        <v/>
      </c>
      <c r="G86" s="45">
        <f>IF($A86="","",SUMIFS(TF_Timer,TF_Tekniker,$A86,TF_Akt,G$42,TF_Dato,"&gt;="&amp;Fra,TF_Dato,"&lt;="&amp;Til))</f>
        <v/>
      </c>
      <c r="H86" s="45">
        <f>IF($A86="","",SUMIFS(TF_Timer,TF_Tekniker,$A86,TF_Akt,H$42,TF_Dato,"&gt;="&amp;Fra,TF_Dato,"&lt;="&amp;Til))</f>
        <v/>
      </c>
      <c r="I86" s="45">
        <f>IF($A86="","",SUMIFS(TF_Timer,TF_Tekniker,$A86,TF_Akt,I$42,TF_Dato,"&gt;="&amp;Fra,TF_Dato,"&lt;="&amp;Til))</f>
        <v/>
      </c>
      <c r="J86" s="45">
        <f>IF($A86="","",SUMIFS(TF_Timer,TF_Tekniker,$A86,TF_Akt,J$42,TF_Dato,"&gt;="&amp;Fra,TF_Dato,"&lt;="&amp;Til))</f>
        <v/>
      </c>
      <c r="K86" s="45">
        <f>IF($A86="","",SUMIFS(TF_Timer,TF_Tekniker,$A86,TF_Akt,K$42,TF_Dato,"&gt;="&amp;Fra,TF_Dato,"&lt;="&amp;Til))</f>
        <v/>
      </c>
      <c r="L86" s="45">
        <f>IF($A86="","",SUMIFS(TF_Timer,TF_Tekniker,$A86,TF_Akt,L$42,TF_Dato,"&gt;="&amp;Fra,TF_Dato,"&lt;="&amp;Til))</f>
        <v/>
      </c>
      <c r="M86" s="57">
        <f>IF($A86="","",SUM(B86:L86))</f>
        <v/>
      </c>
      <c r="N86" s="45">
        <f>IF($A86="","",SUMIFS(TF_Timer,TF_Tekniker,$A86,TF_Overtid,"Ja",TF_Dato,"&gt;="&amp;Fra,TF_Dato,"&lt;="&amp;Til))</f>
        <v/>
      </c>
    </row>
    <row r="87" hidden="1" outlineLevel="1">
      <c r="A87" s="56">
        <f>INDEX(Teknikere,42)&amp;""</f>
        <v/>
      </c>
      <c r="B87" s="45">
        <f>IF($A87="","",SUMIFS(TF_Timer,TF_Tekniker,$A87,TF_Akt,B$42,TF_Dato,"&gt;="&amp;Fra,TF_Dato,"&lt;="&amp;Til))</f>
        <v/>
      </c>
      <c r="C87" s="45">
        <f>IF($A87="","",SUMIFS(TF_Timer,TF_Tekniker,$A87,TF_Akt,C$42,TF_Dato,"&gt;="&amp;Fra,TF_Dato,"&lt;="&amp;Til)+SUMIFS(INDEX(GR_Auto,0,42),GR_Dato,"&gt;="&amp;Fra,GR_Dato,"&lt;="&amp;Til))</f>
        <v/>
      </c>
      <c r="D87" s="45">
        <f>IF($A87="","",SUMIFS(TF_Timer,TF_Tekniker,$A87,TF_Akt,D$42,TF_Dato,"&gt;="&amp;Fra,TF_Dato,"&lt;="&amp;Til))</f>
        <v/>
      </c>
      <c r="E87" s="45">
        <f>IF($A87="","",SUMIFS(TF_Timer,TF_Tekniker,$A87,TF_Akt,E$42,TF_Dato,"&gt;="&amp;Fra,TF_Dato,"&lt;="&amp;Til))</f>
        <v/>
      </c>
      <c r="F87" s="45">
        <f>IF($A87="","",SUMIFS(TF_Timer,TF_Tekniker,$A87,TF_Akt,F$42,TF_Dato,"&gt;="&amp;Fra,TF_Dato,"&lt;="&amp;Til))</f>
        <v/>
      </c>
      <c r="G87" s="45">
        <f>IF($A87="","",SUMIFS(TF_Timer,TF_Tekniker,$A87,TF_Akt,G$42,TF_Dato,"&gt;="&amp;Fra,TF_Dato,"&lt;="&amp;Til))</f>
        <v/>
      </c>
      <c r="H87" s="45">
        <f>IF($A87="","",SUMIFS(TF_Timer,TF_Tekniker,$A87,TF_Akt,H$42,TF_Dato,"&gt;="&amp;Fra,TF_Dato,"&lt;="&amp;Til))</f>
        <v/>
      </c>
      <c r="I87" s="45">
        <f>IF($A87="","",SUMIFS(TF_Timer,TF_Tekniker,$A87,TF_Akt,I$42,TF_Dato,"&gt;="&amp;Fra,TF_Dato,"&lt;="&amp;Til))</f>
        <v/>
      </c>
      <c r="J87" s="45">
        <f>IF($A87="","",SUMIFS(TF_Timer,TF_Tekniker,$A87,TF_Akt,J$42,TF_Dato,"&gt;="&amp;Fra,TF_Dato,"&lt;="&amp;Til))</f>
        <v/>
      </c>
      <c r="K87" s="45">
        <f>IF($A87="","",SUMIFS(TF_Timer,TF_Tekniker,$A87,TF_Akt,K$42,TF_Dato,"&gt;="&amp;Fra,TF_Dato,"&lt;="&amp;Til))</f>
        <v/>
      </c>
      <c r="L87" s="45">
        <f>IF($A87="","",SUMIFS(TF_Timer,TF_Tekniker,$A87,TF_Akt,L$42,TF_Dato,"&gt;="&amp;Fra,TF_Dato,"&lt;="&amp;Til))</f>
        <v/>
      </c>
      <c r="M87" s="57">
        <f>IF($A87="","",SUM(B87:L87))</f>
        <v/>
      </c>
      <c r="N87" s="45">
        <f>IF($A87="","",SUMIFS(TF_Timer,TF_Tekniker,$A87,TF_Overtid,"Ja",TF_Dato,"&gt;="&amp;Fra,TF_Dato,"&lt;="&amp;Til))</f>
        <v/>
      </c>
    </row>
    <row r="88" hidden="1" outlineLevel="1">
      <c r="A88" s="56">
        <f>INDEX(Teknikere,43)&amp;""</f>
        <v/>
      </c>
      <c r="B88" s="45">
        <f>IF($A88="","",SUMIFS(TF_Timer,TF_Tekniker,$A88,TF_Akt,B$42,TF_Dato,"&gt;="&amp;Fra,TF_Dato,"&lt;="&amp;Til))</f>
        <v/>
      </c>
      <c r="C88" s="45">
        <f>IF($A88="","",SUMIFS(TF_Timer,TF_Tekniker,$A88,TF_Akt,C$42,TF_Dato,"&gt;="&amp;Fra,TF_Dato,"&lt;="&amp;Til)+SUMIFS(INDEX(GR_Auto,0,43),GR_Dato,"&gt;="&amp;Fra,GR_Dato,"&lt;="&amp;Til))</f>
        <v/>
      </c>
      <c r="D88" s="45">
        <f>IF($A88="","",SUMIFS(TF_Timer,TF_Tekniker,$A88,TF_Akt,D$42,TF_Dato,"&gt;="&amp;Fra,TF_Dato,"&lt;="&amp;Til))</f>
        <v/>
      </c>
      <c r="E88" s="45">
        <f>IF($A88="","",SUMIFS(TF_Timer,TF_Tekniker,$A88,TF_Akt,E$42,TF_Dato,"&gt;="&amp;Fra,TF_Dato,"&lt;="&amp;Til))</f>
        <v/>
      </c>
      <c r="F88" s="45">
        <f>IF($A88="","",SUMIFS(TF_Timer,TF_Tekniker,$A88,TF_Akt,F$42,TF_Dato,"&gt;="&amp;Fra,TF_Dato,"&lt;="&amp;Til))</f>
        <v/>
      </c>
      <c r="G88" s="45">
        <f>IF($A88="","",SUMIFS(TF_Timer,TF_Tekniker,$A88,TF_Akt,G$42,TF_Dato,"&gt;="&amp;Fra,TF_Dato,"&lt;="&amp;Til))</f>
        <v/>
      </c>
      <c r="H88" s="45">
        <f>IF($A88="","",SUMIFS(TF_Timer,TF_Tekniker,$A88,TF_Akt,H$42,TF_Dato,"&gt;="&amp;Fra,TF_Dato,"&lt;="&amp;Til))</f>
        <v/>
      </c>
      <c r="I88" s="45">
        <f>IF($A88="","",SUMIFS(TF_Timer,TF_Tekniker,$A88,TF_Akt,I$42,TF_Dato,"&gt;="&amp;Fra,TF_Dato,"&lt;="&amp;Til))</f>
        <v/>
      </c>
      <c r="J88" s="45">
        <f>IF($A88="","",SUMIFS(TF_Timer,TF_Tekniker,$A88,TF_Akt,J$42,TF_Dato,"&gt;="&amp;Fra,TF_Dato,"&lt;="&amp;Til))</f>
        <v/>
      </c>
      <c r="K88" s="45">
        <f>IF($A88="","",SUMIFS(TF_Timer,TF_Tekniker,$A88,TF_Akt,K$42,TF_Dato,"&gt;="&amp;Fra,TF_Dato,"&lt;="&amp;Til))</f>
        <v/>
      </c>
      <c r="L88" s="45">
        <f>IF($A88="","",SUMIFS(TF_Timer,TF_Tekniker,$A88,TF_Akt,L$42,TF_Dato,"&gt;="&amp;Fra,TF_Dato,"&lt;="&amp;Til))</f>
        <v/>
      </c>
      <c r="M88" s="57">
        <f>IF($A88="","",SUM(B88:L88))</f>
        <v/>
      </c>
      <c r="N88" s="45">
        <f>IF($A88="","",SUMIFS(TF_Timer,TF_Tekniker,$A88,TF_Overtid,"Ja",TF_Dato,"&gt;="&amp;Fra,TF_Dato,"&lt;="&amp;Til))</f>
        <v/>
      </c>
    </row>
    <row r="89" hidden="1" outlineLevel="1">
      <c r="A89" s="56">
        <f>INDEX(Teknikere,44)&amp;""</f>
        <v/>
      </c>
      <c r="B89" s="45">
        <f>IF($A89="","",SUMIFS(TF_Timer,TF_Tekniker,$A89,TF_Akt,B$42,TF_Dato,"&gt;="&amp;Fra,TF_Dato,"&lt;="&amp;Til))</f>
        <v/>
      </c>
      <c r="C89" s="45">
        <f>IF($A89="","",SUMIFS(TF_Timer,TF_Tekniker,$A89,TF_Akt,C$42,TF_Dato,"&gt;="&amp;Fra,TF_Dato,"&lt;="&amp;Til)+SUMIFS(INDEX(GR_Auto,0,44),GR_Dato,"&gt;="&amp;Fra,GR_Dato,"&lt;="&amp;Til))</f>
        <v/>
      </c>
      <c r="D89" s="45">
        <f>IF($A89="","",SUMIFS(TF_Timer,TF_Tekniker,$A89,TF_Akt,D$42,TF_Dato,"&gt;="&amp;Fra,TF_Dato,"&lt;="&amp;Til))</f>
        <v/>
      </c>
      <c r="E89" s="45">
        <f>IF($A89="","",SUMIFS(TF_Timer,TF_Tekniker,$A89,TF_Akt,E$42,TF_Dato,"&gt;="&amp;Fra,TF_Dato,"&lt;="&amp;Til))</f>
        <v/>
      </c>
      <c r="F89" s="45">
        <f>IF($A89="","",SUMIFS(TF_Timer,TF_Tekniker,$A89,TF_Akt,F$42,TF_Dato,"&gt;="&amp;Fra,TF_Dato,"&lt;="&amp;Til))</f>
        <v/>
      </c>
      <c r="G89" s="45">
        <f>IF($A89="","",SUMIFS(TF_Timer,TF_Tekniker,$A89,TF_Akt,G$42,TF_Dato,"&gt;="&amp;Fra,TF_Dato,"&lt;="&amp;Til))</f>
        <v/>
      </c>
      <c r="H89" s="45">
        <f>IF($A89="","",SUMIFS(TF_Timer,TF_Tekniker,$A89,TF_Akt,H$42,TF_Dato,"&gt;="&amp;Fra,TF_Dato,"&lt;="&amp;Til))</f>
        <v/>
      </c>
      <c r="I89" s="45">
        <f>IF($A89="","",SUMIFS(TF_Timer,TF_Tekniker,$A89,TF_Akt,I$42,TF_Dato,"&gt;="&amp;Fra,TF_Dato,"&lt;="&amp;Til))</f>
        <v/>
      </c>
      <c r="J89" s="45">
        <f>IF($A89="","",SUMIFS(TF_Timer,TF_Tekniker,$A89,TF_Akt,J$42,TF_Dato,"&gt;="&amp;Fra,TF_Dato,"&lt;="&amp;Til))</f>
        <v/>
      </c>
      <c r="K89" s="45">
        <f>IF($A89="","",SUMIFS(TF_Timer,TF_Tekniker,$A89,TF_Akt,K$42,TF_Dato,"&gt;="&amp;Fra,TF_Dato,"&lt;="&amp;Til))</f>
        <v/>
      </c>
      <c r="L89" s="45">
        <f>IF($A89="","",SUMIFS(TF_Timer,TF_Tekniker,$A89,TF_Akt,L$42,TF_Dato,"&gt;="&amp;Fra,TF_Dato,"&lt;="&amp;Til))</f>
        <v/>
      </c>
      <c r="M89" s="57">
        <f>IF($A89="","",SUM(B89:L89))</f>
        <v/>
      </c>
      <c r="N89" s="45">
        <f>IF($A89="","",SUMIFS(TF_Timer,TF_Tekniker,$A89,TF_Overtid,"Ja",TF_Dato,"&gt;="&amp;Fra,TF_Dato,"&lt;="&amp;Til))</f>
        <v/>
      </c>
    </row>
    <row r="90" hidden="1" outlineLevel="1">
      <c r="A90" s="56">
        <f>INDEX(Teknikere,45)&amp;""</f>
        <v/>
      </c>
      <c r="B90" s="45">
        <f>IF($A90="","",SUMIFS(TF_Timer,TF_Tekniker,$A90,TF_Akt,B$42,TF_Dato,"&gt;="&amp;Fra,TF_Dato,"&lt;="&amp;Til))</f>
        <v/>
      </c>
      <c r="C90" s="45">
        <f>IF($A90="","",SUMIFS(TF_Timer,TF_Tekniker,$A90,TF_Akt,C$42,TF_Dato,"&gt;="&amp;Fra,TF_Dato,"&lt;="&amp;Til)+SUMIFS(INDEX(GR_Auto,0,45),GR_Dato,"&gt;="&amp;Fra,GR_Dato,"&lt;="&amp;Til))</f>
        <v/>
      </c>
      <c r="D90" s="45">
        <f>IF($A90="","",SUMIFS(TF_Timer,TF_Tekniker,$A90,TF_Akt,D$42,TF_Dato,"&gt;="&amp;Fra,TF_Dato,"&lt;="&amp;Til))</f>
        <v/>
      </c>
      <c r="E90" s="45">
        <f>IF($A90="","",SUMIFS(TF_Timer,TF_Tekniker,$A90,TF_Akt,E$42,TF_Dato,"&gt;="&amp;Fra,TF_Dato,"&lt;="&amp;Til))</f>
        <v/>
      </c>
      <c r="F90" s="45">
        <f>IF($A90="","",SUMIFS(TF_Timer,TF_Tekniker,$A90,TF_Akt,F$42,TF_Dato,"&gt;="&amp;Fra,TF_Dato,"&lt;="&amp;Til))</f>
        <v/>
      </c>
      <c r="G90" s="45">
        <f>IF($A90="","",SUMIFS(TF_Timer,TF_Tekniker,$A90,TF_Akt,G$42,TF_Dato,"&gt;="&amp;Fra,TF_Dato,"&lt;="&amp;Til))</f>
        <v/>
      </c>
      <c r="H90" s="45">
        <f>IF($A90="","",SUMIFS(TF_Timer,TF_Tekniker,$A90,TF_Akt,H$42,TF_Dato,"&gt;="&amp;Fra,TF_Dato,"&lt;="&amp;Til))</f>
        <v/>
      </c>
      <c r="I90" s="45">
        <f>IF($A90="","",SUMIFS(TF_Timer,TF_Tekniker,$A90,TF_Akt,I$42,TF_Dato,"&gt;="&amp;Fra,TF_Dato,"&lt;="&amp;Til))</f>
        <v/>
      </c>
      <c r="J90" s="45">
        <f>IF($A90="","",SUMIFS(TF_Timer,TF_Tekniker,$A90,TF_Akt,J$42,TF_Dato,"&gt;="&amp;Fra,TF_Dato,"&lt;="&amp;Til))</f>
        <v/>
      </c>
      <c r="K90" s="45">
        <f>IF($A90="","",SUMIFS(TF_Timer,TF_Tekniker,$A90,TF_Akt,K$42,TF_Dato,"&gt;="&amp;Fra,TF_Dato,"&lt;="&amp;Til))</f>
        <v/>
      </c>
      <c r="L90" s="45">
        <f>IF($A90="","",SUMIFS(TF_Timer,TF_Tekniker,$A90,TF_Akt,L$42,TF_Dato,"&gt;="&amp;Fra,TF_Dato,"&lt;="&amp;Til))</f>
        <v/>
      </c>
      <c r="M90" s="57">
        <f>IF($A90="","",SUM(B90:L90))</f>
        <v/>
      </c>
      <c r="N90" s="45">
        <f>IF($A90="","",SUMIFS(TF_Timer,TF_Tekniker,$A90,TF_Overtid,"Ja",TF_Dato,"&gt;="&amp;Fra,TF_Dato,"&lt;="&amp;Til))</f>
        <v/>
      </c>
    </row>
    <row r="91" hidden="1" outlineLevel="1">
      <c r="A91" s="56">
        <f>INDEX(Teknikere,46)&amp;""</f>
        <v/>
      </c>
      <c r="B91" s="45">
        <f>IF($A91="","",SUMIFS(TF_Timer,TF_Tekniker,$A91,TF_Akt,B$42,TF_Dato,"&gt;="&amp;Fra,TF_Dato,"&lt;="&amp;Til))</f>
        <v/>
      </c>
      <c r="C91" s="45">
        <f>IF($A91="","",SUMIFS(TF_Timer,TF_Tekniker,$A91,TF_Akt,C$42,TF_Dato,"&gt;="&amp;Fra,TF_Dato,"&lt;="&amp;Til)+SUMIFS(INDEX(GR_Auto,0,46),GR_Dato,"&gt;="&amp;Fra,GR_Dato,"&lt;="&amp;Til))</f>
        <v/>
      </c>
      <c r="D91" s="45">
        <f>IF($A91="","",SUMIFS(TF_Timer,TF_Tekniker,$A91,TF_Akt,D$42,TF_Dato,"&gt;="&amp;Fra,TF_Dato,"&lt;="&amp;Til))</f>
        <v/>
      </c>
      <c r="E91" s="45">
        <f>IF($A91="","",SUMIFS(TF_Timer,TF_Tekniker,$A91,TF_Akt,E$42,TF_Dato,"&gt;="&amp;Fra,TF_Dato,"&lt;="&amp;Til))</f>
        <v/>
      </c>
      <c r="F91" s="45">
        <f>IF($A91="","",SUMIFS(TF_Timer,TF_Tekniker,$A91,TF_Akt,F$42,TF_Dato,"&gt;="&amp;Fra,TF_Dato,"&lt;="&amp;Til))</f>
        <v/>
      </c>
      <c r="G91" s="45">
        <f>IF($A91="","",SUMIFS(TF_Timer,TF_Tekniker,$A91,TF_Akt,G$42,TF_Dato,"&gt;="&amp;Fra,TF_Dato,"&lt;="&amp;Til))</f>
        <v/>
      </c>
      <c r="H91" s="45">
        <f>IF($A91="","",SUMIFS(TF_Timer,TF_Tekniker,$A91,TF_Akt,H$42,TF_Dato,"&gt;="&amp;Fra,TF_Dato,"&lt;="&amp;Til))</f>
        <v/>
      </c>
      <c r="I91" s="45">
        <f>IF($A91="","",SUMIFS(TF_Timer,TF_Tekniker,$A91,TF_Akt,I$42,TF_Dato,"&gt;="&amp;Fra,TF_Dato,"&lt;="&amp;Til))</f>
        <v/>
      </c>
      <c r="J91" s="45">
        <f>IF($A91="","",SUMIFS(TF_Timer,TF_Tekniker,$A91,TF_Akt,J$42,TF_Dato,"&gt;="&amp;Fra,TF_Dato,"&lt;="&amp;Til))</f>
        <v/>
      </c>
      <c r="K91" s="45">
        <f>IF($A91="","",SUMIFS(TF_Timer,TF_Tekniker,$A91,TF_Akt,K$42,TF_Dato,"&gt;="&amp;Fra,TF_Dato,"&lt;="&amp;Til))</f>
        <v/>
      </c>
      <c r="L91" s="45">
        <f>IF($A91="","",SUMIFS(TF_Timer,TF_Tekniker,$A91,TF_Akt,L$42,TF_Dato,"&gt;="&amp;Fra,TF_Dato,"&lt;="&amp;Til))</f>
        <v/>
      </c>
      <c r="M91" s="57">
        <f>IF($A91="","",SUM(B91:L91))</f>
        <v/>
      </c>
      <c r="N91" s="45">
        <f>IF($A91="","",SUMIFS(TF_Timer,TF_Tekniker,$A91,TF_Overtid,"Ja",TF_Dato,"&gt;="&amp;Fra,TF_Dato,"&lt;="&amp;Til))</f>
        <v/>
      </c>
    </row>
    <row r="92" hidden="1" outlineLevel="1">
      <c r="A92" s="56">
        <f>INDEX(Teknikere,47)&amp;""</f>
        <v/>
      </c>
      <c r="B92" s="45">
        <f>IF($A92="","",SUMIFS(TF_Timer,TF_Tekniker,$A92,TF_Akt,B$42,TF_Dato,"&gt;="&amp;Fra,TF_Dato,"&lt;="&amp;Til))</f>
        <v/>
      </c>
      <c r="C92" s="45">
        <f>IF($A92="","",SUMIFS(TF_Timer,TF_Tekniker,$A92,TF_Akt,C$42,TF_Dato,"&gt;="&amp;Fra,TF_Dato,"&lt;="&amp;Til)+SUMIFS(INDEX(GR_Auto,0,47),GR_Dato,"&gt;="&amp;Fra,GR_Dato,"&lt;="&amp;Til))</f>
        <v/>
      </c>
      <c r="D92" s="45">
        <f>IF($A92="","",SUMIFS(TF_Timer,TF_Tekniker,$A92,TF_Akt,D$42,TF_Dato,"&gt;="&amp;Fra,TF_Dato,"&lt;="&amp;Til))</f>
        <v/>
      </c>
      <c r="E92" s="45">
        <f>IF($A92="","",SUMIFS(TF_Timer,TF_Tekniker,$A92,TF_Akt,E$42,TF_Dato,"&gt;="&amp;Fra,TF_Dato,"&lt;="&amp;Til))</f>
        <v/>
      </c>
      <c r="F92" s="45">
        <f>IF($A92="","",SUMIFS(TF_Timer,TF_Tekniker,$A92,TF_Akt,F$42,TF_Dato,"&gt;="&amp;Fra,TF_Dato,"&lt;="&amp;Til))</f>
        <v/>
      </c>
      <c r="G92" s="45">
        <f>IF($A92="","",SUMIFS(TF_Timer,TF_Tekniker,$A92,TF_Akt,G$42,TF_Dato,"&gt;="&amp;Fra,TF_Dato,"&lt;="&amp;Til))</f>
        <v/>
      </c>
      <c r="H92" s="45">
        <f>IF($A92="","",SUMIFS(TF_Timer,TF_Tekniker,$A92,TF_Akt,H$42,TF_Dato,"&gt;="&amp;Fra,TF_Dato,"&lt;="&amp;Til))</f>
        <v/>
      </c>
      <c r="I92" s="45">
        <f>IF($A92="","",SUMIFS(TF_Timer,TF_Tekniker,$A92,TF_Akt,I$42,TF_Dato,"&gt;="&amp;Fra,TF_Dato,"&lt;="&amp;Til))</f>
        <v/>
      </c>
      <c r="J92" s="45">
        <f>IF($A92="","",SUMIFS(TF_Timer,TF_Tekniker,$A92,TF_Akt,J$42,TF_Dato,"&gt;="&amp;Fra,TF_Dato,"&lt;="&amp;Til))</f>
        <v/>
      </c>
      <c r="K92" s="45">
        <f>IF($A92="","",SUMIFS(TF_Timer,TF_Tekniker,$A92,TF_Akt,K$42,TF_Dato,"&gt;="&amp;Fra,TF_Dato,"&lt;="&amp;Til))</f>
        <v/>
      </c>
      <c r="L92" s="45">
        <f>IF($A92="","",SUMIFS(TF_Timer,TF_Tekniker,$A92,TF_Akt,L$42,TF_Dato,"&gt;="&amp;Fra,TF_Dato,"&lt;="&amp;Til))</f>
        <v/>
      </c>
      <c r="M92" s="57">
        <f>IF($A92="","",SUM(B92:L92))</f>
        <v/>
      </c>
      <c r="N92" s="45">
        <f>IF($A92="","",SUMIFS(TF_Timer,TF_Tekniker,$A92,TF_Overtid,"Ja",TF_Dato,"&gt;="&amp;Fra,TF_Dato,"&lt;="&amp;Til))</f>
        <v/>
      </c>
    </row>
    <row r="93" hidden="1" outlineLevel="1">
      <c r="A93" s="56">
        <f>INDEX(Teknikere,48)&amp;""</f>
        <v/>
      </c>
      <c r="B93" s="45">
        <f>IF($A93="","",SUMIFS(TF_Timer,TF_Tekniker,$A93,TF_Akt,B$42,TF_Dato,"&gt;="&amp;Fra,TF_Dato,"&lt;="&amp;Til))</f>
        <v/>
      </c>
      <c r="C93" s="45">
        <f>IF($A93="","",SUMIFS(TF_Timer,TF_Tekniker,$A93,TF_Akt,C$42,TF_Dato,"&gt;="&amp;Fra,TF_Dato,"&lt;="&amp;Til)+SUMIFS(INDEX(GR_Auto,0,48),GR_Dato,"&gt;="&amp;Fra,GR_Dato,"&lt;="&amp;Til))</f>
        <v/>
      </c>
      <c r="D93" s="45">
        <f>IF($A93="","",SUMIFS(TF_Timer,TF_Tekniker,$A93,TF_Akt,D$42,TF_Dato,"&gt;="&amp;Fra,TF_Dato,"&lt;="&amp;Til))</f>
        <v/>
      </c>
      <c r="E93" s="45">
        <f>IF($A93="","",SUMIFS(TF_Timer,TF_Tekniker,$A93,TF_Akt,E$42,TF_Dato,"&gt;="&amp;Fra,TF_Dato,"&lt;="&amp;Til))</f>
        <v/>
      </c>
      <c r="F93" s="45">
        <f>IF($A93="","",SUMIFS(TF_Timer,TF_Tekniker,$A93,TF_Akt,F$42,TF_Dato,"&gt;="&amp;Fra,TF_Dato,"&lt;="&amp;Til))</f>
        <v/>
      </c>
      <c r="G93" s="45">
        <f>IF($A93="","",SUMIFS(TF_Timer,TF_Tekniker,$A93,TF_Akt,G$42,TF_Dato,"&gt;="&amp;Fra,TF_Dato,"&lt;="&amp;Til))</f>
        <v/>
      </c>
      <c r="H93" s="45">
        <f>IF($A93="","",SUMIFS(TF_Timer,TF_Tekniker,$A93,TF_Akt,H$42,TF_Dato,"&gt;="&amp;Fra,TF_Dato,"&lt;="&amp;Til))</f>
        <v/>
      </c>
      <c r="I93" s="45">
        <f>IF($A93="","",SUMIFS(TF_Timer,TF_Tekniker,$A93,TF_Akt,I$42,TF_Dato,"&gt;="&amp;Fra,TF_Dato,"&lt;="&amp;Til))</f>
        <v/>
      </c>
      <c r="J93" s="45">
        <f>IF($A93="","",SUMIFS(TF_Timer,TF_Tekniker,$A93,TF_Akt,J$42,TF_Dato,"&gt;="&amp;Fra,TF_Dato,"&lt;="&amp;Til))</f>
        <v/>
      </c>
      <c r="K93" s="45">
        <f>IF($A93="","",SUMIFS(TF_Timer,TF_Tekniker,$A93,TF_Akt,K$42,TF_Dato,"&gt;="&amp;Fra,TF_Dato,"&lt;="&amp;Til))</f>
        <v/>
      </c>
      <c r="L93" s="45">
        <f>IF($A93="","",SUMIFS(TF_Timer,TF_Tekniker,$A93,TF_Akt,L$42,TF_Dato,"&gt;="&amp;Fra,TF_Dato,"&lt;="&amp;Til))</f>
        <v/>
      </c>
      <c r="M93" s="57">
        <f>IF($A93="","",SUM(B93:L93))</f>
        <v/>
      </c>
      <c r="N93" s="45">
        <f>IF($A93="","",SUMIFS(TF_Timer,TF_Tekniker,$A93,TF_Overtid,"Ja",TF_Dato,"&gt;="&amp;Fra,TF_Dato,"&lt;="&amp;Til))</f>
        <v/>
      </c>
    </row>
    <row r="94" hidden="1" outlineLevel="1">
      <c r="A94" s="56">
        <f>INDEX(Teknikere,49)&amp;""</f>
        <v/>
      </c>
      <c r="B94" s="45">
        <f>IF($A94="","",SUMIFS(TF_Timer,TF_Tekniker,$A94,TF_Akt,B$42,TF_Dato,"&gt;="&amp;Fra,TF_Dato,"&lt;="&amp;Til))</f>
        <v/>
      </c>
      <c r="C94" s="45">
        <f>IF($A94="","",SUMIFS(TF_Timer,TF_Tekniker,$A94,TF_Akt,C$42,TF_Dato,"&gt;="&amp;Fra,TF_Dato,"&lt;="&amp;Til)+SUMIFS(INDEX(GR_Auto,0,49),GR_Dato,"&gt;="&amp;Fra,GR_Dato,"&lt;="&amp;Til))</f>
        <v/>
      </c>
      <c r="D94" s="45">
        <f>IF($A94="","",SUMIFS(TF_Timer,TF_Tekniker,$A94,TF_Akt,D$42,TF_Dato,"&gt;="&amp;Fra,TF_Dato,"&lt;="&amp;Til))</f>
        <v/>
      </c>
      <c r="E94" s="45">
        <f>IF($A94="","",SUMIFS(TF_Timer,TF_Tekniker,$A94,TF_Akt,E$42,TF_Dato,"&gt;="&amp;Fra,TF_Dato,"&lt;="&amp;Til))</f>
        <v/>
      </c>
      <c r="F94" s="45">
        <f>IF($A94="","",SUMIFS(TF_Timer,TF_Tekniker,$A94,TF_Akt,F$42,TF_Dato,"&gt;="&amp;Fra,TF_Dato,"&lt;="&amp;Til))</f>
        <v/>
      </c>
      <c r="G94" s="45">
        <f>IF($A94="","",SUMIFS(TF_Timer,TF_Tekniker,$A94,TF_Akt,G$42,TF_Dato,"&gt;="&amp;Fra,TF_Dato,"&lt;="&amp;Til))</f>
        <v/>
      </c>
      <c r="H94" s="45">
        <f>IF($A94="","",SUMIFS(TF_Timer,TF_Tekniker,$A94,TF_Akt,H$42,TF_Dato,"&gt;="&amp;Fra,TF_Dato,"&lt;="&amp;Til))</f>
        <v/>
      </c>
      <c r="I94" s="45">
        <f>IF($A94="","",SUMIFS(TF_Timer,TF_Tekniker,$A94,TF_Akt,I$42,TF_Dato,"&gt;="&amp;Fra,TF_Dato,"&lt;="&amp;Til))</f>
        <v/>
      </c>
      <c r="J94" s="45">
        <f>IF($A94="","",SUMIFS(TF_Timer,TF_Tekniker,$A94,TF_Akt,J$42,TF_Dato,"&gt;="&amp;Fra,TF_Dato,"&lt;="&amp;Til))</f>
        <v/>
      </c>
      <c r="K94" s="45">
        <f>IF($A94="","",SUMIFS(TF_Timer,TF_Tekniker,$A94,TF_Akt,K$42,TF_Dato,"&gt;="&amp;Fra,TF_Dato,"&lt;="&amp;Til))</f>
        <v/>
      </c>
      <c r="L94" s="45">
        <f>IF($A94="","",SUMIFS(TF_Timer,TF_Tekniker,$A94,TF_Akt,L$42,TF_Dato,"&gt;="&amp;Fra,TF_Dato,"&lt;="&amp;Til))</f>
        <v/>
      </c>
      <c r="M94" s="57">
        <f>IF($A94="","",SUM(B94:L94))</f>
        <v/>
      </c>
      <c r="N94" s="45">
        <f>IF($A94="","",SUMIFS(TF_Timer,TF_Tekniker,$A94,TF_Overtid,"Ja",TF_Dato,"&gt;="&amp;Fra,TF_Dato,"&lt;="&amp;Til))</f>
        <v/>
      </c>
    </row>
    <row r="95" hidden="1" outlineLevel="1">
      <c r="A95" s="56">
        <f>INDEX(Teknikere,50)&amp;""</f>
        <v/>
      </c>
      <c r="B95" s="45">
        <f>IF($A95="","",SUMIFS(TF_Timer,TF_Tekniker,$A95,TF_Akt,B$42,TF_Dato,"&gt;="&amp;Fra,TF_Dato,"&lt;="&amp;Til))</f>
        <v/>
      </c>
      <c r="C95" s="45">
        <f>IF($A95="","",SUMIFS(TF_Timer,TF_Tekniker,$A95,TF_Akt,C$42,TF_Dato,"&gt;="&amp;Fra,TF_Dato,"&lt;="&amp;Til)+SUMIFS(INDEX(GR_Auto,0,50),GR_Dato,"&gt;="&amp;Fra,GR_Dato,"&lt;="&amp;Til))</f>
        <v/>
      </c>
      <c r="D95" s="45">
        <f>IF($A95="","",SUMIFS(TF_Timer,TF_Tekniker,$A95,TF_Akt,D$42,TF_Dato,"&gt;="&amp;Fra,TF_Dato,"&lt;="&amp;Til))</f>
        <v/>
      </c>
      <c r="E95" s="45">
        <f>IF($A95="","",SUMIFS(TF_Timer,TF_Tekniker,$A95,TF_Akt,E$42,TF_Dato,"&gt;="&amp;Fra,TF_Dato,"&lt;="&amp;Til))</f>
        <v/>
      </c>
      <c r="F95" s="45">
        <f>IF($A95="","",SUMIFS(TF_Timer,TF_Tekniker,$A95,TF_Akt,F$42,TF_Dato,"&gt;="&amp;Fra,TF_Dato,"&lt;="&amp;Til))</f>
        <v/>
      </c>
      <c r="G95" s="45">
        <f>IF($A95="","",SUMIFS(TF_Timer,TF_Tekniker,$A95,TF_Akt,G$42,TF_Dato,"&gt;="&amp;Fra,TF_Dato,"&lt;="&amp;Til))</f>
        <v/>
      </c>
      <c r="H95" s="45">
        <f>IF($A95="","",SUMIFS(TF_Timer,TF_Tekniker,$A95,TF_Akt,H$42,TF_Dato,"&gt;="&amp;Fra,TF_Dato,"&lt;="&amp;Til))</f>
        <v/>
      </c>
      <c r="I95" s="45">
        <f>IF($A95="","",SUMIFS(TF_Timer,TF_Tekniker,$A95,TF_Akt,I$42,TF_Dato,"&gt;="&amp;Fra,TF_Dato,"&lt;="&amp;Til))</f>
        <v/>
      </c>
      <c r="J95" s="45">
        <f>IF($A95="","",SUMIFS(TF_Timer,TF_Tekniker,$A95,TF_Akt,J$42,TF_Dato,"&gt;="&amp;Fra,TF_Dato,"&lt;="&amp;Til))</f>
        <v/>
      </c>
      <c r="K95" s="45">
        <f>IF($A95="","",SUMIFS(TF_Timer,TF_Tekniker,$A95,TF_Akt,K$42,TF_Dato,"&gt;="&amp;Fra,TF_Dato,"&lt;="&amp;Til))</f>
        <v/>
      </c>
      <c r="L95" s="45">
        <f>IF($A95="","",SUMIFS(TF_Timer,TF_Tekniker,$A95,TF_Akt,L$42,TF_Dato,"&gt;="&amp;Fra,TF_Dato,"&lt;="&amp;Til))</f>
        <v/>
      </c>
      <c r="M95" s="57">
        <f>IF($A95="","",SUM(B95:L95))</f>
        <v/>
      </c>
      <c r="N95" s="45">
        <f>IF($A95="","",SUMIFS(TF_Timer,TF_Tekniker,$A95,TF_Overtid,"Ja",TF_Dato,"&gt;="&amp;Fra,TF_Dato,"&lt;="&amp;Til))</f>
        <v/>
      </c>
    </row>
    <row r="96" hidden="1" outlineLevel="1">
      <c r="A96" s="56">
        <f>INDEX(Teknikere,51)&amp;""</f>
        <v/>
      </c>
      <c r="B96" s="45">
        <f>IF($A96="","",SUMIFS(TF_Timer,TF_Tekniker,$A96,TF_Akt,B$42,TF_Dato,"&gt;="&amp;Fra,TF_Dato,"&lt;="&amp;Til))</f>
        <v/>
      </c>
      <c r="C96" s="45">
        <f>IF($A96="","",SUMIFS(TF_Timer,TF_Tekniker,$A96,TF_Akt,C$42,TF_Dato,"&gt;="&amp;Fra,TF_Dato,"&lt;="&amp;Til)+SUMIFS(INDEX(GR_Auto,0,51),GR_Dato,"&gt;="&amp;Fra,GR_Dato,"&lt;="&amp;Til))</f>
        <v/>
      </c>
      <c r="D96" s="45">
        <f>IF($A96="","",SUMIFS(TF_Timer,TF_Tekniker,$A96,TF_Akt,D$42,TF_Dato,"&gt;="&amp;Fra,TF_Dato,"&lt;="&amp;Til))</f>
        <v/>
      </c>
      <c r="E96" s="45">
        <f>IF($A96="","",SUMIFS(TF_Timer,TF_Tekniker,$A96,TF_Akt,E$42,TF_Dato,"&gt;="&amp;Fra,TF_Dato,"&lt;="&amp;Til))</f>
        <v/>
      </c>
      <c r="F96" s="45">
        <f>IF($A96="","",SUMIFS(TF_Timer,TF_Tekniker,$A96,TF_Akt,F$42,TF_Dato,"&gt;="&amp;Fra,TF_Dato,"&lt;="&amp;Til))</f>
        <v/>
      </c>
      <c r="G96" s="45">
        <f>IF($A96="","",SUMIFS(TF_Timer,TF_Tekniker,$A96,TF_Akt,G$42,TF_Dato,"&gt;="&amp;Fra,TF_Dato,"&lt;="&amp;Til))</f>
        <v/>
      </c>
      <c r="H96" s="45">
        <f>IF($A96="","",SUMIFS(TF_Timer,TF_Tekniker,$A96,TF_Akt,H$42,TF_Dato,"&gt;="&amp;Fra,TF_Dato,"&lt;="&amp;Til))</f>
        <v/>
      </c>
      <c r="I96" s="45">
        <f>IF($A96="","",SUMIFS(TF_Timer,TF_Tekniker,$A96,TF_Akt,I$42,TF_Dato,"&gt;="&amp;Fra,TF_Dato,"&lt;="&amp;Til))</f>
        <v/>
      </c>
      <c r="J96" s="45">
        <f>IF($A96="","",SUMIFS(TF_Timer,TF_Tekniker,$A96,TF_Akt,J$42,TF_Dato,"&gt;="&amp;Fra,TF_Dato,"&lt;="&amp;Til))</f>
        <v/>
      </c>
      <c r="K96" s="45">
        <f>IF($A96="","",SUMIFS(TF_Timer,TF_Tekniker,$A96,TF_Akt,K$42,TF_Dato,"&gt;="&amp;Fra,TF_Dato,"&lt;="&amp;Til))</f>
        <v/>
      </c>
      <c r="L96" s="45">
        <f>IF($A96="","",SUMIFS(TF_Timer,TF_Tekniker,$A96,TF_Akt,L$42,TF_Dato,"&gt;="&amp;Fra,TF_Dato,"&lt;="&amp;Til))</f>
        <v/>
      </c>
      <c r="M96" s="57">
        <f>IF($A96="","",SUM(B96:L96))</f>
        <v/>
      </c>
      <c r="N96" s="45">
        <f>IF($A96="","",SUMIFS(TF_Timer,TF_Tekniker,$A96,TF_Overtid,"Ja",TF_Dato,"&gt;="&amp;Fra,TF_Dato,"&lt;="&amp;Til))</f>
        <v/>
      </c>
    </row>
    <row r="97" hidden="1" outlineLevel="1">
      <c r="A97" s="56">
        <f>INDEX(Teknikere,52)&amp;""</f>
        <v/>
      </c>
      <c r="B97" s="45">
        <f>IF($A97="","",SUMIFS(TF_Timer,TF_Tekniker,$A97,TF_Akt,B$42,TF_Dato,"&gt;="&amp;Fra,TF_Dato,"&lt;="&amp;Til))</f>
        <v/>
      </c>
      <c r="C97" s="45">
        <f>IF($A97="","",SUMIFS(TF_Timer,TF_Tekniker,$A97,TF_Akt,C$42,TF_Dato,"&gt;="&amp;Fra,TF_Dato,"&lt;="&amp;Til)+SUMIFS(INDEX(GR_Auto,0,52),GR_Dato,"&gt;="&amp;Fra,GR_Dato,"&lt;="&amp;Til))</f>
        <v/>
      </c>
      <c r="D97" s="45">
        <f>IF($A97="","",SUMIFS(TF_Timer,TF_Tekniker,$A97,TF_Akt,D$42,TF_Dato,"&gt;="&amp;Fra,TF_Dato,"&lt;="&amp;Til))</f>
        <v/>
      </c>
      <c r="E97" s="45">
        <f>IF($A97="","",SUMIFS(TF_Timer,TF_Tekniker,$A97,TF_Akt,E$42,TF_Dato,"&gt;="&amp;Fra,TF_Dato,"&lt;="&amp;Til))</f>
        <v/>
      </c>
      <c r="F97" s="45">
        <f>IF($A97="","",SUMIFS(TF_Timer,TF_Tekniker,$A97,TF_Akt,F$42,TF_Dato,"&gt;="&amp;Fra,TF_Dato,"&lt;="&amp;Til))</f>
        <v/>
      </c>
      <c r="G97" s="45">
        <f>IF($A97="","",SUMIFS(TF_Timer,TF_Tekniker,$A97,TF_Akt,G$42,TF_Dato,"&gt;="&amp;Fra,TF_Dato,"&lt;="&amp;Til))</f>
        <v/>
      </c>
      <c r="H97" s="45">
        <f>IF($A97="","",SUMIFS(TF_Timer,TF_Tekniker,$A97,TF_Akt,H$42,TF_Dato,"&gt;="&amp;Fra,TF_Dato,"&lt;="&amp;Til))</f>
        <v/>
      </c>
      <c r="I97" s="45">
        <f>IF($A97="","",SUMIFS(TF_Timer,TF_Tekniker,$A97,TF_Akt,I$42,TF_Dato,"&gt;="&amp;Fra,TF_Dato,"&lt;="&amp;Til))</f>
        <v/>
      </c>
      <c r="J97" s="45">
        <f>IF($A97="","",SUMIFS(TF_Timer,TF_Tekniker,$A97,TF_Akt,J$42,TF_Dato,"&gt;="&amp;Fra,TF_Dato,"&lt;="&amp;Til))</f>
        <v/>
      </c>
      <c r="K97" s="45">
        <f>IF($A97="","",SUMIFS(TF_Timer,TF_Tekniker,$A97,TF_Akt,K$42,TF_Dato,"&gt;="&amp;Fra,TF_Dato,"&lt;="&amp;Til))</f>
        <v/>
      </c>
      <c r="L97" s="45">
        <f>IF($A97="","",SUMIFS(TF_Timer,TF_Tekniker,$A97,TF_Akt,L$42,TF_Dato,"&gt;="&amp;Fra,TF_Dato,"&lt;="&amp;Til))</f>
        <v/>
      </c>
      <c r="M97" s="57">
        <f>IF($A97="","",SUM(B97:L97))</f>
        <v/>
      </c>
      <c r="N97" s="45">
        <f>IF($A97="","",SUMIFS(TF_Timer,TF_Tekniker,$A97,TF_Overtid,"Ja",TF_Dato,"&gt;="&amp;Fra,TF_Dato,"&lt;="&amp;Til))</f>
        <v/>
      </c>
    </row>
    <row r="98" hidden="1" outlineLevel="1">
      <c r="A98" s="56">
        <f>INDEX(Teknikere,53)&amp;""</f>
        <v/>
      </c>
      <c r="B98" s="45">
        <f>IF($A98="","",SUMIFS(TF_Timer,TF_Tekniker,$A98,TF_Akt,B$42,TF_Dato,"&gt;="&amp;Fra,TF_Dato,"&lt;="&amp;Til))</f>
        <v/>
      </c>
      <c r="C98" s="45">
        <f>IF($A98="","",SUMIFS(TF_Timer,TF_Tekniker,$A98,TF_Akt,C$42,TF_Dato,"&gt;="&amp;Fra,TF_Dato,"&lt;="&amp;Til)+SUMIFS(INDEX(GR_Auto,0,53),GR_Dato,"&gt;="&amp;Fra,GR_Dato,"&lt;="&amp;Til))</f>
        <v/>
      </c>
      <c r="D98" s="45">
        <f>IF($A98="","",SUMIFS(TF_Timer,TF_Tekniker,$A98,TF_Akt,D$42,TF_Dato,"&gt;="&amp;Fra,TF_Dato,"&lt;="&amp;Til))</f>
        <v/>
      </c>
      <c r="E98" s="45">
        <f>IF($A98="","",SUMIFS(TF_Timer,TF_Tekniker,$A98,TF_Akt,E$42,TF_Dato,"&gt;="&amp;Fra,TF_Dato,"&lt;="&amp;Til))</f>
        <v/>
      </c>
      <c r="F98" s="45">
        <f>IF($A98="","",SUMIFS(TF_Timer,TF_Tekniker,$A98,TF_Akt,F$42,TF_Dato,"&gt;="&amp;Fra,TF_Dato,"&lt;="&amp;Til))</f>
        <v/>
      </c>
      <c r="G98" s="45">
        <f>IF($A98="","",SUMIFS(TF_Timer,TF_Tekniker,$A98,TF_Akt,G$42,TF_Dato,"&gt;="&amp;Fra,TF_Dato,"&lt;="&amp;Til))</f>
        <v/>
      </c>
      <c r="H98" s="45">
        <f>IF($A98="","",SUMIFS(TF_Timer,TF_Tekniker,$A98,TF_Akt,H$42,TF_Dato,"&gt;="&amp;Fra,TF_Dato,"&lt;="&amp;Til))</f>
        <v/>
      </c>
      <c r="I98" s="45">
        <f>IF($A98="","",SUMIFS(TF_Timer,TF_Tekniker,$A98,TF_Akt,I$42,TF_Dato,"&gt;="&amp;Fra,TF_Dato,"&lt;="&amp;Til))</f>
        <v/>
      </c>
      <c r="J98" s="45">
        <f>IF($A98="","",SUMIFS(TF_Timer,TF_Tekniker,$A98,TF_Akt,J$42,TF_Dato,"&gt;="&amp;Fra,TF_Dato,"&lt;="&amp;Til))</f>
        <v/>
      </c>
      <c r="K98" s="45">
        <f>IF($A98="","",SUMIFS(TF_Timer,TF_Tekniker,$A98,TF_Akt,K$42,TF_Dato,"&gt;="&amp;Fra,TF_Dato,"&lt;="&amp;Til))</f>
        <v/>
      </c>
      <c r="L98" s="45">
        <f>IF($A98="","",SUMIFS(TF_Timer,TF_Tekniker,$A98,TF_Akt,L$42,TF_Dato,"&gt;="&amp;Fra,TF_Dato,"&lt;="&amp;Til))</f>
        <v/>
      </c>
      <c r="M98" s="57">
        <f>IF($A98="","",SUM(B98:L98))</f>
        <v/>
      </c>
      <c r="N98" s="45">
        <f>IF($A98="","",SUMIFS(TF_Timer,TF_Tekniker,$A98,TF_Overtid,"Ja",TF_Dato,"&gt;="&amp;Fra,TF_Dato,"&lt;="&amp;Til))</f>
        <v/>
      </c>
    </row>
    <row r="99" hidden="1" outlineLevel="1">
      <c r="A99" s="56">
        <f>INDEX(Teknikere,54)&amp;""</f>
        <v/>
      </c>
      <c r="B99" s="45">
        <f>IF($A99="","",SUMIFS(TF_Timer,TF_Tekniker,$A99,TF_Akt,B$42,TF_Dato,"&gt;="&amp;Fra,TF_Dato,"&lt;="&amp;Til))</f>
        <v/>
      </c>
      <c r="C99" s="45">
        <f>IF($A99="","",SUMIFS(TF_Timer,TF_Tekniker,$A99,TF_Akt,C$42,TF_Dato,"&gt;="&amp;Fra,TF_Dato,"&lt;="&amp;Til)+SUMIFS(INDEX(GR_Auto,0,54),GR_Dato,"&gt;="&amp;Fra,GR_Dato,"&lt;="&amp;Til))</f>
        <v/>
      </c>
      <c r="D99" s="45">
        <f>IF($A99="","",SUMIFS(TF_Timer,TF_Tekniker,$A99,TF_Akt,D$42,TF_Dato,"&gt;="&amp;Fra,TF_Dato,"&lt;="&amp;Til))</f>
        <v/>
      </c>
      <c r="E99" s="45">
        <f>IF($A99="","",SUMIFS(TF_Timer,TF_Tekniker,$A99,TF_Akt,E$42,TF_Dato,"&gt;="&amp;Fra,TF_Dato,"&lt;="&amp;Til))</f>
        <v/>
      </c>
      <c r="F99" s="45">
        <f>IF($A99="","",SUMIFS(TF_Timer,TF_Tekniker,$A99,TF_Akt,F$42,TF_Dato,"&gt;="&amp;Fra,TF_Dato,"&lt;="&amp;Til))</f>
        <v/>
      </c>
      <c r="G99" s="45">
        <f>IF($A99="","",SUMIFS(TF_Timer,TF_Tekniker,$A99,TF_Akt,G$42,TF_Dato,"&gt;="&amp;Fra,TF_Dato,"&lt;="&amp;Til))</f>
        <v/>
      </c>
      <c r="H99" s="45">
        <f>IF($A99="","",SUMIFS(TF_Timer,TF_Tekniker,$A99,TF_Akt,H$42,TF_Dato,"&gt;="&amp;Fra,TF_Dato,"&lt;="&amp;Til))</f>
        <v/>
      </c>
      <c r="I99" s="45">
        <f>IF($A99="","",SUMIFS(TF_Timer,TF_Tekniker,$A99,TF_Akt,I$42,TF_Dato,"&gt;="&amp;Fra,TF_Dato,"&lt;="&amp;Til))</f>
        <v/>
      </c>
      <c r="J99" s="45">
        <f>IF($A99="","",SUMIFS(TF_Timer,TF_Tekniker,$A99,TF_Akt,J$42,TF_Dato,"&gt;="&amp;Fra,TF_Dato,"&lt;="&amp;Til))</f>
        <v/>
      </c>
      <c r="K99" s="45">
        <f>IF($A99="","",SUMIFS(TF_Timer,TF_Tekniker,$A99,TF_Akt,K$42,TF_Dato,"&gt;="&amp;Fra,TF_Dato,"&lt;="&amp;Til))</f>
        <v/>
      </c>
      <c r="L99" s="45">
        <f>IF($A99="","",SUMIFS(TF_Timer,TF_Tekniker,$A99,TF_Akt,L$42,TF_Dato,"&gt;="&amp;Fra,TF_Dato,"&lt;="&amp;Til))</f>
        <v/>
      </c>
      <c r="M99" s="57">
        <f>IF($A99="","",SUM(B99:L99))</f>
        <v/>
      </c>
      <c r="N99" s="45">
        <f>IF($A99="","",SUMIFS(TF_Timer,TF_Tekniker,$A99,TF_Overtid,"Ja",TF_Dato,"&gt;="&amp;Fra,TF_Dato,"&lt;="&amp;Til))</f>
        <v/>
      </c>
    </row>
    <row r="100">
      <c r="A100" s="50" t="inlineStr">
        <is>
          <t>Sum</t>
        </is>
      </c>
      <c r="B100" s="51">
        <f>B43+B62+B81</f>
        <v/>
      </c>
      <c r="C100" s="51">
        <f>C43+C62+C81</f>
        <v/>
      </c>
      <c r="D100" s="51">
        <f>D43+D62+D81</f>
        <v/>
      </c>
      <c r="E100" s="51">
        <f>E43+E62+E81</f>
        <v/>
      </c>
      <c r="F100" s="51">
        <f>F43+F62+F81</f>
        <v/>
      </c>
      <c r="G100" s="51">
        <f>G43+G62+G81</f>
        <v/>
      </c>
      <c r="H100" s="51">
        <f>H43+H62+H81</f>
        <v/>
      </c>
      <c r="I100" s="51">
        <f>I43+I62+I81</f>
        <v/>
      </c>
      <c r="J100" s="51">
        <f>J43+J62+J81</f>
        <v/>
      </c>
      <c r="K100" s="51">
        <f>K43+K62+K81</f>
        <v/>
      </c>
      <c r="L100" s="51">
        <f>L43+L62+L81</f>
        <v/>
      </c>
      <c r="M100" s="51">
        <f>M43+M62+M81</f>
        <v/>
      </c>
      <c r="N100" s="51">
        <f>N43+N62+N81</f>
        <v/>
      </c>
    </row>
  </sheetData>
  <conditionalFormatting sqref="B13:B23">
    <cfRule type="dataBar" priority="1">
      <dataBar>
        <cfvo type="num" val="0"/>
        <cfvo type="max"/>
        <color rgb="001F5FBF"/>
      </dataBar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24" customWidth="1" min="5" max="5"/>
    <col width="3" customWidth="1" min="6" max="6"/>
    <col width="15" customWidth="1" min="7" max="7"/>
    <col width="9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3" customWidth="1" min="16" max="16"/>
    <col width="14" customWidth="1" min="17" max="17"/>
    <col width="7" customWidth="1" min="18" max="18"/>
    <col width="13" customWidth="1" min="19" max="19"/>
    <col width="3" customWidth="1" min="20" max="20"/>
    <col width="9" customWidth="1" min="21" max="21"/>
    <col width="9" customWidth="1" min="22" max="22"/>
    <col width="3" customWidth="1" min="23" max="23"/>
    <col width="13" customWidth="1" min="24" max="24"/>
    <col width="3" customWidth="1" min="25" max="25"/>
    <col width="11" customWidth="1" min="26" max="26"/>
  </cols>
  <sheetData>
    <row r="1">
      <c r="A1" s="1" t="inlineStr">
        <is>
          <t>Oppsett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0" t="inlineStr">
        <is>
          <t>Blå celler fylles inn. Teknikere står under skiftet sitt (flytt ved å klippe/lime raden til et annet skift; føringene beholdes).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43" t="inlineStr">
        <is>
          <t>Skift</t>
        </is>
      </c>
      <c r="B4" s="33" t="inlineStr">
        <is>
          <t>Tekniker</t>
        </is>
      </c>
      <c r="C4" s="33" t="inlineStr">
        <is>
          <t>Ekstra fra</t>
        </is>
      </c>
      <c r="D4" s="33" t="inlineStr">
        <is>
          <t>Ekstra til</t>
        </is>
      </c>
      <c r="E4" s="33" t="inlineStr">
        <is>
          <t>Roller</t>
        </is>
      </c>
      <c r="F4" s="2" t="n"/>
      <c r="G4" s="43" t="inlineStr">
        <is>
          <t>Skift</t>
        </is>
      </c>
      <c r="H4" s="33" t="inlineStr">
        <is>
          <t>Navn</t>
        </is>
      </c>
      <c r="I4" s="33" t="inlineStr">
        <is>
          <t>Startdato</t>
        </is>
      </c>
      <c r="J4" s="2" t="n"/>
      <c r="K4" s="2" t="n"/>
      <c r="L4" s="2" t="n"/>
      <c r="M4" s="2" t="n"/>
      <c r="N4" s="2" t="n"/>
      <c r="O4" s="2" t="n"/>
      <c r="P4" s="2" t="n"/>
      <c r="Q4" s="43" t="inlineStr">
        <is>
          <t>Aktivitet</t>
        </is>
      </c>
      <c r="R4" s="33" t="inlineStr">
        <is>
          <t>Kode</t>
        </is>
      </c>
      <c r="S4" s="33" t="inlineStr">
        <is>
          <t>Krever rolle</t>
        </is>
      </c>
      <c r="T4" s="2" t="n"/>
      <c r="U4" s="43" t="inlineStr">
        <is>
          <t>Maskin</t>
        </is>
      </c>
      <c r="V4" s="33" t="inlineStr">
        <is>
          <t>Status</t>
        </is>
      </c>
      <c r="W4" s="2" t="n"/>
      <c r="X4" s="43" t="inlineStr">
        <is>
          <t>Arbeid (LMS)</t>
        </is>
      </c>
      <c r="Y4" s="2" t="n"/>
      <c r="Z4" s="43" t="inlineStr">
        <is>
          <t>Måned</t>
        </is>
      </c>
    </row>
    <row r="5">
      <c r="A5" s="30">
        <f>INDEX(SkiftNavn,1)</f>
        <v/>
      </c>
      <c r="B5" s="58" t="inlineStr">
        <is>
          <t>Tekniker 1-01</t>
        </is>
      </c>
      <c r="C5" s="59" t="n"/>
      <c r="D5" s="59" t="n"/>
      <c r="E5" s="58" t="n"/>
      <c r="F5" s="2" t="n"/>
      <c r="G5" s="2" t="n">
        <v>1</v>
      </c>
      <c r="H5" s="2" t="inlineStr">
        <is>
          <t>Skift 1</t>
        </is>
      </c>
      <c r="I5" s="60" t="n">
        <v>46027</v>
      </c>
      <c r="J5" s="2" t="n"/>
      <c r="K5" s="2" t="n"/>
      <c r="L5" s="2" t="n"/>
      <c r="M5" s="2" t="n"/>
      <c r="N5" s="2" t="n"/>
      <c r="O5" s="2" t="n"/>
      <c r="P5" s="2" t="n"/>
      <c r="Q5" s="44" t="inlineStr">
        <is>
          <t>Line</t>
        </is>
      </c>
      <c r="R5" s="44" t="inlineStr">
        <is>
          <t>LN</t>
        </is>
      </c>
      <c r="S5" s="44" t="inlineStr"/>
      <c r="T5" s="2" t="n"/>
      <c r="U5" s="44" t="inlineStr">
        <is>
          <t>OIA</t>
        </is>
      </c>
      <c r="V5" s="58" t="inlineStr">
        <is>
          <t>Ferdig</t>
        </is>
      </c>
      <c r="W5" s="2" t="n"/>
      <c r="X5" s="44" t="inlineStr">
        <is>
          <t>Sheet</t>
        </is>
      </c>
      <c r="Y5" s="2" t="n"/>
      <c r="Z5" s="2" t="inlineStr">
        <is>
          <t>januar</t>
        </is>
      </c>
    </row>
    <row r="6">
      <c r="A6" s="30">
        <f>INDEX(SkiftNavn,1)</f>
        <v/>
      </c>
      <c r="B6" s="58" t="inlineStr">
        <is>
          <t>Tekniker 1-02</t>
        </is>
      </c>
      <c r="C6" s="59" t="n"/>
      <c r="D6" s="59" t="n"/>
      <c r="E6" s="58" t="n"/>
      <c r="F6" s="2" t="n"/>
      <c r="G6" s="2" t="n">
        <v>2</v>
      </c>
      <c r="H6" s="2" t="inlineStr">
        <is>
          <t>Skift 2</t>
        </is>
      </c>
      <c r="I6" s="60" t="n">
        <v>46034</v>
      </c>
      <c r="J6" s="2" t="n"/>
      <c r="K6" s="2" t="n"/>
      <c r="L6" s="2" t="n"/>
      <c r="M6" s="2" t="n"/>
      <c r="N6" s="2" t="n"/>
      <c r="O6" s="2" t="n"/>
      <c r="P6" s="2" t="n"/>
      <c r="Q6" s="44" t="inlineStr">
        <is>
          <t>LMS</t>
        </is>
      </c>
      <c r="R6" s="44" t="inlineStr">
        <is>
          <t>LMS</t>
        </is>
      </c>
      <c r="S6" s="44" t="inlineStr"/>
      <c r="T6" s="2" t="n"/>
      <c r="U6" s="44" t="inlineStr">
        <is>
          <t>OIB</t>
        </is>
      </c>
      <c r="V6" s="58" t="inlineStr">
        <is>
          <t>Ferdig</t>
        </is>
      </c>
      <c r="W6" s="2" t="n"/>
      <c r="X6" s="44" t="inlineStr">
        <is>
          <t>Repair</t>
        </is>
      </c>
      <c r="Y6" s="2" t="n"/>
      <c r="Z6" s="2" t="inlineStr">
        <is>
          <t>februar</t>
        </is>
      </c>
    </row>
    <row r="7">
      <c r="A7" s="30">
        <f>INDEX(SkiftNavn,1)</f>
        <v/>
      </c>
      <c r="B7" s="58" t="inlineStr">
        <is>
          <t>Tekniker 1-03</t>
        </is>
      </c>
      <c r="C7" s="59" t="n"/>
      <c r="D7" s="59" t="n"/>
      <c r="E7" s="58" t="n"/>
      <c r="F7" s="2" t="n"/>
      <c r="G7" s="2" t="n">
        <v>3</v>
      </c>
      <c r="H7" s="2" t="inlineStr">
        <is>
          <t>Skift 3</t>
        </is>
      </c>
      <c r="I7" s="60" t="n">
        <v>46041</v>
      </c>
      <c r="J7" s="2" t="n"/>
      <c r="K7" s="2" t="n"/>
      <c r="L7" s="2" t="n"/>
      <c r="M7" s="2" t="n"/>
      <c r="N7" s="2" t="n"/>
      <c r="O7" s="2" t="n"/>
      <c r="P7" s="2" t="n"/>
      <c r="Q7" s="44" t="inlineStr">
        <is>
          <t>Assessor</t>
        </is>
      </c>
      <c r="R7" s="44" t="inlineStr">
        <is>
          <t>A</t>
        </is>
      </c>
      <c r="S7" s="44" t="inlineStr">
        <is>
          <t>Assessor</t>
        </is>
      </c>
      <c r="T7" s="2" t="n"/>
      <c r="U7" s="44" t="inlineStr">
        <is>
          <t>OIC</t>
        </is>
      </c>
      <c r="V7" s="58" t="inlineStr">
        <is>
          <t>Ferdig</t>
        </is>
      </c>
      <c r="W7" s="2" t="n"/>
      <c r="X7" s="44" t="inlineStr">
        <is>
          <t>Inspection</t>
        </is>
      </c>
      <c r="Y7" s="2" t="n"/>
      <c r="Z7" s="2" t="inlineStr">
        <is>
          <t>mars</t>
        </is>
      </c>
    </row>
    <row r="8">
      <c r="A8" s="30">
        <f>INDEX(SkiftNavn,1)</f>
        <v/>
      </c>
      <c r="B8" s="58" t="inlineStr">
        <is>
          <t>Tekniker 1-04</t>
        </is>
      </c>
      <c r="C8" s="59" t="n"/>
      <c r="D8" s="59" t="n"/>
      <c r="E8" s="58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44" t="inlineStr">
        <is>
          <t>Assessment</t>
        </is>
      </c>
      <c r="R8" s="44" t="inlineStr">
        <is>
          <t>AS</t>
        </is>
      </c>
      <c r="S8" s="44" t="inlineStr"/>
      <c r="T8" s="2" t="n"/>
      <c r="U8" s="44" t="inlineStr">
        <is>
          <t>OIE</t>
        </is>
      </c>
      <c r="V8" s="58" t="inlineStr">
        <is>
          <t>Ferdig</t>
        </is>
      </c>
      <c r="W8" s="2" t="n"/>
      <c r="X8" s="44" t="inlineStr">
        <is>
          <t>Mod</t>
        </is>
      </c>
      <c r="Y8" s="2" t="n"/>
      <c r="Z8" s="2" t="inlineStr">
        <is>
          <t>april</t>
        </is>
      </c>
    </row>
    <row r="9">
      <c r="A9" s="30">
        <f>INDEX(SkiftNavn,1)</f>
        <v/>
      </c>
      <c r="B9" s="58" t="inlineStr">
        <is>
          <t>Tekniker 1-05</t>
        </is>
      </c>
      <c r="C9" s="59" t="n"/>
      <c r="D9" s="59" t="n"/>
      <c r="E9" s="58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44" t="inlineStr">
        <is>
          <t>Hot Section</t>
        </is>
      </c>
      <c r="R9" s="44" t="inlineStr">
        <is>
          <t>HS</t>
        </is>
      </c>
      <c r="S9" s="44" t="inlineStr">
        <is>
          <t>Hot Section</t>
        </is>
      </c>
      <c r="T9" s="2" t="n"/>
      <c r="U9" s="44" t="inlineStr">
        <is>
          <t>OIF</t>
        </is>
      </c>
      <c r="V9" s="58" t="inlineStr">
        <is>
          <t>Ferdig</t>
        </is>
      </c>
      <c r="W9" s="2" t="n"/>
      <c r="X9" s="44" t="inlineStr">
        <is>
          <t>SLL</t>
        </is>
      </c>
      <c r="Y9" s="2" t="n"/>
      <c r="Z9" s="2" t="inlineStr">
        <is>
          <t>mai</t>
        </is>
      </c>
    </row>
    <row r="10" ht="28" customHeight="1">
      <c r="A10" s="30">
        <f>INDEX(SkiftNavn,1)</f>
        <v/>
      </c>
      <c r="B10" s="58" t="inlineStr">
        <is>
          <t>Tekniker 1-06</t>
        </is>
      </c>
      <c r="C10" s="59" t="n"/>
      <c r="D10" s="59" t="n"/>
      <c r="E10" s="58" t="n"/>
      <c r="F10" s="2" t="n"/>
      <c r="G10" s="54" t="inlineStr">
        <is>
          <t>Fase</t>
        </is>
      </c>
      <c r="H10" s="55" t="inlineStr">
        <is>
          <t>Kode</t>
        </is>
      </c>
      <c r="I10" s="55" t="inlineStr">
        <is>
          <t>Dager</t>
        </is>
      </c>
      <c r="J10" s="55" t="inlineStr">
        <is>
          <t>Man–tor fra</t>
        </is>
      </c>
      <c r="K10" s="55" t="inlineStr">
        <is>
          <t>Man–tor til</t>
        </is>
      </c>
      <c r="L10" s="55" t="inlineStr">
        <is>
          <t>Fredag fra</t>
        </is>
      </c>
      <c r="M10" s="55" t="inlineStr">
        <is>
          <t>Fredag til</t>
        </is>
      </c>
      <c r="N10" s="55" t="inlineStr">
        <is>
          <t>Timer man–tor</t>
        </is>
      </c>
      <c r="O10" s="55" t="inlineStr">
        <is>
          <t>Timer fredag</t>
        </is>
      </c>
      <c r="P10" s="2" t="n"/>
      <c r="Q10" s="44" t="inlineStr">
        <is>
          <t>Kurs</t>
        </is>
      </c>
      <c r="R10" s="44" t="inlineStr">
        <is>
          <t>KU</t>
        </is>
      </c>
      <c r="S10" s="44" t="inlineStr"/>
      <c r="T10" s="2" t="n"/>
      <c r="U10" s="44" t="inlineStr">
        <is>
          <t>OIG</t>
        </is>
      </c>
      <c r="V10" s="58" t="inlineStr">
        <is>
          <t>Ferdig</t>
        </is>
      </c>
      <c r="W10" s="2" t="n"/>
      <c r="X10" s="44" t="inlineStr">
        <is>
          <t>Testing</t>
        </is>
      </c>
      <c r="Y10" s="2" t="n"/>
      <c r="Z10" s="2" t="inlineStr">
        <is>
          <t>juni</t>
        </is>
      </c>
    </row>
    <row r="11">
      <c r="A11" s="30">
        <f>INDEX(SkiftNavn,1)</f>
        <v/>
      </c>
      <c r="B11" s="58" t="inlineStr">
        <is>
          <t>Tekniker 1-07</t>
        </is>
      </c>
      <c r="C11" s="59" t="n"/>
      <c r="D11" s="59" t="n"/>
      <c r="E11" s="58" t="n"/>
      <c r="F11" s="2" t="n"/>
      <c r="G11" s="44" t="inlineStr">
        <is>
          <t>Kveld</t>
        </is>
      </c>
      <c r="H11" s="44" t="inlineStr">
        <is>
          <t>K</t>
        </is>
      </c>
      <c r="I11" s="58" t="n">
        <v>5</v>
      </c>
      <c r="J11" s="61" t="n">
        <v>0.6041666666666666</v>
      </c>
      <c r="K11" s="61" t="n">
        <v>0.9791666666666666</v>
      </c>
      <c r="L11" s="61" t="n">
        <v>0.4375</v>
      </c>
      <c r="M11" s="61" t="n">
        <v>0.7916666666666666</v>
      </c>
      <c r="N11" s="62">
        <f>MOD(K11-J11,1)*24</f>
        <v/>
      </c>
      <c r="O11" s="62">
        <f>MOD(M11-L11,1)*24</f>
        <v/>
      </c>
      <c r="P11" s="2" t="n"/>
      <c r="Q11" s="44" t="inlineStr">
        <is>
          <t>Mod</t>
        </is>
      </c>
      <c r="R11" s="44" t="inlineStr">
        <is>
          <t>M</t>
        </is>
      </c>
      <c r="S11" s="44" t="inlineStr"/>
      <c r="T11" s="2" t="n"/>
      <c r="U11" s="44" t="inlineStr">
        <is>
          <t>OIH</t>
        </is>
      </c>
      <c r="V11" s="58" t="inlineStr">
        <is>
          <t>Ferdig</t>
        </is>
      </c>
      <c r="W11" s="2" t="n"/>
      <c r="X11" s="44" t="inlineStr">
        <is>
          <t>Final</t>
        </is>
      </c>
      <c r="Y11" s="2" t="n"/>
      <c r="Z11" s="2" t="inlineStr">
        <is>
          <t>juli</t>
        </is>
      </c>
    </row>
    <row r="12">
      <c r="A12" s="30">
        <f>INDEX(SkiftNavn,1)</f>
        <v/>
      </c>
      <c r="B12" s="58" t="inlineStr">
        <is>
          <t>Tekniker 1-08</t>
        </is>
      </c>
      <c r="C12" s="59" t="n"/>
      <c r="D12" s="59" t="n"/>
      <c r="E12" s="58" t="n"/>
      <c r="F12" s="2" t="n"/>
      <c r="G12" s="44" t="inlineStr">
        <is>
          <t>Helg</t>
        </is>
      </c>
      <c r="H12" s="44" t="inlineStr">
        <is>
          <t>H</t>
        </is>
      </c>
      <c r="I12" s="58" t="n">
        <v>2</v>
      </c>
      <c r="J12" s="61" t="n">
        <v>0.2916666666666667</v>
      </c>
      <c r="K12" s="61" t="n">
        <v>0.6875</v>
      </c>
      <c r="L12" s="61" t="n">
        <v>0.2916666666666667</v>
      </c>
      <c r="M12" s="61" t="n">
        <v>0.6875</v>
      </c>
      <c r="N12" s="62">
        <f>MOD(K12-J12,1)*24</f>
        <v/>
      </c>
      <c r="O12" s="62">
        <f>MOD(M12-L12,1)*24</f>
        <v/>
      </c>
      <c r="P12" s="2" t="n"/>
      <c r="Q12" s="44" t="inlineStr">
        <is>
          <t>Ferie</t>
        </is>
      </c>
      <c r="R12" s="44" t="inlineStr">
        <is>
          <t>FE</t>
        </is>
      </c>
      <c r="S12" s="44" t="inlineStr"/>
      <c r="T12" s="2" t="n"/>
      <c r="U12" s="44" t="inlineStr">
        <is>
          <t>OII</t>
        </is>
      </c>
      <c r="V12" s="58" t="inlineStr">
        <is>
          <t>Ferdig</t>
        </is>
      </c>
      <c r="W12" s="2" t="n"/>
      <c r="X12" s="2" t="n"/>
      <c r="Y12" s="2" t="n"/>
      <c r="Z12" s="2" t="inlineStr">
        <is>
          <t>august</t>
        </is>
      </c>
    </row>
    <row r="13">
      <c r="A13" s="30">
        <f>INDEX(SkiftNavn,1)</f>
        <v/>
      </c>
      <c r="B13" s="58" t="inlineStr">
        <is>
          <t>Tekniker 1-09</t>
        </is>
      </c>
      <c r="C13" s="59" t="n"/>
      <c r="D13" s="59" t="n"/>
      <c r="E13" s="58" t="n"/>
      <c r="F13" s="2" t="n"/>
      <c r="G13" s="44" t="inlineStr">
        <is>
          <t>Dag</t>
        </is>
      </c>
      <c r="H13" s="44" t="inlineStr">
        <is>
          <t>D</t>
        </is>
      </c>
      <c r="I13" s="58" t="n">
        <v>5</v>
      </c>
      <c r="J13" s="61" t="n">
        <v>0.25</v>
      </c>
      <c r="K13" s="61" t="n">
        <v>0.625</v>
      </c>
      <c r="L13" s="61" t="n">
        <v>0.25</v>
      </c>
      <c r="M13" s="61" t="n">
        <v>0.5416666666666666</v>
      </c>
      <c r="N13" s="62">
        <f>MOD(K13-J13,1)*24</f>
        <v/>
      </c>
      <c r="O13" s="62">
        <f>MOD(M13-L13,1)*24</f>
        <v/>
      </c>
      <c r="P13" s="2" t="n"/>
      <c r="Q13" s="44" t="inlineStr">
        <is>
          <t>Avspasering</t>
        </is>
      </c>
      <c r="R13" s="44" t="inlineStr">
        <is>
          <t>AV</t>
        </is>
      </c>
      <c r="S13" s="44" t="inlineStr"/>
      <c r="T13" s="2" t="n"/>
      <c r="U13" s="44" t="inlineStr">
        <is>
          <t>OIK</t>
        </is>
      </c>
      <c r="V13" s="58" t="inlineStr">
        <is>
          <t>Ferdig</t>
        </is>
      </c>
      <c r="W13" s="2" t="n"/>
      <c r="X13" s="2" t="n"/>
      <c r="Y13" s="2" t="n"/>
      <c r="Z13" s="2" t="inlineStr">
        <is>
          <t>september</t>
        </is>
      </c>
    </row>
    <row r="14">
      <c r="A14" s="30">
        <f>INDEX(SkiftNavn,1)</f>
        <v/>
      </c>
      <c r="B14" s="58" t="inlineStr">
        <is>
          <t>Tekniker 1-10</t>
        </is>
      </c>
      <c r="C14" s="59" t="n"/>
      <c r="D14" s="59" t="n"/>
      <c r="E14" s="58" t="n"/>
      <c r="F14" s="2" t="n"/>
      <c r="G14" s="44" t="inlineStr">
        <is>
          <t>Fri</t>
        </is>
      </c>
      <c r="H14" s="44" t="inlineStr">
        <is>
          <t>F</t>
        </is>
      </c>
      <c r="I14" s="58" t="n">
        <v>9</v>
      </c>
      <c r="J14" s="44" t="n"/>
      <c r="K14" s="44" t="n"/>
      <c r="L14" s="44" t="n"/>
      <c r="M14" s="44" t="n"/>
      <c r="N14" s="63" t="n">
        <v>9</v>
      </c>
      <c r="O14" s="62">
        <f>N14</f>
        <v/>
      </c>
      <c r="P14" s="2" t="n"/>
      <c r="Q14" s="44" t="inlineStr">
        <is>
          <t>Fravær</t>
        </is>
      </c>
      <c r="R14" s="44" t="inlineStr">
        <is>
          <t>FR</t>
        </is>
      </c>
      <c r="S14" s="44" t="inlineStr"/>
      <c r="T14" s="2" t="n"/>
      <c r="U14" s="44" t="inlineStr">
        <is>
          <t>OIM</t>
        </is>
      </c>
      <c r="V14" s="58" t="inlineStr">
        <is>
          <t>Ferdig</t>
        </is>
      </c>
      <c r="W14" s="2" t="n"/>
      <c r="X14" s="2" t="n"/>
      <c r="Y14" s="2" t="n"/>
      <c r="Z14" s="2" t="inlineStr">
        <is>
          <t>oktober</t>
        </is>
      </c>
    </row>
    <row r="15">
      <c r="A15" s="30">
        <f>INDEX(SkiftNavn,1)</f>
        <v/>
      </c>
      <c r="B15" s="58" t="inlineStr">
        <is>
          <t>Tekniker 1-11</t>
        </is>
      </c>
      <c r="C15" s="59" t="n"/>
      <c r="D15" s="59" t="n"/>
      <c r="E15" s="58" t="n"/>
      <c r="F15" s="2" t="n"/>
      <c r="G15" s="10" t="inlineStr">
        <is>
          <t>Syklus (dager)</t>
        </is>
      </c>
      <c r="H15" s="2" t="n"/>
      <c r="I15" s="2">
        <f>SUM(I11:I14)</f>
        <v/>
      </c>
      <c r="J15" s="2" t="n"/>
      <c r="K15" s="2" t="n"/>
      <c r="L15" s="2" t="n"/>
      <c r="M15" s="2" t="n"/>
      <c r="N15" s="2" t="n"/>
      <c r="O15" s="2" t="n"/>
      <c r="P15" s="2" t="n"/>
      <c r="Q15" s="44" t="inlineStr">
        <is>
          <t>Annet</t>
        </is>
      </c>
      <c r="R15" s="44" t="inlineStr">
        <is>
          <t>AN</t>
        </is>
      </c>
      <c r="S15" s="44" t="inlineStr"/>
      <c r="T15" s="2" t="n"/>
      <c r="U15" s="44" t="inlineStr">
        <is>
          <t>OIN</t>
        </is>
      </c>
      <c r="V15" s="58" t="inlineStr">
        <is>
          <t>Ferdig</t>
        </is>
      </c>
      <c r="W15" s="2" t="n"/>
      <c r="X15" s="2" t="n"/>
      <c r="Y15" s="2" t="n"/>
      <c r="Z15" s="2" t="inlineStr">
        <is>
          <t>november</t>
        </is>
      </c>
    </row>
    <row r="16">
      <c r="A16" s="30">
        <f>INDEX(SkiftNavn,1)</f>
        <v/>
      </c>
      <c r="B16" s="58" t="n"/>
      <c r="C16" s="59" t="n"/>
      <c r="D16" s="59" t="n"/>
      <c r="E16" s="58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7" t="inlineStr">
        <is>
          <t>Faste aktiviteter (endres ikke).</t>
        </is>
      </c>
      <c r="R16" s="2" t="n"/>
      <c r="S16" s="2" t="n"/>
      <c r="T16" s="2" t="n"/>
      <c r="U16" s="44" t="inlineStr">
        <is>
          <t>OMI</t>
        </is>
      </c>
      <c r="V16" s="58" t="inlineStr">
        <is>
          <t>Ferdig</t>
        </is>
      </c>
      <c r="W16" s="2" t="n"/>
      <c r="X16" s="2" t="n"/>
      <c r="Y16" s="2" t="n"/>
      <c r="Z16" s="2" t="inlineStr">
        <is>
          <t>desember</t>
        </is>
      </c>
    </row>
    <row r="17">
      <c r="A17" s="30">
        <f>INDEX(SkiftNavn,1)</f>
        <v/>
      </c>
      <c r="B17" s="58" t="n"/>
      <c r="C17" s="59" t="n"/>
      <c r="D17" s="59" t="n"/>
      <c r="E17" s="58" t="n"/>
      <c r="F17" s="2" t="n"/>
      <c r="G17" s="10" t="inlineStr">
        <is>
          <t>LMS-standard fra</t>
        </is>
      </c>
      <c r="H17" s="2" t="n"/>
      <c r="I17" s="60" t="n">
        <v>46023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44" t="inlineStr">
        <is>
          <t>ONA</t>
        </is>
      </c>
      <c r="V17" s="58" t="inlineStr">
        <is>
          <t>Ferdig</t>
        </is>
      </c>
      <c r="W17" s="2" t="n"/>
      <c r="X17" s="2" t="n"/>
      <c r="Y17" s="2" t="n"/>
      <c r="Z17" s="2" t="n"/>
    </row>
    <row r="18">
      <c r="A18" s="30">
        <f>INDEX(SkiftNavn,1)</f>
        <v/>
      </c>
      <c r="B18" s="58" t="n"/>
      <c r="C18" s="59" t="n"/>
      <c r="D18" s="59" t="n"/>
      <c r="E18" s="58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44" t="inlineStr">
        <is>
          <t>OND</t>
        </is>
      </c>
      <c r="V18" s="58" t="inlineStr">
        <is>
          <t>Ferdig</t>
        </is>
      </c>
      <c r="W18" s="2" t="n"/>
      <c r="X18" s="2" t="n"/>
      <c r="Y18" s="2" t="n"/>
      <c r="Z18" s="2" t="n"/>
    </row>
    <row r="19">
      <c r="A19" s="30">
        <f>INDEX(SkiftNavn,1)</f>
        <v/>
      </c>
      <c r="B19" s="58" t="n"/>
      <c r="C19" s="59" t="n"/>
      <c r="D19" s="59" t="n"/>
      <c r="E19" s="58" t="n"/>
      <c r="F19" s="2" t="n"/>
      <c r="G19" s="7" t="inlineStr">
        <is>
          <t>LMS-standard: arbeidsdager fylles automatisk med LMS for det som er igjen av dagen etter føringene i Timeføring (rundet til nærmeste halvtime), til og med i dag.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44" t="inlineStr">
        <is>
          <t>ONE</t>
        </is>
      </c>
      <c r="V19" s="58" t="inlineStr">
        <is>
          <t>Ferdig</t>
        </is>
      </c>
      <c r="W19" s="2" t="n"/>
      <c r="X19" s="2" t="n"/>
      <c r="Y19" s="2" t="n"/>
      <c r="Z19" s="2" t="n"/>
    </row>
    <row r="20">
      <c r="A20" s="30">
        <f>INDEX(SkiftNavn,1)</f>
        <v/>
      </c>
      <c r="B20" s="58" t="n"/>
      <c r="C20" s="59" t="n"/>
      <c r="D20" s="59" t="n"/>
      <c r="E20" s="58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44" t="inlineStr">
        <is>
          <t>ONH</t>
        </is>
      </c>
      <c r="V20" s="58" t="inlineStr">
        <is>
          <t>Ferdig</t>
        </is>
      </c>
      <c r="W20" s="2" t="n"/>
      <c r="X20" s="2" t="n"/>
      <c r="Y20" s="2" t="n"/>
      <c r="Z20" s="2" t="n"/>
    </row>
    <row r="21">
      <c r="A21" s="30">
        <f>INDEX(SkiftNavn,1)</f>
        <v/>
      </c>
      <c r="B21" s="58" t="n"/>
      <c r="C21" s="59" t="n"/>
      <c r="D21" s="59" t="n"/>
      <c r="E21" s="58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44" t="inlineStr">
        <is>
          <t>ONM</t>
        </is>
      </c>
      <c r="V21" s="58" t="inlineStr">
        <is>
          <t>Ferdig</t>
        </is>
      </c>
      <c r="W21" s="2" t="n"/>
      <c r="X21" s="2" t="n"/>
      <c r="Y21" s="2" t="n"/>
      <c r="Z21" s="2" t="n"/>
    </row>
    <row r="22">
      <c r="A22" s="30">
        <f>INDEX(SkiftNavn,1)</f>
        <v/>
      </c>
      <c r="B22" s="58" t="n"/>
      <c r="C22" s="59" t="n"/>
      <c r="D22" s="59" t="n"/>
      <c r="E22" s="58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44" t="inlineStr">
        <is>
          <t>ONO</t>
        </is>
      </c>
      <c r="V22" s="58" t="inlineStr">
        <is>
          <t>Ferdig</t>
        </is>
      </c>
      <c r="W22" s="2" t="n"/>
      <c r="X22" s="2" t="n"/>
      <c r="Y22" s="2" t="n"/>
      <c r="Z22" s="2" t="n"/>
    </row>
    <row r="23">
      <c r="A23" s="30">
        <f>INDEX(SkiftNavn,2)</f>
        <v/>
      </c>
      <c r="B23" s="58" t="inlineStr">
        <is>
          <t>Tekniker 2-01</t>
        </is>
      </c>
      <c r="C23" s="59" t="n"/>
      <c r="D23" s="59" t="n"/>
      <c r="E23" s="58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44" t="inlineStr">
        <is>
          <t>ONP</t>
        </is>
      </c>
      <c r="V23" s="58" t="inlineStr">
        <is>
          <t>Ferdig</t>
        </is>
      </c>
      <c r="W23" s="2" t="n"/>
      <c r="X23" s="2" t="n"/>
      <c r="Y23" s="2" t="n"/>
      <c r="Z23" s="2" t="n"/>
    </row>
    <row r="24">
      <c r="A24" s="30">
        <f>INDEX(SkiftNavn,2)</f>
        <v/>
      </c>
      <c r="B24" s="58" t="inlineStr">
        <is>
          <t>Tekniker 2-02</t>
        </is>
      </c>
      <c r="C24" s="59" t="n"/>
      <c r="D24" s="59" t="n"/>
      <c r="E24" s="58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44" t="inlineStr">
        <is>
          <t>ONQ</t>
        </is>
      </c>
      <c r="V24" s="58" t="inlineStr">
        <is>
          <t>Ferdig</t>
        </is>
      </c>
      <c r="W24" s="2" t="n"/>
      <c r="X24" s="2" t="n"/>
      <c r="Y24" s="2" t="n"/>
      <c r="Z24" s="2" t="n"/>
    </row>
    <row r="25">
      <c r="A25" s="30">
        <f>INDEX(SkiftNavn,2)</f>
        <v/>
      </c>
      <c r="B25" s="58" t="inlineStr">
        <is>
          <t>Tekniker 2-03</t>
        </is>
      </c>
      <c r="C25" s="59" t="n"/>
      <c r="D25" s="59" t="n"/>
      <c r="E25" s="58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44" t="inlineStr">
        <is>
          <t>ONT</t>
        </is>
      </c>
      <c r="V25" s="58" t="inlineStr">
        <is>
          <t>Ferdig</t>
        </is>
      </c>
      <c r="W25" s="2" t="n"/>
      <c r="X25" s="2" t="n"/>
      <c r="Y25" s="2" t="n"/>
      <c r="Z25" s="2" t="n"/>
    </row>
    <row r="26">
      <c r="A26" s="30">
        <f>INDEX(SkiftNavn,2)</f>
        <v/>
      </c>
      <c r="B26" s="58" t="inlineStr">
        <is>
          <t>Tekniker 2-04</t>
        </is>
      </c>
      <c r="C26" s="59" t="n"/>
      <c r="D26" s="59" t="n"/>
      <c r="E26" s="58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44" t="inlineStr">
        <is>
          <t>ONW</t>
        </is>
      </c>
      <c r="V26" s="58" t="inlineStr">
        <is>
          <t>Ferdig</t>
        </is>
      </c>
      <c r="W26" s="2" t="n"/>
      <c r="X26" s="2" t="n"/>
      <c r="Y26" s="2" t="n"/>
      <c r="Z26" s="2" t="n"/>
    </row>
    <row r="27">
      <c r="A27" s="30">
        <f>INDEX(SkiftNavn,2)</f>
        <v/>
      </c>
      <c r="B27" s="58" t="inlineStr">
        <is>
          <t>Tekniker 2-05</t>
        </is>
      </c>
      <c r="C27" s="59" t="n"/>
      <c r="D27" s="59" t="n"/>
      <c r="E27" s="58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44" t="inlineStr">
        <is>
          <t>ONY</t>
        </is>
      </c>
      <c r="V27" s="58" t="inlineStr">
        <is>
          <t>Ferdig</t>
        </is>
      </c>
      <c r="W27" s="2" t="n"/>
      <c r="X27" s="2" t="n"/>
      <c r="Y27" s="2" t="n"/>
      <c r="Z27" s="2" t="n"/>
    </row>
    <row r="28">
      <c r="A28" s="30">
        <f>INDEX(SkiftNavn,2)</f>
        <v/>
      </c>
      <c r="B28" s="58" t="inlineStr">
        <is>
          <t>Tekniker 2-06</t>
        </is>
      </c>
      <c r="C28" s="59" t="n"/>
      <c r="D28" s="59" t="n"/>
      <c r="E28" s="58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44" t="inlineStr">
        <is>
          <t>ONS</t>
        </is>
      </c>
      <c r="V28" s="58" t="inlineStr">
        <is>
          <t>Ferdig</t>
        </is>
      </c>
      <c r="W28" s="2" t="n"/>
      <c r="X28" s="2" t="n"/>
      <c r="Y28" s="2" t="n"/>
      <c r="Z28" s="2" t="n"/>
    </row>
    <row r="29">
      <c r="A29" s="30">
        <f>INDEX(SkiftNavn,2)</f>
        <v/>
      </c>
      <c r="B29" s="58" t="inlineStr">
        <is>
          <t>Tekniker 2-07</t>
        </is>
      </c>
      <c r="C29" s="59" t="n"/>
      <c r="D29" s="59" t="n"/>
      <c r="E29" s="58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7" t="inlineStr">
        <is>
          <t>LMS og Mod: bare maskiner «I dokk». Line: alle.</t>
        </is>
      </c>
      <c r="V29" s="2" t="n"/>
      <c r="W29" s="2" t="n"/>
      <c r="X29" s="2" t="n"/>
      <c r="Y29" s="2" t="n"/>
      <c r="Z29" s="2" t="n"/>
    </row>
    <row r="30">
      <c r="A30" s="30">
        <f>INDEX(SkiftNavn,2)</f>
        <v/>
      </c>
      <c r="B30" s="58" t="inlineStr">
        <is>
          <t>Tekniker 2-08</t>
        </is>
      </c>
      <c r="C30" s="59" t="n"/>
      <c r="D30" s="59" t="n"/>
      <c r="E30" s="58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30">
        <f>INDEX(SkiftNavn,2)</f>
        <v/>
      </c>
      <c r="B31" s="58" t="inlineStr">
        <is>
          <t>Tekniker 2-09</t>
        </is>
      </c>
      <c r="C31" s="59" t="n"/>
      <c r="D31" s="59" t="n"/>
      <c r="E31" s="58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30">
        <f>INDEX(SkiftNavn,2)</f>
        <v/>
      </c>
      <c r="B32" s="58" t="inlineStr">
        <is>
          <t>Tekniker 2-10</t>
        </is>
      </c>
      <c r="C32" s="59" t="n"/>
      <c r="D32" s="59" t="n"/>
      <c r="E32" s="58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30">
        <f>INDEX(SkiftNavn,2)</f>
        <v/>
      </c>
      <c r="B33" s="58" t="inlineStr">
        <is>
          <t>Tekniker 2-11</t>
        </is>
      </c>
      <c r="C33" s="59" t="n"/>
      <c r="D33" s="59" t="n"/>
      <c r="E33" s="58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30">
        <f>INDEX(SkiftNavn,2)</f>
        <v/>
      </c>
      <c r="B34" s="58" t="inlineStr">
        <is>
          <t>Tekniker 2-12</t>
        </is>
      </c>
      <c r="C34" s="59" t="n"/>
      <c r="D34" s="59" t="n"/>
      <c r="E34" s="58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30">
        <f>INDEX(SkiftNavn,2)</f>
        <v/>
      </c>
      <c r="B35" s="58" t="n"/>
      <c r="C35" s="59" t="n"/>
      <c r="D35" s="59" t="n"/>
      <c r="E35" s="58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30">
        <f>INDEX(SkiftNavn,2)</f>
        <v/>
      </c>
      <c r="B36" s="58" t="n"/>
      <c r="C36" s="59" t="n"/>
      <c r="D36" s="59" t="n"/>
      <c r="E36" s="58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30">
        <f>INDEX(SkiftNavn,2)</f>
        <v/>
      </c>
      <c r="B37" s="58" t="n"/>
      <c r="C37" s="59" t="n"/>
      <c r="D37" s="59" t="n"/>
      <c r="E37" s="58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30">
        <f>INDEX(SkiftNavn,2)</f>
        <v/>
      </c>
      <c r="B38" s="58" t="n"/>
      <c r="C38" s="59" t="n"/>
      <c r="D38" s="59" t="n"/>
      <c r="E38" s="58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30">
        <f>INDEX(SkiftNavn,2)</f>
        <v/>
      </c>
      <c r="B39" s="58" t="n"/>
      <c r="C39" s="59" t="n"/>
      <c r="D39" s="59" t="n"/>
      <c r="E39" s="58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30">
        <f>INDEX(SkiftNavn,2)</f>
        <v/>
      </c>
      <c r="B40" s="58" t="n"/>
      <c r="C40" s="59" t="n"/>
      <c r="D40" s="59" t="n"/>
      <c r="E40" s="58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30">
        <f>INDEX(SkiftNavn,3)</f>
        <v/>
      </c>
      <c r="B41" s="58" t="inlineStr">
        <is>
          <t>Tekniker 3-01</t>
        </is>
      </c>
      <c r="C41" s="59" t="n"/>
      <c r="D41" s="59" t="n"/>
      <c r="E41" s="58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30">
        <f>INDEX(SkiftNavn,3)</f>
        <v/>
      </c>
      <c r="B42" s="58" t="inlineStr">
        <is>
          <t>Tekniker 3-02</t>
        </is>
      </c>
      <c r="C42" s="59" t="n"/>
      <c r="D42" s="59" t="n"/>
      <c r="E42" s="58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30">
        <f>INDEX(SkiftNavn,3)</f>
        <v/>
      </c>
      <c r="B43" s="58" t="inlineStr">
        <is>
          <t>Tekniker 3-03</t>
        </is>
      </c>
      <c r="C43" s="59" t="n"/>
      <c r="D43" s="59" t="n"/>
      <c r="E43" s="58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30">
        <f>INDEX(SkiftNavn,3)</f>
        <v/>
      </c>
      <c r="B44" s="58" t="inlineStr">
        <is>
          <t>Tekniker 3-04</t>
        </is>
      </c>
      <c r="C44" s="59" t="n"/>
      <c r="D44" s="59" t="n"/>
      <c r="E44" s="58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30">
        <f>INDEX(SkiftNavn,3)</f>
        <v/>
      </c>
      <c r="B45" s="58" t="inlineStr">
        <is>
          <t>Tekniker 3-05</t>
        </is>
      </c>
      <c r="C45" s="59" t="n"/>
      <c r="D45" s="59" t="n"/>
      <c r="E45" s="58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30">
        <f>INDEX(SkiftNavn,3)</f>
        <v/>
      </c>
      <c r="B46" s="58" t="inlineStr">
        <is>
          <t>Tekniker 3-06</t>
        </is>
      </c>
      <c r="C46" s="59" t="n"/>
      <c r="D46" s="59" t="n"/>
      <c r="E46" s="58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30">
        <f>INDEX(SkiftNavn,3)</f>
        <v/>
      </c>
      <c r="B47" s="58" t="inlineStr">
        <is>
          <t>Tekniker 3-07</t>
        </is>
      </c>
      <c r="C47" s="59" t="n"/>
      <c r="D47" s="59" t="n"/>
      <c r="E47" s="58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30">
        <f>INDEX(SkiftNavn,3)</f>
        <v/>
      </c>
      <c r="B48" s="58" t="inlineStr">
        <is>
          <t>Tekniker 3-08</t>
        </is>
      </c>
      <c r="C48" s="59" t="n"/>
      <c r="D48" s="59" t="n"/>
      <c r="E48" s="58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30">
        <f>INDEX(SkiftNavn,3)</f>
        <v/>
      </c>
      <c r="B49" s="58" t="inlineStr">
        <is>
          <t>Tekniker 3-09</t>
        </is>
      </c>
      <c r="C49" s="59" t="n"/>
      <c r="D49" s="59" t="n"/>
      <c r="E49" s="58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30">
        <f>INDEX(SkiftNavn,3)</f>
        <v/>
      </c>
      <c r="B50" s="58" t="inlineStr">
        <is>
          <t>Tekniker 3-10</t>
        </is>
      </c>
      <c r="C50" s="59" t="n"/>
      <c r="D50" s="59" t="n"/>
      <c r="E50" s="58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30">
        <f>INDEX(SkiftNavn,3)</f>
        <v/>
      </c>
      <c r="B51" s="58" t="inlineStr">
        <is>
          <t>Tekniker 3-11</t>
        </is>
      </c>
      <c r="C51" s="59" t="n"/>
      <c r="D51" s="59" t="n"/>
      <c r="E51" s="58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30">
        <f>INDEX(SkiftNavn,3)</f>
        <v/>
      </c>
      <c r="B52" s="58" t="n"/>
      <c r="C52" s="59" t="n"/>
      <c r="D52" s="59" t="n"/>
      <c r="E52" s="58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30">
        <f>INDEX(SkiftNavn,3)</f>
        <v/>
      </c>
      <c r="B53" s="58" t="n"/>
      <c r="C53" s="59" t="n"/>
      <c r="D53" s="59" t="n"/>
      <c r="E53" s="58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30">
        <f>INDEX(SkiftNavn,3)</f>
        <v/>
      </c>
      <c r="B54" s="58" t="n"/>
      <c r="C54" s="59" t="n"/>
      <c r="D54" s="59" t="n"/>
      <c r="E54" s="58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30">
        <f>INDEX(SkiftNavn,3)</f>
        <v/>
      </c>
      <c r="B55" s="58" t="n"/>
      <c r="C55" s="59" t="n"/>
      <c r="D55" s="59" t="n"/>
      <c r="E55" s="58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30">
        <f>INDEX(SkiftNavn,3)</f>
        <v/>
      </c>
      <c r="B56" s="58" t="n"/>
      <c r="C56" s="59" t="n"/>
      <c r="D56" s="59" t="n"/>
      <c r="E56" s="58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30">
        <f>INDEX(SkiftNavn,3)</f>
        <v/>
      </c>
      <c r="B57" s="58" t="n"/>
      <c r="C57" s="59" t="n"/>
      <c r="D57" s="59" t="n"/>
      <c r="E57" s="58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30">
        <f>INDEX(SkiftNavn,3)</f>
        <v/>
      </c>
      <c r="B58" s="58" t="n"/>
      <c r="C58" s="59" t="n"/>
      <c r="D58" s="59" t="n"/>
      <c r="E58" s="58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</sheetData>
  <dataValidations count="1">
    <dataValidation sqref="V5:V28" showDropDown="0" showInputMessage="0" showErrorMessage="0" allowBlank="1" type="list">
      <formula1>"I dokk,Ferdig"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106"/>
  <sheetViews>
    <sheetView workbookViewId="0">
      <pane xSplit="7" ySplit="8" topLeftCell="H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0" t="inlineStr">
        <is>
          <t>Grunnlag (hjelpeark – ikke endre)</t>
        </is>
      </c>
    </row>
    <row r="2">
      <c r="A2" s="30" t="inlineStr">
        <is>
          <t>Automatisk LMS (LMS-standard) per tekniker og dag. Brukes av Kalender og Rapport.</t>
        </is>
      </c>
    </row>
    <row r="3">
      <c r="G3" s="10" t="inlineStr">
        <is>
          <t>Plass</t>
        </is>
      </c>
      <c r="H3" t="n">
        <v>1</v>
      </c>
      <c r="I3" t="n">
        <v>2</v>
      </c>
      <c r="J3" t="n">
        <v>3</v>
      </c>
      <c r="K3" t="n">
        <v>4</v>
      </c>
      <c r="L3" t="n">
        <v>5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</row>
    <row r="4">
      <c r="G4" s="10" t="inlineStr">
        <is>
          <t>Tekniker</t>
        </is>
      </c>
      <c r="H4">
        <f>INDEX(Teknikere,H3)&amp;""</f>
        <v/>
      </c>
      <c r="I4">
        <f>INDEX(Teknikere,I3)&amp;""</f>
        <v/>
      </c>
      <c r="J4">
        <f>INDEX(Teknikere,J3)&amp;""</f>
        <v/>
      </c>
      <c r="K4">
        <f>INDEX(Teknikere,K3)&amp;""</f>
        <v/>
      </c>
      <c r="L4">
        <f>INDEX(Teknikere,L3)&amp;""</f>
        <v/>
      </c>
      <c r="M4">
        <f>INDEX(Teknikere,M3)&amp;""</f>
        <v/>
      </c>
      <c r="N4">
        <f>INDEX(Teknikere,N3)&amp;""</f>
        <v/>
      </c>
      <c r="O4">
        <f>INDEX(Teknikere,O3)&amp;""</f>
        <v/>
      </c>
      <c r="P4">
        <f>INDEX(Teknikere,P3)&amp;""</f>
        <v/>
      </c>
      <c r="Q4">
        <f>INDEX(Teknikere,Q3)&amp;""</f>
        <v/>
      </c>
      <c r="R4">
        <f>INDEX(Teknikere,R3)&amp;""</f>
        <v/>
      </c>
      <c r="S4">
        <f>INDEX(Teknikere,S3)&amp;""</f>
        <v/>
      </c>
      <c r="T4">
        <f>INDEX(Teknikere,T3)&amp;""</f>
        <v/>
      </c>
      <c r="U4">
        <f>INDEX(Teknikere,U3)&amp;""</f>
        <v/>
      </c>
      <c r="V4">
        <f>INDEX(Teknikere,V3)&amp;""</f>
        <v/>
      </c>
      <c r="W4">
        <f>INDEX(Teknikere,W3)&amp;""</f>
        <v/>
      </c>
      <c r="X4">
        <f>INDEX(Teknikere,X3)&amp;""</f>
        <v/>
      </c>
      <c r="Y4">
        <f>INDEX(Teknikere,Y3)&amp;""</f>
        <v/>
      </c>
      <c r="Z4">
        <f>INDEX(Teknikere,Z3)&amp;""</f>
        <v/>
      </c>
      <c r="AA4">
        <f>INDEX(Teknikere,AA3)&amp;""</f>
        <v/>
      </c>
      <c r="AB4">
        <f>INDEX(Teknikere,AB3)&amp;""</f>
        <v/>
      </c>
      <c r="AC4">
        <f>INDEX(Teknikere,AC3)&amp;""</f>
        <v/>
      </c>
      <c r="AD4">
        <f>INDEX(Teknikere,AD3)&amp;""</f>
        <v/>
      </c>
      <c r="AE4">
        <f>INDEX(Teknikere,AE3)&amp;""</f>
        <v/>
      </c>
      <c r="AF4">
        <f>INDEX(Teknikere,AF3)&amp;""</f>
        <v/>
      </c>
      <c r="AG4">
        <f>INDEX(Teknikere,AG3)&amp;""</f>
        <v/>
      </c>
      <c r="AH4">
        <f>INDEX(Teknikere,AH3)&amp;""</f>
        <v/>
      </c>
      <c r="AI4">
        <f>INDEX(Teknikere,AI3)&amp;""</f>
        <v/>
      </c>
      <c r="AJ4">
        <f>INDEX(Teknikere,AJ3)&amp;""</f>
        <v/>
      </c>
      <c r="AK4">
        <f>INDEX(Teknikere,AK3)&amp;""</f>
        <v/>
      </c>
      <c r="AL4">
        <f>INDEX(Teknikere,AL3)&amp;""</f>
        <v/>
      </c>
      <c r="AM4">
        <f>INDEX(Teknikere,AM3)&amp;""</f>
        <v/>
      </c>
      <c r="AN4">
        <f>INDEX(Teknikere,AN3)&amp;""</f>
        <v/>
      </c>
      <c r="AO4">
        <f>INDEX(Teknikere,AO3)&amp;""</f>
        <v/>
      </c>
      <c r="AP4">
        <f>INDEX(Teknikere,AP3)&amp;""</f>
        <v/>
      </c>
      <c r="AQ4">
        <f>INDEX(Teknikere,AQ3)&amp;""</f>
        <v/>
      </c>
      <c r="AR4">
        <f>INDEX(Teknikere,AR3)&amp;""</f>
        <v/>
      </c>
      <c r="AS4">
        <f>INDEX(Teknikere,AS3)&amp;""</f>
        <v/>
      </c>
      <c r="AT4">
        <f>INDEX(Teknikere,AT3)&amp;""</f>
        <v/>
      </c>
      <c r="AU4">
        <f>INDEX(Teknikere,AU3)&amp;""</f>
        <v/>
      </c>
      <c r="AV4">
        <f>INDEX(Teknikere,AV3)&amp;""</f>
        <v/>
      </c>
      <c r="AW4">
        <f>INDEX(Teknikere,AW3)&amp;""</f>
        <v/>
      </c>
      <c r="AX4">
        <f>INDEX(Teknikere,AX3)&amp;""</f>
        <v/>
      </c>
      <c r="AY4">
        <f>INDEX(Teknikere,AY3)&amp;""</f>
        <v/>
      </c>
      <c r="AZ4">
        <f>INDEX(Teknikere,AZ3)&amp;""</f>
        <v/>
      </c>
      <c r="BA4">
        <f>INDEX(Teknikere,BA3)&amp;""</f>
        <v/>
      </c>
      <c r="BB4">
        <f>INDEX(Teknikere,BB3)&amp;""</f>
        <v/>
      </c>
      <c r="BC4">
        <f>INDEX(Teknikere,BC3)&amp;""</f>
        <v/>
      </c>
      <c r="BD4">
        <f>INDEX(Teknikere,BD3)&amp;""</f>
        <v/>
      </c>
      <c r="BE4">
        <f>INDEX(Teknikere,BE3)&amp;""</f>
        <v/>
      </c>
      <c r="BF4">
        <f>INDEX(Teknikere,BF3)&amp;""</f>
        <v/>
      </c>
      <c r="BG4">
        <f>INDEX(Teknikere,BG3)&amp;""</f>
        <v/>
      </c>
      <c r="BH4">
        <f>INDEX(Teknikere,BH3)&amp;""</f>
        <v/>
      </c>
      <c r="BI4">
        <f>INDEX(Teknikere,BI3)&amp;""</f>
        <v/>
      </c>
    </row>
    <row r="5">
      <c r="G5" s="10" t="inlineStr">
        <is>
          <t>Skift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</row>
    <row r="6">
      <c r="G6" s="10" t="inlineStr">
        <is>
          <t>Fra</t>
        </is>
      </c>
      <c r="H6">
        <f>INDEX(TekFra,H3)</f>
        <v/>
      </c>
      <c r="I6">
        <f>INDEX(TekFra,I3)</f>
        <v/>
      </c>
      <c r="J6">
        <f>INDEX(TekFra,J3)</f>
        <v/>
      </c>
      <c r="K6">
        <f>INDEX(TekFra,K3)</f>
        <v/>
      </c>
      <c r="L6">
        <f>INDEX(TekFra,L3)</f>
        <v/>
      </c>
      <c r="M6">
        <f>INDEX(TekFra,M3)</f>
        <v/>
      </c>
      <c r="N6">
        <f>INDEX(TekFra,N3)</f>
        <v/>
      </c>
      <c r="O6">
        <f>INDEX(TekFra,O3)</f>
        <v/>
      </c>
      <c r="P6">
        <f>INDEX(TekFra,P3)</f>
        <v/>
      </c>
      <c r="Q6">
        <f>INDEX(TekFra,Q3)</f>
        <v/>
      </c>
      <c r="R6">
        <f>INDEX(TekFra,R3)</f>
        <v/>
      </c>
      <c r="S6">
        <f>INDEX(TekFra,S3)</f>
        <v/>
      </c>
      <c r="T6">
        <f>INDEX(TekFra,T3)</f>
        <v/>
      </c>
      <c r="U6">
        <f>INDEX(TekFra,U3)</f>
        <v/>
      </c>
      <c r="V6">
        <f>INDEX(TekFra,V3)</f>
        <v/>
      </c>
      <c r="W6">
        <f>INDEX(TekFra,W3)</f>
        <v/>
      </c>
      <c r="X6">
        <f>INDEX(TekFra,X3)</f>
        <v/>
      </c>
      <c r="Y6">
        <f>INDEX(TekFra,Y3)</f>
        <v/>
      </c>
      <c r="Z6">
        <f>INDEX(TekFra,Z3)</f>
        <v/>
      </c>
      <c r="AA6">
        <f>INDEX(TekFra,AA3)</f>
        <v/>
      </c>
      <c r="AB6">
        <f>INDEX(TekFra,AB3)</f>
        <v/>
      </c>
      <c r="AC6">
        <f>INDEX(TekFra,AC3)</f>
        <v/>
      </c>
      <c r="AD6">
        <f>INDEX(TekFra,AD3)</f>
        <v/>
      </c>
      <c r="AE6">
        <f>INDEX(TekFra,AE3)</f>
        <v/>
      </c>
      <c r="AF6">
        <f>INDEX(TekFra,AF3)</f>
        <v/>
      </c>
      <c r="AG6">
        <f>INDEX(TekFra,AG3)</f>
        <v/>
      </c>
      <c r="AH6">
        <f>INDEX(TekFra,AH3)</f>
        <v/>
      </c>
      <c r="AI6">
        <f>INDEX(TekFra,AI3)</f>
        <v/>
      </c>
      <c r="AJ6">
        <f>INDEX(TekFra,AJ3)</f>
        <v/>
      </c>
      <c r="AK6">
        <f>INDEX(TekFra,AK3)</f>
        <v/>
      </c>
      <c r="AL6">
        <f>INDEX(TekFra,AL3)</f>
        <v/>
      </c>
      <c r="AM6">
        <f>INDEX(TekFra,AM3)</f>
        <v/>
      </c>
      <c r="AN6">
        <f>INDEX(TekFra,AN3)</f>
        <v/>
      </c>
      <c r="AO6">
        <f>INDEX(TekFra,AO3)</f>
        <v/>
      </c>
      <c r="AP6">
        <f>INDEX(TekFra,AP3)</f>
        <v/>
      </c>
      <c r="AQ6">
        <f>INDEX(TekFra,AQ3)</f>
        <v/>
      </c>
      <c r="AR6">
        <f>INDEX(TekFra,AR3)</f>
        <v/>
      </c>
      <c r="AS6">
        <f>INDEX(TekFra,AS3)</f>
        <v/>
      </c>
      <c r="AT6">
        <f>INDEX(TekFra,AT3)</f>
        <v/>
      </c>
      <c r="AU6">
        <f>INDEX(TekFra,AU3)</f>
        <v/>
      </c>
      <c r="AV6">
        <f>INDEX(TekFra,AV3)</f>
        <v/>
      </c>
      <c r="AW6">
        <f>INDEX(TekFra,AW3)</f>
        <v/>
      </c>
      <c r="AX6">
        <f>INDEX(TekFra,AX3)</f>
        <v/>
      </c>
      <c r="AY6">
        <f>INDEX(TekFra,AY3)</f>
        <v/>
      </c>
      <c r="AZ6">
        <f>INDEX(TekFra,AZ3)</f>
        <v/>
      </c>
      <c r="BA6">
        <f>INDEX(TekFra,BA3)</f>
        <v/>
      </c>
      <c r="BB6">
        <f>INDEX(TekFra,BB3)</f>
        <v/>
      </c>
      <c r="BC6">
        <f>INDEX(TekFra,BC3)</f>
        <v/>
      </c>
      <c r="BD6">
        <f>INDEX(TekFra,BD3)</f>
        <v/>
      </c>
      <c r="BE6">
        <f>INDEX(TekFra,BE3)</f>
        <v/>
      </c>
      <c r="BF6">
        <f>INDEX(TekFra,BF3)</f>
        <v/>
      </c>
      <c r="BG6">
        <f>INDEX(TekFra,BG3)</f>
        <v/>
      </c>
      <c r="BH6">
        <f>INDEX(TekFra,BH3)</f>
        <v/>
      </c>
      <c r="BI6">
        <f>INDEX(TekFra,BI3)</f>
        <v/>
      </c>
    </row>
    <row r="7">
      <c r="G7" s="10" t="inlineStr">
        <is>
          <t>Til</t>
        </is>
      </c>
      <c r="H7">
        <f>INDEX(TekTil,H3)</f>
        <v/>
      </c>
      <c r="I7">
        <f>INDEX(TekTil,I3)</f>
        <v/>
      </c>
      <c r="J7">
        <f>INDEX(TekTil,J3)</f>
        <v/>
      </c>
      <c r="K7">
        <f>INDEX(TekTil,K3)</f>
        <v/>
      </c>
      <c r="L7">
        <f>INDEX(TekTil,L3)</f>
        <v/>
      </c>
      <c r="M7">
        <f>INDEX(TekTil,M3)</f>
        <v/>
      </c>
      <c r="N7">
        <f>INDEX(TekTil,N3)</f>
        <v/>
      </c>
      <c r="O7">
        <f>INDEX(TekTil,O3)</f>
        <v/>
      </c>
      <c r="P7">
        <f>INDEX(TekTil,P3)</f>
        <v/>
      </c>
      <c r="Q7">
        <f>INDEX(TekTil,Q3)</f>
        <v/>
      </c>
      <c r="R7">
        <f>INDEX(TekTil,R3)</f>
        <v/>
      </c>
      <c r="S7">
        <f>INDEX(TekTil,S3)</f>
        <v/>
      </c>
      <c r="T7">
        <f>INDEX(TekTil,T3)</f>
        <v/>
      </c>
      <c r="U7">
        <f>INDEX(TekTil,U3)</f>
        <v/>
      </c>
      <c r="V7">
        <f>INDEX(TekTil,V3)</f>
        <v/>
      </c>
      <c r="W7">
        <f>INDEX(TekTil,W3)</f>
        <v/>
      </c>
      <c r="X7">
        <f>INDEX(TekTil,X3)</f>
        <v/>
      </c>
      <c r="Y7">
        <f>INDEX(TekTil,Y3)</f>
        <v/>
      </c>
      <c r="Z7">
        <f>INDEX(TekTil,Z3)</f>
        <v/>
      </c>
      <c r="AA7">
        <f>INDEX(TekTil,AA3)</f>
        <v/>
      </c>
      <c r="AB7">
        <f>INDEX(TekTil,AB3)</f>
        <v/>
      </c>
      <c r="AC7">
        <f>INDEX(TekTil,AC3)</f>
        <v/>
      </c>
      <c r="AD7">
        <f>INDEX(TekTil,AD3)</f>
        <v/>
      </c>
      <c r="AE7">
        <f>INDEX(TekTil,AE3)</f>
        <v/>
      </c>
      <c r="AF7">
        <f>INDEX(TekTil,AF3)</f>
        <v/>
      </c>
      <c r="AG7">
        <f>INDEX(TekTil,AG3)</f>
        <v/>
      </c>
      <c r="AH7">
        <f>INDEX(TekTil,AH3)</f>
        <v/>
      </c>
      <c r="AI7">
        <f>INDEX(TekTil,AI3)</f>
        <v/>
      </c>
      <c r="AJ7">
        <f>INDEX(TekTil,AJ3)</f>
        <v/>
      </c>
      <c r="AK7">
        <f>INDEX(TekTil,AK3)</f>
        <v/>
      </c>
      <c r="AL7">
        <f>INDEX(TekTil,AL3)</f>
        <v/>
      </c>
      <c r="AM7">
        <f>INDEX(TekTil,AM3)</f>
        <v/>
      </c>
      <c r="AN7">
        <f>INDEX(TekTil,AN3)</f>
        <v/>
      </c>
      <c r="AO7">
        <f>INDEX(TekTil,AO3)</f>
        <v/>
      </c>
      <c r="AP7">
        <f>INDEX(TekTil,AP3)</f>
        <v/>
      </c>
      <c r="AQ7">
        <f>INDEX(TekTil,AQ3)</f>
        <v/>
      </c>
      <c r="AR7">
        <f>INDEX(TekTil,AR3)</f>
        <v/>
      </c>
      <c r="AS7">
        <f>INDEX(TekTil,AS3)</f>
        <v/>
      </c>
      <c r="AT7">
        <f>INDEX(TekTil,AT3)</f>
        <v/>
      </c>
      <c r="AU7">
        <f>INDEX(TekTil,AU3)</f>
        <v/>
      </c>
      <c r="AV7">
        <f>INDEX(TekTil,AV3)</f>
        <v/>
      </c>
      <c r="AW7">
        <f>INDEX(TekTil,AW3)</f>
        <v/>
      </c>
      <c r="AX7">
        <f>INDEX(TekTil,AX3)</f>
        <v/>
      </c>
      <c r="AY7">
        <f>INDEX(TekTil,AY3)</f>
        <v/>
      </c>
      <c r="AZ7">
        <f>INDEX(TekTil,AZ3)</f>
        <v/>
      </c>
      <c r="BA7">
        <f>INDEX(TekTil,BA3)</f>
        <v/>
      </c>
      <c r="BB7">
        <f>INDEX(TekTil,BB3)</f>
        <v/>
      </c>
      <c r="BC7">
        <f>INDEX(TekTil,BC3)</f>
        <v/>
      </c>
      <c r="BD7">
        <f>INDEX(TekTil,BD3)</f>
        <v/>
      </c>
      <c r="BE7">
        <f>INDEX(TekTil,BE3)</f>
        <v/>
      </c>
      <c r="BF7">
        <f>INDEX(TekTil,BF3)</f>
        <v/>
      </c>
      <c r="BG7">
        <f>INDEX(TekTil,BG3)</f>
        <v/>
      </c>
      <c r="BH7">
        <f>INDEX(TekTil,BH3)</f>
        <v/>
      </c>
      <c r="BI7">
        <f>INDEX(TekTil,BI3)</f>
        <v/>
      </c>
    </row>
    <row r="8">
      <c r="A8" s="43" t="inlineStr">
        <is>
          <t>Dato</t>
        </is>
      </c>
      <c r="B8" s="33" t="inlineStr">
        <is>
          <t>Fase S1</t>
        </is>
      </c>
      <c r="C8" s="33" t="inlineStr">
        <is>
          <t>Fase S2</t>
        </is>
      </c>
      <c r="D8" s="33" t="inlineStr">
        <is>
          <t>Fase S3</t>
        </is>
      </c>
      <c r="E8" s="33" t="inlineStr">
        <is>
          <t>Timer S1</t>
        </is>
      </c>
      <c r="F8" s="33" t="inlineStr">
        <is>
          <t>Timer S2</t>
        </is>
      </c>
      <c r="G8" s="33" t="inlineStr">
        <is>
          <t>Timer S3</t>
        </is>
      </c>
    </row>
    <row r="9">
      <c r="A9" s="64">
        <f>AutoFra</f>
        <v/>
      </c>
      <c r="B9">
        <f>IF(MOD($A9-INDEX(SkiftStart,1),Syklus)&lt;DagK,"K",IF(MOD($A9-INDEX(SkiftStart,1),Syklus)&lt;DagK+DagH,"H",IF(MOD($A9-INDEX(SkiftStart,1),Syklus)&lt;DagK+DagH+DagD,"D","F")))</f>
        <v/>
      </c>
      <c r="C9">
        <f>IF(MOD($A9-INDEX(SkiftStart,2),Syklus)&lt;DagK,"K",IF(MOD($A9-INDEX(SkiftStart,2),Syklus)&lt;DagK+DagH,"H",IF(MOD($A9-INDEX(SkiftStart,2),Syklus)&lt;DagK+DagH+DagD,"D","F")))</f>
        <v/>
      </c>
      <c r="D9">
        <f>IF(MOD($A9-INDEX(SkiftStart,3),Syklus)&lt;DagK,"K",IF(MOD($A9-INDEX(SkiftStart,3),Syklus)&lt;DagK+DagH,"H",IF(MOD($A9-INDEX(SkiftStart,3),Syklus)&lt;DagK+DagH+DagD,"D","F")))</f>
        <v/>
      </c>
      <c r="E9">
        <f>IF(B9="F",0,IF(WEEKDAY($A9,2)=5,INDEX(TimerFr,MATCH(B9,FaseKode,0)),INDEX(TimerMT,MATCH(B9,FaseKode,0))))</f>
        <v/>
      </c>
      <c r="F9">
        <f>IF(C9="F",0,IF(WEEKDAY($A9,2)=5,INDEX(TimerFr,MATCH(C9,FaseKode,0)),INDEX(TimerMT,MATCH(C9,FaseKode,0))))</f>
        <v/>
      </c>
      <c r="G9">
        <f>IF(D9="F",0,IF(WEEKDAY($A9,2)=5,INDEX(TimerFr,MATCH(D9,FaseKode,0)),INDEX(TimerMT,MATCH(D9,FaseKode,0))))</f>
        <v/>
      </c>
      <c r="H9">
        <f>IF(OR(H$4="",$A9&gt;TODAY()),0,IF(OR(INDEX($B9:$D9,H$5)="F",AND(H$6&gt;0,$A9&lt;H$6),AND(H$7&gt;0,$A9&gt;H$7)),0,MAX(0,ROUND((INDEX($E9:$G9,H$5)-SUMIFS(TF_Timer,TF_Tekniker,H$4,TF_Dato,$A9))*2,0)/2)))</f>
        <v/>
      </c>
      <c r="I9">
        <f>IF(OR(I$4="",$A9&gt;TODAY()),0,IF(OR(INDEX($B9:$D9,I$5)="F",AND(I$6&gt;0,$A9&lt;I$6),AND(I$7&gt;0,$A9&gt;I$7)),0,MAX(0,ROUND((INDEX($E9:$G9,I$5)-SUMIFS(TF_Timer,TF_Tekniker,I$4,TF_Dato,$A9))*2,0)/2)))</f>
        <v/>
      </c>
      <c r="J9">
        <f>IF(OR(J$4="",$A9&gt;TODAY()),0,IF(OR(INDEX($B9:$D9,J$5)="F",AND(J$6&gt;0,$A9&lt;J$6),AND(J$7&gt;0,$A9&gt;J$7)),0,MAX(0,ROUND((INDEX($E9:$G9,J$5)-SUMIFS(TF_Timer,TF_Tekniker,J$4,TF_Dato,$A9))*2,0)/2)))</f>
        <v/>
      </c>
      <c r="K9">
        <f>IF(OR(K$4="",$A9&gt;TODAY()),0,IF(OR(INDEX($B9:$D9,K$5)="F",AND(K$6&gt;0,$A9&lt;K$6),AND(K$7&gt;0,$A9&gt;K$7)),0,MAX(0,ROUND((INDEX($E9:$G9,K$5)-SUMIFS(TF_Timer,TF_Tekniker,K$4,TF_Dato,$A9))*2,0)/2)))</f>
        <v/>
      </c>
      <c r="L9">
        <f>IF(OR(L$4="",$A9&gt;TODAY()),0,IF(OR(INDEX($B9:$D9,L$5)="F",AND(L$6&gt;0,$A9&lt;L$6),AND(L$7&gt;0,$A9&gt;L$7)),0,MAX(0,ROUND((INDEX($E9:$G9,L$5)-SUMIFS(TF_Timer,TF_Tekniker,L$4,TF_Dato,$A9))*2,0)/2)))</f>
        <v/>
      </c>
      <c r="M9">
        <f>IF(OR(M$4="",$A9&gt;TODAY()),0,IF(OR(INDEX($B9:$D9,M$5)="F",AND(M$6&gt;0,$A9&lt;M$6),AND(M$7&gt;0,$A9&gt;M$7)),0,MAX(0,ROUND((INDEX($E9:$G9,M$5)-SUMIFS(TF_Timer,TF_Tekniker,M$4,TF_Dato,$A9))*2,0)/2)))</f>
        <v/>
      </c>
      <c r="N9">
        <f>IF(OR(N$4="",$A9&gt;TODAY()),0,IF(OR(INDEX($B9:$D9,N$5)="F",AND(N$6&gt;0,$A9&lt;N$6),AND(N$7&gt;0,$A9&gt;N$7)),0,MAX(0,ROUND((INDEX($E9:$G9,N$5)-SUMIFS(TF_Timer,TF_Tekniker,N$4,TF_Dato,$A9))*2,0)/2)))</f>
        <v/>
      </c>
      <c r="O9">
        <f>IF(OR(O$4="",$A9&gt;TODAY()),0,IF(OR(INDEX($B9:$D9,O$5)="F",AND(O$6&gt;0,$A9&lt;O$6),AND(O$7&gt;0,$A9&gt;O$7)),0,MAX(0,ROUND((INDEX($E9:$G9,O$5)-SUMIFS(TF_Timer,TF_Tekniker,O$4,TF_Dato,$A9))*2,0)/2)))</f>
        <v/>
      </c>
      <c r="P9">
        <f>IF(OR(P$4="",$A9&gt;TODAY()),0,IF(OR(INDEX($B9:$D9,P$5)="F",AND(P$6&gt;0,$A9&lt;P$6),AND(P$7&gt;0,$A9&gt;P$7)),0,MAX(0,ROUND((INDEX($E9:$G9,P$5)-SUMIFS(TF_Timer,TF_Tekniker,P$4,TF_Dato,$A9))*2,0)/2)))</f>
        <v/>
      </c>
      <c r="Q9">
        <f>IF(OR(Q$4="",$A9&gt;TODAY()),0,IF(OR(INDEX($B9:$D9,Q$5)="F",AND(Q$6&gt;0,$A9&lt;Q$6),AND(Q$7&gt;0,$A9&gt;Q$7)),0,MAX(0,ROUND((INDEX($E9:$G9,Q$5)-SUMIFS(TF_Timer,TF_Tekniker,Q$4,TF_Dato,$A9))*2,0)/2)))</f>
        <v/>
      </c>
      <c r="R9">
        <f>IF(OR(R$4="",$A9&gt;TODAY()),0,IF(OR(INDEX($B9:$D9,R$5)="F",AND(R$6&gt;0,$A9&lt;R$6),AND(R$7&gt;0,$A9&gt;R$7)),0,MAX(0,ROUND((INDEX($E9:$G9,R$5)-SUMIFS(TF_Timer,TF_Tekniker,R$4,TF_Dato,$A9))*2,0)/2)))</f>
        <v/>
      </c>
      <c r="S9">
        <f>IF(OR(S$4="",$A9&gt;TODAY()),0,IF(OR(INDEX($B9:$D9,S$5)="F",AND(S$6&gt;0,$A9&lt;S$6),AND(S$7&gt;0,$A9&gt;S$7)),0,MAX(0,ROUND((INDEX($E9:$G9,S$5)-SUMIFS(TF_Timer,TF_Tekniker,S$4,TF_Dato,$A9))*2,0)/2)))</f>
        <v/>
      </c>
      <c r="T9">
        <f>IF(OR(T$4="",$A9&gt;TODAY()),0,IF(OR(INDEX($B9:$D9,T$5)="F",AND(T$6&gt;0,$A9&lt;T$6),AND(T$7&gt;0,$A9&gt;T$7)),0,MAX(0,ROUND((INDEX($E9:$G9,T$5)-SUMIFS(TF_Timer,TF_Tekniker,T$4,TF_Dato,$A9))*2,0)/2)))</f>
        <v/>
      </c>
      <c r="U9">
        <f>IF(OR(U$4="",$A9&gt;TODAY()),0,IF(OR(INDEX($B9:$D9,U$5)="F",AND(U$6&gt;0,$A9&lt;U$6),AND(U$7&gt;0,$A9&gt;U$7)),0,MAX(0,ROUND((INDEX($E9:$G9,U$5)-SUMIFS(TF_Timer,TF_Tekniker,U$4,TF_Dato,$A9))*2,0)/2)))</f>
        <v/>
      </c>
      <c r="V9">
        <f>IF(OR(V$4="",$A9&gt;TODAY()),0,IF(OR(INDEX($B9:$D9,V$5)="F",AND(V$6&gt;0,$A9&lt;V$6),AND(V$7&gt;0,$A9&gt;V$7)),0,MAX(0,ROUND((INDEX($E9:$G9,V$5)-SUMIFS(TF_Timer,TF_Tekniker,V$4,TF_Dato,$A9))*2,0)/2)))</f>
        <v/>
      </c>
      <c r="W9">
        <f>IF(OR(W$4="",$A9&gt;TODAY()),0,IF(OR(INDEX($B9:$D9,W$5)="F",AND(W$6&gt;0,$A9&lt;W$6),AND(W$7&gt;0,$A9&gt;W$7)),0,MAX(0,ROUND((INDEX($E9:$G9,W$5)-SUMIFS(TF_Timer,TF_Tekniker,W$4,TF_Dato,$A9))*2,0)/2)))</f>
        <v/>
      </c>
      <c r="X9">
        <f>IF(OR(X$4="",$A9&gt;TODAY()),0,IF(OR(INDEX($B9:$D9,X$5)="F",AND(X$6&gt;0,$A9&lt;X$6),AND(X$7&gt;0,$A9&gt;X$7)),0,MAX(0,ROUND((INDEX($E9:$G9,X$5)-SUMIFS(TF_Timer,TF_Tekniker,X$4,TF_Dato,$A9))*2,0)/2)))</f>
        <v/>
      </c>
      <c r="Y9">
        <f>IF(OR(Y$4="",$A9&gt;TODAY()),0,IF(OR(INDEX($B9:$D9,Y$5)="F",AND(Y$6&gt;0,$A9&lt;Y$6),AND(Y$7&gt;0,$A9&gt;Y$7)),0,MAX(0,ROUND((INDEX($E9:$G9,Y$5)-SUMIFS(TF_Timer,TF_Tekniker,Y$4,TF_Dato,$A9))*2,0)/2)))</f>
        <v/>
      </c>
      <c r="Z9">
        <f>IF(OR(Z$4="",$A9&gt;TODAY()),0,IF(OR(INDEX($B9:$D9,Z$5)="F",AND(Z$6&gt;0,$A9&lt;Z$6),AND(Z$7&gt;0,$A9&gt;Z$7)),0,MAX(0,ROUND((INDEX($E9:$G9,Z$5)-SUMIFS(TF_Timer,TF_Tekniker,Z$4,TF_Dato,$A9))*2,0)/2)))</f>
        <v/>
      </c>
      <c r="AA9">
        <f>IF(OR(AA$4="",$A9&gt;TODAY()),0,IF(OR(INDEX($B9:$D9,AA$5)="F",AND(AA$6&gt;0,$A9&lt;AA$6),AND(AA$7&gt;0,$A9&gt;AA$7)),0,MAX(0,ROUND((INDEX($E9:$G9,AA$5)-SUMIFS(TF_Timer,TF_Tekniker,AA$4,TF_Dato,$A9))*2,0)/2)))</f>
        <v/>
      </c>
      <c r="AB9">
        <f>IF(OR(AB$4="",$A9&gt;TODAY()),0,IF(OR(INDEX($B9:$D9,AB$5)="F",AND(AB$6&gt;0,$A9&lt;AB$6),AND(AB$7&gt;0,$A9&gt;AB$7)),0,MAX(0,ROUND((INDEX($E9:$G9,AB$5)-SUMIFS(TF_Timer,TF_Tekniker,AB$4,TF_Dato,$A9))*2,0)/2)))</f>
        <v/>
      </c>
      <c r="AC9">
        <f>IF(OR(AC$4="",$A9&gt;TODAY()),0,IF(OR(INDEX($B9:$D9,AC$5)="F",AND(AC$6&gt;0,$A9&lt;AC$6),AND(AC$7&gt;0,$A9&gt;AC$7)),0,MAX(0,ROUND((INDEX($E9:$G9,AC$5)-SUMIFS(TF_Timer,TF_Tekniker,AC$4,TF_Dato,$A9))*2,0)/2)))</f>
        <v/>
      </c>
      <c r="AD9">
        <f>IF(OR(AD$4="",$A9&gt;TODAY()),0,IF(OR(INDEX($B9:$D9,AD$5)="F",AND(AD$6&gt;0,$A9&lt;AD$6),AND(AD$7&gt;0,$A9&gt;AD$7)),0,MAX(0,ROUND((INDEX($E9:$G9,AD$5)-SUMIFS(TF_Timer,TF_Tekniker,AD$4,TF_Dato,$A9))*2,0)/2)))</f>
        <v/>
      </c>
      <c r="AE9">
        <f>IF(OR(AE$4="",$A9&gt;TODAY()),0,IF(OR(INDEX($B9:$D9,AE$5)="F",AND(AE$6&gt;0,$A9&lt;AE$6),AND(AE$7&gt;0,$A9&gt;AE$7)),0,MAX(0,ROUND((INDEX($E9:$G9,AE$5)-SUMIFS(TF_Timer,TF_Tekniker,AE$4,TF_Dato,$A9))*2,0)/2)))</f>
        <v/>
      </c>
      <c r="AF9">
        <f>IF(OR(AF$4="",$A9&gt;TODAY()),0,IF(OR(INDEX($B9:$D9,AF$5)="F",AND(AF$6&gt;0,$A9&lt;AF$6),AND(AF$7&gt;0,$A9&gt;AF$7)),0,MAX(0,ROUND((INDEX($E9:$G9,AF$5)-SUMIFS(TF_Timer,TF_Tekniker,AF$4,TF_Dato,$A9))*2,0)/2)))</f>
        <v/>
      </c>
      <c r="AG9">
        <f>IF(OR(AG$4="",$A9&gt;TODAY()),0,IF(OR(INDEX($B9:$D9,AG$5)="F",AND(AG$6&gt;0,$A9&lt;AG$6),AND(AG$7&gt;0,$A9&gt;AG$7)),0,MAX(0,ROUND((INDEX($E9:$G9,AG$5)-SUMIFS(TF_Timer,TF_Tekniker,AG$4,TF_Dato,$A9))*2,0)/2)))</f>
        <v/>
      </c>
      <c r="AH9">
        <f>IF(OR(AH$4="",$A9&gt;TODAY()),0,IF(OR(INDEX($B9:$D9,AH$5)="F",AND(AH$6&gt;0,$A9&lt;AH$6),AND(AH$7&gt;0,$A9&gt;AH$7)),0,MAX(0,ROUND((INDEX($E9:$G9,AH$5)-SUMIFS(TF_Timer,TF_Tekniker,AH$4,TF_Dato,$A9))*2,0)/2)))</f>
        <v/>
      </c>
      <c r="AI9">
        <f>IF(OR(AI$4="",$A9&gt;TODAY()),0,IF(OR(INDEX($B9:$D9,AI$5)="F",AND(AI$6&gt;0,$A9&lt;AI$6),AND(AI$7&gt;0,$A9&gt;AI$7)),0,MAX(0,ROUND((INDEX($E9:$G9,AI$5)-SUMIFS(TF_Timer,TF_Tekniker,AI$4,TF_Dato,$A9))*2,0)/2)))</f>
        <v/>
      </c>
      <c r="AJ9">
        <f>IF(OR(AJ$4="",$A9&gt;TODAY()),0,IF(OR(INDEX($B9:$D9,AJ$5)="F",AND(AJ$6&gt;0,$A9&lt;AJ$6),AND(AJ$7&gt;0,$A9&gt;AJ$7)),0,MAX(0,ROUND((INDEX($E9:$G9,AJ$5)-SUMIFS(TF_Timer,TF_Tekniker,AJ$4,TF_Dato,$A9))*2,0)/2)))</f>
        <v/>
      </c>
      <c r="AK9">
        <f>IF(OR(AK$4="",$A9&gt;TODAY()),0,IF(OR(INDEX($B9:$D9,AK$5)="F",AND(AK$6&gt;0,$A9&lt;AK$6),AND(AK$7&gt;0,$A9&gt;AK$7)),0,MAX(0,ROUND((INDEX($E9:$G9,AK$5)-SUMIFS(TF_Timer,TF_Tekniker,AK$4,TF_Dato,$A9))*2,0)/2)))</f>
        <v/>
      </c>
      <c r="AL9">
        <f>IF(OR(AL$4="",$A9&gt;TODAY()),0,IF(OR(INDEX($B9:$D9,AL$5)="F",AND(AL$6&gt;0,$A9&lt;AL$6),AND(AL$7&gt;0,$A9&gt;AL$7)),0,MAX(0,ROUND((INDEX($E9:$G9,AL$5)-SUMIFS(TF_Timer,TF_Tekniker,AL$4,TF_Dato,$A9))*2,0)/2)))</f>
        <v/>
      </c>
      <c r="AM9">
        <f>IF(OR(AM$4="",$A9&gt;TODAY()),0,IF(OR(INDEX($B9:$D9,AM$5)="F",AND(AM$6&gt;0,$A9&lt;AM$6),AND(AM$7&gt;0,$A9&gt;AM$7)),0,MAX(0,ROUND((INDEX($E9:$G9,AM$5)-SUMIFS(TF_Timer,TF_Tekniker,AM$4,TF_Dato,$A9))*2,0)/2)))</f>
        <v/>
      </c>
      <c r="AN9">
        <f>IF(OR(AN$4="",$A9&gt;TODAY()),0,IF(OR(INDEX($B9:$D9,AN$5)="F",AND(AN$6&gt;0,$A9&lt;AN$6),AND(AN$7&gt;0,$A9&gt;AN$7)),0,MAX(0,ROUND((INDEX($E9:$G9,AN$5)-SUMIFS(TF_Timer,TF_Tekniker,AN$4,TF_Dato,$A9))*2,0)/2)))</f>
        <v/>
      </c>
      <c r="AO9">
        <f>IF(OR(AO$4="",$A9&gt;TODAY()),0,IF(OR(INDEX($B9:$D9,AO$5)="F",AND(AO$6&gt;0,$A9&lt;AO$6),AND(AO$7&gt;0,$A9&gt;AO$7)),0,MAX(0,ROUND((INDEX($E9:$G9,AO$5)-SUMIFS(TF_Timer,TF_Tekniker,AO$4,TF_Dato,$A9))*2,0)/2)))</f>
        <v/>
      </c>
      <c r="AP9">
        <f>IF(OR(AP$4="",$A9&gt;TODAY()),0,IF(OR(INDEX($B9:$D9,AP$5)="F",AND(AP$6&gt;0,$A9&lt;AP$6),AND(AP$7&gt;0,$A9&gt;AP$7)),0,MAX(0,ROUND((INDEX($E9:$G9,AP$5)-SUMIFS(TF_Timer,TF_Tekniker,AP$4,TF_Dato,$A9))*2,0)/2)))</f>
        <v/>
      </c>
      <c r="AQ9">
        <f>IF(OR(AQ$4="",$A9&gt;TODAY()),0,IF(OR(INDEX($B9:$D9,AQ$5)="F",AND(AQ$6&gt;0,$A9&lt;AQ$6),AND(AQ$7&gt;0,$A9&gt;AQ$7)),0,MAX(0,ROUND((INDEX($E9:$G9,AQ$5)-SUMIFS(TF_Timer,TF_Tekniker,AQ$4,TF_Dato,$A9))*2,0)/2)))</f>
        <v/>
      </c>
      <c r="AR9">
        <f>IF(OR(AR$4="",$A9&gt;TODAY()),0,IF(OR(INDEX($B9:$D9,AR$5)="F",AND(AR$6&gt;0,$A9&lt;AR$6),AND(AR$7&gt;0,$A9&gt;AR$7)),0,MAX(0,ROUND((INDEX($E9:$G9,AR$5)-SUMIFS(TF_Timer,TF_Tekniker,AR$4,TF_Dato,$A9))*2,0)/2)))</f>
        <v/>
      </c>
      <c r="AS9">
        <f>IF(OR(AS$4="",$A9&gt;TODAY()),0,IF(OR(INDEX($B9:$D9,AS$5)="F",AND(AS$6&gt;0,$A9&lt;AS$6),AND(AS$7&gt;0,$A9&gt;AS$7)),0,MAX(0,ROUND((INDEX($E9:$G9,AS$5)-SUMIFS(TF_Timer,TF_Tekniker,AS$4,TF_Dato,$A9))*2,0)/2)))</f>
        <v/>
      </c>
      <c r="AT9">
        <f>IF(OR(AT$4="",$A9&gt;TODAY()),0,IF(OR(INDEX($B9:$D9,AT$5)="F",AND(AT$6&gt;0,$A9&lt;AT$6),AND(AT$7&gt;0,$A9&gt;AT$7)),0,MAX(0,ROUND((INDEX($E9:$G9,AT$5)-SUMIFS(TF_Timer,TF_Tekniker,AT$4,TF_Dato,$A9))*2,0)/2)))</f>
        <v/>
      </c>
      <c r="AU9">
        <f>IF(OR(AU$4="",$A9&gt;TODAY()),0,IF(OR(INDEX($B9:$D9,AU$5)="F",AND(AU$6&gt;0,$A9&lt;AU$6),AND(AU$7&gt;0,$A9&gt;AU$7)),0,MAX(0,ROUND((INDEX($E9:$G9,AU$5)-SUMIFS(TF_Timer,TF_Tekniker,AU$4,TF_Dato,$A9))*2,0)/2)))</f>
        <v/>
      </c>
      <c r="AV9">
        <f>IF(OR(AV$4="",$A9&gt;TODAY()),0,IF(OR(INDEX($B9:$D9,AV$5)="F",AND(AV$6&gt;0,$A9&lt;AV$6),AND(AV$7&gt;0,$A9&gt;AV$7)),0,MAX(0,ROUND((INDEX($E9:$G9,AV$5)-SUMIFS(TF_Timer,TF_Tekniker,AV$4,TF_Dato,$A9))*2,0)/2)))</f>
        <v/>
      </c>
      <c r="AW9">
        <f>IF(OR(AW$4="",$A9&gt;TODAY()),0,IF(OR(INDEX($B9:$D9,AW$5)="F",AND(AW$6&gt;0,$A9&lt;AW$6),AND(AW$7&gt;0,$A9&gt;AW$7)),0,MAX(0,ROUND((INDEX($E9:$G9,AW$5)-SUMIFS(TF_Timer,TF_Tekniker,AW$4,TF_Dato,$A9))*2,0)/2)))</f>
        <v/>
      </c>
      <c r="AX9">
        <f>IF(OR(AX$4="",$A9&gt;TODAY()),0,IF(OR(INDEX($B9:$D9,AX$5)="F",AND(AX$6&gt;0,$A9&lt;AX$6),AND(AX$7&gt;0,$A9&gt;AX$7)),0,MAX(0,ROUND((INDEX($E9:$G9,AX$5)-SUMIFS(TF_Timer,TF_Tekniker,AX$4,TF_Dato,$A9))*2,0)/2)))</f>
        <v/>
      </c>
      <c r="AY9">
        <f>IF(OR(AY$4="",$A9&gt;TODAY()),0,IF(OR(INDEX($B9:$D9,AY$5)="F",AND(AY$6&gt;0,$A9&lt;AY$6),AND(AY$7&gt;0,$A9&gt;AY$7)),0,MAX(0,ROUND((INDEX($E9:$G9,AY$5)-SUMIFS(TF_Timer,TF_Tekniker,AY$4,TF_Dato,$A9))*2,0)/2)))</f>
        <v/>
      </c>
      <c r="AZ9">
        <f>IF(OR(AZ$4="",$A9&gt;TODAY()),0,IF(OR(INDEX($B9:$D9,AZ$5)="F",AND(AZ$6&gt;0,$A9&lt;AZ$6),AND(AZ$7&gt;0,$A9&gt;AZ$7)),0,MAX(0,ROUND((INDEX($E9:$G9,AZ$5)-SUMIFS(TF_Timer,TF_Tekniker,AZ$4,TF_Dato,$A9))*2,0)/2)))</f>
        <v/>
      </c>
      <c r="BA9">
        <f>IF(OR(BA$4="",$A9&gt;TODAY()),0,IF(OR(INDEX($B9:$D9,BA$5)="F",AND(BA$6&gt;0,$A9&lt;BA$6),AND(BA$7&gt;0,$A9&gt;BA$7)),0,MAX(0,ROUND((INDEX($E9:$G9,BA$5)-SUMIFS(TF_Timer,TF_Tekniker,BA$4,TF_Dato,$A9))*2,0)/2)))</f>
        <v/>
      </c>
      <c r="BB9">
        <f>IF(OR(BB$4="",$A9&gt;TODAY()),0,IF(OR(INDEX($B9:$D9,BB$5)="F",AND(BB$6&gt;0,$A9&lt;BB$6),AND(BB$7&gt;0,$A9&gt;BB$7)),0,MAX(0,ROUND((INDEX($E9:$G9,BB$5)-SUMIFS(TF_Timer,TF_Tekniker,BB$4,TF_Dato,$A9))*2,0)/2)))</f>
        <v/>
      </c>
      <c r="BC9">
        <f>IF(OR(BC$4="",$A9&gt;TODAY()),0,IF(OR(INDEX($B9:$D9,BC$5)="F",AND(BC$6&gt;0,$A9&lt;BC$6),AND(BC$7&gt;0,$A9&gt;BC$7)),0,MAX(0,ROUND((INDEX($E9:$G9,BC$5)-SUMIFS(TF_Timer,TF_Tekniker,BC$4,TF_Dato,$A9))*2,0)/2)))</f>
        <v/>
      </c>
      <c r="BD9">
        <f>IF(OR(BD$4="",$A9&gt;TODAY()),0,IF(OR(INDEX($B9:$D9,BD$5)="F",AND(BD$6&gt;0,$A9&lt;BD$6),AND(BD$7&gt;0,$A9&gt;BD$7)),0,MAX(0,ROUND((INDEX($E9:$G9,BD$5)-SUMIFS(TF_Timer,TF_Tekniker,BD$4,TF_Dato,$A9))*2,0)/2)))</f>
        <v/>
      </c>
      <c r="BE9">
        <f>IF(OR(BE$4="",$A9&gt;TODAY()),0,IF(OR(INDEX($B9:$D9,BE$5)="F",AND(BE$6&gt;0,$A9&lt;BE$6),AND(BE$7&gt;0,$A9&gt;BE$7)),0,MAX(0,ROUND((INDEX($E9:$G9,BE$5)-SUMIFS(TF_Timer,TF_Tekniker,BE$4,TF_Dato,$A9))*2,0)/2)))</f>
        <v/>
      </c>
      <c r="BF9">
        <f>IF(OR(BF$4="",$A9&gt;TODAY()),0,IF(OR(INDEX($B9:$D9,BF$5)="F",AND(BF$6&gt;0,$A9&lt;BF$6),AND(BF$7&gt;0,$A9&gt;BF$7)),0,MAX(0,ROUND((INDEX($E9:$G9,BF$5)-SUMIFS(TF_Timer,TF_Tekniker,BF$4,TF_Dato,$A9))*2,0)/2)))</f>
        <v/>
      </c>
      <c r="BG9">
        <f>IF(OR(BG$4="",$A9&gt;TODAY()),0,IF(OR(INDEX($B9:$D9,BG$5)="F",AND(BG$6&gt;0,$A9&lt;BG$6),AND(BG$7&gt;0,$A9&gt;BG$7)),0,MAX(0,ROUND((INDEX($E9:$G9,BG$5)-SUMIFS(TF_Timer,TF_Tekniker,BG$4,TF_Dato,$A9))*2,0)/2)))</f>
        <v/>
      </c>
      <c r="BH9">
        <f>IF(OR(BH$4="",$A9&gt;TODAY()),0,IF(OR(INDEX($B9:$D9,BH$5)="F",AND(BH$6&gt;0,$A9&lt;BH$6),AND(BH$7&gt;0,$A9&gt;BH$7)),0,MAX(0,ROUND((INDEX($E9:$G9,BH$5)-SUMIFS(TF_Timer,TF_Tekniker,BH$4,TF_Dato,$A9))*2,0)/2)))</f>
        <v/>
      </c>
      <c r="BI9">
        <f>IF(OR(BI$4="",$A9&gt;TODAY()),0,IF(OR(INDEX($B9:$D9,BI$5)="F",AND(BI$6&gt;0,$A9&lt;BI$6),AND(BI$7&gt;0,$A9&gt;BI$7)),0,MAX(0,ROUND((INDEX($E9:$G9,BI$5)-SUMIFS(TF_Timer,TF_Tekniker,BI$4,TF_Dato,$A9))*2,0)/2)))</f>
        <v/>
      </c>
    </row>
    <row r="10">
      <c r="A10" s="64">
        <f>A9+1</f>
        <v/>
      </c>
      <c r="B10">
        <f>IF(MOD($A10-INDEX(SkiftStart,1),Syklus)&lt;DagK,"K",IF(MOD($A10-INDEX(SkiftStart,1),Syklus)&lt;DagK+DagH,"H",IF(MOD($A10-INDEX(SkiftStart,1),Syklus)&lt;DagK+DagH+DagD,"D","F")))</f>
        <v/>
      </c>
      <c r="C10">
        <f>IF(MOD($A10-INDEX(SkiftStart,2),Syklus)&lt;DagK,"K",IF(MOD($A10-INDEX(SkiftStart,2),Syklus)&lt;DagK+DagH,"H",IF(MOD($A10-INDEX(SkiftStart,2),Syklus)&lt;DagK+DagH+DagD,"D","F")))</f>
        <v/>
      </c>
      <c r="D10">
        <f>IF(MOD($A10-INDEX(SkiftStart,3),Syklus)&lt;DagK,"K",IF(MOD($A10-INDEX(SkiftStart,3),Syklus)&lt;DagK+DagH,"H",IF(MOD($A10-INDEX(SkiftStart,3),Syklus)&lt;DagK+DagH+DagD,"D","F")))</f>
        <v/>
      </c>
      <c r="E10">
        <f>IF(B10="F",0,IF(WEEKDAY($A10,2)=5,INDEX(TimerFr,MATCH(B10,FaseKode,0)),INDEX(TimerMT,MATCH(B10,FaseKode,0))))</f>
        <v/>
      </c>
      <c r="F10">
        <f>IF(C10="F",0,IF(WEEKDAY($A10,2)=5,INDEX(TimerFr,MATCH(C10,FaseKode,0)),INDEX(TimerMT,MATCH(C10,FaseKode,0))))</f>
        <v/>
      </c>
      <c r="G10">
        <f>IF(D10="F",0,IF(WEEKDAY($A10,2)=5,INDEX(TimerFr,MATCH(D10,FaseKode,0)),INDEX(TimerMT,MATCH(D10,FaseKode,0))))</f>
        <v/>
      </c>
      <c r="H10">
        <f>IF(OR(H$4="",$A10&gt;TODAY()),0,IF(OR(INDEX($B10:$D10,H$5)="F",AND(H$6&gt;0,$A10&lt;H$6),AND(H$7&gt;0,$A10&gt;H$7)),0,MAX(0,ROUND((INDEX($E10:$G10,H$5)-SUMIFS(TF_Timer,TF_Tekniker,H$4,TF_Dato,$A10))*2,0)/2)))</f>
        <v/>
      </c>
      <c r="I10">
        <f>IF(OR(I$4="",$A10&gt;TODAY()),0,IF(OR(INDEX($B10:$D10,I$5)="F",AND(I$6&gt;0,$A10&lt;I$6),AND(I$7&gt;0,$A10&gt;I$7)),0,MAX(0,ROUND((INDEX($E10:$G10,I$5)-SUMIFS(TF_Timer,TF_Tekniker,I$4,TF_Dato,$A10))*2,0)/2)))</f>
        <v/>
      </c>
      <c r="J10">
        <f>IF(OR(J$4="",$A10&gt;TODAY()),0,IF(OR(INDEX($B10:$D10,J$5)="F",AND(J$6&gt;0,$A10&lt;J$6),AND(J$7&gt;0,$A10&gt;J$7)),0,MAX(0,ROUND((INDEX($E10:$G10,J$5)-SUMIFS(TF_Timer,TF_Tekniker,J$4,TF_Dato,$A10))*2,0)/2)))</f>
        <v/>
      </c>
      <c r="K10">
        <f>IF(OR(K$4="",$A10&gt;TODAY()),0,IF(OR(INDEX($B10:$D10,K$5)="F",AND(K$6&gt;0,$A10&lt;K$6),AND(K$7&gt;0,$A10&gt;K$7)),0,MAX(0,ROUND((INDEX($E10:$G10,K$5)-SUMIFS(TF_Timer,TF_Tekniker,K$4,TF_Dato,$A10))*2,0)/2)))</f>
        <v/>
      </c>
      <c r="L10">
        <f>IF(OR(L$4="",$A10&gt;TODAY()),0,IF(OR(INDEX($B10:$D10,L$5)="F",AND(L$6&gt;0,$A10&lt;L$6),AND(L$7&gt;0,$A10&gt;L$7)),0,MAX(0,ROUND((INDEX($E10:$G10,L$5)-SUMIFS(TF_Timer,TF_Tekniker,L$4,TF_Dato,$A10))*2,0)/2)))</f>
        <v/>
      </c>
      <c r="M10">
        <f>IF(OR(M$4="",$A10&gt;TODAY()),0,IF(OR(INDEX($B10:$D10,M$5)="F",AND(M$6&gt;0,$A10&lt;M$6),AND(M$7&gt;0,$A10&gt;M$7)),0,MAX(0,ROUND((INDEX($E10:$G10,M$5)-SUMIFS(TF_Timer,TF_Tekniker,M$4,TF_Dato,$A10))*2,0)/2)))</f>
        <v/>
      </c>
      <c r="N10">
        <f>IF(OR(N$4="",$A10&gt;TODAY()),0,IF(OR(INDEX($B10:$D10,N$5)="F",AND(N$6&gt;0,$A10&lt;N$6),AND(N$7&gt;0,$A10&gt;N$7)),0,MAX(0,ROUND((INDEX($E10:$G10,N$5)-SUMIFS(TF_Timer,TF_Tekniker,N$4,TF_Dato,$A10))*2,0)/2)))</f>
        <v/>
      </c>
      <c r="O10">
        <f>IF(OR(O$4="",$A10&gt;TODAY()),0,IF(OR(INDEX($B10:$D10,O$5)="F",AND(O$6&gt;0,$A10&lt;O$6),AND(O$7&gt;0,$A10&gt;O$7)),0,MAX(0,ROUND((INDEX($E10:$G10,O$5)-SUMIFS(TF_Timer,TF_Tekniker,O$4,TF_Dato,$A10))*2,0)/2)))</f>
        <v/>
      </c>
      <c r="P10">
        <f>IF(OR(P$4="",$A10&gt;TODAY()),0,IF(OR(INDEX($B10:$D10,P$5)="F",AND(P$6&gt;0,$A10&lt;P$6),AND(P$7&gt;0,$A10&gt;P$7)),0,MAX(0,ROUND((INDEX($E10:$G10,P$5)-SUMIFS(TF_Timer,TF_Tekniker,P$4,TF_Dato,$A10))*2,0)/2)))</f>
        <v/>
      </c>
      <c r="Q10">
        <f>IF(OR(Q$4="",$A10&gt;TODAY()),0,IF(OR(INDEX($B10:$D10,Q$5)="F",AND(Q$6&gt;0,$A10&lt;Q$6),AND(Q$7&gt;0,$A10&gt;Q$7)),0,MAX(0,ROUND((INDEX($E10:$G10,Q$5)-SUMIFS(TF_Timer,TF_Tekniker,Q$4,TF_Dato,$A10))*2,0)/2)))</f>
        <v/>
      </c>
      <c r="R10">
        <f>IF(OR(R$4="",$A10&gt;TODAY()),0,IF(OR(INDEX($B10:$D10,R$5)="F",AND(R$6&gt;0,$A10&lt;R$6),AND(R$7&gt;0,$A10&gt;R$7)),0,MAX(0,ROUND((INDEX($E10:$G10,R$5)-SUMIFS(TF_Timer,TF_Tekniker,R$4,TF_Dato,$A10))*2,0)/2)))</f>
        <v/>
      </c>
      <c r="S10">
        <f>IF(OR(S$4="",$A10&gt;TODAY()),0,IF(OR(INDEX($B10:$D10,S$5)="F",AND(S$6&gt;0,$A10&lt;S$6),AND(S$7&gt;0,$A10&gt;S$7)),0,MAX(0,ROUND((INDEX($E10:$G10,S$5)-SUMIFS(TF_Timer,TF_Tekniker,S$4,TF_Dato,$A10))*2,0)/2)))</f>
        <v/>
      </c>
      <c r="T10">
        <f>IF(OR(T$4="",$A10&gt;TODAY()),0,IF(OR(INDEX($B10:$D10,T$5)="F",AND(T$6&gt;0,$A10&lt;T$6),AND(T$7&gt;0,$A10&gt;T$7)),0,MAX(0,ROUND((INDEX($E10:$G10,T$5)-SUMIFS(TF_Timer,TF_Tekniker,T$4,TF_Dato,$A10))*2,0)/2)))</f>
        <v/>
      </c>
      <c r="U10">
        <f>IF(OR(U$4="",$A10&gt;TODAY()),0,IF(OR(INDEX($B10:$D10,U$5)="F",AND(U$6&gt;0,$A10&lt;U$6),AND(U$7&gt;0,$A10&gt;U$7)),0,MAX(0,ROUND((INDEX($E10:$G10,U$5)-SUMIFS(TF_Timer,TF_Tekniker,U$4,TF_Dato,$A10))*2,0)/2)))</f>
        <v/>
      </c>
      <c r="V10">
        <f>IF(OR(V$4="",$A10&gt;TODAY()),0,IF(OR(INDEX($B10:$D10,V$5)="F",AND(V$6&gt;0,$A10&lt;V$6),AND(V$7&gt;0,$A10&gt;V$7)),0,MAX(0,ROUND((INDEX($E10:$G10,V$5)-SUMIFS(TF_Timer,TF_Tekniker,V$4,TF_Dato,$A10))*2,0)/2)))</f>
        <v/>
      </c>
      <c r="W10">
        <f>IF(OR(W$4="",$A10&gt;TODAY()),0,IF(OR(INDEX($B10:$D10,W$5)="F",AND(W$6&gt;0,$A10&lt;W$6),AND(W$7&gt;0,$A10&gt;W$7)),0,MAX(0,ROUND((INDEX($E10:$G10,W$5)-SUMIFS(TF_Timer,TF_Tekniker,W$4,TF_Dato,$A10))*2,0)/2)))</f>
        <v/>
      </c>
      <c r="X10">
        <f>IF(OR(X$4="",$A10&gt;TODAY()),0,IF(OR(INDEX($B10:$D10,X$5)="F",AND(X$6&gt;0,$A10&lt;X$6),AND(X$7&gt;0,$A10&gt;X$7)),0,MAX(0,ROUND((INDEX($E10:$G10,X$5)-SUMIFS(TF_Timer,TF_Tekniker,X$4,TF_Dato,$A10))*2,0)/2)))</f>
        <v/>
      </c>
      <c r="Y10">
        <f>IF(OR(Y$4="",$A10&gt;TODAY()),0,IF(OR(INDEX($B10:$D10,Y$5)="F",AND(Y$6&gt;0,$A10&lt;Y$6),AND(Y$7&gt;0,$A10&gt;Y$7)),0,MAX(0,ROUND((INDEX($E10:$G10,Y$5)-SUMIFS(TF_Timer,TF_Tekniker,Y$4,TF_Dato,$A10))*2,0)/2)))</f>
        <v/>
      </c>
      <c r="Z10">
        <f>IF(OR(Z$4="",$A10&gt;TODAY()),0,IF(OR(INDEX($B10:$D10,Z$5)="F",AND(Z$6&gt;0,$A10&lt;Z$6),AND(Z$7&gt;0,$A10&gt;Z$7)),0,MAX(0,ROUND((INDEX($E10:$G10,Z$5)-SUMIFS(TF_Timer,TF_Tekniker,Z$4,TF_Dato,$A10))*2,0)/2)))</f>
        <v/>
      </c>
      <c r="AA10">
        <f>IF(OR(AA$4="",$A10&gt;TODAY()),0,IF(OR(INDEX($B10:$D10,AA$5)="F",AND(AA$6&gt;0,$A10&lt;AA$6),AND(AA$7&gt;0,$A10&gt;AA$7)),0,MAX(0,ROUND((INDEX($E10:$G10,AA$5)-SUMIFS(TF_Timer,TF_Tekniker,AA$4,TF_Dato,$A10))*2,0)/2)))</f>
        <v/>
      </c>
      <c r="AB10">
        <f>IF(OR(AB$4="",$A10&gt;TODAY()),0,IF(OR(INDEX($B10:$D10,AB$5)="F",AND(AB$6&gt;0,$A10&lt;AB$6),AND(AB$7&gt;0,$A10&gt;AB$7)),0,MAX(0,ROUND((INDEX($E10:$G10,AB$5)-SUMIFS(TF_Timer,TF_Tekniker,AB$4,TF_Dato,$A10))*2,0)/2)))</f>
        <v/>
      </c>
      <c r="AC10">
        <f>IF(OR(AC$4="",$A10&gt;TODAY()),0,IF(OR(INDEX($B10:$D10,AC$5)="F",AND(AC$6&gt;0,$A10&lt;AC$6),AND(AC$7&gt;0,$A10&gt;AC$7)),0,MAX(0,ROUND((INDEX($E10:$G10,AC$5)-SUMIFS(TF_Timer,TF_Tekniker,AC$4,TF_Dato,$A10))*2,0)/2)))</f>
        <v/>
      </c>
      <c r="AD10">
        <f>IF(OR(AD$4="",$A10&gt;TODAY()),0,IF(OR(INDEX($B10:$D10,AD$5)="F",AND(AD$6&gt;0,$A10&lt;AD$6),AND(AD$7&gt;0,$A10&gt;AD$7)),0,MAX(0,ROUND((INDEX($E10:$G10,AD$5)-SUMIFS(TF_Timer,TF_Tekniker,AD$4,TF_Dato,$A10))*2,0)/2)))</f>
        <v/>
      </c>
      <c r="AE10">
        <f>IF(OR(AE$4="",$A10&gt;TODAY()),0,IF(OR(INDEX($B10:$D10,AE$5)="F",AND(AE$6&gt;0,$A10&lt;AE$6),AND(AE$7&gt;0,$A10&gt;AE$7)),0,MAX(0,ROUND((INDEX($E10:$G10,AE$5)-SUMIFS(TF_Timer,TF_Tekniker,AE$4,TF_Dato,$A10))*2,0)/2)))</f>
        <v/>
      </c>
      <c r="AF10">
        <f>IF(OR(AF$4="",$A10&gt;TODAY()),0,IF(OR(INDEX($B10:$D10,AF$5)="F",AND(AF$6&gt;0,$A10&lt;AF$6),AND(AF$7&gt;0,$A10&gt;AF$7)),0,MAX(0,ROUND((INDEX($E10:$G10,AF$5)-SUMIFS(TF_Timer,TF_Tekniker,AF$4,TF_Dato,$A10))*2,0)/2)))</f>
        <v/>
      </c>
      <c r="AG10">
        <f>IF(OR(AG$4="",$A10&gt;TODAY()),0,IF(OR(INDEX($B10:$D10,AG$5)="F",AND(AG$6&gt;0,$A10&lt;AG$6),AND(AG$7&gt;0,$A10&gt;AG$7)),0,MAX(0,ROUND((INDEX($E10:$G10,AG$5)-SUMIFS(TF_Timer,TF_Tekniker,AG$4,TF_Dato,$A10))*2,0)/2)))</f>
        <v/>
      </c>
      <c r="AH10">
        <f>IF(OR(AH$4="",$A10&gt;TODAY()),0,IF(OR(INDEX($B10:$D10,AH$5)="F",AND(AH$6&gt;0,$A10&lt;AH$6),AND(AH$7&gt;0,$A10&gt;AH$7)),0,MAX(0,ROUND((INDEX($E10:$G10,AH$5)-SUMIFS(TF_Timer,TF_Tekniker,AH$4,TF_Dato,$A10))*2,0)/2)))</f>
        <v/>
      </c>
      <c r="AI10">
        <f>IF(OR(AI$4="",$A10&gt;TODAY()),0,IF(OR(INDEX($B10:$D10,AI$5)="F",AND(AI$6&gt;0,$A10&lt;AI$6),AND(AI$7&gt;0,$A10&gt;AI$7)),0,MAX(0,ROUND((INDEX($E10:$G10,AI$5)-SUMIFS(TF_Timer,TF_Tekniker,AI$4,TF_Dato,$A10))*2,0)/2)))</f>
        <v/>
      </c>
      <c r="AJ10">
        <f>IF(OR(AJ$4="",$A10&gt;TODAY()),0,IF(OR(INDEX($B10:$D10,AJ$5)="F",AND(AJ$6&gt;0,$A10&lt;AJ$6),AND(AJ$7&gt;0,$A10&gt;AJ$7)),0,MAX(0,ROUND((INDEX($E10:$G10,AJ$5)-SUMIFS(TF_Timer,TF_Tekniker,AJ$4,TF_Dato,$A10))*2,0)/2)))</f>
        <v/>
      </c>
      <c r="AK10">
        <f>IF(OR(AK$4="",$A10&gt;TODAY()),0,IF(OR(INDEX($B10:$D10,AK$5)="F",AND(AK$6&gt;0,$A10&lt;AK$6),AND(AK$7&gt;0,$A10&gt;AK$7)),0,MAX(0,ROUND((INDEX($E10:$G10,AK$5)-SUMIFS(TF_Timer,TF_Tekniker,AK$4,TF_Dato,$A10))*2,0)/2)))</f>
        <v/>
      </c>
      <c r="AL10">
        <f>IF(OR(AL$4="",$A10&gt;TODAY()),0,IF(OR(INDEX($B10:$D10,AL$5)="F",AND(AL$6&gt;0,$A10&lt;AL$6),AND(AL$7&gt;0,$A10&gt;AL$7)),0,MAX(0,ROUND((INDEX($E10:$G10,AL$5)-SUMIFS(TF_Timer,TF_Tekniker,AL$4,TF_Dato,$A10))*2,0)/2)))</f>
        <v/>
      </c>
      <c r="AM10">
        <f>IF(OR(AM$4="",$A10&gt;TODAY()),0,IF(OR(INDEX($B10:$D10,AM$5)="F",AND(AM$6&gt;0,$A10&lt;AM$6),AND(AM$7&gt;0,$A10&gt;AM$7)),0,MAX(0,ROUND((INDEX($E10:$G10,AM$5)-SUMIFS(TF_Timer,TF_Tekniker,AM$4,TF_Dato,$A10))*2,0)/2)))</f>
        <v/>
      </c>
      <c r="AN10">
        <f>IF(OR(AN$4="",$A10&gt;TODAY()),0,IF(OR(INDEX($B10:$D10,AN$5)="F",AND(AN$6&gt;0,$A10&lt;AN$6),AND(AN$7&gt;0,$A10&gt;AN$7)),0,MAX(0,ROUND((INDEX($E10:$G10,AN$5)-SUMIFS(TF_Timer,TF_Tekniker,AN$4,TF_Dato,$A10))*2,0)/2)))</f>
        <v/>
      </c>
      <c r="AO10">
        <f>IF(OR(AO$4="",$A10&gt;TODAY()),0,IF(OR(INDEX($B10:$D10,AO$5)="F",AND(AO$6&gt;0,$A10&lt;AO$6),AND(AO$7&gt;0,$A10&gt;AO$7)),0,MAX(0,ROUND((INDEX($E10:$G10,AO$5)-SUMIFS(TF_Timer,TF_Tekniker,AO$4,TF_Dato,$A10))*2,0)/2)))</f>
        <v/>
      </c>
      <c r="AP10">
        <f>IF(OR(AP$4="",$A10&gt;TODAY()),0,IF(OR(INDEX($B10:$D10,AP$5)="F",AND(AP$6&gt;0,$A10&lt;AP$6),AND(AP$7&gt;0,$A10&gt;AP$7)),0,MAX(0,ROUND((INDEX($E10:$G10,AP$5)-SUMIFS(TF_Timer,TF_Tekniker,AP$4,TF_Dato,$A10))*2,0)/2)))</f>
        <v/>
      </c>
      <c r="AQ10">
        <f>IF(OR(AQ$4="",$A10&gt;TODAY()),0,IF(OR(INDEX($B10:$D10,AQ$5)="F",AND(AQ$6&gt;0,$A10&lt;AQ$6),AND(AQ$7&gt;0,$A10&gt;AQ$7)),0,MAX(0,ROUND((INDEX($E10:$G10,AQ$5)-SUMIFS(TF_Timer,TF_Tekniker,AQ$4,TF_Dato,$A10))*2,0)/2)))</f>
        <v/>
      </c>
      <c r="AR10">
        <f>IF(OR(AR$4="",$A10&gt;TODAY()),0,IF(OR(INDEX($B10:$D10,AR$5)="F",AND(AR$6&gt;0,$A10&lt;AR$6),AND(AR$7&gt;0,$A10&gt;AR$7)),0,MAX(0,ROUND((INDEX($E10:$G10,AR$5)-SUMIFS(TF_Timer,TF_Tekniker,AR$4,TF_Dato,$A10))*2,0)/2)))</f>
        <v/>
      </c>
      <c r="AS10">
        <f>IF(OR(AS$4="",$A10&gt;TODAY()),0,IF(OR(INDEX($B10:$D10,AS$5)="F",AND(AS$6&gt;0,$A10&lt;AS$6),AND(AS$7&gt;0,$A10&gt;AS$7)),0,MAX(0,ROUND((INDEX($E10:$G10,AS$5)-SUMIFS(TF_Timer,TF_Tekniker,AS$4,TF_Dato,$A10))*2,0)/2)))</f>
        <v/>
      </c>
      <c r="AT10">
        <f>IF(OR(AT$4="",$A10&gt;TODAY()),0,IF(OR(INDEX($B10:$D10,AT$5)="F",AND(AT$6&gt;0,$A10&lt;AT$6),AND(AT$7&gt;0,$A10&gt;AT$7)),0,MAX(0,ROUND((INDEX($E10:$G10,AT$5)-SUMIFS(TF_Timer,TF_Tekniker,AT$4,TF_Dato,$A10))*2,0)/2)))</f>
        <v/>
      </c>
      <c r="AU10">
        <f>IF(OR(AU$4="",$A10&gt;TODAY()),0,IF(OR(INDEX($B10:$D10,AU$5)="F",AND(AU$6&gt;0,$A10&lt;AU$6),AND(AU$7&gt;0,$A10&gt;AU$7)),0,MAX(0,ROUND((INDEX($E10:$G10,AU$5)-SUMIFS(TF_Timer,TF_Tekniker,AU$4,TF_Dato,$A10))*2,0)/2)))</f>
        <v/>
      </c>
      <c r="AV10">
        <f>IF(OR(AV$4="",$A10&gt;TODAY()),0,IF(OR(INDEX($B10:$D10,AV$5)="F",AND(AV$6&gt;0,$A10&lt;AV$6),AND(AV$7&gt;0,$A10&gt;AV$7)),0,MAX(0,ROUND((INDEX($E10:$G10,AV$5)-SUMIFS(TF_Timer,TF_Tekniker,AV$4,TF_Dato,$A10))*2,0)/2)))</f>
        <v/>
      </c>
      <c r="AW10">
        <f>IF(OR(AW$4="",$A10&gt;TODAY()),0,IF(OR(INDEX($B10:$D10,AW$5)="F",AND(AW$6&gt;0,$A10&lt;AW$6),AND(AW$7&gt;0,$A10&gt;AW$7)),0,MAX(0,ROUND((INDEX($E10:$G10,AW$5)-SUMIFS(TF_Timer,TF_Tekniker,AW$4,TF_Dato,$A10))*2,0)/2)))</f>
        <v/>
      </c>
      <c r="AX10">
        <f>IF(OR(AX$4="",$A10&gt;TODAY()),0,IF(OR(INDEX($B10:$D10,AX$5)="F",AND(AX$6&gt;0,$A10&lt;AX$6),AND(AX$7&gt;0,$A10&gt;AX$7)),0,MAX(0,ROUND((INDEX($E10:$G10,AX$5)-SUMIFS(TF_Timer,TF_Tekniker,AX$4,TF_Dato,$A10))*2,0)/2)))</f>
        <v/>
      </c>
      <c r="AY10">
        <f>IF(OR(AY$4="",$A10&gt;TODAY()),0,IF(OR(INDEX($B10:$D10,AY$5)="F",AND(AY$6&gt;0,$A10&lt;AY$6),AND(AY$7&gt;0,$A10&gt;AY$7)),0,MAX(0,ROUND((INDEX($E10:$G10,AY$5)-SUMIFS(TF_Timer,TF_Tekniker,AY$4,TF_Dato,$A10))*2,0)/2)))</f>
        <v/>
      </c>
      <c r="AZ10">
        <f>IF(OR(AZ$4="",$A10&gt;TODAY()),0,IF(OR(INDEX($B10:$D10,AZ$5)="F",AND(AZ$6&gt;0,$A10&lt;AZ$6),AND(AZ$7&gt;0,$A10&gt;AZ$7)),0,MAX(0,ROUND((INDEX($E10:$G10,AZ$5)-SUMIFS(TF_Timer,TF_Tekniker,AZ$4,TF_Dato,$A10))*2,0)/2)))</f>
        <v/>
      </c>
      <c r="BA10">
        <f>IF(OR(BA$4="",$A10&gt;TODAY()),0,IF(OR(INDEX($B10:$D10,BA$5)="F",AND(BA$6&gt;0,$A10&lt;BA$6),AND(BA$7&gt;0,$A10&gt;BA$7)),0,MAX(0,ROUND((INDEX($E10:$G10,BA$5)-SUMIFS(TF_Timer,TF_Tekniker,BA$4,TF_Dato,$A10))*2,0)/2)))</f>
        <v/>
      </c>
      <c r="BB10">
        <f>IF(OR(BB$4="",$A10&gt;TODAY()),0,IF(OR(INDEX($B10:$D10,BB$5)="F",AND(BB$6&gt;0,$A10&lt;BB$6),AND(BB$7&gt;0,$A10&gt;BB$7)),0,MAX(0,ROUND((INDEX($E10:$G10,BB$5)-SUMIFS(TF_Timer,TF_Tekniker,BB$4,TF_Dato,$A10))*2,0)/2)))</f>
        <v/>
      </c>
      <c r="BC10">
        <f>IF(OR(BC$4="",$A10&gt;TODAY()),0,IF(OR(INDEX($B10:$D10,BC$5)="F",AND(BC$6&gt;0,$A10&lt;BC$6),AND(BC$7&gt;0,$A10&gt;BC$7)),0,MAX(0,ROUND((INDEX($E10:$G10,BC$5)-SUMIFS(TF_Timer,TF_Tekniker,BC$4,TF_Dato,$A10))*2,0)/2)))</f>
        <v/>
      </c>
      <c r="BD10">
        <f>IF(OR(BD$4="",$A10&gt;TODAY()),0,IF(OR(INDEX($B10:$D10,BD$5)="F",AND(BD$6&gt;0,$A10&lt;BD$6),AND(BD$7&gt;0,$A10&gt;BD$7)),0,MAX(0,ROUND((INDEX($E10:$G10,BD$5)-SUMIFS(TF_Timer,TF_Tekniker,BD$4,TF_Dato,$A10))*2,0)/2)))</f>
        <v/>
      </c>
      <c r="BE10">
        <f>IF(OR(BE$4="",$A10&gt;TODAY()),0,IF(OR(INDEX($B10:$D10,BE$5)="F",AND(BE$6&gt;0,$A10&lt;BE$6),AND(BE$7&gt;0,$A10&gt;BE$7)),0,MAX(0,ROUND((INDEX($E10:$G10,BE$5)-SUMIFS(TF_Timer,TF_Tekniker,BE$4,TF_Dato,$A10))*2,0)/2)))</f>
        <v/>
      </c>
      <c r="BF10">
        <f>IF(OR(BF$4="",$A10&gt;TODAY()),0,IF(OR(INDEX($B10:$D10,BF$5)="F",AND(BF$6&gt;0,$A10&lt;BF$6),AND(BF$7&gt;0,$A10&gt;BF$7)),0,MAX(0,ROUND((INDEX($E10:$G10,BF$5)-SUMIFS(TF_Timer,TF_Tekniker,BF$4,TF_Dato,$A10))*2,0)/2)))</f>
        <v/>
      </c>
      <c r="BG10">
        <f>IF(OR(BG$4="",$A10&gt;TODAY()),0,IF(OR(INDEX($B10:$D10,BG$5)="F",AND(BG$6&gt;0,$A10&lt;BG$6),AND(BG$7&gt;0,$A10&gt;BG$7)),0,MAX(0,ROUND((INDEX($E10:$G10,BG$5)-SUMIFS(TF_Timer,TF_Tekniker,BG$4,TF_Dato,$A10))*2,0)/2)))</f>
        <v/>
      </c>
      <c r="BH10">
        <f>IF(OR(BH$4="",$A10&gt;TODAY()),0,IF(OR(INDEX($B10:$D10,BH$5)="F",AND(BH$6&gt;0,$A10&lt;BH$6),AND(BH$7&gt;0,$A10&gt;BH$7)),0,MAX(0,ROUND((INDEX($E10:$G10,BH$5)-SUMIFS(TF_Timer,TF_Tekniker,BH$4,TF_Dato,$A10))*2,0)/2)))</f>
        <v/>
      </c>
      <c r="BI10">
        <f>IF(OR(BI$4="",$A10&gt;TODAY()),0,IF(OR(INDEX($B10:$D10,BI$5)="F",AND(BI$6&gt;0,$A10&lt;BI$6),AND(BI$7&gt;0,$A10&gt;BI$7)),0,MAX(0,ROUND((INDEX($E10:$G10,BI$5)-SUMIFS(TF_Timer,TF_Tekniker,BI$4,TF_Dato,$A10))*2,0)/2)))</f>
        <v/>
      </c>
    </row>
    <row r="11">
      <c r="A11" s="64">
        <f>A10+1</f>
        <v/>
      </c>
      <c r="B11">
        <f>IF(MOD($A11-INDEX(SkiftStart,1),Syklus)&lt;DagK,"K",IF(MOD($A11-INDEX(SkiftStart,1),Syklus)&lt;DagK+DagH,"H",IF(MOD($A11-INDEX(SkiftStart,1),Syklus)&lt;DagK+DagH+DagD,"D","F")))</f>
        <v/>
      </c>
      <c r="C11">
        <f>IF(MOD($A11-INDEX(SkiftStart,2),Syklus)&lt;DagK,"K",IF(MOD($A11-INDEX(SkiftStart,2),Syklus)&lt;DagK+DagH,"H",IF(MOD($A11-INDEX(SkiftStart,2),Syklus)&lt;DagK+DagH+DagD,"D","F")))</f>
        <v/>
      </c>
      <c r="D11">
        <f>IF(MOD($A11-INDEX(SkiftStart,3),Syklus)&lt;DagK,"K",IF(MOD($A11-INDEX(SkiftStart,3),Syklus)&lt;DagK+DagH,"H",IF(MOD($A11-INDEX(SkiftStart,3),Syklus)&lt;DagK+DagH+DagD,"D","F")))</f>
        <v/>
      </c>
      <c r="E11">
        <f>IF(B11="F",0,IF(WEEKDAY($A11,2)=5,INDEX(TimerFr,MATCH(B11,FaseKode,0)),INDEX(TimerMT,MATCH(B11,FaseKode,0))))</f>
        <v/>
      </c>
      <c r="F11">
        <f>IF(C11="F",0,IF(WEEKDAY($A11,2)=5,INDEX(TimerFr,MATCH(C11,FaseKode,0)),INDEX(TimerMT,MATCH(C11,FaseKode,0))))</f>
        <v/>
      </c>
      <c r="G11">
        <f>IF(D11="F",0,IF(WEEKDAY($A11,2)=5,INDEX(TimerFr,MATCH(D11,FaseKode,0)),INDEX(TimerMT,MATCH(D11,FaseKode,0))))</f>
        <v/>
      </c>
      <c r="H11">
        <f>IF(OR(H$4="",$A11&gt;TODAY()),0,IF(OR(INDEX($B11:$D11,H$5)="F",AND(H$6&gt;0,$A11&lt;H$6),AND(H$7&gt;0,$A11&gt;H$7)),0,MAX(0,ROUND((INDEX($E11:$G11,H$5)-SUMIFS(TF_Timer,TF_Tekniker,H$4,TF_Dato,$A11))*2,0)/2)))</f>
        <v/>
      </c>
      <c r="I11">
        <f>IF(OR(I$4="",$A11&gt;TODAY()),0,IF(OR(INDEX($B11:$D11,I$5)="F",AND(I$6&gt;0,$A11&lt;I$6),AND(I$7&gt;0,$A11&gt;I$7)),0,MAX(0,ROUND((INDEX($E11:$G11,I$5)-SUMIFS(TF_Timer,TF_Tekniker,I$4,TF_Dato,$A11))*2,0)/2)))</f>
        <v/>
      </c>
      <c r="J11">
        <f>IF(OR(J$4="",$A11&gt;TODAY()),0,IF(OR(INDEX($B11:$D11,J$5)="F",AND(J$6&gt;0,$A11&lt;J$6),AND(J$7&gt;0,$A11&gt;J$7)),0,MAX(0,ROUND((INDEX($E11:$G11,J$5)-SUMIFS(TF_Timer,TF_Tekniker,J$4,TF_Dato,$A11))*2,0)/2)))</f>
        <v/>
      </c>
      <c r="K11">
        <f>IF(OR(K$4="",$A11&gt;TODAY()),0,IF(OR(INDEX($B11:$D11,K$5)="F",AND(K$6&gt;0,$A11&lt;K$6),AND(K$7&gt;0,$A11&gt;K$7)),0,MAX(0,ROUND((INDEX($E11:$G11,K$5)-SUMIFS(TF_Timer,TF_Tekniker,K$4,TF_Dato,$A11))*2,0)/2)))</f>
        <v/>
      </c>
      <c r="L11">
        <f>IF(OR(L$4="",$A11&gt;TODAY()),0,IF(OR(INDEX($B11:$D11,L$5)="F",AND(L$6&gt;0,$A11&lt;L$6),AND(L$7&gt;0,$A11&gt;L$7)),0,MAX(0,ROUND((INDEX($E11:$G11,L$5)-SUMIFS(TF_Timer,TF_Tekniker,L$4,TF_Dato,$A11))*2,0)/2)))</f>
        <v/>
      </c>
      <c r="M11">
        <f>IF(OR(M$4="",$A11&gt;TODAY()),0,IF(OR(INDEX($B11:$D11,M$5)="F",AND(M$6&gt;0,$A11&lt;M$6),AND(M$7&gt;0,$A11&gt;M$7)),0,MAX(0,ROUND((INDEX($E11:$G11,M$5)-SUMIFS(TF_Timer,TF_Tekniker,M$4,TF_Dato,$A11))*2,0)/2)))</f>
        <v/>
      </c>
      <c r="N11">
        <f>IF(OR(N$4="",$A11&gt;TODAY()),0,IF(OR(INDEX($B11:$D11,N$5)="F",AND(N$6&gt;0,$A11&lt;N$6),AND(N$7&gt;0,$A11&gt;N$7)),0,MAX(0,ROUND((INDEX($E11:$G11,N$5)-SUMIFS(TF_Timer,TF_Tekniker,N$4,TF_Dato,$A11))*2,0)/2)))</f>
        <v/>
      </c>
      <c r="O11">
        <f>IF(OR(O$4="",$A11&gt;TODAY()),0,IF(OR(INDEX($B11:$D11,O$5)="F",AND(O$6&gt;0,$A11&lt;O$6),AND(O$7&gt;0,$A11&gt;O$7)),0,MAX(0,ROUND((INDEX($E11:$G11,O$5)-SUMIFS(TF_Timer,TF_Tekniker,O$4,TF_Dato,$A11))*2,0)/2)))</f>
        <v/>
      </c>
      <c r="P11">
        <f>IF(OR(P$4="",$A11&gt;TODAY()),0,IF(OR(INDEX($B11:$D11,P$5)="F",AND(P$6&gt;0,$A11&lt;P$6),AND(P$7&gt;0,$A11&gt;P$7)),0,MAX(0,ROUND((INDEX($E11:$G11,P$5)-SUMIFS(TF_Timer,TF_Tekniker,P$4,TF_Dato,$A11))*2,0)/2)))</f>
        <v/>
      </c>
      <c r="Q11">
        <f>IF(OR(Q$4="",$A11&gt;TODAY()),0,IF(OR(INDEX($B11:$D11,Q$5)="F",AND(Q$6&gt;0,$A11&lt;Q$6),AND(Q$7&gt;0,$A11&gt;Q$7)),0,MAX(0,ROUND((INDEX($E11:$G11,Q$5)-SUMIFS(TF_Timer,TF_Tekniker,Q$4,TF_Dato,$A11))*2,0)/2)))</f>
        <v/>
      </c>
      <c r="R11">
        <f>IF(OR(R$4="",$A11&gt;TODAY()),0,IF(OR(INDEX($B11:$D11,R$5)="F",AND(R$6&gt;0,$A11&lt;R$6),AND(R$7&gt;0,$A11&gt;R$7)),0,MAX(0,ROUND((INDEX($E11:$G11,R$5)-SUMIFS(TF_Timer,TF_Tekniker,R$4,TF_Dato,$A11))*2,0)/2)))</f>
        <v/>
      </c>
      <c r="S11">
        <f>IF(OR(S$4="",$A11&gt;TODAY()),0,IF(OR(INDEX($B11:$D11,S$5)="F",AND(S$6&gt;0,$A11&lt;S$6),AND(S$7&gt;0,$A11&gt;S$7)),0,MAX(0,ROUND((INDEX($E11:$G11,S$5)-SUMIFS(TF_Timer,TF_Tekniker,S$4,TF_Dato,$A11))*2,0)/2)))</f>
        <v/>
      </c>
      <c r="T11">
        <f>IF(OR(T$4="",$A11&gt;TODAY()),0,IF(OR(INDEX($B11:$D11,T$5)="F",AND(T$6&gt;0,$A11&lt;T$6),AND(T$7&gt;0,$A11&gt;T$7)),0,MAX(0,ROUND((INDEX($E11:$G11,T$5)-SUMIFS(TF_Timer,TF_Tekniker,T$4,TF_Dato,$A11))*2,0)/2)))</f>
        <v/>
      </c>
      <c r="U11">
        <f>IF(OR(U$4="",$A11&gt;TODAY()),0,IF(OR(INDEX($B11:$D11,U$5)="F",AND(U$6&gt;0,$A11&lt;U$6),AND(U$7&gt;0,$A11&gt;U$7)),0,MAX(0,ROUND((INDEX($E11:$G11,U$5)-SUMIFS(TF_Timer,TF_Tekniker,U$4,TF_Dato,$A11))*2,0)/2)))</f>
        <v/>
      </c>
      <c r="V11">
        <f>IF(OR(V$4="",$A11&gt;TODAY()),0,IF(OR(INDEX($B11:$D11,V$5)="F",AND(V$6&gt;0,$A11&lt;V$6),AND(V$7&gt;0,$A11&gt;V$7)),0,MAX(0,ROUND((INDEX($E11:$G11,V$5)-SUMIFS(TF_Timer,TF_Tekniker,V$4,TF_Dato,$A11))*2,0)/2)))</f>
        <v/>
      </c>
      <c r="W11">
        <f>IF(OR(W$4="",$A11&gt;TODAY()),0,IF(OR(INDEX($B11:$D11,W$5)="F",AND(W$6&gt;0,$A11&lt;W$6),AND(W$7&gt;0,$A11&gt;W$7)),0,MAX(0,ROUND((INDEX($E11:$G11,W$5)-SUMIFS(TF_Timer,TF_Tekniker,W$4,TF_Dato,$A11))*2,0)/2)))</f>
        <v/>
      </c>
      <c r="X11">
        <f>IF(OR(X$4="",$A11&gt;TODAY()),0,IF(OR(INDEX($B11:$D11,X$5)="F",AND(X$6&gt;0,$A11&lt;X$6),AND(X$7&gt;0,$A11&gt;X$7)),0,MAX(0,ROUND((INDEX($E11:$G11,X$5)-SUMIFS(TF_Timer,TF_Tekniker,X$4,TF_Dato,$A11))*2,0)/2)))</f>
        <v/>
      </c>
      <c r="Y11">
        <f>IF(OR(Y$4="",$A11&gt;TODAY()),0,IF(OR(INDEX($B11:$D11,Y$5)="F",AND(Y$6&gt;0,$A11&lt;Y$6),AND(Y$7&gt;0,$A11&gt;Y$7)),0,MAX(0,ROUND((INDEX($E11:$G11,Y$5)-SUMIFS(TF_Timer,TF_Tekniker,Y$4,TF_Dato,$A11))*2,0)/2)))</f>
        <v/>
      </c>
      <c r="Z11">
        <f>IF(OR(Z$4="",$A11&gt;TODAY()),0,IF(OR(INDEX($B11:$D11,Z$5)="F",AND(Z$6&gt;0,$A11&lt;Z$6),AND(Z$7&gt;0,$A11&gt;Z$7)),0,MAX(0,ROUND((INDEX($E11:$G11,Z$5)-SUMIFS(TF_Timer,TF_Tekniker,Z$4,TF_Dato,$A11))*2,0)/2)))</f>
        <v/>
      </c>
      <c r="AA11">
        <f>IF(OR(AA$4="",$A11&gt;TODAY()),0,IF(OR(INDEX($B11:$D11,AA$5)="F",AND(AA$6&gt;0,$A11&lt;AA$6),AND(AA$7&gt;0,$A11&gt;AA$7)),0,MAX(0,ROUND((INDEX($E11:$G11,AA$5)-SUMIFS(TF_Timer,TF_Tekniker,AA$4,TF_Dato,$A11))*2,0)/2)))</f>
        <v/>
      </c>
      <c r="AB11">
        <f>IF(OR(AB$4="",$A11&gt;TODAY()),0,IF(OR(INDEX($B11:$D11,AB$5)="F",AND(AB$6&gt;0,$A11&lt;AB$6),AND(AB$7&gt;0,$A11&gt;AB$7)),0,MAX(0,ROUND((INDEX($E11:$G11,AB$5)-SUMIFS(TF_Timer,TF_Tekniker,AB$4,TF_Dato,$A11))*2,0)/2)))</f>
        <v/>
      </c>
      <c r="AC11">
        <f>IF(OR(AC$4="",$A11&gt;TODAY()),0,IF(OR(INDEX($B11:$D11,AC$5)="F",AND(AC$6&gt;0,$A11&lt;AC$6),AND(AC$7&gt;0,$A11&gt;AC$7)),0,MAX(0,ROUND((INDEX($E11:$G11,AC$5)-SUMIFS(TF_Timer,TF_Tekniker,AC$4,TF_Dato,$A11))*2,0)/2)))</f>
        <v/>
      </c>
      <c r="AD11">
        <f>IF(OR(AD$4="",$A11&gt;TODAY()),0,IF(OR(INDEX($B11:$D11,AD$5)="F",AND(AD$6&gt;0,$A11&lt;AD$6),AND(AD$7&gt;0,$A11&gt;AD$7)),0,MAX(0,ROUND((INDEX($E11:$G11,AD$5)-SUMIFS(TF_Timer,TF_Tekniker,AD$4,TF_Dato,$A11))*2,0)/2)))</f>
        <v/>
      </c>
      <c r="AE11">
        <f>IF(OR(AE$4="",$A11&gt;TODAY()),0,IF(OR(INDEX($B11:$D11,AE$5)="F",AND(AE$6&gt;0,$A11&lt;AE$6),AND(AE$7&gt;0,$A11&gt;AE$7)),0,MAX(0,ROUND((INDEX($E11:$G11,AE$5)-SUMIFS(TF_Timer,TF_Tekniker,AE$4,TF_Dato,$A11))*2,0)/2)))</f>
        <v/>
      </c>
      <c r="AF11">
        <f>IF(OR(AF$4="",$A11&gt;TODAY()),0,IF(OR(INDEX($B11:$D11,AF$5)="F",AND(AF$6&gt;0,$A11&lt;AF$6),AND(AF$7&gt;0,$A11&gt;AF$7)),0,MAX(0,ROUND((INDEX($E11:$G11,AF$5)-SUMIFS(TF_Timer,TF_Tekniker,AF$4,TF_Dato,$A11))*2,0)/2)))</f>
        <v/>
      </c>
      <c r="AG11">
        <f>IF(OR(AG$4="",$A11&gt;TODAY()),0,IF(OR(INDEX($B11:$D11,AG$5)="F",AND(AG$6&gt;0,$A11&lt;AG$6),AND(AG$7&gt;0,$A11&gt;AG$7)),0,MAX(0,ROUND((INDEX($E11:$G11,AG$5)-SUMIFS(TF_Timer,TF_Tekniker,AG$4,TF_Dato,$A11))*2,0)/2)))</f>
        <v/>
      </c>
      <c r="AH11">
        <f>IF(OR(AH$4="",$A11&gt;TODAY()),0,IF(OR(INDEX($B11:$D11,AH$5)="F",AND(AH$6&gt;0,$A11&lt;AH$6),AND(AH$7&gt;0,$A11&gt;AH$7)),0,MAX(0,ROUND((INDEX($E11:$G11,AH$5)-SUMIFS(TF_Timer,TF_Tekniker,AH$4,TF_Dato,$A11))*2,0)/2)))</f>
        <v/>
      </c>
      <c r="AI11">
        <f>IF(OR(AI$4="",$A11&gt;TODAY()),0,IF(OR(INDEX($B11:$D11,AI$5)="F",AND(AI$6&gt;0,$A11&lt;AI$6),AND(AI$7&gt;0,$A11&gt;AI$7)),0,MAX(0,ROUND((INDEX($E11:$G11,AI$5)-SUMIFS(TF_Timer,TF_Tekniker,AI$4,TF_Dato,$A11))*2,0)/2)))</f>
        <v/>
      </c>
      <c r="AJ11">
        <f>IF(OR(AJ$4="",$A11&gt;TODAY()),0,IF(OR(INDEX($B11:$D11,AJ$5)="F",AND(AJ$6&gt;0,$A11&lt;AJ$6),AND(AJ$7&gt;0,$A11&gt;AJ$7)),0,MAX(0,ROUND((INDEX($E11:$G11,AJ$5)-SUMIFS(TF_Timer,TF_Tekniker,AJ$4,TF_Dato,$A11))*2,0)/2)))</f>
        <v/>
      </c>
      <c r="AK11">
        <f>IF(OR(AK$4="",$A11&gt;TODAY()),0,IF(OR(INDEX($B11:$D11,AK$5)="F",AND(AK$6&gt;0,$A11&lt;AK$6),AND(AK$7&gt;0,$A11&gt;AK$7)),0,MAX(0,ROUND((INDEX($E11:$G11,AK$5)-SUMIFS(TF_Timer,TF_Tekniker,AK$4,TF_Dato,$A11))*2,0)/2)))</f>
        <v/>
      </c>
      <c r="AL11">
        <f>IF(OR(AL$4="",$A11&gt;TODAY()),0,IF(OR(INDEX($B11:$D11,AL$5)="F",AND(AL$6&gt;0,$A11&lt;AL$6),AND(AL$7&gt;0,$A11&gt;AL$7)),0,MAX(0,ROUND((INDEX($E11:$G11,AL$5)-SUMIFS(TF_Timer,TF_Tekniker,AL$4,TF_Dato,$A11))*2,0)/2)))</f>
        <v/>
      </c>
      <c r="AM11">
        <f>IF(OR(AM$4="",$A11&gt;TODAY()),0,IF(OR(INDEX($B11:$D11,AM$5)="F",AND(AM$6&gt;0,$A11&lt;AM$6),AND(AM$7&gt;0,$A11&gt;AM$7)),0,MAX(0,ROUND((INDEX($E11:$G11,AM$5)-SUMIFS(TF_Timer,TF_Tekniker,AM$4,TF_Dato,$A11))*2,0)/2)))</f>
        <v/>
      </c>
      <c r="AN11">
        <f>IF(OR(AN$4="",$A11&gt;TODAY()),0,IF(OR(INDEX($B11:$D11,AN$5)="F",AND(AN$6&gt;0,$A11&lt;AN$6),AND(AN$7&gt;0,$A11&gt;AN$7)),0,MAX(0,ROUND((INDEX($E11:$G11,AN$5)-SUMIFS(TF_Timer,TF_Tekniker,AN$4,TF_Dato,$A11))*2,0)/2)))</f>
        <v/>
      </c>
      <c r="AO11">
        <f>IF(OR(AO$4="",$A11&gt;TODAY()),0,IF(OR(INDEX($B11:$D11,AO$5)="F",AND(AO$6&gt;0,$A11&lt;AO$6),AND(AO$7&gt;0,$A11&gt;AO$7)),0,MAX(0,ROUND((INDEX($E11:$G11,AO$5)-SUMIFS(TF_Timer,TF_Tekniker,AO$4,TF_Dato,$A11))*2,0)/2)))</f>
        <v/>
      </c>
      <c r="AP11">
        <f>IF(OR(AP$4="",$A11&gt;TODAY()),0,IF(OR(INDEX($B11:$D11,AP$5)="F",AND(AP$6&gt;0,$A11&lt;AP$6),AND(AP$7&gt;0,$A11&gt;AP$7)),0,MAX(0,ROUND((INDEX($E11:$G11,AP$5)-SUMIFS(TF_Timer,TF_Tekniker,AP$4,TF_Dato,$A11))*2,0)/2)))</f>
        <v/>
      </c>
      <c r="AQ11">
        <f>IF(OR(AQ$4="",$A11&gt;TODAY()),0,IF(OR(INDEX($B11:$D11,AQ$5)="F",AND(AQ$6&gt;0,$A11&lt;AQ$6),AND(AQ$7&gt;0,$A11&gt;AQ$7)),0,MAX(0,ROUND((INDEX($E11:$G11,AQ$5)-SUMIFS(TF_Timer,TF_Tekniker,AQ$4,TF_Dato,$A11))*2,0)/2)))</f>
        <v/>
      </c>
      <c r="AR11">
        <f>IF(OR(AR$4="",$A11&gt;TODAY()),0,IF(OR(INDEX($B11:$D11,AR$5)="F",AND(AR$6&gt;0,$A11&lt;AR$6),AND(AR$7&gt;0,$A11&gt;AR$7)),0,MAX(0,ROUND((INDEX($E11:$G11,AR$5)-SUMIFS(TF_Timer,TF_Tekniker,AR$4,TF_Dato,$A11))*2,0)/2)))</f>
        <v/>
      </c>
      <c r="AS11">
        <f>IF(OR(AS$4="",$A11&gt;TODAY()),0,IF(OR(INDEX($B11:$D11,AS$5)="F",AND(AS$6&gt;0,$A11&lt;AS$6),AND(AS$7&gt;0,$A11&gt;AS$7)),0,MAX(0,ROUND((INDEX($E11:$G11,AS$5)-SUMIFS(TF_Timer,TF_Tekniker,AS$4,TF_Dato,$A11))*2,0)/2)))</f>
        <v/>
      </c>
      <c r="AT11">
        <f>IF(OR(AT$4="",$A11&gt;TODAY()),0,IF(OR(INDEX($B11:$D11,AT$5)="F",AND(AT$6&gt;0,$A11&lt;AT$6),AND(AT$7&gt;0,$A11&gt;AT$7)),0,MAX(0,ROUND((INDEX($E11:$G11,AT$5)-SUMIFS(TF_Timer,TF_Tekniker,AT$4,TF_Dato,$A11))*2,0)/2)))</f>
        <v/>
      </c>
      <c r="AU11">
        <f>IF(OR(AU$4="",$A11&gt;TODAY()),0,IF(OR(INDEX($B11:$D11,AU$5)="F",AND(AU$6&gt;0,$A11&lt;AU$6),AND(AU$7&gt;0,$A11&gt;AU$7)),0,MAX(0,ROUND((INDEX($E11:$G11,AU$5)-SUMIFS(TF_Timer,TF_Tekniker,AU$4,TF_Dato,$A11))*2,0)/2)))</f>
        <v/>
      </c>
      <c r="AV11">
        <f>IF(OR(AV$4="",$A11&gt;TODAY()),0,IF(OR(INDEX($B11:$D11,AV$5)="F",AND(AV$6&gt;0,$A11&lt;AV$6),AND(AV$7&gt;0,$A11&gt;AV$7)),0,MAX(0,ROUND((INDEX($E11:$G11,AV$5)-SUMIFS(TF_Timer,TF_Tekniker,AV$4,TF_Dato,$A11))*2,0)/2)))</f>
        <v/>
      </c>
      <c r="AW11">
        <f>IF(OR(AW$4="",$A11&gt;TODAY()),0,IF(OR(INDEX($B11:$D11,AW$5)="F",AND(AW$6&gt;0,$A11&lt;AW$6),AND(AW$7&gt;0,$A11&gt;AW$7)),0,MAX(0,ROUND((INDEX($E11:$G11,AW$5)-SUMIFS(TF_Timer,TF_Tekniker,AW$4,TF_Dato,$A11))*2,0)/2)))</f>
        <v/>
      </c>
      <c r="AX11">
        <f>IF(OR(AX$4="",$A11&gt;TODAY()),0,IF(OR(INDEX($B11:$D11,AX$5)="F",AND(AX$6&gt;0,$A11&lt;AX$6),AND(AX$7&gt;0,$A11&gt;AX$7)),0,MAX(0,ROUND((INDEX($E11:$G11,AX$5)-SUMIFS(TF_Timer,TF_Tekniker,AX$4,TF_Dato,$A11))*2,0)/2)))</f>
        <v/>
      </c>
      <c r="AY11">
        <f>IF(OR(AY$4="",$A11&gt;TODAY()),0,IF(OR(INDEX($B11:$D11,AY$5)="F",AND(AY$6&gt;0,$A11&lt;AY$6),AND(AY$7&gt;0,$A11&gt;AY$7)),0,MAX(0,ROUND((INDEX($E11:$G11,AY$5)-SUMIFS(TF_Timer,TF_Tekniker,AY$4,TF_Dato,$A11))*2,0)/2)))</f>
        <v/>
      </c>
      <c r="AZ11">
        <f>IF(OR(AZ$4="",$A11&gt;TODAY()),0,IF(OR(INDEX($B11:$D11,AZ$5)="F",AND(AZ$6&gt;0,$A11&lt;AZ$6),AND(AZ$7&gt;0,$A11&gt;AZ$7)),0,MAX(0,ROUND((INDEX($E11:$G11,AZ$5)-SUMIFS(TF_Timer,TF_Tekniker,AZ$4,TF_Dato,$A11))*2,0)/2)))</f>
        <v/>
      </c>
      <c r="BA11">
        <f>IF(OR(BA$4="",$A11&gt;TODAY()),0,IF(OR(INDEX($B11:$D11,BA$5)="F",AND(BA$6&gt;0,$A11&lt;BA$6),AND(BA$7&gt;0,$A11&gt;BA$7)),0,MAX(0,ROUND((INDEX($E11:$G11,BA$5)-SUMIFS(TF_Timer,TF_Tekniker,BA$4,TF_Dato,$A11))*2,0)/2)))</f>
        <v/>
      </c>
      <c r="BB11">
        <f>IF(OR(BB$4="",$A11&gt;TODAY()),0,IF(OR(INDEX($B11:$D11,BB$5)="F",AND(BB$6&gt;0,$A11&lt;BB$6),AND(BB$7&gt;0,$A11&gt;BB$7)),0,MAX(0,ROUND((INDEX($E11:$G11,BB$5)-SUMIFS(TF_Timer,TF_Tekniker,BB$4,TF_Dato,$A11))*2,0)/2)))</f>
        <v/>
      </c>
      <c r="BC11">
        <f>IF(OR(BC$4="",$A11&gt;TODAY()),0,IF(OR(INDEX($B11:$D11,BC$5)="F",AND(BC$6&gt;0,$A11&lt;BC$6),AND(BC$7&gt;0,$A11&gt;BC$7)),0,MAX(0,ROUND((INDEX($E11:$G11,BC$5)-SUMIFS(TF_Timer,TF_Tekniker,BC$4,TF_Dato,$A11))*2,0)/2)))</f>
        <v/>
      </c>
      <c r="BD11">
        <f>IF(OR(BD$4="",$A11&gt;TODAY()),0,IF(OR(INDEX($B11:$D11,BD$5)="F",AND(BD$6&gt;0,$A11&lt;BD$6),AND(BD$7&gt;0,$A11&gt;BD$7)),0,MAX(0,ROUND((INDEX($E11:$G11,BD$5)-SUMIFS(TF_Timer,TF_Tekniker,BD$4,TF_Dato,$A11))*2,0)/2)))</f>
        <v/>
      </c>
      <c r="BE11">
        <f>IF(OR(BE$4="",$A11&gt;TODAY()),0,IF(OR(INDEX($B11:$D11,BE$5)="F",AND(BE$6&gt;0,$A11&lt;BE$6),AND(BE$7&gt;0,$A11&gt;BE$7)),0,MAX(0,ROUND((INDEX($E11:$G11,BE$5)-SUMIFS(TF_Timer,TF_Tekniker,BE$4,TF_Dato,$A11))*2,0)/2)))</f>
        <v/>
      </c>
      <c r="BF11">
        <f>IF(OR(BF$4="",$A11&gt;TODAY()),0,IF(OR(INDEX($B11:$D11,BF$5)="F",AND(BF$6&gt;0,$A11&lt;BF$6),AND(BF$7&gt;0,$A11&gt;BF$7)),0,MAX(0,ROUND((INDEX($E11:$G11,BF$5)-SUMIFS(TF_Timer,TF_Tekniker,BF$4,TF_Dato,$A11))*2,0)/2)))</f>
        <v/>
      </c>
      <c r="BG11">
        <f>IF(OR(BG$4="",$A11&gt;TODAY()),0,IF(OR(INDEX($B11:$D11,BG$5)="F",AND(BG$6&gt;0,$A11&lt;BG$6),AND(BG$7&gt;0,$A11&gt;BG$7)),0,MAX(0,ROUND((INDEX($E11:$G11,BG$5)-SUMIFS(TF_Timer,TF_Tekniker,BG$4,TF_Dato,$A11))*2,0)/2)))</f>
        <v/>
      </c>
      <c r="BH11">
        <f>IF(OR(BH$4="",$A11&gt;TODAY()),0,IF(OR(INDEX($B11:$D11,BH$5)="F",AND(BH$6&gt;0,$A11&lt;BH$6),AND(BH$7&gt;0,$A11&gt;BH$7)),0,MAX(0,ROUND((INDEX($E11:$G11,BH$5)-SUMIFS(TF_Timer,TF_Tekniker,BH$4,TF_Dato,$A11))*2,0)/2)))</f>
        <v/>
      </c>
      <c r="BI11">
        <f>IF(OR(BI$4="",$A11&gt;TODAY()),0,IF(OR(INDEX($B11:$D11,BI$5)="F",AND(BI$6&gt;0,$A11&lt;BI$6),AND(BI$7&gt;0,$A11&gt;BI$7)),0,MAX(0,ROUND((INDEX($E11:$G11,BI$5)-SUMIFS(TF_Timer,TF_Tekniker,BI$4,TF_Dato,$A11))*2,0)/2)))</f>
        <v/>
      </c>
    </row>
    <row r="12">
      <c r="A12" s="64">
        <f>A11+1</f>
        <v/>
      </c>
      <c r="B12">
        <f>IF(MOD($A12-INDEX(SkiftStart,1),Syklus)&lt;DagK,"K",IF(MOD($A12-INDEX(SkiftStart,1),Syklus)&lt;DagK+DagH,"H",IF(MOD($A12-INDEX(SkiftStart,1),Syklus)&lt;DagK+DagH+DagD,"D","F")))</f>
        <v/>
      </c>
      <c r="C12">
        <f>IF(MOD($A12-INDEX(SkiftStart,2),Syklus)&lt;DagK,"K",IF(MOD($A12-INDEX(SkiftStart,2),Syklus)&lt;DagK+DagH,"H",IF(MOD($A12-INDEX(SkiftStart,2),Syklus)&lt;DagK+DagH+DagD,"D","F")))</f>
        <v/>
      </c>
      <c r="D12">
        <f>IF(MOD($A12-INDEX(SkiftStart,3),Syklus)&lt;DagK,"K",IF(MOD($A12-INDEX(SkiftStart,3),Syklus)&lt;DagK+DagH,"H",IF(MOD($A12-INDEX(SkiftStart,3),Syklus)&lt;DagK+DagH+DagD,"D","F")))</f>
        <v/>
      </c>
      <c r="E12">
        <f>IF(B12="F",0,IF(WEEKDAY($A12,2)=5,INDEX(TimerFr,MATCH(B12,FaseKode,0)),INDEX(TimerMT,MATCH(B12,FaseKode,0))))</f>
        <v/>
      </c>
      <c r="F12">
        <f>IF(C12="F",0,IF(WEEKDAY($A12,2)=5,INDEX(TimerFr,MATCH(C12,FaseKode,0)),INDEX(TimerMT,MATCH(C12,FaseKode,0))))</f>
        <v/>
      </c>
      <c r="G12">
        <f>IF(D12="F",0,IF(WEEKDAY($A12,2)=5,INDEX(TimerFr,MATCH(D12,FaseKode,0)),INDEX(TimerMT,MATCH(D12,FaseKode,0))))</f>
        <v/>
      </c>
      <c r="H12">
        <f>IF(OR(H$4="",$A12&gt;TODAY()),0,IF(OR(INDEX($B12:$D12,H$5)="F",AND(H$6&gt;0,$A12&lt;H$6),AND(H$7&gt;0,$A12&gt;H$7)),0,MAX(0,ROUND((INDEX($E12:$G12,H$5)-SUMIFS(TF_Timer,TF_Tekniker,H$4,TF_Dato,$A12))*2,0)/2)))</f>
        <v/>
      </c>
      <c r="I12">
        <f>IF(OR(I$4="",$A12&gt;TODAY()),0,IF(OR(INDEX($B12:$D12,I$5)="F",AND(I$6&gt;0,$A12&lt;I$6),AND(I$7&gt;0,$A12&gt;I$7)),0,MAX(0,ROUND((INDEX($E12:$G12,I$5)-SUMIFS(TF_Timer,TF_Tekniker,I$4,TF_Dato,$A12))*2,0)/2)))</f>
        <v/>
      </c>
      <c r="J12">
        <f>IF(OR(J$4="",$A12&gt;TODAY()),0,IF(OR(INDEX($B12:$D12,J$5)="F",AND(J$6&gt;0,$A12&lt;J$6),AND(J$7&gt;0,$A12&gt;J$7)),0,MAX(0,ROUND((INDEX($E12:$G12,J$5)-SUMIFS(TF_Timer,TF_Tekniker,J$4,TF_Dato,$A12))*2,0)/2)))</f>
        <v/>
      </c>
      <c r="K12">
        <f>IF(OR(K$4="",$A12&gt;TODAY()),0,IF(OR(INDEX($B12:$D12,K$5)="F",AND(K$6&gt;0,$A12&lt;K$6),AND(K$7&gt;0,$A12&gt;K$7)),0,MAX(0,ROUND((INDEX($E12:$G12,K$5)-SUMIFS(TF_Timer,TF_Tekniker,K$4,TF_Dato,$A12))*2,0)/2)))</f>
        <v/>
      </c>
      <c r="L12">
        <f>IF(OR(L$4="",$A12&gt;TODAY()),0,IF(OR(INDEX($B12:$D12,L$5)="F",AND(L$6&gt;0,$A12&lt;L$6),AND(L$7&gt;0,$A12&gt;L$7)),0,MAX(0,ROUND((INDEX($E12:$G12,L$5)-SUMIFS(TF_Timer,TF_Tekniker,L$4,TF_Dato,$A12))*2,0)/2)))</f>
        <v/>
      </c>
      <c r="M12">
        <f>IF(OR(M$4="",$A12&gt;TODAY()),0,IF(OR(INDEX($B12:$D12,M$5)="F",AND(M$6&gt;0,$A12&lt;M$6),AND(M$7&gt;0,$A12&gt;M$7)),0,MAX(0,ROUND((INDEX($E12:$G12,M$5)-SUMIFS(TF_Timer,TF_Tekniker,M$4,TF_Dato,$A12))*2,0)/2)))</f>
        <v/>
      </c>
      <c r="N12">
        <f>IF(OR(N$4="",$A12&gt;TODAY()),0,IF(OR(INDEX($B12:$D12,N$5)="F",AND(N$6&gt;0,$A12&lt;N$6),AND(N$7&gt;0,$A12&gt;N$7)),0,MAX(0,ROUND((INDEX($E12:$G12,N$5)-SUMIFS(TF_Timer,TF_Tekniker,N$4,TF_Dato,$A12))*2,0)/2)))</f>
        <v/>
      </c>
      <c r="O12">
        <f>IF(OR(O$4="",$A12&gt;TODAY()),0,IF(OR(INDEX($B12:$D12,O$5)="F",AND(O$6&gt;0,$A12&lt;O$6),AND(O$7&gt;0,$A12&gt;O$7)),0,MAX(0,ROUND((INDEX($E12:$G12,O$5)-SUMIFS(TF_Timer,TF_Tekniker,O$4,TF_Dato,$A12))*2,0)/2)))</f>
        <v/>
      </c>
      <c r="P12">
        <f>IF(OR(P$4="",$A12&gt;TODAY()),0,IF(OR(INDEX($B12:$D12,P$5)="F",AND(P$6&gt;0,$A12&lt;P$6),AND(P$7&gt;0,$A12&gt;P$7)),0,MAX(0,ROUND((INDEX($E12:$G12,P$5)-SUMIFS(TF_Timer,TF_Tekniker,P$4,TF_Dato,$A12))*2,0)/2)))</f>
        <v/>
      </c>
      <c r="Q12">
        <f>IF(OR(Q$4="",$A12&gt;TODAY()),0,IF(OR(INDEX($B12:$D12,Q$5)="F",AND(Q$6&gt;0,$A12&lt;Q$6),AND(Q$7&gt;0,$A12&gt;Q$7)),0,MAX(0,ROUND((INDEX($E12:$G12,Q$5)-SUMIFS(TF_Timer,TF_Tekniker,Q$4,TF_Dato,$A12))*2,0)/2)))</f>
        <v/>
      </c>
      <c r="R12">
        <f>IF(OR(R$4="",$A12&gt;TODAY()),0,IF(OR(INDEX($B12:$D12,R$5)="F",AND(R$6&gt;0,$A12&lt;R$6),AND(R$7&gt;0,$A12&gt;R$7)),0,MAX(0,ROUND((INDEX($E12:$G12,R$5)-SUMIFS(TF_Timer,TF_Tekniker,R$4,TF_Dato,$A12))*2,0)/2)))</f>
        <v/>
      </c>
      <c r="S12">
        <f>IF(OR(S$4="",$A12&gt;TODAY()),0,IF(OR(INDEX($B12:$D12,S$5)="F",AND(S$6&gt;0,$A12&lt;S$6),AND(S$7&gt;0,$A12&gt;S$7)),0,MAX(0,ROUND((INDEX($E12:$G12,S$5)-SUMIFS(TF_Timer,TF_Tekniker,S$4,TF_Dato,$A12))*2,0)/2)))</f>
        <v/>
      </c>
      <c r="T12">
        <f>IF(OR(T$4="",$A12&gt;TODAY()),0,IF(OR(INDEX($B12:$D12,T$5)="F",AND(T$6&gt;0,$A12&lt;T$6),AND(T$7&gt;0,$A12&gt;T$7)),0,MAX(0,ROUND((INDEX($E12:$G12,T$5)-SUMIFS(TF_Timer,TF_Tekniker,T$4,TF_Dato,$A12))*2,0)/2)))</f>
        <v/>
      </c>
      <c r="U12">
        <f>IF(OR(U$4="",$A12&gt;TODAY()),0,IF(OR(INDEX($B12:$D12,U$5)="F",AND(U$6&gt;0,$A12&lt;U$6),AND(U$7&gt;0,$A12&gt;U$7)),0,MAX(0,ROUND((INDEX($E12:$G12,U$5)-SUMIFS(TF_Timer,TF_Tekniker,U$4,TF_Dato,$A12))*2,0)/2)))</f>
        <v/>
      </c>
      <c r="V12">
        <f>IF(OR(V$4="",$A12&gt;TODAY()),0,IF(OR(INDEX($B12:$D12,V$5)="F",AND(V$6&gt;0,$A12&lt;V$6),AND(V$7&gt;0,$A12&gt;V$7)),0,MAX(0,ROUND((INDEX($E12:$G12,V$5)-SUMIFS(TF_Timer,TF_Tekniker,V$4,TF_Dato,$A12))*2,0)/2)))</f>
        <v/>
      </c>
      <c r="W12">
        <f>IF(OR(W$4="",$A12&gt;TODAY()),0,IF(OR(INDEX($B12:$D12,W$5)="F",AND(W$6&gt;0,$A12&lt;W$6),AND(W$7&gt;0,$A12&gt;W$7)),0,MAX(0,ROUND((INDEX($E12:$G12,W$5)-SUMIFS(TF_Timer,TF_Tekniker,W$4,TF_Dato,$A12))*2,0)/2)))</f>
        <v/>
      </c>
      <c r="X12">
        <f>IF(OR(X$4="",$A12&gt;TODAY()),0,IF(OR(INDEX($B12:$D12,X$5)="F",AND(X$6&gt;0,$A12&lt;X$6),AND(X$7&gt;0,$A12&gt;X$7)),0,MAX(0,ROUND((INDEX($E12:$G12,X$5)-SUMIFS(TF_Timer,TF_Tekniker,X$4,TF_Dato,$A12))*2,0)/2)))</f>
        <v/>
      </c>
      <c r="Y12">
        <f>IF(OR(Y$4="",$A12&gt;TODAY()),0,IF(OR(INDEX($B12:$D12,Y$5)="F",AND(Y$6&gt;0,$A12&lt;Y$6),AND(Y$7&gt;0,$A12&gt;Y$7)),0,MAX(0,ROUND((INDEX($E12:$G12,Y$5)-SUMIFS(TF_Timer,TF_Tekniker,Y$4,TF_Dato,$A12))*2,0)/2)))</f>
        <v/>
      </c>
      <c r="Z12">
        <f>IF(OR(Z$4="",$A12&gt;TODAY()),0,IF(OR(INDEX($B12:$D12,Z$5)="F",AND(Z$6&gt;0,$A12&lt;Z$6),AND(Z$7&gt;0,$A12&gt;Z$7)),0,MAX(0,ROUND((INDEX($E12:$G12,Z$5)-SUMIFS(TF_Timer,TF_Tekniker,Z$4,TF_Dato,$A12))*2,0)/2)))</f>
        <v/>
      </c>
      <c r="AA12">
        <f>IF(OR(AA$4="",$A12&gt;TODAY()),0,IF(OR(INDEX($B12:$D12,AA$5)="F",AND(AA$6&gt;0,$A12&lt;AA$6),AND(AA$7&gt;0,$A12&gt;AA$7)),0,MAX(0,ROUND((INDEX($E12:$G12,AA$5)-SUMIFS(TF_Timer,TF_Tekniker,AA$4,TF_Dato,$A12))*2,0)/2)))</f>
        <v/>
      </c>
      <c r="AB12">
        <f>IF(OR(AB$4="",$A12&gt;TODAY()),0,IF(OR(INDEX($B12:$D12,AB$5)="F",AND(AB$6&gt;0,$A12&lt;AB$6),AND(AB$7&gt;0,$A12&gt;AB$7)),0,MAX(0,ROUND((INDEX($E12:$G12,AB$5)-SUMIFS(TF_Timer,TF_Tekniker,AB$4,TF_Dato,$A12))*2,0)/2)))</f>
        <v/>
      </c>
      <c r="AC12">
        <f>IF(OR(AC$4="",$A12&gt;TODAY()),0,IF(OR(INDEX($B12:$D12,AC$5)="F",AND(AC$6&gt;0,$A12&lt;AC$6),AND(AC$7&gt;0,$A12&gt;AC$7)),0,MAX(0,ROUND((INDEX($E12:$G12,AC$5)-SUMIFS(TF_Timer,TF_Tekniker,AC$4,TF_Dato,$A12))*2,0)/2)))</f>
        <v/>
      </c>
      <c r="AD12">
        <f>IF(OR(AD$4="",$A12&gt;TODAY()),0,IF(OR(INDEX($B12:$D12,AD$5)="F",AND(AD$6&gt;0,$A12&lt;AD$6),AND(AD$7&gt;0,$A12&gt;AD$7)),0,MAX(0,ROUND((INDEX($E12:$G12,AD$5)-SUMIFS(TF_Timer,TF_Tekniker,AD$4,TF_Dato,$A12))*2,0)/2)))</f>
        <v/>
      </c>
      <c r="AE12">
        <f>IF(OR(AE$4="",$A12&gt;TODAY()),0,IF(OR(INDEX($B12:$D12,AE$5)="F",AND(AE$6&gt;0,$A12&lt;AE$6),AND(AE$7&gt;0,$A12&gt;AE$7)),0,MAX(0,ROUND((INDEX($E12:$G12,AE$5)-SUMIFS(TF_Timer,TF_Tekniker,AE$4,TF_Dato,$A12))*2,0)/2)))</f>
        <v/>
      </c>
      <c r="AF12">
        <f>IF(OR(AF$4="",$A12&gt;TODAY()),0,IF(OR(INDEX($B12:$D12,AF$5)="F",AND(AF$6&gt;0,$A12&lt;AF$6),AND(AF$7&gt;0,$A12&gt;AF$7)),0,MAX(0,ROUND((INDEX($E12:$G12,AF$5)-SUMIFS(TF_Timer,TF_Tekniker,AF$4,TF_Dato,$A12))*2,0)/2)))</f>
        <v/>
      </c>
      <c r="AG12">
        <f>IF(OR(AG$4="",$A12&gt;TODAY()),0,IF(OR(INDEX($B12:$D12,AG$5)="F",AND(AG$6&gt;0,$A12&lt;AG$6),AND(AG$7&gt;0,$A12&gt;AG$7)),0,MAX(0,ROUND((INDEX($E12:$G12,AG$5)-SUMIFS(TF_Timer,TF_Tekniker,AG$4,TF_Dato,$A12))*2,0)/2)))</f>
        <v/>
      </c>
      <c r="AH12">
        <f>IF(OR(AH$4="",$A12&gt;TODAY()),0,IF(OR(INDEX($B12:$D12,AH$5)="F",AND(AH$6&gt;0,$A12&lt;AH$6),AND(AH$7&gt;0,$A12&gt;AH$7)),0,MAX(0,ROUND((INDEX($E12:$G12,AH$5)-SUMIFS(TF_Timer,TF_Tekniker,AH$4,TF_Dato,$A12))*2,0)/2)))</f>
        <v/>
      </c>
      <c r="AI12">
        <f>IF(OR(AI$4="",$A12&gt;TODAY()),0,IF(OR(INDEX($B12:$D12,AI$5)="F",AND(AI$6&gt;0,$A12&lt;AI$6),AND(AI$7&gt;0,$A12&gt;AI$7)),0,MAX(0,ROUND((INDEX($E12:$G12,AI$5)-SUMIFS(TF_Timer,TF_Tekniker,AI$4,TF_Dato,$A12))*2,0)/2)))</f>
        <v/>
      </c>
      <c r="AJ12">
        <f>IF(OR(AJ$4="",$A12&gt;TODAY()),0,IF(OR(INDEX($B12:$D12,AJ$5)="F",AND(AJ$6&gt;0,$A12&lt;AJ$6),AND(AJ$7&gt;0,$A12&gt;AJ$7)),0,MAX(0,ROUND((INDEX($E12:$G12,AJ$5)-SUMIFS(TF_Timer,TF_Tekniker,AJ$4,TF_Dato,$A12))*2,0)/2)))</f>
        <v/>
      </c>
      <c r="AK12">
        <f>IF(OR(AK$4="",$A12&gt;TODAY()),0,IF(OR(INDEX($B12:$D12,AK$5)="F",AND(AK$6&gt;0,$A12&lt;AK$6),AND(AK$7&gt;0,$A12&gt;AK$7)),0,MAX(0,ROUND((INDEX($E12:$G12,AK$5)-SUMIFS(TF_Timer,TF_Tekniker,AK$4,TF_Dato,$A12))*2,0)/2)))</f>
        <v/>
      </c>
      <c r="AL12">
        <f>IF(OR(AL$4="",$A12&gt;TODAY()),0,IF(OR(INDEX($B12:$D12,AL$5)="F",AND(AL$6&gt;0,$A12&lt;AL$6),AND(AL$7&gt;0,$A12&gt;AL$7)),0,MAX(0,ROUND((INDEX($E12:$G12,AL$5)-SUMIFS(TF_Timer,TF_Tekniker,AL$4,TF_Dato,$A12))*2,0)/2)))</f>
        <v/>
      </c>
      <c r="AM12">
        <f>IF(OR(AM$4="",$A12&gt;TODAY()),0,IF(OR(INDEX($B12:$D12,AM$5)="F",AND(AM$6&gt;0,$A12&lt;AM$6),AND(AM$7&gt;0,$A12&gt;AM$7)),0,MAX(0,ROUND((INDEX($E12:$G12,AM$5)-SUMIFS(TF_Timer,TF_Tekniker,AM$4,TF_Dato,$A12))*2,0)/2)))</f>
        <v/>
      </c>
      <c r="AN12">
        <f>IF(OR(AN$4="",$A12&gt;TODAY()),0,IF(OR(INDEX($B12:$D12,AN$5)="F",AND(AN$6&gt;0,$A12&lt;AN$6),AND(AN$7&gt;0,$A12&gt;AN$7)),0,MAX(0,ROUND((INDEX($E12:$G12,AN$5)-SUMIFS(TF_Timer,TF_Tekniker,AN$4,TF_Dato,$A12))*2,0)/2)))</f>
        <v/>
      </c>
      <c r="AO12">
        <f>IF(OR(AO$4="",$A12&gt;TODAY()),0,IF(OR(INDEX($B12:$D12,AO$5)="F",AND(AO$6&gt;0,$A12&lt;AO$6),AND(AO$7&gt;0,$A12&gt;AO$7)),0,MAX(0,ROUND((INDEX($E12:$G12,AO$5)-SUMIFS(TF_Timer,TF_Tekniker,AO$4,TF_Dato,$A12))*2,0)/2)))</f>
        <v/>
      </c>
      <c r="AP12">
        <f>IF(OR(AP$4="",$A12&gt;TODAY()),0,IF(OR(INDEX($B12:$D12,AP$5)="F",AND(AP$6&gt;0,$A12&lt;AP$6),AND(AP$7&gt;0,$A12&gt;AP$7)),0,MAX(0,ROUND((INDEX($E12:$G12,AP$5)-SUMIFS(TF_Timer,TF_Tekniker,AP$4,TF_Dato,$A12))*2,0)/2)))</f>
        <v/>
      </c>
      <c r="AQ12">
        <f>IF(OR(AQ$4="",$A12&gt;TODAY()),0,IF(OR(INDEX($B12:$D12,AQ$5)="F",AND(AQ$6&gt;0,$A12&lt;AQ$6),AND(AQ$7&gt;0,$A12&gt;AQ$7)),0,MAX(0,ROUND((INDEX($E12:$G12,AQ$5)-SUMIFS(TF_Timer,TF_Tekniker,AQ$4,TF_Dato,$A12))*2,0)/2)))</f>
        <v/>
      </c>
      <c r="AR12">
        <f>IF(OR(AR$4="",$A12&gt;TODAY()),0,IF(OR(INDEX($B12:$D12,AR$5)="F",AND(AR$6&gt;0,$A12&lt;AR$6),AND(AR$7&gt;0,$A12&gt;AR$7)),0,MAX(0,ROUND((INDEX($E12:$G12,AR$5)-SUMIFS(TF_Timer,TF_Tekniker,AR$4,TF_Dato,$A12))*2,0)/2)))</f>
        <v/>
      </c>
      <c r="AS12">
        <f>IF(OR(AS$4="",$A12&gt;TODAY()),0,IF(OR(INDEX($B12:$D12,AS$5)="F",AND(AS$6&gt;0,$A12&lt;AS$6),AND(AS$7&gt;0,$A12&gt;AS$7)),0,MAX(0,ROUND((INDEX($E12:$G12,AS$5)-SUMIFS(TF_Timer,TF_Tekniker,AS$4,TF_Dato,$A12))*2,0)/2)))</f>
        <v/>
      </c>
      <c r="AT12">
        <f>IF(OR(AT$4="",$A12&gt;TODAY()),0,IF(OR(INDEX($B12:$D12,AT$5)="F",AND(AT$6&gt;0,$A12&lt;AT$6),AND(AT$7&gt;0,$A12&gt;AT$7)),0,MAX(0,ROUND((INDEX($E12:$G12,AT$5)-SUMIFS(TF_Timer,TF_Tekniker,AT$4,TF_Dato,$A12))*2,0)/2)))</f>
        <v/>
      </c>
      <c r="AU12">
        <f>IF(OR(AU$4="",$A12&gt;TODAY()),0,IF(OR(INDEX($B12:$D12,AU$5)="F",AND(AU$6&gt;0,$A12&lt;AU$6),AND(AU$7&gt;0,$A12&gt;AU$7)),0,MAX(0,ROUND((INDEX($E12:$G12,AU$5)-SUMIFS(TF_Timer,TF_Tekniker,AU$4,TF_Dato,$A12))*2,0)/2)))</f>
        <v/>
      </c>
      <c r="AV12">
        <f>IF(OR(AV$4="",$A12&gt;TODAY()),0,IF(OR(INDEX($B12:$D12,AV$5)="F",AND(AV$6&gt;0,$A12&lt;AV$6),AND(AV$7&gt;0,$A12&gt;AV$7)),0,MAX(0,ROUND((INDEX($E12:$G12,AV$5)-SUMIFS(TF_Timer,TF_Tekniker,AV$4,TF_Dato,$A12))*2,0)/2)))</f>
        <v/>
      </c>
      <c r="AW12">
        <f>IF(OR(AW$4="",$A12&gt;TODAY()),0,IF(OR(INDEX($B12:$D12,AW$5)="F",AND(AW$6&gt;0,$A12&lt;AW$6),AND(AW$7&gt;0,$A12&gt;AW$7)),0,MAX(0,ROUND((INDEX($E12:$G12,AW$5)-SUMIFS(TF_Timer,TF_Tekniker,AW$4,TF_Dato,$A12))*2,0)/2)))</f>
        <v/>
      </c>
      <c r="AX12">
        <f>IF(OR(AX$4="",$A12&gt;TODAY()),0,IF(OR(INDEX($B12:$D12,AX$5)="F",AND(AX$6&gt;0,$A12&lt;AX$6),AND(AX$7&gt;0,$A12&gt;AX$7)),0,MAX(0,ROUND((INDEX($E12:$G12,AX$5)-SUMIFS(TF_Timer,TF_Tekniker,AX$4,TF_Dato,$A12))*2,0)/2)))</f>
        <v/>
      </c>
      <c r="AY12">
        <f>IF(OR(AY$4="",$A12&gt;TODAY()),0,IF(OR(INDEX($B12:$D12,AY$5)="F",AND(AY$6&gt;0,$A12&lt;AY$6),AND(AY$7&gt;0,$A12&gt;AY$7)),0,MAX(0,ROUND((INDEX($E12:$G12,AY$5)-SUMIFS(TF_Timer,TF_Tekniker,AY$4,TF_Dato,$A12))*2,0)/2)))</f>
        <v/>
      </c>
      <c r="AZ12">
        <f>IF(OR(AZ$4="",$A12&gt;TODAY()),0,IF(OR(INDEX($B12:$D12,AZ$5)="F",AND(AZ$6&gt;0,$A12&lt;AZ$6),AND(AZ$7&gt;0,$A12&gt;AZ$7)),0,MAX(0,ROUND((INDEX($E12:$G12,AZ$5)-SUMIFS(TF_Timer,TF_Tekniker,AZ$4,TF_Dato,$A12))*2,0)/2)))</f>
        <v/>
      </c>
      <c r="BA12">
        <f>IF(OR(BA$4="",$A12&gt;TODAY()),0,IF(OR(INDEX($B12:$D12,BA$5)="F",AND(BA$6&gt;0,$A12&lt;BA$6),AND(BA$7&gt;0,$A12&gt;BA$7)),0,MAX(0,ROUND((INDEX($E12:$G12,BA$5)-SUMIFS(TF_Timer,TF_Tekniker,BA$4,TF_Dato,$A12))*2,0)/2)))</f>
        <v/>
      </c>
      <c r="BB12">
        <f>IF(OR(BB$4="",$A12&gt;TODAY()),0,IF(OR(INDEX($B12:$D12,BB$5)="F",AND(BB$6&gt;0,$A12&lt;BB$6),AND(BB$7&gt;0,$A12&gt;BB$7)),0,MAX(0,ROUND((INDEX($E12:$G12,BB$5)-SUMIFS(TF_Timer,TF_Tekniker,BB$4,TF_Dato,$A12))*2,0)/2)))</f>
        <v/>
      </c>
      <c r="BC12">
        <f>IF(OR(BC$4="",$A12&gt;TODAY()),0,IF(OR(INDEX($B12:$D12,BC$5)="F",AND(BC$6&gt;0,$A12&lt;BC$6),AND(BC$7&gt;0,$A12&gt;BC$7)),0,MAX(0,ROUND((INDEX($E12:$G12,BC$5)-SUMIFS(TF_Timer,TF_Tekniker,BC$4,TF_Dato,$A12))*2,0)/2)))</f>
        <v/>
      </c>
      <c r="BD12">
        <f>IF(OR(BD$4="",$A12&gt;TODAY()),0,IF(OR(INDEX($B12:$D12,BD$5)="F",AND(BD$6&gt;0,$A12&lt;BD$6),AND(BD$7&gt;0,$A12&gt;BD$7)),0,MAX(0,ROUND((INDEX($E12:$G12,BD$5)-SUMIFS(TF_Timer,TF_Tekniker,BD$4,TF_Dato,$A12))*2,0)/2)))</f>
        <v/>
      </c>
      <c r="BE12">
        <f>IF(OR(BE$4="",$A12&gt;TODAY()),0,IF(OR(INDEX($B12:$D12,BE$5)="F",AND(BE$6&gt;0,$A12&lt;BE$6),AND(BE$7&gt;0,$A12&gt;BE$7)),0,MAX(0,ROUND((INDEX($E12:$G12,BE$5)-SUMIFS(TF_Timer,TF_Tekniker,BE$4,TF_Dato,$A12))*2,0)/2)))</f>
        <v/>
      </c>
      <c r="BF12">
        <f>IF(OR(BF$4="",$A12&gt;TODAY()),0,IF(OR(INDEX($B12:$D12,BF$5)="F",AND(BF$6&gt;0,$A12&lt;BF$6),AND(BF$7&gt;0,$A12&gt;BF$7)),0,MAX(0,ROUND((INDEX($E12:$G12,BF$5)-SUMIFS(TF_Timer,TF_Tekniker,BF$4,TF_Dato,$A12))*2,0)/2)))</f>
        <v/>
      </c>
      <c r="BG12">
        <f>IF(OR(BG$4="",$A12&gt;TODAY()),0,IF(OR(INDEX($B12:$D12,BG$5)="F",AND(BG$6&gt;0,$A12&lt;BG$6),AND(BG$7&gt;0,$A12&gt;BG$7)),0,MAX(0,ROUND((INDEX($E12:$G12,BG$5)-SUMIFS(TF_Timer,TF_Tekniker,BG$4,TF_Dato,$A12))*2,0)/2)))</f>
        <v/>
      </c>
      <c r="BH12">
        <f>IF(OR(BH$4="",$A12&gt;TODAY()),0,IF(OR(INDEX($B12:$D12,BH$5)="F",AND(BH$6&gt;0,$A12&lt;BH$6),AND(BH$7&gt;0,$A12&gt;BH$7)),0,MAX(0,ROUND((INDEX($E12:$G12,BH$5)-SUMIFS(TF_Timer,TF_Tekniker,BH$4,TF_Dato,$A12))*2,0)/2)))</f>
        <v/>
      </c>
      <c r="BI12">
        <f>IF(OR(BI$4="",$A12&gt;TODAY()),0,IF(OR(INDEX($B12:$D12,BI$5)="F",AND(BI$6&gt;0,$A12&lt;BI$6),AND(BI$7&gt;0,$A12&gt;BI$7)),0,MAX(0,ROUND((INDEX($E12:$G12,BI$5)-SUMIFS(TF_Timer,TF_Tekniker,BI$4,TF_Dato,$A12))*2,0)/2)))</f>
        <v/>
      </c>
    </row>
    <row r="13">
      <c r="A13" s="64">
        <f>A12+1</f>
        <v/>
      </c>
      <c r="B13">
        <f>IF(MOD($A13-INDEX(SkiftStart,1),Syklus)&lt;DagK,"K",IF(MOD($A13-INDEX(SkiftStart,1),Syklus)&lt;DagK+DagH,"H",IF(MOD($A13-INDEX(SkiftStart,1),Syklus)&lt;DagK+DagH+DagD,"D","F")))</f>
        <v/>
      </c>
      <c r="C13">
        <f>IF(MOD($A13-INDEX(SkiftStart,2),Syklus)&lt;DagK,"K",IF(MOD($A13-INDEX(SkiftStart,2),Syklus)&lt;DagK+DagH,"H",IF(MOD($A13-INDEX(SkiftStart,2),Syklus)&lt;DagK+DagH+DagD,"D","F")))</f>
        <v/>
      </c>
      <c r="D13">
        <f>IF(MOD($A13-INDEX(SkiftStart,3),Syklus)&lt;DagK,"K",IF(MOD($A13-INDEX(SkiftStart,3),Syklus)&lt;DagK+DagH,"H",IF(MOD($A13-INDEX(SkiftStart,3),Syklus)&lt;DagK+DagH+DagD,"D","F")))</f>
        <v/>
      </c>
      <c r="E13">
        <f>IF(B13="F",0,IF(WEEKDAY($A13,2)=5,INDEX(TimerFr,MATCH(B13,FaseKode,0)),INDEX(TimerMT,MATCH(B13,FaseKode,0))))</f>
        <v/>
      </c>
      <c r="F13">
        <f>IF(C13="F",0,IF(WEEKDAY($A13,2)=5,INDEX(TimerFr,MATCH(C13,FaseKode,0)),INDEX(TimerMT,MATCH(C13,FaseKode,0))))</f>
        <v/>
      </c>
      <c r="G13">
        <f>IF(D13="F",0,IF(WEEKDAY($A13,2)=5,INDEX(TimerFr,MATCH(D13,FaseKode,0)),INDEX(TimerMT,MATCH(D13,FaseKode,0))))</f>
        <v/>
      </c>
      <c r="H13">
        <f>IF(OR(H$4="",$A13&gt;TODAY()),0,IF(OR(INDEX($B13:$D13,H$5)="F",AND(H$6&gt;0,$A13&lt;H$6),AND(H$7&gt;0,$A13&gt;H$7)),0,MAX(0,ROUND((INDEX($E13:$G13,H$5)-SUMIFS(TF_Timer,TF_Tekniker,H$4,TF_Dato,$A13))*2,0)/2)))</f>
        <v/>
      </c>
      <c r="I13">
        <f>IF(OR(I$4="",$A13&gt;TODAY()),0,IF(OR(INDEX($B13:$D13,I$5)="F",AND(I$6&gt;0,$A13&lt;I$6),AND(I$7&gt;0,$A13&gt;I$7)),0,MAX(0,ROUND((INDEX($E13:$G13,I$5)-SUMIFS(TF_Timer,TF_Tekniker,I$4,TF_Dato,$A13))*2,0)/2)))</f>
        <v/>
      </c>
      <c r="J13">
        <f>IF(OR(J$4="",$A13&gt;TODAY()),0,IF(OR(INDEX($B13:$D13,J$5)="F",AND(J$6&gt;0,$A13&lt;J$6),AND(J$7&gt;0,$A13&gt;J$7)),0,MAX(0,ROUND((INDEX($E13:$G13,J$5)-SUMIFS(TF_Timer,TF_Tekniker,J$4,TF_Dato,$A13))*2,0)/2)))</f>
        <v/>
      </c>
      <c r="K13">
        <f>IF(OR(K$4="",$A13&gt;TODAY()),0,IF(OR(INDEX($B13:$D13,K$5)="F",AND(K$6&gt;0,$A13&lt;K$6),AND(K$7&gt;0,$A13&gt;K$7)),0,MAX(0,ROUND((INDEX($E13:$G13,K$5)-SUMIFS(TF_Timer,TF_Tekniker,K$4,TF_Dato,$A13))*2,0)/2)))</f>
        <v/>
      </c>
      <c r="L13">
        <f>IF(OR(L$4="",$A13&gt;TODAY()),0,IF(OR(INDEX($B13:$D13,L$5)="F",AND(L$6&gt;0,$A13&lt;L$6),AND(L$7&gt;0,$A13&gt;L$7)),0,MAX(0,ROUND((INDEX($E13:$G13,L$5)-SUMIFS(TF_Timer,TF_Tekniker,L$4,TF_Dato,$A13))*2,0)/2)))</f>
        <v/>
      </c>
      <c r="M13">
        <f>IF(OR(M$4="",$A13&gt;TODAY()),0,IF(OR(INDEX($B13:$D13,M$5)="F",AND(M$6&gt;0,$A13&lt;M$6),AND(M$7&gt;0,$A13&gt;M$7)),0,MAX(0,ROUND((INDEX($E13:$G13,M$5)-SUMIFS(TF_Timer,TF_Tekniker,M$4,TF_Dato,$A13))*2,0)/2)))</f>
        <v/>
      </c>
      <c r="N13">
        <f>IF(OR(N$4="",$A13&gt;TODAY()),0,IF(OR(INDEX($B13:$D13,N$5)="F",AND(N$6&gt;0,$A13&lt;N$6),AND(N$7&gt;0,$A13&gt;N$7)),0,MAX(0,ROUND((INDEX($E13:$G13,N$5)-SUMIFS(TF_Timer,TF_Tekniker,N$4,TF_Dato,$A13))*2,0)/2)))</f>
        <v/>
      </c>
      <c r="O13">
        <f>IF(OR(O$4="",$A13&gt;TODAY()),0,IF(OR(INDEX($B13:$D13,O$5)="F",AND(O$6&gt;0,$A13&lt;O$6),AND(O$7&gt;0,$A13&gt;O$7)),0,MAX(0,ROUND((INDEX($E13:$G13,O$5)-SUMIFS(TF_Timer,TF_Tekniker,O$4,TF_Dato,$A13))*2,0)/2)))</f>
        <v/>
      </c>
      <c r="P13">
        <f>IF(OR(P$4="",$A13&gt;TODAY()),0,IF(OR(INDEX($B13:$D13,P$5)="F",AND(P$6&gt;0,$A13&lt;P$6),AND(P$7&gt;0,$A13&gt;P$7)),0,MAX(0,ROUND((INDEX($E13:$G13,P$5)-SUMIFS(TF_Timer,TF_Tekniker,P$4,TF_Dato,$A13))*2,0)/2)))</f>
        <v/>
      </c>
      <c r="Q13">
        <f>IF(OR(Q$4="",$A13&gt;TODAY()),0,IF(OR(INDEX($B13:$D13,Q$5)="F",AND(Q$6&gt;0,$A13&lt;Q$6),AND(Q$7&gt;0,$A13&gt;Q$7)),0,MAX(0,ROUND((INDEX($E13:$G13,Q$5)-SUMIFS(TF_Timer,TF_Tekniker,Q$4,TF_Dato,$A13))*2,0)/2)))</f>
        <v/>
      </c>
      <c r="R13">
        <f>IF(OR(R$4="",$A13&gt;TODAY()),0,IF(OR(INDEX($B13:$D13,R$5)="F",AND(R$6&gt;0,$A13&lt;R$6),AND(R$7&gt;0,$A13&gt;R$7)),0,MAX(0,ROUND((INDEX($E13:$G13,R$5)-SUMIFS(TF_Timer,TF_Tekniker,R$4,TF_Dato,$A13))*2,0)/2)))</f>
        <v/>
      </c>
      <c r="S13">
        <f>IF(OR(S$4="",$A13&gt;TODAY()),0,IF(OR(INDEX($B13:$D13,S$5)="F",AND(S$6&gt;0,$A13&lt;S$6),AND(S$7&gt;0,$A13&gt;S$7)),0,MAX(0,ROUND((INDEX($E13:$G13,S$5)-SUMIFS(TF_Timer,TF_Tekniker,S$4,TF_Dato,$A13))*2,0)/2)))</f>
        <v/>
      </c>
      <c r="T13">
        <f>IF(OR(T$4="",$A13&gt;TODAY()),0,IF(OR(INDEX($B13:$D13,T$5)="F",AND(T$6&gt;0,$A13&lt;T$6),AND(T$7&gt;0,$A13&gt;T$7)),0,MAX(0,ROUND((INDEX($E13:$G13,T$5)-SUMIFS(TF_Timer,TF_Tekniker,T$4,TF_Dato,$A13))*2,0)/2)))</f>
        <v/>
      </c>
      <c r="U13">
        <f>IF(OR(U$4="",$A13&gt;TODAY()),0,IF(OR(INDEX($B13:$D13,U$5)="F",AND(U$6&gt;0,$A13&lt;U$6),AND(U$7&gt;0,$A13&gt;U$7)),0,MAX(0,ROUND((INDEX($E13:$G13,U$5)-SUMIFS(TF_Timer,TF_Tekniker,U$4,TF_Dato,$A13))*2,0)/2)))</f>
        <v/>
      </c>
      <c r="V13">
        <f>IF(OR(V$4="",$A13&gt;TODAY()),0,IF(OR(INDEX($B13:$D13,V$5)="F",AND(V$6&gt;0,$A13&lt;V$6),AND(V$7&gt;0,$A13&gt;V$7)),0,MAX(0,ROUND((INDEX($E13:$G13,V$5)-SUMIFS(TF_Timer,TF_Tekniker,V$4,TF_Dato,$A13))*2,0)/2)))</f>
        <v/>
      </c>
      <c r="W13">
        <f>IF(OR(W$4="",$A13&gt;TODAY()),0,IF(OR(INDEX($B13:$D13,W$5)="F",AND(W$6&gt;0,$A13&lt;W$6),AND(W$7&gt;0,$A13&gt;W$7)),0,MAX(0,ROUND((INDEX($E13:$G13,W$5)-SUMIFS(TF_Timer,TF_Tekniker,W$4,TF_Dato,$A13))*2,0)/2)))</f>
        <v/>
      </c>
      <c r="X13">
        <f>IF(OR(X$4="",$A13&gt;TODAY()),0,IF(OR(INDEX($B13:$D13,X$5)="F",AND(X$6&gt;0,$A13&lt;X$6),AND(X$7&gt;0,$A13&gt;X$7)),0,MAX(0,ROUND((INDEX($E13:$G13,X$5)-SUMIFS(TF_Timer,TF_Tekniker,X$4,TF_Dato,$A13))*2,0)/2)))</f>
        <v/>
      </c>
      <c r="Y13">
        <f>IF(OR(Y$4="",$A13&gt;TODAY()),0,IF(OR(INDEX($B13:$D13,Y$5)="F",AND(Y$6&gt;0,$A13&lt;Y$6),AND(Y$7&gt;0,$A13&gt;Y$7)),0,MAX(0,ROUND((INDEX($E13:$G13,Y$5)-SUMIFS(TF_Timer,TF_Tekniker,Y$4,TF_Dato,$A13))*2,0)/2)))</f>
        <v/>
      </c>
      <c r="Z13">
        <f>IF(OR(Z$4="",$A13&gt;TODAY()),0,IF(OR(INDEX($B13:$D13,Z$5)="F",AND(Z$6&gt;0,$A13&lt;Z$6),AND(Z$7&gt;0,$A13&gt;Z$7)),0,MAX(0,ROUND((INDEX($E13:$G13,Z$5)-SUMIFS(TF_Timer,TF_Tekniker,Z$4,TF_Dato,$A13))*2,0)/2)))</f>
        <v/>
      </c>
      <c r="AA13">
        <f>IF(OR(AA$4="",$A13&gt;TODAY()),0,IF(OR(INDEX($B13:$D13,AA$5)="F",AND(AA$6&gt;0,$A13&lt;AA$6),AND(AA$7&gt;0,$A13&gt;AA$7)),0,MAX(0,ROUND((INDEX($E13:$G13,AA$5)-SUMIFS(TF_Timer,TF_Tekniker,AA$4,TF_Dato,$A13))*2,0)/2)))</f>
        <v/>
      </c>
      <c r="AB13">
        <f>IF(OR(AB$4="",$A13&gt;TODAY()),0,IF(OR(INDEX($B13:$D13,AB$5)="F",AND(AB$6&gt;0,$A13&lt;AB$6),AND(AB$7&gt;0,$A13&gt;AB$7)),0,MAX(0,ROUND((INDEX($E13:$G13,AB$5)-SUMIFS(TF_Timer,TF_Tekniker,AB$4,TF_Dato,$A13))*2,0)/2)))</f>
        <v/>
      </c>
      <c r="AC13">
        <f>IF(OR(AC$4="",$A13&gt;TODAY()),0,IF(OR(INDEX($B13:$D13,AC$5)="F",AND(AC$6&gt;0,$A13&lt;AC$6),AND(AC$7&gt;0,$A13&gt;AC$7)),0,MAX(0,ROUND((INDEX($E13:$G13,AC$5)-SUMIFS(TF_Timer,TF_Tekniker,AC$4,TF_Dato,$A13))*2,0)/2)))</f>
        <v/>
      </c>
      <c r="AD13">
        <f>IF(OR(AD$4="",$A13&gt;TODAY()),0,IF(OR(INDEX($B13:$D13,AD$5)="F",AND(AD$6&gt;0,$A13&lt;AD$6),AND(AD$7&gt;0,$A13&gt;AD$7)),0,MAX(0,ROUND((INDEX($E13:$G13,AD$5)-SUMIFS(TF_Timer,TF_Tekniker,AD$4,TF_Dato,$A13))*2,0)/2)))</f>
        <v/>
      </c>
      <c r="AE13">
        <f>IF(OR(AE$4="",$A13&gt;TODAY()),0,IF(OR(INDEX($B13:$D13,AE$5)="F",AND(AE$6&gt;0,$A13&lt;AE$6),AND(AE$7&gt;0,$A13&gt;AE$7)),0,MAX(0,ROUND((INDEX($E13:$G13,AE$5)-SUMIFS(TF_Timer,TF_Tekniker,AE$4,TF_Dato,$A13))*2,0)/2)))</f>
        <v/>
      </c>
      <c r="AF13">
        <f>IF(OR(AF$4="",$A13&gt;TODAY()),0,IF(OR(INDEX($B13:$D13,AF$5)="F",AND(AF$6&gt;0,$A13&lt;AF$6),AND(AF$7&gt;0,$A13&gt;AF$7)),0,MAX(0,ROUND((INDEX($E13:$G13,AF$5)-SUMIFS(TF_Timer,TF_Tekniker,AF$4,TF_Dato,$A13))*2,0)/2)))</f>
        <v/>
      </c>
      <c r="AG13">
        <f>IF(OR(AG$4="",$A13&gt;TODAY()),0,IF(OR(INDEX($B13:$D13,AG$5)="F",AND(AG$6&gt;0,$A13&lt;AG$6),AND(AG$7&gt;0,$A13&gt;AG$7)),0,MAX(0,ROUND((INDEX($E13:$G13,AG$5)-SUMIFS(TF_Timer,TF_Tekniker,AG$4,TF_Dato,$A13))*2,0)/2)))</f>
        <v/>
      </c>
      <c r="AH13">
        <f>IF(OR(AH$4="",$A13&gt;TODAY()),0,IF(OR(INDEX($B13:$D13,AH$5)="F",AND(AH$6&gt;0,$A13&lt;AH$6),AND(AH$7&gt;0,$A13&gt;AH$7)),0,MAX(0,ROUND((INDEX($E13:$G13,AH$5)-SUMIFS(TF_Timer,TF_Tekniker,AH$4,TF_Dato,$A13))*2,0)/2)))</f>
        <v/>
      </c>
      <c r="AI13">
        <f>IF(OR(AI$4="",$A13&gt;TODAY()),0,IF(OR(INDEX($B13:$D13,AI$5)="F",AND(AI$6&gt;0,$A13&lt;AI$6),AND(AI$7&gt;0,$A13&gt;AI$7)),0,MAX(0,ROUND((INDEX($E13:$G13,AI$5)-SUMIFS(TF_Timer,TF_Tekniker,AI$4,TF_Dato,$A13))*2,0)/2)))</f>
        <v/>
      </c>
      <c r="AJ13">
        <f>IF(OR(AJ$4="",$A13&gt;TODAY()),0,IF(OR(INDEX($B13:$D13,AJ$5)="F",AND(AJ$6&gt;0,$A13&lt;AJ$6),AND(AJ$7&gt;0,$A13&gt;AJ$7)),0,MAX(0,ROUND((INDEX($E13:$G13,AJ$5)-SUMIFS(TF_Timer,TF_Tekniker,AJ$4,TF_Dato,$A13))*2,0)/2)))</f>
        <v/>
      </c>
      <c r="AK13">
        <f>IF(OR(AK$4="",$A13&gt;TODAY()),0,IF(OR(INDEX($B13:$D13,AK$5)="F",AND(AK$6&gt;0,$A13&lt;AK$6),AND(AK$7&gt;0,$A13&gt;AK$7)),0,MAX(0,ROUND((INDEX($E13:$G13,AK$5)-SUMIFS(TF_Timer,TF_Tekniker,AK$4,TF_Dato,$A13))*2,0)/2)))</f>
        <v/>
      </c>
      <c r="AL13">
        <f>IF(OR(AL$4="",$A13&gt;TODAY()),0,IF(OR(INDEX($B13:$D13,AL$5)="F",AND(AL$6&gt;0,$A13&lt;AL$6),AND(AL$7&gt;0,$A13&gt;AL$7)),0,MAX(0,ROUND((INDEX($E13:$G13,AL$5)-SUMIFS(TF_Timer,TF_Tekniker,AL$4,TF_Dato,$A13))*2,0)/2)))</f>
        <v/>
      </c>
      <c r="AM13">
        <f>IF(OR(AM$4="",$A13&gt;TODAY()),0,IF(OR(INDEX($B13:$D13,AM$5)="F",AND(AM$6&gt;0,$A13&lt;AM$6),AND(AM$7&gt;0,$A13&gt;AM$7)),0,MAX(0,ROUND((INDEX($E13:$G13,AM$5)-SUMIFS(TF_Timer,TF_Tekniker,AM$4,TF_Dato,$A13))*2,0)/2)))</f>
        <v/>
      </c>
      <c r="AN13">
        <f>IF(OR(AN$4="",$A13&gt;TODAY()),0,IF(OR(INDEX($B13:$D13,AN$5)="F",AND(AN$6&gt;0,$A13&lt;AN$6),AND(AN$7&gt;0,$A13&gt;AN$7)),0,MAX(0,ROUND((INDEX($E13:$G13,AN$5)-SUMIFS(TF_Timer,TF_Tekniker,AN$4,TF_Dato,$A13))*2,0)/2)))</f>
        <v/>
      </c>
      <c r="AO13">
        <f>IF(OR(AO$4="",$A13&gt;TODAY()),0,IF(OR(INDEX($B13:$D13,AO$5)="F",AND(AO$6&gt;0,$A13&lt;AO$6),AND(AO$7&gt;0,$A13&gt;AO$7)),0,MAX(0,ROUND((INDEX($E13:$G13,AO$5)-SUMIFS(TF_Timer,TF_Tekniker,AO$4,TF_Dato,$A13))*2,0)/2)))</f>
        <v/>
      </c>
      <c r="AP13">
        <f>IF(OR(AP$4="",$A13&gt;TODAY()),0,IF(OR(INDEX($B13:$D13,AP$5)="F",AND(AP$6&gt;0,$A13&lt;AP$6),AND(AP$7&gt;0,$A13&gt;AP$7)),0,MAX(0,ROUND((INDEX($E13:$G13,AP$5)-SUMIFS(TF_Timer,TF_Tekniker,AP$4,TF_Dato,$A13))*2,0)/2)))</f>
        <v/>
      </c>
      <c r="AQ13">
        <f>IF(OR(AQ$4="",$A13&gt;TODAY()),0,IF(OR(INDEX($B13:$D13,AQ$5)="F",AND(AQ$6&gt;0,$A13&lt;AQ$6),AND(AQ$7&gt;0,$A13&gt;AQ$7)),0,MAX(0,ROUND((INDEX($E13:$G13,AQ$5)-SUMIFS(TF_Timer,TF_Tekniker,AQ$4,TF_Dato,$A13))*2,0)/2)))</f>
        <v/>
      </c>
      <c r="AR13">
        <f>IF(OR(AR$4="",$A13&gt;TODAY()),0,IF(OR(INDEX($B13:$D13,AR$5)="F",AND(AR$6&gt;0,$A13&lt;AR$6),AND(AR$7&gt;0,$A13&gt;AR$7)),0,MAX(0,ROUND((INDEX($E13:$G13,AR$5)-SUMIFS(TF_Timer,TF_Tekniker,AR$4,TF_Dato,$A13))*2,0)/2)))</f>
        <v/>
      </c>
      <c r="AS13">
        <f>IF(OR(AS$4="",$A13&gt;TODAY()),0,IF(OR(INDEX($B13:$D13,AS$5)="F",AND(AS$6&gt;0,$A13&lt;AS$6),AND(AS$7&gt;0,$A13&gt;AS$7)),0,MAX(0,ROUND((INDEX($E13:$G13,AS$5)-SUMIFS(TF_Timer,TF_Tekniker,AS$4,TF_Dato,$A13))*2,0)/2)))</f>
        <v/>
      </c>
      <c r="AT13">
        <f>IF(OR(AT$4="",$A13&gt;TODAY()),0,IF(OR(INDEX($B13:$D13,AT$5)="F",AND(AT$6&gt;0,$A13&lt;AT$6),AND(AT$7&gt;0,$A13&gt;AT$7)),0,MAX(0,ROUND((INDEX($E13:$G13,AT$5)-SUMIFS(TF_Timer,TF_Tekniker,AT$4,TF_Dato,$A13))*2,0)/2)))</f>
        <v/>
      </c>
      <c r="AU13">
        <f>IF(OR(AU$4="",$A13&gt;TODAY()),0,IF(OR(INDEX($B13:$D13,AU$5)="F",AND(AU$6&gt;0,$A13&lt;AU$6),AND(AU$7&gt;0,$A13&gt;AU$7)),0,MAX(0,ROUND((INDEX($E13:$G13,AU$5)-SUMIFS(TF_Timer,TF_Tekniker,AU$4,TF_Dato,$A13))*2,0)/2)))</f>
        <v/>
      </c>
      <c r="AV13">
        <f>IF(OR(AV$4="",$A13&gt;TODAY()),0,IF(OR(INDEX($B13:$D13,AV$5)="F",AND(AV$6&gt;0,$A13&lt;AV$6),AND(AV$7&gt;0,$A13&gt;AV$7)),0,MAX(0,ROUND((INDEX($E13:$G13,AV$5)-SUMIFS(TF_Timer,TF_Tekniker,AV$4,TF_Dato,$A13))*2,0)/2)))</f>
        <v/>
      </c>
      <c r="AW13">
        <f>IF(OR(AW$4="",$A13&gt;TODAY()),0,IF(OR(INDEX($B13:$D13,AW$5)="F",AND(AW$6&gt;0,$A13&lt;AW$6),AND(AW$7&gt;0,$A13&gt;AW$7)),0,MAX(0,ROUND((INDEX($E13:$G13,AW$5)-SUMIFS(TF_Timer,TF_Tekniker,AW$4,TF_Dato,$A13))*2,0)/2)))</f>
        <v/>
      </c>
      <c r="AX13">
        <f>IF(OR(AX$4="",$A13&gt;TODAY()),0,IF(OR(INDEX($B13:$D13,AX$5)="F",AND(AX$6&gt;0,$A13&lt;AX$6),AND(AX$7&gt;0,$A13&gt;AX$7)),0,MAX(0,ROUND((INDEX($E13:$G13,AX$5)-SUMIFS(TF_Timer,TF_Tekniker,AX$4,TF_Dato,$A13))*2,0)/2)))</f>
        <v/>
      </c>
      <c r="AY13">
        <f>IF(OR(AY$4="",$A13&gt;TODAY()),0,IF(OR(INDEX($B13:$D13,AY$5)="F",AND(AY$6&gt;0,$A13&lt;AY$6),AND(AY$7&gt;0,$A13&gt;AY$7)),0,MAX(0,ROUND((INDEX($E13:$G13,AY$5)-SUMIFS(TF_Timer,TF_Tekniker,AY$4,TF_Dato,$A13))*2,0)/2)))</f>
        <v/>
      </c>
      <c r="AZ13">
        <f>IF(OR(AZ$4="",$A13&gt;TODAY()),0,IF(OR(INDEX($B13:$D13,AZ$5)="F",AND(AZ$6&gt;0,$A13&lt;AZ$6),AND(AZ$7&gt;0,$A13&gt;AZ$7)),0,MAX(0,ROUND((INDEX($E13:$G13,AZ$5)-SUMIFS(TF_Timer,TF_Tekniker,AZ$4,TF_Dato,$A13))*2,0)/2)))</f>
        <v/>
      </c>
      <c r="BA13">
        <f>IF(OR(BA$4="",$A13&gt;TODAY()),0,IF(OR(INDEX($B13:$D13,BA$5)="F",AND(BA$6&gt;0,$A13&lt;BA$6),AND(BA$7&gt;0,$A13&gt;BA$7)),0,MAX(0,ROUND((INDEX($E13:$G13,BA$5)-SUMIFS(TF_Timer,TF_Tekniker,BA$4,TF_Dato,$A13))*2,0)/2)))</f>
        <v/>
      </c>
      <c r="BB13">
        <f>IF(OR(BB$4="",$A13&gt;TODAY()),0,IF(OR(INDEX($B13:$D13,BB$5)="F",AND(BB$6&gt;0,$A13&lt;BB$6),AND(BB$7&gt;0,$A13&gt;BB$7)),0,MAX(0,ROUND((INDEX($E13:$G13,BB$5)-SUMIFS(TF_Timer,TF_Tekniker,BB$4,TF_Dato,$A13))*2,0)/2)))</f>
        <v/>
      </c>
      <c r="BC13">
        <f>IF(OR(BC$4="",$A13&gt;TODAY()),0,IF(OR(INDEX($B13:$D13,BC$5)="F",AND(BC$6&gt;0,$A13&lt;BC$6),AND(BC$7&gt;0,$A13&gt;BC$7)),0,MAX(0,ROUND((INDEX($E13:$G13,BC$5)-SUMIFS(TF_Timer,TF_Tekniker,BC$4,TF_Dato,$A13))*2,0)/2)))</f>
        <v/>
      </c>
      <c r="BD13">
        <f>IF(OR(BD$4="",$A13&gt;TODAY()),0,IF(OR(INDEX($B13:$D13,BD$5)="F",AND(BD$6&gt;0,$A13&lt;BD$6),AND(BD$7&gt;0,$A13&gt;BD$7)),0,MAX(0,ROUND((INDEX($E13:$G13,BD$5)-SUMIFS(TF_Timer,TF_Tekniker,BD$4,TF_Dato,$A13))*2,0)/2)))</f>
        <v/>
      </c>
      <c r="BE13">
        <f>IF(OR(BE$4="",$A13&gt;TODAY()),0,IF(OR(INDEX($B13:$D13,BE$5)="F",AND(BE$6&gt;0,$A13&lt;BE$6),AND(BE$7&gt;0,$A13&gt;BE$7)),0,MAX(0,ROUND((INDEX($E13:$G13,BE$5)-SUMIFS(TF_Timer,TF_Tekniker,BE$4,TF_Dato,$A13))*2,0)/2)))</f>
        <v/>
      </c>
      <c r="BF13">
        <f>IF(OR(BF$4="",$A13&gt;TODAY()),0,IF(OR(INDEX($B13:$D13,BF$5)="F",AND(BF$6&gt;0,$A13&lt;BF$6),AND(BF$7&gt;0,$A13&gt;BF$7)),0,MAX(0,ROUND((INDEX($E13:$G13,BF$5)-SUMIFS(TF_Timer,TF_Tekniker,BF$4,TF_Dato,$A13))*2,0)/2)))</f>
        <v/>
      </c>
      <c r="BG13">
        <f>IF(OR(BG$4="",$A13&gt;TODAY()),0,IF(OR(INDEX($B13:$D13,BG$5)="F",AND(BG$6&gt;0,$A13&lt;BG$6),AND(BG$7&gt;0,$A13&gt;BG$7)),0,MAX(0,ROUND((INDEX($E13:$G13,BG$5)-SUMIFS(TF_Timer,TF_Tekniker,BG$4,TF_Dato,$A13))*2,0)/2)))</f>
        <v/>
      </c>
      <c r="BH13">
        <f>IF(OR(BH$4="",$A13&gt;TODAY()),0,IF(OR(INDEX($B13:$D13,BH$5)="F",AND(BH$6&gt;0,$A13&lt;BH$6),AND(BH$7&gt;0,$A13&gt;BH$7)),0,MAX(0,ROUND((INDEX($E13:$G13,BH$5)-SUMIFS(TF_Timer,TF_Tekniker,BH$4,TF_Dato,$A13))*2,0)/2)))</f>
        <v/>
      </c>
      <c r="BI13">
        <f>IF(OR(BI$4="",$A13&gt;TODAY()),0,IF(OR(INDEX($B13:$D13,BI$5)="F",AND(BI$6&gt;0,$A13&lt;BI$6),AND(BI$7&gt;0,$A13&gt;BI$7)),0,MAX(0,ROUND((INDEX($E13:$G13,BI$5)-SUMIFS(TF_Timer,TF_Tekniker,BI$4,TF_Dato,$A13))*2,0)/2)))</f>
        <v/>
      </c>
    </row>
    <row r="14">
      <c r="A14" s="64">
        <f>A13+1</f>
        <v/>
      </c>
      <c r="B14">
        <f>IF(MOD($A14-INDEX(SkiftStart,1),Syklus)&lt;DagK,"K",IF(MOD($A14-INDEX(SkiftStart,1),Syklus)&lt;DagK+DagH,"H",IF(MOD($A14-INDEX(SkiftStart,1),Syklus)&lt;DagK+DagH+DagD,"D","F")))</f>
        <v/>
      </c>
      <c r="C14">
        <f>IF(MOD($A14-INDEX(SkiftStart,2),Syklus)&lt;DagK,"K",IF(MOD($A14-INDEX(SkiftStart,2),Syklus)&lt;DagK+DagH,"H",IF(MOD($A14-INDEX(SkiftStart,2),Syklus)&lt;DagK+DagH+DagD,"D","F")))</f>
        <v/>
      </c>
      <c r="D14">
        <f>IF(MOD($A14-INDEX(SkiftStart,3),Syklus)&lt;DagK,"K",IF(MOD($A14-INDEX(SkiftStart,3),Syklus)&lt;DagK+DagH,"H",IF(MOD($A14-INDEX(SkiftStart,3),Syklus)&lt;DagK+DagH+DagD,"D","F")))</f>
        <v/>
      </c>
      <c r="E14">
        <f>IF(B14="F",0,IF(WEEKDAY($A14,2)=5,INDEX(TimerFr,MATCH(B14,FaseKode,0)),INDEX(TimerMT,MATCH(B14,FaseKode,0))))</f>
        <v/>
      </c>
      <c r="F14">
        <f>IF(C14="F",0,IF(WEEKDAY($A14,2)=5,INDEX(TimerFr,MATCH(C14,FaseKode,0)),INDEX(TimerMT,MATCH(C14,FaseKode,0))))</f>
        <v/>
      </c>
      <c r="G14">
        <f>IF(D14="F",0,IF(WEEKDAY($A14,2)=5,INDEX(TimerFr,MATCH(D14,FaseKode,0)),INDEX(TimerMT,MATCH(D14,FaseKode,0))))</f>
        <v/>
      </c>
      <c r="H14">
        <f>IF(OR(H$4="",$A14&gt;TODAY()),0,IF(OR(INDEX($B14:$D14,H$5)="F",AND(H$6&gt;0,$A14&lt;H$6),AND(H$7&gt;0,$A14&gt;H$7)),0,MAX(0,ROUND((INDEX($E14:$G14,H$5)-SUMIFS(TF_Timer,TF_Tekniker,H$4,TF_Dato,$A14))*2,0)/2)))</f>
        <v/>
      </c>
      <c r="I14">
        <f>IF(OR(I$4="",$A14&gt;TODAY()),0,IF(OR(INDEX($B14:$D14,I$5)="F",AND(I$6&gt;0,$A14&lt;I$6),AND(I$7&gt;0,$A14&gt;I$7)),0,MAX(0,ROUND((INDEX($E14:$G14,I$5)-SUMIFS(TF_Timer,TF_Tekniker,I$4,TF_Dato,$A14))*2,0)/2)))</f>
        <v/>
      </c>
      <c r="J14">
        <f>IF(OR(J$4="",$A14&gt;TODAY()),0,IF(OR(INDEX($B14:$D14,J$5)="F",AND(J$6&gt;0,$A14&lt;J$6),AND(J$7&gt;0,$A14&gt;J$7)),0,MAX(0,ROUND((INDEX($E14:$G14,J$5)-SUMIFS(TF_Timer,TF_Tekniker,J$4,TF_Dato,$A14))*2,0)/2)))</f>
        <v/>
      </c>
      <c r="K14">
        <f>IF(OR(K$4="",$A14&gt;TODAY()),0,IF(OR(INDEX($B14:$D14,K$5)="F",AND(K$6&gt;0,$A14&lt;K$6),AND(K$7&gt;0,$A14&gt;K$7)),0,MAX(0,ROUND((INDEX($E14:$G14,K$5)-SUMIFS(TF_Timer,TF_Tekniker,K$4,TF_Dato,$A14))*2,0)/2)))</f>
        <v/>
      </c>
      <c r="L14">
        <f>IF(OR(L$4="",$A14&gt;TODAY()),0,IF(OR(INDEX($B14:$D14,L$5)="F",AND(L$6&gt;0,$A14&lt;L$6),AND(L$7&gt;0,$A14&gt;L$7)),0,MAX(0,ROUND((INDEX($E14:$G14,L$5)-SUMIFS(TF_Timer,TF_Tekniker,L$4,TF_Dato,$A14))*2,0)/2)))</f>
        <v/>
      </c>
      <c r="M14">
        <f>IF(OR(M$4="",$A14&gt;TODAY()),0,IF(OR(INDEX($B14:$D14,M$5)="F",AND(M$6&gt;0,$A14&lt;M$6),AND(M$7&gt;0,$A14&gt;M$7)),0,MAX(0,ROUND((INDEX($E14:$G14,M$5)-SUMIFS(TF_Timer,TF_Tekniker,M$4,TF_Dato,$A14))*2,0)/2)))</f>
        <v/>
      </c>
      <c r="N14">
        <f>IF(OR(N$4="",$A14&gt;TODAY()),0,IF(OR(INDEX($B14:$D14,N$5)="F",AND(N$6&gt;0,$A14&lt;N$6),AND(N$7&gt;0,$A14&gt;N$7)),0,MAX(0,ROUND((INDEX($E14:$G14,N$5)-SUMIFS(TF_Timer,TF_Tekniker,N$4,TF_Dato,$A14))*2,0)/2)))</f>
        <v/>
      </c>
      <c r="O14">
        <f>IF(OR(O$4="",$A14&gt;TODAY()),0,IF(OR(INDEX($B14:$D14,O$5)="F",AND(O$6&gt;0,$A14&lt;O$6),AND(O$7&gt;0,$A14&gt;O$7)),0,MAX(0,ROUND((INDEX($E14:$G14,O$5)-SUMIFS(TF_Timer,TF_Tekniker,O$4,TF_Dato,$A14))*2,0)/2)))</f>
        <v/>
      </c>
      <c r="P14">
        <f>IF(OR(P$4="",$A14&gt;TODAY()),0,IF(OR(INDEX($B14:$D14,P$5)="F",AND(P$6&gt;0,$A14&lt;P$6),AND(P$7&gt;0,$A14&gt;P$7)),0,MAX(0,ROUND((INDEX($E14:$G14,P$5)-SUMIFS(TF_Timer,TF_Tekniker,P$4,TF_Dato,$A14))*2,0)/2)))</f>
        <v/>
      </c>
      <c r="Q14">
        <f>IF(OR(Q$4="",$A14&gt;TODAY()),0,IF(OR(INDEX($B14:$D14,Q$5)="F",AND(Q$6&gt;0,$A14&lt;Q$6),AND(Q$7&gt;0,$A14&gt;Q$7)),0,MAX(0,ROUND((INDEX($E14:$G14,Q$5)-SUMIFS(TF_Timer,TF_Tekniker,Q$4,TF_Dato,$A14))*2,0)/2)))</f>
        <v/>
      </c>
      <c r="R14">
        <f>IF(OR(R$4="",$A14&gt;TODAY()),0,IF(OR(INDEX($B14:$D14,R$5)="F",AND(R$6&gt;0,$A14&lt;R$6),AND(R$7&gt;0,$A14&gt;R$7)),0,MAX(0,ROUND((INDEX($E14:$G14,R$5)-SUMIFS(TF_Timer,TF_Tekniker,R$4,TF_Dato,$A14))*2,0)/2)))</f>
        <v/>
      </c>
      <c r="S14">
        <f>IF(OR(S$4="",$A14&gt;TODAY()),0,IF(OR(INDEX($B14:$D14,S$5)="F",AND(S$6&gt;0,$A14&lt;S$6),AND(S$7&gt;0,$A14&gt;S$7)),0,MAX(0,ROUND((INDEX($E14:$G14,S$5)-SUMIFS(TF_Timer,TF_Tekniker,S$4,TF_Dato,$A14))*2,0)/2)))</f>
        <v/>
      </c>
      <c r="T14">
        <f>IF(OR(T$4="",$A14&gt;TODAY()),0,IF(OR(INDEX($B14:$D14,T$5)="F",AND(T$6&gt;0,$A14&lt;T$6),AND(T$7&gt;0,$A14&gt;T$7)),0,MAX(0,ROUND((INDEX($E14:$G14,T$5)-SUMIFS(TF_Timer,TF_Tekniker,T$4,TF_Dato,$A14))*2,0)/2)))</f>
        <v/>
      </c>
      <c r="U14">
        <f>IF(OR(U$4="",$A14&gt;TODAY()),0,IF(OR(INDEX($B14:$D14,U$5)="F",AND(U$6&gt;0,$A14&lt;U$6),AND(U$7&gt;0,$A14&gt;U$7)),0,MAX(0,ROUND((INDEX($E14:$G14,U$5)-SUMIFS(TF_Timer,TF_Tekniker,U$4,TF_Dato,$A14))*2,0)/2)))</f>
        <v/>
      </c>
      <c r="V14">
        <f>IF(OR(V$4="",$A14&gt;TODAY()),0,IF(OR(INDEX($B14:$D14,V$5)="F",AND(V$6&gt;0,$A14&lt;V$6),AND(V$7&gt;0,$A14&gt;V$7)),0,MAX(0,ROUND((INDEX($E14:$G14,V$5)-SUMIFS(TF_Timer,TF_Tekniker,V$4,TF_Dato,$A14))*2,0)/2)))</f>
        <v/>
      </c>
      <c r="W14">
        <f>IF(OR(W$4="",$A14&gt;TODAY()),0,IF(OR(INDEX($B14:$D14,W$5)="F",AND(W$6&gt;0,$A14&lt;W$6),AND(W$7&gt;0,$A14&gt;W$7)),0,MAX(0,ROUND((INDEX($E14:$G14,W$5)-SUMIFS(TF_Timer,TF_Tekniker,W$4,TF_Dato,$A14))*2,0)/2)))</f>
        <v/>
      </c>
      <c r="X14">
        <f>IF(OR(X$4="",$A14&gt;TODAY()),0,IF(OR(INDEX($B14:$D14,X$5)="F",AND(X$6&gt;0,$A14&lt;X$6),AND(X$7&gt;0,$A14&gt;X$7)),0,MAX(0,ROUND((INDEX($E14:$G14,X$5)-SUMIFS(TF_Timer,TF_Tekniker,X$4,TF_Dato,$A14))*2,0)/2)))</f>
        <v/>
      </c>
      <c r="Y14">
        <f>IF(OR(Y$4="",$A14&gt;TODAY()),0,IF(OR(INDEX($B14:$D14,Y$5)="F",AND(Y$6&gt;0,$A14&lt;Y$6),AND(Y$7&gt;0,$A14&gt;Y$7)),0,MAX(0,ROUND((INDEX($E14:$G14,Y$5)-SUMIFS(TF_Timer,TF_Tekniker,Y$4,TF_Dato,$A14))*2,0)/2)))</f>
        <v/>
      </c>
      <c r="Z14">
        <f>IF(OR(Z$4="",$A14&gt;TODAY()),0,IF(OR(INDEX($B14:$D14,Z$5)="F",AND(Z$6&gt;0,$A14&lt;Z$6),AND(Z$7&gt;0,$A14&gt;Z$7)),0,MAX(0,ROUND((INDEX($E14:$G14,Z$5)-SUMIFS(TF_Timer,TF_Tekniker,Z$4,TF_Dato,$A14))*2,0)/2)))</f>
        <v/>
      </c>
      <c r="AA14">
        <f>IF(OR(AA$4="",$A14&gt;TODAY()),0,IF(OR(INDEX($B14:$D14,AA$5)="F",AND(AA$6&gt;0,$A14&lt;AA$6),AND(AA$7&gt;0,$A14&gt;AA$7)),0,MAX(0,ROUND((INDEX($E14:$G14,AA$5)-SUMIFS(TF_Timer,TF_Tekniker,AA$4,TF_Dato,$A14))*2,0)/2)))</f>
        <v/>
      </c>
      <c r="AB14">
        <f>IF(OR(AB$4="",$A14&gt;TODAY()),0,IF(OR(INDEX($B14:$D14,AB$5)="F",AND(AB$6&gt;0,$A14&lt;AB$6),AND(AB$7&gt;0,$A14&gt;AB$7)),0,MAX(0,ROUND((INDEX($E14:$G14,AB$5)-SUMIFS(TF_Timer,TF_Tekniker,AB$4,TF_Dato,$A14))*2,0)/2)))</f>
        <v/>
      </c>
      <c r="AC14">
        <f>IF(OR(AC$4="",$A14&gt;TODAY()),0,IF(OR(INDEX($B14:$D14,AC$5)="F",AND(AC$6&gt;0,$A14&lt;AC$6),AND(AC$7&gt;0,$A14&gt;AC$7)),0,MAX(0,ROUND((INDEX($E14:$G14,AC$5)-SUMIFS(TF_Timer,TF_Tekniker,AC$4,TF_Dato,$A14))*2,0)/2)))</f>
        <v/>
      </c>
      <c r="AD14">
        <f>IF(OR(AD$4="",$A14&gt;TODAY()),0,IF(OR(INDEX($B14:$D14,AD$5)="F",AND(AD$6&gt;0,$A14&lt;AD$6),AND(AD$7&gt;0,$A14&gt;AD$7)),0,MAX(0,ROUND((INDEX($E14:$G14,AD$5)-SUMIFS(TF_Timer,TF_Tekniker,AD$4,TF_Dato,$A14))*2,0)/2)))</f>
        <v/>
      </c>
      <c r="AE14">
        <f>IF(OR(AE$4="",$A14&gt;TODAY()),0,IF(OR(INDEX($B14:$D14,AE$5)="F",AND(AE$6&gt;0,$A14&lt;AE$6),AND(AE$7&gt;0,$A14&gt;AE$7)),0,MAX(0,ROUND((INDEX($E14:$G14,AE$5)-SUMIFS(TF_Timer,TF_Tekniker,AE$4,TF_Dato,$A14))*2,0)/2)))</f>
        <v/>
      </c>
      <c r="AF14">
        <f>IF(OR(AF$4="",$A14&gt;TODAY()),0,IF(OR(INDEX($B14:$D14,AF$5)="F",AND(AF$6&gt;0,$A14&lt;AF$6),AND(AF$7&gt;0,$A14&gt;AF$7)),0,MAX(0,ROUND((INDEX($E14:$G14,AF$5)-SUMIFS(TF_Timer,TF_Tekniker,AF$4,TF_Dato,$A14))*2,0)/2)))</f>
        <v/>
      </c>
      <c r="AG14">
        <f>IF(OR(AG$4="",$A14&gt;TODAY()),0,IF(OR(INDEX($B14:$D14,AG$5)="F",AND(AG$6&gt;0,$A14&lt;AG$6),AND(AG$7&gt;0,$A14&gt;AG$7)),0,MAX(0,ROUND((INDEX($E14:$G14,AG$5)-SUMIFS(TF_Timer,TF_Tekniker,AG$4,TF_Dato,$A14))*2,0)/2)))</f>
        <v/>
      </c>
      <c r="AH14">
        <f>IF(OR(AH$4="",$A14&gt;TODAY()),0,IF(OR(INDEX($B14:$D14,AH$5)="F",AND(AH$6&gt;0,$A14&lt;AH$6),AND(AH$7&gt;0,$A14&gt;AH$7)),0,MAX(0,ROUND((INDEX($E14:$G14,AH$5)-SUMIFS(TF_Timer,TF_Tekniker,AH$4,TF_Dato,$A14))*2,0)/2)))</f>
        <v/>
      </c>
      <c r="AI14">
        <f>IF(OR(AI$4="",$A14&gt;TODAY()),0,IF(OR(INDEX($B14:$D14,AI$5)="F",AND(AI$6&gt;0,$A14&lt;AI$6),AND(AI$7&gt;0,$A14&gt;AI$7)),0,MAX(0,ROUND((INDEX($E14:$G14,AI$5)-SUMIFS(TF_Timer,TF_Tekniker,AI$4,TF_Dato,$A14))*2,0)/2)))</f>
        <v/>
      </c>
      <c r="AJ14">
        <f>IF(OR(AJ$4="",$A14&gt;TODAY()),0,IF(OR(INDEX($B14:$D14,AJ$5)="F",AND(AJ$6&gt;0,$A14&lt;AJ$6),AND(AJ$7&gt;0,$A14&gt;AJ$7)),0,MAX(0,ROUND((INDEX($E14:$G14,AJ$5)-SUMIFS(TF_Timer,TF_Tekniker,AJ$4,TF_Dato,$A14))*2,0)/2)))</f>
        <v/>
      </c>
      <c r="AK14">
        <f>IF(OR(AK$4="",$A14&gt;TODAY()),0,IF(OR(INDEX($B14:$D14,AK$5)="F",AND(AK$6&gt;0,$A14&lt;AK$6),AND(AK$7&gt;0,$A14&gt;AK$7)),0,MAX(0,ROUND((INDEX($E14:$G14,AK$5)-SUMIFS(TF_Timer,TF_Tekniker,AK$4,TF_Dato,$A14))*2,0)/2)))</f>
        <v/>
      </c>
      <c r="AL14">
        <f>IF(OR(AL$4="",$A14&gt;TODAY()),0,IF(OR(INDEX($B14:$D14,AL$5)="F",AND(AL$6&gt;0,$A14&lt;AL$6),AND(AL$7&gt;0,$A14&gt;AL$7)),0,MAX(0,ROUND((INDEX($E14:$G14,AL$5)-SUMIFS(TF_Timer,TF_Tekniker,AL$4,TF_Dato,$A14))*2,0)/2)))</f>
        <v/>
      </c>
      <c r="AM14">
        <f>IF(OR(AM$4="",$A14&gt;TODAY()),0,IF(OR(INDEX($B14:$D14,AM$5)="F",AND(AM$6&gt;0,$A14&lt;AM$6),AND(AM$7&gt;0,$A14&gt;AM$7)),0,MAX(0,ROUND((INDEX($E14:$G14,AM$5)-SUMIFS(TF_Timer,TF_Tekniker,AM$4,TF_Dato,$A14))*2,0)/2)))</f>
        <v/>
      </c>
      <c r="AN14">
        <f>IF(OR(AN$4="",$A14&gt;TODAY()),0,IF(OR(INDEX($B14:$D14,AN$5)="F",AND(AN$6&gt;0,$A14&lt;AN$6),AND(AN$7&gt;0,$A14&gt;AN$7)),0,MAX(0,ROUND((INDEX($E14:$G14,AN$5)-SUMIFS(TF_Timer,TF_Tekniker,AN$4,TF_Dato,$A14))*2,0)/2)))</f>
        <v/>
      </c>
      <c r="AO14">
        <f>IF(OR(AO$4="",$A14&gt;TODAY()),0,IF(OR(INDEX($B14:$D14,AO$5)="F",AND(AO$6&gt;0,$A14&lt;AO$6),AND(AO$7&gt;0,$A14&gt;AO$7)),0,MAX(0,ROUND((INDEX($E14:$G14,AO$5)-SUMIFS(TF_Timer,TF_Tekniker,AO$4,TF_Dato,$A14))*2,0)/2)))</f>
        <v/>
      </c>
      <c r="AP14">
        <f>IF(OR(AP$4="",$A14&gt;TODAY()),0,IF(OR(INDEX($B14:$D14,AP$5)="F",AND(AP$6&gt;0,$A14&lt;AP$6),AND(AP$7&gt;0,$A14&gt;AP$7)),0,MAX(0,ROUND((INDEX($E14:$G14,AP$5)-SUMIFS(TF_Timer,TF_Tekniker,AP$4,TF_Dato,$A14))*2,0)/2)))</f>
        <v/>
      </c>
      <c r="AQ14">
        <f>IF(OR(AQ$4="",$A14&gt;TODAY()),0,IF(OR(INDEX($B14:$D14,AQ$5)="F",AND(AQ$6&gt;0,$A14&lt;AQ$6),AND(AQ$7&gt;0,$A14&gt;AQ$7)),0,MAX(0,ROUND((INDEX($E14:$G14,AQ$5)-SUMIFS(TF_Timer,TF_Tekniker,AQ$4,TF_Dato,$A14))*2,0)/2)))</f>
        <v/>
      </c>
      <c r="AR14">
        <f>IF(OR(AR$4="",$A14&gt;TODAY()),0,IF(OR(INDEX($B14:$D14,AR$5)="F",AND(AR$6&gt;0,$A14&lt;AR$6),AND(AR$7&gt;0,$A14&gt;AR$7)),0,MAX(0,ROUND((INDEX($E14:$G14,AR$5)-SUMIFS(TF_Timer,TF_Tekniker,AR$4,TF_Dato,$A14))*2,0)/2)))</f>
        <v/>
      </c>
      <c r="AS14">
        <f>IF(OR(AS$4="",$A14&gt;TODAY()),0,IF(OR(INDEX($B14:$D14,AS$5)="F",AND(AS$6&gt;0,$A14&lt;AS$6),AND(AS$7&gt;0,$A14&gt;AS$7)),0,MAX(0,ROUND((INDEX($E14:$G14,AS$5)-SUMIFS(TF_Timer,TF_Tekniker,AS$4,TF_Dato,$A14))*2,0)/2)))</f>
        <v/>
      </c>
      <c r="AT14">
        <f>IF(OR(AT$4="",$A14&gt;TODAY()),0,IF(OR(INDEX($B14:$D14,AT$5)="F",AND(AT$6&gt;0,$A14&lt;AT$6),AND(AT$7&gt;0,$A14&gt;AT$7)),0,MAX(0,ROUND((INDEX($E14:$G14,AT$5)-SUMIFS(TF_Timer,TF_Tekniker,AT$4,TF_Dato,$A14))*2,0)/2)))</f>
        <v/>
      </c>
      <c r="AU14">
        <f>IF(OR(AU$4="",$A14&gt;TODAY()),0,IF(OR(INDEX($B14:$D14,AU$5)="F",AND(AU$6&gt;0,$A14&lt;AU$6),AND(AU$7&gt;0,$A14&gt;AU$7)),0,MAX(0,ROUND((INDEX($E14:$G14,AU$5)-SUMIFS(TF_Timer,TF_Tekniker,AU$4,TF_Dato,$A14))*2,0)/2)))</f>
        <v/>
      </c>
      <c r="AV14">
        <f>IF(OR(AV$4="",$A14&gt;TODAY()),0,IF(OR(INDEX($B14:$D14,AV$5)="F",AND(AV$6&gt;0,$A14&lt;AV$6),AND(AV$7&gt;0,$A14&gt;AV$7)),0,MAX(0,ROUND((INDEX($E14:$G14,AV$5)-SUMIFS(TF_Timer,TF_Tekniker,AV$4,TF_Dato,$A14))*2,0)/2)))</f>
        <v/>
      </c>
      <c r="AW14">
        <f>IF(OR(AW$4="",$A14&gt;TODAY()),0,IF(OR(INDEX($B14:$D14,AW$5)="F",AND(AW$6&gt;0,$A14&lt;AW$6),AND(AW$7&gt;0,$A14&gt;AW$7)),0,MAX(0,ROUND((INDEX($E14:$G14,AW$5)-SUMIFS(TF_Timer,TF_Tekniker,AW$4,TF_Dato,$A14))*2,0)/2)))</f>
        <v/>
      </c>
      <c r="AX14">
        <f>IF(OR(AX$4="",$A14&gt;TODAY()),0,IF(OR(INDEX($B14:$D14,AX$5)="F",AND(AX$6&gt;0,$A14&lt;AX$6),AND(AX$7&gt;0,$A14&gt;AX$7)),0,MAX(0,ROUND((INDEX($E14:$G14,AX$5)-SUMIFS(TF_Timer,TF_Tekniker,AX$4,TF_Dato,$A14))*2,0)/2)))</f>
        <v/>
      </c>
      <c r="AY14">
        <f>IF(OR(AY$4="",$A14&gt;TODAY()),0,IF(OR(INDEX($B14:$D14,AY$5)="F",AND(AY$6&gt;0,$A14&lt;AY$6),AND(AY$7&gt;0,$A14&gt;AY$7)),0,MAX(0,ROUND((INDEX($E14:$G14,AY$5)-SUMIFS(TF_Timer,TF_Tekniker,AY$4,TF_Dato,$A14))*2,0)/2)))</f>
        <v/>
      </c>
      <c r="AZ14">
        <f>IF(OR(AZ$4="",$A14&gt;TODAY()),0,IF(OR(INDEX($B14:$D14,AZ$5)="F",AND(AZ$6&gt;0,$A14&lt;AZ$6),AND(AZ$7&gt;0,$A14&gt;AZ$7)),0,MAX(0,ROUND((INDEX($E14:$G14,AZ$5)-SUMIFS(TF_Timer,TF_Tekniker,AZ$4,TF_Dato,$A14))*2,0)/2)))</f>
        <v/>
      </c>
      <c r="BA14">
        <f>IF(OR(BA$4="",$A14&gt;TODAY()),0,IF(OR(INDEX($B14:$D14,BA$5)="F",AND(BA$6&gt;0,$A14&lt;BA$6),AND(BA$7&gt;0,$A14&gt;BA$7)),0,MAX(0,ROUND((INDEX($E14:$G14,BA$5)-SUMIFS(TF_Timer,TF_Tekniker,BA$4,TF_Dato,$A14))*2,0)/2)))</f>
        <v/>
      </c>
      <c r="BB14">
        <f>IF(OR(BB$4="",$A14&gt;TODAY()),0,IF(OR(INDEX($B14:$D14,BB$5)="F",AND(BB$6&gt;0,$A14&lt;BB$6),AND(BB$7&gt;0,$A14&gt;BB$7)),0,MAX(0,ROUND((INDEX($E14:$G14,BB$5)-SUMIFS(TF_Timer,TF_Tekniker,BB$4,TF_Dato,$A14))*2,0)/2)))</f>
        <v/>
      </c>
      <c r="BC14">
        <f>IF(OR(BC$4="",$A14&gt;TODAY()),0,IF(OR(INDEX($B14:$D14,BC$5)="F",AND(BC$6&gt;0,$A14&lt;BC$6),AND(BC$7&gt;0,$A14&gt;BC$7)),0,MAX(0,ROUND((INDEX($E14:$G14,BC$5)-SUMIFS(TF_Timer,TF_Tekniker,BC$4,TF_Dato,$A14))*2,0)/2)))</f>
        <v/>
      </c>
      <c r="BD14">
        <f>IF(OR(BD$4="",$A14&gt;TODAY()),0,IF(OR(INDEX($B14:$D14,BD$5)="F",AND(BD$6&gt;0,$A14&lt;BD$6),AND(BD$7&gt;0,$A14&gt;BD$7)),0,MAX(0,ROUND((INDEX($E14:$G14,BD$5)-SUMIFS(TF_Timer,TF_Tekniker,BD$4,TF_Dato,$A14))*2,0)/2)))</f>
        <v/>
      </c>
      <c r="BE14">
        <f>IF(OR(BE$4="",$A14&gt;TODAY()),0,IF(OR(INDEX($B14:$D14,BE$5)="F",AND(BE$6&gt;0,$A14&lt;BE$6),AND(BE$7&gt;0,$A14&gt;BE$7)),0,MAX(0,ROUND((INDEX($E14:$G14,BE$5)-SUMIFS(TF_Timer,TF_Tekniker,BE$4,TF_Dato,$A14))*2,0)/2)))</f>
        <v/>
      </c>
      <c r="BF14">
        <f>IF(OR(BF$4="",$A14&gt;TODAY()),0,IF(OR(INDEX($B14:$D14,BF$5)="F",AND(BF$6&gt;0,$A14&lt;BF$6),AND(BF$7&gt;0,$A14&gt;BF$7)),0,MAX(0,ROUND((INDEX($E14:$G14,BF$5)-SUMIFS(TF_Timer,TF_Tekniker,BF$4,TF_Dato,$A14))*2,0)/2)))</f>
        <v/>
      </c>
      <c r="BG14">
        <f>IF(OR(BG$4="",$A14&gt;TODAY()),0,IF(OR(INDEX($B14:$D14,BG$5)="F",AND(BG$6&gt;0,$A14&lt;BG$6),AND(BG$7&gt;0,$A14&gt;BG$7)),0,MAX(0,ROUND((INDEX($E14:$G14,BG$5)-SUMIFS(TF_Timer,TF_Tekniker,BG$4,TF_Dato,$A14))*2,0)/2)))</f>
        <v/>
      </c>
      <c r="BH14">
        <f>IF(OR(BH$4="",$A14&gt;TODAY()),0,IF(OR(INDEX($B14:$D14,BH$5)="F",AND(BH$6&gt;0,$A14&lt;BH$6),AND(BH$7&gt;0,$A14&gt;BH$7)),0,MAX(0,ROUND((INDEX($E14:$G14,BH$5)-SUMIFS(TF_Timer,TF_Tekniker,BH$4,TF_Dato,$A14))*2,0)/2)))</f>
        <v/>
      </c>
      <c r="BI14">
        <f>IF(OR(BI$4="",$A14&gt;TODAY()),0,IF(OR(INDEX($B14:$D14,BI$5)="F",AND(BI$6&gt;0,$A14&lt;BI$6),AND(BI$7&gt;0,$A14&gt;BI$7)),0,MAX(0,ROUND((INDEX($E14:$G14,BI$5)-SUMIFS(TF_Timer,TF_Tekniker,BI$4,TF_Dato,$A14))*2,0)/2)))</f>
        <v/>
      </c>
    </row>
    <row r="15">
      <c r="A15" s="64">
        <f>A14+1</f>
        <v/>
      </c>
      <c r="B15">
        <f>IF(MOD($A15-INDEX(SkiftStart,1),Syklus)&lt;DagK,"K",IF(MOD($A15-INDEX(SkiftStart,1),Syklus)&lt;DagK+DagH,"H",IF(MOD($A15-INDEX(SkiftStart,1),Syklus)&lt;DagK+DagH+DagD,"D","F")))</f>
        <v/>
      </c>
      <c r="C15">
        <f>IF(MOD($A15-INDEX(SkiftStart,2),Syklus)&lt;DagK,"K",IF(MOD($A15-INDEX(SkiftStart,2),Syklus)&lt;DagK+DagH,"H",IF(MOD($A15-INDEX(SkiftStart,2),Syklus)&lt;DagK+DagH+DagD,"D","F")))</f>
        <v/>
      </c>
      <c r="D15">
        <f>IF(MOD($A15-INDEX(SkiftStart,3),Syklus)&lt;DagK,"K",IF(MOD($A15-INDEX(SkiftStart,3),Syklus)&lt;DagK+DagH,"H",IF(MOD($A15-INDEX(SkiftStart,3),Syklus)&lt;DagK+DagH+DagD,"D","F")))</f>
        <v/>
      </c>
      <c r="E15">
        <f>IF(B15="F",0,IF(WEEKDAY($A15,2)=5,INDEX(TimerFr,MATCH(B15,FaseKode,0)),INDEX(TimerMT,MATCH(B15,FaseKode,0))))</f>
        <v/>
      </c>
      <c r="F15">
        <f>IF(C15="F",0,IF(WEEKDAY($A15,2)=5,INDEX(TimerFr,MATCH(C15,FaseKode,0)),INDEX(TimerMT,MATCH(C15,FaseKode,0))))</f>
        <v/>
      </c>
      <c r="G15">
        <f>IF(D15="F",0,IF(WEEKDAY($A15,2)=5,INDEX(TimerFr,MATCH(D15,FaseKode,0)),INDEX(TimerMT,MATCH(D15,FaseKode,0))))</f>
        <v/>
      </c>
      <c r="H15">
        <f>IF(OR(H$4="",$A15&gt;TODAY()),0,IF(OR(INDEX($B15:$D15,H$5)="F",AND(H$6&gt;0,$A15&lt;H$6),AND(H$7&gt;0,$A15&gt;H$7)),0,MAX(0,ROUND((INDEX($E15:$G15,H$5)-SUMIFS(TF_Timer,TF_Tekniker,H$4,TF_Dato,$A15))*2,0)/2)))</f>
        <v/>
      </c>
      <c r="I15">
        <f>IF(OR(I$4="",$A15&gt;TODAY()),0,IF(OR(INDEX($B15:$D15,I$5)="F",AND(I$6&gt;0,$A15&lt;I$6),AND(I$7&gt;0,$A15&gt;I$7)),0,MAX(0,ROUND((INDEX($E15:$G15,I$5)-SUMIFS(TF_Timer,TF_Tekniker,I$4,TF_Dato,$A15))*2,0)/2)))</f>
        <v/>
      </c>
      <c r="J15">
        <f>IF(OR(J$4="",$A15&gt;TODAY()),0,IF(OR(INDEX($B15:$D15,J$5)="F",AND(J$6&gt;0,$A15&lt;J$6),AND(J$7&gt;0,$A15&gt;J$7)),0,MAX(0,ROUND((INDEX($E15:$G15,J$5)-SUMIFS(TF_Timer,TF_Tekniker,J$4,TF_Dato,$A15))*2,0)/2)))</f>
        <v/>
      </c>
      <c r="K15">
        <f>IF(OR(K$4="",$A15&gt;TODAY()),0,IF(OR(INDEX($B15:$D15,K$5)="F",AND(K$6&gt;0,$A15&lt;K$6),AND(K$7&gt;0,$A15&gt;K$7)),0,MAX(0,ROUND((INDEX($E15:$G15,K$5)-SUMIFS(TF_Timer,TF_Tekniker,K$4,TF_Dato,$A15))*2,0)/2)))</f>
        <v/>
      </c>
      <c r="L15">
        <f>IF(OR(L$4="",$A15&gt;TODAY()),0,IF(OR(INDEX($B15:$D15,L$5)="F",AND(L$6&gt;0,$A15&lt;L$6),AND(L$7&gt;0,$A15&gt;L$7)),0,MAX(0,ROUND((INDEX($E15:$G15,L$5)-SUMIFS(TF_Timer,TF_Tekniker,L$4,TF_Dato,$A15))*2,0)/2)))</f>
        <v/>
      </c>
      <c r="M15">
        <f>IF(OR(M$4="",$A15&gt;TODAY()),0,IF(OR(INDEX($B15:$D15,M$5)="F",AND(M$6&gt;0,$A15&lt;M$6),AND(M$7&gt;0,$A15&gt;M$7)),0,MAX(0,ROUND((INDEX($E15:$G15,M$5)-SUMIFS(TF_Timer,TF_Tekniker,M$4,TF_Dato,$A15))*2,0)/2)))</f>
        <v/>
      </c>
      <c r="N15">
        <f>IF(OR(N$4="",$A15&gt;TODAY()),0,IF(OR(INDEX($B15:$D15,N$5)="F",AND(N$6&gt;0,$A15&lt;N$6),AND(N$7&gt;0,$A15&gt;N$7)),0,MAX(0,ROUND((INDEX($E15:$G15,N$5)-SUMIFS(TF_Timer,TF_Tekniker,N$4,TF_Dato,$A15))*2,0)/2)))</f>
        <v/>
      </c>
      <c r="O15">
        <f>IF(OR(O$4="",$A15&gt;TODAY()),0,IF(OR(INDEX($B15:$D15,O$5)="F",AND(O$6&gt;0,$A15&lt;O$6),AND(O$7&gt;0,$A15&gt;O$7)),0,MAX(0,ROUND((INDEX($E15:$G15,O$5)-SUMIFS(TF_Timer,TF_Tekniker,O$4,TF_Dato,$A15))*2,0)/2)))</f>
        <v/>
      </c>
      <c r="P15">
        <f>IF(OR(P$4="",$A15&gt;TODAY()),0,IF(OR(INDEX($B15:$D15,P$5)="F",AND(P$6&gt;0,$A15&lt;P$6),AND(P$7&gt;0,$A15&gt;P$7)),0,MAX(0,ROUND((INDEX($E15:$G15,P$5)-SUMIFS(TF_Timer,TF_Tekniker,P$4,TF_Dato,$A15))*2,0)/2)))</f>
        <v/>
      </c>
      <c r="Q15">
        <f>IF(OR(Q$4="",$A15&gt;TODAY()),0,IF(OR(INDEX($B15:$D15,Q$5)="F",AND(Q$6&gt;0,$A15&lt;Q$6),AND(Q$7&gt;0,$A15&gt;Q$7)),0,MAX(0,ROUND((INDEX($E15:$G15,Q$5)-SUMIFS(TF_Timer,TF_Tekniker,Q$4,TF_Dato,$A15))*2,0)/2)))</f>
        <v/>
      </c>
      <c r="R15">
        <f>IF(OR(R$4="",$A15&gt;TODAY()),0,IF(OR(INDEX($B15:$D15,R$5)="F",AND(R$6&gt;0,$A15&lt;R$6),AND(R$7&gt;0,$A15&gt;R$7)),0,MAX(0,ROUND((INDEX($E15:$G15,R$5)-SUMIFS(TF_Timer,TF_Tekniker,R$4,TF_Dato,$A15))*2,0)/2)))</f>
        <v/>
      </c>
      <c r="S15">
        <f>IF(OR(S$4="",$A15&gt;TODAY()),0,IF(OR(INDEX($B15:$D15,S$5)="F",AND(S$6&gt;0,$A15&lt;S$6),AND(S$7&gt;0,$A15&gt;S$7)),0,MAX(0,ROUND((INDEX($E15:$G15,S$5)-SUMIFS(TF_Timer,TF_Tekniker,S$4,TF_Dato,$A15))*2,0)/2)))</f>
        <v/>
      </c>
      <c r="T15">
        <f>IF(OR(T$4="",$A15&gt;TODAY()),0,IF(OR(INDEX($B15:$D15,T$5)="F",AND(T$6&gt;0,$A15&lt;T$6),AND(T$7&gt;0,$A15&gt;T$7)),0,MAX(0,ROUND((INDEX($E15:$G15,T$5)-SUMIFS(TF_Timer,TF_Tekniker,T$4,TF_Dato,$A15))*2,0)/2)))</f>
        <v/>
      </c>
      <c r="U15">
        <f>IF(OR(U$4="",$A15&gt;TODAY()),0,IF(OR(INDEX($B15:$D15,U$5)="F",AND(U$6&gt;0,$A15&lt;U$6),AND(U$7&gt;0,$A15&gt;U$7)),0,MAX(0,ROUND((INDEX($E15:$G15,U$5)-SUMIFS(TF_Timer,TF_Tekniker,U$4,TF_Dato,$A15))*2,0)/2)))</f>
        <v/>
      </c>
      <c r="V15">
        <f>IF(OR(V$4="",$A15&gt;TODAY()),0,IF(OR(INDEX($B15:$D15,V$5)="F",AND(V$6&gt;0,$A15&lt;V$6),AND(V$7&gt;0,$A15&gt;V$7)),0,MAX(0,ROUND((INDEX($E15:$G15,V$5)-SUMIFS(TF_Timer,TF_Tekniker,V$4,TF_Dato,$A15))*2,0)/2)))</f>
        <v/>
      </c>
      <c r="W15">
        <f>IF(OR(W$4="",$A15&gt;TODAY()),0,IF(OR(INDEX($B15:$D15,W$5)="F",AND(W$6&gt;0,$A15&lt;W$6),AND(W$7&gt;0,$A15&gt;W$7)),0,MAX(0,ROUND((INDEX($E15:$G15,W$5)-SUMIFS(TF_Timer,TF_Tekniker,W$4,TF_Dato,$A15))*2,0)/2)))</f>
        <v/>
      </c>
      <c r="X15">
        <f>IF(OR(X$4="",$A15&gt;TODAY()),0,IF(OR(INDEX($B15:$D15,X$5)="F",AND(X$6&gt;0,$A15&lt;X$6),AND(X$7&gt;0,$A15&gt;X$7)),0,MAX(0,ROUND((INDEX($E15:$G15,X$5)-SUMIFS(TF_Timer,TF_Tekniker,X$4,TF_Dato,$A15))*2,0)/2)))</f>
        <v/>
      </c>
      <c r="Y15">
        <f>IF(OR(Y$4="",$A15&gt;TODAY()),0,IF(OR(INDEX($B15:$D15,Y$5)="F",AND(Y$6&gt;0,$A15&lt;Y$6),AND(Y$7&gt;0,$A15&gt;Y$7)),0,MAX(0,ROUND((INDEX($E15:$G15,Y$5)-SUMIFS(TF_Timer,TF_Tekniker,Y$4,TF_Dato,$A15))*2,0)/2)))</f>
        <v/>
      </c>
      <c r="Z15">
        <f>IF(OR(Z$4="",$A15&gt;TODAY()),0,IF(OR(INDEX($B15:$D15,Z$5)="F",AND(Z$6&gt;0,$A15&lt;Z$6),AND(Z$7&gt;0,$A15&gt;Z$7)),0,MAX(0,ROUND((INDEX($E15:$G15,Z$5)-SUMIFS(TF_Timer,TF_Tekniker,Z$4,TF_Dato,$A15))*2,0)/2)))</f>
        <v/>
      </c>
      <c r="AA15">
        <f>IF(OR(AA$4="",$A15&gt;TODAY()),0,IF(OR(INDEX($B15:$D15,AA$5)="F",AND(AA$6&gt;0,$A15&lt;AA$6),AND(AA$7&gt;0,$A15&gt;AA$7)),0,MAX(0,ROUND((INDEX($E15:$G15,AA$5)-SUMIFS(TF_Timer,TF_Tekniker,AA$4,TF_Dato,$A15))*2,0)/2)))</f>
        <v/>
      </c>
      <c r="AB15">
        <f>IF(OR(AB$4="",$A15&gt;TODAY()),0,IF(OR(INDEX($B15:$D15,AB$5)="F",AND(AB$6&gt;0,$A15&lt;AB$6),AND(AB$7&gt;0,$A15&gt;AB$7)),0,MAX(0,ROUND((INDEX($E15:$G15,AB$5)-SUMIFS(TF_Timer,TF_Tekniker,AB$4,TF_Dato,$A15))*2,0)/2)))</f>
        <v/>
      </c>
      <c r="AC15">
        <f>IF(OR(AC$4="",$A15&gt;TODAY()),0,IF(OR(INDEX($B15:$D15,AC$5)="F",AND(AC$6&gt;0,$A15&lt;AC$6),AND(AC$7&gt;0,$A15&gt;AC$7)),0,MAX(0,ROUND((INDEX($E15:$G15,AC$5)-SUMIFS(TF_Timer,TF_Tekniker,AC$4,TF_Dato,$A15))*2,0)/2)))</f>
        <v/>
      </c>
      <c r="AD15">
        <f>IF(OR(AD$4="",$A15&gt;TODAY()),0,IF(OR(INDEX($B15:$D15,AD$5)="F",AND(AD$6&gt;0,$A15&lt;AD$6),AND(AD$7&gt;0,$A15&gt;AD$7)),0,MAX(0,ROUND((INDEX($E15:$G15,AD$5)-SUMIFS(TF_Timer,TF_Tekniker,AD$4,TF_Dato,$A15))*2,0)/2)))</f>
        <v/>
      </c>
      <c r="AE15">
        <f>IF(OR(AE$4="",$A15&gt;TODAY()),0,IF(OR(INDEX($B15:$D15,AE$5)="F",AND(AE$6&gt;0,$A15&lt;AE$6),AND(AE$7&gt;0,$A15&gt;AE$7)),0,MAX(0,ROUND((INDEX($E15:$G15,AE$5)-SUMIFS(TF_Timer,TF_Tekniker,AE$4,TF_Dato,$A15))*2,0)/2)))</f>
        <v/>
      </c>
      <c r="AF15">
        <f>IF(OR(AF$4="",$A15&gt;TODAY()),0,IF(OR(INDEX($B15:$D15,AF$5)="F",AND(AF$6&gt;0,$A15&lt;AF$6),AND(AF$7&gt;0,$A15&gt;AF$7)),0,MAX(0,ROUND((INDEX($E15:$G15,AF$5)-SUMIFS(TF_Timer,TF_Tekniker,AF$4,TF_Dato,$A15))*2,0)/2)))</f>
        <v/>
      </c>
      <c r="AG15">
        <f>IF(OR(AG$4="",$A15&gt;TODAY()),0,IF(OR(INDEX($B15:$D15,AG$5)="F",AND(AG$6&gt;0,$A15&lt;AG$6),AND(AG$7&gt;0,$A15&gt;AG$7)),0,MAX(0,ROUND((INDEX($E15:$G15,AG$5)-SUMIFS(TF_Timer,TF_Tekniker,AG$4,TF_Dato,$A15))*2,0)/2)))</f>
        <v/>
      </c>
      <c r="AH15">
        <f>IF(OR(AH$4="",$A15&gt;TODAY()),0,IF(OR(INDEX($B15:$D15,AH$5)="F",AND(AH$6&gt;0,$A15&lt;AH$6),AND(AH$7&gt;0,$A15&gt;AH$7)),0,MAX(0,ROUND((INDEX($E15:$G15,AH$5)-SUMIFS(TF_Timer,TF_Tekniker,AH$4,TF_Dato,$A15))*2,0)/2)))</f>
        <v/>
      </c>
      <c r="AI15">
        <f>IF(OR(AI$4="",$A15&gt;TODAY()),0,IF(OR(INDEX($B15:$D15,AI$5)="F",AND(AI$6&gt;0,$A15&lt;AI$6),AND(AI$7&gt;0,$A15&gt;AI$7)),0,MAX(0,ROUND((INDEX($E15:$G15,AI$5)-SUMIFS(TF_Timer,TF_Tekniker,AI$4,TF_Dato,$A15))*2,0)/2)))</f>
        <v/>
      </c>
      <c r="AJ15">
        <f>IF(OR(AJ$4="",$A15&gt;TODAY()),0,IF(OR(INDEX($B15:$D15,AJ$5)="F",AND(AJ$6&gt;0,$A15&lt;AJ$6),AND(AJ$7&gt;0,$A15&gt;AJ$7)),0,MAX(0,ROUND((INDEX($E15:$G15,AJ$5)-SUMIFS(TF_Timer,TF_Tekniker,AJ$4,TF_Dato,$A15))*2,0)/2)))</f>
        <v/>
      </c>
      <c r="AK15">
        <f>IF(OR(AK$4="",$A15&gt;TODAY()),0,IF(OR(INDEX($B15:$D15,AK$5)="F",AND(AK$6&gt;0,$A15&lt;AK$6),AND(AK$7&gt;0,$A15&gt;AK$7)),0,MAX(0,ROUND((INDEX($E15:$G15,AK$5)-SUMIFS(TF_Timer,TF_Tekniker,AK$4,TF_Dato,$A15))*2,0)/2)))</f>
        <v/>
      </c>
      <c r="AL15">
        <f>IF(OR(AL$4="",$A15&gt;TODAY()),0,IF(OR(INDEX($B15:$D15,AL$5)="F",AND(AL$6&gt;0,$A15&lt;AL$6),AND(AL$7&gt;0,$A15&gt;AL$7)),0,MAX(0,ROUND((INDEX($E15:$G15,AL$5)-SUMIFS(TF_Timer,TF_Tekniker,AL$4,TF_Dato,$A15))*2,0)/2)))</f>
        <v/>
      </c>
      <c r="AM15">
        <f>IF(OR(AM$4="",$A15&gt;TODAY()),0,IF(OR(INDEX($B15:$D15,AM$5)="F",AND(AM$6&gt;0,$A15&lt;AM$6),AND(AM$7&gt;0,$A15&gt;AM$7)),0,MAX(0,ROUND((INDEX($E15:$G15,AM$5)-SUMIFS(TF_Timer,TF_Tekniker,AM$4,TF_Dato,$A15))*2,0)/2)))</f>
        <v/>
      </c>
      <c r="AN15">
        <f>IF(OR(AN$4="",$A15&gt;TODAY()),0,IF(OR(INDEX($B15:$D15,AN$5)="F",AND(AN$6&gt;0,$A15&lt;AN$6),AND(AN$7&gt;0,$A15&gt;AN$7)),0,MAX(0,ROUND((INDEX($E15:$G15,AN$5)-SUMIFS(TF_Timer,TF_Tekniker,AN$4,TF_Dato,$A15))*2,0)/2)))</f>
        <v/>
      </c>
      <c r="AO15">
        <f>IF(OR(AO$4="",$A15&gt;TODAY()),0,IF(OR(INDEX($B15:$D15,AO$5)="F",AND(AO$6&gt;0,$A15&lt;AO$6),AND(AO$7&gt;0,$A15&gt;AO$7)),0,MAX(0,ROUND((INDEX($E15:$G15,AO$5)-SUMIFS(TF_Timer,TF_Tekniker,AO$4,TF_Dato,$A15))*2,0)/2)))</f>
        <v/>
      </c>
      <c r="AP15">
        <f>IF(OR(AP$4="",$A15&gt;TODAY()),0,IF(OR(INDEX($B15:$D15,AP$5)="F",AND(AP$6&gt;0,$A15&lt;AP$6),AND(AP$7&gt;0,$A15&gt;AP$7)),0,MAX(0,ROUND((INDEX($E15:$G15,AP$5)-SUMIFS(TF_Timer,TF_Tekniker,AP$4,TF_Dato,$A15))*2,0)/2)))</f>
        <v/>
      </c>
      <c r="AQ15">
        <f>IF(OR(AQ$4="",$A15&gt;TODAY()),0,IF(OR(INDEX($B15:$D15,AQ$5)="F",AND(AQ$6&gt;0,$A15&lt;AQ$6),AND(AQ$7&gt;0,$A15&gt;AQ$7)),0,MAX(0,ROUND((INDEX($E15:$G15,AQ$5)-SUMIFS(TF_Timer,TF_Tekniker,AQ$4,TF_Dato,$A15))*2,0)/2)))</f>
        <v/>
      </c>
      <c r="AR15">
        <f>IF(OR(AR$4="",$A15&gt;TODAY()),0,IF(OR(INDEX($B15:$D15,AR$5)="F",AND(AR$6&gt;0,$A15&lt;AR$6),AND(AR$7&gt;0,$A15&gt;AR$7)),0,MAX(0,ROUND((INDEX($E15:$G15,AR$5)-SUMIFS(TF_Timer,TF_Tekniker,AR$4,TF_Dato,$A15))*2,0)/2)))</f>
        <v/>
      </c>
      <c r="AS15">
        <f>IF(OR(AS$4="",$A15&gt;TODAY()),0,IF(OR(INDEX($B15:$D15,AS$5)="F",AND(AS$6&gt;0,$A15&lt;AS$6),AND(AS$7&gt;0,$A15&gt;AS$7)),0,MAX(0,ROUND((INDEX($E15:$G15,AS$5)-SUMIFS(TF_Timer,TF_Tekniker,AS$4,TF_Dato,$A15))*2,0)/2)))</f>
        <v/>
      </c>
      <c r="AT15">
        <f>IF(OR(AT$4="",$A15&gt;TODAY()),0,IF(OR(INDEX($B15:$D15,AT$5)="F",AND(AT$6&gt;0,$A15&lt;AT$6),AND(AT$7&gt;0,$A15&gt;AT$7)),0,MAX(0,ROUND((INDEX($E15:$G15,AT$5)-SUMIFS(TF_Timer,TF_Tekniker,AT$4,TF_Dato,$A15))*2,0)/2)))</f>
        <v/>
      </c>
      <c r="AU15">
        <f>IF(OR(AU$4="",$A15&gt;TODAY()),0,IF(OR(INDEX($B15:$D15,AU$5)="F",AND(AU$6&gt;0,$A15&lt;AU$6),AND(AU$7&gt;0,$A15&gt;AU$7)),0,MAX(0,ROUND((INDEX($E15:$G15,AU$5)-SUMIFS(TF_Timer,TF_Tekniker,AU$4,TF_Dato,$A15))*2,0)/2)))</f>
        <v/>
      </c>
      <c r="AV15">
        <f>IF(OR(AV$4="",$A15&gt;TODAY()),0,IF(OR(INDEX($B15:$D15,AV$5)="F",AND(AV$6&gt;0,$A15&lt;AV$6),AND(AV$7&gt;0,$A15&gt;AV$7)),0,MAX(0,ROUND((INDEX($E15:$G15,AV$5)-SUMIFS(TF_Timer,TF_Tekniker,AV$4,TF_Dato,$A15))*2,0)/2)))</f>
        <v/>
      </c>
      <c r="AW15">
        <f>IF(OR(AW$4="",$A15&gt;TODAY()),0,IF(OR(INDEX($B15:$D15,AW$5)="F",AND(AW$6&gt;0,$A15&lt;AW$6),AND(AW$7&gt;0,$A15&gt;AW$7)),0,MAX(0,ROUND((INDEX($E15:$G15,AW$5)-SUMIFS(TF_Timer,TF_Tekniker,AW$4,TF_Dato,$A15))*2,0)/2)))</f>
        <v/>
      </c>
      <c r="AX15">
        <f>IF(OR(AX$4="",$A15&gt;TODAY()),0,IF(OR(INDEX($B15:$D15,AX$5)="F",AND(AX$6&gt;0,$A15&lt;AX$6),AND(AX$7&gt;0,$A15&gt;AX$7)),0,MAX(0,ROUND((INDEX($E15:$G15,AX$5)-SUMIFS(TF_Timer,TF_Tekniker,AX$4,TF_Dato,$A15))*2,0)/2)))</f>
        <v/>
      </c>
      <c r="AY15">
        <f>IF(OR(AY$4="",$A15&gt;TODAY()),0,IF(OR(INDEX($B15:$D15,AY$5)="F",AND(AY$6&gt;0,$A15&lt;AY$6),AND(AY$7&gt;0,$A15&gt;AY$7)),0,MAX(0,ROUND((INDEX($E15:$G15,AY$5)-SUMIFS(TF_Timer,TF_Tekniker,AY$4,TF_Dato,$A15))*2,0)/2)))</f>
        <v/>
      </c>
      <c r="AZ15">
        <f>IF(OR(AZ$4="",$A15&gt;TODAY()),0,IF(OR(INDEX($B15:$D15,AZ$5)="F",AND(AZ$6&gt;0,$A15&lt;AZ$6),AND(AZ$7&gt;0,$A15&gt;AZ$7)),0,MAX(0,ROUND((INDEX($E15:$G15,AZ$5)-SUMIFS(TF_Timer,TF_Tekniker,AZ$4,TF_Dato,$A15))*2,0)/2)))</f>
        <v/>
      </c>
      <c r="BA15">
        <f>IF(OR(BA$4="",$A15&gt;TODAY()),0,IF(OR(INDEX($B15:$D15,BA$5)="F",AND(BA$6&gt;0,$A15&lt;BA$6),AND(BA$7&gt;0,$A15&gt;BA$7)),0,MAX(0,ROUND((INDEX($E15:$G15,BA$5)-SUMIFS(TF_Timer,TF_Tekniker,BA$4,TF_Dato,$A15))*2,0)/2)))</f>
        <v/>
      </c>
      <c r="BB15">
        <f>IF(OR(BB$4="",$A15&gt;TODAY()),0,IF(OR(INDEX($B15:$D15,BB$5)="F",AND(BB$6&gt;0,$A15&lt;BB$6),AND(BB$7&gt;0,$A15&gt;BB$7)),0,MAX(0,ROUND((INDEX($E15:$G15,BB$5)-SUMIFS(TF_Timer,TF_Tekniker,BB$4,TF_Dato,$A15))*2,0)/2)))</f>
        <v/>
      </c>
      <c r="BC15">
        <f>IF(OR(BC$4="",$A15&gt;TODAY()),0,IF(OR(INDEX($B15:$D15,BC$5)="F",AND(BC$6&gt;0,$A15&lt;BC$6),AND(BC$7&gt;0,$A15&gt;BC$7)),0,MAX(0,ROUND((INDEX($E15:$G15,BC$5)-SUMIFS(TF_Timer,TF_Tekniker,BC$4,TF_Dato,$A15))*2,0)/2)))</f>
        <v/>
      </c>
      <c r="BD15">
        <f>IF(OR(BD$4="",$A15&gt;TODAY()),0,IF(OR(INDEX($B15:$D15,BD$5)="F",AND(BD$6&gt;0,$A15&lt;BD$6),AND(BD$7&gt;0,$A15&gt;BD$7)),0,MAX(0,ROUND((INDEX($E15:$G15,BD$5)-SUMIFS(TF_Timer,TF_Tekniker,BD$4,TF_Dato,$A15))*2,0)/2)))</f>
        <v/>
      </c>
      <c r="BE15">
        <f>IF(OR(BE$4="",$A15&gt;TODAY()),0,IF(OR(INDEX($B15:$D15,BE$5)="F",AND(BE$6&gt;0,$A15&lt;BE$6),AND(BE$7&gt;0,$A15&gt;BE$7)),0,MAX(0,ROUND((INDEX($E15:$G15,BE$5)-SUMIFS(TF_Timer,TF_Tekniker,BE$4,TF_Dato,$A15))*2,0)/2)))</f>
        <v/>
      </c>
      <c r="BF15">
        <f>IF(OR(BF$4="",$A15&gt;TODAY()),0,IF(OR(INDEX($B15:$D15,BF$5)="F",AND(BF$6&gt;0,$A15&lt;BF$6),AND(BF$7&gt;0,$A15&gt;BF$7)),0,MAX(0,ROUND((INDEX($E15:$G15,BF$5)-SUMIFS(TF_Timer,TF_Tekniker,BF$4,TF_Dato,$A15))*2,0)/2)))</f>
        <v/>
      </c>
      <c r="BG15">
        <f>IF(OR(BG$4="",$A15&gt;TODAY()),0,IF(OR(INDEX($B15:$D15,BG$5)="F",AND(BG$6&gt;0,$A15&lt;BG$6),AND(BG$7&gt;0,$A15&gt;BG$7)),0,MAX(0,ROUND((INDEX($E15:$G15,BG$5)-SUMIFS(TF_Timer,TF_Tekniker,BG$4,TF_Dato,$A15))*2,0)/2)))</f>
        <v/>
      </c>
      <c r="BH15">
        <f>IF(OR(BH$4="",$A15&gt;TODAY()),0,IF(OR(INDEX($B15:$D15,BH$5)="F",AND(BH$6&gt;0,$A15&lt;BH$6),AND(BH$7&gt;0,$A15&gt;BH$7)),0,MAX(0,ROUND((INDEX($E15:$G15,BH$5)-SUMIFS(TF_Timer,TF_Tekniker,BH$4,TF_Dato,$A15))*2,0)/2)))</f>
        <v/>
      </c>
      <c r="BI15">
        <f>IF(OR(BI$4="",$A15&gt;TODAY()),0,IF(OR(INDEX($B15:$D15,BI$5)="F",AND(BI$6&gt;0,$A15&lt;BI$6),AND(BI$7&gt;0,$A15&gt;BI$7)),0,MAX(0,ROUND((INDEX($E15:$G15,BI$5)-SUMIFS(TF_Timer,TF_Tekniker,BI$4,TF_Dato,$A15))*2,0)/2)))</f>
        <v/>
      </c>
    </row>
    <row r="16">
      <c r="A16" s="64">
        <f>A15+1</f>
        <v/>
      </c>
      <c r="B16">
        <f>IF(MOD($A16-INDEX(SkiftStart,1),Syklus)&lt;DagK,"K",IF(MOD($A16-INDEX(SkiftStart,1),Syklus)&lt;DagK+DagH,"H",IF(MOD($A16-INDEX(SkiftStart,1),Syklus)&lt;DagK+DagH+DagD,"D","F")))</f>
        <v/>
      </c>
      <c r="C16">
        <f>IF(MOD($A16-INDEX(SkiftStart,2),Syklus)&lt;DagK,"K",IF(MOD($A16-INDEX(SkiftStart,2),Syklus)&lt;DagK+DagH,"H",IF(MOD($A16-INDEX(SkiftStart,2),Syklus)&lt;DagK+DagH+DagD,"D","F")))</f>
        <v/>
      </c>
      <c r="D16">
        <f>IF(MOD($A16-INDEX(SkiftStart,3),Syklus)&lt;DagK,"K",IF(MOD($A16-INDEX(SkiftStart,3),Syklus)&lt;DagK+DagH,"H",IF(MOD($A16-INDEX(SkiftStart,3),Syklus)&lt;DagK+DagH+DagD,"D","F")))</f>
        <v/>
      </c>
      <c r="E16">
        <f>IF(B16="F",0,IF(WEEKDAY($A16,2)=5,INDEX(TimerFr,MATCH(B16,FaseKode,0)),INDEX(TimerMT,MATCH(B16,FaseKode,0))))</f>
        <v/>
      </c>
      <c r="F16">
        <f>IF(C16="F",0,IF(WEEKDAY($A16,2)=5,INDEX(TimerFr,MATCH(C16,FaseKode,0)),INDEX(TimerMT,MATCH(C16,FaseKode,0))))</f>
        <v/>
      </c>
      <c r="G16">
        <f>IF(D16="F",0,IF(WEEKDAY($A16,2)=5,INDEX(TimerFr,MATCH(D16,FaseKode,0)),INDEX(TimerMT,MATCH(D16,FaseKode,0))))</f>
        <v/>
      </c>
      <c r="H16">
        <f>IF(OR(H$4="",$A16&gt;TODAY()),0,IF(OR(INDEX($B16:$D16,H$5)="F",AND(H$6&gt;0,$A16&lt;H$6),AND(H$7&gt;0,$A16&gt;H$7)),0,MAX(0,ROUND((INDEX($E16:$G16,H$5)-SUMIFS(TF_Timer,TF_Tekniker,H$4,TF_Dato,$A16))*2,0)/2)))</f>
        <v/>
      </c>
      <c r="I16">
        <f>IF(OR(I$4="",$A16&gt;TODAY()),0,IF(OR(INDEX($B16:$D16,I$5)="F",AND(I$6&gt;0,$A16&lt;I$6),AND(I$7&gt;0,$A16&gt;I$7)),0,MAX(0,ROUND((INDEX($E16:$G16,I$5)-SUMIFS(TF_Timer,TF_Tekniker,I$4,TF_Dato,$A16))*2,0)/2)))</f>
        <v/>
      </c>
      <c r="J16">
        <f>IF(OR(J$4="",$A16&gt;TODAY()),0,IF(OR(INDEX($B16:$D16,J$5)="F",AND(J$6&gt;0,$A16&lt;J$6),AND(J$7&gt;0,$A16&gt;J$7)),0,MAX(0,ROUND((INDEX($E16:$G16,J$5)-SUMIFS(TF_Timer,TF_Tekniker,J$4,TF_Dato,$A16))*2,0)/2)))</f>
        <v/>
      </c>
      <c r="K16">
        <f>IF(OR(K$4="",$A16&gt;TODAY()),0,IF(OR(INDEX($B16:$D16,K$5)="F",AND(K$6&gt;0,$A16&lt;K$6),AND(K$7&gt;0,$A16&gt;K$7)),0,MAX(0,ROUND((INDEX($E16:$G16,K$5)-SUMIFS(TF_Timer,TF_Tekniker,K$4,TF_Dato,$A16))*2,0)/2)))</f>
        <v/>
      </c>
      <c r="L16">
        <f>IF(OR(L$4="",$A16&gt;TODAY()),0,IF(OR(INDEX($B16:$D16,L$5)="F",AND(L$6&gt;0,$A16&lt;L$6),AND(L$7&gt;0,$A16&gt;L$7)),0,MAX(0,ROUND((INDEX($E16:$G16,L$5)-SUMIFS(TF_Timer,TF_Tekniker,L$4,TF_Dato,$A16))*2,0)/2)))</f>
        <v/>
      </c>
      <c r="M16">
        <f>IF(OR(M$4="",$A16&gt;TODAY()),0,IF(OR(INDEX($B16:$D16,M$5)="F",AND(M$6&gt;0,$A16&lt;M$6),AND(M$7&gt;0,$A16&gt;M$7)),0,MAX(0,ROUND((INDEX($E16:$G16,M$5)-SUMIFS(TF_Timer,TF_Tekniker,M$4,TF_Dato,$A16))*2,0)/2)))</f>
        <v/>
      </c>
      <c r="N16">
        <f>IF(OR(N$4="",$A16&gt;TODAY()),0,IF(OR(INDEX($B16:$D16,N$5)="F",AND(N$6&gt;0,$A16&lt;N$6),AND(N$7&gt;0,$A16&gt;N$7)),0,MAX(0,ROUND((INDEX($E16:$G16,N$5)-SUMIFS(TF_Timer,TF_Tekniker,N$4,TF_Dato,$A16))*2,0)/2)))</f>
        <v/>
      </c>
      <c r="O16">
        <f>IF(OR(O$4="",$A16&gt;TODAY()),0,IF(OR(INDEX($B16:$D16,O$5)="F",AND(O$6&gt;0,$A16&lt;O$6),AND(O$7&gt;0,$A16&gt;O$7)),0,MAX(0,ROUND((INDEX($E16:$G16,O$5)-SUMIFS(TF_Timer,TF_Tekniker,O$4,TF_Dato,$A16))*2,0)/2)))</f>
        <v/>
      </c>
      <c r="P16">
        <f>IF(OR(P$4="",$A16&gt;TODAY()),0,IF(OR(INDEX($B16:$D16,P$5)="F",AND(P$6&gt;0,$A16&lt;P$6),AND(P$7&gt;0,$A16&gt;P$7)),0,MAX(0,ROUND((INDEX($E16:$G16,P$5)-SUMIFS(TF_Timer,TF_Tekniker,P$4,TF_Dato,$A16))*2,0)/2)))</f>
        <v/>
      </c>
      <c r="Q16">
        <f>IF(OR(Q$4="",$A16&gt;TODAY()),0,IF(OR(INDEX($B16:$D16,Q$5)="F",AND(Q$6&gt;0,$A16&lt;Q$6),AND(Q$7&gt;0,$A16&gt;Q$7)),0,MAX(0,ROUND((INDEX($E16:$G16,Q$5)-SUMIFS(TF_Timer,TF_Tekniker,Q$4,TF_Dato,$A16))*2,0)/2)))</f>
        <v/>
      </c>
      <c r="R16">
        <f>IF(OR(R$4="",$A16&gt;TODAY()),0,IF(OR(INDEX($B16:$D16,R$5)="F",AND(R$6&gt;0,$A16&lt;R$6),AND(R$7&gt;0,$A16&gt;R$7)),0,MAX(0,ROUND((INDEX($E16:$G16,R$5)-SUMIFS(TF_Timer,TF_Tekniker,R$4,TF_Dato,$A16))*2,0)/2)))</f>
        <v/>
      </c>
      <c r="S16">
        <f>IF(OR(S$4="",$A16&gt;TODAY()),0,IF(OR(INDEX($B16:$D16,S$5)="F",AND(S$6&gt;0,$A16&lt;S$6),AND(S$7&gt;0,$A16&gt;S$7)),0,MAX(0,ROUND((INDEX($E16:$G16,S$5)-SUMIFS(TF_Timer,TF_Tekniker,S$4,TF_Dato,$A16))*2,0)/2)))</f>
        <v/>
      </c>
      <c r="T16">
        <f>IF(OR(T$4="",$A16&gt;TODAY()),0,IF(OR(INDEX($B16:$D16,T$5)="F",AND(T$6&gt;0,$A16&lt;T$6),AND(T$7&gt;0,$A16&gt;T$7)),0,MAX(0,ROUND((INDEX($E16:$G16,T$5)-SUMIFS(TF_Timer,TF_Tekniker,T$4,TF_Dato,$A16))*2,0)/2)))</f>
        <v/>
      </c>
      <c r="U16">
        <f>IF(OR(U$4="",$A16&gt;TODAY()),0,IF(OR(INDEX($B16:$D16,U$5)="F",AND(U$6&gt;0,$A16&lt;U$6),AND(U$7&gt;0,$A16&gt;U$7)),0,MAX(0,ROUND((INDEX($E16:$G16,U$5)-SUMIFS(TF_Timer,TF_Tekniker,U$4,TF_Dato,$A16))*2,0)/2)))</f>
        <v/>
      </c>
      <c r="V16">
        <f>IF(OR(V$4="",$A16&gt;TODAY()),0,IF(OR(INDEX($B16:$D16,V$5)="F",AND(V$6&gt;0,$A16&lt;V$6),AND(V$7&gt;0,$A16&gt;V$7)),0,MAX(0,ROUND((INDEX($E16:$G16,V$5)-SUMIFS(TF_Timer,TF_Tekniker,V$4,TF_Dato,$A16))*2,0)/2)))</f>
        <v/>
      </c>
      <c r="W16">
        <f>IF(OR(W$4="",$A16&gt;TODAY()),0,IF(OR(INDEX($B16:$D16,W$5)="F",AND(W$6&gt;0,$A16&lt;W$6),AND(W$7&gt;0,$A16&gt;W$7)),0,MAX(0,ROUND((INDEX($E16:$G16,W$5)-SUMIFS(TF_Timer,TF_Tekniker,W$4,TF_Dato,$A16))*2,0)/2)))</f>
        <v/>
      </c>
      <c r="X16">
        <f>IF(OR(X$4="",$A16&gt;TODAY()),0,IF(OR(INDEX($B16:$D16,X$5)="F",AND(X$6&gt;0,$A16&lt;X$6),AND(X$7&gt;0,$A16&gt;X$7)),0,MAX(0,ROUND((INDEX($E16:$G16,X$5)-SUMIFS(TF_Timer,TF_Tekniker,X$4,TF_Dato,$A16))*2,0)/2)))</f>
        <v/>
      </c>
      <c r="Y16">
        <f>IF(OR(Y$4="",$A16&gt;TODAY()),0,IF(OR(INDEX($B16:$D16,Y$5)="F",AND(Y$6&gt;0,$A16&lt;Y$6),AND(Y$7&gt;0,$A16&gt;Y$7)),0,MAX(0,ROUND((INDEX($E16:$G16,Y$5)-SUMIFS(TF_Timer,TF_Tekniker,Y$4,TF_Dato,$A16))*2,0)/2)))</f>
        <v/>
      </c>
      <c r="Z16">
        <f>IF(OR(Z$4="",$A16&gt;TODAY()),0,IF(OR(INDEX($B16:$D16,Z$5)="F",AND(Z$6&gt;0,$A16&lt;Z$6),AND(Z$7&gt;0,$A16&gt;Z$7)),0,MAX(0,ROUND((INDEX($E16:$G16,Z$5)-SUMIFS(TF_Timer,TF_Tekniker,Z$4,TF_Dato,$A16))*2,0)/2)))</f>
        <v/>
      </c>
      <c r="AA16">
        <f>IF(OR(AA$4="",$A16&gt;TODAY()),0,IF(OR(INDEX($B16:$D16,AA$5)="F",AND(AA$6&gt;0,$A16&lt;AA$6),AND(AA$7&gt;0,$A16&gt;AA$7)),0,MAX(0,ROUND((INDEX($E16:$G16,AA$5)-SUMIFS(TF_Timer,TF_Tekniker,AA$4,TF_Dato,$A16))*2,0)/2)))</f>
        <v/>
      </c>
      <c r="AB16">
        <f>IF(OR(AB$4="",$A16&gt;TODAY()),0,IF(OR(INDEX($B16:$D16,AB$5)="F",AND(AB$6&gt;0,$A16&lt;AB$6),AND(AB$7&gt;0,$A16&gt;AB$7)),0,MAX(0,ROUND((INDEX($E16:$G16,AB$5)-SUMIFS(TF_Timer,TF_Tekniker,AB$4,TF_Dato,$A16))*2,0)/2)))</f>
        <v/>
      </c>
      <c r="AC16">
        <f>IF(OR(AC$4="",$A16&gt;TODAY()),0,IF(OR(INDEX($B16:$D16,AC$5)="F",AND(AC$6&gt;0,$A16&lt;AC$6),AND(AC$7&gt;0,$A16&gt;AC$7)),0,MAX(0,ROUND((INDEX($E16:$G16,AC$5)-SUMIFS(TF_Timer,TF_Tekniker,AC$4,TF_Dato,$A16))*2,0)/2)))</f>
        <v/>
      </c>
      <c r="AD16">
        <f>IF(OR(AD$4="",$A16&gt;TODAY()),0,IF(OR(INDEX($B16:$D16,AD$5)="F",AND(AD$6&gt;0,$A16&lt;AD$6),AND(AD$7&gt;0,$A16&gt;AD$7)),0,MAX(0,ROUND((INDEX($E16:$G16,AD$5)-SUMIFS(TF_Timer,TF_Tekniker,AD$4,TF_Dato,$A16))*2,0)/2)))</f>
        <v/>
      </c>
      <c r="AE16">
        <f>IF(OR(AE$4="",$A16&gt;TODAY()),0,IF(OR(INDEX($B16:$D16,AE$5)="F",AND(AE$6&gt;0,$A16&lt;AE$6),AND(AE$7&gt;0,$A16&gt;AE$7)),0,MAX(0,ROUND((INDEX($E16:$G16,AE$5)-SUMIFS(TF_Timer,TF_Tekniker,AE$4,TF_Dato,$A16))*2,0)/2)))</f>
        <v/>
      </c>
      <c r="AF16">
        <f>IF(OR(AF$4="",$A16&gt;TODAY()),0,IF(OR(INDEX($B16:$D16,AF$5)="F",AND(AF$6&gt;0,$A16&lt;AF$6),AND(AF$7&gt;0,$A16&gt;AF$7)),0,MAX(0,ROUND((INDEX($E16:$G16,AF$5)-SUMIFS(TF_Timer,TF_Tekniker,AF$4,TF_Dato,$A16))*2,0)/2)))</f>
        <v/>
      </c>
      <c r="AG16">
        <f>IF(OR(AG$4="",$A16&gt;TODAY()),0,IF(OR(INDEX($B16:$D16,AG$5)="F",AND(AG$6&gt;0,$A16&lt;AG$6),AND(AG$7&gt;0,$A16&gt;AG$7)),0,MAX(0,ROUND((INDEX($E16:$G16,AG$5)-SUMIFS(TF_Timer,TF_Tekniker,AG$4,TF_Dato,$A16))*2,0)/2)))</f>
        <v/>
      </c>
      <c r="AH16">
        <f>IF(OR(AH$4="",$A16&gt;TODAY()),0,IF(OR(INDEX($B16:$D16,AH$5)="F",AND(AH$6&gt;0,$A16&lt;AH$6),AND(AH$7&gt;0,$A16&gt;AH$7)),0,MAX(0,ROUND((INDEX($E16:$G16,AH$5)-SUMIFS(TF_Timer,TF_Tekniker,AH$4,TF_Dato,$A16))*2,0)/2)))</f>
        <v/>
      </c>
      <c r="AI16">
        <f>IF(OR(AI$4="",$A16&gt;TODAY()),0,IF(OR(INDEX($B16:$D16,AI$5)="F",AND(AI$6&gt;0,$A16&lt;AI$6),AND(AI$7&gt;0,$A16&gt;AI$7)),0,MAX(0,ROUND((INDEX($E16:$G16,AI$5)-SUMIFS(TF_Timer,TF_Tekniker,AI$4,TF_Dato,$A16))*2,0)/2)))</f>
        <v/>
      </c>
      <c r="AJ16">
        <f>IF(OR(AJ$4="",$A16&gt;TODAY()),0,IF(OR(INDEX($B16:$D16,AJ$5)="F",AND(AJ$6&gt;0,$A16&lt;AJ$6),AND(AJ$7&gt;0,$A16&gt;AJ$7)),0,MAX(0,ROUND((INDEX($E16:$G16,AJ$5)-SUMIFS(TF_Timer,TF_Tekniker,AJ$4,TF_Dato,$A16))*2,0)/2)))</f>
        <v/>
      </c>
      <c r="AK16">
        <f>IF(OR(AK$4="",$A16&gt;TODAY()),0,IF(OR(INDEX($B16:$D16,AK$5)="F",AND(AK$6&gt;0,$A16&lt;AK$6),AND(AK$7&gt;0,$A16&gt;AK$7)),0,MAX(0,ROUND((INDEX($E16:$G16,AK$5)-SUMIFS(TF_Timer,TF_Tekniker,AK$4,TF_Dato,$A16))*2,0)/2)))</f>
        <v/>
      </c>
      <c r="AL16">
        <f>IF(OR(AL$4="",$A16&gt;TODAY()),0,IF(OR(INDEX($B16:$D16,AL$5)="F",AND(AL$6&gt;0,$A16&lt;AL$6),AND(AL$7&gt;0,$A16&gt;AL$7)),0,MAX(0,ROUND((INDEX($E16:$G16,AL$5)-SUMIFS(TF_Timer,TF_Tekniker,AL$4,TF_Dato,$A16))*2,0)/2)))</f>
        <v/>
      </c>
      <c r="AM16">
        <f>IF(OR(AM$4="",$A16&gt;TODAY()),0,IF(OR(INDEX($B16:$D16,AM$5)="F",AND(AM$6&gt;0,$A16&lt;AM$6),AND(AM$7&gt;0,$A16&gt;AM$7)),0,MAX(0,ROUND((INDEX($E16:$G16,AM$5)-SUMIFS(TF_Timer,TF_Tekniker,AM$4,TF_Dato,$A16))*2,0)/2)))</f>
        <v/>
      </c>
      <c r="AN16">
        <f>IF(OR(AN$4="",$A16&gt;TODAY()),0,IF(OR(INDEX($B16:$D16,AN$5)="F",AND(AN$6&gt;0,$A16&lt;AN$6),AND(AN$7&gt;0,$A16&gt;AN$7)),0,MAX(0,ROUND((INDEX($E16:$G16,AN$5)-SUMIFS(TF_Timer,TF_Tekniker,AN$4,TF_Dato,$A16))*2,0)/2)))</f>
        <v/>
      </c>
      <c r="AO16">
        <f>IF(OR(AO$4="",$A16&gt;TODAY()),0,IF(OR(INDEX($B16:$D16,AO$5)="F",AND(AO$6&gt;0,$A16&lt;AO$6),AND(AO$7&gt;0,$A16&gt;AO$7)),0,MAX(0,ROUND((INDEX($E16:$G16,AO$5)-SUMIFS(TF_Timer,TF_Tekniker,AO$4,TF_Dato,$A16))*2,0)/2)))</f>
        <v/>
      </c>
      <c r="AP16">
        <f>IF(OR(AP$4="",$A16&gt;TODAY()),0,IF(OR(INDEX($B16:$D16,AP$5)="F",AND(AP$6&gt;0,$A16&lt;AP$6),AND(AP$7&gt;0,$A16&gt;AP$7)),0,MAX(0,ROUND((INDEX($E16:$G16,AP$5)-SUMIFS(TF_Timer,TF_Tekniker,AP$4,TF_Dato,$A16))*2,0)/2)))</f>
        <v/>
      </c>
      <c r="AQ16">
        <f>IF(OR(AQ$4="",$A16&gt;TODAY()),0,IF(OR(INDEX($B16:$D16,AQ$5)="F",AND(AQ$6&gt;0,$A16&lt;AQ$6),AND(AQ$7&gt;0,$A16&gt;AQ$7)),0,MAX(0,ROUND((INDEX($E16:$G16,AQ$5)-SUMIFS(TF_Timer,TF_Tekniker,AQ$4,TF_Dato,$A16))*2,0)/2)))</f>
        <v/>
      </c>
      <c r="AR16">
        <f>IF(OR(AR$4="",$A16&gt;TODAY()),0,IF(OR(INDEX($B16:$D16,AR$5)="F",AND(AR$6&gt;0,$A16&lt;AR$6),AND(AR$7&gt;0,$A16&gt;AR$7)),0,MAX(0,ROUND((INDEX($E16:$G16,AR$5)-SUMIFS(TF_Timer,TF_Tekniker,AR$4,TF_Dato,$A16))*2,0)/2)))</f>
        <v/>
      </c>
      <c r="AS16">
        <f>IF(OR(AS$4="",$A16&gt;TODAY()),0,IF(OR(INDEX($B16:$D16,AS$5)="F",AND(AS$6&gt;0,$A16&lt;AS$6),AND(AS$7&gt;0,$A16&gt;AS$7)),0,MAX(0,ROUND((INDEX($E16:$G16,AS$5)-SUMIFS(TF_Timer,TF_Tekniker,AS$4,TF_Dato,$A16))*2,0)/2)))</f>
        <v/>
      </c>
      <c r="AT16">
        <f>IF(OR(AT$4="",$A16&gt;TODAY()),0,IF(OR(INDEX($B16:$D16,AT$5)="F",AND(AT$6&gt;0,$A16&lt;AT$6),AND(AT$7&gt;0,$A16&gt;AT$7)),0,MAX(0,ROUND((INDEX($E16:$G16,AT$5)-SUMIFS(TF_Timer,TF_Tekniker,AT$4,TF_Dato,$A16))*2,0)/2)))</f>
        <v/>
      </c>
      <c r="AU16">
        <f>IF(OR(AU$4="",$A16&gt;TODAY()),0,IF(OR(INDEX($B16:$D16,AU$5)="F",AND(AU$6&gt;0,$A16&lt;AU$6),AND(AU$7&gt;0,$A16&gt;AU$7)),0,MAX(0,ROUND((INDEX($E16:$G16,AU$5)-SUMIFS(TF_Timer,TF_Tekniker,AU$4,TF_Dato,$A16))*2,0)/2)))</f>
        <v/>
      </c>
      <c r="AV16">
        <f>IF(OR(AV$4="",$A16&gt;TODAY()),0,IF(OR(INDEX($B16:$D16,AV$5)="F",AND(AV$6&gt;0,$A16&lt;AV$6),AND(AV$7&gt;0,$A16&gt;AV$7)),0,MAX(0,ROUND((INDEX($E16:$G16,AV$5)-SUMIFS(TF_Timer,TF_Tekniker,AV$4,TF_Dato,$A16))*2,0)/2)))</f>
        <v/>
      </c>
      <c r="AW16">
        <f>IF(OR(AW$4="",$A16&gt;TODAY()),0,IF(OR(INDEX($B16:$D16,AW$5)="F",AND(AW$6&gt;0,$A16&lt;AW$6),AND(AW$7&gt;0,$A16&gt;AW$7)),0,MAX(0,ROUND((INDEX($E16:$G16,AW$5)-SUMIFS(TF_Timer,TF_Tekniker,AW$4,TF_Dato,$A16))*2,0)/2)))</f>
        <v/>
      </c>
      <c r="AX16">
        <f>IF(OR(AX$4="",$A16&gt;TODAY()),0,IF(OR(INDEX($B16:$D16,AX$5)="F",AND(AX$6&gt;0,$A16&lt;AX$6),AND(AX$7&gt;0,$A16&gt;AX$7)),0,MAX(0,ROUND((INDEX($E16:$G16,AX$5)-SUMIFS(TF_Timer,TF_Tekniker,AX$4,TF_Dato,$A16))*2,0)/2)))</f>
        <v/>
      </c>
      <c r="AY16">
        <f>IF(OR(AY$4="",$A16&gt;TODAY()),0,IF(OR(INDEX($B16:$D16,AY$5)="F",AND(AY$6&gt;0,$A16&lt;AY$6),AND(AY$7&gt;0,$A16&gt;AY$7)),0,MAX(0,ROUND((INDEX($E16:$G16,AY$5)-SUMIFS(TF_Timer,TF_Tekniker,AY$4,TF_Dato,$A16))*2,0)/2)))</f>
        <v/>
      </c>
      <c r="AZ16">
        <f>IF(OR(AZ$4="",$A16&gt;TODAY()),0,IF(OR(INDEX($B16:$D16,AZ$5)="F",AND(AZ$6&gt;0,$A16&lt;AZ$6),AND(AZ$7&gt;0,$A16&gt;AZ$7)),0,MAX(0,ROUND((INDEX($E16:$G16,AZ$5)-SUMIFS(TF_Timer,TF_Tekniker,AZ$4,TF_Dato,$A16))*2,0)/2)))</f>
        <v/>
      </c>
      <c r="BA16">
        <f>IF(OR(BA$4="",$A16&gt;TODAY()),0,IF(OR(INDEX($B16:$D16,BA$5)="F",AND(BA$6&gt;0,$A16&lt;BA$6),AND(BA$7&gt;0,$A16&gt;BA$7)),0,MAX(0,ROUND((INDEX($E16:$G16,BA$5)-SUMIFS(TF_Timer,TF_Tekniker,BA$4,TF_Dato,$A16))*2,0)/2)))</f>
        <v/>
      </c>
      <c r="BB16">
        <f>IF(OR(BB$4="",$A16&gt;TODAY()),0,IF(OR(INDEX($B16:$D16,BB$5)="F",AND(BB$6&gt;0,$A16&lt;BB$6),AND(BB$7&gt;0,$A16&gt;BB$7)),0,MAX(0,ROUND((INDEX($E16:$G16,BB$5)-SUMIFS(TF_Timer,TF_Tekniker,BB$4,TF_Dato,$A16))*2,0)/2)))</f>
        <v/>
      </c>
      <c r="BC16">
        <f>IF(OR(BC$4="",$A16&gt;TODAY()),0,IF(OR(INDEX($B16:$D16,BC$5)="F",AND(BC$6&gt;0,$A16&lt;BC$6),AND(BC$7&gt;0,$A16&gt;BC$7)),0,MAX(0,ROUND((INDEX($E16:$G16,BC$5)-SUMIFS(TF_Timer,TF_Tekniker,BC$4,TF_Dato,$A16))*2,0)/2)))</f>
        <v/>
      </c>
      <c r="BD16">
        <f>IF(OR(BD$4="",$A16&gt;TODAY()),0,IF(OR(INDEX($B16:$D16,BD$5)="F",AND(BD$6&gt;0,$A16&lt;BD$6),AND(BD$7&gt;0,$A16&gt;BD$7)),0,MAX(0,ROUND((INDEX($E16:$G16,BD$5)-SUMIFS(TF_Timer,TF_Tekniker,BD$4,TF_Dato,$A16))*2,0)/2)))</f>
        <v/>
      </c>
      <c r="BE16">
        <f>IF(OR(BE$4="",$A16&gt;TODAY()),0,IF(OR(INDEX($B16:$D16,BE$5)="F",AND(BE$6&gt;0,$A16&lt;BE$6),AND(BE$7&gt;0,$A16&gt;BE$7)),0,MAX(0,ROUND((INDEX($E16:$G16,BE$5)-SUMIFS(TF_Timer,TF_Tekniker,BE$4,TF_Dato,$A16))*2,0)/2)))</f>
        <v/>
      </c>
      <c r="BF16">
        <f>IF(OR(BF$4="",$A16&gt;TODAY()),0,IF(OR(INDEX($B16:$D16,BF$5)="F",AND(BF$6&gt;0,$A16&lt;BF$6),AND(BF$7&gt;0,$A16&gt;BF$7)),0,MAX(0,ROUND((INDEX($E16:$G16,BF$5)-SUMIFS(TF_Timer,TF_Tekniker,BF$4,TF_Dato,$A16))*2,0)/2)))</f>
        <v/>
      </c>
      <c r="BG16">
        <f>IF(OR(BG$4="",$A16&gt;TODAY()),0,IF(OR(INDEX($B16:$D16,BG$5)="F",AND(BG$6&gt;0,$A16&lt;BG$6),AND(BG$7&gt;0,$A16&gt;BG$7)),0,MAX(0,ROUND((INDEX($E16:$G16,BG$5)-SUMIFS(TF_Timer,TF_Tekniker,BG$4,TF_Dato,$A16))*2,0)/2)))</f>
        <v/>
      </c>
      <c r="BH16">
        <f>IF(OR(BH$4="",$A16&gt;TODAY()),0,IF(OR(INDEX($B16:$D16,BH$5)="F",AND(BH$6&gt;0,$A16&lt;BH$6),AND(BH$7&gt;0,$A16&gt;BH$7)),0,MAX(0,ROUND((INDEX($E16:$G16,BH$5)-SUMIFS(TF_Timer,TF_Tekniker,BH$4,TF_Dato,$A16))*2,0)/2)))</f>
        <v/>
      </c>
      <c r="BI16">
        <f>IF(OR(BI$4="",$A16&gt;TODAY()),0,IF(OR(INDEX($B16:$D16,BI$5)="F",AND(BI$6&gt;0,$A16&lt;BI$6),AND(BI$7&gt;0,$A16&gt;BI$7)),0,MAX(0,ROUND((INDEX($E16:$G16,BI$5)-SUMIFS(TF_Timer,TF_Tekniker,BI$4,TF_Dato,$A16))*2,0)/2)))</f>
        <v/>
      </c>
    </row>
    <row r="17">
      <c r="A17" s="64">
        <f>A16+1</f>
        <v/>
      </c>
      <c r="B17">
        <f>IF(MOD($A17-INDEX(SkiftStart,1),Syklus)&lt;DagK,"K",IF(MOD($A17-INDEX(SkiftStart,1),Syklus)&lt;DagK+DagH,"H",IF(MOD($A17-INDEX(SkiftStart,1),Syklus)&lt;DagK+DagH+DagD,"D","F")))</f>
        <v/>
      </c>
      <c r="C17">
        <f>IF(MOD($A17-INDEX(SkiftStart,2),Syklus)&lt;DagK,"K",IF(MOD($A17-INDEX(SkiftStart,2),Syklus)&lt;DagK+DagH,"H",IF(MOD($A17-INDEX(SkiftStart,2),Syklus)&lt;DagK+DagH+DagD,"D","F")))</f>
        <v/>
      </c>
      <c r="D17">
        <f>IF(MOD($A17-INDEX(SkiftStart,3),Syklus)&lt;DagK,"K",IF(MOD($A17-INDEX(SkiftStart,3),Syklus)&lt;DagK+DagH,"H",IF(MOD($A17-INDEX(SkiftStart,3),Syklus)&lt;DagK+DagH+DagD,"D","F")))</f>
        <v/>
      </c>
      <c r="E17">
        <f>IF(B17="F",0,IF(WEEKDAY($A17,2)=5,INDEX(TimerFr,MATCH(B17,FaseKode,0)),INDEX(TimerMT,MATCH(B17,FaseKode,0))))</f>
        <v/>
      </c>
      <c r="F17">
        <f>IF(C17="F",0,IF(WEEKDAY($A17,2)=5,INDEX(TimerFr,MATCH(C17,FaseKode,0)),INDEX(TimerMT,MATCH(C17,FaseKode,0))))</f>
        <v/>
      </c>
      <c r="G17">
        <f>IF(D17="F",0,IF(WEEKDAY($A17,2)=5,INDEX(TimerFr,MATCH(D17,FaseKode,0)),INDEX(TimerMT,MATCH(D17,FaseKode,0))))</f>
        <v/>
      </c>
      <c r="H17">
        <f>IF(OR(H$4="",$A17&gt;TODAY()),0,IF(OR(INDEX($B17:$D17,H$5)="F",AND(H$6&gt;0,$A17&lt;H$6),AND(H$7&gt;0,$A17&gt;H$7)),0,MAX(0,ROUND((INDEX($E17:$G17,H$5)-SUMIFS(TF_Timer,TF_Tekniker,H$4,TF_Dato,$A17))*2,0)/2)))</f>
        <v/>
      </c>
      <c r="I17">
        <f>IF(OR(I$4="",$A17&gt;TODAY()),0,IF(OR(INDEX($B17:$D17,I$5)="F",AND(I$6&gt;0,$A17&lt;I$6),AND(I$7&gt;0,$A17&gt;I$7)),0,MAX(0,ROUND((INDEX($E17:$G17,I$5)-SUMIFS(TF_Timer,TF_Tekniker,I$4,TF_Dato,$A17))*2,0)/2)))</f>
        <v/>
      </c>
      <c r="J17">
        <f>IF(OR(J$4="",$A17&gt;TODAY()),0,IF(OR(INDEX($B17:$D17,J$5)="F",AND(J$6&gt;0,$A17&lt;J$6),AND(J$7&gt;0,$A17&gt;J$7)),0,MAX(0,ROUND((INDEX($E17:$G17,J$5)-SUMIFS(TF_Timer,TF_Tekniker,J$4,TF_Dato,$A17))*2,0)/2)))</f>
        <v/>
      </c>
      <c r="K17">
        <f>IF(OR(K$4="",$A17&gt;TODAY()),0,IF(OR(INDEX($B17:$D17,K$5)="F",AND(K$6&gt;0,$A17&lt;K$6),AND(K$7&gt;0,$A17&gt;K$7)),0,MAX(0,ROUND((INDEX($E17:$G17,K$5)-SUMIFS(TF_Timer,TF_Tekniker,K$4,TF_Dato,$A17))*2,0)/2)))</f>
        <v/>
      </c>
      <c r="L17">
        <f>IF(OR(L$4="",$A17&gt;TODAY()),0,IF(OR(INDEX($B17:$D17,L$5)="F",AND(L$6&gt;0,$A17&lt;L$6),AND(L$7&gt;0,$A17&gt;L$7)),0,MAX(0,ROUND((INDEX($E17:$G17,L$5)-SUMIFS(TF_Timer,TF_Tekniker,L$4,TF_Dato,$A17))*2,0)/2)))</f>
        <v/>
      </c>
      <c r="M17">
        <f>IF(OR(M$4="",$A17&gt;TODAY()),0,IF(OR(INDEX($B17:$D17,M$5)="F",AND(M$6&gt;0,$A17&lt;M$6),AND(M$7&gt;0,$A17&gt;M$7)),0,MAX(0,ROUND((INDEX($E17:$G17,M$5)-SUMIFS(TF_Timer,TF_Tekniker,M$4,TF_Dato,$A17))*2,0)/2)))</f>
        <v/>
      </c>
      <c r="N17">
        <f>IF(OR(N$4="",$A17&gt;TODAY()),0,IF(OR(INDEX($B17:$D17,N$5)="F",AND(N$6&gt;0,$A17&lt;N$6),AND(N$7&gt;0,$A17&gt;N$7)),0,MAX(0,ROUND((INDEX($E17:$G17,N$5)-SUMIFS(TF_Timer,TF_Tekniker,N$4,TF_Dato,$A17))*2,0)/2)))</f>
        <v/>
      </c>
      <c r="O17">
        <f>IF(OR(O$4="",$A17&gt;TODAY()),0,IF(OR(INDEX($B17:$D17,O$5)="F",AND(O$6&gt;0,$A17&lt;O$6),AND(O$7&gt;0,$A17&gt;O$7)),0,MAX(0,ROUND((INDEX($E17:$G17,O$5)-SUMIFS(TF_Timer,TF_Tekniker,O$4,TF_Dato,$A17))*2,0)/2)))</f>
        <v/>
      </c>
      <c r="P17">
        <f>IF(OR(P$4="",$A17&gt;TODAY()),0,IF(OR(INDEX($B17:$D17,P$5)="F",AND(P$6&gt;0,$A17&lt;P$6),AND(P$7&gt;0,$A17&gt;P$7)),0,MAX(0,ROUND((INDEX($E17:$G17,P$5)-SUMIFS(TF_Timer,TF_Tekniker,P$4,TF_Dato,$A17))*2,0)/2)))</f>
        <v/>
      </c>
      <c r="Q17">
        <f>IF(OR(Q$4="",$A17&gt;TODAY()),0,IF(OR(INDEX($B17:$D17,Q$5)="F",AND(Q$6&gt;0,$A17&lt;Q$6),AND(Q$7&gt;0,$A17&gt;Q$7)),0,MAX(0,ROUND((INDEX($E17:$G17,Q$5)-SUMIFS(TF_Timer,TF_Tekniker,Q$4,TF_Dato,$A17))*2,0)/2)))</f>
        <v/>
      </c>
      <c r="R17">
        <f>IF(OR(R$4="",$A17&gt;TODAY()),0,IF(OR(INDEX($B17:$D17,R$5)="F",AND(R$6&gt;0,$A17&lt;R$6),AND(R$7&gt;0,$A17&gt;R$7)),0,MAX(0,ROUND((INDEX($E17:$G17,R$5)-SUMIFS(TF_Timer,TF_Tekniker,R$4,TF_Dato,$A17))*2,0)/2)))</f>
        <v/>
      </c>
      <c r="S17">
        <f>IF(OR(S$4="",$A17&gt;TODAY()),0,IF(OR(INDEX($B17:$D17,S$5)="F",AND(S$6&gt;0,$A17&lt;S$6),AND(S$7&gt;0,$A17&gt;S$7)),0,MAX(0,ROUND((INDEX($E17:$G17,S$5)-SUMIFS(TF_Timer,TF_Tekniker,S$4,TF_Dato,$A17))*2,0)/2)))</f>
        <v/>
      </c>
      <c r="T17">
        <f>IF(OR(T$4="",$A17&gt;TODAY()),0,IF(OR(INDEX($B17:$D17,T$5)="F",AND(T$6&gt;0,$A17&lt;T$6),AND(T$7&gt;0,$A17&gt;T$7)),0,MAX(0,ROUND((INDEX($E17:$G17,T$5)-SUMIFS(TF_Timer,TF_Tekniker,T$4,TF_Dato,$A17))*2,0)/2)))</f>
        <v/>
      </c>
      <c r="U17">
        <f>IF(OR(U$4="",$A17&gt;TODAY()),0,IF(OR(INDEX($B17:$D17,U$5)="F",AND(U$6&gt;0,$A17&lt;U$6),AND(U$7&gt;0,$A17&gt;U$7)),0,MAX(0,ROUND((INDEX($E17:$G17,U$5)-SUMIFS(TF_Timer,TF_Tekniker,U$4,TF_Dato,$A17))*2,0)/2)))</f>
        <v/>
      </c>
      <c r="V17">
        <f>IF(OR(V$4="",$A17&gt;TODAY()),0,IF(OR(INDEX($B17:$D17,V$5)="F",AND(V$6&gt;0,$A17&lt;V$6),AND(V$7&gt;0,$A17&gt;V$7)),0,MAX(0,ROUND((INDEX($E17:$G17,V$5)-SUMIFS(TF_Timer,TF_Tekniker,V$4,TF_Dato,$A17))*2,0)/2)))</f>
        <v/>
      </c>
      <c r="W17">
        <f>IF(OR(W$4="",$A17&gt;TODAY()),0,IF(OR(INDEX($B17:$D17,W$5)="F",AND(W$6&gt;0,$A17&lt;W$6),AND(W$7&gt;0,$A17&gt;W$7)),0,MAX(0,ROUND((INDEX($E17:$G17,W$5)-SUMIFS(TF_Timer,TF_Tekniker,W$4,TF_Dato,$A17))*2,0)/2)))</f>
        <v/>
      </c>
      <c r="X17">
        <f>IF(OR(X$4="",$A17&gt;TODAY()),0,IF(OR(INDEX($B17:$D17,X$5)="F",AND(X$6&gt;0,$A17&lt;X$6),AND(X$7&gt;0,$A17&gt;X$7)),0,MAX(0,ROUND((INDEX($E17:$G17,X$5)-SUMIFS(TF_Timer,TF_Tekniker,X$4,TF_Dato,$A17))*2,0)/2)))</f>
        <v/>
      </c>
      <c r="Y17">
        <f>IF(OR(Y$4="",$A17&gt;TODAY()),0,IF(OR(INDEX($B17:$D17,Y$5)="F",AND(Y$6&gt;0,$A17&lt;Y$6),AND(Y$7&gt;0,$A17&gt;Y$7)),0,MAX(0,ROUND((INDEX($E17:$G17,Y$5)-SUMIFS(TF_Timer,TF_Tekniker,Y$4,TF_Dato,$A17))*2,0)/2)))</f>
        <v/>
      </c>
      <c r="Z17">
        <f>IF(OR(Z$4="",$A17&gt;TODAY()),0,IF(OR(INDEX($B17:$D17,Z$5)="F",AND(Z$6&gt;0,$A17&lt;Z$6),AND(Z$7&gt;0,$A17&gt;Z$7)),0,MAX(0,ROUND((INDEX($E17:$G17,Z$5)-SUMIFS(TF_Timer,TF_Tekniker,Z$4,TF_Dato,$A17))*2,0)/2)))</f>
        <v/>
      </c>
      <c r="AA17">
        <f>IF(OR(AA$4="",$A17&gt;TODAY()),0,IF(OR(INDEX($B17:$D17,AA$5)="F",AND(AA$6&gt;0,$A17&lt;AA$6),AND(AA$7&gt;0,$A17&gt;AA$7)),0,MAX(0,ROUND((INDEX($E17:$G17,AA$5)-SUMIFS(TF_Timer,TF_Tekniker,AA$4,TF_Dato,$A17))*2,0)/2)))</f>
        <v/>
      </c>
      <c r="AB17">
        <f>IF(OR(AB$4="",$A17&gt;TODAY()),0,IF(OR(INDEX($B17:$D17,AB$5)="F",AND(AB$6&gt;0,$A17&lt;AB$6),AND(AB$7&gt;0,$A17&gt;AB$7)),0,MAX(0,ROUND((INDEX($E17:$G17,AB$5)-SUMIFS(TF_Timer,TF_Tekniker,AB$4,TF_Dato,$A17))*2,0)/2)))</f>
        <v/>
      </c>
      <c r="AC17">
        <f>IF(OR(AC$4="",$A17&gt;TODAY()),0,IF(OR(INDEX($B17:$D17,AC$5)="F",AND(AC$6&gt;0,$A17&lt;AC$6),AND(AC$7&gt;0,$A17&gt;AC$7)),0,MAX(0,ROUND((INDEX($E17:$G17,AC$5)-SUMIFS(TF_Timer,TF_Tekniker,AC$4,TF_Dato,$A17))*2,0)/2)))</f>
        <v/>
      </c>
      <c r="AD17">
        <f>IF(OR(AD$4="",$A17&gt;TODAY()),0,IF(OR(INDEX($B17:$D17,AD$5)="F",AND(AD$6&gt;0,$A17&lt;AD$6),AND(AD$7&gt;0,$A17&gt;AD$7)),0,MAX(0,ROUND((INDEX($E17:$G17,AD$5)-SUMIFS(TF_Timer,TF_Tekniker,AD$4,TF_Dato,$A17))*2,0)/2)))</f>
        <v/>
      </c>
      <c r="AE17">
        <f>IF(OR(AE$4="",$A17&gt;TODAY()),0,IF(OR(INDEX($B17:$D17,AE$5)="F",AND(AE$6&gt;0,$A17&lt;AE$6),AND(AE$7&gt;0,$A17&gt;AE$7)),0,MAX(0,ROUND((INDEX($E17:$G17,AE$5)-SUMIFS(TF_Timer,TF_Tekniker,AE$4,TF_Dato,$A17))*2,0)/2)))</f>
        <v/>
      </c>
      <c r="AF17">
        <f>IF(OR(AF$4="",$A17&gt;TODAY()),0,IF(OR(INDEX($B17:$D17,AF$5)="F",AND(AF$6&gt;0,$A17&lt;AF$6),AND(AF$7&gt;0,$A17&gt;AF$7)),0,MAX(0,ROUND((INDEX($E17:$G17,AF$5)-SUMIFS(TF_Timer,TF_Tekniker,AF$4,TF_Dato,$A17))*2,0)/2)))</f>
        <v/>
      </c>
      <c r="AG17">
        <f>IF(OR(AG$4="",$A17&gt;TODAY()),0,IF(OR(INDEX($B17:$D17,AG$5)="F",AND(AG$6&gt;0,$A17&lt;AG$6),AND(AG$7&gt;0,$A17&gt;AG$7)),0,MAX(0,ROUND((INDEX($E17:$G17,AG$5)-SUMIFS(TF_Timer,TF_Tekniker,AG$4,TF_Dato,$A17))*2,0)/2)))</f>
        <v/>
      </c>
      <c r="AH17">
        <f>IF(OR(AH$4="",$A17&gt;TODAY()),0,IF(OR(INDEX($B17:$D17,AH$5)="F",AND(AH$6&gt;0,$A17&lt;AH$6),AND(AH$7&gt;0,$A17&gt;AH$7)),0,MAX(0,ROUND((INDEX($E17:$G17,AH$5)-SUMIFS(TF_Timer,TF_Tekniker,AH$4,TF_Dato,$A17))*2,0)/2)))</f>
        <v/>
      </c>
      <c r="AI17">
        <f>IF(OR(AI$4="",$A17&gt;TODAY()),0,IF(OR(INDEX($B17:$D17,AI$5)="F",AND(AI$6&gt;0,$A17&lt;AI$6),AND(AI$7&gt;0,$A17&gt;AI$7)),0,MAX(0,ROUND((INDEX($E17:$G17,AI$5)-SUMIFS(TF_Timer,TF_Tekniker,AI$4,TF_Dato,$A17))*2,0)/2)))</f>
        <v/>
      </c>
      <c r="AJ17">
        <f>IF(OR(AJ$4="",$A17&gt;TODAY()),0,IF(OR(INDEX($B17:$D17,AJ$5)="F",AND(AJ$6&gt;0,$A17&lt;AJ$6),AND(AJ$7&gt;0,$A17&gt;AJ$7)),0,MAX(0,ROUND((INDEX($E17:$G17,AJ$5)-SUMIFS(TF_Timer,TF_Tekniker,AJ$4,TF_Dato,$A17))*2,0)/2)))</f>
        <v/>
      </c>
      <c r="AK17">
        <f>IF(OR(AK$4="",$A17&gt;TODAY()),0,IF(OR(INDEX($B17:$D17,AK$5)="F",AND(AK$6&gt;0,$A17&lt;AK$6),AND(AK$7&gt;0,$A17&gt;AK$7)),0,MAX(0,ROUND((INDEX($E17:$G17,AK$5)-SUMIFS(TF_Timer,TF_Tekniker,AK$4,TF_Dato,$A17))*2,0)/2)))</f>
        <v/>
      </c>
      <c r="AL17">
        <f>IF(OR(AL$4="",$A17&gt;TODAY()),0,IF(OR(INDEX($B17:$D17,AL$5)="F",AND(AL$6&gt;0,$A17&lt;AL$6),AND(AL$7&gt;0,$A17&gt;AL$7)),0,MAX(0,ROUND((INDEX($E17:$G17,AL$5)-SUMIFS(TF_Timer,TF_Tekniker,AL$4,TF_Dato,$A17))*2,0)/2)))</f>
        <v/>
      </c>
      <c r="AM17">
        <f>IF(OR(AM$4="",$A17&gt;TODAY()),0,IF(OR(INDEX($B17:$D17,AM$5)="F",AND(AM$6&gt;0,$A17&lt;AM$6),AND(AM$7&gt;0,$A17&gt;AM$7)),0,MAX(0,ROUND((INDEX($E17:$G17,AM$5)-SUMIFS(TF_Timer,TF_Tekniker,AM$4,TF_Dato,$A17))*2,0)/2)))</f>
        <v/>
      </c>
      <c r="AN17">
        <f>IF(OR(AN$4="",$A17&gt;TODAY()),0,IF(OR(INDEX($B17:$D17,AN$5)="F",AND(AN$6&gt;0,$A17&lt;AN$6),AND(AN$7&gt;0,$A17&gt;AN$7)),0,MAX(0,ROUND((INDEX($E17:$G17,AN$5)-SUMIFS(TF_Timer,TF_Tekniker,AN$4,TF_Dato,$A17))*2,0)/2)))</f>
        <v/>
      </c>
      <c r="AO17">
        <f>IF(OR(AO$4="",$A17&gt;TODAY()),0,IF(OR(INDEX($B17:$D17,AO$5)="F",AND(AO$6&gt;0,$A17&lt;AO$6),AND(AO$7&gt;0,$A17&gt;AO$7)),0,MAX(0,ROUND((INDEX($E17:$G17,AO$5)-SUMIFS(TF_Timer,TF_Tekniker,AO$4,TF_Dato,$A17))*2,0)/2)))</f>
        <v/>
      </c>
      <c r="AP17">
        <f>IF(OR(AP$4="",$A17&gt;TODAY()),0,IF(OR(INDEX($B17:$D17,AP$5)="F",AND(AP$6&gt;0,$A17&lt;AP$6),AND(AP$7&gt;0,$A17&gt;AP$7)),0,MAX(0,ROUND((INDEX($E17:$G17,AP$5)-SUMIFS(TF_Timer,TF_Tekniker,AP$4,TF_Dato,$A17))*2,0)/2)))</f>
        <v/>
      </c>
      <c r="AQ17">
        <f>IF(OR(AQ$4="",$A17&gt;TODAY()),0,IF(OR(INDEX($B17:$D17,AQ$5)="F",AND(AQ$6&gt;0,$A17&lt;AQ$6),AND(AQ$7&gt;0,$A17&gt;AQ$7)),0,MAX(0,ROUND((INDEX($E17:$G17,AQ$5)-SUMIFS(TF_Timer,TF_Tekniker,AQ$4,TF_Dato,$A17))*2,0)/2)))</f>
        <v/>
      </c>
      <c r="AR17">
        <f>IF(OR(AR$4="",$A17&gt;TODAY()),0,IF(OR(INDEX($B17:$D17,AR$5)="F",AND(AR$6&gt;0,$A17&lt;AR$6),AND(AR$7&gt;0,$A17&gt;AR$7)),0,MAX(0,ROUND((INDEX($E17:$G17,AR$5)-SUMIFS(TF_Timer,TF_Tekniker,AR$4,TF_Dato,$A17))*2,0)/2)))</f>
        <v/>
      </c>
      <c r="AS17">
        <f>IF(OR(AS$4="",$A17&gt;TODAY()),0,IF(OR(INDEX($B17:$D17,AS$5)="F",AND(AS$6&gt;0,$A17&lt;AS$6),AND(AS$7&gt;0,$A17&gt;AS$7)),0,MAX(0,ROUND((INDEX($E17:$G17,AS$5)-SUMIFS(TF_Timer,TF_Tekniker,AS$4,TF_Dato,$A17))*2,0)/2)))</f>
        <v/>
      </c>
      <c r="AT17">
        <f>IF(OR(AT$4="",$A17&gt;TODAY()),0,IF(OR(INDEX($B17:$D17,AT$5)="F",AND(AT$6&gt;0,$A17&lt;AT$6),AND(AT$7&gt;0,$A17&gt;AT$7)),0,MAX(0,ROUND((INDEX($E17:$G17,AT$5)-SUMIFS(TF_Timer,TF_Tekniker,AT$4,TF_Dato,$A17))*2,0)/2)))</f>
        <v/>
      </c>
      <c r="AU17">
        <f>IF(OR(AU$4="",$A17&gt;TODAY()),0,IF(OR(INDEX($B17:$D17,AU$5)="F",AND(AU$6&gt;0,$A17&lt;AU$6),AND(AU$7&gt;0,$A17&gt;AU$7)),0,MAX(0,ROUND((INDEX($E17:$G17,AU$5)-SUMIFS(TF_Timer,TF_Tekniker,AU$4,TF_Dato,$A17))*2,0)/2)))</f>
        <v/>
      </c>
      <c r="AV17">
        <f>IF(OR(AV$4="",$A17&gt;TODAY()),0,IF(OR(INDEX($B17:$D17,AV$5)="F",AND(AV$6&gt;0,$A17&lt;AV$6),AND(AV$7&gt;0,$A17&gt;AV$7)),0,MAX(0,ROUND((INDEX($E17:$G17,AV$5)-SUMIFS(TF_Timer,TF_Tekniker,AV$4,TF_Dato,$A17))*2,0)/2)))</f>
        <v/>
      </c>
      <c r="AW17">
        <f>IF(OR(AW$4="",$A17&gt;TODAY()),0,IF(OR(INDEX($B17:$D17,AW$5)="F",AND(AW$6&gt;0,$A17&lt;AW$6),AND(AW$7&gt;0,$A17&gt;AW$7)),0,MAX(0,ROUND((INDEX($E17:$G17,AW$5)-SUMIFS(TF_Timer,TF_Tekniker,AW$4,TF_Dato,$A17))*2,0)/2)))</f>
        <v/>
      </c>
      <c r="AX17">
        <f>IF(OR(AX$4="",$A17&gt;TODAY()),0,IF(OR(INDEX($B17:$D17,AX$5)="F",AND(AX$6&gt;0,$A17&lt;AX$6),AND(AX$7&gt;0,$A17&gt;AX$7)),0,MAX(0,ROUND((INDEX($E17:$G17,AX$5)-SUMIFS(TF_Timer,TF_Tekniker,AX$4,TF_Dato,$A17))*2,0)/2)))</f>
        <v/>
      </c>
      <c r="AY17">
        <f>IF(OR(AY$4="",$A17&gt;TODAY()),0,IF(OR(INDEX($B17:$D17,AY$5)="F",AND(AY$6&gt;0,$A17&lt;AY$6),AND(AY$7&gt;0,$A17&gt;AY$7)),0,MAX(0,ROUND((INDEX($E17:$G17,AY$5)-SUMIFS(TF_Timer,TF_Tekniker,AY$4,TF_Dato,$A17))*2,0)/2)))</f>
        <v/>
      </c>
      <c r="AZ17">
        <f>IF(OR(AZ$4="",$A17&gt;TODAY()),0,IF(OR(INDEX($B17:$D17,AZ$5)="F",AND(AZ$6&gt;0,$A17&lt;AZ$6),AND(AZ$7&gt;0,$A17&gt;AZ$7)),0,MAX(0,ROUND((INDEX($E17:$G17,AZ$5)-SUMIFS(TF_Timer,TF_Tekniker,AZ$4,TF_Dato,$A17))*2,0)/2)))</f>
        <v/>
      </c>
      <c r="BA17">
        <f>IF(OR(BA$4="",$A17&gt;TODAY()),0,IF(OR(INDEX($B17:$D17,BA$5)="F",AND(BA$6&gt;0,$A17&lt;BA$6),AND(BA$7&gt;0,$A17&gt;BA$7)),0,MAX(0,ROUND((INDEX($E17:$G17,BA$5)-SUMIFS(TF_Timer,TF_Tekniker,BA$4,TF_Dato,$A17))*2,0)/2)))</f>
        <v/>
      </c>
      <c r="BB17">
        <f>IF(OR(BB$4="",$A17&gt;TODAY()),0,IF(OR(INDEX($B17:$D17,BB$5)="F",AND(BB$6&gt;0,$A17&lt;BB$6),AND(BB$7&gt;0,$A17&gt;BB$7)),0,MAX(0,ROUND((INDEX($E17:$G17,BB$5)-SUMIFS(TF_Timer,TF_Tekniker,BB$4,TF_Dato,$A17))*2,0)/2)))</f>
        <v/>
      </c>
      <c r="BC17">
        <f>IF(OR(BC$4="",$A17&gt;TODAY()),0,IF(OR(INDEX($B17:$D17,BC$5)="F",AND(BC$6&gt;0,$A17&lt;BC$6),AND(BC$7&gt;0,$A17&gt;BC$7)),0,MAX(0,ROUND((INDEX($E17:$G17,BC$5)-SUMIFS(TF_Timer,TF_Tekniker,BC$4,TF_Dato,$A17))*2,0)/2)))</f>
        <v/>
      </c>
      <c r="BD17">
        <f>IF(OR(BD$4="",$A17&gt;TODAY()),0,IF(OR(INDEX($B17:$D17,BD$5)="F",AND(BD$6&gt;0,$A17&lt;BD$6),AND(BD$7&gt;0,$A17&gt;BD$7)),0,MAX(0,ROUND((INDEX($E17:$G17,BD$5)-SUMIFS(TF_Timer,TF_Tekniker,BD$4,TF_Dato,$A17))*2,0)/2)))</f>
        <v/>
      </c>
      <c r="BE17">
        <f>IF(OR(BE$4="",$A17&gt;TODAY()),0,IF(OR(INDEX($B17:$D17,BE$5)="F",AND(BE$6&gt;0,$A17&lt;BE$6),AND(BE$7&gt;0,$A17&gt;BE$7)),0,MAX(0,ROUND((INDEX($E17:$G17,BE$5)-SUMIFS(TF_Timer,TF_Tekniker,BE$4,TF_Dato,$A17))*2,0)/2)))</f>
        <v/>
      </c>
      <c r="BF17">
        <f>IF(OR(BF$4="",$A17&gt;TODAY()),0,IF(OR(INDEX($B17:$D17,BF$5)="F",AND(BF$6&gt;0,$A17&lt;BF$6),AND(BF$7&gt;0,$A17&gt;BF$7)),0,MAX(0,ROUND((INDEX($E17:$G17,BF$5)-SUMIFS(TF_Timer,TF_Tekniker,BF$4,TF_Dato,$A17))*2,0)/2)))</f>
        <v/>
      </c>
      <c r="BG17">
        <f>IF(OR(BG$4="",$A17&gt;TODAY()),0,IF(OR(INDEX($B17:$D17,BG$5)="F",AND(BG$6&gt;0,$A17&lt;BG$6),AND(BG$7&gt;0,$A17&gt;BG$7)),0,MAX(0,ROUND((INDEX($E17:$G17,BG$5)-SUMIFS(TF_Timer,TF_Tekniker,BG$4,TF_Dato,$A17))*2,0)/2)))</f>
        <v/>
      </c>
      <c r="BH17">
        <f>IF(OR(BH$4="",$A17&gt;TODAY()),0,IF(OR(INDEX($B17:$D17,BH$5)="F",AND(BH$6&gt;0,$A17&lt;BH$6),AND(BH$7&gt;0,$A17&gt;BH$7)),0,MAX(0,ROUND((INDEX($E17:$G17,BH$5)-SUMIFS(TF_Timer,TF_Tekniker,BH$4,TF_Dato,$A17))*2,0)/2)))</f>
        <v/>
      </c>
      <c r="BI17">
        <f>IF(OR(BI$4="",$A17&gt;TODAY()),0,IF(OR(INDEX($B17:$D17,BI$5)="F",AND(BI$6&gt;0,$A17&lt;BI$6),AND(BI$7&gt;0,$A17&gt;BI$7)),0,MAX(0,ROUND((INDEX($E17:$G17,BI$5)-SUMIFS(TF_Timer,TF_Tekniker,BI$4,TF_Dato,$A17))*2,0)/2)))</f>
        <v/>
      </c>
    </row>
    <row r="18">
      <c r="A18" s="64">
        <f>A17+1</f>
        <v/>
      </c>
      <c r="B18">
        <f>IF(MOD($A18-INDEX(SkiftStart,1),Syklus)&lt;DagK,"K",IF(MOD($A18-INDEX(SkiftStart,1),Syklus)&lt;DagK+DagH,"H",IF(MOD($A18-INDEX(SkiftStart,1),Syklus)&lt;DagK+DagH+DagD,"D","F")))</f>
        <v/>
      </c>
      <c r="C18">
        <f>IF(MOD($A18-INDEX(SkiftStart,2),Syklus)&lt;DagK,"K",IF(MOD($A18-INDEX(SkiftStart,2),Syklus)&lt;DagK+DagH,"H",IF(MOD($A18-INDEX(SkiftStart,2),Syklus)&lt;DagK+DagH+DagD,"D","F")))</f>
        <v/>
      </c>
      <c r="D18">
        <f>IF(MOD($A18-INDEX(SkiftStart,3),Syklus)&lt;DagK,"K",IF(MOD($A18-INDEX(SkiftStart,3),Syklus)&lt;DagK+DagH,"H",IF(MOD($A18-INDEX(SkiftStart,3),Syklus)&lt;DagK+DagH+DagD,"D","F")))</f>
        <v/>
      </c>
      <c r="E18">
        <f>IF(B18="F",0,IF(WEEKDAY($A18,2)=5,INDEX(TimerFr,MATCH(B18,FaseKode,0)),INDEX(TimerMT,MATCH(B18,FaseKode,0))))</f>
        <v/>
      </c>
      <c r="F18">
        <f>IF(C18="F",0,IF(WEEKDAY($A18,2)=5,INDEX(TimerFr,MATCH(C18,FaseKode,0)),INDEX(TimerMT,MATCH(C18,FaseKode,0))))</f>
        <v/>
      </c>
      <c r="G18">
        <f>IF(D18="F",0,IF(WEEKDAY($A18,2)=5,INDEX(TimerFr,MATCH(D18,FaseKode,0)),INDEX(TimerMT,MATCH(D18,FaseKode,0))))</f>
        <v/>
      </c>
      <c r="H18">
        <f>IF(OR(H$4="",$A18&gt;TODAY()),0,IF(OR(INDEX($B18:$D18,H$5)="F",AND(H$6&gt;0,$A18&lt;H$6),AND(H$7&gt;0,$A18&gt;H$7)),0,MAX(0,ROUND((INDEX($E18:$G18,H$5)-SUMIFS(TF_Timer,TF_Tekniker,H$4,TF_Dato,$A18))*2,0)/2)))</f>
        <v/>
      </c>
      <c r="I18">
        <f>IF(OR(I$4="",$A18&gt;TODAY()),0,IF(OR(INDEX($B18:$D18,I$5)="F",AND(I$6&gt;0,$A18&lt;I$6),AND(I$7&gt;0,$A18&gt;I$7)),0,MAX(0,ROUND((INDEX($E18:$G18,I$5)-SUMIFS(TF_Timer,TF_Tekniker,I$4,TF_Dato,$A18))*2,0)/2)))</f>
        <v/>
      </c>
      <c r="J18">
        <f>IF(OR(J$4="",$A18&gt;TODAY()),0,IF(OR(INDEX($B18:$D18,J$5)="F",AND(J$6&gt;0,$A18&lt;J$6),AND(J$7&gt;0,$A18&gt;J$7)),0,MAX(0,ROUND((INDEX($E18:$G18,J$5)-SUMIFS(TF_Timer,TF_Tekniker,J$4,TF_Dato,$A18))*2,0)/2)))</f>
        <v/>
      </c>
      <c r="K18">
        <f>IF(OR(K$4="",$A18&gt;TODAY()),0,IF(OR(INDEX($B18:$D18,K$5)="F",AND(K$6&gt;0,$A18&lt;K$6),AND(K$7&gt;0,$A18&gt;K$7)),0,MAX(0,ROUND((INDEX($E18:$G18,K$5)-SUMIFS(TF_Timer,TF_Tekniker,K$4,TF_Dato,$A18))*2,0)/2)))</f>
        <v/>
      </c>
      <c r="L18">
        <f>IF(OR(L$4="",$A18&gt;TODAY()),0,IF(OR(INDEX($B18:$D18,L$5)="F",AND(L$6&gt;0,$A18&lt;L$6),AND(L$7&gt;0,$A18&gt;L$7)),0,MAX(0,ROUND((INDEX($E18:$G18,L$5)-SUMIFS(TF_Timer,TF_Tekniker,L$4,TF_Dato,$A18))*2,0)/2)))</f>
        <v/>
      </c>
      <c r="M18">
        <f>IF(OR(M$4="",$A18&gt;TODAY()),0,IF(OR(INDEX($B18:$D18,M$5)="F",AND(M$6&gt;0,$A18&lt;M$6),AND(M$7&gt;0,$A18&gt;M$7)),0,MAX(0,ROUND((INDEX($E18:$G18,M$5)-SUMIFS(TF_Timer,TF_Tekniker,M$4,TF_Dato,$A18))*2,0)/2)))</f>
        <v/>
      </c>
      <c r="N18">
        <f>IF(OR(N$4="",$A18&gt;TODAY()),0,IF(OR(INDEX($B18:$D18,N$5)="F",AND(N$6&gt;0,$A18&lt;N$6),AND(N$7&gt;0,$A18&gt;N$7)),0,MAX(0,ROUND((INDEX($E18:$G18,N$5)-SUMIFS(TF_Timer,TF_Tekniker,N$4,TF_Dato,$A18))*2,0)/2)))</f>
        <v/>
      </c>
      <c r="O18">
        <f>IF(OR(O$4="",$A18&gt;TODAY()),0,IF(OR(INDEX($B18:$D18,O$5)="F",AND(O$6&gt;0,$A18&lt;O$6),AND(O$7&gt;0,$A18&gt;O$7)),0,MAX(0,ROUND((INDEX($E18:$G18,O$5)-SUMIFS(TF_Timer,TF_Tekniker,O$4,TF_Dato,$A18))*2,0)/2)))</f>
        <v/>
      </c>
      <c r="P18">
        <f>IF(OR(P$4="",$A18&gt;TODAY()),0,IF(OR(INDEX($B18:$D18,P$5)="F",AND(P$6&gt;0,$A18&lt;P$6),AND(P$7&gt;0,$A18&gt;P$7)),0,MAX(0,ROUND((INDEX($E18:$G18,P$5)-SUMIFS(TF_Timer,TF_Tekniker,P$4,TF_Dato,$A18))*2,0)/2)))</f>
        <v/>
      </c>
      <c r="Q18">
        <f>IF(OR(Q$4="",$A18&gt;TODAY()),0,IF(OR(INDEX($B18:$D18,Q$5)="F",AND(Q$6&gt;0,$A18&lt;Q$6),AND(Q$7&gt;0,$A18&gt;Q$7)),0,MAX(0,ROUND((INDEX($E18:$G18,Q$5)-SUMIFS(TF_Timer,TF_Tekniker,Q$4,TF_Dato,$A18))*2,0)/2)))</f>
        <v/>
      </c>
      <c r="R18">
        <f>IF(OR(R$4="",$A18&gt;TODAY()),0,IF(OR(INDEX($B18:$D18,R$5)="F",AND(R$6&gt;0,$A18&lt;R$6),AND(R$7&gt;0,$A18&gt;R$7)),0,MAX(0,ROUND((INDEX($E18:$G18,R$5)-SUMIFS(TF_Timer,TF_Tekniker,R$4,TF_Dato,$A18))*2,0)/2)))</f>
        <v/>
      </c>
      <c r="S18">
        <f>IF(OR(S$4="",$A18&gt;TODAY()),0,IF(OR(INDEX($B18:$D18,S$5)="F",AND(S$6&gt;0,$A18&lt;S$6),AND(S$7&gt;0,$A18&gt;S$7)),0,MAX(0,ROUND((INDEX($E18:$G18,S$5)-SUMIFS(TF_Timer,TF_Tekniker,S$4,TF_Dato,$A18))*2,0)/2)))</f>
        <v/>
      </c>
      <c r="T18">
        <f>IF(OR(T$4="",$A18&gt;TODAY()),0,IF(OR(INDEX($B18:$D18,T$5)="F",AND(T$6&gt;0,$A18&lt;T$6),AND(T$7&gt;0,$A18&gt;T$7)),0,MAX(0,ROUND((INDEX($E18:$G18,T$5)-SUMIFS(TF_Timer,TF_Tekniker,T$4,TF_Dato,$A18))*2,0)/2)))</f>
        <v/>
      </c>
      <c r="U18">
        <f>IF(OR(U$4="",$A18&gt;TODAY()),0,IF(OR(INDEX($B18:$D18,U$5)="F",AND(U$6&gt;0,$A18&lt;U$6),AND(U$7&gt;0,$A18&gt;U$7)),0,MAX(0,ROUND((INDEX($E18:$G18,U$5)-SUMIFS(TF_Timer,TF_Tekniker,U$4,TF_Dato,$A18))*2,0)/2)))</f>
        <v/>
      </c>
      <c r="V18">
        <f>IF(OR(V$4="",$A18&gt;TODAY()),0,IF(OR(INDEX($B18:$D18,V$5)="F",AND(V$6&gt;0,$A18&lt;V$6),AND(V$7&gt;0,$A18&gt;V$7)),0,MAX(0,ROUND((INDEX($E18:$G18,V$5)-SUMIFS(TF_Timer,TF_Tekniker,V$4,TF_Dato,$A18))*2,0)/2)))</f>
        <v/>
      </c>
      <c r="W18">
        <f>IF(OR(W$4="",$A18&gt;TODAY()),0,IF(OR(INDEX($B18:$D18,W$5)="F",AND(W$6&gt;0,$A18&lt;W$6),AND(W$7&gt;0,$A18&gt;W$7)),0,MAX(0,ROUND((INDEX($E18:$G18,W$5)-SUMIFS(TF_Timer,TF_Tekniker,W$4,TF_Dato,$A18))*2,0)/2)))</f>
        <v/>
      </c>
      <c r="X18">
        <f>IF(OR(X$4="",$A18&gt;TODAY()),0,IF(OR(INDEX($B18:$D18,X$5)="F",AND(X$6&gt;0,$A18&lt;X$6),AND(X$7&gt;0,$A18&gt;X$7)),0,MAX(0,ROUND((INDEX($E18:$G18,X$5)-SUMIFS(TF_Timer,TF_Tekniker,X$4,TF_Dato,$A18))*2,0)/2)))</f>
        <v/>
      </c>
      <c r="Y18">
        <f>IF(OR(Y$4="",$A18&gt;TODAY()),0,IF(OR(INDEX($B18:$D18,Y$5)="F",AND(Y$6&gt;0,$A18&lt;Y$6),AND(Y$7&gt;0,$A18&gt;Y$7)),0,MAX(0,ROUND((INDEX($E18:$G18,Y$5)-SUMIFS(TF_Timer,TF_Tekniker,Y$4,TF_Dato,$A18))*2,0)/2)))</f>
        <v/>
      </c>
      <c r="Z18">
        <f>IF(OR(Z$4="",$A18&gt;TODAY()),0,IF(OR(INDEX($B18:$D18,Z$5)="F",AND(Z$6&gt;0,$A18&lt;Z$6),AND(Z$7&gt;0,$A18&gt;Z$7)),0,MAX(0,ROUND((INDEX($E18:$G18,Z$5)-SUMIFS(TF_Timer,TF_Tekniker,Z$4,TF_Dato,$A18))*2,0)/2)))</f>
        <v/>
      </c>
      <c r="AA18">
        <f>IF(OR(AA$4="",$A18&gt;TODAY()),0,IF(OR(INDEX($B18:$D18,AA$5)="F",AND(AA$6&gt;0,$A18&lt;AA$6),AND(AA$7&gt;0,$A18&gt;AA$7)),0,MAX(0,ROUND((INDEX($E18:$G18,AA$5)-SUMIFS(TF_Timer,TF_Tekniker,AA$4,TF_Dato,$A18))*2,0)/2)))</f>
        <v/>
      </c>
      <c r="AB18">
        <f>IF(OR(AB$4="",$A18&gt;TODAY()),0,IF(OR(INDEX($B18:$D18,AB$5)="F",AND(AB$6&gt;0,$A18&lt;AB$6),AND(AB$7&gt;0,$A18&gt;AB$7)),0,MAX(0,ROUND((INDEX($E18:$G18,AB$5)-SUMIFS(TF_Timer,TF_Tekniker,AB$4,TF_Dato,$A18))*2,0)/2)))</f>
        <v/>
      </c>
      <c r="AC18">
        <f>IF(OR(AC$4="",$A18&gt;TODAY()),0,IF(OR(INDEX($B18:$D18,AC$5)="F",AND(AC$6&gt;0,$A18&lt;AC$6),AND(AC$7&gt;0,$A18&gt;AC$7)),0,MAX(0,ROUND((INDEX($E18:$G18,AC$5)-SUMIFS(TF_Timer,TF_Tekniker,AC$4,TF_Dato,$A18))*2,0)/2)))</f>
        <v/>
      </c>
      <c r="AD18">
        <f>IF(OR(AD$4="",$A18&gt;TODAY()),0,IF(OR(INDEX($B18:$D18,AD$5)="F",AND(AD$6&gt;0,$A18&lt;AD$6),AND(AD$7&gt;0,$A18&gt;AD$7)),0,MAX(0,ROUND((INDEX($E18:$G18,AD$5)-SUMIFS(TF_Timer,TF_Tekniker,AD$4,TF_Dato,$A18))*2,0)/2)))</f>
        <v/>
      </c>
      <c r="AE18">
        <f>IF(OR(AE$4="",$A18&gt;TODAY()),0,IF(OR(INDEX($B18:$D18,AE$5)="F",AND(AE$6&gt;0,$A18&lt;AE$6),AND(AE$7&gt;0,$A18&gt;AE$7)),0,MAX(0,ROUND((INDEX($E18:$G18,AE$5)-SUMIFS(TF_Timer,TF_Tekniker,AE$4,TF_Dato,$A18))*2,0)/2)))</f>
        <v/>
      </c>
      <c r="AF18">
        <f>IF(OR(AF$4="",$A18&gt;TODAY()),0,IF(OR(INDEX($B18:$D18,AF$5)="F",AND(AF$6&gt;0,$A18&lt;AF$6),AND(AF$7&gt;0,$A18&gt;AF$7)),0,MAX(0,ROUND((INDEX($E18:$G18,AF$5)-SUMIFS(TF_Timer,TF_Tekniker,AF$4,TF_Dato,$A18))*2,0)/2)))</f>
        <v/>
      </c>
      <c r="AG18">
        <f>IF(OR(AG$4="",$A18&gt;TODAY()),0,IF(OR(INDEX($B18:$D18,AG$5)="F",AND(AG$6&gt;0,$A18&lt;AG$6),AND(AG$7&gt;0,$A18&gt;AG$7)),0,MAX(0,ROUND((INDEX($E18:$G18,AG$5)-SUMIFS(TF_Timer,TF_Tekniker,AG$4,TF_Dato,$A18))*2,0)/2)))</f>
        <v/>
      </c>
      <c r="AH18">
        <f>IF(OR(AH$4="",$A18&gt;TODAY()),0,IF(OR(INDEX($B18:$D18,AH$5)="F",AND(AH$6&gt;0,$A18&lt;AH$6),AND(AH$7&gt;0,$A18&gt;AH$7)),0,MAX(0,ROUND((INDEX($E18:$G18,AH$5)-SUMIFS(TF_Timer,TF_Tekniker,AH$4,TF_Dato,$A18))*2,0)/2)))</f>
        <v/>
      </c>
      <c r="AI18">
        <f>IF(OR(AI$4="",$A18&gt;TODAY()),0,IF(OR(INDEX($B18:$D18,AI$5)="F",AND(AI$6&gt;0,$A18&lt;AI$6),AND(AI$7&gt;0,$A18&gt;AI$7)),0,MAX(0,ROUND((INDEX($E18:$G18,AI$5)-SUMIFS(TF_Timer,TF_Tekniker,AI$4,TF_Dato,$A18))*2,0)/2)))</f>
        <v/>
      </c>
      <c r="AJ18">
        <f>IF(OR(AJ$4="",$A18&gt;TODAY()),0,IF(OR(INDEX($B18:$D18,AJ$5)="F",AND(AJ$6&gt;0,$A18&lt;AJ$6),AND(AJ$7&gt;0,$A18&gt;AJ$7)),0,MAX(0,ROUND((INDEX($E18:$G18,AJ$5)-SUMIFS(TF_Timer,TF_Tekniker,AJ$4,TF_Dato,$A18))*2,0)/2)))</f>
        <v/>
      </c>
      <c r="AK18">
        <f>IF(OR(AK$4="",$A18&gt;TODAY()),0,IF(OR(INDEX($B18:$D18,AK$5)="F",AND(AK$6&gt;0,$A18&lt;AK$6),AND(AK$7&gt;0,$A18&gt;AK$7)),0,MAX(0,ROUND((INDEX($E18:$G18,AK$5)-SUMIFS(TF_Timer,TF_Tekniker,AK$4,TF_Dato,$A18))*2,0)/2)))</f>
        <v/>
      </c>
      <c r="AL18">
        <f>IF(OR(AL$4="",$A18&gt;TODAY()),0,IF(OR(INDEX($B18:$D18,AL$5)="F",AND(AL$6&gt;0,$A18&lt;AL$6),AND(AL$7&gt;0,$A18&gt;AL$7)),0,MAX(0,ROUND((INDEX($E18:$G18,AL$5)-SUMIFS(TF_Timer,TF_Tekniker,AL$4,TF_Dato,$A18))*2,0)/2)))</f>
        <v/>
      </c>
      <c r="AM18">
        <f>IF(OR(AM$4="",$A18&gt;TODAY()),0,IF(OR(INDEX($B18:$D18,AM$5)="F",AND(AM$6&gt;0,$A18&lt;AM$6),AND(AM$7&gt;0,$A18&gt;AM$7)),0,MAX(0,ROUND((INDEX($E18:$G18,AM$5)-SUMIFS(TF_Timer,TF_Tekniker,AM$4,TF_Dato,$A18))*2,0)/2)))</f>
        <v/>
      </c>
      <c r="AN18">
        <f>IF(OR(AN$4="",$A18&gt;TODAY()),0,IF(OR(INDEX($B18:$D18,AN$5)="F",AND(AN$6&gt;0,$A18&lt;AN$6),AND(AN$7&gt;0,$A18&gt;AN$7)),0,MAX(0,ROUND((INDEX($E18:$G18,AN$5)-SUMIFS(TF_Timer,TF_Tekniker,AN$4,TF_Dato,$A18))*2,0)/2)))</f>
        <v/>
      </c>
      <c r="AO18">
        <f>IF(OR(AO$4="",$A18&gt;TODAY()),0,IF(OR(INDEX($B18:$D18,AO$5)="F",AND(AO$6&gt;0,$A18&lt;AO$6),AND(AO$7&gt;0,$A18&gt;AO$7)),0,MAX(0,ROUND((INDEX($E18:$G18,AO$5)-SUMIFS(TF_Timer,TF_Tekniker,AO$4,TF_Dato,$A18))*2,0)/2)))</f>
        <v/>
      </c>
      <c r="AP18">
        <f>IF(OR(AP$4="",$A18&gt;TODAY()),0,IF(OR(INDEX($B18:$D18,AP$5)="F",AND(AP$6&gt;0,$A18&lt;AP$6),AND(AP$7&gt;0,$A18&gt;AP$7)),0,MAX(0,ROUND((INDEX($E18:$G18,AP$5)-SUMIFS(TF_Timer,TF_Tekniker,AP$4,TF_Dato,$A18))*2,0)/2)))</f>
        <v/>
      </c>
      <c r="AQ18">
        <f>IF(OR(AQ$4="",$A18&gt;TODAY()),0,IF(OR(INDEX($B18:$D18,AQ$5)="F",AND(AQ$6&gt;0,$A18&lt;AQ$6),AND(AQ$7&gt;0,$A18&gt;AQ$7)),0,MAX(0,ROUND((INDEX($E18:$G18,AQ$5)-SUMIFS(TF_Timer,TF_Tekniker,AQ$4,TF_Dato,$A18))*2,0)/2)))</f>
        <v/>
      </c>
      <c r="AR18">
        <f>IF(OR(AR$4="",$A18&gt;TODAY()),0,IF(OR(INDEX($B18:$D18,AR$5)="F",AND(AR$6&gt;0,$A18&lt;AR$6),AND(AR$7&gt;0,$A18&gt;AR$7)),0,MAX(0,ROUND((INDEX($E18:$G18,AR$5)-SUMIFS(TF_Timer,TF_Tekniker,AR$4,TF_Dato,$A18))*2,0)/2)))</f>
        <v/>
      </c>
      <c r="AS18">
        <f>IF(OR(AS$4="",$A18&gt;TODAY()),0,IF(OR(INDEX($B18:$D18,AS$5)="F",AND(AS$6&gt;0,$A18&lt;AS$6),AND(AS$7&gt;0,$A18&gt;AS$7)),0,MAX(0,ROUND((INDEX($E18:$G18,AS$5)-SUMIFS(TF_Timer,TF_Tekniker,AS$4,TF_Dato,$A18))*2,0)/2)))</f>
        <v/>
      </c>
      <c r="AT18">
        <f>IF(OR(AT$4="",$A18&gt;TODAY()),0,IF(OR(INDEX($B18:$D18,AT$5)="F",AND(AT$6&gt;0,$A18&lt;AT$6),AND(AT$7&gt;0,$A18&gt;AT$7)),0,MAX(0,ROUND((INDEX($E18:$G18,AT$5)-SUMIFS(TF_Timer,TF_Tekniker,AT$4,TF_Dato,$A18))*2,0)/2)))</f>
        <v/>
      </c>
      <c r="AU18">
        <f>IF(OR(AU$4="",$A18&gt;TODAY()),0,IF(OR(INDEX($B18:$D18,AU$5)="F",AND(AU$6&gt;0,$A18&lt;AU$6),AND(AU$7&gt;0,$A18&gt;AU$7)),0,MAX(0,ROUND((INDEX($E18:$G18,AU$5)-SUMIFS(TF_Timer,TF_Tekniker,AU$4,TF_Dato,$A18))*2,0)/2)))</f>
        <v/>
      </c>
      <c r="AV18">
        <f>IF(OR(AV$4="",$A18&gt;TODAY()),0,IF(OR(INDEX($B18:$D18,AV$5)="F",AND(AV$6&gt;0,$A18&lt;AV$6),AND(AV$7&gt;0,$A18&gt;AV$7)),0,MAX(0,ROUND((INDEX($E18:$G18,AV$5)-SUMIFS(TF_Timer,TF_Tekniker,AV$4,TF_Dato,$A18))*2,0)/2)))</f>
        <v/>
      </c>
      <c r="AW18">
        <f>IF(OR(AW$4="",$A18&gt;TODAY()),0,IF(OR(INDEX($B18:$D18,AW$5)="F",AND(AW$6&gt;0,$A18&lt;AW$6),AND(AW$7&gt;0,$A18&gt;AW$7)),0,MAX(0,ROUND((INDEX($E18:$G18,AW$5)-SUMIFS(TF_Timer,TF_Tekniker,AW$4,TF_Dato,$A18))*2,0)/2)))</f>
        <v/>
      </c>
      <c r="AX18">
        <f>IF(OR(AX$4="",$A18&gt;TODAY()),0,IF(OR(INDEX($B18:$D18,AX$5)="F",AND(AX$6&gt;0,$A18&lt;AX$6),AND(AX$7&gt;0,$A18&gt;AX$7)),0,MAX(0,ROUND((INDEX($E18:$G18,AX$5)-SUMIFS(TF_Timer,TF_Tekniker,AX$4,TF_Dato,$A18))*2,0)/2)))</f>
        <v/>
      </c>
      <c r="AY18">
        <f>IF(OR(AY$4="",$A18&gt;TODAY()),0,IF(OR(INDEX($B18:$D18,AY$5)="F",AND(AY$6&gt;0,$A18&lt;AY$6),AND(AY$7&gt;0,$A18&gt;AY$7)),0,MAX(0,ROUND((INDEX($E18:$G18,AY$5)-SUMIFS(TF_Timer,TF_Tekniker,AY$4,TF_Dato,$A18))*2,0)/2)))</f>
        <v/>
      </c>
      <c r="AZ18">
        <f>IF(OR(AZ$4="",$A18&gt;TODAY()),0,IF(OR(INDEX($B18:$D18,AZ$5)="F",AND(AZ$6&gt;0,$A18&lt;AZ$6),AND(AZ$7&gt;0,$A18&gt;AZ$7)),0,MAX(0,ROUND((INDEX($E18:$G18,AZ$5)-SUMIFS(TF_Timer,TF_Tekniker,AZ$4,TF_Dato,$A18))*2,0)/2)))</f>
        <v/>
      </c>
      <c r="BA18">
        <f>IF(OR(BA$4="",$A18&gt;TODAY()),0,IF(OR(INDEX($B18:$D18,BA$5)="F",AND(BA$6&gt;0,$A18&lt;BA$6),AND(BA$7&gt;0,$A18&gt;BA$7)),0,MAX(0,ROUND((INDEX($E18:$G18,BA$5)-SUMIFS(TF_Timer,TF_Tekniker,BA$4,TF_Dato,$A18))*2,0)/2)))</f>
        <v/>
      </c>
      <c r="BB18">
        <f>IF(OR(BB$4="",$A18&gt;TODAY()),0,IF(OR(INDEX($B18:$D18,BB$5)="F",AND(BB$6&gt;0,$A18&lt;BB$6),AND(BB$7&gt;0,$A18&gt;BB$7)),0,MAX(0,ROUND((INDEX($E18:$G18,BB$5)-SUMIFS(TF_Timer,TF_Tekniker,BB$4,TF_Dato,$A18))*2,0)/2)))</f>
        <v/>
      </c>
      <c r="BC18">
        <f>IF(OR(BC$4="",$A18&gt;TODAY()),0,IF(OR(INDEX($B18:$D18,BC$5)="F",AND(BC$6&gt;0,$A18&lt;BC$6),AND(BC$7&gt;0,$A18&gt;BC$7)),0,MAX(0,ROUND((INDEX($E18:$G18,BC$5)-SUMIFS(TF_Timer,TF_Tekniker,BC$4,TF_Dato,$A18))*2,0)/2)))</f>
        <v/>
      </c>
      <c r="BD18">
        <f>IF(OR(BD$4="",$A18&gt;TODAY()),0,IF(OR(INDEX($B18:$D18,BD$5)="F",AND(BD$6&gt;0,$A18&lt;BD$6),AND(BD$7&gt;0,$A18&gt;BD$7)),0,MAX(0,ROUND((INDEX($E18:$G18,BD$5)-SUMIFS(TF_Timer,TF_Tekniker,BD$4,TF_Dato,$A18))*2,0)/2)))</f>
        <v/>
      </c>
      <c r="BE18">
        <f>IF(OR(BE$4="",$A18&gt;TODAY()),0,IF(OR(INDEX($B18:$D18,BE$5)="F",AND(BE$6&gt;0,$A18&lt;BE$6),AND(BE$7&gt;0,$A18&gt;BE$7)),0,MAX(0,ROUND((INDEX($E18:$G18,BE$5)-SUMIFS(TF_Timer,TF_Tekniker,BE$4,TF_Dato,$A18))*2,0)/2)))</f>
        <v/>
      </c>
      <c r="BF18">
        <f>IF(OR(BF$4="",$A18&gt;TODAY()),0,IF(OR(INDEX($B18:$D18,BF$5)="F",AND(BF$6&gt;0,$A18&lt;BF$6),AND(BF$7&gt;0,$A18&gt;BF$7)),0,MAX(0,ROUND((INDEX($E18:$G18,BF$5)-SUMIFS(TF_Timer,TF_Tekniker,BF$4,TF_Dato,$A18))*2,0)/2)))</f>
        <v/>
      </c>
      <c r="BG18">
        <f>IF(OR(BG$4="",$A18&gt;TODAY()),0,IF(OR(INDEX($B18:$D18,BG$5)="F",AND(BG$6&gt;0,$A18&lt;BG$6),AND(BG$7&gt;0,$A18&gt;BG$7)),0,MAX(0,ROUND((INDEX($E18:$G18,BG$5)-SUMIFS(TF_Timer,TF_Tekniker,BG$4,TF_Dato,$A18))*2,0)/2)))</f>
        <v/>
      </c>
      <c r="BH18">
        <f>IF(OR(BH$4="",$A18&gt;TODAY()),0,IF(OR(INDEX($B18:$D18,BH$5)="F",AND(BH$6&gt;0,$A18&lt;BH$6),AND(BH$7&gt;0,$A18&gt;BH$7)),0,MAX(0,ROUND((INDEX($E18:$G18,BH$5)-SUMIFS(TF_Timer,TF_Tekniker,BH$4,TF_Dato,$A18))*2,0)/2)))</f>
        <v/>
      </c>
      <c r="BI18">
        <f>IF(OR(BI$4="",$A18&gt;TODAY()),0,IF(OR(INDEX($B18:$D18,BI$5)="F",AND(BI$6&gt;0,$A18&lt;BI$6),AND(BI$7&gt;0,$A18&gt;BI$7)),0,MAX(0,ROUND((INDEX($E18:$G18,BI$5)-SUMIFS(TF_Timer,TF_Tekniker,BI$4,TF_Dato,$A18))*2,0)/2)))</f>
        <v/>
      </c>
    </row>
    <row r="19">
      <c r="A19" s="64">
        <f>A18+1</f>
        <v/>
      </c>
      <c r="B19">
        <f>IF(MOD($A19-INDEX(SkiftStart,1),Syklus)&lt;DagK,"K",IF(MOD($A19-INDEX(SkiftStart,1),Syklus)&lt;DagK+DagH,"H",IF(MOD($A19-INDEX(SkiftStart,1),Syklus)&lt;DagK+DagH+DagD,"D","F")))</f>
        <v/>
      </c>
      <c r="C19">
        <f>IF(MOD($A19-INDEX(SkiftStart,2),Syklus)&lt;DagK,"K",IF(MOD($A19-INDEX(SkiftStart,2),Syklus)&lt;DagK+DagH,"H",IF(MOD($A19-INDEX(SkiftStart,2),Syklus)&lt;DagK+DagH+DagD,"D","F")))</f>
        <v/>
      </c>
      <c r="D19">
        <f>IF(MOD($A19-INDEX(SkiftStart,3),Syklus)&lt;DagK,"K",IF(MOD($A19-INDEX(SkiftStart,3),Syklus)&lt;DagK+DagH,"H",IF(MOD($A19-INDEX(SkiftStart,3),Syklus)&lt;DagK+DagH+DagD,"D","F")))</f>
        <v/>
      </c>
      <c r="E19">
        <f>IF(B19="F",0,IF(WEEKDAY($A19,2)=5,INDEX(TimerFr,MATCH(B19,FaseKode,0)),INDEX(TimerMT,MATCH(B19,FaseKode,0))))</f>
        <v/>
      </c>
      <c r="F19">
        <f>IF(C19="F",0,IF(WEEKDAY($A19,2)=5,INDEX(TimerFr,MATCH(C19,FaseKode,0)),INDEX(TimerMT,MATCH(C19,FaseKode,0))))</f>
        <v/>
      </c>
      <c r="G19">
        <f>IF(D19="F",0,IF(WEEKDAY($A19,2)=5,INDEX(TimerFr,MATCH(D19,FaseKode,0)),INDEX(TimerMT,MATCH(D19,FaseKode,0))))</f>
        <v/>
      </c>
      <c r="H19">
        <f>IF(OR(H$4="",$A19&gt;TODAY()),0,IF(OR(INDEX($B19:$D19,H$5)="F",AND(H$6&gt;0,$A19&lt;H$6),AND(H$7&gt;0,$A19&gt;H$7)),0,MAX(0,ROUND((INDEX($E19:$G19,H$5)-SUMIFS(TF_Timer,TF_Tekniker,H$4,TF_Dato,$A19))*2,0)/2)))</f>
        <v/>
      </c>
      <c r="I19">
        <f>IF(OR(I$4="",$A19&gt;TODAY()),0,IF(OR(INDEX($B19:$D19,I$5)="F",AND(I$6&gt;0,$A19&lt;I$6),AND(I$7&gt;0,$A19&gt;I$7)),0,MAX(0,ROUND((INDEX($E19:$G19,I$5)-SUMIFS(TF_Timer,TF_Tekniker,I$4,TF_Dato,$A19))*2,0)/2)))</f>
        <v/>
      </c>
      <c r="J19">
        <f>IF(OR(J$4="",$A19&gt;TODAY()),0,IF(OR(INDEX($B19:$D19,J$5)="F",AND(J$6&gt;0,$A19&lt;J$6),AND(J$7&gt;0,$A19&gt;J$7)),0,MAX(0,ROUND((INDEX($E19:$G19,J$5)-SUMIFS(TF_Timer,TF_Tekniker,J$4,TF_Dato,$A19))*2,0)/2)))</f>
        <v/>
      </c>
      <c r="K19">
        <f>IF(OR(K$4="",$A19&gt;TODAY()),0,IF(OR(INDEX($B19:$D19,K$5)="F",AND(K$6&gt;0,$A19&lt;K$6),AND(K$7&gt;0,$A19&gt;K$7)),0,MAX(0,ROUND((INDEX($E19:$G19,K$5)-SUMIFS(TF_Timer,TF_Tekniker,K$4,TF_Dato,$A19))*2,0)/2)))</f>
        <v/>
      </c>
      <c r="L19">
        <f>IF(OR(L$4="",$A19&gt;TODAY()),0,IF(OR(INDEX($B19:$D19,L$5)="F",AND(L$6&gt;0,$A19&lt;L$6),AND(L$7&gt;0,$A19&gt;L$7)),0,MAX(0,ROUND((INDEX($E19:$G19,L$5)-SUMIFS(TF_Timer,TF_Tekniker,L$4,TF_Dato,$A19))*2,0)/2)))</f>
        <v/>
      </c>
      <c r="M19">
        <f>IF(OR(M$4="",$A19&gt;TODAY()),0,IF(OR(INDEX($B19:$D19,M$5)="F",AND(M$6&gt;0,$A19&lt;M$6),AND(M$7&gt;0,$A19&gt;M$7)),0,MAX(0,ROUND((INDEX($E19:$G19,M$5)-SUMIFS(TF_Timer,TF_Tekniker,M$4,TF_Dato,$A19))*2,0)/2)))</f>
        <v/>
      </c>
      <c r="N19">
        <f>IF(OR(N$4="",$A19&gt;TODAY()),0,IF(OR(INDEX($B19:$D19,N$5)="F",AND(N$6&gt;0,$A19&lt;N$6),AND(N$7&gt;0,$A19&gt;N$7)),0,MAX(0,ROUND((INDEX($E19:$G19,N$5)-SUMIFS(TF_Timer,TF_Tekniker,N$4,TF_Dato,$A19))*2,0)/2)))</f>
        <v/>
      </c>
      <c r="O19">
        <f>IF(OR(O$4="",$A19&gt;TODAY()),0,IF(OR(INDEX($B19:$D19,O$5)="F",AND(O$6&gt;0,$A19&lt;O$6),AND(O$7&gt;0,$A19&gt;O$7)),0,MAX(0,ROUND((INDEX($E19:$G19,O$5)-SUMIFS(TF_Timer,TF_Tekniker,O$4,TF_Dato,$A19))*2,0)/2)))</f>
        <v/>
      </c>
      <c r="P19">
        <f>IF(OR(P$4="",$A19&gt;TODAY()),0,IF(OR(INDEX($B19:$D19,P$5)="F",AND(P$6&gt;0,$A19&lt;P$6),AND(P$7&gt;0,$A19&gt;P$7)),0,MAX(0,ROUND((INDEX($E19:$G19,P$5)-SUMIFS(TF_Timer,TF_Tekniker,P$4,TF_Dato,$A19))*2,0)/2)))</f>
        <v/>
      </c>
      <c r="Q19">
        <f>IF(OR(Q$4="",$A19&gt;TODAY()),0,IF(OR(INDEX($B19:$D19,Q$5)="F",AND(Q$6&gt;0,$A19&lt;Q$6),AND(Q$7&gt;0,$A19&gt;Q$7)),0,MAX(0,ROUND((INDEX($E19:$G19,Q$5)-SUMIFS(TF_Timer,TF_Tekniker,Q$4,TF_Dato,$A19))*2,0)/2)))</f>
        <v/>
      </c>
      <c r="R19">
        <f>IF(OR(R$4="",$A19&gt;TODAY()),0,IF(OR(INDEX($B19:$D19,R$5)="F",AND(R$6&gt;0,$A19&lt;R$6),AND(R$7&gt;0,$A19&gt;R$7)),0,MAX(0,ROUND((INDEX($E19:$G19,R$5)-SUMIFS(TF_Timer,TF_Tekniker,R$4,TF_Dato,$A19))*2,0)/2)))</f>
        <v/>
      </c>
      <c r="S19">
        <f>IF(OR(S$4="",$A19&gt;TODAY()),0,IF(OR(INDEX($B19:$D19,S$5)="F",AND(S$6&gt;0,$A19&lt;S$6),AND(S$7&gt;0,$A19&gt;S$7)),0,MAX(0,ROUND((INDEX($E19:$G19,S$5)-SUMIFS(TF_Timer,TF_Tekniker,S$4,TF_Dato,$A19))*2,0)/2)))</f>
        <v/>
      </c>
      <c r="T19">
        <f>IF(OR(T$4="",$A19&gt;TODAY()),0,IF(OR(INDEX($B19:$D19,T$5)="F",AND(T$6&gt;0,$A19&lt;T$6),AND(T$7&gt;0,$A19&gt;T$7)),0,MAX(0,ROUND((INDEX($E19:$G19,T$5)-SUMIFS(TF_Timer,TF_Tekniker,T$4,TF_Dato,$A19))*2,0)/2)))</f>
        <v/>
      </c>
      <c r="U19">
        <f>IF(OR(U$4="",$A19&gt;TODAY()),0,IF(OR(INDEX($B19:$D19,U$5)="F",AND(U$6&gt;0,$A19&lt;U$6),AND(U$7&gt;0,$A19&gt;U$7)),0,MAX(0,ROUND((INDEX($E19:$G19,U$5)-SUMIFS(TF_Timer,TF_Tekniker,U$4,TF_Dato,$A19))*2,0)/2)))</f>
        <v/>
      </c>
      <c r="V19">
        <f>IF(OR(V$4="",$A19&gt;TODAY()),0,IF(OR(INDEX($B19:$D19,V$5)="F",AND(V$6&gt;0,$A19&lt;V$6),AND(V$7&gt;0,$A19&gt;V$7)),0,MAX(0,ROUND((INDEX($E19:$G19,V$5)-SUMIFS(TF_Timer,TF_Tekniker,V$4,TF_Dato,$A19))*2,0)/2)))</f>
        <v/>
      </c>
      <c r="W19">
        <f>IF(OR(W$4="",$A19&gt;TODAY()),0,IF(OR(INDEX($B19:$D19,W$5)="F",AND(W$6&gt;0,$A19&lt;W$6),AND(W$7&gt;0,$A19&gt;W$7)),0,MAX(0,ROUND((INDEX($E19:$G19,W$5)-SUMIFS(TF_Timer,TF_Tekniker,W$4,TF_Dato,$A19))*2,0)/2)))</f>
        <v/>
      </c>
      <c r="X19">
        <f>IF(OR(X$4="",$A19&gt;TODAY()),0,IF(OR(INDEX($B19:$D19,X$5)="F",AND(X$6&gt;0,$A19&lt;X$6),AND(X$7&gt;0,$A19&gt;X$7)),0,MAX(0,ROUND((INDEX($E19:$G19,X$5)-SUMIFS(TF_Timer,TF_Tekniker,X$4,TF_Dato,$A19))*2,0)/2)))</f>
        <v/>
      </c>
      <c r="Y19">
        <f>IF(OR(Y$4="",$A19&gt;TODAY()),0,IF(OR(INDEX($B19:$D19,Y$5)="F",AND(Y$6&gt;0,$A19&lt;Y$6),AND(Y$7&gt;0,$A19&gt;Y$7)),0,MAX(0,ROUND((INDEX($E19:$G19,Y$5)-SUMIFS(TF_Timer,TF_Tekniker,Y$4,TF_Dato,$A19))*2,0)/2)))</f>
        <v/>
      </c>
      <c r="Z19">
        <f>IF(OR(Z$4="",$A19&gt;TODAY()),0,IF(OR(INDEX($B19:$D19,Z$5)="F",AND(Z$6&gt;0,$A19&lt;Z$6),AND(Z$7&gt;0,$A19&gt;Z$7)),0,MAX(0,ROUND((INDEX($E19:$G19,Z$5)-SUMIFS(TF_Timer,TF_Tekniker,Z$4,TF_Dato,$A19))*2,0)/2)))</f>
        <v/>
      </c>
      <c r="AA19">
        <f>IF(OR(AA$4="",$A19&gt;TODAY()),0,IF(OR(INDEX($B19:$D19,AA$5)="F",AND(AA$6&gt;0,$A19&lt;AA$6),AND(AA$7&gt;0,$A19&gt;AA$7)),0,MAX(0,ROUND((INDEX($E19:$G19,AA$5)-SUMIFS(TF_Timer,TF_Tekniker,AA$4,TF_Dato,$A19))*2,0)/2)))</f>
        <v/>
      </c>
      <c r="AB19">
        <f>IF(OR(AB$4="",$A19&gt;TODAY()),0,IF(OR(INDEX($B19:$D19,AB$5)="F",AND(AB$6&gt;0,$A19&lt;AB$6),AND(AB$7&gt;0,$A19&gt;AB$7)),0,MAX(0,ROUND((INDEX($E19:$G19,AB$5)-SUMIFS(TF_Timer,TF_Tekniker,AB$4,TF_Dato,$A19))*2,0)/2)))</f>
        <v/>
      </c>
      <c r="AC19">
        <f>IF(OR(AC$4="",$A19&gt;TODAY()),0,IF(OR(INDEX($B19:$D19,AC$5)="F",AND(AC$6&gt;0,$A19&lt;AC$6),AND(AC$7&gt;0,$A19&gt;AC$7)),0,MAX(0,ROUND((INDEX($E19:$G19,AC$5)-SUMIFS(TF_Timer,TF_Tekniker,AC$4,TF_Dato,$A19))*2,0)/2)))</f>
        <v/>
      </c>
      <c r="AD19">
        <f>IF(OR(AD$4="",$A19&gt;TODAY()),0,IF(OR(INDEX($B19:$D19,AD$5)="F",AND(AD$6&gt;0,$A19&lt;AD$6),AND(AD$7&gt;0,$A19&gt;AD$7)),0,MAX(0,ROUND((INDEX($E19:$G19,AD$5)-SUMIFS(TF_Timer,TF_Tekniker,AD$4,TF_Dato,$A19))*2,0)/2)))</f>
        <v/>
      </c>
      <c r="AE19">
        <f>IF(OR(AE$4="",$A19&gt;TODAY()),0,IF(OR(INDEX($B19:$D19,AE$5)="F",AND(AE$6&gt;0,$A19&lt;AE$6),AND(AE$7&gt;0,$A19&gt;AE$7)),0,MAX(0,ROUND((INDEX($E19:$G19,AE$5)-SUMIFS(TF_Timer,TF_Tekniker,AE$4,TF_Dato,$A19))*2,0)/2)))</f>
        <v/>
      </c>
      <c r="AF19">
        <f>IF(OR(AF$4="",$A19&gt;TODAY()),0,IF(OR(INDEX($B19:$D19,AF$5)="F",AND(AF$6&gt;0,$A19&lt;AF$6),AND(AF$7&gt;0,$A19&gt;AF$7)),0,MAX(0,ROUND((INDEX($E19:$G19,AF$5)-SUMIFS(TF_Timer,TF_Tekniker,AF$4,TF_Dato,$A19))*2,0)/2)))</f>
        <v/>
      </c>
      <c r="AG19">
        <f>IF(OR(AG$4="",$A19&gt;TODAY()),0,IF(OR(INDEX($B19:$D19,AG$5)="F",AND(AG$6&gt;0,$A19&lt;AG$6),AND(AG$7&gt;0,$A19&gt;AG$7)),0,MAX(0,ROUND((INDEX($E19:$G19,AG$5)-SUMIFS(TF_Timer,TF_Tekniker,AG$4,TF_Dato,$A19))*2,0)/2)))</f>
        <v/>
      </c>
      <c r="AH19">
        <f>IF(OR(AH$4="",$A19&gt;TODAY()),0,IF(OR(INDEX($B19:$D19,AH$5)="F",AND(AH$6&gt;0,$A19&lt;AH$6),AND(AH$7&gt;0,$A19&gt;AH$7)),0,MAX(0,ROUND((INDEX($E19:$G19,AH$5)-SUMIFS(TF_Timer,TF_Tekniker,AH$4,TF_Dato,$A19))*2,0)/2)))</f>
        <v/>
      </c>
      <c r="AI19">
        <f>IF(OR(AI$4="",$A19&gt;TODAY()),0,IF(OR(INDEX($B19:$D19,AI$5)="F",AND(AI$6&gt;0,$A19&lt;AI$6),AND(AI$7&gt;0,$A19&gt;AI$7)),0,MAX(0,ROUND((INDEX($E19:$G19,AI$5)-SUMIFS(TF_Timer,TF_Tekniker,AI$4,TF_Dato,$A19))*2,0)/2)))</f>
        <v/>
      </c>
      <c r="AJ19">
        <f>IF(OR(AJ$4="",$A19&gt;TODAY()),0,IF(OR(INDEX($B19:$D19,AJ$5)="F",AND(AJ$6&gt;0,$A19&lt;AJ$6),AND(AJ$7&gt;0,$A19&gt;AJ$7)),0,MAX(0,ROUND((INDEX($E19:$G19,AJ$5)-SUMIFS(TF_Timer,TF_Tekniker,AJ$4,TF_Dato,$A19))*2,0)/2)))</f>
        <v/>
      </c>
      <c r="AK19">
        <f>IF(OR(AK$4="",$A19&gt;TODAY()),0,IF(OR(INDEX($B19:$D19,AK$5)="F",AND(AK$6&gt;0,$A19&lt;AK$6),AND(AK$7&gt;0,$A19&gt;AK$7)),0,MAX(0,ROUND((INDEX($E19:$G19,AK$5)-SUMIFS(TF_Timer,TF_Tekniker,AK$4,TF_Dato,$A19))*2,0)/2)))</f>
        <v/>
      </c>
      <c r="AL19">
        <f>IF(OR(AL$4="",$A19&gt;TODAY()),0,IF(OR(INDEX($B19:$D19,AL$5)="F",AND(AL$6&gt;0,$A19&lt;AL$6),AND(AL$7&gt;0,$A19&gt;AL$7)),0,MAX(0,ROUND((INDEX($E19:$G19,AL$5)-SUMIFS(TF_Timer,TF_Tekniker,AL$4,TF_Dato,$A19))*2,0)/2)))</f>
        <v/>
      </c>
      <c r="AM19">
        <f>IF(OR(AM$4="",$A19&gt;TODAY()),0,IF(OR(INDEX($B19:$D19,AM$5)="F",AND(AM$6&gt;0,$A19&lt;AM$6),AND(AM$7&gt;0,$A19&gt;AM$7)),0,MAX(0,ROUND((INDEX($E19:$G19,AM$5)-SUMIFS(TF_Timer,TF_Tekniker,AM$4,TF_Dato,$A19))*2,0)/2)))</f>
        <v/>
      </c>
      <c r="AN19">
        <f>IF(OR(AN$4="",$A19&gt;TODAY()),0,IF(OR(INDEX($B19:$D19,AN$5)="F",AND(AN$6&gt;0,$A19&lt;AN$6),AND(AN$7&gt;0,$A19&gt;AN$7)),0,MAX(0,ROUND((INDEX($E19:$G19,AN$5)-SUMIFS(TF_Timer,TF_Tekniker,AN$4,TF_Dato,$A19))*2,0)/2)))</f>
        <v/>
      </c>
      <c r="AO19">
        <f>IF(OR(AO$4="",$A19&gt;TODAY()),0,IF(OR(INDEX($B19:$D19,AO$5)="F",AND(AO$6&gt;0,$A19&lt;AO$6),AND(AO$7&gt;0,$A19&gt;AO$7)),0,MAX(0,ROUND((INDEX($E19:$G19,AO$5)-SUMIFS(TF_Timer,TF_Tekniker,AO$4,TF_Dato,$A19))*2,0)/2)))</f>
        <v/>
      </c>
      <c r="AP19">
        <f>IF(OR(AP$4="",$A19&gt;TODAY()),0,IF(OR(INDEX($B19:$D19,AP$5)="F",AND(AP$6&gt;0,$A19&lt;AP$6),AND(AP$7&gt;0,$A19&gt;AP$7)),0,MAX(0,ROUND((INDEX($E19:$G19,AP$5)-SUMIFS(TF_Timer,TF_Tekniker,AP$4,TF_Dato,$A19))*2,0)/2)))</f>
        <v/>
      </c>
      <c r="AQ19">
        <f>IF(OR(AQ$4="",$A19&gt;TODAY()),0,IF(OR(INDEX($B19:$D19,AQ$5)="F",AND(AQ$6&gt;0,$A19&lt;AQ$6),AND(AQ$7&gt;0,$A19&gt;AQ$7)),0,MAX(0,ROUND((INDEX($E19:$G19,AQ$5)-SUMIFS(TF_Timer,TF_Tekniker,AQ$4,TF_Dato,$A19))*2,0)/2)))</f>
        <v/>
      </c>
      <c r="AR19">
        <f>IF(OR(AR$4="",$A19&gt;TODAY()),0,IF(OR(INDEX($B19:$D19,AR$5)="F",AND(AR$6&gt;0,$A19&lt;AR$6),AND(AR$7&gt;0,$A19&gt;AR$7)),0,MAX(0,ROUND((INDEX($E19:$G19,AR$5)-SUMIFS(TF_Timer,TF_Tekniker,AR$4,TF_Dato,$A19))*2,0)/2)))</f>
        <v/>
      </c>
      <c r="AS19">
        <f>IF(OR(AS$4="",$A19&gt;TODAY()),0,IF(OR(INDEX($B19:$D19,AS$5)="F",AND(AS$6&gt;0,$A19&lt;AS$6),AND(AS$7&gt;0,$A19&gt;AS$7)),0,MAX(0,ROUND((INDEX($E19:$G19,AS$5)-SUMIFS(TF_Timer,TF_Tekniker,AS$4,TF_Dato,$A19))*2,0)/2)))</f>
        <v/>
      </c>
      <c r="AT19">
        <f>IF(OR(AT$4="",$A19&gt;TODAY()),0,IF(OR(INDEX($B19:$D19,AT$5)="F",AND(AT$6&gt;0,$A19&lt;AT$6),AND(AT$7&gt;0,$A19&gt;AT$7)),0,MAX(0,ROUND((INDEX($E19:$G19,AT$5)-SUMIFS(TF_Timer,TF_Tekniker,AT$4,TF_Dato,$A19))*2,0)/2)))</f>
        <v/>
      </c>
      <c r="AU19">
        <f>IF(OR(AU$4="",$A19&gt;TODAY()),0,IF(OR(INDEX($B19:$D19,AU$5)="F",AND(AU$6&gt;0,$A19&lt;AU$6),AND(AU$7&gt;0,$A19&gt;AU$7)),0,MAX(0,ROUND((INDEX($E19:$G19,AU$5)-SUMIFS(TF_Timer,TF_Tekniker,AU$4,TF_Dato,$A19))*2,0)/2)))</f>
        <v/>
      </c>
      <c r="AV19">
        <f>IF(OR(AV$4="",$A19&gt;TODAY()),0,IF(OR(INDEX($B19:$D19,AV$5)="F",AND(AV$6&gt;0,$A19&lt;AV$6),AND(AV$7&gt;0,$A19&gt;AV$7)),0,MAX(0,ROUND((INDEX($E19:$G19,AV$5)-SUMIFS(TF_Timer,TF_Tekniker,AV$4,TF_Dato,$A19))*2,0)/2)))</f>
        <v/>
      </c>
      <c r="AW19">
        <f>IF(OR(AW$4="",$A19&gt;TODAY()),0,IF(OR(INDEX($B19:$D19,AW$5)="F",AND(AW$6&gt;0,$A19&lt;AW$6),AND(AW$7&gt;0,$A19&gt;AW$7)),0,MAX(0,ROUND((INDEX($E19:$G19,AW$5)-SUMIFS(TF_Timer,TF_Tekniker,AW$4,TF_Dato,$A19))*2,0)/2)))</f>
        <v/>
      </c>
      <c r="AX19">
        <f>IF(OR(AX$4="",$A19&gt;TODAY()),0,IF(OR(INDEX($B19:$D19,AX$5)="F",AND(AX$6&gt;0,$A19&lt;AX$6),AND(AX$7&gt;0,$A19&gt;AX$7)),0,MAX(0,ROUND((INDEX($E19:$G19,AX$5)-SUMIFS(TF_Timer,TF_Tekniker,AX$4,TF_Dato,$A19))*2,0)/2)))</f>
        <v/>
      </c>
      <c r="AY19">
        <f>IF(OR(AY$4="",$A19&gt;TODAY()),0,IF(OR(INDEX($B19:$D19,AY$5)="F",AND(AY$6&gt;0,$A19&lt;AY$6),AND(AY$7&gt;0,$A19&gt;AY$7)),0,MAX(0,ROUND((INDEX($E19:$G19,AY$5)-SUMIFS(TF_Timer,TF_Tekniker,AY$4,TF_Dato,$A19))*2,0)/2)))</f>
        <v/>
      </c>
      <c r="AZ19">
        <f>IF(OR(AZ$4="",$A19&gt;TODAY()),0,IF(OR(INDEX($B19:$D19,AZ$5)="F",AND(AZ$6&gt;0,$A19&lt;AZ$6),AND(AZ$7&gt;0,$A19&gt;AZ$7)),0,MAX(0,ROUND((INDEX($E19:$G19,AZ$5)-SUMIFS(TF_Timer,TF_Tekniker,AZ$4,TF_Dato,$A19))*2,0)/2)))</f>
        <v/>
      </c>
      <c r="BA19">
        <f>IF(OR(BA$4="",$A19&gt;TODAY()),0,IF(OR(INDEX($B19:$D19,BA$5)="F",AND(BA$6&gt;0,$A19&lt;BA$6),AND(BA$7&gt;0,$A19&gt;BA$7)),0,MAX(0,ROUND((INDEX($E19:$G19,BA$5)-SUMIFS(TF_Timer,TF_Tekniker,BA$4,TF_Dato,$A19))*2,0)/2)))</f>
        <v/>
      </c>
      <c r="BB19">
        <f>IF(OR(BB$4="",$A19&gt;TODAY()),0,IF(OR(INDEX($B19:$D19,BB$5)="F",AND(BB$6&gt;0,$A19&lt;BB$6),AND(BB$7&gt;0,$A19&gt;BB$7)),0,MAX(0,ROUND((INDEX($E19:$G19,BB$5)-SUMIFS(TF_Timer,TF_Tekniker,BB$4,TF_Dato,$A19))*2,0)/2)))</f>
        <v/>
      </c>
      <c r="BC19">
        <f>IF(OR(BC$4="",$A19&gt;TODAY()),0,IF(OR(INDEX($B19:$D19,BC$5)="F",AND(BC$6&gt;0,$A19&lt;BC$6),AND(BC$7&gt;0,$A19&gt;BC$7)),0,MAX(0,ROUND((INDEX($E19:$G19,BC$5)-SUMIFS(TF_Timer,TF_Tekniker,BC$4,TF_Dato,$A19))*2,0)/2)))</f>
        <v/>
      </c>
      <c r="BD19">
        <f>IF(OR(BD$4="",$A19&gt;TODAY()),0,IF(OR(INDEX($B19:$D19,BD$5)="F",AND(BD$6&gt;0,$A19&lt;BD$6),AND(BD$7&gt;0,$A19&gt;BD$7)),0,MAX(0,ROUND((INDEX($E19:$G19,BD$5)-SUMIFS(TF_Timer,TF_Tekniker,BD$4,TF_Dato,$A19))*2,0)/2)))</f>
        <v/>
      </c>
      <c r="BE19">
        <f>IF(OR(BE$4="",$A19&gt;TODAY()),0,IF(OR(INDEX($B19:$D19,BE$5)="F",AND(BE$6&gt;0,$A19&lt;BE$6),AND(BE$7&gt;0,$A19&gt;BE$7)),0,MAX(0,ROUND((INDEX($E19:$G19,BE$5)-SUMIFS(TF_Timer,TF_Tekniker,BE$4,TF_Dato,$A19))*2,0)/2)))</f>
        <v/>
      </c>
      <c r="BF19">
        <f>IF(OR(BF$4="",$A19&gt;TODAY()),0,IF(OR(INDEX($B19:$D19,BF$5)="F",AND(BF$6&gt;0,$A19&lt;BF$6),AND(BF$7&gt;0,$A19&gt;BF$7)),0,MAX(0,ROUND((INDEX($E19:$G19,BF$5)-SUMIFS(TF_Timer,TF_Tekniker,BF$4,TF_Dato,$A19))*2,0)/2)))</f>
        <v/>
      </c>
      <c r="BG19">
        <f>IF(OR(BG$4="",$A19&gt;TODAY()),0,IF(OR(INDEX($B19:$D19,BG$5)="F",AND(BG$6&gt;0,$A19&lt;BG$6),AND(BG$7&gt;0,$A19&gt;BG$7)),0,MAX(0,ROUND((INDEX($E19:$G19,BG$5)-SUMIFS(TF_Timer,TF_Tekniker,BG$4,TF_Dato,$A19))*2,0)/2)))</f>
        <v/>
      </c>
      <c r="BH19">
        <f>IF(OR(BH$4="",$A19&gt;TODAY()),0,IF(OR(INDEX($B19:$D19,BH$5)="F",AND(BH$6&gt;0,$A19&lt;BH$6),AND(BH$7&gt;0,$A19&gt;BH$7)),0,MAX(0,ROUND((INDEX($E19:$G19,BH$5)-SUMIFS(TF_Timer,TF_Tekniker,BH$4,TF_Dato,$A19))*2,0)/2)))</f>
        <v/>
      </c>
      <c r="BI19">
        <f>IF(OR(BI$4="",$A19&gt;TODAY()),0,IF(OR(INDEX($B19:$D19,BI$5)="F",AND(BI$6&gt;0,$A19&lt;BI$6),AND(BI$7&gt;0,$A19&gt;BI$7)),0,MAX(0,ROUND((INDEX($E19:$G19,BI$5)-SUMIFS(TF_Timer,TF_Tekniker,BI$4,TF_Dato,$A19))*2,0)/2)))</f>
        <v/>
      </c>
    </row>
    <row r="20">
      <c r="A20" s="64">
        <f>A19+1</f>
        <v/>
      </c>
      <c r="B20">
        <f>IF(MOD($A20-INDEX(SkiftStart,1),Syklus)&lt;DagK,"K",IF(MOD($A20-INDEX(SkiftStart,1),Syklus)&lt;DagK+DagH,"H",IF(MOD($A20-INDEX(SkiftStart,1),Syklus)&lt;DagK+DagH+DagD,"D","F")))</f>
        <v/>
      </c>
      <c r="C20">
        <f>IF(MOD($A20-INDEX(SkiftStart,2),Syklus)&lt;DagK,"K",IF(MOD($A20-INDEX(SkiftStart,2),Syklus)&lt;DagK+DagH,"H",IF(MOD($A20-INDEX(SkiftStart,2),Syklus)&lt;DagK+DagH+DagD,"D","F")))</f>
        <v/>
      </c>
      <c r="D20">
        <f>IF(MOD($A20-INDEX(SkiftStart,3),Syklus)&lt;DagK,"K",IF(MOD($A20-INDEX(SkiftStart,3),Syklus)&lt;DagK+DagH,"H",IF(MOD($A20-INDEX(SkiftStart,3),Syklus)&lt;DagK+DagH+DagD,"D","F")))</f>
        <v/>
      </c>
      <c r="E20">
        <f>IF(B20="F",0,IF(WEEKDAY($A20,2)=5,INDEX(TimerFr,MATCH(B20,FaseKode,0)),INDEX(TimerMT,MATCH(B20,FaseKode,0))))</f>
        <v/>
      </c>
      <c r="F20">
        <f>IF(C20="F",0,IF(WEEKDAY($A20,2)=5,INDEX(TimerFr,MATCH(C20,FaseKode,0)),INDEX(TimerMT,MATCH(C20,FaseKode,0))))</f>
        <v/>
      </c>
      <c r="G20">
        <f>IF(D20="F",0,IF(WEEKDAY($A20,2)=5,INDEX(TimerFr,MATCH(D20,FaseKode,0)),INDEX(TimerMT,MATCH(D20,FaseKode,0))))</f>
        <v/>
      </c>
      <c r="H20">
        <f>IF(OR(H$4="",$A20&gt;TODAY()),0,IF(OR(INDEX($B20:$D20,H$5)="F",AND(H$6&gt;0,$A20&lt;H$6),AND(H$7&gt;0,$A20&gt;H$7)),0,MAX(0,ROUND((INDEX($E20:$G20,H$5)-SUMIFS(TF_Timer,TF_Tekniker,H$4,TF_Dato,$A20))*2,0)/2)))</f>
        <v/>
      </c>
      <c r="I20">
        <f>IF(OR(I$4="",$A20&gt;TODAY()),0,IF(OR(INDEX($B20:$D20,I$5)="F",AND(I$6&gt;0,$A20&lt;I$6),AND(I$7&gt;0,$A20&gt;I$7)),0,MAX(0,ROUND((INDEX($E20:$G20,I$5)-SUMIFS(TF_Timer,TF_Tekniker,I$4,TF_Dato,$A20))*2,0)/2)))</f>
        <v/>
      </c>
      <c r="J20">
        <f>IF(OR(J$4="",$A20&gt;TODAY()),0,IF(OR(INDEX($B20:$D20,J$5)="F",AND(J$6&gt;0,$A20&lt;J$6),AND(J$7&gt;0,$A20&gt;J$7)),0,MAX(0,ROUND((INDEX($E20:$G20,J$5)-SUMIFS(TF_Timer,TF_Tekniker,J$4,TF_Dato,$A20))*2,0)/2)))</f>
        <v/>
      </c>
      <c r="K20">
        <f>IF(OR(K$4="",$A20&gt;TODAY()),0,IF(OR(INDEX($B20:$D20,K$5)="F",AND(K$6&gt;0,$A20&lt;K$6),AND(K$7&gt;0,$A20&gt;K$7)),0,MAX(0,ROUND((INDEX($E20:$G20,K$5)-SUMIFS(TF_Timer,TF_Tekniker,K$4,TF_Dato,$A20))*2,0)/2)))</f>
        <v/>
      </c>
      <c r="L20">
        <f>IF(OR(L$4="",$A20&gt;TODAY()),0,IF(OR(INDEX($B20:$D20,L$5)="F",AND(L$6&gt;0,$A20&lt;L$6),AND(L$7&gt;0,$A20&gt;L$7)),0,MAX(0,ROUND((INDEX($E20:$G20,L$5)-SUMIFS(TF_Timer,TF_Tekniker,L$4,TF_Dato,$A20))*2,0)/2)))</f>
        <v/>
      </c>
      <c r="M20">
        <f>IF(OR(M$4="",$A20&gt;TODAY()),0,IF(OR(INDEX($B20:$D20,M$5)="F",AND(M$6&gt;0,$A20&lt;M$6),AND(M$7&gt;0,$A20&gt;M$7)),0,MAX(0,ROUND((INDEX($E20:$G20,M$5)-SUMIFS(TF_Timer,TF_Tekniker,M$4,TF_Dato,$A20))*2,0)/2)))</f>
        <v/>
      </c>
      <c r="N20">
        <f>IF(OR(N$4="",$A20&gt;TODAY()),0,IF(OR(INDEX($B20:$D20,N$5)="F",AND(N$6&gt;0,$A20&lt;N$6),AND(N$7&gt;0,$A20&gt;N$7)),0,MAX(0,ROUND((INDEX($E20:$G20,N$5)-SUMIFS(TF_Timer,TF_Tekniker,N$4,TF_Dato,$A20))*2,0)/2)))</f>
        <v/>
      </c>
      <c r="O20">
        <f>IF(OR(O$4="",$A20&gt;TODAY()),0,IF(OR(INDEX($B20:$D20,O$5)="F",AND(O$6&gt;0,$A20&lt;O$6),AND(O$7&gt;0,$A20&gt;O$7)),0,MAX(0,ROUND((INDEX($E20:$G20,O$5)-SUMIFS(TF_Timer,TF_Tekniker,O$4,TF_Dato,$A20))*2,0)/2)))</f>
        <v/>
      </c>
      <c r="P20">
        <f>IF(OR(P$4="",$A20&gt;TODAY()),0,IF(OR(INDEX($B20:$D20,P$5)="F",AND(P$6&gt;0,$A20&lt;P$6),AND(P$7&gt;0,$A20&gt;P$7)),0,MAX(0,ROUND((INDEX($E20:$G20,P$5)-SUMIFS(TF_Timer,TF_Tekniker,P$4,TF_Dato,$A20))*2,0)/2)))</f>
        <v/>
      </c>
      <c r="Q20">
        <f>IF(OR(Q$4="",$A20&gt;TODAY()),0,IF(OR(INDEX($B20:$D20,Q$5)="F",AND(Q$6&gt;0,$A20&lt;Q$6),AND(Q$7&gt;0,$A20&gt;Q$7)),0,MAX(0,ROUND((INDEX($E20:$G20,Q$5)-SUMIFS(TF_Timer,TF_Tekniker,Q$4,TF_Dato,$A20))*2,0)/2)))</f>
        <v/>
      </c>
      <c r="R20">
        <f>IF(OR(R$4="",$A20&gt;TODAY()),0,IF(OR(INDEX($B20:$D20,R$5)="F",AND(R$6&gt;0,$A20&lt;R$6),AND(R$7&gt;0,$A20&gt;R$7)),0,MAX(0,ROUND((INDEX($E20:$G20,R$5)-SUMIFS(TF_Timer,TF_Tekniker,R$4,TF_Dato,$A20))*2,0)/2)))</f>
        <v/>
      </c>
      <c r="S20">
        <f>IF(OR(S$4="",$A20&gt;TODAY()),0,IF(OR(INDEX($B20:$D20,S$5)="F",AND(S$6&gt;0,$A20&lt;S$6),AND(S$7&gt;0,$A20&gt;S$7)),0,MAX(0,ROUND((INDEX($E20:$G20,S$5)-SUMIFS(TF_Timer,TF_Tekniker,S$4,TF_Dato,$A20))*2,0)/2)))</f>
        <v/>
      </c>
      <c r="T20">
        <f>IF(OR(T$4="",$A20&gt;TODAY()),0,IF(OR(INDEX($B20:$D20,T$5)="F",AND(T$6&gt;0,$A20&lt;T$6),AND(T$7&gt;0,$A20&gt;T$7)),0,MAX(0,ROUND((INDEX($E20:$G20,T$5)-SUMIFS(TF_Timer,TF_Tekniker,T$4,TF_Dato,$A20))*2,0)/2)))</f>
        <v/>
      </c>
      <c r="U20">
        <f>IF(OR(U$4="",$A20&gt;TODAY()),0,IF(OR(INDEX($B20:$D20,U$5)="F",AND(U$6&gt;0,$A20&lt;U$6),AND(U$7&gt;0,$A20&gt;U$7)),0,MAX(0,ROUND((INDEX($E20:$G20,U$5)-SUMIFS(TF_Timer,TF_Tekniker,U$4,TF_Dato,$A20))*2,0)/2)))</f>
        <v/>
      </c>
      <c r="V20">
        <f>IF(OR(V$4="",$A20&gt;TODAY()),0,IF(OR(INDEX($B20:$D20,V$5)="F",AND(V$6&gt;0,$A20&lt;V$6),AND(V$7&gt;0,$A20&gt;V$7)),0,MAX(0,ROUND((INDEX($E20:$G20,V$5)-SUMIFS(TF_Timer,TF_Tekniker,V$4,TF_Dato,$A20))*2,0)/2)))</f>
        <v/>
      </c>
      <c r="W20">
        <f>IF(OR(W$4="",$A20&gt;TODAY()),0,IF(OR(INDEX($B20:$D20,W$5)="F",AND(W$6&gt;0,$A20&lt;W$6),AND(W$7&gt;0,$A20&gt;W$7)),0,MAX(0,ROUND((INDEX($E20:$G20,W$5)-SUMIFS(TF_Timer,TF_Tekniker,W$4,TF_Dato,$A20))*2,0)/2)))</f>
        <v/>
      </c>
      <c r="X20">
        <f>IF(OR(X$4="",$A20&gt;TODAY()),0,IF(OR(INDEX($B20:$D20,X$5)="F",AND(X$6&gt;0,$A20&lt;X$6),AND(X$7&gt;0,$A20&gt;X$7)),0,MAX(0,ROUND((INDEX($E20:$G20,X$5)-SUMIFS(TF_Timer,TF_Tekniker,X$4,TF_Dato,$A20))*2,0)/2)))</f>
        <v/>
      </c>
      <c r="Y20">
        <f>IF(OR(Y$4="",$A20&gt;TODAY()),0,IF(OR(INDEX($B20:$D20,Y$5)="F",AND(Y$6&gt;0,$A20&lt;Y$6),AND(Y$7&gt;0,$A20&gt;Y$7)),0,MAX(0,ROUND((INDEX($E20:$G20,Y$5)-SUMIFS(TF_Timer,TF_Tekniker,Y$4,TF_Dato,$A20))*2,0)/2)))</f>
        <v/>
      </c>
      <c r="Z20">
        <f>IF(OR(Z$4="",$A20&gt;TODAY()),0,IF(OR(INDEX($B20:$D20,Z$5)="F",AND(Z$6&gt;0,$A20&lt;Z$6),AND(Z$7&gt;0,$A20&gt;Z$7)),0,MAX(0,ROUND((INDEX($E20:$G20,Z$5)-SUMIFS(TF_Timer,TF_Tekniker,Z$4,TF_Dato,$A20))*2,0)/2)))</f>
        <v/>
      </c>
      <c r="AA20">
        <f>IF(OR(AA$4="",$A20&gt;TODAY()),0,IF(OR(INDEX($B20:$D20,AA$5)="F",AND(AA$6&gt;0,$A20&lt;AA$6),AND(AA$7&gt;0,$A20&gt;AA$7)),0,MAX(0,ROUND((INDEX($E20:$G20,AA$5)-SUMIFS(TF_Timer,TF_Tekniker,AA$4,TF_Dato,$A20))*2,0)/2)))</f>
        <v/>
      </c>
      <c r="AB20">
        <f>IF(OR(AB$4="",$A20&gt;TODAY()),0,IF(OR(INDEX($B20:$D20,AB$5)="F",AND(AB$6&gt;0,$A20&lt;AB$6),AND(AB$7&gt;0,$A20&gt;AB$7)),0,MAX(0,ROUND((INDEX($E20:$G20,AB$5)-SUMIFS(TF_Timer,TF_Tekniker,AB$4,TF_Dato,$A20))*2,0)/2)))</f>
        <v/>
      </c>
      <c r="AC20">
        <f>IF(OR(AC$4="",$A20&gt;TODAY()),0,IF(OR(INDEX($B20:$D20,AC$5)="F",AND(AC$6&gt;0,$A20&lt;AC$6),AND(AC$7&gt;0,$A20&gt;AC$7)),0,MAX(0,ROUND((INDEX($E20:$G20,AC$5)-SUMIFS(TF_Timer,TF_Tekniker,AC$4,TF_Dato,$A20))*2,0)/2)))</f>
        <v/>
      </c>
      <c r="AD20">
        <f>IF(OR(AD$4="",$A20&gt;TODAY()),0,IF(OR(INDEX($B20:$D20,AD$5)="F",AND(AD$6&gt;0,$A20&lt;AD$6),AND(AD$7&gt;0,$A20&gt;AD$7)),0,MAX(0,ROUND((INDEX($E20:$G20,AD$5)-SUMIFS(TF_Timer,TF_Tekniker,AD$4,TF_Dato,$A20))*2,0)/2)))</f>
        <v/>
      </c>
      <c r="AE20">
        <f>IF(OR(AE$4="",$A20&gt;TODAY()),0,IF(OR(INDEX($B20:$D20,AE$5)="F",AND(AE$6&gt;0,$A20&lt;AE$6),AND(AE$7&gt;0,$A20&gt;AE$7)),0,MAX(0,ROUND((INDEX($E20:$G20,AE$5)-SUMIFS(TF_Timer,TF_Tekniker,AE$4,TF_Dato,$A20))*2,0)/2)))</f>
        <v/>
      </c>
      <c r="AF20">
        <f>IF(OR(AF$4="",$A20&gt;TODAY()),0,IF(OR(INDEX($B20:$D20,AF$5)="F",AND(AF$6&gt;0,$A20&lt;AF$6),AND(AF$7&gt;0,$A20&gt;AF$7)),0,MAX(0,ROUND((INDEX($E20:$G20,AF$5)-SUMIFS(TF_Timer,TF_Tekniker,AF$4,TF_Dato,$A20))*2,0)/2)))</f>
        <v/>
      </c>
      <c r="AG20">
        <f>IF(OR(AG$4="",$A20&gt;TODAY()),0,IF(OR(INDEX($B20:$D20,AG$5)="F",AND(AG$6&gt;0,$A20&lt;AG$6),AND(AG$7&gt;0,$A20&gt;AG$7)),0,MAX(0,ROUND((INDEX($E20:$G20,AG$5)-SUMIFS(TF_Timer,TF_Tekniker,AG$4,TF_Dato,$A20))*2,0)/2)))</f>
        <v/>
      </c>
      <c r="AH20">
        <f>IF(OR(AH$4="",$A20&gt;TODAY()),0,IF(OR(INDEX($B20:$D20,AH$5)="F",AND(AH$6&gt;0,$A20&lt;AH$6),AND(AH$7&gt;0,$A20&gt;AH$7)),0,MAX(0,ROUND((INDEX($E20:$G20,AH$5)-SUMIFS(TF_Timer,TF_Tekniker,AH$4,TF_Dato,$A20))*2,0)/2)))</f>
        <v/>
      </c>
      <c r="AI20">
        <f>IF(OR(AI$4="",$A20&gt;TODAY()),0,IF(OR(INDEX($B20:$D20,AI$5)="F",AND(AI$6&gt;0,$A20&lt;AI$6),AND(AI$7&gt;0,$A20&gt;AI$7)),0,MAX(0,ROUND((INDEX($E20:$G20,AI$5)-SUMIFS(TF_Timer,TF_Tekniker,AI$4,TF_Dato,$A20))*2,0)/2)))</f>
        <v/>
      </c>
      <c r="AJ20">
        <f>IF(OR(AJ$4="",$A20&gt;TODAY()),0,IF(OR(INDEX($B20:$D20,AJ$5)="F",AND(AJ$6&gt;0,$A20&lt;AJ$6),AND(AJ$7&gt;0,$A20&gt;AJ$7)),0,MAX(0,ROUND((INDEX($E20:$G20,AJ$5)-SUMIFS(TF_Timer,TF_Tekniker,AJ$4,TF_Dato,$A20))*2,0)/2)))</f>
        <v/>
      </c>
      <c r="AK20">
        <f>IF(OR(AK$4="",$A20&gt;TODAY()),0,IF(OR(INDEX($B20:$D20,AK$5)="F",AND(AK$6&gt;0,$A20&lt;AK$6),AND(AK$7&gt;0,$A20&gt;AK$7)),0,MAX(0,ROUND((INDEX($E20:$G20,AK$5)-SUMIFS(TF_Timer,TF_Tekniker,AK$4,TF_Dato,$A20))*2,0)/2)))</f>
        <v/>
      </c>
      <c r="AL20">
        <f>IF(OR(AL$4="",$A20&gt;TODAY()),0,IF(OR(INDEX($B20:$D20,AL$5)="F",AND(AL$6&gt;0,$A20&lt;AL$6),AND(AL$7&gt;0,$A20&gt;AL$7)),0,MAX(0,ROUND((INDEX($E20:$G20,AL$5)-SUMIFS(TF_Timer,TF_Tekniker,AL$4,TF_Dato,$A20))*2,0)/2)))</f>
        <v/>
      </c>
      <c r="AM20">
        <f>IF(OR(AM$4="",$A20&gt;TODAY()),0,IF(OR(INDEX($B20:$D20,AM$5)="F",AND(AM$6&gt;0,$A20&lt;AM$6),AND(AM$7&gt;0,$A20&gt;AM$7)),0,MAX(0,ROUND((INDEX($E20:$G20,AM$5)-SUMIFS(TF_Timer,TF_Tekniker,AM$4,TF_Dato,$A20))*2,0)/2)))</f>
        <v/>
      </c>
      <c r="AN20">
        <f>IF(OR(AN$4="",$A20&gt;TODAY()),0,IF(OR(INDEX($B20:$D20,AN$5)="F",AND(AN$6&gt;0,$A20&lt;AN$6),AND(AN$7&gt;0,$A20&gt;AN$7)),0,MAX(0,ROUND((INDEX($E20:$G20,AN$5)-SUMIFS(TF_Timer,TF_Tekniker,AN$4,TF_Dato,$A20))*2,0)/2)))</f>
        <v/>
      </c>
      <c r="AO20">
        <f>IF(OR(AO$4="",$A20&gt;TODAY()),0,IF(OR(INDEX($B20:$D20,AO$5)="F",AND(AO$6&gt;0,$A20&lt;AO$6),AND(AO$7&gt;0,$A20&gt;AO$7)),0,MAX(0,ROUND((INDEX($E20:$G20,AO$5)-SUMIFS(TF_Timer,TF_Tekniker,AO$4,TF_Dato,$A20))*2,0)/2)))</f>
        <v/>
      </c>
      <c r="AP20">
        <f>IF(OR(AP$4="",$A20&gt;TODAY()),0,IF(OR(INDEX($B20:$D20,AP$5)="F",AND(AP$6&gt;0,$A20&lt;AP$6),AND(AP$7&gt;0,$A20&gt;AP$7)),0,MAX(0,ROUND((INDEX($E20:$G20,AP$5)-SUMIFS(TF_Timer,TF_Tekniker,AP$4,TF_Dato,$A20))*2,0)/2)))</f>
        <v/>
      </c>
      <c r="AQ20">
        <f>IF(OR(AQ$4="",$A20&gt;TODAY()),0,IF(OR(INDEX($B20:$D20,AQ$5)="F",AND(AQ$6&gt;0,$A20&lt;AQ$6),AND(AQ$7&gt;0,$A20&gt;AQ$7)),0,MAX(0,ROUND((INDEX($E20:$G20,AQ$5)-SUMIFS(TF_Timer,TF_Tekniker,AQ$4,TF_Dato,$A20))*2,0)/2)))</f>
        <v/>
      </c>
      <c r="AR20">
        <f>IF(OR(AR$4="",$A20&gt;TODAY()),0,IF(OR(INDEX($B20:$D20,AR$5)="F",AND(AR$6&gt;0,$A20&lt;AR$6),AND(AR$7&gt;0,$A20&gt;AR$7)),0,MAX(0,ROUND((INDEX($E20:$G20,AR$5)-SUMIFS(TF_Timer,TF_Tekniker,AR$4,TF_Dato,$A20))*2,0)/2)))</f>
        <v/>
      </c>
      <c r="AS20">
        <f>IF(OR(AS$4="",$A20&gt;TODAY()),0,IF(OR(INDEX($B20:$D20,AS$5)="F",AND(AS$6&gt;0,$A20&lt;AS$6),AND(AS$7&gt;0,$A20&gt;AS$7)),0,MAX(0,ROUND((INDEX($E20:$G20,AS$5)-SUMIFS(TF_Timer,TF_Tekniker,AS$4,TF_Dato,$A20))*2,0)/2)))</f>
        <v/>
      </c>
      <c r="AT20">
        <f>IF(OR(AT$4="",$A20&gt;TODAY()),0,IF(OR(INDEX($B20:$D20,AT$5)="F",AND(AT$6&gt;0,$A20&lt;AT$6),AND(AT$7&gt;0,$A20&gt;AT$7)),0,MAX(0,ROUND((INDEX($E20:$G20,AT$5)-SUMIFS(TF_Timer,TF_Tekniker,AT$4,TF_Dato,$A20))*2,0)/2)))</f>
        <v/>
      </c>
      <c r="AU20">
        <f>IF(OR(AU$4="",$A20&gt;TODAY()),0,IF(OR(INDEX($B20:$D20,AU$5)="F",AND(AU$6&gt;0,$A20&lt;AU$6),AND(AU$7&gt;0,$A20&gt;AU$7)),0,MAX(0,ROUND((INDEX($E20:$G20,AU$5)-SUMIFS(TF_Timer,TF_Tekniker,AU$4,TF_Dato,$A20))*2,0)/2)))</f>
        <v/>
      </c>
      <c r="AV20">
        <f>IF(OR(AV$4="",$A20&gt;TODAY()),0,IF(OR(INDEX($B20:$D20,AV$5)="F",AND(AV$6&gt;0,$A20&lt;AV$6),AND(AV$7&gt;0,$A20&gt;AV$7)),0,MAX(0,ROUND((INDEX($E20:$G20,AV$5)-SUMIFS(TF_Timer,TF_Tekniker,AV$4,TF_Dato,$A20))*2,0)/2)))</f>
        <v/>
      </c>
      <c r="AW20">
        <f>IF(OR(AW$4="",$A20&gt;TODAY()),0,IF(OR(INDEX($B20:$D20,AW$5)="F",AND(AW$6&gt;0,$A20&lt;AW$6),AND(AW$7&gt;0,$A20&gt;AW$7)),0,MAX(0,ROUND((INDEX($E20:$G20,AW$5)-SUMIFS(TF_Timer,TF_Tekniker,AW$4,TF_Dato,$A20))*2,0)/2)))</f>
        <v/>
      </c>
      <c r="AX20">
        <f>IF(OR(AX$4="",$A20&gt;TODAY()),0,IF(OR(INDEX($B20:$D20,AX$5)="F",AND(AX$6&gt;0,$A20&lt;AX$6),AND(AX$7&gt;0,$A20&gt;AX$7)),0,MAX(0,ROUND((INDEX($E20:$G20,AX$5)-SUMIFS(TF_Timer,TF_Tekniker,AX$4,TF_Dato,$A20))*2,0)/2)))</f>
        <v/>
      </c>
      <c r="AY20">
        <f>IF(OR(AY$4="",$A20&gt;TODAY()),0,IF(OR(INDEX($B20:$D20,AY$5)="F",AND(AY$6&gt;0,$A20&lt;AY$6),AND(AY$7&gt;0,$A20&gt;AY$7)),0,MAX(0,ROUND((INDEX($E20:$G20,AY$5)-SUMIFS(TF_Timer,TF_Tekniker,AY$4,TF_Dato,$A20))*2,0)/2)))</f>
        <v/>
      </c>
      <c r="AZ20">
        <f>IF(OR(AZ$4="",$A20&gt;TODAY()),0,IF(OR(INDEX($B20:$D20,AZ$5)="F",AND(AZ$6&gt;0,$A20&lt;AZ$6),AND(AZ$7&gt;0,$A20&gt;AZ$7)),0,MAX(0,ROUND((INDEX($E20:$G20,AZ$5)-SUMIFS(TF_Timer,TF_Tekniker,AZ$4,TF_Dato,$A20))*2,0)/2)))</f>
        <v/>
      </c>
      <c r="BA20">
        <f>IF(OR(BA$4="",$A20&gt;TODAY()),0,IF(OR(INDEX($B20:$D20,BA$5)="F",AND(BA$6&gt;0,$A20&lt;BA$6),AND(BA$7&gt;0,$A20&gt;BA$7)),0,MAX(0,ROUND((INDEX($E20:$G20,BA$5)-SUMIFS(TF_Timer,TF_Tekniker,BA$4,TF_Dato,$A20))*2,0)/2)))</f>
        <v/>
      </c>
      <c r="BB20">
        <f>IF(OR(BB$4="",$A20&gt;TODAY()),0,IF(OR(INDEX($B20:$D20,BB$5)="F",AND(BB$6&gt;0,$A20&lt;BB$6),AND(BB$7&gt;0,$A20&gt;BB$7)),0,MAX(0,ROUND((INDEX($E20:$G20,BB$5)-SUMIFS(TF_Timer,TF_Tekniker,BB$4,TF_Dato,$A20))*2,0)/2)))</f>
        <v/>
      </c>
      <c r="BC20">
        <f>IF(OR(BC$4="",$A20&gt;TODAY()),0,IF(OR(INDEX($B20:$D20,BC$5)="F",AND(BC$6&gt;0,$A20&lt;BC$6),AND(BC$7&gt;0,$A20&gt;BC$7)),0,MAX(0,ROUND((INDEX($E20:$G20,BC$5)-SUMIFS(TF_Timer,TF_Tekniker,BC$4,TF_Dato,$A20))*2,0)/2)))</f>
        <v/>
      </c>
      <c r="BD20">
        <f>IF(OR(BD$4="",$A20&gt;TODAY()),0,IF(OR(INDEX($B20:$D20,BD$5)="F",AND(BD$6&gt;0,$A20&lt;BD$6),AND(BD$7&gt;0,$A20&gt;BD$7)),0,MAX(0,ROUND((INDEX($E20:$G20,BD$5)-SUMIFS(TF_Timer,TF_Tekniker,BD$4,TF_Dato,$A20))*2,0)/2)))</f>
        <v/>
      </c>
      <c r="BE20">
        <f>IF(OR(BE$4="",$A20&gt;TODAY()),0,IF(OR(INDEX($B20:$D20,BE$5)="F",AND(BE$6&gt;0,$A20&lt;BE$6),AND(BE$7&gt;0,$A20&gt;BE$7)),0,MAX(0,ROUND((INDEX($E20:$G20,BE$5)-SUMIFS(TF_Timer,TF_Tekniker,BE$4,TF_Dato,$A20))*2,0)/2)))</f>
        <v/>
      </c>
      <c r="BF20">
        <f>IF(OR(BF$4="",$A20&gt;TODAY()),0,IF(OR(INDEX($B20:$D20,BF$5)="F",AND(BF$6&gt;0,$A20&lt;BF$6),AND(BF$7&gt;0,$A20&gt;BF$7)),0,MAX(0,ROUND((INDEX($E20:$G20,BF$5)-SUMIFS(TF_Timer,TF_Tekniker,BF$4,TF_Dato,$A20))*2,0)/2)))</f>
        <v/>
      </c>
      <c r="BG20">
        <f>IF(OR(BG$4="",$A20&gt;TODAY()),0,IF(OR(INDEX($B20:$D20,BG$5)="F",AND(BG$6&gt;0,$A20&lt;BG$6),AND(BG$7&gt;0,$A20&gt;BG$7)),0,MAX(0,ROUND((INDEX($E20:$G20,BG$5)-SUMIFS(TF_Timer,TF_Tekniker,BG$4,TF_Dato,$A20))*2,0)/2)))</f>
        <v/>
      </c>
      <c r="BH20">
        <f>IF(OR(BH$4="",$A20&gt;TODAY()),0,IF(OR(INDEX($B20:$D20,BH$5)="F",AND(BH$6&gt;0,$A20&lt;BH$6),AND(BH$7&gt;0,$A20&gt;BH$7)),0,MAX(0,ROUND((INDEX($E20:$G20,BH$5)-SUMIFS(TF_Timer,TF_Tekniker,BH$4,TF_Dato,$A20))*2,0)/2)))</f>
        <v/>
      </c>
      <c r="BI20">
        <f>IF(OR(BI$4="",$A20&gt;TODAY()),0,IF(OR(INDEX($B20:$D20,BI$5)="F",AND(BI$6&gt;0,$A20&lt;BI$6),AND(BI$7&gt;0,$A20&gt;BI$7)),0,MAX(0,ROUND((INDEX($E20:$G20,BI$5)-SUMIFS(TF_Timer,TF_Tekniker,BI$4,TF_Dato,$A20))*2,0)/2)))</f>
        <v/>
      </c>
    </row>
    <row r="21">
      <c r="A21" s="64">
        <f>A20+1</f>
        <v/>
      </c>
      <c r="B21">
        <f>IF(MOD($A21-INDEX(SkiftStart,1),Syklus)&lt;DagK,"K",IF(MOD($A21-INDEX(SkiftStart,1),Syklus)&lt;DagK+DagH,"H",IF(MOD($A21-INDEX(SkiftStart,1),Syklus)&lt;DagK+DagH+DagD,"D","F")))</f>
        <v/>
      </c>
      <c r="C21">
        <f>IF(MOD($A21-INDEX(SkiftStart,2),Syklus)&lt;DagK,"K",IF(MOD($A21-INDEX(SkiftStart,2),Syklus)&lt;DagK+DagH,"H",IF(MOD($A21-INDEX(SkiftStart,2),Syklus)&lt;DagK+DagH+DagD,"D","F")))</f>
        <v/>
      </c>
      <c r="D21">
        <f>IF(MOD($A21-INDEX(SkiftStart,3),Syklus)&lt;DagK,"K",IF(MOD($A21-INDEX(SkiftStart,3),Syklus)&lt;DagK+DagH,"H",IF(MOD($A21-INDEX(SkiftStart,3),Syklus)&lt;DagK+DagH+DagD,"D","F")))</f>
        <v/>
      </c>
      <c r="E21">
        <f>IF(B21="F",0,IF(WEEKDAY($A21,2)=5,INDEX(TimerFr,MATCH(B21,FaseKode,0)),INDEX(TimerMT,MATCH(B21,FaseKode,0))))</f>
        <v/>
      </c>
      <c r="F21">
        <f>IF(C21="F",0,IF(WEEKDAY($A21,2)=5,INDEX(TimerFr,MATCH(C21,FaseKode,0)),INDEX(TimerMT,MATCH(C21,FaseKode,0))))</f>
        <v/>
      </c>
      <c r="G21">
        <f>IF(D21="F",0,IF(WEEKDAY($A21,2)=5,INDEX(TimerFr,MATCH(D21,FaseKode,0)),INDEX(TimerMT,MATCH(D21,FaseKode,0))))</f>
        <v/>
      </c>
      <c r="H21">
        <f>IF(OR(H$4="",$A21&gt;TODAY()),0,IF(OR(INDEX($B21:$D21,H$5)="F",AND(H$6&gt;0,$A21&lt;H$6),AND(H$7&gt;0,$A21&gt;H$7)),0,MAX(0,ROUND((INDEX($E21:$G21,H$5)-SUMIFS(TF_Timer,TF_Tekniker,H$4,TF_Dato,$A21))*2,0)/2)))</f>
        <v/>
      </c>
      <c r="I21">
        <f>IF(OR(I$4="",$A21&gt;TODAY()),0,IF(OR(INDEX($B21:$D21,I$5)="F",AND(I$6&gt;0,$A21&lt;I$6),AND(I$7&gt;0,$A21&gt;I$7)),0,MAX(0,ROUND((INDEX($E21:$G21,I$5)-SUMIFS(TF_Timer,TF_Tekniker,I$4,TF_Dato,$A21))*2,0)/2)))</f>
        <v/>
      </c>
      <c r="J21">
        <f>IF(OR(J$4="",$A21&gt;TODAY()),0,IF(OR(INDEX($B21:$D21,J$5)="F",AND(J$6&gt;0,$A21&lt;J$6),AND(J$7&gt;0,$A21&gt;J$7)),0,MAX(0,ROUND((INDEX($E21:$G21,J$5)-SUMIFS(TF_Timer,TF_Tekniker,J$4,TF_Dato,$A21))*2,0)/2)))</f>
        <v/>
      </c>
      <c r="K21">
        <f>IF(OR(K$4="",$A21&gt;TODAY()),0,IF(OR(INDEX($B21:$D21,K$5)="F",AND(K$6&gt;0,$A21&lt;K$6),AND(K$7&gt;0,$A21&gt;K$7)),0,MAX(0,ROUND((INDEX($E21:$G21,K$5)-SUMIFS(TF_Timer,TF_Tekniker,K$4,TF_Dato,$A21))*2,0)/2)))</f>
        <v/>
      </c>
      <c r="L21">
        <f>IF(OR(L$4="",$A21&gt;TODAY()),0,IF(OR(INDEX($B21:$D21,L$5)="F",AND(L$6&gt;0,$A21&lt;L$6),AND(L$7&gt;0,$A21&gt;L$7)),0,MAX(0,ROUND((INDEX($E21:$G21,L$5)-SUMIFS(TF_Timer,TF_Tekniker,L$4,TF_Dato,$A21))*2,0)/2)))</f>
        <v/>
      </c>
      <c r="M21">
        <f>IF(OR(M$4="",$A21&gt;TODAY()),0,IF(OR(INDEX($B21:$D21,M$5)="F",AND(M$6&gt;0,$A21&lt;M$6),AND(M$7&gt;0,$A21&gt;M$7)),0,MAX(0,ROUND((INDEX($E21:$G21,M$5)-SUMIFS(TF_Timer,TF_Tekniker,M$4,TF_Dato,$A21))*2,0)/2)))</f>
        <v/>
      </c>
      <c r="N21">
        <f>IF(OR(N$4="",$A21&gt;TODAY()),0,IF(OR(INDEX($B21:$D21,N$5)="F",AND(N$6&gt;0,$A21&lt;N$6),AND(N$7&gt;0,$A21&gt;N$7)),0,MAX(0,ROUND((INDEX($E21:$G21,N$5)-SUMIFS(TF_Timer,TF_Tekniker,N$4,TF_Dato,$A21))*2,0)/2)))</f>
        <v/>
      </c>
      <c r="O21">
        <f>IF(OR(O$4="",$A21&gt;TODAY()),0,IF(OR(INDEX($B21:$D21,O$5)="F",AND(O$6&gt;0,$A21&lt;O$6),AND(O$7&gt;0,$A21&gt;O$7)),0,MAX(0,ROUND((INDEX($E21:$G21,O$5)-SUMIFS(TF_Timer,TF_Tekniker,O$4,TF_Dato,$A21))*2,0)/2)))</f>
        <v/>
      </c>
      <c r="P21">
        <f>IF(OR(P$4="",$A21&gt;TODAY()),0,IF(OR(INDEX($B21:$D21,P$5)="F",AND(P$6&gt;0,$A21&lt;P$6),AND(P$7&gt;0,$A21&gt;P$7)),0,MAX(0,ROUND((INDEX($E21:$G21,P$5)-SUMIFS(TF_Timer,TF_Tekniker,P$4,TF_Dato,$A21))*2,0)/2)))</f>
        <v/>
      </c>
      <c r="Q21">
        <f>IF(OR(Q$4="",$A21&gt;TODAY()),0,IF(OR(INDEX($B21:$D21,Q$5)="F",AND(Q$6&gt;0,$A21&lt;Q$6),AND(Q$7&gt;0,$A21&gt;Q$7)),0,MAX(0,ROUND((INDEX($E21:$G21,Q$5)-SUMIFS(TF_Timer,TF_Tekniker,Q$4,TF_Dato,$A21))*2,0)/2)))</f>
        <v/>
      </c>
      <c r="R21">
        <f>IF(OR(R$4="",$A21&gt;TODAY()),0,IF(OR(INDEX($B21:$D21,R$5)="F",AND(R$6&gt;0,$A21&lt;R$6),AND(R$7&gt;0,$A21&gt;R$7)),0,MAX(0,ROUND((INDEX($E21:$G21,R$5)-SUMIFS(TF_Timer,TF_Tekniker,R$4,TF_Dato,$A21))*2,0)/2)))</f>
        <v/>
      </c>
      <c r="S21">
        <f>IF(OR(S$4="",$A21&gt;TODAY()),0,IF(OR(INDEX($B21:$D21,S$5)="F",AND(S$6&gt;0,$A21&lt;S$6),AND(S$7&gt;0,$A21&gt;S$7)),0,MAX(0,ROUND((INDEX($E21:$G21,S$5)-SUMIFS(TF_Timer,TF_Tekniker,S$4,TF_Dato,$A21))*2,0)/2)))</f>
        <v/>
      </c>
      <c r="T21">
        <f>IF(OR(T$4="",$A21&gt;TODAY()),0,IF(OR(INDEX($B21:$D21,T$5)="F",AND(T$6&gt;0,$A21&lt;T$6),AND(T$7&gt;0,$A21&gt;T$7)),0,MAX(0,ROUND((INDEX($E21:$G21,T$5)-SUMIFS(TF_Timer,TF_Tekniker,T$4,TF_Dato,$A21))*2,0)/2)))</f>
        <v/>
      </c>
      <c r="U21">
        <f>IF(OR(U$4="",$A21&gt;TODAY()),0,IF(OR(INDEX($B21:$D21,U$5)="F",AND(U$6&gt;0,$A21&lt;U$6),AND(U$7&gt;0,$A21&gt;U$7)),0,MAX(0,ROUND((INDEX($E21:$G21,U$5)-SUMIFS(TF_Timer,TF_Tekniker,U$4,TF_Dato,$A21))*2,0)/2)))</f>
        <v/>
      </c>
      <c r="V21">
        <f>IF(OR(V$4="",$A21&gt;TODAY()),0,IF(OR(INDEX($B21:$D21,V$5)="F",AND(V$6&gt;0,$A21&lt;V$6),AND(V$7&gt;0,$A21&gt;V$7)),0,MAX(0,ROUND((INDEX($E21:$G21,V$5)-SUMIFS(TF_Timer,TF_Tekniker,V$4,TF_Dato,$A21))*2,0)/2)))</f>
        <v/>
      </c>
      <c r="W21">
        <f>IF(OR(W$4="",$A21&gt;TODAY()),0,IF(OR(INDEX($B21:$D21,W$5)="F",AND(W$6&gt;0,$A21&lt;W$6),AND(W$7&gt;0,$A21&gt;W$7)),0,MAX(0,ROUND((INDEX($E21:$G21,W$5)-SUMIFS(TF_Timer,TF_Tekniker,W$4,TF_Dato,$A21))*2,0)/2)))</f>
        <v/>
      </c>
      <c r="X21">
        <f>IF(OR(X$4="",$A21&gt;TODAY()),0,IF(OR(INDEX($B21:$D21,X$5)="F",AND(X$6&gt;0,$A21&lt;X$6),AND(X$7&gt;0,$A21&gt;X$7)),0,MAX(0,ROUND((INDEX($E21:$G21,X$5)-SUMIFS(TF_Timer,TF_Tekniker,X$4,TF_Dato,$A21))*2,0)/2)))</f>
        <v/>
      </c>
      <c r="Y21">
        <f>IF(OR(Y$4="",$A21&gt;TODAY()),0,IF(OR(INDEX($B21:$D21,Y$5)="F",AND(Y$6&gt;0,$A21&lt;Y$6),AND(Y$7&gt;0,$A21&gt;Y$7)),0,MAX(0,ROUND((INDEX($E21:$G21,Y$5)-SUMIFS(TF_Timer,TF_Tekniker,Y$4,TF_Dato,$A21))*2,0)/2)))</f>
        <v/>
      </c>
      <c r="Z21">
        <f>IF(OR(Z$4="",$A21&gt;TODAY()),0,IF(OR(INDEX($B21:$D21,Z$5)="F",AND(Z$6&gt;0,$A21&lt;Z$6),AND(Z$7&gt;0,$A21&gt;Z$7)),0,MAX(0,ROUND((INDEX($E21:$G21,Z$5)-SUMIFS(TF_Timer,TF_Tekniker,Z$4,TF_Dato,$A21))*2,0)/2)))</f>
        <v/>
      </c>
      <c r="AA21">
        <f>IF(OR(AA$4="",$A21&gt;TODAY()),0,IF(OR(INDEX($B21:$D21,AA$5)="F",AND(AA$6&gt;0,$A21&lt;AA$6),AND(AA$7&gt;0,$A21&gt;AA$7)),0,MAX(0,ROUND((INDEX($E21:$G21,AA$5)-SUMIFS(TF_Timer,TF_Tekniker,AA$4,TF_Dato,$A21))*2,0)/2)))</f>
        <v/>
      </c>
      <c r="AB21">
        <f>IF(OR(AB$4="",$A21&gt;TODAY()),0,IF(OR(INDEX($B21:$D21,AB$5)="F",AND(AB$6&gt;0,$A21&lt;AB$6),AND(AB$7&gt;0,$A21&gt;AB$7)),0,MAX(0,ROUND((INDEX($E21:$G21,AB$5)-SUMIFS(TF_Timer,TF_Tekniker,AB$4,TF_Dato,$A21))*2,0)/2)))</f>
        <v/>
      </c>
      <c r="AC21">
        <f>IF(OR(AC$4="",$A21&gt;TODAY()),0,IF(OR(INDEX($B21:$D21,AC$5)="F",AND(AC$6&gt;0,$A21&lt;AC$6),AND(AC$7&gt;0,$A21&gt;AC$7)),0,MAX(0,ROUND((INDEX($E21:$G21,AC$5)-SUMIFS(TF_Timer,TF_Tekniker,AC$4,TF_Dato,$A21))*2,0)/2)))</f>
        <v/>
      </c>
      <c r="AD21">
        <f>IF(OR(AD$4="",$A21&gt;TODAY()),0,IF(OR(INDEX($B21:$D21,AD$5)="F",AND(AD$6&gt;0,$A21&lt;AD$6),AND(AD$7&gt;0,$A21&gt;AD$7)),0,MAX(0,ROUND((INDEX($E21:$G21,AD$5)-SUMIFS(TF_Timer,TF_Tekniker,AD$4,TF_Dato,$A21))*2,0)/2)))</f>
        <v/>
      </c>
      <c r="AE21">
        <f>IF(OR(AE$4="",$A21&gt;TODAY()),0,IF(OR(INDEX($B21:$D21,AE$5)="F",AND(AE$6&gt;0,$A21&lt;AE$6),AND(AE$7&gt;0,$A21&gt;AE$7)),0,MAX(0,ROUND((INDEX($E21:$G21,AE$5)-SUMIFS(TF_Timer,TF_Tekniker,AE$4,TF_Dato,$A21))*2,0)/2)))</f>
        <v/>
      </c>
      <c r="AF21">
        <f>IF(OR(AF$4="",$A21&gt;TODAY()),0,IF(OR(INDEX($B21:$D21,AF$5)="F",AND(AF$6&gt;0,$A21&lt;AF$6),AND(AF$7&gt;0,$A21&gt;AF$7)),0,MAX(0,ROUND((INDEX($E21:$G21,AF$5)-SUMIFS(TF_Timer,TF_Tekniker,AF$4,TF_Dato,$A21))*2,0)/2)))</f>
        <v/>
      </c>
      <c r="AG21">
        <f>IF(OR(AG$4="",$A21&gt;TODAY()),0,IF(OR(INDEX($B21:$D21,AG$5)="F",AND(AG$6&gt;0,$A21&lt;AG$6),AND(AG$7&gt;0,$A21&gt;AG$7)),0,MAX(0,ROUND((INDEX($E21:$G21,AG$5)-SUMIFS(TF_Timer,TF_Tekniker,AG$4,TF_Dato,$A21))*2,0)/2)))</f>
        <v/>
      </c>
      <c r="AH21">
        <f>IF(OR(AH$4="",$A21&gt;TODAY()),0,IF(OR(INDEX($B21:$D21,AH$5)="F",AND(AH$6&gt;0,$A21&lt;AH$6),AND(AH$7&gt;0,$A21&gt;AH$7)),0,MAX(0,ROUND((INDEX($E21:$G21,AH$5)-SUMIFS(TF_Timer,TF_Tekniker,AH$4,TF_Dato,$A21))*2,0)/2)))</f>
        <v/>
      </c>
      <c r="AI21">
        <f>IF(OR(AI$4="",$A21&gt;TODAY()),0,IF(OR(INDEX($B21:$D21,AI$5)="F",AND(AI$6&gt;0,$A21&lt;AI$6),AND(AI$7&gt;0,$A21&gt;AI$7)),0,MAX(0,ROUND((INDEX($E21:$G21,AI$5)-SUMIFS(TF_Timer,TF_Tekniker,AI$4,TF_Dato,$A21))*2,0)/2)))</f>
        <v/>
      </c>
      <c r="AJ21">
        <f>IF(OR(AJ$4="",$A21&gt;TODAY()),0,IF(OR(INDEX($B21:$D21,AJ$5)="F",AND(AJ$6&gt;0,$A21&lt;AJ$6),AND(AJ$7&gt;0,$A21&gt;AJ$7)),0,MAX(0,ROUND((INDEX($E21:$G21,AJ$5)-SUMIFS(TF_Timer,TF_Tekniker,AJ$4,TF_Dato,$A21))*2,0)/2)))</f>
        <v/>
      </c>
      <c r="AK21">
        <f>IF(OR(AK$4="",$A21&gt;TODAY()),0,IF(OR(INDEX($B21:$D21,AK$5)="F",AND(AK$6&gt;0,$A21&lt;AK$6),AND(AK$7&gt;0,$A21&gt;AK$7)),0,MAX(0,ROUND((INDEX($E21:$G21,AK$5)-SUMIFS(TF_Timer,TF_Tekniker,AK$4,TF_Dato,$A21))*2,0)/2)))</f>
        <v/>
      </c>
      <c r="AL21">
        <f>IF(OR(AL$4="",$A21&gt;TODAY()),0,IF(OR(INDEX($B21:$D21,AL$5)="F",AND(AL$6&gt;0,$A21&lt;AL$6),AND(AL$7&gt;0,$A21&gt;AL$7)),0,MAX(0,ROUND((INDEX($E21:$G21,AL$5)-SUMIFS(TF_Timer,TF_Tekniker,AL$4,TF_Dato,$A21))*2,0)/2)))</f>
        <v/>
      </c>
      <c r="AM21">
        <f>IF(OR(AM$4="",$A21&gt;TODAY()),0,IF(OR(INDEX($B21:$D21,AM$5)="F",AND(AM$6&gt;0,$A21&lt;AM$6),AND(AM$7&gt;0,$A21&gt;AM$7)),0,MAX(0,ROUND((INDEX($E21:$G21,AM$5)-SUMIFS(TF_Timer,TF_Tekniker,AM$4,TF_Dato,$A21))*2,0)/2)))</f>
        <v/>
      </c>
      <c r="AN21">
        <f>IF(OR(AN$4="",$A21&gt;TODAY()),0,IF(OR(INDEX($B21:$D21,AN$5)="F",AND(AN$6&gt;0,$A21&lt;AN$6),AND(AN$7&gt;0,$A21&gt;AN$7)),0,MAX(0,ROUND((INDEX($E21:$G21,AN$5)-SUMIFS(TF_Timer,TF_Tekniker,AN$4,TF_Dato,$A21))*2,0)/2)))</f>
        <v/>
      </c>
      <c r="AO21">
        <f>IF(OR(AO$4="",$A21&gt;TODAY()),0,IF(OR(INDEX($B21:$D21,AO$5)="F",AND(AO$6&gt;0,$A21&lt;AO$6),AND(AO$7&gt;0,$A21&gt;AO$7)),0,MAX(0,ROUND((INDEX($E21:$G21,AO$5)-SUMIFS(TF_Timer,TF_Tekniker,AO$4,TF_Dato,$A21))*2,0)/2)))</f>
        <v/>
      </c>
      <c r="AP21">
        <f>IF(OR(AP$4="",$A21&gt;TODAY()),0,IF(OR(INDEX($B21:$D21,AP$5)="F",AND(AP$6&gt;0,$A21&lt;AP$6),AND(AP$7&gt;0,$A21&gt;AP$7)),0,MAX(0,ROUND((INDEX($E21:$G21,AP$5)-SUMIFS(TF_Timer,TF_Tekniker,AP$4,TF_Dato,$A21))*2,0)/2)))</f>
        <v/>
      </c>
      <c r="AQ21">
        <f>IF(OR(AQ$4="",$A21&gt;TODAY()),0,IF(OR(INDEX($B21:$D21,AQ$5)="F",AND(AQ$6&gt;0,$A21&lt;AQ$6),AND(AQ$7&gt;0,$A21&gt;AQ$7)),0,MAX(0,ROUND((INDEX($E21:$G21,AQ$5)-SUMIFS(TF_Timer,TF_Tekniker,AQ$4,TF_Dato,$A21))*2,0)/2)))</f>
        <v/>
      </c>
      <c r="AR21">
        <f>IF(OR(AR$4="",$A21&gt;TODAY()),0,IF(OR(INDEX($B21:$D21,AR$5)="F",AND(AR$6&gt;0,$A21&lt;AR$6),AND(AR$7&gt;0,$A21&gt;AR$7)),0,MAX(0,ROUND((INDEX($E21:$G21,AR$5)-SUMIFS(TF_Timer,TF_Tekniker,AR$4,TF_Dato,$A21))*2,0)/2)))</f>
        <v/>
      </c>
      <c r="AS21">
        <f>IF(OR(AS$4="",$A21&gt;TODAY()),0,IF(OR(INDEX($B21:$D21,AS$5)="F",AND(AS$6&gt;0,$A21&lt;AS$6),AND(AS$7&gt;0,$A21&gt;AS$7)),0,MAX(0,ROUND((INDEX($E21:$G21,AS$5)-SUMIFS(TF_Timer,TF_Tekniker,AS$4,TF_Dato,$A21))*2,0)/2)))</f>
        <v/>
      </c>
      <c r="AT21">
        <f>IF(OR(AT$4="",$A21&gt;TODAY()),0,IF(OR(INDEX($B21:$D21,AT$5)="F",AND(AT$6&gt;0,$A21&lt;AT$6),AND(AT$7&gt;0,$A21&gt;AT$7)),0,MAX(0,ROUND((INDEX($E21:$G21,AT$5)-SUMIFS(TF_Timer,TF_Tekniker,AT$4,TF_Dato,$A21))*2,0)/2)))</f>
        <v/>
      </c>
      <c r="AU21">
        <f>IF(OR(AU$4="",$A21&gt;TODAY()),0,IF(OR(INDEX($B21:$D21,AU$5)="F",AND(AU$6&gt;0,$A21&lt;AU$6),AND(AU$7&gt;0,$A21&gt;AU$7)),0,MAX(0,ROUND((INDEX($E21:$G21,AU$5)-SUMIFS(TF_Timer,TF_Tekniker,AU$4,TF_Dato,$A21))*2,0)/2)))</f>
        <v/>
      </c>
      <c r="AV21">
        <f>IF(OR(AV$4="",$A21&gt;TODAY()),0,IF(OR(INDEX($B21:$D21,AV$5)="F",AND(AV$6&gt;0,$A21&lt;AV$6),AND(AV$7&gt;0,$A21&gt;AV$7)),0,MAX(0,ROUND((INDEX($E21:$G21,AV$5)-SUMIFS(TF_Timer,TF_Tekniker,AV$4,TF_Dato,$A21))*2,0)/2)))</f>
        <v/>
      </c>
      <c r="AW21">
        <f>IF(OR(AW$4="",$A21&gt;TODAY()),0,IF(OR(INDEX($B21:$D21,AW$5)="F",AND(AW$6&gt;0,$A21&lt;AW$6),AND(AW$7&gt;0,$A21&gt;AW$7)),0,MAX(0,ROUND((INDEX($E21:$G21,AW$5)-SUMIFS(TF_Timer,TF_Tekniker,AW$4,TF_Dato,$A21))*2,0)/2)))</f>
        <v/>
      </c>
      <c r="AX21">
        <f>IF(OR(AX$4="",$A21&gt;TODAY()),0,IF(OR(INDEX($B21:$D21,AX$5)="F",AND(AX$6&gt;0,$A21&lt;AX$6),AND(AX$7&gt;0,$A21&gt;AX$7)),0,MAX(0,ROUND((INDEX($E21:$G21,AX$5)-SUMIFS(TF_Timer,TF_Tekniker,AX$4,TF_Dato,$A21))*2,0)/2)))</f>
        <v/>
      </c>
      <c r="AY21">
        <f>IF(OR(AY$4="",$A21&gt;TODAY()),0,IF(OR(INDEX($B21:$D21,AY$5)="F",AND(AY$6&gt;0,$A21&lt;AY$6),AND(AY$7&gt;0,$A21&gt;AY$7)),0,MAX(0,ROUND((INDEX($E21:$G21,AY$5)-SUMIFS(TF_Timer,TF_Tekniker,AY$4,TF_Dato,$A21))*2,0)/2)))</f>
        <v/>
      </c>
      <c r="AZ21">
        <f>IF(OR(AZ$4="",$A21&gt;TODAY()),0,IF(OR(INDEX($B21:$D21,AZ$5)="F",AND(AZ$6&gt;0,$A21&lt;AZ$6),AND(AZ$7&gt;0,$A21&gt;AZ$7)),0,MAX(0,ROUND((INDEX($E21:$G21,AZ$5)-SUMIFS(TF_Timer,TF_Tekniker,AZ$4,TF_Dato,$A21))*2,0)/2)))</f>
        <v/>
      </c>
      <c r="BA21">
        <f>IF(OR(BA$4="",$A21&gt;TODAY()),0,IF(OR(INDEX($B21:$D21,BA$5)="F",AND(BA$6&gt;0,$A21&lt;BA$6),AND(BA$7&gt;0,$A21&gt;BA$7)),0,MAX(0,ROUND((INDEX($E21:$G21,BA$5)-SUMIFS(TF_Timer,TF_Tekniker,BA$4,TF_Dato,$A21))*2,0)/2)))</f>
        <v/>
      </c>
      <c r="BB21">
        <f>IF(OR(BB$4="",$A21&gt;TODAY()),0,IF(OR(INDEX($B21:$D21,BB$5)="F",AND(BB$6&gt;0,$A21&lt;BB$6),AND(BB$7&gt;0,$A21&gt;BB$7)),0,MAX(0,ROUND((INDEX($E21:$G21,BB$5)-SUMIFS(TF_Timer,TF_Tekniker,BB$4,TF_Dato,$A21))*2,0)/2)))</f>
        <v/>
      </c>
      <c r="BC21">
        <f>IF(OR(BC$4="",$A21&gt;TODAY()),0,IF(OR(INDEX($B21:$D21,BC$5)="F",AND(BC$6&gt;0,$A21&lt;BC$6),AND(BC$7&gt;0,$A21&gt;BC$7)),0,MAX(0,ROUND((INDEX($E21:$G21,BC$5)-SUMIFS(TF_Timer,TF_Tekniker,BC$4,TF_Dato,$A21))*2,0)/2)))</f>
        <v/>
      </c>
      <c r="BD21">
        <f>IF(OR(BD$4="",$A21&gt;TODAY()),0,IF(OR(INDEX($B21:$D21,BD$5)="F",AND(BD$6&gt;0,$A21&lt;BD$6),AND(BD$7&gt;0,$A21&gt;BD$7)),0,MAX(0,ROUND((INDEX($E21:$G21,BD$5)-SUMIFS(TF_Timer,TF_Tekniker,BD$4,TF_Dato,$A21))*2,0)/2)))</f>
        <v/>
      </c>
      <c r="BE21">
        <f>IF(OR(BE$4="",$A21&gt;TODAY()),0,IF(OR(INDEX($B21:$D21,BE$5)="F",AND(BE$6&gt;0,$A21&lt;BE$6),AND(BE$7&gt;0,$A21&gt;BE$7)),0,MAX(0,ROUND((INDEX($E21:$G21,BE$5)-SUMIFS(TF_Timer,TF_Tekniker,BE$4,TF_Dato,$A21))*2,0)/2)))</f>
        <v/>
      </c>
      <c r="BF21">
        <f>IF(OR(BF$4="",$A21&gt;TODAY()),0,IF(OR(INDEX($B21:$D21,BF$5)="F",AND(BF$6&gt;0,$A21&lt;BF$6),AND(BF$7&gt;0,$A21&gt;BF$7)),0,MAX(0,ROUND((INDEX($E21:$G21,BF$5)-SUMIFS(TF_Timer,TF_Tekniker,BF$4,TF_Dato,$A21))*2,0)/2)))</f>
        <v/>
      </c>
      <c r="BG21">
        <f>IF(OR(BG$4="",$A21&gt;TODAY()),0,IF(OR(INDEX($B21:$D21,BG$5)="F",AND(BG$6&gt;0,$A21&lt;BG$6),AND(BG$7&gt;0,$A21&gt;BG$7)),0,MAX(0,ROUND((INDEX($E21:$G21,BG$5)-SUMIFS(TF_Timer,TF_Tekniker,BG$4,TF_Dato,$A21))*2,0)/2)))</f>
        <v/>
      </c>
      <c r="BH21">
        <f>IF(OR(BH$4="",$A21&gt;TODAY()),0,IF(OR(INDEX($B21:$D21,BH$5)="F",AND(BH$6&gt;0,$A21&lt;BH$6),AND(BH$7&gt;0,$A21&gt;BH$7)),0,MAX(0,ROUND((INDEX($E21:$G21,BH$5)-SUMIFS(TF_Timer,TF_Tekniker,BH$4,TF_Dato,$A21))*2,0)/2)))</f>
        <v/>
      </c>
      <c r="BI21">
        <f>IF(OR(BI$4="",$A21&gt;TODAY()),0,IF(OR(INDEX($B21:$D21,BI$5)="F",AND(BI$6&gt;0,$A21&lt;BI$6),AND(BI$7&gt;0,$A21&gt;BI$7)),0,MAX(0,ROUND((INDEX($E21:$G21,BI$5)-SUMIFS(TF_Timer,TF_Tekniker,BI$4,TF_Dato,$A21))*2,0)/2)))</f>
        <v/>
      </c>
    </row>
    <row r="22">
      <c r="A22" s="64">
        <f>A21+1</f>
        <v/>
      </c>
      <c r="B22">
        <f>IF(MOD($A22-INDEX(SkiftStart,1),Syklus)&lt;DagK,"K",IF(MOD($A22-INDEX(SkiftStart,1),Syklus)&lt;DagK+DagH,"H",IF(MOD($A22-INDEX(SkiftStart,1),Syklus)&lt;DagK+DagH+DagD,"D","F")))</f>
        <v/>
      </c>
      <c r="C22">
        <f>IF(MOD($A22-INDEX(SkiftStart,2),Syklus)&lt;DagK,"K",IF(MOD($A22-INDEX(SkiftStart,2),Syklus)&lt;DagK+DagH,"H",IF(MOD($A22-INDEX(SkiftStart,2),Syklus)&lt;DagK+DagH+DagD,"D","F")))</f>
        <v/>
      </c>
      <c r="D22">
        <f>IF(MOD($A22-INDEX(SkiftStart,3),Syklus)&lt;DagK,"K",IF(MOD($A22-INDEX(SkiftStart,3),Syklus)&lt;DagK+DagH,"H",IF(MOD($A22-INDEX(SkiftStart,3),Syklus)&lt;DagK+DagH+DagD,"D","F")))</f>
        <v/>
      </c>
      <c r="E22">
        <f>IF(B22="F",0,IF(WEEKDAY($A22,2)=5,INDEX(TimerFr,MATCH(B22,FaseKode,0)),INDEX(TimerMT,MATCH(B22,FaseKode,0))))</f>
        <v/>
      </c>
      <c r="F22">
        <f>IF(C22="F",0,IF(WEEKDAY($A22,2)=5,INDEX(TimerFr,MATCH(C22,FaseKode,0)),INDEX(TimerMT,MATCH(C22,FaseKode,0))))</f>
        <v/>
      </c>
      <c r="G22">
        <f>IF(D22="F",0,IF(WEEKDAY($A22,2)=5,INDEX(TimerFr,MATCH(D22,FaseKode,0)),INDEX(TimerMT,MATCH(D22,FaseKode,0))))</f>
        <v/>
      </c>
      <c r="H22">
        <f>IF(OR(H$4="",$A22&gt;TODAY()),0,IF(OR(INDEX($B22:$D22,H$5)="F",AND(H$6&gt;0,$A22&lt;H$6),AND(H$7&gt;0,$A22&gt;H$7)),0,MAX(0,ROUND((INDEX($E22:$G22,H$5)-SUMIFS(TF_Timer,TF_Tekniker,H$4,TF_Dato,$A22))*2,0)/2)))</f>
        <v/>
      </c>
      <c r="I22">
        <f>IF(OR(I$4="",$A22&gt;TODAY()),0,IF(OR(INDEX($B22:$D22,I$5)="F",AND(I$6&gt;0,$A22&lt;I$6),AND(I$7&gt;0,$A22&gt;I$7)),0,MAX(0,ROUND((INDEX($E22:$G22,I$5)-SUMIFS(TF_Timer,TF_Tekniker,I$4,TF_Dato,$A22))*2,0)/2)))</f>
        <v/>
      </c>
      <c r="J22">
        <f>IF(OR(J$4="",$A22&gt;TODAY()),0,IF(OR(INDEX($B22:$D22,J$5)="F",AND(J$6&gt;0,$A22&lt;J$6),AND(J$7&gt;0,$A22&gt;J$7)),0,MAX(0,ROUND((INDEX($E22:$G22,J$5)-SUMIFS(TF_Timer,TF_Tekniker,J$4,TF_Dato,$A22))*2,0)/2)))</f>
        <v/>
      </c>
      <c r="K22">
        <f>IF(OR(K$4="",$A22&gt;TODAY()),0,IF(OR(INDEX($B22:$D22,K$5)="F",AND(K$6&gt;0,$A22&lt;K$6),AND(K$7&gt;0,$A22&gt;K$7)),0,MAX(0,ROUND((INDEX($E22:$G22,K$5)-SUMIFS(TF_Timer,TF_Tekniker,K$4,TF_Dato,$A22))*2,0)/2)))</f>
        <v/>
      </c>
      <c r="L22">
        <f>IF(OR(L$4="",$A22&gt;TODAY()),0,IF(OR(INDEX($B22:$D22,L$5)="F",AND(L$6&gt;0,$A22&lt;L$6),AND(L$7&gt;0,$A22&gt;L$7)),0,MAX(0,ROUND((INDEX($E22:$G22,L$5)-SUMIFS(TF_Timer,TF_Tekniker,L$4,TF_Dato,$A22))*2,0)/2)))</f>
        <v/>
      </c>
      <c r="M22">
        <f>IF(OR(M$4="",$A22&gt;TODAY()),0,IF(OR(INDEX($B22:$D22,M$5)="F",AND(M$6&gt;0,$A22&lt;M$6),AND(M$7&gt;0,$A22&gt;M$7)),0,MAX(0,ROUND((INDEX($E22:$G22,M$5)-SUMIFS(TF_Timer,TF_Tekniker,M$4,TF_Dato,$A22))*2,0)/2)))</f>
        <v/>
      </c>
      <c r="N22">
        <f>IF(OR(N$4="",$A22&gt;TODAY()),0,IF(OR(INDEX($B22:$D22,N$5)="F",AND(N$6&gt;0,$A22&lt;N$6),AND(N$7&gt;0,$A22&gt;N$7)),0,MAX(0,ROUND((INDEX($E22:$G22,N$5)-SUMIFS(TF_Timer,TF_Tekniker,N$4,TF_Dato,$A22))*2,0)/2)))</f>
        <v/>
      </c>
      <c r="O22">
        <f>IF(OR(O$4="",$A22&gt;TODAY()),0,IF(OR(INDEX($B22:$D22,O$5)="F",AND(O$6&gt;0,$A22&lt;O$6),AND(O$7&gt;0,$A22&gt;O$7)),0,MAX(0,ROUND((INDEX($E22:$G22,O$5)-SUMIFS(TF_Timer,TF_Tekniker,O$4,TF_Dato,$A22))*2,0)/2)))</f>
        <v/>
      </c>
      <c r="P22">
        <f>IF(OR(P$4="",$A22&gt;TODAY()),0,IF(OR(INDEX($B22:$D22,P$5)="F",AND(P$6&gt;0,$A22&lt;P$6),AND(P$7&gt;0,$A22&gt;P$7)),0,MAX(0,ROUND((INDEX($E22:$G22,P$5)-SUMIFS(TF_Timer,TF_Tekniker,P$4,TF_Dato,$A22))*2,0)/2)))</f>
        <v/>
      </c>
      <c r="Q22">
        <f>IF(OR(Q$4="",$A22&gt;TODAY()),0,IF(OR(INDEX($B22:$D22,Q$5)="F",AND(Q$6&gt;0,$A22&lt;Q$6),AND(Q$7&gt;0,$A22&gt;Q$7)),0,MAX(0,ROUND((INDEX($E22:$G22,Q$5)-SUMIFS(TF_Timer,TF_Tekniker,Q$4,TF_Dato,$A22))*2,0)/2)))</f>
        <v/>
      </c>
      <c r="R22">
        <f>IF(OR(R$4="",$A22&gt;TODAY()),0,IF(OR(INDEX($B22:$D22,R$5)="F",AND(R$6&gt;0,$A22&lt;R$6),AND(R$7&gt;0,$A22&gt;R$7)),0,MAX(0,ROUND((INDEX($E22:$G22,R$5)-SUMIFS(TF_Timer,TF_Tekniker,R$4,TF_Dato,$A22))*2,0)/2)))</f>
        <v/>
      </c>
      <c r="S22">
        <f>IF(OR(S$4="",$A22&gt;TODAY()),0,IF(OR(INDEX($B22:$D22,S$5)="F",AND(S$6&gt;0,$A22&lt;S$6),AND(S$7&gt;0,$A22&gt;S$7)),0,MAX(0,ROUND((INDEX($E22:$G22,S$5)-SUMIFS(TF_Timer,TF_Tekniker,S$4,TF_Dato,$A22))*2,0)/2)))</f>
        <v/>
      </c>
      <c r="T22">
        <f>IF(OR(T$4="",$A22&gt;TODAY()),0,IF(OR(INDEX($B22:$D22,T$5)="F",AND(T$6&gt;0,$A22&lt;T$6),AND(T$7&gt;0,$A22&gt;T$7)),0,MAX(0,ROUND((INDEX($E22:$G22,T$5)-SUMIFS(TF_Timer,TF_Tekniker,T$4,TF_Dato,$A22))*2,0)/2)))</f>
        <v/>
      </c>
      <c r="U22">
        <f>IF(OR(U$4="",$A22&gt;TODAY()),0,IF(OR(INDEX($B22:$D22,U$5)="F",AND(U$6&gt;0,$A22&lt;U$6),AND(U$7&gt;0,$A22&gt;U$7)),0,MAX(0,ROUND((INDEX($E22:$G22,U$5)-SUMIFS(TF_Timer,TF_Tekniker,U$4,TF_Dato,$A22))*2,0)/2)))</f>
        <v/>
      </c>
      <c r="V22">
        <f>IF(OR(V$4="",$A22&gt;TODAY()),0,IF(OR(INDEX($B22:$D22,V$5)="F",AND(V$6&gt;0,$A22&lt;V$6),AND(V$7&gt;0,$A22&gt;V$7)),0,MAX(0,ROUND((INDEX($E22:$G22,V$5)-SUMIFS(TF_Timer,TF_Tekniker,V$4,TF_Dato,$A22))*2,0)/2)))</f>
        <v/>
      </c>
      <c r="W22">
        <f>IF(OR(W$4="",$A22&gt;TODAY()),0,IF(OR(INDEX($B22:$D22,W$5)="F",AND(W$6&gt;0,$A22&lt;W$6),AND(W$7&gt;0,$A22&gt;W$7)),0,MAX(0,ROUND((INDEX($E22:$G22,W$5)-SUMIFS(TF_Timer,TF_Tekniker,W$4,TF_Dato,$A22))*2,0)/2)))</f>
        <v/>
      </c>
      <c r="X22">
        <f>IF(OR(X$4="",$A22&gt;TODAY()),0,IF(OR(INDEX($B22:$D22,X$5)="F",AND(X$6&gt;0,$A22&lt;X$6),AND(X$7&gt;0,$A22&gt;X$7)),0,MAX(0,ROUND((INDEX($E22:$G22,X$5)-SUMIFS(TF_Timer,TF_Tekniker,X$4,TF_Dato,$A22))*2,0)/2)))</f>
        <v/>
      </c>
      <c r="Y22">
        <f>IF(OR(Y$4="",$A22&gt;TODAY()),0,IF(OR(INDEX($B22:$D22,Y$5)="F",AND(Y$6&gt;0,$A22&lt;Y$6),AND(Y$7&gt;0,$A22&gt;Y$7)),0,MAX(0,ROUND((INDEX($E22:$G22,Y$5)-SUMIFS(TF_Timer,TF_Tekniker,Y$4,TF_Dato,$A22))*2,0)/2)))</f>
        <v/>
      </c>
      <c r="Z22">
        <f>IF(OR(Z$4="",$A22&gt;TODAY()),0,IF(OR(INDEX($B22:$D22,Z$5)="F",AND(Z$6&gt;0,$A22&lt;Z$6),AND(Z$7&gt;0,$A22&gt;Z$7)),0,MAX(0,ROUND((INDEX($E22:$G22,Z$5)-SUMIFS(TF_Timer,TF_Tekniker,Z$4,TF_Dato,$A22))*2,0)/2)))</f>
        <v/>
      </c>
      <c r="AA22">
        <f>IF(OR(AA$4="",$A22&gt;TODAY()),0,IF(OR(INDEX($B22:$D22,AA$5)="F",AND(AA$6&gt;0,$A22&lt;AA$6),AND(AA$7&gt;0,$A22&gt;AA$7)),0,MAX(0,ROUND((INDEX($E22:$G22,AA$5)-SUMIFS(TF_Timer,TF_Tekniker,AA$4,TF_Dato,$A22))*2,0)/2)))</f>
        <v/>
      </c>
      <c r="AB22">
        <f>IF(OR(AB$4="",$A22&gt;TODAY()),0,IF(OR(INDEX($B22:$D22,AB$5)="F",AND(AB$6&gt;0,$A22&lt;AB$6),AND(AB$7&gt;0,$A22&gt;AB$7)),0,MAX(0,ROUND((INDEX($E22:$G22,AB$5)-SUMIFS(TF_Timer,TF_Tekniker,AB$4,TF_Dato,$A22))*2,0)/2)))</f>
        <v/>
      </c>
      <c r="AC22">
        <f>IF(OR(AC$4="",$A22&gt;TODAY()),0,IF(OR(INDEX($B22:$D22,AC$5)="F",AND(AC$6&gt;0,$A22&lt;AC$6),AND(AC$7&gt;0,$A22&gt;AC$7)),0,MAX(0,ROUND((INDEX($E22:$G22,AC$5)-SUMIFS(TF_Timer,TF_Tekniker,AC$4,TF_Dato,$A22))*2,0)/2)))</f>
        <v/>
      </c>
      <c r="AD22">
        <f>IF(OR(AD$4="",$A22&gt;TODAY()),0,IF(OR(INDEX($B22:$D22,AD$5)="F",AND(AD$6&gt;0,$A22&lt;AD$6),AND(AD$7&gt;0,$A22&gt;AD$7)),0,MAX(0,ROUND((INDEX($E22:$G22,AD$5)-SUMIFS(TF_Timer,TF_Tekniker,AD$4,TF_Dato,$A22))*2,0)/2)))</f>
        <v/>
      </c>
      <c r="AE22">
        <f>IF(OR(AE$4="",$A22&gt;TODAY()),0,IF(OR(INDEX($B22:$D22,AE$5)="F",AND(AE$6&gt;0,$A22&lt;AE$6),AND(AE$7&gt;0,$A22&gt;AE$7)),0,MAX(0,ROUND((INDEX($E22:$G22,AE$5)-SUMIFS(TF_Timer,TF_Tekniker,AE$4,TF_Dato,$A22))*2,0)/2)))</f>
        <v/>
      </c>
      <c r="AF22">
        <f>IF(OR(AF$4="",$A22&gt;TODAY()),0,IF(OR(INDEX($B22:$D22,AF$5)="F",AND(AF$6&gt;0,$A22&lt;AF$6),AND(AF$7&gt;0,$A22&gt;AF$7)),0,MAX(0,ROUND((INDEX($E22:$G22,AF$5)-SUMIFS(TF_Timer,TF_Tekniker,AF$4,TF_Dato,$A22))*2,0)/2)))</f>
        <v/>
      </c>
      <c r="AG22">
        <f>IF(OR(AG$4="",$A22&gt;TODAY()),0,IF(OR(INDEX($B22:$D22,AG$5)="F",AND(AG$6&gt;0,$A22&lt;AG$6),AND(AG$7&gt;0,$A22&gt;AG$7)),0,MAX(0,ROUND((INDEX($E22:$G22,AG$5)-SUMIFS(TF_Timer,TF_Tekniker,AG$4,TF_Dato,$A22))*2,0)/2)))</f>
        <v/>
      </c>
      <c r="AH22">
        <f>IF(OR(AH$4="",$A22&gt;TODAY()),0,IF(OR(INDEX($B22:$D22,AH$5)="F",AND(AH$6&gt;0,$A22&lt;AH$6),AND(AH$7&gt;0,$A22&gt;AH$7)),0,MAX(0,ROUND((INDEX($E22:$G22,AH$5)-SUMIFS(TF_Timer,TF_Tekniker,AH$4,TF_Dato,$A22))*2,0)/2)))</f>
        <v/>
      </c>
      <c r="AI22">
        <f>IF(OR(AI$4="",$A22&gt;TODAY()),0,IF(OR(INDEX($B22:$D22,AI$5)="F",AND(AI$6&gt;0,$A22&lt;AI$6),AND(AI$7&gt;0,$A22&gt;AI$7)),0,MAX(0,ROUND((INDEX($E22:$G22,AI$5)-SUMIFS(TF_Timer,TF_Tekniker,AI$4,TF_Dato,$A22))*2,0)/2)))</f>
        <v/>
      </c>
      <c r="AJ22">
        <f>IF(OR(AJ$4="",$A22&gt;TODAY()),0,IF(OR(INDEX($B22:$D22,AJ$5)="F",AND(AJ$6&gt;0,$A22&lt;AJ$6),AND(AJ$7&gt;0,$A22&gt;AJ$7)),0,MAX(0,ROUND((INDEX($E22:$G22,AJ$5)-SUMIFS(TF_Timer,TF_Tekniker,AJ$4,TF_Dato,$A22))*2,0)/2)))</f>
        <v/>
      </c>
      <c r="AK22">
        <f>IF(OR(AK$4="",$A22&gt;TODAY()),0,IF(OR(INDEX($B22:$D22,AK$5)="F",AND(AK$6&gt;0,$A22&lt;AK$6),AND(AK$7&gt;0,$A22&gt;AK$7)),0,MAX(0,ROUND((INDEX($E22:$G22,AK$5)-SUMIFS(TF_Timer,TF_Tekniker,AK$4,TF_Dato,$A22))*2,0)/2)))</f>
        <v/>
      </c>
      <c r="AL22">
        <f>IF(OR(AL$4="",$A22&gt;TODAY()),0,IF(OR(INDEX($B22:$D22,AL$5)="F",AND(AL$6&gt;0,$A22&lt;AL$6),AND(AL$7&gt;0,$A22&gt;AL$7)),0,MAX(0,ROUND((INDEX($E22:$G22,AL$5)-SUMIFS(TF_Timer,TF_Tekniker,AL$4,TF_Dato,$A22))*2,0)/2)))</f>
        <v/>
      </c>
      <c r="AM22">
        <f>IF(OR(AM$4="",$A22&gt;TODAY()),0,IF(OR(INDEX($B22:$D22,AM$5)="F",AND(AM$6&gt;0,$A22&lt;AM$6),AND(AM$7&gt;0,$A22&gt;AM$7)),0,MAX(0,ROUND((INDEX($E22:$G22,AM$5)-SUMIFS(TF_Timer,TF_Tekniker,AM$4,TF_Dato,$A22))*2,0)/2)))</f>
        <v/>
      </c>
      <c r="AN22">
        <f>IF(OR(AN$4="",$A22&gt;TODAY()),0,IF(OR(INDEX($B22:$D22,AN$5)="F",AND(AN$6&gt;0,$A22&lt;AN$6),AND(AN$7&gt;0,$A22&gt;AN$7)),0,MAX(0,ROUND((INDEX($E22:$G22,AN$5)-SUMIFS(TF_Timer,TF_Tekniker,AN$4,TF_Dato,$A22))*2,0)/2)))</f>
        <v/>
      </c>
      <c r="AO22">
        <f>IF(OR(AO$4="",$A22&gt;TODAY()),0,IF(OR(INDEX($B22:$D22,AO$5)="F",AND(AO$6&gt;0,$A22&lt;AO$6),AND(AO$7&gt;0,$A22&gt;AO$7)),0,MAX(0,ROUND((INDEX($E22:$G22,AO$5)-SUMIFS(TF_Timer,TF_Tekniker,AO$4,TF_Dato,$A22))*2,0)/2)))</f>
        <v/>
      </c>
      <c r="AP22">
        <f>IF(OR(AP$4="",$A22&gt;TODAY()),0,IF(OR(INDEX($B22:$D22,AP$5)="F",AND(AP$6&gt;0,$A22&lt;AP$6),AND(AP$7&gt;0,$A22&gt;AP$7)),0,MAX(0,ROUND((INDEX($E22:$G22,AP$5)-SUMIFS(TF_Timer,TF_Tekniker,AP$4,TF_Dato,$A22))*2,0)/2)))</f>
        <v/>
      </c>
      <c r="AQ22">
        <f>IF(OR(AQ$4="",$A22&gt;TODAY()),0,IF(OR(INDEX($B22:$D22,AQ$5)="F",AND(AQ$6&gt;0,$A22&lt;AQ$6),AND(AQ$7&gt;0,$A22&gt;AQ$7)),0,MAX(0,ROUND((INDEX($E22:$G22,AQ$5)-SUMIFS(TF_Timer,TF_Tekniker,AQ$4,TF_Dato,$A22))*2,0)/2)))</f>
        <v/>
      </c>
      <c r="AR22">
        <f>IF(OR(AR$4="",$A22&gt;TODAY()),0,IF(OR(INDEX($B22:$D22,AR$5)="F",AND(AR$6&gt;0,$A22&lt;AR$6),AND(AR$7&gt;0,$A22&gt;AR$7)),0,MAX(0,ROUND((INDEX($E22:$G22,AR$5)-SUMIFS(TF_Timer,TF_Tekniker,AR$4,TF_Dato,$A22))*2,0)/2)))</f>
        <v/>
      </c>
      <c r="AS22">
        <f>IF(OR(AS$4="",$A22&gt;TODAY()),0,IF(OR(INDEX($B22:$D22,AS$5)="F",AND(AS$6&gt;0,$A22&lt;AS$6),AND(AS$7&gt;0,$A22&gt;AS$7)),0,MAX(0,ROUND((INDEX($E22:$G22,AS$5)-SUMIFS(TF_Timer,TF_Tekniker,AS$4,TF_Dato,$A22))*2,0)/2)))</f>
        <v/>
      </c>
      <c r="AT22">
        <f>IF(OR(AT$4="",$A22&gt;TODAY()),0,IF(OR(INDEX($B22:$D22,AT$5)="F",AND(AT$6&gt;0,$A22&lt;AT$6),AND(AT$7&gt;0,$A22&gt;AT$7)),0,MAX(0,ROUND((INDEX($E22:$G22,AT$5)-SUMIFS(TF_Timer,TF_Tekniker,AT$4,TF_Dato,$A22))*2,0)/2)))</f>
        <v/>
      </c>
      <c r="AU22">
        <f>IF(OR(AU$4="",$A22&gt;TODAY()),0,IF(OR(INDEX($B22:$D22,AU$5)="F",AND(AU$6&gt;0,$A22&lt;AU$6),AND(AU$7&gt;0,$A22&gt;AU$7)),0,MAX(0,ROUND((INDEX($E22:$G22,AU$5)-SUMIFS(TF_Timer,TF_Tekniker,AU$4,TF_Dato,$A22))*2,0)/2)))</f>
        <v/>
      </c>
      <c r="AV22">
        <f>IF(OR(AV$4="",$A22&gt;TODAY()),0,IF(OR(INDEX($B22:$D22,AV$5)="F",AND(AV$6&gt;0,$A22&lt;AV$6),AND(AV$7&gt;0,$A22&gt;AV$7)),0,MAX(0,ROUND((INDEX($E22:$G22,AV$5)-SUMIFS(TF_Timer,TF_Tekniker,AV$4,TF_Dato,$A22))*2,0)/2)))</f>
        <v/>
      </c>
      <c r="AW22">
        <f>IF(OR(AW$4="",$A22&gt;TODAY()),0,IF(OR(INDEX($B22:$D22,AW$5)="F",AND(AW$6&gt;0,$A22&lt;AW$6),AND(AW$7&gt;0,$A22&gt;AW$7)),0,MAX(0,ROUND((INDEX($E22:$G22,AW$5)-SUMIFS(TF_Timer,TF_Tekniker,AW$4,TF_Dato,$A22))*2,0)/2)))</f>
        <v/>
      </c>
      <c r="AX22">
        <f>IF(OR(AX$4="",$A22&gt;TODAY()),0,IF(OR(INDEX($B22:$D22,AX$5)="F",AND(AX$6&gt;0,$A22&lt;AX$6),AND(AX$7&gt;0,$A22&gt;AX$7)),0,MAX(0,ROUND((INDEX($E22:$G22,AX$5)-SUMIFS(TF_Timer,TF_Tekniker,AX$4,TF_Dato,$A22))*2,0)/2)))</f>
        <v/>
      </c>
      <c r="AY22">
        <f>IF(OR(AY$4="",$A22&gt;TODAY()),0,IF(OR(INDEX($B22:$D22,AY$5)="F",AND(AY$6&gt;0,$A22&lt;AY$6),AND(AY$7&gt;0,$A22&gt;AY$7)),0,MAX(0,ROUND((INDEX($E22:$G22,AY$5)-SUMIFS(TF_Timer,TF_Tekniker,AY$4,TF_Dato,$A22))*2,0)/2)))</f>
        <v/>
      </c>
      <c r="AZ22">
        <f>IF(OR(AZ$4="",$A22&gt;TODAY()),0,IF(OR(INDEX($B22:$D22,AZ$5)="F",AND(AZ$6&gt;0,$A22&lt;AZ$6),AND(AZ$7&gt;0,$A22&gt;AZ$7)),0,MAX(0,ROUND((INDEX($E22:$G22,AZ$5)-SUMIFS(TF_Timer,TF_Tekniker,AZ$4,TF_Dato,$A22))*2,0)/2)))</f>
        <v/>
      </c>
      <c r="BA22">
        <f>IF(OR(BA$4="",$A22&gt;TODAY()),0,IF(OR(INDEX($B22:$D22,BA$5)="F",AND(BA$6&gt;0,$A22&lt;BA$6),AND(BA$7&gt;0,$A22&gt;BA$7)),0,MAX(0,ROUND((INDEX($E22:$G22,BA$5)-SUMIFS(TF_Timer,TF_Tekniker,BA$4,TF_Dato,$A22))*2,0)/2)))</f>
        <v/>
      </c>
      <c r="BB22">
        <f>IF(OR(BB$4="",$A22&gt;TODAY()),0,IF(OR(INDEX($B22:$D22,BB$5)="F",AND(BB$6&gt;0,$A22&lt;BB$6),AND(BB$7&gt;0,$A22&gt;BB$7)),0,MAX(0,ROUND((INDEX($E22:$G22,BB$5)-SUMIFS(TF_Timer,TF_Tekniker,BB$4,TF_Dato,$A22))*2,0)/2)))</f>
        <v/>
      </c>
      <c r="BC22">
        <f>IF(OR(BC$4="",$A22&gt;TODAY()),0,IF(OR(INDEX($B22:$D22,BC$5)="F",AND(BC$6&gt;0,$A22&lt;BC$6),AND(BC$7&gt;0,$A22&gt;BC$7)),0,MAX(0,ROUND((INDEX($E22:$G22,BC$5)-SUMIFS(TF_Timer,TF_Tekniker,BC$4,TF_Dato,$A22))*2,0)/2)))</f>
        <v/>
      </c>
      <c r="BD22">
        <f>IF(OR(BD$4="",$A22&gt;TODAY()),0,IF(OR(INDEX($B22:$D22,BD$5)="F",AND(BD$6&gt;0,$A22&lt;BD$6),AND(BD$7&gt;0,$A22&gt;BD$7)),0,MAX(0,ROUND((INDEX($E22:$G22,BD$5)-SUMIFS(TF_Timer,TF_Tekniker,BD$4,TF_Dato,$A22))*2,0)/2)))</f>
        <v/>
      </c>
      <c r="BE22">
        <f>IF(OR(BE$4="",$A22&gt;TODAY()),0,IF(OR(INDEX($B22:$D22,BE$5)="F",AND(BE$6&gt;0,$A22&lt;BE$6),AND(BE$7&gt;0,$A22&gt;BE$7)),0,MAX(0,ROUND((INDEX($E22:$G22,BE$5)-SUMIFS(TF_Timer,TF_Tekniker,BE$4,TF_Dato,$A22))*2,0)/2)))</f>
        <v/>
      </c>
      <c r="BF22">
        <f>IF(OR(BF$4="",$A22&gt;TODAY()),0,IF(OR(INDEX($B22:$D22,BF$5)="F",AND(BF$6&gt;0,$A22&lt;BF$6),AND(BF$7&gt;0,$A22&gt;BF$7)),0,MAX(0,ROUND((INDEX($E22:$G22,BF$5)-SUMIFS(TF_Timer,TF_Tekniker,BF$4,TF_Dato,$A22))*2,0)/2)))</f>
        <v/>
      </c>
      <c r="BG22">
        <f>IF(OR(BG$4="",$A22&gt;TODAY()),0,IF(OR(INDEX($B22:$D22,BG$5)="F",AND(BG$6&gt;0,$A22&lt;BG$6),AND(BG$7&gt;0,$A22&gt;BG$7)),0,MAX(0,ROUND((INDEX($E22:$G22,BG$5)-SUMIFS(TF_Timer,TF_Tekniker,BG$4,TF_Dato,$A22))*2,0)/2)))</f>
        <v/>
      </c>
      <c r="BH22">
        <f>IF(OR(BH$4="",$A22&gt;TODAY()),0,IF(OR(INDEX($B22:$D22,BH$5)="F",AND(BH$6&gt;0,$A22&lt;BH$6),AND(BH$7&gt;0,$A22&gt;BH$7)),0,MAX(0,ROUND((INDEX($E22:$G22,BH$5)-SUMIFS(TF_Timer,TF_Tekniker,BH$4,TF_Dato,$A22))*2,0)/2)))</f>
        <v/>
      </c>
      <c r="BI22">
        <f>IF(OR(BI$4="",$A22&gt;TODAY()),0,IF(OR(INDEX($B22:$D22,BI$5)="F",AND(BI$6&gt;0,$A22&lt;BI$6),AND(BI$7&gt;0,$A22&gt;BI$7)),0,MAX(0,ROUND((INDEX($E22:$G22,BI$5)-SUMIFS(TF_Timer,TF_Tekniker,BI$4,TF_Dato,$A22))*2,0)/2)))</f>
        <v/>
      </c>
    </row>
    <row r="23">
      <c r="A23" s="64">
        <f>A22+1</f>
        <v/>
      </c>
      <c r="B23">
        <f>IF(MOD($A23-INDEX(SkiftStart,1),Syklus)&lt;DagK,"K",IF(MOD($A23-INDEX(SkiftStart,1),Syklus)&lt;DagK+DagH,"H",IF(MOD($A23-INDEX(SkiftStart,1),Syklus)&lt;DagK+DagH+DagD,"D","F")))</f>
        <v/>
      </c>
      <c r="C23">
        <f>IF(MOD($A23-INDEX(SkiftStart,2),Syklus)&lt;DagK,"K",IF(MOD($A23-INDEX(SkiftStart,2),Syklus)&lt;DagK+DagH,"H",IF(MOD($A23-INDEX(SkiftStart,2),Syklus)&lt;DagK+DagH+DagD,"D","F")))</f>
        <v/>
      </c>
      <c r="D23">
        <f>IF(MOD($A23-INDEX(SkiftStart,3),Syklus)&lt;DagK,"K",IF(MOD($A23-INDEX(SkiftStart,3),Syklus)&lt;DagK+DagH,"H",IF(MOD($A23-INDEX(SkiftStart,3),Syklus)&lt;DagK+DagH+DagD,"D","F")))</f>
        <v/>
      </c>
      <c r="E23">
        <f>IF(B23="F",0,IF(WEEKDAY($A23,2)=5,INDEX(TimerFr,MATCH(B23,FaseKode,0)),INDEX(TimerMT,MATCH(B23,FaseKode,0))))</f>
        <v/>
      </c>
      <c r="F23">
        <f>IF(C23="F",0,IF(WEEKDAY($A23,2)=5,INDEX(TimerFr,MATCH(C23,FaseKode,0)),INDEX(TimerMT,MATCH(C23,FaseKode,0))))</f>
        <v/>
      </c>
      <c r="G23">
        <f>IF(D23="F",0,IF(WEEKDAY($A23,2)=5,INDEX(TimerFr,MATCH(D23,FaseKode,0)),INDEX(TimerMT,MATCH(D23,FaseKode,0))))</f>
        <v/>
      </c>
      <c r="H23">
        <f>IF(OR(H$4="",$A23&gt;TODAY()),0,IF(OR(INDEX($B23:$D23,H$5)="F",AND(H$6&gt;0,$A23&lt;H$6),AND(H$7&gt;0,$A23&gt;H$7)),0,MAX(0,ROUND((INDEX($E23:$G23,H$5)-SUMIFS(TF_Timer,TF_Tekniker,H$4,TF_Dato,$A23))*2,0)/2)))</f>
        <v/>
      </c>
      <c r="I23">
        <f>IF(OR(I$4="",$A23&gt;TODAY()),0,IF(OR(INDEX($B23:$D23,I$5)="F",AND(I$6&gt;0,$A23&lt;I$6),AND(I$7&gt;0,$A23&gt;I$7)),0,MAX(0,ROUND((INDEX($E23:$G23,I$5)-SUMIFS(TF_Timer,TF_Tekniker,I$4,TF_Dato,$A23))*2,0)/2)))</f>
        <v/>
      </c>
      <c r="J23">
        <f>IF(OR(J$4="",$A23&gt;TODAY()),0,IF(OR(INDEX($B23:$D23,J$5)="F",AND(J$6&gt;0,$A23&lt;J$6),AND(J$7&gt;0,$A23&gt;J$7)),0,MAX(0,ROUND((INDEX($E23:$G23,J$5)-SUMIFS(TF_Timer,TF_Tekniker,J$4,TF_Dato,$A23))*2,0)/2)))</f>
        <v/>
      </c>
      <c r="K23">
        <f>IF(OR(K$4="",$A23&gt;TODAY()),0,IF(OR(INDEX($B23:$D23,K$5)="F",AND(K$6&gt;0,$A23&lt;K$6),AND(K$7&gt;0,$A23&gt;K$7)),0,MAX(0,ROUND((INDEX($E23:$G23,K$5)-SUMIFS(TF_Timer,TF_Tekniker,K$4,TF_Dato,$A23))*2,0)/2)))</f>
        <v/>
      </c>
      <c r="L23">
        <f>IF(OR(L$4="",$A23&gt;TODAY()),0,IF(OR(INDEX($B23:$D23,L$5)="F",AND(L$6&gt;0,$A23&lt;L$6),AND(L$7&gt;0,$A23&gt;L$7)),0,MAX(0,ROUND((INDEX($E23:$G23,L$5)-SUMIFS(TF_Timer,TF_Tekniker,L$4,TF_Dato,$A23))*2,0)/2)))</f>
        <v/>
      </c>
      <c r="M23">
        <f>IF(OR(M$4="",$A23&gt;TODAY()),0,IF(OR(INDEX($B23:$D23,M$5)="F",AND(M$6&gt;0,$A23&lt;M$6),AND(M$7&gt;0,$A23&gt;M$7)),0,MAX(0,ROUND((INDEX($E23:$G23,M$5)-SUMIFS(TF_Timer,TF_Tekniker,M$4,TF_Dato,$A23))*2,0)/2)))</f>
        <v/>
      </c>
      <c r="N23">
        <f>IF(OR(N$4="",$A23&gt;TODAY()),0,IF(OR(INDEX($B23:$D23,N$5)="F",AND(N$6&gt;0,$A23&lt;N$6),AND(N$7&gt;0,$A23&gt;N$7)),0,MAX(0,ROUND((INDEX($E23:$G23,N$5)-SUMIFS(TF_Timer,TF_Tekniker,N$4,TF_Dato,$A23))*2,0)/2)))</f>
        <v/>
      </c>
      <c r="O23">
        <f>IF(OR(O$4="",$A23&gt;TODAY()),0,IF(OR(INDEX($B23:$D23,O$5)="F",AND(O$6&gt;0,$A23&lt;O$6),AND(O$7&gt;0,$A23&gt;O$7)),0,MAX(0,ROUND((INDEX($E23:$G23,O$5)-SUMIFS(TF_Timer,TF_Tekniker,O$4,TF_Dato,$A23))*2,0)/2)))</f>
        <v/>
      </c>
      <c r="P23">
        <f>IF(OR(P$4="",$A23&gt;TODAY()),0,IF(OR(INDEX($B23:$D23,P$5)="F",AND(P$6&gt;0,$A23&lt;P$6),AND(P$7&gt;0,$A23&gt;P$7)),0,MAX(0,ROUND((INDEX($E23:$G23,P$5)-SUMIFS(TF_Timer,TF_Tekniker,P$4,TF_Dato,$A23))*2,0)/2)))</f>
        <v/>
      </c>
      <c r="Q23">
        <f>IF(OR(Q$4="",$A23&gt;TODAY()),0,IF(OR(INDEX($B23:$D23,Q$5)="F",AND(Q$6&gt;0,$A23&lt;Q$6),AND(Q$7&gt;0,$A23&gt;Q$7)),0,MAX(0,ROUND((INDEX($E23:$G23,Q$5)-SUMIFS(TF_Timer,TF_Tekniker,Q$4,TF_Dato,$A23))*2,0)/2)))</f>
        <v/>
      </c>
      <c r="R23">
        <f>IF(OR(R$4="",$A23&gt;TODAY()),0,IF(OR(INDEX($B23:$D23,R$5)="F",AND(R$6&gt;0,$A23&lt;R$6),AND(R$7&gt;0,$A23&gt;R$7)),0,MAX(0,ROUND((INDEX($E23:$G23,R$5)-SUMIFS(TF_Timer,TF_Tekniker,R$4,TF_Dato,$A23))*2,0)/2)))</f>
        <v/>
      </c>
      <c r="S23">
        <f>IF(OR(S$4="",$A23&gt;TODAY()),0,IF(OR(INDEX($B23:$D23,S$5)="F",AND(S$6&gt;0,$A23&lt;S$6),AND(S$7&gt;0,$A23&gt;S$7)),0,MAX(0,ROUND((INDEX($E23:$G23,S$5)-SUMIFS(TF_Timer,TF_Tekniker,S$4,TF_Dato,$A23))*2,0)/2)))</f>
        <v/>
      </c>
      <c r="T23">
        <f>IF(OR(T$4="",$A23&gt;TODAY()),0,IF(OR(INDEX($B23:$D23,T$5)="F",AND(T$6&gt;0,$A23&lt;T$6),AND(T$7&gt;0,$A23&gt;T$7)),0,MAX(0,ROUND((INDEX($E23:$G23,T$5)-SUMIFS(TF_Timer,TF_Tekniker,T$4,TF_Dato,$A23))*2,0)/2)))</f>
        <v/>
      </c>
      <c r="U23">
        <f>IF(OR(U$4="",$A23&gt;TODAY()),0,IF(OR(INDEX($B23:$D23,U$5)="F",AND(U$6&gt;0,$A23&lt;U$6),AND(U$7&gt;0,$A23&gt;U$7)),0,MAX(0,ROUND((INDEX($E23:$G23,U$5)-SUMIFS(TF_Timer,TF_Tekniker,U$4,TF_Dato,$A23))*2,0)/2)))</f>
        <v/>
      </c>
      <c r="V23">
        <f>IF(OR(V$4="",$A23&gt;TODAY()),0,IF(OR(INDEX($B23:$D23,V$5)="F",AND(V$6&gt;0,$A23&lt;V$6),AND(V$7&gt;0,$A23&gt;V$7)),0,MAX(0,ROUND((INDEX($E23:$G23,V$5)-SUMIFS(TF_Timer,TF_Tekniker,V$4,TF_Dato,$A23))*2,0)/2)))</f>
        <v/>
      </c>
      <c r="W23">
        <f>IF(OR(W$4="",$A23&gt;TODAY()),0,IF(OR(INDEX($B23:$D23,W$5)="F",AND(W$6&gt;0,$A23&lt;W$6),AND(W$7&gt;0,$A23&gt;W$7)),0,MAX(0,ROUND((INDEX($E23:$G23,W$5)-SUMIFS(TF_Timer,TF_Tekniker,W$4,TF_Dato,$A23))*2,0)/2)))</f>
        <v/>
      </c>
      <c r="X23">
        <f>IF(OR(X$4="",$A23&gt;TODAY()),0,IF(OR(INDEX($B23:$D23,X$5)="F",AND(X$6&gt;0,$A23&lt;X$6),AND(X$7&gt;0,$A23&gt;X$7)),0,MAX(0,ROUND((INDEX($E23:$G23,X$5)-SUMIFS(TF_Timer,TF_Tekniker,X$4,TF_Dato,$A23))*2,0)/2)))</f>
        <v/>
      </c>
      <c r="Y23">
        <f>IF(OR(Y$4="",$A23&gt;TODAY()),0,IF(OR(INDEX($B23:$D23,Y$5)="F",AND(Y$6&gt;0,$A23&lt;Y$6),AND(Y$7&gt;0,$A23&gt;Y$7)),0,MAX(0,ROUND((INDEX($E23:$G23,Y$5)-SUMIFS(TF_Timer,TF_Tekniker,Y$4,TF_Dato,$A23))*2,0)/2)))</f>
        <v/>
      </c>
      <c r="Z23">
        <f>IF(OR(Z$4="",$A23&gt;TODAY()),0,IF(OR(INDEX($B23:$D23,Z$5)="F",AND(Z$6&gt;0,$A23&lt;Z$6),AND(Z$7&gt;0,$A23&gt;Z$7)),0,MAX(0,ROUND((INDEX($E23:$G23,Z$5)-SUMIFS(TF_Timer,TF_Tekniker,Z$4,TF_Dato,$A23))*2,0)/2)))</f>
        <v/>
      </c>
      <c r="AA23">
        <f>IF(OR(AA$4="",$A23&gt;TODAY()),0,IF(OR(INDEX($B23:$D23,AA$5)="F",AND(AA$6&gt;0,$A23&lt;AA$6),AND(AA$7&gt;0,$A23&gt;AA$7)),0,MAX(0,ROUND((INDEX($E23:$G23,AA$5)-SUMIFS(TF_Timer,TF_Tekniker,AA$4,TF_Dato,$A23))*2,0)/2)))</f>
        <v/>
      </c>
      <c r="AB23">
        <f>IF(OR(AB$4="",$A23&gt;TODAY()),0,IF(OR(INDEX($B23:$D23,AB$5)="F",AND(AB$6&gt;0,$A23&lt;AB$6),AND(AB$7&gt;0,$A23&gt;AB$7)),0,MAX(0,ROUND((INDEX($E23:$G23,AB$5)-SUMIFS(TF_Timer,TF_Tekniker,AB$4,TF_Dato,$A23))*2,0)/2)))</f>
        <v/>
      </c>
      <c r="AC23">
        <f>IF(OR(AC$4="",$A23&gt;TODAY()),0,IF(OR(INDEX($B23:$D23,AC$5)="F",AND(AC$6&gt;0,$A23&lt;AC$6),AND(AC$7&gt;0,$A23&gt;AC$7)),0,MAX(0,ROUND((INDEX($E23:$G23,AC$5)-SUMIFS(TF_Timer,TF_Tekniker,AC$4,TF_Dato,$A23))*2,0)/2)))</f>
        <v/>
      </c>
      <c r="AD23">
        <f>IF(OR(AD$4="",$A23&gt;TODAY()),0,IF(OR(INDEX($B23:$D23,AD$5)="F",AND(AD$6&gt;0,$A23&lt;AD$6),AND(AD$7&gt;0,$A23&gt;AD$7)),0,MAX(0,ROUND((INDEX($E23:$G23,AD$5)-SUMIFS(TF_Timer,TF_Tekniker,AD$4,TF_Dato,$A23))*2,0)/2)))</f>
        <v/>
      </c>
      <c r="AE23">
        <f>IF(OR(AE$4="",$A23&gt;TODAY()),0,IF(OR(INDEX($B23:$D23,AE$5)="F",AND(AE$6&gt;0,$A23&lt;AE$6),AND(AE$7&gt;0,$A23&gt;AE$7)),0,MAX(0,ROUND((INDEX($E23:$G23,AE$5)-SUMIFS(TF_Timer,TF_Tekniker,AE$4,TF_Dato,$A23))*2,0)/2)))</f>
        <v/>
      </c>
      <c r="AF23">
        <f>IF(OR(AF$4="",$A23&gt;TODAY()),0,IF(OR(INDEX($B23:$D23,AF$5)="F",AND(AF$6&gt;0,$A23&lt;AF$6),AND(AF$7&gt;0,$A23&gt;AF$7)),0,MAX(0,ROUND((INDEX($E23:$G23,AF$5)-SUMIFS(TF_Timer,TF_Tekniker,AF$4,TF_Dato,$A23))*2,0)/2)))</f>
        <v/>
      </c>
      <c r="AG23">
        <f>IF(OR(AG$4="",$A23&gt;TODAY()),0,IF(OR(INDEX($B23:$D23,AG$5)="F",AND(AG$6&gt;0,$A23&lt;AG$6),AND(AG$7&gt;0,$A23&gt;AG$7)),0,MAX(0,ROUND((INDEX($E23:$G23,AG$5)-SUMIFS(TF_Timer,TF_Tekniker,AG$4,TF_Dato,$A23))*2,0)/2)))</f>
        <v/>
      </c>
      <c r="AH23">
        <f>IF(OR(AH$4="",$A23&gt;TODAY()),0,IF(OR(INDEX($B23:$D23,AH$5)="F",AND(AH$6&gt;0,$A23&lt;AH$6),AND(AH$7&gt;0,$A23&gt;AH$7)),0,MAX(0,ROUND((INDEX($E23:$G23,AH$5)-SUMIFS(TF_Timer,TF_Tekniker,AH$4,TF_Dato,$A23))*2,0)/2)))</f>
        <v/>
      </c>
      <c r="AI23">
        <f>IF(OR(AI$4="",$A23&gt;TODAY()),0,IF(OR(INDEX($B23:$D23,AI$5)="F",AND(AI$6&gt;0,$A23&lt;AI$6),AND(AI$7&gt;0,$A23&gt;AI$7)),0,MAX(0,ROUND((INDEX($E23:$G23,AI$5)-SUMIFS(TF_Timer,TF_Tekniker,AI$4,TF_Dato,$A23))*2,0)/2)))</f>
        <v/>
      </c>
      <c r="AJ23">
        <f>IF(OR(AJ$4="",$A23&gt;TODAY()),0,IF(OR(INDEX($B23:$D23,AJ$5)="F",AND(AJ$6&gt;0,$A23&lt;AJ$6),AND(AJ$7&gt;0,$A23&gt;AJ$7)),0,MAX(0,ROUND((INDEX($E23:$G23,AJ$5)-SUMIFS(TF_Timer,TF_Tekniker,AJ$4,TF_Dato,$A23))*2,0)/2)))</f>
        <v/>
      </c>
      <c r="AK23">
        <f>IF(OR(AK$4="",$A23&gt;TODAY()),0,IF(OR(INDEX($B23:$D23,AK$5)="F",AND(AK$6&gt;0,$A23&lt;AK$6),AND(AK$7&gt;0,$A23&gt;AK$7)),0,MAX(0,ROUND((INDEX($E23:$G23,AK$5)-SUMIFS(TF_Timer,TF_Tekniker,AK$4,TF_Dato,$A23))*2,0)/2)))</f>
        <v/>
      </c>
      <c r="AL23">
        <f>IF(OR(AL$4="",$A23&gt;TODAY()),0,IF(OR(INDEX($B23:$D23,AL$5)="F",AND(AL$6&gt;0,$A23&lt;AL$6),AND(AL$7&gt;0,$A23&gt;AL$7)),0,MAX(0,ROUND((INDEX($E23:$G23,AL$5)-SUMIFS(TF_Timer,TF_Tekniker,AL$4,TF_Dato,$A23))*2,0)/2)))</f>
        <v/>
      </c>
      <c r="AM23">
        <f>IF(OR(AM$4="",$A23&gt;TODAY()),0,IF(OR(INDEX($B23:$D23,AM$5)="F",AND(AM$6&gt;0,$A23&lt;AM$6),AND(AM$7&gt;0,$A23&gt;AM$7)),0,MAX(0,ROUND((INDEX($E23:$G23,AM$5)-SUMIFS(TF_Timer,TF_Tekniker,AM$4,TF_Dato,$A23))*2,0)/2)))</f>
        <v/>
      </c>
      <c r="AN23">
        <f>IF(OR(AN$4="",$A23&gt;TODAY()),0,IF(OR(INDEX($B23:$D23,AN$5)="F",AND(AN$6&gt;0,$A23&lt;AN$6),AND(AN$7&gt;0,$A23&gt;AN$7)),0,MAX(0,ROUND((INDEX($E23:$G23,AN$5)-SUMIFS(TF_Timer,TF_Tekniker,AN$4,TF_Dato,$A23))*2,0)/2)))</f>
        <v/>
      </c>
      <c r="AO23">
        <f>IF(OR(AO$4="",$A23&gt;TODAY()),0,IF(OR(INDEX($B23:$D23,AO$5)="F",AND(AO$6&gt;0,$A23&lt;AO$6),AND(AO$7&gt;0,$A23&gt;AO$7)),0,MAX(0,ROUND((INDEX($E23:$G23,AO$5)-SUMIFS(TF_Timer,TF_Tekniker,AO$4,TF_Dato,$A23))*2,0)/2)))</f>
        <v/>
      </c>
      <c r="AP23">
        <f>IF(OR(AP$4="",$A23&gt;TODAY()),0,IF(OR(INDEX($B23:$D23,AP$5)="F",AND(AP$6&gt;0,$A23&lt;AP$6),AND(AP$7&gt;0,$A23&gt;AP$7)),0,MAX(0,ROUND((INDEX($E23:$G23,AP$5)-SUMIFS(TF_Timer,TF_Tekniker,AP$4,TF_Dato,$A23))*2,0)/2)))</f>
        <v/>
      </c>
      <c r="AQ23">
        <f>IF(OR(AQ$4="",$A23&gt;TODAY()),0,IF(OR(INDEX($B23:$D23,AQ$5)="F",AND(AQ$6&gt;0,$A23&lt;AQ$6),AND(AQ$7&gt;0,$A23&gt;AQ$7)),0,MAX(0,ROUND((INDEX($E23:$G23,AQ$5)-SUMIFS(TF_Timer,TF_Tekniker,AQ$4,TF_Dato,$A23))*2,0)/2)))</f>
        <v/>
      </c>
      <c r="AR23">
        <f>IF(OR(AR$4="",$A23&gt;TODAY()),0,IF(OR(INDEX($B23:$D23,AR$5)="F",AND(AR$6&gt;0,$A23&lt;AR$6),AND(AR$7&gt;0,$A23&gt;AR$7)),0,MAX(0,ROUND((INDEX($E23:$G23,AR$5)-SUMIFS(TF_Timer,TF_Tekniker,AR$4,TF_Dato,$A23))*2,0)/2)))</f>
        <v/>
      </c>
      <c r="AS23">
        <f>IF(OR(AS$4="",$A23&gt;TODAY()),0,IF(OR(INDEX($B23:$D23,AS$5)="F",AND(AS$6&gt;0,$A23&lt;AS$6),AND(AS$7&gt;0,$A23&gt;AS$7)),0,MAX(0,ROUND((INDEX($E23:$G23,AS$5)-SUMIFS(TF_Timer,TF_Tekniker,AS$4,TF_Dato,$A23))*2,0)/2)))</f>
        <v/>
      </c>
      <c r="AT23">
        <f>IF(OR(AT$4="",$A23&gt;TODAY()),0,IF(OR(INDEX($B23:$D23,AT$5)="F",AND(AT$6&gt;0,$A23&lt;AT$6),AND(AT$7&gt;0,$A23&gt;AT$7)),0,MAX(0,ROUND((INDEX($E23:$G23,AT$5)-SUMIFS(TF_Timer,TF_Tekniker,AT$4,TF_Dato,$A23))*2,0)/2)))</f>
        <v/>
      </c>
      <c r="AU23">
        <f>IF(OR(AU$4="",$A23&gt;TODAY()),0,IF(OR(INDEX($B23:$D23,AU$5)="F",AND(AU$6&gt;0,$A23&lt;AU$6),AND(AU$7&gt;0,$A23&gt;AU$7)),0,MAX(0,ROUND((INDEX($E23:$G23,AU$5)-SUMIFS(TF_Timer,TF_Tekniker,AU$4,TF_Dato,$A23))*2,0)/2)))</f>
        <v/>
      </c>
      <c r="AV23">
        <f>IF(OR(AV$4="",$A23&gt;TODAY()),0,IF(OR(INDEX($B23:$D23,AV$5)="F",AND(AV$6&gt;0,$A23&lt;AV$6),AND(AV$7&gt;0,$A23&gt;AV$7)),0,MAX(0,ROUND((INDEX($E23:$G23,AV$5)-SUMIFS(TF_Timer,TF_Tekniker,AV$4,TF_Dato,$A23))*2,0)/2)))</f>
        <v/>
      </c>
      <c r="AW23">
        <f>IF(OR(AW$4="",$A23&gt;TODAY()),0,IF(OR(INDEX($B23:$D23,AW$5)="F",AND(AW$6&gt;0,$A23&lt;AW$6),AND(AW$7&gt;0,$A23&gt;AW$7)),0,MAX(0,ROUND((INDEX($E23:$G23,AW$5)-SUMIFS(TF_Timer,TF_Tekniker,AW$4,TF_Dato,$A23))*2,0)/2)))</f>
        <v/>
      </c>
      <c r="AX23">
        <f>IF(OR(AX$4="",$A23&gt;TODAY()),0,IF(OR(INDEX($B23:$D23,AX$5)="F",AND(AX$6&gt;0,$A23&lt;AX$6),AND(AX$7&gt;0,$A23&gt;AX$7)),0,MAX(0,ROUND((INDEX($E23:$G23,AX$5)-SUMIFS(TF_Timer,TF_Tekniker,AX$4,TF_Dato,$A23))*2,0)/2)))</f>
        <v/>
      </c>
      <c r="AY23">
        <f>IF(OR(AY$4="",$A23&gt;TODAY()),0,IF(OR(INDEX($B23:$D23,AY$5)="F",AND(AY$6&gt;0,$A23&lt;AY$6),AND(AY$7&gt;0,$A23&gt;AY$7)),0,MAX(0,ROUND((INDEX($E23:$G23,AY$5)-SUMIFS(TF_Timer,TF_Tekniker,AY$4,TF_Dato,$A23))*2,0)/2)))</f>
        <v/>
      </c>
      <c r="AZ23">
        <f>IF(OR(AZ$4="",$A23&gt;TODAY()),0,IF(OR(INDEX($B23:$D23,AZ$5)="F",AND(AZ$6&gt;0,$A23&lt;AZ$6),AND(AZ$7&gt;0,$A23&gt;AZ$7)),0,MAX(0,ROUND((INDEX($E23:$G23,AZ$5)-SUMIFS(TF_Timer,TF_Tekniker,AZ$4,TF_Dato,$A23))*2,0)/2)))</f>
        <v/>
      </c>
      <c r="BA23">
        <f>IF(OR(BA$4="",$A23&gt;TODAY()),0,IF(OR(INDEX($B23:$D23,BA$5)="F",AND(BA$6&gt;0,$A23&lt;BA$6),AND(BA$7&gt;0,$A23&gt;BA$7)),0,MAX(0,ROUND((INDEX($E23:$G23,BA$5)-SUMIFS(TF_Timer,TF_Tekniker,BA$4,TF_Dato,$A23))*2,0)/2)))</f>
        <v/>
      </c>
      <c r="BB23">
        <f>IF(OR(BB$4="",$A23&gt;TODAY()),0,IF(OR(INDEX($B23:$D23,BB$5)="F",AND(BB$6&gt;0,$A23&lt;BB$6),AND(BB$7&gt;0,$A23&gt;BB$7)),0,MAX(0,ROUND((INDEX($E23:$G23,BB$5)-SUMIFS(TF_Timer,TF_Tekniker,BB$4,TF_Dato,$A23))*2,0)/2)))</f>
        <v/>
      </c>
      <c r="BC23">
        <f>IF(OR(BC$4="",$A23&gt;TODAY()),0,IF(OR(INDEX($B23:$D23,BC$5)="F",AND(BC$6&gt;0,$A23&lt;BC$6),AND(BC$7&gt;0,$A23&gt;BC$7)),0,MAX(0,ROUND((INDEX($E23:$G23,BC$5)-SUMIFS(TF_Timer,TF_Tekniker,BC$4,TF_Dato,$A23))*2,0)/2)))</f>
        <v/>
      </c>
      <c r="BD23">
        <f>IF(OR(BD$4="",$A23&gt;TODAY()),0,IF(OR(INDEX($B23:$D23,BD$5)="F",AND(BD$6&gt;0,$A23&lt;BD$6),AND(BD$7&gt;0,$A23&gt;BD$7)),0,MAX(0,ROUND((INDEX($E23:$G23,BD$5)-SUMIFS(TF_Timer,TF_Tekniker,BD$4,TF_Dato,$A23))*2,0)/2)))</f>
        <v/>
      </c>
      <c r="BE23">
        <f>IF(OR(BE$4="",$A23&gt;TODAY()),0,IF(OR(INDEX($B23:$D23,BE$5)="F",AND(BE$6&gt;0,$A23&lt;BE$6),AND(BE$7&gt;0,$A23&gt;BE$7)),0,MAX(0,ROUND((INDEX($E23:$G23,BE$5)-SUMIFS(TF_Timer,TF_Tekniker,BE$4,TF_Dato,$A23))*2,0)/2)))</f>
        <v/>
      </c>
      <c r="BF23">
        <f>IF(OR(BF$4="",$A23&gt;TODAY()),0,IF(OR(INDEX($B23:$D23,BF$5)="F",AND(BF$6&gt;0,$A23&lt;BF$6),AND(BF$7&gt;0,$A23&gt;BF$7)),0,MAX(0,ROUND((INDEX($E23:$G23,BF$5)-SUMIFS(TF_Timer,TF_Tekniker,BF$4,TF_Dato,$A23))*2,0)/2)))</f>
        <v/>
      </c>
      <c r="BG23">
        <f>IF(OR(BG$4="",$A23&gt;TODAY()),0,IF(OR(INDEX($B23:$D23,BG$5)="F",AND(BG$6&gt;0,$A23&lt;BG$6),AND(BG$7&gt;0,$A23&gt;BG$7)),0,MAX(0,ROUND((INDEX($E23:$G23,BG$5)-SUMIFS(TF_Timer,TF_Tekniker,BG$4,TF_Dato,$A23))*2,0)/2)))</f>
        <v/>
      </c>
      <c r="BH23">
        <f>IF(OR(BH$4="",$A23&gt;TODAY()),0,IF(OR(INDEX($B23:$D23,BH$5)="F",AND(BH$6&gt;0,$A23&lt;BH$6),AND(BH$7&gt;0,$A23&gt;BH$7)),0,MAX(0,ROUND((INDEX($E23:$G23,BH$5)-SUMIFS(TF_Timer,TF_Tekniker,BH$4,TF_Dato,$A23))*2,0)/2)))</f>
        <v/>
      </c>
      <c r="BI23">
        <f>IF(OR(BI$4="",$A23&gt;TODAY()),0,IF(OR(INDEX($B23:$D23,BI$5)="F",AND(BI$6&gt;0,$A23&lt;BI$6),AND(BI$7&gt;0,$A23&gt;BI$7)),0,MAX(0,ROUND((INDEX($E23:$G23,BI$5)-SUMIFS(TF_Timer,TF_Tekniker,BI$4,TF_Dato,$A23))*2,0)/2)))</f>
        <v/>
      </c>
    </row>
    <row r="24">
      <c r="A24" s="64">
        <f>A23+1</f>
        <v/>
      </c>
      <c r="B24">
        <f>IF(MOD($A24-INDEX(SkiftStart,1),Syklus)&lt;DagK,"K",IF(MOD($A24-INDEX(SkiftStart,1),Syklus)&lt;DagK+DagH,"H",IF(MOD($A24-INDEX(SkiftStart,1),Syklus)&lt;DagK+DagH+DagD,"D","F")))</f>
        <v/>
      </c>
      <c r="C24">
        <f>IF(MOD($A24-INDEX(SkiftStart,2),Syklus)&lt;DagK,"K",IF(MOD($A24-INDEX(SkiftStart,2),Syklus)&lt;DagK+DagH,"H",IF(MOD($A24-INDEX(SkiftStart,2),Syklus)&lt;DagK+DagH+DagD,"D","F")))</f>
        <v/>
      </c>
      <c r="D24">
        <f>IF(MOD($A24-INDEX(SkiftStart,3),Syklus)&lt;DagK,"K",IF(MOD($A24-INDEX(SkiftStart,3),Syklus)&lt;DagK+DagH,"H",IF(MOD($A24-INDEX(SkiftStart,3),Syklus)&lt;DagK+DagH+DagD,"D","F")))</f>
        <v/>
      </c>
      <c r="E24">
        <f>IF(B24="F",0,IF(WEEKDAY($A24,2)=5,INDEX(TimerFr,MATCH(B24,FaseKode,0)),INDEX(TimerMT,MATCH(B24,FaseKode,0))))</f>
        <v/>
      </c>
      <c r="F24">
        <f>IF(C24="F",0,IF(WEEKDAY($A24,2)=5,INDEX(TimerFr,MATCH(C24,FaseKode,0)),INDEX(TimerMT,MATCH(C24,FaseKode,0))))</f>
        <v/>
      </c>
      <c r="G24">
        <f>IF(D24="F",0,IF(WEEKDAY($A24,2)=5,INDEX(TimerFr,MATCH(D24,FaseKode,0)),INDEX(TimerMT,MATCH(D24,FaseKode,0))))</f>
        <v/>
      </c>
      <c r="H24">
        <f>IF(OR(H$4="",$A24&gt;TODAY()),0,IF(OR(INDEX($B24:$D24,H$5)="F",AND(H$6&gt;0,$A24&lt;H$6),AND(H$7&gt;0,$A24&gt;H$7)),0,MAX(0,ROUND((INDEX($E24:$G24,H$5)-SUMIFS(TF_Timer,TF_Tekniker,H$4,TF_Dato,$A24))*2,0)/2)))</f>
        <v/>
      </c>
      <c r="I24">
        <f>IF(OR(I$4="",$A24&gt;TODAY()),0,IF(OR(INDEX($B24:$D24,I$5)="F",AND(I$6&gt;0,$A24&lt;I$6),AND(I$7&gt;0,$A24&gt;I$7)),0,MAX(0,ROUND((INDEX($E24:$G24,I$5)-SUMIFS(TF_Timer,TF_Tekniker,I$4,TF_Dato,$A24))*2,0)/2)))</f>
        <v/>
      </c>
      <c r="J24">
        <f>IF(OR(J$4="",$A24&gt;TODAY()),0,IF(OR(INDEX($B24:$D24,J$5)="F",AND(J$6&gt;0,$A24&lt;J$6),AND(J$7&gt;0,$A24&gt;J$7)),0,MAX(0,ROUND((INDEX($E24:$G24,J$5)-SUMIFS(TF_Timer,TF_Tekniker,J$4,TF_Dato,$A24))*2,0)/2)))</f>
        <v/>
      </c>
      <c r="K24">
        <f>IF(OR(K$4="",$A24&gt;TODAY()),0,IF(OR(INDEX($B24:$D24,K$5)="F",AND(K$6&gt;0,$A24&lt;K$6),AND(K$7&gt;0,$A24&gt;K$7)),0,MAX(0,ROUND((INDEX($E24:$G24,K$5)-SUMIFS(TF_Timer,TF_Tekniker,K$4,TF_Dato,$A24))*2,0)/2)))</f>
        <v/>
      </c>
      <c r="L24">
        <f>IF(OR(L$4="",$A24&gt;TODAY()),0,IF(OR(INDEX($B24:$D24,L$5)="F",AND(L$6&gt;0,$A24&lt;L$6),AND(L$7&gt;0,$A24&gt;L$7)),0,MAX(0,ROUND((INDEX($E24:$G24,L$5)-SUMIFS(TF_Timer,TF_Tekniker,L$4,TF_Dato,$A24))*2,0)/2)))</f>
        <v/>
      </c>
      <c r="M24">
        <f>IF(OR(M$4="",$A24&gt;TODAY()),0,IF(OR(INDEX($B24:$D24,M$5)="F",AND(M$6&gt;0,$A24&lt;M$6),AND(M$7&gt;0,$A24&gt;M$7)),0,MAX(0,ROUND((INDEX($E24:$G24,M$5)-SUMIFS(TF_Timer,TF_Tekniker,M$4,TF_Dato,$A24))*2,0)/2)))</f>
        <v/>
      </c>
      <c r="N24">
        <f>IF(OR(N$4="",$A24&gt;TODAY()),0,IF(OR(INDEX($B24:$D24,N$5)="F",AND(N$6&gt;0,$A24&lt;N$6),AND(N$7&gt;0,$A24&gt;N$7)),0,MAX(0,ROUND((INDEX($E24:$G24,N$5)-SUMIFS(TF_Timer,TF_Tekniker,N$4,TF_Dato,$A24))*2,0)/2)))</f>
        <v/>
      </c>
      <c r="O24">
        <f>IF(OR(O$4="",$A24&gt;TODAY()),0,IF(OR(INDEX($B24:$D24,O$5)="F",AND(O$6&gt;0,$A24&lt;O$6),AND(O$7&gt;0,$A24&gt;O$7)),0,MAX(0,ROUND((INDEX($E24:$G24,O$5)-SUMIFS(TF_Timer,TF_Tekniker,O$4,TF_Dato,$A24))*2,0)/2)))</f>
        <v/>
      </c>
      <c r="P24">
        <f>IF(OR(P$4="",$A24&gt;TODAY()),0,IF(OR(INDEX($B24:$D24,P$5)="F",AND(P$6&gt;0,$A24&lt;P$6),AND(P$7&gt;0,$A24&gt;P$7)),0,MAX(0,ROUND((INDEX($E24:$G24,P$5)-SUMIFS(TF_Timer,TF_Tekniker,P$4,TF_Dato,$A24))*2,0)/2)))</f>
        <v/>
      </c>
      <c r="Q24">
        <f>IF(OR(Q$4="",$A24&gt;TODAY()),0,IF(OR(INDEX($B24:$D24,Q$5)="F",AND(Q$6&gt;0,$A24&lt;Q$6),AND(Q$7&gt;0,$A24&gt;Q$7)),0,MAX(0,ROUND((INDEX($E24:$G24,Q$5)-SUMIFS(TF_Timer,TF_Tekniker,Q$4,TF_Dato,$A24))*2,0)/2)))</f>
        <v/>
      </c>
      <c r="R24">
        <f>IF(OR(R$4="",$A24&gt;TODAY()),0,IF(OR(INDEX($B24:$D24,R$5)="F",AND(R$6&gt;0,$A24&lt;R$6),AND(R$7&gt;0,$A24&gt;R$7)),0,MAX(0,ROUND((INDEX($E24:$G24,R$5)-SUMIFS(TF_Timer,TF_Tekniker,R$4,TF_Dato,$A24))*2,0)/2)))</f>
        <v/>
      </c>
      <c r="S24">
        <f>IF(OR(S$4="",$A24&gt;TODAY()),0,IF(OR(INDEX($B24:$D24,S$5)="F",AND(S$6&gt;0,$A24&lt;S$6),AND(S$7&gt;0,$A24&gt;S$7)),0,MAX(0,ROUND((INDEX($E24:$G24,S$5)-SUMIFS(TF_Timer,TF_Tekniker,S$4,TF_Dato,$A24))*2,0)/2)))</f>
        <v/>
      </c>
      <c r="T24">
        <f>IF(OR(T$4="",$A24&gt;TODAY()),0,IF(OR(INDEX($B24:$D24,T$5)="F",AND(T$6&gt;0,$A24&lt;T$6),AND(T$7&gt;0,$A24&gt;T$7)),0,MAX(0,ROUND((INDEX($E24:$G24,T$5)-SUMIFS(TF_Timer,TF_Tekniker,T$4,TF_Dato,$A24))*2,0)/2)))</f>
        <v/>
      </c>
      <c r="U24">
        <f>IF(OR(U$4="",$A24&gt;TODAY()),0,IF(OR(INDEX($B24:$D24,U$5)="F",AND(U$6&gt;0,$A24&lt;U$6),AND(U$7&gt;0,$A24&gt;U$7)),0,MAX(0,ROUND((INDEX($E24:$G24,U$5)-SUMIFS(TF_Timer,TF_Tekniker,U$4,TF_Dato,$A24))*2,0)/2)))</f>
        <v/>
      </c>
      <c r="V24">
        <f>IF(OR(V$4="",$A24&gt;TODAY()),0,IF(OR(INDEX($B24:$D24,V$5)="F",AND(V$6&gt;0,$A24&lt;V$6),AND(V$7&gt;0,$A24&gt;V$7)),0,MAX(0,ROUND((INDEX($E24:$G24,V$5)-SUMIFS(TF_Timer,TF_Tekniker,V$4,TF_Dato,$A24))*2,0)/2)))</f>
        <v/>
      </c>
      <c r="W24">
        <f>IF(OR(W$4="",$A24&gt;TODAY()),0,IF(OR(INDEX($B24:$D24,W$5)="F",AND(W$6&gt;0,$A24&lt;W$6),AND(W$7&gt;0,$A24&gt;W$7)),0,MAX(0,ROUND((INDEX($E24:$G24,W$5)-SUMIFS(TF_Timer,TF_Tekniker,W$4,TF_Dato,$A24))*2,0)/2)))</f>
        <v/>
      </c>
      <c r="X24">
        <f>IF(OR(X$4="",$A24&gt;TODAY()),0,IF(OR(INDEX($B24:$D24,X$5)="F",AND(X$6&gt;0,$A24&lt;X$6),AND(X$7&gt;0,$A24&gt;X$7)),0,MAX(0,ROUND((INDEX($E24:$G24,X$5)-SUMIFS(TF_Timer,TF_Tekniker,X$4,TF_Dato,$A24))*2,0)/2)))</f>
        <v/>
      </c>
      <c r="Y24">
        <f>IF(OR(Y$4="",$A24&gt;TODAY()),0,IF(OR(INDEX($B24:$D24,Y$5)="F",AND(Y$6&gt;0,$A24&lt;Y$6),AND(Y$7&gt;0,$A24&gt;Y$7)),0,MAX(0,ROUND((INDEX($E24:$G24,Y$5)-SUMIFS(TF_Timer,TF_Tekniker,Y$4,TF_Dato,$A24))*2,0)/2)))</f>
        <v/>
      </c>
      <c r="Z24">
        <f>IF(OR(Z$4="",$A24&gt;TODAY()),0,IF(OR(INDEX($B24:$D24,Z$5)="F",AND(Z$6&gt;0,$A24&lt;Z$6),AND(Z$7&gt;0,$A24&gt;Z$7)),0,MAX(0,ROUND((INDEX($E24:$G24,Z$5)-SUMIFS(TF_Timer,TF_Tekniker,Z$4,TF_Dato,$A24))*2,0)/2)))</f>
        <v/>
      </c>
      <c r="AA24">
        <f>IF(OR(AA$4="",$A24&gt;TODAY()),0,IF(OR(INDEX($B24:$D24,AA$5)="F",AND(AA$6&gt;0,$A24&lt;AA$6),AND(AA$7&gt;0,$A24&gt;AA$7)),0,MAX(0,ROUND((INDEX($E24:$G24,AA$5)-SUMIFS(TF_Timer,TF_Tekniker,AA$4,TF_Dato,$A24))*2,0)/2)))</f>
        <v/>
      </c>
      <c r="AB24">
        <f>IF(OR(AB$4="",$A24&gt;TODAY()),0,IF(OR(INDEX($B24:$D24,AB$5)="F",AND(AB$6&gt;0,$A24&lt;AB$6),AND(AB$7&gt;0,$A24&gt;AB$7)),0,MAX(0,ROUND((INDEX($E24:$G24,AB$5)-SUMIFS(TF_Timer,TF_Tekniker,AB$4,TF_Dato,$A24))*2,0)/2)))</f>
        <v/>
      </c>
      <c r="AC24">
        <f>IF(OR(AC$4="",$A24&gt;TODAY()),0,IF(OR(INDEX($B24:$D24,AC$5)="F",AND(AC$6&gt;0,$A24&lt;AC$6),AND(AC$7&gt;0,$A24&gt;AC$7)),0,MAX(0,ROUND((INDEX($E24:$G24,AC$5)-SUMIFS(TF_Timer,TF_Tekniker,AC$4,TF_Dato,$A24))*2,0)/2)))</f>
        <v/>
      </c>
      <c r="AD24">
        <f>IF(OR(AD$4="",$A24&gt;TODAY()),0,IF(OR(INDEX($B24:$D24,AD$5)="F",AND(AD$6&gt;0,$A24&lt;AD$6),AND(AD$7&gt;0,$A24&gt;AD$7)),0,MAX(0,ROUND((INDEX($E24:$G24,AD$5)-SUMIFS(TF_Timer,TF_Tekniker,AD$4,TF_Dato,$A24))*2,0)/2)))</f>
        <v/>
      </c>
      <c r="AE24">
        <f>IF(OR(AE$4="",$A24&gt;TODAY()),0,IF(OR(INDEX($B24:$D24,AE$5)="F",AND(AE$6&gt;0,$A24&lt;AE$6),AND(AE$7&gt;0,$A24&gt;AE$7)),0,MAX(0,ROUND((INDEX($E24:$G24,AE$5)-SUMIFS(TF_Timer,TF_Tekniker,AE$4,TF_Dato,$A24))*2,0)/2)))</f>
        <v/>
      </c>
      <c r="AF24">
        <f>IF(OR(AF$4="",$A24&gt;TODAY()),0,IF(OR(INDEX($B24:$D24,AF$5)="F",AND(AF$6&gt;0,$A24&lt;AF$6),AND(AF$7&gt;0,$A24&gt;AF$7)),0,MAX(0,ROUND((INDEX($E24:$G24,AF$5)-SUMIFS(TF_Timer,TF_Tekniker,AF$4,TF_Dato,$A24))*2,0)/2)))</f>
        <v/>
      </c>
      <c r="AG24">
        <f>IF(OR(AG$4="",$A24&gt;TODAY()),0,IF(OR(INDEX($B24:$D24,AG$5)="F",AND(AG$6&gt;0,$A24&lt;AG$6),AND(AG$7&gt;0,$A24&gt;AG$7)),0,MAX(0,ROUND((INDEX($E24:$G24,AG$5)-SUMIFS(TF_Timer,TF_Tekniker,AG$4,TF_Dato,$A24))*2,0)/2)))</f>
        <v/>
      </c>
      <c r="AH24">
        <f>IF(OR(AH$4="",$A24&gt;TODAY()),0,IF(OR(INDEX($B24:$D24,AH$5)="F",AND(AH$6&gt;0,$A24&lt;AH$6),AND(AH$7&gt;0,$A24&gt;AH$7)),0,MAX(0,ROUND((INDEX($E24:$G24,AH$5)-SUMIFS(TF_Timer,TF_Tekniker,AH$4,TF_Dato,$A24))*2,0)/2)))</f>
        <v/>
      </c>
      <c r="AI24">
        <f>IF(OR(AI$4="",$A24&gt;TODAY()),0,IF(OR(INDEX($B24:$D24,AI$5)="F",AND(AI$6&gt;0,$A24&lt;AI$6),AND(AI$7&gt;0,$A24&gt;AI$7)),0,MAX(0,ROUND((INDEX($E24:$G24,AI$5)-SUMIFS(TF_Timer,TF_Tekniker,AI$4,TF_Dato,$A24))*2,0)/2)))</f>
        <v/>
      </c>
      <c r="AJ24">
        <f>IF(OR(AJ$4="",$A24&gt;TODAY()),0,IF(OR(INDEX($B24:$D24,AJ$5)="F",AND(AJ$6&gt;0,$A24&lt;AJ$6),AND(AJ$7&gt;0,$A24&gt;AJ$7)),0,MAX(0,ROUND((INDEX($E24:$G24,AJ$5)-SUMIFS(TF_Timer,TF_Tekniker,AJ$4,TF_Dato,$A24))*2,0)/2)))</f>
        <v/>
      </c>
      <c r="AK24">
        <f>IF(OR(AK$4="",$A24&gt;TODAY()),0,IF(OR(INDEX($B24:$D24,AK$5)="F",AND(AK$6&gt;0,$A24&lt;AK$6),AND(AK$7&gt;0,$A24&gt;AK$7)),0,MAX(0,ROUND((INDEX($E24:$G24,AK$5)-SUMIFS(TF_Timer,TF_Tekniker,AK$4,TF_Dato,$A24))*2,0)/2)))</f>
        <v/>
      </c>
      <c r="AL24">
        <f>IF(OR(AL$4="",$A24&gt;TODAY()),0,IF(OR(INDEX($B24:$D24,AL$5)="F",AND(AL$6&gt;0,$A24&lt;AL$6),AND(AL$7&gt;0,$A24&gt;AL$7)),0,MAX(0,ROUND((INDEX($E24:$G24,AL$5)-SUMIFS(TF_Timer,TF_Tekniker,AL$4,TF_Dato,$A24))*2,0)/2)))</f>
        <v/>
      </c>
      <c r="AM24">
        <f>IF(OR(AM$4="",$A24&gt;TODAY()),0,IF(OR(INDEX($B24:$D24,AM$5)="F",AND(AM$6&gt;0,$A24&lt;AM$6),AND(AM$7&gt;0,$A24&gt;AM$7)),0,MAX(0,ROUND((INDEX($E24:$G24,AM$5)-SUMIFS(TF_Timer,TF_Tekniker,AM$4,TF_Dato,$A24))*2,0)/2)))</f>
        <v/>
      </c>
      <c r="AN24">
        <f>IF(OR(AN$4="",$A24&gt;TODAY()),0,IF(OR(INDEX($B24:$D24,AN$5)="F",AND(AN$6&gt;0,$A24&lt;AN$6),AND(AN$7&gt;0,$A24&gt;AN$7)),0,MAX(0,ROUND((INDEX($E24:$G24,AN$5)-SUMIFS(TF_Timer,TF_Tekniker,AN$4,TF_Dato,$A24))*2,0)/2)))</f>
        <v/>
      </c>
      <c r="AO24">
        <f>IF(OR(AO$4="",$A24&gt;TODAY()),0,IF(OR(INDEX($B24:$D24,AO$5)="F",AND(AO$6&gt;0,$A24&lt;AO$6),AND(AO$7&gt;0,$A24&gt;AO$7)),0,MAX(0,ROUND((INDEX($E24:$G24,AO$5)-SUMIFS(TF_Timer,TF_Tekniker,AO$4,TF_Dato,$A24))*2,0)/2)))</f>
        <v/>
      </c>
      <c r="AP24">
        <f>IF(OR(AP$4="",$A24&gt;TODAY()),0,IF(OR(INDEX($B24:$D24,AP$5)="F",AND(AP$6&gt;0,$A24&lt;AP$6),AND(AP$7&gt;0,$A24&gt;AP$7)),0,MAX(0,ROUND((INDEX($E24:$G24,AP$5)-SUMIFS(TF_Timer,TF_Tekniker,AP$4,TF_Dato,$A24))*2,0)/2)))</f>
        <v/>
      </c>
      <c r="AQ24">
        <f>IF(OR(AQ$4="",$A24&gt;TODAY()),0,IF(OR(INDEX($B24:$D24,AQ$5)="F",AND(AQ$6&gt;0,$A24&lt;AQ$6),AND(AQ$7&gt;0,$A24&gt;AQ$7)),0,MAX(0,ROUND((INDEX($E24:$G24,AQ$5)-SUMIFS(TF_Timer,TF_Tekniker,AQ$4,TF_Dato,$A24))*2,0)/2)))</f>
        <v/>
      </c>
      <c r="AR24">
        <f>IF(OR(AR$4="",$A24&gt;TODAY()),0,IF(OR(INDEX($B24:$D24,AR$5)="F",AND(AR$6&gt;0,$A24&lt;AR$6),AND(AR$7&gt;0,$A24&gt;AR$7)),0,MAX(0,ROUND((INDEX($E24:$G24,AR$5)-SUMIFS(TF_Timer,TF_Tekniker,AR$4,TF_Dato,$A24))*2,0)/2)))</f>
        <v/>
      </c>
      <c r="AS24">
        <f>IF(OR(AS$4="",$A24&gt;TODAY()),0,IF(OR(INDEX($B24:$D24,AS$5)="F",AND(AS$6&gt;0,$A24&lt;AS$6),AND(AS$7&gt;0,$A24&gt;AS$7)),0,MAX(0,ROUND((INDEX($E24:$G24,AS$5)-SUMIFS(TF_Timer,TF_Tekniker,AS$4,TF_Dato,$A24))*2,0)/2)))</f>
        <v/>
      </c>
      <c r="AT24">
        <f>IF(OR(AT$4="",$A24&gt;TODAY()),0,IF(OR(INDEX($B24:$D24,AT$5)="F",AND(AT$6&gt;0,$A24&lt;AT$6),AND(AT$7&gt;0,$A24&gt;AT$7)),0,MAX(0,ROUND((INDEX($E24:$G24,AT$5)-SUMIFS(TF_Timer,TF_Tekniker,AT$4,TF_Dato,$A24))*2,0)/2)))</f>
        <v/>
      </c>
      <c r="AU24">
        <f>IF(OR(AU$4="",$A24&gt;TODAY()),0,IF(OR(INDEX($B24:$D24,AU$5)="F",AND(AU$6&gt;0,$A24&lt;AU$6),AND(AU$7&gt;0,$A24&gt;AU$7)),0,MAX(0,ROUND((INDEX($E24:$G24,AU$5)-SUMIFS(TF_Timer,TF_Tekniker,AU$4,TF_Dato,$A24))*2,0)/2)))</f>
        <v/>
      </c>
      <c r="AV24">
        <f>IF(OR(AV$4="",$A24&gt;TODAY()),0,IF(OR(INDEX($B24:$D24,AV$5)="F",AND(AV$6&gt;0,$A24&lt;AV$6),AND(AV$7&gt;0,$A24&gt;AV$7)),0,MAX(0,ROUND((INDEX($E24:$G24,AV$5)-SUMIFS(TF_Timer,TF_Tekniker,AV$4,TF_Dato,$A24))*2,0)/2)))</f>
        <v/>
      </c>
      <c r="AW24">
        <f>IF(OR(AW$4="",$A24&gt;TODAY()),0,IF(OR(INDEX($B24:$D24,AW$5)="F",AND(AW$6&gt;0,$A24&lt;AW$6),AND(AW$7&gt;0,$A24&gt;AW$7)),0,MAX(0,ROUND((INDEX($E24:$G24,AW$5)-SUMIFS(TF_Timer,TF_Tekniker,AW$4,TF_Dato,$A24))*2,0)/2)))</f>
        <v/>
      </c>
      <c r="AX24">
        <f>IF(OR(AX$4="",$A24&gt;TODAY()),0,IF(OR(INDEX($B24:$D24,AX$5)="F",AND(AX$6&gt;0,$A24&lt;AX$6),AND(AX$7&gt;0,$A24&gt;AX$7)),0,MAX(0,ROUND((INDEX($E24:$G24,AX$5)-SUMIFS(TF_Timer,TF_Tekniker,AX$4,TF_Dato,$A24))*2,0)/2)))</f>
        <v/>
      </c>
      <c r="AY24">
        <f>IF(OR(AY$4="",$A24&gt;TODAY()),0,IF(OR(INDEX($B24:$D24,AY$5)="F",AND(AY$6&gt;0,$A24&lt;AY$6),AND(AY$7&gt;0,$A24&gt;AY$7)),0,MAX(0,ROUND((INDEX($E24:$G24,AY$5)-SUMIFS(TF_Timer,TF_Tekniker,AY$4,TF_Dato,$A24))*2,0)/2)))</f>
        <v/>
      </c>
      <c r="AZ24">
        <f>IF(OR(AZ$4="",$A24&gt;TODAY()),0,IF(OR(INDEX($B24:$D24,AZ$5)="F",AND(AZ$6&gt;0,$A24&lt;AZ$6),AND(AZ$7&gt;0,$A24&gt;AZ$7)),0,MAX(0,ROUND((INDEX($E24:$G24,AZ$5)-SUMIFS(TF_Timer,TF_Tekniker,AZ$4,TF_Dato,$A24))*2,0)/2)))</f>
        <v/>
      </c>
      <c r="BA24">
        <f>IF(OR(BA$4="",$A24&gt;TODAY()),0,IF(OR(INDEX($B24:$D24,BA$5)="F",AND(BA$6&gt;0,$A24&lt;BA$6),AND(BA$7&gt;0,$A24&gt;BA$7)),0,MAX(0,ROUND((INDEX($E24:$G24,BA$5)-SUMIFS(TF_Timer,TF_Tekniker,BA$4,TF_Dato,$A24))*2,0)/2)))</f>
        <v/>
      </c>
      <c r="BB24">
        <f>IF(OR(BB$4="",$A24&gt;TODAY()),0,IF(OR(INDEX($B24:$D24,BB$5)="F",AND(BB$6&gt;0,$A24&lt;BB$6),AND(BB$7&gt;0,$A24&gt;BB$7)),0,MAX(0,ROUND((INDEX($E24:$G24,BB$5)-SUMIFS(TF_Timer,TF_Tekniker,BB$4,TF_Dato,$A24))*2,0)/2)))</f>
        <v/>
      </c>
      <c r="BC24">
        <f>IF(OR(BC$4="",$A24&gt;TODAY()),0,IF(OR(INDEX($B24:$D24,BC$5)="F",AND(BC$6&gt;0,$A24&lt;BC$6),AND(BC$7&gt;0,$A24&gt;BC$7)),0,MAX(0,ROUND((INDEX($E24:$G24,BC$5)-SUMIFS(TF_Timer,TF_Tekniker,BC$4,TF_Dato,$A24))*2,0)/2)))</f>
        <v/>
      </c>
      <c r="BD24">
        <f>IF(OR(BD$4="",$A24&gt;TODAY()),0,IF(OR(INDEX($B24:$D24,BD$5)="F",AND(BD$6&gt;0,$A24&lt;BD$6),AND(BD$7&gt;0,$A24&gt;BD$7)),0,MAX(0,ROUND((INDEX($E24:$G24,BD$5)-SUMIFS(TF_Timer,TF_Tekniker,BD$4,TF_Dato,$A24))*2,0)/2)))</f>
        <v/>
      </c>
      <c r="BE24">
        <f>IF(OR(BE$4="",$A24&gt;TODAY()),0,IF(OR(INDEX($B24:$D24,BE$5)="F",AND(BE$6&gt;0,$A24&lt;BE$6),AND(BE$7&gt;0,$A24&gt;BE$7)),0,MAX(0,ROUND((INDEX($E24:$G24,BE$5)-SUMIFS(TF_Timer,TF_Tekniker,BE$4,TF_Dato,$A24))*2,0)/2)))</f>
        <v/>
      </c>
      <c r="BF24">
        <f>IF(OR(BF$4="",$A24&gt;TODAY()),0,IF(OR(INDEX($B24:$D24,BF$5)="F",AND(BF$6&gt;0,$A24&lt;BF$6),AND(BF$7&gt;0,$A24&gt;BF$7)),0,MAX(0,ROUND((INDEX($E24:$G24,BF$5)-SUMIFS(TF_Timer,TF_Tekniker,BF$4,TF_Dato,$A24))*2,0)/2)))</f>
        <v/>
      </c>
      <c r="BG24">
        <f>IF(OR(BG$4="",$A24&gt;TODAY()),0,IF(OR(INDEX($B24:$D24,BG$5)="F",AND(BG$6&gt;0,$A24&lt;BG$6),AND(BG$7&gt;0,$A24&gt;BG$7)),0,MAX(0,ROUND((INDEX($E24:$G24,BG$5)-SUMIFS(TF_Timer,TF_Tekniker,BG$4,TF_Dato,$A24))*2,0)/2)))</f>
        <v/>
      </c>
      <c r="BH24">
        <f>IF(OR(BH$4="",$A24&gt;TODAY()),0,IF(OR(INDEX($B24:$D24,BH$5)="F",AND(BH$6&gt;0,$A24&lt;BH$6),AND(BH$7&gt;0,$A24&gt;BH$7)),0,MAX(0,ROUND((INDEX($E24:$G24,BH$5)-SUMIFS(TF_Timer,TF_Tekniker,BH$4,TF_Dato,$A24))*2,0)/2)))</f>
        <v/>
      </c>
      <c r="BI24">
        <f>IF(OR(BI$4="",$A24&gt;TODAY()),0,IF(OR(INDEX($B24:$D24,BI$5)="F",AND(BI$6&gt;0,$A24&lt;BI$6),AND(BI$7&gt;0,$A24&gt;BI$7)),0,MAX(0,ROUND((INDEX($E24:$G24,BI$5)-SUMIFS(TF_Timer,TF_Tekniker,BI$4,TF_Dato,$A24))*2,0)/2)))</f>
        <v/>
      </c>
    </row>
    <row r="25">
      <c r="A25" s="64">
        <f>A24+1</f>
        <v/>
      </c>
      <c r="B25">
        <f>IF(MOD($A25-INDEX(SkiftStart,1),Syklus)&lt;DagK,"K",IF(MOD($A25-INDEX(SkiftStart,1),Syklus)&lt;DagK+DagH,"H",IF(MOD($A25-INDEX(SkiftStart,1),Syklus)&lt;DagK+DagH+DagD,"D","F")))</f>
        <v/>
      </c>
      <c r="C25">
        <f>IF(MOD($A25-INDEX(SkiftStart,2),Syklus)&lt;DagK,"K",IF(MOD($A25-INDEX(SkiftStart,2),Syklus)&lt;DagK+DagH,"H",IF(MOD($A25-INDEX(SkiftStart,2),Syklus)&lt;DagK+DagH+DagD,"D","F")))</f>
        <v/>
      </c>
      <c r="D25">
        <f>IF(MOD($A25-INDEX(SkiftStart,3),Syklus)&lt;DagK,"K",IF(MOD($A25-INDEX(SkiftStart,3),Syklus)&lt;DagK+DagH,"H",IF(MOD($A25-INDEX(SkiftStart,3),Syklus)&lt;DagK+DagH+DagD,"D","F")))</f>
        <v/>
      </c>
      <c r="E25">
        <f>IF(B25="F",0,IF(WEEKDAY($A25,2)=5,INDEX(TimerFr,MATCH(B25,FaseKode,0)),INDEX(TimerMT,MATCH(B25,FaseKode,0))))</f>
        <v/>
      </c>
      <c r="F25">
        <f>IF(C25="F",0,IF(WEEKDAY($A25,2)=5,INDEX(TimerFr,MATCH(C25,FaseKode,0)),INDEX(TimerMT,MATCH(C25,FaseKode,0))))</f>
        <v/>
      </c>
      <c r="G25">
        <f>IF(D25="F",0,IF(WEEKDAY($A25,2)=5,INDEX(TimerFr,MATCH(D25,FaseKode,0)),INDEX(TimerMT,MATCH(D25,FaseKode,0))))</f>
        <v/>
      </c>
      <c r="H25">
        <f>IF(OR(H$4="",$A25&gt;TODAY()),0,IF(OR(INDEX($B25:$D25,H$5)="F",AND(H$6&gt;0,$A25&lt;H$6),AND(H$7&gt;0,$A25&gt;H$7)),0,MAX(0,ROUND((INDEX($E25:$G25,H$5)-SUMIFS(TF_Timer,TF_Tekniker,H$4,TF_Dato,$A25))*2,0)/2)))</f>
        <v/>
      </c>
      <c r="I25">
        <f>IF(OR(I$4="",$A25&gt;TODAY()),0,IF(OR(INDEX($B25:$D25,I$5)="F",AND(I$6&gt;0,$A25&lt;I$6),AND(I$7&gt;0,$A25&gt;I$7)),0,MAX(0,ROUND((INDEX($E25:$G25,I$5)-SUMIFS(TF_Timer,TF_Tekniker,I$4,TF_Dato,$A25))*2,0)/2)))</f>
        <v/>
      </c>
      <c r="J25">
        <f>IF(OR(J$4="",$A25&gt;TODAY()),0,IF(OR(INDEX($B25:$D25,J$5)="F",AND(J$6&gt;0,$A25&lt;J$6),AND(J$7&gt;0,$A25&gt;J$7)),0,MAX(0,ROUND((INDEX($E25:$G25,J$5)-SUMIFS(TF_Timer,TF_Tekniker,J$4,TF_Dato,$A25))*2,0)/2)))</f>
        <v/>
      </c>
      <c r="K25">
        <f>IF(OR(K$4="",$A25&gt;TODAY()),0,IF(OR(INDEX($B25:$D25,K$5)="F",AND(K$6&gt;0,$A25&lt;K$6),AND(K$7&gt;0,$A25&gt;K$7)),0,MAX(0,ROUND((INDEX($E25:$G25,K$5)-SUMIFS(TF_Timer,TF_Tekniker,K$4,TF_Dato,$A25))*2,0)/2)))</f>
        <v/>
      </c>
      <c r="L25">
        <f>IF(OR(L$4="",$A25&gt;TODAY()),0,IF(OR(INDEX($B25:$D25,L$5)="F",AND(L$6&gt;0,$A25&lt;L$6),AND(L$7&gt;0,$A25&gt;L$7)),0,MAX(0,ROUND((INDEX($E25:$G25,L$5)-SUMIFS(TF_Timer,TF_Tekniker,L$4,TF_Dato,$A25))*2,0)/2)))</f>
        <v/>
      </c>
      <c r="M25">
        <f>IF(OR(M$4="",$A25&gt;TODAY()),0,IF(OR(INDEX($B25:$D25,M$5)="F",AND(M$6&gt;0,$A25&lt;M$6),AND(M$7&gt;0,$A25&gt;M$7)),0,MAX(0,ROUND((INDEX($E25:$G25,M$5)-SUMIFS(TF_Timer,TF_Tekniker,M$4,TF_Dato,$A25))*2,0)/2)))</f>
        <v/>
      </c>
      <c r="N25">
        <f>IF(OR(N$4="",$A25&gt;TODAY()),0,IF(OR(INDEX($B25:$D25,N$5)="F",AND(N$6&gt;0,$A25&lt;N$6),AND(N$7&gt;0,$A25&gt;N$7)),0,MAX(0,ROUND((INDEX($E25:$G25,N$5)-SUMIFS(TF_Timer,TF_Tekniker,N$4,TF_Dato,$A25))*2,0)/2)))</f>
        <v/>
      </c>
      <c r="O25">
        <f>IF(OR(O$4="",$A25&gt;TODAY()),0,IF(OR(INDEX($B25:$D25,O$5)="F",AND(O$6&gt;0,$A25&lt;O$6),AND(O$7&gt;0,$A25&gt;O$7)),0,MAX(0,ROUND((INDEX($E25:$G25,O$5)-SUMIFS(TF_Timer,TF_Tekniker,O$4,TF_Dato,$A25))*2,0)/2)))</f>
        <v/>
      </c>
      <c r="P25">
        <f>IF(OR(P$4="",$A25&gt;TODAY()),0,IF(OR(INDEX($B25:$D25,P$5)="F",AND(P$6&gt;0,$A25&lt;P$6),AND(P$7&gt;0,$A25&gt;P$7)),0,MAX(0,ROUND((INDEX($E25:$G25,P$5)-SUMIFS(TF_Timer,TF_Tekniker,P$4,TF_Dato,$A25))*2,0)/2)))</f>
        <v/>
      </c>
      <c r="Q25">
        <f>IF(OR(Q$4="",$A25&gt;TODAY()),0,IF(OR(INDEX($B25:$D25,Q$5)="F",AND(Q$6&gt;0,$A25&lt;Q$6),AND(Q$7&gt;0,$A25&gt;Q$7)),0,MAX(0,ROUND((INDEX($E25:$G25,Q$5)-SUMIFS(TF_Timer,TF_Tekniker,Q$4,TF_Dato,$A25))*2,0)/2)))</f>
        <v/>
      </c>
      <c r="R25">
        <f>IF(OR(R$4="",$A25&gt;TODAY()),0,IF(OR(INDEX($B25:$D25,R$5)="F",AND(R$6&gt;0,$A25&lt;R$6),AND(R$7&gt;0,$A25&gt;R$7)),0,MAX(0,ROUND((INDEX($E25:$G25,R$5)-SUMIFS(TF_Timer,TF_Tekniker,R$4,TF_Dato,$A25))*2,0)/2)))</f>
        <v/>
      </c>
      <c r="S25">
        <f>IF(OR(S$4="",$A25&gt;TODAY()),0,IF(OR(INDEX($B25:$D25,S$5)="F",AND(S$6&gt;0,$A25&lt;S$6),AND(S$7&gt;0,$A25&gt;S$7)),0,MAX(0,ROUND((INDEX($E25:$G25,S$5)-SUMIFS(TF_Timer,TF_Tekniker,S$4,TF_Dato,$A25))*2,0)/2)))</f>
        <v/>
      </c>
      <c r="T25">
        <f>IF(OR(T$4="",$A25&gt;TODAY()),0,IF(OR(INDEX($B25:$D25,T$5)="F",AND(T$6&gt;0,$A25&lt;T$6),AND(T$7&gt;0,$A25&gt;T$7)),0,MAX(0,ROUND((INDEX($E25:$G25,T$5)-SUMIFS(TF_Timer,TF_Tekniker,T$4,TF_Dato,$A25))*2,0)/2)))</f>
        <v/>
      </c>
      <c r="U25">
        <f>IF(OR(U$4="",$A25&gt;TODAY()),0,IF(OR(INDEX($B25:$D25,U$5)="F",AND(U$6&gt;0,$A25&lt;U$6),AND(U$7&gt;0,$A25&gt;U$7)),0,MAX(0,ROUND((INDEX($E25:$G25,U$5)-SUMIFS(TF_Timer,TF_Tekniker,U$4,TF_Dato,$A25))*2,0)/2)))</f>
        <v/>
      </c>
      <c r="V25">
        <f>IF(OR(V$4="",$A25&gt;TODAY()),0,IF(OR(INDEX($B25:$D25,V$5)="F",AND(V$6&gt;0,$A25&lt;V$6),AND(V$7&gt;0,$A25&gt;V$7)),0,MAX(0,ROUND((INDEX($E25:$G25,V$5)-SUMIFS(TF_Timer,TF_Tekniker,V$4,TF_Dato,$A25))*2,0)/2)))</f>
        <v/>
      </c>
      <c r="W25">
        <f>IF(OR(W$4="",$A25&gt;TODAY()),0,IF(OR(INDEX($B25:$D25,W$5)="F",AND(W$6&gt;0,$A25&lt;W$6),AND(W$7&gt;0,$A25&gt;W$7)),0,MAX(0,ROUND((INDEX($E25:$G25,W$5)-SUMIFS(TF_Timer,TF_Tekniker,W$4,TF_Dato,$A25))*2,0)/2)))</f>
        <v/>
      </c>
      <c r="X25">
        <f>IF(OR(X$4="",$A25&gt;TODAY()),0,IF(OR(INDEX($B25:$D25,X$5)="F",AND(X$6&gt;0,$A25&lt;X$6),AND(X$7&gt;0,$A25&gt;X$7)),0,MAX(0,ROUND((INDEX($E25:$G25,X$5)-SUMIFS(TF_Timer,TF_Tekniker,X$4,TF_Dato,$A25))*2,0)/2)))</f>
        <v/>
      </c>
      <c r="Y25">
        <f>IF(OR(Y$4="",$A25&gt;TODAY()),0,IF(OR(INDEX($B25:$D25,Y$5)="F",AND(Y$6&gt;0,$A25&lt;Y$6),AND(Y$7&gt;0,$A25&gt;Y$7)),0,MAX(0,ROUND((INDEX($E25:$G25,Y$5)-SUMIFS(TF_Timer,TF_Tekniker,Y$4,TF_Dato,$A25))*2,0)/2)))</f>
        <v/>
      </c>
      <c r="Z25">
        <f>IF(OR(Z$4="",$A25&gt;TODAY()),0,IF(OR(INDEX($B25:$D25,Z$5)="F",AND(Z$6&gt;0,$A25&lt;Z$6),AND(Z$7&gt;0,$A25&gt;Z$7)),0,MAX(0,ROUND((INDEX($E25:$G25,Z$5)-SUMIFS(TF_Timer,TF_Tekniker,Z$4,TF_Dato,$A25))*2,0)/2)))</f>
        <v/>
      </c>
      <c r="AA25">
        <f>IF(OR(AA$4="",$A25&gt;TODAY()),0,IF(OR(INDEX($B25:$D25,AA$5)="F",AND(AA$6&gt;0,$A25&lt;AA$6),AND(AA$7&gt;0,$A25&gt;AA$7)),0,MAX(0,ROUND((INDEX($E25:$G25,AA$5)-SUMIFS(TF_Timer,TF_Tekniker,AA$4,TF_Dato,$A25))*2,0)/2)))</f>
        <v/>
      </c>
      <c r="AB25">
        <f>IF(OR(AB$4="",$A25&gt;TODAY()),0,IF(OR(INDEX($B25:$D25,AB$5)="F",AND(AB$6&gt;0,$A25&lt;AB$6),AND(AB$7&gt;0,$A25&gt;AB$7)),0,MAX(0,ROUND((INDEX($E25:$G25,AB$5)-SUMIFS(TF_Timer,TF_Tekniker,AB$4,TF_Dato,$A25))*2,0)/2)))</f>
        <v/>
      </c>
      <c r="AC25">
        <f>IF(OR(AC$4="",$A25&gt;TODAY()),0,IF(OR(INDEX($B25:$D25,AC$5)="F",AND(AC$6&gt;0,$A25&lt;AC$6),AND(AC$7&gt;0,$A25&gt;AC$7)),0,MAX(0,ROUND((INDEX($E25:$G25,AC$5)-SUMIFS(TF_Timer,TF_Tekniker,AC$4,TF_Dato,$A25))*2,0)/2)))</f>
        <v/>
      </c>
      <c r="AD25">
        <f>IF(OR(AD$4="",$A25&gt;TODAY()),0,IF(OR(INDEX($B25:$D25,AD$5)="F",AND(AD$6&gt;0,$A25&lt;AD$6),AND(AD$7&gt;0,$A25&gt;AD$7)),0,MAX(0,ROUND((INDEX($E25:$G25,AD$5)-SUMIFS(TF_Timer,TF_Tekniker,AD$4,TF_Dato,$A25))*2,0)/2)))</f>
        <v/>
      </c>
      <c r="AE25">
        <f>IF(OR(AE$4="",$A25&gt;TODAY()),0,IF(OR(INDEX($B25:$D25,AE$5)="F",AND(AE$6&gt;0,$A25&lt;AE$6),AND(AE$7&gt;0,$A25&gt;AE$7)),0,MAX(0,ROUND((INDEX($E25:$G25,AE$5)-SUMIFS(TF_Timer,TF_Tekniker,AE$4,TF_Dato,$A25))*2,0)/2)))</f>
        <v/>
      </c>
      <c r="AF25">
        <f>IF(OR(AF$4="",$A25&gt;TODAY()),0,IF(OR(INDEX($B25:$D25,AF$5)="F",AND(AF$6&gt;0,$A25&lt;AF$6),AND(AF$7&gt;0,$A25&gt;AF$7)),0,MAX(0,ROUND((INDEX($E25:$G25,AF$5)-SUMIFS(TF_Timer,TF_Tekniker,AF$4,TF_Dato,$A25))*2,0)/2)))</f>
        <v/>
      </c>
      <c r="AG25">
        <f>IF(OR(AG$4="",$A25&gt;TODAY()),0,IF(OR(INDEX($B25:$D25,AG$5)="F",AND(AG$6&gt;0,$A25&lt;AG$6),AND(AG$7&gt;0,$A25&gt;AG$7)),0,MAX(0,ROUND((INDEX($E25:$G25,AG$5)-SUMIFS(TF_Timer,TF_Tekniker,AG$4,TF_Dato,$A25))*2,0)/2)))</f>
        <v/>
      </c>
      <c r="AH25">
        <f>IF(OR(AH$4="",$A25&gt;TODAY()),0,IF(OR(INDEX($B25:$D25,AH$5)="F",AND(AH$6&gt;0,$A25&lt;AH$6),AND(AH$7&gt;0,$A25&gt;AH$7)),0,MAX(0,ROUND((INDEX($E25:$G25,AH$5)-SUMIFS(TF_Timer,TF_Tekniker,AH$4,TF_Dato,$A25))*2,0)/2)))</f>
        <v/>
      </c>
      <c r="AI25">
        <f>IF(OR(AI$4="",$A25&gt;TODAY()),0,IF(OR(INDEX($B25:$D25,AI$5)="F",AND(AI$6&gt;0,$A25&lt;AI$6),AND(AI$7&gt;0,$A25&gt;AI$7)),0,MAX(0,ROUND((INDEX($E25:$G25,AI$5)-SUMIFS(TF_Timer,TF_Tekniker,AI$4,TF_Dato,$A25))*2,0)/2)))</f>
        <v/>
      </c>
      <c r="AJ25">
        <f>IF(OR(AJ$4="",$A25&gt;TODAY()),0,IF(OR(INDEX($B25:$D25,AJ$5)="F",AND(AJ$6&gt;0,$A25&lt;AJ$6),AND(AJ$7&gt;0,$A25&gt;AJ$7)),0,MAX(0,ROUND((INDEX($E25:$G25,AJ$5)-SUMIFS(TF_Timer,TF_Tekniker,AJ$4,TF_Dato,$A25))*2,0)/2)))</f>
        <v/>
      </c>
      <c r="AK25">
        <f>IF(OR(AK$4="",$A25&gt;TODAY()),0,IF(OR(INDEX($B25:$D25,AK$5)="F",AND(AK$6&gt;0,$A25&lt;AK$6),AND(AK$7&gt;0,$A25&gt;AK$7)),0,MAX(0,ROUND((INDEX($E25:$G25,AK$5)-SUMIFS(TF_Timer,TF_Tekniker,AK$4,TF_Dato,$A25))*2,0)/2)))</f>
        <v/>
      </c>
      <c r="AL25">
        <f>IF(OR(AL$4="",$A25&gt;TODAY()),0,IF(OR(INDEX($B25:$D25,AL$5)="F",AND(AL$6&gt;0,$A25&lt;AL$6),AND(AL$7&gt;0,$A25&gt;AL$7)),0,MAX(0,ROUND((INDEX($E25:$G25,AL$5)-SUMIFS(TF_Timer,TF_Tekniker,AL$4,TF_Dato,$A25))*2,0)/2)))</f>
        <v/>
      </c>
      <c r="AM25">
        <f>IF(OR(AM$4="",$A25&gt;TODAY()),0,IF(OR(INDEX($B25:$D25,AM$5)="F",AND(AM$6&gt;0,$A25&lt;AM$6),AND(AM$7&gt;0,$A25&gt;AM$7)),0,MAX(0,ROUND((INDEX($E25:$G25,AM$5)-SUMIFS(TF_Timer,TF_Tekniker,AM$4,TF_Dato,$A25))*2,0)/2)))</f>
        <v/>
      </c>
      <c r="AN25">
        <f>IF(OR(AN$4="",$A25&gt;TODAY()),0,IF(OR(INDEX($B25:$D25,AN$5)="F",AND(AN$6&gt;0,$A25&lt;AN$6),AND(AN$7&gt;0,$A25&gt;AN$7)),0,MAX(0,ROUND((INDEX($E25:$G25,AN$5)-SUMIFS(TF_Timer,TF_Tekniker,AN$4,TF_Dato,$A25))*2,0)/2)))</f>
        <v/>
      </c>
      <c r="AO25">
        <f>IF(OR(AO$4="",$A25&gt;TODAY()),0,IF(OR(INDEX($B25:$D25,AO$5)="F",AND(AO$6&gt;0,$A25&lt;AO$6),AND(AO$7&gt;0,$A25&gt;AO$7)),0,MAX(0,ROUND((INDEX($E25:$G25,AO$5)-SUMIFS(TF_Timer,TF_Tekniker,AO$4,TF_Dato,$A25))*2,0)/2)))</f>
        <v/>
      </c>
      <c r="AP25">
        <f>IF(OR(AP$4="",$A25&gt;TODAY()),0,IF(OR(INDEX($B25:$D25,AP$5)="F",AND(AP$6&gt;0,$A25&lt;AP$6),AND(AP$7&gt;0,$A25&gt;AP$7)),0,MAX(0,ROUND((INDEX($E25:$G25,AP$5)-SUMIFS(TF_Timer,TF_Tekniker,AP$4,TF_Dato,$A25))*2,0)/2)))</f>
        <v/>
      </c>
      <c r="AQ25">
        <f>IF(OR(AQ$4="",$A25&gt;TODAY()),0,IF(OR(INDEX($B25:$D25,AQ$5)="F",AND(AQ$6&gt;0,$A25&lt;AQ$6),AND(AQ$7&gt;0,$A25&gt;AQ$7)),0,MAX(0,ROUND((INDEX($E25:$G25,AQ$5)-SUMIFS(TF_Timer,TF_Tekniker,AQ$4,TF_Dato,$A25))*2,0)/2)))</f>
        <v/>
      </c>
      <c r="AR25">
        <f>IF(OR(AR$4="",$A25&gt;TODAY()),0,IF(OR(INDEX($B25:$D25,AR$5)="F",AND(AR$6&gt;0,$A25&lt;AR$6),AND(AR$7&gt;0,$A25&gt;AR$7)),0,MAX(0,ROUND((INDEX($E25:$G25,AR$5)-SUMIFS(TF_Timer,TF_Tekniker,AR$4,TF_Dato,$A25))*2,0)/2)))</f>
        <v/>
      </c>
      <c r="AS25">
        <f>IF(OR(AS$4="",$A25&gt;TODAY()),0,IF(OR(INDEX($B25:$D25,AS$5)="F",AND(AS$6&gt;0,$A25&lt;AS$6),AND(AS$7&gt;0,$A25&gt;AS$7)),0,MAX(0,ROUND((INDEX($E25:$G25,AS$5)-SUMIFS(TF_Timer,TF_Tekniker,AS$4,TF_Dato,$A25))*2,0)/2)))</f>
        <v/>
      </c>
      <c r="AT25">
        <f>IF(OR(AT$4="",$A25&gt;TODAY()),0,IF(OR(INDEX($B25:$D25,AT$5)="F",AND(AT$6&gt;0,$A25&lt;AT$6),AND(AT$7&gt;0,$A25&gt;AT$7)),0,MAX(0,ROUND((INDEX($E25:$G25,AT$5)-SUMIFS(TF_Timer,TF_Tekniker,AT$4,TF_Dato,$A25))*2,0)/2)))</f>
        <v/>
      </c>
      <c r="AU25">
        <f>IF(OR(AU$4="",$A25&gt;TODAY()),0,IF(OR(INDEX($B25:$D25,AU$5)="F",AND(AU$6&gt;0,$A25&lt;AU$6),AND(AU$7&gt;0,$A25&gt;AU$7)),0,MAX(0,ROUND((INDEX($E25:$G25,AU$5)-SUMIFS(TF_Timer,TF_Tekniker,AU$4,TF_Dato,$A25))*2,0)/2)))</f>
        <v/>
      </c>
      <c r="AV25">
        <f>IF(OR(AV$4="",$A25&gt;TODAY()),0,IF(OR(INDEX($B25:$D25,AV$5)="F",AND(AV$6&gt;0,$A25&lt;AV$6),AND(AV$7&gt;0,$A25&gt;AV$7)),0,MAX(0,ROUND((INDEX($E25:$G25,AV$5)-SUMIFS(TF_Timer,TF_Tekniker,AV$4,TF_Dato,$A25))*2,0)/2)))</f>
        <v/>
      </c>
      <c r="AW25">
        <f>IF(OR(AW$4="",$A25&gt;TODAY()),0,IF(OR(INDEX($B25:$D25,AW$5)="F",AND(AW$6&gt;0,$A25&lt;AW$6),AND(AW$7&gt;0,$A25&gt;AW$7)),0,MAX(0,ROUND((INDEX($E25:$G25,AW$5)-SUMIFS(TF_Timer,TF_Tekniker,AW$4,TF_Dato,$A25))*2,0)/2)))</f>
        <v/>
      </c>
      <c r="AX25">
        <f>IF(OR(AX$4="",$A25&gt;TODAY()),0,IF(OR(INDEX($B25:$D25,AX$5)="F",AND(AX$6&gt;0,$A25&lt;AX$6),AND(AX$7&gt;0,$A25&gt;AX$7)),0,MAX(0,ROUND((INDEX($E25:$G25,AX$5)-SUMIFS(TF_Timer,TF_Tekniker,AX$4,TF_Dato,$A25))*2,0)/2)))</f>
        <v/>
      </c>
      <c r="AY25">
        <f>IF(OR(AY$4="",$A25&gt;TODAY()),0,IF(OR(INDEX($B25:$D25,AY$5)="F",AND(AY$6&gt;0,$A25&lt;AY$6),AND(AY$7&gt;0,$A25&gt;AY$7)),0,MAX(0,ROUND((INDEX($E25:$G25,AY$5)-SUMIFS(TF_Timer,TF_Tekniker,AY$4,TF_Dato,$A25))*2,0)/2)))</f>
        <v/>
      </c>
      <c r="AZ25">
        <f>IF(OR(AZ$4="",$A25&gt;TODAY()),0,IF(OR(INDEX($B25:$D25,AZ$5)="F",AND(AZ$6&gt;0,$A25&lt;AZ$6),AND(AZ$7&gt;0,$A25&gt;AZ$7)),0,MAX(0,ROUND((INDEX($E25:$G25,AZ$5)-SUMIFS(TF_Timer,TF_Tekniker,AZ$4,TF_Dato,$A25))*2,0)/2)))</f>
        <v/>
      </c>
      <c r="BA25">
        <f>IF(OR(BA$4="",$A25&gt;TODAY()),0,IF(OR(INDEX($B25:$D25,BA$5)="F",AND(BA$6&gt;0,$A25&lt;BA$6),AND(BA$7&gt;0,$A25&gt;BA$7)),0,MAX(0,ROUND((INDEX($E25:$G25,BA$5)-SUMIFS(TF_Timer,TF_Tekniker,BA$4,TF_Dato,$A25))*2,0)/2)))</f>
        <v/>
      </c>
      <c r="BB25">
        <f>IF(OR(BB$4="",$A25&gt;TODAY()),0,IF(OR(INDEX($B25:$D25,BB$5)="F",AND(BB$6&gt;0,$A25&lt;BB$6),AND(BB$7&gt;0,$A25&gt;BB$7)),0,MAX(0,ROUND((INDEX($E25:$G25,BB$5)-SUMIFS(TF_Timer,TF_Tekniker,BB$4,TF_Dato,$A25))*2,0)/2)))</f>
        <v/>
      </c>
      <c r="BC25">
        <f>IF(OR(BC$4="",$A25&gt;TODAY()),0,IF(OR(INDEX($B25:$D25,BC$5)="F",AND(BC$6&gt;0,$A25&lt;BC$6),AND(BC$7&gt;0,$A25&gt;BC$7)),0,MAX(0,ROUND((INDEX($E25:$G25,BC$5)-SUMIFS(TF_Timer,TF_Tekniker,BC$4,TF_Dato,$A25))*2,0)/2)))</f>
        <v/>
      </c>
      <c r="BD25">
        <f>IF(OR(BD$4="",$A25&gt;TODAY()),0,IF(OR(INDEX($B25:$D25,BD$5)="F",AND(BD$6&gt;0,$A25&lt;BD$6),AND(BD$7&gt;0,$A25&gt;BD$7)),0,MAX(0,ROUND((INDEX($E25:$G25,BD$5)-SUMIFS(TF_Timer,TF_Tekniker,BD$4,TF_Dato,$A25))*2,0)/2)))</f>
        <v/>
      </c>
      <c r="BE25">
        <f>IF(OR(BE$4="",$A25&gt;TODAY()),0,IF(OR(INDEX($B25:$D25,BE$5)="F",AND(BE$6&gt;0,$A25&lt;BE$6),AND(BE$7&gt;0,$A25&gt;BE$7)),0,MAX(0,ROUND((INDEX($E25:$G25,BE$5)-SUMIFS(TF_Timer,TF_Tekniker,BE$4,TF_Dato,$A25))*2,0)/2)))</f>
        <v/>
      </c>
      <c r="BF25">
        <f>IF(OR(BF$4="",$A25&gt;TODAY()),0,IF(OR(INDEX($B25:$D25,BF$5)="F",AND(BF$6&gt;0,$A25&lt;BF$6),AND(BF$7&gt;0,$A25&gt;BF$7)),0,MAX(0,ROUND((INDEX($E25:$G25,BF$5)-SUMIFS(TF_Timer,TF_Tekniker,BF$4,TF_Dato,$A25))*2,0)/2)))</f>
        <v/>
      </c>
      <c r="BG25">
        <f>IF(OR(BG$4="",$A25&gt;TODAY()),0,IF(OR(INDEX($B25:$D25,BG$5)="F",AND(BG$6&gt;0,$A25&lt;BG$6),AND(BG$7&gt;0,$A25&gt;BG$7)),0,MAX(0,ROUND((INDEX($E25:$G25,BG$5)-SUMIFS(TF_Timer,TF_Tekniker,BG$4,TF_Dato,$A25))*2,0)/2)))</f>
        <v/>
      </c>
      <c r="BH25">
        <f>IF(OR(BH$4="",$A25&gt;TODAY()),0,IF(OR(INDEX($B25:$D25,BH$5)="F",AND(BH$6&gt;0,$A25&lt;BH$6),AND(BH$7&gt;0,$A25&gt;BH$7)),0,MAX(0,ROUND((INDEX($E25:$G25,BH$5)-SUMIFS(TF_Timer,TF_Tekniker,BH$4,TF_Dato,$A25))*2,0)/2)))</f>
        <v/>
      </c>
      <c r="BI25">
        <f>IF(OR(BI$4="",$A25&gt;TODAY()),0,IF(OR(INDEX($B25:$D25,BI$5)="F",AND(BI$6&gt;0,$A25&lt;BI$6),AND(BI$7&gt;0,$A25&gt;BI$7)),0,MAX(0,ROUND((INDEX($E25:$G25,BI$5)-SUMIFS(TF_Timer,TF_Tekniker,BI$4,TF_Dato,$A25))*2,0)/2)))</f>
        <v/>
      </c>
    </row>
    <row r="26">
      <c r="A26" s="64">
        <f>A25+1</f>
        <v/>
      </c>
      <c r="B26">
        <f>IF(MOD($A26-INDEX(SkiftStart,1),Syklus)&lt;DagK,"K",IF(MOD($A26-INDEX(SkiftStart,1),Syklus)&lt;DagK+DagH,"H",IF(MOD($A26-INDEX(SkiftStart,1),Syklus)&lt;DagK+DagH+DagD,"D","F")))</f>
        <v/>
      </c>
      <c r="C26">
        <f>IF(MOD($A26-INDEX(SkiftStart,2),Syklus)&lt;DagK,"K",IF(MOD($A26-INDEX(SkiftStart,2),Syklus)&lt;DagK+DagH,"H",IF(MOD($A26-INDEX(SkiftStart,2),Syklus)&lt;DagK+DagH+DagD,"D","F")))</f>
        <v/>
      </c>
      <c r="D26">
        <f>IF(MOD($A26-INDEX(SkiftStart,3),Syklus)&lt;DagK,"K",IF(MOD($A26-INDEX(SkiftStart,3),Syklus)&lt;DagK+DagH,"H",IF(MOD($A26-INDEX(SkiftStart,3),Syklus)&lt;DagK+DagH+DagD,"D","F")))</f>
        <v/>
      </c>
      <c r="E26">
        <f>IF(B26="F",0,IF(WEEKDAY($A26,2)=5,INDEX(TimerFr,MATCH(B26,FaseKode,0)),INDEX(TimerMT,MATCH(B26,FaseKode,0))))</f>
        <v/>
      </c>
      <c r="F26">
        <f>IF(C26="F",0,IF(WEEKDAY($A26,2)=5,INDEX(TimerFr,MATCH(C26,FaseKode,0)),INDEX(TimerMT,MATCH(C26,FaseKode,0))))</f>
        <v/>
      </c>
      <c r="G26">
        <f>IF(D26="F",0,IF(WEEKDAY($A26,2)=5,INDEX(TimerFr,MATCH(D26,FaseKode,0)),INDEX(TimerMT,MATCH(D26,FaseKode,0))))</f>
        <v/>
      </c>
      <c r="H26">
        <f>IF(OR(H$4="",$A26&gt;TODAY()),0,IF(OR(INDEX($B26:$D26,H$5)="F",AND(H$6&gt;0,$A26&lt;H$6),AND(H$7&gt;0,$A26&gt;H$7)),0,MAX(0,ROUND((INDEX($E26:$G26,H$5)-SUMIFS(TF_Timer,TF_Tekniker,H$4,TF_Dato,$A26))*2,0)/2)))</f>
        <v/>
      </c>
      <c r="I26">
        <f>IF(OR(I$4="",$A26&gt;TODAY()),0,IF(OR(INDEX($B26:$D26,I$5)="F",AND(I$6&gt;0,$A26&lt;I$6),AND(I$7&gt;0,$A26&gt;I$7)),0,MAX(0,ROUND((INDEX($E26:$G26,I$5)-SUMIFS(TF_Timer,TF_Tekniker,I$4,TF_Dato,$A26))*2,0)/2)))</f>
        <v/>
      </c>
      <c r="J26">
        <f>IF(OR(J$4="",$A26&gt;TODAY()),0,IF(OR(INDEX($B26:$D26,J$5)="F",AND(J$6&gt;0,$A26&lt;J$6),AND(J$7&gt;0,$A26&gt;J$7)),0,MAX(0,ROUND((INDEX($E26:$G26,J$5)-SUMIFS(TF_Timer,TF_Tekniker,J$4,TF_Dato,$A26))*2,0)/2)))</f>
        <v/>
      </c>
      <c r="K26">
        <f>IF(OR(K$4="",$A26&gt;TODAY()),0,IF(OR(INDEX($B26:$D26,K$5)="F",AND(K$6&gt;0,$A26&lt;K$6),AND(K$7&gt;0,$A26&gt;K$7)),0,MAX(0,ROUND((INDEX($E26:$G26,K$5)-SUMIFS(TF_Timer,TF_Tekniker,K$4,TF_Dato,$A26))*2,0)/2)))</f>
        <v/>
      </c>
      <c r="L26">
        <f>IF(OR(L$4="",$A26&gt;TODAY()),0,IF(OR(INDEX($B26:$D26,L$5)="F",AND(L$6&gt;0,$A26&lt;L$6),AND(L$7&gt;0,$A26&gt;L$7)),0,MAX(0,ROUND((INDEX($E26:$G26,L$5)-SUMIFS(TF_Timer,TF_Tekniker,L$4,TF_Dato,$A26))*2,0)/2)))</f>
        <v/>
      </c>
      <c r="M26">
        <f>IF(OR(M$4="",$A26&gt;TODAY()),0,IF(OR(INDEX($B26:$D26,M$5)="F",AND(M$6&gt;0,$A26&lt;M$6),AND(M$7&gt;0,$A26&gt;M$7)),0,MAX(0,ROUND((INDEX($E26:$G26,M$5)-SUMIFS(TF_Timer,TF_Tekniker,M$4,TF_Dato,$A26))*2,0)/2)))</f>
        <v/>
      </c>
      <c r="N26">
        <f>IF(OR(N$4="",$A26&gt;TODAY()),0,IF(OR(INDEX($B26:$D26,N$5)="F",AND(N$6&gt;0,$A26&lt;N$6),AND(N$7&gt;0,$A26&gt;N$7)),0,MAX(0,ROUND((INDEX($E26:$G26,N$5)-SUMIFS(TF_Timer,TF_Tekniker,N$4,TF_Dato,$A26))*2,0)/2)))</f>
        <v/>
      </c>
      <c r="O26">
        <f>IF(OR(O$4="",$A26&gt;TODAY()),0,IF(OR(INDEX($B26:$D26,O$5)="F",AND(O$6&gt;0,$A26&lt;O$6),AND(O$7&gt;0,$A26&gt;O$7)),0,MAX(0,ROUND((INDEX($E26:$G26,O$5)-SUMIFS(TF_Timer,TF_Tekniker,O$4,TF_Dato,$A26))*2,0)/2)))</f>
        <v/>
      </c>
      <c r="P26">
        <f>IF(OR(P$4="",$A26&gt;TODAY()),0,IF(OR(INDEX($B26:$D26,P$5)="F",AND(P$6&gt;0,$A26&lt;P$6),AND(P$7&gt;0,$A26&gt;P$7)),0,MAX(0,ROUND((INDEX($E26:$G26,P$5)-SUMIFS(TF_Timer,TF_Tekniker,P$4,TF_Dato,$A26))*2,0)/2)))</f>
        <v/>
      </c>
      <c r="Q26">
        <f>IF(OR(Q$4="",$A26&gt;TODAY()),0,IF(OR(INDEX($B26:$D26,Q$5)="F",AND(Q$6&gt;0,$A26&lt;Q$6),AND(Q$7&gt;0,$A26&gt;Q$7)),0,MAX(0,ROUND((INDEX($E26:$G26,Q$5)-SUMIFS(TF_Timer,TF_Tekniker,Q$4,TF_Dato,$A26))*2,0)/2)))</f>
        <v/>
      </c>
      <c r="R26">
        <f>IF(OR(R$4="",$A26&gt;TODAY()),0,IF(OR(INDEX($B26:$D26,R$5)="F",AND(R$6&gt;0,$A26&lt;R$6),AND(R$7&gt;0,$A26&gt;R$7)),0,MAX(0,ROUND((INDEX($E26:$G26,R$5)-SUMIFS(TF_Timer,TF_Tekniker,R$4,TF_Dato,$A26))*2,0)/2)))</f>
        <v/>
      </c>
      <c r="S26">
        <f>IF(OR(S$4="",$A26&gt;TODAY()),0,IF(OR(INDEX($B26:$D26,S$5)="F",AND(S$6&gt;0,$A26&lt;S$6),AND(S$7&gt;0,$A26&gt;S$7)),0,MAX(0,ROUND((INDEX($E26:$G26,S$5)-SUMIFS(TF_Timer,TF_Tekniker,S$4,TF_Dato,$A26))*2,0)/2)))</f>
        <v/>
      </c>
      <c r="T26">
        <f>IF(OR(T$4="",$A26&gt;TODAY()),0,IF(OR(INDEX($B26:$D26,T$5)="F",AND(T$6&gt;0,$A26&lt;T$6),AND(T$7&gt;0,$A26&gt;T$7)),0,MAX(0,ROUND((INDEX($E26:$G26,T$5)-SUMIFS(TF_Timer,TF_Tekniker,T$4,TF_Dato,$A26))*2,0)/2)))</f>
        <v/>
      </c>
      <c r="U26">
        <f>IF(OR(U$4="",$A26&gt;TODAY()),0,IF(OR(INDEX($B26:$D26,U$5)="F",AND(U$6&gt;0,$A26&lt;U$6),AND(U$7&gt;0,$A26&gt;U$7)),0,MAX(0,ROUND((INDEX($E26:$G26,U$5)-SUMIFS(TF_Timer,TF_Tekniker,U$4,TF_Dato,$A26))*2,0)/2)))</f>
        <v/>
      </c>
      <c r="V26">
        <f>IF(OR(V$4="",$A26&gt;TODAY()),0,IF(OR(INDEX($B26:$D26,V$5)="F",AND(V$6&gt;0,$A26&lt;V$6),AND(V$7&gt;0,$A26&gt;V$7)),0,MAX(0,ROUND((INDEX($E26:$G26,V$5)-SUMIFS(TF_Timer,TF_Tekniker,V$4,TF_Dato,$A26))*2,0)/2)))</f>
        <v/>
      </c>
      <c r="W26">
        <f>IF(OR(W$4="",$A26&gt;TODAY()),0,IF(OR(INDEX($B26:$D26,W$5)="F",AND(W$6&gt;0,$A26&lt;W$6),AND(W$7&gt;0,$A26&gt;W$7)),0,MAX(0,ROUND((INDEX($E26:$G26,W$5)-SUMIFS(TF_Timer,TF_Tekniker,W$4,TF_Dato,$A26))*2,0)/2)))</f>
        <v/>
      </c>
      <c r="X26">
        <f>IF(OR(X$4="",$A26&gt;TODAY()),0,IF(OR(INDEX($B26:$D26,X$5)="F",AND(X$6&gt;0,$A26&lt;X$6),AND(X$7&gt;0,$A26&gt;X$7)),0,MAX(0,ROUND((INDEX($E26:$G26,X$5)-SUMIFS(TF_Timer,TF_Tekniker,X$4,TF_Dato,$A26))*2,0)/2)))</f>
        <v/>
      </c>
      <c r="Y26">
        <f>IF(OR(Y$4="",$A26&gt;TODAY()),0,IF(OR(INDEX($B26:$D26,Y$5)="F",AND(Y$6&gt;0,$A26&lt;Y$6),AND(Y$7&gt;0,$A26&gt;Y$7)),0,MAX(0,ROUND((INDEX($E26:$G26,Y$5)-SUMIFS(TF_Timer,TF_Tekniker,Y$4,TF_Dato,$A26))*2,0)/2)))</f>
        <v/>
      </c>
      <c r="Z26">
        <f>IF(OR(Z$4="",$A26&gt;TODAY()),0,IF(OR(INDEX($B26:$D26,Z$5)="F",AND(Z$6&gt;0,$A26&lt;Z$6),AND(Z$7&gt;0,$A26&gt;Z$7)),0,MAX(0,ROUND((INDEX($E26:$G26,Z$5)-SUMIFS(TF_Timer,TF_Tekniker,Z$4,TF_Dato,$A26))*2,0)/2)))</f>
        <v/>
      </c>
      <c r="AA26">
        <f>IF(OR(AA$4="",$A26&gt;TODAY()),0,IF(OR(INDEX($B26:$D26,AA$5)="F",AND(AA$6&gt;0,$A26&lt;AA$6),AND(AA$7&gt;0,$A26&gt;AA$7)),0,MAX(0,ROUND((INDEX($E26:$G26,AA$5)-SUMIFS(TF_Timer,TF_Tekniker,AA$4,TF_Dato,$A26))*2,0)/2)))</f>
        <v/>
      </c>
      <c r="AB26">
        <f>IF(OR(AB$4="",$A26&gt;TODAY()),0,IF(OR(INDEX($B26:$D26,AB$5)="F",AND(AB$6&gt;0,$A26&lt;AB$6),AND(AB$7&gt;0,$A26&gt;AB$7)),0,MAX(0,ROUND((INDEX($E26:$G26,AB$5)-SUMIFS(TF_Timer,TF_Tekniker,AB$4,TF_Dato,$A26))*2,0)/2)))</f>
        <v/>
      </c>
      <c r="AC26">
        <f>IF(OR(AC$4="",$A26&gt;TODAY()),0,IF(OR(INDEX($B26:$D26,AC$5)="F",AND(AC$6&gt;0,$A26&lt;AC$6),AND(AC$7&gt;0,$A26&gt;AC$7)),0,MAX(0,ROUND((INDEX($E26:$G26,AC$5)-SUMIFS(TF_Timer,TF_Tekniker,AC$4,TF_Dato,$A26))*2,0)/2)))</f>
        <v/>
      </c>
      <c r="AD26">
        <f>IF(OR(AD$4="",$A26&gt;TODAY()),0,IF(OR(INDEX($B26:$D26,AD$5)="F",AND(AD$6&gt;0,$A26&lt;AD$6),AND(AD$7&gt;0,$A26&gt;AD$7)),0,MAX(0,ROUND((INDEX($E26:$G26,AD$5)-SUMIFS(TF_Timer,TF_Tekniker,AD$4,TF_Dato,$A26))*2,0)/2)))</f>
        <v/>
      </c>
      <c r="AE26">
        <f>IF(OR(AE$4="",$A26&gt;TODAY()),0,IF(OR(INDEX($B26:$D26,AE$5)="F",AND(AE$6&gt;0,$A26&lt;AE$6),AND(AE$7&gt;0,$A26&gt;AE$7)),0,MAX(0,ROUND((INDEX($E26:$G26,AE$5)-SUMIFS(TF_Timer,TF_Tekniker,AE$4,TF_Dato,$A26))*2,0)/2)))</f>
        <v/>
      </c>
      <c r="AF26">
        <f>IF(OR(AF$4="",$A26&gt;TODAY()),0,IF(OR(INDEX($B26:$D26,AF$5)="F",AND(AF$6&gt;0,$A26&lt;AF$6),AND(AF$7&gt;0,$A26&gt;AF$7)),0,MAX(0,ROUND((INDEX($E26:$G26,AF$5)-SUMIFS(TF_Timer,TF_Tekniker,AF$4,TF_Dato,$A26))*2,0)/2)))</f>
        <v/>
      </c>
      <c r="AG26">
        <f>IF(OR(AG$4="",$A26&gt;TODAY()),0,IF(OR(INDEX($B26:$D26,AG$5)="F",AND(AG$6&gt;0,$A26&lt;AG$6),AND(AG$7&gt;0,$A26&gt;AG$7)),0,MAX(0,ROUND((INDEX($E26:$G26,AG$5)-SUMIFS(TF_Timer,TF_Tekniker,AG$4,TF_Dato,$A26))*2,0)/2)))</f>
        <v/>
      </c>
      <c r="AH26">
        <f>IF(OR(AH$4="",$A26&gt;TODAY()),0,IF(OR(INDEX($B26:$D26,AH$5)="F",AND(AH$6&gt;0,$A26&lt;AH$6),AND(AH$7&gt;0,$A26&gt;AH$7)),0,MAX(0,ROUND((INDEX($E26:$G26,AH$5)-SUMIFS(TF_Timer,TF_Tekniker,AH$4,TF_Dato,$A26))*2,0)/2)))</f>
        <v/>
      </c>
      <c r="AI26">
        <f>IF(OR(AI$4="",$A26&gt;TODAY()),0,IF(OR(INDEX($B26:$D26,AI$5)="F",AND(AI$6&gt;0,$A26&lt;AI$6),AND(AI$7&gt;0,$A26&gt;AI$7)),0,MAX(0,ROUND((INDEX($E26:$G26,AI$5)-SUMIFS(TF_Timer,TF_Tekniker,AI$4,TF_Dato,$A26))*2,0)/2)))</f>
        <v/>
      </c>
      <c r="AJ26">
        <f>IF(OR(AJ$4="",$A26&gt;TODAY()),0,IF(OR(INDEX($B26:$D26,AJ$5)="F",AND(AJ$6&gt;0,$A26&lt;AJ$6),AND(AJ$7&gt;0,$A26&gt;AJ$7)),0,MAX(0,ROUND((INDEX($E26:$G26,AJ$5)-SUMIFS(TF_Timer,TF_Tekniker,AJ$4,TF_Dato,$A26))*2,0)/2)))</f>
        <v/>
      </c>
      <c r="AK26">
        <f>IF(OR(AK$4="",$A26&gt;TODAY()),0,IF(OR(INDEX($B26:$D26,AK$5)="F",AND(AK$6&gt;0,$A26&lt;AK$6),AND(AK$7&gt;0,$A26&gt;AK$7)),0,MAX(0,ROUND((INDEX($E26:$G26,AK$5)-SUMIFS(TF_Timer,TF_Tekniker,AK$4,TF_Dato,$A26))*2,0)/2)))</f>
        <v/>
      </c>
      <c r="AL26">
        <f>IF(OR(AL$4="",$A26&gt;TODAY()),0,IF(OR(INDEX($B26:$D26,AL$5)="F",AND(AL$6&gt;0,$A26&lt;AL$6),AND(AL$7&gt;0,$A26&gt;AL$7)),0,MAX(0,ROUND((INDEX($E26:$G26,AL$5)-SUMIFS(TF_Timer,TF_Tekniker,AL$4,TF_Dato,$A26))*2,0)/2)))</f>
        <v/>
      </c>
      <c r="AM26">
        <f>IF(OR(AM$4="",$A26&gt;TODAY()),0,IF(OR(INDEX($B26:$D26,AM$5)="F",AND(AM$6&gt;0,$A26&lt;AM$6),AND(AM$7&gt;0,$A26&gt;AM$7)),0,MAX(0,ROUND((INDEX($E26:$G26,AM$5)-SUMIFS(TF_Timer,TF_Tekniker,AM$4,TF_Dato,$A26))*2,0)/2)))</f>
        <v/>
      </c>
      <c r="AN26">
        <f>IF(OR(AN$4="",$A26&gt;TODAY()),0,IF(OR(INDEX($B26:$D26,AN$5)="F",AND(AN$6&gt;0,$A26&lt;AN$6),AND(AN$7&gt;0,$A26&gt;AN$7)),0,MAX(0,ROUND((INDEX($E26:$G26,AN$5)-SUMIFS(TF_Timer,TF_Tekniker,AN$4,TF_Dato,$A26))*2,0)/2)))</f>
        <v/>
      </c>
      <c r="AO26">
        <f>IF(OR(AO$4="",$A26&gt;TODAY()),0,IF(OR(INDEX($B26:$D26,AO$5)="F",AND(AO$6&gt;0,$A26&lt;AO$6),AND(AO$7&gt;0,$A26&gt;AO$7)),0,MAX(0,ROUND((INDEX($E26:$G26,AO$5)-SUMIFS(TF_Timer,TF_Tekniker,AO$4,TF_Dato,$A26))*2,0)/2)))</f>
        <v/>
      </c>
      <c r="AP26">
        <f>IF(OR(AP$4="",$A26&gt;TODAY()),0,IF(OR(INDEX($B26:$D26,AP$5)="F",AND(AP$6&gt;0,$A26&lt;AP$6),AND(AP$7&gt;0,$A26&gt;AP$7)),0,MAX(0,ROUND((INDEX($E26:$G26,AP$5)-SUMIFS(TF_Timer,TF_Tekniker,AP$4,TF_Dato,$A26))*2,0)/2)))</f>
        <v/>
      </c>
      <c r="AQ26">
        <f>IF(OR(AQ$4="",$A26&gt;TODAY()),0,IF(OR(INDEX($B26:$D26,AQ$5)="F",AND(AQ$6&gt;0,$A26&lt;AQ$6),AND(AQ$7&gt;0,$A26&gt;AQ$7)),0,MAX(0,ROUND((INDEX($E26:$G26,AQ$5)-SUMIFS(TF_Timer,TF_Tekniker,AQ$4,TF_Dato,$A26))*2,0)/2)))</f>
        <v/>
      </c>
      <c r="AR26">
        <f>IF(OR(AR$4="",$A26&gt;TODAY()),0,IF(OR(INDEX($B26:$D26,AR$5)="F",AND(AR$6&gt;0,$A26&lt;AR$6),AND(AR$7&gt;0,$A26&gt;AR$7)),0,MAX(0,ROUND((INDEX($E26:$G26,AR$5)-SUMIFS(TF_Timer,TF_Tekniker,AR$4,TF_Dato,$A26))*2,0)/2)))</f>
        <v/>
      </c>
      <c r="AS26">
        <f>IF(OR(AS$4="",$A26&gt;TODAY()),0,IF(OR(INDEX($B26:$D26,AS$5)="F",AND(AS$6&gt;0,$A26&lt;AS$6),AND(AS$7&gt;0,$A26&gt;AS$7)),0,MAX(0,ROUND((INDEX($E26:$G26,AS$5)-SUMIFS(TF_Timer,TF_Tekniker,AS$4,TF_Dato,$A26))*2,0)/2)))</f>
        <v/>
      </c>
      <c r="AT26">
        <f>IF(OR(AT$4="",$A26&gt;TODAY()),0,IF(OR(INDEX($B26:$D26,AT$5)="F",AND(AT$6&gt;0,$A26&lt;AT$6),AND(AT$7&gt;0,$A26&gt;AT$7)),0,MAX(0,ROUND((INDEX($E26:$G26,AT$5)-SUMIFS(TF_Timer,TF_Tekniker,AT$4,TF_Dato,$A26))*2,0)/2)))</f>
        <v/>
      </c>
      <c r="AU26">
        <f>IF(OR(AU$4="",$A26&gt;TODAY()),0,IF(OR(INDEX($B26:$D26,AU$5)="F",AND(AU$6&gt;0,$A26&lt;AU$6),AND(AU$7&gt;0,$A26&gt;AU$7)),0,MAX(0,ROUND((INDEX($E26:$G26,AU$5)-SUMIFS(TF_Timer,TF_Tekniker,AU$4,TF_Dato,$A26))*2,0)/2)))</f>
        <v/>
      </c>
      <c r="AV26">
        <f>IF(OR(AV$4="",$A26&gt;TODAY()),0,IF(OR(INDEX($B26:$D26,AV$5)="F",AND(AV$6&gt;0,$A26&lt;AV$6),AND(AV$7&gt;0,$A26&gt;AV$7)),0,MAX(0,ROUND((INDEX($E26:$G26,AV$5)-SUMIFS(TF_Timer,TF_Tekniker,AV$4,TF_Dato,$A26))*2,0)/2)))</f>
        <v/>
      </c>
      <c r="AW26">
        <f>IF(OR(AW$4="",$A26&gt;TODAY()),0,IF(OR(INDEX($B26:$D26,AW$5)="F",AND(AW$6&gt;0,$A26&lt;AW$6),AND(AW$7&gt;0,$A26&gt;AW$7)),0,MAX(0,ROUND((INDEX($E26:$G26,AW$5)-SUMIFS(TF_Timer,TF_Tekniker,AW$4,TF_Dato,$A26))*2,0)/2)))</f>
        <v/>
      </c>
      <c r="AX26">
        <f>IF(OR(AX$4="",$A26&gt;TODAY()),0,IF(OR(INDEX($B26:$D26,AX$5)="F",AND(AX$6&gt;0,$A26&lt;AX$6),AND(AX$7&gt;0,$A26&gt;AX$7)),0,MAX(0,ROUND((INDEX($E26:$G26,AX$5)-SUMIFS(TF_Timer,TF_Tekniker,AX$4,TF_Dato,$A26))*2,0)/2)))</f>
        <v/>
      </c>
      <c r="AY26">
        <f>IF(OR(AY$4="",$A26&gt;TODAY()),0,IF(OR(INDEX($B26:$D26,AY$5)="F",AND(AY$6&gt;0,$A26&lt;AY$6),AND(AY$7&gt;0,$A26&gt;AY$7)),0,MAX(0,ROUND((INDEX($E26:$G26,AY$5)-SUMIFS(TF_Timer,TF_Tekniker,AY$4,TF_Dato,$A26))*2,0)/2)))</f>
        <v/>
      </c>
      <c r="AZ26">
        <f>IF(OR(AZ$4="",$A26&gt;TODAY()),0,IF(OR(INDEX($B26:$D26,AZ$5)="F",AND(AZ$6&gt;0,$A26&lt;AZ$6),AND(AZ$7&gt;0,$A26&gt;AZ$7)),0,MAX(0,ROUND((INDEX($E26:$G26,AZ$5)-SUMIFS(TF_Timer,TF_Tekniker,AZ$4,TF_Dato,$A26))*2,0)/2)))</f>
        <v/>
      </c>
      <c r="BA26">
        <f>IF(OR(BA$4="",$A26&gt;TODAY()),0,IF(OR(INDEX($B26:$D26,BA$5)="F",AND(BA$6&gt;0,$A26&lt;BA$6),AND(BA$7&gt;0,$A26&gt;BA$7)),0,MAX(0,ROUND((INDEX($E26:$G26,BA$5)-SUMIFS(TF_Timer,TF_Tekniker,BA$4,TF_Dato,$A26))*2,0)/2)))</f>
        <v/>
      </c>
      <c r="BB26">
        <f>IF(OR(BB$4="",$A26&gt;TODAY()),0,IF(OR(INDEX($B26:$D26,BB$5)="F",AND(BB$6&gt;0,$A26&lt;BB$6),AND(BB$7&gt;0,$A26&gt;BB$7)),0,MAX(0,ROUND((INDEX($E26:$G26,BB$5)-SUMIFS(TF_Timer,TF_Tekniker,BB$4,TF_Dato,$A26))*2,0)/2)))</f>
        <v/>
      </c>
      <c r="BC26">
        <f>IF(OR(BC$4="",$A26&gt;TODAY()),0,IF(OR(INDEX($B26:$D26,BC$5)="F",AND(BC$6&gt;0,$A26&lt;BC$6),AND(BC$7&gt;0,$A26&gt;BC$7)),0,MAX(0,ROUND((INDEX($E26:$G26,BC$5)-SUMIFS(TF_Timer,TF_Tekniker,BC$4,TF_Dato,$A26))*2,0)/2)))</f>
        <v/>
      </c>
      <c r="BD26">
        <f>IF(OR(BD$4="",$A26&gt;TODAY()),0,IF(OR(INDEX($B26:$D26,BD$5)="F",AND(BD$6&gt;0,$A26&lt;BD$6),AND(BD$7&gt;0,$A26&gt;BD$7)),0,MAX(0,ROUND((INDEX($E26:$G26,BD$5)-SUMIFS(TF_Timer,TF_Tekniker,BD$4,TF_Dato,$A26))*2,0)/2)))</f>
        <v/>
      </c>
      <c r="BE26">
        <f>IF(OR(BE$4="",$A26&gt;TODAY()),0,IF(OR(INDEX($B26:$D26,BE$5)="F",AND(BE$6&gt;0,$A26&lt;BE$6),AND(BE$7&gt;0,$A26&gt;BE$7)),0,MAX(0,ROUND((INDEX($E26:$G26,BE$5)-SUMIFS(TF_Timer,TF_Tekniker,BE$4,TF_Dato,$A26))*2,0)/2)))</f>
        <v/>
      </c>
      <c r="BF26">
        <f>IF(OR(BF$4="",$A26&gt;TODAY()),0,IF(OR(INDEX($B26:$D26,BF$5)="F",AND(BF$6&gt;0,$A26&lt;BF$6),AND(BF$7&gt;0,$A26&gt;BF$7)),0,MAX(0,ROUND((INDEX($E26:$G26,BF$5)-SUMIFS(TF_Timer,TF_Tekniker,BF$4,TF_Dato,$A26))*2,0)/2)))</f>
        <v/>
      </c>
      <c r="BG26">
        <f>IF(OR(BG$4="",$A26&gt;TODAY()),0,IF(OR(INDEX($B26:$D26,BG$5)="F",AND(BG$6&gt;0,$A26&lt;BG$6),AND(BG$7&gt;0,$A26&gt;BG$7)),0,MAX(0,ROUND((INDEX($E26:$G26,BG$5)-SUMIFS(TF_Timer,TF_Tekniker,BG$4,TF_Dato,$A26))*2,0)/2)))</f>
        <v/>
      </c>
      <c r="BH26">
        <f>IF(OR(BH$4="",$A26&gt;TODAY()),0,IF(OR(INDEX($B26:$D26,BH$5)="F",AND(BH$6&gt;0,$A26&lt;BH$6),AND(BH$7&gt;0,$A26&gt;BH$7)),0,MAX(0,ROUND((INDEX($E26:$G26,BH$5)-SUMIFS(TF_Timer,TF_Tekniker,BH$4,TF_Dato,$A26))*2,0)/2)))</f>
        <v/>
      </c>
      <c r="BI26">
        <f>IF(OR(BI$4="",$A26&gt;TODAY()),0,IF(OR(INDEX($B26:$D26,BI$5)="F",AND(BI$6&gt;0,$A26&lt;BI$6),AND(BI$7&gt;0,$A26&gt;BI$7)),0,MAX(0,ROUND((INDEX($E26:$G26,BI$5)-SUMIFS(TF_Timer,TF_Tekniker,BI$4,TF_Dato,$A26))*2,0)/2)))</f>
        <v/>
      </c>
    </row>
    <row r="27">
      <c r="A27" s="64">
        <f>A26+1</f>
        <v/>
      </c>
      <c r="B27">
        <f>IF(MOD($A27-INDEX(SkiftStart,1),Syklus)&lt;DagK,"K",IF(MOD($A27-INDEX(SkiftStart,1),Syklus)&lt;DagK+DagH,"H",IF(MOD($A27-INDEX(SkiftStart,1),Syklus)&lt;DagK+DagH+DagD,"D","F")))</f>
        <v/>
      </c>
      <c r="C27">
        <f>IF(MOD($A27-INDEX(SkiftStart,2),Syklus)&lt;DagK,"K",IF(MOD($A27-INDEX(SkiftStart,2),Syklus)&lt;DagK+DagH,"H",IF(MOD($A27-INDEX(SkiftStart,2),Syklus)&lt;DagK+DagH+DagD,"D","F")))</f>
        <v/>
      </c>
      <c r="D27">
        <f>IF(MOD($A27-INDEX(SkiftStart,3),Syklus)&lt;DagK,"K",IF(MOD($A27-INDEX(SkiftStart,3),Syklus)&lt;DagK+DagH,"H",IF(MOD($A27-INDEX(SkiftStart,3),Syklus)&lt;DagK+DagH+DagD,"D","F")))</f>
        <v/>
      </c>
      <c r="E27">
        <f>IF(B27="F",0,IF(WEEKDAY($A27,2)=5,INDEX(TimerFr,MATCH(B27,FaseKode,0)),INDEX(TimerMT,MATCH(B27,FaseKode,0))))</f>
        <v/>
      </c>
      <c r="F27">
        <f>IF(C27="F",0,IF(WEEKDAY($A27,2)=5,INDEX(TimerFr,MATCH(C27,FaseKode,0)),INDEX(TimerMT,MATCH(C27,FaseKode,0))))</f>
        <v/>
      </c>
      <c r="G27">
        <f>IF(D27="F",0,IF(WEEKDAY($A27,2)=5,INDEX(TimerFr,MATCH(D27,FaseKode,0)),INDEX(TimerMT,MATCH(D27,FaseKode,0))))</f>
        <v/>
      </c>
      <c r="H27">
        <f>IF(OR(H$4="",$A27&gt;TODAY()),0,IF(OR(INDEX($B27:$D27,H$5)="F",AND(H$6&gt;0,$A27&lt;H$6),AND(H$7&gt;0,$A27&gt;H$7)),0,MAX(0,ROUND((INDEX($E27:$G27,H$5)-SUMIFS(TF_Timer,TF_Tekniker,H$4,TF_Dato,$A27))*2,0)/2)))</f>
        <v/>
      </c>
      <c r="I27">
        <f>IF(OR(I$4="",$A27&gt;TODAY()),0,IF(OR(INDEX($B27:$D27,I$5)="F",AND(I$6&gt;0,$A27&lt;I$6),AND(I$7&gt;0,$A27&gt;I$7)),0,MAX(0,ROUND((INDEX($E27:$G27,I$5)-SUMIFS(TF_Timer,TF_Tekniker,I$4,TF_Dato,$A27))*2,0)/2)))</f>
        <v/>
      </c>
      <c r="J27">
        <f>IF(OR(J$4="",$A27&gt;TODAY()),0,IF(OR(INDEX($B27:$D27,J$5)="F",AND(J$6&gt;0,$A27&lt;J$6),AND(J$7&gt;0,$A27&gt;J$7)),0,MAX(0,ROUND((INDEX($E27:$G27,J$5)-SUMIFS(TF_Timer,TF_Tekniker,J$4,TF_Dato,$A27))*2,0)/2)))</f>
        <v/>
      </c>
      <c r="K27">
        <f>IF(OR(K$4="",$A27&gt;TODAY()),0,IF(OR(INDEX($B27:$D27,K$5)="F",AND(K$6&gt;0,$A27&lt;K$6),AND(K$7&gt;0,$A27&gt;K$7)),0,MAX(0,ROUND((INDEX($E27:$G27,K$5)-SUMIFS(TF_Timer,TF_Tekniker,K$4,TF_Dato,$A27))*2,0)/2)))</f>
        <v/>
      </c>
      <c r="L27">
        <f>IF(OR(L$4="",$A27&gt;TODAY()),0,IF(OR(INDEX($B27:$D27,L$5)="F",AND(L$6&gt;0,$A27&lt;L$6),AND(L$7&gt;0,$A27&gt;L$7)),0,MAX(0,ROUND((INDEX($E27:$G27,L$5)-SUMIFS(TF_Timer,TF_Tekniker,L$4,TF_Dato,$A27))*2,0)/2)))</f>
        <v/>
      </c>
      <c r="M27">
        <f>IF(OR(M$4="",$A27&gt;TODAY()),0,IF(OR(INDEX($B27:$D27,M$5)="F",AND(M$6&gt;0,$A27&lt;M$6),AND(M$7&gt;0,$A27&gt;M$7)),0,MAX(0,ROUND((INDEX($E27:$G27,M$5)-SUMIFS(TF_Timer,TF_Tekniker,M$4,TF_Dato,$A27))*2,0)/2)))</f>
        <v/>
      </c>
      <c r="N27">
        <f>IF(OR(N$4="",$A27&gt;TODAY()),0,IF(OR(INDEX($B27:$D27,N$5)="F",AND(N$6&gt;0,$A27&lt;N$6),AND(N$7&gt;0,$A27&gt;N$7)),0,MAX(0,ROUND((INDEX($E27:$G27,N$5)-SUMIFS(TF_Timer,TF_Tekniker,N$4,TF_Dato,$A27))*2,0)/2)))</f>
        <v/>
      </c>
      <c r="O27">
        <f>IF(OR(O$4="",$A27&gt;TODAY()),0,IF(OR(INDEX($B27:$D27,O$5)="F",AND(O$6&gt;0,$A27&lt;O$6),AND(O$7&gt;0,$A27&gt;O$7)),0,MAX(0,ROUND((INDEX($E27:$G27,O$5)-SUMIFS(TF_Timer,TF_Tekniker,O$4,TF_Dato,$A27))*2,0)/2)))</f>
        <v/>
      </c>
      <c r="P27">
        <f>IF(OR(P$4="",$A27&gt;TODAY()),0,IF(OR(INDEX($B27:$D27,P$5)="F",AND(P$6&gt;0,$A27&lt;P$6),AND(P$7&gt;0,$A27&gt;P$7)),0,MAX(0,ROUND((INDEX($E27:$G27,P$5)-SUMIFS(TF_Timer,TF_Tekniker,P$4,TF_Dato,$A27))*2,0)/2)))</f>
        <v/>
      </c>
      <c r="Q27">
        <f>IF(OR(Q$4="",$A27&gt;TODAY()),0,IF(OR(INDEX($B27:$D27,Q$5)="F",AND(Q$6&gt;0,$A27&lt;Q$6),AND(Q$7&gt;0,$A27&gt;Q$7)),0,MAX(0,ROUND((INDEX($E27:$G27,Q$5)-SUMIFS(TF_Timer,TF_Tekniker,Q$4,TF_Dato,$A27))*2,0)/2)))</f>
        <v/>
      </c>
      <c r="R27">
        <f>IF(OR(R$4="",$A27&gt;TODAY()),0,IF(OR(INDEX($B27:$D27,R$5)="F",AND(R$6&gt;0,$A27&lt;R$6),AND(R$7&gt;0,$A27&gt;R$7)),0,MAX(0,ROUND((INDEX($E27:$G27,R$5)-SUMIFS(TF_Timer,TF_Tekniker,R$4,TF_Dato,$A27))*2,0)/2)))</f>
        <v/>
      </c>
      <c r="S27">
        <f>IF(OR(S$4="",$A27&gt;TODAY()),0,IF(OR(INDEX($B27:$D27,S$5)="F",AND(S$6&gt;0,$A27&lt;S$6),AND(S$7&gt;0,$A27&gt;S$7)),0,MAX(0,ROUND((INDEX($E27:$G27,S$5)-SUMIFS(TF_Timer,TF_Tekniker,S$4,TF_Dato,$A27))*2,0)/2)))</f>
        <v/>
      </c>
      <c r="T27">
        <f>IF(OR(T$4="",$A27&gt;TODAY()),0,IF(OR(INDEX($B27:$D27,T$5)="F",AND(T$6&gt;0,$A27&lt;T$6),AND(T$7&gt;0,$A27&gt;T$7)),0,MAX(0,ROUND((INDEX($E27:$G27,T$5)-SUMIFS(TF_Timer,TF_Tekniker,T$4,TF_Dato,$A27))*2,0)/2)))</f>
        <v/>
      </c>
      <c r="U27">
        <f>IF(OR(U$4="",$A27&gt;TODAY()),0,IF(OR(INDEX($B27:$D27,U$5)="F",AND(U$6&gt;0,$A27&lt;U$6),AND(U$7&gt;0,$A27&gt;U$7)),0,MAX(0,ROUND((INDEX($E27:$G27,U$5)-SUMIFS(TF_Timer,TF_Tekniker,U$4,TF_Dato,$A27))*2,0)/2)))</f>
        <v/>
      </c>
      <c r="V27">
        <f>IF(OR(V$4="",$A27&gt;TODAY()),0,IF(OR(INDEX($B27:$D27,V$5)="F",AND(V$6&gt;0,$A27&lt;V$6),AND(V$7&gt;0,$A27&gt;V$7)),0,MAX(0,ROUND((INDEX($E27:$G27,V$5)-SUMIFS(TF_Timer,TF_Tekniker,V$4,TF_Dato,$A27))*2,0)/2)))</f>
        <v/>
      </c>
      <c r="W27">
        <f>IF(OR(W$4="",$A27&gt;TODAY()),0,IF(OR(INDEX($B27:$D27,W$5)="F",AND(W$6&gt;0,$A27&lt;W$6),AND(W$7&gt;0,$A27&gt;W$7)),0,MAX(0,ROUND((INDEX($E27:$G27,W$5)-SUMIFS(TF_Timer,TF_Tekniker,W$4,TF_Dato,$A27))*2,0)/2)))</f>
        <v/>
      </c>
      <c r="X27">
        <f>IF(OR(X$4="",$A27&gt;TODAY()),0,IF(OR(INDEX($B27:$D27,X$5)="F",AND(X$6&gt;0,$A27&lt;X$6),AND(X$7&gt;0,$A27&gt;X$7)),0,MAX(0,ROUND((INDEX($E27:$G27,X$5)-SUMIFS(TF_Timer,TF_Tekniker,X$4,TF_Dato,$A27))*2,0)/2)))</f>
        <v/>
      </c>
      <c r="Y27">
        <f>IF(OR(Y$4="",$A27&gt;TODAY()),0,IF(OR(INDEX($B27:$D27,Y$5)="F",AND(Y$6&gt;0,$A27&lt;Y$6),AND(Y$7&gt;0,$A27&gt;Y$7)),0,MAX(0,ROUND((INDEX($E27:$G27,Y$5)-SUMIFS(TF_Timer,TF_Tekniker,Y$4,TF_Dato,$A27))*2,0)/2)))</f>
        <v/>
      </c>
      <c r="Z27">
        <f>IF(OR(Z$4="",$A27&gt;TODAY()),0,IF(OR(INDEX($B27:$D27,Z$5)="F",AND(Z$6&gt;0,$A27&lt;Z$6),AND(Z$7&gt;0,$A27&gt;Z$7)),0,MAX(0,ROUND((INDEX($E27:$G27,Z$5)-SUMIFS(TF_Timer,TF_Tekniker,Z$4,TF_Dato,$A27))*2,0)/2)))</f>
        <v/>
      </c>
      <c r="AA27">
        <f>IF(OR(AA$4="",$A27&gt;TODAY()),0,IF(OR(INDEX($B27:$D27,AA$5)="F",AND(AA$6&gt;0,$A27&lt;AA$6),AND(AA$7&gt;0,$A27&gt;AA$7)),0,MAX(0,ROUND((INDEX($E27:$G27,AA$5)-SUMIFS(TF_Timer,TF_Tekniker,AA$4,TF_Dato,$A27))*2,0)/2)))</f>
        <v/>
      </c>
      <c r="AB27">
        <f>IF(OR(AB$4="",$A27&gt;TODAY()),0,IF(OR(INDEX($B27:$D27,AB$5)="F",AND(AB$6&gt;0,$A27&lt;AB$6),AND(AB$7&gt;0,$A27&gt;AB$7)),0,MAX(0,ROUND((INDEX($E27:$G27,AB$5)-SUMIFS(TF_Timer,TF_Tekniker,AB$4,TF_Dato,$A27))*2,0)/2)))</f>
        <v/>
      </c>
      <c r="AC27">
        <f>IF(OR(AC$4="",$A27&gt;TODAY()),0,IF(OR(INDEX($B27:$D27,AC$5)="F",AND(AC$6&gt;0,$A27&lt;AC$6),AND(AC$7&gt;0,$A27&gt;AC$7)),0,MAX(0,ROUND((INDEX($E27:$G27,AC$5)-SUMIFS(TF_Timer,TF_Tekniker,AC$4,TF_Dato,$A27))*2,0)/2)))</f>
        <v/>
      </c>
      <c r="AD27">
        <f>IF(OR(AD$4="",$A27&gt;TODAY()),0,IF(OR(INDEX($B27:$D27,AD$5)="F",AND(AD$6&gt;0,$A27&lt;AD$6),AND(AD$7&gt;0,$A27&gt;AD$7)),0,MAX(0,ROUND((INDEX($E27:$G27,AD$5)-SUMIFS(TF_Timer,TF_Tekniker,AD$4,TF_Dato,$A27))*2,0)/2)))</f>
        <v/>
      </c>
      <c r="AE27">
        <f>IF(OR(AE$4="",$A27&gt;TODAY()),0,IF(OR(INDEX($B27:$D27,AE$5)="F",AND(AE$6&gt;0,$A27&lt;AE$6),AND(AE$7&gt;0,$A27&gt;AE$7)),0,MAX(0,ROUND((INDEX($E27:$G27,AE$5)-SUMIFS(TF_Timer,TF_Tekniker,AE$4,TF_Dato,$A27))*2,0)/2)))</f>
        <v/>
      </c>
      <c r="AF27">
        <f>IF(OR(AF$4="",$A27&gt;TODAY()),0,IF(OR(INDEX($B27:$D27,AF$5)="F",AND(AF$6&gt;0,$A27&lt;AF$6),AND(AF$7&gt;0,$A27&gt;AF$7)),0,MAX(0,ROUND((INDEX($E27:$G27,AF$5)-SUMIFS(TF_Timer,TF_Tekniker,AF$4,TF_Dato,$A27))*2,0)/2)))</f>
        <v/>
      </c>
      <c r="AG27">
        <f>IF(OR(AG$4="",$A27&gt;TODAY()),0,IF(OR(INDEX($B27:$D27,AG$5)="F",AND(AG$6&gt;0,$A27&lt;AG$6),AND(AG$7&gt;0,$A27&gt;AG$7)),0,MAX(0,ROUND((INDEX($E27:$G27,AG$5)-SUMIFS(TF_Timer,TF_Tekniker,AG$4,TF_Dato,$A27))*2,0)/2)))</f>
        <v/>
      </c>
      <c r="AH27">
        <f>IF(OR(AH$4="",$A27&gt;TODAY()),0,IF(OR(INDEX($B27:$D27,AH$5)="F",AND(AH$6&gt;0,$A27&lt;AH$6),AND(AH$7&gt;0,$A27&gt;AH$7)),0,MAX(0,ROUND((INDEX($E27:$G27,AH$5)-SUMIFS(TF_Timer,TF_Tekniker,AH$4,TF_Dato,$A27))*2,0)/2)))</f>
        <v/>
      </c>
      <c r="AI27">
        <f>IF(OR(AI$4="",$A27&gt;TODAY()),0,IF(OR(INDEX($B27:$D27,AI$5)="F",AND(AI$6&gt;0,$A27&lt;AI$6),AND(AI$7&gt;0,$A27&gt;AI$7)),0,MAX(0,ROUND((INDEX($E27:$G27,AI$5)-SUMIFS(TF_Timer,TF_Tekniker,AI$4,TF_Dato,$A27))*2,0)/2)))</f>
        <v/>
      </c>
      <c r="AJ27">
        <f>IF(OR(AJ$4="",$A27&gt;TODAY()),0,IF(OR(INDEX($B27:$D27,AJ$5)="F",AND(AJ$6&gt;0,$A27&lt;AJ$6),AND(AJ$7&gt;0,$A27&gt;AJ$7)),0,MAX(0,ROUND((INDEX($E27:$G27,AJ$5)-SUMIFS(TF_Timer,TF_Tekniker,AJ$4,TF_Dato,$A27))*2,0)/2)))</f>
        <v/>
      </c>
      <c r="AK27">
        <f>IF(OR(AK$4="",$A27&gt;TODAY()),0,IF(OR(INDEX($B27:$D27,AK$5)="F",AND(AK$6&gt;0,$A27&lt;AK$6),AND(AK$7&gt;0,$A27&gt;AK$7)),0,MAX(0,ROUND((INDEX($E27:$G27,AK$5)-SUMIFS(TF_Timer,TF_Tekniker,AK$4,TF_Dato,$A27))*2,0)/2)))</f>
        <v/>
      </c>
      <c r="AL27">
        <f>IF(OR(AL$4="",$A27&gt;TODAY()),0,IF(OR(INDEX($B27:$D27,AL$5)="F",AND(AL$6&gt;0,$A27&lt;AL$6),AND(AL$7&gt;0,$A27&gt;AL$7)),0,MAX(0,ROUND((INDEX($E27:$G27,AL$5)-SUMIFS(TF_Timer,TF_Tekniker,AL$4,TF_Dato,$A27))*2,0)/2)))</f>
        <v/>
      </c>
      <c r="AM27">
        <f>IF(OR(AM$4="",$A27&gt;TODAY()),0,IF(OR(INDEX($B27:$D27,AM$5)="F",AND(AM$6&gt;0,$A27&lt;AM$6),AND(AM$7&gt;0,$A27&gt;AM$7)),0,MAX(0,ROUND((INDEX($E27:$G27,AM$5)-SUMIFS(TF_Timer,TF_Tekniker,AM$4,TF_Dato,$A27))*2,0)/2)))</f>
        <v/>
      </c>
      <c r="AN27">
        <f>IF(OR(AN$4="",$A27&gt;TODAY()),0,IF(OR(INDEX($B27:$D27,AN$5)="F",AND(AN$6&gt;0,$A27&lt;AN$6),AND(AN$7&gt;0,$A27&gt;AN$7)),0,MAX(0,ROUND((INDEX($E27:$G27,AN$5)-SUMIFS(TF_Timer,TF_Tekniker,AN$4,TF_Dato,$A27))*2,0)/2)))</f>
        <v/>
      </c>
      <c r="AO27">
        <f>IF(OR(AO$4="",$A27&gt;TODAY()),0,IF(OR(INDEX($B27:$D27,AO$5)="F",AND(AO$6&gt;0,$A27&lt;AO$6),AND(AO$7&gt;0,$A27&gt;AO$7)),0,MAX(0,ROUND((INDEX($E27:$G27,AO$5)-SUMIFS(TF_Timer,TF_Tekniker,AO$4,TF_Dato,$A27))*2,0)/2)))</f>
        <v/>
      </c>
      <c r="AP27">
        <f>IF(OR(AP$4="",$A27&gt;TODAY()),0,IF(OR(INDEX($B27:$D27,AP$5)="F",AND(AP$6&gt;0,$A27&lt;AP$6),AND(AP$7&gt;0,$A27&gt;AP$7)),0,MAX(0,ROUND((INDEX($E27:$G27,AP$5)-SUMIFS(TF_Timer,TF_Tekniker,AP$4,TF_Dato,$A27))*2,0)/2)))</f>
        <v/>
      </c>
      <c r="AQ27">
        <f>IF(OR(AQ$4="",$A27&gt;TODAY()),0,IF(OR(INDEX($B27:$D27,AQ$5)="F",AND(AQ$6&gt;0,$A27&lt;AQ$6),AND(AQ$7&gt;0,$A27&gt;AQ$7)),0,MAX(0,ROUND((INDEX($E27:$G27,AQ$5)-SUMIFS(TF_Timer,TF_Tekniker,AQ$4,TF_Dato,$A27))*2,0)/2)))</f>
        <v/>
      </c>
      <c r="AR27">
        <f>IF(OR(AR$4="",$A27&gt;TODAY()),0,IF(OR(INDEX($B27:$D27,AR$5)="F",AND(AR$6&gt;0,$A27&lt;AR$6),AND(AR$7&gt;0,$A27&gt;AR$7)),0,MAX(0,ROUND((INDEX($E27:$G27,AR$5)-SUMIFS(TF_Timer,TF_Tekniker,AR$4,TF_Dato,$A27))*2,0)/2)))</f>
        <v/>
      </c>
      <c r="AS27">
        <f>IF(OR(AS$4="",$A27&gt;TODAY()),0,IF(OR(INDEX($B27:$D27,AS$5)="F",AND(AS$6&gt;0,$A27&lt;AS$6),AND(AS$7&gt;0,$A27&gt;AS$7)),0,MAX(0,ROUND((INDEX($E27:$G27,AS$5)-SUMIFS(TF_Timer,TF_Tekniker,AS$4,TF_Dato,$A27))*2,0)/2)))</f>
        <v/>
      </c>
      <c r="AT27">
        <f>IF(OR(AT$4="",$A27&gt;TODAY()),0,IF(OR(INDEX($B27:$D27,AT$5)="F",AND(AT$6&gt;0,$A27&lt;AT$6),AND(AT$7&gt;0,$A27&gt;AT$7)),0,MAX(0,ROUND((INDEX($E27:$G27,AT$5)-SUMIFS(TF_Timer,TF_Tekniker,AT$4,TF_Dato,$A27))*2,0)/2)))</f>
        <v/>
      </c>
      <c r="AU27">
        <f>IF(OR(AU$4="",$A27&gt;TODAY()),0,IF(OR(INDEX($B27:$D27,AU$5)="F",AND(AU$6&gt;0,$A27&lt;AU$6),AND(AU$7&gt;0,$A27&gt;AU$7)),0,MAX(0,ROUND((INDEX($E27:$G27,AU$5)-SUMIFS(TF_Timer,TF_Tekniker,AU$4,TF_Dato,$A27))*2,0)/2)))</f>
        <v/>
      </c>
      <c r="AV27">
        <f>IF(OR(AV$4="",$A27&gt;TODAY()),0,IF(OR(INDEX($B27:$D27,AV$5)="F",AND(AV$6&gt;0,$A27&lt;AV$6),AND(AV$7&gt;0,$A27&gt;AV$7)),0,MAX(0,ROUND((INDEX($E27:$G27,AV$5)-SUMIFS(TF_Timer,TF_Tekniker,AV$4,TF_Dato,$A27))*2,0)/2)))</f>
        <v/>
      </c>
      <c r="AW27">
        <f>IF(OR(AW$4="",$A27&gt;TODAY()),0,IF(OR(INDEX($B27:$D27,AW$5)="F",AND(AW$6&gt;0,$A27&lt;AW$6),AND(AW$7&gt;0,$A27&gt;AW$7)),0,MAX(0,ROUND((INDEX($E27:$G27,AW$5)-SUMIFS(TF_Timer,TF_Tekniker,AW$4,TF_Dato,$A27))*2,0)/2)))</f>
        <v/>
      </c>
      <c r="AX27">
        <f>IF(OR(AX$4="",$A27&gt;TODAY()),0,IF(OR(INDEX($B27:$D27,AX$5)="F",AND(AX$6&gt;0,$A27&lt;AX$6),AND(AX$7&gt;0,$A27&gt;AX$7)),0,MAX(0,ROUND((INDEX($E27:$G27,AX$5)-SUMIFS(TF_Timer,TF_Tekniker,AX$4,TF_Dato,$A27))*2,0)/2)))</f>
        <v/>
      </c>
      <c r="AY27">
        <f>IF(OR(AY$4="",$A27&gt;TODAY()),0,IF(OR(INDEX($B27:$D27,AY$5)="F",AND(AY$6&gt;0,$A27&lt;AY$6),AND(AY$7&gt;0,$A27&gt;AY$7)),0,MAX(0,ROUND((INDEX($E27:$G27,AY$5)-SUMIFS(TF_Timer,TF_Tekniker,AY$4,TF_Dato,$A27))*2,0)/2)))</f>
        <v/>
      </c>
      <c r="AZ27">
        <f>IF(OR(AZ$4="",$A27&gt;TODAY()),0,IF(OR(INDEX($B27:$D27,AZ$5)="F",AND(AZ$6&gt;0,$A27&lt;AZ$6),AND(AZ$7&gt;0,$A27&gt;AZ$7)),0,MAX(0,ROUND((INDEX($E27:$G27,AZ$5)-SUMIFS(TF_Timer,TF_Tekniker,AZ$4,TF_Dato,$A27))*2,0)/2)))</f>
        <v/>
      </c>
      <c r="BA27">
        <f>IF(OR(BA$4="",$A27&gt;TODAY()),0,IF(OR(INDEX($B27:$D27,BA$5)="F",AND(BA$6&gt;0,$A27&lt;BA$6),AND(BA$7&gt;0,$A27&gt;BA$7)),0,MAX(0,ROUND((INDEX($E27:$G27,BA$5)-SUMIFS(TF_Timer,TF_Tekniker,BA$4,TF_Dato,$A27))*2,0)/2)))</f>
        <v/>
      </c>
      <c r="BB27">
        <f>IF(OR(BB$4="",$A27&gt;TODAY()),0,IF(OR(INDEX($B27:$D27,BB$5)="F",AND(BB$6&gt;0,$A27&lt;BB$6),AND(BB$7&gt;0,$A27&gt;BB$7)),0,MAX(0,ROUND((INDEX($E27:$G27,BB$5)-SUMIFS(TF_Timer,TF_Tekniker,BB$4,TF_Dato,$A27))*2,0)/2)))</f>
        <v/>
      </c>
      <c r="BC27">
        <f>IF(OR(BC$4="",$A27&gt;TODAY()),0,IF(OR(INDEX($B27:$D27,BC$5)="F",AND(BC$6&gt;0,$A27&lt;BC$6),AND(BC$7&gt;0,$A27&gt;BC$7)),0,MAX(0,ROUND((INDEX($E27:$G27,BC$5)-SUMIFS(TF_Timer,TF_Tekniker,BC$4,TF_Dato,$A27))*2,0)/2)))</f>
        <v/>
      </c>
      <c r="BD27">
        <f>IF(OR(BD$4="",$A27&gt;TODAY()),0,IF(OR(INDEX($B27:$D27,BD$5)="F",AND(BD$6&gt;0,$A27&lt;BD$6),AND(BD$7&gt;0,$A27&gt;BD$7)),0,MAX(0,ROUND((INDEX($E27:$G27,BD$5)-SUMIFS(TF_Timer,TF_Tekniker,BD$4,TF_Dato,$A27))*2,0)/2)))</f>
        <v/>
      </c>
      <c r="BE27">
        <f>IF(OR(BE$4="",$A27&gt;TODAY()),0,IF(OR(INDEX($B27:$D27,BE$5)="F",AND(BE$6&gt;0,$A27&lt;BE$6),AND(BE$7&gt;0,$A27&gt;BE$7)),0,MAX(0,ROUND((INDEX($E27:$G27,BE$5)-SUMIFS(TF_Timer,TF_Tekniker,BE$4,TF_Dato,$A27))*2,0)/2)))</f>
        <v/>
      </c>
      <c r="BF27">
        <f>IF(OR(BF$4="",$A27&gt;TODAY()),0,IF(OR(INDEX($B27:$D27,BF$5)="F",AND(BF$6&gt;0,$A27&lt;BF$6),AND(BF$7&gt;0,$A27&gt;BF$7)),0,MAX(0,ROUND((INDEX($E27:$G27,BF$5)-SUMIFS(TF_Timer,TF_Tekniker,BF$4,TF_Dato,$A27))*2,0)/2)))</f>
        <v/>
      </c>
      <c r="BG27">
        <f>IF(OR(BG$4="",$A27&gt;TODAY()),0,IF(OR(INDEX($B27:$D27,BG$5)="F",AND(BG$6&gt;0,$A27&lt;BG$6),AND(BG$7&gt;0,$A27&gt;BG$7)),0,MAX(0,ROUND((INDEX($E27:$G27,BG$5)-SUMIFS(TF_Timer,TF_Tekniker,BG$4,TF_Dato,$A27))*2,0)/2)))</f>
        <v/>
      </c>
      <c r="BH27">
        <f>IF(OR(BH$4="",$A27&gt;TODAY()),0,IF(OR(INDEX($B27:$D27,BH$5)="F",AND(BH$6&gt;0,$A27&lt;BH$6),AND(BH$7&gt;0,$A27&gt;BH$7)),0,MAX(0,ROUND((INDEX($E27:$G27,BH$5)-SUMIFS(TF_Timer,TF_Tekniker,BH$4,TF_Dato,$A27))*2,0)/2)))</f>
        <v/>
      </c>
      <c r="BI27">
        <f>IF(OR(BI$4="",$A27&gt;TODAY()),0,IF(OR(INDEX($B27:$D27,BI$5)="F",AND(BI$6&gt;0,$A27&lt;BI$6),AND(BI$7&gt;0,$A27&gt;BI$7)),0,MAX(0,ROUND((INDEX($E27:$G27,BI$5)-SUMIFS(TF_Timer,TF_Tekniker,BI$4,TF_Dato,$A27))*2,0)/2)))</f>
        <v/>
      </c>
    </row>
    <row r="28">
      <c r="A28" s="64">
        <f>A27+1</f>
        <v/>
      </c>
      <c r="B28">
        <f>IF(MOD($A28-INDEX(SkiftStart,1),Syklus)&lt;DagK,"K",IF(MOD($A28-INDEX(SkiftStart,1),Syklus)&lt;DagK+DagH,"H",IF(MOD($A28-INDEX(SkiftStart,1),Syklus)&lt;DagK+DagH+DagD,"D","F")))</f>
        <v/>
      </c>
      <c r="C28">
        <f>IF(MOD($A28-INDEX(SkiftStart,2),Syklus)&lt;DagK,"K",IF(MOD($A28-INDEX(SkiftStart,2),Syklus)&lt;DagK+DagH,"H",IF(MOD($A28-INDEX(SkiftStart,2),Syklus)&lt;DagK+DagH+DagD,"D","F")))</f>
        <v/>
      </c>
      <c r="D28">
        <f>IF(MOD($A28-INDEX(SkiftStart,3),Syklus)&lt;DagK,"K",IF(MOD($A28-INDEX(SkiftStart,3),Syklus)&lt;DagK+DagH,"H",IF(MOD($A28-INDEX(SkiftStart,3),Syklus)&lt;DagK+DagH+DagD,"D","F")))</f>
        <v/>
      </c>
      <c r="E28">
        <f>IF(B28="F",0,IF(WEEKDAY($A28,2)=5,INDEX(TimerFr,MATCH(B28,FaseKode,0)),INDEX(TimerMT,MATCH(B28,FaseKode,0))))</f>
        <v/>
      </c>
      <c r="F28">
        <f>IF(C28="F",0,IF(WEEKDAY($A28,2)=5,INDEX(TimerFr,MATCH(C28,FaseKode,0)),INDEX(TimerMT,MATCH(C28,FaseKode,0))))</f>
        <v/>
      </c>
      <c r="G28">
        <f>IF(D28="F",0,IF(WEEKDAY($A28,2)=5,INDEX(TimerFr,MATCH(D28,FaseKode,0)),INDEX(TimerMT,MATCH(D28,FaseKode,0))))</f>
        <v/>
      </c>
      <c r="H28">
        <f>IF(OR(H$4="",$A28&gt;TODAY()),0,IF(OR(INDEX($B28:$D28,H$5)="F",AND(H$6&gt;0,$A28&lt;H$6),AND(H$7&gt;0,$A28&gt;H$7)),0,MAX(0,ROUND((INDEX($E28:$G28,H$5)-SUMIFS(TF_Timer,TF_Tekniker,H$4,TF_Dato,$A28))*2,0)/2)))</f>
        <v/>
      </c>
      <c r="I28">
        <f>IF(OR(I$4="",$A28&gt;TODAY()),0,IF(OR(INDEX($B28:$D28,I$5)="F",AND(I$6&gt;0,$A28&lt;I$6),AND(I$7&gt;0,$A28&gt;I$7)),0,MAX(0,ROUND((INDEX($E28:$G28,I$5)-SUMIFS(TF_Timer,TF_Tekniker,I$4,TF_Dato,$A28))*2,0)/2)))</f>
        <v/>
      </c>
      <c r="J28">
        <f>IF(OR(J$4="",$A28&gt;TODAY()),0,IF(OR(INDEX($B28:$D28,J$5)="F",AND(J$6&gt;0,$A28&lt;J$6),AND(J$7&gt;0,$A28&gt;J$7)),0,MAX(0,ROUND((INDEX($E28:$G28,J$5)-SUMIFS(TF_Timer,TF_Tekniker,J$4,TF_Dato,$A28))*2,0)/2)))</f>
        <v/>
      </c>
      <c r="K28">
        <f>IF(OR(K$4="",$A28&gt;TODAY()),0,IF(OR(INDEX($B28:$D28,K$5)="F",AND(K$6&gt;0,$A28&lt;K$6),AND(K$7&gt;0,$A28&gt;K$7)),0,MAX(0,ROUND((INDEX($E28:$G28,K$5)-SUMIFS(TF_Timer,TF_Tekniker,K$4,TF_Dato,$A28))*2,0)/2)))</f>
        <v/>
      </c>
      <c r="L28">
        <f>IF(OR(L$4="",$A28&gt;TODAY()),0,IF(OR(INDEX($B28:$D28,L$5)="F",AND(L$6&gt;0,$A28&lt;L$6),AND(L$7&gt;0,$A28&gt;L$7)),0,MAX(0,ROUND((INDEX($E28:$G28,L$5)-SUMIFS(TF_Timer,TF_Tekniker,L$4,TF_Dato,$A28))*2,0)/2)))</f>
        <v/>
      </c>
      <c r="M28">
        <f>IF(OR(M$4="",$A28&gt;TODAY()),0,IF(OR(INDEX($B28:$D28,M$5)="F",AND(M$6&gt;0,$A28&lt;M$6),AND(M$7&gt;0,$A28&gt;M$7)),0,MAX(0,ROUND((INDEX($E28:$G28,M$5)-SUMIFS(TF_Timer,TF_Tekniker,M$4,TF_Dato,$A28))*2,0)/2)))</f>
        <v/>
      </c>
      <c r="N28">
        <f>IF(OR(N$4="",$A28&gt;TODAY()),0,IF(OR(INDEX($B28:$D28,N$5)="F",AND(N$6&gt;0,$A28&lt;N$6),AND(N$7&gt;0,$A28&gt;N$7)),0,MAX(0,ROUND((INDEX($E28:$G28,N$5)-SUMIFS(TF_Timer,TF_Tekniker,N$4,TF_Dato,$A28))*2,0)/2)))</f>
        <v/>
      </c>
      <c r="O28">
        <f>IF(OR(O$4="",$A28&gt;TODAY()),0,IF(OR(INDEX($B28:$D28,O$5)="F",AND(O$6&gt;0,$A28&lt;O$6),AND(O$7&gt;0,$A28&gt;O$7)),0,MAX(0,ROUND((INDEX($E28:$G28,O$5)-SUMIFS(TF_Timer,TF_Tekniker,O$4,TF_Dato,$A28))*2,0)/2)))</f>
        <v/>
      </c>
      <c r="P28">
        <f>IF(OR(P$4="",$A28&gt;TODAY()),0,IF(OR(INDEX($B28:$D28,P$5)="F",AND(P$6&gt;0,$A28&lt;P$6),AND(P$7&gt;0,$A28&gt;P$7)),0,MAX(0,ROUND((INDEX($E28:$G28,P$5)-SUMIFS(TF_Timer,TF_Tekniker,P$4,TF_Dato,$A28))*2,0)/2)))</f>
        <v/>
      </c>
      <c r="Q28">
        <f>IF(OR(Q$4="",$A28&gt;TODAY()),0,IF(OR(INDEX($B28:$D28,Q$5)="F",AND(Q$6&gt;0,$A28&lt;Q$6),AND(Q$7&gt;0,$A28&gt;Q$7)),0,MAX(0,ROUND((INDEX($E28:$G28,Q$5)-SUMIFS(TF_Timer,TF_Tekniker,Q$4,TF_Dato,$A28))*2,0)/2)))</f>
        <v/>
      </c>
      <c r="R28">
        <f>IF(OR(R$4="",$A28&gt;TODAY()),0,IF(OR(INDEX($B28:$D28,R$5)="F",AND(R$6&gt;0,$A28&lt;R$6),AND(R$7&gt;0,$A28&gt;R$7)),0,MAX(0,ROUND((INDEX($E28:$G28,R$5)-SUMIFS(TF_Timer,TF_Tekniker,R$4,TF_Dato,$A28))*2,0)/2)))</f>
        <v/>
      </c>
      <c r="S28">
        <f>IF(OR(S$4="",$A28&gt;TODAY()),0,IF(OR(INDEX($B28:$D28,S$5)="F",AND(S$6&gt;0,$A28&lt;S$6),AND(S$7&gt;0,$A28&gt;S$7)),0,MAX(0,ROUND((INDEX($E28:$G28,S$5)-SUMIFS(TF_Timer,TF_Tekniker,S$4,TF_Dato,$A28))*2,0)/2)))</f>
        <v/>
      </c>
      <c r="T28">
        <f>IF(OR(T$4="",$A28&gt;TODAY()),0,IF(OR(INDEX($B28:$D28,T$5)="F",AND(T$6&gt;0,$A28&lt;T$6),AND(T$7&gt;0,$A28&gt;T$7)),0,MAX(0,ROUND((INDEX($E28:$G28,T$5)-SUMIFS(TF_Timer,TF_Tekniker,T$4,TF_Dato,$A28))*2,0)/2)))</f>
        <v/>
      </c>
      <c r="U28">
        <f>IF(OR(U$4="",$A28&gt;TODAY()),0,IF(OR(INDEX($B28:$D28,U$5)="F",AND(U$6&gt;0,$A28&lt;U$6),AND(U$7&gt;0,$A28&gt;U$7)),0,MAX(0,ROUND((INDEX($E28:$G28,U$5)-SUMIFS(TF_Timer,TF_Tekniker,U$4,TF_Dato,$A28))*2,0)/2)))</f>
        <v/>
      </c>
      <c r="V28">
        <f>IF(OR(V$4="",$A28&gt;TODAY()),0,IF(OR(INDEX($B28:$D28,V$5)="F",AND(V$6&gt;0,$A28&lt;V$6),AND(V$7&gt;0,$A28&gt;V$7)),0,MAX(0,ROUND((INDEX($E28:$G28,V$5)-SUMIFS(TF_Timer,TF_Tekniker,V$4,TF_Dato,$A28))*2,0)/2)))</f>
        <v/>
      </c>
      <c r="W28">
        <f>IF(OR(W$4="",$A28&gt;TODAY()),0,IF(OR(INDEX($B28:$D28,W$5)="F",AND(W$6&gt;0,$A28&lt;W$6),AND(W$7&gt;0,$A28&gt;W$7)),0,MAX(0,ROUND((INDEX($E28:$G28,W$5)-SUMIFS(TF_Timer,TF_Tekniker,W$4,TF_Dato,$A28))*2,0)/2)))</f>
        <v/>
      </c>
      <c r="X28">
        <f>IF(OR(X$4="",$A28&gt;TODAY()),0,IF(OR(INDEX($B28:$D28,X$5)="F",AND(X$6&gt;0,$A28&lt;X$6),AND(X$7&gt;0,$A28&gt;X$7)),0,MAX(0,ROUND((INDEX($E28:$G28,X$5)-SUMIFS(TF_Timer,TF_Tekniker,X$4,TF_Dato,$A28))*2,0)/2)))</f>
        <v/>
      </c>
      <c r="Y28">
        <f>IF(OR(Y$4="",$A28&gt;TODAY()),0,IF(OR(INDEX($B28:$D28,Y$5)="F",AND(Y$6&gt;0,$A28&lt;Y$6),AND(Y$7&gt;0,$A28&gt;Y$7)),0,MAX(0,ROUND((INDEX($E28:$G28,Y$5)-SUMIFS(TF_Timer,TF_Tekniker,Y$4,TF_Dato,$A28))*2,0)/2)))</f>
        <v/>
      </c>
      <c r="Z28">
        <f>IF(OR(Z$4="",$A28&gt;TODAY()),0,IF(OR(INDEX($B28:$D28,Z$5)="F",AND(Z$6&gt;0,$A28&lt;Z$6),AND(Z$7&gt;0,$A28&gt;Z$7)),0,MAX(0,ROUND((INDEX($E28:$G28,Z$5)-SUMIFS(TF_Timer,TF_Tekniker,Z$4,TF_Dato,$A28))*2,0)/2)))</f>
        <v/>
      </c>
      <c r="AA28">
        <f>IF(OR(AA$4="",$A28&gt;TODAY()),0,IF(OR(INDEX($B28:$D28,AA$5)="F",AND(AA$6&gt;0,$A28&lt;AA$6),AND(AA$7&gt;0,$A28&gt;AA$7)),0,MAX(0,ROUND((INDEX($E28:$G28,AA$5)-SUMIFS(TF_Timer,TF_Tekniker,AA$4,TF_Dato,$A28))*2,0)/2)))</f>
        <v/>
      </c>
      <c r="AB28">
        <f>IF(OR(AB$4="",$A28&gt;TODAY()),0,IF(OR(INDEX($B28:$D28,AB$5)="F",AND(AB$6&gt;0,$A28&lt;AB$6),AND(AB$7&gt;0,$A28&gt;AB$7)),0,MAX(0,ROUND((INDEX($E28:$G28,AB$5)-SUMIFS(TF_Timer,TF_Tekniker,AB$4,TF_Dato,$A28))*2,0)/2)))</f>
        <v/>
      </c>
      <c r="AC28">
        <f>IF(OR(AC$4="",$A28&gt;TODAY()),0,IF(OR(INDEX($B28:$D28,AC$5)="F",AND(AC$6&gt;0,$A28&lt;AC$6),AND(AC$7&gt;0,$A28&gt;AC$7)),0,MAX(0,ROUND((INDEX($E28:$G28,AC$5)-SUMIFS(TF_Timer,TF_Tekniker,AC$4,TF_Dato,$A28))*2,0)/2)))</f>
        <v/>
      </c>
      <c r="AD28">
        <f>IF(OR(AD$4="",$A28&gt;TODAY()),0,IF(OR(INDEX($B28:$D28,AD$5)="F",AND(AD$6&gt;0,$A28&lt;AD$6),AND(AD$7&gt;0,$A28&gt;AD$7)),0,MAX(0,ROUND((INDEX($E28:$G28,AD$5)-SUMIFS(TF_Timer,TF_Tekniker,AD$4,TF_Dato,$A28))*2,0)/2)))</f>
        <v/>
      </c>
      <c r="AE28">
        <f>IF(OR(AE$4="",$A28&gt;TODAY()),0,IF(OR(INDEX($B28:$D28,AE$5)="F",AND(AE$6&gt;0,$A28&lt;AE$6),AND(AE$7&gt;0,$A28&gt;AE$7)),0,MAX(0,ROUND((INDEX($E28:$G28,AE$5)-SUMIFS(TF_Timer,TF_Tekniker,AE$4,TF_Dato,$A28))*2,0)/2)))</f>
        <v/>
      </c>
      <c r="AF28">
        <f>IF(OR(AF$4="",$A28&gt;TODAY()),0,IF(OR(INDEX($B28:$D28,AF$5)="F",AND(AF$6&gt;0,$A28&lt;AF$6),AND(AF$7&gt;0,$A28&gt;AF$7)),0,MAX(0,ROUND((INDEX($E28:$G28,AF$5)-SUMIFS(TF_Timer,TF_Tekniker,AF$4,TF_Dato,$A28))*2,0)/2)))</f>
        <v/>
      </c>
      <c r="AG28">
        <f>IF(OR(AG$4="",$A28&gt;TODAY()),0,IF(OR(INDEX($B28:$D28,AG$5)="F",AND(AG$6&gt;0,$A28&lt;AG$6),AND(AG$7&gt;0,$A28&gt;AG$7)),0,MAX(0,ROUND((INDEX($E28:$G28,AG$5)-SUMIFS(TF_Timer,TF_Tekniker,AG$4,TF_Dato,$A28))*2,0)/2)))</f>
        <v/>
      </c>
      <c r="AH28">
        <f>IF(OR(AH$4="",$A28&gt;TODAY()),0,IF(OR(INDEX($B28:$D28,AH$5)="F",AND(AH$6&gt;0,$A28&lt;AH$6),AND(AH$7&gt;0,$A28&gt;AH$7)),0,MAX(0,ROUND((INDEX($E28:$G28,AH$5)-SUMIFS(TF_Timer,TF_Tekniker,AH$4,TF_Dato,$A28))*2,0)/2)))</f>
        <v/>
      </c>
      <c r="AI28">
        <f>IF(OR(AI$4="",$A28&gt;TODAY()),0,IF(OR(INDEX($B28:$D28,AI$5)="F",AND(AI$6&gt;0,$A28&lt;AI$6),AND(AI$7&gt;0,$A28&gt;AI$7)),0,MAX(0,ROUND((INDEX($E28:$G28,AI$5)-SUMIFS(TF_Timer,TF_Tekniker,AI$4,TF_Dato,$A28))*2,0)/2)))</f>
        <v/>
      </c>
      <c r="AJ28">
        <f>IF(OR(AJ$4="",$A28&gt;TODAY()),0,IF(OR(INDEX($B28:$D28,AJ$5)="F",AND(AJ$6&gt;0,$A28&lt;AJ$6),AND(AJ$7&gt;0,$A28&gt;AJ$7)),0,MAX(0,ROUND((INDEX($E28:$G28,AJ$5)-SUMIFS(TF_Timer,TF_Tekniker,AJ$4,TF_Dato,$A28))*2,0)/2)))</f>
        <v/>
      </c>
      <c r="AK28">
        <f>IF(OR(AK$4="",$A28&gt;TODAY()),0,IF(OR(INDEX($B28:$D28,AK$5)="F",AND(AK$6&gt;0,$A28&lt;AK$6),AND(AK$7&gt;0,$A28&gt;AK$7)),0,MAX(0,ROUND((INDEX($E28:$G28,AK$5)-SUMIFS(TF_Timer,TF_Tekniker,AK$4,TF_Dato,$A28))*2,0)/2)))</f>
        <v/>
      </c>
      <c r="AL28">
        <f>IF(OR(AL$4="",$A28&gt;TODAY()),0,IF(OR(INDEX($B28:$D28,AL$5)="F",AND(AL$6&gt;0,$A28&lt;AL$6),AND(AL$7&gt;0,$A28&gt;AL$7)),0,MAX(0,ROUND((INDEX($E28:$G28,AL$5)-SUMIFS(TF_Timer,TF_Tekniker,AL$4,TF_Dato,$A28))*2,0)/2)))</f>
        <v/>
      </c>
      <c r="AM28">
        <f>IF(OR(AM$4="",$A28&gt;TODAY()),0,IF(OR(INDEX($B28:$D28,AM$5)="F",AND(AM$6&gt;0,$A28&lt;AM$6),AND(AM$7&gt;0,$A28&gt;AM$7)),0,MAX(0,ROUND((INDEX($E28:$G28,AM$5)-SUMIFS(TF_Timer,TF_Tekniker,AM$4,TF_Dato,$A28))*2,0)/2)))</f>
        <v/>
      </c>
      <c r="AN28">
        <f>IF(OR(AN$4="",$A28&gt;TODAY()),0,IF(OR(INDEX($B28:$D28,AN$5)="F",AND(AN$6&gt;0,$A28&lt;AN$6),AND(AN$7&gt;0,$A28&gt;AN$7)),0,MAX(0,ROUND((INDEX($E28:$G28,AN$5)-SUMIFS(TF_Timer,TF_Tekniker,AN$4,TF_Dato,$A28))*2,0)/2)))</f>
        <v/>
      </c>
      <c r="AO28">
        <f>IF(OR(AO$4="",$A28&gt;TODAY()),0,IF(OR(INDEX($B28:$D28,AO$5)="F",AND(AO$6&gt;0,$A28&lt;AO$6),AND(AO$7&gt;0,$A28&gt;AO$7)),0,MAX(0,ROUND((INDEX($E28:$G28,AO$5)-SUMIFS(TF_Timer,TF_Tekniker,AO$4,TF_Dato,$A28))*2,0)/2)))</f>
        <v/>
      </c>
      <c r="AP28">
        <f>IF(OR(AP$4="",$A28&gt;TODAY()),0,IF(OR(INDEX($B28:$D28,AP$5)="F",AND(AP$6&gt;0,$A28&lt;AP$6),AND(AP$7&gt;0,$A28&gt;AP$7)),0,MAX(0,ROUND((INDEX($E28:$G28,AP$5)-SUMIFS(TF_Timer,TF_Tekniker,AP$4,TF_Dato,$A28))*2,0)/2)))</f>
        <v/>
      </c>
      <c r="AQ28">
        <f>IF(OR(AQ$4="",$A28&gt;TODAY()),0,IF(OR(INDEX($B28:$D28,AQ$5)="F",AND(AQ$6&gt;0,$A28&lt;AQ$6),AND(AQ$7&gt;0,$A28&gt;AQ$7)),0,MAX(0,ROUND((INDEX($E28:$G28,AQ$5)-SUMIFS(TF_Timer,TF_Tekniker,AQ$4,TF_Dato,$A28))*2,0)/2)))</f>
        <v/>
      </c>
      <c r="AR28">
        <f>IF(OR(AR$4="",$A28&gt;TODAY()),0,IF(OR(INDEX($B28:$D28,AR$5)="F",AND(AR$6&gt;0,$A28&lt;AR$6),AND(AR$7&gt;0,$A28&gt;AR$7)),0,MAX(0,ROUND((INDEX($E28:$G28,AR$5)-SUMIFS(TF_Timer,TF_Tekniker,AR$4,TF_Dato,$A28))*2,0)/2)))</f>
        <v/>
      </c>
      <c r="AS28">
        <f>IF(OR(AS$4="",$A28&gt;TODAY()),0,IF(OR(INDEX($B28:$D28,AS$5)="F",AND(AS$6&gt;0,$A28&lt;AS$6),AND(AS$7&gt;0,$A28&gt;AS$7)),0,MAX(0,ROUND((INDEX($E28:$G28,AS$5)-SUMIFS(TF_Timer,TF_Tekniker,AS$4,TF_Dato,$A28))*2,0)/2)))</f>
        <v/>
      </c>
      <c r="AT28">
        <f>IF(OR(AT$4="",$A28&gt;TODAY()),0,IF(OR(INDEX($B28:$D28,AT$5)="F",AND(AT$6&gt;0,$A28&lt;AT$6),AND(AT$7&gt;0,$A28&gt;AT$7)),0,MAX(0,ROUND((INDEX($E28:$G28,AT$5)-SUMIFS(TF_Timer,TF_Tekniker,AT$4,TF_Dato,$A28))*2,0)/2)))</f>
        <v/>
      </c>
      <c r="AU28">
        <f>IF(OR(AU$4="",$A28&gt;TODAY()),0,IF(OR(INDEX($B28:$D28,AU$5)="F",AND(AU$6&gt;0,$A28&lt;AU$6),AND(AU$7&gt;0,$A28&gt;AU$7)),0,MAX(0,ROUND((INDEX($E28:$G28,AU$5)-SUMIFS(TF_Timer,TF_Tekniker,AU$4,TF_Dato,$A28))*2,0)/2)))</f>
        <v/>
      </c>
      <c r="AV28">
        <f>IF(OR(AV$4="",$A28&gt;TODAY()),0,IF(OR(INDEX($B28:$D28,AV$5)="F",AND(AV$6&gt;0,$A28&lt;AV$6),AND(AV$7&gt;0,$A28&gt;AV$7)),0,MAX(0,ROUND((INDEX($E28:$G28,AV$5)-SUMIFS(TF_Timer,TF_Tekniker,AV$4,TF_Dato,$A28))*2,0)/2)))</f>
        <v/>
      </c>
      <c r="AW28">
        <f>IF(OR(AW$4="",$A28&gt;TODAY()),0,IF(OR(INDEX($B28:$D28,AW$5)="F",AND(AW$6&gt;0,$A28&lt;AW$6),AND(AW$7&gt;0,$A28&gt;AW$7)),0,MAX(0,ROUND((INDEX($E28:$G28,AW$5)-SUMIFS(TF_Timer,TF_Tekniker,AW$4,TF_Dato,$A28))*2,0)/2)))</f>
        <v/>
      </c>
      <c r="AX28">
        <f>IF(OR(AX$4="",$A28&gt;TODAY()),0,IF(OR(INDEX($B28:$D28,AX$5)="F",AND(AX$6&gt;0,$A28&lt;AX$6),AND(AX$7&gt;0,$A28&gt;AX$7)),0,MAX(0,ROUND((INDEX($E28:$G28,AX$5)-SUMIFS(TF_Timer,TF_Tekniker,AX$4,TF_Dato,$A28))*2,0)/2)))</f>
        <v/>
      </c>
      <c r="AY28">
        <f>IF(OR(AY$4="",$A28&gt;TODAY()),0,IF(OR(INDEX($B28:$D28,AY$5)="F",AND(AY$6&gt;0,$A28&lt;AY$6),AND(AY$7&gt;0,$A28&gt;AY$7)),0,MAX(0,ROUND((INDEX($E28:$G28,AY$5)-SUMIFS(TF_Timer,TF_Tekniker,AY$4,TF_Dato,$A28))*2,0)/2)))</f>
        <v/>
      </c>
      <c r="AZ28">
        <f>IF(OR(AZ$4="",$A28&gt;TODAY()),0,IF(OR(INDEX($B28:$D28,AZ$5)="F",AND(AZ$6&gt;0,$A28&lt;AZ$6),AND(AZ$7&gt;0,$A28&gt;AZ$7)),0,MAX(0,ROUND((INDEX($E28:$G28,AZ$5)-SUMIFS(TF_Timer,TF_Tekniker,AZ$4,TF_Dato,$A28))*2,0)/2)))</f>
        <v/>
      </c>
      <c r="BA28">
        <f>IF(OR(BA$4="",$A28&gt;TODAY()),0,IF(OR(INDEX($B28:$D28,BA$5)="F",AND(BA$6&gt;0,$A28&lt;BA$6),AND(BA$7&gt;0,$A28&gt;BA$7)),0,MAX(0,ROUND((INDEX($E28:$G28,BA$5)-SUMIFS(TF_Timer,TF_Tekniker,BA$4,TF_Dato,$A28))*2,0)/2)))</f>
        <v/>
      </c>
      <c r="BB28">
        <f>IF(OR(BB$4="",$A28&gt;TODAY()),0,IF(OR(INDEX($B28:$D28,BB$5)="F",AND(BB$6&gt;0,$A28&lt;BB$6),AND(BB$7&gt;0,$A28&gt;BB$7)),0,MAX(0,ROUND((INDEX($E28:$G28,BB$5)-SUMIFS(TF_Timer,TF_Tekniker,BB$4,TF_Dato,$A28))*2,0)/2)))</f>
        <v/>
      </c>
      <c r="BC28">
        <f>IF(OR(BC$4="",$A28&gt;TODAY()),0,IF(OR(INDEX($B28:$D28,BC$5)="F",AND(BC$6&gt;0,$A28&lt;BC$6),AND(BC$7&gt;0,$A28&gt;BC$7)),0,MAX(0,ROUND((INDEX($E28:$G28,BC$5)-SUMIFS(TF_Timer,TF_Tekniker,BC$4,TF_Dato,$A28))*2,0)/2)))</f>
        <v/>
      </c>
      <c r="BD28">
        <f>IF(OR(BD$4="",$A28&gt;TODAY()),0,IF(OR(INDEX($B28:$D28,BD$5)="F",AND(BD$6&gt;0,$A28&lt;BD$6),AND(BD$7&gt;0,$A28&gt;BD$7)),0,MAX(0,ROUND((INDEX($E28:$G28,BD$5)-SUMIFS(TF_Timer,TF_Tekniker,BD$4,TF_Dato,$A28))*2,0)/2)))</f>
        <v/>
      </c>
      <c r="BE28">
        <f>IF(OR(BE$4="",$A28&gt;TODAY()),0,IF(OR(INDEX($B28:$D28,BE$5)="F",AND(BE$6&gt;0,$A28&lt;BE$6),AND(BE$7&gt;0,$A28&gt;BE$7)),0,MAX(0,ROUND((INDEX($E28:$G28,BE$5)-SUMIFS(TF_Timer,TF_Tekniker,BE$4,TF_Dato,$A28))*2,0)/2)))</f>
        <v/>
      </c>
      <c r="BF28">
        <f>IF(OR(BF$4="",$A28&gt;TODAY()),0,IF(OR(INDEX($B28:$D28,BF$5)="F",AND(BF$6&gt;0,$A28&lt;BF$6),AND(BF$7&gt;0,$A28&gt;BF$7)),0,MAX(0,ROUND((INDEX($E28:$G28,BF$5)-SUMIFS(TF_Timer,TF_Tekniker,BF$4,TF_Dato,$A28))*2,0)/2)))</f>
        <v/>
      </c>
      <c r="BG28">
        <f>IF(OR(BG$4="",$A28&gt;TODAY()),0,IF(OR(INDEX($B28:$D28,BG$5)="F",AND(BG$6&gt;0,$A28&lt;BG$6),AND(BG$7&gt;0,$A28&gt;BG$7)),0,MAX(0,ROUND((INDEX($E28:$G28,BG$5)-SUMIFS(TF_Timer,TF_Tekniker,BG$4,TF_Dato,$A28))*2,0)/2)))</f>
        <v/>
      </c>
      <c r="BH28">
        <f>IF(OR(BH$4="",$A28&gt;TODAY()),0,IF(OR(INDEX($B28:$D28,BH$5)="F",AND(BH$6&gt;0,$A28&lt;BH$6),AND(BH$7&gt;0,$A28&gt;BH$7)),0,MAX(0,ROUND((INDEX($E28:$G28,BH$5)-SUMIFS(TF_Timer,TF_Tekniker,BH$4,TF_Dato,$A28))*2,0)/2)))</f>
        <v/>
      </c>
      <c r="BI28">
        <f>IF(OR(BI$4="",$A28&gt;TODAY()),0,IF(OR(INDEX($B28:$D28,BI$5)="F",AND(BI$6&gt;0,$A28&lt;BI$6),AND(BI$7&gt;0,$A28&gt;BI$7)),0,MAX(0,ROUND((INDEX($E28:$G28,BI$5)-SUMIFS(TF_Timer,TF_Tekniker,BI$4,TF_Dato,$A28))*2,0)/2)))</f>
        <v/>
      </c>
    </row>
    <row r="29">
      <c r="A29" s="64">
        <f>A28+1</f>
        <v/>
      </c>
      <c r="B29">
        <f>IF(MOD($A29-INDEX(SkiftStart,1),Syklus)&lt;DagK,"K",IF(MOD($A29-INDEX(SkiftStart,1),Syklus)&lt;DagK+DagH,"H",IF(MOD($A29-INDEX(SkiftStart,1),Syklus)&lt;DagK+DagH+DagD,"D","F")))</f>
        <v/>
      </c>
      <c r="C29">
        <f>IF(MOD($A29-INDEX(SkiftStart,2),Syklus)&lt;DagK,"K",IF(MOD($A29-INDEX(SkiftStart,2),Syklus)&lt;DagK+DagH,"H",IF(MOD($A29-INDEX(SkiftStart,2),Syklus)&lt;DagK+DagH+DagD,"D","F")))</f>
        <v/>
      </c>
      <c r="D29">
        <f>IF(MOD($A29-INDEX(SkiftStart,3),Syklus)&lt;DagK,"K",IF(MOD($A29-INDEX(SkiftStart,3),Syklus)&lt;DagK+DagH,"H",IF(MOD($A29-INDEX(SkiftStart,3),Syklus)&lt;DagK+DagH+DagD,"D","F")))</f>
        <v/>
      </c>
      <c r="E29">
        <f>IF(B29="F",0,IF(WEEKDAY($A29,2)=5,INDEX(TimerFr,MATCH(B29,FaseKode,0)),INDEX(TimerMT,MATCH(B29,FaseKode,0))))</f>
        <v/>
      </c>
      <c r="F29">
        <f>IF(C29="F",0,IF(WEEKDAY($A29,2)=5,INDEX(TimerFr,MATCH(C29,FaseKode,0)),INDEX(TimerMT,MATCH(C29,FaseKode,0))))</f>
        <v/>
      </c>
      <c r="G29">
        <f>IF(D29="F",0,IF(WEEKDAY($A29,2)=5,INDEX(TimerFr,MATCH(D29,FaseKode,0)),INDEX(TimerMT,MATCH(D29,FaseKode,0))))</f>
        <v/>
      </c>
      <c r="H29">
        <f>IF(OR(H$4="",$A29&gt;TODAY()),0,IF(OR(INDEX($B29:$D29,H$5)="F",AND(H$6&gt;0,$A29&lt;H$6),AND(H$7&gt;0,$A29&gt;H$7)),0,MAX(0,ROUND((INDEX($E29:$G29,H$5)-SUMIFS(TF_Timer,TF_Tekniker,H$4,TF_Dato,$A29))*2,0)/2)))</f>
        <v/>
      </c>
      <c r="I29">
        <f>IF(OR(I$4="",$A29&gt;TODAY()),0,IF(OR(INDEX($B29:$D29,I$5)="F",AND(I$6&gt;0,$A29&lt;I$6),AND(I$7&gt;0,$A29&gt;I$7)),0,MAX(0,ROUND((INDEX($E29:$G29,I$5)-SUMIFS(TF_Timer,TF_Tekniker,I$4,TF_Dato,$A29))*2,0)/2)))</f>
        <v/>
      </c>
      <c r="J29">
        <f>IF(OR(J$4="",$A29&gt;TODAY()),0,IF(OR(INDEX($B29:$D29,J$5)="F",AND(J$6&gt;0,$A29&lt;J$6),AND(J$7&gt;0,$A29&gt;J$7)),0,MAX(0,ROUND((INDEX($E29:$G29,J$5)-SUMIFS(TF_Timer,TF_Tekniker,J$4,TF_Dato,$A29))*2,0)/2)))</f>
        <v/>
      </c>
      <c r="K29">
        <f>IF(OR(K$4="",$A29&gt;TODAY()),0,IF(OR(INDEX($B29:$D29,K$5)="F",AND(K$6&gt;0,$A29&lt;K$6),AND(K$7&gt;0,$A29&gt;K$7)),0,MAX(0,ROUND((INDEX($E29:$G29,K$5)-SUMIFS(TF_Timer,TF_Tekniker,K$4,TF_Dato,$A29))*2,0)/2)))</f>
        <v/>
      </c>
      <c r="L29">
        <f>IF(OR(L$4="",$A29&gt;TODAY()),0,IF(OR(INDEX($B29:$D29,L$5)="F",AND(L$6&gt;0,$A29&lt;L$6),AND(L$7&gt;0,$A29&gt;L$7)),0,MAX(0,ROUND((INDEX($E29:$G29,L$5)-SUMIFS(TF_Timer,TF_Tekniker,L$4,TF_Dato,$A29))*2,0)/2)))</f>
        <v/>
      </c>
      <c r="M29">
        <f>IF(OR(M$4="",$A29&gt;TODAY()),0,IF(OR(INDEX($B29:$D29,M$5)="F",AND(M$6&gt;0,$A29&lt;M$6),AND(M$7&gt;0,$A29&gt;M$7)),0,MAX(0,ROUND((INDEX($E29:$G29,M$5)-SUMIFS(TF_Timer,TF_Tekniker,M$4,TF_Dato,$A29))*2,0)/2)))</f>
        <v/>
      </c>
      <c r="N29">
        <f>IF(OR(N$4="",$A29&gt;TODAY()),0,IF(OR(INDEX($B29:$D29,N$5)="F",AND(N$6&gt;0,$A29&lt;N$6),AND(N$7&gt;0,$A29&gt;N$7)),0,MAX(0,ROUND((INDEX($E29:$G29,N$5)-SUMIFS(TF_Timer,TF_Tekniker,N$4,TF_Dato,$A29))*2,0)/2)))</f>
        <v/>
      </c>
      <c r="O29">
        <f>IF(OR(O$4="",$A29&gt;TODAY()),0,IF(OR(INDEX($B29:$D29,O$5)="F",AND(O$6&gt;0,$A29&lt;O$6),AND(O$7&gt;0,$A29&gt;O$7)),0,MAX(0,ROUND((INDEX($E29:$G29,O$5)-SUMIFS(TF_Timer,TF_Tekniker,O$4,TF_Dato,$A29))*2,0)/2)))</f>
        <v/>
      </c>
      <c r="P29">
        <f>IF(OR(P$4="",$A29&gt;TODAY()),0,IF(OR(INDEX($B29:$D29,P$5)="F",AND(P$6&gt;0,$A29&lt;P$6),AND(P$7&gt;0,$A29&gt;P$7)),0,MAX(0,ROUND((INDEX($E29:$G29,P$5)-SUMIFS(TF_Timer,TF_Tekniker,P$4,TF_Dato,$A29))*2,0)/2)))</f>
        <v/>
      </c>
      <c r="Q29">
        <f>IF(OR(Q$4="",$A29&gt;TODAY()),0,IF(OR(INDEX($B29:$D29,Q$5)="F",AND(Q$6&gt;0,$A29&lt;Q$6),AND(Q$7&gt;0,$A29&gt;Q$7)),0,MAX(0,ROUND((INDEX($E29:$G29,Q$5)-SUMIFS(TF_Timer,TF_Tekniker,Q$4,TF_Dato,$A29))*2,0)/2)))</f>
        <v/>
      </c>
      <c r="R29">
        <f>IF(OR(R$4="",$A29&gt;TODAY()),0,IF(OR(INDEX($B29:$D29,R$5)="F",AND(R$6&gt;0,$A29&lt;R$6),AND(R$7&gt;0,$A29&gt;R$7)),0,MAX(0,ROUND((INDEX($E29:$G29,R$5)-SUMIFS(TF_Timer,TF_Tekniker,R$4,TF_Dato,$A29))*2,0)/2)))</f>
        <v/>
      </c>
      <c r="S29">
        <f>IF(OR(S$4="",$A29&gt;TODAY()),0,IF(OR(INDEX($B29:$D29,S$5)="F",AND(S$6&gt;0,$A29&lt;S$6),AND(S$7&gt;0,$A29&gt;S$7)),0,MAX(0,ROUND((INDEX($E29:$G29,S$5)-SUMIFS(TF_Timer,TF_Tekniker,S$4,TF_Dato,$A29))*2,0)/2)))</f>
        <v/>
      </c>
      <c r="T29">
        <f>IF(OR(T$4="",$A29&gt;TODAY()),0,IF(OR(INDEX($B29:$D29,T$5)="F",AND(T$6&gt;0,$A29&lt;T$6),AND(T$7&gt;0,$A29&gt;T$7)),0,MAX(0,ROUND((INDEX($E29:$G29,T$5)-SUMIFS(TF_Timer,TF_Tekniker,T$4,TF_Dato,$A29))*2,0)/2)))</f>
        <v/>
      </c>
      <c r="U29">
        <f>IF(OR(U$4="",$A29&gt;TODAY()),0,IF(OR(INDEX($B29:$D29,U$5)="F",AND(U$6&gt;0,$A29&lt;U$6),AND(U$7&gt;0,$A29&gt;U$7)),0,MAX(0,ROUND((INDEX($E29:$G29,U$5)-SUMIFS(TF_Timer,TF_Tekniker,U$4,TF_Dato,$A29))*2,0)/2)))</f>
        <v/>
      </c>
      <c r="V29">
        <f>IF(OR(V$4="",$A29&gt;TODAY()),0,IF(OR(INDEX($B29:$D29,V$5)="F",AND(V$6&gt;0,$A29&lt;V$6),AND(V$7&gt;0,$A29&gt;V$7)),0,MAX(0,ROUND((INDEX($E29:$G29,V$5)-SUMIFS(TF_Timer,TF_Tekniker,V$4,TF_Dato,$A29))*2,0)/2)))</f>
        <v/>
      </c>
      <c r="W29">
        <f>IF(OR(W$4="",$A29&gt;TODAY()),0,IF(OR(INDEX($B29:$D29,W$5)="F",AND(W$6&gt;0,$A29&lt;W$6),AND(W$7&gt;0,$A29&gt;W$7)),0,MAX(0,ROUND((INDEX($E29:$G29,W$5)-SUMIFS(TF_Timer,TF_Tekniker,W$4,TF_Dato,$A29))*2,0)/2)))</f>
        <v/>
      </c>
      <c r="X29">
        <f>IF(OR(X$4="",$A29&gt;TODAY()),0,IF(OR(INDEX($B29:$D29,X$5)="F",AND(X$6&gt;0,$A29&lt;X$6),AND(X$7&gt;0,$A29&gt;X$7)),0,MAX(0,ROUND((INDEX($E29:$G29,X$5)-SUMIFS(TF_Timer,TF_Tekniker,X$4,TF_Dato,$A29))*2,0)/2)))</f>
        <v/>
      </c>
      <c r="Y29">
        <f>IF(OR(Y$4="",$A29&gt;TODAY()),0,IF(OR(INDEX($B29:$D29,Y$5)="F",AND(Y$6&gt;0,$A29&lt;Y$6),AND(Y$7&gt;0,$A29&gt;Y$7)),0,MAX(0,ROUND((INDEX($E29:$G29,Y$5)-SUMIFS(TF_Timer,TF_Tekniker,Y$4,TF_Dato,$A29))*2,0)/2)))</f>
        <v/>
      </c>
      <c r="Z29">
        <f>IF(OR(Z$4="",$A29&gt;TODAY()),0,IF(OR(INDEX($B29:$D29,Z$5)="F",AND(Z$6&gt;0,$A29&lt;Z$6),AND(Z$7&gt;0,$A29&gt;Z$7)),0,MAX(0,ROUND((INDEX($E29:$G29,Z$5)-SUMIFS(TF_Timer,TF_Tekniker,Z$4,TF_Dato,$A29))*2,0)/2)))</f>
        <v/>
      </c>
      <c r="AA29">
        <f>IF(OR(AA$4="",$A29&gt;TODAY()),0,IF(OR(INDEX($B29:$D29,AA$5)="F",AND(AA$6&gt;0,$A29&lt;AA$6),AND(AA$7&gt;0,$A29&gt;AA$7)),0,MAX(0,ROUND((INDEX($E29:$G29,AA$5)-SUMIFS(TF_Timer,TF_Tekniker,AA$4,TF_Dato,$A29))*2,0)/2)))</f>
        <v/>
      </c>
      <c r="AB29">
        <f>IF(OR(AB$4="",$A29&gt;TODAY()),0,IF(OR(INDEX($B29:$D29,AB$5)="F",AND(AB$6&gt;0,$A29&lt;AB$6),AND(AB$7&gt;0,$A29&gt;AB$7)),0,MAX(0,ROUND((INDEX($E29:$G29,AB$5)-SUMIFS(TF_Timer,TF_Tekniker,AB$4,TF_Dato,$A29))*2,0)/2)))</f>
        <v/>
      </c>
      <c r="AC29">
        <f>IF(OR(AC$4="",$A29&gt;TODAY()),0,IF(OR(INDEX($B29:$D29,AC$5)="F",AND(AC$6&gt;0,$A29&lt;AC$6),AND(AC$7&gt;0,$A29&gt;AC$7)),0,MAX(0,ROUND((INDEX($E29:$G29,AC$5)-SUMIFS(TF_Timer,TF_Tekniker,AC$4,TF_Dato,$A29))*2,0)/2)))</f>
        <v/>
      </c>
      <c r="AD29">
        <f>IF(OR(AD$4="",$A29&gt;TODAY()),0,IF(OR(INDEX($B29:$D29,AD$5)="F",AND(AD$6&gt;0,$A29&lt;AD$6),AND(AD$7&gt;0,$A29&gt;AD$7)),0,MAX(0,ROUND((INDEX($E29:$G29,AD$5)-SUMIFS(TF_Timer,TF_Tekniker,AD$4,TF_Dato,$A29))*2,0)/2)))</f>
        <v/>
      </c>
      <c r="AE29">
        <f>IF(OR(AE$4="",$A29&gt;TODAY()),0,IF(OR(INDEX($B29:$D29,AE$5)="F",AND(AE$6&gt;0,$A29&lt;AE$6),AND(AE$7&gt;0,$A29&gt;AE$7)),0,MAX(0,ROUND((INDEX($E29:$G29,AE$5)-SUMIFS(TF_Timer,TF_Tekniker,AE$4,TF_Dato,$A29))*2,0)/2)))</f>
        <v/>
      </c>
      <c r="AF29">
        <f>IF(OR(AF$4="",$A29&gt;TODAY()),0,IF(OR(INDEX($B29:$D29,AF$5)="F",AND(AF$6&gt;0,$A29&lt;AF$6),AND(AF$7&gt;0,$A29&gt;AF$7)),0,MAX(0,ROUND((INDEX($E29:$G29,AF$5)-SUMIFS(TF_Timer,TF_Tekniker,AF$4,TF_Dato,$A29))*2,0)/2)))</f>
        <v/>
      </c>
      <c r="AG29">
        <f>IF(OR(AG$4="",$A29&gt;TODAY()),0,IF(OR(INDEX($B29:$D29,AG$5)="F",AND(AG$6&gt;0,$A29&lt;AG$6),AND(AG$7&gt;0,$A29&gt;AG$7)),0,MAX(0,ROUND((INDEX($E29:$G29,AG$5)-SUMIFS(TF_Timer,TF_Tekniker,AG$4,TF_Dato,$A29))*2,0)/2)))</f>
        <v/>
      </c>
      <c r="AH29">
        <f>IF(OR(AH$4="",$A29&gt;TODAY()),0,IF(OR(INDEX($B29:$D29,AH$5)="F",AND(AH$6&gt;0,$A29&lt;AH$6),AND(AH$7&gt;0,$A29&gt;AH$7)),0,MAX(0,ROUND((INDEX($E29:$G29,AH$5)-SUMIFS(TF_Timer,TF_Tekniker,AH$4,TF_Dato,$A29))*2,0)/2)))</f>
        <v/>
      </c>
      <c r="AI29">
        <f>IF(OR(AI$4="",$A29&gt;TODAY()),0,IF(OR(INDEX($B29:$D29,AI$5)="F",AND(AI$6&gt;0,$A29&lt;AI$6),AND(AI$7&gt;0,$A29&gt;AI$7)),0,MAX(0,ROUND((INDEX($E29:$G29,AI$5)-SUMIFS(TF_Timer,TF_Tekniker,AI$4,TF_Dato,$A29))*2,0)/2)))</f>
        <v/>
      </c>
      <c r="AJ29">
        <f>IF(OR(AJ$4="",$A29&gt;TODAY()),0,IF(OR(INDEX($B29:$D29,AJ$5)="F",AND(AJ$6&gt;0,$A29&lt;AJ$6),AND(AJ$7&gt;0,$A29&gt;AJ$7)),0,MAX(0,ROUND((INDEX($E29:$G29,AJ$5)-SUMIFS(TF_Timer,TF_Tekniker,AJ$4,TF_Dato,$A29))*2,0)/2)))</f>
        <v/>
      </c>
      <c r="AK29">
        <f>IF(OR(AK$4="",$A29&gt;TODAY()),0,IF(OR(INDEX($B29:$D29,AK$5)="F",AND(AK$6&gt;0,$A29&lt;AK$6),AND(AK$7&gt;0,$A29&gt;AK$7)),0,MAX(0,ROUND((INDEX($E29:$G29,AK$5)-SUMIFS(TF_Timer,TF_Tekniker,AK$4,TF_Dato,$A29))*2,0)/2)))</f>
        <v/>
      </c>
      <c r="AL29">
        <f>IF(OR(AL$4="",$A29&gt;TODAY()),0,IF(OR(INDEX($B29:$D29,AL$5)="F",AND(AL$6&gt;0,$A29&lt;AL$6),AND(AL$7&gt;0,$A29&gt;AL$7)),0,MAX(0,ROUND((INDEX($E29:$G29,AL$5)-SUMIFS(TF_Timer,TF_Tekniker,AL$4,TF_Dato,$A29))*2,0)/2)))</f>
        <v/>
      </c>
      <c r="AM29">
        <f>IF(OR(AM$4="",$A29&gt;TODAY()),0,IF(OR(INDEX($B29:$D29,AM$5)="F",AND(AM$6&gt;0,$A29&lt;AM$6),AND(AM$7&gt;0,$A29&gt;AM$7)),0,MAX(0,ROUND((INDEX($E29:$G29,AM$5)-SUMIFS(TF_Timer,TF_Tekniker,AM$4,TF_Dato,$A29))*2,0)/2)))</f>
        <v/>
      </c>
      <c r="AN29">
        <f>IF(OR(AN$4="",$A29&gt;TODAY()),0,IF(OR(INDEX($B29:$D29,AN$5)="F",AND(AN$6&gt;0,$A29&lt;AN$6),AND(AN$7&gt;0,$A29&gt;AN$7)),0,MAX(0,ROUND((INDEX($E29:$G29,AN$5)-SUMIFS(TF_Timer,TF_Tekniker,AN$4,TF_Dato,$A29))*2,0)/2)))</f>
        <v/>
      </c>
      <c r="AO29">
        <f>IF(OR(AO$4="",$A29&gt;TODAY()),0,IF(OR(INDEX($B29:$D29,AO$5)="F",AND(AO$6&gt;0,$A29&lt;AO$6),AND(AO$7&gt;0,$A29&gt;AO$7)),0,MAX(0,ROUND((INDEX($E29:$G29,AO$5)-SUMIFS(TF_Timer,TF_Tekniker,AO$4,TF_Dato,$A29))*2,0)/2)))</f>
        <v/>
      </c>
      <c r="AP29">
        <f>IF(OR(AP$4="",$A29&gt;TODAY()),0,IF(OR(INDEX($B29:$D29,AP$5)="F",AND(AP$6&gt;0,$A29&lt;AP$6),AND(AP$7&gt;0,$A29&gt;AP$7)),0,MAX(0,ROUND((INDEX($E29:$G29,AP$5)-SUMIFS(TF_Timer,TF_Tekniker,AP$4,TF_Dato,$A29))*2,0)/2)))</f>
        <v/>
      </c>
      <c r="AQ29">
        <f>IF(OR(AQ$4="",$A29&gt;TODAY()),0,IF(OR(INDEX($B29:$D29,AQ$5)="F",AND(AQ$6&gt;0,$A29&lt;AQ$6),AND(AQ$7&gt;0,$A29&gt;AQ$7)),0,MAX(0,ROUND((INDEX($E29:$G29,AQ$5)-SUMIFS(TF_Timer,TF_Tekniker,AQ$4,TF_Dato,$A29))*2,0)/2)))</f>
        <v/>
      </c>
      <c r="AR29">
        <f>IF(OR(AR$4="",$A29&gt;TODAY()),0,IF(OR(INDEX($B29:$D29,AR$5)="F",AND(AR$6&gt;0,$A29&lt;AR$6),AND(AR$7&gt;0,$A29&gt;AR$7)),0,MAX(0,ROUND((INDEX($E29:$G29,AR$5)-SUMIFS(TF_Timer,TF_Tekniker,AR$4,TF_Dato,$A29))*2,0)/2)))</f>
        <v/>
      </c>
      <c r="AS29">
        <f>IF(OR(AS$4="",$A29&gt;TODAY()),0,IF(OR(INDEX($B29:$D29,AS$5)="F",AND(AS$6&gt;0,$A29&lt;AS$6),AND(AS$7&gt;0,$A29&gt;AS$7)),0,MAX(0,ROUND((INDEX($E29:$G29,AS$5)-SUMIFS(TF_Timer,TF_Tekniker,AS$4,TF_Dato,$A29))*2,0)/2)))</f>
        <v/>
      </c>
      <c r="AT29">
        <f>IF(OR(AT$4="",$A29&gt;TODAY()),0,IF(OR(INDEX($B29:$D29,AT$5)="F",AND(AT$6&gt;0,$A29&lt;AT$6),AND(AT$7&gt;0,$A29&gt;AT$7)),0,MAX(0,ROUND((INDEX($E29:$G29,AT$5)-SUMIFS(TF_Timer,TF_Tekniker,AT$4,TF_Dato,$A29))*2,0)/2)))</f>
        <v/>
      </c>
      <c r="AU29">
        <f>IF(OR(AU$4="",$A29&gt;TODAY()),0,IF(OR(INDEX($B29:$D29,AU$5)="F",AND(AU$6&gt;0,$A29&lt;AU$6),AND(AU$7&gt;0,$A29&gt;AU$7)),0,MAX(0,ROUND((INDEX($E29:$G29,AU$5)-SUMIFS(TF_Timer,TF_Tekniker,AU$4,TF_Dato,$A29))*2,0)/2)))</f>
        <v/>
      </c>
      <c r="AV29">
        <f>IF(OR(AV$4="",$A29&gt;TODAY()),0,IF(OR(INDEX($B29:$D29,AV$5)="F",AND(AV$6&gt;0,$A29&lt;AV$6),AND(AV$7&gt;0,$A29&gt;AV$7)),0,MAX(0,ROUND((INDEX($E29:$G29,AV$5)-SUMIFS(TF_Timer,TF_Tekniker,AV$4,TF_Dato,$A29))*2,0)/2)))</f>
        <v/>
      </c>
      <c r="AW29">
        <f>IF(OR(AW$4="",$A29&gt;TODAY()),0,IF(OR(INDEX($B29:$D29,AW$5)="F",AND(AW$6&gt;0,$A29&lt;AW$6),AND(AW$7&gt;0,$A29&gt;AW$7)),0,MAX(0,ROUND((INDEX($E29:$G29,AW$5)-SUMIFS(TF_Timer,TF_Tekniker,AW$4,TF_Dato,$A29))*2,0)/2)))</f>
        <v/>
      </c>
      <c r="AX29">
        <f>IF(OR(AX$4="",$A29&gt;TODAY()),0,IF(OR(INDEX($B29:$D29,AX$5)="F",AND(AX$6&gt;0,$A29&lt;AX$6),AND(AX$7&gt;0,$A29&gt;AX$7)),0,MAX(0,ROUND((INDEX($E29:$G29,AX$5)-SUMIFS(TF_Timer,TF_Tekniker,AX$4,TF_Dato,$A29))*2,0)/2)))</f>
        <v/>
      </c>
      <c r="AY29">
        <f>IF(OR(AY$4="",$A29&gt;TODAY()),0,IF(OR(INDEX($B29:$D29,AY$5)="F",AND(AY$6&gt;0,$A29&lt;AY$6),AND(AY$7&gt;0,$A29&gt;AY$7)),0,MAX(0,ROUND((INDEX($E29:$G29,AY$5)-SUMIFS(TF_Timer,TF_Tekniker,AY$4,TF_Dato,$A29))*2,0)/2)))</f>
        <v/>
      </c>
      <c r="AZ29">
        <f>IF(OR(AZ$4="",$A29&gt;TODAY()),0,IF(OR(INDEX($B29:$D29,AZ$5)="F",AND(AZ$6&gt;0,$A29&lt;AZ$6),AND(AZ$7&gt;0,$A29&gt;AZ$7)),0,MAX(0,ROUND((INDEX($E29:$G29,AZ$5)-SUMIFS(TF_Timer,TF_Tekniker,AZ$4,TF_Dato,$A29))*2,0)/2)))</f>
        <v/>
      </c>
      <c r="BA29">
        <f>IF(OR(BA$4="",$A29&gt;TODAY()),0,IF(OR(INDEX($B29:$D29,BA$5)="F",AND(BA$6&gt;0,$A29&lt;BA$6),AND(BA$7&gt;0,$A29&gt;BA$7)),0,MAX(0,ROUND((INDEX($E29:$G29,BA$5)-SUMIFS(TF_Timer,TF_Tekniker,BA$4,TF_Dato,$A29))*2,0)/2)))</f>
        <v/>
      </c>
      <c r="BB29">
        <f>IF(OR(BB$4="",$A29&gt;TODAY()),0,IF(OR(INDEX($B29:$D29,BB$5)="F",AND(BB$6&gt;0,$A29&lt;BB$6),AND(BB$7&gt;0,$A29&gt;BB$7)),0,MAX(0,ROUND((INDEX($E29:$G29,BB$5)-SUMIFS(TF_Timer,TF_Tekniker,BB$4,TF_Dato,$A29))*2,0)/2)))</f>
        <v/>
      </c>
      <c r="BC29">
        <f>IF(OR(BC$4="",$A29&gt;TODAY()),0,IF(OR(INDEX($B29:$D29,BC$5)="F",AND(BC$6&gt;0,$A29&lt;BC$6),AND(BC$7&gt;0,$A29&gt;BC$7)),0,MAX(0,ROUND((INDEX($E29:$G29,BC$5)-SUMIFS(TF_Timer,TF_Tekniker,BC$4,TF_Dato,$A29))*2,0)/2)))</f>
        <v/>
      </c>
      <c r="BD29">
        <f>IF(OR(BD$4="",$A29&gt;TODAY()),0,IF(OR(INDEX($B29:$D29,BD$5)="F",AND(BD$6&gt;0,$A29&lt;BD$6),AND(BD$7&gt;0,$A29&gt;BD$7)),0,MAX(0,ROUND((INDEX($E29:$G29,BD$5)-SUMIFS(TF_Timer,TF_Tekniker,BD$4,TF_Dato,$A29))*2,0)/2)))</f>
        <v/>
      </c>
      <c r="BE29">
        <f>IF(OR(BE$4="",$A29&gt;TODAY()),0,IF(OR(INDEX($B29:$D29,BE$5)="F",AND(BE$6&gt;0,$A29&lt;BE$6),AND(BE$7&gt;0,$A29&gt;BE$7)),0,MAX(0,ROUND((INDEX($E29:$G29,BE$5)-SUMIFS(TF_Timer,TF_Tekniker,BE$4,TF_Dato,$A29))*2,0)/2)))</f>
        <v/>
      </c>
      <c r="BF29">
        <f>IF(OR(BF$4="",$A29&gt;TODAY()),0,IF(OR(INDEX($B29:$D29,BF$5)="F",AND(BF$6&gt;0,$A29&lt;BF$6),AND(BF$7&gt;0,$A29&gt;BF$7)),0,MAX(0,ROUND((INDEX($E29:$G29,BF$5)-SUMIFS(TF_Timer,TF_Tekniker,BF$4,TF_Dato,$A29))*2,0)/2)))</f>
        <v/>
      </c>
      <c r="BG29">
        <f>IF(OR(BG$4="",$A29&gt;TODAY()),0,IF(OR(INDEX($B29:$D29,BG$5)="F",AND(BG$6&gt;0,$A29&lt;BG$6),AND(BG$7&gt;0,$A29&gt;BG$7)),0,MAX(0,ROUND((INDEX($E29:$G29,BG$5)-SUMIFS(TF_Timer,TF_Tekniker,BG$4,TF_Dato,$A29))*2,0)/2)))</f>
        <v/>
      </c>
      <c r="BH29">
        <f>IF(OR(BH$4="",$A29&gt;TODAY()),0,IF(OR(INDEX($B29:$D29,BH$5)="F",AND(BH$6&gt;0,$A29&lt;BH$6),AND(BH$7&gt;0,$A29&gt;BH$7)),0,MAX(0,ROUND((INDEX($E29:$G29,BH$5)-SUMIFS(TF_Timer,TF_Tekniker,BH$4,TF_Dato,$A29))*2,0)/2)))</f>
        <v/>
      </c>
      <c r="BI29">
        <f>IF(OR(BI$4="",$A29&gt;TODAY()),0,IF(OR(INDEX($B29:$D29,BI$5)="F",AND(BI$6&gt;0,$A29&lt;BI$6),AND(BI$7&gt;0,$A29&gt;BI$7)),0,MAX(0,ROUND((INDEX($E29:$G29,BI$5)-SUMIFS(TF_Timer,TF_Tekniker,BI$4,TF_Dato,$A29))*2,0)/2)))</f>
        <v/>
      </c>
    </row>
    <row r="30">
      <c r="A30" s="64">
        <f>A29+1</f>
        <v/>
      </c>
      <c r="B30">
        <f>IF(MOD($A30-INDEX(SkiftStart,1),Syklus)&lt;DagK,"K",IF(MOD($A30-INDEX(SkiftStart,1),Syklus)&lt;DagK+DagH,"H",IF(MOD($A30-INDEX(SkiftStart,1),Syklus)&lt;DagK+DagH+DagD,"D","F")))</f>
        <v/>
      </c>
      <c r="C30">
        <f>IF(MOD($A30-INDEX(SkiftStart,2),Syklus)&lt;DagK,"K",IF(MOD($A30-INDEX(SkiftStart,2),Syklus)&lt;DagK+DagH,"H",IF(MOD($A30-INDEX(SkiftStart,2),Syklus)&lt;DagK+DagH+DagD,"D","F")))</f>
        <v/>
      </c>
      <c r="D30">
        <f>IF(MOD($A30-INDEX(SkiftStart,3),Syklus)&lt;DagK,"K",IF(MOD($A30-INDEX(SkiftStart,3),Syklus)&lt;DagK+DagH,"H",IF(MOD($A30-INDEX(SkiftStart,3),Syklus)&lt;DagK+DagH+DagD,"D","F")))</f>
        <v/>
      </c>
      <c r="E30">
        <f>IF(B30="F",0,IF(WEEKDAY($A30,2)=5,INDEX(TimerFr,MATCH(B30,FaseKode,0)),INDEX(TimerMT,MATCH(B30,FaseKode,0))))</f>
        <v/>
      </c>
      <c r="F30">
        <f>IF(C30="F",0,IF(WEEKDAY($A30,2)=5,INDEX(TimerFr,MATCH(C30,FaseKode,0)),INDEX(TimerMT,MATCH(C30,FaseKode,0))))</f>
        <v/>
      </c>
      <c r="G30">
        <f>IF(D30="F",0,IF(WEEKDAY($A30,2)=5,INDEX(TimerFr,MATCH(D30,FaseKode,0)),INDEX(TimerMT,MATCH(D30,FaseKode,0))))</f>
        <v/>
      </c>
      <c r="H30">
        <f>IF(OR(H$4="",$A30&gt;TODAY()),0,IF(OR(INDEX($B30:$D30,H$5)="F",AND(H$6&gt;0,$A30&lt;H$6),AND(H$7&gt;0,$A30&gt;H$7)),0,MAX(0,ROUND((INDEX($E30:$G30,H$5)-SUMIFS(TF_Timer,TF_Tekniker,H$4,TF_Dato,$A30))*2,0)/2)))</f>
        <v/>
      </c>
      <c r="I30">
        <f>IF(OR(I$4="",$A30&gt;TODAY()),0,IF(OR(INDEX($B30:$D30,I$5)="F",AND(I$6&gt;0,$A30&lt;I$6),AND(I$7&gt;0,$A30&gt;I$7)),0,MAX(0,ROUND((INDEX($E30:$G30,I$5)-SUMIFS(TF_Timer,TF_Tekniker,I$4,TF_Dato,$A30))*2,0)/2)))</f>
        <v/>
      </c>
      <c r="J30">
        <f>IF(OR(J$4="",$A30&gt;TODAY()),0,IF(OR(INDEX($B30:$D30,J$5)="F",AND(J$6&gt;0,$A30&lt;J$6),AND(J$7&gt;0,$A30&gt;J$7)),0,MAX(0,ROUND((INDEX($E30:$G30,J$5)-SUMIFS(TF_Timer,TF_Tekniker,J$4,TF_Dato,$A30))*2,0)/2)))</f>
        <v/>
      </c>
      <c r="K30">
        <f>IF(OR(K$4="",$A30&gt;TODAY()),0,IF(OR(INDEX($B30:$D30,K$5)="F",AND(K$6&gt;0,$A30&lt;K$6),AND(K$7&gt;0,$A30&gt;K$7)),0,MAX(0,ROUND((INDEX($E30:$G30,K$5)-SUMIFS(TF_Timer,TF_Tekniker,K$4,TF_Dato,$A30))*2,0)/2)))</f>
        <v/>
      </c>
      <c r="L30">
        <f>IF(OR(L$4="",$A30&gt;TODAY()),0,IF(OR(INDEX($B30:$D30,L$5)="F",AND(L$6&gt;0,$A30&lt;L$6),AND(L$7&gt;0,$A30&gt;L$7)),0,MAX(0,ROUND((INDEX($E30:$G30,L$5)-SUMIFS(TF_Timer,TF_Tekniker,L$4,TF_Dato,$A30))*2,0)/2)))</f>
        <v/>
      </c>
      <c r="M30">
        <f>IF(OR(M$4="",$A30&gt;TODAY()),0,IF(OR(INDEX($B30:$D30,M$5)="F",AND(M$6&gt;0,$A30&lt;M$6),AND(M$7&gt;0,$A30&gt;M$7)),0,MAX(0,ROUND((INDEX($E30:$G30,M$5)-SUMIFS(TF_Timer,TF_Tekniker,M$4,TF_Dato,$A30))*2,0)/2)))</f>
        <v/>
      </c>
      <c r="N30">
        <f>IF(OR(N$4="",$A30&gt;TODAY()),0,IF(OR(INDEX($B30:$D30,N$5)="F",AND(N$6&gt;0,$A30&lt;N$6),AND(N$7&gt;0,$A30&gt;N$7)),0,MAX(0,ROUND((INDEX($E30:$G30,N$5)-SUMIFS(TF_Timer,TF_Tekniker,N$4,TF_Dato,$A30))*2,0)/2)))</f>
        <v/>
      </c>
      <c r="O30">
        <f>IF(OR(O$4="",$A30&gt;TODAY()),0,IF(OR(INDEX($B30:$D30,O$5)="F",AND(O$6&gt;0,$A30&lt;O$6),AND(O$7&gt;0,$A30&gt;O$7)),0,MAX(0,ROUND((INDEX($E30:$G30,O$5)-SUMIFS(TF_Timer,TF_Tekniker,O$4,TF_Dato,$A30))*2,0)/2)))</f>
        <v/>
      </c>
      <c r="P30">
        <f>IF(OR(P$4="",$A30&gt;TODAY()),0,IF(OR(INDEX($B30:$D30,P$5)="F",AND(P$6&gt;0,$A30&lt;P$6),AND(P$7&gt;0,$A30&gt;P$7)),0,MAX(0,ROUND((INDEX($E30:$G30,P$5)-SUMIFS(TF_Timer,TF_Tekniker,P$4,TF_Dato,$A30))*2,0)/2)))</f>
        <v/>
      </c>
      <c r="Q30">
        <f>IF(OR(Q$4="",$A30&gt;TODAY()),0,IF(OR(INDEX($B30:$D30,Q$5)="F",AND(Q$6&gt;0,$A30&lt;Q$6),AND(Q$7&gt;0,$A30&gt;Q$7)),0,MAX(0,ROUND((INDEX($E30:$G30,Q$5)-SUMIFS(TF_Timer,TF_Tekniker,Q$4,TF_Dato,$A30))*2,0)/2)))</f>
        <v/>
      </c>
      <c r="R30">
        <f>IF(OR(R$4="",$A30&gt;TODAY()),0,IF(OR(INDEX($B30:$D30,R$5)="F",AND(R$6&gt;0,$A30&lt;R$6),AND(R$7&gt;0,$A30&gt;R$7)),0,MAX(0,ROUND((INDEX($E30:$G30,R$5)-SUMIFS(TF_Timer,TF_Tekniker,R$4,TF_Dato,$A30))*2,0)/2)))</f>
        <v/>
      </c>
      <c r="S30">
        <f>IF(OR(S$4="",$A30&gt;TODAY()),0,IF(OR(INDEX($B30:$D30,S$5)="F",AND(S$6&gt;0,$A30&lt;S$6),AND(S$7&gt;0,$A30&gt;S$7)),0,MAX(0,ROUND((INDEX($E30:$G30,S$5)-SUMIFS(TF_Timer,TF_Tekniker,S$4,TF_Dato,$A30))*2,0)/2)))</f>
        <v/>
      </c>
      <c r="T30">
        <f>IF(OR(T$4="",$A30&gt;TODAY()),0,IF(OR(INDEX($B30:$D30,T$5)="F",AND(T$6&gt;0,$A30&lt;T$6),AND(T$7&gt;0,$A30&gt;T$7)),0,MAX(0,ROUND((INDEX($E30:$G30,T$5)-SUMIFS(TF_Timer,TF_Tekniker,T$4,TF_Dato,$A30))*2,0)/2)))</f>
        <v/>
      </c>
      <c r="U30">
        <f>IF(OR(U$4="",$A30&gt;TODAY()),0,IF(OR(INDEX($B30:$D30,U$5)="F",AND(U$6&gt;0,$A30&lt;U$6),AND(U$7&gt;0,$A30&gt;U$7)),0,MAX(0,ROUND((INDEX($E30:$G30,U$5)-SUMIFS(TF_Timer,TF_Tekniker,U$4,TF_Dato,$A30))*2,0)/2)))</f>
        <v/>
      </c>
      <c r="V30">
        <f>IF(OR(V$4="",$A30&gt;TODAY()),0,IF(OR(INDEX($B30:$D30,V$5)="F",AND(V$6&gt;0,$A30&lt;V$6),AND(V$7&gt;0,$A30&gt;V$7)),0,MAX(0,ROUND((INDEX($E30:$G30,V$5)-SUMIFS(TF_Timer,TF_Tekniker,V$4,TF_Dato,$A30))*2,0)/2)))</f>
        <v/>
      </c>
      <c r="W30">
        <f>IF(OR(W$4="",$A30&gt;TODAY()),0,IF(OR(INDEX($B30:$D30,W$5)="F",AND(W$6&gt;0,$A30&lt;W$6),AND(W$7&gt;0,$A30&gt;W$7)),0,MAX(0,ROUND((INDEX($E30:$G30,W$5)-SUMIFS(TF_Timer,TF_Tekniker,W$4,TF_Dato,$A30))*2,0)/2)))</f>
        <v/>
      </c>
      <c r="X30">
        <f>IF(OR(X$4="",$A30&gt;TODAY()),0,IF(OR(INDEX($B30:$D30,X$5)="F",AND(X$6&gt;0,$A30&lt;X$6),AND(X$7&gt;0,$A30&gt;X$7)),0,MAX(0,ROUND((INDEX($E30:$G30,X$5)-SUMIFS(TF_Timer,TF_Tekniker,X$4,TF_Dato,$A30))*2,0)/2)))</f>
        <v/>
      </c>
      <c r="Y30">
        <f>IF(OR(Y$4="",$A30&gt;TODAY()),0,IF(OR(INDEX($B30:$D30,Y$5)="F",AND(Y$6&gt;0,$A30&lt;Y$6),AND(Y$7&gt;0,$A30&gt;Y$7)),0,MAX(0,ROUND((INDEX($E30:$G30,Y$5)-SUMIFS(TF_Timer,TF_Tekniker,Y$4,TF_Dato,$A30))*2,0)/2)))</f>
        <v/>
      </c>
      <c r="Z30">
        <f>IF(OR(Z$4="",$A30&gt;TODAY()),0,IF(OR(INDEX($B30:$D30,Z$5)="F",AND(Z$6&gt;0,$A30&lt;Z$6),AND(Z$7&gt;0,$A30&gt;Z$7)),0,MAX(0,ROUND((INDEX($E30:$G30,Z$5)-SUMIFS(TF_Timer,TF_Tekniker,Z$4,TF_Dato,$A30))*2,0)/2)))</f>
        <v/>
      </c>
      <c r="AA30">
        <f>IF(OR(AA$4="",$A30&gt;TODAY()),0,IF(OR(INDEX($B30:$D30,AA$5)="F",AND(AA$6&gt;0,$A30&lt;AA$6),AND(AA$7&gt;0,$A30&gt;AA$7)),0,MAX(0,ROUND((INDEX($E30:$G30,AA$5)-SUMIFS(TF_Timer,TF_Tekniker,AA$4,TF_Dato,$A30))*2,0)/2)))</f>
        <v/>
      </c>
      <c r="AB30">
        <f>IF(OR(AB$4="",$A30&gt;TODAY()),0,IF(OR(INDEX($B30:$D30,AB$5)="F",AND(AB$6&gt;0,$A30&lt;AB$6),AND(AB$7&gt;0,$A30&gt;AB$7)),0,MAX(0,ROUND((INDEX($E30:$G30,AB$5)-SUMIFS(TF_Timer,TF_Tekniker,AB$4,TF_Dato,$A30))*2,0)/2)))</f>
        <v/>
      </c>
      <c r="AC30">
        <f>IF(OR(AC$4="",$A30&gt;TODAY()),0,IF(OR(INDEX($B30:$D30,AC$5)="F",AND(AC$6&gt;0,$A30&lt;AC$6),AND(AC$7&gt;0,$A30&gt;AC$7)),0,MAX(0,ROUND((INDEX($E30:$G30,AC$5)-SUMIFS(TF_Timer,TF_Tekniker,AC$4,TF_Dato,$A30))*2,0)/2)))</f>
        <v/>
      </c>
      <c r="AD30">
        <f>IF(OR(AD$4="",$A30&gt;TODAY()),0,IF(OR(INDEX($B30:$D30,AD$5)="F",AND(AD$6&gt;0,$A30&lt;AD$6),AND(AD$7&gt;0,$A30&gt;AD$7)),0,MAX(0,ROUND((INDEX($E30:$G30,AD$5)-SUMIFS(TF_Timer,TF_Tekniker,AD$4,TF_Dato,$A30))*2,0)/2)))</f>
        <v/>
      </c>
      <c r="AE30">
        <f>IF(OR(AE$4="",$A30&gt;TODAY()),0,IF(OR(INDEX($B30:$D30,AE$5)="F",AND(AE$6&gt;0,$A30&lt;AE$6),AND(AE$7&gt;0,$A30&gt;AE$7)),0,MAX(0,ROUND((INDEX($E30:$G30,AE$5)-SUMIFS(TF_Timer,TF_Tekniker,AE$4,TF_Dato,$A30))*2,0)/2)))</f>
        <v/>
      </c>
      <c r="AF30">
        <f>IF(OR(AF$4="",$A30&gt;TODAY()),0,IF(OR(INDEX($B30:$D30,AF$5)="F",AND(AF$6&gt;0,$A30&lt;AF$6),AND(AF$7&gt;0,$A30&gt;AF$7)),0,MAX(0,ROUND((INDEX($E30:$G30,AF$5)-SUMIFS(TF_Timer,TF_Tekniker,AF$4,TF_Dato,$A30))*2,0)/2)))</f>
        <v/>
      </c>
      <c r="AG30">
        <f>IF(OR(AG$4="",$A30&gt;TODAY()),0,IF(OR(INDEX($B30:$D30,AG$5)="F",AND(AG$6&gt;0,$A30&lt;AG$6),AND(AG$7&gt;0,$A30&gt;AG$7)),0,MAX(0,ROUND((INDEX($E30:$G30,AG$5)-SUMIFS(TF_Timer,TF_Tekniker,AG$4,TF_Dato,$A30))*2,0)/2)))</f>
        <v/>
      </c>
      <c r="AH30">
        <f>IF(OR(AH$4="",$A30&gt;TODAY()),0,IF(OR(INDEX($B30:$D30,AH$5)="F",AND(AH$6&gt;0,$A30&lt;AH$6),AND(AH$7&gt;0,$A30&gt;AH$7)),0,MAX(0,ROUND((INDEX($E30:$G30,AH$5)-SUMIFS(TF_Timer,TF_Tekniker,AH$4,TF_Dato,$A30))*2,0)/2)))</f>
        <v/>
      </c>
      <c r="AI30">
        <f>IF(OR(AI$4="",$A30&gt;TODAY()),0,IF(OR(INDEX($B30:$D30,AI$5)="F",AND(AI$6&gt;0,$A30&lt;AI$6),AND(AI$7&gt;0,$A30&gt;AI$7)),0,MAX(0,ROUND((INDEX($E30:$G30,AI$5)-SUMIFS(TF_Timer,TF_Tekniker,AI$4,TF_Dato,$A30))*2,0)/2)))</f>
        <v/>
      </c>
      <c r="AJ30">
        <f>IF(OR(AJ$4="",$A30&gt;TODAY()),0,IF(OR(INDEX($B30:$D30,AJ$5)="F",AND(AJ$6&gt;0,$A30&lt;AJ$6),AND(AJ$7&gt;0,$A30&gt;AJ$7)),0,MAX(0,ROUND((INDEX($E30:$G30,AJ$5)-SUMIFS(TF_Timer,TF_Tekniker,AJ$4,TF_Dato,$A30))*2,0)/2)))</f>
        <v/>
      </c>
      <c r="AK30">
        <f>IF(OR(AK$4="",$A30&gt;TODAY()),0,IF(OR(INDEX($B30:$D30,AK$5)="F",AND(AK$6&gt;0,$A30&lt;AK$6),AND(AK$7&gt;0,$A30&gt;AK$7)),0,MAX(0,ROUND((INDEX($E30:$G30,AK$5)-SUMIFS(TF_Timer,TF_Tekniker,AK$4,TF_Dato,$A30))*2,0)/2)))</f>
        <v/>
      </c>
      <c r="AL30">
        <f>IF(OR(AL$4="",$A30&gt;TODAY()),0,IF(OR(INDEX($B30:$D30,AL$5)="F",AND(AL$6&gt;0,$A30&lt;AL$6),AND(AL$7&gt;0,$A30&gt;AL$7)),0,MAX(0,ROUND((INDEX($E30:$G30,AL$5)-SUMIFS(TF_Timer,TF_Tekniker,AL$4,TF_Dato,$A30))*2,0)/2)))</f>
        <v/>
      </c>
      <c r="AM30">
        <f>IF(OR(AM$4="",$A30&gt;TODAY()),0,IF(OR(INDEX($B30:$D30,AM$5)="F",AND(AM$6&gt;0,$A30&lt;AM$6),AND(AM$7&gt;0,$A30&gt;AM$7)),0,MAX(0,ROUND((INDEX($E30:$G30,AM$5)-SUMIFS(TF_Timer,TF_Tekniker,AM$4,TF_Dato,$A30))*2,0)/2)))</f>
        <v/>
      </c>
      <c r="AN30">
        <f>IF(OR(AN$4="",$A30&gt;TODAY()),0,IF(OR(INDEX($B30:$D30,AN$5)="F",AND(AN$6&gt;0,$A30&lt;AN$6),AND(AN$7&gt;0,$A30&gt;AN$7)),0,MAX(0,ROUND((INDEX($E30:$G30,AN$5)-SUMIFS(TF_Timer,TF_Tekniker,AN$4,TF_Dato,$A30))*2,0)/2)))</f>
        <v/>
      </c>
      <c r="AO30">
        <f>IF(OR(AO$4="",$A30&gt;TODAY()),0,IF(OR(INDEX($B30:$D30,AO$5)="F",AND(AO$6&gt;0,$A30&lt;AO$6),AND(AO$7&gt;0,$A30&gt;AO$7)),0,MAX(0,ROUND((INDEX($E30:$G30,AO$5)-SUMIFS(TF_Timer,TF_Tekniker,AO$4,TF_Dato,$A30))*2,0)/2)))</f>
        <v/>
      </c>
      <c r="AP30">
        <f>IF(OR(AP$4="",$A30&gt;TODAY()),0,IF(OR(INDEX($B30:$D30,AP$5)="F",AND(AP$6&gt;0,$A30&lt;AP$6),AND(AP$7&gt;0,$A30&gt;AP$7)),0,MAX(0,ROUND((INDEX($E30:$G30,AP$5)-SUMIFS(TF_Timer,TF_Tekniker,AP$4,TF_Dato,$A30))*2,0)/2)))</f>
        <v/>
      </c>
      <c r="AQ30">
        <f>IF(OR(AQ$4="",$A30&gt;TODAY()),0,IF(OR(INDEX($B30:$D30,AQ$5)="F",AND(AQ$6&gt;0,$A30&lt;AQ$6),AND(AQ$7&gt;0,$A30&gt;AQ$7)),0,MAX(0,ROUND((INDEX($E30:$G30,AQ$5)-SUMIFS(TF_Timer,TF_Tekniker,AQ$4,TF_Dato,$A30))*2,0)/2)))</f>
        <v/>
      </c>
      <c r="AR30">
        <f>IF(OR(AR$4="",$A30&gt;TODAY()),0,IF(OR(INDEX($B30:$D30,AR$5)="F",AND(AR$6&gt;0,$A30&lt;AR$6),AND(AR$7&gt;0,$A30&gt;AR$7)),0,MAX(0,ROUND((INDEX($E30:$G30,AR$5)-SUMIFS(TF_Timer,TF_Tekniker,AR$4,TF_Dato,$A30))*2,0)/2)))</f>
        <v/>
      </c>
      <c r="AS30">
        <f>IF(OR(AS$4="",$A30&gt;TODAY()),0,IF(OR(INDEX($B30:$D30,AS$5)="F",AND(AS$6&gt;0,$A30&lt;AS$6),AND(AS$7&gt;0,$A30&gt;AS$7)),0,MAX(0,ROUND((INDEX($E30:$G30,AS$5)-SUMIFS(TF_Timer,TF_Tekniker,AS$4,TF_Dato,$A30))*2,0)/2)))</f>
        <v/>
      </c>
      <c r="AT30">
        <f>IF(OR(AT$4="",$A30&gt;TODAY()),0,IF(OR(INDEX($B30:$D30,AT$5)="F",AND(AT$6&gt;0,$A30&lt;AT$6),AND(AT$7&gt;0,$A30&gt;AT$7)),0,MAX(0,ROUND((INDEX($E30:$G30,AT$5)-SUMIFS(TF_Timer,TF_Tekniker,AT$4,TF_Dato,$A30))*2,0)/2)))</f>
        <v/>
      </c>
      <c r="AU30">
        <f>IF(OR(AU$4="",$A30&gt;TODAY()),0,IF(OR(INDEX($B30:$D30,AU$5)="F",AND(AU$6&gt;0,$A30&lt;AU$6),AND(AU$7&gt;0,$A30&gt;AU$7)),0,MAX(0,ROUND((INDEX($E30:$G30,AU$5)-SUMIFS(TF_Timer,TF_Tekniker,AU$4,TF_Dato,$A30))*2,0)/2)))</f>
        <v/>
      </c>
      <c r="AV30">
        <f>IF(OR(AV$4="",$A30&gt;TODAY()),0,IF(OR(INDEX($B30:$D30,AV$5)="F",AND(AV$6&gt;0,$A30&lt;AV$6),AND(AV$7&gt;0,$A30&gt;AV$7)),0,MAX(0,ROUND((INDEX($E30:$G30,AV$5)-SUMIFS(TF_Timer,TF_Tekniker,AV$4,TF_Dato,$A30))*2,0)/2)))</f>
        <v/>
      </c>
      <c r="AW30">
        <f>IF(OR(AW$4="",$A30&gt;TODAY()),0,IF(OR(INDEX($B30:$D30,AW$5)="F",AND(AW$6&gt;0,$A30&lt;AW$6),AND(AW$7&gt;0,$A30&gt;AW$7)),0,MAX(0,ROUND((INDEX($E30:$G30,AW$5)-SUMIFS(TF_Timer,TF_Tekniker,AW$4,TF_Dato,$A30))*2,0)/2)))</f>
        <v/>
      </c>
      <c r="AX30">
        <f>IF(OR(AX$4="",$A30&gt;TODAY()),0,IF(OR(INDEX($B30:$D30,AX$5)="F",AND(AX$6&gt;0,$A30&lt;AX$6),AND(AX$7&gt;0,$A30&gt;AX$7)),0,MAX(0,ROUND((INDEX($E30:$G30,AX$5)-SUMIFS(TF_Timer,TF_Tekniker,AX$4,TF_Dato,$A30))*2,0)/2)))</f>
        <v/>
      </c>
      <c r="AY30">
        <f>IF(OR(AY$4="",$A30&gt;TODAY()),0,IF(OR(INDEX($B30:$D30,AY$5)="F",AND(AY$6&gt;0,$A30&lt;AY$6),AND(AY$7&gt;0,$A30&gt;AY$7)),0,MAX(0,ROUND((INDEX($E30:$G30,AY$5)-SUMIFS(TF_Timer,TF_Tekniker,AY$4,TF_Dato,$A30))*2,0)/2)))</f>
        <v/>
      </c>
      <c r="AZ30">
        <f>IF(OR(AZ$4="",$A30&gt;TODAY()),0,IF(OR(INDEX($B30:$D30,AZ$5)="F",AND(AZ$6&gt;0,$A30&lt;AZ$6),AND(AZ$7&gt;0,$A30&gt;AZ$7)),0,MAX(0,ROUND((INDEX($E30:$G30,AZ$5)-SUMIFS(TF_Timer,TF_Tekniker,AZ$4,TF_Dato,$A30))*2,0)/2)))</f>
        <v/>
      </c>
      <c r="BA30">
        <f>IF(OR(BA$4="",$A30&gt;TODAY()),0,IF(OR(INDEX($B30:$D30,BA$5)="F",AND(BA$6&gt;0,$A30&lt;BA$6),AND(BA$7&gt;0,$A30&gt;BA$7)),0,MAX(0,ROUND((INDEX($E30:$G30,BA$5)-SUMIFS(TF_Timer,TF_Tekniker,BA$4,TF_Dato,$A30))*2,0)/2)))</f>
        <v/>
      </c>
      <c r="BB30">
        <f>IF(OR(BB$4="",$A30&gt;TODAY()),0,IF(OR(INDEX($B30:$D30,BB$5)="F",AND(BB$6&gt;0,$A30&lt;BB$6),AND(BB$7&gt;0,$A30&gt;BB$7)),0,MAX(0,ROUND((INDEX($E30:$G30,BB$5)-SUMIFS(TF_Timer,TF_Tekniker,BB$4,TF_Dato,$A30))*2,0)/2)))</f>
        <v/>
      </c>
      <c r="BC30">
        <f>IF(OR(BC$4="",$A30&gt;TODAY()),0,IF(OR(INDEX($B30:$D30,BC$5)="F",AND(BC$6&gt;0,$A30&lt;BC$6),AND(BC$7&gt;0,$A30&gt;BC$7)),0,MAX(0,ROUND((INDEX($E30:$G30,BC$5)-SUMIFS(TF_Timer,TF_Tekniker,BC$4,TF_Dato,$A30))*2,0)/2)))</f>
        <v/>
      </c>
      <c r="BD30">
        <f>IF(OR(BD$4="",$A30&gt;TODAY()),0,IF(OR(INDEX($B30:$D30,BD$5)="F",AND(BD$6&gt;0,$A30&lt;BD$6),AND(BD$7&gt;0,$A30&gt;BD$7)),0,MAX(0,ROUND((INDEX($E30:$G30,BD$5)-SUMIFS(TF_Timer,TF_Tekniker,BD$4,TF_Dato,$A30))*2,0)/2)))</f>
        <v/>
      </c>
      <c r="BE30">
        <f>IF(OR(BE$4="",$A30&gt;TODAY()),0,IF(OR(INDEX($B30:$D30,BE$5)="F",AND(BE$6&gt;0,$A30&lt;BE$6),AND(BE$7&gt;0,$A30&gt;BE$7)),0,MAX(0,ROUND((INDEX($E30:$G30,BE$5)-SUMIFS(TF_Timer,TF_Tekniker,BE$4,TF_Dato,$A30))*2,0)/2)))</f>
        <v/>
      </c>
      <c r="BF30">
        <f>IF(OR(BF$4="",$A30&gt;TODAY()),0,IF(OR(INDEX($B30:$D30,BF$5)="F",AND(BF$6&gt;0,$A30&lt;BF$6),AND(BF$7&gt;0,$A30&gt;BF$7)),0,MAX(0,ROUND((INDEX($E30:$G30,BF$5)-SUMIFS(TF_Timer,TF_Tekniker,BF$4,TF_Dato,$A30))*2,0)/2)))</f>
        <v/>
      </c>
      <c r="BG30">
        <f>IF(OR(BG$4="",$A30&gt;TODAY()),0,IF(OR(INDEX($B30:$D30,BG$5)="F",AND(BG$6&gt;0,$A30&lt;BG$6),AND(BG$7&gt;0,$A30&gt;BG$7)),0,MAX(0,ROUND((INDEX($E30:$G30,BG$5)-SUMIFS(TF_Timer,TF_Tekniker,BG$4,TF_Dato,$A30))*2,0)/2)))</f>
        <v/>
      </c>
      <c r="BH30">
        <f>IF(OR(BH$4="",$A30&gt;TODAY()),0,IF(OR(INDEX($B30:$D30,BH$5)="F",AND(BH$6&gt;0,$A30&lt;BH$6),AND(BH$7&gt;0,$A30&gt;BH$7)),0,MAX(0,ROUND((INDEX($E30:$G30,BH$5)-SUMIFS(TF_Timer,TF_Tekniker,BH$4,TF_Dato,$A30))*2,0)/2)))</f>
        <v/>
      </c>
      <c r="BI30">
        <f>IF(OR(BI$4="",$A30&gt;TODAY()),0,IF(OR(INDEX($B30:$D30,BI$5)="F",AND(BI$6&gt;0,$A30&lt;BI$6),AND(BI$7&gt;0,$A30&gt;BI$7)),0,MAX(0,ROUND((INDEX($E30:$G30,BI$5)-SUMIFS(TF_Timer,TF_Tekniker,BI$4,TF_Dato,$A30))*2,0)/2)))</f>
        <v/>
      </c>
    </row>
    <row r="31">
      <c r="A31" s="64">
        <f>A30+1</f>
        <v/>
      </c>
      <c r="B31">
        <f>IF(MOD($A31-INDEX(SkiftStart,1),Syklus)&lt;DagK,"K",IF(MOD($A31-INDEX(SkiftStart,1),Syklus)&lt;DagK+DagH,"H",IF(MOD($A31-INDEX(SkiftStart,1),Syklus)&lt;DagK+DagH+DagD,"D","F")))</f>
        <v/>
      </c>
      <c r="C31">
        <f>IF(MOD($A31-INDEX(SkiftStart,2),Syklus)&lt;DagK,"K",IF(MOD($A31-INDEX(SkiftStart,2),Syklus)&lt;DagK+DagH,"H",IF(MOD($A31-INDEX(SkiftStart,2),Syklus)&lt;DagK+DagH+DagD,"D","F")))</f>
        <v/>
      </c>
      <c r="D31">
        <f>IF(MOD($A31-INDEX(SkiftStart,3),Syklus)&lt;DagK,"K",IF(MOD($A31-INDEX(SkiftStart,3),Syklus)&lt;DagK+DagH,"H",IF(MOD($A31-INDEX(SkiftStart,3),Syklus)&lt;DagK+DagH+DagD,"D","F")))</f>
        <v/>
      </c>
      <c r="E31">
        <f>IF(B31="F",0,IF(WEEKDAY($A31,2)=5,INDEX(TimerFr,MATCH(B31,FaseKode,0)),INDEX(TimerMT,MATCH(B31,FaseKode,0))))</f>
        <v/>
      </c>
      <c r="F31">
        <f>IF(C31="F",0,IF(WEEKDAY($A31,2)=5,INDEX(TimerFr,MATCH(C31,FaseKode,0)),INDEX(TimerMT,MATCH(C31,FaseKode,0))))</f>
        <v/>
      </c>
      <c r="G31">
        <f>IF(D31="F",0,IF(WEEKDAY($A31,2)=5,INDEX(TimerFr,MATCH(D31,FaseKode,0)),INDEX(TimerMT,MATCH(D31,FaseKode,0))))</f>
        <v/>
      </c>
      <c r="H31">
        <f>IF(OR(H$4="",$A31&gt;TODAY()),0,IF(OR(INDEX($B31:$D31,H$5)="F",AND(H$6&gt;0,$A31&lt;H$6),AND(H$7&gt;0,$A31&gt;H$7)),0,MAX(0,ROUND((INDEX($E31:$G31,H$5)-SUMIFS(TF_Timer,TF_Tekniker,H$4,TF_Dato,$A31))*2,0)/2)))</f>
        <v/>
      </c>
      <c r="I31">
        <f>IF(OR(I$4="",$A31&gt;TODAY()),0,IF(OR(INDEX($B31:$D31,I$5)="F",AND(I$6&gt;0,$A31&lt;I$6),AND(I$7&gt;0,$A31&gt;I$7)),0,MAX(0,ROUND((INDEX($E31:$G31,I$5)-SUMIFS(TF_Timer,TF_Tekniker,I$4,TF_Dato,$A31))*2,0)/2)))</f>
        <v/>
      </c>
      <c r="J31">
        <f>IF(OR(J$4="",$A31&gt;TODAY()),0,IF(OR(INDEX($B31:$D31,J$5)="F",AND(J$6&gt;0,$A31&lt;J$6),AND(J$7&gt;0,$A31&gt;J$7)),0,MAX(0,ROUND((INDEX($E31:$G31,J$5)-SUMIFS(TF_Timer,TF_Tekniker,J$4,TF_Dato,$A31))*2,0)/2)))</f>
        <v/>
      </c>
      <c r="K31">
        <f>IF(OR(K$4="",$A31&gt;TODAY()),0,IF(OR(INDEX($B31:$D31,K$5)="F",AND(K$6&gt;0,$A31&lt;K$6),AND(K$7&gt;0,$A31&gt;K$7)),0,MAX(0,ROUND((INDEX($E31:$G31,K$5)-SUMIFS(TF_Timer,TF_Tekniker,K$4,TF_Dato,$A31))*2,0)/2)))</f>
        <v/>
      </c>
      <c r="L31">
        <f>IF(OR(L$4="",$A31&gt;TODAY()),0,IF(OR(INDEX($B31:$D31,L$5)="F",AND(L$6&gt;0,$A31&lt;L$6),AND(L$7&gt;0,$A31&gt;L$7)),0,MAX(0,ROUND((INDEX($E31:$G31,L$5)-SUMIFS(TF_Timer,TF_Tekniker,L$4,TF_Dato,$A31))*2,0)/2)))</f>
        <v/>
      </c>
      <c r="M31">
        <f>IF(OR(M$4="",$A31&gt;TODAY()),0,IF(OR(INDEX($B31:$D31,M$5)="F",AND(M$6&gt;0,$A31&lt;M$6),AND(M$7&gt;0,$A31&gt;M$7)),0,MAX(0,ROUND((INDEX($E31:$G31,M$5)-SUMIFS(TF_Timer,TF_Tekniker,M$4,TF_Dato,$A31))*2,0)/2)))</f>
        <v/>
      </c>
      <c r="N31">
        <f>IF(OR(N$4="",$A31&gt;TODAY()),0,IF(OR(INDEX($B31:$D31,N$5)="F",AND(N$6&gt;0,$A31&lt;N$6),AND(N$7&gt;0,$A31&gt;N$7)),0,MAX(0,ROUND((INDEX($E31:$G31,N$5)-SUMIFS(TF_Timer,TF_Tekniker,N$4,TF_Dato,$A31))*2,0)/2)))</f>
        <v/>
      </c>
      <c r="O31">
        <f>IF(OR(O$4="",$A31&gt;TODAY()),0,IF(OR(INDEX($B31:$D31,O$5)="F",AND(O$6&gt;0,$A31&lt;O$6),AND(O$7&gt;0,$A31&gt;O$7)),0,MAX(0,ROUND((INDEX($E31:$G31,O$5)-SUMIFS(TF_Timer,TF_Tekniker,O$4,TF_Dato,$A31))*2,0)/2)))</f>
        <v/>
      </c>
      <c r="P31">
        <f>IF(OR(P$4="",$A31&gt;TODAY()),0,IF(OR(INDEX($B31:$D31,P$5)="F",AND(P$6&gt;0,$A31&lt;P$6),AND(P$7&gt;0,$A31&gt;P$7)),0,MAX(0,ROUND((INDEX($E31:$G31,P$5)-SUMIFS(TF_Timer,TF_Tekniker,P$4,TF_Dato,$A31))*2,0)/2)))</f>
        <v/>
      </c>
      <c r="Q31">
        <f>IF(OR(Q$4="",$A31&gt;TODAY()),0,IF(OR(INDEX($B31:$D31,Q$5)="F",AND(Q$6&gt;0,$A31&lt;Q$6),AND(Q$7&gt;0,$A31&gt;Q$7)),0,MAX(0,ROUND((INDEX($E31:$G31,Q$5)-SUMIFS(TF_Timer,TF_Tekniker,Q$4,TF_Dato,$A31))*2,0)/2)))</f>
        <v/>
      </c>
      <c r="R31">
        <f>IF(OR(R$4="",$A31&gt;TODAY()),0,IF(OR(INDEX($B31:$D31,R$5)="F",AND(R$6&gt;0,$A31&lt;R$6),AND(R$7&gt;0,$A31&gt;R$7)),0,MAX(0,ROUND((INDEX($E31:$G31,R$5)-SUMIFS(TF_Timer,TF_Tekniker,R$4,TF_Dato,$A31))*2,0)/2)))</f>
        <v/>
      </c>
      <c r="S31">
        <f>IF(OR(S$4="",$A31&gt;TODAY()),0,IF(OR(INDEX($B31:$D31,S$5)="F",AND(S$6&gt;0,$A31&lt;S$6),AND(S$7&gt;0,$A31&gt;S$7)),0,MAX(0,ROUND((INDEX($E31:$G31,S$5)-SUMIFS(TF_Timer,TF_Tekniker,S$4,TF_Dato,$A31))*2,0)/2)))</f>
        <v/>
      </c>
      <c r="T31">
        <f>IF(OR(T$4="",$A31&gt;TODAY()),0,IF(OR(INDEX($B31:$D31,T$5)="F",AND(T$6&gt;0,$A31&lt;T$6),AND(T$7&gt;0,$A31&gt;T$7)),0,MAX(0,ROUND((INDEX($E31:$G31,T$5)-SUMIFS(TF_Timer,TF_Tekniker,T$4,TF_Dato,$A31))*2,0)/2)))</f>
        <v/>
      </c>
      <c r="U31">
        <f>IF(OR(U$4="",$A31&gt;TODAY()),0,IF(OR(INDEX($B31:$D31,U$5)="F",AND(U$6&gt;0,$A31&lt;U$6),AND(U$7&gt;0,$A31&gt;U$7)),0,MAX(0,ROUND((INDEX($E31:$G31,U$5)-SUMIFS(TF_Timer,TF_Tekniker,U$4,TF_Dato,$A31))*2,0)/2)))</f>
        <v/>
      </c>
      <c r="V31">
        <f>IF(OR(V$4="",$A31&gt;TODAY()),0,IF(OR(INDEX($B31:$D31,V$5)="F",AND(V$6&gt;0,$A31&lt;V$6),AND(V$7&gt;0,$A31&gt;V$7)),0,MAX(0,ROUND((INDEX($E31:$G31,V$5)-SUMIFS(TF_Timer,TF_Tekniker,V$4,TF_Dato,$A31))*2,0)/2)))</f>
        <v/>
      </c>
      <c r="W31">
        <f>IF(OR(W$4="",$A31&gt;TODAY()),0,IF(OR(INDEX($B31:$D31,W$5)="F",AND(W$6&gt;0,$A31&lt;W$6),AND(W$7&gt;0,$A31&gt;W$7)),0,MAX(0,ROUND((INDEX($E31:$G31,W$5)-SUMIFS(TF_Timer,TF_Tekniker,W$4,TF_Dato,$A31))*2,0)/2)))</f>
        <v/>
      </c>
      <c r="X31">
        <f>IF(OR(X$4="",$A31&gt;TODAY()),0,IF(OR(INDEX($B31:$D31,X$5)="F",AND(X$6&gt;0,$A31&lt;X$6),AND(X$7&gt;0,$A31&gt;X$7)),0,MAX(0,ROUND((INDEX($E31:$G31,X$5)-SUMIFS(TF_Timer,TF_Tekniker,X$4,TF_Dato,$A31))*2,0)/2)))</f>
        <v/>
      </c>
      <c r="Y31">
        <f>IF(OR(Y$4="",$A31&gt;TODAY()),0,IF(OR(INDEX($B31:$D31,Y$5)="F",AND(Y$6&gt;0,$A31&lt;Y$6),AND(Y$7&gt;0,$A31&gt;Y$7)),0,MAX(0,ROUND((INDEX($E31:$G31,Y$5)-SUMIFS(TF_Timer,TF_Tekniker,Y$4,TF_Dato,$A31))*2,0)/2)))</f>
        <v/>
      </c>
      <c r="Z31">
        <f>IF(OR(Z$4="",$A31&gt;TODAY()),0,IF(OR(INDEX($B31:$D31,Z$5)="F",AND(Z$6&gt;0,$A31&lt;Z$6),AND(Z$7&gt;0,$A31&gt;Z$7)),0,MAX(0,ROUND((INDEX($E31:$G31,Z$5)-SUMIFS(TF_Timer,TF_Tekniker,Z$4,TF_Dato,$A31))*2,0)/2)))</f>
        <v/>
      </c>
      <c r="AA31">
        <f>IF(OR(AA$4="",$A31&gt;TODAY()),0,IF(OR(INDEX($B31:$D31,AA$5)="F",AND(AA$6&gt;0,$A31&lt;AA$6),AND(AA$7&gt;0,$A31&gt;AA$7)),0,MAX(0,ROUND((INDEX($E31:$G31,AA$5)-SUMIFS(TF_Timer,TF_Tekniker,AA$4,TF_Dato,$A31))*2,0)/2)))</f>
        <v/>
      </c>
      <c r="AB31">
        <f>IF(OR(AB$4="",$A31&gt;TODAY()),0,IF(OR(INDEX($B31:$D31,AB$5)="F",AND(AB$6&gt;0,$A31&lt;AB$6),AND(AB$7&gt;0,$A31&gt;AB$7)),0,MAX(0,ROUND((INDEX($E31:$G31,AB$5)-SUMIFS(TF_Timer,TF_Tekniker,AB$4,TF_Dato,$A31))*2,0)/2)))</f>
        <v/>
      </c>
      <c r="AC31">
        <f>IF(OR(AC$4="",$A31&gt;TODAY()),0,IF(OR(INDEX($B31:$D31,AC$5)="F",AND(AC$6&gt;0,$A31&lt;AC$6),AND(AC$7&gt;0,$A31&gt;AC$7)),0,MAX(0,ROUND((INDEX($E31:$G31,AC$5)-SUMIFS(TF_Timer,TF_Tekniker,AC$4,TF_Dato,$A31))*2,0)/2)))</f>
        <v/>
      </c>
      <c r="AD31">
        <f>IF(OR(AD$4="",$A31&gt;TODAY()),0,IF(OR(INDEX($B31:$D31,AD$5)="F",AND(AD$6&gt;0,$A31&lt;AD$6),AND(AD$7&gt;0,$A31&gt;AD$7)),0,MAX(0,ROUND((INDEX($E31:$G31,AD$5)-SUMIFS(TF_Timer,TF_Tekniker,AD$4,TF_Dato,$A31))*2,0)/2)))</f>
        <v/>
      </c>
      <c r="AE31">
        <f>IF(OR(AE$4="",$A31&gt;TODAY()),0,IF(OR(INDEX($B31:$D31,AE$5)="F",AND(AE$6&gt;0,$A31&lt;AE$6),AND(AE$7&gt;0,$A31&gt;AE$7)),0,MAX(0,ROUND((INDEX($E31:$G31,AE$5)-SUMIFS(TF_Timer,TF_Tekniker,AE$4,TF_Dato,$A31))*2,0)/2)))</f>
        <v/>
      </c>
      <c r="AF31">
        <f>IF(OR(AF$4="",$A31&gt;TODAY()),0,IF(OR(INDEX($B31:$D31,AF$5)="F",AND(AF$6&gt;0,$A31&lt;AF$6),AND(AF$7&gt;0,$A31&gt;AF$7)),0,MAX(0,ROUND((INDEX($E31:$G31,AF$5)-SUMIFS(TF_Timer,TF_Tekniker,AF$4,TF_Dato,$A31))*2,0)/2)))</f>
        <v/>
      </c>
      <c r="AG31">
        <f>IF(OR(AG$4="",$A31&gt;TODAY()),0,IF(OR(INDEX($B31:$D31,AG$5)="F",AND(AG$6&gt;0,$A31&lt;AG$6),AND(AG$7&gt;0,$A31&gt;AG$7)),0,MAX(0,ROUND((INDEX($E31:$G31,AG$5)-SUMIFS(TF_Timer,TF_Tekniker,AG$4,TF_Dato,$A31))*2,0)/2)))</f>
        <v/>
      </c>
      <c r="AH31">
        <f>IF(OR(AH$4="",$A31&gt;TODAY()),0,IF(OR(INDEX($B31:$D31,AH$5)="F",AND(AH$6&gt;0,$A31&lt;AH$6),AND(AH$7&gt;0,$A31&gt;AH$7)),0,MAX(0,ROUND((INDEX($E31:$G31,AH$5)-SUMIFS(TF_Timer,TF_Tekniker,AH$4,TF_Dato,$A31))*2,0)/2)))</f>
        <v/>
      </c>
      <c r="AI31">
        <f>IF(OR(AI$4="",$A31&gt;TODAY()),0,IF(OR(INDEX($B31:$D31,AI$5)="F",AND(AI$6&gt;0,$A31&lt;AI$6),AND(AI$7&gt;0,$A31&gt;AI$7)),0,MAX(0,ROUND((INDEX($E31:$G31,AI$5)-SUMIFS(TF_Timer,TF_Tekniker,AI$4,TF_Dato,$A31))*2,0)/2)))</f>
        <v/>
      </c>
      <c r="AJ31">
        <f>IF(OR(AJ$4="",$A31&gt;TODAY()),0,IF(OR(INDEX($B31:$D31,AJ$5)="F",AND(AJ$6&gt;0,$A31&lt;AJ$6),AND(AJ$7&gt;0,$A31&gt;AJ$7)),0,MAX(0,ROUND((INDEX($E31:$G31,AJ$5)-SUMIFS(TF_Timer,TF_Tekniker,AJ$4,TF_Dato,$A31))*2,0)/2)))</f>
        <v/>
      </c>
      <c r="AK31">
        <f>IF(OR(AK$4="",$A31&gt;TODAY()),0,IF(OR(INDEX($B31:$D31,AK$5)="F",AND(AK$6&gt;0,$A31&lt;AK$6),AND(AK$7&gt;0,$A31&gt;AK$7)),0,MAX(0,ROUND((INDEX($E31:$G31,AK$5)-SUMIFS(TF_Timer,TF_Tekniker,AK$4,TF_Dato,$A31))*2,0)/2)))</f>
        <v/>
      </c>
      <c r="AL31">
        <f>IF(OR(AL$4="",$A31&gt;TODAY()),0,IF(OR(INDEX($B31:$D31,AL$5)="F",AND(AL$6&gt;0,$A31&lt;AL$6),AND(AL$7&gt;0,$A31&gt;AL$7)),0,MAX(0,ROUND((INDEX($E31:$G31,AL$5)-SUMIFS(TF_Timer,TF_Tekniker,AL$4,TF_Dato,$A31))*2,0)/2)))</f>
        <v/>
      </c>
      <c r="AM31">
        <f>IF(OR(AM$4="",$A31&gt;TODAY()),0,IF(OR(INDEX($B31:$D31,AM$5)="F",AND(AM$6&gt;0,$A31&lt;AM$6),AND(AM$7&gt;0,$A31&gt;AM$7)),0,MAX(0,ROUND((INDEX($E31:$G31,AM$5)-SUMIFS(TF_Timer,TF_Tekniker,AM$4,TF_Dato,$A31))*2,0)/2)))</f>
        <v/>
      </c>
      <c r="AN31">
        <f>IF(OR(AN$4="",$A31&gt;TODAY()),0,IF(OR(INDEX($B31:$D31,AN$5)="F",AND(AN$6&gt;0,$A31&lt;AN$6),AND(AN$7&gt;0,$A31&gt;AN$7)),0,MAX(0,ROUND((INDEX($E31:$G31,AN$5)-SUMIFS(TF_Timer,TF_Tekniker,AN$4,TF_Dato,$A31))*2,0)/2)))</f>
        <v/>
      </c>
      <c r="AO31">
        <f>IF(OR(AO$4="",$A31&gt;TODAY()),0,IF(OR(INDEX($B31:$D31,AO$5)="F",AND(AO$6&gt;0,$A31&lt;AO$6),AND(AO$7&gt;0,$A31&gt;AO$7)),0,MAX(0,ROUND((INDEX($E31:$G31,AO$5)-SUMIFS(TF_Timer,TF_Tekniker,AO$4,TF_Dato,$A31))*2,0)/2)))</f>
        <v/>
      </c>
      <c r="AP31">
        <f>IF(OR(AP$4="",$A31&gt;TODAY()),0,IF(OR(INDEX($B31:$D31,AP$5)="F",AND(AP$6&gt;0,$A31&lt;AP$6),AND(AP$7&gt;0,$A31&gt;AP$7)),0,MAX(0,ROUND((INDEX($E31:$G31,AP$5)-SUMIFS(TF_Timer,TF_Tekniker,AP$4,TF_Dato,$A31))*2,0)/2)))</f>
        <v/>
      </c>
      <c r="AQ31">
        <f>IF(OR(AQ$4="",$A31&gt;TODAY()),0,IF(OR(INDEX($B31:$D31,AQ$5)="F",AND(AQ$6&gt;0,$A31&lt;AQ$6),AND(AQ$7&gt;0,$A31&gt;AQ$7)),0,MAX(0,ROUND((INDEX($E31:$G31,AQ$5)-SUMIFS(TF_Timer,TF_Tekniker,AQ$4,TF_Dato,$A31))*2,0)/2)))</f>
        <v/>
      </c>
      <c r="AR31">
        <f>IF(OR(AR$4="",$A31&gt;TODAY()),0,IF(OR(INDEX($B31:$D31,AR$5)="F",AND(AR$6&gt;0,$A31&lt;AR$6),AND(AR$7&gt;0,$A31&gt;AR$7)),0,MAX(0,ROUND((INDEX($E31:$G31,AR$5)-SUMIFS(TF_Timer,TF_Tekniker,AR$4,TF_Dato,$A31))*2,0)/2)))</f>
        <v/>
      </c>
      <c r="AS31">
        <f>IF(OR(AS$4="",$A31&gt;TODAY()),0,IF(OR(INDEX($B31:$D31,AS$5)="F",AND(AS$6&gt;0,$A31&lt;AS$6),AND(AS$7&gt;0,$A31&gt;AS$7)),0,MAX(0,ROUND((INDEX($E31:$G31,AS$5)-SUMIFS(TF_Timer,TF_Tekniker,AS$4,TF_Dato,$A31))*2,0)/2)))</f>
        <v/>
      </c>
      <c r="AT31">
        <f>IF(OR(AT$4="",$A31&gt;TODAY()),0,IF(OR(INDEX($B31:$D31,AT$5)="F",AND(AT$6&gt;0,$A31&lt;AT$6),AND(AT$7&gt;0,$A31&gt;AT$7)),0,MAX(0,ROUND((INDEX($E31:$G31,AT$5)-SUMIFS(TF_Timer,TF_Tekniker,AT$4,TF_Dato,$A31))*2,0)/2)))</f>
        <v/>
      </c>
      <c r="AU31">
        <f>IF(OR(AU$4="",$A31&gt;TODAY()),0,IF(OR(INDEX($B31:$D31,AU$5)="F",AND(AU$6&gt;0,$A31&lt;AU$6),AND(AU$7&gt;0,$A31&gt;AU$7)),0,MAX(0,ROUND((INDEX($E31:$G31,AU$5)-SUMIFS(TF_Timer,TF_Tekniker,AU$4,TF_Dato,$A31))*2,0)/2)))</f>
        <v/>
      </c>
      <c r="AV31">
        <f>IF(OR(AV$4="",$A31&gt;TODAY()),0,IF(OR(INDEX($B31:$D31,AV$5)="F",AND(AV$6&gt;0,$A31&lt;AV$6),AND(AV$7&gt;0,$A31&gt;AV$7)),0,MAX(0,ROUND((INDEX($E31:$G31,AV$5)-SUMIFS(TF_Timer,TF_Tekniker,AV$4,TF_Dato,$A31))*2,0)/2)))</f>
        <v/>
      </c>
      <c r="AW31">
        <f>IF(OR(AW$4="",$A31&gt;TODAY()),0,IF(OR(INDEX($B31:$D31,AW$5)="F",AND(AW$6&gt;0,$A31&lt;AW$6),AND(AW$7&gt;0,$A31&gt;AW$7)),0,MAX(0,ROUND((INDEX($E31:$G31,AW$5)-SUMIFS(TF_Timer,TF_Tekniker,AW$4,TF_Dato,$A31))*2,0)/2)))</f>
        <v/>
      </c>
      <c r="AX31">
        <f>IF(OR(AX$4="",$A31&gt;TODAY()),0,IF(OR(INDEX($B31:$D31,AX$5)="F",AND(AX$6&gt;0,$A31&lt;AX$6),AND(AX$7&gt;0,$A31&gt;AX$7)),0,MAX(0,ROUND((INDEX($E31:$G31,AX$5)-SUMIFS(TF_Timer,TF_Tekniker,AX$4,TF_Dato,$A31))*2,0)/2)))</f>
        <v/>
      </c>
      <c r="AY31">
        <f>IF(OR(AY$4="",$A31&gt;TODAY()),0,IF(OR(INDEX($B31:$D31,AY$5)="F",AND(AY$6&gt;0,$A31&lt;AY$6),AND(AY$7&gt;0,$A31&gt;AY$7)),0,MAX(0,ROUND((INDEX($E31:$G31,AY$5)-SUMIFS(TF_Timer,TF_Tekniker,AY$4,TF_Dato,$A31))*2,0)/2)))</f>
        <v/>
      </c>
      <c r="AZ31">
        <f>IF(OR(AZ$4="",$A31&gt;TODAY()),0,IF(OR(INDEX($B31:$D31,AZ$5)="F",AND(AZ$6&gt;0,$A31&lt;AZ$6),AND(AZ$7&gt;0,$A31&gt;AZ$7)),0,MAX(0,ROUND((INDEX($E31:$G31,AZ$5)-SUMIFS(TF_Timer,TF_Tekniker,AZ$4,TF_Dato,$A31))*2,0)/2)))</f>
        <v/>
      </c>
      <c r="BA31">
        <f>IF(OR(BA$4="",$A31&gt;TODAY()),0,IF(OR(INDEX($B31:$D31,BA$5)="F",AND(BA$6&gt;0,$A31&lt;BA$6),AND(BA$7&gt;0,$A31&gt;BA$7)),0,MAX(0,ROUND((INDEX($E31:$G31,BA$5)-SUMIFS(TF_Timer,TF_Tekniker,BA$4,TF_Dato,$A31))*2,0)/2)))</f>
        <v/>
      </c>
      <c r="BB31">
        <f>IF(OR(BB$4="",$A31&gt;TODAY()),0,IF(OR(INDEX($B31:$D31,BB$5)="F",AND(BB$6&gt;0,$A31&lt;BB$6),AND(BB$7&gt;0,$A31&gt;BB$7)),0,MAX(0,ROUND((INDEX($E31:$G31,BB$5)-SUMIFS(TF_Timer,TF_Tekniker,BB$4,TF_Dato,$A31))*2,0)/2)))</f>
        <v/>
      </c>
      <c r="BC31">
        <f>IF(OR(BC$4="",$A31&gt;TODAY()),0,IF(OR(INDEX($B31:$D31,BC$5)="F",AND(BC$6&gt;0,$A31&lt;BC$6),AND(BC$7&gt;0,$A31&gt;BC$7)),0,MAX(0,ROUND((INDEX($E31:$G31,BC$5)-SUMIFS(TF_Timer,TF_Tekniker,BC$4,TF_Dato,$A31))*2,0)/2)))</f>
        <v/>
      </c>
      <c r="BD31">
        <f>IF(OR(BD$4="",$A31&gt;TODAY()),0,IF(OR(INDEX($B31:$D31,BD$5)="F",AND(BD$6&gt;0,$A31&lt;BD$6),AND(BD$7&gt;0,$A31&gt;BD$7)),0,MAX(0,ROUND((INDEX($E31:$G31,BD$5)-SUMIFS(TF_Timer,TF_Tekniker,BD$4,TF_Dato,$A31))*2,0)/2)))</f>
        <v/>
      </c>
      <c r="BE31">
        <f>IF(OR(BE$4="",$A31&gt;TODAY()),0,IF(OR(INDEX($B31:$D31,BE$5)="F",AND(BE$6&gt;0,$A31&lt;BE$6),AND(BE$7&gt;0,$A31&gt;BE$7)),0,MAX(0,ROUND((INDEX($E31:$G31,BE$5)-SUMIFS(TF_Timer,TF_Tekniker,BE$4,TF_Dato,$A31))*2,0)/2)))</f>
        <v/>
      </c>
      <c r="BF31">
        <f>IF(OR(BF$4="",$A31&gt;TODAY()),0,IF(OR(INDEX($B31:$D31,BF$5)="F",AND(BF$6&gt;0,$A31&lt;BF$6),AND(BF$7&gt;0,$A31&gt;BF$7)),0,MAX(0,ROUND((INDEX($E31:$G31,BF$5)-SUMIFS(TF_Timer,TF_Tekniker,BF$4,TF_Dato,$A31))*2,0)/2)))</f>
        <v/>
      </c>
      <c r="BG31">
        <f>IF(OR(BG$4="",$A31&gt;TODAY()),0,IF(OR(INDEX($B31:$D31,BG$5)="F",AND(BG$6&gt;0,$A31&lt;BG$6),AND(BG$7&gt;0,$A31&gt;BG$7)),0,MAX(0,ROUND((INDEX($E31:$G31,BG$5)-SUMIFS(TF_Timer,TF_Tekniker,BG$4,TF_Dato,$A31))*2,0)/2)))</f>
        <v/>
      </c>
      <c r="BH31">
        <f>IF(OR(BH$4="",$A31&gt;TODAY()),0,IF(OR(INDEX($B31:$D31,BH$5)="F",AND(BH$6&gt;0,$A31&lt;BH$6),AND(BH$7&gt;0,$A31&gt;BH$7)),0,MAX(0,ROUND((INDEX($E31:$G31,BH$5)-SUMIFS(TF_Timer,TF_Tekniker,BH$4,TF_Dato,$A31))*2,0)/2)))</f>
        <v/>
      </c>
      <c r="BI31">
        <f>IF(OR(BI$4="",$A31&gt;TODAY()),0,IF(OR(INDEX($B31:$D31,BI$5)="F",AND(BI$6&gt;0,$A31&lt;BI$6),AND(BI$7&gt;0,$A31&gt;BI$7)),0,MAX(0,ROUND((INDEX($E31:$G31,BI$5)-SUMIFS(TF_Timer,TF_Tekniker,BI$4,TF_Dato,$A31))*2,0)/2)))</f>
        <v/>
      </c>
    </row>
    <row r="32">
      <c r="A32" s="64">
        <f>A31+1</f>
        <v/>
      </c>
      <c r="B32">
        <f>IF(MOD($A32-INDEX(SkiftStart,1),Syklus)&lt;DagK,"K",IF(MOD($A32-INDEX(SkiftStart,1),Syklus)&lt;DagK+DagH,"H",IF(MOD($A32-INDEX(SkiftStart,1),Syklus)&lt;DagK+DagH+DagD,"D","F")))</f>
        <v/>
      </c>
      <c r="C32">
        <f>IF(MOD($A32-INDEX(SkiftStart,2),Syklus)&lt;DagK,"K",IF(MOD($A32-INDEX(SkiftStart,2),Syklus)&lt;DagK+DagH,"H",IF(MOD($A32-INDEX(SkiftStart,2),Syklus)&lt;DagK+DagH+DagD,"D","F")))</f>
        <v/>
      </c>
      <c r="D32">
        <f>IF(MOD($A32-INDEX(SkiftStart,3),Syklus)&lt;DagK,"K",IF(MOD($A32-INDEX(SkiftStart,3),Syklus)&lt;DagK+DagH,"H",IF(MOD($A32-INDEX(SkiftStart,3),Syklus)&lt;DagK+DagH+DagD,"D","F")))</f>
        <v/>
      </c>
      <c r="E32">
        <f>IF(B32="F",0,IF(WEEKDAY($A32,2)=5,INDEX(TimerFr,MATCH(B32,FaseKode,0)),INDEX(TimerMT,MATCH(B32,FaseKode,0))))</f>
        <v/>
      </c>
      <c r="F32">
        <f>IF(C32="F",0,IF(WEEKDAY($A32,2)=5,INDEX(TimerFr,MATCH(C32,FaseKode,0)),INDEX(TimerMT,MATCH(C32,FaseKode,0))))</f>
        <v/>
      </c>
      <c r="G32">
        <f>IF(D32="F",0,IF(WEEKDAY($A32,2)=5,INDEX(TimerFr,MATCH(D32,FaseKode,0)),INDEX(TimerMT,MATCH(D32,FaseKode,0))))</f>
        <v/>
      </c>
      <c r="H32">
        <f>IF(OR(H$4="",$A32&gt;TODAY()),0,IF(OR(INDEX($B32:$D32,H$5)="F",AND(H$6&gt;0,$A32&lt;H$6),AND(H$7&gt;0,$A32&gt;H$7)),0,MAX(0,ROUND((INDEX($E32:$G32,H$5)-SUMIFS(TF_Timer,TF_Tekniker,H$4,TF_Dato,$A32))*2,0)/2)))</f>
        <v/>
      </c>
      <c r="I32">
        <f>IF(OR(I$4="",$A32&gt;TODAY()),0,IF(OR(INDEX($B32:$D32,I$5)="F",AND(I$6&gt;0,$A32&lt;I$6),AND(I$7&gt;0,$A32&gt;I$7)),0,MAX(0,ROUND((INDEX($E32:$G32,I$5)-SUMIFS(TF_Timer,TF_Tekniker,I$4,TF_Dato,$A32))*2,0)/2)))</f>
        <v/>
      </c>
      <c r="J32">
        <f>IF(OR(J$4="",$A32&gt;TODAY()),0,IF(OR(INDEX($B32:$D32,J$5)="F",AND(J$6&gt;0,$A32&lt;J$6),AND(J$7&gt;0,$A32&gt;J$7)),0,MAX(0,ROUND((INDEX($E32:$G32,J$5)-SUMIFS(TF_Timer,TF_Tekniker,J$4,TF_Dato,$A32))*2,0)/2)))</f>
        <v/>
      </c>
      <c r="K32">
        <f>IF(OR(K$4="",$A32&gt;TODAY()),0,IF(OR(INDEX($B32:$D32,K$5)="F",AND(K$6&gt;0,$A32&lt;K$6),AND(K$7&gt;0,$A32&gt;K$7)),0,MAX(0,ROUND((INDEX($E32:$G32,K$5)-SUMIFS(TF_Timer,TF_Tekniker,K$4,TF_Dato,$A32))*2,0)/2)))</f>
        <v/>
      </c>
      <c r="L32">
        <f>IF(OR(L$4="",$A32&gt;TODAY()),0,IF(OR(INDEX($B32:$D32,L$5)="F",AND(L$6&gt;0,$A32&lt;L$6),AND(L$7&gt;0,$A32&gt;L$7)),0,MAX(0,ROUND((INDEX($E32:$G32,L$5)-SUMIFS(TF_Timer,TF_Tekniker,L$4,TF_Dato,$A32))*2,0)/2)))</f>
        <v/>
      </c>
      <c r="M32">
        <f>IF(OR(M$4="",$A32&gt;TODAY()),0,IF(OR(INDEX($B32:$D32,M$5)="F",AND(M$6&gt;0,$A32&lt;M$6),AND(M$7&gt;0,$A32&gt;M$7)),0,MAX(0,ROUND((INDEX($E32:$G32,M$5)-SUMIFS(TF_Timer,TF_Tekniker,M$4,TF_Dato,$A32))*2,0)/2)))</f>
        <v/>
      </c>
      <c r="N32">
        <f>IF(OR(N$4="",$A32&gt;TODAY()),0,IF(OR(INDEX($B32:$D32,N$5)="F",AND(N$6&gt;0,$A32&lt;N$6),AND(N$7&gt;0,$A32&gt;N$7)),0,MAX(0,ROUND((INDEX($E32:$G32,N$5)-SUMIFS(TF_Timer,TF_Tekniker,N$4,TF_Dato,$A32))*2,0)/2)))</f>
        <v/>
      </c>
      <c r="O32">
        <f>IF(OR(O$4="",$A32&gt;TODAY()),0,IF(OR(INDEX($B32:$D32,O$5)="F",AND(O$6&gt;0,$A32&lt;O$6),AND(O$7&gt;0,$A32&gt;O$7)),0,MAX(0,ROUND((INDEX($E32:$G32,O$5)-SUMIFS(TF_Timer,TF_Tekniker,O$4,TF_Dato,$A32))*2,0)/2)))</f>
        <v/>
      </c>
      <c r="P32">
        <f>IF(OR(P$4="",$A32&gt;TODAY()),0,IF(OR(INDEX($B32:$D32,P$5)="F",AND(P$6&gt;0,$A32&lt;P$6),AND(P$7&gt;0,$A32&gt;P$7)),0,MAX(0,ROUND((INDEX($E32:$G32,P$5)-SUMIFS(TF_Timer,TF_Tekniker,P$4,TF_Dato,$A32))*2,0)/2)))</f>
        <v/>
      </c>
      <c r="Q32">
        <f>IF(OR(Q$4="",$A32&gt;TODAY()),0,IF(OR(INDEX($B32:$D32,Q$5)="F",AND(Q$6&gt;0,$A32&lt;Q$6),AND(Q$7&gt;0,$A32&gt;Q$7)),0,MAX(0,ROUND((INDEX($E32:$G32,Q$5)-SUMIFS(TF_Timer,TF_Tekniker,Q$4,TF_Dato,$A32))*2,0)/2)))</f>
        <v/>
      </c>
      <c r="R32">
        <f>IF(OR(R$4="",$A32&gt;TODAY()),0,IF(OR(INDEX($B32:$D32,R$5)="F",AND(R$6&gt;0,$A32&lt;R$6),AND(R$7&gt;0,$A32&gt;R$7)),0,MAX(0,ROUND((INDEX($E32:$G32,R$5)-SUMIFS(TF_Timer,TF_Tekniker,R$4,TF_Dato,$A32))*2,0)/2)))</f>
        <v/>
      </c>
      <c r="S32">
        <f>IF(OR(S$4="",$A32&gt;TODAY()),0,IF(OR(INDEX($B32:$D32,S$5)="F",AND(S$6&gt;0,$A32&lt;S$6),AND(S$7&gt;0,$A32&gt;S$7)),0,MAX(0,ROUND((INDEX($E32:$G32,S$5)-SUMIFS(TF_Timer,TF_Tekniker,S$4,TF_Dato,$A32))*2,0)/2)))</f>
        <v/>
      </c>
      <c r="T32">
        <f>IF(OR(T$4="",$A32&gt;TODAY()),0,IF(OR(INDEX($B32:$D32,T$5)="F",AND(T$6&gt;0,$A32&lt;T$6),AND(T$7&gt;0,$A32&gt;T$7)),0,MAX(0,ROUND((INDEX($E32:$G32,T$5)-SUMIFS(TF_Timer,TF_Tekniker,T$4,TF_Dato,$A32))*2,0)/2)))</f>
        <v/>
      </c>
      <c r="U32">
        <f>IF(OR(U$4="",$A32&gt;TODAY()),0,IF(OR(INDEX($B32:$D32,U$5)="F",AND(U$6&gt;0,$A32&lt;U$6),AND(U$7&gt;0,$A32&gt;U$7)),0,MAX(0,ROUND((INDEX($E32:$G32,U$5)-SUMIFS(TF_Timer,TF_Tekniker,U$4,TF_Dato,$A32))*2,0)/2)))</f>
        <v/>
      </c>
      <c r="V32">
        <f>IF(OR(V$4="",$A32&gt;TODAY()),0,IF(OR(INDEX($B32:$D32,V$5)="F",AND(V$6&gt;0,$A32&lt;V$6),AND(V$7&gt;0,$A32&gt;V$7)),0,MAX(0,ROUND((INDEX($E32:$G32,V$5)-SUMIFS(TF_Timer,TF_Tekniker,V$4,TF_Dato,$A32))*2,0)/2)))</f>
        <v/>
      </c>
      <c r="W32">
        <f>IF(OR(W$4="",$A32&gt;TODAY()),0,IF(OR(INDEX($B32:$D32,W$5)="F",AND(W$6&gt;0,$A32&lt;W$6),AND(W$7&gt;0,$A32&gt;W$7)),0,MAX(0,ROUND((INDEX($E32:$G32,W$5)-SUMIFS(TF_Timer,TF_Tekniker,W$4,TF_Dato,$A32))*2,0)/2)))</f>
        <v/>
      </c>
      <c r="X32">
        <f>IF(OR(X$4="",$A32&gt;TODAY()),0,IF(OR(INDEX($B32:$D32,X$5)="F",AND(X$6&gt;0,$A32&lt;X$6),AND(X$7&gt;0,$A32&gt;X$7)),0,MAX(0,ROUND((INDEX($E32:$G32,X$5)-SUMIFS(TF_Timer,TF_Tekniker,X$4,TF_Dato,$A32))*2,0)/2)))</f>
        <v/>
      </c>
      <c r="Y32">
        <f>IF(OR(Y$4="",$A32&gt;TODAY()),0,IF(OR(INDEX($B32:$D32,Y$5)="F",AND(Y$6&gt;0,$A32&lt;Y$6),AND(Y$7&gt;0,$A32&gt;Y$7)),0,MAX(0,ROUND((INDEX($E32:$G32,Y$5)-SUMIFS(TF_Timer,TF_Tekniker,Y$4,TF_Dato,$A32))*2,0)/2)))</f>
        <v/>
      </c>
      <c r="Z32">
        <f>IF(OR(Z$4="",$A32&gt;TODAY()),0,IF(OR(INDEX($B32:$D32,Z$5)="F",AND(Z$6&gt;0,$A32&lt;Z$6),AND(Z$7&gt;0,$A32&gt;Z$7)),0,MAX(0,ROUND((INDEX($E32:$G32,Z$5)-SUMIFS(TF_Timer,TF_Tekniker,Z$4,TF_Dato,$A32))*2,0)/2)))</f>
        <v/>
      </c>
      <c r="AA32">
        <f>IF(OR(AA$4="",$A32&gt;TODAY()),0,IF(OR(INDEX($B32:$D32,AA$5)="F",AND(AA$6&gt;0,$A32&lt;AA$6),AND(AA$7&gt;0,$A32&gt;AA$7)),0,MAX(0,ROUND((INDEX($E32:$G32,AA$5)-SUMIFS(TF_Timer,TF_Tekniker,AA$4,TF_Dato,$A32))*2,0)/2)))</f>
        <v/>
      </c>
      <c r="AB32">
        <f>IF(OR(AB$4="",$A32&gt;TODAY()),0,IF(OR(INDEX($B32:$D32,AB$5)="F",AND(AB$6&gt;0,$A32&lt;AB$6),AND(AB$7&gt;0,$A32&gt;AB$7)),0,MAX(0,ROUND((INDEX($E32:$G32,AB$5)-SUMIFS(TF_Timer,TF_Tekniker,AB$4,TF_Dato,$A32))*2,0)/2)))</f>
        <v/>
      </c>
      <c r="AC32">
        <f>IF(OR(AC$4="",$A32&gt;TODAY()),0,IF(OR(INDEX($B32:$D32,AC$5)="F",AND(AC$6&gt;0,$A32&lt;AC$6),AND(AC$7&gt;0,$A32&gt;AC$7)),0,MAX(0,ROUND((INDEX($E32:$G32,AC$5)-SUMIFS(TF_Timer,TF_Tekniker,AC$4,TF_Dato,$A32))*2,0)/2)))</f>
        <v/>
      </c>
      <c r="AD32">
        <f>IF(OR(AD$4="",$A32&gt;TODAY()),0,IF(OR(INDEX($B32:$D32,AD$5)="F",AND(AD$6&gt;0,$A32&lt;AD$6),AND(AD$7&gt;0,$A32&gt;AD$7)),0,MAX(0,ROUND((INDEX($E32:$G32,AD$5)-SUMIFS(TF_Timer,TF_Tekniker,AD$4,TF_Dato,$A32))*2,0)/2)))</f>
        <v/>
      </c>
      <c r="AE32">
        <f>IF(OR(AE$4="",$A32&gt;TODAY()),0,IF(OR(INDEX($B32:$D32,AE$5)="F",AND(AE$6&gt;0,$A32&lt;AE$6),AND(AE$7&gt;0,$A32&gt;AE$7)),0,MAX(0,ROUND((INDEX($E32:$G32,AE$5)-SUMIFS(TF_Timer,TF_Tekniker,AE$4,TF_Dato,$A32))*2,0)/2)))</f>
        <v/>
      </c>
      <c r="AF32">
        <f>IF(OR(AF$4="",$A32&gt;TODAY()),0,IF(OR(INDEX($B32:$D32,AF$5)="F",AND(AF$6&gt;0,$A32&lt;AF$6),AND(AF$7&gt;0,$A32&gt;AF$7)),0,MAX(0,ROUND((INDEX($E32:$G32,AF$5)-SUMIFS(TF_Timer,TF_Tekniker,AF$4,TF_Dato,$A32))*2,0)/2)))</f>
        <v/>
      </c>
      <c r="AG32">
        <f>IF(OR(AG$4="",$A32&gt;TODAY()),0,IF(OR(INDEX($B32:$D32,AG$5)="F",AND(AG$6&gt;0,$A32&lt;AG$6),AND(AG$7&gt;0,$A32&gt;AG$7)),0,MAX(0,ROUND((INDEX($E32:$G32,AG$5)-SUMIFS(TF_Timer,TF_Tekniker,AG$4,TF_Dato,$A32))*2,0)/2)))</f>
        <v/>
      </c>
      <c r="AH32">
        <f>IF(OR(AH$4="",$A32&gt;TODAY()),0,IF(OR(INDEX($B32:$D32,AH$5)="F",AND(AH$6&gt;0,$A32&lt;AH$6),AND(AH$7&gt;0,$A32&gt;AH$7)),0,MAX(0,ROUND((INDEX($E32:$G32,AH$5)-SUMIFS(TF_Timer,TF_Tekniker,AH$4,TF_Dato,$A32))*2,0)/2)))</f>
        <v/>
      </c>
      <c r="AI32">
        <f>IF(OR(AI$4="",$A32&gt;TODAY()),0,IF(OR(INDEX($B32:$D32,AI$5)="F",AND(AI$6&gt;0,$A32&lt;AI$6),AND(AI$7&gt;0,$A32&gt;AI$7)),0,MAX(0,ROUND((INDEX($E32:$G32,AI$5)-SUMIFS(TF_Timer,TF_Tekniker,AI$4,TF_Dato,$A32))*2,0)/2)))</f>
        <v/>
      </c>
      <c r="AJ32">
        <f>IF(OR(AJ$4="",$A32&gt;TODAY()),0,IF(OR(INDEX($B32:$D32,AJ$5)="F",AND(AJ$6&gt;0,$A32&lt;AJ$6),AND(AJ$7&gt;0,$A32&gt;AJ$7)),0,MAX(0,ROUND((INDEX($E32:$G32,AJ$5)-SUMIFS(TF_Timer,TF_Tekniker,AJ$4,TF_Dato,$A32))*2,0)/2)))</f>
        <v/>
      </c>
      <c r="AK32">
        <f>IF(OR(AK$4="",$A32&gt;TODAY()),0,IF(OR(INDEX($B32:$D32,AK$5)="F",AND(AK$6&gt;0,$A32&lt;AK$6),AND(AK$7&gt;0,$A32&gt;AK$7)),0,MAX(0,ROUND((INDEX($E32:$G32,AK$5)-SUMIFS(TF_Timer,TF_Tekniker,AK$4,TF_Dato,$A32))*2,0)/2)))</f>
        <v/>
      </c>
      <c r="AL32">
        <f>IF(OR(AL$4="",$A32&gt;TODAY()),0,IF(OR(INDEX($B32:$D32,AL$5)="F",AND(AL$6&gt;0,$A32&lt;AL$6),AND(AL$7&gt;0,$A32&gt;AL$7)),0,MAX(0,ROUND((INDEX($E32:$G32,AL$5)-SUMIFS(TF_Timer,TF_Tekniker,AL$4,TF_Dato,$A32))*2,0)/2)))</f>
        <v/>
      </c>
      <c r="AM32">
        <f>IF(OR(AM$4="",$A32&gt;TODAY()),0,IF(OR(INDEX($B32:$D32,AM$5)="F",AND(AM$6&gt;0,$A32&lt;AM$6),AND(AM$7&gt;0,$A32&gt;AM$7)),0,MAX(0,ROUND((INDEX($E32:$G32,AM$5)-SUMIFS(TF_Timer,TF_Tekniker,AM$4,TF_Dato,$A32))*2,0)/2)))</f>
        <v/>
      </c>
      <c r="AN32">
        <f>IF(OR(AN$4="",$A32&gt;TODAY()),0,IF(OR(INDEX($B32:$D32,AN$5)="F",AND(AN$6&gt;0,$A32&lt;AN$6),AND(AN$7&gt;0,$A32&gt;AN$7)),0,MAX(0,ROUND((INDEX($E32:$G32,AN$5)-SUMIFS(TF_Timer,TF_Tekniker,AN$4,TF_Dato,$A32))*2,0)/2)))</f>
        <v/>
      </c>
      <c r="AO32">
        <f>IF(OR(AO$4="",$A32&gt;TODAY()),0,IF(OR(INDEX($B32:$D32,AO$5)="F",AND(AO$6&gt;0,$A32&lt;AO$6),AND(AO$7&gt;0,$A32&gt;AO$7)),0,MAX(0,ROUND((INDEX($E32:$G32,AO$5)-SUMIFS(TF_Timer,TF_Tekniker,AO$4,TF_Dato,$A32))*2,0)/2)))</f>
        <v/>
      </c>
      <c r="AP32">
        <f>IF(OR(AP$4="",$A32&gt;TODAY()),0,IF(OR(INDEX($B32:$D32,AP$5)="F",AND(AP$6&gt;0,$A32&lt;AP$6),AND(AP$7&gt;0,$A32&gt;AP$7)),0,MAX(0,ROUND((INDEX($E32:$G32,AP$5)-SUMIFS(TF_Timer,TF_Tekniker,AP$4,TF_Dato,$A32))*2,0)/2)))</f>
        <v/>
      </c>
      <c r="AQ32">
        <f>IF(OR(AQ$4="",$A32&gt;TODAY()),0,IF(OR(INDEX($B32:$D32,AQ$5)="F",AND(AQ$6&gt;0,$A32&lt;AQ$6),AND(AQ$7&gt;0,$A32&gt;AQ$7)),0,MAX(0,ROUND((INDEX($E32:$G32,AQ$5)-SUMIFS(TF_Timer,TF_Tekniker,AQ$4,TF_Dato,$A32))*2,0)/2)))</f>
        <v/>
      </c>
      <c r="AR32">
        <f>IF(OR(AR$4="",$A32&gt;TODAY()),0,IF(OR(INDEX($B32:$D32,AR$5)="F",AND(AR$6&gt;0,$A32&lt;AR$6),AND(AR$7&gt;0,$A32&gt;AR$7)),0,MAX(0,ROUND((INDEX($E32:$G32,AR$5)-SUMIFS(TF_Timer,TF_Tekniker,AR$4,TF_Dato,$A32))*2,0)/2)))</f>
        <v/>
      </c>
      <c r="AS32">
        <f>IF(OR(AS$4="",$A32&gt;TODAY()),0,IF(OR(INDEX($B32:$D32,AS$5)="F",AND(AS$6&gt;0,$A32&lt;AS$6),AND(AS$7&gt;0,$A32&gt;AS$7)),0,MAX(0,ROUND((INDEX($E32:$G32,AS$5)-SUMIFS(TF_Timer,TF_Tekniker,AS$4,TF_Dato,$A32))*2,0)/2)))</f>
        <v/>
      </c>
      <c r="AT32">
        <f>IF(OR(AT$4="",$A32&gt;TODAY()),0,IF(OR(INDEX($B32:$D32,AT$5)="F",AND(AT$6&gt;0,$A32&lt;AT$6),AND(AT$7&gt;0,$A32&gt;AT$7)),0,MAX(0,ROUND((INDEX($E32:$G32,AT$5)-SUMIFS(TF_Timer,TF_Tekniker,AT$4,TF_Dato,$A32))*2,0)/2)))</f>
        <v/>
      </c>
      <c r="AU32">
        <f>IF(OR(AU$4="",$A32&gt;TODAY()),0,IF(OR(INDEX($B32:$D32,AU$5)="F",AND(AU$6&gt;0,$A32&lt;AU$6),AND(AU$7&gt;0,$A32&gt;AU$7)),0,MAX(0,ROUND((INDEX($E32:$G32,AU$5)-SUMIFS(TF_Timer,TF_Tekniker,AU$4,TF_Dato,$A32))*2,0)/2)))</f>
        <v/>
      </c>
      <c r="AV32">
        <f>IF(OR(AV$4="",$A32&gt;TODAY()),0,IF(OR(INDEX($B32:$D32,AV$5)="F",AND(AV$6&gt;0,$A32&lt;AV$6),AND(AV$7&gt;0,$A32&gt;AV$7)),0,MAX(0,ROUND((INDEX($E32:$G32,AV$5)-SUMIFS(TF_Timer,TF_Tekniker,AV$4,TF_Dato,$A32))*2,0)/2)))</f>
        <v/>
      </c>
      <c r="AW32">
        <f>IF(OR(AW$4="",$A32&gt;TODAY()),0,IF(OR(INDEX($B32:$D32,AW$5)="F",AND(AW$6&gt;0,$A32&lt;AW$6),AND(AW$7&gt;0,$A32&gt;AW$7)),0,MAX(0,ROUND((INDEX($E32:$G32,AW$5)-SUMIFS(TF_Timer,TF_Tekniker,AW$4,TF_Dato,$A32))*2,0)/2)))</f>
        <v/>
      </c>
      <c r="AX32">
        <f>IF(OR(AX$4="",$A32&gt;TODAY()),0,IF(OR(INDEX($B32:$D32,AX$5)="F",AND(AX$6&gt;0,$A32&lt;AX$6),AND(AX$7&gt;0,$A32&gt;AX$7)),0,MAX(0,ROUND((INDEX($E32:$G32,AX$5)-SUMIFS(TF_Timer,TF_Tekniker,AX$4,TF_Dato,$A32))*2,0)/2)))</f>
        <v/>
      </c>
      <c r="AY32">
        <f>IF(OR(AY$4="",$A32&gt;TODAY()),0,IF(OR(INDEX($B32:$D32,AY$5)="F",AND(AY$6&gt;0,$A32&lt;AY$6),AND(AY$7&gt;0,$A32&gt;AY$7)),0,MAX(0,ROUND((INDEX($E32:$G32,AY$5)-SUMIFS(TF_Timer,TF_Tekniker,AY$4,TF_Dato,$A32))*2,0)/2)))</f>
        <v/>
      </c>
      <c r="AZ32">
        <f>IF(OR(AZ$4="",$A32&gt;TODAY()),0,IF(OR(INDEX($B32:$D32,AZ$5)="F",AND(AZ$6&gt;0,$A32&lt;AZ$6),AND(AZ$7&gt;0,$A32&gt;AZ$7)),0,MAX(0,ROUND((INDEX($E32:$G32,AZ$5)-SUMIFS(TF_Timer,TF_Tekniker,AZ$4,TF_Dato,$A32))*2,0)/2)))</f>
        <v/>
      </c>
      <c r="BA32">
        <f>IF(OR(BA$4="",$A32&gt;TODAY()),0,IF(OR(INDEX($B32:$D32,BA$5)="F",AND(BA$6&gt;0,$A32&lt;BA$6),AND(BA$7&gt;0,$A32&gt;BA$7)),0,MAX(0,ROUND((INDEX($E32:$G32,BA$5)-SUMIFS(TF_Timer,TF_Tekniker,BA$4,TF_Dato,$A32))*2,0)/2)))</f>
        <v/>
      </c>
      <c r="BB32">
        <f>IF(OR(BB$4="",$A32&gt;TODAY()),0,IF(OR(INDEX($B32:$D32,BB$5)="F",AND(BB$6&gt;0,$A32&lt;BB$6),AND(BB$7&gt;0,$A32&gt;BB$7)),0,MAX(0,ROUND((INDEX($E32:$G32,BB$5)-SUMIFS(TF_Timer,TF_Tekniker,BB$4,TF_Dato,$A32))*2,0)/2)))</f>
        <v/>
      </c>
      <c r="BC32">
        <f>IF(OR(BC$4="",$A32&gt;TODAY()),0,IF(OR(INDEX($B32:$D32,BC$5)="F",AND(BC$6&gt;0,$A32&lt;BC$6),AND(BC$7&gt;0,$A32&gt;BC$7)),0,MAX(0,ROUND((INDEX($E32:$G32,BC$5)-SUMIFS(TF_Timer,TF_Tekniker,BC$4,TF_Dato,$A32))*2,0)/2)))</f>
        <v/>
      </c>
      <c r="BD32">
        <f>IF(OR(BD$4="",$A32&gt;TODAY()),0,IF(OR(INDEX($B32:$D32,BD$5)="F",AND(BD$6&gt;0,$A32&lt;BD$6),AND(BD$7&gt;0,$A32&gt;BD$7)),0,MAX(0,ROUND((INDEX($E32:$G32,BD$5)-SUMIFS(TF_Timer,TF_Tekniker,BD$4,TF_Dato,$A32))*2,0)/2)))</f>
        <v/>
      </c>
      <c r="BE32">
        <f>IF(OR(BE$4="",$A32&gt;TODAY()),0,IF(OR(INDEX($B32:$D32,BE$5)="F",AND(BE$6&gt;0,$A32&lt;BE$6),AND(BE$7&gt;0,$A32&gt;BE$7)),0,MAX(0,ROUND((INDEX($E32:$G32,BE$5)-SUMIFS(TF_Timer,TF_Tekniker,BE$4,TF_Dato,$A32))*2,0)/2)))</f>
        <v/>
      </c>
      <c r="BF32">
        <f>IF(OR(BF$4="",$A32&gt;TODAY()),0,IF(OR(INDEX($B32:$D32,BF$5)="F",AND(BF$6&gt;0,$A32&lt;BF$6),AND(BF$7&gt;0,$A32&gt;BF$7)),0,MAX(0,ROUND((INDEX($E32:$G32,BF$5)-SUMIFS(TF_Timer,TF_Tekniker,BF$4,TF_Dato,$A32))*2,0)/2)))</f>
        <v/>
      </c>
      <c r="BG32">
        <f>IF(OR(BG$4="",$A32&gt;TODAY()),0,IF(OR(INDEX($B32:$D32,BG$5)="F",AND(BG$6&gt;0,$A32&lt;BG$6),AND(BG$7&gt;0,$A32&gt;BG$7)),0,MAX(0,ROUND((INDEX($E32:$G32,BG$5)-SUMIFS(TF_Timer,TF_Tekniker,BG$4,TF_Dato,$A32))*2,0)/2)))</f>
        <v/>
      </c>
      <c r="BH32">
        <f>IF(OR(BH$4="",$A32&gt;TODAY()),0,IF(OR(INDEX($B32:$D32,BH$5)="F",AND(BH$6&gt;0,$A32&lt;BH$6),AND(BH$7&gt;0,$A32&gt;BH$7)),0,MAX(0,ROUND((INDEX($E32:$G32,BH$5)-SUMIFS(TF_Timer,TF_Tekniker,BH$4,TF_Dato,$A32))*2,0)/2)))</f>
        <v/>
      </c>
      <c r="BI32">
        <f>IF(OR(BI$4="",$A32&gt;TODAY()),0,IF(OR(INDEX($B32:$D32,BI$5)="F",AND(BI$6&gt;0,$A32&lt;BI$6),AND(BI$7&gt;0,$A32&gt;BI$7)),0,MAX(0,ROUND((INDEX($E32:$G32,BI$5)-SUMIFS(TF_Timer,TF_Tekniker,BI$4,TF_Dato,$A32))*2,0)/2)))</f>
        <v/>
      </c>
    </row>
    <row r="33">
      <c r="A33" s="64">
        <f>A32+1</f>
        <v/>
      </c>
      <c r="B33">
        <f>IF(MOD($A33-INDEX(SkiftStart,1),Syklus)&lt;DagK,"K",IF(MOD($A33-INDEX(SkiftStart,1),Syklus)&lt;DagK+DagH,"H",IF(MOD($A33-INDEX(SkiftStart,1),Syklus)&lt;DagK+DagH+DagD,"D","F")))</f>
        <v/>
      </c>
      <c r="C33">
        <f>IF(MOD($A33-INDEX(SkiftStart,2),Syklus)&lt;DagK,"K",IF(MOD($A33-INDEX(SkiftStart,2),Syklus)&lt;DagK+DagH,"H",IF(MOD($A33-INDEX(SkiftStart,2),Syklus)&lt;DagK+DagH+DagD,"D","F")))</f>
        <v/>
      </c>
      <c r="D33">
        <f>IF(MOD($A33-INDEX(SkiftStart,3),Syklus)&lt;DagK,"K",IF(MOD($A33-INDEX(SkiftStart,3),Syklus)&lt;DagK+DagH,"H",IF(MOD($A33-INDEX(SkiftStart,3),Syklus)&lt;DagK+DagH+DagD,"D","F")))</f>
        <v/>
      </c>
      <c r="E33">
        <f>IF(B33="F",0,IF(WEEKDAY($A33,2)=5,INDEX(TimerFr,MATCH(B33,FaseKode,0)),INDEX(TimerMT,MATCH(B33,FaseKode,0))))</f>
        <v/>
      </c>
      <c r="F33">
        <f>IF(C33="F",0,IF(WEEKDAY($A33,2)=5,INDEX(TimerFr,MATCH(C33,FaseKode,0)),INDEX(TimerMT,MATCH(C33,FaseKode,0))))</f>
        <v/>
      </c>
      <c r="G33">
        <f>IF(D33="F",0,IF(WEEKDAY($A33,2)=5,INDEX(TimerFr,MATCH(D33,FaseKode,0)),INDEX(TimerMT,MATCH(D33,FaseKode,0))))</f>
        <v/>
      </c>
      <c r="H33">
        <f>IF(OR(H$4="",$A33&gt;TODAY()),0,IF(OR(INDEX($B33:$D33,H$5)="F",AND(H$6&gt;0,$A33&lt;H$6),AND(H$7&gt;0,$A33&gt;H$7)),0,MAX(0,ROUND((INDEX($E33:$G33,H$5)-SUMIFS(TF_Timer,TF_Tekniker,H$4,TF_Dato,$A33))*2,0)/2)))</f>
        <v/>
      </c>
      <c r="I33">
        <f>IF(OR(I$4="",$A33&gt;TODAY()),0,IF(OR(INDEX($B33:$D33,I$5)="F",AND(I$6&gt;0,$A33&lt;I$6),AND(I$7&gt;0,$A33&gt;I$7)),0,MAX(0,ROUND((INDEX($E33:$G33,I$5)-SUMIFS(TF_Timer,TF_Tekniker,I$4,TF_Dato,$A33))*2,0)/2)))</f>
        <v/>
      </c>
      <c r="J33">
        <f>IF(OR(J$4="",$A33&gt;TODAY()),0,IF(OR(INDEX($B33:$D33,J$5)="F",AND(J$6&gt;0,$A33&lt;J$6),AND(J$7&gt;0,$A33&gt;J$7)),0,MAX(0,ROUND((INDEX($E33:$G33,J$5)-SUMIFS(TF_Timer,TF_Tekniker,J$4,TF_Dato,$A33))*2,0)/2)))</f>
        <v/>
      </c>
      <c r="K33">
        <f>IF(OR(K$4="",$A33&gt;TODAY()),0,IF(OR(INDEX($B33:$D33,K$5)="F",AND(K$6&gt;0,$A33&lt;K$6),AND(K$7&gt;0,$A33&gt;K$7)),0,MAX(0,ROUND((INDEX($E33:$G33,K$5)-SUMIFS(TF_Timer,TF_Tekniker,K$4,TF_Dato,$A33))*2,0)/2)))</f>
        <v/>
      </c>
      <c r="L33">
        <f>IF(OR(L$4="",$A33&gt;TODAY()),0,IF(OR(INDEX($B33:$D33,L$5)="F",AND(L$6&gt;0,$A33&lt;L$6),AND(L$7&gt;0,$A33&gt;L$7)),0,MAX(0,ROUND((INDEX($E33:$G33,L$5)-SUMIFS(TF_Timer,TF_Tekniker,L$4,TF_Dato,$A33))*2,0)/2)))</f>
        <v/>
      </c>
      <c r="M33">
        <f>IF(OR(M$4="",$A33&gt;TODAY()),0,IF(OR(INDEX($B33:$D33,M$5)="F",AND(M$6&gt;0,$A33&lt;M$6),AND(M$7&gt;0,$A33&gt;M$7)),0,MAX(0,ROUND((INDEX($E33:$G33,M$5)-SUMIFS(TF_Timer,TF_Tekniker,M$4,TF_Dato,$A33))*2,0)/2)))</f>
        <v/>
      </c>
      <c r="N33">
        <f>IF(OR(N$4="",$A33&gt;TODAY()),0,IF(OR(INDEX($B33:$D33,N$5)="F",AND(N$6&gt;0,$A33&lt;N$6),AND(N$7&gt;0,$A33&gt;N$7)),0,MAX(0,ROUND((INDEX($E33:$G33,N$5)-SUMIFS(TF_Timer,TF_Tekniker,N$4,TF_Dato,$A33))*2,0)/2)))</f>
        <v/>
      </c>
      <c r="O33">
        <f>IF(OR(O$4="",$A33&gt;TODAY()),0,IF(OR(INDEX($B33:$D33,O$5)="F",AND(O$6&gt;0,$A33&lt;O$6),AND(O$7&gt;0,$A33&gt;O$7)),0,MAX(0,ROUND((INDEX($E33:$G33,O$5)-SUMIFS(TF_Timer,TF_Tekniker,O$4,TF_Dato,$A33))*2,0)/2)))</f>
        <v/>
      </c>
      <c r="P33">
        <f>IF(OR(P$4="",$A33&gt;TODAY()),0,IF(OR(INDEX($B33:$D33,P$5)="F",AND(P$6&gt;0,$A33&lt;P$6),AND(P$7&gt;0,$A33&gt;P$7)),0,MAX(0,ROUND((INDEX($E33:$G33,P$5)-SUMIFS(TF_Timer,TF_Tekniker,P$4,TF_Dato,$A33))*2,0)/2)))</f>
        <v/>
      </c>
      <c r="Q33">
        <f>IF(OR(Q$4="",$A33&gt;TODAY()),0,IF(OR(INDEX($B33:$D33,Q$5)="F",AND(Q$6&gt;0,$A33&lt;Q$6),AND(Q$7&gt;0,$A33&gt;Q$7)),0,MAX(0,ROUND((INDEX($E33:$G33,Q$5)-SUMIFS(TF_Timer,TF_Tekniker,Q$4,TF_Dato,$A33))*2,0)/2)))</f>
        <v/>
      </c>
      <c r="R33">
        <f>IF(OR(R$4="",$A33&gt;TODAY()),0,IF(OR(INDEX($B33:$D33,R$5)="F",AND(R$6&gt;0,$A33&lt;R$6),AND(R$7&gt;0,$A33&gt;R$7)),0,MAX(0,ROUND((INDEX($E33:$G33,R$5)-SUMIFS(TF_Timer,TF_Tekniker,R$4,TF_Dato,$A33))*2,0)/2)))</f>
        <v/>
      </c>
      <c r="S33">
        <f>IF(OR(S$4="",$A33&gt;TODAY()),0,IF(OR(INDEX($B33:$D33,S$5)="F",AND(S$6&gt;0,$A33&lt;S$6),AND(S$7&gt;0,$A33&gt;S$7)),0,MAX(0,ROUND((INDEX($E33:$G33,S$5)-SUMIFS(TF_Timer,TF_Tekniker,S$4,TF_Dato,$A33))*2,0)/2)))</f>
        <v/>
      </c>
      <c r="T33">
        <f>IF(OR(T$4="",$A33&gt;TODAY()),0,IF(OR(INDEX($B33:$D33,T$5)="F",AND(T$6&gt;0,$A33&lt;T$6),AND(T$7&gt;0,$A33&gt;T$7)),0,MAX(0,ROUND((INDEX($E33:$G33,T$5)-SUMIFS(TF_Timer,TF_Tekniker,T$4,TF_Dato,$A33))*2,0)/2)))</f>
        <v/>
      </c>
      <c r="U33">
        <f>IF(OR(U$4="",$A33&gt;TODAY()),0,IF(OR(INDEX($B33:$D33,U$5)="F",AND(U$6&gt;0,$A33&lt;U$6),AND(U$7&gt;0,$A33&gt;U$7)),0,MAX(0,ROUND((INDEX($E33:$G33,U$5)-SUMIFS(TF_Timer,TF_Tekniker,U$4,TF_Dato,$A33))*2,0)/2)))</f>
        <v/>
      </c>
      <c r="V33">
        <f>IF(OR(V$4="",$A33&gt;TODAY()),0,IF(OR(INDEX($B33:$D33,V$5)="F",AND(V$6&gt;0,$A33&lt;V$6),AND(V$7&gt;0,$A33&gt;V$7)),0,MAX(0,ROUND((INDEX($E33:$G33,V$5)-SUMIFS(TF_Timer,TF_Tekniker,V$4,TF_Dato,$A33))*2,0)/2)))</f>
        <v/>
      </c>
      <c r="W33">
        <f>IF(OR(W$4="",$A33&gt;TODAY()),0,IF(OR(INDEX($B33:$D33,W$5)="F",AND(W$6&gt;0,$A33&lt;W$6),AND(W$7&gt;0,$A33&gt;W$7)),0,MAX(0,ROUND((INDEX($E33:$G33,W$5)-SUMIFS(TF_Timer,TF_Tekniker,W$4,TF_Dato,$A33))*2,0)/2)))</f>
        <v/>
      </c>
      <c r="X33">
        <f>IF(OR(X$4="",$A33&gt;TODAY()),0,IF(OR(INDEX($B33:$D33,X$5)="F",AND(X$6&gt;0,$A33&lt;X$6),AND(X$7&gt;0,$A33&gt;X$7)),0,MAX(0,ROUND((INDEX($E33:$G33,X$5)-SUMIFS(TF_Timer,TF_Tekniker,X$4,TF_Dato,$A33))*2,0)/2)))</f>
        <v/>
      </c>
      <c r="Y33">
        <f>IF(OR(Y$4="",$A33&gt;TODAY()),0,IF(OR(INDEX($B33:$D33,Y$5)="F",AND(Y$6&gt;0,$A33&lt;Y$6),AND(Y$7&gt;0,$A33&gt;Y$7)),0,MAX(0,ROUND((INDEX($E33:$G33,Y$5)-SUMIFS(TF_Timer,TF_Tekniker,Y$4,TF_Dato,$A33))*2,0)/2)))</f>
        <v/>
      </c>
      <c r="Z33">
        <f>IF(OR(Z$4="",$A33&gt;TODAY()),0,IF(OR(INDEX($B33:$D33,Z$5)="F",AND(Z$6&gt;0,$A33&lt;Z$6),AND(Z$7&gt;0,$A33&gt;Z$7)),0,MAX(0,ROUND((INDEX($E33:$G33,Z$5)-SUMIFS(TF_Timer,TF_Tekniker,Z$4,TF_Dato,$A33))*2,0)/2)))</f>
        <v/>
      </c>
      <c r="AA33">
        <f>IF(OR(AA$4="",$A33&gt;TODAY()),0,IF(OR(INDEX($B33:$D33,AA$5)="F",AND(AA$6&gt;0,$A33&lt;AA$6),AND(AA$7&gt;0,$A33&gt;AA$7)),0,MAX(0,ROUND((INDEX($E33:$G33,AA$5)-SUMIFS(TF_Timer,TF_Tekniker,AA$4,TF_Dato,$A33))*2,0)/2)))</f>
        <v/>
      </c>
      <c r="AB33">
        <f>IF(OR(AB$4="",$A33&gt;TODAY()),0,IF(OR(INDEX($B33:$D33,AB$5)="F",AND(AB$6&gt;0,$A33&lt;AB$6),AND(AB$7&gt;0,$A33&gt;AB$7)),0,MAX(0,ROUND((INDEX($E33:$G33,AB$5)-SUMIFS(TF_Timer,TF_Tekniker,AB$4,TF_Dato,$A33))*2,0)/2)))</f>
        <v/>
      </c>
      <c r="AC33">
        <f>IF(OR(AC$4="",$A33&gt;TODAY()),0,IF(OR(INDEX($B33:$D33,AC$5)="F",AND(AC$6&gt;0,$A33&lt;AC$6),AND(AC$7&gt;0,$A33&gt;AC$7)),0,MAX(0,ROUND((INDEX($E33:$G33,AC$5)-SUMIFS(TF_Timer,TF_Tekniker,AC$4,TF_Dato,$A33))*2,0)/2)))</f>
        <v/>
      </c>
      <c r="AD33">
        <f>IF(OR(AD$4="",$A33&gt;TODAY()),0,IF(OR(INDEX($B33:$D33,AD$5)="F",AND(AD$6&gt;0,$A33&lt;AD$6),AND(AD$7&gt;0,$A33&gt;AD$7)),0,MAX(0,ROUND((INDEX($E33:$G33,AD$5)-SUMIFS(TF_Timer,TF_Tekniker,AD$4,TF_Dato,$A33))*2,0)/2)))</f>
        <v/>
      </c>
      <c r="AE33">
        <f>IF(OR(AE$4="",$A33&gt;TODAY()),0,IF(OR(INDEX($B33:$D33,AE$5)="F",AND(AE$6&gt;0,$A33&lt;AE$6),AND(AE$7&gt;0,$A33&gt;AE$7)),0,MAX(0,ROUND((INDEX($E33:$G33,AE$5)-SUMIFS(TF_Timer,TF_Tekniker,AE$4,TF_Dato,$A33))*2,0)/2)))</f>
        <v/>
      </c>
      <c r="AF33">
        <f>IF(OR(AF$4="",$A33&gt;TODAY()),0,IF(OR(INDEX($B33:$D33,AF$5)="F",AND(AF$6&gt;0,$A33&lt;AF$6),AND(AF$7&gt;0,$A33&gt;AF$7)),0,MAX(0,ROUND((INDEX($E33:$G33,AF$5)-SUMIFS(TF_Timer,TF_Tekniker,AF$4,TF_Dato,$A33))*2,0)/2)))</f>
        <v/>
      </c>
      <c r="AG33">
        <f>IF(OR(AG$4="",$A33&gt;TODAY()),0,IF(OR(INDEX($B33:$D33,AG$5)="F",AND(AG$6&gt;0,$A33&lt;AG$6),AND(AG$7&gt;0,$A33&gt;AG$7)),0,MAX(0,ROUND((INDEX($E33:$G33,AG$5)-SUMIFS(TF_Timer,TF_Tekniker,AG$4,TF_Dato,$A33))*2,0)/2)))</f>
        <v/>
      </c>
      <c r="AH33">
        <f>IF(OR(AH$4="",$A33&gt;TODAY()),0,IF(OR(INDEX($B33:$D33,AH$5)="F",AND(AH$6&gt;0,$A33&lt;AH$6),AND(AH$7&gt;0,$A33&gt;AH$7)),0,MAX(0,ROUND((INDEX($E33:$G33,AH$5)-SUMIFS(TF_Timer,TF_Tekniker,AH$4,TF_Dato,$A33))*2,0)/2)))</f>
        <v/>
      </c>
      <c r="AI33">
        <f>IF(OR(AI$4="",$A33&gt;TODAY()),0,IF(OR(INDEX($B33:$D33,AI$5)="F",AND(AI$6&gt;0,$A33&lt;AI$6),AND(AI$7&gt;0,$A33&gt;AI$7)),0,MAX(0,ROUND((INDEX($E33:$G33,AI$5)-SUMIFS(TF_Timer,TF_Tekniker,AI$4,TF_Dato,$A33))*2,0)/2)))</f>
        <v/>
      </c>
      <c r="AJ33">
        <f>IF(OR(AJ$4="",$A33&gt;TODAY()),0,IF(OR(INDEX($B33:$D33,AJ$5)="F",AND(AJ$6&gt;0,$A33&lt;AJ$6),AND(AJ$7&gt;0,$A33&gt;AJ$7)),0,MAX(0,ROUND((INDEX($E33:$G33,AJ$5)-SUMIFS(TF_Timer,TF_Tekniker,AJ$4,TF_Dato,$A33))*2,0)/2)))</f>
        <v/>
      </c>
      <c r="AK33">
        <f>IF(OR(AK$4="",$A33&gt;TODAY()),0,IF(OR(INDEX($B33:$D33,AK$5)="F",AND(AK$6&gt;0,$A33&lt;AK$6),AND(AK$7&gt;0,$A33&gt;AK$7)),0,MAX(0,ROUND((INDEX($E33:$G33,AK$5)-SUMIFS(TF_Timer,TF_Tekniker,AK$4,TF_Dato,$A33))*2,0)/2)))</f>
        <v/>
      </c>
      <c r="AL33">
        <f>IF(OR(AL$4="",$A33&gt;TODAY()),0,IF(OR(INDEX($B33:$D33,AL$5)="F",AND(AL$6&gt;0,$A33&lt;AL$6),AND(AL$7&gt;0,$A33&gt;AL$7)),0,MAX(0,ROUND((INDEX($E33:$G33,AL$5)-SUMIFS(TF_Timer,TF_Tekniker,AL$4,TF_Dato,$A33))*2,0)/2)))</f>
        <v/>
      </c>
      <c r="AM33">
        <f>IF(OR(AM$4="",$A33&gt;TODAY()),0,IF(OR(INDEX($B33:$D33,AM$5)="F",AND(AM$6&gt;0,$A33&lt;AM$6),AND(AM$7&gt;0,$A33&gt;AM$7)),0,MAX(0,ROUND((INDEX($E33:$G33,AM$5)-SUMIFS(TF_Timer,TF_Tekniker,AM$4,TF_Dato,$A33))*2,0)/2)))</f>
        <v/>
      </c>
      <c r="AN33">
        <f>IF(OR(AN$4="",$A33&gt;TODAY()),0,IF(OR(INDEX($B33:$D33,AN$5)="F",AND(AN$6&gt;0,$A33&lt;AN$6),AND(AN$7&gt;0,$A33&gt;AN$7)),0,MAX(0,ROUND((INDEX($E33:$G33,AN$5)-SUMIFS(TF_Timer,TF_Tekniker,AN$4,TF_Dato,$A33))*2,0)/2)))</f>
        <v/>
      </c>
      <c r="AO33">
        <f>IF(OR(AO$4="",$A33&gt;TODAY()),0,IF(OR(INDEX($B33:$D33,AO$5)="F",AND(AO$6&gt;0,$A33&lt;AO$6),AND(AO$7&gt;0,$A33&gt;AO$7)),0,MAX(0,ROUND((INDEX($E33:$G33,AO$5)-SUMIFS(TF_Timer,TF_Tekniker,AO$4,TF_Dato,$A33))*2,0)/2)))</f>
        <v/>
      </c>
      <c r="AP33">
        <f>IF(OR(AP$4="",$A33&gt;TODAY()),0,IF(OR(INDEX($B33:$D33,AP$5)="F",AND(AP$6&gt;0,$A33&lt;AP$6),AND(AP$7&gt;0,$A33&gt;AP$7)),0,MAX(0,ROUND((INDEX($E33:$G33,AP$5)-SUMIFS(TF_Timer,TF_Tekniker,AP$4,TF_Dato,$A33))*2,0)/2)))</f>
        <v/>
      </c>
      <c r="AQ33">
        <f>IF(OR(AQ$4="",$A33&gt;TODAY()),0,IF(OR(INDEX($B33:$D33,AQ$5)="F",AND(AQ$6&gt;0,$A33&lt;AQ$6),AND(AQ$7&gt;0,$A33&gt;AQ$7)),0,MAX(0,ROUND((INDEX($E33:$G33,AQ$5)-SUMIFS(TF_Timer,TF_Tekniker,AQ$4,TF_Dato,$A33))*2,0)/2)))</f>
        <v/>
      </c>
      <c r="AR33">
        <f>IF(OR(AR$4="",$A33&gt;TODAY()),0,IF(OR(INDEX($B33:$D33,AR$5)="F",AND(AR$6&gt;0,$A33&lt;AR$6),AND(AR$7&gt;0,$A33&gt;AR$7)),0,MAX(0,ROUND((INDEX($E33:$G33,AR$5)-SUMIFS(TF_Timer,TF_Tekniker,AR$4,TF_Dato,$A33))*2,0)/2)))</f>
        <v/>
      </c>
      <c r="AS33">
        <f>IF(OR(AS$4="",$A33&gt;TODAY()),0,IF(OR(INDEX($B33:$D33,AS$5)="F",AND(AS$6&gt;0,$A33&lt;AS$6),AND(AS$7&gt;0,$A33&gt;AS$7)),0,MAX(0,ROUND((INDEX($E33:$G33,AS$5)-SUMIFS(TF_Timer,TF_Tekniker,AS$4,TF_Dato,$A33))*2,0)/2)))</f>
        <v/>
      </c>
      <c r="AT33">
        <f>IF(OR(AT$4="",$A33&gt;TODAY()),0,IF(OR(INDEX($B33:$D33,AT$5)="F",AND(AT$6&gt;0,$A33&lt;AT$6),AND(AT$7&gt;0,$A33&gt;AT$7)),0,MAX(0,ROUND((INDEX($E33:$G33,AT$5)-SUMIFS(TF_Timer,TF_Tekniker,AT$4,TF_Dato,$A33))*2,0)/2)))</f>
        <v/>
      </c>
      <c r="AU33">
        <f>IF(OR(AU$4="",$A33&gt;TODAY()),0,IF(OR(INDEX($B33:$D33,AU$5)="F",AND(AU$6&gt;0,$A33&lt;AU$6),AND(AU$7&gt;0,$A33&gt;AU$7)),0,MAX(0,ROUND((INDEX($E33:$G33,AU$5)-SUMIFS(TF_Timer,TF_Tekniker,AU$4,TF_Dato,$A33))*2,0)/2)))</f>
        <v/>
      </c>
      <c r="AV33">
        <f>IF(OR(AV$4="",$A33&gt;TODAY()),0,IF(OR(INDEX($B33:$D33,AV$5)="F",AND(AV$6&gt;0,$A33&lt;AV$6),AND(AV$7&gt;0,$A33&gt;AV$7)),0,MAX(0,ROUND((INDEX($E33:$G33,AV$5)-SUMIFS(TF_Timer,TF_Tekniker,AV$4,TF_Dato,$A33))*2,0)/2)))</f>
        <v/>
      </c>
      <c r="AW33">
        <f>IF(OR(AW$4="",$A33&gt;TODAY()),0,IF(OR(INDEX($B33:$D33,AW$5)="F",AND(AW$6&gt;0,$A33&lt;AW$6),AND(AW$7&gt;0,$A33&gt;AW$7)),0,MAX(0,ROUND((INDEX($E33:$G33,AW$5)-SUMIFS(TF_Timer,TF_Tekniker,AW$4,TF_Dato,$A33))*2,0)/2)))</f>
        <v/>
      </c>
      <c r="AX33">
        <f>IF(OR(AX$4="",$A33&gt;TODAY()),0,IF(OR(INDEX($B33:$D33,AX$5)="F",AND(AX$6&gt;0,$A33&lt;AX$6),AND(AX$7&gt;0,$A33&gt;AX$7)),0,MAX(0,ROUND((INDEX($E33:$G33,AX$5)-SUMIFS(TF_Timer,TF_Tekniker,AX$4,TF_Dato,$A33))*2,0)/2)))</f>
        <v/>
      </c>
      <c r="AY33">
        <f>IF(OR(AY$4="",$A33&gt;TODAY()),0,IF(OR(INDEX($B33:$D33,AY$5)="F",AND(AY$6&gt;0,$A33&lt;AY$6),AND(AY$7&gt;0,$A33&gt;AY$7)),0,MAX(0,ROUND((INDEX($E33:$G33,AY$5)-SUMIFS(TF_Timer,TF_Tekniker,AY$4,TF_Dato,$A33))*2,0)/2)))</f>
        <v/>
      </c>
      <c r="AZ33">
        <f>IF(OR(AZ$4="",$A33&gt;TODAY()),0,IF(OR(INDEX($B33:$D33,AZ$5)="F",AND(AZ$6&gt;0,$A33&lt;AZ$6),AND(AZ$7&gt;0,$A33&gt;AZ$7)),0,MAX(0,ROUND((INDEX($E33:$G33,AZ$5)-SUMIFS(TF_Timer,TF_Tekniker,AZ$4,TF_Dato,$A33))*2,0)/2)))</f>
        <v/>
      </c>
      <c r="BA33">
        <f>IF(OR(BA$4="",$A33&gt;TODAY()),0,IF(OR(INDEX($B33:$D33,BA$5)="F",AND(BA$6&gt;0,$A33&lt;BA$6),AND(BA$7&gt;0,$A33&gt;BA$7)),0,MAX(0,ROUND((INDEX($E33:$G33,BA$5)-SUMIFS(TF_Timer,TF_Tekniker,BA$4,TF_Dato,$A33))*2,0)/2)))</f>
        <v/>
      </c>
      <c r="BB33">
        <f>IF(OR(BB$4="",$A33&gt;TODAY()),0,IF(OR(INDEX($B33:$D33,BB$5)="F",AND(BB$6&gt;0,$A33&lt;BB$6),AND(BB$7&gt;0,$A33&gt;BB$7)),0,MAX(0,ROUND((INDEX($E33:$G33,BB$5)-SUMIFS(TF_Timer,TF_Tekniker,BB$4,TF_Dato,$A33))*2,0)/2)))</f>
        <v/>
      </c>
      <c r="BC33">
        <f>IF(OR(BC$4="",$A33&gt;TODAY()),0,IF(OR(INDEX($B33:$D33,BC$5)="F",AND(BC$6&gt;0,$A33&lt;BC$6),AND(BC$7&gt;0,$A33&gt;BC$7)),0,MAX(0,ROUND((INDEX($E33:$G33,BC$5)-SUMIFS(TF_Timer,TF_Tekniker,BC$4,TF_Dato,$A33))*2,0)/2)))</f>
        <v/>
      </c>
      <c r="BD33">
        <f>IF(OR(BD$4="",$A33&gt;TODAY()),0,IF(OR(INDEX($B33:$D33,BD$5)="F",AND(BD$6&gt;0,$A33&lt;BD$6),AND(BD$7&gt;0,$A33&gt;BD$7)),0,MAX(0,ROUND((INDEX($E33:$G33,BD$5)-SUMIFS(TF_Timer,TF_Tekniker,BD$4,TF_Dato,$A33))*2,0)/2)))</f>
        <v/>
      </c>
      <c r="BE33">
        <f>IF(OR(BE$4="",$A33&gt;TODAY()),0,IF(OR(INDEX($B33:$D33,BE$5)="F",AND(BE$6&gt;0,$A33&lt;BE$6),AND(BE$7&gt;0,$A33&gt;BE$7)),0,MAX(0,ROUND((INDEX($E33:$G33,BE$5)-SUMIFS(TF_Timer,TF_Tekniker,BE$4,TF_Dato,$A33))*2,0)/2)))</f>
        <v/>
      </c>
      <c r="BF33">
        <f>IF(OR(BF$4="",$A33&gt;TODAY()),0,IF(OR(INDEX($B33:$D33,BF$5)="F",AND(BF$6&gt;0,$A33&lt;BF$6),AND(BF$7&gt;0,$A33&gt;BF$7)),0,MAX(0,ROUND((INDEX($E33:$G33,BF$5)-SUMIFS(TF_Timer,TF_Tekniker,BF$4,TF_Dato,$A33))*2,0)/2)))</f>
        <v/>
      </c>
      <c r="BG33">
        <f>IF(OR(BG$4="",$A33&gt;TODAY()),0,IF(OR(INDEX($B33:$D33,BG$5)="F",AND(BG$6&gt;0,$A33&lt;BG$6),AND(BG$7&gt;0,$A33&gt;BG$7)),0,MAX(0,ROUND((INDEX($E33:$G33,BG$5)-SUMIFS(TF_Timer,TF_Tekniker,BG$4,TF_Dato,$A33))*2,0)/2)))</f>
        <v/>
      </c>
      <c r="BH33">
        <f>IF(OR(BH$4="",$A33&gt;TODAY()),0,IF(OR(INDEX($B33:$D33,BH$5)="F",AND(BH$6&gt;0,$A33&lt;BH$6),AND(BH$7&gt;0,$A33&gt;BH$7)),0,MAX(0,ROUND((INDEX($E33:$G33,BH$5)-SUMIFS(TF_Timer,TF_Tekniker,BH$4,TF_Dato,$A33))*2,0)/2)))</f>
        <v/>
      </c>
      <c r="BI33">
        <f>IF(OR(BI$4="",$A33&gt;TODAY()),0,IF(OR(INDEX($B33:$D33,BI$5)="F",AND(BI$6&gt;0,$A33&lt;BI$6),AND(BI$7&gt;0,$A33&gt;BI$7)),0,MAX(0,ROUND((INDEX($E33:$G33,BI$5)-SUMIFS(TF_Timer,TF_Tekniker,BI$4,TF_Dato,$A33))*2,0)/2)))</f>
        <v/>
      </c>
    </row>
    <row r="34">
      <c r="A34" s="64">
        <f>A33+1</f>
        <v/>
      </c>
      <c r="B34">
        <f>IF(MOD($A34-INDEX(SkiftStart,1),Syklus)&lt;DagK,"K",IF(MOD($A34-INDEX(SkiftStart,1),Syklus)&lt;DagK+DagH,"H",IF(MOD($A34-INDEX(SkiftStart,1),Syklus)&lt;DagK+DagH+DagD,"D","F")))</f>
        <v/>
      </c>
      <c r="C34">
        <f>IF(MOD($A34-INDEX(SkiftStart,2),Syklus)&lt;DagK,"K",IF(MOD($A34-INDEX(SkiftStart,2),Syklus)&lt;DagK+DagH,"H",IF(MOD($A34-INDEX(SkiftStart,2),Syklus)&lt;DagK+DagH+DagD,"D","F")))</f>
        <v/>
      </c>
      <c r="D34">
        <f>IF(MOD($A34-INDEX(SkiftStart,3),Syklus)&lt;DagK,"K",IF(MOD($A34-INDEX(SkiftStart,3),Syklus)&lt;DagK+DagH,"H",IF(MOD($A34-INDEX(SkiftStart,3),Syklus)&lt;DagK+DagH+DagD,"D","F")))</f>
        <v/>
      </c>
      <c r="E34">
        <f>IF(B34="F",0,IF(WEEKDAY($A34,2)=5,INDEX(TimerFr,MATCH(B34,FaseKode,0)),INDEX(TimerMT,MATCH(B34,FaseKode,0))))</f>
        <v/>
      </c>
      <c r="F34">
        <f>IF(C34="F",0,IF(WEEKDAY($A34,2)=5,INDEX(TimerFr,MATCH(C34,FaseKode,0)),INDEX(TimerMT,MATCH(C34,FaseKode,0))))</f>
        <v/>
      </c>
      <c r="G34">
        <f>IF(D34="F",0,IF(WEEKDAY($A34,2)=5,INDEX(TimerFr,MATCH(D34,FaseKode,0)),INDEX(TimerMT,MATCH(D34,FaseKode,0))))</f>
        <v/>
      </c>
      <c r="H34">
        <f>IF(OR(H$4="",$A34&gt;TODAY()),0,IF(OR(INDEX($B34:$D34,H$5)="F",AND(H$6&gt;0,$A34&lt;H$6),AND(H$7&gt;0,$A34&gt;H$7)),0,MAX(0,ROUND((INDEX($E34:$G34,H$5)-SUMIFS(TF_Timer,TF_Tekniker,H$4,TF_Dato,$A34))*2,0)/2)))</f>
        <v/>
      </c>
      <c r="I34">
        <f>IF(OR(I$4="",$A34&gt;TODAY()),0,IF(OR(INDEX($B34:$D34,I$5)="F",AND(I$6&gt;0,$A34&lt;I$6),AND(I$7&gt;0,$A34&gt;I$7)),0,MAX(0,ROUND((INDEX($E34:$G34,I$5)-SUMIFS(TF_Timer,TF_Tekniker,I$4,TF_Dato,$A34))*2,0)/2)))</f>
        <v/>
      </c>
      <c r="J34">
        <f>IF(OR(J$4="",$A34&gt;TODAY()),0,IF(OR(INDEX($B34:$D34,J$5)="F",AND(J$6&gt;0,$A34&lt;J$6),AND(J$7&gt;0,$A34&gt;J$7)),0,MAX(0,ROUND((INDEX($E34:$G34,J$5)-SUMIFS(TF_Timer,TF_Tekniker,J$4,TF_Dato,$A34))*2,0)/2)))</f>
        <v/>
      </c>
      <c r="K34">
        <f>IF(OR(K$4="",$A34&gt;TODAY()),0,IF(OR(INDEX($B34:$D34,K$5)="F",AND(K$6&gt;0,$A34&lt;K$6),AND(K$7&gt;0,$A34&gt;K$7)),0,MAX(0,ROUND((INDEX($E34:$G34,K$5)-SUMIFS(TF_Timer,TF_Tekniker,K$4,TF_Dato,$A34))*2,0)/2)))</f>
        <v/>
      </c>
      <c r="L34">
        <f>IF(OR(L$4="",$A34&gt;TODAY()),0,IF(OR(INDEX($B34:$D34,L$5)="F",AND(L$6&gt;0,$A34&lt;L$6),AND(L$7&gt;0,$A34&gt;L$7)),0,MAX(0,ROUND((INDEX($E34:$G34,L$5)-SUMIFS(TF_Timer,TF_Tekniker,L$4,TF_Dato,$A34))*2,0)/2)))</f>
        <v/>
      </c>
      <c r="M34">
        <f>IF(OR(M$4="",$A34&gt;TODAY()),0,IF(OR(INDEX($B34:$D34,M$5)="F",AND(M$6&gt;0,$A34&lt;M$6),AND(M$7&gt;0,$A34&gt;M$7)),0,MAX(0,ROUND((INDEX($E34:$G34,M$5)-SUMIFS(TF_Timer,TF_Tekniker,M$4,TF_Dato,$A34))*2,0)/2)))</f>
        <v/>
      </c>
      <c r="N34">
        <f>IF(OR(N$4="",$A34&gt;TODAY()),0,IF(OR(INDEX($B34:$D34,N$5)="F",AND(N$6&gt;0,$A34&lt;N$6),AND(N$7&gt;0,$A34&gt;N$7)),0,MAX(0,ROUND((INDEX($E34:$G34,N$5)-SUMIFS(TF_Timer,TF_Tekniker,N$4,TF_Dato,$A34))*2,0)/2)))</f>
        <v/>
      </c>
      <c r="O34">
        <f>IF(OR(O$4="",$A34&gt;TODAY()),0,IF(OR(INDEX($B34:$D34,O$5)="F",AND(O$6&gt;0,$A34&lt;O$6),AND(O$7&gt;0,$A34&gt;O$7)),0,MAX(0,ROUND((INDEX($E34:$G34,O$5)-SUMIFS(TF_Timer,TF_Tekniker,O$4,TF_Dato,$A34))*2,0)/2)))</f>
        <v/>
      </c>
      <c r="P34">
        <f>IF(OR(P$4="",$A34&gt;TODAY()),0,IF(OR(INDEX($B34:$D34,P$5)="F",AND(P$6&gt;0,$A34&lt;P$6),AND(P$7&gt;0,$A34&gt;P$7)),0,MAX(0,ROUND((INDEX($E34:$G34,P$5)-SUMIFS(TF_Timer,TF_Tekniker,P$4,TF_Dato,$A34))*2,0)/2)))</f>
        <v/>
      </c>
      <c r="Q34">
        <f>IF(OR(Q$4="",$A34&gt;TODAY()),0,IF(OR(INDEX($B34:$D34,Q$5)="F",AND(Q$6&gt;0,$A34&lt;Q$6),AND(Q$7&gt;0,$A34&gt;Q$7)),0,MAX(0,ROUND((INDEX($E34:$G34,Q$5)-SUMIFS(TF_Timer,TF_Tekniker,Q$4,TF_Dato,$A34))*2,0)/2)))</f>
        <v/>
      </c>
      <c r="R34">
        <f>IF(OR(R$4="",$A34&gt;TODAY()),0,IF(OR(INDEX($B34:$D34,R$5)="F",AND(R$6&gt;0,$A34&lt;R$6),AND(R$7&gt;0,$A34&gt;R$7)),0,MAX(0,ROUND((INDEX($E34:$G34,R$5)-SUMIFS(TF_Timer,TF_Tekniker,R$4,TF_Dato,$A34))*2,0)/2)))</f>
        <v/>
      </c>
      <c r="S34">
        <f>IF(OR(S$4="",$A34&gt;TODAY()),0,IF(OR(INDEX($B34:$D34,S$5)="F",AND(S$6&gt;0,$A34&lt;S$6),AND(S$7&gt;0,$A34&gt;S$7)),0,MAX(0,ROUND((INDEX($E34:$G34,S$5)-SUMIFS(TF_Timer,TF_Tekniker,S$4,TF_Dato,$A34))*2,0)/2)))</f>
        <v/>
      </c>
      <c r="T34">
        <f>IF(OR(T$4="",$A34&gt;TODAY()),0,IF(OR(INDEX($B34:$D34,T$5)="F",AND(T$6&gt;0,$A34&lt;T$6),AND(T$7&gt;0,$A34&gt;T$7)),0,MAX(0,ROUND((INDEX($E34:$G34,T$5)-SUMIFS(TF_Timer,TF_Tekniker,T$4,TF_Dato,$A34))*2,0)/2)))</f>
        <v/>
      </c>
      <c r="U34">
        <f>IF(OR(U$4="",$A34&gt;TODAY()),0,IF(OR(INDEX($B34:$D34,U$5)="F",AND(U$6&gt;0,$A34&lt;U$6),AND(U$7&gt;0,$A34&gt;U$7)),0,MAX(0,ROUND((INDEX($E34:$G34,U$5)-SUMIFS(TF_Timer,TF_Tekniker,U$4,TF_Dato,$A34))*2,0)/2)))</f>
        <v/>
      </c>
      <c r="V34">
        <f>IF(OR(V$4="",$A34&gt;TODAY()),0,IF(OR(INDEX($B34:$D34,V$5)="F",AND(V$6&gt;0,$A34&lt;V$6),AND(V$7&gt;0,$A34&gt;V$7)),0,MAX(0,ROUND((INDEX($E34:$G34,V$5)-SUMIFS(TF_Timer,TF_Tekniker,V$4,TF_Dato,$A34))*2,0)/2)))</f>
        <v/>
      </c>
      <c r="W34">
        <f>IF(OR(W$4="",$A34&gt;TODAY()),0,IF(OR(INDEX($B34:$D34,W$5)="F",AND(W$6&gt;0,$A34&lt;W$6),AND(W$7&gt;0,$A34&gt;W$7)),0,MAX(0,ROUND((INDEX($E34:$G34,W$5)-SUMIFS(TF_Timer,TF_Tekniker,W$4,TF_Dato,$A34))*2,0)/2)))</f>
        <v/>
      </c>
      <c r="X34">
        <f>IF(OR(X$4="",$A34&gt;TODAY()),0,IF(OR(INDEX($B34:$D34,X$5)="F",AND(X$6&gt;0,$A34&lt;X$6),AND(X$7&gt;0,$A34&gt;X$7)),0,MAX(0,ROUND((INDEX($E34:$G34,X$5)-SUMIFS(TF_Timer,TF_Tekniker,X$4,TF_Dato,$A34))*2,0)/2)))</f>
        <v/>
      </c>
      <c r="Y34">
        <f>IF(OR(Y$4="",$A34&gt;TODAY()),0,IF(OR(INDEX($B34:$D34,Y$5)="F",AND(Y$6&gt;0,$A34&lt;Y$6),AND(Y$7&gt;0,$A34&gt;Y$7)),0,MAX(0,ROUND((INDEX($E34:$G34,Y$5)-SUMIFS(TF_Timer,TF_Tekniker,Y$4,TF_Dato,$A34))*2,0)/2)))</f>
        <v/>
      </c>
      <c r="Z34">
        <f>IF(OR(Z$4="",$A34&gt;TODAY()),0,IF(OR(INDEX($B34:$D34,Z$5)="F",AND(Z$6&gt;0,$A34&lt;Z$6),AND(Z$7&gt;0,$A34&gt;Z$7)),0,MAX(0,ROUND((INDEX($E34:$G34,Z$5)-SUMIFS(TF_Timer,TF_Tekniker,Z$4,TF_Dato,$A34))*2,0)/2)))</f>
        <v/>
      </c>
      <c r="AA34">
        <f>IF(OR(AA$4="",$A34&gt;TODAY()),0,IF(OR(INDEX($B34:$D34,AA$5)="F",AND(AA$6&gt;0,$A34&lt;AA$6),AND(AA$7&gt;0,$A34&gt;AA$7)),0,MAX(0,ROUND((INDEX($E34:$G34,AA$5)-SUMIFS(TF_Timer,TF_Tekniker,AA$4,TF_Dato,$A34))*2,0)/2)))</f>
        <v/>
      </c>
      <c r="AB34">
        <f>IF(OR(AB$4="",$A34&gt;TODAY()),0,IF(OR(INDEX($B34:$D34,AB$5)="F",AND(AB$6&gt;0,$A34&lt;AB$6),AND(AB$7&gt;0,$A34&gt;AB$7)),0,MAX(0,ROUND((INDEX($E34:$G34,AB$5)-SUMIFS(TF_Timer,TF_Tekniker,AB$4,TF_Dato,$A34))*2,0)/2)))</f>
        <v/>
      </c>
      <c r="AC34">
        <f>IF(OR(AC$4="",$A34&gt;TODAY()),0,IF(OR(INDEX($B34:$D34,AC$5)="F",AND(AC$6&gt;0,$A34&lt;AC$6),AND(AC$7&gt;0,$A34&gt;AC$7)),0,MAX(0,ROUND((INDEX($E34:$G34,AC$5)-SUMIFS(TF_Timer,TF_Tekniker,AC$4,TF_Dato,$A34))*2,0)/2)))</f>
        <v/>
      </c>
      <c r="AD34">
        <f>IF(OR(AD$4="",$A34&gt;TODAY()),0,IF(OR(INDEX($B34:$D34,AD$5)="F",AND(AD$6&gt;0,$A34&lt;AD$6),AND(AD$7&gt;0,$A34&gt;AD$7)),0,MAX(0,ROUND((INDEX($E34:$G34,AD$5)-SUMIFS(TF_Timer,TF_Tekniker,AD$4,TF_Dato,$A34))*2,0)/2)))</f>
        <v/>
      </c>
      <c r="AE34">
        <f>IF(OR(AE$4="",$A34&gt;TODAY()),0,IF(OR(INDEX($B34:$D34,AE$5)="F",AND(AE$6&gt;0,$A34&lt;AE$6),AND(AE$7&gt;0,$A34&gt;AE$7)),0,MAX(0,ROUND((INDEX($E34:$G34,AE$5)-SUMIFS(TF_Timer,TF_Tekniker,AE$4,TF_Dato,$A34))*2,0)/2)))</f>
        <v/>
      </c>
      <c r="AF34">
        <f>IF(OR(AF$4="",$A34&gt;TODAY()),0,IF(OR(INDEX($B34:$D34,AF$5)="F",AND(AF$6&gt;0,$A34&lt;AF$6),AND(AF$7&gt;0,$A34&gt;AF$7)),0,MAX(0,ROUND((INDEX($E34:$G34,AF$5)-SUMIFS(TF_Timer,TF_Tekniker,AF$4,TF_Dato,$A34))*2,0)/2)))</f>
        <v/>
      </c>
      <c r="AG34">
        <f>IF(OR(AG$4="",$A34&gt;TODAY()),0,IF(OR(INDEX($B34:$D34,AG$5)="F",AND(AG$6&gt;0,$A34&lt;AG$6),AND(AG$7&gt;0,$A34&gt;AG$7)),0,MAX(0,ROUND((INDEX($E34:$G34,AG$5)-SUMIFS(TF_Timer,TF_Tekniker,AG$4,TF_Dato,$A34))*2,0)/2)))</f>
        <v/>
      </c>
      <c r="AH34">
        <f>IF(OR(AH$4="",$A34&gt;TODAY()),0,IF(OR(INDEX($B34:$D34,AH$5)="F",AND(AH$6&gt;0,$A34&lt;AH$6),AND(AH$7&gt;0,$A34&gt;AH$7)),0,MAX(0,ROUND((INDEX($E34:$G34,AH$5)-SUMIFS(TF_Timer,TF_Tekniker,AH$4,TF_Dato,$A34))*2,0)/2)))</f>
        <v/>
      </c>
      <c r="AI34">
        <f>IF(OR(AI$4="",$A34&gt;TODAY()),0,IF(OR(INDEX($B34:$D34,AI$5)="F",AND(AI$6&gt;0,$A34&lt;AI$6),AND(AI$7&gt;0,$A34&gt;AI$7)),0,MAX(0,ROUND((INDEX($E34:$G34,AI$5)-SUMIFS(TF_Timer,TF_Tekniker,AI$4,TF_Dato,$A34))*2,0)/2)))</f>
        <v/>
      </c>
      <c r="AJ34">
        <f>IF(OR(AJ$4="",$A34&gt;TODAY()),0,IF(OR(INDEX($B34:$D34,AJ$5)="F",AND(AJ$6&gt;0,$A34&lt;AJ$6),AND(AJ$7&gt;0,$A34&gt;AJ$7)),0,MAX(0,ROUND((INDEX($E34:$G34,AJ$5)-SUMIFS(TF_Timer,TF_Tekniker,AJ$4,TF_Dato,$A34))*2,0)/2)))</f>
        <v/>
      </c>
      <c r="AK34">
        <f>IF(OR(AK$4="",$A34&gt;TODAY()),0,IF(OR(INDEX($B34:$D34,AK$5)="F",AND(AK$6&gt;0,$A34&lt;AK$6),AND(AK$7&gt;0,$A34&gt;AK$7)),0,MAX(0,ROUND((INDEX($E34:$G34,AK$5)-SUMIFS(TF_Timer,TF_Tekniker,AK$4,TF_Dato,$A34))*2,0)/2)))</f>
        <v/>
      </c>
      <c r="AL34">
        <f>IF(OR(AL$4="",$A34&gt;TODAY()),0,IF(OR(INDEX($B34:$D34,AL$5)="F",AND(AL$6&gt;0,$A34&lt;AL$6),AND(AL$7&gt;0,$A34&gt;AL$7)),0,MAX(0,ROUND((INDEX($E34:$G34,AL$5)-SUMIFS(TF_Timer,TF_Tekniker,AL$4,TF_Dato,$A34))*2,0)/2)))</f>
        <v/>
      </c>
      <c r="AM34">
        <f>IF(OR(AM$4="",$A34&gt;TODAY()),0,IF(OR(INDEX($B34:$D34,AM$5)="F",AND(AM$6&gt;0,$A34&lt;AM$6),AND(AM$7&gt;0,$A34&gt;AM$7)),0,MAX(0,ROUND((INDEX($E34:$G34,AM$5)-SUMIFS(TF_Timer,TF_Tekniker,AM$4,TF_Dato,$A34))*2,0)/2)))</f>
        <v/>
      </c>
      <c r="AN34">
        <f>IF(OR(AN$4="",$A34&gt;TODAY()),0,IF(OR(INDEX($B34:$D34,AN$5)="F",AND(AN$6&gt;0,$A34&lt;AN$6),AND(AN$7&gt;0,$A34&gt;AN$7)),0,MAX(0,ROUND((INDEX($E34:$G34,AN$5)-SUMIFS(TF_Timer,TF_Tekniker,AN$4,TF_Dato,$A34))*2,0)/2)))</f>
        <v/>
      </c>
      <c r="AO34">
        <f>IF(OR(AO$4="",$A34&gt;TODAY()),0,IF(OR(INDEX($B34:$D34,AO$5)="F",AND(AO$6&gt;0,$A34&lt;AO$6),AND(AO$7&gt;0,$A34&gt;AO$7)),0,MAX(0,ROUND((INDEX($E34:$G34,AO$5)-SUMIFS(TF_Timer,TF_Tekniker,AO$4,TF_Dato,$A34))*2,0)/2)))</f>
        <v/>
      </c>
      <c r="AP34">
        <f>IF(OR(AP$4="",$A34&gt;TODAY()),0,IF(OR(INDEX($B34:$D34,AP$5)="F",AND(AP$6&gt;0,$A34&lt;AP$6),AND(AP$7&gt;0,$A34&gt;AP$7)),0,MAX(0,ROUND((INDEX($E34:$G34,AP$5)-SUMIFS(TF_Timer,TF_Tekniker,AP$4,TF_Dato,$A34))*2,0)/2)))</f>
        <v/>
      </c>
      <c r="AQ34">
        <f>IF(OR(AQ$4="",$A34&gt;TODAY()),0,IF(OR(INDEX($B34:$D34,AQ$5)="F",AND(AQ$6&gt;0,$A34&lt;AQ$6),AND(AQ$7&gt;0,$A34&gt;AQ$7)),0,MAX(0,ROUND((INDEX($E34:$G34,AQ$5)-SUMIFS(TF_Timer,TF_Tekniker,AQ$4,TF_Dato,$A34))*2,0)/2)))</f>
        <v/>
      </c>
      <c r="AR34">
        <f>IF(OR(AR$4="",$A34&gt;TODAY()),0,IF(OR(INDEX($B34:$D34,AR$5)="F",AND(AR$6&gt;0,$A34&lt;AR$6),AND(AR$7&gt;0,$A34&gt;AR$7)),0,MAX(0,ROUND((INDEX($E34:$G34,AR$5)-SUMIFS(TF_Timer,TF_Tekniker,AR$4,TF_Dato,$A34))*2,0)/2)))</f>
        <v/>
      </c>
      <c r="AS34">
        <f>IF(OR(AS$4="",$A34&gt;TODAY()),0,IF(OR(INDEX($B34:$D34,AS$5)="F",AND(AS$6&gt;0,$A34&lt;AS$6),AND(AS$7&gt;0,$A34&gt;AS$7)),0,MAX(0,ROUND((INDEX($E34:$G34,AS$5)-SUMIFS(TF_Timer,TF_Tekniker,AS$4,TF_Dato,$A34))*2,0)/2)))</f>
        <v/>
      </c>
      <c r="AT34">
        <f>IF(OR(AT$4="",$A34&gt;TODAY()),0,IF(OR(INDEX($B34:$D34,AT$5)="F",AND(AT$6&gt;0,$A34&lt;AT$6),AND(AT$7&gt;0,$A34&gt;AT$7)),0,MAX(0,ROUND((INDEX($E34:$G34,AT$5)-SUMIFS(TF_Timer,TF_Tekniker,AT$4,TF_Dato,$A34))*2,0)/2)))</f>
        <v/>
      </c>
      <c r="AU34">
        <f>IF(OR(AU$4="",$A34&gt;TODAY()),0,IF(OR(INDEX($B34:$D34,AU$5)="F",AND(AU$6&gt;0,$A34&lt;AU$6),AND(AU$7&gt;0,$A34&gt;AU$7)),0,MAX(0,ROUND((INDEX($E34:$G34,AU$5)-SUMIFS(TF_Timer,TF_Tekniker,AU$4,TF_Dato,$A34))*2,0)/2)))</f>
        <v/>
      </c>
      <c r="AV34">
        <f>IF(OR(AV$4="",$A34&gt;TODAY()),0,IF(OR(INDEX($B34:$D34,AV$5)="F",AND(AV$6&gt;0,$A34&lt;AV$6),AND(AV$7&gt;0,$A34&gt;AV$7)),0,MAX(0,ROUND((INDEX($E34:$G34,AV$5)-SUMIFS(TF_Timer,TF_Tekniker,AV$4,TF_Dato,$A34))*2,0)/2)))</f>
        <v/>
      </c>
      <c r="AW34">
        <f>IF(OR(AW$4="",$A34&gt;TODAY()),0,IF(OR(INDEX($B34:$D34,AW$5)="F",AND(AW$6&gt;0,$A34&lt;AW$6),AND(AW$7&gt;0,$A34&gt;AW$7)),0,MAX(0,ROUND((INDEX($E34:$G34,AW$5)-SUMIFS(TF_Timer,TF_Tekniker,AW$4,TF_Dato,$A34))*2,0)/2)))</f>
        <v/>
      </c>
      <c r="AX34">
        <f>IF(OR(AX$4="",$A34&gt;TODAY()),0,IF(OR(INDEX($B34:$D34,AX$5)="F",AND(AX$6&gt;0,$A34&lt;AX$6),AND(AX$7&gt;0,$A34&gt;AX$7)),0,MAX(0,ROUND((INDEX($E34:$G34,AX$5)-SUMIFS(TF_Timer,TF_Tekniker,AX$4,TF_Dato,$A34))*2,0)/2)))</f>
        <v/>
      </c>
      <c r="AY34">
        <f>IF(OR(AY$4="",$A34&gt;TODAY()),0,IF(OR(INDEX($B34:$D34,AY$5)="F",AND(AY$6&gt;0,$A34&lt;AY$6),AND(AY$7&gt;0,$A34&gt;AY$7)),0,MAX(0,ROUND((INDEX($E34:$G34,AY$5)-SUMIFS(TF_Timer,TF_Tekniker,AY$4,TF_Dato,$A34))*2,0)/2)))</f>
        <v/>
      </c>
      <c r="AZ34">
        <f>IF(OR(AZ$4="",$A34&gt;TODAY()),0,IF(OR(INDEX($B34:$D34,AZ$5)="F",AND(AZ$6&gt;0,$A34&lt;AZ$6),AND(AZ$7&gt;0,$A34&gt;AZ$7)),0,MAX(0,ROUND((INDEX($E34:$G34,AZ$5)-SUMIFS(TF_Timer,TF_Tekniker,AZ$4,TF_Dato,$A34))*2,0)/2)))</f>
        <v/>
      </c>
      <c r="BA34">
        <f>IF(OR(BA$4="",$A34&gt;TODAY()),0,IF(OR(INDEX($B34:$D34,BA$5)="F",AND(BA$6&gt;0,$A34&lt;BA$6),AND(BA$7&gt;0,$A34&gt;BA$7)),0,MAX(0,ROUND((INDEX($E34:$G34,BA$5)-SUMIFS(TF_Timer,TF_Tekniker,BA$4,TF_Dato,$A34))*2,0)/2)))</f>
        <v/>
      </c>
      <c r="BB34">
        <f>IF(OR(BB$4="",$A34&gt;TODAY()),0,IF(OR(INDEX($B34:$D34,BB$5)="F",AND(BB$6&gt;0,$A34&lt;BB$6),AND(BB$7&gt;0,$A34&gt;BB$7)),0,MAX(0,ROUND((INDEX($E34:$G34,BB$5)-SUMIFS(TF_Timer,TF_Tekniker,BB$4,TF_Dato,$A34))*2,0)/2)))</f>
        <v/>
      </c>
      <c r="BC34">
        <f>IF(OR(BC$4="",$A34&gt;TODAY()),0,IF(OR(INDEX($B34:$D34,BC$5)="F",AND(BC$6&gt;0,$A34&lt;BC$6),AND(BC$7&gt;0,$A34&gt;BC$7)),0,MAX(0,ROUND((INDEX($E34:$G34,BC$5)-SUMIFS(TF_Timer,TF_Tekniker,BC$4,TF_Dato,$A34))*2,0)/2)))</f>
        <v/>
      </c>
      <c r="BD34">
        <f>IF(OR(BD$4="",$A34&gt;TODAY()),0,IF(OR(INDEX($B34:$D34,BD$5)="F",AND(BD$6&gt;0,$A34&lt;BD$6),AND(BD$7&gt;0,$A34&gt;BD$7)),0,MAX(0,ROUND((INDEX($E34:$G34,BD$5)-SUMIFS(TF_Timer,TF_Tekniker,BD$4,TF_Dato,$A34))*2,0)/2)))</f>
        <v/>
      </c>
      <c r="BE34">
        <f>IF(OR(BE$4="",$A34&gt;TODAY()),0,IF(OR(INDEX($B34:$D34,BE$5)="F",AND(BE$6&gt;0,$A34&lt;BE$6),AND(BE$7&gt;0,$A34&gt;BE$7)),0,MAX(0,ROUND((INDEX($E34:$G34,BE$5)-SUMIFS(TF_Timer,TF_Tekniker,BE$4,TF_Dato,$A34))*2,0)/2)))</f>
        <v/>
      </c>
      <c r="BF34">
        <f>IF(OR(BF$4="",$A34&gt;TODAY()),0,IF(OR(INDEX($B34:$D34,BF$5)="F",AND(BF$6&gt;0,$A34&lt;BF$6),AND(BF$7&gt;0,$A34&gt;BF$7)),0,MAX(0,ROUND((INDEX($E34:$G34,BF$5)-SUMIFS(TF_Timer,TF_Tekniker,BF$4,TF_Dato,$A34))*2,0)/2)))</f>
        <v/>
      </c>
      <c r="BG34">
        <f>IF(OR(BG$4="",$A34&gt;TODAY()),0,IF(OR(INDEX($B34:$D34,BG$5)="F",AND(BG$6&gt;0,$A34&lt;BG$6),AND(BG$7&gt;0,$A34&gt;BG$7)),0,MAX(0,ROUND((INDEX($E34:$G34,BG$5)-SUMIFS(TF_Timer,TF_Tekniker,BG$4,TF_Dato,$A34))*2,0)/2)))</f>
        <v/>
      </c>
      <c r="BH34">
        <f>IF(OR(BH$4="",$A34&gt;TODAY()),0,IF(OR(INDEX($B34:$D34,BH$5)="F",AND(BH$6&gt;0,$A34&lt;BH$6),AND(BH$7&gt;0,$A34&gt;BH$7)),0,MAX(0,ROUND((INDEX($E34:$G34,BH$5)-SUMIFS(TF_Timer,TF_Tekniker,BH$4,TF_Dato,$A34))*2,0)/2)))</f>
        <v/>
      </c>
      <c r="BI34">
        <f>IF(OR(BI$4="",$A34&gt;TODAY()),0,IF(OR(INDEX($B34:$D34,BI$5)="F",AND(BI$6&gt;0,$A34&lt;BI$6),AND(BI$7&gt;0,$A34&gt;BI$7)),0,MAX(0,ROUND((INDEX($E34:$G34,BI$5)-SUMIFS(TF_Timer,TF_Tekniker,BI$4,TF_Dato,$A34))*2,0)/2)))</f>
        <v/>
      </c>
    </row>
    <row r="35">
      <c r="A35" s="64">
        <f>A34+1</f>
        <v/>
      </c>
      <c r="B35">
        <f>IF(MOD($A35-INDEX(SkiftStart,1),Syklus)&lt;DagK,"K",IF(MOD($A35-INDEX(SkiftStart,1),Syklus)&lt;DagK+DagH,"H",IF(MOD($A35-INDEX(SkiftStart,1),Syklus)&lt;DagK+DagH+DagD,"D","F")))</f>
        <v/>
      </c>
      <c r="C35">
        <f>IF(MOD($A35-INDEX(SkiftStart,2),Syklus)&lt;DagK,"K",IF(MOD($A35-INDEX(SkiftStart,2),Syklus)&lt;DagK+DagH,"H",IF(MOD($A35-INDEX(SkiftStart,2),Syklus)&lt;DagK+DagH+DagD,"D","F")))</f>
        <v/>
      </c>
      <c r="D35">
        <f>IF(MOD($A35-INDEX(SkiftStart,3),Syklus)&lt;DagK,"K",IF(MOD($A35-INDEX(SkiftStart,3),Syklus)&lt;DagK+DagH,"H",IF(MOD($A35-INDEX(SkiftStart,3),Syklus)&lt;DagK+DagH+DagD,"D","F")))</f>
        <v/>
      </c>
      <c r="E35">
        <f>IF(B35="F",0,IF(WEEKDAY($A35,2)=5,INDEX(TimerFr,MATCH(B35,FaseKode,0)),INDEX(TimerMT,MATCH(B35,FaseKode,0))))</f>
        <v/>
      </c>
      <c r="F35">
        <f>IF(C35="F",0,IF(WEEKDAY($A35,2)=5,INDEX(TimerFr,MATCH(C35,FaseKode,0)),INDEX(TimerMT,MATCH(C35,FaseKode,0))))</f>
        <v/>
      </c>
      <c r="G35">
        <f>IF(D35="F",0,IF(WEEKDAY($A35,2)=5,INDEX(TimerFr,MATCH(D35,FaseKode,0)),INDEX(TimerMT,MATCH(D35,FaseKode,0))))</f>
        <v/>
      </c>
      <c r="H35">
        <f>IF(OR(H$4="",$A35&gt;TODAY()),0,IF(OR(INDEX($B35:$D35,H$5)="F",AND(H$6&gt;0,$A35&lt;H$6),AND(H$7&gt;0,$A35&gt;H$7)),0,MAX(0,ROUND((INDEX($E35:$G35,H$5)-SUMIFS(TF_Timer,TF_Tekniker,H$4,TF_Dato,$A35))*2,0)/2)))</f>
        <v/>
      </c>
      <c r="I35">
        <f>IF(OR(I$4="",$A35&gt;TODAY()),0,IF(OR(INDEX($B35:$D35,I$5)="F",AND(I$6&gt;0,$A35&lt;I$6),AND(I$7&gt;0,$A35&gt;I$7)),0,MAX(0,ROUND((INDEX($E35:$G35,I$5)-SUMIFS(TF_Timer,TF_Tekniker,I$4,TF_Dato,$A35))*2,0)/2)))</f>
        <v/>
      </c>
      <c r="J35">
        <f>IF(OR(J$4="",$A35&gt;TODAY()),0,IF(OR(INDEX($B35:$D35,J$5)="F",AND(J$6&gt;0,$A35&lt;J$6),AND(J$7&gt;0,$A35&gt;J$7)),0,MAX(0,ROUND((INDEX($E35:$G35,J$5)-SUMIFS(TF_Timer,TF_Tekniker,J$4,TF_Dato,$A35))*2,0)/2)))</f>
        <v/>
      </c>
      <c r="K35">
        <f>IF(OR(K$4="",$A35&gt;TODAY()),0,IF(OR(INDEX($B35:$D35,K$5)="F",AND(K$6&gt;0,$A35&lt;K$6),AND(K$7&gt;0,$A35&gt;K$7)),0,MAX(0,ROUND((INDEX($E35:$G35,K$5)-SUMIFS(TF_Timer,TF_Tekniker,K$4,TF_Dato,$A35))*2,0)/2)))</f>
        <v/>
      </c>
      <c r="L35">
        <f>IF(OR(L$4="",$A35&gt;TODAY()),0,IF(OR(INDEX($B35:$D35,L$5)="F",AND(L$6&gt;0,$A35&lt;L$6),AND(L$7&gt;0,$A35&gt;L$7)),0,MAX(0,ROUND((INDEX($E35:$G35,L$5)-SUMIFS(TF_Timer,TF_Tekniker,L$4,TF_Dato,$A35))*2,0)/2)))</f>
        <v/>
      </c>
      <c r="M35">
        <f>IF(OR(M$4="",$A35&gt;TODAY()),0,IF(OR(INDEX($B35:$D35,M$5)="F",AND(M$6&gt;0,$A35&lt;M$6),AND(M$7&gt;0,$A35&gt;M$7)),0,MAX(0,ROUND((INDEX($E35:$G35,M$5)-SUMIFS(TF_Timer,TF_Tekniker,M$4,TF_Dato,$A35))*2,0)/2)))</f>
        <v/>
      </c>
      <c r="N35">
        <f>IF(OR(N$4="",$A35&gt;TODAY()),0,IF(OR(INDEX($B35:$D35,N$5)="F",AND(N$6&gt;0,$A35&lt;N$6),AND(N$7&gt;0,$A35&gt;N$7)),0,MAX(0,ROUND((INDEX($E35:$G35,N$5)-SUMIFS(TF_Timer,TF_Tekniker,N$4,TF_Dato,$A35))*2,0)/2)))</f>
        <v/>
      </c>
      <c r="O35">
        <f>IF(OR(O$4="",$A35&gt;TODAY()),0,IF(OR(INDEX($B35:$D35,O$5)="F",AND(O$6&gt;0,$A35&lt;O$6),AND(O$7&gt;0,$A35&gt;O$7)),0,MAX(0,ROUND((INDEX($E35:$G35,O$5)-SUMIFS(TF_Timer,TF_Tekniker,O$4,TF_Dato,$A35))*2,0)/2)))</f>
        <v/>
      </c>
      <c r="P35">
        <f>IF(OR(P$4="",$A35&gt;TODAY()),0,IF(OR(INDEX($B35:$D35,P$5)="F",AND(P$6&gt;0,$A35&lt;P$6),AND(P$7&gt;0,$A35&gt;P$7)),0,MAX(0,ROUND((INDEX($E35:$G35,P$5)-SUMIFS(TF_Timer,TF_Tekniker,P$4,TF_Dato,$A35))*2,0)/2)))</f>
        <v/>
      </c>
      <c r="Q35">
        <f>IF(OR(Q$4="",$A35&gt;TODAY()),0,IF(OR(INDEX($B35:$D35,Q$5)="F",AND(Q$6&gt;0,$A35&lt;Q$6),AND(Q$7&gt;0,$A35&gt;Q$7)),0,MAX(0,ROUND((INDEX($E35:$G35,Q$5)-SUMIFS(TF_Timer,TF_Tekniker,Q$4,TF_Dato,$A35))*2,0)/2)))</f>
        <v/>
      </c>
      <c r="R35">
        <f>IF(OR(R$4="",$A35&gt;TODAY()),0,IF(OR(INDEX($B35:$D35,R$5)="F",AND(R$6&gt;0,$A35&lt;R$6),AND(R$7&gt;0,$A35&gt;R$7)),0,MAX(0,ROUND((INDEX($E35:$G35,R$5)-SUMIFS(TF_Timer,TF_Tekniker,R$4,TF_Dato,$A35))*2,0)/2)))</f>
        <v/>
      </c>
      <c r="S35">
        <f>IF(OR(S$4="",$A35&gt;TODAY()),0,IF(OR(INDEX($B35:$D35,S$5)="F",AND(S$6&gt;0,$A35&lt;S$6),AND(S$7&gt;0,$A35&gt;S$7)),0,MAX(0,ROUND((INDEX($E35:$G35,S$5)-SUMIFS(TF_Timer,TF_Tekniker,S$4,TF_Dato,$A35))*2,0)/2)))</f>
        <v/>
      </c>
      <c r="T35">
        <f>IF(OR(T$4="",$A35&gt;TODAY()),0,IF(OR(INDEX($B35:$D35,T$5)="F",AND(T$6&gt;0,$A35&lt;T$6),AND(T$7&gt;0,$A35&gt;T$7)),0,MAX(0,ROUND((INDEX($E35:$G35,T$5)-SUMIFS(TF_Timer,TF_Tekniker,T$4,TF_Dato,$A35))*2,0)/2)))</f>
        <v/>
      </c>
      <c r="U35">
        <f>IF(OR(U$4="",$A35&gt;TODAY()),0,IF(OR(INDEX($B35:$D35,U$5)="F",AND(U$6&gt;0,$A35&lt;U$6),AND(U$7&gt;0,$A35&gt;U$7)),0,MAX(0,ROUND((INDEX($E35:$G35,U$5)-SUMIFS(TF_Timer,TF_Tekniker,U$4,TF_Dato,$A35))*2,0)/2)))</f>
        <v/>
      </c>
      <c r="V35">
        <f>IF(OR(V$4="",$A35&gt;TODAY()),0,IF(OR(INDEX($B35:$D35,V$5)="F",AND(V$6&gt;0,$A35&lt;V$6),AND(V$7&gt;0,$A35&gt;V$7)),0,MAX(0,ROUND((INDEX($E35:$G35,V$5)-SUMIFS(TF_Timer,TF_Tekniker,V$4,TF_Dato,$A35))*2,0)/2)))</f>
        <v/>
      </c>
      <c r="W35">
        <f>IF(OR(W$4="",$A35&gt;TODAY()),0,IF(OR(INDEX($B35:$D35,W$5)="F",AND(W$6&gt;0,$A35&lt;W$6),AND(W$7&gt;0,$A35&gt;W$7)),0,MAX(0,ROUND((INDEX($E35:$G35,W$5)-SUMIFS(TF_Timer,TF_Tekniker,W$4,TF_Dato,$A35))*2,0)/2)))</f>
        <v/>
      </c>
      <c r="X35">
        <f>IF(OR(X$4="",$A35&gt;TODAY()),0,IF(OR(INDEX($B35:$D35,X$5)="F",AND(X$6&gt;0,$A35&lt;X$6),AND(X$7&gt;0,$A35&gt;X$7)),0,MAX(0,ROUND((INDEX($E35:$G35,X$5)-SUMIFS(TF_Timer,TF_Tekniker,X$4,TF_Dato,$A35))*2,0)/2)))</f>
        <v/>
      </c>
      <c r="Y35">
        <f>IF(OR(Y$4="",$A35&gt;TODAY()),0,IF(OR(INDEX($B35:$D35,Y$5)="F",AND(Y$6&gt;0,$A35&lt;Y$6),AND(Y$7&gt;0,$A35&gt;Y$7)),0,MAX(0,ROUND((INDEX($E35:$G35,Y$5)-SUMIFS(TF_Timer,TF_Tekniker,Y$4,TF_Dato,$A35))*2,0)/2)))</f>
        <v/>
      </c>
      <c r="Z35">
        <f>IF(OR(Z$4="",$A35&gt;TODAY()),0,IF(OR(INDEX($B35:$D35,Z$5)="F",AND(Z$6&gt;0,$A35&lt;Z$6),AND(Z$7&gt;0,$A35&gt;Z$7)),0,MAX(0,ROUND((INDEX($E35:$G35,Z$5)-SUMIFS(TF_Timer,TF_Tekniker,Z$4,TF_Dato,$A35))*2,0)/2)))</f>
        <v/>
      </c>
      <c r="AA35">
        <f>IF(OR(AA$4="",$A35&gt;TODAY()),0,IF(OR(INDEX($B35:$D35,AA$5)="F",AND(AA$6&gt;0,$A35&lt;AA$6),AND(AA$7&gt;0,$A35&gt;AA$7)),0,MAX(0,ROUND((INDEX($E35:$G35,AA$5)-SUMIFS(TF_Timer,TF_Tekniker,AA$4,TF_Dato,$A35))*2,0)/2)))</f>
        <v/>
      </c>
      <c r="AB35">
        <f>IF(OR(AB$4="",$A35&gt;TODAY()),0,IF(OR(INDEX($B35:$D35,AB$5)="F",AND(AB$6&gt;0,$A35&lt;AB$6),AND(AB$7&gt;0,$A35&gt;AB$7)),0,MAX(0,ROUND((INDEX($E35:$G35,AB$5)-SUMIFS(TF_Timer,TF_Tekniker,AB$4,TF_Dato,$A35))*2,0)/2)))</f>
        <v/>
      </c>
      <c r="AC35">
        <f>IF(OR(AC$4="",$A35&gt;TODAY()),0,IF(OR(INDEX($B35:$D35,AC$5)="F",AND(AC$6&gt;0,$A35&lt;AC$6),AND(AC$7&gt;0,$A35&gt;AC$7)),0,MAX(0,ROUND((INDEX($E35:$G35,AC$5)-SUMIFS(TF_Timer,TF_Tekniker,AC$4,TF_Dato,$A35))*2,0)/2)))</f>
        <v/>
      </c>
      <c r="AD35">
        <f>IF(OR(AD$4="",$A35&gt;TODAY()),0,IF(OR(INDEX($B35:$D35,AD$5)="F",AND(AD$6&gt;0,$A35&lt;AD$6),AND(AD$7&gt;0,$A35&gt;AD$7)),0,MAX(0,ROUND((INDEX($E35:$G35,AD$5)-SUMIFS(TF_Timer,TF_Tekniker,AD$4,TF_Dato,$A35))*2,0)/2)))</f>
        <v/>
      </c>
      <c r="AE35">
        <f>IF(OR(AE$4="",$A35&gt;TODAY()),0,IF(OR(INDEX($B35:$D35,AE$5)="F",AND(AE$6&gt;0,$A35&lt;AE$6),AND(AE$7&gt;0,$A35&gt;AE$7)),0,MAX(0,ROUND((INDEX($E35:$G35,AE$5)-SUMIFS(TF_Timer,TF_Tekniker,AE$4,TF_Dato,$A35))*2,0)/2)))</f>
        <v/>
      </c>
      <c r="AF35">
        <f>IF(OR(AF$4="",$A35&gt;TODAY()),0,IF(OR(INDEX($B35:$D35,AF$5)="F",AND(AF$6&gt;0,$A35&lt;AF$6),AND(AF$7&gt;0,$A35&gt;AF$7)),0,MAX(0,ROUND((INDEX($E35:$G35,AF$5)-SUMIFS(TF_Timer,TF_Tekniker,AF$4,TF_Dato,$A35))*2,0)/2)))</f>
        <v/>
      </c>
      <c r="AG35">
        <f>IF(OR(AG$4="",$A35&gt;TODAY()),0,IF(OR(INDEX($B35:$D35,AG$5)="F",AND(AG$6&gt;0,$A35&lt;AG$6),AND(AG$7&gt;0,$A35&gt;AG$7)),0,MAX(0,ROUND((INDEX($E35:$G35,AG$5)-SUMIFS(TF_Timer,TF_Tekniker,AG$4,TF_Dato,$A35))*2,0)/2)))</f>
        <v/>
      </c>
      <c r="AH35">
        <f>IF(OR(AH$4="",$A35&gt;TODAY()),0,IF(OR(INDEX($B35:$D35,AH$5)="F",AND(AH$6&gt;0,$A35&lt;AH$6),AND(AH$7&gt;0,$A35&gt;AH$7)),0,MAX(0,ROUND((INDEX($E35:$G35,AH$5)-SUMIFS(TF_Timer,TF_Tekniker,AH$4,TF_Dato,$A35))*2,0)/2)))</f>
        <v/>
      </c>
      <c r="AI35">
        <f>IF(OR(AI$4="",$A35&gt;TODAY()),0,IF(OR(INDEX($B35:$D35,AI$5)="F",AND(AI$6&gt;0,$A35&lt;AI$6),AND(AI$7&gt;0,$A35&gt;AI$7)),0,MAX(0,ROUND((INDEX($E35:$G35,AI$5)-SUMIFS(TF_Timer,TF_Tekniker,AI$4,TF_Dato,$A35))*2,0)/2)))</f>
        <v/>
      </c>
      <c r="AJ35">
        <f>IF(OR(AJ$4="",$A35&gt;TODAY()),0,IF(OR(INDEX($B35:$D35,AJ$5)="F",AND(AJ$6&gt;0,$A35&lt;AJ$6),AND(AJ$7&gt;0,$A35&gt;AJ$7)),0,MAX(0,ROUND((INDEX($E35:$G35,AJ$5)-SUMIFS(TF_Timer,TF_Tekniker,AJ$4,TF_Dato,$A35))*2,0)/2)))</f>
        <v/>
      </c>
      <c r="AK35">
        <f>IF(OR(AK$4="",$A35&gt;TODAY()),0,IF(OR(INDEX($B35:$D35,AK$5)="F",AND(AK$6&gt;0,$A35&lt;AK$6),AND(AK$7&gt;0,$A35&gt;AK$7)),0,MAX(0,ROUND((INDEX($E35:$G35,AK$5)-SUMIFS(TF_Timer,TF_Tekniker,AK$4,TF_Dato,$A35))*2,0)/2)))</f>
        <v/>
      </c>
      <c r="AL35">
        <f>IF(OR(AL$4="",$A35&gt;TODAY()),0,IF(OR(INDEX($B35:$D35,AL$5)="F",AND(AL$6&gt;0,$A35&lt;AL$6),AND(AL$7&gt;0,$A35&gt;AL$7)),0,MAX(0,ROUND((INDEX($E35:$G35,AL$5)-SUMIFS(TF_Timer,TF_Tekniker,AL$4,TF_Dato,$A35))*2,0)/2)))</f>
        <v/>
      </c>
      <c r="AM35">
        <f>IF(OR(AM$4="",$A35&gt;TODAY()),0,IF(OR(INDEX($B35:$D35,AM$5)="F",AND(AM$6&gt;0,$A35&lt;AM$6),AND(AM$7&gt;0,$A35&gt;AM$7)),0,MAX(0,ROUND((INDEX($E35:$G35,AM$5)-SUMIFS(TF_Timer,TF_Tekniker,AM$4,TF_Dato,$A35))*2,0)/2)))</f>
        <v/>
      </c>
      <c r="AN35">
        <f>IF(OR(AN$4="",$A35&gt;TODAY()),0,IF(OR(INDEX($B35:$D35,AN$5)="F",AND(AN$6&gt;0,$A35&lt;AN$6),AND(AN$7&gt;0,$A35&gt;AN$7)),0,MAX(0,ROUND((INDEX($E35:$G35,AN$5)-SUMIFS(TF_Timer,TF_Tekniker,AN$4,TF_Dato,$A35))*2,0)/2)))</f>
        <v/>
      </c>
      <c r="AO35">
        <f>IF(OR(AO$4="",$A35&gt;TODAY()),0,IF(OR(INDEX($B35:$D35,AO$5)="F",AND(AO$6&gt;0,$A35&lt;AO$6),AND(AO$7&gt;0,$A35&gt;AO$7)),0,MAX(0,ROUND((INDEX($E35:$G35,AO$5)-SUMIFS(TF_Timer,TF_Tekniker,AO$4,TF_Dato,$A35))*2,0)/2)))</f>
        <v/>
      </c>
      <c r="AP35">
        <f>IF(OR(AP$4="",$A35&gt;TODAY()),0,IF(OR(INDEX($B35:$D35,AP$5)="F",AND(AP$6&gt;0,$A35&lt;AP$6),AND(AP$7&gt;0,$A35&gt;AP$7)),0,MAX(0,ROUND((INDEX($E35:$G35,AP$5)-SUMIFS(TF_Timer,TF_Tekniker,AP$4,TF_Dato,$A35))*2,0)/2)))</f>
        <v/>
      </c>
      <c r="AQ35">
        <f>IF(OR(AQ$4="",$A35&gt;TODAY()),0,IF(OR(INDEX($B35:$D35,AQ$5)="F",AND(AQ$6&gt;0,$A35&lt;AQ$6),AND(AQ$7&gt;0,$A35&gt;AQ$7)),0,MAX(0,ROUND((INDEX($E35:$G35,AQ$5)-SUMIFS(TF_Timer,TF_Tekniker,AQ$4,TF_Dato,$A35))*2,0)/2)))</f>
        <v/>
      </c>
      <c r="AR35">
        <f>IF(OR(AR$4="",$A35&gt;TODAY()),0,IF(OR(INDEX($B35:$D35,AR$5)="F",AND(AR$6&gt;0,$A35&lt;AR$6),AND(AR$7&gt;0,$A35&gt;AR$7)),0,MAX(0,ROUND((INDEX($E35:$G35,AR$5)-SUMIFS(TF_Timer,TF_Tekniker,AR$4,TF_Dato,$A35))*2,0)/2)))</f>
        <v/>
      </c>
      <c r="AS35">
        <f>IF(OR(AS$4="",$A35&gt;TODAY()),0,IF(OR(INDEX($B35:$D35,AS$5)="F",AND(AS$6&gt;0,$A35&lt;AS$6),AND(AS$7&gt;0,$A35&gt;AS$7)),0,MAX(0,ROUND((INDEX($E35:$G35,AS$5)-SUMIFS(TF_Timer,TF_Tekniker,AS$4,TF_Dato,$A35))*2,0)/2)))</f>
        <v/>
      </c>
      <c r="AT35">
        <f>IF(OR(AT$4="",$A35&gt;TODAY()),0,IF(OR(INDEX($B35:$D35,AT$5)="F",AND(AT$6&gt;0,$A35&lt;AT$6),AND(AT$7&gt;0,$A35&gt;AT$7)),0,MAX(0,ROUND((INDEX($E35:$G35,AT$5)-SUMIFS(TF_Timer,TF_Tekniker,AT$4,TF_Dato,$A35))*2,0)/2)))</f>
        <v/>
      </c>
      <c r="AU35">
        <f>IF(OR(AU$4="",$A35&gt;TODAY()),0,IF(OR(INDEX($B35:$D35,AU$5)="F",AND(AU$6&gt;0,$A35&lt;AU$6),AND(AU$7&gt;0,$A35&gt;AU$7)),0,MAX(0,ROUND((INDEX($E35:$G35,AU$5)-SUMIFS(TF_Timer,TF_Tekniker,AU$4,TF_Dato,$A35))*2,0)/2)))</f>
        <v/>
      </c>
      <c r="AV35">
        <f>IF(OR(AV$4="",$A35&gt;TODAY()),0,IF(OR(INDEX($B35:$D35,AV$5)="F",AND(AV$6&gt;0,$A35&lt;AV$6),AND(AV$7&gt;0,$A35&gt;AV$7)),0,MAX(0,ROUND((INDEX($E35:$G35,AV$5)-SUMIFS(TF_Timer,TF_Tekniker,AV$4,TF_Dato,$A35))*2,0)/2)))</f>
        <v/>
      </c>
      <c r="AW35">
        <f>IF(OR(AW$4="",$A35&gt;TODAY()),0,IF(OR(INDEX($B35:$D35,AW$5)="F",AND(AW$6&gt;0,$A35&lt;AW$6),AND(AW$7&gt;0,$A35&gt;AW$7)),0,MAX(0,ROUND((INDEX($E35:$G35,AW$5)-SUMIFS(TF_Timer,TF_Tekniker,AW$4,TF_Dato,$A35))*2,0)/2)))</f>
        <v/>
      </c>
      <c r="AX35">
        <f>IF(OR(AX$4="",$A35&gt;TODAY()),0,IF(OR(INDEX($B35:$D35,AX$5)="F",AND(AX$6&gt;0,$A35&lt;AX$6),AND(AX$7&gt;0,$A35&gt;AX$7)),0,MAX(0,ROUND((INDEX($E35:$G35,AX$5)-SUMIFS(TF_Timer,TF_Tekniker,AX$4,TF_Dato,$A35))*2,0)/2)))</f>
        <v/>
      </c>
      <c r="AY35">
        <f>IF(OR(AY$4="",$A35&gt;TODAY()),0,IF(OR(INDEX($B35:$D35,AY$5)="F",AND(AY$6&gt;0,$A35&lt;AY$6),AND(AY$7&gt;0,$A35&gt;AY$7)),0,MAX(0,ROUND((INDEX($E35:$G35,AY$5)-SUMIFS(TF_Timer,TF_Tekniker,AY$4,TF_Dato,$A35))*2,0)/2)))</f>
        <v/>
      </c>
      <c r="AZ35">
        <f>IF(OR(AZ$4="",$A35&gt;TODAY()),0,IF(OR(INDEX($B35:$D35,AZ$5)="F",AND(AZ$6&gt;0,$A35&lt;AZ$6),AND(AZ$7&gt;0,$A35&gt;AZ$7)),0,MAX(0,ROUND((INDEX($E35:$G35,AZ$5)-SUMIFS(TF_Timer,TF_Tekniker,AZ$4,TF_Dato,$A35))*2,0)/2)))</f>
        <v/>
      </c>
      <c r="BA35">
        <f>IF(OR(BA$4="",$A35&gt;TODAY()),0,IF(OR(INDEX($B35:$D35,BA$5)="F",AND(BA$6&gt;0,$A35&lt;BA$6),AND(BA$7&gt;0,$A35&gt;BA$7)),0,MAX(0,ROUND((INDEX($E35:$G35,BA$5)-SUMIFS(TF_Timer,TF_Tekniker,BA$4,TF_Dato,$A35))*2,0)/2)))</f>
        <v/>
      </c>
      <c r="BB35">
        <f>IF(OR(BB$4="",$A35&gt;TODAY()),0,IF(OR(INDEX($B35:$D35,BB$5)="F",AND(BB$6&gt;0,$A35&lt;BB$6),AND(BB$7&gt;0,$A35&gt;BB$7)),0,MAX(0,ROUND((INDEX($E35:$G35,BB$5)-SUMIFS(TF_Timer,TF_Tekniker,BB$4,TF_Dato,$A35))*2,0)/2)))</f>
        <v/>
      </c>
      <c r="BC35">
        <f>IF(OR(BC$4="",$A35&gt;TODAY()),0,IF(OR(INDEX($B35:$D35,BC$5)="F",AND(BC$6&gt;0,$A35&lt;BC$6),AND(BC$7&gt;0,$A35&gt;BC$7)),0,MAX(0,ROUND((INDEX($E35:$G35,BC$5)-SUMIFS(TF_Timer,TF_Tekniker,BC$4,TF_Dato,$A35))*2,0)/2)))</f>
        <v/>
      </c>
      <c r="BD35">
        <f>IF(OR(BD$4="",$A35&gt;TODAY()),0,IF(OR(INDEX($B35:$D35,BD$5)="F",AND(BD$6&gt;0,$A35&lt;BD$6),AND(BD$7&gt;0,$A35&gt;BD$7)),0,MAX(0,ROUND((INDEX($E35:$G35,BD$5)-SUMIFS(TF_Timer,TF_Tekniker,BD$4,TF_Dato,$A35))*2,0)/2)))</f>
        <v/>
      </c>
      <c r="BE35">
        <f>IF(OR(BE$4="",$A35&gt;TODAY()),0,IF(OR(INDEX($B35:$D35,BE$5)="F",AND(BE$6&gt;0,$A35&lt;BE$6),AND(BE$7&gt;0,$A35&gt;BE$7)),0,MAX(0,ROUND((INDEX($E35:$G35,BE$5)-SUMIFS(TF_Timer,TF_Tekniker,BE$4,TF_Dato,$A35))*2,0)/2)))</f>
        <v/>
      </c>
      <c r="BF35">
        <f>IF(OR(BF$4="",$A35&gt;TODAY()),0,IF(OR(INDEX($B35:$D35,BF$5)="F",AND(BF$6&gt;0,$A35&lt;BF$6),AND(BF$7&gt;0,$A35&gt;BF$7)),0,MAX(0,ROUND((INDEX($E35:$G35,BF$5)-SUMIFS(TF_Timer,TF_Tekniker,BF$4,TF_Dato,$A35))*2,0)/2)))</f>
        <v/>
      </c>
      <c r="BG35">
        <f>IF(OR(BG$4="",$A35&gt;TODAY()),0,IF(OR(INDEX($B35:$D35,BG$5)="F",AND(BG$6&gt;0,$A35&lt;BG$6),AND(BG$7&gt;0,$A35&gt;BG$7)),0,MAX(0,ROUND((INDEX($E35:$G35,BG$5)-SUMIFS(TF_Timer,TF_Tekniker,BG$4,TF_Dato,$A35))*2,0)/2)))</f>
        <v/>
      </c>
      <c r="BH35">
        <f>IF(OR(BH$4="",$A35&gt;TODAY()),0,IF(OR(INDEX($B35:$D35,BH$5)="F",AND(BH$6&gt;0,$A35&lt;BH$6),AND(BH$7&gt;0,$A35&gt;BH$7)),0,MAX(0,ROUND((INDEX($E35:$G35,BH$5)-SUMIFS(TF_Timer,TF_Tekniker,BH$4,TF_Dato,$A35))*2,0)/2)))</f>
        <v/>
      </c>
      <c r="BI35">
        <f>IF(OR(BI$4="",$A35&gt;TODAY()),0,IF(OR(INDEX($B35:$D35,BI$5)="F",AND(BI$6&gt;0,$A35&lt;BI$6),AND(BI$7&gt;0,$A35&gt;BI$7)),0,MAX(0,ROUND((INDEX($E35:$G35,BI$5)-SUMIFS(TF_Timer,TF_Tekniker,BI$4,TF_Dato,$A35))*2,0)/2)))</f>
        <v/>
      </c>
    </row>
    <row r="36">
      <c r="A36" s="64">
        <f>A35+1</f>
        <v/>
      </c>
      <c r="B36">
        <f>IF(MOD($A36-INDEX(SkiftStart,1),Syklus)&lt;DagK,"K",IF(MOD($A36-INDEX(SkiftStart,1),Syklus)&lt;DagK+DagH,"H",IF(MOD($A36-INDEX(SkiftStart,1),Syklus)&lt;DagK+DagH+DagD,"D","F")))</f>
        <v/>
      </c>
      <c r="C36">
        <f>IF(MOD($A36-INDEX(SkiftStart,2),Syklus)&lt;DagK,"K",IF(MOD($A36-INDEX(SkiftStart,2),Syklus)&lt;DagK+DagH,"H",IF(MOD($A36-INDEX(SkiftStart,2),Syklus)&lt;DagK+DagH+DagD,"D","F")))</f>
        <v/>
      </c>
      <c r="D36">
        <f>IF(MOD($A36-INDEX(SkiftStart,3),Syklus)&lt;DagK,"K",IF(MOD($A36-INDEX(SkiftStart,3),Syklus)&lt;DagK+DagH,"H",IF(MOD($A36-INDEX(SkiftStart,3),Syklus)&lt;DagK+DagH+DagD,"D","F")))</f>
        <v/>
      </c>
      <c r="E36">
        <f>IF(B36="F",0,IF(WEEKDAY($A36,2)=5,INDEX(TimerFr,MATCH(B36,FaseKode,0)),INDEX(TimerMT,MATCH(B36,FaseKode,0))))</f>
        <v/>
      </c>
      <c r="F36">
        <f>IF(C36="F",0,IF(WEEKDAY($A36,2)=5,INDEX(TimerFr,MATCH(C36,FaseKode,0)),INDEX(TimerMT,MATCH(C36,FaseKode,0))))</f>
        <v/>
      </c>
      <c r="G36">
        <f>IF(D36="F",0,IF(WEEKDAY($A36,2)=5,INDEX(TimerFr,MATCH(D36,FaseKode,0)),INDEX(TimerMT,MATCH(D36,FaseKode,0))))</f>
        <v/>
      </c>
      <c r="H36">
        <f>IF(OR(H$4="",$A36&gt;TODAY()),0,IF(OR(INDEX($B36:$D36,H$5)="F",AND(H$6&gt;0,$A36&lt;H$6),AND(H$7&gt;0,$A36&gt;H$7)),0,MAX(0,ROUND((INDEX($E36:$G36,H$5)-SUMIFS(TF_Timer,TF_Tekniker,H$4,TF_Dato,$A36))*2,0)/2)))</f>
        <v/>
      </c>
      <c r="I36">
        <f>IF(OR(I$4="",$A36&gt;TODAY()),0,IF(OR(INDEX($B36:$D36,I$5)="F",AND(I$6&gt;0,$A36&lt;I$6),AND(I$7&gt;0,$A36&gt;I$7)),0,MAX(0,ROUND((INDEX($E36:$G36,I$5)-SUMIFS(TF_Timer,TF_Tekniker,I$4,TF_Dato,$A36))*2,0)/2)))</f>
        <v/>
      </c>
      <c r="J36">
        <f>IF(OR(J$4="",$A36&gt;TODAY()),0,IF(OR(INDEX($B36:$D36,J$5)="F",AND(J$6&gt;0,$A36&lt;J$6),AND(J$7&gt;0,$A36&gt;J$7)),0,MAX(0,ROUND((INDEX($E36:$G36,J$5)-SUMIFS(TF_Timer,TF_Tekniker,J$4,TF_Dato,$A36))*2,0)/2)))</f>
        <v/>
      </c>
      <c r="K36">
        <f>IF(OR(K$4="",$A36&gt;TODAY()),0,IF(OR(INDEX($B36:$D36,K$5)="F",AND(K$6&gt;0,$A36&lt;K$6),AND(K$7&gt;0,$A36&gt;K$7)),0,MAX(0,ROUND((INDEX($E36:$G36,K$5)-SUMIFS(TF_Timer,TF_Tekniker,K$4,TF_Dato,$A36))*2,0)/2)))</f>
        <v/>
      </c>
      <c r="L36">
        <f>IF(OR(L$4="",$A36&gt;TODAY()),0,IF(OR(INDEX($B36:$D36,L$5)="F",AND(L$6&gt;0,$A36&lt;L$6),AND(L$7&gt;0,$A36&gt;L$7)),0,MAX(0,ROUND((INDEX($E36:$G36,L$5)-SUMIFS(TF_Timer,TF_Tekniker,L$4,TF_Dato,$A36))*2,0)/2)))</f>
        <v/>
      </c>
      <c r="M36">
        <f>IF(OR(M$4="",$A36&gt;TODAY()),0,IF(OR(INDEX($B36:$D36,M$5)="F",AND(M$6&gt;0,$A36&lt;M$6),AND(M$7&gt;0,$A36&gt;M$7)),0,MAX(0,ROUND((INDEX($E36:$G36,M$5)-SUMIFS(TF_Timer,TF_Tekniker,M$4,TF_Dato,$A36))*2,0)/2)))</f>
        <v/>
      </c>
      <c r="N36">
        <f>IF(OR(N$4="",$A36&gt;TODAY()),0,IF(OR(INDEX($B36:$D36,N$5)="F",AND(N$6&gt;0,$A36&lt;N$6),AND(N$7&gt;0,$A36&gt;N$7)),0,MAX(0,ROUND((INDEX($E36:$G36,N$5)-SUMIFS(TF_Timer,TF_Tekniker,N$4,TF_Dato,$A36))*2,0)/2)))</f>
        <v/>
      </c>
      <c r="O36">
        <f>IF(OR(O$4="",$A36&gt;TODAY()),0,IF(OR(INDEX($B36:$D36,O$5)="F",AND(O$6&gt;0,$A36&lt;O$6),AND(O$7&gt;0,$A36&gt;O$7)),0,MAX(0,ROUND((INDEX($E36:$G36,O$5)-SUMIFS(TF_Timer,TF_Tekniker,O$4,TF_Dato,$A36))*2,0)/2)))</f>
        <v/>
      </c>
      <c r="P36">
        <f>IF(OR(P$4="",$A36&gt;TODAY()),0,IF(OR(INDEX($B36:$D36,P$5)="F",AND(P$6&gt;0,$A36&lt;P$6),AND(P$7&gt;0,$A36&gt;P$7)),0,MAX(0,ROUND((INDEX($E36:$G36,P$5)-SUMIFS(TF_Timer,TF_Tekniker,P$4,TF_Dato,$A36))*2,0)/2)))</f>
        <v/>
      </c>
      <c r="Q36">
        <f>IF(OR(Q$4="",$A36&gt;TODAY()),0,IF(OR(INDEX($B36:$D36,Q$5)="F",AND(Q$6&gt;0,$A36&lt;Q$6),AND(Q$7&gt;0,$A36&gt;Q$7)),0,MAX(0,ROUND((INDEX($E36:$G36,Q$5)-SUMIFS(TF_Timer,TF_Tekniker,Q$4,TF_Dato,$A36))*2,0)/2)))</f>
        <v/>
      </c>
      <c r="R36">
        <f>IF(OR(R$4="",$A36&gt;TODAY()),0,IF(OR(INDEX($B36:$D36,R$5)="F",AND(R$6&gt;0,$A36&lt;R$6),AND(R$7&gt;0,$A36&gt;R$7)),0,MAX(0,ROUND((INDEX($E36:$G36,R$5)-SUMIFS(TF_Timer,TF_Tekniker,R$4,TF_Dato,$A36))*2,0)/2)))</f>
        <v/>
      </c>
      <c r="S36">
        <f>IF(OR(S$4="",$A36&gt;TODAY()),0,IF(OR(INDEX($B36:$D36,S$5)="F",AND(S$6&gt;0,$A36&lt;S$6),AND(S$7&gt;0,$A36&gt;S$7)),0,MAX(0,ROUND((INDEX($E36:$G36,S$5)-SUMIFS(TF_Timer,TF_Tekniker,S$4,TF_Dato,$A36))*2,0)/2)))</f>
        <v/>
      </c>
      <c r="T36">
        <f>IF(OR(T$4="",$A36&gt;TODAY()),0,IF(OR(INDEX($B36:$D36,T$5)="F",AND(T$6&gt;0,$A36&lt;T$6),AND(T$7&gt;0,$A36&gt;T$7)),0,MAX(0,ROUND((INDEX($E36:$G36,T$5)-SUMIFS(TF_Timer,TF_Tekniker,T$4,TF_Dato,$A36))*2,0)/2)))</f>
        <v/>
      </c>
      <c r="U36">
        <f>IF(OR(U$4="",$A36&gt;TODAY()),0,IF(OR(INDEX($B36:$D36,U$5)="F",AND(U$6&gt;0,$A36&lt;U$6),AND(U$7&gt;0,$A36&gt;U$7)),0,MAX(0,ROUND((INDEX($E36:$G36,U$5)-SUMIFS(TF_Timer,TF_Tekniker,U$4,TF_Dato,$A36))*2,0)/2)))</f>
        <v/>
      </c>
      <c r="V36">
        <f>IF(OR(V$4="",$A36&gt;TODAY()),0,IF(OR(INDEX($B36:$D36,V$5)="F",AND(V$6&gt;0,$A36&lt;V$6),AND(V$7&gt;0,$A36&gt;V$7)),0,MAX(0,ROUND((INDEX($E36:$G36,V$5)-SUMIFS(TF_Timer,TF_Tekniker,V$4,TF_Dato,$A36))*2,0)/2)))</f>
        <v/>
      </c>
      <c r="W36">
        <f>IF(OR(W$4="",$A36&gt;TODAY()),0,IF(OR(INDEX($B36:$D36,W$5)="F",AND(W$6&gt;0,$A36&lt;W$6),AND(W$7&gt;0,$A36&gt;W$7)),0,MAX(0,ROUND((INDEX($E36:$G36,W$5)-SUMIFS(TF_Timer,TF_Tekniker,W$4,TF_Dato,$A36))*2,0)/2)))</f>
        <v/>
      </c>
      <c r="X36">
        <f>IF(OR(X$4="",$A36&gt;TODAY()),0,IF(OR(INDEX($B36:$D36,X$5)="F",AND(X$6&gt;0,$A36&lt;X$6),AND(X$7&gt;0,$A36&gt;X$7)),0,MAX(0,ROUND((INDEX($E36:$G36,X$5)-SUMIFS(TF_Timer,TF_Tekniker,X$4,TF_Dato,$A36))*2,0)/2)))</f>
        <v/>
      </c>
      <c r="Y36">
        <f>IF(OR(Y$4="",$A36&gt;TODAY()),0,IF(OR(INDEX($B36:$D36,Y$5)="F",AND(Y$6&gt;0,$A36&lt;Y$6),AND(Y$7&gt;0,$A36&gt;Y$7)),0,MAX(0,ROUND((INDEX($E36:$G36,Y$5)-SUMIFS(TF_Timer,TF_Tekniker,Y$4,TF_Dato,$A36))*2,0)/2)))</f>
        <v/>
      </c>
      <c r="Z36">
        <f>IF(OR(Z$4="",$A36&gt;TODAY()),0,IF(OR(INDEX($B36:$D36,Z$5)="F",AND(Z$6&gt;0,$A36&lt;Z$6),AND(Z$7&gt;0,$A36&gt;Z$7)),0,MAX(0,ROUND((INDEX($E36:$G36,Z$5)-SUMIFS(TF_Timer,TF_Tekniker,Z$4,TF_Dato,$A36))*2,0)/2)))</f>
        <v/>
      </c>
      <c r="AA36">
        <f>IF(OR(AA$4="",$A36&gt;TODAY()),0,IF(OR(INDEX($B36:$D36,AA$5)="F",AND(AA$6&gt;0,$A36&lt;AA$6),AND(AA$7&gt;0,$A36&gt;AA$7)),0,MAX(0,ROUND((INDEX($E36:$G36,AA$5)-SUMIFS(TF_Timer,TF_Tekniker,AA$4,TF_Dato,$A36))*2,0)/2)))</f>
        <v/>
      </c>
      <c r="AB36">
        <f>IF(OR(AB$4="",$A36&gt;TODAY()),0,IF(OR(INDEX($B36:$D36,AB$5)="F",AND(AB$6&gt;0,$A36&lt;AB$6),AND(AB$7&gt;0,$A36&gt;AB$7)),0,MAX(0,ROUND((INDEX($E36:$G36,AB$5)-SUMIFS(TF_Timer,TF_Tekniker,AB$4,TF_Dato,$A36))*2,0)/2)))</f>
        <v/>
      </c>
      <c r="AC36">
        <f>IF(OR(AC$4="",$A36&gt;TODAY()),0,IF(OR(INDEX($B36:$D36,AC$5)="F",AND(AC$6&gt;0,$A36&lt;AC$6),AND(AC$7&gt;0,$A36&gt;AC$7)),0,MAX(0,ROUND((INDEX($E36:$G36,AC$5)-SUMIFS(TF_Timer,TF_Tekniker,AC$4,TF_Dato,$A36))*2,0)/2)))</f>
        <v/>
      </c>
      <c r="AD36">
        <f>IF(OR(AD$4="",$A36&gt;TODAY()),0,IF(OR(INDEX($B36:$D36,AD$5)="F",AND(AD$6&gt;0,$A36&lt;AD$6),AND(AD$7&gt;0,$A36&gt;AD$7)),0,MAX(0,ROUND((INDEX($E36:$G36,AD$5)-SUMIFS(TF_Timer,TF_Tekniker,AD$4,TF_Dato,$A36))*2,0)/2)))</f>
        <v/>
      </c>
      <c r="AE36">
        <f>IF(OR(AE$4="",$A36&gt;TODAY()),0,IF(OR(INDEX($B36:$D36,AE$5)="F",AND(AE$6&gt;0,$A36&lt;AE$6),AND(AE$7&gt;0,$A36&gt;AE$7)),0,MAX(0,ROUND((INDEX($E36:$G36,AE$5)-SUMIFS(TF_Timer,TF_Tekniker,AE$4,TF_Dato,$A36))*2,0)/2)))</f>
        <v/>
      </c>
      <c r="AF36">
        <f>IF(OR(AF$4="",$A36&gt;TODAY()),0,IF(OR(INDEX($B36:$D36,AF$5)="F",AND(AF$6&gt;0,$A36&lt;AF$6),AND(AF$7&gt;0,$A36&gt;AF$7)),0,MAX(0,ROUND((INDEX($E36:$G36,AF$5)-SUMIFS(TF_Timer,TF_Tekniker,AF$4,TF_Dato,$A36))*2,0)/2)))</f>
        <v/>
      </c>
      <c r="AG36">
        <f>IF(OR(AG$4="",$A36&gt;TODAY()),0,IF(OR(INDEX($B36:$D36,AG$5)="F",AND(AG$6&gt;0,$A36&lt;AG$6),AND(AG$7&gt;0,$A36&gt;AG$7)),0,MAX(0,ROUND((INDEX($E36:$G36,AG$5)-SUMIFS(TF_Timer,TF_Tekniker,AG$4,TF_Dato,$A36))*2,0)/2)))</f>
        <v/>
      </c>
      <c r="AH36">
        <f>IF(OR(AH$4="",$A36&gt;TODAY()),0,IF(OR(INDEX($B36:$D36,AH$5)="F",AND(AH$6&gt;0,$A36&lt;AH$6),AND(AH$7&gt;0,$A36&gt;AH$7)),0,MAX(0,ROUND((INDEX($E36:$G36,AH$5)-SUMIFS(TF_Timer,TF_Tekniker,AH$4,TF_Dato,$A36))*2,0)/2)))</f>
        <v/>
      </c>
      <c r="AI36">
        <f>IF(OR(AI$4="",$A36&gt;TODAY()),0,IF(OR(INDEX($B36:$D36,AI$5)="F",AND(AI$6&gt;0,$A36&lt;AI$6),AND(AI$7&gt;0,$A36&gt;AI$7)),0,MAX(0,ROUND((INDEX($E36:$G36,AI$5)-SUMIFS(TF_Timer,TF_Tekniker,AI$4,TF_Dato,$A36))*2,0)/2)))</f>
        <v/>
      </c>
      <c r="AJ36">
        <f>IF(OR(AJ$4="",$A36&gt;TODAY()),0,IF(OR(INDEX($B36:$D36,AJ$5)="F",AND(AJ$6&gt;0,$A36&lt;AJ$6),AND(AJ$7&gt;0,$A36&gt;AJ$7)),0,MAX(0,ROUND((INDEX($E36:$G36,AJ$5)-SUMIFS(TF_Timer,TF_Tekniker,AJ$4,TF_Dato,$A36))*2,0)/2)))</f>
        <v/>
      </c>
      <c r="AK36">
        <f>IF(OR(AK$4="",$A36&gt;TODAY()),0,IF(OR(INDEX($B36:$D36,AK$5)="F",AND(AK$6&gt;0,$A36&lt;AK$6),AND(AK$7&gt;0,$A36&gt;AK$7)),0,MAX(0,ROUND((INDEX($E36:$G36,AK$5)-SUMIFS(TF_Timer,TF_Tekniker,AK$4,TF_Dato,$A36))*2,0)/2)))</f>
        <v/>
      </c>
      <c r="AL36">
        <f>IF(OR(AL$4="",$A36&gt;TODAY()),0,IF(OR(INDEX($B36:$D36,AL$5)="F",AND(AL$6&gt;0,$A36&lt;AL$6),AND(AL$7&gt;0,$A36&gt;AL$7)),0,MAX(0,ROUND((INDEX($E36:$G36,AL$5)-SUMIFS(TF_Timer,TF_Tekniker,AL$4,TF_Dato,$A36))*2,0)/2)))</f>
        <v/>
      </c>
      <c r="AM36">
        <f>IF(OR(AM$4="",$A36&gt;TODAY()),0,IF(OR(INDEX($B36:$D36,AM$5)="F",AND(AM$6&gt;0,$A36&lt;AM$6),AND(AM$7&gt;0,$A36&gt;AM$7)),0,MAX(0,ROUND((INDEX($E36:$G36,AM$5)-SUMIFS(TF_Timer,TF_Tekniker,AM$4,TF_Dato,$A36))*2,0)/2)))</f>
        <v/>
      </c>
      <c r="AN36">
        <f>IF(OR(AN$4="",$A36&gt;TODAY()),0,IF(OR(INDEX($B36:$D36,AN$5)="F",AND(AN$6&gt;0,$A36&lt;AN$6),AND(AN$7&gt;0,$A36&gt;AN$7)),0,MAX(0,ROUND((INDEX($E36:$G36,AN$5)-SUMIFS(TF_Timer,TF_Tekniker,AN$4,TF_Dato,$A36))*2,0)/2)))</f>
        <v/>
      </c>
      <c r="AO36">
        <f>IF(OR(AO$4="",$A36&gt;TODAY()),0,IF(OR(INDEX($B36:$D36,AO$5)="F",AND(AO$6&gt;0,$A36&lt;AO$6),AND(AO$7&gt;0,$A36&gt;AO$7)),0,MAX(0,ROUND((INDEX($E36:$G36,AO$5)-SUMIFS(TF_Timer,TF_Tekniker,AO$4,TF_Dato,$A36))*2,0)/2)))</f>
        <v/>
      </c>
      <c r="AP36">
        <f>IF(OR(AP$4="",$A36&gt;TODAY()),0,IF(OR(INDEX($B36:$D36,AP$5)="F",AND(AP$6&gt;0,$A36&lt;AP$6),AND(AP$7&gt;0,$A36&gt;AP$7)),0,MAX(0,ROUND((INDEX($E36:$G36,AP$5)-SUMIFS(TF_Timer,TF_Tekniker,AP$4,TF_Dato,$A36))*2,0)/2)))</f>
        <v/>
      </c>
      <c r="AQ36">
        <f>IF(OR(AQ$4="",$A36&gt;TODAY()),0,IF(OR(INDEX($B36:$D36,AQ$5)="F",AND(AQ$6&gt;0,$A36&lt;AQ$6),AND(AQ$7&gt;0,$A36&gt;AQ$7)),0,MAX(0,ROUND((INDEX($E36:$G36,AQ$5)-SUMIFS(TF_Timer,TF_Tekniker,AQ$4,TF_Dato,$A36))*2,0)/2)))</f>
        <v/>
      </c>
      <c r="AR36">
        <f>IF(OR(AR$4="",$A36&gt;TODAY()),0,IF(OR(INDEX($B36:$D36,AR$5)="F",AND(AR$6&gt;0,$A36&lt;AR$6),AND(AR$7&gt;0,$A36&gt;AR$7)),0,MAX(0,ROUND((INDEX($E36:$G36,AR$5)-SUMIFS(TF_Timer,TF_Tekniker,AR$4,TF_Dato,$A36))*2,0)/2)))</f>
        <v/>
      </c>
      <c r="AS36">
        <f>IF(OR(AS$4="",$A36&gt;TODAY()),0,IF(OR(INDEX($B36:$D36,AS$5)="F",AND(AS$6&gt;0,$A36&lt;AS$6),AND(AS$7&gt;0,$A36&gt;AS$7)),0,MAX(0,ROUND((INDEX($E36:$G36,AS$5)-SUMIFS(TF_Timer,TF_Tekniker,AS$4,TF_Dato,$A36))*2,0)/2)))</f>
        <v/>
      </c>
      <c r="AT36">
        <f>IF(OR(AT$4="",$A36&gt;TODAY()),0,IF(OR(INDEX($B36:$D36,AT$5)="F",AND(AT$6&gt;0,$A36&lt;AT$6),AND(AT$7&gt;0,$A36&gt;AT$7)),0,MAX(0,ROUND((INDEX($E36:$G36,AT$5)-SUMIFS(TF_Timer,TF_Tekniker,AT$4,TF_Dato,$A36))*2,0)/2)))</f>
        <v/>
      </c>
      <c r="AU36">
        <f>IF(OR(AU$4="",$A36&gt;TODAY()),0,IF(OR(INDEX($B36:$D36,AU$5)="F",AND(AU$6&gt;0,$A36&lt;AU$6),AND(AU$7&gt;0,$A36&gt;AU$7)),0,MAX(0,ROUND((INDEX($E36:$G36,AU$5)-SUMIFS(TF_Timer,TF_Tekniker,AU$4,TF_Dato,$A36))*2,0)/2)))</f>
        <v/>
      </c>
      <c r="AV36">
        <f>IF(OR(AV$4="",$A36&gt;TODAY()),0,IF(OR(INDEX($B36:$D36,AV$5)="F",AND(AV$6&gt;0,$A36&lt;AV$6),AND(AV$7&gt;0,$A36&gt;AV$7)),0,MAX(0,ROUND((INDEX($E36:$G36,AV$5)-SUMIFS(TF_Timer,TF_Tekniker,AV$4,TF_Dato,$A36))*2,0)/2)))</f>
        <v/>
      </c>
      <c r="AW36">
        <f>IF(OR(AW$4="",$A36&gt;TODAY()),0,IF(OR(INDEX($B36:$D36,AW$5)="F",AND(AW$6&gt;0,$A36&lt;AW$6),AND(AW$7&gt;0,$A36&gt;AW$7)),0,MAX(0,ROUND((INDEX($E36:$G36,AW$5)-SUMIFS(TF_Timer,TF_Tekniker,AW$4,TF_Dato,$A36))*2,0)/2)))</f>
        <v/>
      </c>
      <c r="AX36">
        <f>IF(OR(AX$4="",$A36&gt;TODAY()),0,IF(OR(INDEX($B36:$D36,AX$5)="F",AND(AX$6&gt;0,$A36&lt;AX$6),AND(AX$7&gt;0,$A36&gt;AX$7)),0,MAX(0,ROUND((INDEX($E36:$G36,AX$5)-SUMIFS(TF_Timer,TF_Tekniker,AX$4,TF_Dato,$A36))*2,0)/2)))</f>
        <v/>
      </c>
      <c r="AY36">
        <f>IF(OR(AY$4="",$A36&gt;TODAY()),0,IF(OR(INDEX($B36:$D36,AY$5)="F",AND(AY$6&gt;0,$A36&lt;AY$6),AND(AY$7&gt;0,$A36&gt;AY$7)),0,MAX(0,ROUND((INDEX($E36:$G36,AY$5)-SUMIFS(TF_Timer,TF_Tekniker,AY$4,TF_Dato,$A36))*2,0)/2)))</f>
        <v/>
      </c>
      <c r="AZ36">
        <f>IF(OR(AZ$4="",$A36&gt;TODAY()),0,IF(OR(INDEX($B36:$D36,AZ$5)="F",AND(AZ$6&gt;0,$A36&lt;AZ$6),AND(AZ$7&gt;0,$A36&gt;AZ$7)),0,MAX(0,ROUND((INDEX($E36:$G36,AZ$5)-SUMIFS(TF_Timer,TF_Tekniker,AZ$4,TF_Dato,$A36))*2,0)/2)))</f>
        <v/>
      </c>
      <c r="BA36">
        <f>IF(OR(BA$4="",$A36&gt;TODAY()),0,IF(OR(INDEX($B36:$D36,BA$5)="F",AND(BA$6&gt;0,$A36&lt;BA$6),AND(BA$7&gt;0,$A36&gt;BA$7)),0,MAX(0,ROUND((INDEX($E36:$G36,BA$5)-SUMIFS(TF_Timer,TF_Tekniker,BA$4,TF_Dato,$A36))*2,0)/2)))</f>
        <v/>
      </c>
      <c r="BB36">
        <f>IF(OR(BB$4="",$A36&gt;TODAY()),0,IF(OR(INDEX($B36:$D36,BB$5)="F",AND(BB$6&gt;0,$A36&lt;BB$6),AND(BB$7&gt;0,$A36&gt;BB$7)),0,MAX(0,ROUND((INDEX($E36:$G36,BB$5)-SUMIFS(TF_Timer,TF_Tekniker,BB$4,TF_Dato,$A36))*2,0)/2)))</f>
        <v/>
      </c>
      <c r="BC36">
        <f>IF(OR(BC$4="",$A36&gt;TODAY()),0,IF(OR(INDEX($B36:$D36,BC$5)="F",AND(BC$6&gt;0,$A36&lt;BC$6),AND(BC$7&gt;0,$A36&gt;BC$7)),0,MAX(0,ROUND((INDEX($E36:$G36,BC$5)-SUMIFS(TF_Timer,TF_Tekniker,BC$4,TF_Dato,$A36))*2,0)/2)))</f>
        <v/>
      </c>
      <c r="BD36">
        <f>IF(OR(BD$4="",$A36&gt;TODAY()),0,IF(OR(INDEX($B36:$D36,BD$5)="F",AND(BD$6&gt;0,$A36&lt;BD$6),AND(BD$7&gt;0,$A36&gt;BD$7)),0,MAX(0,ROUND((INDEX($E36:$G36,BD$5)-SUMIFS(TF_Timer,TF_Tekniker,BD$4,TF_Dato,$A36))*2,0)/2)))</f>
        <v/>
      </c>
      <c r="BE36">
        <f>IF(OR(BE$4="",$A36&gt;TODAY()),0,IF(OR(INDEX($B36:$D36,BE$5)="F",AND(BE$6&gt;0,$A36&lt;BE$6),AND(BE$7&gt;0,$A36&gt;BE$7)),0,MAX(0,ROUND((INDEX($E36:$G36,BE$5)-SUMIFS(TF_Timer,TF_Tekniker,BE$4,TF_Dato,$A36))*2,0)/2)))</f>
        <v/>
      </c>
      <c r="BF36">
        <f>IF(OR(BF$4="",$A36&gt;TODAY()),0,IF(OR(INDEX($B36:$D36,BF$5)="F",AND(BF$6&gt;0,$A36&lt;BF$6),AND(BF$7&gt;0,$A36&gt;BF$7)),0,MAX(0,ROUND((INDEX($E36:$G36,BF$5)-SUMIFS(TF_Timer,TF_Tekniker,BF$4,TF_Dato,$A36))*2,0)/2)))</f>
        <v/>
      </c>
      <c r="BG36">
        <f>IF(OR(BG$4="",$A36&gt;TODAY()),0,IF(OR(INDEX($B36:$D36,BG$5)="F",AND(BG$6&gt;0,$A36&lt;BG$6),AND(BG$7&gt;0,$A36&gt;BG$7)),0,MAX(0,ROUND((INDEX($E36:$G36,BG$5)-SUMIFS(TF_Timer,TF_Tekniker,BG$4,TF_Dato,$A36))*2,0)/2)))</f>
        <v/>
      </c>
      <c r="BH36">
        <f>IF(OR(BH$4="",$A36&gt;TODAY()),0,IF(OR(INDEX($B36:$D36,BH$5)="F",AND(BH$6&gt;0,$A36&lt;BH$6),AND(BH$7&gt;0,$A36&gt;BH$7)),0,MAX(0,ROUND((INDEX($E36:$G36,BH$5)-SUMIFS(TF_Timer,TF_Tekniker,BH$4,TF_Dato,$A36))*2,0)/2)))</f>
        <v/>
      </c>
      <c r="BI36">
        <f>IF(OR(BI$4="",$A36&gt;TODAY()),0,IF(OR(INDEX($B36:$D36,BI$5)="F",AND(BI$6&gt;0,$A36&lt;BI$6),AND(BI$7&gt;0,$A36&gt;BI$7)),0,MAX(0,ROUND((INDEX($E36:$G36,BI$5)-SUMIFS(TF_Timer,TF_Tekniker,BI$4,TF_Dato,$A36))*2,0)/2)))</f>
        <v/>
      </c>
    </row>
    <row r="37">
      <c r="A37" s="64">
        <f>A36+1</f>
        <v/>
      </c>
      <c r="B37">
        <f>IF(MOD($A37-INDEX(SkiftStart,1),Syklus)&lt;DagK,"K",IF(MOD($A37-INDEX(SkiftStart,1),Syklus)&lt;DagK+DagH,"H",IF(MOD($A37-INDEX(SkiftStart,1),Syklus)&lt;DagK+DagH+DagD,"D","F")))</f>
        <v/>
      </c>
      <c r="C37">
        <f>IF(MOD($A37-INDEX(SkiftStart,2),Syklus)&lt;DagK,"K",IF(MOD($A37-INDEX(SkiftStart,2),Syklus)&lt;DagK+DagH,"H",IF(MOD($A37-INDEX(SkiftStart,2),Syklus)&lt;DagK+DagH+DagD,"D","F")))</f>
        <v/>
      </c>
      <c r="D37">
        <f>IF(MOD($A37-INDEX(SkiftStart,3),Syklus)&lt;DagK,"K",IF(MOD($A37-INDEX(SkiftStart,3),Syklus)&lt;DagK+DagH,"H",IF(MOD($A37-INDEX(SkiftStart,3),Syklus)&lt;DagK+DagH+DagD,"D","F")))</f>
        <v/>
      </c>
      <c r="E37">
        <f>IF(B37="F",0,IF(WEEKDAY($A37,2)=5,INDEX(TimerFr,MATCH(B37,FaseKode,0)),INDEX(TimerMT,MATCH(B37,FaseKode,0))))</f>
        <v/>
      </c>
      <c r="F37">
        <f>IF(C37="F",0,IF(WEEKDAY($A37,2)=5,INDEX(TimerFr,MATCH(C37,FaseKode,0)),INDEX(TimerMT,MATCH(C37,FaseKode,0))))</f>
        <v/>
      </c>
      <c r="G37">
        <f>IF(D37="F",0,IF(WEEKDAY($A37,2)=5,INDEX(TimerFr,MATCH(D37,FaseKode,0)),INDEX(TimerMT,MATCH(D37,FaseKode,0))))</f>
        <v/>
      </c>
      <c r="H37">
        <f>IF(OR(H$4="",$A37&gt;TODAY()),0,IF(OR(INDEX($B37:$D37,H$5)="F",AND(H$6&gt;0,$A37&lt;H$6),AND(H$7&gt;0,$A37&gt;H$7)),0,MAX(0,ROUND((INDEX($E37:$G37,H$5)-SUMIFS(TF_Timer,TF_Tekniker,H$4,TF_Dato,$A37))*2,0)/2)))</f>
        <v/>
      </c>
      <c r="I37">
        <f>IF(OR(I$4="",$A37&gt;TODAY()),0,IF(OR(INDEX($B37:$D37,I$5)="F",AND(I$6&gt;0,$A37&lt;I$6),AND(I$7&gt;0,$A37&gt;I$7)),0,MAX(0,ROUND((INDEX($E37:$G37,I$5)-SUMIFS(TF_Timer,TF_Tekniker,I$4,TF_Dato,$A37))*2,0)/2)))</f>
        <v/>
      </c>
      <c r="J37">
        <f>IF(OR(J$4="",$A37&gt;TODAY()),0,IF(OR(INDEX($B37:$D37,J$5)="F",AND(J$6&gt;0,$A37&lt;J$6),AND(J$7&gt;0,$A37&gt;J$7)),0,MAX(0,ROUND((INDEX($E37:$G37,J$5)-SUMIFS(TF_Timer,TF_Tekniker,J$4,TF_Dato,$A37))*2,0)/2)))</f>
        <v/>
      </c>
      <c r="K37">
        <f>IF(OR(K$4="",$A37&gt;TODAY()),0,IF(OR(INDEX($B37:$D37,K$5)="F",AND(K$6&gt;0,$A37&lt;K$6),AND(K$7&gt;0,$A37&gt;K$7)),0,MAX(0,ROUND((INDEX($E37:$G37,K$5)-SUMIFS(TF_Timer,TF_Tekniker,K$4,TF_Dato,$A37))*2,0)/2)))</f>
        <v/>
      </c>
      <c r="L37">
        <f>IF(OR(L$4="",$A37&gt;TODAY()),0,IF(OR(INDEX($B37:$D37,L$5)="F",AND(L$6&gt;0,$A37&lt;L$6),AND(L$7&gt;0,$A37&gt;L$7)),0,MAX(0,ROUND((INDEX($E37:$G37,L$5)-SUMIFS(TF_Timer,TF_Tekniker,L$4,TF_Dato,$A37))*2,0)/2)))</f>
        <v/>
      </c>
      <c r="M37">
        <f>IF(OR(M$4="",$A37&gt;TODAY()),0,IF(OR(INDEX($B37:$D37,M$5)="F",AND(M$6&gt;0,$A37&lt;M$6),AND(M$7&gt;0,$A37&gt;M$7)),0,MAX(0,ROUND((INDEX($E37:$G37,M$5)-SUMIFS(TF_Timer,TF_Tekniker,M$4,TF_Dato,$A37))*2,0)/2)))</f>
        <v/>
      </c>
      <c r="N37">
        <f>IF(OR(N$4="",$A37&gt;TODAY()),0,IF(OR(INDEX($B37:$D37,N$5)="F",AND(N$6&gt;0,$A37&lt;N$6),AND(N$7&gt;0,$A37&gt;N$7)),0,MAX(0,ROUND((INDEX($E37:$G37,N$5)-SUMIFS(TF_Timer,TF_Tekniker,N$4,TF_Dato,$A37))*2,0)/2)))</f>
        <v/>
      </c>
      <c r="O37">
        <f>IF(OR(O$4="",$A37&gt;TODAY()),0,IF(OR(INDEX($B37:$D37,O$5)="F",AND(O$6&gt;0,$A37&lt;O$6),AND(O$7&gt;0,$A37&gt;O$7)),0,MAX(0,ROUND((INDEX($E37:$G37,O$5)-SUMIFS(TF_Timer,TF_Tekniker,O$4,TF_Dato,$A37))*2,0)/2)))</f>
        <v/>
      </c>
      <c r="P37">
        <f>IF(OR(P$4="",$A37&gt;TODAY()),0,IF(OR(INDEX($B37:$D37,P$5)="F",AND(P$6&gt;0,$A37&lt;P$6),AND(P$7&gt;0,$A37&gt;P$7)),0,MAX(0,ROUND((INDEX($E37:$G37,P$5)-SUMIFS(TF_Timer,TF_Tekniker,P$4,TF_Dato,$A37))*2,0)/2)))</f>
        <v/>
      </c>
      <c r="Q37">
        <f>IF(OR(Q$4="",$A37&gt;TODAY()),0,IF(OR(INDEX($B37:$D37,Q$5)="F",AND(Q$6&gt;0,$A37&lt;Q$6),AND(Q$7&gt;0,$A37&gt;Q$7)),0,MAX(0,ROUND((INDEX($E37:$G37,Q$5)-SUMIFS(TF_Timer,TF_Tekniker,Q$4,TF_Dato,$A37))*2,0)/2)))</f>
        <v/>
      </c>
      <c r="R37">
        <f>IF(OR(R$4="",$A37&gt;TODAY()),0,IF(OR(INDEX($B37:$D37,R$5)="F",AND(R$6&gt;0,$A37&lt;R$6),AND(R$7&gt;0,$A37&gt;R$7)),0,MAX(0,ROUND((INDEX($E37:$G37,R$5)-SUMIFS(TF_Timer,TF_Tekniker,R$4,TF_Dato,$A37))*2,0)/2)))</f>
        <v/>
      </c>
      <c r="S37">
        <f>IF(OR(S$4="",$A37&gt;TODAY()),0,IF(OR(INDEX($B37:$D37,S$5)="F",AND(S$6&gt;0,$A37&lt;S$6),AND(S$7&gt;0,$A37&gt;S$7)),0,MAX(0,ROUND((INDEX($E37:$G37,S$5)-SUMIFS(TF_Timer,TF_Tekniker,S$4,TF_Dato,$A37))*2,0)/2)))</f>
        <v/>
      </c>
      <c r="T37">
        <f>IF(OR(T$4="",$A37&gt;TODAY()),0,IF(OR(INDEX($B37:$D37,T$5)="F",AND(T$6&gt;0,$A37&lt;T$6),AND(T$7&gt;0,$A37&gt;T$7)),0,MAX(0,ROUND((INDEX($E37:$G37,T$5)-SUMIFS(TF_Timer,TF_Tekniker,T$4,TF_Dato,$A37))*2,0)/2)))</f>
        <v/>
      </c>
      <c r="U37">
        <f>IF(OR(U$4="",$A37&gt;TODAY()),0,IF(OR(INDEX($B37:$D37,U$5)="F",AND(U$6&gt;0,$A37&lt;U$6),AND(U$7&gt;0,$A37&gt;U$7)),0,MAX(0,ROUND((INDEX($E37:$G37,U$5)-SUMIFS(TF_Timer,TF_Tekniker,U$4,TF_Dato,$A37))*2,0)/2)))</f>
        <v/>
      </c>
      <c r="V37">
        <f>IF(OR(V$4="",$A37&gt;TODAY()),0,IF(OR(INDEX($B37:$D37,V$5)="F",AND(V$6&gt;0,$A37&lt;V$6),AND(V$7&gt;0,$A37&gt;V$7)),0,MAX(0,ROUND((INDEX($E37:$G37,V$5)-SUMIFS(TF_Timer,TF_Tekniker,V$4,TF_Dato,$A37))*2,0)/2)))</f>
        <v/>
      </c>
      <c r="W37">
        <f>IF(OR(W$4="",$A37&gt;TODAY()),0,IF(OR(INDEX($B37:$D37,W$5)="F",AND(W$6&gt;0,$A37&lt;W$6),AND(W$7&gt;0,$A37&gt;W$7)),0,MAX(0,ROUND((INDEX($E37:$G37,W$5)-SUMIFS(TF_Timer,TF_Tekniker,W$4,TF_Dato,$A37))*2,0)/2)))</f>
        <v/>
      </c>
      <c r="X37">
        <f>IF(OR(X$4="",$A37&gt;TODAY()),0,IF(OR(INDEX($B37:$D37,X$5)="F",AND(X$6&gt;0,$A37&lt;X$6),AND(X$7&gt;0,$A37&gt;X$7)),0,MAX(0,ROUND((INDEX($E37:$G37,X$5)-SUMIFS(TF_Timer,TF_Tekniker,X$4,TF_Dato,$A37))*2,0)/2)))</f>
        <v/>
      </c>
      <c r="Y37">
        <f>IF(OR(Y$4="",$A37&gt;TODAY()),0,IF(OR(INDEX($B37:$D37,Y$5)="F",AND(Y$6&gt;0,$A37&lt;Y$6),AND(Y$7&gt;0,$A37&gt;Y$7)),0,MAX(0,ROUND((INDEX($E37:$G37,Y$5)-SUMIFS(TF_Timer,TF_Tekniker,Y$4,TF_Dato,$A37))*2,0)/2)))</f>
        <v/>
      </c>
      <c r="Z37">
        <f>IF(OR(Z$4="",$A37&gt;TODAY()),0,IF(OR(INDEX($B37:$D37,Z$5)="F",AND(Z$6&gt;0,$A37&lt;Z$6),AND(Z$7&gt;0,$A37&gt;Z$7)),0,MAX(0,ROUND((INDEX($E37:$G37,Z$5)-SUMIFS(TF_Timer,TF_Tekniker,Z$4,TF_Dato,$A37))*2,0)/2)))</f>
        <v/>
      </c>
      <c r="AA37">
        <f>IF(OR(AA$4="",$A37&gt;TODAY()),0,IF(OR(INDEX($B37:$D37,AA$5)="F",AND(AA$6&gt;0,$A37&lt;AA$6),AND(AA$7&gt;0,$A37&gt;AA$7)),0,MAX(0,ROUND((INDEX($E37:$G37,AA$5)-SUMIFS(TF_Timer,TF_Tekniker,AA$4,TF_Dato,$A37))*2,0)/2)))</f>
        <v/>
      </c>
      <c r="AB37">
        <f>IF(OR(AB$4="",$A37&gt;TODAY()),0,IF(OR(INDEX($B37:$D37,AB$5)="F",AND(AB$6&gt;0,$A37&lt;AB$6),AND(AB$7&gt;0,$A37&gt;AB$7)),0,MAX(0,ROUND((INDEX($E37:$G37,AB$5)-SUMIFS(TF_Timer,TF_Tekniker,AB$4,TF_Dato,$A37))*2,0)/2)))</f>
        <v/>
      </c>
      <c r="AC37">
        <f>IF(OR(AC$4="",$A37&gt;TODAY()),0,IF(OR(INDEX($B37:$D37,AC$5)="F",AND(AC$6&gt;0,$A37&lt;AC$6),AND(AC$7&gt;0,$A37&gt;AC$7)),0,MAX(0,ROUND((INDEX($E37:$G37,AC$5)-SUMIFS(TF_Timer,TF_Tekniker,AC$4,TF_Dato,$A37))*2,0)/2)))</f>
        <v/>
      </c>
      <c r="AD37">
        <f>IF(OR(AD$4="",$A37&gt;TODAY()),0,IF(OR(INDEX($B37:$D37,AD$5)="F",AND(AD$6&gt;0,$A37&lt;AD$6),AND(AD$7&gt;0,$A37&gt;AD$7)),0,MAX(0,ROUND((INDEX($E37:$G37,AD$5)-SUMIFS(TF_Timer,TF_Tekniker,AD$4,TF_Dato,$A37))*2,0)/2)))</f>
        <v/>
      </c>
      <c r="AE37">
        <f>IF(OR(AE$4="",$A37&gt;TODAY()),0,IF(OR(INDEX($B37:$D37,AE$5)="F",AND(AE$6&gt;0,$A37&lt;AE$6),AND(AE$7&gt;0,$A37&gt;AE$7)),0,MAX(0,ROUND((INDEX($E37:$G37,AE$5)-SUMIFS(TF_Timer,TF_Tekniker,AE$4,TF_Dato,$A37))*2,0)/2)))</f>
        <v/>
      </c>
      <c r="AF37">
        <f>IF(OR(AF$4="",$A37&gt;TODAY()),0,IF(OR(INDEX($B37:$D37,AF$5)="F",AND(AF$6&gt;0,$A37&lt;AF$6),AND(AF$7&gt;0,$A37&gt;AF$7)),0,MAX(0,ROUND((INDEX($E37:$G37,AF$5)-SUMIFS(TF_Timer,TF_Tekniker,AF$4,TF_Dato,$A37))*2,0)/2)))</f>
        <v/>
      </c>
      <c r="AG37">
        <f>IF(OR(AG$4="",$A37&gt;TODAY()),0,IF(OR(INDEX($B37:$D37,AG$5)="F",AND(AG$6&gt;0,$A37&lt;AG$6),AND(AG$7&gt;0,$A37&gt;AG$7)),0,MAX(0,ROUND((INDEX($E37:$G37,AG$5)-SUMIFS(TF_Timer,TF_Tekniker,AG$4,TF_Dato,$A37))*2,0)/2)))</f>
        <v/>
      </c>
      <c r="AH37">
        <f>IF(OR(AH$4="",$A37&gt;TODAY()),0,IF(OR(INDEX($B37:$D37,AH$5)="F",AND(AH$6&gt;0,$A37&lt;AH$6),AND(AH$7&gt;0,$A37&gt;AH$7)),0,MAX(0,ROUND((INDEX($E37:$G37,AH$5)-SUMIFS(TF_Timer,TF_Tekniker,AH$4,TF_Dato,$A37))*2,0)/2)))</f>
        <v/>
      </c>
      <c r="AI37">
        <f>IF(OR(AI$4="",$A37&gt;TODAY()),0,IF(OR(INDEX($B37:$D37,AI$5)="F",AND(AI$6&gt;0,$A37&lt;AI$6),AND(AI$7&gt;0,$A37&gt;AI$7)),0,MAX(0,ROUND((INDEX($E37:$G37,AI$5)-SUMIFS(TF_Timer,TF_Tekniker,AI$4,TF_Dato,$A37))*2,0)/2)))</f>
        <v/>
      </c>
      <c r="AJ37">
        <f>IF(OR(AJ$4="",$A37&gt;TODAY()),0,IF(OR(INDEX($B37:$D37,AJ$5)="F",AND(AJ$6&gt;0,$A37&lt;AJ$6),AND(AJ$7&gt;0,$A37&gt;AJ$7)),0,MAX(0,ROUND((INDEX($E37:$G37,AJ$5)-SUMIFS(TF_Timer,TF_Tekniker,AJ$4,TF_Dato,$A37))*2,0)/2)))</f>
        <v/>
      </c>
      <c r="AK37">
        <f>IF(OR(AK$4="",$A37&gt;TODAY()),0,IF(OR(INDEX($B37:$D37,AK$5)="F",AND(AK$6&gt;0,$A37&lt;AK$6),AND(AK$7&gt;0,$A37&gt;AK$7)),0,MAX(0,ROUND((INDEX($E37:$G37,AK$5)-SUMIFS(TF_Timer,TF_Tekniker,AK$4,TF_Dato,$A37))*2,0)/2)))</f>
        <v/>
      </c>
      <c r="AL37">
        <f>IF(OR(AL$4="",$A37&gt;TODAY()),0,IF(OR(INDEX($B37:$D37,AL$5)="F",AND(AL$6&gt;0,$A37&lt;AL$6),AND(AL$7&gt;0,$A37&gt;AL$7)),0,MAX(0,ROUND((INDEX($E37:$G37,AL$5)-SUMIFS(TF_Timer,TF_Tekniker,AL$4,TF_Dato,$A37))*2,0)/2)))</f>
        <v/>
      </c>
      <c r="AM37">
        <f>IF(OR(AM$4="",$A37&gt;TODAY()),0,IF(OR(INDEX($B37:$D37,AM$5)="F",AND(AM$6&gt;0,$A37&lt;AM$6),AND(AM$7&gt;0,$A37&gt;AM$7)),0,MAX(0,ROUND((INDEX($E37:$G37,AM$5)-SUMIFS(TF_Timer,TF_Tekniker,AM$4,TF_Dato,$A37))*2,0)/2)))</f>
        <v/>
      </c>
      <c r="AN37">
        <f>IF(OR(AN$4="",$A37&gt;TODAY()),0,IF(OR(INDEX($B37:$D37,AN$5)="F",AND(AN$6&gt;0,$A37&lt;AN$6),AND(AN$7&gt;0,$A37&gt;AN$7)),0,MAX(0,ROUND((INDEX($E37:$G37,AN$5)-SUMIFS(TF_Timer,TF_Tekniker,AN$4,TF_Dato,$A37))*2,0)/2)))</f>
        <v/>
      </c>
      <c r="AO37">
        <f>IF(OR(AO$4="",$A37&gt;TODAY()),0,IF(OR(INDEX($B37:$D37,AO$5)="F",AND(AO$6&gt;0,$A37&lt;AO$6),AND(AO$7&gt;0,$A37&gt;AO$7)),0,MAX(0,ROUND((INDEX($E37:$G37,AO$5)-SUMIFS(TF_Timer,TF_Tekniker,AO$4,TF_Dato,$A37))*2,0)/2)))</f>
        <v/>
      </c>
      <c r="AP37">
        <f>IF(OR(AP$4="",$A37&gt;TODAY()),0,IF(OR(INDEX($B37:$D37,AP$5)="F",AND(AP$6&gt;0,$A37&lt;AP$6),AND(AP$7&gt;0,$A37&gt;AP$7)),0,MAX(0,ROUND((INDEX($E37:$G37,AP$5)-SUMIFS(TF_Timer,TF_Tekniker,AP$4,TF_Dato,$A37))*2,0)/2)))</f>
        <v/>
      </c>
      <c r="AQ37">
        <f>IF(OR(AQ$4="",$A37&gt;TODAY()),0,IF(OR(INDEX($B37:$D37,AQ$5)="F",AND(AQ$6&gt;0,$A37&lt;AQ$6),AND(AQ$7&gt;0,$A37&gt;AQ$7)),0,MAX(0,ROUND((INDEX($E37:$G37,AQ$5)-SUMIFS(TF_Timer,TF_Tekniker,AQ$4,TF_Dato,$A37))*2,0)/2)))</f>
        <v/>
      </c>
      <c r="AR37">
        <f>IF(OR(AR$4="",$A37&gt;TODAY()),0,IF(OR(INDEX($B37:$D37,AR$5)="F",AND(AR$6&gt;0,$A37&lt;AR$6),AND(AR$7&gt;0,$A37&gt;AR$7)),0,MAX(0,ROUND((INDEX($E37:$G37,AR$5)-SUMIFS(TF_Timer,TF_Tekniker,AR$4,TF_Dato,$A37))*2,0)/2)))</f>
        <v/>
      </c>
      <c r="AS37">
        <f>IF(OR(AS$4="",$A37&gt;TODAY()),0,IF(OR(INDEX($B37:$D37,AS$5)="F",AND(AS$6&gt;0,$A37&lt;AS$6),AND(AS$7&gt;0,$A37&gt;AS$7)),0,MAX(0,ROUND((INDEX($E37:$G37,AS$5)-SUMIFS(TF_Timer,TF_Tekniker,AS$4,TF_Dato,$A37))*2,0)/2)))</f>
        <v/>
      </c>
      <c r="AT37">
        <f>IF(OR(AT$4="",$A37&gt;TODAY()),0,IF(OR(INDEX($B37:$D37,AT$5)="F",AND(AT$6&gt;0,$A37&lt;AT$6),AND(AT$7&gt;0,$A37&gt;AT$7)),0,MAX(0,ROUND((INDEX($E37:$G37,AT$5)-SUMIFS(TF_Timer,TF_Tekniker,AT$4,TF_Dato,$A37))*2,0)/2)))</f>
        <v/>
      </c>
      <c r="AU37">
        <f>IF(OR(AU$4="",$A37&gt;TODAY()),0,IF(OR(INDEX($B37:$D37,AU$5)="F",AND(AU$6&gt;0,$A37&lt;AU$6),AND(AU$7&gt;0,$A37&gt;AU$7)),0,MAX(0,ROUND((INDEX($E37:$G37,AU$5)-SUMIFS(TF_Timer,TF_Tekniker,AU$4,TF_Dato,$A37))*2,0)/2)))</f>
        <v/>
      </c>
      <c r="AV37">
        <f>IF(OR(AV$4="",$A37&gt;TODAY()),0,IF(OR(INDEX($B37:$D37,AV$5)="F",AND(AV$6&gt;0,$A37&lt;AV$6),AND(AV$7&gt;0,$A37&gt;AV$7)),0,MAX(0,ROUND((INDEX($E37:$G37,AV$5)-SUMIFS(TF_Timer,TF_Tekniker,AV$4,TF_Dato,$A37))*2,0)/2)))</f>
        <v/>
      </c>
      <c r="AW37">
        <f>IF(OR(AW$4="",$A37&gt;TODAY()),0,IF(OR(INDEX($B37:$D37,AW$5)="F",AND(AW$6&gt;0,$A37&lt;AW$6),AND(AW$7&gt;0,$A37&gt;AW$7)),0,MAX(0,ROUND((INDEX($E37:$G37,AW$5)-SUMIFS(TF_Timer,TF_Tekniker,AW$4,TF_Dato,$A37))*2,0)/2)))</f>
        <v/>
      </c>
      <c r="AX37">
        <f>IF(OR(AX$4="",$A37&gt;TODAY()),0,IF(OR(INDEX($B37:$D37,AX$5)="F",AND(AX$6&gt;0,$A37&lt;AX$6),AND(AX$7&gt;0,$A37&gt;AX$7)),0,MAX(0,ROUND((INDEX($E37:$G37,AX$5)-SUMIFS(TF_Timer,TF_Tekniker,AX$4,TF_Dato,$A37))*2,0)/2)))</f>
        <v/>
      </c>
      <c r="AY37">
        <f>IF(OR(AY$4="",$A37&gt;TODAY()),0,IF(OR(INDEX($B37:$D37,AY$5)="F",AND(AY$6&gt;0,$A37&lt;AY$6),AND(AY$7&gt;0,$A37&gt;AY$7)),0,MAX(0,ROUND((INDEX($E37:$G37,AY$5)-SUMIFS(TF_Timer,TF_Tekniker,AY$4,TF_Dato,$A37))*2,0)/2)))</f>
        <v/>
      </c>
      <c r="AZ37">
        <f>IF(OR(AZ$4="",$A37&gt;TODAY()),0,IF(OR(INDEX($B37:$D37,AZ$5)="F",AND(AZ$6&gt;0,$A37&lt;AZ$6),AND(AZ$7&gt;0,$A37&gt;AZ$7)),0,MAX(0,ROUND((INDEX($E37:$G37,AZ$5)-SUMIFS(TF_Timer,TF_Tekniker,AZ$4,TF_Dato,$A37))*2,0)/2)))</f>
        <v/>
      </c>
      <c r="BA37">
        <f>IF(OR(BA$4="",$A37&gt;TODAY()),0,IF(OR(INDEX($B37:$D37,BA$5)="F",AND(BA$6&gt;0,$A37&lt;BA$6),AND(BA$7&gt;0,$A37&gt;BA$7)),0,MAX(0,ROUND((INDEX($E37:$G37,BA$5)-SUMIFS(TF_Timer,TF_Tekniker,BA$4,TF_Dato,$A37))*2,0)/2)))</f>
        <v/>
      </c>
      <c r="BB37">
        <f>IF(OR(BB$4="",$A37&gt;TODAY()),0,IF(OR(INDEX($B37:$D37,BB$5)="F",AND(BB$6&gt;0,$A37&lt;BB$6),AND(BB$7&gt;0,$A37&gt;BB$7)),0,MAX(0,ROUND((INDEX($E37:$G37,BB$5)-SUMIFS(TF_Timer,TF_Tekniker,BB$4,TF_Dato,$A37))*2,0)/2)))</f>
        <v/>
      </c>
      <c r="BC37">
        <f>IF(OR(BC$4="",$A37&gt;TODAY()),0,IF(OR(INDEX($B37:$D37,BC$5)="F",AND(BC$6&gt;0,$A37&lt;BC$6),AND(BC$7&gt;0,$A37&gt;BC$7)),0,MAX(0,ROUND((INDEX($E37:$G37,BC$5)-SUMIFS(TF_Timer,TF_Tekniker,BC$4,TF_Dato,$A37))*2,0)/2)))</f>
        <v/>
      </c>
      <c r="BD37">
        <f>IF(OR(BD$4="",$A37&gt;TODAY()),0,IF(OR(INDEX($B37:$D37,BD$5)="F",AND(BD$6&gt;0,$A37&lt;BD$6),AND(BD$7&gt;0,$A37&gt;BD$7)),0,MAX(0,ROUND((INDEX($E37:$G37,BD$5)-SUMIFS(TF_Timer,TF_Tekniker,BD$4,TF_Dato,$A37))*2,0)/2)))</f>
        <v/>
      </c>
      <c r="BE37">
        <f>IF(OR(BE$4="",$A37&gt;TODAY()),0,IF(OR(INDEX($B37:$D37,BE$5)="F",AND(BE$6&gt;0,$A37&lt;BE$6),AND(BE$7&gt;0,$A37&gt;BE$7)),0,MAX(0,ROUND((INDEX($E37:$G37,BE$5)-SUMIFS(TF_Timer,TF_Tekniker,BE$4,TF_Dato,$A37))*2,0)/2)))</f>
        <v/>
      </c>
      <c r="BF37">
        <f>IF(OR(BF$4="",$A37&gt;TODAY()),0,IF(OR(INDEX($B37:$D37,BF$5)="F",AND(BF$6&gt;0,$A37&lt;BF$6),AND(BF$7&gt;0,$A37&gt;BF$7)),0,MAX(0,ROUND((INDEX($E37:$G37,BF$5)-SUMIFS(TF_Timer,TF_Tekniker,BF$4,TF_Dato,$A37))*2,0)/2)))</f>
        <v/>
      </c>
      <c r="BG37">
        <f>IF(OR(BG$4="",$A37&gt;TODAY()),0,IF(OR(INDEX($B37:$D37,BG$5)="F",AND(BG$6&gt;0,$A37&lt;BG$6),AND(BG$7&gt;0,$A37&gt;BG$7)),0,MAX(0,ROUND((INDEX($E37:$G37,BG$5)-SUMIFS(TF_Timer,TF_Tekniker,BG$4,TF_Dato,$A37))*2,0)/2)))</f>
        <v/>
      </c>
      <c r="BH37">
        <f>IF(OR(BH$4="",$A37&gt;TODAY()),0,IF(OR(INDEX($B37:$D37,BH$5)="F",AND(BH$6&gt;0,$A37&lt;BH$6),AND(BH$7&gt;0,$A37&gt;BH$7)),0,MAX(0,ROUND((INDEX($E37:$G37,BH$5)-SUMIFS(TF_Timer,TF_Tekniker,BH$4,TF_Dato,$A37))*2,0)/2)))</f>
        <v/>
      </c>
      <c r="BI37">
        <f>IF(OR(BI$4="",$A37&gt;TODAY()),0,IF(OR(INDEX($B37:$D37,BI$5)="F",AND(BI$6&gt;0,$A37&lt;BI$6),AND(BI$7&gt;0,$A37&gt;BI$7)),0,MAX(0,ROUND((INDEX($E37:$G37,BI$5)-SUMIFS(TF_Timer,TF_Tekniker,BI$4,TF_Dato,$A37))*2,0)/2)))</f>
        <v/>
      </c>
    </row>
    <row r="38">
      <c r="A38" s="64">
        <f>A37+1</f>
        <v/>
      </c>
      <c r="B38">
        <f>IF(MOD($A38-INDEX(SkiftStart,1),Syklus)&lt;DagK,"K",IF(MOD($A38-INDEX(SkiftStart,1),Syklus)&lt;DagK+DagH,"H",IF(MOD($A38-INDEX(SkiftStart,1),Syklus)&lt;DagK+DagH+DagD,"D","F")))</f>
        <v/>
      </c>
      <c r="C38">
        <f>IF(MOD($A38-INDEX(SkiftStart,2),Syklus)&lt;DagK,"K",IF(MOD($A38-INDEX(SkiftStart,2),Syklus)&lt;DagK+DagH,"H",IF(MOD($A38-INDEX(SkiftStart,2),Syklus)&lt;DagK+DagH+DagD,"D","F")))</f>
        <v/>
      </c>
      <c r="D38">
        <f>IF(MOD($A38-INDEX(SkiftStart,3),Syklus)&lt;DagK,"K",IF(MOD($A38-INDEX(SkiftStart,3),Syklus)&lt;DagK+DagH,"H",IF(MOD($A38-INDEX(SkiftStart,3),Syklus)&lt;DagK+DagH+DagD,"D","F")))</f>
        <v/>
      </c>
      <c r="E38">
        <f>IF(B38="F",0,IF(WEEKDAY($A38,2)=5,INDEX(TimerFr,MATCH(B38,FaseKode,0)),INDEX(TimerMT,MATCH(B38,FaseKode,0))))</f>
        <v/>
      </c>
      <c r="F38">
        <f>IF(C38="F",0,IF(WEEKDAY($A38,2)=5,INDEX(TimerFr,MATCH(C38,FaseKode,0)),INDEX(TimerMT,MATCH(C38,FaseKode,0))))</f>
        <v/>
      </c>
      <c r="G38">
        <f>IF(D38="F",0,IF(WEEKDAY($A38,2)=5,INDEX(TimerFr,MATCH(D38,FaseKode,0)),INDEX(TimerMT,MATCH(D38,FaseKode,0))))</f>
        <v/>
      </c>
      <c r="H38">
        <f>IF(OR(H$4="",$A38&gt;TODAY()),0,IF(OR(INDEX($B38:$D38,H$5)="F",AND(H$6&gt;0,$A38&lt;H$6),AND(H$7&gt;0,$A38&gt;H$7)),0,MAX(0,ROUND((INDEX($E38:$G38,H$5)-SUMIFS(TF_Timer,TF_Tekniker,H$4,TF_Dato,$A38))*2,0)/2)))</f>
        <v/>
      </c>
      <c r="I38">
        <f>IF(OR(I$4="",$A38&gt;TODAY()),0,IF(OR(INDEX($B38:$D38,I$5)="F",AND(I$6&gt;0,$A38&lt;I$6),AND(I$7&gt;0,$A38&gt;I$7)),0,MAX(0,ROUND((INDEX($E38:$G38,I$5)-SUMIFS(TF_Timer,TF_Tekniker,I$4,TF_Dato,$A38))*2,0)/2)))</f>
        <v/>
      </c>
      <c r="J38">
        <f>IF(OR(J$4="",$A38&gt;TODAY()),0,IF(OR(INDEX($B38:$D38,J$5)="F",AND(J$6&gt;0,$A38&lt;J$6),AND(J$7&gt;0,$A38&gt;J$7)),0,MAX(0,ROUND((INDEX($E38:$G38,J$5)-SUMIFS(TF_Timer,TF_Tekniker,J$4,TF_Dato,$A38))*2,0)/2)))</f>
        <v/>
      </c>
      <c r="K38">
        <f>IF(OR(K$4="",$A38&gt;TODAY()),0,IF(OR(INDEX($B38:$D38,K$5)="F",AND(K$6&gt;0,$A38&lt;K$6),AND(K$7&gt;0,$A38&gt;K$7)),0,MAX(0,ROUND((INDEX($E38:$G38,K$5)-SUMIFS(TF_Timer,TF_Tekniker,K$4,TF_Dato,$A38))*2,0)/2)))</f>
        <v/>
      </c>
      <c r="L38">
        <f>IF(OR(L$4="",$A38&gt;TODAY()),0,IF(OR(INDEX($B38:$D38,L$5)="F",AND(L$6&gt;0,$A38&lt;L$6),AND(L$7&gt;0,$A38&gt;L$7)),0,MAX(0,ROUND((INDEX($E38:$G38,L$5)-SUMIFS(TF_Timer,TF_Tekniker,L$4,TF_Dato,$A38))*2,0)/2)))</f>
        <v/>
      </c>
      <c r="M38">
        <f>IF(OR(M$4="",$A38&gt;TODAY()),0,IF(OR(INDEX($B38:$D38,M$5)="F",AND(M$6&gt;0,$A38&lt;M$6),AND(M$7&gt;0,$A38&gt;M$7)),0,MAX(0,ROUND((INDEX($E38:$G38,M$5)-SUMIFS(TF_Timer,TF_Tekniker,M$4,TF_Dato,$A38))*2,0)/2)))</f>
        <v/>
      </c>
      <c r="N38">
        <f>IF(OR(N$4="",$A38&gt;TODAY()),0,IF(OR(INDEX($B38:$D38,N$5)="F",AND(N$6&gt;0,$A38&lt;N$6),AND(N$7&gt;0,$A38&gt;N$7)),0,MAX(0,ROUND((INDEX($E38:$G38,N$5)-SUMIFS(TF_Timer,TF_Tekniker,N$4,TF_Dato,$A38))*2,0)/2)))</f>
        <v/>
      </c>
      <c r="O38">
        <f>IF(OR(O$4="",$A38&gt;TODAY()),0,IF(OR(INDEX($B38:$D38,O$5)="F",AND(O$6&gt;0,$A38&lt;O$6),AND(O$7&gt;0,$A38&gt;O$7)),0,MAX(0,ROUND((INDEX($E38:$G38,O$5)-SUMIFS(TF_Timer,TF_Tekniker,O$4,TF_Dato,$A38))*2,0)/2)))</f>
        <v/>
      </c>
      <c r="P38">
        <f>IF(OR(P$4="",$A38&gt;TODAY()),0,IF(OR(INDEX($B38:$D38,P$5)="F",AND(P$6&gt;0,$A38&lt;P$6),AND(P$7&gt;0,$A38&gt;P$7)),0,MAX(0,ROUND((INDEX($E38:$G38,P$5)-SUMIFS(TF_Timer,TF_Tekniker,P$4,TF_Dato,$A38))*2,0)/2)))</f>
        <v/>
      </c>
      <c r="Q38">
        <f>IF(OR(Q$4="",$A38&gt;TODAY()),0,IF(OR(INDEX($B38:$D38,Q$5)="F",AND(Q$6&gt;0,$A38&lt;Q$6),AND(Q$7&gt;0,$A38&gt;Q$7)),0,MAX(0,ROUND((INDEX($E38:$G38,Q$5)-SUMIFS(TF_Timer,TF_Tekniker,Q$4,TF_Dato,$A38))*2,0)/2)))</f>
        <v/>
      </c>
      <c r="R38">
        <f>IF(OR(R$4="",$A38&gt;TODAY()),0,IF(OR(INDEX($B38:$D38,R$5)="F",AND(R$6&gt;0,$A38&lt;R$6),AND(R$7&gt;0,$A38&gt;R$7)),0,MAX(0,ROUND((INDEX($E38:$G38,R$5)-SUMIFS(TF_Timer,TF_Tekniker,R$4,TF_Dato,$A38))*2,0)/2)))</f>
        <v/>
      </c>
      <c r="S38">
        <f>IF(OR(S$4="",$A38&gt;TODAY()),0,IF(OR(INDEX($B38:$D38,S$5)="F",AND(S$6&gt;0,$A38&lt;S$6),AND(S$7&gt;0,$A38&gt;S$7)),0,MAX(0,ROUND((INDEX($E38:$G38,S$5)-SUMIFS(TF_Timer,TF_Tekniker,S$4,TF_Dato,$A38))*2,0)/2)))</f>
        <v/>
      </c>
      <c r="T38">
        <f>IF(OR(T$4="",$A38&gt;TODAY()),0,IF(OR(INDEX($B38:$D38,T$5)="F",AND(T$6&gt;0,$A38&lt;T$6),AND(T$7&gt;0,$A38&gt;T$7)),0,MAX(0,ROUND((INDEX($E38:$G38,T$5)-SUMIFS(TF_Timer,TF_Tekniker,T$4,TF_Dato,$A38))*2,0)/2)))</f>
        <v/>
      </c>
      <c r="U38">
        <f>IF(OR(U$4="",$A38&gt;TODAY()),0,IF(OR(INDEX($B38:$D38,U$5)="F",AND(U$6&gt;0,$A38&lt;U$6),AND(U$7&gt;0,$A38&gt;U$7)),0,MAX(0,ROUND((INDEX($E38:$G38,U$5)-SUMIFS(TF_Timer,TF_Tekniker,U$4,TF_Dato,$A38))*2,0)/2)))</f>
        <v/>
      </c>
      <c r="V38">
        <f>IF(OR(V$4="",$A38&gt;TODAY()),0,IF(OR(INDEX($B38:$D38,V$5)="F",AND(V$6&gt;0,$A38&lt;V$6),AND(V$7&gt;0,$A38&gt;V$7)),0,MAX(0,ROUND((INDEX($E38:$G38,V$5)-SUMIFS(TF_Timer,TF_Tekniker,V$4,TF_Dato,$A38))*2,0)/2)))</f>
        <v/>
      </c>
      <c r="W38">
        <f>IF(OR(W$4="",$A38&gt;TODAY()),0,IF(OR(INDEX($B38:$D38,W$5)="F",AND(W$6&gt;0,$A38&lt;W$6),AND(W$7&gt;0,$A38&gt;W$7)),0,MAX(0,ROUND((INDEX($E38:$G38,W$5)-SUMIFS(TF_Timer,TF_Tekniker,W$4,TF_Dato,$A38))*2,0)/2)))</f>
        <v/>
      </c>
      <c r="X38">
        <f>IF(OR(X$4="",$A38&gt;TODAY()),0,IF(OR(INDEX($B38:$D38,X$5)="F",AND(X$6&gt;0,$A38&lt;X$6),AND(X$7&gt;0,$A38&gt;X$7)),0,MAX(0,ROUND((INDEX($E38:$G38,X$5)-SUMIFS(TF_Timer,TF_Tekniker,X$4,TF_Dato,$A38))*2,0)/2)))</f>
        <v/>
      </c>
      <c r="Y38">
        <f>IF(OR(Y$4="",$A38&gt;TODAY()),0,IF(OR(INDEX($B38:$D38,Y$5)="F",AND(Y$6&gt;0,$A38&lt;Y$6),AND(Y$7&gt;0,$A38&gt;Y$7)),0,MAX(0,ROUND((INDEX($E38:$G38,Y$5)-SUMIFS(TF_Timer,TF_Tekniker,Y$4,TF_Dato,$A38))*2,0)/2)))</f>
        <v/>
      </c>
      <c r="Z38">
        <f>IF(OR(Z$4="",$A38&gt;TODAY()),0,IF(OR(INDEX($B38:$D38,Z$5)="F",AND(Z$6&gt;0,$A38&lt;Z$6),AND(Z$7&gt;0,$A38&gt;Z$7)),0,MAX(0,ROUND((INDEX($E38:$G38,Z$5)-SUMIFS(TF_Timer,TF_Tekniker,Z$4,TF_Dato,$A38))*2,0)/2)))</f>
        <v/>
      </c>
      <c r="AA38">
        <f>IF(OR(AA$4="",$A38&gt;TODAY()),0,IF(OR(INDEX($B38:$D38,AA$5)="F",AND(AA$6&gt;0,$A38&lt;AA$6),AND(AA$7&gt;0,$A38&gt;AA$7)),0,MAX(0,ROUND((INDEX($E38:$G38,AA$5)-SUMIFS(TF_Timer,TF_Tekniker,AA$4,TF_Dato,$A38))*2,0)/2)))</f>
        <v/>
      </c>
      <c r="AB38">
        <f>IF(OR(AB$4="",$A38&gt;TODAY()),0,IF(OR(INDEX($B38:$D38,AB$5)="F",AND(AB$6&gt;0,$A38&lt;AB$6),AND(AB$7&gt;0,$A38&gt;AB$7)),0,MAX(0,ROUND((INDEX($E38:$G38,AB$5)-SUMIFS(TF_Timer,TF_Tekniker,AB$4,TF_Dato,$A38))*2,0)/2)))</f>
        <v/>
      </c>
      <c r="AC38">
        <f>IF(OR(AC$4="",$A38&gt;TODAY()),0,IF(OR(INDEX($B38:$D38,AC$5)="F",AND(AC$6&gt;0,$A38&lt;AC$6),AND(AC$7&gt;0,$A38&gt;AC$7)),0,MAX(0,ROUND((INDEX($E38:$G38,AC$5)-SUMIFS(TF_Timer,TF_Tekniker,AC$4,TF_Dato,$A38))*2,0)/2)))</f>
        <v/>
      </c>
      <c r="AD38">
        <f>IF(OR(AD$4="",$A38&gt;TODAY()),0,IF(OR(INDEX($B38:$D38,AD$5)="F",AND(AD$6&gt;0,$A38&lt;AD$6),AND(AD$7&gt;0,$A38&gt;AD$7)),0,MAX(0,ROUND((INDEX($E38:$G38,AD$5)-SUMIFS(TF_Timer,TF_Tekniker,AD$4,TF_Dato,$A38))*2,0)/2)))</f>
        <v/>
      </c>
      <c r="AE38">
        <f>IF(OR(AE$4="",$A38&gt;TODAY()),0,IF(OR(INDEX($B38:$D38,AE$5)="F",AND(AE$6&gt;0,$A38&lt;AE$6),AND(AE$7&gt;0,$A38&gt;AE$7)),0,MAX(0,ROUND((INDEX($E38:$G38,AE$5)-SUMIFS(TF_Timer,TF_Tekniker,AE$4,TF_Dato,$A38))*2,0)/2)))</f>
        <v/>
      </c>
      <c r="AF38">
        <f>IF(OR(AF$4="",$A38&gt;TODAY()),0,IF(OR(INDEX($B38:$D38,AF$5)="F",AND(AF$6&gt;0,$A38&lt;AF$6),AND(AF$7&gt;0,$A38&gt;AF$7)),0,MAX(0,ROUND((INDEX($E38:$G38,AF$5)-SUMIFS(TF_Timer,TF_Tekniker,AF$4,TF_Dato,$A38))*2,0)/2)))</f>
        <v/>
      </c>
      <c r="AG38">
        <f>IF(OR(AG$4="",$A38&gt;TODAY()),0,IF(OR(INDEX($B38:$D38,AG$5)="F",AND(AG$6&gt;0,$A38&lt;AG$6),AND(AG$7&gt;0,$A38&gt;AG$7)),0,MAX(0,ROUND((INDEX($E38:$G38,AG$5)-SUMIFS(TF_Timer,TF_Tekniker,AG$4,TF_Dato,$A38))*2,0)/2)))</f>
        <v/>
      </c>
      <c r="AH38">
        <f>IF(OR(AH$4="",$A38&gt;TODAY()),0,IF(OR(INDEX($B38:$D38,AH$5)="F",AND(AH$6&gt;0,$A38&lt;AH$6),AND(AH$7&gt;0,$A38&gt;AH$7)),0,MAX(0,ROUND((INDEX($E38:$G38,AH$5)-SUMIFS(TF_Timer,TF_Tekniker,AH$4,TF_Dato,$A38))*2,0)/2)))</f>
        <v/>
      </c>
      <c r="AI38">
        <f>IF(OR(AI$4="",$A38&gt;TODAY()),0,IF(OR(INDEX($B38:$D38,AI$5)="F",AND(AI$6&gt;0,$A38&lt;AI$6),AND(AI$7&gt;0,$A38&gt;AI$7)),0,MAX(0,ROUND((INDEX($E38:$G38,AI$5)-SUMIFS(TF_Timer,TF_Tekniker,AI$4,TF_Dato,$A38))*2,0)/2)))</f>
        <v/>
      </c>
      <c r="AJ38">
        <f>IF(OR(AJ$4="",$A38&gt;TODAY()),0,IF(OR(INDEX($B38:$D38,AJ$5)="F",AND(AJ$6&gt;0,$A38&lt;AJ$6),AND(AJ$7&gt;0,$A38&gt;AJ$7)),0,MAX(0,ROUND((INDEX($E38:$G38,AJ$5)-SUMIFS(TF_Timer,TF_Tekniker,AJ$4,TF_Dato,$A38))*2,0)/2)))</f>
        <v/>
      </c>
      <c r="AK38">
        <f>IF(OR(AK$4="",$A38&gt;TODAY()),0,IF(OR(INDEX($B38:$D38,AK$5)="F",AND(AK$6&gt;0,$A38&lt;AK$6),AND(AK$7&gt;0,$A38&gt;AK$7)),0,MAX(0,ROUND((INDEX($E38:$G38,AK$5)-SUMIFS(TF_Timer,TF_Tekniker,AK$4,TF_Dato,$A38))*2,0)/2)))</f>
        <v/>
      </c>
      <c r="AL38">
        <f>IF(OR(AL$4="",$A38&gt;TODAY()),0,IF(OR(INDEX($B38:$D38,AL$5)="F",AND(AL$6&gt;0,$A38&lt;AL$6),AND(AL$7&gt;0,$A38&gt;AL$7)),0,MAX(0,ROUND((INDEX($E38:$G38,AL$5)-SUMIFS(TF_Timer,TF_Tekniker,AL$4,TF_Dato,$A38))*2,0)/2)))</f>
        <v/>
      </c>
      <c r="AM38">
        <f>IF(OR(AM$4="",$A38&gt;TODAY()),0,IF(OR(INDEX($B38:$D38,AM$5)="F",AND(AM$6&gt;0,$A38&lt;AM$6),AND(AM$7&gt;0,$A38&gt;AM$7)),0,MAX(0,ROUND((INDEX($E38:$G38,AM$5)-SUMIFS(TF_Timer,TF_Tekniker,AM$4,TF_Dato,$A38))*2,0)/2)))</f>
        <v/>
      </c>
      <c r="AN38">
        <f>IF(OR(AN$4="",$A38&gt;TODAY()),0,IF(OR(INDEX($B38:$D38,AN$5)="F",AND(AN$6&gt;0,$A38&lt;AN$6),AND(AN$7&gt;0,$A38&gt;AN$7)),0,MAX(0,ROUND((INDEX($E38:$G38,AN$5)-SUMIFS(TF_Timer,TF_Tekniker,AN$4,TF_Dato,$A38))*2,0)/2)))</f>
        <v/>
      </c>
      <c r="AO38">
        <f>IF(OR(AO$4="",$A38&gt;TODAY()),0,IF(OR(INDEX($B38:$D38,AO$5)="F",AND(AO$6&gt;0,$A38&lt;AO$6),AND(AO$7&gt;0,$A38&gt;AO$7)),0,MAX(0,ROUND((INDEX($E38:$G38,AO$5)-SUMIFS(TF_Timer,TF_Tekniker,AO$4,TF_Dato,$A38))*2,0)/2)))</f>
        <v/>
      </c>
      <c r="AP38">
        <f>IF(OR(AP$4="",$A38&gt;TODAY()),0,IF(OR(INDEX($B38:$D38,AP$5)="F",AND(AP$6&gt;0,$A38&lt;AP$6),AND(AP$7&gt;0,$A38&gt;AP$7)),0,MAX(0,ROUND((INDEX($E38:$G38,AP$5)-SUMIFS(TF_Timer,TF_Tekniker,AP$4,TF_Dato,$A38))*2,0)/2)))</f>
        <v/>
      </c>
      <c r="AQ38">
        <f>IF(OR(AQ$4="",$A38&gt;TODAY()),0,IF(OR(INDEX($B38:$D38,AQ$5)="F",AND(AQ$6&gt;0,$A38&lt;AQ$6),AND(AQ$7&gt;0,$A38&gt;AQ$7)),0,MAX(0,ROUND((INDEX($E38:$G38,AQ$5)-SUMIFS(TF_Timer,TF_Tekniker,AQ$4,TF_Dato,$A38))*2,0)/2)))</f>
        <v/>
      </c>
      <c r="AR38">
        <f>IF(OR(AR$4="",$A38&gt;TODAY()),0,IF(OR(INDEX($B38:$D38,AR$5)="F",AND(AR$6&gt;0,$A38&lt;AR$6),AND(AR$7&gt;0,$A38&gt;AR$7)),0,MAX(0,ROUND((INDEX($E38:$G38,AR$5)-SUMIFS(TF_Timer,TF_Tekniker,AR$4,TF_Dato,$A38))*2,0)/2)))</f>
        <v/>
      </c>
      <c r="AS38">
        <f>IF(OR(AS$4="",$A38&gt;TODAY()),0,IF(OR(INDEX($B38:$D38,AS$5)="F",AND(AS$6&gt;0,$A38&lt;AS$6),AND(AS$7&gt;0,$A38&gt;AS$7)),0,MAX(0,ROUND((INDEX($E38:$G38,AS$5)-SUMIFS(TF_Timer,TF_Tekniker,AS$4,TF_Dato,$A38))*2,0)/2)))</f>
        <v/>
      </c>
      <c r="AT38">
        <f>IF(OR(AT$4="",$A38&gt;TODAY()),0,IF(OR(INDEX($B38:$D38,AT$5)="F",AND(AT$6&gt;0,$A38&lt;AT$6),AND(AT$7&gt;0,$A38&gt;AT$7)),0,MAX(0,ROUND((INDEX($E38:$G38,AT$5)-SUMIFS(TF_Timer,TF_Tekniker,AT$4,TF_Dato,$A38))*2,0)/2)))</f>
        <v/>
      </c>
      <c r="AU38">
        <f>IF(OR(AU$4="",$A38&gt;TODAY()),0,IF(OR(INDEX($B38:$D38,AU$5)="F",AND(AU$6&gt;0,$A38&lt;AU$6),AND(AU$7&gt;0,$A38&gt;AU$7)),0,MAX(0,ROUND((INDEX($E38:$G38,AU$5)-SUMIFS(TF_Timer,TF_Tekniker,AU$4,TF_Dato,$A38))*2,0)/2)))</f>
        <v/>
      </c>
      <c r="AV38">
        <f>IF(OR(AV$4="",$A38&gt;TODAY()),0,IF(OR(INDEX($B38:$D38,AV$5)="F",AND(AV$6&gt;0,$A38&lt;AV$6),AND(AV$7&gt;0,$A38&gt;AV$7)),0,MAX(0,ROUND((INDEX($E38:$G38,AV$5)-SUMIFS(TF_Timer,TF_Tekniker,AV$4,TF_Dato,$A38))*2,0)/2)))</f>
        <v/>
      </c>
      <c r="AW38">
        <f>IF(OR(AW$4="",$A38&gt;TODAY()),0,IF(OR(INDEX($B38:$D38,AW$5)="F",AND(AW$6&gt;0,$A38&lt;AW$6),AND(AW$7&gt;0,$A38&gt;AW$7)),0,MAX(0,ROUND((INDEX($E38:$G38,AW$5)-SUMIFS(TF_Timer,TF_Tekniker,AW$4,TF_Dato,$A38))*2,0)/2)))</f>
        <v/>
      </c>
      <c r="AX38">
        <f>IF(OR(AX$4="",$A38&gt;TODAY()),0,IF(OR(INDEX($B38:$D38,AX$5)="F",AND(AX$6&gt;0,$A38&lt;AX$6),AND(AX$7&gt;0,$A38&gt;AX$7)),0,MAX(0,ROUND((INDEX($E38:$G38,AX$5)-SUMIFS(TF_Timer,TF_Tekniker,AX$4,TF_Dato,$A38))*2,0)/2)))</f>
        <v/>
      </c>
      <c r="AY38">
        <f>IF(OR(AY$4="",$A38&gt;TODAY()),0,IF(OR(INDEX($B38:$D38,AY$5)="F",AND(AY$6&gt;0,$A38&lt;AY$6),AND(AY$7&gt;0,$A38&gt;AY$7)),0,MAX(0,ROUND((INDEX($E38:$G38,AY$5)-SUMIFS(TF_Timer,TF_Tekniker,AY$4,TF_Dato,$A38))*2,0)/2)))</f>
        <v/>
      </c>
      <c r="AZ38">
        <f>IF(OR(AZ$4="",$A38&gt;TODAY()),0,IF(OR(INDEX($B38:$D38,AZ$5)="F",AND(AZ$6&gt;0,$A38&lt;AZ$6),AND(AZ$7&gt;0,$A38&gt;AZ$7)),0,MAX(0,ROUND((INDEX($E38:$G38,AZ$5)-SUMIFS(TF_Timer,TF_Tekniker,AZ$4,TF_Dato,$A38))*2,0)/2)))</f>
        <v/>
      </c>
      <c r="BA38">
        <f>IF(OR(BA$4="",$A38&gt;TODAY()),0,IF(OR(INDEX($B38:$D38,BA$5)="F",AND(BA$6&gt;0,$A38&lt;BA$6),AND(BA$7&gt;0,$A38&gt;BA$7)),0,MAX(0,ROUND((INDEX($E38:$G38,BA$5)-SUMIFS(TF_Timer,TF_Tekniker,BA$4,TF_Dato,$A38))*2,0)/2)))</f>
        <v/>
      </c>
      <c r="BB38">
        <f>IF(OR(BB$4="",$A38&gt;TODAY()),0,IF(OR(INDEX($B38:$D38,BB$5)="F",AND(BB$6&gt;0,$A38&lt;BB$6),AND(BB$7&gt;0,$A38&gt;BB$7)),0,MAX(0,ROUND((INDEX($E38:$G38,BB$5)-SUMIFS(TF_Timer,TF_Tekniker,BB$4,TF_Dato,$A38))*2,0)/2)))</f>
        <v/>
      </c>
      <c r="BC38">
        <f>IF(OR(BC$4="",$A38&gt;TODAY()),0,IF(OR(INDEX($B38:$D38,BC$5)="F",AND(BC$6&gt;0,$A38&lt;BC$6),AND(BC$7&gt;0,$A38&gt;BC$7)),0,MAX(0,ROUND((INDEX($E38:$G38,BC$5)-SUMIFS(TF_Timer,TF_Tekniker,BC$4,TF_Dato,$A38))*2,0)/2)))</f>
        <v/>
      </c>
      <c r="BD38">
        <f>IF(OR(BD$4="",$A38&gt;TODAY()),0,IF(OR(INDEX($B38:$D38,BD$5)="F",AND(BD$6&gt;0,$A38&lt;BD$6),AND(BD$7&gt;0,$A38&gt;BD$7)),0,MAX(0,ROUND((INDEX($E38:$G38,BD$5)-SUMIFS(TF_Timer,TF_Tekniker,BD$4,TF_Dato,$A38))*2,0)/2)))</f>
        <v/>
      </c>
      <c r="BE38">
        <f>IF(OR(BE$4="",$A38&gt;TODAY()),0,IF(OR(INDEX($B38:$D38,BE$5)="F",AND(BE$6&gt;0,$A38&lt;BE$6),AND(BE$7&gt;0,$A38&gt;BE$7)),0,MAX(0,ROUND((INDEX($E38:$G38,BE$5)-SUMIFS(TF_Timer,TF_Tekniker,BE$4,TF_Dato,$A38))*2,0)/2)))</f>
        <v/>
      </c>
      <c r="BF38">
        <f>IF(OR(BF$4="",$A38&gt;TODAY()),0,IF(OR(INDEX($B38:$D38,BF$5)="F",AND(BF$6&gt;0,$A38&lt;BF$6),AND(BF$7&gt;0,$A38&gt;BF$7)),0,MAX(0,ROUND((INDEX($E38:$G38,BF$5)-SUMIFS(TF_Timer,TF_Tekniker,BF$4,TF_Dato,$A38))*2,0)/2)))</f>
        <v/>
      </c>
      <c r="BG38">
        <f>IF(OR(BG$4="",$A38&gt;TODAY()),0,IF(OR(INDEX($B38:$D38,BG$5)="F",AND(BG$6&gt;0,$A38&lt;BG$6),AND(BG$7&gt;0,$A38&gt;BG$7)),0,MAX(0,ROUND((INDEX($E38:$G38,BG$5)-SUMIFS(TF_Timer,TF_Tekniker,BG$4,TF_Dato,$A38))*2,0)/2)))</f>
        <v/>
      </c>
      <c r="BH38">
        <f>IF(OR(BH$4="",$A38&gt;TODAY()),0,IF(OR(INDEX($B38:$D38,BH$5)="F",AND(BH$6&gt;0,$A38&lt;BH$6),AND(BH$7&gt;0,$A38&gt;BH$7)),0,MAX(0,ROUND((INDEX($E38:$G38,BH$5)-SUMIFS(TF_Timer,TF_Tekniker,BH$4,TF_Dato,$A38))*2,0)/2)))</f>
        <v/>
      </c>
      <c r="BI38">
        <f>IF(OR(BI$4="",$A38&gt;TODAY()),0,IF(OR(INDEX($B38:$D38,BI$5)="F",AND(BI$6&gt;0,$A38&lt;BI$6),AND(BI$7&gt;0,$A38&gt;BI$7)),0,MAX(0,ROUND((INDEX($E38:$G38,BI$5)-SUMIFS(TF_Timer,TF_Tekniker,BI$4,TF_Dato,$A38))*2,0)/2)))</f>
        <v/>
      </c>
    </row>
    <row r="39">
      <c r="A39" s="64">
        <f>A38+1</f>
        <v/>
      </c>
      <c r="B39">
        <f>IF(MOD($A39-INDEX(SkiftStart,1),Syklus)&lt;DagK,"K",IF(MOD($A39-INDEX(SkiftStart,1),Syklus)&lt;DagK+DagH,"H",IF(MOD($A39-INDEX(SkiftStart,1),Syklus)&lt;DagK+DagH+DagD,"D","F")))</f>
        <v/>
      </c>
      <c r="C39">
        <f>IF(MOD($A39-INDEX(SkiftStart,2),Syklus)&lt;DagK,"K",IF(MOD($A39-INDEX(SkiftStart,2),Syklus)&lt;DagK+DagH,"H",IF(MOD($A39-INDEX(SkiftStart,2),Syklus)&lt;DagK+DagH+DagD,"D","F")))</f>
        <v/>
      </c>
      <c r="D39">
        <f>IF(MOD($A39-INDEX(SkiftStart,3),Syklus)&lt;DagK,"K",IF(MOD($A39-INDEX(SkiftStart,3),Syklus)&lt;DagK+DagH,"H",IF(MOD($A39-INDEX(SkiftStart,3),Syklus)&lt;DagK+DagH+DagD,"D","F")))</f>
        <v/>
      </c>
      <c r="E39">
        <f>IF(B39="F",0,IF(WEEKDAY($A39,2)=5,INDEX(TimerFr,MATCH(B39,FaseKode,0)),INDEX(TimerMT,MATCH(B39,FaseKode,0))))</f>
        <v/>
      </c>
      <c r="F39">
        <f>IF(C39="F",0,IF(WEEKDAY($A39,2)=5,INDEX(TimerFr,MATCH(C39,FaseKode,0)),INDEX(TimerMT,MATCH(C39,FaseKode,0))))</f>
        <v/>
      </c>
      <c r="G39">
        <f>IF(D39="F",0,IF(WEEKDAY($A39,2)=5,INDEX(TimerFr,MATCH(D39,FaseKode,0)),INDEX(TimerMT,MATCH(D39,FaseKode,0))))</f>
        <v/>
      </c>
      <c r="H39">
        <f>IF(OR(H$4="",$A39&gt;TODAY()),0,IF(OR(INDEX($B39:$D39,H$5)="F",AND(H$6&gt;0,$A39&lt;H$6),AND(H$7&gt;0,$A39&gt;H$7)),0,MAX(0,ROUND((INDEX($E39:$G39,H$5)-SUMIFS(TF_Timer,TF_Tekniker,H$4,TF_Dato,$A39))*2,0)/2)))</f>
        <v/>
      </c>
      <c r="I39">
        <f>IF(OR(I$4="",$A39&gt;TODAY()),0,IF(OR(INDEX($B39:$D39,I$5)="F",AND(I$6&gt;0,$A39&lt;I$6),AND(I$7&gt;0,$A39&gt;I$7)),0,MAX(0,ROUND((INDEX($E39:$G39,I$5)-SUMIFS(TF_Timer,TF_Tekniker,I$4,TF_Dato,$A39))*2,0)/2)))</f>
        <v/>
      </c>
      <c r="J39">
        <f>IF(OR(J$4="",$A39&gt;TODAY()),0,IF(OR(INDEX($B39:$D39,J$5)="F",AND(J$6&gt;0,$A39&lt;J$6),AND(J$7&gt;0,$A39&gt;J$7)),0,MAX(0,ROUND((INDEX($E39:$G39,J$5)-SUMIFS(TF_Timer,TF_Tekniker,J$4,TF_Dato,$A39))*2,0)/2)))</f>
        <v/>
      </c>
      <c r="K39">
        <f>IF(OR(K$4="",$A39&gt;TODAY()),0,IF(OR(INDEX($B39:$D39,K$5)="F",AND(K$6&gt;0,$A39&lt;K$6),AND(K$7&gt;0,$A39&gt;K$7)),0,MAX(0,ROUND((INDEX($E39:$G39,K$5)-SUMIFS(TF_Timer,TF_Tekniker,K$4,TF_Dato,$A39))*2,0)/2)))</f>
        <v/>
      </c>
      <c r="L39">
        <f>IF(OR(L$4="",$A39&gt;TODAY()),0,IF(OR(INDEX($B39:$D39,L$5)="F",AND(L$6&gt;0,$A39&lt;L$6),AND(L$7&gt;0,$A39&gt;L$7)),0,MAX(0,ROUND((INDEX($E39:$G39,L$5)-SUMIFS(TF_Timer,TF_Tekniker,L$4,TF_Dato,$A39))*2,0)/2)))</f>
        <v/>
      </c>
      <c r="M39">
        <f>IF(OR(M$4="",$A39&gt;TODAY()),0,IF(OR(INDEX($B39:$D39,M$5)="F",AND(M$6&gt;0,$A39&lt;M$6),AND(M$7&gt;0,$A39&gt;M$7)),0,MAX(0,ROUND((INDEX($E39:$G39,M$5)-SUMIFS(TF_Timer,TF_Tekniker,M$4,TF_Dato,$A39))*2,0)/2)))</f>
        <v/>
      </c>
      <c r="N39">
        <f>IF(OR(N$4="",$A39&gt;TODAY()),0,IF(OR(INDEX($B39:$D39,N$5)="F",AND(N$6&gt;0,$A39&lt;N$6),AND(N$7&gt;0,$A39&gt;N$7)),0,MAX(0,ROUND((INDEX($E39:$G39,N$5)-SUMIFS(TF_Timer,TF_Tekniker,N$4,TF_Dato,$A39))*2,0)/2)))</f>
        <v/>
      </c>
      <c r="O39">
        <f>IF(OR(O$4="",$A39&gt;TODAY()),0,IF(OR(INDEX($B39:$D39,O$5)="F",AND(O$6&gt;0,$A39&lt;O$6),AND(O$7&gt;0,$A39&gt;O$7)),0,MAX(0,ROUND((INDEX($E39:$G39,O$5)-SUMIFS(TF_Timer,TF_Tekniker,O$4,TF_Dato,$A39))*2,0)/2)))</f>
        <v/>
      </c>
      <c r="P39">
        <f>IF(OR(P$4="",$A39&gt;TODAY()),0,IF(OR(INDEX($B39:$D39,P$5)="F",AND(P$6&gt;0,$A39&lt;P$6),AND(P$7&gt;0,$A39&gt;P$7)),0,MAX(0,ROUND((INDEX($E39:$G39,P$5)-SUMIFS(TF_Timer,TF_Tekniker,P$4,TF_Dato,$A39))*2,0)/2)))</f>
        <v/>
      </c>
      <c r="Q39">
        <f>IF(OR(Q$4="",$A39&gt;TODAY()),0,IF(OR(INDEX($B39:$D39,Q$5)="F",AND(Q$6&gt;0,$A39&lt;Q$6),AND(Q$7&gt;0,$A39&gt;Q$7)),0,MAX(0,ROUND((INDEX($E39:$G39,Q$5)-SUMIFS(TF_Timer,TF_Tekniker,Q$4,TF_Dato,$A39))*2,0)/2)))</f>
        <v/>
      </c>
      <c r="R39">
        <f>IF(OR(R$4="",$A39&gt;TODAY()),0,IF(OR(INDEX($B39:$D39,R$5)="F",AND(R$6&gt;0,$A39&lt;R$6),AND(R$7&gt;0,$A39&gt;R$7)),0,MAX(0,ROUND((INDEX($E39:$G39,R$5)-SUMIFS(TF_Timer,TF_Tekniker,R$4,TF_Dato,$A39))*2,0)/2)))</f>
        <v/>
      </c>
      <c r="S39">
        <f>IF(OR(S$4="",$A39&gt;TODAY()),0,IF(OR(INDEX($B39:$D39,S$5)="F",AND(S$6&gt;0,$A39&lt;S$6),AND(S$7&gt;0,$A39&gt;S$7)),0,MAX(0,ROUND((INDEX($E39:$G39,S$5)-SUMIFS(TF_Timer,TF_Tekniker,S$4,TF_Dato,$A39))*2,0)/2)))</f>
        <v/>
      </c>
      <c r="T39">
        <f>IF(OR(T$4="",$A39&gt;TODAY()),0,IF(OR(INDEX($B39:$D39,T$5)="F",AND(T$6&gt;0,$A39&lt;T$6),AND(T$7&gt;0,$A39&gt;T$7)),0,MAX(0,ROUND((INDEX($E39:$G39,T$5)-SUMIFS(TF_Timer,TF_Tekniker,T$4,TF_Dato,$A39))*2,0)/2)))</f>
        <v/>
      </c>
      <c r="U39">
        <f>IF(OR(U$4="",$A39&gt;TODAY()),0,IF(OR(INDEX($B39:$D39,U$5)="F",AND(U$6&gt;0,$A39&lt;U$6),AND(U$7&gt;0,$A39&gt;U$7)),0,MAX(0,ROUND((INDEX($E39:$G39,U$5)-SUMIFS(TF_Timer,TF_Tekniker,U$4,TF_Dato,$A39))*2,0)/2)))</f>
        <v/>
      </c>
      <c r="V39">
        <f>IF(OR(V$4="",$A39&gt;TODAY()),0,IF(OR(INDEX($B39:$D39,V$5)="F",AND(V$6&gt;0,$A39&lt;V$6),AND(V$7&gt;0,$A39&gt;V$7)),0,MAX(0,ROUND((INDEX($E39:$G39,V$5)-SUMIFS(TF_Timer,TF_Tekniker,V$4,TF_Dato,$A39))*2,0)/2)))</f>
        <v/>
      </c>
      <c r="W39">
        <f>IF(OR(W$4="",$A39&gt;TODAY()),0,IF(OR(INDEX($B39:$D39,W$5)="F",AND(W$6&gt;0,$A39&lt;W$6),AND(W$7&gt;0,$A39&gt;W$7)),0,MAX(0,ROUND((INDEX($E39:$G39,W$5)-SUMIFS(TF_Timer,TF_Tekniker,W$4,TF_Dato,$A39))*2,0)/2)))</f>
        <v/>
      </c>
      <c r="X39">
        <f>IF(OR(X$4="",$A39&gt;TODAY()),0,IF(OR(INDEX($B39:$D39,X$5)="F",AND(X$6&gt;0,$A39&lt;X$6),AND(X$7&gt;0,$A39&gt;X$7)),0,MAX(0,ROUND((INDEX($E39:$G39,X$5)-SUMIFS(TF_Timer,TF_Tekniker,X$4,TF_Dato,$A39))*2,0)/2)))</f>
        <v/>
      </c>
      <c r="Y39">
        <f>IF(OR(Y$4="",$A39&gt;TODAY()),0,IF(OR(INDEX($B39:$D39,Y$5)="F",AND(Y$6&gt;0,$A39&lt;Y$6),AND(Y$7&gt;0,$A39&gt;Y$7)),0,MAX(0,ROUND((INDEX($E39:$G39,Y$5)-SUMIFS(TF_Timer,TF_Tekniker,Y$4,TF_Dato,$A39))*2,0)/2)))</f>
        <v/>
      </c>
      <c r="Z39">
        <f>IF(OR(Z$4="",$A39&gt;TODAY()),0,IF(OR(INDEX($B39:$D39,Z$5)="F",AND(Z$6&gt;0,$A39&lt;Z$6),AND(Z$7&gt;0,$A39&gt;Z$7)),0,MAX(0,ROUND((INDEX($E39:$G39,Z$5)-SUMIFS(TF_Timer,TF_Tekniker,Z$4,TF_Dato,$A39))*2,0)/2)))</f>
        <v/>
      </c>
      <c r="AA39">
        <f>IF(OR(AA$4="",$A39&gt;TODAY()),0,IF(OR(INDEX($B39:$D39,AA$5)="F",AND(AA$6&gt;0,$A39&lt;AA$6),AND(AA$7&gt;0,$A39&gt;AA$7)),0,MAX(0,ROUND((INDEX($E39:$G39,AA$5)-SUMIFS(TF_Timer,TF_Tekniker,AA$4,TF_Dato,$A39))*2,0)/2)))</f>
        <v/>
      </c>
      <c r="AB39">
        <f>IF(OR(AB$4="",$A39&gt;TODAY()),0,IF(OR(INDEX($B39:$D39,AB$5)="F",AND(AB$6&gt;0,$A39&lt;AB$6),AND(AB$7&gt;0,$A39&gt;AB$7)),0,MAX(0,ROUND((INDEX($E39:$G39,AB$5)-SUMIFS(TF_Timer,TF_Tekniker,AB$4,TF_Dato,$A39))*2,0)/2)))</f>
        <v/>
      </c>
      <c r="AC39">
        <f>IF(OR(AC$4="",$A39&gt;TODAY()),0,IF(OR(INDEX($B39:$D39,AC$5)="F",AND(AC$6&gt;0,$A39&lt;AC$6),AND(AC$7&gt;0,$A39&gt;AC$7)),0,MAX(0,ROUND((INDEX($E39:$G39,AC$5)-SUMIFS(TF_Timer,TF_Tekniker,AC$4,TF_Dato,$A39))*2,0)/2)))</f>
        <v/>
      </c>
      <c r="AD39">
        <f>IF(OR(AD$4="",$A39&gt;TODAY()),0,IF(OR(INDEX($B39:$D39,AD$5)="F",AND(AD$6&gt;0,$A39&lt;AD$6),AND(AD$7&gt;0,$A39&gt;AD$7)),0,MAX(0,ROUND((INDEX($E39:$G39,AD$5)-SUMIFS(TF_Timer,TF_Tekniker,AD$4,TF_Dato,$A39))*2,0)/2)))</f>
        <v/>
      </c>
      <c r="AE39">
        <f>IF(OR(AE$4="",$A39&gt;TODAY()),0,IF(OR(INDEX($B39:$D39,AE$5)="F",AND(AE$6&gt;0,$A39&lt;AE$6),AND(AE$7&gt;0,$A39&gt;AE$7)),0,MAX(0,ROUND((INDEX($E39:$G39,AE$5)-SUMIFS(TF_Timer,TF_Tekniker,AE$4,TF_Dato,$A39))*2,0)/2)))</f>
        <v/>
      </c>
      <c r="AF39">
        <f>IF(OR(AF$4="",$A39&gt;TODAY()),0,IF(OR(INDEX($B39:$D39,AF$5)="F",AND(AF$6&gt;0,$A39&lt;AF$6),AND(AF$7&gt;0,$A39&gt;AF$7)),0,MAX(0,ROUND((INDEX($E39:$G39,AF$5)-SUMIFS(TF_Timer,TF_Tekniker,AF$4,TF_Dato,$A39))*2,0)/2)))</f>
        <v/>
      </c>
      <c r="AG39">
        <f>IF(OR(AG$4="",$A39&gt;TODAY()),0,IF(OR(INDEX($B39:$D39,AG$5)="F",AND(AG$6&gt;0,$A39&lt;AG$6),AND(AG$7&gt;0,$A39&gt;AG$7)),0,MAX(0,ROUND((INDEX($E39:$G39,AG$5)-SUMIFS(TF_Timer,TF_Tekniker,AG$4,TF_Dato,$A39))*2,0)/2)))</f>
        <v/>
      </c>
      <c r="AH39">
        <f>IF(OR(AH$4="",$A39&gt;TODAY()),0,IF(OR(INDEX($B39:$D39,AH$5)="F",AND(AH$6&gt;0,$A39&lt;AH$6),AND(AH$7&gt;0,$A39&gt;AH$7)),0,MAX(0,ROUND((INDEX($E39:$G39,AH$5)-SUMIFS(TF_Timer,TF_Tekniker,AH$4,TF_Dato,$A39))*2,0)/2)))</f>
        <v/>
      </c>
      <c r="AI39">
        <f>IF(OR(AI$4="",$A39&gt;TODAY()),0,IF(OR(INDEX($B39:$D39,AI$5)="F",AND(AI$6&gt;0,$A39&lt;AI$6),AND(AI$7&gt;0,$A39&gt;AI$7)),0,MAX(0,ROUND((INDEX($E39:$G39,AI$5)-SUMIFS(TF_Timer,TF_Tekniker,AI$4,TF_Dato,$A39))*2,0)/2)))</f>
        <v/>
      </c>
      <c r="AJ39">
        <f>IF(OR(AJ$4="",$A39&gt;TODAY()),0,IF(OR(INDEX($B39:$D39,AJ$5)="F",AND(AJ$6&gt;0,$A39&lt;AJ$6),AND(AJ$7&gt;0,$A39&gt;AJ$7)),0,MAX(0,ROUND((INDEX($E39:$G39,AJ$5)-SUMIFS(TF_Timer,TF_Tekniker,AJ$4,TF_Dato,$A39))*2,0)/2)))</f>
        <v/>
      </c>
      <c r="AK39">
        <f>IF(OR(AK$4="",$A39&gt;TODAY()),0,IF(OR(INDEX($B39:$D39,AK$5)="F",AND(AK$6&gt;0,$A39&lt;AK$6),AND(AK$7&gt;0,$A39&gt;AK$7)),0,MAX(0,ROUND((INDEX($E39:$G39,AK$5)-SUMIFS(TF_Timer,TF_Tekniker,AK$4,TF_Dato,$A39))*2,0)/2)))</f>
        <v/>
      </c>
      <c r="AL39">
        <f>IF(OR(AL$4="",$A39&gt;TODAY()),0,IF(OR(INDEX($B39:$D39,AL$5)="F",AND(AL$6&gt;0,$A39&lt;AL$6),AND(AL$7&gt;0,$A39&gt;AL$7)),0,MAX(0,ROUND((INDEX($E39:$G39,AL$5)-SUMIFS(TF_Timer,TF_Tekniker,AL$4,TF_Dato,$A39))*2,0)/2)))</f>
        <v/>
      </c>
      <c r="AM39">
        <f>IF(OR(AM$4="",$A39&gt;TODAY()),0,IF(OR(INDEX($B39:$D39,AM$5)="F",AND(AM$6&gt;0,$A39&lt;AM$6),AND(AM$7&gt;0,$A39&gt;AM$7)),0,MAX(0,ROUND((INDEX($E39:$G39,AM$5)-SUMIFS(TF_Timer,TF_Tekniker,AM$4,TF_Dato,$A39))*2,0)/2)))</f>
        <v/>
      </c>
      <c r="AN39">
        <f>IF(OR(AN$4="",$A39&gt;TODAY()),0,IF(OR(INDEX($B39:$D39,AN$5)="F",AND(AN$6&gt;0,$A39&lt;AN$6),AND(AN$7&gt;0,$A39&gt;AN$7)),0,MAX(0,ROUND((INDEX($E39:$G39,AN$5)-SUMIFS(TF_Timer,TF_Tekniker,AN$4,TF_Dato,$A39))*2,0)/2)))</f>
        <v/>
      </c>
      <c r="AO39">
        <f>IF(OR(AO$4="",$A39&gt;TODAY()),0,IF(OR(INDEX($B39:$D39,AO$5)="F",AND(AO$6&gt;0,$A39&lt;AO$6),AND(AO$7&gt;0,$A39&gt;AO$7)),0,MAX(0,ROUND((INDEX($E39:$G39,AO$5)-SUMIFS(TF_Timer,TF_Tekniker,AO$4,TF_Dato,$A39))*2,0)/2)))</f>
        <v/>
      </c>
      <c r="AP39">
        <f>IF(OR(AP$4="",$A39&gt;TODAY()),0,IF(OR(INDEX($B39:$D39,AP$5)="F",AND(AP$6&gt;0,$A39&lt;AP$6),AND(AP$7&gt;0,$A39&gt;AP$7)),0,MAX(0,ROUND((INDEX($E39:$G39,AP$5)-SUMIFS(TF_Timer,TF_Tekniker,AP$4,TF_Dato,$A39))*2,0)/2)))</f>
        <v/>
      </c>
      <c r="AQ39">
        <f>IF(OR(AQ$4="",$A39&gt;TODAY()),0,IF(OR(INDEX($B39:$D39,AQ$5)="F",AND(AQ$6&gt;0,$A39&lt;AQ$6),AND(AQ$7&gt;0,$A39&gt;AQ$7)),0,MAX(0,ROUND((INDEX($E39:$G39,AQ$5)-SUMIFS(TF_Timer,TF_Tekniker,AQ$4,TF_Dato,$A39))*2,0)/2)))</f>
        <v/>
      </c>
      <c r="AR39">
        <f>IF(OR(AR$4="",$A39&gt;TODAY()),0,IF(OR(INDEX($B39:$D39,AR$5)="F",AND(AR$6&gt;0,$A39&lt;AR$6),AND(AR$7&gt;0,$A39&gt;AR$7)),0,MAX(0,ROUND((INDEX($E39:$G39,AR$5)-SUMIFS(TF_Timer,TF_Tekniker,AR$4,TF_Dato,$A39))*2,0)/2)))</f>
        <v/>
      </c>
      <c r="AS39">
        <f>IF(OR(AS$4="",$A39&gt;TODAY()),0,IF(OR(INDEX($B39:$D39,AS$5)="F",AND(AS$6&gt;0,$A39&lt;AS$6),AND(AS$7&gt;0,$A39&gt;AS$7)),0,MAX(0,ROUND((INDEX($E39:$G39,AS$5)-SUMIFS(TF_Timer,TF_Tekniker,AS$4,TF_Dato,$A39))*2,0)/2)))</f>
        <v/>
      </c>
      <c r="AT39">
        <f>IF(OR(AT$4="",$A39&gt;TODAY()),0,IF(OR(INDEX($B39:$D39,AT$5)="F",AND(AT$6&gt;0,$A39&lt;AT$6),AND(AT$7&gt;0,$A39&gt;AT$7)),0,MAX(0,ROUND((INDEX($E39:$G39,AT$5)-SUMIFS(TF_Timer,TF_Tekniker,AT$4,TF_Dato,$A39))*2,0)/2)))</f>
        <v/>
      </c>
      <c r="AU39">
        <f>IF(OR(AU$4="",$A39&gt;TODAY()),0,IF(OR(INDEX($B39:$D39,AU$5)="F",AND(AU$6&gt;0,$A39&lt;AU$6),AND(AU$7&gt;0,$A39&gt;AU$7)),0,MAX(0,ROUND((INDEX($E39:$G39,AU$5)-SUMIFS(TF_Timer,TF_Tekniker,AU$4,TF_Dato,$A39))*2,0)/2)))</f>
        <v/>
      </c>
      <c r="AV39">
        <f>IF(OR(AV$4="",$A39&gt;TODAY()),0,IF(OR(INDEX($B39:$D39,AV$5)="F",AND(AV$6&gt;0,$A39&lt;AV$6),AND(AV$7&gt;0,$A39&gt;AV$7)),0,MAX(0,ROUND((INDEX($E39:$G39,AV$5)-SUMIFS(TF_Timer,TF_Tekniker,AV$4,TF_Dato,$A39))*2,0)/2)))</f>
        <v/>
      </c>
      <c r="AW39">
        <f>IF(OR(AW$4="",$A39&gt;TODAY()),0,IF(OR(INDEX($B39:$D39,AW$5)="F",AND(AW$6&gt;0,$A39&lt;AW$6),AND(AW$7&gt;0,$A39&gt;AW$7)),0,MAX(0,ROUND((INDEX($E39:$G39,AW$5)-SUMIFS(TF_Timer,TF_Tekniker,AW$4,TF_Dato,$A39))*2,0)/2)))</f>
        <v/>
      </c>
      <c r="AX39">
        <f>IF(OR(AX$4="",$A39&gt;TODAY()),0,IF(OR(INDEX($B39:$D39,AX$5)="F",AND(AX$6&gt;0,$A39&lt;AX$6),AND(AX$7&gt;0,$A39&gt;AX$7)),0,MAX(0,ROUND((INDEX($E39:$G39,AX$5)-SUMIFS(TF_Timer,TF_Tekniker,AX$4,TF_Dato,$A39))*2,0)/2)))</f>
        <v/>
      </c>
      <c r="AY39">
        <f>IF(OR(AY$4="",$A39&gt;TODAY()),0,IF(OR(INDEX($B39:$D39,AY$5)="F",AND(AY$6&gt;0,$A39&lt;AY$6),AND(AY$7&gt;0,$A39&gt;AY$7)),0,MAX(0,ROUND((INDEX($E39:$G39,AY$5)-SUMIFS(TF_Timer,TF_Tekniker,AY$4,TF_Dato,$A39))*2,0)/2)))</f>
        <v/>
      </c>
      <c r="AZ39">
        <f>IF(OR(AZ$4="",$A39&gt;TODAY()),0,IF(OR(INDEX($B39:$D39,AZ$5)="F",AND(AZ$6&gt;0,$A39&lt;AZ$6),AND(AZ$7&gt;0,$A39&gt;AZ$7)),0,MAX(0,ROUND((INDEX($E39:$G39,AZ$5)-SUMIFS(TF_Timer,TF_Tekniker,AZ$4,TF_Dato,$A39))*2,0)/2)))</f>
        <v/>
      </c>
      <c r="BA39">
        <f>IF(OR(BA$4="",$A39&gt;TODAY()),0,IF(OR(INDEX($B39:$D39,BA$5)="F",AND(BA$6&gt;0,$A39&lt;BA$6),AND(BA$7&gt;0,$A39&gt;BA$7)),0,MAX(0,ROUND((INDEX($E39:$G39,BA$5)-SUMIFS(TF_Timer,TF_Tekniker,BA$4,TF_Dato,$A39))*2,0)/2)))</f>
        <v/>
      </c>
      <c r="BB39">
        <f>IF(OR(BB$4="",$A39&gt;TODAY()),0,IF(OR(INDEX($B39:$D39,BB$5)="F",AND(BB$6&gt;0,$A39&lt;BB$6),AND(BB$7&gt;0,$A39&gt;BB$7)),0,MAX(0,ROUND((INDEX($E39:$G39,BB$5)-SUMIFS(TF_Timer,TF_Tekniker,BB$4,TF_Dato,$A39))*2,0)/2)))</f>
        <v/>
      </c>
      <c r="BC39">
        <f>IF(OR(BC$4="",$A39&gt;TODAY()),0,IF(OR(INDEX($B39:$D39,BC$5)="F",AND(BC$6&gt;0,$A39&lt;BC$6),AND(BC$7&gt;0,$A39&gt;BC$7)),0,MAX(0,ROUND((INDEX($E39:$G39,BC$5)-SUMIFS(TF_Timer,TF_Tekniker,BC$4,TF_Dato,$A39))*2,0)/2)))</f>
        <v/>
      </c>
      <c r="BD39">
        <f>IF(OR(BD$4="",$A39&gt;TODAY()),0,IF(OR(INDEX($B39:$D39,BD$5)="F",AND(BD$6&gt;0,$A39&lt;BD$6),AND(BD$7&gt;0,$A39&gt;BD$7)),0,MAX(0,ROUND((INDEX($E39:$G39,BD$5)-SUMIFS(TF_Timer,TF_Tekniker,BD$4,TF_Dato,$A39))*2,0)/2)))</f>
        <v/>
      </c>
      <c r="BE39">
        <f>IF(OR(BE$4="",$A39&gt;TODAY()),0,IF(OR(INDEX($B39:$D39,BE$5)="F",AND(BE$6&gt;0,$A39&lt;BE$6),AND(BE$7&gt;0,$A39&gt;BE$7)),0,MAX(0,ROUND((INDEX($E39:$G39,BE$5)-SUMIFS(TF_Timer,TF_Tekniker,BE$4,TF_Dato,$A39))*2,0)/2)))</f>
        <v/>
      </c>
      <c r="BF39">
        <f>IF(OR(BF$4="",$A39&gt;TODAY()),0,IF(OR(INDEX($B39:$D39,BF$5)="F",AND(BF$6&gt;0,$A39&lt;BF$6),AND(BF$7&gt;0,$A39&gt;BF$7)),0,MAX(0,ROUND((INDEX($E39:$G39,BF$5)-SUMIFS(TF_Timer,TF_Tekniker,BF$4,TF_Dato,$A39))*2,0)/2)))</f>
        <v/>
      </c>
      <c r="BG39">
        <f>IF(OR(BG$4="",$A39&gt;TODAY()),0,IF(OR(INDEX($B39:$D39,BG$5)="F",AND(BG$6&gt;0,$A39&lt;BG$6),AND(BG$7&gt;0,$A39&gt;BG$7)),0,MAX(0,ROUND((INDEX($E39:$G39,BG$5)-SUMIFS(TF_Timer,TF_Tekniker,BG$4,TF_Dato,$A39))*2,0)/2)))</f>
        <v/>
      </c>
      <c r="BH39">
        <f>IF(OR(BH$4="",$A39&gt;TODAY()),0,IF(OR(INDEX($B39:$D39,BH$5)="F",AND(BH$6&gt;0,$A39&lt;BH$6),AND(BH$7&gt;0,$A39&gt;BH$7)),0,MAX(0,ROUND((INDEX($E39:$G39,BH$5)-SUMIFS(TF_Timer,TF_Tekniker,BH$4,TF_Dato,$A39))*2,0)/2)))</f>
        <v/>
      </c>
      <c r="BI39">
        <f>IF(OR(BI$4="",$A39&gt;TODAY()),0,IF(OR(INDEX($B39:$D39,BI$5)="F",AND(BI$6&gt;0,$A39&lt;BI$6),AND(BI$7&gt;0,$A39&gt;BI$7)),0,MAX(0,ROUND((INDEX($E39:$G39,BI$5)-SUMIFS(TF_Timer,TF_Tekniker,BI$4,TF_Dato,$A39))*2,0)/2)))</f>
        <v/>
      </c>
    </row>
    <row r="40">
      <c r="A40" s="64">
        <f>A39+1</f>
        <v/>
      </c>
      <c r="B40">
        <f>IF(MOD($A40-INDEX(SkiftStart,1),Syklus)&lt;DagK,"K",IF(MOD($A40-INDEX(SkiftStart,1),Syklus)&lt;DagK+DagH,"H",IF(MOD($A40-INDEX(SkiftStart,1),Syklus)&lt;DagK+DagH+DagD,"D","F")))</f>
        <v/>
      </c>
      <c r="C40">
        <f>IF(MOD($A40-INDEX(SkiftStart,2),Syklus)&lt;DagK,"K",IF(MOD($A40-INDEX(SkiftStart,2),Syklus)&lt;DagK+DagH,"H",IF(MOD($A40-INDEX(SkiftStart,2),Syklus)&lt;DagK+DagH+DagD,"D","F")))</f>
        <v/>
      </c>
      <c r="D40">
        <f>IF(MOD($A40-INDEX(SkiftStart,3),Syklus)&lt;DagK,"K",IF(MOD($A40-INDEX(SkiftStart,3),Syklus)&lt;DagK+DagH,"H",IF(MOD($A40-INDEX(SkiftStart,3),Syklus)&lt;DagK+DagH+DagD,"D","F")))</f>
        <v/>
      </c>
      <c r="E40">
        <f>IF(B40="F",0,IF(WEEKDAY($A40,2)=5,INDEX(TimerFr,MATCH(B40,FaseKode,0)),INDEX(TimerMT,MATCH(B40,FaseKode,0))))</f>
        <v/>
      </c>
      <c r="F40">
        <f>IF(C40="F",0,IF(WEEKDAY($A40,2)=5,INDEX(TimerFr,MATCH(C40,FaseKode,0)),INDEX(TimerMT,MATCH(C40,FaseKode,0))))</f>
        <v/>
      </c>
      <c r="G40">
        <f>IF(D40="F",0,IF(WEEKDAY($A40,2)=5,INDEX(TimerFr,MATCH(D40,FaseKode,0)),INDEX(TimerMT,MATCH(D40,FaseKode,0))))</f>
        <v/>
      </c>
      <c r="H40">
        <f>IF(OR(H$4="",$A40&gt;TODAY()),0,IF(OR(INDEX($B40:$D40,H$5)="F",AND(H$6&gt;0,$A40&lt;H$6),AND(H$7&gt;0,$A40&gt;H$7)),0,MAX(0,ROUND((INDEX($E40:$G40,H$5)-SUMIFS(TF_Timer,TF_Tekniker,H$4,TF_Dato,$A40))*2,0)/2)))</f>
        <v/>
      </c>
      <c r="I40">
        <f>IF(OR(I$4="",$A40&gt;TODAY()),0,IF(OR(INDEX($B40:$D40,I$5)="F",AND(I$6&gt;0,$A40&lt;I$6),AND(I$7&gt;0,$A40&gt;I$7)),0,MAX(0,ROUND((INDEX($E40:$G40,I$5)-SUMIFS(TF_Timer,TF_Tekniker,I$4,TF_Dato,$A40))*2,0)/2)))</f>
        <v/>
      </c>
      <c r="J40">
        <f>IF(OR(J$4="",$A40&gt;TODAY()),0,IF(OR(INDEX($B40:$D40,J$5)="F",AND(J$6&gt;0,$A40&lt;J$6),AND(J$7&gt;0,$A40&gt;J$7)),0,MAX(0,ROUND((INDEX($E40:$G40,J$5)-SUMIFS(TF_Timer,TF_Tekniker,J$4,TF_Dato,$A40))*2,0)/2)))</f>
        <v/>
      </c>
      <c r="K40">
        <f>IF(OR(K$4="",$A40&gt;TODAY()),0,IF(OR(INDEX($B40:$D40,K$5)="F",AND(K$6&gt;0,$A40&lt;K$6),AND(K$7&gt;0,$A40&gt;K$7)),0,MAX(0,ROUND((INDEX($E40:$G40,K$5)-SUMIFS(TF_Timer,TF_Tekniker,K$4,TF_Dato,$A40))*2,0)/2)))</f>
        <v/>
      </c>
      <c r="L40">
        <f>IF(OR(L$4="",$A40&gt;TODAY()),0,IF(OR(INDEX($B40:$D40,L$5)="F",AND(L$6&gt;0,$A40&lt;L$6),AND(L$7&gt;0,$A40&gt;L$7)),0,MAX(0,ROUND((INDEX($E40:$G40,L$5)-SUMIFS(TF_Timer,TF_Tekniker,L$4,TF_Dato,$A40))*2,0)/2)))</f>
        <v/>
      </c>
      <c r="M40">
        <f>IF(OR(M$4="",$A40&gt;TODAY()),0,IF(OR(INDEX($B40:$D40,M$5)="F",AND(M$6&gt;0,$A40&lt;M$6),AND(M$7&gt;0,$A40&gt;M$7)),0,MAX(0,ROUND((INDEX($E40:$G40,M$5)-SUMIFS(TF_Timer,TF_Tekniker,M$4,TF_Dato,$A40))*2,0)/2)))</f>
        <v/>
      </c>
      <c r="N40">
        <f>IF(OR(N$4="",$A40&gt;TODAY()),0,IF(OR(INDEX($B40:$D40,N$5)="F",AND(N$6&gt;0,$A40&lt;N$6),AND(N$7&gt;0,$A40&gt;N$7)),0,MAX(0,ROUND((INDEX($E40:$G40,N$5)-SUMIFS(TF_Timer,TF_Tekniker,N$4,TF_Dato,$A40))*2,0)/2)))</f>
        <v/>
      </c>
      <c r="O40">
        <f>IF(OR(O$4="",$A40&gt;TODAY()),0,IF(OR(INDEX($B40:$D40,O$5)="F",AND(O$6&gt;0,$A40&lt;O$6),AND(O$7&gt;0,$A40&gt;O$7)),0,MAX(0,ROUND((INDEX($E40:$G40,O$5)-SUMIFS(TF_Timer,TF_Tekniker,O$4,TF_Dato,$A40))*2,0)/2)))</f>
        <v/>
      </c>
      <c r="P40">
        <f>IF(OR(P$4="",$A40&gt;TODAY()),0,IF(OR(INDEX($B40:$D40,P$5)="F",AND(P$6&gt;0,$A40&lt;P$6),AND(P$7&gt;0,$A40&gt;P$7)),0,MAX(0,ROUND((INDEX($E40:$G40,P$5)-SUMIFS(TF_Timer,TF_Tekniker,P$4,TF_Dato,$A40))*2,0)/2)))</f>
        <v/>
      </c>
      <c r="Q40">
        <f>IF(OR(Q$4="",$A40&gt;TODAY()),0,IF(OR(INDEX($B40:$D40,Q$5)="F",AND(Q$6&gt;0,$A40&lt;Q$6),AND(Q$7&gt;0,$A40&gt;Q$7)),0,MAX(0,ROUND((INDEX($E40:$G40,Q$5)-SUMIFS(TF_Timer,TF_Tekniker,Q$4,TF_Dato,$A40))*2,0)/2)))</f>
        <v/>
      </c>
      <c r="R40">
        <f>IF(OR(R$4="",$A40&gt;TODAY()),0,IF(OR(INDEX($B40:$D40,R$5)="F",AND(R$6&gt;0,$A40&lt;R$6),AND(R$7&gt;0,$A40&gt;R$7)),0,MAX(0,ROUND((INDEX($E40:$G40,R$5)-SUMIFS(TF_Timer,TF_Tekniker,R$4,TF_Dato,$A40))*2,0)/2)))</f>
        <v/>
      </c>
      <c r="S40">
        <f>IF(OR(S$4="",$A40&gt;TODAY()),0,IF(OR(INDEX($B40:$D40,S$5)="F",AND(S$6&gt;0,$A40&lt;S$6),AND(S$7&gt;0,$A40&gt;S$7)),0,MAX(0,ROUND((INDEX($E40:$G40,S$5)-SUMIFS(TF_Timer,TF_Tekniker,S$4,TF_Dato,$A40))*2,0)/2)))</f>
        <v/>
      </c>
      <c r="T40">
        <f>IF(OR(T$4="",$A40&gt;TODAY()),0,IF(OR(INDEX($B40:$D40,T$5)="F",AND(T$6&gt;0,$A40&lt;T$6),AND(T$7&gt;0,$A40&gt;T$7)),0,MAX(0,ROUND((INDEX($E40:$G40,T$5)-SUMIFS(TF_Timer,TF_Tekniker,T$4,TF_Dato,$A40))*2,0)/2)))</f>
        <v/>
      </c>
      <c r="U40">
        <f>IF(OR(U$4="",$A40&gt;TODAY()),0,IF(OR(INDEX($B40:$D40,U$5)="F",AND(U$6&gt;0,$A40&lt;U$6),AND(U$7&gt;0,$A40&gt;U$7)),0,MAX(0,ROUND((INDEX($E40:$G40,U$5)-SUMIFS(TF_Timer,TF_Tekniker,U$4,TF_Dato,$A40))*2,0)/2)))</f>
        <v/>
      </c>
      <c r="V40">
        <f>IF(OR(V$4="",$A40&gt;TODAY()),0,IF(OR(INDEX($B40:$D40,V$5)="F",AND(V$6&gt;0,$A40&lt;V$6),AND(V$7&gt;0,$A40&gt;V$7)),0,MAX(0,ROUND((INDEX($E40:$G40,V$5)-SUMIFS(TF_Timer,TF_Tekniker,V$4,TF_Dato,$A40))*2,0)/2)))</f>
        <v/>
      </c>
      <c r="W40">
        <f>IF(OR(W$4="",$A40&gt;TODAY()),0,IF(OR(INDEX($B40:$D40,W$5)="F",AND(W$6&gt;0,$A40&lt;W$6),AND(W$7&gt;0,$A40&gt;W$7)),0,MAX(0,ROUND((INDEX($E40:$G40,W$5)-SUMIFS(TF_Timer,TF_Tekniker,W$4,TF_Dato,$A40))*2,0)/2)))</f>
        <v/>
      </c>
      <c r="X40">
        <f>IF(OR(X$4="",$A40&gt;TODAY()),0,IF(OR(INDEX($B40:$D40,X$5)="F",AND(X$6&gt;0,$A40&lt;X$6),AND(X$7&gt;0,$A40&gt;X$7)),0,MAX(0,ROUND((INDEX($E40:$G40,X$5)-SUMIFS(TF_Timer,TF_Tekniker,X$4,TF_Dato,$A40))*2,0)/2)))</f>
        <v/>
      </c>
      <c r="Y40">
        <f>IF(OR(Y$4="",$A40&gt;TODAY()),0,IF(OR(INDEX($B40:$D40,Y$5)="F",AND(Y$6&gt;0,$A40&lt;Y$6),AND(Y$7&gt;0,$A40&gt;Y$7)),0,MAX(0,ROUND((INDEX($E40:$G40,Y$5)-SUMIFS(TF_Timer,TF_Tekniker,Y$4,TF_Dato,$A40))*2,0)/2)))</f>
        <v/>
      </c>
      <c r="Z40">
        <f>IF(OR(Z$4="",$A40&gt;TODAY()),0,IF(OR(INDEX($B40:$D40,Z$5)="F",AND(Z$6&gt;0,$A40&lt;Z$6),AND(Z$7&gt;0,$A40&gt;Z$7)),0,MAX(0,ROUND((INDEX($E40:$G40,Z$5)-SUMIFS(TF_Timer,TF_Tekniker,Z$4,TF_Dato,$A40))*2,0)/2)))</f>
        <v/>
      </c>
      <c r="AA40">
        <f>IF(OR(AA$4="",$A40&gt;TODAY()),0,IF(OR(INDEX($B40:$D40,AA$5)="F",AND(AA$6&gt;0,$A40&lt;AA$6),AND(AA$7&gt;0,$A40&gt;AA$7)),0,MAX(0,ROUND((INDEX($E40:$G40,AA$5)-SUMIFS(TF_Timer,TF_Tekniker,AA$4,TF_Dato,$A40))*2,0)/2)))</f>
        <v/>
      </c>
      <c r="AB40">
        <f>IF(OR(AB$4="",$A40&gt;TODAY()),0,IF(OR(INDEX($B40:$D40,AB$5)="F",AND(AB$6&gt;0,$A40&lt;AB$6),AND(AB$7&gt;0,$A40&gt;AB$7)),0,MAX(0,ROUND((INDEX($E40:$G40,AB$5)-SUMIFS(TF_Timer,TF_Tekniker,AB$4,TF_Dato,$A40))*2,0)/2)))</f>
        <v/>
      </c>
      <c r="AC40">
        <f>IF(OR(AC$4="",$A40&gt;TODAY()),0,IF(OR(INDEX($B40:$D40,AC$5)="F",AND(AC$6&gt;0,$A40&lt;AC$6),AND(AC$7&gt;0,$A40&gt;AC$7)),0,MAX(0,ROUND((INDEX($E40:$G40,AC$5)-SUMIFS(TF_Timer,TF_Tekniker,AC$4,TF_Dato,$A40))*2,0)/2)))</f>
        <v/>
      </c>
      <c r="AD40">
        <f>IF(OR(AD$4="",$A40&gt;TODAY()),0,IF(OR(INDEX($B40:$D40,AD$5)="F",AND(AD$6&gt;0,$A40&lt;AD$6),AND(AD$7&gt;0,$A40&gt;AD$7)),0,MAX(0,ROUND((INDEX($E40:$G40,AD$5)-SUMIFS(TF_Timer,TF_Tekniker,AD$4,TF_Dato,$A40))*2,0)/2)))</f>
        <v/>
      </c>
      <c r="AE40">
        <f>IF(OR(AE$4="",$A40&gt;TODAY()),0,IF(OR(INDEX($B40:$D40,AE$5)="F",AND(AE$6&gt;0,$A40&lt;AE$6),AND(AE$7&gt;0,$A40&gt;AE$7)),0,MAX(0,ROUND((INDEX($E40:$G40,AE$5)-SUMIFS(TF_Timer,TF_Tekniker,AE$4,TF_Dato,$A40))*2,0)/2)))</f>
        <v/>
      </c>
      <c r="AF40">
        <f>IF(OR(AF$4="",$A40&gt;TODAY()),0,IF(OR(INDEX($B40:$D40,AF$5)="F",AND(AF$6&gt;0,$A40&lt;AF$6),AND(AF$7&gt;0,$A40&gt;AF$7)),0,MAX(0,ROUND((INDEX($E40:$G40,AF$5)-SUMIFS(TF_Timer,TF_Tekniker,AF$4,TF_Dato,$A40))*2,0)/2)))</f>
        <v/>
      </c>
      <c r="AG40">
        <f>IF(OR(AG$4="",$A40&gt;TODAY()),0,IF(OR(INDEX($B40:$D40,AG$5)="F",AND(AG$6&gt;0,$A40&lt;AG$6),AND(AG$7&gt;0,$A40&gt;AG$7)),0,MAX(0,ROUND((INDEX($E40:$G40,AG$5)-SUMIFS(TF_Timer,TF_Tekniker,AG$4,TF_Dato,$A40))*2,0)/2)))</f>
        <v/>
      </c>
      <c r="AH40">
        <f>IF(OR(AH$4="",$A40&gt;TODAY()),0,IF(OR(INDEX($B40:$D40,AH$5)="F",AND(AH$6&gt;0,$A40&lt;AH$6),AND(AH$7&gt;0,$A40&gt;AH$7)),0,MAX(0,ROUND((INDEX($E40:$G40,AH$5)-SUMIFS(TF_Timer,TF_Tekniker,AH$4,TF_Dato,$A40))*2,0)/2)))</f>
        <v/>
      </c>
      <c r="AI40">
        <f>IF(OR(AI$4="",$A40&gt;TODAY()),0,IF(OR(INDEX($B40:$D40,AI$5)="F",AND(AI$6&gt;0,$A40&lt;AI$6),AND(AI$7&gt;0,$A40&gt;AI$7)),0,MAX(0,ROUND((INDEX($E40:$G40,AI$5)-SUMIFS(TF_Timer,TF_Tekniker,AI$4,TF_Dato,$A40))*2,0)/2)))</f>
        <v/>
      </c>
      <c r="AJ40">
        <f>IF(OR(AJ$4="",$A40&gt;TODAY()),0,IF(OR(INDEX($B40:$D40,AJ$5)="F",AND(AJ$6&gt;0,$A40&lt;AJ$6),AND(AJ$7&gt;0,$A40&gt;AJ$7)),0,MAX(0,ROUND((INDEX($E40:$G40,AJ$5)-SUMIFS(TF_Timer,TF_Tekniker,AJ$4,TF_Dato,$A40))*2,0)/2)))</f>
        <v/>
      </c>
      <c r="AK40">
        <f>IF(OR(AK$4="",$A40&gt;TODAY()),0,IF(OR(INDEX($B40:$D40,AK$5)="F",AND(AK$6&gt;0,$A40&lt;AK$6),AND(AK$7&gt;0,$A40&gt;AK$7)),0,MAX(0,ROUND((INDEX($E40:$G40,AK$5)-SUMIFS(TF_Timer,TF_Tekniker,AK$4,TF_Dato,$A40))*2,0)/2)))</f>
        <v/>
      </c>
      <c r="AL40">
        <f>IF(OR(AL$4="",$A40&gt;TODAY()),0,IF(OR(INDEX($B40:$D40,AL$5)="F",AND(AL$6&gt;0,$A40&lt;AL$6),AND(AL$7&gt;0,$A40&gt;AL$7)),0,MAX(0,ROUND((INDEX($E40:$G40,AL$5)-SUMIFS(TF_Timer,TF_Tekniker,AL$4,TF_Dato,$A40))*2,0)/2)))</f>
        <v/>
      </c>
      <c r="AM40">
        <f>IF(OR(AM$4="",$A40&gt;TODAY()),0,IF(OR(INDEX($B40:$D40,AM$5)="F",AND(AM$6&gt;0,$A40&lt;AM$6),AND(AM$7&gt;0,$A40&gt;AM$7)),0,MAX(0,ROUND((INDEX($E40:$G40,AM$5)-SUMIFS(TF_Timer,TF_Tekniker,AM$4,TF_Dato,$A40))*2,0)/2)))</f>
        <v/>
      </c>
      <c r="AN40">
        <f>IF(OR(AN$4="",$A40&gt;TODAY()),0,IF(OR(INDEX($B40:$D40,AN$5)="F",AND(AN$6&gt;0,$A40&lt;AN$6),AND(AN$7&gt;0,$A40&gt;AN$7)),0,MAX(0,ROUND((INDEX($E40:$G40,AN$5)-SUMIFS(TF_Timer,TF_Tekniker,AN$4,TF_Dato,$A40))*2,0)/2)))</f>
        <v/>
      </c>
      <c r="AO40">
        <f>IF(OR(AO$4="",$A40&gt;TODAY()),0,IF(OR(INDEX($B40:$D40,AO$5)="F",AND(AO$6&gt;0,$A40&lt;AO$6),AND(AO$7&gt;0,$A40&gt;AO$7)),0,MAX(0,ROUND((INDEX($E40:$G40,AO$5)-SUMIFS(TF_Timer,TF_Tekniker,AO$4,TF_Dato,$A40))*2,0)/2)))</f>
        <v/>
      </c>
      <c r="AP40">
        <f>IF(OR(AP$4="",$A40&gt;TODAY()),0,IF(OR(INDEX($B40:$D40,AP$5)="F",AND(AP$6&gt;0,$A40&lt;AP$6),AND(AP$7&gt;0,$A40&gt;AP$7)),0,MAX(0,ROUND((INDEX($E40:$G40,AP$5)-SUMIFS(TF_Timer,TF_Tekniker,AP$4,TF_Dato,$A40))*2,0)/2)))</f>
        <v/>
      </c>
      <c r="AQ40">
        <f>IF(OR(AQ$4="",$A40&gt;TODAY()),0,IF(OR(INDEX($B40:$D40,AQ$5)="F",AND(AQ$6&gt;0,$A40&lt;AQ$6),AND(AQ$7&gt;0,$A40&gt;AQ$7)),0,MAX(0,ROUND((INDEX($E40:$G40,AQ$5)-SUMIFS(TF_Timer,TF_Tekniker,AQ$4,TF_Dato,$A40))*2,0)/2)))</f>
        <v/>
      </c>
      <c r="AR40">
        <f>IF(OR(AR$4="",$A40&gt;TODAY()),0,IF(OR(INDEX($B40:$D40,AR$5)="F",AND(AR$6&gt;0,$A40&lt;AR$6),AND(AR$7&gt;0,$A40&gt;AR$7)),0,MAX(0,ROUND((INDEX($E40:$G40,AR$5)-SUMIFS(TF_Timer,TF_Tekniker,AR$4,TF_Dato,$A40))*2,0)/2)))</f>
        <v/>
      </c>
      <c r="AS40">
        <f>IF(OR(AS$4="",$A40&gt;TODAY()),0,IF(OR(INDEX($B40:$D40,AS$5)="F",AND(AS$6&gt;0,$A40&lt;AS$6),AND(AS$7&gt;0,$A40&gt;AS$7)),0,MAX(0,ROUND((INDEX($E40:$G40,AS$5)-SUMIFS(TF_Timer,TF_Tekniker,AS$4,TF_Dato,$A40))*2,0)/2)))</f>
        <v/>
      </c>
      <c r="AT40">
        <f>IF(OR(AT$4="",$A40&gt;TODAY()),0,IF(OR(INDEX($B40:$D40,AT$5)="F",AND(AT$6&gt;0,$A40&lt;AT$6),AND(AT$7&gt;0,$A40&gt;AT$7)),0,MAX(0,ROUND((INDEX($E40:$G40,AT$5)-SUMIFS(TF_Timer,TF_Tekniker,AT$4,TF_Dato,$A40))*2,0)/2)))</f>
        <v/>
      </c>
      <c r="AU40">
        <f>IF(OR(AU$4="",$A40&gt;TODAY()),0,IF(OR(INDEX($B40:$D40,AU$5)="F",AND(AU$6&gt;0,$A40&lt;AU$6),AND(AU$7&gt;0,$A40&gt;AU$7)),0,MAX(0,ROUND((INDEX($E40:$G40,AU$5)-SUMIFS(TF_Timer,TF_Tekniker,AU$4,TF_Dato,$A40))*2,0)/2)))</f>
        <v/>
      </c>
      <c r="AV40">
        <f>IF(OR(AV$4="",$A40&gt;TODAY()),0,IF(OR(INDEX($B40:$D40,AV$5)="F",AND(AV$6&gt;0,$A40&lt;AV$6),AND(AV$7&gt;0,$A40&gt;AV$7)),0,MAX(0,ROUND((INDEX($E40:$G40,AV$5)-SUMIFS(TF_Timer,TF_Tekniker,AV$4,TF_Dato,$A40))*2,0)/2)))</f>
        <v/>
      </c>
      <c r="AW40">
        <f>IF(OR(AW$4="",$A40&gt;TODAY()),0,IF(OR(INDEX($B40:$D40,AW$5)="F",AND(AW$6&gt;0,$A40&lt;AW$6),AND(AW$7&gt;0,$A40&gt;AW$7)),0,MAX(0,ROUND((INDEX($E40:$G40,AW$5)-SUMIFS(TF_Timer,TF_Tekniker,AW$4,TF_Dato,$A40))*2,0)/2)))</f>
        <v/>
      </c>
      <c r="AX40">
        <f>IF(OR(AX$4="",$A40&gt;TODAY()),0,IF(OR(INDEX($B40:$D40,AX$5)="F",AND(AX$6&gt;0,$A40&lt;AX$6),AND(AX$7&gt;0,$A40&gt;AX$7)),0,MAX(0,ROUND((INDEX($E40:$G40,AX$5)-SUMIFS(TF_Timer,TF_Tekniker,AX$4,TF_Dato,$A40))*2,0)/2)))</f>
        <v/>
      </c>
      <c r="AY40">
        <f>IF(OR(AY$4="",$A40&gt;TODAY()),0,IF(OR(INDEX($B40:$D40,AY$5)="F",AND(AY$6&gt;0,$A40&lt;AY$6),AND(AY$7&gt;0,$A40&gt;AY$7)),0,MAX(0,ROUND((INDEX($E40:$G40,AY$5)-SUMIFS(TF_Timer,TF_Tekniker,AY$4,TF_Dato,$A40))*2,0)/2)))</f>
        <v/>
      </c>
      <c r="AZ40">
        <f>IF(OR(AZ$4="",$A40&gt;TODAY()),0,IF(OR(INDEX($B40:$D40,AZ$5)="F",AND(AZ$6&gt;0,$A40&lt;AZ$6),AND(AZ$7&gt;0,$A40&gt;AZ$7)),0,MAX(0,ROUND((INDEX($E40:$G40,AZ$5)-SUMIFS(TF_Timer,TF_Tekniker,AZ$4,TF_Dato,$A40))*2,0)/2)))</f>
        <v/>
      </c>
      <c r="BA40">
        <f>IF(OR(BA$4="",$A40&gt;TODAY()),0,IF(OR(INDEX($B40:$D40,BA$5)="F",AND(BA$6&gt;0,$A40&lt;BA$6),AND(BA$7&gt;0,$A40&gt;BA$7)),0,MAX(0,ROUND((INDEX($E40:$G40,BA$5)-SUMIFS(TF_Timer,TF_Tekniker,BA$4,TF_Dato,$A40))*2,0)/2)))</f>
        <v/>
      </c>
      <c r="BB40">
        <f>IF(OR(BB$4="",$A40&gt;TODAY()),0,IF(OR(INDEX($B40:$D40,BB$5)="F",AND(BB$6&gt;0,$A40&lt;BB$6),AND(BB$7&gt;0,$A40&gt;BB$7)),0,MAX(0,ROUND((INDEX($E40:$G40,BB$5)-SUMIFS(TF_Timer,TF_Tekniker,BB$4,TF_Dato,$A40))*2,0)/2)))</f>
        <v/>
      </c>
      <c r="BC40">
        <f>IF(OR(BC$4="",$A40&gt;TODAY()),0,IF(OR(INDEX($B40:$D40,BC$5)="F",AND(BC$6&gt;0,$A40&lt;BC$6),AND(BC$7&gt;0,$A40&gt;BC$7)),0,MAX(0,ROUND((INDEX($E40:$G40,BC$5)-SUMIFS(TF_Timer,TF_Tekniker,BC$4,TF_Dato,$A40))*2,0)/2)))</f>
        <v/>
      </c>
      <c r="BD40">
        <f>IF(OR(BD$4="",$A40&gt;TODAY()),0,IF(OR(INDEX($B40:$D40,BD$5)="F",AND(BD$6&gt;0,$A40&lt;BD$6),AND(BD$7&gt;0,$A40&gt;BD$7)),0,MAX(0,ROUND((INDEX($E40:$G40,BD$5)-SUMIFS(TF_Timer,TF_Tekniker,BD$4,TF_Dato,$A40))*2,0)/2)))</f>
        <v/>
      </c>
      <c r="BE40">
        <f>IF(OR(BE$4="",$A40&gt;TODAY()),0,IF(OR(INDEX($B40:$D40,BE$5)="F",AND(BE$6&gt;0,$A40&lt;BE$6),AND(BE$7&gt;0,$A40&gt;BE$7)),0,MAX(0,ROUND((INDEX($E40:$G40,BE$5)-SUMIFS(TF_Timer,TF_Tekniker,BE$4,TF_Dato,$A40))*2,0)/2)))</f>
        <v/>
      </c>
      <c r="BF40">
        <f>IF(OR(BF$4="",$A40&gt;TODAY()),0,IF(OR(INDEX($B40:$D40,BF$5)="F",AND(BF$6&gt;0,$A40&lt;BF$6),AND(BF$7&gt;0,$A40&gt;BF$7)),0,MAX(0,ROUND((INDEX($E40:$G40,BF$5)-SUMIFS(TF_Timer,TF_Tekniker,BF$4,TF_Dato,$A40))*2,0)/2)))</f>
        <v/>
      </c>
      <c r="BG40">
        <f>IF(OR(BG$4="",$A40&gt;TODAY()),0,IF(OR(INDEX($B40:$D40,BG$5)="F",AND(BG$6&gt;0,$A40&lt;BG$6),AND(BG$7&gt;0,$A40&gt;BG$7)),0,MAX(0,ROUND((INDEX($E40:$G40,BG$5)-SUMIFS(TF_Timer,TF_Tekniker,BG$4,TF_Dato,$A40))*2,0)/2)))</f>
        <v/>
      </c>
      <c r="BH40">
        <f>IF(OR(BH$4="",$A40&gt;TODAY()),0,IF(OR(INDEX($B40:$D40,BH$5)="F",AND(BH$6&gt;0,$A40&lt;BH$6),AND(BH$7&gt;0,$A40&gt;BH$7)),0,MAX(0,ROUND((INDEX($E40:$G40,BH$5)-SUMIFS(TF_Timer,TF_Tekniker,BH$4,TF_Dato,$A40))*2,0)/2)))</f>
        <v/>
      </c>
      <c r="BI40">
        <f>IF(OR(BI$4="",$A40&gt;TODAY()),0,IF(OR(INDEX($B40:$D40,BI$5)="F",AND(BI$6&gt;0,$A40&lt;BI$6),AND(BI$7&gt;0,$A40&gt;BI$7)),0,MAX(0,ROUND((INDEX($E40:$G40,BI$5)-SUMIFS(TF_Timer,TF_Tekniker,BI$4,TF_Dato,$A40))*2,0)/2)))</f>
        <v/>
      </c>
    </row>
    <row r="41">
      <c r="A41" s="64">
        <f>A40+1</f>
        <v/>
      </c>
      <c r="B41">
        <f>IF(MOD($A41-INDEX(SkiftStart,1),Syklus)&lt;DagK,"K",IF(MOD($A41-INDEX(SkiftStart,1),Syklus)&lt;DagK+DagH,"H",IF(MOD($A41-INDEX(SkiftStart,1),Syklus)&lt;DagK+DagH+DagD,"D","F")))</f>
        <v/>
      </c>
      <c r="C41">
        <f>IF(MOD($A41-INDEX(SkiftStart,2),Syklus)&lt;DagK,"K",IF(MOD($A41-INDEX(SkiftStart,2),Syklus)&lt;DagK+DagH,"H",IF(MOD($A41-INDEX(SkiftStart,2),Syklus)&lt;DagK+DagH+DagD,"D","F")))</f>
        <v/>
      </c>
      <c r="D41">
        <f>IF(MOD($A41-INDEX(SkiftStart,3),Syklus)&lt;DagK,"K",IF(MOD($A41-INDEX(SkiftStart,3),Syklus)&lt;DagK+DagH,"H",IF(MOD($A41-INDEX(SkiftStart,3),Syklus)&lt;DagK+DagH+DagD,"D","F")))</f>
        <v/>
      </c>
      <c r="E41">
        <f>IF(B41="F",0,IF(WEEKDAY($A41,2)=5,INDEX(TimerFr,MATCH(B41,FaseKode,0)),INDEX(TimerMT,MATCH(B41,FaseKode,0))))</f>
        <v/>
      </c>
      <c r="F41">
        <f>IF(C41="F",0,IF(WEEKDAY($A41,2)=5,INDEX(TimerFr,MATCH(C41,FaseKode,0)),INDEX(TimerMT,MATCH(C41,FaseKode,0))))</f>
        <v/>
      </c>
      <c r="G41">
        <f>IF(D41="F",0,IF(WEEKDAY($A41,2)=5,INDEX(TimerFr,MATCH(D41,FaseKode,0)),INDEX(TimerMT,MATCH(D41,FaseKode,0))))</f>
        <v/>
      </c>
      <c r="H41">
        <f>IF(OR(H$4="",$A41&gt;TODAY()),0,IF(OR(INDEX($B41:$D41,H$5)="F",AND(H$6&gt;0,$A41&lt;H$6),AND(H$7&gt;0,$A41&gt;H$7)),0,MAX(0,ROUND((INDEX($E41:$G41,H$5)-SUMIFS(TF_Timer,TF_Tekniker,H$4,TF_Dato,$A41))*2,0)/2)))</f>
        <v/>
      </c>
      <c r="I41">
        <f>IF(OR(I$4="",$A41&gt;TODAY()),0,IF(OR(INDEX($B41:$D41,I$5)="F",AND(I$6&gt;0,$A41&lt;I$6),AND(I$7&gt;0,$A41&gt;I$7)),0,MAX(0,ROUND((INDEX($E41:$G41,I$5)-SUMIFS(TF_Timer,TF_Tekniker,I$4,TF_Dato,$A41))*2,0)/2)))</f>
        <v/>
      </c>
      <c r="J41">
        <f>IF(OR(J$4="",$A41&gt;TODAY()),0,IF(OR(INDEX($B41:$D41,J$5)="F",AND(J$6&gt;0,$A41&lt;J$6),AND(J$7&gt;0,$A41&gt;J$7)),0,MAX(0,ROUND((INDEX($E41:$G41,J$5)-SUMIFS(TF_Timer,TF_Tekniker,J$4,TF_Dato,$A41))*2,0)/2)))</f>
        <v/>
      </c>
      <c r="K41">
        <f>IF(OR(K$4="",$A41&gt;TODAY()),0,IF(OR(INDEX($B41:$D41,K$5)="F",AND(K$6&gt;0,$A41&lt;K$6),AND(K$7&gt;0,$A41&gt;K$7)),0,MAX(0,ROUND((INDEX($E41:$G41,K$5)-SUMIFS(TF_Timer,TF_Tekniker,K$4,TF_Dato,$A41))*2,0)/2)))</f>
        <v/>
      </c>
      <c r="L41">
        <f>IF(OR(L$4="",$A41&gt;TODAY()),0,IF(OR(INDEX($B41:$D41,L$5)="F",AND(L$6&gt;0,$A41&lt;L$6),AND(L$7&gt;0,$A41&gt;L$7)),0,MAX(0,ROUND((INDEX($E41:$G41,L$5)-SUMIFS(TF_Timer,TF_Tekniker,L$4,TF_Dato,$A41))*2,0)/2)))</f>
        <v/>
      </c>
      <c r="M41">
        <f>IF(OR(M$4="",$A41&gt;TODAY()),0,IF(OR(INDEX($B41:$D41,M$5)="F",AND(M$6&gt;0,$A41&lt;M$6),AND(M$7&gt;0,$A41&gt;M$7)),0,MAX(0,ROUND((INDEX($E41:$G41,M$5)-SUMIFS(TF_Timer,TF_Tekniker,M$4,TF_Dato,$A41))*2,0)/2)))</f>
        <v/>
      </c>
      <c r="N41">
        <f>IF(OR(N$4="",$A41&gt;TODAY()),0,IF(OR(INDEX($B41:$D41,N$5)="F",AND(N$6&gt;0,$A41&lt;N$6),AND(N$7&gt;0,$A41&gt;N$7)),0,MAX(0,ROUND((INDEX($E41:$G41,N$5)-SUMIFS(TF_Timer,TF_Tekniker,N$4,TF_Dato,$A41))*2,0)/2)))</f>
        <v/>
      </c>
      <c r="O41">
        <f>IF(OR(O$4="",$A41&gt;TODAY()),0,IF(OR(INDEX($B41:$D41,O$5)="F",AND(O$6&gt;0,$A41&lt;O$6),AND(O$7&gt;0,$A41&gt;O$7)),0,MAX(0,ROUND((INDEX($E41:$G41,O$5)-SUMIFS(TF_Timer,TF_Tekniker,O$4,TF_Dato,$A41))*2,0)/2)))</f>
        <v/>
      </c>
      <c r="P41">
        <f>IF(OR(P$4="",$A41&gt;TODAY()),0,IF(OR(INDEX($B41:$D41,P$5)="F",AND(P$6&gt;0,$A41&lt;P$6),AND(P$7&gt;0,$A41&gt;P$7)),0,MAX(0,ROUND((INDEX($E41:$G41,P$5)-SUMIFS(TF_Timer,TF_Tekniker,P$4,TF_Dato,$A41))*2,0)/2)))</f>
        <v/>
      </c>
      <c r="Q41">
        <f>IF(OR(Q$4="",$A41&gt;TODAY()),0,IF(OR(INDEX($B41:$D41,Q$5)="F",AND(Q$6&gt;0,$A41&lt;Q$6),AND(Q$7&gt;0,$A41&gt;Q$7)),0,MAX(0,ROUND((INDEX($E41:$G41,Q$5)-SUMIFS(TF_Timer,TF_Tekniker,Q$4,TF_Dato,$A41))*2,0)/2)))</f>
        <v/>
      </c>
      <c r="R41">
        <f>IF(OR(R$4="",$A41&gt;TODAY()),0,IF(OR(INDEX($B41:$D41,R$5)="F",AND(R$6&gt;0,$A41&lt;R$6),AND(R$7&gt;0,$A41&gt;R$7)),0,MAX(0,ROUND((INDEX($E41:$G41,R$5)-SUMIFS(TF_Timer,TF_Tekniker,R$4,TF_Dato,$A41))*2,0)/2)))</f>
        <v/>
      </c>
      <c r="S41">
        <f>IF(OR(S$4="",$A41&gt;TODAY()),0,IF(OR(INDEX($B41:$D41,S$5)="F",AND(S$6&gt;0,$A41&lt;S$6),AND(S$7&gt;0,$A41&gt;S$7)),0,MAX(0,ROUND((INDEX($E41:$G41,S$5)-SUMIFS(TF_Timer,TF_Tekniker,S$4,TF_Dato,$A41))*2,0)/2)))</f>
        <v/>
      </c>
      <c r="T41">
        <f>IF(OR(T$4="",$A41&gt;TODAY()),0,IF(OR(INDEX($B41:$D41,T$5)="F",AND(T$6&gt;0,$A41&lt;T$6),AND(T$7&gt;0,$A41&gt;T$7)),0,MAX(0,ROUND((INDEX($E41:$G41,T$5)-SUMIFS(TF_Timer,TF_Tekniker,T$4,TF_Dato,$A41))*2,0)/2)))</f>
        <v/>
      </c>
      <c r="U41">
        <f>IF(OR(U$4="",$A41&gt;TODAY()),0,IF(OR(INDEX($B41:$D41,U$5)="F",AND(U$6&gt;0,$A41&lt;U$6),AND(U$7&gt;0,$A41&gt;U$7)),0,MAX(0,ROUND((INDEX($E41:$G41,U$5)-SUMIFS(TF_Timer,TF_Tekniker,U$4,TF_Dato,$A41))*2,0)/2)))</f>
        <v/>
      </c>
      <c r="V41">
        <f>IF(OR(V$4="",$A41&gt;TODAY()),0,IF(OR(INDEX($B41:$D41,V$5)="F",AND(V$6&gt;0,$A41&lt;V$6),AND(V$7&gt;0,$A41&gt;V$7)),0,MAX(0,ROUND((INDEX($E41:$G41,V$5)-SUMIFS(TF_Timer,TF_Tekniker,V$4,TF_Dato,$A41))*2,0)/2)))</f>
        <v/>
      </c>
      <c r="W41">
        <f>IF(OR(W$4="",$A41&gt;TODAY()),0,IF(OR(INDEX($B41:$D41,W$5)="F",AND(W$6&gt;0,$A41&lt;W$6),AND(W$7&gt;0,$A41&gt;W$7)),0,MAX(0,ROUND((INDEX($E41:$G41,W$5)-SUMIFS(TF_Timer,TF_Tekniker,W$4,TF_Dato,$A41))*2,0)/2)))</f>
        <v/>
      </c>
      <c r="X41">
        <f>IF(OR(X$4="",$A41&gt;TODAY()),0,IF(OR(INDEX($B41:$D41,X$5)="F",AND(X$6&gt;0,$A41&lt;X$6),AND(X$7&gt;0,$A41&gt;X$7)),0,MAX(0,ROUND((INDEX($E41:$G41,X$5)-SUMIFS(TF_Timer,TF_Tekniker,X$4,TF_Dato,$A41))*2,0)/2)))</f>
        <v/>
      </c>
      <c r="Y41">
        <f>IF(OR(Y$4="",$A41&gt;TODAY()),0,IF(OR(INDEX($B41:$D41,Y$5)="F",AND(Y$6&gt;0,$A41&lt;Y$6),AND(Y$7&gt;0,$A41&gt;Y$7)),0,MAX(0,ROUND((INDEX($E41:$G41,Y$5)-SUMIFS(TF_Timer,TF_Tekniker,Y$4,TF_Dato,$A41))*2,0)/2)))</f>
        <v/>
      </c>
      <c r="Z41">
        <f>IF(OR(Z$4="",$A41&gt;TODAY()),0,IF(OR(INDEX($B41:$D41,Z$5)="F",AND(Z$6&gt;0,$A41&lt;Z$6),AND(Z$7&gt;0,$A41&gt;Z$7)),0,MAX(0,ROUND((INDEX($E41:$G41,Z$5)-SUMIFS(TF_Timer,TF_Tekniker,Z$4,TF_Dato,$A41))*2,0)/2)))</f>
        <v/>
      </c>
      <c r="AA41">
        <f>IF(OR(AA$4="",$A41&gt;TODAY()),0,IF(OR(INDEX($B41:$D41,AA$5)="F",AND(AA$6&gt;0,$A41&lt;AA$6),AND(AA$7&gt;0,$A41&gt;AA$7)),0,MAX(0,ROUND((INDEX($E41:$G41,AA$5)-SUMIFS(TF_Timer,TF_Tekniker,AA$4,TF_Dato,$A41))*2,0)/2)))</f>
        <v/>
      </c>
      <c r="AB41">
        <f>IF(OR(AB$4="",$A41&gt;TODAY()),0,IF(OR(INDEX($B41:$D41,AB$5)="F",AND(AB$6&gt;0,$A41&lt;AB$6),AND(AB$7&gt;0,$A41&gt;AB$7)),0,MAX(0,ROUND((INDEX($E41:$G41,AB$5)-SUMIFS(TF_Timer,TF_Tekniker,AB$4,TF_Dato,$A41))*2,0)/2)))</f>
        <v/>
      </c>
      <c r="AC41">
        <f>IF(OR(AC$4="",$A41&gt;TODAY()),0,IF(OR(INDEX($B41:$D41,AC$5)="F",AND(AC$6&gt;0,$A41&lt;AC$6),AND(AC$7&gt;0,$A41&gt;AC$7)),0,MAX(0,ROUND((INDEX($E41:$G41,AC$5)-SUMIFS(TF_Timer,TF_Tekniker,AC$4,TF_Dato,$A41))*2,0)/2)))</f>
        <v/>
      </c>
      <c r="AD41">
        <f>IF(OR(AD$4="",$A41&gt;TODAY()),0,IF(OR(INDEX($B41:$D41,AD$5)="F",AND(AD$6&gt;0,$A41&lt;AD$6),AND(AD$7&gt;0,$A41&gt;AD$7)),0,MAX(0,ROUND((INDEX($E41:$G41,AD$5)-SUMIFS(TF_Timer,TF_Tekniker,AD$4,TF_Dato,$A41))*2,0)/2)))</f>
        <v/>
      </c>
      <c r="AE41">
        <f>IF(OR(AE$4="",$A41&gt;TODAY()),0,IF(OR(INDEX($B41:$D41,AE$5)="F",AND(AE$6&gt;0,$A41&lt;AE$6),AND(AE$7&gt;0,$A41&gt;AE$7)),0,MAX(0,ROUND((INDEX($E41:$G41,AE$5)-SUMIFS(TF_Timer,TF_Tekniker,AE$4,TF_Dato,$A41))*2,0)/2)))</f>
        <v/>
      </c>
      <c r="AF41">
        <f>IF(OR(AF$4="",$A41&gt;TODAY()),0,IF(OR(INDEX($B41:$D41,AF$5)="F",AND(AF$6&gt;0,$A41&lt;AF$6),AND(AF$7&gt;0,$A41&gt;AF$7)),0,MAX(0,ROUND((INDEX($E41:$G41,AF$5)-SUMIFS(TF_Timer,TF_Tekniker,AF$4,TF_Dato,$A41))*2,0)/2)))</f>
        <v/>
      </c>
      <c r="AG41">
        <f>IF(OR(AG$4="",$A41&gt;TODAY()),0,IF(OR(INDEX($B41:$D41,AG$5)="F",AND(AG$6&gt;0,$A41&lt;AG$6),AND(AG$7&gt;0,$A41&gt;AG$7)),0,MAX(0,ROUND((INDEX($E41:$G41,AG$5)-SUMIFS(TF_Timer,TF_Tekniker,AG$4,TF_Dato,$A41))*2,0)/2)))</f>
        <v/>
      </c>
      <c r="AH41">
        <f>IF(OR(AH$4="",$A41&gt;TODAY()),0,IF(OR(INDEX($B41:$D41,AH$5)="F",AND(AH$6&gt;0,$A41&lt;AH$6),AND(AH$7&gt;0,$A41&gt;AH$7)),0,MAX(0,ROUND((INDEX($E41:$G41,AH$5)-SUMIFS(TF_Timer,TF_Tekniker,AH$4,TF_Dato,$A41))*2,0)/2)))</f>
        <v/>
      </c>
      <c r="AI41">
        <f>IF(OR(AI$4="",$A41&gt;TODAY()),0,IF(OR(INDEX($B41:$D41,AI$5)="F",AND(AI$6&gt;0,$A41&lt;AI$6),AND(AI$7&gt;0,$A41&gt;AI$7)),0,MAX(0,ROUND((INDEX($E41:$G41,AI$5)-SUMIFS(TF_Timer,TF_Tekniker,AI$4,TF_Dato,$A41))*2,0)/2)))</f>
        <v/>
      </c>
      <c r="AJ41">
        <f>IF(OR(AJ$4="",$A41&gt;TODAY()),0,IF(OR(INDEX($B41:$D41,AJ$5)="F",AND(AJ$6&gt;0,$A41&lt;AJ$6),AND(AJ$7&gt;0,$A41&gt;AJ$7)),0,MAX(0,ROUND((INDEX($E41:$G41,AJ$5)-SUMIFS(TF_Timer,TF_Tekniker,AJ$4,TF_Dato,$A41))*2,0)/2)))</f>
        <v/>
      </c>
      <c r="AK41">
        <f>IF(OR(AK$4="",$A41&gt;TODAY()),0,IF(OR(INDEX($B41:$D41,AK$5)="F",AND(AK$6&gt;0,$A41&lt;AK$6),AND(AK$7&gt;0,$A41&gt;AK$7)),0,MAX(0,ROUND((INDEX($E41:$G41,AK$5)-SUMIFS(TF_Timer,TF_Tekniker,AK$4,TF_Dato,$A41))*2,0)/2)))</f>
        <v/>
      </c>
      <c r="AL41">
        <f>IF(OR(AL$4="",$A41&gt;TODAY()),0,IF(OR(INDEX($B41:$D41,AL$5)="F",AND(AL$6&gt;0,$A41&lt;AL$6),AND(AL$7&gt;0,$A41&gt;AL$7)),0,MAX(0,ROUND((INDEX($E41:$G41,AL$5)-SUMIFS(TF_Timer,TF_Tekniker,AL$4,TF_Dato,$A41))*2,0)/2)))</f>
        <v/>
      </c>
      <c r="AM41">
        <f>IF(OR(AM$4="",$A41&gt;TODAY()),0,IF(OR(INDEX($B41:$D41,AM$5)="F",AND(AM$6&gt;0,$A41&lt;AM$6),AND(AM$7&gt;0,$A41&gt;AM$7)),0,MAX(0,ROUND((INDEX($E41:$G41,AM$5)-SUMIFS(TF_Timer,TF_Tekniker,AM$4,TF_Dato,$A41))*2,0)/2)))</f>
        <v/>
      </c>
      <c r="AN41">
        <f>IF(OR(AN$4="",$A41&gt;TODAY()),0,IF(OR(INDEX($B41:$D41,AN$5)="F",AND(AN$6&gt;0,$A41&lt;AN$6),AND(AN$7&gt;0,$A41&gt;AN$7)),0,MAX(0,ROUND((INDEX($E41:$G41,AN$5)-SUMIFS(TF_Timer,TF_Tekniker,AN$4,TF_Dato,$A41))*2,0)/2)))</f>
        <v/>
      </c>
      <c r="AO41">
        <f>IF(OR(AO$4="",$A41&gt;TODAY()),0,IF(OR(INDEX($B41:$D41,AO$5)="F",AND(AO$6&gt;0,$A41&lt;AO$6),AND(AO$7&gt;0,$A41&gt;AO$7)),0,MAX(0,ROUND((INDEX($E41:$G41,AO$5)-SUMIFS(TF_Timer,TF_Tekniker,AO$4,TF_Dato,$A41))*2,0)/2)))</f>
        <v/>
      </c>
      <c r="AP41">
        <f>IF(OR(AP$4="",$A41&gt;TODAY()),0,IF(OR(INDEX($B41:$D41,AP$5)="F",AND(AP$6&gt;0,$A41&lt;AP$6),AND(AP$7&gt;0,$A41&gt;AP$7)),0,MAX(0,ROUND((INDEX($E41:$G41,AP$5)-SUMIFS(TF_Timer,TF_Tekniker,AP$4,TF_Dato,$A41))*2,0)/2)))</f>
        <v/>
      </c>
      <c r="AQ41">
        <f>IF(OR(AQ$4="",$A41&gt;TODAY()),0,IF(OR(INDEX($B41:$D41,AQ$5)="F",AND(AQ$6&gt;0,$A41&lt;AQ$6),AND(AQ$7&gt;0,$A41&gt;AQ$7)),0,MAX(0,ROUND((INDEX($E41:$G41,AQ$5)-SUMIFS(TF_Timer,TF_Tekniker,AQ$4,TF_Dato,$A41))*2,0)/2)))</f>
        <v/>
      </c>
      <c r="AR41">
        <f>IF(OR(AR$4="",$A41&gt;TODAY()),0,IF(OR(INDEX($B41:$D41,AR$5)="F",AND(AR$6&gt;0,$A41&lt;AR$6),AND(AR$7&gt;0,$A41&gt;AR$7)),0,MAX(0,ROUND((INDEX($E41:$G41,AR$5)-SUMIFS(TF_Timer,TF_Tekniker,AR$4,TF_Dato,$A41))*2,0)/2)))</f>
        <v/>
      </c>
      <c r="AS41">
        <f>IF(OR(AS$4="",$A41&gt;TODAY()),0,IF(OR(INDEX($B41:$D41,AS$5)="F",AND(AS$6&gt;0,$A41&lt;AS$6),AND(AS$7&gt;0,$A41&gt;AS$7)),0,MAX(0,ROUND((INDEX($E41:$G41,AS$5)-SUMIFS(TF_Timer,TF_Tekniker,AS$4,TF_Dato,$A41))*2,0)/2)))</f>
        <v/>
      </c>
      <c r="AT41">
        <f>IF(OR(AT$4="",$A41&gt;TODAY()),0,IF(OR(INDEX($B41:$D41,AT$5)="F",AND(AT$6&gt;0,$A41&lt;AT$6),AND(AT$7&gt;0,$A41&gt;AT$7)),0,MAX(0,ROUND((INDEX($E41:$G41,AT$5)-SUMIFS(TF_Timer,TF_Tekniker,AT$4,TF_Dato,$A41))*2,0)/2)))</f>
        <v/>
      </c>
      <c r="AU41">
        <f>IF(OR(AU$4="",$A41&gt;TODAY()),0,IF(OR(INDEX($B41:$D41,AU$5)="F",AND(AU$6&gt;0,$A41&lt;AU$6),AND(AU$7&gt;0,$A41&gt;AU$7)),0,MAX(0,ROUND((INDEX($E41:$G41,AU$5)-SUMIFS(TF_Timer,TF_Tekniker,AU$4,TF_Dato,$A41))*2,0)/2)))</f>
        <v/>
      </c>
      <c r="AV41">
        <f>IF(OR(AV$4="",$A41&gt;TODAY()),0,IF(OR(INDEX($B41:$D41,AV$5)="F",AND(AV$6&gt;0,$A41&lt;AV$6),AND(AV$7&gt;0,$A41&gt;AV$7)),0,MAX(0,ROUND((INDEX($E41:$G41,AV$5)-SUMIFS(TF_Timer,TF_Tekniker,AV$4,TF_Dato,$A41))*2,0)/2)))</f>
        <v/>
      </c>
      <c r="AW41">
        <f>IF(OR(AW$4="",$A41&gt;TODAY()),0,IF(OR(INDEX($B41:$D41,AW$5)="F",AND(AW$6&gt;0,$A41&lt;AW$6),AND(AW$7&gt;0,$A41&gt;AW$7)),0,MAX(0,ROUND((INDEX($E41:$G41,AW$5)-SUMIFS(TF_Timer,TF_Tekniker,AW$4,TF_Dato,$A41))*2,0)/2)))</f>
        <v/>
      </c>
      <c r="AX41">
        <f>IF(OR(AX$4="",$A41&gt;TODAY()),0,IF(OR(INDEX($B41:$D41,AX$5)="F",AND(AX$6&gt;0,$A41&lt;AX$6),AND(AX$7&gt;0,$A41&gt;AX$7)),0,MAX(0,ROUND((INDEX($E41:$G41,AX$5)-SUMIFS(TF_Timer,TF_Tekniker,AX$4,TF_Dato,$A41))*2,0)/2)))</f>
        <v/>
      </c>
      <c r="AY41">
        <f>IF(OR(AY$4="",$A41&gt;TODAY()),0,IF(OR(INDEX($B41:$D41,AY$5)="F",AND(AY$6&gt;0,$A41&lt;AY$6),AND(AY$7&gt;0,$A41&gt;AY$7)),0,MAX(0,ROUND((INDEX($E41:$G41,AY$5)-SUMIFS(TF_Timer,TF_Tekniker,AY$4,TF_Dato,$A41))*2,0)/2)))</f>
        <v/>
      </c>
      <c r="AZ41">
        <f>IF(OR(AZ$4="",$A41&gt;TODAY()),0,IF(OR(INDEX($B41:$D41,AZ$5)="F",AND(AZ$6&gt;0,$A41&lt;AZ$6),AND(AZ$7&gt;0,$A41&gt;AZ$7)),0,MAX(0,ROUND((INDEX($E41:$G41,AZ$5)-SUMIFS(TF_Timer,TF_Tekniker,AZ$4,TF_Dato,$A41))*2,0)/2)))</f>
        <v/>
      </c>
      <c r="BA41">
        <f>IF(OR(BA$4="",$A41&gt;TODAY()),0,IF(OR(INDEX($B41:$D41,BA$5)="F",AND(BA$6&gt;0,$A41&lt;BA$6),AND(BA$7&gt;0,$A41&gt;BA$7)),0,MAX(0,ROUND((INDEX($E41:$G41,BA$5)-SUMIFS(TF_Timer,TF_Tekniker,BA$4,TF_Dato,$A41))*2,0)/2)))</f>
        <v/>
      </c>
      <c r="BB41">
        <f>IF(OR(BB$4="",$A41&gt;TODAY()),0,IF(OR(INDEX($B41:$D41,BB$5)="F",AND(BB$6&gt;0,$A41&lt;BB$6),AND(BB$7&gt;0,$A41&gt;BB$7)),0,MAX(0,ROUND((INDEX($E41:$G41,BB$5)-SUMIFS(TF_Timer,TF_Tekniker,BB$4,TF_Dato,$A41))*2,0)/2)))</f>
        <v/>
      </c>
      <c r="BC41">
        <f>IF(OR(BC$4="",$A41&gt;TODAY()),0,IF(OR(INDEX($B41:$D41,BC$5)="F",AND(BC$6&gt;0,$A41&lt;BC$6),AND(BC$7&gt;0,$A41&gt;BC$7)),0,MAX(0,ROUND((INDEX($E41:$G41,BC$5)-SUMIFS(TF_Timer,TF_Tekniker,BC$4,TF_Dato,$A41))*2,0)/2)))</f>
        <v/>
      </c>
      <c r="BD41">
        <f>IF(OR(BD$4="",$A41&gt;TODAY()),0,IF(OR(INDEX($B41:$D41,BD$5)="F",AND(BD$6&gt;0,$A41&lt;BD$6),AND(BD$7&gt;0,$A41&gt;BD$7)),0,MAX(0,ROUND((INDEX($E41:$G41,BD$5)-SUMIFS(TF_Timer,TF_Tekniker,BD$4,TF_Dato,$A41))*2,0)/2)))</f>
        <v/>
      </c>
      <c r="BE41">
        <f>IF(OR(BE$4="",$A41&gt;TODAY()),0,IF(OR(INDEX($B41:$D41,BE$5)="F",AND(BE$6&gt;0,$A41&lt;BE$6),AND(BE$7&gt;0,$A41&gt;BE$7)),0,MAX(0,ROUND((INDEX($E41:$G41,BE$5)-SUMIFS(TF_Timer,TF_Tekniker,BE$4,TF_Dato,$A41))*2,0)/2)))</f>
        <v/>
      </c>
      <c r="BF41">
        <f>IF(OR(BF$4="",$A41&gt;TODAY()),0,IF(OR(INDEX($B41:$D41,BF$5)="F",AND(BF$6&gt;0,$A41&lt;BF$6),AND(BF$7&gt;0,$A41&gt;BF$7)),0,MAX(0,ROUND((INDEX($E41:$G41,BF$5)-SUMIFS(TF_Timer,TF_Tekniker,BF$4,TF_Dato,$A41))*2,0)/2)))</f>
        <v/>
      </c>
      <c r="BG41">
        <f>IF(OR(BG$4="",$A41&gt;TODAY()),0,IF(OR(INDEX($B41:$D41,BG$5)="F",AND(BG$6&gt;0,$A41&lt;BG$6),AND(BG$7&gt;0,$A41&gt;BG$7)),0,MAX(0,ROUND((INDEX($E41:$G41,BG$5)-SUMIFS(TF_Timer,TF_Tekniker,BG$4,TF_Dato,$A41))*2,0)/2)))</f>
        <v/>
      </c>
      <c r="BH41">
        <f>IF(OR(BH$4="",$A41&gt;TODAY()),0,IF(OR(INDEX($B41:$D41,BH$5)="F",AND(BH$6&gt;0,$A41&lt;BH$6),AND(BH$7&gt;0,$A41&gt;BH$7)),0,MAX(0,ROUND((INDEX($E41:$G41,BH$5)-SUMIFS(TF_Timer,TF_Tekniker,BH$4,TF_Dato,$A41))*2,0)/2)))</f>
        <v/>
      </c>
      <c r="BI41">
        <f>IF(OR(BI$4="",$A41&gt;TODAY()),0,IF(OR(INDEX($B41:$D41,BI$5)="F",AND(BI$6&gt;0,$A41&lt;BI$6),AND(BI$7&gt;0,$A41&gt;BI$7)),0,MAX(0,ROUND((INDEX($E41:$G41,BI$5)-SUMIFS(TF_Timer,TF_Tekniker,BI$4,TF_Dato,$A41))*2,0)/2)))</f>
        <v/>
      </c>
    </row>
    <row r="42">
      <c r="A42" s="64">
        <f>A41+1</f>
        <v/>
      </c>
      <c r="B42">
        <f>IF(MOD($A42-INDEX(SkiftStart,1),Syklus)&lt;DagK,"K",IF(MOD($A42-INDEX(SkiftStart,1),Syklus)&lt;DagK+DagH,"H",IF(MOD($A42-INDEX(SkiftStart,1),Syklus)&lt;DagK+DagH+DagD,"D","F")))</f>
        <v/>
      </c>
      <c r="C42">
        <f>IF(MOD($A42-INDEX(SkiftStart,2),Syklus)&lt;DagK,"K",IF(MOD($A42-INDEX(SkiftStart,2),Syklus)&lt;DagK+DagH,"H",IF(MOD($A42-INDEX(SkiftStart,2),Syklus)&lt;DagK+DagH+DagD,"D","F")))</f>
        <v/>
      </c>
      <c r="D42">
        <f>IF(MOD($A42-INDEX(SkiftStart,3),Syklus)&lt;DagK,"K",IF(MOD($A42-INDEX(SkiftStart,3),Syklus)&lt;DagK+DagH,"H",IF(MOD($A42-INDEX(SkiftStart,3),Syklus)&lt;DagK+DagH+DagD,"D","F")))</f>
        <v/>
      </c>
      <c r="E42">
        <f>IF(B42="F",0,IF(WEEKDAY($A42,2)=5,INDEX(TimerFr,MATCH(B42,FaseKode,0)),INDEX(TimerMT,MATCH(B42,FaseKode,0))))</f>
        <v/>
      </c>
      <c r="F42">
        <f>IF(C42="F",0,IF(WEEKDAY($A42,2)=5,INDEX(TimerFr,MATCH(C42,FaseKode,0)),INDEX(TimerMT,MATCH(C42,FaseKode,0))))</f>
        <v/>
      </c>
      <c r="G42">
        <f>IF(D42="F",0,IF(WEEKDAY($A42,2)=5,INDEX(TimerFr,MATCH(D42,FaseKode,0)),INDEX(TimerMT,MATCH(D42,FaseKode,0))))</f>
        <v/>
      </c>
      <c r="H42">
        <f>IF(OR(H$4="",$A42&gt;TODAY()),0,IF(OR(INDEX($B42:$D42,H$5)="F",AND(H$6&gt;0,$A42&lt;H$6),AND(H$7&gt;0,$A42&gt;H$7)),0,MAX(0,ROUND((INDEX($E42:$G42,H$5)-SUMIFS(TF_Timer,TF_Tekniker,H$4,TF_Dato,$A42))*2,0)/2)))</f>
        <v/>
      </c>
      <c r="I42">
        <f>IF(OR(I$4="",$A42&gt;TODAY()),0,IF(OR(INDEX($B42:$D42,I$5)="F",AND(I$6&gt;0,$A42&lt;I$6),AND(I$7&gt;0,$A42&gt;I$7)),0,MAX(0,ROUND((INDEX($E42:$G42,I$5)-SUMIFS(TF_Timer,TF_Tekniker,I$4,TF_Dato,$A42))*2,0)/2)))</f>
        <v/>
      </c>
      <c r="J42">
        <f>IF(OR(J$4="",$A42&gt;TODAY()),0,IF(OR(INDEX($B42:$D42,J$5)="F",AND(J$6&gt;0,$A42&lt;J$6),AND(J$7&gt;0,$A42&gt;J$7)),0,MAX(0,ROUND((INDEX($E42:$G42,J$5)-SUMIFS(TF_Timer,TF_Tekniker,J$4,TF_Dato,$A42))*2,0)/2)))</f>
        <v/>
      </c>
      <c r="K42">
        <f>IF(OR(K$4="",$A42&gt;TODAY()),0,IF(OR(INDEX($B42:$D42,K$5)="F",AND(K$6&gt;0,$A42&lt;K$6),AND(K$7&gt;0,$A42&gt;K$7)),0,MAX(0,ROUND((INDEX($E42:$G42,K$5)-SUMIFS(TF_Timer,TF_Tekniker,K$4,TF_Dato,$A42))*2,0)/2)))</f>
        <v/>
      </c>
      <c r="L42">
        <f>IF(OR(L$4="",$A42&gt;TODAY()),0,IF(OR(INDEX($B42:$D42,L$5)="F",AND(L$6&gt;0,$A42&lt;L$6),AND(L$7&gt;0,$A42&gt;L$7)),0,MAX(0,ROUND((INDEX($E42:$G42,L$5)-SUMIFS(TF_Timer,TF_Tekniker,L$4,TF_Dato,$A42))*2,0)/2)))</f>
        <v/>
      </c>
      <c r="M42">
        <f>IF(OR(M$4="",$A42&gt;TODAY()),0,IF(OR(INDEX($B42:$D42,M$5)="F",AND(M$6&gt;0,$A42&lt;M$6),AND(M$7&gt;0,$A42&gt;M$7)),0,MAX(0,ROUND((INDEX($E42:$G42,M$5)-SUMIFS(TF_Timer,TF_Tekniker,M$4,TF_Dato,$A42))*2,0)/2)))</f>
        <v/>
      </c>
      <c r="N42">
        <f>IF(OR(N$4="",$A42&gt;TODAY()),0,IF(OR(INDEX($B42:$D42,N$5)="F",AND(N$6&gt;0,$A42&lt;N$6),AND(N$7&gt;0,$A42&gt;N$7)),0,MAX(0,ROUND((INDEX($E42:$G42,N$5)-SUMIFS(TF_Timer,TF_Tekniker,N$4,TF_Dato,$A42))*2,0)/2)))</f>
        <v/>
      </c>
      <c r="O42">
        <f>IF(OR(O$4="",$A42&gt;TODAY()),0,IF(OR(INDEX($B42:$D42,O$5)="F",AND(O$6&gt;0,$A42&lt;O$6),AND(O$7&gt;0,$A42&gt;O$7)),0,MAX(0,ROUND((INDEX($E42:$G42,O$5)-SUMIFS(TF_Timer,TF_Tekniker,O$4,TF_Dato,$A42))*2,0)/2)))</f>
        <v/>
      </c>
      <c r="P42">
        <f>IF(OR(P$4="",$A42&gt;TODAY()),0,IF(OR(INDEX($B42:$D42,P$5)="F",AND(P$6&gt;0,$A42&lt;P$6),AND(P$7&gt;0,$A42&gt;P$7)),0,MAX(0,ROUND((INDEX($E42:$G42,P$5)-SUMIFS(TF_Timer,TF_Tekniker,P$4,TF_Dato,$A42))*2,0)/2)))</f>
        <v/>
      </c>
      <c r="Q42">
        <f>IF(OR(Q$4="",$A42&gt;TODAY()),0,IF(OR(INDEX($B42:$D42,Q$5)="F",AND(Q$6&gt;0,$A42&lt;Q$6),AND(Q$7&gt;0,$A42&gt;Q$7)),0,MAX(0,ROUND((INDEX($E42:$G42,Q$5)-SUMIFS(TF_Timer,TF_Tekniker,Q$4,TF_Dato,$A42))*2,0)/2)))</f>
        <v/>
      </c>
      <c r="R42">
        <f>IF(OR(R$4="",$A42&gt;TODAY()),0,IF(OR(INDEX($B42:$D42,R$5)="F",AND(R$6&gt;0,$A42&lt;R$6),AND(R$7&gt;0,$A42&gt;R$7)),0,MAX(0,ROUND((INDEX($E42:$G42,R$5)-SUMIFS(TF_Timer,TF_Tekniker,R$4,TF_Dato,$A42))*2,0)/2)))</f>
        <v/>
      </c>
      <c r="S42">
        <f>IF(OR(S$4="",$A42&gt;TODAY()),0,IF(OR(INDEX($B42:$D42,S$5)="F",AND(S$6&gt;0,$A42&lt;S$6),AND(S$7&gt;0,$A42&gt;S$7)),0,MAX(0,ROUND((INDEX($E42:$G42,S$5)-SUMIFS(TF_Timer,TF_Tekniker,S$4,TF_Dato,$A42))*2,0)/2)))</f>
        <v/>
      </c>
      <c r="T42">
        <f>IF(OR(T$4="",$A42&gt;TODAY()),0,IF(OR(INDEX($B42:$D42,T$5)="F",AND(T$6&gt;0,$A42&lt;T$6),AND(T$7&gt;0,$A42&gt;T$7)),0,MAX(0,ROUND((INDEX($E42:$G42,T$5)-SUMIFS(TF_Timer,TF_Tekniker,T$4,TF_Dato,$A42))*2,0)/2)))</f>
        <v/>
      </c>
      <c r="U42">
        <f>IF(OR(U$4="",$A42&gt;TODAY()),0,IF(OR(INDEX($B42:$D42,U$5)="F",AND(U$6&gt;0,$A42&lt;U$6),AND(U$7&gt;0,$A42&gt;U$7)),0,MAX(0,ROUND((INDEX($E42:$G42,U$5)-SUMIFS(TF_Timer,TF_Tekniker,U$4,TF_Dato,$A42))*2,0)/2)))</f>
        <v/>
      </c>
      <c r="V42">
        <f>IF(OR(V$4="",$A42&gt;TODAY()),0,IF(OR(INDEX($B42:$D42,V$5)="F",AND(V$6&gt;0,$A42&lt;V$6),AND(V$7&gt;0,$A42&gt;V$7)),0,MAX(0,ROUND((INDEX($E42:$G42,V$5)-SUMIFS(TF_Timer,TF_Tekniker,V$4,TF_Dato,$A42))*2,0)/2)))</f>
        <v/>
      </c>
      <c r="W42">
        <f>IF(OR(W$4="",$A42&gt;TODAY()),0,IF(OR(INDEX($B42:$D42,W$5)="F",AND(W$6&gt;0,$A42&lt;W$6),AND(W$7&gt;0,$A42&gt;W$7)),0,MAX(0,ROUND((INDEX($E42:$G42,W$5)-SUMIFS(TF_Timer,TF_Tekniker,W$4,TF_Dato,$A42))*2,0)/2)))</f>
        <v/>
      </c>
      <c r="X42">
        <f>IF(OR(X$4="",$A42&gt;TODAY()),0,IF(OR(INDEX($B42:$D42,X$5)="F",AND(X$6&gt;0,$A42&lt;X$6),AND(X$7&gt;0,$A42&gt;X$7)),0,MAX(0,ROUND((INDEX($E42:$G42,X$5)-SUMIFS(TF_Timer,TF_Tekniker,X$4,TF_Dato,$A42))*2,0)/2)))</f>
        <v/>
      </c>
      <c r="Y42">
        <f>IF(OR(Y$4="",$A42&gt;TODAY()),0,IF(OR(INDEX($B42:$D42,Y$5)="F",AND(Y$6&gt;0,$A42&lt;Y$6),AND(Y$7&gt;0,$A42&gt;Y$7)),0,MAX(0,ROUND((INDEX($E42:$G42,Y$5)-SUMIFS(TF_Timer,TF_Tekniker,Y$4,TF_Dato,$A42))*2,0)/2)))</f>
        <v/>
      </c>
      <c r="Z42">
        <f>IF(OR(Z$4="",$A42&gt;TODAY()),0,IF(OR(INDEX($B42:$D42,Z$5)="F",AND(Z$6&gt;0,$A42&lt;Z$6),AND(Z$7&gt;0,$A42&gt;Z$7)),0,MAX(0,ROUND((INDEX($E42:$G42,Z$5)-SUMIFS(TF_Timer,TF_Tekniker,Z$4,TF_Dato,$A42))*2,0)/2)))</f>
        <v/>
      </c>
      <c r="AA42">
        <f>IF(OR(AA$4="",$A42&gt;TODAY()),0,IF(OR(INDEX($B42:$D42,AA$5)="F",AND(AA$6&gt;0,$A42&lt;AA$6),AND(AA$7&gt;0,$A42&gt;AA$7)),0,MAX(0,ROUND((INDEX($E42:$G42,AA$5)-SUMIFS(TF_Timer,TF_Tekniker,AA$4,TF_Dato,$A42))*2,0)/2)))</f>
        <v/>
      </c>
      <c r="AB42">
        <f>IF(OR(AB$4="",$A42&gt;TODAY()),0,IF(OR(INDEX($B42:$D42,AB$5)="F",AND(AB$6&gt;0,$A42&lt;AB$6),AND(AB$7&gt;0,$A42&gt;AB$7)),0,MAX(0,ROUND((INDEX($E42:$G42,AB$5)-SUMIFS(TF_Timer,TF_Tekniker,AB$4,TF_Dato,$A42))*2,0)/2)))</f>
        <v/>
      </c>
      <c r="AC42">
        <f>IF(OR(AC$4="",$A42&gt;TODAY()),0,IF(OR(INDEX($B42:$D42,AC$5)="F",AND(AC$6&gt;0,$A42&lt;AC$6),AND(AC$7&gt;0,$A42&gt;AC$7)),0,MAX(0,ROUND((INDEX($E42:$G42,AC$5)-SUMIFS(TF_Timer,TF_Tekniker,AC$4,TF_Dato,$A42))*2,0)/2)))</f>
        <v/>
      </c>
      <c r="AD42">
        <f>IF(OR(AD$4="",$A42&gt;TODAY()),0,IF(OR(INDEX($B42:$D42,AD$5)="F",AND(AD$6&gt;0,$A42&lt;AD$6),AND(AD$7&gt;0,$A42&gt;AD$7)),0,MAX(0,ROUND((INDEX($E42:$G42,AD$5)-SUMIFS(TF_Timer,TF_Tekniker,AD$4,TF_Dato,$A42))*2,0)/2)))</f>
        <v/>
      </c>
      <c r="AE42">
        <f>IF(OR(AE$4="",$A42&gt;TODAY()),0,IF(OR(INDEX($B42:$D42,AE$5)="F",AND(AE$6&gt;0,$A42&lt;AE$6),AND(AE$7&gt;0,$A42&gt;AE$7)),0,MAX(0,ROUND((INDEX($E42:$G42,AE$5)-SUMIFS(TF_Timer,TF_Tekniker,AE$4,TF_Dato,$A42))*2,0)/2)))</f>
        <v/>
      </c>
      <c r="AF42">
        <f>IF(OR(AF$4="",$A42&gt;TODAY()),0,IF(OR(INDEX($B42:$D42,AF$5)="F",AND(AF$6&gt;0,$A42&lt;AF$6),AND(AF$7&gt;0,$A42&gt;AF$7)),0,MAX(0,ROUND((INDEX($E42:$G42,AF$5)-SUMIFS(TF_Timer,TF_Tekniker,AF$4,TF_Dato,$A42))*2,0)/2)))</f>
        <v/>
      </c>
      <c r="AG42">
        <f>IF(OR(AG$4="",$A42&gt;TODAY()),0,IF(OR(INDEX($B42:$D42,AG$5)="F",AND(AG$6&gt;0,$A42&lt;AG$6),AND(AG$7&gt;0,$A42&gt;AG$7)),0,MAX(0,ROUND((INDEX($E42:$G42,AG$5)-SUMIFS(TF_Timer,TF_Tekniker,AG$4,TF_Dato,$A42))*2,0)/2)))</f>
        <v/>
      </c>
      <c r="AH42">
        <f>IF(OR(AH$4="",$A42&gt;TODAY()),0,IF(OR(INDEX($B42:$D42,AH$5)="F",AND(AH$6&gt;0,$A42&lt;AH$6),AND(AH$7&gt;0,$A42&gt;AH$7)),0,MAX(0,ROUND((INDEX($E42:$G42,AH$5)-SUMIFS(TF_Timer,TF_Tekniker,AH$4,TF_Dato,$A42))*2,0)/2)))</f>
        <v/>
      </c>
      <c r="AI42">
        <f>IF(OR(AI$4="",$A42&gt;TODAY()),0,IF(OR(INDEX($B42:$D42,AI$5)="F",AND(AI$6&gt;0,$A42&lt;AI$6),AND(AI$7&gt;0,$A42&gt;AI$7)),0,MAX(0,ROUND((INDEX($E42:$G42,AI$5)-SUMIFS(TF_Timer,TF_Tekniker,AI$4,TF_Dato,$A42))*2,0)/2)))</f>
        <v/>
      </c>
      <c r="AJ42">
        <f>IF(OR(AJ$4="",$A42&gt;TODAY()),0,IF(OR(INDEX($B42:$D42,AJ$5)="F",AND(AJ$6&gt;0,$A42&lt;AJ$6),AND(AJ$7&gt;0,$A42&gt;AJ$7)),0,MAX(0,ROUND((INDEX($E42:$G42,AJ$5)-SUMIFS(TF_Timer,TF_Tekniker,AJ$4,TF_Dato,$A42))*2,0)/2)))</f>
        <v/>
      </c>
      <c r="AK42">
        <f>IF(OR(AK$4="",$A42&gt;TODAY()),0,IF(OR(INDEX($B42:$D42,AK$5)="F",AND(AK$6&gt;0,$A42&lt;AK$6),AND(AK$7&gt;0,$A42&gt;AK$7)),0,MAX(0,ROUND((INDEX($E42:$G42,AK$5)-SUMIFS(TF_Timer,TF_Tekniker,AK$4,TF_Dato,$A42))*2,0)/2)))</f>
        <v/>
      </c>
      <c r="AL42">
        <f>IF(OR(AL$4="",$A42&gt;TODAY()),0,IF(OR(INDEX($B42:$D42,AL$5)="F",AND(AL$6&gt;0,$A42&lt;AL$6),AND(AL$7&gt;0,$A42&gt;AL$7)),0,MAX(0,ROUND((INDEX($E42:$G42,AL$5)-SUMIFS(TF_Timer,TF_Tekniker,AL$4,TF_Dato,$A42))*2,0)/2)))</f>
        <v/>
      </c>
      <c r="AM42">
        <f>IF(OR(AM$4="",$A42&gt;TODAY()),0,IF(OR(INDEX($B42:$D42,AM$5)="F",AND(AM$6&gt;0,$A42&lt;AM$6),AND(AM$7&gt;0,$A42&gt;AM$7)),0,MAX(0,ROUND((INDEX($E42:$G42,AM$5)-SUMIFS(TF_Timer,TF_Tekniker,AM$4,TF_Dato,$A42))*2,0)/2)))</f>
        <v/>
      </c>
      <c r="AN42">
        <f>IF(OR(AN$4="",$A42&gt;TODAY()),0,IF(OR(INDEX($B42:$D42,AN$5)="F",AND(AN$6&gt;0,$A42&lt;AN$6),AND(AN$7&gt;0,$A42&gt;AN$7)),0,MAX(0,ROUND((INDEX($E42:$G42,AN$5)-SUMIFS(TF_Timer,TF_Tekniker,AN$4,TF_Dato,$A42))*2,0)/2)))</f>
        <v/>
      </c>
      <c r="AO42">
        <f>IF(OR(AO$4="",$A42&gt;TODAY()),0,IF(OR(INDEX($B42:$D42,AO$5)="F",AND(AO$6&gt;0,$A42&lt;AO$6),AND(AO$7&gt;0,$A42&gt;AO$7)),0,MAX(0,ROUND((INDEX($E42:$G42,AO$5)-SUMIFS(TF_Timer,TF_Tekniker,AO$4,TF_Dato,$A42))*2,0)/2)))</f>
        <v/>
      </c>
      <c r="AP42">
        <f>IF(OR(AP$4="",$A42&gt;TODAY()),0,IF(OR(INDEX($B42:$D42,AP$5)="F",AND(AP$6&gt;0,$A42&lt;AP$6),AND(AP$7&gt;0,$A42&gt;AP$7)),0,MAX(0,ROUND((INDEX($E42:$G42,AP$5)-SUMIFS(TF_Timer,TF_Tekniker,AP$4,TF_Dato,$A42))*2,0)/2)))</f>
        <v/>
      </c>
      <c r="AQ42">
        <f>IF(OR(AQ$4="",$A42&gt;TODAY()),0,IF(OR(INDEX($B42:$D42,AQ$5)="F",AND(AQ$6&gt;0,$A42&lt;AQ$6),AND(AQ$7&gt;0,$A42&gt;AQ$7)),0,MAX(0,ROUND((INDEX($E42:$G42,AQ$5)-SUMIFS(TF_Timer,TF_Tekniker,AQ$4,TF_Dato,$A42))*2,0)/2)))</f>
        <v/>
      </c>
      <c r="AR42">
        <f>IF(OR(AR$4="",$A42&gt;TODAY()),0,IF(OR(INDEX($B42:$D42,AR$5)="F",AND(AR$6&gt;0,$A42&lt;AR$6),AND(AR$7&gt;0,$A42&gt;AR$7)),0,MAX(0,ROUND((INDEX($E42:$G42,AR$5)-SUMIFS(TF_Timer,TF_Tekniker,AR$4,TF_Dato,$A42))*2,0)/2)))</f>
        <v/>
      </c>
      <c r="AS42">
        <f>IF(OR(AS$4="",$A42&gt;TODAY()),0,IF(OR(INDEX($B42:$D42,AS$5)="F",AND(AS$6&gt;0,$A42&lt;AS$6),AND(AS$7&gt;0,$A42&gt;AS$7)),0,MAX(0,ROUND((INDEX($E42:$G42,AS$5)-SUMIFS(TF_Timer,TF_Tekniker,AS$4,TF_Dato,$A42))*2,0)/2)))</f>
        <v/>
      </c>
      <c r="AT42">
        <f>IF(OR(AT$4="",$A42&gt;TODAY()),0,IF(OR(INDEX($B42:$D42,AT$5)="F",AND(AT$6&gt;0,$A42&lt;AT$6),AND(AT$7&gt;0,$A42&gt;AT$7)),0,MAX(0,ROUND((INDEX($E42:$G42,AT$5)-SUMIFS(TF_Timer,TF_Tekniker,AT$4,TF_Dato,$A42))*2,0)/2)))</f>
        <v/>
      </c>
      <c r="AU42">
        <f>IF(OR(AU$4="",$A42&gt;TODAY()),0,IF(OR(INDEX($B42:$D42,AU$5)="F",AND(AU$6&gt;0,$A42&lt;AU$6),AND(AU$7&gt;0,$A42&gt;AU$7)),0,MAX(0,ROUND((INDEX($E42:$G42,AU$5)-SUMIFS(TF_Timer,TF_Tekniker,AU$4,TF_Dato,$A42))*2,0)/2)))</f>
        <v/>
      </c>
      <c r="AV42">
        <f>IF(OR(AV$4="",$A42&gt;TODAY()),0,IF(OR(INDEX($B42:$D42,AV$5)="F",AND(AV$6&gt;0,$A42&lt;AV$6),AND(AV$7&gt;0,$A42&gt;AV$7)),0,MAX(0,ROUND((INDEX($E42:$G42,AV$5)-SUMIFS(TF_Timer,TF_Tekniker,AV$4,TF_Dato,$A42))*2,0)/2)))</f>
        <v/>
      </c>
      <c r="AW42">
        <f>IF(OR(AW$4="",$A42&gt;TODAY()),0,IF(OR(INDEX($B42:$D42,AW$5)="F",AND(AW$6&gt;0,$A42&lt;AW$6),AND(AW$7&gt;0,$A42&gt;AW$7)),0,MAX(0,ROUND((INDEX($E42:$G42,AW$5)-SUMIFS(TF_Timer,TF_Tekniker,AW$4,TF_Dato,$A42))*2,0)/2)))</f>
        <v/>
      </c>
      <c r="AX42">
        <f>IF(OR(AX$4="",$A42&gt;TODAY()),0,IF(OR(INDEX($B42:$D42,AX$5)="F",AND(AX$6&gt;0,$A42&lt;AX$6),AND(AX$7&gt;0,$A42&gt;AX$7)),0,MAX(0,ROUND((INDEX($E42:$G42,AX$5)-SUMIFS(TF_Timer,TF_Tekniker,AX$4,TF_Dato,$A42))*2,0)/2)))</f>
        <v/>
      </c>
      <c r="AY42">
        <f>IF(OR(AY$4="",$A42&gt;TODAY()),0,IF(OR(INDEX($B42:$D42,AY$5)="F",AND(AY$6&gt;0,$A42&lt;AY$6),AND(AY$7&gt;0,$A42&gt;AY$7)),0,MAX(0,ROUND((INDEX($E42:$G42,AY$5)-SUMIFS(TF_Timer,TF_Tekniker,AY$4,TF_Dato,$A42))*2,0)/2)))</f>
        <v/>
      </c>
      <c r="AZ42">
        <f>IF(OR(AZ$4="",$A42&gt;TODAY()),0,IF(OR(INDEX($B42:$D42,AZ$5)="F",AND(AZ$6&gt;0,$A42&lt;AZ$6),AND(AZ$7&gt;0,$A42&gt;AZ$7)),0,MAX(0,ROUND((INDEX($E42:$G42,AZ$5)-SUMIFS(TF_Timer,TF_Tekniker,AZ$4,TF_Dato,$A42))*2,0)/2)))</f>
        <v/>
      </c>
      <c r="BA42">
        <f>IF(OR(BA$4="",$A42&gt;TODAY()),0,IF(OR(INDEX($B42:$D42,BA$5)="F",AND(BA$6&gt;0,$A42&lt;BA$6),AND(BA$7&gt;0,$A42&gt;BA$7)),0,MAX(0,ROUND((INDEX($E42:$G42,BA$5)-SUMIFS(TF_Timer,TF_Tekniker,BA$4,TF_Dato,$A42))*2,0)/2)))</f>
        <v/>
      </c>
      <c r="BB42">
        <f>IF(OR(BB$4="",$A42&gt;TODAY()),0,IF(OR(INDEX($B42:$D42,BB$5)="F",AND(BB$6&gt;0,$A42&lt;BB$6),AND(BB$7&gt;0,$A42&gt;BB$7)),0,MAX(0,ROUND((INDEX($E42:$G42,BB$5)-SUMIFS(TF_Timer,TF_Tekniker,BB$4,TF_Dato,$A42))*2,0)/2)))</f>
        <v/>
      </c>
      <c r="BC42">
        <f>IF(OR(BC$4="",$A42&gt;TODAY()),0,IF(OR(INDEX($B42:$D42,BC$5)="F",AND(BC$6&gt;0,$A42&lt;BC$6),AND(BC$7&gt;0,$A42&gt;BC$7)),0,MAX(0,ROUND((INDEX($E42:$G42,BC$5)-SUMIFS(TF_Timer,TF_Tekniker,BC$4,TF_Dato,$A42))*2,0)/2)))</f>
        <v/>
      </c>
      <c r="BD42">
        <f>IF(OR(BD$4="",$A42&gt;TODAY()),0,IF(OR(INDEX($B42:$D42,BD$5)="F",AND(BD$6&gt;0,$A42&lt;BD$6),AND(BD$7&gt;0,$A42&gt;BD$7)),0,MAX(0,ROUND((INDEX($E42:$G42,BD$5)-SUMIFS(TF_Timer,TF_Tekniker,BD$4,TF_Dato,$A42))*2,0)/2)))</f>
        <v/>
      </c>
      <c r="BE42">
        <f>IF(OR(BE$4="",$A42&gt;TODAY()),0,IF(OR(INDEX($B42:$D42,BE$5)="F",AND(BE$6&gt;0,$A42&lt;BE$6),AND(BE$7&gt;0,$A42&gt;BE$7)),0,MAX(0,ROUND((INDEX($E42:$G42,BE$5)-SUMIFS(TF_Timer,TF_Tekniker,BE$4,TF_Dato,$A42))*2,0)/2)))</f>
        <v/>
      </c>
      <c r="BF42">
        <f>IF(OR(BF$4="",$A42&gt;TODAY()),0,IF(OR(INDEX($B42:$D42,BF$5)="F",AND(BF$6&gt;0,$A42&lt;BF$6),AND(BF$7&gt;0,$A42&gt;BF$7)),0,MAX(0,ROUND((INDEX($E42:$G42,BF$5)-SUMIFS(TF_Timer,TF_Tekniker,BF$4,TF_Dato,$A42))*2,0)/2)))</f>
        <v/>
      </c>
      <c r="BG42">
        <f>IF(OR(BG$4="",$A42&gt;TODAY()),0,IF(OR(INDEX($B42:$D42,BG$5)="F",AND(BG$6&gt;0,$A42&lt;BG$6),AND(BG$7&gt;0,$A42&gt;BG$7)),0,MAX(0,ROUND((INDEX($E42:$G42,BG$5)-SUMIFS(TF_Timer,TF_Tekniker,BG$4,TF_Dato,$A42))*2,0)/2)))</f>
        <v/>
      </c>
      <c r="BH42">
        <f>IF(OR(BH$4="",$A42&gt;TODAY()),0,IF(OR(INDEX($B42:$D42,BH$5)="F",AND(BH$6&gt;0,$A42&lt;BH$6),AND(BH$7&gt;0,$A42&gt;BH$7)),0,MAX(0,ROUND((INDEX($E42:$G42,BH$5)-SUMIFS(TF_Timer,TF_Tekniker,BH$4,TF_Dato,$A42))*2,0)/2)))</f>
        <v/>
      </c>
      <c r="BI42">
        <f>IF(OR(BI$4="",$A42&gt;TODAY()),0,IF(OR(INDEX($B42:$D42,BI$5)="F",AND(BI$6&gt;0,$A42&lt;BI$6),AND(BI$7&gt;0,$A42&gt;BI$7)),0,MAX(0,ROUND((INDEX($E42:$G42,BI$5)-SUMIFS(TF_Timer,TF_Tekniker,BI$4,TF_Dato,$A42))*2,0)/2)))</f>
        <v/>
      </c>
    </row>
    <row r="43">
      <c r="A43" s="64">
        <f>A42+1</f>
        <v/>
      </c>
      <c r="B43">
        <f>IF(MOD($A43-INDEX(SkiftStart,1),Syklus)&lt;DagK,"K",IF(MOD($A43-INDEX(SkiftStart,1),Syklus)&lt;DagK+DagH,"H",IF(MOD($A43-INDEX(SkiftStart,1),Syklus)&lt;DagK+DagH+DagD,"D","F")))</f>
        <v/>
      </c>
      <c r="C43">
        <f>IF(MOD($A43-INDEX(SkiftStart,2),Syklus)&lt;DagK,"K",IF(MOD($A43-INDEX(SkiftStart,2),Syklus)&lt;DagK+DagH,"H",IF(MOD($A43-INDEX(SkiftStart,2),Syklus)&lt;DagK+DagH+DagD,"D","F")))</f>
        <v/>
      </c>
      <c r="D43">
        <f>IF(MOD($A43-INDEX(SkiftStart,3),Syklus)&lt;DagK,"K",IF(MOD($A43-INDEX(SkiftStart,3),Syklus)&lt;DagK+DagH,"H",IF(MOD($A43-INDEX(SkiftStart,3),Syklus)&lt;DagK+DagH+DagD,"D","F")))</f>
        <v/>
      </c>
      <c r="E43">
        <f>IF(B43="F",0,IF(WEEKDAY($A43,2)=5,INDEX(TimerFr,MATCH(B43,FaseKode,0)),INDEX(TimerMT,MATCH(B43,FaseKode,0))))</f>
        <v/>
      </c>
      <c r="F43">
        <f>IF(C43="F",0,IF(WEEKDAY($A43,2)=5,INDEX(TimerFr,MATCH(C43,FaseKode,0)),INDEX(TimerMT,MATCH(C43,FaseKode,0))))</f>
        <v/>
      </c>
      <c r="G43">
        <f>IF(D43="F",0,IF(WEEKDAY($A43,2)=5,INDEX(TimerFr,MATCH(D43,FaseKode,0)),INDEX(TimerMT,MATCH(D43,FaseKode,0))))</f>
        <v/>
      </c>
      <c r="H43">
        <f>IF(OR(H$4="",$A43&gt;TODAY()),0,IF(OR(INDEX($B43:$D43,H$5)="F",AND(H$6&gt;0,$A43&lt;H$6),AND(H$7&gt;0,$A43&gt;H$7)),0,MAX(0,ROUND((INDEX($E43:$G43,H$5)-SUMIFS(TF_Timer,TF_Tekniker,H$4,TF_Dato,$A43))*2,0)/2)))</f>
        <v/>
      </c>
      <c r="I43">
        <f>IF(OR(I$4="",$A43&gt;TODAY()),0,IF(OR(INDEX($B43:$D43,I$5)="F",AND(I$6&gt;0,$A43&lt;I$6),AND(I$7&gt;0,$A43&gt;I$7)),0,MAX(0,ROUND((INDEX($E43:$G43,I$5)-SUMIFS(TF_Timer,TF_Tekniker,I$4,TF_Dato,$A43))*2,0)/2)))</f>
        <v/>
      </c>
      <c r="J43">
        <f>IF(OR(J$4="",$A43&gt;TODAY()),0,IF(OR(INDEX($B43:$D43,J$5)="F",AND(J$6&gt;0,$A43&lt;J$6),AND(J$7&gt;0,$A43&gt;J$7)),0,MAX(0,ROUND((INDEX($E43:$G43,J$5)-SUMIFS(TF_Timer,TF_Tekniker,J$4,TF_Dato,$A43))*2,0)/2)))</f>
        <v/>
      </c>
      <c r="K43">
        <f>IF(OR(K$4="",$A43&gt;TODAY()),0,IF(OR(INDEX($B43:$D43,K$5)="F",AND(K$6&gt;0,$A43&lt;K$6),AND(K$7&gt;0,$A43&gt;K$7)),0,MAX(0,ROUND((INDEX($E43:$G43,K$5)-SUMIFS(TF_Timer,TF_Tekniker,K$4,TF_Dato,$A43))*2,0)/2)))</f>
        <v/>
      </c>
      <c r="L43">
        <f>IF(OR(L$4="",$A43&gt;TODAY()),0,IF(OR(INDEX($B43:$D43,L$5)="F",AND(L$6&gt;0,$A43&lt;L$6),AND(L$7&gt;0,$A43&gt;L$7)),0,MAX(0,ROUND((INDEX($E43:$G43,L$5)-SUMIFS(TF_Timer,TF_Tekniker,L$4,TF_Dato,$A43))*2,0)/2)))</f>
        <v/>
      </c>
      <c r="M43">
        <f>IF(OR(M$4="",$A43&gt;TODAY()),0,IF(OR(INDEX($B43:$D43,M$5)="F",AND(M$6&gt;0,$A43&lt;M$6),AND(M$7&gt;0,$A43&gt;M$7)),0,MAX(0,ROUND((INDEX($E43:$G43,M$5)-SUMIFS(TF_Timer,TF_Tekniker,M$4,TF_Dato,$A43))*2,0)/2)))</f>
        <v/>
      </c>
      <c r="N43">
        <f>IF(OR(N$4="",$A43&gt;TODAY()),0,IF(OR(INDEX($B43:$D43,N$5)="F",AND(N$6&gt;0,$A43&lt;N$6),AND(N$7&gt;0,$A43&gt;N$7)),0,MAX(0,ROUND((INDEX($E43:$G43,N$5)-SUMIFS(TF_Timer,TF_Tekniker,N$4,TF_Dato,$A43))*2,0)/2)))</f>
        <v/>
      </c>
      <c r="O43">
        <f>IF(OR(O$4="",$A43&gt;TODAY()),0,IF(OR(INDEX($B43:$D43,O$5)="F",AND(O$6&gt;0,$A43&lt;O$6),AND(O$7&gt;0,$A43&gt;O$7)),0,MAX(0,ROUND((INDEX($E43:$G43,O$5)-SUMIFS(TF_Timer,TF_Tekniker,O$4,TF_Dato,$A43))*2,0)/2)))</f>
        <v/>
      </c>
      <c r="P43">
        <f>IF(OR(P$4="",$A43&gt;TODAY()),0,IF(OR(INDEX($B43:$D43,P$5)="F",AND(P$6&gt;0,$A43&lt;P$6),AND(P$7&gt;0,$A43&gt;P$7)),0,MAX(0,ROUND((INDEX($E43:$G43,P$5)-SUMIFS(TF_Timer,TF_Tekniker,P$4,TF_Dato,$A43))*2,0)/2)))</f>
        <v/>
      </c>
      <c r="Q43">
        <f>IF(OR(Q$4="",$A43&gt;TODAY()),0,IF(OR(INDEX($B43:$D43,Q$5)="F",AND(Q$6&gt;0,$A43&lt;Q$6),AND(Q$7&gt;0,$A43&gt;Q$7)),0,MAX(0,ROUND((INDEX($E43:$G43,Q$5)-SUMIFS(TF_Timer,TF_Tekniker,Q$4,TF_Dato,$A43))*2,0)/2)))</f>
        <v/>
      </c>
      <c r="R43">
        <f>IF(OR(R$4="",$A43&gt;TODAY()),0,IF(OR(INDEX($B43:$D43,R$5)="F",AND(R$6&gt;0,$A43&lt;R$6),AND(R$7&gt;0,$A43&gt;R$7)),0,MAX(0,ROUND((INDEX($E43:$G43,R$5)-SUMIFS(TF_Timer,TF_Tekniker,R$4,TF_Dato,$A43))*2,0)/2)))</f>
        <v/>
      </c>
      <c r="S43">
        <f>IF(OR(S$4="",$A43&gt;TODAY()),0,IF(OR(INDEX($B43:$D43,S$5)="F",AND(S$6&gt;0,$A43&lt;S$6),AND(S$7&gt;0,$A43&gt;S$7)),0,MAX(0,ROUND((INDEX($E43:$G43,S$5)-SUMIFS(TF_Timer,TF_Tekniker,S$4,TF_Dato,$A43))*2,0)/2)))</f>
        <v/>
      </c>
      <c r="T43">
        <f>IF(OR(T$4="",$A43&gt;TODAY()),0,IF(OR(INDEX($B43:$D43,T$5)="F",AND(T$6&gt;0,$A43&lt;T$6),AND(T$7&gt;0,$A43&gt;T$7)),0,MAX(0,ROUND((INDEX($E43:$G43,T$5)-SUMIFS(TF_Timer,TF_Tekniker,T$4,TF_Dato,$A43))*2,0)/2)))</f>
        <v/>
      </c>
      <c r="U43">
        <f>IF(OR(U$4="",$A43&gt;TODAY()),0,IF(OR(INDEX($B43:$D43,U$5)="F",AND(U$6&gt;0,$A43&lt;U$6),AND(U$7&gt;0,$A43&gt;U$7)),0,MAX(0,ROUND((INDEX($E43:$G43,U$5)-SUMIFS(TF_Timer,TF_Tekniker,U$4,TF_Dato,$A43))*2,0)/2)))</f>
        <v/>
      </c>
      <c r="V43">
        <f>IF(OR(V$4="",$A43&gt;TODAY()),0,IF(OR(INDEX($B43:$D43,V$5)="F",AND(V$6&gt;0,$A43&lt;V$6),AND(V$7&gt;0,$A43&gt;V$7)),0,MAX(0,ROUND((INDEX($E43:$G43,V$5)-SUMIFS(TF_Timer,TF_Tekniker,V$4,TF_Dato,$A43))*2,0)/2)))</f>
        <v/>
      </c>
      <c r="W43">
        <f>IF(OR(W$4="",$A43&gt;TODAY()),0,IF(OR(INDEX($B43:$D43,W$5)="F",AND(W$6&gt;0,$A43&lt;W$6),AND(W$7&gt;0,$A43&gt;W$7)),0,MAX(0,ROUND((INDEX($E43:$G43,W$5)-SUMIFS(TF_Timer,TF_Tekniker,W$4,TF_Dato,$A43))*2,0)/2)))</f>
        <v/>
      </c>
      <c r="X43">
        <f>IF(OR(X$4="",$A43&gt;TODAY()),0,IF(OR(INDEX($B43:$D43,X$5)="F",AND(X$6&gt;0,$A43&lt;X$6),AND(X$7&gt;0,$A43&gt;X$7)),0,MAX(0,ROUND((INDEX($E43:$G43,X$5)-SUMIFS(TF_Timer,TF_Tekniker,X$4,TF_Dato,$A43))*2,0)/2)))</f>
        <v/>
      </c>
      <c r="Y43">
        <f>IF(OR(Y$4="",$A43&gt;TODAY()),0,IF(OR(INDEX($B43:$D43,Y$5)="F",AND(Y$6&gt;0,$A43&lt;Y$6),AND(Y$7&gt;0,$A43&gt;Y$7)),0,MAX(0,ROUND((INDEX($E43:$G43,Y$5)-SUMIFS(TF_Timer,TF_Tekniker,Y$4,TF_Dato,$A43))*2,0)/2)))</f>
        <v/>
      </c>
      <c r="Z43">
        <f>IF(OR(Z$4="",$A43&gt;TODAY()),0,IF(OR(INDEX($B43:$D43,Z$5)="F",AND(Z$6&gt;0,$A43&lt;Z$6),AND(Z$7&gt;0,$A43&gt;Z$7)),0,MAX(0,ROUND((INDEX($E43:$G43,Z$5)-SUMIFS(TF_Timer,TF_Tekniker,Z$4,TF_Dato,$A43))*2,0)/2)))</f>
        <v/>
      </c>
      <c r="AA43">
        <f>IF(OR(AA$4="",$A43&gt;TODAY()),0,IF(OR(INDEX($B43:$D43,AA$5)="F",AND(AA$6&gt;0,$A43&lt;AA$6),AND(AA$7&gt;0,$A43&gt;AA$7)),0,MAX(0,ROUND((INDEX($E43:$G43,AA$5)-SUMIFS(TF_Timer,TF_Tekniker,AA$4,TF_Dato,$A43))*2,0)/2)))</f>
        <v/>
      </c>
      <c r="AB43">
        <f>IF(OR(AB$4="",$A43&gt;TODAY()),0,IF(OR(INDEX($B43:$D43,AB$5)="F",AND(AB$6&gt;0,$A43&lt;AB$6),AND(AB$7&gt;0,$A43&gt;AB$7)),0,MAX(0,ROUND((INDEX($E43:$G43,AB$5)-SUMIFS(TF_Timer,TF_Tekniker,AB$4,TF_Dato,$A43))*2,0)/2)))</f>
        <v/>
      </c>
      <c r="AC43">
        <f>IF(OR(AC$4="",$A43&gt;TODAY()),0,IF(OR(INDEX($B43:$D43,AC$5)="F",AND(AC$6&gt;0,$A43&lt;AC$6),AND(AC$7&gt;0,$A43&gt;AC$7)),0,MAX(0,ROUND((INDEX($E43:$G43,AC$5)-SUMIFS(TF_Timer,TF_Tekniker,AC$4,TF_Dato,$A43))*2,0)/2)))</f>
        <v/>
      </c>
      <c r="AD43">
        <f>IF(OR(AD$4="",$A43&gt;TODAY()),0,IF(OR(INDEX($B43:$D43,AD$5)="F",AND(AD$6&gt;0,$A43&lt;AD$6),AND(AD$7&gt;0,$A43&gt;AD$7)),0,MAX(0,ROUND((INDEX($E43:$G43,AD$5)-SUMIFS(TF_Timer,TF_Tekniker,AD$4,TF_Dato,$A43))*2,0)/2)))</f>
        <v/>
      </c>
      <c r="AE43">
        <f>IF(OR(AE$4="",$A43&gt;TODAY()),0,IF(OR(INDEX($B43:$D43,AE$5)="F",AND(AE$6&gt;0,$A43&lt;AE$6),AND(AE$7&gt;0,$A43&gt;AE$7)),0,MAX(0,ROUND((INDEX($E43:$G43,AE$5)-SUMIFS(TF_Timer,TF_Tekniker,AE$4,TF_Dato,$A43))*2,0)/2)))</f>
        <v/>
      </c>
      <c r="AF43">
        <f>IF(OR(AF$4="",$A43&gt;TODAY()),0,IF(OR(INDEX($B43:$D43,AF$5)="F",AND(AF$6&gt;0,$A43&lt;AF$6),AND(AF$7&gt;0,$A43&gt;AF$7)),0,MAX(0,ROUND((INDEX($E43:$G43,AF$5)-SUMIFS(TF_Timer,TF_Tekniker,AF$4,TF_Dato,$A43))*2,0)/2)))</f>
        <v/>
      </c>
      <c r="AG43">
        <f>IF(OR(AG$4="",$A43&gt;TODAY()),0,IF(OR(INDEX($B43:$D43,AG$5)="F",AND(AG$6&gt;0,$A43&lt;AG$6),AND(AG$7&gt;0,$A43&gt;AG$7)),0,MAX(0,ROUND((INDEX($E43:$G43,AG$5)-SUMIFS(TF_Timer,TF_Tekniker,AG$4,TF_Dato,$A43))*2,0)/2)))</f>
        <v/>
      </c>
      <c r="AH43">
        <f>IF(OR(AH$4="",$A43&gt;TODAY()),0,IF(OR(INDEX($B43:$D43,AH$5)="F",AND(AH$6&gt;0,$A43&lt;AH$6),AND(AH$7&gt;0,$A43&gt;AH$7)),0,MAX(0,ROUND((INDEX($E43:$G43,AH$5)-SUMIFS(TF_Timer,TF_Tekniker,AH$4,TF_Dato,$A43))*2,0)/2)))</f>
        <v/>
      </c>
      <c r="AI43">
        <f>IF(OR(AI$4="",$A43&gt;TODAY()),0,IF(OR(INDEX($B43:$D43,AI$5)="F",AND(AI$6&gt;0,$A43&lt;AI$6),AND(AI$7&gt;0,$A43&gt;AI$7)),0,MAX(0,ROUND((INDEX($E43:$G43,AI$5)-SUMIFS(TF_Timer,TF_Tekniker,AI$4,TF_Dato,$A43))*2,0)/2)))</f>
        <v/>
      </c>
      <c r="AJ43">
        <f>IF(OR(AJ$4="",$A43&gt;TODAY()),0,IF(OR(INDEX($B43:$D43,AJ$5)="F",AND(AJ$6&gt;0,$A43&lt;AJ$6),AND(AJ$7&gt;0,$A43&gt;AJ$7)),0,MAX(0,ROUND((INDEX($E43:$G43,AJ$5)-SUMIFS(TF_Timer,TF_Tekniker,AJ$4,TF_Dato,$A43))*2,0)/2)))</f>
        <v/>
      </c>
      <c r="AK43">
        <f>IF(OR(AK$4="",$A43&gt;TODAY()),0,IF(OR(INDEX($B43:$D43,AK$5)="F",AND(AK$6&gt;0,$A43&lt;AK$6),AND(AK$7&gt;0,$A43&gt;AK$7)),0,MAX(0,ROUND((INDEX($E43:$G43,AK$5)-SUMIFS(TF_Timer,TF_Tekniker,AK$4,TF_Dato,$A43))*2,0)/2)))</f>
        <v/>
      </c>
      <c r="AL43">
        <f>IF(OR(AL$4="",$A43&gt;TODAY()),0,IF(OR(INDEX($B43:$D43,AL$5)="F",AND(AL$6&gt;0,$A43&lt;AL$6),AND(AL$7&gt;0,$A43&gt;AL$7)),0,MAX(0,ROUND((INDEX($E43:$G43,AL$5)-SUMIFS(TF_Timer,TF_Tekniker,AL$4,TF_Dato,$A43))*2,0)/2)))</f>
        <v/>
      </c>
      <c r="AM43">
        <f>IF(OR(AM$4="",$A43&gt;TODAY()),0,IF(OR(INDEX($B43:$D43,AM$5)="F",AND(AM$6&gt;0,$A43&lt;AM$6),AND(AM$7&gt;0,$A43&gt;AM$7)),0,MAX(0,ROUND((INDEX($E43:$G43,AM$5)-SUMIFS(TF_Timer,TF_Tekniker,AM$4,TF_Dato,$A43))*2,0)/2)))</f>
        <v/>
      </c>
      <c r="AN43">
        <f>IF(OR(AN$4="",$A43&gt;TODAY()),0,IF(OR(INDEX($B43:$D43,AN$5)="F",AND(AN$6&gt;0,$A43&lt;AN$6),AND(AN$7&gt;0,$A43&gt;AN$7)),0,MAX(0,ROUND((INDEX($E43:$G43,AN$5)-SUMIFS(TF_Timer,TF_Tekniker,AN$4,TF_Dato,$A43))*2,0)/2)))</f>
        <v/>
      </c>
      <c r="AO43">
        <f>IF(OR(AO$4="",$A43&gt;TODAY()),0,IF(OR(INDEX($B43:$D43,AO$5)="F",AND(AO$6&gt;0,$A43&lt;AO$6),AND(AO$7&gt;0,$A43&gt;AO$7)),0,MAX(0,ROUND((INDEX($E43:$G43,AO$5)-SUMIFS(TF_Timer,TF_Tekniker,AO$4,TF_Dato,$A43))*2,0)/2)))</f>
        <v/>
      </c>
      <c r="AP43">
        <f>IF(OR(AP$4="",$A43&gt;TODAY()),0,IF(OR(INDEX($B43:$D43,AP$5)="F",AND(AP$6&gt;0,$A43&lt;AP$6),AND(AP$7&gt;0,$A43&gt;AP$7)),0,MAX(0,ROUND((INDEX($E43:$G43,AP$5)-SUMIFS(TF_Timer,TF_Tekniker,AP$4,TF_Dato,$A43))*2,0)/2)))</f>
        <v/>
      </c>
      <c r="AQ43">
        <f>IF(OR(AQ$4="",$A43&gt;TODAY()),0,IF(OR(INDEX($B43:$D43,AQ$5)="F",AND(AQ$6&gt;0,$A43&lt;AQ$6),AND(AQ$7&gt;0,$A43&gt;AQ$7)),0,MAX(0,ROUND((INDEX($E43:$G43,AQ$5)-SUMIFS(TF_Timer,TF_Tekniker,AQ$4,TF_Dato,$A43))*2,0)/2)))</f>
        <v/>
      </c>
      <c r="AR43">
        <f>IF(OR(AR$4="",$A43&gt;TODAY()),0,IF(OR(INDEX($B43:$D43,AR$5)="F",AND(AR$6&gt;0,$A43&lt;AR$6),AND(AR$7&gt;0,$A43&gt;AR$7)),0,MAX(0,ROUND((INDEX($E43:$G43,AR$5)-SUMIFS(TF_Timer,TF_Tekniker,AR$4,TF_Dato,$A43))*2,0)/2)))</f>
        <v/>
      </c>
      <c r="AS43">
        <f>IF(OR(AS$4="",$A43&gt;TODAY()),0,IF(OR(INDEX($B43:$D43,AS$5)="F",AND(AS$6&gt;0,$A43&lt;AS$6),AND(AS$7&gt;0,$A43&gt;AS$7)),0,MAX(0,ROUND((INDEX($E43:$G43,AS$5)-SUMIFS(TF_Timer,TF_Tekniker,AS$4,TF_Dato,$A43))*2,0)/2)))</f>
        <v/>
      </c>
      <c r="AT43">
        <f>IF(OR(AT$4="",$A43&gt;TODAY()),0,IF(OR(INDEX($B43:$D43,AT$5)="F",AND(AT$6&gt;0,$A43&lt;AT$6),AND(AT$7&gt;0,$A43&gt;AT$7)),0,MAX(0,ROUND((INDEX($E43:$G43,AT$5)-SUMIFS(TF_Timer,TF_Tekniker,AT$4,TF_Dato,$A43))*2,0)/2)))</f>
        <v/>
      </c>
      <c r="AU43">
        <f>IF(OR(AU$4="",$A43&gt;TODAY()),0,IF(OR(INDEX($B43:$D43,AU$5)="F",AND(AU$6&gt;0,$A43&lt;AU$6),AND(AU$7&gt;0,$A43&gt;AU$7)),0,MAX(0,ROUND((INDEX($E43:$G43,AU$5)-SUMIFS(TF_Timer,TF_Tekniker,AU$4,TF_Dato,$A43))*2,0)/2)))</f>
        <v/>
      </c>
      <c r="AV43">
        <f>IF(OR(AV$4="",$A43&gt;TODAY()),0,IF(OR(INDEX($B43:$D43,AV$5)="F",AND(AV$6&gt;0,$A43&lt;AV$6),AND(AV$7&gt;0,$A43&gt;AV$7)),0,MAX(0,ROUND((INDEX($E43:$G43,AV$5)-SUMIFS(TF_Timer,TF_Tekniker,AV$4,TF_Dato,$A43))*2,0)/2)))</f>
        <v/>
      </c>
      <c r="AW43">
        <f>IF(OR(AW$4="",$A43&gt;TODAY()),0,IF(OR(INDEX($B43:$D43,AW$5)="F",AND(AW$6&gt;0,$A43&lt;AW$6),AND(AW$7&gt;0,$A43&gt;AW$7)),0,MAX(0,ROUND((INDEX($E43:$G43,AW$5)-SUMIFS(TF_Timer,TF_Tekniker,AW$4,TF_Dato,$A43))*2,0)/2)))</f>
        <v/>
      </c>
      <c r="AX43">
        <f>IF(OR(AX$4="",$A43&gt;TODAY()),0,IF(OR(INDEX($B43:$D43,AX$5)="F",AND(AX$6&gt;0,$A43&lt;AX$6),AND(AX$7&gt;0,$A43&gt;AX$7)),0,MAX(0,ROUND((INDEX($E43:$G43,AX$5)-SUMIFS(TF_Timer,TF_Tekniker,AX$4,TF_Dato,$A43))*2,0)/2)))</f>
        <v/>
      </c>
      <c r="AY43">
        <f>IF(OR(AY$4="",$A43&gt;TODAY()),0,IF(OR(INDEX($B43:$D43,AY$5)="F",AND(AY$6&gt;0,$A43&lt;AY$6),AND(AY$7&gt;0,$A43&gt;AY$7)),0,MAX(0,ROUND((INDEX($E43:$G43,AY$5)-SUMIFS(TF_Timer,TF_Tekniker,AY$4,TF_Dato,$A43))*2,0)/2)))</f>
        <v/>
      </c>
      <c r="AZ43">
        <f>IF(OR(AZ$4="",$A43&gt;TODAY()),0,IF(OR(INDEX($B43:$D43,AZ$5)="F",AND(AZ$6&gt;0,$A43&lt;AZ$6),AND(AZ$7&gt;0,$A43&gt;AZ$7)),0,MAX(0,ROUND((INDEX($E43:$G43,AZ$5)-SUMIFS(TF_Timer,TF_Tekniker,AZ$4,TF_Dato,$A43))*2,0)/2)))</f>
        <v/>
      </c>
      <c r="BA43">
        <f>IF(OR(BA$4="",$A43&gt;TODAY()),0,IF(OR(INDEX($B43:$D43,BA$5)="F",AND(BA$6&gt;0,$A43&lt;BA$6),AND(BA$7&gt;0,$A43&gt;BA$7)),0,MAX(0,ROUND((INDEX($E43:$G43,BA$5)-SUMIFS(TF_Timer,TF_Tekniker,BA$4,TF_Dato,$A43))*2,0)/2)))</f>
        <v/>
      </c>
      <c r="BB43">
        <f>IF(OR(BB$4="",$A43&gt;TODAY()),0,IF(OR(INDEX($B43:$D43,BB$5)="F",AND(BB$6&gt;0,$A43&lt;BB$6),AND(BB$7&gt;0,$A43&gt;BB$7)),0,MAX(0,ROUND((INDEX($E43:$G43,BB$5)-SUMIFS(TF_Timer,TF_Tekniker,BB$4,TF_Dato,$A43))*2,0)/2)))</f>
        <v/>
      </c>
      <c r="BC43">
        <f>IF(OR(BC$4="",$A43&gt;TODAY()),0,IF(OR(INDEX($B43:$D43,BC$5)="F",AND(BC$6&gt;0,$A43&lt;BC$6),AND(BC$7&gt;0,$A43&gt;BC$7)),0,MAX(0,ROUND((INDEX($E43:$G43,BC$5)-SUMIFS(TF_Timer,TF_Tekniker,BC$4,TF_Dato,$A43))*2,0)/2)))</f>
        <v/>
      </c>
      <c r="BD43">
        <f>IF(OR(BD$4="",$A43&gt;TODAY()),0,IF(OR(INDEX($B43:$D43,BD$5)="F",AND(BD$6&gt;0,$A43&lt;BD$6),AND(BD$7&gt;0,$A43&gt;BD$7)),0,MAX(0,ROUND((INDEX($E43:$G43,BD$5)-SUMIFS(TF_Timer,TF_Tekniker,BD$4,TF_Dato,$A43))*2,0)/2)))</f>
        <v/>
      </c>
      <c r="BE43">
        <f>IF(OR(BE$4="",$A43&gt;TODAY()),0,IF(OR(INDEX($B43:$D43,BE$5)="F",AND(BE$6&gt;0,$A43&lt;BE$6),AND(BE$7&gt;0,$A43&gt;BE$7)),0,MAX(0,ROUND((INDEX($E43:$G43,BE$5)-SUMIFS(TF_Timer,TF_Tekniker,BE$4,TF_Dato,$A43))*2,0)/2)))</f>
        <v/>
      </c>
      <c r="BF43">
        <f>IF(OR(BF$4="",$A43&gt;TODAY()),0,IF(OR(INDEX($B43:$D43,BF$5)="F",AND(BF$6&gt;0,$A43&lt;BF$6),AND(BF$7&gt;0,$A43&gt;BF$7)),0,MAX(0,ROUND((INDEX($E43:$G43,BF$5)-SUMIFS(TF_Timer,TF_Tekniker,BF$4,TF_Dato,$A43))*2,0)/2)))</f>
        <v/>
      </c>
      <c r="BG43">
        <f>IF(OR(BG$4="",$A43&gt;TODAY()),0,IF(OR(INDEX($B43:$D43,BG$5)="F",AND(BG$6&gt;0,$A43&lt;BG$6),AND(BG$7&gt;0,$A43&gt;BG$7)),0,MAX(0,ROUND((INDEX($E43:$G43,BG$5)-SUMIFS(TF_Timer,TF_Tekniker,BG$4,TF_Dato,$A43))*2,0)/2)))</f>
        <v/>
      </c>
      <c r="BH43">
        <f>IF(OR(BH$4="",$A43&gt;TODAY()),0,IF(OR(INDEX($B43:$D43,BH$5)="F",AND(BH$6&gt;0,$A43&lt;BH$6),AND(BH$7&gt;0,$A43&gt;BH$7)),0,MAX(0,ROUND((INDEX($E43:$G43,BH$5)-SUMIFS(TF_Timer,TF_Tekniker,BH$4,TF_Dato,$A43))*2,0)/2)))</f>
        <v/>
      </c>
      <c r="BI43">
        <f>IF(OR(BI$4="",$A43&gt;TODAY()),0,IF(OR(INDEX($B43:$D43,BI$5)="F",AND(BI$6&gt;0,$A43&lt;BI$6),AND(BI$7&gt;0,$A43&gt;BI$7)),0,MAX(0,ROUND((INDEX($E43:$G43,BI$5)-SUMIFS(TF_Timer,TF_Tekniker,BI$4,TF_Dato,$A43))*2,0)/2)))</f>
        <v/>
      </c>
    </row>
    <row r="44">
      <c r="A44" s="64">
        <f>A43+1</f>
        <v/>
      </c>
      <c r="B44">
        <f>IF(MOD($A44-INDEX(SkiftStart,1),Syklus)&lt;DagK,"K",IF(MOD($A44-INDEX(SkiftStart,1),Syklus)&lt;DagK+DagH,"H",IF(MOD($A44-INDEX(SkiftStart,1),Syklus)&lt;DagK+DagH+DagD,"D","F")))</f>
        <v/>
      </c>
      <c r="C44">
        <f>IF(MOD($A44-INDEX(SkiftStart,2),Syklus)&lt;DagK,"K",IF(MOD($A44-INDEX(SkiftStart,2),Syklus)&lt;DagK+DagH,"H",IF(MOD($A44-INDEX(SkiftStart,2),Syklus)&lt;DagK+DagH+DagD,"D","F")))</f>
        <v/>
      </c>
      <c r="D44">
        <f>IF(MOD($A44-INDEX(SkiftStart,3),Syklus)&lt;DagK,"K",IF(MOD($A44-INDEX(SkiftStart,3),Syklus)&lt;DagK+DagH,"H",IF(MOD($A44-INDEX(SkiftStart,3),Syklus)&lt;DagK+DagH+DagD,"D","F")))</f>
        <v/>
      </c>
      <c r="E44">
        <f>IF(B44="F",0,IF(WEEKDAY($A44,2)=5,INDEX(TimerFr,MATCH(B44,FaseKode,0)),INDEX(TimerMT,MATCH(B44,FaseKode,0))))</f>
        <v/>
      </c>
      <c r="F44">
        <f>IF(C44="F",0,IF(WEEKDAY($A44,2)=5,INDEX(TimerFr,MATCH(C44,FaseKode,0)),INDEX(TimerMT,MATCH(C44,FaseKode,0))))</f>
        <v/>
      </c>
      <c r="G44">
        <f>IF(D44="F",0,IF(WEEKDAY($A44,2)=5,INDEX(TimerFr,MATCH(D44,FaseKode,0)),INDEX(TimerMT,MATCH(D44,FaseKode,0))))</f>
        <v/>
      </c>
      <c r="H44">
        <f>IF(OR(H$4="",$A44&gt;TODAY()),0,IF(OR(INDEX($B44:$D44,H$5)="F",AND(H$6&gt;0,$A44&lt;H$6),AND(H$7&gt;0,$A44&gt;H$7)),0,MAX(0,ROUND((INDEX($E44:$G44,H$5)-SUMIFS(TF_Timer,TF_Tekniker,H$4,TF_Dato,$A44))*2,0)/2)))</f>
        <v/>
      </c>
      <c r="I44">
        <f>IF(OR(I$4="",$A44&gt;TODAY()),0,IF(OR(INDEX($B44:$D44,I$5)="F",AND(I$6&gt;0,$A44&lt;I$6),AND(I$7&gt;0,$A44&gt;I$7)),0,MAX(0,ROUND((INDEX($E44:$G44,I$5)-SUMIFS(TF_Timer,TF_Tekniker,I$4,TF_Dato,$A44))*2,0)/2)))</f>
        <v/>
      </c>
      <c r="J44">
        <f>IF(OR(J$4="",$A44&gt;TODAY()),0,IF(OR(INDEX($B44:$D44,J$5)="F",AND(J$6&gt;0,$A44&lt;J$6),AND(J$7&gt;0,$A44&gt;J$7)),0,MAX(0,ROUND((INDEX($E44:$G44,J$5)-SUMIFS(TF_Timer,TF_Tekniker,J$4,TF_Dato,$A44))*2,0)/2)))</f>
        <v/>
      </c>
      <c r="K44">
        <f>IF(OR(K$4="",$A44&gt;TODAY()),0,IF(OR(INDEX($B44:$D44,K$5)="F",AND(K$6&gt;0,$A44&lt;K$6),AND(K$7&gt;0,$A44&gt;K$7)),0,MAX(0,ROUND((INDEX($E44:$G44,K$5)-SUMIFS(TF_Timer,TF_Tekniker,K$4,TF_Dato,$A44))*2,0)/2)))</f>
        <v/>
      </c>
      <c r="L44">
        <f>IF(OR(L$4="",$A44&gt;TODAY()),0,IF(OR(INDEX($B44:$D44,L$5)="F",AND(L$6&gt;0,$A44&lt;L$6),AND(L$7&gt;0,$A44&gt;L$7)),0,MAX(0,ROUND((INDEX($E44:$G44,L$5)-SUMIFS(TF_Timer,TF_Tekniker,L$4,TF_Dato,$A44))*2,0)/2)))</f>
        <v/>
      </c>
      <c r="M44">
        <f>IF(OR(M$4="",$A44&gt;TODAY()),0,IF(OR(INDEX($B44:$D44,M$5)="F",AND(M$6&gt;0,$A44&lt;M$6),AND(M$7&gt;0,$A44&gt;M$7)),0,MAX(0,ROUND((INDEX($E44:$G44,M$5)-SUMIFS(TF_Timer,TF_Tekniker,M$4,TF_Dato,$A44))*2,0)/2)))</f>
        <v/>
      </c>
      <c r="N44">
        <f>IF(OR(N$4="",$A44&gt;TODAY()),0,IF(OR(INDEX($B44:$D44,N$5)="F",AND(N$6&gt;0,$A44&lt;N$6),AND(N$7&gt;0,$A44&gt;N$7)),0,MAX(0,ROUND((INDEX($E44:$G44,N$5)-SUMIFS(TF_Timer,TF_Tekniker,N$4,TF_Dato,$A44))*2,0)/2)))</f>
        <v/>
      </c>
      <c r="O44">
        <f>IF(OR(O$4="",$A44&gt;TODAY()),0,IF(OR(INDEX($B44:$D44,O$5)="F",AND(O$6&gt;0,$A44&lt;O$6),AND(O$7&gt;0,$A44&gt;O$7)),0,MAX(0,ROUND((INDEX($E44:$G44,O$5)-SUMIFS(TF_Timer,TF_Tekniker,O$4,TF_Dato,$A44))*2,0)/2)))</f>
        <v/>
      </c>
      <c r="P44">
        <f>IF(OR(P$4="",$A44&gt;TODAY()),0,IF(OR(INDEX($B44:$D44,P$5)="F",AND(P$6&gt;0,$A44&lt;P$6),AND(P$7&gt;0,$A44&gt;P$7)),0,MAX(0,ROUND((INDEX($E44:$G44,P$5)-SUMIFS(TF_Timer,TF_Tekniker,P$4,TF_Dato,$A44))*2,0)/2)))</f>
        <v/>
      </c>
      <c r="Q44">
        <f>IF(OR(Q$4="",$A44&gt;TODAY()),0,IF(OR(INDEX($B44:$D44,Q$5)="F",AND(Q$6&gt;0,$A44&lt;Q$6),AND(Q$7&gt;0,$A44&gt;Q$7)),0,MAX(0,ROUND((INDEX($E44:$G44,Q$5)-SUMIFS(TF_Timer,TF_Tekniker,Q$4,TF_Dato,$A44))*2,0)/2)))</f>
        <v/>
      </c>
      <c r="R44">
        <f>IF(OR(R$4="",$A44&gt;TODAY()),0,IF(OR(INDEX($B44:$D44,R$5)="F",AND(R$6&gt;0,$A44&lt;R$6),AND(R$7&gt;0,$A44&gt;R$7)),0,MAX(0,ROUND((INDEX($E44:$G44,R$5)-SUMIFS(TF_Timer,TF_Tekniker,R$4,TF_Dato,$A44))*2,0)/2)))</f>
        <v/>
      </c>
      <c r="S44">
        <f>IF(OR(S$4="",$A44&gt;TODAY()),0,IF(OR(INDEX($B44:$D44,S$5)="F",AND(S$6&gt;0,$A44&lt;S$6),AND(S$7&gt;0,$A44&gt;S$7)),0,MAX(0,ROUND((INDEX($E44:$G44,S$5)-SUMIFS(TF_Timer,TF_Tekniker,S$4,TF_Dato,$A44))*2,0)/2)))</f>
        <v/>
      </c>
      <c r="T44">
        <f>IF(OR(T$4="",$A44&gt;TODAY()),0,IF(OR(INDEX($B44:$D44,T$5)="F",AND(T$6&gt;0,$A44&lt;T$6),AND(T$7&gt;0,$A44&gt;T$7)),0,MAX(0,ROUND((INDEX($E44:$G44,T$5)-SUMIFS(TF_Timer,TF_Tekniker,T$4,TF_Dato,$A44))*2,0)/2)))</f>
        <v/>
      </c>
      <c r="U44">
        <f>IF(OR(U$4="",$A44&gt;TODAY()),0,IF(OR(INDEX($B44:$D44,U$5)="F",AND(U$6&gt;0,$A44&lt;U$6),AND(U$7&gt;0,$A44&gt;U$7)),0,MAX(0,ROUND((INDEX($E44:$G44,U$5)-SUMIFS(TF_Timer,TF_Tekniker,U$4,TF_Dato,$A44))*2,0)/2)))</f>
        <v/>
      </c>
      <c r="V44">
        <f>IF(OR(V$4="",$A44&gt;TODAY()),0,IF(OR(INDEX($B44:$D44,V$5)="F",AND(V$6&gt;0,$A44&lt;V$6),AND(V$7&gt;0,$A44&gt;V$7)),0,MAX(0,ROUND((INDEX($E44:$G44,V$5)-SUMIFS(TF_Timer,TF_Tekniker,V$4,TF_Dato,$A44))*2,0)/2)))</f>
        <v/>
      </c>
      <c r="W44">
        <f>IF(OR(W$4="",$A44&gt;TODAY()),0,IF(OR(INDEX($B44:$D44,W$5)="F",AND(W$6&gt;0,$A44&lt;W$6),AND(W$7&gt;0,$A44&gt;W$7)),0,MAX(0,ROUND((INDEX($E44:$G44,W$5)-SUMIFS(TF_Timer,TF_Tekniker,W$4,TF_Dato,$A44))*2,0)/2)))</f>
        <v/>
      </c>
      <c r="X44">
        <f>IF(OR(X$4="",$A44&gt;TODAY()),0,IF(OR(INDEX($B44:$D44,X$5)="F",AND(X$6&gt;0,$A44&lt;X$6),AND(X$7&gt;0,$A44&gt;X$7)),0,MAX(0,ROUND((INDEX($E44:$G44,X$5)-SUMIFS(TF_Timer,TF_Tekniker,X$4,TF_Dato,$A44))*2,0)/2)))</f>
        <v/>
      </c>
      <c r="Y44">
        <f>IF(OR(Y$4="",$A44&gt;TODAY()),0,IF(OR(INDEX($B44:$D44,Y$5)="F",AND(Y$6&gt;0,$A44&lt;Y$6),AND(Y$7&gt;0,$A44&gt;Y$7)),0,MAX(0,ROUND((INDEX($E44:$G44,Y$5)-SUMIFS(TF_Timer,TF_Tekniker,Y$4,TF_Dato,$A44))*2,0)/2)))</f>
        <v/>
      </c>
      <c r="Z44">
        <f>IF(OR(Z$4="",$A44&gt;TODAY()),0,IF(OR(INDEX($B44:$D44,Z$5)="F",AND(Z$6&gt;0,$A44&lt;Z$6),AND(Z$7&gt;0,$A44&gt;Z$7)),0,MAX(0,ROUND((INDEX($E44:$G44,Z$5)-SUMIFS(TF_Timer,TF_Tekniker,Z$4,TF_Dato,$A44))*2,0)/2)))</f>
        <v/>
      </c>
      <c r="AA44">
        <f>IF(OR(AA$4="",$A44&gt;TODAY()),0,IF(OR(INDEX($B44:$D44,AA$5)="F",AND(AA$6&gt;0,$A44&lt;AA$6),AND(AA$7&gt;0,$A44&gt;AA$7)),0,MAX(0,ROUND((INDEX($E44:$G44,AA$5)-SUMIFS(TF_Timer,TF_Tekniker,AA$4,TF_Dato,$A44))*2,0)/2)))</f>
        <v/>
      </c>
      <c r="AB44">
        <f>IF(OR(AB$4="",$A44&gt;TODAY()),0,IF(OR(INDEX($B44:$D44,AB$5)="F",AND(AB$6&gt;0,$A44&lt;AB$6),AND(AB$7&gt;0,$A44&gt;AB$7)),0,MAX(0,ROUND((INDEX($E44:$G44,AB$5)-SUMIFS(TF_Timer,TF_Tekniker,AB$4,TF_Dato,$A44))*2,0)/2)))</f>
        <v/>
      </c>
      <c r="AC44">
        <f>IF(OR(AC$4="",$A44&gt;TODAY()),0,IF(OR(INDEX($B44:$D44,AC$5)="F",AND(AC$6&gt;0,$A44&lt;AC$6),AND(AC$7&gt;0,$A44&gt;AC$7)),0,MAX(0,ROUND((INDEX($E44:$G44,AC$5)-SUMIFS(TF_Timer,TF_Tekniker,AC$4,TF_Dato,$A44))*2,0)/2)))</f>
        <v/>
      </c>
      <c r="AD44">
        <f>IF(OR(AD$4="",$A44&gt;TODAY()),0,IF(OR(INDEX($B44:$D44,AD$5)="F",AND(AD$6&gt;0,$A44&lt;AD$6),AND(AD$7&gt;0,$A44&gt;AD$7)),0,MAX(0,ROUND((INDEX($E44:$G44,AD$5)-SUMIFS(TF_Timer,TF_Tekniker,AD$4,TF_Dato,$A44))*2,0)/2)))</f>
        <v/>
      </c>
      <c r="AE44">
        <f>IF(OR(AE$4="",$A44&gt;TODAY()),0,IF(OR(INDEX($B44:$D44,AE$5)="F",AND(AE$6&gt;0,$A44&lt;AE$6),AND(AE$7&gt;0,$A44&gt;AE$7)),0,MAX(0,ROUND((INDEX($E44:$G44,AE$5)-SUMIFS(TF_Timer,TF_Tekniker,AE$4,TF_Dato,$A44))*2,0)/2)))</f>
        <v/>
      </c>
      <c r="AF44">
        <f>IF(OR(AF$4="",$A44&gt;TODAY()),0,IF(OR(INDEX($B44:$D44,AF$5)="F",AND(AF$6&gt;0,$A44&lt;AF$6),AND(AF$7&gt;0,$A44&gt;AF$7)),0,MAX(0,ROUND((INDEX($E44:$G44,AF$5)-SUMIFS(TF_Timer,TF_Tekniker,AF$4,TF_Dato,$A44))*2,0)/2)))</f>
        <v/>
      </c>
      <c r="AG44">
        <f>IF(OR(AG$4="",$A44&gt;TODAY()),0,IF(OR(INDEX($B44:$D44,AG$5)="F",AND(AG$6&gt;0,$A44&lt;AG$6),AND(AG$7&gt;0,$A44&gt;AG$7)),0,MAX(0,ROUND((INDEX($E44:$G44,AG$5)-SUMIFS(TF_Timer,TF_Tekniker,AG$4,TF_Dato,$A44))*2,0)/2)))</f>
        <v/>
      </c>
      <c r="AH44">
        <f>IF(OR(AH$4="",$A44&gt;TODAY()),0,IF(OR(INDEX($B44:$D44,AH$5)="F",AND(AH$6&gt;0,$A44&lt;AH$6),AND(AH$7&gt;0,$A44&gt;AH$7)),0,MAX(0,ROUND((INDEX($E44:$G44,AH$5)-SUMIFS(TF_Timer,TF_Tekniker,AH$4,TF_Dato,$A44))*2,0)/2)))</f>
        <v/>
      </c>
      <c r="AI44">
        <f>IF(OR(AI$4="",$A44&gt;TODAY()),0,IF(OR(INDEX($B44:$D44,AI$5)="F",AND(AI$6&gt;0,$A44&lt;AI$6),AND(AI$7&gt;0,$A44&gt;AI$7)),0,MAX(0,ROUND((INDEX($E44:$G44,AI$5)-SUMIFS(TF_Timer,TF_Tekniker,AI$4,TF_Dato,$A44))*2,0)/2)))</f>
        <v/>
      </c>
      <c r="AJ44">
        <f>IF(OR(AJ$4="",$A44&gt;TODAY()),0,IF(OR(INDEX($B44:$D44,AJ$5)="F",AND(AJ$6&gt;0,$A44&lt;AJ$6),AND(AJ$7&gt;0,$A44&gt;AJ$7)),0,MAX(0,ROUND((INDEX($E44:$G44,AJ$5)-SUMIFS(TF_Timer,TF_Tekniker,AJ$4,TF_Dato,$A44))*2,0)/2)))</f>
        <v/>
      </c>
      <c r="AK44">
        <f>IF(OR(AK$4="",$A44&gt;TODAY()),0,IF(OR(INDEX($B44:$D44,AK$5)="F",AND(AK$6&gt;0,$A44&lt;AK$6),AND(AK$7&gt;0,$A44&gt;AK$7)),0,MAX(0,ROUND((INDEX($E44:$G44,AK$5)-SUMIFS(TF_Timer,TF_Tekniker,AK$4,TF_Dato,$A44))*2,0)/2)))</f>
        <v/>
      </c>
      <c r="AL44">
        <f>IF(OR(AL$4="",$A44&gt;TODAY()),0,IF(OR(INDEX($B44:$D44,AL$5)="F",AND(AL$6&gt;0,$A44&lt;AL$6),AND(AL$7&gt;0,$A44&gt;AL$7)),0,MAX(0,ROUND((INDEX($E44:$G44,AL$5)-SUMIFS(TF_Timer,TF_Tekniker,AL$4,TF_Dato,$A44))*2,0)/2)))</f>
        <v/>
      </c>
      <c r="AM44">
        <f>IF(OR(AM$4="",$A44&gt;TODAY()),0,IF(OR(INDEX($B44:$D44,AM$5)="F",AND(AM$6&gt;0,$A44&lt;AM$6),AND(AM$7&gt;0,$A44&gt;AM$7)),0,MAX(0,ROUND((INDEX($E44:$G44,AM$5)-SUMIFS(TF_Timer,TF_Tekniker,AM$4,TF_Dato,$A44))*2,0)/2)))</f>
        <v/>
      </c>
      <c r="AN44">
        <f>IF(OR(AN$4="",$A44&gt;TODAY()),0,IF(OR(INDEX($B44:$D44,AN$5)="F",AND(AN$6&gt;0,$A44&lt;AN$6),AND(AN$7&gt;0,$A44&gt;AN$7)),0,MAX(0,ROUND((INDEX($E44:$G44,AN$5)-SUMIFS(TF_Timer,TF_Tekniker,AN$4,TF_Dato,$A44))*2,0)/2)))</f>
        <v/>
      </c>
      <c r="AO44">
        <f>IF(OR(AO$4="",$A44&gt;TODAY()),0,IF(OR(INDEX($B44:$D44,AO$5)="F",AND(AO$6&gt;0,$A44&lt;AO$6),AND(AO$7&gt;0,$A44&gt;AO$7)),0,MAX(0,ROUND((INDEX($E44:$G44,AO$5)-SUMIFS(TF_Timer,TF_Tekniker,AO$4,TF_Dato,$A44))*2,0)/2)))</f>
        <v/>
      </c>
      <c r="AP44">
        <f>IF(OR(AP$4="",$A44&gt;TODAY()),0,IF(OR(INDEX($B44:$D44,AP$5)="F",AND(AP$6&gt;0,$A44&lt;AP$6),AND(AP$7&gt;0,$A44&gt;AP$7)),0,MAX(0,ROUND((INDEX($E44:$G44,AP$5)-SUMIFS(TF_Timer,TF_Tekniker,AP$4,TF_Dato,$A44))*2,0)/2)))</f>
        <v/>
      </c>
      <c r="AQ44">
        <f>IF(OR(AQ$4="",$A44&gt;TODAY()),0,IF(OR(INDEX($B44:$D44,AQ$5)="F",AND(AQ$6&gt;0,$A44&lt;AQ$6),AND(AQ$7&gt;0,$A44&gt;AQ$7)),0,MAX(0,ROUND((INDEX($E44:$G44,AQ$5)-SUMIFS(TF_Timer,TF_Tekniker,AQ$4,TF_Dato,$A44))*2,0)/2)))</f>
        <v/>
      </c>
      <c r="AR44">
        <f>IF(OR(AR$4="",$A44&gt;TODAY()),0,IF(OR(INDEX($B44:$D44,AR$5)="F",AND(AR$6&gt;0,$A44&lt;AR$6),AND(AR$7&gt;0,$A44&gt;AR$7)),0,MAX(0,ROUND((INDEX($E44:$G44,AR$5)-SUMIFS(TF_Timer,TF_Tekniker,AR$4,TF_Dato,$A44))*2,0)/2)))</f>
        <v/>
      </c>
      <c r="AS44">
        <f>IF(OR(AS$4="",$A44&gt;TODAY()),0,IF(OR(INDEX($B44:$D44,AS$5)="F",AND(AS$6&gt;0,$A44&lt;AS$6),AND(AS$7&gt;0,$A44&gt;AS$7)),0,MAX(0,ROUND((INDEX($E44:$G44,AS$5)-SUMIFS(TF_Timer,TF_Tekniker,AS$4,TF_Dato,$A44))*2,0)/2)))</f>
        <v/>
      </c>
      <c r="AT44">
        <f>IF(OR(AT$4="",$A44&gt;TODAY()),0,IF(OR(INDEX($B44:$D44,AT$5)="F",AND(AT$6&gt;0,$A44&lt;AT$6),AND(AT$7&gt;0,$A44&gt;AT$7)),0,MAX(0,ROUND((INDEX($E44:$G44,AT$5)-SUMIFS(TF_Timer,TF_Tekniker,AT$4,TF_Dato,$A44))*2,0)/2)))</f>
        <v/>
      </c>
      <c r="AU44">
        <f>IF(OR(AU$4="",$A44&gt;TODAY()),0,IF(OR(INDEX($B44:$D44,AU$5)="F",AND(AU$6&gt;0,$A44&lt;AU$6),AND(AU$7&gt;0,$A44&gt;AU$7)),0,MAX(0,ROUND((INDEX($E44:$G44,AU$5)-SUMIFS(TF_Timer,TF_Tekniker,AU$4,TF_Dato,$A44))*2,0)/2)))</f>
        <v/>
      </c>
      <c r="AV44">
        <f>IF(OR(AV$4="",$A44&gt;TODAY()),0,IF(OR(INDEX($B44:$D44,AV$5)="F",AND(AV$6&gt;0,$A44&lt;AV$6),AND(AV$7&gt;0,$A44&gt;AV$7)),0,MAX(0,ROUND((INDEX($E44:$G44,AV$5)-SUMIFS(TF_Timer,TF_Tekniker,AV$4,TF_Dato,$A44))*2,0)/2)))</f>
        <v/>
      </c>
      <c r="AW44">
        <f>IF(OR(AW$4="",$A44&gt;TODAY()),0,IF(OR(INDEX($B44:$D44,AW$5)="F",AND(AW$6&gt;0,$A44&lt;AW$6),AND(AW$7&gt;0,$A44&gt;AW$7)),0,MAX(0,ROUND((INDEX($E44:$G44,AW$5)-SUMIFS(TF_Timer,TF_Tekniker,AW$4,TF_Dato,$A44))*2,0)/2)))</f>
        <v/>
      </c>
      <c r="AX44">
        <f>IF(OR(AX$4="",$A44&gt;TODAY()),0,IF(OR(INDEX($B44:$D44,AX$5)="F",AND(AX$6&gt;0,$A44&lt;AX$6),AND(AX$7&gt;0,$A44&gt;AX$7)),0,MAX(0,ROUND((INDEX($E44:$G44,AX$5)-SUMIFS(TF_Timer,TF_Tekniker,AX$4,TF_Dato,$A44))*2,0)/2)))</f>
        <v/>
      </c>
      <c r="AY44">
        <f>IF(OR(AY$4="",$A44&gt;TODAY()),0,IF(OR(INDEX($B44:$D44,AY$5)="F",AND(AY$6&gt;0,$A44&lt;AY$6),AND(AY$7&gt;0,$A44&gt;AY$7)),0,MAX(0,ROUND((INDEX($E44:$G44,AY$5)-SUMIFS(TF_Timer,TF_Tekniker,AY$4,TF_Dato,$A44))*2,0)/2)))</f>
        <v/>
      </c>
      <c r="AZ44">
        <f>IF(OR(AZ$4="",$A44&gt;TODAY()),0,IF(OR(INDEX($B44:$D44,AZ$5)="F",AND(AZ$6&gt;0,$A44&lt;AZ$6),AND(AZ$7&gt;0,$A44&gt;AZ$7)),0,MAX(0,ROUND((INDEX($E44:$G44,AZ$5)-SUMIFS(TF_Timer,TF_Tekniker,AZ$4,TF_Dato,$A44))*2,0)/2)))</f>
        <v/>
      </c>
      <c r="BA44">
        <f>IF(OR(BA$4="",$A44&gt;TODAY()),0,IF(OR(INDEX($B44:$D44,BA$5)="F",AND(BA$6&gt;0,$A44&lt;BA$6),AND(BA$7&gt;0,$A44&gt;BA$7)),0,MAX(0,ROUND((INDEX($E44:$G44,BA$5)-SUMIFS(TF_Timer,TF_Tekniker,BA$4,TF_Dato,$A44))*2,0)/2)))</f>
        <v/>
      </c>
      <c r="BB44">
        <f>IF(OR(BB$4="",$A44&gt;TODAY()),0,IF(OR(INDEX($B44:$D44,BB$5)="F",AND(BB$6&gt;0,$A44&lt;BB$6),AND(BB$7&gt;0,$A44&gt;BB$7)),0,MAX(0,ROUND((INDEX($E44:$G44,BB$5)-SUMIFS(TF_Timer,TF_Tekniker,BB$4,TF_Dato,$A44))*2,0)/2)))</f>
        <v/>
      </c>
      <c r="BC44">
        <f>IF(OR(BC$4="",$A44&gt;TODAY()),0,IF(OR(INDEX($B44:$D44,BC$5)="F",AND(BC$6&gt;0,$A44&lt;BC$6),AND(BC$7&gt;0,$A44&gt;BC$7)),0,MAX(0,ROUND((INDEX($E44:$G44,BC$5)-SUMIFS(TF_Timer,TF_Tekniker,BC$4,TF_Dato,$A44))*2,0)/2)))</f>
        <v/>
      </c>
      <c r="BD44">
        <f>IF(OR(BD$4="",$A44&gt;TODAY()),0,IF(OR(INDEX($B44:$D44,BD$5)="F",AND(BD$6&gt;0,$A44&lt;BD$6),AND(BD$7&gt;0,$A44&gt;BD$7)),0,MAX(0,ROUND((INDEX($E44:$G44,BD$5)-SUMIFS(TF_Timer,TF_Tekniker,BD$4,TF_Dato,$A44))*2,0)/2)))</f>
        <v/>
      </c>
      <c r="BE44">
        <f>IF(OR(BE$4="",$A44&gt;TODAY()),0,IF(OR(INDEX($B44:$D44,BE$5)="F",AND(BE$6&gt;0,$A44&lt;BE$6),AND(BE$7&gt;0,$A44&gt;BE$7)),0,MAX(0,ROUND((INDEX($E44:$G44,BE$5)-SUMIFS(TF_Timer,TF_Tekniker,BE$4,TF_Dato,$A44))*2,0)/2)))</f>
        <v/>
      </c>
      <c r="BF44">
        <f>IF(OR(BF$4="",$A44&gt;TODAY()),0,IF(OR(INDEX($B44:$D44,BF$5)="F",AND(BF$6&gt;0,$A44&lt;BF$6),AND(BF$7&gt;0,$A44&gt;BF$7)),0,MAX(0,ROUND((INDEX($E44:$G44,BF$5)-SUMIFS(TF_Timer,TF_Tekniker,BF$4,TF_Dato,$A44))*2,0)/2)))</f>
        <v/>
      </c>
      <c r="BG44">
        <f>IF(OR(BG$4="",$A44&gt;TODAY()),0,IF(OR(INDEX($B44:$D44,BG$5)="F",AND(BG$6&gt;0,$A44&lt;BG$6),AND(BG$7&gt;0,$A44&gt;BG$7)),0,MAX(0,ROUND((INDEX($E44:$G44,BG$5)-SUMIFS(TF_Timer,TF_Tekniker,BG$4,TF_Dato,$A44))*2,0)/2)))</f>
        <v/>
      </c>
      <c r="BH44">
        <f>IF(OR(BH$4="",$A44&gt;TODAY()),0,IF(OR(INDEX($B44:$D44,BH$5)="F",AND(BH$6&gt;0,$A44&lt;BH$6),AND(BH$7&gt;0,$A44&gt;BH$7)),0,MAX(0,ROUND((INDEX($E44:$G44,BH$5)-SUMIFS(TF_Timer,TF_Tekniker,BH$4,TF_Dato,$A44))*2,0)/2)))</f>
        <v/>
      </c>
      <c r="BI44">
        <f>IF(OR(BI$4="",$A44&gt;TODAY()),0,IF(OR(INDEX($B44:$D44,BI$5)="F",AND(BI$6&gt;0,$A44&lt;BI$6),AND(BI$7&gt;0,$A44&gt;BI$7)),0,MAX(0,ROUND((INDEX($E44:$G44,BI$5)-SUMIFS(TF_Timer,TF_Tekniker,BI$4,TF_Dato,$A44))*2,0)/2)))</f>
        <v/>
      </c>
    </row>
    <row r="45">
      <c r="A45" s="64">
        <f>A44+1</f>
        <v/>
      </c>
      <c r="B45">
        <f>IF(MOD($A45-INDEX(SkiftStart,1),Syklus)&lt;DagK,"K",IF(MOD($A45-INDEX(SkiftStart,1),Syklus)&lt;DagK+DagH,"H",IF(MOD($A45-INDEX(SkiftStart,1),Syklus)&lt;DagK+DagH+DagD,"D","F")))</f>
        <v/>
      </c>
      <c r="C45">
        <f>IF(MOD($A45-INDEX(SkiftStart,2),Syklus)&lt;DagK,"K",IF(MOD($A45-INDEX(SkiftStart,2),Syklus)&lt;DagK+DagH,"H",IF(MOD($A45-INDEX(SkiftStart,2),Syklus)&lt;DagK+DagH+DagD,"D","F")))</f>
        <v/>
      </c>
      <c r="D45">
        <f>IF(MOD($A45-INDEX(SkiftStart,3),Syklus)&lt;DagK,"K",IF(MOD($A45-INDEX(SkiftStart,3),Syklus)&lt;DagK+DagH,"H",IF(MOD($A45-INDEX(SkiftStart,3),Syklus)&lt;DagK+DagH+DagD,"D","F")))</f>
        <v/>
      </c>
      <c r="E45">
        <f>IF(B45="F",0,IF(WEEKDAY($A45,2)=5,INDEX(TimerFr,MATCH(B45,FaseKode,0)),INDEX(TimerMT,MATCH(B45,FaseKode,0))))</f>
        <v/>
      </c>
      <c r="F45">
        <f>IF(C45="F",0,IF(WEEKDAY($A45,2)=5,INDEX(TimerFr,MATCH(C45,FaseKode,0)),INDEX(TimerMT,MATCH(C45,FaseKode,0))))</f>
        <v/>
      </c>
      <c r="G45">
        <f>IF(D45="F",0,IF(WEEKDAY($A45,2)=5,INDEX(TimerFr,MATCH(D45,FaseKode,0)),INDEX(TimerMT,MATCH(D45,FaseKode,0))))</f>
        <v/>
      </c>
      <c r="H45">
        <f>IF(OR(H$4="",$A45&gt;TODAY()),0,IF(OR(INDEX($B45:$D45,H$5)="F",AND(H$6&gt;0,$A45&lt;H$6),AND(H$7&gt;0,$A45&gt;H$7)),0,MAX(0,ROUND((INDEX($E45:$G45,H$5)-SUMIFS(TF_Timer,TF_Tekniker,H$4,TF_Dato,$A45))*2,0)/2)))</f>
        <v/>
      </c>
      <c r="I45">
        <f>IF(OR(I$4="",$A45&gt;TODAY()),0,IF(OR(INDEX($B45:$D45,I$5)="F",AND(I$6&gt;0,$A45&lt;I$6),AND(I$7&gt;0,$A45&gt;I$7)),0,MAX(0,ROUND((INDEX($E45:$G45,I$5)-SUMIFS(TF_Timer,TF_Tekniker,I$4,TF_Dato,$A45))*2,0)/2)))</f>
        <v/>
      </c>
      <c r="J45">
        <f>IF(OR(J$4="",$A45&gt;TODAY()),0,IF(OR(INDEX($B45:$D45,J$5)="F",AND(J$6&gt;0,$A45&lt;J$6),AND(J$7&gt;0,$A45&gt;J$7)),0,MAX(0,ROUND((INDEX($E45:$G45,J$5)-SUMIFS(TF_Timer,TF_Tekniker,J$4,TF_Dato,$A45))*2,0)/2)))</f>
        <v/>
      </c>
      <c r="K45">
        <f>IF(OR(K$4="",$A45&gt;TODAY()),0,IF(OR(INDEX($B45:$D45,K$5)="F",AND(K$6&gt;0,$A45&lt;K$6),AND(K$7&gt;0,$A45&gt;K$7)),0,MAX(0,ROUND((INDEX($E45:$G45,K$5)-SUMIFS(TF_Timer,TF_Tekniker,K$4,TF_Dato,$A45))*2,0)/2)))</f>
        <v/>
      </c>
      <c r="L45">
        <f>IF(OR(L$4="",$A45&gt;TODAY()),0,IF(OR(INDEX($B45:$D45,L$5)="F",AND(L$6&gt;0,$A45&lt;L$6),AND(L$7&gt;0,$A45&gt;L$7)),0,MAX(0,ROUND((INDEX($E45:$G45,L$5)-SUMIFS(TF_Timer,TF_Tekniker,L$4,TF_Dato,$A45))*2,0)/2)))</f>
        <v/>
      </c>
      <c r="M45">
        <f>IF(OR(M$4="",$A45&gt;TODAY()),0,IF(OR(INDEX($B45:$D45,M$5)="F",AND(M$6&gt;0,$A45&lt;M$6),AND(M$7&gt;0,$A45&gt;M$7)),0,MAX(0,ROUND((INDEX($E45:$G45,M$5)-SUMIFS(TF_Timer,TF_Tekniker,M$4,TF_Dato,$A45))*2,0)/2)))</f>
        <v/>
      </c>
      <c r="N45">
        <f>IF(OR(N$4="",$A45&gt;TODAY()),0,IF(OR(INDEX($B45:$D45,N$5)="F",AND(N$6&gt;0,$A45&lt;N$6),AND(N$7&gt;0,$A45&gt;N$7)),0,MAX(0,ROUND((INDEX($E45:$G45,N$5)-SUMIFS(TF_Timer,TF_Tekniker,N$4,TF_Dato,$A45))*2,0)/2)))</f>
        <v/>
      </c>
      <c r="O45">
        <f>IF(OR(O$4="",$A45&gt;TODAY()),0,IF(OR(INDEX($B45:$D45,O$5)="F",AND(O$6&gt;0,$A45&lt;O$6),AND(O$7&gt;0,$A45&gt;O$7)),0,MAX(0,ROUND((INDEX($E45:$G45,O$5)-SUMIFS(TF_Timer,TF_Tekniker,O$4,TF_Dato,$A45))*2,0)/2)))</f>
        <v/>
      </c>
      <c r="P45">
        <f>IF(OR(P$4="",$A45&gt;TODAY()),0,IF(OR(INDEX($B45:$D45,P$5)="F",AND(P$6&gt;0,$A45&lt;P$6),AND(P$7&gt;0,$A45&gt;P$7)),0,MAX(0,ROUND((INDEX($E45:$G45,P$5)-SUMIFS(TF_Timer,TF_Tekniker,P$4,TF_Dato,$A45))*2,0)/2)))</f>
        <v/>
      </c>
      <c r="Q45">
        <f>IF(OR(Q$4="",$A45&gt;TODAY()),0,IF(OR(INDEX($B45:$D45,Q$5)="F",AND(Q$6&gt;0,$A45&lt;Q$6),AND(Q$7&gt;0,$A45&gt;Q$7)),0,MAX(0,ROUND((INDEX($E45:$G45,Q$5)-SUMIFS(TF_Timer,TF_Tekniker,Q$4,TF_Dato,$A45))*2,0)/2)))</f>
        <v/>
      </c>
      <c r="R45">
        <f>IF(OR(R$4="",$A45&gt;TODAY()),0,IF(OR(INDEX($B45:$D45,R$5)="F",AND(R$6&gt;0,$A45&lt;R$6),AND(R$7&gt;0,$A45&gt;R$7)),0,MAX(0,ROUND((INDEX($E45:$G45,R$5)-SUMIFS(TF_Timer,TF_Tekniker,R$4,TF_Dato,$A45))*2,0)/2)))</f>
        <v/>
      </c>
      <c r="S45">
        <f>IF(OR(S$4="",$A45&gt;TODAY()),0,IF(OR(INDEX($B45:$D45,S$5)="F",AND(S$6&gt;0,$A45&lt;S$6),AND(S$7&gt;0,$A45&gt;S$7)),0,MAX(0,ROUND((INDEX($E45:$G45,S$5)-SUMIFS(TF_Timer,TF_Tekniker,S$4,TF_Dato,$A45))*2,0)/2)))</f>
        <v/>
      </c>
      <c r="T45">
        <f>IF(OR(T$4="",$A45&gt;TODAY()),0,IF(OR(INDEX($B45:$D45,T$5)="F",AND(T$6&gt;0,$A45&lt;T$6),AND(T$7&gt;0,$A45&gt;T$7)),0,MAX(0,ROUND((INDEX($E45:$G45,T$5)-SUMIFS(TF_Timer,TF_Tekniker,T$4,TF_Dato,$A45))*2,0)/2)))</f>
        <v/>
      </c>
      <c r="U45">
        <f>IF(OR(U$4="",$A45&gt;TODAY()),0,IF(OR(INDEX($B45:$D45,U$5)="F",AND(U$6&gt;0,$A45&lt;U$6),AND(U$7&gt;0,$A45&gt;U$7)),0,MAX(0,ROUND((INDEX($E45:$G45,U$5)-SUMIFS(TF_Timer,TF_Tekniker,U$4,TF_Dato,$A45))*2,0)/2)))</f>
        <v/>
      </c>
      <c r="V45">
        <f>IF(OR(V$4="",$A45&gt;TODAY()),0,IF(OR(INDEX($B45:$D45,V$5)="F",AND(V$6&gt;0,$A45&lt;V$6),AND(V$7&gt;0,$A45&gt;V$7)),0,MAX(0,ROUND((INDEX($E45:$G45,V$5)-SUMIFS(TF_Timer,TF_Tekniker,V$4,TF_Dato,$A45))*2,0)/2)))</f>
        <v/>
      </c>
      <c r="W45">
        <f>IF(OR(W$4="",$A45&gt;TODAY()),0,IF(OR(INDEX($B45:$D45,W$5)="F",AND(W$6&gt;0,$A45&lt;W$6),AND(W$7&gt;0,$A45&gt;W$7)),0,MAX(0,ROUND((INDEX($E45:$G45,W$5)-SUMIFS(TF_Timer,TF_Tekniker,W$4,TF_Dato,$A45))*2,0)/2)))</f>
        <v/>
      </c>
      <c r="X45">
        <f>IF(OR(X$4="",$A45&gt;TODAY()),0,IF(OR(INDEX($B45:$D45,X$5)="F",AND(X$6&gt;0,$A45&lt;X$6),AND(X$7&gt;0,$A45&gt;X$7)),0,MAX(0,ROUND((INDEX($E45:$G45,X$5)-SUMIFS(TF_Timer,TF_Tekniker,X$4,TF_Dato,$A45))*2,0)/2)))</f>
        <v/>
      </c>
      <c r="Y45">
        <f>IF(OR(Y$4="",$A45&gt;TODAY()),0,IF(OR(INDEX($B45:$D45,Y$5)="F",AND(Y$6&gt;0,$A45&lt;Y$6),AND(Y$7&gt;0,$A45&gt;Y$7)),0,MAX(0,ROUND((INDEX($E45:$G45,Y$5)-SUMIFS(TF_Timer,TF_Tekniker,Y$4,TF_Dato,$A45))*2,0)/2)))</f>
        <v/>
      </c>
      <c r="Z45">
        <f>IF(OR(Z$4="",$A45&gt;TODAY()),0,IF(OR(INDEX($B45:$D45,Z$5)="F",AND(Z$6&gt;0,$A45&lt;Z$6),AND(Z$7&gt;0,$A45&gt;Z$7)),0,MAX(0,ROUND((INDEX($E45:$G45,Z$5)-SUMIFS(TF_Timer,TF_Tekniker,Z$4,TF_Dato,$A45))*2,0)/2)))</f>
        <v/>
      </c>
      <c r="AA45">
        <f>IF(OR(AA$4="",$A45&gt;TODAY()),0,IF(OR(INDEX($B45:$D45,AA$5)="F",AND(AA$6&gt;0,$A45&lt;AA$6),AND(AA$7&gt;0,$A45&gt;AA$7)),0,MAX(0,ROUND((INDEX($E45:$G45,AA$5)-SUMIFS(TF_Timer,TF_Tekniker,AA$4,TF_Dato,$A45))*2,0)/2)))</f>
        <v/>
      </c>
      <c r="AB45">
        <f>IF(OR(AB$4="",$A45&gt;TODAY()),0,IF(OR(INDEX($B45:$D45,AB$5)="F",AND(AB$6&gt;0,$A45&lt;AB$6),AND(AB$7&gt;0,$A45&gt;AB$7)),0,MAX(0,ROUND((INDEX($E45:$G45,AB$5)-SUMIFS(TF_Timer,TF_Tekniker,AB$4,TF_Dato,$A45))*2,0)/2)))</f>
        <v/>
      </c>
      <c r="AC45">
        <f>IF(OR(AC$4="",$A45&gt;TODAY()),0,IF(OR(INDEX($B45:$D45,AC$5)="F",AND(AC$6&gt;0,$A45&lt;AC$6),AND(AC$7&gt;0,$A45&gt;AC$7)),0,MAX(0,ROUND((INDEX($E45:$G45,AC$5)-SUMIFS(TF_Timer,TF_Tekniker,AC$4,TF_Dato,$A45))*2,0)/2)))</f>
        <v/>
      </c>
      <c r="AD45">
        <f>IF(OR(AD$4="",$A45&gt;TODAY()),0,IF(OR(INDEX($B45:$D45,AD$5)="F",AND(AD$6&gt;0,$A45&lt;AD$6),AND(AD$7&gt;0,$A45&gt;AD$7)),0,MAX(0,ROUND((INDEX($E45:$G45,AD$5)-SUMIFS(TF_Timer,TF_Tekniker,AD$4,TF_Dato,$A45))*2,0)/2)))</f>
        <v/>
      </c>
      <c r="AE45">
        <f>IF(OR(AE$4="",$A45&gt;TODAY()),0,IF(OR(INDEX($B45:$D45,AE$5)="F",AND(AE$6&gt;0,$A45&lt;AE$6),AND(AE$7&gt;0,$A45&gt;AE$7)),0,MAX(0,ROUND((INDEX($E45:$G45,AE$5)-SUMIFS(TF_Timer,TF_Tekniker,AE$4,TF_Dato,$A45))*2,0)/2)))</f>
        <v/>
      </c>
      <c r="AF45">
        <f>IF(OR(AF$4="",$A45&gt;TODAY()),0,IF(OR(INDEX($B45:$D45,AF$5)="F",AND(AF$6&gt;0,$A45&lt;AF$6),AND(AF$7&gt;0,$A45&gt;AF$7)),0,MAX(0,ROUND((INDEX($E45:$G45,AF$5)-SUMIFS(TF_Timer,TF_Tekniker,AF$4,TF_Dato,$A45))*2,0)/2)))</f>
        <v/>
      </c>
      <c r="AG45">
        <f>IF(OR(AG$4="",$A45&gt;TODAY()),0,IF(OR(INDEX($B45:$D45,AG$5)="F",AND(AG$6&gt;0,$A45&lt;AG$6),AND(AG$7&gt;0,$A45&gt;AG$7)),0,MAX(0,ROUND((INDEX($E45:$G45,AG$5)-SUMIFS(TF_Timer,TF_Tekniker,AG$4,TF_Dato,$A45))*2,0)/2)))</f>
        <v/>
      </c>
      <c r="AH45">
        <f>IF(OR(AH$4="",$A45&gt;TODAY()),0,IF(OR(INDEX($B45:$D45,AH$5)="F",AND(AH$6&gt;0,$A45&lt;AH$6),AND(AH$7&gt;0,$A45&gt;AH$7)),0,MAX(0,ROUND((INDEX($E45:$G45,AH$5)-SUMIFS(TF_Timer,TF_Tekniker,AH$4,TF_Dato,$A45))*2,0)/2)))</f>
        <v/>
      </c>
      <c r="AI45">
        <f>IF(OR(AI$4="",$A45&gt;TODAY()),0,IF(OR(INDEX($B45:$D45,AI$5)="F",AND(AI$6&gt;0,$A45&lt;AI$6),AND(AI$7&gt;0,$A45&gt;AI$7)),0,MAX(0,ROUND((INDEX($E45:$G45,AI$5)-SUMIFS(TF_Timer,TF_Tekniker,AI$4,TF_Dato,$A45))*2,0)/2)))</f>
        <v/>
      </c>
      <c r="AJ45">
        <f>IF(OR(AJ$4="",$A45&gt;TODAY()),0,IF(OR(INDEX($B45:$D45,AJ$5)="F",AND(AJ$6&gt;0,$A45&lt;AJ$6),AND(AJ$7&gt;0,$A45&gt;AJ$7)),0,MAX(0,ROUND((INDEX($E45:$G45,AJ$5)-SUMIFS(TF_Timer,TF_Tekniker,AJ$4,TF_Dato,$A45))*2,0)/2)))</f>
        <v/>
      </c>
      <c r="AK45">
        <f>IF(OR(AK$4="",$A45&gt;TODAY()),0,IF(OR(INDEX($B45:$D45,AK$5)="F",AND(AK$6&gt;0,$A45&lt;AK$6),AND(AK$7&gt;0,$A45&gt;AK$7)),0,MAX(0,ROUND((INDEX($E45:$G45,AK$5)-SUMIFS(TF_Timer,TF_Tekniker,AK$4,TF_Dato,$A45))*2,0)/2)))</f>
        <v/>
      </c>
      <c r="AL45">
        <f>IF(OR(AL$4="",$A45&gt;TODAY()),0,IF(OR(INDEX($B45:$D45,AL$5)="F",AND(AL$6&gt;0,$A45&lt;AL$6),AND(AL$7&gt;0,$A45&gt;AL$7)),0,MAX(0,ROUND((INDEX($E45:$G45,AL$5)-SUMIFS(TF_Timer,TF_Tekniker,AL$4,TF_Dato,$A45))*2,0)/2)))</f>
        <v/>
      </c>
      <c r="AM45">
        <f>IF(OR(AM$4="",$A45&gt;TODAY()),0,IF(OR(INDEX($B45:$D45,AM$5)="F",AND(AM$6&gt;0,$A45&lt;AM$6),AND(AM$7&gt;0,$A45&gt;AM$7)),0,MAX(0,ROUND((INDEX($E45:$G45,AM$5)-SUMIFS(TF_Timer,TF_Tekniker,AM$4,TF_Dato,$A45))*2,0)/2)))</f>
        <v/>
      </c>
      <c r="AN45">
        <f>IF(OR(AN$4="",$A45&gt;TODAY()),0,IF(OR(INDEX($B45:$D45,AN$5)="F",AND(AN$6&gt;0,$A45&lt;AN$6),AND(AN$7&gt;0,$A45&gt;AN$7)),0,MAX(0,ROUND((INDEX($E45:$G45,AN$5)-SUMIFS(TF_Timer,TF_Tekniker,AN$4,TF_Dato,$A45))*2,0)/2)))</f>
        <v/>
      </c>
      <c r="AO45">
        <f>IF(OR(AO$4="",$A45&gt;TODAY()),0,IF(OR(INDEX($B45:$D45,AO$5)="F",AND(AO$6&gt;0,$A45&lt;AO$6),AND(AO$7&gt;0,$A45&gt;AO$7)),0,MAX(0,ROUND((INDEX($E45:$G45,AO$5)-SUMIFS(TF_Timer,TF_Tekniker,AO$4,TF_Dato,$A45))*2,0)/2)))</f>
        <v/>
      </c>
      <c r="AP45">
        <f>IF(OR(AP$4="",$A45&gt;TODAY()),0,IF(OR(INDEX($B45:$D45,AP$5)="F",AND(AP$6&gt;0,$A45&lt;AP$6),AND(AP$7&gt;0,$A45&gt;AP$7)),0,MAX(0,ROUND((INDEX($E45:$G45,AP$5)-SUMIFS(TF_Timer,TF_Tekniker,AP$4,TF_Dato,$A45))*2,0)/2)))</f>
        <v/>
      </c>
      <c r="AQ45">
        <f>IF(OR(AQ$4="",$A45&gt;TODAY()),0,IF(OR(INDEX($B45:$D45,AQ$5)="F",AND(AQ$6&gt;0,$A45&lt;AQ$6),AND(AQ$7&gt;0,$A45&gt;AQ$7)),0,MAX(0,ROUND((INDEX($E45:$G45,AQ$5)-SUMIFS(TF_Timer,TF_Tekniker,AQ$4,TF_Dato,$A45))*2,0)/2)))</f>
        <v/>
      </c>
      <c r="AR45">
        <f>IF(OR(AR$4="",$A45&gt;TODAY()),0,IF(OR(INDEX($B45:$D45,AR$5)="F",AND(AR$6&gt;0,$A45&lt;AR$6),AND(AR$7&gt;0,$A45&gt;AR$7)),0,MAX(0,ROUND((INDEX($E45:$G45,AR$5)-SUMIFS(TF_Timer,TF_Tekniker,AR$4,TF_Dato,$A45))*2,0)/2)))</f>
        <v/>
      </c>
      <c r="AS45">
        <f>IF(OR(AS$4="",$A45&gt;TODAY()),0,IF(OR(INDEX($B45:$D45,AS$5)="F",AND(AS$6&gt;0,$A45&lt;AS$6),AND(AS$7&gt;0,$A45&gt;AS$7)),0,MAX(0,ROUND((INDEX($E45:$G45,AS$5)-SUMIFS(TF_Timer,TF_Tekniker,AS$4,TF_Dato,$A45))*2,0)/2)))</f>
        <v/>
      </c>
      <c r="AT45">
        <f>IF(OR(AT$4="",$A45&gt;TODAY()),0,IF(OR(INDEX($B45:$D45,AT$5)="F",AND(AT$6&gt;0,$A45&lt;AT$6),AND(AT$7&gt;0,$A45&gt;AT$7)),0,MAX(0,ROUND((INDEX($E45:$G45,AT$5)-SUMIFS(TF_Timer,TF_Tekniker,AT$4,TF_Dato,$A45))*2,0)/2)))</f>
        <v/>
      </c>
      <c r="AU45">
        <f>IF(OR(AU$4="",$A45&gt;TODAY()),0,IF(OR(INDEX($B45:$D45,AU$5)="F",AND(AU$6&gt;0,$A45&lt;AU$6),AND(AU$7&gt;0,$A45&gt;AU$7)),0,MAX(0,ROUND((INDEX($E45:$G45,AU$5)-SUMIFS(TF_Timer,TF_Tekniker,AU$4,TF_Dato,$A45))*2,0)/2)))</f>
        <v/>
      </c>
      <c r="AV45">
        <f>IF(OR(AV$4="",$A45&gt;TODAY()),0,IF(OR(INDEX($B45:$D45,AV$5)="F",AND(AV$6&gt;0,$A45&lt;AV$6),AND(AV$7&gt;0,$A45&gt;AV$7)),0,MAX(0,ROUND((INDEX($E45:$G45,AV$5)-SUMIFS(TF_Timer,TF_Tekniker,AV$4,TF_Dato,$A45))*2,0)/2)))</f>
        <v/>
      </c>
      <c r="AW45">
        <f>IF(OR(AW$4="",$A45&gt;TODAY()),0,IF(OR(INDEX($B45:$D45,AW$5)="F",AND(AW$6&gt;0,$A45&lt;AW$6),AND(AW$7&gt;0,$A45&gt;AW$7)),0,MAX(0,ROUND((INDEX($E45:$G45,AW$5)-SUMIFS(TF_Timer,TF_Tekniker,AW$4,TF_Dato,$A45))*2,0)/2)))</f>
        <v/>
      </c>
      <c r="AX45">
        <f>IF(OR(AX$4="",$A45&gt;TODAY()),0,IF(OR(INDEX($B45:$D45,AX$5)="F",AND(AX$6&gt;0,$A45&lt;AX$6),AND(AX$7&gt;0,$A45&gt;AX$7)),0,MAX(0,ROUND((INDEX($E45:$G45,AX$5)-SUMIFS(TF_Timer,TF_Tekniker,AX$4,TF_Dato,$A45))*2,0)/2)))</f>
        <v/>
      </c>
      <c r="AY45">
        <f>IF(OR(AY$4="",$A45&gt;TODAY()),0,IF(OR(INDEX($B45:$D45,AY$5)="F",AND(AY$6&gt;0,$A45&lt;AY$6),AND(AY$7&gt;0,$A45&gt;AY$7)),0,MAX(0,ROUND((INDEX($E45:$G45,AY$5)-SUMIFS(TF_Timer,TF_Tekniker,AY$4,TF_Dato,$A45))*2,0)/2)))</f>
        <v/>
      </c>
      <c r="AZ45">
        <f>IF(OR(AZ$4="",$A45&gt;TODAY()),0,IF(OR(INDEX($B45:$D45,AZ$5)="F",AND(AZ$6&gt;0,$A45&lt;AZ$6),AND(AZ$7&gt;0,$A45&gt;AZ$7)),0,MAX(0,ROUND((INDEX($E45:$G45,AZ$5)-SUMIFS(TF_Timer,TF_Tekniker,AZ$4,TF_Dato,$A45))*2,0)/2)))</f>
        <v/>
      </c>
      <c r="BA45">
        <f>IF(OR(BA$4="",$A45&gt;TODAY()),0,IF(OR(INDEX($B45:$D45,BA$5)="F",AND(BA$6&gt;0,$A45&lt;BA$6),AND(BA$7&gt;0,$A45&gt;BA$7)),0,MAX(0,ROUND((INDEX($E45:$G45,BA$5)-SUMIFS(TF_Timer,TF_Tekniker,BA$4,TF_Dato,$A45))*2,0)/2)))</f>
        <v/>
      </c>
      <c r="BB45">
        <f>IF(OR(BB$4="",$A45&gt;TODAY()),0,IF(OR(INDEX($B45:$D45,BB$5)="F",AND(BB$6&gt;0,$A45&lt;BB$6),AND(BB$7&gt;0,$A45&gt;BB$7)),0,MAX(0,ROUND((INDEX($E45:$G45,BB$5)-SUMIFS(TF_Timer,TF_Tekniker,BB$4,TF_Dato,$A45))*2,0)/2)))</f>
        <v/>
      </c>
      <c r="BC45">
        <f>IF(OR(BC$4="",$A45&gt;TODAY()),0,IF(OR(INDEX($B45:$D45,BC$5)="F",AND(BC$6&gt;0,$A45&lt;BC$6),AND(BC$7&gt;0,$A45&gt;BC$7)),0,MAX(0,ROUND((INDEX($E45:$G45,BC$5)-SUMIFS(TF_Timer,TF_Tekniker,BC$4,TF_Dato,$A45))*2,0)/2)))</f>
        <v/>
      </c>
      <c r="BD45">
        <f>IF(OR(BD$4="",$A45&gt;TODAY()),0,IF(OR(INDEX($B45:$D45,BD$5)="F",AND(BD$6&gt;0,$A45&lt;BD$6),AND(BD$7&gt;0,$A45&gt;BD$7)),0,MAX(0,ROUND((INDEX($E45:$G45,BD$5)-SUMIFS(TF_Timer,TF_Tekniker,BD$4,TF_Dato,$A45))*2,0)/2)))</f>
        <v/>
      </c>
      <c r="BE45">
        <f>IF(OR(BE$4="",$A45&gt;TODAY()),0,IF(OR(INDEX($B45:$D45,BE$5)="F",AND(BE$6&gt;0,$A45&lt;BE$6),AND(BE$7&gt;0,$A45&gt;BE$7)),0,MAX(0,ROUND((INDEX($E45:$G45,BE$5)-SUMIFS(TF_Timer,TF_Tekniker,BE$4,TF_Dato,$A45))*2,0)/2)))</f>
        <v/>
      </c>
      <c r="BF45">
        <f>IF(OR(BF$4="",$A45&gt;TODAY()),0,IF(OR(INDEX($B45:$D45,BF$5)="F",AND(BF$6&gt;0,$A45&lt;BF$6),AND(BF$7&gt;0,$A45&gt;BF$7)),0,MAX(0,ROUND((INDEX($E45:$G45,BF$5)-SUMIFS(TF_Timer,TF_Tekniker,BF$4,TF_Dato,$A45))*2,0)/2)))</f>
        <v/>
      </c>
      <c r="BG45">
        <f>IF(OR(BG$4="",$A45&gt;TODAY()),0,IF(OR(INDEX($B45:$D45,BG$5)="F",AND(BG$6&gt;0,$A45&lt;BG$6),AND(BG$7&gt;0,$A45&gt;BG$7)),0,MAX(0,ROUND((INDEX($E45:$G45,BG$5)-SUMIFS(TF_Timer,TF_Tekniker,BG$4,TF_Dato,$A45))*2,0)/2)))</f>
        <v/>
      </c>
      <c r="BH45">
        <f>IF(OR(BH$4="",$A45&gt;TODAY()),0,IF(OR(INDEX($B45:$D45,BH$5)="F",AND(BH$6&gt;0,$A45&lt;BH$6),AND(BH$7&gt;0,$A45&gt;BH$7)),0,MAX(0,ROUND((INDEX($E45:$G45,BH$5)-SUMIFS(TF_Timer,TF_Tekniker,BH$4,TF_Dato,$A45))*2,0)/2)))</f>
        <v/>
      </c>
      <c r="BI45">
        <f>IF(OR(BI$4="",$A45&gt;TODAY()),0,IF(OR(INDEX($B45:$D45,BI$5)="F",AND(BI$6&gt;0,$A45&lt;BI$6),AND(BI$7&gt;0,$A45&gt;BI$7)),0,MAX(0,ROUND((INDEX($E45:$G45,BI$5)-SUMIFS(TF_Timer,TF_Tekniker,BI$4,TF_Dato,$A45))*2,0)/2)))</f>
        <v/>
      </c>
    </row>
    <row r="46">
      <c r="A46" s="64">
        <f>A45+1</f>
        <v/>
      </c>
      <c r="B46">
        <f>IF(MOD($A46-INDEX(SkiftStart,1),Syklus)&lt;DagK,"K",IF(MOD($A46-INDEX(SkiftStart,1),Syklus)&lt;DagK+DagH,"H",IF(MOD($A46-INDEX(SkiftStart,1),Syklus)&lt;DagK+DagH+DagD,"D","F")))</f>
        <v/>
      </c>
      <c r="C46">
        <f>IF(MOD($A46-INDEX(SkiftStart,2),Syklus)&lt;DagK,"K",IF(MOD($A46-INDEX(SkiftStart,2),Syklus)&lt;DagK+DagH,"H",IF(MOD($A46-INDEX(SkiftStart,2),Syklus)&lt;DagK+DagH+DagD,"D","F")))</f>
        <v/>
      </c>
      <c r="D46">
        <f>IF(MOD($A46-INDEX(SkiftStart,3),Syklus)&lt;DagK,"K",IF(MOD($A46-INDEX(SkiftStart,3),Syklus)&lt;DagK+DagH,"H",IF(MOD($A46-INDEX(SkiftStart,3),Syklus)&lt;DagK+DagH+DagD,"D","F")))</f>
        <v/>
      </c>
      <c r="E46">
        <f>IF(B46="F",0,IF(WEEKDAY($A46,2)=5,INDEX(TimerFr,MATCH(B46,FaseKode,0)),INDEX(TimerMT,MATCH(B46,FaseKode,0))))</f>
        <v/>
      </c>
      <c r="F46">
        <f>IF(C46="F",0,IF(WEEKDAY($A46,2)=5,INDEX(TimerFr,MATCH(C46,FaseKode,0)),INDEX(TimerMT,MATCH(C46,FaseKode,0))))</f>
        <v/>
      </c>
      <c r="G46">
        <f>IF(D46="F",0,IF(WEEKDAY($A46,2)=5,INDEX(TimerFr,MATCH(D46,FaseKode,0)),INDEX(TimerMT,MATCH(D46,FaseKode,0))))</f>
        <v/>
      </c>
      <c r="H46">
        <f>IF(OR(H$4="",$A46&gt;TODAY()),0,IF(OR(INDEX($B46:$D46,H$5)="F",AND(H$6&gt;0,$A46&lt;H$6),AND(H$7&gt;0,$A46&gt;H$7)),0,MAX(0,ROUND((INDEX($E46:$G46,H$5)-SUMIFS(TF_Timer,TF_Tekniker,H$4,TF_Dato,$A46))*2,0)/2)))</f>
        <v/>
      </c>
      <c r="I46">
        <f>IF(OR(I$4="",$A46&gt;TODAY()),0,IF(OR(INDEX($B46:$D46,I$5)="F",AND(I$6&gt;0,$A46&lt;I$6),AND(I$7&gt;0,$A46&gt;I$7)),0,MAX(0,ROUND((INDEX($E46:$G46,I$5)-SUMIFS(TF_Timer,TF_Tekniker,I$4,TF_Dato,$A46))*2,0)/2)))</f>
        <v/>
      </c>
      <c r="J46">
        <f>IF(OR(J$4="",$A46&gt;TODAY()),0,IF(OR(INDEX($B46:$D46,J$5)="F",AND(J$6&gt;0,$A46&lt;J$6),AND(J$7&gt;0,$A46&gt;J$7)),0,MAX(0,ROUND((INDEX($E46:$G46,J$5)-SUMIFS(TF_Timer,TF_Tekniker,J$4,TF_Dato,$A46))*2,0)/2)))</f>
        <v/>
      </c>
      <c r="K46">
        <f>IF(OR(K$4="",$A46&gt;TODAY()),0,IF(OR(INDEX($B46:$D46,K$5)="F",AND(K$6&gt;0,$A46&lt;K$6),AND(K$7&gt;0,$A46&gt;K$7)),0,MAX(0,ROUND((INDEX($E46:$G46,K$5)-SUMIFS(TF_Timer,TF_Tekniker,K$4,TF_Dato,$A46))*2,0)/2)))</f>
        <v/>
      </c>
      <c r="L46">
        <f>IF(OR(L$4="",$A46&gt;TODAY()),0,IF(OR(INDEX($B46:$D46,L$5)="F",AND(L$6&gt;0,$A46&lt;L$6),AND(L$7&gt;0,$A46&gt;L$7)),0,MAX(0,ROUND((INDEX($E46:$G46,L$5)-SUMIFS(TF_Timer,TF_Tekniker,L$4,TF_Dato,$A46))*2,0)/2)))</f>
        <v/>
      </c>
      <c r="M46">
        <f>IF(OR(M$4="",$A46&gt;TODAY()),0,IF(OR(INDEX($B46:$D46,M$5)="F",AND(M$6&gt;0,$A46&lt;M$6),AND(M$7&gt;0,$A46&gt;M$7)),0,MAX(0,ROUND((INDEX($E46:$G46,M$5)-SUMIFS(TF_Timer,TF_Tekniker,M$4,TF_Dato,$A46))*2,0)/2)))</f>
        <v/>
      </c>
      <c r="N46">
        <f>IF(OR(N$4="",$A46&gt;TODAY()),0,IF(OR(INDEX($B46:$D46,N$5)="F",AND(N$6&gt;0,$A46&lt;N$6),AND(N$7&gt;0,$A46&gt;N$7)),0,MAX(0,ROUND((INDEX($E46:$G46,N$5)-SUMIFS(TF_Timer,TF_Tekniker,N$4,TF_Dato,$A46))*2,0)/2)))</f>
        <v/>
      </c>
      <c r="O46">
        <f>IF(OR(O$4="",$A46&gt;TODAY()),0,IF(OR(INDEX($B46:$D46,O$5)="F",AND(O$6&gt;0,$A46&lt;O$6),AND(O$7&gt;0,$A46&gt;O$7)),0,MAX(0,ROUND((INDEX($E46:$G46,O$5)-SUMIFS(TF_Timer,TF_Tekniker,O$4,TF_Dato,$A46))*2,0)/2)))</f>
        <v/>
      </c>
      <c r="P46">
        <f>IF(OR(P$4="",$A46&gt;TODAY()),0,IF(OR(INDEX($B46:$D46,P$5)="F",AND(P$6&gt;0,$A46&lt;P$6),AND(P$7&gt;0,$A46&gt;P$7)),0,MAX(0,ROUND((INDEX($E46:$G46,P$5)-SUMIFS(TF_Timer,TF_Tekniker,P$4,TF_Dato,$A46))*2,0)/2)))</f>
        <v/>
      </c>
      <c r="Q46">
        <f>IF(OR(Q$4="",$A46&gt;TODAY()),0,IF(OR(INDEX($B46:$D46,Q$5)="F",AND(Q$6&gt;0,$A46&lt;Q$6),AND(Q$7&gt;0,$A46&gt;Q$7)),0,MAX(0,ROUND((INDEX($E46:$G46,Q$5)-SUMIFS(TF_Timer,TF_Tekniker,Q$4,TF_Dato,$A46))*2,0)/2)))</f>
        <v/>
      </c>
      <c r="R46">
        <f>IF(OR(R$4="",$A46&gt;TODAY()),0,IF(OR(INDEX($B46:$D46,R$5)="F",AND(R$6&gt;0,$A46&lt;R$6),AND(R$7&gt;0,$A46&gt;R$7)),0,MAX(0,ROUND((INDEX($E46:$G46,R$5)-SUMIFS(TF_Timer,TF_Tekniker,R$4,TF_Dato,$A46))*2,0)/2)))</f>
        <v/>
      </c>
      <c r="S46">
        <f>IF(OR(S$4="",$A46&gt;TODAY()),0,IF(OR(INDEX($B46:$D46,S$5)="F",AND(S$6&gt;0,$A46&lt;S$6),AND(S$7&gt;0,$A46&gt;S$7)),0,MAX(0,ROUND((INDEX($E46:$G46,S$5)-SUMIFS(TF_Timer,TF_Tekniker,S$4,TF_Dato,$A46))*2,0)/2)))</f>
        <v/>
      </c>
      <c r="T46">
        <f>IF(OR(T$4="",$A46&gt;TODAY()),0,IF(OR(INDEX($B46:$D46,T$5)="F",AND(T$6&gt;0,$A46&lt;T$6),AND(T$7&gt;0,$A46&gt;T$7)),0,MAX(0,ROUND((INDEX($E46:$G46,T$5)-SUMIFS(TF_Timer,TF_Tekniker,T$4,TF_Dato,$A46))*2,0)/2)))</f>
        <v/>
      </c>
      <c r="U46">
        <f>IF(OR(U$4="",$A46&gt;TODAY()),0,IF(OR(INDEX($B46:$D46,U$5)="F",AND(U$6&gt;0,$A46&lt;U$6),AND(U$7&gt;0,$A46&gt;U$7)),0,MAX(0,ROUND((INDEX($E46:$G46,U$5)-SUMIFS(TF_Timer,TF_Tekniker,U$4,TF_Dato,$A46))*2,0)/2)))</f>
        <v/>
      </c>
      <c r="V46">
        <f>IF(OR(V$4="",$A46&gt;TODAY()),0,IF(OR(INDEX($B46:$D46,V$5)="F",AND(V$6&gt;0,$A46&lt;V$6),AND(V$7&gt;0,$A46&gt;V$7)),0,MAX(0,ROUND((INDEX($E46:$G46,V$5)-SUMIFS(TF_Timer,TF_Tekniker,V$4,TF_Dato,$A46))*2,0)/2)))</f>
        <v/>
      </c>
      <c r="W46">
        <f>IF(OR(W$4="",$A46&gt;TODAY()),0,IF(OR(INDEX($B46:$D46,W$5)="F",AND(W$6&gt;0,$A46&lt;W$6),AND(W$7&gt;0,$A46&gt;W$7)),0,MAX(0,ROUND((INDEX($E46:$G46,W$5)-SUMIFS(TF_Timer,TF_Tekniker,W$4,TF_Dato,$A46))*2,0)/2)))</f>
        <v/>
      </c>
      <c r="X46">
        <f>IF(OR(X$4="",$A46&gt;TODAY()),0,IF(OR(INDEX($B46:$D46,X$5)="F",AND(X$6&gt;0,$A46&lt;X$6),AND(X$7&gt;0,$A46&gt;X$7)),0,MAX(0,ROUND((INDEX($E46:$G46,X$5)-SUMIFS(TF_Timer,TF_Tekniker,X$4,TF_Dato,$A46))*2,0)/2)))</f>
        <v/>
      </c>
      <c r="Y46">
        <f>IF(OR(Y$4="",$A46&gt;TODAY()),0,IF(OR(INDEX($B46:$D46,Y$5)="F",AND(Y$6&gt;0,$A46&lt;Y$6),AND(Y$7&gt;0,$A46&gt;Y$7)),0,MAX(0,ROUND((INDEX($E46:$G46,Y$5)-SUMIFS(TF_Timer,TF_Tekniker,Y$4,TF_Dato,$A46))*2,0)/2)))</f>
        <v/>
      </c>
      <c r="Z46">
        <f>IF(OR(Z$4="",$A46&gt;TODAY()),0,IF(OR(INDEX($B46:$D46,Z$5)="F",AND(Z$6&gt;0,$A46&lt;Z$6),AND(Z$7&gt;0,$A46&gt;Z$7)),0,MAX(0,ROUND((INDEX($E46:$G46,Z$5)-SUMIFS(TF_Timer,TF_Tekniker,Z$4,TF_Dato,$A46))*2,0)/2)))</f>
        <v/>
      </c>
      <c r="AA46">
        <f>IF(OR(AA$4="",$A46&gt;TODAY()),0,IF(OR(INDEX($B46:$D46,AA$5)="F",AND(AA$6&gt;0,$A46&lt;AA$6),AND(AA$7&gt;0,$A46&gt;AA$7)),0,MAX(0,ROUND((INDEX($E46:$G46,AA$5)-SUMIFS(TF_Timer,TF_Tekniker,AA$4,TF_Dato,$A46))*2,0)/2)))</f>
        <v/>
      </c>
      <c r="AB46">
        <f>IF(OR(AB$4="",$A46&gt;TODAY()),0,IF(OR(INDEX($B46:$D46,AB$5)="F",AND(AB$6&gt;0,$A46&lt;AB$6),AND(AB$7&gt;0,$A46&gt;AB$7)),0,MAX(0,ROUND((INDEX($E46:$G46,AB$5)-SUMIFS(TF_Timer,TF_Tekniker,AB$4,TF_Dato,$A46))*2,0)/2)))</f>
        <v/>
      </c>
      <c r="AC46">
        <f>IF(OR(AC$4="",$A46&gt;TODAY()),0,IF(OR(INDEX($B46:$D46,AC$5)="F",AND(AC$6&gt;0,$A46&lt;AC$6),AND(AC$7&gt;0,$A46&gt;AC$7)),0,MAX(0,ROUND((INDEX($E46:$G46,AC$5)-SUMIFS(TF_Timer,TF_Tekniker,AC$4,TF_Dato,$A46))*2,0)/2)))</f>
        <v/>
      </c>
      <c r="AD46">
        <f>IF(OR(AD$4="",$A46&gt;TODAY()),0,IF(OR(INDEX($B46:$D46,AD$5)="F",AND(AD$6&gt;0,$A46&lt;AD$6),AND(AD$7&gt;0,$A46&gt;AD$7)),0,MAX(0,ROUND((INDEX($E46:$G46,AD$5)-SUMIFS(TF_Timer,TF_Tekniker,AD$4,TF_Dato,$A46))*2,0)/2)))</f>
        <v/>
      </c>
      <c r="AE46">
        <f>IF(OR(AE$4="",$A46&gt;TODAY()),0,IF(OR(INDEX($B46:$D46,AE$5)="F",AND(AE$6&gt;0,$A46&lt;AE$6),AND(AE$7&gt;0,$A46&gt;AE$7)),0,MAX(0,ROUND((INDEX($E46:$G46,AE$5)-SUMIFS(TF_Timer,TF_Tekniker,AE$4,TF_Dato,$A46))*2,0)/2)))</f>
        <v/>
      </c>
      <c r="AF46">
        <f>IF(OR(AF$4="",$A46&gt;TODAY()),0,IF(OR(INDEX($B46:$D46,AF$5)="F",AND(AF$6&gt;0,$A46&lt;AF$6),AND(AF$7&gt;0,$A46&gt;AF$7)),0,MAX(0,ROUND((INDEX($E46:$G46,AF$5)-SUMIFS(TF_Timer,TF_Tekniker,AF$4,TF_Dato,$A46))*2,0)/2)))</f>
        <v/>
      </c>
      <c r="AG46">
        <f>IF(OR(AG$4="",$A46&gt;TODAY()),0,IF(OR(INDEX($B46:$D46,AG$5)="F",AND(AG$6&gt;0,$A46&lt;AG$6),AND(AG$7&gt;0,$A46&gt;AG$7)),0,MAX(0,ROUND((INDEX($E46:$G46,AG$5)-SUMIFS(TF_Timer,TF_Tekniker,AG$4,TF_Dato,$A46))*2,0)/2)))</f>
        <v/>
      </c>
      <c r="AH46">
        <f>IF(OR(AH$4="",$A46&gt;TODAY()),0,IF(OR(INDEX($B46:$D46,AH$5)="F",AND(AH$6&gt;0,$A46&lt;AH$6),AND(AH$7&gt;0,$A46&gt;AH$7)),0,MAX(0,ROUND((INDEX($E46:$G46,AH$5)-SUMIFS(TF_Timer,TF_Tekniker,AH$4,TF_Dato,$A46))*2,0)/2)))</f>
        <v/>
      </c>
      <c r="AI46">
        <f>IF(OR(AI$4="",$A46&gt;TODAY()),0,IF(OR(INDEX($B46:$D46,AI$5)="F",AND(AI$6&gt;0,$A46&lt;AI$6),AND(AI$7&gt;0,$A46&gt;AI$7)),0,MAX(0,ROUND((INDEX($E46:$G46,AI$5)-SUMIFS(TF_Timer,TF_Tekniker,AI$4,TF_Dato,$A46))*2,0)/2)))</f>
        <v/>
      </c>
      <c r="AJ46">
        <f>IF(OR(AJ$4="",$A46&gt;TODAY()),0,IF(OR(INDEX($B46:$D46,AJ$5)="F",AND(AJ$6&gt;0,$A46&lt;AJ$6),AND(AJ$7&gt;0,$A46&gt;AJ$7)),0,MAX(0,ROUND((INDEX($E46:$G46,AJ$5)-SUMIFS(TF_Timer,TF_Tekniker,AJ$4,TF_Dato,$A46))*2,0)/2)))</f>
        <v/>
      </c>
      <c r="AK46">
        <f>IF(OR(AK$4="",$A46&gt;TODAY()),0,IF(OR(INDEX($B46:$D46,AK$5)="F",AND(AK$6&gt;0,$A46&lt;AK$6),AND(AK$7&gt;0,$A46&gt;AK$7)),0,MAX(0,ROUND((INDEX($E46:$G46,AK$5)-SUMIFS(TF_Timer,TF_Tekniker,AK$4,TF_Dato,$A46))*2,0)/2)))</f>
        <v/>
      </c>
      <c r="AL46">
        <f>IF(OR(AL$4="",$A46&gt;TODAY()),0,IF(OR(INDEX($B46:$D46,AL$5)="F",AND(AL$6&gt;0,$A46&lt;AL$6),AND(AL$7&gt;0,$A46&gt;AL$7)),0,MAX(0,ROUND((INDEX($E46:$G46,AL$5)-SUMIFS(TF_Timer,TF_Tekniker,AL$4,TF_Dato,$A46))*2,0)/2)))</f>
        <v/>
      </c>
      <c r="AM46">
        <f>IF(OR(AM$4="",$A46&gt;TODAY()),0,IF(OR(INDEX($B46:$D46,AM$5)="F",AND(AM$6&gt;0,$A46&lt;AM$6),AND(AM$7&gt;0,$A46&gt;AM$7)),0,MAX(0,ROUND((INDEX($E46:$G46,AM$5)-SUMIFS(TF_Timer,TF_Tekniker,AM$4,TF_Dato,$A46))*2,0)/2)))</f>
        <v/>
      </c>
      <c r="AN46">
        <f>IF(OR(AN$4="",$A46&gt;TODAY()),0,IF(OR(INDEX($B46:$D46,AN$5)="F",AND(AN$6&gt;0,$A46&lt;AN$6),AND(AN$7&gt;0,$A46&gt;AN$7)),0,MAX(0,ROUND((INDEX($E46:$G46,AN$5)-SUMIFS(TF_Timer,TF_Tekniker,AN$4,TF_Dato,$A46))*2,0)/2)))</f>
        <v/>
      </c>
      <c r="AO46">
        <f>IF(OR(AO$4="",$A46&gt;TODAY()),0,IF(OR(INDEX($B46:$D46,AO$5)="F",AND(AO$6&gt;0,$A46&lt;AO$6),AND(AO$7&gt;0,$A46&gt;AO$7)),0,MAX(0,ROUND((INDEX($E46:$G46,AO$5)-SUMIFS(TF_Timer,TF_Tekniker,AO$4,TF_Dato,$A46))*2,0)/2)))</f>
        <v/>
      </c>
      <c r="AP46">
        <f>IF(OR(AP$4="",$A46&gt;TODAY()),0,IF(OR(INDEX($B46:$D46,AP$5)="F",AND(AP$6&gt;0,$A46&lt;AP$6),AND(AP$7&gt;0,$A46&gt;AP$7)),0,MAX(0,ROUND((INDEX($E46:$G46,AP$5)-SUMIFS(TF_Timer,TF_Tekniker,AP$4,TF_Dato,$A46))*2,0)/2)))</f>
        <v/>
      </c>
      <c r="AQ46">
        <f>IF(OR(AQ$4="",$A46&gt;TODAY()),0,IF(OR(INDEX($B46:$D46,AQ$5)="F",AND(AQ$6&gt;0,$A46&lt;AQ$6),AND(AQ$7&gt;0,$A46&gt;AQ$7)),0,MAX(0,ROUND((INDEX($E46:$G46,AQ$5)-SUMIFS(TF_Timer,TF_Tekniker,AQ$4,TF_Dato,$A46))*2,0)/2)))</f>
        <v/>
      </c>
      <c r="AR46">
        <f>IF(OR(AR$4="",$A46&gt;TODAY()),0,IF(OR(INDEX($B46:$D46,AR$5)="F",AND(AR$6&gt;0,$A46&lt;AR$6),AND(AR$7&gt;0,$A46&gt;AR$7)),0,MAX(0,ROUND((INDEX($E46:$G46,AR$5)-SUMIFS(TF_Timer,TF_Tekniker,AR$4,TF_Dato,$A46))*2,0)/2)))</f>
        <v/>
      </c>
      <c r="AS46">
        <f>IF(OR(AS$4="",$A46&gt;TODAY()),0,IF(OR(INDEX($B46:$D46,AS$5)="F",AND(AS$6&gt;0,$A46&lt;AS$6),AND(AS$7&gt;0,$A46&gt;AS$7)),0,MAX(0,ROUND((INDEX($E46:$G46,AS$5)-SUMIFS(TF_Timer,TF_Tekniker,AS$4,TF_Dato,$A46))*2,0)/2)))</f>
        <v/>
      </c>
      <c r="AT46">
        <f>IF(OR(AT$4="",$A46&gt;TODAY()),0,IF(OR(INDEX($B46:$D46,AT$5)="F",AND(AT$6&gt;0,$A46&lt;AT$6),AND(AT$7&gt;0,$A46&gt;AT$7)),0,MAX(0,ROUND((INDEX($E46:$G46,AT$5)-SUMIFS(TF_Timer,TF_Tekniker,AT$4,TF_Dato,$A46))*2,0)/2)))</f>
        <v/>
      </c>
      <c r="AU46">
        <f>IF(OR(AU$4="",$A46&gt;TODAY()),0,IF(OR(INDEX($B46:$D46,AU$5)="F",AND(AU$6&gt;0,$A46&lt;AU$6),AND(AU$7&gt;0,$A46&gt;AU$7)),0,MAX(0,ROUND((INDEX($E46:$G46,AU$5)-SUMIFS(TF_Timer,TF_Tekniker,AU$4,TF_Dato,$A46))*2,0)/2)))</f>
        <v/>
      </c>
      <c r="AV46">
        <f>IF(OR(AV$4="",$A46&gt;TODAY()),0,IF(OR(INDEX($B46:$D46,AV$5)="F",AND(AV$6&gt;0,$A46&lt;AV$6),AND(AV$7&gt;0,$A46&gt;AV$7)),0,MAX(0,ROUND((INDEX($E46:$G46,AV$5)-SUMIFS(TF_Timer,TF_Tekniker,AV$4,TF_Dato,$A46))*2,0)/2)))</f>
        <v/>
      </c>
      <c r="AW46">
        <f>IF(OR(AW$4="",$A46&gt;TODAY()),0,IF(OR(INDEX($B46:$D46,AW$5)="F",AND(AW$6&gt;0,$A46&lt;AW$6),AND(AW$7&gt;0,$A46&gt;AW$7)),0,MAX(0,ROUND((INDEX($E46:$G46,AW$5)-SUMIFS(TF_Timer,TF_Tekniker,AW$4,TF_Dato,$A46))*2,0)/2)))</f>
        <v/>
      </c>
      <c r="AX46">
        <f>IF(OR(AX$4="",$A46&gt;TODAY()),0,IF(OR(INDEX($B46:$D46,AX$5)="F",AND(AX$6&gt;0,$A46&lt;AX$6),AND(AX$7&gt;0,$A46&gt;AX$7)),0,MAX(0,ROUND((INDEX($E46:$G46,AX$5)-SUMIFS(TF_Timer,TF_Tekniker,AX$4,TF_Dato,$A46))*2,0)/2)))</f>
        <v/>
      </c>
      <c r="AY46">
        <f>IF(OR(AY$4="",$A46&gt;TODAY()),0,IF(OR(INDEX($B46:$D46,AY$5)="F",AND(AY$6&gt;0,$A46&lt;AY$6),AND(AY$7&gt;0,$A46&gt;AY$7)),0,MAX(0,ROUND((INDEX($E46:$G46,AY$5)-SUMIFS(TF_Timer,TF_Tekniker,AY$4,TF_Dato,$A46))*2,0)/2)))</f>
        <v/>
      </c>
      <c r="AZ46">
        <f>IF(OR(AZ$4="",$A46&gt;TODAY()),0,IF(OR(INDEX($B46:$D46,AZ$5)="F",AND(AZ$6&gt;0,$A46&lt;AZ$6),AND(AZ$7&gt;0,$A46&gt;AZ$7)),0,MAX(0,ROUND((INDEX($E46:$G46,AZ$5)-SUMIFS(TF_Timer,TF_Tekniker,AZ$4,TF_Dato,$A46))*2,0)/2)))</f>
        <v/>
      </c>
      <c r="BA46">
        <f>IF(OR(BA$4="",$A46&gt;TODAY()),0,IF(OR(INDEX($B46:$D46,BA$5)="F",AND(BA$6&gt;0,$A46&lt;BA$6),AND(BA$7&gt;0,$A46&gt;BA$7)),0,MAX(0,ROUND((INDEX($E46:$G46,BA$5)-SUMIFS(TF_Timer,TF_Tekniker,BA$4,TF_Dato,$A46))*2,0)/2)))</f>
        <v/>
      </c>
      <c r="BB46">
        <f>IF(OR(BB$4="",$A46&gt;TODAY()),0,IF(OR(INDEX($B46:$D46,BB$5)="F",AND(BB$6&gt;0,$A46&lt;BB$6),AND(BB$7&gt;0,$A46&gt;BB$7)),0,MAX(0,ROUND((INDEX($E46:$G46,BB$5)-SUMIFS(TF_Timer,TF_Tekniker,BB$4,TF_Dato,$A46))*2,0)/2)))</f>
        <v/>
      </c>
      <c r="BC46">
        <f>IF(OR(BC$4="",$A46&gt;TODAY()),0,IF(OR(INDEX($B46:$D46,BC$5)="F",AND(BC$6&gt;0,$A46&lt;BC$6),AND(BC$7&gt;0,$A46&gt;BC$7)),0,MAX(0,ROUND((INDEX($E46:$G46,BC$5)-SUMIFS(TF_Timer,TF_Tekniker,BC$4,TF_Dato,$A46))*2,0)/2)))</f>
        <v/>
      </c>
      <c r="BD46">
        <f>IF(OR(BD$4="",$A46&gt;TODAY()),0,IF(OR(INDEX($B46:$D46,BD$5)="F",AND(BD$6&gt;0,$A46&lt;BD$6),AND(BD$7&gt;0,$A46&gt;BD$7)),0,MAX(0,ROUND((INDEX($E46:$G46,BD$5)-SUMIFS(TF_Timer,TF_Tekniker,BD$4,TF_Dato,$A46))*2,0)/2)))</f>
        <v/>
      </c>
      <c r="BE46">
        <f>IF(OR(BE$4="",$A46&gt;TODAY()),0,IF(OR(INDEX($B46:$D46,BE$5)="F",AND(BE$6&gt;0,$A46&lt;BE$6),AND(BE$7&gt;0,$A46&gt;BE$7)),0,MAX(0,ROUND((INDEX($E46:$G46,BE$5)-SUMIFS(TF_Timer,TF_Tekniker,BE$4,TF_Dato,$A46))*2,0)/2)))</f>
        <v/>
      </c>
      <c r="BF46">
        <f>IF(OR(BF$4="",$A46&gt;TODAY()),0,IF(OR(INDEX($B46:$D46,BF$5)="F",AND(BF$6&gt;0,$A46&lt;BF$6),AND(BF$7&gt;0,$A46&gt;BF$7)),0,MAX(0,ROUND((INDEX($E46:$G46,BF$5)-SUMIFS(TF_Timer,TF_Tekniker,BF$4,TF_Dato,$A46))*2,0)/2)))</f>
        <v/>
      </c>
      <c r="BG46">
        <f>IF(OR(BG$4="",$A46&gt;TODAY()),0,IF(OR(INDEX($B46:$D46,BG$5)="F",AND(BG$6&gt;0,$A46&lt;BG$6),AND(BG$7&gt;0,$A46&gt;BG$7)),0,MAX(0,ROUND((INDEX($E46:$G46,BG$5)-SUMIFS(TF_Timer,TF_Tekniker,BG$4,TF_Dato,$A46))*2,0)/2)))</f>
        <v/>
      </c>
      <c r="BH46">
        <f>IF(OR(BH$4="",$A46&gt;TODAY()),0,IF(OR(INDEX($B46:$D46,BH$5)="F",AND(BH$6&gt;0,$A46&lt;BH$6),AND(BH$7&gt;0,$A46&gt;BH$7)),0,MAX(0,ROUND((INDEX($E46:$G46,BH$5)-SUMIFS(TF_Timer,TF_Tekniker,BH$4,TF_Dato,$A46))*2,0)/2)))</f>
        <v/>
      </c>
      <c r="BI46">
        <f>IF(OR(BI$4="",$A46&gt;TODAY()),0,IF(OR(INDEX($B46:$D46,BI$5)="F",AND(BI$6&gt;0,$A46&lt;BI$6),AND(BI$7&gt;0,$A46&gt;BI$7)),0,MAX(0,ROUND((INDEX($E46:$G46,BI$5)-SUMIFS(TF_Timer,TF_Tekniker,BI$4,TF_Dato,$A46))*2,0)/2)))</f>
        <v/>
      </c>
    </row>
    <row r="47">
      <c r="A47" s="64">
        <f>A46+1</f>
        <v/>
      </c>
      <c r="B47">
        <f>IF(MOD($A47-INDEX(SkiftStart,1),Syklus)&lt;DagK,"K",IF(MOD($A47-INDEX(SkiftStart,1),Syklus)&lt;DagK+DagH,"H",IF(MOD($A47-INDEX(SkiftStart,1),Syklus)&lt;DagK+DagH+DagD,"D","F")))</f>
        <v/>
      </c>
      <c r="C47">
        <f>IF(MOD($A47-INDEX(SkiftStart,2),Syklus)&lt;DagK,"K",IF(MOD($A47-INDEX(SkiftStart,2),Syklus)&lt;DagK+DagH,"H",IF(MOD($A47-INDEX(SkiftStart,2),Syklus)&lt;DagK+DagH+DagD,"D","F")))</f>
        <v/>
      </c>
      <c r="D47">
        <f>IF(MOD($A47-INDEX(SkiftStart,3),Syklus)&lt;DagK,"K",IF(MOD($A47-INDEX(SkiftStart,3),Syklus)&lt;DagK+DagH,"H",IF(MOD($A47-INDEX(SkiftStart,3),Syklus)&lt;DagK+DagH+DagD,"D","F")))</f>
        <v/>
      </c>
      <c r="E47">
        <f>IF(B47="F",0,IF(WEEKDAY($A47,2)=5,INDEX(TimerFr,MATCH(B47,FaseKode,0)),INDEX(TimerMT,MATCH(B47,FaseKode,0))))</f>
        <v/>
      </c>
      <c r="F47">
        <f>IF(C47="F",0,IF(WEEKDAY($A47,2)=5,INDEX(TimerFr,MATCH(C47,FaseKode,0)),INDEX(TimerMT,MATCH(C47,FaseKode,0))))</f>
        <v/>
      </c>
      <c r="G47">
        <f>IF(D47="F",0,IF(WEEKDAY($A47,2)=5,INDEX(TimerFr,MATCH(D47,FaseKode,0)),INDEX(TimerMT,MATCH(D47,FaseKode,0))))</f>
        <v/>
      </c>
      <c r="H47">
        <f>IF(OR(H$4="",$A47&gt;TODAY()),0,IF(OR(INDEX($B47:$D47,H$5)="F",AND(H$6&gt;0,$A47&lt;H$6),AND(H$7&gt;0,$A47&gt;H$7)),0,MAX(0,ROUND((INDEX($E47:$G47,H$5)-SUMIFS(TF_Timer,TF_Tekniker,H$4,TF_Dato,$A47))*2,0)/2)))</f>
        <v/>
      </c>
      <c r="I47">
        <f>IF(OR(I$4="",$A47&gt;TODAY()),0,IF(OR(INDEX($B47:$D47,I$5)="F",AND(I$6&gt;0,$A47&lt;I$6),AND(I$7&gt;0,$A47&gt;I$7)),0,MAX(0,ROUND((INDEX($E47:$G47,I$5)-SUMIFS(TF_Timer,TF_Tekniker,I$4,TF_Dato,$A47))*2,0)/2)))</f>
        <v/>
      </c>
      <c r="J47">
        <f>IF(OR(J$4="",$A47&gt;TODAY()),0,IF(OR(INDEX($B47:$D47,J$5)="F",AND(J$6&gt;0,$A47&lt;J$6),AND(J$7&gt;0,$A47&gt;J$7)),0,MAX(0,ROUND((INDEX($E47:$G47,J$5)-SUMIFS(TF_Timer,TF_Tekniker,J$4,TF_Dato,$A47))*2,0)/2)))</f>
        <v/>
      </c>
      <c r="K47">
        <f>IF(OR(K$4="",$A47&gt;TODAY()),0,IF(OR(INDEX($B47:$D47,K$5)="F",AND(K$6&gt;0,$A47&lt;K$6),AND(K$7&gt;0,$A47&gt;K$7)),0,MAX(0,ROUND((INDEX($E47:$G47,K$5)-SUMIFS(TF_Timer,TF_Tekniker,K$4,TF_Dato,$A47))*2,0)/2)))</f>
        <v/>
      </c>
      <c r="L47">
        <f>IF(OR(L$4="",$A47&gt;TODAY()),0,IF(OR(INDEX($B47:$D47,L$5)="F",AND(L$6&gt;0,$A47&lt;L$6),AND(L$7&gt;0,$A47&gt;L$7)),0,MAX(0,ROUND((INDEX($E47:$G47,L$5)-SUMIFS(TF_Timer,TF_Tekniker,L$4,TF_Dato,$A47))*2,0)/2)))</f>
        <v/>
      </c>
      <c r="M47">
        <f>IF(OR(M$4="",$A47&gt;TODAY()),0,IF(OR(INDEX($B47:$D47,M$5)="F",AND(M$6&gt;0,$A47&lt;M$6),AND(M$7&gt;0,$A47&gt;M$7)),0,MAX(0,ROUND((INDEX($E47:$G47,M$5)-SUMIFS(TF_Timer,TF_Tekniker,M$4,TF_Dato,$A47))*2,0)/2)))</f>
        <v/>
      </c>
      <c r="N47">
        <f>IF(OR(N$4="",$A47&gt;TODAY()),0,IF(OR(INDEX($B47:$D47,N$5)="F",AND(N$6&gt;0,$A47&lt;N$6),AND(N$7&gt;0,$A47&gt;N$7)),0,MAX(0,ROUND((INDEX($E47:$G47,N$5)-SUMIFS(TF_Timer,TF_Tekniker,N$4,TF_Dato,$A47))*2,0)/2)))</f>
        <v/>
      </c>
      <c r="O47">
        <f>IF(OR(O$4="",$A47&gt;TODAY()),0,IF(OR(INDEX($B47:$D47,O$5)="F",AND(O$6&gt;0,$A47&lt;O$6),AND(O$7&gt;0,$A47&gt;O$7)),0,MAX(0,ROUND((INDEX($E47:$G47,O$5)-SUMIFS(TF_Timer,TF_Tekniker,O$4,TF_Dato,$A47))*2,0)/2)))</f>
        <v/>
      </c>
      <c r="P47">
        <f>IF(OR(P$4="",$A47&gt;TODAY()),0,IF(OR(INDEX($B47:$D47,P$5)="F",AND(P$6&gt;0,$A47&lt;P$6),AND(P$7&gt;0,$A47&gt;P$7)),0,MAX(0,ROUND((INDEX($E47:$G47,P$5)-SUMIFS(TF_Timer,TF_Tekniker,P$4,TF_Dato,$A47))*2,0)/2)))</f>
        <v/>
      </c>
      <c r="Q47">
        <f>IF(OR(Q$4="",$A47&gt;TODAY()),0,IF(OR(INDEX($B47:$D47,Q$5)="F",AND(Q$6&gt;0,$A47&lt;Q$6),AND(Q$7&gt;0,$A47&gt;Q$7)),0,MAX(0,ROUND((INDEX($E47:$G47,Q$5)-SUMIFS(TF_Timer,TF_Tekniker,Q$4,TF_Dato,$A47))*2,0)/2)))</f>
        <v/>
      </c>
      <c r="R47">
        <f>IF(OR(R$4="",$A47&gt;TODAY()),0,IF(OR(INDEX($B47:$D47,R$5)="F",AND(R$6&gt;0,$A47&lt;R$6),AND(R$7&gt;0,$A47&gt;R$7)),0,MAX(0,ROUND((INDEX($E47:$G47,R$5)-SUMIFS(TF_Timer,TF_Tekniker,R$4,TF_Dato,$A47))*2,0)/2)))</f>
        <v/>
      </c>
      <c r="S47">
        <f>IF(OR(S$4="",$A47&gt;TODAY()),0,IF(OR(INDEX($B47:$D47,S$5)="F",AND(S$6&gt;0,$A47&lt;S$6),AND(S$7&gt;0,$A47&gt;S$7)),0,MAX(0,ROUND((INDEX($E47:$G47,S$5)-SUMIFS(TF_Timer,TF_Tekniker,S$4,TF_Dato,$A47))*2,0)/2)))</f>
        <v/>
      </c>
      <c r="T47">
        <f>IF(OR(T$4="",$A47&gt;TODAY()),0,IF(OR(INDEX($B47:$D47,T$5)="F",AND(T$6&gt;0,$A47&lt;T$6),AND(T$7&gt;0,$A47&gt;T$7)),0,MAX(0,ROUND((INDEX($E47:$G47,T$5)-SUMIFS(TF_Timer,TF_Tekniker,T$4,TF_Dato,$A47))*2,0)/2)))</f>
        <v/>
      </c>
      <c r="U47">
        <f>IF(OR(U$4="",$A47&gt;TODAY()),0,IF(OR(INDEX($B47:$D47,U$5)="F",AND(U$6&gt;0,$A47&lt;U$6),AND(U$7&gt;0,$A47&gt;U$7)),0,MAX(0,ROUND((INDEX($E47:$G47,U$5)-SUMIFS(TF_Timer,TF_Tekniker,U$4,TF_Dato,$A47))*2,0)/2)))</f>
        <v/>
      </c>
      <c r="V47">
        <f>IF(OR(V$4="",$A47&gt;TODAY()),0,IF(OR(INDEX($B47:$D47,V$5)="F",AND(V$6&gt;0,$A47&lt;V$6),AND(V$7&gt;0,$A47&gt;V$7)),0,MAX(0,ROUND((INDEX($E47:$G47,V$5)-SUMIFS(TF_Timer,TF_Tekniker,V$4,TF_Dato,$A47))*2,0)/2)))</f>
        <v/>
      </c>
      <c r="W47">
        <f>IF(OR(W$4="",$A47&gt;TODAY()),0,IF(OR(INDEX($B47:$D47,W$5)="F",AND(W$6&gt;0,$A47&lt;W$6),AND(W$7&gt;0,$A47&gt;W$7)),0,MAX(0,ROUND((INDEX($E47:$G47,W$5)-SUMIFS(TF_Timer,TF_Tekniker,W$4,TF_Dato,$A47))*2,0)/2)))</f>
        <v/>
      </c>
      <c r="X47">
        <f>IF(OR(X$4="",$A47&gt;TODAY()),0,IF(OR(INDEX($B47:$D47,X$5)="F",AND(X$6&gt;0,$A47&lt;X$6),AND(X$7&gt;0,$A47&gt;X$7)),0,MAX(0,ROUND((INDEX($E47:$G47,X$5)-SUMIFS(TF_Timer,TF_Tekniker,X$4,TF_Dato,$A47))*2,0)/2)))</f>
        <v/>
      </c>
      <c r="Y47">
        <f>IF(OR(Y$4="",$A47&gt;TODAY()),0,IF(OR(INDEX($B47:$D47,Y$5)="F",AND(Y$6&gt;0,$A47&lt;Y$6),AND(Y$7&gt;0,$A47&gt;Y$7)),0,MAX(0,ROUND((INDEX($E47:$G47,Y$5)-SUMIFS(TF_Timer,TF_Tekniker,Y$4,TF_Dato,$A47))*2,0)/2)))</f>
        <v/>
      </c>
      <c r="Z47">
        <f>IF(OR(Z$4="",$A47&gt;TODAY()),0,IF(OR(INDEX($B47:$D47,Z$5)="F",AND(Z$6&gt;0,$A47&lt;Z$6),AND(Z$7&gt;0,$A47&gt;Z$7)),0,MAX(0,ROUND((INDEX($E47:$G47,Z$5)-SUMIFS(TF_Timer,TF_Tekniker,Z$4,TF_Dato,$A47))*2,0)/2)))</f>
        <v/>
      </c>
      <c r="AA47">
        <f>IF(OR(AA$4="",$A47&gt;TODAY()),0,IF(OR(INDEX($B47:$D47,AA$5)="F",AND(AA$6&gt;0,$A47&lt;AA$6),AND(AA$7&gt;0,$A47&gt;AA$7)),0,MAX(0,ROUND((INDEX($E47:$G47,AA$5)-SUMIFS(TF_Timer,TF_Tekniker,AA$4,TF_Dato,$A47))*2,0)/2)))</f>
        <v/>
      </c>
      <c r="AB47">
        <f>IF(OR(AB$4="",$A47&gt;TODAY()),0,IF(OR(INDEX($B47:$D47,AB$5)="F",AND(AB$6&gt;0,$A47&lt;AB$6),AND(AB$7&gt;0,$A47&gt;AB$7)),0,MAX(0,ROUND((INDEX($E47:$G47,AB$5)-SUMIFS(TF_Timer,TF_Tekniker,AB$4,TF_Dato,$A47))*2,0)/2)))</f>
        <v/>
      </c>
      <c r="AC47">
        <f>IF(OR(AC$4="",$A47&gt;TODAY()),0,IF(OR(INDEX($B47:$D47,AC$5)="F",AND(AC$6&gt;0,$A47&lt;AC$6),AND(AC$7&gt;0,$A47&gt;AC$7)),0,MAX(0,ROUND((INDEX($E47:$G47,AC$5)-SUMIFS(TF_Timer,TF_Tekniker,AC$4,TF_Dato,$A47))*2,0)/2)))</f>
        <v/>
      </c>
      <c r="AD47">
        <f>IF(OR(AD$4="",$A47&gt;TODAY()),0,IF(OR(INDEX($B47:$D47,AD$5)="F",AND(AD$6&gt;0,$A47&lt;AD$6),AND(AD$7&gt;0,$A47&gt;AD$7)),0,MAX(0,ROUND((INDEX($E47:$G47,AD$5)-SUMIFS(TF_Timer,TF_Tekniker,AD$4,TF_Dato,$A47))*2,0)/2)))</f>
        <v/>
      </c>
      <c r="AE47">
        <f>IF(OR(AE$4="",$A47&gt;TODAY()),0,IF(OR(INDEX($B47:$D47,AE$5)="F",AND(AE$6&gt;0,$A47&lt;AE$6),AND(AE$7&gt;0,$A47&gt;AE$7)),0,MAX(0,ROUND((INDEX($E47:$G47,AE$5)-SUMIFS(TF_Timer,TF_Tekniker,AE$4,TF_Dato,$A47))*2,0)/2)))</f>
        <v/>
      </c>
      <c r="AF47">
        <f>IF(OR(AF$4="",$A47&gt;TODAY()),0,IF(OR(INDEX($B47:$D47,AF$5)="F",AND(AF$6&gt;0,$A47&lt;AF$6),AND(AF$7&gt;0,$A47&gt;AF$7)),0,MAX(0,ROUND((INDEX($E47:$G47,AF$5)-SUMIFS(TF_Timer,TF_Tekniker,AF$4,TF_Dato,$A47))*2,0)/2)))</f>
        <v/>
      </c>
      <c r="AG47">
        <f>IF(OR(AG$4="",$A47&gt;TODAY()),0,IF(OR(INDEX($B47:$D47,AG$5)="F",AND(AG$6&gt;0,$A47&lt;AG$6),AND(AG$7&gt;0,$A47&gt;AG$7)),0,MAX(0,ROUND((INDEX($E47:$G47,AG$5)-SUMIFS(TF_Timer,TF_Tekniker,AG$4,TF_Dato,$A47))*2,0)/2)))</f>
        <v/>
      </c>
      <c r="AH47">
        <f>IF(OR(AH$4="",$A47&gt;TODAY()),0,IF(OR(INDEX($B47:$D47,AH$5)="F",AND(AH$6&gt;0,$A47&lt;AH$6),AND(AH$7&gt;0,$A47&gt;AH$7)),0,MAX(0,ROUND((INDEX($E47:$G47,AH$5)-SUMIFS(TF_Timer,TF_Tekniker,AH$4,TF_Dato,$A47))*2,0)/2)))</f>
        <v/>
      </c>
      <c r="AI47">
        <f>IF(OR(AI$4="",$A47&gt;TODAY()),0,IF(OR(INDEX($B47:$D47,AI$5)="F",AND(AI$6&gt;0,$A47&lt;AI$6),AND(AI$7&gt;0,$A47&gt;AI$7)),0,MAX(0,ROUND((INDEX($E47:$G47,AI$5)-SUMIFS(TF_Timer,TF_Tekniker,AI$4,TF_Dato,$A47))*2,0)/2)))</f>
        <v/>
      </c>
      <c r="AJ47">
        <f>IF(OR(AJ$4="",$A47&gt;TODAY()),0,IF(OR(INDEX($B47:$D47,AJ$5)="F",AND(AJ$6&gt;0,$A47&lt;AJ$6),AND(AJ$7&gt;0,$A47&gt;AJ$7)),0,MAX(0,ROUND((INDEX($E47:$G47,AJ$5)-SUMIFS(TF_Timer,TF_Tekniker,AJ$4,TF_Dato,$A47))*2,0)/2)))</f>
        <v/>
      </c>
      <c r="AK47">
        <f>IF(OR(AK$4="",$A47&gt;TODAY()),0,IF(OR(INDEX($B47:$D47,AK$5)="F",AND(AK$6&gt;0,$A47&lt;AK$6),AND(AK$7&gt;0,$A47&gt;AK$7)),0,MAX(0,ROUND((INDEX($E47:$G47,AK$5)-SUMIFS(TF_Timer,TF_Tekniker,AK$4,TF_Dato,$A47))*2,0)/2)))</f>
        <v/>
      </c>
      <c r="AL47">
        <f>IF(OR(AL$4="",$A47&gt;TODAY()),0,IF(OR(INDEX($B47:$D47,AL$5)="F",AND(AL$6&gt;0,$A47&lt;AL$6),AND(AL$7&gt;0,$A47&gt;AL$7)),0,MAX(0,ROUND((INDEX($E47:$G47,AL$5)-SUMIFS(TF_Timer,TF_Tekniker,AL$4,TF_Dato,$A47))*2,0)/2)))</f>
        <v/>
      </c>
      <c r="AM47">
        <f>IF(OR(AM$4="",$A47&gt;TODAY()),0,IF(OR(INDEX($B47:$D47,AM$5)="F",AND(AM$6&gt;0,$A47&lt;AM$6),AND(AM$7&gt;0,$A47&gt;AM$7)),0,MAX(0,ROUND((INDEX($E47:$G47,AM$5)-SUMIFS(TF_Timer,TF_Tekniker,AM$4,TF_Dato,$A47))*2,0)/2)))</f>
        <v/>
      </c>
      <c r="AN47">
        <f>IF(OR(AN$4="",$A47&gt;TODAY()),0,IF(OR(INDEX($B47:$D47,AN$5)="F",AND(AN$6&gt;0,$A47&lt;AN$6),AND(AN$7&gt;0,$A47&gt;AN$7)),0,MAX(0,ROUND((INDEX($E47:$G47,AN$5)-SUMIFS(TF_Timer,TF_Tekniker,AN$4,TF_Dato,$A47))*2,0)/2)))</f>
        <v/>
      </c>
      <c r="AO47">
        <f>IF(OR(AO$4="",$A47&gt;TODAY()),0,IF(OR(INDEX($B47:$D47,AO$5)="F",AND(AO$6&gt;0,$A47&lt;AO$6),AND(AO$7&gt;0,$A47&gt;AO$7)),0,MAX(0,ROUND((INDEX($E47:$G47,AO$5)-SUMIFS(TF_Timer,TF_Tekniker,AO$4,TF_Dato,$A47))*2,0)/2)))</f>
        <v/>
      </c>
      <c r="AP47">
        <f>IF(OR(AP$4="",$A47&gt;TODAY()),0,IF(OR(INDEX($B47:$D47,AP$5)="F",AND(AP$6&gt;0,$A47&lt;AP$6),AND(AP$7&gt;0,$A47&gt;AP$7)),0,MAX(0,ROUND((INDEX($E47:$G47,AP$5)-SUMIFS(TF_Timer,TF_Tekniker,AP$4,TF_Dato,$A47))*2,0)/2)))</f>
        <v/>
      </c>
      <c r="AQ47">
        <f>IF(OR(AQ$4="",$A47&gt;TODAY()),0,IF(OR(INDEX($B47:$D47,AQ$5)="F",AND(AQ$6&gt;0,$A47&lt;AQ$6),AND(AQ$7&gt;0,$A47&gt;AQ$7)),0,MAX(0,ROUND((INDEX($E47:$G47,AQ$5)-SUMIFS(TF_Timer,TF_Tekniker,AQ$4,TF_Dato,$A47))*2,0)/2)))</f>
        <v/>
      </c>
      <c r="AR47">
        <f>IF(OR(AR$4="",$A47&gt;TODAY()),0,IF(OR(INDEX($B47:$D47,AR$5)="F",AND(AR$6&gt;0,$A47&lt;AR$6),AND(AR$7&gt;0,$A47&gt;AR$7)),0,MAX(0,ROUND((INDEX($E47:$G47,AR$5)-SUMIFS(TF_Timer,TF_Tekniker,AR$4,TF_Dato,$A47))*2,0)/2)))</f>
        <v/>
      </c>
      <c r="AS47">
        <f>IF(OR(AS$4="",$A47&gt;TODAY()),0,IF(OR(INDEX($B47:$D47,AS$5)="F",AND(AS$6&gt;0,$A47&lt;AS$6),AND(AS$7&gt;0,$A47&gt;AS$7)),0,MAX(0,ROUND((INDEX($E47:$G47,AS$5)-SUMIFS(TF_Timer,TF_Tekniker,AS$4,TF_Dato,$A47))*2,0)/2)))</f>
        <v/>
      </c>
      <c r="AT47">
        <f>IF(OR(AT$4="",$A47&gt;TODAY()),0,IF(OR(INDEX($B47:$D47,AT$5)="F",AND(AT$6&gt;0,$A47&lt;AT$6),AND(AT$7&gt;0,$A47&gt;AT$7)),0,MAX(0,ROUND((INDEX($E47:$G47,AT$5)-SUMIFS(TF_Timer,TF_Tekniker,AT$4,TF_Dato,$A47))*2,0)/2)))</f>
        <v/>
      </c>
      <c r="AU47">
        <f>IF(OR(AU$4="",$A47&gt;TODAY()),0,IF(OR(INDEX($B47:$D47,AU$5)="F",AND(AU$6&gt;0,$A47&lt;AU$6),AND(AU$7&gt;0,$A47&gt;AU$7)),0,MAX(0,ROUND((INDEX($E47:$G47,AU$5)-SUMIFS(TF_Timer,TF_Tekniker,AU$4,TF_Dato,$A47))*2,0)/2)))</f>
        <v/>
      </c>
      <c r="AV47">
        <f>IF(OR(AV$4="",$A47&gt;TODAY()),0,IF(OR(INDEX($B47:$D47,AV$5)="F",AND(AV$6&gt;0,$A47&lt;AV$6),AND(AV$7&gt;0,$A47&gt;AV$7)),0,MAX(0,ROUND((INDEX($E47:$G47,AV$5)-SUMIFS(TF_Timer,TF_Tekniker,AV$4,TF_Dato,$A47))*2,0)/2)))</f>
        <v/>
      </c>
      <c r="AW47">
        <f>IF(OR(AW$4="",$A47&gt;TODAY()),0,IF(OR(INDEX($B47:$D47,AW$5)="F",AND(AW$6&gt;0,$A47&lt;AW$6),AND(AW$7&gt;0,$A47&gt;AW$7)),0,MAX(0,ROUND((INDEX($E47:$G47,AW$5)-SUMIFS(TF_Timer,TF_Tekniker,AW$4,TF_Dato,$A47))*2,0)/2)))</f>
        <v/>
      </c>
      <c r="AX47">
        <f>IF(OR(AX$4="",$A47&gt;TODAY()),0,IF(OR(INDEX($B47:$D47,AX$5)="F",AND(AX$6&gt;0,$A47&lt;AX$6),AND(AX$7&gt;0,$A47&gt;AX$7)),0,MAX(0,ROUND((INDEX($E47:$G47,AX$5)-SUMIFS(TF_Timer,TF_Tekniker,AX$4,TF_Dato,$A47))*2,0)/2)))</f>
        <v/>
      </c>
      <c r="AY47">
        <f>IF(OR(AY$4="",$A47&gt;TODAY()),0,IF(OR(INDEX($B47:$D47,AY$5)="F",AND(AY$6&gt;0,$A47&lt;AY$6),AND(AY$7&gt;0,$A47&gt;AY$7)),0,MAX(0,ROUND((INDEX($E47:$G47,AY$5)-SUMIFS(TF_Timer,TF_Tekniker,AY$4,TF_Dato,$A47))*2,0)/2)))</f>
        <v/>
      </c>
      <c r="AZ47">
        <f>IF(OR(AZ$4="",$A47&gt;TODAY()),0,IF(OR(INDEX($B47:$D47,AZ$5)="F",AND(AZ$6&gt;0,$A47&lt;AZ$6),AND(AZ$7&gt;0,$A47&gt;AZ$7)),0,MAX(0,ROUND((INDEX($E47:$G47,AZ$5)-SUMIFS(TF_Timer,TF_Tekniker,AZ$4,TF_Dato,$A47))*2,0)/2)))</f>
        <v/>
      </c>
      <c r="BA47">
        <f>IF(OR(BA$4="",$A47&gt;TODAY()),0,IF(OR(INDEX($B47:$D47,BA$5)="F",AND(BA$6&gt;0,$A47&lt;BA$6),AND(BA$7&gt;0,$A47&gt;BA$7)),0,MAX(0,ROUND((INDEX($E47:$G47,BA$5)-SUMIFS(TF_Timer,TF_Tekniker,BA$4,TF_Dato,$A47))*2,0)/2)))</f>
        <v/>
      </c>
      <c r="BB47">
        <f>IF(OR(BB$4="",$A47&gt;TODAY()),0,IF(OR(INDEX($B47:$D47,BB$5)="F",AND(BB$6&gt;0,$A47&lt;BB$6),AND(BB$7&gt;0,$A47&gt;BB$7)),0,MAX(0,ROUND((INDEX($E47:$G47,BB$5)-SUMIFS(TF_Timer,TF_Tekniker,BB$4,TF_Dato,$A47))*2,0)/2)))</f>
        <v/>
      </c>
      <c r="BC47">
        <f>IF(OR(BC$4="",$A47&gt;TODAY()),0,IF(OR(INDEX($B47:$D47,BC$5)="F",AND(BC$6&gt;0,$A47&lt;BC$6),AND(BC$7&gt;0,$A47&gt;BC$7)),0,MAX(0,ROUND((INDEX($E47:$G47,BC$5)-SUMIFS(TF_Timer,TF_Tekniker,BC$4,TF_Dato,$A47))*2,0)/2)))</f>
        <v/>
      </c>
      <c r="BD47">
        <f>IF(OR(BD$4="",$A47&gt;TODAY()),0,IF(OR(INDEX($B47:$D47,BD$5)="F",AND(BD$6&gt;0,$A47&lt;BD$6),AND(BD$7&gt;0,$A47&gt;BD$7)),0,MAX(0,ROUND((INDEX($E47:$G47,BD$5)-SUMIFS(TF_Timer,TF_Tekniker,BD$4,TF_Dato,$A47))*2,0)/2)))</f>
        <v/>
      </c>
      <c r="BE47">
        <f>IF(OR(BE$4="",$A47&gt;TODAY()),0,IF(OR(INDEX($B47:$D47,BE$5)="F",AND(BE$6&gt;0,$A47&lt;BE$6),AND(BE$7&gt;0,$A47&gt;BE$7)),0,MAX(0,ROUND((INDEX($E47:$G47,BE$5)-SUMIFS(TF_Timer,TF_Tekniker,BE$4,TF_Dato,$A47))*2,0)/2)))</f>
        <v/>
      </c>
      <c r="BF47">
        <f>IF(OR(BF$4="",$A47&gt;TODAY()),0,IF(OR(INDEX($B47:$D47,BF$5)="F",AND(BF$6&gt;0,$A47&lt;BF$6),AND(BF$7&gt;0,$A47&gt;BF$7)),0,MAX(0,ROUND((INDEX($E47:$G47,BF$5)-SUMIFS(TF_Timer,TF_Tekniker,BF$4,TF_Dato,$A47))*2,0)/2)))</f>
        <v/>
      </c>
      <c r="BG47">
        <f>IF(OR(BG$4="",$A47&gt;TODAY()),0,IF(OR(INDEX($B47:$D47,BG$5)="F",AND(BG$6&gt;0,$A47&lt;BG$6),AND(BG$7&gt;0,$A47&gt;BG$7)),0,MAX(0,ROUND((INDEX($E47:$G47,BG$5)-SUMIFS(TF_Timer,TF_Tekniker,BG$4,TF_Dato,$A47))*2,0)/2)))</f>
        <v/>
      </c>
      <c r="BH47">
        <f>IF(OR(BH$4="",$A47&gt;TODAY()),0,IF(OR(INDEX($B47:$D47,BH$5)="F",AND(BH$6&gt;0,$A47&lt;BH$6),AND(BH$7&gt;0,$A47&gt;BH$7)),0,MAX(0,ROUND((INDEX($E47:$G47,BH$5)-SUMIFS(TF_Timer,TF_Tekniker,BH$4,TF_Dato,$A47))*2,0)/2)))</f>
        <v/>
      </c>
      <c r="BI47">
        <f>IF(OR(BI$4="",$A47&gt;TODAY()),0,IF(OR(INDEX($B47:$D47,BI$5)="F",AND(BI$6&gt;0,$A47&lt;BI$6),AND(BI$7&gt;0,$A47&gt;BI$7)),0,MAX(0,ROUND((INDEX($E47:$G47,BI$5)-SUMIFS(TF_Timer,TF_Tekniker,BI$4,TF_Dato,$A47))*2,0)/2)))</f>
        <v/>
      </c>
    </row>
    <row r="48">
      <c r="A48" s="64">
        <f>A47+1</f>
        <v/>
      </c>
      <c r="B48">
        <f>IF(MOD($A48-INDEX(SkiftStart,1),Syklus)&lt;DagK,"K",IF(MOD($A48-INDEX(SkiftStart,1),Syklus)&lt;DagK+DagH,"H",IF(MOD($A48-INDEX(SkiftStart,1),Syklus)&lt;DagK+DagH+DagD,"D","F")))</f>
        <v/>
      </c>
      <c r="C48">
        <f>IF(MOD($A48-INDEX(SkiftStart,2),Syklus)&lt;DagK,"K",IF(MOD($A48-INDEX(SkiftStart,2),Syklus)&lt;DagK+DagH,"H",IF(MOD($A48-INDEX(SkiftStart,2),Syklus)&lt;DagK+DagH+DagD,"D","F")))</f>
        <v/>
      </c>
      <c r="D48">
        <f>IF(MOD($A48-INDEX(SkiftStart,3),Syklus)&lt;DagK,"K",IF(MOD($A48-INDEX(SkiftStart,3),Syklus)&lt;DagK+DagH,"H",IF(MOD($A48-INDEX(SkiftStart,3),Syklus)&lt;DagK+DagH+DagD,"D","F")))</f>
        <v/>
      </c>
      <c r="E48">
        <f>IF(B48="F",0,IF(WEEKDAY($A48,2)=5,INDEX(TimerFr,MATCH(B48,FaseKode,0)),INDEX(TimerMT,MATCH(B48,FaseKode,0))))</f>
        <v/>
      </c>
      <c r="F48">
        <f>IF(C48="F",0,IF(WEEKDAY($A48,2)=5,INDEX(TimerFr,MATCH(C48,FaseKode,0)),INDEX(TimerMT,MATCH(C48,FaseKode,0))))</f>
        <v/>
      </c>
      <c r="G48">
        <f>IF(D48="F",0,IF(WEEKDAY($A48,2)=5,INDEX(TimerFr,MATCH(D48,FaseKode,0)),INDEX(TimerMT,MATCH(D48,FaseKode,0))))</f>
        <v/>
      </c>
      <c r="H48">
        <f>IF(OR(H$4="",$A48&gt;TODAY()),0,IF(OR(INDEX($B48:$D48,H$5)="F",AND(H$6&gt;0,$A48&lt;H$6),AND(H$7&gt;0,$A48&gt;H$7)),0,MAX(0,ROUND((INDEX($E48:$G48,H$5)-SUMIFS(TF_Timer,TF_Tekniker,H$4,TF_Dato,$A48))*2,0)/2)))</f>
        <v/>
      </c>
      <c r="I48">
        <f>IF(OR(I$4="",$A48&gt;TODAY()),0,IF(OR(INDEX($B48:$D48,I$5)="F",AND(I$6&gt;0,$A48&lt;I$6),AND(I$7&gt;0,$A48&gt;I$7)),0,MAX(0,ROUND((INDEX($E48:$G48,I$5)-SUMIFS(TF_Timer,TF_Tekniker,I$4,TF_Dato,$A48))*2,0)/2)))</f>
        <v/>
      </c>
      <c r="J48">
        <f>IF(OR(J$4="",$A48&gt;TODAY()),0,IF(OR(INDEX($B48:$D48,J$5)="F",AND(J$6&gt;0,$A48&lt;J$6),AND(J$7&gt;0,$A48&gt;J$7)),0,MAX(0,ROUND((INDEX($E48:$G48,J$5)-SUMIFS(TF_Timer,TF_Tekniker,J$4,TF_Dato,$A48))*2,0)/2)))</f>
        <v/>
      </c>
      <c r="K48">
        <f>IF(OR(K$4="",$A48&gt;TODAY()),0,IF(OR(INDEX($B48:$D48,K$5)="F",AND(K$6&gt;0,$A48&lt;K$6),AND(K$7&gt;0,$A48&gt;K$7)),0,MAX(0,ROUND((INDEX($E48:$G48,K$5)-SUMIFS(TF_Timer,TF_Tekniker,K$4,TF_Dato,$A48))*2,0)/2)))</f>
        <v/>
      </c>
      <c r="L48">
        <f>IF(OR(L$4="",$A48&gt;TODAY()),0,IF(OR(INDEX($B48:$D48,L$5)="F",AND(L$6&gt;0,$A48&lt;L$6),AND(L$7&gt;0,$A48&gt;L$7)),0,MAX(0,ROUND((INDEX($E48:$G48,L$5)-SUMIFS(TF_Timer,TF_Tekniker,L$4,TF_Dato,$A48))*2,0)/2)))</f>
        <v/>
      </c>
      <c r="M48">
        <f>IF(OR(M$4="",$A48&gt;TODAY()),0,IF(OR(INDEX($B48:$D48,M$5)="F",AND(M$6&gt;0,$A48&lt;M$6),AND(M$7&gt;0,$A48&gt;M$7)),0,MAX(0,ROUND((INDEX($E48:$G48,M$5)-SUMIFS(TF_Timer,TF_Tekniker,M$4,TF_Dato,$A48))*2,0)/2)))</f>
        <v/>
      </c>
      <c r="N48">
        <f>IF(OR(N$4="",$A48&gt;TODAY()),0,IF(OR(INDEX($B48:$D48,N$5)="F",AND(N$6&gt;0,$A48&lt;N$6),AND(N$7&gt;0,$A48&gt;N$7)),0,MAX(0,ROUND((INDEX($E48:$G48,N$5)-SUMIFS(TF_Timer,TF_Tekniker,N$4,TF_Dato,$A48))*2,0)/2)))</f>
        <v/>
      </c>
      <c r="O48">
        <f>IF(OR(O$4="",$A48&gt;TODAY()),0,IF(OR(INDEX($B48:$D48,O$5)="F",AND(O$6&gt;0,$A48&lt;O$6),AND(O$7&gt;0,$A48&gt;O$7)),0,MAX(0,ROUND((INDEX($E48:$G48,O$5)-SUMIFS(TF_Timer,TF_Tekniker,O$4,TF_Dato,$A48))*2,0)/2)))</f>
        <v/>
      </c>
      <c r="P48">
        <f>IF(OR(P$4="",$A48&gt;TODAY()),0,IF(OR(INDEX($B48:$D48,P$5)="F",AND(P$6&gt;0,$A48&lt;P$6),AND(P$7&gt;0,$A48&gt;P$7)),0,MAX(0,ROUND((INDEX($E48:$G48,P$5)-SUMIFS(TF_Timer,TF_Tekniker,P$4,TF_Dato,$A48))*2,0)/2)))</f>
        <v/>
      </c>
      <c r="Q48">
        <f>IF(OR(Q$4="",$A48&gt;TODAY()),0,IF(OR(INDEX($B48:$D48,Q$5)="F",AND(Q$6&gt;0,$A48&lt;Q$6),AND(Q$7&gt;0,$A48&gt;Q$7)),0,MAX(0,ROUND((INDEX($E48:$G48,Q$5)-SUMIFS(TF_Timer,TF_Tekniker,Q$4,TF_Dato,$A48))*2,0)/2)))</f>
        <v/>
      </c>
      <c r="R48">
        <f>IF(OR(R$4="",$A48&gt;TODAY()),0,IF(OR(INDEX($B48:$D48,R$5)="F",AND(R$6&gt;0,$A48&lt;R$6),AND(R$7&gt;0,$A48&gt;R$7)),0,MAX(0,ROUND((INDEX($E48:$G48,R$5)-SUMIFS(TF_Timer,TF_Tekniker,R$4,TF_Dato,$A48))*2,0)/2)))</f>
        <v/>
      </c>
      <c r="S48">
        <f>IF(OR(S$4="",$A48&gt;TODAY()),0,IF(OR(INDEX($B48:$D48,S$5)="F",AND(S$6&gt;0,$A48&lt;S$6),AND(S$7&gt;0,$A48&gt;S$7)),0,MAX(0,ROUND((INDEX($E48:$G48,S$5)-SUMIFS(TF_Timer,TF_Tekniker,S$4,TF_Dato,$A48))*2,0)/2)))</f>
        <v/>
      </c>
      <c r="T48">
        <f>IF(OR(T$4="",$A48&gt;TODAY()),0,IF(OR(INDEX($B48:$D48,T$5)="F",AND(T$6&gt;0,$A48&lt;T$6),AND(T$7&gt;0,$A48&gt;T$7)),0,MAX(0,ROUND((INDEX($E48:$G48,T$5)-SUMIFS(TF_Timer,TF_Tekniker,T$4,TF_Dato,$A48))*2,0)/2)))</f>
        <v/>
      </c>
      <c r="U48">
        <f>IF(OR(U$4="",$A48&gt;TODAY()),0,IF(OR(INDEX($B48:$D48,U$5)="F",AND(U$6&gt;0,$A48&lt;U$6),AND(U$7&gt;0,$A48&gt;U$7)),0,MAX(0,ROUND((INDEX($E48:$G48,U$5)-SUMIFS(TF_Timer,TF_Tekniker,U$4,TF_Dato,$A48))*2,0)/2)))</f>
        <v/>
      </c>
      <c r="V48">
        <f>IF(OR(V$4="",$A48&gt;TODAY()),0,IF(OR(INDEX($B48:$D48,V$5)="F",AND(V$6&gt;0,$A48&lt;V$6),AND(V$7&gt;0,$A48&gt;V$7)),0,MAX(0,ROUND((INDEX($E48:$G48,V$5)-SUMIFS(TF_Timer,TF_Tekniker,V$4,TF_Dato,$A48))*2,0)/2)))</f>
        <v/>
      </c>
      <c r="W48">
        <f>IF(OR(W$4="",$A48&gt;TODAY()),0,IF(OR(INDEX($B48:$D48,W$5)="F",AND(W$6&gt;0,$A48&lt;W$6),AND(W$7&gt;0,$A48&gt;W$7)),0,MAX(0,ROUND((INDEX($E48:$G48,W$5)-SUMIFS(TF_Timer,TF_Tekniker,W$4,TF_Dato,$A48))*2,0)/2)))</f>
        <v/>
      </c>
      <c r="X48">
        <f>IF(OR(X$4="",$A48&gt;TODAY()),0,IF(OR(INDEX($B48:$D48,X$5)="F",AND(X$6&gt;0,$A48&lt;X$6),AND(X$7&gt;0,$A48&gt;X$7)),0,MAX(0,ROUND((INDEX($E48:$G48,X$5)-SUMIFS(TF_Timer,TF_Tekniker,X$4,TF_Dato,$A48))*2,0)/2)))</f>
        <v/>
      </c>
      <c r="Y48">
        <f>IF(OR(Y$4="",$A48&gt;TODAY()),0,IF(OR(INDEX($B48:$D48,Y$5)="F",AND(Y$6&gt;0,$A48&lt;Y$6),AND(Y$7&gt;0,$A48&gt;Y$7)),0,MAX(0,ROUND((INDEX($E48:$G48,Y$5)-SUMIFS(TF_Timer,TF_Tekniker,Y$4,TF_Dato,$A48))*2,0)/2)))</f>
        <v/>
      </c>
      <c r="Z48">
        <f>IF(OR(Z$4="",$A48&gt;TODAY()),0,IF(OR(INDEX($B48:$D48,Z$5)="F",AND(Z$6&gt;0,$A48&lt;Z$6),AND(Z$7&gt;0,$A48&gt;Z$7)),0,MAX(0,ROUND((INDEX($E48:$G48,Z$5)-SUMIFS(TF_Timer,TF_Tekniker,Z$4,TF_Dato,$A48))*2,0)/2)))</f>
        <v/>
      </c>
      <c r="AA48">
        <f>IF(OR(AA$4="",$A48&gt;TODAY()),0,IF(OR(INDEX($B48:$D48,AA$5)="F",AND(AA$6&gt;0,$A48&lt;AA$6),AND(AA$7&gt;0,$A48&gt;AA$7)),0,MAX(0,ROUND((INDEX($E48:$G48,AA$5)-SUMIFS(TF_Timer,TF_Tekniker,AA$4,TF_Dato,$A48))*2,0)/2)))</f>
        <v/>
      </c>
      <c r="AB48">
        <f>IF(OR(AB$4="",$A48&gt;TODAY()),0,IF(OR(INDEX($B48:$D48,AB$5)="F",AND(AB$6&gt;0,$A48&lt;AB$6),AND(AB$7&gt;0,$A48&gt;AB$7)),0,MAX(0,ROUND((INDEX($E48:$G48,AB$5)-SUMIFS(TF_Timer,TF_Tekniker,AB$4,TF_Dato,$A48))*2,0)/2)))</f>
        <v/>
      </c>
      <c r="AC48">
        <f>IF(OR(AC$4="",$A48&gt;TODAY()),0,IF(OR(INDEX($B48:$D48,AC$5)="F",AND(AC$6&gt;0,$A48&lt;AC$6),AND(AC$7&gt;0,$A48&gt;AC$7)),0,MAX(0,ROUND((INDEX($E48:$G48,AC$5)-SUMIFS(TF_Timer,TF_Tekniker,AC$4,TF_Dato,$A48))*2,0)/2)))</f>
        <v/>
      </c>
      <c r="AD48">
        <f>IF(OR(AD$4="",$A48&gt;TODAY()),0,IF(OR(INDEX($B48:$D48,AD$5)="F",AND(AD$6&gt;0,$A48&lt;AD$6),AND(AD$7&gt;0,$A48&gt;AD$7)),0,MAX(0,ROUND((INDEX($E48:$G48,AD$5)-SUMIFS(TF_Timer,TF_Tekniker,AD$4,TF_Dato,$A48))*2,0)/2)))</f>
        <v/>
      </c>
      <c r="AE48">
        <f>IF(OR(AE$4="",$A48&gt;TODAY()),0,IF(OR(INDEX($B48:$D48,AE$5)="F",AND(AE$6&gt;0,$A48&lt;AE$6),AND(AE$7&gt;0,$A48&gt;AE$7)),0,MAX(0,ROUND((INDEX($E48:$G48,AE$5)-SUMIFS(TF_Timer,TF_Tekniker,AE$4,TF_Dato,$A48))*2,0)/2)))</f>
        <v/>
      </c>
      <c r="AF48">
        <f>IF(OR(AF$4="",$A48&gt;TODAY()),0,IF(OR(INDEX($B48:$D48,AF$5)="F",AND(AF$6&gt;0,$A48&lt;AF$6),AND(AF$7&gt;0,$A48&gt;AF$7)),0,MAX(0,ROUND((INDEX($E48:$G48,AF$5)-SUMIFS(TF_Timer,TF_Tekniker,AF$4,TF_Dato,$A48))*2,0)/2)))</f>
        <v/>
      </c>
      <c r="AG48">
        <f>IF(OR(AG$4="",$A48&gt;TODAY()),0,IF(OR(INDEX($B48:$D48,AG$5)="F",AND(AG$6&gt;0,$A48&lt;AG$6),AND(AG$7&gt;0,$A48&gt;AG$7)),0,MAX(0,ROUND((INDEX($E48:$G48,AG$5)-SUMIFS(TF_Timer,TF_Tekniker,AG$4,TF_Dato,$A48))*2,0)/2)))</f>
        <v/>
      </c>
      <c r="AH48">
        <f>IF(OR(AH$4="",$A48&gt;TODAY()),0,IF(OR(INDEX($B48:$D48,AH$5)="F",AND(AH$6&gt;0,$A48&lt;AH$6),AND(AH$7&gt;0,$A48&gt;AH$7)),0,MAX(0,ROUND((INDEX($E48:$G48,AH$5)-SUMIFS(TF_Timer,TF_Tekniker,AH$4,TF_Dato,$A48))*2,0)/2)))</f>
        <v/>
      </c>
      <c r="AI48">
        <f>IF(OR(AI$4="",$A48&gt;TODAY()),0,IF(OR(INDEX($B48:$D48,AI$5)="F",AND(AI$6&gt;0,$A48&lt;AI$6),AND(AI$7&gt;0,$A48&gt;AI$7)),0,MAX(0,ROUND((INDEX($E48:$G48,AI$5)-SUMIFS(TF_Timer,TF_Tekniker,AI$4,TF_Dato,$A48))*2,0)/2)))</f>
        <v/>
      </c>
      <c r="AJ48">
        <f>IF(OR(AJ$4="",$A48&gt;TODAY()),0,IF(OR(INDEX($B48:$D48,AJ$5)="F",AND(AJ$6&gt;0,$A48&lt;AJ$6),AND(AJ$7&gt;0,$A48&gt;AJ$7)),0,MAX(0,ROUND((INDEX($E48:$G48,AJ$5)-SUMIFS(TF_Timer,TF_Tekniker,AJ$4,TF_Dato,$A48))*2,0)/2)))</f>
        <v/>
      </c>
      <c r="AK48">
        <f>IF(OR(AK$4="",$A48&gt;TODAY()),0,IF(OR(INDEX($B48:$D48,AK$5)="F",AND(AK$6&gt;0,$A48&lt;AK$6),AND(AK$7&gt;0,$A48&gt;AK$7)),0,MAX(0,ROUND((INDEX($E48:$G48,AK$5)-SUMIFS(TF_Timer,TF_Tekniker,AK$4,TF_Dato,$A48))*2,0)/2)))</f>
        <v/>
      </c>
      <c r="AL48">
        <f>IF(OR(AL$4="",$A48&gt;TODAY()),0,IF(OR(INDEX($B48:$D48,AL$5)="F",AND(AL$6&gt;0,$A48&lt;AL$6),AND(AL$7&gt;0,$A48&gt;AL$7)),0,MAX(0,ROUND((INDEX($E48:$G48,AL$5)-SUMIFS(TF_Timer,TF_Tekniker,AL$4,TF_Dato,$A48))*2,0)/2)))</f>
        <v/>
      </c>
      <c r="AM48">
        <f>IF(OR(AM$4="",$A48&gt;TODAY()),0,IF(OR(INDEX($B48:$D48,AM$5)="F",AND(AM$6&gt;0,$A48&lt;AM$6),AND(AM$7&gt;0,$A48&gt;AM$7)),0,MAX(0,ROUND((INDEX($E48:$G48,AM$5)-SUMIFS(TF_Timer,TF_Tekniker,AM$4,TF_Dato,$A48))*2,0)/2)))</f>
        <v/>
      </c>
      <c r="AN48">
        <f>IF(OR(AN$4="",$A48&gt;TODAY()),0,IF(OR(INDEX($B48:$D48,AN$5)="F",AND(AN$6&gt;0,$A48&lt;AN$6),AND(AN$7&gt;0,$A48&gt;AN$7)),0,MAX(0,ROUND((INDEX($E48:$G48,AN$5)-SUMIFS(TF_Timer,TF_Tekniker,AN$4,TF_Dato,$A48))*2,0)/2)))</f>
        <v/>
      </c>
      <c r="AO48">
        <f>IF(OR(AO$4="",$A48&gt;TODAY()),0,IF(OR(INDEX($B48:$D48,AO$5)="F",AND(AO$6&gt;0,$A48&lt;AO$6),AND(AO$7&gt;0,$A48&gt;AO$7)),0,MAX(0,ROUND((INDEX($E48:$G48,AO$5)-SUMIFS(TF_Timer,TF_Tekniker,AO$4,TF_Dato,$A48))*2,0)/2)))</f>
        <v/>
      </c>
      <c r="AP48">
        <f>IF(OR(AP$4="",$A48&gt;TODAY()),0,IF(OR(INDEX($B48:$D48,AP$5)="F",AND(AP$6&gt;0,$A48&lt;AP$6),AND(AP$7&gt;0,$A48&gt;AP$7)),0,MAX(0,ROUND((INDEX($E48:$G48,AP$5)-SUMIFS(TF_Timer,TF_Tekniker,AP$4,TF_Dato,$A48))*2,0)/2)))</f>
        <v/>
      </c>
      <c r="AQ48">
        <f>IF(OR(AQ$4="",$A48&gt;TODAY()),0,IF(OR(INDEX($B48:$D48,AQ$5)="F",AND(AQ$6&gt;0,$A48&lt;AQ$6),AND(AQ$7&gt;0,$A48&gt;AQ$7)),0,MAX(0,ROUND((INDEX($E48:$G48,AQ$5)-SUMIFS(TF_Timer,TF_Tekniker,AQ$4,TF_Dato,$A48))*2,0)/2)))</f>
        <v/>
      </c>
      <c r="AR48">
        <f>IF(OR(AR$4="",$A48&gt;TODAY()),0,IF(OR(INDEX($B48:$D48,AR$5)="F",AND(AR$6&gt;0,$A48&lt;AR$6),AND(AR$7&gt;0,$A48&gt;AR$7)),0,MAX(0,ROUND((INDEX($E48:$G48,AR$5)-SUMIFS(TF_Timer,TF_Tekniker,AR$4,TF_Dato,$A48))*2,0)/2)))</f>
        <v/>
      </c>
      <c r="AS48">
        <f>IF(OR(AS$4="",$A48&gt;TODAY()),0,IF(OR(INDEX($B48:$D48,AS$5)="F",AND(AS$6&gt;0,$A48&lt;AS$6),AND(AS$7&gt;0,$A48&gt;AS$7)),0,MAX(0,ROUND((INDEX($E48:$G48,AS$5)-SUMIFS(TF_Timer,TF_Tekniker,AS$4,TF_Dato,$A48))*2,0)/2)))</f>
        <v/>
      </c>
      <c r="AT48">
        <f>IF(OR(AT$4="",$A48&gt;TODAY()),0,IF(OR(INDEX($B48:$D48,AT$5)="F",AND(AT$6&gt;0,$A48&lt;AT$6),AND(AT$7&gt;0,$A48&gt;AT$7)),0,MAX(0,ROUND((INDEX($E48:$G48,AT$5)-SUMIFS(TF_Timer,TF_Tekniker,AT$4,TF_Dato,$A48))*2,0)/2)))</f>
        <v/>
      </c>
      <c r="AU48">
        <f>IF(OR(AU$4="",$A48&gt;TODAY()),0,IF(OR(INDEX($B48:$D48,AU$5)="F",AND(AU$6&gt;0,$A48&lt;AU$6),AND(AU$7&gt;0,$A48&gt;AU$7)),0,MAX(0,ROUND((INDEX($E48:$G48,AU$5)-SUMIFS(TF_Timer,TF_Tekniker,AU$4,TF_Dato,$A48))*2,0)/2)))</f>
        <v/>
      </c>
      <c r="AV48">
        <f>IF(OR(AV$4="",$A48&gt;TODAY()),0,IF(OR(INDEX($B48:$D48,AV$5)="F",AND(AV$6&gt;0,$A48&lt;AV$6),AND(AV$7&gt;0,$A48&gt;AV$7)),0,MAX(0,ROUND((INDEX($E48:$G48,AV$5)-SUMIFS(TF_Timer,TF_Tekniker,AV$4,TF_Dato,$A48))*2,0)/2)))</f>
        <v/>
      </c>
      <c r="AW48">
        <f>IF(OR(AW$4="",$A48&gt;TODAY()),0,IF(OR(INDEX($B48:$D48,AW$5)="F",AND(AW$6&gt;0,$A48&lt;AW$6),AND(AW$7&gt;0,$A48&gt;AW$7)),0,MAX(0,ROUND((INDEX($E48:$G48,AW$5)-SUMIFS(TF_Timer,TF_Tekniker,AW$4,TF_Dato,$A48))*2,0)/2)))</f>
        <v/>
      </c>
      <c r="AX48">
        <f>IF(OR(AX$4="",$A48&gt;TODAY()),0,IF(OR(INDEX($B48:$D48,AX$5)="F",AND(AX$6&gt;0,$A48&lt;AX$6),AND(AX$7&gt;0,$A48&gt;AX$7)),0,MAX(0,ROUND((INDEX($E48:$G48,AX$5)-SUMIFS(TF_Timer,TF_Tekniker,AX$4,TF_Dato,$A48))*2,0)/2)))</f>
        <v/>
      </c>
      <c r="AY48">
        <f>IF(OR(AY$4="",$A48&gt;TODAY()),0,IF(OR(INDEX($B48:$D48,AY$5)="F",AND(AY$6&gt;0,$A48&lt;AY$6),AND(AY$7&gt;0,$A48&gt;AY$7)),0,MAX(0,ROUND((INDEX($E48:$G48,AY$5)-SUMIFS(TF_Timer,TF_Tekniker,AY$4,TF_Dato,$A48))*2,0)/2)))</f>
        <v/>
      </c>
      <c r="AZ48">
        <f>IF(OR(AZ$4="",$A48&gt;TODAY()),0,IF(OR(INDEX($B48:$D48,AZ$5)="F",AND(AZ$6&gt;0,$A48&lt;AZ$6),AND(AZ$7&gt;0,$A48&gt;AZ$7)),0,MAX(0,ROUND((INDEX($E48:$G48,AZ$5)-SUMIFS(TF_Timer,TF_Tekniker,AZ$4,TF_Dato,$A48))*2,0)/2)))</f>
        <v/>
      </c>
      <c r="BA48">
        <f>IF(OR(BA$4="",$A48&gt;TODAY()),0,IF(OR(INDEX($B48:$D48,BA$5)="F",AND(BA$6&gt;0,$A48&lt;BA$6),AND(BA$7&gt;0,$A48&gt;BA$7)),0,MAX(0,ROUND((INDEX($E48:$G48,BA$5)-SUMIFS(TF_Timer,TF_Tekniker,BA$4,TF_Dato,$A48))*2,0)/2)))</f>
        <v/>
      </c>
      <c r="BB48">
        <f>IF(OR(BB$4="",$A48&gt;TODAY()),0,IF(OR(INDEX($B48:$D48,BB$5)="F",AND(BB$6&gt;0,$A48&lt;BB$6),AND(BB$7&gt;0,$A48&gt;BB$7)),0,MAX(0,ROUND((INDEX($E48:$G48,BB$5)-SUMIFS(TF_Timer,TF_Tekniker,BB$4,TF_Dato,$A48))*2,0)/2)))</f>
        <v/>
      </c>
      <c r="BC48">
        <f>IF(OR(BC$4="",$A48&gt;TODAY()),0,IF(OR(INDEX($B48:$D48,BC$5)="F",AND(BC$6&gt;0,$A48&lt;BC$6),AND(BC$7&gt;0,$A48&gt;BC$7)),0,MAX(0,ROUND((INDEX($E48:$G48,BC$5)-SUMIFS(TF_Timer,TF_Tekniker,BC$4,TF_Dato,$A48))*2,0)/2)))</f>
        <v/>
      </c>
      <c r="BD48">
        <f>IF(OR(BD$4="",$A48&gt;TODAY()),0,IF(OR(INDEX($B48:$D48,BD$5)="F",AND(BD$6&gt;0,$A48&lt;BD$6),AND(BD$7&gt;0,$A48&gt;BD$7)),0,MAX(0,ROUND((INDEX($E48:$G48,BD$5)-SUMIFS(TF_Timer,TF_Tekniker,BD$4,TF_Dato,$A48))*2,0)/2)))</f>
        <v/>
      </c>
      <c r="BE48">
        <f>IF(OR(BE$4="",$A48&gt;TODAY()),0,IF(OR(INDEX($B48:$D48,BE$5)="F",AND(BE$6&gt;0,$A48&lt;BE$6),AND(BE$7&gt;0,$A48&gt;BE$7)),0,MAX(0,ROUND((INDEX($E48:$G48,BE$5)-SUMIFS(TF_Timer,TF_Tekniker,BE$4,TF_Dato,$A48))*2,0)/2)))</f>
        <v/>
      </c>
      <c r="BF48">
        <f>IF(OR(BF$4="",$A48&gt;TODAY()),0,IF(OR(INDEX($B48:$D48,BF$5)="F",AND(BF$6&gt;0,$A48&lt;BF$6),AND(BF$7&gt;0,$A48&gt;BF$7)),0,MAX(0,ROUND((INDEX($E48:$G48,BF$5)-SUMIFS(TF_Timer,TF_Tekniker,BF$4,TF_Dato,$A48))*2,0)/2)))</f>
        <v/>
      </c>
      <c r="BG48">
        <f>IF(OR(BG$4="",$A48&gt;TODAY()),0,IF(OR(INDEX($B48:$D48,BG$5)="F",AND(BG$6&gt;0,$A48&lt;BG$6),AND(BG$7&gt;0,$A48&gt;BG$7)),0,MAX(0,ROUND((INDEX($E48:$G48,BG$5)-SUMIFS(TF_Timer,TF_Tekniker,BG$4,TF_Dato,$A48))*2,0)/2)))</f>
        <v/>
      </c>
      <c r="BH48">
        <f>IF(OR(BH$4="",$A48&gt;TODAY()),0,IF(OR(INDEX($B48:$D48,BH$5)="F",AND(BH$6&gt;0,$A48&lt;BH$6),AND(BH$7&gt;0,$A48&gt;BH$7)),0,MAX(0,ROUND((INDEX($E48:$G48,BH$5)-SUMIFS(TF_Timer,TF_Tekniker,BH$4,TF_Dato,$A48))*2,0)/2)))</f>
        <v/>
      </c>
      <c r="BI48">
        <f>IF(OR(BI$4="",$A48&gt;TODAY()),0,IF(OR(INDEX($B48:$D48,BI$5)="F",AND(BI$6&gt;0,$A48&lt;BI$6),AND(BI$7&gt;0,$A48&gt;BI$7)),0,MAX(0,ROUND((INDEX($E48:$G48,BI$5)-SUMIFS(TF_Timer,TF_Tekniker,BI$4,TF_Dato,$A48))*2,0)/2)))</f>
        <v/>
      </c>
    </row>
    <row r="49">
      <c r="A49" s="64">
        <f>A48+1</f>
        <v/>
      </c>
      <c r="B49">
        <f>IF(MOD($A49-INDEX(SkiftStart,1),Syklus)&lt;DagK,"K",IF(MOD($A49-INDEX(SkiftStart,1),Syklus)&lt;DagK+DagH,"H",IF(MOD($A49-INDEX(SkiftStart,1),Syklus)&lt;DagK+DagH+DagD,"D","F")))</f>
        <v/>
      </c>
      <c r="C49">
        <f>IF(MOD($A49-INDEX(SkiftStart,2),Syklus)&lt;DagK,"K",IF(MOD($A49-INDEX(SkiftStart,2),Syklus)&lt;DagK+DagH,"H",IF(MOD($A49-INDEX(SkiftStart,2),Syklus)&lt;DagK+DagH+DagD,"D","F")))</f>
        <v/>
      </c>
      <c r="D49">
        <f>IF(MOD($A49-INDEX(SkiftStart,3),Syklus)&lt;DagK,"K",IF(MOD($A49-INDEX(SkiftStart,3),Syklus)&lt;DagK+DagH,"H",IF(MOD($A49-INDEX(SkiftStart,3),Syklus)&lt;DagK+DagH+DagD,"D","F")))</f>
        <v/>
      </c>
      <c r="E49">
        <f>IF(B49="F",0,IF(WEEKDAY($A49,2)=5,INDEX(TimerFr,MATCH(B49,FaseKode,0)),INDEX(TimerMT,MATCH(B49,FaseKode,0))))</f>
        <v/>
      </c>
      <c r="F49">
        <f>IF(C49="F",0,IF(WEEKDAY($A49,2)=5,INDEX(TimerFr,MATCH(C49,FaseKode,0)),INDEX(TimerMT,MATCH(C49,FaseKode,0))))</f>
        <v/>
      </c>
      <c r="G49">
        <f>IF(D49="F",0,IF(WEEKDAY($A49,2)=5,INDEX(TimerFr,MATCH(D49,FaseKode,0)),INDEX(TimerMT,MATCH(D49,FaseKode,0))))</f>
        <v/>
      </c>
      <c r="H49">
        <f>IF(OR(H$4="",$A49&gt;TODAY()),0,IF(OR(INDEX($B49:$D49,H$5)="F",AND(H$6&gt;0,$A49&lt;H$6),AND(H$7&gt;0,$A49&gt;H$7)),0,MAX(0,ROUND((INDEX($E49:$G49,H$5)-SUMIFS(TF_Timer,TF_Tekniker,H$4,TF_Dato,$A49))*2,0)/2)))</f>
        <v/>
      </c>
      <c r="I49">
        <f>IF(OR(I$4="",$A49&gt;TODAY()),0,IF(OR(INDEX($B49:$D49,I$5)="F",AND(I$6&gt;0,$A49&lt;I$6),AND(I$7&gt;0,$A49&gt;I$7)),0,MAX(0,ROUND((INDEX($E49:$G49,I$5)-SUMIFS(TF_Timer,TF_Tekniker,I$4,TF_Dato,$A49))*2,0)/2)))</f>
        <v/>
      </c>
      <c r="J49">
        <f>IF(OR(J$4="",$A49&gt;TODAY()),0,IF(OR(INDEX($B49:$D49,J$5)="F",AND(J$6&gt;0,$A49&lt;J$6),AND(J$7&gt;0,$A49&gt;J$7)),0,MAX(0,ROUND((INDEX($E49:$G49,J$5)-SUMIFS(TF_Timer,TF_Tekniker,J$4,TF_Dato,$A49))*2,0)/2)))</f>
        <v/>
      </c>
      <c r="K49">
        <f>IF(OR(K$4="",$A49&gt;TODAY()),0,IF(OR(INDEX($B49:$D49,K$5)="F",AND(K$6&gt;0,$A49&lt;K$6),AND(K$7&gt;0,$A49&gt;K$7)),0,MAX(0,ROUND((INDEX($E49:$G49,K$5)-SUMIFS(TF_Timer,TF_Tekniker,K$4,TF_Dato,$A49))*2,0)/2)))</f>
        <v/>
      </c>
      <c r="L49">
        <f>IF(OR(L$4="",$A49&gt;TODAY()),0,IF(OR(INDEX($B49:$D49,L$5)="F",AND(L$6&gt;0,$A49&lt;L$6),AND(L$7&gt;0,$A49&gt;L$7)),0,MAX(0,ROUND((INDEX($E49:$G49,L$5)-SUMIFS(TF_Timer,TF_Tekniker,L$4,TF_Dato,$A49))*2,0)/2)))</f>
        <v/>
      </c>
      <c r="M49">
        <f>IF(OR(M$4="",$A49&gt;TODAY()),0,IF(OR(INDEX($B49:$D49,M$5)="F",AND(M$6&gt;0,$A49&lt;M$6),AND(M$7&gt;0,$A49&gt;M$7)),0,MAX(0,ROUND((INDEX($E49:$G49,M$5)-SUMIFS(TF_Timer,TF_Tekniker,M$4,TF_Dato,$A49))*2,0)/2)))</f>
        <v/>
      </c>
      <c r="N49">
        <f>IF(OR(N$4="",$A49&gt;TODAY()),0,IF(OR(INDEX($B49:$D49,N$5)="F",AND(N$6&gt;0,$A49&lt;N$6),AND(N$7&gt;0,$A49&gt;N$7)),0,MAX(0,ROUND((INDEX($E49:$G49,N$5)-SUMIFS(TF_Timer,TF_Tekniker,N$4,TF_Dato,$A49))*2,0)/2)))</f>
        <v/>
      </c>
      <c r="O49">
        <f>IF(OR(O$4="",$A49&gt;TODAY()),0,IF(OR(INDEX($B49:$D49,O$5)="F",AND(O$6&gt;0,$A49&lt;O$6),AND(O$7&gt;0,$A49&gt;O$7)),0,MAX(0,ROUND((INDEX($E49:$G49,O$5)-SUMIFS(TF_Timer,TF_Tekniker,O$4,TF_Dato,$A49))*2,0)/2)))</f>
        <v/>
      </c>
      <c r="P49">
        <f>IF(OR(P$4="",$A49&gt;TODAY()),0,IF(OR(INDEX($B49:$D49,P$5)="F",AND(P$6&gt;0,$A49&lt;P$6),AND(P$7&gt;0,$A49&gt;P$7)),0,MAX(0,ROUND((INDEX($E49:$G49,P$5)-SUMIFS(TF_Timer,TF_Tekniker,P$4,TF_Dato,$A49))*2,0)/2)))</f>
        <v/>
      </c>
      <c r="Q49">
        <f>IF(OR(Q$4="",$A49&gt;TODAY()),0,IF(OR(INDEX($B49:$D49,Q$5)="F",AND(Q$6&gt;0,$A49&lt;Q$6),AND(Q$7&gt;0,$A49&gt;Q$7)),0,MAX(0,ROUND((INDEX($E49:$G49,Q$5)-SUMIFS(TF_Timer,TF_Tekniker,Q$4,TF_Dato,$A49))*2,0)/2)))</f>
        <v/>
      </c>
      <c r="R49">
        <f>IF(OR(R$4="",$A49&gt;TODAY()),0,IF(OR(INDEX($B49:$D49,R$5)="F",AND(R$6&gt;0,$A49&lt;R$6),AND(R$7&gt;0,$A49&gt;R$7)),0,MAX(0,ROUND((INDEX($E49:$G49,R$5)-SUMIFS(TF_Timer,TF_Tekniker,R$4,TF_Dato,$A49))*2,0)/2)))</f>
        <v/>
      </c>
      <c r="S49">
        <f>IF(OR(S$4="",$A49&gt;TODAY()),0,IF(OR(INDEX($B49:$D49,S$5)="F",AND(S$6&gt;0,$A49&lt;S$6),AND(S$7&gt;0,$A49&gt;S$7)),0,MAX(0,ROUND((INDEX($E49:$G49,S$5)-SUMIFS(TF_Timer,TF_Tekniker,S$4,TF_Dato,$A49))*2,0)/2)))</f>
        <v/>
      </c>
      <c r="T49">
        <f>IF(OR(T$4="",$A49&gt;TODAY()),0,IF(OR(INDEX($B49:$D49,T$5)="F",AND(T$6&gt;0,$A49&lt;T$6),AND(T$7&gt;0,$A49&gt;T$7)),0,MAX(0,ROUND((INDEX($E49:$G49,T$5)-SUMIFS(TF_Timer,TF_Tekniker,T$4,TF_Dato,$A49))*2,0)/2)))</f>
        <v/>
      </c>
      <c r="U49">
        <f>IF(OR(U$4="",$A49&gt;TODAY()),0,IF(OR(INDEX($B49:$D49,U$5)="F",AND(U$6&gt;0,$A49&lt;U$6),AND(U$7&gt;0,$A49&gt;U$7)),0,MAX(0,ROUND((INDEX($E49:$G49,U$5)-SUMIFS(TF_Timer,TF_Tekniker,U$4,TF_Dato,$A49))*2,0)/2)))</f>
        <v/>
      </c>
      <c r="V49">
        <f>IF(OR(V$4="",$A49&gt;TODAY()),0,IF(OR(INDEX($B49:$D49,V$5)="F",AND(V$6&gt;0,$A49&lt;V$6),AND(V$7&gt;0,$A49&gt;V$7)),0,MAX(0,ROUND((INDEX($E49:$G49,V$5)-SUMIFS(TF_Timer,TF_Tekniker,V$4,TF_Dato,$A49))*2,0)/2)))</f>
        <v/>
      </c>
      <c r="W49">
        <f>IF(OR(W$4="",$A49&gt;TODAY()),0,IF(OR(INDEX($B49:$D49,W$5)="F",AND(W$6&gt;0,$A49&lt;W$6),AND(W$7&gt;0,$A49&gt;W$7)),0,MAX(0,ROUND((INDEX($E49:$G49,W$5)-SUMIFS(TF_Timer,TF_Tekniker,W$4,TF_Dato,$A49))*2,0)/2)))</f>
        <v/>
      </c>
      <c r="X49">
        <f>IF(OR(X$4="",$A49&gt;TODAY()),0,IF(OR(INDEX($B49:$D49,X$5)="F",AND(X$6&gt;0,$A49&lt;X$6),AND(X$7&gt;0,$A49&gt;X$7)),0,MAX(0,ROUND((INDEX($E49:$G49,X$5)-SUMIFS(TF_Timer,TF_Tekniker,X$4,TF_Dato,$A49))*2,0)/2)))</f>
        <v/>
      </c>
      <c r="Y49">
        <f>IF(OR(Y$4="",$A49&gt;TODAY()),0,IF(OR(INDEX($B49:$D49,Y$5)="F",AND(Y$6&gt;0,$A49&lt;Y$6),AND(Y$7&gt;0,$A49&gt;Y$7)),0,MAX(0,ROUND((INDEX($E49:$G49,Y$5)-SUMIFS(TF_Timer,TF_Tekniker,Y$4,TF_Dato,$A49))*2,0)/2)))</f>
        <v/>
      </c>
      <c r="Z49">
        <f>IF(OR(Z$4="",$A49&gt;TODAY()),0,IF(OR(INDEX($B49:$D49,Z$5)="F",AND(Z$6&gt;0,$A49&lt;Z$6),AND(Z$7&gt;0,$A49&gt;Z$7)),0,MAX(0,ROUND((INDEX($E49:$G49,Z$5)-SUMIFS(TF_Timer,TF_Tekniker,Z$4,TF_Dato,$A49))*2,0)/2)))</f>
        <v/>
      </c>
      <c r="AA49">
        <f>IF(OR(AA$4="",$A49&gt;TODAY()),0,IF(OR(INDEX($B49:$D49,AA$5)="F",AND(AA$6&gt;0,$A49&lt;AA$6),AND(AA$7&gt;0,$A49&gt;AA$7)),0,MAX(0,ROUND((INDEX($E49:$G49,AA$5)-SUMIFS(TF_Timer,TF_Tekniker,AA$4,TF_Dato,$A49))*2,0)/2)))</f>
        <v/>
      </c>
      <c r="AB49">
        <f>IF(OR(AB$4="",$A49&gt;TODAY()),0,IF(OR(INDEX($B49:$D49,AB$5)="F",AND(AB$6&gt;0,$A49&lt;AB$6),AND(AB$7&gt;0,$A49&gt;AB$7)),0,MAX(0,ROUND((INDEX($E49:$G49,AB$5)-SUMIFS(TF_Timer,TF_Tekniker,AB$4,TF_Dato,$A49))*2,0)/2)))</f>
        <v/>
      </c>
      <c r="AC49">
        <f>IF(OR(AC$4="",$A49&gt;TODAY()),0,IF(OR(INDEX($B49:$D49,AC$5)="F",AND(AC$6&gt;0,$A49&lt;AC$6),AND(AC$7&gt;0,$A49&gt;AC$7)),0,MAX(0,ROUND((INDEX($E49:$G49,AC$5)-SUMIFS(TF_Timer,TF_Tekniker,AC$4,TF_Dato,$A49))*2,0)/2)))</f>
        <v/>
      </c>
      <c r="AD49">
        <f>IF(OR(AD$4="",$A49&gt;TODAY()),0,IF(OR(INDEX($B49:$D49,AD$5)="F",AND(AD$6&gt;0,$A49&lt;AD$6),AND(AD$7&gt;0,$A49&gt;AD$7)),0,MAX(0,ROUND((INDEX($E49:$G49,AD$5)-SUMIFS(TF_Timer,TF_Tekniker,AD$4,TF_Dato,$A49))*2,0)/2)))</f>
        <v/>
      </c>
      <c r="AE49">
        <f>IF(OR(AE$4="",$A49&gt;TODAY()),0,IF(OR(INDEX($B49:$D49,AE$5)="F",AND(AE$6&gt;0,$A49&lt;AE$6),AND(AE$7&gt;0,$A49&gt;AE$7)),0,MAX(0,ROUND((INDEX($E49:$G49,AE$5)-SUMIFS(TF_Timer,TF_Tekniker,AE$4,TF_Dato,$A49))*2,0)/2)))</f>
        <v/>
      </c>
      <c r="AF49">
        <f>IF(OR(AF$4="",$A49&gt;TODAY()),0,IF(OR(INDEX($B49:$D49,AF$5)="F",AND(AF$6&gt;0,$A49&lt;AF$6),AND(AF$7&gt;0,$A49&gt;AF$7)),0,MAX(0,ROUND((INDEX($E49:$G49,AF$5)-SUMIFS(TF_Timer,TF_Tekniker,AF$4,TF_Dato,$A49))*2,0)/2)))</f>
        <v/>
      </c>
      <c r="AG49">
        <f>IF(OR(AG$4="",$A49&gt;TODAY()),0,IF(OR(INDEX($B49:$D49,AG$5)="F",AND(AG$6&gt;0,$A49&lt;AG$6),AND(AG$7&gt;0,$A49&gt;AG$7)),0,MAX(0,ROUND((INDEX($E49:$G49,AG$5)-SUMIFS(TF_Timer,TF_Tekniker,AG$4,TF_Dato,$A49))*2,0)/2)))</f>
        <v/>
      </c>
      <c r="AH49">
        <f>IF(OR(AH$4="",$A49&gt;TODAY()),0,IF(OR(INDEX($B49:$D49,AH$5)="F",AND(AH$6&gt;0,$A49&lt;AH$6),AND(AH$7&gt;0,$A49&gt;AH$7)),0,MAX(0,ROUND((INDEX($E49:$G49,AH$5)-SUMIFS(TF_Timer,TF_Tekniker,AH$4,TF_Dato,$A49))*2,0)/2)))</f>
        <v/>
      </c>
      <c r="AI49">
        <f>IF(OR(AI$4="",$A49&gt;TODAY()),0,IF(OR(INDEX($B49:$D49,AI$5)="F",AND(AI$6&gt;0,$A49&lt;AI$6),AND(AI$7&gt;0,$A49&gt;AI$7)),0,MAX(0,ROUND((INDEX($E49:$G49,AI$5)-SUMIFS(TF_Timer,TF_Tekniker,AI$4,TF_Dato,$A49))*2,0)/2)))</f>
        <v/>
      </c>
      <c r="AJ49">
        <f>IF(OR(AJ$4="",$A49&gt;TODAY()),0,IF(OR(INDEX($B49:$D49,AJ$5)="F",AND(AJ$6&gt;0,$A49&lt;AJ$6),AND(AJ$7&gt;0,$A49&gt;AJ$7)),0,MAX(0,ROUND((INDEX($E49:$G49,AJ$5)-SUMIFS(TF_Timer,TF_Tekniker,AJ$4,TF_Dato,$A49))*2,0)/2)))</f>
        <v/>
      </c>
      <c r="AK49">
        <f>IF(OR(AK$4="",$A49&gt;TODAY()),0,IF(OR(INDEX($B49:$D49,AK$5)="F",AND(AK$6&gt;0,$A49&lt;AK$6),AND(AK$7&gt;0,$A49&gt;AK$7)),0,MAX(0,ROUND((INDEX($E49:$G49,AK$5)-SUMIFS(TF_Timer,TF_Tekniker,AK$4,TF_Dato,$A49))*2,0)/2)))</f>
        <v/>
      </c>
      <c r="AL49">
        <f>IF(OR(AL$4="",$A49&gt;TODAY()),0,IF(OR(INDEX($B49:$D49,AL$5)="F",AND(AL$6&gt;0,$A49&lt;AL$6),AND(AL$7&gt;0,$A49&gt;AL$7)),0,MAX(0,ROUND((INDEX($E49:$G49,AL$5)-SUMIFS(TF_Timer,TF_Tekniker,AL$4,TF_Dato,$A49))*2,0)/2)))</f>
        <v/>
      </c>
      <c r="AM49">
        <f>IF(OR(AM$4="",$A49&gt;TODAY()),0,IF(OR(INDEX($B49:$D49,AM$5)="F",AND(AM$6&gt;0,$A49&lt;AM$6),AND(AM$7&gt;0,$A49&gt;AM$7)),0,MAX(0,ROUND((INDEX($E49:$G49,AM$5)-SUMIFS(TF_Timer,TF_Tekniker,AM$4,TF_Dato,$A49))*2,0)/2)))</f>
        <v/>
      </c>
      <c r="AN49">
        <f>IF(OR(AN$4="",$A49&gt;TODAY()),0,IF(OR(INDEX($B49:$D49,AN$5)="F",AND(AN$6&gt;0,$A49&lt;AN$6),AND(AN$7&gt;0,$A49&gt;AN$7)),0,MAX(0,ROUND((INDEX($E49:$G49,AN$5)-SUMIFS(TF_Timer,TF_Tekniker,AN$4,TF_Dato,$A49))*2,0)/2)))</f>
        <v/>
      </c>
      <c r="AO49">
        <f>IF(OR(AO$4="",$A49&gt;TODAY()),0,IF(OR(INDEX($B49:$D49,AO$5)="F",AND(AO$6&gt;0,$A49&lt;AO$6),AND(AO$7&gt;0,$A49&gt;AO$7)),0,MAX(0,ROUND((INDEX($E49:$G49,AO$5)-SUMIFS(TF_Timer,TF_Tekniker,AO$4,TF_Dato,$A49))*2,0)/2)))</f>
        <v/>
      </c>
      <c r="AP49">
        <f>IF(OR(AP$4="",$A49&gt;TODAY()),0,IF(OR(INDEX($B49:$D49,AP$5)="F",AND(AP$6&gt;0,$A49&lt;AP$6),AND(AP$7&gt;0,$A49&gt;AP$7)),0,MAX(0,ROUND((INDEX($E49:$G49,AP$5)-SUMIFS(TF_Timer,TF_Tekniker,AP$4,TF_Dato,$A49))*2,0)/2)))</f>
        <v/>
      </c>
      <c r="AQ49">
        <f>IF(OR(AQ$4="",$A49&gt;TODAY()),0,IF(OR(INDEX($B49:$D49,AQ$5)="F",AND(AQ$6&gt;0,$A49&lt;AQ$6),AND(AQ$7&gt;0,$A49&gt;AQ$7)),0,MAX(0,ROUND((INDEX($E49:$G49,AQ$5)-SUMIFS(TF_Timer,TF_Tekniker,AQ$4,TF_Dato,$A49))*2,0)/2)))</f>
        <v/>
      </c>
      <c r="AR49">
        <f>IF(OR(AR$4="",$A49&gt;TODAY()),0,IF(OR(INDEX($B49:$D49,AR$5)="F",AND(AR$6&gt;0,$A49&lt;AR$6),AND(AR$7&gt;0,$A49&gt;AR$7)),0,MAX(0,ROUND((INDEX($E49:$G49,AR$5)-SUMIFS(TF_Timer,TF_Tekniker,AR$4,TF_Dato,$A49))*2,0)/2)))</f>
        <v/>
      </c>
      <c r="AS49">
        <f>IF(OR(AS$4="",$A49&gt;TODAY()),0,IF(OR(INDEX($B49:$D49,AS$5)="F",AND(AS$6&gt;0,$A49&lt;AS$6),AND(AS$7&gt;0,$A49&gt;AS$7)),0,MAX(0,ROUND((INDEX($E49:$G49,AS$5)-SUMIFS(TF_Timer,TF_Tekniker,AS$4,TF_Dato,$A49))*2,0)/2)))</f>
        <v/>
      </c>
      <c r="AT49">
        <f>IF(OR(AT$4="",$A49&gt;TODAY()),0,IF(OR(INDEX($B49:$D49,AT$5)="F",AND(AT$6&gt;0,$A49&lt;AT$6),AND(AT$7&gt;0,$A49&gt;AT$7)),0,MAX(0,ROUND((INDEX($E49:$G49,AT$5)-SUMIFS(TF_Timer,TF_Tekniker,AT$4,TF_Dato,$A49))*2,0)/2)))</f>
        <v/>
      </c>
      <c r="AU49">
        <f>IF(OR(AU$4="",$A49&gt;TODAY()),0,IF(OR(INDEX($B49:$D49,AU$5)="F",AND(AU$6&gt;0,$A49&lt;AU$6),AND(AU$7&gt;0,$A49&gt;AU$7)),0,MAX(0,ROUND((INDEX($E49:$G49,AU$5)-SUMIFS(TF_Timer,TF_Tekniker,AU$4,TF_Dato,$A49))*2,0)/2)))</f>
        <v/>
      </c>
      <c r="AV49">
        <f>IF(OR(AV$4="",$A49&gt;TODAY()),0,IF(OR(INDEX($B49:$D49,AV$5)="F",AND(AV$6&gt;0,$A49&lt;AV$6),AND(AV$7&gt;0,$A49&gt;AV$7)),0,MAX(0,ROUND((INDEX($E49:$G49,AV$5)-SUMIFS(TF_Timer,TF_Tekniker,AV$4,TF_Dato,$A49))*2,0)/2)))</f>
        <v/>
      </c>
      <c r="AW49">
        <f>IF(OR(AW$4="",$A49&gt;TODAY()),0,IF(OR(INDEX($B49:$D49,AW$5)="F",AND(AW$6&gt;0,$A49&lt;AW$6),AND(AW$7&gt;0,$A49&gt;AW$7)),0,MAX(0,ROUND((INDEX($E49:$G49,AW$5)-SUMIFS(TF_Timer,TF_Tekniker,AW$4,TF_Dato,$A49))*2,0)/2)))</f>
        <v/>
      </c>
      <c r="AX49">
        <f>IF(OR(AX$4="",$A49&gt;TODAY()),0,IF(OR(INDEX($B49:$D49,AX$5)="F",AND(AX$6&gt;0,$A49&lt;AX$6),AND(AX$7&gt;0,$A49&gt;AX$7)),0,MAX(0,ROUND((INDEX($E49:$G49,AX$5)-SUMIFS(TF_Timer,TF_Tekniker,AX$4,TF_Dato,$A49))*2,0)/2)))</f>
        <v/>
      </c>
      <c r="AY49">
        <f>IF(OR(AY$4="",$A49&gt;TODAY()),0,IF(OR(INDEX($B49:$D49,AY$5)="F",AND(AY$6&gt;0,$A49&lt;AY$6),AND(AY$7&gt;0,$A49&gt;AY$7)),0,MAX(0,ROUND((INDEX($E49:$G49,AY$5)-SUMIFS(TF_Timer,TF_Tekniker,AY$4,TF_Dato,$A49))*2,0)/2)))</f>
        <v/>
      </c>
      <c r="AZ49">
        <f>IF(OR(AZ$4="",$A49&gt;TODAY()),0,IF(OR(INDEX($B49:$D49,AZ$5)="F",AND(AZ$6&gt;0,$A49&lt;AZ$6),AND(AZ$7&gt;0,$A49&gt;AZ$7)),0,MAX(0,ROUND((INDEX($E49:$G49,AZ$5)-SUMIFS(TF_Timer,TF_Tekniker,AZ$4,TF_Dato,$A49))*2,0)/2)))</f>
        <v/>
      </c>
      <c r="BA49">
        <f>IF(OR(BA$4="",$A49&gt;TODAY()),0,IF(OR(INDEX($B49:$D49,BA$5)="F",AND(BA$6&gt;0,$A49&lt;BA$6),AND(BA$7&gt;0,$A49&gt;BA$7)),0,MAX(0,ROUND((INDEX($E49:$G49,BA$5)-SUMIFS(TF_Timer,TF_Tekniker,BA$4,TF_Dato,$A49))*2,0)/2)))</f>
        <v/>
      </c>
      <c r="BB49">
        <f>IF(OR(BB$4="",$A49&gt;TODAY()),0,IF(OR(INDEX($B49:$D49,BB$5)="F",AND(BB$6&gt;0,$A49&lt;BB$6),AND(BB$7&gt;0,$A49&gt;BB$7)),0,MAX(0,ROUND((INDEX($E49:$G49,BB$5)-SUMIFS(TF_Timer,TF_Tekniker,BB$4,TF_Dato,$A49))*2,0)/2)))</f>
        <v/>
      </c>
      <c r="BC49">
        <f>IF(OR(BC$4="",$A49&gt;TODAY()),0,IF(OR(INDEX($B49:$D49,BC$5)="F",AND(BC$6&gt;0,$A49&lt;BC$6),AND(BC$7&gt;0,$A49&gt;BC$7)),0,MAX(0,ROUND((INDEX($E49:$G49,BC$5)-SUMIFS(TF_Timer,TF_Tekniker,BC$4,TF_Dato,$A49))*2,0)/2)))</f>
        <v/>
      </c>
      <c r="BD49">
        <f>IF(OR(BD$4="",$A49&gt;TODAY()),0,IF(OR(INDEX($B49:$D49,BD$5)="F",AND(BD$6&gt;0,$A49&lt;BD$6),AND(BD$7&gt;0,$A49&gt;BD$7)),0,MAX(0,ROUND((INDEX($E49:$G49,BD$5)-SUMIFS(TF_Timer,TF_Tekniker,BD$4,TF_Dato,$A49))*2,0)/2)))</f>
        <v/>
      </c>
      <c r="BE49">
        <f>IF(OR(BE$4="",$A49&gt;TODAY()),0,IF(OR(INDEX($B49:$D49,BE$5)="F",AND(BE$6&gt;0,$A49&lt;BE$6),AND(BE$7&gt;0,$A49&gt;BE$7)),0,MAX(0,ROUND((INDEX($E49:$G49,BE$5)-SUMIFS(TF_Timer,TF_Tekniker,BE$4,TF_Dato,$A49))*2,0)/2)))</f>
        <v/>
      </c>
      <c r="BF49">
        <f>IF(OR(BF$4="",$A49&gt;TODAY()),0,IF(OR(INDEX($B49:$D49,BF$5)="F",AND(BF$6&gt;0,$A49&lt;BF$6),AND(BF$7&gt;0,$A49&gt;BF$7)),0,MAX(0,ROUND((INDEX($E49:$G49,BF$5)-SUMIFS(TF_Timer,TF_Tekniker,BF$4,TF_Dato,$A49))*2,0)/2)))</f>
        <v/>
      </c>
      <c r="BG49">
        <f>IF(OR(BG$4="",$A49&gt;TODAY()),0,IF(OR(INDEX($B49:$D49,BG$5)="F",AND(BG$6&gt;0,$A49&lt;BG$6),AND(BG$7&gt;0,$A49&gt;BG$7)),0,MAX(0,ROUND((INDEX($E49:$G49,BG$5)-SUMIFS(TF_Timer,TF_Tekniker,BG$4,TF_Dato,$A49))*2,0)/2)))</f>
        <v/>
      </c>
      <c r="BH49">
        <f>IF(OR(BH$4="",$A49&gt;TODAY()),0,IF(OR(INDEX($B49:$D49,BH$5)="F",AND(BH$6&gt;0,$A49&lt;BH$6),AND(BH$7&gt;0,$A49&gt;BH$7)),0,MAX(0,ROUND((INDEX($E49:$G49,BH$5)-SUMIFS(TF_Timer,TF_Tekniker,BH$4,TF_Dato,$A49))*2,0)/2)))</f>
        <v/>
      </c>
      <c r="BI49">
        <f>IF(OR(BI$4="",$A49&gt;TODAY()),0,IF(OR(INDEX($B49:$D49,BI$5)="F",AND(BI$6&gt;0,$A49&lt;BI$6),AND(BI$7&gt;0,$A49&gt;BI$7)),0,MAX(0,ROUND((INDEX($E49:$G49,BI$5)-SUMIFS(TF_Timer,TF_Tekniker,BI$4,TF_Dato,$A49))*2,0)/2)))</f>
        <v/>
      </c>
    </row>
    <row r="50">
      <c r="A50" s="64">
        <f>A49+1</f>
        <v/>
      </c>
      <c r="B50">
        <f>IF(MOD($A50-INDEX(SkiftStart,1),Syklus)&lt;DagK,"K",IF(MOD($A50-INDEX(SkiftStart,1),Syklus)&lt;DagK+DagH,"H",IF(MOD($A50-INDEX(SkiftStart,1),Syklus)&lt;DagK+DagH+DagD,"D","F")))</f>
        <v/>
      </c>
      <c r="C50">
        <f>IF(MOD($A50-INDEX(SkiftStart,2),Syklus)&lt;DagK,"K",IF(MOD($A50-INDEX(SkiftStart,2),Syklus)&lt;DagK+DagH,"H",IF(MOD($A50-INDEX(SkiftStart,2),Syklus)&lt;DagK+DagH+DagD,"D","F")))</f>
        <v/>
      </c>
      <c r="D50">
        <f>IF(MOD($A50-INDEX(SkiftStart,3),Syklus)&lt;DagK,"K",IF(MOD($A50-INDEX(SkiftStart,3),Syklus)&lt;DagK+DagH,"H",IF(MOD($A50-INDEX(SkiftStart,3),Syklus)&lt;DagK+DagH+DagD,"D","F")))</f>
        <v/>
      </c>
      <c r="E50">
        <f>IF(B50="F",0,IF(WEEKDAY($A50,2)=5,INDEX(TimerFr,MATCH(B50,FaseKode,0)),INDEX(TimerMT,MATCH(B50,FaseKode,0))))</f>
        <v/>
      </c>
      <c r="F50">
        <f>IF(C50="F",0,IF(WEEKDAY($A50,2)=5,INDEX(TimerFr,MATCH(C50,FaseKode,0)),INDEX(TimerMT,MATCH(C50,FaseKode,0))))</f>
        <v/>
      </c>
      <c r="G50">
        <f>IF(D50="F",0,IF(WEEKDAY($A50,2)=5,INDEX(TimerFr,MATCH(D50,FaseKode,0)),INDEX(TimerMT,MATCH(D50,FaseKode,0))))</f>
        <v/>
      </c>
      <c r="H50">
        <f>IF(OR(H$4="",$A50&gt;TODAY()),0,IF(OR(INDEX($B50:$D50,H$5)="F",AND(H$6&gt;0,$A50&lt;H$6),AND(H$7&gt;0,$A50&gt;H$7)),0,MAX(0,ROUND((INDEX($E50:$G50,H$5)-SUMIFS(TF_Timer,TF_Tekniker,H$4,TF_Dato,$A50))*2,0)/2)))</f>
        <v/>
      </c>
      <c r="I50">
        <f>IF(OR(I$4="",$A50&gt;TODAY()),0,IF(OR(INDEX($B50:$D50,I$5)="F",AND(I$6&gt;0,$A50&lt;I$6),AND(I$7&gt;0,$A50&gt;I$7)),0,MAX(0,ROUND((INDEX($E50:$G50,I$5)-SUMIFS(TF_Timer,TF_Tekniker,I$4,TF_Dato,$A50))*2,0)/2)))</f>
        <v/>
      </c>
      <c r="J50">
        <f>IF(OR(J$4="",$A50&gt;TODAY()),0,IF(OR(INDEX($B50:$D50,J$5)="F",AND(J$6&gt;0,$A50&lt;J$6),AND(J$7&gt;0,$A50&gt;J$7)),0,MAX(0,ROUND((INDEX($E50:$G50,J$5)-SUMIFS(TF_Timer,TF_Tekniker,J$4,TF_Dato,$A50))*2,0)/2)))</f>
        <v/>
      </c>
      <c r="K50">
        <f>IF(OR(K$4="",$A50&gt;TODAY()),0,IF(OR(INDEX($B50:$D50,K$5)="F",AND(K$6&gt;0,$A50&lt;K$6),AND(K$7&gt;0,$A50&gt;K$7)),0,MAX(0,ROUND((INDEX($E50:$G50,K$5)-SUMIFS(TF_Timer,TF_Tekniker,K$4,TF_Dato,$A50))*2,0)/2)))</f>
        <v/>
      </c>
      <c r="L50">
        <f>IF(OR(L$4="",$A50&gt;TODAY()),0,IF(OR(INDEX($B50:$D50,L$5)="F",AND(L$6&gt;0,$A50&lt;L$6),AND(L$7&gt;0,$A50&gt;L$7)),0,MAX(0,ROUND((INDEX($E50:$G50,L$5)-SUMIFS(TF_Timer,TF_Tekniker,L$4,TF_Dato,$A50))*2,0)/2)))</f>
        <v/>
      </c>
      <c r="M50">
        <f>IF(OR(M$4="",$A50&gt;TODAY()),0,IF(OR(INDEX($B50:$D50,M$5)="F",AND(M$6&gt;0,$A50&lt;M$6),AND(M$7&gt;0,$A50&gt;M$7)),0,MAX(0,ROUND((INDEX($E50:$G50,M$5)-SUMIFS(TF_Timer,TF_Tekniker,M$4,TF_Dato,$A50))*2,0)/2)))</f>
        <v/>
      </c>
      <c r="N50">
        <f>IF(OR(N$4="",$A50&gt;TODAY()),0,IF(OR(INDEX($B50:$D50,N$5)="F",AND(N$6&gt;0,$A50&lt;N$6),AND(N$7&gt;0,$A50&gt;N$7)),0,MAX(0,ROUND((INDEX($E50:$G50,N$5)-SUMIFS(TF_Timer,TF_Tekniker,N$4,TF_Dato,$A50))*2,0)/2)))</f>
        <v/>
      </c>
      <c r="O50">
        <f>IF(OR(O$4="",$A50&gt;TODAY()),0,IF(OR(INDEX($B50:$D50,O$5)="F",AND(O$6&gt;0,$A50&lt;O$6),AND(O$7&gt;0,$A50&gt;O$7)),0,MAX(0,ROUND((INDEX($E50:$G50,O$5)-SUMIFS(TF_Timer,TF_Tekniker,O$4,TF_Dato,$A50))*2,0)/2)))</f>
        <v/>
      </c>
      <c r="P50">
        <f>IF(OR(P$4="",$A50&gt;TODAY()),0,IF(OR(INDEX($B50:$D50,P$5)="F",AND(P$6&gt;0,$A50&lt;P$6),AND(P$7&gt;0,$A50&gt;P$7)),0,MAX(0,ROUND((INDEX($E50:$G50,P$5)-SUMIFS(TF_Timer,TF_Tekniker,P$4,TF_Dato,$A50))*2,0)/2)))</f>
        <v/>
      </c>
      <c r="Q50">
        <f>IF(OR(Q$4="",$A50&gt;TODAY()),0,IF(OR(INDEX($B50:$D50,Q$5)="F",AND(Q$6&gt;0,$A50&lt;Q$6),AND(Q$7&gt;0,$A50&gt;Q$7)),0,MAX(0,ROUND((INDEX($E50:$G50,Q$5)-SUMIFS(TF_Timer,TF_Tekniker,Q$4,TF_Dato,$A50))*2,0)/2)))</f>
        <v/>
      </c>
      <c r="R50">
        <f>IF(OR(R$4="",$A50&gt;TODAY()),0,IF(OR(INDEX($B50:$D50,R$5)="F",AND(R$6&gt;0,$A50&lt;R$6),AND(R$7&gt;0,$A50&gt;R$7)),0,MAX(0,ROUND((INDEX($E50:$G50,R$5)-SUMIFS(TF_Timer,TF_Tekniker,R$4,TF_Dato,$A50))*2,0)/2)))</f>
        <v/>
      </c>
      <c r="S50">
        <f>IF(OR(S$4="",$A50&gt;TODAY()),0,IF(OR(INDEX($B50:$D50,S$5)="F",AND(S$6&gt;0,$A50&lt;S$6),AND(S$7&gt;0,$A50&gt;S$7)),0,MAX(0,ROUND((INDEX($E50:$G50,S$5)-SUMIFS(TF_Timer,TF_Tekniker,S$4,TF_Dato,$A50))*2,0)/2)))</f>
        <v/>
      </c>
      <c r="T50">
        <f>IF(OR(T$4="",$A50&gt;TODAY()),0,IF(OR(INDEX($B50:$D50,T$5)="F",AND(T$6&gt;0,$A50&lt;T$6),AND(T$7&gt;0,$A50&gt;T$7)),0,MAX(0,ROUND((INDEX($E50:$G50,T$5)-SUMIFS(TF_Timer,TF_Tekniker,T$4,TF_Dato,$A50))*2,0)/2)))</f>
        <v/>
      </c>
      <c r="U50">
        <f>IF(OR(U$4="",$A50&gt;TODAY()),0,IF(OR(INDEX($B50:$D50,U$5)="F",AND(U$6&gt;0,$A50&lt;U$6),AND(U$7&gt;0,$A50&gt;U$7)),0,MAX(0,ROUND((INDEX($E50:$G50,U$5)-SUMIFS(TF_Timer,TF_Tekniker,U$4,TF_Dato,$A50))*2,0)/2)))</f>
        <v/>
      </c>
      <c r="V50">
        <f>IF(OR(V$4="",$A50&gt;TODAY()),0,IF(OR(INDEX($B50:$D50,V$5)="F",AND(V$6&gt;0,$A50&lt;V$6),AND(V$7&gt;0,$A50&gt;V$7)),0,MAX(0,ROUND((INDEX($E50:$G50,V$5)-SUMIFS(TF_Timer,TF_Tekniker,V$4,TF_Dato,$A50))*2,0)/2)))</f>
        <v/>
      </c>
      <c r="W50">
        <f>IF(OR(W$4="",$A50&gt;TODAY()),0,IF(OR(INDEX($B50:$D50,W$5)="F",AND(W$6&gt;0,$A50&lt;W$6),AND(W$7&gt;0,$A50&gt;W$7)),0,MAX(0,ROUND((INDEX($E50:$G50,W$5)-SUMIFS(TF_Timer,TF_Tekniker,W$4,TF_Dato,$A50))*2,0)/2)))</f>
        <v/>
      </c>
      <c r="X50">
        <f>IF(OR(X$4="",$A50&gt;TODAY()),0,IF(OR(INDEX($B50:$D50,X$5)="F",AND(X$6&gt;0,$A50&lt;X$6),AND(X$7&gt;0,$A50&gt;X$7)),0,MAX(0,ROUND((INDEX($E50:$G50,X$5)-SUMIFS(TF_Timer,TF_Tekniker,X$4,TF_Dato,$A50))*2,0)/2)))</f>
        <v/>
      </c>
      <c r="Y50">
        <f>IF(OR(Y$4="",$A50&gt;TODAY()),0,IF(OR(INDEX($B50:$D50,Y$5)="F",AND(Y$6&gt;0,$A50&lt;Y$6),AND(Y$7&gt;0,$A50&gt;Y$7)),0,MAX(0,ROUND((INDEX($E50:$G50,Y$5)-SUMIFS(TF_Timer,TF_Tekniker,Y$4,TF_Dato,$A50))*2,0)/2)))</f>
        <v/>
      </c>
      <c r="Z50">
        <f>IF(OR(Z$4="",$A50&gt;TODAY()),0,IF(OR(INDEX($B50:$D50,Z$5)="F",AND(Z$6&gt;0,$A50&lt;Z$6),AND(Z$7&gt;0,$A50&gt;Z$7)),0,MAX(0,ROUND((INDEX($E50:$G50,Z$5)-SUMIFS(TF_Timer,TF_Tekniker,Z$4,TF_Dato,$A50))*2,0)/2)))</f>
        <v/>
      </c>
      <c r="AA50">
        <f>IF(OR(AA$4="",$A50&gt;TODAY()),0,IF(OR(INDEX($B50:$D50,AA$5)="F",AND(AA$6&gt;0,$A50&lt;AA$6),AND(AA$7&gt;0,$A50&gt;AA$7)),0,MAX(0,ROUND((INDEX($E50:$G50,AA$5)-SUMIFS(TF_Timer,TF_Tekniker,AA$4,TF_Dato,$A50))*2,0)/2)))</f>
        <v/>
      </c>
      <c r="AB50">
        <f>IF(OR(AB$4="",$A50&gt;TODAY()),0,IF(OR(INDEX($B50:$D50,AB$5)="F",AND(AB$6&gt;0,$A50&lt;AB$6),AND(AB$7&gt;0,$A50&gt;AB$7)),0,MAX(0,ROUND((INDEX($E50:$G50,AB$5)-SUMIFS(TF_Timer,TF_Tekniker,AB$4,TF_Dato,$A50))*2,0)/2)))</f>
        <v/>
      </c>
      <c r="AC50">
        <f>IF(OR(AC$4="",$A50&gt;TODAY()),0,IF(OR(INDEX($B50:$D50,AC$5)="F",AND(AC$6&gt;0,$A50&lt;AC$6),AND(AC$7&gt;0,$A50&gt;AC$7)),0,MAX(0,ROUND((INDEX($E50:$G50,AC$5)-SUMIFS(TF_Timer,TF_Tekniker,AC$4,TF_Dato,$A50))*2,0)/2)))</f>
        <v/>
      </c>
      <c r="AD50">
        <f>IF(OR(AD$4="",$A50&gt;TODAY()),0,IF(OR(INDEX($B50:$D50,AD$5)="F",AND(AD$6&gt;0,$A50&lt;AD$6),AND(AD$7&gt;0,$A50&gt;AD$7)),0,MAX(0,ROUND((INDEX($E50:$G50,AD$5)-SUMIFS(TF_Timer,TF_Tekniker,AD$4,TF_Dato,$A50))*2,0)/2)))</f>
        <v/>
      </c>
      <c r="AE50">
        <f>IF(OR(AE$4="",$A50&gt;TODAY()),0,IF(OR(INDEX($B50:$D50,AE$5)="F",AND(AE$6&gt;0,$A50&lt;AE$6),AND(AE$7&gt;0,$A50&gt;AE$7)),0,MAX(0,ROUND((INDEX($E50:$G50,AE$5)-SUMIFS(TF_Timer,TF_Tekniker,AE$4,TF_Dato,$A50))*2,0)/2)))</f>
        <v/>
      </c>
      <c r="AF50">
        <f>IF(OR(AF$4="",$A50&gt;TODAY()),0,IF(OR(INDEX($B50:$D50,AF$5)="F",AND(AF$6&gt;0,$A50&lt;AF$6),AND(AF$7&gt;0,$A50&gt;AF$7)),0,MAX(0,ROUND((INDEX($E50:$G50,AF$5)-SUMIFS(TF_Timer,TF_Tekniker,AF$4,TF_Dato,$A50))*2,0)/2)))</f>
        <v/>
      </c>
      <c r="AG50">
        <f>IF(OR(AG$4="",$A50&gt;TODAY()),0,IF(OR(INDEX($B50:$D50,AG$5)="F",AND(AG$6&gt;0,$A50&lt;AG$6),AND(AG$7&gt;0,$A50&gt;AG$7)),0,MAX(0,ROUND((INDEX($E50:$G50,AG$5)-SUMIFS(TF_Timer,TF_Tekniker,AG$4,TF_Dato,$A50))*2,0)/2)))</f>
        <v/>
      </c>
      <c r="AH50">
        <f>IF(OR(AH$4="",$A50&gt;TODAY()),0,IF(OR(INDEX($B50:$D50,AH$5)="F",AND(AH$6&gt;0,$A50&lt;AH$6),AND(AH$7&gt;0,$A50&gt;AH$7)),0,MAX(0,ROUND((INDEX($E50:$G50,AH$5)-SUMIFS(TF_Timer,TF_Tekniker,AH$4,TF_Dato,$A50))*2,0)/2)))</f>
        <v/>
      </c>
      <c r="AI50">
        <f>IF(OR(AI$4="",$A50&gt;TODAY()),0,IF(OR(INDEX($B50:$D50,AI$5)="F",AND(AI$6&gt;0,$A50&lt;AI$6),AND(AI$7&gt;0,$A50&gt;AI$7)),0,MAX(0,ROUND((INDEX($E50:$G50,AI$5)-SUMIFS(TF_Timer,TF_Tekniker,AI$4,TF_Dato,$A50))*2,0)/2)))</f>
        <v/>
      </c>
      <c r="AJ50">
        <f>IF(OR(AJ$4="",$A50&gt;TODAY()),0,IF(OR(INDEX($B50:$D50,AJ$5)="F",AND(AJ$6&gt;0,$A50&lt;AJ$6),AND(AJ$7&gt;0,$A50&gt;AJ$7)),0,MAX(0,ROUND((INDEX($E50:$G50,AJ$5)-SUMIFS(TF_Timer,TF_Tekniker,AJ$4,TF_Dato,$A50))*2,0)/2)))</f>
        <v/>
      </c>
      <c r="AK50">
        <f>IF(OR(AK$4="",$A50&gt;TODAY()),0,IF(OR(INDEX($B50:$D50,AK$5)="F",AND(AK$6&gt;0,$A50&lt;AK$6),AND(AK$7&gt;0,$A50&gt;AK$7)),0,MAX(0,ROUND((INDEX($E50:$G50,AK$5)-SUMIFS(TF_Timer,TF_Tekniker,AK$4,TF_Dato,$A50))*2,0)/2)))</f>
        <v/>
      </c>
      <c r="AL50">
        <f>IF(OR(AL$4="",$A50&gt;TODAY()),0,IF(OR(INDEX($B50:$D50,AL$5)="F",AND(AL$6&gt;0,$A50&lt;AL$6),AND(AL$7&gt;0,$A50&gt;AL$7)),0,MAX(0,ROUND((INDEX($E50:$G50,AL$5)-SUMIFS(TF_Timer,TF_Tekniker,AL$4,TF_Dato,$A50))*2,0)/2)))</f>
        <v/>
      </c>
      <c r="AM50">
        <f>IF(OR(AM$4="",$A50&gt;TODAY()),0,IF(OR(INDEX($B50:$D50,AM$5)="F",AND(AM$6&gt;0,$A50&lt;AM$6),AND(AM$7&gt;0,$A50&gt;AM$7)),0,MAX(0,ROUND((INDEX($E50:$G50,AM$5)-SUMIFS(TF_Timer,TF_Tekniker,AM$4,TF_Dato,$A50))*2,0)/2)))</f>
        <v/>
      </c>
      <c r="AN50">
        <f>IF(OR(AN$4="",$A50&gt;TODAY()),0,IF(OR(INDEX($B50:$D50,AN$5)="F",AND(AN$6&gt;0,$A50&lt;AN$6),AND(AN$7&gt;0,$A50&gt;AN$7)),0,MAX(0,ROUND((INDEX($E50:$G50,AN$5)-SUMIFS(TF_Timer,TF_Tekniker,AN$4,TF_Dato,$A50))*2,0)/2)))</f>
        <v/>
      </c>
      <c r="AO50">
        <f>IF(OR(AO$4="",$A50&gt;TODAY()),0,IF(OR(INDEX($B50:$D50,AO$5)="F",AND(AO$6&gt;0,$A50&lt;AO$6),AND(AO$7&gt;0,$A50&gt;AO$7)),0,MAX(0,ROUND((INDEX($E50:$G50,AO$5)-SUMIFS(TF_Timer,TF_Tekniker,AO$4,TF_Dato,$A50))*2,0)/2)))</f>
        <v/>
      </c>
      <c r="AP50">
        <f>IF(OR(AP$4="",$A50&gt;TODAY()),0,IF(OR(INDEX($B50:$D50,AP$5)="F",AND(AP$6&gt;0,$A50&lt;AP$6),AND(AP$7&gt;0,$A50&gt;AP$7)),0,MAX(0,ROUND((INDEX($E50:$G50,AP$5)-SUMIFS(TF_Timer,TF_Tekniker,AP$4,TF_Dato,$A50))*2,0)/2)))</f>
        <v/>
      </c>
      <c r="AQ50">
        <f>IF(OR(AQ$4="",$A50&gt;TODAY()),0,IF(OR(INDEX($B50:$D50,AQ$5)="F",AND(AQ$6&gt;0,$A50&lt;AQ$6),AND(AQ$7&gt;0,$A50&gt;AQ$7)),0,MAX(0,ROUND((INDEX($E50:$G50,AQ$5)-SUMIFS(TF_Timer,TF_Tekniker,AQ$4,TF_Dato,$A50))*2,0)/2)))</f>
        <v/>
      </c>
      <c r="AR50">
        <f>IF(OR(AR$4="",$A50&gt;TODAY()),0,IF(OR(INDEX($B50:$D50,AR$5)="F",AND(AR$6&gt;0,$A50&lt;AR$6),AND(AR$7&gt;0,$A50&gt;AR$7)),0,MAX(0,ROUND((INDEX($E50:$G50,AR$5)-SUMIFS(TF_Timer,TF_Tekniker,AR$4,TF_Dato,$A50))*2,0)/2)))</f>
        <v/>
      </c>
      <c r="AS50">
        <f>IF(OR(AS$4="",$A50&gt;TODAY()),0,IF(OR(INDEX($B50:$D50,AS$5)="F",AND(AS$6&gt;0,$A50&lt;AS$6),AND(AS$7&gt;0,$A50&gt;AS$7)),0,MAX(0,ROUND((INDEX($E50:$G50,AS$5)-SUMIFS(TF_Timer,TF_Tekniker,AS$4,TF_Dato,$A50))*2,0)/2)))</f>
        <v/>
      </c>
      <c r="AT50">
        <f>IF(OR(AT$4="",$A50&gt;TODAY()),0,IF(OR(INDEX($B50:$D50,AT$5)="F",AND(AT$6&gt;0,$A50&lt;AT$6),AND(AT$7&gt;0,$A50&gt;AT$7)),0,MAX(0,ROUND((INDEX($E50:$G50,AT$5)-SUMIFS(TF_Timer,TF_Tekniker,AT$4,TF_Dato,$A50))*2,0)/2)))</f>
        <v/>
      </c>
      <c r="AU50">
        <f>IF(OR(AU$4="",$A50&gt;TODAY()),0,IF(OR(INDEX($B50:$D50,AU$5)="F",AND(AU$6&gt;0,$A50&lt;AU$6),AND(AU$7&gt;0,$A50&gt;AU$7)),0,MAX(0,ROUND((INDEX($E50:$G50,AU$5)-SUMIFS(TF_Timer,TF_Tekniker,AU$4,TF_Dato,$A50))*2,0)/2)))</f>
        <v/>
      </c>
      <c r="AV50">
        <f>IF(OR(AV$4="",$A50&gt;TODAY()),0,IF(OR(INDEX($B50:$D50,AV$5)="F",AND(AV$6&gt;0,$A50&lt;AV$6),AND(AV$7&gt;0,$A50&gt;AV$7)),0,MAX(0,ROUND((INDEX($E50:$G50,AV$5)-SUMIFS(TF_Timer,TF_Tekniker,AV$4,TF_Dato,$A50))*2,0)/2)))</f>
        <v/>
      </c>
      <c r="AW50">
        <f>IF(OR(AW$4="",$A50&gt;TODAY()),0,IF(OR(INDEX($B50:$D50,AW$5)="F",AND(AW$6&gt;0,$A50&lt;AW$6),AND(AW$7&gt;0,$A50&gt;AW$7)),0,MAX(0,ROUND((INDEX($E50:$G50,AW$5)-SUMIFS(TF_Timer,TF_Tekniker,AW$4,TF_Dato,$A50))*2,0)/2)))</f>
        <v/>
      </c>
      <c r="AX50">
        <f>IF(OR(AX$4="",$A50&gt;TODAY()),0,IF(OR(INDEX($B50:$D50,AX$5)="F",AND(AX$6&gt;0,$A50&lt;AX$6),AND(AX$7&gt;0,$A50&gt;AX$7)),0,MAX(0,ROUND((INDEX($E50:$G50,AX$5)-SUMIFS(TF_Timer,TF_Tekniker,AX$4,TF_Dato,$A50))*2,0)/2)))</f>
        <v/>
      </c>
      <c r="AY50">
        <f>IF(OR(AY$4="",$A50&gt;TODAY()),0,IF(OR(INDEX($B50:$D50,AY$5)="F",AND(AY$6&gt;0,$A50&lt;AY$6),AND(AY$7&gt;0,$A50&gt;AY$7)),0,MAX(0,ROUND((INDEX($E50:$G50,AY$5)-SUMIFS(TF_Timer,TF_Tekniker,AY$4,TF_Dato,$A50))*2,0)/2)))</f>
        <v/>
      </c>
      <c r="AZ50">
        <f>IF(OR(AZ$4="",$A50&gt;TODAY()),0,IF(OR(INDEX($B50:$D50,AZ$5)="F",AND(AZ$6&gt;0,$A50&lt;AZ$6),AND(AZ$7&gt;0,$A50&gt;AZ$7)),0,MAX(0,ROUND((INDEX($E50:$G50,AZ$5)-SUMIFS(TF_Timer,TF_Tekniker,AZ$4,TF_Dato,$A50))*2,0)/2)))</f>
        <v/>
      </c>
      <c r="BA50">
        <f>IF(OR(BA$4="",$A50&gt;TODAY()),0,IF(OR(INDEX($B50:$D50,BA$5)="F",AND(BA$6&gt;0,$A50&lt;BA$6),AND(BA$7&gt;0,$A50&gt;BA$7)),0,MAX(0,ROUND((INDEX($E50:$G50,BA$5)-SUMIFS(TF_Timer,TF_Tekniker,BA$4,TF_Dato,$A50))*2,0)/2)))</f>
        <v/>
      </c>
      <c r="BB50">
        <f>IF(OR(BB$4="",$A50&gt;TODAY()),0,IF(OR(INDEX($B50:$D50,BB$5)="F",AND(BB$6&gt;0,$A50&lt;BB$6),AND(BB$7&gt;0,$A50&gt;BB$7)),0,MAX(0,ROUND((INDEX($E50:$G50,BB$5)-SUMIFS(TF_Timer,TF_Tekniker,BB$4,TF_Dato,$A50))*2,0)/2)))</f>
        <v/>
      </c>
      <c r="BC50">
        <f>IF(OR(BC$4="",$A50&gt;TODAY()),0,IF(OR(INDEX($B50:$D50,BC$5)="F",AND(BC$6&gt;0,$A50&lt;BC$6),AND(BC$7&gt;0,$A50&gt;BC$7)),0,MAX(0,ROUND((INDEX($E50:$G50,BC$5)-SUMIFS(TF_Timer,TF_Tekniker,BC$4,TF_Dato,$A50))*2,0)/2)))</f>
        <v/>
      </c>
      <c r="BD50">
        <f>IF(OR(BD$4="",$A50&gt;TODAY()),0,IF(OR(INDEX($B50:$D50,BD$5)="F",AND(BD$6&gt;0,$A50&lt;BD$6),AND(BD$7&gt;0,$A50&gt;BD$7)),0,MAX(0,ROUND((INDEX($E50:$G50,BD$5)-SUMIFS(TF_Timer,TF_Tekniker,BD$4,TF_Dato,$A50))*2,0)/2)))</f>
        <v/>
      </c>
      <c r="BE50">
        <f>IF(OR(BE$4="",$A50&gt;TODAY()),0,IF(OR(INDEX($B50:$D50,BE$5)="F",AND(BE$6&gt;0,$A50&lt;BE$6),AND(BE$7&gt;0,$A50&gt;BE$7)),0,MAX(0,ROUND((INDEX($E50:$G50,BE$5)-SUMIFS(TF_Timer,TF_Tekniker,BE$4,TF_Dato,$A50))*2,0)/2)))</f>
        <v/>
      </c>
      <c r="BF50">
        <f>IF(OR(BF$4="",$A50&gt;TODAY()),0,IF(OR(INDEX($B50:$D50,BF$5)="F",AND(BF$6&gt;0,$A50&lt;BF$6),AND(BF$7&gt;0,$A50&gt;BF$7)),0,MAX(0,ROUND((INDEX($E50:$G50,BF$5)-SUMIFS(TF_Timer,TF_Tekniker,BF$4,TF_Dato,$A50))*2,0)/2)))</f>
        <v/>
      </c>
      <c r="BG50">
        <f>IF(OR(BG$4="",$A50&gt;TODAY()),0,IF(OR(INDEX($B50:$D50,BG$5)="F",AND(BG$6&gt;0,$A50&lt;BG$6),AND(BG$7&gt;0,$A50&gt;BG$7)),0,MAX(0,ROUND((INDEX($E50:$G50,BG$5)-SUMIFS(TF_Timer,TF_Tekniker,BG$4,TF_Dato,$A50))*2,0)/2)))</f>
        <v/>
      </c>
      <c r="BH50">
        <f>IF(OR(BH$4="",$A50&gt;TODAY()),0,IF(OR(INDEX($B50:$D50,BH$5)="F",AND(BH$6&gt;0,$A50&lt;BH$6),AND(BH$7&gt;0,$A50&gt;BH$7)),0,MAX(0,ROUND((INDEX($E50:$G50,BH$5)-SUMIFS(TF_Timer,TF_Tekniker,BH$4,TF_Dato,$A50))*2,0)/2)))</f>
        <v/>
      </c>
      <c r="BI50">
        <f>IF(OR(BI$4="",$A50&gt;TODAY()),0,IF(OR(INDEX($B50:$D50,BI$5)="F",AND(BI$6&gt;0,$A50&lt;BI$6),AND(BI$7&gt;0,$A50&gt;BI$7)),0,MAX(0,ROUND((INDEX($E50:$G50,BI$5)-SUMIFS(TF_Timer,TF_Tekniker,BI$4,TF_Dato,$A50))*2,0)/2)))</f>
        <v/>
      </c>
    </row>
    <row r="51">
      <c r="A51" s="64">
        <f>A50+1</f>
        <v/>
      </c>
      <c r="B51">
        <f>IF(MOD($A51-INDEX(SkiftStart,1),Syklus)&lt;DagK,"K",IF(MOD($A51-INDEX(SkiftStart,1),Syklus)&lt;DagK+DagH,"H",IF(MOD($A51-INDEX(SkiftStart,1),Syklus)&lt;DagK+DagH+DagD,"D","F")))</f>
        <v/>
      </c>
      <c r="C51">
        <f>IF(MOD($A51-INDEX(SkiftStart,2),Syklus)&lt;DagK,"K",IF(MOD($A51-INDEX(SkiftStart,2),Syklus)&lt;DagK+DagH,"H",IF(MOD($A51-INDEX(SkiftStart,2),Syklus)&lt;DagK+DagH+DagD,"D","F")))</f>
        <v/>
      </c>
      <c r="D51">
        <f>IF(MOD($A51-INDEX(SkiftStart,3),Syklus)&lt;DagK,"K",IF(MOD($A51-INDEX(SkiftStart,3),Syklus)&lt;DagK+DagH,"H",IF(MOD($A51-INDEX(SkiftStart,3),Syklus)&lt;DagK+DagH+DagD,"D","F")))</f>
        <v/>
      </c>
      <c r="E51">
        <f>IF(B51="F",0,IF(WEEKDAY($A51,2)=5,INDEX(TimerFr,MATCH(B51,FaseKode,0)),INDEX(TimerMT,MATCH(B51,FaseKode,0))))</f>
        <v/>
      </c>
      <c r="F51">
        <f>IF(C51="F",0,IF(WEEKDAY($A51,2)=5,INDEX(TimerFr,MATCH(C51,FaseKode,0)),INDEX(TimerMT,MATCH(C51,FaseKode,0))))</f>
        <v/>
      </c>
      <c r="G51">
        <f>IF(D51="F",0,IF(WEEKDAY($A51,2)=5,INDEX(TimerFr,MATCH(D51,FaseKode,0)),INDEX(TimerMT,MATCH(D51,FaseKode,0))))</f>
        <v/>
      </c>
      <c r="H51">
        <f>IF(OR(H$4="",$A51&gt;TODAY()),0,IF(OR(INDEX($B51:$D51,H$5)="F",AND(H$6&gt;0,$A51&lt;H$6),AND(H$7&gt;0,$A51&gt;H$7)),0,MAX(0,ROUND((INDEX($E51:$G51,H$5)-SUMIFS(TF_Timer,TF_Tekniker,H$4,TF_Dato,$A51))*2,0)/2)))</f>
        <v/>
      </c>
      <c r="I51">
        <f>IF(OR(I$4="",$A51&gt;TODAY()),0,IF(OR(INDEX($B51:$D51,I$5)="F",AND(I$6&gt;0,$A51&lt;I$6),AND(I$7&gt;0,$A51&gt;I$7)),0,MAX(0,ROUND((INDEX($E51:$G51,I$5)-SUMIFS(TF_Timer,TF_Tekniker,I$4,TF_Dato,$A51))*2,0)/2)))</f>
        <v/>
      </c>
      <c r="J51">
        <f>IF(OR(J$4="",$A51&gt;TODAY()),0,IF(OR(INDEX($B51:$D51,J$5)="F",AND(J$6&gt;0,$A51&lt;J$6),AND(J$7&gt;0,$A51&gt;J$7)),0,MAX(0,ROUND((INDEX($E51:$G51,J$5)-SUMIFS(TF_Timer,TF_Tekniker,J$4,TF_Dato,$A51))*2,0)/2)))</f>
        <v/>
      </c>
      <c r="K51">
        <f>IF(OR(K$4="",$A51&gt;TODAY()),0,IF(OR(INDEX($B51:$D51,K$5)="F",AND(K$6&gt;0,$A51&lt;K$6),AND(K$7&gt;0,$A51&gt;K$7)),0,MAX(0,ROUND((INDEX($E51:$G51,K$5)-SUMIFS(TF_Timer,TF_Tekniker,K$4,TF_Dato,$A51))*2,0)/2)))</f>
        <v/>
      </c>
      <c r="L51">
        <f>IF(OR(L$4="",$A51&gt;TODAY()),0,IF(OR(INDEX($B51:$D51,L$5)="F",AND(L$6&gt;0,$A51&lt;L$6),AND(L$7&gt;0,$A51&gt;L$7)),0,MAX(0,ROUND((INDEX($E51:$G51,L$5)-SUMIFS(TF_Timer,TF_Tekniker,L$4,TF_Dato,$A51))*2,0)/2)))</f>
        <v/>
      </c>
      <c r="M51">
        <f>IF(OR(M$4="",$A51&gt;TODAY()),0,IF(OR(INDEX($B51:$D51,M$5)="F",AND(M$6&gt;0,$A51&lt;M$6),AND(M$7&gt;0,$A51&gt;M$7)),0,MAX(0,ROUND((INDEX($E51:$G51,M$5)-SUMIFS(TF_Timer,TF_Tekniker,M$4,TF_Dato,$A51))*2,0)/2)))</f>
        <v/>
      </c>
      <c r="N51">
        <f>IF(OR(N$4="",$A51&gt;TODAY()),0,IF(OR(INDEX($B51:$D51,N$5)="F",AND(N$6&gt;0,$A51&lt;N$6),AND(N$7&gt;0,$A51&gt;N$7)),0,MAX(0,ROUND((INDEX($E51:$G51,N$5)-SUMIFS(TF_Timer,TF_Tekniker,N$4,TF_Dato,$A51))*2,0)/2)))</f>
        <v/>
      </c>
      <c r="O51">
        <f>IF(OR(O$4="",$A51&gt;TODAY()),0,IF(OR(INDEX($B51:$D51,O$5)="F",AND(O$6&gt;0,$A51&lt;O$6),AND(O$7&gt;0,$A51&gt;O$7)),0,MAX(0,ROUND((INDEX($E51:$G51,O$5)-SUMIFS(TF_Timer,TF_Tekniker,O$4,TF_Dato,$A51))*2,0)/2)))</f>
        <v/>
      </c>
      <c r="P51">
        <f>IF(OR(P$4="",$A51&gt;TODAY()),0,IF(OR(INDEX($B51:$D51,P$5)="F",AND(P$6&gt;0,$A51&lt;P$6),AND(P$7&gt;0,$A51&gt;P$7)),0,MAX(0,ROUND((INDEX($E51:$G51,P$5)-SUMIFS(TF_Timer,TF_Tekniker,P$4,TF_Dato,$A51))*2,0)/2)))</f>
        <v/>
      </c>
      <c r="Q51">
        <f>IF(OR(Q$4="",$A51&gt;TODAY()),0,IF(OR(INDEX($B51:$D51,Q$5)="F",AND(Q$6&gt;0,$A51&lt;Q$6),AND(Q$7&gt;0,$A51&gt;Q$7)),0,MAX(0,ROUND((INDEX($E51:$G51,Q$5)-SUMIFS(TF_Timer,TF_Tekniker,Q$4,TF_Dato,$A51))*2,0)/2)))</f>
        <v/>
      </c>
      <c r="R51">
        <f>IF(OR(R$4="",$A51&gt;TODAY()),0,IF(OR(INDEX($B51:$D51,R$5)="F",AND(R$6&gt;0,$A51&lt;R$6),AND(R$7&gt;0,$A51&gt;R$7)),0,MAX(0,ROUND((INDEX($E51:$G51,R$5)-SUMIFS(TF_Timer,TF_Tekniker,R$4,TF_Dato,$A51))*2,0)/2)))</f>
        <v/>
      </c>
      <c r="S51">
        <f>IF(OR(S$4="",$A51&gt;TODAY()),0,IF(OR(INDEX($B51:$D51,S$5)="F",AND(S$6&gt;0,$A51&lt;S$6),AND(S$7&gt;0,$A51&gt;S$7)),0,MAX(0,ROUND((INDEX($E51:$G51,S$5)-SUMIFS(TF_Timer,TF_Tekniker,S$4,TF_Dato,$A51))*2,0)/2)))</f>
        <v/>
      </c>
      <c r="T51">
        <f>IF(OR(T$4="",$A51&gt;TODAY()),0,IF(OR(INDEX($B51:$D51,T$5)="F",AND(T$6&gt;0,$A51&lt;T$6),AND(T$7&gt;0,$A51&gt;T$7)),0,MAX(0,ROUND((INDEX($E51:$G51,T$5)-SUMIFS(TF_Timer,TF_Tekniker,T$4,TF_Dato,$A51))*2,0)/2)))</f>
        <v/>
      </c>
      <c r="U51">
        <f>IF(OR(U$4="",$A51&gt;TODAY()),0,IF(OR(INDEX($B51:$D51,U$5)="F",AND(U$6&gt;0,$A51&lt;U$6),AND(U$7&gt;0,$A51&gt;U$7)),0,MAX(0,ROUND((INDEX($E51:$G51,U$5)-SUMIFS(TF_Timer,TF_Tekniker,U$4,TF_Dato,$A51))*2,0)/2)))</f>
        <v/>
      </c>
      <c r="V51">
        <f>IF(OR(V$4="",$A51&gt;TODAY()),0,IF(OR(INDEX($B51:$D51,V$5)="F",AND(V$6&gt;0,$A51&lt;V$6),AND(V$7&gt;0,$A51&gt;V$7)),0,MAX(0,ROUND((INDEX($E51:$G51,V$5)-SUMIFS(TF_Timer,TF_Tekniker,V$4,TF_Dato,$A51))*2,0)/2)))</f>
        <v/>
      </c>
      <c r="W51">
        <f>IF(OR(W$4="",$A51&gt;TODAY()),0,IF(OR(INDEX($B51:$D51,W$5)="F",AND(W$6&gt;0,$A51&lt;W$6),AND(W$7&gt;0,$A51&gt;W$7)),0,MAX(0,ROUND((INDEX($E51:$G51,W$5)-SUMIFS(TF_Timer,TF_Tekniker,W$4,TF_Dato,$A51))*2,0)/2)))</f>
        <v/>
      </c>
      <c r="X51">
        <f>IF(OR(X$4="",$A51&gt;TODAY()),0,IF(OR(INDEX($B51:$D51,X$5)="F",AND(X$6&gt;0,$A51&lt;X$6),AND(X$7&gt;0,$A51&gt;X$7)),0,MAX(0,ROUND((INDEX($E51:$G51,X$5)-SUMIFS(TF_Timer,TF_Tekniker,X$4,TF_Dato,$A51))*2,0)/2)))</f>
        <v/>
      </c>
      <c r="Y51">
        <f>IF(OR(Y$4="",$A51&gt;TODAY()),0,IF(OR(INDEX($B51:$D51,Y$5)="F",AND(Y$6&gt;0,$A51&lt;Y$6),AND(Y$7&gt;0,$A51&gt;Y$7)),0,MAX(0,ROUND((INDEX($E51:$G51,Y$5)-SUMIFS(TF_Timer,TF_Tekniker,Y$4,TF_Dato,$A51))*2,0)/2)))</f>
        <v/>
      </c>
      <c r="Z51">
        <f>IF(OR(Z$4="",$A51&gt;TODAY()),0,IF(OR(INDEX($B51:$D51,Z$5)="F",AND(Z$6&gt;0,$A51&lt;Z$6),AND(Z$7&gt;0,$A51&gt;Z$7)),0,MAX(0,ROUND((INDEX($E51:$G51,Z$5)-SUMIFS(TF_Timer,TF_Tekniker,Z$4,TF_Dato,$A51))*2,0)/2)))</f>
        <v/>
      </c>
      <c r="AA51">
        <f>IF(OR(AA$4="",$A51&gt;TODAY()),0,IF(OR(INDEX($B51:$D51,AA$5)="F",AND(AA$6&gt;0,$A51&lt;AA$6),AND(AA$7&gt;0,$A51&gt;AA$7)),0,MAX(0,ROUND((INDEX($E51:$G51,AA$5)-SUMIFS(TF_Timer,TF_Tekniker,AA$4,TF_Dato,$A51))*2,0)/2)))</f>
        <v/>
      </c>
      <c r="AB51">
        <f>IF(OR(AB$4="",$A51&gt;TODAY()),0,IF(OR(INDEX($B51:$D51,AB$5)="F",AND(AB$6&gt;0,$A51&lt;AB$6),AND(AB$7&gt;0,$A51&gt;AB$7)),0,MAX(0,ROUND((INDEX($E51:$G51,AB$5)-SUMIFS(TF_Timer,TF_Tekniker,AB$4,TF_Dato,$A51))*2,0)/2)))</f>
        <v/>
      </c>
      <c r="AC51">
        <f>IF(OR(AC$4="",$A51&gt;TODAY()),0,IF(OR(INDEX($B51:$D51,AC$5)="F",AND(AC$6&gt;0,$A51&lt;AC$6),AND(AC$7&gt;0,$A51&gt;AC$7)),0,MAX(0,ROUND((INDEX($E51:$G51,AC$5)-SUMIFS(TF_Timer,TF_Tekniker,AC$4,TF_Dato,$A51))*2,0)/2)))</f>
        <v/>
      </c>
      <c r="AD51">
        <f>IF(OR(AD$4="",$A51&gt;TODAY()),0,IF(OR(INDEX($B51:$D51,AD$5)="F",AND(AD$6&gt;0,$A51&lt;AD$6),AND(AD$7&gt;0,$A51&gt;AD$7)),0,MAX(0,ROUND((INDEX($E51:$G51,AD$5)-SUMIFS(TF_Timer,TF_Tekniker,AD$4,TF_Dato,$A51))*2,0)/2)))</f>
        <v/>
      </c>
      <c r="AE51">
        <f>IF(OR(AE$4="",$A51&gt;TODAY()),0,IF(OR(INDEX($B51:$D51,AE$5)="F",AND(AE$6&gt;0,$A51&lt;AE$6),AND(AE$7&gt;0,$A51&gt;AE$7)),0,MAX(0,ROUND((INDEX($E51:$G51,AE$5)-SUMIFS(TF_Timer,TF_Tekniker,AE$4,TF_Dato,$A51))*2,0)/2)))</f>
        <v/>
      </c>
      <c r="AF51">
        <f>IF(OR(AF$4="",$A51&gt;TODAY()),0,IF(OR(INDEX($B51:$D51,AF$5)="F",AND(AF$6&gt;0,$A51&lt;AF$6),AND(AF$7&gt;0,$A51&gt;AF$7)),0,MAX(0,ROUND((INDEX($E51:$G51,AF$5)-SUMIFS(TF_Timer,TF_Tekniker,AF$4,TF_Dato,$A51))*2,0)/2)))</f>
        <v/>
      </c>
      <c r="AG51">
        <f>IF(OR(AG$4="",$A51&gt;TODAY()),0,IF(OR(INDEX($B51:$D51,AG$5)="F",AND(AG$6&gt;0,$A51&lt;AG$6),AND(AG$7&gt;0,$A51&gt;AG$7)),0,MAX(0,ROUND((INDEX($E51:$G51,AG$5)-SUMIFS(TF_Timer,TF_Tekniker,AG$4,TF_Dato,$A51))*2,0)/2)))</f>
        <v/>
      </c>
      <c r="AH51">
        <f>IF(OR(AH$4="",$A51&gt;TODAY()),0,IF(OR(INDEX($B51:$D51,AH$5)="F",AND(AH$6&gt;0,$A51&lt;AH$6),AND(AH$7&gt;0,$A51&gt;AH$7)),0,MAX(0,ROUND((INDEX($E51:$G51,AH$5)-SUMIFS(TF_Timer,TF_Tekniker,AH$4,TF_Dato,$A51))*2,0)/2)))</f>
        <v/>
      </c>
      <c r="AI51">
        <f>IF(OR(AI$4="",$A51&gt;TODAY()),0,IF(OR(INDEX($B51:$D51,AI$5)="F",AND(AI$6&gt;0,$A51&lt;AI$6),AND(AI$7&gt;0,$A51&gt;AI$7)),0,MAX(0,ROUND((INDEX($E51:$G51,AI$5)-SUMIFS(TF_Timer,TF_Tekniker,AI$4,TF_Dato,$A51))*2,0)/2)))</f>
        <v/>
      </c>
      <c r="AJ51">
        <f>IF(OR(AJ$4="",$A51&gt;TODAY()),0,IF(OR(INDEX($B51:$D51,AJ$5)="F",AND(AJ$6&gt;0,$A51&lt;AJ$6),AND(AJ$7&gt;0,$A51&gt;AJ$7)),0,MAX(0,ROUND((INDEX($E51:$G51,AJ$5)-SUMIFS(TF_Timer,TF_Tekniker,AJ$4,TF_Dato,$A51))*2,0)/2)))</f>
        <v/>
      </c>
      <c r="AK51">
        <f>IF(OR(AK$4="",$A51&gt;TODAY()),0,IF(OR(INDEX($B51:$D51,AK$5)="F",AND(AK$6&gt;0,$A51&lt;AK$6),AND(AK$7&gt;0,$A51&gt;AK$7)),0,MAX(0,ROUND((INDEX($E51:$G51,AK$5)-SUMIFS(TF_Timer,TF_Tekniker,AK$4,TF_Dato,$A51))*2,0)/2)))</f>
        <v/>
      </c>
      <c r="AL51">
        <f>IF(OR(AL$4="",$A51&gt;TODAY()),0,IF(OR(INDEX($B51:$D51,AL$5)="F",AND(AL$6&gt;0,$A51&lt;AL$6),AND(AL$7&gt;0,$A51&gt;AL$7)),0,MAX(0,ROUND((INDEX($E51:$G51,AL$5)-SUMIFS(TF_Timer,TF_Tekniker,AL$4,TF_Dato,$A51))*2,0)/2)))</f>
        <v/>
      </c>
      <c r="AM51">
        <f>IF(OR(AM$4="",$A51&gt;TODAY()),0,IF(OR(INDEX($B51:$D51,AM$5)="F",AND(AM$6&gt;0,$A51&lt;AM$6),AND(AM$7&gt;0,$A51&gt;AM$7)),0,MAX(0,ROUND((INDEX($E51:$G51,AM$5)-SUMIFS(TF_Timer,TF_Tekniker,AM$4,TF_Dato,$A51))*2,0)/2)))</f>
        <v/>
      </c>
      <c r="AN51">
        <f>IF(OR(AN$4="",$A51&gt;TODAY()),0,IF(OR(INDEX($B51:$D51,AN$5)="F",AND(AN$6&gt;0,$A51&lt;AN$6),AND(AN$7&gt;0,$A51&gt;AN$7)),0,MAX(0,ROUND((INDEX($E51:$G51,AN$5)-SUMIFS(TF_Timer,TF_Tekniker,AN$4,TF_Dato,$A51))*2,0)/2)))</f>
        <v/>
      </c>
      <c r="AO51">
        <f>IF(OR(AO$4="",$A51&gt;TODAY()),0,IF(OR(INDEX($B51:$D51,AO$5)="F",AND(AO$6&gt;0,$A51&lt;AO$6),AND(AO$7&gt;0,$A51&gt;AO$7)),0,MAX(0,ROUND((INDEX($E51:$G51,AO$5)-SUMIFS(TF_Timer,TF_Tekniker,AO$4,TF_Dato,$A51))*2,0)/2)))</f>
        <v/>
      </c>
      <c r="AP51">
        <f>IF(OR(AP$4="",$A51&gt;TODAY()),0,IF(OR(INDEX($B51:$D51,AP$5)="F",AND(AP$6&gt;0,$A51&lt;AP$6),AND(AP$7&gt;0,$A51&gt;AP$7)),0,MAX(0,ROUND((INDEX($E51:$G51,AP$5)-SUMIFS(TF_Timer,TF_Tekniker,AP$4,TF_Dato,$A51))*2,0)/2)))</f>
        <v/>
      </c>
      <c r="AQ51">
        <f>IF(OR(AQ$4="",$A51&gt;TODAY()),0,IF(OR(INDEX($B51:$D51,AQ$5)="F",AND(AQ$6&gt;0,$A51&lt;AQ$6),AND(AQ$7&gt;0,$A51&gt;AQ$7)),0,MAX(0,ROUND((INDEX($E51:$G51,AQ$5)-SUMIFS(TF_Timer,TF_Tekniker,AQ$4,TF_Dato,$A51))*2,0)/2)))</f>
        <v/>
      </c>
      <c r="AR51">
        <f>IF(OR(AR$4="",$A51&gt;TODAY()),0,IF(OR(INDEX($B51:$D51,AR$5)="F",AND(AR$6&gt;0,$A51&lt;AR$6),AND(AR$7&gt;0,$A51&gt;AR$7)),0,MAX(0,ROUND((INDEX($E51:$G51,AR$5)-SUMIFS(TF_Timer,TF_Tekniker,AR$4,TF_Dato,$A51))*2,0)/2)))</f>
        <v/>
      </c>
      <c r="AS51">
        <f>IF(OR(AS$4="",$A51&gt;TODAY()),0,IF(OR(INDEX($B51:$D51,AS$5)="F",AND(AS$6&gt;0,$A51&lt;AS$6),AND(AS$7&gt;0,$A51&gt;AS$7)),0,MAX(0,ROUND((INDEX($E51:$G51,AS$5)-SUMIFS(TF_Timer,TF_Tekniker,AS$4,TF_Dato,$A51))*2,0)/2)))</f>
        <v/>
      </c>
      <c r="AT51">
        <f>IF(OR(AT$4="",$A51&gt;TODAY()),0,IF(OR(INDEX($B51:$D51,AT$5)="F",AND(AT$6&gt;0,$A51&lt;AT$6),AND(AT$7&gt;0,$A51&gt;AT$7)),0,MAX(0,ROUND((INDEX($E51:$G51,AT$5)-SUMIFS(TF_Timer,TF_Tekniker,AT$4,TF_Dato,$A51))*2,0)/2)))</f>
        <v/>
      </c>
      <c r="AU51">
        <f>IF(OR(AU$4="",$A51&gt;TODAY()),0,IF(OR(INDEX($B51:$D51,AU$5)="F",AND(AU$6&gt;0,$A51&lt;AU$6),AND(AU$7&gt;0,$A51&gt;AU$7)),0,MAX(0,ROUND((INDEX($E51:$G51,AU$5)-SUMIFS(TF_Timer,TF_Tekniker,AU$4,TF_Dato,$A51))*2,0)/2)))</f>
        <v/>
      </c>
      <c r="AV51">
        <f>IF(OR(AV$4="",$A51&gt;TODAY()),0,IF(OR(INDEX($B51:$D51,AV$5)="F",AND(AV$6&gt;0,$A51&lt;AV$6),AND(AV$7&gt;0,$A51&gt;AV$7)),0,MAX(0,ROUND((INDEX($E51:$G51,AV$5)-SUMIFS(TF_Timer,TF_Tekniker,AV$4,TF_Dato,$A51))*2,0)/2)))</f>
        <v/>
      </c>
      <c r="AW51">
        <f>IF(OR(AW$4="",$A51&gt;TODAY()),0,IF(OR(INDEX($B51:$D51,AW$5)="F",AND(AW$6&gt;0,$A51&lt;AW$6),AND(AW$7&gt;0,$A51&gt;AW$7)),0,MAX(0,ROUND((INDEX($E51:$G51,AW$5)-SUMIFS(TF_Timer,TF_Tekniker,AW$4,TF_Dato,$A51))*2,0)/2)))</f>
        <v/>
      </c>
      <c r="AX51">
        <f>IF(OR(AX$4="",$A51&gt;TODAY()),0,IF(OR(INDEX($B51:$D51,AX$5)="F",AND(AX$6&gt;0,$A51&lt;AX$6),AND(AX$7&gt;0,$A51&gt;AX$7)),0,MAX(0,ROUND((INDEX($E51:$G51,AX$5)-SUMIFS(TF_Timer,TF_Tekniker,AX$4,TF_Dato,$A51))*2,0)/2)))</f>
        <v/>
      </c>
      <c r="AY51">
        <f>IF(OR(AY$4="",$A51&gt;TODAY()),0,IF(OR(INDEX($B51:$D51,AY$5)="F",AND(AY$6&gt;0,$A51&lt;AY$6),AND(AY$7&gt;0,$A51&gt;AY$7)),0,MAX(0,ROUND((INDEX($E51:$G51,AY$5)-SUMIFS(TF_Timer,TF_Tekniker,AY$4,TF_Dato,$A51))*2,0)/2)))</f>
        <v/>
      </c>
      <c r="AZ51">
        <f>IF(OR(AZ$4="",$A51&gt;TODAY()),0,IF(OR(INDEX($B51:$D51,AZ$5)="F",AND(AZ$6&gt;0,$A51&lt;AZ$6),AND(AZ$7&gt;0,$A51&gt;AZ$7)),0,MAX(0,ROUND((INDEX($E51:$G51,AZ$5)-SUMIFS(TF_Timer,TF_Tekniker,AZ$4,TF_Dato,$A51))*2,0)/2)))</f>
        <v/>
      </c>
      <c r="BA51">
        <f>IF(OR(BA$4="",$A51&gt;TODAY()),0,IF(OR(INDEX($B51:$D51,BA$5)="F",AND(BA$6&gt;0,$A51&lt;BA$6),AND(BA$7&gt;0,$A51&gt;BA$7)),0,MAX(0,ROUND((INDEX($E51:$G51,BA$5)-SUMIFS(TF_Timer,TF_Tekniker,BA$4,TF_Dato,$A51))*2,0)/2)))</f>
        <v/>
      </c>
      <c r="BB51">
        <f>IF(OR(BB$4="",$A51&gt;TODAY()),0,IF(OR(INDEX($B51:$D51,BB$5)="F",AND(BB$6&gt;0,$A51&lt;BB$6),AND(BB$7&gt;0,$A51&gt;BB$7)),0,MAX(0,ROUND((INDEX($E51:$G51,BB$5)-SUMIFS(TF_Timer,TF_Tekniker,BB$4,TF_Dato,$A51))*2,0)/2)))</f>
        <v/>
      </c>
      <c r="BC51">
        <f>IF(OR(BC$4="",$A51&gt;TODAY()),0,IF(OR(INDEX($B51:$D51,BC$5)="F",AND(BC$6&gt;0,$A51&lt;BC$6),AND(BC$7&gt;0,$A51&gt;BC$7)),0,MAX(0,ROUND((INDEX($E51:$G51,BC$5)-SUMIFS(TF_Timer,TF_Tekniker,BC$4,TF_Dato,$A51))*2,0)/2)))</f>
        <v/>
      </c>
      <c r="BD51">
        <f>IF(OR(BD$4="",$A51&gt;TODAY()),0,IF(OR(INDEX($B51:$D51,BD$5)="F",AND(BD$6&gt;0,$A51&lt;BD$6),AND(BD$7&gt;0,$A51&gt;BD$7)),0,MAX(0,ROUND((INDEX($E51:$G51,BD$5)-SUMIFS(TF_Timer,TF_Tekniker,BD$4,TF_Dato,$A51))*2,0)/2)))</f>
        <v/>
      </c>
      <c r="BE51">
        <f>IF(OR(BE$4="",$A51&gt;TODAY()),0,IF(OR(INDEX($B51:$D51,BE$5)="F",AND(BE$6&gt;0,$A51&lt;BE$6),AND(BE$7&gt;0,$A51&gt;BE$7)),0,MAX(0,ROUND((INDEX($E51:$G51,BE$5)-SUMIFS(TF_Timer,TF_Tekniker,BE$4,TF_Dato,$A51))*2,0)/2)))</f>
        <v/>
      </c>
      <c r="BF51">
        <f>IF(OR(BF$4="",$A51&gt;TODAY()),0,IF(OR(INDEX($B51:$D51,BF$5)="F",AND(BF$6&gt;0,$A51&lt;BF$6),AND(BF$7&gt;0,$A51&gt;BF$7)),0,MAX(0,ROUND((INDEX($E51:$G51,BF$5)-SUMIFS(TF_Timer,TF_Tekniker,BF$4,TF_Dato,$A51))*2,0)/2)))</f>
        <v/>
      </c>
      <c r="BG51">
        <f>IF(OR(BG$4="",$A51&gt;TODAY()),0,IF(OR(INDEX($B51:$D51,BG$5)="F",AND(BG$6&gt;0,$A51&lt;BG$6),AND(BG$7&gt;0,$A51&gt;BG$7)),0,MAX(0,ROUND((INDEX($E51:$G51,BG$5)-SUMIFS(TF_Timer,TF_Tekniker,BG$4,TF_Dato,$A51))*2,0)/2)))</f>
        <v/>
      </c>
      <c r="BH51">
        <f>IF(OR(BH$4="",$A51&gt;TODAY()),0,IF(OR(INDEX($B51:$D51,BH$5)="F",AND(BH$6&gt;0,$A51&lt;BH$6),AND(BH$7&gt;0,$A51&gt;BH$7)),0,MAX(0,ROUND((INDEX($E51:$G51,BH$5)-SUMIFS(TF_Timer,TF_Tekniker,BH$4,TF_Dato,$A51))*2,0)/2)))</f>
        <v/>
      </c>
      <c r="BI51">
        <f>IF(OR(BI$4="",$A51&gt;TODAY()),0,IF(OR(INDEX($B51:$D51,BI$5)="F",AND(BI$6&gt;0,$A51&lt;BI$6),AND(BI$7&gt;0,$A51&gt;BI$7)),0,MAX(0,ROUND((INDEX($E51:$G51,BI$5)-SUMIFS(TF_Timer,TF_Tekniker,BI$4,TF_Dato,$A51))*2,0)/2)))</f>
        <v/>
      </c>
    </row>
    <row r="52">
      <c r="A52" s="64">
        <f>A51+1</f>
        <v/>
      </c>
      <c r="B52">
        <f>IF(MOD($A52-INDEX(SkiftStart,1),Syklus)&lt;DagK,"K",IF(MOD($A52-INDEX(SkiftStart,1),Syklus)&lt;DagK+DagH,"H",IF(MOD($A52-INDEX(SkiftStart,1),Syklus)&lt;DagK+DagH+DagD,"D","F")))</f>
        <v/>
      </c>
      <c r="C52">
        <f>IF(MOD($A52-INDEX(SkiftStart,2),Syklus)&lt;DagK,"K",IF(MOD($A52-INDEX(SkiftStart,2),Syklus)&lt;DagK+DagH,"H",IF(MOD($A52-INDEX(SkiftStart,2),Syklus)&lt;DagK+DagH+DagD,"D","F")))</f>
        <v/>
      </c>
      <c r="D52">
        <f>IF(MOD($A52-INDEX(SkiftStart,3),Syklus)&lt;DagK,"K",IF(MOD($A52-INDEX(SkiftStart,3),Syklus)&lt;DagK+DagH,"H",IF(MOD($A52-INDEX(SkiftStart,3),Syklus)&lt;DagK+DagH+DagD,"D","F")))</f>
        <v/>
      </c>
      <c r="E52">
        <f>IF(B52="F",0,IF(WEEKDAY($A52,2)=5,INDEX(TimerFr,MATCH(B52,FaseKode,0)),INDEX(TimerMT,MATCH(B52,FaseKode,0))))</f>
        <v/>
      </c>
      <c r="F52">
        <f>IF(C52="F",0,IF(WEEKDAY($A52,2)=5,INDEX(TimerFr,MATCH(C52,FaseKode,0)),INDEX(TimerMT,MATCH(C52,FaseKode,0))))</f>
        <v/>
      </c>
      <c r="G52">
        <f>IF(D52="F",0,IF(WEEKDAY($A52,2)=5,INDEX(TimerFr,MATCH(D52,FaseKode,0)),INDEX(TimerMT,MATCH(D52,FaseKode,0))))</f>
        <v/>
      </c>
      <c r="H52">
        <f>IF(OR(H$4="",$A52&gt;TODAY()),0,IF(OR(INDEX($B52:$D52,H$5)="F",AND(H$6&gt;0,$A52&lt;H$6),AND(H$7&gt;0,$A52&gt;H$7)),0,MAX(0,ROUND((INDEX($E52:$G52,H$5)-SUMIFS(TF_Timer,TF_Tekniker,H$4,TF_Dato,$A52))*2,0)/2)))</f>
        <v/>
      </c>
      <c r="I52">
        <f>IF(OR(I$4="",$A52&gt;TODAY()),0,IF(OR(INDEX($B52:$D52,I$5)="F",AND(I$6&gt;0,$A52&lt;I$6),AND(I$7&gt;0,$A52&gt;I$7)),0,MAX(0,ROUND((INDEX($E52:$G52,I$5)-SUMIFS(TF_Timer,TF_Tekniker,I$4,TF_Dato,$A52))*2,0)/2)))</f>
        <v/>
      </c>
      <c r="J52">
        <f>IF(OR(J$4="",$A52&gt;TODAY()),0,IF(OR(INDEX($B52:$D52,J$5)="F",AND(J$6&gt;0,$A52&lt;J$6),AND(J$7&gt;0,$A52&gt;J$7)),0,MAX(0,ROUND((INDEX($E52:$G52,J$5)-SUMIFS(TF_Timer,TF_Tekniker,J$4,TF_Dato,$A52))*2,0)/2)))</f>
        <v/>
      </c>
      <c r="K52">
        <f>IF(OR(K$4="",$A52&gt;TODAY()),0,IF(OR(INDEX($B52:$D52,K$5)="F",AND(K$6&gt;0,$A52&lt;K$6),AND(K$7&gt;0,$A52&gt;K$7)),0,MAX(0,ROUND((INDEX($E52:$G52,K$5)-SUMIFS(TF_Timer,TF_Tekniker,K$4,TF_Dato,$A52))*2,0)/2)))</f>
        <v/>
      </c>
      <c r="L52">
        <f>IF(OR(L$4="",$A52&gt;TODAY()),0,IF(OR(INDEX($B52:$D52,L$5)="F",AND(L$6&gt;0,$A52&lt;L$6),AND(L$7&gt;0,$A52&gt;L$7)),0,MAX(0,ROUND((INDEX($E52:$G52,L$5)-SUMIFS(TF_Timer,TF_Tekniker,L$4,TF_Dato,$A52))*2,0)/2)))</f>
        <v/>
      </c>
      <c r="M52">
        <f>IF(OR(M$4="",$A52&gt;TODAY()),0,IF(OR(INDEX($B52:$D52,M$5)="F",AND(M$6&gt;0,$A52&lt;M$6),AND(M$7&gt;0,$A52&gt;M$7)),0,MAX(0,ROUND((INDEX($E52:$G52,M$5)-SUMIFS(TF_Timer,TF_Tekniker,M$4,TF_Dato,$A52))*2,0)/2)))</f>
        <v/>
      </c>
      <c r="N52">
        <f>IF(OR(N$4="",$A52&gt;TODAY()),0,IF(OR(INDEX($B52:$D52,N$5)="F",AND(N$6&gt;0,$A52&lt;N$6),AND(N$7&gt;0,$A52&gt;N$7)),0,MAX(0,ROUND((INDEX($E52:$G52,N$5)-SUMIFS(TF_Timer,TF_Tekniker,N$4,TF_Dato,$A52))*2,0)/2)))</f>
        <v/>
      </c>
      <c r="O52">
        <f>IF(OR(O$4="",$A52&gt;TODAY()),0,IF(OR(INDEX($B52:$D52,O$5)="F",AND(O$6&gt;0,$A52&lt;O$6),AND(O$7&gt;0,$A52&gt;O$7)),0,MAX(0,ROUND((INDEX($E52:$G52,O$5)-SUMIFS(TF_Timer,TF_Tekniker,O$4,TF_Dato,$A52))*2,0)/2)))</f>
        <v/>
      </c>
      <c r="P52">
        <f>IF(OR(P$4="",$A52&gt;TODAY()),0,IF(OR(INDEX($B52:$D52,P$5)="F",AND(P$6&gt;0,$A52&lt;P$6),AND(P$7&gt;0,$A52&gt;P$7)),0,MAX(0,ROUND((INDEX($E52:$G52,P$5)-SUMIFS(TF_Timer,TF_Tekniker,P$4,TF_Dato,$A52))*2,0)/2)))</f>
        <v/>
      </c>
      <c r="Q52">
        <f>IF(OR(Q$4="",$A52&gt;TODAY()),0,IF(OR(INDEX($B52:$D52,Q$5)="F",AND(Q$6&gt;0,$A52&lt;Q$6),AND(Q$7&gt;0,$A52&gt;Q$7)),0,MAX(0,ROUND((INDEX($E52:$G52,Q$5)-SUMIFS(TF_Timer,TF_Tekniker,Q$4,TF_Dato,$A52))*2,0)/2)))</f>
        <v/>
      </c>
      <c r="R52">
        <f>IF(OR(R$4="",$A52&gt;TODAY()),0,IF(OR(INDEX($B52:$D52,R$5)="F",AND(R$6&gt;0,$A52&lt;R$6),AND(R$7&gt;0,$A52&gt;R$7)),0,MAX(0,ROUND((INDEX($E52:$G52,R$5)-SUMIFS(TF_Timer,TF_Tekniker,R$4,TF_Dato,$A52))*2,0)/2)))</f>
        <v/>
      </c>
      <c r="S52">
        <f>IF(OR(S$4="",$A52&gt;TODAY()),0,IF(OR(INDEX($B52:$D52,S$5)="F",AND(S$6&gt;0,$A52&lt;S$6),AND(S$7&gt;0,$A52&gt;S$7)),0,MAX(0,ROUND((INDEX($E52:$G52,S$5)-SUMIFS(TF_Timer,TF_Tekniker,S$4,TF_Dato,$A52))*2,0)/2)))</f>
        <v/>
      </c>
      <c r="T52">
        <f>IF(OR(T$4="",$A52&gt;TODAY()),0,IF(OR(INDEX($B52:$D52,T$5)="F",AND(T$6&gt;0,$A52&lt;T$6),AND(T$7&gt;0,$A52&gt;T$7)),0,MAX(0,ROUND((INDEX($E52:$G52,T$5)-SUMIFS(TF_Timer,TF_Tekniker,T$4,TF_Dato,$A52))*2,0)/2)))</f>
        <v/>
      </c>
      <c r="U52">
        <f>IF(OR(U$4="",$A52&gt;TODAY()),0,IF(OR(INDEX($B52:$D52,U$5)="F",AND(U$6&gt;0,$A52&lt;U$6),AND(U$7&gt;0,$A52&gt;U$7)),0,MAX(0,ROUND((INDEX($E52:$G52,U$5)-SUMIFS(TF_Timer,TF_Tekniker,U$4,TF_Dato,$A52))*2,0)/2)))</f>
        <v/>
      </c>
      <c r="V52">
        <f>IF(OR(V$4="",$A52&gt;TODAY()),0,IF(OR(INDEX($B52:$D52,V$5)="F",AND(V$6&gt;0,$A52&lt;V$6),AND(V$7&gt;0,$A52&gt;V$7)),0,MAX(0,ROUND((INDEX($E52:$G52,V$5)-SUMIFS(TF_Timer,TF_Tekniker,V$4,TF_Dato,$A52))*2,0)/2)))</f>
        <v/>
      </c>
      <c r="W52">
        <f>IF(OR(W$4="",$A52&gt;TODAY()),0,IF(OR(INDEX($B52:$D52,W$5)="F",AND(W$6&gt;0,$A52&lt;W$6),AND(W$7&gt;0,$A52&gt;W$7)),0,MAX(0,ROUND((INDEX($E52:$G52,W$5)-SUMIFS(TF_Timer,TF_Tekniker,W$4,TF_Dato,$A52))*2,0)/2)))</f>
        <v/>
      </c>
      <c r="X52">
        <f>IF(OR(X$4="",$A52&gt;TODAY()),0,IF(OR(INDEX($B52:$D52,X$5)="F",AND(X$6&gt;0,$A52&lt;X$6),AND(X$7&gt;0,$A52&gt;X$7)),0,MAX(0,ROUND((INDEX($E52:$G52,X$5)-SUMIFS(TF_Timer,TF_Tekniker,X$4,TF_Dato,$A52))*2,0)/2)))</f>
        <v/>
      </c>
      <c r="Y52">
        <f>IF(OR(Y$4="",$A52&gt;TODAY()),0,IF(OR(INDEX($B52:$D52,Y$5)="F",AND(Y$6&gt;0,$A52&lt;Y$6),AND(Y$7&gt;0,$A52&gt;Y$7)),0,MAX(0,ROUND((INDEX($E52:$G52,Y$5)-SUMIFS(TF_Timer,TF_Tekniker,Y$4,TF_Dato,$A52))*2,0)/2)))</f>
        <v/>
      </c>
      <c r="Z52">
        <f>IF(OR(Z$4="",$A52&gt;TODAY()),0,IF(OR(INDEX($B52:$D52,Z$5)="F",AND(Z$6&gt;0,$A52&lt;Z$6),AND(Z$7&gt;0,$A52&gt;Z$7)),0,MAX(0,ROUND((INDEX($E52:$G52,Z$5)-SUMIFS(TF_Timer,TF_Tekniker,Z$4,TF_Dato,$A52))*2,0)/2)))</f>
        <v/>
      </c>
      <c r="AA52">
        <f>IF(OR(AA$4="",$A52&gt;TODAY()),0,IF(OR(INDEX($B52:$D52,AA$5)="F",AND(AA$6&gt;0,$A52&lt;AA$6),AND(AA$7&gt;0,$A52&gt;AA$7)),0,MAX(0,ROUND((INDEX($E52:$G52,AA$5)-SUMIFS(TF_Timer,TF_Tekniker,AA$4,TF_Dato,$A52))*2,0)/2)))</f>
        <v/>
      </c>
      <c r="AB52">
        <f>IF(OR(AB$4="",$A52&gt;TODAY()),0,IF(OR(INDEX($B52:$D52,AB$5)="F",AND(AB$6&gt;0,$A52&lt;AB$6),AND(AB$7&gt;0,$A52&gt;AB$7)),0,MAX(0,ROUND((INDEX($E52:$G52,AB$5)-SUMIFS(TF_Timer,TF_Tekniker,AB$4,TF_Dato,$A52))*2,0)/2)))</f>
        <v/>
      </c>
      <c r="AC52">
        <f>IF(OR(AC$4="",$A52&gt;TODAY()),0,IF(OR(INDEX($B52:$D52,AC$5)="F",AND(AC$6&gt;0,$A52&lt;AC$6),AND(AC$7&gt;0,$A52&gt;AC$7)),0,MAX(0,ROUND((INDEX($E52:$G52,AC$5)-SUMIFS(TF_Timer,TF_Tekniker,AC$4,TF_Dato,$A52))*2,0)/2)))</f>
        <v/>
      </c>
      <c r="AD52">
        <f>IF(OR(AD$4="",$A52&gt;TODAY()),0,IF(OR(INDEX($B52:$D52,AD$5)="F",AND(AD$6&gt;0,$A52&lt;AD$6),AND(AD$7&gt;0,$A52&gt;AD$7)),0,MAX(0,ROUND((INDEX($E52:$G52,AD$5)-SUMIFS(TF_Timer,TF_Tekniker,AD$4,TF_Dato,$A52))*2,0)/2)))</f>
        <v/>
      </c>
      <c r="AE52">
        <f>IF(OR(AE$4="",$A52&gt;TODAY()),0,IF(OR(INDEX($B52:$D52,AE$5)="F",AND(AE$6&gt;0,$A52&lt;AE$6),AND(AE$7&gt;0,$A52&gt;AE$7)),0,MAX(0,ROUND((INDEX($E52:$G52,AE$5)-SUMIFS(TF_Timer,TF_Tekniker,AE$4,TF_Dato,$A52))*2,0)/2)))</f>
        <v/>
      </c>
      <c r="AF52">
        <f>IF(OR(AF$4="",$A52&gt;TODAY()),0,IF(OR(INDEX($B52:$D52,AF$5)="F",AND(AF$6&gt;0,$A52&lt;AF$6),AND(AF$7&gt;0,$A52&gt;AF$7)),0,MAX(0,ROUND((INDEX($E52:$G52,AF$5)-SUMIFS(TF_Timer,TF_Tekniker,AF$4,TF_Dato,$A52))*2,0)/2)))</f>
        <v/>
      </c>
      <c r="AG52">
        <f>IF(OR(AG$4="",$A52&gt;TODAY()),0,IF(OR(INDEX($B52:$D52,AG$5)="F",AND(AG$6&gt;0,$A52&lt;AG$6),AND(AG$7&gt;0,$A52&gt;AG$7)),0,MAX(0,ROUND((INDEX($E52:$G52,AG$5)-SUMIFS(TF_Timer,TF_Tekniker,AG$4,TF_Dato,$A52))*2,0)/2)))</f>
        <v/>
      </c>
      <c r="AH52">
        <f>IF(OR(AH$4="",$A52&gt;TODAY()),0,IF(OR(INDEX($B52:$D52,AH$5)="F",AND(AH$6&gt;0,$A52&lt;AH$6),AND(AH$7&gt;0,$A52&gt;AH$7)),0,MAX(0,ROUND((INDEX($E52:$G52,AH$5)-SUMIFS(TF_Timer,TF_Tekniker,AH$4,TF_Dato,$A52))*2,0)/2)))</f>
        <v/>
      </c>
      <c r="AI52">
        <f>IF(OR(AI$4="",$A52&gt;TODAY()),0,IF(OR(INDEX($B52:$D52,AI$5)="F",AND(AI$6&gt;0,$A52&lt;AI$6),AND(AI$7&gt;0,$A52&gt;AI$7)),0,MAX(0,ROUND((INDEX($E52:$G52,AI$5)-SUMIFS(TF_Timer,TF_Tekniker,AI$4,TF_Dato,$A52))*2,0)/2)))</f>
        <v/>
      </c>
      <c r="AJ52">
        <f>IF(OR(AJ$4="",$A52&gt;TODAY()),0,IF(OR(INDEX($B52:$D52,AJ$5)="F",AND(AJ$6&gt;0,$A52&lt;AJ$6),AND(AJ$7&gt;0,$A52&gt;AJ$7)),0,MAX(0,ROUND((INDEX($E52:$G52,AJ$5)-SUMIFS(TF_Timer,TF_Tekniker,AJ$4,TF_Dato,$A52))*2,0)/2)))</f>
        <v/>
      </c>
      <c r="AK52">
        <f>IF(OR(AK$4="",$A52&gt;TODAY()),0,IF(OR(INDEX($B52:$D52,AK$5)="F",AND(AK$6&gt;0,$A52&lt;AK$6),AND(AK$7&gt;0,$A52&gt;AK$7)),0,MAX(0,ROUND((INDEX($E52:$G52,AK$5)-SUMIFS(TF_Timer,TF_Tekniker,AK$4,TF_Dato,$A52))*2,0)/2)))</f>
        <v/>
      </c>
      <c r="AL52">
        <f>IF(OR(AL$4="",$A52&gt;TODAY()),0,IF(OR(INDEX($B52:$D52,AL$5)="F",AND(AL$6&gt;0,$A52&lt;AL$6),AND(AL$7&gt;0,$A52&gt;AL$7)),0,MAX(0,ROUND((INDEX($E52:$G52,AL$5)-SUMIFS(TF_Timer,TF_Tekniker,AL$4,TF_Dato,$A52))*2,0)/2)))</f>
        <v/>
      </c>
      <c r="AM52">
        <f>IF(OR(AM$4="",$A52&gt;TODAY()),0,IF(OR(INDEX($B52:$D52,AM$5)="F",AND(AM$6&gt;0,$A52&lt;AM$6),AND(AM$7&gt;0,$A52&gt;AM$7)),0,MAX(0,ROUND((INDEX($E52:$G52,AM$5)-SUMIFS(TF_Timer,TF_Tekniker,AM$4,TF_Dato,$A52))*2,0)/2)))</f>
        <v/>
      </c>
      <c r="AN52">
        <f>IF(OR(AN$4="",$A52&gt;TODAY()),0,IF(OR(INDEX($B52:$D52,AN$5)="F",AND(AN$6&gt;0,$A52&lt;AN$6),AND(AN$7&gt;0,$A52&gt;AN$7)),0,MAX(0,ROUND((INDEX($E52:$G52,AN$5)-SUMIFS(TF_Timer,TF_Tekniker,AN$4,TF_Dato,$A52))*2,0)/2)))</f>
        <v/>
      </c>
      <c r="AO52">
        <f>IF(OR(AO$4="",$A52&gt;TODAY()),0,IF(OR(INDEX($B52:$D52,AO$5)="F",AND(AO$6&gt;0,$A52&lt;AO$6),AND(AO$7&gt;0,$A52&gt;AO$7)),0,MAX(0,ROUND((INDEX($E52:$G52,AO$5)-SUMIFS(TF_Timer,TF_Tekniker,AO$4,TF_Dato,$A52))*2,0)/2)))</f>
        <v/>
      </c>
      <c r="AP52">
        <f>IF(OR(AP$4="",$A52&gt;TODAY()),0,IF(OR(INDEX($B52:$D52,AP$5)="F",AND(AP$6&gt;0,$A52&lt;AP$6),AND(AP$7&gt;0,$A52&gt;AP$7)),0,MAX(0,ROUND((INDEX($E52:$G52,AP$5)-SUMIFS(TF_Timer,TF_Tekniker,AP$4,TF_Dato,$A52))*2,0)/2)))</f>
        <v/>
      </c>
      <c r="AQ52">
        <f>IF(OR(AQ$4="",$A52&gt;TODAY()),0,IF(OR(INDEX($B52:$D52,AQ$5)="F",AND(AQ$6&gt;0,$A52&lt;AQ$6),AND(AQ$7&gt;0,$A52&gt;AQ$7)),0,MAX(0,ROUND((INDEX($E52:$G52,AQ$5)-SUMIFS(TF_Timer,TF_Tekniker,AQ$4,TF_Dato,$A52))*2,0)/2)))</f>
        <v/>
      </c>
      <c r="AR52">
        <f>IF(OR(AR$4="",$A52&gt;TODAY()),0,IF(OR(INDEX($B52:$D52,AR$5)="F",AND(AR$6&gt;0,$A52&lt;AR$6),AND(AR$7&gt;0,$A52&gt;AR$7)),0,MAX(0,ROUND((INDEX($E52:$G52,AR$5)-SUMIFS(TF_Timer,TF_Tekniker,AR$4,TF_Dato,$A52))*2,0)/2)))</f>
        <v/>
      </c>
      <c r="AS52">
        <f>IF(OR(AS$4="",$A52&gt;TODAY()),0,IF(OR(INDEX($B52:$D52,AS$5)="F",AND(AS$6&gt;0,$A52&lt;AS$6),AND(AS$7&gt;0,$A52&gt;AS$7)),0,MAX(0,ROUND((INDEX($E52:$G52,AS$5)-SUMIFS(TF_Timer,TF_Tekniker,AS$4,TF_Dato,$A52))*2,0)/2)))</f>
        <v/>
      </c>
      <c r="AT52">
        <f>IF(OR(AT$4="",$A52&gt;TODAY()),0,IF(OR(INDEX($B52:$D52,AT$5)="F",AND(AT$6&gt;0,$A52&lt;AT$6),AND(AT$7&gt;0,$A52&gt;AT$7)),0,MAX(0,ROUND((INDEX($E52:$G52,AT$5)-SUMIFS(TF_Timer,TF_Tekniker,AT$4,TF_Dato,$A52))*2,0)/2)))</f>
        <v/>
      </c>
      <c r="AU52">
        <f>IF(OR(AU$4="",$A52&gt;TODAY()),0,IF(OR(INDEX($B52:$D52,AU$5)="F",AND(AU$6&gt;0,$A52&lt;AU$6),AND(AU$7&gt;0,$A52&gt;AU$7)),0,MAX(0,ROUND((INDEX($E52:$G52,AU$5)-SUMIFS(TF_Timer,TF_Tekniker,AU$4,TF_Dato,$A52))*2,0)/2)))</f>
        <v/>
      </c>
      <c r="AV52">
        <f>IF(OR(AV$4="",$A52&gt;TODAY()),0,IF(OR(INDEX($B52:$D52,AV$5)="F",AND(AV$6&gt;0,$A52&lt;AV$6),AND(AV$7&gt;0,$A52&gt;AV$7)),0,MAX(0,ROUND((INDEX($E52:$G52,AV$5)-SUMIFS(TF_Timer,TF_Tekniker,AV$4,TF_Dato,$A52))*2,0)/2)))</f>
        <v/>
      </c>
      <c r="AW52">
        <f>IF(OR(AW$4="",$A52&gt;TODAY()),0,IF(OR(INDEX($B52:$D52,AW$5)="F",AND(AW$6&gt;0,$A52&lt;AW$6),AND(AW$7&gt;0,$A52&gt;AW$7)),0,MAX(0,ROUND((INDEX($E52:$G52,AW$5)-SUMIFS(TF_Timer,TF_Tekniker,AW$4,TF_Dato,$A52))*2,0)/2)))</f>
        <v/>
      </c>
      <c r="AX52">
        <f>IF(OR(AX$4="",$A52&gt;TODAY()),0,IF(OR(INDEX($B52:$D52,AX$5)="F",AND(AX$6&gt;0,$A52&lt;AX$6),AND(AX$7&gt;0,$A52&gt;AX$7)),0,MAX(0,ROUND((INDEX($E52:$G52,AX$5)-SUMIFS(TF_Timer,TF_Tekniker,AX$4,TF_Dato,$A52))*2,0)/2)))</f>
        <v/>
      </c>
      <c r="AY52">
        <f>IF(OR(AY$4="",$A52&gt;TODAY()),0,IF(OR(INDEX($B52:$D52,AY$5)="F",AND(AY$6&gt;0,$A52&lt;AY$6),AND(AY$7&gt;0,$A52&gt;AY$7)),0,MAX(0,ROUND((INDEX($E52:$G52,AY$5)-SUMIFS(TF_Timer,TF_Tekniker,AY$4,TF_Dato,$A52))*2,0)/2)))</f>
        <v/>
      </c>
      <c r="AZ52">
        <f>IF(OR(AZ$4="",$A52&gt;TODAY()),0,IF(OR(INDEX($B52:$D52,AZ$5)="F",AND(AZ$6&gt;0,$A52&lt;AZ$6),AND(AZ$7&gt;0,$A52&gt;AZ$7)),0,MAX(0,ROUND((INDEX($E52:$G52,AZ$5)-SUMIFS(TF_Timer,TF_Tekniker,AZ$4,TF_Dato,$A52))*2,0)/2)))</f>
        <v/>
      </c>
      <c r="BA52">
        <f>IF(OR(BA$4="",$A52&gt;TODAY()),0,IF(OR(INDEX($B52:$D52,BA$5)="F",AND(BA$6&gt;0,$A52&lt;BA$6),AND(BA$7&gt;0,$A52&gt;BA$7)),0,MAX(0,ROUND((INDEX($E52:$G52,BA$5)-SUMIFS(TF_Timer,TF_Tekniker,BA$4,TF_Dato,$A52))*2,0)/2)))</f>
        <v/>
      </c>
      <c r="BB52">
        <f>IF(OR(BB$4="",$A52&gt;TODAY()),0,IF(OR(INDEX($B52:$D52,BB$5)="F",AND(BB$6&gt;0,$A52&lt;BB$6),AND(BB$7&gt;0,$A52&gt;BB$7)),0,MAX(0,ROUND((INDEX($E52:$G52,BB$5)-SUMIFS(TF_Timer,TF_Tekniker,BB$4,TF_Dato,$A52))*2,0)/2)))</f>
        <v/>
      </c>
      <c r="BC52">
        <f>IF(OR(BC$4="",$A52&gt;TODAY()),0,IF(OR(INDEX($B52:$D52,BC$5)="F",AND(BC$6&gt;0,$A52&lt;BC$6),AND(BC$7&gt;0,$A52&gt;BC$7)),0,MAX(0,ROUND((INDEX($E52:$G52,BC$5)-SUMIFS(TF_Timer,TF_Tekniker,BC$4,TF_Dato,$A52))*2,0)/2)))</f>
        <v/>
      </c>
      <c r="BD52">
        <f>IF(OR(BD$4="",$A52&gt;TODAY()),0,IF(OR(INDEX($B52:$D52,BD$5)="F",AND(BD$6&gt;0,$A52&lt;BD$6),AND(BD$7&gt;0,$A52&gt;BD$7)),0,MAX(0,ROUND((INDEX($E52:$G52,BD$5)-SUMIFS(TF_Timer,TF_Tekniker,BD$4,TF_Dato,$A52))*2,0)/2)))</f>
        <v/>
      </c>
      <c r="BE52">
        <f>IF(OR(BE$4="",$A52&gt;TODAY()),0,IF(OR(INDEX($B52:$D52,BE$5)="F",AND(BE$6&gt;0,$A52&lt;BE$6),AND(BE$7&gt;0,$A52&gt;BE$7)),0,MAX(0,ROUND((INDEX($E52:$G52,BE$5)-SUMIFS(TF_Timer,TF_Tekniker,BE$4,TF_Dato,$A52))*2,0)/2)))</f>
        <v/>
      </c>
      <c r="BF52">
        <f>IF(OR(BF$4="",$A52&gt;TODAY()),0,IF(OR(INDEX($B52:$D52,BF$5)="F",AND(BF$6&gt;0,$A52&lt;BF$6),AND(BF$7&gt;0,$A52&gt;BF$7)),0,MAX(0,ROUND((INDEX($E52:$G52,BF$5)-SUMIFS(TF_Timer,TF_Tekniker,BF$4,TF_Dato,$A52))*2,0)/2)))</f>
        <v/>
      </c>
      <c r="BG52">
        <f>IF(OR(BG$4="",$A52&gt;TODAY()),0,IF(OR(INDEX($B52:$D52,BG$5)="F",AND(BG$6&gt;0,$A52&lt;BG$6),AND(BG$7&gt;0,$A52&gt;BG$7)),0,MAX(0,ROUND((INDEX($E52:$G52,BG$5)-SUMIFS(TF_Timer,TF_Tekniker,BG$4,TF_Dato,$A52))*2,0)/2)))</f>
        <v/>
      </c>
      <c r="BH52">
        <f>IF(OR(BH$4="",$A52&gt;TODAY()),0,IF(OR(INDEX($B52:$D52,BH$5)="F",AND(BH$6&gt;0,$A52&lt;BH$6),AND(BH$7&gt;0,$A52&gt;BH$7)),0,MAX(0,ROUND((INDEX($E52:$G52,BH$5)-SUMIFS(TF_Timer,TF_Tekniker,BH$4,TF_Dato,$A52))*2,0)/2)))</f>
        <v/>
      </c>
      <c r="BI52">
        <f>IF(OR(BI$4="",$A52&gt;TODAY()),0,IF(OR(INDEX($B52:$D52,BI$5)="F",AND(BI$6&gt;0,$A52&lt;BI$6),AND(BI$7&gt;0,$A52&gt;BI$7)),0,MAX(0,ROUND((INDEX($E52:$G52,BI$5)-SUMIFS(TF_Timer,TF_Tekniker,BI$4,TF_Dato,$A52))*2,0)/2)))</f>
        <v/>
      </c>
    </row>
    <row r="53">
      <c r="A53" s="64">
        <f>A52+1</f>
        <v/>
      </c>
      <c r="B53">
        <f>IF(MOD($A53-INDEX(SkiftStart,1),Syklus)&lt;DagK,"K",IF(MOD($A53-INDEX(SkiftStart,1),Syklus)&lt;DagK+DagH,"H",IF(MOD($A53-INDEX(SkiftStart,1),Syklus)&lt;DagK+DagH+DagD,"D","F")))</f>
        <v/>
      </c>
      <c r="C53">
        <f>IF(MOD($A53-INDEX(SkiftStart,2),Syklus)&lt;DagK,"K",IF(MOD($A53-INDEX(SkiftStart,2),Syklus)&lt;DagK+DagH,"H",IF(MOD($A53-INDEX(SkiftStart,2),Syklus)&lt;DagK+DagH+DagD,"D","F")))</f>
        <v/>
      </c>
      <c r="D53">
        <f>IF(MOD($A53-INDEX(SkiftStart,3),Syklus)&lt;DagK,"K",IF(MOD($A53-INDEX(SkiftStart,3),Syklus)&lt;DagK+DagH,"H",IF(MOD($A53-INDEX(SkiftStart,3),Syklus)&lt;DagK+DagH+DagD,"D","F")))</f>
        <v/>
      </c>
      <c r="E53">
        <f>IF(B53="F",0,IF(WEEKDAY($A53,2)=5,INDEX(TimerFr,MATCH(B53,FaseKode,0)),INDEX(TimerMT,MATCH(B53,FaseKode,0))))</f>
        <v/>
      </c>
      <c r="F53">
        <f>IF(C53="F",0,IF(WEEKDAY($A53,2)=5,INDEX(TimerFr,MATCH(C53,FaseKode,0)),INDEX(TimerMT,MATCH(C53,FaseKode,0))))</f>
        <v/>
      </c>
      <c r="G53">
        <f>IF(D53="F",0,IF(WEEKDAY($A53,2)=5,INDEX(TimerFr,MATCH(D53,FaseKode,0)),INDEX(TimerMT,MATCH(D53,FaseKode,0))))</f>
        <v/>
      </c>
      <c r="H53">
        <f>IF(OR(H$4="",$A53&gt;TODAY()),0,IF(OR(INDEX($B53:$D53,H$5)="F",AND(H$6&gt;0,$A53&lt;H$6),AND(H$7&gt;0,$A53&gt;H$7)),0,MAX(0,ROUND((INDEX($E53:$G53,H$5)-SUMIFS(TF_Timer,TF_Tekniker,H$4,TF_Dato,$A53))*2,0)/2)))</f>
        <v/>
      </c>
      <c r="I53">
        <f>IF(OR(I$4="",$A53&gt;TODAY()),0,IF(OR(INDEX($B53:$D53,I$5)="F",AND(I$6&gt;0,$A53&lt;I$6),AND(I$7&gt;0,$A53&gt;I$7)),0,MAX(0,ROUND((INDEX($E53:$G53,I$5)-SUMIFS(TF_Timer,TF_Tekniker,I$4,TF_Dato,$A53))*2,0)/2)))</f>
        <v/>
      </c>
      <c r="J53">
        <f>IF(OR(J$4="",$A53&gt;TODAY()),0,IF(OR(INDEX($B53:$D53,J$5)="F",AND(J$6&gt;0,$A53&lt;J$6),AND(J$7&gt;0,$A53&gt;J$7)),0,MAX(0,ROUND((INDEX($E53:$G53,J$5)-SUMIFS(TF_Timer,TF_Tekniker,J$4,TF_Dato,$A53))*2,0)/2)))</f>
        <v/>
      </c>
      <c r="K53">
        <f>IF(OR(K$4="",$A53&gt;TODAY()),0,IF(OR(INDEX($B53:$D53,K$5)="F",AND(K$6&gt;0,$A53&lt;K$6),AND(K$7&gt;0,$A53&gt;K$7)),0,MAX(0,ROUND((INDEX($E53:$G53,K$5)-SUMIFS(TF_Timer,TF_Tekniker,K$4,TF_Dato,$A53))*2,0)/2)))</f>
        <v/>
      </c>
      <c r="L53">
        <f>IF(OR(L$4="",$A53&gt;TODAY()),0,IF(OR(INDEX($B53:$D53,L$5)="F",AND(L$6&gt;0,$A53&lt;L$6),AND(L$7&gt;0,$A53&gt;L$7)),0,MAX(0,ROUND((INDEX($E53:$G53,L$5)-SUMIFS(TF_Timer,TF_Tekniker,L$4,TF_Dato,$A53))*2,0)/2)))</f>
        <v/>
      </c>
      <c r="M53">
        <f>IF(OR(M$4="",$A53&gt;TODAY()),0,IF(OR(INDEX($B53:$D53,M$5)="F",AND(M$6&gt;0,$A53&lt;M$6),AND(M$7&gt;0,$A53&gt;M$7)),0,MAX(0,ROUND((INDEX($E53:$G53,M$5)-SUMIFS(TF_Timer,TF_Tekniker,M$4,TF_Dato,$A53))*2,0)/2)))</f>
        <v/>
      </c>
      <c r="N53">
        <f>IF(OR(N$4="",$A53&gt;TODAY()),0,IF(OR(INDEX($B53:$D53,N$5)="F",AND(N$6&gt;0,$A53&lt;N$6),AND(N$7&gt;0,$A53&gt;N$7)),0,MAX(0,ROUND((INDEX($E53:$G53,N$5)-SUMIFS(TF_Timer,TF_Tekniker,N$4,TF_Dato,$A53))*2,0)/2)))</f>
        <v/>
      </c>
      <c r="O53">
        <f>IF(OR(O$4="",$A53&gt;TODAY()),0,IF(OR(INDEX($B53:$D53,O$5)="F",AND(O$6&gt;0,$A53&lt;O$6),AND(O$7&gt;0,$A53&gt;O$7)),0,MAX(0,ROUND((INDEX($E53:$G53,O$5)-SUMIFS(TF_Timer,TF_Tekniker,O$4,TF_Dato,$A53))*2,0)/2)))</f>
        <v/>
      </c>
      <c r="P53">
        <f>IF(OR(P$4="",$A53&gt;TODAY()),0,IF(OR(INDEX($B53:$D53,P$5)="F",AND(P$6&gt;0,$A53&lt;P$6),AND(P$7&gt;0,$A53&gt;P$7)),0,MAX(0,ROUND((INDEX($E53:$G53,P$5)-SUMIFS(TF_Timer,TF_Tekniker,P$4,TF_Dato,$A53))*2,0)/2)))</f>
        <v/>
      </c>
      <c r="Q53">
        <f>IF(OR(Q$4="",$A53&gt;TODAY()),0,IF(OR(INDEX($B53:$D53,Q$5)="F",AND(Q$6&gt;0,$A53&lt;Q$6),AND(Q$7&gt;0,$A53&gt;Q$7)),0,MAX(0,ROUND((INDEX($E53:$G53,Q$5)-SUMIFS(TF_Timer,TF_Tekniker,Q$4,TF_Dato,$A53))*2,0)/2)))</f>
        <v/>
      </c>
      <c r="R53">
        <f>IF(OR(R$4="",$A53&gt;TODAY()),0,IF(OR(INDEX($B53:$D53,R$5)="F",AND(R$6&gt;0,$A53&lt;R$6),AND(R$7&gt;0,$A53&gt;R$7)),0,MAX(0,ROUND((INDEX($E53:$G53,R$5)-SUMIFS(TF_Timer,TF_Tekniker,R$4,TF_Dato,$A53))*2,0)/2)))</f>
        <v/>
      </c>
      <c r="S53">
        <f>IF(OR(S$4="",$A53&gt;TODAY()),0,IF(OR(INDEX($B53:$D53,S$5)="F",AND(S$6&gt;0,$A53&lt;S$6),AND(S$7&gt;0,$A53&gt;S$7)),0,MAX(0,ROUND((INDEX($E53:$G53,S$5)-SUMIFS(TF_Timer,TF_Tekniker,S$4,TF_Dato,$A53))*2,0)/2)))</f>
        <v/>
      </c>
      <c r="T53">
        <f>IF(OR(T$4="",$A53&gt;TODAY()),0,IF(OR(INDEX($B53:$D53,T$5)="F",AND(T$6&gt;0,$A53&lt;T$6),AND(T$7&gt;0,$A53&gt;T$7)),0,MAX(0,ROUND((INDEX($E53:$G53,T$5)-SUMIFS(TF_Timer,TF_Tekniker,T$4,TF_Dato,$A53))*2,0)/2)))</f>
        <v/>
      </c>
      <c r="U53">
        <f>IF(OR(U$4="",$A53&gt;TODAY()),0,IF(OR(INDEX($B53:$D53,U$5)="F",AND(U$6&gt;0,$A53&lt;U$6),AND(U$7&gt;0,$A53&gt;U$7)),0,MAX(0,ROUND((INDEX($E53:$G53,U$5)-SUMIFS(TF_Timer,TF_Tekniker,U$4,TF_Dato,$A53))*2,0)/2)))</f>
        <v/>
      </c>
      <c r="V53">
        <f>IF(OR(V$4="",$A53&gt;TODAY()),0,IF(OR(INDEX($B53:$D53,V$5)="F",AND(V$6&gt;0,$A53&lt;V$6),AND(V$7&gt;0,$A53&gt;V$7)),0,MAX(0,ROUND((INDEX($E53:$G53,V$5)-SUMIFS(TF_Timer,TF_Tekniker,V$4,TF_Dato,$A53))*2,0)/2)))</f>
        <v/>
      </c>
      <c r="W53">
        <f>IF(OR(W$4="",$A53&gt;TODAY()),0,IF(OR(INDEX($B53:$D53,W$5)="F",AND(W$6&gt;0,$A53&lt;W$6),AND(W$7&gt;0,$A53&gt;W$7)),0,MAX(0,ROUND((INDEX($E53:$G53,W$5)-SUMIFS(TF_Timer,TF_Tekniker,W$4,TF_Dato,$A53))*2,0)/2)))</f>
        <v/>
      </c>
      <c r="X53">
        <f>IF(OR(X$4="",$A53&gt;TODAY()),0,IF(OR(INDEX($B53:$D53,X$5)="F",AND(X$6&gt;0,$A53&lt;X$6),AND(X$7&gt;0,$A53&gt;X$7)),0,MAX(0,ROUND((INDEX($E53:$G53,X$5)-SUMIFS(TF_Timer,TF_Tekniker,X$4,TF_Dato,$A53))*2,0)/2)))</f>
        <v/>
      </c>
      <c r="Y53">
        <f>IF(OR(Y$4="",$A53&gt;TODAY()),0,IF(OR(INDEX($B53:$D53,Y$5)="F",AND(Y$6&gt;0,$A53&lt;Y$6),AND(Y$7&gt;0,$A53&gt;Y$7)),0,MAX(0,ROUND((INDEX($E53:$G53,Y$5)-SUMIFS(TF_Timer,TF_Tekniker,Y$4,TF_Dato,$A53))*2,0)/2)))</f>
        <v/>
      </c>
      <c r="Z53">
        <f>IF(OR(Z$4="",$A53&gt;TODAY()),0,IF(OR(INDEX($B53:$D53,Z$5)="F",AND(Z$6&gt;0,$A53&lt;Z$6),AND(Z$7&gt;0,$A53&gt;Z$7)),0,MAX(0,ROUND((INDEX($E53:$G53,Z$5)-SUMIFS(TF_Timer,TF_Tekniker,Z$4,TF_Dato,$A53))*2,0)/2)))</f>
        <v/>
      </c>
      <c r="AA53">
        <f>IF(OR(AA$4="",$A53&gt;TODAY()),0,IF(OR(INDEX($B53:$D53,AA$5)="F",AND(AA$6&gt;0,$A53&lt;AA$6),AND(AA$7&gt;0,$A53&gt;AA$7)),0,MAX(0,ROUND((INDEX($E53:$G53,AA$5)-SUMIFS(TF_Timer,TF_Tekniker,AA$4,TF_Dato,$A53))*2,0)/2)))</f>
        <v/>
      </c>
      <c r="AB53">
        <f>IF(OR(AB$4="",$A53&gt;TODAY()),0,IF(OR(INDEX($B53:$D53,AB$5)="F",AND(AB$6&gt;0,$A53&lt;AB$6),AND(AB$7&gt;0,$A53&gt;AB$7)),0,MAX(0,ROUND((INDEX($E53:$G53,AB$5)-SUMIFS(TF_Timer,TF_Tekniker,AB$4,TF_Dato,$A53))*2,0)/2)))</f>
        <v/>
      </c>
      <c r="AC53">
        <f>IF(OR(AC$4="",$A53&gt;TODAY()),0,IF(OR(INDEX($B53:$D53,AC$5)="F",AND(AC$6&gt;0,$A53&lt;AC$6),AND(AC$7&gt;0,$A53&gt;AC$7)),0,MAX(0,ROUND((INDEX($E53:$G53,AC$5)-SUMIFS(TF_Timer,TF_Tekniker,AC$4,TF_Dato,$A53))*2,0)/2)))</f>
        <v/>
      </c>
      <c r="AD53">
        <f>IF(OR(AD$4="",$A53&gt;TODAY()),0,IF(OR(INDEX($B53:$D53,AD$5)="F",AND(AD$6&gt;0,$A53&lt;AD$6),AND(AD$7&gt;0,$A53&gt;AD$7)),0,MAX(0,ROUND((INDEX($E53:$G53,AD$5)-SUMIFS(TF_Timer,TF_Tekniker,AD$4,TF_Dato,$A53))*2,0)/2)))</f>
        <v/>
      </c>
      <c r="AE53">
        <f>IF(OR(AE$4="",$A53&gt;TODAY()),0,IF(OR(INDEX($B53:$D53,AE$5)="F",AND(AE$6&gt;0,$A53&lt;AE$6),AND(AE$7&gt;0,$A53&gt;AE$7)),0,MAX(0,ROUND((INDEX($E53:$G53,AE$5)-SUMIFS(TF_Timer,TF_Tekniker,AE$4,TF_Dato,$A53))*2,0)/2)))</f>
        <v/>
      </c>
      <c r="AF53">
        <f>IF(OR(AF$4="",$A53&gt;TODAY()),0,IF(OR(INDEX($B53:$D53,AF$5)="F",AND(AF$6&gt;0,$A53&lt;AF$6),AND(AF$7&gt;0,$A53&gt;AF$7)),0,MAX(0,ROUND((INDEX($E53:$G53,AF$5)-SUMIFS(TF_Timer,TF_Tekniker,AF$4,TF_Dato,$A53))*2,0)/2)))</f>
        <v/>
      </c>
      <c r="AG53">
        <f>IF(OR(AG$4="",$A53&gt;TODAY()),0,IF(OR(INDEX($B53:$D53,AG$5)="F",AND(AG$6&gt;0,$A53&lt;AG$6),AND(AG$7&gt;0,$A53&gt;AG$7)),0,MAX(0,ROUND((INDEX($E53:$G53,AG$5)-SUMIFS(TF_Timer,TF_Tekniker,AG$4,TF_Dato,$A53))*2,0)/2)))</f>
        <v/>
      </c>
      <c r="AH53">
        <f>IF(OR(AH$4="",$A53&gt;TODAY()),0,IF(OR(INDEX($B53:$D53,AH$5)="F",AND(AH$6&gt;0,$A53&lt;AH$6),AND(AH$7&gt;0,$A53&gt;AH$7)),0,MAX(0,ROUND((INDEX($E53:$G53,AH$5)-SUMIFS(TF_Timer,TF_Tekniker,AH$4,TF_Dato,$A53))*2,0)/2)))</f>
        <v/>
      </c>
      <c r="AI53">
        <f>IF(OR(AI$4="",$A53&gt;TODAY()),0,IF(OR(INDEX($B53:$D53,AI$5)="F",AND(AI$6&gt;0,$A53&lt;AI$6),AND(AI$7&gt;0,$A53&gt;AI$7)),0,MAX(0,ROUND((INDEX($E53:$G53,AI$5)-SUMIFS(TF_Timer,TF_Tekniker,AI$4,TF_Dato,$A53))*2,0)/2)))</f>
        <v/>
      </c>
      <c r="AJ53">
        <f>IF(OR(AJ$4="",$A53&gt;TODAY()),0,IF(OR(INDEX($B53:$D53,AJ$5)="F",AND(AJ$6&gt;0,$A53&lt;AJ$6),AND(AJ$7&gt;0,$A53&gt;AJ$7)),0,MAX(0,ROUND((INDEX($E53:$G53,AJ$5)-SUMIFS(TF_Timer,TF_Tekniker,AJ$4,TF_Dato,$A53))*2,0)/2)))</f>
        <v/>
      </c>
      <c r="AK53">
        <f>IF(OR(AK$4="",$A53&gt;TODAY()),0,IF(OR(INDEX($B53:$D53,AK$5)="F",AND(AK$6&gt;0,$A53&lt;AK$6),AND(AK$7&gt;0,$A53&gt;AK$7)),0,MAX(0,ROUND((INDEX($E53:$G53,AK$5)-SUMIFS(TF_Timer,TF_Tekniker,AK$4,TF_Dato,$A53))*2,0)/2)))</f>
        <v/>
      </c>
      <c r="AL53">
        <f>IF(OR(AL$4="",$A53&gt;TODAY()),0,IF(OR(INDEX($B53:$D53,AL$5)="F",AND(AL$6&gt;0,$A53&lt;AL$6),AND(AL$7&gt;0,$A53&gt;AL$7)),0,MAX(0,ROUND((INDEX($E53:$G53,AL$5)-SUMIFS(TF_Timer,TF_Tekniker,AL$4,TF_Dato,$A53))*2,0)/2)))</f>
        <v/>
      </c>
      <c r="AM53">
        <f>IF(OR(AM$4="",$A53&gt;TODAY()),0,IF(OR(INDEX($B53:$D53,AM$5)="F",AND(AM$6&gt;0,$A53&lt;AM$6),AND(AM$7&gt;0,$A53&gt;AM$7)),0,MAX(0,ROUND((INDEX($E53:$G53,AM$5)-SUMIFS(TF_Timer,TF_Tekniker,AM$4,TF_Dato,$A53))*2,0)/2)))</f>
        <v/>
      </c>
      <c r="AN53">
        <f>IF(OR(AN$4="",$A53&gt;TODAY()),0,IF(OR(INDEX($B53:$D53,AN$5)="F",AND(AN$6&gt;0,$A53&lt;AN$6),AND(AN$7&gt;0,$A53&gt;AN$7)),0,MAX(0,ROUND((INDEX($E53:$G53,AN$5)-SUMIFS(TF_Timer,TF_Tekniker,AN$4,TF_Dato,$A53))*2,0)/2)))</f>
        <v/>
      </c>
      <c r="AO53">
        <f>IF(OR(AO$4="",$A53&gt;TODAY()),0,IF(OR(INDEX($B53:$D53,AO$5)="F",AND(AO$6&gt;0,$A53&lt;AO$6),AND(AO$7&gt;0,$A53&gt;AO$7)),0,MAX(0,ROUND((INDEX($E53:$G53,AO$5)-SUMIFS(TF_Timer,TF_Tekniker,AO$4,TF_Dato,$A53))*2,0)/2)))</f>
        <v/>
      </c>
      <c r="AP53">
        <f>IF(OR(AP$4="",$A53&gt;TODAY()),0,IF(OR(INDEX($B53:$D53,AP$5)="F",AND(AP$6&gt;0,$A53&lt;AP$6),AND(AP$7&gt;0,$A53&gt;AP$7)),0,MAX(0,ROUND((INDEX($E53:$G53,AP$5)-SUMIFS(TF_Timer,TF_Tekniker,AP$4,TF_Dato,$A53))*2,0)/2)))</f>
        <v/>
      </c>
      <c r="AQ53">
        <f>IF(OR(AQ$4="",$A53&gt;TODAY()),0,IF(OR(INDEX($B53:$D53,AQ$5)="F",AND(AQ$6&gt;0,$A53&lt;AQ$6),AND(AQ$7&gt;0,$A53&gt;AQ$7)),0,MAX(0,ROUND((INDEX($E53:$G53,AQ$5)-SUMIFS(TF_Timer,TF_Tekniker,AQ$4,TF_Dato,$A53))*2,0)/2)))</f>
        <v/>
      </c>
      <c r="AR53">
        <f>IF(OR(AR$4="",$A53&gt;TODAY()),0,IF(OR(INDEX($B53:$D53,AR$5)="F",AND(AR$6&gt;0,$A53&lt;AR$6),AND(AR$7&gt;0,$A53&gt;AR$7)),0,MAX(0,ROUND((INDEX($E53:$G53,AR$5)-SUMIFS(TF_Timer,TF_Tekniker,AR$4,TF_Dato,$A53))*2,0)/2)))</f>
        <v/>
      </c>
      <c r="AS53">
        <f>IF(OR(AS$4="",$A53&gt;TODAY()),0,IF(OR(INDEX($B53:$D53,AS$5)="F",AND(AS$6&gt;0,$A53&lt;AS$6),AND(AS$7&gt;0,$A53&gt;AS$7)),0,MAX(0,ROUND((INDEX($E53:$G53,AS$5)-SUMIFS(TF_Timer,TF_Tekniker,AS$4,TF_Dato,$A53))*2,0)/2)))</f>
        <v/>
      </c>
      <c r="AT53">
        <f>IF(OR(AT$4="",$A53&gt;TODAY()),0,IF(OR(INDEX($B53:$D53,AT$5)="F",AND(AT$6&gt;0,$A53&lt;AT$6),AND(AT$7&gt;0,$A53&gt;AT$7)),0,MAX(0,ROUND((INDEX($E53:$G53,AT$5)-SUMIFS(TF_Timer,TF_Tekniker,AT$4,TF_Dato,$A53))*2,0)/2)))</f>
        <v/>
      </c>
      <c r="AU53">
        <f>IF(OR(AU$4="",$A53&gt;TODAY()),0,IF(OR(INDEX($B53:$D53,AU$5)="F",AND(AU$6&gt;0,$A53&lt;AU$6),AND(AU$7&gt;0,$A53&gt;AU$7)),0,MAX(0,ROUND((INDEX($E53:$G53,AU$5)-SUMIFS(TF_Timer,TF_Tekniker,AU$4,TF_Dato,$A53))*2,0)/2)))</f>
        <v/>
      </c>
      <c r="AV53">
        <f>IF(OR(AV$4="",$A53&gt;TODAY()),0,IF(OR(INDEX($B53:$D53,AV$5)="F",AND(AV$6&gt;0,$A53&lt;AV$6),AND(AV$7&gt;0,$A53&gt;AV$7)),0,MAX(0,ROUND((INDEX($E53:$G53,AV$5)-SUMIFS(TF_Timer,TF_Tekniker,AV$4,TF_Dato,$A53))*2,0)/2)))</f>
        <v/>
      </c>
      <c r="AW53">
        <f>IF(OR(AW$4="",$A53&gt;TODAY()),0,IF(OR(INDEX($B53:$D53,AW$5)="F",AND(AW$6&gt;0,$A53&lt;AW$6),AND(AW$7&gt;0,$A53&gt;AW$7)),0,MAX(0,ROUND((INDEX($E53:$G53,AW$5)-SUMIFS(TF_Timer,TF_Tekniker,AW$4,TF_Dato,$A53))*2,0)/2)))</f>
        <v/>
      </c>
      <c r="AX53">
        <f>IF(OR(AX$4="",$A53&gt;TODAY()),0,IF(OR(INDEX($B53:$D53,AX$5)="F",AND(AX$6&gt;0,$A53&lt;AX$6),AND(AX$7&gt;0,$A53&gt;AX$7)),0,MAX(0,ROUND((INDEX($E53:$G53,AX$5)-SUMIFS(TF_Timer,TF_Tekniker,AX$4,TF_Dato,$A53))*2,0)/2)))</f>
        <v/>
      </c>
      <c r="AY53">
        <f>IF(OR(AY$4="",$A53&gt;TODAY()),0,IF(OR(INDEX($B53:$D53,AY$5)="F",AND(AY$6&gt;0,$A53&lt;AY$6),AND(AY$7&gt;0,$A53&gt;AY$7)),0,MAX(0,ROUND((INDEX($E53:$G53,AY$5)-SUMIFS(TF_Timer,TF_Tekniker,AY$4,TF_Dato,$A53))*2,0)/2)))</f>
        <v/>
      </c>
      <c r="AZ53">
        <f>IF(OR(AZ$4="",$A53&gt;TODAY()),0,IF(OR(INDEX($B53:$D53,AZ$5)="F",AND(AZ$6&gt;0,$A53&lt;AZ$6),AND(AZ$7&gt;0,$A53&gt;AZ$7)),0,MAX(0,ROUND((INDEX($E53:$G53,AZ$5)-SUMIFS(TF_Timer,TF_Tekniker,AZ$4,TF_Dato,$A53))*2,0)/2)))</f>
        <v/>
      </c>
      <c r="BA53">
        <f>IF(OR(BA$4="",$A53&gt;TODAY()),0,IF(OR(INDEX($B53:$D53,BA$5)="F",AND(BA$6&gt;0,$A53&lt;BA$6),AND(BA$7&gt;0,$A53&gt;BA$7)),0,MAX(0,ROUND((INDEX($E53:$G53,BA$5)-SUMIFS(TF_Timer,TF_Tekniker,BA$4,TF_Dato,$A53))*2,0)/2)))</f>
        <v/>
      </c>
      <c r="BB53">
        <f>IF(OR(BB$4="",$A53&gt;TODAY()),0,IF(OR(INDEX($B53:$D53,BB$5)="F",AND(BB$6&gt;0,$A53&lt;BB$6),AND(BB$7&gt;0,$A53&gt;BB$7)),0,MAX(0,ROUND((INDEX($E53:$G53,BB$5)-SUMIFS(TF_Timer,TF_Tekniker,BB$4,TF_Dato,$A53))*2,0)/2)))</f>
        <v/>
      </c>
      <c r="BC53">
        <f>IF(OR(BC$4="",$A53&gt;TODAY()),0,IF(OR(INDEX($B53:$D53,BC$5)="F",AND(BC$6&gt;0,$A53&lt;BC$6),AND(BC$7&gt;0,$A53&gt;BC$7)),0,MAX(0,ROUND((INDEX($E53:$G53,BC$5)-SUMIFS(TF_Timer,TF_Tekniker,BC$4,TF_Dato,$A53))*2,0)/2)))</f>
        <v/>
      </c>
      <c r="BD53">
        <f>IF(OR(BD$4="",$A53&gt;TODAY()),0,IF(OR(INDEX($B53:$D53,BD$5)="F",AND(BD$6&gt;0,$A53&lt;BD$6),AND(BD$7&gt;0,$A53&gt;BD$7)),0,MAX(0,ROUND((INDEX($E53:$G53,BD$5)-SUMIFS(TF_Timer,TF_Tekniker,BD$4,TF_Dato,$A53))*2,0)/2)))</f>
        <v/>
      </c>
      <c r="BE53">
        <f>IF(OR(BE$4="",$A53&gt;TODAY()),0,IF(OR(INDEX($B53:$D53,BE$5)="F",AND(BE$6&gt;0,$A53&lt;BE$6),AND(BE$7&gt;0,$A53&gt;BE$7)),0,MAX(0,ROUND((INDEX($E53:$G53,BE$5)-SUMIFS(TF_Timer,TF_Tekniker,BE$4,TF_Dato,$A53))*2,0)/2)))</f>
        <v/>
      </c>
      <c r="BF53">
        <f>IF(OR(BF$4="",$A53&gt;TODAY()),0,IF(OR(INDEX($B53:$D53,BF$5)="F",AND(BF$6&gt;0,$A53&lt;BF$6),AND(BF$7&gt;0,$A53&gt;BF$7)),0,MAX(0,ROUND((INDEX($E53:$G53,BF$5)-SUMIFS(TF_Timer,TF_Tekniker,BF$4,TF_Dato,$A53))*2,0)/2)))</f>
        <v/>
      </c>
      <c r="BG53">
        <f>IF(OR(BG$4="",$A53&gt;TODAY()),0,IF(OR(INDEX($B53:$D53,BG$5)="F",AND(BG$6&gt;0,$A53&lt;BG$6),AND(BG$7&gt;0,$A53&gt;BG$7)),0,MAX(0,ROUND((INDEX($E53:$G53,BG$5)-SUMIFS(TF_Timer,TF_Tekniker,BG$4,TF_Dato,$A53))*2,0)/2)))</f>
        <v/>
      </c>
      <c r="BH53">
        <f>IF(OR(BH$4="",$A53&gt;TODAY()),0,IF(OR(INDEX($B53:$D53,BH$5)="F",AND(BH$6&gt;0,$A53&lt;BH$6),AND(BH$7&gt;0,$A53&gt;BH$7)),0,MAX(0,ROUND((INDEX($E53:$G53,BH$5)-SUMIFS(TF_Timer,TF_Tekniker,BH$4,TF_Dato,$A53))*2,0)/2)))</f>
        <v/>
      </c>
      <c r="BI53">
        <f>IF(OR(BI$4="",$A53&gt;TODAY()),0,IF(OR(INDEX($B53:$D53,BI$5)="F",AND(BI$6&gt;0,$A53&lt;BI$6),AND(BI$7&gt;0,$A53&gt;BI$7)),0,MAX(0,ROUND((INDEX($E53:$G53,BI$5)-SUMIFS(TF_Timer,TF_Tekniker,BI$4,TF_Dato,$A53))*2,0)/2)))</f>
        <v/>
      </c>
    </row>
    <row r="54">
      <c r="A54" s="64">
        <f>A53+1</f>
        <v/>
      </c>
      <c r="B54">
        <f>IF(MOD($A54-INDEX(SkiftStart,1),Syklus)&lt;DagK,"K",IF(MOD($A54-INDEX(SkiftStart,1),Syklus)&lt;DagK+DagH,"H",IF(MOD($A54-INDEX(SkiftStart,1),Syklus)&lt;DagK+DagH+DagD,"D","F")))</f>
        <v/>
      </c>
      <c r="C54">
        <f>IF(MOD($A54-INDEX(SkiftStart,2),Syklus)&lt;DagK,"K",IF(MOD($A54-INDEX(SkiftStart,2),Syklus)&lt;DagK+DagH,"H",IF(MOD($A54-INDEX(SkiftStart,2),Syklus)&lt;DagK+DagH+DagD,"D","F")))</f>
        <v/>
      </c>
      <c r="D54">
        <f>IF(MOD($A54-INDEX(SkiftStart,3),Syklus)&lt;DagK,"K",IF(MOD($A54-INDEX(SkiftStart,3),Syklus)&lt;DagK+DagH,"H",IF(MOD($A54-INDEX(SkiftStart,3),Syklus)&lt;DagK+DagH+DagD,"D","F")))</f>
        <v/>
      </c>
      <c r="E54">
        <f>IF(B54="F",0,IF(WEEKDAY($A54,2)=5,INDEX(TimerFr,MATCH(B54,FaseKode,0)),INDEX(TimerMT,MATCH(B54,FaseKode,0))))</f>
        <v/>
      </c>
      <c r="F54">
        <f>IF(C54="F",0,IF(WEEKDAY($A54,2)=5,INDEX(TimerFr,MATCH(C54,FaseKode,0)),INDEX(TimerMT,MATCH(C54,FaseKode,0))))</f>
        <v/>
      </c>
      <c r="G54">
        <f>IF(D54="F",0,IF(WEEKDAY($A54,2)=5,INDEX(TimerFr,MATCH(D54,FaseKode,0)),INDEX(TimerMT,MATCH(D54,FaseKode,0))))</f>
        <v/>
      </c>
      <c r="H54">
        <f>IF(OR(H$4="",$A54&gt;TODAY()),0,IF(OR(INDEX($B54:$D54,H$5)="F",AND(H$6&gt;0,$A54&lt;H$6),AND(H$7&gt;0,$A54&gt;H$7)),0,MAX(0,ROUND((INDEX($E54:$G54,H$5)-SUMIFS(TF_Timer,TF_Tekniker,H$4,TF_Dato,$A54))*2,0)/2)))</f>
        <v/>
      </c>
      <c r="I54">
        <f>IF(OR(I$4="",$A54&gt;TODAY()),0,IF(OR(INDEX($B54:$D54,I$5)="F",AND(I$6&gt;0,$A54&lt;I$6),AND(I$7&gt;0,$A54&gt;I$7)),0,MAX(0,ROUND((INDEX($E54:$G54,I$5)-SUMIFS(TF_Timer,TF_Tekniker,I$4,TF_Dato,$A54))*2,0)/2)))</f>
        <v/>
      </c>
      <c r="J54">
        <f>IF(OR(J$4="",$A54&gt;TODAY()),0,IF(OR(INDEX($B54:$D54,J$5)="F",AND(J$6&gt;0,$A54&lt;J$6),AND(J$7&gt;0,$A54&gt;J$7)),0,MAX(0,ROUND((INDEX($E54:$G54,J$5)-SUMIFS(TF_Timer,TF_Tekniker,J$4,TF_Dato,$A54))*2,0)/2)))</f>
        <v/>
      </c>
      <c r="K54">
        <f>IF(OR(K$4="",$A54&gt;TODAY()),0,IF(OR(INDEX($B54:$D54,K$5)="F",AND(K$6&gt;0,$A54&lt;K$6),AND(K$7&gt;0,$A54&gt;K$7)),0,MAX(0,ROUND((INDEX($E54:$G54,K$5)-SUMIFS(TF_Timer,TF_Tekniker,K$4,TF_Dato,$A54))*2,0)/2)))</f>
        <v/>
      </c>
      <c r="L54">
        <f>IF(OR(L$4="",$A54&gt;TODAY()),0,IF(OR(INDEX($B54:$D54,L$5)="F",AND(L$6&gt;0,$A54&lt;L$6),AND(L$7&gt;0,$A54&gt;L$7)),0,MAX(0,ROUND((INDEX($E54:$G54,L$5)-SUMIFS(TF_Timer,TF_Tekniker,L$4,TF_Dato,$A54))*2,0)/2)))</f>
        <v/>
      </c>
      <c r="M54">
        <f>IF(OR(M$4="",$A54&gt;TODAY()),0,IF(OR(INDEX($B54:$D54,M$5)="F",AND(M$6&gt;0,$A54&lt;M$6),AND(M$7&gt;0,$A54&gt;M$7)),0,MAX(0,ROUND((INDEX($E54:$G54,M$5)-SUMIFS(TF_Timer,TF_Tekniker,M$4,TF_Dato,$A54))*2,0)/2)))</f>
        <v/>
      </c>
      <c r="N54">
        <f>IF(OR(N$4="",$A54&gt;TODAY()),0,IF(OR(INDEX($B54:$D54,N$5)="F",AND(N$6&gt;0,$A54&lt;N$6),AND(N$7&gt;0,$A54&gt;N$7)),0,MAX(0,ROUND((INDEX($E54:$G54,N$5)-SUMIFS(TF_Timer,TF_Tekniker,N$4,TF_Dato,$A54))*2,0)/2)))</f>
        <v/>
      </c>
      <c r="O54">
        <f>IF(OR(O$4="",$A54&gt;TODAY()),0,IF(OR(INDEX($B54:$D54,O$5)="F",AND(O$6&gt;0,$A54&lt;O$6),AND(O$7&gt;0,$A54&gt;O$7)),0,MAX(0,ROUND((INDEX($E54:$G54,O$5)-SUMIFS(TF_Timer,TF_Tekniker,O$4,TF_Dato,$A54))*2,0)/2)))</f>
        <v/>
      </c>
      <c r="P54">
        <f>IF(OR(P$4="",$A54&gt;TODAY()),0,IF(OR(INDEX($B54:$D54,P$5)="F",AND(P$6&gt;0,$A54&lt;P$6),AND(P$7&gt;0,$A54&gt;P$7)),0,MAX(0,ROUND((INDEX($E54:$G54,P$5)-SUMIFS(TF_Timer,TF_Tekniker,P$4,TF_Dato,$A54))*2,0)/2)))</f>
        <v/>
      </c>
      <c r="Q54">
        <f>IF(OR(Q$4="",$A54&gt;TODAY()),0,IF(OR(INDEX($B54:$D54,Q$5)="F",AND(Q$6&gt;0,$A54&lt;Q$6),AND(Q$7&gt;0,$A54&gt;Q$7)),0,MAX(0,ROUND((INDEX($E54:$G54,Q$5)-SUMIFS(TF_Timer,TF_Tekniker,Q$4,TF_Dato,$A54))*2,0)/2)))</f>
        <v/>
      </c>
      <c r="R54">
        <f>IF(OR(R$4="",$A54&gt;TODAY()),0,IF(OR(INDEX($B54:$D54,R$5)="F",AND(R$6&gt;0,$A54&lt;R$6),AND(R$7&gt;0,$A54&gt;R$7)),0,MAX(0,ROUND((INDEX($E54:$G54,R$5)-SUMIFS(TF_Timer,TF_Tekniker,R$4,TF_Dato,$A54))*2,0)/2)))</f>
        <v/>
      </c>
      <c r="S54">
        <f>IF(OR(S$4="",$A54&gt;TODAY()),0,IF(OR(INDEX($B54:$D54,S$5)="F",AND(S$6&gt;0,$A54&lt;S$6),AND(S$7&gt;0,$A54&gt;S$7)),0,MAX(0,ROUND((INDEX($E54:$G54,S$5)-SUMIFS(TF_Timer,TF_Tekniker,S$4,TF_Dato,$A54))*2,0)/2)))</f>
        <v/>
      </c>
      <c r="T54">
        <f>IF(OR(T$4="",$A54&gt;TODAY()),0,IF(OR(INDEX($B54:$D54,T$5)="F",AND(T$6&gt;0,$A54&lt;T$6),AND(T$7&gt;0,$A54&gt;T$7)),0,MAX(0,ROUND((INDEX($E54:$G54,T$5)-SUMIFS(TF_Timer,TF_Tekniker,T$4,TF_Dato,$A54))*2,0)/2)))</f>
        <v/>
      </c>
      <c r="U54">
        <f>IF(OR(U$4="",$A54&gt;TODAY()),0,IF(OR(INDEX($B54:$D54,U$5)="F",AND(U$6&gt;0,$A54&lt;U$6),AND(U$7&gt;0,$A54&gt;U$7)),0,MAX(0,ROUND((INDEX($E54:$G54,U$5)-SUMIFS(TF_Timer,TF_Tekniker,U$4,TF_Dato,$A54))*2,0)/2)))</f>
        <v/>
      </c>
      <c r="V54">
        <f>IF(OR(V$4="",$A54&gt;TODAY()),0,IF(OR(INDEX($B54:$D54,V$5)="F",AND(V$6&gt;0,$A54&lt;V$6),AND(V$7&gt;0,$A54&gt;V$7)),0,MAX(0,ROUND((INDEX($E54:$G54,V$5)-SUMIFS(TF_Timer,TF_Tekniker,V$4,TF_Dato,$A54))*2,0)/2)))</f>
        <v/>
      </c>
      <c r="W54">
        <f>IF(OR(W$4="",$A54&gt;TODAY()),0,IF(OR(INDEX($B54:$D54,W$5)="F",AND(W$6&gt;0,$A54&lt;W$6),AND(W$7&gt;0,$A54&gt;W$7)),0,MAX(0,ROUND((INDEX($E54:$G54,W$5)-SUMIFS(TF_Timer,TF_Tekniker,W$4,TF_Dato,$A54))*2,0)/2)))</f>
        <v/>
      </c>
      <c r="X54">
        <f>IF(OR(X$4="",$A54&gt;TODAY()),0,IF(OR(INDEX($B54:$D54,X$5)="F",AND(X$6&gt;0,$A54&lt;X$6),AND(X$7&gt;0,$A54&gt;X$7)),0,MAX(0,ROUND((INDEX($E54:$G54,X$5)-SUMIFS(TF_Timer,TF_Tekniker,X$4,TF_Dato,$A54))*2,0)/2)))</f>
        <v/>
      </c>
      <c r="Y54">
        <f>IF(OR(Y$4="",$A54&gt;TODAY()),0,IF(OR(INDEX($B54:$D54,Y$5)="F",AND(Y$6&gt;0,$A54&lt;Y$6),AND(Y$7&gt;0,$A54&gt;Y$7)),0,MAX(0,ROUND((INDEX($E54:$G54,Y$5)-SUMIFS(TF_Timer,TF_Tekniker,Y$4,TF_Dato,$A54))*2,0)/2)))</f>
        <v/>
      </c>
      <c r="Z54">
        <f>IF(OR(Z$4="",$A54&gt;TODAY()),0,IF(OR(INDEX($B54:$D54,Z$5)="F",AND(Z$6&gt;0,$A54&lt;Z$6),AND(Z$7&gt;0,$A54&gt;Z$7)),0,MAX(0,ROUND((INDEX($E54:$G54,Z$5)-SUMIFS(TF_Timer,TF_Tekniker,Z$4,TF_Dato,$A54))*2,0)/2)))</f>
        <v/>
      </c>
      <c r="AA54">
        <f>IF(OR(AA$4="",$A54&gt;TODAY()),0,IF(OR(INDEX($B54:$D54,AA$5)="F",AND(AA$6&gt;0,$A54&lt;AA$6),AND(AA$7&gt;0,$A54&gt;AA$7)),0,MAX(0,ROUND((INDEX($E54:$G54,AA$5)-SUMIFS(TF_Timer,TF_Tekniker,AA$4,TF_Dato,$A54))*2,0)/2)))</f>
        <v/>
      </c>
      <c r="AB54">
        <f>IF(OR(AB$4="",$A54&gt;TODAY()),0,IF(OR(INDEX($B54:$D54,AB$5)="F",AND(AB$6&gt;0,$A54&lt;AB$6),AND(AB$7&gt;0,$A54&gt;AB$7)),0,MAX(0,ROUND((INDEX($E54:$G54,AB$5)-SUMIFS(TF_Timer,TF_Tekniker,AB$4,TF_Dato,$A54))*2,0)/2)))</f>
        <v/>
      </c>
      <c r="AC54">
        <f>IF(OR(AC$4="",$A54&gt;TODAY()),0,IF(OR(INDEX($B54:$D54,AC$5)="F",AND(AC$6&gt;0,$A54&lt;AC$6),AND(AC$7&gt;0,$A54&gt;AC$7)),0,MAX(0,ROUND((INDEX($E54:$G54,AC$5)-SUMIFS(TF_Timer,TF_Tekniker,AC$4,TF_Dato,$A54))*2,0)/2)))</f>
        <v/>
      </c>
      <c r="AD54">
        <f>IF(OR(AD$4="",$A54&gt;TODAY()),0,IF(OR(INDEX($B54:$D54,AD$5)="F",AND(AD$6&gt;0,$A54&lt;AD$6),AND(AD$7&gt;0,$A54&gt;AD$7)),0,MAX(0,ROUND((INDEX($E54:$G54,AD$5)-SUMIFS(TF_Timer,TF_Tekniker,AD$4,TF_Dato,$A54))*2,0)/2)))</f>
        <v/>
      </c>
      <c r="AE54">
        <f>IF(OR(AE$4="",$A54&gt;TODAY()),0,IF(OR(INDEX($B54:$D54,AE$5)="F",AND(AE$6&gt;0,$A54&lt;AE$6),AND(AE$7&gt;0,$A54&gt;AE$7)),0,MAX(0,ROUND((INDEX($E54:$G54,AE$5)-SUMIFS(TF_Timer,TF_Tekniker,AE$4,TF_Dato,$A54))*2,0)/2)))</f>
        <v/>
      </c>
      <c r="AF54">
        <f>IF(OR(AF$4="",$A54&gt;TODAY()),0,IF(OR(INDEX($B54:$D54,AF$5)="F",AND(AF$6&gt;0,$A54&lt;AF$6),AND(AF$7&gt;0,$A54&gt;AF$7)),0,MAX(0,ROUND((INDEX($E54:$G54,AF$5)-SUMIFS(TF_Timer,TF_Tekniker,AF$4,TF_Dato,$A54))*2,0)/2)))</f>
        <v/>
      </c>
      <c r="AG54">
        <f>IF(OR(AG$4="",$A54&gt;TODAY()),0,IF(OR(INDEX($B54:$D54,AG$5)="F",AND(AG$6&gt;0,$A54&lt;AG$6),AND(AG$7&gt;0,$A54&gt;AG$7)),0,MAX(0,ROUND((INDEX($E54:$G54,AG$5)-SUMIFS(TF_Timer,TF_Tekniker,AG$4,TF_Dato,$A54))*2,0)/2)))</f>
        <v/>
      </c>
      <c r="AH54">
        <f>IF(OR(AH$4="",$A54&gt;TODAY()),0,IF(OR(INDEX($B54:$D54,AH$5)="F",AND(AH$6&gt;0,$A54&lt;AH$6),AND(AH$7&gt;0,$A54&gt;AH$7)),0,MAX(0,ROUND((INDEX($E54:$G54,AH$5)-SUMIFS(TF_Timer,TF_Tekniker,AH$4,TF_Dato,$A54))*2,0)/2)))</f>
        <v/>
      </c>
      <c r="AI54">
        <f>IF(OR(AI$4="",$A54&gt;TODAY()),0,IF(OR(INDEX($B54:$D54,AI$5)="F",AND(AI$6&gt;0,$A54&lt;AI$6),AND(AI$7&gt;0,$A54&gt;AI$7)),0,MAX(0,ROUND((INDEX($E54:$G54,AI$5)-SUMIFS(TF_Timer,TF_Tekniker,AI$4,TF_Dato,$A54))*2,0)/2)))</f>
        <v/>
      </c>
      <c r="AJ54">
        <f>IF(OR(AJ$4="",$A54&gt;TODAY()),0,IF(OR(INDEX($B54:$D54,AJ$5)="F",AND(AJ$6&gt;0,$A54&lt;AJ$6),AND(AJ$7&gt;0,$A54&gt;AJ$7)),0,MAX(0,ROUND((INDEX($E54:$G54,AJ$5)-SUMIFS(TF_Timer,TF_Tekniker,AJ$4,TF_Dato,$A54))*2,0)/2)))</f>
        <v/>
      </c>
      <c r="AK54">
        <f>IF(OR(AK$4="",$A54&gt;TODAY()),0,IF(OR(INDEX($B54:$D54,AK$5)="F",AND(AK$6&gt;0,$A54&lt;AK$6),AND(AK$7&gt;0,$A54&gt;AK$7)),0,MAX(0,ROUND((INDEX($E54:$G54,AK$5)-SUMIFS(TF_Timer,TF_Tekniker,AK$4,TF_Dato,$A54))*2,0)/2)))</f>
        <v/>
      </c>
      <c r="AL54">
        <f>IF(OR(AL$4="",$A54&gt;TODAY()),0,IF(OR(INDEX($B54:$D54,AL$5)="F",AND(AL$6&gt;0,$A54&lt;AL$6),AND(AL$7&gt;0,$A54&gt;AL$7)),0,MAX(0,ROUND((INDEX($E54:$G54,AL$5)-SUMIFS(TF_Timer,TF_Tekniker,AL$4,TF_Dato,$A54))*2,0)/2)))</f>
        <v/>
      </c>
      <c r="AM54">
        <f>IF(OR(AM$4="",$A54&gt;TODAY()),0,IF(OR(INDEX($B54:$D54,AM$5)="F",AND(AM$6&gt;0,$A54&lt;AM$6),AND(AM$7&gt;0,$A54&gt;AM$7)),0,MAX(0,ROUND((INDEX($E54:$G54,AM$5)-SUMIFS(TF_Timer,TF_Tekniker,AM$4,TF_Dato,$A54))*2,0)/2)))</f>
        <v/>
      </c>
      <c r="AN54">
        <f>IF(OR(AN$4="",$A54&gt;TODAY()),0,IF(OR(INDEX($B54:$D54,AN$5)="F",AND(AN$6&gt;0,$A54&lt;AN$6),AND(AN$7&gt;0,$A54&gt;AN$7)),0,MAX(0,ROUND((INDEX($E54:$G54,AN$5)-SUMIFS(TF_Timer,TF_Tekniker,AN$4,TF_Dato,$A54))*2,0)/2)))</f>
        <v/>
      </c>
      <c r="AO54">
        <f>IF(OR(AO$4="",$A54&gt;TODAY()),0,IF(OR(INDEX($B54:$D54,AO$5)="F",AND(AO$6&gt;0,$A54&lt;AO$6),AND(AO$7&gt;0,$A54&gt;AO$7)),0,MAX(0,ROUND((INDEX($E54:$G54,AO$5)-SUMIFS(TF_Timer,TF_Tekniker,AO$4,TF_Dato,$A54))*2,0)/2)))</f>
        <v/>
      </c>
      <c r="AP54">
        <f>IF(OR(AP$4="",$A54&gt;TODAY()),0,IF(OR(INDEX($B54:$D54,AP$5)="F",AND(AP$6&gt;0,$A54&lt;AP$6),AND(AP$7&gt;0,$A54&gt;AP$7)),0,MAX(0,ROUND((INDEX($E54:$G54,AP$5)-SUMIFS(TF_Timer,TF_Tekniker,AP$4,TF_Dato,$A54))*2,0)/2)))</f>
        <v/>
      </c>
      <c r="AQ54">
        <f>IF(OR(AQ$4="",$A54&gt;TODAY()),0,IF(OR(INDEX($B54:$D54,AQ$5)="F",AND(AQ$6&gt;0,$A54&lt;AQ$6),AND(AQ$7&gt;0,$A54&gt;AQ$7)),0,MAX(0,ROUND((INDEX($E54:$G54,AQ$5)-SUMIFS(TF_Timer,TF_Tekniker,AQ$4,TF_Dato,$A54))*2,0)/2)))</f>
        <v/>
      </c>
      <c r="AR54">
        <f>IF(OR(AR$4="",$A54&gt;TODAY()),0,IF(OR(INDEX($B54:$D54,AR$5)="F",AND(AR$6&gt;0,$A54&lt;AR$6),AND(AR$7&gt;0,$A54&gt;AR$7)),0,MAX(0,ROUND((INDEX($E54:$G54,AR$5)-SUMIFS(TF_Timer,TF_Tekniker,AR$4,TF_Dato,$A54))*2,0)/2)))</f>
        <v/>
      </c>
      <c r="AS54">
        <f>IF(OR(AS$4="",$A54&gt;TODAY()),0,IF(OR(INDEX($B54:$D54,AS$5)="F",AND(AS$6&gt;0,$A54&lt;AS$6),AND(AS$7&gt;0,$A54&gt;AS$7)),0,MAX(0,ROUND((INDEX($E54:$G54,AS$5)-SUMIFS(TF_Timer,TF_Tekniker,AS$4,TF_Dato,$A54))*2,0)/2)))</f>
        <v/>
      </c>
      <c r="AT54">
        <f>IF(OR(AT$4="",$A54&gt;TODAY()),0,IF(OR(INDEX($B54:$D54,AT$5)="F",AND(AT$6&gt;0,$A54&lt;AT$6),AND(AT$7&gt;0,$A54&gt;AT$7)),0,MAX(0,ROUND((INDEX($E54:$G54,AT$5)-SUMIFS(TF_Timer,TF_Tekniker,AT$4,TF_Dato,$A54))*2,0)/2)))</f>
        <v/>
      </c>
      <c r="AU54">
        <f>IF(OR(AU$4="",$A54&gt;TODAY()),0,IF(OR(INDEX($B54:$D54,AU$5)="F",AND(AU$6&gt;0,$A54&lt;AU$6),AND(AU$7&gt;0,$A54&gt;AU$7)),0,MAX(0,ROUND((INDEX($E54:$G54,AU$5)-SUMIFS(TF_Timer,TF_Tekniker,AU$4,TF_Dato,$A54))*2,0)/2)))</f>
        <v/>
      </c>
      <c r="AV54">
        <f>IF(OR(AV$4="",$A54&gt;TODAY()),0,IF(OR(INDEX($B54:$D54,AV$5)="F",AND(AV$6&gt;0,$A54&lt;AV$6),AND(AV$7&gt;0,$A54&gt;AV$7)),0,MAX(0,ROUND((INDEX($E54:$G54,AV$5)-SUMIFS(TF_Timer,TF_Tekniker,AV$4,TF_Dato,$A54))*2,0)/2)))</f>
        <v/>
      </c>
      <c r="AW54">
        <f>IF(OR(AW$4="",$A54&gt;TODAY()),0,IF(OR(INDEX($B54:$D54,AW$5)="F",AND(AW$6&gt;0,$A54&lt;AW$6),AND(AW$7&gt;0,$A54&gt;AW$7)),0,MAX(0,ROUND((INDEX($E54:$G54,AW$5)-SUMIFS(TF_Timer,TF_Tekniker,AW$4,TF_Dato,$A54))*2,0)/2)))</f>
        <v/>
      </c>
      <c r="AX54">
        <f>IF(OR(AX$4="",$A54&gt;TODAY()),0,IF(OR(INDEX($B54:$D54,AX$5)="F",AND(AX$6&gt;0,$A54&lt;AX$6),AND(AX$7&gt;0,$A54&gt;AX$7)),0,MAX(0,ROUND((INDEX($E54:$G54,AX$5)-SUMIFS(TF_Timer,TF_Tekniker,AX$4,TF_Dato,$A54))*2,0)/2)))</f>
        <v/>
      </c>
      <c r="AY54">
        <f>IF(OR(AY$4="",$A54&gt;TODAY()),0,IF(OR(INDEX($B54:$D54,AY$5)="F",AND(AY$6&gt;0,$A54&lt;AY$6),AND(AY$7&gt;0,$A54&gt;AY$7)),0,MAX(0,ROUND((INDEX($E54:$G54,AY$5)-SUMIFS(TF_Timer,TF_Tekniker,AY$4,TF_Dato,$A54))*2,0)/2)))</f>
        <v/>
      </c>
      <c r="AZ54">
        <f>IF(OR(AZ$4="",$A54&gt;TODAY()),0,IF(OR(INDEX($B54:$D54,AZ$5)="F",AND(AZ$6&gt;0,$A54&lt;AZ$6),AND(AZ$7&gt;0,$A54&gt;AZ$7)),0,MAX(0,ROUND((INDEX($E54:$G54,AZ$5)-SUMIFS(TF_Timer,TF_Tekniker,AZ$4,TF_Dato,$A54))*2,0)/2)))</f>
        <v/>
      </c>
      <c r="BA54">
        <f>IF(OR(BA$4="",$A54&gt;TODAY()),0,IF(OR(INDEX($B54:$D54,BA$5)="F",AND(BA$6&gt;0,$A54&lt;BA$6),AND(BA$7&gt;0,$A54&gt;BA$7)),0,MAX(0,ROUND((INDEX($E54:$G54,BA$5)-SUMIFS(TF_Timer,TF_Tekniker,BA$4,TF_Dato,$A54))*2,0)/2)))</f>
        <v/>
      </c>
      <c r="BB54">
        <f>IF(OR(BB$4="",$A54&gt;TODAY()),0,IF(OR(INDEX($B54:$D54,BB$5)="F",AND(BB$6&gt;0,$A54&lt;BB$6),AND(BB$7&gt;0,$A54&gt;BB$7)),0,MAX(0,ROUND((INDEX($E54:$G54,BB$5)-SUMIFS(TF_Timer,TF_Tekniker,BB$4,TF_Dato,$A54))*2,0)/2)))</f>
        <v/>
      </c>
      <c r="BC54">
        <f>IF(OR(BC$4="",$A54&gt;TODAY()),0,IF(OR(INDEX($B54:$D54,BC$5)="F",AND(BC$6&gt;0,$A54&lt;BC$6),AND(BC$7&gt;0,$A54&gt;BC$7)),0,MAX(0,ROUND((INDEX($E54:$G54,BC$5)-SUMIFS(TF_Timer,TF_Tekniker,BC$4,TF_Dato,$A54))*2,0)/2)))</f>
        <v/>
      </c>
      <c r="BD54">
        <f>IF(OR(BD$4="",$A54&gt;TODAY()),0,IF(OR(INDEX($B54:$D54,BD$5)="F",AND(BD$6&gt;0,$A54&lt;BD$6),AND(BD$7&gt;0,$A54&gt;BD$7)),0,MAX(0,ROUND((INDEX($E54:$G54,BD$5)-SUMIFS(TF_Timer,TF_Tekniker,BD$4,TF_Dato,$A54))*2,0)/2)))</f>
        <v/>
      </c>
      <c r="BE54">
        <f>IF(OR(BE$4="",$A54&gt;TODAY()),0,IF(OR(INDEX($B54:$D54,BE$5)="F",AND(BE$6&gt;0,$A54&lt;BE$6),AND(BE$7&gt;0,$A54&gt;BE$7)),0,MAX(0,ROUND((INDEX($E54:$G54,BE$5)-SUMIFS(TF_Timer,TF_Tekniker,BE$4,TF_Dato,$A54))*2,0)/2)))</f>
        <v/>
      </c>
      <c r="BF54">
        <f>IF(OR(BF$4="",$A54&gt;TODAY()),0,IF(OR(INDEX($B54:$D54,BF$5)="F",AND(BF$6&gt;0,$A54&lt;BF$6),AND(BF$7&gt;0,$A54&gt;BF$7)),0,MAX(0,ROUND((INDEX($E54:$G54,BF$5)-SUMIFS(TF_Timer,TF_Tekniker,BF$4,TF_Dato,$A54))*2,0)/2)))</f>
        <v/>
      </c>
      <c r="BG54">
        <f>IF(OR(BG$4="",$A54&gt;TODAY()),0,IF(OR(INDEX($B54:$D54,BG$5)="F",AND(BG$6&gt;0,$A54&lt;BG$6),AND(BG$7&gt;0,$A54&gt;BG$7)),0,MAX(0,ROUND((INDEX($E54:$G54,BG$5)-SUMIFS(TF_Timer,TF_Tekniker,BG$4,TF_Dato,$A54))*2,0)/2)))</f>
        <v/>
      </c>
      <c r="BH54">
        <f>IF(OR(BH$4="",$A54&gt;TODAY()),0,IF(OR(INDEX($B54:$D54,BH$5)="F",AND(BH$6&gt;0,$A54&lt;BH$6),AND(BH$7&gt;0,$A54&gt;BH$7)),0,MAX(0,ROUND((INDEX($E54:$G54,BH$5)-SUMIFS(TF_Timer,TF_Tekniker,BH$4,TF_Dato,$A54))*2,0)/2)))</f>
        <v/>
      </c>
      <c r="BI54">
        <f>IF(OR(BI$4="",$A54&gt;TODAY()),0,IF(OR(INDEX($B54:$D54,BI$5)="F",AND(BI$6&gt;0,$A54&lt;BI$6),AND(BI$7&gt;0,$A54&gt;BI$7)),0,MAX(0,ROUND((INDEX($E54:$G54,BI$5)-SUMIFS(TF_Timer,TF_Tekniker,BI$4,TF_Dato,$A54))*2,0)/2)))</f>
        <v/>
      </c>
    </row>
    <row r="55">
      <c r="A55" s="64">
        <f>A54+1</f>
        <v/>
      </c>
      <c r="B55">
        <f>IF(MOD($A55-INDEX(SkiftStart,1),Syklus)&lt;DagK,"K",IF(MOD($A55-INDEX(SkiftStart,1),Syklus)&lt;DagK+DagH,"H",IF(MOD($A55-INDEX(SkiftStart,1),Syklus)&lt;DagK+DagH+DagD,"D","F")))</f>
        <v/>
      </c>
      <c r="C55">
        <f>IF(MOD($A55-INDEX(SkiftStart,2),Syklus)&lt;DagK,"K",IF(MOD($A55-INDEX(SkiftStart,2),Syklus)&lt;DagK+DagH,"H",IF(MOD($A55-INDEX(SkiftStart,2),Syklus)&lt;DagK+DagH+DagD,"D","F")))</f>
        <v/>
      </c>
      <c r="D55">
        <f>IF(MOD($A55-INDEX(SkiftStart,3),Syklus)&lt;DagK,"K",IF(MOD($A55-INDEX(SkiftStart,3),Syklus)&lt;DagK+DagH,"H",IF(MOD($A55-INDEX(SkiftStart,3),Syklus)&lt;DagK+DagH+DagD,"D","F")))</f>
        <v/>
      </c>
      <c r="E55">
        <f>IF(B55="F",0,IF(WEEKDAY($A55,2)=5,INDEX(TimerFr,MATCH(B55,FaseKode,0)),INDEX(TimerMT,MATCH(B55,FaseKode,0))))</f>
        <v/>
      </c>
      <c r="F55">
        <f>IF(C55="F",0,IF(WEEKDAY($A55,2)=5,INDEX(TimerFr,MATCH(C55,FaseKode,0)),INDEX(TimerMT,MATCH(C55,FaseKode,0))))</f>
        <v/>
      </c>
      <c r="G55">
        <f>IF(D55="F",0,IF(WEEKDAY($A55,2)=5,INDEX(TimerFr,MATCH(D55,FaseKode,0)),INDEX(TimerMT,MATCH(D55,FaseKode,0))))</f>
        <v/>
      </c>
      <c r="H55">
        <f>IF(OR(H$4="",$A55&gt;TODAY()),0,IF(OR(INDEX($B55:$D55,H$5)="F",AND(H$6&gt;0,$A55&lt;H$6),AND(H$7&gt;0,$A55&gt;H$7)),0,MAX(0,ROUND((INDEX($E55:$G55,H$5)-SUMIFS(TF_Timer,TF_Tekniker,H$4,TF_Dato,$A55))*2,0)/2)))</f>
        <v/>
      </c>
      <c r="I55">
        <f>IF(OR(I$4="",$A55&gt;TODAY()),0,IF(OR(INDEX($B55:$D55,I$5)="F",AND(I$6&gt;0,$A55&lt;I$6),AND(I$7&gt;0,$A55&gt;I$7)),0,MAX(0,ROUND((INDEX($E55:$G55,I$5)-SUMIFS(TF_Timer,TF_Tekniker,I$4,TF_Dato,$A55))*2,0)/2)))</f>
        <v/>
      </c>
      <c r="J55">
        <f>IF(OR(J$4="",$A55&gt;TODAY()),0,IF(OR(INDEX($B55:$D55,J$5)="F",AND(J$6&gt;0,$A55&lt;J$6),AND(J$7&gt;0,$A55&gt;J$7)),0,MAX(0,ROUND((INDEX($E55:$G55,J$5)-SUMIFS(TF_Timer,TF_Tekniker,J$4,TF_Dato,$A55))*2,0)/2)))</f>
        <v/>
      </c>
      <c r="K55">
        <f>IF(OR(K$4="",$A55&gt;TODAY()),0,IF(OR(INDEX($B55:$D55,K$5)="F",AND(K$6&gt;0,$A55&lt;K$6),AND(K$7&gt;0,$A55&gt;K$7)),0,MAX(0,ROUND((INDEX($E55:$G55,K$5)-SUMIFS(TF_Timer,TF_Tekniker,K$4,TF_Dato,$A55))*2,0)/2)))</f>
        <v/>
      </c>
      <c r="L55">
        <f>IF(OR(L$4="",$A55&gt;TODAY()),0,IF(OR(INDEX($B55:$D55,L$5)="F",AND(L$6&gt;0,$A55&lt;L$6),AND(L$7&gt;0,$A55&gt;L$7)),0,MAX(0,ROUND((INDEX($E55:$G55,L$5)-SUMIFS(TF_Timer,TF_Tekniker,L$4,TF_Dato,$A55))*2,0)/2)))</f>
        <v/>
      </c>
      <c r="M55">
        <f>IF(OR(M$4="",$A55&gt;TODAY()),0,IF(OR(INDEX($B55:$D55,M$5)="F",AND(M$6&gt;0,$A55&lt;M$6),AND(M$7&gt;0,$A55&gt;M$7)),0,MAX(0,ROUND((INDEX($E55:$G55,M$5)-SUMIFS(TF_Timer,TF_Tekniker,M$4,TF_Dato,$A55))*2,0)/2)))</f>
        <v/>
      </c>
      <c r="N55">
        <f>IF(OR(N$4="",$A55&gt;TODAY()),0,IF(OR(INDEX($B55:$D55,N$5)="F",AND(N$6&gt;0,$A55&lt;N$6),AND(N$7&gt;0,$A55&gt;N$7)),0,MAX(0,ROUND((INDEX($E55:$G55,N$5)-SUMIFS(TF_Timer,TF_Tekniker,N$4,TF_Dato,$A55))*2,0)/2)))</f>
        <v/>
      </c>
      <c r="O55">
        <f>IF(OR(O$4="",$A55&gt;TODAY()),0,IF(OR(INDEX($B55:$D55,O$5)="F",AND(O$6&gt;0,$A55&lt;O$6),AND(O$7&gt;0,$A55&gt;O$7)),0,MAX(0,ROUND((INDEX($E55:$G55,O$5)-SUMIFS(TF_Timer,TF_Tekniker,O$4,TF_Dato,$A55))*2,0)/2)))</f>
        <v/>
      </c>
      <c r="P55">
        <f>IF(OR(P$4="",$A55&gt;TODAY()),0,IF(OR(INDEX($B55:$D55,P$5)="F",AND(P$6&gt;0,$A55&lt;P$6),AND(P$7&gt;0,$A55&gt;P$7)),0,MAX(0,ROUND((INDEX($E55:$G55,P$5)-SUMIFS(TF_Timer,TF_Tekniker,P$4,TF_Dato,$A55))*2,0)/2)))</f>
        <v/>
      </c>
      <c r="Q55">
        <f>IF(OR(Q$4="",$A55&gt;TODAY()),0,IF(OR(INDEX($B55:$D55,Q$5)="F",AND(Q$6&gt;0,$A55&lt;Q$6),AND(Q$7&gt;0,$A55&gt;Q$7)),0,MAX(0,ROUND((INDEX($E55:$G55,Q$5)-SUMIFS(TF_Timer,TF_Tekniker,Q$4,TF_Dato,$A55))*2,0)/2)))</f>
        <v/>
      </c>
      <c r="R55">
        <f>IF(OR(R$4="",$A55&gt;TODAY()),0,IF(OR(INDEX($B55:$D55,R$5)="F",AND(R$6&gt;0,$A55&lt;R$6),AND(R$7&gt;0,$A55&gt;R$7)),0,MAX(0,ROUND((INDEX($E55:$G55,R$5)-SUMIFS(TF_Timer,TF_Tekniker,R$4,TF_Dato,$A55))*2,0)/2)))</f>
        <v/>
      </c>
      <c r="S55">
        <f>IF(OR(S$4="",$A55&gt;TODAY()),0,IF(OR(INDEX($B55:$D55,S$5)="F",AND(S$6&gt;0,$A55&lt;S$6),AND(S$7&gt;0,$A55&gt;S$7)),0,MAX(0,ROUND((INDEX($E55:$G55,S$5)-SUMIFS(TF_Timer,TF_Tekniker,S$4,TF_Dato,$A55))*2,0)/2)))</f>
        <v/>
      </c>
      <c r="T55">
        <f>IF(OR(T$4="",$A55&gt;TODAY()),0,IF(OR(INDEX($B55:$D55,T$5)="F",AND(T$6&gt;0,$A55&lt;T$6),AND(T$7&gt;0,$A55&gt;T$7)),0,MAX(0,ROUND((INDEX($E55:$G55,T$5)-SUMIFS(TF_Timer,TF_Tekniker,T$4,TF_Dato,$A55))*2,0)/2)))</f>
        <v/>
      </c>
      <c r="U55">
        <f>IF(OR(U$4="",$A55&gt;TODAY()),0,IF(OR(INDEX($B55:$D55,U$5)="F",AND(U$6&gt;0,$A55&lt;U$6),AND(U$7&gt;0,$A55&gt;U$7)),0,MAX(0,ROUND((INDEX($E55:$G55,U$5)-SUMIFS(TF_Timer,TF_Tekniker,U$4,TF_Dato,$A55))*2,0)/2)))</f>
        <v/>
      </c>
      <c r="V55">
        <f>IF(OR(V$4="",$A55&gt;TODAY()),0,IF(OR(INDEX($B55:$D55,V$5)="F",AND(V$6&gt;0,$A55&lt;V$6),AND(V$7&gt;0,$A55&gt;V$7)),0,MAX(0,ROUND((INDEX($E55:$G55,V$5)-SUMIFS(TF_Timer,TF_Tekniker,V$4,TF_Dato,$A55))*2,0)/2)))</f>
        <v/>
      </c>
      <c r="W55">
        <f>IF(OR(W$4="",$A55&gt;TODAY()),0,IF(OR(INDEX($B55:$D55,W$5)="F",AND(W$6&gt;0,$A55&lt;W$6),AND(W$7&gt;0,$A55&gt;W$7)),0,MAX(0,ROUND((INDEX($E55:$G55,W$5)-SUMIFS(TF_Timer,TF_Tekniker,W$4,TF_Dato,$A55))*2,0)/2)))</f>
        <v/>
      </c>
      <c r="X55">
        <f>IF(OR(X$4="",$A55&gt;TODAY()),0,IF(OR(INDEX($B55:$D55,X$5)="F",AND(X$6&gt;0,$A55&lt;X$6),AND(X$7&gt;0,$A55&gt;X$7)),0,MAX(0,ROUND((INDEX($E55:$G55,X$5)-SUMIFS(TF_Timer,TF_Tekniker,X$4,TF_Dato,$A55))*2,0)/2)))</f>
        <v/>
      </c>
      <c r="Y55">
        <f>IF(OR(Y$4="",$A55&gt;TODAY()),0,IF(OR(INDEX($B55:$D55,Y$5)="F",AND(Y$6&gt;0,$A55&lt;Y$6),AND(Y$7&gt;0,$A55&gt;Y$7)),0,MAX(0,ROUND((INDEX($E55:$G55,Y$5)-SUMIFS(TF_Timer,TF_Tekniker,Y$4,TF_Dato,$A55))*2,0)/2)))</f>
        <v/>
      </c>
      <c r="Z55">
        <f>IF(OR(Z$4="",$A55&gt;TODAY()),0,IF(OR(INDEX($B55:$D55,Z$5)="F",AND(Z$6&gt;0,$A55&lt;Z$6),AND(Z$7&gt;0,$A55&gt;Z$7)),0,MAX(0,ROUND((INDEX($E55:$G55,Z$5)-SUMIFS(TF_Timer,TF_Tekniker,Z$4,TF_Dato,$A55))*2,0)/2)))</f>
        <v/>
      </c>
      <c r="AA55">
        <f>IF(OR(AA$4="",$A55&gt;TODAY()),0,IF(OR(INDEX($B55:$D55,AA$5)="F",AND(AA$6&gt;0,$A55&lt;AA$6),AND(AA$7&gt;0,$A55&gt;AA$7)),0,MAX(0,ROUND((INDEX($E55:$G55,AA$5)-SUMIFS(TF_Timer,TF_Tekniker,AA$4,TF_Dato,$A55))*2,0)/2)))</f>
        <v/>
      </c>
      <c r="AB55">
        <f>IF(OR(AB$4="",$A55&gt;TODAY()),0,IF(OR(INDEX($B55:$D55,AB$5)="F",AND(AB$6&gt;0,$A55&lt;AB$6),AND(AB$7&gt;0,$A55&gt;AB$7)),0,MAX(0,ROUND((INDEX($E55:$G55,AB$5)-SUMIFS(TF_Timer,TF_Tekniker,AB$4,TF_Dato,$A55))*2,0)/2)))</f>
        <v/>
      </c>
      <c r="AC55">
        <f>IF(OR(AC$4="",$A55&gt;TODAY()),0,IF(OR(INDEX($B55:$D55,AC$5)="F",AND(AC$6&gt;0,$A55&lt;AC$6),AND(AC$7&gt;0,$A55&gt;AC$7)),0,MAX(0,ROUND((INDEX($E55:$G55,AC$5)-SUMIFS(TF_Timer,TF_Tekniker,AC$4,TF_Dato,$A55))*2,0)/2)))</f>
        <v/>
      </c>
      <c r="AD55">
        <f>IF(OR(AD$4="",$A55&gt;TODAY()),0,IF(OR(INDEX($B55:$D55,AD$5)="F",AND(AD$6&gt;0,$A55&lt;AD$6),AND(AD$7&gt;0,$A55&gt;AD$7)),0,MAX(0,ROUND((INDEX($E55:$G55,AD$5)-SUMIFS(TF_Timer,TF_Tekniker,AD$4,TF_Dato,$A55))*2,0)/2)))</f>
        <v/>
      </c>
      <c r="AE55">
        <f>IF(OR(AE$4="",$A55&gt;TODAY()),0,IF(OR(INDEX($B55:$D55,AE$5)="F",AND(AE$6&gt;0,$A55&lt;AE$6),AND(AE$7&gt;0,$A55&gt;AE$7)),0,MAX(0,ROUND((INDEX($E55:$G55,AE$5)-SUMIFS(TF_Timer,TF_Tekniker,AE$4,TF_Dato,$A55))*2,0)/2)))</f>
        <v/>
      </c>
      <c r="AF55">
        <f>IF(OR(AF$4="",$A55&gt;TODAY()),0,IF(OR(INDEX($B55:$D55,AF$5)="F",AND(AF$6&gt;0,$A55&lt;AF$6),AND(AF$7&gt;0,$A55&gt;AF$7)),0,MAX(0,ROUND((INDEX($E55:$G55,AF$5)-SUMIFS(TF_Timer,TF_Tekniker,AF$4,TF_Dato,$A55))*2,0)/2)))</f>
        <v/>
      </c>
      <c r="AG55">
        <f>IF(OR(AG$4="",$A55&gt;TODAY()),0,IF(OR(INDEX($B55:$D55,AG$5)="F",AND(AG$6&gt;0,$A55&lt;AG$6),AND(AG$7&gt;0,$A55&gt;AG$7)),0,MAX(0,ROUND((INDEX($E55:$G55,AG$5)-SUMIFS(TF_Timer,TF_Tekniker,AG$4,TF_Dato,$A55))*2,0)/2)))</f>
        <v/>
      </c>
      <c r="AH55">
        <f>IF(OR(AH$4="",$A55&gt;TODAY()),0,IF(OR(INDEX($B55:$D55,AH$5)="F",AND(AH$6&gt;0,$A55&lt;AH$6),AND(AH$7&gt;0,$A55&gt;AH$7)),0,MAX(0,ROUND((INDEX($E55:$G55,AH$5)-SUMIFS(TF_Timer,TF_Tekniker,AH$4,TF_Dato,$A55))*2,0)/2)))</f>
        <v/>
      </c>
      <c r="AI55">
        <f>IF(OR(AI$4="",$A55&gt;TODAY()),0,IF(OR(INDEX($B55:$D55,AI$5)="F",AND(AI$6&gt;0,$A55&lt;AI$6),AND(AI$7&gt;0,$A55&gt;AI$7)),0,MAX(0,ROUND((INDEX($E55:$G55,AI$5)-SUMIFS(TF_Timer,TF_Tekniker,AI$4,TF_Dato,$A55))*2,0)/2)))</f>
        <v/>
      </c>
      <c r="AJ55">
        <f>IF(OR(AJ$4="",$A55&gt;TODAY()),0,IF(OR(INDEX($B55:$D55,AJ$5)="F",AND(AJ$6&gt;0,$A55&lt;AJ$6),AND(AJ$7&gt;0,$A55&gt;AJ$7)),0,MAX(0,ROUND((INDEX($E55:$G55,AJ$5)-SUMIFS(TF_Timer,TF_Tekniker,AJ$4,TF_Dato,$A55))*2,0)/2)))</f>
        <v/>
      </c>
      <c r="AK55">
        <f>IF(OR(AK$4="",$A55&gt;TODAY()),0,IF(OR(INDEX($B55:$D55,AK$5)="F",AND(AK$6&gt;0,$A55&lt;AK$6),AND(AK$7&gt;0,$A55&gt;AK$7)),0,MAX(0,ROUND((INDEX($E55:$G55,AK$5)-SUMIFS(TF_Timer,TF_Tekniker,AK$4,TF_Dato,$A55))*2,0)/2)))</f>
        <v/>
      </c>
      <c r="AL55">
        <f>IF(OR(AL$4="",$A55&gt;TODAY()),0,IF(OR(INDEX($B55:$D55,AL$5)="F",AND(AL$6&gt;0,$A55&lt;AL$6),AND(AL$7&gt;0,$A55&gt;AL$7)),0,MAX(0,ROUND((INDEX($E55:$G55,AL$5)-SUMIFS(TF_Timer,TF_Tekniker,AL$4,TF_Dato,$A55))*2,0)/2)))</f>
        <v/>
      </c>
      <c r="AM55">
        <f>IF(OR(AM$4="",$A55&gt;TODAY()),0,IF(OR(INDEX($B55:$D55,AM$5)="F",AND(AM$6&gt;0,$A55&lt;AM$6),AND(AM$7&gt;0,$A55&gt;AM$7)),0,MAX(0,ROUND((INDEX($E55:$G55,AM$5)-SUMIFS(TF_Timer,TF_Tekniker,AM$4,TF_Dato,$A55))*2,0)/2)))</f>
        <v/>
      </c>
      <c r="AN55">
        <f>IF(OR(AN$4="",$A55&gt;TODAY()),0,IF(OR(INDEX($B55:$D55,AN$5)="F",AND(AN$6&gt;0,$A55&lt;AN$6),AND(AN$7&gt;0,$A55&gt;AN$7)),0,MAX(0,ROUND((INDEX($E55:$G55,AN$5)-SUMIFS(TF_Timer,TF_Tekniker,AN$4,TF_Dato,$A55))*2,0)/2)))</f>
        <v/>
      </c>
      <c r="AO55">
        <f>IF(OR(AO$4="",$A55&gt;TODAY()),0,IF(OR(INDEX($B55:$D55,AO$5)="F",AND(AO$6&gt;0,$A55&lt;AO$6),AND(AO$7&gt;0,$A55&gt;AO$7)),0,MAX(0,ROUND((INDEX($E55:$G55,AO$5)-SUMIFS(TF_Timer,TF_Tekniker,AO$4,TF_Dato,$A55))*2,0)/2)))</f>
        <v/>
      </c>
      <c r="AP55">
        <f>IF(OR(AP$4="",$A55&gt;TODAY()),0,IF(OR(INDEX($B55:$D55,AP$5)="F",AND(AP$6&gt;0,$A55&lt;AP$6),AND(AP$7&gt;0,$A55&gt;AP$7)),0,MAX(0,ROUND((INDEX($E55:$G55,AP$5)-SUMIFS(TF_Timer,TF_Tekniker,AP$4,TF_Dato,$A55))*2,0)/2)))</f>
        <v/>
      </c>
      <c r="AQ55">
        <f>IF(OR(AQ$4="",$A55&gt;TODAY()),0,IF(OR(INDEX($B55:$D55,AQ$5)="F",AND(AQ$6&gt;0,$A55&lt;AQ$6),AND(AQ$7&gt;0,$A55&gt;AQ$7)),0,MAX(0,ROUND((INDEX($E55:$G55,AQ$5)-SUMIFS(TF_Timer,TF_Tekniker,AQ$4,TF_Dato,$A55))*2,0)/2)))</f>
        <v/>
      </c>
      <c r="AR55">
        <f>IF(OR(AR$4="",$A55&gt;TODAY()),0,IF(OR(INDEX($B55:$D55,AR$5)="F",AND(AR$6&gt;0,$A55&lt;AR$6),AND(AR$7&gt;0,$A55&gt;AR$7)),0,MAX(0,ROUND((INDEX($E55:$G55,AR$5)-SUMIFS(TF_Timer,TF_Tekniker,AR$4,TF_Dato,$A55))*2,0)/2)))</f>
        <v/>
      </c>
      <c r="AS55">
        <f>IF(OR(AS$4="",$A55&gt;TODAY()),0,IF(OR(INDEX($B55:$D55,AS$5)="F",AND(AS$6&gt;0,$A55&lt;AS$6),AND(AS$7&gt;0,$A55&gt;AS$7)),0,MAX(0,ROUND((INDEX($E55:$G55,AS$5)-SUMIFS(TF_Timer,TF_Tekniker,AS$4,TF_Dato,$A55))*2,0)/2)))</f>
        <v/>
      </c>
      <c r="AT55">
        <f>IF(OR(AT$4="",$A55&gt;TODAY()),0,IF(OR(INDEX($B55:$D55,AT$5)="F",AND(AT$6&gt;0,$A55&lt;AT$6),AND(AT$7&gt;0,$A55&gt;AT$7)),0,MAX(0,ROUND((INDEX($E55:$G55,AT$5)-SUMIFS(TF_Timer,TF_Tekniker,AT$4,TF_Dato,$A55))*2,0)/2)))</f>
        <v/>
      </c>
      <c r="AU55">
        <f>IF(OR(AU$4="",$A55&gt;TODAY()),0,IF(OR(INDEX($B55:$D55,AU$5)="F",AND(AU$6&gt;0,$A55&lt;AU$6),AND(AU$7&gt;0,$A55&gt;AU$7)),0,MAX(0,ROUND((INDEX($E55:$G55,AU$5)-SUMIFS(TF_Timer,TF_Tekniker,AU$4,TF_Dato,$A55))*2,0)/2)))</f>
        <v/>
      </c>
      <c r="AV55">
        <f>IF(OR(AV$4="",$A55&gt;TODAY()),0,IF(OR(INDEX($B55:$D55,AV$5)="F",AND(AV$6&gt;0,$A55&lt;AV$6),AND(AV$7&gt;0,$A55&gt;AV$7)),0,MAX(0,ROUND((INDEX($E55:$G55,AV$5)-SUMIFS(TF_Timer,TF_Tekniker,AV$4,TF_Dato,$A55))*2,0)/2)))</f>
        <v/>
      </c>
      <c r="AW55">
        <f>IF(OR(AW$4="",$A55&gt;TODAY()),0,IF(OR(INDEX($B55:$D55,AW$5)="F",AND(AW$6&gt;0,$A55&lt;AW$6),AND(AW$7&gt;0,$A55&gt;AW$7)),0,MAX(0,ROUND((INDEX($E55:$G55,AW$5)-SUMIFS(TF_Timer,TF_Tekniker,AW$4,TF_Dato,$A55))*2,0)/2)))</f>
        <v/>
      </c>
      <c r="AX55">
        <f>IF(OR(AX$4="",$A55&gt;TODAY()),0,IF(OR(INDEX($B55:$D55,AX$5)="F",AND(AX$6&gt;0,$A55&lt;AX$6),AND(AX$7&gt;0,$A55&gt;AX$7)),0,MAX(0,ROUND((INDEX($E55:$G55,AX$5)-SUMIFS(TF_Timer,TF_Tekniker,AX$4,TF_Dato,$A55))*2,0)/2)))</f>
        <v/>
      </c>
      <c r="AY55">
        <f>IF(OR(AY$4="",$A55&gt;TODAY()),0,IF(OR(INDEX($B55:$D55,AY$5)="F",AND(AY$6&gt;0,$A55&lt;AY$6),AND(AY$7&gt;0,$A55&gt;AY$7)),0,MAX(0,ROUND((INDEX($E55:$G55,AY$5)-SUMIFS(TF_Timer,TF_Tekniker,AY$4,TF_Dato,$A55))*2,0)/2)))</f>
        <v/>
      </c>
      <c r="AZ55">
        <f>IF(OR(AZ$4="",$A55&gt;TODAY()),0,IF(OR(INDEX($B55:$D55,AZ$5)="F",AND(AZ$6&gt;0,$A55&lt;AZ$6),AND(AZ$7&gt;0,$A55&gt;AZ$7)),0,MAX(0,ROUND((INDEX($E55:$G55,AZ$5)-SUMIFS(TF_Timer,TF_Tekniker,AZ$4,TF_Dato,$A55))*2,0)/2)))</f>
        <v/>
      </c>
      <c r="BA55">
        <f>IF(OR(BA$4="",$A55&gt;TODAY()),0,IF(OR(INDEX($B55:$D55,BA$5)="F",AND(BA$6&gt;0,$A55&lt;BA$6),AND(BA$7&gt;0,$A55&gt;BA$7)),0,MAX(0,ROUND((INDEX($E55:$G55,BA$5)-SUMIFS(TF_Timer,TF_Tekniker,BA$4,TF_Dato,$A55))*2,0)/2)))</f>
        <v/>
      </c>
      <c r="BB55">
        <f>IF(OR(BB$4="",$A55&gt;TODAY()),0,IF(OR(INDEX($B55:$D55,BB$5)="F",AND(BB$6&gt;0,$A55&lt;BB$6),AND(BB$7&gt;0,$A55&gt;BB$7)),0,MAX(0,ROUND((INDEX($E55:$G55,BB$5)-SUMIFS(TF_Timer,TF_Tekniker,BB$4,TF_Dato,$A55))*2,0)/2)))</f>
        <v/>
      </c>
      <c r="BC55">
        <f>IF(OR(BC$4="",$A55&gt;TODAY()),0,IF(OR(INDEX($B55:$D55,BC$5)="F",AND(BC$6&gt;0,$A55&lt;BC$6),AND(BC$7&gt;0,$A55&gt;BC$7)),0,MAX(0,ROUND((INDEX($E55:$G55,BC$5)-SUMIFS(TF_Timer,TF_Tekniker,BC$4,TF_Dato,$A55))*2,0)/2)))</f>
        <v/>
      </c>
      <c r="BD55">
        <f>IF(OR(BD$4="",$A55&gt;TODAY()),0,IF(OR(INDEX($B55:$D55,BD$5)="F",AND(BD$6&gt;0,$A55&lt;BD$6),AND(BD$7&gt;0,$A55&gt;BD$7)),0,MAX(0,ROUND((INDEX($E55:$G55,BD$5)-SUMIFS(TF_Timer,TF_Tekniker,BD$4,TF_Dato,$A55))*2,0)/2)))</f>
        <v/>
      </c>
      <c r="BE55">
        <f>IF(OR(BE$4="",$A55&gt;TODAY()),0,IF(OR(INDEX($B55:$D55,BE$5)="F",AND(BE$6&gt;0,$A55&lt;BE$6),AND(BE$7&gt;0,$A55&gt;BE$7)),0,MAX(0,ROUND((INDEX($E55:$G55,BE$5)-SUMIFS(TF_Timer,TF_Tekniker,BE$4,TF_Dato,$A55))*2,0)/2)))</f>
        <v/>
      </c>
      <c r="BF55">
        <f>IF(OR(BF$4="",$A55&gt;TODAY()),0,IF(OR(INDEX($B55:$D55,BF$5)="F",AND(BF$6&gt;0,$A55&lt;BF$6),AND(BF$7&gt;0,$A55&gt;BF$7)),0,MAX(0,ROUND((INDEX($E55:$G55,BF$5)-SUMIFS(TF_Timer,TF_Tekniker,BF$4,TF_Dato,$A55))*2,0)/2)))</f>
        <v/>
      </c>
      <c r="BG55">
        <f>IF(OR(BG$4="",$A55&gt;TODAY()),0,IF(OR(INDEX($B55:$D55,BG$5)="F",AND(BG$6&gt;0,$A55&lt;BG$6),AND(BG$7&gt;0,$A55&gt;BG$7)),0,MAX(0,ROUND((INDEX($E55:$G55,BG$5)-SUMIFS(TF_Timer,TF_Tekniker,BG$4,TF_Dato,$A55))*2,0)/2)))</f>
        <v/>
      </c>
      <c r="BH55">
        <f>IF(OR(BH$4="",$A55&gt;TODAY()),0,IF(OR(INDEX($B55:$D55,BH$5)="F",AND(BH$6&gt;0,$A55&lt;BH$6),AND(BH$7&gt;0,$A55&gt;BH$7)),0,MAX(0,ROUND((INDEX($E55:$G55,BH$5)-SUMIFS(TF_Timer,TF_Tekniker,BH$4,TF_Dato,$A55))*2,0)/2)))</f>
        <v/>
      </c>
      <c r="BI55">
        <f>IF(OR(BI$4="",$A55&gt;TODAY()),0,IF(OR(INDEX($B55:$D55,BI$5)="F",AND(BI$6&gt;0,$A55&lt;BI$6),AND(BI$7&gt;0,$A55&gt;BI$7)),0,MAX(0,ROUND((INDEX($E55:$G55,BI$5)-SUMIFS(TF_Timer,TF_Tekniker,BI$4,TF_Dato,$A55))*2,0)/2)))</f>
        <v/>
      </c>
    </row>
    <row r="56">
      <c r="A56" s="64">
        <f>A55+1</f>
        <v/>
      </c>
      <c r="B56">
        <f>IF(MOD($A56-INDEX(SkiftStart,1),Syklus)&lt;DagK,"K",IF(MOD($A56-INDEX(SkiftStart,1),Syklus)&lt;DagK+DagH,"H",IF(MOD($A56-INDEX(SkiftStart,1),Syklus)&lt;DagK+DagH+DagD,"D","F")))</f>
        <v/>
      </c>
      <c r="C56">
        <f>IF(MOD($A56-INDEX(SkiftStart,2),Syklus)&lt;DagK,"K",IF(MOD($A56-INDEX(SkiftStart,2),Syklus)&lt;DagK+DagH,"H",IF(MOD($A56-INDEX(SkiftStart,2),Syklus)&lt;DagK+DagH+DagD,"D","F")))</f>
        <v/>
      </c>
      <c r="D56">
        <f>IF(MOD($A56-INDEX(SkiftStart,3),Syklus)&lt;DagK,"K",IF(MOD($A56-INDEX(SkiftStart,3),Syklus)&lt;DagK+DagH,"H",IF(MOD($A56-INDEX(SkiftStart,3),Syklus)&lt;DagK+DagH+DagD,"D","F")))</f>
        <v/>
      </c>
      <c r="E56">
        <f>IF(B56="F",0,IF(WEEKDAY($A56,2)=5,INDEX(TimerFr,MATCH(B56,FaseKode,0)),INDEX(TimerMT,MATCH(B56,FaseKode,0))))</f>
        <v/>
      </c>
      <c r="F56">
        <f>IF(C56="F",0,IF(WEEKDAY($A56,2)=5,INDEX(TimerFr,MATCH(C56,FaseKode,0)),INDEX(TimerMT,MATCH(C56,FaseKode,0))))</f>
        <v/>
      </c>
      <c r="G56">
        <f>IF(D56="F",0,IF(WEEKDAY($A56,2)=5,INDEX(TimerFr,MATCH(D56,FaseKode,0)),INDEX(TimerMT,MATCH(D56,FaseKode,0))))</f>
        <v/>
      </c>
      <c r="H56">
        <f>IF(OR(H$4="",$A56&gt;TODAY()),0,IF(OR(INDEX($B56:$D56,H$5)="F",AND(H$6&gt;0,$A56&lt;H$6),AND(H$7&gt;0,$A56&gt;H$7)),0,MAX(0,ROUND((INDEX($E56:$G56,H$5)-SUMIFS(TF_Timer,TF_Tekniker,H$4,TF_Dato,$A56))*2,0)/2)))</f>
        <v/>
      </c>
      <c r="I56">
        <f>IF(OR(I$4="",$A56&gt;TODAY()),0,IF(OR(INDEX($B56:$D56,I$5)="F",AND(I$6&gt;0,$A56&lt;I$6),AND(I$7&gt;0,$A56&gt;I$7)),0,MAX(0,ROUND((INDEX($E56:$G56,I$5)-SUMIFS(TF_Timer,TF_Tekniker,I$4,TF_Dato,$A56))*2,0)/2)))</f>
        <v/>
      </c>
      <c r="J56">
        <f>IF(OR(J$4="",$A56&gt;TODAY()),0,IF(OR(INDEX($B56:$D56,J$5)="F",AND(J$6&gt;0,$A56&lt;J$6),AND(J$7&gt;0,$A56&gt;J$7)),0,MAX(0,ROUND((INDEX($E56:$G56,J$5)-SUMIFS(TF_Timer,TF_Tekniker,J$4,TF_Dato,$A56))*2,0)/2)))</f>
        <v/>
      </c>
      <c r="K56">
        <f>IF(OR(K$4="",$A56&gt;TODAY()),0,IF(OR(INDEX($B56:$D56,K$5)="F",AND(K$6&gt;0,$A56&lt;K$6),AND(K$7&gt;0,$A56&gt;K$7)),0,MAX(0,ROUND((INDEX($E56:$G56,K$5)-SUMIFS(TF_Timer,TF_Tekniker,K$4,TF_Dato,$A56))*2,0)/2)))</f>
        <v/>
      </c>
      <c r="L56">
        <f>IF(OR(L$4="",$A56&gt;TODAY()),0,IF(OR(INDEX($B56:$D56,L$5)="F",AND(L$6&gt;0,$A56&lt;L$6),AND(L$7&gt;0,$A56&gt;L$7)),0,MAX(0,ROUND((INDEX($E56:$G56,L$5)-SUMIFS(TF_Timer,TF_Tekniker,L$4,TF_Dato,$A56))*2,0)/2)))</f>
        <v/>
      </c>
      <c r="M56">
        <f>IF(OR(M$4="",$A56&gt;TODAY()),0,IF(OR(INDEX($B56:$D56,M$5)="F",AND(M$6&gt;0,$A56&lt;M$6),AND(M$7&gt;0,$A56&gt;M$7)),0,MAX(0,ROUND((INDEX($E56:$G56,M$5)-SUMIFS(TF_Timer,TF_Tekniker,M$4,TF_Dato,$A56))*2,0)/2)))</f>
        <v/>
      </c>
      <c r="N56">
        <f>IF(OR(N$4="",$A56&gt;TODAY()),0,IF(OR(INDEX($B56:$D56,N$5)="F",AND(N$6&gt;0,$A56&lt;N$6),AND(N$7&gt;0,$A56&gt;N$7)),0,MAX(0,ROUND((INDEX($E56:$G56,N$5)-SUMIFS(TF_Timer,TF_Tekniker,N$4,TF_Dato,$A56))*2,0)/2)))</f>
        <v/>
      </c>
      <c r="O56">
        <f>IF(OR(O$4="",$A56&gt;TODAY()),0,IF(OR(INDEX($B56:$D56,O$5)="F",AND(O$6&gt;0,$A56&lt;O$6),AND(O$7&gt;0,$A56&gt;O$7)),0,MAX(0,ROUND((INDEX($E56:$G56,O$5)-SUMIFS(TF_Timer,TF_Tekniker,O$4,TF_Dato,$A56))*2,0)/2)))</f>
        <v/>
      </c>
      <c r="P56">
        <f>IF(OR(P$4="",$A56&gt;TODAY()),0,IF(OR(INDEX($B56:$D56,P$5)="F",AND(P$6&gt;0,$A56&lt;P$6),AND(P$7&gt;0,$A56&gt;P$7)),0,MAX(0,ROUND((INDEX($E56:$G56,P$5)-SUMIFS(TF_Timer,TF_Tekniker,P$4,TF_Dato,$A56))*2,0)/2)))</f>
        <v/>
      </c>
      <c r="Q56">
        <f>IF(OR(Q$4="",$A56&gt;TODAY()),0,IF(OR(INDEX($B56:$D56,Q$5)="F",AND(Q$6&gt;0,$A56&lt;Q$6),AND(Q$7&gt;0,$A56&gt;Q$7)),0,MAX(0,ROUND((INDEX($E56:$G56,Q$5)-SUMIFS(TF_Timer,TF_Tekniker,Q$4,TF_Dato,$A56))*2,0)/2)))</f>
        <v/>
      </c>
      <c r="R56">
        <f>IF(OR(R$4="",$A56&gt;TODAY()),0,IF(OR(INDEX($B56:$D56,R$5)="F",AND(R$6&gt;0,$A56&lt;R$6),AND(R$7&gt;0,$A56&gt;R$7)),0,MAX(0,ROUND((INDEX($E56:$G56,R$5)-SUMIFS(TF_Timer,TF_Tekniker,R$4,TF_Dato,$A56))*2,0)/2)))</f>
        <v/>
      </c>
      <c r="S56">
        <f>IF(OR(S$4="",$A56&gt;TODAY()),0,IF(OR(INDEX($B56:$D56,S$5)="F",AND(S$6&gt;0,$A56&lt;S$6),AND(S$7&gt;0,$A56&gt;S$7)),0,MAX(0,ROUND((INDEX($E56:$G56,S$5)-SUMIFS(TF_Timer,TF_Tekniker,S$4,TF_Dato,$A56))*2,0)/2)))</f>
        <v/>
      </c>
      <c r="T56">
        <f>IF(OR(T$4="",$A56&gt;TODAY()),0,IF(OR(INDEX($B56:$D56,T$5)="F",AND(T$6&gt;0,$A56&lt;T$6),AND(T$7&gt;0,$A56&gt;T$7)),0,MAX(0,ROUND((INDEX($E56:$G56,T$5)-SUMIFS(TF_Timer,TF_Tekniker,T$4,TF_Dato,$A56))*2,0)/2)))</f>
        <v/>
      </c>
      <c r="U56">
        <f>IF(OR(U$4="",$A56&gt;TODAY()),0,IF(OR(INDEX($B56:$D56,U$5)="F",AND(U$6&gt;0,$A56&lt;U$6),AND(U$7&gt;0,$A56&gt;U$7)),0,MAX(0,ROUND((INDEX($E56:$G56,U$5)-SUMIFS(TF_Timer,TF_Tekniker,U$4,TF_Dato,$A56))*2,0)/2)))</f>
        <v/>
      </c>
      <c r="V56">
        <f>IF(OR(V$4="",$A56&gt;TODAY()),0,IF(OR(INDEX($B56:$D56,V$5)="F",AND(V$6&gt;0,$A56&lt;V$6),AND(V$7&gt;0,$A56&gt;V$7)),0,MAX(0,ROUND((INDEX($E56:$G56,V$5)-SUMIFS(TF_Timer,TF_Tekniker,V$4,TF_Dato,$A56))*2,0)/2)))</f>
        <v/>
      </c>
      <c r="W56">
        <f>IF(OR(W$4="",$A56&gt;TODAY()),0,IF(OR(INDEX($B56:$D56,W$5)="F",AND(W$6&gt;0,$A56&lt;W$6),AND(W$7&gt;0,$A56&gt;W$7)),0,MAX(0,ROUND((INDEX($E56:$G56,W$5)-SUMIFS(TF_Timer,TF_Tekniker,W$4,TF_Dato,$A56))*2,0)/2)))</f>
        <v/>
      </c>
      <c r="X56">
        <f>IF(OR(X$4="",$A56&gt;TODAY()),0,IF(OR(INDEX($B56:$D56,X$5)="F",AND(X$6&gt;0,$A56&lt;X$6),AND(X$7&gt;0,$A56&gt;X$7)),0,MAX(0,ROUND((INDEX($E56:$G56,X$5)-SUMIFS(TF_Timer,TF_Tekniker,X$4,TF_Dato,$A56))*2,0)/2)))</f>
        <v/>
      </c>
      <c r="Y56">
        <f>IF(OR(Y$4="",$A56&gt;TODAY()),0,IF(OR(INDEX($B56:$D56,Y$5)="F",AND(Y$6&gt;0,$A56&lt;Y$6),AND(Y$7&gt;0,$A56&gt;Y$7)),0,MAX(0,ROUND((INDEX($E56:$G56,Y$5)-SUMIFS(TF_Timer,TF_Tekniker,Y$4,TF_Dato,$A56))*2,0)/2)))</f>
        <v/>
      </c>
      <c r="Z56">
        <f>IF(OR(Z$4="",$A56&gt;TODAY()),0,IF(OR(INDEX($B56:$D56,Z$5)="F",AND(Z$6&gt;0,$A56&lt;Z$6),AND(Z$7&gt;0,$A56&gt;Z$7)),0,MAX(0,ROUND((INDEX($E56:$G56,Z$5)-SUMIFS(TF_Timer,TF_Tekniker,Z$4,TF_Dato,$A56))*2,0)/2)))</f>
        <v/>
      </c>
      <c r="AA56">
        <f>IF(OR(AA$4="",$A56&gt;TODAY()),0,IF(OR(INDEX($B56:$D56,AA$5)="F",AND(AA$6&gt;0,$A56&lt;AA$6),AND(AA$7&gt;0,$A56&gt;AA$7)),0,MAX(0,ROUND((INDEX($E56:$G56,AA$5)-SUMIFS(TF_Timer,TF_Tekniker,AA$4,TF_Dato,$A56))*2,0)/2)))</f>
        <v/>
      </c>
      <c r="AB56">
        <f>IF(OR(AB$4="",$A56&gt;TODAY()),0,IF(OR(INDEX($B56:$D56,AB$5)="F",AND(AB$6&gt;0,$A56&lt;AB$6),AND(AB$7&gt;0,$A56&gt;AB$7)),0,MAX(0,ROUND((INDEX($E56:$G56,AB$5)-SUMIFS(TF_Timer,TF_Tekniker,AB$4,TF_Dato,$A56))*2,0)/2)))</f>
        <v/>
      </c>
      <c r="AC56">
        <f>IF(OR(AC$4="",$A56&gt;TODAY()),0,IF(OR(INDEX($B56:$D56,AC$5)="F",AND(AC$6&gt;0,$A56&lt;AC$6),AND(AC$7&gt;0,$A56&gt;AC$7)),0,MAX(0,ROUND((INDEX($E56:$G56,AC$5)-SUMIFS(TF_Timer,TF_Tekniker,AC$4,TF_Dato,$A56))*2,0)/2)))</f>
        <v/>
      </c>
      <c r="AD56">
        <f>IF(OR(AD$4="",$A56&gt;TODAY()),0,IF(OR(INDEX($B56:$D56,AD$5)="F",AND(AD$6&gt;0,$A56&lt;AD$6),AND(AD$7&gt;0,$A56&gt;AD$7)),0,MAX(0,ROUND((INDEX($E56:$G56,AD$5)-SUMIFS(TF_Timer,TF_Tekniker,AD$4,TF_Dato,$A56))*2,0)/2)))</f>
        <v/>
      </c>
      <c r="AE56">
        <f>IF(OR(AE$4="",$A56&gt;TODAY()),0,IF(OR(INDEX($B56:$D56,AE$5)="F",AND(AE$6&gt;0,$A56&lt;AE$6),AND(AE$7&gt;0,$A56&gt;AE$7)),0,MAX(0,ROUND((INDEX($E56:$G56,AE$5)-SUMIFS(TF_Timer,TF_Tekniker,AE$4,TF_Dato,$A56))*2,0)/2)))</f>
        <v/>
      </c>
      <c r="AF56">
        <f>IF(OR(AF$4="",$A56&gt;TODAY()),0,IF(OR(INDEX($B56:$D56,AF$5)="F",AND(AF$6&gt;0,$A56&lt;AF$6),AND(AF$7&gt;0,$A56&gt;AF$7)),0,MAX(0,ROUND((INDEX($E56:$G56,AF$5)-SUMIFS(TF_Timer,TF_Tekniker,AF$4,TF_Dato,$A56))*2,0)/2)))</f>
        <v/>
      </c>
      <c r="AG56">
        <f>IF(OR(AG$4="",$A56&gt;TODAY()),0,IF(OR(INDEX($B56:$D56,AG$5)="F",AND(AG$6&gt;0,$A56&lt;AG$6),AND(AG$7&gt;0,$A56&gt;AG$7)),0,MAX(0,ROUND((INDEX($E56:$G56,AG$5)-SUMIFS(TF_Timer,TF_Tekniker,AG$4,TF_Dato,$A56))*2,0)/2)))</f>
        <v/>
      </c>
      <c r="AH56">
        <f>IF(OR(AH$4="",$A56&gt;TODAY()),0,IF(OR(INDEX($B56:$D56,AH$5)="F",AND(AH$6&gt;0,$A56&lt;AH$6),AND(AH$7&gt;0,$A56&gt;AH$7)),0,MAX(0,ROUND((INDEX($E56:$G56,AH$5)-SUMIFS(TF_Timer,TF_Tekniker,AH$4,TF_Dato,$A56))*2,0)/2)))</f>
        <v/>
      </c>
      <c r="AI56">
        <f>IF(OR(AI$4="",$A56&gt;TODAY()),0,IF(OR(INDEX($B56:$D56,AI$5)="F",AND(AI$6&gt;0,$A56&lt;AI$6),AND(AI$7&gt;0,$A56&gt;AI$7)),0,MAX(0,ROUND((INDEX($E56:$G56,AI$5)-SUMIFS(TF_Timer,TF_Tekniker,AI$4,TF_Dato,$A56))*2,0)/2)))</f>
        <v/>
      </c>
      <c r="AJ56">
        <f>IF(OR(AJ$4="",$A56&gt;TODAY()),0,IF(OR(INDEX($B56:$D56,AJ$5)="F",AND(AJ$6&gt;0,$A56&lt;AJ$6),AND(AJ$7&gt;0,$A56&gt;AJ$7)),0,MAX(0,ROUND((INDEX($E56:$G56,AJ$5)-SUMIFS(TF_Timer,TF_Tekniker,AJ$4,TF_Dato,$A56))*2,0)/2)))</f>
        <v/>
      </c>
      <c r="AK56">
        <f>IF(OR(AK$4="",$A56&gt;TODAY()),0,IF(OR(INDEX($B56:$D56,AK$5)="F",AND(AK$6&gt;0,$A56&lt;AK$6),AND(AK$7&gt;0,$A56&gt;AK$7)),0,MAX(0,ROUND((INDEX($E56:$G56,AK$5)-SUMIFS(TF_Timer,TF_Tekniker,AK$4,TF_Dato,$A56))*2,0)/2)))</f>
        <v/>
      </c>
      <c r="AL56">
        <f>IF(OR(AL$4="",$A56&gt;TODAY()),0,IF(OR(INDEX($B56:$D56,AL$5)="F",AND(AL$6&gt;0,$A56&lt;AL$6),AND(AL$7&gt;0,$A56&gt;AL$7)),0,MAX(0,ROUND((INDEX($E56:$G56,AL$5)-SUMIFS(TF_Timer,TF_Tekniker,AL$4,TF_Dato,$A56))*2,0)/2)))</f>
        <v/>
      </c>
      <c r="AM56">
        <f>IF(OR(AM$4="",$A56&gt;TODAY()),0,IF(OR(INDEX($B56:$D56,AM$5)="F",AND(AM$6&gt;0,$A56&lt;AM$6),AND(AM$7&gt;0,$A56&gt;AM$7)),0,MAX(0,ROUND((INDEX($E56:$G56,AM$5)-SUMIFS(TF_Timer,TF_Tekniker,AM$4,TF_Dato,$A56))*2,0)/2)))</f>
        <v/>
      </c>
      <c r="AN56">
        <f>IF(OR(AN$4="",$A56&gt;TODAY()),0,IF(OR(INDEX($B56:$D56,AN$5)="F",AND(AN$6&gt;0,$A56&lt;AN$6),AND(AN$7&gt;0,$A56&gt;AN$7)),0,MAX(0,ROUND((INDEX($E56:$G56,AN$5)-SUMIFS(TF_Timer,TF_Tekniker,AN$4,TF_Dato,$A56))*2,0)/2)))</f>
        <v/>
      </c>
      <c r="AO56">
        <f>IF(OR(AO$4="",$A56&gt;TODAY()),0,IF(OR(INDEX($B56:$D56,AO$5)="F",AND(AO$6&gt;0,$A56&lt;AO$6),AND(AO$7&gt;0,$A56&gt;AO$7)),0,MAX(0,ROUND((INDEX($E56:$G56,AO$5)-SUMIFS(TF_Timer,TF_Tekniker,AO$4,TF_Dato,$A56))*2,0)/2)))</f>
        <v/>
      </c>
      <c r="AP56">
        <f>IF(OR(AP$4="",$A56&gt;TODAY()),0,IF(OR(INDEX($B56:$D56,AP$5)="F",AND(AP$6&gt;0,$A56&lt;AP$6),AND(AP$7&gt;0,$A56&gt;AP$7)),0,MAX(0,ROUND((INDEX($E56:$G56,AP$5)-SUMIFS(TF_Timer,TF_Tekniker,AP$4,TF_Dato,$A56))*2,0)/2)))</f>
        <v/>
      </c>
      <c r="AQ56">
        <f>IF(OR(AQ$4="",$A56&gt;TODAY()),0,IF(OR(INDEX($B56:$D56,AQ$5)="F",AND(AQ$6&gt;0,$A56&lt;AQ$6),AND(AQ$7&gt;0,$A56&gt;AQ$7)),0,MAX(0,ROUND((INDEX($E56:$G56,AQ$5)-SUMIFS(TF_Timer,TF_Tekniker,AQ$4,TF_Dato,$A56))*2,0)/2)))</f>
        <v/>
      </c>
      <c r="AR56">
        <f>IF(OR(AR$4="",$A56&gt;TODAY()),0,IF(OR(INDEX($B56:$D56,AR$5)="F",AND(AR$6&gt;0,$A56&lt;AR$6),AND(AR$7&gt;0,$A56&gt;AR$7)),0,MAX(0,ROUND((INDEX($E56:$G56,AR$5)-SUMIFS(TF_Timer,TF_Tekniker,AR$4,TF_Dato,$A56))*2,0)/2)))</f>
        <v/>
      </c>
      <c r="AS56">
        <f>IF(OR(AS$4="",$A56&gt;TODAY()),0,IF(OR(INDEX($B56:$D56,AS$5)="F",AND(AS$6&gt;0,$A56&lt;AS$6),AND(AS$7&gt;0,$A56&gt;AS$7)),0,MAX(0,ROUND((INDEX($E56:$G56,AS$5)-SUMIFS(TF_Timer,TF_Tekniker,AS$4,TF_Dato,$A56))*2,0)/2)))</f>
        <v/>
      </c>
      <c r="AT56">
        <f>IF(OR(AT$4="",$A56&gt;TODAY()),0,IF(OR(INDEX($B56:$D56,AT$5)="F",AND(AT$6&gt;0,$A56&lt;AT$6),AND(AT$7&gt;0,$A56&gt;AT$7)),0,MAX(0,ROUND((INDEX($E56:$G56,AT$5)-SUMIFS(TF_Timer,TF_Tekniker,AT$4,TF_Dato,$A56))*2,0)/2)))</f>
        <v/>
      </c>
      <c r="AU56">
        <f>IF(OR(AU$4="",$A56&gt;TODAY()),0,IF(OR(INDEX($B56:$D56,AU$5)="F",AND(AU$6&gt;0,$A56&lt;AU$6),AND(AU$7&gt;0,$A56&gt;AU$7)),0,MAX(0,ROUND((INDEX($E56:$G56,AU$5)-SUMIFS(TF_Timer,TF_Tekniker,AU$4,TF_Dato,$A56))*2,0)/2)))</f>
        <v/>
      </c>
      <c r="AV56">
        <f>IF(OR(AV$4="",$A56&gt;TODAY()),0,IF(OR(INDEX($B56:$D56,AV$5)="F",AND(AV$6&gt;0,$A56&lt;AV$6),AND(AV$7&gt;0,$A56&gt;AV$7)),0,MAX(0,ROUND((INDEX($E56:$G56,AV$5)-SUMIFS(TF_Timer,TF_Tekniker,AV$4,TF_Dato,$A56))*2,0)/2)))</f>
        <v/>
      </c>
      <c r="AW56">
        <f>IF(OR(AW$4="",$A56&gt;TODAY()),0,IF(OR(INDEX($B56:$D56,AW$5)="F",AND(AW$6&gt;0,$A56&lt;AW$6),AND(AW$7&gt;0,$A56&gt;AW$7)),0,MAX(0,ROUND((INDEX($E56:$G56,AW$5)-SUMIFS(TF_Timer,TF_Tekniker,AW$4,TF_Dato,$A56))*2,0)/2)))</f>
        <v/>
      </c>
      <c r="AX56">
        <f>IF(OR(AX$4="",$A56&gt;TODAY()),0,IF(OR(INDEX($B56:$D56,AX$5)="F",AND(AX$6&gt;0,$A56&lt;AX$6),AND(AX$7&gt;0,$A56&gt;AX$7)),0,MAX(0,ROUND((INDEX($E56:$G56,AX$5)-SUMIFS(TF_Timer,TF_Tekniker,AX$4,TF_Dato,$A56))*2,0)/2)))</f>
        <v/>
      </c>
      <c r="AY56">
        <f>IF(OR(AY$4="",$A56&gt;TODAY()),0,IF(OR(INDEX($B56:$D56,AY$5)="F",AND(AY$6&gt;0,$A56&lt;AY$6),AND(AY$7&gt;0,$A56&gt;AY$7)),0,MAX(0,ROUND((INDEX($E56:$G56,AY$5)-SUMIFS(TF_Timer,TF_Tekniker,AY$4,TF_Dato,$A56))*2,0)/2)))</f>
        <v/>
      </c>
      <c r="AZ56">
        <f>IF(OR(AZ$4="",$A56&gt;TODAY()),0,IF(OR(INDEX($B56:$D56,AZ$5)="F",AND(AZ$6&gt;0,$A56&lt;AZ$6),AND(AZ$7&gt;0,$A56&gt;AZ$7)),0,MAX(0,ROUND((INDEX($E56:$G56,AZ$5)-SUMIFS(TF_Timer,TF_Tekniker,AZ$4,TF_Dato,$A56))*2,0)/2)))</f>
        <v/>
      </c>
      <c r="BA56">
        <f>IF(OR(BA$4="",$A56&gt;TODAY()),0,IF(OR(INDEX($B56:$D56,BA$5)="F",AND(BA$6&gt;0,$A56&lt;BA$6),AND(BA$7&gt;0,$A56&gt;BA$7)),0,MAX(0,ROUND((INDEX($E56:$G56,BA$5)-SUMIFS(TF_Timer,TF_Tekniker,BA$4,TF_Dato,$A56))*2,0)/2)))</f>
        <v/>
      </c>
      <c r="BB56">
        <f>IF(OR(BB$4="",$A56&gt;TODAY()),0,IF(OR(INDEX($B56:$D56,BB$5)="F",AND(BB$6&gt;0,$A56&lt;BB$6),AND(BB$7&gt;0,$A56&gt;BB$7)),0,MAX(0,ROUND((INDEX($E56:$G56,BB$5)-SUMIFS(TF_Timer,TF_Tekniker,BB$4,TF_Dato,$A56))*2,0)/2)))</f>
        <v/>
      </c>
      <c r="BC56">
        <f>IF(OR(BC$4="",$A56&gt;TODAY()),0,IF(OR(INDEX($B56:$D56,BC$5)="F",AND(BC$6&gt;0,$A56&lt;BC$6),AND(BC$7&gt;0,$A56&gt;BC$7)),0,MAX(0,ROUND((INDEX($E56:$G56,BC$5)-SUMIFS(TF_Timer,TF_Tekniker,BC$4,TF_Dato,$A56))*2,0)/2)))</f>
        <v/>
      </c>
      <c r="BD56">
        <f>IF(OR(BD$4="",$A56&gt;TODAY()),0,IF(OR(INDEX($B56:$D56,BD$5)="F",AND(BD$6&gt;0,$A56&lt;BD$6),AND(BD$7&gt;0,$A56&gt;BD$7)),0,MAX(0,ROUND((INDEX($E56:$G56,BD$5)-SUMIFS(TF_Timer,TF_Tekniker,BD$4,TF_Dato,$A56))*2,0)/2)))</f>
        <v/>
      </c>
      <c r="BE56">
        <f>IF(OR(BE$4="",$A56&gt;TODAY()),0,IF(OR(INDEX($B56:$D56,BE$5)="F",AND(BE$6&gt;0,$A56&lt;BE$6),AND(BE$7&gt;0,$A56&gt;BE$7)),0,MAX(0,ROUND((INDEX($E56:$G56,BE$5)-SUMIFS(TF_Timer,TF_Tekniker,BE$4,TF_Dato,$A56))*2,0)/2)))</f>
        <v/>
      </c>
      <c r="BF56">
        <f>IF(OR(BF$4="",$A56&gt;TODAY()),0,IF(OR(INDEX($B56:$D56,BF$5)="F",AND(BF$6&gt;0,$A56&lt;BF$6),AND(BF$7&gt;0,$A56&gt;BF$7)),0,MAX(0,ROUND((INDEX($E56:$G56,BF$5)-SUMIFS(TF_Timer,TF_Tekniker,BF$4,TF_Dato,$A56))*2,0)/2)))</f>
        <v/>
      </c>
      <c r="BG56">
        <f>IF(OR(BG$4="",$A56&gt;TODAY()),0,IF(OR(INDEX($B56:$D56,BG$5)="F",AND(BG$6&gt;0,$A56&lt;BG$6),AND(BG$7&gt;0,$A56&gt;BG$7)),0,MAX(0,ROUND((INDEX($E56:$G56,BG$5)-SUMIFS(TF_Timer,TF_Tekniker,BG$4,TF_Dato,$A56))*2,0)/2)))</f>
        <v/>
      </c>
      <c r="BH56">
        <f>IF(OR(BH$4="",$A56&gt;TODAY()),0,IF(OR(INDEX($B56:$D56,BH$5)="F",AND(BH$6&gt;0,$A56&lt;BH$6),AND(BH$7&gt;0,$A56&gt;BH$7)),0,MAX(0,ROUND((INDEX($E56:$G56,BH$5)-SUMIFS(TF_Timer,TF_Tekniker,BH$4,TF_Dato,$A56))*2,0)/2)))</f>
        <v/>
      </c>
      <c r="BI56">
        <f>IF(OR(BI$4="",$A56&gt;TODAY()),0,IF(OR(INDEX($B56:$D56,BI$5)="F",AND(BI$6&gt;0,$A56&lt;BI$6),AND(BI$7&gt;0,$A56&gt;BI$7)),0,MAX(0,ROUND((INDEX($E56:$G56,BI$5)-SUMIFS(TF_Timer,TF_Tekniker,BI$4,TF_Dato,$A56))*2,0)/2)))</f>
        <v/>
      </c>
    </row>
    <row r="57">
      <c r="A57" s="64">
        <f>A56+1</f>
        <v/>
      </c>
      <c r="B57">
        <f>IF(MOD($A57-INDEX(SkiftStart,1),Syklus)&lt;DagK,"K",IF(MOD($A57-INDEX(SkiftStart,1),Syklus)&lt;DagK+DagH,"H",IF(MOD($A57-INDEX(SkiftStart,1),Syklus)&lt;DagK+DagH+DagD,"D","F")))</f>
        <v/>
      </c>
      <c r="C57">
        <f>IF(MOD($A57-INDEX(SkiftStart,2),Syklus)&lt;DagK,"K",IF(MOD($A57-INDEX(SkiftStart,2),Syklus)&lt;DagK+DagH,"H",IF(MOD($A57-INDEX(SkiftStart,2),Syklus)&lt;DagK+DagH+DagD,"D","F")))</f>
        <v/>
      </c>
      <c r="D57">
        <f>IF(MOD($A57-INDEX(SkiftStart,3),Syklus)&lt;DagK,"K",IF(MOD($A57-INDEX(SkiftStart,3),Syklus)&lt;DagK+DagH,"H",IF(MOD($A57-INDEX(SkiftStart,3),Syklus)&lt;DagK+DagH+DagD,"D","F")))</f>
        <v/>
      </c>
      <c r="E57">
        <f>IF(B57="F",0,IF(WEEKDAY($A57,2)=5,INDEX(TimerFr,MATCH(B57,FaseKode,0)),INDEX(TimerMT,MATCH(B57,FaseKode,0))))</f>
        <v/>
      </c>
      <c r="F57">
        <f>IF(C57="F",0,IF(WEEKDAY($A57,2)=5,INDEX(TimerFr,MATCH(C57,FaseKode,0)),INDEX(TimerMT,MATCH(C57,FaseKode,0))))</f>
        <v/>
      </c>
      <c r="G57">
        <f>IF(D57="F",0,IF(WEEKDAY($A57,2)=5,INDEX(TimerFr,MATCH(D57,FaseKode,0)),INDEX(TimerMT,MATCH(D57,FaseKode,0))))</f>
        <v/>
      </c>
      <c r="H57">
        <f>IF(OR(H$4="",$A57&gt;TODAY()),0,IF(OR(INDEX($B57:$D57,H$5)="F",AND(H$6&gt;0,$A57&lt;H$6),AND(H$7&gt;0,$A57&gt;H$7)),0,MAX(0,ROUND((INDEX($E57:$G57,H$5)-SUMIFS(TF_Timer,TF_Tekniker,H$4,TF_Dato,$A57))*2,0)/2)))</f>
        <v/>
      </c>
      <c r="I57">
        <f>IF(OR(I$4="",$A57&gt;TODAY()),0,IF(OR(INDEX($B57:$D57,I$5)="F",AND(I$6&gt;0,$A57&lt;I$6),AND(I$7&gt;0,$A57&gt;I$7)),0,MAX(0,ROUND((INDEX($E57:$G57,I$5)-SUMIFS(TF_Timer,TF_Tekniker,I$4,TF_Dato,$A57))*2,0)/2)))</f>
        <v/>
      </c>
      <c r="J57">
        <f>IF(OR(J$4="",$A57&gt;TODAY()),0,IF(OR(INDEX($B57:$D57,J$5)="F",AND(J$6&gt;0,$A57&lt;J$6),AND(J$7&gt;0,$A57&gt;J$7)),0,MAX(0,ROUND((INDEX($E57:$G57,J$5)-SUMIFS(TF_Timer,TF_Tekniker,J$4,TF_Dato,$A57))*2,0)/2)))</f>
        <v/>
      </c>
      <c r="K57">
        <f>IF(OR(K$4="",$A57&gt;TODAY()),0,IF(OR(INDEX($B57:$D57,K$5)="F",AND(K$6&gt;0,$A57&lt;K$6),AND(K$7&gt;0,$A57&gt;K$7)),0,MAX(0,ROUND((INDEX($E57:$G57,K$5)-SUMIFS(TF_Timer,TF_Tekniker,K$4,TF_Dato,$A57))*2,0)/2)))</f>
        <v/>
      </c>
      <c r="L57">
        <f>IF(OR(L$4="",$A57&gt;TODAY()),0,IF(OR(INDEX($B57:$D57,L$5)="F",AND(L$6&gt;0,$A57&lt;L$6),AND(L$7&gt;0,$A57&gt;L$7)),0,MAX(0,ROUND((INDEX($E57:$G57,L$5)-SUMIFS(TF_Timer,TF_Tekniker,L$4,TF_Dato,$A57))*2,0)/2)))</f>
        <v/>
      </c>
      <c r="M57">
        <f>IF(OR(M$4="",$A57&gt;TODAY()),0,IF(OR(INDEX($B57:$D57,M$5)="F",AND(M$6&gt;0,$A57&lt;M$6),AND(M$7&gt;0,$A57&gt;M$7)),0,MAX(0,ROUND((INDEX($E57:$G57,M$5)-SUMIFS(TF_Timer,TF_Tekniker,M$4,TF_Dato,$A57))*2,0)/2)))</f>
        <v/>
      </c>
      <c r="N57">
        <f>IF(OR(N$4="",$A57&gt;TODAY()),0,IF(OR(INDEX($B57:$D57,N$5)="F",AND(N$6&gt;0,$A57&lt;N$6),AND(N$7&gt;0,$A57&gt;N$7)),0,MAX(0,ROUND((INDEX($E57:$G57,N$5)-SUMIFS(TF_Timer,TF_Tekniker,N$4,TF_Dato,$A57))*2,0)/2)))</f>
        <v/>
      </c>
      <c r="O57">
        <f>IF(OR(O$4="",$A57&gt;TODAY()),0,IF(OR(INDEX($B57:$D57,O$5)="F",AND(O$6&gt;0,$A57&lt;O$6),AND(O$7&gt;0,$A57&gt;O$7)),0,MAX(0,ROUND((INDEX($E57:$G57,O$5)-SUMIFS(TF_Timer,TF_Tekniker,O$4,TF_Dato,$A57))*2,0)/2)))</f>
        <v/>
      </c>
      <c r="P57">
        <f>IF(OR(P$4="",$A57&gt;TODAY()),0,IF(OR(INDEX($B57:$D57,P$5)="F",AND(P$6&gt;0,$A57&lt;P$6),AND(P$7&gt;0,$A57&gt;P$7)),0,MAX(0,ROUND((INDEX($E57:$G57,P$5)-SUMIFS(TF_Timer,TF_Tekniker,P$4,TF_Dato,$A57))*2,0)/2)))</f>
        <v/>
      </c>
      <c r="Q57">
        <f>IF(OR(Q$4="",$A57&gt;TODAY()),0,IF(OR(INDEX($B57:$D57,Q$5)="F",AND(Q$6&gt;0,$A57&lt;Q$6),AND(Q$7&gt;0,$A57&gt;Q$7)),0,MAX(0,ROUND((INDEX($E57:$G57,Q$5)-SUMIFS(TF_Timer,TF_Tekniker,Q$4,TF_Dato,$A57))*2,0)/2)))</f>
        <v/>
      </c>
      <c r="R57">
        <f>IF(OR(R$4="",$A57&gt;TODAY()),0,IF(OR(INDEX($B57:$D57,R$5)="F",AND(R$6&gt;0,$A57&lt;R$6),AND(R$7&gt;0,$A57&gt;R$7)),0,MAX(0,ROUND((INDEX($E57:$G57,R$5)-SUMIFS(TF_Timer,TF_Tekniker,R$4,TF_Dato,$A57))*2,0)/2)))</f>
        <v/>
      </c>
      <c r="S57">
        <f>IF(OR(S$4="",$A57&gt;TODAY()),0,IF(OR(INDEX($B57:$D57,S$5)="F",AND(S$6&gt;0,$A57&lt;S$6),AND(S$7&gt;0,$A57&gt;S$7)),0,MAX(0,ROUND((INDEX($E57:$G57,S$5)-SUMIFS(TF_Timer,TF_Tekniker,S$4,TF_Dato,$A57))*2,0)/2)))</f>
        <v/>
      </c>
      <c r="T57">
        <f>IF(OR(T$4="",$A57&gt;TODAY()),0,IF(OR(INDEX($B57:$D57,T$5)="F",AND(T$6&gt;0,$A57&lt;T$6),AND(T$7&gt;0,$A57&gt;T$7)),0,MAX(0,ROUND((INDEX($E57:$G57,T$5)-SUMIFS(TF_Timer,TF_Tekniker,T$4,TF_Dato,$A57))*2,0)/2)))</f>
        <v/>
      </c>
      <c r="U57">
        <f>IF(OR(U$4="",$A57&gt;TODAY()),0,IF(OR(INDEX($B57:$D57,U$5)="F",AND(U$6&gt;0,$A57&lt;U$6),AND(U$7&gt;0,$A57&gt;U$7)),0,MAX(0,ROUND((INDEX($E57:$G57,U$5)-SUMIFS(TF_Timer,TF_Tekniker,U$4,TF_Dato,$A57))*2,0)/2)))</f>
        <v/>
      </c>
      <c r="V57">
        <f>IF(OR(V$4="",$A57&gt;TODAY()),0,IF(OR(INDEX($B57:$D57,V$5)="F",AND(V$6&gt;0,$A57&lt;V$6),AND(V$7&gt;0,$A57&gt;V$7)),0,MAX(0,ROUND((INDEX($E57:$G57,V$5)-SUMIFS(TF_Timer,TF_Tekniker,V$4,TF_Dato,$A57))*2,0)/2)))</f>
        <v/>
      </c>
      <c r="W57">
        <f>IF(OR(W$4="",$A57&gt;TODAY()),0,IF(OR(INDEX($B57:$D57,W$5)="F",AND(W$6&gt;0,$A57&lt;W$6),AND(W$7&gt;0,$A57&gt;W$7)),0,MAX(0,ROUND((INDEX($E57:$G57,W$5)-SUMIFS(TF_Timer,TF_Tekniker,W$4,TF_Dato,$A57))*2,0)/2)))</f>
        <v/>
      </c>
      <c r="X57">
        <f>IF(OR(X$4="",$A57&gt;TODAY()),0,IF(OR(INDEX($B57:$D57,X$5)="F",AND(X$6&gt;0,$A57&lt;X$6),AND(X$7&gt;0,$A57&gt;X$7)),0,MAX(0,ROUND((INDEX($E57:$G57,X$5)-SUMIFS(TF_Timer,TF_Tekniker,X$4,TF_Dato,$A57))*2,0)/2)))</f>
        <v/>
      </c>
      <c r="Y57">
        <f>IF(OR(Y$4="",$A57&gt;TODAY()),0,IF(OR(INDEX($B57:$D57,Y$5)="F",AND(Y$6&gt;0,$A57&lt;Y$6),AND(Y$7&gt;0,$A57&gt;Y$7)),0,MAX(0,ROUND((INDEX($E57:$G57,Y$5)-SUMIFS(TF_Timer,TF_Tekniker,Y$4,TF_Dato,$A57))*2,0)/2)))</f>
        <v/>
      </c>
      <c r="Z57">
        <f>IF(OR(Z$4="",$A57&gt;TODAY()),0,IF(OR(INDEX($B57:$D57,Z$5)="F",AND(Z$6&gt;0,$A57&lt;Z$6),AND(Z$7&gt;0,$A57&gt;Z$7)),0,MAX(0,ROUND((INDEX($E57:$G57,Z$5)-SUMIFS(TF_Timer,TF_Tekniker,Z$4,TF_Dato,$A57))*2,0)/2)))</f>
        <v/>
      </c>
      <c r="AA57">
        <f>IF(OR(AA$4="",$A57&gt;TODAY()),0,IF(OR(INDEX($B57:$D57,AA$5)="F",AND(AA$6&gt;0,$A57&lt;AA$6),AND(AA$7&gt;0,$A57&gt;AA$7)),0,MAX(0,ROUND((INDEX($E57:$G57,AA$5)-SUMIFS(TF_Timer,TF_Tekniker,AA$4,TF_Dato,$A57))*2,0)/2)))</f>
        <v/>
      </c>
      <c r="AB57">
        <f>IF(OR(AB$4="",$A57&gt;TODAY()),0,IF(OR(INDEX($B57:$D57,AB$5)="F",AND(AB$6&gt;0,$A57&lt;AB$6),AND(AB$7&gt;0,$A57&gt;AB$7)),0,MAX(0,ROUND((INDEX($E57:$G57,AB$5)-SUMIFS(TF_Timer,TF_Tekniker,AB$4,TF_Dato,$A57))*2,0)/2)))</f>
        <v/>
      </c>
      <c r="AC57">
        <f>IF(OR(AC$4="",$A57&gt;TODAY()),0,IF(OR(INDEX($B57:$D57,AC$5)="F",AND(AC$6&gt;0,$A57&lt;AC$6),AND(AC$7&gt;0,$A57&gt;AC$7)),0,MAX(0,ROUND((INDEX($E57:$G57,AC$5)-SUMIFS(TF_Timer,TF_Tekniker,AC$4,TF_Dato,$A57))*2,0)/2)))</f>
        <v/>
      </c>
      <c r="AD57">
        <f>IF(OR(AD$4="",$A57&gt;TODAY()),0,IF(OR(INDEX($B57:$D57,AD$5)="F",AND(AD$6&gt;0,$A57&lt;AD$6),AND(AD$7&gt;0,$A57&gt;AD$7)),0,MAX(0,ROUND((INDEX($E57:$G57,AD$5)-SUMIFS(TF_Timer,TF_Tekniker,AD$4,TF_Dato,$A57))*2,0)/2)))</f>
        <v/>
      </c>
      <c r="AE57">
        <f>IF(OR(AE$4="",$A57&gt;TODAY()),0,IF(OR(INDEX($B57:$D57,AE$5)="F",AND(AE$6&gt;0,$A57&lt;AE$6),AND(AE$7&gt;0,$A57&gt;AE$7)),0,MAX(0,ROUND((INDEX($E57:$G57,AE$5)-SUMIFS(TF_Timer,TF_Tekniker,AE$4,TF_Dato,$A57))*2,0)/2)))</f>
        <v/>
      </c>
      <c r="AF57">
        <f>IF(OR(AF$4="",$A57&gt;TODAY()),0,IF(OR(INDEX($B57:$D57,AF$5)="F",AND(AF$6&gt;0,$A57&lt;AF$6),AND(AF$7&gt;0,$A57&gt;AF$7)),0,MAX(0,ROUND((INDEX($E57:$G57,AF$5)-SUMIFS(TF_Timer,TF_Tekniker,AF$4,TF_Dato,$A57))*2,0)/2)))</f>
        <v/>
      </c>
      <c r="AG57">
        <f>IF(OR(AG$4="",$A57&gt;TODAY()),0,IF(OR(INDEX($B57:$D57,AG$5)="F",AND(AG$6&gt;0,$A57&lt;AG$6),AND(AG$7&gt;0,$A57&gt;AG$7)),0,MAX(0,ROUND((INDEX($E57:$G57,AG$5)-SUMIFS(TF_Timer,TF_Tekniker,AG$4,TF_Dato,$A57))*2,0)/2)))</f>
        <v/>
      </c>
      <c r="AH57">
        <f>IF(OR(AH$4="",$A57&gt;TODAY()),0,IF(OR(INDEX($B57:$D57,AH$5)="F",AND(AH$6&gt;0,$A57&lt;AH$6),AND(AH$7&gt;0,$A57&gt;AH$7)),0,MAX(0,ROUND((INDEX($E57:$G57,AH$5)-SUMIFS(TF_Timer,TF_Tekniker,AH$4,TF_Dato,$A57))*2,0)/2)))</f>
        <v/>
      </c>
      <c r="AI57">
        <f>IF(OR(AI$4="",$A57&gt;TODAY()),0,IF(OR(INDEX($B57:$D57,AI$5)="F",AND(AI$6&gt;0,$A57&lt;AI$6),AND(AI$7&gt;0,$A57&gt;AI$7)),0,MAX(0,ROUND((INDEX($E57:$G57,AI$5)-SUMIFS(TF_Timer,TF_Tekniker,AI$4,TF_Dato,$A57))*2,0)/2)))</f>
        <v/>
      </c>
      <c r="AJ57">
        <f>IF(OR(AJ$4="",$A57&gt;TODAY()),0,IF(OR(INDEX($B57:$D57,AJ$5)="F",AND(AJ$6&gt;0,$A57&lt;AJ$6),AND(AJ$7&gt;0,$A57&gt;AJ$7)),0,MAX(0,ROUND((INDEX($E57:$G57,AJ$5)-SUMIFS(TF_Timer,TF_Tekniker,AJ$4,TF_Dato,$A57))*2,0)/2)))</f>
        <v/>
      </c>
      <c r="AK57">
        <f>IF(OR(AK$4="",$A57&gt;TODAY()),0,IF(OR(INDEX($B57:$D57,AK$5)="F",AND(AK$6&gt;0,$A57&lt;AK$6),AND(AK$7&gt;0,$A57&gt;AK$7)),0,MAX(0,ROUND((INDEX($E57:$G57,AK$5)-SUMIFS(TF_Timer,TF_Tekniker,AK$4,TF_Dato,$A57))*2,0)/2)))</f>
        <v/>
      </c>
      <c r="AL57">
        <f>IF(OR(AL$4="",$A57&gt;TODAY()),0,IF(OR(INDEX($B57:$D57,AL$5)="F",AND(AL$6&gt;0,$A57&lt;AL$6),AND(AL$7&gt;0,$A57&gt;AL$7)),0,MAX(0,ROUND((INDEX($E57:$G57,AL$5)-SUMIFS(TF_Timer,TF_Tekniker,AL$4,TF_Dato,$A57))*2,0)/2)))</f>
        <v/>
      </c>
      <c r="AM57">
        <f>IF(OR(AM$4="",$A57&gt;TODAY()),0,IF(OR(INDEX($B57:$D57,AM$5)="F",AND(AM$6&gt;0,$A57&lt;AM$6),AND(AM$7&gt;0,$A57&gt;AM$7)),0,MAX(0,ROUND((INDEX($E57:$G57,AM$5)-SUMIFS(TF_Timer,TF_Tekniker,AM$4,TF_Dato,$A57))*2,0)/2)))</f>
        <v/>
      </c>
      <c r="AN57">
        <f>IF(OR(AN$4="",$A57&gt;TODAY()),0,IF(OR(INDEX($B57:$D57,AN$5)="F",AND(AN$6&gt;0,$A57&lt;AN$6),AND(AN$7&gt;0,$A57&gt;AN$7)),0,MAX(0,ROUND((INDEX($E57:$G57,AN$5)-SUMIFS(TF_Timer,TF_Tekniker,AN$4,TF_Dato,$A57))*2,0)/2)))</f>
        <v/>
      </c>
      <c r="AO57">
        <f>IF(OR(AO$4="",$A57&gt;TODAY()),0,IF(OR(INDEX($B57:$D57,AO$5)="F",AND(AO$6&gt;0,$A57&lt;AO$6),AND(AO$7&gt;0,$A57&gt;AO$7)),0,MAX(0,ROUND((INDEX($E57:$G57,AO$5)-SUMIFS(TF_Timer,TF_Tekniker,AO$4,TF_Dato,$A57))*2,0)/2)))</f>
        <v/>
      </c>
      <c r="AP57">
        <f>IF(OR(AP$4="",$A57&gt;TODAY()),0,IF(OR(INDEX($B57:$D57,AP$5)="F",AND(AP$6&gt;0,$A57&lt;AP$6),AND(AP$7&gt;0,$A57&gt;AP$7)),0,MAX(0,ROUND((INDEX($E57:$G57,AP$5)-SUMIFS(TF_Timer,TF_Tekniker,AP$4,TF_Dato,$A57))*2,0)/2)))</f>
        <v/>
      </c>
      <c r="AQ57">
        <f>IF(OR(AQ$4="",$A57&gt;TODAY()),0,IF(OR(INDEX($B57:$D57,AQ$5)="F",AND(AQ$6&gt;0,$A57&lt;AQ$6),AND(AQ$7&gt;0,$A57&gt;AQ$7)),0,MAX(0,ROUND((INDEX($E57:$G57,AQ$5)-SUMIFS(TF_Timer,TF_Tekniker,AQ$4,TF_Dato,$A57))*2,0)/2)))</f>
        <v/>
      </c>
      <c r="AR57">
        <f>IF(OR(AR$4="",$A57&gt;TODAY()),0,IF(OR(INDEX($B57:$D57,AR$5)="F",AND(AR$6&gt;0,$A57&lt;AR$6),AND(AR$7&gt;0,$A57&gt;AR$7)),0,MAX(0,ROUND((INDEX($E57:$G57,AR$5)-SUMIFS(TF_Timer,TF_Tekniker,AR$4,TF_Dato,$A57))*2,0)/2)))</f>
        <v/>
      </c>
      <c r="AS57">
        <f>IF(OR(AS$4="",$A57&gt;TODAY()),0,IF(OR(INDEX($B57:$D57,AS$5)="F",AND(AS$6&gt;0,$A57&lt;AS$6),AND(AS$7&gt;0,$A57&gt;AS$7)),0,MAX(0,ROUND((INDEX($E57:$G57,AS$5)-SUMIFS(TF_Timer,TF_Tekniker,AS$4,TF_Dato,$A57))*2,0)/2)))</f>
        <v/>
      </c>
      <c r="AT57">
        <f>IF(OR(AT$4="",$A57&gt;TODAY()),0,IF(OR(INDEX($B57:$D57,AT$5)="F",AND(AT$6&gt;0,$A57&lt;AT$6),AND(AT$7&gt;0,$A57&gt;AT$7)),0,MAX(0,ROUND((INDEX($E57:$G57,AT$5)-SUMIFS(TF_Timer,TF_Tekniker,AT$4,TF_Dato,$A57))*2,0)/2)))</f>
        <v/>
      </c>
      <c r="AU57">
        <f>IF(OR(AU$4="",$A57&gt;TODAY()),0,IF(OR(INDEX($B57:$D57,AU$5)="F",AND(AU$6&gt;0,$A57&lt;AU$6),AND(AU$7&gt;0,$A57&gt;AU$7)),0,MAX(0,ROUND((INDEX($E57:$G57,AU$5)-SUMIFS(TF_Timer,TF_Tekniker,AU$4,TF_Dato,$A57))*2,0)/2)))</f>
        <v/>
      </c>
      <c r="AV57">
        <f>IF(OR(AV$4="",$A57&gt;TODAY()),0,IF(OR(INDEX($B57:$D57,AV$5)="F",AND(AV$6&gt;0,$A57&lt;AV$6),AND(AV$7&gt;0,$A57&gt;AV$7)),0,MAX(0,ROUND((INDEX($E57:$G57,AV$5)-SUMIFS(TF_Timer,TF_Tekniker,AV$4,TF_Dato,$A57))*2,0)/2)))</f>
        <v/>
      </c>
      <c r="AW57">
        <f>IF(OR(AW$4="",$A57&gt;TODAY()),0,IF(OR(INDEX($B57:$D57,AW$5)="F",AND(AW$6&gt;0,$A57&lt;AW$6),AND(AW$7&gt;0,$A57&gt;AW$7)),0,MAX(0,ROUND((INDEX($E57:$G57,AW$5)-SUMIFS(TF_Timer,TF_Tekniker,AW$4,TF_Dato,$A57))*2,0)/2)))</f>
        <v/>
      </c>
      <c r="AX57">
        <f>IF(OR(AX$4="",$A57&gt;TODAY()),0,IF(OR(INDEX($B57:$D57,AX$5)="F",AND(AX$6&gt;0,$A57&lt;AX$6),AND(AX$7&gt;0,$A57&gt;AX$7)),0,MAX(0,ROUND((INDEX($E57:$G57,AX$5)-SUMIFS(TF_Timer,TF_Tekniker,AX$4,TF_Dato,$A57))*2,0)/2)))</f>
        <v/>
      </c>
      <c r="AY57">
        <f>IF(OR(AY$4="",$A57&gt;TODAY()),0,IF(OR(INDEX($B57:$D57,AY$5)="F",AND(AY$6&gt;0,$A57&lt;AY$6),AND(AY$7&gt;0,$A57&gt;AY$7)),0,MAX(0,ROUND((INDEX($E57:$G57,AY$5)-SUMIFS(TF_Timer,TF_Tekniker,AY$4,TF_Dato,$A57))*2,0)/2)))</f>
        <v/>
      </c>
      <c r="AZ57">
        <f>IF(OR(AZ$4="",$A57&gt;TODAY()),0,IF(OR(INDEX($B57:$D57,AZ$5)="F",AND(AZ$6&gt;0,$A57&lt;AZ$6),AND(AZ$7&gt;0,$A57&gt;AZ$7)),0,MAX(0,ROUND((INDEX($E57:$G57,AZ$5)-SUMIFS(TF_Timer,TF_Tekniker,AZ$4,TF_Dato,$A57))*2,0)/2)))</f>
        <v/>
      </c>
      <c r="BA57">
        <f>IF(OR(BA$4="",$A57&gt;TODAY()),0,IF(OR(INDEX($B57:$D57,BA$5)="F",AND(BA$6&gt;0,$A57&lt;BA$6),AND(BA$7&gt;0,$A57&gt;BA$7)),0,MAX(0,ROUND((INDEX($E57:$G57,BA$5)-SUMIFS(TF_Timer,TF_Tekniker,BA$4,TF_Dato,$A57))*2,0)/2)))</f>
        <v/>
      </c>
      <c r="BB57">
        <f>IF(OR(BB$4="",$A57&gt;TODAY()),0,IF(OR(INDEX($B57:$D57,BB$5)="F",AND(BB$6&gt;0,$A57&lt;BB$6),AND(BB$7&gt;0,$A57&gt;BB$7)),0,MAX(0,ROUND((INDEX($E57:$G57,BB$5)-SUMIFS(TF_Timer,TF_Tekniker,BB$4,TF_Dato,$A57))*2,0)/2)))</f>
        <v/>
      </c>
      <c r="BC57">
        <f>IF(OR(BC$4="",$A57&gt;TODAY()),0,IF(OR(INDEX($B57:$D57,BC$5)="F",AND(BC$6&gt;0,$A57&lt;BC$6),AND(BC$7&gt;0,$A57&gt;BC$7)),0,MAX(0,ROUND((INDEX($E57:$G57,BC$5)-SUMIFS(TF_Timer,TF_Tekniker,BC$4,TF_Dato,$A57))*2,0)/2)))</f>
        <v/>
      </c>
      <c r="BD57">
        <f>IF(OR(BD$4="",$A57&gt;TODAY()),0,IF(OR(INDEX($B57:$D57,BD$5)="F",AND(BD$6&gt;0,$A57&lt;BD$6),AND(BD$7&gt;0,$A57&gt;BD$7)),0,MAX(0,ROUND((INDEX($E57:$G57,BD$5)-SUMIFS(TF_Timer,TF_Tekniker,BD$4,TF_Dato,$A57))*2,0)/2)))</f>
        <v/>
      </c>
      <c r="BE57">
        <f>IF(OR(BE$4="",$A57&gt;TODAY()),0,IF(OR(INDEX($B57:$D57,BE$5)="F",AND(BE$6&gt;0,$A57&lt;BE$6),AND(BE$7&gt;0,$A57&gt;BE$7)),0,MAX(0,ROUND((INDEX($E57:$G57,BE$5)-SUMIFS(TF_Timer,TF_Tekniker,BE$4,TF_Dato,$A57))*2,0)/2)))</f>
        <v/>
      </c>
      <c r="BF57">
        <f>IF(OR(BF$4="",$A57&gt;TODAY()),0,IF(OR(INDEX($B57:$D57,BF$5)="F",AND(BF$6&gt;0,$A57&lt;BF$6),AND(BF$7&gt;0,$A57&gt;BF$7)),0,MAX(0,ROUND((INDEX($E57:$G57,BF$5)-SUMIFS(TF_Timer,TF_Tekniker,BF$4,TF_Dato,$A57))*2,0)/2)))</f>
        <v/>
      </c>
      <c r="BG57">
        <f>IF(OR(BG$4="",$A57&gt;TODAY()),0,IF(OR(INDEX($B57:$D57,BG$5)="F",AND(BG$6&gt;0,$A57&lt;BG$6),AND(BG$7&gt;0,$A57&gt;BG$7)),0,MAX(0,ROUND((INDEX($E57:$G57,BG$5)-SUMIFS(TF_Timer,TF_Tekniker,BG$4,TF_Dato,$A57))*2,0)/2)))</f>
        <v/>
      </c>
      <c r="BH57">
        <f>IF(OR(BH$4="",$A57&gt;TODAY()),0,IF(OR(INDEX($B57:$D57,BH$5)="F",AND(BH$6&gt;0,$A57&lt;BH$6),AND(BH$7&gt;0,$A57&gt;BH$7)),0,MAX(0,ROUND((INDEX($E57:$G57,BH$5)-SUMIFS(TF_Timer,TF_Tekniker,BH$4,TF_Dato,$A57))*2,0)/2)))</f>
        <v/>
      </c>
      <c r="BI57">
        <f>IF(OR(BI$4="",$A57&gt;TODAY()),0,IF(OR(INDEX($B57:$D57,BI$5)="F",AND(BI$6&gt;0,$A57&lt;BI$6),AND(BI$7&gt;0,$A57&gt;BI$7)),0,MAX(0,ROUND((INDEX($E57:$G57,BI$5)-SUMIFS(TF_Timer,TF_Tekniker,BI$4,TF_Dato,$A57))*2,0)/2)))</f>
        <v/>
      </c>
    </row>
    <row r="58">
      <c r="A58" s="64">
        <f>A57+1</f>
        <v/>
      </c>
      <c r="B58">
        <f>IF(MOD($A58-INDEX(SkiftStart,1),Syklus)&lt;DagK,"K",IF(MOD($A58-INDEX(SkiftStart,1),Syklus)&lt;DagK+DagH,"H",IF(MOD($A58-INDEX(SkiftStart,1),Syklus)&lt;DagK+DagH+DagD,"D","F")))</f>
        <v/>
      </c>
      <c r="C58">
        <f>IF(MOD($A58-INDEX(SkiftStart,2),Syklus)&lt;DagK,"K",IF(MOD($A58-INDEX(SkiftStart,2),Syklus)&lt;DagK+DagH,"H",IF(MOD($A58-INDEX(SkiftStart,2),Syklus)&lt;DagK+DagH+DagD,"D","F")))</f>
        <v/>
      </c>
      <c r="D58">
        <f>IF(MOD($A58-INDEX(SkiftStart,3),Syklus)&lt;DagK,"K",IF(MOD($A58-INDEX(SkiftStart,3),Syklus)&lt;DagK+DagH,"H",IF(MOD($A58-INDEX(SkiftStart,3),Syklus)&lt;DagK+DagH+DagD,"D","F")))</f>
        <v/>
      </c>
      <c r="E58">
        <f>IF(B58="F",0,IF(WEEKDAY($A58,2)=5,INDEX(TimerFr,MATCH(B58,FaseKode,0)),INDEX(TimerMT,MATCH(B58,FaseKode,0))))</f>
        <v/>
      </c>
      <c r="F58">
        <f>IF(C58="F",0,IF(WEEKDAY($A58,2)=5,INDEX(TimerFr,MATCH(C58,FaseKode,0)),INDEX(TimerMT,MATCH(C58,FaseKode,0))))</f>
        <v/>
      </c>
      <c r="G58">
        <f>IF(D58="F",0,IF(WEEKDAY($A58,2)=5,INDEX(TimerFr,MATCH(D58,FaseKode,0)),INDEX(TimerMT,MATCH(D58,FaseKode,0))))</f>
        <v/>
      </c>
      <c r="H58">
        <f>IF(OR(H$4="",$A58&gt;TODAY()),0,IF(OR(INDEX($B58:$D58,H$5)="F",AND(H$6&gt;0,$A58&lt;H$6),AND(H$7&gt;0,$A58&gt;H$7)),0,MAX(0,ROUND((INDEX($E58:$G58,H$5)-SUMIFS(TF_Timer,TF_Tekniker,H$4,TF_Dato,$A58))*2,0)/2)))</f>
        <v/>
      </c>
      <c r="I58">
        <f>IF(OR(I$4="",$A58&gt;TODAY()),0,IF(OR(INDEX($B58:$D58,I$5)="F",AND(I$6&gt;0,$A58&lt;I$6),AND(I$7&gt;0,$A58&gt;I$7)),0,MAX(0,ROUND((INDEX($E58:$G58,I$5)-SUMIFS(TF_Timer,TF_Tekniker,I$4,TF_Dato,$A58))*2,0)/2)))</f>
        <v/>
      </c>
      <c r="J58">
        <f>IF(OR(J$4="",$A58&gt;TODAY()),0,IF(OR(INDEX($B58:$D58,J$5)="F",AND(J$6&gt;0,$A58&lt;J$6),AND(J$7&gt;0,$A58&gt;J$7)),0,MAX(0,ROUND((INDEX($E58:$G58,J$5)-SUMIFS(TF_Timer,TF_Tekniker,J$4,TF_Dato,$A58))*2,0)/2)))</f>
        <v/>
      </c>
      <c r="K58">
        <f>IF(OR(K$4="",$A58&gt;TODAY()),0,IF(OR(INDEX($B58:$D58,K$5)="F",AND(K$6&gt;0,$A58&lt;K$6),AND(K$7&gt;0,$A58&gt;K$7)),0,MAX(0,ROUND((INDEX($E58:$G58,K$5)-SUMIFS(TF_Timer,TF_Tekniker,K$4,TF_Dato,$A58))*2,0)/2)))</f>
        <v/>
      </c>
      <c r="L58">
        <f>IF(OR(L$4="",$A58&gt;TODAY()),0,IF(OR(INDEX($B58:$D58,L$5)="F",AND(L$6&gt;0,$A58&lt;L$6),AND(L$7&gt;0,$A58&gt;L$7)),0,MAX(0,ROUND((INDEX($E58:$G58,L$5)-SUMIFS(TF_Timer,TF_Tekniker,L$4,TF_Dato,$A58))*2,0)/2)))</f>
        <v/>
      </c>
      <c r="M58">
        <f>IF(OR(M$4="",$A58&gt;TODAY()),0,IF(OR(INDEX($B58:$D58,M$5)="F",AND(M$6&gt;0,$A58&lt;M$6),AND(M$7&gt;0,$A58&gt;M$7)),0,MAX(0,ROUND((INDEX($E58:$G58,M$5)-SUMIFS(TF_Timer,TF_Tekniker,M$4,TF_Dato,$A58))*2,0)/2)))</f>
        <v/>
      </c>
      <c r="N58">
        <f>IF(OR(N$4="",$A58&gt;TODAY()),0,IF(OR(INDEX($B58:$D58,N$5)="F",AND(N$6&gt;0,$A58&lt;N$6),AND(N$7&gt;0,$A58&gt;N$7)),0,MAX(0,ROUND((INDEX($E58:$G58,N$5)-SUMIFS(TF_Timer,TF_Tekniker,N$4,TF_Dato,$A58))*2,0)/2)))</f>
        <v/>
      </c>
      <c r="O58">
        <f>IF(OR(O$4="",$A58&gt;TODAY()),0,IF(OR(INDEX($B58:$D58,O$5)="F",AND(O$6&gt;0,$A58&lt;O$6),AND(O$7&gt;0,$A58&gt;O$7)),0,MAX(0,ROUND((INDEX($E58:$G58,O$5)-SUMIFS(TF_Timer,TF_Tekniker,O$4,TF_Dato,$A58))*2,0)/2)))</f>
        <v/>
      </c>
      <c r="P58">
        <f>IF(OR(P$4="",$A58&gt;TODAY()),0,IF(OR(INDEX($B58:$D58,P$5)="F",AND(P$6&gt;0,$A58&lt;P$6),AND(P$7&gt;0,$A58&gt;P$7)),0,MAX(0,ROUND((INDEX($E58:$G58,P$5)-SUMIFS(TF_Timer,TF_Tekniker,P$4,TF_Dato,$A58))*2,0)/2)))</f>
        <v/>
      </c>
      <c r="Q58">
        <f>IF(OR(Q$4="",$A58&gt;TODAY()),0,IF(OR(INDEX($B58:$D58,Q$5)="F",AND(Q$6&gt;0,$A58&lt;Q$6),AND(Q$7&gt;0,$A58&gt;Q$7)),0,MAX(0,ROUND((INDEX($E58:$G58,Q$5)-SUMIFS(TF_Timer,TF_Tekniker,Q$4,TF_Dato,$A58))*2,0)/2)))</f>
        <v/>
      </c>
      <c r="R58">
        <f>IF(OR(R$4="",$A58&gt;TODAY()),0,IF(OR(INDEX($B58:$D58,R$5)="F",AND(R$6&gt;0,$A58&lt;R$6),AND(R$7&gt;0,$A58&gt;R$7)),0,MAX(0,ROUND((INDEX($E58:$G58,R$5)-SUMIFS(TF_Timer,TF_Tekniker,R$4,TF_Dato,$A58))*2,0)/2)))</f>
        <v/>
      </c>
      <c r="S58">
        <f>IF(OR(S$4="",$A58&gt;TODAY()),0,IF(OR(INDEX($B58:$D58,S$5)="F",AND(S$6&gt;0,$A58&lt;S$6),AND(S$7&gt;0,$A58&gt;S$7)),0,MAX(0,ROUND((INDEX($E58:$G58,S$5)-SUMIFS(TF_Timer,TF_Tekniker,S$4,TF_Dato,$A58))*2,0)/2)))</f>
        <v/>
      </c>
      <c r="T58">
        <f>IF(OR(T$4="",$A58&gt;TODAY()),0,IF(OR(INDEX($B58:$D58,T$5)="F",AND(T$6&gt;0,$A58&lt;T$6),AND(T$7&gt;0,$A58&gt;T$7)),0,MAX(0,ROUND((INDEX($E58:$G58,T$5)-SUMIFS(TF_Timer,TF_Tekniker,T$4,TF_Dato,$A58))*2,0)/2)))</f>
        <v/>
      </c>
      <c r="U58">
        <f>IF(OR(U$4="",$A58&gt;TODAY()),0,IF(OR(INDEX($B58:$D58,U$5)="F",AND(U$6&gt;0,$A58&lt;U$6),AND(U$7&gt;0,$A58&gt;U$7)),0,MAX(0,ROUND((INDEX($E58:$G58,U$5)-SUMIFS(TF_Timer,TF_Tekniker,U$4,TF_Dato,$A58))*2,0)/2)))</f>
        <v/>
      </c>
      <c r="V58">
        <f>IF(OR(V$4="",$A58&gt;TODAY()),0,IF(OR(INDEX($B58:$D58,V$5)="F",AND(V$6&gt;0,$A58&lt;V$6),AND(V$7&gt;0,$A58&gt;V$7)),0,MAX(0,ROUND((INDEX($E58:$G58,V$5)-SUMIFS(TF_Timer,TF_Tekniker,V$4,TF_Dato,$A58))*2,0)/2)))</f>
        <v/>
      </c>
      <c r="W58">
        <f>IF(OR(W$4="",$A58&gt;TODAY()),0,IF(OR(INDEX($B58:$D58,W$5)="F",AND(W$6&gt;0,$A58&lt;W$6),AND(W$7&gt;0,$A58&gt;W$7)),0,MAX(0,ROUND((INDEX($E58:$G58,W$5)-SUMIFS(TF_Timer,TF_Tekniker,W$4,TF_Dato,$A58))*2,0)/2)))</f>
        <v/>
      </c>
      <c r="X58">
        <f>IF(OR(X$4="",$A58&gt;TODAY()),0,IF(OR(INDEX($B58:$D58,X$5)="F",AND(X$6&gt;0,$A58&lt;X$6),AND(X$7&gt;0,$A58&gt;X$7)),0,MAX(0,ROUND((INDEX($E58:$G58,X$5)-SUMIFS(TF_Timer,TF_Tekniker,X$4,TF_Dato,$A58))*2,0)/2)))</f>
        <v/>
      </c>
      <c r="Y58">
        <f>IF(OR(Y$4="",$A58&gt;TODAY()),0,IF(OR(INDEX($B58:$D58,Y$5)="F",AND(Y$6&gt;0,$A58&lt;Y$6),AND(Y$7&gt;0,$A58&gt;Y$7)),0,MAX(0,ROUND((INDEX($E58:$G58,Y$5)-SUMIFS(TF_Timer,TF_Tekniker,Y$4,TF_Dato,$A58))*2,0)/2)))</f>
        <v/>
      </c>
      <c r="Z58">
        <f>IF(OR(Z$4="",$A58&gt;TODAY()),0,IF(OR(INDEX($B58:$D58,Z$5)="F",AND(Z$6&gt;0,$A58&lt;Z$6),AND(Z$7&gt;0,$A58&gt;Z$7)),0,MAX(0,ROUND((INDEX($E58:$G58,Z$5)-SUMIFS(TF_Timer,TF_Tekniker,Z$4,TF_Dato,$A58))*2,0)/2)))</f>
        <v/>
      </c>
      <c r="AA58">
        <f>IF(OR(AA$4="",$A58&gt;TODAY()),0,IF(OR(INDEX($B58:$D58,AA$5)="F",AND(AA$6&gt;0,$A58&lt;AA$6),AND(AA$7&gt;0,$A58&gt;AA$7)),0,MAX(0,ROUND((INDEX($E58:$G58,AA$5)-SUMIFS(TF_Timer,TF_Tekniker,AA$4,TF_Dato,$A58))*2,0)/2)))</f>
        <v/>
      </c>
      <c r="AB58">
        <f>IF(OR(AB$4="",$A58&gt;TODAY()),0,IF(OR(INDEX($B58:$D58,AB$5)="F",AND(AB$6&gt;0,$A58&lt;AB$6),AND(AB$7&gt;0,$A58&gt;AB$7)),0,MAX(0,ROUND((INDEX($E58:$G58,AB$5)-SUMIFS(TF_Timer,TF_Tekniker,AB$4,TF_Dato,$A58))*2,0)/2)))</f>
        <v/>
      </c>
      <c r="AC58">
        <f>IF(OR(AC$4="",$A58&gt;TODAY()),0,IF(OR(INDEX($B58:$D58,AC$5)="F",AND(AC$6&gt;0,$A58&lt;AC$6),AND(AC$7&gt;0,$A58&gt;AC$7)),0,MAX(0,ROUND((INDEX($E58:$G58,AC$5)-SUMIFS(TF_Timer,TF_Tekniker,AC$4,TF_Dato,$A58))*2,0)/2)))</f>
        <v/>
      </c>
      <c r="AD58">
        <f>IF(OR(AD$4="",$A58&gt;TODAY()),0,IF(OR(INDEX($B58:$D58,AD$5)="F",AND(AD$6&gt;0,$A58&lt;AD$6),AND(AD$7&gt;0,$A58&gt;AD$7)),0,MAX(0,ROUND((INDEX($E58:$G58,AD$5)-SUMIFS(TF_Timer,TF_Tekniker,AD$4,TF_Dato,$A58))*2,0)/2)))</f>
        <v/>
      </c>
      <c r="AE58">
        <f>IF(OR(AE$4="",$A58&gt;TODAY()),0,IF(OR(INDEX($B58:$D58,AE$5)="F",AND(AE$6&gt;0,$A58&lt;AE$6),AND(AE$7&gt;0,$A58&gt;AE$7)),0,MAX(0,ROUND((INDEX($E58:$G58,AE$5)-SUMIFS(TF_Timer,TF_Tekniker,AE$4,TF_Dato,$A58))*2,0)/2)))</f>
        <v/>
      </c>
      <c r="AF58">
        <f>IF(OR(AF$4="",$A58&gt;TODAY()),0,IF(OR(INDEX($B58:$D58,AF$5)="F",AND(AF$6&gt;0,$A58&lt;AF$6),AND(AF$7&gt;0,$A58&gt;AF$7)),0,MAX(0,ROUND((INDEX($E58:$G58,AF$5)-SUMIFS(TF_Timer,TF_Tekniker,AF$4,TF_Dato,$A58))*2,0)/2)))</f>
        <v/>
      </c>
      <c r="AG58">
        <f>IF(OR(AG$4="",$A58&gt;TODAY()),0,IF(OR(INDEX($B58:$D58,AG$5)="F",AND(AG$6&gt;0,$A58&lt;AG$6),AND(AG$7&gt;0,$A58&gt;AG$7)),0,MAX(0,ROUND((INDEX($E58:$G58,AG$5)-SUMIFS(TF_Timer,TF_Tekniker,AG$4,TF_Dato,$A58))*2,0)/2)))</f>
        <v/>
      </c>
      <c r="AH58">
        <f>IF(OR(AH$4="",$A58&gt;TODAY()),0,IF(OR(INDEX($B58:$D58,AH$5)="F",AND(AH$6&gt;0,$A58&lt;AH$6),AND(AH$7&gt;0,$A58&gt;AH$7)),0,MAX(0,ROUND((INDEX($E58:$G58,AH$5)-SUMIFS(TF_Timer,TF_Tekniker,AH$4,TF_Dato,$A58))*2,0)/2)))</f>
        <v/>
      </c>
      <c r="AI58">
        <f>IF(OR(AI$4="",$A58&gt;TODAY()),0,IF(OR(INDEX($B58:$D58,AI$5)="F",AND(AI$6&gt;0,$A58&lt;AI$6),AND(AI$7&gt;0,$A58&gt;AI$7)),0,MAX(0,ROUND((INDEX($E58:$G58,AI$5)-SUMIFS(TF_Timer,TF_Tekniker,AI$4,TF_Dato,$A58))*2,0)/2)))</f>
        <v/>
      </c>
      <c r="AJ58">
        <f>IF(OR(AJ$4="",$A58&gt;TODAY()),0,IF(OR(INDEX($B58:$D58,AJ$5)="F",AND(AJ$6&gt;0,$A58&lt;AJ$6),AND(AJ$7&gt;0,$A58&gt;AJ$7)),0,MAX(0,ROUND((INDEX($E58:$G58,AJ$5)-SUMIFS(TF_Timer,TF_Tekniker,AJ$4,TF_Dato,$A58))*2,0)/2)))</f>
        <v/>
      </c>
      <c r="AK58">
        <f>IF(OR(AK$4="",$A58&gt;TODAY()),0,IF(OR(INDEX($B58:$D58,AK$5)="F",AND(AK$6&gt;0,$A58&lt;AK$6),AND(AK$7&gt;0,$A58&gt;AK$7)),0,MAX(0,ROUND((INDEX($E58:$G58,AK$5)-SUMIFS(TF_Timer,TF_Tekniker,AK$4,TF_Dato,$A58))*2,0)/2)))</f>
        <v/>
      </c>
      <c r="AL58">
        <f>IF(OR(AL$4="",$A58&gt;TODAY()),0,IF(OR(INDEX($B58:$D58,AL$5)="F",AND(AL$6&gt;0,$A58&lt;AL$6),AND(AL$7&gt;0,$A58&gt;AL$7)),0,MAX(0,ROUND((INDEX($E58:$G58,AL$5)-SUMIFS(TF_Timer,TF_Tekniker,AL$4,TF_Dato,$A58))*2,0)/2)))</f>
        <v/>
      </c>
      <c r="AM58">
        <f>IF(OR(AM$4="",$A58&gt;TODAY()),0,IF(OR(INDEX($B58:$D58,AM$5)="F",AND(AM$6&gt;0,$A58&lt;AM$6),AND(AM$7&gt;0,$A58&gt;AM$7)),0,MAX(0,ROUND((INDEX($E58:$G58,AM$5)-SUMIFS(TF_Timer,TF_Tekniker,AM$4,TF_Dato,$A58))*2,0)/2)))</f>
        <v/>
      </c>
      <c r="AN58">
        <f>IF(OR(AN$4="",$A58&gt;TODAY()),0,IF(OR(INDEX($B58:$D58,AN$5)="F",AND(AN$6&gt;0,$A58&lt;AN$6),AND(AN$7&gt;0,$A58&gt;AN$7)),0,MAX(0,ROUND((INDEX($E58:$G58,AN$5)-SUMIFS(TF_Timer,TF_Tekniker,AN$4,TF_Dato,$A58))*2,0)/2)))</f>
        <v/>
      </c>
      <c r="AO58">
        <f>IF(OR(AO$4="",$A58&gt;TODAY()),0,IF(OR(INDEX($B58:$D58,AO$5)="F",AND(AO$6&gt;0,$A58&lt;AO$6),AND(AO$7&gt;0,$A58&gt;AO$7)),0,MAX(0,ROUND((INDEX($E58:$G58,AO$5)-SUMIFS(TF_Timer,TF_Tekniker,AO$4,TF_Dato,$A58))*2,0)/2)))</f>
        <v/>
      </c>
      <c r="AP58">
        <f>IF(OR(AP$4="",$A58&gt;TODAY()),0,IF(OR(INDEX($B58:$D58,AP$5)="F",AND(AP$6&gt;0,$A58&lt;AP$6),AND(AP$7&gt;0,$A58&gt;AP$7)),0,MAX(0,ROUND((INDEX($E58:$G58,AP$5)-SUMIFS(TF_Timer,TF_Tekniker,AP$4,TF_Dato,$A58))*2,0)/2)))</f>
        <v/>
      </c>
      <c r="AQ58">
        <f>IF(OR(AQ$4="",$A58&gt;TODAY()),0,IF(OR(INDEX($B58:$D58,AQ$5)="F",AND(AQ$6&gt;0,$A58&lt;AQ$6),AND(AQ$7&gt;0,$A58&gt;AQ$7)),0,MAX(0,ROUND((INDEX($E58:$G58,AQ$5)-SUMIFS(TF_Timer,TF_Tekniker,AQ$4,TF_Dato,$A58))*2,0)/2)))</f>
        <v/>
      </c>
      <c r="AR58">
        <f>IF(OR(AR$4="",$A58&gt;TODAY()),0,IF(OR(INDEX($B58:$D58,AR$5)="F",AND(AR$6&gt;0,$A58&lt;AR$6),AND(AR$7&gt;0,$A58&gt;AR$7)),0,MAX(0,ROUND((INDEX($E58:$G58,AR$5)-SUMIFS(TF_Timer,TF_Tekniker,AR$4,TF_Dato,$A58))*2,0)/2)))</f>
        <v/>
      </c>
      <c r="AS58">
        <f>IF(OR(AS$4="",$A58&gt;TODAY()),0,IF(OR(INDEX($B58:$D58,AS$5)="F",AND(AS$6&gt;0,$A58&lt;AS$6),AND(AS$7&gt;0,$A58&gt;AS$7)),0,MAX(0,ROUND((INDEX($E58:$G58,AS$5)-SUMIFS(TF_Timer,TF_Tekniker,AS$4,TF_Dato,$A58))*2,0)/2)))</f>
        <v/>
      </c>
      <c r="AT58">
        <f>IF(OR(AT$4="",$A58&gt;TODAY()),0,IF(OR(INDEX($B58:$D58,AT$5)="F",AND(AT$6&gt;0,$A58&lt;AT$6),AND(AT$7&gt;0,$A58&gt;AT$7)),0,MAX(0,ROUND((INDEX($E58:$G58,AT$5)-SUMIFS(TF_Timer,TF_Tekniker,AT$4,TF_Dato,$A58))*2,0)/2)))</f>
        <v/>
      </c>
      <c r="AU58">
        <f>IF(OR(AU$4="",$A58&gt;TODAY()),0,IF(OR(INDEX($B58:$D58,AU$5)="F",AND(AU$6&gt;0,$A58&lt;AU$6),AND(AU$7&gt;0,$A58&gt;AU$7)),0,MAX(0,ROUND((INDEX($E58:$G58,AU$5)-SUMIFS(TF_Timer,TF_Tekniker,AU$4,TF_Dato,$A58))*2,0)/2)))</f>
        <v/>
      </c>
      <c r="AV58">
        <f>IF(OR(AV$4="",$A58&gt;TODAY()),0,IF(OR(INDEX($B58:$D58,AV$5)="F",AND(AV$6&gt;0,$A58&lt;AV$6),AND(AV$7&gt;0,$A58&gt;AV$7)),0,MAX(0,ROUND((INDEX($E58:$G58,AV$5)-SUMIFS(TF_Timer,TF_Tekniker,AV$4,TF_Dato,$A58))*2,0)/2)))</f>
        <v/>
      </c>
      <c r="AW58">
        <f>IF(OR(AW$4="",$A58&gt;TODAY()),0,IF(OR(INDEX($B58:$D58,AW$5)="F",AND(AW$6&gt;0,$A58&lt;AW$6),AND(AW$7&gt;0,$A58&gt;AW$7)),0,MAX(0,ROUND((INDEX($E58:$G58,AW$5)-SUMIFS(TF_Timer,TF_Tekniker,AW$4,TF_Dato,$A58))*2,0)/2)))</f>
        <v/>
      </c>
      <c r="AX58">
        <f>IF(OR(AX$4="",$A58&gt;TODAY()),0,IF(OR(INDEX($B58:$D58,AX$5)="F",AND(AX$6&gt;0,$A58&lt;AX$6),AND(AX$7&gt;0,$A58&gt;AX$7)),0,MAX(0,ROUND((INDEX($E58:$G58,AX$5)-SUMIFS(TF_Timer,TF_Tekniker,AX$4,TF_Dato,$A58))*2,0)/2)))</f>
        <v/>
      </c>
      <c r="AY58">
        <f>IF(OR(AY$4="",$A58&gt;TODAY()),0,IF(OR(INDEX($B58:$D58,AY$5)="F",AND(AY$6&gt;0,$A58&lt;AY$6),AND(AY$7&gt;0,$A58&gt;AY$7)),0,MAX(0,ROUND((INDEX($E58:$G58,AY$5)-SUMIFS(TF_Timer,TF_Tekniker,AY$4,TF_Dato,$A58))*2,0)/2)))</f>
        <v/>
      </c>
      <c r="AZ58">
        <f>IF(OR(AZ$4="",$A58&gt;TODAY()),0,IF(OR(INDEX($B58:$D58,AZ$5)="F",AND(AZ$6&gt;0,$A58&lt;AZ$6),AND(AZ$7&gt;0,$A58&gt;AZ$7)),0,MAX(0,ROUND((INDEX($E58:$G58,AZ$5)-SUMIFS(TF_Timer,TF_Tekniker,AZ$4,TF_Dato,$A58))*2,0)/2)))</f>
        <v/>
      </c>
      <c r="BA58">
        <f>IF(OR(BA$4="",$A58&gt;TODAY()),0,IF(OR(INDEX($B58:$D58,BA$5)="F",AND(BA$6&gt;0,$A58&lt;BA$6),AND(BA$7&gt;0,$A58&gt;BA$7)),0,MAX(0,ROUND((INDEX($E58:$G58,BA$5)-SUMIFS(TF_Timer,TF_Tekniker,BA$4,TF_Dato,$A58))*2,0)/2)))</f>
        <v/>
      </c>
      <c r="BB58">
        <f>IF(OR(BB$4="",$A58&gt;TODAY()),0,IF(OR(INDEX($B58:$D58,BB$5)="F",AND(BB$6&gt;0,$A58&lt;BB$6),AND(BB$7&gt;0,$A58&gt;BB$7)),0,MAX(0,ROUND((INDEX($E58:$G58,BB$5)-SUMIFS(TF_Timer,TF_Tekniker,BB$4,TF_Dato,$A58))*2,0)/2)))</f>
        <v/>
      </c>
      <c r="BC58">
        <f>IF(OR(BC$4="",$A58&gt;TODAY()),0,IF(OR(INDEX($B58:$D58,BC$5)="F",AND(BC$6&gt;0,$A58&lt;BC$6),AND(BC$7&gt;0,$A58&gt;BC$7)),0,MAX(0,ROUND((INDEX($E58:$G58,BC$5)-SUMIFS(TF_Timer,TF_Tekniker,BC$4,TF_Dato,$A58))*2,0)/2)))</f>
        <v/>
      </c>
      <c r="BD58">
        <f>IF(OR(BD$4="",$A58&gt;TODAY()),0,IF(OR(INDEX($B58:$D58,BD$5)="F",AND(BD$6&gt;0,$A58&lt;BD$6),AND(BD$7&gt;0,$A58&gt;BD$7)),0,MAX(0,ROUND((INDEX($E58:$G58,BD$5)-SUMIFS(TF_Timer,TF_Tekniker,BD$4,TF_Dato,$A58))*2,0)/2)))</f>
        <v/>
      </c>
      <c r="BE58">
        <f>IF(OR(BE$4="",$A58&gt;TODAY()),0,IF(OR(INDEX($B58:$D58,BE$5)="F",AND(BE$6&gt;0,$A58&lt;BE$6),AND(BE$7&gt;0,$A58&gt;BE$7)),0,MAX(0,ROUND((INDEX($E58:$G58,BE$5)-SUMIFS(TF_Timer,TF_Tekniker,BE$4,TF_Dato,$A58))*2,0)/2)))</f>
        <v/>
      </c>
      <c r="BF58">
        <f>IF(OR(BF$4="",$A58&gt;TODAY()),0,IF(OR(INDEX($B58:$D58,BF$5)="F",AND(BF$6&gt;0,$A58&lt;BF$6),AND(BF$7&gt;0,$A58&gt;BF$7)),0,MAX(0,ROUND((INDEX($E58:$G58,BF$5)-SUMIFS(TF_Timer,TF_Tekniker,BF$4,TF_Dato,$A58))*2,0)/2)))</f>
        <v/>
      </c>
      <c r="BG58">
        <f>IF(OR(BG$4="",$A58&gt;TODAY()),0,IF(OR(INDEX($B58:$D58,BG$5)="F",AND(BG$6&gt;0,$A58&lt;BG$6),AND(BG$7&gt;0,$A58&gt;BG$7)),0,MAX(0,ROUND((INDEX($E58:$G58,BG$5)-SUMIFS(TF_Timer,TF_Tekniker,BG$4,TF_Dato,$A58))*2,0)/2)))</f>
        <v/>
      </c>
      <c r="BH58">
        <f>IF(OR(BH$4="",$A58&gt;TODAY()),0,IF(OR(INDEX($B58:$D58,BH$5)="F",AND(BH$6&gt;0,$A58&lt;BH$6),AND(BH$7&gt;0,$A58&gt;BH$7)),0,MAX(0,ROUND((INDEX($E58:$G58,BH$5)-SUMIFS(TF_Timer,TF_Tekniker,BH$4,TF_Dato,$A58))*2,0)/2)))</f>
        <v/>
      </c>
      <c r="BI58">
        <f>IF(OR(BI$4="",$A58&gt;TODAY()),0,IF(OR(INDEX($B58:$D58,BI$5)="F",AND(BI$6&gt;0,$A58&lt;BI$6),AND(BI$7&gt;0,$A58&gt;BI$7)),0,MAX(0,ROUND((INDEX($E58:$G58,BI$5)-SUMIFS(TF_Timer,TF_Tekniker,BI$4,TF_Dato,$A58))*2,0)/2)))</f>
        <v/>
      </c>
    </row>
    <row r="59">
      <c r="A59" s="64">
        <f>A58+1</f>
        <v/>
      </c>
      <c r="B59">
        <f>IF(MOD($A59-INDEX(SkiftStart,1),Syklus)&lt;DagK,"K",IF(MOD($A59-INDEX(SkiftStart,1),Syklus)&lt;DagK+DagH,"H",IF(MOD($A59-INDEX(SkiftStart,1),Syklus)&lt;DagK+DagH+DagD,"D","F")))</f>
        <v/>
      </c>
      <c r="C59">
        <f>IF(MOD($A59-INDEX(SkiftStart,2),Syklus)&lt;DagK,"K",IF(MOD($A59-INDEX(SkiftStart,2),Syklus)&lt;DagK+DagH,"H",IF(MOD($A59-INDEX(SkiftStart,2),Syklus)&lt;DagK+DagH+DagD,"D","F")))</f>
        <v/>
      </c>
      <c r="D59">
        <f>IF(MOD($A59-INDEX(SkiftStart,3),Syklus)&lt;DagK,"K",IF(MOD($A59-INDEX(SkiftStart,3),Syklus)&lt;DagK+DagH,"H",IF(MOD($A59-INDEX(SkiftStart,3),Syklus)&lt;DagK+DagH+DagD,"D","F")))</f>
        <v/>
      </c>
      <c r="E59">
        <f>IF(B59="F",0,IF(WEEKDAY($A59,2)=5,INDEX(TimerFr,MATCH(B59,FaseKode,0)),INDEX(TimerMT,MATCH(B59,FaseKode,0))))</f>
        <v/>
      </c>
      <c r="F59">
        <f>IF(C59="F",0,IF(WEEKDAY($A59,2)=5,INDEX(TimerFr,MATCH(C59,FaseKode,0)),INDEX(TimerMT,MATCH(C59,FaseKode,0))))</f>
        <v/>
      </c>
      <c r="G59">
        <f>IF(D59="F",0,IF(WEEKDAY($A59,2)=5,INDEX(TimerFr,MATCH(D59,FaseKode,0)),INDEX(TimerMT,MATCH(D59,FaseKode,0))))</f>
        <v/>
      </c>
      <c r="H59">
        <f>IF(OR(H$4="",$A59&gt;TODAY()),0,IF(OR(INDEX($B59:$D59,H$5)="F",AND(H$6&gt;0,$A59&lt;H$6),AND(H$7&gt;0,$A59&gt;H$7)),0,MAX(0,ROUND((INDEX($E59:$G59,H$5)-SUMIFS(TF_Timer,TF_Tekniker,H$4,TF_Dato,$A59))*2,0)/2)))</f>
        <v/>
      </c>
      <c r="I59">
        <f>IF(OR(I$4="",$A59&gt;TODAY()),0,IF(OR(INDEX($B59:$D59,I$5)="F",AND(I$6&gt;0,$A59&lt;I$6),AND(I$7&gt;0,$A59&gt;I$7)),0,MAX(0,ROUND((INDEX($E59:$G59,I$5)-SUMIFS(TF_Timer,TF_Tekniker,I$4,TF_Dato,$A59))*2,0)/2)))</f>
        <v/>
      </c>
      <c r="J59">
        <f>IF(OR(J$4="",$A59&gt;TODAY()),0,IF(OR(INDEX($B59:$D59,J$5)="F",AND(J$6&gt;0,$A59&lt;J$6),AND(J$7&gt;0,$A59&gt;J$7)),0,MAX(0,ROUND((INDEX($E59:$G59,J$5)-SUMIFS(TF_Timer,TF_Tekniker,J$4,TF_Dato,$A59))*2,0)/2)))</f>
        <v/>
      </c>
      <c r="K59">
        <f>IF(OR(K$4="",$A59&gt;TODAY()),0,IF(OR(INDEX($B59:$D59,K$5)="F",AND(K$6&gt;0,$A59&lt;K$6),AND(K$7&gt;0,$A59&gt;K$7)),0,MAX(0,ROUND((INDEX($E59:$G59,K$5)-SUMIFS(TF_Timer,TF_Tekniker,K$4,TF_Dato,$A59))*2,0)/2)))</f>
        <v/>
      </c>
      <c r="L59">
        <f>IF(OR(L$4="",$A59&gt;TODAY()),0,IF(OR(INDEX($B59:$D59,L$5)="F",AND(L$6&gt;0,$A59&lt;L$6),AND(L$7&gt;0,$A59&gt;L$7)),0,MAX(0,ROUND((INDEX($E59:$G59,L$5)-SUMIFS(TF_Timer,TF_Tekniker,L$4,TF_Dato,$A59))*2,0)/2)))</f>
        <v/>
      </c>
      <c r="M59">
        <f>IF(OR(M$4="",$A59&gt;TODAY()),0,IF(OR(INDEX($B59:$D59,M$5)="F",AND(M$6&gt;0,$A59&lt;M$6),AND(M$7&gt;0,$A59&gt;M$7)),0,MAX(0,ROUND((INDEX($E59:$G59,M$5)-SUMIFS(TF_Timer,TF_Tekniker,M$4,TF_Dato,$A59))*2,0)/2)))</f>
        <v/>
      </c>
      <c r="N59">
        <f>IF(OR(N$4="",$A59&gt;TODAY()),0,IF(OR(INDEX($B59:$D59,N$5)="F",AND(N$6&gt;0,$A59&lt;N$6),AND(N$7&gt;0,$A59&gt;N$7)),0,MAX(0,ROUND((INDEX($E59:$G59,N$5)-SUMIFS(TF_Timer,TF_Tekniker,N$4,TF_Dato,$A59))*2,0)/2)))</f>
        <v/>
      </c>
      <c r="O59">
        <f>IF(OR(O$4="",$A59&gt;TODAY()),0,IF(OR(INDEX($B59:$D59,O$5)="F",AND(O$6&gt;0,$A59&lt;O$6),AND(O$7&gt;0,$A59&gt;O$7)),0,MAX(0,ROUND((INDEX($E59:$G59,O$5)-SUMIFS(TF_Timer,TF_Tekniker,O$4,TF_Dato,$A59))*2,0)/2)))</f>
        <v/>
      </c>
      <c r="P59">
        <f>IF(OR(P$4="",$A59&gt;TODAY()),0,IF(OR(INDEX($B59:$D59,P$5)="F",AND(P$6&gt;0,$A59&lt;P$6),AND(P$7&gt;0,$A59&gt;P$7)),0,MAX(0,ROUND((INDEX($E59:$G59,P$5)-SUMIFS(TF_Timer,TF_Tekniker,P$4,TF_Dato,$A59))*2,0)/2)))</f>
        <v/>
      </c>
      <c r="Q59">
        <f>IF(OR(Q$4="",$A59&gt;TODAY()),0,IF(OR(INDEX($B59:$D59,Q$5)="F",AND(Q$6&gt;0,$A59&lt;Q$6),AND(Q$7&gt;0,$A59&gt;Q$7)),0,MAX(0,ROUND((INDEX($E59:$G59,Q$5)-SUMIFS(TF_Timer,TF_Tekniker,Q$4,TF_Dato,$A59))*2,0)/2)))</f>
        <v/>
      </c>
      <c r="R59">
        <f>IF(OR(R$4="",$A59&gt;TODAY()),0,IF(OR(INDEX($B59:$D59,R$5)="F",AND(R$6&gt;0,$A59&lt;R$6),AND(R$7&gt;0,$A59&gt;R$7)),0,MAX(0,ROUND((INDEX($E59:$G59,R$5)-SUMIFS(TF_Timer,TF_Tekniker,R$4,TF_Dato,$A59))*2,0)/2)))</f>
        <v/>
      </c>
      <c r="S59">
        <f>IF(OR(S$4="",$A59&gt;TODAY()),0,IF(OR(INDEX($B59:$D59,S$5)="F",AND(S$6&gt;0,$A59&lt;S$6),AND(S$7&gt;0,$A59&gt;S$7)),0,MAX(0,ROUND((INDEX($E59:$G59,S$5)-SUMIFS(TF_Timer,TF_Tekniker,S$4,TF_Dato,$A59))*2,0)/2)))</f>
        <v/>
      </c>
      <c r="T59">
        <f>IF(OR(T$4="",$A59&gt;TODAY()),0,IF(OR(INDEX($B59:$D59,T$5)="F",AND(T$6&gt;0,$A59&lt;T$6),AND(T$7&gt;0,$A59&gt;T$7)),0,MAX(0,ROUND((INDEX($E59:$G59,T$5)-SUMIFS(TF_Timer,TF_Tekniker,T$4,TF_Dato,$A59))*2,0)/2)))</f>
        <v/>
      </c>
      <c r="U59">
        <f>IF(OR(U$4="",$A59&gt;TODAY()),0,IF(OR(INDEX($B59:$D59,U$5)="F",AND(U$6&gt;0,$A59&lt;U$6),AND(U$7&gt;0,$A59&gt;U$7)),0,MAX(0,ROUND((INDEX($E59:$G59,U$5)-SUMIFS(TF_Timer,TF_Tekniker,U$4,TF_Dato,$A59))*2,0)/2)))</f>
        <v/>
      </c>
      <c r="V59">
        <f>IF(OR(V$4="",$A59&gt;TODAY()),0,IF(OR(INDEX($B59:$D59,V$5)="F",AND(V$6&gt;0,$A59&lt;V$6),AND(V$7&gt;0,$A59&gt;V$7)),0,MAX(0,ROUND((INDEX($E59:$G59,V$5)-SUMIFS(TF_Timer,TF_Tekniker,V$4,TF_Dato,$A59))*2,0)/2)))</f>
        <v/>
      </c>
      <c r="W59">
        <f>IF(OR(W$4="",$A59&gt;TODAY()),0,IF(OR(INDEX($B59:$D59,W$5)="F",AND(W$6&gt;0,$A59&lt;W$6),AND(W$7&gt;0,$A59&gt;W$7)),0,MAX(0,ROUND((INDEX($E59:$G59,W$5)-SUMIFS(TF_Timer,TF_Tekniker,W$4,TF_Dato,$A59))*2,0)/2)))</f>
        <v/>
      </c>
      <c r="X59">
        <f>IF(OR(X$4="",$A59&gt;TODAY()),0,IF(OR(INDEX($B59:$D59,X$5)="F",AND(X$6&gt;0,$A59&lt;X$6),AND(X$7&gt;0,$A59&gt;X$7)),0,MAX(0,ROUND((INDEX($E59:$G59,X$5)-SUMIFS(TF_Timer,TF_Tekniker,X$4,TF_Dato,$A59))*2,0)/2)))</f>
        <v/>
      </c>
      <c r="Y59">
        <f>IF(OR(Y$4="",$A59&gt;TODAY()),0,IF(OR(INDEX($B59:$D59,Y$5)="F",AND(Y$6&gt;0,$A59&lt;Y$6),AND(Y$7&gt;0,$A59&gt;Y$7)),0,MAX(0,ROUND((INDEX($E59:$G59,Y$5)-SUMIFS(TF_Timer,TF_Tekniker,Y$4,TF_Dato,$A59))*2,0)/2)))</f>
        <v/>
      </c>
      <c r="Z59">
        <f>IF(OR(Z$4="",$A59&gt;TODAY()),0,IF(OR(INDEX($B59:$D59,Z$5)="F",AND(Z$6&gt;0,$A59&lt;Z$6),AND(Z$7&gt;0,$A59&gt;Z$7)),0,MAX(0,ROUND((INDEX($E59:$G59,Z$5)-SUMIFS(TF_Timer,TF_Tekniker,Z$4,TF_Dato,$A59))*2,0)/2)))</f>
        <v/>
      </c>
      <c r="AA59">
        <f>IF(OR(AA$4="",$A59&gt;TODAY()),0,IF(OR(INDEX($B59:$D59,AA$5)="F",AND(AA$6&gt;0,$A59&lt;AA$6),AND(AA$7&gt;0,$A59&gt;AA$7)),0,MAX(0,ROUND((INDEX($E59:$G59,AA$5)-SUMIFS(TF_Timer,TF_Tekniker,AA$4,TF_Dato,$A59))*2,0)/2)))</f>
        <v/>
      </c>
      <c r="AB59">
        <f>IF(OR(AB$4="",$A59&gt;TODAY()),0,IF(OR(INDEX($B59:$D59,AB$5)="F",AND(AB$6&gt;0,$A59&lt;AB$6),AND(AB$7&gt;0,$A59&gt;AB$7)),0,MAX(0,ROUND((INDEX($E59:$G59,AB$5)-SUMIFS(TF_Timer,TF_Tekniker,AB$4,TF_Dato,$A59))*2,0)/2)))</f>
        <v/>
      </c>
      <c r="AC59">
        <f>IF(OR(AC$4="",$A59&gt;TODAY()),0,IF(OR(INDEX($B59:$D59,AC$5)="F",AND(AC$6&gt;0,$A59&lt;AC$6),AND(AC$7&gt;0,$A59&gt;AC$7)),0,MAX(0,ROUND((INDEX($E59:$G59,AC$5)-SUMIFS(TF_Timer,TF_Tekniker,AC$4,TF_Dato,$A59))*2,0)/2)))</f>
        <v/>
      </c>
      <c r="AD59">
        <f>IF(OR(AD$4="",$A59&gt;TODAY()),0,IF(OR(INDEX($B59:$D59,AD$5)="F",AND(AD$6&gt;0,$A59&lt;AD$6),AND(AD$7&gt;0,$A59&gt;AD$7)),0,MAX(0,ROUND((INDEX($E59:$G59,AD$5)-SUMIFS(TF_Timer,TF_Tekniker,AD$4,TF_Dato,$A59))*2,0)/2)))</f>
        <v/>
      </c>
      <c r="AE59">
        <f>IF(OR(AE$4="",$A59&gt;TODAY()),0,IF(OR(INDEX($B59:$D59,AE$5)="F",AND(AE$6&gt;0,$A59&lt;AE$6),AND(AE$7&gt;0,$A59&gt;AE$7)),0,MAX(0,ROUND((INDEX($E59:$G59,AE$5)-SUMIFS(TF_Timer,TF_Tekniker,AE$4,TF_Dato,$A59))*2,0)/2)))</f>
        <v/>
      </c>
      <c r="AF59">
        <f>IF(OR(AF$4="",$A59&gt;TODAY()),0,IF(OR(INDEX($B59:$D59,AF$5)="F",AND(AF$6&gt;0,$A59&lt;AF$6),AND(AF$7&gt;0,$A59&gt;AF$7)),0,MAX(0,ROUND((INDEX($E59:$G59,AF$5)-SUMIFS(TF_Timer,TF_Tekniker,AF$4,TF_Dato,$A59))*2,0)/2)))</f>
        <v/>
      </c>
      <c r="AG59">
        <f>IF(OR(AG$4="",$A59&gt;TODAY()),0,IF(OR(INDEX($B59:$D59,AG$5)="F",AND(AG$6&gt;0,$A59&lt;AG$6),AND(AG$7&gt;0,$A59&gt;AG$7)),0,MAX(0,ROUND((INDEX($E59:$G59,AG$5)-SUMIFS(TF_Timer,TF_Tekniker,AG$4,TF_Dato,$A59))*2,0)/2)))</f>
        <v/>
      </c>
      <c r="AH59">
        <f>IF(OR(AH$4="",$A59&gt;TODAY()),0,IF(OR(INDEX($B59:$D59,AH$5)="F",AND(AH$6&gt;0,$A59&lt;AH$6),AND(AH$7&gt;0,$A59&gt;AH$7)),0,MAX(0,ROUND((INDEX($E59:$G59,AH$5)-SUMIFS(TF_Timer,TF_Tekniker,AH$4,TF_Dato,$A59))*2,0)/2)))</f>
        <v/>
      </c>
      <c r="AI59">
        <f>IF(OR(AI$4="",$A59&gt;TODAY()),0,IF(OR(INDEX($B59:$D59,AI$5)="F",AND(AI$6&gt;0,$A59&lt;AI$6),AND(AI$7&gt;0,$A59&gt;AI$7)),0,MAX(0,ROUND((INDEX($E59:$G59,AI$5)-SUMIFS(TF_Timer,TF_Tekniker,AI$4,TF_Dato,$A59))*2,0)/2)))</f>
        <v/>
      </c>
      <c r="AJ59">
        <f>IF(OR(AJ$4="",$A59&gt;TODAY()),0,IF(OR(INDEX($B59:$D59,AJ$5)="F",AND(AJ$6&gt;0,$A59&lt;AJ$6),AND(AJ$7&gt;0,$A59&gt;AJ$7)),0,MAX(0,ROUND((INDEX($E59:$G59,AJ$5)-SUMIFS(TF_Timer,TF_Tekniker,AJ$4,TF_Dato,$A59))*2,0)/2)))</f>
        <v/>
      </c>
      <c r="AK59">
        <f>IF(OR(AK$4="",$A59&gt;TODAY()),0,IF(OR(INDEX($B59:$D59,AK$5)="F",AND(AK$6&gt;0,$A59&lt;AK$6),AND(AK$7&gt;0,$A59&gt;AK$7)),0,MAX(0,ROUND((INDEX($E59:$G59,AK$5)-SUMIFS(TF_Timer,TF_Tekniker,AK$4,TF_Dato,$A59))*2,0)/2)))</f>
        <v/>
      </c>
      <c r="AL59">
        <f>IF(OR(AL$4="",$A59&gt;TODAY()),0,IF(OR(INDEX($B59:$D59,AL$5)="F",AND(AL$6&gt;0,$A59&lt;AL$6),AND(AL$7&gt;0,$A59&gt;AL$7)),0,MAX(0,ROUND((INDEX($E59:$G59,AL$5)-SUMIFS(TF_Timer,TF_Tekniker,AL$4,TF_Dato,$A59))*2,0)/2)))</f>
        <v/>
      </c>
      <c r="AM59">
        <f>IF(OR(AM$4="",$A59&gt;TODAY()),0,IF(OR(INDEX($B59:$D59,AM$5)="F",AND(AM$6&gt;0,$A59&lt;AM$6),AND(AM$7&gt;0,$A59&gt;AM$7)),0,MAX(0,ROUND((INDEX($E59:$G59,AM$5)-SUMIFS(TF_Timer,TF_Tekniker,AM$4,TF_Dato,$A59))*2,0)/2)))</f>
        <v/>
      </c>
      <c r="AN59">
        <f>IF(OR(AN$4="",$A59&gt;TODAY()),0,IF(OR(INDEX($B59:$D59,AN$5)="F",AND(AN$6&gt;0,$A59&lt;AN$6),AND(AN$7&gt;0,$A59&gt;AN$7)),0,MAX(0,ROUND((INDEX($E59:$G59,AN$5)-SUMIFS(TF_Timer,TF_Tekniker,AN$4,TF_Dato,$A59))*2,0)/2)))</f>
        <v/>
      </c>
      <c r="AO59">
        <f>IF(OR(AO$4="",$A59&gt;TODAY()),0,IF(OR(INDEX($B59:$D59,AO$5)="F",AND(AO$6&gt;0,$A59&lt;AO$6),AND(AO$7&gt;0,$A59&gt;AO$7)),0,MAX(0,ROUND((INDEX($E59:$G59,AO$5)-SUMIFS(TF_Timer,TF_Tekniker,AO$4,TF_Dato,$A59))*2,0)/2)))</f>
        <v/>
      </c>
      <c r="AP59">
        <f>IF(OR(AP$4="",$A59&gt;TODAY()),0,IF(OR(INDEX($B59:$D59,AP$5)="F",AND(AP$6&gt;0,$A59&lt;AP$6),AND(AP$7&gt;0,$A59&gt;AP$7)),0,MAX(0,ROUND((INDEX($E59:$G59,AP$5)-SUMIFS(TF_Timer,TF_Tekniker,AP$4,TF_Dato,$A59))*2,0)/2)))</f>
        <v/>
      </c>
      <c r="AQ59">
        <f>IF(OR(AQ$4="",$A59&gt;TODAY()),0,IF(OR(INDEX($B59:$D59,AQ$5)="F",AND(AQ$6&gt;0,$A59&lt;AQ$6),AND(AQ$7&gt;0,$A59&gt;AQ$7)),0,MAX(0,ROUND((INDEX($E59:$G59,AQ$5)-SUMIFS(TF_Timer,TF_Tekniker,AQ$4,TF_Dato,$A59))*2,0)/2)))</f>
        <v/>
      </c>
      <c r="AR59">
        <f>IF(OR(AR$4="",$A59&gt;TODAY()),0,IF(OR(INDEX($B59:$D59,AR$5)="F",AND(AR$6&gt;0,$A59&lt;AR$6),AND(AR$7&gt;0,$A59&gt;AR$7)),0,MAX(0,ROUND((INDEX($E59:$G59,AR$5)-SUMIFS(TF_Timer,TF_Tekniker,AR$4,TF_Dato,$A59))*2,0)/2)))</f>
        <v/>
      </c>
      <c r="AS59">
        <f>IF(OR(AS$4="",$A59&gt;TODAY()),0,IF(OR(INDEX($B59:$D59,AS$5)="F",AND(AS$6&gt;0,$A59&lt;AS$6),AND(AS$7&gt;0,$A59&gt;AS$7)),0,MAX(0,ROUND((INDEX($E59:$G59,AS$5)-SUMIFS(TF_Timer,TF_Tekniker,AS$4,TF_Dato,$A59))*2,0)/2)))</f>
        <v/>
      </c>
      <c r="AT59">
        <f>IF(OR(AT$4="",$A59&gt;TODAY()),0,IF(OR(INDEX($B59:$D59,AT$5)="F",AND(AT$6&gt;0,$A59&lt;AT$6),AND(AT$7&gt;0,$A59&gt;AT$7)),0,MAX(0,ROUND((INDEX($E59:$G59,AT$5)-SUMIFS(TF_Timer,TF_Tekniker,AT$4,TF_Dato,$A59))*2,0)/2)))</f>
        <v/>
      </c>
      <c r="AU59">
        <f>IF(OR(AU$4="",$A59&gt;TODAY()),0,IF(OR(INDEX($B59:$D59,AU$5)="F",AND(AU$6&gt;0,$A59&lt;AU$6),AND(AU$7&gt;0,$A59&gt;AU$7)),0,MAX(0,ROUND((INDEX($E59:$G59,AU$5)-SUMIFS(TF_Timer,TF_Tekniker,AU$4,TF_Dato,$A59))*2,0)/2)))</f>
        <v/>
      </c>
      <c r="AV59">
        <f>IF(OR(AV$4="",$A59&gt;TODAY()),0,IF(OR(INDEX($B59:$D59,AV$5)="F",AND(AV$6&gt;0,$A59&lt;AV$6),AND(AV$7&gt;0,$A59&gt;AV$7)),0,MAX(0,ROUND((INDEX($E59:$G59,AV$5)-SUMIFS(TF_Timer,TF_Tekniker,AV$4,TF_Dato,$A59))*2,0)/2)))</f>
        <v/>
      </c>
      <c r="AW59">
        <f>IF(OR(AW$4="",$A59&gt;TODAY()),0,IF(OR(INDEX($B59:$D59,AW$5)="F",AND(AW$6&gt;0,$A59&lt;AW$6),AND(AW$7&gt;0,$A59&gt;AW$7)),0,MAX(0,ROUND((INDEX($E59:$G59,AW$5)-SUMIFS(TF_Timer,TF_Tekniker,AW$4,TF_Dato,$A59))*2,0)/2)))</f>
        <v/>
      </c>
      <c r="AX59">
        <f>IF(OR(AX$4="",$A59&gt;TODAY()),0,IF(OR(INDEX($B59:$D59,AX$5)="F",AND(AX$6&gt;0,$A59&lt;AX$6),AND(AX$7&gt;0,$A59&gt;AX$7)),0,MAX(0,ROUND((INDEX($E59:$G59,AX$5)-SUMIFS(TF_Timer,TF_Tekniker,AX$4,TF_Dato,$A59))*2,0)/2)))</f>
        <v/>
      </c>
      <c r="AY59">
        <f>IF(OR(AY$4="",$A59&gt;TODAY()),0,IF(OR(INDEX($B59:$D59,AY$5)="F",AND(AY$6&gt;0,$A59&lt;AY$6),AND(AY$7&gt;0,$A59&gt;AY$7)),0,MAX(0,ROUND((INDEX($E59:$G59,AY$5)-SUMIFS(TF_Timer,TF_Tekniker,AY$4,TF_Dato,$A59))*2,0)/2)))</f>
        <v/>
      </c>
      <c r="AZ59">
        <f>IF(OR(AZ$4="",$A59&gt;TODAY()),0,IF(OR(INDEX($B59:$D59,AZ$5)="F",AND(AZ$6&gt;0,$A59&lt;AZ$6),AND(AZ$7&gt;0,$A59&gt;AZ$7)),0,MAX(0,ROUND((INDEX($E59:$G59,AZ$5)-SUMIFS(TF_Timer,TF_Tekniker,AZ$4,TF_Dato,$A59))*2,0)/2)))</f>
        <v/>
      </c>
      <c r="BA59">
        <f>IF(OR(BA$4="",$A59&gt;TODAY()),0,IF(OR(INDEX($B59:$D59,BA$5)="F",AND(BA$6&gt;0,$A59&lt;BA$6),AND(BA$7&gt;0,$A59&gt;BA$7)),0,MAX(0,ROUND((INDEX($E59:$G59,BA$5)-SUMIFS(TF_Timer,TF_Tekniker,BA$4,TF_Dato,$A59))*2,0)/2)))</f>
        <v/>
      </c>
      <c r="BB59">
        <f>IF(OR(BB$4="",$A59&gt;TODAY()),0,IF(OR(INDEX($B59:$D59,BB$5)="F",AND(BB$6&gt;0,$A59&lt;BB$6),AND(BB$7&gt;0,$A59&gt;BB$7)),0,MAX(0,ROUND((INDEX($E59:$G59,BB$5)-SUMIFS(TF_Timer,TF_Tekniker,BB$4,TF_Dato,$A59))*2,0)/2)))</f>
        <v/>
      </c>
      <c r="BC59">
        <f>IF(OR(BC$4="",$A59&gt;TODAY()),0,IF(OR(INDEX($B59:$D59,BC$5)="F",AND(BC$6&gt;0,$A59&lt;BC$6),AND(BC$7&gt;0,$A59&gt;BC$7)),0,MAX(0,ROUND((INDEX($E59:$G59,BC$5)-SUMIFS(TF_Timer,TF_Tekniker,BC$4,TF_Dato,$A59))*2,0)/2)))</f>
        <v/>
      </c>
      <c r="BD59">
        <f>IF(OR(BD$4="",$A59&gt;TODAY()),0,IF(OR(INDEX($B59:$D59,BD$5)="F",AND(BD$6&gt;0,$A59&lt;BD$6),AND(BD$7&gt;0,$A59&gt;BD$7)),0,MAX(0,ROUND((INDEX($E59:$G59,BD$5)-SUMIFS(TF_Timer,TF_Tekniker,BD$4,TF_Dato,$A59))*2,0)/2)))</f>
        <v/>
      </c>
      <c r="BE59">
        <f>IF(OR(BE$4="",$A59&gt;TODAY()),0,IF(OR(INDEX($B59:$D59,BE$5)="F",AND(BE$6&gt;0,$A59&lt;BE$6),AND(BE$7&gt;0,$A59&gt;BE$7)),0,MAX(0,ROUND((INDEX($E59:$G59,BE$5)-SUMIFS(TF_Timer,TF_Tekniker,BE$4,TF_Dato,$A59))*2,0)/2)))</f>
        <v/>
      </c>
      <c r="BF59">
        <f>IF(OR(BF$4="",$A59&gt;TODAY()),0,IF(OR(INDEX($B59:$D59,BF$5)="F",AND(BF$6&gt;0,$A59&lt;BF$6),AND(BF$7&gt;0,$A59&gt;BF$7)),0,MAX(0,ROUND((INDEX($E59:$G59,BF$5)-SUMIFS(TF_Timer,TF_Tekniker,BF$4,TF_Dato,$A59))*2,0)/2)))</f>
        <v/>
      </c>
      <c r="BG59">
        <f>IF(OR(BG$4="",$A59&gt;TODAY()),0,IF(OR(INDEX($B59:$D59,BG$5)="F",AND(BG$6&gt;0,$A59&lt;BG$6),AND(BG$7&gt;0,$A59&gt;BG$7)),0,MAX(0,ROUND((INDEX($E59:$G59,BG$5)-SUMIFS(TF_Timer,TF_Tekniker,BG$4,TF_Dato,$A59))*2,0)/2)))</f>
        <v/>
      </c>
      <c r="BH59">
        <f>IF(OR(BH$4="",$A59&gt;TODAY()),0,IF(OR(INDEX($B59:$D59,BH$5)="F",AND(BH$6&gt;0,$A59&lt;BH$6),AND(BH$7&gt;0,$A59&gt;BH$7)),0,MAX(0,ROUND((INDEX($E59:$G59,BH$5)-SUMIFS(TF_Timer,TF_Tekniker,BH$4,TF_Dato,$A59))*2,0)/2)))</f>
        <v/>
      </c>
      <c r="BI59">
        <f>IF(OR(BI$4="",$A59&gt;TODAY()),0,IF(OR(INDEX($B59:$D59,BI$5)="F",AND(BI$6&gt;0,$A59&lt;BI$6),AND(BI$7&gt;0,$A59&gt;BI$7)),0,MAX(0,ROUND((INDEX($E59:$G59,BI$5)-SUMIFS(TF_Timer,TF_Tekniker,BI$4,TF_Dato,$A59))*2,0)/2)))</f>
        <v/>
      </c>
    </row>
    <row r="60">
      <c r="A60" s="64">
        <f>A59+1</f>
        <v/>
      </c>
      <c r="B60">
        <f>IF(MOD($A60-INDEX(SkiftStart,1),Syklus)&lt;DagK,"K",IF(MOD($A60-INDEX(SkiftStart,1),Syklus)&lt;DagK+DagH,"H",IF(MOD($A60-INDEX(SkiftStart,1),Syklus)&lt;DagK+DagH+DagD,"D","F")))</f>
        <v/>
      </c>
      <c r="C60">
        <f>IF(MOD($A60-INDEX(SkiftStart,2),Syklus)&lt;DagK,"K",IF(MOD($A60-INDEX(SkiftStart,2),Syklus)&lt;DagK+DagH,"H",IF(MOD($A60-INDEX(SkiftStart,2),Syklus)&lt;DagK+DagH+DagD,"D","F")))</f>
        <v/>
      </c>
      <c r="D60">
        <f>IF(MOD($A60-INDEX(SkiftStart,3),Syklus)&lt;DagK,"K",IF(MOD($A60-INDEX(SkiftStart,3),Syklus)&lt;DagK+DagH,"H",IF(MOD($A60-INDEX(SkiftStart,3),Syklus)&lt;DagK+DagH+DagD,"D","F")))</f>
        <v/>
      </c>
      <c r="E60">
        <f>IF(B60="F",0,IF(WEEKDAY($A60,2)=5,INDEX(TimerFr,MATCH(B60,FaseKode,0)),INDEX(TimerMT,MATCH(B60,FaseKode,0))))</f>
        <v/>
      </c>
      <c r="F60">
        <f>IF(C60="F",0,IF(WEEKDAY($A60,2)=5,INDEX(TimerFr,MATCH(C60,FaseKode,0)),INDEX(TimerMT,MATCH(C60,FaseKode,0))))</f>
        <v/>
      </c>
      <c r="G60">
        <f>IF(D60="F",0,IF(WEEKDAY($A60,2)=5,INDEX(TimerFr,MATCH(D60,FaseKode,0)),INDEX(TimerMT,MATCH(D60,FaseKode,0))))</f>
        <v/>
      </c>
      <c r="H60">
        <f>IF(OR(H$4="",$A60&gt;TODAY()),0,IF(OR(INDEX($B60:$D60,H$5)="F",AND(H$6&gt;0,$A60&lt;H$6),AND(H$7&gt;0,$A60&gt;H$7)),0,MAX(0,ROUND((INDEX($E60:$G60,H$5)-SUMIFS(TF_Timer,TF_Tekniker,H$4,TF_Dato,$A60))*2,0)/2)))</f>
        <v/>
      </c>
      <c r="I60">
        <f>IF(OR(I$4="",$A60&gt;TODAY()),0,IF(OR(INDEX($B60:$D60,I$5)="F",AND(I$6&gt;0,$A60&lt;I$6),AND(I$7&gt;0,$A60&gt;I$7)),0,MAX(0,ROUND((INDEX($E60:$G60,I$5)-SUMIFS(TF_Timer,TF_Tekniker,I$4,TF_Dato,$A60))*2,0)/2)))</f>
        <v/>
      </c>
      <c r="J60">
        <f>IF(OR(J$4="",$A60&gt;TODAY()),0,IF(OR(INDEX($B60:$D60,J$5)="F",AND(J$6&gt;0,$A60&lt;J$6),AND(J$7&gt;0,$A60&gt;J$7)),0,MAX(0,ROUND((INDEX($E60:$G60,J$5)-SUMIFS(TF_Timer,TF_Tekniker,J$4,TF_Dato,$A60))*2,0)/2)))</f>
        <v/>
      </c>
      <c r="K60">
        <f>IF(OR(K$4="",$A60&gt;TODAY()),0,IF(OR(INDEX($B60:$D60,K$5)="F",AND(K$6&gt;0,$A60&lt;K$6),AND(K$7&gt;0,$A60&gt;K$7)),0,MAX(0,ROUND((INDEX($E60:$G60,K$5)-SUMIFS(TF_Timer,TF_Tekniker,K$4,TF_Dato,$A60))*2,0)/2)))</f>
        <v/>
      </c>
      <c r="L60">
        <f>IF(OR(L$4="",$A60&gt;TODAY()),0,IF(OR(INDEX($B60:$D60,L$5)="F",AND(L$6&gt;0,$A60&lt;L$6),AND(L$7&gt;0,$A60&gt;L$7)),0,MAX(0,ROUND((INDEX($E60:$G60,L$5)-SUMIFS(TF_Timer,TF_Tekniker,L$4,TF_Dato,$A60))*2,0)/2)))</f>
        <v/>
      </c>
      <c r="M60">
        <f>IF(OR(M$4="",$A60&gt;TODAY()),0,IF(OR(INDEX($B60:$D60,M$5)="F",AND(M$6&gt;0,$A60&lt;M$6),AND(M$7&gt;0,$A60&gt;M$7)),0,MAX(0,ROUND((INDEX($E60:$G60,M$5)-SUMIFS(TF_Timer,TF_Tekniker,M$4,TF_Dato,$A60))*2,0)/2)))</f>
        <v/>
      </c>
      <c r="N60">
        <f>IF(OR(N$4="",$A60&gt;TODAY()),0,IF(OR(INDEX($B60:$D60,N$5)="F",AND(N$6&gt;0,$A60&lt;N$6),AND(N$7&gt;0,$A60&gt;N$7)),0,MAX(0,ROUND((INDEX($E60:$G60,N$5)-SUMIFS(TF_Timer,TF_Tekniker,N$4,TF_Dato,$A60))*2,0)/2)))</f>
        <v/>
      </c>
      <c r="O60">
        <f>IF(OR(O$4="",$A60&gt;TODAY()),0,IF(OR(INDEX($B60:$D60,O$5)="F",AND(O$6&gt;0,$A60&lt;O$6),AND(O$7&gt;0,$A60&gt;O$7)),0,MAX(0,ROUND((INDEX($E60:$G60,O$5)-SUMIFS(TF_Timer,TF_Tekniker,O$4,TF_Dato,$A60))*2,0)/2)))</f>
        <v/>
      </c>
      <c r="P60">
        <f>IF(OR(P$4="",$A60&gt;TODAY()),0,IF(OR(INDEX($B60:$D60,P$5)="F",AND(P$6&gt;0,$A60&lt;P$6),AND(P$7&gt;0,$A60&gt;P$7)),0,MAX(0,ROUND((INDEX($E60:$G60,P$5)-SUMIFS(TF_Timer,TF_Tekniker,P$4,TF_Dato,$A60))*2,0)/2)))</f>
        <v/>
      </c>
      <c r="Q60">
        <f>IF(OR(Q$4="",$A60&gt;TODAY()),0,IF(OR(INDEX($B60:$D60,Q$5)="F",AND(Q$6&gt;0,$A60&lt;Q$6),AND(Q$7&gt;0,$A60&gt;Q$7)),0,MAX(0,ROUND((INDEX($E60:$G60,Q$5)-SUMIFS(TF_Timer,TF_Tekniker,Q$4,TF_Dato,$A60))*2,0)/2)))</f>
        <v/>
      </c>
      <c r="R60">
        <f>IF(OR(R$4="",$A60&gt;TODAY()),0,IF(OR(INDEX($B60:$D60,R$5)="F",AND(R$6&gt;0,$A60&lt;R$6),AND(R$7&gt;0,$A60&gt;R$7)),0,MAX(0,ROUND((INDEX($E60:$G60,R$5)-SUMIFS(TF_Timer,TF_Tekniker,R$4,TF_Dato,$A60))*2,0)/2)))</f>
        <v/>
      </c>
      <c r="S60">
        <f>IF(OR(S$4="",$A60&gt;TODAY()),0,IF(OR(INDEX($B60:$D60,S$5)="F",AND(S$6&gt;0,$A60&lt;S$6),AND(S$7&gt;0,$A60&gt;S$7)),0,MAX(0,ROUND((INDEX($E60:$G60,S$5)-SUMIFS(TF_Timer,TF_Tekniker,S$4,TF_Dato,$A60))*2,0)/2)))</f>
        <v/>
      </c>
      <c r="T60">
        <f>IF(OR(T$4="",$A60&gt;TODAY()),0,IF(OR(INDEX($B60:$D60,T$5)="F",AND(T$6&gt;0,$A60&lt;T$6),AND(T$7&gt;0,$A60&gt;T$7)),0,MAX(0,ROUND((INDEX($E60:$G60,T$5)-SUMIFS(TF_Timer,TF_Tekniker,T$4,TF_Dato,$A60))*2,0)/2)))</f>
        <v/>
      </c>
      <c r="U60">
        <f>IF(OR(U$4="",$A60&gt;TODAY()),0,IF(OR(INDEX($B60:$D60,U$5)="F",AND(U$6&gt;0,$A60&lt;U$6),AND(U$7&gt;0,$A60&gt;U$7)),0,MAX(0,ROUND((INDEX($E60:$G60,U$5)-SUMIFS(TF_Timer,TF_Tekniker,U$4,TF_Dato,$A60))*2,0)/2)))</f>
        <v/>
      </c>
      <c r="V60">
        <f>IF(OR(V$4="",$A60&gt;TODAY()),0,IF(OR(INDEX($B60:$D60,V$5)="F",AND(V$6&gt;0,$A60&lt;V$6),AND(V$7&gt;0,$A60&gt;V$7)),0,MAX(0,ROUND((INDEX($E60:$G60,V$5)-SUMIFS(TF_Timer,TF_Tekniker,V$4,TF_Dato,$A60))*2,0)/2)))</f>
        <v/>
      </c>
      <c r="W60">
        <f>IF(OR(W$4="",$A60&gt;TODAY()),0,IF(OR(INDEX($B60:$D60,W$5)="F",AND(W$6&gt;0,$A60&lt;W$6),AND(W$7&gt;0,$A60&gt;W$7)),0,MAX(0,ROUND((INDEX($E60:$G60,W$5)-SUMIFS(TF_Timer,TF_Tekniker,W$4,TF_Dato,$A60))*2,0)/2)))</f>
        <v/>
      </c>
      <c r="X60">
        <f>IF(OR(X$4="",$A60&gt;TODAY()),0,IF(OR(INDEX($B60:$D60,X$5)="F",AND(X$6&gt;0,$A60&lt;X$6),AND(X$7&gt;0,$A60&gt;X$7)),0,MAX(0,ROUND((INDEX($E60:$G60,X$5)-SUMIFS(TF_Timer,TF_Tekniker,X$4,TF_Dato,$A60))*2,0)/2)))</f>
        <v/>
      </c>
      <c r="Y60">
        <f>IF(OR(Y$4="",$A60&gt;TODAY()),0,IF(OR(INDEX($B60:$D60,Y$5)="F",AND(Y$6&gt;0,$A60&lt;Y$6),AND(Y$7&gt;0,$A60&gt;Y$7)),0,MAX(0,ROUND((INDEX($E60:$G60,Y$5)-SUMIFS(TF_Timer,TF_Tekniker,Y$4,TF_Dato,$A60))*2,0)/2)))</f>
        <v/>
      </c>
      <c r="Z60">
        <f>IF(OR(Z$4="",$A60&gt;TODAY()),0,IF(OR(INDEX($B60:$D60,Z$5)="F",AND(Z$6&gt;0,$A60&lt;Z$6),AND(Z$7&gt;0,$A60&gt;Z$7)),0,MAX(0,ROUND((INDEX($E60:$G60,Z$5)-SUMIFS(TF_Timer,TF_Tekniker,Z$4,TF_Dato,$A60))*2,0)/2)))</f>
        <v/>
      </c>
      <c r="AA60">
        <f>IF(OR(AA$4="",$A60&gt;TODAY()),0,IF(OR(INDEX($B60:$D60,AA$5)="F",AND(AA$6&gt;0,$A60&lt;AA$6),AND(AA$7&gt;0,$A60&gt;AA$7)),0,MAX(0,ROUND((INDEX($E60:$G60,AA$5)-SUMIFS(TF_Timer,TF_Tekniker,AA$4,TF_Dato,$A60))*2,0)/2)))</f>
        <v/>
      </c>
      <c r="AB60">
        <f>IF(OR(AB$4="",$A60&gt;TODAY()),0,IF(OR(INDEX($B60:$D60,AB$5)="F",AND(AB$6&gt;0,$A60&lt;AB$6),AND(AB$7&gt;0,$A60&gt;AB$7)),0,MAX(0,ROUND((INDEX($E60:$G60,AB$5)-SUMIFS(TF_Timer,TF_Tekniker,AB$4,TF_Dato,$A60))*2,0)/2)))</f>
        <v/>
      </c>
      <c r="AC60">
        <f>IF(OR(AC$4="",$A60&gt;TODAY()),0,IF(OR(INDEX($B60:$D60,AC$5)="F",AND(AC$6&gt;0,$A60&lt;AC$6),AND(AC$7&gt;0,$A60&gt;AC$7)),0,MAX(0,ROUND((INDEX($E60:$G60,AC$5)-SUMIFS(TF_Timer,TF_Tekniker,AC$4,TF_Dato,$A60))*2,0)/2)))</f>
        <v/>
      </c>
      <c r="AD60">
        <f>IF(OR(AD$4="",$A60&gt;TODAY()),0,IF(OR(INDEX($B60:$D60,AD$5)="F",AND(AD$6&gt;0,$A60&lt;AD$6),AND(AD$7&gt;0,$A60&gt;AD$7)),0,MAX(0,ROUND((INDEX($E60:$G60,AD$5)-SUMIFS(TF_Timer,TF_Tekniker,AD$4,TF_Dato,$A60))*2,0)/2)))</f>
        <v/>
      </c>
      <c r="AE60">
        <f>IF(OR(AE$4="",$A60&gt;TODAY()),0,IF(OR(INDEX($B60:$D60,AE$5)="F",AND(AE$6&gt;0,$A60&lt;AE$6),AND(AE$7&gt;0,$A60&gt;AE$7)),0,MAX(0,ROUND((INDEX($E60:$G60,AE$5)-SUMIFS(TF_Timer,TF_Tekniker,AE$4,TF_Dato,$A60))*2,0)/2)))</f>
        <v/>
      </c>
      <c r="AF60">
        <f>IF(OR(AF$4="",$A60&gt;TODAY()),0,IF(OR(INDEX($B60:$D60,AF$5)="F",AND(AF$6&gt;0,$A60&lt;AF$6),AND(AF$7&gt;0,$A60&gt;AF$7)),0,MAX(0,ROUND((INDEX($E60:$G60,AF$5)-SUMIFS(TF_Timer,TF_Tekniker,AF$4,TF_Dato,$A60))*2,0)/2)))</f>
        <v/>
      </c>
      <c r="AG60">
        <f>IF(OR(AG$4="",$A60&gt;TODAY()),0,IF(OR(INDEX($B60:$D60,AG$5)="F",AND(AG$6&gt;0,$A60&lt;AG$6),AND(AG$7&gt;0,$A60&gt;AG$7)),0,MAX(0,ROUND((INDEX($E60:$G60,AG$5)-SUMIFS(TF_Timer,TF_Tekniker,AG$4,TF_Dato,$A60))*2,0)/2)))</f>
        <v/>
      </c>
      <c r="AH60">
        <f>IF(OR(AH$4="",$A60&gt;TODAY()),0,IF(OR(INDEX($B60:$D60,AH$5)="F",AND(AH$6&gt;0,$A60&lt;AH$6),AND(AH$7&gt;0,$A60&gt;AH$7)),0,MAX(0,ROUND((INDEX($E60:$G60,AH$5)-SUMIFS(TF_Timer,TF_Tekniker,AH$4,TF_Dato,$A60))*2,0)/2)))</f>
        <v/>
      </c>
      <c r="AI60">
        <f>IF(OR(AI$4="",$A60&gt;TODAY()),0,IF(OR(INDEX($B60:$D60,AI$5)="F",AND(AI$6&gt;0,$A60&lt;AI$6),AND(AI$7&gt;0,$A60&gt;AI$7)),0,MAX(0,ROUND((INDEX($E60:$G60,AI$5)-SUMIFS(TF_Timer,TF_Tekniker,AI$4,TF_Dato,$A60))*2,0)/2)))</f>
        <v/>
      </c>
      <c r="AJ60">
        <f>IF(OR(AJ$4="",$A60&gt;TODAY()),0,IF(OR(INDEX($B60:$D60,AJ$5)="F",AND(AJ$6&gt;0,$A60&lt;AJ$6),AND(AJ$7&gt;0,$A60&gt;AJ$7)),0,MAX(0,ROUND((INDEX($E60:$G60,AJ$5)-SUMIFS(TF_Timer,TF_Tekniker,AJ$4,TF_Dato,$A60))*2,0)/2)))</f>
        <v/>
      </c>
      <c r="AK60">
        <f>IF(OR(AK$4="",$A60&gt;TODAY()),0,IF(OR(INDEX($B60:$D60,AK$5)="F",AND(AK$6&gt;0,$A60&lt;AK$6),AND(AK$7&gt;0,$A60&gt;AK$7)),0,MAX(0,ROUND((INDEX($E60:$G60,AK$5)-SUMIFS(TF_Timer,TF_Tekniker,AK$4,TF_Dato,$A60))*2,0)/2)))</f>
        <v/>
      </c>
      <c r="AL60">
        <f>IF(OR(AL$4="",$A60&gt;TODAY()),0,IF(OR(INDEX($B60:$D60,AL$5)="F",AND(AL$6&gt;0,$A60&lt;AL$6),AND(AL$7&gt;0,$A60&gt;AL$7)),0,MAX(0,ROUND((INDEX($E60:$G60,AL$5)-SUMIFS(TF_Timer,TF_Tekniker,AL$4,TF_Dato,$A60))*2,0)/2)))</f>
        <v/>
      </c>
      <c r="AM60">
        <f>IF(OR(AM$4="",$A60&gt;TODAY()),0,IF(OR(INDEX($B60:$D60,AM$5)="F",AND(AM$6&gt;0,$A60&lt;AM$6),AND(AM$7&gt;0,$A60&gt;AM$7)),0,MAX(0,ROUND((INDEX($E60:$G60,AM$5)-SUMIFS(TF_Timer,TF_Tekniker,AM$4,TF_Dato,$A60))*2,0)/2)))</f>
        <v/>
      </c>
      <c r="AN60">
        <f>IF(OR(AN$4="",$A60&gt;TODAY()),0,IF(OR(INDEX($B60:$D60,AN$5)="F",AND(AN$6&gt;0,$A60&lt;AN$6),AND(AN$7&gt;0,$A60&gt;AN$7)),0,MAX(0,ROUND((INDEX($E60:$G60,AN$5)-SUMIFS(TF_Timer,TF_Tekniker,AN$4,TF_Dato,$A60))*2,0)/2)))</f>
        <v/>
      </c>
      <c r="AO60">
        <f>IF(OR(AO$4="",$A60&gt;TODAY()),0,IF(OR(INDEX($B60:$D60,AO$5)="F",AND(AO$6&gt;0,$A60&lt;AO$6),AND(AO$7&gt;0,$A60&gt;AO$7)),0,MAX(0,ROUND((INDEX($E60:$G60,AO$5)-SUMIFS(TF_Timer,TF_Tekniker,AO$4,TF_Dato,$A60))*2,0)/2)))</f>
        <v/>
      </c>
      <c r="AP60">
        <f>IF(OR(AP$4="",$A60&gt;TODAY()),0,IF(OR(INDEX($B60:$D60,AP$5)="F",AND(AP$6&gt;0,$A60&lt;AP$6),AND(AP$7&gt;0,$A60&gt;AP$7)),0,MAX(0,ROUND((INDEX($E60:$G60,AP$5)-SUMIFS(TF_Timer,TF_Tekniker,AP$4,TF_Dato,$A60))*2,0)/2)))</f>
        <v/>
      </c>
      <c r="AQ60">
        <f>IF(OR(AQ$4="",$A60&gt;TODAY()),0,IF(OR(INDEX($B60:$D60,AQ$5)="F",AND(AQ$6&gt;0,$A60&lt;AQ$6),AND(AQ$7&gt;0,$A60&gt;AQ$7)),0,MAX(0,ROUND((INDEX($E60:$G60,AQ$5)-SUMIFS(TF_Timer,TF_Tekniker,AQ$4,TF_Dato,$A60))*2,0)/2)))</f>
        <v/>
      </c>
      <c r="AR60">
        <f>IF(OR(AR$4="",$A60&gt;TODAY()),0,IF(OR(INDEX($B60:$D60,AR$5)="F",AND(AR$6&gt;0,$A60&lt;AR$6),AND(AR$7&gt;0,$A60&gt;AR$7)),0,MAX(0,ROUND((INDEX($E60:$G60,AR$5)-SUMIFS(TF_Timer,TF_Tekniker,AR$4,TF_Dato,$A60))*2,0)/2)))</f>
        <v/>
      </c>
      <c r="AS60">
        <f>IF(OR(AS$4="",$A60&gt;TODAY()),0,IF(OR(INDEX($B60:$D60,AS$5)="F",AND(AS$6&gt;0,$A60&lt;AS$6),AND(AS$7&gt;0,$A60&gt;AS$7)),0,MAX(0,ROUND((INDEX($E60:$G60,AS$5)-SUMIFS(TF_Timer,TF_Tekniker,AS$4,TF_Dato,$A60))*2,0)/2)))</f>
        <v/>
      </c>
      <c r="AT60">
        <f>IF(OR(AT$4="",$A60&gt;TODAY()),0,IF(OR(INDEX($B60:$D60,AT$5)="F",AND(AT$6&gt;0,$A60&lt;AT$6),AND(AT$7&gt;0,$A60&gt;AT$7)),0,MAX(0,ROUND((INDEX($E60:$G60,AT$5)-SUMIFS(TF_Timer,TF_Tekniker,AT$4,TF_Dato,$A60))*2,0)/2)))</f>
        <v/>
      </c>
      <c r="AU60">
        <f>IF(OR(AU$4="",$A60&gt;TODAY()),0,IF(OR(INDEX($B60:$D60,AU$5)="F",AND(AU$6&gt;0,$A60&lt;AU$6),AND(AU$7&gt;0,$A60&gt;AU$7)),0,MAX(0,ROUND((INDEX($E60:$G60,AU$5)-SUMIFS(TF_Timer,TF_Tekniker,AU$4,TF_Dato,$A60))*2,0)/2)))</f>
        <v/>
      </c>
      <c r="AV60">
        <f>IF(OR(AV$4="",$A60&gt;TODAY()),0,IF(OR(INDEX($B60:$D60,AV$5)="F",AND(AV$6&gt;0,$A60&lt;AV$6),AND(AV$7&gt;0,$A60&gt;AV$7)),0,MAX(0,ROUND((INDEX($E60:$G60,AV$5)-SUMIFS(TF_Timer,TF_Tekniker,AV$4,TF_Dato,$A60))*2,0)/2)))</f>
        <v/>
      </c>
      <c r="AW60">
        <f>IF(OR(AW$4="",$A60&gt;TODAY()),0,IF(OR(INDEX($B60:$D60,AW$5)="F",AND(AW$6&gt;0,$A60&lt;AW$6),AND(AW$7&gt;0,$A60&gt;AW$7)),0,MAX(0,ROUND((INDEX($E60:$G60,AW$5)-SUMIFS(TF_Timer,TF_Tekniker,AW$4,TF_Dato,$A60))*2,0)/2)))</f>
        <v/>
      </c>
      <c r="AX60">
        <f>IF(OR(AX$4="",$A60&gt;TODAY()),0,IF(OR(INDEX($B60:$D60,AX$5)="F",AND(AX$6&gt;0,$A60&lt;AX$6),AND(AX$7&gt;0,$A60&gt;AX$7)),0,MAX(0,ROUND((INDEX($E60:$G60,AX$5)-SUMIFS(TF_Timer,TF_Tekniker,AX$4,TF_Dato,$A60))*2,0)/2)))</f>
        <v/>
      </c>
      <c r="AY60">
        <f>IF(OR(AY$4="",$A60&gt;TODAY()),0,IF(OR(INDEX($B60:$D60,AY$5)="F",AND(AY$6&gt;0,$A60&lt;AY$6),AND(AY$7&gt;0,$A60&gt;AY$7)),0,MAX(0,ROUND((INDEX($E60:$G60,AY$5)-SUMIFS(TF_Timer,TF_Tekniker,AY$4,TF_Dato,$A60))*2,0)/2)))</f>
        <v/>
      </c>
      <c r="AZ60">
        <f>IF(OR(AZ$4="",$A60&gt;TODAY()),0,IF(OR(INDEX($B60:$D60,AZ$5)="F",AND(AZ$6&gt;0,$A60&lt;AZ$6),AND(AZ$7&gt;0,$A60&gt;AZ$7)),0,MAX(0,ROUND((INDEX($E60:$G60,AZ$5)-SUMIFS(TF_Timer,TF_Tekniker,AZ$4,TF_Dato,$A60))*2,0)/2)))</f>
        <v/>
      </c>
      <c r="BA60">
        <f>IF(OR(BA$4="",$A60&gt;TODAY()),0,IF(OR(INDEX($B60:$D60,BA$5)="F",AND(BA$6&gt;0,$A60&lt;BA$6),AND(BA$7&gt;0,$A60&gt;BA$7)),0,MAX(0,ROUND((INDEX($E60:$G60,BA$5)-SUMIFS(TF_Timer,TF_Tekniker,BA$4,TF_Dato,$A60))*2,0)/2)))</f>
        <v/>
      </c>
      <c r="BB60">
        <f>IF(OR(BB$4="",$A60&gt;TODAY()),0,IF(OR(INDEX($B60:$D60,BB$5)="F",AND(BB$6&gt;0,$A60&lt;BB$6),AND(BB$7&gt;0,$A60&gt;BB$7)),0,MAX(0,ROUND((INDEX($E60:$G60,BB$5)-SUMIFS(TF_Timer,TF_Tekniker,BB$4,TF_Dato,$A60))*2,0)/2)))</f>
        <v/>
      </c>
      <c r="BC60">
        <f>IF(OR(BC$4="",$A60&gt;TODAY()),0,IF(OR(INDEX($B60:$D60,BC$5)="F",AND(BC$6&gt;0,$A60&lt;BC$6),AND(BC$7&gt;0,$A60&gt;BC$7)),0,MAX(0,ROUND((INDEX($E60:$G60,BC$5)-SUMIFS(TF_Timer,TF_Tekniker,BC$4,TF_Dato,$A60))*2,0)/2)))</f>
        <v/>
      </c>
      <c r="BD60">
        <f>IF(OR(BD$4="",$A60&gt;TODAY()),0,IF(OR(INDEX($B60:$D60,BD$5)="F",AND(BD$6&gt;0,$A60&lt;BD$6),AND(BD$7&gt;0,$A60&gt;BD$7)),0,MAX(0,ROUND((INDEX($E60:$G60,BD$5)-SUMIFS(TF_Timer,TF_Tekniker,BD$4,TF_Dato,$A60))*2,0)/2)))</f>
        <v/>
      </c>
      <c r="BE60">
        <f>IF(OR(BE$4="",$A60&gt;TODAY()),0,IF(OR(INDEX($B60:$D60,BE$5)="F",AND(BE$6&gt;0,$A60&lt;BE$6),AND(BE$7&gt;0,$A60&gt;BE$7)),0,MAX(0,ROUND((INDEX($E60:$G60,BE$5)-SUMIFS(TF_Timer,TF_Tekniker,BE$4,TF_Dato,$A60))*2,0)/2)))</f>
        <v/>
      </c>
      <c r="BF60">
        <f>IF(OR(BF$4="",$A60&gt;TODAY()),0,IF(OR(INDEX($B60:$D60,BF$5)="F",AND(BF$6&gt;0,$A60&lt;BF$6),AND(BF$7&gt;0,$A60&gt;BF$7)),0,MAX(0,ROUND((INDEX($E60:$G60,BF$5)-SUMIFS(TF_Timer,TF_Tekniker,BF$4,TF_Dato,$A60))*2,0)/2)))</f>
        <v/>
      </c>
      <c r="BG60">
        <f>IF(OR(BG$4="",$A60&gt;TODAY()),0,IF(OR(INDEX($B60:$D60,BG$5)="F",AND(BG$6&gt;0,$A60&lt;BG$6),AND(BG$7&gt;0,$A60&gt;BG$7)),0,MAX(0,ROUND((INDEX($E60:$G60,BG$5)-SUMIFS(TF_Timer,TF_Tekniker,BG$4,TF_Dato,$A60))*2,0)/2)))</f>
        <v/>
      </c>
      <c r="BH60">
        <f>IF(OR(BH$4="",$A60&gt;TODAY()),0,IF(OR(INDEX($B60:$D60,BH$5)="F",AND(BH$6&gt;0,$A60&lt;BH$6),AND(BH$7&gt;0,$A60&gt;BH$7)),0,MAX(0,ROUND((INDEX($E60:$G60,BH$5)-SUMIFS(TF_Timer,TF_Tekniker,BH$4,TF_Dato,$A60))*2,0)/2)))</f>
        <v/>
      </c>
      <c r="BI60">
        <f>IF(OR(BI$4="",$A60&gt;TODAY()),0,IF(OR(INDEX($B60:$D60,BI$5)="F",AND(BI$6&gt;0,$A60&lt;BI$6),AND(BI$7&gt;0,$A60&gt;BI$7)),0,MAX(0,ROUND((INDEX($E60:$G60,BI$5)-SUMIFS(TF_Timer,TF_Tekniker,BI$4,TF_Dato,$A60))*2,0)/2)))</f>
        <v/>
      </c>
    </row>
    <row r="61">
      <c r="A61" s="64">
        <f>A60+1</f>
        <v/>
      </c>
      <c r="B61">
        <f>IF(MOD($A61-INDEX(SkiftStart,1),Syklus)&lt;DagK,"K",IF(MOD($A61-INDEX(SkiftStart,1),Syklus)&lt;DagK+DagH,"H",IF(MOD($A61-INDEX(SkiftStart,1),Syklus)&lt;DagK+DagH+DagD,"D","F")))</f>
        <v/>
      </c>
      <c r="C61">
        <f>IF(MOD($A61-INDEX(SkiftStart,2),Syklus)&lt;DagK,"K",IF(MOD($A61-INDEX(SkiftStart,2),Syklus)&lt;DagK+DagH,"H",IF(MOD($A61-INDEX(SkiftStart,2),Syklus)&lt;DagK+DagH+DagD,"D","F")))</f>
        <v/>
      </c>
      <c r="D61">
        <f>IF(MOD($A61-INDEX(SkiftStart,3),Syklus)&lt;DagK,"K",IF(MOD($A61-INDEX(SkiftStart,3),Syklus)&lt;DagK+DagH,"H",IF(MOD($A61-INDEX(SkiftStart,3),Syklus)&lt;DagK+DagH+DagD,"D","F")))</f>
        <v/>
      </c>
      <c r="E61">
        <f>IF(B61="F",0,IF(WEEKDAY($A61,2)=5,INDEX(TimerFr,MATCH(B61,FaseKode,0)),INDEX(TimerMT,MATCH(B61,FaseKode,0))))</f>
        <v/>
      </c>
      <c r="F61">
        <f>IF(C61="F",0,IF(WEEKDAY($A61,2)=5,INDEX(TimerFr,MATCH(C61,FaseKode,0)),INDEX(TimerMT,MATCH(C61,FaseKode,0))))</f>
        <v/>
      </c>
      <c r="G61">
        <f>IF(D61="F",0,IF(WEEKDAY($A61,2)=5,INDEX(TimerFr,MATCH(D61,FaseKode,0)),INDEX(TimerMT,MATCH(D61,FaseKode,0))))</f>
        <v/>
      </c>
      <c r="H61">
        <f>IF(OR(H$4="",$A61&gt;TODAY()),0,IF(OR(INDEX($B61:$D61,H$5)="F",AND(H$6&gt;0,$A61&lt;H$6),AND(H$7&gt;0,$A61&gt;H$7)),0,MAX(0,ROUND((INDEX($E61:$G61,H$5)-SUMIFS(TF_Timer,TF_Tekniker,H$4,TF_Dato,$A61))*2,0)/2)))</f>
        <v/>
      </c>
      <c r="I61">
        <f>IF(OR(I$4="",$A61&gt;TODAY()),0,IF(OR(INDEX($B61:$D61,I$5)="F",AND(I$6&gt;0,$A61&lt;I$6),AND(I$7&gt;0,$A61&gt;I$7)),0,MAX(0,ROUND((INDEX($E61:$G61,I$5)-SUMIFS(TF_Timer,TF_Tekniker,I$4,TF_Dato,$A61))*2,0)/2)))</f>
        <v/>
      </c>
      <c r="J61">
        <f>IF(OR(J$4="",$A61&gt;TODAY()),0,IF(OR(INDEX($B61:$D61,J$5)="F",AND(J$6&gt;0,$A61&lt;J$6),AND(J$7&gt;0,$A61&gt;J$7)),0,MAX(0,ROUND((INDEX($E61:$G61,J$5)-SUMIFS(TF_Timer,TF_Tekniker,J$4,TF_Dato,$A61))*2,0)/2)))</f>
        <v/>
      </c>
      <c r="K61">
        <f>IF(OR(K$4="",$A61&gt;TODAY()),0,IF(OR(INDEX($B61:$D61,K$5)="F",AND(K$6&gt;0,$A61&lt;K$6),AND(K$7&gt;0,$A61&gt;K$7)),0,MAX(0,ROUND((INDEX($E61:$G61,K$5)-SUMIFS(TF_Timer,TF_Tekniker,K$4,TF_Dato,$A61))*2,0)/2)))</f>
        <v/>
      </c>
      <c r="L61">
        <f>IF(OR(L$4="",$A61&gt;TODAY()),0,IF(OR(INDEX($B61:$D61,L$5)="F",AND(L$6&gt;0,$A61&lt;L$6),AND(L$7&gt;0,$A61&gt;L$7)),0,MAX(0,ROUND((INDEX($E61:$G61,L$5)-SUMIFS(TF_Timer,TF_Tekniker,L$4,TF_Dato,$A61))*2,0)/2)))</f>
        <v/>
      </c>
      <c r="M61">
        <f>IF(OR(M$4="",$A61&gt;TODAY()),0,IF(OR(INDEX($B61:$D61,M$5)="F",AND(M$6&gt;0,$A61&lt;M$6),AND(M$7&gt;0,$A61&gt;M$7)),0,MAX(0,ROUND((INDEX($E61:$G61,M$5)-SUMIFS(TF_Timer,TF_Tekniker,M$4,TF_Dato,$A61))*2,0)/2)))</f>
        <v/>
      </c>
      <c r="N61">
        <f>IF(OR(N$4="",$A61&gt;TODAY()),0,IF(OR(INDEX($B61:$D61,N$5)="F",AND(N$6&gt;0,$A61&lt;N$6),AND(N$7&gt;0,$A61&gt;N$7)),0,MAX(0,ROUND((INDEX($E61:$G61,N$5)-SUMIFS(TF_Timer,TF_Tekniker,N$4,TF_Dato,$A61))*2,0)/2)))</f>
        <v/>
      </c>
      <c r="O61">
        <f>IF(OR(O$4="",$A61&gt;TODAY()),0,IF(OR(INDEX($B61:$D61,O$5)="F",AND(O$6&gt;0,$A61&lt;O$6),AND(O$7&gt;0,$A61&gt;O$7)),0,MAX(0,ROUND((INDEX($E61:$G61,O$5)-SUMIFS(TF_Timer,TF_Tekniker,O$4,TF_Dato,$A61))*2,0)/2)))</f>
        <v/>
      </c>
      <c r="P61">
        <f>IF(OR(P$4="",$A61&gt;TODAY()),0,IF(OR(INDEX($B61:$D61,P$5)="F",AND(P$6&gt;0,$A61&lt;P$6),AND(P$7&gt;0,$A61&gt;P$7)),0,MAX(0,ROUND((INDEX($E61:$G61,P$5)-SUMIFS(TF_Timer,TF_Tekniker,P$4,TF_Dato,$A61))*2,0)/2)))</f>
        <v/>
      </c>
      <c r="Q61">
        <f>IF(OR(Q$4="",$A61&gt;TODAY()),0,IF(OR(INDEX($B61:$D61,Q$5)="F",AND(Q$6&gt;0,$A61&lt;Q$6),AND(Q$7&gt;0,$A61&gt;Q$7)),0,MAX(0,ROUND((INDEX($E61:$G61,Q$5)-SUMIFS(TF_Timer,TF_Tekniker,Q$4,TF_Dato,$A61))*2,0)/2)))</f>
        <v/>
      </c>
      <c r="R61">
        <f>IF(OR(R$4="",$A61&gt;TODAY()),0,IF(OR(INDEX($B61:$D61,R$5)="F",AND(R$6&gt;0,$A61&lt;R$6),AND(R$7&gt;0,$A61&gt;R$7)),0,MAX(0,ROUND((INDEX($E61:$G61,R$5)-SUMIFS(TF_Timer,TF_Tekniker,R$4,TF_Dato,$A61))*2,0)/2)))</f>
        <v/>
      </c>
      <c r="S61">
        <f>IF(OR(S$4="",$A61&gt;TODAY()),0,IF(OR(INDEX($B61:$D61,S$5)="F",AND(S$6&gt;0,$A61&lt;S$6),AND(S$7&gt;0,$A61&gt;S$7)),0,MAX(0,ROUND((INDEX($E61:$G61,S$5)-SUMIFS(TF_Timer,TF_Tekniker,S$4,TF_Dato,$A61))*2,0)/2)))</f>
        <v/>
      </c>
      <c r="T61">
        <f>IF(OR(T$4="",$A61&gt;TODAY()),0,IF(OR(INDEX($B61:$D61,T$5)="F",AND(T$6&gt;0,$A61&lt;T$6),AND(T$7&gt;0,$A61&gt;T$7)),0,MAX(0,ROUND((INDEX($E61:$G61,T$5)-SUMIFS(TF_Timer,TF_Tekniker,T$4,TF_Dato,$A61))*2,0)/2)))</f>
        <v/>
      </c>
      <c r="U61">
        <f>IF(OR(U$4="",$A61&gt;TODAY()),0,IF(OR(INDEX($B61:$D61,U$5)="F",AND(U$6&gt;0,$A61&lt;U$6),AND(U$7&gt;0,$A61&gt;U$7)),0,MAX(0,ROUND((INDEX($E61:$G61,U$5)-SUMIFS(TF_Timer,TF_Tekniker,U$4,TF_Dato,$A61))*2,0)/2)))</f>
        <v/>
      </c>
      <c r="V61">
        <f>IF(OR(V$4="",$A61&gt;TODAY()),0,IF(OR(INDEX($B61:$D61,V$5)="F",AND(V$6&gt;0,$A61&lt;V$6),AND(V$7&gt;0,$A61&gt;V$7)),0,MAX(0,ROUND((INDEX($E61:$G61,V$5)-SUMIFS(TF_Timer,TF_Tekniker,V$4,TF_Dato,$A61))*2,0)/2)))</f>
        <v/>
      </c>
      <c r="W61">
        <f>IF(OR(W$4="",$A61&gt;TODAY()),0,IF(OR(INDEX($B61:$D61,W$5)="F",AND(W$6&gt;0,$A61&lt;W$6),AND(W$7&gt;0,$A61&gt;W$7)),0,MAX(0,ROUND((INDEX($E61:$G61,W$5)-SUMIFS(TF_Timer,TF_Tekniker,W$4,TF_Dato,$A61))*2,0)/2)))</f>
        <v/>
      </c>
      <c r="X61">
        <f>IF(OR(X$4="",$A61&gt;TODAY()),0,IF(OR(INDEX($B61:$D61,X$5)="F",AND(X$6&gt;0,$A61&lt;X$6),AND(X$7&gt;0,$A61&gt;X$7)),0,MAX(0,ROUND((INDEX($E61:$G61,X$5)-SUMIFS(TF_Timer,TF_Tekniker,X$4,TF_Dato,$A61))*2,0)/2)))</f>
        <v/>
      </c>
      <c r="Y61">
        <f>IF(OR(Y$4="",$A61&gt;TODAY()),0,IF(OR(INDEX($B61:$D61,Y$5)="F",AND(Y$6&gt;0,$A61&lt;Y$6),AND(Y$7&gt;0,$A61&gt;Y$7)),0,MAX(0,ROUND((INDEX($E61:$G61,Y$5)-SUMIFS(TF_Timer,TF_Tekniker,Y$4,TF_Dato,$A61))*2,0)/2)))</f>
        <v/>
      </c>
      <c r="Z61">
        <f>IF(OR(Z$4="",$A61&gt;TODAY()),0,IF(OR(INDEX($B61:$D61,Z$5)="F",AND(Z$6&gt;0,$A61&lt;Z$6),AND(Z$7&gt;0,$A61&gt;Z$7)),0,MAX(0,ROUND((INDEX($E61:$G61,Z$5)-SUMIFS(TF_Timer,TF_Tekniker,Z$4,TF_Dato,$A61))*2,0)/2)))</f>
        <v/>
      </c>
      <c r="AA61">
        <f>IF(OR(AA$4="",$A61&gt;TODAY()),0,IF(OR(INDEX($B61:$D61,AA$5)="F",AND(AA$6&gt;0,$A61&lt;AA$6),AND(AA$7&gt;0,$A61&gt;AA$7)),0,MAX(0,ROUND((INDEX($E61:$G61,AA$5)-SUMIFS(TF_Timer,TF_Tekniker,AA$4,TF_Dato,$A61))*2,0)/2)))</f>
        <v/>
      </c>
      <c r="AB61">
        <f>IF(OR(AB$4="",$A61&gt;TODAY()),0,IF(OR(INDEX($B61:$D61,AB$5)="F",AND(AB$6&gt;0,$A61&lt;AB$6),AND(AB$7&gt;0,$A61&gt;AB$7)),0,MAX(0,ROUND((INDEX($E61:$G61,AB$5)-SUMIFS(TF_Timer,TF_Tekniker,AB$4,TF_Dato,$A61))*2,0)/2)))</f>
        <v/>
      </c>
      <c r="AC61">
        <f>IF(OR(AC$4="",$A61&gt;TODAY()),0,IF(OR(INDEX($B61:$D61,AC$5)="F",AND(AC$6&gt;0,$A61&lt;AC$6),AND(AC$7&gt;0,$A61&gt;AC$7)),0,MAX(0,ROUND((INDEX($E61:$G61,AC$5)-SUMIFS(TF_Timer,TF_Tekniker,AC$4,TF_Dato,$A61))*2,0)/2)))</f>
        <v/>
      </c>
      <c r="AD61">
        <f>IF(OR(AD$4="",$A61&gt;TODAY()),0,IF(OR(INDEX($B61:$D61,AD$5)="F",AND(AD$6&gt;0,$A61&lt;AD$6),AND(AD$7&gt;0,$A61&gt;AD$7)),0,MAX(0,ROUND((INDEX($E61:$G61,AD$5)-SUMIFS(TF_Timer,TF_Tekniker,AD$4,TF_Dato,$A61))*2,0)/2)))</f>
        <v/>
      </c>
      <c r="AE61">
        <f>IF(OR(AE$4="",$A61&gt;TODAY()),0,IF(OR(INDEX($B61:$D61,AE$5)="F",AND(AE$6&gt;0,$A61&lt;AE$6),AND(AE$7&gt;0,$A61&gt;AE$7)),0,MAX(0,ROUND((INDEX($E61:$G61,AE$5)-SUMIFS(TF_Timer,TF_Tekniker,AE$4,TF_Dato,$A61))*2,0)/2)))</f>
        <v/>
      </c>
      <c r="AF61">
        <f>IF(OR(AF$4="",$A61&gt;TODAY()),0,IF(OR(INDEX($B61:$D61,AF$5)="F",AND(AF$6&gt;0,$A61&lt;AF$6),AND(AF$7&gt;0,$A61&gt;AF$7)),0,MAX(0,ROUND((INDEX($E61:$G61,AF$5)-SUMIFS(TF_Timer,TF_Tekniker,AF$4,TF_Dato,$A61))*2,0)/2)))</f>
        <v/>
      </c>
      <c r="AG61">
        <f>IF(OR(AG$4="",$A61&gt;TODAY()),0,IF(OR(INDEX($B61:$D61,AG$5)="F",AND(AG$6&gt;0,$A61&lt;AG$6),AND(AG$7&gt;0,$A61&gt;AG$7)),0,MAX(0,ROUND((INDEX($E61:$G61,AG$5)-SUMIFS(TF_Timer,TF_Tekniker,AG$4,TF_Dato,$A61))*2,0)/2)))</f>
        <v/>
      </c>
      <c r="AH61">
        <f>IF(OR(AH$4="",$A61&gt;TODAY()),0,IF(OR(INDEX($B61:$D61,AH$5)="F",AND(AH$6&gt;0,$A61&lt;AH$6),AND(AH$7&gt;0,$A61&gt;AH$7)),0,MAX(0,ROUND((INDEX($E61:$G61,AH$5)-SUMIFS(TF_Timer,TF_Tekniker,AH$4,TF_Dato,$A61))*2,0)/2)))</f>
        <v/>
      </c>
      <c r="AI61">
        <f>IF(OR(AI$4="",$A61&gt;TODAY()),0,IF(OR(INDEX($B61:$D61,AI$5)="F",AND(AI$6&gt;0,$A61&lt;AI$6),AND(AI$7&gt;0,$A61&gt;AI$7)),0,MAX(0,ROUND((INDEX($E61:$G61,AI$5)-SUMIFS(TF_Timer,TF_Tekniker,AI$4,TF_Dato,$A61))*2,0)/2)))</f>
        <v/>
      </c>
      <c r="AJ61">
        <f>IF(OR(AJ$4="",$A61&gt;TODAY()),0,IF(OR(INDEX($B61:$D61,AJ$5)="F",AND(AJ$6&gt;0,$A61&lt;AJ$6),AND(AJ$7&gt;0,$A61&gt;AJ$7)),0,MAX(0,ROUND((INDEX($E61:$G61,AJ$5)-SUMIFS(TF_Timer,TF_Tekniker,AJ$4,TF_Dato,$A61))*2,0)/2)))</f>
        <v/>
      </c>
      <c r="AK61">
        <f>IF(OR(AK$4="",$A61&gt;TODAY()),0,IF(OR(INDEX($B61:$D61,AK$5)="F",AND(AK$6&gt;0,$A61&lt;AK$6),AND(AK$7&gt;0,$A61&gt;AK$7)),0,MAX(0,ROUND((INDEX($E61:$G61,AK$5)-SUMIFS(TF_Timer,TF_Tekniker,AK$4,TF_Dato,$A61))*2,0)/2)))</f>
        <v/>
      </c>
      <c r="AL61">
        <f>IF(OR(AL$4="",$A61&gt;TODAY()),0,IF(OR(INDEX($B61:$D61,AL$5)="F",AND(AL$6&gt;0,$A61&lt;AL$6),AND(AL$7&gt;0,$A61&gt;AL$7)),0,MAX(0,ROUND((INDEX($E61:$G61,AL$5)-SUMIFS(TF_Timer,TF_Tekniker,AL$4,TF_Dato,$A61))*2,0)/2)))</f>
        <v/>
      </c>
      <c r="AM61">
        <f>IF(OR(AM$4="",$A61&gt;TODAY()),0,IF(OR(INDEX($B61:$D61,AM$5)="F",AND(AM$6&gt;0,$A61&lt;AM$6),AND(AM$7&gt;0,$A61&gt;AM$7)),0,MAX(0,ROUND((INDEX($E61:$G61,AM$5)-SUMIFS(TF_Timer,TF_Tekniker,AM$4,TF_Dato,$A61))*2,0)/2)))</f>
        <v/>
      </c>
      <c r="AN61">
        <f>IF(OR(AN$4="",$A61&gt;TODAY()),0,IF(OR(INDEX($B61:$D61,AN$5)="F",AND(AN$6&gt;0,$A61&lt;AN$6),AND(AN$7&gt;0,$A61&gt;AN$7)),0,MAX(0,ROUND((INDEX($E61:$G61,AN$5)-SUMIFS(TF_Timer,TF_Tekniker,AN$4,TF_Dato,$A61))*2,0)/2)))</f>
        <v/>
      </c>
      <c r="AO61">
        <f>IF(OR(AO$4="",$A61&gt;TODAY()),0,IF(OR(INDEX($B61:$D61,AO$5)="F",AND(AO$6&gt;0,$A61&lt;AO$6),AND(AO$7&gt;0,$A61&gt;AO$7)),0,MAX(0,ROUND((INDEX($E61:$G61,AO$5)-SUMIFS(TF_Timer,TF_Tekniker,AO$4,TF_Dato,$A61))*2,0)/2)))</f>
        <v/>
      </c>
      <c r="AP61">
        <f>IF(OR(AP$4="",$A61&gt;TODAY()),0,IF(OR(INDEX($B61:$D61,AP$5)="F",AND(AP$6&gt;0,$A61&lt;AP$6),AND(AP$7&gt;0,$A61&gt;AP$7)),0,MAX(0,ROUND((INDEX($E61:$G61,AP$5)-SUMIFS(TF_Timer,TF_Tekniker,AP$4,TF_Dato,$A61))*2,0)/2)))</f>
        <v/>
      </c>
      <c r="AQ61">
        <f>IF(OR(AQ$4="",$A61&gt;TODAY()),0,IF(OR(INDEX($B61:$D61,AQ$5)="F",AND(AQ$6&gt;0,$A61&lt;AQ$6),AND(AQ$7&gt;0,$A61&gt;AQ$7)),0,MAX(0,ROUND((INDEX($E61:$G61,AQ$5)-SUMIFS(TF_Timer,TF_Tekniker,AQ$4,TF_Dato,$A61))*2,0)/2)))</f>
        <v/>
      </c>
      <c r="AR61">
        <f>IF(OR(AR$4="",$A61&gt;TODAY()),0,IF(OR(INDEX($B61:$D61,AR$5)="F",AND(AR$6&gt;0,$A61&lt;AR$6),AND(AR$7&gt;0,$A61&gt;AR$7)),0,MAX(0,ROUND((INDEX($E61:$G61,AR$5)-SUMIFS(TF_Timer,TF_Tekniker,AR$4,TF_Dato,$A61))*2,0)/2)))</f>
        <v/>
      </c>
      <c r="AS61">
        <f>IF(OR(AS$4="",$A61&gt;TODAY()),0,IF(OR(INDEX($B61:$D61,AS$5)="F",AND(AS$6&gt;0,$A61&lt;AS$6),AND(AS$7&gt;0,$A61&gt;AS$7)),0,MAX(0,ROUND((INDEX($E61:$G61,AS$5)-SUMIFS(TF_Timer,TF_Tekniker,AS$4,TF_Dato,$A61))*2,0)/2)))</f>
        <v/>
      </c>
      <c r="AT61">
        <f>IF(OR(AT$4="",$A61&gt;TODAY()),0,IF(OR(INDEX($B61:$D61,AT$5)="F",AND(AT$6&gt;0,$A61&lt;AT$6),AND(AT$7&gt;0,$A61&gt;AT$7)),0,MAX(0,ROUND((INDEX($E61:$G61,AT$5)-SUMIFS(TF_Timer,TF_Tekniker,AT$4,TF_Dato,$A61))*2,0)/2)))</f>
        <v/>
      </c>
      <c r="AU61">
        <f>IF(OR(AU$4="",$A61&gt;TODAY()),0,IF(OR(INDEX($B61:$D61,AU$5)="F",AND(AU$6&gt;0,$A61&lt;AU$6),AND(AU$7&gt;0,$A61&gt;AU$7)),0,MAX(0,ROUND((INDEX($E61:$G61,AU$5)-SUMIFS(TF_Timer,TF_Tekniker,AU$4,TF_Dato,$A61))*2,0)/2)))</f>
        <v/>
      </c>
      <c r="AV61">
        <f>IF(OR(AV$4="",$A61&gt;TODAY()),0,IF(OR(INDEX($B61:$D61,AV$5)="F",AND(AV$6&gt;0,$A61&lt;AV$6),AND(AV$7&gt;0,$A61&gt;AV$7)),0,MAX(0,ROUND((INDEX($E61:$G61,AV$5)-SUMIFS(TF_Timer,TF_Tekniker,AV$4,TF_Dato,$A61))*2,0)/2)))</f>
        <v/>
      </c>
      <c r="AW61">
        <f>IF(OR(AW$4="",$A61&gt;TODAY()),0,IF(OR(INDEX($B61:$D61,AW$5)="F",AND(AW$6&gt;0,$A61&lt;AW$6),AND(AW$7&gt;0,$A61&gt;AW$7)),0,MAX(0,ROUND((INDEX($E61:$G61,AW$5)-SUMIFS(TF_Timer,TF_Tekniker,AW$4,TF_Dato,$A61))*2,0)/2)))</f>
        <v/>
      </c>
      <c r="AX61">
        <f>IF(OR(AX$4="",$A61&gt;TODAY()),0,IF(OR(INDEX($B61:$D61,AX$5)="F",AND(AX$6&gt;0,$A61&lt;AX$6),AND(AX$7&gt;0,$A61&gt;AX$7)),0,MAX(0,ROUND((INDEX($E61:$G61,AX$5)-SUMIFS(TF_Timer,TF_Tekniker,AX$4,TF_Dato,$A61))*2,0)/2)))</f>
        <v/>
      </c>
      <c r="AY61">
        <f>IF(OR(AY$4="",$A61&gt;TODAY()),0,IF(OR(INDEX($B61:$D61,AY$5)="F",AND(AY$6&gt;0,$A61&lt;AY$6),AND(AY$7&gt;0,$A61&gt;AY$7)),0,MAX(0,ROUND((INDEX($E61:$G61,AY$5)-SUMIFS(TF_Timer,TF_Tekniker,AY$4,TF_Dato,$A61))*2,0)/2)))</f>
        <v/>
      </c>
      <c r="AZ61">
        <f>IF(OR(AZ$4="",$A61&gt;TODAY()),0,IF(OR(INDEX($B61:$D61,AZ$5)="F",AND(AZ$6&gt;0,$A61&lt;AZ$6),AND(AZ$7&gt;0,$A61&gt;AZ$7)),0,MAX(0,ROUND((INDEX($E61:$G61,AZ$5)-SUMIFS(TF_Timer,TF_Tekniker,AZ$4,TF_Dato,$A61))*2,0)/2)))</f>
        <v/>
      </c>
      <c r="BA61">
        <f>IF(OR(BA$4="",$A61&gt;TODAY()),0,IF(OR(INDEX($B61:$D61,BA$5)="F",AND(BA$6&gt;0,$A61&lt;BA$6),AND(BA$7&gt;0,$A61&gt;BA$7)),0,MAX(0,ROUND((INDEX($E61:$G61,BA$5)-SUMIFS(TF_Timer,TF_Tekniker,BA$4,TF_Dato,$A61))*2,0)/2)))</f>
        <v/>
      </c>
      <c r="BB61">
        <f>IF(OR(BB$4="",$A61&gt;TODAY()),0,IF(OR(INDEX($B61:$D61,BB$5)="F",AND(BB$6&gt;0,$A61&lt;BB$6),AND(BB$7&gt;0,$A61&gt;BB$7)),0,MAX(0,ROUND((INDEX($E61:$G61,BB$5)-SUMIFS(TF_Timer,TF_Tekniker,BB$4,TF_Dato,$A61))*2,0)/2)))</f>
        <v/>
      </c>
      <c r="BC61">
        <f>IF(OR(BC$4="",$A61&gt;TODAY()),0,IF(OR(INDEX($B61:$D61,BC$5)="F",AND(BC$6&gt;0,$A61&lt;BC$6),AND(BC$7&gt;0,$A61&gt;BC$7)),0,MAX(0,ROUND((INDEX($E61:$G61,BC$5)-SUMIFS(TF_Timer,TF_Tekniker,BC$4,TF_Dato,$A61))*2,0)/2)))</f>
        <v/>
      </c>
      <c r="BD61">
        <f>IF(OR(BD$4="",$A61&gt;TODAY()),0,IF(OR(INDEX($B61:$D61,BD$5)="F",AND(BD$6&gt;0,$A61&lt;BD$6),AND(BD$7&gt;0,$A61&gt;BD$7)),0,MAX(0,ROUND((INDEX($E61:$G61,BD$5)-SUMIFS(TF_Timer,TF_Tekniker,BD$4,TF_Dato,$A61))*2,0)/2)))</f>
        <v/>
      </c>
      <c r="BE61">
        <f>IF(OR(BE$4="",$A61&gt;TODAY()),0,IF(OR(INDEX($B61:$D61,BE$5)="F",AND(BE$6&gt;0,$A61&lt;BE$6),AND(BE$7&gt;0,$A61&gt;BE$7)),0,MAX(0,ROUND((INDEX($E61:$G61,BE$5)-SUMIFS(TF_Timer,TF_Tekniker,BE$4,TF_Dato,$A61))*2,0)/2)))</f>
        <v/>
      </c>
      <c r="BF61">
        <f>IF(OR(BF$4="",$A61&gt;TODAY()),0,IF(OR(INDEX($B61:$D61,BF$5)="F",AND(BF$6&gt;0,$A61&lt;BF$6),AND(BF$7&gt;0,$A61&gt;BF$7)),0,MAX(0,ROUND((INDEX($E61:$G61,BF$5)-SUMIFS(TF_Timer,TF_Tekniker,BF$4,TF_Dato,$A61))*2,0)/2)))</f>
        <v/>
      </c>
      <c r="BG61">
        <f>IF(OR(BG$4="",$A61&gt;TODAY()),0,IF(OR(INDEX($B61:$D61,BG$5)="F",AND(BG$6&gt;0,$A61&lt;BG$6),AND(BG$7&gt;0,$A61&gt;BG$7)),0,MAX(0,ROUND((INDEX($E61:$G61,BG$5)-SUMIFS(TF_Timer,TF_Tekniker,BG$4,TF_Dato,$A61))*2,0)/2)))</f>
        <v/>
      </c>
      <c r="BH61">
        <f>IF(OR(BH$4="",$A61&gt;TODAY()),0,IF(OR(INDEX($B61:$D61,BH$5)="F",AND(BH$6&gt;0,$A61&lt;BH$6),AND(BH$7&gt;0,$A61&gt;BH$7)),0,MAX(0,ROUND((INDEX($E61:$G61,BH$5)-SUMIFS(TF_Timer,TF_Tekniker,BH$4,TF_Dato,$A61))*2,0)/2)))</f>
        <v/>
      </c>
      <c r="BI61">
        <f>IF(OR(BI$4="",$A61&gt;TODAY()),0,IF(OR(INDEX($B61:$D61,BI$5)="F",AND(BI$6&gt;0,$A61&lt;BI$6),AND(BI$7&gt;0,$A61&gt;BI$7)),0,MAX(0,ROUND((INDEX($E61:$G61,BI$5)-SUMIFS(TF_Timer,TF_Tekniker,BI$4,TF_Dato,$A61))*2,0)/2)))</f>
        <v/>
      </c>
    </row>
    <row r="62">
      <c r="A62" s="64">
        <f>A61+1</f>
        <v/>
      </c>
      <c r="B62">
        <f>IF(MOD($A62-INDEX(SkiftStart,1),Syklus)&lt;DagK,"K",IF(MOD($A62-INDEX(SkiftStart,1),Syklus)&lt;DagK+DagH,"H",IF(MOD($A62-INDEX(SkiftStart,1),Syklus)&lt;DagK+DagH+DagD,"D","F")))</f>
        <v/>
      </c>
      <c r="C62">
        <f>IF(MOD($A62-INDEX(SkiftStart,2),Syklus)&lt;DagK,"K",IF(MOD($A62-INDEX(SkiftStart,2),Syklus)&lt;DagK+DagH,"H",IF(MOD($A62-INDEX(SkiftStart,2),Syklus)&lt;DagK+DagH+DagD,"D","F")))</f>
        <v/>
      </c>
      <c r="D62">
        <f>IF(MOD($A62-INDEX(SkiftStart,3),Syklus)&lt;DagK,"K",IF(MOD($A62-INDEX(SkiftStart,3),Syklus)&lt;DagK+DagH,"H",IF(MOD($A62-INDEX(SkiftStart,3),Syklus)&lt;DagK+DagH+DagD,"D","F")))</f>
        <v/>
      </c>
      <c r="E62">
        <f>IF(B62="F",0,IF(WEEKDAY($A62,2)=5,INDEX(TimerFr,MATCH(B62,FaseKode,0)),INDEX(TimerMT,MATCH(B62,FaseKode,0))))</f>
        <v/>
      </c>
      <c r="F62">
        <f>IF(C62="F",0,IF(WEEKDAY($A62,2)=5,INDEX(TimerFr,MATCH(C62,FaseKode,0)),INDEX(TimerMT,MATCH(C62,FaseKode,0))))</f>
        <v/>
      </c>
      <c r="G62">
        <f>IF(D62="F",0,IF(WEEKDAY($A62,2)=5,INDEX(TimerFr,MATCH(D62,FaseKode,0)),INDEX(TimerMT,MATCH(D62,FaseKode,0))))</f>
        <v/>
      </c>
      <c r="H62">
        <f>IF(OR(H$4="",$A62&gt;TODAY()),0,IF(OR(INDEX($B62:$D62,H$5)="F",AND(H$6&gt;0,$A62&lt;H$6),AND(H$7&gt;0,$A62&gt;H$7)),0,MAX(0,ROUND((INDEX($E62:$G62,H$5)-SUMIFS(TF_Timer,TF_Tekniker,H$4,TF_Dato,$A62))*2,0)/2)))</f>
        <v/>
      </c>
      <c r="I62">
        <f>IF(OR(I$4="",$A62&gt;TODAY()),0,IF(OR(INDEX($B62:$D62,I$5)="F",AND(I$6&gt;0,$A62&lt;I$6),AND(I$7&gt;0,$A62&gt;I$7)),0,MAX(0,ROUND((INDEX($E62:$G62,I$5)-SUMIFS(TF_Timer,TF_Tekniker,I$4,TF_Dato,$A62))*2,0)/2)))</f>
        <v/>
      </c>
      <c r="J62">
        <f>IF(OR(J$4="",$A62&gt;TODAY()),0,IF(OR(INDEX($B62:$D62,J$5)="F",AND(J$6&gt;0,$A62&lt;J$6),AND(J$7&gt;0,$A62&gt;J$7)),0,MAX(0,ROUND((INDEX($E62:$G62,J$5)-SUMIFS(TF_Timer,TF_Tekniker,J$4,TF_Dato,$A62))*2,0)/2)))</f>
        <v/>
      </c>
      <c r="K62">
        <f>IF(OR(K$4="",$A62&gt;TODAY()),0,IF(OR(INDEX($B62:$D62,K$5)="F",AND(K$6&gt;0,$A62&lt;K$6),AND(K$7&gt;0,$A62&gt;K$7)),0,MAX(0,ROUND((INDEX($E62:$G62,K$5)-SUMIFS(TF_Timer,TF_Tekniker,K$4,TF_Dato,$A62))*2,0)/2)))</f>
        <v/>
      </c>
      <c r="L62">
        <f>IF(OR(L$4="",$A62&gt;TODAY()),0,IF(OR(INDEX($B62:$D62,L$5)="F",AND(L$6&gt;0,$A62&lt;L$6),AND(L$7&gt;0,$A62&gt;L$7)),0,MAX(0,ROUND((INDEX($E62:$G62,L$5)-SUMIFS(TF_Timer,TF_Tekniker,L$4,TF_Dato,$A62))*2,0)/2)))</f>
        <v/>
      </c>
      <c r="M62">
        <f>IF(OR(M$4="",$A62&gt;TODAY()),0,IF(OR(INDEX($B62:$D62,M$5)="F",AND(M$6&gt;0,$A62&lt;M$6),AND(M$7&gt;0,$A62&gt;M$7)),0,MAX(0,ROUND((INDEX($E62:$G62,M$5)-SUMIFS(TF_Timer,TF_Tekniker,M$4,TF_Dato,$A62))*2,0)/2)))</f>
        <v/>
      </c>
      <c r="N62">
        <f>IF(OR(N$4="",$A62&gt;TODAY()),0,IF(OR(INDEX($B62:$D62,N$5)="F",AND(N$6&gt;0,$A62&lt;N$6),AND(N$7&gt;0,$A62&gt;N$7)),0,MAX(0,ROUND((INDEX($E62:$G62,N$5)-SUMIFS(TF_Timer,TF_Tekniker,N$4,TF_Dato,$A62))*2,0)/2)))</f>
        <v/>
      </c>
      <c r="O62">
        <f>IF(OR(O$4="",$A62&gt;TODAY()),0,IF(OR(INDEX($B62:$D62,O$5)="F",AND(O$6&gt;0,$A62&lt;O$6),AND(O$7&gt;0,$A62&gt;O$7)),0,MAX(0,ROUND((INDEX($E62:$G62,O$5)-SUMIFS(TF_Timer,TF_Tekniker,O$4,TF_Dato,$A62))*2,0)/2)))</f>
        <v/>
      </c>
      <c r="P62">
        <f>IF(OR(P$4="",$A62&gt;TODAY()),0,IF(OR(INDEX($B62:$D62,P$5)="F",AND(P$6&gt;0,$A62&lt;P$6),AND(P$7&gt;0,$A62&gt;P$7)),0,MAX(0,ROUND((INDEX($E62:$G62,P$5)-SUMIFS(TF_Timer,TF_Tekniker,P$4,TF_Dato,$A62))*2,0)/2)))</f>
        <v/>
      </c>
      <c r="Q62">
        <f>IF(OR(Q$4="",$A62&gt;TODAY()),0,IF(OR(INDEX($B62:$D62,Q$5)="F",AND(Q$6&gt;0,$A62&lt;Q$6),AND(Q$7&gt;0,$A62&gt;Q$7)),0,MAX(0,ROUND((INDEX($E62:$G62,Q$5)-SUMIFS(TF_Timer,TF_Tekniker,Q$4,TF_Dato,$A62))*2,0)/2)))</f>
        <v/>
      </c>
      <c r="R62">
        <f>IF(OR(R$4="",$A62&gt;TODAY()),0,IF(OR(INDEX($B62:$D62,R$5)="F",AND(R$6&gt;0,$A62&lt;R$6),AND(R$7&gt;0,$A62&gt;R$7)),0,MAX(0,ROUND((INDEX($E62:$G62,R$5)-SUMIFS(TF_Timer,TF_Tekniker,R$4,TF_Dato,$A62))*2,0)/2)))</f>
        <v/>
      </c>
      <c r="S62">
        <f>IF(OR(S$4="",$A62&gt;TODAY()),0,IF(OR(INDEX($B62:$D62,S$5)="F",AND(S$6&gt;0,$A62&lt;S$6),AND(S$7&gt;0,$A62&gt;S$7)),0,MAX(0,ROUND((INDEX($E62:$G62,S$5)-SUMIFS(TF_Timer,TF_Tekniker,S$4,TF_Dato,$A62))*2,0)/2)))</f>
        <v/>
      </c>
      <c r="T62">
        <f>IF(OR(T$4="",$A62&gt;TODAY()),0,IF(OR(INDEX($B62:$D62,T$5)="F",AND(T$6&gt;0,$A62&lt;T$6),AND(T$7&gt;0,$A62&gt;T$7)),0,MAX(0,ROUND((INDEX($E62:$G62,T$5)-SUMIFS(TF_Timer,TF_Tekniker,T$4,TF_Dato,$A62))*2,0)/2)))</f>
        <v/>
      </c>
      <c r="U62">
        <f>IF(OR(U$4="",$A62&gt;TODAY()),0,IF(OR(INDEX($B62:$D62,U$5)="F",AND(U$6&gt;0,$A62&lt;U$6),AND(U$7&gt;0,$A62&gt;U$7)),0,MAX(0,ROUND((INDEX($E62:$G62,U$5)-SUMIFS(TF_Timer,TF_Tekniker,U$4,TF_Dato,$A62))*2,0)/2)))</f>
        <v/>
      </c>
      <c r="V62">
        <f>IF(OR(V$4="",$A62&gt;TODAY()),0,IF(OR(INDEX($B62:$D62,V$5)="F",AND(V$6&gt;0,$A62&lt;V$6),AND(V$7&gt;0,$A62&gt;V$7)),0,MAX(0,ROUND((INDEX($E62:$G62,V$5)-SUMIFS(TF_Timer,TF_Tekniker,V$4,TF_Dato,$A62))*2,0)/2)))</f>
        <v/>
      </c>
      <c r="W62">
        <f>IF(OR(W$4="",$A62&gt;TODAY()),0,IF(OR(INDEX($B62:$D62,W$5)="F",AND(W$6&gt;0,$A62&lt;W$6),AND(W$7&gt;0,$A62&gt;W$7)),0,MAX(0,ROUND((INDEX($E62:$G62,W$5)-SUMIFS(TF_Timer,TF_Tekniker,W$4,TF_Dato,$A62))*2,0)/2)))</f>
        <v/>
      </c>
      <c r="X62">
        <f>IF(OR(X$4="",$A62&gt;TODAY()),0,IF(OR(INDEX($B62:$D62,X$5)="F",AND(X$6&gt;0,$A62&lt;X$6),AND(X$7&gt;0,$A62&gt;X$7)),0,MAX(0,ROUND((INDEX($E62:$G62,X$5)-SUMIFS(TF_Timer,TF_Tekniker,X$4,TF_Dato,$A62))*2,0)/2)))</f>
        <v/>
      </c>
      <c r="Y62">
        <f>IF(OR(Y$4="",$A62&gt;TODAY()),0,IF(OR(INDEX($B62:$D62,Y$5)="F",AND(Y$6&gt;0,$A62&lt;Y$6),AND(Y$7&gt;0,$A62&gt;Y$7)),0,MAX(0,ROUND((INDEX($E62:$G62,Y$5)-SUMIFS(TF_Timer,TF_Tekniker,Y$4,TF_Dato,$A62))*2,0)/2)))</f>
        <v/>
      </c>
      <c r="Z62">
        <f>IF(OR(Z$4="",$A62&gt;TODAY()),0,IF(OR(INDEX($B62:$D62,Z$5)="F",AND(Z$6&gt;0,$A62&lt;Z$6),AND(Z$7&gt;0,$A62&gt;Z$7)),0,MAX(0,ROUND((INDEX($E62:$G62,Z$5)-SUMIFS(TF_Timer,TF_Tekniker,Z$4,TF_Dato,$A62))*2,0)/2)))</f>
        <v/>
      </c>
      <c r="AA62">
        <f>IF(OR(AA$4="",$A62&gt;TODAY()),0,IF(OR(INDEX($B62:$D62,AA$5)="F",AND(AA$6&gt;0,$A62&lt;AA$6),AND(AA$7&gt;0,$A62&gt;AA$7)),0,MAX(0,ROUND((INDEX($E62:$G62,AA$5)-SUMIFS(TF_Timer,TF_Tekniker,AA$4,TF_Dato,$A62))*2,0)/2)))</f>
        <v/>
      </c>
      <c r="AB62">
        <f>IF(OR(AB$4="",$A62&gt;TODAY()),0,IF(OR(INDEX($B62:$D62,AB$5)="F",AND(AB$6&gt;0,$A62&lt;AB$6),AND(AB$7&gt;0,$A62&gt;AB$7)),0,MAX(0,ROUND((INDEX($E62:$G62,AB$5)-SUMIFS(TF_Timer,TF_Tekniker,AB$4,TF_Dato,$A62))*2,0)/2)))</f>
        <v/>
      </c>
      <c r="AC62">
        <f>IF(OR(AC$4="",$A62&gt;TODAY()),0,IF(OR(INDEX($B62:$D62,AC$5)="F",AND(AC$6&gt;0,$A62&lt;AC$6),AND(AC$7&gt;0,$A62&gt;AC$7)),0,MAX(0,ROUND((INDEX($E62:$G62,AC$5)-SUMIFS(TF_Timer,TF_Tekniker,AC$4,TF_Dato,$A62))*2,0)/2)))</f>
        <v/>
      </c>
      <c r="AD62">
        <f>IF(OR(AD$4="",$A62&gt;TODAY()),0,IF(OR(INDEX($B62:$D62,AD$5)="F",AND(AD$6&gt;0,$A62&lt;AD$6),AND(AD$7&gt;0,$A62&gt;AD$7)),0,MAX(0,ROUND((INDEX($E62:$G62,AD$5)-SUMIFS(TF_Timer,TF_Tekniker,AD$4,TF_Dato,$A62))*2,0)/2)))</f>
        <v/>
      </c>
      <c r="AE62">
        <f>IF(OR(AE$4="",$A62&gt;TODAY()),0,IF(OR(INDEX($B62:$D62,AE$5)="F",AND(AE$6&gt;0,$A62&lt;AE$6),AND(AE$7&gt;0,$A62&gt;AE$7)),0,MAX(0,ROUND((INDEX($E62:$G62,AE$5)-SUMIFS(TF_Timer,TF_Tekniker,AE$4,TF_Dato,$A62))*2,0)/2)))</f>
        <v/>
      </c>
      <c r="AF62">
        <f>IF(OR(AF$4="",$A62&gt;TODAY()),0,IF(OR(INDEX($B62:$D62,AF$5)="F",AND(AF$6&gt;0,$A62&lt;AF$6),AND(AF$7&gt;0,$A62&gt;AF$7)),0,MAX(0,ROUND((INDEX($E62:$G62,AF$5)-SUMIFS(TF_Timer,TF_Tekniker,AF$4,TF_Dato,$A62))*2,0)/2)))</f>
        <v/>
      </c>
      <c r="AG62">
        <f>IF(OR(AG$4="",$A62&gt;TODAY()),0,IF(OR(INDEX($B62:$D62,AG$5)="F",AND(AG$6&gt;0,$A62&lt;AG$6),AND(AG$7&gt;0,$A62&gt;AG$7)),0,MAX(0,ROUND((INDEX($E62:$G62,AG$5)-SUMIFS(TF_Timer,TF_Tekniker,AG$4,TF_Dato,$A62))*2,0)/2)))</f>
        <v/>
      </c>
      <c r="AH62">
        <f>IF(OR(AH$4="",$A62&gt;TODAY()),0,IF(OR(INDEX($B62:$D62,AH$5)="F",AND(AH$6&gt;0,$A62&lt;AH$6),AND(AH$7&gt;0,$A62&gt;AH$7)),0,MAX(0,ROUND((INDEX($E62:$G62,AH$5)-SUMIFS(TF_Timer,TF_Tekniker,AH$4,TF_Dato,$A62))*2,0)/2)))</f>
        <v/>
      </c>
      <c r="AI62">
        <f>IF(OR(AI$4="",$A62&gt;TODAY()),0,IF(OR(INDEX($B62:$D62,AI$5)="F",AND(AI$6&gt;0,$A62&lt;AI$6),AND(AI$7&gt;0,$A62&gt;AI$7)),0,MAX(0,ROUND((INDEX($E62:$G62,AI$5)-SUMIFS(TF_Timer,TF_Tekniker,AI$4,TF_Dato,$A62))*2,0)/2)))</f>
        <v/>
      </c>
      <c r="AJ62">
        <f>IF(OR(AJ$4="",$A62&gt;TODAY()),0,IF(OR(INDEX($B62:$D62,AJ$5)="F",AND(AJ$6&gt;0,$A62&lt;AJ$6),AND(AJ$7&gt;0,$A62&gt;AJ$7)),0,MAX(0,ROUND((INDEX($E62:$G62,AJ$5)-SUMIFS(TF_Timer,TF_Tekniker,AJ$4,TF_Dato,$A62))*2,0)/2)))</f>
        <v/>
      </c>
      <c r="AK62">
        <f>IF(OR(AK$4="",$A62&gt;TODAY()),0,IF(OR(INDEX($B62:$D62,AK$5)="F",AND(AK$6&gt;0,$A62&lt;AK$6),AND(AK$7&gt;0,$A62&gt;AK$7)),0,MAX(0,ROUND((INDEX($E62:$G62,AK$5)-SUMIFS(TF_Timer,TF_Tekniker,AK$4,TF_Dato,$A62))*2,0)/2)))</f>
        <v/>
      </c>
      <c r="AL62">
        <f>IF(OR(AL$4="",$A62&gt;TODAY()),0,IF(OR(INDEX($B62:$D62,AL$5)="F",AND(AL$6&gt;0,$A62&lt;AL$6),AND(AL$7&gt;0,$A62&gt;AL$7)),0,MAX(0,ROUND((INDEX($E62:$G62,AL$5)-SUMIFS(TF_Timer,TF_Tekniker,AL$4,TF_Dato,$A62))*2,0)/2)))</f>
        <v/>
      </c>
      <c r="AM62">
        <f>IF(OR(AM$4="",$A62&gt;TODAY()),0,IF(OR(INDEX($B62:$D62,AM$5)="F",AND(AM$6&gt;0,$A62&lt;AM$6),AND(AM$7&gt;0,$A62&gt;AM$7)),0,MAX(0,ROUND((INDEX($E62:$G62,AM$5)-SUMIFS(TF_Timer,TF_Tekniker,AM$4,TF_Dato,$A62))*2,0)/2)))</f>
        <v/>
      </c>
      <c r="AN62">
        <f>IF(OR(AN$4="",$A62&gt;TODAY()),0,IF(OR(INDEX($B62:$D62,AN$5)="F",AND(AN$6&gt;0,$A62&lt;AN$6),AND(AN$7&gt;0,$A62&gt;AN$7)),0,MAX(0,ROUND((INDEX($E62:$G62,AN$5)-SUMIFS(TF_Timer,TF_Tekniker,AN$4,TF_Dato,$A62))*2,0)/2)))</f>
        <v/>
      </c>
      <c r="AO62">
        <f>IF(OR(AO$4="",$A62&gt;TODAY()),0,IF(OR(INDEX($B62:$D62,AO$5)="F",AND(AO$6&gt;0,$A62&lt;AO$6),AND(AO$7&gt;0,$A62&gt;AO$7)),0,MAX(0,ROUND((INDEX($E62:$G62,AO$5)-SUMIFS(TF_Timer,TF_Tekniker,AO$4,TF_Dato,$A62))*2,0)/2)))</f>
        <v/>
      </c>
      <c r="AP62">
        <f>IF(OR(AP$4="",$A62&gt;TODAY()),0,IF(OR(INDEX($B62:$D62,AP$5)="F",AND(AP$6&gt;0,$A62&lt;AP$6),AND(AP$7&gt;0,$A62&gt;AP$7)),0,MAX(0,ROUND((INDEX($E62:$G62,AP$5)-SUMIFS(TF_Timer,TF_Tekniker,AP$4,TF_Dato,$A62))*2,0)/2)))</f>
        <v/>
      </c>
      <c r="AQ62">
        <f>IF(OR(AQ$4="",$A62&gt;TODAY()),0,IF(OR(INDEX($B62:$D62,AQ$5)="F",AND(AQ$6&gt;0,$A62&lt;AQ$6),AND(AQ$7&gt;0,$A62&gt;AQ$7)),0,MAX(0,ROUND((INDEX($E62:$G62,AQ$5)-SUMIFS(TF_Timer,TF_Tekniker,AQ$4,TF_Dato,$A62))*2,0)/2)))</f>
        <v/>
      </c>
      <c r="AR62">
        <f>IF(OR(AR$4="",$A62&gt;TODAY()),0,IF(OR(INDEX($B62:$D62,AR$5)="F",AND(AR$6&gt;0,$A62&lt;AR$6),AND(AR$7&gt;0,$A62&gt;AR$7)),0,MAX(0,ROUND((INDEX($E62:$G62,AR$5)-SUMIFS(TF_Timer,TF_Tekniker,AR$4,TF_Dato,$A62))*2,0)/2)))</f>
        <v/>
      </c>
      <c r="AS62">
        <f>IF(OR(AS$4="",$A62&gt;TODAY()),0,IF(OR(INDEX($B62:$D62,AS$5)="F",AND(AS$6&gt;0,$A62&lt;AS$6),AND(AS$7&gt;0,$A62&gt;AS$7)),0,MAX(0,ROUND((INDEX($E62:$G62,AS$5)-SUMIFS(TF_Timer,TF_Tekniker,AS$4,TF_Dato,$A62))*2,0)/2)))</f>
        <v/>
      </c>
      <c r="AT62">
        <f>IF(OR(AT$4="",$A62&gt;TODAY()),0,IF(OR(INDEX($B62:$D62,AT$5)="F",AND(AT$6&gt;0,$A62&lt;AT$6),AND(AT$7&gt;0,$A62&gt;AT$7)),0,MAX(0,ROUND((INDEX($E62:$G62,AT$5)-SUMIFS(TF_Timer,TF_Tekniker,AT$4,TF_Dato,$A62))*2,0)/2)))</f>
        <v/>
      </c>
      <c r="AU62">
        <f>IF(OR(AU$4="",$A62&gt;TODAY()),0,IF(OR(INDEX($B62:$D62,AU$5)="F",AND(AU$6&gt;0,$A62&lt;AU$6),AND(AU$7&gt;0,$A62&gt;AU$7)),0,MAX(0,ROUND((INDEX($E62:$G62,AU$5)-SUMIFS(TF_Timer,TF_Tekniker,AU$4,TF_Dato,$A62))*2,0)/2)))</f>
        <v/>
      </c>
      <c r="AV62">
        <f>IF(OR(AV$4="",$A62&gt;TODAY()),0,IF(OR(INDEX($B62:$D62,AV$5)="F",AND(AV$6&gt;0,$A62&lt;AV$6),AND(AV$7&gt;0,$A62&gt;AV$7)),0,MAX(0,ROUND((INDEX($E62:$G62,AV$5)-SUMIFS(TF_Timer,TF_Tekniker,AV$4,TF_Dato,$A62))*2,0)/2)))</f>
        <v/>
      </c>
      <c r="AW62">
        <f>IF(OR(AW$4="",$A62&gt;TODAY()),0,IF(OR(INDEX($B62:$D62,AW$5)="F",AND(AW$6&gt;0,$A62&lt;AW$6),AND(AW$7&gt;0,$A62&gt;AW$7)),0,MAX(0,ROUND((INDEX($E62:$G62,AW$5)-SUMIFS(TF_Timer,TF_Tekniker,AW$4,TF_Dato,$A62))*2,0)/2)))</f>
        <v/>
      </c>
      <c r="AX62">
        <f>IF(OR(AX$4="",$A62&gt;TODAY()),0,IF(OR(INDEX($B62:$D62,AX$5)="F",AND(AX$6&gt;0,$A62&lt;AX$6),AND(AX$7&gt;0,$A62&gt;AX$7)),0,MAX(0,ROUND((INDEX($E62:$G62,AX$5)-SUMIFS(TF_Timer,TF_Tekniker,AX$4,TF_Dato,$A62))*2,0)/2)))</f>
        <v/>
      </c>
      <c r="AY62">
        <f>IF(OR(AY$4="",$A62&gt;TODAY()),0,IF(OR(INDEX($B62:$D62,AY$5)="F",AND(AY$6&gt;0,$A62&lt;AY$6),AND(AY$7&gt;0,$A62&gt;AY$7)),0,MAX(0,ROUND((INDEX($E62:$G62,AY$5)-SUMIFS(TF_Timer,TF_Tekniker,AY$4,TF_Dato,$A62))*2,0)/2)))</f>
        <v/>
      </c>
      <c r="AZ62">
        <f>IF(OR(AZ$4="",$A62&gt;TODAY()),0,IF(OR(INDEX($B62:$D62,AZ$5)="F",AND(AZ$6&gt;0,$A62&lt;AZ$6),AND(AZ$7&gt;0,$A62&gt;AZ$7)),0,MAX(0,ROUND((INDEX($E62:$G62,AZ$5)-SUMIFS(TF_Timer,TF_Tekniker,AZ$4,TF_Dato,$A62))*2,0)/2)))</f>
        <v/>
      </c>
      <c r="BA62">
        <f>IF(OR(BA$4="",$A62&gt;TODAY()),0,IF(OR(INDEX($B62:$D62,BA$5)="F",AND(BA$6&gt;0,$A62&lt;BA$6),AND(BA$7&gt;0,$A62&gt;BA$7)),0,MAX(0,ROUND((INDEX($E62:$G62,BA$5)-SUMIFS(TF_Timer,TF_Tekniker,BA$4,TF_Dato,$A62))*2,0)/2)))</f>
        <v/>
      </c>
      <c r="BB62">
        <f>IF(OR(BB$4="",$A62&gt;TODAY()),0,IF(OR(INDEX($B62:$D62,BB$5)="F",AND(BB$6&gt;0,$A62&lt;BB$6),AND(BB$7&gt;0,$A62&gt;BB$7)),0,MAX(0,ROUND((INDEX($E62:$G62,BB$5)-SUMIFS(TF_Timer,TF_Tekniker,BB$4,TF_Dato,$A62))*2,0)/2)))</f>
        <v/>
      </c>
      <c r="BC62">
        <f>IF(OR(BC$4="",$A62&gt;TODAY()),0,IF(OR(INDEX($B62:$D62,BC$5)="F",AND(BC$6&gt;0,$A62&lt;BC$6),AND(BC$7&gt;0,$A62&gt;BC$7)),0,MAX(0,ROUND((INDEX($E62:$G62,BC$5)-SUMIFS(TF_Timer,TF_Tekniker,BC$4,TF_Dato,$A62))*2,0)/2)))</f>
        <v/>
      </c>
      <c r="BD62">
        <f>IF(OR(BD$4="",$A62&gt;TODAY()),0,IF(OR(INDEX($B62:$D62,BD$5)="F",AND(BD$6&gt;0,$A62&lt;BD$6),AND(BD$7&gt;0,$A62&gt;BD$7)),0,MAX(0,ROUND((INDEX($E62:$G62,BD$5)-SUMIFS(TF_Timer,TF_Tekniker,BD$4,TF_Dato,$A62))*2,0)/2)))</f>
        <v/>
      </c>
      <c r="BE62">
        <f>IF(OR(BE$4="",$A62&gt;TODAY()),0,IF(OR(INDEX($B62:$D62,BE$5)="F",AND(BE$6&gt;0,$A62&lt;BE$6),AND(BE$7&gt;0,$A62&gt;BE$7)),0,MAX(0,ROUND((INDEX($E62:$G62,BE$5)-SUMIFS(TF_Timer,TF_Tekniker,BE$4,TF_Dato,$A62))*2,0)/2)))</f>
        <v/>
      </c>
      <c r="BF62">
        <f>IF(OR(BF$4="",$A62&gt;TODAY()),0,IF(OR(INDEX($B62:$D62,BF$5)="F",AND(BF$6&gt;0,$A62&lt;BF$6),AND(BF$7&gt;0,$A62&gt;BF$7)),0,MAX(0,ROUND((INDEX($E62:$G62,BF$5)-SUMIFS(TF_Timer,TF_Tekniker,BF$4,TF_Dato,$A62))*2,0)/2)))</f>
        <v/>
      </c>
      <c r="BG62">
        <f>IF(OR(BG$4="",$A62&gt;TODAY()),0,IF(OR(INDEX($B62:$D62,BG$5)="F",AND(BG$6&gt;0,$A62&lt;BG$6),AND(BG$7&gt;0,$A62&gt;BG$7)),0,MAX(0,ROUND((INDEX($E62:$G62,BG$5)-SUMIFS(TF_Timer,TF_Tekniker,BG$4,TF_Dato,$A62))*2,0)/2)))</f>
        <v/>
      </c>
      <c r="BH62">
        <f>IF(OR(BH$4="",$A62&gt;TODAY()),0,IF(OR(INDEX($B62:$D62,BH$5)="F",AND(BH$6&gt;0,$A62&lt;BH$6),AND(BH$7&gt;0,$A62&gt;BH$7)),0,MAX(0,ROUND((INDEX($E62:$G62,BH$5)-SUMIFS(TF_Timer,TF_Tekniker,BH$4,TF_Dato,$A62))*2,0)/2)))</f>
        <v/>
      </c>
      <c r="BI62">
        <f>IF(OR(BI$4="",$A62&gt;TODAY()),0,IF(OR(INDEX($B62:$D62,BI$5)="F",AND(BI$6&gt;0,$A62&lt;BI$6),AND(BI$7&gt;0,$A62&gt;BI$7)),0,MAX(0,ROUND((INDEX($E62:$G62,BI$5)-SUMIFS(TF_Timer,TF_Tekniker,BI$4,TF_Dato,$A62))*2,0)/2)))</f>
        <v/>
      </c>
    </row>
    <row r="63">
      <c r="A63" s="64">
        <f>A62+1</f>
        <v/>
      </c>
      <c r="B63">
        <f>IF(MOD($A63-INDEX(SkiftStart,1),Syklus)&lt;DagK,"K",IF(MOD($A63-INDEX(SkiftStart,1),Syklus)&lt;DagK+DagH,"H",IF(MOD($A63-INDEX(SkiftStart,1),Syklus)&lt;DagK+DagH+DagD,"D","F")))</f>
        <v/>
      </c>
      <c r="C63">
        <f>IF(MOD($A63-INDEX(SkiftStart,2),Syklus)&lt;DagK,"K",IF(MOD($A63-INDEX(SkiftStart,2),Syklus)&lt;DagK+DagH,"H",IF(MOD($A63-INDEX(SkiftStart,2),Syklus)&lt;DagK+DagH+DagD,"D","F")))</f>
        <v/>
      </c>
      <c r="D63">
        <f>IF(MOD($A63-INDEX(SkiftStart,3),Syklus)&lt;DagK,"K",IF(MOD($A63-INDEX(SkiftStart,3),Syklus)&lt;DagK+DagH,"H",IF(MOD($A63-INDEX(SkiftStart,3),Syklus)&lt;DagK+DagH+DagD,"D","F")))</f>
        <v/>
      </c>
      <c r="E63">
        <f>IF(B63="F",0,IF(WEEKDAY($A63,2)=5,INDEX(TimerFr,MATCH(B63,FaseKode,0)),INDEX(TimerMT,MATCH(B63,FaseKode,0))))</f>
        <v/>
      </c>
      <c r="F63">
        <f>IF(C63="F",0,IF(WEEKDAY($A63,2)=5,INDEX(TimerFr,MATCH(C63,FaseKode,0)),INDEX(TimerMT,MATCH(C63,FaseKode,0))))</f>
        <v/>
      </c>
      <c r="G63">
        <f>IF(D63="F",0,IF(WEEKDAY($A63,2)=5,INDEX(TimerFr,MATCH(D63,FaseKode,0)),INDEX(TimerMT,MATCH(D63,FaseKode,0))))</f>
        <v/>
      </c>
      <c r="H63">
        <f>IF(OR(H$4="",$A63&gt;TODAY()),0,IF(OR(INDEX($B63:$D63,H$5)="F",AND(H$6&gt;0,$A63&lt;H$6),AND(H$7&gt;0,$A63&gt;H$7)),0,MAX(0,ROUND((INDEX($E63:$G63,H$5)-SUMIFS(TF_Timer,TF_Tekniker,H$4,TF_Dato,$A63))*2,0)/2)))</f>
        <v/>
      </c>
      <c r="I63">
        <f>IF(OR(I$4="",$A63&gt;TODAY()),0,IF(OR(INDEX($B63:$D63,I$5)="F",AND(I$6&gt;0,$A63&lt;I$6),AND(I$7&gt;0,$A63&gt;I$7)),0,MAX(0,ROUND((INDEX($E63:$G63,I$5)-SUMIFS(TF_Timer,TF_Tekniker,I$4,TF_Dato,$A63))*2,0)/2)))</f>
        <v/>
      </c>
      <c r="J63">
        <f>IF(OR(J$4="",$A63&gt;TODAY()),0,IF(OR(INDEX($B63:$D63,J$5)="F",AND(J$6&gt;0,$A63&lt;J$6),AND(J$7&gt;0,$A63&gt;J$7)),0,MAX(0,ROUND((INDEX($E63:$G63,J$5)-SUMIFS(TF_Timer,TF_Tekniker,J$4,TF_Dato,$A63))*2,0)/2)))</f>
        <v/>
      </c>
      <c r="K63">
        <f>IF(OR(K$4="",$A63&gt;TODAY()),0,IF(OR(INDEX($B63:$D63,K$5)="F",AND(K$6&gt;0,$A63&lt;K$6),AND(K$7&gt;0,$A63&gt;K$7)),0,MAX(0,ROUND((INDEX($E63:$G63,K$5)-SUMIFS(TF_Timer,TF_Tekniker,K$4,TF_Dato,$A63))*2,0)/2)))</f>
        <v/>
      </c>
      <c r="L63">
        <f>IF(OR(L$4="",$A63&gt;TODAY()),0,IF(OR(INDEX($B63:$D63,L$5)="F",AND(L$6&gt;0,$A63&lt;L$6),AND(L$7&gt;0,$A63&gt;L$7)),0,MAX(0,ROUND((INDEX($E63:$G63,L$5)-SUMIFS(TF_Timer,TF_Tekniker,L$4,TF_Dato,$A63))*2,0)/2)))</f>
        <v/>
      </c>
      <c r="M63">
        <f>IF(OR(M$4="",$A63&gt;TODAY()),0,IF(OR(INDEX($B63:$D63,M$5)="F",AND(M$6&gt;0,$A63&lt;M$6),AND(M$7&gt;0,$A63&gt;M$7)),0,MAX(0,ROUND((INDEX($E63:$G63,M$5)-SUMIFS(TF_Timer,TF_Tekniker,M$4,TF_Dato,$A63))*2,0)/2)))</f>
        <v/>
      </c>
      <c r="N63">
        <f>IF(OR(N$4="",$A63&gt;TODAY()),0,IF(OR(INDEX($B63:$D63,N$5)="F",AND(N$6&gt;0,$A63&lt;N$6),AND(N$7&gt;0,$A63&gt;N$7)),0,MAX(0,ROUND((INDEX($E63:$G63,N$5)-SUMIFS(TF_Timer,TF_Tekniker,N$4,TF_Dato,$A63))*2,0)/2)))</f>
        <v/>
      </c>
      <c r="O63">
        <f>IF(OR(O$4="",$A63&gt;TODAY()),0,IF(OR(INDEX($B63:$D63,O$5)="F",AND(O$6&gt;0,$A63&lt;O$6),AND(O$7&gt;0,$A63&gt;O$7)),0,MAX(0,ROUND((INDEX($E63:$G63,O$5)-SUMIFS(TF_Timer,TF_Tekniker,O$4,TF_Dato,$A63))*2,0)/2)))</f>
        <v/>
      </c>
      <c r="P63">
        <f>IF(OR(P$4="",$A63&gt;TODAY()),0,IF(OR(INDEX($B63:$D63,P$5)="F",AND(P$6&gt;0,$A63&lt;P$6),AND(P$7&gt;0,$A63&gt;P$7)),0,MAX(0,ROUND((INDEX($E63:$G63,P$5)-SUMIFS(TF_Timer,TF_Tekniker,P$4,TF_Dato,$A63))*2,0)/2)))</f>
        <v/>
      </c>
      <c r="Q63">
        <f>IF(OR(Q$4="",$A63&gt;TODAY()),0,IF(OR(INDEX($B63:$D63,Q$5)="F",AND(Q$6&gt;0,$A63&lt;Q$6),AND(Q$7&gt;0,$A63&gt;Q$7)),0,MAX(0,ROUND((INDEX($E63:$G63,Q$5)-SUMIFS(TF_Timer,TF_Tekniker,Q$4,TF_Dato,$A63))*2,0)/2)))</f>
        <v/>
      </c>
      <c r="R63">
        <f>IF(OR(R$4="",$A63&gt;TODAY()),0,IF(OR(INDEX($B63:$D63,R$5)="F",AND(R$6&gt;0,$A63&lt;R$6),AND(R$7&gt;0,$A63&gt;R$7)),0,MAX(0,ROUND((INDEX($E63:$G63,R$5)-SUMIFS(TF_Timer,TF_Tekniker,R$4,TF_Dato,$A63))*2,0)/2)))</f>
        <v/>
      </c>
      <c r="S63">
        <f>IF(OR(S$4="",$A63&gt;TODAY()),0,IF(OR(INDEX($B63:$D63,S$5)="F",AND(S$6&gt;0,$A63&lt;S$6),AND(S$7&gt;0,$A63&gt;S$7)),0,MAX(0,ROUND((INDEX($E63:$G63,S$5)-SUMIFS(TF_Timer,TF_Tekniker,S$4,TF_Dato,$A63))*2,0)/2)))</f>
        <v/>
      </c>
      <c r="T63">
        <f>IF(OR(T$4="",$A63&gt;TODAY()),0,IF(OR(INDEX($B63:$D63,T$5)="F",AND(T$6&gt;0,$A63&lt;T$6),AND(T$7&gt;0,$A63&gt;T$7)),0,MAX(0,ROUND((INDEX($E63:$G63,T$5)-SUMIFS(TF_Timer,TF_Tekniker,T$4,TF_Dato,$A63))*2,0)/2)))</f>
        <v/>
      </c>
      <c r="U63">
        <f>IF(OR(U$4="",$A63&gt;TODAY()),0,IF(OR(INDEX($B63:$D63,U$5)="F",AND(U$6&gt;0,$A63&lt;U$6),AND(U$7&gt;0,$A63&gt;U$7)),0,MAX(0,ROUND((INDEX($E63:$G63,U$5)-SUMIFS(TF_Timer,TF_Tekniker,U$4,TF_Dato,$A63))*2,0)/2)))</f>
        <v/>
      </c>
      <c r="V63">
        <f>IF(OR(V$4="",$A63&gt;TODAY()),0,IF(OR(INDEX($B63:$D63,V$5)="F",AND(V$6&gt;0,$A63&lt;V$6),AND(V$7&gt;0,$A63&gt;V$7)),0,MAX(0,ROUND((INDEX($E63:$G63,V$5)-SUMIFS(TF_Timer,TF_Tekniker,V$4,TF_Dato,$A63))*2,0)/2)))</f>
        <v/>
      </c>
      <c r="W63">
        <f>IF(OR(W$4="",$A63&gt;TODAY()),0,IF(OR(INDEX($B63:$D63,W$5)="F",AND(W$6&gt;0,$A63&lt;W$6),AND(W$7&gt;0,$A63&gt;W$7)),0,MAX(0,ROUND((INDEX($E63:$G63,W$5)-SUMIFS(TF_Timer,TF_Tekniker,W$4,TF_Dato,$A63))*2,0)/2)))</f>
        <v/>
      </c>
      <c r="X63">
        <f>IF(OR(X$4="",$A63&gt;TODAY()),0,IF(OR(INDEX($B63:$D63,X$5)="F",AND(X$6&gt;0,$A63&lt;X$6),AND(X$7&gt;0,$A63&gt;X$7)),0,MAX(0,ROUND((INDEX($E63:$G63,X$5)-SUMIFS(TF_Timer,TF_Tekniker,X$4,TF_Dato,$A63))*2,0)/2)))</f>
        <v/>
      </c>
      <c r="Y63">
        <f>IF(OR(Y$4="",$A63&gt;TODAY()),0,IF(OR(INDEX($B63:$D63,Y$5)="F",AND(Y$6&gt;0,$A63&lt;Y$6),AND(Y$7&gt;0,$A63&gt;Y$7)),0,MAX(0,ROUND((INDEX($E63:$G63,Y$5)-SUMIFS(TF_Timer,TF_Tekniker,Y$4,TF_Dato,$A63))*2,0)/2)))</f>
        <v/>
      </c>
      <c r="Z63">
        <f>IF(OR(Z$4="",$A63&gt;TODAY()),0,IF(OR(INDEX($B63:$D63,Z$5)="F",AND(Z$6&gt;0,$A63&lt;Z$6),AND(Z$7&gt;0,$A63&gt;Z$7)),0,MAX(0,ROUND((INDEX($E63:$G63,Z$5)-SUMIFS(TF_Timer,TF_Tekniker,Z$4,TF_Dato,$A63))*2,0)/2)))</f>
        <v/>
      </c>
      <c r="AA63">
        <f>IF(OR(AA$4="",$A63&gt;TODAY()),0,IF(OR(INDEX($B63:$D63,AA$5)="F",AND(AA$6&gt;0,$A63&lt;AA$6),AND(AA$7&gt;0,$A63&gt;AA$7)),0,MAX(0,ROUND((INDEX($E63:$G63,AA$5)-SUMIFS(TF_Timer,TF_Tekniker,AA$4,TF_Dato,$A63))*2,0)/2)))</f>
        <v/>
      </c>
      <c r="AB63">
        <f>IF(OR(AB$4="",$A63&gt;TODAY()),0,IF(OR(INDEX($B63:$D63,AB$5)="F",AND(AB$6&gt;0,$A63&lt;AB$6),AND(AB$7&gt;0,$A63&gt;AB$7)),0,MAX(0,ROUND((INDEX($E63:$G63,AB$5)-SUMIFS(TF_Timer,TF_Tekniker,AB$4,TF_Dato,$A63))*2,0)/2)))</f>
        <v/>
      </c>
      <c r="AC63">
        <f>IF(OR(AC$4="",$A63&gt;TODAY()),0,IF(OR(INDEX($B63:$D63,AC$5)="F",AND(AC$6&gt;0,$A63&lt;AC$6),AND(AC$7&gt;0,$A63&gt;AC$7)),0,MAX(0,ROUND((INDEX($E63:$G63,AC$5)-SUMIFS(TF_Timer,TF_Tekniker,AC$4,TF_Dato,$A63))*2,0)/2)))</f>
        <v/>
      </c>
      <c r="AD63">
        <f>IF(OR(AD$4="",$A63&gt;TODAY()),0,IF(OR(INDEX($B63:$D63,AD$5)="F",AND(AD$6&gt;0,$A63&lt;AD$6),AND(AD$7&gt;0,$A63&gt;AD$7)),0,MAX(0,ROUND((INDEX($E63:$G63,AD$5)-SUMIFS(TF_Timer,TF_Tekniker,AD$4,TF_Dato,$A63))*2,0)/2)))</f>
        <v/>
      </c>
      <c r="AE63">
        <f>IF(OR(AE$4="",$A63&gt;TODAY()),0,IF(OR(INDEX($B63:$D63,AE$5)="F",AND(AE$6&gt;0,$A63&lt;AE$6),AND(AE$7&gt;0,$A63&gt;AE$7)),0,MAX(0,ROUND((INDEX($E63:$G63,AE$5)-SUMIFS(TF_Timer,TF_Tekniker,AE$4,TF_Dato,$A63))*2,0)/2)))</f>
        <v/>
      </c>
      <c r="AF63">
        <f>IF(OR(AF$4="",$A63&gt;TODAY()),0,IF(OR(INDEX($B63:$D63,AF$5)="F",AND(AF$6&gt;0,$A63&lt;AF$6),AND(AF$7&gt;0,$A63&gt;AF$7)),0,MAX(0,ROUND((INDEX($E63:$G63,AF$5)-SUMIFS(TF_Timer,TF_Tekniker,AF$4,TF_Dato,$A63))*2,0)/2)))</f>
        <v/>
      </c>
      <c r="AG63">
        <f>IF(OR(AG$4="",$A63&gt;TODAY()),0,IF(OR(INDEX($B63:$D63,AG$5)="F",AND(AG$6&gt;0,$A63&lt;AG$6),AND(AG$7&gt;0,$A63&gt;AG$7)),0,MAX(0,ROUND((INDEX($E63:$G63,AG$5)-SUMIFS(TF_Timer,TF_Tekniker,AG$4,TF_Dato,$A63))*2,0)/2)))</f>
        <v/>
      </c>
      <c r="AH63">
        <f>IF(OR(AH$4="",$A63&gt;TODAY()),0,IF(OR(INDEX($B63:$D63,AH$5)="F",AND(AH$6&gt;0,$A63&lt;AH$6),AND(AH$7&gt;0,$A63&gt;AH$7)),0,MAX(0,ROUND((INDEX($E63:$G63,AH$5)-SUMIFS(TF_Timer,TF_Tekniker,AH$4,TF_Dato,$A63))*2,0)/2)))</f>
        <v/>
      </c>
      <c r="AI63">
        <f>IF(OR(AI$4="",$A63&gt;TODAY()),0,IF(OR(INDEX($B63:$D63,AI$5)="F",AND(AI$6&gt;0,$A63&lt;AI$6),AND(AI$7&gt;0,$A63&gt;AI$7)),0,MAX(0,ROUND((INDEX($E63:$G63,AI$5)-SUMIFS(TF_Timer,TF_Tekniker,AI$4,TF_Dato,$A63))*2,0)/2)))</f>
        <v/>
      </c>
      <c r="AJ63">
        <f>IF(OR(AJ$4="",$A63&gt;TODAY()),0,IF(OR(INDEX($B63:$D63,AJ$5)="F",AND(AJ$6&gt;0,$A63&lt;AJ$6),AND(AJ$7&gt;0,$A63&gt;AJ$7)),0,MAX(0,ROUND((INDEX($E63:$G63,AJ$5)-SUMIFS(TF_Timer,TF_Tekniker,AJ$4,TF_Dato,$A63))*2,0)/2)))</f>
        <v/>
      </c>
      <c r="AK63">
        <f>IF(OR(AK$4="",$A63&gt;TODAY()),0,IF(OR(INDEX($B63:$D63,AK$5)="F",AND(AK$6&gt;0,$A63&lt;AK$6),AND(AK$7&gt;0,$A63&gt;AK$7)),0,MAX(0,ROUND((INDEX($E63:$G63,AK$5)-SUMIFS(TF_Timer,TF_Tekniker,AK$4,TF_Dato,$A63))*2,0)/2)))</f>
        <v/>
      </c>
      <c r="AL63">
        <f>IF(OR(AL$4="",$A63&gt;TODAY()),0,IF(OR(INDEX($B63:$D63,AL$5)="F",AND(AL$6&gt;0,$A63&lt;AL$6),AND(AL$7&gt;0,$A63&gt;AL$7)),0,MAX(0,ROUND((INDEX($E63:$G63,AL$5)-SUMIFS(TF_Timer,TF_Tekniker,AL$4,TF_Dato,$A63))*2,0)/2)))</f>
        <v/>
      </c>
      <c r="AM63">
        <f>IF(OR(AM$4="",$A63&gt;TODAY()),0,IF(OR(INDEX($B63:$D63,AM$5)="F",AND(AM$6&gt;0,$A63&lt;AM$6),AND(AM$7&gt;0,$A63&gt;AM$7)),0,MAX(0,ROUND((INDEX($E63:$G63,AM$5)-SUMIFS(TF_Timer,TF_Tekniker,AM$4,TF_Dato,$A63))*2,0)/2)))</f>
        <v/>
      </c>
      <c r="AN63">
        <f>IF(OR(AN$4="",$A63&gt;TODAY()),0,IF(OR(INDEX($B63:$D63,AN$5)="F",AND(AN$6&gt;0,$A63&lt;AN$6),AND(AN$7&gt;0,$A63&gt;AN$7)),0,MAX(0,ROUND((INDEX($E63:$G63,AN$5)-SUMIFS(TF_Timer,TF_Tekniker,AN$4,TF_Dato,$A63))*2,0)/2)))</f>
        <v/>
      </c>
      <c r="AO63">
        <f>IF(OR(AO$4="",$A63&gt;TODAY()),0,IF(OR(INDEX($B63:$D63,AO$5)="F",AND(AO$6&gt;0,$A63&lt;AO$6),AND(AO$7&gt;0,$A63&gt;AO$7)),0,MAX(0,ROUND((INDEX($E63:$G63,AO$5)-SUMIFS(TF_Timer,TF_Tekniker,AO$4,TF_Dato,$A63))*2,0)/2)))</f>
        <v/>
      </c>
      <c r="AP63">
        <f>IF(OR(AP$4="",$A63&gt;TODAY()),0,IF(OR(INDEX($B63:$D63,AP$5)="F",AND(AP$6&gt;0,$A63&lt;AP$6),AND(AP$7&gt;0,$A63&gt;AP$7)),0,MAX(0,ROUND((INDEX($E63:$G63,AP$5)-SUMIFS(TF_Timer,TF_Tekniker,AP$4,TF_Dato,$A63))*2,0)/2)))</f>
        <v/>
      </c>
      <c r="AQ63">
        <f>IF(OR(AQ$4="",$A63&gt;TODAY()),0,IF(OR(INDEX($B63:$D63,AQ$5)="F",AND(AQ$6&gt;0,$A63&lt;AQ$6),AND(AQ$7&gt;0,$A63&gt;AQ$7)),0,MAX(0,ROUND((INDEX($E63:$G63,AQ$5)-SUMIFS(TF_Timer,TF_Tekniker,AQ$4,TF_Dato,$A63))*2,0)/2)))</f>
        <v/>
      </c>
      <c r="AR63">
        <f>IF(OR(AR$4="",$A63&gt;TODAY()),0,IF(OR(INDEX($B63:$D63,AR$5)="F",AND(AR$6&gt;0,$A63&lt;AR$6),AND(AR$7&gt;0,$A63&gt;AR$7)),0,MAX(0,ROUND((INDEX($E63:$G63,AR$5)-SUMIFS(TF_Timer,TF_Tekniker,AR$4,TF_Dato,$A63))*2,0)/2)))</f>
        <v/>
      </c>
      <c r="AS63">
        <f>IF(OR(AS$4="",$A63&gt;TODAY()),0,IF(OR(INDEX($B63:$D63,AS$5)="F",AND(AS$6&gt;0,$A63&lt;AS$6),AND(AS$7&gt;0,$A63&gt;AS$7)),0,MAX(0,ROUND((INDEX($E63:$G63,AS$5)-SUMIFS(TF_Timer,TF_Tekniker,AS$4,TF_Dato,$A63))*2,0)/2)))</f>
        <v/>
      </c>
      <c r="AT63">
        <f>IF(OR(AT$4="",$A63&gt;TODAY()),0,IF(OR(INDEX($B63:$D63,AT$5)="F",AND(AT$6&gt;0,$A63&lt;AT$6),AND(AT$7&gt;0,$A63&gt;AT$7)),0,MAX(0,ROUND((INDEX($E63:$G63,AT$5)-SUMIFS(TF_Timer,TF_Tekniker,AT$4,TF_Dato,$A63))*2,0)/2)))</f>
        <v/>
      </c>
      <c r="AU63">
        <f>IF(OR(AU$4="",$A63&gt;TODAY()),0,IF(OR(INDEX($B63:$D63,AU$5)="F",AND(AU$6&gt;0,$A63&lt;AU$6),AND(AU$7&gt;0,$A63&gt;AU$7)),0,MAX(0,ROUND((INDEX($E63:$G63,AU$5)-SUMIFS(TF_Timer,TF_Tekniker,AU$4,TF_Dato,$A63))*2,0)/2)))</f>
        <v/>
      </c>
      <c r="AV63">
        <f>IF(OR(AV$4="",$A63&gt;TODAY()),0,IF(OR(INDEX($B63:$D63,AV$5)="F",AND(AV$6&gt;0,$A63&lt;AV$6),AND(AV$7&gt;0,$A63&gt;AV$7)),0,MAX(0,ROUND((INDEX($E63:$G63,AV$5)-SUMIFS(TF_Timer,TF_Tekniker,AV$4,TF_Dato,$A63))*2,0)/2)))</f>
        <v/>
      </c>
      <c r="AW63">
        <f>IF(OR(AW$4="",$A63&gt;TODAY()),0,IF(OR(INDEX($B63:$D63,AW$5)="F",AND(AW$6&gt;0,$A63&lt;AW$6),AND(AW$7&gt;0,$A63&gt;AW$7)),0,MAX(0,ROUND((INDEX($E63:$G63,AW$5)-SUMIFS(TF_Timer,TF_Tekniker,AW$4,TF_Dato,$A63))*2,0)/2)))</f>
        <v/>
      </c>
      <c r="AX63">
        <f>IF(OR(AX$4="",$A63&gt;TODAY()),0,IF(OR(INDEX($B63:$D63,AX$5)="F",AND(AX$6&gt;0,$A63&lt;AX$6),AND(AX$7&gt;0,$A63&gt;AX$7)),0,MAX(0,ROUND((INDEX($E63:$G63,AX$5)-SUMIFS(TF_Timer,TF_Tekniker,AX$4,TF_Dato,$A63))*2,0)/2)))</f>
        <v/>
      </c>
      <c r="AY63">
        <f>IF(OR(AY$4="",$A63&gt;TODAY()),0,IF(OR(INDEX($B63:$D63,AY$5)="F",AND(AY$6&gt;0,$A63&lt;AY$6),AND(AY$7&gt;0,$A63&gt;AY$7)),0,MAX(0,ROUND((INDEX($E63:$G63,AY$5)-SUMIFS(TF_Timer,TF_Tekniker,AY$4,TF_Dato,$A63))*2,0)/2)))</f>
        <v/>
      </c>
      <c r="AZ63">
        <f>IF(OR(AZ$4="",$A63&gt;TODAY()),0,IF(OR(INDEX($B63:$D63,AZ$5)="F",AND(AZ$6&gt;0,$A63&lt;AZ$6),AND(AZ$7&gt;0,$A63&gt;AZ$7)),0,MAX(0,ROUND((INDEX($E63:$G63,AZ$5)-SUMIFS(TF_Timer,TF_Tekniker,AZ$4,TF_Dato,$A63))*2,0)/2)))</f>
        <v/>
      </c>
      <c r="BA63">
        <f>IF(OR(BA$4="",$A63&gt;TODAY()),0,IF(OR(INDEX($B63:$D63,BA$5)="F",AND(BA$6&gt;0,$A63&lt;BA$6),AND(BA$7&gt;0,$A63&gt;BA$7)),0,MAX(0,ROUND((INDEX($E63:$G63,BA$5)-SUMIFS(TF_Timer,TF_Tekniker,BA$4,TF_Dato,$A63))*2,0)/2)))</f>
        <v/>
      </c>
      <c r="BB63">
        <f>IF(OR(BB$4="",$A63&gt;TODAY()),0,IF(OR(INDEX($B63:$D63,BB$5)="F",AND(BB$6&gt;0,$A63&lt;BB$6),AND(BB$7&gt;0,$A63&gt;BB$7)),0,MAX(0,ROUND((INDEX($E63:$G63,BB$5)-SUMIFS(TF_Timer,TF_Tekniker,BB$4,TF_Dato,$A63))*2,0)/2)))</f>
        <v/>
      </c>
      <c r="BC63">
        <f>IF(OR(BC$4="",$A63&gt;TODAY()),0,IF(OR(INDEX($B63:$D63,BC$5)="F",AND(BC$6&gt;0,$A63&lt;BC$6),AND(BC$7&gt;0,$A63&gt;BC$7)),0,MAX(0,ROUND((INDEX($E63:$G63,BC$5)-SUMIFS(TF_Timer,TF_Tekniker,BC$4,TF_Dato,$A63))*2,0)/2)))</f>
        <v/>
      </c>
      <c r="BD63">
        <f>IF(OR(BD$4="",$A63&gt;TODAY()),0,IF(OR(INDEX($B63:$D63,BD$5)="F",AND(BD$6&gt;0,$A63&lt;BD$6),AND(BD$7&gt;0,$A63&gt;BD$7)),0,MAX(0,ROUND((INDEX($E63:$G63,BD$5)-SUMIFS(TF_Timer,TF_Tekniker,BD$4,TF_Dato,$A63))*2,0)/2)))</f>
        <v/>
      </c>
      <c r="BE63">
        <f>IF(OR(BE$4="",$A63&gt;TODAY()),0,IF(OR(INDEX($B63:$D63,BE$5)="F",AND(BE$6&gt;0,$A63&lt;BE$6),AND(BE$7&gt;0,$A63&gt;BE$7)),0,MAX(0,ROUND((INDEX($E63:$G63,BE$5)-SUMIFS(TF_Timer,TF_Tekniker,BE$4,TF_Dato,$A63))*2,0)/2)))</f>
        <v/>
      </c>
      <c r="BF63">
        <f>IF(OR(BF$4="",$A63&gt;TODAY()),0,IF(OR(INDEX($B63:$D63,BF$5)="F",AND(BF$6&gt;0,$A63&lt;BF$6),AND(BF$7&gt;0,$A63&gt;BF$7)),0,MAX(0,ROUND((INDEX($E63:$G63,BF$5)-SUMIFS(TF_Timer,TF_Tekniker,BF$4,TF_Dato,$A63))*2,0)/2)))</f>
        <v/>
      </c>
      <c r="BG63">
        <f>IF(OR(BG$4="",$A63&gt;TODAY()),0,IF(OR(INDEX($B63:$D63,BG$5)="F",AND(BG$6&gt;0,$A63&lt;BG$6),AND(BG$7&gt;0,$A63&gt;BG$7)),0,MAX(0,ROUND((INDEX($E63:$G63,BG$5)-SUMIFS(TF_Timer,TF_Tekniker,BG$4,TF_Dato,$A63))*2,0)/2)))</f>
        <v/>
      </c>
      <c r="BH63">
        <f>IF(OR(BH$4="",$A63&gt;TODAY()),0,IF(OR(INDEX($B63:$D63,BH$5)="F",AND(BH$6&gt;0,$A63&lt;BH$6),AND(BH$7&gt;0,$A63&gt;BH$7)),0,MAX(0,ROUND((INDEX($E63:$G63,BH$5)-SUMIFS(TF_Timer,TF_Tekniker,BH$4,TF_Dato,$A63))*2,0)/2)))</f>
        <v/>
      </c>
      <c r="BI63">
        <f>IF(OR(BI$4="",$A63&gt;TODAY()),0,IF(OR(INDEX($B63:$D63,BI$5)="F",AND(BI$6&gt;0,$A63&lt;BI$6),AND(BI$7&gt;0,$A63&gt;BI$7)),0,MAX(0,ROUND((INDEX($E63:$G63,BI$5)-SUMIFS(TF_Timer,TF_Tekniker,BI$4,TF_Dato,$A63))*2,0)/2)))</f>
        <v/>
      </c>
    </row>
    <row r="64">
      <c r="A64" s="64">
        <f>A63+1</f>
        <v/>
      </c>
      <c r="B64">
        <f>IF(MOD($A64-INDEX(SkiftStart,1),Syklus)&lt;DagK,"K",IF(MOD($A64-INDEX(SkiftStart,1),Syklus)&lt;DagK+DagH,"H",IF(MOD($A64-INDEX(SkiftStart,1),Syklus)&lt;DagK+DagH+DagD,"D","F")))</f>
        <v/>
      </c>
      <c r="C64">
        <f>IF(MOD($A64-INDEX(SkiftStart,2),Syklus)&lt;DagK,"K",IF(MOD($A64-INDEX(SkiftStart,2),Syklus)&lt;DagK+DagH,"H",IF(MOD($A64-INDEX(SkiftStart,2),Syklus)&lt;DagK+DagH+DagD,"D","F")))</f>
        <v/>
      </c>
      <c r="D64">
        <f>IF(MOD($A64-INDEX(SkiftStart,3),Syklus)&lt;DagK,"K",IF(MOD($A64-INDEX(SkiftStart,3),Syklus)&lt;DagK+DagH,"H",IF(MOD($A64-INDEX(SkiftStart,3),Syklus)&lt;DagK+DagH+DagD,"D","F")))</f>
        <v/>
      </c>
      <c r="E64">
        <f>IF(B64="F",0,IF(WEEKDAY($A64,2)=5,INDEX(TimerFr,MATCH(B64,FaseKode,0)),INDEX(TimerMT,MATCH(B64,FaseKode,0))))</f>
        <v/>
      </c>
      <c r="F64">
        <f>IF(C64="F",0,IF(WEEKDAY($A64,2)=5,INDEX(TimerFr,MATCH(C64,FaseKode,0)),INDEX(TimerMT,MATCH(C64,FaseKode,0))))</f>
        <v/>
      </c>
      <c r="G64">
        <f>IF(D64="F",0,IF(WEEKDAY($A64,2)=5,INDEX(TimerFr,MATCH(D64,FaseKode,0)),INDEX(TimerMT,MATCH(D64,FaseKode,0))))</f>
        <v/>
      </c>
      <c r="H64">
        <f>IF(OR(H$4="",$A64&gt;TODAY()),0,IF(OR(INDEX($B64:$D64,H$5)="F",AND(H$6&gt;0,$A64&lt;H$6),AND(H$7&gt;0,$A64&gt;H$7)),0,MAX(0,ROUND((INDEX($E64:$G64,H$5)-SUMIFS(TF_Timer,TF_Tekniker,H$4,TF_Dato,$A64))*2,0)/2)))</f>
        <v/>
      </c>
      <c r="I64">
        <f>IF(OR(I$4="",$A64&gt;TODAY()),0,IF(OR(INDEX($B64:$D64,I$5)="F",AND(I$6&gt;0,$A64&lt;I$6),AND(I$7&gt;0,$A64&gt;I$7)),0,MAX(0,ROUND((INDEX($E64:$G64,I$5)-SUMIFS(TF_Timer,TF_Tekniker,I$4,TF_Dato,$A64))*2,0)/2)))</f>
        <v/>
      </c>
      <c r="J64">
        <f>IF(OR(J$4="",$A64&gt;TODAY()),0,IF(OR(INDEX($B64:$D64,J$5)="F",AND(J$6&gt;0,$A64&lt;J$6),AND(J$7&gt;0,$A64&gt;J$7)),0,MAX(0,ROUND((INDEX($E64:$G64,J$5)-SUMIFS(TF_Timer,TF_Tekniker,J$4,TF_Dato,$A64))*2,0)/2)))</f>
        <v/>
      </c>
      <c r="K64">
        <f>IF(OR(K$4="",$A64&gt;TODAY()),0,IF(OR(INDEX($B64:$D64,K$5)="F",AND(K$6&gt;0,$A64&lt;K$6),AND(K$7&gt;0,$A64&gt;K$7)),0,MAX(0,ROUND((INDEX($E64:$G64,K$5)-SUMIFS(TF_Timer,TF_Tekniker,K$4,TF_Dato,$A64))*2,0)/2)))</f>
        <v/>
      </c>
      <c r="L64">
        <f>IF(OR(L$4="",$A64&gt;TODAY()),0,IF(OR(INDEX($B64:$D64,L$5)="F",AND(L$6&gt;0,$A64&lt;L$6),AND(L$7&gt;0,$A64&gt;L$7)),0,MAX(0,ROUND((INDEX($E64:$G64,L$5)-SUMIFS(TF_Timer,TF_Tekniker,L$4,TF_Dato,$A64))*2,0)/2)))</f>
        <v/>
      </c>
      <c r="M64">
        <f>IF(OR(M$4="",$A64&gt;TODAY()),0,IF(OR(INDEX($B64:$D64,M$5)="F",AND(M$6&gt;0,$A64&lt;M$6),AND(M$7&gt;0,$A64&gt;M$7)),0,MAX(0,ROUND((INDEX($E64:$G64,M$5)-SUMIFS(TF_Timer,TF_Tekniker,M$4,TF_Dato,$A64))*2,0)/2)))</f>
        <v/>
      </c>
      <c r="N64">
        <f>IF(OR(N$4="",$A64&gt;TODAY()),0,IF(OR(INDEX($B64:$D64,N$5)="F",AND(N$6&gt;0,$A64&lt;N$6),AND(N$7&gt;0,$A64&gt;N$7)),0,MAX(0,ROUND((INDEX($E64:$G64,N$5)-SUMIFS(TF_Timer,TF_Tekniker,N$4,TF_Dato,$A64))*2,0)/2)))</f>
        <v/>
      </c>
      <c r="O64">
        <f>IF(OR(O$4="",$A64&gt;TODAY()),0,IF(OR(INDEX($B64:$D64,O$5)="F",AND(O$6&gt;0,$A64&lt;O$6),AND(O$7&gt;0,$A64&gt;O$7)),0,MAX(0,ROUND((INDEX($E64:$G64,O$5)-SUMIFS(TF_Timer,TF_Tekniker,O$4,TF_Dato,$A64))*2,0)/2)))</f>
        <v/>
      </c>
      <c r="P64">
        <f>IF(OR(P$4="",$A64&gt;TODAY()),0,IF(OR(INDEX($B64:$D64,P$5)="F",AND(P$6&gt;0,$A64&lt;P$6),AND(P$7&gt;0,$A64&gt;P$7)),0,MAX(0,ROUND((INDEX($E64:$G64,P$5)-SUMIFS(TF_Timer,TF_Tekniker,P$4,TF_Dato,$A64))*2,0)/2)))</f>
        <v/>
      </c>
      <c r="Q64">
        <f>IF(OR(Q$4="",$A64&gt;TODAY()),0,IF(OR(INDEX($B64:$D64,Q$5)="F",AND(Q$6&gt;0,$A64&lt;Q$6),AND(Q$7&gt;0,$A64&gt;Q$7)),0,MAX(0,ROUND((INDEX($E64:$G64,Q$5)-SUMIFS(TF_Timer,TF_Tekniker,Q$4,TF_Dato,$A64))*2,0)/2)))</f>
        <v/>
      </c>
      <c r="R64">
        <f>IF(OR(R$4="",$A64&gt;TODAY()),0,IF(OR(INDEX($B64:$D64,R$5)="F",AND(R$6&gt;0,$A64&lt;R$6),AND(R$7&gt;0,$A64&gt;R$7)),0,MAX(0,ROUND((INDEX($E64:$G64,R$5)-SUMIFS(TF_Timer,TF_Tekniker,R$4,TF_Dato,$A64))*2,0)/2)))</f>
        <v/>
      </c>
      <c r="S64">
        <f>IF(OR(S$4="",$A64&gt;TODAY()),0,IF(OR(INDEX($B64:$D64,S$5)="F",AND(S$6&gt;0,$A64&lt;S$6),AND(S$7&gt;0,$A64&gt;S$7)),0,MAX(0,ROUND((INDEX($E64:$G64,S$5)-SUMIFS(TF_Timer,TF_Tekniker,S$4,TF_Dato,$A64))*2,0)/2)))</f>
        <v/>
      </c>
      <c r="T64">
        <f>IF(OR(T$4="",$A64&gt;TODAY()),0,IF(OR(INDEX($B64:$D64,T$5)="F",AND(T$6&gt;0,$A64&lt;T$6),AND(T$7&gt;0,$A64&gt;T$7)),0,MAX(0,ROUND((INDEX($E64:$G64,T$5)-SUMIFS(TF_Timer,TF_Tekniker,T$4,TF_Dato,$A64))*2,0)/2)))</f>
        <v/>
      </c>
      <c r="U64">
        <f>IF(OR(U$4="",$A64&gt;TODAY()),0,IF(OR(INDEX($B64:$D64,U$5)="F",AND(U$6&gt;0,$A64&lt;U$6),AND(U$7&gt;0,$A64&gt;U$7)),0,MAX(0,ROUND((INDEX($E64:$G64,U$5)-SUMIFS(TF_Timer,TF_Tekniker,U$4,TF_Dato,$A64))*2,0)/2)))</f>
        <v/>
      </c>
      <c r="V64">
        <f>IF(OR(V$4="",$A64&gt;TODAY()),0,IF(OR(INDEX($B64:$D64,V$5)="F",AND(V$6&gt;0,$A64&lt;V$6),AND(V$7&gt;0,$A64&gt;V$7)),0,MAX(0,ROUND((INDEX($E64:$G64,V$5)-SUMIFS(TF_Timer,TF_Tekniker,V$4,TF_Dato,$A64))*2,0)/2)))</f>
        <v/>
      </c>
      <c r="W64">
        <f>IF(OR(W$4="",$A64&gt;TODAY()),0,IF(OR(INDEX($B64:$D64,W$5)="F",AND(W$6&gt;0,$A64&lt;W$6),AND(W$7&gt;0,$A64&gt;W$7)),0,MAX(0,ROUND((INDEX($E64:$G64,W$5)-SUMIFS(TF_Timer,TF_Tekniker,W$4,TF_Dato,$A64))*2,0)/2)))</f>
        <v/>
      </c>
      <c r="X64">
        <f>IF(OR(X$4="",$A64&gt;TODAY()),0,IF(OR(INDEX($B64:$D64,X$5)="F",AND(X$6&gt;0,$A64&lt;X$6),AND(X$7&gt;0,$A64&gt;X$7)),0,MAX(0,ROUND((INDEX($E64:$G64,X$5)-SUMIFS(TF_Timer,TF_Tekniker,X$4,TF_Dato,$A64))*2,0)/2)))</f>
        <v/>
      </c>
      <c r="Y64">
        <f>IF(OR(Y$4="",$A64&gt;TODAY()),0,IF(OR(INDEX($B64:$D64,Y$5)="F",AND(Y$6&gt;0,$A64&lt;Y$6),AND(Y$7&gt;0,$A64&gt;Y$7)),0,MAX(0,ROUND((INDEX($E64:$G64,Y$5)-SUMIFS(TF_Timer,TF_Tekniker,Y$4,TF_Dato,$A64))*2,0)/2)))</f>
        <v/>
      </c>
      <c r="Z64">
        <f>IF(OR(Z$4="",$A64&gt;TODAY()),0,IF(OR(INDEX($B64:$D64,Z$5)="F",AND(Z$6&gt;0,$A64&lt;Z$6),AND(Z$7&gt;0,$A64&gt;Z$7)),0,MAX(0,ROUND((INDEX($E64:$G64,Z$5)-SUMIFS(TF_Timer,TF_Tekniker,Z$4,TF_Dato,$A64))*2,0)/2)))</f>
        <v/>
      </c>
      <c r="AA64">
        <f>IF(OR(AA$4="",$A64&gt;TODAY()),0,IF(OR(INDEX($B64:$D64,AA$5)="F",AND(AA$6&gt;0,$A64&lt;AA$6),AND(AA$7&gt;0,$A64&gt;AA$7)),0,MAX(0,ROUND((INDEX($E64:$G64,AA$5)-SUMIFS(TF_Timer,TF_Tekniker,AA$4,TF_Dato,$A64))*2,0)/2)))</f>
        <v/>
      </c>
      <c r="AB64">
        <f>IF(OR(AB$4="",$A64&gt;TODAY()),0,IF(OR(INDEX($B64:$D64,AB$5)="F",AND(AB$6&gt;0,$A64&lt;AB$6),AND(AB$7&gt;0,$A64&gt;AB$7)),0,MAX(0,ROUND((INDEX($E64:$G64,AB$5)-SUMIFS(TF_Timer,TF_Tekniker,AB$4,TF_Dato,$A64))*2,0)/2)))</f>
        <v/>
      </c>
      <c r="AC64">
        <f>IF(OR(AC$4="",$A64&gt;TODAY()),0,IF(OR(INDEX($B64:$D64,AC$5)="F",AND(AC$6&gt;0,$A64&lt;AC$6),AND(AC$7&gt;0,$A64&gt;AC$7)),0,MAX(0,ROUND((INDEX($E64:$G64,AC$5)-SUMIFS(TF_Timer,TF_Tekniker,AC$4,TF_Dato,$A64))*2,0)/2)))</f>
        <v/>
      </c>
      <c r="AD64">
        <f>IF(OR(AD$4="",$A64&gt;TODAY()),0,IF(OR(INDEX($B64:$D64,AD$5)="F",AND(AD$6&gt;0,$A64&lt;AD$6),AND(AD$7&gt;0,$A64&gt;AD$7)),0,MAX(0,ROUND((INDEX($E64:$G64,AD$5)-SUMIFS(TF_Timer,TF_Tekniker,AD$4,TF_Dato,$A64))*2,0)/2)))</f>
        <v/>
      </c>
      <c r="AE64">
        <f>IF(OR(AE$4="",$A64&gt;TODAY()),0,IF(OR(INDEX($B64:$D64,AE$5)="F",AND(AE$6&gt;0,$A64&lt;AE$6),AND(AE$7&gt;0,$A64&gt;AE$7)),0,MAX(0,ROUND((INDEX($E64:$G64,AE$5)-SUMIFS(TF_Timer,TF_Tekniker,AE$4,TF_Dato,$A64))*2,0)/2)))</f>
        <v/>
      </c>
      <c r="AF64">
        <f>IF(OR(AF$4="",$A64&gt;TODAY()),0,IF(OR(INDEX($B64:$D64,AF$5)="F",AND(AF$6&gt;0,$A64&lt;AF$6),AND(AF$7&gt;0,$A64&gt;AF$7)),0,MAX(0,ROUND((INDEX($E64:$G64,AF$5)-SUMIFS(TF_Timer,TF_Tekniker,AF$4,TF_Dato,$A64))*2,0)/2)))</f>
        <v/>
      </c>
      <c r="AG64">
        <f>IF(OR(AG$4="",$A64&gt;TODAY()),0,IF(OR(INDEX($B64:$D64,AG$5)="F",AND(AG$6&gt;0,$A64&lt;AG$6),AND(AG$7&gt;0,$A64&gt;AG$7)),0,MAX(0,ROUND((INDEX($E64:$G64,AG$5)-SUMIFS(TF_Timer,TF_Tekniker,AG$4,TF_Dato,$A64))*2,0)/2)))</f>
        <v/>
      </c>
      <c r="AH64">
        <f>IF(OR(AH$4="",$A64&gt;TODAY()),0,IF(OR(INDEX($B64:$D64,AH$5)="F",AND(AH$6&gt;0,$A64&lt;AH$6),AND(AH$7&gt;0,$A64&gt;AH$7)),0,MAX(0,ROUND((INDEX($E64:$G64,AH$5)-SUMIFS(TF_Timer,TF_Tekniker,AH$4,TF_Dato,$A64))*2,0)/2)))</f>
        <v/>
      </c>
      <c r="AI64">
        <f>IF(OR(AI$4="",$A64&gt;TODAY()),0,IF(OR(INDEX($B64:$D64,AI$5)="F",AND(AI$6&gt;0,$A64&lt;AI$6),AND(AI$7&gt;0,$A64&gt;AI$7)),0,MAX(0,ROUND((INDEX($E64:$G64,AI$5)-SUMIFS(TF_Timer,TF_Tekniker,AI$4,TF_Dato,$A64))*2,0)/2)))</f>
        <v/>
      </c>
      <c r="AJ64">
        <f>IF(OR(AJ$4="",$A64&gt;TODAY()),0,IF(OR(INDEX($B64:$D64,AJ$5)="F",AND(AJ$6&gt;0,$A64&lt;AJ$6),AND(AJ$7&gt;0,$A64&gt;AJ$7)),0,MAX(0,ROUND((INDEX($E64:$G64,AJ$5)-SUMIFS(TF_Timer,TF_Tekniker,AJ$4,TF_Dato,$A64))*2,0)/2)))</f>
        <v/>
      </c>
      <c r="AK64">
        <f>IF(OR(AK$4="",$A64&gt;TODAY()),0,IF(OR(INDEX($B64:$D64,AK$5)="F",AND(AK$6&gt;0,$A64&lt;AK$6),AND(AK$7&gt;0,$A64&gt;AK$7)),0,MAX(0,ROUND((INDEX($E64:$G64,AK$5)-SUMIFS(TF_Timer,TF_Tekniker,AK$4,TF_Dato,$A64))*2,0)/2)))</f>
        <v/>
      </c>
      <c r="AL64">
        <f>IF(OR(AL$4="",$A64&gt;TODAY()),0,IF(OR(INDEX($B64:$D64,AL$5)="F",AND(AL$6&gt;0,$A64&lt;AL$6),AND(AL$7&gt;0,$A64&gt;AL$7)),0,MAX(0,ROUND((INDEX($E64:$G64,AL$5)-SUMIFS(TF_Timer,TF_Tekniker,AL$4,TF_Dato,$A64))*2,0)/2)))</f>
        <v/>
      </c>
      <c r="AM64">
        <f>IF(OR(AM$4="",$A64&gt;TODAY()),0,IF(OR(INDEX($B64:$D64,AM$5)="F",AND(AM$6&gt;0,$A64&lt;AM$6),AND(AM$7&gt;0,$A64&gt;AM$7)),0,MAX(0,ROUND((INDEX($E64:$G64,AM$5)-SUMIFS(TF_Timer,TF_Tekniker,AM$4,TF_Dato,$A64))*2,0)/2)))</f>
        <v/>
      </c>
      <c r="AN64">
        <f>IF(OR(AN$4="",$A64&gt;TODAY()),0,IF(OR(INDEX($B64:$D64,AN$5)="F",AND(AN$6&gt;0,$A64&lt;AN$6),AND(AN$7&gt;0,$A64&gt;AN$7)),0,MAX(0,ROUND((INDEX($E64:$G64,AN$5)-SUMIFS(TF_Timer,TF_Tekniker,AN$4,TF_Dato,$A64))*2,0)/2)))</f>
        <v/>
      </c>
      <c r="AO64">
        <f>IF(OR(AO$4="",$A64&gt;TODAY()),0,IF(OR(INDEX($B64:$D64,AO$5)="F",AND(AO$6&gt;0,$A64&lt;AO$6),AND(AO$7&gt;0,$A64&gt;AO$7)),0,MAX(0,ROUND((INDEX($E64:$G64,AO$5)-SUMIFS(TF_Timer,TF_Tekniker,AO$4,TF_Dato,$A64))*2,0)/2)))</f>
        <v/>
      </c>
      <c r="AP64">
        <f>IF(OR(AP$4="",$A64&gt;TODAY()),0,IF(OR(INDEX($B64:$D64,AP$5)="F",AND(AP$6&gt;0,$A64&lt;AP$6),AND(AP$7&gt;0,$A64&gt;AP$7)),0,MAX(0,ROUND((INDEX($E64:$G64,AP$5)-SUMIFS(TF_Timer,TF_Tekniker,AP$4,TF_Dato,$A64))*2,0)/2)))</f>
        <v/>
      </c>
      <c r="AQ64">
        <f>IF(OR(AQ$4="",$A64&gt;TODAY()),0,IF(OR(INDEX($B64:$D64,AQ$5)="F",AND(AQ$6&gt;0,$A64&lt;AQ$6),AND(AQ$7&gt;0,$A64&gt;AQ$7)),0,MAX(0,ROUND((INDEX($E64:$G64,AQ$5)-SUMIFS(TF_Timer,TF_Tekniker,AQ$4,TF_Dato,$A64))*2,0)/2)))</f>
        <v/>
      </c>
      <c r="AR64">
        <f>IF(OR(AR$4="",$A64&gt;TODAY()),0,IF(OR(INDEX($B64:$D64,AR$5)="F",AND(AR$6&gt;0,$A64&lt;AR$6),AND(AR$7&gt;0,$A64&gt;AR$7)),0,MAX(0,ROUND((INDEX($E64:$G64,AR$5)-SUMIFS(TF_Timer,TF_Tekniker,AR$4,TF_Dato,$A64))*2,0)/2)))</f>
        <v/>
      </c>
      <c r="AS64">
        <f>IF(OR(AS$4="",$A64&gt;TODAY()),0,IF(OR(INDEX($B64:$D64,AS$5)="F",AND(AS$6&gt;0,$A64&lt;AS$6),AND(AS$7&gt;0,$A64&gt;AS$7)),0,MAX(0,ROUND((INDEX($E64:$G64,AS$5)-SUMIFS(TF_Timer,TF_Tekniker,AS$4,TF_Dato,$A64))*2,0)/2)))</f>
        <v/>
      </c>
      <c r="AT64">
        <f>IF(OR(AT$4="",$A64&gt;TODAY()),0,IF(OR(INDEX($B64:$D64,AT$5)="F",AND(AT$6&gt;0,$A64&lt;AT$6),AND(AT$7&gt;0,$A64&gt;AT$7)),0,MAX(0,ROUND((INDEX($E64:$G64,AT$5)-SUMIFS(TF_Timer,TF_Tekniker,AT$4,TF_Dato,$A64))*2,0)/2)))</f>
        <v/>
      </c>
      <c r="AU64">
        <f>IF(OR(AU$4="",$A64&gt;TODAY()),0,IF(OR(INDEX($B64:$D64,AU$5)="F",AND(AU$6&gt;0,$A64&lt;AU$6),AND(AU$7&gt;0,$A64&gt;AU$7)),0,MAX(0,ROUND((INDEX($E64:$G64,AU$5)-SUMIFS(TF_Timer,TF_Tekniker,AU$4,TF_Dato,$A64))*2,0)/2)))</f>
        <v/>
      </c>
      <c r="AV64">
        <f>IF(OR(AV$4="",$A64&gt;TODAY()),0,IF(OR(INDEX($B64:$D64,AV$5)="F",AND(AV$6&gt;0,$A64&lt;AV$6),AND(AV$7&gt;0,$A64&gt;AV$7)),0,MAX(0,ROUND((INDEX($E64:$G64,AV$5)-SUMIFS(TF_Timer,TF_Tekniker,AV$4,TF_Dato,$A64))*2,0)/2)))</f>
        <v/>
      </c>
      <c r="AW64">
        <f>IF(OR(AW$4="",$A64&gt;TODAY()),0,IF(OR(INDEX($B64:$D64,AW$5)="F",AND(AW$6&gt;0,$A64&lt;AW$6),AND(AW$7&gt;0,$A64&gt;AW$7)),0,MAX(0,ROUND((INDEX($E64:$G64,AW$5)-SUMIFS(TF_Timer,TF_Tekniker,AW$4,TF_Dato,$A64))*2,0)/2)))</f>
        <v/>
      </c>
      <c r="AX64">
        <f>IF(OR(AX$4="",$A64&gt;TODAY()),0,IF(OR(INDEX($B64:$D64,AX$5)="F",AND(AX$6&gt;0,$A64&lt;AX$6),AND(AX$7&gt;0,$A64&gt;AX$7)),0,MAX(0,ROUND((INDEX($E64:$G64,AX$5)-SUMIFS(TF_Timer,TF_Tekniker,AX$4,TF_Dato,$A64))*2,0)/2)))</f>
        <v/>
      </c>
      <c r="AY64">
        <f>IF(OR(AY$4="",$A64&gt;TODAY()),0,IF(OR(INDEX($B64:$D64,AY$5)="F",AND(AY$6&gt;0,$A64&lt;AY$6),AND(AY$7&gt;0,$A64&gt;AY$7)),0,MAX(0,ROUND((INDEX($E64:$G64,AY$5)-SUMIFS(TF_Timer,TF_Tekniker,AY$4,TF_Dato,$A64))*2,0)/2)))</f>
        <v/>
      </c>
      <c r="AZ64">
        <f>IF(OR(AZ$4="",$A64&gt;TODAY()),0,IF(OR(INDEX($B64:$D64,AZ$5)="F",AND(AZ$6&gt;0,$A64&lt;AZ$6),AND(AZ$7&gt;0,$A64&gt;AZ$7)),0,MAX(0,ROUND((INDEX($E64:$G64,AZ$5)-SUMIFS(TF_Timer,TF_Tekniker,AZ$4,TF_Dato,$A64))*2,0)/2)))</f>
        <v/>
      </c>
      <c r="BA64">
        <f>IF(OR(BA$4="",$A64&gt;TODAY()),0,IF(OR(INDEX($B64:$D64,BA$5)="F",AND(BA$6&gt;0,$A64&lt;BA$6),AND(BA$7&gt;0,$A64&gt;BA$7)),0,MAX(0,ROUND((INDEX($E64:$G64,BA$5)-SUMIFS(TF_Timer,TF_Tekniker,BA$4,TF_Dato,$A64))*2,0)/2)))</f>
        <v/>
      </c>
      <c r="BB64">
        <f>IF(OR(BB$4="",$A64&gt;TODAY()),0,IF(OR(INDEX($B64:$D64,BB$5)="F",AND(BB$6&gt;0,$A64&lt;BB$6),AND(BB$7&gt;0,$A64&gt;BB$7)),0,MAX(0,ROUND((INDEX($E64:$G64,BB$5)-SUMIFS(TF_Timer,TF_Tekniker,BB$4,TF_Dato,$A64))*2,0)/2)))</f>
        <v/>
      </c>
      <c r="BC64">
        <f>IF(OR(BC$4="",$A64&gt;TODAY()),0,IF(OR(INDEX($B64:$D64,BC$5)="F",AND(BC$6&gt;0,$A64&lt;BC$6),AND(BC$7&gt;0,$A64&gt;BC$7)),0,MAX(0,ROUND((INDEX($E64:$G64,BC$5)-SUMIFS(TF_Timer,TF_Tekniker,BC$4,TF_Dato,$A64))*2,0)/2)))</f>
        <v/>
      </c>
      <c r="BD64">
        <f>IF(OR(BD$4="",$A64&gt;TODAY()),0,IF(OR(INDEX($B64:$D64,BD$5)="F",AND(BD$6&gt;0,$A64&lt;BD$6),AND(BD$7&gt;0,$A64&gt;BD$7)),0,MAX(0,ROUND((INDEX($E64:$G64,BD$5)-SUMIFS(TF_Timer,TF_Tekniker,BD$4,TF_Dato,$A64))*2,0)/2)))</f>
        <v/>
      </c>
      <c r="BE64">
        <f>IF(OR(BE$4="",$A64&gt;TODAY()),0,IF(OR(INDEX($B64:$D64,BE$5)="F",AND(BE$6&gt;0,$A64&lt;BE$6),AND(BE$7&gt;0,$A64&gt;BE$7)),0,MAX(0,ROUND((INDEX($E64:$G64,BE$5)-SUMIFS(TF_Timer,TF_Tekniker,BE$4,TF_Dato,$A64))*2,0)/2)))</f>
        <v/>
      </c>
      <c r="BF64">
        <f>IF(OR(BF$4="",$A64&gt;TODAY()),0,IF(OR(INDEX($B64:$D64,BF$5)="F",AND(BF$6&gt;0,$A64&lt;BF$6),AND(BF$7&gt;0,$A64&gt;BF$7)),0,MAX(0,ROUND((INDEX($E64:$G64,BF$5)-SUMIFS(TF_Timer,TF_Tekniker,BF$4,TF_Dato,$A64))*2,0)/2)))</f>
        <v/>
      </c>
      <c r="BG64">
        <f>IF(OR(BG$4="",$A64&gt;TODAY()),0,IF(OR(INDEX($B64:$D64,BG$5)="F",AND(BG$6&gt;0,$A64&lt;BG$6),AND(BG$7&gt;0,$A64&gt;BG$7)),0,MAX(0,ROUND((INDEX($E64:$G64,BG$5)-SUMIFS(TF_Timer,TF_Tekniker,BG$4,TF_Dato,$A64))*2,0)/2)))</f>
        <v/>
      </c>
      <c r="BH64">
        <f>IF(OR(BH$4="",$A64&gt;TODAY()),0,IF(OR(INDEX($B64:$D64,BH$5)="F",AND(BH$6&gt;0,$A64&lt;BH$6),AND(BH$7&gt;0,$A64&gt;BH$7)),0,MAX(0,ROUND((INDEX($E64:$G64,BH$5)-SUMIFS(TF_Timer,TF_Tekniker,BH$4,TF_Dato,$A64))*2,0)/2)))</f>
        <v/>
      </c>
      <c r="BI64">
        <f>IF(OR(BI$4="",$A64&gt;TODAY()),0,IF(OR(INDEX($B64:$D64,BI$5)="F",AND(BI$6&gt;0,$A64&lt;BI$6),AND(BI$7&gt;0,$A64&gt;BI$7)),0,MAX(0,ROUND((INDEX($E64:$G64,BI$5)-SUMIFS(TF_Timer,TF_Tekniker,BI$4,TF_Dato,$A64))*2,0)/2)))</f>
        <v/>
      </c>
    </row>
    <row r="65">
      <c r="A65" s="64">
        <f>A64+1</f>
        <v/>
      </c>
      <c r="B65">
        <f>IF(MOD($A65-INDEX(SkiftStart,1),Syklus)&lt;DagK,"K",IF(MOD($A65-INDEX(SkiftStart,1),Syklus)&lt;DagK+DagH,"H",IF(MOD($A65-INDEX(SkiftStart,1),Syklus)&lt;DagK+DagH+DagD,"D","F")))</f>
        <v/>
      </c>
      <c r="C65">
        <f>IF(MOD($A65-INDEX(SkiftStart,2),Syklus)&lt;DagK,"K",IF(MOD($A65-INDEX(SkiftStart,2),Syklus)&lt;DagK+DagH,"H",IF(MOD($A65-INDEX(SkiftStart,2),Syklus)&lt;DagK+DagH+DagD,"D","F")))</f>
        <v/>
      </c>
      <c r="D65">
        <f>IF(MOD($A65-INDEX(SkiftStart,3),Syklus)&lt;DagK,"K",IF(MOD($A65-INDEX(SkiftStart,3),Syklus)&lt;DagK+DagH,"H",IF(MOD($A65-INDEX(SkiftStart,3),Syklus)&lt;DagK+DagH+DagD,"D","F")))</f>
        <v/>
      </c>
      <c r="E65">
        <f>IF(B65="F",0,IF(WEEKDAY($A65,2)=5,INDEX(TimerFr,MATCH(B65,FaseKode,0)),INDEX(TimerMT,MATCH(B65,FaseKode,0))))</f>
        <v/>
      </c>
      <c r="F65">
        <f>IF(C65="F",0,IF(WEEKDAY($A65,2)=5,INDEX(TimerFr,MATCH(C65,FaseKode,0)),INDEX(TimerMT,MATCH(C65,FaseKode,0))))</f>
        <v/>
      </c>
      <c r="G65">
        <f>IF(D65="F",0,IF(WEEKDAY($A65,2)=5,INDEX(TimerFr,MATCH(D65,FaseKode,0)),INDEX(TimerMT,MATCH(D65,FaseKode,0))))</f>
        <v/>
      </c>
      <c r="H65">
        <f>IF(OR(H$4="",$A65&gt;TODAY()),0,IF(OR(INDEX($B65:$D65,H$5)="F",AND(H$6&gt;0,$A65&lt;H$6),AND(H$7&gt;0,$A65&gt;H$7)),0,MAX(0,ROUND((INDEX($E65:$G65,H$5)-SUMIFS(TF_Timer,TF_Tekniker,H$4,TF_Dato,$A65))*2,0)/2)))</f>
        <v/>
      </c>
      <c r="I65">
        <f>IF(OR(I$4="",$A65&gt;TODAY()),0,IF(OR(INDEX($B65:$D65,I$5)="F",AND(I$6&gt;0,$A65&lt;I$6),AND(I$7&gt;0,$A65&gt;I$7)),0,MAX(0,ROUND((INDEX($E65:$G65,I$5)-SUMIFS(TF_Timer,TF_Tekniker,I$4,TF_Dato,$A65))*2,0)/2)))</f>
        <v/>
      </c>
      <c r="J65">
        <f>IF(OR(J$4="",$A65&gt;TODAY()),0,IF(OR(INDEX($B65:$D65,J$5)="F",AND(J$6&gt;0,$A65&lt;J$6),AND(J$7&gt;0,$A65&gt;J$7)),0,MAX(0,ROUND((INDEX($E65:$G65,J$5)-SUMIFS(TF_Timer,TF_Tekniker,J$4,TF_Dato,$A65))*2,0)/2)))</f>
        <v/>
      </c>
      <c r="K65">
        <f>IF(OR(K$4="",$A65&gt;TODAY()),0,IF(OR(INDEX($B65:$D65,K$5)="F",AND(K$6&gt;0,$A65&lt;K$6),AND(K$7&gt;0,$A65&gt;K$7)),0,MAX(0,ROUND((INDEX($E65:$G65,K$5)-SUMIFS(TF_Timer,TF_Tekniker,K$4,TF_Dato,$A65))*2,0)/2)))</f>
        <v/>
      </c>
      <c r="L65">
        <f>IF(OR(L$4="",$A65&gt;TODAY()),0,IF(OR(INDEX($B65:$D65,L$5)="F",AND(L$6&gt;0,$A65&lt;L$6),AND(L$7&gt;0,$A65&gt;L$7)),0,MAX(0,ROUND((INDEX($E65:$G65,L$5)-SUMIFS(TF_Timer,TF_Tekniker,L$4,TF_Dato,$A65))*2,0)/2)))</f>
        <v/>
      </c>
      <c r="M65">
        <f>IF(OR(M$4="",$A65&gt;TODAY()),0,IF(OR(INDEX($B65:$D65,M$5)="F",AND(M$6&gt;0,$A65&lt;M$6),AND(M$7&gt;0,$A65&gt;M$7)),0,MAX(0,ROUND((INDEX($E65:$G65,M$5)-SUMIFS(TF_Timer,TF_Tekniker,M$4,TF_Dato,$A65))*2,0)/2)))</f>
        <v/>
      </c>
      <c r="N65">
        <f>IF(OR(N$4="",$A65&gt;TODAY()),0,IF(OR(INDEX($B65:$D65,N$5)="F",AND(N$6&gt;0,$A65&lt;N$6),AND(N$7&gt;0,$A65&gt;N$7)),0,MAX(0,ROUND((INDEX($E65:$G65,N$5)-SUMIFS(TF_Timer,TF_Tekniker,N$4,TF_Dato,$A65))*2,0)/2)))</f>
        <v/>
      </c>
      <c r="O65">
        <f>IF(OR(O$4="",$A65&gt;TODAY()),0,IF(OR(INDEX($B65:$D65,O$5)="F",AND(O$6&gt;0,$A65&lt;O$6),AND(O$7&gt;0,$A65&gt;O$7)),0,MAX(0,ROUND((INDEX($E65:$G65,O$5)-SUMIFS(TF_Timer,TF_Tekniker,O$4,TF_Dato,$A65))*2,0)/2)))</f>
        <v/>
      </c>
      <c r="P65">
        <f>IF(OR(P$4="",$A65&gt;TODAY()),0,IF(OR(INDEX($B65:$D65,P$5)="F",AND(P$6&gt;0,$A65&lt;P$6),AND(P$7&gt;0,$A65&gt;P$7)),0,MAX(0,ROUND((INDEX($E65:$G65,P$5)-SUMIFS(TF_Timer,TF_Tekniker,P$4,TF_Dato,$A65))*2,0)/2)))</f>
        <v/>
      </c>
      <c r="Q65">
        <f>IF(OR(Q$4="",$A65&gt;TODAY()),0,IF(OR(INDEX($B65:$D65,Q$5)="F",AND(Q$6&gt;0,$A65&lt;Q$6),AND(Q$7&gt;0,$A65&gt;Q$7)),0,MAX(0,ROUND((INDEX($E65:$G65,Q$5)-SUMIFS(TF_Timer,TF_Tekniker,Q$4,TF_Dato,$A65))*2,0)/2)))</f>
        <v/>
      </c>
      <c r="R65">
        <f>IF(OR(R$4="",$A65&gt;TODAY()),0,IF(OR(INDEX($B65:$D65,R$5)="F",AND(R$6&gt;0,$A65&lt;R$6),AND(R$7&gt;0,$A65&gt;R$7)),0,MAX(0,ROUND((INDEX($E65:$G65,R$5)-SUMIFS(TF_Timer,TF_Tekniker,R$4,TF_Dato,$A65))*2,0)/2)))</f>
        <v/>
      </c>
      <c r="S65">
        <f>IF(OR(S$4="",$A65&gt;TODAY()),0,IF(OR(INDEX($B65:$D65,S$5)="F",AND(S$6&gt;0,$A65&lt;S$6),AND(S$7&gt;0,$A65&gt;S$7)),0,MAX(0,ROUND((INDEX($E65:$G65,S$5)-SUMIFS(TF_Timer,TF_Tekniker,S$4,TF_Dato,$A65))*2,0)/2)))</f>
        <v/>
      </c>
      <c r="T65">
        <f>IF(OR(T$4="",$A65&gt;TODAY()),0,IF(OR(INDEX($B65:$D65,T$5)="F",AND(T$6&gt;0,$A65&lt;T$6),AND(T$7&gt;0,$A65&gt;T$7)),0,MAX(0,ROUND((INDEX($E65:$G65,T$5)-SUMIFS(TF_Timer,TF_Tekniker,T$4,TF_Dato,$A65))*2,0)/2)))</f>
        <v/>
      </c>
      <c r="U65">
        <f>IF(OR(U$4="",$A65&gt;TODAY()),0,IF(OR(INDEX($B65:$D65,U$5)="F",AND(U$6&gt;0,$A65&lt;U$6),AND(U$7&gt;0,$A65&gt;U$7)),0,MAX(0,ROUND((INDEX($E65:$G65,U$5)-SUMIFS(TF_Timer,TF_Tekniker,U$4,TF_Dato,$A65))*2,0)/2)))</f>
        <v/>
      </c>
      <c r="V65">
        <f>IF(OR(V$4="",$A65&gt;TODAY()),0,IF(OR(INDEX($B65:$D65,V$5)="F",AND(V$6&gt;0,$A65&lt;V$6),AND(V$7&gt;0,$A65&gt;V$7)),0,MAX(0,ROUND((INDEX($E65:$G65,V$5)-SUMIFS(TF_Timer,TF_Tekniker,V$4,TF_Dato,$A65))*2,0)/2)))</f>
        <v/>
      </c>
      <c r="W65">
        <f>IF(OR(W$4="",$A65&gt;TODAY()),0,IF(OR(INDEX($B65:$D65,W$5)="F",AND(W$6&gt;0,$A65&lt;W$6),AND(W$7&gt;0,$A65&gt;W$7)),0,MAX(0,ROUND((INDEX($E65:$G65,W$5)-SUMIFS(TF_Timer,TF_Tekniker,W$4,TF_Dato,$A65))*2,0)/2)))</f>
        <v/>
      </c>
      <c r="X65">
        <f>IF(OR(X$4="",$A65&gt;TODAY()),0,IF(OR(INDEX($B65:$D65,X$5)="F",AND(X$6&gt;0,$A65&lt;X$6),AND(X$7&gt;0,$A65&gt;X$7)),0,MAX(0,ROUND((INDEX($E65:$G65,X$5)-SUMIFS(TF_Timer,TF_Tekniker,X$4,TF_Dato,$A65))*2,0)/2)))</f>
        <v/>
      </c>
      <c r="Y65">
        <f>IF(OR(Y$4="",$A65&gt;TODAY()),0,IF(OR(INDEX($B65:$D65,Y$5)="F",AND(Y$6&gt;0,$A65&lt;Y$6),AND(Y$7&gt;0,$A65&gt;Y$7)),0,MAX(0,ROUND((INDEX($E65:$G65,Y$5)-SUMIFS(TF_Timer,TF_Tekniker,Y$4,TF_Dato,$A65))*2,0)/2)))</f>
        <v/>
      </c>
      <c r="Z65">
        <f>IF(OR(Z$4="",$A65&gt;TODAY()),0,IF(OR(INDEX($B65:$D65,Z$5)="F",AND(Z$6&gt;0,$A65&lt;Z$6),AND(Z$7&gt;0,$A65&gt;Z$7)),0,MAX(0,ROUND((INDEX($E65:$G65,Z$5)-SUMIFS(TF_Timer,TF_Tekniker,Z$4,TF_Dato,$A65))*2,0)/2)))</f>
        <v/>
      </c>
      <c r="AA65">
        <f>IF(OR(AA$4="",$A65&gt;TODAY()),0,IF(OR(INDEX($B65:$D65,AA$5)="F",AND(AA$6&gt;0,$A65&lt;AA$6),AND(AA$7&gt;0,$A65&gt;AA$7)),0,MAX(0,ROUND((INDEX($E65:$G65,AA$5)-SUMIFS(TF_Timer,TF_Tekniker,AA$4,TF_Dato,$A65))*2,0)/2)))</f>
        <v/>
      </c>
      <c r="AB65">
        <f>IF(OR(AB$4="",$A65&gt;TODAY()),0,IF(OR(INDEX($B65:$D65,AB$5)="F",AND(AB$6&gt;0,$A65&lt;AB$6),AND(AB$7&gt;0,$A65&gt;AB$7)),0,MAX(0,ROUND((INDEX($E65:$G65,AB$5)-SUMIFS(TF_Timer,TF_Tekniker,AB$4,TF_Dato,$A65))*2,0)/2)))</f>
        <v/>
      </c>
      <c r="AC65">
        <f>IF(OR(AC$4="",$A65&gt;TODAY()),0,IF(OR(INDEX($B65:$D65,AC$5)="F",AND(AC$6&gt;0,$A65&lt;AC$6),AND(AC$7&gt;0,$A65&gt;AC$7)),0,MAX(0,ROUND((INDEX($E65:$G65,AC$5)-SUMIFS(TF_Timer,TF_Tekniker,AC$4,TF_Dato,$A65))*2,0)/2)))</f>
        <v/>
      </c>
      <c r="AD65">
        <f>IF(OR(AD$4="",$A65&gt;TODAY()),0,IF(OR(INDEX($B65:$D65,AD$5)="F",AND(AD$6&gt;0,$A65&lt;AD$6),AND(AD$7&gt;0,$A65&gt;AD$7)),0,MAX(0,ROUND((INDEX($E65:$G65,AD$5)-SUMIFS(TF_Timer,TF_Tekniker,AD$4,TF_Dato,$A65))*2,0)/2)))</f>
        <v/>
      </c>
      <c r="AE65">
        <f>IF(OR(AE$4="",$A65&gt;TODAY()),0,IF(OR(INDEX($B65:$D65,AE$5)="F",AND(AE$6&gt;0,$A65&lt;AE$6),AND(AE$7&gt;0,$A65&gt;AE$7)),0,MAX(0,ROUND((INDEX($E65:$G65,AE$5)-SUMIFS(TF_Timer,TF_Tekniker,AE$4,TF_Dato,$A65))*2,0)/2)))</f>
        <v/>
      </c>
      <c r="AF65">
        <f>IF(OR(AF$4="",$A65&gt;TODAY()),0,IF(OR(INDEX($B65:$D65,AF$5)="F",AND(AF$6&gt;0,$A65&lt;AF$6),AND(AF$7&gt;0,$A65&gt;AF$7)),0,MAX(0,ROUND((INDEX($E65:$G65,AF$5)-SUMIFS(TF_Timer,TF_Tekniker,AF$4,TF_Dato,$A65))*2,0)/2)))</f>
        <v/>
      </c>
      <c r="AG65">
        <f>IF(OR(AG$4="",$A65&gt;TODAY()),0,IF(OR(INDEX($B65:$D65,AG$5)="F",AND(AG$6&gt;0,$A65&lt;AG$6),AND(AG$7&gt;0,$A65&gt;AG$7)),0,MAX(0,ROUND((INDEX($E65:$G65,AG$5)-SUMIFS(TF_Timer,TF_Tekniker,AG$4,TF_Dato,$A65))*2,0)/2)))</f>
        <v/>
      </c>
      <c r="AH65">
        <f>IF(OR(AH$4="",$A65&gt;TODAY()),0,IF(OR(INDEX($B65:$D65,AH$5)="F",AND(AH$6&gt;0,$A65&lt;AH$6),AND(AH$7&gt;0,$A65&gt;AH$7)),0,MAX(0,ROUND((INDEX($E65:$G65,AH$5)-SUMIFS(TF_Timer,TF_Tekniker,AH$4,TF_Dato,$A65))*2,0)/2)))</f>
        <v/>
      </c>
      <c r="AI65">
        <f>IF(OR(AI$4="",$A65&gt;TODAY()),0,IF(OR(INDEX($B65:$D65,AI$5)="F",AND(AI$6&gt;0,$A65&lt;AI$6),AND(AI$7&gt;0,$A65&gt;AI$7)),0,MAX(0,ROUND((INDEX($E65:$G65,AI$5)-SUMIFS(TF_Timer,TF_Tekniker,AI$4,TF_Dato,$A65))*2,0)/2)))</f>
        <v/>
      </c>
      <c r="AJ65">
        <f>IF(OR(AJ$4="",$A65&gt;TODAY()),0,IF(OR(INDEX($B65:$D65,AJ$5)="F",AND(AJ$6&gt;0,$A65&lt;AJ$6),AND(AJ$7&gt;0,$A65&gt;AJ$7)),0,MAX(0,ROUND((INDEX($E65:$G65,AJ$5)-SUMIFS(TF_Timer,TF_Tekniker,AJ$4,TF_Dato,$A65))*2,0)/2)))</f>
        <v/>
      </c>
      <c r="AK65">
        <f>IF(OR(AK$4="",$A65&gt;TODAY()),0,IF(OR(INDEX($B65:$D65,AK$5)="F",AND(AK$6&gt;0,$A65&lt;AK$6),AND(AK$7&gt;0,$A65&gt;AK$7)),0,MAX(0,ROUND((INDEX($E65:$G65,AK$5)-SUMIFS(TF_Timer,TF_Tekniker,AK$4,TF_Dato,$A65))*2,0)/2)))</f>
        <v/>
      </c>
      <c r="AL65">
        <f>IF(OR(AL$4="",$A65&gt;TODAY()),0,IF(OR(INDEX($B65:$D65,AL$5)="F",AND(AL$6&gt;0,$A65&lt;AL$6),AND(AL$7&gt;0,$A65&gt;AL$7)),0,MAX(0,ROUND((INDEX($E65:$G65,AL$5)-SUMIFS(TF_Timer,TF_Tekniker,AL$4,TF_Dato,$A65))*2,0)/2)))</f>
        <v/>
      </c>
      <c r="AM65">
        <f>IF(OR(AM$4="",$A65&gt;TODAY()),0,IF(OR(INDEX($B65:$D65,AM$5)="F",AND(AM$6&gt;0,$A65&lt;AM$6),AND(AM$7&gt;0,$A65&gt;AM$7)),0,MAX(0,ROUND((INDEX($E65:$G65,AM$5)-SUMIFS(TF_Timer,TF_Tekniker,AM$4,TF_Dato,$A65))*2,0)/2)))</f>
        <v/>
      </c>
      <c r="AN65">
        <f>IF(OR(AN$4="",$A65&gt;TODAY()),0,IF(OR(INDEX($B65:$D65,AN$5)="F",AND(AN$6&gt;0,$A65&lt;AN$6),AND(AN$7&gt;0,$A65&gt;AN$7)),0,MAX(0,ROUND((INDEX($E65:$G65,AN$5)-SUMIFS(TF_Timer,TF_Tekniker,AN$4,TF_Dato,$A65))*2,0)/2)))</f>
        <v/>
      </c>
      <c r="AO65">
        <f>IF(OR(AO$4="",$A65&gt;TODAY()),0,IF(OR(INDEX($B65:$D65,AO$5)="F",AND(AO$6&gt;0,$A65&lt;AO$6),AND(AO$7&gt;0,$A65&gt;AO$7)),0,MAX(0,ROUND((INDEX($E65:$G65,AO$5)-SUMIFS(TF_Timer,TF_Tekniker,AO$4,TF_Dato,$A65))*2,0)/2)))</f>
        <v/>
      </c>
      <c r="AP65">
        <f>IF(OR(AP$4="",$A65&gt;TODAY()),0,IF(OR(INDEX($B65:$D65,AP$5)="F",AND(AP$6&gt;0,$A65&lt;AP$6),AND(AP$7&gt;0,$A65&gt;AP$7)),0,MAX(0,ROUND((INDEX($E65:$G65,AP$5)-SUMIFS(TF_Timer,TF_Tekniker,AP$4,TF_Dato,$A65))*2,0)/2)))</f>
        <v/>
      </c>
      <c r="AQ65">
        <f>IF(OR(AQ$4="",$A65&gt;TODAY()),0,IF(OR(INDEX($B65:$D65,AQ$5)="F",AND(AQ$6&gt;0,$A65&lt;AQ$6),AND(AQ$7&gt;0,$A65&gt;AQ$7)),0,MAX(0,ROUND((INDEX($E65:$G65,AQ$5)-SUMIFS(TF_Timer,TF_Tekniker,AQ$4,TF_Dato,$A65))*2,0)/2)))</f>
        <v/>
      </c>
      <c r="AR65">
        <f>IF(OR(AR$4="",$A65&gt;TODAY()),0,IF(OR(INDEX($B65:$D65,AR$5)="F",AND(AR$6&gt;0,$A65&lt;AR$6),AND(AR$7&gt;0,$A65&gt;AR$7)),0,MAX(0,ROUND((INDEX($E65:$G65,AR$5)-SUMIFS(TF_Timer,TF_Tekniker,AR$4,TF_Dato,$A65))*2,0)/2)))</f>
        <v/>
      </c>
      <c r="AS65">
        <f>IF(OR(AS$4="",$A65&gt;TODAY()),0,IF(OR(INDEX($B65:$D65,AS$5)="F",AND(AS$6&gt;0,$A65&lt;AS$6),AND(AS$7&gt;0,$A65&gt;AS$7)),0,MAX(0,ROUND((INDEX($E65:$G65,AS$5)-SUMIFS(TF_Timer,TF_Tekniker,AS$4,TF_Dato,$A65))*2,0)/2)))</f>
        <v/>
      </c>
      <c r="AT65">
        <f>IF(OR(AT$4="",$A65&gt;TODAY()),0,IF(OR(INDEX($B65:$D65,AT$5)="F",AND(AT$6&gt;0,$A65&lt;AT$6),AND(AT$7&gt;0,$A65&gt;AT$7)),0,MAX(0,ROUND((INDEX($E65:$G65,AT$5)-SUMIFS(TF_Timer,TF_Tekniker,AT$4,TF_Dato,$A65))*2,0)/2)))</f>
        <v/>
      </c>
      <c r="AU65">
        <f>IF(OR(AU$4="",$A65&gt;TODAY()),0,IF(OR(INDEX($B65:$D65,AU$5)="F",AND(AU$6&gt;0,$A65&lt;AU$6),AND(AU$7&gt;0,$A65&gt;AU$7)),0,MAX(0,ROUND((INDEX($E65:$G65,AU$5)-SUMIFS(TF_Timer,TF_Tekniker,AU$4,TF_Dato,$A65))*2,0)/2)))</f>
        <v/>
      </c>
      <c r="AV65">
        <f>IF(OR(AV$4="",$A65&gt;TODAY()),0,IF(OR(INDEX($B65:$D65,AV$5)="F",AND(AV$6&gt;0,$A65&lt;AV$6),AND(AV$7&gt;0,$A65&gt;AV$7)),0,MAX(0,ROUND((INDEX($E65:$G65,AV$5)-SUMIFS(TF_Timer,TF_Tekniker,AV$4,TF_Dato,$A65))*2,0)/2)))</f>
        <v/>
      </c>
      <c r="AW65">
        <f>IF(OR(AW$4="",$A65&gt;TODAY()),0,IF(OR(INDEX($B65:$D65,AW$5)="F",AND(AW$6&gt;0,$A65&lt;AW$6),AND(AW$7&gt;0,$A65&gt;AW$7)),0,MAX(0,ROUND((INDEX($E65:$G65,AW$5)-SUMIFS(TF_Timer,TF_Tekniker,AW$4,TF_Dato,$A65))*2,0)/2)))</f>
        <v/>
      </c>
      <c r="AX65">
        <f>IF(OR(AX$4="",$A65&gt;TODAY()),0,IF(OR(INDEX($B65:$D65,AX$5)="F",AND(AX$6&gt;0,$A65&lt;AX$6),AND(AX$7&gt;0,$A65&gt;AX$7)),0,MAX(0,ROUND((INDEX($E65:$G65,AX$5)-SUMIFS(TF_Timer,TF_Tekniker,AX$4,TF_Dato,$A65))*2,0)/2)))</f>
        <v/>
      </c>
      <c r="AY65">
        <f>IF(OR(AY$4="",$A65&gt;TODAY()),0,IF(OR(INDEX($B65:$D65,AY$5)="F",AND(AY$6&gt;0,$A65&lt;AY$6),AND(AY$7&gt;0,$A65&gt;AY$7)),0,MAX(0,ROUND((INDEX($E65:$G65,AY$5)-SUMIFS(TF_Timer,TF_Tekniker,AY$4,TF_Dato,$A65))*2,0)/2)))</f>
        <v/>
      </c>
      <c r="AZ65">
        <f>IF(OR(AZ$4="",$A65&gt;TODAY()),0,IF(OR(INDEX($B65:$D65,AZ$5)="F",AND(AZ$6&gt;0,$A65&lt;AZ$6),AND(AZ$7&gt;0,$A65&gt;AZ$7)),0,MAX(0,ROUND((INDEX($E65:$G65,AZ$5)-SUMIFS(TF_Timer,TF_Tekniker,AZ$4,TF_Dato,$A65))*2,0)/2)))</f>
        <v/>
      </c>
      <c r="BA65">
        <f>IF(OR(BA$4="",$A65&gt;TODAY()),0,IF(OR(INDEX($B65:$D65,BA$5)="F",AND(BA$6&gt;0,$A65&lt;BA$6),AND(BA$7&gt;0,$A65&gt;BA$7)),0,MAX(0,ROUND((INDEX($E65:$G65,BA$5)-SUMIFS(TF_Timer,TF_Tekniker,BA$4,TF_Dato,$A65))*2,0)/2)))</f>
        <v/>
      </c>
      <c r="BB65">
        <f>IF(OR(BB$4="",$A65&gt;TODAY()),0,IF(OR(INDEX($B65:$D65,BB$5)="F",AND(BB$6&gt;0,$A65&lt;BB$6),AND(BB$7&gt;0,$A65&gt;BB$7)),0,MAX(0,ROUND((INDEX($E65:$G65,BB$5)-SUMIFS(TF_Timer,TF_Tekniker,BB$4,TF_Dato,$A65))*2,0)/2)))</f>
        <v/>
      </c>
      <c r="BC65">
        <f>IF(OR(BC$4="",$A65&gt;TODAY()),0,IF(OR(INDEX($B65:$D65,BC$5)="F",AND(BC$6&gt;0,$A65&lt;BC$6),AND(BC$7&gt;0,$A65&gt;BC$7)),0,MAX(0,ROUND((INDEX($E65:$G65,BC$5)-SUMIFS(TF_Timer,TF_Tekniker,BC$4,TF_Dato,$A65))*2,0)/2)))</f>
        <v/>
      </c>
      <c r="BD65">
        <f>IF(OR(BD$4="",$A65&gt;TODAY()),0,IF(OR(INDEX($B65:$D65,BD$5)="F",AND(BD$6&gt;0,$A65&lt;BD$6),AND(BD$7&gt;0,$A65&gt;BD$7)),0,MAX(0,ROUND((INDEX($E65:$G65,BD$5)-SUMIFS(TF_Timer,TF_Tekniker,BD$4,TF_Dato,$A65))*2,0)/2)))</f>
        <v/>
      </c>
      <c r="BE65">
        <f>IF(OR(BE$4="",$A65&gt;TODAY()),0,IF(OR(INDEX($B65:$D65,BE$5)="F",AND(BE$6&gt;0,$A65&lt;BE$6),AND(BE$7&gt;0,$A65&gt;BE$7)),0,MAX(0,ROUND((INDEX($E65:$G65,BE$5)-SUMIFS(TF_Timer,TF_Tekniker,BE$4,TF_Dato,$A65))*2,0)/2)))</f>
        <v/>
      </c>
      <c r="BF65">
        <f>IF(OR(BF$4="",$A65&gt;TODAY()),0,IF(OR(INDEX($B65:$D65,BF$5)="F",AND(BF$6&gt;0,$A65&lt;BF$6),AND(BF$7&gt;0,$A65&gt;BF$7)),0,MAX(0,ROUND((INDEX($E65:$G65,BF$5)-SUMIFS(TF_Timer,TF_Tekniker,BF$4,TF_Dato,$A65))*2,0)/2)))</f>
        <v/>
      </c>
      <c r="BG65">
        <f>IF(OR(BG$4="",$A65&gt;TODAY()),0,IF(OR(INDEX($B65:$D65,BG$5)="F",AND(BG$6&gt;0,$A65&lt;BG$6),AND(BG$7&gt;0,$A65&gt;BG$7)),0,MAX(0,ROUND((INDEX($E65:$G65,BG$5)-SUMIFS(TF_Timer,TF_Tekniker,BG$4,TF_Dato,$A65))*2,0)/2)))</f>
        <v/>
      </c>
      <c r="BH65">
        <f>IF(OR(BH$4="",$A65&gt;TODAY()),0,IF(OR(INDEX($B65:$D65,BH$5)="F",AND(BH$6&gt;0,$A65&lt;BH$6),AND(BH$7&gt;0,$A65&gt;BH$7)),0,MAX(0,ROUND((INDEX($E65:$G65,BH$5)-SUMIFS(TF_Timer,TF_Tekniker,BH$4,TF_Dato,$A65))*2,0)/2)))</f>
        <v/>
      </c>
      <c r="BI65">
        <f>IF(OR(BI$4="",$A65&gt;TODAY()),0,IF(OR(INDEX($B65:$D65,BI$5)="F",AND(BI$6&gt;0,$A65&lt;BI$6),AND(BI$7&gt;0,$A65&gt;BI$7)),0,MAX(0,ROUND((INDEX($E65:$G65,BI$5)-SUMIFS(TF_Timer,TF_Tekniker,BI$4,TF_Dato,$A65))*2,0)/2)))</f>
        <v/>
      </c>
    </row>
    <row r="66">
      <c r="A66" s="64">
        <f>A65+1</f>
        <v/>
      </c>
      <c r="B66">
        <f>IF(MOD($A66-INDEX(SkiftStart,1),Syklus)&lt;DagK,"K",IF(MOD($A66-INDEX(SkiftStart,1),Syklus)&lt;DagK+DagH,"H",IF(MOD($A66-INDEX(SkiftStart,1),Syklus)&lt;DagK+DagH+DagD,"D","F")))</f>
        <v/>
      </c>
      <c r="C66">
        <f>IF(MOD($A66-INDEX(SkiftStart,2),Syklus)&lt;DagK,"K",IF(MOD($A66-INDEX(SkiftStart,2),Syklus)&lt;DagK+DagH,"H",IF(MOD($A66-INDEX(SkiftStart,2),Syklus)&lt;DagK+DagH+DagD,"D","F")))</f>
        <v/>
      </c>
      <c r="D66">
        <f>IF(MOD($A66-INDEX(SkiftStart,3),Syklus)&lt;DagK,"K",IF(MOD($A66-INDEX(SkiftStart,3),Syklus)&lt;DagK+DagH,"H",IF(MOD($A66-INDEX(SkiftStart,3),Syklus)&lt;DagK+DagH+DagD,"D","F")))</f>
        <v/>
      </c>
      <c r="E66">
        <f>IF(B66="F",0,IF(WEEKDAY($A66,2)=5,INDEX(TimerFr,MATCH(B66,FaseKode,0)),INDEX(TimerMT,MATCH(B66,FaseKode,0))))</f>
        <v/>
      </c>
      <c r="F66">
        <f>IF(C66="F",0,IF(WEEKDAY($A66,2)=5,INDEX(TimerFr,MATCH(C66,FaseKode,0)),INDEX(TimerMT,MATCH(C66,FaseKode,0))))</f>
        <v/>
      </c>
      <c r="G66">
        <f>IF(D66="F",0,IF(WEEKDAY($A66,2)=5,INDEX(TimerFr,MATCH(D66,FaseKode,0)),INDEX(TimerMT,MATCH(D66,FaseKode,0))))</f>
        <v/>
      </c>
      <c r="H66">
        <f>IF(OR(H$4="",$A66&gt;TODAY()),0,IF(OR(INDEX($B66:$D66,H$5)="F",AND(H$6&gt;0,$A66&lt;H$6),AND(H$7&gt;0,$A66&gt;H$7)),0,MAX(0,ROUND((INDEX($E66:$G66,H$5)-SUMIFS(TF_Timer,TF_Tekniker,H$4,TF_Dato,$A66))*2,0)/2)))</f>
        <v/>
      </c>
      <c r="I66">
        <f>IF(OR(I$4="",$A66&gt;TODAY()),0,IF(OR(INDEX($B66:$D66,I$5)="F",AND(I$6&gt;0,$A66&lt;I$6),AND(I$7&gt;0,$A66&gt;I$7)),0,MAX(0,ROUND((INDEX($E66:$G66,I$5)-SUMIFS(TF_Timer,TF_Tekniker,I$4,TF_Dato,$A66))*2,0)/2)))</f>
        <v/>
      </c>
      <c r="J66">
        <f>IF(OR(J$4="",$A66&gt;TODAY()),0,IF(OR(INDEX($B66:$D66,J$5)="F",AND(J$6&gt;0,$A66&lt;J$6),AND(J$7&gt;0,$A66&gt;J$7)),0,MAX(0,ROUND((INDEX($E66:$G66,J$5)-SUMIFS(TF_Timer,TF_Tekniker,J$4,TF_Dato,$A66))*2,0)/2)))</f>
        <v/>
      </c>
      <c r="K66">
        <f>IF(OR(K$4="",$A66&gt;TODAY()),0,IF(OR(INDEX($B66:$D66,K$5)="F",AND(K$6&gt;0,$A66&lt;K$6),AND(K$7&gt;0,$A66&gt;K$7)),0,MAX(0,ROUND((INDEX($E66:$G66,K$5)-SUMIFS(TF_Timer,TF_Tekniker,K$4,TF_Dato,$A66))*2,0)/2)))</f>
        <v/>
      </c>
      <c r="L66">
        <f>IF(OR(L$4="",$A66&gt;TODAY()),0,IF(OR(INDEX($B66:$D66,L$5)="F",AND(L$6&gt;0,$A66&lt;L$6),AND(L$7&gt;0,$A66&gt;L$7)),0,MAX(0,ROUND((INDEX($E66:$G66,L$5)-SUMIFS(TF_Timer,TF_Tekniker,L$4,TF_Dato,$A66))*2,0)/2)))</f>
        <v/>
      </c>
      <c r="M66">
        <f>IF(OR(M$4="",$A66&gt;TODAY()),0,IF(OR(INDEX($B66:$D66,M$5)="F",AND(M$6&gt;0,$A66&lt;M$6),AND(M$7&gt;0,$A66&gt;M$7)),0,MAX(0,ROUND((INDEX($E66:$G66,M$5)-SUMIFS(TF_Timer,TF_Tekniker,M$4,TF_Dato,$A66))*2,0)/2)))</f>
        <v/>
      </c>
      <c r="N66">
        <f>IF(OR(N$4="",$A66&gt;TODAY()),0,IF(OR(INDEX($B66:$D66,N$5)="F",AND(N$6&gt;0,$A66&lt;N$6),AND(N$7&gt;0,$A66&gt;N$7)),0,MAX(0,ROUND((INDEX($E66:$G66,N$5)-SUMIFS(TF_Timer,TF_Tekniker,N$4,TF_Dato,$A66))*2,0)/2)))</f>
        <v/>
      </c>
      <c r="O66">
        <f>IF(OR(O$4="",$A66&gt;TODAY()),0,IF(OR(INDEX($B66:$D66,O$5)="F",AND(O$6&gt;0,$A66&lt;O$6),AND(O$7&gt;0,$A66&gt;O$7)),0,MAX(0,ROUND((INDEX($E66:$G66,O$5)-SUMIFS(TF_Timer,TF_Tekniker,O$4,TF_Dato,$A66))*2,0)/2)))</f>
        <v/>
      </c>
      <c r="P66">
        <f>IF(OR(P$4="",$A66&gt;TODAY()),0,IF(OR(INDEX($B66:$D66,P$5)="F",AND(P$6&gt;0,$A66&lt;P$6),AND(P$7&gt;0,$A66&gt;P$7)),0,MAX(0,ROUND((INDEX($E66:$G66,P$5)-SUMIFS(TF_Timer,TF_Tekniker,P$4,TF_Dato,$A66))*2,0)/2)))</f>
        <v/>
      </c>
      <c r="Q66">
        <f>IF(OR(Q$4="",$A66&gt;TODAY()),0,IF(OR(INDEX($B66:$D66,Q$5)="F",AND(Q$6&gt;0,$A66&lt;Q$6),AND(Q$7&gt;0,$A66&gt;Q$7)),0,MAX(0,ROUND((INDEX($E66:$G66,Q$5)-SUMIFS(TF_Timer,TF_Tekniker,Q$4,TF_Dato,$A66))*2,0)/2)))</f>
        <v/>
      </c>
      <c r="R66">
        <f>IF(OR(R$4="",$A66&gt;TODAY()),0,IF(OR(INDEX($B66:$D66,R$5)="F",AND(R$6&gt;0,$A66&lt;R$6),AND(R$7&gt;0,$A66&gt;R$7)),0,MAX(0,ROUND((INDEX($E66:$G66,R$5)-SUMIFS(TF_Timer,TF_Tekniker,R$4,TF_Dato,$A66))*2,0)/2)))</f>
        <v/>
      </c>
      <c r="S66">
        <f>IF(OR(S$4="",$A66&gt;TODAY()),0,IF(OR(INDEX($B66:$D66,S$5)="F",AND(S$6&gt;0,$A66&lt;S$6),AND(S$7&gt;0,$A66&gt;S$7)),0,MAX(0,ROUND((INDEX($E66:$G66,S$5)-SUMIFS(TF_Timer,TF_Tekniker,S$4,TF_Dato,$A66))*2,0)/2)))</f>
        <v/>
      </c>
      <c r="T66">
        <f>IF(OR(T$4="",$A66&gt;TODAY()),0,IF(OR(INDEX($B66:$D66,T$5)="F",AND(T$6&gt;0,$A66&lt;T$6),AND(T$7&gt;0,$A66&gt;T$7)),0,MAX(0,ROUND((INDEX($E66:$G66,T$5)-SUMIFS(TF_Timer,TF_Tekniker,T$4,TF_Dato,$A66))*2,0)/2)))</f>
        <v/>
      </c>
      <c r="U66">
        <f>IF(OR(U$4="",$A66&gt;TODAY()),0,IF(OR(INDEX($B66:$D66,U$5)="F",AND(U$6&gt;0,$A66&lt;U$6),AND(U$7&gt;0,$A66&gt;U$7)),0,MAX(0,ROUND((INDEX($E66:$G66,U$5)-SUMIFS(TF_Timer,TF_Tekniker,U$4,TF_Dato,$A66))*2,0)/2)))</f>
        <v/>
      </c>
      <c r="V66">
        <f>IF(OR(V$4="",$A66&gt;TODAY()),0,IF(OR(INDEX($B66:$D66,V$5)="F",AND(V$6&gt;0,$A66&lt;V$6),AND(V$7&gt;0,$A66&gt;V$7)),0,MAX(0,ROUND((INDEX($E66:$G66,V$5)-SUMIFS(TF_Timer,TF_Tekniker,V$4,TF_Dato,$A66))*2,0)/2)))</f>
        <v/>
      </c>
      <c r="W66">
        <f>IF(OR(W$4="",$A66&gt;TODAY()),0,IF(OR(INDEX($B66:$D66,W$5)="F",AND(W$6&gt;0,$A66&lt;W$6),AND(W$7&gt;0,$A66&gt;W$7)),0,MAX(0,ROUND((INDEX($E66:$G66,W$5)-SUMIFS(TF_Timer,TF_Tekniker,W$4,TF_Dato,$A66))*2,0)/2)))</f>
        <v/>
      </c>
      <c r="X66">
        <f>IF(OR(X$4="",$A66&gt;TODAY()),0,IF(OR(INDEX($B66:$D66,X$5)="F",AND(X$6&gt;0,$A66&lt;X$6),AND(X$7&gt;0,$A66&gt;X$7)),0,MAX(0,ROUND((INDEX($E66:$G66,X$5)-SUMIFS(TF_Timer,TF_Tekniker,X$4,TF_Dato,$A66))*2,0)/2)))</f>
        <v/>
      </c>
      <c r="Y66">
        <f>IF(OR(Y$4="",$A66&gt;TODAY()),0,IF(OR(INDEX($B66:$D66,Y$5)="F",AND(Y$6&gt;0,$A66&lt;Y$6),AND(Y$7&gt;0,$A66&gt;Y$7)),0,MAX(0,ROUND((INDEX($E66:$G66,Y$5)-SUMIFS(TF_Timer,TF_Tekniker,Y$4,TF_Dato,$A66))*2,0)/2)))</f>
        <v/>
      </c>
      <c r="Z66">
        <f>IF(OR(Z$4="",$A66&gt;TODAY()),0,IF(OR(INDEX($B66:$D66,Z$5)="F",AND(Z$6&gt;0,$A66&lt;Z$6),AND(Z$7&gt;0,$A66&gt;Z$7)),0,MAX(0,ROUND((INDEX($E66:$G66,Z$5)-SUMIFS(TF_Timer,TF_Tekniker,Z$4,TF_Dato,$A66))*2,0)/2)))</f>
        <v/>
      </c>
      <c r="AA66">
        <f>IF(OR(AA$4="",$A66&gt;TODAY()),0,IF(OR(INDEX($B66:$D66,AA$5)="F",AND(AA$6&gt;0,$A66&lt;AA$6),AND(AA$7&gt;0,$A66&gt;AA$7)),0,MAX(0,ROUND((INDEX($E66:$G66,AA$5)-SUMIFS(TF_Timer,TF_Tekniker,AA$4,TF_Dato,$A66))*2,0)/2)))</f>
        <v/>
      </c>
      <c r="AB66">
        <f>IF(OR(AB$4="",$A66&gt;TODAY()),0,IF(OR(INDEX($B66:$D66,AB$5)="F",AND(AB$6&gt;0,$A66&lt;AB$6),AND(AB$7&gt;0,$A66&gt;AB$7)),0,MAX(0,ROUND((INDEX($E66:$G66,AB$5)-SUMIFS(TF_Timer,TF_Tekniker,AB$4,TF_Dato,$A66))*2,0)/2)))</f>
        <v/>
      </c>
      <c r="AC66">
        <f>IF(OR(AC$4="",$A66&gt;TODAY()),0,IF(OR(INDEX($B66:$D66,AC$5)="F",AND(AC$6&gt;0,$A66&lt;AC$6),AND(AC$7&gt;0,$A66&gt;AC$7)),0,MAX(0,ROUND((INDEX($E66:$G66,AC$5)-SUMIFS(TF_Timer,TF_Tekniker,AC$4,TF_Dato,$A66))*2,0)/2)))</f>
        <v/>
      </c>
      <c r="AD66">
        <f>IF(OR(AD$4="",$A66&gt;TODAY()),0,IF(OR(INDEX($B66:$D66,AD$5)="F",AND(AD$6&gt;0,$A66&lt;AD$6),AND(AD$7&gt;0,$A66&gt;AD$7)),0,MAX(0,ROUND((INDEX($E66:$G66,AD$5)-SUMIFS(TF_Timer,TF_Tekniker,AD$4,TF_Dato,$A66))*2,0)/2)))</f>
        <v/>
      </c>
      <c r="AE66">
        <f>IF(OR(AE$4="",$A66&gt;TODAY()),0,IF(OR(INDEX($B66:$D66,AE$5)="F",AND(AE$6&gt;0,$A66&lt;AE$6),AND(AE$7&gt;0,$A66&gt;AE$7)),0,MAX(0,ROUND((INDEX($E66:$G66,AE$5)-SUMIFS(TF_Timer,TF_Tekniker,AE$4,TF_Dato,$A66))*2,0)/2)))</f>
        <v/>
      </c>
      <c r="AF66">
        <f>IF(OR(AF$4="",$A66&gt;TODAY()),0,IF(OR(INDEX($B66:$D66,AF$5)="F",AND(AF$6&gt;0,$A66&lt;AF$6),AND(AF$7&gt;0,$A66&gt;AF$7)),0,MAX(0,ROUND((INDEX($E66:$G66,AF$5)-SUMIFS(TF_Timer,TF_Tekniker,AF$4,TF_Dato,$A66))*2,0)/2)))</f>
        <v/>
      </c>
      <c r="AG66">
        <f>IF(OR(AG$4="",$A66&gt;TODAY()),0,IF(OR(INDEX($B66:$D66,AG$5)="F",AND(AG$6&gt;0,$A66&lt;AG$6),AND(AG$7&gt;0,$A66&gt;AG$7)),0,MAX(0,ROUND((INDEX($E66:$G66,AG$5)-SUMIFS(TF_Timer,TF_Tekniker,AG$4,TF_Dato,$A66))*2,0)/2)))</f>
        <v/>
      </c>
      <c r="AH66">
        <f>IF(OR(AH$4="",$A66&gt;TODAY()),0,IF(OR(INDEX($B66:$D66,AH$5)="F",AND(AH$6&gt;0,$A66&lt;AH$6),AND(AH$7&gt;0,$A66&gt;AH$7)),0,MAX(0,ROUND((INDEX($E66:$G66,AH$5)-SUMIFS(TF_Timer,TF_Tekniker,AH$4,TF_Dato,$A66))*2,0)/2)))</f>
        <v/>
      </c>
      <c r="AI66">
        <f>IF(OR(AI$4="",$A66&gt;TODAY()),0,IF(OR(INDEX($B66:$D66,AI$5)="F",AND(AI$6&gt;0,$A66&lt;AI$6),AND(AI$7&gt;0,$A66&gt;AI$7)),0,MAX(0,ROUND((INDEX($E66:$G66,AI$5)-SUMIFS(TF_Timer,TF_Tekniker,AI$4,TF_Dato,$A66))*2,0)/2)))</f>
        <v/>
      </c>
      <c r="AJ66">
        <f>IF(OR(AJ$4="",$A66&gt;TODAY()),0,IF(OR(INDEX($B66:$D66,AJ$5)="F",AND(AJ$6&gt;0,$A66&lt;AJ$6),AND(AJ$7&gt;0,$A66&gt;AJ$7)),0,MAX(0,ROUND((INDEX($E66:$G66,AJ$5)-SUMIFS(TF_Timer,TF_Tekniker,AJ$4,TF_Dato,$A66))*2,0)/2)))</f>
        <v/>
      </c>
      <c r="AK66">
        <f>IF(OR(AK$4="",$A66&gt;TODAY()),0,IF(OR(INDEX($B66:$D66,AK$5)="F",AND(AK$6&gt;0,$A66&lt;AK$6),AND(AK$7&gt;0,$A66&gt;AK$7)),0,MAX(0,ROUND((INDEX($E66:$G66,AK$5)-SUMIFS(TF_Timer,TF_Tekniker,AK$4,TF_Dato,$A66))*2,0)/2)))</f>
        <v/>
      </c>
      <c r="AL66">
        <f>IF(OR(AL$4="",$A66&gt;TODAY()),0,IF(OR(INDEX($B66:$D66,AL$5)="F",AND(AL$6&gt;0,$A66&lt;AL$6),AND(AL$7&gt;0,$A66&gt;AL$7)),0,MAX(0,ROUND((INDEX($E66:$G66,AL$5)-SUMIFS(TF_Timer,TF_Tekniker,AL$4,TF_Dato,$A66))*2,0)/2)))</f>
        <v/>
      </c>
      <c r="AM66">
        <f>IF(OR(AM$4="",$A66&gt;TODAY()),0,IF(OR(INDEX($B66:$D66,AM$5)="F",AND(AM$6&gt;0,$A66&lt;AM$6),AND(AM$7&gt;0,$A66&gt;AM$7)),0,MAX(0,ROUND((INDEX($E66:$G66,AM$5)-SUMIFS(TF_Timer,TF_Tekniker,AM$4,TF_Dato,$A66))*2,0)/2)))</f>
        <v/>
      </c>
      <c r="AN66">
        <f>IF(OR(AN$4="",$A66&gt;TODAY()),0,IF(OR(INDEX($B66:$D66,AN$5)="F",AND(AN$6&gt;0,$A66&lt;AN$6),AND(AN$7&gt;0,$A66&gt;AN$7)),0,MAX(0,ROUND((INDEX($E66:$G66,AN$5)-SUMIFS(TF_Timer,TF_Tekniker,AN$4,TF_Dato,$A66))*2,0)/2)))</f>
        <v/>
      </c>
      <c r="AO66">
        <f>IF(OR(AO$4="",$A66&gt;TODAY()),0,IF(OR(INDEX($B66:$D66,AO$5)="F",AND(AO$6&gt;0,$A66&lt;AO$6),AND(AO$7&gt;0,$A66&gt;AO$7)),0,MAX(0,ROUND((INDEX($E66:$G66,AO$5)-SUMIFS(TF_Timer,TF_Tekniker,AO$4,TF_Dato,$A66))*2,0)/2)))</f>
        <v/>
      </c>
      <c r="AP66">
        <f>IF(OR(AP$4="",$A66&gt;TODAY()),0,IF(OR(INDEX($B66:$D66,AP$5)="F",AND(AP$6&gt;0,$A66&lt;AP$6),AND(AP$7&gt;0,$A66&gt;AP$7)),0,MAX(0,ROUND((INDEX($E66:$G66,AP$5)-SUMIFS(TF_Timer,TF_Tekniker,AP$4,TF_Dato,$A66))*2,0)/2)))</f>
        <v/>
      </c>
      <c r="AQ66">
        <f>IF(OR(AQ$4="",$A66&gt;TODAY()),0,IF(OR(INDEX($B66:$D66,AQ$5)="F",AND(AQ$6&gt;0,$A66&lt;AQ$6),AND(AQ$7&gt;0,$A66&gt;AQ$7)),0,MAX(0,ROUND((INDEX($E66:$G66,AQ$5)-SUMIFS(TF_Timer,TF_Tekniker,AQ$4,TF_Dato,$A66))*2,0)/2)))</f>
        <v/>
      </c>
      <c r="AR66">
        <f>IF(OR(AR$4="",$A66&gt;TODAY()),0,IF(OR(INDEX($B66:$D66,AR$5)="F",AND(AR$6&gt;0,$A66&lt;AR$6),AND(AR$7&gt;0,$A66&gt;AR$7)),0,MAX(0,ROUND((INDEX($E66:$G66,AR$5)-SUMIFS(TF_Timer,TF_Tekniker,AR$4,TF_Dato,$A66))*2,0)/2)))</f>
        <v/>
      </c>
      <c r="AS66">
        <f>IF(OR(AS$4="",$A66&gt;TODAY()),0,IF(OR(INDEX($B66:$D66,AS$5)="F",AND(AS$6&gt;0,$A66&lt;AS$6),AND(AS$7&gt;0,$A66&gt;AS$7)),0,MAX(0,ROUND((INDEX($E66:$G66,AS$5)-SUMIFS(TF_Timer,TF_Tekniker,AS$4,TF_Dato,$A66))*2,0)/2)))</f>
        <v/>
      </c>
      <c r="AT66">
        <f>IF(OR(AT$4="",$A66&gt;TODAY()),0,IF(OR(INDEX($B66:$D66,AT$5)="F",AND(AT$6&gt;0,$A66&lt;AT$6),AND(AT$7&gt;0,$A66&gt;AT$7)),0,MAX(0,ROUND((INDEX($E66:$G66,AT$5)-SUMIFS(TF_Timer,TF_Tekniker,AT$4,TF_Dato,$A66))*2,0)/2)))</f>
        <v/>
      </c>
      <c r="AU66">
        <f>IF(OR(AU$4="",$A66&gt;TODAY()),0,IF(OR(INDEX($B66:$D66,AU$5)="F",AND(AU$6&gt;0,$A66&lt;AU$6),AND(AU$7&gt;0,$A66&gt;AU$7)),0,MAX(0,ROUND((INDEX($E66:$G66,AU$5)-SUMIFS(TF_Timer,TF_Tekniker,AU$4,TF_Dato,$A66))*2,0)/2)))</f>
        <v/>
      </c>
      <c r="AV66">
        <f>IF(OR(AV$4="",$A66&gt;TODAY()),0,IF(OR(INDEX($B66:$D66,AV$5)="F",AND(AV$6&gt;0,$A66&lt;AV$6),AND(AV$7&gt;0,$A66&gt;AV$7)),0,MAX(0,ROUND((INDEX($E66:$G66,AV$5)-SUMIFS(TF_Timer,TF_Tekniker,AV$4,TF_Dato,$A66))*2,0)/2)))</f>
        <v/>
      </c>
      <c r="AW66">
        <f>IF(OR(AW$4="",$A66&gt;TODAY()),0,IF(OR(INDEX($B66:$D66,AW$5)="F",AND(AW$6&gt;0,$A66&lt;AW$6),AND(AW$7&gt;0,$A66&gt;AW$7)),0,MAX(0,ROUND((INDEX($E66:$G66,AW$5)-SUMIFS(TF_Timer,TF_Tekniker,AW$4,TF_Dato,$A66))*2,0)/2)))</f>
        <v/>
      </c>
      <c r="AX66">
        <f>IF(OR(AX$4="",$A66&gt;TODAY()),0,IF(OR(INDEX($B66:$D66,AX$5)="F",AND(AX$6&gt;0,$A66&lt;AX$6),AND(AX$7&gt;0,$A66&gt;AX$7)),0,MAX(0,ROUND((INDEX($E66:$G66,AX$5)-SUMIFS(TF_Timer,TF_Tekniker,AX$4,TF_Dato,$A66))*2,0)/2)))</f>
        <v/>
      </c>
      <c r="AY66">
        <f>IF(OR(AY$4="",$A66&gt;TODAY()),0,IF(OR(INDEX($B66:$D66,AY$5)="F",AND(AY$6&gt;0,$A66&lt;AY$6),AND(AY$7&gt;0,$A66&gt;AY$7)),0,MAX(0,ROUND((INDEX($E66:$G66,AY$5)-SUMIFS(TF_Timer,TF_Tekniker,AY$4,TF_Dato,$A66))*2,0)/2)))</f>
        <v/>
      </c>
      <c r="AZ66">
        <f>IF(OR(AZ$4="",$A66&gt;TODAY()),0,IF(OR(INDEX($B66:$D66,AZ$5)="F",AND(AZ$6&gt;0,$A66&lt;AZ$6),AND(AZ$7&gt;0,$A66&gt;AZ$7)),0,MAX(0,ROUND((INDEX($E66:$G66,AZ$5)-SUMIFS(TF_Timer,TF_Tekniker,AZ$4,TF_Dato,$A66))*2,0)/2)))</f>
        <v/>
      </c>
      <c r="BA66">
        <f>IF(OR(BA$4="",$A66&gt;TODAY()),0,IF(OR(INDEX($B66:$D66,BA$5)="F",AND(BA$6&gt;0,$A66&lt;BA$6),AND(BA$7&gt;0,$A66&gt;BA$7)),0,MAX(0,ROUND((INDEX($E66:$G66,BA$5)-SUMIFS(TF_Timer,TF_Tekniker,BA$4,TF_Dato,$A66))*2,0)/2)))</f>
        <v/>
      </c>
      <c r="BB66">
        <f>IF(OR(BB$4="",$A66&gt;TODAY()),0,IF(OR(INDEX($B66:$D66,BB$5)="F",AND(BB$6&gt;0,$A66&lt;BB$6),AND(BB$7&gt;0,$A66&gt;BB$7)),0,MAX(0,ROUND((INDEX($E66:$G66,BB$5)-SUMIFS(TF_Timer,TF_Tekniker,BB$4,TF_Dato,$A66))*2,0)/2)))</f>
        <v/>
      </c>
      <c r="BC66">
        <f>IF(OR(BC$4="",$A66&gt;TODAY()),0,IF(OR(INDEX($B66:$D66,BC$5)="F",AND(BC$6&gt;0,$A66&lt;BC$6),AND(BC$7&gt;0,$A66&gt;BC$7)),0,MAX(0,ROUND((INDEX($E66:$G66,BC$5)-SUMIFS(TF_Timer,TF_Tekniker,BC$4,TF_Dato,$A66))*2,0)/2)))</f>
        <v/>
      </c>
      <c r="BD66">
        <f>IF(OR(BD$4="",$A66&gt;TODAY()),0,IF(OR(INDEX($B66:$D66,BD$5)="F",AND(BD$6&gt;0,$A66&lt;BD$6),AND(BD$7&gt;0,$A66&gt;BD$7)),0,MAX(0,ROUND((INDEX($E66:$G66,BD$5)-SUMIFS(TF_Timer,TF_Tekniker,BD$4,TF_Dato,$A66))*2,0)/2)))</f>
        <v/>
      </c>
      <c r="BE66">
        <f>IF(OR(BE$4="",$A66&gt;TODAY()),0,IF(OR(INDEX($B66:$D66,BE$5)="F",AND(BE$6&gt;0,$A66&lt;BE$6),AND(BE$7&gt;0,$A66&gt;BE$7)),0,MAX(0,ROUND((INDEX($E66:$G66,BE$5)-SUMIFS(TF_Timer,TF_Tekniker,BE$4,TF_Dato,$A66))*2,0)/2)))</f>
        <v/>
      </c>
      <c r="BF66">
        <f>IF(OR(BF$4="",$A66&gt;TODAY()),0,IF(OR(INDEX($B66:$D66,BF$5)="F",AND(BF$6&gt;0,$A66&lt;BF$6),AND(BF$7&gt;0,$A66&gt;BF$7)),0,MAX(0,ROUND((INDEX($E66:$G66,BF$5)-SUMIFS(TF_Timer,TF_Tekniker,BF$4,TF_Dato,$A66))*2,0)/2)))</f>
        <v/>
      </c>
      <c r="BG66">
        <f>IF(OR(BG$4="",$A66&gt;TODAY()),0,IF(OR(INDEX($B66:$D66,BG$5)="F",AND(BG$6&gt;0,$A66&lt;BG$6),AND(BG$7&gt;0,$A66&gt;BG$7)),0,MAX(0,ROUND((INDEX($E66:$G66,BG$5)-SUMIFS(TF_Timer,TF_Tekniker,BG$4,TF_Dato,$A66))*2,0)/2)))</f>
        <v/>
      </c>
      <c r="BH66">
        <f>IF(OR(BH$4="",$A66&gt;TODAY()),0,IF(OR(INDEX($B66:$D66,BH$5)="F",AND(BH$6&gt;0,$A66&lt;BH$6),AND(BH$7&gt;0,$A66&gt;BH$7)),0,MAX(0,ROUND((INDEX($E66:$G66,BH$5)-SUMIFS(TF_Timer,TF_Tekniker,BH$4,TF_Dato,$A66))*2,0)/2)))</f>
        <v/>
      </c>
      <c r="BI66">
        <f>IF(OR(BI$4="",$A66&gt;TODAY()),0,IF(OR(INDEX($B66:$D66,BI$5)="F",AND(BI$6&gt;0,$A66&lt;BI$6),AND(BI$7&gt;0,$A66&gt;BI$7)),0,MAX(0,ROUND((INDEX($E66:$G66,BI$5)-SUMIFS(TF_Timer,TF_Tekniker,BI$4,TF_Dato,$A66))*2,0)/2)))</f>
        <v/>
      </c>
    </row>
    <row r="67">
      <c r="A67" s="64">
        <f>A66+1</f>
        <v/>
      </c>
      <c r="B67">
        <f>IF(MOD($A67-INDEX(SkiftStart,1),Syklus)&lt;DagK,"K",IF(MOD($A67-INDEX(SkiftStart,1),Syklus)&lt;DagK+DagH,"H",IF(MOD($A67-INDEX(SkiftStart,1),Syklus)&lt;DagK+DagH+DagD,"D","F")))</f>
        <v/>
      </c>
      <c r="C67">
        <f>IF(MOD($A67-INDEX(SkiftStart,2),Syklus)&lt;DagK,"K",IF(MOD($A67-INDEX(SkiftStart,2),Syklus)&lt;DagK+DagH,"H",IF(MOD($A67-INDEX(SkiftStart,2),Syklus)&lt;DagK+DagH+DagD,"D","F")))</f>
        <v/>
      </c>
      <c r="D67">
        <f>IF(MOD($A67-INDEX(SkiftStart,3),Syklus)&lt;DagK,"K",IF(MOD($A67-INDEX(SkiftStart,3),Syklus)&lt;DagK+DagH,"H",IF(MOD($A67-INDEX(SkiftStart,3),Syklus)&lt;DagK+DagH+DagD,"D","F")))</f>
        <v/>
      </c>
      <c r="E67">
        <f>IF(B67="F",0,IF(WEEKDAY($A67,2)=5,INDEX(TimerFr,MATCH(B67,FaseKode,0)),INDEX(TimerMT,MATCH(B67,FaseKode,0))))</f>
        <v/>
      </c>
      <c r="F67">
        <f>IF(C67="F",0,IF(WEEKDAY($A67,2)=5,INDEX(TimerFr,MATCH(C67,FaseKode,0)),INDEX(TimerMT,MATCH(C67,FaseKode,0))))</f>
        <v/>
      </c>
      <c r="G67">
        <f>IF(D67="F",0,IF(WEEKDAY($A67,2)=5,INDEX(TimerFr,MATCH(D67,FaseKode,0)),INDEX(TimerMT,MATCH(D67,FaseKode,0))))</f>
        <v/>
      </c>
      <c r="H67">
        <f>IF(OR(H$4="",$A67&gt;TODAY()),0,IF(OR(INDEX($B67:$D67,H$5)="F",AND(H$6&gt;0,$A67&lt;H$6),AND(H$7&gt;0,$A67&gt;H$7)),0,MAX(0,ROUND((INDEX($E67:$G67,H$5)-SUMIFS(TF_Timer,TF_Tekniker,H$4,TF_Dato,$A67))*2,0)/2)))</f>
        <v/>
      </c>
      <c r="I67">
        <f>IF(OR(I$4="",$A67&gt;TODAY()),0,IF(OR(INDEX($B67:$D67,I$5)="F",AND(I$6&gt;0,$A67&lt;I$6),AND(I$7&gt;0,$A67&gt;I$7)),0,MAX(0,ROUND((INDEX($E67:$G67,I$5)-SUMIFS(TF_Timer,TF_Tekniker,I$4,TF_Dato,$A67))*2,0)/2)))</f>
        <v/>
      </c>
      <c r="J67">
        <f>IF(OR(J$4="",$A67&gt;TODAY()),0,IF(OR(INDEX($B67:$D67,J$5)="F",AND(J$6&gt;0,$A67&lt;J$6),AND(J$7&gt;0,$A67&gt;J$7)),0,MAX(0,ROUND((INDEX($E67:$G67,J$5)-SUMIFS(TF_Timer,TF_Tekniker,J$4,TF_Dato,$A67))*2,0)/2)))</f>
        <v/>
      </c>
      <c r="K67">
        <f>IF(OR(K$4="",$A67&gt;TODAY()),0,IF(OR(INDEX($B67:$D67,K$5)="F",AND(K$6&gt;0,$A67&lt;K$6),AND(K$7&gt;0,$A67&gt;K$7)),0,MAX(0,ROUND((INDEX($E67:$G67,K$5)-SUMIFS(TF_Timer,TF_Tekniker,K$4,TF_Dato,$A67))*2,0)/2)))</f>
        <v/>
      </c>
      <c r="L67">
        <f>IF(OR(L$4="",$A67&gt;TODAY()),0,IF(OR(INDEX($B67:$D67,L$5)="F",AND(L$6&gt;0,$A67&lt;L$6),AND(L$7&gt;0,$A67&gt;L$7)),0,MAX(0,ROUND((INDEX($E67:$G67,L$5)-SUMIFS(TF_Timer,TF_Tekniker,L$4,TF_Dato,$A67))*2,0)/2)))</f>
        <v/>
      </c>
      <c r="M67">
        <f>IF(OR(M$4="",$A67&gt;TODAY()),0,IF(OR(INDEX($B67:$D67,M$5)="F",AND(M$6&gt;0,$A67&lt;M$6),AND(M$7&gt;0,$A67&gt;M$7)),0,MAX(0,ROUND((INDEX($E67:$G67,M$5)-SUMIFS(TF_Timer,TF_Tekniker,M$4,TF_Dato,$A67))*2,0)/2)))</f>
        <v/>
      </c>
      <c r="N67">
        <f>IF(OR(N$4="",$A67&gt;TODAY()),0,IF(OR(INDEX($B67:$D67,N$5)="F",AND(N$6&gt;0,$A67&lt;N$6),AND(N$7&gt;0,$A67&gt;N$7)),0,MAX(0,ROUND((INDEX($E67:$G67,N$5)-SUMIFS(TF_Timer,TF_Tekniker,N$4,TF_Dato,$A67))*2,0)/2)))</f>
        <v/>
      </c>
      <c r="O67">
        <f>IF(OR(O$4="",$A67&gt;TODAY()),0,IF(OR(INDEX($B67:$D67,O$5)="F",AND(O$6&gt;0,$A67&lt;O$6),AND(O$7&gt;0,$A67&gt;O$7)),0,MAX(0,ROUND((INDEX($E67:$G67,O$5)-SUMIFS(TF_Timer,TF_Tekniker,O$4,TF_Dato,$A67))*2,0)/2)))</f>
        <v/>
      </c>
      <c r="P67">
        <f>IF(OR(P$4="",$A67&gt;TODAY()),0,IF(OR(INDEX($B67:$D67,P$5)="F",AND(P$6&gt;0,$A67&lt;P$6),AND(P$7&gt;0,$A67&gt;P$7)),0,MAX(0,ROUND((INDEX($E67:$G67,P$5)-SUMIFS(TF_Timer,TF_Tekniker,P$4,TF_Dato,$A67))*2,0)/2)))</f>
        <v/>
      </c>
      <c r="Q67">
        <f>IF(OR(Q$4="",$A67&gt;TODAY()),0,IF(OR(INDEX($B67:$D67,Q$5)="F",AND(Q$6&gt;0,$A67&lt;Q$6),AND(Q$7&gt;0,$A67&gt;Q$7)),0,MAX(0,ROUND((INDEX($E67:$G67,Q$5)-SUMIFS(TF_Timer,TF_Tekniker,Q$4,TF_Dato,$A67))*2,0)/2)))</f>
        <v/>
      </c>
      <c r="R67">
        <f>IF(OR(R$4="",$A67&gt;TODAY()),0,IF(OR(INDEX($B67:$D67,R$5)="F",AND(R$6&gt;0,$A67&lt;R$6),AND(R$7&gt;0,$A67&gt;R$7)),0,MAX(0,ROUND((INDEX($E67:$G67,R$5)-SUMIFS(TF_Timer,TF_Tekniker,R$4,TF_Dato,$A67))*2,0)/2)))</f>
        <v/>
      </c>
      <c r="S67">
        <f>IF(OR(S$4="",$A67&gt;TODAY()),0,IF(OR(INDEX($B67:$D67,S$5)="F",AND(S$6&gt;0,$A67&lt;S$6),AND(S$7&gt;0,$A67&gt;S$7)),0,MAX(0,ROUND((INDEX($E67:$G67,S$5)-SUMIFS(TF_Timer,TF_Tekniker,S$4,TF_Dato,$A67))*2,0)/2)))</f>
        <v/>
      </c>
      <c r="T67">
        <f>IF(OR(T$4="",$A67&gt;TODAY()),0,IF(OR(INDEX($B67:$D67,T$5)="F",AND(T$6&gt;0,$A67&lt;T$6),AND(T$7&gt;0,$A67&gt;T$7)),0,MAX(0,ROUND((INDEX($E67:$G67,T$5)-SUMIFS(TF_Timer,TF_Tekniker,T$4,TF_Dato,$A67))*2,0)/2)))</f>
        <v/>
      </c>
      <c r="U67">
        <f>IF(OR(U$4="",$A67&gt;TODAY()),0,IF(OR(INDEX($B67:$D67,U$5)="F",AND(U$6&gt;0,$A67&lt;U$6),AND(U$7&gt;0,$A67&gt;U$7)),0,MAX(0,ROUND((INDEX($E67:$G67,U$5)-SUMIFS(TF_Timer,TF_Tekniker,U$4,TF_Dato,$A67))*2,0)/2)))</f>
        <v/>
      </c>
      <c r="V67">
        <f>IF(OR(V$4="",$A67&gt;TODAY()),0,IF(OR(INDEX($B67:$D67,V$5)="F",AND(V$6&gt;0,$A67&lt;V$6),AND(V$7&gt;0,$A67&gt;V$7)),0,MAX(0,ROUND((INDEX($E67:$G67,V$5)-SUMIFS(TF_Timer,TF_Tekniker,V$4,TF_Dato,$A67))*2,0)/2)))</f>
        <v/>
      </c>
      <c r="W67">
        <f>IF(OR(W$4="",$A67&gt;TODAY()),0,IF(OR(INDEX($B67:$D67,W$5)="F",AND(W$6&gt;0,$A67&lt;W$6),AND(W$7&gt;0,$A67&gt;W$7)),0,MAX(0,ROUND((INDEX($E67:$G67,W$5)-SUMIFS(TF_Timer,TF_Tekniker,W$4,TF_Dato,$A67))*2,0)/2)))</f>
        <v/>
      </c>
      <c r="X67">
        <f>IF(OR(X$4="",$A67&gt;TODAY()),0,IF(OR(INDEX($B67:$D67,X$5)="F",AND(X$6&gt;0,$A67&lt;X$6),AND(X$7&gt;0,$A67&gt;X$7)),0,MAX(0,ROUND((INDEX($E67:$G67,X$5)-SUMIFS(TF_Timer,TF_Tekniker,X$4,TF_Dato,$A67))*2,0)/2)))</f>
        <v/>
      </c>
      <c r="Y67">
        <f>IF(OR(Y$4="",$A67&gt;TODAY()),0,IF(OR(INDEX($B67:$D67,Y$5)="F",AND(Y$6&gt;0,$A67&lt;Y$6),AND(Y$7&gt;0,$A67&gt;Y$7)),0,MAX(0,ROUND((INDEX($E67:$G67,Y$5)-SUMIFS(TF_Timer,TF_Tekniker,Y$4,TF_Dato,$A67))*2,0)/2)))</f>
        <v/>
      </c>
      <c r="Z67">
        <f>IF(OR(Z$4="",$A67&gt;TODAY()),0,IF(OR(INDEX($B67:$D67,Z$5)="F",AND(Z$6&gt;0,$A67&lt;Z$6),AND(Z$7&gt;0,$A67&gt;Z$7)),0,MAX(0,ROUND((INDEX($E67:$G67,Z$5)-SUMIFS(TF_Timer,TF_Tekniker,Z$4,TF_Dato,$A67))*2,0)/2)))</f>
        <v/>
      </c>
      <c r="AA67">
        <f>IF(OR(AA$4="",$A67&gt;TODAY()),0,IF(OR(INDEX($B67:$D67,AA$5)="F",AND(AA$6&gt;0,$A67&lt;AA$6),AND(AA$7&gt;0,$A67&gt;AA$7)),0,MAX(0,ROUND((INDEX($E67:$G67,AA$5)-SUMIFS(TF_Timer,TF_Tekniker,AA$4,TF_Dato,$A67))*2,0)/2)))</f>
        <v/>
      </c>
      <c r="AB67">
        <f>IF(OR(AB$4="",$A67&gt;TODAY()),0,IF(OR(INDEX($B67:$D67,AB$5)="F",AND(AB$6&gt;0,$A67&lt;AB$6),AND(AB$7&gt;0,$A67&gt;AB$7)),0,MAX(0,ROUND((INDEX($E67:$G67,AB$5)-SUMIFS(TF_Timer,TF_Tekniker,AB$4,TF_Dato,$A67))*2,0)/2)))</f>
        <v/>
      </c>
      <c r="AC67">
        <f>IF(OR(AC$4="",$A67&gt;TODAY()),0,IF(OR(INDEX($B67:$D67,AC$5)="F",AND(AC$6&gt;0,$A67&lt;AC$6),AND(AC$7&gt;0,$A67&gt;AC$7)),0,MAX(0,ROUND((INDEX($E67:$G67,AC$5)-SUMIFS(TF_Timer,TF_Tekniker,AC$4,TF_Dato,$A67))*2,0)/2)))</f>
        <v/>
      </c>
      <c r="AD67">
        <f>IF(OR(AD$4="",$A67&gt;TODAY()),0,IF(OR(INDEX($B67:$D67,AD$5)="F",AND(AD$6&gt;0,$A67&lt;AD$6),AND(AD$7&gt;0,$A67&gt;AD$7)),0,MAX(0,ROUND((INDEX($E67:$G67,AD$5)-SUMIFS(TF_Timer,TF_Tekniker,AD$4,TF_Dato,$A67))*2,0)/2)))</f>
        <v/>
      </c>
      <c r="AE67">
        <f>IF(OR(AE$4="",$A67&gt;TODAY()),0,IF(OR(INDEX($B67:$D67,AE$5)="F",AND(AE$6&gt;0,$A67&lt;AE$6),AND(AE$7&gt;0,$A67&gt;AE$7)),0,MAX(0,ROUND((INDEX($E67:$G67,AE$5)-SUMIFS(TF_Timer,TF_Tekniker,AE$4,TF_Dato,$A67))*2,0)/2)))</f>
        <v/>
      </c>
      <c r="AF67">
        <f>IF(OR(AF$4="",$A67&gt;TODAY()),0,IF(OR(INDEX($B67:$D67,AF$5)="F",AND(AF$6&gt;0,$A67&lt;AF$6),AND(AF$7&gt;0,$A67&gt;AF$7)),0,MAX(0,ROUND((INDEX($E67:$G67,AF$5)-SUMIFS(TF_Timer,TF_Tekniker,AF$4,TF_Dato,$A67))*2,0)/2)))</f>
        <v/>
      </c>
      <c r="AG67">
        <f>IF(OR(AG$4="",$A67&gt;TODAY()),0,IF(OR(INDEX($B67:$D67,AG$5)="F",AND(AG$6&gt;0,$A67&lt;AG$6),AND(AG$7&gt;0,$A67&gt;AG$7)),0,MAX(0,ROUND((INDEX($E67:$G67,AG$5)-SUMIFS(TF_Timer,TF_Tekniker,AG$4,TF_Dato,$A67))*2,0)/2)))</f>
        <v/>
      </c>
      <c r="AH67">
        <f>IF(OR(AH$4="",$A67&gt;TODAY()),0,IF(OR(INDEX($B67:$D67,AH$5)="F",AND(AH$6&gt;0,$A67&lt;AH$6),AND(AH$7&gt;0,$A67&gt;AH$7)),0,MAX(0,ROUND((INDEX($E67:$G67,AH$5)-SUMIFS(TF_Timer,TF_Tekniker,AH$4,TF_Dato,$A67))*2,0)/2)))</f>
        <v/>
      </c>
      <c r="AI67">
        <f>IF(OR(AI$4="",$A67&gt;TODAY()),0,IF(OR(INDEX($B67:$D67,AI$5)="F",AND(AI$6&gt;0,$A67&lt;AI$6),AND(AI$7&gt;0,$A67&gt;AI$7)),0,MAX(0,ROUND((INDEX($E67:$G67,AI$5)-SUMIFS(TF_Timer,TF_Tekniker,AI$4,TF_Dato,$A67))*2,0)/2)))</f>
        <v/>
      </c>
      <c r="AJ67">
        <f>IF(OR(AJ$4="",$A67&gt;TODAY()),0,IF(OR(INDEX($B67:$D67,AJ$5)="F",AND(AJ$6&gt;0,$A67&lt;AJ$6),AND(AJ$7&gt;0,$A67&gt;AJ$7)),0,MAX(0,ROUND((INDEX($E67:$G67,AJ$5)-SUMIFS(TF_Timer,TF_Tekniker,AJ$4,TF_Dato,$A67))*2,0)/2)))</f>
        <v/>
      </c>
      <c r="AK67">
        <f>IF(OR(AK$4="",$A67&gt;TODAY()),0,IF(OR(INDEX($B67:$D67,AK$5)="F",AND(AK$6&gt;0,$A67&lt;AK$6),AND(AK$7&gt;0,$A67&gt;AK$7)),0,MAX(0,ROUND((INDEX($E67:$G67,AK$5)-SUMIFS(TF_Timer,TF_Tekniker,AK$4,TF_Dato,$A67))*2,0)/2)))</f>
        <v/>
      </c>
      <c r="AL67">
        <f>IF(OR(AL$4="",$A67&gt;TODAY()),0,IF(OR(INDEX($B67:$D67,AL$5)="F",AND(AL$6&gt;0,$A67&lt;AL$6),AND(AL$7&gt;0,$A67&gt;AL$7)),0,MAX(0,ROUND((INDEX($E67:$G67,AL$5)-SUMIFS(TF_Timer,TF_Tekniker,AL$4,TF_Dato,$A67))*2,0)/2)))</f>
        <v/>
      </c>
      <c r="AM67">
        <f>IF(OR(AM$4="",$A67&gt;TODAY()),0,IF(OR(INDEX($B67:$D67,AM$5)="F",AND(AM$6&gt;0,$A67&lt;AM$6),AND(AM$7&gt;0,$A67&gt;AM$7)),0,MAX(0,ROUND((INDEX($E67:$G67,AM$5)-SUMIFS(TF_Timer,TF_Tekniker,AM$4,TF_Dato,$A67))*2,0)/2)))</f>
        <v/>
      </c>
      <c r="AN67">
        <f>IF(OR(AN$4="",$A67&gt;TODAY()),0,IF(OR(INDEX($B67:$D67,AN$5)="F",AND(AN$6&gt;0,$A67&lt;AN$6),AND(AN$7&gt;0,$A67&gt;AN$7)),0,MAX(0,ROUND((INDEX($E67:$G67,AN$5)-SUMIFS(TF_Timer,TF_Tekniker,AN$4,TF_Dato,$A67))*2,0)/2)))</f>
        <v/>
      </c>
      <c r="AO67">
        <f>IF(OR(AO$4="",$A67&gt;TODAY()),0,IF(OR(INDEX($B67:$D67,AO$5)="F",AND(AO$6&gt;0,$A67&lt;AO$6),AND(AO$7&gt;0,$A67&gt;AO$7)),0,MAX(0,ROUND((INDEX($E67:$G67,AO$5)-SUMIFS(TF_Timer,TF_Tekniker,AO$4,TF_Dato,$A67))*2,0)/2)))</f>
        <v/>
      </c>
      <c r="AP67">
        <f>IF(OR(AP$4="",$A67&gt;TODAY()),0,IF(OR(INDEX($B67:$D67,AP$5)="F",AND(AP$6&gt;0,$A67&lt;AP$6),AND(AP$7&gt;0,$A67&gt;AP$7)),0,MAX(0,ROUND((INDEX($E67:$G67,AP$5)-SUMIFS(TF_Timer,TF_Tekniker,AP$4,TF_Dato,$A67))*2,0)/2)))</f>
        <v/>
      </c>
      <c r="AQ67">
        <f>IF(OR(AQ$4="",$A67&gt;TODAY()),0,IF(OR(INDEX($B67:$D67,AQ$5)="F",AND(AQ$6&gt;0,$A67&lt;AQ$6),AND(AQ$7&gt;0,$A67&gt;AQ$7)),0,MAX(0,ROUND((INDEX($E67:$G67,AQ$5)-SUMIFS(TF_Timer,TF_Tekniker,AQ$4,TF_Dato,$A67))*2,0)/2)))</f>
        <v/>
      </c>
      <c r="AR67">
        <f>IF(OR(AR$4="",$A67&gt;TODAY()),0,IF(OR(INDEX($B67:$D67,AR$5)="F",AND(AR$6&gt;0,$A67&lt;AR$6),AND(AR$7&gt;0,$A67&gt;AR$7)),0,MAX(0,ROUND((INDEX($E67:$G67,AR$5)-SUMIFS(TF_Timer,TF_Tekniker,AR$4,TF_Dato,$A67))*2,0)/2)))</f>
        <v/>
      </c>
      <c r="AS67">
        <f>IF(OR(AS$4="",$A67&gt;TODAY()),0,IF(OR(INDEX($B67:$D67,AS$5)="F",AND(AS$6&gt;0,$A67&lt;AS$6),AND(AS$7&gt;0,$A67&gt;AS$7)),0,MAX(0,ROUND((INDEX($E67:$G67,AS$5)-SUMIFS(TF_Timer,TF_Tekniker,AS$4,TF_Dato,$A67))*2,0)/2)))</f>
        <v/>
      </c>
      <c r="AT67">
        <f>IF(OR(AT$4="",$A67&gt;TODAY()),0,IF(OR(INDEX($B67:$D67,AT$5)="F",AND(AT$6&gt;0,$A67&lt;AT$6),AND(AT$7&gt;0,$A67&gt;AT$7)),0,MAX(0,ROUND((INDEX($E67:$G67,AT$5)-SUMIFS(TF_Timer,TF_Tekniker,AT$4,TF_Dato,$A67))*2,0)/2)))</f>
        <v/>
      </c>
      <c r="AU67">
        <f>IF(OR(AU$4="",$A67&gt;TODAY()),0,IF(OR(INDEX($B67:$D67,AU$5)="F",AND(AU$6&gt;0,$A67&lt;AU$6),AND(AU$7&gt;0,$A67&gt;AU$7)),0,MAX(0,ROUND((INDEX($E67:$G67,AU$5)-SUMIFS(TF_Timer,TF_Tekniker,AU$4,TF_Dato,$A67))*2,0)/2)))</f>
        <v/>
      </c>
      <c r="AV67">
        <f>IF(OR(AV$4="",$A67&gt;TODAY()),0,IF(OR(INDEX($B67:$D67,AV$5)="F",AND(AV$6&gt;0,$A67&lt;AV$6),AND(AV$7&gt;0,$A67&gt;AV$7)),0,MAX(0,ROUND((INDEX($E67:$G67,AV$5)-SUMIFS(TF_Timer,TF_Tekniker,AV$4,TF_Dato,$A67))*2,0)/2)))</f>
        <v/>
      </c>
      <c r="AW67">
        <f>IF(OR(AW$4="",$A67&gt;TODAY()),0,IF(OR(INDEX($B67:$D67,AW$5)="F",AND(AW$6&gt;0,$A67&lt;AW$6),AND(AW$7&gt;0,$A67&gt;AW$7)),0,MAX(0,ROUND((INDEX($E67:$G67,AW$5)-SUMIFS(TF_Timer,TF_Tekniker,AW$4,TF_Dato,$A67))*2,0)/2)))</f>
        <v/>
      </c>
      <c r="AX67">
        <f>IF(OR(AX$4="",$A67&gt;TODAY()),0,IF(OR(INDEX($B67:$D67,AX$5)="F",AND(AX$6&gt;0,$A67&lt;AX$6),AND(AX$7&gt;0,$A67&gt;AX$7)),0,MAX(0,ROUND((INDEX($E67:$G67,AX$5)-SUMIFS(TF_Timer,TF_Tekniker,AX$4,TF_Dato,$A67))*2,0)/2)))</f>
        <v/>
      </c>
      <c r="AY67">
        <f>IF(OR(AY$4="",$A67&gt;TODAY()),0,IF(OR(INDEX($B67:$D67,AY$5)="F",AND(AY$6&gt;0,$A67&lt;AY$6),AND(AY$7&gt;0,$A67&gt;AY$7)),0,MAX(0,ROUND((INDEX($E67:$G67,AY$5)-SUMIFS(TF_Timer,TF_Tekniker,AY$4,TF_Dato,$A67))*2,0)/2)))</f>
        <v/>
      </c>
      <c r="AZ67">
        <f>IF(OR(AZ$4="",$A67&gt;TODAY()),0,IF(OR(INDEX($B67:$D67,AZ$5)="F",AND(AZ$6&gt;0,$A67&lt;AZ$6),AND(AZ$7&gt;0,$A67&gt;AZ$7)),0,MAX(0,ROUND((INDEX($E67:$G67,AZ$5)-SUMIFS(TF_Timer,TF_Tekniker,AZ$4,TF_Dato,$A67))*2,0)/2)))</f>
        <v/>
      </c>
      <c r="BA67">
        <f>IF(OR(BA$4="",$A67&gt;TODAY()),0,IF(OR(INDEX($B67:$D67,BA$5)="F",AND(BA$6&gt;0,$A67&lt;BA$6),AND(BA$7&gt;0,$A67&gt;BA$7)),0,MAX(0,ROUND((INDEX($E67:$G67,BA$5)-SUMIFS(TF_Timer,TF_Tekniker,BA$4,TF_Dato,$A67))*2,0)/2)))</f>
        <v/>
      </c>
      <c r="BB67">
        <f>IF(OR(BB$4="",$A67&gt;TODAY()),0,IF(OR(INDEX($B67:$D67,BB$5)="F",AND(BB$6&gt;0,$A67&lt;BB$6),AND(BB$7&gt;0,$A67&gt;BB$7)),0,MAX(0,ROUND((INDEX($E67:$G67,BB$5)-SUMIFS(TF_Timer,TF_Tekniker,BB$4,TF_Dato,$A67))*2,0)/2)))</f>
        <v/>
      </c>
      <c r="BC67">
        <f>IF(OR(BC$4="",$A67&gt;TODAY()),0,IF(OR(INDEX($B67:$D67,BC$5)="F",AND(BC$6&gt;0,$A67&lt;BC$6),AND(BC$7&gt;0,$A67&gt;BC$7)),0,MAX(0,ROUND((INDEX($E67:$G67,BC$5)-SUMIFS(TF_Timer,TF_Tekniker,BC$4,TF_Dato,$A67))*2,0)/2)))</f>
        <v/>
      </c>
      <c r="BD67">
        <f>IF(OR(BD$4="",$A67&gt;TODAY()),0,IF(OR(INDEX($B67:$D67,BD$5)="F",AND(BD$6&gt;0,$A67&lt;BD$6),AND(BD$7&gt;0,$A67&gt;BD$7)),0,MAX(0,ROUND((INDEX($E67:$G67,BD$5)-SUMIFS(TF_Timer,TF_Tekniker,BD$4,TF_Dato,$A67))*2,0)/2)))</f>
        <v/>
      </c>
      <c r="BE67">
        <f>IF(OR(BE$4="",$A67&gt;TODAY()),0,IF(OR(INDEX($B67:$D67,BE$5)="F",AND(BE$6&gt;0,$A67&lt;BE$6),AND(BE$7&gt;0,$A67&gt;BE$7)),0,MAX(0,ROUND((INDEX($E67:$G67,BE$5)-SUMIFS(TF_Timer,TF_Tekniker,BE$4,TF_Dato,$A67))*2,0)/2)))</f>
        <v/>
      </c>
      <c r="BF67">
        <f>IF(OR(BF$4="",$A67&gt;TODAY()),0,IF(OR(INDEX($B67:$D67,BF$5)="F",AND(BF$6&gt;0,$A67&lt;BF$6),AND(BF$7&gt;0,$A67&gt;BF$7)),0,MAX(0,ROUND((INDEX($E67:$G67,BF$5)-SUMIFS(TF_Timer,TF_Tekniker,BF$4,TF_Dato,$A67))*2,0)/2)))</f>
        <v/>
      </c>
      <c r="BG67">
        <f>IF(OR(BG$4="",$A67&gt;TODAY()),0,IF(OR(INDEX($B67:$D67,BG$5)="F",AND(BG$6&gt;0,$A67&lt;BG$6),AND(BG$7&gt;0,$A67&gt;BG$7)),0,MAX(0,ROUND((INDEX($E67:$G67,BG$5)-SUMIFS(TF_Timer,TF_Tekniker,BG$4,TF_Dato,$A67))*2,0)/2)))</f>
        <v/>
      </c>
      <c r="BH67">
        <f>IF(OR(BH$4="",$A67&gt;TODAY()),0,IF(OR(INDEX($B67:$D67,BH$5)="F",AND(BH$6&gt;0,$A67&lt;BH$6),AND(BH$7&gt;0,$A67&gt;BH$7)),0,MAX(0,ROUND((INDEX($E67:$G67,BH$5)-SUMIFS(TF_Timer,TF_Tekniker,BH$4,TF_Dato,$A67))*2,0)/2)))</f>
        <v/>
      </c>
      <c r="BI67">
        <f>IF(OR(BI$4="",$A67&gt;TODAY()),0,IF(OR(INDEX($B67:$D67,BI$5)="F",AND(BI$6&gt;0,$A67&lt;BI$6),AND(BI$7&gt;0,$A67&gt;BI$7)),0,MAX(0,ROUND((INDEX($E67:$G67,BI$5)-SUMIFS(TF_Timer,TF_Tekniker,BI$4,TF_Dato,$A67))*2,0)/2)))</f>
        <v/>
      </c>
    </row>
    <row r="68">
      <c r="A68" s="64">
        <f>A67+1</f>
        <v/>
      </c>
      <c r="B68">
        <f>IF(MOD($A68-INDEX(SkiftStart,1),Syklus)&lt;DagK,"K",IF(MOD($A68-INDEX(SkiftStart,1),Syklus)&lt;DagK+DagH,"H",IF(MOD($A68-INDEX(SkiftStart,1),Syklus)&lt;DagK+DagH+DagD,"D","F")))</f>
        <v/>
      </c>
      <c r="C68">
        <f>IF(MOD($A68-INDEX(SkiftStart,2),Syklus)&lt;DagK,"K",IF(MOD($A68-INDEX(SkiftStart,2),Syklus)&lt;DagK+DagH,"H",IF(MOD($A68-INDEX(SkiftStart,2),Syklus)&lt;DagK+DagH+DagD,"D","F")))</f>
        <v/>
      </c>
      <c r="D68">
        <f>IF(MOD($A68-INDEX(SkiftStart,3),Syklus)&lt;DagK,"K",IF(MOD($A68-INDEX(SkiftStart,3),Syklus)&lt;DagK+DagH,"H",IF(MOD($A68-INDEX(SkiftStart,3),Syklus)&lt;DagK+DagH+DagD,"D","F")))</f>
        <v/>
      </c>
      <c r="E68">
        <f>IF(B68="F",0,IF(WEEKDAY($A68,2)=5,INDEX(TimerFr,MATCH(B68,FaseKode,0)),INDEX(TimerMT,MATCH(B68,FaseKode,0))))</f>
        <v/>
      </c>
      <c r="F68">
        <f>IF(C68="F",0,IF(WEEKDAY($A68,2)=5,INDEX(TimerFr,MATCH(C68,FaseKode,0)),INDEX(TimerMT,MATCH(C68,FaseKode,0))))</f>
        <v/>
      </c>
      <c r="G68">
        <f>IF(D68="F",0,IF(WEEKDAY($A68,2)=5,INDEX(TimerFr,MATCH(D68,FaseKode,0)),INDEX(TimerMT,MATCH(D68,FaseKode,0))))</f>
        <v/>
      </c>
      <c r="H68">
        <f>IF(OR(H$4="",$A68&gt;TODAY()),0,IF(OR(INDEX($B68:$D68,H$5)="F",AND(H$6&gt;0,$A68&lt;H$6),AND(H$7&gt;0,$A68&gt;H$7)),0,MAX(0,ROUND((INDEX($E68:$G68,H$5)-SUMIFS(TF_Timer,TF_Tekniker,H$4,TF_Dato,$A68))*2,0)/2)))</f>
        <v/>
      </c>
      <c r="I68">
        <f>IF(OR(I$4="",$A68&gt;TODAY()),0,IF(OR(INDEX($B68:$D68,I$5)="F",AND(I$6&gt;0,$A68&lt;I$6),AND(I$7&gt;0,$A68&gt;I$7)),0,MAX(0,ROUND((INDEX($E68:$G68,I$5)-SUMIFS(TF_Timer,TF_Tekniker,I$4,TF_Dato,$A68))*2,0)/2)))</f>
        <v/>
      </c>
      <c r="J68">
        <f>IF(OR(J$4="",$A68&gt;TODAY()),0,IF(OR(INDEX($B68:$D68,J$5)="F",AND(J$6&gt;0,$A68&lt;J$6),AND(J$7&gt;0,$A68&gt;J$7)),0,MAX(0,ROUND((INDEX($E68:$G68,J$5)-SUMIFS(TF_Timer,TF_Tekniker,J$4,TF_Dato,$A68))*2,0)/2)))</f>
        <v/>
      </c>
      <c r="K68">
        <f>IF(OR(K$4="",$A68&gt;TODAY()),0,IF(OR(INDEX($B68:$D68,K$5)="F",AND(K$6&gt;0,$A68&lt;K$6),AND(K$7&gt;0,$A68&gt;K$7)),0,MAX(0,ROUND((INDEX($E68:$G68,K$5)-SUMIFS(TF_Timer,TF_Tekniker,K$4,TF_Dato,$A68))*2,0)/2)))</f>
        <v/>
      </c>
      <c r="L68">
        <f>IF(OR(L$4="",$A68&gt;TODAY()),0,IF(OR(INDEX($B68:$D68,L$5)="F",AND(L$6&gt;0,$A68&lt;L$6),AND(L$7&gt;0,$A68&gt;L$7)),0,MAX(0,ROUND((INDEX($E68:$G68,L$5)-SUMIFS(TF_Timer,TF_Tekniker,L$4,TF_Dato,$A68))*2,0)/2)))</f>
        <v/>
      </c>
      <c r="M68">
        <f>IF(OR(M$4="",$A68&gt;TODAY()),0,IF(OR(INDEX($B68:$D68,M$5)="F",AND(M$6&gt;0,$A68&lt;M$6),AND(M$7&gt;0,$A68&gt;M$7)),0,MAX(0,ROUND((INDEX($E68:$G68,M$5)-SUMIFS(TF_Timer,TF_Tekniker,M$4,TF_Dato,$A68))*2,0)/2)))</f>
        <v/>
      </c>
      <c r="N68">
        <f>IF(OR(N$4="",$A68&gt;TODAY()),0,IF(OR(INDEX($B68:$D68,N$5)="F",AND(N$6&gt;0,$A68&lt;N$6),AND(N$7&gt;0,$A68&gt;N$7)),0,MAX(0,ROUND((INDEX($E68:$G68,N$5)-SUMIFS(TF_Timer,TF_Tekniker,N$4,TF_Dato,$A68))*2,0)/2)))</f>
        <v/>
      </c>
      <c r="O68">
        <f>IF(OR(O$4="",$A68&gt;TODAY()),0,IF(OR(INDEX($B68:$D68,O$5)="F",AND(O$6&gt;0,$A68&lt;O$6),AND(O$7&gt;0,$A68&gt;O$7)),0,MAX(0,ROUND((INDEX($E68:$G68,O$5)-SUMIFS(TF_Timer,TF_Tekniker,O$4,TF_Dato,$A68))*2,0)/2)))</f>
        <v/>
      </c>
      <c r="P68">
        <f>IF(OR(P$4="",$A68&gt;TODAY()),0,IF(OR(INDEX($B68:$D68,P$5)="F",AND(P$6&gt;0,$A68&lt;P$6),AND(P$7&gt;0,$A68&gt;P$7)),0,MAX(0,ROUND((INDEX($E68:$G68,P$5)-SUMIFS(TF_Timer,TF_Tekniker,P$4,TF_Dato,$A68))*2,0)/2)))</f>
        <v/>
      </c>
      <c r="Q68">
        <f>IF(OR(Q$4="",$A68&gt;TODAY()),0,IF(OR(INDEX($B68:$D68,Q$5)="F",AND(Q$6&gt;0,$A68&lt;Q$6),AND(Q$7&gt;0,$A68&gt;Q$7)),0,MAX(0,ROUND((INDEX($E68:$G68,Q$5)-SUMIFS(TF_Timer,TF_Tekniker,Q$4,TF_Dato,$A68))*2,0)/2)))</f>
        <v/>
      </c>
      <c r="R68">
        <f>IF(OR(R$4="",$A68&gt;TODAY()),0,IF(OR(INDEX($B68:$D68,R$5)="F",AND(R$6&gt;0,$A68&lt;R$6),AND(R$7&gt;0,$A68&gt;R$7)),0,MAX(0,ROUND((INDEX($E68:$G68,R$5)-SUMIFS(TF_Timer,TF_Tekniker,R$4,TF_Dato,$A68))*2,0)/2)))</f>
        <v/>
      </c>
      <c r="S68">
        <f>IF(OR(S$4="",$A68&gt;TODAY()),0,IF(OR(INDEX($B68:$D68,S$5)="F",AND(S$6&gt;0,$A68&lt;S$6),AND(S$7&gt;0,$A68&gt;S$7)),0,MAX(0,ROUND((INDEX($E68:$G68,S$5)-SUMIFS(TF_Timer,TF_Tekniker,S$4,TF_Dato,$A68))*2,0)/2)))</f>
        <v/>
      </c>
      <c r="T68">
        <f>IF(OR(T$4="",$A68&gt;TODAY()),0,IF(OR(INDEX($B68:$D68,T$5)="F",AND(T$6&gt;0,$A68&lt;T$6),AND(T$7&gt;0,$A68&gt;T$7)),0,MAX(0,ROUND((INDEX($E68:$G68,T$5)-SUMIFS(TF_Timer,TF_Tekniker,T$4,TF_Dato,$A68))*2,0)/2)))</f>
        <v/>
      </c>
      <c r="U68">
        <f>IF(OR(U$4="",$A68&gt;TODAY()),0,IF(OR(INDEX($B68:$D68,U$5)="F",AND(U$6&gt;0,$A68&lt;U$6),AND(U$7&gt;0,$A68&gt;U$7)),0,MAX(0,ROUND((INDEX($E68:$G68,U$5)-SUMIFS(TF_Timer,TF_Tekniker,U$4,TF_Dato,$A68))*2,0)/2)))</f>
        <v/>
      </c>
      <c r="V68">
        <f>IF(OR(V$4="",$A68&gt;TODAY()),0,IF(OR(INDEX($B68:$D68,V$5)="F",AND(V$6&gt;0,$A68&lt;V$6),AND(V$7&gt;0,$A68&gt;V$7)),0,MAX(0,ROUND((INDEX($E68:$G68,V$5)-SUMIFS(TF_Timer,TF_Tekniker,V$4,TF_Dato,$A68))*2,0)/2)))</f>
        <v/>
      </c>
      <c r="W68">
        <f>IF(OR(W$4="",$A68&gt;TODAY()),0,IF(OR(INDEX($B68:$D68,W$5)="F",AND(W$6&gt;0,$A68&lt;W$6),AND(W$7&gt;0,$A68&gt;W$7)),0,MAX(0,ROUND((INDEX($E68:$G68,W$5)-SUMIFS(TF_Timer,TF_Tekniker,W$4,TF_Dato,$A68))*2,0)/2)))</f>
        <v/>
      </c>
      <c r="X68">
        <f>IF(OR(X$4="",$A68&gt;TODAY()),0,IF(OR(INDEX($B68:$D68,X$5)="F",AND(X$6&gt;0,$A68&lt;X$6),AND(X$7&gt;0,$A68&gt;X$7)),0,MAX(0,ROUND((INDEX($E68:$G68,X$5)-SUMIFS(TF_Timer,TF_Tekniker,X$4,TF_Dato,$A68))*2,0)/2)))</f>
        <v/>
      </c>
      <c r="Y68">
        <f>IF(OR(Y$4="",$A68&gt;TODAY()),0,IF(OR(INDEX($B68:$D68,Y$5)="F",AND(Y$6&gt;0,$A68&lt;Y$6),AND(Y$7&gt;0,$A68&gt;Y$7)),0,MAX(0,ROUND((INDEX($E68:$G68,Y$5)-SUMIFS(TF_Timer,TF_Tekniker,Y$4,TF_Dato,$A68))*2,0)/2)))</f>
        <v/>
      </c>
      <c r="Z68">
        <f>IF(OR(Z$4="",$A68&gt;TODAY()),0,IF(OR(INDEX($B68:$D68,Z$5)="F",AND(Z$6&gt;0,$A68&lt;Z$6),AND(Z$7&gt;0,$A68&gt;Z$7)),0,MAX(0,ROUND((INDEX($E68:$G68,Z$5)-SUMIFS(TF_Timer,TF_Tekniker,Z$4,TF_Dato,$A68))*2,0)/2)))</f>
        <v/>
      </c>
      <c r="AA68">
        <f>IF(OR(AA$4="",$A68&gt;TODAY()),0,IF(OR(INDEX($B68:$D68,AA$5)="F",AND(AA$6&gt;0,$A68&lt;AA$6),AND(AA$7&gt;0,$A68&gt;AA$7)),0,MAX(0,ROUND((INDEX($E68:$G68,AA$5)-SUMIFS(TF_Timer,TF_Tekniker,AA$4,TF_Dato,$A68))*2,0)/2)))</f>
        <v/>
      </c>
      <c r="AB68">
        <f>IF(OR(AB$4="",$A68&gt;TODAY()),0,IF(OR(INDEX($B68:$D68,AB$5)="F",AND(AB$6&gt;0,$A68&lt;AB$6),AND(AB$7&gt;0,$A68&gt;AB$7)),0,MAX(0,ROUND((INDEX($E68:$G68,AB$5)-SUMIFS(TF_Timer,TF_Tekniker,AB$4,TF_Dato,$A68))*2,0)/2)))</f>
        <v/>
      </c>
      <c r="AC68">
        <f>IF(OR(AC$4="",$A68&gt;TODAY()),0,IF(OR(INDEX($B68:$D68,AC$5)="F",AND(AC$6&gt;0,$A68&lt;AC$6),AND(AC$7&gt;0,$A68&gt;AC$7)),0,MAX(0,ROUND((INDEX($E68:$G68,AC$5)-SUMIFS(TF_Timer,TF_Tekniker,AC$4,TF_Dato,$A68))*2,0)/2)))</f>
        <v/>
      </c>
      <c r="AD68">
        <f>IF(OR(AD$4="",$A68&gt;TODAY()),0,IF(OR(INDEX($B68:$D68,AD$5)="F",AND(AD$6&gt;0,$A68&lt;AD$6),AND(AD$7&gt;0,$A68&gt;AD$7)),0,MAX(0,ROUND((INDEX($E68:$G68,AD$5)-SUMIFS(TF_Timer,TF_Tekniker,AD$4,TF_Dato,$A68))*2,0)/2)))</f>
        <v/>
      </c>
      <c r="AE68">
        <f>IF(OR(AE$4="",$A68&gt;TODAY()),0,IF(OR(INDEX($B68:$D68,AE$5)="F",AND(AE$6&gt;0,$A68&lt;AE$6),AND(AE$7&gt;0,$A68&gt;AE$7)),0,MAX(0,ROUND((INDEX($E68:$G68,AE$5)-SUMIFS(TF_Timer,TF_Tekniker,AE$4,TF_Dato,$A68))*2,0)/2)))</f>
        <v/>
      </c>
      <c r="AF68">
        <f>IF(OR(AF$4="",$A68&gt;TODAY()),0,IF(OR(INDEX($B68:$D68,AF$5)="F",AND(AF$6&gt;0,$A68&lt;AF$6),AND(AF$7&gt;0,$A68&gt;AF$7)),0,MAX(0,ROUND((INDEX($E68:$G68,AF$5)-SUMIFS(TF_Timer,TF_Tekniker,AF$4,TF_Dato,$A68))*2,0)/2)))</f>
        <v/>
      </c>
      <c r="AG68">
        <f>IF(OR(AG$4="",$A68&gt;TODAY()),0,IF(OR(INDEX($B68:$D68,AG$5)="F",AND(AG$6&gt;0,$A68&lt;AG$6),AND(AG$7&gt;0,$A68&gt;AG$7)),0,MAX(0,ROUND((INDEX($E68:$G68,AG$5)-SUMIFS(TF_Timer,TF_Tekniker,AG$4,TF_Dato,$A68))*2,0)/2)))</f>
        <v/>
      </c>
      <c r="AH68">
        <f>IF(OR(AH$4="",$A68&gt;TODAY()),0,IF(OR(INDEX($B68:$D68,AH$5)="F",AND(AH$6&gt;0,$A68&lt;AH$6),AND(AH$7&gt;0,$A68&gt;AH$7)),0,MAX(0,ROUND((INDEX($E68:$G68,AH$5)-SUMIFS(TF_Timer,TF_Tekniker,AH$4,TF_Dato,$A68))*2,0)/2)))</f>
        <v/>
      </c>
      <c r="AI68">
        <f>IF(OR(AI$4="",$A68&gt;TODAY()),0,IF(OR(INDEX($B68:$D68,AI$5)="F",AND(AI$6&gt;0,$A68&lt;AI$6),AND(AI$7&gt;0,$A68&gt;AI$7)),0,MAX(0,ROUND((INDEX($E68:$G68,AI$5)-SUMIFS(TF_Timer,TF_Tekniker,AI$4,TF_Dato,$A68))*2,0)/2)))</f>
        <v/>
      </c>
      <c r="AJ68">
        <f>IF(OR(AJ$4="",$A68&gt;TODAY()),0,IF(OR(INDEX($B68:$D68,AJ$5)="F",AND(AJ$6&gt;0,$A68&lt;AJ$6),AND(AJ$7&gt;0,$A68&gt;AJ$7)),0,MAX(0,ROUND((INDEX($E68:$G68,AJ$5)-SUMIFS(TF_Timer,TF_Tekniker,AJ$4,TF_Dato,$A68))*2,0)/2)))</f>
        <v/>
      </c>
      <c r="AK68">
        <f>IF(OR(AK$4="",$A68&gt;TODAY()),0,IF(OR(INDEX($B68:$D68,AK$5)="F",AND(AK$6&gt;0,$A68&lt;AK$6),AND(AK$7&gt;0,$A68&gt;AK$7)),0,MAX(0,ROUND((INDEX($E68:$G68,AK$5)-SUMIFS(TF_Timer,TF_Tekniker,AK$4,TF_Dato,$A68))*2,0)/2)))</f>
        <v/>
      </c>
      <c r="AL68">
        <f>IF(OR(AL$4="",$A68&gt;TODAY()),0,IF(OR(INDEX($B68:$D68,AL$5)="F",AND(AL$6&gt;0,$A68&lt;AL$6),AND(AL$7&gt;0,$A68&gt;AL$7)),0,MAX(0,ROUND((INDEX($E68:$G68,AL$5)-SUMIFS(TF_Timer,TF_Tekniker,AL$4,TF_Dato,$A68))*2,0)/2)))</f>
        <v/>
      </c>
      <c r="AM68">
        <f>IF(OR(AM$4="",$A68&gt;TODAY()),0,IF(OR(INDEX($B68:$D68,AM$5)="F",AND(AM$6&gt;0,$A68&lt;AM$6),AND(AM$7&gt;0,$A68&gt;AM$7)),0,MAX(0,ROUND((INDEX($E68:$G68,AM$5)-SUMIFS(TF_Timer,TF_Tekniker,AM$4,TF_Dato,$A68))*2,0)/2)))</f>
        <v/>
      </c>
      <c r="AN68">
        <f>IF(OR(AN$4="",$A68&gt;TODAY()),0,IF(OR(INDEX($B68:$D68,AN$5)="F",AND(AN$6&gt;0,$A68&lt;AN$6),AND(AN$7&gt;0,$A68&gt;AN$7)),0,MAX(0,ROUND((INDEX($E68:$G68,AN$5)-SUMIFS(TF_Timer,TF_Tekniker,AN$4,TF_Dato,$A68))*2,0)/2)))</f>
        <v/>
      </c>
      <c r="AO68">
        <f>IF(OR(AO$4="",$A68&gt;TODAY()),0,IF(OR(INDEX($B68:$D68,AO$5)="F",AND(AO$6&gt;0,$A68&lt;AO$6),AND(AO$7&gt;0,$A68&gt;AO$7)),0,MAX(0,ROUND((INDEX($E68:$G68,AO$5)-SUMIFS(TF_Timer,TF_Tekniker,AO$4,TF_Dato,$A68))*2,0)/2)))</f>
        <v/>
      </c>
      <c r="AP68">
        <f>IF(OR(AP$4="",$A68&gt;TODAY()),0,IF(OR(INDEX($B68:$D68,AP$5)="F",AND(AP$6&gt;0,$A68&lt;AP$6),AND(AP$7&gt;0,$A68&gt;AP$7)),0,MAX(0,ROUND((INDEX($E68:$G68,AP$5)-SUMIFS(TF_Timer,TF_Tekniker,AP$4,TF_Dato,$A68))*2,0)/2)))</f>
        <v/>
      </c>
      <c r="AQ68">
        <f>IF(OR(AQ$4="",$A68&gt;TODAY()),0,IF(OR(INDEX($B68:$D68,AQ$5)="F",AND(AQ$6&gt;0,$A68&lt;AQ$6),AND(AQ$7&gt;0,$A68&gt;AQ$7)),0,MAX(0,ROUND((INDEX($E68:$G68,AQ$5)-SUMIFS(TF_Timer,TF_Tekniker,AQ$4,TF_Dato,$A68))*2,0)/2)))</f>
        <v/>
      </c>
      <c r="AR68">
        <f>IF(OR(AR$4="",$A68&gt;TODAY()),0,IF(OR(INDEX($B68:$D68,AR$5)="F",AND(AR$6&gt;0,$A68&lt;AR$6),AND(AR$7&gt;0,$A68&gt;AR$7)),0,MAX(0,ROUND((INDEX($E68:$G68,AR$5)-SUMIFS(TF_Timer,TF_Tekniker,AR$4,TF_Dato,$A68))*2,0)/2)))</f>
        <v/>
      </c>
      <c r="AS68">
        <f>IF(OR(AS$4="",$A68&gt;TODAY()),0,IF(OR(INDEX($B68:$D68,AS$5)="F",AND(AS$6&gt;0,$A68&lt;AS$6),AND(AS$7&gt;0,$A68&gt;AS$7)),0,MAX(0,ROUND((INDEX($E68:$G68,AS$5)-SUMIFS(TF_Timer,TF_Tekniker,AS$4,TF_Dato,$A68))*2,0)/2)))</f>
        <v/>
      </c>
      <c r="AT68">
        <f>IF(OR(AT$4="",$A68&gt;TODAY()),0,IF(OR(INDEX($B68:$D68,AT$5)="F",AND(AT$6&gt;0,$A68&lt;AT$6),AND(AT$7&gt;0,$A68&gt;AT$7)),0,MAX(0,ROUND((INDEX($E68:$G68,AT$5)-SUMIFS(TF_Timer,TF_Tekniker,AT$4,TF_Dato,$A68))*2,0)/2)))</f>
        <v/>
      </c>
      <c r="AU68">
        <f>IF(OR(AU$4="",$A68&gt;TODAY()),0,IF(OR(INDEX($B68:$D68,AU$5)="F",AND(AU$6&gt;0,$A68&lt;AU$6),AND(AU$7&gt;0,$A68&gt;AU$7)),0,MAX(0,ROUND((INDEX($E68:$G68,AU$5)-SUMIFS(TF_Timer,TF_Tekniker,AU$4,TF_Dato,$A68))*2,0)/2)))</f>
        <v/>
      </c>
      <c r="AV68">
        <f>IF(OR(AV$4="",$A68&gt;TODAY()),0,IF(OR(INDEX($B68:$D68,AV$5)="F",AND(AV$6&gt;0,$A68&lt;AV$6),AND(AV$7&gt;0,$A68&gt;AV$7)),0,MAX(0,ROUND((INDEX($E68:$G68,AV$5)-SUMIFS(TF_Timer,TF_Tekniker,AV$4,TF_Dato,$A68))*2,0)/2)))</f>
        <v/>
      </c>
      <c r="AW68">
        <f>IF(OR(AW$4="",$A68&gt;TODAY()),0,IF(OR(INDEX($B68:$D68,AW$5)="F",AND(AW$6&gt;0,$A68&lt;AW$6),AND(AW$7&gt;0,$A68&gt;AW$7)),0,MAX(0,ROUND((INDEX($E68:$G68,AW$5)-SUMIFS(TF_Timer,TF_Tekniker,AW$4,TF_Dato,$A68))*2,0)/2)))</f>
        <v/>
      </c>
      <c r="AX68">
        <f>IF(OR(AX$4="",$A68&gt;TODAY()),0,IF(OR(INDEX($B68:$D68,AX$5)="F",AND(AX$6&gt;0,$A68&lt;AX$6),AND(AX$7&gt;0,$A68&gt;AX$7)),0,MAX(0,ROUND((INDEX($E68:$G68,AX$5)-SUMIFS(TF_Timer,TF_Tekniker,AX$4,TF_Dato,$A68))*2,0)/2)))</f>
        <v/>
      </c>
      <c r="AY68">
        <f>IF(OR(AY$4="",$A68&gt;TODAY()),0,IF(OR(INDEX($B68:$D68,AY$5)="F",AND(AY$6&gt;0,$A68&lt;AY$6),AND(AY$7&gt;0,$A68&gt;AY$7)),0,MAX(0,ROUND((INDEX($E68:$G68,AY$5)-SUMIFS(TF_Timer,TF_Tekniker,AY$4,TF_Dato,$A68))*2,0)/2)))</f>
        <v/>
      </c>
      <c r="AZ68">
        <f>IF(OR(AZ$4="",$A68&gt;TODAY()),0,IF(OR(INDEX($B68:$D68,AZ$5)="F",AND(AZ$6&gt;0,$A68&lt;AZ$6),AND(AZ$7&gt;0,$A68&gt;AZ$7)),0,MAX(0,ROUND((INDEX($E68:$G68,AZ$5)-SUMIFS(TF_Timer,TF_Tekniker,AZ$4,TF_Dato,$A68))*2,0)/2)))</f>
        <v/>
      </c>
      <c r="BA68">
        <f>IF(OR(BA$4="",$A68&gt;TODAY()),0,IF(OR(INDEX($B68:$D68,BA$5)="F",AND(BA$6&gt;0,$A68&lt;BA$6),AND(BA$7&gt;0,$A68&gt;BA$7)),0,MAX(0,ROUND((INDEX($E68:$G68,BA$5)-SUMIFS(TF_Timer,TF_Tekniker,BA$4,TF_Dato,$A68))*2,0)/2)))</f>
        <v/>
      </c>
      <c r="BB68">
        <f>IF(OR(BB$4="",$A68&gt;TODAY()),0,IF(OR(INDEX($B68:$D68,BB$5)="F",AND(BB$6&gt;0,$A68&lt;BB$6),AND(BB$7&gt;0,$A68&gt;BB$7)),0,MAX(0,ROUND((INDEX($E68:$G68,BB$5)-SUMIFS(TF_Timer,TF_Tekniker,BB$4,TF_Dato,$A68))*2,0)/2)))</f>
        <v/>
      </c>
      <c r="BC68">
        <f>IF(OR(BC$4="",$A68&gt;TODAY()),0,IF(OR(INDEX($B68:$D68,BC$5)="F",AND(BC$6&gt;0,$A68&lt;BC$6),AND(BC$7&gt;0,$A68&gt;BC$7)),0,MAX(0,ROUND((INDEX($E68:$G68,BC$5)-SUMIFS(TF_Timer,TF_Tekniker,BC$4,TF_Dato,$A68))*2,0)/2)))</f>
        <v/>
      </c>
      <c r="BD68">
        <f>IF(OR(BD$4="",$A68&gt;TODAY()),0,IF(OR(INDEX($B68:$D68,BD$5)="F",AND(BD$6&gt;0,$A68&lt;BD$6),AND(BD$7&gt;0,$A68&gt;BD$7)),0,MAX(0,ROUND((INDEX($E68:$G68,BD$5)-SUMIFS(TF_Timer,TF_Tekniker,BD$4,TF_Dato,$A68))*2,0)/2)))</f>
        <v/>
      </c>
      <c r="BE68">
        <f>IF(OR(BE$4="",$A68&gt;TODAY()),0,IF(OR(INDEX($B68:$D68,BE$5)="F",AND(BE$6&gt;0,$A68&lt;BE$6),AND(BE$7&gt;0,$A68&gt;BE$7)),0,MAX(0,ROUND((INDEX($E68:$G68,BE$5)-SUMIFS(TF_Timer,TF_Tekniker,BE$4,TF_Dato,$A68))*2,0)/2)))</f>
        <v/>
      </c>
      <c r="BF68">
        <f>IF(OR(BF$4="",$A68&gt;TODAY()),0,IF(OR(INDEX($B68:$D68,BF$5)="F",AND(BF$6&gt;0,$A68&lt;BF$6),AND(BF$7&gt;0,$A68&gt;BF$7)),0,MAX(0,ROUND((INDEX($E68:$G68,BF$5)-SUMIFS(TF_Timer,TF_Tekniker,BF$4,TF_Dato,$A68))*2,0)/2)))</f>
        <v/>
      </c>
      <c r="BG68">
        <f>IF(OR(BG$4="",$A68&gt;TODAY()),0,IF(OR(INDEX($B68:$D68,BG$5)="F",AND(BG$6&gt;0,$A68&lt;BG$6),AND(BG$7&gt;0,$A68&gt;BG$7)),0,MAX(0,ROUND((INDEX($E68:$G68,BG$5)-SUMIFS(TF_Timer,TF_Tekniker,BG$4,TF_Dato,$A68))*2,0)/2)))</f>
        <v/>
      </c>
      <c r="BH68">
        <f>IF(OR(BH$4="",$A68&gt;TODAY()),0,IF(OR(INDEX($B68:$D68,BH$5)="F",AND(BH$6&gt;0,$A68&lt;BH$6),AND(BH$7&gt;0,$A68&gt;BH$7)),0,MAX(0,ROUND((INDEX($E68:$G68,BH$5)-SUMIFS(TF_Timer,TF_Tekniker,BH$4,TF_Dato,$A68))*2,0)/2)))</f>
        <v/>
      </c>
      <c r="BI68">
        <f>IF(OR(BI$4="",$A68&gt;TODAY()),0,IF(OR(INDEX($B68:$D68,BI$5)="F",AND(BI$6&gt;0,$A68&lt;BI$6),AND(BI$7&gt;0,$A68&gt;BI$7)),0,MAX(0,ROUND((INDEX($E68:$G68,BI$5)-SUMIFS(TF_Timer,TF_Tekniker,BI$4,TF_Dato,$A68))*2,0)/2)))</f>
        <v/>
      </c>
    </row>
    <row r="69">
      <c r="A69" s="64">
        <f>A68+1</f>
        <v/>
      </c>
      <c r="B69">
        <f>IF(MOD($A69-INDEX(SkiftStart,1),Syklus)&lt;DagK,"K",IF(MOD($A69-INDEX(SkiftStart,1),Syklus)&lt;DagK+DagH,"H",IF(MOD($A69-INDEX(SkiftStart,1),Syklus)&lt;DagK+DagH+DagD,"D","F")))</f>
        <v/>
      </c>
      <c r="C69">
        <f>IF(MOD($A69-INDEX(SkiftStart,2),Syklus)&lt;DagK,"K",IF(MOD($A69-INDEX(SkiftStart,2),Syklus)&lt;DagK+DagH,"H",IF(MOD($A69-INDEX(SkiftStart,2),Syklus)&lt;DagK+DagH+DagD,"D","F")))</f>
        <v/>
      </c>
      <c r="D69">
        <f>IF(MOD($A69-INDEX(SkiftStart,3),Syklus)&lt;DagK,"K",IF(MOD($A69-INDEX(SkiftStart,3),Syklus)&lt;DagK+DagH,"H",IF(MOD($A69-INDEX(SkiftStart,3),Syklus)&lt;DagK+DagH+DagD,"D","F")))</f>
        <v/>
      </c>
      <c r="E69">
        <f>IF(B69="F",0,IF(WEEKDAY($A69,2)=5,INDEX(TimerFr,MATCH(B69,FaseKode,0)),INDEX(TimerMT,MATCH(B69,FaseKode,0))))</f>
        <v/>
      </c>
      <c r="F69">
        <f>IF(C69="F",0,IF(WEEKDAY($A69,2)=5,INDEX(TimerFr,MATCH(C69,FaseKode,0)),INDEX(TimerMT,MATCH(C69,FaseKode,0))))</f>
        <v/>
      </c>
      <c r="G69">
        <f>IF(D69="F",0,IF(WEEKDAY($A69,2)=5,INDEX(TimerFr,MATCH(D69,FaseKode,0)),INDEX(TimerMT,MATCH(D69,FaseKode,0))))</f>
        <v/>
      </c>
      <c r="H69">
        <f>IF(OR(H$4="",$A69&gt;TODAY()),0,IF(OR(INDEX($B69:$D69,H$5)="F",AND(H$6&gt;0,$A69&lt;H$6),AND(H$7&gt;0,$A69&gt;H$7)),0,MAX(0,ROUND((INDEX($E69:$G69,H$5)-SUMIFS(TF_Timer,TF_Tekniker,H$4,TF_Dato,$A69))*2,0)/2)))</f>
        <v/>
      </c>
      <c r="I69">
        <f>IF(OR(I$4="",$A69&gt;TODAY()),0,IF(OR(INDEX($B69:$D69,I$5)="F",AND(I$6&gt;0,$A69&lt;I$6),AND(I$7&gt;0,$A69&gt;I$7)),0,MAX(0,ROUND((INDEX($E69:$G69,I$5)-SUMIFS(TF_Timer,TF_Tekniker,I$4,TF_Dato,$A69))*2,0)/2)))</f>
        <v/>
      </c>
      <c r="J69">
        <f>IF(OR(J$4="",$A69&gt;TODAY()),0,IF(OR(INDEX($B69:$D69,J$5)="F",AND(J$6&gt;0,$A69&lt;J$6),AND(J$7&gt;0,$A69&gt;J$7)),0,MAX(0,ROUND((INDEX($E69:$G69,J$5)-SUMIFS(TF_Timer,TF_Tekniker,J$4,TF_Dato,$A69))*2,0)/2)))</f>
        <v/>
      </c>
      <c r="K69">
        <f>IF(OR(K$4="",$A69&gt;TODAY()),0,IF(OR(INDEX($B69:$D69,K$5)="F",AND(K$6&gt;0,$A69&lt;K$6),AND(K$7&gt;0,$A69&gt;K$7)),0,MAX(0,ROUND((INDEX($E69:$G69,K$5)-SUMIFS(TF_Timer,TF_Tekniker,K$4,TF_Dato,$A69))*2,0)/2)))</f>
        <v/>
      </c>
      <c r="L69">
        <f>IF(OR(L$4="",$A69&gt;TODAY()),0,IF(OR(INDEX($B69:$D69,L$5)="F",AND(L$6&gt;0,$A69&lt;L$6),AND(L$7&gt;0,$A69&gt;L$7)),0,MAX(0,ROUND((INDEX($E69:$G69,L$5)-SUMIFS(TF_Timer,TF_Tekniker,L$4,TF_Dato,$A69))*2,0)/2)))</f>
        <v/>
      </c>
      <c r="M69">
        <f>IF(OR(M$4="",$A69&gt;TODAY()),0,IF(OR(INDEX($B69:$D69,M$5)="F",AND(M$6&gt;0,$A69&lt;M$6),AND(M$7&gt;0,$A69&gt;M$7)),0,MAX(0,ROUND((INDEX($E69:$G69,M$5)-SUMIFS(TF_Timer,TF_Tekniker,M$4,TF_Dato,$A69))*2,0)/2)))</f>
        <v/>
      </c>
      <c r="N69">
        <f>IF(OR(N$4="",$A69&gt;TODAY()),0,IF(OR(INDEX($B69:$D69,N$5)="F",AND(N$6&gt;0,$A69&lt;N$6),AND(N$7&gt;0,$A69&gt;N$7)),0,MAX(0,ROUND((INDEX($E69:$G69,N$5)-SUMIFS(TF_Timer,TF_Tekniker,N$4,TF_Dato,$A69))*2,0)/2)))</f>
        <v/>
      </c>
      <c r="O69">
        <f>IF(OR(O$4="",$A69&gt;TODAY()),0,IF(OR(INDEX($B69:$D69,O$5)="F",AND(O$6&gt;0,$A69&lt;O$6),AND(O$7&gt;0,$A69&gt;O$7)),0,MAX(0,ROUND((INDEX($E69:$G69,O$5)-SUMIFS(TF_Timer,TF_Tekniker,O$4,TF_Dato,$A69))*2,0)/2)))</f>
        <v/>
      </c>
      <c r="P69">
        <f>IF(OR(P$4="",$A69&gt;TODAY()),0,IF(OR(INDEX($B69:$D69,P$5)="F",AND(P$6&gt;0,$A69&lt;P$6),AND(P$7&gt;0,$A69&gt;P$7)),0,MAX(0,ROUND((INDEX($E69:$G69,P$5)-SUMIFS(TF_Timer,TF_Tekniker,P$4,TF_Dato,$A69))*2,0)/2)))</f>
        <v/>
      </c>
      <c r="Q69">
        <f>IF(OR(Q$4="",$A69&gt;TODAY()),0,IF(OR(INDEX($B69:$D69,Q$5)="F",AND(Q$6&gt;0,$A69&lt;Q$6),AND(Q$7&gt;0,$A69&gt;Q$7)),0,MAX(0,ROUND((INDEX($E69:$G69,Q$5)-SUMIFS(TF_Timer,TF_Tekniker,Q$4,TF_Dato,$A69))*2,0)/2)))</f>
        <v/>
      </c>
      <c r="R69">
        <f>IF(OR(R$4="",$A69&gt;TODAY()),0,IF(OR(INDEX($B69:$D69,R$5)="F",AND(R$6&gt;0,$A69&lt;R$6),AND(R$7&gt;0,$A69&gt;R$7)),0,MAX(0,ROUND((INDEX($E69:$G69,R$5)-SUMIFS(TF_Timer,TF_Tekniker,R$4,TF_Dato,$A69))*2,0)/2)))</f>
        <v/>
      </c>
      <c r="S69">
        <f>IF(OR(S$4="",$A69&gt;TODAY()),0,IF(OR(INDEX($B69:$D69,S$5)="F",AND(S$6&gt;0,$A69&lt;S$6),AND(S$7&gt;0,$A69&gt;S$7)),0,MAX(0,ROUND((INDEX($E69:$G69,S$5)-SUMIFS(TF_Timer,TF_Tekniker,S$4,TF_Dato,$A69))*2,0)/2)))</f>
        <v/>
      </c>
      <c r="T69">
        <f>IF(OR(T$4="",$A69&gt;TODAY()),0,IF(OR(INDEX($B69:$D69,T$5)="F",AND(T$6&gt;0,$A69&lt;T$6),AND(T$7&gt;0,$A69&gt;T$7)),0,MAX(0,ROUND((INDEX($E69:$G69,T$5)-SUMIFS(TF_Timer,TF_Tekniker,T$4,TF_Dato,$A69))*2,0)/2)))</f>
        <v/>
      </c>
      <c r="U69">
        <f>IF(OR(U$4="",$A69&gt;TODAY()),0,IF(OR(INDEX($B69:$D69,U$5)="F",AND(U$6&gt;0,$A69&lt;U$6),AND(U$7&gt;0,$A69&gt;U$7)),0,MAX(0,ROUND((INDEX($E69:$G69,U$5)-SUMIFS(TF_Timer,TF_Tekniker,U$4,TF_Dato,$A69))*2,0)/2)))</f>
        <v/>
      </c>
      <c r="V69">
        <f>IF(OR(V$4="",$A69&gt;TODAY()),0,IF(OR(INDEX($B69:$D69,V$5)="F",AND(V$6&gt;0,$A69&lt;V$6),AND(V$7&gt;0,$A69&gt;V$7)),0,MAX(0,ROUND((INDEX($E69:$G69,V$5)-SUMIFS(TF_Timer,TF_Tekniker,V$4,TF_Dato,$A69))*2,0)/2)))</f>
        <v/>
      </c>
      <c r="W69">
        <f>IF(OR(W$4="",$A69&gt;TODAY()),0,IF(OR(INDEX($B69:$D69,W$5)="F",AND(W$6&gt;0,$A69&lt;W$6),AND(W$7&gt;0,$A69&gt;W$7)),0,MAX(0,ROUND((INDEX($E69:$G69,W$5)-SUMIFS(TF_Timer,TF_Tekniker,W$4,TF_Dato,$A69))*2,0)/2)))</f>
        <v/>
      </c>
      <c r="X69">
        <f>IF(OR(X$4="",$A69&gt;TODAY()),0,IF(OR(INDEX($B69:$D69,X$5)="F",AND(X$6&gt;0,$A69&lt;X$6),AND(X$7&gt;0,$A69&gt;X$7)),0,MAX(0,ROUND((INDEX($E69:$G69,X$5)-SUMIFS(TF_Timer,TF_Tekniker,X$4,TF_Dato,$A69))*2,0)/2)))</f>
        <v/>
      </c>
      <c r="Y69">
        <f>IF(OR(Y$4="",$A69&gt;TODAY()),0,IF(OR(INDEX($B69:$D69,Y$5)="F",AND(Y$6&gt;0,$A69&lt;Y$6),AND(Y$7&gt;0,$A69&gt;Y$7)),0,MAX(0,ROUND((INDEX($E69:$G69,Y$5)-SUMIFS(TF_Timer,TF_Tekniker,Y$4,TF_Dato,$A69))*2,0)/2)))</f>
        <v/>
      </c>
      <c r="Z69">
        <f>IF(OR(Z$4="",$A69&gt;TODAY()),0,IF(OR(INDEX($B69:$D69,Z$5)="F",AND(Z$6&gt;0,$A69&lt;Z$6),AND(Z$7&gt;0,$A69&gt;Z$7)),0,MAX(0,ROUND((INDEX($E69:$G69,Z$5)-SUMIFS(TF_Timer,TF_Tekniker,Z$4,TF_Dato,$A69))*2,0)/2)))</f>
        <v/>
      </c>
      <c r="AA69">
        <f>IF(OR(AA$4="",$A69&gt;TODAY()),0,IF(OR(INDEX($B69:$D69,AA$5)="F",AND(AA$6&gt;0,$A69&lt;AA$6),AND(AA$7&gt;0,$A69&gt;AA$7)),0,MAX(0,ROUND((INDEX($E69:$G69,AA$5)-SUMIFS(TF_Timer,TF_Tekniker,AA$4,TF_Dato,$A69))*2,0)/2)))</f>
        <v/>
      </c>
      <c r="AB69">
        <f>IF(OR(AB$4="",$A69&gt;TODAY()),0,IF(OR(INDEX($B69:$D69,AB$5)="F",AND(AB$6&gt;0,$A69&lt;AB$6),AND(AB$7&gt;0,$A69&gt;AB$7)),0,MAX(0,ROUND((INDEX($E69:$G69,AB$5)-SUMIFS(TF_Timer,TF_Tekniker,AB$4,TF_Dato,$A69))*2,0)/2)))</f>
        <v/>
      </c>
      <c r="AC69">
        <f>IF(OR(AC$4="",$A69&gt;TODAY()),0,IF(OR(INDEX($B69:$D69,AC$5)="F",AND(AC$6&gt;0,$A69&lt;AC$6),AND(AC$7&gt;0,$A69&gt;AC$7)),0,MAX(0,ROUND((INDEX($E69:$G69,AC$5)-SUMIFS(TF_Timer,TF_Tekniker,AC$4,TF_Dato,$A69))*2,0)/2)))</f>
        <v/>
      </c>
      <c r="AD69">
        <f>IF(OR(AD$4="",$A69&gt;TODAY()),0,IF(OR(INDEX($B69:$D69,AD$5)="F",AND(AD$6&gt;0,$A69&lt;AD$6),AND(AD$7&gt;0,$A69&gt;AD$7)),0,MAX(0,ROUND((INDEX($E69:$G69,AD$5)-SUMIFS(TF_Timer,TF_Tekniker,AD$4,TF_Dato,$A69))*2,0)/2)))</f>
        <v/>
      </c>
      <c r="AE69">
        <f>IF(OR(AE$4="",$A69&gt;TODAY()),0,IF(OR(INDEX($B69:$D69,AE$5)="F",AND(AE$6&gt;0,$A69&lt;AE$6),AND(AE$7&gt;0,$A69&gt;AE$7)),0,MAX(0,ROUND((INDEX($E69:$G69,AE$5)-SUMIFS(TF_Timer,TF_Tekniker,AE$4,TF_Dato,$A69))*2,0)/2)))</f>
        <v/>
      </c>
      <c r="AF69">
        <f>IF(OR(AF$4="",$A69&gt;TODAY()),0,IF(OR(INDEX($B69:$D69,AF$5)="F",AND(AF$6&gt;0,$A69&lt;AF$6),AND(AF$7&gt;0,$A69&gt;AF$7)),0,MAX(0,ROUND((INDEX($E69:$G69,AF$5)-SUMIFS(TF_Timer,TF_Tekniker,AF$4,TF_Dato,$A69))*2,0)/2)))</f>
        <v/>
      </c>
      <c r="AG69">
        <f>IF(OR(AG$4="",$A69&gt;TODAY()),0,IF(OR(INDEX($B69:$D69,AG$5)="F",AND(AG$6&gt;0,$A69&lt;AG$6),AND(AG$7&gt;0,$A69&gt;AG$7)),0,MAX(0,ROUND((INDEX($E69:$G69,AG$5)-SUMIFS(TF_Timer,TF_Tekniker,AG$4,TF_Dato,$A69))*2,0)/2)))</f>
        <v/>
      </c>
      <c r="AH69">
        <f>IF(OR(AH$4="",$A69&gt;TODAY()),0,IF(OR(INDEX($B69:$D69,AH$5)="F",AND(AH$6&gt;0,$A69&lt;AH$6),AND(AH$7&gt;0,$A69&gt;AH$7)),0,MAX(0,ROUND((INDEX($E69:$G69,AH$5)-SUMIFS(TF_Timer,TF_Tekniker,AH$4,TF_Dato,$A69))*2,0)/2)))</f>
        <v/>
      </c>
      <c r="AI69">
        <f>IF(OR(AI$4="",$A69&gt;TODAY()),0,IF(OR(INDEX($B69:$D69,AI$5)="F",AND(AI$6&gt;0,$A69&lt;AI$6),AND(AI$7&gt;0,$A69&gt;AI$7)),0,MAX(0,ROUND((INDEX($E69:$G69,AI$5)-SUMIFS(TF_Timer,TF_Tekniker,AI$4,TF_Dato,$A69))*2,0)/2)))</f>
        <v/>
      </c>
      <c r="AJ69">
        <f>IF(OR(AJ$4="",$A69&gt;TODAY()),0,IF(OR(INDEX($B69:$D69,AJ$5)="F",AND(AJ$6&gt;0,$A69&lt;AJ$6),AND(AJ$7&gt;0,$A69&gt;AJ$7)),0,MAX(0,ROUND((INDEX($E69:$G69,AJ$5)-SUMIFS(TF_Timer,TF_Tekniker,AJ$4,TF_Dato,$A69))*2,0)/2)))</f>
        <v/>
      </c>
      <c r="AK69">
        <f>IF(OR(AK$4="",$A69&gt;TODAY()),0,IF(OR(INDEX($B69:$D69,AK$5)="F",AND(AK$6&gt;0,$A69&lt;AK$6),AND(AK$7&gt;0,$A69&gt;AK$7)),0,MAX(0,ROUND((INDEX($E69:$G69,AK$5)-SUMIFS(TF_Timer,TF_Tekniker,AK$4,TF_Dato,$A69))*2,0)/2)))</f>
        <v/>
      </c>
      <c r="AL69">
        <f>IF(OR(AL$4="",$A69&gt;TODAY()),0,IF(OR(INDEX($B69:$D69,AL$5)="F",AND(AL$6&gt;0,$A69&lt;AL$6),AND(AL$7&gt;0,$A69&gt;AL$7)),0,MAX(0,ROUND((INDEX($E69:$G69,AL$5)-SUMIFS(TF_Timer,TF_Tekniker,AL$4,TF_Dato,$A69))*2,0)/2)))</f>
        <v/>
      </c>
      <c r="AM69">
        <f>IF(OR(AM$4="",$A69&gt;TODAY()),0,IF(OR(INDEX($B69:$D69,AM$5)="F",AND(AM$6&gt;0,$A69&lt;AM$6),AND(AM$7&gt;0,$A69&gt;AM$7)),0,MAX(0,ROUND((INDEX($E69:$G69,AM$5)-SUMIFS(TF_Timer,TF_Tekniker,AM$4,TF_Dato,$A69))*2,0)/2)))</f>
        <v/>
      </c>
      <c r="AN69">
        <f>IF(OR(AN$4="",$A69&gt;TODAY()),0,IF(OR(INDEX($B69:$D69,AN$5)="F",AND(AN$6&gt;0,$A69&lt;AN$6),AND(AN$7&gt;0,$A69&gt;AN$7)),0,MAX(0,ROUND((INDEX($E69:$G69,AN$5)-SUMIFS(TF_Timer,TF_Tekniker,AN$4,TF_Dato,$A69))*2,0)/2)))</f>
        <v/>
      </c>
      <c r="AO69">
        <f>IF(OR(AO$4="",$A69&gt;TODAY()),0,IF(OR(INDEX($B69:$D69,AO$5)="F",AND(AO$6&gt;0,$A69&lt;AO$6),AND(AO$7&gt;0,$A69&gt;AO$7)),0,MAX(0,ROUND((INDEX($E69:$G69,AO$5)-SUMIFS(TF_Timer,TF_Tekniker,AO$4,TF_Dato,$A69))*2,0)/2)))</f>
        <v/>
      </c>
      <c r="AP69">
        <f>IF(OR(AP$4="",$A69&gt;TODAY()),0,IF(OR(INDEX($B69:$D69,AP$5)="F",AND(AP$6&gt;0,$A69&lt;AP$6),AND(AP$7&gt;0,$A69&gt;AP$7)),0,MAX(0,ROUND((INDEX($E69:$G69,AP$5)-SUMIFS(TF_Timer,TF_Tekniker,AP$4,TF_Dato,$A69))*2,0)/2)))</f>
        <v/>
      </c>
      <c r="AQ69">
        <f>IF(OR(AQ$4="",$A69&gt;TODAY()),0,IF(OR(INDEX($B69:$D69,AQ$5)="F",AND(AQ$6&gt;0,$A69&lt;AQ$6),AND(AQ$7&gt;0,$A69&gt;AQ$7)),0,MAX(0,ROUND((INDEX($E69:$G69,AQ$5)-SUMIFS(TF_Timer,TF_Tekniker,AQ$4,TF_Dato,$A69))*2,0)/2)))</f>
        <v/>
      </c>
      <c r="AR69">
        <f>IF(OR(AR$4="",$A69&gt;TODAY()),0,IF(OR(INDEX($B69:$D69,AR$5)="F",AND(AR$6&gt;0,$A69&lt;AR$6),AND(AR$7&gt;0,$A69&gt;AR$7)),0,MAX(0,ROUND((INDEX($E69:$G69,AR$5)-SUMIFS(TF_Timer,TF_Tekniker,AR$4,TF_Dato,$A69))*2,0)/2)))</f>
        <v/>
      </c>
      <c r="AS69">
        <f>IF(OR(AS$4="",$A69&gt;TODAY()),0,IF(OR(INDEX($B69:$D69,AS$5)="F",AND(AS$6&gt;0,$A69&lt;AS$6),AND(AS$7&gt;0,$A69&gt;AS$7)),0,MAX(0,ROUND((INDEX($E69:$G69,AS$5)-SUMIFS(TF_Timer,TF_Tekniker,AS$4,TF_Dato,$A69))*2,0)/2)))</f>
        <v/>
      </c>
      <c r="AT69">
        <f>IF(OR(AT$4="",$A69&gt;TODAY()),0,IF(OR(INDEX($B69:$D69,AT$5)="F",AND(AT$6&gt;0,$A69&lt;AT$6),AND(AT$7&gt;0,$A69&gt;AT$7)),0,MAX(0,ROUND((INDEX($E69:$G69,AT$5)-SUMIFS(TF_Timer,TF_Tekniker,AT$4,TF_Dato,$A69))*2,0)/2)))</f>
        <v/>
      </c>
      <c r="AU69">
        <f>IF(OR(AU$4="",$A69&gt;TODAY()),0,IF(OR(INDEX($B69:$D69,AU$5)="F",AND(AU$6&gt;0,$A69&lt;AU$6),AND(AU$7&gt;0,$A69&gt;AU$7)),0,MAX(0,ROUND((INDEX($E69:$G69,AU$5)-SUMIFS(TF_Timer,TF_Tekniker,AU$4,TF_Dato,$A69))*2,0)/2)))</f>
        <v/>
      </c>
      <c r="AV69">
        <f>IF(OR(AV$4="",$A69&gt;TODAY()),0,IF(OR(INDEX($B69:$D69,AV$5)="F",AND(AV$6&gt;0,$A69&lt;AV$6),AND(AV$7&gt;0,$A69&gt;AV$7)),0,MAX(0,ROUND((INDEX($E69:$G69,AV$5)-SUMIFS(TF_Timer,TF_Tekniker,AV$4,TF_Dato,$A69))*2,0)/2)))</f>
        <v/>
      </c>
      <c r="AW69">
        <f>IF(OR(AW$4="",$A69&gt;TODAY()),0,IF(OR(INDEX($B69:$D69,AW$5)="F",AND(AW$6&gt;0,$A69&lt;AW$6),AND(AW$7&gt;0,$A69&gt;AW$7)),0,MAX(0,ROUND((INDEX($E69:$G69,AW$5)-SUMIFS(TF_Timer,TF_Tekniker,AW$4,TF_Dato,$A69))*2,0)/2)))</f>
        <v/>
      </c>
      <c r="AX69">
        <f>IF(OR(AX$4="",$A69&gt;TODAY()),0,IF(OR(INDEX($B69:$D69,AX$5)="F",AND(AX$6&gt;0,$A69&lt;AX$6),AND(AX$7&gt;0,$A69&gt;AX$7)),0,MAX(0,ROUND((INDEX($E69:$G69,AX$5)-SUMIFS(TF_Timer,TF_Tekniker,AX$4,TF_Dato,$A69))*2,0)/2)))</f>
        <v/>
      </c>
      <c r="AY69">
        <f>IF(OR(AY$4="",$A69&gt;TODAY()),0,IF(OR(INDEX($B69:$D69,AY$5)="F",AND(AY$6&gt;0,$A69&lt;AY$6),AND(AY$7&gt;0,$A69&gt;AY$7)),0,MAX(0,ROUND((INDEX($E69:$G69,AY$5)-SUMIFS(TF_Timer,TF_Tekniker,AY$4,TF_Dato,$A69))*2,0)/2)))</f>
        <v/>
      </c>
      <c r="AZ69">
        <f>IF(OR(AZ$4="",$A69&gt;TODAY()),0,IF(OR(INDEX($B69:$D69,AZ$5)="F",AND(AZ$6&gt;0,$A69&lt;AZ$6),AND(AZ$7&gt;0,$A69&gt;AZ$7)),0,MAX(0,ROUND((INDEX($E69:$G69,AZ$5)-SUMIFS(TF_Timer,TF_Tekniker,AZ$4,TF_Dato,$A69))*2,0)/2)))</f>
        <v/>
      </c>
      <c r="BA69">
        <f>IF(OR(BA$4="",$A69&gt;TODAY()),0,IF(OR(INDEX($B69:$D69,BA$5)="F",AND(BA$6&gt;0,$A69&lt;BA$6),AND(BA$7&gt;0,$A69&gt;BA$7)),0,MAX(0,ROUND((INDEX($E69:$G69,BA$5)-SUMIFS(TF_Timer,TF_Tekniker,BA$4,TF_Dato,$A69))*2,0)/2)))</f>
        <v/>
      </c>
      <c r="BB69">
        <f>IF(OR(BB$4="",$A69&gt;TODAY()),0,IF(OR(INDEX($B69:$D69,BB$5)="F",AND(BB$6&gt;0,$A69&lt;BB$6),AND(BB$7&gt;0,$A69&gt;BB$7)),0,MAX(0,ROUND((INDEX($E69:$G69,BB$5)-SUMIFS(TF_Timer,TF_Tekniker,BB$4,TF_Dato,$A69))*2,0)/2)))</f>
        <v/>
      </c>
      <c r="BC69">
        <f>IF(OR(BC$4="",$A69&gt;TODAY()),0,IF(OR(INDEX($B69:$D69,BC$5)="F",AND(BC$6&gt;0,$A69&lt;BC$6),AND(BC$7&gt;0,$A69&gt;BC$7)),0,MAX(0,ROUND((INDEX($E69:$G69,BC$5)-SUMIFS(TF_Timer,TF_Tekniker,BC$4,TF_Dato,$A69))*2,0)/2)))</f>
        <v/>
      </c>
      <c r="BD69">
        <f>IF(OR(BD$4="",$A69&gt;TODAY()),0,IF(OR(INDEX($B69:$D69,BD$5)="F",AND(BD$6&gt;0,$A69&lt;BD$6),AND(BD$7&gt;0,$A69&gt;BD$7)),0,MAX(0,ROUND((INDEX($E69:$G69,BD$5)-SUMIFS(TF_Timer,TF_Tekniker,BD$4,TF_Dato,$A69))*2,0)/2)))</f>
        <v/>
      </c>
      <c r="BE69">
        <f>IF(OR(BE$4="",$A69&gt;TODAY()),0,IF(OR(INDEX($B69:$D69,BE$5)="F",AND(BE$6&gt;0,$A69&lt;BE$6),AND(BE$7&gt;0,$A69&gt;BE$7)),0,MAX(0,ROUND((INDEX($E69:$G69,BE$5)-SUMIFS(TF_Timer,TF_Tekniker,BE$4,TF_Dato,$A69))*2,0)/2)))</f>
        <v/>
      </c>
      <c r="BF69">
        <f>IF(OR(BF$4="",$A69&gt;TODAY()),0,IF(OR(INDEX($B69:$D69,BF$5)="F",AND(BF$6&gt;0,$A69&lt;BF$6),AND(BF$7&gt;0,$A69&gt;BF$7)),0,MAX(0,ROUND((INDEX($E69:$G69,BF$5)-SUMIFS(TF_Timer,TF_Tekniker,BF$4,TF_Dato,$A69))*2,0)/2)))</f>
        <v/>
      </c>
      <c r="BG69">
        <f>IF(OR(BG$4="",$A69&gt;TODAY()),0,IF(OR(INDEX($B69:$D69,BG$5)="F",AND(BG$6&gt;0,$A69&lt;BG$6),AND(BG$7&gt;0,$A69&gt;BG$7)),0,MAX(0,ROUND((INDEX($E69:$G69,BG$5)-SUMIFS(TF_Timer,TF_Tekniker,BG$4,TF_Dato,$A69))*2,0)/2)))</f>
        <v/>
      </c>
      <c r="BH69">
        <f>IF(OR(BH$4="",$A69&gt;TODAY()),0,IF(OR(INDEX($B69:$D69,BH$5)="F",AND(BH$6&gt;0,$A69&lt;BH$6),AND(BH$7&gt;0,$A69&gt;BH$7)),0,MAX(0,ROUND((INDEX($E69:$G69,BH$5)-SUMIFS(TF_Timer,TF_Tekniker,BH$4,TF_Dato,$A69))*2,0)/2)))</f>
        <v/>
      </c>
      <c r="BI69">
        <f>IF(OR(BI$4="",$A69&gt;TODAY()),0,IF(OR(INDEX($B69:$D69,BI$5)="F",AND(BI$6&gt;0,$A69&lt;BI$6),AND(BI$7&gt;0,$A69&gt;BI$7)),0,MAX(0,ROUND((INDEX($E69:$G69,BI$5)-SUMIFS(TF_Timer,TF_Tekniker,BI$4,TF_Dato,$A69))*2,0)/2)))</f>
        <v/>
      </c>
    </row>
    <row r="70">
      <c r="A70" s="64">
        <f>A69+1</f>
        <v/>
      </c>
      <c r="B70">
        <f>IF(MOD($A70-INDEX(SkiftStart,1),Syklus)&lt;DagK,"K",IF(MOD($A70-INDEX(SkiftStart,1),Syklus)&lt;DagK+DagH,"H",IF(MOD($A70-INDEX(SkiftStart,1),Syklus)&lt;DagK+DagH+DagD,"D","F")))</f>
        <v/>
      </c>
      <c r="C70">
        <f>IF(MOD($A70-INDEX(SkiftStart,2),Syklus)&lt;DagK,"K",IF(MOD($A70-INDEX(SkiftStart,2),Syklus)&lt;DagK+DagH,"H",IF(MOD($A70-INDEX(SkiftStart,2),Syklus)&lt;DagK+DagH+DagD,"D","F")))</f>
        <v/>
      </c>
      <c r="D70">
        <f>IF(MOD($A70-INDEX(SkiftStart,3),Syklus)&lt;DagK,"K",IF(MOD($A70-INDEX(SkiftStart,3),Syklus)&lt;DagK+DagH,"H",IF(MOD($A70-INDEX(SkiftStart,3),Syklus)&lt;DagK+DagH+DagD,"D","F")))</f>
        <v/>
      </c>
      <c r="E70">
        <f>IF(B70="F",0,IF(WEEKDAY($A70,2)=5,INDEX(TimerFr,MATCH(B70,FaseKode,0)),INDEX(TimerMT,MATCH(B70,FaseKode,0))))</f>
        <v/>
      </c>
      <c r="F70">
        <f>IF(C70="F",0,IF(WEEKDAY($A70,2)=5,INDEX(TimerFr,MATCH(C70,FaseKode,0)),INDEX(TimerMT,MATCH(C70,FaseKode,0))))</f>
        <v/>
      </c>
      <c r="G70">
        <f>IF(D70="F",0,IF(WEEKDAY($A70,2)=5,INDEX(TimerFr,MATCH(D70,FaseKode,0)),INDEX(TimerMT,MATCH(D70,FaseKode,0))))</f>
        <v/>
      </c>
      <c r="H70">
        <f>IF(OR(H$4="",$A70&gt;TODAY()),0,IF(OR(INDEX($B70:$D70,H$5)="F",AND(H$6&gt;0,$A70&lt;H$6),AND(H$7&gt;0,$A70&gt;H$7)),0,MAX(0,ROUND((INDEX($E70:$G70,H$5)-SUMIFS(TF_Timer,TF_Tekniker,H$4,TF_Dato,$A70))*2,0)/2)))</f>
        <v/>
      </c>
      <c r="I70">
        <f>IF(OR(I$4="",$A70&gt;TODAY()),0,IF(OR(INDEX($B70:$D70,I$5)="F",AND(I$6&gt;0,$A70&lt;I$6),AND(I$7&gt;0,$A70&gt;I$7)),0,MAX(0,ROUND((INDEX($E70:$G70,I$5)-SUMIFS(TF_Timer,TF_Tekniker,I$4,TF_Dato,$A70))*2,0)/2)))</f>
        <v/>
      </c>
      <c r="J70">
        <f>IF(OR(J$4="",$A70&gt;TODAY()),0,IF(OR(INDEX($B70:$D70,J$5)="F",AND(J$6&gt;0,$A70&lt;J$6),AND(J$7&gt;0,$A70&gt;J$7)),0,MAX(0,ROUND((INDEX($E70:$G70,J$5)-SUMIFS(TF_Timer,TF_Tekniker,J$4,TF_Dato,$A70))*2,0)/2)))</f>
        <v/>
      </c>
      <c r="K70">
        <f>IF(OR(K$4="",$A70&gt;TODAY()),0,IF(OR(INDEX($B70:$D70,K$5)="F",AND(K$6&gt;0,$A70&lt;K$6),AND(K$7&gt;0,$A70&gt;K$7)),0,MAX(0,ROUND((INDEX($E70:$G70,K$5)-SUMIFS(TF_Timer,TF_Tekniker,K$4,TF_Dato,$A70))*2,0)/2)))</f>
        <v/>
      </c>
      <c r="L70">
        <f>IF(OR(L$4="",$A70&gt;TODAY()),0,IF(OR(INDEX($B70:$D70,L$5)="F",AND(L$6&gt;0,$A70&lt;L$6),AND(L$7&gt;0,$A70&gt;L$7)),0,MAX(0,ROUND((INDEX($E70:$G70,L$5)-SUMIFS(TF_Timer,TF_Tekniker,L$4,TF_Dato,$A70))*2,0)/2)))</f>
        <v/>
      </c>
      <c r="M70">
        <f>IF(OR(M$4="",$A70&gt;TODAY()),0,IF(OR(INDEX($B70:$D70,M$5)="F",AND(M$6&gt;0,$A70&lt;M$6),AND(M$7&gt;0,$A70&gt;M$7)),0,MAX(0,ROUND((INDEX($E70:$G70,M$5)-SUMIFS(TF_Timer,TF_Tekniker,M$4,TF_Dato,$A70))*2,0)/2)))</f>
        <v/>
      </c>
      <c r="N70">
        <f>IF(OR(N$4="",$A70&gt;TODAY()),0,IF(OR(INDEX($B70:$D70,N$5)="F",AND(N$6&gt;0,$A70&lt;N$6),AND(N$7&gt;0,$A70&gt;N$7)),0,MAX(0,ROUND((INDEX($E70:$G70,N$5)-SUMIFS(TF_Timer,TF_Tekniker,N$4,TF_Dato,$A70))*2,0)/2)))</f>
        <v/>
      </c>
      <c r="O70">
        <f>IF(OR(O$4="",$A70&gt;TODAY()),0,IF(OR(INDEX($B70:$D70,O$5)="F",AND(O$6&gt;0,$A70&lt;O$6),AND(O$7&gt;0,$A70&gt;O$7)),0,MAX(0,ROUND((INDEX($E70:$G70,O$5)-SUMIFS(TF_Timer,TF_Tekniker,O$4,TF_Dato,$A70))*2,0)/2)))</f>
        <v/>
      </c>
      <c r="P70">
        <f>IF(OR(P$4="",$A70&gt;TODAY()),0,IF(OR(INDEX($B70:$D70,P$5)="F",AND(P$6&gt;0,$A70&lt;P$6),AND(P$7&gt;0,$A70&gt;P$7)),0,MAX(0,ROUND((INDEX($E70:$G70,P$5)-SUMIFS(TF_Timer,TF_Tekniker,P$4,TF_Dato,$A70))*2,0)/2)))</f>
        <v/>
      </c>
      <c r="Q70">
        <f>IF(OR(Q$4="",$A70&gt;TODAY()),0,IF(OR(INDEX($B70:$D70,Q$5)="F",AND(Q$6&gt;0,$A70&lt;Q$6),AND(Q$7&gt;0,$A70&gt;Q$7)),0,MAX(0,ROUND((INDEX($E70:$G70,Q$5)-SUMIFS(TF_Timer,TF_Tekniker,Q$4,TF_Dato,$A70))*2,0)/2)))</f>
        <v/>
      </c>
      <c r="R70">
        <f>IF(OR(R$4="",$A70&gt;TODAY()),0,IF(OR(INDEX($B70:$D70,R$5)="F",AND(R$6&gt;0,$A70&lt;R$6),AND(R$7&gt;0,$A70&gt;R$7)),0,MAX(0,ROUND((INDEX($E70:$G70,R$5)-SUMIFS(TF_Timer,TF_Tekniker,R$4,TF_Dato,$A70))*2,0)/2)))</f>
        <v/>
      </c>
      <c r="S70">
        <f>IF(OR(S$4="",$A70&gt;TODAY()),0,IF(OR(INDEX($B70:$D70,S$5)="F",AND(S$6&gt;0,$A70&lt;S$6),AND(S$7&gt;0,$A70&gt;S$7)),0,MAX(0,ROUND((INDEX($E70:$G70,S$5)-SUMIFS(TF_Timer,TF_Tekniker,S$4,TF_Dato,$A70))*2,0)/2)))</f>
        <v/>
      </c>
      <c r="T70">
        <f>IF(OR(T$4="",$A70&gt;TODAY()),0,IF(OR(INDEX($B70:$D70,T$5)="F",AND(T$6&gt;0,$A70&lt;T$6),AND(T$7&gt;0,$A70&gt;T$7)),0,MAX(0,ROUND((INDEX($E70:$G70,T$5)-SUMIFS(TF_Timer,TF_Tekniker,T$4,TF_Dato,$A70))*2,0)/2)))</f>
        <v/>
      </c>
      <c r="U70">
        <f>IF(OR(U$4="",$A70&gt;TODAY()),0,IF(OR(INDEX($B70:$D70,U$5)="F",AND(U$6&gt;0,$A70&lt;U$6),AND(U$7&gt;0,$A70&gt;U$7)),0,MAX(0,ROUND((INDEX($E70:$G70,U$5)-SUMIFS(TF_Timer,TF_Tekniker,U$4,TF_Dato,$A70))*2,0)/2)))</f>
        <v/>
      </c>
      <c r="V70">
        <f>IF(OR(V$4="",$A70&gt;TODAY()),0,IF(OR(INDEX($B70:$D70,V$5)="F",AND(V$6&gt;0,$A70&lt;V$6),AND(V$7&gt;0,$A70&gt;V$7)),0,MAX(0,ROUND((INDEX($E70:$G70,V$5)-SUMIFS(TF_Timer,TF_Tekniker,V$4,TF_Dato,$A70))*2,0)/2)))</f>
        <v/>
      </c>
      <c r="W70">
        <f>IF(OR(W$4="",$A70&gt;TODAY()),0,IF(OR(INDEX($B70:$D70,W$5)="F",AND(W$6&gt;0,$A70&lt;W$6),AND(W$7&gt;0,$A70&gt;W$7)),0,MAX(0,ROUND((INDEX($E70:$G70,W$5)-SUMIFS(TF_Timer,TF_Tekniker,W$4,TF_Dato,$A70))*2,0)/2)))</f>
        <v/>
      </c>
      <c r="X70">
        <f>IF(OR(X$4="",$A70&gt;TODAY()),0,IF(OR(INDEX($B70:$D70,X$5)="F",AND(X$6&gt;0,$A70&lt;X$6),AND(X$7&gt;0,$A70&gt;X$7)),0,MAX(0,ROUND((INDEX($E70:$G70,X$5)-SUMIFS(TF_Timer,TF_Tekniker,X$4,TF_Dato,$A70))*2,0)/2)))</f>
        <v/>
      </c>
      <c r="Y70">
        <f>IF(OR(Y$4="",$A70&gt;TODAY()),0,IF(OR(INDEX($B70:$D70,Y$5)="F",AND(Y$6&gt;0,$A70&lt;Y$6),AND(Y$7&gt;0,$A70&gt;Y$7)),0,MAX(0,ROUND((INDEX($E70:$G70,Y$5)-SUMIFS(TF_Timer,TF_Tekniker,Y$4,TF_Dato,$A70))*2,0)/2)))</f>
        <v/>
      </c>
      <c r="Z70">
        <f>IF(OR(Z$4="",$A70&gt;TODAY()),0,IF(OR(INDEX($B70:$D70,Z$5)="F",AND(Z$6&gt;0,$A70&lt;Z$6),AND(Z$7&gt;0,$A70&gt;Z$7)),0,MAX(0,ROUND((INDEX($E70:$G70,Z$5)-SUMIFS(TF_Timer,TF_Tekniker,Z$4,TF_Dato,$A70))*2,0)/2)))</f>
        <v/>
      </c>
      <c r="AA70">
        <f>IF(OR(AA$4="",$A70&gt;TODAY()),0,IF(OR(INDEX($B70:$D70,AA$5)="F",AND(AA$6&gt;0,$A70&lt;AA$6),AND(AA$7&gt;0,$A70&gt;AA$7)),0,MAX(0,ROUND((INDEX($E70:$G70,AA$5)-SUMIFS(TF_Timer,TF_Tekniker,AA$4,TF_Dato,$A70))*2,0)/2)))</f>
        <v/>
      </c>
      <c r="AB70">
        <f>IF(OR(AB$4="",$A70&gt;TODAY()),0,IF(OR(INDEX($B70:$D70,AB$5)="F",AND(AB$6&gt;0,$A70&lt;AB$6),AND(AB$7&gt;0,$A70&gt;AB$7)),0,MAX(0,ROUND((INDEX($E70:$G70,AB$5)-SUMIFS(TF_Timer,TF_Tekniker,AB$4,TF_Dato,$A70))*2,0)/2)))</f>
        <v/>
      </c>
      <c r="AC70">
        <f>IF(OR(AC$4="",$A70&gt;TODAY()),0,IF(OR(INDEX($B70:$D70,AC$5)="F",AND(AC$6&gt;0,$A70&lt;AC$6),AND(AC$7&gt;0,$A70&gt;AC$7)),0,MAX(0,ROUND((INDEX($E70:$G70,AC$5)-SUMIFS(TF_Timer,TF_Tekniker,AC$4,TF_Dato,$A70))*2,0)/2)))</f>
        <v/>
      </c>
      <c r="AD70">
        <f>IF(OR(AD$4="",$A70&gt;TODAY()),0,IF(OR(INDEX($B70:$D70,AD$5)="F",AND(AD$6&gt;0,$A70&lt;AD$6),AND(AD$7&gt;0,$A70&gt;AD$7)),0,MAX(0,ROUND((INDEX($E70:$G70,AD$5)-SUMIFS(TF_Timer,TF_Tekniker,AD$4,TF_Dato,$A70))*2,0)/2)))</f>
        <v/>
      </c>
      <c r="AE70">
        <f>IF(OR(AE$4="",$A70&gt;TODAY()),0,IF(OR(INDEX($B70:$D70,AE$5)="F",AND(AE$6&gt;0,$A70&lt;AE$6),AND(AE$7&gt;0,$A70&gt;AE$7)),0,MAX(0,ROUND((INDEX($E70:$G70,AE$5)-SUMIFS(TF_Timer,TF_Tekniker,AE$4,TF_Dato,$A70))*2,0)/2)))</f>
        <v/>
      </c>
      <c r="AF70">
        <f>IF(OR(AF$4="",$A70&gt;TODAY()),0,IF(OR(INDEX($B70:$D70,AF$5)="F",AND(AF$6&gt;0,$A70&lt;AF$6),AND(AF$7&gt;0,$A70&gt;AF$7)),0,MAX(0,ROUND((INDEX($E70:$G70,AF$5)-SUMIFS(TF_Timer,TF_Tekniker,AF$4,TF_Dato,$A70))*2,0)/2)))</f>
        <v/>
      </c>
      <c r="AG70">
        <f>IF(OR(AG$4="",$A70&gt;TODAY()),0,IF(OR(INDEX($B70:$D70,AG$5)="F",AND(AG$6&gt;0,$A70&lt;AG$6),AND(AG$7&gt;0,$A70&gt;AG$7)),0,MAX(0,ROUND((INDEX($E70:$G70,AG$5)-SUMIFS(TF_Timer,TF_Tekniker,AG$4,TF_Dato,$A70))*2,0)/2)))</f>
        <v/>
      </c>
      <c r="AH70">
        <f>IF(OR(AH$4="",$A70&gt;TODAY()),0,IF(OR(INDEX($B70:$D70,AH$5)="F",AND(AH$6&gt;0,$A70&lt;AH$6),AND(AH$7&gt;0,$A70&gt;AH$7)),0,MAX(0,ROUND((INDEX($E70:$G70,AH$5)-SUMIFS(TF_Timer,TF_Tekniker,AH$4,TF_Dato,$A70))*2,0)/2)))</f>
        <v/>
      </c>
      <c r="AI70">
        <f>IF(OR(AI$4="",$A70&gt;TODAY()),0,IF(OR(INDEX($B70:$D70,AI$5)="F",AND(AI$6&gt;0,$A70&lt;AI$6),AND(AI$7&gt;0,$A70&gt;AI$7)),0,MAX(0,ROUND((INDEX($E70:$G70,AI$5)-SUMIFS(TF_Timer,TF_Tekniker,AI$4,TF_Dato,$A70))*2,0)/2)))</f>
        <v/>
      </c>
      <c r="AJ70">
        <f>IF(OR(AJ$4="",$A70&gt;TODAY()),0,IF(OR(INDEX($B70:$D70,AJ$5)="F",AND(AJ$6&gt;0,$A70&lt;AJ$6),AND(AJ$7&gt;0,$A70&gt;AJ$7)),0,MAX(0,ROUND((INDEX($E70:$G70,AJ$5)-SUMIFS(TF_Timer,TF_Tekniker,AJ$4,TF_Dato,$A70))*2,0)/2)))</f>
        <v/>
      </c>
      <c r="AK70">
        <f>IF(OR(AK$4="",$A70&gt;TODAY()),0,IF(OR(INDEX($B70:$D70,AK$5)="F",AND(AK$6&gt;0,$A70&lt;AK$6),AND(AK$7&gt;0,$A70&gt;AK$7)),0,MAX(0,ROUND((INDEX($E70:$G70,AK$5)-SUMIFS(TF_Timer,TF_Tekniker,AK$4,TF_Dato,$A70))*2,0)/2)))</f>
        <v/>
      </c>
      <c r="AL70">
        <f>IF(OR(AL$4="",$A70&gt;TODAY()),0,IF(OR(INDEX($B70:$D70,AL$5)="F",AND(AL$6&gt;0,$A70&lt;AL$6),AND(AL$7&gt;0,$A70&gt;AL$7)),0,MAX(0,ROUND((INDEX($E70:$G70,AL$5)-SUMIFS(TF_Timer,TF_Tekniker,AL$4,TF_Dato,$A70))*2,0)/2)))</f>
        <v/>
      </c>
      <c r="AM70">
        <f>IF(OR(AM$4="",$A70&gt;TODAY()),0,IF(OR(INDEX($B70:$D70,AM$5)="F",AND(AM$6&gt;0,$A70&lt;AM$6),AND(AM$7&gt;0,$A70&gt;AM$7)),0,MAX(0,ROUND((INDEX($E70:$G70,AM$5)-SUMIFS(TF_Timer,TF_Tekniker,AM$4,TF_Dato,$A70))*2,0)/2)))</f>
        <v/>
      </c>
      <c r="AN70">
        <f>IF(OR(AN$4="",$A70&gt;TODAY()),0,IF(OR(INDEX($B70:$D70,AN$5)="F",AND(AN$6&gt;0,$A70&lt;AN$6),AND(AN$7&gt;0,$A70&gt;AN$7)),0,MAX(0,ROUND((INDEX($E70:$G70,AN$5)-SUMIFS(TF_Timer,TF_Tekniker,AN$4,TF_Dato,$A70))*2,0)/2)))</f>
        <v/>
      </c>
      <c r="AO70">
        <f>IF(OR(AO$4="",$A70&gt;TODAY()),0,IF(OR(INDEX($B70:$D70,AO$5)="F",AND(AO$6&gt;0,$A70&lt;AO$6),AND(AO$7&gt;0,$A70&gt;AO$7)),0,MAX(0,ROUND((INDEX($E70:$G70,AO$5)-SUMIFS(TF_Timer,TF_Tekniker,AO$4,TF_Dato,$A70))*2,0)/2)))</f>
        <v/>
      </c>
      <c r="AP70">
        <f>IF(OR(AP$4="",$A70&gt;TODAY()),0,IF(OR(INDEX($B70:$D70,AP$5)="F",AND(AP$6&gt;0,$A70&lt;AP$6),AND(AP$7&gt;0,$A70&gt;AP$7)),0,MAX(0,ROUND((INDEX($E70:$G70,AP$5)-SUMIFS(TF_Timer,TF_Tekniker,AP$4,TF_Dato,$A70))*2,0)/2)))</f>
        <v/>
      </c>
      <c r="AQ70">
        <f>IF(OR(AQ$4="",$A70&gt;TODAY()),0,IF(OR(INDEX($B70:$D70,AQ$5)="F",AND(AQ$6&gt;0,$A70&lt;AQ$6),AND(AQ$7&gt;0,$A70&gt;AQ$7)),0,MAX(0,ROUND((INDEX($E70:$G70,AQ$5)-SUMIFS(TF_Timer,TF_Tekniker,AQ$4,TF_Dato,$A70))*2,0)/2)))</f>
        <v/>
      </c>
      <c r="AR70">
        <f>IF(OR(AR$4="",$A70&gt;TODAY()),0,IF(OR(INDEX($B70:$D70,AR$5)="F",AND(AR$6&gt;0,$A70&lt;AR$6),AND(AR$7&gt;0,$A70&gt;AR$7)),0,MAX(0,ROUND((INDEX($E70:$G70,AR$5)-SUMIFS(TF_Timer,TF_Tekniker,AR$4,TF_Dato,$A70))*2,0)/2)))</f>
        <v/>
      </c>
      <c r="AS70">
        <f>IF(OR(AS$4="",$A70&gt;TODAY()),0,IF(OR(INDEX($B70:$D70,AS$5)="F",AND(AS$6&gt;0,$A70&lt;AS$6),AND(AS$7&gt;0,$A70&gt;AS$7)),0,MAX(0,ROUND((INDEX($E70:$G70,AS$5)-SUMIFS(TF_Timer,TF_Tekniker,AS$4,TF_Dato,$A70))*2,0)/2)))</f>
        <v/>
      </c>
      <c r="AT70">
        <f>IF(OR(AT$4="",$A70&gt;TODAY()),0,IF(OR(INDEX($B70:$D70,AT$5)="F",AND(AT$6&gt;0,$A70&lt;AT$6),AND(AT$7&gt;0,$A70&gt;AT$7)),0,MAX(0,ROUND((INDEX($E70:$G70,AT$5)-SUMIFS(TF_Timer,TF_Tekniker,AT$4,TF_Dato,$A70))*2,0)/2)))</f>
        <v/>
      </c>
      <c r="AU70">
        <f>IF(OR(AU$4="",$A70&gt;TODAY()),0,IF(OR(INDEX($B70:$D70,AU$5)="F",AND(AU$6&gt;0,$A70&lt;AU$6),AND(AU$7&gt;0,$A70&gt;AU$7)),0,MAX(0,ROUND((INDEX($E70:$G70,AU$5)-SUMIFS(TF_Timer,TF_Tekniker,AU$4,TF_Dato,$A70))*2,0)/2)))</f>
        <v/>
      </c>
      <c r="AV70">
        <f>IF(OR(AV$4="",$A70&gt;TODAY()),0,IF(OR(INDEX($B70:$D70,AV$5)="F",AND(AV$6&gt;0,$A70&lt;AV$6),AND(AV$7&gt;0,$A70&gt;AV$7)),0,MAX(0,ROUND((INDEX($E70:$G70,AV$5)-SUMIFS(TF_Timer,TF_Tekniker,AV$4,TF_Dato,$A70))*2,0)/2)))</f>
        <v/>
      </c>
      <c r="AW70">
        <f>IF(OR(AW$4="",$A70&gt;TODAY()),0,IF(OR(INDEX($B70:$D70,AW$5)="F",AND(AW$6&gt;0,$A70&lt;AW$6),AND(AW$7&gt;0,$A70&gt;AW$7)),0,MAX(0,ROUND((INDEX($E70:$G70,AW$5)-SUMIFS(TF_Timer,TF_Tekniker,AW$4,TF_Dato,$A70))*2,0)/2)))</f>
        <v/>
      </c>
      <c r="AX70">
        <f>IF(OR(AX$4="",$A70&gt;TODAY()),0,IF(OR(INDEX($B70:$D70,AX$5)="F",AND(AX$6&gt;0,$A70&lt;AX$6),AND(AX$7&gt;0,$A70&gt;AX$7)),0,MAX(0,ROUND((INDEX($E70:$G70,AX$5)-SUMIFS(TF_Timer,TF_Tekniker,AX$4,TF_Dato,$A70))*2,0)/2)))</f>
        <v/>
      </c>
      <c r="AY70">
        <f>IF(OR(AY$4="",$A70&gt;TODAY()),0,IF(OR(INDEX($B70:$D70,AY$5)="F",AND(AY$6&gt;0,$A70&lt;AY$6),AND(AY$7&gt;0,$A70&gt;AY$7)),0,MAX(0,ROUND((INDEX($E70:$G70,AY$5)-SUMIFS(TF_Timer,TF_Tekniker,AY$4,TF_Dato,$A70))*2,0)/2)))</f>
        <v/>
      </c>
      <c r="AZ70">
        <f>IF(OR(AZ$4="",$A70&gt;TODAY()),0,IF(OR(INDEX($B70:$D70,AZ$5)="F",AND(AZ$6&gt;0,$A70&lt;AZ$6),AND(AZ$7&gt;0,$A70&gt;AZ$7)),0,MAX(0,ROUND((INDEX($E70:$G70,AZ$5)-SUMIFS(TF_Timer,TF_Tekniker,AZ$4,TF_Dato,$A70))*2,0)/2)))</f>
        <v/>
      </c>
      <c r="BA70">
        <f>IF(OR(BA$4="",$A70&gt;TODAY()),0,IF(OR(INDEX($B70:$D70,BA$5)="F",AND(BA$6&gt;0,$A70&lt;BA$6),AND(BA$7&gt;0,$A70&gt;BA$7)),0,MAX(0,ROUND((INDEX($E70:$G70,BA$5)-SUMIFS(TF_Timer,TF_Tekniker,BA$4,TF_Dato,$A70))*2,0)/2)))</f>
        <v/>
      </c>
      <c r="BB70">
        <f>IF(OR(BB$4="",$A70&gt;TODAY()),0,IF(OR(INDEX($B70:$D70,BB$5)="F",AND(BB$6&gt;0,$A70&lt;BB$6),AND(BB$7&gt;0,$A70&gt;BB$7)),0,MAX(0,ROUND((INDEX($E70:$G70,BB$5)-SUMIFS(TF_Timer,TF_Tekniker,BB$4,TF_Dato,$A70))*2,0)/2)))</f>
        <v/>
      </c>
      <c r="BC70">
        <f>IF(OR(BC$4="",$A70&gt;TODAY()),0,IF(OR(INDEX($B70:$D70,BC$5)="F",AND(BC$6&gt;0,$A70&lt;BC$6),AND(BC$7&gt;0,$A70&gt;BC$7)),0,MAX(0,ROUND((INDEX($E70:$G70,BC$5)-SUMIFS(TF_Timer,TF_Tekniker,BC$4,TF_Dato,$A70))*2,0)/2)))</f>
        <v/>
      </c>
      <c r="BD70">
        <f>IF(OR(BD$4="",$A70&gt;TODAY()),0,IF(OR(INDEX($B70:$D70,BD$5)="F",AND(BD$6&gt;0,$A70&lt;BD$6),AND(BD$7&gt;0,$A70&gt;BD$7)),0,MAX(0,ROUND((INDEX($E70:$G70,BD$5)-SUMIFS(TF_Timer,TF_Tekniker,BD$4,TF_Dato,$A70))*2,0)/2)))</f>
        <v/>
      </c>
      <c r="BE70">
        <f>IF(OR(BE$4="",$A70&gt;TODAY()),0,IF(OR(INDEX($B70:$D70,BE$5)="F",AND(BE$6&gt;0,$A70&lt;BE$6),AND(BE$7&gt;0,$A70&gt;BE$7)),0,MAX(0,ROUND((INDEX($E70:$G70,BE$5)-SUMIFS(TF_Timer,TF_Tekniker,BE$4,TF_Dato,$A70))*2,0)/2)))</f>
        <v/>
      </c>
      <c r="BF70">
        <f>IF(OR(BF$4="",$A70&gt;TODAY()),0,IF(OR(INDEX($B70:$D70,BF$5)="F",AND(BF$6&gt;0,$A70&lt;BF$6),AND(BF$7&gt;0,$A70&gt;BF$7)),0,MAX(0,ROUND((INDEX($E70:$G70,BF$5)-SUMIFS(TF_Timer,TF_Tekniker,BF$4,TF_Dato,$A70))*2,0)/2)))</f>
        <v/>
      </c>
      <c r="BG70">
        <f>IF(OR(BG$4="",$A70&gt;TODAY()),0,IF(OR(INDEX($B70:$D70,BG$5)="F",AND(BG$6&gt;0,$A70&lt;BG$6),AND(BG$7&gt;0,$A70&gt;BG$7)),0,MAX(0,ROUND((INDEX($E70:$G70,BG$5)-SUMIFS(TF_Timer,TF_Tekniker,BG$4,TF_Dato,$A70))*2,0)/2)))</f>
        <v/>
      </c>
      <c r="BH70">
        <f>IF(OR(BH$4="",$A70&gt;TODAY()),0,IF(OR(INDEX($B70:$D70,BH$5)="F",AND(BH$6&gt;0,$A70&lt;BH$6),AND(BH$7&gt;0,$A70&gt;BH$7)),0,MAX(0,ROUND((INDEX($E70:$G70,BH$5)-SUMIFS(TF_Timer,TF_Tekniker,BH$4,TF_Dato,$A70))*2,0)/2)))</f>
        <v/>
      </c>
      <c r="BI70">
        <f>IF(OR(BI$4="",$A70&gt;TODAY()),0,IF(OR(INDEX($B70:$D70,BI$5)="F",AND(BI$6&gt;0,$A70&lt;BI$6),AND(BI$7&gt;0,$A70&gt;BI$7)),0,MAX(0,ROUND((INDEX($E70:$G70,BI$5)-SUMIFS(TF_Timer,TF_Tekniker,BI$4,TF_Dato,$A70))*2,0)/2)))</f>
        <v/>
      </c>
    </row>
    <row r="71">
      <c r="A71" s="64">
        <f>A70+1</f>
        <v/>
      </c>
      <c r="B71">
        <f>IF(MOD($A71-INDEX(SkiftStart,1),Syklus)&lt;DagK,"K",IF(MOD($A71-INDEX(SkiftStart,1),Syklus)&lt;DagK+DagH,"H",IF(MOD($A71-INDEX(SkiftStart,1),Syklus)&lt;DagK+DagH+DagD,"D","F")))</f>
        <v/>
      </c>
      <c r="C71">
        <f>IF(MOD($A71-INDEX(SkiftStart,2),Syklus)&lt;DagK,"K",IF(MOD($A71-INDEX(SkiftStart,2),Syklus)&lt;DagK+DagH,"H",IF(MOD($A71-INDEX(SkiftStart,2),Syklus)&lt;DagK+DagH+DagD,"D","F")))</f>
        <v/>
      </c>
      <c r="D71">
        <f>IF(MOD($A71-INDEX(SkiftStart,3),Syklus)&lt;DagK,"K",IF(MOD($A71-INDEX(SkiftStart,3),Syklus)&lt;DagK+DagH,"H",IF(MOD($A71-INDEX(SkiftStart,3),Syklus)&lt;DagK+DagH+DagD,"D","F")))</f>
        <v/>
      </c>
      <c r="E71">
        <f>IF(B71="F",0,IF(WEEKDAY($A71,2)=5,INDEX(TimerFr,MATCH(B71,FaseKode,0)),INDEX(TimerMT,MATCH(B71,FaseKode,0))))</f>
        <v/>
      </c>
      <c r="F71">
        <f>IF(C71="F",0,IF(WEEKDAY($A71,2)=5,INDEX(TimerFr,MATCH(C71,FaseKode,0)),INDEX(TimerMT,MATCH(C71,FaseKode,0))))</f>
        <v/>
      </c>
      <c r="G71">
        <f>IF(D71="F",0,IF(WEEKDAY($A71,2)=5,INDEX(TimerFr,MATCH(D71,FaseKode,0)),INDEX(TimerMT,MATCH(D71,FaseKode,0))))</f>
        <v/>
      </c>
      <c r="H71">
        <f>IF(OR(H$4="",$A71&gt;TODAY()),0,IF(OR(INDEX($B71:$D71,H$5)="F",AND(H$6&gt;0,$A71&lt;H$6),AND(H$7&gt;0,$A71&gt;H$7)),0,MAX(0,ROUND((INDEX($E71:$G71,H$5)-SUMIFS(TF_Timer,TF_Tekniker,H$4,TF_Dato,$A71))*2,0)/2)))</f>
        <v/>
      </c>
      <c r="I71">
        <f>IF(OR(I$4="",$A71&gt;TODAY()),0,IF(OR(INDEX($B71:$D71,I$5)="F",AND(I$6&gt;0,$A71&lt;I$6),AND(I$7&gt;0,$A71&gt;I$7)),0,MAX(0,ROUND((INDEX($E71:$G71,I$5)-SUMIFS(TF_Timer,TF_Tekniker,I$4,TF_Dato,$A71))*2,0)/2)))</f>
        <v/>
      </c>
      <c r="J71">
        <f>IF(OR(J$4="",$A71&gt;TODAY()),0,IF(OR(INDEX($B71:$D71,J$5)="F",AND(J$6&gt;0,$A71&lt;J$6),AND(J$7&gt;0,$A71&gt;J$7)),0,MAX(0,ROUND((INDEX($E71:$G71,J$5)-SUMIFS(TF_Timer,TF_Tekniker,J$4,TF_Dato,$A71))*2,0)/2)))</f>
        <v/>
      </c>
      <c r="K71">
        <f>IF(OR(K$4="",$A71&gt;TODAY()),0,IF(OR(INDEX($B71:$D71,K$5)="F",AND(K$6&gt;0,$A71&lt;K$6),AND(K$7&gt;0,$A71&gt;K$7)),0,MAX(0,ROUND((INDEX($E71:$G71,K$5)-SUMIFS(TF_Timer,TF_Tekniker,K$4,TF_Dato,$A71))*2,0)/2)))</f>
        <v/>
      </c>
      <c r="L71">
        <f>IF(OR(L$4="",$A71&gt;TODAY()),0,IF(OR(INDEX($B71:$D71,L$5)="F",AND(L$6&gt;0,$A71&lt;L$6),AND(L$7&gt;0,$A71&gt;L$7)),0,MAX(0,ROUND((INDEX($E71:$G71,L$5)-SUMIFS(TF_Timer,TF_Tekniker,L$4,TF_Dato,$A71))*2,0)/2)))</f>
        <v/>
      </c>
      <c r="M71">
        <f>IF(OR(M$4="",$A71&gt;TODAY()),0,IF(OR(INDEX($B71:$D71,M$5)="F",AND(M$6&gt;0,$A71&lt;M$6),AND(M$7&gt;0,$A71&gt;M$7)),0,MAX(0,ROUND((INDEX($E71:$G71,M$5)-SUMIFS(TF_Timer,TF_Tekniker,M$4,TF_Dato,$A71))*2,0)/2)))</f>
        <v/>
      </c>
      <c r="N71">
        <f>IF(OR(N$4="",$A71&gt;TODAY()),0,IF(OR(INDEX($B71:$D71,N$5)="F",AND(N$6&gt;0,$A71&lt;N$6),AND(N$7&gt;0,$A71&gt;N$7)),0,MAX(0,ROUND((INDEX($E71:$G71,N$5)-SUMIFS(TF_Timer,TF_Tekniker,N$4,TF_Dato,$A71))*2,0)/2)))</f>
        <v/>
      </c>
      <c r="O71">
        <f>IF(OR(O$4="",$A71&gt;TODAY()),0,IF(OR(INDEX($B71:$D71,O$5)="F",AND(O$6&gt;0,$A71&lt;O$6),AND(O$7&gt;0,$A71&gt;O$7)),0,MAX(0,ROUND((INDEX($E71:$G71,O$5)-SUMIFS(TF_Timer,TF_Tekniker,O$4,TF_Dato,$A71))*2,0)/2)))</f>
        <v/>
      </c>
      <c r="P71">
        <f>IF(OR(P$4="",$A71&gt;TODAY()),0,IF(OR(INDEX($B71:$D71,P$5)="F",AND(P$6&gt;0,$A71&lt;P$6),AND(P$7&gt;0,$A71&gt;P$7)),0,MAX(0,ROUND((INDEX($E71:$G71,P$5)-SUMIFS(TF_Timer,TF_Tekniker,P$4,TF_Dato,$A71))*2,0)/2)))</f>
        <v/>
      </c>
      <c r="Q71">
        <f>IF(OR(Q$4="",$A71&gt;TODAY()),0,IF(OR(INDEX($B71:$D71,Q$5)="F",AND(Q$6&gt;0,$A71&lt;Q$6),AND(Q$7&gt;0,$A71&gt;Q$7)),0,MAX(0,ROUND((INDEX($E71:$G71,Q$5)-SUMIFS(TF_Timer,TF_Tekniker,Q$4,TF_Dato,$A71))*2,0)/2)))</f>
        <v/>
      </c>
      <c r="R71">
        <f>IF(OR(R$4="",$A71&gt;TODAY()),0,IF(OR(INDEX($B71:$D71,R$5)="F",AND(R$6&gt;0,$A71&lt;R$6),AND(R$7&gt;0,$A71&gt;R$7)),0,MAX(0,ROUND((INDEX($E71:$G71,R$5)-SUMIFS(TF_Timer,TF_Tekniker,R$4,TF_Dato,$A71))*2,0)/2)))</f>
        <v/>
      </c>
      <c r="S71">
        <f>IF(OR(S$4="",$A71&gt;TODAY()),0,IF(OR(INDEX($B71:$D71,S$5)="F",AND(S$6&gt;0,$A71&lt;S$6),AND(S$7&gt;0,$A71&gt;S$7)),0,MAX(0,ROUND((INDEX($E71:$G71,S$5)-SUMIFS(TF_Timer,TF_Tekniker,S$4,TF_Dato,$A71))*2,0)/2)))</f>
        <v/>
      </c>
      <c r="T71">
        <f>IF(OR(T$4="",$A71&gt;TODAY()),0,IF(OR(INDEX($B71:$D71,T$5)="F",AND(T$6&gt;0,$A71&lt;T$6),AND(T$7&gt;0,$A71&gt;T$7)),0,MAX(0,ROUND((INDEX($E71:$G71,T$5)-SUMIFS(TF_Timer,TF_Tekniker,T$4,TF_Dato,$A71))*2,0)/2)))</f>
        <v/>
      </c>
      <c r="U71">
        <f>IF(OR(U$4="",$A71&gt;TODAY()),0,IF(OR(INDEX($B71:$D71,U$5)="F",AND(U$6&gt;0,$A71&lt;U$6),AND(U$7&gt;0,$A71&gt;U$7)),0,MAX(0,ROUND((INDEX($E71:$G71,U$5)-SUMIFS(TF_Timer,TF_Tekniker,U$4,TF_Dato,$A71))*2,0)/2)))</f>
        <v/>
      </c>
      <c r="V71">
        <f>IF(OR(V$4="",$A71&gt;TODAY()),0,IF(OR(INDEX($B71:$D71,V$5)="F",AND(V$6&gt;0,$A71&lt;V$6),AND(V$7&gt;0,$A71&gt;V$7)),0,MAX(0,ROUND((INDEX($E71:$G71,V$5)-SUMIFS(TF_Timer,TF_Tekniker,V$4,TF_Dato,$A71))*2,0)/2)))</f>
        <v/>
      </c>
      <c r="W71">
        <f>IF(OR(W$4="",$A71&gt;TODAY()),0,IF(OR(INDEX($B71:$D71,W$5)="F",AND(W$6&gt;0,$A71&lt;W$6),AND(W$7&gt;0,$A71&gt;W$7)),0,MAX(0,ROUND((INDEX($E71:$G71,W$5)-SUMIFS(TF_Timer,TF_Tekniker,W$4,TF_Dato,$A71))*2,0)/2)))</f>
        <v/>
      </c>
      <c r="X71">
        <f>IF(OR(X$4="",$A71&gt;TODAY()),0,IF(OR(INDEX($B71:$D71,X$5)="F",AND(X$6&gt;0,$A71&lt;X$6),AND(X$7&gt;0,$A71&gt;X$7)),0,MAX(0,ROUND((INDEX($E71:$G71,X$5)-SUMIFS(TF_Timer,TF_Tekniker,X$4,TF_Dato,$A71))*2,0)/2)))</f>
        <v/>
      </c>
      <c r="Y71">
        <f>IF(OR(Y$4="",$A71&gt;TODAY()),0,IF(OR(INDEX($B71:$D71,Y$5)="F",AND(Y$6&gt;0,$A71&lt;Y$6),AND(Y$7&gt;0,$A71&gt;Y$7)),0,MAX(0,ROUND((INDEX($E71:$G71,Y$5)-SUMIFS(TF_Timer,TF_Tekniker,Y$4,TF_Dato,$A71))*2,0)/2)))</f>
        <v/>
      </c>
      <c r="Z71">
        <f>IF(OR(Z$4="",$A71&gt;TODAY()),0,IF(OR(INDEX($B71:$D71,Z$5)="F",AND(Z$6&gt;0,$A71&lt;Z$6),AND(Z$7&gt;0,$A71&gt;Z$7)),0,MAX(0,ROUND((INDEX($E71:$G71,Z$5)-SUMIFS(TF_Timer,TF_Tekniker,Z$4,TF_Dato,$A71))*2,0)/2)))</f>
        <v/>
      </c>
      <c r="AA71">
        <f>IF(OR(AA$4="",$A71&gt;TODAY()),0,IF(OR(INDEX($B71:$D71,AA$5)="F",AND(AA$6&gt;0,$A71&lt;AA$6),AND(AA$7&gt;0,$A71&gt;AA$7)),0,MAX(0,ROUND((INDEX($E71:$G71,AA$5)-SUMIFS(TF_Timer,TF_Tekniker,AA$4,TF_Dato,$A71))*2,0)/2)))</f>
        <v/>
      </c>
      <c r="AB71">
        <f>IF(OR(AB$4="",$A71&gt;TODAY()),0,IF(OR(INDEX($B71:$D71,AB$5)="F",AND(AB$6&gt;0,$A71&lt;AB$6),AND(AB$7&gt;0,$A71&gt;AB$7)),0,MAX(0,ROUND((INDEX($E71:$G71,AB$5)-SUMIFS(TF_Timer,TF_Tekniker,AB$4,TF_Dato,$A71))*2,0)/2)))</f>
        <v/>
      </c>
      <c r="AC71">
        <f>IF(OR(AC$4="",$A71&gt;TODAY()),0,IF(OR(INDEX($B71:$D71,AC$5)="F",AND(AC$6&gt;0,$A71&lt;AC$6),AND(AC$7&gt;0,$A71&gt;AC$7)),0,MAX(0,ROUND((INDEX($E71:$G71,AC$5)-SUMIFS(TF_Timer,TF_Tekniker,AC$4,TF_Dato,$A71))*2,0)/2)))</f>
        <v/>
      </c>
      <c r="AD71">
        <f>IF(OR(AD$4="",$A71&gt;TODAY()),0,IF(OR(INDEX($B71:$D71,AD$5)="F",AND(AD$6&gt;0,$A71&lt;AD$6),AND(AD$7&gt;0,$A71&gt;AD$7)),0,MAX(0,ROUND((INDEX($E71:$G71,AD$5)-SUMIFS(TF_Timer,TF_Tekniker,AD$4,TF_Dato,$A71))*2,0)/2)))</f>
        <v/>
      </c>
      <c r="AE71">
        <f>IF(OR(AE$4="",$A71&gt;TODAY()),0,IF(OR(INDEX($B71:$D71,AE$5)="F",AND(AE$6&gt;0,$A71&lt;AE$6),AND(AE$7&gt;0,$A71&gt;AE$7)),0,MAX(0,ROUND((INDEX($E71:$G71,AE$5)-SUMIFS(TF_Timer,TF_Tekniker,AE$4,TF_Dato,$A71))*2,0)/2)))</f>
        <v/>
      </c>
      <c r="AF71">
        <f>IF(OR(AF$4="",$A71&gt;TODAY()),0,IF(OR(INDEX($B71:$D71,AF$5)="F",AND(AF$6&gt;0,$A71&lt;AF$6),AND(AF$7&gt;0,$A71&gt;AF$7)),0,MAX(0,ROUND((INDEX($E71:$G71,AF$5)-SUMIFS(TF_Timer,TF_Tekniker,AF$4,TF_Dato,$A71))*2,0)/2)))</f>
        <v/>
      </c>
      <c r="AG71">
        <f>IF(OR(AG$4="",$A71&gt;TODAY()),0,IF(OR(INDEX($B71:$D71,AG$5)="F",AND(AG$6&gt;0,$A71&lt;AG$6),AND(AG$7&gt;0,$A71&gt;AG$7)),0,MAX(0,ROUND((INDEX($E71:$G71,AG$5)-SUMIFS(TF_Timer,TF_Tekniker,AG$4,TF_Dato,$A71))*2,0)/2)))</f>
        <v/>
      </c>
      <c r="AH71">
        <f>IF(OR(AH$4="",$A71&gt;TODAY()),0,IF(OR(INDEX($B71:$D71,AH$5)="F",AND(AH$6&gt;0,$A71&lt;AH$6),AND(AH$7&gt;0,$A71&gt;AH$7)),0,MAX(0,ROUND((INDEX($E71:$G71,AH$5)-SUMIFS(TF_Timer,TF_Tekniker,AH$4,TF_Dato,$A71))*2,0)/2)))</f>
        <v/>
      </c>
      <c r="AI71">
        <f>IF(OR(AI$4="",$A71&gt;TODAY()),0,IF(OR(INDEX($B71:$D71,AI$5)="F",AND(AI$6&gt;0,$A71&lt;AI$6),AND(AI$7&gt;0,$A71&gt;AI$7)),0,MAX(0,ROUND((INDEX($E71:$G71,AI$5)-SUMIFS(TF_Timer,TF_Tekniker,AI$4,TF_Dato,$A71))*2,0)/2)))</f>
        <v/>
      </c>
      <c r="AJ71">
        <f>IF(OR(AJ$4="",$A71&gt;TODAY()),0,IF(OR(INDEX($B71:$D71,AJ$5)="F",AND(AJ$6&gt;0,$A71&lt;AJ$6),AND(AJ$7&gt;0,$A71&gt;AJ$7)),0,MAX(0,ROUND((INDEX($E71:$G71,AJ$5)-SUMIFS(TF_Timer,TF_Tekniker,AJ$4,TF_Dato,$A71))*2,0)/2)))</f>
        <v/>
      </c>
      <c r="AK71">
        <f>IF(OR(AK$4="",$A71&gt;TODAY()),0,IF(OR(INDEX($B71:$D71,AK$5)="F",AND(AK$6&gt;0,$A71&lt;AK$6),AND(AK$7&gt;0,$A71&gt;AK$7)),0,MAX(0,ROUND((INDEX($E71:$G71,AK$5)-SUMIFS(TF_Timer,TF_Tekniker,AK$4,TF_Dato,$A71))*2,0)/2)))</f>
        <v/>
      </c>
      <c r="AL71">
        <f>IF(OR(AL$4="",$A71&gt;TODAY()),0,IF(OR(INDEX($B71:$D71,AL$5)="F",AND(AL$6&gt;0,$A71&lt;AL$6),AND(AL$7&gt;0,$A71&gt;AL$7)),0,MAX(0,ROUND((INDEX($E71:$G71,AL$5)-SUMIFS(TF_Timer,TF_Tekniker,AL$4,TF_Dato,$A71))*2,0)/2)))</f>
        <v/>
      </c>
      <c r="AM71">
        <f>IF(OR(AM$4="",$A71&gt;TODAY()),0,IF(OR(INDEX($B71:$D71,AM$5)="F",AND(AM$6&gt;0,$A71&lt;AM$6),AND(AM$7&gt;0,$A71&gt;AM$7)),0,MAX(0,ROUND((INDEX($E71:$G71,AM$5)-SUMIFS(TF_Timer,TF_Tekniker,AM$4,TF_Dato,$A71))*2,0)/2)))</f>
        <v/>
      </c>
      <c r="AN71">
        <f>IF(OR(AN$4="",$A71&gt;TODAY()),0,IF(OR(INDEX($B71:$D71,AN$5)="F",AND(AN$6&gt;0,$A71&lt;AN$6),AND(AN$7&gt;0,$A71&gt;AN$7)),0,MAX(0,ROUND((INDEX($E71:$G71,AN$5)-SUMIFS(TF_Timer,TF_Tekniker,AN$4,TF_Dato,$A71))*2,0)/2)))</f>
        <v/>
      </c>
      <c r="AO71">
        <f>IF(OR(AO$4="",$A71&gt;TODAY()),0,IF(OR(INDEX($B71:$D71,AO$5)="F",AND(AO$6&gt;0,$A71&lt;AO$6),AND(AO$7&gt;0,$A71&gt;AO$7)),0,MAX(0,ROUND((INDEX($E71:$G71,AO$5)-SUMIFS(TF_Timer,TF_Tekniker,AO$4,TF_Dato,$A71))*2,0)/2)))</f>
        <v/>
      </c>
      <c r="AP71">
        <f>IF(OR(AP$4="",$A71&gt;TODAY()),0,IF(OR(INDEX($B71:$D71,AP$5)="F",AND(AP$6&gt;0,$A71&lt;AP$6),AND(AP$7&gt;0,$A71&gt;AP$7)),0,MAX(0,ROUND((INDEX($E71:$G71,AP$5)-SUMIFS(TF_Timer,TF_Tekniker,AP$4,TF_Dato,$A71))*2,0)/2)))</f>
        <v/>
      </c>
      <c r="AQ71">
        <f>IF(OR(AQ$4="",$A71&gt;TODAY()),0,IF(OR(INDEX($B71:$D71,AQ$5)="F",AND(AQ$6&gt;0,$A71&lt;AQ$6),AND(AQ$7&gt;0,$A71&gt;AQ$7)),0,MAX(0,ROUND((INDEX($E71:$G71,AQ$5)-SUMIFS(TF_Timer,TF_Tekniker,AQ$4,TF_Dato,$A71))*2,0)/2)))</f>
        <v/>
      </c>
      <c r="AR71">
        <f>IF(OR(AR$4="",$A71&gt;TODAY()),0,IF(OR(INDEX($B71:$D71,AR$5)="F",AND(AR$6&gt;0,$A71&lt;AR$6),AND(AR$7&gt;0,$A71&gt;AR$7)),0,MAX(0,ROUND((INDEX($E71:$G71,AR$5)-SUMIFS(TF_Timer,TF_Tekniker,AR$4,TF_Dato,$A71))*2,0)/2)))</f>
        <v/>
      </c>
      <c r="AS71">
        <f>IF(OR(AS$4="",$A71&gt;TODAY()),0,IF(OR(INDEX($B71:$D71,AS$5)="F",AND(AS$6&gt;0,$A71&lt;AS$6),AND(AS$7&gt;0,$A71&gt;AS$7)),0,MAX(0,ROUND((INDEX($E71:$G71,AS$5)-SUMIFS(TF_Timer,TF_Tekniker,AS$4,TF_Dato,$A71))*2,0)/2)))</f>
        <v/>
      </c>
      <c r="AT71">
        <f>IF(OR(AT$4="",$A71&gt;TODAY()),0,IF(OR(INDEX($B71:$D71,AT$5)="F",AND(AT$6&gt;0,$A71&lt;AT$6),AND(AT$7&gt;0,$A71&gt;AT$7)),0,MAX(0,ROUND((INDEX($E71:$G71,AT$5)-SUMIFS(TF_Timer,TF_Tekniker,AT$4,TF_Dato,$A71))*2,0)/2)))</f>
        <v/>
      </c>
      <c r="AU71">
        <f>IF(OR(AU$4="",$A71&gt;TODAY()),0,IF(OR(INDEX($B71:$D71,AU$5)="F",AND(AU$6&gt;0,$A71&lt;AU$6),AND(AU$7&gt;0,$A71&gt;AU$7)),0,MAX(0,ROUND((INDEX($E71:$G71,AU$5)-SUMIFS(TF_Timer,TF_Tekniker,AU$4,TF_Dato,$A71))*2,0)/2)))</f>
        <v/>
      </c>
      <c r="AV71">
        <f>IF(OR(AV$4="",$A71&gt;TODAY()),0,IF(OR(INDEX($B71:$D71,AV$5)="F",AND(AV$6&gt;0,$A71&lt;AV$6),AND(AV$7&gt;0,$A71&gt;AV$7)),0,MAX(0,ROUND((INDEX($E71:$G71,AV$5)-SUMIFS(TF_Timer,TF_Tekniker,AV$4,TF_Dato,$A71))*2,0)/2)))</f>
        <v/>
      </c>
      <c r="AW71">
        <f>IF(OR(AW$4="",$A71&gt;TODAY()),0,IF(OR(INDEX($B71:$D71,AW$5)="F",AND(AW$6&gt;0,$A71&lt;AW$6),AND(AW$7&gt;0,$A71&gt;AW$7)),0,MAX(0,ROUND((INDEX($E71:$G71,AW$5)-SUMIFS(TF_Timer,TF_Tekniker,AW$4,TF_Dato,$A71))*2,0)/2)))</f>
        <v/>
      </c>
      <c r="AX71">
        <f>IF(OR(AX$4="",$A71&gt;TODAY()),0,IF(OR(INDEX($B71:$D71,AX$5)="F",AND(AX$6&gt;0,$A71&lt;AX$6),AND(AX$7&gt;0,$A71&gt;AX$7)),0,MAX(0,ROUND((INDEX($E71:$G71,AX$5)-SUMIFS(TF_Timer,TF_Tekniker,AX$4,TF_Dato,$A71))*2,0)/2)))</f>
        <v/>
      </c>
      <c r="AY71">
        <f>IF(OR(AY$4="",$A71&gt;TODAY()),0,IF(OR(INDEX($B71:$D71,AY$5)="F",AND(AY$6&gt;0,$A71&lt;AY$6),AND(AY$7&gt;0,$A71&gt;AY$7)),0,MAX(0,ROUND((INDEX($E71:$G71,AY$5)-SUMIFS(TF_Timer,TF_Tekniker,AY$4,TF_Dato,$A71))*2,0)/2)))</f>
        <v/>
      </c>
      <c r="AZ71">
        <f>IF(OR(AZ$4="",$A71&gt;TODAY()),0,IF(OR(INDEX($B71:$D71,AZ$5)="F",AND(AZ$6&gt;0,$A71&lt;AZ$6),AND(AZ$7&gt;0,$A71&gt;AZ$7)),0,MAX(0,ROUND((INDEX($E71:$G71,AZ$5)-SUMIFS(TF_Timer,TF_Tekniker,AZ$4,TF_Dato,$A71))*2,0)/2)))</f>
        <v/>
      </c>
      <c r="BA71">
        <f>IF(OR(BA$4="",$A71&gt;TODAY()),0,IF(OR(INDEX($B71:$D71,BA$5)="F",AND(BA$6&gt;0,$A71&lt;BA$6),AND(BA$7&gt;0,$A71&gt;BA$7)),0,MAX(0,ROUND((INDEX($E71:$G71,BA$5)-SUMIFS(TF_Timer,TF_Tekniker,BA$4,TF_Dato,$A71))*2,0)/2)))</f>
        <v/>
      </c>
      <c r="BB71">
        <f>IF(OR(BB$4="",$A71&gt;TODAY()),0,IF(OR(INDEX($B71:$D71,BB$5)="F",AND(BB$6&gt;0,$A71&lt;BB$6),AND(BB$7&gt;0,$A71&gt;BB$7)),0,MAX(0,ROUND((INDEX($E71:$G71,BB$5)-SUMIFS(TF_Timer,TF_Tekniker,BB$4,TF_Dato,$A71))*2,0)/2)))</f>
        <v/>
      </c>
      <c r="BC71">
        <f>IF(OR(BC$4="",$A71&gt;TODAY()),0,IF(OR(INDEX($B71:$D71,BC$5)="F",AND(BC$6&gt;0,$A71&lt;BC$6),AND(BC$7&gt;0,$A71&gt;BC$7)),0,MAX(0,ROUND((INDEX($E71:$G71,BC$5)-SUMIFS(TF_Timer,TF_Tekniker,BC$4,TF_Dato,$A71))*2,0)/2)))</f>
        <v/>
      </c>
      <c r="BD71">
        <f>IF(OR(BD$4="",$A71&gt;TODAY()),0,IF(OR(INDEX($B71:$D71,BD$5)="F",AND(BD$6&gt;0,$A71&lt;BD$6),AND(BD$7&gt;0,$A71&gt;BD$7)),0,MAX(0,ROUND((INDEX($E71:$G71,BD$5)-SUMIFS(TF_Timer,TF_Tekniker,BD$4,TF_Dato,$A71))*2,0)/2)))</f>
        <v/>
      </c>
      <c r="BE71">
        <f>IF(OR(BE$4="",$A71&gt;TODAY()),0,IF(OR(INDEX($B71:$D71,BE$5)="F",AND(BE$6&gt;0,$A71&lt;BE$6),AND(BE$7&gt;0,$A71&gt;BE$7)),0,MAX(0,ROUND((INDEX($E71:$G71,BE$5)-SUMIFS(TF_Timer,TF_Tekniker,BE$4,TF_Dato,$A71))*2,0)/2)))</f>
        <v/>
      </c>
      <c r="BF71">
        <f>IF(OR(BF$4="",$A71&gt;TODAY()),0,IF(OR(INDEX($B71:$D71,BF$5)="F",AND(BF$6&gt;0,$A71&lt;BF$6),AND(BF$7&gt;0,$A71&gt;BF$7)),0,MAX(0,ROUND((INDEX($E71:$G71,BF$5)-SUMIFS(TF_Timer,TF_Tekniker,BF$4,TF_Dato,$A71))*2,0)/2)))</f>
        <v/>
      </c>
      <c r="BG71">
        <f>IF(OR(BG$4="",$A71&gt;TODAY()),0,IF(OR(INDEX($B71:$D71,BG$5)="F",AND(BG$6&gt;0,$A71&lt;BG$6),AND(BG$7&gt;0,$A71&gt;BG$7)),0,MAX(0,ROUND((INDEX($E71:$G71,BG$5)-SUMIFS(TF_Timer,TF_Tekniker,BG$4,TF_Dato,$A71))*2,0)/2)))</f>
        <v/>
      </c>
      <c r="BH71">
        <f>IF(OR(BH$4="",$A71&gt;TODAY()),0,IF(OR(INDEX($B71:$D71,BH$5)="F",AND(BH$6&gt;0,$A71&lt;BH$6),AND(BH$7&gt;0,$A71&gt;BH$7)),0,MAX(0,ROUND((INDEX($E71:$G71,BH$5)-SUMIFS(TF_Timer,TF_Tekniker,BH$4,TF_Dato,$A71))*2,0)/2)))</f>
        <v/>
      </c>
      <c r="BI71">
        <f>IF(OR(BI$4="",$A71&gt;TODAY()),0,IF(OR(INDEX($B71:$D71,BI$5)="F",AND(BI$6&gt;0,$A71&lt;BI$6),AND(BI$7&gt;0,$A71&gt;BI$7)),0,MAX(0,ROUND((INDEX($E71:$G71,BI$5)-SUMIFS(TF_Timer,TF_Tekniker,BI$4,TF_Dato,$A71))*2,0)/2)))</f>
        <v/>
      </c>
    </row>
    <row r="72">
      <c r="A72" s="64">
        <f>A71+1</f>
        <v/>
      </c>
      <c r="B72">
        <f>IF(MOD($A72-INDEX(SkiftStart,1),Syklus)&lt;DagK,"K",IF(MOD($A72-INDEX(SkiftStart,1),Syklus)&lt;DagK+DagH,"H",IF(MOD($A72-INDEX(SkiftStart,1),Syklus)&lt;DagK+DagH+DagD,"D","F")))</f>
        <v/>
      </c>
      <c r="C72">
        <f>IF(MOD($A72-INDEX(SkiftStart,2),Syklus)&lt;DagK,"K",IF(MOD($A72-INDEX(SkiftStart,2),Syklus)&lt;DagK+DagH,"H",IF(MOD($A72-INDEX(SkiftStart,2),Syklus)&lt;DagK+DagH+DagD,"D","F")))</f>
        <v/>
      </c>
      <c r="D72">
        <f>IF(MOD($A72-INDEX(SkiftStart,3),Syklus)&lt;DagK,"K",IF(MOD($A72-INDEX(SkiftStart,3),Syklus)&lt;DagK+DagH,"H",IF(MOD($A72-INDEX(SkiftStart,3),Syklus)&lt;DagK+DagH+DagD,"D","F")))</f>
        <v/>
      </c>
      <c r="E72">
        <f>IF(B72="F",0,IF(WEEKDAY($A72,2)=5,INDEX(TimerFr,MATCH(B72,FaseKode,0)),INDEX(TimerMT,MATCH(B72,FaseKode,0))))</f>
        <v/>
      </c>
      <c r="F72">
        <f>IF(C72="F",0,IF(WEEKDAY($A72,2)=5,INDEX(TimerFr,MATCH(C72,FaseKode,0)),INDEX(TimerMT,MATCH(C72,FaseKode,0))))</f>
        <v/>
      </c>
      <c r="G72">
        <f>IF(D72="F",0,IF(WEEKDAY($A72,2)=5,INDEX(TimerFr,MATCH(D72,FaseKode,0)),INDEX(TimerMT,MATCH(D72,FaseKode,0))))</f>
        <v/>
      </c>
      <c r="H72">
        <f>IF(OR(H$4="",$A72&gt;TODAY()),0,IF(OR(INDEX($B72:$D72,H$5)="F",AND(H$6&gt;0,$A72&lt;H$6),AND(H$7&gt;0,$A72&gt;H$7)),0,MAX(0,ROUND((INDEX($E72:$G72,H$5)-SUMIFS(TF_Timer,TF_Tekniker,H$4,TF_Dato,$A72))*2,0)/2)))</f>
        <v/>
      </c>
      <c r="I72">
        <f>IF(OR(I$4="",$A72&gt;TODAY()),0,IF(OR(INDEX($B72:$D72,I$5)="F",AND(I$6&gt;0,$A72&lt;I$6),AND(I$7&gt;0,$A72&gt;I$7)),0,MAX(0,ROUND((INDEX($E72:$G72,I$5)-SUMIFS(TF_Timer,TF_Tekniker,I$4,TF_Dato,$A72))*2,0)/2)))</f>
        <v/>
      </c>
      <c r="J72">
        <f>IF(OR(J$4="",$A72&gt;TODAY()),0,IF(OR(INDEX($B72:$D72,J$5)="F",AND(J$6&gt;0,$A72&lt;J$6),AND(J$7&gt;0,$A72&gt;J$7)),0,MAX(0,ROUND((INDEX($E72:$G72,J$5)-SUMIFS(TF_Timer,TF_Tekniker,J$4,TF_Dato,$A72))*2,0)/2)))</f>
        <v/>
      </c>
      <c r="K72">
        <f>IF(OR(K$4="",$A72&gt;TODAY()),0,IF(OR(INDEX($B72:$D72,K$5)="F",AND(K$6&gt;0,$A72&lt;K$6),AND(K$7&gt;0,$A72&gt;K$7)),0,MAX(0,ROUND((INDEX($E72:$G72,K$5)-SUMIFS(TF_Timer,TF_Tekniker,K$4,TF_Dato,$A72))*2,0)/2)))</f>
        <v/>
      </c>
      <c r="L72">
        <f>IF(OR(L$4="",$A72&gt;TODAY()),0,IF(OR(INDEX($B72:$D72,L$5)="F",AND(L$6&gt;0,$A72&lt;L$6),AND(L$7&gt;0,$A72&gt;L$7)),0,MAX(0,ROUND((INDEX($E72:$G72,L$5)-SUMIFS(TF_Timer,TF_Tekniker,L$4,TF_Dato,$A72))*2,0)/2)))</f>
        <v/>
      </c>
      <c r="M72">
        <f>IF(OR(M$4="",$A72&gt;TODAY()),0,IF(OR(INDEX($B72:$D72,M$5)="F",AND(M$6&gt;0,$A72&lt;M$6),AND(M$7&gt;0,$A72&gt;M$7)),0,MAX(0,ROUND((INDEX($E72:$G72,M$5)-SUMIFS(TF_Timer,TF_Tekniker,M$4,TF_Dato,$A72))*2,0)/2)))</f>
        <v/>
      </c>
      <c r="N72">
        <f>IF(OR(N$4="",$A72&gt;TODAY()),0,IF(OR(INDEX($B72:$D72,N$5)="F",AND(N$6&gt;0,$A72&lt;N$6),AND(N$7&gt;0,$A72&gt;N$7)),0,MAX(0,ROUND((INDEX($E72:$G72,N$5)-SUMIFS(TF_Timer,TF_Tekniker,N$4,TF_Dato,$A72))*2,0)/2)))</f>
        <v/>
      </c>
      <c r="O72">
        <f>IF(OR(O$4="",$A72&gt;TODAY()),0,IF(OR(INDEX($B72:$D72,O$5)="F",AND(O$6&gt;0,$A72&lt;O$6),AND(O$7&gt;0,$A72&gt;O$7)),0,MAX(0,ROUND((INDEX($E72:$G72,O$5)-SUMIFS(TF_Timer,TF_Tekniker,O$4,TF_Dato,$A72))*2,0)/2)))</f>
        <v/>
      </c>
      <c r="P72">
        <f>IF(OR(P$4="",$A72&gt;TODAY()),0,IF(OR(INDEX($B72:$D72,P$5)="F",AND(P$6&gt;0,$A72&lt;P$6),AND(P$7&gt;0,$A72&gt;P$7)),0,MAX(0,ROUND((INDEX($E72:$G72,P$5)-SUMIFS(TF_Timer,TF_Tekniker,P$4,TF_Dato,$A72))*2,0)/2)))</f>
        <v/>
      </c>
      <c r="Q72">
        <f>IF(OR(Q$4="",$A72&gt;TODAY()),0,IF(OR(INDEX($B72:$D72,Q$5)="F",AND(Q$6&gt;0,$A72&lt;Q$6),AND(Q$7&gt;0,$A72&gt;Q$7)),0,MAX(0,ROUND((INDEX($E72:$G72,Q$5)-SUMIFS(TF_Timer,TF_Tekniker,Q$4,TF_Dato,$A72))*2,0)/2)))</f>
        <v/>
      </c>
      <c r="R72">
        <f>IF(OR(R$4="",$A72&gt;TODAY()),0,IF(OR(INDEX($B72:$D72,R$5)="F",AND(R$6&gt;0,$A72&lt;R$6),AND(R$7&gt;0,$A72&gt;R$7)),0,MAX(0,ROUND((INDEX($E72:$G72,R$5)-SUMIFS(TF_Timer,TF_Tekniker,R$4,TF_Dato,$A72))*2,0)/2)))</f>
        <v/>
      </c>
      <c r="S72">
        <f>IF(OR(S$4="",$A72&gt;TODAY()),0,IF(OR(INDEX($B72:$D72,S$5)="F",AND(S$6&gt;0,$A72&lt;S$6),AND(S$7&gt;0,$A72&gt;S$7)),0,MAX(0,ROUND((INDEX($E72:$G72,S$5)-SUMIFS(TF_Timer,TF_Tekniker,S$4,TF_Dato,$A72))*2,0)/2)))</f>
        <v/>
      </c>
      <c r="T72">
        <f>IF(OR(T$4="",$A72&gt;TODAY()),0,IF(OR(INDEX($B72:$D72,T$5)="F",AND(T$6&gt;0,$A72&lt;T$6),AND(T$7&gt;0,$A72&gt;T$7)),0,MAX(0,ROUND((INDEX($E72:$G72,T$5)-SUMIFS(TF_Timer,TF_Tekniker,T$4,TF_Dato,$A72))*2,0)/2)))</f>
        <v/>
      </c>
      <c r="U72">
        <f>IF(OR(U$4="",$A72&gt;TODAY()),0,IF(OR(INDEX($B72:$D72,U$5)="F",AND(U$6&gt;0,$A72&lt;U$6),AND(U$7&gt;0,$A72&gt;U$7)),0,MAX(0,ROUND((INDEX($E72:$G72,U$5)-SUMIFS(TF_Timer,TF_Tekniker,U$4,TF_Dato,$A72))*2,0)/2)))</f>
        <v/>
      </c>
      <c r="V72">
        <f>IF(OR(V$4="",$A72&gt;TODAY()),0,IF(OR(INDEX($B72:$D72,V$5)="F",AND(V$6&gt;0,$A72&lt;V$6),AND(V$7&gt;0,$A72&gt;V$7)),0,MAX(0,ROUND((INDEX($E72:$G72,V$5)-SUMIFS(TF_Timer,TF_Tekniker,V$4,TF_Dato,$A72))*2,0)/2)))</f>
        <v/>
      </c>
      <c r="W72">
        <f>IF(OR(W$4="",$A72&gt;TODAY()),0,IF(OR(INDEX($B72:$D72,W$5)="F",AND(W$6&gt;0,$A72&lt;W$6),AND(W$7&gt;0,$A72&gt;W$7)),0,MAX(0,ROUND((INDEX($E72:$G72,W$5)-SUMIFS(TF_Timer,TF_Tekniker,W$4,TF_Dato,$A72))*2,0)/2)))</f>
        <v/>
      </c>
      <c r="X72">
        <f>IF(OR(X$4="",$A72&gt;TODAY()),0,IF(OR(INDEX($B72:$D72,X$5)="F",AND(X$6&gt;0,$A72&lt;X$6),AND(X$7&gt;0,$A72&gt;X$7)),0,MAX(0,ROUND((INDEX($E72:$G72,X$5)-SUMIFS(TF_Timer,TF_Tekniker,X$4,TF_Dato,$A72))*2,0)/2)))</f>
        <v/>
      </c>
      <c r="Y72">
        <f>IF(OR(Y$4="",$A72&gt;TODAY()),0,IF(OR(INDEX($B72:$D72,Y$5)="F",AND(Y$6&gt;0,$A72&lt;Y$6),AND(Y$7&gt;0,$A72&gt;Y$7)),0,MAX(0,ROUND((INDEX($E72:$G72,Y$5)-SUMIFS(TF_Timer,TF_Tekniker,Y$4,TF_Dato,$A72))*2,0)/2)))</f>
        <v/>
      </c>
      <c r="Z72">
        <f>IF(OR(Z$4="",$A72&gt;TODAY()),0,IF(OR(INDEX($B72:$D72,Z$5)="F",AND(Z$6&gt;0,$A72&lt;Z$6),AND(Z$7&gt;0,$A72&gt;Z$7)),0,MAX(0,ROUND((INDEX($E72:$G72,Z$5)-SUMIFS(TF_Timer,TF_Tekniker,Z$4,TF_Dato,$A72))*2,0)/2)))</f>
        <v/>
      </c>
      <c r="AA72">
        <f>IF(OR(AA$4="",$A72&gt;TODAY()),0,IF(OR(INDEX($B72:$D72,AA$5)="F",AND(AA$6&gt;0,$A72&lt;AA$6),AND(AA$7&gt;0,$A72&gt;AA$7)),0,MAX(0,ROUND((INDEX($E72:$G72,AA$5)-SUMIFS(TF_Timer,TF_Tekniker,AA$4,TF_Dato,$A72))*2,0)/2)))</f>
        <v/>
      </c>
      <c r="AB72">
        <f>IF(OR(AB$4="",$A72&gt;TODAY()),0,IF(OR(INDEX($B72:$D72,AB$5)="F",AND(AB$6&gt;0,$A72&lt;AB$6),AND(AB$7&gt;0,$A72&gt;AB$7)),0,MAX(0,ROUND((INDEX($E72:$G72,AB$5)-SUMIFS(TF_Timer,TF_Tekniker,AB$4,TF_Dato,$A72))*2,0)/2)))</f>
        <v/>
      </c>
      <c r="AC72">
        <f>IF(OR(AC$4="",$A72&gt;TODAY()),0,IF(OR(INDEX($B72:$D72,AC$5)="F",AND(AC$6&gt;0,$A72&lt;AC$6),AND(AC$7&gt;0,$A72&gt;AC$7)),0,MAX(0,ROUND((INDEX($E72:$G72,AC$5)-SUMIFS(TF_Timer,TF_Tekniker,AC$4,TF_Dato,$A72))*2,0)/2)))</f>
        <v/>
      </c>
      <c r="AD72">
        <f>IF(OR(AD$4="",$A72&gt;TODAY()),0,IF(OR(INDEX($B72:$D72,AD$5)="F",AND(AD$6&gt;0,$A72&lt;AD$6),AND(AD$7&gt;0,$A72&gt;AD$7)),0,MAX(0,ROUND((INDEX($E72:$G72,AD$5)-SUMIFS(TF_Timer,TF_Tekniker,AD$4,TF_Dato,$A72))*2,0)/2)))</f>
        <v/>
      </c>
      <c r="AE72">
        <f>IF(OR(AE$4="",$A72&gt;TODAY()),0,IF(OR(INDEX($B72:$D72,AE$5)="F",AND(AE$6&gt;0,$A72&lt;AE$6),AND(AE$7&gt;0,$A72&gt;AE$7)),0,MAX(0,ROUND((INDEX($E72:$G72,AE$5)-SUMIFS(TF_Timer,TF_Tekniker,AE$4,TF_Dato,$A72))*2,0)/2)))</f>
        <v/>
      </c>
      <c r="AF72">
        <f>IF(OR(AF$4="",$A72&gt;TODAY()),0,IF(OR(INDEX($B72:$D72,AF$5)="F",AND(AF$6&gt;0,$A72&lt;AF$6),AND(AF$7&gt;0,$A72&gt;AF$7)),0,MAX(0,ROUND((INDEX($E72:$G72,AF$5)-SUMIFS(TF_Timer,TF_Tekniker,AF$4,TF_Dato,$A72))*2,0)/2)))</f>
        <v/>
      </c>
      <c r="AG72">
        <f>IF(OR(AG$4="",$A72&gt;TODAY()),0,IF(OR(INDEX($B72:$D72,AG$5)="F",AND(AG$6&gt;0,$A72&lt;AG$6),AND(AG$7&gt;0,$A72&gt;AG$7)),0,MAX(0,ROUND((INDEX($E72:$G72,AG$5)-SUMIFS(TF_Timer,TF_Tekniker,AG$4,TF_Dato,$A72))*2,0)/2)))</f>
        <v/>
      </c>
      <c r="AH72">
        <f>IF(OR(AH$4="",$A72&gt;TODAY()),0,IF(OR(INDEX($B72:$D72,AH$5)="F",AND(AH$6&gt;0,$A72&lt;AH$6),AND(AH$7&gt;0,$A72&gt;AH$7)),0,MAX(0,ROUND((INDEX($E72:$G72,AH$5)-SUMIFS(TF_Timer,TF_Tekniker,AH$4,TF_Dato,$A72))*2,0)/2)))</f>
        <v/>
      </c>
      <c r="AI72">
        <f>IF(OR(AI$4="",$A72&gt;TODAY()),0,IF(OR(INDEX($B72:$D72,AI$5)="F",AND(AI$6&gt;0,$A72&lt;AI$6),AND(AI$7&gt;0,$A72&gt;AI$7)),0,MAX(0,ROUND((INDEX($E72:$G72,AI$5)-SUMIFS(TF_Timer,TF_Tekniker,AI$4,TF_Dato,$A72))*2,0)/2)))</f>
        <v/>
      </c>
      <c r="AJ72">
        <f>IF(OR(AJ$4="",$A72&gt;TODAY()),0,IF(OR(INDEX($B72:$D72,AJ$5)="F",AND(AJ$6&gt;0,$A72&lt;AJ$6),AND(AJ$7&gt;0,$A72&gt;AJ$7)),0,MAX(0,ROUND((INDEX($E72:$G72,AJ$5)-SUMIFS(TF_Timer,TF_Tekniker,AJ$4,TF_Dato,$A72))*2,0)/2)))</f>
        <v/>
      </c>
      <c r="AK72">
        <f>IF(OR(AK$4="",$A72&gt;TODAY()),0,IF(OR(INDEX($B72:$D72,AK$5)="F",AND(AK$6&gt;0,$A72&lt;AK$6),AND(AK$7&gt;0,$A72&gt;AK$7)),0,MAX(0,ROUND((INDEX($E72:$G72,AK$5)-SUMIFS(TF_Timer,TF_Tekniker,AK$4,TF_Dato,$A72))*2,0)/2)))</f>
        <v/>
      </c>
      <c r="AL72">
        <f>IF(OR(AL$4="",$A72&gt;TODAY()),0,IF(OR(INDEX($B72:$D72,AL$5)="F",AND(AL$6&gt;0,$A72&lt;AL$6),AND(AL$7&gt;0,$A72&gt;AL$7)),0,MAX(0,ROUND((INDEX($E72:$G72,AL$5)-SUMIFS(TF_Timer,TF_Tekniker,AL$4,TF_Dato,$A72))*2,0)/2)))</f>
        <v/>
      </c>
      <c r="AM72">
        <f>IF(OR(AM$4="",$A72&gt;TODAY()),0,IF(OR(INDEX($B72:$D72,AM$5)="F",AND(AM$6&gt;0,$A72&lt;AM$6),AND(AM$7&gt;0,$A72&gt;AM$7)),0,MAX(0,ROUND((INDEX($E72:$G72,AM$5)-SUMIFS(TF_Timer,TF_Tekniker,AM$4,TF_Dato,$A72))*2,0)/2)))</f>
        <v/>
      </c>
      <c r="AN72">
        <f>IF(OR(AN$4="",$A72&gt;TODAY()),0,IF(OR(INDEX($B72:$D72,AN$5)="F",AND(AN$6&gt;0,$A72&lt;AN$6),AND(AN$7&gt;0,$A72&gt;AN$7)),0,MAX(0,ROUND((INDEX($E72:$G72,AN$5)-SUMIFS(TF_Timer,TF_Tekniker,AN$4,TF_Dato,$A72))*2,0)/2)))</f>
        <v/>
      </c>
      <c r="AO72">
        <f>IF(OR(AO$4="",$A72&gt;TODAY()),0,IF(OR(INDEX($B72:$D72,AO$5)="F",AND(AO$6&gt;0,$A72&lt;AO$6),AND(AO$7&gt;0,$A72&gt;AO$7)),0,MAX(0,ROUND((INDEX($E72:$G72,AO$5)-SUMIFS(TF_Timer,TF_Tekniker,AO$4,TF_Dato,$A72))*2,0)/2)))</f>
        <v/>
      </c>
      <c r="AP72">
        <f>IF(OR(AP$4="",$A72&gt;TODAY()),0,IF(OR(INDEX($B72:$D72,AP$5)="F",AND(AP$6&gt;0,$A72&lt;AP$6),AND(AP$7&gt;0,$A72&gt;AP$7)),0,MAX(0,ROUND((INDEX($E72:$G72,AP$5)-SUMIFS(TF_Timer,TF_Tekniker,AP$4,TF_Dato,$A72))*2,0)/2)))</f>
        <v/>
      </c>
      <c r="AQ72">
        <f>IF(OR(AQ$4="",$A72&gt;TODAY()),0,IF(OR(INDEX($B72:$D72,AQ$5)="F",AND(AQ$6&gt;0,$A72&lt;AQ$6),AND(AQ$7&gt;0,$A72&gt;AQ$7)),0,MAX(0,ROUND((INDEX($E72:$G72,AQ$5)-SUMIFS(TF_Timer,TF_Tekniker,AQ$4,TF_Dato,$A72))*2,0)/2)))</f>
        <v/>
      </c>
      <c r="AR72">
        <f>IF(OR(AR$4="",$A72&gt;TODAY()),0,IF(OR(INDEX($B72:$D72,AR$5)="F",AND(AR$6&gt;0,$A72&lt;AR$6),AND(AR$7&gt;0,$A72&gt;AR$7)),0,MAX(0,ROUND((INDEX($E72:$G72,AR$5)-SUMIFS(TF_Timer,TF_Tekniker,AR$4,TF_Dato,$A72))*2,0)/2)))</f>
        <v/>
      </c>
      <c r="AS72">
        <f>IF(OR(AS$4="",$A72&gt;TODAY()),0,IF(OR(INDEX($B72:$D72,AS$5)="F",AND(AS$6&gt;0,$A72&lt;AS$6),AND(AS$7&gt;0,$A72&gt;AS$7)),0,MAX(0,ROUND((INDEX($E72:$G72,AS$5)-SUMIFS(TF_Timer,TF_Tekniker,AS$4,TF_Dato,$A72))*2,0)/2)))</f>
        <v/>
      </c>
      <c r="AT72">
        <f>IF(OR(AT$4="",$A72&gt;TODAY()),0,IF(OR(INDEX($B72:$D72,AT$5)="F",AND(AT$6&gt;0,$A72&lt;AT$6),AND(AT$7&gt;0,$A72&gt;AT$7)),0,MAX(0,ROUND((INDEX($E72:$G72,AT$5)-SUMIFS(TF_Timer,TF_Tekniker,AT$4,TF_Dato,$A72))*2,0)/2)))</f>
        <v/>
      </c>
      <c r="AU72">
        <f>IF(OR(AU$4="",$A72&gt;TODAY()),0,IF(OR(INDEX($B72:$D72,AU$5)="F",AND(AU$6&gt;0,$A72&lt;AU$6),AND(AU$7&gt;0,$A72&gt;AU$7)),0,MAX(0,ROUND((INDEX($E72:$G72,AU$5)-SUMIFS(TF_Timer,TF_Tekniker,AU$4,TF_Dato,$A72))*2,0)/2)))</f>
        <v/>
      </c>
      <c r="AV72">
        <f>IF(OR(AV$4="",$A72&gt;TODAY()),0,IF(OR(INDEX($B72:$D72,AV$5)="F",AND(AV$6&gt;0,$A72&lt;AV$6),AND(AV$7&gt;0,$A72&gt;AV$7)),0,MAX(0,ROUND((INDEX($E72:$G72,AV$5)-SUMIFS(TF_Timer,TF_Tekniker,AV$4,TF_Dato,$A72))*2,0)/2)))</f>
        <v/>
      </c>
      <c r="AW72">
        <f>IF(OR(AW$4="",$A72&gt;TODAY()),0,IF(OR(INDEX($B72:$D72,AW$5)="F",AND(AW$6&gt;0,$A72&lt;AW$6),AND(AW$7&gt;0,$A72&gt;AW$7)),0,MAX(0,ROUND((INDEX($E72:$G72,AW$5)-SUMIFS(TF_Timer,TF_Tekniker,AW$4,TF_Dato,$A72))*2,0)/2)))</f>
        <v/>
      </c>
      <c r="AX72">
        <f>IF(OR(AX$4="",$A72&gt;TODAY()),0,IF(OR(INDEX($B72:$D72,AX$5)="F",AND(AX$6&gt;0,$A72&lt;AX$6),AND(AX$7&gt;0,$A72&gt;AX$7)),0,MAX(0,ROUND((INDEX($E72:$G72,AX$5)-SUMIFS(TF_Timer,TF_Tekniker,AX$4,TF_Dato,$A72))*2,0)/2)))</f>
        <v/>
      </c>
      <c r="AY72">
        <f>IF(OR(AY$4="",$A72&gt;TODAY()),0,IF(OR(INDEX($B72:$D72,AY$5)="F",AND(AY$6&gt;0,$A72&lt;AY$6),AND(AY$7&gt;0,$A72&gt;AY$7)),0,MAX(0,ROUND((INDEX($E72:$G72,AY$5)-SUMIFS(TF_Timer,TF_Tekniker,AY$4,TF_Dato,$A72))*2,0)/2)))</f>
        <v/>
      </c>
      <c r="AZ72">
        <f>IF(OR(AZ$4="",$A72&gt;TODAY()),0,IF(OR(INDEX($B72:$D72,AZ$5)="F",AND(AZ$6&gt;0,$A72&lt;AZ$6),AND(AZ$7&gt;0,$A72&gt;AZ$7)),0,MAX(0,ROUND((INDEX($E72:$G72,AZ$5)-SUMIFS(TF_Timer,TF_Tekniker,AZ$4,TF_Dato,$A72))*2,0)/2)))</f>
        <v/>
      </c>
      <c r="BA72">
        <f>IF(OR(BA$4="",$A72&gt;TODAY()),0,IF(OR(INDEX($B72:$D72,BA$5)="F",AND(BA$6&gt;0,$A72&lt;BA$6),AND(BA$7&gt;0,$A72&gt;BA$7)),0,MAX(0,ROUND((INDEX($E72:$G72,BA$5)-SUMIFS(TF_Timer,TF_Tekniker,BA$4,TF_Dato,$A72))*2,0)/2)))</f>
        <v/>
      </c>
      <c r="BB72">
        <f>IF(OR(BB$4="",$A72&gt;TODAY()),0,IF(OR(INDEX($B72:$D72,BB$5)="F",AND(BB$6&gt;0,$A72&lt;BB$6),AND(BB$7&gt;0,$A72&gt;BB$7)),0,MAX(0,ROUND((INDEX($E72:$G72,BB$5)-SUMIFS(TF_Timer,TF_Tekniker,BB$4,TF_Dato,$A72))*2,0)/2)))</f>
        <v/>
      </c>
      <c r="BC72">
        <f>IF(OR(BC$4="",$A72&gt;TODAY()),0,IF(OR(INDEX($B72:$D72,BC$5)="F",AND(BC$6&gt;0,$A72&lt;BC$6),AND(BC$7&gt;0,$A72&gt;BC$7)),0,MAX(0,ROUND((INDEX($E72:$G72,BC$5)-SUMIFS(TF_Timer,TF_Tekniker,BC$4,TF_Dato,$A72))*2,0)/2)))</f>
        <v/>
      </c>
      <c r="BD72">
        <f>IF(OR(BD$4="",$A72&gt;TODAY()),0,IF(OR(INDEX($B72:$D72,BD$5)="F",AND(BD$6&gt;0,$A72&lt;BD$6),AND(BD$7&gt;0,$A72&gt;BD$7)),0,MAX(0,ROUND((INDEX($E72:$G72,BD$5)-SUMIFS(TF_Timer,TF_Tekniker,BD$4,TF_Dato,$A72))*2,0)/2)))</f>
        <v/>
      </c>
      <c r="BE72">
        <f>IF(OR(BE$4="",$A72&gt;TODAY()),0,IF(OR(INDEX($B72:$D72,BE$5)="F",AND(BE$6&gt;0,$A72&lt;BE$6),AND(BE$7&gt;0,$A72&gt;BE$7)),0,MAX(0,ROUND((INDEX($E72:$G72,BE$5)-SUMIFS(TF_Timer,TF_Tekniker,BE$4,TF_Dato,$A72))*2,0)/2)))</f>
        <v/>
      </c>
      <c r="BF72">
        <f>IF(OR(BF$4="",$A72&gt;TODAY()),0,IF(OR(INDEX($B72:$D72,BF$5)="F",AND(BF$6&gt;0,$A72&lt;BF$6),AND(BF$7&gt;0,$A72&gt;BF$7)),0,MAX(0,ROUND((INDEX($E72:$G72,BF$5)-SUMIFS(TF_Timer,TF_Tekniker,BF$4,TF_Dato,$A72))*2,0)/2)))</f>
        <v/>
      </c>
      <c r="BG72">
        <f>IF(OR(BG$4="",$A72&gt;TODAY()),0,IF(OR(INDEX($B72:$D72,BG$5)="F",AND(BG$6&gt;0,$A72&lt;BG$6),AND(BG$7&gt;0,$A72&gt;BG$7)),0,MAX(0,ROUND((INDEX($E72:$G72,BG$5)-SUMIFS(TF_Timer,TF_Tekniker,BG$4,TF_Dato,$A72))*2,0)/2)))</f>
        <v/>
      </c>
      <c r="BH72">
        <f>IF(OR(BH$4="",$A72&gt;TODAY()),0,IF(OR(INDEX($B72:$D72,BH$5)="F",AND(BH$6&gt;0,$A72&lt;BH$6),AND(BH$7&gt;0,$A72&gt;BH$7)),0,MAX(0,ROUND((INDEX($E72:$G72,BH$5)-SUMIFS(TF_Timer,TF_Tekniker,BH$4,TF_Dato,$A72))*2,0)/2)))</f>
        <v/>
      </c>
      <c r="BI72">
        <f>IF(OR(BI$4="",$A72&gt;TODAY()),0,IF(OR(INDEX($B72:$D72,BI$5)="F",AND(BI$6&gt;0,$A72&lt;BI$6),AND(BI$7&gt;0,$A72&gt;BI$7)),0,MAX(0,ROUND((INDEX($E72:$G72,BI$5)-SUMIFS(TF_Timer,TF_Tekniker,BI$4,TF_Dato,$A72))*2,0)/2)))</f>
        <v/>
      </c>
    </row>
    <row r="73">
      <c r="A73" s="64">
        <f>A72+1</f>
        <v/>
      </c>
      <c r="B73">
        <f>IF(MOD($A73-INDEX(SkiftStart,1),Syklus)&lt;DagK,"K",IF(MOD($A73-INDEX(SkiftStart,1),Syklus)&lt;DagK+DagH,"H",IF(MOD($A73-INDEX(SkiftStart,1),Syklus)&lt;DagK+DagH+DagD,"D","F")))</f>
        <v/>
      </c>
      <c r="C73">
        <f>IF(MOD($A73-INDEX(SkiftStart,2),Syklus)&lt;DagK,"K",IF(MOD($A73-INDEX(SkiftStart,2),Syklus)&lt;DagK+DagH,"H",IF(MOD($A73-INDEX(SkiftStart,2),Syklus)&lt;DagK+DagH+DagD,"D","F")))</f>
        <v/>
      </c>
      <c r="D73">
        <f>IF(MOD($A73-INDEX(SkiftStart,3),Syklus)&lt;DagK,"K",IF(MOD($A73-INDEX(SkiftStart,3),Syklus)&lt;DagK+DagH,"H",IF(MOD($A73-INDEX(SkiftStart,3),Syklus)&lt;DagK+DagH+DagD,"D","F")))</f>
        <v/>
      </c>
      <c r="E73">
        <f>IF(B73="F",0,IF(WEEKDAY($A73,2)=5,INDEX(TimerFr,MATCH(B73,FaseKode,0)),INDEX(TimerMT,MATCH(B73,FaseKode,0))))</f>
        <v/>
      </c>
      <c r="F73">
        <f>IF(C73="F",0,IF(WEEKDAY($A73,2)=5,INDEX(TimerFr,MATCH(C73,FaseKode,0)),INDEX(TimerMT,MATCH(C73,FaseKode,0))))</f>
        <v/>
      </c>
      <c r="G73">
        <f>IF(D73="F",0,IF(WEEKDAY($A73,2)=5,INDEX(TimerFr,MATCH(D73,FaseKode,0)),INDEX(TimerMT,MATCH(D73,FaseKode,0))))</f>
        <v/>
      </c>
      <c r="H73">
        <f>IF(OR(H$4="",$A73&gt;TODAY()),0,IF(OR(INDEX($B73:$D73,H$5)="F",AND(H$6&gt;0,$A73&lt;H$6),AND(H$7&gt;0,$A73&gt;H$7)),0,MAX(0,ROUND((INDEX($E73:$G73,H$5)-SUMIFS(TF_Timer,TF_Tekniker,H$4,TF_Dato,$A73))*2,0)/2)))</f>
        <v/>
      </c>
      <c r="I73">
        <f>IF(OR(I$4="",$A73&gt;TODAY()),0,IF(OR(INDEX($B73:$D73,I$5)="F",AND(I$6&gt;0,$A73&lt;I$6),AND(I$7&gt;0,$A73&gt;I$7)),0,MAX(0,ROUND((INDEX($E73:$G73,I$5)-SUMIFS(TF_Timer,TF_Tekniker,I$4,TF_Dato,$A73))*2,0)/2)))</f>
        <v/>
      </c>
      <c r="J73">
        <f>IF(OR(J$4="",$A73&gt;TODAY()),0,IF(OR(INDEX($B73:$D73,J$5)="F",AND(J$6&gt;0,$A73&lt;J$6),AND(J$7&gt;0,$A73&gt;J$7)),0,MAX(0,ROUND((INDEX($E73:$G73,J$5)-SUMIFS(TF_Timer,TF_Tekniker,J$4,TF_Dato,$A73))*2,0)/2)))</f>
        <v/>
      </c>
      <c r="K73">
        <f>IF(OR(K$4="",$A73&gt;TODAY()),0,IF(OR(INDEX($B73:$D73,K$5)="F",AND(K$6&gt;0,$A73&lt;K$6),AND(K$7&gt;0,$A73&gt;K$7)),0,MAX(0,ROUND((INDEX($E73:$G73,K$5)-SUMIFS(TF_Timer,TF_Tekniker,K$4,TF_Dato,$A73))*2,0)/2)))</f>
        <v/>
      </c>
      <c r="L73">
        <f>IF(OR(L$4="",$A73&gt;TODAY()),0,IF(OR(INDEX($B73:$D73,L$5)="F",AND(L$6&gt;0,$A73&lt;L$6),AND(L$7&gt;0,$A73&gt;L$7)),0,MAX(0,ROUND((INDEX($E73:$G73,L$5)-SUMIFS(TF_Timer,TF_Tekniker,L$4,TF_Dato,$A73))*2,0)/2)))</f>
        <v/>
      </c>
      <c r="M73">
        <f>IF(OR(M$4="",$A73&gt;TODAY()),0,IF(OR(INDEX($B73:$D73,M$5)="F",AND(M$6&gt;0,$A73&lt;M$6),AND(M$7&gt;0,$A73&gt;M$7)),0,MAX(0,ROUND((INDEX($E73:$G73,M$5)-SUMIFS(TF_Timer,TF_Tekniker,M$4,TF_Dato,$A73))*2,0)/2)))</f>
        <v/>
      </c>
      <c r="N73">
        <f>IF(OR(N$4="",$A73&gt;TODAY()),0,IF(OR(INDEX($B73:$D73,N$5)="F",AND(N$6&gt;0,$A73&lt;N$6),AND(N$7&gt;0,$A73&gt;N$7)),0,MAX(0,ROUND((INDEX($E73:$G73,N$5)-SUMIFS(TF_Timer,TF_Tekniker,N$4,TF_Dato,$A73))*2,0)/2)))</f>
        <v/>
      </c>
      <c r="O73">
        <f>IF(OR(O$4="",$A73&gt;TODAY()),0,IF(OR(INDEX($B73:$D73,O$5)="F",AND(O$6&gt;0,$A73&lt;O$6),AND(O$7&gt;0,$A73&gt;O$7)),0,MAX(0,ROUND((INDEX($E73:$G73,O$5)-SUMIFS(TF_Timer,TF_Tekniker,O$4,TF_Dato,$A73))*2,0)/2)))</f>
        <v/>
      </c>
      <c r="P73">
        <f>IF(OR(P$4="",$A73&gt;TODAY()),0,IF(OR(INDEX($B73:$D73,P$5)="F",AND(P$6&gt;0,$A73&lt;P$6),AND(P$7&gt;0,$A73&gt;P$7)),0,MAX(0,ROUND((INDEX($E73:$G73,P$5)-SUMIFS(TF_Timer,TF_Tekniker,P$4,TF_Dato,$A73))*2,0)/2)))</f>
        <v/>
      </c>
      <c r="Q73">
        <f>IF(OR(Q$4="",$A73&gt;TODAY()),0,IF(OR(INDEX($B73:$D73,Q$5)="F",AND(Q$6&gt;0,$A73&lt;Q$6),AND(Q$7&gt;0,$A73&gt;Q$7)),0,MAX(0,ROUND((INDEX($E73:$G73,Q$5)-SUMIFS(TF_Timer,TF_Tekniker,Q$4,TF_Dato,$A73))*2,0)/2)))</f>
        <v/>
      </c>
      <c r="R73">
        <f>IF(OR(R$4="",$A73&gt;TODAY()),0,IF(OR(INDEX($B73:$D73,R$5)="F",AND(R$6&gt;0,$A73&lt;R$6),AND(R$7&gt;0,$A73&gt;R$7)),0,MAX(0,ROUND((INDEX($E73:$G73,R$5)-SUMIFS(TF_Timer,TF_Tekniker,R$4,TF_Dato,$A73))*2,0)/2)))</f>
        <v/>
      </c>
      <c r="S73">
        <f>IF(OR(S$4="",$A73&gt;TODAY()),0,IF(OR(INDEX($B73:$D73,S$5)="F",AND(S$6&gt;0,$A73&lt;S$6),AND(S$7&gt;0,$A73&gt;S$7)),0,MAX(0,ROUND((INDEX($E73:$G73,S$5)-SUMIFS(TF_Timer,TF_Tekniker,S$4,TF_Dato,$A73))*2,0)/2)))</f>
        <v/>
      </c>
      <c r="T73">
        <f>IF(OR(T$4="",$A73&gt;TODAY()),0,IF(OR(INDEX($B73:$D73,T$5)="F",AND(T$6&gt;0,$A73&lt;T$6),AND(T$7&gt;0,$A73&gt;T$7)),0,MAX(0,ROUND((INDEX($E73:$G73,T$5)-SUMIFS(TF_Timer,TF_Tekniker,T$4,TF_Dato,$A73))*2,0)/2)))</f>
        <v/>
      </c>
      <c r="U73">
        <f>IF(OR(U$4="",$A73&gt;TODAY()),0,IF(OR(INDEX($B73:$D73,U$5)="F",AND(U$6&gt;0,$A73&lt;U$6),AND(U$7&gt;0,$A73&gt;U$7)),0,MAX(0,ROUND((INDEX($E73:$G73,U$5)-SUMIFS(TF_Timer,TF_Tekniker,U$4,TF_Dato,$A73))*2,0)/2)))</f>
        <v/>
      </c>
      <c r="V73">
        <f>IF(OR(V$4="",$A73&gt;TODAY()),0,IF(OR(INDEX($B73:$D73,V$5)="F",AND(V$6&gt;0,$A73&lt;V$6),AND(V$7&gt;0,$A73&gt;V$7)),0,MAX(0,ROUND((INDEX($E73:$G73,V$5)-SUMIFS(TF_Timer,TF_Tekniker,V$4,TF_Dato,$A73))*2,0)/2)))</f>
        <v/>
      </c>
      <c r="W73">
        <f>IF(OR(W$4="",$A73&gt;TODAY()),0,IF(OR(INDEX($B73:$D73,W$5)="F",AND(W$6&gt;0,$A73&lt;W$6),AND(W$7&gt;0,$A73&gt;W$7)),0,MAX(0,ROUND((INDEX($E73:$G73,W$5)-SUMIFS(TF_Timer,TF_Tekniker,W$4,TF_Dato,$A73))*2,0)/2)))</f>
        <v/>
      </c>
      <c r="X73">
        <f>IF(OR(X$4="",$A73&gt;TODAY()),0,IF(OR(INDEX($B73:$D73,X$5)="F",AND(X$6&gt;0,$A73&lt;X$6),AND(X$7&gt;0,$A73&gt;X$7)),0,MAX(0,ROUND((INDEX($E73:$G73,X$5)-SUMIFS(TF_Timer,TF_Tekniker,X$4,TF_Dato,$A73))*2,0)/2)))</f>
        <v/>
      </c>
      <c r="Y73">
        <f>IF(OR(Y$4="",$A73&gt;TODAY()),0,IF(OR(INDEX($B73:$D73,Y$5)="F",AND(Y$6&gt;0,$A73&lt;Y$6),AND(Y$7&gt;0,$A73&gt;Y$7)),0,MAX(0,ROUND((INDEX($E73:$G73,Y$5)-SUMIFS(TF_Timer,TF_Tekniker,Y$4,TF_Dato,$A73))*2,0)/2)))</f>
        <v/>
      </c>
      <c r="Z73">
        <f>IF(OR(Z$4="",$A73&gt;TODAY()),0,IF(OR(INDEX($B73:$D73,Z$5)="F",AND(Z$6&gt;0,$A73&lt;Z$6),AND(Z$7&gt;0,$A73&gt;Z$7)),0,MAX(0,ROUND((INDEX($E73:$G73,Z$5)-SUMIFS(TF_Timer,TF_Tekniker,Z$4,TF_Dato,$A73))*2,0)/2)))</f>
        <v/>
      </c>
      <c r="AA73">
        <f>IF(OR(AA$4="",$A73&gt;TODAY()),0,IF(OR(INDEX($B73:$D73,AA$5)="F",AND(AA$6&gt;0,$A73&lt;AA$6),AND(AA$7&gt;0,$A73&gt;AA$7)),0,MAX(0,ROUND((INDEX($E73:$G73,AA$5)-SUMIFS(TF_Timer,TF_Tekniker,AA$4,TF_Dato,$A73))*2,0)/2)))</f>
        <v/>
      </c>
      <c r="AB73">
        <f>IF(OR(AB$4="",$A73&gt;TODAY()),0,IF(OR(INDEX($B73:$D73,AB$5)="F",AND(AB$6&gt;0,$A73&lt;AB$6),AND(AB$7&gt;0,$A73&gt;AB$7)),0,MAX(0,ROUND((INDEX($E73:$G73,AB$5)-SUMIFS(TF_Timer,TF_Tekniker,AB$4,TF_Dato,$A73))*2,0)/2)))</f>
        <v/>
      </c>
      <c r="AC73">
        <f>IF(OR(AC$4="",$A73&gt;TODAY()),0,IF(OR(INDEX($B73:$D73,AC$5)="F",AND(AC$6&gt;0,$A73&lt;AC$6),AND(AC$7&gt;0,$A73&gt;AC$7)),0,MAX(0,ROUND((INDEX($E73:$G73,AC$5)-SUMIFS(TF_Timer,TF_Tekniker,AC$4,TF_Dato,$A73))*2,0)/2)))</f>
        <v/>
      </c>
      <c r="AD73">
        <f>IF(OR(AD$4="",$A73&gt;TODAY()),0,IF(OR(INDEX($B73:$D73,AD$5)="F",AND(AD$6&gt;0,$A73&lt;AD$6),AND(AD$7&gt;0,$A73&gt;AD$7)),0,MAX(0,ROUND((INDEX($E73:$G73,AD$5)-SUMIFS(TF_Timer,TF_Tekniker,AD$4,TF_Dato,$A73))*2,0)/2)))</f>
        <v/>
      </c>
      <c r="AE73">
        <f>IF(OR(AE$4="",$A73&gt;TODAY()),0,IF(OR(INDEX($B73:$D73,AE$5)="F",AND(AE$6&gt;0,$A73&lt;AE$6),AND(AE$7&gt;0,$A73&gt;AE$7)),0,MAX(0,ROUND((INDEX($E73:$G73,AE$5)-SUMIFS(TF_Timer,TF_Tekniker,AE$4,TF_Dato,$A73))*2,0)/2)))</f>
        <v/>
      </c>
      <c r="AF73">
        <f>IF(OR(AF$4="",$A73&gt;TODAY()),0,IF(OR(INDEX($B73:$D73,AF$5)="F",AND(AF$6&gt;0,$A73&lt;AF$6),AND(AF$7&gt;0,$A73&gt;AF$7)),0,MAX(0,ROUND((INDEX($E73:$G73,AF$5)-SUMIFS(TF_Timer,TF_Tekniker,AF$4,TF_Dato,$A73))*2,0)/2)))</f>
        <v/>
      </c>
      <c r="AG73">
        <f>IF(OR(AG$4="",$A73&gt;TODAY()),0,IF(OR(INDEX($B73:$D73,AG$5)="F",AND(AG$6&gt;0,$A73&lt;AG$6),AND(AG$7&gt;0,$A73&gt;AG$7)),0,MAX(0,ROUND((INDEX($E73:$G73,AG$5)-SUMIFS(TF_Timer,TF_Tekniker,AG$4,TF_Dato,$A73))*2,0)/2)))</f>
        <v/>
      </c>
      <c r="AH73">
        <f>IF(OR(AH$4="",$A73&gt;TODAY()),0,IF(OR(INDEX($B73:$D73,AH$5)="F",AND(AH$6&gt;0,$A73&lt;AH$6),AND(AH$7&gt;0,$A73&gt;AH$7)),0,MAX(0,ROUND((INDEX($E73:$G73,AH$5)-SUMIFS(TF_Timer,TF_Tekniker,AH$4,TF_Dato,$A73))*2,0)/2)))</f>
        <v/>
      </c>
      <c r="AI73">
        <f>IF(OR(AI$4="",$A73&gt;TODAY()),0,IF(OR(INDEX($B73:$D73,AI$5)="F",AND(AI$6&gt;0,$A73&lt;AI$6),AND(AI$7&gt;0,$A73&gt;AI$7)),0,MAX(0,ROUND((INDEX($E73:$G73,AI$5)-SUMIFS(TF_Timer,TF_Tekniker,AI$4,TF_Dato,$A73))*2,0)/2)))</f>
        <v/>
      </c>
      <c r="AJ73">
        <f>IF(OR(AJ$4="",$A73&gt;TODAY()),0,IF(OR(INDEX($B73:$D73,AJ$5)="F",AND(AJ$6&gt;0,$A73&lt;AJ$6),AND(AJ$7&gt;0,$A73&gt;AJ$7)),0,MAX(0,ROUND((INDEX($E73:$G73,AJ$5)-SUMIFS(TF_Timer,TF_Tekniker,AJ$4,TF_Dato,$A73))*2,0)/2)))</f>
        <v/>
      </c>
      <c r="AK73">
        <f>IF(OR(AK$4="",$A73&gt;TODAY()),0,IF(OR(INDEX($B73:$D73,AK$5)="F",AND(AK$6&gt;0,$A73&lt;AK$6),AND(AK$7&gt;0,$A73&gt;AK$7)),0,MAX(0,ROUND((INDEX($E73:$G73,AK$5)-SUMIFS(TF_Timer,TF_Tekniker,AK$4,TF_Dato,$A73))*2,0)/2)))</f>
        <v/>
      </c>
      <c r="AL73">
        <f>IF(OR(AL$4="",$A73&gt;TODAY()),0,IF(OR(INDEX($B73:$D73,AL$5)="F",AND(AL$6&gt;0,$A73&lt;AL$6),AND(AL$7&gt;0,$A73&gt;AL$7)),0,MAX(0,ROUND((INDEX($E73:$G73,AL$5)-SUMIFS(TF_Timer,TF_Tekniker,AL$4,TF_Dato,$A73))*2,0)/2)))</f>
        <v/>
      </c>
      <c r="AM73">
        <f>IF(OR(AM$4="",$A73&gt;TODAY()),0,IF(OR(INDEX($B73:$D73,AM$5)="F",AND(AM$6&gt;0,$A73&lt;AM$6),AND(AM$7&gt;0,$A73&gt;AM$7)),0,MAX(0,ROUND((INDEX($E73:$G73,AM$5)-SUMIFS(TF_Timer,TF_Tekniker,AM$4,TF_Dato,$A73))*2,0)/2)))</f>
        <v/>
      </c>
      <c r="AN73">
        <f>IF(OR(AN$4="",$A73&gt;TODAY()),0,IF(OR(INDEX($B73:$D73,AN$5)="F",AND(AN$6&gt;0,$A73&lt;AN$6),AND(AN$7&gt;0,$A73&gt;AN$7)),0,MAX(0,ROUND((INDEX($E73:$G73,AN$5)-SUMIFS(TF_Timer,TF_Tekniker,AN$4,TF_Dato,$A73))*2,0)/2)))</f>
        <v/>
      </c>
      <c r="AO73">
        <f>IF(OR(AO$4="",$A73&gt;TODAY()),0,IF(OR(INDEX($B73:$D73,AO$5)="F",AND(AO$6&gt;0,$A73&lt;AO$6),AND(AO$7&gt;0,$A73&gt;AO$7)),0,MAX(0,ROUND((INDEX($E73:$G73,AO$5)-SUMIFS(TF_Timer,TF_Tekniker,AO$4,TF_Dato,$A73))*2,0)/2)))</f>
        <v/>
      </c>
      <c r="AP73">
        <f>IF(OR(AP$4="",$A73&gt;TODAY()),0,IF(OR(INDEX($B73:$D73,AP$5)="F",AND(AP$6&gt;0,$A73&lt;AP$6),AND(AP$7&gt;0,$A73&gt;AP$7)),0,MAX(0,ROUND((INDEX($E73:$G73,AP$5)-SUMIFS(TF_Timer,TF_Tekniker,AP$4,TF_Dato,$A73))*2,0)/2)))</f>
        <v/>
      </c>
      <c r="AQ73">
        <f>IF(OR(AQ$4="",$A73&gt;TODAY()),0,IF(OR(INDEX($B73:$D73,AQ$5)="F",AND(AQ$6&gt;0,$A73&lt;AQ$6),AND(AQ$7&gt;0,$A73&gt;AQ$7)),0,MAX(0,ROUND((INDEX($E73:$G73,AQ$5)-SUMIFS(TF_Timer,TF_Tekniker,AQ$4,TF_Dato,$A73))*2,0)/2)))</f>
        <v/>
      </c>
      <c r="AR73">
        <f>IF(OR(AR$4="",$A73&gt;TODAY()),0,IF(OR(INDEX($B73:$D73,AR$5)="F",AND(AR$6&gt;0,$A73&lt;AR$6),AND(AR$7&gt;0,$A73&gt;AR$7)),0,MAX(0,ROUND((INDEX($E73:$G73,AR$5)-SUMIFS(TF_Timer,TF_Tekniker,AR$4,TF_Dato,$A73))*2,0)/2)))</f>
        <v/>
      </c>
      <c r="AS73">
        <f>IF(OR(AS$4="",$A73&gt;TODAY()),0,IF(OR(INDEX($B73:$D73,AS$5)="F",AND(AS$6&gt;0,$A73&lt;AS$6),AND(AS$7&gt;0,$A73&gt;AS$7)),0,MAX(0,ROUND((INDEX($E73:$G73,AS$5)-SUMIFS(TF_Timer,TF_Tekniker,AS$4,TF_Dato,$A73))*2,0)/2)))</f>
        <v/>
      </c>
      <c r="AT73">
        <f>IF(OR(AT$4="",$A73&gt;TODAY()),0,IF(OR(INDEX($B73:$D73,AT$5)="F",AND(AT$6&gt;0,$A73&lt;AT$6),AND(AT$7&gt;0,$A73&gt;AT$7)),0,MAX(0,ROUND((INDEX($E73:$G73,AT$5)-SUMIFS(TF_Timer,TF_Tekniker,AT$4,TF_Dato,$A73))*2,0)/2)))</f>
        <v/>
      </c>
      <c r="AU73">
        <f>IF(OR(AU$4="",$A73&gt;TODAY()),0,IF(OR(INDEX($B73:$D73,AU$5)="F",AND(AU$6&gt;0,$A73&lt;AU$6),AND(AU$7&gt;0,$A73&gt;AU$7)),0,MAX(0,ROUND((INDEX($E73:$G73,AU$5)-SUMIFS(TF_Timer,TF_Tekniker,AU$4,TF_Dato,$A73))*2,0)/2)))</f>
        <v/>
      </c>
      <c r="AV73">
        <f>IF(OR(AV$4="",$A73&gt;TODAY()),0,IF(OR(INDEX($B73:$D73,AV$5)="F",AND(AV$6&gt;0,$A73&lt;AV$6),AND(AV$7&gt;0,$A73&gt;AV$7)),0,MAX(0,ROUND((INDEX($E73:$G73,AV$5)-SUMIFS(TF_Timer,TF_Tekniker,AV$4,TF_Dato,$A73))*2,0)/2)))</f>
        <v/>
      </c>
      <c r="AW73">
        <f>IF(OR(AW$4="",$A73&gt;TODAY()),0,IF(OR(INDEX($B73:$D73,AW$5)="F",AND(AW$6&gt;0,$A73&lt;AW$6),AND(AW$7&gt;0,$A73&gt;AW$7)),0,MAX(0,ROUND((INDEX($E73:$G73,AW$5)-SUMIFS(TF_Timer,TF_Tekniker,AW$4,TF_Dato,$A73))*2,0)/2)))</f>
        <v/>
      </c>
      <c r="AX73">
        <f>IF(OR(AX$4="",$A73&gt;TODAY()),0,IF(OR(INDEX($B73:$D73,AX$5)="F",AND(AX$6&gt;0,$A73&lt;AX$6),AND(AX$7&gt;0,$A73&gt;AX$7)),0,MAX(0,ROUND((INDEX($E73:$G73,AX$5)-SUMIFS(TF_Timer,TF_Tekniker,AX$4,TF_Dato,$A73))*2,0)/2)))</f>
        <v/>
      </c>
      <c r="AY73">
        <f>IF(OR(AY$4="",$A73&gt;TODAY()),0,IF(OR(INDEX($B73:$D73,AY$5)="F",AND(AY$6&gt;0,$A73&lt;AY$6),AND(AY$7&gt;0,$A73&gt;AY$7)),0,MAX(0,ROUND((INDEX($E73:$G73,AY$5)-SUMIFS(TF_Timer,TF_Tekniker,AY$4,TF_Dato,$A73))*2,0)/2)))</f>
        <v/>
      </c>
      <c r="AZ73">
        <f>IF(OR(AZ$4="",$A73&gt;TODAY()),0,IF(OR(INDEX($B73:$D73,AZ$5)="F",AND(AZ$6&gt;0,$A73&lt;AZ$6),AND(AZ$7&gt;0,$A73&gt;AZ$7)),0,MAX(0,ROUND((INDEX($E73:$G73,AZ$5)-SUMIFS(TF_Timer,TF_Tekniker,AZ$4,TF_Dato,$A73))*2,0)/2)))</f>
        <v/>
      </c>
      <c r="BA73">
        <f>IF(OR(BA$4="",$A73&gt;TODAY()),0,IF(OR(INDEX($B73:$D73,BA$5)="F",AND(BA$6&gt;0,$A73&lt;BA$6),AND(BA$7&gt;0,$A73&gt;BA$7)),0,MAX(0,ROUND((INDEX($E73:$G73,BA$5)-SUMIFS(TF_Timer,TF_Tekniker,BA$4,TF_Dato,$A73))*2,0)/2)))</f>
        <v/>
      </c>
      <c r="BB73">
        <f>IF(OR(BB$4="",$A73&gt;TODAY()),0,IF(OR(INDEX($B73:$D73,BB$5)="F",AND(BB$6&gt;0,$A73&lt;BB$6),AND(BB$7&gt;0,$A73&gt;BB$7)),0,MAX(0,ROUND((INDEX($E73:$G73,BB$5)-SUMIFS(TF_Timer,TF_Tekniker,BB$4,TF_Dato,$A73))*2,0)/2)))</f>
        <v/>
      </c>
      <c r="BC73">
        <f>IF(OR(BC$4="",$A73&gt;TODAY()),0,IF(OR(INDEX($B73:$D73,BC$5)="F",AND(BC$6&gt;0,$A73&lt;BC$6),AND(BC$7&gt;0,$A73&gt;BC$7)),0,MAX(0,ROUND((INDEX($E73:$G73,BC$5)-SUMIFS(TF_Timer,TF_Tekniker,BC$4,TF_Dato,$A73))*2,0)/2)))</f>
        <v/>
      </c>
      <c r="BD73">
        <f>IF(OR(BD$4="",$A73&gt;TODAY()),0,IF(OR(INDEX($B73:$D73,BD$5)="F",AND(BD$6&gt;0,$A73&lt;BD$6),AND(BD$7&gt;0,$A73&gt;BD$7)),0,MAX(0,ROUND((INDEX($E73:$G73,BD$5)-SUMIFS(TF_Timer,TF_Tekniker,BD$4,TF_Dato,$A73))*2,0)/2)))</f>
        <v/>
      </c>
      <c r="BE73">
        <f>IF(OR(BE$4="",$A73&gt;TODAY()),0,IF(OR(INDEX($B73:$D73,BE$5)="F",AND(BE$6&gt;0,$A73&lt;BE$6),AND(BE$7&gt;0,$A73&gt;BE$7)),0,MAX(0,ROUND((INDEX($E73:$G73,BE$5)-SUMIFS(TF_Timer,TF_Tekniker,BE$4,TF_Dato,$A73))*2,0)/2)))</f>
        <v/>
      </c>
      <c r="BF73">
        <f>IF(OR(BF$4="",$A73&gt;TODAY()),0,IF(OR(INDEX($B73:$D73,BF$5)="F",AND(BF$6&gt;0,$A73&lt;BF$6),AND(BF$7&gt;0,$A73&gt;BF$7)),0,MAX(0,ROUND((INDEX($E73:$G73,BF$5)-SUMIFS(TF_Timer,TF_Tekniker,BF$4,TF_Dato,$A73))*2,0)/2)))</f>
        <v/>
      </c>
      <c r="BG73">
        <f>IF(OR(BG$4="",$A73&gt;TODAY()),0,IF(OR(INDEX($B73:$D73,BG$5)="F",AND(BG$6&gt;0,$A73&lt;BG$6),AND(BG$7&gt;0,$A73&gt;BG$7)),0,MAX(0,ROUND((INDEX($E73:$G73,BG$5)-SUMIFS(TF_Timer,TF_Tekniker,BG$4,TF_Dato,$A73))*2,0)/2)))</f>
        <v/>
      </c>
      <c r="BH73">
        <f>IF(OR(BH$4="",$A73&gt;TODAY()),0,IF(OR(INDEX($B73:$D73,BH$5)="F",AND(BH$6&gt;0,$A73&lt;BH$6),AND(BH$7&gt;0,$A73&gt;BH$7)),0,MAX(0,ROUND((INDEX($E73:$G73,BH$5)-SUMIFS(TF_Timer,TF_Tekniker,BH$4,TF_Dato,$A73))*2,0)/2)))</f>
        <v/>
      </c>
      <c r="BI73">
        <f>IF(OR(BI$4="",$A73&gt;TODAY()),0,IF(OR(INDEX($B73:$D73,BI$5)="F",AND(BI$6&gt;0,$A73&lt;BI$6),AND(BI$7&gt;0,$A73&gt;BI$7)),0,MAX(0,ROUND((INDEX($E73:$G73,BI$5)-SUMIFS(TF_Timer,TF_Tekniker,BI$4,TF_Dato,$A73))*2,0)/2)))</f>
        <v/>
      </c>
    </row>
    <row r="74">
      <c r="A74" s="64">
        <f>A73+1</f>
        <v/>
      </c>
      <c r="B74">
        <f>IF(MOD($A74-INDEX(SkiftStart,1),Syklus)&lt;DagK,"K",IF(MOD($A74-INDEX(SkiftStart,1),Syklus)&lt;DagK+DagH,"H",IF(MOD($A74-INDEX(SkiftStart,1),Syklus)&lt;DagK+DagH+DagD,"D","F")))</f>
        <v/>
      </c>
      <c r="C74">
        <f>IF(MOD($A74-INDEX(SkiftStart,2),Syklus)&lt;DagK,"K",IF(MOD($A74-INDEX(SkiftStart,2),Syklus)&lt;DagK+DagH,"H",IF(MOD($A74-INDEX(SkiftStart,2),Syklus)&lt;DagK+DagH+DagD,"D","F")))</f>
        <v/>
      </c>
      <c r="D74">
        <f>IF(MOD($A74-INDEX(SkiftStart,3),Syklus)&lt;DagK,"K",IF(MOD($A74-INDEX(SkiftStart,3),Syklus)&lt;DagK+DagH,"H",IF(MOD($A74-INDEX(SkiftStart,3),Syklus)&lt;DagK+DagH+DagD,"D","F")))</f>
        <v/>
      </c>
      <c r="E74">
        <f>IF(B74="F",0,IF(WEEKDAY($A74,2)=5,INDEX(TimerFr,MATCH(B74,FaseKode,0)),INDEX(TimerMT,MATCH(B74,FaseKode,0))))</f>
        <v/>
      </c>
      <c r="F74">
        <f>IF(C74="F",0,IF(WEEKDAY($A74,2)=5,INDEX(TimerFr,MATCH(C74,FaseKode,0)),INDEX(TimerMT,MATCH(C74,FaseKode,0))))</f>
        <v/>
      </c>
      <c r="G74">
        <f>IF(D74="F",0,IF(WEEKDAY($A74,2)=5,INDEX(TimerFr,MATCH(D74,FaseKode,0)),INDEX(TimerMT,MATCH(D74,FaseKode,0))))</f>
        <v/>
      </c>
      <c r="H74">
        <f>IF(OR(H$4="",$A74&gt;TODAY()),0,IF(OR(INDEX($B74:$D74,H$5)="F",AND(H$6&gt;0,$A74&lt;H$6),AND(H$7&gt;0,$A74&gt;H$7)),0,MAX(0,ROUND((INDEX($E74:$G74,H$5)-SUMIFS(TF_Timer,TF_Tekniker,H$4,TF_Dato,$A74))*2,0)/2)))</f>
        <v/>
      </c>
      <c r="I74">
        <f>IF(OR(I$4="",$A74&gt;TODAY()),0,IF(OR(INDEX($B74:$D74,I$5)="F",AND(I$6&gt;0,$A74&lt;I$6),AND(I$7&gt;0,$A74&gt;I$7)),0,MAX(0,ROUND((INDEX($E74:$G74,I$5)-SUMIFS(TF_Timer,TF_Tekniker,I$4,TF_Dato,$A74))*2,0)/2)))</f>
        <v/>
      </c>
      <c r="J74">
        <f>IF(OR(J$4="",$A74&gt;TODAY()),0,IF(OR(INDEX($B74:$D74,J$5)="F",AND(J$6&gt;0,$A74&lt;J$6),AND(J$7&gt;0,$A74&gt;J$7)),0,MAX(0,ROUND((INDEX($E74:$G74,J$5)-SUMIFS(TF_Timer,TF_Tekniker,J$4,TF_Dato,$A74))*2,0)/2)))</f>
        <v/>
      </c>
      <c r="K74">
        <f>IF(OR(K$4="",$A74&gt;TODAY()),0,IF(OR(INDEX($B74:$D74,K$5)="F",AND(K$6&gt;0,$A74&lt;K$6),AND(K$7&gt;0,$A74&gt;K$7)),0,MAX(0,ROUND((INDEX($E74:$G74,K$5)-SUMIFS(TF_Timer,TF_Tekniker,K$4,TF_Dato,$A74))*2,0)/2)))</f>
        <v/>
      </c>
      <c r="L74">
        <f>IF(OR(L$4="",$A74&gt;TODAY()),0,IF(OR(INDEX($B74:$D74,L$5)="F",AND(L$6&gt;0,$A74&lt;L$6),AND(L$7&gt;0,$A74&gt;L$7)),0,MAX(0,ROUND((INDEX($E74:$G74,L$5)-SUMIFS(TF_Timer,TF_Tekniker,L$4,TF_Dato,$A74))*2,0)/2)))</f>
        <v/>
      </c>
      <c r="M74">
        <f>IF(OR(M$4="",$A74&gt;TODAY()),0,IF(OR(INDEX($B74:$D74,M$5)="F",AND(M$6&gt;0,$A74&lt;M$6),AND(M$7&gt;0,$A74&gt;M$7)),0,MAX(0,ROUND((INDEX($E74:$G74,M$5)-SUMIFS(TF_Timer,TF_Tekniker,M$4,TF_Dato,$A74))*2,0)/2)))</f>
        <v/>
      </c>
      <c r="N74">
        <f>IF(OR(N$4="",$A74&gt;TODAY()),0,IF(OR(INDEX($B74:$D74,N$5)="F",AND(N$6&gt;0,$A74&lt;N$6),AND(N$7&gt;0,$A74&gt;N$7)),0,MAX(0,ROUND((INDEX($E74:$G74,N$5)-SUMIFS(TF_Timer,TF_Tekniker,N$4,TF_Dato,$A74))*2,0)/2)))</f>
        <v/>
      </c>
      <c r="O74">
        <f>IF(OR(O$4="",$A74&gt;TODAY()),0,IF(OR(INDEX($B74:$D74,O$5)="F",AND(O$6&gt;0,$A74&lt;O$6),AND(O$7&gt;0,$A74&gt;O$7)),0,MAX(0,ROUND((INDEX($E74:$G74,O$5)-SUMIFS(TF_Timer,TF_Tekniker,O$4,TF_Dato,$A74))*2,0)/2)))</f>
        <v/>
      </c>
      <c r="P74">
        <f>IF(OR(P$4="",$A74&gt;TODAY()),0,IF(OR(INDEX($B74:$D74,P$5)="F",AND(P$6&gt;0,$A74&lt;P$6),AND(P$7&gt;0,$A74&gt;P$7)),0,MAX(0,ROUND((INDEX($E74:$G74,P$5)-SUMIFS(TF_Timer,TF_Tekniker,P$4,TF_Dato,$A74))*2,0)/2)))</f>
        <v/>
      </c>
      <c r="Q74">
        <f>IF(OR(Q$4="",$A74&gt;TODAY()),0,IF(OR(INDEX($B74:$D74,Q$5)="F",AND(Q$6&gt;0,$A74&lt;Q$6),AND(Q$7&gt;0,$A74&gt;Q$7)),0,MAX(0,ROUND((INDEX($E74:$G74,Q$5)-SUMIFS(TF_Timer,TF_Tekniker,Q$4,TF_Dato,$A74))*2,0)/2)))</f>
        <v/>
      </c>
      <c r="R74">
        <f>IF(OR(R$4="",$A74&gt;TODAY()),0,IF(OR(INDEX($B74:$D74,R$5)="F",AND(R$6&gt;0,$A74&lt;R$6),AND(R$7&gt;0,$A74&gt;R$7)),0,MAX(0,ROUND((INDEX($E74:$G74,R$5)-SUMIFS(TF_Timer,TF_Tekniker,R$4,TF_Dato,$A74))*2,0)/2)))</f>
        <v/>
      </c>
      <c r="S74">
        <f>IF(OR(S$4="",$A74&gt;TODAY()),0,IF(OR(INDEX($B74:$D74,S$5)="F",AND(S$6&gt;0,$A74&lt;S$6),AND(S$7&gt;0,$A74&gt;S$7)),0,MAX(0,ROUND((INDEX($E74:$G74,S$5)-SUMIFS(TF_Timer,TF_Tekniker,S$4,TF_Dato,$A74))*2,0)/2)))</f>
        <v/>
      </c>
      <c r="T74">
        <f>IF(OR(T$4="",$A74&gt;TODAY()),0,IF(OR(INDEX($B74:$D74,T$5)="F",AND(T$6&gt;0,$A74&lt;T$6),AND(T$7&gt;0,$A74&gt;T$7)),0,MAX(0,ROUND((INDEX($E74:$G74,T$5)-SUMIFS(TF_Timer,TF_Tekniker,T$4,TF_Dato,$A74))*2,0)/2)))</f>
        <v/>
      </c>
      <c r="U74">
        <f>IF(OR(U$4="",$A74&gt;TODAY()),0,IF(OR(INDEX($B74:$D74,U$5)="F",AND(U$6&gt;0,$A74&lt;U$6),AND(U$7&gt;0,$A74&gt;U$7)),0,MAX(0,ROUND((INDEX($E74:$G74,U$5)-SUMIFS(TF_Timer,TF_Tekniker,U$4,TF_Dato,$A74))*2,0)/2)))</f>
        <v/>
      </c>
      <c r="V74">
        <f>IF(OR(V$4="",$A74&gt;TODAY()),0,IF(OR(INDEX($B74:$D74,V$5)="F",AND(V$6&gt;0,$A74&lt;V$6),AND(V$7&gt;0,$A74&gt;V$7)),0,MAX(0,ROUND((INDEX($E74:$G74,V$5)-SUMIFS(TF_Timer,TF_Tekniker,V$4,TF_Dato,$A74))*2,0)/2)))</f>
        <v/>
      </c>
      <c r="W74">
        <f>IF(OR(W$4="",$A74&gt;TODAY()),0,IF(OR(INDEX($B74:$D74,W$5)="F",AND(W$6&gt;0,$A74&lt;W$6),AND(W$7&gt;0,$A74&gt;W$7)),0,MAX(0,ROUND((INDEX($E74:$G74,W$5)-SUMIFS(TF_Timer,TF_Tekniker,W$4,TF_Dato,$A74))*2,0)/2)))</f>
        <v/>
      </c>
      <c r="X74">
        <f>IF(OR(X$4="",$A74&gt;TODAY()),0,IF(OR(INDEX($B74:$D74,X$5)="F",AND(X$6&gt;0,$A74&lt;X$6),AND(X$7&gt;0,$A74&gt;X$7)),0,MAX(0,ROUND((INDEX($E74:$G74,X$5)-SUMIFS(TF_Timer,TF_Tekniker,X$4,TF_Dato,$A74))*2,0)/2)))</f>
        <v/>
      </c>
      <c r="Y74">
        <f>IF(OR(Y$4="",$A74&gt;TODAY()),0,IF(OR(INDEX($B74:$D74,Y$5)="F",AND(Y$6&gt;0,$A74&lt;Y$6),AND(Y$7&gt;0,$A74&gt;Y$7)),0,MAX(0,ROUND((INDEX($E74:$G74,Y$5)-SUMIFS(TF_Timer,TF_Tekniker,Y$4,TF_Dato,$A74))*2,0)/2)))</f>
        <v/>
      </c>
      <c r="Z74">
        <f>IF(OR(Z$4="",$A74&gt;TODAY()),0,IF(OR(INDEX($B74:$D74,Z$5)="F",AND(Z$6&gt;0,$A74&lt;Z$6),AND(Z$7&gt;0,$A74&gt;Z$7)),0,MAX(0,ROUND((INDEX($E74:$G74,Z$5)-SUMIFS(TF_Timer,TF_Tekniker,Z$4,TF_Dato,$A74))*2,0)/2)))</f>
        <v/>
      </c>
      <c r="AA74">
        <f>IF(OR(AA$4="",$A74&gt;TODAY()),0,IF(OR(INDEX($B74:$D74,AA$5)="F",AND(AA$6&gt;0,$A74&lt;AA$6),AND(AA$7&gt;0,$A74&gt;AA$7)),0,MAX(0,ROUND((INDEX($E74:$G74,AA$5)-SUMIFS(TF_Timer,TF_Tekniker,AA$4,TF_Dato,$A74))*2,0)/2)))</f>
        <v/>
      </c>
      <c r="AB74">
        <f>IF(OR(AB$4="",$A74&gt;TODAY()),0,IF(OR(INDEX($B74:$D74,AB$5)="F",AND(AB$6&gt;0,$A74&lt;AB$6),AND(AB$7&gt;0,$A74&gt;AB$7)),0,MAX(0,ROUND((INDEX($E74:$G74,AB$5)-SUMIFS(TF_Timer,TF_Tekniker,AB$4,TF_Dato,$A74))*2,0)/2)))</f>
        <v/>
      </c>
      <c r="AC74">
        <f>IF(OR(AC$4="",$A74&gt;TODAY()),0,IF(OR(INDEX($B74:$D74,AC$5)="F",AND(AC$6&gt;0,$A74&lt;AC$6),AND(AC$7&gt;0,$A74&gt;AC$7)),0,MAX(0,ROUND((INDEX($E74:$G74,AC$5)-SUMIFS(TF_Timer,TF_Tekniker,AC$4,TF_Dato,$A74))*2,0)/2)))</f>
        <v/>
      </c>
      <c r="AD74">
        <f>IF(OR(AD$4="",$A74&gt;TODAY()),0,IF(OR(INDEX($B74:$D74,AD$5)="F",AND(AD$6&gt;0,$A74&lt;AD$6),AND(AD$7&gt;0,$A74&gt;AD$7)),0,MAX(0,ROUND((INDEX($E74:$G74,AD$5)-SUMIFS(TF_Timer,TF_Tekniker,AD$4,TF_Dato,$A74))*2,0)/2)))</f>
        <v/>
      </c>
      <c r="AE74">
        <f>IF(OR(AE$4="",$A74&gt;TODAY()),0,IF(OR(INDEX($B74:$D74,AE$5)="F",AND(AE$6&gt;0,$A74&lt;AE$6),AND(AE$7&gt;0,$A74&gt;AE$7)),0,MAX(0,ROUND((INDEX($E74:$G74,AE$5)-SUMIFS(TF_Timer,TF_Tekniker,AE$4,TF_Dato,$A74))*2,0)/2)))</f>
        <v/>
      </c>
      <c r="AF74">
        <f>IF(OR(AF$4="",$A74&gt;TODAY()),0,IF(OR(INDEX($B74:$D74,AF$5)="F",AND(AF$6&gt;0,$A74&lt;AF$6),AND(AF$7&gt;0,$A74&gt;AF$7)),0,MAX(0,ROUND((INDEX($E74:$G74,AF$5)-SUMIFS(TF_Timer,TF_Tekniker,AF$4,TF_Dato,$A74))*2,0)/2)))</f>
        <v/>
      </c>
      <c r="AG74">
        <f>IF(OR(AG$4="",$A74&gt;TODAY()),0,IF(OR(INDEX($B74:$D74,AG$5)="F",AND(AG$6&gt;0,$A74&lt;AG$6),AND(AG$7&gt;0,$A74&gt;AG$7)),0,MAX(0,ROUND((INDEX($E74:$G74,AG$5)-SUMIFS(TF_Timer,TF_Tekniker,AG$4,TF_Dato,$A74))*2,0)/2)))</f>
        <v/>
      </c>
      <c r="AH74">
        <f>IF(OR(AH$4="",$A74&gt;TODAY()),0,IF(OR(INDEX($B74:$D74,AH$5)="F",AND(AH$6&gt;0,$A74&lt;AH$6),AND(AH$7&gt;0,$A74&gt;AH$7)),0,MAX(0,ROUND((INDEX($E74:$G74,AH$5)-SUMIFS(TF_Timer,TF_Tekniker,AH$4,TF_Dato,$A74))*2,0)/2)))</f>
        <v/>
      </c>
      <c r="AI74">
        <f>IF(OR(AI$4="",$A74&gt;TODAY()),0,IF(OR(INDEX($B74:$D74,AI$5)="F",AND(AI$6&gt;0,$A74&lt;AI$6),AND(AI$7&gt;0,$A74&gt;AI$7)),0,MAX(0,ROUND((INDEX($E74:$G74,AI$5)-SUMIFS(TF_Timer,TF_Tekniker,AI$4,TF_Dato,$A74))*2,0)/2)))</f>
        <v/>
      </c>
      <c r="AJ74">
        <f>IF(OR(AJ$4="",$A74&gt;TODAY()),0,IF(OR(INDEX($B74:$D74,AJ$5)="F",AND(AJ$6&gt;0,$A74&lt;AJ$6),AND(AJ$7&gt;0,$A74&gt;AJ$7)),0,MAX(0,ROUND((INDEX($E74:$G74,AJ$5)-SUMIFS(TF_Timer,TF_Tekniker,AJ$4,TF_Dato,$A74))*2,0)/2)))</f>
        <v/>
      </c>
      <c r="AK74">
        <f>IF(OR(AK$4="",$A74&gt;TODAY()),0,IF(OR(INDEX($B74:$D74,AK$5)="F",AND(AK$6&gt;0,$A74&lt;AK$6),AND(AK$7&gt;0,$A74&gt;AK$7)),0,MAX(0,ROUND((INDEX($E74:$G74,AK$5)-SUMIFS(TF_Timer,TF_Tekniker,AK$4,TF_Dato,$A74))*2,0)/2)))</f>
        <v/>
      </c>
      <c r="AL74">
        <f>IF(OR(AL$4="",$A74&gt;TODAY()),0,IF(OR(INDEX($B74:$D74,AL$5)="F",AND(AL$6&gt;0,$A74&lt;AL$6),AND(AL$7&gt;0,$A74&gt;AL$7)),0,MAX(0,ROUND((INDEX($E74:$G74,AL$5)-SUMIFS(TF_Timer,TF_Tekniker,AL$4,TF_Dato,$A74))*2,0)/2)))</f>
        <v/>
      </c>
      <c r="AM74">
        <f>IF(OR(AM$4="",$A74&gt;TODAY()),0,IF(OR(INDEX($B74:$D74,AM$5)="F",AND(AM$6&gt;0,$A74&lt;AM$6),AND(AM$7&gt;0,$A74&gt;AM$7)),0,MAX(0,ROUND((INDEX($E74:$G74,AM$5)-SUMIFS(TF_Timer,TF_Tekniker,AM$4,TF_Dato,$A74))*2,0)/2)))</f>
        <v/>
      </c>
      <c r="AN74">
        <f>IF(OR(AN$4="",$A74&gt;TODAY()),0,IF(OR(INDEX($B74:$D74,AN$5)="F",AND(AN$6&gt;0,$A74&lt;AN$6),AND(AN$7&gt;0,$A74&gt;AN$7)),0,MAX(0,ROUND((INDEX($E74:$G74,AN$5)-SUMIFS(TF_Timer,TF_Tekniker,AN$4,TF_Dato,$A74))*2,0)/2)))</f>
        <v/>
      </c>
      <c r="AO74">
        <f>IF(OR(AO$4="",$A74&gt;TODAY()),0,IF(OR(INDEX($B74:$D74,AO$5)="F",AND(AO$6&gt;0,$A74&lt;AO$6),AND(AO$7&gt;0,$A74&gt;AO$7)),0,MAX(0,ROUND((INDEX($E74:$G74,AO$5)-SUMIFS(TF_Timer,TF_Tekniker,AO$4,TF_Dato,$A74))*2,0)/2)))</f>
        <v/>
      </c>
      <c r="AP74">
        <f>IF(OR(AP$4="",$A74&gt;TODAY()),0,IF(OR(INDEX($B74:$D74,AP$5)="F",AND(AP$6&gt;0,$A74&lt;AP$6),AND(AP$7&gt;0,$A74&gt;AP$7)),0,MAX(0,ROUND((INDEX($E74:$G74,AP$5)-SUMIFS(TF_Timer,TF_Tekniker,AP$4,TF_Dato,$A74))*2,0)/2)))</f>
        <v/>
      </c>
      <c r="AQ74">
        <f>IF(OR(AQ$4="",$A74&gt;TODAY()),0,IF(OR(INDEX($B74:$D74,AQ$5)="F",AND(AQ$6&gt;0,$A74&lt;AQ$6),AND(AQ$7&gt;0,$A74&gt;AQ$7)),0,MAX(0,ROUND((INDEX($E74:$G74,AQ$5)-SUMIFS(TF_Timer,TF_Tekniker,AQ$4,TF_Dato,$A74))*2,0)/2)))</f>
        <v/>
      </c>
      <c r="AR74">
        <f>IF(OR(AR$4="",$A74&gt;TODAY()),0,IF(OR(INDEX($B74:$D74,AR$5)="F",AND(AR$6&gt;0,$A74&lt;AR$6),AND(AR$7&gt;0,$A74&gt;AR$7)),0,MAX(0,ROUND((INDEX($E74:$G74,AR$5)-SUMIFS(TF_Timer,TF_Tekniker,AR$4,TF_Dato,$A74))*2,0)/2)))</f>
        <v/>
      </c>
      <c r="AS74">
        <f>IF(OR(AS$4="",$A74&gt;TODAY()),0,IF(OR(INDEX($B74:$D74,AS$5)="F",AND(AS$6&gt;0,$A74&lt;AS$6),AND(AS$7&gt;0,$A74&gt;AS$7)),0,MAX(0,ROUND((INDEX($E74:$G74,AS$5)-SUMIFS(TF_Timer,TF_Tekniker,AS$4,TF_Dato,$A74))*2,0)/2)))</f>
        <v/>
      </c>
      <c r="AT74">
        <f>IF(OR(AT$4="",$A74&gt;TODAY()),0,IF(OR(INDEX($B74:$D74,AT$5)="F",AND(AT$6&gt;0,$A74&lt;AT$6),AND(AT$7&gt;0,$A74&gt;AT$7)),0,MAX(0,ROUND((INDEX($E74:$G74,AT$5)-SUMIFS(TF_Timer,TF_Tekniker,AT$4,TF_Dato,$A74))*2,0)/2)))</f>
        <v/>
      </c>
      <c r="AU74">
        <f>IF(OR(AU$4="",$A74&gt;TODAY()),0,IF(OR(INDEX($B74:$D74,AU$5)="F",AND(AU$6&gt;0,$A74&lt;AU$6),AND(AU$7&gt;0,$A74&gt;AU$7)),0,MAX(0,ROUND((INDEX($E74:$G74,AU$5)-SUMIFS(TF_Timer,TF_Tekniker,AU$4,TF_Dato,$A74))*2,0)/2)))</f>
        <v/>
      </c>
      <c r="AV74">
        <f>IF(OR(AV$4="",$A74&gt;TODAY()),0,IF(OR(INDEX($B74:$D74,AV$5)="F",AND(AV$6&gt;0,$A74&lt;AV$6),AND(AV$7&gt;0,$A74&gt;AV$7)),0,MAX(0,ROUND((INDEX($E74:$G74,AV$5)-SUMIFS(TF_Timer,TF_Tekniker,AV$4,TF_Dato,$A74))*2,0)/2)))</f>
        <v/>
      </c>
      <c r="AW74">
        <f>IF(OR(AW$4="",$A74&gt;TODAY()),0,IF(OR(INDEX($B74:$D74,AW$5)="F",AND(AW$6&gt;0,$A74&lt;AW$6),AND(AW$7&gt;0,$A74&gt;AW$7)),0,MAX(0,ROUND((INDEX($E74:$G74,AW$5)-SUMIFS(TF_Timer,TF_Tekniker,AW$4,TF_Dato,$A74))*2,0)/2)))</f>
        <v/>
      </c>
      <c r="AX74">
        <f>IF(OR(AX$4="",$A74&gt;TODAY()),0,IF(OR(INDEX($B74:$D74,AX$5)="F",AND(AX$6&gt;0,$A74&lt;AX$6),AND(AX$7&gt;0,$A74&gt;AX$7)),0,MAX(0,ROUND((INDEX($E74:$G74,AX$5)-SUMIFS(TF_Timer,TF_Tekniker,AX$4,TF_Dato,$A74))*2,0)/2)))</f>
        <v/>
      </c>
      <c r="AY74">
        <f>IF(OR(AY$4="",$A74&gt;TODAY()),0,IF(OR(INDEX($B74:$D74,AY$5)="F",AND(AY$6&gt;0,$A74&lt;AY$6),AND(AY$7&gt;0,$A74&gt;AY$7)),0,MAX(0,ROUND((INDEX($E74:$G74,AY$5)-SUMIFS(TF_Timer,TF_Tekniker,AY$4,TF_Dato,$A74))*2,0)/2)))</f>
        <v/>
      </c>
      <c r="AZ74">
        <f>IF(OR(AZ$4="",$A74&gt;TODAY()),0,IF(OR(INDEX($B74:$D74,AZ$5)="F",AND(AZ$6&gt;0,$A74&lt;AZ$6),AND(AZ$7&gt;0,$A74&gt;AZ$7)),0,MAX(0,ROUND((INDEX($E74:$G74,AZ$5)-SUMIFS(TF_Timer,TF_Tekniker,AZ$4,TF_Dato,$A74))*2,0)/2)))</f>
        <v/>
      </c>
      <c r="BA74">
        <f>IF(OR(BA$4="",$A74&gt;TODAY()),0,IF(OR(INDEX($B74:$D74,BA$5)="F",AND(BA$6&gt;0,$A74&lt;BA$6),AND(BA$7&gt;0,$A74&gt;BA$7)),0,MAX(0,ROUND((INDEX($E74:$G74,BA$5)-SUMIFS(TF_Timer,TF_Tekniker,BA$4,TF_Dato,$A74))*2,0)/2)))</f>
        <v/>
      </c>
      <c r="BB74">
        <f>IF(OR(BB$4="",$A74&gt;TODAY()),0,IF(OR(INDEX($B74:$D74,BB$5)="F",AND(BB$6&gt;0,$A74&lt;BB$6),AND(BB$7&gt;0,$A74&gt;BB$7)),0,MAX(0,ROUND((INDEX($E74:$G74,BB$5)-SUMIFS(TF_Timer,TF_Tekniker,BB$4,TF_Dato,$A74))*2,0)/2)))</f>
        <v/>
      </c>
      <c r="BC74">
        <f>IF(OR(BC$4="",$A74&gt;TODAY()),0,IF(OR(INDEX($B74:$D74,BC$5)="F",AND(BC$6&gt;0,$A74&lt;BC$6),AND(BC$7&gt;0,$A74&gt;BC$7)),0,MAX(0,ROUND((INDEX($E74:$G74,BC$5)-SUMIFS(TF_Timer,TF_Tekniker,BC$4,TF_Dato,$A74))*2,0)/2)))</f>
        <v/>
      </c>
      <c r="BD74">
        <f>IF(OR(BD$4="",$A74&gt;TODAY()),0,IF(OR(INDEX($B74:$D74,BD$5)="F",AND(BD$6&gt;0,$A74&lt;BD$6),AND(BD$7&gt;0,$A74&gt;BD$7)),0,MAX(0,ROUND((INDEX($E74:$G74,BD$5)-SUMIFS(TF_Timer,TF_Tekniker,BD$4,TF_Dato,$A74))*2,0)/2)))</f>
        <v/>
      </c>
      <c r="BE74">
        <f>IF(OR(BE$4="",$A74&gt;TODAY()),0,IF(OR(INDEX($B74:$D74,BE$5)="F",AND(BE$6&gt;0,$A74&lt;BE$6),AND(BE$7&gt;0,$A74&gt;BE$7)),0,MAX(0,ROUND((INDEX($E74:$G74,BE$5)-SUMIFS(TF_Timer,TF_Tekniker,BE$4,TF_Dato,$A74))*2,0)/2)))</f>
        <v/>
      </c>
      <c r="BF74">
        <f>IF(OR(BF$4="",$A74&gt;TODAY()),0,IF(OR(INDEX($B74:$D74,BF$5)="F",AND(BF$6&gt;0,$A74&lt;BF$6),AND(BF$7&gt;0,$A74&gt;BF$7)),0,MAX(0,ROUND((INDEX($E74:$G74,BF$5)-SUMIFS(TF_Timer,TF_Tekniker,BF$4,TF_Dato,$A74))*2,0)/2)))</f>
        <v/>
      </c>
      <c r="BG74">
        <f>IF(OR(BG$4="",$A74&gt;TODAY()),0,IF(OR(INDEX($B74:$D74,BG$5)="F",AND(BG$6&gt;0,$A74&lt;BG$6),AND(BG$7&gt;0,$A74&gt;BG$7)),0,MAX(0,ROUND((INDEX($E74:$G74,BG$5)-SUMIFS(TF_Timer,TF_Tekniker,BG$4,TF_Dato,$A74))*2,0)/2)))</f>
        <v/>
      </c>
      <c r="BH74">
        <f>IF(OR(BH$4="",$A74&gt;TODAY()),0,IF(OR(INDEX($B74:$D74,BH$5)="F",AND(BH$6&gt;0,$A74&lt;BH$6),AND(BH$7&gt;0,$A74&gt;BH$7)),0,MAX(0,ROUND((INDEX($E74:$G74,BH$5)-SUMIFS(TF_Timer,TF_Tekniker,BH$4,TF_Dato,$A74))*2,0)/2)))</f>
        <v/>
      </c>
      <c r="BI74">
        <f>IF(OR(BI$4="",$A74&gt;TODAY()),0,IF(OR(INDEX($B74:$D74,BI$5)="F",AND(BI$6&gt;0,$A74&lt;BI$6),AND(BI$7&gt;0,$A74&gt;BI$7)),0,MAX(0,ROUND((INDEX($E74:$G74,BI$5)-SUMIFS(TF_Timer,TF_Tekniker,BI$4,TF_Dato,$A74))*2,0)/2)))</f>
        <v/>
      </c>
    </row>
    <row r="75">
      <c r="A75" s="64">
        <f>A74+1</f>
        <v/>
      </c>
      <c r="B75">
        <f>IF(MOD($A75-INDEX(SkiftStart,1),Syklus)&lt;DagK,"K",IF(MOD($A75-INDEX(SkiftStart,1),Syklus)&lt;DagK+DagH,"H",IF(MOD($A75-INDEX(SkiftStart,1),Syklus)&lt;DagK+DagH+DagD,"D","F")))</f>
        <v/>
      </c>
      <c r="C75">
        <f>IF(MOD($A75-INDEX(SkiftStart,2),Syklus)&lt;DagK,"K",IF(MOD($A75-INDEX(SkiftStart,2),Syklus)&lt;DagK+DagH,"H",IF(MOD($A75-INDEX(SkiftStart,2),Syklus)&lt;DagK+DagH+DagD,"D","F")))</f>
        <v/>
      </c>
      <c r="D75">
        <f>IF(MOD($A75-INDEX(SkiftStart,3),Syklus)&lt;DagK,"K",IF(MOD($A75-INDEX(SkiftStart,3),Syklus)&lt;DagK+DagH,"H",IF(MOD($A75-INDEX(SkiftStart,3),Syklus)&lt;DagK+DagH+DagD,"D","F")))</f>
        <v/>
      </c>
      <c r="E75">
        <f>IF(B75="F",0,IF(WEEKDAY($A75,2)=5,INDEX(TimerFr,MATCH(B75,FaseKode,0)),INDEX(TimerMT,MATCH(B75,FaseKode,0))))</f>
        <v/>
      </c>
      <c r="F75">
        <f>IF(C75="F",0,IF(WEEKDAY($A75,2)=5,INDEX(TimerFr,MATCH(C75,FaseKode,0)),INDEX(TimerMT,MATCH(C75,FaseKode,0))))</f>
        <v/>
      </c>
      <c r="G75">
        <f>IF(D75="F",0,IF(WEEKDAY($A75,2)=5,INDEX(TimerFr,MATCH(D75,FaseKode,0)),INDEX(TimerMT,MATCH(D75,FaseKode,0))))</f>
        <v/>
      </c>
      <c r="H75">
        <f>IF(OR(H$4="",$A75&gt;TODAY()),0,IF(OR(INDEX($B75:$D75,H$5)="F",AND(H$6&gt;0,$A75&lt;H$6),AND(H$7&gt;0,$A75&gt;H$7)),0,MAX(0,ROUND((INDEX($E75:$G75,H$5)-SUMIFS(TF_Timer,TF_Tekniker,H$4,TF_Dato,$A75))*2,0)/2)))</f>
        <v/>
      </c>
      <c r="I75">
        <f>IF(OR(I$4="",$A75&gt;TODAY()),0,IF(OR(INDEX($B75:$D75,I$5)="F",AND(I$6&gt;0,$A75&lt;I$6),AND(I$7&gt;0,$A75&gt;I$7)),0,MAX(0,ROUND((INDEX($E75:$G75,I$5)-SUMIFS(TF_Timer,TF_Tekniker,I$4,TF_Dato,$A75))*2,0)/2)))</f>
        <v/>
      </c>
      <c r="J75">
        <f>IF(OR(J$4="",$A75&gt;TODAY()),0,IF(OR(INDEX($B75:$D75,J$5)="F",AND(J$6&gt;0,$A75&lt;J$6),AND(J$7&gt;0,$A75&gt;J$7)),0,MAX(0,ROUND((INDEX($E75:$G75,J$5)-SUMIFS(TF_Timer,TF_Tekniker,J$4,TF_Dato,$A75))*2,0)/2)))</f>
        <v/>
      </c>
      <c r="K75">
        <f>IF(OR(K$4="",$A75&gt;TODAY()),0,IF(OR(INDEX($B75:$D75,K$5)="F",AND(K$6&gt;0,$A75&lt;K$6),AND(K$7&gt;0,$A75&gt;K$7)),0,MAX(0,ROUND((INDEX($E75:$G75,K$5)-SUMIFS(TF_Timer,TF_Tekniker,K$4,TF_Dato,$A75))*2,0)/2)))</f>
        <v/>
      </c>
      <c r="L75">
        <f>IF(OR(L$4="",$A75&gt;TODAY()),0,IF(OR(INDEX($B75:$D75,L$5)="F",AND(L$6&gt;0,$A75&lt;L$6),AND(L$7&gt;0,$A75&gt;L$7)),0,MAX(0,ROUND((INDEX($E75:$G75,L$5)-SUMIFS(TF_Timer,TF_Tekniker,L$4,TF_Dato,$A75))*2,0)/2)))</f>
        <v/>
      </c>
      <c r="M75">
        <f>IF(OR(M$4="",$A75&gt;TODAY()),0,IF(OR(INDEX($B75:$D75,M$5)="F",AND(M$6&gt;0,$A75&lt;M$6),AND(M$7&gt;0,$A75&gt;M$7)),0,MAX(0,ROUND((INDEX($E75:$G75,M$5)-SUMIFS(TF_Timer,TF_Tekniker,M$4,TF_Dato,$A75))*2,0)/2)))</f>
        <v/>
      </c>
      <c r="N75">
        <f>IF(OR(N$4="",$A75&gt;TODAY()),0,IF(OR(INDEX($B75:$D75,N$5)="F",AND(N$6&gt;0,$A75&lt;N$6),AND(N$7&gt;0,$A75&gt;N$7)),0,MAX(0,ROUND((INDEX($E75:$G75,N$5)-SUMIFS(TF_Timer,TF_Tekniker,N$4,TF_Dato,$A75))*2,0)/2)))</f>
        <v/>
      </c>
      <c r="O75">
        <f>IF(OR(O$4="",$A75&gt;TODAY()),0,IF(OR(INDEX($B75:$D75,O$5)="F",AND(O$6&gt;0,$A75&lt;O$6),AND(O$7&gt;0,$A75&gt;O$7)),0,MAX(0,ROUND((INDEX($E75:$G75,O$5)-SUMIFS(TF_Timer,TF_Tekniker,O$4,TF_Dato,$A75))*2,0)/2)))</f>
        <v/>
      </c>
      <c r="P75">
        <f>IF(OR(P$4="",$A75&gt;TODAY()),0,IF(OR(INDEX($B75:$D75,P$5)="F",AND(P$6&gt;0,$A75&lt;P$6),AND(P$7&gt;0,$A75&gt;P$7)),0,MAX(0,ROUND((INDEX($E75:$G75,P$5)-SUMIFS(TF_Timer,TF_Tekniker,P$4,TF_Dato,$A75))*2,0)/2)))</f>
        <v/>
      </c>
      <c r="Q75">
        <f>IF(OR(Q$4="",$A75&gt;TODAY()),0,IF(OR(INDEX($B75:$D75,Q$5)="F",AND(Q$6&gt;0,$A75&lt;Q$6),AND(Q$7&gt;0,$A75&gt;Q$7)),0,MAX(0,ROUND((INDEX($E75:$G75,Q$5)-SUMIFS(TF_Timer,TF_Tekniker,Q$4,TF_Dato,$A75))*2,0)/2)))</f>
        <v/>
      </c>
      <c r="R75">
        <f>IF(OR(R$4="",$A75&gt;TODAY()),0,IF(OR(INDEX($B75:$D75,R$5)="F",AND(R$6&gt;0,$A75&lt;R$6),AND(R$7&gt;0,$A75&gt;R$7)),0,MAX(0,ROUND((INDEX($E75:$G75,R$5)-SUMIFS(TF_Timer,TF_Tekniker,R$4,TF_Dato,$A75))*2,0)/2)))</f>
        <v/>
      </c>
      <c r="S75">
        <f>IF(OR(S$4="",$A75&gt;TODAY()),0,IF(OR(INDEX($B75:$D75,S$5)="F",AND(S$6&gt;0,$A75&lt;S$6),AND(S$7&gt;0,$A75&gt;S$7)),0,MAX(0,ROUND((INDEX($E75:$G75,S$5)-SUMIFS(TF_Timer,TF_Tekniker,S$4,TF_Dato,$A75))*2,0)/2)))</f>
        <v/>
      </c>
      <c r="T75">
        <f>IF(OR(T$4="",$A75&gt;TODAY()),0,IF(OR(INDEX($B75:$D75,T$5)="F",AND(T$6&gt;0,$A75&lt;T$6),AND(T$7&gt;0,$A75&gt;T$7)),0,MAX(0,ROUND((INDEX($E75:$G75,T$5)-SUMIFS(TF_Timer,TF_Tekniker,T$4,TF_Dato,$A75))*2,0)/2)))</f>
        <v/>
      </c>
      <c r="U75">
        <f>IF(OR(U$4="",$A75&gt;TODAY()),0,IF(OR(INDEX($B75:$D75,U$5)="F",AND(U$6&gt;0,$A75&lt;U$6),AND(U$7&gt;0,$A75&gt;U$7)),0,MAX(0,ROUND((INDEX($E75:$G75,U$5)-SUMIFS(TF_Timer,TF_Tekniker,U$4,TF_Dato,$A75))*2,0)/2)))</f>
        <v/>
      </c>
      <c r="V75">
        <f>IF(OR(V$4="",$A75&gt;TODAY()),0,IF(OR(INDEX($B75:$D75,V$5)="F",AND(V$6&gt;0,$A75&lt;V$6),AND(V$7&gt;0,$A75&gt;V$7)),0,MAX(0,ROUND((INDEX($E75:$G75,V$5)-SUMIFS(TF_Timer,TF_Tekniker,V$4,TF_Dato,$A75))*2,0)/2)))</f>
        <v/>
      </c>
      <c r="W75">
        <f>IF(OR(W$4="",$A75&gt;TODAY()),0,IF(OR(INDEX($B75:$D75,W$5)="F",AND(W$6&gt;0,$A75&lt;W$6),AND(W$7&gt;0,$A75&gt;W$7)),0,MAX(0,ROUND((INDEX($E75:$G75,W$5)-SUMIFS(TF_Timer,TF_Tekniker,W$4,TF_Dato,$A75))*2,0)/2)))</f>
        <v/>
      </c>
      <c r="X75">
        <f>IF(OR(X$4="",$A75&gt;TODAY()),0,IF(OR(INDEX($B75:$D75,X$5)="F",AND(X$6&gt;0,$A75&lt;X$6),AND(X$7&gt;0,$A75&gt;X$7)),0,MAX(0,ROUND((INDEX($E75:$G75,X$5)-SUMIFS(TF_Timer,TF_Tekniker,X$4,TF_Dato,$A75))*2,0)/2)))</f>
        <v/>
      </c>
      <c r="Y75">
        <f>IF(OR(Y$4="",$A75&gt;TODAY()),0,IF(OR(INDEX($B75:$D75,Y$5)="F",AND(Y$6&gt;0,$A75&lt;Y$6),AND(Y$7&gt;0,$A75&gt;Y$7)),0,MAX(0,ROUND((INDEX($E75:$G75,Y$5)-SUMIFS(TF_Timer,TF_Tekniker,Y$4,TF_Dato,$A75))*2,0)/2)))</f>
        <v/>
      </c>
      <c r="Z75">
        <f>IF(OR(Z$4="",$A75&gt;TODAY()),0,IF(OR(INDEX($B75:$D75,Z$5)="F",AND(Z$6&gt;0,$A75&lt;Z$6),AND(Z$7&gt;0,$A75&gt;Z$7)),0,MAX(0,ROUND((INDEX($E75:$G75,Z$5)-SUMIFS(TF_Timer,TF_Tekniker,Z$4,TF_Dato,$A75))*2,0)/2)))</f>
        <v/>
      </c>
      <c r="AA75">
        <f>IF(OR(AA$4="",$A75&gt;TODAY()),0,IF(OR(INDEX($B75:$D75,AA$5)="F",AND(AA$6&gt;0,$A75&lt;AA$6),AND(AA$7&gt;0,$A75&gt;AA$7)),0,MAX(0,ROUND((INDEX($E75:$G75,AA$5)-SUMIFS(TF_Timer,TF_Tekniker,AA$4,TF_Dato,$A75))*2,0)/2)))</f>
        <v/>
      </c>
      <c r="AB75">
        <f>IF(OR(AB$4="",$A75&gt;TODAY()),0,IF(OR(INDEX($B75:$D75,AB$5)="F",AND(AB$6&gt;0,$A75&lt;AB$6),AND(AB$7&gt;0,$A75&gt;AB$7)),0,MAX(0,ROUND((INDEX($E75:$G75,AB$5)-SUMIFS(TF_Timer,TF_Tekniker,AB$4,TF_Dato,$A75))*2,0)/2)))</f>
        <v/>
      </c>
      <c r="AC75">
        <f>IF(OR(AC$4="",$A75&gt;TODAY()),0,IF(OR(INDEX($B75:$D75,AC$5)="F",AND(AC$6&gt;0,$A75&lt;AC$6),AND(AC$7&gt;0,$A75&gt;AC$7)),0,MAX(0,ROUND((INDEX($E75:$G75,AC$5)-SUMIFS(TF_Timer,TF_Tekniker,AC$4,TF_Dato,$A75))*2,0)/2)))</f>
        <v/>
      </c>
      <c r="AD75">
        <f>IF(OR(AD$4="",$A75&gt;TODAY()),0,IF(OR(INDEX($B75:$D75,AD$5)="F",AND(AD$6&gt;0,$A75&lt;AD$6),AND(AD$7&gt;0,$A75&gt;AD$7)),0,MAX(0,ROUND((INDEX($E75:$G75,AD$5)-SUMIFS(TF_Timer,TF_Tekniker,AD$4,TF_Dato,$A75))*2,0)/2)))</f>
        <v/>
      </c>
      <c r="AE75">
        <f>IF(OR(AE$4="",$A75&gt;TODAY()),0,IF(OR(INDEX($B75:$D75,AE$5)="F",AND(AE$6&gt;0,$A75&lt;AE$6),AND(AE$7&gt;0,$A75&gt;AE$7)),0,MAX(0,ROUND((INDEX($E75:$G75,AE$5)-SUMIFS(TF_Timer,TF_Tekniker,AE$4,TF_Dato,$A75))*2,0)/2)))</f>
        <v/>
      </c>
      <c r="AF75">
        <f>IF(OR(AF$4="",$A75&gt;TODAY()),0,IF(OR(INDEX($B75:$D75,AF$5)="F",AND(AF$6&gt;0,$A75&lt;AF$6),AND(AF$7&gt;0,$A75&gt;AF$7)),0,MAX(0,ROUND((INDEX($E75:$G75,AF$5)-SUMIFS(TF_Timer,TF_Tekniker,AF$4,TF_Dato,$A75))*2,0)/2)))</f>
        <v/>
      </c>
      <c r="AG75">
        <f>IF(OR(AG$4="",$A75&gt;TODAY()),0,IF(OR(INDEX($B75:$D75,AG$5)="F",AND(AG$6&gt;0,$A75&lt;AG$6),AND(AG$7&gt;0,$A75&gt;AG$7)),0,MAX(0,ROUND((INDEX($E75:$G75,AG$5)-SUMIFS(TF_Timer,TF_Tekniker,AG$4,TF_Dato,$A75))*2,0)/2)))</f>
        <v/>
      </c>
      <c r="AH75">
        <f>IF(OR(AH$4="",$A75&gt;TODAY()),0,IF(OR(INDEX($B75:$D75,AH$5)="F",AND(AH$6&gt;0,$A75&lt;AH$6),AND(AH$7&gt;0,$A75&gt;AH$7)),0,MAX(0,ROUND((INDEX($E75:$G75,AH$5)-SUMIFS(TF_Timer,TF_Tekniker,AH$4,TF_Dato,$A75))*2,0)/2)))</f>
        <v/>
      </c>
      <c r="AI75">
        <f>IF(OR(AI$4="",$A75&gt;TODAY()),0,IF(OR(INDEX($B75:$D75,AI$5)="F",AND(AI$6&gt;0,$A75&lt;AI$6),AND(AI$7&gt;0,$A75&gt;AI$7)),0,MAX(0,ROUND((INDEX($E75:$G75,AI$5)-SUMIFS(TF_Timer,TF_Tekniker,AI$4,TF_Dato,$A75))*2,0)/2)))</f>
        <v/>
      </c>
      <c r="AJ75">
        <f>IF(OR(AJ$4="",$A75&gt;TODAY()),0,IF(OR(INDEX($B75:$D75,AJ$5)="F",AND(AJ$6&gt;0,$A75&lt;AJ$6),AND(AJ$7&gt;0,$A75&gt;AJ$7)),0,MAX(0,ROUND((INDEX($E75:$G75,AJ$5)-SUMIFS(TF_Timer,TF_Tekniker,AJ$4,TF_Dato,$A75))*2,0)/2)))</f>
        <v/>
      </c>
      <c r="AK75">
        <f>IF(OR(AK$4="",$A75&gt;TODAY()),0,IF(OR(INDEX($B75:$D75,AK$5)="F",AND(AK$6&gt;0,$A75&lt;AK$6),AND(AK$7&gt;0,$A75&gt;AK$7)),0,MAX(0,ROUND((INDEX($E75:$G75,AK$5)-SUMIFS(TF_Timer,TF_Tekniker,AK$4,TF_Dato,$A75))*2,0)/2)))</f>
        <v/>
      </c>
      <c r="AL75">
        <f>IF(OR(AL$4="",$A75&gt;TODAY()),0,IF(OR(INDEX($B75:$D75,AL$5)="F",AND(AL$6&gt;0,$A75&lt;AL$6),AND(AL$7&gt;0,$A75&gt;AL$7)),0,MAX(0,ROUND((INDEX($E75:$G75,AL$5)-SUMIFS(TF_Timer,TF_Tekniker,AL$4,TF_Dato,$A75))*2,0)/2)))</f>
        <v/>
      </c>
      <c r="AM75">
        <f>IF(OR(AM$4="",$A75&gt;TODAY()),0,IF(OR(INDEX($B75:$D75,AM$5)="F",AND(AM$6&gt;0,$A75&lt;AM$6),AND(AM$7&gt;0,$A75&gt;AM$7)),0,MAX(0,ROUND((INDEX($E75:$G75,AM$5)-SUMIFS(TF_Timer,TF_Tekniker,AM$4,TF_Dato,$A75))*2,0)/2)))</f>
        <v/>
      </c>
      <c r="AN75">
        <f>IF(OR(AN$4="",$A75&gt;TODAY()),0,IF(OR(INDEX($B75:$D75,AN$5)="F",AND(AN$6&gt;0,$A75&lt;AN$6),AND(AN$7&gt;0,$A75&gt;AN$7)),0,MAX(0,ROUND((INDEX($E75:$G75,AN$5)-SUMIFS(TF_Timer,TF_Tekniker,AN$4,TF_Dato,$A75))*2,0)/2)))</f>
        <v/>
      </c>
      <c r="AO75">
        <f>IF(OR(AO$4="",$A75&gt;TODAY()),0,IF(OR(INDEX($B75:$D75,AO$5)="F",AND(AO$6&gt;0,$A75&lt;AO$6),AND(AO$7&gt;0,$A75&gt;AO$7)),0,MAX(0,ROUND((INDEX($E75:$G75,AO$5)-SUMIFS(TF_Timer,TF_Tekniker,AO$4,TF_Dato,$A75))*2,0)/2)))</f>
        <v/>
      </c>
      <c r="AP75">
        <f>IF(OR(AP$4="",$A75&gt;TODAY()),0,IF(OR(INDEX($B75:$D75,AP$5)="F",AND(AP$6&gt;0,$A75&lt;AP$6),AND(AP$7&gt;0,$A75&gt;AP$7)),0,MAX(0,ROUND((INDEX($E75:$G75,AP$5)-SUMIFS(TF_Timer,TF_Tekniker,AP$4,TF_Dato,$A75))*2,0)/2)))</f>
        <v/>
      </c>
      <c r="AQ75">
        <f>IF(OR(AQ$4="",$A75&gt;TODAY()),0,IF(OR(INDEX($B75:$D75,AQ$5)="F",AND(AQ$6&gt;0,$A75&lt;AQ$6),AND(AQ$7&gt;0,$A75&gt;AQ$7)),0,MAX(0,ROUND((INDEX($E75:$G75,AQ$5)-SUMIFS(TF_Timer,TF_Tekniker,AQ$4,TF_Dato,$A75))*2,0)/2)))</f>
        <v/>
      </c>
      <c r="AR75">
        <f>IF(OR(AR$4="",$A75&gt;TODAY()),0,IF(OR(INDEX($B75:$D75,AR$5)="F",AND(AR$6&gt;0,$A75&lt;AR$6),AND(AR$7&gt;0,$A75&gt;AR$7)),0,MAX(0,ROUND((INDEX($E75:$G75,AR$5)-SUMIFS(TF_Timer,TF_Tekniker,AR$4,TF_Dato,$A75))*2,0)/2)))</f>
        <v/>
      </c>
      <c r="AS75">
        <f>IF(OR(AS$4="",$A75&gt;TODAY()),0,IF(OR(INDEX($B75:$D75,AS$5)="F",AND(AS$6&gt;0,$A75&lt;AS$6),AND(AS$7&gt;0,$A75&gt;AS$7)),0,MAX(0,ROUND((INDEX($E75:$G75,AS$5)-SUMIFS(TF_Timer,TF_Tekniker,AS$4,TF_Dato,$A75))*2,0)/2)))</f>
        <v/>
      </c>
      <c r="AT75">
        <f>IF(OR(AT$4="",$A75&gt;TODAY()),0,IF(OR(INDEX($B75:$D75,AT$5)="F",AND(AT$6&gt;0,$A75&lt;AT$6),AND(AT$7&gt;0,$A75&gt;AT$7)),0,MAX(0,ROUND((INDEX($E75:$G75,AT$5)-SUMIFS(TF_Timer,TF_Tekniker,AT$4,TF_Dato,$A75))*2,0)/2)))</f>
        <v/>
      </c>
      <c r="AU75">
        <f>IF(OR(AU$4="",$A75&gt;TODAY()),0,IF(OR(INDEX($B75:$D75,AU$5)="F",AND(AU$6&gt;0,$A75&lt;AU$6),AND(AU$7&gt;0,$A75&gt;AU$7)),0,MAX(0,ROUND((INDEX($E75:$G75,AU$5)-SUMIFS(TF_Timer,TF_Tekniker,AU$4,TF_Dato,$A75))*2,0)/2)))</f>
        <v/>
      </c>
      <c r="AV75">
        <f>IF(OR(AV$4="",$A75&gt;TODAY()),0,IF(OR(INDEX($B75:$D75,AV$5)="F",AND(AV$6&gt;0,$A75&lt;AV$6),AND(AV$7&gt;0,$A75&gt;AV$7)),0,MAX(0,ROUND((INDEX($E75:$G75,AV$5)-SUMIFS(TF_Timer,TF_Tekniker,AV$4,TF_Dato,$A75))*2,0)/2)))</f>
        <v/>
      </c>
      <c r="AW75">
        <f>IF(OR(AW$4="",$A75&gt;TODAY()),0,IF(OR(INDEX($B75:$D75,AW$5)="F",AND(AW$6&gt;0,$A75&lt;AW$6),AND(AW$7&gt;0,$A75&gt;AW$7)),0,MAX(0,ROUND((INDEX($E75:$G75,AW$5)-SUMIFS(TF_Timer,TF_Tekniker,AW$4,TF_Dato,$A75))*2,0)/2)))</f>
        <v/>
      </c>
      <c r="AX75">
        <f>IF(OR(AX$4="",$A75&gt;TODAY()),0,IF(OR(INDEX($B75:$D75,AX$5)="F",AND(AX$6&gt;0,$A75&lt;AX$6),AND(AX$7&gt;0,$A75&gt;AX$7)),0,MAX(0,ROUND((INDEX($E75:$G75,AX$5)-SUMIFS(TF_Timer,TF_Tekniker,AX$4,TF_Dato,$A75))*2,0)/2)))</f>
        <v/>
      </c>
      <c r="AY75">
        <f>IF(OR(AY$4="",$A75&gt;TODAY()),0,IF(OR(INDEX($B75:$D75,AY$5)="F",AND(AY$6&gt;0,$A75&lt;AY$6),AND(AY$7&gt;0,$A75&gt;AY$7)),0,MAX(0,ROUND((INDEX($E75:$G75,AY$5)-SUMIFS(TF_Timer,TF_Tekniker,AY$4,TF_Dato,$A75))*2,0)/2)))</f>
        <v/>
      </c>
      <c r="AZ75">
        <f>IF(OR(AZ$4="",$A75&gt;TODAY()),0,IF(OR(INDEX($B75:$D75,AZ$5)="F",AND(AZ$6&gt;0,$A75&lt;AZ$6),AND(AZ$7&gt;0,$A75&gt;AZ$7)),0,MAX(0,ROUND((INDEX($E75:$G75,AZ$5)-SUMIFS(TF_Timer,TF_Tekniker,AZ$4,TF_Dato,$A75))*2,0)/2)))</f>
        <v/>
      </c>
      <c r="BA75">
        <f>IF(OR(BA$4="",$A75&gt;TODAY()),0,IF(OR(INDEX($B75:$D75,BA$5)="F",AND(BA$6&gt;0,$A75&lt;BA$6),AND(BA$7&gt;0,$A75&gt;BA$7)),0,MAX(0,ROUND((INDEX($E75:$G75,BA$5)-SUMIFS(TF_Timer,TF_Tekniker,BA$4,TF_Dato,$A75))*2,0)/2)))</f>
        <v/>
      </c>
      <c r="BB75">
        <f>IF(OR(BB$4="",$A75&gt;TODAY()),0,IF(OR(INDEX($B75:$D75,BB$5)="F",AND(BB$6&gt;0,$A75&lt;BB$6),AND(BB$7&gt;0,$A75&gt;BB$7)),0,MAX(0,ROUND((INDEX($E75:$G75,BB$5)-SUMIFS(TF_Timer,TF_Tekniker,BB$4,TF_Dato,$A75))*2,0)/2)))</f>
        <v/>
      </c>
      <c r="BC75">
        <f>IF(OR(BC$4="",$A75&gt;TODAY()),0,IF(OR(INDEX($B75:$D75,BC$5)="F",AND(BC$6&gt;0,$A75&lt;BC$6),AND(BC$7&gt;0,$A75&gt;BC$7)),0,MAX(0,ROUND((INDEX($E75:$G75,BC$5)-SUMIFS(TF_Timer,TF_Tekniker,BC$4,TF_Dato,$A75))*2,0)/2)))</f>
        <v/>
      </c>
      <c r="BD75">
        <f>IF(OR(BD$4="",$A75&gt;TODAY()),0,IF(OR(INDEX($B75:$D75,BD$5)="F",AND(BD$6&gt;0,$A75&lt;BD$6),AND(BD$7&gt;0,$A75&gt;BD$7)),0,MAX(0,ROUND((INDEX($E75:$G75,BD$5)-SUMIFS(TF_Timer,TF_Tekniker,BD$4,TF_Dato,$A75))*2,0)/2)))</f>
        <v/>
      </c>
      <c r="BE75">
        <f>IF(OR(BE$4="",$A75&gt;TODAY()),0,IF(OR(INDEX($B75:$D75,BE$5)="F",AND(BE$6&gt;0,$A75&lt;BE$6),AND(BE$7&gt;0,$A75&gt;BE$7)),0,MAX(0,ROUND((INDEX($E75:$G75,BE$5)-SUMIFS(TF_Timer,TF_Tekniker,BE$4,TF_Dato,$A75))*2,0)/2)))</f>
        <v/>
      </c>
      <c r="BF75">
        <f>IF(OR(BF$4="",$A75&gt;TODAY()),0,IF(OR(INDEX($B75:$D75,BF$5)="F",AND(BF$6&gt;0,$A75&lt;BF$6),AND(BF$7&gt;0,$A75&gt;BF$7)),0,MAX(0,ROUND((INDEX($E75:$G75,BF$5)-SUMIFS(TF_Timer,TF_Tekniker,BF$4,TF_Dato,$A75))*2,0)/2)))</f>
        <v/>
      </c>
      <c r="BG75">
        <f>IF(OR(BG$4="",$A75&gt;TODAY()),0,IF(OR(INDEX($B75:$D75,BG$5)="F",AND(BG$6&gt;0,$A75&lt;BG$6),AND(BG$7&gt;0,$A75&gt;BG$7)),0,MAX(0,ROUND((INDEX($E75:$G75,BG$5)-SUMIFS(TF_Timer,TF_Tekniker,BG$4,TF_Dato,$A75))*2,0)/2)))</f>
        <v/>
      </c>
      <c r="BH75">
        <f>IF(OR(BH$4="",$A75&gt;TODAY()),0,IF(OR(INDEX($B75:$D75,BH$5)="F",AND(BH$6&gt;0,$A75&lt;BH$6),AND(BH$7&gt;0,$A75&gt;BH$7)),0,MAX(0,ROUND((INDEX($E75:$G75,BH$5)-SUMIFS(TF_Timer,TF_Tekniker,BH$4,TF_Dato,$A75))*2,0)/2)))</f>
        <v/>
      </c>
      <c r="BI75">
        <f>IF(OR(BI$4="",$A75&gt;TODAY()),0,IF(OR(INDEX($B75:$D75,BI$5)="F",AND(BI$6&gt;0,$A75&lt;BI$6),AND(BI$7&gt;0,$A75&gt;BI$7)),0,MAX(0,ROUND((INDEX($E75:$G75,BI$5)-SUMIFS(TF_Timer,TF_Tekniker,BI$4,TF_Dato,$A75))*2,0)/2)))</f>
        <v/>
      </c>
    </row>
    <row r="76">
      <c r="A76" s="64">
        <f>A75+1</f>
        <v/>
      </c>
      <c r="B76">
        <f>IF(MOD($A76-INDEX(SkiftStart,1),Syklus)&lt;DagK,"K",IF(MOD($A76-INDEX(SkiftStart,1),Syklus)&lt;DagK+DagH,"H",IF(MOD($A76-INDEX(SkiftStart,1),Syklus)&lt;DagK+DagH+DagD,"D","F")))</f>
        <v/>
      </c>
      <c r="C76">
        <f>IF(MOD($A76-INDEX(SkiftStart,2),Syklus)&lt;DagK,"K",IF(MOD($A76-INDEX(SkiftStart,2),Syklus)&lt;DagK+DagH,"H",IF(MOD($A76-INDEX(SkiftStart,2),Syklus)&lt;DagK+DagH+DagD,"D","F")))</f>
        <v/>
      </c>
      <c r="D76">
        <f>IF(MOD($A76-INDEX(SkiftStart,3),Syklus)&lt;DagK,"K",IF(MOD($A76-INDEX(SkiftStart,3),Syklus)&lt;DagK+DagH,"H",IF(MOD($A76-INDEX(SkiftStart,3),Syklus)&lt;DagK+DagH+DagD,"D","F")))</f>
        <v/>
      </c>
      <c r="E76">
        <f>IF(B76="F",0,IF(WEEKDAY($A76,2)=5,INDEX(TimerFr,MATCH(B76,FaseKode,0)),INDEX(TimerMT,MATCH(B76,FaseKode,0))))</f>
        <v/>
      </c>
      <c r="F76">
        <f>IF(C76="F",0,IF(WEEKDAY($A76,2)=5,INDEX(TimerFr,MATCH(C76,FaseKode,0)),INDEX(TimerMT,MATCH(C76,FaseKode,0))))</f>
        <v/>
      </c>
      <c r="G76">
        <f>IF(D76="F",0,IF(WEEKDAY($A76,2)=5,INDEX(TimerFr,MATCH(D76,FaseKode,0)),INDEX(TimerMT,MATCH(D76,FaseKode,0))))</f>
        <v/>
      </c>
      <c r="H76">
        <f>IF(OR(H$4="",$A76&gt;TODAY()),0,IF(OR(INDEX($B76:$D76,H$5)="F",AND(H$6&gt;0,$A76&lt;H$6),AND(H$7&gt;0,$A76&gt;H$7)),0,MAX(0,ROUND((INDEX($E76:$G76,H$5)-SUMIFS(TF_Timer,TF_Tekniker,H$4,TF_Dato,$A76))*2,0)/2)))</f>
        <v/>
      </c>
      <c r="I76">
        <f>IF(OR(I$4="",$A76&gt;TODAY()),0,IF(OR(INDEX($B76:$D76,I$5)="F",AND(I$6&gt;0,$A76&lt;I$6),AND(I$7&gt;0,$A76&gt;I$7)),0,MAX(0,ROUND((INDEX($E76:$G76,I$5)-SUMIFS(TF_Timer,TF_Tekniker,I$4,TF_Dato,$A76))*2,0)/2)))</f>
        <v/>
      </c>
      <c r="J76">
        <f>IF(OR(J$4="",$A76&gt;TODAY()),0,IF(OR(INDEX($B76:$D76,J$5)="F",AND(J$6&gt;0,$A76&lt;J$6),AND(J$7&gt;0,$A76&gt;J$7)),0,MAX(0,ROUND((INDEX($E76:$G76,J$5)-SUMIFS(TF_Timer,TF_Tekniker,J$4,TF_Dato,$A76))*2,0)/2)))</f>
        <v/>
      </c>
      <c r="K76">
        <f>IF(OR(K$4="",$A76&gt;TODAY()),0,IF(OR(INDEX($B76:$D76,K$5)="F",AND(K$6&gt;0,$A76&lt;K$6),AND(K$7&gt;0,$A76&gt;K$7)),0,MAX(0,ROUND((INDEX($E76:$G76,K$5)-SUMIFS(TF_Timer,TF_Tekniker,K$4,TF_Dato,$A76))*2,0)/2)))</f>
        <v/>
      </c>
      <c r="L76">
        <f>IF(OR(L$4="",$A76&gt;TODAY()),0,IF(OR(INDEX($B76:$D76,L$5)="F",AND(L$6&gt;0,$A76&lt;L$6),AND(L$7&gt;0,$A76&gt;L$7)),0,MAX(0,ROUND((INDEX($E76:$G76,L$5)-SUMIFS(TF_Timer,TF_Tekniker,L$4,TF_Dato,$A76))*2,0)/2)))</f>
        <v/>
      </c>
      <c r="M76">
        <f>IF(OR(M$4="",$A76&gt;TODAY()),0,IF(OR(INDEX($B76:$D76,M$5)="F",AND(M$6&gt;0,$A76&lt;M$6),AND(M$7&gt;0,$A76&gt;M$7)),0,MAX(0,ROUND((INDEX($E76:$G76,M$5)-SUMIFS(TF_Timer,TF_Tekniker,M$4,TF_Dato,$A76))*2,0)/2)))</f>
        <v/>
      </c>
      <c r="N76">
        <f>IF(OR(N$4="",$A76&gt;TODAY()),0,IF(OR(INDEX($B76:$D76,N$5)="F",AND(N$6&gt;0,$A76&lt;N$6),AND(N$7&gt;0,$A76&gt;N$7)),0,MAX(0,ROUND((INDEX($E76:$G76,N$5)-SUMIFS(TF_Timer,TF_Tekniker,N$4,TF_Dato,$A76))*2,0)/2)))</f>
        <v/>
      </c>
      <c r="O76">
        <f>IF(OR(O$4="",$A76&gt;TODAY()),0,IF(OR(INDEX($B76:$D76,O$5)="F",AND(O$6&gt;0,$A76&lt;O$6),AND(O$7&gt;0,$A76&gt;O$7)),0,MAX(0,ROUND((INDEX($E76:$G76,O$5)-SUMIFS(TF_Timer,TF_Tekniker,O$4,TF_Dato,$A76))*2,0)/2)))</f>
        <v/>
      </c>
      <c r="P76">
        <f>IF(OR(P$4="",$A76&gt;TODAY()),0,IF(OR(INDEX($B76:$D76,P$5)="F",AND(P$6&gt;0,$A76&lt;P$6),AND(P$7&gt;0,$A76&gt;P$7)),0,MAX(0,ROUND((INDEX($E76:$G76,P$5)-SUMIFS(TF_Timer,TF_Tekniker,P$4,TF_Dato,$A76))*2,0)/2)))</f>
        <v/>
      </c>
      <c r="Q76">
        <f>IF(OR(Q$4="",$A76&gt;TODAY()),0,IF(OR(INDEX($B76:$D76,Q$5)="F",AND(Q$6&gt;0,$A76&lt;Q$6),AND(Q$7&gt;0,$A76&gt;Q$7)),0,MAX(0,ROUND((INDEX($E76:$G76,Q$5)-SUMIFS(TF_Timer,TF_Tekniker,Q$4,TF_Dato,$A76))*2,0)/2)))</f>
        <v/>
      </c>
      <c r="R76">
        <f>IF(OR(R$4="",$A76&gt;TODAY()),0,IF(OR(INDEX($B76:$D76,R$5)="F",AND(R$6&gt;0,$A76&lt;R$6),AND(R$7&gt;0,$A76&gt;R$7)),0,MAX(0,ROUND((INDEX($E76:$G76,R$5)-SUMIFS(TF_Timer,TF_Tekniker,R$4,TF_Dato,$A76))*2,0)/2)))</f>
        <v/>
      </c>
      <c r="S76">
        <f>IF(OR(S$4="",$A76&gt;TODAY()),0,IF(OR(INDEX($B76:$D76,S$5)="F",AND(S$6&gt;0,$A76&lt;S$6),AND(S$7&gt;0,$A76&gt;S$7)),0,MAX(0,ROUND((INDEX($E76:$G76,S$5)-SUMIFS(TF_Timer,TF_Tekniker,S$4,TF_Dato,$A76))*2,0)/2)))</f>
        <v/>
      </c>
      <c r="T76">
        <f>IF(OR(T$4="",$A76&gt;TODAY()),0,IF(OR(INDEX($B76:$D76,T$5)="F",AND(T$6&gt;0,$A76&lt;T$6),AND(T$7&gt;0,$A76&gt;T$7)),0,MAX(0,ROUND((INDEX($E76:$G76,T$5)-SUMIFS(TF_Timer,TF_Tekniker,T$4,TF_Dato,$A76))*2,0)/2)))</f>
        <v/>
      </c>
      <c r="U76">
        <f>IF(OR(U$4="",$A76&gt;TODAY()),0,IF(OR(INDEX($B76:$D76,U$5)="F",AND(U$6&gt;0,$A76&lt;U$6),AND(U$7&gt;0,$A76&gt;U$7)),0,MAX(0,ROUND((INDEX($E76:$G76,U$5)-SUMIFS(TF_Timer,TF_Tekniker,U$4,TF_Dato,$A76))*2,0)/2)))</f>
        <v/>
      </c>
      <c r="V76">
        <f>IF(OR(V$4="",$A76&gt;TODAY()),0,IF(OR(INDEX($B76:$D76,V$5)="F",AND(V$6&gt;0,$A76&lt;V$6),AND(V$7&gt;0,$A76&gt;V$7)),0,MAX(0,ROUND((INDEX($E76:$G76,V$5)-SUMIFS(TF_Timer,TF_Tekniker,V$4,TF_Dato,$A76))*2,0)/2)))</f>
        <v/>
      </c>
      <c r="W76">
        <f>IF(OR(W$4="",$A76&gt;TODAY()),0,IF(OR(INDEX($B76:$D76,W$5)="F",AND(W$6&gt;0,$A76&lt;W$6),AND(W$7&gt;0,$A76&gt;W$7)),0,MAX(0,ROUND((INDEX($E76:$G76,W$5)-SUMIFS(TF_Timer,TF_Tekniker,W$4,TF_Dato,$A76))*2,0)/2)))</f>
        <v/>
      </c>
      <c r="X76">
        <f>IF(OR(X$4="",$A76&gt;TODAY()),0,IF(OR(INDEX($B76:$D76,X$5)="F",AND(X$6&gt;0,$A76&lt;X$6),AND(X$7&gt;0,$A76&gt;X$7)),0,MAX(0,ROUND((INDEX($E76:$G76,X$5)-SUMIFS(TF_Timer,TF_Tekniker,X$4,TF_Dato,$A76))*2,0)/2)))</f>
        <v/>
      </c>
      <c r="Y76">
        <f>IF(OR(Y$4="",$A76&gt;TODAY()),0,IF(OR(INDEX($B76:$D76,Y$5)="F",AND(Y$6&gt;0,$A76&lt;Y$6),AND(Y$7&gt;0,$A76&gt;Y$7)),0,MAX(0,ROUND((INDEX($E76:$G76,Y$5)-SUMIFS(TF_Timer,TF_Tekniker,Y$4,TF_Dato,$A76))*2,0)/2)))</f>
        <v/>
      </c>
      <c r="Z76">
        <f>IF(OR(Z$4="",$A76&gt;TODAY()),0,IF(OR(INDEX($B76:$D76,Z$5)="F",AND(Z$6&gt;0,$A76&lt;Z$6),AND(Z$7&gt;0,$A76&gt;Z$7)),0,MAX(0,ROUND((INDEX($E76:$G76,Z$5)-SUMIFS(TF_Timer,TF_Tekniker,Z$4,TF_Dato,$A76))*2,0)/2)))</f>
        <v/>
      </c>
      <c r="AA76">
        <f>IF(OR(AA$4="",$A76&gt;TODAY()),0,IF(OR(INDEX($B76:$D76,AA$5)="F",AND(AA$6&gt;0,$A76&lt;AA$6),AND(AA$7&gt;0,$A76&gt;AA$7)),0,MAX(0,ROUND((INDEX($E76:$G76,AA$5)-SUMIFS(TF_Timer,TF_Tekniker,AA$4,TF_Dato,$A76))*2,0)/2)))</f>
        <v/>
      </c>
      <c r="AB76">
        <f>IF(OR(AB$4="",$A76&gt;TODAY()),0,IF(OR(INDEX($B76:$D76,AB$5)="F",AND(AB$6&gt;0,$A76&lt;AB$6),AND(AB$7&gt;0,$A76&gt;AB$7)),0,MAX(0,ROUND((INDEX($E76:$G76,AB$5)-SUMIFS(TF_Timer,TF_Tekniker,AB$4,TF_Dato,$A76))*2,0)/2)))</f>
        <v/>
      </c>
      <c r="AC76">
        <f>IF(OR(AC$4="",$A76&gt;TODAY()),0,IF(OR(INDEX($B76:$D76,AC$5)="F",AND(AC$6&gt;0,$A76&lt;AC$6),AND(AC$7&gt;0,$A76&gt;AC$7)),0,MAX(0,ROUND((INDEX($E76:$G76,AC$5)-SUMIFS(TF_Timer,TF_Tekniker,AC$4,TF_Dato,$A76))*2,0)/2)))</f>
        <v/>
      </c>
      <c r="AD76">
        <f>IF(OR(AD$4="",$A76&gt;TODAY()),0,IF(OR(INDEX($B76:$D76,AD$5)="F",AND(AD$6&gt;0,$A76&lt;AD$6),AND(AD$7&gt;0,$A76&gt;AD$7)),0,MAX(0,ROUND((INDEX($E76:$G76,AD$5)-SUMIFS(TF_Timer,TF_Tekniker,AD$4,TF_Dato,$A76))*2,0)/2)))</f>
        <v/>
      </c>
      <c r="AE76">
        <f>IF(OR(AE$4="",$A76&gt;TODAY()),0,IF(OR(INDEX($B76:$D76,AE$5)="F",AND(AE$6&gt;0,$A76&lt;AE$6),AND(AE$7&gt;0,$A76&gt;AE$7)),0,MAX(0,ROUND((INDEX($E76:$G76,AE$5)-SUMIFS(TF_Timer,TF_Tekniker,AE$4,TF_Dato,$A76))*2,0)/2)))</f>
        <v/>
      </c>
      <c r="AF76">
        <f>IF(OR(AF$4="",$A76&gt;TODAY()),0,IF(OR(INDEX($B76:$D76,AF$5)="F",AND(AF$6&gt;0,$A76&lt;AF$6),AND(AF$7&gt;0,$A76&gt;AF$7)),0,MAX(0,ROUND((INDEX($E76:$G76,AF$5)-SUMIFS(TF_Timer,TF_Tekniker,AF$4,TF_Dato,$A76))*2,0)/2)))</f>
        <v/>
      </c>
      <c r="AG76">
        <f>IF(OR(AG$4="",$A76&gt;TODAY()),0,IF(OR(INDEX($B76:$D76,AG$5)="F",AND(AG$6&gt;0,$A76&lt;AG$6),AND(AG$7&gt;0,$A76&gt;AG$7)),0,MAX(0,ROUND((INDEX($E76:$G76,AG$5)-SUMIFS(TF_Timer,TF_Tekniker,AG$4,TF_Dato,$A76))*2,0)/2)))</f>
        <v/>
      </c>
      <c r="AH76">
        <f>IF(OR(AH$4="",$A76&gt;TODAY()),0,IF(OR(INDEX($B76:$D76,AH$5)="F",AND(AH$6&gt;0,$A76&lt;AH$6),AND(AH$7&gt;0,$A76&gt;AH$7)),0,MAX(0,ROUND((INDEX($E76:$G76,AH$5)-SUMIFS(TF_Timer,TF_Tekniker,AH$4,TF_Dato,$A76))*2,0)/2)))</f>
        <v/>
      </c>
      <c r="AI76">
        <f>IF(OR(AI$4="",$A76&gt;TODAY()),0,IF(OR(INDEX($B76:$D76,AI$5)="F",AND(AI$6&gt;0,$A76&lt;AI$6),AND(AI$7&gt;0,$A76&gt;AI$7)),0,MAX(0,ROUND((INDEX($E76:$G76,AI$5)-SUMIFS(TF_Timer,TF_Tekniker,AI$4,TF_Dato,$A76))*2,0)/2)))</f>
        <v/>
      </c>
      <c r="AJ76">
        <f>IF(OR(AJ$4="",$A76&gt;TODAY()),0,IF(OR(INDEX($B76:$D76,AJ$5)="F",AND(AJ$6&gt;0,$A76&lt;AJ$6),AND(AJ$7&gt;0,$A76&gt;AJ$7)),0,MAX(0,ROUND((INDEX($E76:$G76,AJ$5)-SUMIFS(TF_Timer,TF_Tekniker,AJ$4,TF_Dato,$A76))*2,0)/2)))</f>
        <v/>
      </c>
      <c r="AK76">
        <f>IF(OR(AK$4="",$A76&gt;TODAY()),0,IF(OR(INDEX($B76:$D76,AK$5)="F",AND(AK$6&gt;0,$A76&lt;AK$6),AND(AK$7&gt;0,$A76&gt;AK$7)),0,MAX(0,ROUND((INDEX($E76:$G76,AK$5)-SUMIFS(TF_Timer,TF_Tekniker,AK$4,TF_Dato,$A76))*2,0)/2)))</f>
        <v/>
      </c>
      <c r="AL76">
        <f>IF(OR(AL$4="",$A76&gt;TODAY()),0,IF(OR(INDEX($B76:$D76,AL$5)="F",AND(AL$6&gt;0,$A76&lt;AL$6),AND(AL$7&gt;0,$A76&gt;AL$7)),0,MAX(0,ROUND((INDEX($E76:$G76,AL$5)-SUMIFS(TF_Timer,TF_Tekniker,AL$4,TF_Dato,$A76))*2,0)/2)))</f>
        <v/>
      </c>
      <c r="AM76">
        <f>IF(OR(AM$4="",$A76&gt;TODAY()),0,IF(OR(INDEX($B76:$D76,AM$5)="F",AND(AM$6&gt;0,$A76&lt;AM$6),AND(AM$7&gt;0,$A76&gt;AM$7)),0,MAX(0,ROUND((INDEX($E76:$G76,AM$5)-SUMIFS(TF_Timer,TF_Tekniker,AM$4,TF_Dato,$A76))*2,0)/2)))</f>
        <v/>
      </c>
      <c r="AN76">
        <f>IF(OR(AN$4="",$A76&gt;TODAY()),0,IF(OR(INDEX($B76:$D76,AN$5)="F",AND(AN$6&gt;0,$A76&lt;AN$6),AND(AN$7&gt;0,$A76&gt;AN$7)),0,MAX(0,ROUND((INDEX($E76:$G76,AN$5)-SUMIFS(TF_Timer,TF_Tekniker,AN$4,TF_Dato,$A76))*2,0)/2)))</f>
        <v/>
      </c>
      <c r="AO76">
        <f>IF(OR(AO$4="",$A76&gt;TODAY()),0,IF(OR(INDEX($B76:$D76,AO$5)="F",AND(AO$6&gt;0,$A76&lt;AO$6),AND(AO$7&gt;0,$A76&gt;AO$7)),0,MAX(0,ROUND((INDEX($E76:$G76,AO$5)-SUMIFS(TF_Timer,TF_Tekniker,AO$4,TF_Dato,$A76))*2,0)/2)))</f>
        <v/>
      </c>
      <c r="AP76">
        <f>IF(OR(AP$4="",$A76&gt;TODAY()),0,IF(OR(INDEX($B76:$D76,AP$5)="F",AND(AP$6&gt;0,$A76&lt;AP$6),AND(AP$7&gt;0,$A76&gt;AP$7)),0,MAX(0,ROUND((INDEX($E76:$G76,AP$5)-SUMIFS(TF_Timer,TF_Tekniker,AP$4,TF_Dato,$A76))*2,0)/2)))</f>
        <v/>
      </c>
      <c r="AQ76">
        <f>IF(OR(AQ$4="",$A76&gt;TODAY()),0,IF(OR(INDEX($B76:$D76,AQ$5)="F",AND(AQ$6&gt;0,$A76&lt;AQ$6),AND(AQ$7&gt;0,$A76&gt;AQ$7)),0,MAX(0,ROUND((INDEX($E76:$G76,AQ$5)-SUMIFS(TF_Timer,TF_Tekniker,AQ$4,TF_Dato,$A76))*2,0)/2)))</f>
        <v/>
      </c>
      <c r="AR76">
        <f>IF(OR(AR$4="",$A76&gt;TODAY()),0,IF(OR(INDEX($B76:$D76,AR$5)="F",AND(AR$6&gt;0,$A76&lt;AR$6),AND(AR$7&gt;0,$A76&gt;AR$7)),0,MAX(0,ROUND((INDEX($E76:$G76,AR$5)-SUMIFS(TF_Timer,TF_Tekniker,AR$4,TF_Dato,$A76))*2,0)/2)))</f>
        <v/>
      </c>
      <c r="AS76">
        <f>IF(OR(AS$4="",$A76&gt;TODAY()),0,IF(OR(INDEX($B76:$D76,AS$5)="F",AND(AS$6&gt;0,$A76&lt;AS$6),AND(AS$7&gt;0,$A76&gt;AS$7)),0,MAX(0,ROUND((INDEX($E76:$G76,AS$5)-SUMIFS(TF_Timer,TF_Tekniker,AS$4,TF_Dato,$A76))*2,0)/2)))</f>
        <v/>
      </c>
      <c r="AT76">
        <f>IF(OR(AT$4="",$A76&gt;TODAY()),0,IF(OR(INDEX($B76:$D76,AT$5)="F",AND(AT$6&gt;0,$A76&lt;AT$6),AND(AT$7&gt;0,$A76&gt;AT$7)),0,MAX(0,ROUND((INDEX($E76:$G76,AT$5)-SUMIFS(TF_Timer,TF_Tekniker,AT$4,TF_Dato,$A76))*2,0)/2)))</f>
        <v/>
      </c>
      <c r="AU76">
        <f>IF(OR(AU$4="",$A76&gt;TODAY()),0,IF(OR(INDEX($B76:$D76,AU$5)="F",AND(AU$6&gt;0,$A76&lt;AU$6),AND(AU$7&gt;0,$A76&gt;AU$7)),0,MAX(0,ROUND((INDEX($E76:$G76,AU$5)-SUMIFS(TF_Timer,TF_Tekniker,AU$4,TF_Dato,$A76))*2,0)/2)))</f>
        <v/>
      </c>
      <c r="AV76">
        <f>IF(OR(AV$4="",$A76&gt;TODAY()),0,IF(OR(INDEX($B76:$D76,AV$5)="F",AND(AV$6&gt;0,$A76&lt;AV$6),AND(AV$7&gt;0,$A76&gt;AV$7)),0,MAX(0,ROUND((INDEX($E76:$G76,AV$5)-SUMIFS(TF_Timer,TF_Tekniker,AV$4,TF_Dato,$A76))*2,0)/2)))</f>
        <v/>
      </c>
      <c r="AW76">
        <f>IF(OR(AW$4="",$A76&gt;TODAY()),0,IF(OR(INDEX($B76:$D76,AW$5)="F",AND(AW$6&gt;0,$A76&lt;AW$6),AND(AW$7&gt;0,$A76&gt;AW$7)),0,MAX(0,ROUND((INDEX($E76:$G76,AW$5)-SUMIFS(TF_Timer,TF_Tekniker,AW$4,TF_Dato,$A76))*2,0)/2)))</f>
        <v/>
      </c>
      <c r="AX76">
        <f>IF(OR(AX$4="",$A76&gt;TODAY()),0,IF(OR(INDEX($B76:$D76,AX$5)="F",AND(AX$6&gt;0,$A76&lt;AX$6),AND(AX$7&gt;0,$A76&gt;AX$7)),0,MAX(0,ROUND((INDEX($E76:$G76,AX$5)-SUMIFS(TF_Timer,TF_Tekniker,AX$4,TF_Dato,$A76))*2,0)/2)))</f>
        <v/>
      </c>
      <c r="AY76">
        <f>IF(OR(AY$4="",$A76&gt;TODAY()),0,IF(OR(INDEX($B76:$D76,AY$5)="F",AND(AY$6&gt;0,$A76&lt;AY$6),AND(AY$7&gt;0,$A76&gt;AY$7)),0,MAX(0,ROUND((INDEX($E76:$G76,AY$5)-SUMIFS(TF_Timer,TF_Tekniker,AY$4,TF_Dato,$A76))*2,0)/2)))</f>
        <v/>
      </c>
      <c r="AZ76">
        <f>IF(OR(AZ$4="",$A76&gt;TODAY()),0,IF(OR(INDEX($B76:$D76,AZ$5)="F",AND(AZ$6&gt;0,$A76&lt;AZ$6),AND(AZ$7&gt;0,$A76&gt;AZ$7)),0,MAX(0,ROUND((INDEX($E76:$G76,AZ$5)-SUMIFS(TF_Timer,TF_Tekniker,AZ$4,TF_Dato,$A76))*2,0)/2)))</f>
        <v/>
      </c>
      <c r="BA76">
        <f>IF(OR(BA$4="",$A76&gt;TODAY()),0,IF(OR(INDEX($B76:$D76,BA$5)="F",AND(BA$6&gt;0,$A76&lt;BA$6),AND(BA$7&gt;0,$A76&gt;BA$7)),0,MAX(0,ROUND((INDEX($E76:$G76,BA$5)-SUMIFS(TF_Timer,TF_Tekniker,BA$4,TF_Dato,$A76))*2,0)/2)))</f>
        <v/>
      </c>
      <c r="BB76">
        <f>IF(OR(BB$4="",$A76&gt;TODAY()),0,IF(OR(INDEX($B76:$D76,BB$5)="F",AND(BB$6&gt;0,$A76&lt;BB$6),AND(BB$7&gt;0,$A76&gt;BB$7)),0,MAX(0,ROUND((INDEX($E76:$G76,BB$5)-SUMIFS(TF_Timer,TF_Tekniker,BB$4,TF_Dato,$A76))*2,0)/2)))</f>
        <v/>
      </c>
      <c r="BC76">
        <f>IF(OR(BC$4="",$A76&gt;TODAY()),0,IF(OR(INDEX($B76:$D76,BC$5)="F",AND(BC$6&gt;0,$A76&lt;BC$6),AND(BC$7&gt;0,$A76&gt;BC$7)),0,MAX(0,ROUND((INDEX($E76:$G76,BC$5)-SUMIFS(TF_Timer,TF_Tekniker,BC$4,TF_Dato,$A76))*2,0)/2)))</f>
        <v/>
      </c>
      <c r="BD76">
        <f>IF(OR(BD$4="",$A76&gt;TODAY()),0,IF(OR(INDEX($B76:$D76,BD$5)="F",AND(BD$6&gt;0,$A76&lt;BD$6),AND(BD$7&gt;0,$A76&gt;BD$7)),0,MAX(0,ROUND((INDEX($E76:$G76,BD$5)-SUMIFS(TF_Timer,TF_Tekniker,BD$4,TF_Dato,$A76))*2,0)/2)))</f>
        <v/>
      </c>
      <c r="BE76">
        <f>IF(OR(BE$4="",$A76&gt;TODAY()),0,IF(OR(INDEX($B76:$D76,BE$5)="F",AND(BE$6&gt;0,$A76&lt;BE$6),AND(BE$7&gt;0,$A76&gt;BE$7)),0,MAX(0,ROUND((INDEX($E76:$G76,BE$5)-SUMIFS(TF_Timer,TF_Tekniker,BE$4,TF_Dato,$A76))*2,0)/2)))</f>
        <v/>
      </c>
      <c r="BF76">
        <f>IF(OR(BF$4="",$A76&gt;TODAY()),0,IF(OR(INDEX($B76:$D76,BF$5)="F",AND(BF$6&gt;0,$A76&lt;BF$6),AND(BF$7&gt;0,$A76&gt;BF$7)),0,MAX(0,ROUND((INDEX($E76:$G76,BF$5)-SUMIFS(TF_Timer,TF_Tekniker,BF$4,TF_Dato,$A76))*2,0)/2)))</f>
        <v/>
      </c>
      <c r="BG76">
        <f>IF(OR(BG$4="",$A76&gt;TODAY()),0,IF(OR(INDEX($B76:$D76,BG$5)="F",AND(BG$6&gt;0,$A76&lt;BG$6),AND(BG$7&gt;0,$A76&gt;BG$7)),0,MAX(0,ROUND((INDEX($E76:$G76,BG$5)-SUMIFS(TF_Timer,TF_Tekniker,BG$4,TF_Dato,$A76))*2,0)/2)))</f>
        <v/>
      </c>
      <c r="BH76">
        <f>IF(OR(BH$4="",$A76&gt;TODAY()),0,IF(OR(INDEX($B76:$D76,BH$5)="F",AND(BH$6&gt;0,$A76&lt;BH$6),AND(BH$7&gt;0,$A76&gt;BH$7)),0,MAX(0,ROUND((INDEX($E76:$G76,BH$5)-SUMIFS(TF_Timer,TF_Tekniker,BH$4,TF_Dato,$A76))*2,0)/2)))</f>
        <v/>
      </c>
      <c r="BI76">
        <f>IF(OR(BI$4="",$A76&gt;TODAY()),0,IF(OR(INDEX($B76:$D76,BI$5)="F",AND(BI$6&gt;0,$A76&lt;BI$6),AND(BI$7&gt;0,$A76&gt;BI$7)),0,MAX(0,ROUND((INDEX($E76:$G76,BI$5)-SUMIFS(TF_Timer,TF_Tekniker,BI$4,TF_Dato,$A76))*2,0)/2)))</f>
        <v/>
      </c>
    </row>
    <row r="77">
      <c r="A77" s="64">
        <f>A76+1</f>
        <v/>
      </c>
      <c r="B77">
        <f>IF(MOD($A77-INDEX(SkiftStart,1),Syklus)&lt;DagK,"K",IF(MOD($A77-INDEX(SkiftStart,1),Syklus)&lt;DagK+DagH,"H",IF(MOD($A77-INDEX(SkiftStart,1),Syklus)&lt;DagK+DagH+DagD,"D","F")))</f>
        <v/>
      </c>
      <c r="C77">
        <f>IF(MOD($A77-INDEX(SkiftStart,2),Syklus)&lt;DagK,"K",IF(MOD($A77-INDEX(SkiftStart,2),Syklus)&lt;DagK+DagH,"H",IF(MOD($A77-INDEX(SkiftStart,2),Syklus)&lt;DagK+DagH+DagD,"D","F")))</f>
        <v/>
      </c>
      <c r="D77">
        <f>IF(MOD($A77-INDEX(SkiftStart,3),Syklus)&lt;DagK,"K",IF(MOD($A77-INDEX(SkiftStart,3),Syklus)&lt;DagK+DagH,"H",IF(MOD($A77-INDEX(SkiftStart,3),Syklus)&lt;DagK+DagH+DagD,"D","F")))</f>
        <v/>
      </c>
      <c r="E77">
        <f>IF(B77="F",0,IF(WEEKDAY($A77,2)=5,INDEX(TimerFr,MATCH(B77,FaseKode,0)),INDEX(TimerMT,MATCH(B77,FaseKode,0))))</f>
        <v/>
      </c>
      <c r="F77">
        <f>IF(C77="F",0,IF(WEEKDAY($A77,2)=5,INDEX(TimerFr,MATCH(C77,FaseKode,0)),INDEX(TimerMT,MATCH(C77,FaseKode,0))))</f>
        <v/>
      </c>
      <c r="G77">
        <f>IF(D77="F",0,IF(WEEKDAY($A77,2)=5,INDEX(TimerFr,MATCH(D77,FaseKode,0)),INDEX(TimerMT,MATCH(D77,FaseKode,0))))</f>
        <v/>
      </c>
      <c r="H77">
        <f>IF(OR(H$4="",$A77&gt;TODAY()),0,IF(OR(INDEX($B77:$D77,H$5)="F",AND(H$6&gt;0,$A77&lt;H$6),AND(H$7&gt;0,$A77&gt;H$7)),0,MAX(0,ROUND((INDEX($E77:$G77,H$5)-SUMIFS(TF_Timer,TF_Tekniker,H$4,TF_Dato,$A77))*2,0)/2)))</f>
        <v/>
      </c>
      <c r="I77">
        <f>IF(OR(I$4="",$A77&gt;TODAY()),0,IF(OR(INDEX($B77:$D77,I$5)="F",AND(I$6&gt;0,$A77&lt;I$6),AND(I$7&gt;0,$A77&gt;I$7)),0,MAX(0,ROUND((INDEX($E77:$G77,I$5)-SUMIFS(TF_Timer,TF_Tekniker,I$4,TF_Dato,$A77))*2,0)/2)))</f>
        <v/>
      </c>
      <c r="J77">
        <f>IF(OR(J$4="",$A77&gt;TODAY()),0,IF(OR(INDEX($B77:$D77,J$5)="F",AND(J$6&gt;0,$A77&lt;J$6),AND(J$7&gt;0,$A77&gt;J$7)),0,MAX(0,ROUND((INDEX($E77:$G77,J$5)-SUMIFS(TF_Timer,TF_Tekniker,J$4,TF_Dato,$A77))*2,0)/2)))</f>
        <v/>
      </c>
      <c r="K77">
        <f>IF(OR(K$4="",$A77&gt;TODAY()),0,IF(OR(INDEX($B77:$D77,K$5)="F",AND(K$6&gt;0,$A77&lt;K$6),AND(K$7&gt;0,$A77&gt;K$7)),0,MAX(0,ROUND((INDEX($E77:$G77,K$5)-SUMIFS(TF_Timer,TF_Tekniker,K$4,TF_Dato,$A77))*2,0)/2)))</f>
        <v/>
      </c>
      <c r="L77">
        <f>IF(OR(L$4="",$A77&gt;TODAY()),0,IF(OR(INDEX($B77:$D77,L$5)="F",AND(L$6&gt;0,$A77&lt;L$6),AND(L$7&gt;0,$A77&gt;L$7)),0,MAX(0,ROUND((INDEX($E77:$G77,L$5)-SUMIFS(TF_Timer,TF_Tekniker,L$4,TF_Dato,$A77))*2,0)/2)))</f>
        <v/>
      </c>
      <c r="M77">
        <f>IF(OR(M$4="",$A77&gt;TODAY()),0,IF(OR(INDEX($B77:$D77,M$5)="F",AND(M$6&gt;0,$A77&lt;M$6),AND(M$7&gt;0,$A77&gt;M$7)),0,MAX(0,ROUND((INDEX($E77:$G77,M$5)-SUMIFS(TF_Timer,TF_Tekniker,M$4,TF_Dato,$A77))*2,0)/2)))</f>
        <v/>
      </c>
      <c r="N77">
        <f>IF(OR(N$4="",$A77&gt;TODAY()),0,IF(OR(INDEX($B77:$D77,N$5)="F",AND(N$6&gt;0,$A77&lt;N$6),AND(N$7&gt;0,$A77&gt;N$7)),0,MAX(0,ROUND((INDEX($E77:$G77,N$5)-SUMIFS(TF_Timer,TF_Tekniker,N$4,TF_Dato,$A77))*2,0)/2)))</f>
        <v/>
      </c>
      <c r="O77">
        <f>IF(OR(O$4="",$A77&gt;TODAY()),0,IF(OR(INDEX($B77:$D77,O$5)="F",AND(O$6&gt;0,$A77&lt;O$6),AND(O$7&gt;0,$A77&gt;O$7)),0,MAX(0,ROUND((INDEX($E77:$G77,O$5)-SUMIFS(TF_Timer,TF_Tekniker,O$4,TF_Dato,$A77))*2,0)/2)))</f>
        <v/>
      </c>
      <c r="P77">
        <f>IF(OR(P$4="",$A77&gt;TODAY()),0,IF(OR(INDEX($B77:$D77,P$5)="F",AND(P$6&gt;0,$A77&lt;P$6),AND(P$7&gt;0,$A77&gt;P$7)),0,MAX(0,ROUND((INDEX($E77:$G77,P$5)-SUMIFS(TF_Timer,TF_Tekniker,P$4,TF_Dato,$A77))*2,0)/2)))</f>
        <v/>
      </c>
      <c r="Q77">
        <f>IF(OR(Q$4="",$A77&gt;TODAY()),0,IF(OR(INDEX($B77:$D77,Q$5)="F",AND(Q$6&gt;0,$A77&lt;Q$6),AND(Q$7&gt;0,$A77&gt;Q$7)),0,MAX(0,ROUND((INDEX($E77:$G77,Q$5)-SUMIFS(TF_Timer,TF_Tekniker,Q$4,TF_Dato,$A77))*2,0)/2)))</f>
        <v/>
      </c>
      <c r="R77">
        <f>IF(OR(R$4="",$A77&gt;TODAY()),0,IF(OR(INDEX($B77:$D77,R$5)="F",AND(R$6&gt;0,$A77&lt;R$6),AND(R$7&gt;0,$A77&gt;R$7)),0,MAX(0,ROUND((INDEX($E77:$G77,R$5)-SUMIFS(TF_Timer,TF_Tekniker,R$4,TF_Dato,$A77))*2,0)/2)))</f>
        <v/>
      </c>
      <c r="S77">
        <f>IF(OR(S$4="",$A77&gt;TODAY()),0,IF(OR(INDEX($B77:$D77,S$5)="F",AND(S$6&gt;0,$A77&lt;S$6),AND(S$7&gt;0,$A77&gt;S$7)),0,MAX(0,ROUND((INDEX($E77:$G77,S$5)-SUMIFS(TF_Timer,TF_Tekniker,S$4,TF_Dato,$A77))*2,0)/2)))</f>
        <v/>
      </c>
      <c r="T77">
        <f>IF(OR(T$4="",$A77&gt;TODAY()),0,IF(OR(INDEX($B77:$D77,T$5)="F",AND(T$6&gt;0,$A77&lt;T$6),AND(T$7&gt;0,$A77&gt;T$7)),0,MAX(0,ROUND((INDEX($E77:$G77,T$5)-SUMIFS(TF_Timer,TF_Tekniker,T$4,TF_Dato,$A77))*2,0)/2)))</f>
        <v/>
      </c>
      <c r="U77">
        <f>IF(OR(U$4="",$A77&gt;TODAY()),0,IF(OR(INDEX($B77:$D77,U$5)="F",AND(U$6&gt;0,$A77&lt;U$6),AND(U$7&gt;0,$A77&gt;U$7)),0,MAX(0,ROUND((INDEX($E77:$G77,U$5)-SUMIFS(TF_Timer,TF_Tekniker,U$4,TF_Dato,$A77))*2,0)/2)))</f>
        <v/>
      </c>
      <c r="V77">
        <f>IF(OR(V$4="",$A77&gt;TODAY()),0,IF(OR(INDEX($B77:$D77,V$5)="F",AND(V$6&gt;0,$A77&lt;V$6),AND(V$7&gt;0,$A77&gt;V$7)),0,MAX(0,ROUND((INDEX($E77:$G77,V$5)-SUMIFS(TF_Timer,TF_Tekniker,V$4,TF_Dato,$A77))*2,0)/2)))</f>
        <v/>
      </c>
      <c r="W77">
        <f>IF(OR(W$4="",$A77&gt;TODAY()),0,IF(OR(INDEX($B77:$D77,W$5)="F",AND(W$6&gt;0,$A77&lt;W$6),AND(W$7&gt;0,$A77&gt;W$7)),0,MAX(0,ROUND((INDEX($E77:$G77,W$5)-SUMIFS(TF_Timer,TF_Tekniker,W$4,TF_Dato,$A77))*2,0)/2)))</f>
        <v/>
      </c>
      <c r="X77">
        <f>IF(OR(X$4="",$A77&gt;TODAY()),0,IF(OR(INDEX($B77:$D77,X$5)="F",AND(X$6&gt;0,$A77&lt;X$6),AND(X$7&gt;0,$A77&gt;X$7)),0,MAX(0,ROUND((INDEX($E77:$G77,X$5)-SUMIFS(TF_Timer,TF_Tekniker,X$4,TF_Dato,$A77))*2,0)/2)))</f>
        <v/>
      </c>
      <c r="Y77">
        <f>IF(OR(Y$4="",$A77&gt;TODAY()),0,IF(OR(INDEX($B77:$D77,Y$5)="F",AND(Y$6&gt;0,$A77&lt;Y$6),AND(Y$7&gt;0,$A77&gt;Y$7)),0,MAX(0,ROUND((INDEX($E77:$G77,Y$5)-SUMIFS(TF_Timer,TF_Tekniker,Y$4,TF_Dato,$A77))*2,0)/2)))</f>
        <v/>
      </c>
      <c r="Z77">
        <f>IF(OR(Z$4="",$A77&gt;TODAY()),0,IF(OR(INDEX($B77:$D77,Z$5)="F",AND(Z$6&gt;0,$A77&lt;Z$6),AND(Z$7&gt;0,$A77&gt;Z$7)),0,MAX(0,ROUND((INDEX($E77:$G77,Z$5)-SUMIFS(TF_Timer,TF_Tekniker,Z$4,TF_Dato,$A77))*2,0)/2)))</f>
        <v/>
      </c>
      <c r="AA77">
        <f>IF(OR(AA$4="",$A77&gt;TODAY()),0,IF(OR(INDEX($B77:$D77,AA$5)="F",AND(AA$6&gt;0,$A77&lt;AA$6),AND(AA$7&gt;0,$A77&gt;AA$7)),0,MAX(0,ROUND((INDEX($E77:$G77,AA$5)-SUMIFS(TF_Timer,TF_Tekniker,AA$4,TF_Dato,$A77))*2,0)/2)))</f>
        <v/>
      </c>
      <c r="AB77">
        <f>IF(OR(AB$4="",$A77&gt;TODAY()),0,IF(OR(INDEX($B77:$D77,AB$5)="F",AND(AB$6&gt;0,$A77&lt;AB$6),AND(AB$7&gt;0,$A77&gt;AB$7)),0,MAX(0,ROUND((INDEX($E77:$G77,AB$5)-SUMIFS(TF_Timer,TF_Tekniker,AB$4,TF_Dato,$A77))*2,0)/2)))</f>
        <v/>
      </c>
      <c r="AC77">
        <f>IF(OR(AC$4="",$A77&gt;TODAY()),0,IF(OR(INDEX($B77:$D77,AC$5)="F",AND(AC$6&gt;0,$A77&lt;AC$6),AND(AC$7&gt;0,$A77&gt;AC$7)),0,MAX(0,ROUND((INDEX($E77:$G77,AC$5)-SUMIFS(TF_Timer,TF_Tekniker,AC$4,TF_Dato,$A77))*2,0)/2)))</f>
        <v/>
      </c>
      <c r="AD77">
        <f>IF(OR(AD$4="",$A77&gt;TODAY()),0,IF(OR(INDEX($B77:$D77,AD$5)="F",AND(AD$6&gt;0,$A77&lt;AD$6),AND(AD$7&gt;0,$A77&gt;AD$7)),0,MAX(0,ROUND((INDEX($E77:$G77,AD$5)-SUMIFS(TF_Timer,TF_Tekniker,AD$4,TF_Dato,$A77))*2,0)/2)))</f>
        <v/>
      </c>
      <c r="AE77">
        <f>IF(OR(AE$4="",$A77&gt;TODAY()),0,IF(OR(INDEX($B77:$D77,AE$5)="F",AND(AE$6&gt;0,$A77&lt;AE$6),AND(AE$7&gt;0,$A77&gt;AE$7)),0,MAX(0,ROUND((INDEX($E77:$G77,AE$5)-SUMIFS(TF_Timer,TF_Tekniker,AE$4,TF_Dato,$A77))*2,0)/2)))</f>
        <v/>
      </c>
      <c r="AF77">
        <f>IF(OR(AF$4="",$A77&gt;TODAY()),0,IF(OR(INDEX($B77:$D77,AF$5)="F",AND(AF$6&gt;0,$A77&lt;AF$6),AND(AF$7&gt;0,$A77&gt;AF$7)),0,MAX(0,ROUND((INDEX($E77:$G77,AF$5)-SUMIFS(TF_Timer,TF_Tekniker,AF$4,TF_Dato,$A77))*2,0)/2)))</f>
        <v/>
      </c>
      <c r="AG77">
        <f>IF(OR(AG$4="",$A77&gt;TODAY()),0,IF(OR(INDEX($B77:$D77,AG$5)="F",AND(AG$6&gt;0,$A77&lt;AG$6),AND(AG$7&gt;0,$A77&gt;AG$7)),0,MAX(0,ROUND((INDEX($E77:$G77,AG$5)-SUMIFS(TF_Timer,TF_Tekniker,AG$4,TF_Dato,$A77))*2,0)/2)))</f>
        <v/>
      </c>
      <c r="AH77">
        <f>IF(OR(AH$4="",$A77&gt;TODAY()),0,IF(OR(INDEX($B77:$D77,AH$5)="F",AND(AH$6&gt;0,$A77&lt;AH$6),AND(AH$7&gt;0,$A77&gt;AH$7)),0,MAX(0,ROUND((INDEX($E77:$G77,AH$5)-SUMIFS(TF_Timer,TF_Tekniker,AH$4,TF_Dato,$A77))*2,0)/2)))</f>
        <v/>
      </c>
      <c r="AI77">
        <f>IF(OR(AI$4="",$A77&gt;TODAY()),0,IF(OR(INDEX($B77:$D77,AI$5)="F",AND(AI$6&gt;0,$A77&lt;AI$6),AND(AI$7&gt;0,$A77&gt;AI$7)),0,MAX(0,ROUND((INDEX($E77:$G77,AI$5)-SUMIFS(TF_Timer,TF_Tekniker,AI$4,TF_Dato,$A77))*2,0)/2)))</f>
        <v/>
      </c>
      <c r="AJ77">
        <f>IF(OR(AJ$4="",$A77&gt;TODAY()),0,IF(OR(INDEX($B77:$D77,AJ$5)="F",AND(AJ$6&gt;0,$A77&lt;AJ$6),AND(AJ$7&gt;0,$A77&gt;AJ$7)),0,MAX(0,ROUND((INDEX($E77:$G77,AJ$5)-SUMIFS(TF_Timer,TF_Tekniker,AJ$4,TF_Dato,$A77))*2,0)/2)))</f>
        <v/>
      </c>
      <c r="AK77">
        <f>IF(OR(AK$4="",$A77&gt;TODAY()),0,IF(OR(INDEX($B77:$D77,AK$5)="F",AND(AK$6&gt;0,$A77&lt;AK$6),AND(AK$7&gt;0,$A77&gt;AK$7)),0,MAX(0,ROUND((INDEX($E77:$G77,AK$5)-SUMIFS(TF_Timer,TF_Tekniker,AK$4,TF_Dato,$A77))*2,0)/2)))</f>
        <v/>
      </c>
      <c r="AL77">
        <f>IF(OR(AL$4="",$A77&gt;TODAY()),0,IF(OR(INDEX($B77:$D77,AL$5)="F",AND(AL$6&gt;0,$A77&lt;AL$6),AND(AL$7&gt;0,$A77&gt;AL$7)),0,MAX(0,ROUND((INDEX($E77:$G77,AL$5)-SUMIFS(TF_Timer,TF_Tekniker,AL$4,TF_Dato,$A77))*2,0)/2)))</f>
        <v/>
      </c>
      <c r="AM77">
        <f>IF(OR(AM$4="",$A77&gt;TODAY()),0,IF(OR(INDEX($B77:$D77,AM$5)="F",AND(AM$6&gt;0,$A77&lt;AM$6),AND(AM$7&gt;0,$A77&gt;AM$7)),0,MAX(0,ROUND((INDEX($E77:$G77,AM$5)-SUMIFS(TF_Timer,TF_Tekniker,AM$4,TF_Dato,$A77))*2,0)/2)))</f>
        <v/>
      </c>
      <c r="AN77">
        <f>IF(OR(AN$4="",$A77&gt;TODAY()),0,IF(OR(INDEX($B77:$D77,AN$5)="F",AND(AN$6&gt;0,$A77&lt;AN$6),AND(AN$7&gt;0,$A77&gt;AN$7)),0,MAX(0,ROUND((INDEX($E77:$G77,AN$5)-SUMIFS(TF_Timer,TF_Tekniker,AN$4,TF_Dato,$A77))*2,0)/2)))</f>
        <v/>
      </c>
      <c r="AO77">
        <f>IF(OR(AO$4="",$A77&gt;TODAY()),0,IF(OR(INDEX($B77:$D77,AO$5)="F",AND(AO$6&gt;0,$A77&lt;AO$6),AND(AO$7&gt;0,$A77&gt;AO$7)),0,MAX(0,ROUND((INDEX($E77:$G77,AO$5)-SUMIFS(TF_Timer,TF_Tekniker,AO$4,TF_Dato,$A77))*2,0)/2)))</f>
        <v/>
      </c>
      <c r="AP77">
        <f>IF(OR(AP$4="",$A77&gt;TODAY()),0,IF(OR(INDEX($B77:$D77,AP$5)="F",AND(AP$6&gt;0,$A77&lt;AP$6),AND(AP$7&gt;0,$A77&gt;AP$7)),0,MAX(0,ROUND((INDEX($E77:$G77,AP$5)-SUMIFS(TF_Timer,TF_Tekniker,AP$4,TF_Dato,$A77))*2,0)/2)))</f>
        <v/>
      </c>
      <c r="AQ77">
        <f>IF(OR(AQ$4="",$A77&gt;TODAY()),0,IF(OR(INDEX($B77:$D77,AQ$5)="F",AND(AQ$6&gt;0,$A77&lt;AQ$6),AND(AQ$7&gt;0,$A77&gt;AQ$7)),0,MAX(0,ROUND((INDEX($E77:$G77,AQ$5)-SUMIFS(TF_Timer,TF_Tekniker,AQ$4,TF_Dato,$A77))*2,0)/2)))</f>
        <v/>
      </c>
      <c r="AR77">
        <f>IF(OR(AR$4="",$A77&gt;TODAY()),0,IF(OR(INDEX($B77:$D77,AR$5)="F",AND(AR$6&gt;0,$A77&lt;AR$6),AND(AR$7&gt;0,$A77&gt;AR$7)),0,MAX(0,ROUND((INDEX($E77:$G77,AR$5)-SUMIFS(TF_Timer,TF_Tekniker,AR$4,TF_Dato,$A77))*2,0)/2)))</f>
        <v/>
      </c>
      <c r="AS77">
        <f>IF(OR(AS$4="",$A77&gt;TODAY()),0,IF(OR(INDEX($B77:$D77,AS$5)="F",AND(AS$6&gt;0,$A77&lt;AS$6),AND(AS$7&gt;0,$A77&gt;AS$7)),0,MAX(0,ROUND((INDEX($E77:$G77,AS$5)-SUMIFS(TF_Timer,TF_Tekniker,AS$4,TF_Dato,$A77))*2,0)/2)))</f>
        <v/>
      </c>
      <c r="AT77">
        <f>IF(OR(AT$4="",$A77&gt;TODAY()),0,IF(OR(INDEX($B77:$D77,AT$5)="F",AND(AT$6&gt;0,$A77&lt;AT$6),AND(AT$7&gt;0,$A77&gt;AT$7)),0,MAX(0,ROUND((INDEX($E77:$G77,AT$5)-SUMIFS(TF_Timer,TF_Tekniker,AT$4,TF_Dato,$A77))*2,0)/2)))</f>
        <v/>
      </c>
      <c r="AU77">
        <f>IF(OR(AU$4="",$A77&gt;TODAY()),0,IF(OR(INDEX($B77:$D77,AU$5)="F",AND(AU$6&gt;0,$A77&lt;AU$6),AND(AU$7&gt;0,$A77&gt;AU$7)),0,MAX(0,ROUND((INDEX($E77:$G77,AU$5)-SUMIFS(TF_Timer,TF_Tekniker,AU$4,TF_Dato,$A77))*2,0)/2)))</f>
        <v/>
      </c>
      <c r="AV77">
        <f>IF(OR(AV$4="",$A77&gt;TODAY()),0,IF(OR(INDEX($B77:$D77,AV$5)="F",AND(AV$6&gt;0,$A77&lt;AV$6),AND(AV$7&gt;0,$A77&gt;AV$7)),0,MAX(0,ROUND((INDEX($E77:$G77,AV$5)-SUMIFS(TF_Timer,TF_Tekniker,AV$4,TF_Dato,$A77))*2,0)/2)))</f>
        <v/>
      </c>
      <c r="AW77">
        <f>IF(OR(AW$4="",$A77&gt;TODAY()),0,IF(OR(INDEX($B77:$D77,AW$5)="F",AND(AW$6&gt;0,$A77&lt;AW$6),AND(AW$7&gt;0,$A77&gt;AW$7)),0,MAX(0,ROUND((INDEX($E77:$G77,AW$5)-SUMIFS(TF_Timer,TF_Tekniker,AW$4,TF_Dato,$A77))*2,0)/2)))</f>
        <v/>
      </c>
      <c r="AX77">
        <f>IF(OR(AX$4="",$A77&gt;TODAY()),0,IF(OR(INDEX($B77:$D77,AX$5)="F",AND(AX$6&gt;0,$A77&lt;AX$6),AND(AX$7&gt;0,$A77&gt;AX$7)),0,MAX(0,ROUND((INDEX($E77:$G77,AX$5)-SUMIFS(TF_Timer,TF_Tekniker,AX$4,TF_Dato,$A77))*2,0)/2)))</f>
        <v/>
      </c>
      <c r="AY77">
        <f>IF(OR(AY$4="",$A77&gt;TODAY()),0,IF(OR(INDEX($B77:$D77,AY$5)="F",AND(AY$6&gt;0,$A77&lt;AY$6),AND(AY$7&gt;0,$A77&gt;AY$7)),0,MAX(0,ROUND((INDEX($E77:$G77,AY$5)-SUMIFS(TF_Timer,TF_Tekniker,AY$4,TF_Dato,$A77))*2,0)/2)))</f>
        <v/>
      </c>
      <c r="AZ77">
        <f>IF(OR(AZ$4="",$A77&gt;TODAY()),0,IF(OR(INDEX($B77:$D77,AZ$5)="F",AND(AZ$6&gt;0,$A77&lt;AZ$6),AND(AZ$7&gt;0,$A77&gt;AZ$7)),0,MAX(0,ROUND((INDEX($E77:$G77,AZ$5)-SUMIFS(TF_Timer,TF_Tekniker,AZ$4,TF_Dato,$A77))*2,0)/2)))</f>
        <v/>
      </c>
      <c r="BA77">
        <f>IF(OR(BA$4="",$A77&gt;TODAY()),0,IF(OR(INDEX($B77:$D77,BA$5)="F",AND(BA$6&gt;0,$A77&lt;BA$6),AND(BA$7&gt;0,$A77&gt;BA$7)),0,MAX(0,ROUND((INDEX($E77:$G77,BA$5)-SUMIFS(TF_Timer,TF_Tekniker,BA$4,TF_Dato,$A77))*2,0)/2)))</f>
        <v/>
      </c>
      <c r="BB77">
        <f>IF(OR(BB$4="",$A77&gt;TODAY()),0,IF(OR(INDEX($B77:$D77,BB$5)="F",AND(BB$6&gt;0,$A77&lt;BB$6),AND(BB$7&gt;0,$A77&gt;BB$7)),0,MAX(0,ROUND((INDEX($E77:$G77,BB$5)-SUMIFS(TF_Timer,TF_Tekniker,BB$4,TF_Dato,$A77))*2,0)/2)))</f>
        <v/>
      </c>
      <c r="BC77">
        <f>IF(OR(BC$4="",$A77&gt;TODAY()),0,IF(OR(INDEX($B77:$D77,BC$5)="F",AND(BC$6&gt;0,$A77&lt;BC$6),AND(BC$7&gt;0,$A77&gt;BC$7)),0,MAX(0,ROUND((INDEX($E77:$G77,BC$5)-SUMIFS(TF_Timer,TF_Tekniker,BC$4,TF_Dato,$A77))*2,0)/2)))</f>
        <v/>
      </c>
      <c r="BD77">
        <f>IF(OR(BD$4="",$A77&gt;TODAY()),0,IF(OR(INDEX($B77:$D77,BD$5)="F",AND(BD$6&gt;0,$A77&lt;BD$6),AND(BD$7&gt;0,$A77&gt;BD$7)),0,MAX(0,ROUND((INDEX($E77:$G77,BD$5)-SUMIFS(TF_Timer,TF_Tekniker,BD$4,TF_Dato,$A77))*2,0)/2)))</f>
        <v/>
      </c>
      <c r="BE77">
        <f>IF(OR(BE$4="",$A77&gt;TODAY()),0,IF(OR(INDEX($B77:$D77,BE$5)="F",AND(BE$6&gt;0,$A77&lt;BE$6),AND(BE$7&gt;0,$A77&gt;BE$7)),0,MAX(0,ROUND((INDEX($E77:$G77,BE$5)-SUMIFS(TF_Timer,TF_Tekniker,BE$4,TF_Dato,$A77))*2,0)/2)))</f>
        <v/>
      </c>
      <c r="BF77">
        <f>IF(OR(BF$4="",$A77&gt;TODAY()),0,IF(OR(INDEX($B77:$D77,BF$5)="F",AND(BF$6&gt;0,$A77&lt;BF$6),AND(BF$7&gt;0,$A77&gt;BF$7)),0,MAX(0,ROUND((INDEX($E77:$G77,BF$5)-SUMIFS(TF_Timer,TF_Tekniker,BF$4,TF_Dato,$A77))*2,0)/2)))</f>
        <v/>
      </c>
      <c r="BG77">
        <f>IF(OR(BG$4="",$A77&gt;TODAY()),0,IF(OR(INDEX($B77:$D77,BG$5)="F",AND(BG$6&gt;0,$A77&lt;BG$6),AND(BG$7&gt;0,$A77&gt;BG$7)),0,MAX(0,ROUND((INDEX($E77:$G77,BG$5)-SUMIFS(TF_Timer,TF_Tekniker,BG$4,TF_Dato,$A77))*2,0)/2)))</f>
        <v/>
      </c>
      <c r="BH77">
        <f>IF(OR(BH$4="",$A77&gt;TODAY()),0,IF(OR(INDEX($B77:$D77,BH$5)="F",AND(BH$6&gt;0,$A77&lt;BH$6),AND(BH$7&gt;0,$A77&gt;BH$7)),0,MAX(0,ROUND((INDEX($E77:$G77,BH$5)-SUMIFS(TF_Timer,TF_Tekniker,BH$4,TF_Dato,$A77))*2,0)/2)))</f>
        <v/>
      </c>
      <c r="BI77">
        <f>IF(OR(BI$4="",$A77&gt;TODAY()),0,IF(OR(INDEX($B77:$D77,BI$5)="F",AND(BI$6&gt;0,$A77&lt;BI$6),AND(BI$7&gt;0,$A77&gt;BI$7)),0,MAX(0,ROUND((INDEX($E77:$G77,BI$5)-SUMIFS(TF_Timer,TF_Tekniker,BI$4,TF_Dato,$A77))*2,0)/2)))</f>
        <v/>
      </c>
    </row>
    <row r="78">
      <c r="A78" s="64">
        <f>A77+1</f>
        <v/>
      </c>
      <c r="B78">
        <f>IF(MOD($A78-INDEX(SkiftStart,1),Syklus)&lt;DagK,"K",IF(MOD($A78-INDEX(SkiftStart,1),Syklus)&lt;DagK+DagH,"H",IF(MOD($A78-INDEX(SkiftStart,1),Syklus)&lt;DagK+DagH+DagD,"D","F")))</f>
        <v/>
      </c>
      <c r="C78">
        <f>IF(MOD($A78-INDEX(SkiftStart,2),Syklus)&lt;DagK,"K",IF(MOD($A78-INDEX(SkiftStart,2),Syklus)&lt;DagK+DagH,"H",IF(MOD($A78-INDEX(SkiftStart,2),Syklus)&lt;DagK+DagH+DagD,"D","F")))</f>
        <v/>
      </c>
      <c r="D78">
        <f>IF(MOD($A78-INDEX(SkiftStart,3),Syklus)&lt;DagK,"K",IF(MOD($A78-INDEX(SkiftStart,3),Syklus)&lt;DagK+DagH,"H",IF(MOD($A78-INDEX(SkiftStart,3),Syklus)&lt;DagK+DagH+DagD,"D","F")))</f>
        <v/>
      </c>
      <c r="E78">
        <f>IF(B78="F",0,IF(WEEKDAY($A78,2)=5,INDEX(TimerFr,MATCH(B78,FaseKode,0)),INDEX(TimerMT,MATCH(B78,FaseKode,0))))</f>
        <v/>
      </c>
      <c r="F78">
        <f>IF(C78="F",0,IF(WEEKDAY($A78,2)=5,INDEX(TimerFr,MATCH(C78,FaseKode,0)),INDEX(TimerMT,MATCH(C78,FaseKode,0))))</f>
        <v/>
      </c>
      <c r="G78">
        <f>IF(D78="F",0,IF(WEEKDAY($A78,2)=5,INDEX(TimerFr,MATCH(D78,FaseKode,0)),INDEX(TimerMT,MATCH(D78,FaseKode,0))))</f>
        <v/>
      </c>
      <c r="H78">
        <f>IF(OR(H$4="",$A78&gt;TODAY()),0,IF(OR(INDEX($B78:$D78,H$5)="F",AND(H$6&gt;0,$A78&lt;H$6),AND(H$7&gt;0,$A78&gt;H$7)),0,MAX(0,ROUND((INDEX($E78:$G78,H$5)-SUMIFS(TF_Timer,TF_Tekniker,H$4,TF_Dato,$A78))*2,0)/2)))</f>
        <v/>
      </c>
      <c r="I78">
        <f>IF(OR(I$4="",$A78&gt;TODAY()),0,IF(OR(INDEX($B78:$D78,I$5)="F",AND(I$6&gt;0,$A78&lt;I$6),AND(I$7&gt;0,$A78&gt;I$7)),0,MAX(0,ROUND((INDEX($E78:$G78,I$5)-SUMIFS(TF_Timer,TF_Tekniker,I$4,TF_Dato,$A78))*2,0)/2)))</f>
        <v/>
      </c>
      <c r="J78">
        <f>IF(OR(J$4="",$A78&gt;TODAY()),0,IF(OR(INDEX($B78:$D78,J$5)="F",AND(J$6&gt;0,$A78&lt;J$6),AND(J$7&gt;0,$A78&gt;J$7)),0,MAX(0,ROUND((INDEX($E78:$G78,J$5)-SUMIFS(TF_Timer,TF_Tekniker,J$4,TF_Dato,$A78))*2,0)/2)))</f>
        <v/>
      </c>
      <c r="K78">
        <f>IF(OR(K$4="",$A78&gt;TODAY()),0,IF(OR(INDEX($B78:$D78,K$5)="F",AND(K$6&gt;0,$A78&lt;K$6),AND(K$7&gt;0,$A78&gt;K$7)),0,MAX(0,ROUND((INDEX($E78:$G78,K$5)-SUMIFS(TF_Timer,TF_Tekniker,K$4,TF_Dato,$A78))*2,0)/2)))</f>
        <v/>
      </c>
      <c r="L78">
        <f>IF(OR(L$4="",$A78&gt;TODAY()),0,IF(OR(INDEX($B78:$D78,L$5)="F",AND(L$6&gt;0,$A78&lt;L$6),AND(L$7&gt;0,$A78&gt;L$7)),0,MAX(0,ROUND((INDEX($E78:$G78,L$5)-SUMIFS(TF_Timer,TF_Tekniker,L$4,TF_Dato,$A78))*2,0)/2)))</f>
        <v/>
      </c>
      <c r="M78">
        <f>IF(OR(M$4="",$A78&gt;TODAY()),0,IF(OR(INDEX($B78:$D78,M$5)="F",AND(M$6&gt;0,$A78&lt;M$6),AND(M$7&gt;0,$A78&gt;M$7)),0,MAX(0,ROUND((INDEX($E78:$G78,M$5)-SUMIFS(TF_Timer,TF_Tekniker,M$4,TF_Dato,$A78))*2,0)/2)))</f>
        <v/>
      </c>
      <c r="N78">
        <f>IF(OR(N$4="",$A78&gt;TODAY()),0,IF(OR(INDEX($B78:$D78,N$5)="F",AND(N$6&gt;0,$A78&lt;N$6),AND(N$7&gt;0,$A78&gt;N$7)),0,MAX(0,ROUND((INDEX($E78:$G78,N$5)-SUMIFS(TF_Timer,TF_Tekniker,N$4,TF_Dato,$A78))*2,0)/2)))</f>
        <v/>
      </c>
      <c r="O78">
        <f>IF(OR(O$4="",$A78&gt;TODAY()),0,IF(OR(INDEX($B78:$D78,O$5)="F",AND(O$6&gt;0,$A78&lt;O$6),AND(O$7&gt;0,$A78&gt;O$7)),0,MAX(0,ROUND((INDEX($E78:$G78,O$5)-SUMIFS(TF_Timer,TF_Tekniker,O$4,TF_Dato,$A78))*2,0)/2)))</f>
        <v/>
      </c>
      <c r="P78">
        <f>IF(OR(P$4="",$A78&gt;TODAY()),0,IF(OR(INDEX($B78:$D78,P$5)="F",AND(P$6&gt;0,$A78&lt;P$6),AND(P$7&gt;0,$A78&gt;P$7)),0,MAX(0,ROUND((INDEX($E78:$G78,P$5)-SUMIFS(TF_Timer,TF_Tekniker,P$4,TF_Dato,$A78))*2,0)/2)))</f>
        <v/>
      </c>
      <c r="Q78">
        <f>IF(OR(Q$4="",$A78&gt;TODAY()),0,IF(OR(INDEX($B78:$D78,Q$5)="F",AND(Q$6&gt;0,$A78&lt;Q$6),AND(Q$7&gt;0,$A78&gt;Q$7)),0,MAX(0,ROUND((INDEX($E78:$G78,Q$5)-SUMIFS(TF_Timer,TF_Tekniker,Q$4,TF_Dato,$A78))*2,0)/2)))</f>
        <v/>
      </c>
      <c r="R78">
        <f>IF(OR(R$4="",$A78&gt;TODAY()),0,IF(OR(INDEX($B78:$D78,R$5)="F",AND(R$6&gt;0,$A78&lt;R$6),AND(R$7&gt;0,$A78&gt;R$7)),0,MAX(0,ROUND((INDEX($E78:$G78,R$5)-SUMIFS(TF_Timer,TF_Tekniker,R$4,TF_Dato,$A78))*2,0)/2)))</f>
        <v/>
      </c>
      <c r="S78">
        <f>IF(OR(S$4="",$A78&gt;TODAY()),0,IF(OR(INDEX($B78:$D78,S$5)="F",AND(S$6&gt;0,$A78&lt;S$6),AND(S$7&gt;0,$A78&gt;S$7)),0,MAX(0,ROUND((INDEX($E78:$G78,S$5)-SUMIFS(TF_Timer,TF_Tekniker,S$4,TF_Dato,$A78))*2,0)/2)))</f>
        <v/>
      </c>
      <c r="T78">
        <f>IF(OR(T$4="",$A78&gt;TODAY()),0,IF(OR(INDEX($B78:$D78,T$5)="F",AND(T$6&gt;0,$A78&lt;T$6),AND(T$7&gt;0,$A78&gt;T$7)),0,MAX(0,ROUND((INDEX($E78:$G78,T$5)-SUMIFS(TF_Timer,TF_Tekniker,T$4,TF_Dato,$A78))*2,0)/2)))</f>
        <v/>
      </c>
      <c r="U78">
        <f>IF(OR(U$4="",$A78&gt;TODAY()),0,IF(OR(INDEX($B78:$D78,U$5)="F",AND(U$6&gt;0,$A78&lt;U$6),AND(U$7&gt;0,$A78&gt;U$7)),0,MAX(0,ROUND((INDEX($E78:$G78,U$5)-SUMIFS(TF_Timer,TF_Tekniker,U$4,TF_Dato,$A78))*2,0)/2)))</f>
        <v/>
      </c>
      <c r="V78">
        <f>IF(OR(V$4="",$A78&gt;TODAY()),0,IF(OR(INDEX($B78:$D78,V$5)="F",AND(V$6&gt;0,$A78&lt;V$6),AND(V$7&gt;0,$A78&gt;V$7)),0,MAX(0,ROUND((INDEX($E78:$G78,V$5)-SUMIFS(TF_Timer,TF_Tekniker,V$4,TF_Dato,$A78))*2,0)/2)))</f>
        <v/>
      </c>
      <c r="W78">
        <f>IF(OR(W$4="",$A78&gt;TODAY()),0,IF(OR(INDEX($B78:$D78,W$5)="F",AND(W$6&gt;0,$A78&lt;W$6),AND(W$7&gt;0,$A78&gt;W$7)),0,MAX(0,ROUND((INDEX($E78:$G78,W$5)-SUMIFS(TF_Timer,TF_Tekniker,W$4,TF_Dato,$A78))*2,0)/2)))</f>
        <v/>
      </c>
      <c r="X78">
        <f>IF(OR(X$4="",$A78&gt;TODAY()),0,IF(OR(INDEX($B78:$D78,X$5)="F",AND(X$6&gt;0,$A78&lt;X$6),AND(X$7&gt;0,$A78&gt;X$7)),0,MAX(0,ROUND((INDEX($E78:$G78,X$5)-SUMIFS(TF_Timer,TF_Tekniker,X$4,TF_Dato,$A78))*2,0)/2)))</f>
        <v/>
      </c>
      <c r="Y78">
        <f>IF(OR(Y$4="",$A78&gt;TODAY()),0,IF(OR(INDEX($B78:$D78,Y$5)="F",AND(Y$6&gt;0,$A78&lt;Y$6),AND(Y$7&gt;0,$A78&gt;Y$7)),0,MAX(0,ROUND((INDEX($E78:$G78,Y$5)-SUMIFS(TF_Timer,TF_Tekniker,Y$4,TF_Dato,$A78))*2,0)/2)))</f>
        <v/>
      </c>
      <c r="Z78">
        <f>IF(OR(Z$4="",$A78&gt;TODAY()),0,IF(OR(INDEX($B78:$D78,Z$5)="F",AND(Z$6&gt;0,$A78&lt;Z$6),AND(Z$7&gt;0,$A78&gt;Z$7)),0,MAX(0,ROUND((INDEX($E78:$G78,Z$5)-SUMIFS(TF_Timer,TF_Tekniker,Z$4,TF_Dato,$A78))*2,0)/2)))</f>
        <v/>
      </c>
      <c r="AA78">
        <f>IF(OR(AA$4="",$A78&gt;TODAY()),0,IF(OR(INDEX($B78:$D78,AA$5)="F",AND(AA$6&gt;0,$A78&lt;AA$6),AND(AA$7&gt;0,$A78&gt;AA$7)),0,MAX(0,ROUND((INDEX($E78:$G78,AA$5)-SUMIFS(TF_Timer,TF_Tekniker,AA$4,TF_Dato,$A78))*2,0)/2)))</f>
        <v/>
      </c>
      <c r="AB78">
        <f>IF(OR(AB$4="",$A78&gt;TODAY()),0,IF(OR(INDEX($B78:$D78,AB$5)="F",AND(AB$6&gt;0,$A78&lt;AB$6),AND(AB$7&gt;0,$A78&gt;AB$7)),0,MAX(0,ROUND((INDEX($E78:$G78,AB$5)-SUMIFS(TF_Timer,TF_Tekniker,AB$4,TF_Dato,$A78))*2,0)/2)))</f>
        <v/>
      </c>
      <c r="AC78">
        <f>IF(OR(AC$4="",$A78&gt;TODAY()),0,IF(OR(INDEX($B78:$D78,AC$5)="F",AND(AC$6&gt;0,$A78&lt;AC$6),AND(AC$7&gt;0,$A78&gt;AC$7)),0,MAX(0,ROUND((INDEX($E78:$G78,AC$5)-SUMIFS(TF_Timer,TF_Tekniker,AC$4,TF_Dato,$A78))*2,0)/2)))</f>
        <v/>
      </c>
      <c r="AD78">
        <f>IF(OR(AD$4="",$A78&gt;TODAY()),0,IF(OR(INDEX($B78:$D78,AD$5)="F",AND(AD$6&gt;0,$A78&lt;AD$6),AND(AD$7&gt;0,$A78&gt;AD$7)),0,MAX(0,ROUND((INDEX($E78:$G78,AD$5)-SUMIFS(TF_Timer,TF_Tekniker,AD$4,TF_Dato,$A78))*2,0)/2)))</f>
        <v/>
      </c>
      <c r="AE78">
        <f>IF(OR(AE$4="",$A78&gt;TODAY()),0,IF(OR(INDEX($B78:$D78,AE$5)="F",AND(AE$6&gt;0,$A78&lt;AE$6),AND(AE$7&gt;0,$A78&gt;AE$7)),0,MAX(0,ROUND((INDEX($E78:$G78,AE$5)-SUMIFS(TF_Timer,TF_Tekniker,AE$4,TF_Dato,$A78))*2,0)/2)))</f>
        <v/>
      </c>
      <c r="AF78">
        <f>IF(OR(AF$4="",$A78&gt;TODAY()),0,IF(OR(INDEX($B78:$D78,AF$5)="F",AND(AF$6&gt;0,$A78&lt;AF$6),AND(AF$7&gt;0,$A78&gt;AF$7)),0,MAX(0,ROUND((INDEX($E78:$G78,AF$5)-SUMIFS(TF_Timer,TF_Tekniker,AF$4,TF_Dato,$A78))*2,0)/2)))</f>
        <v/>
      </c>
      <c r="AG78">
        <f>IF(OR(AG$4="",$A78&gt;TODAY()),0,IF(OR(INDEX($B78:$D78,AG$5)="F",AND(AG$6&gt;0,$A78&lt;AG$6),AND(AG$7&gt;0,$A78&gt;AG$7)),0,MAX(0,ROUND((INDEX($E78:$G78,AG$5)-SUMIFS(TF_Timer,TF_Tekniker,AG$4,TF_Dato,$A78))*2,0)/2)))</f>
        <v/>
      </c>
      <c r="AH78">
        <f>IF(OR(AH$4="",$A78&gt;TODAY()),0,IF(OR(INDEX($B78:$D78,AH$5)="F",AND(AH$6&gt;0,$A78&lt;AH$6),AND(AH$7&gt;0,$A78&gt;AH$7)),0,MAX(0,ROUND((INDEX($E78:$G78,AH$5)-SUMIFS(TF_Timer,TF_Tekniker,AH$4,TF_Dato,$A78))*2,0)/2)))</f>
        <v/>
      </c>
      <c r="AI78">
        <f>IF(OR(AI$4="",$A78&gt;TODAY()),0,IF(OR(INDEX($B78:$D78,AI$5)="F",AND(AI$6&gt;0,$A78&lt;AI$6),AND(AI$7&gt;0,$A78&gt;AI$7)),0,MAX(0,ROUND((INDEX($E78:$G78,AI$5)-SUMIFS(TF_Timer,TF_Tekniker,AI$4,TF_Dato,$A78))*2,0)/2)))</f>
        <v/>
      </c>
      <c r="AJ78">
        <f>IF(OR(AJ$4="",$A78&gt;TODAY()),0,IF(OR(INDEX($B78:$D78,AJ$5)="F",AND(AJ$6&gt;0,$A78&lt;AJ$6),AND(AJ$7&gt;0,$A78&gt;AJ$7)),0,MAX(0,ROUND((INDEX($E78:$G78,AJ$5)-SUMIFS(TF_Timer,TF_Tekniker,AJ$4,TF_Dato,$A78))*2,0)/2)))</f>
        <v/>
      </c>
      <c r="AK78">
        <f>IF(OR(AK$4="",$A78&gt;TODAY()),0,IF(OR(INDEX($B78:$D78,AK$5)="F",AND(AK$6&gt;0,$A78&lt;AK$6),AND(AK$7&gt;0,$A78&gt;AK$7)),0,MAX(0,ROUND((INDEX($E78:$G78,AK$5)-SUMIFS(TF_Timer,TF_Tekniker,AK$4,TF_Dato,$A78))*2,0)/2)))</f>
        <v/>
      </c>
      <c r="AL78">
        <f>IF(OR(AL$4="",$A78&gt;TODAY()),0,IF(OR(INDEX($B78:$D78,AL$5)="F",AND(AL$6&gt;0,$A78&lt;AL$6),AND(AL$7&gt;0,$A78&gt;AL$7)),0,MAX(0,ROUND((INDEX($E78:$G78,AL$5)-SUMIFS(TF_Timer,TF_Tekniker,AL$4,TF_Dato,$A78))*2,0)/2)))</f>
        <v/>
      </c>
      <c r="AM78">
        <f>IF(OR(AM$4="",$A78&gt;TODAY()),0,IF(OR(INDEX($B78:$D78,AM$5)="F",AND(AM$6&gt;0,$A78&lt;AM$6),AND(AM$7&gt;0,$A78&gt;AM$7)),0,MAX(0,ROUND((INDEX($E78:$G78,AM$5)-SUMIFS(TF_Timer,TF_Tekniker,AM$4,TF_Dato,$A78))*2,0)/2)))</f>
        <v/>
      </c>
      <c r="AN78">
        <f>IF(OR(AN$4="",$A78&gt;TODAY()),0,IF(OR(INDEX($B78:$D78,AN$5)="F",AND(AN$6&gt;0,$A78&lt;AN$6),AND(AN$7&gt;0,$A78&gt;AN$7)),0,MAX(0,ROUND((INDEX($E78:$G78,AN$5)-SUMIFS(TF_Timer,TF_Tekniker,AN$4,TF_Dato,$A78))*2,0)/2)))</f>
        <v/>
      </c>
      <c r="AO78">
        <f>IF(OR(AO$4="",$A78&gt;TODAY()),0,IF(OR(INDEX($B78:$D78,AO$5)="F",AND(AO$6&gt;0,$A78&lt;AO$6),AND(AO$7&gt;0,$A78&gt;AO$7)),0,MAX(0,ROUND((INDEX($E78:$G78,AO$5)-SUMIFS(TF_Timer,TF_Tekniker,AO$4,TF_Dato,$A78))*2,0)/2)))</f>
        <v/>
      </c>
      <c r="AP78">
        <f>IF(OR(AP$4="",$A78&gt;TODAY()),0,IF(OR(INDEX($B78:$D78,AP$5)="F",AND(AP$6&gt;0,$A78&lt;AP$6),AND(AP$7&gt;0,$A78&gt;AP$7)),0,MAX(0,ROUND((INDEX($E78:$G78,AP$5)-SUMIFS(TF_Timer,TF_Tekniker,AP$4,TF_Dato,$A78))*2,0)/2)))</f>
        <v/>
      </c>
      <c r="AQ78">
        <f>IF(OR(AQ$4="",$A78&gt;TODAY()),0,IF(OR(INDEX($B78:$D78,AQ$5)="F",AND(AQ$6&gt;0,$A78&lt;AQ$6),AND(AQ$7&gt;0,$A78&gt;AQ$7)),0,MAX(0,ROUND((INDEX($E78:$G78,AQ$5)-SUMIFS(TF_Timer,TF_Tekniker,AQ$4,TF_Dato,$A78))*2,0)/2)))</f>
        <v/>
      </c>
      <c r="AR78">
        <f>IF(OR(AR$4="",$A78&gt;TODAY()),0,IF(OR(INDEX($B78:$D78,AR$5)="F",AND(AR$6&gt;0,$A78&lt;AR$6),AND(AR$7&gt;0,$A78&gt;AR$7)),0,MAX(0,ROUND((INDEX($E78:$G78,AR$5)-SUMIFS(TF_Timer,TF_Tekniker,AR$4,TF_Dato,$A78))*2,0)/2)))</f>
        <v/>
      </c>
      <c r="AS78">
        <f>IF(OR(AS$4="",$A78&gt;TODAY()),0,IF(OR(INDEX($B78:$D78,AS$5)="F",AND(AS$6&gt;0,$A78&lt;AS$6),AND(AS$7&gt;0,$A78&gt;AS$7)),0,MAX(0,ROUND((INDEX($E78:$G78,AS$5)-SUMIFS(TF_Timer,TF_Tekniker,AS$4,TF_Dato,$A78))*2,0)/2)))</f>
        <v/>
      </c>
      <c r="AT78">
        <f>IF(OR(AT$4="",$A78&gt;TODAY()),0,IF(OR(INDEX($B78:$D78,AT$5)="F",AND(AT$6&gt;0,$A78&lt;AT$6),AND(AT$7&gt;0,$A78&gt;AT$7)),0,MAX(0,ROUND((INDEX($E78:$G78,AT$5)-SUMIFS(TF_Timer,TF_Tekniker,AT$4,TF_Dato,$A78))*2,0)/2)))</f>
        <v/>
      </c>
      <c r="AU78">
        <f>IF(OR(AU$4="",$A78&gt;TODAY()),0,IF(OR(INDEX($B78:$D78,AU$5)="F",AND(AU$6&gt;0,$A78&lt;AU$6),AND(AU$7&gt;0,$A78&gt;AU$7)),0,MAX(0,ROUND((INDEX($E78:$G78,AU$5)-SUMIFS(TF_Timer,TF_Tekniker,AU$4,TF_Dato,$A78))*2,0)/2)))</f>
        <v/>
      </c>
      <c r="AV78">
        <f>IF(OR(AV$4="",$A78&gt;TODAY()),0,IF(OR(INDEX($B78:$D78,AV$5)="F",AND(AV$6&gt;0,$A78&lt;AV$6),AND(AV$7&gt;0,$A78&gt;AV$7)),0,MAX(0,ROUND((INDEX($E78:$G78,AV$5)-SUMIFS(TF_Timer,TF_Tekniker,AV$4,TF_Dato,$A78))*2,0)/2)))</f>
        <v/>
      </c>
      <c r="AW78">
        <f>IF(OR(AW$4="",$A78&gt;TODAY()),0,IF(OR(INDEX($B78:$D78,AW$5)="F",AND(AW$6&gt;0,$A78&lt;AW$6),AND(AW$7&gt;0,$A78&gt;AW$7)),0,MAX(0,ROUND((INDEX($E78:$G78,AW$5)-SUMIFS(TF_Timer,TF_Tekniker,AW$4,TF_Dato,$A78))*2,0)/2)))</f>
        <v/>
      </c>
      <c r="AX78">
        <f>IF(OR(AX$4="",$A78&gt;TODAY()),0,IF(OR(INDEX($B78:$D78,AX$5)="F",AND(AX$6&gt;0,$A78&lt;AX$6),AND(AX$7&gt;0,$A78&gt;AX$7)),0,MAX(0,ROUND((INDEX($E78:$G78,AX$5)-SUMIFS(TF_Timer,TF_Tekniker,AX$4,TF_Dato,$A78))*2,0)/2)))</f>
        <v/>
      </c>
      <c r="AY78">
        <f>IF(OR(AY$4="",$A78&gt;TODAY()),0,IF(OR(INDEX($B78:$D78,AY$5)="F",AND(AY$6&gt;0,$A78&lt;AY$6),AND(AY$7&gt;0,$A78&gt;AY$7)),0,MAX(0,ROUND((INDEX($E78:$G78,AY$5)-SUMIFS(TF_Timer,TF_Tekniker,AY$4,TF_Dato,$A78))*2,0)/2)))</f>
        <v/>
      </c>
      <c r="AZ78">
        <f>IF(OR(AZ$4="",$A78&gt;TODAY()),0,IF(OR(INDEX($B78:$D78,AZ$5)="F",AND(AZ$6&gt;0,$A78&lt;AZ$6),AND(AZ$7&gt;0,$A78&gt;AZ$7)),0,MAX(0,ROUND((INDEX($E78:$G78,AZ$5)-SUMIFS(TF_Timer,TF_Tekniker,AZ$4,TF_Dato,$A78))*2,0)/2)))</f>
        <v/>
      </c>
      <c r="BA78">
        <f>IF(OR(BA$4="",$A78&gt;TODAY()),0,IF(OR(INDEX($B78:$D78,BA$5)="F",AND(BA$6&gt;0,$A78&lt;BA$6),AND(BA$7&gt;0,$A78&gt;BA$7)),0,MAX(0,ROUND((INDEX($E78:$G78,BA$5)-SUMIFS(TF_Timer,TF_Tekniker,BA$4,TF_Dato,$A78))*2,0)/2)))</f>
        <v/>
      </c>
      <c r="BB78">
        <f>IF(OR(BB$4="",$A78&gt;TODAY()),0,IF(OR(INDEX($B78:$D78,BB$5)="F",AND(BB$6&gt;0,$A78&lt;BB$6),AND(BB$7&gt;0,$A78&gt;BB$7)),0,MAX(0,ROUND((INDEX($E78:$G78,BB$5)-SUMIFS(TF_Timer,TF_Tekniker,BB$4,TF_Dato,$A78))*2,0)/2)))</f>
        <v/>
      </c>
      <c r="BC78">
        <f>IF(OR(BC$4="",$A78&gt;TODAY()),0,IF(OR(INDEX($B78:$D78,BC$5)="F",AND(BC$6&gt;0,$A78&lt;BC$6),AND(BC$7&gt;0,$A78&gt;BC$7)),0,MAX(0,ROUND((INDEX($E78:$G78,BC$5)-SUMIFS(TF_Timer,TF_Tekniker,BC$4,TF_Dato,$A78))*2,0)/2)))</f>
        <v/>
      </c>
      <c r="BD78">
        <f>IF(OR(BD$4="",$A78&gt;TODAY()),0,IF(OR(INDEX($B78:$D78,BD$5)="F",AND(BD$6&gt;0,$A78&lt;BD$6),AND(BD$7&gt;0,$A78&gt;BD$7)),0,MAX(0,ROUND((INDEX($E78:$G78,BD$5)-SUMIFS(TF_Timer,TF_Tekniker,BD$4,TF_Dato,$A78))*2,0)/2)))</f>
        <v/>
      </c>
      <c r="BE78">
        <f>IF(OR(BE$4="",$A78&gt;TODAY()),0,IF(OR(INDEX($B78:$D78,BE$5)="F",AND(BE$6&gt;0,$A78&lt;BE$6),AND(BE$7&gt;0,$A78&gt;BE$7)),0,MAX(0,ROUND((INDEX($E78:$G78,BE$5)-SUMIFS(TF_Timer,TF_Tekniker,BE$4,TF_Dato,$A78))*2,0)/2)))</f>
        <v/>
      </c>
      <c r="BF78">
        <f>IF(OR(BF$4="",$A78&gt;TODAY()),0,IF(OR(INDEX($B78:$D78,BF$5)="F",AND(BF$6&gt;0,$A78&lt;BF$6),AND(BF$7&gt;0,$A78&gt;BF$7)),0,MAX(0,ROUND((INDEX($E78:$G78,BF$5)-SUMIFS(TF_Timer,TF_Tekniker,BF$4,TF_Dato,$A78))*2,0)/2)))</f>
        <v/>
      </c>
      <c r="BG78">
        <f>IF(OR(BG$4="",$A78&gt;TODAY()),0,IF(OR(INDEX($B78:$D78,BG$5)="F",AND(BG$6&gt;0,$A78&lt;BG$6),AND(BG$7&gt;0,$A78&gt;BG$7)),0,MAX(0,ROUND((INDEX($E78:$G78,BG$5)-SUMIFS(TF_Timer,TF_Tekniker,BG$4,TF_Dato,$A78))*2,0)/2)))</f>
        <v/>
      </c>
      <c r="BH78">
        <f>IF(OR(BH$4="",$A78&gt;TODAY()),0,IF(OR(INDEX($B78:$D78,BH$5)="F",AND(BH$6&gt;0,$A78&lt;BH$6),AND(BH$7&gt;0,$A78&gt;BH$7)),0,MAX(0,ROUND((INDEX($E78:$G78,BH$5)-SUMIFS(TF_Timer,TF_Tekniker,BH$4,TF_Dato,$A78))*2,0)/2)))</f>
        <v/>
      </c>
      <c r="BI78">
        <f>IF(OR(BI$4="",$A78&gt;TODAY()),0,IF(OR(INDEX($B78:$D78,BI$5)="F",AND(BI$6&gt;0,$A78&lt;BI$6),AND(BI$7&gt;0,$A78&gt;BI$7)),0,MAX(0,ROUND((INDEX($E78:$G78,BI$5)-SUMIFS(TF_Timer,TF_Tekniker,BI$4,TF_Dato,$A78))*2,0)/2)))</f>
        <v/>
      </c>
    </row>
    <row r="79">
      <c r="A79" s="64">
        <f>A78+1</f>
        <v/>
      </c>
      <c r="B79">
        <f>IF(MOD($A79-INDEX(SkiftStart,1),Syklus)&lt;DagK,"K",IF(MOD($A79-INDEX(SkiftStart,1),Syklus)&lt;DagK+DagH,"H",IF(MOD($A79-INDEX(SkiftStart,1),Syklus)&lt;DagK+DagH+DagD,"D","F")))</f>
        <v/>
      </c>
      <c r="C79">
        <f>IF(MOD($A79-INDEX(SkiftStart,2),Syklus)&lt;DagK,"K",IF(MOD($A79-INDEX(SkiftStart,2),Syklus)&lt;DagK+DagH,"H",IF(MOD($A79-INDEX(SkiftStart,2),Syklus)&lt;DagK+DagH+DagD,"D","F")))</f>
        <v/>
      </c>
      <c r="D79">
        <f>IF(MOD($A79-INDEX(SkiftStart,3),Syklus)&lt;DagK,"K",IF(MOD($A79-INDEX(SkiftStart,3),Syklus)&lt;DagK+DagH,"H",IF(MOD($A79-INDEX(SkiftStart,3),Syklus)&lt;DagK+DagH+DagD,"D","F")))</f>
        <v/>
      </c>
      <c r="E79">
        <f>IF(B79="F",0,IF(WEEKDAY($A79,2)=5,INDEX(TimerFr,MATCH(B79,FaseKode,0)),INDEX(TimerMT,MATCH(B79,FaseKode,0))))</f>
        <v/>
      </c>
      <c r="F79">
        <f>IF(C79="F",0,IF(WEEKDAY($A79,2)=5,INDEX(TimerFr,MATCH(C79,FaseKode,0)),INDEX(TimerMT,MATCH(C79,FaseKode,0))))</f>
        <v/>
      </c>
      <c r="G79">
        <f>IF(D79="F",0,IF(WEEKDAY($A79,2)=5,INDEX(TimerFr,MATCH(D79,FaseKode,0)),INDEX(TimerMT,MATCH(D79,FaseKode,0))))</f>
        <v/>
      </c>
      <c r="H79">
        <f>IF(OR(H$4="",$A79&gt;TODAY()),0,IF(OR(INDEX($B79:$D79,H$5)="F",AND(H$6&gt;0,$A79&lt;H$6),AND(H$7&gt;0,$A79&gt;H$7)),0,MAX(0,ROUND((INDEX($E79:$G79,H$5)-SUMIFS(TF_Timer,TF_Tekniker,H$4,TF_Dato,$A79))*2,0)/2)))</f>
        <v/>
      </c>
      <c r="I79">
        <f>IF(OR(I$4="",$A79&gt;TODAY()),0,IF(OR(INDEX($B79:$D79,I$5)="F",AND(I$6&gt;0,$A79&lt;I$6),AND(I$7&gt;0,$A79&gt;I$7)),0,MAX(0,ROUND((INDEX($E79:$G79,I$5)-SUMIFS(TF_Timer,TF_Tekniker,I$4,TF_Dato,$A79))*2,0)/2)))</f>
        <v/>
      </c>
      <c r="J79">
        <f>IF(OR(J$4="",$A79&gt;TODAY()),0,IF(OR(INDEX($B79:$D79,J$5)="F",AND(J$6&gt;0,$A79&lt;J$6),AND(J$7&gt;0,$A79&gt;J$7)),0,MAX(0,ROUND((INDEX($E79:$G79,J$5)-SUMIFS(TF_Timer,TF_Tekniker,J$4,TF_Dato,$A79))*2,0)/2)))</f>
        <v/>
      </c>
      <c r="K79">
        <f>IF(OR(K$4="",$A79&gt;TODAY()),0,IF(OR(INDEX($B79:$D79,K$5)="F",AND(K$6&gt;0,$A79&lt;K$6),AND(K$7&gt;0,$A79&gt;K$7)),0,MAX(0,ROUND((INDEX($E79:$G79,K$5)-SUMIFS(TF_Timer,TF_Tekniker,K$4,TF_Dato,$A79))*2,0)/2)))</f>
        <v/>
      </c>
      <c r="L79">
        <f>IF(OR(L$4="",$A79&gt;TODAY()),0,IF(OR(INDEX($B79:$D79,L$5)="F",AND(L$6&gt;0,$A79&lt;L$6),AND(L$7&gt;0,$A79&gt;L$7)),0,MAX(0,ROUND((INDEX($E79:$G79,L$5)-SUMIFS(TF_Timer,TF_Tekniker,L$4,TF_Dato,$A79))*2,0)/2)))</f>
        <v/>
      </c>
      <c r="M79">
        <f>IF(OR(M$4="",$A79&gt;TODAY()),0,IF(OR(INDEX($B79:$D79,M$5)="F",AND(M$6&gt;0,$A79&lt;M$6),AND(M$7&gt;0,$A79&gt;M$7)),0,MAX(0,ROUND((INDEX($E79:$G79,M$5)-SUMIFS(TF_Timer,TF_Tekniker,M$4,TF_Dato,$A79))*2,0)/2)))</f>
        <v/>
      </c>
      <c r="N79">
        <f>IF(OR(N$4="",$A79&gt;TODAY()),0,IF(OR(INDEX($B79:$D79,N$5)="F",AND(N$6&gt;0,$A79&lt;N$6),AND(N$7&gt;0,$A79&gt;N$7)),0,MAX(0,ROUND((INDEX($E79:$G79,N$5)-SUMIFS(TF_Timer,TF_Tekniker,N$4,TF_Dato,$A79))*2,0)/2)))</f>
        <v/>
      </c>
      <c r="O79">
        <f>IF(OR(O$4="",$A79&gt;TODAY()),0,IF(OR(INDEX($B79:$D79,O$5)="F",AND(O$6&gt;0,$A79&lt;O$6),AND(O$7&gt;0,$A79&gt;O$7)),0,MAX(0,ROUND((INDEX($E79:$G79,O$5)-SUMIFS(TF_Timer,TF_Tekniker,O$4,TF_Dato,$A79))*2,0)/2)))</f>
        <v/>
      </c>
      <c r="P79">
        <f>IF(OR(P$4="",$A79&gt;TODAY()),0,IF(OR(INDEX($B79:$D79,P$5)="F",AND(P$6&gt;0,$A79&lt;P$6),AND(P$7&gt;0,$A79&gt;P$7)),0,MAX(0,ROUND((INDEX($E79:$G79,P$5)-SUMIFS(TF_Timer,TF_Tekniker,P$4,TF_Dato,$A79))*2,0)/2)))</f>
        <v/>
      </c>
      <c r="Q79">
        <f>IF(OR(Q$4="",$A79&gt;TODAY()),0,IF(OR(INDEX($B79:$D79,Q$5)="F",AND(Q$6&gt;0,$A79&lt;Q$6),AND(Q$7&gt;0,$A79&gt;Q$7)),0,MAX(0,ROUND((INDEX($E79:$G79,Q$5)-SUMIFS(TF_Timer,TF_Tekniker,Q$4,TF_Dato,$A79))*2,0)/2)))</f>
        <v/>
      </c>
      <c r="R79">
        <f>IF(OR(R$4="",$A79&gt;TODAY()),0,IF(OR(INDEX($B79:$D79,R$5)="F",AND(R$6&gt;0,$A79&lt;R$6),AND(R$7&gt;0,$A79&gt;R$7)),0,MAX(0,ROUND((INDEX($E79:$G79,R$5)-SUMIFS(TF_Timer,TF_Tekniker,R$4,TF_Dato,$A79))*2,0)/2)))</f>
        <v/>
      </c>
      <c r="S79">
        <f>IF(OR(S$4="",$A79&gt;TODAY()),0,IF(OR(INDEX($B79:$D79,S$5)="F",AND(S$6&gt;0,$A79&lt;S$6),AND(S$7&gt;0,$A79&gt;S$7)),0,MAX(0,ROUND((INDEX($E79:$G79,S$5)-SUMIFS(TF_Timer,TF_Tekniker,S$4,TF_Dato,$A79))*2,0)/2)))</f>
        <v/>
      </c>
      <c r="T79">
        <f>IF(OR(T$4="",$A79&gt;TODAY()),0,IF(OR(INDEX($B79:$D79,T$5)="F",AND(T$6&gt;0,$A79&lt;T$6),AND(T$7&gt;0,$A79&gt;T$7)),0,MAX(0,ROUND((INDEX($E79:$G79,T$5)-SUMIFS(TF_Timer,TF_Tekniker,T$4,TF_Dato,$A79))*2,0)/2)))</f>
        <v/>
      </c>
      <c r="U79">
        <f>IF(OR(U$4="",$A79&gt;TODAY()),0,IF(OR(INDEX($B79:$D79,U$5)="F",AND(U$6&gt;0,$A79&lt;U$6),AND(U$7&gt;0,$A79&gt;U$7)),0,MAX(0,ROUND((INDEX($E79:$G79,U$5)-SUMIFS(TF_Timer,TF_Tekniker,U$4,TF_Dato,$A79))*2,0)/2)))</f>
        <v/>
      </c>
      <c r="V79">
        <f>IF(OR(V$4="",$A79&gt;TODAY()),0,IF(OR(INDEX($B79:$D79,V$5)="F",AND(V$6&gt;0,$A79&lt;V$6),AND(V$7&gt;0,$A79&gt;V$7)),0,MAX(0,ROUND((INDEX($E79:$G79,V$5)-SUMIFS(TF_Timer,TF_Tekniker,V$4,TF_Dato,$A79))*2,0)/2)))</f>
        <v/>
      </c>
      <c r="W79">
        <f>IF(OR(W$4="",$A79&gt;TODAY()),0,IF(OR(INDEX($B79:$D79,W$5)="F",AND(W$6&gt;0,$A79&lt;W$6),AND(W$7&gt;0,$A79&gt;W$7)),0,MAX(0,ROUND((INDEX($E79:$G79,W$5)-SUMIFS(TF_Timer,TF_Tekniker,W$4,TF_Dato,$A79))*2,0)/2)))</f>
        <v/>
      </c>
      <c r="X79">
        <f>IF(OR(X$4="",$A79&gt;TODAY()),0,IF(OR(INDEX($B79:$D79,X$5)="F",AND(X$6&gt;0,$A79&lt;X$6),AND(X$7&gt;0,$A79&gt;X$7)),0,MAX(0,ROUND((INDEX($E79:$G79,X$5)-SUMIFS(TF_Timer,TF_Tekniker,X$4,TF_Dato,$A79))*2,0)/2)))</f>
        <v/>
      </c>
      <c r="Y79">
        <f>IF(OR(Y$4="",$A79&gt;TODAY()),0,IF(OR(INDEX($B79:$D79,Y$5)="F",AND(Y$6&gt;0,$A79&lt;Y$6),AND(Y$7&gt;0,$A79&gt;Y$7)),0,MAX(0,ROUND((INDEX($E79:$G79,Y$5)-SUMIFS(TF_Timer,TF_Tekniker,Y$4,TF_Dato,$A79))*2,0)/2)))</f>
        <v/>
      </c>
      <c r="Z79">
        <f>IF(OR(Z$4="",$A79&gt;TODAY()),0,IF(OR(INDEX($B79:$D79,Z$5)="F",AND(Z$6&gt;0,$A79&lt;Z$6),AND(Z$7&gt;0,$A79&gt;Z$7)),0,MAX(0,ROUND((INDEX($E79:$G79,Z$5)-SUMIFS(TF_Timer,TF_Tekniker,Z$4,TF_Dato,$A79))*2,0)/2)))</f>
        <v/>
      </c>
      <c r="AA79">
        <f>IF(OR(AA$4="",$A79&gt;TODAY()),0,IF(OR(INDEX($B79:$D79,AA$5)="F",AND(AA$6&gt;0,$A79&lt;AA$6),AND(AA$7&gt;0,$A79&gt;AA$7)),0,MAX(0,ROUND((INDEX($E79:$G79,AA$5)-SUMIFS(TF_Timer,TF_Tekniker,AA$4,TF_Dato,$A79))*2,0)/2)))</f>
        <v/>
      </c>
      <c r="AB79">
        <f>IF(OR(AB$4="",$A79&gt;TODAY()),0,IF(OR(INDEX($B79:$D79,AB$5)="F",AND(AB$6&gt;0,$A79&lt;AB$6),AND(AB$7&gt;0,$A79&gt;AB$7)),0,MAX(0,ROUND((INDEX($E79:$G79,AB$5)-SUMIFS(TF_Timer,TF_Tekniker,AB$4,TF_Dato,$A79))*2,0)/2)))</f>
        <v/>
      </c>
      <c r="AC79">
        <f>IF(OR(AC$4="",$A79&gt;TODAY()),0,IF(OR(INDEX($B79:$D79,AC$5)="F",AND(AC$6&gt;0,$A79&lt;AC$6),AND(AC$7&gt;0,$A79&gt;AC$7)),0,MAX(0,ROUND((INDEX($E79:$G79,AC$5)-SUMIFS(TF_Timer,TF_Tekniker,AC$4,TF_Dato,$A79))*2,0)/2)))</f>
        <v/>
      </c>
      <c r="AD79">
        <f>IF(OR(AD$4="",$A79&gt;TODAY()),0,IF(OR(INDEX($B79:$D79,AD$5)="F",AND(AD$6&gt;0,$A79&lt;AD$6),AND(AD$7&gt;0,$A79&gt;AD$7)),0,MAX(0,ROUND((INDEX($E79:$G79,AD$5)-SUMIFS(TF_Timer,TF_Tekniker,AD$4,TF_Dato,$A79))*2,0)/2)))</f>
        <v/>
      </c>
      <c r="AE79">
        <f>IF(OR(AE$4="",$A79&gt;TODAY()),0,IF(OR(INDEX($B79:$D79,AE$5)="F",AND(AE$6&gt;0,$A79&lt;AE$6),AND(AE$7&gt;0,$A79&gt;AE$7)),0,MAX(0,ROUND((INDEX($E79:$G79,AE$5)-SUMIFS(TF_Timer,TF_Tekniker,AE$4,TF_Dato,$A79))*2,0)/2)))</f>
        <v/>
      </c>
      <c r="AF79">
        <f>IF(OR(AF$4="",$A79&gt;TODAY()),0,IF(OR(INDEX($B79:$D79,AF$5)="F",AND(AF$6&gt;0,$A79&lt;AF$6),AND(AF$7&gt;0,$A79&gt;AF$7)),0,MAX(0,ROUND((INDEX($E79:$G79,AF$5)-SUMIFS(TF_Timer,TF_Tekniker,AF$4,TF_Dato,$A79))*2,0)/2)))</f>
        <v/>
      </c>
      <c r="AG79">
        <f>IF(OR(AG$4="",$A79&gt;TODAY()),0,IF(OR(INDEX($B79:$D79,AG$5)="F",AND(AG$6&gt;0,$A79&lt;AG$6),AND(AG$7&gt;0,$A79&gt;AG$7)),0,MAX(0,ROUND((INDEX($E79:$G79,AG$5)-SUMIFS(TF_Timer,TF_Tekniker,AG$4,TF_Dato,$A79))*2,0)/2)))</f>
        <v/>
      </c>
      <c r="AH79">
        <f>IF(OR(AH$4="",$A79&gt;TODAY()),0,IF(OR(INDEX($B79:$D79,AH$5)="F",AND(AH$6&gt;0,$A79&lt;AH$6),AND(AH$7&gt;0,$A79&gt;AH$7)),0,MAX(0,ROUND((INDEX($E79:$G79,AH$5)-SUMIFS(TF_Timer,TF_Tekniker,AH$4,TF_Dato,$A79))*2,0)/2)))</f>
        <v/>
      </c>
      <c r="AI79">
        <f>IF(OR(AI$4="",$A79&gt;TODAY()),0,IF(OR(INDEX($B79:$D79,AI$5)="F",AND(AI$6&gt;0,$A79&lt;AI$6),AND(AI$7&gt;0,$A79&gt;AI$7)),0,MAX(0,ROUND((INDEX($E79:$G79,AI$5)-SUMIFS(TF_Timer,TF_Tekniker,AI$4,TF_Dato,$A79))*2,0)/2)))</f>
        <v/>
      </c>
      <c r="AJ79">
        <f>IF(OR(AJ$4="",$A79&gt;TODAY()),0,IF(OR(INDEX($B79:$D79,AJ$5)="F",AND(AJ$6&gt;0,$A79&lt;AJ$6),AND(AJ$7&gt;0,$A79&gt;AJ$7)),0,MAX(0,ROUND((INDEX($E79:$G79,AJ$5)-SUMIFS(TF_Timer,TF_Tekniker,AJ$4,TF_Dato,$A79))*2,0)/2)))</f>
        <v/>
      </c>
      <c r="AK79">
        <f>IF(OR(AK$4="",$A79&gt;TODAY()),0,IF(OR(INDEX($B79:$D79,AK$5)="F",AND(AK$6&gt;0,$A79&lt;AK$6),AND(AK$7&gt;0,$A79&gt;AK$7)),0,MAX(0,ROUND((INDEX($E79:$G79,AK$5)-SUMIFS(TF_Timer,TF_Tekniker,AK$4,TF_Dato,$A79))*2,0)/2)))</f>
        <v/>
      </c>
      <c r="AL79">
        <f>IF(OR(AL$4="",$A79&gt;TODAY()),0,IF(OR(INDEX($B79:$D79,AL$5)="F",AND(AL$6&gt;0,$A79&lt;AL$6),AND(AL$7&gt;0,$A79&gt;AL$7)),0,MAX(0,ROUND((INDEX($E79:$G79,AL$5)-SUMIFS(TF_Timer,TF_Tekniker,AL$4,TF_Dato,$A79))*2,0)/2)))</f>
        <v/>
      </c>
      <c r="AM79">
        <f>IF(OR(AM$4="",$A79&gt;TODAY()),0,IF(OR(INDEX($B79:$D79,AM$5)="F",AND(AM$6&gt;0,$A79&lt;AM$6),AND(AM$7&gt;0,$A79&gt;AM$7)),0,MAX(0,ROUND((INDEX($E79:$G79,AM$5)-SUMIFS(TF_Timer,TF_Tekniker,AM$4,TF_Dato,$A79))*2,0)/2)))</f>
        <v/>
      </c>
      <c r="AN79">
        <f>IF(OR(AN$4="",$A79&gt;TODAY()),0,IF(OR(INDEX($B79:$D79,AN$5)="F",AND(AN$6&gt;0,$A79&lt;AN$6),AND(AN$7&gt;0,$A79&gt;AN$7)),0,MAX(0,ROUND((INDEX($E79:$G79,AN$5)-SUMIFS(TF_Timer,TF_Tekniker,AN$4,TF_Dato,$A79))*2,0)/2)))</f>
        <v/>
      </c>
      <c r="AO79">
        <f>IF(OR(AO$4="",$A79&gt;TODAY()),0,IF(OR(INDEX($B79:$D79,AO$5)="F",AND(AO$6&gt;0,$A79&lt;AO$6),AND(AO$7&gt;0,$A79&gt;AO$7)),0,MAX(0,ROUND((INDEX($E79:$G79,AO$5)-SUMIFS(TF_Timer,TF_Tekniker,AO$4,TF_Dato,$A79))*2,0)/2)))</f>
        <v/>
      </c>
      <c r="AP79">
        <f>IF(OR(AP$4="",$A79&gt;TODAY()),0,IF(OR(INDEX($B79:$D79,AP$5)="F",AND(AP$6&gt;0,$A79&lt;AP$6),AND(AP$7&gt;0,$A79&gt;AP$7)),0,MAX(0,ROUND((INDEX($E79:$G79,AP$5)-SUMIFS(TF_Timer,TF_Tekniker,AP$4,TF_Dato,$A79))*2,0)/2)))</f>
        <v/>
      </c>
      <c r="AQ79">
        <f>IF(OR(AQ$4="",$A79&gt;TODAY()),0,IF(OR(INDEX($B79:$D79,AQ$5)="F",AND(AQ$6&gt;0,$A79&lt;AQ$6),AND(AQ$7&gt;0,$A79&gt;AQ$7)),0,MAX(0,ROUND((INDEX($E79:$G79,AQ$5)-SUMIFS(TF_Timer,TF_Tekniker,AQ$4,TF_Dato,$A79))*2,0)/2)))</f>
        <v/>
      </c>
      <c r="AR79">
        <f>IF(OR(AR$4="",$A79&gt;TODAY()),0,IF(OR(INDEX($B79:$D79,AR$5)="F",AND(AR$6&gt;0,$A79&lt;AR$6),AND(AR$7&gt;0,$A79&gt;AR$7)),0,MAX(0,ROUND((INDEX($E79:$G79,AR$5)-SUMIFS(TF_Timer,TF_Tekniker,AR$4,TF_Dato,$A79))*2,0)/2)))</f>
        <v/>
      </c>
      <c r="AS79">
        <f>IF(OR(AS$4="",$A79&gt;TODAY()),0,IF(OR(INDEX($B79:$D79,AS$5)="F",AND(AS$6&gt;0,$A79&lt;AS$6),AND(AS$7&gt;0,$A79&gt;AS$7)),0,MAX(0,ROUND((INDEX($E79:$G79,AS$5)-SUMIFS(TF_Timer,TF_Tekniker,AS$4,TF_Dato,$A79))*2,0)/2)))</f>
        <v/>
      </c>
      <c r="AT79">
        <f>IF(OR(AT$4="",$A79&gt;TODAY()),0,IF(OR(INDEX($B79:$D79,AT$5)="F",AND(AT$6&gt;0,$A79&lt;AT$6),AND(AT$7&gt;0,$A79&gt;AT$7)),0,MAX(0,ROUND((INDEX($E79:$G79,AT$5)-SUMIFS(TF_Timer,TF_Tekniker,AT$4,TF_Dato,$A79))*2,0)/2)))</f>
        <v/>
      </c>
      <c r="AU79">
        <f>IF(OR(AU$4="",$A79&gt;TODAY()),0,IF(OR(INDEX($B79:$D79,AU$5)="F",AND(AU$6&gt;0,$A79&lt;AU$6),AND(AU$7&gt;0,$A79&gt;AU$7)),0,MAX(0,ROUND((INDEX($E79:$G79,AU$5)-SUMIFS(TF_Timer,TF_Tekniker,AU$4,TF_Dato,$A79))*2,0)/2)))</f>
        <v/>
      </c>
      <c r="AV79">
        <f>IF(OR(AV$4="",$A79&gt;TODAY()),0,IF(OR(INDEX($B79:$D79,AV$5)="F",AND(AV$6&gt;0,$A79&lt;AV$6),AND(AV$7&gt;0,$A79&gt;AV$7)),0,MAX(0,ROUND((INDEX($E79:$G79,AV$5)-SUMIFS(TF_Timer,TF_Tekniker,AV$4,TF_Dato,$A79))*2,0)/2)))</f>
        <v/>
      </c>
      <c r="AW79">
        <f>IF(OR(AW$4="",$A79&gt;TODAY()),0,IF(OR(INDEX($B79:$D79,AW$5)="F",AND(AW$6&gt;0,$A79&lt;AW$6),AND(AW$7&gt;0,$A79&gt;AW$7)),0,MAX(0,ROUND((INDEX($E79:$G79,AW$5)-SUMIFS(TF_Timer,TF_Tekniker,AW$4,TF_Dato,$A79))*2,0)/2)))</f>
        <v/>
      </c>
      <c r="AX79">
        <f>IF(OR(AX$4="",$A79&gt;TODAY()),0,IF(OR(INDEX($B79:$D79,AX$5)="F",AND(AX$6&gt;0,$A79&lt;AX$6),AND(AX$7&gt;0,$A79&gt;AX$7)),0,MAX(0,ROUND((INDEX($E79:$G79,AX$5)-SUMIFS(TF_Timer,TF_Tekniker,AX$4,TF_Dato,$A79))*2,0)/2)))</f>
        <v/>
      </c>
      <c r="AY79">
        <f>IF(OR(AY$4="",$A79&gt;TODAY()),0,IF(OR(INDEX($B79:$D79,AY$5)="F",AND(AY$6&gt;0,$A79&lt;AY$6),AND(AY$7&gt;0,$A79&gt;AY$7)),0,MAX(0,ROUND((INDEX($E79:$G79,AY$5)-SUMIFS(TF_Timer,TF_Tekniker,AY$4,TF_Dato,$A79))*2,0)/2)))</f>
        <v/>
      </c>
      <c r="AZ79">
        <f>IF(OR(AZ$4="",$A79&gt;TODAY()),0,IF(OR(INDEX($B79:$D79,AZ$5)="F",AND(AZ$6&gt;0,$A79&lt;AZ$6),AND(AZ$7&gt;0,$A79&gt;AZ$7)),0,MAX(0,ROUND((INDEX($E79:$G79,AZ$5)-SUMIFS(TF_Timer,TF_Tekniker,AZ$4,TF_Dato,$A79))*2,0)/2)))</f>
        <v/>
      </c>
      <c r="BA79">
        <f>IF(OR(BA$4="",$A79&gt;TODAY()),0,IF(OR(INDEX($B79:$D79,BA$5)="F",AND(BA$6&gt;0,$A79&lt;BA$6),AND(BA$7&gt;0,$A79&gt;BA$7)),0,MAX(0,ROUND((INDEX($E79:$G79,BA$5)-SUMIFS(TF_Timer,TF_Tekniker,BA$4,TF_Dato,$A79))*2,0)/2)))</f>
        <v/>
      </c>
      <c r="BB79">
        <f>IF(OR(BB$4="",$A79&gt;TODAY()),0,IF(OR(INDEX($B79:$D79,BB$5)="F",AND(BB$6&gt;0,$A79&lt;BB$6),AND(BB$7&gt;0,$A79&gt;BB$7)),0,MAX(0,ROUND((INDEX($E79:$G79,BB$5)-SUMIFS(TF_Timer,TF_Tekniker,BB$4,TF_Dato,$A79))*2,0)/2)))</f>
        <v/>
      </c>
      <c r="BC79">
        <f>IF(OR(BC$4="",$A79&gt;TODAY()),0,IF(OR(INDEX($B79:$D79,BC$5)="F",AND(BC$6&gt;0,$A79&lt;BC$6),AND(BC$7&gt;0,$A79&gt;BC$7)),0,MAX(0,ROUND((INDEX($E79:$G79,BC$5)-SUMIFS(TF_Timer,TF_Tekniker,BC$4,TF_Dato,$A79))*2,0)/2)))</f>
        <v/>
      </c>
      <c r="BD79">
        <f>IF(OR(BD$4="",$A79&gt;TODAY()),0,IF(OR(INDEX($B79:$D79,BD$5)="F",AND(BD$6&gt;0,$A79&lt;BD$6),AND(BD$7&gt;0,$A79&gt;BD$7)),0,MAX(0,ROUND((INDEX($E79:$G79,BD$5)-SUMIFS(TF_Timer,TF_Tekniker,BD$4,TF_Dato,$A79))*2,0)/2)))</f>
        <v/>
      </c>
      <c r="BE79">
        <f>IF(OR(BE$4="",$A79&gt;TODAY()),0,IF(OR(INDEX($B79:$D79,BE$5)="F",AND(BE$6&gt;0,$A79&lt;BE$6),AND(BE$7&gt;0,$A79&gt;BE$7)),0,MAX(0,ROUND((INDEX($E79:$G79,BE$5)-SUMIFS(TF_Timer,TF_Tekniker,BE$4,TF_Dato,$A79))*2,0)/2)))</f>
        <v/>
      </c>
      <c r="BF79">
        <f>IF(OR(BF$4="",$A79&gt;TODAY()),0,IF(OR(INDEX($B79:$D79,BF$5)="F",AND(BF$6&gt;0,$A79&lt;BF$6),AND(BF$7&gt;0,$A79&gt;BF$7)),0,MAX(0,ROUND((INDEX($E79:$G79,BF$5)-SUMIFS(TF_Timer,TF_Tekniker,BF$4,TF_Dato,$A79))*2,0)/2)))</f>
        <v/>
      </c>
      <c r="BG79">
        <f>IF(OR(BG$4="",$A79&gt;TODAY()),0,IF(OR(INDEX($B79:$D79,BG$5)="F",AND(BG$6&gt;0,$A79&lt;BG$6),AND(BG$7&gt;0,$A79&gt;BG$7)),0,MAX(0,ROUND((INDEX($E79:$G79,BG$5)-SUMIFS(TF_Timer,TF_Tekniker,BG$4,TF_Dato,$A79))*2,0)/2)))</f>
        <v/>
      </c>
      <c r="BH79">
        <f>IF(OR(BH$4="",$A79&gt;TODAY()),0,IF(OR(INDEX($B79:$D79,BH$5)="F",AND(BH$6&gt;0,$A79&lt;BH$6),AND(BH$7&gt;0,$A79&gt;BH$7)),0,MAX(0,ROUND((INDEX($E79:$G79,BH$5)-SUMIFS(TF_Timer,TF_Tekniker,BH$4,TF_Dato,$A79))*2,0)/2)))</f>
        <v/>
      </c>
      <c r="BI79">
        <f>IF(OR(BI$4="",$A79&gt;TODAY()),0,IF(OR(INDEX($B79:$D79,BI$5)="F",AND(BI$6&gt;0,$A79&lt;BI$6),AND(BI$7&gt;0,$A79&gt;BI$7)),0,MAX(0,ROUND((INDEX($E79:$G79,BI$5)-SUMIFS(TF_Timer,TF_Tekniker,BI$4,TF_Dato,$A79))*2,0)/2)))</f>
        <v/>
      </c>
    </row>
    <row r="80">
      <c r="A80" s="64">
        <f>A79+1</f>
        <v/>
      </c>
      <c r="B80">
        <f>IF(MOD($A80-INDEX(SkiftStart,1),Syklus)&lt;DagK,"K",IF(MOD($A80-INDEX(SkiftStart,1),Syklus)&lt;DagK+DagH,"H",IF(MOD($A80-INDEX(SkiftStart,1),Syklus)&lt;DagK+DagH+DagD,"D","F")))</f>
        <v/>
      </c>
      <c r="C80">
        <f>IF(MOD($A80-INDEX(SkiftStart,2),Syklus)&lt;DagK,"K",IF(MOD($A80-INDEX(SkiftStart,2),Syklus)&lt;DagK+DagH,"H",IF(MOD($A80-INDEX(SkiftStart,2),Syklus)&lt;DagK+DagH+DagD,"D","F")))</f>
        <v/>
      </c>
      <c r="D80">
        <f>IF(MOD($A80-INDEX(SkiftStart,3),Syklus)&lt;DagK,"K",IF(MOD($A80-INDEX(SkiftStart,3),Syklus)&lt;DagK+DagH,"H",IF(MOD($A80-INDEX(SkiftStart,3),Syklus)&lt;DagK+DagH+DagD,"D","F")))</f>
        <v/>
      </c>
      <c r="E80">
        <f>IF(B80="F",0,IF(WEEKDAY($A80,2)=5,INDEX(TimerFr,MATCH(B80,FaseKode,0)),INDEX(TimerMT,MATCH(B80,FaseKode,0))))</f>
        <v/>
      </c>
      <c r="F80">
        <f>IF(C80="F",0,IF(WEEKDAY($A80,2)=5,INDEX(TimerFr,MATCH(C80,FaseKode,0)),INDEX(TimerMT,MATCH(C80,FaseKode,0))))</f>
        <v/>
      </c>
      <c r="G80">
        <f>IF(D80="F",0,IF(WEEKDAY($A80,2)=5,INDEX(TimerFr,MATCH(D80,FaseKode,0)),INDEX(TimerMT,MATCH(D80,FaseKode,0))))</f>
        <v/>
      </c>
      <c r="H80">
        <f>IF(OR(H$4="",$A80&gt;TODAY()),0,IF(OR(INDEX($B80:$D80,H$5)="F",AND(H$6&gt;0,$A80&lt;H$6),AND(H$7&gt;0,$A80&gt;H$7)),0,MAX(0,ROUND((INDEX($E80:$G80,H$5)-SUMIFS(TF_Timer,TF_Tekniker,H$4,TF_Dato,$A80))*2,0)/2)))</f>
        <v/>
      </c>
      <c r="I80">
        <f>IF(OR(I$4="",$A80&gt;TODAY()),0,IF(OR(INDEX($B80:$D80,I$5)="F",AND(I$6&gt;0,$A80&lt;I$6),AND(I$7&gt;0,$A80&gt;I$7)),0,MAX(0,ROUND((INDEX($E80:$G80,I$5)-SUMIFS(TF_Timer,TF_Tekniker,I$4,TF_Dato,$A80))*2,0)/2)))</f>
        <v/>
      </c>
      <c r="J80">
        <f>IF(OR(J$4="",$A80&gt;TODAY()),0,IF(OR(INDEX($B80:$D80,J$5)="F",AND(J$6&gt;0,$A80&lt;J$6),AND(J$7&gt;0,$A80&gt;J$7)),0,MAX(0,ROUND((INDEX($E80:$G80,J$5)-SUMIFS(TF_Timer,TF_Tekniker,J$4,TF_Dato,$A80))*2,0)/2)))</f>
        <v/>
      </c>
      <c r="K80">
        <f>IF(OR(K$4="",$A80&gt;TODAY()),0,IF(OR(INDEX($B80:$D80,K$5)="F",AND(K$6&gt;0,$A80&lt;K$6),AND(K$7&gt;0,$A80&gt;K$7)),0,MAX(0,ROUND((INDEX($E80:$G80,K$5)-SUMIFS(TF_Timer,TF_Tekniker,K$4,TF_Dato,$A80))*2,0)/2)))</f>
        <v/>
      </c>
      <c r="L80">
        <f>IF(OR(L$4="",$A80&gt;TODAY()),0,IF(OR(INDEX($B80:$D80,L$5)="F",AND(L$6&gt;0,$A80&lt;L$6),AND(L$7&gt;0,$A80&gt;L$7)),0,MAX(0,ROUND((INDEX($E80:$G80,L$5)-SUMIFS(TF_Timer,TF_Tekniker,L$4,TF_Dato,$A80))*2,0)/2)))</f>
        <v/>
      </c>
      <c r="M80">
        <f>IF(OR(M$4="",$A80&gt;TODAY()),0,IF(OR(INDEX($B80:$D80,M$5)="F",AND(M$6&gt;0,$A80&lt;M$6),AND(M$7&gt;0,$A80&gt;M$7)),0,MAX(0,ROUND((INDEX($E80:$G80,M$5)-SUMIFS(TF_Timer,TF_Tekniker,M$4,TF_Dato,$A80))*2,0)/2)))</f>
        <v/>
      </c>
      <c r="N80">
        <f>IF(OR(N$4="",$A80&gt;TODAY()),0,IF(OR(INDEX($B80:$D80,N$5)="F",AND(N$6&gt;0,$A80&lt;N$6),AND(N$7&gt;0,$A80&gt;N$7)),0,MAX(0,ROUND((INDEX($E80:$G80,N$5)-SUMIFS(TF_Timer,TF_Tekniker,N$4,TF_Dato,$A80))*2,0)/2)))</f>
        <v/>
      </c>
      <c r="O80">
        <f>IF(OR(O$4="",$A80&gt;TODAY()),0,IF(OR(INDEX($B80:$D80,O$5)="F",AND(O$6&gt;0,$A80&lt;O$6),AND(O$7&gt;0,$A80&gt;O$7)),0,MAX(0,ROUND((INDEX($E80:$G80,O$5)-SUMIFS(TF_Timer,TF_Tekniker,O$4,TF_Dato,$A80))*2,0)/2)))</f>
        <v/>
      </c>
      <c r="P80">
        <f>IF(OR(P$4="",$A80&gt;TODAY()),0,IF(OR(INDEX($B80:$D80,P$5)="F",AND(P$6&gt;0,$A80&lt;P$6),AND(P$7&gt;0,$A80&gt;P$7)),0,MAX(0,ROUND((INDEX($E80:$G80,P$5)-SUMIFS(TF_Timer,TF_Tekniker,P$4,TF_Dato,$A80))*2,0)/2)))</f>
        <v/>
      </c>
      <c r="Q80">
        <f>IF(OR(Q$4="",$A80&gt;TODAY()),0,IF(OR(INDEX($B80:$D80,Q$5)="F",AND(Q$6&gt;0,$A80&lt;Q$6),AND(Q$7&gt;0,$A80&gt;Q$7)),0,MAX(0,ROUND((INDEX($E80:$G80,Q$5)-SUMIFS(TF_Timer,TF_Tekniker,Q$4,TF_Dato,$A80))*2,0)/2)))</f>
        <v/>
      </c>
      <c r="R80">
        <f>IF(OR(R$4="",$A80&gt;TODAY()),0,IF(OR(INDEX($B80:$D80,R$5)="F",AND(R$6&gt;0,$A80&lt;R$6),AND(R$7&gt;0,$A80&gt;R$7)),0,MAX(0,ROUND((INDEX($E80:$G80,R$5)-SUMIFS(TF_Timer,TF_Tekniker,R$4,TF_Dato,$A80))*2,0)/2)))</f>
        <v/>
      </c>
      <c r="S80">
        <f>IF(OR(S$4="",$A80&gt;TODAY()),0,IF(OR(INDEX($B80:$D80,S$5)="F",AND(S$6&gt;0,$A80&lt;S$6),AND(S$7&gt;0,$A80&gt;S$7)),0,MAX(0,ROUND((INDEX($E80:$G80,S$5)-SUMIFS(TF_Timer,TF_Tekniker,S$4,TF_Dato,$A80))*2,0)/2)))</f>
        <v/>
      </c>
      <c r="T80">
        <f>IF(OR(T$4="",$A80&gt;TODAY()),0,IF(OR(INDEX($B80:$D80,T$5)="F",AND(T$6&gt;0,$A80&lt;T$6),AND(T$7&gt;0,$A80&gt;T$7)),0,MAX(0,ROUND((INDEX($E80:$G80,T$5)-SUMIFS(TF_Timer,TF_Tekniker,T$4,TF_Dato,$A80))*2,0)/2)))</f>
        <v/>
      </c>
      <c r="U80">
        <f>IF(OR(U$4="",$A80&gt;TODAY()),0,IF(OR(INDEX($B80:$D80,U$5)="F",AND(U$6&gt;0,$A80&lt;U$6),AND(U$7&gt;0,$A80&gt;U$7)),0,MAX(0,ROUND((INDEX($E80:$G80,U$5)-SUMIFS(TF_Timer,TF_Tekniker,U$4,TF_Dato,$A80))*2,0)/2)))</f>
        <v/>
      </c>
      <c r="V80">
        <f>IF(OR(V$4="",$A80&gt;TODAY()),0,IF(OR(INDEX($B80:$D80,V$5)="F",AND(V$6&gt;0,$A80&lt;V$6),AND(V$7&gt;0,$A80&gt;V$7)),0,MAX(0,ROUND((INDEX($E80:$G80,V$5)-SUMIFS(TF_Timer,TF_Tekniker,V$4,TF_Dato,$A80))*2,0)/2)))</f>
        <v/>
      </c>
      <c r="W80">
        <f>IF(OR(W$4="",$A80&gt;TODAY()),0,IF(OR(INDEX($B80:$D80,W$5)="F",AND(W$6&gt;0,$A80&lt;W$6),AND(W$7&gt;0,$A80&gt;W$7)),0,MAX(0,ROUND((INDEX($E80:$G80,W$5)-SUMIFS(TF_Timer,TF_Tekniker,W$4,TF_Dato,$A80))*2,0)/2)))</f>
        <v/>
      </c>
      <c r="X80">
        <f>IF(OR(X$4="",$A80&gt;TODAY()),0,IF(OR(INDEX($B80:$D80,X$5)="F",AND(X$6&gt;0,$A80&lt;X$6),AND(X$7&gt;0,$A80&gt;X$7)),0,MAX(0,ROUND((INDEX($E80:$G80,X$5)-SUMIFS(TF_Timer,TF_Tekniker,X$4,TF_Dato,$A80))*2,0)/2)))</f>
        <v/>
      </c>
      <c r="Y80">
        <f>IF(OR(Y$4="",$A80&gt;TODAY()),0,IF(OR(INDEX($B80:$D80,Y$5)="F",AND(Y$6&gt;0,$A80&lt;Y$6),AND(Y$7&gt;0,$A80&gt;Y$7)),0,MAX(0,ROUND((INDEX($E80:$G80,Y$5)-SUMIFS(TF_Timer,TF_Tekniker,Y$4,TF_Dato,$A80))*2,0)/2)))</f>
        <v/>
      </c>
      <c r="Z80">
        <f>IF(OR(Z$4="",$A80&gt;TODAY()),0,IF(OR(INDEX($B80:$D80,Z$5)="F",AND(Z$6&gt;0,$A80&lt;Z$6),AND(Z$7&gt;0,$A80&gt;Z$7)),0,MAX(0,ROUND((INDEX($E80:$G80,Z$5)-SUMIFS(TF_Timer,TF_Tekniker,Z$4,TF_Dato,$A80))*2,0)/2)))</f>
        <v/>
      </c>
      <c r="AA80">
        <f>IF(OR(AA$4="",$A80&gt;TODAY()),0,IF(OR(INDEX($B80:$D80,AA$5)="F",AND(AA$6&gt;0,$A80&lt;AA$6),AND(AA$7&gt;0,$A80&gt;AA$7)),0,MAX(0,ROUND((INDEX($E80:$G80,AA$5)-SUMIFS(TF_Timer,TF_Tekniker,AA$4,TF_Dato,$A80))*2,0)/2)))</f>
        <v/>
      </c>
      <c r="AB80">
        <f>IF(OR(AB$4="",$A80&gt;TODAY()),0,IF(OR(INDEX($B80:$D80,AB$5)="F",AND(AB$6&gt;0,$A80&lt;AB$6),AND(AB$7&gt;0,$A80&gt;AB$7)),0,MAX(0,ROUND((INDEX($E80:$G80,AB$5)-SUMIFS(TF_Timer,TF_Tekniker,AB$4,TF_Dato,$A80))*2,0)/2)))</f>
        <v/>
      </c>
      <c r="AC80">
        <f>IF(OR(AC$4="",$A80&gt;TODAY()),0,IF(OR(INDEX($B80:$D80,AC$5)="F",AND(AC$6&gt;0,$A80&lt;AC$6),AND(AC$7&gt;0,$A80&gt;AC$7)),0,MAX(0,ROUND((INDEX($E80:$G80,AC$5)-SUMIFS(TF_Timer,TF_Tekniker,AC$4,TF_Dato,$A80))*2,0)/2)))</f>
        <v/>
      </c>
      <c r="AD80">
        <f>IF(OR(AD$4="",$A80&gt;TODAY()),0,IF(OR(INDEX($B80:$D80,AD$5)="F",AND(AD$6&gt;0,$A80&lt;AD$6),AND(AD$7&gt;0,$A80&gt;AD$7)),0,MAX(0,ROUND((INDEX($E80:$G80,AD$5)-SUMIFS(TF_Timer,TF_Tekniker,AD$4,TF_Dato,$A80))*2,0)/2)))</f>
        <v/>
      </c>
      <c r="AE80">
        <f>IF(OR(AE$4="",$A80&gt;TODAY()),0,IF(OR(INDEX($B80:$D80,AE$5)="F",AND(AE$6&gt;0,$A80&lt;AE$6),AND(AE$7&gt;0,$A80&gt;AE$7)),0,MAX(0,ROUND((INDEX($E80:$G80,AE$5)-SUMIFS(TF_Timer,TF_Tekniker,AE$4,TF_Dato,$A80))*2,0)/2)))</f>
        <v/>
      </c>
      <c r="AF80">
        <f>IF(OR(AF$4="",$A80&gt;TODAY()),0,IF(OR(INDEX($B80:$D80,AF$5)="F",AND(AF$6&gt;0,$A80&lt;AF$6),AND(AF$7&gt;0,$A80&gt;AF$7)),0,MAX(0,ROUND((INDEX($E80:$G80,AF$5)-SUMIFS(TF_Timer,TF_Tekniker,AF$4,TF_Dato,$A80))*2,0)/2)))</f>
        <v/>
      </c>
      <c r="AG80">
        <f>IF(OR(AG$4="",$A80&gt;TODAY()),0,IF(OR(INDEX($B80:$D80,AG$5)="F",AND(AG$6&gt;0,$A80&lt;AG$6),AND(AG$7&gt;0,$A80&gt;AG$7)),0,MAX(0,ROUND((INDEX($E80:$G80,AG$5)-SUMIFS(TF_Timer,TF_Tekniker,AG$4,TF_Dato,$A80))*2,0)/2)))</f>
        <v/>
      </c>
      <c r="AH80">
        <f>IF(OR(AH$4="",$A80&gt;TODAY()),0,IF(OR(INDEX($B80:$D80,AH$5)="F",AND(AH$6&gt;0,$A80&lt;AH$6),AND(AH$7&gt;0,$A80&gt;AH$7)),0,MAX(0,ROUND((INDEX($E80:$G80,AH$5)-SUMIFS(TF_Timer,TF_Tekniker,AH$4,TF_Dato,$A80))*2,0)/2)))</f>
        <v/>
      </c>
      <c r="AI80">
        <f>IF(OR(AI$4="",$A80&gt;TODAY()),0,IF(OR(INDEX($B80:$D80,AI$5)="F",AND(AI$6&gt;0,$A80&lt;AI$6),AND(AI$7&gt;0,$A80&gt;AI$7)),0,MAX(0,ROUND((INDEX($E80:$G80,AI$5)-SUMIFS(TF_Timer,TF_Tekniker,AI$4,TF_Dato,$A80))*2,0)/2)))</f>
        <v/>
      </c>
      <c r="AJ80">
        <f>IF(OR(AJ$4="",$A80&gt;TODAY()),0,IF(OR(INDEX($B80:$D80,AJ$5)="F",AND(AJ$6&gt;0,$A80&lt;AJ$6),AND(AJ$7&gt;0,$A80&gt;AJ$7)),0,MAX(0,ROUND((INDEX($E80:$G80,AJ$5)-SUMIFS(TF_Timer,TF_Tekniker,AJ$4,TF_Dato,$A80))*2,0)/2)))</f>
        <v/>
      </c>
      <c r="AK80">
        <f>IF(OR(AK$4="",$A80&gt;TODAY()),0,IF(OR(INDEX($B80:$D80,AK$5)="F",AND(AK$6&gt;0,$A80&lt;AK$6),AND(AK$7&gt;0,$A80&gt;AK$7)),0,MAX(0,ROUND((INDEX($E80:$G80,AK$5)-SUMIFS(TF_Timer,TF_Tekniker,AK$4,TF_Dato,$A80))*2,0)/2)))</f>
        <v/>
      </c>
      <c r="AL80">
        <f>IF(OR(AL$4="",$A80&gt;TODAY()),0,IF(OR(INDEX($B80:$D80,AL$5)="F",AND(AL$6&gt;0,$A80&lt;AL$6),AND(AL$7&gt;0,$A80&gt;AL$7)),0,MAX(0,ROUND((INDEX($E80:$G80,AL$5)-SUMIFS(TF_Timer,TF_Tekniker,AL$4,TF_Dato,$A80))*2,0)/2)))</f>
        <v/>
      </c>
      <c r="AM80">
        <f>IF(OR(AM$4="",$A80&gt;TODAY()),0,IF(OR(INDEX($B80:$D80,AM$5)="F",AND(AM$6&gt;0,$A80&lt;AM$6),AND(AM$7&gt;0,$A80&gt;AM$7)),0,MAX(0,ROUND((INDEX($E80:$G80,AM$5)-SUMIFS(TF_Timer,TF_Tekniker,AM$4,TF_Dato,$A80))*2,0)/2)))</f>
        <v/>
      </c>
      <c r="AN80">
        <f>IF(OR(AN$4="",$A80&gt;TODAY()),0,IF(OR(INDEX($B80:$D80,AN$5)="F",AND(AN$6&gt;0,$A80&lt;AN$6),AND(AN$7&gt;0,$A80&gt;AN$7)),0,MAX(0,ROUND((INDEX($E80:$G80,AN$5)-SUMIFS(TF_Timer,TF_Tekniker,AN$4,TF_Dato,$A80))*2,0)/2)))</f>
        <v/>
      </c>
      <c r="AO80">
        <f>IF(OR(AO$4="",$A80&gt;TODAY()),0,IF(OR(INDEX($B80:$D80,AO$5)="F",AND(AO$6&gt;0,$A80&lt;AO$6),AND(AO$7&gt;0,$A80&gt;AO$7)),0,MAX(0,ROUND((INDEX($E80:$G80,AO$5)-SUMIFS(TF_Timer,TF_Tekniker,AO$4,TF_Dato,$A80))*2,0)/2)))</f>
        <v/>
      </c>
      <c r="AP80">
        <f>IF(OR(AP$4="",$A80&gt;TODAY()),0,IF(OR(INDEX($B80:$D80,AP$5)="F",AND(AP$6&gt;0,$A80&lt;AP$6),AND(AP$7&gt;0,$A80&gt;AP$7)),0,MAX(0,ROUND((INDEX($E80:$G80,AP$5)-SUMIFS(TF_Timer,TF_Tekniker,AP$4,TF_Dato,$A80))*2,0)/2)))</f>
        <v/>
      </c>
      <c r="AQ80">
        <f>IF(OR(AQ$4="",$A80&gt;TODAY()),0,IF(OR(INDEX($B80:$D80,AQ$5)="F",AND(AQ$6&gt;0,$A80&lt;AQ$6),AND(AQ$7&gt;0,$A80&gt;AQ$7)),0,MAX(0,ROUND((INDEX($E80:$G80,AQ$5)-SUMIFS(TF_Timer,TF_Tekniker,AQ$4,TF_Dato,$A80))*2,0)/2)))</f>
        <v/>
      </c>
      <c r="AR80">
        <f>IF(OR(AR$4="",$A80&gt;TODAY()),0,IF(OR(INDEX($B80:$D80,AR$5)="F",AND(AR$6&gt;0,$A80&lt;AR$6),AND(AR$7&gt;0,$A80&gt;AR$7)),0,MAX(0,ROUND((INDEX($E80:$G80,AR$5)-SUMIFS(TF_Timer,TF_Tekniker,AR$4,TF_Dato,$A80))*2,0)/2)))</f>
        <v/>
      </c>
      <c r="AS80">
        <f>IF(OR(AS$4="",$A80&gt;TODAY()),0,IF(OR(INDEX($B80:$D80,AS$5)="F",AND(AS$6&gt;0,$A80&lt;AS$6),AND(AS$7&gt;0,$A80&gt;AS$7)),0,MAX(0,ROUND((INDEX($E80:$G80,AS$5)-SUMIFS(TF_Timer,TF_Tekniker,AS$4,TF_Dato,$A80))*2,0)/2)))</f>
        <v/>
      </c>
      <c r="AT80">
        <f>IF(OR(AT$4="",$A80&gt;TODAY()),0,IF(OR(INDEX($B80:$D80,AT$5)="F",AND(AT$6&gt;0,$A80&lt;AT$6),AND(AT$7&gt;0,$A80&gt;AT$7)),0,MAX(0,ROUND((INDEX($E80:$G80,AT$5)-SUMIFS(TF_Timer,TF_Tekniker,AT$4,TF_Dato,$A80))*2,0)/2)))</f>
        <v/>
      </c>
      <c r="AU80">
        <f>IF(OR(AU$4="",$A80&gt;TODAY()),0,IF(OR(INDEX($B80:$D80,AU$5)="F",AND(AU$6&gt;0,$A80&lt;AU$6),AND(AU$7&gt;0,$A80&gt;AU$7)),0,MAX(0,ROUND((INDEX($E80:$G80,AU$5)-SUMIFS(TF_Timer,TF_Tekniker,AU$4,TF_Dato,$A80))*2,0)/2)))</f>
        <v/>
      </c>
      <c r="AV80">
        <f>IF(OR(AV$4="",$A80&gt;TODAY()),0,IF(OR(INDEX($B80:$D80,AV$5)="F",AND(AV$6&gt;0,$A80&lt;AV$6),AND(AV$7&gt;0,$A80&gt;AV$7)),0,MAX(0,ROUND((INDEX($E80:$G80,AV$5)-SUMIFS(TF_Timer,TF_Tekniker,AV$4,TF_Dato,$A80))*2,0)/2)))</f>
        <v/>
      </c>
      <c r="AW80">
        <f>IF(OR(AW$4="",$A80&gt;TODAY()),0,IF(OR(INDEX($B80:$D80,AW$5)="F",AND(AW$6&gt;0,$A80&lt;AW$6),AND(AW$7&gt;0,$A80&gt;AW$7)),0,MAX(0,ROUND((INDEX($E80:$G80,AW$5)-SUMIFS(TF_Timer,TF_Tekniker,AW$4,TF_Dato,$A80))*2,0)/2)))</f>
        <v/>
      </c>
      <c r="AX80">
        <f>IF(OR(AX$4="",$A80&gt;TODAY()),0,IF(OR(INDEX($B80:$D80,AX$5)="F",AND(AX$6&gt;0,$A80&lt;AX$6),AND(AX$7&gt;0,$A80&gt;AX$7)),0,MAX(0,ROUND((INDEX($E80:$G80,AX$5)-SUMIFS(TF_Timer,TF_Tekniker,AX$4,TF_Dato,$A80))*2,0)/2)))</f>
        <v/>
      </c>
      <c r="AY80">
        <f>IF(OR(AY$4="",$A80&gt;TODAY()),0,IF(OR(INDEX($B80:$D80,AY$5)="F",AND(AY$6&gt;0,$A80&lt;AY$6),AND(AY$7&gt;0,$A80&gt;AY$7)),0,MAX(0,ROUND((INDEX($E80:$G80,AY$5)-SUMIFS(TF_Timer,TF_Tekniker,AY$4,TF_Dato,$A80))*2,0)/2)))</f>
        <v/>
      </c>
      <c r="AZ80">
        <f>IF(OR(AZ$4="",$A80&gt;TODAY()),0,IF(OR(INDEX($B80:$D80,AZ$5)="F",AND(AZ$6&gt;0,$A80&lt;AZ$6),AND(AZ$7&gt;0,$A80&gt;AZ$7)),0,MAX(0,ROUND((INDEX($E80:$G80,AZ$5)-SUMIFS(TF_Timer,TF_Tekniker,AZ$4,TF_Dato,$A80))*2,0)/2)))</f>
        <v/>
      </c>
      <c r="BA80">
        <f>IF(OR(BA$4="",$A80&gt;TODAY()),0,IF(OR(INDEX($B80:$D80,BA$5)="F",AND(BA$6&gt;0,$A80&lt;BA$6),AND(BA$7&gt;0,$A80&gt;BA$7)),0,MAX(0,ROUND((INDEX($E80:$G80,BA$5)-SUMIFS(TF_Timer,TF_Tekniker,BA$4,TF_Dato,$A80))*2,0)/2)))</f>
        <v/>
      </c>
      <c r="BB80">
        <f>IF(OR(BB$4="",$A80&gt;TODAY()),0,IF(OR(INDEX($B80:$D80,BB$5)="F",AND(BB$6&gt;0,$A80&lt;BB$6),AND(BB$7&gt;0,$A80&gt;BB$7)),0,MAX(0,ROUND((INDEX($E80:$G80,BB$5)-SUMIFS(TF_Timer,TF_Tekniker,BB$4,TF_Dato,$A80))*2,0)/2)))</f>
        <v/>
      </c>
      <c r="BC80">
        <f>IF(OR(BC$4="",$A80&gt;TODAY()),0,IF(OR(INDEX($B80:$D80,BC$5)="F",AND(BC$6&gt;0,$A80&lt;BC$6),AND(BC$7&gt;0,$A80&gt;BC$7)),0,MAX(0,ROUND((INDEX($E80:$G80,BC$5)-SUMIFS(TF_Timer,TF_Tekniker,BC$4,TF_Dato,$A80))*2,0)/2)))</f>
        <v/>
      </c>
      <c r="BD80">
        <f>IF(OR(BD$4="",$A80&gt;TODAY()),0,IF(OR(INDEX($B80:$D80,BD$5)="F",AND(BD$6&gt;0,$A80&lt;BD$6),AND(BD$7&gt;0,$A80&gt;BD$7)),0,MAX(0,ROUND((INDEX($E80:$G80,BD$5)-SUMIFS(TF_Timer,TF_Tekniker,BD$4,TF_Dato,$A80))*2,0)/2)))</f>
        <v/>
      </c>
      <c r="BE80">
        <f>IF(OR(BE$4="",$A80&gt;TODAY()),0,IF(OR(INDEX($B80:$D80,BE$5)="F",AND(BE$6&gt;0,$A80&lt;BE$6),AND(BE$7&gt;0,$A80&gt;BE$7)),0,MAX(0,ROUND((INDEX($E80:$G80,BE$5)-SUMIFS(TF_Timer,TF_Tekniker,BE$4,TF_Dato,$A80))*2,0)/2)))</f>
        <v/>
      </c>
      <c r="BF80">
        <f>IF(OR(BF$4="",$A80&gt;TODAY()),0,IF(OR(INDEX($B80:$D80,BF$5)="F",AND(BF$6&gt;0,$A80&lt;BF$6),AND(BF$7&gt;0,$A80&gt;BF$7)),0,MAX(0,ROUND((INDEX($E80:$G80,BF$5)-SUMIFS(TF_Timer,TF_Tekniker,BF$4,TF_Dato,$A80))*2,0)/2)))</f>
        <v/>
      </c>
      <c r="BG80">
        <f>IF(OR(BG$4="",$A80&gt;TODAY()),0,IF(OR(INDEX($B80:$D80,BG$5)="F",AND(BG$6&gt;0,$A80&lt;BG$6),AND(BG$7&gt;0,$A80&gt;BG$7)),0,MAX(0,ROUND((INDEX($E80:$G80,BG$5)-SUMIFS(TF_Timer,TF_Tekniker,BG$4,TF_Dato,$A80))*2,0)/2)))</f>
        <v/>
      </c>
      <c r="BH80">
        <f>IF(OR(BH$4="",$A80&gt;TODAY()),0,IF(OR(INDEX($B80:$D80,BH$5)="F",AND(BH$6&gt;0,$A80&lt;BH$6),AND(BH$7&gt;0,$A80&gt;BH$7)),0,MAX(0,ROUND((INDEX($E80:$G80,BH$5)-SUMIFS(TF_Timer,TF_Tekniker,BH$4,TF_Dato,$A80))*2,0)/2)))</f>
        <v/>
      </c>
      <c r="BI80">
        <f>IF(OR(BI$4="",$A80&gt;TODAY()),0,IF(OR(INDEX($B80:$D80,BI$5)="F",AND(BI$6&gt;0,$A80&lt;BI$6),AND(BI$7&gt;0,$A80&gt;BI$7)),0,MAX(0,ROUND((INDEX($E80:$G80,BI$5)-SUMIFS(TF_Timer,TF_Tekniker,BI$4,TF_Dato,$A80))*2,0)/2)))</f>
        <v/>
      </c>
    </row>
    <row r="81">
      <c r="A81" s="64">
        <f>A80+1</f>
        <v/>
      </c>
      <c r="B81">
        <f>IF(MOD($A81-INDEX(SkiftStart,1),Syklus)&lt;DagK,"K",IF(MOD($A81-INDEX(SkiftStart,1),Syklus)&lt;DagK+DagH,"H",IF(MOD($A81-INDEX(SkiftStart,1),Syklus)&lt;DagK+DagH+DagD,"D","F")))</f>
        <v/>
      </c>
      <c r="C81">
        <f>IF(MOD($A81-INDEX(SkiftStart,2),Syklus)&lt;DagK,"K",IF(MOD($A81-INDEX(SkiftStart,2),Syklus)&lt;DagK+DagH,"H",IF(MOD($A81-INDEX(SkiftStart,2),Syklus)&lt;DagK+DagH+DagD,"D","F")))</f>
        <v/>
      </c>
      <c r="D81">
        <f>IF(MOD($A81-INDEX(SkiftStart,3),Syklus)&lt;DagK,"K",IF(MOD($A81-INDEX(SkiftStart,3),Syklus)&lt;DagK+DagH,"H",IF(MOD($A81-INDEX(SkiftStart,3),Syklus)&lt;DagK+DagH+DagD,"D","F")))</f>
        <v/>
      </c>
      <c r="E81">
        <f>IF(B81="F",0,IF(WEEKDAY($A81,2)=5,INDEX(TimerFr,MATCH(B81,FaseKode,0)),INDEX(TimerMT,MATCH(B81,FaseKode,0))))</f>
        <v/>
      </c>
      <c r="F81">
        <f>IF(C81="F",0,IF(WEEKDAY($A81,2)=5,INDEX(TimerFr,MATCH(C81,FaseKode,0)),INDEX(TimerMT,MATCH(C81,FaseKode,0))))</f>
        <v/>
      </c>
      <c r="G81">
        <f>IF(D81="F",0,IF(WEEKDAY($A81,2)=5,INDEX(TimerFr,MATCH(D81,FaseKode,0)),INDEX(TimerMT,MATCH(D81,FaseKode,0))))</f>
        <v/>
      </c>
      <c r="H81">
        <f>IF(OR(H$4="",$A81&gt;TODAY()),0,IF(OR(INDEX($B81:$D81,H$5)="F",AND(H$6&gt;0,$A81&lt;H$6),AND(H$7&gt;0,$A81&gt;H$7)),0,MAX(0,ROUND((INDEX($E81:$G81,H$5)-SUMIFS(TF_Timer,TF_Tekniker,H$4,TF_Dato,$A81))*2,0)/2)))</f>
        <v/>
      </c>
      <c r="I81">
        <f>IF(OR(I$4="",$A81&gt;TODAY()),0,IF(OR(INDEX($B81:$D81,I$5)="F",AND(I$6&gt;0,$A81&lt;I$6),AND(I$7&gt;0,$A81&gt;I$7)),0,MAX(0,ROUND((INDEX($E81:$G81,I$5)-SUMIFS(TF_Timer,TF_Tekniker,I$4,TF_Dato,$A81))*2,0)/2)))</f>
        <v/>
      </c>
      <c r="J81">
        <f>IF(OR(J$4="",$A81&gt;TODAY()),0,IF(OR(INDEX($B81:$D81,J$5)="F",AND(J$6&gt;0,$A81&lt;J$6),AND(J$7&gt;0,$A81&gt;J$7)),0,MAX(0,ROUND((INDEX($E81:$G81,J$5)-SUMIFS(TF_Timer,TF_Tekniker,J$4,TF_Dato,$A81))*2,0)/2)))</f>
        <v/>
      </c>
      <c r="K81">
        <f>IF(OR(K$4="",$A81&gt;TODAY()),0,IF(OR(INDEX($B81:$D81,K$5)="F",AND(K$6&gt;0,$A81&lt;K$6),AND(K$7&gt;0,$A81&gt;K$7)),0,MAX(0,ROUND((INDEX($E81:$G81,K$5)-SUMIFS(TF_Timer,TF_Tekniker,K$4,TF_Dato,$A81))*2,0)/2)))</f>
        <v/>
      </c>
      <c r="L81">
        <f>IF(OR(L$4="",$A81&gt;TODAY()),0,IF(OR(INDEX($B81:$D81,L$5)="F",AND(L$6&gt;0,$A81&lt;L$6),AND(L$7&gt;0,$A81&gt;L$7)),0,MAX(0,ROUND((INDEX($E81:$G81,L$5)-SUMIFS(TF_Timer,TF_Tekniker,L$4,TF_Dato,$A81))*2,0)/2)))</f>
        <v/>
      </c>
      <c r="M81">
        <f>IF(OR(M$4="",$A81&gt;TODAY()),0,IF(OR(INDEX($B81:$D81,M$5)="F",AND(M$6&gt;0,$A81&lt;M$6),AND(M$7&gt;0,$A81&gt;M$7)),0,MAX(0,ROUND((INDEX($E81:$G81,M$5)-SUMIFS(TF_Timer,TF_Tekniker,M$4,TF_Dato,$A81))*2,0)/2)))</f>
        <v/>
      </c>
      <c r="N81">
        <f>IF(OR(N$4="",$A81&gt;TODAY()),0,IF(OR(INDEX($B81:$D81,N$5)="F",AND(N$6&gt;0,$A81&lt;N$6),AND(N$7&gt;0,$A81&gt;N$7)),0,MAX(0,ROUND((INDEX($E81:$G81,N$5)-SUMIFS(TF_Timer,TF_Tekniker,N$4,TF_Dato,$A81))*2,0)/2)))</f>
        <v/>
      </c>
      <c r="O81">
        <f>IF(OR(O$4="",$A81&gt;TODAY()),0,IF(OR(INDEX($B81:$D81,O$5)="F",AND(O$6&gt;0,$A81&lt;O$6),AND(O$7&gt;0,$A81&gt;O$7)),0,MAX(0,ROUND((INDEX($E81:$G81,O$5)-SUMIFS(TF_Timer,TF_Tekniker,O$4,TF_Dato,$A81))*2,0)/2)))</f>
        <v/>
      </c>
      <c r="P81">
        <f>IF(OR(P$4="",$A81&gt;TODAY()),0,IF(OR(INDEX($B81:$D81,P$5)="F",AND(P$6&gt;0,$A81&lt;P$6),AND(P$7&gt;0,$A81&gt;P$7)),0,MAX(0,ROUND((INDEX($E81:$G81,P$5)-SUMIFS(TF_Timer,TF_Tekniker,P$4,TF_Dato,$A81))*2,0)/2)))</f>
        <v/>
      </c>
      <c r="Q81">
        <f>IF(OR(Q$4="",$A81&gt;TODAY()),0,IF(OR(INDEX($B81:$D81,Q$5)="F",AND(Q$6&gt;0,$A81&lt;Q$6),AND(Q$7&gt;0,$A81&gt;Q$7)),0,MAX(0,ROUND((INDEX($E81:$G81,Q$5)-SUMIFS(TF_Timer,TF_Tekniker,Q$4,TF_Dato,$A81))*2,0)/2)))</f>
        <v/>
      </c>
      <c r="R81">
        <f>IF(OR(R$4="",$A81&gt;TODAY()),0,IF(OR(INDEX($B81:$D81,R$5)="F",AND(R$6&gt;0,$A81&lt;R$6),AND(R$7&gt;0,$A81&gt;R$7)),0,MAX(0,ROUND((INDEX($E81:$G81,R$5)-SUMIFS(TF_Timer,TF_Tekniker,R$4,TF_Dato,$A81))*2,0)/2)))</f>
        <v/>
      </c>
      <c r="S81">
        <f>IF(OR(S$4="",$A81&gt;TODAY()),0,IF(OR(INDEX($B81:$D81,S$5)="F",AND(S$6&gt;0,$A81&lt;S$6),AND(S$7&gt;0,$A81&gt;S$7)),0,MAX(0,ROUND((INDEX($E81:$G81,S$5)-SUMIFS(TF_Timer,TF_Tekniker,S$4,TF_Dato,$A81))*2,0)/2)))</f>
        <v/>
      </c>
      <c r="T81">
        <f>IF(OR(T$4="",$A81&gt;TODAY()),0,IF(OR(INDEX($B81:$D81,T$5)="F",AND(T$6&gt;0,$A81&lt;T$6),AND(T$7&gt;0,$A81&gt;T$7)),0,MAX(0,ROUND((INDEX($E81:$G81,T$5)-SUMIFS(TF_Timer,TF_Tekniker,T$4,TF_Dato,$A81))*2,0)/2)))</f>
        <v/>
      </c>
      <c r="U81">
        <f>IF(OR(U$4="",$A81&gt;TODAY()),0,IF(OR(INDEX($B81:$D81,U$5)="F",AND(U$6&gt;0,$A81&lt;U$6),AND(U$7&gt;0,$A81&gt;U$7)),0,MAX(0,ROUND((INDEX($E81:$G81,U$5)-SUMIFS(TF_Timer,TF_Tekniker,U$4,TF_Dato,$A81))*2,0)/2)))</f>
        <v/>
      </c>
      <c r="V81">
        <f>IF(OR(V$4="",$A81&gt;TODAY()),0,IF(OR(INDEX($B81:$D81,V$5)="F",AND(V$6&gt;0,$A81&lt;V$6),AND(V$7&gt;0,$A81&gt;V$7)),0,MAX(0,ROUND((INDEX($E81:$G81,V$5)-SUMIFS(TF_Timer,TF_Tekniker,V$4,TF_Dato,$A81))*2,0)/2)))</f>
        <v/>
      </c>
      <c r="W81">
        <f>IF(OR(W$4="",$A81&gt;TODAY()),0,IF(OR(INDEX($B81:$D81,W$5)="F",AND(W$6&gt;0,$A81&lt;W$6),AND(W$7&gt;0,$A81&gt;W$7)),0,MAX(0,ROUND((INDEX($E81:$G81,W$5)-SUMIFS(TF_Timer,TF_Tekniker,W$4,TF_Dato,$A81))*2,0)/2)))</f>
        <v/>
      </c>
      <c r="X81">
        <f>IF(OR(X$4="",$A81&gt;TODAY()),0,IF(OR(INDEX($B81:$D81,X$5)="F",AND(X$6&gt;0,$A81&lt;X$6),AND(X$7&gt;0,$A81&gt;X$7)),0,MAX(0,ROUND((INDEX($E81:$G81,X$5)-SUMIFS(TF_Timer,TF_Tekniker,X$4,TF_Dato,$A81))*2,0)/2)))</f>
        <v/>
      </c>
      <c r="Y81">
        <f>IF(OR(Y$4="",$A81&gt;TODAY()),0,IF(OR(INDEX($B81:$D81,Y$5)="F",AND(Y$6&gt;0,$A81&lt;Y$6),AND(Y$7&gt;0,$A81&gt;Y$7)),0,MAX(0,ROUND((INDEX($E81:$G81,Y$5)-SUMIFS(TF_Timer,TF_Tekniker,Y$4,TF_Dato,$A81))*2,0)/2)))</f>
        <v/>
      </c>
      <c r="Z81">
        <f>IF(OR(Z$4="",$A81&gt;TODAY()),0,IF(OR(INDEX($B81:$D81,Z$5)="F",AND(Z$6&gt;0,$A81&lt;Z$6),AND(Z$7&gt;0,$A81&gt;Z$7)),0,MAX(0,ROUND((INDEX($E81:$G81,Z$5)-SUMIFS(TF_Timer,TF_Tekniker,Z$4,TF_Dato,$A81))*2,0)/2)))</f>
        <v/>
      </c>
      <c r="AA81">
        <f>IF(OR(AA$4="",$A81&gt;TODAY()),0,IF(OR(INDEX($B81:$D81,AA$5)="F",AND(AA$6&gt;0,$A81&lt;AA$6),AND(AA$7&gt;0,$A81&gt;AA$7)),0,MAX(0,ROUND((INDEX($E81:$G81,AA$5)-SUMIFS(TF_Timer,TF_Tekniker,AA$4,TF_Dato,$A81))*2,0)/2)))</f>
        <v/>
      </c>
      <c r="AB81">
        <f>IF(OR(AB$4="",$A81&gt;TODAY()),0,IF(OR(INDEX($B81:$D81,AB$5)="F",AND(AB$6&gt;0,$A81&lt;AB$6),AND(AB$7&gt;0,$A81&gt;AB$7)),0,MAX(0,ROUND((INDEX($E81:$G81,AB$5)-SUMIFS(TF_Timer,TF_Tekniker,AB$4,TF_Dato,$A81))*2,0)/2)))</f>
        <v/>
      </c>
      <c r="AC81">
        <f>IF(OR(AC$4="",$A81&gt;TODAY()),0,IF(OR(INDEX($B81:$D81,AC$5)="F",AND(AC$6&gt;0,$A81&lt;AC$6),AND(AC$7&gt;0,$A81&gt;AC$7)),0,MAX(0,ROUND((INDEX($E81:$G81,AC$5)-SUMIFS(TF_Timer,TF_Tekniker,AC$4,TF_Dato,$A81))*2,0)/2)))</f>
        <v/>
      </c>
      <c r="AD81">
        <f>IF(OR(AD$4="",$A81&gt;TODAY()),0,IF(OR(INDEX($B81:$D81,AD$5)="F",AND(AD$6&gt;0,$A81&lt;AD$6),AND(AD$7&gt;0,$A81&gt;AD$7)),0,MAX(0,ROUND((INDEX($E81:$G81,AD$5)-SUMIFS(TF_Timer,TF_Tekniker,AD$4,TF_Dato,$A81))*2,0)/2)))</f>
        <v/>
      </c>
      <c r="AE81">
        <f>IF(OR(AE$4="",$A81&gt;TODAY()),0,IF(OR(INDEX($B81:$D81,AE$5)="F",AND(AE$6&gt;0,$A81&lt;AE$6),AND(AE$7&gt;0,$A81&gt;AE$7)),0,MAX(0,ROUND((INDEX($E81:$G81,AE$5)-SUMIFS(TF_Timer,TF_Tekniker,AE$4,TF_Dato,$A81))*2,0)/2)))</f>
        <v/>
      </c>
      <c r="AF81">
        <f>IF(OR(AF$4="",$A81&gt;TODAY()),0,IF(OR(INDEX($B81:$D81,AF$5)="F",AND(AF$6&gt;0,$A81&lt;AF$6),AND(AF$7&gt;0,$A81&gt;AF$7)),0,MAX(0,ROUND((INDEX($E81:$G81,AF$5)-SUMIFS(TF_Timer,TF_Tekniker,AF$4,TF_Dato,$A81))*2,0)/2)))</f>
        <v/>
      </c>
      <c r="AG81">
        <f>IF(OR(AG$4="",$A81&gt;TODAY()),0,IF(OR(INDEX($B81:$D81,AG$5)="F",AND(AG$6&gt;0,$A81&lt;AG$6),AND(AG$7&gt;0,$A81&gt;AG$7)),0,MAX(0,ROUND((INDEX($E81:$G81,AG$5)-SUMIFS(TF_Timer,TF_Tekniker,AG$4,TF_Dato,$A81))*2,0)/2)))</f>
        <v/>
      </c>
      <c r="AH81">
        <f>IF(OR(AH$4="",$A81&gt;TODAY()),0,IF(OR(INDEX($B81:$D81,AH$5)="F",AND(AH$6&gt;0,$A81&lt;AH$6),AND(AH$7&gt;0,$A81&gt;AH$7)),0,MAX(0,ROUND((INDEX($E81:$G81,AH$5)-SUMIFS(TF_Timer,TF_Tekniker,AH$4,TF_Dato,$A81))*2,0)/2)))</f>
        <v/>
      </c>
      <c r="AI81">
        <f>IF(OR(AI$4="",$A81&gt;TODAY()),0,IF(OR(INDEX($B81:$D81,AI$5)="F",AND(AI$6&gt;0,$A81&lt;AI$6),AND(AI$7&gt;0,$A81&gt;AI$7)),0,MAX(0,ROUND((INDEX($E81:$G81,AI$5)-SUMIFS(TF_Timer,TF_Tekniker,AI$4,TF_Dato,$A81))*2,0)/2)))</f>
        <v/>
      </c>
      <c r="AJ81">
        <f>IF(OR(AJ$4="",$A81&gt;TODAY()),0,IF(OR(INDEX($B81:$D81,AJ$5)="F",AND(AJ$6&gt;0,$A81&lt;AJ$6),AND(AJ$7&gt;0,$A81&gt;AJ$7)),0,MAX(0,ROUND((INDEX($E81:$G81,AJ$5)-SUMIFS(TF_Timer,TF_Tekniker,AJ$4,TF_Dato,$A81))*2,0)/2)))</f>
        <v/>
      </c>
      <c r="AK81">
        <f>IF(OR(AK$4="",$A81&gt;TODAY()),0,IF(OR(INDEX($B81:$D81,AK$5)="F",AND(AK$6&gt;0,$A81&lt;AK$6),AND(AK$7&gt;0,$A81&gt;AK$7)),0,MAX(0,ROUND((INDEX($E81:$G81,AK$5)-SUMIFS(TF_Timer,TF_Tekniker,AK$4,TF_Dato,$A81))*2,0)/2)))</f>
        <v/>
      </c>
      <c r="AL81">
        <f>IF(OR(AL$4="",$A81&gt;TODAY()),0,IF(OR(INDEX($B81:$D81,AL$5)="F",AND(AL$6&gt;0,$A81&lt;AL$6),AND(AL$7&gt;0,$A81&gt;AL$7)),0,MAX(0,ROUND((INDEX($E81:$G81,AL$5)-SUMIFS(TF_Timer,TF_Tekniker,AL$4,TF_Dato,$A81))*2,0)/2)))</f>
        <v/>
      </c>
      <c r="AM81">
        <f>IF(OR(AM$4="",$A81&gt;TODAY()),0,IF(OR(INDEX($B81:$D81,AM$5)="F",AND(AM$6&gt;0,$A81&lt;AM$6),AND(AM$7&gt;0,$A81&gt;AM$7)),0,MAX(0,ROUND((INDEX($E81:$G81,AM$5)-SUMIFS(TF_Timer,TF_Tekniker,AM$4,TF_Dato,$A81))*2,0)/2)))</f>
        <v/>
      </c>
      <c r="AN81">
        <f>IF(OR(AN$4="",$A81&gt;TODAY()),0,IF(OR(INDEX($B81:$D81,AN$5)="F",AND(AN$6&gt;0,$A81&lt;AN$6),AND(AN$7&gt;0,$A81&gt;AN$7)),0,MAX(0,ROUND((INDEX($E81:$G81,AN$5)-SUMIFS(TF_Timer,TF_Tekniker,AN$4,TF_Dato,$A81))*2,0)/2)))</f>
        <v/>
      </c>
      <c r="AO81">
        <f>IF(OR(AO$4="",$A81&gt;TODAY()),0,IF(OR(INDEX($B81:$D81,AO$5)="F",AND(AO$6&gt;0,$A81&lt;AO$6),AND(AO$7&gt;0,$A81&gt;AO$7)),0,MAX(0,ROUND((INDEX($E81:$G81,AO$5)-SUMIFS(TF_Timer,TF_Tekniker,AO$4,TF_Dato,$A81))*2,0)/2)))</f>
        <v/>
      </c>
      <c r="AP81">
        <f>IF(OR(AP$4="",$A81&gt;TODAY()),0,IF(OR(INDEX($B81:$D81,AP$5)="F",AND(AP$6&gt;0,$A81&lt;AP$6),AND(AP$7&gt;0,$A81&gt;AP$7)),0,MAX(0,ROUND((INDEX($E81:$G81,AP$5)-SUMIFS(TF_Timer,TF_Tekniker,AP$4,TF_Dato,$A81))*2,0)/2)))</f>
        <v/>
      </c>
      <c r="AQ81">
        <f>IF(OR(AQ$4="",$A81&gt;TODAY()),0,IF(OR(INDEX($B81:$D81,AQ$5)="F",AND(AQ$6&gt;0,$A81&lt;AQ$6),AND(AQ$7&gt;0,$A81&gt;AQ$7)),0,MAX(0,ROUND((INDEX($E81:$G81,AQ$5)-SUMIFS(TF_Timer,TF_Tekniker,AQ$4,TF_Dato,$A81))*2,0)/2)))</f>
        <v/>
      </c>
      <c r="AR81">
        <f>IF(OR(AR$4="",$A81&gt;TODAY()),0,IF(OR(INDEX($B81:$D81,AR$5)="F",AND(AR$6&gt;0,$A81&lt;AR$6),AND(AR$7&gt;0,$A81&gt;AR$7)),0,MAX(0,ROUND((INDEX($E81:$G81,AR$5)-SUMIFS(TF_Timer,TF_Tekniker,AR$4,TF_Dato,$A81))*2,0)/2)))</f>
        <v/>
      </c>
      <c r="AS81">
        <f>IF(OR(AS$4="",$A81&gt;TODAY()),0,IF(OR(INDEX($B81:$D81,AS$5)="F",AND(AS$6&gt;0,$A81&lt;AS$6),AND(AS$7&gt;0,$A81&gt;AS$7)),0,MAX(0,ROUND((INDEX($E81:$G81,AS$5)-SUMIFS(TF_Timer,TF_Tekniker,AS$4,TF_Dato,$A81))*2,0)/2)))</f>
        <v/>
      </c>
      <c r="AT81">
        <f>IF(OR(AT$4="",$A81&gt;TODAY()),0,IF(OR(INDEX($B81:$D81,AT$5)="F",AND(AT$6&gt;0,$A81&lt;AT$6),AND(AT$7&gt;0,$A81&gt;AT$7)),0,MAX(0,ROUND((INDEX($E81:$G81,AT$5)-SUMIFS(TF_Timer,TF_Tekniker,AT$4,TF_Dato,$A81))*2,0)/2)))</f>
        <v/>
      </c>
      <c r="AU81">
        <f>IF(OR(AU$4="",$A81&gt;TODAY()),0,IF(OR(INDEX($B81:$D81,AU$5)="F",AND(AU$6&gt;0,$A81&lt;AU$6),AND(AU$7&gt;0,$A81&gt;AU$7)),0,MAX(0,ROUND((INDEX($E81:$G81,AU$5)-SUMIFS(TF_Timer,TF_Tekniker,AU$4,TF_Dato,$A81))*2,0)/2)))</f>
        <v/>
      </c>
      <c r="AV81">
        <f>IF(OR(AV$4="",$A81&gt;TODAY()),0,IF(OR(INDEX($B81:$D81,AV$5)="F",AND(AV$6&gt;0,$A81&lt;AV$6),AND(AV$7&gt;0,$A81&gt;AV$7)),0,MAX(0,ROUND((INDEX($E81:$G81,AV$5)-SUMIFS(TF_Timer,TF_Tekniker,AV$4,TF_Dato,$A81))*2,0)/2)))</f>
        <v/>
      </c>
      <c r="AW81">
        <f>IF(OR(AW$4="",$A81&gt;TODAY()),0,IF(OR(INDEX($B81:$D81,AW$5)="F",AND(AW$6&gt;0,$A81&lt;AW$6),AND(AW$7&gt;0,$A81&gt;AW$7)),0,MAX(0,ROUND((INDEX($E81:$G81,AW$5)-SUMIFS(TF_Timer,TF_Tekniker,AW$4,TF_Dato,$A81))*2,0)/2)))</f>
        <v/>
      </c>
      <c r="AX81">
        <f>IF(OR(AX$4="",$A81&gt;TODAY()),0,IF(OR(INDEX($B81:$D81,AX$5)="F",AND(AX$6&gt;0,$A81&lt;AX$6),AND(AX$7&gt;0,$A81&gt;AX$7)),0,MAX(0,ROUND((INDEX($E81:$G81,AX$5)-SUMIFS(TF_Timer,TF_Tekniker,AX$4,TF_Dato,$A81))*2,0)/2)))</f>
        <v/>
      </c>
      <c r="AY81">
        <f>IF(OR(AY$4="",$A81&gt;TODAY()),0,IF(OR(INDEX($B81:$D81,AY$5)="F",AND(AY$6&gt;0,$A81&lt;AY$6),AND(AY$7&gt;0,$A81&gt;AY$7)),0,MAX(0,ROUND((INDEX($E81:$G81,AY$5)-SUMIFS(TF_Timer,TF_Tekniker,AY$4,TF_Dato,$A81))*2,0)/2)))</f>
        <v/>
      </c>
      <c r="AZ81">
        <f>IF(OR(AZ$4="",$A81&gt;TODAY()),0,IF(OR(INDEX($B81:$D81,AZ$5)="F",AND(AZ$6&gt;0,$A81&lt;AZ$6),AND(AZ$7&gt;0,$A81&gt;AZ$7)),0,MAX(0,ROUND((INDEX($E81:$G81,AZ$5)-SUMIFS(TF_Timer,TF_Tekniker,AZ$4,TF_Dato,$A81))*2,0)/2)))</f>
        <v/>
      </c>
      <c r="BA81">
        <f>IF(OR(BA$4="",$A81&gt;TODAY()),0,IF(OR(INDEX($B81:$D81,BA$5)="F",AND(BA$6&gt;0,$A81&lt;BA$6),AND(BA$7&gt;0,$A81&gt;BA$7)),0,MAX(0,ROUND((INDEX($E81:$G81,BA$5)-SUMIFS(TF_Timer,TF_Tekniker,BA$4,TF_Dato,$A81))*2,0)/2)))</f>
        <v/>
      </c>
      <c r="BB81">
        <f>IF(OR(BB$4="",$A81&gt;TODAY()),0,IF(OR(INDEX($B81:$D81,BB$5)="F",AND(BB$6&gt;0,$A81&lt;BB$6),AND(BB$7&gt;0,$A81&gt;BB$7)),0,MAX(0,ROUND((INDEX($E81:$G81,BB$5)-SUMIFS(TF_Timer,TF_Tekniker,BB$4,TF_Dato,$A81))*2,0)/2)))</f>
        <v/>
      </c>
      <c r="BC81">
        <f>IF(OR(BC$4="",$A81&gt;TODAY()),0,IF(OR(INDEX($B81:$D81,BC$5)="F",AND(BC$6&gt;0,$A81&lt;BC$6),AND(BC$7&gt;0,$A81&gt;BC$7)),0,MAX(0,ROUND((INDEX($E81:$G81,BC$5)-SUMIFS(TF_Timer,TF_Tekniker,BC$4,TF_Dato,$A81))*2,0)/2)))</f>
        <v/>
      </c>
      <c r="BD81">
        <f>IF(OR(BD$4="",$A81&gt;TODAY()),0,IF(OR(INDEX($B81:$D81,BD$5)="F",AND(BD$6&gt;0,$A81&lt;BD$6),AND(BD$7&gt;0,$A81&gt;BD$7)),0,MAX(0,ROUND((INDEX($E81:$G81,BD$5)-SUMIFS(TF_Timer,TF_Tekniker,BD$4,TF_Dato,$A81))*2,0)/2)))</f>
        <v/>
      </c>
      <c r="BE81">
        <f>IF(OR(BE$4="",$A81&gt;TODAY()),0,IF(OR(INDEX($B81:$D81,BE$5)="F",AND(BE$6&gt;0,$A81&lt;BE$6),AND(BE$7&gt;0,$A81&gt;BE$7)),0,MAX(0,ROUND((INDEX($E81:$G81,BE$5)-SUMIFS(TF_Timer,TF_Tekniker,BE$4,TF_Dato,$A81))*2,0)/2)))</f>
        <v/>
      </c>
      <c r="BF81">
        <f>IF(OR(BF$4="",$A81&gt;TODAY()),0,IF(OR(INDEX($B81:$D81,BF$5)="F",AND(BF$6&gt;0,$A81&lt;BF$6),AND(BF$7&gt;0,$A81&gt;BF$7)),0,MAX(0,ROUND((INDEX($E81:$G81,BF$5)-SUMIFS(TF_Timer,TF_Tekniker,BF$4,TF_Dato,$A81))*2,0)/2)))</f>
        <v/>
      </c>
      <c r="BG81">
        <f>IF(OR(BG$4="",$A81&gt;TODAY()),0,IF(OR(INDEX($B81:$D81,BG$5)="F",AND(BG$6&gt;0,$A81&lt;BG$6),AND(BG$7&gt;0,$A81&gt;BG$7)),0,MAX(0,ROUND((INDEX($E81:$G81,BG$5)-SUMIFS(TF_Timer,TF_Tekniker,BG$4,TF_Dato,$A81))*2,0)/2)))</f>
        <v/>
      </c>
      <c r="BH81">
        <f>IF(OR(BH$4="",$A81&gt;TODAY()),0,IF(OR(INDEX($B81:$D81,BH$5)="F",AND(BH$6&gt;0,$A81&lt;BH$6),AND(BH$7&gt;0,$A81&gt;BH$7)),0,MAX(0,ROUND((INDEX($E81:$G81,BH$5)-SUMIFS(TF_Timer,TF_Tekniker,BH$4,TF_Dato,$A81))*2,0)/2)))</f>
        <v/>
      </c>
      <c r="BI81">
        <f>IF(OR(BI$4="",$A81&gt;TODAY()),0,IF(OR(INDEX($B81:$D81,BI$5)="F",AND(BI$6&gt;0,$A81&lt;BI$6),AND(BI$7&gt;0,$A81&gt;BI$7)),0,MAX(0,ROUND((INDEX($E81:$G81,BI$5)-SUMIFS(TF_Timer,TF_Tekniker,BI$4,TF_Dato,$A81))*2,0)/2)))</f>
        <v/>
      </c>
    </row>
    <row r="82">
      <c r="A82" s="64">
        <f>A81+1</f>
        <v/>
      </c>
      <c r="B82">
        <f>IF(MOD($A82-INDEX(SkiftStart,1),Syklus)&lt;DagK,"K",IF(MOD($A82-INDEX(SkiftStart,1),Syklus)&lt;DagK+DagH,"H",IF(MOD($A82-INDEX(SkiftStart,1),Syklus)&lt;DagK+DagH+DagD,"D","F")))</f>
        <v/>
      </c>
      <c r="C82">
        <f>IF(MOD($A82-INDEX(SkiftStart,2),Syklus)&lt;DagK,"K",IF(MOD($A82-INDEX(SkiftStart,2),Syklus)&lt;DagK+DagH,"H",IF(MOD($A82-INDEX(SkiftStart,2),Syklus)&lt;DagK+DagH+DagD,"D","F")))</f>
        <v/>
      </c>
      <c r="D82">
        <f>IF(MOD($A82-INDEX(SkiftStart,3),Syklus)&lt;DagK,"K",IF(MOD($A82-INDEX(SkiftStart,3),Syklus)&lt;DagK+DagH,"H",IF(MOD($A82-INDEX(SkiftStart,3),Syklus)&lt;DagK+DagH+DagD,"D","F")))</f>
        <v/>
      </c>
      <c r="E82">
        <f>IF(B82="F",0,IF(WEEKDAY($A82,2)=5,INDEX(TimerFr,MATCH(B82,FaseKode,0)),INDEX(TimerMT,MATCH(B82,FaseKode,0))))</f>
        <v/>
      </c>
      <c r="F82">
        <f>IF(C82="F",0,IF(WEEKDAY($A82,2)=5,INDEX(TimerFr,MATCH(C82,FaseKode,0)),INDEX(TimerMT,MATCH(C82,FaseKode,0))))</f>
        <v/>
      </c>
      <c r="G82">
        <f>IF(D82="F",0,IF(WEEKDAY($A82,2)=5,INDEX(TimerFr,MATCH(D82,FaseKode,0)),INDEX(TimerMT,MATCH(D82,FaseKode,0))))</f>
        <v/>
      </c>
      <c r="H82">
        <f>IF(OR(H$4="",$A82&gt;TODAY()),0,IF(OR(INDEX($B82:$D82,H$5)="F",AND(H$6&gt;0,$A82&lt;H$6),AND(H$7&gt;0,$A82&gt;H$7)),0,MAX(0,ROUND((INDEX($E82:$G82,H$5)-SUMIFS(TF_Timer,TF_Tekniker,H$4,TF_Dato,$A82))*2,0)/2)))</f>
        <v/>
      </c>
      <c r="I82">
        <f>IF(OR(I$4="",$A82&gt;TODAY()),0,IF(OR(INDEX($B82:$D82,I$5)="F",AND(I$6&gt;0,$A82&lt;I$6),AND(I$7&gt;0,$A82&gt;I$7)),0,MAX(0,ROUND((INDEX($E82:$G82,I$5)-SUMIFS(TF_Timer,TF_Tekniker,I$4,TF_Dato,$A82))*2,0)/2)))</f>
        <v/>
      </c>
      <c r="J82">
        <f>IF(OR(J$4="",$A82&gt;TODAY()),0,IF(OR(INDEX($B82:$D82,J$5)="F",AND(J$6&gt;0,$A82&lt;J$6),AND(J$7&gt;0,$A82&gt;J$7)),0,MAX(0,ROUND((INDEX($E82:$G82,J$5)-SUMIFS(TF_Timer,TF_Tekniker,J$4,TF_Dato,$A82))*2,0)/2)))</f>
        <v/>
      </c>
      <c r="K82">
        <f>IF(OR(K$4="",$A82&gt;TODAY()),0,IF(OR(INDEX($B82:$D82,K$5)="F",AND(K$6&gt;0,$A82&lt;K$6),AND(K$7&gt;0,$A82&gt;K$7)),0,MAX(0,ROUND((INDEX($E82:$G82,K$5)-SUMIFS(TF_Timer,TF_Tekniker,K$4,TF_Dato,$A82))*2,0)/2)))</f>
        <v/>
      </c>
      <c r="L82">
        <f>IF(OR(L$4="",$A82&gt;TODAY()),0,IF(OR(INDEX($B82:$D82,L$5)="F",AND(L$6&gt;0,$A82&lt;L$6),AND(L$7&gt;0,$A82&gt;L$7)),0,MAX(0,ROUND((INDEX($E82:$G82,L$5)-SUMIFS(TF_Timer,TF_Tekniker,L$4,TF_Dato,$A82))*2,0)/2)))</f>
        <v/>
      </c>
      <c r="M82">
        <f>IF(OR(M$4="",$A82&gt;TODAY()),0,IF(OR(INDEX($B82:$D82,M$5)="F",AND(M$6&gt;0,$A82&lt;M$6),AND(M$7&gt;0,$A82&gt;M$7)),0,MAX(0,ROUND((INDEX($E82:$G82,M$5)-SUMIFS(TF_Timer,TF_Tekniker,M$4,TF_Dato,$A82))*2,0)/2)))</f>
        <v/>
      </c>
      <c r="N82">
        <f>IF(OR(N$4="",$A82&gt;TODAY()),0,IF(OR(INDEX($B82:$D82,N$5)="F",AND(N$6&gt;0,$A82&lt;N$6),AND(N$7&gt;0,$A82&gt;N$7)),0,MAX(0,ROUND((INDEX($E82:$G82,N$5)-SUMIFS(TF_Timer,TF_Tekniker,N$4,TF_Dato,$A82))*2,0)/2)))</f>
        <v/>
      </c>
      <c r="O82">
        <f>IF(OR(O$4="",$A82&gt;TODAY()),0,IF(OR(INDEX($B82:$D82,O$5)="F",AND(O$6&gt;0,$A82&lt;O$6),AND(O$7&gt;0,$A82&gt;O$7)),0,MAX(0,ROUND((INDEX($E82:$G82,O$5)-SUMIFS(TF_Timer,TF_Tekniker,O$4,TF_Dato,$A82))*2,0)/2)))</f>
        <v/>
      </c>
      <c r="P82">
        <f>IF(OR(P$4="",$A82&gt;TODAY()),0,IF(OR(INDEX($B82:$D82,P$5)="F",AND(P$6&gt;0,$A82&lt;P$6),AND(P$7&gt;0,$A82&gt;P$7)),0,MAX(0,ROUND((INDEX($E82:$G82,P$5)-SUMIFS(TF_Timer,TF_Tekniker,P$4,TF_Dato,$A82))*2,0)/2)))</f>
        <v/>
      </c>
      <c r="Q82">
        <f>IF(OR(Q$4="",$A82&gt;TODAY()),0,IF(OR(INDEX($B82:$D82,Q$5)="F",AND(Q$6&gt;0,$A82&lt;Q$6),AND(Q$7&gt;0,$A82&gt;Q$7)),0,MAX(0,ROUND((INDEX($E82:$G82,Q$5)-SUMIFS(TF_Timer,TF_Tekniker,Q$4,TF_Dato,$A82))*2,0)/2)))</f>
        <v/>
      </c>
      <c r="R82">
        <f>IF(OR(R$4="",$A82&gt;TODAY()),0,IF(OR(INDEX($B82:$D82,R$5)="F",AND(R$6&gt;0,$A82&lt;R$6),AND(R$7&gt;0,$A82&gt;R$7)),0,MAX(0,ROUND((INDEX($E82:$G82,R$5)-SUMIFS(TF_Timer,TF_Tekniker,R$4,TF_Dato,$A82))*2,0)/2)))</f>
        <v/>
      </c>
      <c r="S82">
        <f>IF(OR(S$4="",$A82&gt;TODAY()),0,IF(OR(INDEX($B82:$D82,S$5)="F",AND(S$6&gt;0,$A82&lt;S$6),AND(S$7&gt;0,$A82&gt;S$7)),0,MAX(0,ROUND((INDEX($E82:$G82,S$5)-SUMIFS(TF_Timer,TF_Tekniker,S$4,TF_Dato,$A82))*2,0)/2)))</f>
        <v/>
      </c>
      <c r="T82">
        <f>IF(OR(T$4="",$A82&gt;TODAY()),0,IF(OR(INDEX($B82:$D82,T$5)="F",AND(T$6&gt;0,$A82&lt;T$6),AND(T$7&gt;0,$A82&gt;T$7)),0,MAX(0,ROUND((INDEX($E82:$G82,T$5)-SUMIFS(TF_Timer,TF_Tekniker,T$4,TF_Dato,$A82))*2,0)/2)))</f>
        <v/>
      </c>
      <c r="U82">
        <f>IF(OR(U$4="",$A82&gt;TODAY()),0,IF(OR(INDEX($B82:$D82,U$5)="F",AND(U$6&gt;0,$A82&lt;U$6),AND(U$7&gt;0,$A82&gt;U$7)),0,MAX(0,ROUND((INDEX($E82:$G82,U$5)-SUMIFS(TF_Timer,TF_Tekniker,U$4,TF_Dato,$A82))*2,0)/2)))</f>
        <v/>
      </c>
      <c r="V82">
        <f>IF(OR(V$4="",$A82&gt;TODAY()),0,IF(OR(INDEX($B82:$D82,V$5)="F",AND(V$6&gt;0,$A82&lt;V$6),AND(V$7&gt;0,$A82&gt;V$7)),0,MAX(0,ROUND((INDEX($E82:$G82,V$5)-SUMIFS(TF_Timer,TF_Tekniker,V$4,TF_Dato,$A82))*2,0)/2)))</f>
        <v/>
      </c>
      <c r="W82">
        <f>IF(OR(W$4="",$A82&gt;TODAY()),0,IF(OR(INDEX($B82:$D82,W$5)="F",AND(W$6&gt;0,$A82&lt;W$6),AND(W$7&gt;0,$A82&gt;W$7)),0,MAX(0,ROUND((INDEX($E82:$G82,W$5)-SUMIFS(TF_Timer,TF_Tekniker,W$4,TF_Dato,$A82))*2,0)/2)))</f>
        <v/>
      </c>
      <c r="X82">
        <f>IF(OR(X$4="",$A82&gt;TODAY()),0,IF(OR(INDEX($B82:$D82,X$5)="F",AND(X$6&gt;0,$A82&lt;X$6),AND(X$7&gt;0,$A82&gt;X$7)),0,MAX(0,ROUND((INDEX($E82:$G82,X$5)-SUMIFS(TF_Timer,TF_Tekniker,X$4,TF_Dato,$A82))*2,0)/2)))</f>
        <v/>
      </c>
      <c r="Y82">
        <f>IF(OR(Y$4="",$A82&gt;TODAY()),0,IF(OR(INDEX($B82:$D82,Y$5)="F",AND(Y$6&gt;0,$A82&lt;Y$6),AND(Y$7&gt;0,$A82&gt;Y$7)),0,MAX(0,ROUND((INDEX($E82:$G82,Y$5)-SUMIFS(TF_Timer,TF_Tekniker,Y$4,TF_Dato,$A82))*2,0)/2)))</f>
        <v/>
      </c>
      <c r="Z82">
        <f>IF(OR(Z$4="",$A82&gt;TODAY()),0,IF(OR(INDEX($B82:$D82,Z$5)="F",AND(Z$6&gt;0,$A82&lt;Z$6),AND(Z$7&gt;0,$A82&gt;Z$7)),0,MAX(0,ROUND((INDEX($E82:$G82,Z$5)-SUMIFS(TF_Timer,TF_Tekniker,Z$4,TF_Dato,$A82))*2,0)/2)))</f>
        <v/>
      </c>
      <c r="AA82">
        <f>IF(OR(AA$4="",$A82&gt;TODAY()),0,IF(OR(INDEX($B82:$D82,AA$5)="F",AND(AA$6&gt;0,$A82&lt;AA$6),AND(AA$7&gt;0,$A82&gt;AA$7)),0,MAX(0,ROUND((INDEX($E82:$G82,AA$5)-SUMIFS(TF_Timer,TF_Tekniker,AA$4,TF_Dato,$A82))*2,0)/2)))</f>
        <v/>
      </c>
      <c r="AB82">
        <f>IF(OR(AB$4="",$A82&gt;TODAY()),0,IF(OR(INDEX($B82:$D82,AB$5)="F",AND(AB$6&gt;0,$A82&lt;AB$6),AND(AB$7&gt;0,$A82&gt;AB$7)),0,MAX(0,ROUND((INDEX($E82:$G82,AB$5)-SUMIFS(TF_Timer,TF_Tekniker,AB$4,TF_Dato,$A82))*2,0)/2)))</f>
        <v/>
      </c>
      <c r="AC82">
        <f>IF(OR(AC$4="",$A82&gt;TODAY()),0,IF(OR(INDEX($B82:$D82,AC$5)="F",AND(AC$6&gt;0,$A82&lt;AC$6),AND(AC$7&gt;0,$A82&gt;AC$7)),0,MAX(0,ROUND((INDEX($E82:$G82,AC$5)-SUMIFS(TF_Timer,TF_Tekniker,AC$4,TF_Dato,$A82))*2,0)/2)))</f>
        <v/>
      </c>
      <c r="AD82">
        <f>IF(OR(AD$4="",$A82&gt;TODAY()),0,IF(OR(INDEX($B82:$D82,AD$5)="F",AND(AD$6&gt;0,$A82&lt;AD$6),AND(AD$7&gt;0,$A82&gt;AD$7)),0,MAX(0,ROUND((INDEX($E82:$G82,AD$5)-SUMIFS(TF_Timer,TF_Tekniker,AD$4,TF_Dato,$A82))*2,0)/2)))</f>
        <v/>
      </c>
      <c r="AE82">
        <f>IF(OR(AE$4="",$A82&gt;TODAY()),0,IF(OR(INDEX($B82:$D82,AE$5)="F",AND(AE$6&gt;0,$A82&lt;AE$6),AND(AE$7&gt;0,$A82&gt;AE$7)),0,MAX(0,ROUND((INDEX($E82:$G82,AE$5)-SUMIFS(TF_Timer,TF_Tekniker,AE$4,TF_Dato,$A82))*2,0)/2)))</f>
        <v/>
      </c>
      <c r="AF82">
        <f>IF(OR(AF$4="",$A82&gt;TODAY()),0,IF(OR(INDEX($B82:$D82,AF$5)="F",AND(AF$6&gt;0,$A82&lt;AF$6),AND(AF$7&gt;0,$A82&gt;AF$7)),0,MAX(0,ROUND((INDEX($E82:$G82,AF$5)-SUMIFS(TF_Timer,TF_Tekniker,AF$4,TF_Dato,$A82))*2,0)/2)))</f>
        <v/>
      </c>
      <c r="AG82">
        <f>IF(OR(AG$4="",$A82&gt;TODAY()),0,IF(OR(INDEX($B82:$D82,AG$5)="F",AND(AG$6&gt;0,$A82&lt;AG$6),AND(AG$7&gt;0,$A82&gt;AG$7)),0,MAX(0,ROUND((INDEX($E82:$G82,AG$5)-SUMIFS(TF_Timer,TF_Tekniker,AG$4,TF_Dato,$A82))*2,0)/2)))</f>
        <v/>
      </c>
      <c r="AH82">
        <f>IF(OR(AH$4="",$A82&gt;TODAY()),0,IF(OR(INDEX($B82:$D82,AH$5)="F",AND(AH$6&gt;0,$A82&lt;AH$6),AND(AH$7&gt;0,$A82&gt;AH$7)),0,MAX(0,ROUND((INDEX($E82:$G82,AH$5)-SUMIFS(TF_Timer,TF_Tekniker,AH$4,TF_Dato,$A82))*2,0)/2)))</f>
        <v/>
      </c>
      <c r="AI82">
        <f>IF(OR(AI$4="",$A82&gt;TODAY()),0,IF(OR(INDEX($B82:$D82,AI$5)="F",AND(AI$6&gt;0,$A82&lt;AI$6),AND(AI$7&gt;0,$A82&gt;AI$7)),0,MAX(0,ROUND((INDEX($E82:$G82,AI$5)-SUMIFS(TF_Timer,TF_Tekniker,AI$4,TF_Dato,$A82))*2,0)/2)))</f>
        <v/>
      </c>
      <c r="AJ82">
        <f>IF(OR(AJ$4="",$A82&gt;TODAY()),0,IF(OR(INDEX($B82:$D82,AJ$5)="F",AND(AJ$6&gt;0,$A82&lt;AJ$6),AND(AJ$7&gt;0,$A82&gt;AJ$7)),0,MAX(0,ROUND((INDEX($E82:$G82,AJ$5)-SUMIFS(TF_Timer,TF_Tekniker,AJ$4,TF_Dato,$A82))*2,0)/2)))</f>
        <v/>
      </c>
      <c r="AK82">
        <f>IF(OR(AK$4="",$A82&gt;TODAY()),0,IF(OR(INDEX($B82:$D82,AK$5)="F",AND(AK$6&gt;0,$A82&lt;AK$6),AND(AK$7&gt;0,$A82&gt;AK$7)),0,MAX(0,ROUND((INDEX($E82:$G82,AK$5)-SUMIFS(TF_Timer,TF_Tekniker,AK$4,TF_Dato,$A82))*2,0)/2)))</f>
        <v/>
      </c>
      <c r="AL82">
        <f>IF(OR(AL$4="",$A82&gt;TODAY()),0,IF(OR(INDEX($B82:$D82,AL$5)="F",AND(AL$6&gt;0,$A82&lt;AL$6),AND(AL$7&gt;0,$A82&gt;AL$7)),0,MAX(0,ROUND((INDEX($E82:$G82,AL$5)-SUMIFS(TF_Timer,TF_Tekniker,AL$4,TF_Dato,$A82))*2,0)/2)))</f>
        <v/>
      </c>
      <c r="AM82">
        <f>IF(OR(AM$4="",$A82&gt;TODAY()),0,IF(OR(INDEX($B82:$D82,AM$5)="F",AND(AM$6&gt;0,$A82&lt;AM$6),AND(AM$7&gt;0,$A82&gt;AM$7)),0,MAX(0,ROUND((INDEX($E82:$G82,AM$5)-SUMIFS(TF_Timer,TF_Tekniker,AM$4,TF_Dato,$A82))*2,0)/2)))</f>
        <v/>
      </c>
      <c r="AN82">
        <f>IF(OR(AN$4="",$A82&gt;TODAY()),0,IF(OR(INDEX($B82:$D82,AN$5)="F",AND(AN$6&gt;0,$A82&lt;AN$6),AND(AN$7&gt;0,$A82&gt;AN$7)),0,MAX(0,ROUND((INDEX($E82:$G82,AN$5)-SUMIFS(TF_Timer,TF_Tekniker,AN$4,TF_Dato,$A82))*2,0)/2)))</f>
        <v/>
      </c>
      <c r="AO82">
        <f>IF(OR(AO$4="",$A82&gt;TODAY()),0,IF(OR(INDEX($B82:$D82,AO$5)="F",AND(AO$6&gt;0,$A82&lt;AO$6),AND(AO$7&gt;0,$A82&gt;AO$7)),0,MAX(0,ROUND((INDEX($E82:$G82,AO$5)-SUMIFS(TF_Timer,TF_Tekniker,AO$4,TF_Dato,$A82))*2,0)/2)))</f>
        <v/>
      </c>
      <c r="AP82">
        <f>IF(OR(AP$4="",$A82&gt;TODAY()),0,IF(OR(INDEX($B82:$D82,AP$5)="F",AND(AP$6&gt;0,$A82&lt;AP$6),AND(AP$7&gt;0,$A82&gt;AP$7)),0,MAX(0,ROUND((INDEX($E82:$G82,AP$5)-SUMIFS(TF_Timer,TF_Tekniker,AP$4,TF_Dato,$A82))*2,0)/2)))</f>
        <v/>
      </c>
      <c r="AQ82">
        <f>IF(OR(AQ$4="",$A82&gt;TODAY()),0,IF(OR(INDEX($B82:$D82,AQ$5)="F",AND(AQ$6&gt;0,$A82&lt;AQ$6),AND(AQ$7&gt;0,$A82&gt;AQ$7)),0,MAX(0,ROUND((INDEX($E82:$G82,AQ$5)-SUMIFS(TF_Timer,TF_Tekniker,AQ$4,TF_Dato,$A82))*2,0)/2)))</f>
        <v/>
      </c>
      <c r="AR82">
        <f>IF(OR(AR$4="",$A82&gt;TODAY()),0,IF(OR(INDEX($B82:$D82,AR$5)="F",AND(AR$6&gt;0,$A82&lt;AR$6),AND(AR$7&gt;0,$A82&gt;AR$7)),0,MAX(0,ROUND((INDEX($E82:$G82,AR$5)-SUMIFS(TF_Timer,TF_Tekniker,AR$4,TF_Dato,$A82))*2,0)/2)))</f>
        <v/>
      </c>
      <c r="AS82">
        <f>IF(OR(AS$4="",$A82&gt;TODAY()),0,IF(OR(INDEX($B82:$D82,AS$5)="F",AND(AS$6&gt;0,$A82&lt;AS$6),AND(AS$7&gt;0,$A82&gt;AS$7)),0,MAX(0,ROUND((INDEX($E82:$G82,AS$5)-SUMIFS(TF_Timer,TF_Tekniker,AS$4,TF_Dato,$A82))*2,0)/2)))</f>
        <v/>
      </c>
      <c r="AT82">
        <f>IF(OR(AT$4="",$A82&gt;TODAY()),0,IF(OR(INDEX($B82:$D82,AT$5)="F",AND(AT$6&gt;0,$A82&lt;AT$6),AND(AT$7&gt;0,$A82&gt;AT$7)),0,MAX(0,ROUND((INDEX($E82:$G82,AT$5)-SUMIFS(TF_Timer,TF_Tekniker,AT$4,TF_Dato,$A82))*2,0)/2)))</f>
        <v/>
      </c>
      <c r="AU82">
        <f>IF(OR(AU$4="",$A82&gt;TODAY()),0,IF(OR(INDEX($B82:$D82,AU$5)="F",AND(AU$6&gt;0,$A82&lt;AU$6),AND(AU$7&gt;0,$A82&gt;AU$7)),0,MAX(0,ROUND((INDEX($E82:$G82,AU$5)-SUMIFS(TF_Timer,TF_Tekniker,AU$4,TF_Dato,$A82))*2,0)/2)))</f>
        <v/>
      </c>
      <c r="AV82">
        <f>IF(OR(AV$4="",$A82&gt;TODAY()),0,IF(OR(INDEX($B82:$D82,AV$5)="F",AND(AV$6&gt;0,$A82&lt;AV$6),AND(AV$7&gt;0,$A82&gt;AV$7)),0,MAX(0,ROUND((INDEX($E82:$G82,AV$5)-SUMIFS(TF_Timer,TF_Tekniker,AV$4,TF_Dato,$A82))*2,0)/2)))</f>
        <v/>
      </c>
      <c r="AW82">
        <f>IF(OR(AW$4="",$A82&gt;TODAY()),0,IF(OR(INDEX($B82:$D82,AW$5)="F",AND(AW$6&gt;0,$A82&lt;AW$6),AND(AW$7&gt;0,$A82&gt;AW$7)),0,MAX(0,ROUND((INDEX($E82:$G82,AW$5)-SUMIFS(TF_Timer,TF_Tekniker,AW$4,TF_Dato,$A82))*2,0)/2)))</f>
        <v/>
      </c>
      <c r="AX82">
        <f>IF(OR(AX$4="",$A82&gt;TODAY()),0,IF(OR(INDEX($B82:$D82,AX$5)="F",AND(AX$6&gt;0,$A82&lt;AX$6),AND(AX$7&gt;0,$A82&gt;AX$7)),0,MAX(0,ROUND((INDEX($E82:$G82,AX$5)-SUMIFS(TF_Timer,TF_Tekniker,AX$4,TF_Dato,$A82))*2,0)/2)))</f>
        <v/>
      </c>
      <c r="AY82">
        <f>IF(OR(AY$4="",$A82&gt;TODAY()),0,IF(OR(INDEX($B82:$D82,AY$5)="F",AND(AY$6&gt;0,$A82&lt;AY$6),AND(AY$7&gt;0,$A82&gt;AY$7)),0,MAX(0,ROUND((INDEX($E82:$G82,AY$5)-SUMIFS(TF_Timer,TF_Tekniker,AY$4,TF_Dato,$A82))*2,0)/2)))</f>
        <v/>
      </c>
      <c r="AZ82">
        <f>IF(OR(AZ$4="",$A82&gt;TODAY()),0,IF(OR(INDEX($B82:$D82,AZ$5)="F",AND(AZ$6&gt;0,$A82&lt;AZ$6),AND(AZ$7&gt;0,$A82&gt;AZ$7)),0,MAX(0,ROUND((INDEX($E82:$G82,AZ$5)-SUMIFS(TF_Timer,TF_Tekniker,AZ$4,TF_Dato,$A82))*2,0)/2)))</f>
        <v/>
      </c>
      <c r="BA82">
        <f>IF(OR(BA$4="",$A82&gt;TODAY()),0,IF(OR(INDEX($B82:$D82,BA$5)="F",AND(BA$6&gt;0,$A82&lt;BA$6),AND(BA$7&gt;0,$A82&gt;BA$7)),0,MAX(0,ROUND((INDEX($E82:$G82,BA$5)-SUMIFS(TF_Timer,TF_Tekniker,BA$4,TF_Dato,$A82))*2,0)/2)))</f>
        <v/>
      </c>
      <c r="BB82">
        <f>IF(OR(BB$4="",$A82&gt;TODAY()),0,IF(OR(INDEX($B82:$D82,BB$5)="F",AND(BB$6&gt;0,$A82&lt;BB$6),AND(BB$7&gt;0,$A82&gt;BB$7)),0,MAX(0,ROUND((INDEX($E82:$G82,BB$5)-SUMIFS(TF_Timer,TF_Tekniker,BB$4,TF_Dato,$A82))*2,0)/2)))</f>
        <v/>
      </c>
      <c r="BC82">
        <f>IF(OR(BC$4="",$A82&gt;TODAY()),0,IF(OR(INDEX($B82:$D82,BC$5)="F",AND(BC$6&gt;0,$A82&lt;BC$6),AND(BC$7&gt;0,$A82&gt;BC$7)),0,MAX(0,ROUND((INDEX($E82:$G82,BC$5)-SUMIFS(TF_Timer,TF_Tekniker,BC$4,TF_Dato,$A82))*2,0)/2)))</f>
        <v/>
      </c>
      <c r="BD82">
        <f>IF(OR(BD$4="",$A82&gt;TODAY()),0,IF(OR(INDEX($B82:$D82,BD$5)="F",AND(BD$6&gt;0,$A82&lt;BD$6),AND(BD$7&gt;0,$A82&gt;BD$7)),0,MAX(0,ROUND((INDEX($E82:$G82,BD$5)-SUMIFS(TF_Timer,TF_Tekniker,BD$4,TF_Dato,$A82))*2,0)/2)))</f>
        <v/>
      </c>
      <c r="BE82">
        <f>IF(OR(BE$4="",$A82&gt;TODAY()),0,IF(OR(INDEX($B82:$D82,BE$5)="F",AND(BE$6&gt;0,$A82&lt;BE$6),AND(BE$7&gt;0,$A82&gt;BE$7)),0,MAX(0,ROUND((INDEX($E82:$G82,BE$5)-SUMIFS(TF_Timer,TF_Tekniker,BE$4,TF_Dato,$A82))*2,0)/2)))</f>
        <v/>
      </c>
      <c r="BF82">
        <f>IF(OR(BF$4="",$A82&gt;TODAY()),0,IF(OR(INDEX($B82:$D82,BF$5)="F",AND(BF$6&gt;0,$A82&lt;BF$6),AND(BF$7&gt;0,$A82&gt;BF$7)),0,MAX(0,ROUND((INDEX($E82:$G82,BF$5)-SUMIFS(TF_Timer,TF_Tekniker,BF$4,TF_Dato,$A82))*2,0)/2)))</f>
        <v/>
      </c>
      <c r="BG82">
        <f>IF(OR(BG$4="",$A82&gt;TODAY()),0,IF(OR(INDEX($B82:$D82,BG$5)="F",AND(BG$6&gt;0,$A82&lt;BG$6),AND(BG$7&gt;0,$A82&gt;BG$7)),0,MAX(0,ROUND((INDEX($E82:$G82,BG$5)-SUMIFS(TF_Timer,TF_Tekniker,BG$4,TF_Dato,$A82))*2,0)/2)))</f>
        <v/>
      </c>
      <c r="BH82">
        <f>IF(OR(BH$4="",$A82&gt;TODAY()),0,IF(OR(INDEX($B82:$D82,BH$5)="F",AND(BH$6&gt;0,$A82&lt;BH$6),AND(BH$7&gt;0,$A82&gt;BH$7)),0,MAX(0,ROUND((INDEX($E82:$G82,BH$5)-SUMIFS(TF_Timer,TF_Tekniker,BH$4,TF_Dato,$A82))*2,0)/2)))</f>
        <v/>
      </c>
      <c r="BI82">
        <f>IF(OR(BI$4="",$A82&gt;TODAY()),0,IF(OR(INDEX($B82:$D82,BI$5)="F",AND(BI$6&gt;0,$A82&lt;BI$6),AND(BI$7&gt;0,$A82&gt;BI$7)),0,MAX(0,ROUND((INDEX($E82:$G82,BI$5)-SUMIFS(TF_Timer,TF_Tekniker,BI$4,TF_Dato,$A82))*2,0)/2)))</f>
        <v/>
      </c>
    </row>
    <row r="83">
      <c r="A83" s="64">
        <f>A82+1</f>
        <v/>
      </c>
      <c r="B83">
        <f>IF(MOD($A83-INDEX(SkiftStart,1),Syklus)&lt;DagK,"K",IF(MOD($A83-INDEX(SkiftStart,1),Syklus)&lt;DagK+DagH,"H",IF(MOD($A83-INDEX(SkiftStart,1),Syklus)&lt;DagK+DagH+DagD,"D","F")))</f>
        <v/>
      </c>
      <c r="C83">
        <f>IF(MOD($A83-INDEX(SkiftStart,2),Syklus)&lt;DagK,"K",IF(MOD($A83-INDEX(SkiftStart,2),Syklus)&lt;DagK+DagH,"H",IF(MOD($A83-INDEX(SkiftStart,2),Syklus)&lt;DagK+DagH+DagD,"D","F")))</f>
        <v/>
      </c>
      <c r="D83">
        <f>IF(MOD($A83-INDEX(SkiftStart,3),Syklus)&lt;DagK,"K",IF(MOD($A83-INDEX(SkiftStart,3),Syklus)&lt;DagK+DagH,"H",IF(MOD($A83-INDEX(SkiftStart,3),Syklus)&lt;DagK+DagH+DagD,"D","F")))</f>
        <v/>
      </c>
      <c r="E83">
        <f>IF(B83="F",0,IF(WEEKDAY($A83,2)=5,INDEX(TimerFr,MATCH(B83,FaseKode,0)),INDEX(TimerMT,MATCH(B83,FaseKode,0))))</f>
        <v/>
      </c>
      <c r="F83">
        <f>IF(C83="F",0,IF(WEEKDAY($A83,2)=5,INDEX(TimerFr,MATCH(C83,FaseKode,0)),INDEX(TimerMT,MATCH(C83,FaseKode,0))))</f>
        <v/>
      </c>
      <c r="G83">
        <f>IF(D83="F",0,IF(WEEKDAY($A83,2)=5,INDEX(TimerFr,MATCH(D83,FaseKode,0)),INDEX(TimerMT,MATCH(D83,FaseKode,0))))</f>
        <v/>
      </c>
      <c r="H83">
        <f>IF(OR(H$4="",$A83&gt;TODAY()),0,IF(OR(INDEX($B83:$D83,H$5)="F",AND(H$6&gt;0,$A83&lt;H$6),AND(H$7&gt;0,$A83&gt;H$7)),0,MAX(0,ROUND((INDEX($E83:$G83,H$5)-SUMIFS(TF_Timer,TF_Tekniker,H$4,TF_Dato,$A83))*2,0)/2)))</f>
        <v/>
      </c>
      <c r="I83">
        <f>IF(OR(I$4="",$A83&gt;TODAY()),0,IF(OR(INDEX($B83:$D83,I$5)="F",AND(I$6&gt;0,$A83&lt;I$6),AND(I$7&gt;0,$A83&gt;I$7)),0,MAX(0,ROUND((INDEX($E83:$G83,I$5)-SUMIFS(TF_Timer,TF_Tekniker,I$4,TF_Dato,$A83))*2,0)/2)))</f>
        <v/>
      </c>
      <c r="J83">
        <f>IF(OR(J$4="",$A83&gt;TODAY()),0,IF(OR(INDEX($B83:$D83,J$5)="F",AND(J$6&gt;0,$A83&lt;J$6),AND(J$7&gt;0,$A83&gt;J$7)),0,MAX(0,ROUND((INDEX($E83:$G83,J$5)-SUMIFS(TF_Timer,TF_Tekniker,J$4,TF_Dato,$A83))*2,0)/2)))</f>
        <v/>
      </c>
      <c r="K83">
        <f>IF(OR(K$4="",$A83&gt;TODAY()),0,IF(OR(INDEX($B83:$D83,K$5)="F",AND(K$6&gt;0,$A83&lt;K$6),AND(K$7&gt;0,$A83&gt;K$7)),0,MAX(0,ROUND((INDEX($E83:$G83,K$5)-SUMIFS(TF_Timer,TF_Tekniker,K$4,TF_Dato,$A83))*2,0)/2)))</f>
        <v/>
      </c>
      <c r="L83">
        <f>IF(OR(L$4="",$A83&gt;TODAY()),0,IF(OR(INDEX($B83:$D83,L$5)="F",AND(L$6&gt;0,$A83&lt;L$6),AND(L$7&gt;0,$A83&gt;L$7)),0,MAX(0,ROUND((INDEX($E83:$G83,L$5)-SUMIFS(TF_Timer,TF_Tekniker,L$4,TF_Dato,$A83))*2,0)/2)))</f>
        <v/>
      </c>
      <c r="M83">
        <f>IF(OR(M$4="",$A83&gt;TODAY()),0,IF(OR(INDEX($B83:$D83,M$5)="F",AND(M$6&gt;0,$A83&lt;M$6),AND(M$7&gt;0,$A83&gt;M$7)),0,MAX(0,ROUND((INDEX($E83:$G83,M$5)-SUMIFS(TF_Timer,TF_Tekniker,M$4,TF_Dato,$A83))*2,0)/2)))</f>
        <v/>
      </c>
      <c r="N83">
        <f>IF(OR(N$4="",$A83&gt;TODAY()),0,IF(OR(INDEX($B83:$D83,N$5)="F",AND(N$6&gt;0,$A83&lt;N$6),AND(N$7&gt;0,$A83&gt;N$7)),0,MAX(0,ROUND((INDEX($E83:$G83,N$5)-SUMIFS(TF_Timer,TF_Tekniker,N$4,TF_Dato,$A83))*2,0)/2)))</f>
        <v/>
      </c>
      <c r="O83">
        <f>IF(OR(O$4="",$A83&gt;TODAY()),0,IF(OR(INDEX($B83:$D83,O$5)="F",AND(O$6&gt;0,$A83&lt;O$6),AND(O$7&gt;0,$A83&gt;O$7)),0,MAX(0,ROUND((INDEX($E83:$G83,O$5)-SUMIFS(TF_Timer,TF_Tekniker,O$4,TF_Dato,$A83))*2,0)/2)))</f>
        <v/>
      </c>
      <c r="P83">
        <f>IF(OR(P$4="",$A83&gt;TODAY()),0,IF(OR(INDEX($B83:$D83,P$5)="F",AND(P$6&gt;0,$A83&lt;P$6),AND(P$7&gt;0,$A83&gt;P$7)),0,MAX(0,ROUND((INDEX($E83:$G83,P$5)-SUMIFS(TF_Timer,TF_Tekniker,P$4,TF_Dato,$A83))*2,0)/2)))</f>
        <v/>
      </c>
      <c r="Q83">
        <f>IF(OR(Q$4="",$A83&gt;TODAY()),0,IF(OR(INDEX($B83:$D83,Q$5)="F",AND(Q$6&gt;0,$A83&lt;Q$6),AND(Q$7&gt;0,$A83&gt;Q$7)),0,MAX(0,ROUND((INDEX($E83:$G83,Q$5)-SUMIFS(TF_Timer,TF_Tekniker,Q$4,TF_Dato,$A83))*2,0)/2)))</f>
        <v/>
      </c>
      <c r="R83">
        <f>IF(OR(R$4="",$A83&gt;TODAY()),0,IF(OR(INDEX($B83:$D83,R$5)="F",AND(R$6&gt;0,$A83&lt;R$6),AND(R$7&gt;0,$A83&gt;R$7)),0,MAX(0,ROUND((INDEX($E83:$G83,R$5)-SUMIFS(TF_Timer,TF_Tekniker,R$4,TF_Dato,$A83))*2,0)/2)))</f>
        <v/>
      </c>
      <c r="S83">
        <f>IF(OR(S$4="",$A83&gt;TODAY()),0,IF(OR(INDEX($B83:$D83,S$5)="F",AND(S$6&gt;0,$A83&lt;S$6),AND(S$7&gt;0,$A83&gt;S$7)),0,MAX(0,ROUND((INDEX($E83:$G83,S$5)-SUMIFS(TF_Timer,TF_Tekniker,S$4,TF_Dato,$A83))*2,0)/2)))</f>
        <v/>
      </c>
      <c r="T83">
        <f>IF(OR(T$4="",$A83&gt;TODAY()),0,IF(OR(INDEX($B83:$D83,T$5)="F",AND(T$6&gt;0,$A83&lt;T$6),AND(T$7&gt;0,$A83&gt;T$7)),0,MAX(0,ROUND((INDEX($E83:$G83,T$5)-SUMIFS(TF_Timer,TF_Tekniker,T$4,TF_Dato,$A83))*2,0)/2)))</f>
        <v/>
      </c>
      <c r="U83">
        <f>IF(OR(U$4="",$A83&gt;TODAY()),0,IF(OR(INDEX($B83:$D83,U$5)="F",AND(U$6&gt;0,$A83&lt;U$6),AND(U$7&gt;0,$A83&gt;U$7)),0,MAX(0,ROUND((INDEX($E83:$G83,U$5)-SUMIFS(TF_Timer,TF_Tekniker,U$4,TF_Dato,$A83))*2,0)/2)))</f>
        <v/>
      </c>
      <c r="V83">
        <f>IF(OR(V$4="",$A83&gt;TODAY()),0,IF(OR(INDEX($B83:$D83,V$5)="F",AND(V$6&gt;0,$A83&lt;V$6),AND(V$7&gt;0,$A83&gt;V$7)),0,MAX(0,ROUND((INDEX($E83:$G83,V$5)-SUMIFS(TF_Timer,TF_Tekniker,V$4,TF_Dato,$A83))*2,0)/2)))</f>
        <v/>
      </c>
      <c r="W83">
        <f>IF(OR(W$4="",$A83&gt;TODAY()),0,IF(OR(INDEX($B83:$D83,W$5)="F",AND(W$6&gt;0,$A83&lt;W$6),AND(W$7&gt;0,$A83&gt;W$7)),0,MAX(0,ROUND((INDEX($E83:$G83,W$5)-SUMIFS(TF_Timer,TF_Tekniker,W$4,TF_Dato,$A83))*2,0)/2)))</f>
        <v/>
      </c>
      <c r="X83">
        <f>IF(OR(X$4="",$A83&gt;TODAY()),0,IF(OR(INDEX($B83:$D83,X$5)="F",AND(X$6&gt;0,$A83&lt;X$6),AND(X$7&gt;0,$A83&gt;X$7)),0,MAX(0,ROUND((INDEX($E83:$G83,X$5)-SUMIFS(TF_Timer,TF_Tekniker,X$4,TF_Dato,$A83))*2,0)/2)))</f>
        <v/>
      </c>
      <c r="Y83">
        <f>IF(OR(Y$4="",$A83&gt;TODAY()),0,IF(OR(INDEX($B83:$D83,Y$5)="F",AND(Y$6&gt;0,$A83&lt;Y$6),AND(Y$7&gt;0,$A83&gt;Y$7)),0,MAX(0,ROUND((INDEX($E83:$G83,Y$5)-SUMIFS(TF_Timer,TF_Tekniker,Y$4,TF_Dato,$A83))*2,0)/2)))</f>
        <v/>
      </c>
      <c r="Z83">
        <f>IF(OR(Z$4="",$A83&gt;TODAY()),0,IF(OR(INDEX($B83:$D83,Z$5)="F",AND(Z$6&gt;0,$A83&lt;Z$6),AND(Z$7&gt;0,$A83&gt;Z$7)),0,MAX(0,ROUND((INDEX($E83:$G83,Z$5)-SUMIFS(TF_Timer,TF_Tekniker,Z$4,TF_Dato,$A83))*2,0)/2)))</f>
        <v/>
      </c>
      <c r="AA83">
        <f>IF(OR(AA$4="",$A83&gt;TODAY()),0,IF(OR(INDEX($B83:$D83,AA$5)="F",AND(AA$6&gt;0,$A83&lt;AA$6),AND(AA$7&gt;0,$A83&gt;AA$7)),0,MAX(0,ROUND((INDEX($E83:$G83,AA$5)-SUMIFS(TF_Timer,TF_Tekniker,AA$4,TF_Dato,$A83))*2,0)/2)))</f>
        <v/>
      </c>
      <c r="AB83">
        <f>IF(OR(AB$4="",$A83&gt;TODAY()),0,IF(OR(INDEX($B83:$D83,AB$5)="F",AND(AB$6&gt;0,$A83&lt;AB$6),AND(AB$7&gt;0,$A83&gt;AB$7)),0,MAX(0,ROUND((INDEX($E83:$G83,AB$5)-SUMIFS(TF_Timer,TF_Tekniker,AB$4,TF_Dato,$A83))*2,0)/2)))</f>
        <v/>
      </c>
      <c r="AC83">
        <f>IF(OR(AC$4="",$A83&gt;TODAY()),0,IF(OR(INDEX($B83:$D83,AC$5)="F",AND(AC$6&gt;0,$A83&lt;AC$6),AND(AC$7&gt;0,$A83&gt;AC$7)),0,MAX(0,ROUND((INDEX($E83:$G83,AC$5)-SUMIFS(TF_Timer,TF_Tekniker,AC$4,TF_Dato,$A83))*2,0)/2)))</f>
        <v/>
      </c>
      <c r="AD83">
        <f>IF(OR(AD$4="",$A83&gt;TODAY()),0,IF(OR(INDEX($B83:$D83,AD$5)="F",AND(AD$6&gt;0,$A83&lt;AD$6),AND(AD$7&gt;0,$A83&gt;AD$7)),0,MAX(0,ROUND((INDEX($E83:$G83,AD$5)-SUMIFS(TF_Timer,TF_Tekniker,AD$4,TF_Dato,$A83))*2,0)/2)))</f>
        <v/>
      </c>
      <c r="AE83">
        <f>IF(OR(AE$4="",$A83&gt;TODAY()),0,IF(OR(INDEX($B83:$D83,AE$5)="F",AND(AE$6&gt;0,$A83&lt;AE$6),AND(AE$7&gt;0,$A83&gt;AE$7)),0,MAX(0,ROUND((INDEX($E83:$G83,AE$5)-SUMIFS(TF_Timer,TF_Tekniker,AE$4,TF_Dato,$A83))*2,0)/2)))</f>
        <v/>
      </c>
      <c r="AF83">
        <f>IF(OR(AF$4="",$A83&gt;TODAY()),0,IF(OR(INDEX($B83:$D83,AF$5)="F",AND(AF$6&gt;0,$A83&lt;AF$6),AND(AF$7&gt;0,$A83&gt;AF$7)),0,MAX(0,ROUND((INDEX($E83:$G83,AF$5)-SUMIFS(TF_Timer,TF_Tekniker,AF$4,TF_Dato,$A83))*2,0)/2)))</f>
        <v/>
      </c>
      <c r="AG83">
        <f>IF(OR(AG$4="",$A83&gt;TODAY()),0,IF(OR(INDEX($B83:$D83,AG$5)="F",AND(AG$6&gt;0,$A83&lt;AG$6),AND(AG$7&gt;0,$A83&gt;AG$7)),0,MAX(0,ROUND((INDEX($E83:$G83,AG$5)-SUMIFS(TF_Timer,TF_Tekniker,AG$4,TF_Dato,$A83))*2,0)/2)))</f>
        <v/>
      </c>
      <c r="AH83">
        <f>IF(OR(AH$4="",$A83&gt;TODAY()),0,IF(OR(INDEX($B83:$D83,AH$5)="F",AND(AH$6&gt;0,$A83&lt;AH$6),AND(AH$7&gt;0,$A83&gt;AH$7)),0,MAX(0,ROUND((INDEX($E83:$G83,AH$5)-SUMIFS(TF_Timer,TF_Tekniker,AH$4,TF_Dato,$A83))*2,0)/2)))</f>
        <v/>
      </c>
      <c r="AI83">
        <f>IF(OR(AI$4="",$A83&gt;TODAY()),0,IF(OR(INDEX($B83:$D83,AI$5)="F",AND(AI$6&gt;0,$A83&lt;AI$6),AND(AI$7&gt;0,$A83&gt;AI$7)),0,MAX(0,ROUND((INDEX($E83:$G83,AI$5)-SUMIFS(TF_Timer,TF_Tekniker,AI$4,TF_Dato,$A83))*2,0)/2)))</f>
        <v/>
      </c>
      <c r="AJ83">
        <f>IF(OR(AJ$4="",$A83&gt;TODAY()),0,IF(OR(INDEX($B83:$D83,AJ$5)="F",AND(AJ$6&gt;0,$A83&lt;AJ$6),AND(AJ$7&gt;0,$A83&gt;AJ$7)),0,MAX(0,ROUND((INDEX($E83:$G83,AJ$5)-SUMIFS(TF_Timer,TF_Tekniker,AJ$4,TF_Dato,$A83))*2,0)/2)))</f>
        <v/>
      </c>
      <c r="AK83">
        <f>IF(OR(AK$4="",$A83&gt;TODAY()),0,IF(OR(INDEX($B83:$D83,AK$5)="F",AND(AK$6&gt;0,$A83&lt;AK$6),AND(AK$7&gt;0,$A83&gt;AK$7)),0,MAX(0,ROUND((INDEX($E83:$G83,AK$5)-SUMIFS(TF_Timer,TF_Tekniker,AK$4,TF_Dato,$A83))*2,0)/2)))</f>
        <v/>
      </c>
      <c r="AL83">
        <f>IF(OR(AL$4="",$A83&gt;TODAY()),0,IF(OR(INDEX($B83:$D83,AL$5)="F",AND(AL$6&gt;0,$A83&lt;AL$6),AND(AL$7&gt;0,$A83&gt;AL$7)),0,MAX(0,ROUND((INDEX($E83:$G83,AL$5)-SUMIFS(TF_Timer,TF_Tekniker,AL$4,TF_Dato,$A83))*2,0)/2)))</f>
        <v/>
      </c>
      <c r="AM83">
        <f>IF(OR(AM$4="",$A83&gt;TODAY()),0,IF(OR(INDEX($B83:$D83,AM$5)="F",AND(AM$6&gt;0,$A83&lt;AM$6),AND(AM$7&gt;0,$A83&gt;AM$7)),0,MAX(0,ROUND((INDEX($E83:$G83,AM$5)-SUMIFS(TF_Timer,TF_Tekniker,AM$4,TF_Dato,$A83))*2,0)/2)))</f>
        <v/>
      </c>
      <c r="AN83">
        <f>IF(OR(AN$4="",$A83&gt;TODAY()),0,IF(OR(INDEX($B83:$D83,AN$5)="F",AND(AN$6&gt;0,$A83&lt;AN$6),AND(AN$7&gt;0,$A83&gt;AN$7)),0,MAX(0,ROUND((INDEX($E83:$G83,AN$5)-SUMIFS(TF_Timer,TF_Tekniker,AN$4,TF_Dato,$A83))*2,0)/2)))</f>
        <v/>
      </c>
      <c r="AO83">
        <f>IF(OR(AO$4="",$A83&gt;TODAY()),0,IF(OR(INDEX($B83:$D83,AO$5)="F",AND(AO$6&gt;0,$A83&lt;AO$6),AND(AO$7&gt;0,$A83&gt;AO$7)),0,MAX(0,ROUND((INDEX($E83:$G83,AO$5)-SUMIFS(TF_Timer,TF_Tekniker,AO$4,TF_Dato,$A83))*2,0)/2)))</f>
        <v/>
      </c>
      <c r="AP83">
        <f>IF(OR(AP$4="",$A83&gt;TODAY()),0,IF(OR(INDEX($B83:$D83,AP$5)="F",AND(AP$6&gt;0,$A83&lt;AP$6),AND(AP$7&gt;0,$A83&gt;AP$7)),0,MAX(0,ROUND((INDEX($E83:$G83,AP$5)-SUMIFS(TF_Timer,TF_Tekniker,AP$4,TF_Dato,$A83))*2,0)/2)))</f>
        <v/>
      </c>
      <c r="AQ83">
        <f>IF(OR(AQ$4="",$A83&gt;TODAY()),0,IF(OR(INDEX($B83:$D83,AQ$5)="F",AND(AQ$6&gt;0,$A83&lt;AQ$6),AND(AQ$7&gt;0,$A83&gt;AQ$7)),0,MAX(0,ROUND((INDEX($E83:$G83,AQ$5)-SUMIFS(TF_Timer,TF_Tekniker,AQ$4,TF_Dato,$A83))*2,0)/2)))</f>
        <v/>
      </c>
      <c r="AR83">
        <f>IF(OR(AR$4="",$A83&gt;TODAY()),0,IF(OR(INDEX($B83:$D83,AR$5)="F",AND(AR$6&gt;0,$A83&lt;AR$6),AND(AR$7&gt;0,$A83&gt;AR$7)),0,MAX(0,ROUND((INDEX($E83:$G83,AR$5)-SUMIFS(TF_Timer,TF_Tekniker,AR$4,TF_Dato,$A83))*2,0)/2)))</f>
        <v/>
      </c>
      <c r="AS83">
        <f>IF(OR(AS$4="",$A83&gt;TODAY()),0,IF(OR(INDEX($B83:$D83,AS$5)="F",AND(AS$6&gt;0,$A83&lt;AS$6),AND(AS$7&gt;0,$A83&gt;AS$7)),0,MAX(0,ROUND((INDEX($E83:$G83,AS$5)-SUMIFS(TF_Timer,TF_Tekniker,AS$4,TF_Dato,$A83))*2,0)/2)))</f>
        <v/>
      </c>
      <c r="AT83">
        <f>IF(OR(AT$4="",$A83&gt;TODAY()),0,IF(OR(INDEX($B83:$D83,AT$5)="F",AND(AT$6&gt;0,$A83&lt;AT$6),AND(AT$7&gt;0,$A83&gt;AT$7)),0,MAX(0,ROUND((INDEX($E83:$G83,AT$5)-SUMIFS(TF_Timer,TF_Tekniker,AT$4,TF_Dato,$A83))*2,0)/2)))</f>
        <v/>
      </c>
      <c r="AU83">
        <f>IF(OR(AU$4="",$A83&gt;TODAY()),0,IF(OR(INDEX($B83:$D83,AU$5)="F",AND(AU$6&gt;0,$A83&lt;AU$6),AND(AU$7&gt;0,$A83&gt;AU$7)),0,MAX(0,ROUND((INDEX($E83:$G83,AU$5)-SUMIFS(TF_Timer,TF_Tekniker,AU$4,TF_Dato,$A83))*2,0)/2)))</f>
        <v/>
      </c>
      <c r="AV83">
        <f>IF(OR(AV$4="",$A83&gt;TODAY()),0,IF(OR(INDEX($B83:$D83,AV$5)="F",AND(AV$6&gt;0,$A83&lt;AV$6),AND(AV$7&gt;0,$A83&gt;AV$7)),0,MAX(0,ROUND((INDEX($E83:$G83,AV$5)-SUMIFS(TF_Timer,TF_Tekniker,AV$4,TF_Dato,$A83))*2,0)/2)))</f>
        <v/>
      </c>
      <c r="AW83">
        <f>IF(OR(AW$4="",$A83&gt;TODAY()),0,IF(OR(INDEX($B83:$D83,AW$5)="F",AND(AW$6&gt;0,$A83&lt;AW$6),AND(AW$7&gt;0,$A83&gt;AW$7)),0,MAX(0,ROUND((INDEX($E83:$G83,AW$5)-SUMIFS(TF_Timer,TF_Tekniker,AW$4,TF_Dato,$A83))*2,0)/2)))</f>
        <v/>
      </c>
      <c r="AX83">
        <f>IF(OR(AX$4="",$A83&gt;TODAY()),0,IF(OR(INDEX($B83:$D83,AX$5)="F",AND(AX$6&gt;0,$A83&lt;AX$6),AND(AX$7&gt;0,$A83&gt;AX$7)),0,MAX(0,ROUND((INDEX($E83:$G83,AX$5)-SUMIFS(TF_Timer,TF_Tekniker,AX$4,TF_Dato,$A83))*2,0)/2)))</f>
        <v/>
      </c>
      <c r="AY83">
        <f>IF(OR(AY$4="",$A83&gt;TODAY()),0,IF(OR(INDEX($B83:$D83,AY$5)="F",AND(AY$6&gt;0,$A83&lt;AY$6),AND(AY$7&gt;0,$A83&gt;AY$7)),0,MAX(0,ROUND((INDEX($E83:$G83,AY$5)-SUMIFS(TF_Timer,TF_Tekniker,AY$4,TF_Dato,$A83))*2,0)/2)))</f>
        <v/>
      </c>
      <c r="AZ83">
        <f>IF(OR(AZ$4="",$A83&gt;TODAY()),0,IF(OR(INDEX($B83:$D83,AZ$5)="F",AND(AZ$6&gt;0,$A83&lt;AZ$6),AND(AZ$7&gt;0,$A83&gt;AZ$7)),0,MAX(0,ROUND((INDEX($E83:$G83,AZ$5)-SUMIFS(TF_Timer,TF_Tekniker,AZ$4,TF_Dato,$A83))*2,0)/2)))</f>
        <v/>
      </c>
      <c r="BA83">
        <f>IF(OR(BA$4="",$A83&gt;TODAY()),0,IF(OR(INDEX($B83:$D83,BA$5)="F",AND(BA$6&gt;0,$A83&lt;BA$6),AND(BA$7&gt;0,$A83&gt;BA$7)),0,MAX(0,ROUND((INDEX($E83:$G83,BA$5)-SUMIFS(TF_Timer,TF_Tekniker,BA$4,TF_Dato,$A83))*2,0)/2)))</f>
        <v/>
      </c>
      <c r="BB83">
        <f>IF(OR(BB$4="",$A83&gt;TODAY()),0,IF(OR(INDEX($B83:$D83,BB$5)="F",AND(BB$6&gt;0,$A83&lt;BB$6),AND(BB$7&gt;0,$A83&gt;BB$7)),0,MAX(0,ROUND((INDEX($E83:$G83,BB$5)-SUMIFS(TF_Timer,TF_Tekniker,BB$4,TF_Dato,$A83))*2,0)/2)))</f>
        <v/>
      </c>
      <c r="BC83">
        <f>IF(OR(BC$4="",$A83&gt;TODAY()),0,IF(OR(INDEX($B83:$D83,BC$5)="F",AND(BC$6&gt;0,$A83&lt;BC$6),AND(BC$7&gt;0,$A83&gt;BC$7)),0,MAX(0,ROUND((INDEX($E83:$G83,BC$5)-SUMIFS(TF_Timer,TF_Tekniker,BC$4,TF_Dato,$A83))*2,0)/2)))</f>
        <v/>
      </c>
      <c r="BD83">
        <f>IF(OR(BD$4="",$A83&gt;TODAY()),0,IF(OR(INDEX($B83:$D83,BD$5)="F",AND(BD$6&gt;0,$A83&lt;BD$6),AND(BD$7&gt;0,$A83&gt;BD$7)),0,MAX(0,ROUND((INDEX($E83:$G83,BD$5)-SUMIFS(TF_Timer,TF_Tekniker,BD$4,TF_Dato,$A83))*2,0)/2)))</f>
        <v/>
      </c>
      <c r="BE83">
        <f>IF(OR(BE$4="",$A83&gt;TODAY()),0,IF(OR(INDEX($B83:$D83,BE$5)="F",AND(BE$6&gt;0,$A83&lt;BE$6),AND(BE$7&gt;0,$A83&gt;BE$7)),0,MAX(0,ROUND((INDEX($E83:$G83,BE$5)-SUMIFS(TF_Timer,TF_Tekniker,BE$4,TF_Dato,$A83))*2,0)/2)))</f>
        <v/>
      </c>
      <c r="BF83">
        <f>IF(OR(BF$4="",$A83&gt;TODAY()),0,IF(OR(INDEX($B83:$D83,BF$5)="F",AND(BF$6&gt;0,$A83&lt;BF$6),AND(BF$7&gt;0,$A83&gt;BF$7)),0,MAX(0,ROUND((INDEX($E83:$G83,BF$5)-SUMIFS(TF_Timer,TF_Tekniker,BF$4,TF_Dato,$A83))*2,0)/2)))</f>
        <v/>
      </c>
      <c r="BG83">
        <f>IF(OR(BG$4="",$A83&gt;TODAY()),0,IF(OR(INDEX($B83:$D83,BG$5)="F",AND(BG$6&gt;0,$A83&lt;BG$6),AND(BG$7&gt;0,$A83&gt;BG$7)),0,MAX(0,ROUND((INDEX($E83:$G83,BG$5)-SUMIFS(TF_Timer,TF_Tekniker,BG$4,TF_Dato,$A83))*2,0)/2)))</f>
        <v/>
      </c>
      <c r="BH83">
        <f>IF(OR(BH$4="",$A83&gt;TODAY()),0,IF(OR(INDEX($B83:$D83,BH$5)="F",AND(BH$6&gt;0,$A83&lt;BH$6),AND(BH$7&gt;0,$A83&gt;BH$7)),0,MAX(0,ROUND((INDEX($E83:$G83,BH$5)-SUMIFS(TF_Timer,TF_Tekniker,BH$4,TF_Dato,$A83))*2,0)/2)))</f>
        <v/>
      </c>
      <c r="BI83">
        <f>IF(OR(BI$4="",$A83&gt;TODAY()),0,IF(OR(INDEX($B83:$D83,BI$5)="F",AND(BI$6&gt;0,$A83&lt;BI$6),AND(BI$7&gt;0,$A83&gt;BI$7)),0,MAX(0,ROUND((INDEX($E83:$G83,BI$5)-SUMIFS(TF_Timer,TF_Tekniker,BI$4,TF_Dato,$A83))*2,0)/2)))</f>
        <v/>
      </c>
    </row>
    <row r="84">
      <c r="A84" s="64">
        <f>A83+1</f>
        <v/>
      </c>
      <c r="B84">
        <f>IF(MOD($A84-INDEX(SkiftStart,1),Syklus)&lt;DagK,"K",IF(MOD($A84-INDEX(SkiftStart,1),Syklus)&lt;DagK+DagH,"H",IF(MOD($A84-INDEX(SkiftStart,1),Syklus)&lt;DagK+DagH+DagD,"D","F")))</f>
        <v/>
      </c>
      <c r="C84">
        <f>IF(MOD($A84-INDEX(SkiftStart,2),Syklus)&lt;DagK,"K",IF(MOD($A84-INDEX(SkiftStart,2),Syklus)&lt;DagK+DagH,"H",IF(MOD($A84-INDEX(SkiftStart,2),Syklus)&lt;DagK+DagH+DagD,"D","F")))</f>
        <v/>
      </c>
      <c r="D84">
        <f>IF(MOD($A84-INDEX(SkiftStart,3),Syklus)&lt;DagK,"K",IF(MOD($A84-INDEX(SkiftStart,3),Syklus)&lt;DagK+DagH,"H",IF(MOD($A84-INDEX(SkiftStart,3),Syklus)&lt;DagK+DagH+DagD,"D","F")))</f>
        <v/>
      </c>
      <c r="E84">
        <f>IF(B84="F",0,IF(WEEKDAY($A84,2)=5,INDEX(TimerFr,MATCH(B84,FaseKode,0)),INDEX(TimerMT,MATCH(B84,FaseKode,0))))</f>
        <v/>
      </c>
      <c r="F84">
        <f>IF(C84="F",0,IF(WEEKDAY($A84,2)=5,INDEX(TimerFr,MATCH(C84,FaseKode,0)),INDEX(TimerMT,MATCH(C84,FaseKode,0))))</f>
        <v/>
      </c>
      <c r="G84">
        <f>IF(D84="F",0,IF(WEEKDAY($A84,2)=5,INDEX(TimerFr,MATCH(D84,FaseKode,0)),INDEX(TimerMT,MATCH(D84,FaseKode,0))))</f>
        <v/>
      </c>
      <c r="H84">
        <f>IF(OR(H$4="",$A84&gt;TODAY()),0,IF(OR(INDEX($B84:$D84,H$5)="F",AND(H$6&gt;0,$A84&lt;H$6),AND(H$7&gt;0,$A84&gt;H$7)),0,MAX(0,ROUND((INDEX($E84:$G84,H$5)-SUMIFS(TF_Timer,TF_Tekniker,H$4,TF_Dato,$A84))*2,0)/2)))</f>
        <v/>
      </c>
      <c r="I84">
        <f>IF(OR(I$4="",$A84&gt;TODAY()),0,IF(OR(INDEX($B84:$D84,I$5)="F",AND(I$6&gt;0,$A84&lt;I$6),AND(I$7&gt;0,$A84&gt;I$7)),0,MAX(0,ROUND((INDEX($E84:$G84,I$5)-SUMIFS(TF_Timer,TF_Tekniker,I$4,TF_Dato,$A84))*2,0)/2)))</f>
        <v/>
      </c>
      <c r="J84">
        <f>IF(OR(J$4="",$A84&gt;TODAY()),0,IF(OR(INDEX($B84:$D84,J$5)="F",AND(J$6&gt;0,$A84&lt;J$6),AND(J$7&gt;0,$A84&gt;J$7)),0,MAX(0,ROUND((INDEX($E84:$G84,J$5)-SUMIFS(TF_Timer,TF_Tekniker,J$4,TF_Dato,$A84))*2,0)/2)))</f>
        <v/>
      </c>
      <c r="K84">
        <f>IF(OR(K$4="",$A84&gt;TODAY()),0,IF(OR(INDEX($B84:$D84,K$5)="F",AND(K$6&gt;0,$A84&lt;K$6),AND(K$7&gt;0,$A84&gt;K$7)),0,MAX(0,ROUND((INDEX($E84:$G84,K$5)-SUMIFS(TF_Timer,TF_Tekniker,K$4,TF_Dato,$A84))*2,0)/2)))</f>
        <v/>
      </c>
      <c r="L84">
        <f>IF(OR(L$4="",$A84&gt;TODAY()),0,IF(OR(INDEX($B84:$D84,L$5)="F",AND(L$6&gt;0,$A84&lt;L$6),AND(L$7&gt;0,$A84&gt;L$7)),0,MAX(0,ROUND((INDEX($E84:$G84,L$5)-SUMIFS(TF_Timer,TF_Tekniker,L$4,TF_Dato,$A84))*2,0)/2)))</f>
        <v/>
      </c>
      <c r="M84">
        <f>IF(OR(M$4="",$A84&gt;TODAY()),0,IF(OR(INDEX($B84:$D84,M$5)="F",AND(M$6&gt;0,$A84&lt;M$6),AND(M$7&gt;0,$A84&gt;M$7)),0,MAX(0,ROUND((INDEX($E84:$G84,M$5)-SUMIFS(TF_Timer,TF_Tekniker,M$4,TF_Dato,$A84))*2,0)/2)))</f>
        <v/>
      </c>
      <c r="N84">
        <f>IF(OR(N$4="",$A84&gt;TODAY()),0,IF(OR(INDEX($B84:$D84,N$5)="F",AND(N$6&gt;0,$A84&lt;N$6),AND(N$7&gt;0,$A84&gt;N$7)),0,MAX(0,ROUND((INDEX($E84:$G84,N$5)-SUMIFS(TF_Timer,TF_Tekniker,N$4,TF_Dato,$A84))*2,0)/2)))</f>
        <v/>
      </c>
      <c r="O84">
        <f>IF(OR(O$4="",$A84&gt;TODAY()),0,IF(OR(INDEX($B84:$D84,O$5)="F",AND(O$6&gt;0,$A84&lt;O$6),AND(O$7&gt;0,$A84&gt;O$7)),0,MAX(0,ROUND((INDEX($E84:$G84,O$5)-SUMIFS(TF_Timer,TF_Tekniker,O$4,TF_Dato,$A84))*2,0)/2)))</f>
        <v/>
      </c>
      <c r="P84">
        <f>IF(OR(P$4="",$A84&gt;TODAY()),0,IF(OR(INDEX($B84:$D84,P$5)="F",AND(P$6&gt;0,$A84&lt;P$6),AND(P$7&gt;0,$A84&gt;P$7)),0,MAX(0,ROUND((INDEX($E84:$G84,P$5)-SUMIFS(TF_Timer,TF_Tekniker,P$4,TF_Dato,$A84))*2,0)/2)))</f>
        <v/>
      </c>
      <c r="Q84">
        <f>IF(OR(Q$4="",$A84&gt;TODAY()),0,IF(OR(INDEX($B84:$D84,Q$5)="F",AND(Q$6&gt;0,$A84&lt;Q$6),AND(Q$7&gt;0,$A84&gt;Q$7)),0,MAX(0,ROUND((INDEX($E84:$G84,Q$5)-SUMIFS(TF_Timer,TF_Tekniker,Q$4,TF_Dato,$A84))*2,0)/2)))</f>
        <v/>
      </c>
      <c r="R84">
        <f>IF(OR(R$4="",$A84&gt;TODAY()),0,IF(OR(INDEX($B84:$D84,R$5)="F",AND(R$6&gt;0,$A84&lt;R$6),AND(R$7&gt;0,$A84&gt;R$7)),0,MAX(0,ROUND((INDEX($E84:$G84,R$5)-SUMIFS(TF_Timer,TF_Tekniker,R$4,TF_Dato,$A84))*2,0)/2)))</f>
        <v/>
      </c>
      <c r="S84">
        <f>IF(OR(S$4="",$A84&gt;TODAY()),0,IF(OR(INDEX($B84:$D84,S$5)="F",AND(S$6&gt;0,$A84&lt;S$6),AND(S$7&gt;0,$A84&gt;S$7)),0,MAX(0,ROUND((INDEX($E84:$G84,S$5)-SUMIFS(TF_Timer,TF_Tekniker,S$4,TF_Dato,$A84))*2,0)/2)))</f>
        <v/>
      </c>
      <c r="T84">
        <f>IF(OR(T$4="",$A84&gt;TODAY()),0,IF(OR(INDEX($B84:$D84,T$5)="F",AND(T$6&gt;0,$A84&lt;T$6),AND(T$7&gt;0,$A84&gt;T$7)),0,MAX(0,ROUND((INDEX($E84:$G84,T$5)-SUMIFS(TF_Timer,TF_Tekniker,T$4,TF_Dato,$A84))*2,0)/2)))</f>
        <v/>
      </c>
      <c r="U84">
        <f>IF(OR(U$4="",$A84&gt;TODAY()),0,IF(OR(INDEX($B84:$D84,U$5)="F",AND(U$6&gt;0,$A84&lt;U$6),AND(U$7&gt;0,$A84&gt;U$7)),0,MAX(0,ROUND((INDEX($E84:$G84,U$5)-SUMIFS(TF_Timer,TF_Tekniker,U$4,TF_Dato,$A84))*2,0)/2)))</f>
        <v/>
      </c>
      <c r="V84">
        <f>IF(OR(V$4="",$A84&gt;TODAY()),0,IF(OR(INDEX($B84:$D84,V$5)="F",AND(V$6&gt;0,$A84&lt;V$6),AND(V$7&gt;0,$A84&gt;V$7)),0,MAX(0,ROUND((INDEX($E84:$G84,V$5)-SUMIFS(TF_Timer,TF_Tekniker,V$4,TF_Dato,$A84))*2,0)/2)))</f>
        <v/>
      </c>
      <c r="W84">
        <f>IF(OR(W$4="",$A84&gt;TODAY()),0,IF(OR(INDEX($B84:$D84,W$5)="F",AND(W$6&gt;0,$A84&lt;W$6),AND(W$7&gt;0,$A84&gt;W$7)),0,MAX(0,ROUND((INDEX($E84:$G84,W$5)-SUMIFS(TF_Timer,TF_Tekniker,W$4,TF_Dato,$A84))*2,0)/2)))</f>
        <v/>
      </c>
      <c r="X84">
        <f>IF(OR(X$4="",$A84&gt;TODAY()),0,IF(OR(INDEX($B84:$D84,X$5)="F",AND(X$6&gt;0,$A84&lt;X$6),AND(X$7&gt;0,$A84&gt;X$7)),0,MAX(0,ROUND((INDEX($E84:$G84,X$5)-SUMIFS(TF_Timer,TF_Tekniker,X$4,TF_Dato,$A84))*2,0)/2)))</f>
        <v/>
      </c>
      <c r="Y84">
        <f>IF(OR(Y$4="",$A84&gt;TODAY()),0,IF(OR(INDEX($B84:$D84,Y$5)="F",AND(Y$6&gt;0,$A84&lt;Y$6),AND(Y$7&gt;0,$A84&gt;Y$7)),0,MAX(0,ROUND((INDEX($E84:$G84,Y$5)-SUMIFS(TF_Timer,TF_Tekniker,Y$4,TF_Dato,$A84))*2,0)/2)))</f>
        <v/>
      </c>
      <c r="Z84">
        <f>IF(OR(Z$4="",$A84&gt;TODAY()),0,IF(OR(INDEX($B84:$D84,Z$5)="F",AND(Z$6&gt;0,$A84&lt;Z$6),AND(Z$7&gt;0,$A84&gt;Z$7)),0,MAX(0,ROUND((INDEX($E84:$G84,Z$5)-SUMIFS(TF_Timer,TF_Tekniker,Z$4,TF_Dato,$A84))*2,0)/2)))</f>
        <v/>
      </c>
      <c r="AA84">
        <f>IF(OR(AA$4="",$A84&gt;TODAY()),0,IF(OR(INDEX($B84:$D84,AA$5)="F",AND(AA$6&gt;0,$A84&lt;AA$6),AND(AA$7&gt;0,$A84&gt;AA$7)),0,MAX(0,ROUND((INDEX($E84:$G84,AA$5)-SUMIFS(TF_Timer,TF_Tekniker,AA$4,TF_Dato,$A84))*2,0)/2)))</f>
        <v/>
      </c>
      <c r="AB84">
        <f>IF(OR(AB$4="",$A84&gt;TODAY()),0,IF(OR(INDEX($B84:$D84,AB$5)="F",AND(AB$6&gt;0,$A84&lt;AB$6),AND(AB$7&gt;0,$A84&gt;AB$7)),0,MAX(0,ROUND((INDEX($E84:$G84,AB$5)-SUMIFS(TF_Timer,TF_Tekniker,AB$4,TF_Dato,$A84))*2,0)/2)))</f>
        <v/>
      </c>
      <c r="AC84">
        <f>IF(OR(AC$4="",$A84&gt;TODAY()),0,IF(OR(INDEX($B84:$D84,AC$5)="F",AND(AC$6&gt;0,$A84&lt;AC$6),AND(AC$7&gt;0,$A84&gt;AC$7)),0,MAX(0,ROUND((INDEX($E84:$G84,AC$5)-SUMIFS(TF_Timer,TF_Tekniker,AC$4,TF_Dato,$A84))*2,0)/2)))</f>
        <v/>
      </c>
      <c r="AD84">
        <f>IF(OR(AD$4="",$A84&gt;TODAY()),0,IF(OR(INDEX($B84:$D84,AD$5)="F",AND(AD$6&gt;0,$A84&lt;AD$6),AND(AD$7&gt;0,$A84&gt;AD$7)),0,MAX(0,ROUND((INDEX($E84:$G84,AD$5)-SUMIFS(TF_Timer,TF_Tekniker,AD$4,TF_Dato,$A84))*2,0)/2)))</f>
        <v/>
      </c>
      <c r="AE84">
        <f>IF(OR(AE$4="",$A84&gt;TODAY()),0,IF(OR(INDEX($B84:$D84,AE$5)="F",AND(AE$6&gt;0,$A84&lt;AE$6),AND(AE$7&gt;0,$A84&gt;AE$7)),0,MAX(0,ROUND((INDEX($E84:$G84,AE$5)-SUMIFS(TF_Timer,TF_Tekniker,AE$4,TF_Dato,$A84))*2,0)/2)))</f>
        <v/>
      </c>
      <c r="AF84">
        <f>IF(OR(AF$4="",$A84&gt;TODAY()),0,IF(OR(INDEX($B84:$D84,AF$5)="F",AND(AF$6&gt;0,$A84&lt;AF$6),AND(AF$7&gt;0,$A84&gt;AF$7)),0,MAX(0,ROUND((INDEX($E84:$G84,AF$5)-SUMIFS(TF_Timer,TF_Tekniker,AF$4,TF_Dato,$A84))*2,0)/2)))</f>
        <v/>
      </c>
      <c r="AG84">
        <f>IF(OR(AG$4="",$A84&gt;TODAY()),0,IF(OR(INDEX($B84:$D84,AG$5)="F",AND(AG$6&gt;0,$A84&lt;AG$6),AND(AG$7&gt;0,$A84&gt;AG$7)),0,MAX(0,ROUND((INDEX($E84:$G84,AG$5)-SUMIFS(TF_Timer,TF_Tekniker,AG$4,TF_Dato,$A84))*2,0)/2)))</f>
        <v/>
      </c>
      <c r="AH84">
        <f>IF(OR(AH$4="",$A84&gt;TODAY()),0,IF(OR(INDEX($B84:$D84,AH$5)="F",AND(AH$6&gt;0,$A84&lt;AH$6),AND(AH$7&gt;0,$A84&gt;AH$7)),0,MAX(0,ROUND((INDEX($E84:$G84,AH$5)-SUMIFS(TF_Timer,TF_Tekniker,AH$4,TF_Dato,$A84))*2,0)/2)))</f>
        <v/>
      </c>
      <c r="AI84">
        <f>IF(OR(AI$4="",$A84&gt;TODAY()),0,IF(OR(INDEX($B84:$D84,AI$5)="F",AND(AI$6&gt;0,$A84&lt;AI$6),AND(AI$7&gt;0,$A84&gt;AI$7)),0,MAX(0,ROUND((INDEX($E84:$G84,AI$5)-SUMIFS(TF_Timer,TF_Tekniker,AI$4,TF_Dato,$A84))*2,0)/2)))</f>
        <v/>
      </c>
      <c r="AJ84">
        <f>IF(OR(AJ$4="",$A84&gt;TODAY()),0,IF(OR(INDEX($B84:$D84,AJ$5)="F",AND(AJ$6&gt;0,$A84&lt;AJ$6),AND(AJ$7&gt;0,$A84&gt;AJ$7)),0,MAX(0,ROUND((INDEX($E84:$G84,AJ$5)-SUMIFS(TF_Timer,TF_Tekniker,AJ$4,TF_Dato,$A84))*2,0)/2)))</f>
        <v/>
      </c>
      <c r="AK84">
        <f>IF(OR(AK$4="",$A84&gt;TODAY()),0,IF(OR(INDEX($B84:$D84,AK$5)="F",AND(AK$6&gt;0,$A84&lt;AK$6),AND(AK$7&gt;0,$A84&gt;AK$7)),0,MAX(0,ROUND((INDEX($E84:$G84,AK$5)-SUMIFS(TF_Timer,TF_Tekniker,AK$4,TF_Dato,$A84))*2,0)/2)))</f>
        <v/>
      </c>
      <c r="AL84">
        <f>IF(OR(AL$4="",$A84&gt;TODAY()),0,IF(OR(INDEX($B84:$D84,AL$5)="F",AND(AL$6&gt;0,$A84&lt;AL$6),AND(AL$7&gt;0,$A84&gt;AL$7)),0,MAX(0,ROUND((INDEX($E84:$G84,AL$5)-SUMIFS(TF_Timer,TF_Tekniker,AL$4,TF_Dato,$A84))*2,0)/2)))</f>
        <v/>
      </c>
      <c r="AM84">
        <f>IF(OR(AM$4="",$A84&gt;TODAY()),0,IF(OR(INDEX($B84:$D84,AM$5)="F",AND(AM$6&gt;0,$A84&lt;AM$6),AND(AM$7&gt;0,$A84&gt;AM$7)),0,MAX(0,ROUND((INDEX($E84:$G84,AM$5)-SUMIFS(TF_Timer,TF_Tekniker,AM$4,TF_Dato,$A84))*2,0)/2)))</f>
        <v/>
      </c>
      <c r="AN84">
        <f>IF(OR(AN$4="",$A84&gt;TODAY()),0,IF(OR(INDEX($B84:$D84,AN$5)="F",AND(AN$6&gt;0,$A84&lt;AN$6),AND(AN$7&gt;0,$A84&gt;AN$7)),0,MAX(0,ROUND((INDEX($E84:$G84,AN$5)-SUMIFS(TF_Timer,TF_Tekniker,AN$4,TF_Dato,$A84))*2,0)/2)))</f>
        <v/>
      </c>
      <c r="AO84">
        <f>IF(OR(AO$4="",$A84&gt;TODAY()),0,IF(OR(INDEX($B84:$D84,AO$5)="F",AND(AO$6&gt;0,$A84&lt;AO$6),AND(AO$7&gt;0,$A84&gt;AO$7)),0,MAX(0,ROUND((INDEX($E84:$G84,AO$5)-SUMIFS(TF_Timer,TF_Tekniker,AO$4,TF_Dato,$A84))*2,0)/2)))</f>
        <v/>
      </c>
      <c r="AP84">
        <f>IF(OR(AP$4="",$A84&gt;TODAY()),0,IF(OR(INDEX($B84:$D84,AP$5)="F",AND(AP$6&gt;0,$A84&lt;AP$6),AND(AP$7&gt;0,$A84&gt;AP$7)),0,MAX(0,ROUND((INDEX($E84:$G84,AP$5)-SUMIFS(TF_Timer,TF_Tekniker,AP$4,TF_Dato,$A84))*2,0)/2)))</f>
        <v/>
      </c>
      <c r="AQ84">
        <f>IF(OR(AQ$4="",$A84&gt;TODAY()),0,IF(OR(INDEX($B84:$D84,AQ$5)="F",AND(AQ$6&gt;0,$A84&lt;AQ$6),AND(AQ$7&gt;0,$A84&gt;AQ$7)),0,MAX(0,ROUND((INDEX($E84:$G84,AQ$5)-SUMIFS(TF_Timer,TF_Tekniker,AQ$4,TF_Dato,$A84))*2,0)/2)))</f>
        <v/>
      </c>
      <c r="AR84">
        <f>IF(OR(AR$4="",$A84&gt;TODAY()),0,IF(OR(INDEX($B84:$D84,AR$5)="F",AND(AR$6&gt;0,$A84&lt;AR$6),AND(AR$7&gt;0,$A84&gt;AR$7)),0,MAX(0,ROUND((INDEX($E84:$G84,AR$5)-SUMIFS(TF_Timer,TF_Tekniker,AR$4,TF_Dato,$A84))*2,0)/2)))</f>
        <v/>
      </c>
      <c r="AS84">
        <f>IF(OR(AS$4="",$A84&gt;TODAY()),0,IF(OR(INDEX($B84:$D84,AS$5)="F",AND(AS$6&gt;0,$A84&lt;AS$6),AND(AS$7&gt;0,$A84&gt;AS$7)),0,MAX(0,ROUND((INDEX($E84:$G84,AS$5)-SUMIFS(TF_Timer,TF_Tekniker,AS$4,TF_Dato,$A84))*2,0)/2)))</f>
        <v/>
      </c>
      <c r="AT84">
        <f>IF(OR(AT$4="",$A84&gt;TODAY()),0,IF(OR(INDEX($B84:$D84,AT$5)="F",AND(AT$6&gt;0,$A84&lt;AT$6),AND(AT$7&gt;0,$A84&gt;AT$7)),0,MAX(0,ROUND((INDEX($E84:$G84,AT$5)-SUMIFS(TF_Timer,TF_Tekniker,AT$4,TF_Dato,$A84))*2,0)/2)))</f>
        <v/>
      </c>
      <c r="AU84">
        <f>IF(OR(AU$4="",$A84&gt;TODAY()),0,IF(OR(INDEX($B84:$D84,AU$5)="F",AND(AU$6&gt;0,$A84&lt;AU$6),AND(AU$7&gt;0,$A84&gt;AU$7)),0,MAX(0,ROUND((INDEX($E84:$G84,AU$5)-SUMIFS(TF_Timer,TF_Tekniker,AU$4,TF_Dato,$A84))*2,0)/2)))</f>
        <v/>
      </c>
      <c r="AV84">
        <f>IF(OR(AV$4="",$A84&gt;TODAY()),0,IF(OR(INDEX($B84:$D84,AV$5)="F",AND(AV$6&gt;0,$A84&lt;AV$6),AND(AV$7&gt;0,$A84&gt;AV$7)),0,MAX(0,ROUND((INDEX($E84:$G84,AV$5)-SUMIFS(TF_Timer,TF_Tekniker,AV$4,TF_Dato,$A84))*2,0)/2)))</f>
        <v/>
      </c>
      <c r="AW84">
        <f>IF(OR(AW$4="",$A84&gt;TODAY()),0,IF(OR(INDEX($B84:$D84,AW$5)="F",AND(AW$6&gt;0,$A84&lt;AW$6),AND(AW$7&gt;0,$A84&gt;AW$7)),0,MAX(0,ROUND((INDEX($E84:$G84,AW$5)-SUMIFS(TF_Timer,TF_Tekniker,AW$4,TF_Dato,$A84))*2,0)/2)))</f>
        <v/>
      </c>
      <c r="AX84">
        <f>IF(OR(AX$4="",$A84&gt;TODAY()),0,IF(OR(INDEX($B84:$D84,AX$5)="F",AND(AX$6&gt;0,$A84&lt;AX$6),AND(AX$7&gt;0,$A84&gt;AX$7)),0,MAX(0,ROUND((INDEX($E84:$G84,AX$5)-SUMIFS(TF_Timer,TF_Tekniker,AX$4,TF_Dato,$A84))*2,0)/2)))</f>
        <v/>
      </c>
      <c r="AY84">
        <f>IF(OR(AY$4="",$A84&gt;TODAY()),0,IF(OR(INDEX($B84:$D84,AY$5)="F",AND(AY$6&gt;0,$A84&lt;AY$6),AND(AY$7&gt;0,$A84&gt;AY$7)),0,MAX(0,ROUND((INDEX($E84:$G84,AY$5)-SUMIFS(TF_Timer,TF_Tekniker,AY$4,TF_Dato,$A84))*2,0)/2)))</f>
        <v/>
      </c>
      <c r="AZ84">
        <f>IF(OR(AZ$4="",$A84&gt;TODAY()),0,IF(OR(INDEX($B84:$D84,AZ$5)="F",AND(AZ$6&gt;0,$A84&lt;AZ$6),AND(AZ$7&gt;0,$A84&gt;AZ$7)),0,MAX(0,ROUND((INDEX($E84:$G84,AZ$5)-SUMIFS(TF_Timer,TF_Tekniker,AZ$4,TF_Dato,$A84))*2,0)/2)))</f>
        <v/>
      </c>
      <c r="BA84">
        <f>IF(OR(BA$4="",$A84&gt;TODAY()),0,IF(OR(INDEX($B84:$D84,BA$5)="F",AND(BA$6&gt;0,$A84&lt;BA$6),AND(BA$7&gt;0,$A84&gt;BA$7)),0,MAX(0,ROUND((INDEX($E84:$G84,BA$5)-SUMIFS(TF_Timer,TF_Tekniker,BA$4,TF_Dato,$A84))*2,0)/2)))</f>
        <v/>
      </c>
      <c r="BB84">
        <f>IF(OR(BB$4="",$A84&gt;TODAY()),0,IF(OR(INDEX($B84:$D84,BB$5)="F",AND(BB$6&gt;0,$A84&lt;BB$6),AND(BB$7&gt;0,$A84&gt;BB$7)),0,MAX(0,ROUND((INDEX($E84:$G84,BB$5)-SUMIFS(TF_Timer,TF_Tekniker,BB$4,TF_Dato,$A84))*2,0)/2)))</f>
        <v/>
      </c>
      <c r="BC84">
        <f>IF(OR(BC$4="",$A84&gt;TODAY()),0,IF(OR(INDEX($B84:$D84,BC$5)="F",AND(BC$6&gt;0,$A84&lt;BC$6),AND(BC$7&gt;0,$A84&gt;BC$7)),0,MAX(0,ROUND((INDEX($E84:$G84,BC$5)-SUMIFS(TF_Timer,TF_Tekniker,BC$4,TF_Dato,$A84))*2,0)/2)))</f>
        <v/>
      </c>
      <c r="BD84">
        <f>IF(OR(BD$4="",$A84&gt;TODAY()),0,IF(OR(INDEX($B84:$D84,BD$5)="F",AND(BD$6&gt;0,$A84&lt;BD$6),AND(BD$7&gt;0,$A84&gt;BD$7)),0,MAX(0,ROUND((INDEX($E84:$G84,BD$5)-SUMIFS(TF_Timer,TF_Tekniker,BD$4,TF_Dato,$A84))*2,0)/2)))</f>
        <v/>
      </c>
      <c r="BE84">
        <f>IF(OR(BE$4="",$A84&gt;TODAY()),0,IF(OR(INDEX($B84:$D84,BE$5)="F",AND(BE$6&gt;0,$A84&lt;BE$6),AND(BE$7&gt;0,$A84&gt;BE$7)),0,MAX(0,ROUND((INDEX($E84:$G84,BE$5)-SUMIFS(TF_Timer,TF_Tekniker,BE$4,TF_Dato,$A84))*2,0)/2)))</f>
        <v/>
      </c>
      <c r="BF84">
        <f>IF(OR(BF$4="",$A84&gt;TODAY()),0,IF(OR(INDEX($B84:$D84,BF$5)="F",AND(BF$6&gt;0,$A84&lt;BF$6),AND(BF$7&gt;0,$A84&gt;BF$7)),0,MAX(0,ROUND((INDEX($E84:$G84,BF$5)-SUMIFS(TF_Timer,TF_Tekniker,BF$4,TF_Dato,$A84))*2,0)/2)))</f>
        <v/>
      </c>
      <c r="BG84">
        <f>IF(OR(BG$4="",$A84&gt;TODAY()),0,IF(OR(INDEX($B84:$D84,BG$5)="F",AND(BG$6&gt;0,$A84&lt;BG$6),AND(BG$7&gt;0,$A84&gt;BG$7)),0,MAX(0,ROUND((INDEX($E84:$G84,BG$5)-SUMIFS(TF_Timer,TF_Tekniker,BG$4,TF_Dato,$A84))*2,0)/2)))</f>
        <v/>
      </c>
      <c r="BH84">
        <f>IF(OR(BH$4="",$A84&gt;TODAY()),0,IF(OR(INDEX($B84:$D84,BH$5)="F",AND(BH$6&gt;0,$A84&lt;BH$6),AND(BH$7&gt;0,$A84&gt;BH$7)),0,MAX(0,ROUND((INDEX($E84:$G84,BH$5)-SUMIFS(TF_Timer,TF_Tekniker,BH$4,TF_Dato,$A84))*2,0)/2)))</f>
        <v/>
      </c>
      <c r="BI84">
        <f>IF(OR(BI$4="",$A84&gt;TODAY()),0,IF(OR(INDEX($B84:$D84,BI$5)="F",AND(BI$6&gt;0,$A84&lt;BI$6),AND(BI$7&gt;0,$A84&gt;BI$7)),0,MAX(0,ROUND((INDEX($E84:$G84,BI$5)-SUMIFS(TF_Timer,TF_Tekniker,BI$4,TF_Dato,$A84))*2,0)/2)))</f>
        <v/>
      </c>
    </row>
    <row r="85">
      <c r="A85" s="64">
        <f>A84+1</f>
        <v/>
      </c>
      <c r="B85">
        <f>IF(MOD($A85-INDEX(SkiftStart,1),Syklus)&lt;DagK,"K",IF(MOD($A85-INDEX(SkiftStart,1),Syklus)&lt;DagK+DagH,"H",IF(MOD($A85-INDEX(SkiftStart,1),Syklus)&lt;DagK+DagH+DagD,"D","F")))</f>
        <v/>
      </c>
      <c r="C85">
        <f>IF(MOD($A85-INDEX(SkiftStart,2),Syklus)&lt;DagK,"K",IF(MOD($A85-INDEX(SkiftStart,2),Syklus)&lt;DagK+DagH,"H",IF(MOD($A85-INDEX(SkiftStart,2),Syklus)&lt;DagK+DagH+DagD,"D","F")))</f>
        <v/>
      </c>
      <c r="D85">
        <f>IF(MOD($A85-INDEX(SkiftStart,3),Syklus)&lt;DagK,"K",IF(MOD($A85-INDEX(SkiftStart,3),Syklus)&lt;DagK+DagH,"H",IF(MOD($A85-INDEX(SkiftStart,3),Syklus)&lt;DagK+DagH+DagD,"D","F")))</f>
        <v/>
      </c>
      <c r="E85">
        <f>IF(B85="F",0,IF(WEEKDAY($A85,2)=5,INDEX(TimerFr,MATCH(B85,FaseKode,0)),INDEX(TimerMT,MATCH(B85,FaseKode,0))))</f>
        <v/>
      </c>
      <c r="F85">
        <f>IF(C85="F",0,IF(WEEKDAY($A85,2)=5,INDEX(TimerFr,MATCH(C85,FaseKode,0)),INDEX(TimerMT,MATCH(C85,FaseKode,0))))</f>
        <v/>
      </c>
      <c r="G85">
        <f>IF(D85="F",0,IF(WEEKDAY($A85,2)=5,INDEX(TimerFr,MATCH(D85,FaseKode,0)),INDEX(TimerMT,MATCH(D85,FaseKode,0))))</f>
        <v/>
      </c>
      <c r="H85">
        <f>IF(OR(H$4="",$A85&gt;TODAY()),0,IF(OR(INDEX($B85:$D85,H$5)="F",AND(H$6&gt;0,$A85&lt;H$6),AND(H$7&gt;0,$A85&gt;H$7)),0,MAX(0,ROUND((INDEX($E85:$G85,H$5)-SUMIFS(TF_Timer,TF_Tekniker,H$4,TF_Dato,$A85))*2,0)/2)))</f>
        <v/>
      </c>
      <c r="I85">
        <f>IF(OR(I$4="",$A85&gt;TODAY()),0,IF(OR(INDEX($B85:$D85,I$5)="F",AND(I$6&gt;0,$A85&lt;I$6),AND(I$7&gt;0,$A85&gt;I$7)),0,MAX(0,ROUND((INDEX($E85:$G85,I$5)-SUMIFS(TF_Timer,TF_Tekniker,I$4,TF_Dato,$A85))*2,0)/2)))</f>
        <v/>
      </c>
      <c r="J85">
        <f>IF(OR(J$4="",$A85&gt;TODAY()),0,IF(OR(INDEX($B85:$D85,J$5)="F",AND(J$6&gt;0,$A85&lt;J$6),AND(J$7&gt;0,$A85&gt;J$7)),0,MAX(0,ROUND((INDEX($E85:$G85,J$5)-SUMIFS(TF_Timer,TF_Tekniker,J$4,TF_Dato,$A85))*2,0)/2)))</f>
        <v/>
      </c>
      <c r="K85">
        <f>IF(OR(K$4="",$A85&gt;TODAY()),0,IF(OR(INDEX($B85:$D85,K$5)="F",AND(K$6&gt;0,$A85&lt;K$6),AND(K$7&gt;0,$A85&gt;K$7)),0,MAX(0,ROUND((INDEX($E85:$G85,K$5)-SUMIFS(TF_Timer,TF_Tekniker,K$4,TF_Dato,$A85))*2,0)/2)))</f>
        <v/>
      </c>
      <c r="L85">
        <f>IF(OR(L$4="",$A85&gt;TODAY()),0,IF(OR(INDEX($B85:$D85,L$5)="F",AND(L$6&gt;0,$A85&lt;L$6),AND(L$7&gt;0,$A85&gt;L$7)),0,MAX(0,ROUND((INDEX($E85:$G85,L$5)-SUMIFS(TF_Timer,TF_Tekniker,L$4,TF_Dato,$A85))*2,0)/2)))</f>
        <v/>
      </c>
      <c r="M85">
        <f>IF(OR(M$4="",$A85&gt;TODAY()),0,IF(OR(INDEX($B85:$D85,M$5)="F",AND(M$6&gt;0,$A85&lt;M$6),AND(M$7&gt;0,$A85&gt;M$7)),0,MAX(0,ROUND((INDEX($E85:$G85,M$5)-SUMIFS(TF_Timer,TF_Tekniker,M$4,TF_Dato,$A85))*2,0)/2)))</f>
        <v/>
      </c>
      <c r="N85">
        <f>IF(OR(N$4="",$A85&gt;TODAY()),0,IF(OR(INDEX($B85:$D85,N$5)="F",AND(N$6&gt;0,$A85&lt;N$6),AND(N$7&gt;0,$A85&gt;N$7)),0,MAX(0,ROUND((INDEX($E85:$G85,N$5)-SUMIFS(TF_Timer,TF_Tekniker,N$4,TF_Dato,$A85))*2,0)/2)))</f>
        <v/>
      </c>
      <c r="O85">
        <f>IF(OR(O$4="",$A85&gt;TODAY()),0,IF(OR(INDEX($B85:$D85,O$5)="F",AND(O$6&gt;0,$A85&lt;O$6),AND(O$7&gt;0,$A85&gt;O$7)),0,MAX(0,ROUND((INDEX($E85:$G85,O$5)-SUMIFS(TF_Timer,TF_Tekniker,O$4,TF_Dato,$A85))*2,0)/2)))</f>
        <v/>
      </c>
      <c r="P85">
        <f>IF(OR(P$4="",$A85&gt;TODAY()),0,IF(OR(INDEX($B85:$D85,P$5)="F",AND(P$6&gt;0,$A85&lt;P$6),AND(P$7&gt;0,$A85&gt;P$7)),0,MAX(0,ROUND((INDEX($E85:$G85,P$5)-SUMIFS(TF_Timer,TF_Tekniker,P$4,TF_Dato,$A85))*2,0)/2)))</f>
        <v/>
      </c>
      <c r="Q85">
        <f>IF(OR(Q$4="",$A85&gt;TODAY()),0,IF(OR(INDEX($B85:$D85,Q$5)="F",AND(Q$6&gt;0,$A85&lt;Q$6),AND(Q$7&gt;0,$A85&gt;Q$7)),0,MAX(0,ROUND((INDEX($E85:$G85,Q$5)-SUMIFS(TF_Timer,TF_Tekniker,Q$4,TF_Dato,$A85))*2,0)/2)))</f>
        <v/>
      </c>
      <c r="R85">
        <f>IF(OR(R$4="",$A85&gt;TODAY()),0,IF(OR(INDEX($B85:$D85,R$5)="F",AND(R$6&gt;0,$A85&lt;R$6),AND(R$7&gt;0,$A85&gt;R$7)),0,MAX(0,ROUND((INDEX($E85:$G85,R$5)-SUMIFS(TF_Timer,TF_Tekniker,R$4,TF_Dato,$A85))*2,0)/2)))</f>
        <v/>
      </c>
      <c r="S85">
        <f>IF(OR(S$4="",$A85&gt;TODAY()),0,IF(OR(INDEX($B85:$D85,S$5)="F",AND(S$6&gt;0,$A85&lt;S$6),AND(S$7&gt;0,$A85&gt;S$7)),0,MAX(0,ROUND((INDEX($E85:$G85,S$5)-SUMIFS(TF_Timer,TF_Tekniker,S$4,TF_Dato,$A85))*2,0)/2)))</f>
        <v/>
      </c>
      <c r="T85">
        <f>IF(OR(T$4="",$A85&gt;TODAY()),0,IF(OR(INDEX($B85:$D85,T$5)="F",AND(T$6&gt;0,$A85&lt;T$6),AND(T$7&gt;0,$A85&gt;T$7)),0,MAX(0,ROUND((INDEX($E85:$G85,T$5)-SUMIFS(TF_Timer,TF_Tekniker,T$4,TF_Dato,$A85))*2,0)/2)))</f>
        <v/>
      </c>
      <c r="U85">
        <f>IF(OR(U$4="",$A85&gt;TODAY()),0,IF(OR(INDEX($B85:$D85,U$5)="F",AND(U$6&gt;0,$A85&lt;U$6),AND(U$7&gt;0,$A85&gt;U$7)),0,MAX(0,ROUND((INDEX($E85:$G85,U$5)-SUMIFS(TF_Timer,TF_Tekniker,U$4,TF_Dato,$A85))*2,0)/2)))</f>
        <v/>
      </c>
      <c r="V85">
        <f>IF(OR(V$4="",$A85&gt;TODAY()),0,IF(OR(INDEX($B85:$D85,V$5)="F",AND(V$6&gt;0,$A85&lt;V$6),AND(V$7&gt;0,$A85&gt;V$7)),0,MAX(0,ROUND((INDEX($E85:$G85,V$5)-SUMIFS(TF_Timer,TF_Tekniker,V$4,TF_Dato,$A85))*2,0)/2)))</f>
        <v/>
      </c>
      <c r="W85">
        <f>IF(OR(W$4="",$A85&gt;TODAY()),0,IF(OR(INDEX($B85:$D85,W$5)="F",AND(W$6&gt;0,$A85&lt;W$6),AND(W$7&gt;0,$A85&gt;W$7)),0,MAX(0,ROUND((INDEX($E85:$G85,W$5)-SUMIFS(TF_Timer,TF_Tekniker,W$4,TF_Dato,$A85))*2,0)/2)))</f>
        <v/>
      </c>
      <c r="X85">
        <f>IF(OR(X$4="",$A85&gt;TODAY()),0,IF(OR(INDEX($B85:$D85,X$5)="F",AND(X$6&gt;0,$A85&lt;X$6),AND(X$7&gt;0,$A85&gt;X$7)),0,MAX(0,ROUND((INDEX($E85:$G85,X$5)-SUMIFS(TF_Timer,TF_Tekniker,X$4,TF_Dato,$A85))*2,0)/2)))</f>
        <v/>
      </c>
      <c r="Y85">
        <f>IF(OR(Y$4="",$A85&gt;TODAY()),0,IF(OR(INDEX($B85:$D85,Y$5)="F",AND(Y$6&gt;0,$A85&lt;Y$6),AND(Y$7&gt;0,$A85&gt;Y$7)),0,MAX(0,ROUND((INDEX($E85:$G85,Y$5)-SUMIFS(TF_Timer,TF_Tekniker,Y$4,TF_Dato,$A85))*2,0)/2)))</f>
        <v/>
      </c>
      <c r="Z85">
        <f>IF(OR(Z$4="",$A85&gt;TODAY()),0,IF(OR(INDEX($B85:$D85,Z$5)="F",AND(Z$6&gt;0,$A85&lt;Z$6),AND(Z$7&gt;0,$A85&gt;Z$7)),0,MAX(0,ROUND((INDEX($E85:$G85,Z$5)-SUMIFS(TF_Timer,TF_Tekniker,Z$4,TF_Dato,$A85))*2,0)/2)))</f>
        <v/>
      </c>
      <c r="AA85">
        <f>IF(OR(AA$4="",$A85&gt;TODAY()),0,IF(OR(INDEX($B85:$D85,AA$5)="F",AND(AA$6&gt;0,$A85&lt;AA$6),AND(AA$7&gt;0,$A85&gt;AA$7)),0,MAX(0,ROUND((INDEX($E85:$G85,AA$5)-SUMIFS(TF_Timer,TF_Tekniker,AA$4,TF_Dato,$A85))*2,0)/2)))</f>
        <v/>
      </c>
      <c r="AB85">
        <f>IF(OR(AB$4="",$A85&gt;TODAY()),0,IF(OR(INDEX($B85:$D85,AB$5)="F",AND(AB$6&gt;0,$A85&lt;AB$6),AND(AB$7&gt;0,$A85&gt;AB$7)),0,MAX(0,ROUND((INDEX($E85:$G85,AB$5)-SUMIFS(TF_Timer,TF_Tekniker,AB$4,TF_Dato,$A85))*2,0)/2)))</f>
        <v/>
      </c>
      <c r="AC85">
        <f>IF(OR(AC$4="",$A85&gt;TODAY()),0,IF(OR(INDEX($B85:$D85,AC$5)="F",AND(AC$6&gt;0,$A85&lt;AC$6),AND(AC$7&gt;0,$A85&gt;AC$7)),0,MAX(0,ROUND((INDEX($E85:$G85,AC$5)-SUMIFS(TF_Timer,TF_Tekniker,AC$4,TF_Dato,$A85))*2,0)/2)))</f>
        <v/>
      </c>
      <c r="AD85">
        <f>IF(OR(AD$4="",$A85&gt;TODAY()),0,IF(OR(INDEX($B85:$D85,AD$5)="F",AND(AD$6&gt;0,$A85&lt;AD$6),AND(AD$7&gt;0,$A85&gt;AD$7)),0,MAX(0,ROUND((INDEX($E85:$G85,AD$5)-SUMIFS(TF_Timer,TF_Tekniker,AD$4,TF_Dato,$A85))*2,0)/2)))</f>
        <v/>
      </c>
      <c r="AE85">
        <f>IF(OR(AE$4="",$A85&gt;TODAY()),0,IF(OR(INDEX($B85:$D85,AE$5)="F",AND(AE$6&gt;0,$A85&lt;AE$6),AND(AE$7&gt;0,$A85&gt;AE$7)),0,MAX(0,ROUND((INDEX($E85:$G85,AE$5)-SUMIFS(TF_Timer,TF_Tekniker,AE$4,TF_Dato,$A85))*2,0)/2)))</f>
        <v/>
      </c>
      <c r="AF85">
        <f>IF(OR(AF$4="",$A85&gt;TODAY()),0,IF(OR(INDEX($B85:$D85,AF$5)="F",AND(AF$6&gt;0,$A85&lt;AF$6),AND(AF$7&gt;0,$A85&gt;AF$7)),0,MAX(0,ROUND((INDEX($E85:$G85,AF$5)-SUMIFS(TF_Timer,TF_Tekniker,AF$4,TF_Dato,$A85))*2,0)/2)))</f>
        <v/>
      </c>
      <c r="AG85">
        <f>IF(OR(AG$4="",$A85&gt;TODAY()),0,IF(OR(INDEX($B85:$D85,AG$5)="F",AND(AG$6&gt;0,$A85&lt;AG$6),AND(AG$7&gt;0,$A85&gt;AG$7)),0,MAX(0,ROUND((INDEX($E85:$G85,AG$5)-SUMIFS(TF_Timer,TF_Tekniker,AG$4,TF_Dato,$A85))*2,0)/2)))</f>
        <v/>
      </c>
      <c r="AH85">
        <f>IF(OR(AH$4="",$A85&gt;TODAY()),0,IF(OR(INDEX($B85:$D85,AH$5)="F",AND(AH$6&gt;0,$A85&lt;AH$6),AND(AH$7&gt;0,$A85&gt;AH$7)),0,MAX(0,ROUND((INDEX($E85:$G85,AH$5)-SUMIFS(TF_Timer,TF_Tekniker,AH$4,TF_Dato,$A85))*2,0)/2)))</f>
        <v/>
      </c>
      <c r="AI85">
        <f>IF(OR(AI$4="",$A85&gt;TODAY()),0,IF(OR(INDEX($B85:$D85,AI$5)="F",AND(AI$6&gt;0,$A85&lt;AI$6),AND(AI$7&gt;0,$A85&gt;AI$7)),0,MAX(0,ROUND((INDEX($E85:$G85,AI$5)-SUMIFS(TF_Timer,TF_Tekniker,AI$4,TF_Dato,$A85))*2,0)/2)))</f>
        <v/>
      </c>
      <c r="AJ85">
        <f>IF(OR(AJ$4="",$A85&gt;TODAY()),0,IF(OR(INDEX($B85:$D85,AJ$5)="F",AND(AJ$6&gt;0,$A85&lt;AJ$6),AND(AJ$7&gt;0,$A85&gt;AJ$7)),0,MAX(0,ROUND((INDEX($E85:$G85,AJ$5)-SUMIFS(TF_Timer,TF_Tekniker,AJ$4,TF_Dato,$A85))*2,0)/2)))</f>
        <v/>
      </c>
      <c r="AK85">
        <f>IF(OR(AK$4="",$A85&gt;TODAY()),0,IF(OR(INDEX($B85:$D85,AK$5)="F",AND(AK$6&gt;0,$A85&lt;AK$6),AND(AK$7&gt;0,$A85&gt;AK$7)),0,MAX(0,ROUND((INDEX($E85:$G85,AK$5)-SUMIFS(TF_Timer,TF_Tekniker,AK$4,TF_Dato,$A85))*2,0)/2)))</f>
        <v/>
      </c>
      <c r="AL85">
        <f>IF(OR(AL$4="",$A85&gt;TODAY()),0,IF(OR(INDEX($B85:$D85,AL$5)="F",AND(AL$6&gt;0,$A85&lt;AL$6),AND(AL$7&gt;0,$A85&gt;AL$7)),0,MAX(0,ROUND((INDEX($E85:$G85,AL$5)-SUMIFS(TF_Timer,TF_Tekniker,AL$4,TF_Dato,$A85))*2,0)/2)))</f>
        <v/>
      </c>
      <c r="AM85">
        <f>IF(OR(AM$4="",$A85&gt;TODAY()),0,IF(OR(INDEX($B85:$D85,AM$5)="F",AND(AM$6&gt;0,$A85&lt;AM$6),AND(AM$7&gt;0,$A85&gt;AM$7)),0,MAX(0,ROUND((INDEX($E85:$G85,AM$5)-SUMIFS(TF_Timer,TF_Tekniker,AM$4,TF_Dato,$A85))*2,0)/2)))</f>
        <v/>
      </c>
      <c r="AN85">
        <f>IF(OR(AN$4="",$A85&gt;TODAY()),0,IF(OR(INDEX($B85:$D85,AN$5)="F",AND(AN$6&gt;0,$A85&lt;AN$6),AND(AN$7&gt;0,$A85&gt;AN$7)),0,MAX(0,ROUND((INDEX($E85:$G85,AN$5)-SUMIFS(TF_Timer,TF_Tekniker,AN$4,TF_Dato,$A85))*2,0)/2)))</f>
        <v/>
      </c>
      <c r="AO85">
        <f>IF(OR(AO$4="",$A85&gt;TODAY()),0,IF(OR(INDEX($B85:$D85,AO$5)="F",AND(AO$6&gt;0,$A85&lt;AO$6),AND(AO$7&gt;0,$A85&gt;AO$7)),0,MAX(0,ROUND((INDEX($E85:$G85,AO$5)-SUMIFS(TF_Timer,TF_Tekniker,AO$4,TF_Dato,$A85))*2,0)/2)))</f>
        <v/>
      </c>
      <c r="AP85">
        <f>IF(OR(AP$4="",$A85&gt;TODAY()),0,IF(OR(INDEX($B85:$D85,AP$5)="F",AND(AP$6&gt;0,$A85&lt;AP$6),AND(AP$7&gt;0,$A85&gt;AP$7)),0,MAX(0,ROUND((INDEX($E85:$G85,AP$5)-SUMIFS(TF_Timer,TF_Tekniker,AP$4,TF_Dato,$A85))*2,0)/2)))</f>
        <v/>
      </c>
      <c r="AQ85">
        <f>IF(OR(AQ$4="",$A85&gt;TODAY()),0,IF(OR(INDEX($B85:$D85,AQ$5)="F",AND(AQ$6&gt;0,$A85&lt;AQ$6),AND(AQ$7&gt;0,$A85&gt;AQ$7)),0,MAX(0,ROUND((INDEX($E85:$G85,AQ$5)-SUMIFS(TF_Timer,TF_Tekniker,AQ$4,TF_Dato,$A85))*2,0)/2)))</f>
        <v/>
      </c>
      <c r="AR85">
        <f>IF(OR(AR$4="",$A85&gt;TODAY()),0,IF(OR(INDEX($B85:$D85,AR$5)="F",AND(AR$6&gt;0,$A85&lt;AR$6),AND(AR$7&gt;0,$A85&gt;AR$7)),0,MAX(0,ROUND((INDEX($E85:$G85,AR$5)-SUMIFS(TF_Timer,TF_Tekniker,AR$4,TF_Dato,$A85))*2,0)/2)))</f>
        <v/>
      </c>
      <c r="AS85">
        <f>IF(OR(AS$4="",$A85&gt;TODAY()),0,IF(OR(INDEX($B85:$D85,AS$5)="F",AND(AS$6&gt;0,$A85&lt;AS$6),AND(AS$7&gt;0,$A85&gt;AS$7)),0,MAX(0,ROUND((INDEX($E85:$G85,AS$5)-SUMIFS(TF_Timer,TF_Tekniker,AS$4,TF_Dato,$A85))*2,0)/2)))</f>
        <v/>
      </c>
      <c r="AT85">
        <f>IF(OR(AT$4="",$A85&gt;TODAY()),0,IF(OR(INDEX($B85:$D85,AT$5)="F",AND(AT$6&gt;0,$A85&lt;AT$6),AND(AT$7&gt;0,$A85&gt;AT$7)),0,MAX(0,ROUND((INDEX($E85:$G85,AT$5)-SUMIFS(TF_Timer,TF_Tekniker,AT$4,TF_Dato,$A85))*2,0)/2)))</f>
        <v/>
      </c>
      <c r="AU85">
        <f>IF(OR(AU$4="",$A85&gt;TODAY()),0,IF(OR(INDEX($B85:$D85,AU$5)="F",AND(AU$6&gt;0,$A85&lt;AU$6),AND(AU$7&gt;0,$A85&gt;AU$7)),0,MAX(0,ROUND((INDEX($E85:$G85,AU$5)-SUMIFS(TF_Timer,TF_Tekniker,AU$4,TF_Dato,$A85))*2,0)/2)))</f>
        <v/>
      </c>
      <c r="AV85">
        <f>IF(OR(AV$4="",$A85&gt;TODAY()),0,IF(OR(INDEX($B85:$D85,AV$5)="F",AND(AV$6&gt;0,$A85&lt;AV$6),AND(AV$7&gt;0,$A85&gt;AV$7)),0,MAX(0,ROUND((INDEX($E85:$G85,AV$5)-SUMIFS(TF_Timer,TF_Tekniker,AV$4,TF_Dato,$A85))*2,0)/2)))</f>
        <v/>
      </c>
      <c r="AW85">
        <f>IF(OR(AW$4="",$A85&gt;TODAY()),0,IF(OR(INDEX($B85:$D85,AW$5)="F",AND(AW$6&gt;0,$A85&lt;AW$6),AND(AW$7&gt;0,$A85&gt;AW$7)),0,MAX(0,ROUND((INDEX($E85:$G85,AW$5)-SUMIFS(TF_Timer,TF_Tekniker,AW$4,TF_Dato,$A85))*2,0)/2)))</f>
        <v/>
      </c>
      <c r="AX85">
        <f>IF(OR(AX$4="",$A85&gt;TODAY()),0,IF(OR(INDEX($B85:$D85,AX$5)="F",AND(AX$6&gt;0,$A85&lt;AX$6),AND(AX$7&gt;0,$A85&gt;AX$7)),0,MAX(0,ROUND((INDEX($E85:$G85,AX$5)-SUMIFS(TF_Timer,TF_Tekniker,AX$4,TF_Dato,$A85))*2,0)/2)))</f>
        <v/>
      </c>
      <c r="AY85">
        <f>IF(OR(AY$4="",$A85&gt;TODAY()),0,IF(OR(INDEX($B85:$D85,AY$5)="F",AND(AY$6&gt;0,$A85&lt;AY$6),AND(AY$7&gt;0,$A85&gt;AY$7)),0,MAX(0,ROUND((INDEX($E85:$G85,AY$5)-SUMIFS(TF_Timer,TF_Tekniker,AY$4,TF_Dato,$A85))*2,0)/2)))</f>
        <v/>
      </c>
      <c r="AZ85">
        <f>IF(OR(AZ$4="",$A85&gt;TODAY()),0,IF(OR(INDEX($B85:$D85,AZ$5)="F",AND(AZ$6&gt;0,$A85&lt;AZ$6),AND(AZ$7&gt;0,$A85&gt;AZ$7)),0,MAX(0,ROUND((INDEX($E85:$G85,AZ$5)-SUMIFS(TF_Timer,TF_Tekniker,AZ$4,TF_Dato,$A85))*2,0)/2)))</f>
        <v/>
      </c>
      <c r="BA85">
        <f>IF(OR(BA$4="",$A85&gt;TODAY()),0,IF(OR(INDEX($B85:$D85,BA$5)="F",AND(BA$6&gt;0,$A85&lt;BA$6),AND(BA$7&gt;0,$A85&gt;BA$7)),0,MAX(0,ROUND((INDEX($E85:$G85,BA$5)-SUMIFS(TF_Timer,TF_Tekniker,BA$4,TF_Dato,$A85))*2,0)/2)))</f>
        <v/>
      </c>
      <c r="BB85">
        <f>IF(OR(BB$4="",$A85&gt;TODAY()),0,IF(OR(INDEX($B85:$D85,BB$5)="F",AND(BB$6&gt;0,$A85&lt;BB$6),AND(BB$7&gt;0,$A85&gt;BB$7)),0,MAX(0,ROUND((INDEX($E85:$G85,BB$5)-SUMIFS(TF_Timer,TF_Tekniker,BB$4,TF_Dato,$A85))*2,0)/2)))</f>
        <v/>
      </c>
      <c r="BC85">
        <f>IF(OR(BC$4="",$A85&gt;TODAY()),0,IF(OR(INDEX($B85:$D85,BC$5)="F",AND(BC$6&gt;0,$A85&lt;BC$6),AND(BC$7&gt;0,$A85&gt;BC$7)),0,MAX(0,ROUND((INDEX($E85:$G85,BC$5)-SUMIFS(TF_Timer,TF_Tekniker,BC$4,TF_Dato,$A85))*2,0)/2)))</f>
        <v/>
      </c>
      <c r="BD85">
        <f>IF(OR(BD$4="",$A85&gt;TODAY()),0,IF(OR(INDEX($B85:$D85,BD$5)="F",AND(BD$6&gt;0,$A85&lt;BD$6),AND(BD$7&gt;0,$A85&gt;BD$7)),0,MAX(0,ROUND((INDEX($E85:$G85,BD$5)-SUMIFS(TF_Timer,TF_Tekniker,BD$4,TF_Dato,$A85))*2,0)/2)))</f>
        <v/>
      </c>
      <c r="BE85">
        <f>IF(OR(BE$4="",$A85&gt;TODAY()),0,IF(OR(INDEX($B85:$D85,BE$5)="F",AND(BE$6&gt;0,$A85&lt;BE$6),AND(BE$7&gt;0,$A85&gt;BE$7)),0,MAX(0,ROUND((INDEX($E85:$G85,BE$5)-SUMIFS(TF_Timer,TF_Tekniker,BE$4,TF_Dato,$A85))*2,0)/2)))</f>
        <v/>
      </c>
      <c r="BF85">
        <f>IF(OR(BF$4="",$A85&gt;TODAY()),0,IF(OR(INDEX($B85:$D85,BF$5)="F",AND(BF$6&gt;0,$A85&lt;BF$6),AND(BF$7&gt;0,$A85&gt;BF$7)),0,MAX(0,ROUND((INDEX($E85:$G85,BF$5)-SUMIFS(TF_Timer,TF_Tekniker,BF$4,TF_Dato,$A85))*2,0)/2)))</f>
        <v/>
      </c>
      <c r="BG85">
        <f>IF(OR(BG$4="",$A85&gt;TODAY()),0,IF(OR(INDEX($B85:$D85,BG$5)="F",AND(BG$6&gt;0,$A85&lt;BG$6),AND(BG$7&gt;0,$A85&gt;BG$7)),0,MAX(0,ROUND((INDEX($E85:$G85,BG$5)-SUMIFS(TF_Timer,TF_Tekniker,BG$4,TF_Dato,$A85))*2,0)/2)))</f>
        <v/>
      </c>
      <c r="BH85">
        <f>IF(OR(BH$4="",$A85&gt;TODAY()),0,IF(OR(INDEX($B85:$D85,BH$5)="F",AND(BH$6&gt;0,$A85&lt;BH$6),AND(BH$7&gt;0,$A85&gt;BH$7)),0,MAX(0,ROUND((INDEX($E85:$G85,BH$5)-SUMIFS(TF_Timer,TF_Tekniker,BH$4,TF_Dato,$A85))*2,0)/2)))</f>
        <v/>
      </c>
      <c r="BI85">
        <f>IF(OR(BI$4="",$A85&gt;TODAY()),0,IF(OR(INDEX($B85:$D85,BI$5)="F",AND(BI$6&gt;0,$A85&lt;BI$6),AND(BI$7&gt;0,$A85&gt;BI$7)),0,MAX(0,ROUND((INDEX($E85:$G85,BI$5)-SUMIFS(TF_Timer,TF_Tekniker,BI$4,TF_Dato,$A85))*2,0)/2)))</f>
        <v/>
      </c>
    </row>
    <row r="86">
      <c r="A86" s="64">
        <f>A85+1</f>
        <v/>
      </c>
      <c r="B86">
        <f>IF(MOD($A86-INDEX(SkiftStart,1),Syklus)&lt;DagK,"K",IF(MOD($A86-INDEX(SkiftStart,1),Syklus)&lt;DagK+DagH,"H",IF(MOD($A86-INDEX(SkiftStart,1),Syklus)&lt;DagK+DagH+DagD,"D","F")))</f>
        <v/>
      </c>
      <c r="C86">
        <f>IF(MOD($A86-INDEX(SkiftStart,2),Syklus)&lt;DagK,"K",IF(MOD($A86-INDEX(SkiftStart,2),Syklus)&lt;DagK+DagH,"H",IF(MOD($A86-INDEX(SkiftStart,2),Syklus)&lt;DagK+DagH+DagD,"D","F")))</f>
        <v/>
      </c>
      <c r="D86">
        <f>IF(MOD($A86-INDEX(SkiftStart,3),Syklus)&lt;DagK,"K",IF(MOD($A86-INDEX(SkiftStart,3),Syklus)&lt;DagK+DagH,"H",IF(MOD($A86-INDEX(SkiftStart,3),Syklus)&lt;DagK+DagH+DagD,"D","F")))</f>
        <v/>
      </c>
      <c r="E86">
        <f>IF(B86="F",0,IF(WEEKDAY($A86,2)=5,INDEX(TimerFr,MATCH(B86,FaseKode,0)),INDEX(TimerMT,MATCH(B86,FaseKode,0))))</f>
        <v/>
      </c>
      <c r="F86">
        <f>IF(C86="F",0,IF(WEEKDAY($A86,2)=5,INDEX(TimerFr,MATCH(C86,FaseKode,0)),INDEX(TimerMT,MATCH(C86,FaseKode,0))))</f>
        <v/>
      </c>
      <c r="G86">
        <f>IF(D86="F",0,IF(WEEKDAY($A86,2)=5,INDEX(TimerFr,MATCH(D86,FaseKode,0)),INDEX(TimerMT,MATCH(D86,FaseKode,0))))</f>
        <v/>
      </c>
      <c r="H86">
        <f>IF(OR(H$4="",$A86&gt;TODAY()),0,IF(OR(INDEX($B86:$D86,H$5)="F",AND(H$6&gt;0,$A86&lt;H$6),AND(H$7&gt;0,$A86&gt;H$7)),0,MAX(0,ROUND((INDEX($E86:$G86,H$5)-SUMIFS(TF_Timer,TF_Tekniker,H$4,TF_Dato,$A86))*2,0)/2)))</f>
        <v/>
      </c>
      <c r="I86">
        <f>IF(OR(I$4="",$A86&gt;TODAY()),0,IF(OR(INDEX($B86:$D86,I$5)="F",AND(I$6&gt;0,$A86&lt;I$6),AND(I$7&gt;0,$A86&gt;I$7)),0,MAX(0,ROUND((INDEX($E86:$G86,I$5)-SUMIFS(TF_Timer,TF_Tekniker,I$4,TF_Dato,$A86))*2,0)/2)))</f>
        <v/>
      </c>
      <c r="J86">
        <f>IF(OR(J$4="",$A86&gt;TODAY()),0,IF(OR(INDEX($B86:$D86,J$5)="F",AND(J$6&gt;0,$A86&lt;J$6),AND(J$7&gt;0,$A86&gt;J$7)),0,MAX(0,ROUND((INDEX($E86:$G86,J$5)-SUMIFS(TF_Timer,TF_Tekniker,J$4,TF_Dato,$A86))*2,0)/2)))</f>
        <v/>
      </c>
      <c r="K86">
        <f>IF(OR(K$4="",$A86&gt;TODAY()),0,IF(OR(INDEX($B86:$D86,K$5)="F",AND(K$6&gt;0,$A86&lt;K$6),AND(K$7&gt;0,$A86&gt;K$7)),0,MAX(0,ROUND((INDEX($E86:$G86,K$5)-SUMIFS(TF_Timer,TF_Tekniker,K$4,TF_Dato,$A86))*2,0)/2)))</f>
        <v/>
      </c>
      <c r="L86">
        <f>IF(OR(L$4="",$A86&gt;TODAY()),0,IF(OR(INDEX($B86:$D86,L$5)="F",AND(L$6&gt;0,$A86&lt;L$6),AND(L$7&gt;0,$A86&gt;L$7)),0,MAX(0,ROUND((INDEX($E86:$G86,L$5)-SUMIFS(TF_Timer,TF_Tekniker,L$4,TF_Dato,$A86))*2,0)/2)))</f>
        <v/>
      </c>
      <c r="M86">
        <f>IF(OR(M$4="",$A86&gt;TODAY()),0,IF(OR(INDEX($B86:$D86,M$5)="F",AND(M$6&gt;0,$A86&lt;M$6),AND(M$7&gt;0,$A86&gt;M$7)),0,MAX(0,ROUND((INDEX($E86:$G86,M$5)-SUMIFS(TF_Timer,TF_Tekniker,M$4,TF_Dato,$A86))*2,0)/2)))</f>
        <v/>
      </c>
      <c r="N86">
        <f>IF(OR(N$4="",$A86&gt;TODAY()),0,IF(OR(INDEX($B86:$D86,N$5)="F",AND(N$6&gt;0,$A86&lt;N$6),AND(N$7&gt;0,$A86&gt;N$7)),0,MAX(0,ROUND((INDEX($E86:$G86,N$5)-SUMIFS(TF_Timer,TF_Tekniker,N$4,TF_Dato,$A86))*2,0)/2)))</f>
        <v/>
      </c>
      <c r="O86">
        <f>IF(OR(O$4="",$A86&gt;TODAY()),0,IF(OR(INDEX($B86:$D86,O$5)="F",AND(O$6&gt;0,$A86&lt;O$6),AND(O$7&gt;0,$A86&gt;O$7)),0,MAX(0,ROUND((INDEX($E86:$G86,O$5)-SUMIFS(TF_Timer,TF_Tekniker,O$4,TF_Dato,$A86))*2,0)/2)))</f>
        <v/>
      </c>
      <c r="P86">
        <f>IF(OR(P$4="",$A86&gt;TODAY()),0,IF(OR(INDEX($B86:$D86,P$5)="F",AND(P$6&gt;0,$A86&lt;P$6),AND(P$7&gt;0,$A86&gt;P$7)),0,MAX(0,ROUND((INDEX($E86:$G86,P$5)-SUMIFS(TF_Timer,TF_Tekniker,P$4,TF_Dato,$A86))*2,0)/2)))</f>
        <v/>
      </c>
      <c r="Q86">
        <f>IF(OR(Q$4="",$A86&gt;TODAY()),0,IF(OR(INDEX($B86:$D86,Q$5)="F",AND(Q$6&gt;0,$A86&lt;Q$6),AND(Q$7&gt;0,$A86&gt;Q$7)),0,MAX(0,ROUND((INDEX($E86:$G86,Q$5)-SUMIFS(TF_Timer,TF_Tekniker,Q$4,TF_Dato,$A86))*2,0)/2)))</f>
        <v/>
      </c>
      <c r="R86">
        <f>IF(OR(R$4="",$A86&gt;TODAY()),0,IF(OR(INDEX($B86:$D86,R$5)="F",AND(R$6&gt;0,$A86&lt;R$6),AND(R$7&gt;0,$A86&gt;R$7)),0,MAX(0,ROUND((INDEX($E86:$G86,R$5)-SUMIFS(TF_Timer,TF_Tekniker,R$4,TF_Dato,$A86))*2,0)/2)))</f>
        <v/>
      </c>
      <c r="S86">
        <f>IF(OR(S$4="",$A86&gt;TODAY()),0,IF(OR(INDEX($B86:$D86,S$5)="F",AND(S$6&gt;0,$A86&lt;S$6),AND(S$7&gt;0,$A86&gt;S$7)),0,MAX(0,ROUND((INDEX($E86:$G86,S$5)-SUMIFS(TF_Timer,TF_Tekniker,S$4,TF_Dato,$A86))*2,0)/2)))</f>
        <v/>
      </c>
      <c r="T86">
        <f>IF(OR(T$4="",$A86&gt;TODAY()),0,IF(OR(INDEX($B86:$D86,T$5)="F",AND(T$6&gt;0,$A86&lt;T$6),AND(T$7&gt;0,$A86&gt;T$7)),0,MAX(0,ROUND((INDEX($E86:$G86,T$5)-SUMIFS(TF_Timer,TF_Tekniker,T$4,TF_Dato,$A86))*2,0)/2)))</f>
        <v/>
      </c>
      <c r="U86">
        <f>IF(OR(U$4="",$A86&gt;TODAY()),0,IF(OR(INDEX($B86:$D86,U$5)="F",AND(U$6&gt;0,$A86&lt;U$6),AND(U$7&gt;0,$A86&gt;U$7)),0,MAX(0,ROUND((INDEX($E86:$G86,U$5)-SUMIFS(TF_Timer,TF_Tekniker,U$4,TF_Dato,$A86))*2,0)/2)))</f>
        <v/>
      </c>
      <c r="V86">
        <f>IF(OR(V$4="",$A86&gt;TODAY()),0,IF(OR(INDEX($B86:$D86,V$5)="F",AND(V$6&gt;0,$A86&lt;V$6),AND(V$7&gt;0,$A86&gt;V$7)),0,MAX(0,ROUND((INDEX($E86:$G86,V$5)-SUMIFS(TF_Timer,TF_Tekniker,V$4,TF_Dato,$A86))*2,0)/2)))</f>
        <v/>
      </c>
      <c r="W86">
        <f>IF(OR(W$4="",$A86&gt;TODAY()),0,IF(OR(INDEX($B86:$D86,W$5)="F",AND(W$6&gt;0,$A86&lt;W$6),AND(W$7&gt;0,$A86&gt;W$7)),0,MAX(0,ROUND((INDEX($E86:$G86,W$5)-SUMIFS(TF_Timer,TF_Tekniker,W$4,TF_Dato,$A86))*2,0)/2)))</f>
        <v/>
      </c>
      <c r="X86">
        <f>IF(OR(X$4="",$A86&gt;TODAY()),0,IF(OR(INDEX($B86:$D86,X$5)="F",AND(X$6&gt;0,$A86&lt;X$6),AND(X$7&gt;0,$A86&gt;X$7)),0,MAX(0,ROUND((INDEX($E86:$G86,X$5)-SUMIFS(TF_Timer,TF_Tekniker,X$4,TF_Dato,$A86))*2,0)/2)))</f>
        <v/>
      </c>
      <c r="Y86">
        <f>IF(OR(Y$4="",$A86&gt;TODAY()),0,IF(OR(INDEX($B86:$D86,Y$5)="F",AND(Y$6&gt;0,$A86&lt;Y$6),AND(Y$7&gt;0,$A86&gt;Y$7)),0,MAX(0,ROUND((INDEX($E86:$G86,Y$5)-SUMIFS(TF_Timer,TF_Tekniker,Y$4,TF_Dato,$A86))*2,0)/2)))</f>
        <v/>
      </c>
      <c r="Z86">
        <f>IF(OR(Z$4="",$A86&gt;TODAY()),0,IF(OR(INDEX($B86:$D86,Z$5)="F",AND(Z$6&gt;0,$A86&lt;Z$6),AND(Z$7&gt;0,$A86&gt;Z$7)),0,MAX(0,ROUND((INDEX($E86:$G86,Z$5)-SUMIFS(TF_Timer,TF_Tekniker,Z$4,TF_Dato,$A86))*2,0)/2)))</f>
        <v/>
      </c>
      <c r="AA86">
        <f>IF(OR(AA$4="",$A86&gt;TODAY()),0,IF(OR(INDEX($B86:$D86,AA$5)="F",AND(AA$6&gt;0,$A86&lt;AA$6),AND(AA$7&gt;0,$A86&gt;AA$7)),0,MAX(0,ROUND((INDEX($E86:$G86,AA$5)-SUMIFS(TF_Timer,TF_Tekniker,AA$4,TF_Dato,$A86))*2,0)/2)))</f>
        <v/>
      </c>
      <c r="AB86">
        <f>IF(OR(AB$4="",$A86&gt;TODAY()),0,IF(OR(INDEX($B86:$D86,AB$5)="F",AND(AB$6&gt;0,$A86&lt;AB$6),AND(AB$7&gt;0,$A86&gt;AB$7)),0,MAX(0,ROUND((INDEX($E86:$G86,AB$5)-SUMIFS(TF_Timer,TF_Tekniker,AB$4,TF_Dato,$A86))*2,0)/2)))</f>
        <v/>
      </c>
      <c r="AC86">
        <f>IF(OR(AC$4="",$A86&gt;TODAY()),0,IF(OR(INDEX($B86:$D86,AC$5)="F",AND(AC$6&gt;0,$A86&lt;AC$6),AND(AC$7&gt;0,$A86&gt;AC$7)),0,MAX(0,ROUND((INDEX($E86:$G86,AC$5)-SUMIFS(TF_Timer,TF_Tekniker,AC$4,TF_Dato,$A86))*2,0)/2)))</f>
        <v/>
      </c>
      <c r="AD86">
        <f>IF(OR(AD$4="",$A86&gt;TODAY()),0,IF(OR(INDEX($B86:$D86,AD$5)="F",AND(AD$6&gt;0,$A86&lt;AD$6),AND(AD$7&gt;0,$A86&gt;AD$7)),0,MAX(0,ROUND((INDEX($E86:$G86,AD$5)-SUMIFS(TF_Timer,TF_Tekniker,AD$4,TF_Dato,$A86))*2,0)/2)))</f>
        <v/>
      </c>
      <c r="AE86">
        <f>IF(OR(AE$4="",$A86&gt;TODAY()),0,IF(OR(INDEX($B86:$D86,AE$5)="F",AND(AE$6&gt;0,$A86&lt;AE$6),AND(AE$7&gt;0,$A86&gt;AE$7)),0,MAX(0,ROUND((INDEX($E86:$G86,AE$5)-SUMIFS(TF_Timer,TF_Tekniker,AE$4,TF_Dato,$A86))*2,0)/2)))</f>
        <v/>
      </c>
      <c r="AF86">
        <f>IF(OR(AF$4="",$A86&gt;TODAY()),0,IF(OR(INDEX($B86:$D86,AF$5)="F",AND(AF$6&gt;0,$A86&lt;AF$6),AND(AF$7&gt;0,$A86&gt;AF$7)),0,MAX(0,ROUND((INDEX($E86:$G86,AF$5)-SUMIFS(TF_Timer,TF_Tekniker,AF$4,TF_Dato,$A86))*2,0)/2)))</f>
        <v/>
      </c>
      <c r="AG86">
        <f>IF(OR(AG$4="",$A86&gt;TODAY()),0,IF(OR(INDEX($B86:$D86,AG$5)="F",AND(AG$6&gt;0,$A86&lt;AG$6),AND(AG$7&gt;0,$A86&gt;AG$7)),0,MAX(0,ROUND((INDEX($E86:$G86,AG$5)-SUMIFS(TF_Timer,TF_Tekniker,AG$4,TF_Dato,$A86))*2,0)/2)))</f>
        <v/>
      </c>
      <c r="AH86">
        <f>IF(OR(AH$4="",$A86&gt;TODAY()),0,IF(OR(INDEX($B86:$D86,AH$5)="F",AND(AH$6&gt;0,$A86&lt;AH$6),AND(AH$7&gt;0,$A86&gt;AH$7)),0,MAX(0,ROUND((INDEX($E86:$G86,AH$5)-SUMIFS(TF_Timer,TF_Tekniker,AH$4,TF_Dato,$A86))*2,0)/2)))</f>
        <v/>
      </c>
      <c r="AI86">
        <f>IF(OR(AI$4="",$A86&gt;TODAY()),0,IF(OR(INDEX($B86:$D86,AI$5)="F",AND(AI$6&gt;0,$A86&lt;AI$6),AND(AI$7&gt;0,$A86&gt;AI$7)),0,MAX(0,ROUND((INDEX($E86:$G86,AI$5)-SUMIFS(TF_Timer,TF_Tekniker,AI$4,TF_Dato,$A86))*2,0)/2)))</f>
        <v/>
      </c>
      <c r="AJ86">
        <f>IF(OR(AJ$4="",$A86&gt;TODAY()),0,IF(OR(INDEX($B86:$D86,AJ$5)="F",AND(AJ$6&gt;0,$A86&lt;AJ$6),AND(AJ$7&gt;0,$A86&gt;AJ$7)),0,MAX(0,ROUND((INDEX($E86:$G86,AJ$5)-SUMIFS(TF_Timer,TF_Tekniker,AJ$4,TF_Dato,$A86))*2,0)/2)))</f>
        <v/>
      </c>
      <c r="AK86">
        <f>IF(OR(AK$4="",$A86&gt;TODAY()),0,IF(OR(INDEX($B86:$D86,AK$5)="F",AND(AK$6&gt;0,$A86&lt;AK$6),AND(AK$7&gt;0,$A86&gt;AK$7)),0,MAX(0,ROUND((INDEX($E86:$G86,AK$5)-SUMIFS(TF_Timer,TF_Tekniker,AK$4,TF_Dato,$A86))*2,0)/2)))</f>
        <v/>
      </c>
      <c r="AL86">
        <f>IF(OR(AL$4="",$A86&gt;TODAY()),0,IF(OR(INDEX($B86:$D86,AL$5)="F",AND(AL$6&gt;0,$A86&lt;AL$6),AND(AL$7&gt;0,$A86&gt;AL$7)),0,MAX(0,ROUND((INDEX($E86:$G86,AL$5)-SUMIFS(TF_Timer,TF_Tekniker,AL$4,TF_Dato,$A86))*2,0)/2)))</f>
        <v/>
      </c>
      <c r="AM86">
        <f>IF(OR(AM$4="",$A86&gt;TODAY()),0,IF(OR(INDEX($B86:$D86,AM$5)="F",AND(AM$6&gt;0,$A86&lt;AM$6),AND(AM$7&gt;0,$A86&gt;AM$7)),0,MAX(0,ROUND((INDEX($E86:$G86,AM$5)-SUMIFS(TF_Timer,TF_Tekniker,AM$4,TF_Dato,$A86))*2,0)/2)))</f>
        <v/>
      </c>
      <c r="AN86">
        <f>IF(OR(AN$4="",$A86&gt;TODAY()),0,IF(OR(INDEX($B86:$D86,AN$5)="F",AND(AN$6&gt;0,$A86&lt;AN$6),AND(AN$7&gt;0,$A86&gt;AN$7)),0,MAX(0,ROUND((INDEX($E86:$G86,AN$5)-SUMIFS(TF_Timer,TF_Tekniker,AN$4,TF_Dato,$A86))*2,0)/2)))</f>
        <v/>
      </c>
      <c r="AO86">
        <f>IF(OR(AO$4="",$A86&gt;TODAY()),0,IF(OR(INDEX($B86:$D86,AO$5)="F",AND(AO$6&gt;0,$A86&lt;AO$6),AND(AO$7&gt;0,$A86&gt;AO$7)),0,MAX(0,ROUND((INDEX($E86:$G86,AO$5)-SUMIFS(TF_Timer,TF_Tekniker,AO$4,TF_Dato,$A86))*2,0)/2)))</f>
        <v/>
      </c>
      <c r="AP86">
        <f>IF(OR(AP$4="",$A86&gt;TODAY()),0,IF(OR(INDEX($B86:$D86,AP$5)="F",AND(AP$6&gt;0,$A86&lt;AP$6),AND(AP$7&gt;0,$A86&gt;AP$7)),0,MAX(0,ROUND((INDEX($E86:$G86,AP$5)-SUMIFS(TF_Timer,TF_Tekniker,AP$4,TF_Dato,$A86))*2,0)/2)))</f>
        <v/>
      </c>
      <c r="AQ86">
        <f>IF(OR(AQ$4="",$A86&gt;TODAY()),0,IF(OR(INDEX($B86:$D86,AQ$5)="F",AND(AQ$6&gt;0,$A86&lt;AQ$6),AND(AQ$7&gt;0,$A86&gt;AQ$7)),0,MAX(0,ROUND((INDEX($E86:$G86,AQ$5)-SUMIFS(TF_Timer,TF_Tekniker,AQ$4,TF_Dato,$A86))*2,0)/2)))</f>
        <v/>
      </c>
      <c r="AR86">
        <f>IF(OR(AR$4="",$A86&gt;TODAY()),0,IF(OR(INDEX($B86:$D86,AR$5)="F",AND(AR$6&gt;0,$A86&lt;AR$6),AND(AR$7&gt;0,$A86&gt;AR$7)),0,MAX(0,ROUND((INDEX($E86:$G86,AR$5)-SUMIFS(TF_Timer,TF_Tekniker,AR$4,TF_Dato,$A86))*2,0)/2)))</f>
        <v/>
      </c>
      <c r="AS86">
        <f>IF(OR(AS$4="",$A86&gt;TODAY()),0,IF(OR(INDEX($B86:$D86,AS$5)="F",AND(AS$6&gt;0,$A86&lt;AS$6),AND(AS$7&gt;0,$A86&gt;AS$7)),0,MAX(0,ROUND((INDEX($E86:$G86,AS$5)-SUMIFS(TF_Timer,TF_Tekniker,AS$4,TF_Dato,$A86))*2,0)/2)))</f>
        <v/>
      </c>
      <c r="AT86">
        <f>IF(OR(AT$4="",$A86&gt;TODAY()),0,IF(OR(INDEX($B86:$D86,AT$5)="F",AND(AT$6&gt;0,$A86&lt;AT$6),AND(AT$7&gt;0,$A86&gt;AT$7)),0,MAX(0,ROUND((INDEX($E86:$G86,AT$5)-SUMIFS(TF_Timer,TF_Tekniker,AT$4,TF_Dato,$A86))*2,0)/2)))</f>
        <v/>
      </c>
      <c r="AU86">
        <f>IF(OR(AU$4="",$A86&gt;TODAY()),0,IF(OR(INDEX($B86:$D86,AU$5)="F",AND(AU$6&gt;0,$A86&lt;AU$6),AND(AU$7&gt;0,$A86&gt;AU$7)),0,MAX(0,ROUND((INDEX($E86:$G86,AU$5)-SUMIFS(TF_Timer,TF_Tekniker,AU$4,TF_Dato,$A86))*2,0)/2)))</f>
        <v/>
      </c>
      <c r="AV86">
        <f>IF(OR(AV$4="",$A86&gt;TODAY()),0,IF(OR(INDEX($B86:$D86,AV$5)="F",AND(AV$6&gt;0,$A86&lt;AV$6),AND(AV$7&gt;0,$A86&gt;AV$7)),0,MAX(0,ROUND((INDEX($E86:$G86,AV$5)-SUMIFS(TF_Timer,TF_Tekniker,AV$4,TF_Dato,$A86))*2,0)/2)))</f>
        <v/>
      </c>
      <c r="AW86">
        <f>IF(OR(AW$4="",$A86&gt;TODAY()),0,IF(OR(INDEX($B86:$D86,AW$5)="F",AND(AW$6&gt;0,$A86&lt;AW$6),AND(AW$7&gt;0,$A86&gt;AW$7)),0,MAX(0,ROUND((INDEX($E86:$G86,AW$5)-SUMIFS(TF_Timer,TF_Tekniker,AW$4,TF_Dato,$A86))*2,0)/2)))</f>
        <v/>
      </c>
      <c r="AX86">
        <f>IF(OR(AX$4="",$A86&gt;TODAY()),0,IF(OR(INDEX($B86:$D86,AX$5)="F",AND(AX$6&gt;0,$A86&lt;AX$6),AND(AX$7&gt;0,$A86&gt;AX$7)),0,MAX(0,ROUND((INDEX($E86:$G86,AX$5)-SUMIFS(TF_Timer,TF_Tekniker,AX$4,TF_Dato,$A86))*2,0)/2)))</f>
        <v/>
      </c>
      <c r="AY86">
        <f>IF(OR(AY$4="",$A86&gt;TODAY()),0,IF(OR(INDEX($B86:$D86,AY$5)="F",AND(AY$6&gt;0,$A86&lt;AY$6),AND(AY$7&gt;0,$A86&gt;AY$7)),0,MAX(0,ROUND((INDEX($E86:$G86,AY$5)-SUMIFS(TF_Timer,TF_Tekniker,AY$4,TF_Dato,$A86))*2,0)/2)))</f>
        <v/>
      </c>
      <c r="AZ86">
        <f>IF(OR(AZ$4="",$A86&gt;TODAY()),0,IF(OR(INDEX($B86:$D86,AZ$5)="F",AND(AZ$6&gt;0,$A86&lt;AZ$6),AND(AZ$7&gt;0,$A86&gt;AZ$7)),0,MAX(0,ROUND((INDEX($E86:$G86,AZ$5)-SUMIFS(TF_Timer,TF_Tekniker,AZ$4,TF_Dato,$A86))*2,0)/2)))</f>
        <v/>
      </c>
      <c r="BA86">
        <f>IF(OR(BA$4="",$A86&gt;TODAY()),0,IF(OR(INDEX($B86:$D86,BA$5)="F",AND(BA$6&gt;0,$A86&lt;BA$6),AND(BA$7&gt;0,$A86&gt;BA$7)),0,MAX(0,ROUND((INDEX($E86:$G86,BA$5)-SUMIFS(TF_Timer,TF_Tekniker,BA$4,TF_Dato,$A86))*2,0)/2)))</f>
        <v/>
      </c>
      <c r="BB86">
        <f>IF(OR(BB$4="",$A86&gt;TODAY()),0,IF(OR(INDEX($B86:$D86,BB$5)="F",AND(BB$6&gt;0,$A86&lt;BB$6),AND(BB$7&gt;0,$A86&gt;BB$7)),0,MAX(0,ROUND((INDEX($E86:$G86,BB$5)-SUMIFS(TF_Timer,TF_Tekniker,BB$4,TF_Dato,$A86))*2,0)/2)))</f>
        <v/>
      </c>
      <c r="BC86">
        <f>IF(OR(BC$4="",$A86&gt;TODAY()),0,IF(OR(INDEX($B86:$D86,BC$5)="F",AND(BC$6&gt;0,$A86&lt;BC$6),AND(BC$7&gt;0,$A86&gt;BC$7)),0,MAX(0,ROUND((INDEX($E86:$G86,BC$5)-SUMIFS(TF_Timer,TF_Tekniker,BC$4,TF_Dato,$A86))*2,0)/2)))</f>
        <v/>
      </c>
      <c r="BD86">
        <f>IF(OR(BD$4="",$A86&gt;TODAY()),0,IF(OR(INDEX($B86:$D86,BD$5)="F",AND(BD$6&gt;0,$A86&lt;BD$6),AND(BD$7&gt;0,$A86&gt;BD$7)),0,MAX(0,ROUND((INDEX($E86:$G86,BD$5)-SUMIFS(TF_Timer,TF_Tekniker,BD$4,TF_Dato,$A86))*2,0)/2)))</f>
        <v/>
      </c>
      <c r="BE86">
        <f>IF(OR(BE$4="",$A86&gt;TODAY()),0,IF(OR(INDEX($B86:$D86,BE$5)="F",AND(BE$6&gt;0,$A86&lt;BE$6),AND(BE$7&gt;0,$A86&gt;BE$7)),0,MAX(0,ROUND((INDEX($E86:$G86,BE$5)-SUMIFS(TF_Timer,TF_Tekniker,BE$4,TF_Dato,$A86))*2,0)/2)))</f>
        <v/>
      </c>
      <c r="BF86">
        <f>IF(OR(BF$4="",$A86&gt;TODAY()),0,IF(OR(INDEX($B86:$D86,BF$5)="F",AND(BF$6&gt;0,$A86&lt;BF$6),AND(BF$7&gt;0,$A86&gt;BF$7)),0,MAX(0,ROUND((INDEX($E86:$G86,BF$5)-SUMIFS(TF_Timer,TF_Tekniker,BF$4,TF_Dato,$A86))*2,0)/2)))</f>
        <v/>
      </c>
      <c r="BG86">
        <f>IF(OR(BG$4="",$A86&gt;TODAY()),0,IF(OR(INDEX($B86:$D86,BG$5)="F",AND(BG$6&gt;0,$A86&lt;BG$6),AND(BG$7&gt;0,$A86&gt;BG$7)),0,MAX(0,ROUND((INDEX($E86:$G86,BG$5)-SUMIFS(TF_Timer,TF_Tekniker,BG$4,TF_Dato,$A86))*2,0)/2)))</f>
        <v/>
      </c>
      <c r="BH86">
        <f>IF(OR(BH$4="",$A86&gt;TODAY()),0,IF(OR(INDEX($B86:$D86,BH$5)="F",AND(BH$6&gt;0,$A86&lt;BH$6),AND(BH$7&gt;0,$A86&gt;BH$7)),0,MAX(0,ROUND((INDEX($E86:$G86,BH$5)-SUMIFS(TF_Timer,TF_Tekniker,BH$4,TF_Dato,$A86))*2,0)/2)))</f>
        <v/>
      </c>
      <c r="BI86">
        <f>IF(OR(BI$4="",$A86&gt;TODAY()),0,IF(OR(INDEX($B86:$D86,BI$5)="F",AND(BI$6&gt;0,$A86&lt;BI$6),AND(BI$7&gt;0,$A86&gt;BI$7)),0,MAX(0,ROUND((INDEX($E86:$G86,BI$5)-SUMIFS(TF_Timer,TF_Tekniker,BI$4,TF_Dato,$A86))*2,0)/2)))</f>
        <v/>
      </c>
    </row>
    <row r="87">
      <c r="A87" s="64">
        <f>A86+1</f>
        <v/>
      </c>
      <c r="B87">
        <f>IF(MOD($A87-INDEX(SkiftStart,1),Syklus)&lt;DagK,"K",IF(MOD($A87-INDEX(SkiftStart,1),Syklus)&lt;DagK+DagH,"H",IF(MOD($A87-INDEX(SkiftStart,1),Syklus)&lt;DagK+DagH+DagD,"D","F")))</f>
        <v/>
      </c>
      <c r="C87">
        <f>IF(MOD($A87-INDEX(SkiftStart,2),Syklus)&lt;DagK,"K",IF(MOD($A87-INDEX(SkiftStart,2),Syklus)&lt;DagK+DagH,"H",IF(MOD($A87-INDEX(SkiftStart,2),Syklus)&lt;DagK+DagH+DagD,"D","F")))</f>
        <v/>
      </c>
      <c r="D87">
        <f>IF(MOD($A87-INDEX(SkiftStart,3),Syklus)&lt;DagK,"K",IF(MOD($A87-INDEX(SkiftStart,3),Syklus)&lt;DagK+DagH,"H",IF(MOD($A87-INDEX(SkiftStart,3),Syklus)&lt;DagK+DagH+DagD,"D","F")))</f>
        <v/>
      </c>
      <c r="E87">
        <f>IF(B87="F",0,IF(WEEKDAY($A87,2)=5,INDEX(TimerFr,MATCH(B87,FaseKode,0)),INDEX(TimerMT,MATCH(B87,FaseKode,0))))</f>
        <v/>
      </c>
      <c r="F87">
        <f>IF(C87="F",0,IF(WEEKDAY($A87,2)=5,INDEX(TimerFr,MATCH(C87,FaseKode,0)),INDEX(TimerMT,MATCH(C87,FaseKode,0))))</f>
        <v/>
      </c>
      <c r="G87">
        <f>IF(D87="F",0,IF(WEEKDAY($A87,2)=5,INDEX(TimerFr,MATCH(D87,FaseKode,0)),INDEX(TimerMT,MATCH(D87,FaseKode,0))))</f>
        <v/>
      </c>
      <c r="H87">
        <f>IF(OR(H$4="",$A87&gt;TODAY()),0,IF(OR(INDEX($B87:$D87,H$5)="F",AND(H$6&gt;0,$A87&lt;H$6),AND(H$7&gt;0,$A87&gt;H$7)),0,MAX(0,ROUND((INDEX($E87:$G87,H$5)-SUMIFS(TF_Timer,TF_Tekniker,H$4,TF_Dato,$A87))*2,0)/2)))</f>
        <v/>
      </c>
      <c r="I87">
        <f>IF(OR(I$4="",$A87&gt;TODAY()),0,IF(OR(INDEX($B87:$D87,I$5)="F",AND(I$6&gt;0,$A87&lt;I$6),AND(I$7&gt;0,$A87&gt;I$7)),0,MAX(0,ROUND((INDEX($E87:$G87,I$5)-SUMIFS(TF_Timer,TF_Tekniker,I$4,TF_Dato,$A87))*2,0)/2)))</f>
        <v/>
      </c>
      <c r="J87">
        <f>IF(OR(J$4="",$A87&gt;TODAY()),0,IF(OR(INDEX($B87:$D87,J$5)="F",AND(J$6&gt;0,$A87&lt;J$6),AND(J$7&gt;0,$A87&gt;J$7)),0,MAX(0,ROUND((INDEX($E87:$G87,J$5)-SUMIFS(TF_Timer,TF_Tekniker,J$4,TF_Dato,$A87))*2,0)/2)))</f>
        <v/>
      </c>
      <c r="K87">
        <f>IF(OR(K$4="",$A87&gt;TODAY()),0,IF(OR(INDEX($B87:$D87,K$5)="F",AND(K$6&gt;0,$A87&lt;K$6),AND(K$7&gt;0,$A87&gt;K$7)),0,MAX(0,ROUND((INDEX($E87:$G87,K$5)-SUMIFS(TF_Timer,TF_Tekniker,K$4,TF_Dato,$A87))*2,0)/2)))</f>
        <v/>
      </c>
      <c r="L87">
        <f>IF(OR(L$4="",$A87&gt;TODAY()),0,IF(OR(INDEX($B87:$D87,L$5)="F",AND(L$6&gt;0,$A87&lt;L$6),AND(L$7&gt;0,$A87&gt;L$7)),0,MAX(0,ROUND((INDEX($E87:$G87,L$5)-SUMIFS(TF_Timer,TF_Tekniker,L$4,TF_Dato,$A87))*2,0)/2)))</f>
        <v/>
      </c>
      <c r="M87">
        <f>IF(OR(M$4="",$A87&gt;TODAY()),0,IF(OR(INDEX($B87:$D87,M$5)="F",AND(M$6&gt;0,$A87&lt;M$6),AND(M$7&gt;0,$A87&gt;M$7)),0,MAX(0,ROUND((INDEX($E87:$G87,M$5)-SUMIFS(TF_Timer,TF_Tekniker,M$4,TF_Dato,$A87))*2,0)/2)))</f>
        <v/>
      </c>
      <c r="N87">
        <f>IF(OR(N$4="",$A87&gt;TODAY()),0,IF(OR(INDEX($B87:$D87,N$5)="F",AND(N$6&gt;0,$A87&lt;N$6),AND(N$7&gt;0,$A87&gt;N$7)),0,MAX(0,ROUND((INDEX($E87:$G87,N$5)-SUMIFS(TF_Timer,TF_Tekniker,N$4,TF_Dato,$A87))*2,0)/2)))</f>
        <v/>
      </c>
      <c r="O87">
        <f>IF(OR(O$4="",$A87&gt;TODAY()),0,IF(OR(INDEX($B87:$D87,O$5)="F",AND(O$6&gt;0,$A87&lt;O$6),AND(O$7&gt;0,$A87&gt;O$7)),0,MAX(0,ROUND((INDEX($E87:$G87,O$5)-SUMIFS(TF_Timer,TF_Tekniker,O$4,TF_Dato,$A87))*2,0)/2)))</f>
        <v/>
      </c>
      <c r="P87">
        <f>IF(OR(P$4="",$A87&gt;TODAY()),0,IF(OR(INDEX($B87:$D87,P$5)="F",AND(P$6&gt;0,$A87&lt;P$6),AND(P$7&gt;0,$A87&gt;P$7)),0,MAX(0,ROUND((INDEX($E87:$G87,P$5)-SUMIFS(TF_Timer,TF_Tekniker,P$4,TF_Dato,$A87))*2,0)/2)))</f>
        <v/>
      </c>
      <c r="Q87">
        <f>IF(OR(Q$4="",$A87&gt;TODAY()),0,IF(OR(INDEX($B87:$D87,Q$5)="F",AND(Q$6&gt;0,$A87&lt;Q$6),AND(Q$7&gt;0,$A87&gt;Q$7)),0,MAX(0,ROUND((INDEX($E87:$G87,Q$5)-SUMIFS(TF_Timer,TF_Tekniker,Q$4,TF_Dato,$A87))*2,0)/2)))</f>
        <v/>
      </c>
      <c r="R87">
        <f>IF(OR(R$4="",$A87&gt;TODAY()),0,IF(OR(INDEX($B87:$D87,R$5)="F",AND(R$6&gt;0,$A87&lt;R$6),AND(R$7&gt;0,$A87&gt;R$7)),0,MAX(0,ROUND((INDEX($E87:$G87,R$5)-SUMIFS(TF_Timer,TF_Tekniker,R$4,TF_Dato,$A87))*2,0)/2)))</f>
        <v/>
      </c>
      <c r="S87">
        <f>IF(OR(S$4="",$A87&gt;TODAY()),0,IF(OR(INDEX($B87:$D87,S$5)="F",AND(S$6&gt;0,$A87&lt;S$6),AND(S$7&gt;0,$A87&gt;S$7)),0,MAX(0,ROUND((INDEX($E87:$G87,S$5)-SUMIFS(TF_Timer,TF_Tekniker,S$4,TF_Dato,$A87))*2,0)/2)))</f>
        <v/>
      </c>
      <c r="T87">
        <f>IF(OR(T$4="",$A87&gt;TODAY()),0,IF(OR(INDEX($B87:$D87,T$5)="F",AND(T$6&gt;0,$A87&lt;T$6),AND(T$7&gt;0,$A87&gt;T$7)),0,MAX(0,ROUND((INDEX($E87:$G87,T$5)-SUMIFS(TF_Timer,TF_Tekniker,T$4,TF_Dato,$A87))*2,0)/2)))</f>
        <v/>
      </c>
      <c r="U87">
        <f>IF(OR(U$4="",$A87&gt;TODAY()),0,IF(OR(INDEX($B87:$D87,U$5)="F",AND(U$6&gt;0,$A87&lt;U$6),AND(U$7&gt;0,$A87&gt;U$7)),0,MAX(0,ROUND((INDEX($E87:$G87,U$5)-SUMIFS(TF_Timer,TF_Tekniker,U$4,TF_Dato,$A87))*2,0)/2)))</f>
        <v/>
      </c>
      <c r="V87">
        <f>IF(OR(V$4="",$A87&gt;TODAY()),0,IF(OR(INDEX($B87:$D87,V$5)="F",AND(V$6&gt;0,$A87&lt;V$6),AND(V$7&gt;0,$A87&gt;V$7)),0,MAX(0,ROUND((INDEX($E87:$G87,V$5)-SUMIFS(TF_Timer,TF_Tekniker,V$4,TF_Dato,$A87))*2,0)/2)))</f>
        <v/>
      </c>
      <c r="W87">
        <f>IF(OR(W$4="",$A87&gt;TODAY()),0,IF(OR(INDEX($B87:$D87,W$5)="F",AND(W$6&gt;0,$A87&lt;W$6),AND(W$7&gt;0,$A87&gt;W$7)),0,MAX(0,ROUND((INDEX($E87:$G87,W$5)-SUMIFS(TF_Timer,TF_Tekniker,W$4,TF_Dato,$A87))*2,0)/2)))</f>
        <v/>
      </c>
      <c r="X87">
        <f>IF(OR(X$4="",$A87&gt;TODAY()),0,IF(OR(INDEX($B87:$D87,X$5)="F",AND(X$6&gt;0,$A87&lt;X$6),AND(X$7&gt;0,$A87&gt;X$7)),0,MAX(0,ROUND((INDEX($E87:$G87,X$5)-SUMIFS(TF_Timer,TF_Tekniker,X$4,TF_Dato,$A87))*2,0)/2)))</f>
        <v/>
      </c>
      <c r="Y87">
        <f>IF(OR(Y$4="",$A87&gt;TODAY()),0,IF(OR(INDEX($B87:$D87,Y$5)="F",AND(Y$6&gt;0,$A87&lt;Y$6),AND(Y$7&gt;0,$A87&gt;Y$7)),0,MAX(0,ROUND((INDEX($E87:$G87,Y$5)-SUMIFS(TF_Timer,TF_Tekniker,Y$4,TF_Dato,$A87))*2,0)/2)))</f>
        <v/>
      </c>
      <c r="Z87">
        <f>IF(OR(Z$4="",$A87&gt;TODAY()),0,IF(OR(INDEX($B87:$D87,Z$5)="F",AND(Z$6&gt;0,$A87&lt;Z$6),AND(Z$7&gt;0,$A87&gt;Z$7)),0,MAX(0,ROUND((INDEX($E87:$G87,Z$5)-SUMIFS(TF_Timer,TF_Tekniker,Z$4,TF_Dato,$A87))*2,0)/2)))</f>
        <v/>
      </c>
      <c r="AA87">
        <f>IF(OR(AA$4="",$A87&gt;TODAY()),0,IF(OR(INDEX($B87:$D87,AA$5)="F",AND(AA$6&gt;0,$A87&lt;AA$6),AND(AA$7&gt;0,$A87&gt;AA$7)),0,MAX(0,ROUND((INDEX($E87:$G87,AA$5)-SUMIFS(TF_Timer,TF_Tekniker,AA$4,TF_Dato,$A87))*2,0)/2)))</f>
        <v/>
      </c>
      <c r="AB87">
        <f>IF(OR(AB$4="",$A87&gt;TODAY()),0,IF(OR(INDEX($B87:$D87,AB$5)="F",AND(AB$6&gt;0,$A87&lt;AB$6),AND(AB$7&gt;0,$A87&gt;AB$7)),0,MAX(0,ROUND((INDEX($E87:$G87,AB$5)-SUMIFS(TF_Timer,TF_Tekniker,AB$4,TF_Dato,$A87))*2,0)/2)))</f>
        <v/>
      </c>
      <c r="AC87">
        <f>IF(OR(AC$4="",$A87&gt;TODAY()),0,IF(OR(INDEX($B87:$D87,AC$5)="F",AND(AC$6&gt;0,$A87&lt;AC$6),AND(AC$7&gt;0,$A87&gt;AC$7)),0,MAX(0,ROUND((INDEX($E87:$G87,AC$5)-SUMIFS(TF_Timer,TF_Tekniker,AC$4,TF_Dato,$A87))*2,0)/2)))</f>
        <v/>
      </c>
      <c r="AD87">
        <f>IF(OR(AD$4="",$A87&gt;TODAY()),0,IF(OR(INDEX($B87:$D87,AD$5)="F",AND(AD$6&gt;0,$A87&lt;AD$6),AND(AD$7&gt;0,$A87&gt;AD$7)),0,MAX(0,ROUND((INDEX($E87:$G87,AD$5)-SUMIFS(TF_Timer,TF_Tekniker,AD$4,TF_Dato,$A87))*2,0)/2)))</f>
        <v/>
      </c>
      <c r="AE87">
        <f>IF(OR(AE$4="",$A87&gt;TODAY()),0,IF(OR(INDEX($B87:$D87,AE$5)="F",AND(AE$6&gt;0,$A87&lt;AE$6),AND(AE$7&gt;0,$A87&gt;AE$7)),0,MAX(0,ROUND((INDEX($E87:$G87,AE$5)-SUMIFS(TF_Timer,TF_Tekniker,AE$4,TF_Dato,$A87))*2,0)/2)))</f>
        <v/>
      </c>
      <c r="AF87">
        <f>IF(OR(AF$4="",$A87&gt;TODAY()),0,IF(OR(INDEX($B87:$D87,AF$5)="F",AND(AF$6&gt;0,$A87&lt;AF$6),AND(AF$7&gt;0,$A87&gt;AF$7)),0,MAX(0,ROUND((INDEX($E87:$G87,AF$5)-SUMIFS(TF_Timer,TF_Tekniker,AF$4,TF_Dato,$A87))*2,0)/2)))</f>
        <v/>
      </c>
      <c r="AG87">
        <f>IF(OR(AG$4="",$A87&gt;TODAY()),0,IF(OR(INDEX($B87:$D87,AG$5)="F",AND(AG$6&gt;0,$A87&lt;AG$6),AND(AG$7&gt;0,$A87&gt;AG$7)),0,MAX(0,ROUND((INDEX($E87:$G87,AG$5)-SUMIFS(TF_Timer,TF_Tekniker,AG$4,TF_Dato,$A87))*2,0)/2)))</f>
        <v/>
      </c>
      <c r="AH87">
        <f>IF(OR(AH$4="",$A87&gt;TODAY()),0,IF(OR(INDEX($B87:$D87,AH$5)="F",AND(AH$6&gt;0,$A87&lt;AH$6),AND(AH$7&gt;0,$A87&gt;AH$7)),0,MAX(0,ROUND((INDEX($E87:$G87,AH$5)-SUMIFS(TF_Timer,TF_Tekniker,AH$4,TF_Dato,$A87))*2,0)/2)))</f>
        <v/>
      </c>
      <c r="AI87">
        <f>IF(OR(AI$4="",$A87&gt;TODAY()),0,IF(OR(INDEX($B87:$D87,AI$5)="F",AND(AI$6&gt;0,$A87&lt;AI$6),AND(AI$7&gt;0,$A87&gt;AI$7)),0,MAX(0,ROUND((INDEX($E87:$G87,AI$5)-SUMIFS(TF_Timer,TF_Tekniker,AI$4,TF_Dato,$A87))*2,0)/2)))</f>
        <v/>
      </c>
      <c r="AJ87">
        <f>IF(OR(AJ$4="",$A87&gt;TODAY()),0,IF(OR(INDEX($B87:$D87,AJ$5)="F",AND(AJ$6&gt;0,$A87&lt;AJ$6),AND(AJ$7&gt;0,$A87&gt;AJ$7)),0,MAX(0,ROUND((INDEX($E87:$G87,AJ$5)-SUMIFS(TF_Timer,TF_Tekniker,AJ$4,TF_Dato,$A87))*2,0)/2)))</f>
        <v/>
      </c>
      <c r="AK87">
        <f>IF(OR(AK$4="",$A87&gt;TODAY()),0,IF(OR(INDEX($B87:$D87,AK$5)="F",AND(AK$6&gt;0,$A87&lt;AK$6),AND(AK$7&gt;0,$A87&gt;AK$7)),0,MAX(0,ROUND((INDEX($E87:$G87,AK$5)-SUMIFS(TF_Timer,TF_Tekniker,AK$4,TF_Dato,$A87))*2,0)/2)))</f>
        <v/>
      </c>
      <c r="AL87">
        <f>IF(OR(AL$4="",$A87&gt;TODAY()),0,IF(OR(INDEX($B87:$D87,AL$5)="F",AND(AL$6&gt;0,$A87&lt;AL$6),AND(AL$7&gt;0,$A87&gt;AL$7)),0,MAX(0,ROUND((INDEX($E87:$G87,AL$5)-SUMIFS(TF_Timer,TF_Tekniker,AL$4,TF_Dato,$A87))*2,0)/2)))</f>
        <v/>
      </c>
      <c r="AM87">
        <f>IF(OR(AM$4="",$A87&gt;TODAY()),0,IF(OR(INDEX($B87:$D87,AM$5)="F",AND(AM$6&gt;0,$A87&lt;AM$6),AND(AM$7&gt;0,$A87&gt;AM$7)),0,MAX(0,ROUND((INDEX($E87:$G87,AM$5)-SUMIFS(TF_Timer,TF_Tekniker,AM$4,TF_Dato,$A87))*2,0)/2)))</f>
        <v/>
      </c>
      <c r="AN87">
        <f>IF(OR(AN$4="",$A87&gt;TODAY()),0,IF(OR(INDEX($B87:$D87,AN$5)="F",AND(AN$6&gt;0,$A87&lt;AN$6),AND(AN$7&gt;0,$A87&gt;AN$7)),0,MAX(0,ROUND((INDEX($E87:$G87,AN$5)-SUMIFS(TF_Timer,TF_Tekniker,AN$4,TF_Dato,$A87))*2,0)/2)))</f>
        <v/>
      </c>
      <c r="AO87">
        <f>IF(OR(AO$4="",$A87&gt;TODAY()),0,IF(OR(INDEX($B87:$D87,AO$5)="F",AND(AO$6&gt;0,$A87&lt;AO$6),AND(AO$7&gt;0,$A87&gt;AO$7)),0,MAX(0,ROUND((INDEX($E87:$G87,AO$5)-SUMIFS(TF_Timer,TF_Tekniker,AO$4,TF_Dato,$A87))*2,0)/2)))</f>
        <v/>
      </c>
      <c r="AP87">
        <f>IF(OR(AP$4="",$A87&gt;TODAY()),0,IF(OR(INDEX($B87:$D87,AP$5)="F",AND(AP$6&gt;0,$A87&lt;AP$6),AND(AP$7&gt;0,$A87&gt;AP$7)),0,MAX(0,ROUND((INDEX($E87:$G87,AP$5)-SUMIFS(TF_Timer,TF_Tekniker,AP$4,TF_Dato,$A87))*2,0)/2)))</f>
        <v/>
      </c>
      <c r="AQ87">
        <f>IF(OR(AQ$4="",$A87&gt;TODAY()),0,IF(OR(INDEX($B87:$D87,AQ$5)="F",AND(AQ$6&gt;0,$A87&lt;AQ$6),AND(AQ$7&gt;0,$A87&gt;AQ$7)),0,MAX(0,ROUND((INDEX($E87:$G87,AQ$5)-SUMIFS(TF_Timer,TF_Tekniker,AQ$4,TF_Dato,$A87))*2,0)/2)))</f>
        <v/>
      </c>
      <c r="AR87">
        <f>IF(OR(AR$4="",$A87&gt;TODAY()),0,IF(OR(INDEX($B87:$D87,AR$5)="F",AND(AR$6&gt;0,$A87&lt;AR$6),AND(AR$7&gt;0,$A87&gt;AR$7)),0,MAX(0,ROUND((INDEX($E87:$G87,AR$5)-SUMIFS(TF_Timer,TF_Tekniker,AR$4,TF_Dato,$A87))*2,0)/2)))</f>
        <v/>
      </c>
      <c r="AS87">
        <f>IF(OR(AS$4="",$A87&gt;TODAY()),0,IF(OR(INDEX($B87:$D87,AS$5)="F",AND(AS$6&gt;0,$A87&lt;AS$6),AND(AS$7&gt;0,$A87&gt;AS$7)),0,MAX(0,ROUND((INDEX($E87:$G87,AS$5)-SUMIFS(TF_Timer,TF_Tekniker,AS$4,TF_Dato,$A87))*2,0)/2)))</f>
        <v/>
      </c>
      <c r="AT87">
        <f>IF(OR(AT$4="",$A87&gt;TODAY()),0,IF(OR(INDEX($B87:$D87,AT$5)="F",AND(AT$6&gt;0,$A87&lt;AT$6),AND(AT$7&gt;0,$A87&gt;AT$7)),0,MAX(0,ROUND((INDEX($E87:$G87,AT$5)-SUMIFS(TF_Timer,TF_Tekniker,AT$4,TF_Dato,$A87))*2,0)/2)))</f>
        <v/>
      </c>
      <c r="AU87">
        <f>IF(OR(AU$4="",$A87&gt;TODAY()),0,IF(OR(INDEX($B87:$D87,AU$5)="F",AND(AU$6&gt;0,$A87&lt;AU$6),AND(AU$7&gt;0,$A87&gt;AU$7)),0,MAX(0,ROUND((INDEX($E87:$G87,AU$5)-SUMIFS(TF_Timer,TF_Tekniker,AU$4,TF_Dato,$A87))*2,0)/2)))</f>
        <v/>
      </c>
      <c r="AV87">
        <f>IF(OR(AV$4="",$A87&gt;TODAY()),0,IF(OR(INDEX($B87:$D87,AV$5)="F",AND(AV$6&gt;0,$A87&lt;AV$6),AND(AV$7&gt;0,$A87&gt;AV$7)),0,MAX(0,ROUND((INDEX($E87:$G87,AV$5)-SUMIFS(TF_Timer,TF_Tekniker,AV$4,TF_Dato,$A87))*2,0)/2)))</f>
        <v/>
      </c>
      <c r="AW87">
        <f>IF(OR(AW$4="",$A87&gt;TODAY()),0,IF(OR(INDEX($B87:$D87,AW$5)="F",AND(AW$6&gt;0,$A87&lt;AW$6),AND(AW$7&gt;0,$A87&gt;AW$7)),0,MAX(0,ROUND((INDEX($E87:$G87,AW$5)-SUMIFS(TF_Timer,TF_Tekniker,AW$4,TF_Dato,$A87))*2,0)/2)))</f>
        <v/>
      </c>
      <c r="AX87">
        <f>IF(OR(AX$4="",$A87&gt;TODAY()),0,IF(OR(INDEX($B87:$D87,AX$5)="F",AND(AX$6&gt;0,$A87&lt;AX$6),AND(AX$7&gt;0,$A87&gt;AX$7)),0,MAX(0,ROUND((INDEX($E87:$G87,AX$5)-SUMIFS(TF_Timer,TF_Tekniker,AX$4,TF_Dato,$A87))*2,0)/2)))</f>
        <v/>
      </c>
      <c r="AY87">
        <f>IF(OR(AY$4="",$A87&gt;TODAY()),0,IF(OR(INDEX($B87:$D87,AY$5)="F",AND(AY$6&gt;0,$A87&lt;AY$6),AND(AY$7&gt;0,$A87&gt;AY$7)),0,MAX(0,ROUND((INDEX($E87:$G87,AY$5)-SUMIFS(TF_Timer,TF_Tekniker,AY$4,TF_Dato,$A87))*2,0)/2)))</f>
        <v/>
      </c>
      <c r="AZ87">
        <f>IF(OR(AZ$4="",$A87&gt;TODAY()),0,IF(OR(INDEX($B87:$D87,AZ$5)="F",AND(AZ$6&gt;0,$A87&lt;AZ$6),AND(AZ$7&gt;0,$A87&gt;AZ$7)),0,MAX(0,ROUND((INDEX($E87:$G87,AZ$5)-SUMIFS(TF_Timer,TF_Tekniker,AZ$4,TF_Dato,$A87))*2,0)/2)))</f>
        <v/>
      </c>
      <c r="BA87">
        <f>IF(OR(BA$4="",$A87&gt;TODAY()),0,IF(OR(INDEX($B87:$D87,BA$5)="F",AND(BA$6&gt;0,$A87&lt;BA$6),AND(BA$7&gt;0,$A87&gt;BA$7)),0,MAX(0,ROUND((INDEX($E87:$G87,BA$5)-SUMIFS(TF_Timer,TF_Tekniker,BA$4,TF_Dato,$A87))*2,0)/2)))</f>
        <v/>
      </c>
      <c r="BB87">
        <f>IF(OR(BB$4="",$A87&gt;TODAY()),0,IF(OR(INDEX($B87:$D87,BB$5)="F",AND(BB$6&gt;0,$A87&lt;BB$6),AND(BB$7&gt;0,$A87&gt;BB$7)),0,MAX(0,ROUND((INDEX($E87:$G87,BB$5)-SUMIFS(TF_Timer,TF_Tekniker,BB$4,TF_Dato,$A87))*2,0)/2)))</f>
        <v/>
      </c>
      <c r="BC87">
        <f>IF(OR(BC$4="",$A87&gt;TODAY()),0,IF(OR(INDEX($B87:$D87,BC$5)="F",AND(BC$6&gt;0,$A87&lt;BC$6),AND(BC$7&gt;0,$A87&gt;BC$7)),0,MAX(0,ROUND((INDEX($E87:$G87,BC$5)-SUMIFS(TF_Timer,TF_Tekniker,BC$4,TF_Dato,$A87))*2,0)/2)))</f>
        <v/>
      </c>
      <c r="BD87">
        <f>IF(OR(BD$4="",$A87&gt;TODAY()),0,IF(OR(INDEX($B87:$D87,BD$5)="F",AND(BD$6&gt;0,$A87&lt;BD$6),AND(BD$7&gt;0,$A87&gt;BD$7)),0,MAX(0,ROUND((INDEX($E87:$G87,BD$5)-SUMIFS(TF_Timer,TF_Tekniker,BD$4,TF_Dato,$A87))*2,0)/2)))</f>
        <v/>
      </c>
      <c r="BE87">
        <f>IF(OR(BE$4="",$A87&gt;TODAY()),0,IF(OR(INDEX($B87:$D87,BE$5)="F",AND(BE$6&gt;0,$A87&lt;BE$6),AND(BE$7&gt;0,$A87&gt;BE$7)),0,MAX(0,ROUND((INDEX($E87:$G87,BE$5)-SUMIFS(TF_Timer,TF_Tekniker,BE$4,TF_Dato,$A87))*2,0)/2)))</f>
        <v/>
      </c>
      <c r="BF87">
        <f>IF(OR(BF$4="",$A87&gt;TODAY()),0,IF(OR(INDEX($B87:$D87,BF$5)="F",AND(BF$6&gt;0,$A87&lt;BF$6),AND(BF$7&gt;0,$A87&gt;BF$7)),0,MAX(0,ROUND((INDEX($E87:$G87,BF$5)-SUMIFS(TF_Timer,TF_Tekniker,BF$4,TF_Dato,$A87))*2,0)/2)))</f>
        <v/>
      </c>
      <c r="BG87">
        <f>IF(OR(BG$4="",$A87&gt;TODAY()),0,IF(OR(INDEX($B87:$D87,BG$5)="F",AND(BG$6&gt;0,$A87&lt;BG$6),AND(BG$7&gt;0,$A87&gt;BG$7)),0,MAX(0,ROUND((INDEX($E87:$G87,BG$5)-SUMIFS(TF_Timer,TF_Tekniker,BG$4,TF_Dato,$A87))*2,0)/2)))</f>
        <v/>
      </c>
      <c r="BH87">
        <f>IF(OR(BH$4="",$A87&gt;TODAY()),0,IF(OR(INDEX($B87:$D87,BH$5)="F",AND(BH$6&gt;0,$A87&lt;BH$6),AND(BH$7&gt;0,$A87&gt;BH$7)),0,MAX(0,ROUND((INDEX($E87:$G87,BH$5)-SUMIFS(TF_Timer,TF_Tekniker,BH$4,TF_Dato,$A87))*2,0)/2)))</f>
        <v/>
      </c>
      <c r="BI87">
        <f>IF(OR(BI$4="",$A87&gt;TODAY()),0,IF(OR(INDEX($B87:$D87,BI$5)="F",AND(BI$6&gt;0,$A87&lt;BI$6),AND(BI$7&gt;0,$A87&gt;BI$7)),0,MAX(0,ROUND((INDEX($E87:$G87,BI$5)-SUMIFS(TF_Timer,TF_Tekniker,BI$4,TF_Dato,$A87))*2,0)/2)))</f>
        <v/>
      </c>
    </row>
    <row r="88">
      <c r="A88" s="64">
        <f>A87+1</f>
        <v/>
      </c>
      <c r="B88">
        <f>IF(MOD($A88-INDEX(SkiftStart,1),Syklus)&lt;DagK,"K",IF(MOD($A88-INDEX(SkiftStart,1),Syklus)&lt;DagK+DagH,"H",IF(MOD($A88-INDEX(SkiftStart,1),Syklus)&lt;DagK+DagH+DagD,"D","F")))</f>
        <v/>
      </c>
      <c r="C88">
        <f>IF(MOD($A88-INDEX(SkiftStart,2),Syklus)&lt;DagK,"K",IF(MOD($A88-INDEX(SkiftStart,2),Syklus)&lt;DagK+DagH,"H",IF(MOD($A88-INDEX(SkiftStart,2),Syklus)&lt;DagK+DagH+DagD,"D","F")))</f>
        <v/>
      </c>
      <c r="D88">
        <f>IF(MOD($A88-INDEX(SkiftStart,3),Syklus)&lt;DagK,"K",IF(MOD($A88-INDEX(SkiftStart,3),Syklus)&lt;DagK+DagH,"H",IF(MOD($A88-INDEX(SkiftStart,3),Syklus)&lt;DagK+DagH+DagD,"D","F")))</f>
        <v/>
      </c>
      <c r="E88">
        <f>IF(B88="F",0,IF(WEEKDAY($A88,2)=5,INDEX(TimerFr,MATCH(B88,FaseKode,0)),INDEX(TimerMT,MATCH(B88,FaseKode,0))))</f>
        <v/>
      </c>
      <c r="F88">
        <f>IF(C88="F",0,IF(WEEKDAY($A88,2)=5,INDEX(TimerFr,MATCH(C88,FaseKode,0)),INDEX(TimerMT,MATCH(C88,FaseKode,0))))</f>
        <v/>
      </c>
      <c r="G88">
        <f>IF(D88="F",0,IF(WEEKDAY($A88,2)=5,INDEX(TimerFr,MATCH(D88,FaseKode,0)),INDEX(TimerMT,MATCH(D88,FaseKode,0))))</f>
        <v/>
      </c>
      <c r="H88">
        <f>IF(OR(H$4="",$A88&gt;TODAY()),0,IF(OR(INDEX($B88:$D88,H$5)="F",AND(H$6&gt;0,$A88&lt;H$6),AND(H$7&gt;0,$A88&gt;H$7)),0,MAX(0,ROUND((INDEX($E88:$G88,H$5)-SUMIFS(TF_Timer,TF_Tekniker,H$4,TF_Dato,$A88))*2,0)/2)))</f>
        <v/>
      </c>
      <c r="I88">
        <f>IF(OR(I$4="",$A88&gt;TODAY()),0,IF(OR(INDEX($B88:$D88,I$5)="F",AND(I$6&gt;0,$A88&lt;I$6),AND(I$7&gt;0,$A88&gt;I$7)),0,MAX(0,ROUND((INDEX($E88:$G88,I$5)-SUMIFS(TF_Timer,TF_Tekniker,I$4,TF_Dato,$A88))*2,0)/2)))</f>
        <v/>
      </c>
      <c r="J88">
        <f>IF(OR(J$4="",$A88&gt;TODAY()),0,IF(OR(INDEX($B88:$D88,J$5)="F",AND(J$6&gt;0,$A88&lt;J$6),AND(J$7&gt;0,$A88&gt;J$7)),0,MAX(0,ROUND((INDEX($E88:$G88,J$5)-SUMIFS(TF_Timer,TF_Tekniker,J$4,TF_Dato,$A88))*2,0)/2)))</f>
        <v/>
      </c>
      <c r="K88">
        <f>IF(OR(K$4="",$A88&gt;TODAY()),0,IF(OR(INDEX($B88:$D88,K$5)="F",AND(K$6&gt;0,$A88&lt;K$6),AND(K$7&gt;0,$A88&gt;K$7)),0,MAX(0,ROUND((INDEX($E88:$G88,K$5)-SUMIFS(TF_Timer,TF_Tekniker,K$4,TF_Dato,$A88))*2,0)/2)))</f>
        <v/>
      </c>
      <c r="L88">
        <f>IF(OR(L$4="",$A88&gt;TODAY()),0,IF(OR(INDEX($B88:$D88,L$5)="F",AND(L$6&gt;0,$A88&lt;L$6),AND(L$7&gt;0,$A88&gt;L$7)),0,MAX(0,ROUND((INDEX($E88:$G88,L$5)-SUMIFS(TF_Timer,TF_Tekniker,L$4,TF_Dato,$A88))*2,0)/2)))</f>
        <v/>
      </c>
      <c r="M88">
        <f>IF(OR(M$4="",$A88&gt;TODAY()),0,IF(OR(INDEX($B88:$D88,M$5)="F",AND(M$6&gt;0,$A88&lt;M$6),AND(M$7&gt;0,$A88&gt;M$7)),0,MAX(0,ROUND((INDEX($E88:$G88,M$5)-SUMIFS(TF_Timer,TF_Tekniker,M$4,TF_Dato,$A88))*2,0)/2)))</f>
        <v/>
      </c>
      <c r="N88">
        <f>IF(OR(N$4="",$A88&gt;TODAY()),0,IF(OR(INDEX($B88:$D88,N$5)="F",AND(N$6&gt;0,$A88&lt;N$6),AND(N$7&gt;0,$A88&gt;N$7)),0,MAX(0,ROUND((INDEX($E88:$G88,N$5)-SUMIFS(TF_Timer,TF_Tekniker,N$4,TF_Dato,$A88))*2,0)/2)))</f>
        <v/>
      </c>
      <c r="O88">
        <f>IF(OR(O$4="",$A88&gt;TODAY()),0,IF(OR(INDEX($B88:$D88,O$5)="F",AND(O$6&gt;0,$A88&lt;O$6),AND(O$7&gt;0,$A88&gt;O$7)),0,MAX(0,ROUND((INDEX($E88:$G88,O$5)-SUMIFS(TF_Timer,TF_Tekniker,O$4,TF_Dato,$A88))*2,0)/2)))</f>
        <v/>
      </c>
      <c r="P88">
        <f>IF(OR(P$4="",$A88&gt;TODAY()),0,IF(OR(INDEX($B88:$D88,P$5)="F",AND(P$6&gt;0,$A88&lt;P$6),AND(P$7&gt;0,$A88&gt;P$7)),0,MAX(0,ROUND((INDEX($E88:$G88,P$5)-SUMIFS(TF_Timer,TF_Tekniker,P$4,TF_Dato,$A88))*2,0)/2)))</f>
        <v/>
      </c>
      <c r="Q88">
        <f>IF(OR(Q$4="",$A88&gt;TODAY()),0,IF(OR(INDEX($B88:$D88,Q$5)="F",AND(Q$6&gt;0,$A88&lt;Q$6),AND(Q$7&gt;0,$A88&gt;Q$7)),0,MAX(0,ROUND((INDEX($E88:$G88,Q$5)-SUMIFS(TF_Timer,TF_Tekniker,Q$4,TF_Dato,$A88))*2,0)/2)))</f>
        <v/>
      </c>
      <c r="R88">
        <f>IF(OR(R$4="",$A88&gt;TODAY()),0,IF(OR(INDEX($B88:$D88,R$5)="F",AND(R$6&gt;0,$A88&lt;R$6),AND(R$7&gt;0,$A88&gt;R$7)),0,MAX(0,ROUND((INDEX($E88:$G88,R$5)-SUMIFS(TF_Timer,TF_Tekniker,R$4,TF_Dato,$A88))*2,0)/2)))</f>
        <v/>
      </c>
      <c r="S88">
        <f>IF(OR(S$4="",$A88&gt;TODAY()),0,IF(OR(INDEX($B88:$D88,S$5)="F",AND(S$6&gt;0,$A88&lt;S$6),AND(S$7&gt;0,$A88&gt;S$7)),0,MAX(0,ROUND((INDEX($E88:$G88,S$5)-SUMIFS(TF_Timer,TF_Tekniker,S$4,TF_Dato,$A88))*2,0)/2)))</f>
        <v/>
      </c>
      <c r="T88">
        <f>IF(OR(T$4="",$A88&gt;TODAY()),0,IF(OR(INDEX($B88:$D88,T$5)="F",AND(T$6&gt;0,$A88&lt;T$6),AND(T$7&gt;0,$A88&gt;T$7)),0,MAX(0,ROUND((INDEX($E88:$G88,T$5)-SUMIFS(TF_Timer,TF_Tekniker,T$4,TF_Dato,$A88))*2,0)/2)))</f>
        <v/>
      </c>
      <c r="U88">
        <f>IF(OR(U$4="",$A88&gt;TODAY()),0,IF(OR(INDEX($B88:$D88,U$5)="F",AND(U$6&gt;0,$A88&lt;U$6),AND(U$7&gt;0,$A88&gt;U$7)),0,MAX(0,ROUND((INDEX($E88:$G88,U$5)-SUMIFS(TF_Timer,TF_Tekniker,U$4,TF_Dato,$A88))*2,0)/2)))</f>
        <v/>
      </c>
      <c r="V88">
        <f>IF(OR(V$4="",$A88&gt;TODAY()),0,IF(OR(INDEX($B88:$D88,V$5)="F",AND(V$6&gt;0,$A88&lt;V$6),AND(V$7&gt;0,$A88&gt;V$7)),0,MAX(0,ROUND((INDEX($E88:$G88,V$5)-SUMIFS(TF_Timer,TF_Tekniker,V$4,TF_Dato,$A88))*2,0)/2)))</f>
        <v/>
      </c>
      <c r="W88">
        <f>IF(OR(W$4="",$A88&gt;TODAY()),0,IF(OR(INDEX($B88:$D88,W$5)="F",AND(W$6&gt;0,$A88&lt;W$6),AND(W$7&gt;0,$A88&gt;W$7)),0,MAX(0,ROUND((INDEX($E88:$G88,W$5)-SUMIFS(TF_Timer,TF_Tekniker,W$4,TF_Dato,$A88))*2,0)/2)))</f>
        <v/>
      </c>
      <c r="X88">
        <f>IF(OR(X$4="",$A88&gt;TODAY()),0,IF(OR(INDEX($B88:$D88,X$5)="F",AND(X$6&gt;0,$A88&lt;X$6),AND(X$7&gt;0,$A88&gt;X$7)),0,MAX(0,ROUND((INDEX($E88:$G88,X$5)-SUMIFS(TF_Timer,TF_Tekniker,X$4,TF_Dato,$A88))*2,0)/2)))</f>
        <v/>
      </c>
      <c r="Y88">
        <f>IF(OR(Y$4="",$A88&gt;TODAY()),0,IF(OR(INDEX($B88:$D88,Y$5)="F",AND(Y$6&gt;0,$A88&lt;Y$6),AND(Y$7&gt;0,$A88&gt;Y$7)),0,MAX(0,ROUND((INDEX($E88:$G88,Y$5)-SUMIFS(TF_Timer,TF_Tekniker,Y$4,TF_Dato,$A88))*2,0)/2)))</f>
        <v/>
      </c>
      <c r="Z88">
        <f>IF(OR(Z$4="",$A88&gt;TODAY()),0,IF(OR(INDEX($B88:$D88,Z$5)="F",AND(Z$6&gt;0,$A88&lt;Z$6),AND(Z$7&gt;0,$A88&gt;Z$7)),0,MAX(0,ROUND((INDEX($E88:$G88,Z$5)-SUMIFS(TF_Timer,TF_Tekniker,Z$4,TF_Dato,$A88))*2,0)/2)))</f>
        <v/>
      </c>
      <c r="AA88">
        <f>IF(OR(AA$4="",$A88&gt;TODAY()),0,IF(OR(INDEX($B88:$D88,AA$5)="F",AND(AA$6&gt;0,$A88&lt;AA$6),AND(AA$7&gt;0,$A88&gt;AA$7)),0,MAX(0,ROUND((INDEX($E88:$G88,AA$5)-SUMIFS(TF_Timer,TF_Tekniker,AA$4,TF_Dato,$A88))*2,0)/2)))</f>
        <v/>
      </c>
      <c r="AB88">
        <f>IF(OR(AB$4="",$A88&gt;TODAY()),0,IF(OR(INDEX($B88:$D88,AB$5)="F",AND(AB$6&gt;0,$A88&lt;AB$6),AND(AB$7&gt;0,$A88&gt;AB$7)),0,MAX(0,ROUND((INDEX($E88:$G88,AB$5)-SUMIFS(TF_Timer,TF_Tekniker,AB$4,TF_Dato,$A88))*2,0)/2)))</f>
        <v/>
      </c>
      <c r="AC88">
        <f>IF(OR(AC$4="",$A88&gt;TODAY()),0,IF(OR(INDEX($B88:$D88,AC$5)="F",AND(AC$6&gt;0,$A88&lt;AC$6),AND(AC$7&gt;0,$A88&gt;AC$7)),0,MAX(0,ROUND((INDEX($E88:$G88,AC$5)-SUMIFS(TF_Timer,TF_Tekniker,AC$4,TF_Dato,$A88))*2,0)/2)))</f>
        <v/>
      </c>
      <c r="AD88">
        <f>IF(OR(AD$4="",$A88&gt;TODAY()),0,IF(OR(INDEX($B88:$D88,AD$5)="F",AND(AD$6&gt;0,$A88&lt;AD$6),AND(AD$7&gt;0,$A88&gt;AD$7)),0,MAX(0,ROUND((INDEX($E88:$G88,AD$5)-SUMIFS(TF_Timer,TF_Tekniker,AD$4,TF_Dato,$A88))*2,0)/2)))</f>
        <v/>
      </c>
      <c r="AE88">
        <f>IF(OR(AE$4="",$A88&gt;TODAY()),0,IF(OR(INDEX($B88:$D88,AE$5)="F",AND(AE$6&gt;0,$A88&lt;AE$6),AND(AE$7&gt;0,$A88&gt;AE$7)),0,MAX(0,ROUND((INDEX($E88:$G88,AE$5)-SUMIFS(TF_Timer,TF_Tekniker,AE$4,TF_Dato,$A88))*2,0)/2)))</f>
        <v/>
      </c>
      <c r="AF88">
        <f>IF(OR(AF$4="",$A88&gt;TODAY()),0,IF(OR(INDEX($B88:$D88,AF$5)="F",AND(AF$6&gt;0,$A88&lt;AF$6),AND(AF$7&gt;0,$A88&gt;AF$7)),0,MAX(0,ROUND((INDEX($E88:$G88,AF$5)-SUMIFS(TF_Timer,TF_Tekniker,AF$4,TF_Dato,$A88))*2,0)/2)))</f>
        <v/>
      </c>
      <c r="AG88">
        <f>IF(OR(AG$4="",$A88&gt;TODAY()),0,IF(OR(INDEX($B88:$D88,AG$5)="F",AND(AG$6&gt;0,$A88&lt;AG$6),AND(AG$7&gt;0,$A88&gt;AG$7)),0,MAX(0,ROUND((INDEX($E88:$G88,AG$5)-SUMIFS(TF_Timer,TF_Tekniker,AG$4,TF_Dato,$A88))*2,0)/2)))</f>
        <v/>
      </c>
      <c r="AH88">
        <f>IF(OR(AH$4="",$A88&gt;TODAY()),0,IF(OR(INDEX($B88:$D88,AH$5)="F",AND(AH$6&gt;0,$A88&lt;AH$6),AND(AH$7&gt;0,$A88&gt;AH$7)),0,MAX(0,ROUND((INDEX($E88:$G88,AH$5)-SUMIFS(TF_Timer,TF_Tekniker,AH$4,TF_Dato,$A88))*2,0)/2)))</f>
        <v/>
      </c>
      <c r="AI88">
        <f>IF(OR(AI$4="",$A88&gt;TODAY()),0,IF(OR(INDEX($B88:$D88,AI$5)="F",AND(AI$6&gt;0,$A88&lt;AI$6),AND(AI$7&gt;0,$A88&gt;AI$7)),0,MAX(0,ROUND((INDEX($E88:$G88,AI$5)-SUMIFS(TF_Timer,TF_Tekniker,AI$4,TF_Dato,$A88))*2,0)/2)))</f>
        <v/>
      </c>
      <c r="AJ88">
        <f>IF(OR(AJ$4="",$A88&gt;TODAY()),0,IF(OR(INDEX($B88:$D88,AJ$5)="F",AND(AJ$6&gt;0,$A88&lt;AJ$6),AND(AJ$7&gt;0,$A88&gt;AJ$7)),0,MAX(0,ROUND((INDEX($E88:$G88,AJ$5)-SUMIFS(TF_Timer,TF_Tekniker,AJ$4,TF_Dato,$A88))*2,0)/2)))</f>
        <v/>
      </c>
      <c r="AK88">
        <f>IF(OR(AK$4="",$A88&gt;TODAY()),0,IF(OR(INDEX($B88:$D88,AK$5)="F",AND(AK$6&gt;0,$A88&lt;AK$6),AND(AK$7&gt;0,$A88&gt;AK$7)),0,MAX(0,ROUND((INDEX($E88:$G88,AK$5)-SUMIFS(TF_Timer,TF_Tekniker,AK$4,TF_Dato,$A88))*2,0)/2)))</f>
        <v/>
      </c>
      <c r="AL88">
        <f>IF(OR(AL$4="",$A88&gt;TODAY()),0,IF(OR(INDEX($B88:$D88,AL$5)="F",AND(AL$6&gt;0,$A88&lt;AL$6),AND(AL$7&gt;0,$A88&gt;AL$7)),0,MAX(0,ROUND((INDEX($E88:$G88,AL$5)-SUMIFS(TF_Timer,TF_Tekniker,AL$4,TF_Dato,$A88))*2,0)/2)))</f>
        <v/>
      </c>
      <c r="AM88">
        <f>IF(OR(AM$4="",$A88&gt;TODAY()),0,IF(OR(INDEX($B88:$D88,AM$5)="F",AND(AM$6&gt;0,$A88&lt;AM$6),AND(AM$7&gt;0,$A88&gt;AM$7)),0,MAX(0,ROUND((INDEX($E88:$G88,AM$5)-SUMIFS(TF_Timer,TF_Tekniker,AM$4,TF_Dato,$A88))*2,0)/2)))</f>
        <v/>
      </c>
      <c r="AN88">
        <f>IF(OR(AN$4="",$A88&gt;TODAY()),0,IF(OR(INDEX($B88:$D88,AN$5)="F",AND(AN$6&gt;0,$A88&lt;AN$6),AND(AN$7&gt;0,$A88&gt;AN$7)),0,MAX(0,ROUND((INDEX($E88:$G88,AN$5)-SUMIFS(TF_Timer,TF_Tekniker,AN$4,TF_Dato,$A88))*2,0)/2)))</f>
        <v/>
      </c>
      <c r="AO88">
        <f>IF(OR(AO$4="",$A88&gt;TODAY()),0,IF(OR(INDEX($B88:$D88,AO$5)="F",AND(AO$6&gt;0,$A88&lt;AO$6),AND(AO$7&gt;0,$A88&gt;AO$7)),0,MAX(0,ROUND((INDEX($E88:$G88,AO$5)-SUMIFS(TF_Timer,TF_Tekniker,AO$4,TF_Dato,$A88))*2,0)/2)))</f>
        <v/>
      </c>
      <c r="AP88">
        <f>IF(OR(AP$4="",$A88&gt;TODAY()),0,IF(OR(INDEX($B88:$D88,AP$5)="F",AND(AP$6&gt;0,$A88&lt;AP$6),AND(AP$7&gt;0,$A88&gt;AP$7)),0,MAX(0,ROUND((INDEX($E88:$G88,AP$5)-SUMIFS(TF_Timer,TF_Tekniker,AP$4,TF_Dato,$A88))*2,0)/2)))</f>
        <v/>
      </c>
      <c r="AQ88">
        <f>IF(OR(AQ$4="",$A88&gt;TODAY()),0,IF(OR(INDEX($B88:$D88,AQ$5)="F",AND(AQ$6&gt;0,$A88&lt;AQ$6),AND(AQ$7&gt;0,$A88&gt;AQ$7)),0,MAX(0,ROUND((INDEX($E88:$G88,AQ$5)-SUMIFS(TF_Timer,TF_Tekniker,AQ$4,TF_Dato,$A88))*2,0)/2)))</f>
        <v/>
      </c>
      <c r="AR88">
        <f>IF(OR(AR$4="",$A88&gt;TODAY()),0,IF(OR(INDEX($B88:$D88,AR$5)="F",AND(AR$6&gt;0,$A88&lt;AR$6),AND(AR$7&gt;0,$A88&gt;AR$7)),0,MAX(0,ROUND((INDEX($E88:$G88,AR$5)-SUMIFS(TF_Timer,TF_Tekniker,AR$4,TF_Dato,$A88))*2,0)/2)))</f>
        <v/>
      </c>
      <c r="AS88">
        <f>IF(OR(AS$4="",$A88&gt;TODAY()),0,IF(OR(INDEX($B88:$D88,AS$5)="F",AND(AS$6&gt;0,$A88&lt;AS$6),AND(AS$7&gt;0,$A88&gt;AS$7)),0,MAX(0,ROUND((INDEX($E88:$G88,AS$5)-SUMIFS(TF_Timer,TF_Tekniker,AS$4,TF_Dato,$A88))*2,0)/2)))</f>
        <v/>
      </c>
      <c r="AT88">
        <f>IF(OR(AT$4="",$A88&gt;TODAY()),0,IF(OR(INDEX($B88:$D88,AT$5)="F",AND(AT$6&gt;0,$A88&lt;AT$6),AND(AT$7&gt;0,$A88&gt;AT$7)),0,MAX(0,ROUND((INDEX($E88:$G88,AT$5)-SUMIFS(TF_Timer,TF_Tekniker,AT$4,TF_Dato,$A88))*2,0)/2)))</f>
        <v/>
      </c>
      <c r="AU88">
        <f>IF(OR(AU$4="",$A88&gt;TODAY()),0,IF(OR(INDEX($B88:$D88,AU$5)="F",AND(AU$6&gt;0,$A88&lt;AU$6),AND(AU$7&gt;0,$A88&gt;AU$7)),0,MAX(0,ROUND((INDEX($E88:$G88,AU$5)-SUMIFS(TF_Timer,TF_Tekniker,AU$4,TF_Dato,$A88))*2,0)/2)))</f>
        <v/>
      </c>
      <c r="AV88">
        <f>IF(OR(AV$4="",$A88&gt;TODAY()),0,IF(OR(INDEX($B88:$D88,AV$5)="F",AND(AV$6&gt;0,$A88&lt;AV$6),AND(AV$7&gt;0,$A88&gt;AV$7)),0,MAX(0,ROUND((INDEX($E88:$G88,AV$5)-SUMIFS(TF_Timer,TF_Tekniker,AV$4,TF_Dato,$A88))*2,0)/2)))</f>
        <v/>
      </c>
      <c r="AW88">
        <f>IF(OR(AW$4="",$A88&gt;TODAY()),0,IF(OR(INDEX($B88:$D88,AW$5)="F",AND(AW$6&gt;0,$A88&lt;AW$6),AND(AW$7&gt;0,$A88&gt;AW$7)),0,MAX(0,ROUND((INDEX($E88:$G88,AW$5)-SUMIFS(TF_Timer,TF_Tekniker,AW$4,TF_Dato,$A88))*2,0)/2)))</f>
        <v/>
      </c>
      <c r="AX88">
        <f>IF(OR(AX$4="",$A88&gt;TODAY()),0,IF(OR(INDEX($B88:$D88,AX$5)="F",AND(AX$6&gt;0,$A88&lt;AX$6),AND(AX$7&gt;0,$A88&gt;AX$7)),0,MAX(0,ROUND((INDEX($E88:$G88,AX$5)-SUMIFS(TF_Timer,TF_Tekniker,AX$4,TF_Dato,$A88))*2,0)/2)))</f>
        <v/>
      </c>
      <c r="AY88">
        <f>IF(OR(AY$4="",$A88&gt;TODAY()),0,IF(OR(INDEX($B88:$D88,AY$5)="F",AND(AY$6&gt;0,$A88&lt;AY$6),AND(AY$7&gt;0,$A88&gt;AY$7)),0,MAX(0,ROUND((INDEX($E88:$G88,AY$5)-SUMIFS(TF_Timer,TF_Tekniker,AY$4,TF_Dato,$A88))*2,0)/2)))</f>
        <v/>
      </c>
      <c r="AZ88">
        <f>IF(OR(AZ$4="",$A88&gt;TODAY()),0,IF(OR(INDEX($B88:$D88,AZ$5)="F",AND(AZ$6&gt;0,$A88&lt;AZ$6),AND(AZ$7&gt;0,$A88&gt;AZ$7)),0,MAX(0,ROUND((INDEX($E88:$G88,AZ$5)-SUMIFS(TF_Timer,TF_Tekniker,AZ$4,TF_Dato,$A88))*2,0)/2)))</f>
        <v/>
      </c>
      <c r="BA88">
        <f>IF(OR(BA$4="",$A88&gt;TODAY()),0,IF(OR(INDEX($B88:$D88,BA$5)="F",AND(BA$6&gt;0,$A88&lt;BA$6),AND(BA$7&gt;0,$A88&gt;BA$7)),0,MAX(0,ROUND((INDEX($E88:$G88,BA$5)-SUMIFS(TF_Timer,TF_Tekniker,BA$4,TF_Dato,$A88))*2,0)/2)))</f>
        <v/>
      </c>
      <c r="BB88">
        <f>IF(OR(BB$4="",$A88&gt;TODAY()),0,IF(OR(INDEX($B88:$D88,BB$5)="F",AND(BB$6&gt;0,$A88&lt;BB$6),AND(BB$7&gt;0,$A88&gt;BB$7)),0,MAX(0,ROUND((INDEX($E88:$G88,BB$5)-SUMIFS(TF_Timer,TF_Tekniker,BB$4,TF_Dato,$A88))*2,0)/2)))</f>
        <v/>
      </c>
      <c r="BC88">
        <f>IF(OR(BC$4="",$A88&gt;TODAY()),0,IF(OR(INDEX($B88:$D88,BC$5)="F",AND(BC$6&gt;0,$A88&lt;BC$6),AND(BC$7&gt;0,$A88&gt;BC$7)),0,MAX(0,ROUND((INDEX($E88:$G88,BC$5)-SUMIFS(TF_Timer,TF_Tekniker,BC$4,TF_Dato,$A88))*2,0)/2)))</f>
        <v/>
      </c>
      <c r="BD88">
        <f>IF(OR(BD$4="",$A88&gt;TODAY()),0,IF(OR(INDEX($B88:$D88,BD$5)="F",AND(BD$6&gt;0,$A88&lt;BD$6),AND(BD$7&gt;0,$A88&gt;BD$7)),0,MAX(0,ROUND((INDEX($E88:$G88,BD$5)-SUMIFS(TF_Timer,TF_Tekniker,BD$4,TF_Dato,$A88))*2,0)/2)))</f>
        <v/>
      </c>
      <c r="BE88">
        <f>IF(OR(BE$4="",$A88&gt;TODAY()),0,IF(OR(INDEX($B88:$D88,BE$5)="F",AND(BE$6&gt;0,$A88&lt;BE$6),AND(BE$7&gt;0,$A88&gt;BE$7)),0,MAX(0,ROUND((INDEX($E88:$G88,BE$5)-SUMIFS(TF_Timer,TF_Tekniker,BE$4,TF_Dato,$A88))*2,0)/2)))</f>
        <v/>
      </c>
      <c r="BF88">
        <f>IF(OR(BF$4="",$A88&gt;TODAY()),0,IF(OR(INDEX($B88:$D88,BF$5)="F",AND(BF$6&gt;0,$A88&lt;BF$6),AND(BF$7&gt;0,$A88&gt;BF$7)),0,MAX(0,ROUND((INDEX($E88:$G88,BF$5)-SUMIFS(TF_Timer,TF_Tekniker,BF$4,TF_Dato,$A88))*2,0)/2)))</f>
        <v/>
      </c>
      <c r="BG88">
        <f>IF(OR(BG$4="",$A88&gt;TODAY()),0,IF(OR(INDEX($B88:$D88,BG$5)="F",AND(BG$6&gt;0,$A88&lt;BG$6),AND(BG$7&gt;0,$A88&gt;BG$7)),0,MAX(0,ROUND((INDEX($E88:$G88,BG$5)-SUMIFS(TF_Timer,TF_Tekniker,BG$4,TF_Dato,$A88))*2,0)/2)))</f>
        <v/>
      </c>
      <c r="BH88">
        <f>IF(OR(BH$4="",$A88&gt;TODAY()),0,IF(OR(INDEX($B88:$D88,BH$5)="F",AND(BH$6&gt;0,$A88&lt;BH$6),AND(BH$7&gt;0,$A88&gt;BH$7)),0,MAX(0,ROUND((INDEX($E88:$G88,BH$5)-SUMIFS(TF_Timer,TF_Tekniker,BH$4,TF_Dato,$A88))*2,0)/2)))</f>
        <v/>
      </c>
      <c r="BI88">
        <f>IF(OR(BI$4="",$A88&gt;TODAY()),0,IF(OR(INDEX($B88:$D88,BI$5)="F",AND(BI$6&gt;0,$A88&lt;BI$6),AND(BI$7&gt;0,$A88&gt;BI$7)),0,MAX(0,ROUND((INDEX($E88:$G88,BI$5)-SUMIFS(TF_Timer,TF_Tekniker,BI$4,TF_Dato,$A88))*2,0)/2)))</f>
        <v/>
      </c>
    </row>
    <row r="89">
      <c r="A89" s="64">
        <f>A88+1</f>
        <v/>
      </c>
      <c r="B89">
        <f>IF(MOD($A89-INDEX(SkiftStart,1),Syklus)&lt;DagK,"K",IF(MOD($A89-INDEX(SkiftStart,1),Syklus)&lt;DagK+DagH,"H",IF(MOD($A89-INDEX(SkiftStart,1),Syklus)&lt;DagK+DagH+DagD,"D","F")))</f>
        <v/>
      </c>
      <c r="C89">
        <f>IF(MOD($A89-INDEX(SkiftStart,2),Syklus)&lt;DagK,"K",IF(MOD($A89-INDEX(SkiftStart,2),Syklus)&lt;DagK+DagH,"H",IF(MOD($A89-INDEX(SkiftStart,2),Syklus)&lt;DagK+DagH+DagD,"D","F")))</f>
        <v/>
      </c>
      <c r="D89">
        <f>IF(MOD($A89-INDEX(SkiftStart,3),Syklus)&lt;DagK,"K",IF(MOD($A89-INDEX(SkiftStart,3),Syklus)&lt;DagK+DagH,"H",IF(MOD($A89-INDEX(SkiftStart,3),Syklus)&lt;DagK+DagH+DagD,"D","F")))</f>
        <v/>
      </c>
      <c r="E89">
        <f>IF(B89="F",0,IF(WEEKDAY($A89,2)=5,INDEX(TimerFr,MATCH(B89,FaseKode,0)),INDEX(TimerMT,MATCH(B89,FaseKode,0))))</f>
        <v/>
      </c>
      <c r="F89">
        <f>IF(C89="F",0,IF(WEEKDAY($A89,2)=5,INDEX(TimerFr,MATCH(C89,FaseKode,0)),INDEX(TimerMT,MATCH(C89,FaseKode,0))))</f>
        <v/>
      </c>
      <c r="G89">
        <f>IF(D89="F",0,IF(WEEKDAY($A89,2)=5,INDEX(TimerFr,MATCH(D89,FaseKode,0)),INDEX(TimerMT,MATCH(D89,FaseKode,0))))</f>
        <v/>
      </c>
      <c r="H89">
        <f>IF(OR(H$4="",$A89&gt;TODAY()),0,IF(OR(INDEX($B89:$D89,H$5)="F",AND(H$6&gt;0,$A89&lt;H$6),AND(H$7&gt;0,$A89&gt;H$7)),0,MAX(0,ROUND((INDEX($E89:$G89,H$5)-SUMIFS(TF_Timer,TF_Tekniker,H$4,TF_Dato,$A89))*2,0)/2)))</f>
        <v/>
      </c>
      <c r="I89">
        <f>IF(OR(I$4="",$A89&gt;TODAY()),0,IF(OR(INDEX($B89:$D89,I$5)="F",AND(I$6&gt;0,$A89&lt;I$6),AND(I$7&gt;0,$A89&gt;I$7)),0,MAX(0,ROUND((INDEX($E89:$G89,I$5)-SUMIFS(TF_Timer,TF_Tekniker,I$4,TF_Dato,$A89))*2,0)/2)))</f>
        <v/>
      </c>
      <c r="J89">
        <f>IF(OR(J$4="",$A89&gt;TODAY()),0,IF(OR(INDEX($B89:$D89,J$5)="F",AND(J$6&gt;0,$A89&lt;J$6),AND(J$7&gt;0,$A89&gt;J$7)),0,MAX(0,ROUND((INDEX($E89:$G89,J$5)-SUMIFS(TF_Timer,TF_Tekniker,J$4,TF_Dato,$A89))*2,0)/2)))</f>
        <v/>
      </c>
      <c r="K89">
        <f>IF(OR(K$4="",$A89&gt;TODAY()),0,IF(OR(INDEX($B89:$D89,K$5)="F",AND(K$6&gt;0,$A89&lt;K$6),AND(K$7&gt;0,$A89&gt;K$7)),0,MAX(0,ROUND((INDEX($E89:$G89,K$5)-SUMIFS(TF_Timer,TF_Tekniker,K$4,TF_Dato,$A89))*2,0)/2)))</f>
        <v/>
      </c>
      <c r="L89">
        <f>IF(OR(L$4="",$A89&gt;TODAY()),0,IF(OR(INDEX($B89:$D89,L$5)="F",AND(L$6&gt;0,$A89&lt;L$6),AND(L$7&gt;0,$A89&gt;L$7)),0,MAX(0,ROUND((INDEX($E89:$G89,L$5)-SUMIFS(TF_Timer,TF_Tekniker,L$4,TF_Dato,$A89))*2,0)/2)))</f>
        <v/>
      </c>
      <c r="M89">
        <f>IF(OR(M$4="",$A89&gt;TODAY()),0,IF(OR(INDEX($B89:$D89,M$5)="F",AND(M$6&gt;0,$A89&lt;M$6),AND(M$7&gt;0,$A89&gt;M$7)),0,MAX(0,ROUND((INDEX($E89:$G89,M$5)-SUMIFS(TF_Timer,TF_Tekniker,M$4,TF_Dato,$A89))*2,0)/2)))</f>
        <v/>
      </c>
      <c r="N89">
        <f>IF(OR(N$4="",$A89&gt;TODAY()),0,IF(OR(INDEX($B89:$D89,N$5)="F",AND(N$6&gt;0,$A89&lt;N$6),AND(N$7&gt;0,$A89&gt;N$7)),0,MAX(0,ROUND((INDEX($E89:$G89,N$5)-SUMIFS(TF_Timer,TF_Tekniker,N$4,TF_Dato,$A89))*2,0)/2)))</f>
        <v/>
      </c>
      <c r="O89">
        <f>IF(OR(O$4="",$A89&gt;TODAY()),0,IF(OR(INDEX($B89:$D89,O$5)="F",AND(O$6&gt;0,$A89&lt;O$6),AND(O$7&gt;0,$A89&gt;O$7)),0,MAX(0,ROUND((INDEX($E89:$G89,O$5)-SUMIFS(TF_Timer,TF_Tekniker,O$4,TF_Dato,$A89))*2,0)/2)))</f>
        <v/>
      </c>
      <c r="P89">
        <f>IF(OR(P$4="",$A89&gt;TODAY()),0,IF(OR(INDEX($B89:$D89,P$5)="F",AND(P$6&gt;0,$A89&lt;P$6),AND(P$7&gt;0,$A89&gt;P$7)),0,MAX(0,ROUND((INDEX($E89:$G89,P$5)-SUMIFS(TF_Timer,TF_Tekniker,P$4,TF_Dato,$A89))*2,0)/2)))</f>
        <v/>
      </c>
      <c r="Q89">
        <f>IF(OR(Q$4="",$A89&gt;TODAY()),0,IF(OR(INDEX($B89:$D89,Q$5)="F",AND(Q$6&gt;0,$A89&lt;Q$6),AND(Q$7&gt;0,$A89&gt;Q$7)),0,MAX(0,ROUND((INDEX($E89:$G89,Q$5)-SUMIFS(TF_Timer,TF_Tekniker,Q$4,TF_Dato,$A89))*2,0)/2)))</f>
        <v/>
      </c>
      <c r="R89">
        <f>IF(OR(R$4="",$A89&gt;TODAY()),0,IF(OR(INDEX($B89:$D89,R$5)="F",AND(R$6&gt;0,$A89&lt;R$6),AND(R$7&gt;0,$A89&gt;R$7)),0,MAX(0,ROUND((INDEX($E89:$G89,R$5)-SUMIFS(TF_Timer,TF_Tekniker,R$4,TF_Dato,$A89))*2,0)/2)))</f>
        <v/>
      </c>
      <c r="S89">
        <f>IF(OR(S$4="",$A89&gt;TODAY()),0,IF(OR(INDEX($B89:$D89,S$5)="F",AND(S$6&gt;0,$A89&lt;S$6),AND(S$7&gt;0,$A89&gt;S$7)),0,MAX(0,ROUND((INDEX($E89:$G89,S$5)-SUMIFS(TF_Timer,TF_Tekniker,S$4,TF_Dato,$A89))*2,0)/2)))</f>
        <v/>
      </c>
      <c r="T89">
        <f>IF(OR(T$4="",$A89&gt;TODAY()),0,IF(OR(INDEX($B89:$D89,T$5)="F",AND(T$6&gt;0,$A89&lt;T$6),AND(T$7&gt;0,$A89&gt;T$7)),0,MAX(0,ROUND((INDEX($E89:$G89,T$5)-SUMIFS(TF_Timer,TF_Tekniker,T$4,TF_Dato,$A89))*2,0)/2)))</f>
        <v/>
      </c>
      <c r="U89">
        <f>IF(OR(U$4="",$A89&gt;TODAY()),0,IF(OR(INDEX($B89:$D89,U$5)="F",AND(U$6&gt;0,$A89&lt;U$6),AND(U$7&gt;0,$A89&gt;U$7)),0,MAX(0,ROUND((INDEX($E89:$G89,U$5)-SUMIFS(TF_Timer,TF_Tekniker,U$4,TF_Dato,$A89))*2,0)/2)))</f>
        <v/>
      </c>
      <c r="V89">
        <f>IF(OR(V$4="",$A89&gt;TODAY()),0,IF(OR(INDEX($B89:$D89,V$5)="F",AND(V$6&gt;0,$A89&lt;V$6),AND(V$7&gt;0,$A89&gt;V$7)),0,MAX(0,ROUND((INDEX($E89:$G89,V$5)-SUMIFS(TF_Timer,TF_Tekniker,V$4,TF_Dato,$A89))*2,0)/2)))</f>
        <v/>
      </c>
      <c r="W89">
        <f>IF(OR(W$4="",$A89&gt;TODAY()),0,IF(OR(INDEX($B89:$D89,W$5)="F",AND(W$6&gt;0,$A89&lt;W$6),AND(W$7&gt;0,$A89&gt;W$7)),0,MAX(0,ROUND((INDEX($E89:$G89,W$5)-SUMIFS(TF_Timer,TF_Tekniker,W$4,TF_Dato,$A89))*2,0)/2)))</f>
        <v/>
      </c>
      <c r="X89">
        <f>IF(OR(X$4="",$A89&gt;TODAY()),0,IF(OR(INDEX($B89:$D89,X$5)="F",AND(X$6&gt;0,$A89&lt;X$6),AND(X$7&gt;0,$A89&gt;X$7)),0,MAX(0,ROUND((INDEX($E89:$G89,X$5)-SUMIFS(TF_Timer,TF_Tekniker,X$4,TF_Dato,$A89))*2,0)/2)))</f>
        <v/>
      </c>
      <c r="Y89">
        <f>IF(OR(Y$4="",$A89&gt;TODAY()),0,IF(OR(INDEX($B89:$D89,Y$5)="F",AND(Y$6&gt;0,$A89&lt;Y$6),AND(Y$7&gt;0,$A89&gt;Y$7)),0,MAX(0,ROUND((INDEX($E89:$G89,Y$5)-SUMIFS(TF_Timer,TF_Tekniker,Y$4,TF_Dato,$A89))*2,0)/2)))</f>
        <v/>
      </c>
      <c r="Z89">
        <f>IF(OR(Z$4="",$A89&gt;TODAY()),0,IF(OR(INDEX($B89:$D89,Z$5)="F",AND(Z$6&gt;0,$A89&lt;Z$6),AND(Z$7&gt;0,$A89&gt;Z$7)),0,MAX(0,ROUND((INDEX($E89:$G89,Z$5)-SUMIFS(TF_Timer,TF_Tekniker,Z$4,TF_Dato,$A89))*2,0)/2)))</f>
        <v/>
      </c>
      <c r="AA89">
        <f>IF(OR(AA$4="",$A89&gt;TODAY()),0,IF(OR(INDEX($B89:$D89,AA$5)="F",AND(AA$6&gt;0,$A89&lt;AA$6),AND(AA$7&gt;0,$A89&gt;AA$7)),0,MAX(0,ROUND((INDEX($E89:$G89,AA$5)-SUMIFS(TF_Timer,TF_Tekniker,AA$4,TF_Dato,$A89))*2,0)/2)))</f>
        <v/>
      </c>
      <c r="AB89">
        <f>IF(OR(AB$4="",$A89&gt;TODAY()),0,IF(OR(INDEX($B89:$D89,AB$5)="F",AND(AB$6&gt;0,$A89&lt;AB$6),AND(AB$7&gt;0,$A89&gt;AB$7)),0,MAX(0,ROUND((INDEX($E89:$G89,AB$5)-SUMIFS(TF_Timer,TF_Tekniker,AB$4,TF_Dato,$A89))*2,0)/2)))</f>
        <v/>
      </c>
      <c r="AC89">
        <f>IF(OR(AC$4="",$A89&gt;TODAY()),0,IF(OR(INDEX($B89:$D89,AC$5)="F",AND(AC$6&gt;0,$A89&lt;AC$6),AND(AC$7&gt;0,$A89&gt;AC$7)),0,MAX(0,ROUND((INDEX($E89:$G89,AC$5)-SUMIFS(TF_Timer,TF_Tekniker,AC$4,TF_Dato,$A89))*2,0)/2)))</f>
        <v/>
      </c>
      <c r="AD89">
        <f>IF(OR(AD$4="",$A89&gt;TODAY()),0,IF(OR(INDEX($B89:$D89,AD$5)="F",AND(AD$6&gt;0,$A89&lt;AD$6),AND(AD$7&gt;0,$A89&gt;AD$7)),0,MAX(0,ROUND((INDEX($E89:$G89,AD$5)-SUMIFS(TF_Timer,TF_Tekniker,AD$4,TF_Dato,$A89))*2,0)/2)))</f>
        <v/>
      </c>
      <c r="AE89">
        <f>IF(OR(AE$4="",$A89&gt;TODAY()),0,IF(OR(INDEX($B89:$D89,AE$5)="F",AND(AE$6&gt;0,$A89&lt;AE$6),AND(AE$7&gt;0,$A89&gt;AE$7)),0,MAX(0,ROUND((INDEX($E89:$G89,AE$5)-SUMIFS(TF_Timer,TF_Tekniker,AE$4,TF_Dato,$A89))*2,0)/2)))</f>
        <v/>
      </c>
      <c r="AF89">
        <f>IF(OR(AF$4="",$A89&gt;TODAY()),0,IF(OR(INDEX($B89:$D89,AF$5)="F",AND(AF$6&gt;0,$A89&lt;AF$6),AND(AF$7&gt;0,$A89&gt;AF$7)),0,MAX(0,ROUND((INDEX($E89:$G89,AF$5)-SUMIFS(TF_Timer,TF_Tekniker,AF$4,TF_Dato,$A89))*2,0)/2)))</f>
        <v/>
      </c>
      <c r="AG89">
        <f>IF(OR(AG$4="",$A89&gt;TODAY()),0,IF(OR(INDEX($B89:$D89,AG$5)="F",AND(AG$6&gt;0,$A89&lt;AG$6),AND(AG$7&gt;0,$A89&gt;AG$7)),0,MAX(0,ROUND((INDEX($E89:$G89,AG$5)-SUMIFS(TF_Timer,TF_Tekniker,AG$4,TF_Dato,$A89))*2,0)/2)))</f>
        <v/>
      </c>
      <c r="AH89">
        <f>IF(OR(AH$4="",$A89&gt;TODAY()),0,IF(OR(INDEX($B89:$D89,AH$5)="F",AND(AH$6&gt;0,$A89&lt;AH$6),AND(AH$7&gt;0,$A89&gt;AH$7)),0,MAX(0,ROUND((INDEX($E89:$G89,AH$5)-SUMIFS(TF_Timer,TF_Tekniker,AH$4,TF_Dato,$A89))*2,0)/2)))</f>
        <v/>
      </c>
      <c r="AI89">
        <f>IF(OR(AI$4="",$A89&gt;TODAY()),0,IF(OR(INDEX($B89:$D89,AI$5)="F",AND(AI$6&gt;0,$A89&lt;AI$6),AND(AI$7&gt;0,$A89&gt;AI$7)),0,MAX(0,ROUND((INDEX($E89:$G89,AI$5)-SUMIFS(TF_Timer,TF_Tekniker,AI$4,TF_Dato,$A89))*2,0)/2)))</f>
        <v/>
      </c>
      <c r="AJ89">
        <f>IF(OR(AJ$4="",$A89&gt;TODAY()),0,IF(OR(INDEX($B89:$D89,AJ$5)="F",AND(AJ$6&gt;0,$A89&lt;AJ$6),AND(AJ$7&gt;0,$A89&gt;AJ$7)),0,MAX(0,ROUND((INDEX($E89:$G89,AJ$5)-SUMIFS(TF_Timer,TF_Tekniker,AJ$4,TF_Dato,$A89))*2,0)/2)))</f>
        <v/>
      </c>
      <c r="AK89">
        <f>IF(OR(AK$4="",$A89&gt;TODAY()),0,IF(OR(INDEX($B89:$D89,AK$5)="F",AND(AK$6&gt;0,$A89&lt;AK$6),AND(AK$7&gt;0,$A89&gt;AK$7)),0,MAX(0,ROUND((INDEX($E89:$G89,AK$5)-SUMIFS(TF_Timer,TF_Tekniker,AK$4,TF_Dato,$A89))*2,0)/2)))</f>
        <v/>
      </c>
      <c r="AL89">
        <f>IF(OR(AL$4="",$A89&gt;TODAY()),0,IF(OR(INDEX($B89:$D89,AL$5)="F",AND(AL$6&gt;0,$A89&lt;AL$6),AND(AL$7&gt;0,$A89&gt;AL$7)),0,MAX(0,ROUND((INDEX($E89:$G89,AL$5)-SUMIFS(TF_Timer,TF_Tekniker,AL$4,TF_Dato,$A89))*2,0)/2)))</f>
        <v/>
      </c>
      <c r="AM89">
        <f>IF(OR(AM$4="",$A89&gt;TODAY()),0,IF(OR(INDEX($B89:$D89,AM$5)="F",AND(AM$6&gt;0,$A89&lt;AM$6),AND(AM$7&gt;0,$A89&gt;AM$7)),0,MAX(0,ROUND((INDEX($E89:$G89,AM$5)-SUMIFS(TF_Timer,TF_Tekniker,AM$4,TF_Dato,$A89))*2,0)/2)))</f>
        <v/>
      </c>
      <c r="AN89">
        <f>IF(OR(AN$4="",$A89&gt;TODAY()),0,IF(OR(INDEX($B89:$D89,AN$5)="F",AND(AN$6&gt;0,$A89&lt;AN$6),AND(AN$7&gt;0,$A89&gt;AN$7)),0,MAX(0,ROUND((INDEX($E89:$G89,AN$5)-SUMIFS(TF_Timer,TF_Tekniker,AN$4,TF_Dato,$A89))*2,0)/2)))</f>
        <v/>
      </c>
      <c r="AO89">
        <f>IF(OR(AO$4="",$A89&gt;TODAY()),0,IF(OR(INDEX($B89:$D89,AO$5)="F",AND(AO$6&gt;0,$A89&lt;AO$6),AND(AO$7&gt;0,$A89&gt;AO$7)),0,MAX(0,ROUND((INDEX($E89:$G89,AO$5)-SUMIFS(TF_Timer,TF_Tekniker,AO$4,TF_Dato,$A89))*2,0)/2)))</f>
        <v/>
      </c>
      <c r="AP89">
        <f>IF(OR(AP$4="",$A89&gt;TODAY()),0,IF(OR(INDEX($B89:$D89,AP$5)="F",AND(AP$6&gt;0,$A89&lt;AP$6),AND(AP$7&gt;0,$A89&gt;AP$7)),0,MAX(0,ROUND((INDEX($E89:$G89,AP$5)-SUMIFS(TF_Timer,TF_Tekniker,AP$4,TF_Dato,$A89))*2,0)/2)))</f>
        <v/>
      </c>
      <c r="AQ89">
        <f>IF(OR(AQ$4="",$A89&gt;TODAY()),0,IF(OR(INDEX($B89:$D89,AQ$5)="F",AND(AQ$6&gt;0,$A89&lt;AQ$6),AND(AQ$7&gt;0,$A89&gt;AQ$7)),0,MAX(0,ROUND((INDEX($E89:$G89,AQ$5)-SUMIFS(TF_Timer,TF_Tekniker,AQ$4,TF_Dato,$A89))*2,0)/2)))</f>
        <v/>
      </c>
      <c r="AR89">
        <f>IF(OR(AR$4="",$A89&gt;TODAY()),0,IF(OR(INDEX($B89:$D89,AR$5)="F",AND(AR$6&gt;0,$A89&lt;AR$6),AND(AR$7&gt;0,$A89&gt;AR$7)),0,MAX(0,ROUND((INDEX($E89:$G89,AR$5)-SUMIFS(TF_Timer,TF_Tekniker,AR$4,TF_Dato,$A89))*2,0)/2)))</f>
        <v/>
      </c>
      <c r="AS89">
        <f>IF(OR(AS$4="",$A89&gt;TODAY()),0,IF(OR(INDEX($B89:$D89,AS$5)="F",AND(AS$6&gt;0,$A89&lt;AS$6),AND(AS$7&gt;0,$A89&gt;AS$7)),0,MAX(0,ROUND((INDEX($E89:$G89,AS$5)-SUMIFS(TF_Timer,TF_Tekniker,AS$4,TF_Dato,$A89))*2,0)/2)))</f>
        <v/>
      </c>
      <c r="AT89">
        <f>IF(OR(AT$4="",$A89&gt;TODAY()),0,IF(OR(INDEX($B89:$D89,AT$5)="F",AND(AT$6&gt;0,$A89&lt;AT$6),AND(AT$7&gt;0,$A89&gt;AT$7)),0,MAX(0,ROUND((INDEX($E89:$G89,AT$5)-SUMIFS(TF_Timer,TF_Tekniker,AT$4,TF_Dato,$A89))*2,0)/2)))</f>
        <v/>
      </c>
      <c r="AU89">
        <f>IF(OR(AU$4="",$A89&gt;TODAY()),0,IF(OR(INDEX($B89:$D89,AU$5)="F",AND(AU$6&gt;0,$A89&lt;AU$6),AND(AU$7&gt;0,$A89&gt;AU$7)),0,MAX(0,ROUND((INDEX($E89:$G89,AU$5)-SUMIFS(TF_Timer,TF_Tekniker,AU$4,TF_Dato,$A89))*2,0)/2)))</f>
        <v/>
      </c>
      <c r="AV89">
        <f>IF(OR(AV$4="",$A89&gt;TODAY()),0,IF(OR(INDEX($B89:$D89,AV$5)="F",AND(AV$6&gt;0,$A89&lt;AV$6),AND(AV$7&gt;0,$A89&gt;AV$7)),0,MAX(0,ROUND((INDEX($E89:$G89,AV$5)-SUMIFS(TF_Timer,TF_Tekniker,AV$4,TF_Dato,$A89))*2,0)/2)))</f>
        <v/>
      </c>
      <c r="AW89">
        <f>IF(OR(AW$4="",$A89&gt;TODAY()),0,IF(OR(INDEX($B89:$D89,AW$5)="F",AND(AW$6&gt;0,$A89&lt;AW$6),AND(AW$7&gt;0,$A89&gt;AW$7)),0,MAX(0,ROUND((INDEX($E89:$G89,AW$5)-SUMIFS(TF_Timer,TF_Tekniker,AW$4,TF_Dato,$A89))*2,0)/2)))</f>
        <v/>
      </c>
      <c r="AX89">
        <f>IF(OR(AX$4="",$A89&gt;TODAY()),0,IF(OR(INDEX($B89:$D89,AX$5)="F",AND(AX$6&gt;0,$A89&lt;AX$6),AND(AX$7&gt;0,$A89&gt;AX$7)),0,MAX(0,ROUND((INDEX($E89:$G89,AX$5)-SUMIFS(TF_Timer,TF_Tekniker,AX$4,TF_Dato,$A89))*2,0)/2)))</f>
        <v/>
      </c>
      <c r="AY89">
        <f>IF(OR(AY$4="",$A89&gt;TODAY()),0,IF(OR(INDEX($B89:$D89,AY$5)="F",AND(AY$6&gt;0,$A89&lt;AY$6),AND(AY$7&gt;0,$A89&gt;AY$7)),0,MAX(0,ROUND((INDEX($E89:$G89,AY$5)-SUMIFS(TF_Timer,TF_Tekniker,AY$4,TF_Dato,$A89))*2,0)/2)))</f>
        <v/>
      </c>
      <c r="AZ89">
        <f>IF(OR(AZ$4="",$A89&gt;TODAY()),0,IF(OR(INDEX($B89:$D89,AZ$5)="F",AND(AZ$6&gt;0,$A89&lt;AZ$6),AND(AZ$7&gt;0,$A89&gt;AZ$7)),0,MAX(0,ROUND((INDEX($E89:$G89,AZ$5)-SUMIFS(TF_Timer,TF_Tekniker,AZ$4,TF_Dato,$A89))*2,0)/2)))</f>
        <v/>
      </c>
      <c r="BA89">
        <f>IF(OR(BA$4="",$A89&gt;TODAY()),0,IF(OR(INDEX($B89:$D89,BA$5)="F",AND(BA$6&gt;0,$A89&lt;BA$6),AND(BA$7&gt;0,$A89&gt;BA$7)),0,MAX(0,ROUND((INDEX($E89:$G89,BA$5)-SUMIFS(TF_Timer,TF_Tekniker,BA$4,TF_Dato,$A89))*2,0)/2)))</f>
        <v/>
      </c>
      <c r="BB89">
        <f>IF(OR(BB$4="",$A89&gt;TODAY()),0,IF(OR(INDEX($B89:$D89,BB$5)="F",AND(BB$6&gt;0,$A89&lt;BB$6),AND(BB$7&gt;0,$A89&gt;BB$7)),0,MAX(0,ROUND((INDEX($E89:$G89,BB$5)-SUMIFS(TF_Timer,TF_Tekniker,BB$4,TF_Dato,$A89))*2,0)/2)))</f>
        <v/>
      </c>
      <c r="BC89">
        <f>IF(OR(BC$4="",$A89&gt;TODAY()),0,IF(OR(INDEX($B89:$D89,BC$5)="F",AND(BC$6&gt;0,$A89&lt;BC$6),AND(BC$7&gt;0,$A89&gt;BC$7)),0,MAX(0,ROUND((INDEX($E89:$G89,BC$5)-SUMIFS(TF_Timer,TF_Tekniker,BC$4,TF_Dato,$A89))*2,0)/2)))</f>
        <v/>
      </c>
      <c r="BD89">
        <f>IF(OR(BD$4="",$A89&gt;TODAY()),0,IF(OR(INDEX($B89:$D89,BD$5)="F",AND(BD$6&gt;0,$A89&lt;BD$6),AND(BD$7&gt;0,$A89&gt;BD$7)),0,MAX(0,ROUND((INDEX($E89:$G89,BD$5)-SUMIFS(TF_Timer,TF_Tekniker,BD$4,TF_Dato,$A89))*2,0)/2)))</f>
        <v/>
      </c>
      <c r="BE89">
        <f>IF(OR(BE$4="",$A89&gt;TODAY()),0,IF(OR(INDEX($B89:$D89,BE$5)="F",AND(BE$6&gt;0,$A89&lt;BE$6),AND(BE$7&gt;0,$A89&gt;BE$7)),0,MAX(0,ROUND((INDEX($E89:$G89,BE$5)-SUMIFS(TF_Timer,TF_Tekniker,BE$4,TF_Dato,$A89))*2,0)/2)))</f>
        <v/>
      </c>
      <c r="BF89">
        <f>IF(OR(BF$4="",$A89&gt;TODAY()),0,IF(OR(INDEX($B89:$D89,BF$5)="F",AND(BF$6&gt;0,$A89&lt;BF$6),AND(BF$7&gt;0,$A89&gt;BF$7)),0,MAX(0,ROUND((INDEX($E89:$G89,BF$5)-SUMIFS(TF_Timer,TF_Tekniker,BF$4,TF_Dato,$A89))*2,0)/2)))</f>
        <v/>
      </c>
      <c r="BG89">
        <f>IF(OR(BG$4="",$A89&gt;TODAY()),0,IF(OR(INDEX($B89:$D89,BG$5)="F",AND(BG$6&gt;0,$A89&lt;BG$6),AND(BG$7&gt;0,$A89&gt;BG$7)),0,MAX(0,ROUND((INDEX($E89:$G89,BG$5)-SUMIFS(TF_Timer,TF_Tekniker,BG$4,TF_Dato,$A89))*2,0)/2)))</f>
        <v/>
      </c>
      <c r="BH89">
        <f>IF(OR(BH$4="",$A89&gt;TODAY()),0,IF(OR(INDEX($B89:$D89,BH$5)="F",AND(BH$6&gt;0,$A89&lt;BH$6),AND(BH$7&gt;0,$A89&gt;BH$7)),0,MAX(0,ROUND((INDEX($E89:$G89,BH$5)-SUMIFS(TF_Timer,TF_Tekniker,BH$4,TF_Dato,$A89))*2,0)/2)))</f>
        <v/>
      </c>
      <c r="BI89">
        <f>IF(OR(BI$4="",$A89&gt;TODAY()),0,IF(OR(INDEX($B89:$D89,BI$5)="F",AND(BI$6&gt;0,$A89&lt;BI$6),AND(BI$7&gt;0,$A89&gt;BI$7)),0,MAX(0,ROUND((INDEX($E89:$G89,BI$5)-SUMIFS(TF_Timer,TF_Tekniker,BI$4,TF_Dato,$A89))*2,0)/2)))</f>
        <v/>
      </c>
    </row>
    <row r="90">
      <c r="A90" s="64">
        <f>A89+1</f>
        <v/>
      </c>
      <c r="B90">
        <f>IF(MOD($A90-INDEX(SkiftStart,1),Syklus)&lt;DagK,"K",IF(MOD($A90-INDEX(SkiftStart,1),Syklus)&lt;DagK+DagH,"H",IF(MOD($A90-INDEX(SkiftStart,1),Syklus)&lt;DagK+DagH+DagD,"D","F")))</f>
        <v/>
      </c>
      <c r="C90">
        <f>IF(MOD($A90-INDEX(SkiftStart,2),Syklus)&lt;DagK,"K",IF(MOD($A90-INDEX(SkiftStart,2),Syklus)&lt;DagK+DagH,"H",IF(MOD($A90-INDEX(SkiftStart,2),Syklus)&lt;DagK+DagH+DagD,"D","F")))</f>
        <v/>
      </c>
      <c r="D90">
        <f>IF(MOD($A90-INDEX(SkiftStart,3),Syklus)&lt;DagK,"K",IF(MOD($A90-INDEX(SkiftStart,3),Syklus)&lt;DagK+DagH,"H",IF(MOD($A90-INDEX(SkiftStart,3),Syklus)&lt;DagK+DagH+DagD,"D","F")))</f>
        <v/>
      </c>
      <c r="E90">
        <f>IF(B90="F",0,IF(WEEKDAY($A90,2)=5,INDEX(TimerFr,MATCH(B90,FaseKode,0)),INDEX(TimerMT,MATCH(B90,FaseKode,0))))</f>
        <v/>
      </c>
      <c r="F90">
        <f>IF(C90="F",0,IF(WEEKDAY($A90,2)=5,INDEX(TimerFr,MATCH(C90,FaseKode,0)),INDEX(TimerMT,MATCH(C90,FaseKode,0))))</f>
        <v/>
      </c>
      <c r="G90">
        <f>IF(D90="F",0,IF(WEEKDAY($A90,2)=5,INDEX(TimerFr,MATCH(D90,FaseKode,0)),INDEX(TimerMT,MATCH(D90,FaseKode,0))))</f>
        <v/>
      </c>
      <c r="H90">
        <f>IF(OR(H$4="",$A90&gt;TODAY()),0,IF(OR(INDEX($B90:$D90,H$5)="F",AND(H$6&gt;0,$A90&lt;H$6),AND(H$7&gt;0,$A90&gt;H$7)),0,MAX(0,ROUND((INDEX($E90:$G90,H$5)-SUMIFS(TF_Timer,TF_Tekniker,H$4,TF_Dato,$A90))*2,0)/2)))</f>
        <v/>
      </c>
      <c r="I90">
        <f>IF(OR(I$4="",$A90&gt;TODAY()),0,IF(OR(INDEX($B90:$D90,I$5)="F",AND(I$6&gt;0,$A90&lt;I$6),AND(I$7&gt;0,$A90&gt;I$7)),0,MAX(0,ROUND((INDEX($E90:$G90,I$5)-SUMIFS(TF_Timer,TF_Tekniker,I$4,TF_Dato,$A90))*2,0)/2)))</f>
        <v/>
      </c>
      <c r="J90">
        <f>IF(OR(J$4="",$A90&gt;TODAY()),0,IF(OR(INDEX($B90:$D90,J$5)="F",AND(J$6&gt;0,$A90&lt;J$6),AND(J$7&gt;0,$A90&gt;J$7)),0,MAX(0,ROUND((INDEX($E90:$G90,J$5)-SUMIFS(TF_Timer,TF_Tekniker,J$4,TF_Dato,$A90))*2,0)/2)))</f>
        <v/>
      </c>
      <c r="K90">
        <f>IF(OR(K$4="",$A90&gt;TODAY()),0,IF(OR(INDEX($B90:$D90,K$5)="F",AND(K$6&gt;0,$A90&lt;K$6),AND(K$7&gt;0,$A90&gt;K$7)),0,MAX(0,ROUND((INDEX($E90:$G90,K$5)-SUMIFS(TF_Timer,TF_Tekniker,K$4,TF_Dato,$A90))*2,0)/2)))</f>
        <v/>
      </c>
      <c r="L90">
        <f>IF(OR(L$4="",$A90&gt;TODAY()),0,IF(OR(INDEX($B90:$D90,L$5)="F",AND(L$6&gt;0,$A90&lt;L$6),AND(L$7&gt;0,$A90&gt;L$7)),0,MAX(0,ROUND((INDEX($E90:$G90,L$5)-SUMIFS(TF_Timer,TF_Tekniker,L$4,TF_Dato,$A90))*2,0)/2)))</f>
        <v/>
      </c>
      <c r="M90">
        <f>IF(OR(M$4="",$A90&gt;TODAY()),0,IF(OR(INDEX($B90:$D90,M$5)="F",AND(M$6&gt;0,$A90&lt;M$6),AND(M$7&gt;0,$A90&gt;M$7)),0,MAX(0,ROUND((INDEX($E90:$G90,M$5)-SUMIFS(TF_Timer,TF_Tekniker,M$4,TF_Dato,$A90))*2,0)/2)))</f>
        <v/>
      </c>
      <c r="N90">
        <f>IF(OR(N$4="",$A90&gt;TODAY()),0,IF(OR(INDEX($B90:$D90,N$5)="F",AND(N$6&gt;0,$A90&lt;N$6),AND(N$7&gt;0,$A90&gt;N$7)),0,MAX(0,ROUND((INDEX($E90:$G90,N$5)-SUMIFS(TF_Timer,TF_Tekniker,N$4,TF_Dato,$A90))*2,0)/2)))</f>
        <v/>
      </c>
      <c r="O90">
        <f>IF(OR(O$4="",$A90&gt;TODAY()),0,IF(OR(INDEX($B90:$D90,O$5)="F",AND(O$6&gt;0,$A90&lt;O$6),AND(O$7&gt;0,$A90&gt;O$7)),0,MAX(0,ROUND((INDEX($E90:$G90,O$5)-SUMIFS(TF_Timer,TF_Tekniker,O$4,TF_Dato,$A90))*2,0)/2)))</f>
        <v/>
      </c>
      <c r="P90">
        <f>IF(OR(P$4="",$A90&gt;TODAY()),0,IF(OR(INDEX($B90:$D90,P$5)="F",AND(P$6&gt;0,$A90&lt;P$6),AND(P$7&gt;0,$A90&gt;P$7)),0,MAX(0,ROUND((INDEX($E90:$G90,P$5)-SUMIFS(TF_Timer,TF_Tekniker,P$4,TF_Dato,$A90))*2,0)/2)))</f>
        <v/>
      </c>
      <c r="Q90">
        <f>IF(OR(Q$4="",$A90&gt;TODAY()),0,IF(OR(INDEX($B90:$D90,Q$5)="F",AND(Q$6&gt;0,$A90&lt;Q$6),AND(Q$7&gt;0,$A90&gt;Q$7)),0,MAX(0,ROUND((INDEX($E90:$G90,Q$5)-SUMIFS(TF_Timer,TF_Tekniker,Q$4,TF_Dato,$A90))*2,0)/2)))</f>
        <v/>
      </c>
      <c r="R90">
        <f>IF(OR(R$4="",$A90&gt;TODAY()),0,IF(OR(INDEX($B90:$D90,R$5)="F",AND(R$6&gt;0,$A90&lt;R$6),AND(R$7&gt;0,$A90&gt;R$7)),0,MAX(0,ROUND((INDEX($E90:$G90,R$5)-SUMIFS(TF_Timer,TF_Tekniker,R$4,TF_Dato,$A90))*2,0)/2)))</f>
        <v/>
      </c>
      <c r="S90">
        <f>IF(OR(S$4="",$A90&gt;TODAY()),0,IF(OR(INDEX($B90:$D90,S$5)="F",AND(S$6&gt;0,$A90&lt;S$6),AND(S$7&gt;0,$A90&gt;S$7)),0,MAX(0,ROUND((INDEX($E90:$G90,S$5)-SUMIFS(TF_Timer,TF_Tekniker,S$4,TF_Dato,$A90))*2,0)/2)))</f>
        <v/>
      </c>
      <c r="T90">
        <f>IF(OR(T$4="",$A90&gt;TODAY()),0,IF(OR(INDEX($B90:$D90,T$5)="F",AND(T$6&gt;0,$A90&lt;T$6),AND(T$7&gt;0,$A90&gt;T$7)),0,MAX(0,ROUND((INDEX($E90:$G90,T$5)-SUMIFS(TF_Timer,TF_Tekniker,T$4,TF_Dato,$A90))*2,0)/2)))</f>
        <v/>
      </c>
      <c r="U90">
        <f>IF(OR(U$4="",$A90&gt;TODAY()),0,IF(OR(INDEX($B90:$D90,U$5)="F",AND(U$6&gt;0,$A90&lt;U$6),AND(U$7&gt;0,$A90&gt;U$7)),0,MAX(0,ROUND((INDEX($E90:$G90,U$5)-SUMIFS(TF_Timer,TF_Tekniker,U$4,TF_Dato,$A90))*2,0)/2)))</f>
        <v/>
      </c>
      <c r="V90">
        <f>IF(OR(V$4="",$A90&gt;TODAY()),0,IF(OR(INDEX($B90:$D90,V$5)="F",AND(V$6&gt;0,$A90&lt;V$6),AND(V$7&gt;0,$A90&gt;V$7)),0,MAX(0,ROUND((INDEX($E90:$G90,V$5)-SUMIFS(TF_Timer,TF_Tekniker,V$4,TF_Dato,$A90))*2,0)/2)))</f>
        <v/>
      </c>
      <c r="W90">
        <f>IF(OR(W$4="",$A90&gt;TODAY()),0,IF(OR(INDEX($B90:$D90,W$5)="F",AND(W$6&gt;0,$A90&lt;W$6),AND(W$7&gt;0,$A90&gt;W$7)),0,MAX(0,ROUND((INDEX($E90:$G90,W$5)-SUMIFS(TF_Timer,TF_Tekniker,W$4,TF_Dato,$A90))*2,0)/2)))</f>
        <v/>
      </c>
      <c r="X90">
        <f>IF(OR(X$4="",$A90&gt;TODAY()),0,IF(OR(INDEX($B90:$D90,X$5)="F",AND(X$6&gt;0,$A90&lt;X$6),AND(X$7&gt;0,$A90&gt;X$7)),0,MAX(0,ROUND((INDEX($E90:$G90,X$5)-SUMIFS(TF_Timer,TF_Tekniker,X$4,TF_Dato,$A90))*2,0)/2)))</f>
        <v/>
      </c>
      <c r="Y90">
        <f>IF(OR(Y$4="",$A90&gt;TODAY()),0,IF(OR(INDEX($B90:$D90,Y$5)="F",AND(Y$6&gt;0,$A90&lt;Y$6),AND(Y$7&gt;0,$A90&gt;Y$7)),0,MAX(0,ROUND((INDEX($E90:$G90,Y$5)-SUMIFS(TF_Timer,TF_Tekniker,Y$4,TF_Dato,$A90))*2,0)/2)))</f>
        <v/>
      </c>
      <c r="Z90">
        <f>IF(OR(Z$4="",$A90&gt;TODAY()),0,IF(OR(INDEX($B90:$D90,Z$5)="F",AND(Z$6&gt;0,$A90&lt;Z$6),AND(Z$7&gt;0,$A90&gt;Z$7)),0,MAX(0,ROUND((INDEX($E90:$G90,Z$5)-SUMIFS(TF_Timer,TF_Tekniker,Z$4,TF_Dato,$A90))*2,0)/2)))</f>
        <v/>
      </c>
      <c r="AA90">
        <f>IF(OR(AA$4="",$A90&gt;TODAY()),0,IF(OR(INDEX($B90:$D90,AA$5)="F",AND(AA$6&gt;0,$A90&lt;AA$6),AND(AA$7&gt;0,$A90&gt;AA$7)),0,MAX(0,ROUND((INDEX($E90:$G90,AA$5)-SUMIFS(TF_Timer,TF_Tekniker,AA$4,TF_Dato,$A90))*2,0)/2)))</f>
        <v/>
      </c>
      <c r="AB90">
        <f>IF(OR(AB$4="",$A90&gt;TODAY()),0,IF(OR(INDEX($B90:$D90,AB$5)="F",AND(AB$6&gt;0,$A90&lt;AB$6),AND(AB$7&gt;0,$A90&gt;AB$7)),0,MAX(0,ROUND((INDEX($E90:$G90,AB$5)-SUMIFS(TF_Timer,TF_Tekniker,AB$4,TF_Dato,$A90))*2,0)/2)))</f>
        <v/>
      </c>
      <c r="AC90">
        <f>IF(OR(AC$4="",$A90&gt;TODAY()),0,IF(OR(INDEX($B90:$D90,AC$5)="F",AND(AC$6&gt;0,$A90&lt;AC$6),AND(AC$7&gt;0,$A90&gt;AC$7)),0,MAX(0,ROUND((INDEX($E90:$G90,AC$5)-SUMIFS(TF_Timer,TF_Tekniker,AC$4,TF_Dato,$A90))*2,0)/2)))</f>
        <v/>
      </c>
      <c r="AD90">
        <f>IF(OR(AD$4="",$A90&gt;TODAY()),0,IF(OR(INDEX($B90:$D90,AD$5)="F",AND(AD$6&gt;0,$A90&lt;AD$6),AND(AD$7&gt;0,$A90&gt;AD$7)),0,MAX(0,ROUND((INDEX($E90:$G90,AD$5)-SUMIFS(TF_Timer,TF_Tekniker,AD$4,TF_Dato,$A90))*2,0)/2)))</f>
        <v/>
      </c>
      <c r="AE90">
        <f>IF(OR(AE$4="",$A90&gt;TODAY()),0,IF(OR(INDEX($B90:$D90,AE$5)="F",AND(AE$6&gt;0,$A90&lt;AE$6),AND(AE$7&gt;0,$A90&gt;AE$7)),0,MAX(0,ROUND((INDEX($E90:$G90,AE$5)-SUMIFS(TF_Timer,TF_Tekniker,AE$4,TF_Dato,$A90))*2,0)/2)))</f>
        <v/>
      </c>
      <c r="AF90">
        <f>IF(OR(AF$4="",$A90&gt;TODAY()),0,IF(OR(INDEX($B90:$D90,AF$5)="F",AND(AF$6&gt;0,$A90&lt;AF$6),AND(AF$7&gt;0,$A90&gt;AF$7)),0,MAX(0,ROUND((INDEX($E90:$G90,AF$5)-SUMIFS(TF_Timer,TF_Tekniker,AF$4,TF_Dato,$A90))*2,0)/2)))</f>
        <v/>
      </c>
      <c r="AG90">
        <f>IF(OR(AG$4="",$A90&gt;TODAY()),0,IF(OR(INDEX($B90:$D90,AG$5)="F",AND(AG$6&gt;0,$A90&lt;AG$6),AND(AG$7&gt;0,$A90&gt;AG$7)),0,MAX(0,ROUND((INDEX($E90:$G90,AG$5)-SUMIFS(TF_Timer,TF_Tekniker,AG$4,TF_Dato,$A90))*2,0)/2)))</f>
        <v/>
      </c>
      <c r="AH90">
        <f>IF(OR(AH$4="",$A90&gt;TODAY()),0,IF(OR(INDEX($B90:$D90,AH$5)="F",AND(AH$6&gt;0,$A90&lt;AH$6),AND(AH$7&gt;0,$A90&gt;AH$7)),0,MAX(0,ROUND((INDEX($E90:$G90,AH$5)-SUMIFS(TF_Timer,TF_Tekniker,AH$4,TF_Dato,$A90))*2,0)/2)))</f>
        <v/>
      </c>
      <c r="AI90">
        <f>IF(OR(AI$4="",$A90&gt;TODAY()),0,IF(OR(INDEX($B90:$D90,AI$5)="F",AND(AI$6&gt;0,$A90&lt;AI$6),AND(AI$7&gt;0,$A90&gt;AI$7)),0,MAX(0,ROUND((INDEX($E90:$G90,AI$5)-SUMIFS(TF_Timer,TF_Tekniker,AI$4,TF_Dato,$A90))*2,0)/2)))</f>
        <v/>
      </c>
      <c r="AJ90">
        <f>IF(OR(AJ$4="",$A90&gt;TODAY()),0,IF(OR(INDEX($B90:$D90,AJ$5)="F",AND(AJ$6&gt;0,$A90&lt;AJ$6),AND(AJ$7&gt;0,$A90&gt;AJ$7)),0,MAX(0,ROUND((INDEX($E90:$G90,AJ$5)-SUMIFS(TF_Timer,TF_Tekniker,AJ$4,TF_Dato,$A90))*2,0)/2)))</f>
        <v/>
      </c>
      <c r="AK90">
        <f>IF(OR(AK$4="",$A90&gt;TODAY()),0,IF(OR(INDEX($B90:$D90,AK$5)="F",AND(AK$6&gt;0,$A90&lt;AK$6),AND(AK$7&gt;0,$A90&gt;AK$7)),0,MAX(0,ROUND((INDEX($E90:$G90,AK$5)-SUMIFS(TF_Timer,TF_Tekniker,AK$4,TF_Dato,$A90))*2,0)/2)))</f>
        <v/>
      </c>
      <c r="AL90">
        <f>IF(OR(AL$4="",$A90&gt;TODAY()),0,IF(OR(INDEX($B90:$D90,AL$5)="F",AND(AL$6&gt;0,$A90&lt;AL$6),AND(AL$7&gt;0,$A90&gt;AL$7)),0,MAX(0,ROUND((INDEX($E90:$G90,AL$5)-SUMIFS(TF_Timer,TF_Tekniker,AL$4,TF_Dato,$A90))*2,0)/2)))</f>
        <v/>
      </c>
      <c r="AM90">
        <f>IF(OR(AM$4="",$A90&gt;TODAY()),0,IF(OR(INDEX($B90:$D90,AM$5)="F",AND(AM$6&gt;0,$A90&lt;AM$6),AND(AM$7&gt;0,$A90&gt;AM$7)),0,MAX(0,ROUND((INDEX($E90:$G90,AM$5)-SUMIFS(TF_Timer,TF_Tekniker,AM$4,TF_Dato,$A90))*2,0)/2)))</f>
        <v/>
      </c>
      <c r="AN90">
        <f>IF(OR(AN$4="",$A90&gt;TODAY()),0,IF(OR(INDEX($B90:$D90,AN$5)="F",AND(AN$6&gt;0,$A90&lt;AN$6),AND(AN$7&gt;0,$A90&gt;AN$7)),0,MAX(0,ROUND((INDEX($E90:$G90,AN$5)-SUMIFS(TF_Timer,TF_Tekniker,AN$4,TF_Dato,$A90))*2,0)/2)))</f>
        <v/>
      </c>
      <c r="AO90">
        <f>IF(OR(AO$4="",$A90&gt;TODAY()),0,IF(OR(INDEX($B90:$D90,AO$5)="F",AND(AO$6&gt;0,$A90&lt;AO$6),AND(AO$7&gt;0,$A90&gt;AO$7)),0,MAX(0,ROUND((INDEX($E90:$G90,AO$5)-SUMIFS(TF_Timer,TF_Tekniker,AO$4,TF_Dato,$A90))*2,0)/2)))</f>
        <v/>
      </c>
      <c r="AP90">
        <f>IF(OR(AP$4="",$A90&gt;TODAY()),0,IF(OR(INDEX($B90:$D90,AP$5)="F",AND(AP$6&gt;0,$A90&lt;AP$6),AND(AP$7&gt;0,$A90&gt;AP$7)),0,MAX(0,ROUND((INDEX($E90:$G90,AP$5)-SUMIFS(TF_Timer,TF_Tekniker,AP$4,TF_Dato,$A90))*2,0)/2)))</f>
        <v/>
      </c>
      <c r="AQ90">
        <f>IF(OR(AQ$4="",$A90&gt;TODAY()),0,IF(OR(INDEX($B90:$D90,AQ$5)="F",AND(AQ$6&gt;0,$A90&lt;AQ$6),AND(AQ$7&gt;0,$A90&gt;AQ$7)),0,MAX(0,ROUND((INDEX($E90:$G90,AQ$5)-SUMIFS(TF_Timer,TF_Tekniker,AQ$4,TF_Dato,$A90))*2,0)/2)))</f>
        <v/>
      </c>
      <c r="AR90">
        <f>IF(OR(AR$4="",$A90&gt;TODAY()),0,IF(OR(INDEX($B90:$D90,AR$5)="F",AND(AR$6&gt;0,$A90&lt;AR$6),AND(AR$7&gt;0,$A90&gt;AR$7)),0,MAX(0,ROUND((INDEX($E90:$G90,AR$5)-SUMIFS(TF_Timer,TF_Tekniker,AR$4,TF_Dato,$A90))*2,0)/2)))</f>
        <v/>
      </c>
      <c r="AS90">
        <f>IF(OR(AS$4="",$A90&gt;TODAY()),0,IF(OR(INDEX($B90:$D90,AS$5)="F",AND(AS$6&gt;0,$A90&lt;AS$6),AND(AS$7&gt;0,$A90&gt;AS$7)),0,MAX(0,ROUND((INDEX($E90:$G90,AS$5)-SUMIFS(TF_Timer,TF_Tekniker,AS$4,TF_Dato,$A90))*2,0)/2)))</f>
        <v/>
      </c>
      <c r="AT90">
        <f>IF(OR(AT$4="",$A90&gt;TODAY()),0,IF(OR(INDEX($B90:$D90,AT$5)="F",AND(AT$6&gt;0,$A90&lt;AT$6),AND(AT$7&gt;0,$A90&gt;AT$7)),0,MAX(0,ROUND((INDEX($E90:$G90,AT$5)-SUMIFS(TF_Timer,TF_Tekniker,AT$4,TF_Dato,$A90))*2,0)/2)))</f>
        <v/>
      </c>
      <c r="AU90">
        <f>IF(OR(AU$4="",$A90&gt;TODAY()),0,IF(OR(INDEX($B90:$D90,AU$5)="F",AND(AU$6&gt;0,$A90&lt;AU$6),AND(AU$7&gt;0,$A90&gt;AU$7)),0,MAX(0,ROUND((INDEX($E90:$G90,AU$5)-SUMIFS(TF_Timer,TF_Tekniker,AU$4,TF_Dato,$A90))*2,0)/2)))</f>
        <v/>
      </c>
      <c r="AV90">
        <f>IF(OR(AV$4="",$A90&gt;TODAY()),0,IF(OR(INDEX($B90:$D90,AV$5)="F",AND(AV$6&gt;0,$A90&lt;AV$6),AND(AV$7&gt;0,$A90&gt;AV$7)),0,MAX(0,ROUND((INDEX($E90:$G90,AV$5)-SUMIFS(TF_Timer,TF_Tekniker,AV$4,TF_Dato,$A90))*2,0)/2)))</f>
        <v/>
      </c>
      <c r="AW90">
        <f>IF(OR(AW$4="",$A90&gt;TODAY()),0,IF(OR(INDEX($B90:$D90,AW$5)="F",AND(AW$6&gt;0,$A90&lt;AW$6),AND(AW$7&gt;0,$A90&gt;AW$7)),0,MAX(0,ROUND((INDEX($E90:$G90,AW$5)-SUMIFS(TF_Timer,TF_Tekniker,AW$4,TF_Dato,$A90))*2,0)/2)))</f>
        <v/>
      </c>
      <c r="AX90">
        <f>IF(OR(AX$4="",$A90&gt;TODAY()),0,IF(OR(INDEX($B90:$D90,AX$5)="F",AND(AX$6&gt;0,$A90&lt;AX$6),AND(AX$7&gt;0,$A90&gt;AX$7)),0,MAX(0,ROUND((INDEX($E90:$G90,AX$5)-SUMIFS(TF_Timer,TF_Tekniker,AX$4,TF_Dato,$A90))*2,0)/2)))</f>
        <v/>
      </c>
      <c r="AY90">
        <f>IF(OR(AY$4="",$A90&gt;TODAY()),0,IF(OR(INDEX($B90:$D90,AY$5)="F",AND(AY$6&gt;0,$A90&lt;AY$6),AND(AY$7&gt;0,$A90&gt;AY$7)),0,MAX(0,ROUND((INDEX($E90:$G90,AY$5)-SUMIFS(TF_Timer,TF_Tekniker,AY$4,TF_Dato,$A90))*2,0)/2)))</f>
        <v/>
      </c>
      <c r="AZ90">
        <f>IF(OR(AZ$4="",$A90&gt;TODAY()),0,IF(OR(INDEX($B90:$D90,AZ$5)="F",AND(AZ$6&gt;0,$A90&lt;AZ$6),AND(AZ$7&gt;0,$A90&gt;AZ$7)),0,MAX(0,ROUND((INDEX($E90:$G90,AZ$5)-SUMIFS(TF_Timer,TF_Tekniker,AZ$4,TF_Dato,$A90))*2,0)/2)))</f>
        <v/>
      </c>
      <c r="BA90">
        <f>IF(OR(BA$4="",$A90&gt;TODAY()),0,IF(OR(INDEX($B90:$D90,BA$5)="F",AND(BA$6&gt;0,$A90&lt;BA$6),AND(BA$7&gt;0,$A90&gt;BA$7)),0,MAX(0,ROUND((INDEX($E90:$G90,BA$5)-SUMIFS(TF_Timer,TF_Tekniker,BA$4,TF_Dato,$A90))*2,0)/2)))</f>
        <v/>
      </c>
      <c r="BB90">
        <f>IF(OR(BB$4="",$A90&gt;TODAY()),0,IF(OR(INDEX($B90:$D90,BB$5)="F",AND(BB$6&gt;0,$A90&lt;BB$6),AND(BB$7&gt;0,$A90&gt;BB$7)),0,MAX(0,ROUND((INDEX($E90:$G90,BB$5)-SUMIFS(TF_Timer,TF_Tekniker,BB$4,TF_Dato,$A90))*2,0)/2)))</f>
        <v/>
      </c>
      <c r="BC90">
        <f>IF(OR(BC$4="",$A90&gt;TODAY()),0,IF(OR(INDEX($B90:$D90,BC$5)="F",AND(BC$6&gt;0,$A90&lt;BC$6),AND(BC$7&gt;0,$A90&gt;BC$7)),0,MAX(0,ROUND((INDEX($E90:$G90,BC$5)-SUMIFS(TF_Timer,TF_Tekniker,BC$4,TF_Dato,$A90))*2,0)/2)))</f>
        <v/>
      </c>
      <c r="BD90">
        <f>IF(OR(BD$4="",$A90&gt;TODAY()),0,IF(OR(INDEX($B90:$D90,BD$5)="F",AND(BD$6&gt;0,$A90&lt;BD$6),AND(BD$7&gt;0,$A90&gt;BD$7)),0,MAX(0,ROUND((INDEX($E90:$G90,BD$5)-SUMIFS(TF_Timer,TF_Tekniker,BD$4,TF_Dato,$A90))*2,0)/2)))</f>
        <v/>
      </c>
      <c r="BE90">
        <f>IF(OR(BE$4="",$A90&gt;TODAY()),0,IF(OR(INDEX($B90:$D90,BE$5)="F",AND(BE$6&gt;0,$A90&lt;BE$6),AND(BE$7&gt;0,$A90&gt;BE$7)),0,MAX(0,ROUND((INDEX($E90:$G90,BE$5)-SUMIFS(TF_Timer,TF_Tekniker,BE$4,TF_Dato,$A90))*2,0)/2)))</f>
        <v/>
      </c>
      <c r="BF90">
        <f>IF(OR(BF$4="",$A90&gt;TODAY()),0,IF(OR(INDEX($B90:$D90,BF$5)="F",AND(BF$6&gt;0,$A90&lt;BF$6),AND(BF$7&gt;0,$A90&gt;BF$7)),0,MAX(0,ROUND((INDEX($E90:$G90,BF$5)-SUMIFS(TF_Timer,TF_Tekniker,BF$4,TF_Dato,$A90))*2,0)/2)))</f>
        <v/>
      </c>
      <c r="BG90">
        <f>IF(OR(BG$4="",$A90&gt;TODAY()),0,IF(OR(INDEX($B90:$D90,BG$5)="F",AND(BG$6&gt;0,$A90&lt;BG$6),AND(BG$7&gt;0,$A90&gt;BG$7)),0,MAX(0,ROUND((INDEX($E90:$G90,BG$5)-SUMIFS(TF_Timer,TF_Tekniker,BG$4,TF_Dato,$A90))*2,0)/2)))</f>
        <v/>
      </c>
      <c r="BH90">
        <f>IF(OR(BH$4="",$A90&gt;TODAY()),0,IF(OR(INDEX($B90:$D90,BH$5)="F",AND(BH$6&gt;0,$A90&lt;BH$6),AND(BH$7&gt;0,$A90&gt;BH$7)),0,MAX(0,ROUND((INDEX($E90:$G90,BH$5)-SUMIFS(TF_Timer,TF_Tekniker,BH$4,TF_Dato,$A90))*2,0)/2)))</f>
        <v/>
      </c>
      <c r="BI90">
        <f>IF(OR(BI$4="",$A90&gt;TODAY()),0,IF(OR(INDEX($B90:$D90,BI$5)="F",AND(BI$6&gt;0,$A90&lt;BI$6),AND(BI$7&gt;0,$A90&gt;BI$7)),0,MAX(0,ROUND((INDEX($E90:$G90,BI$5)-SUMIFS(TF_Timer,TF_Tekniker,BI$4,TF_Dato,$A90))*2,0)/2)))</f>
        <v/>
      </c>
    </row>
    <row r="91">
      <c r="A91" s="64">
        <f>A90+1</f>
        <v/>
      </c>
      <c r="B91">
        <f>IF(MOD($A91-INDEX(SkiftStart,1),Syklus)&lt;DagK,"K",IF(MOD($A91-INDEX(SkiftStart,1),Syklus)&lt;DagK+DagH,"H",IF(MOD($A91-INDEX(SkiftStart,1),Syklus)&lt;DagK+DagH+DagD,"D","F")))</f>
        <v/>
      </c>
      <c r="C91">
        <f>IF(MOD($A91-INDEX(SkiftStart,2),Syklus)&lt;DagK,"K",IF(MOD($A91-INDEX(SkiftStart,2),Syklus)&lt;DagK+DagH,"H",IF(MOD($A91-INDEX(SkiftStart,2),Syklus)&lt;DagK+DagH+DagD,"D","F")))</f>
        <v/>
      </c>
      <c r="D91">
        <f>IF(MOD($A91-INDEX(SkiftStart,3),Syklus)&lt;DagK,"K",IF(MOD($A91-INDEX(SkiftStart,3),Syklus)&lt;DagK+DagH,"H",IF(MOD($A91-INDEX(SkiftStart,3),Syklus)&lt;DagK+DagH+DagD,"D","F")))</f>
        <v/>
      </c>
      <c r="E91">
        <f>IF(B91="F",0,IF(WEEKDAY($A91,2)=5,INDEX(TimerFr,MATCH(B91,FaseKode,0)),INDEX(TimerMT,MATCH(B91,FaseKode,0))))</f>
        <v/>
      </c>
      <c r="F91">
        <f>IF(C91="F",0,IF(WEEKDAY($A91,2)=5,INDEX(TimerFr,MATCH(C91,FaseKode,0)),INDEX(TimerMT,MATCH(C91,FaseKode,0))))</f>
        <v/>
      </c>
      <c r="G91">
        <f>IF(D91="F",0,IF(WEEKDAY($A91,2)=5,INDEX(TimerFr,MATCH(D91,FaseKode,0)),INDEX(TimerMT,MATCH(D91,FaseKode,0))))</f>
        <v/>
      </c>
      <c r="H91">
        <f>IF(OR(H$4="",$A91&gt;TODAY()),0,IF(OR(INDEX($B91:$D91,H$5)="F",AND(H$6&gt;0,$A91&lt;H$6),AND(H$7&gt;0,$A91&gt;H$7)),0,MAX(0,ROUND((INDEX($E91:$G91,H$5)-SUMIFS(TF_Timer,TF_Tekniker,H$4,TF_Dato,$A91))*2,0)/2)))</f>
        <v/>
      </c>
      <c r="I91">
        <f>IF(OR(I$4="",$A91&gt;TODAY()),0,IF(OR(INDEX($B91:$D91,I$5)="F",AND(I$6&gt;0,$A91&lt;I$6),AND(I$7&gt;0,$A91&gt;I$7)),0,MAX(0,ROUND((INDEX($E91:$G91,I$5)-SUMIFS(TF_Timer,TF_Tekniker,I$4,TF_Dato,$A91))*2,0)/2)))</f>
        <v/>
      </c>
      <c r="J91">
        <f>IF(OR(J$4="",$A91&gt;TODAY()),0,IF(OR(INDEX($B91:$D91,J$5)="F",AND(J$6&gt;0,$A91&lt;J$6),AND(J$7&gt;0,$A91&gt;J$7)),0,MAX(0,ROUND((INDEX($E91:$G91,J$5)-SUMIFS(TF_Timer,TF_Tekniker,J$4,TF_Dato,$A91))*2,0)/2)))</f>
        <v/>
      </c>
      <c r="K91">
        <f>IF(OR(K$4="",$A91&gt;TODAY()),0,IF(OR(INDEX($B91:$D91,K$5)="F",AND(K$6&gt;0,$A91&lt;K$6),AND(K$7&gt;0,$A91&gt;K$7)),0,MAX(0,ROUND((INDEX($E91:$G91,K$5)-SUMIFS(TF_Timer,TF_Tekniker,K$4,TF_Dato,$A91))*2,0)/2)))</f>
        <v/>
      </c>
      <c r="L91">
        <f>IF(OR(L$4="",$A91&gt;TODAY()),0,IF(OR(INDEX($B91:$D91,L$5)="F",AND(L$6&gt;0,$A91&lt;L$6),AND(L$7&gt;0,$A91&gt;L$7)),0,MAX(0,ROUND((INDEX($E91:$G91,L$5)-SUMIFS(TF_Timer,TF_Tekniker,L$4,TF_Dato,$A91))*2,0)/2)))</f>
        <v/>
      </c>
      <c r="M91">
        <f>IF(OR(M$4="",$A91&gt;TODAY()),0,IF(OR(INDEX($B91:$D91,M$5)="F",AND(M$6&gt;0,$A91&lt;M$6),AND(M$7&gt;0,$A91&gt;M$7)),0,MAX(0,ROUND((INDEX($E91:$G91,M$5)-SUMIFS(TF_Timer,TF_Tekniker,M$4,TF_Dato,$A91))*2,0)/2)))</f>
        <v/>
      </c>
      <c r="N91">
        <f>IF(OR(N$4="",$A91&gt;TODAY()),0,IF(OR(INDEX($B91:$D91,N$5)="F",AND(N$6&gt;0,$A91&lt;N$6),AND(N$7&gt;0,$A91&gt;N$7)),0,MAX(0,ROUND((INDEX($E91:$G91,N$5)-SUMIFS(TF_Timer,TF_Tekniker,N$4,TF_Dato,$A91))*2,0)/2)))</f>
        <v/>
      </c>
      <c r="O91">
        <f>IF(OR(O$4="",$A91&gt;TODAY()),0,IF(OR(INDEX($B91:$D91,O$5)="F",AND(O$6&gt;0,$A91&lt;O$6),AND(O$7&gt;0,$A91&gt;O$7)),0,MAX(0,ROUND((INDEX($E91:$G91,O$5)-SUMIFS(TF_Timer,TF_Tekniker,O$4,TF_Dato,$A91))*2,0)/2)))</f>
        <v/>
      </c>
      <c r="P91">
        <f>IF(OR(P$4="",$A91&gt;TODAY()),0,IF(OR(INDEX($B91:$D91,P$5)="F",AND(P$6&gt;0,$A91&lt;P$6),AND(P$7&gt;0,$A91&gt;P$7)),0,MAX(0,ROUND((INDEX($E91:$G91,P$5)-SUMIFS(TF_Timer,TF_Tekniker,P$4,TF_Dato,$A91))*2,0)/2)))</f>
        <v/>
      </c>
      <c r="Q91">
        <f>IF(OR(Q$4="",$A91&gt;TODAY()),0,IF(OR(INDEX($B91:$D91,Q$5)="F",AND(Q$6&gt;0,$A91&lt;Q$6),AND(Q$7&gt;0,$A91&gt;Q$7)),0,MAX(0,ROUND((INDEX($E91:$G91,Q$5)-SUMIFS(TF_Timer,TF_Tekniker,Q$4,TF_Dato,$A91))*2,0)/2)))</f>
        <v/>
      </c>
      <c r="R91">
        <f>IF(OR(R$4="",$A91&gt;TODAY()),0,IF(OR(INDEX($B91:$D91,R$5)="F",AND(R$6&gt;0,$A91&lt;R$6),AND(R$7&gt;0,$A91&gt;R$7)),0,MAX(0,ROUND((INDEX($E91:$G91,R$5)-SUMIFS(TF_Timer,TF_Tekniker,R$4,TF_Dato,$A91))*2,0)/2)))</f>
        <v/>
      </c>
      <c r="S91">
        <f>IF(OR(S$4="",$A91&gt;TODAY()),0,IF(OR(INDEX($B91:$D91,S$5)="F",AND(S$6&gt;0,$A91&lt;S$6),AND(S$7&gt;0,$A91&gt;S$7)),0,MAX(0,ROUND((INDEX($E91:$G91,S$5)-SUMIFS(TF_Timer,TF_Tekniker,S$4,TF_Dato,$A91))*2,0)/2)))</f>
        <v/>
      </c>
      <c r="T91">
        <f>IF(OR(T$4="",$A91&gt;TODAY()),0,IF(OR(INDEX($B91:$D91,T$5)="F",AND(T$6&gt;0,$A91&lt;T$6),AND(T$7&gt;0,$A91&gt;T$7)),0,MAX(0,ROUND((INDEX($E91:$G91,T$5)-SUMIFS(TF_Timer,TF_Tekniker,T$4,TF_Dato,$A91))*2,0)/2)))</f>
        <v/>
      </c>
      <c r="U91">
        <f>IF(OR(U$4="",$A91&gt;TODAY()),0,IF(OR(INDEX($B91:$D91,U$5)="F",AND(U$6&gt;0,$A91&lt;U$6),AND(U$7&gt;0,$A91&gt;U$7)),0,MAX(0,ROUND((INDEX($E91:$G91,U$5)-SUMIFS(TF_Timer,TF_Tekniker,U$4,TF_Dato,$A91))*2,0)/2)))</f>
        <v/>
      </c>
      <c r="V91">
        <f>IF(OR(V$4="",$A91&gt;TODAY()),0,IF(OR(INDEX($B91:$D91,V$5)="F",AND(V$6&gt;0,$A91&lt;V$6),AND(V$7&gt;0,$A91&gt;V$7)),0,MAX(0,ROUND((INDEX($E91:$G91,V$5)-SUMIFS(TF_Timer,TF_Tekniker,V$4,TF_Dato,$A91))*2,0)/2)))</f>
        <v/>
      </c>
      <c r="W91">
        <f>IF(OR(W$4="",$A91&gt;TODAY()),0,IF(OR(INDEX($B91:$D91,W$5)="F",AND(W$6&gt;0,$A91&lt;W$6),AND(W$7&gt;0,$A91&gt;W$7)),0,MAX(0,ROUND((INDEX($E91:$G91,W$5)-SUMIFS(TF_Timer,TF_Tekniker,W$4,TF_Dato,$A91))*2,0)/2)))</f>
        <v/>
      </c>
      <c r="X91">
        <f>IF(OR(X$4="",$A91&gt;TODAY()),0,IF(OR(INDEX($B91:$D91,X$5)="F",AND(X$6&gt;0,$A91&lt;X$6),AND(X$7&gt;0,$A91&gt;X$7)),0,MAX(0,ROUND((INDEX($E91:$G91,X$5)-SUMIFS(TF_Timer,TF_Tekniker,X$4,TF_Dato,$A91))*2,0)/2)))</f>
        <v/>
      </c>
      <c r="Y91">
        <f>IF(OR(Y$4="",$A91&gt;TODAY()),0,IF(OR(INDEX($B91:$D91,Y$5)="F",AND(Y$6&gt;0,$A91&lt;Y$6),AND(Y$7&gt;0,$A91&gt;Y$7)),0,MAX(0,ROUND((INDEX($E91:$G91,Y$5)-SUMIFS(TF_Timer,TF_Tekniker,Y$4,TF_Dato,$A91))*2,0)/2)))</f>
        <v/>
      </c>
      <c r="Z91">
        <f>IF(OR(Z$4="",$A91&gt;TODAY()),0,IF(OR(INDEX($B91:$D91,Z$5)="F",AND(Z$6&gt;0,$A91&lt;Z$6),AND(Z$7&gt;0,$A91&gt;Z$7)),0,MAX(0,ROUND((INDEX($E91:$G91,Z$5)-SUMIFS(TF_Timer,TF_Tekniker,Z$4,TF_Dato,$A91))*2,0)/2)))</f>
        <v/>
      </c>
      <c r="AA91">
        <f>IF(OR(AA$4="",$A91&gt;TODAY()),0,IF(OR(INDEX($B91:$D91,AA$5)="F",AND(AA$6&gt;0,$A91&lt;AA$6),AND(AA$7&gt;0,$A91&gt;AA$7)),0,MAX(0,ROUND((INDEX($E91:$G91,AA$5)-SUMIFS(TF_Timer,TF_Tekniker,AA$4,TF_Dato,$A91))*2,0)/2)))</f>
        <v/>
      </c>
      <c r="AB91">
        <f>IF(OR(AB$4="",$A91&gt;TODAY()),0,IF(OR(INDEX($B91:$D91,AB$5)="F",AND(AB$6&gt;0,$A91&lt;AB$6),AND(AB$7&gt;0,$A91&gt;AB$7)),0,MAX(0,ROUND((INDEX($E91:$G91,AB$5)-SUMIFS(TF_Timer,TF_Tekniker,AB$4,TF_Dato,$A91))*2,0)/2)))</f>
        <v/>
      </c>
      <c r="AC91">
        <f>IF(OR(AC$4="",$A91&gt;TODAY()),0,IF(OR(INDEX($B91:$D91,AC$5)="F",AND(AC$6&gt;0,$A91&lt;AC$6),AND(AC$7&gt;0,$A91&gt;AC$7)),0,MAX(0,ROUND((INDEX($E91:$G91,AC$5)-SUMIFS(TF_Timer,TF_Tekniker,AC$4,TF_Dato,$A91))*2,0)/2)))</f>
        <v/>
      </c>
      <c r="AD91">
        <f>IF(OR(AD$4="",$A91&gt;TODAY()),0,IF(OR(INDEX($B91:$D91,AD$5)="F",AND(AD$6&gt;0,$A91&lt;AD$6),AND(AD$7&gt;0,$A91&gt;AD$7)),0,MAX(0,ROUND((INDEX($E91:$G91,AD$5)-SUMIFS(TF_Timer,TF_Tekniker,AD$4,TF_Dato,$A91))*2,0)/2)))</f>
        <v/>
      </c>
      <c r="AE91">
        <f>IF(OR(AE$4="",$A91&gt;TODAY()),0,IF(OR(INDEX($B91:$D91,AE$5)="F",AND(AE$6&gt;0,$A91&lt;AE$6),AND(AE$7&gt;0,$A91&gt;AE$7)),0,MAX(0,ROUND((INDEX($E91:$G91,AE$5)-SUMIFS(TF_Timer,TF_Tekniker,AE$4,TF_Dato,$A91))*2,0)/2)))</f>
        <v/>
      </c>
      <c r="AF91">
        <f>IF(OR(AF$4="",$A91&gt;TODAY()),0,IF(OR(INDEX($B91:$D91,AF$5)="F",AND(AF$6&gt;0,$A91&lt;AF$6),AND(AF$7&gt;0,$A91&gt;AF$7)),0,MAX(0,ROUND((INDEX($E91:$G91,AF$5)-SUMIFS(TF_Timer,TF_Tekniker,AF$4,TF_Dato,$A91))*2,0)/2)))</f>
        <v/>
      </c>
      <c r="AG91">
        <f>IF(OR(AG$4="",$A91&gt;TODAY()),0,IF(OR(INDEX($B91:$D91,AG$5)="F",AND(AG$6&gt;0,$A91&lt;AG$6),AND(AG$7&gt;0,$A91&gt;AG$7)),0,MAX(0,ROUND((INDEX($E91:$G91,AG$5)-SUMIFS(TF_Timer,TF_Tekniker,AG$4,TF_Dato,$A91))*2,0)/2)))</f>
        <v/>
      </c>
      <c r="AH91">
        <f>IF(OR(AH$4="",$A91&gt;TODAY()),0,IF(OR(INDEX($B91:$D91,AH$5)="F",AND(AH$6&gt;0,$A91&lt;AH$6),AND(AH$7&gt;0,$A91&gt;AH$7)),0,MAX(0,ROUND((INDEX($E91:$G91,AH$5)-SUMIFS(TF_Timer,TF_Tekniker,AH$4,TF_Dato,$A91))*2,0)/2)))</f>
        <v/>
      </c>
      <c r="AI91">
        <f>IF(OR(AI$4="",$A91&gt;TODAY()),0,IF(OR(INDEX($B91:$D91,AI$5)="F",AND(AI$6&gt;0,$A91&lt;AI$6),AND(AI$7&gt;0,$A91&gt;AI$7)),0,MAX(0,ROUND((INDEX($E91:$G91,AI$5)-SUMIFS(TF_Timer,TF_Tekniker,AI$4,TF_Dato,$A91))*2,0)/2)))</f>
        <v/>
      </c>
      <c r="AJ91">
        <f>IF(OR(AJ$4="",$A91&gt;TODAY()),0,IF(OR(INDEX($B91:$D91,AJ$5)="F",AND(AJ$6&gt;0,$A91&lt;AJ$6),AND(AJ$7&gt;0,$A91&gt;AJ$7)),0,MAX(0,ROUND((INDEX($E91:$G91,AJ$5)-SUMIFS(TF_Timer,TF_Tekniker,AJ$4,TF_Dato,$A91))*2,0)/2)))</f>
        <v/>
      </c>
      <c r="AK91">
        <f>IF(OR(AK$4="",$A91&gt;TODAY()),0,IF(OR(INDEX($B91:$D91,AK$5)="F",AND(AK$6&gt;0,$A91&lt;AK$6),AND(AK$7&gt;0,$A91&gt;AK$7)),0,MAX(0,ROUND((INDEX($E91:$G91,AK$5)-SUMIFS(TF_Timer,TF_Tekniker,AK$4,TF_Dato,$A91))*2,0)/2)))</f>
        <v/>
      </c>
      <c r="AL91">
        <f>IF(OR(AL$4="",$A91&gt;TODAY()),0,IF(OR(INDEX($B91:$D91,AL$5)="F",AND(AL$6&gt;0,$A91&lt;AL$6),AND(AL$7&gt;0,$A91&gt;AL$7)),0,MAX(0,ROUND((INDEX($E91:$G91,AL$5)-SUMIFS(TF_Timer,TF_Tekniker,AL$4,TF_Dato,$A91))*2,0)/2)))</f>
        <v/>
      </c>
      <c r="AM91">
        <f>IF(OR(AM$4="",$A91&gt;TODAY()),0,IF(OR(INDEX($B91:$D91,AM$5)="F",AND(AM$6&gt;0,$A91&lt;AM$6),AND(AM$7&gt;0,$A91&gt;AM$7)),0,MAX(0,ROUND((INDEX($E91:$G91,AM$5)-SUMIFS(TF_Timer,TF_Tekniker,AM$4,TF_Dato,$A91))*2,0)/2)))</f>
        <v/>
      </c>
      <c r="AN91">
        <f>IF(OR(AN$4="",$A91&gt;TODAY()),0,IF(OR(INDEX($B91:$D91,AN$5)="F",AND(AN$6&gt;0,$A91&lt;AN$6),AND(AN$7&gt;0,$A91&gt;AN$7)),0,MAX(0,ROUND((INDEX($E91:$G91,AN$5)-SUMIFS(TF_Timer,TF_Tekniker,AN$4,TF_Dato,$A91))*2,0)/2)))</f>
        <v/>
      </c>
      <c r="AO91">
        <f>IF(OR(AO$4="",$A91&gt;TODAY()),0,IF(OR(INDEX($B91:$D91,AO$5)="F",AND(AO$6&gt;0,$A91&lt;AO$6),AND(AO$7&gt;0,$A91&gt;AO$7)),0,MAX(0,ROUND((INDEX($E91:$G91,AO$5)-SUMIFS(TF_Timer,TF_Tekniker,AO$4,TF_Dato,$A91))*2,0)/2)))</f>
        <v/>
      </c>
      <c r="AP91">
        <f>IF(OR(AP$4="",$A91&gt;TODAY()),0,IF(OR(INDEX($B91:$D91,AP$5)="F",AND(AP$6&gt;0,$A91&lt;AP$6),AND(AP$7&gt;0,$A91&gt;AP$7)),0,MAX(0,ROUND((INDEX($E91:$G91,AP$5)-SUMIFS(TF_Timer,TF_Tekniker,AP$4,TF_Dato,$A91))*2,0)/2)))</f>
        <v/>
      </c>
      <c r="AQ91">
        <f>IF(OR(AQ$4="",$A91&gt;TODAY()),0,IF(OR(INDEX($B91:$D91,AQ$5)="F",AND(AQ$6&gt;0,$A91&lt;AQ$6),AND(AQ$7&gt;0,$A91&gt;AQ$7)),0,MAX(0,ROUND((INDEX($E91:$G91,AQ$5)-SUMIFS(TF_Timer,TF_Tekniker,AQ$4,TF_Dato,$A91))*2,0)/2)))</f>
        <v/>
      </c>
      <c r="AR91">
        <f>IF(OR(AR$4="",$A91&gt;TODAY()),0,IF(OR(INDEX($B91:$D91,AR$5)="F",AND(AR$6&gt;0,$A91&lt;AR$6),AND(AR$7&gt;0,$A91&gt;AR$7)),0,MAX(0,ROUND((INDEX($E91:$G91,AR$5)-SUMIFS(TF_Timer,TF_Tekniker,AR$4,TF_Dato,$A91))*2,0)/2)))</f>
        <v/>
      </c>
      <c r="AS91">
        <f>IF(OR(AS$4="",$A91&gt;TODAY()),0,IF(OR(INDEX($B91:$D91,AS$5)="F",AND(AS$6&gt;0,$A91&lt;AS$6),AND(AS$7&gt;0,$A91&gt;AS$7)),0,MAX(0,ROUND((INDEX($E91:$G91,AS$5)-SUMIFS(TF_Timer,TF_Tekniker,AS$4,TF_Dato,$A91))*2,0)/2)))</f>
        <v/>
      </c>
      <c r="AT91">
        <f>IF(OR(AT$4="",$A91&gt;TODAY()),0,IF(OR(INDEX($B91:$D91,AT$5)="F",AND(AT$6&gt;0,$A91&lt;AT$6),AND(AT$7&gt;0,$A91&gt;AT$7)),0,MAX(0,ROUND((INDEX($E91:$G91,AT$5)-SUMIFS(TF_Timer,TF_Tekniker,AT$4,TF_Dato,$A91))*2,0)/2)))</f>
        <v/>
      </c>
      <c r="AU91">
        <f>IF(OR(AU$4="",$A91&gt;TODAY()),0,IF(OR(INDEX($B91:$D91,AU$5)="F",AND(AU$6&gt;0,$A91&lt;AU$6),AND(AU$7&gt;0,$A91&gt;AU$7)),0,MAX(0,ROUND((INDEX($E91:$G91,AU$5)-SUMIFS(TF_Timer,TF_Tekniker,AU$4,TF_Dato,$A91))*2,0)/2)))</f>
        <v/>
      </c>
      <c r="AV91">
        <f>IF(OR(AV$4="",$A91&gt;TODAY()),0,IF(OR(INDEX($B91:$D91,AV$5)="F",AND(AV$6&gt;0,$A91&lt;AV$6),AND(AV$7&gt;0,$A91&gt;AV$7)),0,MAX(0,ROUND((INDEX($E91:$G91,AV$5)-SUMIFS(TF_Timer,TF_Tekniker,AV$4,TF_Dato,$A91))*2,0)/2)))</f>
        <v/>
      </c>
      <c r="AW91">
        <f>IF(OR(AW$4="",$A91&gt;TODAY()),0,IF(OR(INDEX($B91:$D91,AW$5)="F",AND(AW$6&gt;0,$A91&lt;AW$6),AND(AW$7&gt;0,$A91&gt;AW$7)),0,MAX(0,ROUND((INDEX($E91:$G91,AW$5)-SUMIFS(TF_Timer,TF_Tekniker,AW$4,TF_Dato,$A91))*2,0)/2)))</f>
        <v/>
      </c>
      <c r="AX91">
        <f>IF(OR(AX$4="",$A91&gt;TODAY()),0,IF(OR(INDEX($B91:$D91,AX$5)="F",AND(AX$6&gt;0,$A91&lt;AX$6),AND(AX$7&gt;0,$A91&gt;AX$7)),0,MAX(0,ROUND((INDEX($E91:$G91,AX$5)-SUMIFS(TF_Timer,TF_Tekniker,AX$4,TF_Dato,$A91))*2,0)/2)))</f>
        <v/>
      </c>
      <c r="AY91">
        <f>IF(OR(AY$4="",$A91&gt;TODAY()),0,IF(OR(INDEX($B91:$D91,AY$5)="F",AND(AY$6&gt;0,$A91&lt;AY$6),AND(AY$7&gt;0,$A91&gt;AY$7)),0,MAX(0,ROUND((INDEX($E91:$G91,AY$5)-SUMIFS(TF_Timer,TF_Tekniker,AY$4,TF_Dato,$A91))*2,0)/2)))</f>
        <v/>
      </c>
      <c r="AZ91">
        <f>IF(OR(AZ$4="",$A91&gt;TODAY()),0,IF(OR(INDEX($B91:$D91,AZ$5)="F",AND(AZ$6&gt;0,$A91&lt;AZ$6),AND(AZ$7&gt;0,$A91&gt;AZ$7)),0,MAX(0,ROUND((INDEX($E91:$G91,AZ$5)-SUMIFS(TF_Timer,TF_Tekniker,AZ$4,TF_Dato,$A91))*2,0)/2)))</f>
        <v/>
      </c>
      <c r="BA91">
        <f>IF(OR(BA$4="",$A91&gt;TODAY()),0,IF(OR(INDEX($B91:$D91,BA$5)="F",AND(BA$6&gt;0,$A91&lt;BA$6),AND(BA$7&gt;0,$A91&gt;BA$7)),0,MAX(0,ROUND((INDEX($E91:$G91,BA$5)-SUMIFS(TF_Timer,TF_Tekniker,BA$4,TF_Dato,$A91))*2,0)/2)))</f>
        <v/>
      </c>
      <c r="BB91">
        <f>IF(OR(BB$4="",$A91&gt;TODAY()),0,IF(OR(INDEX($B91:$D91,BB$5)="F",AND(BB$6&gt;0,$A91&lt;BB$6),AND(BB$7&gt;0,$A91&gt;BB$7)),0,MAX(0,ROUND((INDEX($E91:$G91,BB$5)-SUMIFS(TF_Timer,TF_Tekniker,BB$4,TF_Dato,$A91))*2,0)/2)))</f>
        <v/>
      </c>
      <c r="BC91">
        <f>IF(OR(BC$4="",$A91&gt;TODAY()),0,IF(OR(INDEX($B91:$D91,BC$5)="F",AND(BC$6&gt;0,$A91&lt;BC$6),AND(BC$7&gt;0,$A91&gt;BC$7)),0,MAX(0,ROUND((INDEX($E91:$G91,BC$5)-SUMIFS(TF_Timer,TF_Tekniker,BC$4,TF_Dato,$A91))*2,0)/2)))</f>
        <v/>
      </c>
      <c r="BD91">
        <f>IF(OR(BD$4="",$A91&gt;TODAY()),0,IF(OR(INDEX($B91:$D91,BD$5)="F",AND(BD$6&gt;0,$A91&lt;BD$6),AND(BD$7&gt;0,$A91&gt;BD$7)),0,MAX(0,ROUND((INDEX($E91:$G91,BD$5)-SUMIFS(TF_Timer,TF_Tekniker,BD$4,TF_Dato,$A91))*2,0)/2)))</f>
        <v/>
      </c>
      <c r="BE91">
        <f>IF(OR(BE$4="",$A91&gt;TODAY()),0,IF(OR(INDEX($B91:$D91,BE$5)="F",AND(BE$6&gt;0,$A91&lt;BE$6),AND(BE$7&gt;0,$A91&gt;BE$7)),0,MAX(0,ROUND((INDEX($E91:$G91,BE$5)-SUMIFS(TF_Timer,TF_Tekniker,BE$4,TF_Dato,$A91))*2,0)/2)))</f>
        <v/>
      </c>
      <c r="BF91">
        <f>IF(OR(BF$4="",$A91&gt;TODAY()),0,IF(OR(INDEX($B91:$D91,BF$5)="F",AND(BF$6&gt;0,$A91&lt;BF$6),AND(BF$7&gt;0,$A91&gt;BF$7)),0,MAX(0,ROUND((INDEX($E91:$G91,BF$5)-SUMIFS(TF_Timer,TF_Tekniker,BF$4,TF_Dato,$A91))*2,0)/2)))</f>
        <v/>
      </c>
      <c r="BG91">
        <f>IF(OR(BG$4="",$A91&gt;TODAY()),0,IF(OR(INDEX($B91:$D91,BG$5)="F",AND(BG$6&gt;0,$A91&lt;BG$6),AND(BG$7&gt;0,$A91&gt;BG$7)),0,MAX(0,ROUND((INDEX($E91:$G91,BG$5)-SUMIFS(TF_Timer,TF_Tekniker,BG$4,TF_Dato,$A91))*2,0)/2)))</f>
        <v/>
      </c>
      <c r="BH91">
        <f>IF(OR(BH$4="",$A91&gt;TODAY()),0,IF(OR(INDEX($B91:$D91,BH$5)="F",AND(BH$6&gt;0,$A91&lt;BH$6),AND(BH$7&gt;0,$A91&gt;BH$7)),0,MAX(0,ROUND((INDEX($E91:$G91,BH$5)-SUMIFS(TF_Timer,TF_Tekniker,BH$4,TF_Dato,$A91))*2,0)/2)))</f>
        <v/>
      </c>
      <c r="BI91">
        <f>IF(OR(BI$4="",$A91&gt;TODAY()),0,IF(OR(INDEX($B91:$D91,BI$5)="F",AND(BI$6&gt;0,$A91&lt;BI$6),AND(BI$7&gt;0,$A91&gt;BI$7)),0,MAX(0,ROUND((INDEX($E91:$G91,BI$5)-SUMIFS(TF_Timer,TF_Tekniker,BI$4,TF_Dato,$A91))*2,0)/2)))</f>
        <v/>
      </c>
    </row>
    <row r="92">
      <c r="A92" s="64">
        <f>A91+1</f>
        <v/>
      </c>
      <c r="B92">
        <f>IF(MOD($A92-INDEX(SkiftStart,1),Syklus)&lt;DagK,"K",IF(MOD($A92-INDEX(SkiftStart,1),Syklus)&lt;DagK+DagH,"H",IF(MOD($A92-INDEX(SkiftStart,1),Syklus)&lt;DagK+DagH+DagD,"D","F")))</f>
        <v/>
      </c>
      <c r="C92">
        <f>IF(MOD($A92-INDEX(SkiftStart,2),Syklus)&lt;DagK,"K",IF(MOD($A92-INDEX(SkiftStart,2),Syklus)&lt;DagK+DagH,"H",IF(MOD($A92-INDEX(SkiftStart,2),Syklus)&lt;DagK+DagH+DagD,"D","F")))</f>
        <v/>
      </c>
      <c r="D92">
        <f>IF(MOD($A92-INDEX(SkiftStart,3),Syklus)&lt;DagK,"K",IF(MOD($A92-INDEX(SkiftStart,3),Syklus)&lt;DagK+DagH,"H",IF(MOD($A92-INDEX(SkiftStart,3),Syklus)&lt;DagK+DagH+DagD,"D","F")))</f>
        <v/>
      </c>
      <c r="E92">
        <f>IF(B92="F",0,IF(WEEKDAY($A92,2)=5,INDEX(TimerFr,MATCH(B92,FaseKode,0)),INDEX(TimerMT,MATCH(B92,FaseKode,0))))</f>
        <v/>
      </c>
      <c r="F92">
        <f>IF(C92="F",0,IF(WEEKDAY($A92,2)=5,INDEX(TimerFr,MATCH(C92,FaseKode,0)),INDEX(TimerMT,MATCH(C92,FaseKode,0))))</f>
        <v/>
      </c>
      <c r="G92">
        <f>IF(D92="F",0,IF(WEEKDAY($A92,2)=5,INDEX(TimerFr,MATCH(D92,FaseKode,0)),INDEX(TimerMT,MATCH(D92,FaseKode,0))))</f>
        <v/>
      </c>
      <c r="H92">
        <f>IF(OR(H$4="",$A92&gt;TODAY()),0,IF(OR(INDEX($B92:$D92,H$5)="F",AND(H$6&gt;0,$A92&lt;H$6),AND(H$7&gt;0,$A92&gt;H$7)),0,MAX(0,ROUND((INDEX($E92:$G92,H$5)-SUMIFS(TF_Timer,TF_Tekniker,H$4,TF_Dato,$A92))*2,0)/2)))</f>
        <v/>
      </c>
      <c r="I92">
        <f>IF(OR(I$4="",$A92&gt;TODAY()),0,IF(OR(INDEX($B92:$D92,I$5)="F",AND(I$6&gt;0,$A92&lt;I$6),AND(I$7&gt;0,$A92&gt;I$7)),0,MAX(0,ROUND((INDEX($E92:$G92,I$5)-SUMIFS(TF_Timer,TF_Tekniker,I$4,TF_Dato,$A92))*2,0)/2)))</f>
        <v/>
      </c>
      <c r="J92">
        <f>IF(OR(J$4="",$A92&gt;TODAY()),0,IF(OR(INDEX($B92:$D92,J$5)="F",AND(J$6&gt;0,$A92&lt;J$6),AND(J$7&gt;0,$A92&gt;J$7)),0,MAX(0,ROUND((INDEX($E92:$G92,J$5)-SUMIFS(TF_Timer,TF_Tekniker,J$4,TF_Dato,$A92))*2,0)/2)))</f>
        <v/>
      </c>
      <c r="K92">
        <f>IF(OR(K$4="",$A92&gt;TODAY()),0,IF(OR(INDEX($B92:$D92,K$5)="F",AND(K$6&gt;0,$A92&lt;K$6),AND(K$7&gt;0,$A92&gt;K$7)),0,MAX(0,ROUND((INDEX($E92:$G92,K$5)-SUMIFS(TF_Timer,TF_Tekniker,K$4,TF_Dato,$A92))*2,0)/2)))</f>
        <v/>
      </c>
      <c r="L92">
        <f>IF(OR(L$4="",$A92&gt;TODAY()),0,IF(OR(INDEX($B92:$D92,L$5)="F",AND(L$6&gt;0,$A92&lt;L$6),AND(L$7&gt;0,$A92&gt;L$7)),0,MAX(0,ROUND((INDEX($E92:$G92,L$5)-SUMIFS(TF_Timer,TF_Tekniker,L$4,TF_Dato,$A92))*2,0)/2)))</f>
        <v/>
      </c>
      <c r="M92">
        <f>IF(OR(M$4="",$A92&gt;TODAY()),0,IF(OR(INDEX($B92:$D92,M$5)="F",AND(M$6&gt;0,$A92&lt;M$6),AND(M$7&gt;0,$A92&gt;M$7)),0,MAX(0,ROUND((INDEX($E92:$G92,M$5)-SUMIFS(TF_Timer,TF_Tekniker,M$4,TF_Dato,$A92))*2,0)/2)))</f>
        <v/>
      </c>
      <c r="N92">
        <f>IF(OR(N$4="",$A92&gt;TODAY()),0,IF(OR(INDEX($B92:$D92,N$5)="F",AND(N$6&gt;0,$A92&lt;N$6),AND(N$7&gt;0,$A92&gt;N$7)),0,MAX(0,ROUND((INDEX($E92:$G92,N$5)-SUMIFS(TF_Timer,TF_Tekniker,N$4,TF_Dato,$A92))*2,0)/2)))</f>
        <v/>
      </c>
      <c r="O92">
        <f>IF(OR(O$4="",$A92&gt;TODAY()),0,IF(OR(INDEX($B92:$D92,O$5)="F",AND(O$6&gt;0,$A92&lt;O$6),AND(O$7&gt;0,$A92&gt;O$7)),0,MAX(0,ROUND((INDEX($E92:$G92,O$5)-SUMIFS(TF_Timer,TF_Tekniker,O$4,TF_Dato,$A92))*2,0)/2)))</f>
        <v/>
      </c>
      <c r="P92">
        <f>IF(OR(P$4="",$A92&gt;TODAY()),0,IF(OR(INDEX($B92:$D92,P$5)="F",AND(P$6&gt;0,$A92&lt;P$6),AND(P$7&gt;0,$A92&gt;P$7)),0,MAX(0,ROUND((INDEX($E92:$G92,P$5)-SUMIFS(TF_Timer,TF_Tekniker,P$4,TF_Dato,$A92))*2,0)/2)))</f>
        <v/>
      </c>
      <c r="Q92">
        <f>IF(OR(Q$4="",$A92&gt;TODAY()),0,IF(OR(INDEX($B92:$D92,Q$5)="F",AND(Q$6&gt;0,$A92&lt;Q$6),AND(Q$7&gt;0,$A92&gt;Q$7)),0,MAX(0,ROUND((INDEX($E92:$G92,Q$5)-SUMIFS(TF_Timer,TF_Tekniker,Q$4,TF_Dato,$A92))*2,0)/2)))</f>
        <v/>
      </c>
      <c r="R92">
        <f>IF(OR(R$4="",$A92&gt;TODAY()),0,IF(OR(INDEX($B92:$D92,R$5)="F",AND(R$6&gt;0,$A92&lt;R$6),AND(R$7&gt;0,$A92&gt;R$7)),0,MAX(0,ROUND((INDEX($E92:$G92,R$5)-SUMIFS(TF_Timer,TF_Tekniker,R$4,TF_Dato,$A92))*2,0)/2)))</f>
        <v/>
      </c>
      <c r="S92">
        <f>IF(OR(S$4="",$A92&gt;TODAY()),0,IF(OR(INDEX($B92:$D92,S$5)="F",AND(S$6&gt;0,$A92&lt;S$6),AND(S$7&gt;0,$A92&gt;S$7)),0,MAX(0,ROUND((INDEX($E92:$G92,S$5)-SUMIFS(TF_Timer,TF_Tekniker,S$4,TF_Dato,$A92))*2,0)/2)))</f>
        <v/>
      </c>
      <c r="T92">
        <f>IF(OR(T$4="",$A92&gt;TODAY()),0,IF(OR(INDEX($B92:$D92,T$5)="F",AND(T$6&gt;0,$A92&lt;T$6),AND(T$7&gt;0,$A92&gt;T$7)),0,MAX(0,ROUND((INDEX($E92:$G92,T$5)-SUMIFS(TF_Timer,TF_Tekniker,T$4,TF_Dato,$A92))*2,0)/2)))</f>
        <v/>
      </c>
      <c r="U92">
        <f>IF(OR(U$4="",$A92&gt;TODAY()),0,IF(OR(INDEX($B92:$D92,U$5)="F",AND(U$6&gt;0,$A92&lt;U$6),AND(U$7&gt;0,$A92&gt;U$7)),0,MAX(0,ROUND((INDEX($E92:$G92,U$5)-SUMIFS(TF_Timer,TF_Tekniker,U$4,TF_Dato,$A92))*2,0)/2)))</f>
        <v/>
      </c>
      <c r="V92">
        <f>IF(OR(V$4="",$A92&gt;TODAY()),0,IF(OR(INDEX($B92:$D92,V$5)="F",AND(V$6&gt;0,$A92&lt;V$6),AND(V$7&gt;0,$A92&gt;V$7)),0,MAX(0,ROUND((INDEX($E92:$G92,V$5)-SUMIFS(TF_Timer,TF_Tekniker,V$4,TF_Dato,$A92))*2,0)/2)))</f>
        <v/>
      </c>
      <c r="W92">
        <f>IF(OR(W$4="",$A92&gt;TODAY()),0,IF(OR(INDEX($B92:$D92,W$5)="F",AND(W$6&gt;0,$A92&lt;W$6),AND(W$7&gt;0,$A92&gt;W$7)),0,MAX(0,ROUND((INDEX($E92:$G92,W$5)-SUMIFS(TF_Timer,TF_Tekniker,W$4,TF_Dato,$A92))*2,0)/2)))</f>
        <v/>
      </c>
      <c r="X92">
        <f>IF(OR(X$4="",$A92&gt;TODAY()),0,IF(OR(INDEX($B92:$D92,X$5)="F",AND(X$6&gt;0,$A92&lt;X$6),AND(X$7&gt;0,$A92&gt;X$7)),0,MAX(0,ROUND((INDEX($E92:$G92,X$5)-SUMIFS(TF_Timer,TF_Tekniker,X$4,TF_Dato,$A92))*2,0)/2)))</f>
        <v/>
      </c>
      <c r="Y92">
        <f>IF(OR(Y$4="",$A92&gt;TODAY()),0,IF(OR(INDEX($B92:$D92,Y$5)="F",AND(Y$6&gt;0,$A92&lt;Y$6),AND(Y$7&gt;0,$A92&gt;Y$7)),0,MAX(0,ROUND((INDEX($E92:$G92,Y$5)-SUMIFS(TF_Timer,TF_Tekniker,Y$4,TF_Dato,$A92))*2,0)/2)))</f>
        <v/>
      </c>
      <c r="Z92">
        <f>IF(OR(Z$4="",$A92&gt;TODAY()),0,IF(OR(INDEX($B92:$D92,Z$5)="F",AND(Z$6&gt;0,$A92&lt;Z$6),AND(Z$7&gt;0,$A92&gt;Z$7)),0,MAX(0,ROUND((INDEX($E92:$G92,Z$5)-SUMIFS(TF_Timer,TF_Tekniker,Z$4,TF_Dato,$A92))*2,0)/2)))</f>
        <v/>
      </c>
      <c r="AA92">
        <f>IF(OR(AA$4="",$A92&gt;TODAY()),0,IF(OR(INDEX($B92:$D92,AA$5)="F",AND(AA$6&gt;0,$A92&lt;AA$6),AND(AA$7&gt;0,$A92&gt;AA$7)),0,MAX(0,ROUND((INDEX($E92:$G92,AA$5)-SUMIFS(TF_Timer,TF_Tekniker,AA$4,TF_Dato,$A92))*2,0)/2)))</f>
        <v/>
      </c>
      <c r="AB92">
        <f>IF(OR(AB$4="",$A92&gt;TODAY()),0,IF(OR(INDEX($B92:$D92,AB$5)="F",AND(AB$6&gt;0,$A92&lt;AB$6),AND(AB$7&gt;0,$A92&gt;AB$7)),0,MAX(0,ROUND((INDEX($E92:$G92,AB$5)-SUMIFS(TF_Timer,TF_Tekniker,AB$4,TF_Dato,$A92))*2,0)/2)))</f>
        <v/>
      </c>
      <c r="AC92">
        <f>IF(OR(AC$4="",$A92&gt;TODAY()),0,IF(OR(INDEX($B92:$D92,AC$5)="F",AND(AC$6&gt;0,$A92&lt;AC$6),AND(AC$7&gt;0,$A92&gt;AC$7)),0,MAX(0,ROUND((INDEX($E92:$G92,AC$5)-SUMIFS(TF_Timer,TF_Tekniker,AC$4,TF_Dato,$A92))*2,0)/2)))</f>
        <v/>
      </c>
      <c r="AD92">
        <f>IF(OR(AD$4="",$A92&gt;TODAY()),0,IF(OR(INDEX($B92:$D92,AD$5)="F",AND(AD$6&gt;0,$A92&lt;AD$6),AND(AD$7&gt;0,$A92&gt;AD$7)),0,MAX(0,ROUND((INDEX($E92:$G92,AD$5)-SUMIFS(TF_Timer,TF_Tekniker,AD$4,TF_Dato,$A92))*2,0)/2)))</f>
        <v/>
      </c>
      <c r="AE92">
        <f>IF(OR(AE$4="",$A92&gt;TODAY()),0,IF(OR(INDEX($B92:$D92,AE$5)="F",AND(AE$6&gt;0,$A92&lt;AE$6),AND(AE$7&gt;0,$A92&gt;AE$7)),0,MAX(0,ROUND((INDEX($E92:$G92,AE$5)-SUMIFS(TF_Timer,TF_Tekniker,AE$4,TF_Dato,$A92))*2,0)/2)))</f>
        <v/>
      </c>
      <c r="AF92">
        <f>IF(OR(AF$4="",$A92&gt;TODAY()),0,IF(OR(INDEX($B92:$D92,AF$5)="F",AND(AF$6&gt;0,$A92&lt;AF$6),AND(AF$7&gt;0,$A92&gt;AF$7)),0,MAX(0,ROUND((INDEX($E92:$G92,AF$5)-SUMIFS(TF_Timer,TF_Tekniker,AF$4,TF_Dato,$A92))*2,0)/2)))</f>
        <v/>
      </c>
      <c r="AG92">
        <f>IF(OR(AG$4="",$A92&gt;TODAY()),0,IF(OR(INDEX($B92:$D92,AG$5)="F",AND(AG$6&gt;0,$A92&lt;AG$6),AND(AG$7&gt;0,$A92&gt;AG$7)),0,MAX(0,ROUND((INDEX($E92:$G92,AG$5)-SUMIFS(TF_Timer,TF_Tekniker,AG$4,TF_Dato,$A92))*2,0)/2)))</f>
        <v/>
      </c>
      <c r="AH92">
        <f>IF(OR(AH$4="",$A92&gt;TODAY()),0,IF(OR(INDEX($B92:$D92,AH$5)="F",AND(AH$6&gt;0,$A92&lt;AH$6),AND(AH$7&gt;0,$A92&gt;AH$7)),0,MAX(0,ROUND((INDEX($E92:$G92,AH$5)-SUMIFS(TF_Timer,TF_Tekniker,AH$4,TF_Dato,$A92))*2,0)/2)))</f>
        <v/>
      </c>
      <c r="AI92">
        <f>IF(OR(AI$4="",$A92&gt;TODAY()),0,IF(OR(INDEX($B92:$D92,AI$5)="F",AND(AI$6&gt;0,$A92&lt;AI$6),AND(AI$7&gt;0,$A92&gt;AI$7)),0,MAX(0,ROUND((INDEX($E92:$G92,AI$5)-SUMIFS(TF_Timer,TF_Tekniker,AI$4,TF_Dato,$A92))*2,0)/2)))</f>
        <v/>
      </c>
      <c r="AJ92">
        <f>IF(OR(AJ$4="",$A92&gt;TODAY()),0,IF(OR(INDEX($B92:$D92,AJ$5)="F",AND(AJ$6&gt;0,$A92&lt;AJ$6),AND(AJ$7&gt;0,$A92&gt;AJ$7)),0,MAX(0,ROUND((INDEX($E92:$G92,AJ$5)-SUMIFS(TF_Timer,TF_Tekniker,AJ$4,TF_Dato,$A92))*2,0)/2)))</f>
        <v/>
      </c>
      <c r="AK92">
        <f>IF(OR(AK$4="",$A92&gt;TODAY()),0,IF(OR(INDEX($B92:$D92,AK$5)="F",AND(AK$6&gt;0,$A92&lt;AK$6),AND(AK$7&gt;0,$A92&gt;AK$7)),0,MAX(0,ROUND((INDEX($E92:$G92,AK$5)-SUMIFS(TF_Timer,TF_Tekniker,AK$4,TF_Dato,$A92))*2,0)/2)))</f>
        <v/>
      </c>
      <c r="AL92">
        <f>IF(OR(AL$4="",$A92&gt;TODAY()),0,IF(OR(INDEX($B92:$D92,AL$5)="F",AND(AL$6&gt;0,$A92&lt;AL$6),AND(AL$7&gt;0,$A92&gt;AL$7)),0,MAX(0,ROUND((INDEX($E92:$G92,AL$5)-SUMIFS(TF_Timer,TF_Tekniker,AL$4,TF_Dato,$A92))*2,0)/2)))</f>
        <v/>
      </c>
      <c r="AM92">
        <f>IF(OR(AM$4="",$A92&gt;TODAY()),0,IF(OR(INDEX($B92:$D92,AM$5)="F",AND(AM$6&gt;0,$A92&lt;AM$6),AND(AM$7&gt;0,$A92&gt;AM$7)),0,MAX(0,ROUND((INDEX($E92:$G92,AM$5)-SUMIFS(TF_Timer,TF_Tekniker,AM$4,TF_Dato,$A92))*2,0)/2)))</f>
        <v/>
      </c>
      <c r="AN92">
        <f>IF(OR(AN$4="",$A92&gt;TODAY()),0,IF(OR(INDEX($B92:$D92,AN$5)="F",AND(AN$6&gt;0,$A92&lt;AN$6),AND(AN$7&gt;0,$A92&gt;AN$7)),0,MAX(0,ROUND((INDEX($E92:$G92,AN$5)-SUMIFS(TF_Timer,TF_Tekniker,AN$4,TF_Dato,$A92))*2,0)/2)))</f>
        <v/>
      </c>
      <c r="AO92">
        <f>IF(OR(AO$4="",$A92&gt;TODAY()),0,IF(OR(INDEX($B92:$D92,AO$5)="F",AND(AO$6&gt;0,$A92&lt;AO$6),AND(AO$7&gt;0,$A92&gt;AO$7)),0,MAX(0,ROUND((INDEX($E92:$G92,AO$5)-SUMIFS(TF_Timer,TF_Tekniker,AO$4,TF_Dato,$A92))*2,0)/2)))</f>
        <v/>
      </c>
      <c r="AP92">
        <f>IF(OR(AP$4="",$A92&gt;TODAY()),0,IF(OR(INDEX($B92:$D92,AP$5)="F",AND(AP$6&gt;0,$A92&lt;AP$6),AND(AP$7&gt;0,$A92&gt;AP$7)),0,MAX(0,ROUND((INDEX($E92:$G92,AP$5)-SUMIFS(TF_Timer,TF_Tekniker,AP$4,TF_Dato,$A92))*2,0)/2)))</f>
        <v/>
      </c>
      <c r="AQ92">
        <f>IF(OR(AQ$4="",$A92&gt;TODAY()),0,IF(OR(INDEX($B92:$D92,AQ$5)="F",AND(AQ$6&gt;0,$A92&lt;AQ$6),AND(AQ$7&gt;0,$A92&gt;AQ$7)),0,MAX(0,ROUND((INDEX($E92:$G92,AQ$5)-SUMIFS(TF_Timer,TF_Tekniker,AQ$4,TF_Dato,$A92))*2,0)/2)))</f>
        <v/>
      </c>
      <c r="AR92">
        <f>IF(OR(AR$4="",$A92&gt;TODAY()),0,IF(OR(INDEX($B92:$D92,AR$5)="F",AND(AR$6&gt;0,$A92&lt;AR$6),AND(AR$7&gt;0,$A92&gt;AR$7)),0,MAX(0,ROUND((INDEX($E92:$G92,AR$5)-SUMIFS(TF_Timer,TF_Tekniker,AR$4,TF_Dato,$A92))*2,0)/2)))</f>
        <v/>
      </c>
      <c r="AS92">
        <f>IF(OR(AS$4="",$A92&gt;TODAY()),0,IF(OR(INDEX($B92:$D92,AS$5)="F",AND(AS$6&gt;0,$A92&lt;AS$6),AND(AS$7&gt;0,$A92&gt;AS$7)),0,MAX(0,ROUND((INDEX($E92:$G92,AS$5)-SUMIFS(TF_Timer,TF_Tekniker,AS$4,TF_Dato,$A92))*2,0)/2)))</f>
        <v/>
      </c>
      <c r="AT92">
        <f>IF(OR(AT$4="",$A92&gt;TODAY()),0,IF(OR(INDEX($B92:$D92,AT$5)="F",AND(AT$6&gt;0,$A92&lt;AT$6),AND(AT$7&gt;0,$A92&gt;AT$7)),0,MAX(0,ROUND((INDEX($E92:$G92,AT$5)-SUMIFS(TF_Timer,TF_Tekniker,AT$4,TF_Dato,$A92))*2,0)/2)))</f>
        <v/>
      </c>
      <c r="AU92">
        <f>IF(OR(AU$4="",$A92&gt;TODAY()),0,IF(OR(INDEX($B92:$D92,AU$5)="F",AND(AU$6&gt;0,$A92&lt;AU$6),AND(AU$7&gt;0,$A92&gt;AU$7)),0,MAX(0,ROUND((INDEX($E92:$G92,AU$5)-SUMIFS(TF_Timer,TF_Tekniker,AU$4,TF_Dato,$A92))*2,0)/2)))</f>
        <v/>
      </c>
      <c r="AV92">
        <f>IF(OR(AV$4="",$A92&gt;TODAY()),0,IF(OR(INDEX($B92:$D92,AV$5)="F",AND(AV$6&gt;0,$A92&lt;AV$6),AND(AV$7&gt;0,$A92&gt;AV$7)),0,MAX(0,ROUND((INDEX($E92:$G92,AV$5)-SUMIFS(TF_Timer,TF_Tekniker,AV$4,TF_Dato,$A92))*2,0)/2)))</f>
        <v/>
      </c>
      <c r="AW92">
        <f>IF(OR(AW$4="",$A92&gt;TODAY()),0,IF(OR(INDEX($B92:$D92,AW$5)="F",AND(AW$6&gt;0,$A92&lt;AW$6),AND(AW$7&gt;0,$A92&gt;AW$7)),0,MAX(0,ROUND((INDEX($E92:$G92,AW$5)-SUMIFS(TF_Timer,TF_Tekniker,AW$4,TF_Dato,$A92))*2,0)/2)))</f>
        <v/>
      </c>
      <c r="AX92">
        <f>IF(OR(AX$4="",$A92&gt;TODAY()),0,IF(OR(INDEX($B92:$D92,AX$5)="F",AND(AX$6&gt;0,$A92&lt;AX$6),AND(AX$7&gt;0,$A92&gt;AX$7)),0,MAX(0,ROUND((INDEX($E92:$G92,AX$5)-SUMIFS(TF_Timer,TF_Tekniker,AX$4,TF_Dato,$A92))*2,0)/2)))</f>
        <v/>
      </c>
      <c r="AY92">
        <f>IF(OR(AY$4="",$A92&gt;TODAY()),0,IF(OR(INDEX($B92:$D92,AY$5)="F",AND(AY$6&gt;0,$A92&lt;AY$6),AND(AY$7&gt;0,$A92&gt;AY$7)),0,MAX(0,ROUND((INDEX($E92:$G92,AY$5)-SUMIFS(TF_Timer,TF_Tekniker,AY$4,TF_Dato,$A92))*2,0)/2)))</f>
        <v/>
      </c>
      <c r="AZ92">
        <f>IF(OR(AZ$4="",$A92&gt;TODAY()),0,IF(OR(INDEX($B92:$D92,AZ$5)="F",AND(AZ$6&gt;0,$A92&lt;AZ$6),AND(AZ$7&gt;0,$A92&gt;AZ$7)),0,MAX(0,ROUND((INDEX($E92:$G92,AZ$5)-SUMIFS(TF_Timer,TF_Tekniker,AZ$4,TF_Dato,$A92))*2,0)/2)))</f>
        <v/>
      </c>
      <c r="BA92">
        <f>IF(OR(BA$4="",$A92&gt;TODAY()),0,IF(OR(INDEX($B92:$D92,BA$5)="F",AND(BA$6&gt;0,$A92&lt;BA$6),AND(BA$7&gt;0,$A92&gt;BA$7)),0,MAX(0,ROUND((INDEX($E92:$G92,BA$5)-SUMIFS(TF_Timer,TF_Tekniker,BA$4,TF_Dato,$A92))*2,0)/2)))</f>
        <v/>
      </c>
      <c r="BB92">
        <f>IF(OR(BB$4="",$A92&gt;TODAY()),0,IF(OR(INDEX($B92:$D92,BB$5)="F",AND(BB$6&gt;0,$A92&lt;BB$6),AND(BB$7&gt;0,$A92&gt;BB$7)),0,MAX(0,ROUND((INDEX($E92:$G92,BB$5)-SUMIFS(TF_Timer,TF_Tekniker,BB$4,TF_Dato,$A92))*2,0)/2)))</f>
        <v/>
      </c>
      <c r="BC92">
        <f>IF(OR(BC$4="",$A92&gt;TODAY()),0,IF(OR(INDEX($B92:$D92,BC$5)="F",AND(BC$6&gt;0,$A92&lt;BC$6),AND(BC$7&gt;0,$A92&gt;BC$7)),0,MAX(0,ROUND((INDEX($E92:$G92,BC$5)-SUMIFS(TF_Timer,TF_Tekniker,BC$4,TF_Dato,$A92))*2,0)/2)))</f>
        <v/>
      </c>
      <c r="BD92">
        <f>IF(OR(BD$4="",$A92&gt;TODAY()),0,IF(OR(INDEX($B92:$D92,BD$5)="F",AND(BD$6&gt;0,$A92&lt;BD$6),AND(BD$7&gt;0,$A92&gt;BD$7)),0,MAX(0,ROUND((INDEX($E92:$G92,BD$5)-SUMIFS(TF_Timer,TF_Tekniker,BD$4,TF_Dato,$A92))*2,0)/2)))</f>
        <v/>
      </c>
      <c r="BE92">
        <f>IF(OR(BE$4="",$A92&gt;TODAY()),0,IF(OR(INDEX($B92:$D92,BE$5)="F",AND(BE$6&gt;0,$A92&lt;BE$6),AND(BE$7&gt;0,$A92&gt;BE$7)),0,MAX(0,ROUND((INDEX($E92:$G92,BE$5)-SUMIFS(TF_Timer,TF_Tekniker,BE$4,TF_Dato,$A92))*2,0)/2)))</f>
        <v/>
      </c>
      <c r="BF92">
        <f>IF(OR(BF$4="",$A92&gt;TODAY()),0,IF(OR(INDEX($B92:$D92,BF$5)="F",AND(BF$6&gt;0,$A92&lt;BF$6),AND(BF$7&gt;0,$A92&gt;BF$7)),0,MAX(0,ROUND((INDEX($E92:$G92,BF$5)-SUMIFS(TF_Timer,TF_Tekniker,BF$4,TF_Dato,$A92))*2,0)/2)))</f>
        <v/>
      </c>
      <c r="BG92">
        <f>IF(OR(BG$4="",$A92&gt;TODAY()),0,IF(OR(INDEX($B92:$D92,BG$5)="F",AND(BG$6&gt;0,$A92&lt;BG$6),AND(BG$7&gt;0,$A92&gt;BG$7)),0,MAX(0,ROUND((INDEX($E92:$G92,BG$5)-SUMIFS(TF_Timer,TF_Tekniker,BG$4,TF_Dato,$A92))*2,0)/2)))</f>
        <v/>
      </c>
      <c r="BH92">
        <f>IF(OR(BH$4="",$A92&gt;TODAY()),0,IF(OR(INDEX($B92:$D92,BH$5)="F",AND(BH$6&gt;0,$A92&lt;BH$6),AND(BH$7&gt;0,$A92&gt;BH$7)),0,MAX(0,ROUND((INDEX($E92:$G92,BH$5)-SUMIFS(TF_Timer,TF_Tekniker,BH$4,TF_Dato,$A92))*2,0)/2)))</f>
        <v/>
      </c>
      <c r="BI92">
        <f>IF(OR(BI$4="",$A92&gt;TODAY()),0,IF(OR(INDEX($B92:$D92,BI$5)="F",AND(BI$6&gt;0,$A92&lt;BI$6),AND(BI$7&gt;0,$A92&gt;BI$7)),0,MAX(0,ROUND((INDEX($E92:$G92,BI$5)-SUMIFS(TF_Timer,TF_Tekniker,BI$4,TF_Dato,$A92))*2,0)/2)))</f>
        <v/>
      </c>
    </row>
    <row r="93">
      <c r="A93" s="64">
        <f>A92+1</f>
        <v/>
      </c>
      <c r="B93">
        <f>IF(MOD($A93-INDEX(SkiftStart,1),Syklus)&lt;DagK,"K",IF(MOD($A93-INDEX(SkiftStart,1),Syklus)&lt;DagK+DagH,"H",IF(MOD($A93-INDEX(SkiftStart,1),Syklus)&lt;DagK+DagH+DagD,"D","F")))</f>
        <v/>
      </c>
      <c r="C93">
        <f>IF(MOD($A93-INDEX(SkiftStart,2),Syklus)&lt;DagK,"K",IF(MOD($A93-INDEX(SkiftStart,2),Syklus)&lt;DagK+DagH,"H",IF(MOD($A93-INDEX(SkiftStart,2),Syklus)&lt;DagK+DagH+DagD,"D","F")))</f>
        <v/>
      </c>
      <c r="D93">
        <f>IF(MOD($A93-INDEX(SkiftStart,3),Syklus)&lt;DagK,"K",IF(MOD($A93-INDEX(SkiftStart,3),Syklus)&lt;DagK+DagH,"H",IF(MOD($A93-INDEX(SkiftStart,3),Syklus)&lt;DagK+DagH+DagD,"D","F")))</f>
        <v/>
      </c>
      <c r="E93">
        <f>IF(B93="F",0,IF(WEEKDAY($A93,2)=5,INDEX(TimerFr,MATCH(B93,FaseKode,0)),INDEX(TimerMT,MATCH(B93,FaseKode,0))))</f>
        <v/>
      </c>
      <c r="F93">
        <f>IF(C93="F",0,IF(WEEKDAY($A93,2)=5,INDEX(TimerFr,MATCH(C93,FaseKode,0)),INDEX(TimerMT,MATCH(C93,FaseKode,0))))</f>
        <v/>
      </c>
      <c r="G93">
        <f>IF(D93="F",0,IF(WEEKDAY($A93,2)=5,INDEX(TimerFr,MATCH(D93,FaseKode,0)),INDEX(TimerMT,MATCH(D93,FaseKode,0))))</f>
        <v/>
      </c>
      <c r="H93">
        <f>IF(OR(H$4="",$A93&gt;TODAY()),0,IF(OR(INDEX($B93:$D93,H$5)="F",AND(H$6&gt;0,$A93&lt;H$6),AND(H$7&gt;0,$A93&gt;H$7)),0,MAX(0,ROUND((INDEX($E93:$G93,H$5)-SUMIFS(TF_Timer,TF_Tekniker,H$4,TF_Dato,$A93))*2,0)/2)))</f>
        <v/>
      </c>
      <c r="I93">
        <f>IF(OR(I$4="",$A93&gt;TODAY()),0,IF(OR(INDEX($B93:$D93,I$5)="F",AND(I$6&gt;0,$A93&lt;I$6),AND(I$7&gt;0,$A93&gt;I$7)),0,MAX(0,ROUND((INDEX($E93:$G93,I$5)-SUMIFS(TF_Timer,TF_Tekniker,I$4,TF_Dato,$A93))*2,0)/2)))</f>
        <v/>
      </c>
      <c r="J93">
        <f>IF(OR(J$4="",$A93&gt;TODAY()),0,IF(OR(INDEX($B93:$D93,J$5)="F",AND(J$6&gt;0,$A93&lt;J$6),AND(J$7&gt;0,$A93&gt;J$7)),0,MAX(0,ROUND((INDEX($E93:$G93,J$5)-SUMIFS(TF_Timer,TF_Tekniker,J$4,TF_Dato,$A93))*2,0)/2)))</f>
        <v/>
      </c>
      <c r="K93">
        <f>IF(OR(K$4="",$A93&gt;TODAY()),0,IF(OR(INDEX($B93:$D93,K$5)="F",AND(K$6&gt;0,$A93&lt;K$6),AND(K$7&gt;0,$A93&gt;K$7)),0,MAX(0,ROUND((INDEX($E93:$G93,K$5)-SUMIFS(TF_Timer,TF_Tekniker,K$4,TF_Dato,$A93))*2,0)/2)))</f>
        <v/>
      </c>
      <c r="L93">
        <f>IF(OR(L$4="",$A93&gt;TODAY()),0,IF(OR(INDEX($B93:$D93,L$5)="F",AND(L$6&gt;0,$A93&lt;L$6),AND(L$7&gt;0,$A93&gt;L$7)),0,MAX(0,ROUND((INDEX($E93:$G93,L$5)-SUMIFS(TF_Timer,TF_Tekniker,L$4,TF_Dato,$A93))*2,0)/2)))</f>
        <v/>
      </c>
      <c r="M93">
        <f>IF(OR(M$4="",$A93&gt;TODAY()),0,IF(OR(INDEX($B93:$D93,M$5)="F",AND(M$6&gt;0,$A93&lt;M$6),AND(M$7&gt;0,$A93&gt;M$7)),0,MAX(0,ROUND((INDEX($E93:$G93,M$5)-SUMIFS(TF_Timer,TF_Tekniker,M$4,TF_Dato,$A93))*2,0)/2)))</f>
        <v/>
      </c>
      <c r="N93">
        <f>IF(OR(N$4="",$A93&gt;TODAY()),0,IF(OR(INDEX($B93:$D93,N$5)="F",AND(N$6&gt;0,$A93&lt;N$6),AND(N$7&gt;0,$A93&gt;N$7)),0,MAX(0,ROUND((INDEX($E93:$G93,N$5)-SUMIFS(TF_Timer,TF_Tekniker,N$4,TF_Dato,$A93))*2,0)/2)))</f>
        <v/>
      </c>
      <c r="O93">
        <f>IF(OR(O$4="",$A93&gt;TODAY()),0,IF(OR(INDEX($B93:$D93,O$5)="F",AND(O$6&gt;0,$A93&lt;O$6),AND(O$7&gt;0,$A93&gt;O$7)),0,MAX(0,ROUND((INDEX($E93:$G93,O$5)-SUMIFS(TF_Timer,TF_Tekniker,O$4,TF_Dato,$A93))*2,0)/2)))</f>
        <v/>
      </c>
      <c r="P93">
        <f>IF(OR(P$4="",$A93&gt;TODAY()),0,IF(OR(INDEX($B93:$D93,P$5)="F",AND(P$6&gt;0,$A93&lt;P$6),AND(P$7&gt;0,$A93&gt;P$7)),0,MAX(0,ROUND((INDEX($E93:$G93,P$5)-SUMIFS(TF_Timer,TF_Tekniker,P$4,TF_Dato,$A93))*2,0)/2)))</f>
        <v/>
      </c>
      <c r="Q93">
        <f>IF(OR(Q$4="",$A93&gt;TODAY()),0,IF(OR(INDEX($B93:$D93,Q$5)="F",AND(Q$6&gt;0,$A93&lt;Q$6),AND(Q$7&gt;0,$A93&gt;Q$7)),0,MAX(0,ROUND((INDEX($E93:$G93,Q$5)-SUMIFS(TF_Timer,TF_Tekniker,Q$4,TF_Dato,$A93))*2,0)/2)))</f>
        <v/>
      </c>
      <c r="R93">
        <f>IF(OR(R$4="",$A93&gt;TODAY()),0,IF(OR(INDEX($B93:$D93,R$5)="F",AND(R$6&gt;0,$A93&lt;R$6),AND(R$7&gt;0,$A93&gt;R$7)),0,MAX(0,ROUND((INDEX($E93:$G93,R$5)-SUMIFS(TF_Timer,TF_Tekniker,R$4,TF_Dato,$A93))*2,0)/2)))</f>
        <v/>
      </c>
      <c r="S93">
        <f>IF(OR(S$4="",$A93&gt;TODAY()),0,IF(OR(INDEX($B93:$D93,S$5)="F",AND(S$6&gt;0,$A93&lt;S$6),AND(S$7&gt;0,$A93&gt;S$7)),0,MAX(0,ROUND((INDEX($E93:$G93,S$5)-SUMIFS(TF_Timer,TF_Tekniker,S$4,TF_Dato,$A93))*2,0)/2)))</f>
        <v/>
      </c>
      <c r="T93">
        <f>IF(OR(T$4="",$A93&gt;TODAY()),0,IF(OR(INDEX($B93:$D93,T$5)="F",AND(T$6&gt;0,$A93&lt;T$6),AND(T$7&gt;0,$A93&gt;T$7)),0,MAX(0,ROUND((INDEX($E93:$G93,T$5)-SUMIFS(TF_Timer,TF_Tekniker,T$4,TF_Dato,$A93))*2,0)/2)))</f>
        <v/>
      </c>
      <c r="U93">
        <f>IF(OR(U$4="",$A93&gt;TODAY()),0,IF(OR(INDEX($B93:$D93,U$5)="F",AND(U$6&gt;0,$A93&lt;U$6),AND(U$7&gt;0,$A93&gt;U$7)),0,MAX(0,ROUND((INDEX($E93:$G93,U$5)-SUMIFS(TF_Timer,TF_Tekniker,U$4,TF_Dato,$A93))*2,0)/2)))</f>
        <v/>
      </c>
      <c r="V93">
        <f>IF(OR(V$4="",$A93&gt;TODAY()),0,IF(OR(INDEX($B93:$D93,V$5)="F",AND(V$6&gt;0,$A93&lt;V$6),AND(V$7&gt;0,$A93&gt;V$7)),0,MAX(0,ROUND((INDEX($E93:$G93,V$5)-SUMIFS(TF_Timer,TF_Tekniker,V$4,TF_Dato,$A93))*2,0)/2)))</f>
        <v/>
      </c>
      <c r="W93">
        <f>IF(OR(W$4="",$A93&gt;TODAY()),0,IF(OR(INDEX($B93:$D93,W$5)="F",AND(W$6&gt;0,$A93&lt;W$6),AND(W$7&gt;0,$A93&gt;W$7)),0,MAX(0,ROUND((INDEX($E93:$G93,W$5)-SUMIFS(TF_Timer,TF_Tekniker,W$4,TF_Dato,$A93))*2,0)/2)))</f>
        <v/>
      </c>
      <c r="X93">
        <f>IF(OR(X$4="",$A93&gt;TODAY()),0,IF(OR(INDEX($B93:$D93,X$5)="F",AND(X$6&gt;0,$A93&lt;X$6),AND(X$7&gt;0,$A93&gt;X$7)),0,MAX(0,ROUND((INDEX($E93:$G93,X$5)-SUMIFS(TF_Timer,TF_Tekniker,X$4,TF_Dato,$A93))*2,0)/2)))</f>
        <v/>
      </c>
      <c r="Y93">
        <f>IF(OR(Y$4="",$A93&gt;TODAY()),0,IF(OR(INDEX($B93:$D93,Y$5)="F",AND(Y$6&gt;0,$A93&lt;Y$6),AND(Y$7&gt;0,$A93&gt;Y$7)),0,MAX(0,ROUND((INDEX($E93:$G93,Y$5)-SUMIFS(TF_Timer,TF_Tekniker,Y$4,TF_Dato,$A93))*2,0)/2)))</f>
        <v/>
      </c>
      <c r="Z93">
        <f>IF(OR(Z$4="",$A93&gt;TODAY()),0,IF(OR(INDEX($B93:$D93,Z$5)="F",AND(Z$6&gt;0,$A93&lt;Z$6),AND(Z$7&gt;0,$A93&gt;Z$7)),0,MAX(0,ROUND((INDEX($E93:$G93,Z$5)-SUMIFS(TF_Timer,TF_Tekniker,Z$4,TF_Dato,$A93))*2,0)/2)))</f>
        <v/>
      </c>
      <c r="AA93">
        <f>IF(OR(AA$4="",$A93&gt;TODAY()),0,IF(OR(INDEX($B93:$D93,AA$5)="F",AND(AA$6&gt;0,$A93&lt;AA$6),AND(AA$7&gt;0,$A93&gt;AA$7)),0,MAX(0,ROUND((INDEX($E93:$G93,AA$5)-SUMIFS(TF_Timer,TF_Tekniker,AA$4,TF_Dato,$A93))*2,0)/2)))</f>
        <v/>
      </c>
      <c r="AB93">
        <f>IF(OR(AB$4="",$A93&gt;TODAY()),0,IF(OR(INDEX($B93:$D93,AB$5)="F",AND(AB$6&gt;0,$A93&lt;AB$6),AND(AB$7&gt;0,$A93&gt;AB$7)),0,MAX(0,ROUND((INDEX($E93:$G93,AB$5)-SUMIFS(TF_Timer,TF_Tekniker,AB$4,TF_Dato,$A93))*2,0)/2)))</f>
        <v/>
      </c>
      <c r="AC93">
        <f>IF(OR(AC$4="",$A93&gt;TODAY()),0,IF(OR(INDEX($B93:$D93,AC$5)="F",AND(AC$6&gt;0,$A93&lt;AC$6),AND(AC$7&gt;0,$A93&gt;AC$7)),0,MAX(0,ROUND((INDEX($E93:$G93,AC$5)-SUMIFS(TF_Timer,TF_Tekniker,AC$4,TF_Dato,$A93))*2,0)/2)))</f>
        <v/>
      </c>
      <c r="AD93">
        <f>IF(OR(AD$4="",$A93&gt;TODAY()),0,IF(OR(INDEX($B93:$D93,AD$5)="F",AND(AD$6&gt;0,$A93&lt;AD$6),AND(AD$7&gt;0,$A93&gt;AD$7)),0,MAX(0,ROUND((INDEX($E93:$G93,AD$5)-SUMIFS(TF_Timer,TF_Tekniker,AD$4,TF_Dato,$A93))*2,0)/2)))</f>
        <v/>
      </c>
      <c r="AE93">
        <f>IF(OR(AE$4="",$A93&gt;TODAY()),0,IF(OR(INDEX($B93:$D93,AE$5)="F",AND(AE$6&gt;0,$A93&lt;AE$6),AND(AE$7&gt;0,$A93&gt;AE$7)),0,MAX(0,ROUND((INDEX($E93:$G93,AE$5)-SUMIFS(TF_Timer,TF_Tekniker,AE$4,TF_Dato,$A93))*2,0)/2)))</f>
        <v/>
      </c>
      <c r="AF93">
        <f>IF(OR(AF$4="",$A93&gt;TODAY()),0,IF(OR(INDEX($B93:$D93,AF$5)="F",AND(AF$6&gt;0,$A93&lt;AF$6),AND(AF$7&gt;0,$A93&gt;AF$7)),0,MAX(0,ROUND((INDEX($E93:$G93,AF$5)-SUMIFS(TF_Timer,TF_Tekniker,AF$4,TF_Dato,$A93))*2,0)/2)))</f>
        <v/>
      </c>
      <c r="AG93">
        <f>IF(OR(AG$4="",$A93&gt;TODAY()),0,IF(OR(INDEX($B93:$D93,AG$5)="F",AND(AG$6&gt;0,$A93&lt;AG$6),AND(AG$7&gt;0,$A93&gt;AG$7)),0,MAX(0,ROUND((INDEX($E93:$G93,AG$5)-SUMIFS(TF_Timer,TF_Tekniker,AG$4,TF_Dato,$A93))*2,0)/2)))</f>
        <v/>
      </c>
      <c r="AH93">
        <f>IF(OR(AH$4="",$A93&gt;TODAY()),0,IF(OR(INDEX($B93:$D93,AH$5)="F",AND(AH$6&gt;0,$A93&lt;AH$6),AND(AH$7&gt;0,$A93&gt;AH$7)),0,MAX(0,ROUND((INDEX($E93:$G93,AH$5)-SUMIFS(TF_Timer,TF_Tekniker,AH$4,TF_Dato,$A93))*2,0)/2)))</f>
        <v/>
      </c>
      <c r="AI93">
        <f>IF(OR(AI$4="",$A93&gt;TODAY()),0,IF(OR(INDEX($B93:$D93,AI$5)="F",AND(AI$6&gt;0,$A93&lt;AI$6),AND(AI$7&gt;0,$A93&gt;AI$7)),0,MAX(0,ROUND((INDEX($E93:$G93,AI$5)-SUMIFS(TF_Timer,TF_Tekniker,AI$4,TF_Dato,$A93))*2,0)/2)))</f>
        <v/>
      </c>
      <c r="AJ93">
        <f>IF(OR(AJ$4="",$A93&gt;TODAY()),0,IF(OR(INDEX($B93:$D93,AJ$5)="F",AND(AJ$6&gt;0,$A93&lt;AJ$6),AND(AJ$7&gt;0,$A93&gt;AJ$7)),0,MAX(0,ROUND((INDEX($E93:$G93,AJ$5)-SUMIFS(TF_Timer,TF_Tekniker,AJ$4,TF_Dato,$A93))*2,0)/2)))</f>
        <v/>
      </c>
      <c r="AK93">
        <f>IF(OR(AK$4="",$A93&gt;TODAY()),0,IF(OR(INDEX($B93:$D93,AK$5)="F",AND(AK$6&gt;0,$A93&lt;AK$6),AND(AK$7&gt;0,$A93&gt;AK$7)),0,MAX(0,ROUND((INDEX($E93:$G93,AK$5)-SUMIFS(TF_Timer,TF_Tekniker,AK$4,TF_Dato,$A93))*2,0)/2)))</f>
        <v/>
      </c>
      <c r="AL93">
        <f>IF(OR(AL$4="",$A93&gt;TODAY()),0,IF(OR(INDEX($B93:$D93,AL$5)="F",AND(AL$6&gt;0,$A93&lt;AL$6),AND(AL$7&gt;0,$A93&gt;AL$7)),0,MAX(0,ROUND((INDEX($E93:$G93,AL$5)-SUMIFS(TF_Timer,TF_Tekniker,AL$4,TF_Dato,$A93))*2,0)/2)))</f>
        <v/>
      </c>
      <c r="AM93">
        <f>IF(OR(AM$4="",$A93&gt;TODAY()),0,IF(OR(INDEX($B93:$D93,AM$5)="F",AND(AM$6&gt;0,$A93&lt;AM$6),AND(AM$7&gt;0,$A93&gt;AM$7)),0,MAX(0,ROUND((INDEX($E93:$G93,AM$5)-SUMIFS(TF_Timer,TF_Tekniker,AM$4,TF_Dato,$A93))*2,0)/2)))</f>
        <v/>
      </c>
      <c r="AN93">
        <f>IF(OR(AN$4="",$A93&gt;TODAY()),0,IF(OR(INDEX($B93:$D93,AN$5)="F",AND(AN$6&gt;0,$A93&lt;AN$6),AND(AN$7&gt;0,$A93&gt;AN$7)),0,MAX(0,ROUND((INDEX($E93:$G93,AN$5)-SUMIFS(TF_Timer,TF_Tekniker,AN$4,TF_Dato,$A93))*2,0)/2)))</f>
        <v/>
      </c>
      <c r="AO93">
        <f>IF(OR(AO$4="",$A93&gt;TODAY()),0,IF(OR(INDEX($B93:$D93,AO$5)="F",AND(AO$6&gt;0,$A93&lt;AO$6),AND(AO$7&gt;0,$A93&gt;AO$7)),0,MAX(0,ROUND((INDEX($E93:$G93,AO$5)-SUMIFS(TF_Timer,TF_Tekniker,AO$4,TF_Dato,$A93))*2,0)/2)))</f>
        <v/>
      </c>
      <c r="AP93">
        <f>IF(OR(AP$4="",$A93&gt;TODAY()),0,IF(OR(INDEX($B93:$D93,AP$5)="F",AND(AP$6&gt;0,$A93&lt;AP$6),AND(AP$7&gt;0,$A93&gt;AP$7)),0,MAX(0,ROUND((INDEX($E93:$G93,AP$5)-SUMIFS(TF_Timer,TF_Tekniker,AP$4,TF_Dato,$A93))*2,0)/2)))</f>
        <v/>
      </c>
      <c r="AQ93">
        <f>IF(OR(AQ$4="",$A93&gt;TODAY()),0,IF(OR(INDEX($B93:$D93,AQ$5)="F",AND(AQ$6&gt;0,$A93&lt;AQ$6),AND(AQ$7&gt;0,$A93&gt;AQ$7)),0,MAX(0,ROUND((INDEX($E93:$G93,AQ$5)-SUMIFS(TF_Timer,TF_Tekniker,AQ$4,TF_Dato,$A93))*2,0)/2)))</f>
        <v/>
      </c>
      <c r="AR93">
        <f>IF(OR(AR$4="",$A93&gt;TODAY()),0,IF(OR(INDEX($B93:$D93,AR$5)="F",AND(AR$6&gt;0,$A93&lt;AR$6),AND(AR$7&gt;0,$A93&gt;AR$7)),0,MAX(0,ROUND((INDEX($E93:$G93,AR$5)-SUMIFS(TF_Timer,TF_Tekniker,AR$4,TF_Dato,$A93))*2,0)/2)))</f>
        <v/>
      </c>
      <c r="AS93">
        <f>IF(OR(AS$4="",$A93&gt;TODAY()),0,IF(OR(INDEX($B93:$D93,AS$5)="F",AND(AS$6&gt;0,$A93&lt;AS$6),AND(AS$7&gt;0,$A93&gt;AS$7)),0,MAX(0,ROUND((INDEX($E93:$G93,AS$5)-SUMIFS(TF_Timer,TF_Tekniker,AS$4,TF_Dato,$A93))*2,0)/2)))</f>
        <v/>
      </c>
      <c r="AT93">
        <f>IF(OR(AT$4="",$A93&gt;TODAY()),0,IF(OR(INDEX($B93:$D93,AT$5)="F",AND(AT$6&gt;0,$A93&lt;AT$6),AND(AT$7&gt;0,$A93&gt;AT$7)),0,MAX(0,ROUND((INDEX($E93:$G93,AT$5)-SUMIFS(TF_Timer,TF_Tekniker,AT$4,TF_Dato,$A93))*2,0)/2)))</f>
        <v/>
      </c>
      <c r="AU93">
        <f>IF(OR(AU$4="",$A93&gt;TODAY()),0,IF(OR(INDEX($B93:$D93,AU$5)="F",AND(AU$6&gt;0,$A93&lt;AU$6),AND(AU$7&gt;0,$A93&gt;AU$7)),0,MAX(0,ROUND((INDEX($E93:$G93,AU$5)-SUMIFS(TF_Timer,TF_Tekniker,AU$4,TF_Dato,$A93))*2,0)/2)))</f>
        <v/>
      </c>
      <c r="AV93">
        <f>IF(OR(AV$4="",$A93&gt;TODAY()),0,IF(OR(INDEX($B93:$D93,AV$5)="F",AND(AV$6&gt;0,$A93&lt;AV$6),AND(AV$7&gt;0,$A93&gt;AV$7)),0,MAX(0,ROUND((INDEX($E93:$G93,AV$5)-SUMIFS(TF_Timer,TF_Tekniker,AV$4,TF_Dato,$A93))*2,0)/2)))</f>
        <v/>
      </c>
      <c r="AW93">
        <f>IF(OR(AW$4="",$A93&gt;TODAY()),0,IF(OR(INDEX($B93:$D93,AW$5)="F",AND(AW$6&gt;0,$A93&lt;AW$6),AND(AW$7&gt;0,$A93&gt;AW$7)),0,MAX(0,ROUND((INDEX($E93:$G93,AW$5)-SUMIFS(TF_Timer,TF_Tekniker,AW$4,TF_Dato,$A93))*2,0)/2)))</f>
        <v/>
      </c>
      <c r="AX93">
        <f>IF(OR(AX$4="",$A93&gt;TODAY()),0,IF(OR(INDEX($B93:$D93,AX$5)="F",AND(AX$6&gt;0,$A93&lt;AX$6),AND(AX$7&gt;0,$A93&gt;AX$7)),0,MAX(0,ROUND((INDEX($E93:$G93,AX$5)-SUMIFS(TF_Timer,TF_Tekniker,AX$4,TF_Dato,$A93))*2,0)/2)))</f>
        <v/>
      </c>
      <c r="AY93">
        <f>IF(OR(AY$4="",$A93&gt;TODAY()),0,IF(OR(INDEX($B93:$D93,AY$5)="F",AND(AY$6&gt;0,$A93&lt;AY$6),AND(AY$7&gt;0,$A93&gt;AY$7)),0,MAX(0,ROUND((INDEX($E93:$G93,AY$5)-SUMIFS(TF_Timer,TF_Tekniker,AY$4,TF_Dato,$A93))*2,0)/2)))</f>
        <v/>
      </c>
      <c r="AZ93">
        <f>IF(OR(AZ$4="",$A93&gt;TODAY()),0,IF(OR(INDEX($B93:$D93,AZ$5)="F",AND(AZ$6&gt;0,$A93&lt;AZ$6),AND(AZ$7&gt;0,$A93&gt;AZ$7)),0,MAX(0,ROUND((INDEX($E93:$G93,AZ$5)-SUMIFS(TF_Timer,TF_Tekniker,AZ$4,TF_Dato,$A93))*2,0)/2)))</f>
        <v/>
      </c>
      <c r="BA93">
        <f>IF(OR(BA$4="",$A93&gt;TODAY()),0,IF(OR(INDEX($B93:$D93,BA$5)="F",AND(BA$6&gt;0,$A93&lt;BA$6),AND(BA$7&gt;0,$A93&gt;BA$7)),0,MAX(0,ROUND((INDEX($E93:$G93,BA$5)-SUMIFS(TF_Timer,TF_Tekniker,BA$4,TF_Dato,$A93))*2,0)/2)))</f>
        <v/>
      </c>
      <c r="BB93">
        <f>IF(OR(BB$4="",$A93&gt;TODAY()),0,IF(OR(INDEX($B93:$D93,BB$5)="F",AND(BB$6&gt;0,$A93&lt;BB$6),AND(BB$7&gt;0,$A93&gt;BB$7)),0,MAX(0,ROUND((INDEX($E93:$G93,BB$5)-SUMIFS(TF_Timer,TF_Tekniker,BB$4,TF_Dato,$A93))*2,0)/2)))</f>
        <v/>
      </c>
      <c r="BC93">
        <f>IF(OR(BC$4="",$A93&gt;TODAY()),0,IF(OR(INDEX($B93:$D93,BC$5)="F",AND(BC$6&gt;0,$A93&lt;BC$6),AND(BC$7&gt;0,$A93&gt;BC$7)),0,MAX(0,ROUND((INDEX($E93:$G93,BC$5)-SUMIFS(TF_Timer,TF_Tekniker,BC$4,TF_Dato,$A93))*2,0)/2)))</f>
        <v/>
      </c>
      <c r="BD93">
        <f>IF(OR(BD$4="",$A93&gt;TODAY()),0,IF(OR(INDEX($B93:$D93,BD$5)="F",AND(BD$6&gt;0,$A93&lt;BD$6),AND(BD$7&gt;0,$A93&gt;BD$7)),0,MAX(0,ROUND((INDEX($E93:$G93,BD$5)-SUMIFS(TF_Timer,TF_Tekniker,BD$4,TF_Dato,$A93))*2,0)/2)))</f>
        <v/>
      </c>
      <c r="BE93">
        <f>IF(OR(BE$4="",$A93&gt;TODAY()),0,IF(OR(INDEX($B93:$D93,BE$5)="F",AND(BE$6&gt;0,$A93&lt;BE$6),AND(BE$7&gt;0,$A93&gt;BE$7)),0,MAX(0,ROUND((INDEX($E93:$G93,BE$5)-SUMIFS(TF_Timer,TF_Tekniker,BE$4,TF_Dato,$A93))*2,0)/2)))</f>
        <v/>
      </c>
      <c r="BF93">
        <f>IF(OR(BF$4="",$A93&gt;TODAY()),0,IF(OR(INDEX($B93:$D93,BF$5)="F",AND(BF$6&gt;0,$A93&lt;BF$6),AND(BF$7&gt;0,$A93&gt;BF$7)),0,MAX(0,ROUND((INDEX($E93:$G93,BF$5)-SUMIFS(TF_Timer,TF_Tekniker,BF$4,TF_Dato,$A93))*2,0)/2)))</f>
        <v/>
      </c>
      <c r="BG93">
        <f>IF(OR(BG$4="",$A93&gt;TODAY()),0,IF(OR(INDEX($B93:$D93,BG$5)="F",AND(BG$6&gt;0,$A93&lt;BG$6),AND(BG$7&gt;0,$A93&gt;BG$7)),0,MAX(0,ROUND((INDEX($E93:$G93,BG$5)-SUMIFS(TF_Timer,TF_Tekniker,BG$4,TF_Dato,$A93))*2,0)/2)))</f>
        <v/>
      </c>
      <c r="BH93">
        <f>IF(OR(BH$4="",$A93&gt;TODAY()),0,IF(OR(INDEX($B93:$D93,BH$5)="F",AND(BH$6&gt;0,$A93&lt;BH$6),AND(BH$7&gt;0,$A93&gt;BH$7)),0,MAX(0,ROUND((INDEX($E93:$G93,BH$5)-SUMIFS(TF_Timer,TF_Tekniker,BH$4,TF_Dato,$A93))*2,0)/2)))</f>
        <v/>
      </c>
      <c r="BI93">
        <f>IF(OR(BI$4="",$A93&gt;TODAY()),0,IF(OR(INDEX($B93:$D93,BI$5)="F",AND(BI$6&gt;0,$A93&lt;BI$6),AND(BI$7&gt;0,$A93&gt;BI$7)),0,MAX(0,ROUND((INDEX($E93:$G93,BI$5)-SUMIFS(TF_Timer,TF_Tekniker,BI$4,TF_Dato,$A93))*2,0)/2)))</f>
        <v/>
      </c>
    </row>
    <row r="94">
      <c r="A94" s="64">
        <f>A93+1</f>
        <v/>
      </c>
      <c r="B94">
        <f>IF(MOD($A94-INDEX(SkiftStart,1),Syklus)&lt;DagK,"K",IF(MOD($A94-INDEX(SkiftStart,1),Syklus)&lt;DagK+DagH,"H",IF(MOD($A94-INDEX(SkiftStart,1),Syklus)&lt;DagK+DagH+DagD,"D","F")))</f>
        <v/>
      </c>
      <c r="C94">
        <f>IF(MOD($A94-INDEX(SkiftStart,2),Syklus)&lt;DagK,"K",IF(MOD($A94-INDEX(SkiftStart,2),Syklus)&lt;DagK+DagH,"H",IF(MOD($A94-INDEX(SkiftStart,2),Syklus)&lt;DagK+DagH+DagD,"D","F")))</f>
        <v/>
      </c>
      <c r="D94">
        <f>IF(MOD($A94-INDEX(SkiftStart,3),Syklus)&lt;DagK,"K",IF(MOD($A94-INDEX(SkiftStart,3),Syklus)&lt;DagK+DagH,"H",IF(MOD($A94-INDEX(SkiftStart,3),Syklus)&lt;DagK+DagH+DagD,"D","F")))</f>
        <v/>
      </c>
      <c r="E94">
        <f>IF(B94="F",0,IF(WEEKDAY($A94,2)=5,INDEX(TimerFr,MATCH(B94,FaseKode,0)),INDEX(TimerMT,MATCH(B94,FaseKode,0))))</f>
        <v/>
      </c>
      <c r="F94">
        <f>IF(C94="F",0,IF(WEEKDAY($A94,2)=5,INDEX(TimerFr,MATCH(C94,FaseKode,0)),INDEX(TimerMT,MATCH(C94,FaseKode,0))))</f>
        <v/>
      </c>
      <c r="G94">
        <f>IF(D94="F",0,IF(WEEKDAY($A94,2)=5,INDEX(TimerFr,MATCH(D94,FaseKode,0)),INDEX(TimerMT,MATCH(D94,FaseKode,0))))</f>
        <v/>
      </c>
      <c r="H94">
        <f>IF(OR(H$4="",$A94&gt;TODAY()),0,IF(OR(INDEX($B94:$D94,H$5)="F",AND(H$6&gt;0,$A94&lt;H$6),AND(H$7&gt;0,$A94&gt;H$7)),0,MAX(0,ROUND((INDEX($E94:$G94,H$5)-SUMIFS(TF_Timer,TF_Tekniker,H$4,TF_Dato,$A94))*2,0)/2)))</f>
        <v/>
      </c>
      <c r="I94">
        <f>IF(OR(I$4="",$A94&gt;TODAY()),0,IF(OR(INDEX($B94:$D94,I$5)="F",AND(I$6&gt;0,$A94&lt;I$6),AND(I$7&gt;0,$A94&gt;I$7)),0,MAX(0,ROUND((INDEX($E94:$G94,I$5)-SUMIFS(TF_Timer,TF_Tekniker,I$4,TF_Dato,$A94))*2,0)/2)))</f>
        <v/>
      </c>
      <c r="J94">
        <f>IF(OR(J$4="",$A94&gt;TODAY()),0,IF(OR(INDEX($B94:$D94,J$5)="F",AND(J$6&gt;0,$A94&lt;J$6),AND(J$7&gt;0,$A94&gt;J$7)),0,MAX(0,ROUND((INDEX($E94:$G94,J$5)-SUMIFS(TF_Timer,TF_Tekniker,J$4,TF_Dato,$A94))*2,0)/2)))</f>
        <v/>
      </c>
      <c r="K94">
        <f>IF(OR(K$4="",$A94&gt;TODAY()),0,IF(OR(INDEX($B94:$D94,K$5)="F",AND(K$6&gt;0,$A94&lt;K$6),AND(K$7&gt;0,$A94&gt;K$7)),0,MAX(0,ROUND((INDEX($E94:$G94,K$5)-SUMIFS(TF_Timer,TF_Tekniker,K$4,TF_Dato,$A94))*2,0)/2)))</f>
        <v/>
      </c>
      <c r="L94">
        <f>IF(OR(L$4="",$A94&gt;TODAY()),0,IF(OR(INDEX($B94:$D94,L$5)="F",AND(L$6&gt;0,$A94&lt;L$6),AND(L$7&gt;0,$A94&gt;L$7)),0,MAX(0,ROUND((INDEX($E94:$G94,L$5)-SUMIFS(TF_Timer,TF_Tekniker,L$4,TF_Dato,$A94))*2,0)/2)))</f>
        <v/>
      </c>
      <c r="M94">
        <f>IF(OR(M$4="",$A94&gt;TODAY()),0,IF(OR(INDEX($B94:$D94,M$5)="F",AND(M$6&gt;0,$A94&lt;M$6),AND(M$7&gt;0,$A94&gt;M$7)),0,MAX(0,ROUND((INDEX($E94:$G94,M$5)-SUMIFS(TF_Timer,TF_Tekniker,M$4,TF_Dato,$A94))*2,0)/2)))</f>
        <v/>
      </c>
      <c r="N94">
        <f>IF(OR(N$4="",$A94&gt;TODAY()),0,IF(OR(INDEX($B94:$D94,N$5)="F",AND(N$6&gt;0,$A94&lt;N$6),AND(N$7&gt;0,$A94&gt;N$7)),0,MAX(0,ROUND((INDEX($E94:$G94,N$5)-SUMIFS(TF_Timer,TF_Tekniker,N$4,TF_Dato,$A94))*2,0)/2)))</f>
        <v/>
      </c>
      <c r="O94">
        <f>IF(OR(O$4="",$A94&gt;TODAY()),0,IF(OR(INDEX($B94:$D94,O$5)="F",AND(O$6&gt;0,$A94&lt;O$6),AND(O$7&gt;0,$A94&gt;O$7)),0,MAX(0,ROUND((INDEX($E94:$G94,O$5)-SUMIFS(TF_Timer,TF_Tekniker,O$4,TF_Dato,$A94))*2,0)/2)))</f>
        <v/>
      </c>
      <c r="P94">
        <f>IF(OR(P$4="",$A94&gt;TODAY()),0,IF(OR(INDEX($B94:$D94,P$5)="F",AND(P$6&gt;0,$A94&lt;P$6),AND(P$7&gt;0,$A94&gt;P$7)),0,MAX(0,ROUND((INDEX($E94:$G94,P$5)-SUMIFS(TF_Timer,TF_Tekniker,P$4,TF_Dato,$A94))*2,0)/2)))</f>
        <v/>
      </c>
      <c r="Q94">
        <f>IF(OR(Q$4="",$A94&gt;TODAY()),0,IF(OR(INDEX($B94:$D94,Q$5)="F",AND(Q$6&gt;0,$A94&lt;Q$6),AND(Q$7&gt;0,$A94&gt;Q$7)),0,MAX(0,ROUND((INDEX($E94:$G94,Q$5)-SUMIFS(TF_Timer,TF_Tekniker,Q$4,TF_Dato,$A94))*2,0)/2)))</f>
        <v/>
      </c>
      <c r="R94">
        <f>IF(OR(R$4="",$A94&gt;TODAY()),0,IF(OR(INDEX($B94:$D94,R$5)="F",AND(R$6&gt;0,$A94&lt;R$6),AND(R$7&gt;0,$A94&gt;R$7)),0,MAX(0,ROUND((INDEX($E94:$G94,R$5)-SUMIFS(TF_Timer,TF_Tekniker,R$4,TF_Dato,$A94))*2,0)/2)))</f>
        <v/>
      </c>
      <c r="S94">
        <f>IF(OR(S$4="",$A94&gt;TODAY()),0,IF(OR(INDEX($B94:$D94,S$5)="F",AND(S$6&gt;0,$A94&lt;S$6),AND(S$7&gt;0,$A94&gt;S$7)),0,MAX(0,ROUND((INDEX($E94:$G94,S$5)-SUMIFS(TF_Timer,TF_Tekniker,S$4,TF_Dato,$A94))*2,0)/2)))</f>
        <v/>
      </c>
      <c r="T94">
        <f>IF(OR(T$4="",$A94&gt;TODAY()),0,IF(OR(INDEX($B94:$D94,T$5)="F",AND(T$6&gt;0,$A94&lt;T$6),AND(T$7&gt;0,$A94&gt;T$7)),0,MAX(0,ROUND((INDEX($E94:$G94,T$5)-SUMIFS(TF_Timer,TF_Tekniker,T$4,TF_Dato,$A94))*2,0)/2)))</f>
        <v/>
      </c>
      <c r="U94">
        <f>IF(OR(U$4="",$A94&gt;TODAY()),0,IF(OR(INDEX($B94:$D94,U$5)="F",AND(U$6&gt;0,$A94&lt;U$6),AND(U$7&gt;0,$A94&gt;U$7)),0,MAX(0,ROUND((INDEX($E94:$G94,U$5)-SUMIFS(TF_Timer,TF_Tekniker,U$4,TF_Dato,$A94))*2,0)/2)))</f>
        <v/>
      </c>
      <c r="V94">
        <f>IF(OR(V$4="",$A94&gt;TODAY()),0,IF(OR(INDEX($B94:$D94,V$5)="F",AND(V$6&gt;0,$A94&lt;V$6),AND(V$7&gt;0,$A94&gt;V$7)),0,MAX(0,ROUND((INDEX($E94:$G94,V$5)-SUMIFS(TF_Timer,TF_Tekniker,V$4,TF_Dato,$A94))*2,0)/2)))</f>
        <v/>
      </c>
      <c r="W94">
        <f>IF(OR(W$4="",$A94&gt;TODAY()),0,IF(OR(INDEX($B94:$D94,W$5)="F",AND(W$6&gt;0,$A94&lt;W$6),AND(W$7&gt;0,$A94&gt;W$7)),0,MAX(0,ROUND((INDEX($E94:$G94,W$5)-SUMIFS(TF_Timer,TF_Tekniker,W$4,TF_Dato,$A94))*2,0)/2)))</f>
        <v/>
      </c>
      <c r="X94">
        <f>IF(OR(X$4="",$A94&gt;TODAY()),0,IF(OR(INDEX($B94:$D94,X$5)="F",AND(X$6&gt;0,$A94&lt;X$6),AND(X$7&gt;0,$A94&gt;X$7)),0,MAX(0,ROUND((INDEX($E94:$G94,X$5)-SUMIFS(TF_Timer,TF_Tekniker,X$4,TF_Dato,$A94))*2,0)/2)))</f>
        <v/>
      </c>
      <c r="Y94">
        <f>IF(OR(Y$4="",$A94&gt;TODAY()),0,IF(OR(INDEX($B94:$D94,Y$5)="F",AND(Y$6&gt;0,$A94&lt;Y$6),AND(Y$7&gt;0,$A94&gt;Y$7)),0,MAX(0,ROUND((INDEX($E94:$G94,Y$5)-SUMIFS(TF_Timer,TF_Tekniker,Y$4,TF_Dato,$A94))*2,0)/2)))</f>
        <v/>
      </c>
      <c r="Z94">
        <f>IF(OR(Z$4="",$A94&gt;TODAY()),0,IF(OR(INDEX($B94:$D94,Z$5)="F",AND(Z$6&gt;0,$A94&lt;Z$6),AND(Z$7&gt;0,$A94&gt;Z$7)),0,MAX(0,ROUND((INDEX($E94:$G94,Z$5)-SUMIFS(TF_Timer,TF_Tekniker,Z$4,TF_Dato,$A94))*2,0)/2)))</f>
        <v/>
      </c>
      <c r="AA94">
        <f>IF(OR(AA$4="",$A94&gt;TODAY()),0,IF(OR(INDEX($B94:$D94,AA$5)="F",AND(AA$6&gt;0,$A94&lt;AA$6),AND(AA$7&gt;0,$A94&gt;AA$7)),0,MAX(0,ROUND((INDEX($E94:$G94,AA$5)-SUMIFS(TF_Timer,TF_Tekniker,AA$4,TF_Dato,$A94))*2,0)/2)))</f>
        <v/>
      </c>
      <c r="AB94">
        <f>IF(OR(AB$4="",$A94&gt;TODAY()),0,IF(OR(INDEX($B94:$D94,AB$5)="F",AND(AB$6&gt;0,$A94&lt;AB$6),AND(AB$7&gt;0,$A94&gt;AB$7)),0,MAX(0,ROUND((INDEX($E94:$G94,AB$5)-SUMIFS(TF_Timer,TF_Tekniker,AB$4,TF_Dato,$A94))*2,0)/2)))</f>
        <v/>
      </c>
      <c r="AC94">
        <f>IF(OR(AC$4="",$A94&gt;TODAY()),0,IF(OR(INDEX($B94:$D94,AC$5)="F",AND(AC$6&gt;0,$A94&lt;AC$6),AND(AC$7&gt;0,$A94&gt;AC$7)),0,MAX(0,ROUND((INDEX($E94:$G94,AC$5)-SUMIFS(TF_Timer,TF_Tekniker,AC$4,TF_Dato,$A94))*2,0)/2)))</f>
        <v/>
      </c>
      <c r="AD94">
        <f>IF(OR(AD$4="",$A94&gt;TODAY()),0,IF(OR(INDEX($B94:$D94,AD$5)="F",AND(AD$6&gt;0,$A94&lt;AD$6),AND(AD$7&gt;0,$A94&gt;AD$7)),0,MAX(0,ROUND((INDEX($E94:$G94,AD$5)-SUMIFS(TF_Timer,TF_Tekniker,AD$4,TF_Dato,$A94))*2,0)/2)))</f>
        <v/>
      </c>
      <c r="AE94">
        <f>IF(OR(AE$4="",$A94&gt;TODAY()),0,IF(OR(INDEX($B94:$D94,AE$5)="F",AND(AE$6&gt;0,$A94&lt;AE$6),AND(AE$7&gt;0,$A94&gt;AE$7)),0,MAX(0,ROUND((INDEX($E94:$G94,AE$5)-SUMIFS(TF_Timer,TF_Tekniker,AE$4,TF_Dato,$A94))*2,0)/2)))</f>
        <v/>
      </c>
      <c r="AF94">
        <f>IF(OR(AF$4="",$A94&gt;TODAY()),0,IF(OR(INDEX($B94:$D94,AF$5)="F",AND(AF$6&gt;0,$A94&lt;AF$6),AND(AF$7&gt;0,$A94&gt;AF$7)),0,MAX(0,ROUND((INDEX($E94:$G94,AF$5)-SUMIFS(TF_Timer,TF_Tekniker,AF$4,TF_Dato,$A94))*2,0)/2)))</f>
        <v/>
      </c>
      <c r="AG94">
        <f>IF(OR(AG$4="",$A94&gt;TODAY()),0,IF(OR(INDEX($B94:$D94,AG$5)="F",AND(AG$6&gt;0,$A94&lt;AG$6),AND(AG$7&gt;0,$A94&gt;AG$7)),0,MAX(0,ROUND((INDEX($E94:$G94,AG$5)-SUMIFS(TF_Timer,TF_Tekniker,AG$4,TF_Dato,$A94))*2,0)/2)))</f>
        <v/>
      </c>
      <c r="AH94">
        <f>IF(OR(AH$4="",$A94&gt;TODAY()),0,IF(OR(INDEX($B94:$D94,AH$5)="F",AND(AH$6&gt;0,$A94&lt;AH$6),AND(AH$7&gt;0,$A94&gt;AH$7)),0,MAX(0,ROUND((INDEX($E94:$G94,AH$5)-SUMIFS(TF_Timer,TF_Tekniker,AH$4,TF_Dato,$A94))*2,0)/2)))</f>
        <v/>
      </c>
      <c r="AI94">
        <f>IF(OR(AI$4="",$A94&gt;TODAY()),0,IF(OR(INDEX($B94:$D94,AI$5)="F",AND(AI$6&gt;0,$A94&lt;AI$6),AND(AI$7&gt;0,$A94&gt;AI$7)),0,MAX(0,ROUND((INDEX($E94:$G94,AI$5)-SUMIFS(TF_Timer,TF_Tekniker,AI$4,TF_Dato,$A94))*2,0)/2)))</f>
        <v/>
      </c>
      <c r="AJ94">
        <f>IF(OR(AJ$4="",$A94&gt;TODAY()),0,IF(OR(INDEX($B94:$D94,AJ$5)="F",AND(AJ$6&gt;0,$A94&lt;AJ$6),AND(AJ$7&gt;0,$A94&gt;AJ$7)),0,MAX(0,ROUND((INDEX($E94:$G94,AJ$5)-SUMIFS(TF_Timer,TF_Tekniker,AJ$4,TF_Dato,$A94))*2,0)/2)))</f>
        <v/>
      </c>
      <c r="AK94">
        <f>IF(OR(AK$4="",$A94&gt;TODAY()),0,IF(OR(INDEX($B94:$D94,AK$5)="F",AND(AK$6&gt;0,$A94&lt;AK$6),AND(AK$7&gt;0,$A94&gt;AK$7)),0,MAX(0,ROUND((INDEX($E94:$G94,AK$5)-SUMIFS(TF_Timer,TF_Tekniker,AK$4,TF_Dato,$A94))*2,0)/2)))</f>
        <v/>
      </c>
      <c r="AL94">
        <f>IF(OR(AL$4="",$A94&gt;TODAY()),0,IF(OR(INDEX($B94:$D94,AL$5)="F",AND(AL$6&gt;0,$A94&lt;AL$6),AND(AL$7&gt;0,$A94&gt;AL$7)),0,MAX(0,ROUND((INDEX($E94:$G94,AL$5)-SUMIFS(TF_Timer,TF_Tekniker,AL$4,TF_Dato,$A94))*2,0)/2)))</f>
        <v/>
      </c>
      <c r="AM94">
        <f>IF(OR(AM$4="",$A94&gt;TODAY()),0,IF(OR(INDEX($B94:$D94,AM$5)="F",AND(AM$6&gt;0,$A94&lt;AM$6),AND(AM$7&gt;0,$A94&gt;AM$7)),0,MAX(0,ROUND((INDEX($E94:$G94,AM$5)-SUMIFS(TF_Timer,TF_Tekniker,AM$4,TF_Dato,$A94))*2,0)/2)))</f>
        <v/>
      </c>
      <c r="AN94">
        <f>IF(OR(AN$4="",$A94&gt;TODAY()),0,IF(OR(INDEX($B94:$D94,AN$5)="F",AND(AN$6&gt;0,$A94&lt;AN$6),AND(AN$7&gt;0,$A94&gt;AN$7)),0,MAX(0,ROUND((INDEX($E94:$G94,AN$5)-SUMIFS(TF_Timer,TF_Tekniker,AN$4,TF_Dato,$A94))*2,0)/2)))</f>
        <v/>
      </c>
      <c r="AO94">
        <f>IF(OR(AO$4="",$A94&gt;TODAY()),0,IF(OR(INDEX($B94:$D94,AO$5)="F",AND(AO$6&gt;0,$A94&lt;AO$6),AND(AO$7&gt;0,$A94&gt;AO$7)),0,MAX(0,ROUND((INDEX($E94:$G94,AO$5)-SUMIFS(TF_Timer,TF_Tekniker,AO$4,TF_Dato,$A94))*2,0)/2)))</f>
        <v/>
      </c>
      <c r="AP94">
        <f>IF(OR(AP$4="",$A94&gt;TODAY()),0,IF(OR(INDEX($B94:$D94,AP$5)="F",AND(AP$6&gt;0,$A94&lt;AP$6),AND(AP$7&gt;0,$A94&gt;AP$7)),0,MAX(0,ROUND((INDEX($E94:$G94,AP$5)-SUMIFS(TF_Timer,TF_Tekniker,AP$4,TF_Dato,$A94))*2,0)/2)))</f>
        <v/>
      </c>
      <c r="AQ94">
        <f>IF(OR(AQ$4="",$A94&gt;TODAY()),0,IF(OR(INDEX($B94:$D94,AQ$5)="F",AND(AQ$6&gt;0,$A94&lt;AQ$6),AND(AQ$7&gt;0,$A94&gt;AQ$7)),0,MAX(0,ROUND((INDEX($E94:$G94,AQ$5)-SUMIFS(TF_Timer,TF_Tekniker,AQ$4,TF_Dato,$A94))*2,0)/2)))</f>
        <v/>
      </c>
      <c r="AR94">
        <f>IF(OR(AR$4="",$A94&gt;TODAY()),0,IF(OR(INDEX($B94:$D94,AR$5)="F",AND(AR$6&gt;0,$A94&lt;AR$6),AND(AR$7&gt;0,$A94&gt;AR$7)),0,MAX(0,ROUND((INDEX($E94:$G94,AR$5)-SUMIFS(TF_Timer,TF_Tekniker,AR$4,TF_Dato,$A94))*2,0)/2)))</f>
        <v/>
      </c>
      <c r="AS94">
        <f>IF(OR(AS$4="",$A94&gt;TODAY()),0,IF(OR(INDEX($B94:$D94,AS$5)="F",AND(AS$6&gt;0,$A94&lt;AS$6),AND(AS$7&gt;0,$A94&gt;AS$7)),0,MAX(0,ROUND((INDEX($E94:$G94,AS$5)-SUMIFS(TF_Timer,TF_Tekniker,AS$4,TF_Dato,$A94))*2,0)/2)))</f>
        <v/>
      </c>
      <c r="AT94">
        <f>IF(OR(AT$4="",$A94&gt;TODAY()),0,IF(OR(INDEX($B94:$D94,AT$5)="F",AND(AT$6&gt;0,$A94&lt;AT$6),AND(AT$7&gt;0,$A94&gt;AT$7)),0,MAX(0,ROUND((INDEX($E94:$G94,AT$5)-SUMIFS(TF_Timer,TF_Tekniker,AT$4,TF_Dato,$A94))*2,0)/2)))</f>
        <v/>
      </c>
      <c r="AU94">
        <f>IF(OR(AU$4="",$A94&gt;TODAY()),0,IF(OR(INDEX($B94:$D94,AU$5)="F",AND(AU$6&gt;0,$A94&lt;AU$6),AND(AU$7&gt;0,$A94&gt;AU$7)),0,MAX(0,ROUND((INDEX($E94:$G94,AU$5)-SUMIFS(TF_Timer,TF_Tekniker,AU$4,TF_Dato,$A94))*2,0)/2)))</f>
        <v/>
      </c>
      <c r="AV94">
        <f>IF(OR(AV$4="",$A94&gt;TODAY()),0,IF(OR(INDEX($B94:$D94,AV$5)="F",AND(AV$6&gt;0,$A94&lt;AV$6),AND(AV$7&gt;0,$A94&gt;AV$7)),0,MAX(0,ROUND((INDEX($E94:$G94,AV$5)-SUMIFS(TF_Timer,TF_Tekniker,AV$4,TF_Dato,$A94))*2,0)/2)))</f>
        <v/>
      </c>
      <c r="AW94">
        <f>IF(OR(AW$4="",$A94&gt;TODAY()),0,IF(OR(INDEX($B94:$D94,AW$5)="F",AND(AW$6&gt;0,$A94&lt;AW$6),AND(AW$7&gt;0,$A94&gt;AW$7)),0,MAX(0,ROUND((INDEX($E94:$G94,AW$5)-SUMIFS(TF_Timer,TF_Tekniker,AW$4,TF_Dato,$A94))*2,0)/2)))</f>
        <v/>
      </c>
      <c r="AX94">
        <f>IF(OR(AX$4="",$A94&gt;TODAY()),0,IF(OR(INDEX($B94:$D94,AX$5)="F",AND(AX$6&gt;0,$A94&lt;AX$6),AND(AX$7&gt;0,$A94&gt;AX$7)),0,MAX(0,ROUND((INDEX($E94:$G94,AX$5)-SUMIFS(TF_Timer,TF_Tekniker,AX$4,TF_Dato,$A94))*2,0)/2)))</f>
        <v/>
      </c>
      <c r="AY94">
        <f>IF(OR(AY$4="",$A94&gt;TODAY()),0,IF(OR(INDEX($B94:$D94,AY$5)="F",AND(AY$6&gt;0,$A94&lt;AY$6),AND(AY$7&gt;0,$A94&gt;AY$7)),0,MAX(0,ROUND((INDEX($E94:$G94,AY$5)-SUMIFS(TF_Timer,TF_Tekniker,AY$4,TF_Dato,$A94))*2,0)/2)))</f>
        <v/>
      </c>
      <c r="AZ94">
        <f>IF(OR(AZ$4="",$A94&gt;TODAY()),0,IF(OR(INDEX($B94:$D94,AZ$5)="F",AND(AZ$6&gt;0,$A94&lt;AZ$6),AND(AZ$7&gt;0,$A94&gt;AZ$7)),0,MAX(0,ROUND((INDEX($E94:$G94,AZ$5)-SUMIFS(TF_Timer,TF_Tekniker,AZ$4,TF_Dato,$A94))*2,0)/2)))</f>
        <v/>
      </c>
      <c r="BA94">
        <f>IF(OR(BA$4="",$A94&gt;TODAY()),0,IF(OR(INDEX($B94:$D94,BA$5)="F",AND(BA$6&gt;0,$A94&lt;BA$6),AND(BA$7&gt;0,$A94&gt;BA$7)),0,MAX(0,ROUND((INDEX($E94:$G94,BA$5)-SUMIFS(TF_Timer,TF_Tekniker,BA$4,TF_Dato,$A94))*2,0)/2)))</f>
        <v/>
      </c>
      <c r="BB94">
        <f>IF(OR(BB$4="",$A94&gt;TODAY()),0,IF(OR(INDEX($B94:$D94,BB$5)="F",AND(BB$6&gt;0,$A94&lt;BB$6),AND(BB$7&gt;0,$A94&gt;BB$7)),0,MAX(0,ROUND((INDEX($E94:$G94,BB$5)-SUMIFS(TF_Timer,TF_Tekniker,BB$4,TF_Dato,$A94))*2,0)/2)))</f>
        <v/>
      </c>
      <c r="BC94">
        <f>IF(OR(BC$4="",$A94&gt;TODAY()),0,IF(OR(INDEX($B94:$D94,BC$5)="F",AND(BC$6&gt;0,$A94&lt;BC$6),AND(BC$7&gt;0,$A94&gt;BC$7)),0,MAX(0,ROUND((INDEX($E94:$G94,BC$5)-SUMIFS(TF_Timer,TF_Tekniker,BC$4,TF_Dato,$A94))*2,0)/2)))</f>
        <v/>
      </c>
      <c r="BD94">
        <f>IF(OR(BD$4="",$A94&gt;TODAY()),0,IF(OR(INDEX($B94:$D94,BD$5)="F",AND(BD$6&gt;0,$A94&lt;BD$6),AND(BD$7&gt;0,$A94&gt;BD$7)),0,MAX(0,ROUND((INDEX($E94:$G94,BD$5)-SUMIFS(TF_Timer,TF_Tekniker,BD$4,TF_Dato,$A94))*2,0)/2)))</f>
        <v/>
      </c>
      <c r="BE94">
        <f>IF(OR(BE$4="",$A94&gt;TODAY()),0,IF(OR(INDEX($B94:$D94,BE$5)="F",AND(BE$6&gt;0,$A94&lt;BE$6),AND(BE$7&gt;0,$A94&gt;BE$7)),0,MAX(0,ROUND((INDEX($E94:$G94,BE$5)-SUMIFS(TF_Timer,TF_Tekniker,BE$4,TF_Dato,$A94))*2,0)/2)))</f>
        <v/>
      </c>
      <c r="BF94">
        <f>IF(OR(BF$4="",$A94&gt;TODAY()),0,IF(OR(INDEX($B94:$D94,BF$5)="F",AND(BF$6&gt;0,$A94&lt;BF$6),AND(BF$7&gt;0,$A94&gt;BF$7)),0,MAX(0,ROUND((INDEX($E94:$G94,BF$5)-SUMIFS(TF_Timer,TF_Tekniker,BF$4,TF_Dato,$A94))*2,0)/2)))</f>
        <v/>
      </c>
      <c r="BG94">
        <f>IF(OR(BG$4="",$A94&gt;TODAY()),0,IF(OR(INDEX($B94:$D94,BG$5)="F",AND(BG$6&gt;0,$A94&lt;BG$6),AND(BG$7&gt;0,$A94&gt;BG$7)),0,MAX(0,ROUND((INDEX($E94:$G94,BG$5)-SUMIFS(TF_Timer,TF_Tekniker,BG$4,TF_Dato,$A94))*2,0)/2)))</f>
        <v/>
      </c>
      <c r="BH94">
        <f>IF(OR(BH$4="",$A94&gt;TODAY()),0,IF(OR(INDEX($B94:$D94,BH$5)="F",AND(BH$6&gt;0,$A94&lt;BH$6),AND(BH$7&gt;0,$A94&gt;BH$7)),0,MAX(0,ROUND((INDEX($E94:$G94,BH$5)-SUMIFS(TF_Timer,TF_Tekniker,BH$4,TF_Dato,$A94))*2,0)/2)))</f>
        <v/>
      </c>
      <c r="BI94">
        <f>IF(OR(BI$4="",$A94&gt;TODAY()),0,IF(OR(INDEX($B94:$D94,BI$5)="F",AND(BI$6&gt;0,$A94&lt;BI$6),AND(BI$7&gt;0,$A94&gt;BI$7)),0,MAX(0,ROUND((INDEX($E94:$G94,BI$5)-SUMIFS(TF_Timer,TF_Tekniker,BI$4,TF_Dato,$A94))*2,0)/2)))</f>
        <v/>
      </c>
    </row>
    <row r="95">
      <c r="A95" s="64">
        <f>A94+1</f>
        <v/>
      </c>
      <c r="B95">
        <f>IF(MOD($A95-INDEX(SkiftStart,1),Syklus)&lt;DagK,"K",IF(MOD($A95-INDEX(SkiftStart,1),Syklus)&lt;DagK+DagH,"H",IF(MOD($A95-INDEX(SkiftStart,1),Syklus)&lt;DagK+DagH+DagD,"D","F")))</f>
        <v/>
      </c>
      <c r="C95">
        <f>IF(MOD($A95-INDEX(SkiftStart,2),Syklus)&lt;DagK,"K",IF(MOD($A95-INDEX(SkiftStart,2),Syklus)&lt;DagK+DagH,"H",IF(MOD($A95-INDEX(SkiftStart,2),Syklus)&lt;DagK+DagH+DagD,"D","F")))</f>
        <v/>
      </c>
      <c r="D95">
        <f>IF(MOD($A95-INDEX(SkiftStart,3),Syklus)&lt;DagK,"K",IF(MOD($A95-INDEX(SkiftStart,3),Syklus)&lt;DagK+DagH,"H",IF(MOD($A95-INDEX(SkiftStart,3),Syklus)&lt;DagK+DagH+DagD,"D","F")))</f>
        <v/>
      </c>
      <c r="E95">
        <f>IF(B95="F",0,IF(WEEKDAY($A95,2)=5,INDEX(TimerFr,MATCH(B95,FaseKode,0)),INDEX(TimerMT,MATCH(B95,FaseKode,0))))</f>
        <v/>
      </c>
      <c r="F95">
        <f>IF(C95="F",0,IF(WEEKDAY($A95,2)=5,INDEX(TimerFr,MATCH(C95,FaseKode,0)),INDEX(TimerMT,MATCH(C95,FaseKode,0))))</f>
        <v/>
      </c>
      <c r="G95">
        <f>IF(D95="F",0,IF(WEEKDAY($A95,2)=5,INDEX(TimerFr,MATCH(D95,FaseKode,0)),INDEX(TimerMT,MATCH(D95,FaseKode,0))))</f>
        <v/>
      </c>
      <c r="H95">
        <f>IF(OR(H$4="",$A95&gt;TODAY()),0,IF(OR(INDEX($B95:$D95,H$5)="F",AND(H$6&gt;0,$A95&lt;H$6),AND(H$7&gt;0,$A95&gt;H$7)),0,MAX(0,ROUND((INDEX($E95:$G95,H$5)-SUMIFS(TF_Timer,TF_Tekniker,H$4,TF_Dato,$A95))*2,0)/2)))</f>
        <v/>
      </c>
      <c r="I95">
        <f>IF(OR(I$4="",$A95&gt;TODAY()),0,IF(OR(INDEX($B95:$D95,I$5)="F",AND(I$6&gt;0,$A95&lt;I$6),AND(I$7&gt;0,$A95&gt;I$7)),0,MAX(0,ROUND((INDEX($E95:$G95,I$5)-SUMIFS(TF_Timer,TF_Tekniker,I$4,TF_Dato,$A95))*2,0)/2)))</f>
        <v/>
      </c>
      <c r="J95">
        <f>IF(OR(J$4="",$A95&gt;TODAY()),0,IF(OR(INDEX($B95:$D95,J$5)="F",AND(J$6&gt;0,$A95&lt;J$6),AND(J$7&gt;0,$A95&gt;J$7)),0,MAX(0,ROUND((INDEX($E95:$G95,J$5)-SUMIFS(TF_Timer,TF_Tekniker,J$4,TF_Dato,$A95))*2,0)/2)))</f>
        <v/>
      </c>
      <c r="K95">
        <f>IF(OR(K$4="",$A95&gt;TODAY()),0,IF(OR(INDEX($B95:$D95,K$5)="F",AND(K$6&gt;0,$A95&lt;K$6),AND(K$7&gt;0,$A95&gt;K$7)),0,MAX(0,ROUND((INDEX($E95:$G95,K$5)-SUMIFS(TF_Timer,TF_Tekniker,K$4,TF_Dato,$A95))*2,0)/2)))</f>
        <v/>
      </c>
      <c r="L95">
        <f>IF(OR(L$4="",$A95&gt;TODAY()),0,IF(OR(INDEX($B95:$D95,L$5)="F",AND(L$6&gt;0,$A95&lt;L$6),AND(L$7&gt;0,$A95&gt;L$7)),0,MAX(0,ROUND((INDEX($E95:$G95,L$5)-SUMIFS(TF_Timer,TF_Tekniker,L$4,TF_Dato,$A95))*2,0)/2)))</f>
        <v/>
      </c>
      <c r="M95">
        <f>IF(OR(M$4="",$A95&gt;TODAY()),0,IF(OR(INDEX($B95:$D95,M$5)="F",AND(M$6&gt;0,$A95&lt;M$6),AND(M$7&gt;0,$A95&gt;M$7)),0,MAX(0,ROUND((INDEX($E95:$G95,M$5)-SUMIFS(TF_Timer,TF_Tekniker,M$4,TF_Dato,$A95))*2,0)/2)))</f>
        <v/>
      </c>
      <c r="N95">
        <f>IF(OR(N$4="",$A95&gt;TODAY()),0,IF(OR(INDEX($B95:$D95,N$5)="F",AND(N$6&gt;0,$A95&lt;N$6),AND(N$7&gt;0,$A95&gt;N$7)),0,MAX(0,ROUND((INDEX($E95:$G95,N$5)-SUMIFS(TF_Timer,TF_Tekniker,N$4,TF_Dato,$A95))*2,0)/2)))</f>
        <v/>
      </c>
      <c r="O95">
        <f>IF(OR(O$4="",$A95&gt;TODAY()),0,IF(OR(INDEX($B95:$D95,O$5)="F",AND(O$6&gt;0,$A95&lt;O$6),AND(O$7&gt;0,$A95&gt;O$7)),0,MAX(0,ROUND((INDEX($E95:$G95,O$5)-SUMIFS(TF_Timer,TF_Tekniker,O$4,TF_Dato,$A95))*2,0)/2)))</f>
        <v/>
      </c>
      <c r="P95">
        <f>IF(OR(P$4="",$A95&gt;TODAY()),0,IF(OR(INDEX($B95:$D95,P$5)="F",AND(P$6&gt;0,$A95&lt;P$6),AND(P$7&gt;0,$A95&gt;P$7)),0,MAX(0,ROUND((INDEX($E95:$G95,P$5)-SUMIFS(TF_Timer,TF_Tekniker,P$4,TF_Dato,$A95))*2,0)/2)))</f>
        <v/>
      </c>
      <c r="Q95">
        <f>IF(OR(Q$4="",$A95&gt;TODAY()),0,IF(OR(INDEX($B95:$D95,Q$5)="F",AND(Q$6&gt;0,$A95&lt;Q$6),AND(Q$7&gt;0,$A95&gt;Q$7)),0,MAX(0,ROUND((INDEX($E95:$G95,Q$5)-SUMIFS(TF_Timer,TF_Tekniker,Q$4,TF_Dato,$A95))*2,0)/2)))</f>
        <v/>
      </c>
      <c r="R95">
        <f>IF(OR(R$4="",$A95&gt;TODAY()),0,IF(OR(INDEX($B95:$D95,R$5)="F",AND(R$6&gt;0,$A95&lt;R$6),AND(R$7&gt;0,$A95&gt;R$7)),0,MAX(0,ROUND((INDEX($E95:$G95,R$5)-SUMIFS(TF_Timer,TF_Tekniker,R$4,TF_Dato,$A95))*2,0)/2)))</f>
        <v/>
      </c>
      <c r="S95">
        <f>IF(OR(S$4="",$A95&gt;TODAY()),0,IF(OR(INDEX($B95:$D95,S$5)="F",AND(S$6&gt;0,$A95&lt;S$6),AND(S$7&gt;0,$A95&gt;S$7)),0,MAX(0,ROUND((INDEX($E95:$G95,S$5)-SUMIFS(TF_Timer,TF_Tekniker,S$4,TF_Dato,$A95))*2,0)/2)))</f>
        <v/>
      </c>
      <c r="T95">
        <f>IF(OR(T$4="",$A95&gt;TODAY()),0,IF(OR(INDEX($B95:$D95,T$5)="F",AND(T$6&gt;0,$A95&lt;T$6),AND(T$7&gt;0,$A95&gt;T$7)),0,MAX(0,ROUND((INDEX($E95:$G95,T$5)-SUMIFS(TF_Timer,TF_Tekniker,T$4,TF_Dato,$A95))*2,0)/2)))</f>
        <v/>
      </c>
      <c r="U95">
        <f>IF(OR(U$4="",$A95&gt;TODAY()),0,IF(OR(INDEX($B95:$D95,U$5)="F",AND(U$6&gt;0,$A95&lt;U$6),AND(U$7&gt;0,$A95&gt;U$7)),0,MAX(0,ROUND((INDEX($E95:$G95,U$5)-SUMIFS(TF_Timer,TF_Tekniker,U$4,TF_Dato,$A95))*2,0)/2)))</f>
        <v/>
      </c>
      <c r="V95">
        <f>IF(OR(V$4="",$A95&gt;TODAY()),0,IF(OR(INDEX($B95:$D95,V$5)="F",AND(V$6&gt;0,$A95&lt;V$6),AND(V$7&gt;0,$A95&gt;V$7)),0,MAX(0,ROUND((INDEX($E95:$G95,V$5)-SUMIFS(TF_Timer,TF_Tekniker,V$4,TF_Dato,$A95))*2,0)/2)))</f>
        <v/>
      </c>
      <c r="W95">
        <f>IF(OR(W$4="",$A95&gt;TODAY()),0,IF(OR(INDEX($B95:$D95,W$5)="F",AND(W$6&gt;0,$A95&lt;W$6),AND(W$7&gt;0,$A95&gt;W$7)),0,MAX(0,ROUND((INDEX($E95:$G95,W$5)-SUMIFS(TF_Timer,TF_Tekniker,W$4,TF_Dato,$A95))*2,0)/2)))</f>
        <v/>
      </c>
      <c r="X95">
        <f>IF(OR(X$4="",$A95&gt;TODAY()),0,IF(OR(INDEX($B95:$D95,X$5)="F",AND(X$6&gt;0,$A95&lt;X$6),AND(X$7&gt;0,$A95&gt;X$7)),0,MAX(0,ROUND((INDEX($E95:$G95,X$5)-SUMIFS(TF_Timer,TF_Tekniker,X$4,TF_Dato,$A95))*2,0)/2)))</f>
        <v/>
      </c>
      <c r="Y95">
        <f>IF(OR(Y$4="",$A95&gt;TODAY()),0,IF(OR(INDEX($B95:$D95,Y$5)="F",AND(Y$6&gt;0,$A95&lt;Y$6),AND(Y$7&gt;0,$A95&gt;Y$7)),0,MAX(0,ROUND((INDEX($E95:$G95,Y$5)-SUMIFS(TF_Timer,TF_Tekniker,Y$4,TF_Dato,$A95))*2,0)/2)))</f>
        <v/>
      </c>
      <c r="Z95">
        <f>IF(OR(Z$4="",$A95&gt;TODAY()),0,IF(OR(INDEX($B95:$D95,Z$5)="F",AND(Z$6&gt;0,$A95&lt;Z$6),AND(Z$7&gt;0,$A95&gt;Z$7)),0,MAX(0,ROUND((INDEX($E95:$G95,Z$5)-SUMIFS(TF_Timer,TF_Tekniker,Z$4,TF_Dato,$A95))*2,0)/2)))</f>
        <v/>
      </c>
      <c r="AA95">
        <f>IF(OR(AA$4="",$A95&gt;TODAY()),0,IF(OR(INDEX($B95:$D95,AA$5)="F",AND(AA$6&gt;0,$A95&lt;AA$6),AND(AA$7&gt;0,$A95&gt;AA$7)),0,MAX(0,ROUND((INDEX($E95:$G95,AA$5)-SUMIFS(TF_Timer,TF_Tekniker,AA$4,TF_Dato,$A95))*2,0)/2)))</f>
        <v/>
      </c>
      <c r="AB95">
        <f>IF(OR(AB$4="",$A95&gt;TODAY()),0,IF(OR(INDEX($B95:$D95,AB$5)="F",AND(AB$6&gt;0,$A95&lt;AB$6),AND(AB$7&gt;0,$A95&gt;AB$7)),0,MAX(0,ROUND((INDEX($E95:$G95,AB$5)-SUMIFS(TF_Timer,TF_Tekniker,AB$4,TF_Dato,$A95))*2,0)/2)))</f>
        <v/>
      </c>
      <c r="AC95">
        <f>IF(OR(AC$4="",$A95&gt;TODAY()),0,IF(OR(INDEX($B95:$D95,AC$5)="F",AND(AC$6&gt;0,$A95&lt;AC$6),AND(AC$7&gt;0,$A95&gt;AC$7)),0,MAX(0,ROUND((INDEX($E95:$G95,AC$5)-SUMIFS(TF_Timer,TF_Tekniker,AC$4,TF_Dato,$A95))*2,0)/2)))</f>
        <v/>
      </c>
      <c r="AD95">
        <f>IF(OR(AD$4="",$A95&gt;TODAY()),0,IF(OR(INDEX($B95:$D95,AD$5)="F",AND(AD$6&gt;0,$A95&lt;AD$6),AND(AD$7&gt;0,$A95&gt;AD$7)),0,MAX(0,ROUND((INDEX($E95:$G95,AD$5)-SUMIFS(TF_Timer,TF_Tekniker,AD$4,TF_Dato,$A95))*2,0)/2)))</f>
        <v/>
      </c>
      <c r="AE95">
        <f>IF(OR(AE$4="",$A95&gt;TODAY()),0,IF(OR(INDEX($B95:$D95,AE$5)="F",AND(AE$6&gt;0,$A95&lt;AE$6),AND(AE$7&gt;0,$A95&gt;AE$7)),0,MAX(0,ROUND((INDEX($E95:$G95,AE$5)-SUMIFS(TF_Timer,TF_Tekniker,AE$4,TF_Dato,$A95))*2,0)/2)))</f>
        <v/>
      </c>
      <c r="AF95">
        <f>IF(OR(AF$4="",$A95&gt;TODAY()),0,IF(OR(INDEX($B95:$D95,AF$5)="F",AND(AF$6&gt;0,$A95&lt;AF$6),AND(AF$7&gt;0,$A95&gt;AF$7)),0,MAX(0,ROUND((INDEX($E95:$G95,AF$5)-SUMIFS(TF_Timer,TF_Tekniker,AF$4,TF_Dato,$A95))*2,0)/2)))</f>
        <v/>
      </c>
      <c r="AG95">
        <f>IF(OR(AG$4="",$A95&gt;TODAY()),0,IF(OR(INDEX($B95:$D95,AG$5)="F",AND(AG$6&gt;0,$A95&lt;AG$6),AND(AG$7&gt;0,$A95&gt;AG$7)),0,MAX(0,ROUND((INDEX($E95:$G95,AG$5)-SUMIFS(TF_Timer,TF_Tekniker,AG$4,TF_Dato,$A95))*2,0)/2)))</f>
        <v/>
      </c>
      <c r="AH95">
        <f>IF(OR(AH$4="",$A95&gt;TODAY()),0,IF(OR(INDEX($B95:$D95,AH$5)="F",AND(AH$6&gt;0,$A95&lt;AH$6),AND(AH$7&gt;0,$A95&gt;AH$7)),0,MAX(0,ROUND((INDEX($E95:$G95,AH$5)-SUMIFS(TF_Timer,TF_Tekniker,AH$4,TF_Dato,$A95))*2,0)/2)))</f>
        <v/>
      </c>
      <c r="AI95">
        <f>IF(OR(AI$4="",$A95&gt;TODAY()),0,IF(OR(INDEX($B95:$D95,AI$5)="F",AND(AI$6&gt;0,$A95&lt;AI$6),AND(AI$7&gt;0,$A95&gt;AI$7)),0,MAX(0,ROUND((INDEX($E95:$G95,AI$5)-SUMIFS(TF_Timer,TF_Tekniker,AI$4,TF_Dato,$A95))*2,0)/2)))</f>
        <v/>
      </c>
      <c r="AJ95">
        <f>IF(OR(AJ$4="",$A95&gt;TODAY()),0,IF(OR(INDEX($B95:$D95,AJ$5)="F",AND(AJ$6&gt;0,$A95&lt;AJ$6),AND(AJ$7&gt;0,$A95&gt;AJ$7)),0,MAX(0,ROUND((INDEX($E95:$G95,AJ$5)-SUMIFS(TF_Timer,TF_Tekniker,AJ$4,TF_Dato,$A95))*2,0)/2)))</f>
        <v/>
      </c>
      <c r="AK95">
        <f>IF(OR(AK$4="",$A95&gt;TODAY()),0,IF(OR(INDEX($B95:$D95,AK$5)="F",AND(AK$6&gt;0,$A95&lt;AK$6),AND(AK$7&gt;0,$A95&gt;AK$7)),0,MAX(0,ROUND((INDEX($E95:$G95,AK$5)-SUMIFS(TF_Timer,TF_Tekniker,AK$4,TF_Dato,$A95))*2,0)/2)))</f>
        <v/>
      </c>
      <c r="AL95">
        <f>IF(OR(AL$4="",$A95&gt;TODAY()),0,IF(OR(INDEX($B95:$D95,AL$5)="F",AND(AL$6&gt;0,$A95&lt;AL$6),AND(AL$7&gt;0,$A95&gt;AL$7)),0,MAX(0,ROUND((INDEX($E95:$G95,AL$5)-SUMIFS(TF_Timer,TF_Tekniker,AL$4,TF_Dato,$A95))*2,0)/2)))</f>
        <v/>
      </c>
      <c r="AM95">
        <f>IF(OR(AM$4="",$A95&gt;TODAY()),0,IF(OR(INDEX($B95:$D95,AM$5)="F",AND(AM$6&gt;0,$A95&lt;AM$6),AND(AM$7&gt;0,$A95&gt;AM$7)),0,MAX(0,ROUND((INDEX($E95:$G95,AM$5)-SUMIFS(TF_Timer,TF_Tekniker,AM$4,TF_Dato,$A95))*2,0)/2)))</f>
        <v/>
      </c>
      <c r="AN95">
        <f>IF(OR(AN$4="",$A95&gt;TODAY()),0,IF(OR(INDEX($B95:$D95,AN$5)="F",AND(AN$6&gt;0,$A95&lt;AN$6),AND(AN$7&gt;0,$A95&gt;AN$7)),0,MAX(0,ROUND((INDEX($E95:$G95,AN$5)-SUMIFS(TF_Timer,TF_Tekniker,AN$4,TF_Dato,$A95))*2,0)/2)))</f>
        <v/>
      </c>
      <c r="AO95">
        <f>IF(OR(AO$4="",$A95&gt;TODAY()),0,IF(OR(INDEX($B95:$D95,AO$5)="F",AND(AO$6&gt;0,$A95&lt;AO$6),AND(AO$7&gt;0,$A95&gt;AO$7)),0,MAX(0,ROUND((INDEX($E95:$G95,AO$5)-SUMIFS(TF_Timer,TF_Tekniker,AO$4,TF_Dato,$A95))*2,0)/2)))</f>
        <v/>
      </c>
      <c r="AP95">
        <f>IF(OR(AP$4="",$A95&gt;TODAY()),0,IF(OR(INDEX($B95:$D95,AP$5)="F",AND(AP$6&gt;0,$A95&lt;AP$6),AND(AP$7&gt;0,$A95&gt;AP$7)),0,MAX(0,ROUND((INDEX($E95:$G95,AP$5)-SUMIFS(TF_Timer,TF_Tekniker,AP$4,TF_Dato,$A95))*2,0)/2)))</f>
        <v/>
      </c>
      <c r="AQ95">
        <f>IF(OR(AQ$4="",$A95&gt;TODAY()),0,IF(OR(INDEX($B95:$D95,AQ$5)="F",AND(AQ$6&gt;0,$A95&lt;AQ$6),AND(AQ$7&gt;0,$A95&gt;AQ$7)),0,MAX(0,ROUND((INDEX($E95:$G95,AQ$5)-SUMIFS(TF_Timer,TF_Tekniker,AQ$4,TF_Dato,$A95))*2,0)/2)))</f>
        <v/>
      </c>
      <c r="AR95">
        <f>IF(OR(AR$4="",$A95&gt;TODAY()),0,IF(OR(INDEX($B95:$D95,AR$5)="F",AND(AR$6&gt;0,$A95&lt;AR$6),AND(AR$7&gt;0,$A95&gt;AR$7)),0,MAX(0,ROUND((INDEX($E95:$G95,AR$5)-SUMIFS(TF_Timer,TF_Tekniker,AR$4,TF_Dato,$A95))*2,0)/2)))</f>
        <v/>
      </c>
      <c r="AS95">
        <f>IF(OR(AS$4="",$A95&gt;TODAY()),0,IF(OR(INDEX($B95:$D95,AS$5)="F",AND(AS$6&gt;0,$A95&lt;AS$6),AND(AS$7&gt;0,$A95&gt;AS$7)),0,MAX(0,ROUND((INDEX($E95:$G95,AS$5)-SUMIFS(TF_Timer,TF_Tekniker,AS$4,TF_Dato,$A95))*2,0)/2)))</f>
        <v/>
      </c>
      <c r="AT95">
        <f>IF(OR(AT$4="",$A95&gt;TODAY()),0,IF(OR(INDEX($B95:$D95,AT$5)="F",AND(AT$6&gt;0,$A95&lt;AT$6),AND(AT$7&gt;0,$A95&gt;AT$7)),0,MAX(0,ROUND((INDEX($E95:$G95,AT$5)-SUMIFS(TF_Timer,TF_Tekniker,AT$4,TF_Dato,$A95))*2,0)/2)))</f>
        <v/>
      </c>
      <c r="AU95">
        <f>IF(OR(AU$4="",$A95&gt;TODAY()),0,IF(OR(INDEX($B95:$D95,AU$5)="F",AND(AU$6&gt;0,$A95&lt;AU$6),AND(AU$7&gt;0,$A95&gt;AU$7)),0,MAX(0,ROUND((INDEX($E95:$G95,AU$5)-SUMIFS(TF_Timer,TF_Tekniker,AU$4,TF_Dato,$A95))*2,0)/2)))</f>
        <v/>
      </c>
      <c r="AV95">
        <f>IF(OR(AV$4="",$A95&gt;TODAY()),0,IF(OR(INDEX($B95:$D95,AV$5)="F",AND(AV$6&gt;0,$A95&lt;AV$6),AND(AV$7&gt;0,$A95&gt;AV$7)),0,MAX(0,ROUND((INDEX($E95:$G95,AV$5)-SUMIFS(TF_Timer,TF_Tekniker,AV$4,TF_Dato,$A95))*2,0)/2)))</f>
        <v/>
      </c>
      <c r="AW95">
        <f>IF(OR(AW$4="",$A95&gt;TODAY()),0,IF(OR(INDEX($B95:$D95,AW$5)="F",AND(AW$6&gt;0,$A95&lt;AW$6),AND(AW$7&gt;0,$A95&gt;AW$7)),0,MAX(0,ROUND((INDEX($E95:$G95,AW$5)-SUMIFS(TF_Timer,TF_Tekniker,AW$4,TF_Dato,$A95))*2,0)/2)))</f>
        <v/>
      </c>
      <c r="AX95">
        <f>IF(OR(AX$4="",$A95&gt;TODAY()),0,IF(OR(INDEX($B95:$D95,AX$5)="F",AND(AX$6&gt;0,$A95&lt;AX$6),AND(AX$7&gt;0,$A95&gt;AX$7)),0,MAX(0,ROUND((INDEX($E95:$G95,AX$5)-SUMIFS(TF_Timer,TF_Tekniker,AX$4,TF_Dato,$A95))*2,0)/2)))</f>
        <v/>
      </c>
      <c r="AY95">
        <f>IF(OR(AY$4="",$A95&gt;TODAY()),0,IF(OR(INDEX($B95:$D95,AY$5)="F",AND(AY$6&gt;0,$A95&lt;AY$6),AND(AY$7&gt;0,$A95&gt;AY$7)),0,MAX(0,ROUND((INDEX($E95:$G95,AY$5)-SUMIFS(TF_Timer,TF_Tekniker,AY$4,TF_Dato,$A95))*2,0)/2)))</f>
        <v/>
      </c>
      <c r="AZ95">
        <f>IF(OR(AZ$4="",$A95&gt;TODAY()),0,IF(OR(INDEX($B95:$D95,AZ$5)="F",AND(AZ$6&gt;0,$A95&lt;AZ$6),AND(AZ$7&gt;0,$A95&gt;AZ$7)),0,MAX(0,ROUND((INDEX($E95:$G95,AZ$5)-SUMIFS(TF_Timer,TF_Tekniker,AZ$4,TF_Dato,$A95))*2,0)/2)))</f>
        <v/>
      </c>
      <c r="BA95">
        <f>IF(OR(BA$4="",$A95&gt;TODAY()),0,IF(OR(INDEX($B95:$D95,BA$5)="F",AND(BA$6&gt;0,$A95&lt;BA$6),AND(BA$7&gt;0,$A95&gt;BA$7)),0,MAX(0,ROUND((INDEX($E95:$G95,BA$5)-SUMIFS(TF_Timer,TF_Tekniker,BA$4,TF_Dato,$A95))*2,0)/2)))</f>
        <v/>
      </c>
      <c r="BB95">
        <f>IF(OR(BB$4="",$A95&gt;TODAY()),0,IF(OR(INDEX($B95:$D95,BB$5)="F",AND(BB$6&gt;0,$A95&lt;BB$6),AND(BB$7&gt;0,$A95&gt;BB$7)),0,MAX(0,ROUND((INDEX($E95:$G95,BB$5)-SUMIFS(TF_Timer,TF_Tekniker,BB$4,TF_Dato,$A95))*2,0)/2)))</f>
        <v/>
      </c>
      <c r="BC95">
        <f>IF(OR(BC$4="",$A95&gt;TODAY()),0,IF(OR(INDEX($B95:$D95,BC$5)="F",AND(BC$6&gt;0,$A95&lt;BC$6),AND(BC$7&gt;0,$A95&gt;BC$7)),0,MAX(0,ROUND((INDEX($E95:$G95,BC$5)-SUMIFS(TF_Timer,TF_Tekniker,BC$4,TF_Dato,$A95))*2,0)/2)))</f>
        <v/>
      </c>
      <c r="BD95">
        <f>IF(OR(BD$4="",$A95&gt;TODAY()),0,IF(OR(INDEX($B95:$D95,BD$5)="F",AND(BD$6&gt;0,$A95&lt;BD$6),AND(BD$7&gt;0,$A95&gt;BD$7)),0,MAX(0,ROUND((INDEX($E95:$G95,BD$5)-SUMIFS(TF_Timer,TF_Tekniker,BD$4,TF_Dato,$A95))*2,0)/2)))</f>
        <v/>
      </c>
      <c r="BE95">
        <f>IF(OR(BE$4="",$A95&gt;TODAY()),0,IF(OR(INDEX($B95:$D95,BE$5)="F",AND(BE$6&gt;0,$A95&lt;BE$6),AND(BE$7&gt;0,$A95&gt;BE$7)),0,MAX(0,ROUND((INDEX($E95:$G95,BE$5)-SUMIFS(TF_Timer,TF_Tekniker,BE$4,TF_Dato,$A95))*2,0)/2)))</f>
        <v/>
      </c>
      <c r="BF95">
        <f>IF(OR(BF$4="",$A95&gt;TODAY()),0,IF(OR(INDEX($B95:$D95,BF$5)="F",AND(BF$6&gt;0,$A95&lt;BF$6),AND(BF$7&gt;0,$A95&gt;BF$7)),0,MAX(0,ROUND((INDEX($E95:$G95,BF$5)-SUMIFS(TF_Timer,TF_Tekniker,BF$4,TF_Dato,$A95))*2,0)/2)))</f>
        <v/>
      </c>
      <c r="BG95">
        <f>IF(OR(BG$4="",$A95&gt;TODAY()),0,IF(OR(INDEX($B95:$D95,BG$5)="F",AND(BG$6&gt;0,$A95&lt;BG$6),AND(BG$7&gt;0,$A95&gt;BG$7)),0,MAX(0,ROUND((INDEX($E95:$G95,BG$5)-SUMIFS(TF_Timer,TF_Tekniker,BG$4,TF_Dato,$A95))*2,0)/2)))</f>
        <v/>
      </c>
      <c r="BH95">
        <f>IF(OR(BH$4="",$A95&gt;TODAY()),0,IF(OR(INDEX($B95:$D95,BH$5)="F",AND(BH$6&gt;0,$A95&lt;BH$6),AND(BH$7&gt;0,$A95&gt;BH$7)),0,MAX(0,ROUND((INDEX($E95:$G95,BH$5)-SUMIFS(TF_Timer,TF_Tekniker,BH$4,TF_Dato,$A95))*2,0)/2)))</f>
        <v/>
      </c>
      <c r="BI95">
        <f>IF(OR(BI$4="",$A95&gt;TODAY()),0,IF(OR(INDEX($B95:$D95,BI$5)="F",AND(BI$6&gt;0,$A95&lt;BI$6),AND(BI$7&gt;0,$A95&gt;BI$7)),0,MAX(0,ROUND((INDEX($E95:$G95,BI$5)-SUMIFS(TF_Timer,TF_Tekniker,BI$4,TF_Dato,$A95))*2,0)/2)))</f>
        <v/>
      </c>
    </row>
    <row r="96">
      <c r="A96" s="64">
        <f>A95+1</f>
        <v/>
      </c>
      <c r="B96">
        <f>IF(MOD($A96-INDEX(SkiftStart,1),Syklus)&lt;DagK,"K",IF(MOD($A96-INDEX(SkiftStart,1),Syklus)&lt;DagK+DagH,"H",IF(MOD($A96-INDEX(SkiftStart,1),Syklus)&lt;DagK+DagH+DagD,"D","F")))</f>
        <v/>
      </c>
      <c r="C96">
        <f>IF(MOD($A96-INDEX(SkiftStart,2),Syklus)&lt;DagK,"K",IF(MOD($A96-INDEX(SkiftStart,2),Syklus)&lt;DagK+DagH,"H",IF(MOD($A96-INDEX(SkiftStart,2),Syklus)&lt;DagK+DagH+DagD,"D","F")))</f>
        <v/>
      </c>
      <c r="D96">
        <f>IF(MOD($A96-INDEX(SkiftStart,3),Syklus)&lt;DagK,"K",IF(MOD($A96-INDEX(SkiftStart,3),Syklus)&lt;DagK+DagH,"H",IF(MOD($A96-INDEX(SkiftStart,3),Syklus)&lt;DagK+DagH+DagD,"D","F")))</f>
        <v/>
      </c>
      <c r="E96">
        <f>IF(B96="F",0,IF(WEEKDAY($A96,2)=5,INDEX(TimerFr,MATCH(B96,FaseKode,0)),INDEX(TimerMT,MATCH(B96,FaseKode,0))))</f>
        <v/>
      </c>
      <c r="F96">
        <f>IF(C96="F",0,IF(WEEKDAY($A96,2)=5,INDEX(TimerFr,MATCH(C96,FaseKode,0)),INDEX(TimerMT,MATCH(C96,FaseKode,0))))</f>
        <v/>
      </c>
      <c r="G96">
        <f>IF(D96="F",0,IF(WEEKDAY($A96,2)=5,INDEX(TimerFr,MATCH(D96,FaseKode,0)),INDEX(TimerMT,MATCH(D96,FaseKode,0))))</f>
        <v/>
      </c>
      <c r="H96">
        <f>IF(OR(H$4="",$A96&gt;TODAY()),0,IF(OR(INDEX($B96:$D96,H$5)="F",AND(H$6&gt;0,$A96&lt;H$6),AND(H$7&gt;0,$A96&gt;H$7)),0,MAX(0,ROUND((INDEX($E96:$G96,H$5)-SUMIFS(TF_Timer,TF_Tekniker,H$4,TF_Dato,$A96))*2,0)/2)))</f>
        <v/>
      </c>
      <c r="I96">
        <f>IF(OR(I$4="",$A96&gt;TODAY()),0,IF(OR(INDEX($B96:$D96,I$5)="F",AND(I$6&gt;0,$A96&lt;I$6),AND(I$7&gt;0,$A96&gt;I$7)),0,MAX(0,ROUND((INDEX($E96:$G96,I$5)-SUMIFS(TF_Timer,TF_Tekniker,I$4,TF_Dato,$A96))*2,0)/2)))</f>
        <v/>
      </c>
      <c r="J96">
        <f>IF(OR(J$4="",$A96&gt;TODAY()),0,IF(OR(INDEX($B96:$D96,J$5)="F",AND(J$6&gt;0,$A96&lt;J$6),AND(J$7&gt;0,$A96&gt;J$7)),0,MAX(0,ROUND((INDEX($E96:$G96,J$5)-SUMIFS(TF_Timer,TF_Tekniker,J$4,TF_Dato,$A96))*2,0)/2)))</f>
        <v/>
      </c>
      <c r="K96">
        <f>IF(OR(K$4="",$A96&gt;TODAY()),0,IF(OR(INDEX($B96:$D96,K$5)="F",AND(K$6&gt;0,$A96&lt;K$6),AND(K$7&gt;0,$A96&gt;K$7)),0,MAX(0,ROUND((INDEX($E96:$G96,K$5)-SUMIFS(TF_Timer,TF_Tekniker,K$4,TF_Dato,$A96))*2,0)/2)))</f>
        <v/>
      </c>
      <c r="L96">
        <f>IF(OR(L$4="",$A96&gt;TODAY()),0,IF(OR(INDEX($B96:$D96,L$5)="F",AND(L$6&gt;0,$A96&lt;L$6),AND(L$7&gt;0,$A96&gt;L$7)),0,MAX(0,ROUND((INDEX($E96:$G96,L$5)-SUMIFS(TF_Timer,TF_Tekniker,L$4,TF_Dato,$A96))*2,0)/2)))</f>
        <v/>
      </c>
      <c r="M96">
        <f>IF(OR(M$4="",$A96&gt;TODAY()),0,IF(OR(INDEX($B96:$D96,M$5)="F",AND(M$6&gt;0,$A96&lt;M$6),AND(M$7&gt;0,$A96&gt;M$7)),0,MAX(0,ROUND((INDEX($E96:$G96,M$5)-SUMIFS(TF_Timer,TF_Tekniker,M$4,TF_Dato,$A96))*2,0)/2)))</f>
        <v/>
      </c>
      <c r="N96">
        <f>IF(OR(N$4="",$A96&gt;TODAY()),0,IF(OR(INDEX($B96:$D96,N$5)="F",AND(N$6&gt;0,$A96&lt;N$6),AND(N$7&gt;0,$A96&gt;N$7)),0,MAX(0,ROUND((INDEX($E96:$G96,N$5)-SUMIFS(TF_Timer,TF_Tekniker,N$4,TF_Dato,$A96))*2,0)/2)))</f>
        <v/>
      </c>
      <c r="O96">
        <f>IF(OR(O$4="",$A96&gt;TODAY()),0,IF(OR(INDEX($B96:$D96,O$5)="F",AND(O$6&gt;0,$A96&lt;O$6),AND(O$7&gt;0,$A96&gt;O$7)),0,MAX(0,ROUND((INDEX($E96:$G96,O$5)-SUMIFS(TF_Timer,TF_Tekniker,O$4,TF_Dato,$A96))*2,0)/2)))</f>
        <v/>
      </c>
      <c r="P96">
        <f>IF(OR(P$4="",$A96&gt;TODAY()),0,IF(OR(INDEX($B96:$D96,P$5)="F",AND(P$6&gt;0,$A96&lt;P$6),AND(P$7&gt;0,$A96&gt;P$7)),0,MAX(0,ROUND((INDEX($E96:$G96,P$5)-SUMIFS(TF_Timer,TF_Tekniker,P$4,TF_Dato,$A96))*2,0)/2)))</f>
        <v/>
      </c>
      <c r="Q96">
        <f>IF(OR(Q$4="",$A96&gt;TODAY()),0,IF(OR(INDEX($B96:$D96,Q$5)="F",AND(Q$6&gt;0,$A96&lt;Q$6),AND(Q$7&gt;0,$A96&gt;Q$7)),0,MAX(0,ROUND((INDEX($E96:$G96,Q$5)-SUMIFS(TF_Timer,TF_Tekniker,Q$4,TF_Dato,$A96))*2,0)/2)))</f>
        <v/>
      </c>
      <c r="R96">
        <f>IF(OR(R$4="",$A96&gt;TODAY()),0,IF(OR(INDEX($B96:$D96,R$5)="F",AND(R$6&gt;0,$A96&lt;R$6),AND(R$7&gt;0,$A96&gt;R$7)),0,MAX(0,ROUND((INDEX($E96:$G96,R$5)-SUMIFS(TF_Timer,TF_Tekniker,R$4,TF_Dato,$A96))*2,0)/2)))</f>
        <v/>
      </c>
      <c r="S96">
        <f>IF(OR(S$4="",$A96&gt;TODAY()),0,IF(OR(INDEX($B96:$D96,S$5)="F",AND(S$6&gt;0,$A96&lt;S$6),AND(S$7&gt;0,$A96&gt;S$7)),0,MAX(0,ROUND((INDEX($E96:$G96,S$5)-SUMIFS(TF_Timer,TF_Tekniker,S$4,TF_Dato,$A96))*2,0)/2)))</f>
        <v/>
      </c>
      <c r="T96">
        <f>IF(OR(T$4="",$A96&gt;TODAY()),0,IF(OR(INDEX($B96:$D96,T$5)="F",AND(T$6&gt;0,$A96&lt;T$6),AND(T$7&gt;0,$A96&gt;T$7)),0,MAX(0,ROUND((INDEX($E96:$G96,T$5)-SUMIFS(TF_Timer,TF_Tekniker,T$4,TF_Dato,$A96))*2,0)/2)))</f>
        <v/>
      </c>
      <c r="U96">
        <f>IF(OR(U$4="",$A96&gt;TODAY()),0,IF(OR(INDEX($B96:$D96,U$5)="F",AND(U$6&gt;0,$A96&lt;U$6),AND(U$7&gt;0,$A96&gt;U$7)),0,MAX(0,ROUND((INDEX($E96:$G96,U$5)-SUMIFS(TF_Timer,TF_Tekniker,U$4,TF_Dato,$A96))*2,0)/2)))</f>
        <v/>
      </c>
      <c r="V96">
        <f>IF(OR(V$4="",$A96&gt;TODAY()),0,IF(OR(INDEX($B96:$D96,V$5)="F",AND(V$6&gt;0,$A96&lt;V$6),AND(V$7&gt;0,$A96&gt;V$7)),0,MAX(0,ROUND((INDEX($E96:$G96,V$5)-SUMIFS(TF_Timer,TF_Tekniker,V$4,TF_Dato,$A96))*2,0)/2)))</f>
        <v/>
      </c>
      <c r="W96">
        <f>IF(OR(W$4="",$A96&gt;TODAY()),0,IF(OR(INDEX($B96:$D96,W$5)="F",AND(W$6&gt;0,$A96&lt;W$6),AND(W$7&gt;0,$A96&gt;W$7)),0,MAX(0,ROUND((INDEX($E96:$G96,W$5)-SUMIFS(TF_Timer,TF_Tekniker,W$4,TF_Dato,$A96))*2,0)/2)))</f>
        <v/>
      </c>
      <c r="X96">
        <f>IF(OR(X$4="",$A96&gt;TODAY()),0,IF(OR(INDEX($B96:$D96,X$5)="F",AND(X$6&gt;0,$A96&lt;X$6),AND(X$7&gt;0,$A96&gt;X$7)),0,MAX(0,ROUND((INDEX($E96:$G96,X$5)-SUMIFS(TF_Timer,TF_Tekniker,X$4,TF_Dato,$A96))*2,0)/2)))</f>
        <v/>
      </c>
      <c r="Y96">
        <f>IF(OR(Y$4="",$A96&gt;TODAY()),0,IF(OR(INDEX($B96:$D96,Y$5)="F",AND(Y$6&gt;0,$A96&lt;Y$6),AND(Y$7&gt;0,$A96&gt;Y$7)),0,MAX(0,ROUND((INDEX($E96:$G96,Y$5)-SUMIFS(TF_Timer,TF_Tekniker,Y$4,TF_Dato,$A96))*2,0)/2)))</f>
        <v/>
      </c>
      <c r="Z96">
        <f>IF(OR(Z$4="",$A96&gt;TODAY()),0,IF(OR(INDEX($B96:$D96,Z$5)="F",AND(Z$6&gt;0,$A96&lt;Z$6),AND(Z$7&gt;0,$A96&gt;Z$7)),0,MAX(0,ROUND((INDEX($E96:$G96,Z$5)-SUMIFS(TF_Timer,TF_Tekniker,Z$4,TF_Dato,$A96))*2,0)/2)))</f>
        <v/>
      </c>
      <c r="AA96">
        <f>IF(OR(AA$4="",$A96&gt;TODAY()),0,IF(OR(INDEX($B96:$D96,AA$5)="F",AND(AA$6&gt;0,$A96&lt;AA$6),AND(AA$7&gt;0,$A96&gt;AA$7)),0,MAX(0,ROUND((INDEX($E96:$G96,AA$5)-SUMIFS(TF_Timer,TF_Tekniker,AA$4,TF_Dato,$A96))*2,0)/2)))</f>
        <v/>
      </c>
      <c r="AB96">
        <f>IF(OR(AB$4="",$A96&gt;TODAY()),0,IF(OR(INDEX($B96:$D96,AB$5)="F",AND(AB$6&gt;0,$A96&lt;AB$6),AND(AB$7&gt;0,$A96&gt;AB$7)),0,MAX(0,ROUND((INDEX($E96:$G96,AB$5)-SUMIFS(TF_Timer,TF_Tekniker,AB$4,TF_Dato,$A96))*2,0)/2)))</f>
        <v/>
      </c>
      <c r="AC96">
        <f>IF(OR(AC$4="",$A96&gt;TODAY()),0,IF(OR(INDEX($B96:$D96,AC$5)="F",AND(AC$6&gt;0,$A96&lt;AC$6),AND(AC$7&gt;0,$A96&gt;AC$7)),0,MAX(0,ROUND((INDEX($E96:$G96,AC$5)-SUMIFS(TF_Timer,TF_Tekniker,AC$4,TF_Dato,$A96))*2,0)/2)))</f>
        <v/>
      </c>
      <c r="AD96">
        <f>IF(OR(AD$4="",$A96&gt;TODAY()),0,IF(OR(INDEX($B96:$D96,AD$5)="F",AND(AD$6&gt;0,$A96&lt;AD$6),AND(AD$7&gt;0,$A96&gt;AD$7)),0,MAX(0,ROUND((INDEX($E96:$G96,AD$5)-SUMIFS(TF_Timer,TF_Tekniker,AD$4,TF_Dato,$A96))*2,0)/2)))</f>
        <v/>
      </c>
      <c r="AE96">
        <f>IF(OR(AE$4="",$A96&gt;TODAY()),0,IF(OR(INDEX($B96:$D96,AE$5)="F",AND(AE$6&gt;0,$A96&lt;AE$6),AND(AE$7&gt;0,$A96&gt;AE$7)),0,MAX(0,ROUND((INDEX($E96:$G96,AE$5)-SUMIFS(TF_Timer,TF_Tekniker,AE$4,TF_Dato,$A96))*2,0)/2)))</f>
        <v/>
      </c>
      <c r="AF96">
        <f>IF(OR(AF$4="",$A96&gt;TODAY()),0,IF(OR(INDEX($B96:$D96,AF$5)="F",AND(AF$6&gt;0,$A96&lt;AF$6),AND(AF$7&gt;0,$A96&gt;AF$7)),0,MAX(0,ROUND((INDEX($E96:$G96,AF$5)-SUMIFS(TF_Timer,TF_Tekniker,AF$4,TF_Dato,$A96))*2,0)/2)))</f>
        <v/>
      </c>
      <c r="AG96">
        <f>IF(OR(AG$4="",$A96&gt;TODAY()),0,IF(OR(INDEX($B96:$D96,AG$5)="F",AND(AG$6&gt;0,$A96&lt;AG$6),AND(AG$7&gt;0,$A96&gt;AG$7)),0,MAX(0,ROUND((INDEX($E96:$G96,AG$5)-SUMIFS(TF_Timer,TF_Tekniker,AG$4,TF_Dato,$A96))*2,0)/2)))</f>
        <v/>
      </c>
      <c r="AH96">
        <f>IF(OR(AH$4="",$A96&gt;TODAY()),0,IF(OR(INDEX($B96:$D96,AH$5)="F",AND(AH$6&gt;0,$A96&lt;AH$6),AND(AH$7&gt;0,$A96&gt;AH$7)),0,MAX(0,ROUND((INDEX($E96:$G96,AH$5)-SUMIFS(TF_Timer,TF_Tekniker,AH$4,TF_Dato,$A96))*2,0)/2)))</f>
        <v/>
      </c>
      <c r="AI96">
        <f>IF(OR(AI$4="",$A96&gt;TODAY()),0,IF(OR(INDEX($B96:$D96,AI$5)="F",AND(AI$6&gt;0,$A96&lt;AI$6),AND(AI$7&gt;0,$A96&gt;AI$7)),0,MAX(0,ROUND((INDEX($E96:$G96,AI$5)-SUMIFS(TF_Timer,TF_Tekniker,AI$4,TF_Dato,$A96))*2,0)/2)))</f>
        <v/>
      </c>
      <c r="AJ96">
        <f>IF(OR(AJ$4="",$A96&gt;TODAY()),0,IF(OR(INDEX($B96:$D96,AJ$5)="F",AND(AJ$6&gt;0,$A96&lt;AJ$6),AND(AJ$7&gt;0,$A96&gt;AJ$7)),0,MAX(0,ROUND((INDEX($E96:$G96,AJ$5)-SUMIFS(TF_Timer,TF_Tekniker,AJ$4,TF_Dato,$A96))*2,0)/2)))</f>
        <v/>
      </c>
      <c r="AK96">
        <f>IF(OR(AK$4="",$A96&gt;TODAY()),0,IF(OR(INDEX($B96:$D96,AK$5)="F",AND(AK$6&gt;0,$A96&lt;AK$6),AND(AK$7&gt;0,$A96&gt;AK$7)),0,MAX(0,ROUND((INDEX($E96:$G96,AK$5)-SUMIFS(TF_Timer,TF_Tekniker,AK$4,TF_Dato,$A96))*2,0)/2)))</f>
        <v/>
      </c>
      <c r="AL96">
        <f>IF(OR(AL$4="",$A96&gt;TODAY()),0,IF(OR(INDEX($B96:$D96,AL$5)="F",AND(AL$6&gt;0,$A96&lt;AL$6),AND(AL$7&gt;0,$A96&gt;AL$7)),0,MAX(0,ROUND((INDEX($E96:$G96,AL$5)-SUMIFS(TF_Timer,TF_Tekniker,AL$4,TF_Dato,$A96))*2,0)/2)))</f>
        <v/>
      </c>
      <c r="AM96">
        <f>IF(OR(AM$4="",$A96&gt;TODAY()),0,IF(OR(INDEX($B96:$D96,AM$5)="F",AND(AM$6&gt;0,$A96&lt;AM$6),AND(AM$7&gt;0,$A96&gt;AM$7)),0,MAX(0,ROUND((INDEX($E96:$G96,AM$5)-SUMIFS(TF_Timer,TF_Tekniker,AM$4,TF_Dato,$A96))*2,0)/2)))</f>
        <v/>
      </c>
      <c r="AN96">
        <f>IF(OR(AN$4="",$A96&gt;TODAY()),0,IF(OR(INDEX($B96:$D96,AN$5)="F",AND(AN$6&gt;0,$A96&lt;AN$6),AND(AN$7&gt;0,$A96&gt;AN$7)),0,MAX(0,ROUND((INDEX($E96:$G96,AN$5)-SUMIFS(TF_Timer,TF_Tekniker,AN$4,TF_Dato,$A96))*2,0)/2)))</f>
        <v/>
      </c>
      <c r="AO96">
        <f>IF(OR(AO$4="",$A96&gt;TODAY()),0,IF(OR(INDEX($B96:$D96,AO$5)="F",AND(AO$6&gt;0,$A96&lt;AO$6),AND(AO$7&gt;0,$A96&gt;AO$7)),0,MAX(0,ROUND((INDEX($E96:$G96,AO$5)-SUMIFS(TF_Timer,TF_Tekniker,AO$4,TF_Dato,$A96))*2,0)/2)))</f>
        <v/>
      </c>
      <c r="AP96">
        <f>IF(OR(AP$4="",$A96&gt;TODAY()),0,IF(OR(INDEX($B96:$D96,AP$5)="F",AND(AP$6&gt;0,$A96&lt;AP$6),AND(AP$7&gt;0,$A96&gt;AP$7)),0,MAX(0,ROUND((INDEX($E96:$G96,AP$5)-SUMIFS(TF_Timer,TF_Tekniker,AP$4,TF_Dato,$A96))*2,0)/2)))</f>
        <v/>
      </c>
      <c r="AQ96">
        <f>IF(OR(AQ$4="",$A96&gt;TODAY()),0,IF(OR(INDEX($B96:$D96,AQ$5)="F",AND(AQ$6&gt;0,$A96&lt;AQ$6),AND(AQ$7&gt;0,$A96&gt;AQ$7)),0,MAX(0,ROUND((INDEX($E96:$G96,AQ$5)-SUMIFS(TF_Timer,TF_Tekniker,AQ$4,TF_Dato,$A96))*2,0)/2)))</f>
        <v/>
      </c>
      <c r="AR96">
        <f>IF(OR(AR$4="",$A96&gt;TODAY()),0,IF(OR(INDEX($B96:$D96,AR$5)="F",AND(AR$6&gt;0,$A96&lt;AR$6),AND(AR$7&gt;0,$A96&gt;AR$7)),0,MAX(0,ROUND((INDEX($E96:$G96,AR$5)-SUMIFS(TF_Timer,TF_Tekniker,AR$4,TF_Dato,$A96))*2,0)/2)))</f>
        <v/>
      </c>
      <c r="AS96">
        <f>IF(OR(AS$4="",$A96&gt;TODAY()),0,IF(OR(INDEX($B96:$D96,AS$5)="F",AND(AS$6&gt;0,$A96&lt;AS$6),AND(AS$7&gt;0,$A96&gt;AS$7)),0,MAX(0,ROUND((INDEX($E96:$G96,AS$5)-SUMIFS(TF_Timer,TF_Tekniker,AS$4,TF_Dato,$A96))*2,0)/2)))</f>
        <v/>
      </c>
      <c r="AT96">
        <f>IF(OR(AT$4="",$A96&gt;TODAY()),0,IF(OR(INDEX($B96:$D96,AT$5)="F",AND(AT$6&gt;0,$A96&lt;AT$6),AND(AT$7&gt;0,$A96&gt;AT$7)),0,MAX(0,ROUND((INDEX($E96:$G96,AT$5)-SUMIFS(TF_Timer,TF_Tekniker,AT$4,TF_Dato,$A96))*2,0)/2)))</f>
        <v/>
      </c>
      <c r="AU96">
        <f>IF(OR(AU$4="",$A96&gt;TODAY()),0,IF(OR(INDEX($B96:$D96,AU$5)="F",AND(AU$6&gt;0,$A96&lt;AU$6),AND(AU$7&gt;0,$A96&gt;AU$7)),0,MAX(0,ROUND((INDEX($E96:$G96,AU$5)-SUMIFS(TF_Timer,TF_Tekniker,AU$4,TF_Dato,$A96))*2,0)/2)))</f>
        <v/>
      </c>
      <c r="AV96">
        <f>IF(OR(AV$4="",$A96&gt;TODAY()),0,IF(OR(INDEX($B96:$D96,AV$5)="F",AND(AV$6&gt;0,$A96&lt;AV$6),AND(AV$7&gt;0,$A96&gt;AV$7)),0,MAX(0,ROUND((INDEX($E96:$G96,AV$5)-SUMIFS(TF_Timer,TF_Tekniker,AV$4,TF_Dato,$A96))*2,0)/2)))</f>
        <v/>
      </c>
      <c r="AW96">
        <f>IF(OR(AW$4="",$A96&gt;TODAY()),0,IF(OR(INDEX($B96:$D96,AW$5)="F",AND(AW$6&gt;0,$A96&lt;AW$6),AND(AW$7&gt;0,$A96&gt;AW$7)),0,MAX(0,ROUND((INDEX($E96:$G96,AW$5)-SUMIFS(TF_Timer,TF_Tekniker,AW$4,TF_Dato,$A96))*2,0)/2)))</f>
        <v/>
      </c>
      <c r="AX96">
        <f>IF(OR(AX$4="",$A96&gt;TODAY()),0,IF(OR(INDEX($B96:$D96,AX$5)="F",AND(AX$6&gt;0,$A96&lt;AX$6),AND(AX$7&gt;0,$A96&gt;AX$7)),0,MAX(0,ROUND((INDEX($E96:$G96,AX$5)-SUMIFS(TF_Timer,TF_Tekniker,AX$4,TF_Dato,$A96))*2,0)/2)))</f>
        <v/>
      </c>
      <c r="AY96">
        <f>IF(OR(AY$4="",$A96&gt;TODAY()),0,IF(OR(INDEX($B96:$D96,AY$5)="F",AND(AY$6&gt;0,$A96&lt;AY$6),AND(AY$7&gt;0,$A96&gt;AY$7)),0,MAX(0,ROUND((INDEX($E96:$G96,AY$5)-SUMIFS(TF_Timer,TF_Tekniker,AY$4,TF_Dato,$A96))*2,0)/2)))</f>
        <v/>
      </c>
      <c r="AZ96">
        <f>IF(OR(AZ$4="",$A96&gt;TODAY()),0,IF(OR(INDEX($B96:$D96,AZ$5)="F",AND(AZ$6&gt;0,$A96&lt;AZ$6),AND(AZ$7&gt;0,$A96&gt;AZ$7)),0,MAX(0,ROUND((INDEX($E96:$G96,AZ$5)-SUMIFS(TF_Timer,TF_Tekniker,AZ$4,TF_Dato,$A96))*2,0)/2)))</f>
        <v/>
      </c>
      <c r="BA96">
        <f>IF(OR(BA$4="",$A96&gt;TODAY()),0,IF(OR(INDEX($B96:$D96,BA$5)="F",AND(BA$6&gt;0,$A96&lt;BA$6),AND(BA$7&gt;0,$A96&gt;BA$7)),0,MAX(0,ROUND((INDEX($E96:$G96,BA$5)-SUMIFS(TF_Timer,TF_Tekniker,BA$4,TF_Dato,$A96))*2,0)/2)))</f>
        <v/>
      </c>
      <c r="BB96">
        <f>IF(OR(BB$4="",$A96&gt;TODAY()),0,IF(OR(INDEX($B96:$D96,BB$5)="F",AND(BB$6&gt;0,$A96&lt;BB$6),AND(BB$7&gt;0,$A96&gt;BB$7)),0,MAX(0,ROUND((INDEX($E96:$G96,BB$5)-SUMIFS(TF_Timer,TF_Tekniker,BB$4,TF_Dato,$A96))*2,0)/2)))</f>
        <v/>
      </c>
      <c r="BC96">
        <f>IF(OR(BC$4="",$A96&gt;TODAY()),0,IF(OR(INDEX($B96:$D96,BC$5)="F",AND(BC$6&gt;0,$A96&lt;BC$6),AND(BC$7&gt;0,$A96&gt;BC$7)),0,MAX(0,ROUND((INDEX($E96:$G96,BC$5)-SUMIFS(TF_Timer,TF_Tekniker,BC$4,TF_Dato,$A96))*2,0)/2)))</f>
        <v/>
      </c>
      <c r="BD96">
        <f>IF(OR(BD$4="",$A96&gt;TODAY()),0,IF(OR(INDEX($B96:$D96,BD$5)="F",AND(BD$6&gt;0,$A96&lt;BD$6),AND(BD$7&gt;0,$A96&gt;BD$7)),0,MAX(0,ROUND((INDEX($E96:$G96,BD$5)-SUMIFS(TF_Timer,TF_Tekniker,BD$4,TF_Dato,$A96))*2,0)/2)))</f>
        <v/>
      </c>
      <c r="BE96">
        <f>IF(OR(BE$4="",$A96&gt;TODAY()),0,IF(OR(INDEX($B96:$D96,BE$5)="F",AND(BE$6&gt;0,$A96&lt;BE$6),AND(BE$7&gt;0,$A96&gt;BE$7)),0,MAX(0,ROUND((INDEX($E96:$G96,BE$5)-SUMIFS(TF_Timer,TF_Tekniker,BE$4,TF_Dato,$A96))*2,0)/2)))</f>
        <v/>
      </c>
      <c r="BF96">
        <f>IF(OR(BF$4="",$A96&gt;TODAY()),0,IF(OR(INDEX($B96:$D96,BF$5)="F",AND(BF$6&gt;0,$A96&lt;BF$6),AND(BF$7&gt;0,$A96&gt;BF$7)),0,MAX(0,ROUND((INDEX($E96:$G96,BF$5)-SUMIFS(TF_Timer,TF_Tekniker,BF$4,TF_Dato,$A96))*2,0)/2)))</f>
        <v/>
      </c>
      <c r="BG96">
        <f>IF(OR(BG$4="",$A96&gt;TODAY()),0,IF(OR(INDEX($B96:$D96,BG$5)="F",AND(BG$6&gt;0,$A96&lt;BG$6),AND(BG$7&gt;0,$A96&gt;BG$7)),0,MAX(0,ROUND((INDEX($E96:$G96,BG$5)-SUMIFS(TF_Timer,TF_Tekniker,BG$4,TF_Dato,$A96))*2,0)/2)))</f>
        <v/>
      </c>
      <c r="BH96">
        <f>IF(OR(BH$4="",$A96&gt;TODAY()),0,IF(OR(INDEX($B96:$D96,BH$5)="F",AND(BH$6&gt;0,$A96&lt;BH$6),AND(BH$7&gt;0,$A96&gt;BH$7)),0,MAX(0,ROUND((INDEX($E96:$G96,BH$5)-SUMIFS(TF_Timer,TF_Tekniker,BH$4,TF_Dato,$A96))*2,0)/2)))</f>
        <v/>
      </c>
      <c r="BI96">
        <f>IF(OR(BI$4="",$A96&gt;TODAY()),0,IF(OR(INDEX($B96:$D96,BI$5)="F",AND(BI$6&gt;0,$A96&lt;BI$6),AND(BI$7&gt;0,$A96&gt;BI$7)),0,MAX(0,ROUND((INDEX($E96:$G96,BI$5)-SUMIFS(TF_Timer,TF_Tekniker,BI$4,TF_Dato,$A96))*2,0)/2)))</f>
        <v/>
      </c>
    </row>
    <row r="97">
      <c r="A97" s="64">
        <f>A96+1</f>
        <v/>
      </c>
      <c r="B97">
        <f>IF(MOD($A97-INDEX(SkiftStart,1),Syklus)&lt;DagK,"K",IF(MOD($A97-INDEX(SkiftStart,1),Syklus)&lt;DagK+DagH,"H",IF(MOD($A97-INDEX(SkiftStart,1),Syklus)&lt;DagK+DagH+DagD,"D","F")))</f>
        <v/>
      </c>
      <c r="C97">
        <f>IF(MOD($A97-INDEX(SkiftStart,2),Syklus)&lt;DagK,"K",IF(MOD($A97-INDEX(SkiftStart,2),Syklus)&lt;DagK+DagH,"H",IF(MOD($A97-INDEX(SkiftStart,2),Syklus)&lt;DagK+DagH+DagD,"D","F")))</f>
        <v/>
      </c>
      <c r="D97">
        <f>IF(MOD($A97-INDEX(SkiftStart,3),Syklus)&lt;DagK,"K",IF(MOD($A97-INDEX(SkiftStart,3),Syklus)&lt;DagK+DagH,"H",IF(MOD($A97-INDEX(SkiftStart,3),Syklus)&lt;DagK+DagH+DagD,"D","F")))</f>
        <v/>
      </c>
      <c r="E97">
        <f>IF(B97="F",0,IF(WEEKDAY($A97,2)=5,INDEX(TimerFr,MATCH(B97,FaseKode,0)),INDEX(TimerMT,MATCH(B97,FaseKode,0))))</f>
        <v/>
      </c>
      <c r="F97">
        <f>IF(C97="F",0,IF(WEEKDAY($A97,2)=5,INDEX(TimerFr,MATCH(C97,FaseKode,0)),INDEX(TimerMT,MATCH(C97,FaseKode,0))))</f>
        <v/>
      </c>
      <c r="G97">
        <f>IF(D97="F",0,IF(WEEKDAY($A97,2)=5,INDEX(TimerFr,MATCH(D97,FaseKode,0)),INDEX(TimerMT,MATCH(D97,FaseKode,0))))</f>
        <v/>
      </c>
      <c r="H97">
        <f>IF(OR(H$4="",$A97&gt;TODAY()),0,IF(OR(INDEX($B97:$D97,H$5)="F",AND(H$6&gt;0,$A97&lt;H$6),AND(H$7&gt;0,$A97&gt;H$7)),0,MAX(0,ROUND((INDEX($E97:$G97,H$5)-SUMIFS(TF_Timer,TF_Tekniker,H$4,TF_Dato,$A97))*2,0)/2)))</f>
        <v/>
      </c>
      <c r="I97">
        <f>IF(OR(I$4="",$A97&gt;TODAY()),0,IF(OR(INDEX($B97:$D97,I$5)="F",AND(I$6&gt;0,$A97&lt;I$6),AND(I$7&gt;0,$A97&gt;I$7)),0,MAX(0,ROUND((INDEX($E97:$G97,I$5)-SUMIFS(TF_Timer,TF_Tekniker,I$4,TF_Dato,$A97))*2,0)/2)))</f>
        <v/>
      </c>
      <c r="J97">
        <f>IF(OR(J$4="",$A97&gt;TODAY()),0,IF(OR(INDEX($B97:$D97,J$5)="F",AND(J$6&gt;0,$A97&lt;J$6),AND(J$7&gt;0,$A97&gt;J$7)),0,MAX(0,ROUND((INDEX($E97:$G97,J$5)-SUMIFS(TF_Timer,TF_Tekniker,J$4,TF_Dato,$A97))*2,0)/2)))</f>
        <v/>
      </c>
      <c r="K97">
        <f>IF(OR(K$4="",$A97&gt;TODAY()),0,IF(OR(INDEX($B97:$D97,K$5)="F",AND(K$6&gt;0,$A97&lt;K$6),AND(K$7&gt;0,$A97&gt;K$7)),0,MAX(0,ROUND((INDEX($E97:$G97,K$5)-SUMIFS(TF_Timer,TF_Tekniker,K$4,TF_Dato,$A97))*2,0)/2)))</f>
        <v/>
      </c>
      <c r="L97">
        <f>IF(OR(L$4="",$A97&gt;TODAY()),0,IF(OR(INDEX($B97:$D97,L$5)="F",AND(L$6&gt;0,$A97&lt;L$6),AND(L$7&gt;0,$A97&gt;L$7)),0,MAX(0,ROUND((INDEX($E97:$G97,L$5)-SUMIFS(TF_Timer,TF_Tekniker,L$4,TF_Dato,$A97))*2,0)/2)))</f>
        <v/>
      </c>
      <c r="M97">
        <f>IF(OR(M$4="",$A97&gt;TODAY()),0,IF(OR(INDEX($B97:$D97,M$5)="F",AND(M$6&gt;0,$A97&lt;M$6),AND(M$7&gt;0,$A97&gt;M$7)),0,MAX(0,ROUND((INDEX($E97:$G97,M$5)-SUMIFS(TF_Timer,TF_Tekniker,M$4,TF_Dato,$A97))*2,0)/2)))</f>
        <v/>
      </c>
      <c r="N97">
        <f>IF(OR(N$4="",$A97&gt;TODAY()),0,IF(OR(INDEX($B97:$D97,N$5)="F",AND(N$6&gt;0,$A97&lt;N$6),AND(N$7&gt;0,$A97&gt;N$7)),0,MAX(0,ROUND((INDEX($E97:$G97,N$5)-SUMIFS(TF_Timer,TF_Tekniker,N$4,TF_Dato,$A97))*2,0)/2)))</f>
        <v/>
      </c>
      <c r="O97">
        <f>IF(OR(O$4="",$A97&gt;TODAY()),0,IF(OR(INDEX($B97:$D97,O$5)="F",AND(O$6&gt;0,$A97&lt;O$6),AND(O$7&gt;0,$A97&gt;O$7)),0,MAX(0,ROUND((INDEX($E97:$G97,O$5)-SUMIFS(TF_Timer,TF_Tekniker,O$4,TF_Dato,$A97))*2,0)/2)))</f>
        <v/>
      </c>
      <c r="P97">
        <f>IF(OR(P$4="",$A97&gt;TODAY()),0,IF(OR(INDEX($B97:$D97,P$5)="F",AND(P$6&gt;0,$A97&lt;P$6),AND(P$7&gt;0,$A97&gt;P$7)),0,MAX(0,ROUND((INDEX($E97:$G97,P$5)-SUMIFS(TF_Timer,TF_Tekniker,P$4,TF_Dato,$A97))*2,0)/2)))</f>
        <v/>
      </c>
      <c r="Q97">
        <f>IF(OR(Q$4="",$A97&gt;TODAY()),0,IF(OR(INDEX($B97:$D97,Q$5)="F",AND(Q$6&gt;0,$A97&lt;Q$6),AND(Q$7&gt;0,$A97&gt;Q$7)),0,MAX(0,ROUND((INDEX($E97:$G97,Q$5)-SUMIFS(TF_Timer,TF_Tekniker,Q$4,TF_Dato,$A97))*2,0)/2)))</f>
        <v/>
      </c>
      <c r="R97">
        <f>IF(OR(R$4="",$A97&gt;TODAY()),0,IF(OR(INDEX($B97:$D97,R$5)="F",AND(R$6&gt;0,$A97&lt;R$6),AND(R$7&gt;0,$A97&gt;R$7)),0,MAX(0,ROUND((INDEX($E97:$G97,R$5)-SUMIFS(TF_Timer,TF_Tekniker,R$4,TF_Dato,$A97))*2,0)/2)))</f>
        <v/>
      </c>
      <c r="S97">
        <f>IF(OR(S$4="",$A97&gt;TODAY()),0,IF(OR(INDEX($B97:$D97,S$5)="F",AND(S$6&gt;0,$A97&lt;S$6),AND(S$7&gt;0,$A97&gt;S$7)),0,MAX(0,ROUND((INDEX($E97:$G97,S$5)-SUMIFS(TF_Timer,TF_Tekniker,S$4,TF_Dato,$A97))*2,0)/2)))</f>
        <v/>
      </c>
      <c r="T97">
        <f>IF(OR(T$4="",$A97&gt;TODAY()),0,IF(OR(INDEX($B97:$D97,T$5)="F",AND(T$6&gt;0,$A97&lt;T$6),AND(T$7&gt;0,$A97&gt;T$7)),0,MAX(0,ROUND((INDEX($E97:$G97,T$5)-SUMIFS(TF_Timer,TF_Tekniker,T$4,TF_Dato,$A97))*2,0)/2)))</f>
        <v/>
      </c>
      <c r="U97">
        <f>IF(OR(U$4="",$A97&gt;TODAY()),0,IF(OR(INDEX($B97:$D97,U$5)="F",AND(U$6&gt;0,$A97&lt;U$6),AND(U$7&gt;0,$A97&gt;U$7)),0,MAX(0,ROUND((INDEX($E97:$G97,U$5)-SUMIFS(TF_Timer,TF_Tekniker,U$4,TF_Dato,$A97))*2,0)/2)))</f>
        <v/>
      </c>
      <c r="V97">
        <f>IF(OR(V$4="",$A97&gt;TODAY()),0,IF(OR(INDEX($B97:$D97,V$5)="F",AND(V$6&gt;0,$A97&lt;V$6),AND(V$7&gt;0,$A97&gt;V$7)),0,MAX(0,ROUND((INDEX($E97:$G97,V$5)-SUMIFS(TF_Timer,TF_Tekniker,V$4,TF_Dato,$A97))*2,0)/2)))</f>
        <v/>
      </c>
      <c r="W97">
        <f>IF(OR(W$4="",$A97&gt;TODAY()),0,IF(OR(INDEX($B97:$D97,W$5)="F",AND(W$6&gt;0,$A97&lt;W$6),AND(W$7&gt;0,$A97&gt;W$7)),0,MAX(0,ROUND((INDEX($E97:$G97,W$5)-SUMIFS(TF_Timer,TF_Tekniker,W$4,TF_Dato,$A97))*2,0)/2)))</f>
        <v/>
      </c>
      <c r="X97">
        <f>IF(OR(X$4="",$A97&gt;TODAY()),0,IF(OR(INDEX($B97:$D97,X$5)="F",AND(X$6&gt;0,$A97&lt;X$6),AND(X$7&gt;0,$A97&gt;X$7)),0,MAX(0,ROUND((INDEX($E97:$G97,X$5)-SUMIFS(TF_Timer,TF_Tekniker,X$4,TF_Dato,$A97))*2,0)/2)))</f>
        <v/>
      </c>
      <c r="Y97">
        <f>IF(OR(Y$4="",$A97&gt;TODAY()),0,IF(OR(INDEX($B97:$D97,Y$5)="F",AND(Y$6&gt;0,$A97&lt;Y$6),AND(Y$7&gt;0,$A97&gt;Y$7)),0,MAX(0,ROUND((INDEX($E97:$G97,Y$5)-SUMIFS(TF_Timer,TF_Tekniker,Y$4,TF_Dato,$A97))*2,0)/2)))</f>
        <v/>
      </c>
      <c r="Z97">
        <f>IF(OR(Z$4="",$A97&gt;TODAY()),0,IF(OR(INDEX($B97:$D97,Z$5)="F",AND(Z$6&gt;0,$A97&lt;Z$6),AND(Z$7&gt;0,$A97&gt;Z$7)),0,MAX(0,ROUND((INDEX($E97:$G97,Z$5)-SUMIFS(TF_Timer,TF_Tekniker,Z$4,TF_Dato,$A97))*2,0)/2)))</f>
        <v/>
      </c>
      <c r="AA97">
        <f>IF(OR(AA$4="",$A97&gt;TODAY()),0,IF(OR(INDEX($B97:$D97,AA$5)="F",AND(AA$6&gt;0,$A97&lt;AA$6),AND(AA$7&gt;0,$A97&gt;AA$7)),0,MAX(0,ROUND((INDEX($E97:$G97,AA$5)-SUMIFS(TF_Timer,TF_Tekniker,AA$4,TF_Dato,$A97))*2,0)/2)))</f>
        <v/>
      </c>
      <c r="AB97">
        <f>IF(OR(AB$4="",$A97&gt;TODAY()),0,IF(OR(INDEX($B97:$D97,AB$5)="F",AND(AB$6&gt;0,$A97&lt;AB$6),AND(AB$7&gt;0,$A97&gt;AB$7)),0,MAX(0,ROUND((INDEX($E97:$G97,AB$5)-SUMIFS(TF_Timer,TF_Tekniker,AB$4,TF_Dato,$A97))*2,0)/2)))</f>
        <v/>
      </c>
      <c r="AC97">
        <f>IF(OR(AC$4="",$A97&gt;TODAY()),0,IF(OR(INDEX($B97:$D97,AC$5)="F",AND(AC$6&gt;0,$A97&lt;AC$6),AND(AC$7&gt;0,$A97&gt;AC$7)),0,MAX(0,ROUND((INDEX($E97:$G97,AC$5)-SUMIFS(TF_Timer,TF_Tekniker,AC$4,TF_Dato,$A97))*2,0)/2)))</f>
        <v/>
      </c>
      <c r="AD97">
        <f>IF(OR(AD$4="",$A97&gt;TODAY()),0,IF(OR(INDEX($B97:$D97,AD$5)="F",AND(AD$6&gt;0,$A97&lt;AD$6),AND(AD$7&gt;0,$A97&gt;AD$7)),0,MAX(0,ROUND((INDEX($E97:$G97,AD$5)-SUMIFS(TF_Timer,TF_Tekniker,AD$4,TF_Dato,$A97))*2,0)/2)))</f>
        <v/>
      </c>
      <c r="AE97">
        <f>IF(OR(AE$4="",$A97&gt;TODAY()),0,IF(OR(INDEX($B97:$D97,AE$5)="F",AND(AE$6&gt;0,$A97&lt;AE$6),AND(AE$7&gt;0,$A97&gt;AE$7)),0,MAX(0,ROUND((INDEX($E97:$G97,AE$5)-SUMIFS(TF_Timer,TF_Tekniker,AE$4,TF_Dato,$A97))*2,0)/2)))</f>
        <v/>
      </c>
      <c r="AF97">
        <f>IF(OR(AF$4="",$A97&gt;TODAY()),0,IF(OR(INDEX($B97:$D97,AF$5)="F",AND(AF$6&gt;0,$A97&lt;AF$6),AND(AF$7&gt;0,$A97&gt;AF$7)),0,MAX(0,ROUND((INDEX($E97:$G97,AF$5)-SUMIFS(TF_Timer,TF_Tekniker,AF$4,TF_Dato,$A97))*2,0)/2)))</f>
        <v/>
      </c>
      <c r="AG97">
        <f>IF(OR(AG$4="",$A97&gt;TODAY()),0,IF(OR(INDEX($B97:$D97,AG$5)="F",AND(AG$6&gt;0,$A97&lt;AG$6),AND(AG$7&gt;0,$A97&gt;AG$7)),0,MAX(0,ROUND((INDEX($E97:$G97,AG$5)-SUMIFS(TF_Timer,TF_Tekniker,AG$4,TF_Dato,$A97))*2,0)/2)))</f>
        <v/>
      </c>
      <c r="AH97">
        <f>IF(OR(AH$4="",$A97&gt;TODAY()),0,IF(OR(INDEX($B97:$D97,AH$5)="F",AND(AH$6&gt;0,$A97&lt;AH$6),AND(AH$7&gt;0,$A97&gt;AH$7)),0,MAX(0,ROUND((INDEX($E97:$G97,AH$5)-SUMIFS(TF_Timer,TF_Tekniker,AH$4,TF_Dato,$A97))*2,0)/2)))</f>
        <v/>
      </c>
      <c r="AI97">
        <f>IF(OR(AI$4="",$A97&gt;TODAY()),0,IF(OR(INDEX($B97:$D97,AI$5)="F",AND(AI$6&gt;0,$A97&lt;AI$6),AND(AI$7&gt;0,$A97&gt;AI$7)),0,MAX(0,ROUND((INDEX($E97:$G97,AI$5)-SUMIFS(TF_Timer,TF_Tekniker,AI$4,TF_Dato,$A97))*2,0)/2)))</f>
        <v/>
      </c>
      <c r="AJ97">
        <f>IF(OR(AJ$4="",$A97&gt;TODAY()),0,IF(OR(INDEX($B97:$D97,AJ$5)="F",AND(AJ$6&gt;0,$A97&lt;AJ$6),AND(AJ$7&gt;0,$A97&gt;AJ$7)),0,MAX(0,ROUND((INDEX($E97:$G97,AJ$5)-SUMIFS(TF_Timer,TF_Tekniker,AJ$4,TF_Dato,$A97))*2,0)/2)))</f>
        <v/>
      </c>
      <c r="AK97">
        <f>IF(OR(AK$4="",$A97&gt;TODAY()),0,IF(OR(INDEX($B97:$D97,AK$5)="F",AND(AK$6&gt;0,$A97&lt;AK$6),AND(AK$7&gt;0,$A97&gt;AK$7)),0,MAX(0,ROUND((INDEX($E97:$G97,AK$5)-SUMIFS(TF_Timer,TF_Tekniker,AK$4,TF_Dato,$A97))*2,0)/2)))</f>
        <v/>
      </c>
      <c r="AL97">
        <f>IF(OR(AL$4="",$A97&gt;TODAY()),0,IF(OR(INDEX($B97:$D97,AL$5)="F",AND(AL$6&gt;0,$A97&lt;AL$6),AND(AL$7&gt;0,$A97&gt;AL$7)),0,MAX(0,ROUND((INDEX($E97:$G97,AL$5)-SUMIFS(TF_Timer,TF_Tekniker,AL$4,TF_Dato,$A97))*2,0)/2)))</f>
        <v/>
      </c>
      <c r="AM97">
        <f>IF(OR(AM$4="",$A97&gt;TODAY()),0,IF(OR(INDEX($B97:$D97,AM$5)="F",AND(AM$6&gt;0,$A97&lt;AM$6),AND(AM$7&gt;0,$A97&gt;AM$7)),0,MAX(0,ROUND((INDEX($E97:$G97,AM$5)-SUMIFS(TF_Timer,TF_Tekniker,AM$4,TF_Dato,$A97))*2,0)/2)))</f>
        <v/>
      </c>
      <c r="AN97">
        <f>IF(OR(AN$4="",$A97&gt;TODAY()),0,IF(OR(INDEX($B97:$D97,AN$5)="F",AND(AN$6&gt;0,$A97&lt;AN$6),AND(AN$7&gt;0,$A97&gt;AN$7)),0,MAX(0,ROUND((INDEX($E97:$G97,AN$5)-SUMIFS(TF_Timer,TF_Tekniker,AN$4,TF_Dato,$A97))*2,0)/2)))</f>
        <v/>
      </c>
      <c r="AO97">
        <f>IF(OR(AO$4="",$A97&gt;TODAY()),0,IF(OR(INDEX($B97:$D97,AO$5)="F",AND(AO$6&gt;0,$A97&lt;AO$6),AND(AO$7&gt;0,$A97&gt;AO$7)),0,MAX(0,ROUND((INDEX($E97:$G97,AO$5)-SUMIFS(TF_Timer,TF_Tekniker,AO$4,TF_Dato,$A97))*2,0)/2)))</f>
        <v/>
      </c>
      <c r="AP97">
        <f>IF(OR(AP$4="",$A97&gt;TODAY()),0,IF(OR(INDEX($B97:$D97,AP$5)="F",AND(AP$6&gt;0,$A97&lt;AP$6),AND(AP$7&gt;0,$A97&gt;AP$7)),0,MAX(0,ROUND((INDEX($E97:$G97,AP$5)-SUMIFS(TF_Timer,TF_Tekniker,AP$4,TF_Dato,$A97))*2,0)/2)))</f>
        <v/>
      </c>
      <c r="AQ97">
        <f>IF(OR(AQ$4="",$A97&gt;TODAY()),0,IF(OR(INDEX($B97:$D97,AQ$5)="F",AND(AQ$6&gt;0,$A97&lt;AQ$6),AND(AQ$7&gt;0,$A97&gt;AQ$7)),0,MAX(0,ROUND((INDEX($E97:$G97,AQ$5)-SUMIFS(TF_Timer,TF_Tekniker,AQ$4,TF_Dato,$A97))*2,0)/2)))</f>
        <v/>
      </c>
      <c r="AR97">
        <f>IF(OR(AR$4="",$A97&gt;TODAY()),0,IF(OR(INDEX($B97:$D97,AR$5)="F",AND(AR$6&gt;0,$A97&lt;AR$6),AND(AR$7&gt;0,$A97&gt;AR$7)),0,MAX(0,ROUND((INDEX($E97:$G97,AR$5)-SUMIFS(TF_Timer,TF_Tekniker,AR$4,TF_Dato,$A97))*2,0)/2)))</f>
        <v/>
      </c>
      <c r="AS97">
        <f>IF(OR(AS$4="",$A97&gt;TODAY()),0,IF(OR(INDEX($B97:$D97,AS$5)="F",AND(AS$6&gt;0,$A97&lt;AS$6),AND(AS$7&gt;0,$A97&gt;AS$7)),0,MAX(0,ROUND((INDEX($E97:$G97,AS$5)-SUMIFS(TF_Timer,TF_Tekniker,AS$4,TF_Dato,$A97))*2,0)/2)))</f>
        <v/>
      </c>
      <c r="AT97">
        <f>IF(OR(AT$4="",$A97&gt;TODAY()),0,IF(OR(INDEX($B97:$D97,AT$5)="F",AND(AT$6&gt;0,$A97&lt;AT$6),AND(AT$7&gt;0,$A97&gt;AT$7)),0,MAX(0,ROUND((INDEX($E97:$G97,AT$5)-SUMIFS(TF_Timer,TF_Tekniker,AT$4,TF_Dato,$A97))*2,0)/2)))</f>
        <v/>
      </c>
      <c r="AU97">
        <f>IF(OR(AU$4="",$A97&gt;TODAY()),0,IF(OR(INDEX($B97:$D97,AU$5)="F",AND(AU$6&gt;0,$A97&lt;AU$6),AND(AU$7&gt;0,$A97&gt;AU$7)),0,MAX(0,ROUND((INDEX($E97:$G97,AU$5)-SUMIFS(TF_Timer,TF_Tekniker,AU$4,TF_Dato,$A97))*2,0)/2)))</f>
        <v/>
      </c>
      <c r="AV97">
        <f>IF(OR(AV$4="",$A97&gt;TODAY()),0,IF(OR(INDEX($B97:$D97,AV$5)="F",AND(AV$6&gt;0,$A97&lt;AV$6),AND(AV$7&gt;0,$A97&gt;AV$7)),0,MAX(0,ROUND((INDEX($E97:$G97,AV$5)-SUMIFS(TF_Timer,TF_Tekniker,AV$4,TF_Dato,$A97))*2,0)/2)))</f>
        <v/>
      </c>
      <c r="AW97">
        <f>IF(OR(AW$4="",$A97&gt;TODAY()),0,IF(OR(INDEX($B97:$D97,AW$5)="F",AND(AW$6&gt;0,$A97&lt;AW$6),AND(AW$7&gt;0,$A97&gt;AW$7)),0,MAX(0,ROUND((INDEX($E97:$G97,AW$5)-SUMIFS(TF_Timer,TF_Tekniker,AW$4,TF_Dato,$A97))*2,0)/2)))</f>
        <v/>
      </c>
      <c r="AX97">
        <f>IF(OR(AX$4="",$A97&gt;TODAY()),0,IF(OR(INDEX($B97:$D97,AX$5)="F",AND(AX$6&gt;0,$A97&lt;AX$6),AND(AX$7&gt;0,$A97&gt;AX$7)),0,MAX(0,ROUND((INDEX($E97:$G97,AX$5)-SUMIFS(TF_Timer,TF_Tekniker,AX$4,TF_Dato,$A97))*2,0)/2)))</f>
        <v/>
      </c>
      <c r="AY97">
        <f>IF(OR(AY$4="",$A97&gt;TODAY()),0,IF(OR(INDEX($B97:$D97,AY$5)="F",AND(AY$6&gt;0,$A97&lt;AY$6),AND(AY$7&gt;0,$A97&gt;AY$7)),0,MAX(0,ROUND((INDEX($E97:$G97,AY$5)-SUMIFS(TF_Timer,TF_Tekniker,AY$4,TF_Dato,$A97))*2,0)/2)))</f>
        <v/>
      </c>
      <c r="AZ97">
        <f>IF(OR(AZ$4="",$A97&gt;TODAY()),0,IF(OR(INDEX($B97:$D97,AZ$5)="F",AND(AZ$6&gt;0,$A97&lt;AZ$6),AND(AZ$7&gt;0,$A97&gt;AZ$7)),0,MAX(0,ROUND((INDEX($E97:$G97,AZ$5)-SUMIFS(TF_Timer,TF_Tekniker,AZ$4,TF_Dato,$A97))*2,0)/2)))</f>
        <v/>
      </c>
      <c r="BA97">
        <f>IF(OR(BA$4="",$A97&gt;TODAY()),0,IF(OR(INDEX($B97:$D97,BA$5)="F",AND(BA$6&gt;0,$A97&lt;BA$6),AND(BA$7&gt;0,$A97&gt;BA$7)),0,MAX(0,ROUND((INDEX($E97:$G97,BA$5)-SUMIFS(TF_Timer,TF_Tekniker,BA$4,TF_Dato,$A97))*2,0)/2)))</f>
        <v/>
      </c>
      <c r="BB97">
        <f>IF(OR(BB$4="",$A97&gt;TODAY()),0,IF(OR(INDEX($B97:$D97,BB$5)="F",AND(BB$6&gt;0,$A97&lt;BB$6),AND(BB$7&gt;0,$A97&gt;BB$7)),0,MAX(0,ROUND((INDEX($E97:$G97,BB$5)-SUMIFS(TF_Timer,TF_Tekniker,BB$4,TF_Dato,$A97))*2,0)/2)))</f>
        <v/>
      </c>
      <c r="BC97">
        <f>IF(OR(BC$4="",$A97&gt;TODAY()),0,IF(OR(INDEX($B97:$D97,BC$5)="F",AND(BC$6&gt;0,$A97&lt;BC$6),AND(BC$7&gt;0,$A97&gt;BC$7)),0,MAX(0,ROUND((INDEX($E97:$G97,BC$5)-SUMIFS(TF_Timer,TF_Tekniker,BC$4,TF_Dato,$A97))*2,0)/2)))</f>
        <v/>
      </c>
      <c r="BD97">
        <f>IF(OR(BD$4="",$A97&gt;TODAY()),0,IF(OR(INDEX($B97:$D97,BD$5)="F",AND(BD$6&gt;0,$A97&lt;BD$6),AND(BD$7&gt;0,$A97&gt;BD$7)),0,MAX(0,ROUND((INDEX($E97:$G97,BD$5)-SUMIFS(TF_Timer,TF_Tekniker,BD$4,TF_Dato,$A97))*2,0)/2)))</f>
        <v/>
      </c>
      <c r="BE97">
        <f>IF(OR(BE$4="",$A97&gt;TODAY()),0,IF(OR(INDEX($B97:$D97,BE$5)="F",AND(BE$6&gt;0,$A97&lt;BE$6),AND(BE$7&gt;0,$A97&gt;BE$7)),0,MAX(0,ROUND((INDEX($E97:$G97,BE$5)-SUMIFS(TF_Timer,TF_Tekniker,BE$4,TF_Dato,$A97))*2,0)/2)))</f>
        <v/>
      </c>
      <c r="BF97">
        <f>IF(OR(BF$4="",$A97&gt;TODAY()),0,IF(OR(INDEX($B97:$D97,BF$5)="F",AND(BF$6&gt;0,$A97&lt;BF$6),AND(BF$7&gt;0,$A97&gt;BF$7)),0,MAX(0,ROUND((INDEX($E97:$G97,BF$5)-SUMIFS(TF_Timer,TF_Tekniker,BF$4,TF_Dato,$A97))*2,0)/2)))</f>
        <v/>
      </c>
      <c r="BG97">
        <f>IF(OR(BG$4="",$A97&gt;TODAY()),0,IF(OR(INDEX($B97:$D97,BG$5)="F",AND(BG$6&gt;0,$A97&lt;BG$6),AND(BG$7&gt;0,$A97&gt;BG$7)),0,MAX(0,ROUND((INDEX($E97:$G97,BG$5)-SUMIFS(TF_Timer,TF_Tekniker,BG$4,TF_Dato,$A97))*2,0)/2)))</f>
        <v/>
      </c>
      <c r="BH97">
        <f>IF(OR(BH$4="",$A97&gt;TODAY()),0,IF(OR(INDEX($B97:$D97,BH$5)="F",AND(BH$6&gt;0,$A97&lt;BH$6),AND(BH$7&gt;0,$A97&gt;BH$7)),0,MAX(0,ROUND((INDEX($E97:$G97,BH$5)-SUMIFS(TF_Timer,TF_Tekniker,BH$4,TF_Dato,$A97))*2,0)/2)))</f>
        <v/>
      </c>
      <c r="BI97">
        <f>IF(OR(BI$4="",$A97&gt;TODAY()),0,IF(OR(INDEX($B97:$D97,BI$5)="F",AND(BI$6&gt;0,$A97&lt;BI$6),AND(BI$7&gt;0,$A97&gt;BI$7)),0,MAX(0,ROUND((INDEX($E97:$G97,BI$5)-SUMIFS(TF_Timer,TF_Tekniker,BI$4,TF_Dato,$A97))*2,0)/2)))</f>
        <v/>
      </c>
    </row>
    <row r="98">
      <c r="A98" s="64">
        <f>A97+1</f>
        <v/>
      </c>
      <c r="B98">
        <f>IF(MOD($A98-INDEX(SkiftStart,1),Syklus)&lt;DagK,"K",IF(MOD($A98-INDEX(SkiftStart,1),Syklus)&lt;DagK+DagH,"H",IF(MOD($A98-INDEX(SkiftStart,1),Syklus)&lt;DagK+DagH+DagD,"D","F")))</f>
        <v/>
      </c>
      <c r="C98">
        <f>IF(MOD($A98-INDEX(SkiftStart,2),Syklus)&lt;DagK,"K",IF(MOD($A98-INDEX(SkiftStart,2),Syklus)&lt;DagK+DagH,"H",IF(MOD($A98-INDEX(SkiftStart,2),Syklus)&lt;DagK+DagH+DagD,"D","F")))</f>
        <v/>
      </c>
      <c r="D98">
        <f>IF(MOD($A98-INDEX(SkiftStart,3),Syklus)&lt;DagK,"K",IF(MOD($A98-INDEX(SkiftStart,3),Syklus)&lt;DagK+DagH,"H",IF(MOD($A98-INDEX(SkiftStart,3),Syklus)&lt;DagK+DagH+DagD,"D","F")))</f>
        <v/>
      </c>
      <c r="E98">
        <f>IF(B98="F",0,IF(WEEKDAY($A98,2)=5,INDEX(TimerFr,MATCH(B98,FaseKode,0)),INDEX(TimerMT,MATCH(B98,FaseKode,0))))</f>
        <v/>
      </c>
      <c r="F98">
        <f>IF(C98="F",0,IF(WEEKDAY($A98,2)=5,INDEX(TimerFr,MATCH(C98,FaseKode,0)),INDEX(TimerMT,MATCH(C98,FaseKode,0))))</f>
        <v/>
      </c>
      <c r="G98">
        <f>IF(D98="F",0,IF(WEEKDAY($A98,2)=5,INDEX(TimerFr,MATCH(D98,FaseKode,0)),INDEX(TimerMT,MATCH(D98,FaseKode,0))))</f>
        <v/>
      </c>
      <c r="H98">
        <f>IF(OR(H$4="",$A98&gt;TODAY()),0,IF(OR(INDEX($B98:$D98,H$5)="F",AND(H$6&gt;0,$A98&lt;H$6),AND(H$7&gt;0,$A98&gt;H$7)),0,MAX(0,ROUND((INDEX($E98:$G98,H$5)-SUMIFS(TF_Timer,TF_Tekniker,H$4,TF_Dato,$A98))*2,0)/2)))</f>
        <v/>
      </c>
      <c r="I98">
        <f>IF(OR(I$4="",$A98&gt;TODAY()),0,IF(OR(INDEX($B98:$D98,I$5)="F",AND(I$6&gt;0,$A98&lt;I$6),AND(I$7&gt;0,$A98&gt;I$7)),0,MAX(0,ROUND((INDEX($E98:$G98,I$5)-SUMIFS(TF_Timer,TF_Tekniker,I$4,TF_Dato,$A98))*2,0)/2)))</f>
        <v/>
      </c>
      <c r="J98">
        <f>IF(OR(J$4="",$A98&gt;TODAY()),0,IF(OR(INDEX($B98:$D98,J$5)="F",AND(J$6&gt;0,$A98&lt;J$6),AND(J$7&gt;0,$A98&gt;J$7)),0,MAX(0,ROUND((INDEX($E98:$G98,J$5)-SUMIFS(TF_Timer,TF_Tekniker,J$4,TF_Dato,$A98))*2,0)/2)))</f>
        <v/>
      </c>
      <c r="K98">
        <f>IF(OR(K$4="",$A98&gt;TODAY()),0,IF(OR(INDEX($B98:$D98,K$5)="F",AND(K$6&gt;0,$A98&lt;K$6),AND(K$7&gt;0,$A98&gt;K$7)),0,MAX(0,ROUND((INDEX($E98:$G98,K$5)-SUMIFS(TF_Timer,TF_Tekniker,K$4,TF_Dato,$A98))*2,0)/2)))</f>
        <v/>
      </c>
      <c r="L98">
        <f>IF(OR(L$4="",$A98&gt;TODAY()),0,IF(OR(INDEX($B98:$D98,L$5)="F",AND(L$6&gt;0,$A98&lt;L$6),AND(L$7&gt;0,$A98&gt;L$7)),0,MAX(0,ROUND((INDEX($E98:$G98,L$5)-SUMIFS(TF_Timer,TF_Tekniker,L$4,TF_Dato,$A98))*2,0)/2)))</f>
        <v/>
      </c>
      <c r="M98">
        <f>IF(OR(M$4="",$A98&gt;TODAY()),0,IF(OR(INDEX($B98:$D98,M$5)="F",AND(M$6&gt;0,$A98&lt;M$6),AND(M$7&gt;0,$A98&gt;M$7)),0,MAX(0,ROUND((INDEX($E98:$G98,M$5)-SUMIFS(TF_Timer,TF_Tekniker,M$4,TF_Dato,$A98))*2,0)/2)))</f>
        <v/>
      </c>
      <c r="N98">
        <f>IF(OR(N$4="",$A98&gt;TODAY()),0,IF(OR(INDEX($B98:$D98,N$5)="F",AND(N$6&gt;0,$A98&lt;N$6),AND(N$7&gt;0,$A98&gt;N$7)),0,MAX(0,ROUND((INDEX($E98:$G98,N$5)-SUMIFS(TF_Timer,TF_Tekniker,N$4,TF_Dato,$A98))*2,0)/2)))</f>
        <v/>
      </c>
      <c r="O98">
        <f>IF(OR(O$4="",$A98&gt;TODAY()),0,IF(OR(INDEX($B98:$D98,O$5)="F",AND(O$6&gt;0,$A98&lt;O$6),AND(O$7&gt;0,$A98&gt;O$7)),0,MAX(0,ROUND((INDEX($E98:$G98,O$5)-SUMIFS(TF_Timer,TF_Tekniker,O$4,TF_Dato,$A98))*2,0)/2)))</f>
        <v/>
      </c>
      <c r="P98">
        <f>IF(OR(P$4="",$A98&gt;TODAY()),0,IF(OR(INDEX($B98:$D98,P$5)="F",AND(P$6&gt;0,$A98&lt;P$6),AND(P$7&gt;0,$A98&gt;P$7)),0,MAX(0,ROUND((INDEX($E98:$G98,P$5)-SUMIFS(TF_Timer,TF_Tekniker,P$4,TF_Dato,$A98))*2,0)/2)))</f>
        <v/>
      </c>
      <c r="Q98">
        <f>IF(OR(Q$4="",$A98&gt;TODAY()),0,IF(OR(INDEX($B98:$D98,Q$5)="F",AND(Q$6&gt;0,$A98&lt;Q$6),AND(Q$7&gt;0,$A98&gt;Q$7)),0,MAX(0,ROUND((INDEX($E98:$G98,Q$5)-SUMIFS(TF_Timer,TF_Tekniker,Q$4,TF_Dato,$A98))*2,0)/2)))</f>
        <v/>
      </c>
      <c r="R98">
        <f>IF(OR(R$4="",$A98&gt;TODAY()),0,IF(OR(INDEX($B98:$D98,R$5)="F",AND(R$6&gt;0,$A98&lt;R$6),AND(R$7&gt;0,$A98&gt;R$7)),0,MAX(0,ROUND((INDEX($E98:$G98,R$5)-SUMIFS(TF_Timer,TF_Tekniker,R$4,TF_Dato,$A98))*2,0)/2)))</f>
        <v/>
      </c>
      <c r="S98">
        <f>IF(OR(S$4="",$A98&gt;TODAY()),0,IF(OR(INDEX($B98:$D98,S$5)="F",AND(S$6&gt;0,$A98&lt;S$6),AND(S$7&gt;0,$A98&gt;S$7)),0,MAX(0,ROUND((INDEX($E98:$G98,S$5)-SUMIFS(TF_Timer,TF_Tekniker,S$4,TF_Dato,$A98))*2,0)/2)))</f>
        <v/>
      </c>
      <c r="T98">
        <f>IF(OR(T$4="",$A98&gt;TODAY()),0,IF(OR(INDEX($B98:$D98,T$5)="F",AND(T$6&gt;0,$A98&lt;T$6),AND(T$7&gt;0,$A98&gt;T$7)),0,MAX(0,ROUND((INDEX($E98:$G98,T$5)-SUMIFS(TF_Timer,TF_Tekniker,T$4,TF_Dato,$A98))*2,0)/2)))</f>
        <v/>
      </c>
      <c r="U98">
        <f>IF(OR(U$4="",$A98&gt;TODAY()),0,IF(OR(INDEX($B98:$D98,U$5)="F",AND(U$6&gt;0,$A98&lt;U$6),AND(U$7&gt;0,$A98&gt;U$7)),0,MAX(0,ROUND((INDEX($E98:$G98,U$5)-SUMIFS(TF_Timer,TF_Tekniker,U$4,TF_Dato,$A98))*2,0)/2)))</f>
        <v/>
      </c>
      <c r="V98">
        <f>IF(OR(V$4="",$A98&gt;TODAY()),0,IF(OR(INDEX($B98:$D98,V$5)="F",AND(V$6&gt;0,$A98&lt;V$6),AND(V$7&gt;0,$A98&gt;V$7)),0,MAX(0,ROUND((INDEX($E98:$G98,V$5)-SUMIFS(TF_Timer,TF_Tekniker,V$4,TF_Dato,$A98))*2,0)/2)))</f>
        <v/>
      </c>
      <c r="W98">
        <f>IF(OR(W$4="",$A98&gt;TODAY()),0,IF(OR(INDEX($B98:$D98,W$5)="F",AND(W$6&gt;0,$A98&lt;W$6),AND(W$7&gt;0,$A98&gt;W$7)),0,MAX(0,ROUND((INDEX($E98:$G98,W$5)-SUMIFS(TF_Timer,TF_Tekniker,W$4,TF_Dato,$A98))*2,0)/2)))</f>
        <v/>
      </c>
      <c r="X98">
        <f>IF(OR(X$4="",$A98&gt;TODAY()),0,IF(OR(INDEX($B98:$D98,X$5)="F",AND(X$6&gt;0,$A98&lt;X$6),AND(X$7&gt;0,$A98&gt;X$7)),0,MAX(0,ROUND((INDEX($E98:$G98,X$5)-SUMIFS(TF_Timer,TF_Tekniker,X$4,TF_Dato,$A98))*2,0)/2)))</f>
        <v/>
      </c>
      <c r="Y98">
        <f>IF(OR(Y$4="",$A98&gt;TODAY()),0,IF(OR(INDEX($B98:$D98,Y$5)="F",AND(Y$6&gt;0,$A98&lt;Y$6),AND(Y$7&gt;0,$A98&gt;Y$7)),0,MAX(0,ROUND((INDEX($E98:$G98,Y$5)-SUMIFS(TF_Timer,TF_Tekniker,Y$4,TF_Dato,$A98))*2,0)/2)))</f>
        <v/>
      </c>
      <c r="Z98">
        <f>IF(OR(Z$4="",$A98&gt;TODAY()),0,IF(OR(INDEX($B98:$D98,Z$5)="F",AND(Z$6&gt;0,$A98&lt;Z$6),AND(Z$7&gt;0,$A98&gt;Z$7)),0,MAX(0,ROUND((INDEX($E98:$G98,Z$5)-SUMIFS(TF_Timer,TF_Tekniker,Z$4,TF_Dato,$A98))*2,0)/2)))</f>
        <v/>
      </c>
      <c r="AA98">
        <f>IF(OR(AA$4="",$A98&gt;TODAY()),0,IF(OR(INDEX($B98:$D98,AA$5)="F",AND(AA$6&gt;0,$A98&lt;AA$6),AND(AA$7&gt;0,$A98&gt;AA$7)),0,MAX(0,ROUND((INDEX($E98:$G98,AA$5)-SUMIFS(TF_Timer,TF_Tekniker,AA$4,TF_Dato,$A98))*2,0)/2)))</f>
        <v/>
      </c>
      <c r="AB98">
        <f>IF(OR(AB$4="",$A98&gt;TODAY()),0,IF(OR(INDEX($B98:$D98,AB$5)="F",AND(AB$6&gt;0,$A98&lt;AB$6),AND(AB$7&gt;0,$A98&gt;AB$7)),0,MAX(0,ROUND((INDEX($E98:$G98,AB$5)-SUMIFS(TF_Timer,TF_Tekniker,AB$4,TF_Dato,$A98))*2,0)/2)))</f>
        <v/>
      </c>
      <c r="AC98">
        <f>IF(OR(AC$4="",$A98&gt;TODAY()),0,IF(OR(INDEX($B98:$D98,AC$5)="F",AND(AC$6&gt;0,$A98&lt;AC$6),AND(AC$7&gt;0,$A98&gt;AC$7)),0,MAX(0,ROUND((INDEX($E98:$G98,AC$5)-SUMIFS(TF_Timer,TF_Tekniker,AC$4,TF_Dato,$A98))*2,0)/2)))</f>
        <v/>
      </c>
      <c r="AD98">
        <f>IF(OR(AD$4="",$A98&gt;TODAY()),0,IF(OR(INDEX($B98:$D98,AD$5)="F",AND(AD$6&gt;0,$A98&lt;AD$6),AND(AD$7&gt;0,$A98&gt;AD$7)),0,MAX(0,ROUND((INDEX($E98:$G98,AD$5)-SUMIFS(TF_Timer,TF_Tekniker,AD$4,TF_Dato,$A98))*2,0)/2)))</f>
        <v/>
      </c>
      <c r="AE98">
        <f>IF(OR(AE$4="",$A98&gt;TODAY()),0,IF(OR(INDEX($B98:$D98,AE$5)="F",AND(AE$6&gt;0,$A98&lt;AE$6),AND(AE$7&gt;0,$A98&gt;AE$7)),0,MAX(0,ROUND((INDEX($E98:$G98,AE$5)-SUMIFS(TF_Timer,TF_Tekniker,AE$4,TF_Dato,$A98))*2,0)/2)))</f>
        <v/>
      </c>
      <c r="AF98">
        <f>IF(OR(AF$4="",$A98&gt;TODAY()),0,IF(OR(INDEX($B98:$D98,AF$5)="F",AND(AF$6&gt;0,$A98&lt;AF$6),AND(AF$7&gt;0,$A98&gt;AF$7)),0,MAX(0,ROUND((INDEX($E98:$G98,AF$5)-SUMIFS(TF_Timer,TF_Tekniker,AF$4,TF_Dato,$A98))*2,0)/2)))</f>
        <v/>
      </c>
      <c r="AG98">
        <f>IF(OR(AG$4="",$A98&gt;TODAY()),0,IF(OR(INDEX($B98:$D98,AG$5)="F",AND(AG$6&gt;0,$A98&lt;AG$6),AND(AG$7&gt;0,$A98&gt;AG$7)),0,MAX(0,ROUND((INDEX($E98:$G98,AG$5)-SUMIFS(TF_Timer,TF_Tekniker,AG$4,TF_Dato,$A98))*2,0)/2)))</f>
        <v/>
      </c>
      <c r="AH98">
        <f>IF(OR(AH$4="",$A98&gt;TODAY()),0,IF(OR(INDEX($B98:$D98,AH$5)="F",AND(AH$6&gt;0,$A98&lt;AH$6),AND(AH$7&gt;0,$A98&gt;AH$7)),0,MAX(0,ROUND((INDEX($E98:$G98,AH$5)-SUMIFS(TF_Timer,TF_Tekniker,AH$4,TF_Dato,$A98))*2,0)/2)))</f>
        <v/>
      </c>
      <c r="AI98">
        <f>IF(OR(AI$4="",$A98&gt;TODAY()),0,IF(OR(INDEX($B98:$D98,AI$5)="F",AND(AI$6&gt;0,$A98&lt;AI$6),AND(AI$7&gt;0,$A98&gt;AI$7)),0,MAX(0,ROUND((INDEX($E98:$G98,AI$5)-SUMIFS(TF_Timer,TF_Tekniker,AI$4,TF_Dato,$A98))*2,0)/2)))</f>
        <v/>
      </c>
      <c r="AJ98">
        <f>IF(OR(AJ$4="",$A98&gt;TODAY()),0,IF(OR(INDEX($B98:$D98,AJ$5)="F",AND(AJ$6&gt;0,$A98&lt;AJ$6),AND(AJ$7&gt;0,$A98&gt;AJ$7)),0,MAX(0,ROUND((INDEX($E98:$G98,AJ$5)-SUMIFS(TF_Timer,TF_Tekniker,AJ$4,TF_Dato,$A98))*2,0)/2)))</f>
        <v/>
      </c>
      <c r="AK98">
        <f>IF(OR(AK$4="",$A98&gt;TODAY()),0,IF(OR(INDEX($B98:$D98,AK$5)="F",AND(AK$6&gt;0,$A98&lt;AK$6),AND(AK$7&gt;0,$A98&gt;AK$7)),0,MAX(0,ROUND((INDEX($E98:$G98,AK$5)-SUMIFS(TF_Timer,TF_Tekniker,AK$4,TF_Dato,$A98))*2,0)/2)))</f>
        <v/>
      </c>
      <c r="AL98">
        <f>IF(OR(AL$4="",$A98&gt;TODAY()),0,IF(OR(INDEX($B98:$D98,AL$5)="F",AND(AL$6&gt;0,$A98&lt;AL$6),AND(AL$7&gt;0,$A98&gt;AL$7)),0,MAX(0,ROUND((INDEX($E98:$G98,AL$5)-SUMIFS(TF_Timer,TF_Tekniker,AL$4,TF_Dato,$A98))*2,0)/2)))</f>
        <v/>
      </c>
      <c r="AM98">
        <f>IF(OR(AM$4="",$A98&gt;TODAY()),0,IF(OR(INDEX($B98:$D98,AM$5)="F",AND(AM$6&gt;0,$A98&lt;AM$6),AND(AM$7&gt;0,$A98&gt;AM$7)),0,MAX(0,ROUND((INDEX($E98:$G98,AM$5)-SUMIFS(TF_Timer,TF_Tekniker,AM$4,TF_Dato,$A98))*2,0)/2)))</f>
        <v/>
      </c>
      <c r="AN98">
        <f>IF(OR(AN$4="",$A98&gt;TODAY()),0,IF(OR(INDEX($B98:$D98,AN$5)="F",AND(AN$6&gt;0,$A98&lt;AN$6),AND(AN$7&gt;0,$A98&gt;AN$7)),0,MAX(0,ROUND((INDEX($E98:$G98,AN$5)-SUMIFS(TF_Timer,TF_Tekniker,AN$4,TF_Dato,$A98))*2,0)/2)))</f>
        <v/>
      </c>
      <c r="AO98">
        <f>IF(OR(AO$4="",$A98&gt;TODAY()),0,IF(OR(INDEX($B98:$D98,AO$5)="F",AND(AO$6&gt;0,$A98&lt;AO$6),AND(AO$7&gt;0,$A98&gt;AO$7)),0,MAX(0,ROUND((INDEX($E98:$G98,AO$5)-SUMIFS(TF_Timer,TF_Tekniker,AO$4,TF_Dato,$A98))*2,0)/2)))</f>
        <v/>
      </c>
      <c r="AP98">
        <f>IF(OR(AP$4="",$A98&gt;TODAY()),0,IF(OR(INDEX($B98:$D98,AP$5)="F",AND(AP$6&gt;0,$A98&lt;AP$6),AND(AP$7&gt;0,$A98&gt;AP$7)),0,MAX(0,ROUND((INDEX($E98:$G98,AP$5)-SUMIFS(TF_Timer,TF_Tekniker,AP$4,TF_Dato,$A98))*2,0)/2)))</f>
        <v/>
      </c>
      <c r="AQ98">
        <f>IF(OR(AQ$4="",$A98&gt;TODAY()),0,IF(OR(INDEX($B98:$D98,AQ$5)="F",AND(AQ$6&gt;0,$A98&lt;AQ$6),AND(AQ$7&gt;0,$A98&gt;AQ$7)),0,MAX(0,ROUND((INDEX($E98:$G98,AQ$5)-SUMIFS(TF_Timer,TF_Tekniker,AQ$4,TF_Dato,$A98))*2,0)/2)))</f>
        <v/>
      </c>
      <c r="AR98">
        <f>IF(OR(AR$4="",$A98&gt;TODAY()),0,IF(OR(INDEX($B98:$D98,AR$5)="F",AND(AR$6&gt;0,$A98&lt;AR$6),AND(AR$7&gt;0,$A98&gt;AR$7)),0,MAX(0,ROUND((INDEX($E98:$G98,AR$5)-SUMIFS(TF_Timer,TF_Tekniker,AR$4,TF_Dato,$A98))*2,0)/2)))</f>
        <v/>
      </c>
      <c r="AS98">
        <f>IF(OR(AS$4="",$A98&gt;TODAY()),0,IF(OR(INDEX($B98:$D98,AS$5)="F",AND(AS$6&gt;0,$A98&lt;AS$6),AND(AS$7&gt;0,$A98&gt;AS$7)),0,MAX(0,ROUND((INDEX($E98:$G98,AS$5)-SUMIFS(TF_Timer,TF_Tekniker,AS$4,TF_Dato,$A98))*2,0)/2)))</f>
        <v/>
      </c>
      <c r="AT98">
        <f>IF(OR(AT$4="",$A98&gt;TODAY()),0,IF(OR(INDEX($B98:$D98,AT$5)="F",AND(AT$6&gt;0,$A98&lt;AT$6),AND(AT$7&gt;0,$A98&gt;AT$7)),0,MAX(0,ROUND((INDEX($E98:$G98,AT$5)-SUMIFS(TF_Timer,TF_Tekniker,AT$4,TF_Dato,$A98))*2,0)/2)))</f>
        <v/>
      </c>
      <c r="AU98">
        <f>IF(OR(AU$4="",$A98&gt;TODAY()),0,IF(OR(INDEX($B98:$D98,AU$5)="F",AND(AU$6&gt;0,$A98&lt;AU$6),AND(AU$7&gt;0,$A98&gt;AU$7)),0,MAX(0,ROUND((INDEX($E98:$G98,AU$5)-SUMIFS(TF_Timer,TF_Tekniker,AU$4,TF_Dato,$A98))*2,0)/2)))</f>
        <v/>
      </c>
      <c r="AV98">
        <f>IF(OR(AV$4="",$A98&gt;TODAY()),0,IF(OR(INDEX($B98:$D98,AV$5)="F",AND(AV$6&gt;0,$A98&lt;AV$6),AND(AV$7&gt;0,$A98&gt;AV$7)),0,MAX(0,ROUND((INDEX($E98:$G98,AV$5)-SUMIFS(TF_Timer,TF_Tekniker,AV$4,TF_Dato,$A98))*2,0)/2)))</f>
        <v/>
      </c>
      <c r="AW98">
        <f>IF(OR(AW$4="",$A98&gt;TODAY()),0,IF(OR(INDEX($B98:$D98,AW$5)="F",AND(AW$6&gt;0,$A98&lt;AW$6),AND(AW$7&gt;0,$A98&gt;AW$7)),0,MAX(0,ROUND((INDEX($E98:$G98,AW$5)-SUMIFS(TF_Timer,TF_Tekniker,AW$4,TF_Dato,$A98))*2,0)/2)))</f>
        <v/>
      </c>
      <c r="AX98">
        <f>IF(OR(AX$4="",$A98&gt;TODAY()),0,IF(OR(INDEX($B98:$D98,AX$5)="F",AND(AX$6&gt;0,$A98&lt;AX$6),AND(AX$7&gt;0,$A98&gt;AX$7)),0,MAX(0,ROUND((INDEX($E98:$G98,AX$5)-SUMIFS(TF_Timer,TF_Tekniker,AX$4,TF_Dato,$A98))*2,0)/2)))</f>
        <v/>
      </c>
      <c r="AY98">
        <f>IF(OR(AY$4="",$A98&gt;TODAY()),0,IF(OR(INDEX($B98:$D98,AY$5)="F",AND(AY$6&gt;0,$A98&lt;AY$6),AND(AY$7&gt;0,$A98&gt;AY$7)),0,MAX(0,ROUND((INDEX($E98:$G98,AY$5)-SUMIFS(TF_Timer,TF_Tekniker,AY$4,TF_Dato,$A98))*2,0)/2)))</f>
        <v/>
      </c>
      <c r="AZ98">
        <f>IF(OR(AZ$4="",$A98&gt;TODAY()),0,IF(OR(INDEX($B98:$D98,AZ$5)="F",AND(AZ$6&gt;0,$A98&lt;AZ$6),AND(AZ$7&gt;0,$A98&gt;AZ$7)),0,MAX(0,ROUND((INDEX($E98:$G98,AZ$5)-SUMIFS(TF_Timer,TF_Tekniker,AZ$4,TF_Dato,$A98))*2,0)/2)))</f>
        <v/>
      </c>
      <c r="BA98">
        <f>IF(OR(BA$4="",$A98&gt;TODAY()),0,IF(OR(INDEX($B98:$D98,BA$5)="F",AND(BA$6&gt;0,$A98&lt;BA$6),AND(BA$7&gt;0,$A98&gt;BA$7)),0,MAX(0,ROUND((INDEX($E98:$G98,BA$5)-SUMIFS(TF_Timer,TF_Tekniker,BA$4,TF_Dato,$A98))*2,0)/2)))</f>
        <v/>
      </c>
      <c r="BB98">
        <f>IF(OR(BB$4="",$A98&gt;TODAY()),0,IF(OR(INDEX($B98:$D98,BB$5)="F",AND(BB$6&gt;0,$A98&lt;BB$6),AND(BB$7&gt;0,$A98&gt;BB$7)),0,MAX(0,ROUND((INDEX($E98:$G98,BB$5)-SUMIFS(TF_Timer,TF_Tekniker,BB$4,TF_Dato,$A98))*2,0)/2)))</f>
        <v/>
      </c>
      <c r="BC98">
        <f>IF(OR(BC$4="",$A98&gt;TODAY()),0,IF(OR(INDEX($B98:$D98,BC$5)="F",AND(BC$6&gt;0,$A98&lt;BC$6),AND(BC$7&gt;0,$A98&gt;BC$7)),0,MAX(0,ROUND((INDEX($E98:$G98,BC$5)-SUMIFS(TF_Timer,TF_Tekniker,BC$4,TF_Dato,$A98))*2,0)/2)))</f>
        <v/>
      </c>
      <c r="BD98">
        <f>IF(OR(BD$4="",$A98&gt;TODAY()),0,IF(OR(INDEX($B98:$D98,BD$5)="F",AND(BD$6&gt;0,$A98&lt;BD$6),AND(BD$7&gt;0,$A98&gt;BD$7)),0,MAX(0,ROUND((INDEX($E98:$G98,BD$5)-SUMIFS(TF_Timer,TF_Tekniker,BD$4,TF_Dato,$A98))*2,0)/2)))</f>
        <v/>
      </c>
      <c r="BE98">
        <f>IF(OR(BE$4="",$A98&gt;TODAY()),0,IF(OR(INDEX($B98:$D98,BE$5)="F",AND(BE$6&gt;0,$A98&lt;BE$6),AND(BE$7&gt;0,$A98&gt;BE$7)),0,MAX(0,ROUND((INDEX($E98:$G98,BE$5)-SUMIFS(TF_Timer,TF_Tekniker,BE$4,TF_Dato,$A98))*2,0)/2)))</f>
        <v/>
      </c>
      <c r="BF98">
        <f>IF(OR(BF$4="",$A98&gt;TODAY()),0,IF(OR(INDEX($B98:$D98,BF$5)="F",AND(BF$6&gt;0,$A98&lt;BF$6),AND(BF$7&gt;0,$A98&gt;BF$7)),0,MAX(0,ROUND((INDEX($E98:$G98,BF$5)-SUMIFS(TF_Timer,TF_Tekniker,BF$4,TF_Dato,$A98))*2,0)/2)))</f>
        <v/>
      </c>
      <c r="BG98">
        <f>IF(OR(BG$4="",$A98&gt;TODAY()),0,IF(OR(INDEX($B98:$D98,BG$5)="F",AND(BG$6&gt;0,$A98&lt;BG$6),AND(BG$7&gt;0,$A98&gt;BG$7)),0,MAX(0,ROUND((INDEX($E98:$G98,BG$5)-SUMIFS(TF_Timer,TF_Tekniker,BG$4,TF_Dato,$A98))*2,0)/2)))</f>
        <v/>
      </c>
      <c r="BH98">
        <f>IF(OR(BH$4="",$A98&gt;TODAY()),0,IF(OR(INDEX($B98:$D98,BH$5)="F",AND(BH$6&gt;0,$A98&lt;BH$6),AND(BH$7&gt;0,$A98&gt;BH$7)),0,MAX(0,ROUND((INDEX($E98:$G98,BH$5)-SUMIFS(TF_Timer,TF_Tekniker,BH$4,TF_Dato,$A98))*2,0)/2)))</f>
        <v/>
      </c>
      <c r="BI98">
        <f>IF(OR(BI$4="",$A98&gt;TODAY()),0,IF(OR(INDEX($B98:$D98,BI$5)="F",AND(BI$6&gt;0,$A98&lt;BI$6),AND(BI$7&gt;0,$A98&gt;BI$7)),0,MAX(0,ROUND((INDEX($E98:$G98,BI$5)-SUMIFS(TF_Timer,TF_Tekniker,BI$4,TF_Dato,$A98))*2,0)/2)))</f>
        <v/>
      </c>
    </row>
    <row r="99">
      <c r="A99" s="64">
        <f>A98+1</f>
        <v/>
      </c>
      <c r="B99">
        <f>IF(MOD($A99-INDEX(SkiftStart,1),Syklus)&lt;DagK,"K",IF(MOD($A99-INDEX(SkiftStart,1),Syklus)&lt;DagK+DagH,"H",IF(MOD($A99-INDEX(SkiftStart,1),Syklus)&lt;DagK+DagH+DagD,"D","F")))</f>
        <v/>
      </c>
      <c r="C99">
        <f>IF(MOD($A99-INDEX(SkiftStart,2),Syklus)&lt;DagK,"K",IF(MOD($A99-INDEX(SkiftStart,2),Syklus)&lt;DagK+DagH,"H",IF(MOD($A99-INDEX(SkiftStart,2),Syklus)&lt;DagK+DagH+DagD,"D","F")))</f>
        <v/>
      </c>
      <c r="D99">
        <f>IF(MOD($A99-INDEX(SkiftStart,3),Syklus)&lt;DagK,"K",IF(MOD($A99-INDEX(SkiftStart,3),Syklus)&lt;DagK+DagH,"H",IF(MOD($A99-INDEX(SkiftStart,3),Syklus)&lt;DagK+DagH+DagD,"D","F")))</f>
        <v/>
      </c>
      <c r="E99">
        <f>IF(B99="F",0,IF(WEEKDAY($A99,2)=5,INDEX(TimerFr,MATCH(B99,FaseKode,0)),INDEX(TimerMT,MATCH(B99,FaseKode,0))))</f>
        <v/>
      </c>
      <c r="F99">
        <f>IF(C99="F",0,IF(WEEKDAY($A99,2)=5,INDEX(TimerFr,MATCH(C99,FaseKode,0)),INDEX(TimerMT,MATCH(C99,FaseKode,0))))</f>
        <v/>
      </c>
      <c r="G99">
        <f>IF(D99="F",0,IF(WEEKDAY($A99,2)=5,INDEX(TimerFr,MATCH(D99,FaseKode,0)),INDEX(TimerMT,MATCH(D99,FaseKode,0))))</f>
        <v/>
      </c>
      <c r="H99">
        <f>IF(OR(H$4="",$A99&gt;TODAY()),0,IF(OR(INDEX($B99:$D99,H$5)="F",AND(H$6&gt;0,$A99&lt;H$6),AND(H$7&gt;0,$A99&gt;H$7)),0,MAX(0,ROUND((INDEX($E99:$G99,H$5)-SUMIFS(TF_Timer,TF_Tekniker,H$4,TF_Dato,$A99))*2,0)/2)))</f>
        <v/>
      </c>
      <c r="I99">
        <f>IF(OR(I$4="",$A99&gt;TODAY()),0,IF(OR(INDEX($B99:$D99,I$5)="F",AND(I$6&gt;0,$A99&lt;I$6),AND(I$7&gt;0,$A99&gt;I$7)),0,MAX(0,ROUND((INDEX($E99:$G99,I$5)-SUMIFS(TF_Timer,TF_Tekniker,I$4,TF_Dato,$A99))*2,0)/2)))</f>
        <v/>
      </c>
      <c r="J99">
        <f>IF(OR(J$4="",$A99&gt;TODAY()),0,IF(OR(INDEX($B99:$D99,J$5)="F",AND(J$6&gt;0,$A99&lt;J$6),AND(J$7&gt;0,$A99&gt;J$7)),0,MAX(0,ROUND((INDEX($E99:$G99,J$5)-SUMIFS(TF_Timer,TF_Tekniker,J$4,TF_Dato,$A99))*2,0)/2)))</f>
        <v/>
      </c>
      <c r="K99">
        <f>IF(OR(K$4="",$A99&gt;TODAY()),0,IF(OR(INDEX($B99:$D99,K$5)="F",AND(K$6&gt;0,$A99&lt;K$6),AND(K$7&gt;0,$A99&gt;K$7)),0,MAX(0,ROUND((INDEX($E99:$G99,K$5)-SUMIFS(TF_Timer,TF_Tekniker,K$4,TF_Dato,$A99))*2,0)/2)))</f>
        <v/>
      </c>
      <c r="L99">
        <f>IF(OR(L$4="",$A99&gt;TODAY()),0,IF(OR(INDEX($B99:$D99,L$5)="F",AND(L$6&gt;0,$A99&lt;L$6),AND(L$7&gt;0,$A99&gt;L$7)),0,MAX(0,ROUND((INDEX($E99:$G99,L$5)-SUMIFS(TF_Timer,TF_Tekniker,L$4,TF_Dato,$A99))*2,0)/2)))</f>
        <v/>
      </c>
      <c r="M99">
        <f>IF(OR(M$4="",$A99&gt;TODAY()),0,IF(OR(INDEX($B99:$D99,M$5)="F",AND(M$6&gt;0,$A99&lt;M$6),AND(M$7&gt;0,$A99&gt;M$7)),0,MAX(0,ROUND((INDEX($E99:$G99,M$5)-SUMIFS(TF_Timer,TF_Tekniker,M$4,TF_Dato,$A99))*2,0)/2)))</f>
        <v/>
      </c>
      <c r="N99">
        <f>IF(OR(N$4="",$A99&gt;TODAY()),0,IF(OR(INDEX($B99:$D99,N$5)="F",AND(N$6&gt;0,$A99&lt;N$6),AND(N$7&gt;0,$A99&gt;N$7)),0,MAX(0,ROUND((INDEX($E99:$G99,N$5)-SUMIFS(TF_Timer,TF_Tekniker,N$4,TF_Dato,$A99))*2,0)/2)))</f>
        <v/>
      </c>
      <c r="O99">
        <f>IF(OR(O$4="",$A99&gt;TODAY()),0,IF(OR(INDEX($B99:$D99,O$5)="F",AND(O$6&gt;0,$A99&lt;O$6),AND(O$7&gt;0,$A99&gt;O$7)),0,MAX(0,ROUND((INDEX($E99:$G99,O$5)-SUMIFS(TF_Timer,TF_Tekniker,O$4,TF_Dato,$A99))*2,0)/2)))</f>
        <v/>
      </c>
      <c r="P99">
        <f>IF(OR(P$4="",$A99&gt;TODAY()),0,IF(OR(INDEX($B99:$D99,P$5)="F",AND(P$6&gt;0,$A99&lt;P$6),AND(P$7&gt;0,$A99&gt;P$7)),0,MAX(0,ROUND((INDEX($E99:$G99,P$5)-SUMIFS(TF_Timer,TF_Tekniker,P$4,TF_Dato,$A99))*2,0)/2)))</f>
        <v/>
      </c>
      <c r="Q99">
        <f>IF(OR(Q$4="",$A99&gt;TODAY()),0,IF(OR(INDEX($B99:$D99,Q$5)="F",AND(Q$6&gt;0,$A99&lt;Q$6),AND(Q$7&gt;0,$A99&gt;Q$7)),0,MAX(0,ROUND((INDEX($E99:$G99,Q$5)-SUMIFS(TF_Timer,TF_Tekniker,Q$4,TF_Dato,$A99))*2,0)/2)))</f>
        <v/>
      </c>
      <c r="R99">
        <f>IF(OR(R$4="",$A99&gt;TODAY()),0,IF(OR(INDEX($B99:$D99,R$5)="F",AND(R$6&gt;0,$A99&lt;R$6),AND(R$7&gt;0,$A99&gt;R$7)),0,MAX(0,ROUND((INDEX($E99:$G99,R$5)-SUMIFS(TF_Timer,TF_Tekniker,R$4,TF_Dato,$A99))*2,0)/2)))</f>
        <v/>
      </c>
      <c r="S99">
        <f>IF(OR(S$4="",$A99&gt;TODAY()),0,IF(OR(INDEX($B99:$D99,S$5)="F",AND(S$6&gt;0,$A99&lt;S$6),AND(S$7&gt;0,$A99&gt;S$7)),0,MAX(0,ROUND((INDEX($E99:$G99,S$5)-SUMIFS(TF_Timer,TF_Tekniker,S$4,TF_Dato,$A99))*2,0)/2)))</f>
        <v/>
      </c>
      <c r="T99">
        <f>IF(OR(T$4="",$A99&gt;TODAY()),0,IF(OR(INDEX($B99:$D99,T$5)="F",AND(T$6&gt;0,$A99&lt;T$6),AND(T$7&gt;0,$A99&gt;T$7)),0,MAX(0,ROUND((INDEX($E99:$G99,T$5)-SUMIFS(TF_Timer,TF_Tekniker,T$4,TF_Dato,$A99))*2,0)/2)))</f>
        <v/>
      </c>
      <c r="U99">
        <f>IF(OR(U$4="",$A99&gt;TODAY()),0,IF(OR(INDEX($B99:$D99,U$5)="F",AND(U$6&gt;0,$A99&lt;U$6),AND(U$7&gt;0,$A99&gt;U$7)),0,MAX(0,ROUND((INDEX($E99:$G99,U$5)-SUMIFS(TF_Timer,TF_Tekniker,U$4,TF_Dato,$A99))*2,0)/2)))</f>
        <v/>
      </c>
      <c r="V99">
        <f>IF(OR(V$4="",$A99&gt;TODAY()),0,IF(OR(INDEX($B99:$D99,V$5)="F",AND(V$6&gt;0,$A99&lt;V$6),AND(V$7&gt;0,$A99&gt;V$7)),0,MAX(0,ROUND((INDEX($E99:$G99,V$5)-SUMIFS(TF_Timer,TF_Tekniker,V$4,TF_Dato,$A99))*2,0)/2)))</f>
        <v/>
      </c>
      <c r="W99">
        <f>IF(OR(W$4="",$A99&gt;TODAY()),0,IF(OR(INDEX($B99:$D99,W$5)="F",AND(W$6&gt;0,$A99&lt;W$6),AND(W$7&gt;0,$A99&gt;W$7)),0,MAX(0,ROUND((INDEX($E99:$G99,W$5)-SUMIFS(TF_Timer,TF_Tekniker,W$4,TF_Dato,$A99))*2,0)/2)))</f>
        <v/>
      </c>
      <c r="X99">
        <f>IF(OR(X$4="",$A99&gt;TODAY()),0,IF(OR(INDEX($B99:$D99,X$5)="F",AND(X$6&gt;0,$A99&lt;X$6),AND(X$7&gt;0,$A99&gt;X$7)),0,MAX(0,ROUND((INDEX($E99:$G99,X$5)-SUMIFS(TF_Timer,TF_Tekniker,X$4,TF_Dato,$A99))*2,0)/2)))</f>
        <v/>
      </c>
      <c r="Y99">
        <f>IF(OR(Y$4="",$A99&gt;TODAY()),0,IF(OR(INDEX($B99:$D99,Y$5)="F",AND(Y$6&gt;0,$A99&lt;Y$6),AND(Y$7&gt;0,$A99&gt;Y$7)),0,MAX(0,ROUND((INDEX($E99:$G99,Y$5)-SUMIFS(TF_Timer,TF_Tekniker,Y$4,TF_Dato,$A99))*2,0)/2)))</f>
        <v/>
      </c>
      <c r="Z99">
        <f>IF(OR(Z$4="",$A99&gt;TODAY()),0,IF(OR(INDEX($B99:$D99,Z$5)="F",AND(Z$6&gt;0,$A99&lt;Z$6),AND(Z$7&gt;0,$A99&gt;Z$7)),0,MAX(0,ROUND((INDEX($E99:$G99,Z$5)-SUMIFS(TF_Timer,TF_Tekniker,Z$4,TF_Dato,$A99))*2,0)/2)))</f>
        <v/>
      </c>
      <c r="AA99">
        <f>IF(OR(AA$4="",$A99&gt;TODAY()),0,IF(OR(INDEX($B99:$D99,AA$5)="F",AND(AA$6&gt;0,$A99&lt;AA$6),AND(AA$7&gt;0,$A99&gt;AA$7)),0,MAX(0,ROUND((INDEX($E99:$G99,AA$5)-SUMIFS(TF_Timer,TF_Tekniker,AA$4,TF_Dato,$A99))*2,0)/2)))</f>
        <v/>
      </c>
      <c r="AB99">
        <f>IF(OR(AB$4="",$A99&gt;TODAY()),0,IF(OR(INDEX($B99:$D99,AB$5)="F",AND(AB$6&gt;0,$A99&lt;AB$6),AND(AB$7&gt;0,$A99&gt;AB$7)),0,MAX(0,ROUND((INDEX($E99:$G99,AB$5)-SUMIFS(TF_Timer,TF_Tekniker,AB$4,TF_Dato,$A99))*2,0)/2)))</f>
        <v/>
      </c>
      <c r="AC99">
        <f>IF(OR(AC$4="",$A99&gt;TODAY()),0,IF(OR(INDEX($B99:$D99,AC$5)="F",AND(AC$6&gt;0,$A99&lt;AC$6),AND(AC$7&gt;0,$A99&gt;AC$7)),0,MAX(0,ROUND((INDEX($E99:$G99,AC$5)-SUMIFS(TF_Timer,TF_Tekniker,AC$4,TF_Dato,$A99))*2,0)/2)))</f>
        <v/>
      </c>
      <c r="AD99">
        <f>IF(OR(AD$4="",$A99&gt;TODAY()),0,IF(OR(INDEX($B99:$D99,AD$5)="F",AND(AD$6&gt;0,$A99&lt;AD$6),AND(AD$7&gt;0,$A99&gt;AD$7)),0,MAX(0,ROUND((INDEX($E99:$G99,AD$5)-SUMIFS(TF_Timer,TF_Tekniker,AD$4,TF_Dato,$A99))*2,0)/2)))</f>
        <v/>
      </c>
      <c r="AE99">
        <f>IF(OR(AE$4="",$A99&gt;TODAY()),0,IF(OR(INDEX($B99:$D99,AE$5)="F",AND(AE$6&gt;0,$A99&lt;AE$6),AND(AE$7&gt;0,$A99&gt;AE$7)),0,MAX(0,ROUND((INDEX($E99:$G99,AE$5)-SUMIFS(TF_Timer,TF_Tekniker,AE$4,TF_Dato,$A99))*2,0)/2)))</f>
        <v/>
      </c>
      <c r="AF99">
        <f>IF(OR(AF$4="",$A99&gt;TODAY()),0,IF(OR(INDEX($B99:$D99,AF$5)="F",AND(AF$6&gt;0,$A99&lt;AF$6),AND(AF$7&gt;0,$A99&gt;AF$7)),0,MAX(0,ROUND((INDEX($E99:$G99,AF$5)-SUMIFS(TF_Timer,TF_Tekniker,AF$4,TF_Dato,$A99))*2,0)/2)))</f>
        <v/>
      </c>
      <c r="AG99">
        <f>IF(OR(AG$4="",$A99&gt;TODAY()),0,IF(OR(INDEX($B99:$D99,AG$5)="F",AND(AG$6&gt;0,$A99&lt;AG$6),AND(AG$7&gt;0,$A99&gt;AG$7)),0,MAX(0,ROUND((INDEX($E99:$G99,AG$5)-SUMIFS(TF_Timer,TF_Tekniker,AG$4,TF_Dato,$A99))*2,0)/2)))</f>
        <v/>
      </c>
      <c r="AH99">
        <f>IF(OR(AH$4="",$A99&gt;TODAY()),0,IF(OR(INDEX($B99:$D99,AH$5)="F",AND(AH$6&gt;0,$A99&lt;AH$6),AND(AH$7&gt;0,$A99&gt;AH$7)),0,MAX(0,ROUND((INDEX($E99:$G99,AH$5)-SUMIFS(TF_Timer,TF_Tekniker,AH$4,TF_Dato,$A99))*2,0)/2)))</f>
        <v/>
      </c>
      <c r="AI99">
        <f>IF(OR(AI$4="",$A99&gt;TODAY()),0,IF(OR(INDEX($B99:$D99,AI$5)="F",AND(AI$6&gt;0,$A99&lt;AI$6),AND(AI$7&gt;0,$A99&gt;AI$7)),0,MAX(0,ROUND((INDEX($E99:$G99,AI$5)-SUMIFS(TF_Timer,TF_Tekniker,AI$4,TF_Dato,$A99))*2,0)/2)))</f>
        <v/>
      </c>
      <c r="AJ99">
        <f>IF(OR(AJ$4="",$A99&gt;TODAY()),0,IF(OR(INDEX($B99:$D99,AJ$5)="F",AND(AJ$6&gt;0,$A99&lt;AJ$6),AND(AJ$7&gt;0,$A99&gt;AJ$7)),0,MAX(0,ROUND((INDEX($E99:$G99,AJ$5)-SUMIFS(TF_Timer,TF_Tekniker,AJ$4,TF_Dato,$A99))*2,0)/2)))</f>
        <v/>
      </c>
      <c r="AK99">
        <f>IF(OR(AK$4="",$A99&gt;TODAY()),0,IF(OR(INDEX($B99:$D99,AK$5)="F",AND(AK$6&gt;0,$A99&lt;AK$6),AND(AK$7&gt;0,$A99&gt;AK$7)),0,MAX(0,ROUND((INDEX($E99:$G99,AK$5)-SUMIFS(TF_Timer,TF_Tekniker,AK$4,TF_Dato,$A99))*2,0)/2)))</f>
        <v/>
      </c>
      <c r="AL99">
        <f>IF(OR(AL$4="",$A99&gt;TODAY()),0,IF(OR(INDEX($B99:$D99,AL$5)="F",AND(AL$6&gt;0,$A99&lt;AL$6),AND(AL$7&gt;0,$A99&gt;AL$7)),0,MAX(0,ROUND((INDEX($E99:$G99,AL$5)-SUMIFS(TF_Timer,TF_Tekniker,AL$4,TF_Dato,$A99))*2,0)/2)))</f>
        <v/>
      </c>
      <c r="AM99">
        <f>IF(OR(AM$4="",$A99&gt;TODAY()),0,IF(OR(INDEX($B99:$D99,AM$5)="F",AND(AM$6&gt;0,$A99&lt;AM$6),AND(AM$7&gt;0,$A99&gt;AM$7)),0,MAX(0,ROUND((INDEX($E99:$G99,AM$5)-SUMIFS(TF_Timer,TF_Tekniker,AM$4,TF_Dato,$A99))*2,0)/2)))</f>
        <v/>
      </c>
      <c r="AN99">
        <f>IF(OR(AN$4="",$A99&gt;TODAY()),0,IF(OR(INDEX($B99:$D99,AN$5)="F",AND(AN$6&gt;0,$A99&lt;AN$6),AND(AN$7&gt;0,$A99&gt;AN$7)),0,MAX(0,ROUND((INDEX($E99:$G99,AN$5)-SUMIFS(TF_Timer,TF_Tekniker,AN$4,TF_Dato,$A99))*2,0)/2)))</f>
        <v/>
      </c>
      <c r="AO99">
        <f>IF(OR(AO$4="",$A99&gt;TODAY()),0,IF(OR(INDEX($B99:$D99,AO$5)="F",AND(AO$6&gt;0,$A99&lt;AO$6),AND(AO$7&gt;0,$A99&gt;AO$7)),0,MAX(0,ROUND((INDEX($E99:$G99,AO$5)-SUMIFS(TF_Timer,TF_Tekniker,AO$4,TF_Dato,$A99))*2,0)/2)))</f>
        <v/>
      </c>
      <c r="AP99">
        <f>IF(OR(AP$4="",$A99&gt;TODAY()),0,IF(OR(INDEX($B99:$D99,AP$5)="F",AND(AP$6&gt;0,$A99&lt;AP$6),AND(AP$7&gt;0,$A99&gt;AP$7)),0,MAX(0,ROUND((INDEX($E99:$G99,AP$5)-SUMIFS(TF_Timer,TF_Tekniker,AP$4,TF_Dato,$A99))*2,0)/2)))</f>
        <v/>
      </c>
      <c r="AQ99">
        <f>IF(OR(AQ$4="",$A99&gt;TODAY()),0,IF(OR(INDEX($B99:$D99,AQ$5)="F",AND(AQ$6&gt;0,$A99&lt;AQ$6),AND(AQ$7&gt;0,$A99&gt;AQ$7)),0,MAX(0,ROUND((INDEX($E99:$G99,AQ$5)-SUMIFS(TF_Timer,TF_Tekniker,AQ$4,TF_Dato,$A99))*2,0)/2)))</f>
        <v/>
      </c>
      <c r="AR99">
        <f>IF(OR(AR$4="",$A99&gt;TODAY()),0,IF(OR(INDEX($B99:$D99,AR$5)="F",AND(AR$6&gt;0,$A99&lt;AR$6),AND(AR$7&gt;0,$A99&gt;AR$7)),0,MAX(0,ROUND((INDEX($E99:$G99,AR$5)-SUMIFS(TF_Timer,TF_Tekniker,AR$4,TF_Dato,$A99))*2,0)/2)))</f>
        <v/>
      </c>
      <c r="AS99">
        <f>IF(OR(AS$4="",$A99&gt;TODAY()),0,IF(OR(INDEX($B99:$D99,AS$5)="F",AND(AS$6&gt;0,$A99&lt;AS$6),AND(AS$7&gt;0,$A99&gt;AS$7)),0,MAX(0,ROUND((INDEX($E99:$G99,AS$5)-SUMIFS(TF_Timer,TF_Tekniker,AS$4,TF_Dato,$A99))*2,0)/2)))</f>
        <v/>
      </c>
      <c r="AT99">
        <f>IF(OR(AT$4="",$A99&gt;TODAY()),0,IF(OR(INDEX($B99:$D99,AT$5)="F",AND(AT$6&gt;0,$A99&lt;AT$6),AND(AT$7&gt;0,$A99&gt;AT$7)),0,MAX(0,ROUND((INDEX($E99:$G99,AT$5)-SUMIFS(TF_Timer,TF_Tekniker,AT$4,TF_Dato,$A99))*2,0)/2)))</f>
        <v/>
      </c>
      <c r="AU99">
        <f>IF(OR(AU$4="",$A99&gt;TODAY()),0,IF(OR(INDEX($B99:$D99,AU$5)="F",AND(AU$6&gt;0,$A99&lt;AU$6),AND(AU$7&gt;0,$A99&gt;AU$7)),0,MAX(0,ROUND((INDEX($E99:$G99,AU$5)-SUMIFS(TF_Timer,TF_Tekniker,AU$4,TF_Dato,$A99))*2,0)/2)))</f>
        <v/>
      </c>
      <c r="AV99">
        <f>IF(OR(AV$4="",$A99&gt;TODAY()),0,IF(OR(INDEX($B99:$D99,AV$5)="F",AND(AV$6&gt;0,$A99&lt;AV$6),AND(AV$7&gt;0,$A99&gt;AV$7)),0,MAX(0,ROUND((INDEX($E99:$G99,AV$5)-SUMIFS(TF_Timer,TF_Tekniker,AV$4,TF_Dato,$A99))*2,0)/2)))</f>
        <v/>
      </c>
      <c r="AW99">
        <f>IF(OR(AW$4="",$A99&gt;TODAY()),0,IF(OR(INDEX($B99:$D99,AW$5)="F",AND(AW$6&gt;0,$A99&lt;AW$6),AND(AW$7&gt;0,$A99&gt;AW$7)),0,MAX(0,ROUND((INDEX($E99:$G99,AW$5)-SUMIFS(TF_Timer,TF_Tekniker,AW$4,TF_Dato,$A99))*2,0)/2)))</f>
        <v/>
      </c>
      <c r="AX99">
        <f>IF(OR(AX$4="",$A99&gt;TODAY()),0,IF(OR(INDEX($B99:$D99,AX$5)="F",AND(AX$6&gt;0,$A99&lt;AX$6),AND(AX$7&gt;0,$A99&gt;AX$7)),0,MAX(0,ROUND((INDEX($E99:$G99,AX$5)-SUMIFS(TF_Timer,TF_Tekniker,AX$4,TF_Dato,$A99))*2,0)/2)))</f>
        <v/>
      </c>
      <c r="AY99">
        <f>IF(OR(AY$4="",$A99&gt;TODAY()),0,IF(OR(INDEX($B99:$D99,AY$5)="F",AND(AY$6&gt;0,$A99&lt;AY$6),AND(AY$7&gt;0,$A99&gt;AY$7)),0,MAX(0,ROUND((INDEX($E99:$G99,AY$5)-SUMIFS(TF_Timer,TF_Tekniker,AY$4,TF_Dato,$A99))*2,0)/2)))</f>
        <v/>
      </c>
      <c r="AZ99">
        <f>IF(OR(AZ$4="",$A99&gt;TODAY()),0,IF(OR(INDEX($B99:$D99,AZ$5)="F",AND(AZ$6&gt;0,$A99&lt;AZ$6),AND(AZ$7&gt;0,$A99&gt;AZ$7)),0,MAX(0,ROUND((INDEX($E99:$G99,AZ$5)-SUMIFS(TF_Timer,TF_Tekniker,AZ$4,TF_Dato,$A99))*2,0)/2)))</f>
        <v/>
      </c>
      <c r="BA99">
        <f>IF(OR(BA$4="",$A99&gt;TODAY()),0,IF(OR(INDEX($B99:$D99,BA$5)="F",AND(BA$6&gt;0,$A99&lt;BA$6),AND(BA$7&gt;0,$A99&gt;BA$7)),0,MAX(0,ROUND((INDEX($E99:$G99,BA$5)-SUMIFS(TF_Timer,TF_Tekniker,BA$4,TF_Dato,$A99))*2,0)/2)))</f>
        <v/>
      </c>
      <c r="BB99">
        <f>IF(OR(BB$4="",$A99&gt;TODAY()),0,IF(OR(INDEX($B99:$D99,BB$5)="F",AND(BB$6&gt;0,$A99&lt;BB$6),AND(BB$7&gt;0,$A99&gt;BB$7)),0,MAX(0,ROUND((INDEX($E99:$G99,BB$5)-SUMIFS(TF_Timer,TF_Tekniker,BB$4,TF_Dato,$A99))*2,0)/2)))</f>
        <v/>
      </c>
      <c r="BC99">
        <f>IF(OR(BC$4="",$A99&gt;TODAY()),0,IF(OR(INDEX($B99:$D99,BC$5)="F",AND(BC$6&gt;0,$A99&lt;BC$6),AND(BC$7&gt;0,$A99&gt;BC$7)),0,MAX(0,ROUND((INDEX($E99:$G99,BC$5)-SUMIFS(TF_Timer,TF_Tekniker,BC$4,TF_Dato,$A99))*2,0)/2)))</f>
        <v/>
      </c>
      <c r="BD99">
        <f>IF(OR(BD$4="",$A99&gt;TODAY()),0,IF(OR(INDEX($B99:$D99,BD$5)="F",AND(BD$6&gt;0,$A99&lt;BD$6),AND(BD$7&gt;0,$A99&gt;BD$7)),0,MAX(0,ROUND((INDEX($E99:$G99,BD$5)-SUMIFS(TF_Timer,TF_Tekniker,BD$4,TF_Dato,$A99))*2,0)/2)))</f>
        <v/>
      </c>
      <c r="BE99">
        <f>IF(OR(BE$4="",$A99&gt;TODAY()),0,IF(OR(INDEX($B99:$D99,BE$5)="F",AND(BE$6&gt;0,$A99&lt;BE$6),AND(BE$7&gt;0,$A99&gt;BE$7)),0,MAX(0,ROUND((INDEX($E99:$G99,BE$5)-SUMIFS(TF_Timer,TF_Tekniker,BE$4,TF_Dato,$A99))*2,0)/2)))</f>
        <v/>
      </c>
      <c r="BF99">
        <f>IF(OR(BF$4="",$A99&gt;TODAY()),0,IF(OR(INDEX($B99:$D99,BF$5)="F",AND(BF$6&gt;0,$A99&lt;BF$6),AND(BF$7&gt;0,$A99&gt;BF$7)),0,MAX(0,ROUND((INDEX($E99:$G99,BF$5)-SUMIFS(TF_Timer,TF_Tekniker,BF$4,TF_Dato,$A99))*2,0)/2)))</f>
        <v/>
      </c>
      <c r="BG99">
        <f>IF(OR(BG$4="",$A99&gt;TODAY()),0,IF(OR(INDEX($B99:$D99,BG$5)="F",AND(BG$6&gt;0,$A99&lt;BG$6),AND(BG$7&gt;0,$A99&gt;BG$7)),0,MAX(0,ROUND((INDEX($E99:$G99,BG$5)-SUMIFS(TF_Timer,TF_Tekniker,BG$4,TF_Dato,$A99))*2,0)/2)))</f>
        <v/>
      </c>
      <c r="BH99">
        <f>IF(OR(BH$4="",$A99&gt;TODAY()),0,IF(OR(INDEX($B99:$D99,BH$5)="F",AND(BH$6&gt;0,$A99&lt;BH$6),AND(BH$7&gt;0,$A99&gt;BH$7)),0,MAX(0,ROUND((INDEX($E99:$G99,BH$5)-SUMIFS(TF_Timer,TF_Tekniker,BH$4,TF_Dato,$A99))*2,0)/2)))</f>
        <v/>
      </c>
      <c r="BI99">
        <f>IF(OR(BI$4="",$A99&gt;TODAY()),0,IF(OR(INDEX($B99:$D99,BI$5)="F",AND(BI$6&gt;0,$A99&lt;BI$6),AND(BI$7&gt;0,$A99&gt;BI$7)),0,MAX(0,ROUND((INDEX($E99:$G99,BI$5)-SUMIFS(TF_Timer,TF_Tekniker,BI$4,TF_Dato,$A99))*2,0)/2)))</f>
        <v/>
      </c>
    </row>
    <row r="100">
      <c r="A100" s="64">
        <f>A99+1</f>
        <v/>
      </c>
      <c r="B100">
        <f>IF(MOD($A100-INDEX(SkiftStart,1),Syklus)&lt;DagK,"K",IF(MOD($A100-INDEX(SkiftStart,1),Syklus)&lt;DagK+DagH,"H",IF(MOD($A100-INDEX(SkiftStart,1),Syklus)&lt;DagK+DagH+DagD,"D","F")))</f>
        <v/>
      </c>
      <c r="C100">
        <f>IF(MOD($A100-INDEX(SkiftStart,2),Syklus)&lt;DagK,"K",IF(MOD($A100-INDEX(SkiftStart,2),Syklus)&lt;DagK+DagH,"H",IF(MOD($A100-INDEX(SkiftStart,2),Syklus)&lt;DagK+DagH+DagD,"D","F")))</f>
        <v/>
      </c>
      <c r="D100">
        <f>IF(MOD($A100-INDEX(SkiftStart,3),Syklus)&lt;DagK,"K",IF(MOD($A100-INDEX(SkiftStart,3),Syklus)&lt;DagK+DagH,"H",IF(MOD($A100-INDEX(SkiftStart,3),Syklus)&lt;DagK+DagH+DagD,"D","F")))</f>
        <v/>
      </c>
      <c r="E100">
        <f>IF(B100="F",0,IF(WEEKDAY($A100,2)=5,INDEX(TimerFr,MATCH(B100,FaseKode,0)),INDEX(TimerMT,MATCH(B100,FaseKode,0))))</f>
        <v/>
      </c>
      <c r="F100">
        <f>IF(C100="F",0,IF(WEEKDAY($A100,2)=5,INDEX(TimerFr,MATCH(C100,FaseKode,0)),INDEX(TimerMT,MATCH(C100,FaseKode,0))))</f>
        <v/>
      </c>
      <c r="G100">
        <f>IF(D100="F",0,IF(WEEKDAY($A100,2)=5,INDEX(TimerFr,MATCH(D100,FaseKode,0)),INDEX(TimerMT,MATCH(D100,FaseKode,0))))</f>
        <v/>
      </c>
      <c r="H100">
        <f>IF(OR(H$4="",$A100&gt;TODAY()),0,IF(OR(INDEX($B100:$D100,H$5)="F",AND(H$6&gt;0,$A100&lt;H$6),AND(H$7&gt;0,$A100&gt;H$7)),0,MAX(0,ROUND((INDEX($E100:$G100,H$5)-SUMIFS(TF_Timer,TF_Tekniker,H$4,TF_Dato,$A100))*2,0)/2)))</f>
        <v/>
      </c>
      <c r="I100">
        <f>IF(OR(I$4="",$A100&gt;TODAY()),0,IF(OR(INDEX($B100:$D100,I$5)="F",AND(I$6&gt;0,$A100&lt;I$6),AND(I$7&gt;0,$A100&gt;I$7)),0,MAX(0,ROUND((INDEX($E100:$G100,I$5)-SUMIFS(TF_Timer,TF_Tekniker,I$4,TF_Dato,$A100))*2,0)/2)))</f>
        <v/>
      </c>
      <c r="J100">
        <f>IF(OR(J$4="",$A100&gt;TODAY()),0,IF(OR(INDEX($B100:$D100,J$5)="F",AND(J$6&gt;0,$A100&lt;J$6),AND(J$7&gt;0,$A100&gt;J$7)),0,MAX(0,ROUND((INDEX($E100:$G100,J$5)-SUMIFS(TF_Timer,TF_Tekniker,J$4,TF_Dato,$A100))*2,0)/2)))</f>
        <v/>
      </c>
      <c r="K100">
        <f>IF(OR(K$4="",$A100&gt;TODAY()),0,IF(OR(INDEX($B100:$D100,K$5)="F",AND(K$6&gt;0,$A100&lt;K$6),AND(K$7&gt;0,$A100&gt;K$7)),0,MAX(0,ROUND((INDEX($E100:$G100,K$5)-SUMIFS(TF_Timer,TF_Tekniker,K$4,TF_Dato,$A100))*2,0)/2)))</f>
        <v/>
      </c>
      <c r="L100">
        <f>IF(OR(L$4="",$A100&gt;TODAY()),0,IF(OR(INDEX($B100:$D100,L$5)="F",AND(L$6&gt;0,$A100&lt;L$6),AND(L$7&gt;0,$A100&gt;L$7)),0,MAX(0,ROUND((INDEX($E100:$G100,L$5)-SUMIFS(TF_Timer,TF_Tekniker,L$4,TF_Dato,$A100))*2,0)/2)))</f>
        <v/>
      </c>
      <c r="M100">
        <f>IF(OR(M$4="",$A100&gt;TODAY()),0,IF(OR(INDEX($B100:$D100,M$5)="F",AND(M$6&gt;0,$A100&lt;M$6),AND(M$7&gt;0,$A100&gt;M$7)),0,MAX(0,ROUND((INDEX($E100:$G100,M$5)-SUMIFS(TF_Timer,TF_Tekniker,M$4,TF_Dato,$A100))*2,0)/2)))</f>
        <v/>
      </c>
      <c r="N100">
        <f>IF(OR(N$4="",$A100&gt;TODAY()),0,IF(OR(INDEX($B100:$D100,N$5)="F",AND(N$6&gt;0,$A100&lt;N$6),AND(N$7&gt;0,$A100&gt;N$7)),0,MAX(0,ROUND((INDEX($E100:$G100,N$5)-SUMIFS(TF_Timer,TF_Tekniker,N$4,TF_Dato,$A100))*2,0)/2)))</f>
        <v/>
      </c>
      <c r="O100">
        <f>IF(OR(O$4="",$A100&gt;TODAY()),0,IF(OR(INDEX($B100:$D100,O$5)="F",AND(O$6&gt;0,$A100&lt;O$6),AND(O$7&gt;0,$A100&gt;O$7)),0,MAX(0,ROUND((INDEX($E100:$G100,O$5)-SUMIFS(TF_Timer,TF_Tekniker,O$4,TF_Dato,$A100))*2,0)/2)))</f>
        <v/>
      </c>
      <c r="P100">
        <f>IF(OR(P$4="",$A100&gt;TODAY()),0,IF(OR(INDEX($B100:$D100,P$5)="F",AND(P$6&gt;0,$A100&lt;P$6),AND(P$7&gt;0,$A100&gt;P$7)),0,MAX(0,ROUND((INDEX($E100:$G100,P$5)-SUMIFS(TF_Timer,TF_Tekniker,P$4,TF_Dato,$A100))*2,0)/2)))</f>
        <v/>
      </c>
      <c r="Q100">
        <f>IF(OR(Q$4="",$A100&gt;TODAY()),0,IF(OR(INDEX($B100:$D100,Q$5)="F",AND(Q$6&gt;0,$A100&lt;Q$6),AND(Q$7&gt;0,$A100&gt;Q$7)),0,MAX(0,ROUND((INDEX($E100:$G100,Q$5)-SUMIFS(TF_Timer,TF_Tekniker,Q$4,TF_Dato,$A100))*2,0)/2)))</f>
        <v/>
      </c>
      <c r="R100">
        <f>IF(OR(R$4="",$A100&gt;TODAY()),0,IF(OR(INDEX($B100:$D100,R$5)="F",AND(R$6&gt;0,$A100&lt;R$6),AND(R$7&gt;0,$A100&gt;R$7)),0,MAX(0,ROUND((INDEX($E100:$G100,R$5)-SUMIFS(TF_Timer,TF_Tekniker,R$4,TF_Dato,$A100))*2,0)/2)))</f>
        <v/>
      </c>
      <c r="S100">
        <f>IF(OR(S$4="",$A100&gt;TODAY()),0,IF(OR(INDEX($B100:$D100,S$5)="F",AND(S$6&gt;0,$A100&lt;S$6),AND(S$7&gt;0,$A100&gt;S$7)),0,MAX(0,ROUND((INDEX($E100:$G100,S$5)-SUMIFS(TF_Timer,TF_Tekniker,S$4,TF_Dato,$A100))*2,0)/2)))</f>
        <v/>
      </c>
      <c r="T100">
        <f>IF(OR(T$4="",$A100&gt;TODAY()),0,IF(OR(INDEX($B100:$D100,T$5)="F",AND(T$6&gt;0,$A100&lt;T$6),AND(T$7&gt;0,$A100&gt;T$7)),0,MAX(0,ROUND((INDEX($E100:$G100,T$5)-SUMIFS(TF_Timer,TF_Tekniker,T$4,TF_Dato,$A100))*2,0)/2)))</f>
        <v/>
      </c>
      <c r="U100">
        <f>IF(OR(U$4="",$A100&gt;TODAY()),0,IF(OR(INDEX($B100:$D100,U$5)="F",AND(U$6&gt;0,$A100&lt;U$6),AND(U$7&gt;0,$A100&gt;U$7)),0,MAX(0,ROUND((INDEX($E100:$G100,U$5)-SUMIFS(TF_Timer,TF_Tekniker,U$4,TF_Dato,$A100))*2,0)/2)))</f>
        <v/>
      </c>
      <c r="V100">
        <f>IF(OR(V$4="",$A100&gt;TODAY()),0,IF(OR(INDEX($B100:$D100,V$5)="F",AND(V$6&gt;0,$A100&lt;V$6),AND(V$7&gt;0,$A100&gt;V$7)),0,MAX(0,ROUND((INDEX($E100:$G100,V$5)-SUMIFS(TF_Timer,TF_Tekniker,V$4,TF_Dato,$A100))*2,0)/2)))</f>
        <v/>
      </c>
      <c r="W100">
        <f>IF(OR(W$4="",$A100&gt;TODAY()),0,IF(OR(INDEX($B100:$D100,W$5)="F",AND(W$6&gt;0,$A100&lt;W$6),AND(W$7&gt;0,$A100&gt;W$7)),0,MAX(0,ROUND((INDEX($E100:$G100,W$5)-SUMIFS(TF_Timer,TF_Tekniker,W$4,TF_Dato,$A100))*2,0)/2)))</f>
        <v/>
      </c>
      <c r="X100">
        <f>IF(OR(X$4="",$A100&gt;TODAY()),0,IF(OR(INDEX($B100:$D100,X$5)="F",AND(X$6&gt;0,$A100&lt;X$6),AND(X$7&gt;0,$A100&gt;X$7)),0,MAX(0,ROUND((INDEX($E100:$G100,X$5)-SUMIFS(TF_Timer,TF_Tekniker,X$4,TF_Dato,$A100))*2,0)/2)))</f>
        <v/>
      </c>
      <c r="Y100">
        <f>IF(OR(Y$4="",$A100&gt;TODAY()),0,IF(OR(INDEX($B100:$D100,Y$5)="F",AND(Y$6&gt;0,$A100&lt;Y$6),AND(Y$7&gt;0,$A100&gt;Y$7)),0,MAX(0,ROUND((INDEX($E100:$G100,Y$5)-SUMIFS(TF_Timer,TF_Tekniker,Y$4,TF_Dato,$A100))*2,0)/2)))</f>
        <v/>
      </c>
      <c r="Z100">
        <f>IF(OR(Z$4="",$A100&gt;TODAY()),0,IF(OR(INDEX($B100:$D100,Z$5)="F",AND(Z$6&gt;0,$A100&lt;Z$6),AND(Z$7&gt;0,$A100&gt;Z$7)),0,MAX(0,ROUND((INDEX($E100:$G100,Z$5)-SUMIFS(TF_Timer,TF_Tekniker,Z$4,TF_Dato,$A100))*2,0)/2)))</f>
        <v/>
      </c>
      <c r="AA100">
        <f>IF(OR(AA$4="",$A100&gt;TODAY()),0,IF(OR(INDEX($B100:$D100,AA$5)="F",AND(AA$6&gt;0,$A100&lt;AA$6),AND(AA$7&gt;0,$A100&gt;AA$7)),0,MAX(0,ROUND((INDEX($E100:$G100,AA$5)-SUMIFS(TF_Timer,TF_Tekniker,AA$4,TF_Dato,$A100))*2,0)/2)))</f>
        <v/>
      </c>
      <c r="AB100">
        <f>IF(OR(AB$4="",$A100&gt;TODAY()),0,IF(OR(INDEX($B100:$D100,AB$5)="F",AND(AB$6&gt;0,$A100&lt;AB$6),AND(AB$7&gt;0,$A100&gt;AB$7)),0,MAX(0,ROUND((INDEX($E100:$G100,AB$5)-SUMIFS(TF_Timer,TF_Tekniker,AB$4,TF_Dato,$A100))*2,0)/2)))</f>
        <v/>
      </c>
      <c r="AC100">
        <f>IF(OR(AC$4="",$A100&gt;TODAY()),0,IF(OR(INDEX($B100:$D100,AC$5)="F",AND(AC$6&gt;0,$A100&lt;AC$6),AND(AC$7&gt;0,$A100&gt;AC$7)),0,MAX(0,ROUND((INDEX($E100:$G100,AC$5)-SUMIFS(TF_Timer,TF_Tekniker,AC$4,TF_Dato,$A100))*2,0)/2)))</f>
        <v/>
      </c>
      <c r="AD100">
        <f>IF(OR(AD$4="",$A100&gt;TODAY()),0,IF(OR(INDEX($B100:$D100,AD$5)="F",AND(AD$6&gt;0,$A100&lt;AD$6),AND(AD$7&gt;0,$A100&gt;AD$7)),0,MAX(0,ROUND((INDEX($E100:$G100,AD$5)-SUMIFS(TF_Timer,TF_Tekniker,AD$4,TF_Dato,$A100))*2,0)/2)))</f>
        <v/>
      </c>
      <c r="AE100">
        <f>IF(OR(AE$4="",$A100&gt;TODAY()),0,IF(OR(INDEX($B100:$D100,AE$5)="F",AND(AE$6&gt;0,$A100&lt;AE$6),AND(AE$7&gt;0,$A100&gt;AE$7)),0,MAX(0,ROUND((INDEX($E100:$G100,AE$5)-SUMIFS(TF_Timer,TF_Tekniker,AE$4,TF_Dato,$A100))*2,0)/2)))</f>
        <v/>
      </c>
      <c r="AF100">
        <f>IF(OR(AF$4="",$A100&gt;TODAY()),0,IF(OR(INDEX($B100:$D100,AF$5)="F",AND(AF$6&gt;0,$A100&lt;AF$6),AND(AF$7&gt;0,$A100&gt;AF$7)),0,MAX(0,ROUND((INDEX($E100:$G100,AF$5)-SUMIFS(TF_Timer,TF_Tekniker,AF$4,TF_Dato,$A100))*2,0)/2)))</f>
        <v/>
      </c>
      <c r="AG100">
        <f>IF(OR(AG$4="",$A100&gt;TODAY()),0,IF(OR(INDEX($B100:$D100,AG$5)="F",AND(AG$6&gt;0,$A100&lt;AG$6),AND(AG$7&gt;0,$A100&gt;AG$7)),0,MAX(0,ROUND((INDEX($E100:$G100,AG$5)-SUMIFS(TF_Timer,TF_Tekniker,AG$4,TF_Dato,$A100))*2,0)/2)))</f>
        <v/>
      </c>
      <c r="AH100">
        <f>IF(OR(AH$4="",$A100&gt;TODAY()),0,IF(OR(INDEX($B100:$D100,AH$5)="F",AND(AH$6&gt;0,$A100&lt;AH$6),AND(AH$7&gt;0,$A100&gt;AH$7)),0,MAX(0,ROUND((INDEX($E100:$G100,AH$5)-SUMIFS(TF_Timer,TF_Tekniker,AH$4,TF_Dato,$A100))*2,0)/2)))</f>
        <v/>
      </c>
      <c r="AI100">
        <f>IF(OR(AI$4="",$A100&gt;TODAY()),0,IF(OR(INDEX($B100:$D100,AI$5)="F",AND(AI$6&gt;0,$A100&lt;AI$6),AND(AI$7&gt;0,$A100&gt;AI$7)),0,MAX(0,ROUND((INDEX($E100:$G100,AI$5)-SUMIFS(TF_Timer,TF_Tekniker,AI$4,TF_Dato,$A100))*2,0)/2)))</f>
        <v/>
      </c>
      <c r="AJ100">
        <f>IF(OR(AJ$4="",$A100&gt;TODAY()),0,IF(OR(INDEX($B100:$D100,AJ$5)="F",AND(AJ$6&gt;0,$A100&lt;AJ$6),AND(AJ$7&gt;0,$A100&gt;AJ$7)),0,MAX(0,ROUND((INDEX($E100:$G100,AJ$5)-SUMIFS(TF_Timer,TF_Tekniker,AJ$4,TF_Dato,$A100))*2,0)/2)))</f>
        <v/>
      </c>
      <c r="AK100">
        <f>IF(OR(AK$4="",$A100&gt;TODAY()),0,IF(OR(INDEX($B100:$D100,AK$5)="F",AND(AK$6&gt;0,$A100&lt;AK$6),AND(AK$7&gt;0,$A100&gt;AK$7)),0,MAX(0,ROUND((INDEX($E100:$G100,AK$5)-SUMIFS(TF_Timer,TF_Tekniker,AK$4,TF_Dato,$A100))*2,0)/2)))</f>
        <v/>
      </c>
      <c r="AL100">
        <f>IF(OR(AL$4="",$A100&gt;TODAY()),0,IF(OR(INDEX($B100:$D100,AL$5)="F",AND(AL$6&gt;0,$A100&lt;AL$6),AND(AL$7&gt;0,$A100&gt;AL$7)),0,MAX(0,ROUND((INDEX($E100:$G100,AL$5)-SUMIFS(TF_Timer,TF_Tekniker,AL$4,TF_Dato,$A100))*2,0)/2)))</f>
        <v/>
      </c>
      <c r="AM100">
        <f>IF(OR(AM$4="",$A100&gt;TODAY()),0,IF(OR(INDEX($B100:$D100,AM$5)="F",AND(AM$6&gt;0,$A100&lt;AM$6),AND(AM$7&gt;0,$A100&gt;AM$7)),0,MAX(0,ROUND((INDEX($E100:$G100,AM$5)-SUMIFS(TF_Timer,TF_Tekniker,AM$4,TF_Dato,$A100))*2,0)/2)))</f>
        <v/>
      </c>
      <c r="AN100">
        <f>IF(OR(AN$4="",$A100&gt;TODAY()),0,IF(OR(INDEX($B100:$D100,AN$5)="F",AND(AN$6&gt;0,$A100&lt;AN$6),AND(AN$7&gt;0,$A100&gt;AN$7)),0,MAX(0,ROUND((INDEX($E100:$G100,AN$5)-SUMIFS(TF_Timer,TF_Tekniker,AN$4,TF_Dato,$A100))*2,0)/2)))</f>
        <v/>
      </c>
      <c r="AO100">
        <f>IF(OR(AO$4="",$A100&gt;TODAY()),0,IF(OR(INDEX($B100:$D100,AO$5)="F",AND(AO$6&gt;0,$A100&lt;AO$6),AND(AO$7&gt;0,$A100&gt;AO$7)),0,MAX(0,ROUND((INDEX($E100:$G100,AO$5)-SUMIFS(TF_Timer,TF_Tekniker,AO$4,TF_Dato,$A100))*2,0)/2)))</f>
        <v/>
      </c>
      <c r="AP100">
        <f>IF(OR(AP$4="",$A100&gt;TODAY()),0,IF(OR(INDEX($B100:$D100,AP$5)="F",AND(AP$6&gt;0,$A100&lt;AP$6),AND(AP$7&gt;0,$A100&gt;AP$7)),0,MAX(0,ROUND((INDEX($E100:$G100,AP$5)-SUMIFS(TF_Timer,TF_Tekniker,AP$4,TF_Dato,$A100))*2,0)/2)))</f>
        <v/>
      </c>
      <c r="AQ100">
        <f>IF(OR(AQ$4="",$A100&gt;TODAY()),0,IF(OR(INDEX($B100:$D100,AQ$5)="F",AND(AQ$6&gt;0,$A100&lt;AQ$6),AND(AQ$7&gt;0,$A100&gt;AQ$7)),0,MAX(0,ROUND((INDEX($E100:$G100,AQ$5)-SUMIFS(TF_Timer,TF_Tekniker,AQ$4,TF_Dato,$A100))*2,0)/2)))</f>
        <v/>
      </c>
      <c r="AR100">
        <f>IF(OR(AR$4="",$A100&gt;TODAY()),0,IF(OR(INDEX($B100:$D100,AR$5)="F",AND(AR$6&gt;0,$A100&lt;AR$6),AND(AR$7&gt;0,$A100&gt;AR$7)),0,MAX(0,ROUND((INDEX($E100:$G100,AR$5)-SUMIFS(TF_Timer,TF_Tekniker,AR$4,TF_Dato,$A100))*2,0)/2)))</f>
        <v/>
      </c>
      <c r="AS100">
        <f>IF(OR(AS$4="",$A100&gt;TODAY()),0,IF(OR(INDEX($B100:$D100,AS$5)="F",AND(AS$6&gt;0,$A100&lt;AS$6),AND(AS$7&gt;0,$A100&gt;AS$7)),0,MAX(0,ROUND((INDEX($E100:$G100,AS$5)-SUMIFS(TF_Timer,TF_Tekniker,AS$4,TF_Dato,$A100))*2,0)/2)))</f>
        <v/>
      </c>
      <c r="AT100">
        <f>IF(OR(AT$4="",$A100&gt;TODAY()),0,IF(OR(INDEX($B100:$D100,AT$5)="F",AND(AT$6&gt;0,$A100&lt;AT$6),AND(AT$7&gt;0,$A100&gt;AT$7)),0,MAX(0,ROUND((INDEX($E100:$G100,AT$5)-SUMIFS(TF_Timer,TF_Tekniker,AT$4,TF_Dato,$A100))*2,0)/2)))</f>
        <v/>
      </c>
      <c r="AU100">
        <f>IF(OR(AU$4="",$A100&gt;TODAY()),0,IF(OR(INDEX($B100:$D100,AU$5)="F",AND(AU$6&gt;0,$A100&lt;AU$6),AND(AU$7&gt;0,$A100&gt;AU$7)),0,MAX(0,ROUND((INDEX($E100:$G100,AU$5)-SUMIFS(TF_Timer,TF_Tekniker,AU$4,TF_Dato,$A100))*2,0)/2)))</f>
        <v/>
      </c>
      <c r="AV100">
        <f>IF(OR(AV$4="",$A100&gt;TODAY()),0,IF(OR(INDEX($B100:$D100,AV$5)="F",AND(AV$6&gt;0,$A100&lt;AV$6),AND(AV$7&gt;0,$A100&gt;AV$7)),0,MAX(0,ROUND((INDEX($E100:$G100,AV$5)-SUMIFS(TF_Timer,TF_Tekniker,AV$4,TF_Dato,$A100))*2,0)/2)))</f>
        <v/>
      </c>
      <c r="AW100">
        <f>IF(OR(AW$4="",$A100&gt;TODAY()),0,IF(OR(INDEX($B100:$D100,AW$5)="F",AND(AW$6&gt;0,$A100&lt;AW$6),AND(AW$7&gt;0,$A100&gt;AW$7)),0,MAX(0,ROUND((INDEX($E100:$G100,AW$5)-SUMIFS(TF_Timer,TF_Tekniker,AW$4,TF_Dato,$A100))*2,0)/2)))</f>
        <v/>
      </c>
      <c r="AX100">
        <f>IF(OR(AX$4="",$A100&gt;TODAY()),0,IF(OR(INDEX($B100:$D100,AX$5)="F",AND(AX$6&gt;0,$A100&lt;AX$6),AND(AX$7&gt;0,$A100&gt;AX$7)),0,MAX(0,ROUND((INDEX($E100:$G100,AX$5)-SUMIFS(TF_Timer,TF_Tekniker,AX$4,TF_Dato,$A100))*2,0)/2)))</f>
        <v/>
      </c>
      <c r="AY100">
        <f>IF(OR(AY$4="",$A100&gt;TODAY()),0,IF(OR(INDEX($B100:$D100,AY$5)="F",AND(AY$6&gt;0,$A100&lt;AY$6),AND(AY$7&gt;0,$A100&gt;AY$7)),0,MAX(0,ROUND((INDEX($E100:$G100,AY$5)-SUMIFS(TF_Timer,TF_Tekniker,AY$4,TF_Dato,$A100))*2,0)/2)))</f>
        <v/>
      </c>
      <c r="AZ100">
        <f>IF(OR(AZ$4="",$A100&gt;TODAY()),0,IF(OR(INDEX($B100:$D100,AZ$5)="F",AND(AZ$6&gt;0,$A100&lt;AZ$6),AND(AZ$7&gt;0,$A100&gt;AZ$7)),0,MAX(0,ROUND((INDEX($E100:$G100,AZ$5)-SUMIFS(TF_Timer,TF_Tekniker,AZ$4,TF_Dato,$A100))*2,0)/2)))</f>
        <v/>
      </c>
      <c r="BA100">
        <f>IF(OR(BA$4="",$A100&gt;TODAY()),0,IF(OR(INDEX($B100:$D100,BA$5)="F",AND(BA$6&gt;0,$A100&lt;BA$6),AND(BA$7&gt;0,$A100&gt;BA$7)),0,MAX(0,ROUND((INDEX($E100:$G100,BA$5)-SUMIFS(TF_Timer,TF_Tekniker,BA$4,TF_Dato,$A100))*2,0)/2)))</f>
        <v/>
      </c>
      <c r="BB100">
        <f>IF(OR(BB$4="",$A100&gt;TODAY()),0,IF(OR(INDEX($B100:$D100,BB$5)="F",AND(BB$6&gt;0,$A100&lt;BB$6),AND(BB$7&gt;0,$A100&gt;BB$7)),0,MAX(0,ROUND((INDEX($E100:$G100,BB$5)-SUMIFS(TF_Timer,TF_Tekniker,BB$4,TF_Dato,$A100))*2,0)/2)))</f>
        <v/>
      </c>
      <c r="BC100">
        <f>IF(OR(BC$4="",$A100&gt;TODAY()),0,IF(OR(INDEX($B100:$D100,BC$5)="F",AND(BC$6&gt;0,$A100&lt;BC$6),AND(BC$7&gt;0,$A100&gt;BC$7)),0,MAX(0,ROUND((INDEX($E100:$G100,BC$5)-SUMIFS(TF_Timer,TF_Tekniker,BC$4,TF_Dato,$A100))*2,0)/2)))</f>
        <v/>
      </c>
      <c r="BD100">
        <f>IF(OR(BD$4="",$A100&gt;TODAY()),0,IF(OR(INDEX($B100:$D100,BD$5)="F",AND(BD$6&gt;0,$A100&lt;BD$6),AND(BD$7&gt;0,$A100&gt;BD$7)),0,MAX(0,ROUND((INDEX($E100:$G100,BD$5)-SUMIFS(TF_Timer,TF_Tekniker,BD$4,TF_Dato,$A100))*2,0)/2)))</f>
        <v/>
      </c>
      <c r="BE100">
        <f>IF(OR(BE$4="",$A100&gt;TODAY()),0,IF(OR(INDEX($B100:$D100,BE$5)="F",AND(BE$6&gt;0,$A100&lt;BE$6),AND(BE$7&gt;0,$A100&gt;BE$7)),0,MAX(0,ROUND((INDEX($E100:$G100,BE$5)-SUMIFS(TF_Timer,TF_Tekniker,BE$4,TF_Dato,$A100))*2,0)/2)))</f>
        <v/>
      </c>
      <c r="BF100">
        <f>IF(OR(BF$4="",$A100&gt;TODAY()),0,IF(OR(INDEX($B100:$D100,BF$5)="F",AND(BF$6&gt;0,$A100&lt;BF$6),AND(BF$7&gt;0,$A100&gt;BF$7)),0,MAX(0,ROUND((INDEX($E100:$G100,BF$5)-SUMIFS(TF_Timer,TF_Tekniker,BF$4,TF_Dato,$A100))*2,0)/2)))</f>
        <v/>
      </c>
      <c r="BG100">
        <f>IF(OR(BG$4="",$A100&gt;TODAY()),0,IF(OR(INDEX($B100:$D100,BG$5)="F",AND(BG$6&gt;0,$A100&lt;BG$6),AND(BG$7&gt;0,$A100&gt;BG$7)),0,MAX(0,ROUND((INDEX($E100:$G100,BG$5)-SUMIFS(TF_Timer,TF_Tekniker,BG$4,TF_Dato,$A100))*2,0)/2)))</f>
        <v/>
      </c>
      <c r="BH100">
        <f>IF(OR(BH$4="",$A100&gt;TODAY()),0,IF(OR(INDEX($B100:$D100,BH$5)="F",AND(BH$6&gt;0,$A100&lt;BH$6),AND(BH$7&gt;0,$A100&gt;BH$7)),0,MAX(0,ROUND((INDEX($E100:$G100,BH$5)-SUMIFS(TF_Timer,TF_Tekniker,BH$4,TF_Dato,$A100))*2,0)/2)))</f>
        <v/>
      </c>
      <c r="BI100">
        <f>IF(OR(BI$4="",$A100&gt;TODAY()),0,IF(OR(INDEX($B100:$D100,BI$5)="F",AND(BI$6&gt;0,$A100&lt;BI$6),AND(BI$7&gt;0,$A100&gt;BI$7)),0,MAX(0,ROUND((INDEX($E100:$G100,BI$5)-SUMIFS(TF_Timer,TF_Tekniker,BI$4,TF_Dato,$A100))*2,0)/2)))</f>
        <v/>
      </c>
    </row>
    <row r="101">
      <c r="A101" s="64">
        <f>A100+1</f>
        <v/>
      </c>
      <c r="B101">
        <f>IF(MOD($A101-INDEX(SkiftStart,1),Syklus)&lt;DagK,"K",IF(MOD($A101-INDEX(SkiftStart,1),Syklus)&lt;DagK+DagH,"H",IF(MOD($A101-INDEX(SkiftStart,1),Syklus)&lt;DagK+DagH+DagD,"D","F")))</f>
        <v/>
      </c>
      <c r="C101">
        <f>IF(MOD($A101-INDEX(SkiftStart,2),Syklus)&lt;DagK,"K",IF(MOD($A101-INDEX(SkiftStart,2),Syklus)&lt;DagK+DagH,"H",IF(MOD($A101-INDEX(SkiftStart,2),Syklus)&lt;DagK+DagH+DagD,"D","F")))</f>
        <v/>
      </c>
      <c r="D101">
        <f>IF(MOD($A101-INDEX(SkiftStart,3),Syklus)&lt;DagK,"K",IF(MOD($A101-INDEX(SkiftStart,3),Syklus)&lt;DagK+DagH,"H",IF(MOD($A101-INDEX(SkiftStart,3),Syklus)&lt;DagK+DagH+DagD,"D","F")))</f>
        <v/>
      </c>
      <c r="E101">
        <f>IF(B101="F",0,IF(WEEKDAY($A101,2)=5,INDEX(TimerFr,MATCH(B101,FaseKode,0)),INDEX(TimerMT,MATCH(B101,FaseKode,0))))</f>
        <v/>
      </c>
      <c r="F101">
        <f>IF(C101="F",0,IF(WEEKDAY($A101,2)=5,INDEX(TimerFr,MATCH(C101,FaseKode,0)),INDEX(TimerMT,MATCH(C101,FaseKode,0))))</f>
        <v/>
      </c>
      <c r="G101">
        <f>IF(D101="F",0,IF(WEEKDAY($A101,2)=5,INDEX(TimerFr,MATCH(D101,FaseKode,0)),INDEX(TimerMT,MATCH(D101,FaseKode,0))))</f>
        <v/>
      </c>
      <c r="H101">
        <f>IF(OR(H$4="",$A101&gt;TODAY()),0,IF(OR(INDEX($B101:$D101,H$5)="F",AND(H$6&gt;0,$A101&lt;H$6),AND(H$7&gt;0,$A101&gt;H$7)),0,MAX(0,ROUND((INDEX($E101:$G101,H$5)-SUMIFS(TF_Timer,TF_Tekniker,H$4,TF_Dato,$A101))*2,0)/2)))</f>
        <v/>
      </c>
      <c r="I101">
        <f>IF(OR(I$4="",$A101&gt;TODAY()),0,IF(OR(INDEX($B101:$D101,I$5)="F",AND(I$6&gt;0,$A101&lt;I$6),AND(I$7&gt;0,$A101&gt;I$7)),0,MAX(0,ROUND((INDEX($E101:$G101,I$5)-SUMIFS(TF_Timer,TF_Tekniker,I$4,TF_Dato,$A101))*2,0)/2)))</f>
        <v/>
      </c>
      <c r="J101">
        <f>IF(OR(J$4="",$A101&gt;TODAY()),0,IF(OR(INDEX($B101:$D101,J$5)="F",AND(J$6&gt;0,$A101&lt;J$6),AND(J$7&gt;0,$A101&gt;J$7)),0,MAX(0,ROUND((INDEX($E101:$G101,J$5)-SUMIFS(TF_Timer,TF_Tekniker,J$4,TF_Dato,$A101))*2,0)/2)))</f>
        <v/>
      </c>
      <c r="K101">
        <f>IF(OR(K$4="",$A101&gt;TODAY()),0,IF(OR(INDEX($B101:$D101,K$5)="F",AND(K$6&gt;0,$A101&lt;K$6),AND(K$7&gt;0,$A101&gt;K$7)),0,MAX(0,ROUND((INDEX($E101:$G101,K$5)-SUMIFS(TF_Timer,TF_Tekniker,K$4,TF_Dato,$A101))*2,0)/2)))</f>
        <v/>
      </c>
      <c r="L101">
        <f>IF(OR(L$4="",$A101&gt;TODAY()),0,IF(OR(INDEX($B101:$D101,L$5)="F",AND(L$6&gt;0,$A101&lt;L$6),AND(L$7&gt;0,$A101&gt;L$7)),0,MAX(0,ROUND((INDEX($E101:$G101,L$5)-SUMIFS(TF_Timer,TF_Tekniker,L$4,TF_Dato,$A101))*2,0)/2)))</f>
        <v/>
      </c>
      <c r="M101">
        <f>IF(OR(M$4="",$A101&gt;TODAY()),0,IF(OR(INDEX($B101:$D101,M$5)="F",AND(M$6&gt;0,$A101&lt;M$6),AND(M$7&gt;0,$A101&gt;M$7)),0,MAX(0,ROUND((INDEX($E101:$G101,M$5)-SUMIFS(TF_Timer,TF_Tekniker,M$4,TF_Dato,$A101))*2,0)/2)))</f>
        <v/>
      </c>
      <c r="N101">
        <f>IF(OR(N$4="",$A101&gt;TODAY()),0,IF(OR(INDEX($B101:$D101,N$5)="F",AND(N$6&gt;0,$A101&lt;N$6),AND(N$7&gt;0,$A101&gt;N$7)),0,MAX(0,ROUND((INDEX($E101:$G101,N$5)-SUMIFS(TF_Timer,TF_Tekniker,N$4,TF_Dato,$A101))*2,0)/2)))</f>
        <v/>
      </c>
      <c r="O101">
        <f>IF(OR(O$4="",$A101&gt;TODAY()),0,IF(OR(INDEX($B101:$D101,O$5)="F",AND(O$6&gt;0,$A101&lt;O$6),AND(O$7&gt;0,$A101&gt;O$7)),0,MAX(0,ROUND((INDEX($E101:$G101,O$5)-SUMIFS(TF_Timer,TF_Tekniker,O$4,TF_Dato,$A101))*2,0)/2)))</f>
        <v/>
      </c>
      <c r="P101">
        <f>IF(OR(P$4="",$A101&gt;TODAY()),0,IF(OR(INDEX($B101:$D101,P$5)="F",AND(P$6&gt;0,$A101&lt;P$6),AND(P$7&gt;0,$A101&gt;P$7)),0,MAX(0,ROUND((INDEX($E101:$G101,P$5)-SUMIFS(TF_Timer,TF_Tekniker,P$4,TF_Dato,$A101))*2,0)/2)))</f>
        <v/>
      </c>
      <c r="Q101">
        <f>IF(OR(Q$4="",$A101&gt;TODAY()),0,IF(OR(INDEX($B101:$D101,Q$5)="F",AND(Q$6&gt;0,$A101&lt;Q$6),AND(Q$7&gt;0,$A101&gt;Q$7)),0,MAX(0,ROUND((INDEX($E101:$G101,Q$5)-SUMIFS(TF_Timer,TF_Tekniker,Q$4,TF_Dato,$A101))*2,0)/2)))</f>
        <v/>
      </c>
      <c r="R101">
        <f>IF(OR(R$4="",$A101&gt;TODAY()),0,IF(OR(INDEX($B101:$D101,R$5)="F",AND(R$6&gt;0,$A101&lt;R$6),AND(R$7&gt;0,$A101&gt;R$7)),0,MAX(0,ROUND((INDEX($E101:$G101,R$5)-SUMIFS(TF_Timer,TF_Tekniker,R$4,TF_Dato,$A101))*2,0)/2)))</f>
        <v/>
      </c>
      <c r="S101">
        <f>IF(OR(S$4="",$A101&gt;TODAY()),0,IF(OR(INDEX($B101:$D101,S$5)="F",AND(S$6&gt;0,$A101&lt;S$6),AND(S$7&gt;0,$A101&gt;S$7)),0,MAX(0,ROUND((INDEX($E101:$G101,S$5)-SUMIFS(TF_Timer,TF_Tekniker,S$4,TF_Dato,$A101))*2,0)/2)))</f>
        <v/>
      </c>
      <c r="T101">
        <f>IF(OR(T$4="",$A101&gt;TODAY()),0,IF(OR(INDEX($B101:$D101,T$5)="F",AND(T$6&gt;0,$A101&lt;T$6),AND(T$7&gt;0,$A101&gt;T$7)),0,MAX(0,ROUND((INDEX($E101:$G101,T$5)-SUMIFS(TF_Timer,TF_Tekniker,T$4,TF_Dato,$A101))*2,0)/2)))</f>
        <v/>
      </c>
      <c r="U101">
        <f>IF(OR(U$4="",$A101&gt;TODAY()),0,IF(OR(INDEX($B101:$D101,U$5)="F",AND(U$6&gt;0,$A101&lt;U$6),AND(U$7&gt;0,$A101&gt;U$7)),0,MAX(0,ROUND((INDEX($E101:$G101,U$5)-SUMIFS(TF_Timer,TF_Tekniker,U$4,TF_Dato,$A101))*2,0)/2)))</f>
        <v/>
      </c>
      <c r="V101">
        <f>IF(OR(V$4="",$A101&gt;TODAY()),0,IF(OR(INDEX($B101:$D101,V$5)="F",AND(V$6&gt;0,$A101&lt;V$6),AND(V$7&gt;0,$A101&gt;V$7)),0,MAX(0,ROUND((INDEX($E101:$G101,V$5)-SUMIFS(TF_Timer,TF_Tekniker,V$4,TF_Dato,$A101))*2,0)/2)))</f>
        <v/>
      </c>
      <c r="W101">
        <f>IF(OR(W$4="",$A101&gt;TODAY()),0,IF(OR(INDEX($B101:$D101,W$5)="F",AND(W$6&gt;0,$A101&lt;W$6),AND(W$7&gt;0,$A101&gt;W$7)),0,MAX(0,ROUND((INDEX($E101:$G101,W$5)-SUMIFS(TF_Timer,TF_Tekniker,W$4,TF_Dato,$A101))*2,0)/2)))</f>
        <v/>
      </c>
      <c r="X101">
        <f>IF(OR(X$4="",$A101&gt;TODAY()),0,IF(OR(INDEX($B101:$D101,X$5)="F",AND(X$6&gt;0,$A101&lt;X$6),AND(X$7&gt;0,$A101&gt;X$7)),0,MAX(0,ROUND((INDEX($E101:$G101,X$5)-SUMIFS(TF_Timer,TF_Tekniker,X$4,TF_Dato,$A101))*2,0)/2)))</f>
        <v/>
      </c>
      <c r="Y101">
        <f>IF(OR(Y$4="",$A101&gt;TODAY()),0,IF(OR(INDEX($B101:$D101,Y$5)="F",AND(Y$6&gt;0,$A101&lt;Y$6),AND(Y$7&gt;0,$A101&gt;Y$7)),0,MAX(0,ROUND((INDEX($E101:$G101,Y$5)-SUMIFS(TF_Timer,TF_Tekniker,Y$4,TF_Dato,$A101))*2,0)/2)))</f>
        <v/>
      </c>
      <c r="Z101">
        <f>IF(OR(Z$4="",$A101&gt;TODAY()),0,IF(OR(INDEX($B101:$D101,Z$5)="F",AND(Z$6&gt;0,$A101&lt;Z$6),AND(Z$7&gt;0,$A101&gt;Z$7)),0,MAX(0,ROUND((INDEX($E101:$G101,Z$5)-SUMIFS(TF_Timer,TF_Tekniker,Z$4,TF_Dato,$A101))*2,0)/2)))</f>
        <v/>
      </c>
      <c r="AA101">
        <f>IF(OR(AA$4="",$A101&gt;TODAY()),0,IF(OR(INDEX($B101:$D101,AA$5)="F",AND(AA$6&gt;0,$A101&lt;AA$6),AND(AA$7&gt;0,$A101&gt;AA$7)),0,MAX(0,ROUND((INDEX($E101:$G101,AA$5)-SUMIFS(TF_Timer,TF_Tekniker,AA$4,TF_Dato,$A101))*2,0)/2)))</f>
        <v/>
      </c>
      <c r="AB101">
        <f>IF(OR(AB$4="",$A101&gt;TODAY()),0,IF(OR(INDEX($B101:$D101,AB$5)="F",AND(AB$6&gt;0,$A101&lt;AB$6),AND(AB$7&gt;0,$A101&gt;AB$7)),0,MAX(0,ROUND((INDEX($E101:$G101,AB$5)-SUMIFS(TF_Timer,TF_Tekniker,AB$4,TF_Dato,$A101))*2,0)/2)))</f>
        <v/>
      </c>
      <c r="AC101">
        <f>IF(OR(AC$4="",$A101&gt;TODAY()),0,IF(OR(INDEX($B101:$D101,AC$5)="F",AND(AC$6&gt;0,$A101&lt;AC$6),AND(AC$7&gt;0,$A101&gt;AC$7)),0,MAX(0,ROUND((INDEX($E101:$G101,AC$5)-SUMIFS(TF_Timer,TF_Tekniker,AC$4,TF_Dato,$A101))*2,0)/2)))</f>
        <v/>
      </c>
      <c r="AD101">
        <f>IF(OR(AD$4="",$A101&gt;TODAY()),0,IF(OR(INDEX($B101:$D101,AD$5)="F",AND(AD$6&gt;0,$A101&lt;AD$6),AND(AD$7&gt;0,$A101&gt;AD$7)),0,MAX(0,ROUND((INDEX($E101:$G101,AD$5)-SUMIFS(TF_Timer,TF_Tekniker,AD$4,TF_Dato,$A101))*2,0)/2)))</f>
        <v/>
      </c>
      <c r="AE101">
        <f>IF(OR(AE$4="",$A101&gt;TODAY()),0,IF(OR(INDEX($B101:$D101,AE$5)="F",AND(AE$6&gt;0,$A101&lt;AE$6),AND(AE$7&gt;0,$A101&gt;AE$7)),0,MAX(0,ROUND((INDEX($E101:$G101,AE$5)-SUMIFS(TF_Timer,TF_Tekniker,AE$4,TF_Dato,$A101))*2,0)/2)))</f>
        <v/>
      </c>
      <c r="AF101">
        <f>IF(OR(AF$4="",$A101&gt;TODAY()),0,IF(OR(INDEX($B101:$D101,AF$5)="F",AND(AF$6&gt;0,$A101&lt;AF$6),AND(AF$7&gt;0,$A101&gt;AF$7)),0,MAX(0,ROUND((INDEX($E101:$G101,AF$5)-SUMIFS(TF_Timer,TF_Tekniker,AF$4,TF_Dato,$A101))*2,0)/2)))</f>
        <v/>
      </c>
      <c r="AG101">
        <f>IF(OR(AG$4="",$A101&gt;TODAY()),0,IF(OR(INDEX($B101:$D101,AG$5)="F",AND(AG$6&gt;0,$A101&lt;AG$6),AND(AG$7&gt;0,$A101&gt;AG$7)),0,MAX(0,ROUND((INDEX($E101:$G101,AG$5)-SUMIFS(TF_Timer,TF_Tekniker,AG$4,TF_Dato,$A101))*2,0)/2)))</f>
        <v/>
      </c>
      <c r="AH101">
        <f>IF(OR(AH$4="",$A101&gt;TODAY()),0,IF(OR(INDEX($B101:$D101,AH$5)="F",AND(AH$6&gt;0,$A101&lt;AH$6),AND(AH$7&gt;0,$A101&gt;AH$7)),0,MAX(0,ROUND((INDEX($E101:$G101,AH$5)-SUMIFS(TF_Timer,TF_Tekniker,AH$4,TF_Dato,$A101))*2,0)/2)))</f>
        <v/>
      </c>
      <c r="AI101">
        <f>IF(OR(AI$4="",$A101&gt;TODAY()),0,IF(OR(INDEX($B101:$D101,AI$5)="F",AND(AI$6&gt;0,$A101&lt;AI$6),AND(AI$7&gt;0,$A101&gt;AI$7)),0,MAX(0,ROUND((INDEX($E101:$G101,AI$5)-SUMIFS(TF_Timer,TF_Tekniker,AI$4,TF_Dato,$A101))*2,0)/2)))</f>
        <v/>
      </c>
      <c r="AJ101">
        <f>IF(OR(AJ$4="",$A101&gt;TODAY()),0,IF(OR(INDEX($B101:$D101,AJ$5)="F",AND(AJ$6&gt;0,$A101&lt;AJ$6),AND(AJ$7&gt;0,$A101&gt;AJ$7)),0,MAX(0,ROUND((INDEX($E101:$G101,AJ$5)-SUMIFS(TF_Timer,TF_Tekniker,AJ$4,TF_Dato,$A101))*2,0)/2)))</f>
        <v/>
      </c>
      <c r="AK101">
        <f>IF(OR(AK$4="",$A101&gt;TODAY()),0,IF(OR(INDEX($B101:$D101,AK$5)="F",AND(AK$6&gt;0,$A101&lt;AK$6),AND(AK$7&gt;0,$A101&gt;AK$7)),0,MAX(0,ROUND((INDEX($E101:$G101,AK$5)-SUMIFS(TF_Timer,TF_Tekniker,AK$4,TF_Dato,$A101))*2,0)/2)))</f>
        <v/>
      </c>
      <c r="AL101">
        <f>IF(OR(AL$4="",$A101&gt;TODAY()),0,IF(OR(INDEX($B101:$D101,AL$5)="F",AND(AL$6&gt;0,$A101&lt;AL$6),AND(AL$7&gt;0,$A101&gt;AL$7)),0,MAX(0,ROUND((INDEX($E101:$G101,AL$5)-SUMIFS(TF_Timer,TF_Tekniker,AL$4,TF_Dato,$A101))*2,0)/2)))</f>
        <v/>
      </c>
      <c r="AM101">
        <f>IF(OR(AM$4="",$A101&gt;TODAY()),0,IF(OR(INDEX($B101:$D101,AM$5)="F",AND(AM$6&gt;0,$A101&lt;AM$6),AND(AM$7&gt;0,$A101&gt;AM$7)),0,MAX(0,ROUND((INDEX($E101:$G101,AM$5)-SUMIFS(TF_Timer,TF_Tekniker,AM$4,TF_Dato,$A101))*2,0)/2)))</f>
        <v/>
      </c>
      <c r="AN101">
        <f>IF(OR(AN$4="",$A101&gt;TODAY()),0,IF(OR(INDEX($B101:$D101,AN$5)="F",AND(AN$6&gt;0,$A101&lt;AN$6),AND(AN$7&gt;0,$A101&gt;AN$7)),0,MAX(0,ROUND((INDEX($E101:$G101,AN$5)-SUMIFS(TF_Timer,TF_Tekniker,AN$4,TF_Dato,$A101))*2,0)/2)))</f>
        <v/>
      </c>
      <c r="AO101">
        <f>IF(OR(AO$4="",$A101&gt;TODAY()),0,IF(OR(INDEX($B101:$D101,AO$5)="F",AND(AO$6&gt;0,$A101&lt;AO$6),AND(AO$7&gt;0,$A101&gt;AO$7)),0,MAX(0,ROUND((INDEX($E101:$G101,AO$5)-SUMIFS(TF_Timer,TF_Tekniker,AO$4,TF_Dato,$A101))*2,0)/2)))</f>
        <v/>
      </c>
      <c r="AP101">
        <f>IF(OR(AP$4="",$A101&gt;TODAY()),0,IF(OR(INDEX($B101:$D101,AP$5)="F",AND(AP$6&gt;0,$A101&lt;AP$6),AND(AP$7&gt;0,$A101&gt;AP$7)),0,MAX(0,ROUND((INDEX($E101:$G101,AP$5)-SUMIFS(TF_Timer,TF_Tekniker,AP$4,TF_Dato,$A101))*2,0)/2)))</f>
        <v/>
      </c>
      <c r="AQ101">
        <f>IF(OR(AQ$4="",$A101&gt;TODAY()),0,IF(OR(INDEX($B101:$D101,AQ$5)="F",AND(AQ$6&gt;0,$A101&lt;AQ$6),AND(AQ$7&gt;0,$A101&gt;AQ$7)),0,MAX(0,ROUND((INDEX($E101:$G101,AQ$5)-SUMIFS(TF_Timer,TF_Tekniker,AQ$4,TF_Dato,$A101))*2,0)/2)))</f>
        <v/>
      </c>
      <c r="AR101">
        <f>IF(OR(AR$4="",$A101&gt;TODAY()),0,IF(OR(INDEX($B101:$D101,AR$5)="F",AND(AR$6&gt;0,$A101&lt;AR$6),AND(AR$7&gt;0,$A101&gt;AR$7)),0,MAX(0,ROUND((INDEX($E101:$G101,AR$5)-SUMIFS(TF_Timer,TF_Tekniker,AR$4,TF_Dato,$A101))*2,0)/2)))</f>
        <v/>
      </c>
      <c r="AS101">
        <f>IF(OR(AS$4="",$A101&gt;TODAY()),0,IF(OR(INDEX($B101:$D101,AS$5)="F",AND(AS$6&gt;0,$A101&lt;AS$6),AND(AS$7&gt;0,$A101&gt;AS$7)),0,MAX(0,ROUND((INDEX($E101:$G101,AS$5)-SUMIFS(TF_Timer,TF_Tekniker,AS$4,TF_Dato,$A101))*2,0)/2)))</f>
        <v/>
      </c>
      <c r="AT101">
        <f>IF(OR(AT$4="",$A101&gt;TODAY()),0,IF(OR(INDEX($B101:$D101,AT$5)="F",AND(AT$6&gt;0,$A101&lt;AT$6),AND(AT$7&gt;0,$A101&gt;AT$7)),0,MAX(0,ROUND((INDEX($E101:$G101,AT$5)-SUMIFS(TF_Timer,TF_Tekniker,AT$4,TF_Dato,$A101))*2,0)/2)))</f>
        <v/>
      </c>
      <c r="AU101">
        <f>IF(OR(AU$4="",$A101&gt;TODAY()),0,IF(OR(INDEX($B101:$D101,AU$5)="F",AND(AU$6&gt;0,$A101&lt;AU$6),AND(AU$7&gt;0,$A101&gt;AU$7)),0,MAX(0,ROUND((INDEX($E101:$G101,AU$5)-SUMIFS(TF_Timer,TF_Tekniker,AU$4,TF_Dato,$A101))*2,0)/2)))</f>
        <v/>
      </c>
      <c r="AV101">
        <f>IF(OR(AV$4="",$A101&gt;TODAY()),0,IF(OR(INDEX($B101:$D101,AV$5)="F",AND(AV$6&gt;0,$A101&lt;AV$6),AND(AV$7&gt;0,$A101&gt;AV$7)),0,MAX(0,ROUND((INDEX($E101:$G101,AV$5)-SUMIFS(TF_Timer,TF_Tekniker,AV$4,TF_Dato,$A101))*2,0)/2)))</f>
        <v/>
      </c>
      <c r="AW101">
        <f>IF(OR(AW$4="",$A101&gt;TODAY()),0,IF(OR(INDEX($B101:$D101,AW$5)="F",AND(AW$6&gt;0,$A101&lt;AW$6),AND(AW$7&gt;0,$A101&gt;AW$7)),0,MAX(0,ROUND((INDEX($E101:$G101,AW$5)-SUMIFS(TF_Timer,TF_Tekniker,AW$4,TF_Dato,$A101))*2,0)/2)))</f>
        <v/>
      </c>
      <c r="AX101">
        <f>IF(OR(AX$4="",$A101&gt;TODAY()),0,IF(OR(INDEX($B101:$D101,AX$5)="F",AND(AX$6&gt;0,$A101&lt;AX$6),AND(AX$7&gt;0,$A101&gt;AX$7)),0,MAX(0,ROUND((INDEX($E101:$G101,AX$5)-SUMIFS(TF_Timer,TF_Tekniker,AX$4,TF_Dato,$A101))*2,0)/2)))</f>
        <v/>
      </c>
      <c r="AY101">
        <f>IF(OR(AY$4="",$A101&gt;TODAY()),0,IF(OR(INDEX($B101:$D101,AY$5)="F",AND(AY$6&gt;0,$A101&lt;AY$6),AND(AY$7&gt;0,$A101&gt;AY$7)),0,MAX(0,ROUND((INDEX($E101:$G101,AY$5)-SUMIFS(TF_Timer,TF_Tekniker,AY$4,TF_Dato,$A101))*2,0)/2)))</f>
        <v/>
      </c>
      <c r="AZ101">
        <f>IF(OR(AZ$4="",$A101&gt;TODAY()),0,IF(OR(INDEX($B101:$D101,AZ$5)="F",AND(AZ$6&gt;0,$A101&lt;AZ$6),AND(AZ$7&gt;0,$A101&gt;AZ$7)),0,MAX(0,ROUND((INDEX($E101:$G101,AZ$5)-SUMIFS(TF_Timer,TF_Tekniker,AZ$4,TF_Dato,$A101))*2,0)/2)))</f>
        <v/>
      </c>
      <c r="BA101">
        <f>IF(OR(BA$4="",$A101&gt;TODAY()),0,IF(OR(INDEX($B101:$D101,BA$5)="F",AND(BA$6&gt;0,$A101&lt;BA$6),AND(BA$7&gt;0,$A101&gt;BA$7)),0,MAX(0,ROUND((INDEX($E101:$G101,BA$5)-SUMIFS(TF_Timer,TF_Tekniker,BA$4,TF_Dato,$A101))*2,0)/2)))</f>
        <v/>
      </c>
      <c r="BB101">
        <f>IF(OR(BB$4="",$A101&gt;TODAY()),0,IF(OR(INDEX($B101:$D101,BB$5)="F",AND(BB$6&gt;0,$A101&lt;BB$6),AND(BB$7&gt;0,$A101&gt;BB$7)),0,MAX(0,ROUND((INDEX($E101:$G101,BB$5)-SUMIFS(TF_Timer,TF_Tekniker,BB$4,TF_Dato,$A101))*2,0)/2)))</f>
        <v/>
      </c>
      <c r="BC101">
        <f>IF(OR(BC$4="",$A101&gt;TODAY()),0,IF(OR(INDEX($B101:$D101,BC$5)="F",AND(BC$6&gt;0,$A101&lt;BC$6),AND(BC$7&gt;0,$A101&gt;BC$7)),0,MAX(0,ROUND((INDEX($E101:$G101,BC$5)-SUMIFS(TF_Timer,TF_Tekniker,BC$4,TF_Dato,$A101))*2,0)/2)))</f>
        <v/>
      </c>
      <c r="BD101">
        <f>IF(OR(BD$4="",$A101&gt;TODAY()),0,IF(OR(INDEX($B101:$D101,BD$5)="F",AND(BD$6&gt;0,$A101&lt;BD$6),AND(BD$7&gt;0,$A101&gt;BD$7)),0,MAX(0,ROUND((INDEX($E101:$G101,BD$5)-SUMIFS(TF_Timer,TF_Tekniker,BD$4,TF_Dato,$A101))*2,0)/2)))</f>
        <v/>
      </c>
      <c r="BE101">
        <f>IF(OR(BE$4="",$A101&gt;TODAY()),0,IF(OR(INDEX($B101:$D101,BE$5)="F",AND(BE$6&gt;0,$A101&lt;BE$6),AND(BE$7&gt;0,$A101&gt;BE$7)),0,MAX(0,ROUND((INDEX($E101:$G101,BE$5)-SUMIFS(TF_Timer,TF_Tekniker,BE$4,TF_Dato,$A101))*2,0)/2)))</f>
        <v/>
      </c>
      <c r="BF101">
        <f>IF(OR(BF$4="",$A101&gt;TODAY()),0,IF(OR(INDEX($B101:$D101,BF$5)="F",AND(BF$6&gt;0,$A101&lt;BF$6),AND(BF$7&gt;0,$A101&gt;BF$7)),0,MAX(0,ROUND((INDEX($E101:$G101,BF$5)-SUMIFS(TF_Timer,TF_Tekniker,BF$4,TF_Dato,$A101))*2,0)/2)))</f>
        <v/>
      </c>
      <c r="BG101">
        <f>IF(OR(BG$4="",$A101&gt;TODAY()),0,IF(OR(INDEX($B101:$D101,BG$5)="F",AND(BG$6&gt;0,$A101&lt;BG$6),AND(BG$7&gt;0,$A101&gt;BG$7)),0,MAX(0,ROUND((INDEX($E101:$G101,BG$5)-SUMIFS(TF_Timer,TF_Tekniker,BG$4,TF_Dato,$A101))*2,0)/2)))</f>
        <v/>
      </c>
      <c r="BH101">
        <f>IF(OR(BH$4="",$A101&gt;TODAY()),0,IF(OR(INDEX($B101:$D101,BH$5)="F",AND(BH$6&gt;0,$A101&lt;BH$6),AND(BH$7&gt;0,$A101&gt;BH$7)),0,MAX(0,ROUND((INDEX($E101:$G101,BH$5)-SUMIFS(TF_Timer,TF_Tekniker,BH$4,TF_Dato,$A101))*2,0)/2)))</f>
        <v/>
      </c>
      <c r="BI101">
        <f>IF(OR(BI$4="",$A101&gt;TODAY()),0,IF(OR(INDEX($B101:$D101,BI$5)="F",AND(BI$6&gt;0,$A101&lt;BI$6),AND(BI$7&gt;0,$A101&gt;BI$7)),0,MAX(0,ROUND((INDEX($E101:$G101,BI$5)-SUMIFS(TF_Timer,TF_Tekniker,BI$4,TF_Dato,$A101))*2,0)/2)))</f>
        <v/>
      </c>
    </row>
    <row r="102">
      <c r="A102" s="64">
        <f>A101+1</f>
        <v/>
      </c>
      <c r="B102">
        <f>IF(MOD($A102-INDEX(SkiftStart,1),Syklus)&lt;DagK,"K",IF(MOD($A102-INDEX(SkiftStart,1),Syklus)&lt;DagK+DagH,"H",IF(MOD($A102-INDEX(SkiftStart,1),Syklus)&lt;DagK+DagH+DagD,"D","F")))</f>
        <v/>
      </c>
      <c r="C102">
        <f>IF(MOD($A102-INDEX(SkiftStart,2),Syklus)&lt;DagK,"K",IF(MOD($A102-INDEX(SkiftStart,2),Syklus)&lt;DagK+DagH,"H",IF(MOD($A102-INDEX(SkiftStart,2),Syklus)&lt;DagK+DagH+DagD,"D","F")))</f>
        <v/>
      </c>
      <c r="D102">
        <f>IF(MOD($A102-INDEX(SkiftStart,3),Syklus)&lt;DagK,"K",IF(MOD($A102-INDEX(SkiftStart,3),Syklus)&lt;DagK+DagH,"H",IF(MOD($A102-INDEX(SkiftStart,3),Syklus)&lt;DagK+DagH+DagD,"D","F")))</f>
        <v/>
      </c>
      <c r="E102">
        <f>IF(B102="F",0,IF(WEEKDAY($A102,2)=5,INDEX(TimerFr,MATCH(B102,FaseKode,0)),INDEX(TimerMT,MATCH(B102,FaseKode,0))))</f>
        <v/>
      </c>
      <c r="F102">
        <f>IF(C102="F",0,IF(WEEKDAY($A102,2)=5,INDEX(TimerFr,MATCH(C102,FaseKode,0)),INDEX(TimerMT,MATCH(C102,FaseKode,0))))</f>
        <v/>
      </c>
      <c r="G102">
        <f>IF(D102="F",0,IF(WEEKDAY($A102,2)=5,INDEX(TimerFr,MATCH(D102,FaseKode,0)),INDEX(TimerMT,MATCH(D102,FaseKode,0))))</f>
        <v/>
      </c>
      <c r="H102">
        <f>IF(OR(H$4="",$A102&gt;TODAY()),0,IF(OR(INDEX($B102:$D102,H$5)="F",AND(H$6&gt;0,$A102&lt;H$6),AND(H$7&gt;0,$A102&gt;H$7)),0,MAX(0,ROUND((INDEX($E102:$G102,H$5)-SUMIFS(TF_Timer,TF_Tekniker,H$4,TF_Dato,$A102))*2,0)/2)))</f>
        <v/>
      </c>
      <c r="I102">
        <f>IF(OR(I$4="",$A102&gt;TODAY()),0,IF(OR(INDEX($B102:$D102,I$5)="F",AND(I$6&gt;0,$A102&lt;I$6),AND(I$7&gt;0,$A102&gt;I$7)),0,MAX(0,ROUND((INDEX($E102:$G102,I$5)-SUMIFS(TF_Timer,TF_Tekniker,I$4,TF_Dato,$A102))*2,0)/2)))</f>
        <v/>
      </c>
      <c r="J102">
        <f>IF(OR(J$4="",$A102&gt;TODAY()),0,IF(OR(INDEX($B102:$D102,J$5)="F",AND(J$6&gt;0,$A102&lt;J$6),AND(J$7&gt;0,$A102&gt;J$7)),0,MAX(0,ROUND((INDEX($E102:$G102,J$5)-SUMIFS(TF_Timer,TF_Tekniker,J$4,TF_Dato,$A102))*2,0)/2)))</f>
        <v/>
      </c>
      <c r="K102">
        <f>IF(OR(K$4="",$A102&gt;TODAY()),0,IF(OR(INDEX($B102:$D102,K$5)="F",AND(K$6&gt;0,$A102&lt;K$6),AND(K$7&gt;0,$A102&gt;K$7)),0,MAX(0,ROUND((INDEX($E102:$G102,K$5)-SUMIFS(TF_Timer,TF_Tekniker,K$4,TF_Dato,$A102))*2,0)/2)))</f>
        <v/>
      </c>
      <c r="L102">
        <f>IF(OR(L$4="",$A102&gt;TODAY()),0,IF(OR(INDEX($B102:$D102,L$5)="F",AND(L$6&gt;0,$A102&lt;L$6),AND(L$7&gt;0,$A102&gt;L$7)),0,MAX(0,ROUND((INDEX($E102:$G102,L$5)-SUMIFS(TF_Timer,TF_Tekniker,L$4,TF_Dato,$A102))*2,0)/2)))</f>
        <v/>
      </c>
      <c r="M102">
        <f>IF(OR(M$4="",$A102&gt;TODAY()),0,IF(OR(INDEX($B102:$D102,M$5)="F",AND(M$6&gt;0,$A102&lt;M$6),AND(M$7&gt;0,$A102&gt;M$7)),0,MAX(0,ROUND((INDEX($E102:$G102,M$5)-SUMIFS(TF_Timer,TF_Tekniker,M$4,TF_Dato,$A102))*2,0)/2)))</f>
        <v/>
      </c>
      <c r="N102">
        <f>IF(OR(N$4="",$A102&gt;TODAY()),0,IF(OR(INDEX($B102:$D102,N$5)="F",AND(N$6&gt;0,$A102&lt;N$6),AND(N$7&gt;0,$A102&gt;N$7)),0,MAX(0,ROUND((INDEX($E102:$G102,N$5)-SUMIFS(TF_Timer,TF_Tekniker,N$4,TF_Dato,$A102))*2,0)/2)))</f>
        <v/>
      </c>
      <c r="O102">
        <f>IF(OR(O$4="",$A102&gt;TODAY()),0,IF(OR(INDEX($B102:$D102,O$5)="F",AND(O$6&gt;0,$A102&lt;O$6),AND(O$7&gt;0,$A102&gt;O$7)),0,MAX(0,ROUND((INDEX($E102:$G102,O$5)-SUMIFS(TF_Timer,TF_Tekniker,O$4,TF_Dato,$A102))*2,0)/2)))</f>
        <v/>
      </c>
      <c r="P102">
        <f>IF(OR(P$4="",$A102&gt;TODAY()),0,IF(OR(INDEX($B102:$D102,P$5)="F",AND(P$6&gt;0,$A102&lt;P$6),AND(P$7&gt;0,$A102&gt;P$7)),0,MAX(0,ROUND((INDEX($E102:$G102,P$5)-SUMIFS(TF_Timer,TF_Tekniker,P$4,TF_Dato,$A102))*2,0)/2)))</f>
        <v/>
      </c>
      <c r="Q102">
        <f>IF(OR(Q$4="",$A102&gt;TODAY()),0,IF(OR(INDEX($B102:$D102,Q$5)="F",AND(Q$6&gt;0,$A102&lt;Q$6),AND(Q$7&gt;0,$A102&gt;Q$7)),0,MAX(0,ROUND((INDEX($E102:$G102,Q$5)-SUMIFS(TF_Timer,TF_Tekniker,Q$4,TF_Dato,$A102))*2,0)/2)))</f>
        <v/>
      </c>
      <c r="R102">
        <f>IF(OR(R$4="",$A102&gt;TODAY()),0,IF(OR(INDEX($B102:$D102,R$5)="F",AND(R$6&gt;0,$A102&lt;R$6),AND(R$7&gt;0,$A102&gt;R$7)),0,MAX(0,ROUND((INDEX($E102:$G102,R$5)-SUMIFS(TF_Timer,TF_Tekniker,R$4,TF_Dato,$A102))*2,0)/2)))</f>
        <v/>
      </c>
      <c r="S102">
        <f>IF(OR(S$4="",$A102&gt;TODAY()),0,IF(OR(INDEX($B102:$D102,S$5)="F",AND(S$6&gt;0,$A102&lt;S$6),AND(S$7&gt;0,$A102&gt;S$7)),0,MAX(0,ROUND((INDEX($E102:$G102,S$5)-SUMIFS(TF_Timer,TF_Tekniker,S$4,TF_Dato,$A102))*2,0)/2)))</f>
        <v/>
      </c>
      <c r="T102">
        <f>IF(OR(T$4="",$A102&gt;TODAY()),0,IF(OR(INDEX($B102:$D102,T$5)="F",AND(T$6&gt;0,$A102&lt;T$6),AND(T$7&gt;0,$A102&gt;T$7)),0,MAX(0,ROUND((INDEX($E102:$G102,T$5)-SUMIFS(TF_Timer,TF_Tekniker,T$4,TF_Dato,$A102))*2,0)/2)))</f>
        <v/>
      </c>
      <c r="U102">
        <f>IF(OR(U$4="",$A102&gt;TODAY()),0,IF(OR(INDEX($B102:$D102,U$5)="F",AND(U$6&gt;0,$A102&lt;U$6),AND(U$7&gt;0,$A102&gt;U$7)),0,MAX(0,ROUND((INDEX($E102:$G102,U$5)-SUMIFS(TF_Timer,TF_Tekniker,U$4,TF_Dato,$A102))*2,0)/2)))</f>
        <v/>
      </c>
      <c r="V102">
        <f>IF(OR(V$4="",$A102&gt;TODAY()),0,IF(OR(INDEX($B102:$D102,V$5)="F",AND(V$6&gt;0,$A102&lt;V$6),AND(V$7&gt;0,$A102&gt;V$7)),0,MAX(0,ROUND((INDEX($E102:$G102,V$5)-SUMIFS(TF_Timer,TF_Tekniker,V$4,TF_Dato,$A102))*2,0)/2)))</f>
        <v/>
      </c>
      <c r="W102">
        <f>IF(OR(W$4="",$A102&gt;TODAY()),0,IF(OR(INDEX($B102:$D102,W$5)="F",AND(W$6&gt;0,$A102&lt;W$6),AND(W$7&gt;0,$A102&gt;W$7)),0,MAX(0,ROUND((INDEX($E102:$G102,W$5)-SUMIFS(TF_Timer,TF_Tekniker,W$4,TF_Dato,$A102))*2,0)/2)))</f>
        <v/>
      </c>
      <c r="X102">
        <f>IF(OR(X$4="",$A102&gt;TODAY()),0,IF(OR(INDEX($B102:$D102,X$5)="F",AND(X$6&gt;0,$A102&lt;X$6),AND(X$7&gt;0,$A102&gt;X$7)),0,MAX(0,ROUND((INDEX($E102:$G102,X$5)-SUMIFS(TF_Timer,TF_Tekniker,X$4,TF_Dato,$A102))*2,0)/2)))</f>
        <v/>
      </c>
      <c r="Y102">
        <f>IF(OR(Y$4="",$A102&gt;TODAY()),0,IF(OR(INDEX($B102:$D102,Y$5)="F",AND(Y$6&gt;0,$A102&lt;Y$6),AND(Y$7&gt;0,$A102&gt;Y$7)),0,MAX(0,ROUND((INDEX($E102:$G102,Y$5)-SUMIFS(TF_Timer,TF_Tekniker,Y$4,TF_Dato,$A102))*2,0)/2)))</f>
        <v/>
      </c>
      <c r="Z102">
        <f>IF(OR(Z$4="",$A102&gt;TODAY()),0,IF(OR(INDEX($B102:$D102,Z$5)="F",AND(Z$6&gt;0,$A102&lt;Z$6),AND(Z$7&gt;0,$A102&gt;Z$7)),0,MAX(0,ROUND((INDEX($E102:$G102,Z$5)-SUMIFS(TF_Timer,TF_Tekniker,Z$4,TF_Dato,$A102))*2,0)/2)))</f>
        <v/>
      </c>
      <c r="AA102">
        <f>IF(OR(AA$4="",$A102&gt;TODAY()),0,IF(OR(INDEX($B102:$D102,AA$5)="F",AND(AA$6&gt;0,$A102&lt;AA$6),AND(AA$7&gt;0,$A102&gt;AA$7)),0,MAX(0,ROUND((INDEX($E102:$G102,AA$5)-SUMIFS(TF_Timer,TF_Tekniker,AA$4,TF_Dato,$A102))*2,0)/2)))</f>
        <v/>
      </c>
      <c r="AB102">
        <f>IF(OR(AB$4="",$A102&gt;TODAY()),0,IF(OR(INDEX($B102:$D102,AB$5)="F",AND(AB$6&gt;0,$A102&lt;AB$6),AND(AB$7&gt;0,$A102&gt;AB$7)),0,MAX(0,ROUND((INDEX($E102:$G102,AB$5)-SUMIFS(TF_Timer,TF_Tekniker,AB$4,TF_Dato,$A102))*2,0)/2)))</f>
        <v/>
      </c>
      <c r="AC102">
        <f>IF(OR(AC$4="",$A102&gt;TODAY()),0,IF(OR(INDEX($B102:$D102,AC$5)="F",AND(AC$6&gt;0,$A102&lt;AC$6),AND(AC$7&gt;0,$A102&gt;AC$7)),0,MAX(0,ROUND((INDEX($E102:$G102,AC$5)-SUMIFS(TF_Timer,TF_Tekniker,AC$4,TF_Dato,$A102))*2,0)/2)))</f>
        <v/>
      </c>
      <c r="AD102">
        <f>IF(OR(AD$4="",$A102&gt;TODAY()),0,IF(OR(INDEX($B102:$D102,AD$5)="F",AND(AD$6&gt;0,$A102&lt;AD$6),AND(AD$7&gt;0,$A102&gt;AD$7)),0,MAX(0,ROUND((INDEX($E102:$G102,AD$5)-SUMIFS(TF_Timer,TF_Tekniker,AD$4,TF_Dato,$A102))*2,0)/2)))</f>
        <v/>
      </c>
      <c r="AE102">
        <f>IF(OR(AE$4="",$A102&gt;TODAY()),0,IF(OR(INDEX($B102:$D102,AE$5)="F",AND(AE$6&gt;0,$A102&lt;AE$6),AND(AE$7&gt;0,$A102&gt;AE$7)),0,MAX(0,ROUND((INDEX($E102:$G102,AE$5)-SUMIFS(TF_Timer,TF_Tekniker,AE$4,TF_Dato,$A102))*2,0)/2)))</f>
        <v/>
      </c>
      <c r="AF102">
        <f>IF(OR(AF$4="",$A102&gt;TODAY()),0,IF(OR(INDEX($B102:$D102,AF$5)="F",AND(AF$6&gt;0,$A102&lt;AF$6),AND(AF$7&gt;0,$A102&gt;AF$7)),0,MAX(0,ROUND((INDEX($E102:$G102,AF$5)-SUMIFS(TF_Timer,TF_Tekniker,AF$4,TF_Dato,$A102))*2,0)/2)))</f>
        <v/>
      </c>
      <c r="AG102">
        <f>IF(OR(AG$4="",$A102&gt;TODAY()),0,IF(OR(INDEX($B102:$D102,AG$5)="F",AND(AG$6&gt;0,$A102&lt;AG$6),AND(AG$7&gt;0,$A102&gt;AG$7)),0,MAX(0,ROUND((INDEX($E102:$G102,AG$5)-SUMIFS(TF_Timer,TF_Tekniker,AG$4,TF_Dato,$A102))*2,0)/2)))</f>
        <v/>
      </c>
      <c r="AH102">
        <f>IF(OR(AH$4="",$A102&gt;TODAY()),0,IF(OR(INDEX($B102:$D102,AH$5)="F",AND(AH$6&gt;0,$A102&lt;AH$6),AND(AH$7&gt;0,$A102&gt;AH$7)),0,MAX(0,ROUND((INDEX($E102:$G102,AH$5)-SUMIFS(TF_Timer,TF_Tekniker,AH$4,TF_Dato,$A102))*2,0)/2)))</f>
        <v/>
      </c>
      <c r="AI102">
        <f>IF(OR(AI$4="",$A102&gt;TODAY()),0,IF(OR(INDEX($B102:$D102,AI$5)="F",AND(AI$6&gt;0,$A102&lt;AI$6),AND(AI$7&gt;0,$A102&gt;AI$7)),0,MAX(0,ROUND((INDEX($E102:$G102,AI$5)-SUMIFS(TF_Timer,TF_Tekniker,AI$4,TF_Dato,$A102))*2,0)/2)))</f>
        <v/>
      </c>
      <c r="AJ102">
        <f>IF(OR(AJ$4="",$A102&gt;TODAY()),0,IF(OR(INDEX($B102:$D102,AJ$5)="F",AND(AJ$6&gt;0,$A102&lt;AJ$6),AND(AJ$7&gt;0,$A102&gt;AJ$7)),0,MAX(0,ROUND((INDEX($E102:$G102,AJ$5)-SUMIFS(TF_Timer,TF_Tekniker,AJ$4,TF_Dato,$A102))*2,0)/2)))</f>
        <v/>
      </c>
      <c r="AK102">
        <f>IF(OR(AK$4="",$A102&gt;TODAY()),0,IF(OR(INDEX($B102:$D102,AK$5)="F",AND(AK$6&gt;0,$A102&lt;AK$6),AND(AK$7&gt;0,$A102&gt;AK$7)),0,MAX(0,ROUND((INDEX($E102:$G102,AK$5)-SUMIFS(TF_Timer,TF_Tekniker,AK$4,TF_Dato,$A102))*2,0)/2)))</f>
        <v/>
      </c>
      <c r="AL102">
        <f>IF(OR(AL$4="",$A102&gt;TODAY()),0,IF(OR(INDEX($B102:$D102,AL$5)="F",AND(AL$6&gt;0,$A102&lt;AL$6),AND(AL$7&gt;0,$A102&gt;AL$7)),0,MAX(0,ROUND((INDEX($E102:$G102,AL$5)-SUMIFS(TF_Timer,TF_Tekniker,AL$4,TF_Dato,$A102))*2,0)/2)))</f>
        <v/>
      </c>
      <c r="AM102">
        <f>IF(OR(AM$4="",$A102&gt;TODAY()),0,IF(OR(INDEX($B102:$D102,AM$5)="F",AND(AM$6&gt;0,$A102&lt;AM$6),AND(AM$7&gt;0,$A102&gt;AM$7)),0,MAX(0,ROUND((INDEX($E102:$G102,AM$5)-SUMIFS(TF_Timer,TF_Tekniker,AM$4,TF_Dato,$A102))*2,0)/2)))</f>
        <v/>
      </c>
      <c r="AN102">
        <f>IF(OR(AN$4="",$A102&gt;TODAY()),0,IF(OR(INDEX($B102:$D102,AN$5)="F",AND(AN$6&gt;0,$A102&lt;AN$6),AND(AN$7&gt;0,$A102&gt;AN$7)),0,MAX(0,ROUND((INDEX($E102:$G102,AN$5)-SUMIFS(TF_Timer,TF_Tekniker,AN$4,TF_Dato,$A102))*2,0)/2)))</f>
        <v/>
      </c>
      <c r="AO102">
        <f>IF(OR(AO$4="",$A102&gt;TODAY()),0,IF(OR(INDEX($B102:$D102,AO$5)="F",AND(AO$6&gt;0,$A102&lt;AO$6),AND(AO$7&gt;0,$A102&gt;AO$7)),0,MAX(0,ROUND((INDEX($E102:$G102,AO$5)-SUMIFS(TF_Timer,TF_Tekniker,AO$4,TF_Dato,$A102))*2,0)/2)))</f>
        <v/>
      </c>
      <c r="AP102">
        <f>IF(OR(AP$4="",$A102&gt;TODAY()),0,IF(OR(INDEX($B102:$D102,AP$5)="F",AND(AP$6&gt;0,$A102&lt;AP$6),AND(AP$7&gt;0,$A102&gt;AP$7)),0,MAX(0,ROUND((INDEX($E102:$G102,AP$5)-SUMIFS(TF_Timer,TF_Tekniker,AP$4,TF_Dato,$A102))*2,0)/2)))</f>
        <v/>
      </c>
      <c r="AQ102">
        <f>IF(OR(AQ$4="",$A102&gt;TODAY()),0,IF(OR(INDEX($B102:$D102,AQ$5)="F",AND(AQ$6&gt;0,$A102&lt;AQ$6),AND(AQ$7&gt;0,$A102&gt;AQ$7)),0,MAX(0,ROUND((INDEX($E102:$G102,AQ$5)-SUMIFS(TF_Timer,TF_Tekniker,AQ$4,TF_Dato,$A102))*2,0)/2)))</f>
        <v/>
      </c>
      <c r="AR102">
        <f>IF(OR(AR$4="",$A102&gt;TODAY()),0,IF(OR(INDEX($B102:$D102,AR$5)="F",AND(AR$6&gt;0,$A102&lt;AR$6),AND(AR$7&gt;0,$A102&gt;AR$7)),0,MAX(0,ROUND((INDEX($E102:$G102,AR$5)-SUMIFS(TF_Timer,TF_Tekniker,AR$4,TF_Dato,$A102))*2,0)/2)))</f>
        <v/>
      </c>
      <c r="AS102">
        <f>IF(OR(AS$4="",$A102&gt;TODAY()),0,IF(OR(INDEX($B102:$D102,AS$5)="F",AND(AS$6&gt;0,$A102&lt;AS$6),AND(AS$7&gt;0,$A102&gt;AS$7)),0,MAX(0,ROUND((INDEX($E102:$G102,AS$5)-SUMIFS(TF_Timer,TF_Tekniker,AS$4,TF_Dato,$A102))*2,0)/2)))</f>
        <v/>
      </c>
      <c r="AT102">
        <f>IF(OR(AT$4="",$A102&gt;TODAY()),0,IF(OR(INDEX($B102:$D102,AT$5)="F",AND(AT$6&gt;0,$A102&lt;AT$6),AND(AT$7&gt;0,$A102&gt;AT$7)),0,MAX(0,ROUND((INDEX($E102:$G102,AT$5)-SUMIFS(TF_Timer,TF_Tekniker,AT$4,TF_Dato,$A102))*2,0)/2)))</f>
        <v/>
      </c>
      <c r="AU102">
        <f>IF(OR(AU$4="",$A102&gt;TODAY()),0,IF(OR(INDEX($B102:$D102,AU$5)="F",AND(AU$6&gt;0,$A102&lt;AU$6),AND(AU$7&gt;0,$A102&gt;AU$7)),0,MAX(0,ROUND((INDEX($E102:$G102,AU$5)-SUMIFS(TF_Timer,TF_Tekniker,AU$4,TF_Dato,$A102))*2,0)/2)))</f>
        <v/>
      </c>
      <c r="AV102">
        <f>IF(OR(AV$4="",$A102&gt;TODAY()),0,IF(OR(INDEX($B102:$D102,AV$5)="F",AND(AV$6&gt;0,$A102&lt;AV$6),AND(AV$7&gt;0,$A102&gt;AV$7)),0,MAX(0,ROUND((INDEX($E102:$G102,AV$5)-SUMIFS(TF_Timer,TF_Tekniker,AV$4,TF_Dato,$A102))*2,0)/2)))</f>
        <v/>
      </c>
      <c r="AW102">
        <f>IF(OR(AW$4="",$A102&gt;TODAY()),0,IF(OR(INDEX($B102:$D102,AW$5)="F",AND(AW$6&gt;0,$A102&lt;AW$6),AND(AW$7&gt;0,$A102&gt;AW$7)),0,MAX(0,ROUND((INDEX($E102:$G102,AW$5)-SUMIFS(TF_Timer,TF_Tekniker,AW$4,TF_Dato,$A102))*2,0)/2)))</f>
        <v/>
      </c>
      <c r="AX102">
        <f>IF(OR(AX$4="",$A102&gt;TODAY()),0,IF(OR(INDEX($B102:$D102,AX$5)="F",AND(AX$6&gt;0,$A102&lt;AX$6),AND(AX$7&gt;0,$A102&gt;AX$7)),0,MAX(0,ROUND((INDEX($E102:$G102,AX$5)-SUMIFS(TF_Timer,TF_Tekniker,AX$4,TF_Dato,$A102))*2,0)/2)))</f>
        <v/>
      </c>
      <c r="AY102">
        <f>IF(OR(AY$4="",$A102&gt;TODAY()),0,IF(OR(INDEX($B102:$D102,AY$5)="F",AND(AY$6&gt;0,$A102&lt;AY$6),AND(AY$7&gt;0,$A102&gt;AY$7)),0,MAX(0,ROUND((INDEX($E102:$G102,AY$5)-SUMIFS(TF_Timer,TF_Tekniker,AY$4,TF_Dato,$A102))*2,0)/2)))</f>
        <v/>
      </c>
      <c r="AZ102">
        <f>IF(OR(AZ$4="",$A102&gt;TODAY()),0,IF(OR(INDEX($B102:$D102,AZ$5)="F",AND(AZ$6&gt;0,$A102&lt;AZ$6),AND(AZ$7&gt;0,$A102&gt;AZ$7)),0,MAX(0,ROUND((INDEX($E102:$G102,AZ$5)-SUMIFS(TF_Timer,TF_Tekniker,AZ$4,TF_Dato,$A102))*2,0)/2)))</f>
        <v/>
      </c>
      <c r="BA102">
        <f>IF(OR(BA$4="",$A102&gt;TODAY()),0,IF(OR(INDEX($B102:$D102,BA$5)="F",AND(BA$6&gt;0,$A102&lt;BA$6),AND(BA$7&gt;0,$A102&gt;BA$7)),0,MAX(0,ROUND((INDEX($E102:$G102,BA$5)-SUMIFS(TF_Timer,TF_Tekniker,BA$4,TF_Dato,$A102))*2,0)/2)))</f>
        <v/>
      </c>
      <c r="BB102">
        <f>IF(OR(BB$4="",$A102&gt;TODAY()),0,IF(OR(INDEX($B102:$D102,BB$5)="F",AND(BB$6&gt;0,$A102&lt;BB$6),AND(BB$7&gt;0,$A102&gt;BB$7)),0,MAX(0,ROUND((INDEX($E102:$G102,BB$5)-SUMIFS(TF_Timer,TF_Tekniker,BB$4,TF_Dato,$A102))*2,0)/2)))</f>
        <v/>
      </c>
      <c r="BC102">
        <f>IF(OR(BC$4="",$A102&gt;TODAY()),0,IF(OR(INDEX($B102:$D102,BC$5)="F",AND(BC$6&gt;0,$A102&lt;BC$6),AND(BC$7&gt;0,$A102&gt;BC$7)),0,MAX(0,ROUND((INDEX($E102:$G102,BC$5)-SUMIFS(TF_Timer,TF_Tekniker,BC$4,TF_Dato,$A102))*2,0)/2)))</f>
        <v/>
      </c>
      <c r="BD102">
        <f>IF(OR(BD$4="",$A102&gt;TODAY()),0,IF(OR(INDEX($B102:$D102,BD$5)="F",AND(BD$6&gt;0,$A102&lt;BD$6),AND(BD$7&gt;0,$A102&gt;BD$7)),0,MAX(0,ROUND((INDEX($E102:$G102,BD$5)-SUMIFS(TF_Timer,TF_Tekniker,BD$4,TF_Dato,$A102))*2,0)/2)))</f>
        <v/>
      </c>
      <c r="BE102">
        <f>IF(OR(BE$4="",$A102&gt;TODAY()),0,IF(OR(INDEX($B102:$D102,BE$5)="F",AND(BE$6&gt;0,$A102&lt;BE$6),AND(BE$7&gt;0,$A102&gt;BE$7)),0,MAX(0,ROUND((INDEX($E102:$G102,BE$5)-SUMIFS(TF_Timer,TF_Tekniker,BE$4,TF_Dato,$A102))*2,0)/2)))</f>
        <v/>
      </c>
      <c r="BF102">
        <f>IF(OR(BF$4="",$A102&gt;TODAY()),0,IF(OR(INDEX($B102:$D102,BF$5)="F",AND(BF$6&gt;0,$A102&lt;BF$6),AND(BF$7&gt;0,$A102&gt;BF$7)),0,MAX(0,ROUND((INDEX($E102:$G102,BF$5)-SUMIFS(TF_Timer,TF_Tekniker,BF$4,TF_Dato,$A102))*2,0)/2)))</f>
        <v/>
      </c>
      <c r="BG102">
        <f>IF(OR(BG$4="",$A102&gt;TODAY()),0,IF(OR(INDEX($B102:$D102,BG$5)="F",AND(BG$6&gt;0,$A102&lt;BG$6),AND(BG$7&gt;0,$A102&gt;BG$7)),0,MAX(0,ROUND((INDEX($E102:$G102,BG$5)-SUMIFS(TF_Timer,TF_Tekniker,BG$4,TF_Dato,$A102))*2,0)/2)))</f>
        <v/>
      </c>
      <c r="BH102">
        <f>IF(OR(BH$4="",$A102&gt;TODAY()),0,IF(OR(INDEX($B102:$D102,BH$5)="F",AND(BH$6&gt;0,$A102&lt;BH$6),AND(BH$7&gt;0,$A102&gt;BH$7)),0,MAX(0,ROUND((INDEX($E102:$G102,BH$5)-SUMIFS(TF_Timer,TF_Tekniker,BH$4,TF_Dato,$A102))*2,0)/2)))</f>
        <v/>
      </c>
      <c r="BI102">
        <f>IF(OR(BI$4="",$A102&gt;TODAY()),0,IF(OR(INDEX($B102:$D102,BI$5)="F",AND(BI$6&gt;0,$A102&lt;BI$6),AND(BI$7&gt;0,$A102&gt;BI$7)),0,MAX(0,ROUND((INDEX($E102:$G102,BI$5)-SUMIFS(TF_Timer,TF_Tekniker,BI$4,TF_Dato,$A102))*2,0)/2)))</f>
        <v/>
      </c>
    </row>
    <row r="103">
      <c r="A103" s="64">
        <f>A102+1</f>
        <v/>
      </c>
      <c r="B103">
        <f>IF(MOD($A103-INDEX(SkiftStart,1),Syklus)&lt;DagK,"K",IF(MOD($A103-INDEX(SkiftStart,1),Syklus)&lt;DagK+DagH,"H",IF(MOD($A103-INDEX(SkiftStart,1),Syklus)&lt;DagK+DagH+DagD,"D","F")))</f>
        <v/>
      </c>
      <c r="C103">
        <f>IF(MOD($A103-INDEX(SkiftStart,2),Syklus)&lt;DagK,"K",IF(MOD($A103-INDEX(SkiftStart,2),Syklus)&lt;DagK+DagH,"H",IF(MOD($A103-INDEX(SkiftStart,2),Syklus)&lt;DagK+DagH+DagD,"D","F")))</f>
        <v/>
      </c>
      <c r="D103">
        <f>IF(MOD($A103-INDEX(SkiftStart,3),Syklus)&lt;DagK,"K",IF(MOD($A103-INDEX(SkiftStart,3),Syklus)&lt;DagK+DagH,"H",IF(MOD($A103-INDEX(SkiftStart,3),Syklus)&lt;DagK+DagH+DagD,"D","F")))</f>
        <v/>
      </c>
      <c r="E103">
        <f>IF(B103="F",0,IF(WEEKDAY($A103,2)=5,INDEX(TimerFr,MATCH(B103,FaseKode,0)),INDEX(TimerMT,MATCH(B103,FaseKode,0))))</f>
        <v/>
      </c>
      <c r="F103">
        <f>IF(C103="F",0,IF(WEEKDAY($A103,2)=5,INDEX(TimerFr,MATCH(C103,FaseKode,0)),INDEX(TimerMT,MATCH(C103,FaseKode,0))))</f>
        <v/>
      </c>
      <c r="G103">
        <f>IF(D103="F",0,IF(WEEKDAY($A103,2)=5,INDEX(TimerFr,MATCH(D103,FaseKode,0)),INDEX(TimerMT,MATCH(D103,FaseKode,0))))</f>
        <v/>
      </c>
      <c r="H103">
        <f>IF(OR(H$4="",$A103&gt;TODAY()),0,IF(OR(INDEX($B103:$D103,H$5)="F",AND(H$6&gt;0,$A103&lt;H$6),AND(H$7&gt;0,$A103&gt;H$7)),0,MAX(0,ROUND((INDEX($E103:$G103,H$5)-SUMIFS(TF_Timer,TF_Tekniker,H$4,TF_Dato,$A103))*2,0)/2)))</f>
        <v/>
      </c>
      <c r="I103">
        <f>IF(OR(I$4="",$A103&gt;TODAY()),0,IF(OR(INDEX($B103:$D103,I$5)="F",AND(I$6&gt;0,$A103&lt;I$6),AND(I$7&gt;0,$A103&gt;I$7)),0,MAX(0,ROUND((INDEX($E103:$G103,I$5)-SUMIFS(TF_Timer,TF_Tekniker,I$4,TF_Dato,$A103))*2,0)/2)))</f>
        <v/>
      </c>
      <c r="J103">
        <f>IF(OR(J$4="",$A103&gt;TODAY()),0,IF(OR(INDEX($B103:$D103,J$5)="F",AND(J$6&gt;0,$A103&lt;J$6),AND(J$7&gt;0,$A103&gt;J$7)),0,MAX(0,ROUND((INDEX($E103:$G103,J$5)-SUMIFS(TF_Timer,TF_Tekniker,J$4,TF_Dato,$A103))*2,0)/2)))</f>
        <v/>
      </c>
      <c r="K103">
        <f>IF(OR(K$4="",$A103&gt;TODAY()),0,IF(OR(INDEX($B103:$D103,K$5)="F",AND(K$6&gt;0,$A103&lt;K$6),AND(K$7&gt;0,$A103&gt;K$7)),0,MAX(0,ROUND((INDEX($E103:$G103,K$5)-SUMIFS(TF_Timer,TF_Tekniker,K$4,TF_Dato,$A103))*2,0)/2)))</f>
        <v/>
      </c>
      <c r="L103">
        <f>IF(OR(L$4="",$A103&gt;TODAY()),0,IF(OR(INDEX($B103:$D103,L$5)="F",AND(L$6&gt;0,$A103&lt;L$6),AND(L$7&gt;0,$A103&gt;L$7)),0,MAX(0,ROUND((INDEX($E103:$G103,L$5)-SUMIFS(TF_Timer,TF_Tekniker,L$4,TF_Dato,$A103))*2,0)/2)))</f>
        <v/>
      </c>
      <c r="M103">
        <f>IF(OR(M$4="",$A103&gt;TODAY()),0,IF(OR(INDEX($B103:$D103,M$5)="F",AND(M$6&gt;0,$A103&lt;M$6),AND(M$7&gt;0,$A103&gt;M$7)),0,MAX(0,ROUND((INDEX($E103:$G103,M$5)-SUMIFS(TF_Timer,TF_Tekniker,M$4,TF_Dato,$A103))*2,0)/2)))</f>
        <v/>
      </c>
      <c r="N103">
        <f>IF(OR(N$4="",$A103&gt;TODAY()),0,IF(OR(INDEX($B103:$D103,N$5)="F",AND(N$6&gt;0,$A103&lt;N$6),AND(N$7&gt;0,$A103&gt;N$7)),0,MAX(0,ROUND((INDEX($E103:$G103,N$5)-SUMIFS(TF_Timer,TF_Tekniker,N$4,TF_Dato,$A103))*2,0)/2)))</f>
        <v/>
      </c>
      <c r="O103">
        <f>IF(OR(O$4="",$A103&gt;TODAY()),0,IF(OR(INDEX($B103:$D103,O$5)="F",AND(O$6&gt;0,$A103&lt;O$6),AND(O$7&gt;0,$A103&gt;O$7)),0,MAX(0,ROUND((INDEX($E103:$G103,O$5)-SUMIFS(TF_Timer,TF_Tekniker,O$4,TF_Dato,$A103))*2,0)/2)))</f>
        <v/>
      </c>
      <c r="P103">
        <f>IF(OR(P$4="",$A103&gt;TODAY()),0,IF(OR(INDEX($B103:$D103,P$5)="F",AND(P$6&gt;0,$A103&lt;P$6),AND(P$7&gt;0,$A103&gt;P$7)),0,MAX(0,ROUND((INDEX($E103:$G103,P$5)-SUMIFS(TF_Timer,TF_Tekniker,P$4,TF_Dato,$A103))*2,0)/2)))</f>
        <v/>
      </c>
      <c r="Q103">
        <f>IF(OR(Q$4="",$A103&gt;TODAY()),0,IF(OR(INDEX($B103:$D103,Q$5)="F",AND(Q$6&gt;0,$A103&lt;Q$6),AND(Q$7&gt;0,$A103&gt;Q$7)),0,MAX(0,ROUND((INDEX($E103:$G103,Q$5)-SUMIFS(TF_Timer,TF_Tekniker,Q$4,TF_Dato,$A103))*2,0)/2)))</f>
        <v/>
      </c>
      <c r="R103">
        <f>IF(OR(R$4="",$A103&gt;TODAY()),0,IF(OR(INDEX($B103:$D103,R$5)="F",AND(R$6&gt;0,$A103&lt;R$6),AND(R$7&gt;0,$A103&gt;R$7)),0,MAX(0,ROUND((INDEX($E103:$G103,R$5)-SUMIFS(TF_Timer,TF_Tekniker,R$4,TF_Dato,$A103))*2,0)/2)))</f>
        <v/>
      </c>
      <c r="S103">
        <f>IF(OR(S$4="",$A103&gt;TODAY()),0,IF(OR(INDEX($B103:$D103,S$5)="F",AND(S$6&gt;0,$A103&lt;S$6),AND(S$7&gt;0,$A103&gt;S$7)),0,MAX(0,ROUND((INDEX($E103:$G103,S$5)-SUMIFS(TF_Timer,TF_Tekniker,S$4,TF_Dato,$A103))*2,0)/2)))</f>
        <v/>
      </c>
      <c r="T103">
        <f>IF(OR(T$4="",$A103&gt;TODAY()),0,IF(OR(INDEX($B103:$D103,T$5)="F",AND(T$6&gt;0,$A103&lt;T$6),AND(T$7&gt;0,$A103&gt;T$7)),0,MAX(0,ROUND((INDEX($E103:$G103,T$5)-SUMIFS(TF_Timer,TF_Tekniker,T$4,TF_Dato,$A103))*2,0)/2)))</f>
        <v/>
      </c>
      <c r="U103">
        <f>IF(OR(U$4="",$A103&gt;TODAY()),0,IF(OR(INDEX($B103:$D103,U$5)="F",AND(U$6&gt;0,$A103&lt;U$6),AND(U$7&gt;0,$A103&gt;U$7)),0,MAX(0,ROUND((INDEX($E103:$G103,U$5)-SUMIFS(TF_Timer,TF_Tekniker,U$4,TF_Dato,$A103))*2,0)/2)))</f>
        <v/>
      </c>
      <c r="V103">
        <f>IF(OR(V$4="",$A103&gt;TODAY()),0,IF(OR(INDEX($B103:$D103,V$5)="F",AND(V$6&gt;0,$A103&lt;V$6),AND(V$7&gt;0,$A103&gt;V$7)),0,MAX(0,ROUND((INDEX($E103:$G103,V$5)-SUMIFS(TF_Timer,TF_Tekniker,V$4,TF_Dato,$A103))*2,0)/2)))</f>
        <v/>
      </c>
      <c r="W103">
        <f>IF(OR(W$4="",$A103&gt;TODAY()),0,IF(OR(INDEX($B103:$D103,W$5)="F",AND(W$6&gt;0,$A103&lt;W$6),AND(W$7&gt;0,$A103&gt;W$7)),0,MAX(0,ROUND((INDEX($E103:$G103,W$5)-SUMIFS(TF_Timer,TF_Tekniker,W$4,TF_Dato,$A103))*2,0)/2)))</f>
        <v/>
      </c>
      <c r="X103">
        <f>IF(OR(X$4="",$A103&gt;TODAY()),0,IF(OR(INDEX($B103:$D103,X$5)="F",AND(X$6&gt;0,$A103&lt;X$6),AND(X$7&gt;0,$A103&gt;X$7)),0,MAX(0,ROUND((INDEX($E103:$G103,X$5)-SUMIFS(TF_Timer,TF_Tekniker,X$4,TF_Dato,$A103))*2,0)/2)))</f>
        <v/>
      </c>
      <c r="Y103">
        <f>IF(OR(Y$4="",$A103&gt;TODAY()),0,IF(OR(INDEX($B103:$D103,Y$5)="F",AND(Y$6&gt;0,$A103&lt;Y$6),AND(Y$7&gt;0,$A103&gt;Y$7)),0,MAX(0,ROUND((INDEX($E103:$G103,Y$5)-SUMIFS(TF_Timer,TF_Tekniker,Y$4,TF_Dato,$A103))*2,0)/2)))</f>
        <v/>
      </c>
      <c r="Z103">
        <f>IF(OR(Z$4="",$A103&gt;TODAY()),0,IF(OR(INDEX($B103:$D103,Z$5)="F",AND(Z$6&gt;0,$A103&lt;Z$6),AND(Z$7&gt;0,$A103&gt;Z$7)),0,MAX(0,ROUND((INDEX($E103:$G103,Z$5)-SUMIFS(TF_Timer,TF_Tekniker,Z$4,TF_Dato,$A103))*2,0)/2)))</f>
        <v/>
      </c>
      <c r="AA103">
        <f>IF(OR(AA$4="",$A103&gt;TODAY()),0,IF(OR(INDEX($B103:$D103,AA$5)="F",AND(AA$6&gt;0,$A103&lt;AA$6),AND(AA$7&gt;0,$A103&gt;AA$7)),0,MAX(0,ROUND((INDEX($E103:$G103,AA$5)-SUMIFS(TF_Timer,TF_Tekniker,AA$4,TF_Dato,$A103))*2,0)/2)))</f>
        <v/>
      </c>
      <c r="AB103">
        <f>IF(OR(AB$4="",$A103&gt;TODAY()),0,IF(OR(INDEX($B103:$D103,AB$5)="F",AND(AB$6&gt;0,$A103&lt;AB$6),AND(AB$7&gt;0,$A103&gt;AB$7)),0,MAX(0,ROUND((INDEX($E103:$G103,AB$5)-SUMIFS(TF_Timer,TF_Tekniker,AB$4,TF_Dato,$A103))*2,0)/2)))</f>
        <v/>
      </c>
      <c r="AC103">
        <f>IF(OR(AC$4="",$A103&gt;TODAY()),0,IF(OR(INDEX($B103:$D103,AC$5)="F",AND(AC$6&gt;0,$A103&lt;AC$6),AND(AC$7&gt;0,$A103&gt;AC$7)),0,MAX(0,ROUND((INDEX($E103:$G103,AC$5)-SUMIFS(TF_Timer,TF_Tekniker,AC$4,TF_Dato,$A103))*2,0)/2)))</f>
        <v/>
      </c>
      <c r="AD103">
        <f>IF(OR(AD$4="",$A103&gt;TODAY()),0,IF(OR(INDEX($B103:$D103,AD$5)="F",AND(AD$6&gt;0,$A103&lt;AD$6),AND(AD$7&gt;0,$A103&gt;AD$7)),0,MAX(0,ROUND((INDEX($E103:$G103,AD$5)-SUMIFS(TF_Timer,TF_Tekniker,AD$4,TF_Dato,$A103))*2,0)/2)))</f>
        <v/>
      </c>
      <c r="AE103">
        <f>IF(OR(AE$4="",$A103&gt;TODAY()),0,IF(OR(INDEX($B103:$D103,AE$5)="F",AND(AE$6&gt;0,$A103&lt;AE$6),AND(AE$7&gt;0,$A103&gt;AE$7)),0,MAX(0,ROUND((INDEX($E103:$G103,AE$5)-SUMIFS(TF_Timer,TF_Tekniker,AE$4,TF_Dato,$A103))*2,0)/2)))</f>
        <v/>
      </c>
      <c r="AF103">
        <f>IF(OR(AF$4="",$A103&gt;TODAY()),0,IF(OR(INDEX($B103:$D103,AF$5)="F",AND(AF$6&gt;0,$A103&lt;AF$6),AND(AF$7&gt;0,$A103&gt;AF$7)),0,MAX(0,ROUND((INDEX($E103:$G103,AF$5)-SUMIFS(TF_Timer,TF_Tekniker,AF$4,TF_Dato,$A103))*2,0)/2)))</f>
        <v/>
      </c>
      <c r="AG103">
        <f>IF(OR(AG$4="",$A103&gt;TODAY()),0,IF(OR(INDEX($B103:$D103,AG$5)="F",AND(AG$6&gt;0,$A103&lt;AG$6),AND(AG$7&gt;0,$A103&gt;AG$7)),0,MAX(0,ROUND((INDEX($E103:$G103,AG$5)-SUMIFS(TF_Timer,TF_Tekniker,AG$4,TF_Dato,$A103))*2,0)/2)))</f>
        <v/>
      </c>
      <c r="AH103">
        <f>IF(OR(AH$4="",$A103&gt;TODAY()),0,IF(OR(INDEX($B103:$D103,AH$5)="F",AND(AH$6&gt;0,$A103&lt;AH$6),AND(AH$7&gt;0,$A103&gt;AH$7)),0,MAX(0,ROUND((INDEX($E103:$G103,AH$5)-SUMIFS(TF_Timer,TF_Tekniker,AH$4,TF_Dato,$A103))*2,0)/2)))</f>
        <v/>
      </c>
      <c r="AI103">
        <f>IF(OR(AI$4="",$A103&gt;TODAY()),0,IF(OR(INDEX($B103:$D103,AI$5)="F",AND(AI$6&gt;0,$A103&lt;AI$6),AND(AI$7&gt;0,$A103&gt;AI$7)),0,MAX(0,ROUND((INDEX($E103:$G103,AI$5)-SUMIFS(TF_Timer,TF_Tekniker,AI$4,TF_Dato,$A103))*2,0)/2)))</f>
        <v/>
      </c>
      <c r="AJ103">
        <f>IF(OR(AJ$4="",$A103&gt;TODAY()),0,IF(OR(INDEX($B103:$D103,AJ$5)="F",AND(AJ$6&gt;0,$A103&lt;AJ$6),AND(AJ$7&gt;0,$A103&gt;AJ$7)),0,MAX(0,ROUND((INDEX($E103:$G103,AJ$5)-SUMIFS(TF_Timer,TF_Tekniker,AJ$4,TF_Dato,$A103))*2,0)/2)))</f>
        <v/>
      </c>
      <c r="AK103">
        <f>IF(OR(AK$4="",$A103&gt;TODAY()),0,IF(OR(INDEX($B103:$D103,AK$5)="F",AND(AK$6&gt;0,$A103&lt;AK$6),AND(AK$7&gt;0,$A103&gt;AK$7)),0,MAX(0,ROUND((INDEX($E103:$G103,AK$5)-SUMIFS(TF_Timer,TF_Tekniker,AK$4,TF_Dato,$A103))*2,0)/2)))</f>
        <v/>
      </c>
      <c r="AL103">
        <f>IF(OR(AL$4="",$A103&gt;TODAY()),0,IF(OR(INDEX($B103:$D103,AL$5)="F",AND(AL$6&gt;0,$A103&lt;AL$6),AND(AL$7&gt;0,$A103&gt;AL$7)),0,MAX(0,ROUND((INDEX($E103:$G103,AL$5)-SUMIFS(TF_Timer,TF_Tekniker,AL$4,TF_Dato,$A103))*2,0)/2)))</f>
        <v/>
      </c>
      <c r="AM103">
        <f>IF(OR(AM$4="",$A103&gt;TODAY()),0,IF(OR(INDEX($B103:$D103,AM$5)="F",AND(AM$6&gt;0,$A103&lt;AM$6),AND(AM$7&gt;0,$A103&gt;AM$7)),0,MAX(0,ROUND((INDEX($E103:$G103,AM$5)-SUMIFS(TF_Timer,TF_Tekniker,AM$4,TF_Dato,$A103))*2,0)/2)))</f>
        <v/>
      </c>
      <c r="AN103">
        <f>IF(OR(AN$4="",$A103&gt;TODAY()),0,IF(OR(INDEX($B103:$D103,AN$5)="F",AND(AN$6&gt;0,$A103&lt;AN$6),AND(AN$7&gt;0,$A103&gt;AN$7)),0,MAX(0,ROUND((INDEX($E103:$G103,AN$5)-SUMIFS(TF_Timer,TF_Tekniker,AN$4,TF_Dato,$A103))*2,0)/2)))</f>
        <v/>
      </c>
      <c r="AO103">
        <f>IF(OR(AO$4="",$A103&gt;TODAY()),0,IF(OR(INDEX($B103:$D103,AO$5)="F",AND(AO$6&gt;0,$A103&lt;AO$6),AND(AO$7&gt;0,$A103&gt;AO$7)),0,MAX(0,ROUND((INDEX($E103:$G103,AO$5)-SUMIFS(TF_Timer,TF_Tekniker,AO$4,TF_Dato,$A103))*2,0)/2)))</f>
        <v/>
      </c>
      <c r="AP103">
        <f>IF(OR(AP$4="",$A103&gt;TODAY()),0,IF(OR(INDEX($B103:$D103,AP$5)="F",AND(AP$6&gt;0,$A103&lt;AP$6),AND(AP$7&gt;0,$A103&gt;AP$7)),0,MAX(0,ROUND((INDEX($E103:$G103,AP$5)-SUMIFS(TF_Timer,TF_Tekniker,AP$4,TF_Dato,$A103))*2,0)/2)))</f>
        <v/>
      </c>
      <c r="AQ103">
        <f>IF(OR(AQ$4="",$A103&gt;TODAY()),0,IF(OR(INDEX($B103:$D103,AQ$5)="F",AND(AQ$6&gt;0,$A103&lt;AQ$6),AND(AQ$7&gt;0,$A103&gt;AQ$7)),0,MAX(0,ROUND((INDEX($E103:$G103,AQ$5)-SUMIFS(TF_Timer,TF_Tekniker,AQ$4,TF_Dato,$A103))*2,0)/2)))</f>
        <v/>
      </c>
      <c r="AR103">
        <f>IF(OR(AR$4="",$A103&gt;TODAY()),0,IF(OR(INDEX($B103:$D103,AR$5)="F",AND(AR$6&gt;0,$A103&lt;AR$6),AND(AR$7&gt;0,$A103&gt;AR$7)),0,MAX(0,ROUND((INDEX($E103:$G103,AR$5)-SUMIFS(TF_Timer,TF_Tekniker,AR$4,TF_Dato,$A103))*2,0)/2)))</f>
        <v/>
      </c>
      <c r="AS103">
        <f>IF(OR(AS$4="",$A103&gt;TODAY()),0,IF(OR(INDEX($B103:$D103,AS$5)="F",AND(AS$6&gt;0,$A103&lt;AS$6),AND(AS$7&gt;0,$A103&gt;AS$7)),0,MAX(0,ROUND((INDEX($E103:$G103,AS$5)-SUMIFS(TF_Timer,TF_Tekniker,AS$4,TF_Dato,$A103))*2,0)/2)))</f>
        <v/>
      </c>
      <c r="AT103">
        <f>IF(OR(AT$4="",$A103&gt;TODAY()),0,IF(OR(INDEX($B103:$D103,AT$5)="F",AND(AT$6&gt;0,$A103&lt;AT$6),AND(AT$7&gt;0,$A103&gt;AT$7)),0,MAX(0,ROUND((INDEX($E103:$G103,AT$5)-SUMIFS(TF_Timer,TF_Tekniker,AT$4,TF_Dato,$A103))*2,0)/2)))</f>
        <v/>
      </c>
      <c r="AU103">
        <f>IF(OR(AU$4="",$A103&gt;TODAY()),0,IF(OR(INDEX($B103:$D103,AU$5)="F",AND(AU$6&gt;0,$A103&lt;AU$6),AND(AU$7&gt;0,$A103&gt;AU$7)),0,MAX(0,ROUND((INDEX($E103:$G103,AU$5)-SUMIFS(TF_Timer,TF_Tekniker,AU$4,TF_Dato,$A103))*2,0)/2)))</f>
        <v/>
      </c>
      <c r="AV103">
        <f>IF(OR(AV$4="",$A103&gt;TODAY()),0,IF(OR(INDEX($B103:$D103,AV$5)="F",AND(AV$6&gt;0,$A103&lt;AV$6),AND(AV$7&gt;0,$A103&gt;AV$7)),0,MAX(0,ROUND((INDEX($E103:$G103,AV$5)-SUMIFS(TF_Timer,TF_Tekniker,AV$4,TF_Dato,$A103))*2,0)/2)))</f>
        <v/>
      </c>
      <c r="AW103">
        <f>IF(OR(AW$4="",$A103&gt;TODAY()),0,IF(OR(INDEX($B103:$D103,AW$5)="F",AND(AW$6&gt;0,$A103&lt;AW$6),AND(AW$7&gt;0,$A103&gt;AW$7)),0,MAX(0,ROUND((INDEX($E103:$G103,AW$5)-SUMIFS(TF_Timer,TF_Tekniker,AW$4,TF_Dato,$A103))*2,0)/2)))</f>
        <v/>
      </c>
      <c r="AX103">
        <f>IF(OR(AX$4="",$A103&gt;TODAY()),0,IF(OR(INDEX($B103:$D103,AX$5)="F",AND(AX$6&gt;0,$A103&lt;AX$6),AND(AX$7&gt;0,$A103&gt;AX$7)),0,MAX(0,ROUND((INDEX($E103:$G103,AX$5)-SUMIFS(TF_Timer,TF_Tekniker,AX$4,TF_Dato,$A103))*2,0)/2)))</f>
        <v/>
      </c>
      <c r="AY103">
        <f>IF(OR(AY$4="",$A103&gt;TODAY()),0,IF(OR(INDEX($B103:$D103,AY$5)="F",AND(AY$6&gt;0,$A103&lt;AY$6),AND(AY$7&gt;0,$A103&gt;AY$7)),0,MAX(0,ROUND((INDEX($E103:$G103,AY$5)-SUMIFS(TF_Timer,TF_Tekniker,AY$4,TF_Dato,$A103))*2,0)/2)))</f>
        <v/>
      </c>
      <c r="AZ103">
        <f>IF(OR(AZ$4="",$A103&gt;TODAY()),0,IF(OR(INDEX($B103:$D103,AZ$5)="F",AND(AZ$6&gt;0,$A103&lt;AZ$6),AND(AZ$7&gt;0,$A103&gt;AZ$7)),0,MAX(0,ROUND((INDEX($E103:$G103,AZ$5)-SUMIFS(TF_Timer,TF_Tekniker,AZ$4,TF_Dato,$A103))*2,0)/2)))</f>
        <v/>
      </c>
      <c r="BA103">
        <f>IF(OR(BA$4="",$A103&gt;TODAY()),0,IF(OR(INDEX($B103:$D103,BA$5)="F",AND(BA$6&gt;0,$A103&lt;BA$6),AND(BA$7&gt;0,$A103&gt;BA$7)),0,MAX(0,ROUND((INDEX($E103:$G103,BA$5)-SUMIFS(TF_Timer,TF_Tekniker,BA$4,TF_Dato,$A103))*2,0)/2)))</f>
        <v/>
      </c>
      <c r="BB103">
        <f>IF(OR(BB$4="",$A103&gt;TODAY()),0,IF(OR(INDEX($B103:$D103,BB$5)="F",AND(BB$6&gt;0,$A103&lt;BB$6),AND(BB$7&gt;0,$A103&gt;BB$7)),0,MAX(0,ROUND((INDEX($E103:$G103,BB$5)-SUMIFS(TF_Timer,TF_Tekniker,BB$4,TF_Dato,$A103))*2,0)/2)))</f>
        <v/>
      </c>
      <c r="BC103">
        <f>IF(OR(BC$4="",$A103&gt;TODAY()),0,IF(OR(INDEX($B103:$D103,BC$5)="F",AND(BC$6&gt;0,$A103&lt;BC$6),AND(BC$7&gt;0,$A103&gt;BC$7)),0,MAX(0,ROUND((INDEX($E103:$G103,BC$5)-SUMIFS(TF_Timer,TF_Tekniker,BC$4,TF_Dato,$A103))*2,0)/2)))</f>
        <v/>
      </c>
      <c r="BD103">
        <f>IF(OR(BD$4="",$A103&gt;TODAY()),0,IF(OR(INDEX($B103:$D103,BD$5)="F",AND(BD$6&gt;0,$A103&lt;BD$6),AND(BD$7&gt;0,$A103&gt;BD$7)),0,MAX(0,ROUND((INDEX($E103:$G103,BD$5)-SUMIFS(TF_Timer,TF_Tekniker,BD$4,TF_Dato,$A103))*2,0)/2)))</f>
        <v/>
      </c>
      <c r="BE103">
        <f>IF(OR(BE$4="",$A103&gt;TODAY()),0,IF(OR(INDEX($B103:$D103,BE$5)="F",AND(BE$6&gt;0,$A103&lt;BE$6),AND(BE$7&gt;0,$A103&gt;BE$7)),0,MAX(0,ROUND((INDEX($E103:$G103,BE$5)-SUMIFS(TF_Timer,TF_Tekniker,BE$4,TF_Dato,$A103))*2,0)/2)))</f>
        <v/>
      </c>
      <c r="BF103">
        <f>IF(OR(BF$4="",$A103&gt;TODAY()),0,IF(OR(INDEX($B103:$D103,BF$5)="F",AND(BF$6&gt;0,$A103&lt;BF$6),AND(BF$7&gt;0,$A103&gt;BF$7)),0,MAX(0,ROUND((INDEX($E103:$G103,BF$5)-SUMIFS(TF_Timer,TF_Tekniker,BF$4,TF_Dato,$A103))*2,0)/2)))</f>
        <v/>
      </c>
      <c r="BG103">
        <f>IF(OR(BG$4="",$A103&gt;TODAY()),0,IF(OR(INDEX($B103:$D103,BG$5)="F",AND(BG$6&gt;0,$A103&lt;BG$6),AND(BG$7&gt;0,$A103&gt;BG$7)),0,MAX(0,ROUND((INDEX($E103:$G103,BG$5)-SUMIFS(TF_Timer,TF_Tekniker,BG$4,TF_Dato,$A103))*2,0)/2)))</f>
        <v/>
      </c>
      <c r="BH103">
        <f>IF(OR(BH$4="",$A103&gt;TODAY()),0,IF(OR(INDEX($B103:$D103,BH$5)="F",AND(BH$6&gt;0,$A103&lt;BH$6),AND(BH$7&gt;0,$A103&gt;BH$7)),0,MAX(0,ROUND((INDEX($E103:$G103,BH$5)-SUMIFS(TF_Timer,TF_Tekniker,BH$4,TF_Dato,$A103))*2,0)/2)))</f>
        <v/>
      </c>
      <c r="BI103">
        <f>IF(OR(BI$4="",$A103&gt;TODAY()),0,IF(OR(INDEX($B103:$D103,BI$5)="F",AND(BI$6&gt;0,$A103&lt;BI$6),AND(BI$7&gt;0,$A103&gt;BI$7)),0,MAX(0,ROUND((INDEX($E103:$G103,BI$5)-SUMIFS(TF_Timer,TF_Tekniker,BI$4,TF_Dato,$A103))*2,0)/2)))</f>
        <v/>
      </c>
    </row>
    <row r="104">
      <c r="A104" s="64">
        <f>A103+1</f>
        <v/>
      </c>
      <c r="B104">
        <f>IF(MOD($A104-INDEX(SkiftStart,1),Syklus)&lt;DagK,"K",IF(MOD($A104-INDEX(SkiftStart,1),Syklus)&lt;DagK+DagH,"H",IF(MOD($A104-INDEX(SkiftStart,1),Syklus)&lt;DagK+DagH+DagD,"D","F")))</f>
        <v/>
      </c>
      <c r="C104">
        <f>IF(MOD($A104-INDEX(SkiftStart,2),Syklus)&lt;DagK,"K",IF(MOD($A104-INDEX(SkiftStart,2),Syklus)&lt;DagK+DagH,"H",IF(MOD($A104-INDEX(SkiftStart,2),Syklus)&lt;DagK+DagH+DagD,"D","F")))</f>
        <v/>
      </c>
      <c r="D104">
        <f>IF(MOD($A104-INDEX(SkiftStart,3),Syklus)&lt;DagK,"K",IF(MOD($A104-INDEX(SkiftStart,3),Syklus)&lt;DagK+DagH,"H",IF(MOD($A104-INDEX(SkiftStart,3),Syklus)&lt;DagK+DagH+DagD,"D","F")))</f>
        <v/>
      </c>
      <c r="E104">
        <f>IF(B104="F",0,IF(WEEKDAY($A104,2)=5,INDEX(TimerFr,MATCH(B104,FaseKode,0)),INDEX(TimerMT,MATCH(B104,FaseKode,0))))</f>
        <v/>
      </c>
      <c r="F104">
        <f>IF(C104="F",0,IF(WEEKDAY($A104,2)=5,INDEX(TimerFr,MATCH(C104,FaseKode,0)),INDEX(TimerMT,MATCH(C104,FaseKode,0))))</f>
        <v/>
      </c>
      <c r="G104">
        <f>IF(D104="F",0,IF(WEEKDAY($A104,2)=5,INDEX(TimerFr,MATCH(D104,FaseKode,0)),INDEX(TimerMT,MATCH(D104,FaseKode,0))))</f>
        <v/>
      </c>
      <c r="H104">
        <f>IF(OR(H$4="",$A104&gt;TODAY()),0,IF(OR(INDEX($B104:$D104,H$5)="F",AND(H$6&gt;0,$A104&lt;H$6),AND(H$7&gt;0,$A104&gt;H$7)),0,MAX(0,ROUND((INDEX($E104:$G104,H$5)-SUMIFS(TF_Timer,TF_Tekniker,H$4,TF_Dato,$A104))*2,0)/2)))</f>
        <v/>
      </c>
      <c r="I104">
        <f>IF(OR(I$4="",$A104&gt;TODAY()),0,IF(OR(INDEX($B104:$D104,I$5)="F",AND(I$6&gt;0,$A104&lt;I$6),AND(I$7&gt;0,$A104&gt;I$7)),0,MAX(0,ROUND((INDEX($E104:$G104,I$5)-SUMIFS(TF_Timer,TF_Tekniker,I$4,TF_Dato,$A104))*2,0)/2)))</f>
        <v/>
      </c>
      <c r="J104">
        <f>IF(OR(J$4="",$A104&gt;TODAY()),0,IF(OR(INDEX($B104:$D104,J$5)="F",AND(J$6&gt;0,$A104&lt;J$6),AND(J$7&gt;0,$A104&gt;J$7)),0,MAX(0,ROUND((INDEX($E104:$G104,J$5)-SUMIFS(TF_Timer,TF_Tekniker,J$4,TF_Dato,$A104))*2,0)/2)))</f>
        <v/>
      </c>
      <c r="K104">
        <f>IF(OR(K$4="",$A104&gt;TODAY()),0,IF(OR(INDEX($B104:$D104,K$5)="F",AND(K$6&gt;0,$A104&lt;K$6),AND(K$7&gt;0,$A104&gt;K$7)),0,MAX(0,ROUND((INDEX($E104:$G104,K$5)-SUMIFS(TF_Timer,TF_Tekniker,K$4,TF_Dato,$A104))*2,0)/2)))</f>
        <v/>
      </c>
      <c r="L104">
        <f>IF(OR(L$4="",$A104&gt;TODAY()),0,IF(OR(INDEX($B104:$D104,L$5)="F",AND(L$6&gt;0,$A104&lt;L$6),AND(L$7&gt;0,$A104&gt;L$7)),0,MAX(0,ROUND((INDEX($E104:$G104,L$5)-SUMIFS(TF_Timer,TF_Tekniker,L$4,TF_Dato,$A104))*2,0)/2)))</f>
        <v/>
      </c>
      <c r="M104">
        <f>IF(OR(M$4="",$A104&gt;TODAY()),0,IF(OR(INDEX($B104:$D104,M$5)="F",AND(M$6&gt;0,$A104&lt;M$6),AND(M$7&gt;0,$A104&gt;M$7)),0,MAX(0,ROUND((INDEX($E104:$G104,M$5)-SUMIFS(TF_Timer,TF_Tekniker,M$4,TF_Dato,$A104))*2,0)/2)))</f>
        <v/>
      </c>
      <c r="N104">
        <f>IF(OR(N$4="",$A104&gt;TODAY()),0,IF(OR(INDEX($B104:$D104,N$5)="F",AND(N$6&gt;0,$A104&lt;N$6),AND(N$7&gt;0,$A104&gt;N$7)),0,MAX(0,ROUND((INDEX($E104:$G104,N$5)-SUMIFS(TF_Timer,TF_Tekniker,N$4,TF_Dato,$A104))*2,0)/2)))</f>
        <v/>
      </c>
      <c r="O104">
        <f>IF(OR(O$4="",$A104&gt;TODAY()),0,IF(OR(INDEX($B104:$D104,O$5)="F",AND(O$6&gt;0,$A104&lt;O$6),AND(O$7&gt;0,$A104&gt;O$7)),0,MAX(0,ROUND((INDEX($E104:$G104,O$5)-SUMIFS(TF_Timer,TF_Tekniker,O$4,TF_Dato,$A104))*2,0)/2)))</f>
        <v/>
      </c>
      <c r="P104">
        <f>IF(OR(P$4="",$A104&gt;TODAY()),0,IF(OR(INDEX($B104:$D104,P$5)="F",AND(P$6&gt;0,$A104&lt;P$6),AND(P$7&gt;0,$A104&gt;P$7)),0,MAX(0,ROUND((INDEX($E104:$G104,P$5)-SUMIFS(TF_Timer,TF_Tekniker,P$4,TF_Dato,$A104))*2,0)/2)))</f>
        <v/>
      </c>
      <c r="Q104">
        <f>IF(OR(Q$4="",$A104&gt;TODAY()),0,IF(OR(INDEX($B104:$D104,Q$5)="F",AND(Q$6&gt;0,$A104&lt;Q$6),AND(Q$7&gt;0,$A104&gt;Q$7)),0,MAX(0,ROUND((INDEX($E104:$G104,Q$5)-SUMIFS(TF_Timer,TF_Tekniker,Q$4,TF_Dato,$A104))*2,0)/2)))</f>
        <v/>
      </c>
      <c r="R104">
        <f>IF(OR(R$4="",$A104&gt;TODAY()),0,IF(OR(INDEX($B104:$D104,R$5)="F",AND(R$6&gt;0,$A104&lt;R$6),AND(R$7&gt;0,$A104&gt;R$7)),0,MAX(0,ROUND((INDEX($E104:$G104,R$5)-SUMIFS(TF_Timer,TF_Tekniker,R$4,TF_Dato,$A104))*2,0)/2)))</f>
        <v/>
      </c>
      <c r="S104">
        <f>IF(OR(S$4="",$A104&gt;TODAY()),0,IF(OR(INDEX($B104:$D104,S$5)="F",AND(S$6&gt;0,$A104&lt;S$6),AND(S$7&gt;0,$A104&gt;S$7)),0,MAX(0,ROUND((INDEX($E104:$G104,S$5)-SUMIFS(TF_Timer,TF_Tekniker,S$4,TF_Dato,$A104))*2,0)/2)))</f>
        <v/>
      </c>
      <c r="T104">
        <f>IF(OR(T$4="",$A104&gt;TODAY()),0,IF(OR(INDEX($B104:$D104,T$5)="F",AND(T$6&gt;0,$A104&lt;T$6),AND(T$7&gt;0,$A104&gt;T$7)),0,MAX(0,ROUND((INDEX($E104:$G104,T$5)-SUMIFS(TF_Timer,TF_Tekniker,T$4,TF_Dato,$A104))*2,0)/2)))</f>
        <v/>
      </c>
      <c r="U104">
        <f>IF(OR(U$4="",$A104&gt;TODAY()),0,IF(OR(INDEX($B104:$D104,U$5)="F",AND(U$6&gt;0,$A104&lt;U$6),AND(U$7&gt;0,$A104&gt;U$7)),0,MAX(0,ROUND((INDEX($E104:$G104,U$5)-SUMIFS(TF_Timer,TF_Tekniker,U$4,TF_Dato,$A104))*2,0)/2)))</f>
        <v/>
      </c>
      <c r="V104">
        <f>IF(OR(V$4="",$A104&gt;TODAY()),0,IF(OR(INDEX($B104:$D104,V$5)="F",AND(V$6&gt;0,$A104&lt;V$6),AND(V$7&gt;0,$A104&gt;V$7)),0,MAX(0,ROUND((INDEX($E104:$G104,V$5)-SUMIFS(TF_Timer,TF_Tekniker,V$4,TF_Dato,$A104))*2,0)/2)))</f>
        <v/>
      </c>
      <c r="W104">
        <f>IF(OR(W$4="",$A104&gt;TODAY()),0,IF(OR(INDEX($B104:$D104,W$5)="F",AND(W$6&gt;0,$A104&lt;W$6),AND(W$7&gt;0,$A104&gt;W$7)),0,MAX(0,ROUND((INDEX($E104:$G104,W$5)-SUMIFS(TF_Timer,TF_Tekniker,W$4,TF_Dato,$A104))*2,0)/2)))</f>
        <v/>
      </c>
      <c r="X104">
        <f>IF(OR(X$4="",$A104&gt;TODAY()),0,IF(OR(INDEX($B104:$D104,X$5)="F",AND(X$6&gt;0,$A104&lt;X$6),AND(X$7&gt;0,$A104&gt;X$7)),0,MAX(0,ROUND((INDEX($E104:$G104,X$5)-SUMIFS(TF_Timer,TF_Tekniker,X$4,TF_Dato,$A104))*2,0)/2)))</f>
        <v/>
      </c>
      <c r="Y104">
        <f>IF(OR(Y$4="",$A104&gt;TODAY()),0,IF(OR(INDEX($B104:$D104,Y$5)="F",AND(Y$6&gt;0,$A104&lt;Y$6),AND(Y$7&gt;0,$A104&gt;Y$7)),0,MAX(0,ROUND((INDEX($E104:$G104,Y$5)-SUMIFS(TF_Timer,TF_Tekniker,Y$4,TF_Dato,$A104))*2,0)/2)))</f>
        <v/>
      </c>
      <c r="Z104">
        <f>IF(OR(Z$4="",$A104&gt;TODAY()),0,IF(OR(INDEX($B104:$D104,Z$5)="F",AND(Z$6&gt;0,$A104&lt;Z$6),AND(Z$7&gt;0,$A104&gt;Z$7)),0,MAX(0,ROUND((INDEX($E104:$G104,Z$5)-SUMIFS(TF_Timer,TF_Tekniker,Z$4,TF_Dato,$A104))*2,0)/2)))</f>
        <v/>
      </c>
      <c r="AA104">
        <f>IF(OR(AA$4="",$A104&gt;TODAY()),0,IF(OR(INDEX($B104:$D104,AA$5)="F",AND(AA$6&gt;0,$A104&lt;AA$6),AND(AA$7&gt;0,$A104&gt;AA$7)),0,MAX(0,ROUND((INDEX($E104:$G104,AA$5)-SUMIFS(TF_Timer,TF_Tekniker,AA$4,TF_Dato,$A104))*2,0)/2)))</f>
        <v/>
      </c>
      <c r="AB104">
        <f>IF(OR(AB$4="",$A104&gt;TODAY()),0,IF(OR(INDEX($B104:$D104,AB$5)="F",AND(AB$6&gt;0,$A104&lt;AB$6),AND(AB$7&gt;0,$A104&gt;AB$7)),0,MAX(0,ROUND((INDEX($E104:$G104,AB$5)-SUMIFS(TF_Timer,TF_Tekniker,AB$4,TF_Dato,$A104))*2,0)/2)))</f>
        <v/>
      </c>
      <c r="AC104">
        <f>IF(OR(AC$4="",$A104&gt;TODAY()),0,IF(OR(INDEX($B104:$D104,AC$5)="F",AND(AC$6&gt;0,$A104&lt;AC$6),AND(AC$7&gt;0,$A104&gt;AC$7)),0,MAX(0,ROUND((INDEX($E104:$G104,AC$5)-SUMIFS(TF_Timer,TF_Tekniker,AC$4,TF_Dato,$A104))*2,0)/2)))</f>
        <v/>
      </c>
      <c r="AD104">
        <f>IF(OR(AD$4="",$A104&gt;TODAY()),0,IF(OR(INDEX($B104:$D104,AD$5)="F",AND(AD$6&gt;0,$A104&lt;AD$6),AND(AD$7&gt;0,$A104&gt;AD$7)),0,MAX(0,ROUND((INDEX($E104:$G104,AD$5)-SUMIFS(TF_Timer,TF_Tekniker,AD$4,TF_Dato,$A104))*2,0)/2)))</f>
        <v/>
      </c>
      <c r="AE104">
        <f>IF(OR(AE$4="",$A104&gt;TODAY()),0,IF(OR(INDEX($B104:$D104,AE$5)="F",AND(AE$6&gt;0,$A104&lt;AE$6),AND(AE$7&gt;0,$A104&gt;AE$7)),0,MAX(0,ROUND((INDEX($E104:$G104,AE$5)-SUMIFS(TF_Timer,TF_Tekniker,AE$4,TF_Dato,$A104))*2,0)/2)))</f>
        <v/>
      </c>
      <c r="AF104">
        <f>IF(OR(AF$4="",$A104&gt;TODAY()),0,IF(OR(INDEX($B104:$D104,AF$5)="F",AND(AF$6&gt;0,$A104&lt;AF$6),AND(AF$7&gt;0,$A104&gt;AF$7)),0,MAX(0,ROUND((INDEX($E104:$G104,AF$5)-SUMIFS(TF_Timer,TF_Tekniker,AF$4,TF_Dato,$A104))*2,0)/2)))</f>
        <v/>
      </c>
      <c r="AG104">
        <f>IF(OR(AG$4="",$A104&gt;TODAY()),0,IF(OR(INDEX($B104:$D104,AG$5)="F",AND(AG$6&gt;0,$A104&lt;AG$6),AND(AG$7&gt;0,$A104&gt;AG$7)),0,MAX(0,ROUND((INDEX($E104:$G104,AG$5)-SUMIFS(TF_Timer,TF_Tekniker,AG$4,TF_Dato,$A104))*2,0)/2)))</f>
        <v/>
      </c>
      <c r="AH104">
        <f>IF(OR(AH$4="",$A104&gt;TODAY()),0,IF(OR(INDEX($B104:$D104,AH$5)="F",AND(AH$6&gt;0,$A104&lt;AH$6),AND(AH$7&gt;0,$A104&gt;AH$7)),0,MAX(0,ROUND((INDEX($E104:$G104,AH$5)-SUMIFS(TF_Timer,TF_Tekniker,AH$4,TF_Dato,$A104))*2,0)/2)))</f>
        <v/>
      </c>
      <c r="AI104">
        <f>IF(OR(AI$4="",$A104&gt;TODAY()),0,IF(OR(INDEX($B104:$D104,AI$5)="F",AND(AI$6&gt;0,$A104&lt;AI$6),AND(AI$7&gt;0,$A104&gt;AI$7)),0,MAX(0,ROUND((INDEX($E104:$G104,AI$5)-SUMIFS(TF_Timer,TF_Tekniker,AI$4,TF_Dato,$A104))*2,0)/2)))</f>
        <v/>
      </c>
      <c r="AJ104">
        <f>IF(OR(AJ$4="",$A104&gt;TODAY()),0,IF(OR(INDEX($B104:$D104,AJ$5)="F",AND(AJ$6&gt;0,$A104&lt;AJ$6),AND(AJ$7&gt;0,$A104&gt;AJ$7)),0,MAX(0,ROUND((INDEX($E104:$G104,AJ$5)-SUMIFS(TF_Timer,TF_Tekniker,AJ$4,TF_Dato,$A104))*2,0)/2)))</f>
        <v/>
      </c>
      <c r="AK104">
        <f>IF(OR(AK$4="",$A104&gt;TODAY()),0,IF(OR(INDEX($B104:$D104,AK$5)="F",AND(AK$6&gt;0,$A104&lt;AK$6),AND(AK$7&gt;0,$A104&gt;AK$7)),0,MAX(0,ROUND((INDEX($E104:$G104,AK$5)-SUMIFS(TF_Timer,TF_Tekniker,AK$4,TF_Dato,$A104))*2,0)/2)))</f>
        <v/>
      </c>
      <c r="AL104">
        <f>IF(OR(AL$4="",$A104&gt;TODAY()),0,IF(OR(INDEX($B104:$D104,AL$5)="F",AND(AL$6&gt;0,$A104&lt;AL$6),AND(AL$7&gt;0,$A104&gt;AL$7)),0,MAX(0,ROUND((INDEX($E104:$G104,AL$5)-SUMIFS(TF_Timer,TF_Tekniker,AL$4,TF_Dato,$A104))*2,0)/2)))</f>
        <v/>
      </c>
      <c r="AM104">
        <f>IF(OR(AM$4="",$A104&gt;TODAY()),0,IF(OR(INDEX($B104:$D104,AM$5)="F",AND(AM$6&gt;0,$A104&lt;AM$6),AND(AM$7&gt;0,$A104&gt;AM$7)),0,MAX(0,ROUND((INDEX($E104:$G104,AM$5)-SUMIFS(TF_Timer,TF_Tekniker,AM$4,TF_Dato,$A104))*2,0)/2)))</f>
        <v/>
      </c>
      <c r="AN104">
        <f>IF(OR(AN$4="",$A104&gt;TODAY()),0,IF(OR(INDEX($B104:$D104,AN$5)="F",AND(AN$6&gt;0,$A104&lt;AN$6),AND(AN$7&gt;0,$A104&gt;AN$7)),0,MAX(0,ROUND((INDEX($E104:$G104,AN$5)-SUMIFS(TF_Timer,TF_Tekniker,AN$4,TF_Dato,$A104))*2,0)/2)))</f>
        <v/>
      </c>
      <c r="AO104">
        <f>IF(OR(AO$4="",$A104&gt;TODAY()),0,IF(OR(INDEX($B104:$D104,AO$5)="F",AND(AO$6&gt;0,$A104&lt;AO$6),AND(AO$7&gt;0,$A104&gt;AO$7)),0,MAX(0,ROUND((INDEX($E104:$G104,AO$5)-SUMIFS(TF_Timer,TF_Tekniker,AO$4,TF_Dato,$A104))*2,0)/2)))</f>
        <v/>
      </c>
      <c r="AP104">
        <f>IF(OR(AP$4="",$A104&gt;TODAY()),0,IF(OR(INDEX($B104:$D104,AP$5)="F",AND(AP$6&gt;0,$A104&lt;AP$6),AND(AP$7&gt;0,$A104&gt;AP$7)),0,MAX(0,ROUND((INDEX($E104:$G104,AP$5)-SUMIFS(TF_Timer,TF_Tekniker,AP$4,TF_Dato,$A104))*2,0)/2)))</f>
        <v/>
      </c>
      <c r="AQ104">
        <f>IF(OR(AQ$4="",$A104&gt;TODAY()),0,IF(OR(INDEX($B104:$D104,AQ$5)="F",AND(AQ$6&gt;0,$A104&lt;AQ$6),AND(AQ$7&gt;0,$A104&gt;AQ$7)),0,MAX(0,ROUND((INDEX($E104:$G104,AQ$5)-SUMIFS(TF_Timer,TF_Tekniker,AQ$4,TF_Dato,$A104))*2,0)/2)))</f>
        <v/>
      </c>
      <c r="AR104">
        <f>IF(OR(AR$4="",$A104&gt;TODAY()),0,IF(OR(INDEX($B104:$D104,AR$5)="F",AND(AR$6&gt;0,$A104&lt;AR$6),AND(AR$7&gt;0,$A104&gt;AR$7)),0,MAX(0,ROUND((INDEX($E104:$G104,AR$5)-SUMIFS(TF_Timer,TF_Tekniker,AR$4,TF_Dato,$A104))*2,0)/2)))</f>
        <v/>
      </c>
      <c r="AS104">
        <f>IF(OR(AS$4="",$A104&gt;TODAY()),0,IF(OR(INDEX($B104:$D104,AS$5)="F",AND(AS$6&gt;0,$A104&lt;AS$6),AND(AS$7&gt;0,$A104&gt;AS$7)),0,MAX(0,ROUND((INDEX($E104:$G104,AS$5)-SUMIFS(TF_Timer,TF_Tekniker,AS$4,TF_Dato,$A104))*2,0)/2)))</f>
        <v/>
      </c>
      <c r="AT104">
        <f>IF(OR(AT$4="",$A104&gt;TODAY()),0,IF(OR(INDEX($B104:$D104,AT$5)="F",AND(AT$6&gt;0,$A104&lt;AT$6),AND(AT$7&gt;0,$A104&gt;AT$7)),0,MAX(0,ROUND((INDEX($E104:$G104,AT$5)-SUMIFS(TF_Timer,TF_Tekniker,AT$4,TF_Dato,$A104))*2,0)/2)))</f>
        <v/>
      </c>
      <c r="AU104">
        <f>IF(OR(AU$4="",$A104&gt;TODAY()),0,IF(OR(INDEX($B104:$D104,AU$5)="F",AND(AU$6&gt;0,$A104&lt;AU$6),AND(AU$7&gt;0,$A104&gt;AU$7)),0,MAX(0,ROUND((INDEX($E104:$G104,AU$5)-SUMIFS(TF_Timer,TF_Tekniker,AU$4,TF_Dato,$A104))*2,0)/2)))</f>
        <v/>
      </c>
      <c r="AV104">
        <f>IF(OR(AV$4="",$A104&gt;TODAY()),0,IF(OR(INDEX($B104:$D104,AV$5)="F",AND(AV$6&gt;0,$A104&lt;AV$6),AND(AV$7&gt;0,$A104&gt;AV$7)),0,MAX(0,ROUND((INDEX($E104:$G104,AV$5)-SUMIFS(TF_Timer,TF_Tekniker,AV$4,TF_Dato,$A104))*2,0)/2)))</f>
        <v/>
      </c>
      <c r="AW104">
        <f>IF(OR(AW$4="",$A104&gt;TODAY()),0,IF(OR(INDEX($B104:$D104,AW$5)="F",AND(AW$6&gt;0,$A104&lt;AW$6),AND(AW$7&gt;0,$A104&gt;AW$7)),0,MAX(0,ROUND((INDEX($E104:$G104,AW$5)-SUMIFS(TF_Timer,TF_Tekniker,AW$4,TF_Dato,$A104))*2,0)/2)))</f>
        <v/>
      </c>
      <c r="AX104">
        <f>IF(OR(AX$4="",$A104&gt;TODAY()),0,IF(OR(INDEX($B104:$D104,AX$5)="F",AND(AX$6&gt;0,$A104&lt;AX$6),AND(AX$7&gt;0,$A104&gt;AX$7)),0,MAX(0,ROUND((INDEX($E104:$G104,AX$5)-SUMIFS(TF_Timer,TF_Tekniker,AX$4,TF_Dato,$A104))*2,0)/2)))</f>
        <v/>
      </c>
      <c r="AY104">
        <f>IF(OR(AY$4="",$A104&gt;TODAY()),0,IF(OR(INDEX($B104:$D104,AY$5)="F",AND(AY$6&gt;0,$A104&lt;AY$6),AND(AY$7&gt;0,$A104&gt;AY$7)),0,MAX(0,ROUND((INDEX($E104:$G104,AY$5)-SUMIFS(TF_Timer,TF_Tekniker,AY$4,TF_Dato,$A104))*2,0)/2)))</f>
        <v/>
      </c>
      <c r="AZ104">
        <f>IF(OR(AZ$4="",$A104&gt;TODAY()),0,IF(OR(INDEX($B104:$D104,AZ$5)="F",AND(AZ$6&gt;0,$A104&lt;AZ$6),AND(AZ$7&gt;0,$A104&gt;AZ$7)),0,MAX(0,ROUND((INDEX($E104:$G104,AZ$5)-SUMIFS(TF_Timer,TF_Tekniker,AZ$4,TF_Dato,$A104))*2,0)/2)))</f>
        <v/>
      </c>
      <c r="BA104">
        <f>IF(OR(BA$4="",$A104&gt;TODAY()),0,IF(OR(INDEX($B104:$D104,BA$5)="F",AND(BA$6&gt;0,$A104&lt;BA$6),AND(BA$7&gt;0,$A104&gt;BA$7)),0,MAX(0,ROUND((INDEX($E104:$G104,BA$5)-SUMIFS(TF_Timer,TF_Tekniker,BA$4,TF_Dato,$A104))*2,0)/2)))</f>
        <v/>
      </c>
      <c r="BB104">
        <f>IF(OR(BB$4="",$A104&gt;TODAY()),0,IF(OR(INDEX($B104:$D104,BB$5)="F",AND(BB$6&gt;0,$A104&lt;BB$6),AND(BB$7&gt;0,$A104&gt;BB$7)),0,MAX(0,ROUND((INDEX($E104:$G104,BB$5)-SUMIFS(TF_Timer,TF_Tekniker,BB$4,TF_Dato,$A104))*2,0)/2)))</f>
        <v/>
      </c>
      <c r="BC104">
        <f>IF(OR(BC$4="",$A104&gt;TODAY()),0,IF(OR(INDEX($B104:$D104,BC$5)="F",AND(BC$6&gt;0,$A104&lt;BC$6),AND(BC$7&gt;0,$A104&gt;BC$7)),0,MAX(0,ROUND((INDEX($E104:$G104,BC$5)-SUMIFS(TF_Timer,TF_Tekniker,BC$4,TF_Dato,$A104))*2,0)/2)))</f>
        <v/>
      </c>
      <c r="BD104">
        <f>IF(OR(BD$4="",$A104&gt;TODAY()),0,IF(OR(INDEX($B104:$D104,BD$5)="F",AND(BD$6&gt;0,$A104&lt;BD$6),AND(BD$7&gt;0,$A104&gt;BD$7)),0,MAX(0,ROUND((INDEX($E104:$G104,BD$5)-SUMIFS(TF_Timer,TF_Tekniker,BD$4,TF_Dato,$A104))*2,0)/2)))</f>
        <v/>
      </c>
      <c r="BE104">
        <f>IF(OR(BE$4="",$A104&gt;TODAY()),0,IF(OR(INDEX($B104:$D104,BE$5)="F",AND(BE$6&gt;0,$A104&lt;BE$6),AND(BE$7&gt;0,$A104&gt;BE$7)),0,MAX(0,ROUND((INDEX($E104:$G104,BE$5)-SUMIFS(TF_Timer,TF_Tekniker,BE$4,TF_Dato,$A104))*2,0)/2)))</f>
        <v/>
      </c>
      <c r="BF104">
        <f>IF(OR(BF$4="",$A104&gt;TODAY()),0,IF(OR(INDEX($B104:$D104,BF$5)="F",AND(BF$6&gt;0,$A104&lt;BF$6),AND(BF$7&gt;0,$A104&gt;BF$7)),0,MAX(0,ROUND((INDEX($E104:$G104,BF$5)-SUMIFS(TF_Timer,TF_Tekniker,BF$4,TF_Dato,$A104))*2,0)/2)))</f>
        <v/>
      </c>
      <c r="BG104">
        <f>IF(OR(BG$4="",$A104&gt;TODAY()),0,IF(OR(INDEX($B104:$D104,BG$5)="F",AND(BG$6&gt;0,$A104&lt;BG$6),AND(BG$7&gt;0,$A104&gt;BG$7)),0,MAX(0,ROUND((INDEX($E104:$G104,BG$5)-SUMIFS(TF_Timer,TF_Tekniker,BG$4,TF_Dato,$A104))*2,0)/2)))</f>
        <v/>
      </c>
      <c r="BH104">
        <f>IF(OR(BH$4="",$A104&gt;TODAY()),0,IF(OR(INDEX($B104:$D104,BH$5)="F",AND(BH$6&gt;0,$A104&lt;BH$6),AND(BH$7&gt;0,$A104&gt;BH$7)),0,MAX(0,ROUND((INDEX($E104:$G104,BH$5)-SUMIFS(TF_Timer,TF_Tekniker,BH$4,TF_Dato,$A104))*2,0)/2)))</f>
        <v/>
      </c>
      <c r="BI104">
        <f>IF(OR(BI$4="",$A104&gt;TODAY()),0,IF(OR(INDEX($B104:$D104,BI$5)="F",AND(BI$6&gt;0,$A104&lt;BI$6),AND(BI$7&gt;0,$A104&gt;BI$7)),0,MAX(0,ROUND((INDEX($E104:$G104,BI$5)-SUMIFS(TF_Timer,TF_Tekniker,BI$4,TF_Dato,$A104))*2,0)/2)))</f>
        <v/>
      </c>
    </row>
    <row r="105">
      <c r="A105" s="64">
        <f>A104+1</f>
        <v/>
      </c>
      <c r="B105">
        <f>IF(MOD($A105-INDEX(SkiftStart,1),Syklus)&lt;DagK,"K",IF(MOD($A105-INDEX(SkiftStart,1),Syklus)&lt;DagK+DagH,"H",IF(MOD($A105-INDEX(SkiftStart,1),Syklus)&lt;DagK+DagH+DagD,"D","F")))</f>
        <v/>
      </c>
      <c r="C105">
        <f>IF(MOD($A105-INDEX(SkiftStart,2),Syklus)&lt;DagK,"K",IF(MOD($A105-INDEX(SkiftStart,2),Syklus)&lt;DagK+DagH,"H",IF(MOD($A105-INDEX(SkiftStart,2),Syklus)&lt;DagK+DagH+DagD,"D","F")))</f>
        <v/>
      </c>
      <c r="D105">
        <f>IF(MOD($A105-INDEX(SkiftStart,3),Syklus)&lt;DagK,"K",IF(MOD($A105-INDEX(SkiftStart,3),Syklus)&lt;DagK+DagH,"H",IF(MOD($A105-INDEX(SkiftStart,3),Syklus)&lt;DagK+DagH+DagD,"D","F")))</f>
        <v/>
      </c>
      <c r="E105">
        <f>IF(B105="F",0,IF(WEEKDAY($A105,2)=5,INDEX(TimerFr,MATCH(B105,FaseKode,0)),INDEX(TimerMT,MATCH(B105,FaseKode,0))))</f>
        <v/>
      </c>
      <c r="F105">
        <f>IF(C105="F",0,IF(WEEKDAY($A105,2)=5,INDEX(TimerFr,MATCH(C105,FaseKode,0)),INDEX(TimerMT,MATCH(C105,FaseKode,0))))</f>
        <v/>
      </c>
      <c r="G105">
        <f>IF(D105="F",0,IF(WEEKDAY($A105,2)=5,INDEX(TimerFr,MATCH(D105,FaseKode,0)),INDEX(TimerMT,MATCH(D105,FaseKode,0))))</f>
        <v/>
      </c>
      <c r="H105">
        <f>IF(OR(H$4="",$A105&gt;TODAY()),0,IF(OR(INDEX($B105:$D105,H$5)="F",AND(H$6&gt;0,$A105&lt;H$6),AND(H$7&gt;0,$A105&gt;H$7)),0,MAX(0,ROUND((INDEX($E105:$G105,H$5)-SUMIFS(TF_Timer,TF_Tekniker,H$4,TF_Dato,$A105))*2,0)/2)))</f>
        <v/>
      </c>
      <c r="I105">
        <f>IF(OR(I$4="",$A105&gt;TODAY()),0,IF(OR(INDEX($B105:$D105,I$5)="F",AND(I$6&gt;0,$A105&lt;I$6),AND(I$7&gt;0,$A105&gt;I$7)),0,MAX(0,ROUND((INDEX($E105:$G105,I$5)-SUMIFS(TF_Timer,TF_Tekniker,I$4,TF_Dato,$A105))*2,0)/2)))</f>
        <v/>
      </c>
      <c r="J105">
        <f>IF(OR(J$4="",$A105&gt;TODAY()),0,IF(OR(INDEX($B105:$D105,J$5)="F",AND(J$6&gt;0,$A105&lt;J$6),AND(J$7&gt;0,$A105&gt;J$7)),0,MAX(0,ROUND((INDEX($E105:$G105,J$5)-SUMIFS(TF_Timer,TF_Tekniker,J$4,TF_Dato,$A105))*2,0)/2)))</f>
        <v/>
      </c>
      <c r="K105">
        <f>IF(OR(K$4="",$A105&gt;TODAY()),0,IF(OR(INDEX($B105:$D105,K$5)="F",AND(K$6&gt;0,$A105&lt;K$6),AND(K$7&gt;0,$A105&gt;K$7)),0,MAX(0,ROUND((INDEX($E105:$G105,K$5)-SUMIFS(TF_Timer,TF_Tekniker,K$4,TF_Dato,$A105))*2,0)/2)))</f>
        <v/>
      </c>
      <c r="L105">
        <f>IF(OR(L$4="",$A105&gt;TODAY()),0,IF(OR(INDEX($B105:$D105,L$5)="F",AND(L$6&gt;0,$A105&lt;L$6),AND(L$7&gt;0,$A105&gt;L$7)),0,MAX(0,ROUND((INDEX($E105:$G105,L$5)-SUMIFS(TF_Timer,TF_Tekniker,L$4,TF_Dato,$A105))*2,0)/2)))</f>
        <v/>
      </c>
      <c r="M105">
        <f>IF(OR(M$4="",$A105&gt;TODAY()),0,IF(OR(INDEX($B105:$D105,M$5)="F",AND(M$6&gt;0,$A105&lt;M$6),AND(M$7&gt;0,$A105&gt;M$7)),0,MAX(0,ROUND((INDEX($E105:$G105,M$5)-SUMIFS(TF_Timer,TF_Tekniker,M$4,TF_Dato,$A105))*2,0)/2)))</f>
        <v/>
      </c>
      <c r="N105">
        <f>IF(OR(N$4="",$A105&gt;TODAY()),0,IF(OR(INDEX($B105:$D105,N$5)="F",AND(N$6&gt;0,$A105&lt;N$6),AND(N$7&gt;0,$A105&gt;N$7)),0,MAX(0,ROUND((INDEX($E105:$G105,N$5)-SUMIFS(TF_Timer,TF_Tekniker,N$4,TF_Dato,$A105))*2,0)/2)))</f>
        <v/>
      </c>
      <c r="O105">
        <f>IF(OR(O$4="",$A105&gt;TODAY()),0,IF(OR(INDEX($B105:$D105,O$5)="F",AND(O$6&gt;0,$A105&lt;O$6),AND(O$7&gt;0,$A105&gt;O$7)),0,MAX(0,ROUND((INDEX($E105:$G105,O$5)-SUMIFS(TF_Timer,TF_Tekniker,O$4,TF_Dato,$A105))*2,0)/2)))</f>
        <v/>
      </c>
      <c r="P105">
        <f>IF(OR(P$4="",$A105&gt;TODAY()),0,IF(OR(INDEX($B105:$D105,P$5)="F",AND(P$6&gt;0,$A105&lt;P$6),AND(P$7&gt;0,$A105&gt;P$7)),0,MAX(0,ROUND((INDEX($E105:$G105,P$5)-SUMIFS(TF_Timer,TF_Tekniker,P$4,TF_Dato,$A105))*2,0)/2)))</f>
        <v/>
      </c>
      <c r="Q105">
        <f>IF(OR(Q$4="",$A105&gt;TODAY()),0,IF(OR(INDEX($B105:$D105,Q$5)="F",AND(Q$6&gt;0,$A105&lt;Q$6),AND(Q$7&gt;0,$A105&gt;Q$7)),0,MAX(0,ROUND((INDEX($E105:$G105,Q$5)-SUMIFS(TF_Timer,TF_Tekniker,Q$4,TF_Dato,$A105))*2,0)/2)))</f>
        <v/>
      </c>
      <c r="R105">
        <f>IF(OR(R$4="",$A105&gt;TODAY()),0,IF(OR(INDEX($B105:$D105,R$5)="F",AND(R$6&gt;0,$A105&lt;R$6),AND(R$7&gt;0,$A105&gt;R$7)),0,MAX(0,ROUND((INDEX($E105:$G105,R$5)-SUMIFS(TF_Timer,TF_Tekniker,R$4,TF_Dato,$A105))*2,0)/2)))</f>
        <v/>
      </c>
      <c r="S105">
        <f>IF(OR(S$4="",$A105&gt;TODAY()),0,IF(OR(INDEX($B105:$D105,S$5)="F",AND(S$6&gt;0,$A105&lt;S$6),AND(S$7&gt;0,$A105&gt;S$7)),0,MAX(0,ROUND((INDEX($E105:$G105,S$5)-SUMIFS(TF_Timer,TF_Tekniker,S$4,TF_Dato,$A105))*2,0)/2)))</f>
        <v/>
      </c>
      <c r="T105">
        <f>IF(OR(T$4="",$A105&gt;TODAY()),0,IF(OR(INDEX($B105:$D105,T$5)="F",AND(T$6&gt;0,$A105&lt;T$6),AND(T$7&gt;0,$A105&gt;T$7)),0,MAX(0,ROUND((INDEX($E105:$G105,T$5)-SUMIFS(TF_Timer,TF_Tekniker,T$4,TF_Dato,$A105))*2,0)/2)))</f>
        <v/>
      </c>
      <c r="U105">
        <f>IF(OR(U$4="",$A105&gt;TODAY()),0,IF(OR(INDEX($B105:$D105,U$5)="F",AND(U$6&gt;0,$A105&lt;U$6),AND(U$7&gt;0,$A105&gt;U$7)),0,MAX(0,ROUND((INDEX($E105:$G105,U$5)-SUMIFS(TF_Timer,TF_Tekniker,U$4,TF_Dato,$A105))*2,0)/2)))</f>
        <v/>
      </c>
      <c r="V105">
        <f>IF(OR(V$4="",$A105&gt;TODAY()),0,IF(OR(INDEX($B105:$D105,V$5)="F",AND(V$6&gt;0,$A105&lt;V$6),AND(V$7&gt;0,$A105&gt;V$7)),0,MAX(0,ROUND((INDEX($E105:$G105,V$5)-SUMIFS(TF_Timer,TF_Tekniker,V$4,TF_Dato,$A105))*2,0)/2)))</f>
        <v/>
      </c>
      <c r="W105">
        <f>IF(OR(W$4="",$A105&gt;TODAY()),0,IF(OR(INDEX($B105:$D105,W$5)="F",AND(W$6&gt;0,$A105&lt;W$6),AND(W$7&gt;0,$A105&gt;W$7)),0,MAX(0,ROUND((INDEX($E105:$G105,W$5)-SUMIFS(TF_Timer,TF_Tekniker,W$4,TF_Dato,$A105))*2,0)/2)))</f>
        <v/>
      </c>
      <c r="X105">
        <f>IF(OR(X$4="",$A105&gt;TODAY()),0,IF(OR(INDEX($B105:$D105,X$5)="F",AND(X$6&gt;0,$A105&lt;X$6),AND(X$7&gt;0,$A105&gt;X$7)),0,MAX(0,ROUND((INDEX($E105:$G105,X$5)-SUMIFS(TF_Timer,TF_Tekniker,X$4,TF_Dato,$A105))*2,0)/2)))</f>
        <v/>
      </c>
      <c r="Y105">
        <f>IF(OR(Y$4="",$A105&gt;TODAY()),0,IF(OR(INDEX($B105:$D105,Y$5)="F",AND(Y$6&gt;0,$A105&lt;Y$6),AND(Y$7&gt;0,$A105&gt;Y$7)),0,MAX(0,ROUND((INDEX($E105:$G105,Y$5)-SUMIFS(TF_Timer,TF_Tekniker,Y$4,TF_Dato,$A105))*2,0)/2)))</f>
        <v/>
      </c>
      <c r="Z105">
        <f>IF(OR(Z$4="",$A105&gt;TODAY()),0,IF(OR(INDEX($B105:$D105,Z$5)="F",AND(Z$6&gt;0,$A105&lt;Z$6),AND(Z$7&gt;0,$A105&gt;Z$7)),0,MAX(0,ROUND((INDEX($E105:$G105,Z$5)-SUMIFS(TF_Timer,TF_Tekniker,Z$4,TF_Dato,$A105))*2,0)/2)))</f>
        <v/>
      </c>
      <c r="AA105">
        <f>IF(OR(AA$4="",$A105&gt;TODAY()),0,IF(OR(INDEX($B105:$D105,AA$5)="F",AND(AA$6&gt;0,$A105&lt;AA$6),AND(AA$7&gt;0,$A105&gt;AA$7)),0,MAX(0,ROUND((INDEX($E105:$G105,AA$5)-SUMIFS(TF_Timer,TF_Tekniker,AA$4,TF_Dato,$A105))*2,0)/2)))</f>
        <v/>
      </c>
      <c r="AB105">
        <f>IF(OR(AB$4="",$A105&gt;TODAY()),0,IF(OR(INDEX($B105:$D105,AB$5)="F",AND(AB$6&gt;0,$A105&lt;AB$6),AND(AB$7&gt;0,$A105&gt;AB$7)),0,MAX(0,ROUND((INDEX($E105:$G105,AB$5)-SUMIFS(TF_Timer,TF_Tekniker,AB$4,TF_Dato,$A105))*2,0)/2)))</f>
        <v/>
      </c>
      <c r="AC105">
        <f>IF(OR(AC$4="",$A105&gt;TODAY()),0,IF(OR(INDEX($B105:$D105,AC$5)="F",AND(AC$6&gt;0,$A105&lt;AC$6),AND(AC$7&gt;0,$A105&gt;AC$7)),0,MAX(0,ROUND((INDEX($E105:$G105,AC$5)-SUMIFS(TF_Timer,TF_Tekniker,AC$4,TF_Dato,$A105))*2,0)/2)))</f>
        <v/>
      </c>
      <c r="AD105">
        <f>IF(OR(AD$4="",$A105&gt;TODAY()),0,IF(OR(INDEX($B105:$D105,AD$5)="F",AND(AD$6&gt;0,$A105&lt;AD$6),AND(AD$7&gt;0,$A105&gt;AD$7)),0,MAX(0,ROUND((INDEX($E105:$G105,AD$5)-SUMIFS(TF_Timer,TF_Tekniker,AD$4,TF_Dato,$A105))*2,0)/2)))</f>
        <v/>
      </c>
      <c r="AE105">
        <f>IF(OR(AE$4="",$A105&gt;TODAY()),0,IF(OR(INDEX($B105:$D105,AE$5)="F",AND(AE$6&gt;0,$A105&lt;AE$6),AND(AE$7&gt;0,$A105&gt;AE$7)),0,MAX(0,ROUND((INDEX($E105:$G105,AE$5)-SUMIFS(TF_Timer,TF_Tekniker,AE$4,TF_Dato,$A105))*2,0)/2)))</f>
        <v/>
      </c>
      <c r="AF105">
        <f>IF(OR(AF$4="",$A105&gt;TODAY()),0,IF(OR(INDEX($B105:$D105,AF$5)="F",AND(AF$6&gt;0,$A105&lt;AF$6),AND(AF$7&gt;0,$A105&gt;AF$7)),0,MAX(0,ROUND((INDEX($E105:$G105,AF$5)-SUMIFS(TF_Timer,TF_Tekniker,AF$4,TF_Dato,$A105))*2,0)/2)))</f>
        <v/>
      </c>
      <c r="AG105">
        <f>IF(OR(AG$4="",$A105&gt;TODAY()),0,IF(OR(INDEX($B105:$D105,AG$5)="F",AND(AG$6&gt;0,$A105&lt;AG$6),AND(AG$7&gt;0,$A105&gt;AG$7)),0,MAX(0,ROUND((INDEX($E105:$G105,AG$5)-SUMIFS(TF_Timer,TF_Tekniker,AG$4,TF_Dato,$A105))*2,0)/2)))</f>
        <v/>
      </c>
      <c r="AH105">
        <f>IF(OR(AH$4="",$A105&gt;TODAY()),0,IF(OR(INDEX($B105:$D105,AH$5)="F",AND(AH$6&gt;0,$A105&lt;AH$6),AND(AH$7&gt;0,$A105&gt;AH$7)),0,MAX(0,ROUND((INDEX($E105:$G105,AH$5)-SUMIFS(TF_Timer,TF_Tekniker,AH$4,TF_Dato,$A105))*2,0)/2)))</f>
        <v/>
      </c>
      <c r="AI105">
        <f>IF(OR(AI$4="",$A105&gt;TODAY()),0,IF(OR(INDEX($B105:$D105,AI$5)="F",AND(AI$6&gt;0,$A105&lt;AI$6),AND(AI$7&gt;0,$A105&gt;AI$7)),0,MAX(0,ROUND((INDEX($E105:$G105,AI$5)-SUMIFS(TF_Timer,TF_Tekniker,AI$4,TF_Dato,$A105))*2,0)/2)))</f>
        <v/>
      </c>
      <c r="AJ105">
        <f>IF(OR(AJ$4="",$A105&gt;TODAY()),0,IF(OR(INDEX($B105:$D105,AJ$5)="F",AND(AJ$6&gt;0,$A105&lt;AJ$6),AND(AJ$7&gt;0,$A105&gt;AJ$7)),0,MAX(0,ROUND((INDEX($E105:$G105,AJ$5)-SUMIFS(TF_Timer,TF_Tekniker,AJ$4,TF_Dato,$A105))*2,0)/2)))</f>
        <v/>
      </c>
      <c r="AK105">
        <f>IF(OR(AK$4="",$A105&gt;TODAY()),0,IF(OR(INDEX($B105:$D105,AK$5)="F",AND(AK$6&gt;0,$A105&lt;AK$6),AND(AK$7&gt;0,$A105&gt;AK$7)),0,MAX(0,ROUND((INDEX($E105:$G105,AK$5)-SUMIFS(TF_Timer,TF_Tekniker,AK$4,TF_Dato,$A105))*2,0)/2)))</f>
        <v/>
      </c>
      <c r="AL105">
        <f>IF(OR(AL$4="",$A105&gt;TODAY()),0,IF(OR(INDEX($B105:$D105,AL$5)="F",AND(AL$6&gt;0,$A105&lt;AL$6),AND(AL$7&gt;0,$A105&gt;AL$7)),0,MAX(0,ROUND((INDEX($E105:$G105,AL$5)-SUMIFS(TF_Timer,TF_Tekniker,AL$4,TF_Dato,$A105))*2,0)/2)))</f>
        <v/>
      </c>
      <c r="AM105">
        <f>IF(OR(AM$4="",$A105&gt;TODAY()),0,IF(OR(INDEX($B105:$D105,AM$5)="F",AND(AM$6&gt;0,$A105&lt;AM$6),AND(AM$7&gt;0,$A105&gt;AM$7)),0,MAX(0,ROUND((INDEX($E105:$G105,AM$5)-SUMIFS(TF_Timer,TF_Tekniker,AM$4,TF_Dato,$A105))*2,0)/2)))</f>
        <v/>
      </c>
      <c r="AN105">
        <f>IF(OR(AN$4="",$A105&gt;TODAY()),0,IF(OR(INDEX($B105:$D105,AN$5)="F",AND(AN$6&gt;0,$A105&lt;AN$6),AND(AN$7&gt;0,$A105&gt;AN$7)),0,MAX(0,ROUND((INDEX($E105:$G105,AN$5)-SUMIFS(TF_Timer,TF_Tekniker,AN$4,TF_Dato,$A105))*2,0)/2)))</f>
        <v/>
      </c>
      <c r="AO105">
        <f>IF(OR(AO$4="",$A105&gt;TODAY()),0,IF(OR(INDEX($B105:$D105,AO$5)="F",AND(AO$6&gt;0,$A105&lt;AO$6),AND(AO$7&gt;0,$A105&gt;AO$7)),0,MAX(0,ROUND((INDEX($E105:$G105,AO$5)-SUMIFS(TF_Timer,TF_Tekniker,AO$4,TF_Dato,$A105))*2,0)/2)))</f>
        <v/>
      </c>
      <c r="AP105">
        <f>IF(OR(AP$4="",$A105&gt;TODAY()),0,IF(OR(INDEX($B105:$D105,AP$5)="F",AND(AP$6&gt;0,$A105&lt;AP$6),AND(AP$7&gt;0,$A105&gt;AP$7)),0,MAX(0,ROUND((INDEX($E105:$G105,AP$5)-SUMIFS(TF_Timer,TF_Tekniker,AP$4,TF_Dato,$A105))*2,0)/2)))</f>
        <v/>
      </c>
      <c r="AQ105">
        <f>IF(OR(AQ$4="",$A105&gt;TODAY()),0,IF(OR(INDEX($B105:$D105,AQ$5)="F",AND(AQ$6&gt;0,$A105&lt;AQ$6),AND(AQ$7&gt;0,$A105&gt;AQ$7)),0,MAX(0,ROUND((INDEX($E105:$G105,AQ$5)-SUMIFS(TF_Timer,TF_Tekniker,AQ$4,TF_Dato,$A105))*2,0)/2)))</f>
        <v/>
      </c>
      <c r="AR105">
        <f>IF(OR(AR$4="",$A105&gt;TODAY()),0,IF(OR(INDEX($B105:$D105,AR$5)="F",AND(AR$6&gt;0,$A105&lt;AR$6),AND(AR$7&gt;0,$A105&gt;AR$7)),0,MAX(0,ROUND((INDEX($E105:$G105,AR$5)-SUMIFS(TF_Timer,TF_Tekniker,AR$4,TF_Dato,$A105))*2,0)/2)))</f>
        <v/>
      </c>
      <c r="AS105">
        <f>IF(OR(AS$4="",$A105&gt;TODAY()),0,IF(OR(INDEX($B105:$D105,AS$5)="F",AND(AS$6&gt;0,$A105&lt;AS$6),AND(AS$7&gt;0,$A105&gt;AS$7)),0,MAX(0,ROUND((INDEX($E105:$G105,AS$5)-SUMIFS(TF_Timer,TF_Tekniker,AS$4,TF_Dato,$A105))*2,0)/2)))</f>
        <v/>
      </c>
      <c r="AT105">
        <f>IF(OR(AT$4="",$A105&gt;TODAY()),0,IF(OR(INDEX($B105:$D105,AT$5)="F",AND(AT$6&gt;0,$A105&lt;AT$6),AND(AT$7&gt;0,$A105&gt;AT$7)),0,MAX(0,ROUND((INDEX($E105:$G105,AT$5)-SUMIFS(TF_Timer,TF_Tekniker,AT$4,TF_Dato,$A105))*2,0)/2)))</f>
        <v/>
      </c>
      <c r="AU105">
        <f>IF(OR(AU$4="",$A105&gt;TODAY()),0,IF(OR(INDEX($B105:$D105,AU$5)="F",AND(AU$6&gt;0,$A105&lt;AU$6),AND(AU$7&gt;0,$A105&gt;AU$7)),0,MAX(0,ROUND((INDEX($E105:$G105,AU$5)-SUMIFS(TF_Timer,TF_Tekniker,AU$4,TF_Dato,$A105))*2,0)/2)))</f>
        <v/>
      </c>
      <c r="AV105">
        <f>IF(OR(AV$4="",$A105&gt;TODAY()),0,IF(OR(INDEX($B105:$D105,AV$5)="F",AND(AV$6&gt;0,$A105&lt;AV$6),AND(AV$7&gt;0,$A105&gt;AV$7)),0,MAX(0,ROUND((INDEX($E105:$G105,AV$5)-SUMIFS(TF_Timer,TF_Tekniker,AV$4,TF_Dato,$A105))*2,0)/2)))</f>
        <v/>
      </c>
      <c r="AW105">
        <f>IF(OR(AW$4="",$A105&gt;TODAY()),0,IF(OR(INDEX($B105:$D105,AW$5)="F",AND(AW$6&gt;0,$A105&lt;AW$6),AND(AW$7&gt;0,$A105&gt;AW$7)),0,MAX(0,ROUND((INDEX($E105:$G105,AW$5)-SUMIFS(TF_Timer,TF_Tekniker,AW$4,TF_Dato,$A105))*2,0)/2)))</f>
        <v/>
      </c>
      <c r="AX105">
        <f>IF(OR(AX$4="",$A105&gt;TODAY()),0,IF(OR(INDEX($B105:$D105,AX$5)="F",AND(AX$6&gt;0,$A105&lt;AX$6),AND(AX$7&gt;0,$A105&gt;AX$7)),0,MAX(0,ROUND((INDEX($E105:$G105,AX$5)-SUMIFS(TF_Timer,TF_Tekniker,AX$4,TF_Dato,$A105))*2,0)/2)))</f>
        <v/>
      </c>
      <c r="AY105">
        <f>IF(OR(AY$4="",$A105&gt;TODAY()),0,IF(OR(INDEX($B105:$D105,AY$5)="F",AND(AY$6&gt;0,$A105&lt;AY$6),AND(AY$7&gt;0,$A105&gt;AY$7)),0,MAX(0,ROUND((INDEX($E105:$G105,AY$5)-SUMIFS(TF_Timer,TF_Tekniker,AY$4,TF_Dato,$A105))*2,0)/2)))</f>
        <v/>
      </c>
      <c r="AZ105">
        <f>IF(OR(AZ$4="",$A105&gt;TODAY()),0,IF(OR(INDEX($B105:$D105,AZ$5)="F",AND(AZ$6&gt;0,$A105&lt;AZ$6),AND(AZ$7&gt;0,$A105&gt;AZ$7)),0,MAX(0,ROUND((INDEX($E105:$G105,AZ$5)-SUMIFS(TF_Timer,TF_Tekniker,AZ$4,TF_Dato,$A105))*2,0)/2)))</f>
        <v/>
      </c>
      <c r="BA105">
        <f>IF(OR(BA$4="",$A105&gt;TODAY()),0,IF(OR(INDEX($B105:$D105,BA$5)="F",AND(BA$6&gt;0,$A105&lt;BA$6),AND(BA$7&gt;0,$A105&gt;BA$7)),0,MAX(0,ROUND((INDEX($E105:$G105,BA$5)-SUMIFS(TF_Timer,TF_Tekniker,BA$4,TF_Dato,$A105))*2,0)/2)))</f>
        <v/>
      </c>
      <c r="BB105">
        <f>IF(OR(BB$4="",$A105&gt;TODAY()),0,IF(OR(INDEX($B105:$D105,BB$5)="F",AND(BB$6&gt;0,$A105&lt;BB$6),AND(BB$7&gt;0,$A105&gt;BB$7)),0,MAX(0,ROUND((INDEX($E105:$G105,BB$5)-SUMIFS(TF_Timer,TF_Tekniker,BB$4,TF_Dato,$A105))*2,0)/2)))</f>
        <v/>
      </c>
      <c r="BC105">
        <f>IF(OR(BC$4="",$A105&gt;TODAY()),0,IF(OR(INDEX($B105:$D105,BC$5)="F",AND(BC$6&gt;0,$A105&lt;BC$6),AND(BC$7&gt;0,$A105&gt;BC$7)),0,MAX(0,ROUND((INDEX($E105:$G105,BC$5)-SUMIFS(TF_Timer,TF_Tekniker,BC$4,TF_Dato,$A105))*2,0)/2)))</f>
        <v/>
      </c>
      <c r="BD105">
        <f>IF(OR(BD$4="",$A105&gt;TODAY()),0,IF(OR(INDEX($B105:$D105,BD$5)="F",AND(BD$6&gt;0,$A105&lt;BD$6),AND(BD$7&gt;0,$A105&gt;BD$7)),0,MAX(0,ROUND((INDEX($E105:$G105,BD$5)-SUMIFS(TF_Timer,TF_Tekniker,BD$4,TF_Dato,$A105))*2,0)/2)))</f>
        <v/>
      </c>
      <c r="BE105">
        <f>IF(OR(BE$4="",$A105&gt;TODAY()),0,IF(OR(INDEX($B105:$D105,BE$5)="F",AND(BE$6&gt;0,$A105&lt;BE$6),AND(BE$7&gt;0,$A105&gt;BE$7)),0,MAX(0,ROUND((INDEX($E105:$G105,BE$5)-SUMIFS(TF_Timer,TF_Tekniker,BE$4,TF_Dato,$A105))*2,0)/2)))</f>
        <v/>
      </c>
      <c r="BF105">
        <f>IF(OR(BF$4="",$A105&gt;TODAY()),0,IF(OR(INDEX($B105:$D105,BF$5)="F",AND(BF$6&gt;0,$A105&lt;BF$6),AND(BF$7&gt;0,$A105&gt;BF$7)),0,MAX(0,ROUND((INDEX($E105:$G105,BF$5)-SUMIFS(TF_Timer,TF_Tekniker,BF$4,TF_Dato,$A105))*2,0)/2)))</f>
        <v/>
      </c>
      <c r="BG105">
        <f>IF(OR(BG$4="",$A105&gt;TODAY()),0,IF(OR(INDEX($B105:$D105,BG$5)="F",AND(BG$6&gt;0,$A105&lt;BG$6),AND(BG$7&gt;0,$A105&gt;BG$7)),0,MAX(0,ROUND((INDEX($E105:$G105,BG$5)-SUMIFS(TF_Timer,TF_Tekniker,BG$4,TF_Dato,$A105))*2,0)/2)))</f>
        <v/>
      </c>
      <c r="BH105">
        <f>IF(OR(BH$4="",$A105&gt;TODAY()),0,IF(OR(INDEX($B105:$D105,BH$5)="F",AND(BH$6&gt;0,$A105&lt;BH$6),AND(BH$7&gt;0,$A105&gt;BH$7)),0,MAX(0,ROUND((INDEX($E105:$G105,BH$5)-SUMIFS(TF_Timer,TF_Tekniker,BH$4,TF_Dato,$A105))*2,0)/2)))</f>
        <v/>
      </c>
      <c r="BI105">
        <f>IF(OR(BI$4="",$A105&gt;TODAY()),0,IF(OR(INDEX($B105:$D105,BI$5)="F",AND(BI$6&gt;0,$A105&lt;BI$6),AND(BI$7&gt;0,$A105&gt;BI$7)),0,MAX(0,ROUND((INDEX($E105:$G105,BI$5)-SUMIFS(TF_Timer,TF_Tekniker,BI$4,TF_Dato,$A105))*2,0)/2)))</f>
        <v/>
      </c>
    </row>
    <row r="106">
      <c r="A106" s="64">
        <f>A105+1</f>
        <v/>
      </c>
      <c r="B106">
        <f>IF(MOD($A106-INDEX(SkiftStart,1),Syklus)&lt;DagK,"K",IF(MOD($A106-INDEX(SkiftStart,1),Syklus)&lt;DagK+DagH,"H",IF(MOD($A106-INDEX(SkiftStart,1),Syklus)&lt;DagK+DagH+DagD,"D","F")))</f>
        <v/>
      </c>
      <c r="C106">
        <f>IF(MOD($A106-INDEX(SkiftStart,2),Syklus)&lt;DagK,"K",IF(MOD($A106-INDEX(SkiftStart,2),Syklus)&lt;DagK+DagH,"H",IF(MOD($A106-INDEX(SkiftStart,2),Syklus)&lt;DagK+DagH+DagD,"D","F")))</f>
        <v/>
      </c>
      <c r="D106">
        <f>IF(MOD($A106-INDEX(SkiftStart,3),Syklus)&lt;DagK,"K",IF(MOD($A106-INDEX(SkiftStart,3),Syklus)&lt;DagK+DagH,"H",IF(MOD($A106-INDEX(SkiftStart,3),Syklus)&lt;DagK+DagH+DagD,"D","F")))</f>
        <v/>
      </c>
      <c r="E106">
        <f>IF(B106="F",0,IF(WEEKDAY($A106,2)=5,INDEX(TimerFr,MATCH(B106,FaseKode,0)),INDEX(TimerMT,MATCH(B106,FaseKode,0))))</f>
        <v/>
      </c>
      <c r="F106">
        <f>IF(C106="F",0,IF(WEEKDAY($A106,2)=5,INDEX(TimerFr,MATCH(C106,FaseKode,0)),INDEX(TimerMT,MATCH(C106,FaseKode,0))))</f>
        <v/>
      </c>
      <c r="G106">
        <f>IF(D106="F",0,IF(WEEKDAY($A106,2)=5,INDEX(TimerFr,MATCH(D106,FaseKode,0)),INDEX(TimerMT,MATCH(D106,FaseKode,0))))</f>
        <v/>
      </c>
      <c r="H106">
        <f>IF(OR(H$4="",$A106&gt;TODAY()),0,IF(OR(INDEX($B106:$D106,H$5)="F",AND(H$6&gt;0,$A106&lt;H$6),AND(H$7&gt;0,$A106&gt;H$7)),0,MAX(0,ROUND((INDEX($E106:$G106,H$5)-SUMIFS(TF_Timer,TF_Tekniker,H$4,TF_Dato,$A106))*2,0)/2)))</f>
        <v/>
      </c>
      <c r="I106">
        <f>IF(OR(I$4="",$A106&gt;TODAY()),0,IF(OR(INDEX($B106:$D106,I$5)="F",AND(I$6&gt;0,$A106&lt;I$6),AND(I$7&gt;0,$A106&gt;I$7)),0,MAX(0,ROUND((INDEX($E106:$G106,I$5)-SUMIFS(TF_Timer,TF_Tekniker,I$4,TF_Dato,$A106))*2,0)/2)))</f>
        <v/>
      </c>
      <c r="J106">
        <f>IF(OR(J$4="",$A106&gt;TODAY()),0,IF(OR(INDEX($B106:$D106,J$5)="F",AND(J$6&gt;0,$A106&lt;J$6),AND(J$7&gt;0,$A106&gt;J$7)),0,MAX(0,ROUND((INDEX($E106:$G106,J$5)-SUMIFS(TF_Timer,TF_Tekniker,J$4,TF_Dato,$A106))*2,0)/2)))</f>
        <v/>
      </c>
      <c r="K106">
        <f>IF(OR(K$4="",$A106&gt;TODAY()),0,IF(OR(INDEX($B106:$D106,K$5)="F",AND(K$6&gt;0,$A106&lt;K$6),AND(K$7&gt;0,$A106&gt;K$7)),0,MAX(0,ROUND((INDEX($E106:$G106,K$5)-SUMIFS(TF_Timer,TF_Tekniker,K$4,TF_Dato,$A106))*2,0)/2)))</f>
        <v/>
      </c>
      <c r="L106">
        <f>IF(OR(L$4="",$A106&gt;TODAY()),0,IF(OR(INDEX($B106:$D106,L$5)="F",AND(L$6&gt;0,$A106&lt;L$6),AND(L$7&gt;0,$A106&gt;L$7)),0,MAX(0,ROUND((INDEX($E106:$G106,L$5)-SUMIFS(TF_Timer,TF_Tekniker,L$4,TF_Dato,$A106))*2,0)/2)))</f>
        <v/>
      </c>
      <c r="M106">
        <f>IF(OR(M$4="",$A106&gt;TODAY()),0,IF(OR(INDEX($B106:$D106,M$5)="F",AND(M$6&gt;0,$A106&lt;M$6),AND(M$7&gt;0,$A106&gt;M$7)),0,MAX(0,ROUND((INDEX($E106:$G106,M$5)-SUMIFS(TF_Timer,TF_Tekniker,M$4,TF_Dato,$A106))*2,0)/2)))</f>
        <v/>
      </c>
      <c r="N106">
        <f>IF(OR(N$4="",$A106&gt;TODAY()),0,IF(OR(INDEX($B106:$D106,N$5)="F",AND(N$6&gt;0,$A106&lt;N$6),AND(N$7&gt;0,$A106&gt;N$7)),0,MAX(0,ROUND((INDEX($E106:$G106,N$5)-SUMIFS(TF_Timer,TF_Tekniker,N$4,TF_Dato,$A106))*2,0)/2)))</f>
        <v/>
      </c>
      <c r="O106">
        <f>IF(OR(O$4="",$A106&gt;TODAY()),0,IF(OR(INDEX($B106:$D106,O$5)="F",AND(O$6&gt;0,$A106&lt;O$6),AND(O$7&gt;0,$A106&gt;O$7)),0,MAX(0,ROUND((INDEX($E106:$G106,O$5)-SUMIFS(TF_Timer,TF_Tekniker,O$4,TF_Dato,$A106))*2,0)/2)))</f>
        <v/>
      </c>
      <c r="P106">
        <f>IF(OR(P$4="",$A106&gt;TODAY()),0,IF(OR(INDEX($B106:$D106,P$5)="F",AND(P$6&gt;0,$A106&lt;P$6),AND(P$7&gt;0,$A106&gt;P$7)),0,MAX(0,ROUND((INDEX($E106:$G106,P$5)-SUMIFS(TF_Timer,TF_Tekniker,P$4,TF_Dato,$A106))*2,0)/2)))</f>
        <v/>
      </c>
      <c r="Q106">
        <f>IF(OR(Q$4="",$A106&gt;TODAY()),0,IF(OR(INDEX($B106:$D106,Q$5)="F",AND(Q$6&gt;0,$A106&lt;Q$6),AND(Q$7&gt;0,$A106&gt;Q$7)),0,MAX(0,ROUND((INDEX($E106:$G106,Q$5)-SUMIFS(TF_Timer,TF_Tekniker,Q$4,TF_Dato,$A106))*2,0)/2)))</f>
        <v/>
      </c>
      <c r="R106">
        <f>IF(OR(R$4="",$A106&gt;TODAY()),0,IF(OR(INDEX($B106:$D106,R$5)="F",AND(R$6&gt;0,$A106&lt;R$6),AND(R$7&gt;0,$A106&gt;R$7)),0,MAX(0,ROUND((INDEX($E106:$G106,R$5)-SUMIFS(TF_Timer,TF_Tekniker,R$4,TF_Dato,$A106))*2,0)/2)))</f>
        <v/>
      </c>
      <c r="S106">
        <f>IF(OR(S$4="",$A106&gt;TODAY()),0,IF(OR(INDEX($B106:$D106,S$5)="F",AND(S$6&gt;0,$A106&lt;S$6),AND(S$7&gt;0,$A106&gt;S$7)),0,MAX(0,ROUND((INDEX($E106:$G106,S$5)-SUMIFS(TF_Timer,TF_Tekniker,S$4,TF_Dato,$A106))*2,0)/2)))</f>
        <v/>
      </c>
      <c r="T106">
        <f>IF(OR(T$4="",$A106&gt;TODAY()),0,IF(OR(INDEX($B106:$D106,T$5)="F",AND(T$6&gt;0,$A106&lt;T$6),AND(T$7&gt;0,$A106&gt;T$7)),0,MAX(0,ROUND((INDEX($E106:$G106,T$5)-SUMIFS(TF_Timer,TF_Tekniker,T$4,TF_Dato,$A106))*2,0)/2)))</f>
        <v/>
      </c>
      <c r="U106">
        <f>IF(OR(U$4="",$A106&gt;TODAY()),0,IF(OR(INDEX($B106:$D106,U$5)="F",AND(U$6&gt;0,$A106&lt;U$6),AND(U$7&gt;0,$A106&gt;U$7)),0,MAX(0,ROUND((INDEX($E106:$G106,U$5)-SUMIFS(TF_Timer,TF_Tekniker,U$4,TF_Dato,$A106))*2,0)/2)))</f>
        <v/>
      </c>
      <c r="V106">
        <f>IF(OR(V$4="",$A106&gt;TODAY()),0,IF(OR(INDEX($B106:$D106,V$5)="F",AND(V$6&gt;0,$A106&lt;V$6),AND(V$7&gt;0,$A106&gt;V$7)),0,MAX(0,ROUND((INDEX($E106:$G106,V$5)-SUMIFS(TF_Timer,TF_Tekniker,V$4,TF_Dato,$A106))*2,0)/2)))</f>
        <v/>
      </c>
      <c r="W106">
        <f>IF(OR(W$4="",$A106&gt;TODAY()),0,IF(OR(INDEX($B106:$D106,W$5)="F",AND(W$6&gt;0,$A106&lt;W$6),AND(W$7&gt;0,$A106&gt;W$7)),0,MAX(0,ROUND((INDEX($E106:$G106,W$5)-SUMIFS(TF_Timer,TF_Tekniker,W$4,TF_Dato,$A106))*2,0)/2)))</f>
        <v/>
      </c>
      <c r="X106">
        <f>IF(OR(X$4="",$A106&gt;TODAY()),0,IF(OR(INDEX($B106:$D106,X$5)="F",AND(X$6&gt;0,$A106&lt;X$6),AND(X$7&gt;0,$A106&gt;X$7)),0,MAX(0,ROUND((INDEX($E106:$G106,X$5)-SUMIFS(TF_Timer,TF_Tekniker,X$4,TF_Dato,$A106))*2,0)/2)))</f>
        <v/>
      </c>
      <c r="Y106">
        <f>IF(OR(Y$4="",$A106&gt;TODAY()),0,IF(OR(INDEX($B106:$D106,Y$5)="F",AND(Y$6&gt;0,$A106&lt;Y$6),AND(Y$7&gt;0,$A106&gt;Y$7)),0,MAX(0,ROUND((INDEX($E106:$G106,Y$5)-SUMIFS(TF_Timer,TF_Tekniker,Y$4,TF_Dato,$A106))*2,0)/2)))</f>
        <v/>
      </c>
      <c r="Z106">
        <f>IF(OR(Z$4="",$A106&gt;TODAY()),0,IF(OR(INDEX($B106:$D106,Z$5)="F",AND(Z$6&gt;0,$A106&lt;Z$6),AND(Z$7&gt;0,$A106&gt;Z$7)),0,MAX(0,ROUND((INDEX($E106:$G106,Z$5)-SUMIFS(TF_Timer,TF_Tekniker,Z$4,TF_Dato,$A106))*2,0)/2)))</f>
        <v/>
      </c>
      <c r="AA106">
        <f>IF(OR(AA$4="",$A106&gt;TODAY()),0,IF(OR(INDEX($B106:$D106,AA$5)="F",AND(AA$6&gt;0,$A106&lt;AA$6),AND(AA$7&gt;0,$A106&gt;AA$7)),0,MAX(0,ROUND((INDEX($E106:$G106,AA$5)-SUMIFS(TF_Timer,TF_Tekniker,AA$4,TF_Dato,$A106))*2,0)/2)))</f>
        <v/>
      </c>
      <c r="AB106">
        <f>IF(OR(AB$4="",$A106&gt;TODAY()),0,IF(OR(INDEX($B106:$D106,AB$5)="F",AND(AB$6&gt;0,$A106&lt;AB$6),AND(AB$7&gt;0,$A106&gt;AB$7)),0,MAX(0,ROUND((INDEX($E106:$G106,AB$5)-SUMIFS(TF_Timer,TF_Tekniker,AB$4,TF_Dato,$A106))*2,0)/2)))</f>
        <v/>
      </c>
      <c r="AC106">
        <f>IF(OR(AC$4="",$A106&gt;TODAY()),0,IF(OR(INDEX($B106:$D106,AC$5)="F",AND(AC$6&gt;0,$A106&lt;AC$6),AND(AC$7&gt;0,$A106&gt;AC$7)),0,MAX(0,ROUND((INDEX($E106:$G106,AC$5)-SUMIFS(TF_Timer,TF_Tekniker,AC$4,TF_Dato,$A106))*2,0)/2)))</f>
        <v/>
      </c>
      <c r="AD106">
        <f>IF(OR(AD$4="",$A106&gt;TODAY()),0,IF(OR(INDEX($B106:$D106,AD$5)="F",AND(AD$6&gt;0,$A106&lt;AD$6),AND(AD$7&gt;0,$A106&gt;AD$7)),0,MAX(0,ROUND((INDEX($E106:$G106,AD$5)-SUMIFS(TF_Timer,TF_Tekniker,AD$4,TF_Dato,$A106))*2,0)/2)))</f>
        <v/>
      </c>
      <c r="AE106">
        <f>IF(OR(AE$4="",$A106&gt;TODAY()),0,IF(OR(INDEX($B106:$D106,AE$5)="F",AND(AE$6&gt;0,$A106&lt;AE$6),AND(AE$7&gt;0,$A106&gt;AE$7)),0,MAX(0,ROUND((INDEX($E106:$G106,AE$5)-SUMIFS(TF_Timer,TF_Tekniker,AE$4,TF_Dato,$A106))*2,0)/2)))</f>
        <v/>
      </c>
      <c r="AF106">
        <f>IF(OR(AF$4="",$A106&gt;TODAY()),0,IF(OR(INDEX($B106:$D106,AF$5)="F",AND(AF$6&gt;0,$A106&lt;AF$6),AND(AF$7&gt;0,$A106&gt;AF$7)),0,MAX(0,ROUND((INDEX($E106:$G106,AF$5)-SUMIFS(TF_Timer,TF_Tekniker,AF$4,TF_Dato,$A106))*2,0)/2)))</f>
        <v/>
      </c>
      <c r="AG106">
        <f>IF(OR(AG$4="",$A106&gt;TODAY()),0,IF(OR(INDEX($B106:$D106,AG$5)="F",AND(AG$6&gt;0,$A106&lt;AG$6),AND(AG$7&gt;0,$A106&gt;AG$7)),0,MAX(0,ROUND((INDEX($E106:$G106,AG$5)-SUMIFS(TF_Timer,TF_Tekniker,AG$4,TF_Dato,$A106))*2,0)/2)))</f>
        <v/>
      </c>
      <c r="AH106">
        <f>IF(OR(AH$4="",$A106&gt;TODAY()),0,IF(OR(INDEX($B106:$D106,AH$5)="F",AND(AH$6&gt;0,$A106&lt;AH$6),AND(AH$7&gt;0,$A106&gt;AH$7)),0,MAX(0,ROUND((INDEX($E106:$G106,AH$5)-SUMIFS(TF_Timer,TF_Tekniker,AH$4,TF_Dato,$A106))*2,0)/2)))</f>
        <v/>
      </c>
      <c r="AI106">
        <f>IF(OR(AI$4="",$A106&gt;TODAY()),0,IF(OR(INDEX($B106:$D106,AI$5)="F",AND(AI$6&gt;0,$A106&lt;AI$6),AND(AI$7&gt;0,$A106&gt;AI$7)),0,MAX(0,ROUND((INDEX($E106:$G106,AI$5)-SUMIFS(TF_Timer,TF_Tekniker,AI$4,TF_Dato,$A106))*2,0)/2)))</f>
        <v/>
      </c>
      <c r="AJ106">
        <f>IF(OR(AJ$4="",$A106&gt;TODAY()),0,IF(OR(INDEX($B106:$D106,AJ$5)="F",AND(AJ$6&gt;0,$A106&lt;AJ$6),AND(AJ$7&gt;0,$A106&gt;AJ$7)),0,MAX(0,ROUND((INDEX($E106:$G106,AJ$5)-SUMIFS(TF_Timer,TF_Tekniker,AJ$4,TF_Dato,$A106))*2,0)/2)))</f>
        <v/>
      </c>
      <c r="AK106">
        <f>IF(OR(AK$4="",$A106&gt;TODAY()),0,IF(OR(INDEX($B106:$D106,AK$5)="F",AND(AK$6&gt;0,$A106&lt;AK$6),AND(AK$7&gt;0,$A106&gt;AK$7)),0,MAX(0,ROUND((INDEX($E106:$G106,AK$5)-SUMIFS(TF_Timer,TF_Tekniker,AK$4,TF_Dato,$A106))*2,0)/2)))</f>
        <v/>
      </c>
      <c r="AL106">
        <f>IF(OR(AL$4="",$A106&gt;TODAY()),0,IF(OR(INDEX($B106:$D106,AL$5)="F",AND(AL$6&gt;0,$A106&lt;AL$6),AND(AL$7&gt;0,$A106&gt;AL$7)),0,MAX(0,ROUND((INDEX($E106:$G106,AL$5)-SUMIFS(TF_Timer,TF_Tekniker,AL$4,TF_Dato,$A106))*2,0)/2)))</f>
        <v/>
      </c>
      <c r="AM106">
        <f>IF(OR(AM$4="",$A106&gt;TODAY()),0,IF(OR(INDEX($B106:$D106,AM$5)="F",AND(AM$6&gt;0,$A106&lt;AM$6),AND(AM$7&gt;0,$A106&gt;AM$7)),0,MAX(0,ROUND((INDEX($E106:$G106,AM$5)-SUMIFS(TF_Timer,TF_Tekniker,AM$4,TF_Dato,$A106))*2,0)/2)))</f>
        <v/>
      </c>
      <c r="AN106">
        <f>IF(OR(AN$4="",$A106&gt;TODAY()),0,IF(OR(INDEX($B106:$D106,AN$5)="F",AND(AN$6&gt;0,$A106&lt;AN$6),AND(AN$7&gt;0,$A106&gt;AN$7)),0,MAX(0,ROUND((INDEX($E106:$G106,AN$5)-SUMIFS(TF_Timer,TF_Tekniker,AN$4,TF_Dato,$A106))*2,0)/2)))</f>
        <v/>
      </c>
      <c r="AO106">
        <f>IF(OR(AO$4="",$A106&gt;TODAY()),0,IF(OR(INDEX($B106:$D106,AO$5)="F",AND(AO$6&gt;0,$A106&lt;AO$6),AND(AO$7&gt;0,$A106&gt;AO$7)),0,MAX(0,ROUND((INDEX($E106:$G106,AO$5)-SUMIFS(TF_Timer,TF_Tekniker,AO$4,TF_Dato,$A106))*2,0)/2)))</f>
        <v/>
      </c>
      <c r="AP106">
        <f>IF(OR(AP$4="",$A106&gt;TODAY()),0,IF(OR(INDEX($B106:$D106,AP$5)="F",AND(AP$6&gt;0,$A106&lt;AP$6),AND(AP$7&gt;0,$A106&gt;AP$7)),0,MAX(0,ROUND((INDEX($E106:$G106,AP$5)-SUMIFS(TF_Timer,TF_Tekniker,AP$4,TF_Dato,$A106))*2,0)/2)))</f>
        <v/>
      </c>
      <c r="AQ106">
        <f>IF(OR(AQ$4="",$A106&gt;TODAY()),0,IF(OR(INDEX($B106:$D106,AQ$5)="F",AND(AQ$6&gt;0,$A106&lt;AQ$6),AND(AQ$7&gt;0,$A106&gt;AQ$7)),0,MAX(0,ROUND((INDEX($E106:$G106,AQ$5)-SUMIFS(TF_Timer,TF_Tekniker,AQ$4,TF_Dato,$A106))*2,0)/2)))</f>
        <v/>
      </c>
      <c r="AR106">
        <f>IF(OR(AR$4="",$A106&gt;TODAY()),0,IF(OR(INDEX($B106:$D106,AR$5)="F",AND(AR$6&gt;0,$A106&lt;AR$6),AND(AR$7&gt;0,$A106&gt;AR$7)),0,MAX(0,ROUND((INDEX($E106:$G106,AR$5)-SUMIFS(TF_Timer,TF_Tekniker,AR$4,TF_Dato,$A106))*2,0)/2)))</f>
        <v/>
      </c>
      <c r="AS106">
        <f>IF(OR(AS$4="",$A106&gt;TODAY()),0,IF(OR(INDEX($B106:$D106,AS$5)="F",AND(AS$6&gt;0,$A106&lt;AS$6),AND(AS$7&gt;0,$A106&gt;AS$7)),0,MAX(0,ROUND((INDEX($E106:$G106,AS$5)-SUMIFS(TF_Timer,TF_Tekniker,AS$4,TF_Dato,$A106))*2,0)/2)))</f>
        <v/>
      </c>
      <c r="AT106">
        <f>IF(OR(AT$4="",$A106&gt;TODAY()),0,IF(OR(INDEX($B106:$D106,AT$5)="F",AND(AT$6&gt;0,$A106&lt;AT$6),AND(AT$7&gt;0,$A106&gt;AT$7)),0,MAX(0,ROUND((INDEX($E106:$G106,AT$5)-SUMIFS(TF_Timer,TF_Tekniker,AT$4,TF_Dato,$A106))*2,0)/2)))</f>
        <v/>
      </c>
      <c r="AU106">
        <f>IF(OR(AU$4="",$A106&gt;TODAY()),0,IF(OR(INDEX($B106:$D106,AU$5)="F",AND(AU$6&gt;0,$A106&lt;AU$6),AND(AU$7&gt;0,$A106&gt;AU$7)),0,MAX(0,ROUND((INDEX($E106:$G106,AU$5)-SUMIFS(TF_Timer,TF_Tekniker,AU$4,TF_Dato,$A106))*2,0)/2)))</f>
        <v/>
      </c>
      <c r="AV106">
        <f>IF(OR(AV$4="",$A106&gt;TODAY()),0,IF(OR(INDEX($B106:$D106,AV$5)="F",AND(AV$6&gt;0,$A106&lt;AV$6),AND(AV$7&gt;0,$A106&gt;AV$7)),0,MAX(0,ROUND((INDEX($E106:$G106,AV$5)-SUMIFS(TF_Timer,TF_Tekniker,AV$4,TF_Dato,$A106))*2,0)/2)))</f>
        <v/>
      </c>
      <c r="AW106">
        <f>IF(OR(AW$4="",$A106&gt;TODAY()),0,IF(OR(INDEX($B106:$D106,AW$5)="F",AND(AW$6&gt;0,$A106&lt;AW$6),AND(AW$7&gt;0,$A106&gt;AW$7)),0,MAX(0,ROUND((INDEX($E106:$G106,AW$5)-SUMIFS(TF_Timer,TF_Tekniker,AW$4,TF_Dato,$A106))*2,0)/2)))</f>
        <v/>
      </c>
      <c r="AX106">
        <f>IF(OR(AX$4="",$A106&gt;TODAY()),0,IF(OR(INDEX($B106:$D106,AX$5)="F",AND(AX$6&gt;0,$A106&lt;AX$6),AND(AX$7&gt;0,$A106&gt;AX$7)),0,MAX(0,ROUND((INDEX($E106:$G106,AX$5)-SUMIFS(TF_Timer,TF_Tekniker,AX$4,TF_Dato,$A106))*2,0)/2)))</f>
        <v/>
      </c>
      <c r="AY106">
        <f>IF(OR(AY$4="",$A106&gt;TODAY()),0,IF(OR(INDEX($B106:$D106,AY$5)="F",AND(AY$6&gt;0,$A106&lt;AY$6),AND(AY$7&gt;0,$A106&gt;AY$7)),0,MAX(0,ROUND((INDEX($E106:$G106,AY$5)-SUMIFS(TF_Timer,TF_Tekniker,AY$4,TF_Dato,$A106))*2,0)/2)))</f>
        <v/>
      </c>
      <c r="AZ106">
        <f>IF(OR(AZ$4="",$A106&gt;TODAY()),0,IF(OR(INDEX($B106:$D106,AZ$5)="F",AND(AZ$6&gt;0,$A106&lt;AZ$6),AND(AZ$7&gt;0,$A106&gt;AZ$7)),0,MAX(0,ROUND((INDEX($E106:$G106,AZ$5)-SUMIFS(TF_Timer,TF_Tekniker,AZ$4,TF_Dato,$A106))*2,0)/2)))</f>
        <v/>
      </c>
      <c r="BA106">
        <f>IF(OR(BA$4="",$A106&gt;TODAY()),0,IF(OR(INDEX($B106:$D106,BA$5)="F",AND(BA$6&gt;0,$A106&lt;BA$6),AND(BA$7&gt;0,$A106&gt;BA$7)),0,MAX(0,ROUND((INDEX($E106:$G106,BA$5)-SUMIFS(TF_Timer,TF_Tekniker,BA$4,TF_Dato,$A106))*2,0)/2)))</f>
        <v/>
      </c>
      <c r="BB106">
        <f>IF(OR(BB$4="",$A106&gt;TODAY()),0,IF(OR(INDEX($B106:$D106,BB$5)="F",AND(BB$6&gt;0,$A106&lt;BB$6),AND(BB$7&gt;0,$A106&gt;BB$7)),0,MAX(0,ROUND((INDEX($E106:$G106,BB$5)-SUMIFS(TF_Timer,TF_Tekniker,BB$4,TF_Dato,$A106))*2,0)/2)))</f>
        <v/>
      </c>
      <c r="BC106">
        <f>IF(OR(BC$4="",$A106&gt;TODAY()),0,IF(OR(INDEX($B106:$D106,BC$5)="F",AND(BC$6&gt;0,$A106&lt;BC$6),AND(BC$7&gt;0,$A106&gt;BC$7)),0,MAX(0,ROUND((INDEX($E106:$G106,BC$5)-SUMIFS(TF_Timer,TF_Tekniker,BC$4,TF_Dato,$A106))*2,0)/2)))</f>
        <v/>
      </c>
      <c r="BD106">
        <f>IF(OR(BD$4="",$A106&gt;TODAY()),0,IF(OR(INDEX($B106:$D106,BD$5)="F",AND(BD$6&gt;0,$A106&lt;BD$6),AND(BD$7&gt;0,$A106&gt;BD$7)),0,MAX(0,ROUND((INDEX($E106:$G106,BD$5)-SUMIFS(TF_Timer,TF_Tekniker,BD$4,TF_Dato,$A106))*2,0)/2)))</f>
        <v/>
      </c>
      <c r="BE106">
        <f>IF(OR(BE$4="",$A106&gt;TODAY()),0,IF(OR(INDEX($B106:$D106,BE$5)="F",AND(BE$6&gt;0,$A106&lt;BE$6),AND(BE$7&gt;0,$A106&gt;BE$7)),0,MAX(0,ROUND((INDEX($E106:$G106,BE$5)-SUMIFS(TF_Timer,TF_Tekniker,BE$4,TF_Dato,$A106))*2,0)/2)))</f>
        <v/>
      </c>
      <c r="BF106">
        <f>IF(OR(BF$4="",$A106&gt;TODAY()),0,IF(OR(INDEX($B106:$D106,BF$5)="F",AND(BF$6&gt;0,$A106&lt;BF$6),AND(BF$7&gt;0,$A106&gt;BF$7)),0,MAX(0,ROUND((INDEX($E106:$G106,BF$5)-SUMIFS(TF_Timer,TF_Tekniker,BF$4,TF_Dato,$A106))*2,0)/2)))</f>
        <v/>
      </c>
      <c r="BG106">
        <f>IF(OR(BG$4="",$A106&gt;TODAY()),0,IF(OR(INDEX($B106:$D106,BG$5)="F",AND(BG$6&gt;0,$A106&lt;BG$6),AND(BG$7&gt;0,$A106&gt;BG$7)),0,MAX(0,ROUND((INDEX($E106:$G106,BG$5)-SUMIFS(TF_Timer,TF_Tekniker,BG$4,TF_Dato,$A106))*2,0)/2)))</f>
        <v/>
      </c>
      <c r="BH106">
        <f>IF(OR(BH$4="",$A106&gt;TODAY()),0,IF(OR(INDEX($B106:$D106,BH$5)="F",AND(BH$6&gt;0,$A106&lt;BH$6),AND(BH$7&gt;0,$A106&gt;BH$7)),0,MAX(0,ROUND((INDEX($E106:$G106,BH$5)-SUMIFS(TF_Timer,TF_Tekniker,BH$4,TF_Dato,$A106))*2,0)/2)))</f>
        <v/>
      </c>
      <c r="BI106">
        <f>IF(OR(BI$4="",$A106&gt;TODAY()),0,IF(OR(INDEX($B106:$D106,BI$5)="F",AND(BI$6&gt;0,$A106&lt;BI$6),AND(BI$7&gt;0,$A106&gt;BI$7)),0,MAX(0,ROUND((INDEX($E106:$G106,BI$5)-SUMIFS(TF_Timer,TF_Tekniker,BI$4,TF_Dato,$A106))*2,0)/2)))</f>
        <v/>
      </c>
    </row>
    <row r="107">
      <c r="A107" s="64">
        <f>A106+1</f>
        <v/>
      </c>
      <c r="B107">
        <f>IF(MOD($A107-INDEX(SkiftStart,1),Syklus)&lt;DagK,"K",IF(MOD($A107-INDEX(SkiftStart,1),Syklus)&lt;DagK+DagH,"H",IF(MOD($A107-INDEX(SkiftStart,1),Syklus)&lt;DagK+DagH+DagD,"D","F")))</f>
        <v/>
      </c>
      <c r="C107">
        <f>IF(MOD($A107-INDEX(SkiftStart,2),Syklus)&lt;DagK,"K",IF(MOD($A107-INDEX(SkiftStart,2),Syklus)&lt;DagK+DagH,"H",IF(MOD($A107-INDEX(SkiftStart,2),Syklus)&lt;DagK+DagH+DagD,"D","F")))</f>
        <v/>
      </c>
      <c r="D107">
        <f>IF(MOD($A107-INDEX(SkiftStart,3),Syklus)&lt;DagK,"K",IF(MOD($A107-INDEX(SkiftStart,3),Syklus)&lt;DagK+DagH,"H",IF(MOD($A107-INDEX(SkiftStart,3),Syklus)&lt;DagK+DagH+DagD,"D","F")))</f>
        <v/>
      </c>
      <c r="E107">
        <f>IF(B107="F",0,IF(WEEKDAY($A107,2)=5,INDEX(TimerFr,MATCH(B107,FaseKode,0)),INDEX(TimerMT,MATCH(B107,FaseKode,0))))</f>
        <v/>
      </c>
      <c r="F107">
        <f>IF(C107="F",0,IF(WEEKDAY($A107,2)=5,INDEX(TimerFr,MATCH(C107,FaseKode,0)),INDEX(TimerMT,MATCH(C107,FaseKode,0))))</f>
        <v/>
      </c>
      <c r="G107">
        <f>IF(D107="F",0,IF(WEEKDAY($A107,2)=5,INDEX(TimerFr,MATCH(D107,FaseKode,0)),INDEX(TimerMT,MATCH(D107,FaseKode,0))))</f>
        <v/>
      </c>
      <c r="H107">
        <f>IF(OR(H$4="",$A107&gt;TODAY()),0,IF(OR(INDEX($B107:$D107,H$5)="F",AND(H$6&gt;0,$A107&lt;H$6),AND(H$7&gt;0,$A107&gt;H$7)),0,MAX(0,ROUND((INDEX($E107:$G107,H$5)-SUMIFS(TF_Timer,TF_Tekniker,H$4,TF_Dato,$A107))*2,0)/2)))</f>
        <v/>
      </c>
      <c r="I107">
        <f>IF(OR(I$4="",$A107&gt;TODAY()),0,IF(OR(INDEX($B107:$D107,I$5)="F",AND(I$6&gt;0,$A107&lt;I$6),AND(I$7&gt;0,$A107&gt;I$7)),0,MAX(0,ROUND((INDEX($E107:$G107,I$5)-SUMIFS(TF_Timer,TF_Tekniker,I$4,TF_Dato,$A107))*2,0)/2)))</f>
        <v/>
      </c>
      <c r="J107">
        <f>IF(OR(J$4="",$A107&gt;TODAY()),0,IF(OR(INDEX($B107:$D107,J$5)="F",AND(J$6&gt;0,$A107&lt;J$6),AND(J$7&gt;0,$A107&gt;J$7)),0,MAX(0,ROUND((INDEX($E107:$G107,J$5)-SUMIFS(TF_Timer,TF_Tekniker,J$4,TF_Dato,$A107))*2,0)/2)))</f>
        <v/>
      </c>
      <c r="K107">
        <f>IF(OR(K$4="",$A107&gt;TODAY()),0,IF(OR(INDEX($B107:$D107,K$5)="F",AND(K$6&gt;0,$A107&lt;K$6),AND(K$7&gt;0,$A107&gt;K$7)),0,MAX(0,ROUND((INDEX($E107:$G107,K$5)-SUMIFS(TF_Timer,TF_Tekniker,K$4,TF_Dato,$A107))*2,0)/2)))</f>
        <v/>
      </c>
      <c r="L107">
        <f>IF(OR(L$4="",$A107&gt;TODAY()),0,IF(OR(INDEX($B107:$D107,L$5)="F",AND(L$6&gt;0,$A107&lt;L$6),AND(L$7&gt;0,$A107&gt;L$7)),0,MAX(0,ROUND((INDEX($E107:$G107,L$5)-SUMIFS(TF_Timer,TF_Tekniker,L$4,TF_Dato,$A107))*2,0)/2)))</f>
        <v/>
      </c>
      <c r="M107">
        <f>IF(OR(M$4="",$A107&gt;TODAY()),0,IF(OR(INDEX($B107:$D107,M$5)="F",AND(M$6&gt;0,$A107&lt;M$6),AND(M$7&gt;0,$A107&gt;M$7)),0,MAX(0,ROUND((INDEX($E107:$G107,M$5)-SUMIFS(TF_Timer,TF_Tekniker,M$4,TF_Dato,$A107))*2,0)/2)))</f>
        <v/>
      </c>
      <c r="N107">
        <f>IF(OR(N$4="",$A107&gt;TODAY()),0,IF(OR(INDEX($B107:$D107,N$5)="F",AND(N$6&gt;0,$A107&lt;N$6),AND(N$7&gt;0,$A107&gt;N$7)),0,MAX(0,ROUND((INDEX($E107:$G107,N$5)-SUMIFS(TF_Timer,TF_Tekniker,N$4,TF_Dato,$A107))*2,0)/2)))</f>
        <v/>
      </c>
      <c r="O107">
        <f>IF(OR(O$4="",$A107&gt;TODAY()),0,IF(OR(INDEX($B107:$D107,O$5)="F",AND(O$6&gt;0,$A107&lt;O$6),AND(O$7&gt;0,$A107&gt;O$7)),0,MAX(0,ROUND((INDEX($E107:$G107,O$5)-SUMIFS(TF_Timer,TF_Tekniker,O$4,TF_Dato,$A107))*2,0)/2)))</f>
        <v/>
      </c>
      <c r="P107">
        <f>IF(OR(P$4="",$A107&gt;TODAY()),0,IF(OR(INDEX($B107:$D107,P$5)="F",AND(P$6&gt;0,$A107&lt;P$6),AND(P$7&gt;0,$A107&gt;P$7)),0,MAX(0,ROUND((INDEX($E107:$G107,P$5)-SUMIFS(TF_Timer,TF_Tekniker,P$4,TF_Dato,$A107))*2,0)/2)))</f>
        <v/>
      </c>
      <c r="Q107">
        <f>IF(OR(Q$4="",$A107&gt;TODAY()),0,IF(OR(INDEX($B107:$D107,Q$5)="F",AND(Q$6&gt;0,$A107&lt;Q$6),AND(Q$7&gt;0,$A107&gt;Q$7)),0,MAX(0,ROUND((INDEX($E107:$G107,Q$5)-SUMIFS(TF_Timer,TF_Tekniker,Q$4,TF_Dato,$A107))*2,0)/2)))</f>
        <v/>
      </c>
      <c r="R107">
        <f>IF(OR(R$4="",$A107&gt;TODAY()),0,IF(OR(INDEX($B107:$D107,R$5)="F",AND(R$6&gt;0,$A107&lt;R$6),AND(R$7&gt;0,$A107&gt;R$7)),0,MAX(0,ROUND((INDEX($E107:$G107,R$5)-SUMIFS(TF_Timer,TF_Tekniker,R$4,TF_Dato,$A107))*2,0)/2)))</f>
        <v/>
      </c>
      <c r="S107">
        <f>IF(OR(S$4="",$A107&gt;TODAY()),0,IF(OR(INDEX($B107:$D107,S$5)="F",AND(S$6&gt;0,$A107&lt;S$6),AND(S$7&gt;0,$A107&gt;S$7)),0,MAX(0,ROUND((INDEX($E107:$G107,S$5)-SUMIFS(TF_Timer,TF_Tekniker,S$4,TF_Dato,$A107))*2,0)/2)))</f>
        <v/>
      </c>
      <c r="T107">
        <f>IF(OR(T$4="",$A107&gt;TODAY()),0,IF(OR(INDEX($B107:$D107,T$5)="F",AND(T$6&gt;0,$A107&lt;T$6),AND(T$7&gt;0,$A107&gt;T$7)),0,MAX(0,ROUND((INDEX($E107:$G107,T$5)-SUMIFS(TF_Timer,TF_Tekniker,T$4,TF_Dato,$A107))*2,0)/2)))</f>
        <v/>
      </c>
      <c r="U107">
        <f>IF(OR(U$4="",$A107&gt;TODAY()),0,IF(OR(INDEX($B107:$D107,U$5)="F",AND(U$6&gt;0,$A107&lt;U$6),AND(U$7&gt;0,$A107&gt;U$7)),0,MAX(0,ROUND((INDEX($E107:$G107,U$5)-SUMIFS(TF_Timer,TF_Tekniker,U$4,TF_Dato,$A107))*2,0)/2)))</f>
        <v/>
      </c>
      <c r="V107">
        <f>IF(OR(V$4="",$A107&gt;TODAY()),0,IF(OR(INDEX($B107:$D107,V$5)="F",AND(V$6&gt;0,$A107&lt;V$6),AND(V$7&gt;0,$A107&gt;V$7)),0,MAX(0,ROUND((INDEX($E107:$G107,V$5)-SUMIFS(TF_Timer,TF_Tekniker,V$4,TF_Dato,$A107))*2,0)/2)))</f>
        <v/>
      </c>
      <c r="W107">
        <f>IF(OR(W$4="",$A107&gt;TODAY()),0,IF(OR(INDEX($B107:$D107,W$5)="F",AND(W$6&gt;0,$A107&lt;W$6),AND(W$7&gt;0,$A107&gt;W$7)),0,MAX(0,ROUND((INDEX($E107:$G107,W$5)-SUMIFS(TF_Timer,TF_Tekniker,W$4,TF_Dato,$A107))*2,0)/2)))</f>
        <v/>
      </c>
      <c r="X107">
        <f>IF(OR(X$4="",$A107&gt;TODAY()),0,IF(OR(INDEX($B107:$D107,X$5)="F",AND(X$6&gt;0,$A107&lt;X$6),AND(X$7&gt;0,$A107&gt;X$7)),0,MAX(0,ROUND((INDEX($E107:$G107,X$5)-SUMIFS(TF_Timer,TF_Tekniker,X$4,TF_Dato,$A107))*2,0)/2)))</f>
        <v/>
      </c>
      <c r="Y107">
        <f>IF(OR(Y$4="",$A107&gt;TODAY()),0,IF(OR(INDEX($B107:$D107,Y$5)="F",AND(Y$6&gt;0,$A107&lt;Y$6),AND(Y$7&gt;0,$A107&gt;Y$7)),0,MAX(0,ROUND((INDEX($E107:$G107,Y$5)-SUMIFS(TF_Timer,TF_Tekniker,Y$4,TF_Dato,$A107))*2,0)/2)))</f>
        <v/>
      </c>
      <c r="Z107">
        <f>IF(OR(Z$4="",$A107&gt;TODAY()),0,IF(OR(INDEX($B107:$D107,Z$5)="F",AND(Z$6&gt;0,$A107&lt;Z$6),AND(Z$7&gt;0,$A107&gt;Z$7)),0,MAX(0,ROUND((INDEX($E107:$G107,Z$5)-SUMIFS(TF_Timer,TF_Tekniker,Z$4,TF_Dato,$A107))*2,0)/2)))</f>
        <v/>
      </c>
      <c r="AA107">
        <f>IF(OR(AA$4="",$A107&gt;TODAY()),0,IF(OR(INDEX($B107:$D107,AA$5)="F",AND(AA$6&gt;0,$A107&lt;AA$6),AND(AA$7&gt;0,$A107&gt;AA$7)),0,MAX(0,ROUND((INDEX($E107:$G107,AA$5)-SUMIFS(TF_Timer,TF_Tekniker,AA$4,TF_Dato,$A107))*2,0)/2)))</f>
        <v/>
      </c>
      <c r="AB107">
        <f>IF(OR(AB$4="",$A107&gt;TODAY()),0,IF(OR(INDEX($B107:$D107,AB$5)="F",AND(AB$6&gt;0,$A107&lt;AB$6),AND(AB$7&gt;0,$A107&gt;AB$7)),0,MAX(0,ROUND((INDEX($E107:$G107,AB$5)-SUMIFS(TF_Timer,TF_Tekniker,AB$4,TF_Dato,$A107))*2,0)/2)))</f>
        <v/>
      </c>
      <c r="AC107">
        <f>IF(OR(AC$4="",$A107&gt;TODAY()),0,IF(OR(INDEX($B107:$D107,AC$5)="F",AND(AC$6&gt;0,$A107&lt;AC$6),AND(AC$7&gt;0,$A107&gt;AC$7)),0,MAX(0,ROUND((INDEX($E107:$G107,AC$5)-SUMIFS(TF_Timer,TF_Tekniker,AC$4,TF_Dato,$A107))*2,0)/2)))</f>
        <v/>
      </c>
      <c r="AD107">
        <f>IF(OR(AD$4="",$A107&gt;TODAY()),0,IF(OR(INDEX($B107:$D107,AD$5)="F",AND(AD$6&gt;0,$A107&lt;AD$6),AND(AD$7&gt;0,$A107&gt;AD$7)),0,MAX(0,ROUND((INDEX($E107:$G107,AD$5)-SUMIFS(TF_Timer,TF_Tekniker,AD$4,TF_Dato,$A107))*2,0)/2)))</f>
        <v/>
      </c>
      <c r="AE107">
        <f>IF(OR(AE$4="",$A107&gt;TODAY()),0,IF(OR(INDEX($B107:$D107,AE$5)="F",AND(AE$6&gt;0,$A107&lt;AE$6),AND(AE$7&gt;0,$A107&gt;AE$7)),0,MAX(0,ROUND((INDEX($E107:$G107,AE$5)-SUMIFS(TF_Timer,TF_Tekniker,AE$4,TF_Dato,$A107))*2,0)/2)))</f>
        <v/>
      </c>
      <c r="AF107">
        <f>IF(OR(AF$4="",$A107&gt;TODAY()),0,IF(OR(INDEX($B107:$D107,AF$5)="F",AND(AF$6&gt;0,$A107&lt;AF$6),AND(AF$7&gt;0,$A107&gt;AF$7)),0,MAX(0,ROUND((INDEX($E107:$G107,AF$5)-SUMIFS(TF_Timer,TF_Tekniker,AF$4,TF_Dato,$A107))*2,0)/2)))</f>
        <v/>
      </c>
      <c r="AG107">
        <f>IF(OR(AG$4="",$A107&gt;TODAY()),0,IF(OR(INDEX($B107:$D107,AG$5)="F",AND(AG$6&gt;0,$A107&lt;AG$6),AND(AG$7&gt;0,$A107&gt;AG$7)),0,MAX(0,ROUND((INDEX($E107:$G107,AG$5)-SUMIFS(TF_Timer,TF_Tekniker,AG$4,TF_Dato,$A107))*2,0)/2)))</f>
        <v/>
      </c>
      <c r="AH107">
        <f>IF(OR(AH$4="",$A107&gt;TODAY()),0,IF(OR(INDEX($B107:$D107,AH$5)="F",AND(AH$6&gt;0,$A107&lt;AH$6),AND(AH$7&gt;0,$A107&gt;AH$7)),0,MAX(0,ROUND((INDEX($E107:$G107,AH$5)-SUMIFS(TF_Timer,TF_Tekniker,AH$4,TF_Dato,$A107))*2,0)/2)))</f>
        <v/>
      </c>
      <c r="AI107">
        <f>IF(OR(AI$4="",$A107&gt;TODAY()),0,IF(OR(INDEX($B107:$D107,AI$5)="F",AND(AI$6&gt;0,$A107&lt;AI$6),AND(AI$7&gt;0,$A107&gt;AI$7)),0,MAX(0,ROUND((INDEX($E107:$G107,AI$5)-SUMIFS(TF_Timer,TF_Tekniker,AI$4,TF_Dato,$A107))*2,0)/2)))</f>
        <v/>
      </c>
      <c r="AJ107">
        <f>IF(OR(AJ$4="",$A107&gt;TODAY()),0,IF(OR(INDEX($B107:$D107,AJ$5)="F",AND(AJ$6&gt;0,$A107&lt;AJ$6),AND(AJ$7&gt;0,$A107&gt;AJ$7)),0,MAX(0,ROUND((INDEX($E107:$G107,AJ$5)-SUMIFS(TF_Timer,TF_Tekniker,AJ$4,TF_Dato,$A107))*2,0)/2)))</f>
        <v/>
      </c>
      <c r="AK107">
        <f>IF(OR(AK$4="",$A107&gt;TODAY()),0,IF(OR(INDEX($B107:$D107,AK$5)="F",AND(AK$6&gt;0,$A107&lt;AK$6),AND(AK$7&gt;0,$A107&gt;AK$7)),0,MAX(0,ROUND((INDEX($E107:$G107,AK$5)-SUMIFS(TF_Timer,TF_Tekniker,AK$4,TF_Dato,$A107))*2,0)/2)))</f>
        <v/>
      </c>
      <c r="AL107">
        <f>IF(OR(AL$4="",$A107&gt;TODAY()),0,IF(OR(INDEX($B107:$D107,AL$5)="F",AND(AL$6&gt;0,$A107&lt;AL$6),AND(AL$7&gt;0,$A107&gt;AL$7)),0,MAX(0,ROUND((INDEX($E107:$G107,AL$5)-SUMIFS(TF_Timer,TF_Tekniker,AL$4,TF_Dato,$A107))*2,0)/2)))</f>
        <v/>
      </c>
      <c r="AM107">
        <f>IF(OR(AM$4="",$A107&gt;TODAY()),0,IF(OR(INDEX($B107:$D107,AM$5)="F",AND(AM$6&gt;0,$A107&lt;AM$6),AND(AM$7&gt;0,$A107&gt;AM$7)),0,MAX(0,ROUND((INDEX($E107:$G107,AM$5)-SUMIFS(TF_Timer,TF_Tekniker,AM$4,TF_Dato,$A107))*2,0)/2)))</f>
        <v/>
      </c>
      <c r="AN107">
        <f>IF(OR(AN$4="",$A107&gt;TODAY()),0,IF(OR(INDEX($B107:$D107,AN$5)="F",AND(AN$6&gt;0,$A107&lt;AN$6),AND(AN$7&gt;0,$A107&gt;AN$7)),0,MAX(0,ROUND((INDEX($E107:$G107,AN$5)-SUMIFS(TF_Timer,TF_Tekniker,AN$4,TF_Dato,$A107))*2,0)/2)))</f>
        <v/>
      </c>
      <c r="AO107">
        <f>IF(OR(AO$4="",$A107&gt;TODAY()),0,IF(OR(INDEX($B107:$D107,AO$5)="F",AND(AO$6&gt;0,$A107&lt;AO$6),AND(AO$7&gt;0,$A107&gt;AO$7)),0,MAX(0,ROUND((INDEX($E107:$G107,AO$5)-SUMIFS(TF_Timer,TF_Tekniker,AO$4,TF_Dato,$A107))*2,0)/2)))</f>
        <v/>
      </c>
      <c r="AP107">
        <f>IF(OR(AP$4="",$A107&gt;TODAY()),0,IF(OR(INDEX($B107:$D107,AP$5)="F",AND(AP$6&gt;0,$A107&lt;AP$6),AND(AP$7&gt;0,$A107&gt;AP$7)),0,MAX(0,ROUND((INDEX($E107:$G107,AP$5)-SUMIFS(TF_Timer,TF_Tekniker,AP$4,TF_Dato,$A107))*2,0)/2)))</f>
        <v/>
      </c>
      <c r="AQ107">
        <f>IF(OR(AQ$4="",$A107&gt;TODAY()),0,IF(OR(INDEX($B107:$D107,AQ$5)="F",AND(AQ$6&gt;0,$A107&lt;AQ$6),AND(AQ$7&gt;0,$A107&gt;AQ$7)),0,MAX(0,ROUND((INDEX($E107:$G107,AQ$5)-SUMIFS(TF_Timer,TF_Tekniker,AQ$4,TF_Dato,$A107))*2,0)/2)))</f>
        <v/>
      </c>
      <c r="AR107">
        <f>IF(OR(AR$4="",$A107&gt;TODAY()),0,IF(OR(INDEX($B107:$D107,AR$5)="F",AND(AR$6&gt;0,$A107&lt;AR$6),AND(AR$7&gt;0,$A107&gt;AR$7)),0,MAX(0,ROUND((INDEX($E107:$G107,AR$5)-SUMIFS(TF_Timer,TF_Tekniker,AR$4,TF_Dato,$A107))*2,0)/2)))</f>
        <v/>
      </c>
      <c r="AS107">
        <f>IF(OR(AS$4="",$A107&gt;TODAY()),0,IF(OR(INDEX($B107:$D107,AS$5)="F",AND(AS$6&gt;0,$A107&lt;AS$6),AND(AS$7&gt;0,$A107&gt;AS$7)),0,MAX(0,ROUND((INDEX($E107:$G107,AS$5)-SUMIFS(TF_Timer,TF_Tekniker,AS$4,TF_Dato,$A107))*2,0)/2)))</f>
        <v/>
      </c>
      <c r="AT107">
        <f>IF(OR(AT$4="",$A107&gt;TODAY()),0,IF(OR(INDEX($B107:$D107,AT$5)="F",AND(AT$6&gt;0,$A107&lt;AT$6),AND(AT$7&gt;0,$A107&gt;AT$7)),0,MAX(0,ROUND((INDEX($E107:$G107,AT$5)-SUMIFS(TF_Timer,TF_Tekniker,AT$4,TF_Dato,$A107))*2,0)/2)))</f>
        <v/>
      </c>
      <c r="AU107">
        <f>IF(OR(AU$4="",$A107&gt;TODAY()),0,IF(OR(INDEX($B107:$D107,AU$5)="F",AND(AU$6&gt;0,$A107&lt;AU$6),AND(AU$7&gt;0,$A107&gt;AU$7)),0,MAX(0,ROUND((INDEX($E107:$G107,AU$5)-SUMIFS(TF_Timer,TF_Tekniker,AU$4,TF_Dato,$A107))*2,0)/2)))</f>
        <v/>
      </c>
      <c r="AV107">
        <f>IF(OR(AV$4="",$A107&gt;TODAY()),0,IF(OR(INDEX($B107:$D107,AV$5)="F",AND(AV$6&gt;0,$A107&lt;AV$6),AND(AV$7&gt;0,$A107&gt;AV$7)),0,MAX(0,ROUND((INDEX($E107:$G107,AV$5)-SUMIFS(TF_Timer,TF_Tekniker,AV$4,TF_Dato,$A107))*2,0)/2)))</f>
        <v/>
      </c>
      <c r="AW107">
        <f>IF(OR(AW$4="",$A107&gt;TODAY()),0,IF(OR(INDEX($B107:$D107,AW$5)="F",AND(AW$6&gt;0,$A107&lt;AW$6),AND(AW$7&gt;0,$A107&gt;AW$7)),0,MAX(0,ROUND((INDEX($E107:$G107,AW$5)-SUMIFS(TF_Timer,TF_Tekniker,AW$4,TF_Dato,$A107))*2,0)/2)))</f>
        <v/>
      </c>
      <c r="AX107">
        <f>IF(OR(AX$4="",$A107&gt;TODAY()),0,IF(OR(INDEX($B107:$D107,AX$5)="F",AND(AX$6&gt;0,$A107&lt;AX$6),AND(AX$7&gt;0,$A107&gt;AX$7)),0,MAX(0,ROUND((INDEX($E107:$G107,AX$5)-SUMIFS(TF_Timer,TF_Tekniker,AX$4,TF_Dato,$A107))*2,0)/2)))</f>
        <v/>
      </c>
      <c r="AY107">
        <f>IF(OR(AY$4="",$A107&gt;TODAY()),0,IF(OR(INDEX($B107:$D107,AY$5)="F",AND(AY$6&gt;0,$A107&lt;AY$6),AND(AY$7&gt;0,$A107&gt;AY$7)),0,MAX(0,ROUND((INDEX($E107:$G107,AY$5)-SUMIFS(TF_Timer,TF_Tekniker,AY$4,TF_Dato,$A107))*2,0)/2)))</f>
        <v/>
      </c>
      <c r="AZ107">
        <f>IF(OR(AZ$4="",$A107&gt;TODAY()),0,IF(OR(INDEX($B107:$D107,AZ$5)="F",AND(AZ$6&gt;0,$A107&lt;AZ$6),AND(AZ$7&gt;0,$A107&gt;AZ$7)),0,MAX(0,ROUND((INDEX($E107:$G107,AZ$5)-SUMIFS(TF_Timer,TF_Tekniker,AZ$4,TF_Dato,$A107))*2,0)/2)))</f>
        <v/>
      </c>
      <c r="BA107">
        <f>IF(OR(BA$4="",$A107&gt;TODAY()),0,IF(OR(INDEX($B107:$D107,BA$5)="F",AND(BA$6&gt;0,$A107&lt;BA$6),AND(BA$7&gt;0,$A107&gt;BA$7)),0,MAX(0,ROUND((INDEX($E107:$G107,BA$5)-SUMIFS(TF_Timer,TF_Tekniker,BA$4,TF_Dato,$A107))*2,0)/2)))</f>
        <v/>
      </c>
      <c r="BB107">
        <f>IF(OR(BB$4="",$A107&gt;TODAY()),0,IF(OR(INDEX($B107:$D107,BB$5)="F",AND(BB$6&gt;0,$A107&lt;BB$6),AND(BB$7&gt;0,$A107&gt;BB$7)),0,MAX(0,ROUND((INDEX($E107:$G107,BB$5)-SUMIFS(TF_Timer,TF_Tekniker,BB$4,TF_Dato,$A107))*2,0)/2)))</f>
        <v/>
      </c>
      <c r="BC107">
        <f>IF(OR(BC$4="",$A107&gt;TODAY()),0,IF(OR(INDEX($B107:$D107,BC$5)="F",AND(BC$6&gt;0,$A107&lt;BC$6),AND(BC$7&gt;0,$A107&gt;BC$7)),0,MAX(0,ROUND((INDEX($E107:$G107,BC$5)-SUMIFS(TF_Timer,TF_Tekniker,BC$4,TF_Dato,$A107))*2,0)/2)))</f>
        <v/>
      </c>
      <c r="BD107">
        <f>IF(OR(BD$4="",$A107&gt;TODAY()),0,IF(OR(INDEX($B107:$D107,BD$5)="F",AND(BD$6&gt;0,$A107&lt;BD$6),AND(BD$7&gt;0,$A107&gt;BD$7)),0,MAX(0,ROUND((INDEX($E107:$G107,BD$5)-SUMIFS(TF_Timer,TF_Tekniker,BD$4,TF_Dato,$A107))*2,0)/2)))</f>
        <v/>
      </c>
      <c r="BE107">
        <f>IF(OR(BE$4="",$A107&gt;TODAY()),0,IF(OR(INDEX($B107:$D107,BE$5)="F",AND(BE$6&gt;0,$A107&lt;BE$6),AND(BE$7&gt;0,$A107&gt;BE$7)),0,MAX(0,ROUND((INDEX($E107:$G107,BE$5)-SUMIFS(TF_Timer,TF_Tekniker,BE$4,TF_Dato,$A107))*2,0)/2)))</f>
        <v/>
      </c>
      <c r="BF107">
        <f>IF(OR(BF$4="",$A107&gt;TODAY()),0,IF(OR(INDEX($B107:$D107,BF$5)="F",AND(BF$6&gt;0,$A107&lt;BF$6),AND(BF$7&gt;0,$A107&gt;BF$7)),0,MAX(0,ROUND((INDEX($E107:$G107,BF$5)-SUMIFS(TF_Timer,TF_Tekniker,BF$4,TF_Dato,$A107))*2,0)/2)))</f>
        <v/>
      </c>
      <c r="BG107">
        <f>IF(OR(BG$4="",$A107&gt;TODAY()),0,IF(OR(INDEX($B107:$D107,BG$5)="F",AND(BG$6&gt;0,$A107&lt;BG$6),AND(BG$7&gt;0,$A107&gt;BG$7)),0,MAX(0,ROUND((INDEX($E107:$G107,BG$5)-SUMIFS(TF_Timer,TF_Tekniker,BG$4,TF_Dato,$A107))*2,0)/2)))</f>
        <v/>
      </c>
      <c r="BH107">
        <f>IF(OR(BH$4="",$A107&gt;TODAY()),0,IF(OR(INDEX($B107:$D107,BH$5)="F",AND(BH$6&gt;0,$A107&lt;BH$6),AND(BH$7&gt;0,$A107&gt;BH$7)),0,MAX(0,ROUND((INDEX($E107:$G107,BH$5)-SUMIFS(TF_Timer,TF_Tekniker,BH$4,TF_Dato,$A107))*2,0)/2)))</f>
        <v/>
      </c>
      <c r="BI107">
        <f>IF(OR(BI$4="",$A107&gt;TODAY()),0,IF(OR(INDEX($B107:$D107,BI$5)="F",AND(BI$6&gt;0,$A107&lt;BI$6),AND(BI$7&gt;0,$A107&gt;BI$7)),0,MAX(0,ROUND((INDEX($E107:$G107,BI$5)-SUMIFS(TF_Timer,TF_Tekniker,BI$4,TF_Dato,$A107))*2,0)/2)))</f>
        <v/>
      </c>
    </row>
    <row r="108">
      <c r="A108" s="64">
        <f>A107+1</f>
        <v/>
      </c>
      <c r="B108">
        <f>IF(MOD($A108-INDEX(SkiftStart,1),Syklus)&lt;DagK,"K",IF(MOD($A108-INDEX(SkiftStart,1),Syklus)&lt;DagK+DagH,"H",IF(MOD($A108-INDEX(SkiftStart,1),Syklus)&lt;DagK+DagH+DagD,"D","F")))</f>
        <v/>
      </c>
      <c r="C108">
        <f>IF(MOD($A108-INDEX(SkiftStart,2),Syklus)&lt;DagK,"K",IF(MOD($A108-INDEX(SkiftStart,2),Syklus)&lt;DagK+DagH,"H",IF(MOD($A108-INDEX(SkiftStart,2),Syklus)&lt;DagK+DagH+DagD,"D","F")))</f>
        <v/>
      </c>
      <c r="D108">
        <f>IF(MOD($A108-INDEX(SkiftStart,3),Syklus)&lt;DagK,"K",IF(MOD($A108-INDEX(SkiftStart,3),Syklus)&lt;DagK+DagH,"H",IF(MOD($A108-INDEX(SkiftStart,3),Syklus)&lt;DagK+DagH+DagD,"D","F")))</f>
        <v/>
      </c>
      <c r="E108">
        <f>IF(B108="F",0,IF(WEEKDAY($A108,2)=5,INDEX(TimerFr,MATCH(B108,FaseKode,0)),INDEX(TimerMT,MATCH(B108,FaseKode,0))))</f>
        <v/>
      </c>
      <c r="F108">
        <f>IF(C108="F",0,IF(WEEKDAY($A108,2)=5,INDEX(TimerFr,MATCH(C108,FaseKode,0)),INDEX(TimerMT,MATCH(C108,FaseKode,0))))</f>
        <v/>
      </c>
      <c r="G108">
        <f>IF(D108="F",0,IF(WEEKDAY($A108,2)=5,INDEX(TimerFr,MATCH(D108,FaseKode,0)),INDEX(TimerMT,MATCH(D108,FaseKode,0))))</f>
        <v/>
      </c>
      <c r="H108">
        <f>IF(OR(H$4="",$A108&gt;TODAY()),0,IF(OR(INDEX($B108:$D108,H$5)="F",AND(H$6&gt;0,$A108&lt;H$6),AND(H$7&gt;0,$A108&gt;H$7)),0,MAX(0,ROUND((INDEX($E108:$G108,H$5)-SUMIFS(TF_Timer,TF_Tekniker,H$4,TF_Dato,$A108))*2,0)/2)))</f>
        <v/>
      </c>
      <c r="I108">
        <f>IF(OR(I$4="",$A108&gt;TODAY()),0,IF(OR(INDEX($B108:$D108,I$5)="F",AND(I$6&gt;0,$A108&lt;I$6),AND(I$7&gt;0,$A108&gt;I$7)),0,MAX(0,ROUND((INDEX($E108:$G108,I$5)-SUMIFS(TF_Timer,TF_Tekniker,I$4,TF_Dato,$A108))*2,0)/2)))</f>
        <v/>
      </c>
      <c r="J108">
        <f>IF(OR(J$4="",$A108&gt;TODAY()),0,IF(OR(INDEX($B108:$D108,J$5)="F",AND(J$6&gt;0,$A108&lt;J$6),AND(J$7&gt;0,$A108&gt;J$7)),0,MAX(0,ROUND((INDEX($E108:$G108,J$5)-SUMIFS(TF_Timer,TF_Tekniker,J$4,TF_Dato,$A108))*2,0)/2)))</f>
        <v/>
      </c>
      <c r="K108">
        <f>IF(OR(K$4="",$A108&gt;TODAY()),0,IF(OR(INDEX($B108:$D108,K$5)="F",AND(K$6&gt;0,$A108&lt;K$6),AND(K$7&gt;0,$A108&gt;K$7)),0,MAX(0,ROUND((INDEX($E108:$G108,K$5)-SUMIFS(TF_Timer,TF_Tekniker,K$4,TF_Dato,$A108))*2,0)/2)))</f>
        <v/>
      </c>
      <c r="L108">
        <f>IF(OR(L$4="",$A108&gt;TODAY()),0,IF(OR(INDEX($B108:$D108,L$5)="F",AND(L$6&gt;0,$A108&lt;L$6),AND(L$7&gt;0,$A108&gt;L$7)),0,MAX(0,ROUND((INDEX($E108:$G108,L$5)-SUMIFS(TF_Timer,TF_Tekniker,L$4,TF_Dato,$A108))*2,0)/2)))</f>
        <v/>
      </c>
      <c r="M108">
        <f>IF(OR(M$4="",$A108&gt;TODAY()),0,IF(OR(INDEX($B108:$D108,M$5)="F",AND(M$6&gt;0,$A108&lt;M$6),AND(M$7&gt;0,$A108&gt;M$7)),0,MAX(0,ROUND((INDEX($E108:$G108,M$5)-SUMIFS(TF_Timer,TF_Tekniker,M$4,TF_Dato,$A108))*2,0)/2)))</f>
        <v/>
      </c>
      <c r="N108">
        <f>IF(OR(N$4="",$A108&gt;TODAY()),0,IF(OR(INDEX($B108:$D108,N$5)="F",AND(N$6&gt;0,$A108&lt;N$6),AND(N$7&gt;0,$A108&gt;N$7)),0,MAX(0,ROUND((INDEX($E108:$G108,N$5)-SUMIFS(TF_Timer,TF_Tekniker,N$4,TF_Dato,$A108))*2,0)/2)))</f>
        <v/>
      </c>
      <c r="O108">
        <f>IF(OR(O$4="",$A108&gt;TODAY()),0,IF(OR(INDEX($B108:$D108,O$5)="F",AND(O$6&gt;0,$A108&lt;O$6),AND(O$7&gt;0,$A108&gt;O$7)),0,MAX(0,ROUND((INDEX($E108:$G108,O$5)-SUMIFS(TF_Timer,TF_Tekniker,O$4,TF_Dato,$A108))*2,0)/2)))</f>
        <v/>
      </c>
      <c r="P108">
        <f>IF(OR(P$4="",$A108&gt;TODAY()),0,IF(OR(INDEX($B108:$D108,P$5)="F",AND(P$6&gt;0,$A108&lt;P$6),AND(P$7&gt;0,$A108&gt;P$7)),0,MAX(0,ROUND((INDEX($E108:$G108,P$5)-SUMIFS(TF_Timer,TF_Tekniker,P$4,TF_Dato,$A108))*2,0)/2)))</f>
        <v/>
      </c>
      <c r="Q108">
        <f>IF(OR(Q$4="",$A108&gt;TODAY()),0,IF(OR(INDEX($B108:$D108,Q$5)="F",AND(Q$6&gt;0,$A108&lt;Q$6),AND(Q$7&gt;0,$A108&gt;Q$7)),0,MAX(0,ROUND((INDEX($E108:$G108,Q$5)-SUMIFS(TF_Timer,TF_Tekniker,Q$4,TF_Dato,$A108))*2,0)/2)))</f>
        <v/>
      </c>
      <c r="R108">
        <f>IF(OR(R$4="",$A108&gt;TODAY()),0,IF(OR(INDEX($B108:$D108,R$5)="F",AND(R$6&gt;0,$A108&lt;R$6),AND(R$7&gt;0,$A108&gt;R$7)),0,MAX(0,ROUND((INDEX($E108:$G108,R$5)-SUMIFS(TF_Timer,TF_Tekniker,R$4,TF_Dato,$A108))*2,0)/2)))</f>
        <v/>
      </c>
      <c r="S108">
        <f>IF(OR(S$4="",$A108&gt;TODAY()),0,IF(OR(INDEX($B108:$D108,S$5)="F",AND(S$6&gt;0,$A108&lt;S$6),AND(S$7&gt;0,$A108&gt;S$7)),0,MAX(0,ROUND((INDEX($E108:$G108,S$5)-SUMIFS(TF_Timer,TF_Tekniker,S$4,TF_Dato,$A108))*2,0)/2)))</f>
        <v/>
      </c>
      <c r="T108">
        <f>IF(OR(T$4="",$A108&gt;TODAY()),0,IF(OR(INDEX($B108:$D108,T$5)="F",AND(T$6&gt;0,$A108&lt;T$6),AND(T$7&gt;0,$A108&gt;T$7)),0,MAX(0,ROUND((INDEX($E108:$G108,T$5)-SUMIFS(TF_Timer,TF_Tekniker,T$4,TF_Dato,$A108))*2,0)/2)))</f>
        <v/>
      </c>
      <c r="U108">
        <f>IF(OR(U$4="",$A108&gt;TODAY()),0,IF(OR(INDEX($B108:$D108,U$5)="F",AND(U$6&gt;0,$A108&lt;U$6),AND(U$7&gt;0,$A108&gt;U$7)),0,MAX(0,ROUND((INDEX($E108:$G108,U$5)-SUMIFS(TF_Timer,TF_Tekniker,U$4,TF_Dato,$A108))*2,0)/2)))</f>
        <v/>
      </c>
      <c r="V108">
        <f>IF(OR(V$4="",$A108&gt;TODAY()),0,IF(OR(INDEX($B108:$D108,V$5)="F",AND(V$6&gt;0,$A108&lt;V$6),AND(V$7&gt;0,$A108&gt;V$7)),0,MAX(0,ROUND((INDEX($E108:$G108,V$5)-SUMIFS(TF_Timer,TF_Tekniker,V$4,TF_Dato,$A108))*2,0)/2)))</f>
        <v/>
      </c>
      <c r="W108">
        <f>IF(OR(W$4="",$A108&gt;TODAY()),0,IF(OR(INDEX($B108:$D108,W$5)="F",AND(W$6&gt;0,$A108&lt;W$6),AND(W$7&gt;0,$A108&gt;W$7)),0,MAX(0,ROUND((INDEX($E108:$G108,W$5)-SUMIFS(TF_Timer,TF_Tekniker,W$4,TF_Dato,$A108))*2,0)/2)))</f>
        <v/>
      </c>
      <c r="X108">
        <f>IF(OR(X$4="",$A108&gt;TODAY()),0,IF(OR(INDEX($B108:$D108,X$5)="F",AND(X$6&gt;0,$A108&lt;X$6),AND(X$7&gt;0,$A108&gt;X$7)),0,MAX(0,ROUND((INDEX($E108:$G108,X$5)-SUMIFS(TF_Timer,TF_Tekniker,X$4,TF_Dato,$A108))*2,0)/2)))</f>
        <v/>
      </c>
      <c r="Y108">
        <f>IF(OR(Y$4="",$A108&gt;TODAY()),0,IF(OR(INDEX($B108:$D108,Y$5)="F",AND(Y$6&gt;0,$A108&lt;Y$6),AND(Y$7&gt;0,$A108&gt;Y$7)),0,MAX(0,ROUND((INDEX($E108:$G108,Y$5)-SUMIFS(TF_Timer,TF_Tekniker,Y$4,TF_Dato,$A108))*2,0)/2)))</f>
        <v/>
      </c>
      <c r="Z108">
        <f>IF(OR(Z$4="",$A108&gt;TODAY()),0,IF(OR(INDEX($B108:$D108,Z$5)="F",AND(Z$6&gt;0,$A108&lt;Z$6),AND(Z$7&gt;0,$A108&gt;Z$7)),0,MAX(0,ROUND((INDEX($E108:$G108,Z$5)-SUMIFS(TF_Timer,TF_Tekniker,Z$4,TF_Dato,$A108))*2,0)/2)))</f>
        <v/>
      </c>
      <c r="AA108">
        <f>IF(OR(AA$4="",$A108&gt;TODAY()),0,IF(OR(INDEX($B108:$D108,AA$5)="F",AND(AA$6&gt;0,$A108&lt;AA$6),AND(AA$7&gt;0,$A108&gt;AA$7)),0,MAX(0,ROUND((INDEX($E108:$G108,AA$5)-SUMIFS(TF_Timer,TF_Tekniker,AA$4,TF_Dato,$A108))*2,0)/2)))</f>
        <v/>
      </c>
      <c r="AB108">
        <f>IF(OR(AB$4="",$A108&gt;TODAY()),0,IF(OR(INDEX($B108:$D108,AB$5)="F",AND(AB$6&gt;0,$A108&lt;AB$6),AND(AB$7&gt;0,$A108&gt;AB$7)),0,MAX(0,ROUND((INDEX($E108:$G108,AB$5)-SUMIFS(TF_Timer,TF_Tekniker,AB$4,TF_Dato,$A108))*2,0)/2)))</f>
        <v/>
      </c>
      <c r="AC108">
        <f>IF(OR(AC$4="",$A108&gt;TODAY()),0,IF(OR(INDEX($B108:$D108,AC$5)="F",AND(AC$6&gt;0,$A108&lt;AC$6),AND(AC$7&gt;0,$A108&gt;AC$7)),0,MAX(0,ROUND((INDEX($E108:$G108,AC$5)-SUMIFS(TF_Timer,TF_Tekniker,AC$4,TF_Dato,$A108))*2,0)/2)))</f>
        <v/>
      </c>
      <c r="AD108">
        <f>IF(OR(AD$4="",$A108&gt;TODAY()),0,IF(OR(INDEX($B108:$D108,AD$5)="F",AND(AD$6&gt;0,$A108&lt;AD$6),AND(AD$7&gt;0,$A108&gt;AD$7)),0,MAX(0,ROUND((INDEX($E108:$G108,AD$5)-SUMIFS(TF_Timer,TF_Tekniker,AD$4,TF_Dato,$A108))*2,0)/2)))</f>
        <v/>
      </c>
      <c r="AE108">
        <f>IF(OR(AE$4="",$A108&gt;TODAY()),0,IF(OR(INDEX($B108:$D108,AE$5)="F",AND(AE$6&gt;0,$A108&lt;AE$6),AND(AE$7&gt;0,$A108&gt;AE$7)),0,MAX(0,ROUND((INDEX($E108:$G108,AE$5)-SUMIFS(TF_Timer,TF_Tekniker,AE$4,TF_Dato,$A108))*2,0)/2)))</f>
        <v/>
      </c>
      <c r="AF108">
        <f>IF(OR(AF$4="",$A108&gt;TODAY()),0,IF(OR(INDEX($B108:$D108,AF$5)="F",AND(AF$6&gt;0,$A108&lt;AF$6),AND(AF$7&gt;0,$A108&gt;AF$7)),0,MAX(0,ROUND((INDEX($E108:$G108,AF$5)-SUMIFS(TF_Timer,TF_Tekniker,AF$4,TF_Dato,$A108))*2,0)/2)))</f>
        <v/>
      </c>
      <c r="AG108">
        <f>IF(OR(AG$4="",$A108&gt;TODAY()),0,IF(OR(INDEX($B108:$D108,AG$5)="F",AND(AG$6&gt;0,$A108&lt;AG$6),AND(AG$7&gt;0,$A108&gt;AG$7)),0,MAX(0,ROUND((INDEX($E108:$G108,AG$5)-SUMIFS(TF_Timer,TF_Tekniker,AG$4,TF_Dato,$A108))*2,0)/2)))</f>
        <v/>
      </c>
      <c r="AH108">
        <f>IF(OR(AH$4="",$A108&gt;TODAY()),0,IF(OR(INDEX($B108:$D108,AH$5)="F",AND(AH$6&gt;0,$A108&lt;AH$6),AND(AH$7&gt;0,$A108&gt;AH$7)),0,MAX(0,ROUND((INDEX($E108:$G108,AH$5)-SUMIFS(TF_Timer,TF_Tekniker,AH$4,TF_Dato,$A108))*2,0)/2)))</f>
        <v/>
      </c>
      <c r="AI108">
        <f>IF(OR(AI$4="",$A108&gt;TODAY()),0,IF(OR(INDEX($B108:$D108,AI$5)="F",AND(AI$6&gt;0,$A108&lt;AI$6),AND(AI$7&gt;0,$A108&gt;AI$7)),0,MAX(0,ROUND((INDEX($E108:$G108,AI$5)-SUMIFS(TF_Timer,TF_Tekniker,AI$4,TF_Dato,$A108))*2,0)/2)))</f>
        <v/>
      </c>
      <c r="AJ108">
        <f>IF(OR(AJ$4="",$A108&gt;TODAY()),0,IF(OR(INDEX($B108:$D108,AJ$5)="F",AND(AJ$6&gt;0,$A108&lt;AJ$6),AND(AJ$7&gt;0,$A108&gt;AJ$7)),0,MAX(0,ROUND((INDEX($E108:$G108,AJ$5)-SUMIFS(TF_Timer,TF_Tekniker,AJ$4,TF_Dato,$A108))*2,0)/2)))</f>
        <v/>
      </c>
      <c r="AK108">
        <f>IF(OR(AK$4="",$A108&gt;TODAY()),0,IF(OR(INDEX($B108:$D108,AK$5)="F",AND(AK$6&gt;0,$A108&lt;AK$6),AND(AK$7&gt;0,$A108&gt;AK$7)),0,MAX(0,ROUND((INDEX($E108:$G108,AK$5)-SUMIFS(TF_Timer,TF_Tekniker,AK$4,TF_Dato,$A108))*2,0)/2)))</f>
        <v/>
      </c>
      <c r="AL108">
        <f>IF(OR(AL$4="",$A108&gt;TODAY()),0,IF(OR(INDEX($B108:$D108,AL$5)="F",AND(AL$6&gt;0,$A108&lt;AL$6),AND(AL$7&gt;0,$A108&gt;AL$7)),0,MAX(0,ROUND((INDEX($E108:$G108,AL$5)-SUMIFS(TF_Timer,TF_Tekniker,AL$4,TF_Dato,$A108))*2,0)/2)))</f>
        <v/>
      </c>
      <c r="AM108">
        <f>IF(OR(AM$4="",$A108&gt;TODAY()),0,IF(OR(INDEX($B108:$D108,AM$5)="F",AND(AM$6&gt;0,$A108&lt;AM$6),AND(AM$7&gt;0,$A108&gt;AM$7)),0,MAX(0,ROUND((INDEX($E108:$G108,AM$5)-SUMIFS(TF_Timer,TF_Tekniker,AM$4,TF_Dato,$A108))*2,0)/2)))</f>
        <v/>
      </c>
      <c r="AN108">
        <f>IF(OR(AN$4="",$A108&gt;TODAY()),0,IF(OR(INDEX($B108:$D108,AN$5)="F",AND(AN$6&gt;0,$A108&lt;AN$6),AND(AN$7&gt;0,$A108&gt;AN$7)),0,MAX(0,ROUND((INDEX($E108:$G108,AN$5)-SUMIFS(TF_Timer,TF_Tekniker,AN$4,TF_Dato,$A108))*2,0)/2)))</f>
        <v/>
      </c>
      <c r="AO108">
        <f>IF(OR(AO$4="",$A108&gt;TODAY()),0,IF(OR(INDEX($B108:$D108,AO$5)="F",AND(AO$6&gt;0,$A108&lt;AO$6),AND(AO$7&gt;0,$A108&gt;AO$7)),0,MAX(0,ROUND((INDEX($E108:$G108,AO$5)-SUMIFS(TF_Timer,TF_Tekniker,AO$4,TF_Dato,$A108))*2,0)/2)))</f>
        <v/>
      </c>
      <c r="AP108">
        <f>IF(OR(AP$4="",$A108&gt;TODAY()),0,IF(OR(INDEX($B108:$D108,AP$5)="F",AND(AP$6&gt;0,$A108&lt;AP$6),AND(AP$7&gt;0,$A108&gt;AP$7)),0,MAX(0,ROUND((INDEX($E108:$G108,AP$5)-SUMIFS(TF_Timer,TF_Tekniker,AP$4,TF_Dato,$A108))*2,0)/2)))</f>
        <v/>
      </c>
      <c r="AQ108">
        <f>IF(OR(AQ$4="",$A108&gt;TODAY()),0,IF(OR(INDEX($B108:$D108,AQ$5)="F",AND(AQ$6&gt;0,$A108&lt;AQ$6),AND(AQ$7&gt;0,$A108&gt;AQ$7)),0,MAX(0,ROUND((INDEX($E108:$G108,AQ$5)-SUMIFS(TF_Timer,TF_Tekniker,AQ$4,TF_Dato,$A108))*2,0)/2)))</f>
        <v/>
      </c>
      <c r="AR108">
        <f>IF(OR(AR$4="",$A108&gt;TODAY()),0,IF(OR(INDEX($B108:$D108,AR$5)="F",AND(AR$6&gt;0,$A108&lt;AR$6),AND(AR$7&gt;0,$A108&gt;AR$7)),0,MAX(0,ROUND((INDEX($E108:$G108,AR$5)-SUMIFS(TF_Timer,TF_Tekniker,AR$4,TF_Dato,$A108))*2,0)/2)))</f>
        <v/>
      </c>
      <c r="AS108">
        <f>IF(OR(AS$4="",$A108&gt;TODAY()),0,IF(OR(INDEX($B108:$D108,AS$5)="F",AND(AS$6&gt;0,$A108&lt;AS$6),AND(AS$7&gt;0,$A108&gt;AS$7)),0,MAX(0,ROUND((INDEX($E108:$G108,AS$5)-SUMIFS(TF_Timer,TF_Tekniker,AS$4,TF_Dato,$A108))*2,0)/2)))</f>
        <v/>
      </c>
      <c r="AT108">
        <f>IF(OR(AT$4="",$A108&gt;TODAY()),0,IF(OR(INDEX($B108:$D108,AT$5)="F",AND(AT$6&gt;0,$A108&lt;AT$6),AND(AT$7&gt;0,$A108&gt;AT$7)),0,MAX(0,ROUND((INDEX($E108:$G108,AT$5)-SUMIFS(TF_Timer,TF_Tekniker,AT$4,TF_Dato,$A108))*2,0)/2)))</f>
        <v/>
      </c>
      <c r="AU108">
        <f>IF(OR(AU$4="",$A108&gt;TODAY()),0,IF(OR(INDEX($B108:$D108,AU$5)="F",AND(AU$6&gt;0,$A108&lt;AU$6),AND(AU$7&gt;0,$A108&gt;AU$7)),0,MAX(0,ROUND((INDEX($E108:$G108,AU$5)-SUMIFS(TF_Timer,TF_Tekniker,AU$4,TF_Dato,$A108))*2,0)/2)))</f>
        <v/>
      </c>
      <c r="AV108">
        <f>IF(OR(AV$4="",$A108&gt;TODAY()),0,IF(OR(INDEX($B108:$D108,AV$5)="F",AND(AV$6&gt;0,$A108&lt;AV$6),AND(AV$7&gt;0,$A108&gt;AV$7)),0,MAX(0,ROUND((INDEX($E108:$G108,AV$5)-SUMIFS(TF_Timer,TF_Tekniker,AV$4,TF_Dato,$A108))*2,0)/2)))</f>
        <v/>
      </c>
      <c r="AW108">
        <f>IF(OR(AW$4="",$A108&gt;TODAY()),0,IF(OR(INDEX($B108:$D108,AW$5)="F",AND(AW$6&gt;0,$A108&lt;AW$6),AND(AW$7&gt;0,$A108&gt;AW$7)),0,MAX(0,ROUND((INDEX($E108:$G108,AW$5)-SUMIFS(TF_Timer,TF_Tekniker,AW$4,TF_Dato,$A108))*2,0)/2)))</f>
        <v/>
      </c>
      <c r="AX108">
        <f>IF(OR(AX$4="",$A108&gt;TODAY()),0,IF(OR(INDEX($B108:$D108,AX$5)="F",AND(AX$6&gt;0,$A108&lt;AX$6),AND(AX$7&gt;0,$A108&gt;AX$7)),0,MAX(0,ROUND((INDEX($E108:$G108,AX$5)-SUMIFS(TF_Timer,TF_Tekniker,AX$4,TF_Dato,$A108))*2,0)/2)))</f>
        <v/>
      </c>
      <c r="AY108">
        <f>IF(OR(AY$4="",$A108&gt;TODAY()),0,IF(OR(INDEX($B108:$D108,AY$5)="F",AND(AY$6&gt;0,$A108&lt;AY$6),AND(AY$7&gt;0,$A108&gt;AY$7)),0,MAX(0,ROUND((INDEX($E108:$G108,AY$5)-SUMIFS(TF_Timer,TF_Tekniker,AY$4,TF_Dato,$A108))*2,0)/2)))</f>
        <v/>
      </c>
      <c r="AZ108">
        <f>IF(OR(AZ$4="",$A108&gt;TODAY()),0,IF(OR(INDEX($B108:$D108,AZ$5)="F",AND(AZ$6&gt;0,$A108&lt;AZ$6),AND(AZ$7&gt;0,$A108&gt;AZ$7)),0,MAX(0,ROUND((INDEX($E108:$G108,AZ$5)-SUMIFS(TF_Timer,TF_Tekniker,AZ$4,TF_Dato,$A108))*2,0)/2)))</f>
        <v/>
      </c>
      <c r="BA108">
        <f>IF(OR(BA$4="",$A108&gt;TODAY()),0,IF(OR(INDEX($B108:$D108,BA$5)="F",AND(BA$6&gt;0,$A108&lt;BA$6),AND(BA$7&gt;0,$A108&gt;BA$7)),0,MAX(0,ROUND((INDEX($E108:$G108,BA$5)-SUMIFS(TF_Timer,TF_Tekniker,BA$4,TF_Dato,$A108))*2,0)/2)))</f>
        <v/>
      </c>
      <c r="BB108">
        <f>IF(OR(BB$4="",$A108&gt;TODAY()),0,IF(OR(INDEX($B108:$D108,BB$5)="F",AND(BB$6&gt;0,$A108&lt;BB$6),AND(BB$7&gt;0,$A108&gt;BB$7)),0,MAX(0,ROUND((INDEX($E108:$G108,BB$5)-SUMIFS(TF_Timer,TF_Tekniker,BB$4,TF_Dato,$A108))*2,0)/2)))</f>
        <v/>
      </c>
      <c r="BC108">
        <f>IF(OR(BC$4="",$A108&gt;TODAY()),0,IF(OR(INDEX($B108:$D108,BC$5)="F",AND(BC$6&gt;0,$A108&lt;BC$6),AND(BC$7&gt;0,$A108&gt;BC$7)),0,MAX(0,ROUND((INDEX($E108:$G108,BC$5)-SUMIFS(TF_Timer,TF_Tekniker,BC$4,TF_Dato,$A108))*2,0)/2)))</f>
        <v/>
      </c>
      <c r="BD108">
        <f>IF(OR(BD$4="",$A108&gt;TODAY()),0,IF(OR(INDEX($B108:$D108,BD$5)="F",AND(BD$6&gt;0,$A108&lt;BD$6),AND(BD$7&gt;0,$A108&gt;BD$7)),0,MAX(0,ROUND((INDEX($E108:$G108,BD$5)-SUMIFS(TF_Timer,TF_Tekniker,BD$4,TF_Dato,$A108))*2,0)/2)))</f>
        <v/>
      </c>
      <c r="BE108">
        <f>IF(OR(BE$4="",$A108&gt;TODAY()),0,IF(OR(INDEX($B108:$D108,BE$5)="F",AND(BE$6&gt;0,$A108&lt;BE$6),AND(BE$7&gt;0,$A108&gt;BE$7)),0,MAX(0,ROUND((INDEX($E108:$G108,BE$5)-SUMIFS(TF_Timer,TF_Tekniker,BE$4,TF_Dato,$A108))*2,0)/2)))</f>
        <v/>
      </c>
      <c r="BF108">
        <f>IF(OR(BF$4="",$A108&gt;TODAY()),0,IF(OR(INDEX($B108:$D108,BF$5)="F",AND(BF$6&gt;0,$A108&lt;BF$6),AND(BF$7&gt;0,$A108&gt;BF$7)),0,MAX(0,ROUND((INDEX($E108:$G108,BF$5)-SUMIFS(TF_Timer,TF_Tekniker,BF$4,TF_Dato,$A108))*2,0)/2)))</f>
        <v/>
      </c>
      <c r="BG108">
        <f>IF(OR(BG$4="",$A108&gt;TODAY()),0,IF(OR(INDEX($B108:$D108,BG$5)="F",AND(BG$6&gt;0,$A108&lt;BG$6),AND(BG$7&gt;0,$A108&gt;BG$7)),0,MAX(0,ROUND((INDEX($E108:$G108,BG$5)-SUMIFS(TF_Timer,TF_Tekniker,BG$4,TF_Dato,$A108))*2,0)/2)))</f>
        <v/>
      </c>
      <c r="BH108">
        <f>IF(OR(BH$4="",$A108&gt;TODAY()),0,IF(OR(INDEX($B108:$D108,BH$5)="F",AND(BH$6&gt;0,$A108&lt;BH$6),AND(BH$7&gt;0,$A108&gt;BH$7)),0,MAX(0,ROUND((INDEX($E108:$G108,BH$5)-SUMIFS(TF_Timer,TF_Tekniker,BH$4,TF_Dato,$A108))*2,0)/2)))</f>
        <v/>
      </c>
      <c r="BI108">
        <f>IF(OR(BI$4="",$A108&gt;TODAY()),0,IF(OR(INDEX($B108:$D108,BI$5)="F",AND(BI$6&gt;0,$A108&lt;BI$6),AND(BI$7&gt;0,$A108&gt;BI$7)),0,MAX(0,ROUND((INDEX($E108:$G108,BI$5)-SUMIFS(TF_Timer,TF_Tekniker,BI$4,TF_Dato,$A108))*2,0)/2)))</f>
        <v/>
      </c>
    </row>
    <row r="109">
      <c r="A109" s="64">
        <f>A108+1</f>
        <v/>
      </c>
      <c r="B109">
        <f>IF(MOD($A109-INDEX(SkiftStart,1),Syklus)&lt;DagK,"K",IF(MOD($A109-INDEX(SkiftStart,1),Syklus)&lt;DagK+DagH,"H",IF(MOD($A109-INDEX(SkiftStart,1),Syklus)&lt;DagK+DagH+DagD,"D","F")))</f>
        <v/>
      </c>
      <c r="C109">
        <f>IF(MOD($A109-INDEX(SkiftStart,2),Syklus)&lt;DagK,"K",IF(MOD($A109-INDEX(SkiftStart,2),Syklus)&lt;DagK+DagH,"H",IF(MOD($A109-INDEX(SkiftStart,2),Syklus)&lt;DagK+DagH+DagD,"D","F")))</f>
        <v/>
      </c>
      <c r="D109">
        <f>IF(MOD($A109-INDEX(SkiftStart,3),Syklus)&lt;DagK,"K",IF(MOD($A109-INDEX(SkiftStart,3),Syklus)&lt;DagK+DagH,"H",IF(MOD($A109-INDEX(SkiftStart,3),Syklus)&lt;DagK+DagH+DagD,"D","F")))</f>
        <v/>
      </c>
      <c r="E109">
        <f>IF(B109="F",0,IF(WEEKDAY($A109,2)=5,INDEX(TimerFr,MATCH(B109,FaseKode,0)),INDEX(TimerMT,MATCH(B109,FaseKode,0))))</f>
        <v/>
      </c>
      <c r="F109">
        <f>IF(C109="F",0,IF(WEEKDAY($A109,2)=5,INDEX(TimerFr,MATCH(C109,FaseKode,0)),INDEX(TimerMT,MATCH(C109,FaseKode,0))))</f>
        <v/>
      </c>
      <c r="G109">
        <f>IF(D109="F",0,IF(WEEKDAY($A109,2)=5,INDEX(TimerFr,MATCH(D109,FaseKode,0)),INDEX(TimerMT,MATCH(D109,FaseKode,0))))</f>
        <v/>
      </c>
      <c r="H109">
        <f>IF(OR(H$4="",$A109&gt;TODAY()),0,IF(OR(INDEX($B109:$D109,H$5)="F",AND(H$6&gt;0,$A109&lt;H$6),AND(H$7&gt;0,$A109&gt;H$7)),0,MAX(0,ROUND((INDEX($E109:$G109,H$5)-SUMIFS(TF_Timer,TF_Tekniker,H$4,TF_Dato,$A109))*2,0)/2)))</f>
        <v/>
      </c>
      <c r="I109">
        <f>IF(OR(I$4="",$A109&gt;TODAY()),0,IF(OR(INDEX($B109:$D109,I$5)="F",AND(I$6&gt;0,$A109&lt;I$6),AND(I$7&gt;0,$A109&gt;I$7)),0,MAX(0,ROUND((INDEX($E109:$G109,I$5)-SUMIFS(TF_Timer,TF_Tekniker,I$4,TF_Dato,$A109))*2,0)/2)))</f>
        <v/>
      </c>
      <c r="J109">
        <f>IF(OR(J$4="",$A109&gt;TODAY()),0,IF(OR(INDEX($B109:$D109,J$5)="F",AND(J$6&gt;0,$A109&lt;J$6),AND(J$7&gt;0,$A109&gt;J$7)),0,MAX(0,ROUND((INDEX($E109:$G109,J$5)-SUMIFS(TF_Timer,TF_Tekniker,J$4,TF_Dato,$A109))*2,0)/2)))</f>
        <v/>
      </c>
      <c r="K109">
        <f>IF(OR(K$4="",$A109&gt;TODAY()),0,IF(OR(INDEX($B109:$D109,K$5)="F",AND(K$6&gt;0,$A109&lt;K$6),AND(K$7&gt;0,$A109&gt;K$7)),0,MAX(0,ROUND((INDEX($E109:$G109,K$5)-SUMIFS(TF_Timer,TF_Tekniker,K$4,TF_Dato,$A109))*2,0)/2)))</f>
        <v/>
      </c>
      <c r="L109">
        <f>IF(OR(L$4="",$A109&gt;TODAY()),0,IF(OR(INDEX($B109:$D109,L$5)="F",AND(L$6&gt;0,$A109&lt;L$6),AND(L$7&gt;0,$A109&gt;L$7)),0,MAX(0,ROUND((INDEX($E109:$G109,L$5)-SUMIFS(TF_Timer,TF_Tekniker,L$4,TF_Dato,$A109))*2,0)/2)))</f>
        <v/>
      </c>
      <c r="M109">
        <f>IF(OR(M$4="",$A109&gt;TODAY()),0,IF(OR(INDEX($B109:$D109,M$5)="F",AND(M$6&gt;0,$A109&lt;M$6),AND(M$7&gt;0,$A109&gt;M$7)),0,MAX(0,ROUND((INDEX($E109:$G109,M$5)-SUMIFS(TF_Timer,TF_Tekniker,M$4,TF_Dato,$A109))*2,0)/2)))</f>
        <v/>
      </c>
      <c r="N109">
        <f>IF(OR(N$4="",$A109&gt;TODAY()),0,IF(OR(INDEX($B109:$D109,N$5)="F",AND(N$6&gt;0,$A109&lt;N$6),AND(N$7&gt;0,$A109&gt;N$7)),0,MAX(0,ROUND((INDEX($E109:$G109,N$5)-SUMIFS(TF_Timer,TF_Tekniker,N$4,TF_Dato,$A109))*2,0)/2)))</f>
        <v/>
      </c>
      <c r="O109">
        <f>IF(OR(O$4="",$A109&gt;TODAY()),0,IF(OR(INDEX($B109:$D109,O$5)="F",AND(O$6&gt;0,$A109&lt;O$6),AND(O$7&gt;0,$A109&gt;O$7)),0,MAX(0,ROUND((INDEX($E109:$G109,O$5)-SUMIFS(TF_Timer,TF_Tekniker,O$4,TF_Dato,$A109))*2,0)/2)))</f>
        <v/>
      </c>
      <c r="P109">
        <f>IF(OR(P$4="",$A109&gt;TODAY()),0,IF(OR(INDEX($B109:$D109,P$5)="F",AND(P$6&gt;0,$A109&lt;P$6),AND(P$7&gt;0,$A109&gt;P$7)),0,MAX(0,ROUND((INDEX($E109:$G109,P$5)-SUMIFS(TF_Timer,TF_Tekniker,P$4,TF_Dato,$A109))*2,0)/2)))</f>
        <v/>
      </c>
      <c r="Q109">
        <f>IF(OR(Q$4="",$A109&gt;TODAY()),0,IF(OR(INDEX($B109:$D109,Q$5)="F",AND(Q$6&gt;0,$A109&lt;Q$6),AND(Q$7&gt;0,$A109&gt;Q$7)),0,MAX(0,ROUND((INDEX($E109:$G109,Q$5)-SUMIFS(TF_Timer,TF_Tekniker,Q$4,TF_Dato,$A109))*2,0)/2)))</f>
        <v/>
      </c>
      <c r="R109">
        <f>IF(OR(R$4="",$A109&gt;TODAY()),0,IF(OR(INDEX($B109:$D109,R$5)="F",AND(R$6&gt;0,$A109&lt;R$6),AND(R$7&gt;0,$A109&gt;R$7)),0,MAX(0,ROUND((INDEX($E109:$G109,R$5)-SUMIFS(TF_Timer,TF_Tekniker,R$4,TF_Dato,$A109))*2,0)/2)))</f>
        <v/>
      </c>
      <c r="S109">
        <f>IF(OR(S$4="",$A109&gt;TODAY()),0,IF(OR(INDEX($B109:$D109,S$5)="F",AND(S$6&gt;0,$A109&lt;S$6),AND(S$7&gt;0,$A109&gt;S$7)),0,MAX(0,ROUND((INDEX($E109:$G109,S$5)-SUMIFS(TF_Timer,TF_Tekniker,S$4,TF_Dato,$A109))*2,0)/2)))</f>
        <v/>
      </c>
      <c r="T109">
        <f>IF(OR(T$4="",$A109&gt;TODAY()),0,IF(OR(INDEX($B109:$D109,T$5)="F",AND(T$6&gt;0,$A109&lt;T$6),AND(T$7&gt;0,$A109&gt;T$7)),0,MAX(0,ROUND((INDEX($E109:$G109,T$5)-SUMIFS(TF_Timer,TF_Tekniker,T$4,TF_Dato,$A109))*2,0)/2)))</f>
        <v/>
      </c>
      <c r="U109">
        <f>IF(OR(U$4="",$A109&gt;TODAY()),0,IF(OR(INDEX($B109:$D109,U$5)="F",AND(U$6&gt;0,$A109&lt;U$6),AND(U$7&gt;0,$A109&gt;U$7)),0,MAX(0,ROUND((INDEX($E109:$G109,U$5)-SUMIFS(TF_Timer,TF_Tekniker,U$4,TF_Dato,$A109))*2,0)/2)))</f>
        <v/>
      </c>
      <c r="V109">
        <f>IF(OR(V$4="",$A109&gt;TODAY()),0,IF(OR(INDEX($B109:$D109,V$5)="F",AND(V$6&gt;0,$A109&lt;V$6),AND(V$7&gt;0,$A109&gt;V$7)),0,MAX(0,ROUND((INDEX($E109:$G109,V$5)-SUMIFS(TF_Timer,TF_Tekniker,V$4,TF_Dato,$A109))*2,0)/2)))</f>
        <v/>
      </c>
      <c r="W109">
        <f>IF(OR(W$4="",$A109&gt;TODAY()),0,IF(OR(INDEX($B109:$D109,W$5)="F",AND(W$6&gt;0,$A109&lt;W$6),AND(W$7&gt;0,$A109&gt;W$7)),0,MAX(0,ROUND((INDEX($E109:$G109,W$5)-SUMIFS(TF_Timer,TF_Tekniker,W$4,TF_Dato,$A109))*2,0)/2)))</f>
        <v/>
      </c>
      <c r="X109">
        <f>IF(OR(X$4="",$A109&gt;TODAY()),0,IF(OR(INDEX($B109:$D109,X$5)="F",AND(X$6&gt;0,$A109&lt;X$6),AND(X$7&gt;0,$A109&gt;X$7)),0,MAX(0,ROUND((INDEX($E109:$G109,X$5)-SUMIFS(TF_Timer,TF_Tekniker,X$4,TF_Dato,$A109))*2,0)/2)))</f>
        <v/>
      </c>
      <c r="Y109">
        <f>IF(OR(Y$4="",$A109&gt;TODAY()),0,IF(OR(INDEX($B109:$D109,Y$5)="F",AND(Y$6&gt;0,$A109&lt;Y$6),AND(Y$7&gt;0,$A109&gt;Y$7)),0,MAX(0,ROUND((INDEX($E109:$G109,Y$5)-SUMIFS(TF_Timer,TF_Tekniker,Y$4,TF_Dato,$A109))*2,0)/2)))</f>
        <v/>
      </c>
      <c r="Z109">
        <f>IF(OR(Z$4="",$A109&gt;TODAY()),0,IF(OR(INDEX($B109:$D109,Z$5)="F",AND(Z$6&gt;0,$A109&lt;Z$6),AND(Z$7&gt;0,$A109&gt;Z$7)),0,MAX(0,ROUND((INDEX($E109:$G109,Z$5)-SUMIFS(TF_Timer,TF_Tekniker,Z$4,TF_Dato,$A109))*2,0)/2)))</f>
        <v/>
      </c>
      <c r="AA109">
        <f>IF(OR(AA$4="",$A109&gt;TODAY()),0,IF(OR(INDEX($B109:$D109,AA$5)="F",AND(AA$6&gt;0,$A109&lt;AA$6),AND(AA$7&gt;0,$A109&gt;AA$7)),0,MAX(0,ROUND((INDEX($E109:$G109,AA$5)-SUMIFS(TF_Timer,TF_Tekniker,AA$4,TF_Dato,$A109))*2,0)/2)))</f>
        <v/>
      </c>
      <c r="AB109">
        <f>IF(OR(AB$4="",$A109&gt;TODAY()),0,IF(OR(INDEX($B109:$D109,AB$5)="F",AND(AB$6&gt;0,$A109&lt;AB$6),AND(AB$7&gt;0,$A109&gt;AB$7)),0,MAX(0,ROUND((INDEX($E109:$G109,AB$5)-SUMIFS(TF_Timer,TF_Tekniker,AB$4,TF_Dato,$A109))*2,0)/2)))</f>
        <v/>
      </c>
      <c r="AC109">
        <f>IF(OR(AC$4="",$A109&gt;TODAY()),0,IF(OR(INDEX($B109:$D109,AC$5)="F",AND(AC$6&gt;0,$A109&lt;AC$6),AND(AC$7&gt;0,$A109&gt;AC$7)),0,MAX(0,ROUND((INDEX($E109:$G109,AC$5)-SUMIFS(TF_Timer,TF_Tekniker,AC$4,TF_Dato,$A109))*2,0)/2)))</f>
        <v/>
      </c>
      <c r="AD109">
        <f>IF(OR(AD$4="",$A109&gt;TODAY()),0,IF(OR(INDEX($B109:$D109,AD$5)="F",AND(AD$6&gt;0,$A109&lt;AD$6),AND(AD$7&gt;0,$A109&gt;AD$7)),0,MAX(0,ROUND((INDEX($E109:$G109,AD$5)-SUMIFS(TF_Timer,TF_Tekniker,AD$4,TF_Dato,$A109))*2,0)/2)))</f>
        <v/>
      </c>
      <c r="AE109">
        <f>IF(OR(AE$4="",$A109&gt;TODAY()),0,IF(OR(INDEX($B109:$D109,AE$5)="F",AND(AE$6&gt;0,$A109&lt;AE$6),AND(AE$7&gt;0,$A109&gt;AE$7)),0,MAX(0,ROUND((INDEX($E109:$G109,AE$5)-SUMIFS(TF_Timer,TF_Tekniker,AE$4,TF_Dato,$A109))*2,0)/2)))</f>
        <v/>
      </c>
      <c r="AF109">
        <f>IF(OR(AF$4="",$A109&gt;TODAY()),0,IF(OR(INDEX($B109:$D109,AF$5)="F",AND(AF$6&gt;0,$A109&lt;AF$6),AND(AF$7&gt;0,$A109&gt;AF$7)),0,MAX(0,ROUND((INDEX($E109:$G109,AF$5)-SUMIFS(TF_Timer,TF_Tekniker,AF$4,TF_Dato,$A109))*2,0)/2)))</f>
        <v/>
      </c>
      <c r="AG109">
        <f>IF(OR(AG$4="",$A109&gt;TODAY()),0,IF(OR(INDEX($B109:$D109,AG$5)="F",AND(AG$6&gt;0,$A109&lt;AG$6),AND(AG$7&gt;0,$A109&gt;AG$7)),0,MAX(0,ROUND((INDEX($E109:$G109,AG$5)-SUMIFS(TF_Timer,TF_Tekniker,AG$4,TF_Dato,$A109))*2,0)/2)))</f>
        <v/>
      </c>
      <c r="AH109">
        <f>IF(OR(AH$4="",$A109&gt;TODAY()),0,IF(OR(INDEX($B109:$D109,AH$5)="F",AND(AH$6&gt;0,$A109&lt;AH$6),AND(AH$7&gt;0,$A109&gt;AH$7)),0,MAX(0,ROUND((INDEX($E109:$G109,AH$5)-SUMIFS(TF_Timer,TF_Tekniker,AH$4,TF_Dato,$A109))*2,0)/2)))</f>
        <v/>
      </c>
      <c r="AI109">
        <f>IF(OR(AI$4="",$A109&gt;TODAY()),0,IF(OR(INDEX($B109:$D109,AI$5)="F",AND(AI$6&gt;0,$A109&lt;AI$6),AND(AI$7&gt;0,$A109&gt;AI$7)),0,MAX(0,ROUND((INDEX($E109:$G109,AI$5)-SUMIFS(TF_Timer,TF_Tekniker,AI$4,TF_Dato,$A109))*2,0)/2)))</f>
        <v/>
      </c>
      <c r="AJ109">
        <f>IF(OR(AJ$4="",$A109&gt;TODAY()),0,IF(OR(INDEX($B109:$D109,AJ$5)="F",AND(AJ$6&gt;0,$A109&lt;AJ$6),AND(AJ$7&gt;0,$A109&gt;AJ$7)),0,MAX(0,ROUND((INDEX($E109:$G109,AJ$5)-SUMIFS(TF_Timer,TF_Tekniker,AJ$4,TF_Dato,$A109))*2,0)/2)))</f>
        <v/>
      </c>
      <c r="AK109">
        <f>IF(OR(AK$4="",$A109&gt;TODAY()),0,IF(OR(INDEX($B109:$D109,AK$5)="F",AND(AK$6&gt;0,$A109&lt;AK$6),AND(AK$7&gt;0,$A109&gt;AK$7)),0,MAX(0,ROUND((INDEX($E109:$G109,AK$5)-SUMIFS(TF_Timer,TF_Tekniker,AK$4,TF_Dato,$A109))*2,0)/2)))</f>
        <v/>
      </c>
      <c r="AL109">
        <f>IF(OR(AL$4="",$A109&gt;TODAY()),0,IF(OR(INDEX($B109:$D109,AL$5)="F",AND(AL$6&gt;0,$A109&lt;AL$6),AND(AL$7&gt;0,$A109&gt;AL$7)),0,MAX(0,ROUND((INDEX($E109:$G109,AL$5)-SUMIFS(TF_Timer,TF_Tekniker,AL$4,TF_Dato,$A109))*2,0)/2)))</f>
        <v/>
      </c>
      <c r="AM109">
        <f>IF(OR(AM$4="",$A109&gt;TODAY()),0,IF(OR(INDEX($B109:$D109,AM$5)="F",AND(AM$6&gt;0,$A109&lt;AM$6),AND(AM$7&gt;0,$A109&gt;AM$7)),0,MAX(0,ROUND((INDEX($E109:$G109,AM$5)-SUMIFS(TF_Timer,TF_Tekniker,AM$4,TF_Dato,$A109))*2,0)/2)))</f>
        <v/>
      </c>
      <c r="AN109">
        <f>IF(OR(AN$4="",$A109&gt;TODAY()),0,IF(OR(INDEX($B109:$D109,AN$5)="F",AND(AN$6&gt;0,$A109&lt;AN$6),AND(AN$7&gt;0,$A109&gt;AN$7)),0,MAX(0,ROUND((INDEX($E109:$G109,AN$5)-SUMIFS(TF_Timer,TF_Tekniker,AN$4,TF_Dato,$A109))*2,0)/2)))</f>
        <v/>
      </c>
      <c r="AO109">
        <f>IF(OR(AO$4="",$A109&gt;TODAY()),0,IF(OR(INDEX($B109:$D109,AO$5)="F",AND(AO$6&gt;0,$A109&lt;AO$6),AND(AO$7&gt;0,$A109&gt;AO$7)),0,MAX(0,ROUND((INDEX($E109:$G109,AO$5)-SUMIFS(TF_Timer,TF_Tekniker,AO$4,TF_Dato,$A109))*2,0)/2)))</f>
        <v/>
      </c>
      <c r="AP109">
        <f>IF(OR(AP$4="",$A109&gt;TODAY()),0,IF(OR(INDEX($B109:$D109,AP$5)="F",AND(AP$6&gt;0,$A109&lt;AP$6),AND(AP$7&gt;0,$A109&gt;AP$7)),0,MAX(0,ROUND((INDEX($E109:$G109,AP$5)-SUMIFS(TF_Timer,TF_Tekniker,AP$4,TF_Dato,$A109))*2,0)/2)))</f>
        <v/>
      </c>
      <c r="AQ109">
        <f>IF(OR(AQ$4="",$A109&gt;TODAY()),0,IF(OR(INDEX($B109:$D109,AQ$5)="F",AND(AQ$6&gt;0,$A109&lt;AQ$6),AND(AQ$7&gt;0,$A109&gt;AQ$7)),0,MAX(0,ROUND((INDEX($E109:$G109,AQ$5)-SUMIFS(TF_Timer,TF_Tekniker,AQ$4,TF_Dato,$A109))*2,0)/2)))</f>
        <v/>
      </c>
      <c r="AR109">
        <f>IF(OR(AR$4="",$A109&gt;TODAY()),0,IF(OR(INDEX($B109:$D109,AR$5)="F",AND(AR$6&gt;0,$A109&lt;AR$6),AND(AR$7&gt;0,$A109&gt;AR$7)),0,MAX(0,ROUND((INDEX($E109:$G109,AR$5)-SUMIFS(TF_Timer,TF_Tekniker,AR$4,TF_Dato,$A109))*2,0)/2)))</f>
        <v/>
      </c>
      <c r="AS109">
        <f>IF(OR(AS$4="",$A109&gt;TODAY()),0,IF(OR(INDEX($B109:$D109,AS$5)="F",AND(AS$6&gt;0,$A109&lt;AS$6),AND(AS$7&gt;0,$A109&gt;AS$7)),0,MAX(0,ROUND((INDEX($E109:$G109,AS$5)-SUMIFS(TF_Timer,TF_Tekniker,AS$4,TF_Dato,$A109))*2,0)/2)))</f>
        <v/>
      </c>
      <c r="AT109">
        <f>IF(OR(AT$4="",$A109&gt;TODAY()),0,IF(OR(INDEX($B109:$D109,AT$5)="F",AND(AT$6&gt;0,$A109&lt;AT$6),AND(AT$7&gt;0,$A109&gt;AT$7)),0,MAX(0,ROUND((INDEX($E109:$G109,AT$5)-SUMIFS(TF_Timer,TF_Tekniker,AT$4,TF_Dato,$A109))*2,0)/2)))</f>
        <v/>
      </c>
      <c r="AU109">
        <f>IF(OR(AU$4="",$A109&gt;TODAY()),0,IF(OR(INDEX($B109:$D109,AU$5)="F",AND(AU$6&gt;0,$A109&lt;AU$6),AND(AU$7&gt;0,$A109&gt;AU$7)),0,MAX(0,ROUND((INDEX($E109:$G109,AU$5)-SUMIFS(TF_Timer,TF_Tekniker,AU$4,TF_Dato,$A109))*2,0)/2)))</f>
        <v/>
      </c>
      <c r="AV109">
        <f>IF(OR(AV$4="",$A109&gt;TODAY()),0,IF(OR(INDEX($B109:$D109,AV$5)="F",AND(AV$6&gt;0,$A109&lt;AV$6),AND(AV$7&gt;0,$A109&gt;AV$7)),0,MAX(0,ROUND((INDEX($E109:$G109,AV$5)-SUMIFS(TF_Timer,TF_Tekniker,AV$4,TF_Dato,$A109))*2,0)/2)))</f>
        <v/>
      </c>
      <c r="AW109">
        <f>IF(OR(AW$4="",$A109&gt;TODAY()),0,IF(OR(INDEX($B109:$D109,AW$5)="F",AND(AW$6&gt;0,$A109&lt;AW$6),AND(AW$7&gt;0,$A109&gt;AW$7)),0,MAX(0,ROUND((INDEX($E109:$G109,AW$5)-SUMIFS(TF_Timer,TF_Tekniker,AW$4,TF_Dato,$A109))*2,0)/2)))</f>
        <v/>
      </c>
      <c r="AX109">
        <f>IF(OR(AX$4="",$A109&gt;TODAY()),0,IF(OR(INDEX($B109:$D109,AX$5)="F",AND(AX$6&gt;0,$A109&lt;AX$6),AND(AX$7&gt;0,$A109&gt;AX$7)),0,MAX(0,ROUND((INDEX($E109:$G109,AX$5)-SUMIFS(TF_Timer,TF_Tekniker,AX$4,TF_Dato,$A109))*2,0)/2)))</f>
        <v/>
      </c>
      <c r="AY109">
        <f>IF(OR(AY$4="",$A109&gt;TODAY()),0,IF(OR(INDEX($B109:$D109,AY$5)="F",AND(AY$6&gt;0,$A109&lt;AY$6),AND(AY$7&gt;0,$A109&gt;AY$7)),0,MAX(0,ROUND((INDEX($E109:$G109,AY$5)-SUMIFS(TF_Timer,TF_Tekniker,AY$4,TF_Dato,$A109))*2,0)/2)))</f>
        <v/>
      </c>
      <c r="AZ109">
        <f>IF(OR(AZ$4="",$A109&gt;TODAY()),0,IF(OR(INDEX($B109:$D109,AZ$5)="F",AND(AZ$6&gt;0,$A109&lt;AZ$6),AND(AZ$7&gt;0,$A109&gt;AZ$7)),0,MAX(0,ROUND((INDEX($E109:$G109,AZ$5)-SUMIFS(TF_Timer,TF_Tekniker,AZ$4,TF_Dato,$A109))*2,0)/2)))</f>
        <v/>
      </c>
      <c r="BA109">
        <f>IF(OR(BA$4="",$A109&gt;TODAY()),0,IF(OR(INDEX($B109:$D109,BA$5)="F",AND(BA$6&gt;0,$A109&lt;BA$6),AND(BA$7&gt;0,$A109&gt;BA$7)),0,MAX(0,ROUND((INDEX($E109:$G109,BA$5)-SUMIFS(TF_Timer,TF_Tekniker,BA$4,TF_Dato,$A109))*2,0)/2)))</f>
        <v/>
      </c>
      <c r="BB109">
        <f>IF(OR(BB$4="",$A109&gt;TODAY()),0,IF(OR(INDEX($B109:$D109,BB$5)="F",AND(BB$6&gt;0,$A109&lt;BB$6),AND(BB$7&gt;0,$A109&gt;BB$7)),0,MAX(0,ROUND((INDEX($E109:$G109,BB$5)-SUMIFS(TF_Timer,TF_Tekniker,BB$4,TF_Dato,$A109))*2,0)/2)))</f>
        <v/>
      </c>
      <c r="BC109">
        <f>IF(OR(BC$4="",$A109&gt;TODAY()),0,IF(OR(INDEX($B109:$D109,BC$5)="F",AND(BC$6&gt;0,$A109&lt;BC$6),AND(BC$7&gt;0,$A109&gt;BC$7)),0,MAX(0,ROUND((INDEX($E109:$G109,BC$5)-SUMIFS(TF_Timer,TF_Tekniker,BC$4,TF_Dato,$A109))*2,0)/2)))</f>
        <v/>
      </c>
      <c r="BD109">
        <f>IF(OR(BD$4="",$A109&gt;TODAY()),0,IF(OR(INDEX($B109:$D109,BD$5)="F",AND(BD$6&gt;0,$A109&lt;BD$6),AND(BD$7&gt;0,$A109&gt;BD$7)),0,MAX(0,ROUND((INDEX($E109:$G109,BD$5)-SUMIFS(TF_Timer,TF_Tekniker,BD$4,TF_Dato,$A109))*2,0)/2)))</f>
        <v/>
      </c>
      <c r="BE109">
        <f>IF(OR(BE$4="",$A109&gt;TODAY()),0,IF(OR(INDEX($B109:$D109,BE$5)="F",AND(BE$6&gt;0,$A109&lt;BE$6),AND(BE$7&gt;0,$A109&gt;BE$7)),0,MAX(0,ROUND((INDEX($E109:$G109,BE$5)-SUMIFS(TF_Timer,TF_Tekniker,BE$4,TF_Dato,$A109))*2,0)/2)))</f>
        <v/>
      </c>
      <c r="BF109">
        <f>IF(OR(BF$4="",$A109&gt;TODAY()),0,IF(OR(INDEX($B109:$D109,BF$5)="F",AND(BF$6&gt;0,$A109&lt;BF$6),AND(BF$7&gt;0,$A109&gt;BF$7)),0,MAX(0,ROUND((INDEX($E109:$G109,BF$5)-SUMIFS(TF_Timer,TF_Tekniker,BF$4,TF_Dato,$A109))*2,0)/2)))</f>
        <v/>
      </c>
      <c r="BG109">
        <f>IF(OR(BG$4="",$A109&gt;TODAY()),0,IF(OR(INDEX($B109:$D109,BG$5)="F",AND(BG$6&gt;0,$A109&lt;BG$6),AND(BG$7&gt;0,$A109&gt;BG$7)),0,MAX(0,ROUND((INDEX($E109:$G109,BG$5)-SUMIFS(TF_Timer,TF_Tekniker,BG$4,TF_Dato,$A109))*2,0)/2)))</f>
        <v/>
      </c>
      <c r="BH109">
        <f>IF(OR(BH$4="",$A109&gt;TODAY()),0,IF(OR(INDEX($B109:$D109,BH$5)="F",AND(BH$6&gt;0,$A109&lt;BH$6),AND(BH$7&gt;0,$A109&gt;BH$7)),0,MAX(0,ROUND((INDEX($E109:$G109,BH$5)-SUMIFS(TF_Timer,TF_Tekniker,BH$4,TF_Dato,$A109))*2,0)/2)))</f>
        <v/>
      </c>
      <c r="BI109">
        <f>IF(OR(BI$4="",$A109&gt;TODAY()),0,IF(OR(INDEX($B109:$D109,BI$5)="F",AND(BI$6&gt;0,$A109&lt;BI$6),AND(BI$7&gt;0,$A109&gt;BI$7)),0,MAX(0,ROUND((INDEX($E109:$G109,BI$5)-SUMIFS(TF_Timer,TF_Tekniker,BI$4,TF_Dato,$A109))*2,0)/2)))</f>
        <v/>
      </c>
    </row>
    <row r="110">
      <c r="A110" s="64">
        <f>A109+1</f>
        <v/>
      </c>
      <c r="B110">
        <f>IF(MOD($A110-INDEX(SkiftStart,1),Syklus)&lt;DagK,"K",IF(MOD($A110-INDEX(SkiftStart,1),Syklus)&lt;DagK+DagH,"H",IF(MOD($A110-INDEX(SkiftStart,1),Syklus)&lt;DagK+DagH+DagD,"D","F")))</f>
        <v/>
      </c>
      <c r="C110">
        <f>IF(MOD($A110-INDEX(SkiftStart,2),Syklus)&lt;DagK,"K",IF(MOD($A110-INDEX(SkiftStart,2),Syklus)&lt;DagK+DagH,"H",IF(MOD($A110-INDEX(SkiftStart,2),Syklus)&lt;DagK+DagH+DagD,"D","F")))</f>
        <v/>
      </c>
      <c r="D110">
        <f>IF(MOD($A110-INDEX(SkiftStart,3),Syklus)&lt;DagK,"K",IF(MOD($A110-INDEX(SkiftStart,3),Syklus)&lt;DagK+DagH,"H",IF(MOD($A110-INDEX(SkiftStart,3),Syklus)&lt;DagK+DagH+DagD,"D","F")))</f>
        <v/>
      </c>
      <c r="E110">
        <f>IF(B110="F",0,IF(WEEKDAY($A110,2)=5,INDEX(TimerFr,MATCH(B110,FaseKode,0)),INDEX(TimerMT,MATCH(B110,FaseKode,0))))</f>
        <v/>
      </c>
      <c r="F110">
        <f>IF(C110="F",0,IF(WEEKDAY($A110,2)=5,INDEX(TimerFr,MATCH(C110,FaseKode,0)),INDEX(TimerMT,MATCH(C110,FaseKode,0))))</f>
        <v/>
      </c>
      <c r="G110">
        <f>IF(D110="F",0,IF(WEEKDAY($A110,2)=5,INDEX(TimerFr,MATCH(D110,FaseKode,0)),INDEX(TimerMT,MATCH(D110,FaseKode,0))))</f>
        <v/>
      </c>
      <c r="H110">
        <f>IF(OR(H$4="",$A110&gt;TODAY()),0,IF(OR(INDEX($B110:$D110,H$5)="F",AND(H$6&gt;0,$A110&lt;H$6),AND(H$7&gt;0,$A110&gt;H$7)),0,MAX(0,ROUND((INDEX($E110:$G110,H$5)-SUMIFS(TF_Timer,TF_Tekniker,H$4,TF_Dato,$A110))*2,0)/2)))</f>
        <v/>
      </c>
      <c r="I110">
        <f>IF(OR(I$4="",$A110&gt;TODAY()),0,IF(OR(INDEX($B110:$D110,I$5)="F",AND(I$6&gt;0,$A110&lt;I$6),AND(I$7&gt;0,$A110&gt;I$7)),0,MAX(0,ROUND((INDEX($E110:$G110,I$5)-SUMIFS(TF_Timer,TF_Tekniker,I$4,TF_Dato,$A110))*2,0)/2)))</f>
        <v/>
      </c>
      <c r="J110">
        <f>IF(OR(J$4="",$A110&gt;TODAY()),0,IF(OR(INDEX($B110:$D110,J$5)="F",AND(J$6&gt;0,$A110&lt;J$6),AND(J$7&gt;0,$A110&gt;J$7)),0,MAX(0,ROUND((INDEX($E110:$G110,J$5)-SUMIFS(TF_Timer,TF_Tekniker,J$4,TF_Dato,$A110))*2,0)/2)))</f>
        <v/>
      </c>
      <c r="K110">
        <f>IF(OR(K$4="",$A110&gt;TODAY()),0,IF(OR(INDEX($B110:$D110,K$5)="F",AND(K$6&gt;0,$A110&lt;K$6),AND(K$7&gt;0,$A110&gt;K$7)),0,MAX(0,ROUND((INDEX($E110:$G110,K$5)-SUMIFS(TF_Timer,TF_Tekniker,K$4,TF_Dato,$A110))*2,0)/2)))</f>
        <v/>
      </c>
      <c r="L110">
        <f>IF(OR(L$4="",$A110&gt;TODAY()),0,IF(OR(INDEX($B110:$D110,L$5)="F",AND(L$6&gt;0,$A110&lt;L$6),AND(L$7&gt;0,$A110&gt;L$7)),0,MAX(0,ROUND((INDEX($E110:$G110,L$5)-SUMIFS(TF_Timer,TF_Tekniker,L$4,TF_Dato,$A110))*2,0)/2)))</f>
        <v/>
      </c>
      <c r="M110">
        <f>IF(OR(M$4="",$A110&gt;TODAY()),0,IF(OR(INDEX($B110:$D110,M$5)="F",AND(M$6&gt;0,$A110&lt;M$6),AND(M$7&gt;0,$A110&gt;M$7)),0,MAX(0,ROUND((INDEX($E110:$G110,M$5)-SUMIFS(TF_Timer,TF_Tekniker,M$4,TF_Dato,$A110))*2,0)/2)))</f>
        <v/>
      </c>
      <c r="N110">
        <f>IF(OR(N$4="",$A110&gt;TODAY()),0,IF(OR(INDEX($B110:$D110,N$5)="F",AND(N$6&gt;0,$A110&lt;N$6),AND(N$7&gt;0,$A110&gt;N$7)),0,MAX(0,ROUND((INDEX($E110:$G110,N$5)-SUMIFS(TF_Timer,TF_Tekniker,N$4,TF_Dato,$A110))*2,0)/2)))</f>
        <v/>
      </c>
      <c r="O110">
        <f>IF(OR(O$4="",$A110&gt;TODAY()),0,IF(OR(INDEX($B110:$D110,O$5)="F",AND(O$6&gt;0,$A110&lt;O$6),AND(O$7&gt;0,$A110&gt;O$7)),0,MAX(0,ROUND((INDEX($E110:$G110,O$5)-SUMIFS(TF_Timer,TF_Tekniker,O$4,TF_Dato,$A110))*2,0)/2)))</f>
        <v/>
      </c>
      <c r="P110">
        <f>IF(OR(P$4="",$A110&gt;TODAY()),0,IF(OR(INDEX($B110:$D110,P$5)="F",AND(P$6&gt;0,$A110&lt;P$6),AND(P$7&gt;0,$A110&gt;P$7)),0,MAX(0,ROUND((INDEX($E110:$G110,P$5)-SUMIFS(TF_Timer,TF_Tekniker,P$4,TF_Dato,$A110))*2,0)/2)))</f>
        <v/>
      </c>
      <c r="Q110">
        <f>IF(OR(Q$4="",$A110&gt;TODAY()),0,IF(OR(INDEX($B110:$D110,Q$5)="F",AND(Q$6&gt;0,$A110&lt;Q$6),AND(Q$7&gt;0,$A110&gt;Q$7)),0,MAX(0,ROUND((INDEX($E110:$G110,Q$5)-SUMIFS(TF_Timer,TF_Tekniker,Q$4,TF_Dato,$A110))*2,0)/2)))</f>
        <v/>
      </c>
      <c r="R110">
        <f>IF(OR(R$4="",$A110&gt;TODAY()),0,IF(OR(INDEX($B110:$D110,R$5)="F",AND(R$6&gt;0,$A110&lt;R$6),AND(R$7&gt;0,$A110&gt;R$7)),0,MAX(0,ROUND((INDEX($E110:$G110,R$5)-SUMIFS(TF_Timer,TF_Tekniker,R$4,TF_Dato,$A110))*2,0)/2)))</f>
        <v/>
      </c>
      <c r="S110">
        <f>IF(OR(S$4="",$A110&gt;TODAY()),0,IF(OR(INDEX($B110:$D110,S$5)="F",AND(S$6&gt;0,$A110&lt;S$6),AND(S$7&gt;0,$A110&gt;S$7)),0,MAX(0,ROUND((INDEX($E110:$G110,S$5)-SUMIFS(TF_Timer,TF_Tekniker,S$4,TF_Dato,$A110))*2,0)/2)))</f>
        <v/>
      </c>
      <c r="T110">
        <f>IF(OR(T$4="",$A110&gt;TODAY()),0,IF(OR(INDEX($B110:$D110,T$5)="F",AND(T$6&gt;0,$A110&lt;T$6),AND(T$7&gt;0,$A110&gt;T$7)),0,MAX(0,ROUND((INDEX($E110:$G110,T$5)-SUMIFS(TF_Timer,TF_Tekniker,T$4,TF_Dato,$A110))*2,0)/2)))</f>
        <v/>
      </c>
      <c r="U110">
        <f>IF(OR(U$4="",$A110&gt;TODAY()),0,IF(OR(INDEX($B110:$D110,U$5)="F",AND(U$6&gt;0,$A110&lt;U$6),AND(U$7&gt;0,$A110&gt;U$7)),0,MAX(0,ROUND((INDEX($E110:$G110,U$5)-SUMIFS(TF_Timer,TF_Tekniker,U$4,TF_Dato,$A110))*2,0)/2)))</f>
        <v/>
      </c>
      <c r="V110">
        <f>IF(OR(V$4="",$A110&gt;TODAY()),0,IF(OR(INDEX($B110:$D110,V$5)="F",AND(V$6&gt;0,$A110&lt;V$6),AND(V$7&gt;0,$A110&gt;V$7)),0,MAX(0,ROUND((INDEX($E110:$G110,V$5)-SUMIFS(TF_Timer,TF_Tekniker,V$4,TF_Dato,$A110))*2,0)/2)))</f>
        <v/>
      </c>
      <c r="W110">
        <f>IF(OR(W$4="",$A110&gt;TODAY()),0,IF(OR(INDEX($B110:$D110,W$5)="F",AND(W$6&gt;0,$A110&lt;W$6),AND(W$7&gt;0,$A110&gt;W$7)),0,MAX(0,ROUND((INDEX($E110:$G110,W$5)-SUMIFS(TF_Timer,TF_Tekniker,W$4,TF_Dato,$A110))*2,0)/2)))</f>
        <v/>
      </c>
      <c r="X110">
        <f>IF(OR(X$4="",$A110&gt;TODAY()),0,IF(OR(INDEX($B110:$D110,X$5)="F",AND(X$6&gt;0,$A110&lt;X$6),AND(X$7&gt;0,$A110&gt;X$7)),0,MAX(0,ROUND((INDEX($E110:$G110,X$5)-SUMIFS(TF_Timer,TF_Tekniker,X$4,TF_Dato,$A110))*2,0)/2)))</f>
        <v/>
      </c>
      <c r="Y110">
        <f>IF(OR(Y$4="",$A110&gt;TODAY()),0,IF(OR(INDEX($B110:$D110,Y$5)="F",AND(Y$6&gt;0,$A110&lt;Y$6),AND(Y$7&gt;0,$A110&gt;Y$7)),0,MAX(0,ROUND((INDEX($E110:$G110,Y$5)-SUMIFS(TF_Timer,TF_Tekniker,Y$4,TF_Dato,$A110))*2,0)/2)))</f>
        <v/>
      </c>
      <c r="Z110">
        <f>IF(OR(Z$4="",$A110&gt;TODAY()),0,IF(OR(INDEX($B110:$D110,Z$5)="F",AND(Z$6&gt;0,$A110&lt;Z$6),AND(Z$7&gt;0,$A110&gt;Z$7)),0,MAX(0,ROUND((INDEX($E110:$G110,Z$5)-SUMIFS(TF_Timer,TF_Tekniker,Z$4,TF_Dato,$A110))*2,0)/2)))</f>
        <v/>
      </c>
      <c r="AA110">
        <f>IF(OR(AA$4="",$A110&gt;TODAY()),0,IF(OR(INDEX($B110:$D110,AA$5)="F",AND(AA$6&gt;0,$A110&lt;AA$6),AND(AA$7&gt;0,$A110&gt;AA$7)),0,MAX(0,ROUND((INDEX($E110:$G110,AA$5)-SUMIFS(TF_Timer,TF_Tekniker,AA$4,TF_Dato,$A110))*2,0)/2)))</f>
        <v/>
      </c>
      <c r="AB110">
        <f>IF(OR(AB$4="",$A110&gt;TODAY()),0,IF(OR(INDEX($B110:$D110,AB$5)="F",AND(AB$6&gt;0,$A110&lt;AB$6),AND(AB$7&gt;0,$A110&gt;AB$7)),0,MAX(0,ROUND((INDEX($E110:$G110,AB$5)-SUMIFS(TF_Timer,TF_Tekniker,AB$4,TF_Dato,$A110))*2,0)/2)))</f>
        <v/>
      </c>
      <c r="AC110">
        <f>IF(OR(AC$4="",$A110&gt;TODAY()),0,IF(OR(INDEX($B110:$D110,AC$5)="F",AND(AC$6&gt;0,$A110&lt;AC$6),AND(AC$7&gt;0,$A110&gt;AC$7)),0,MAX(0,ROUND((INDEX($E110:$G110,AC$5)-SUMIFS(TF_Timer,TF_Tekniker,AC$4,TF_Dato,$A110))*2,0)/2)))</f>
        <v/>
      </c>
      <c r="AD110">
        <f>IF(OR(AD$4="",$A110&gt;TODAY()),0,IF(OR(INDEX($B110:$D110,AD$5)="F",AND(AD$6&gt;0,$A110&lt;AD$6),AND(AD$7&gt;0,$A110&gt;AD$7)),0,MAX(0,ROUND((INDEX($E110:$G110,AD$5)-SUMIFS(TF_Timer,TF_Tekniker,AD$4,TF_Dato,$A110))*2,0)/2)))</f>
        <v/>
      </c>
      <c r="AE110">
        <f>IF(OR(AE$4="",$A110&gt;TODAY()),0,IF(OR(INDEX($B110:$D110,AE$5)="F",AND(AE$6&gt;0,$A110&lt;AE$6),AND(AE$7&gt;0,$A110&gt;AE$7)),0,MAX(0,ROUND((INDEX($E110:$G110,AE$5)-SUMIFS(TF_Timer,TF_Tekniker,AE$4,TF_Dato,$A110))*2,0)/2)))</f>
        <v/>
      </c>
      <c r="AF110">
        <f>IF(OR(AF$4="",$A110&gt;TODAY()),0,IF(OR(INDEX($B110:$D110,AF$5)="F",AND(AF$6&gt;0,$A110&lt;AF$6),AND(AF$7&gt;0,$A110&gt;AF$7)),0,MAX(0,ROUND((INDEX($E110:$G110,AF$5)-SUMIFS(TF_Timer,TF_Tekniker,AF$4,TF_Dato,$A110))*2,0)/2)))</f>
        <v/>
      </c>
      <c r="AG110">
        <f>IF(OR(AG$4="",$A110&gt;TODAY()),0,IF(OR(INDEX($B110:$D110,AG$5)="F",AND(AG$6&gt;0,$A110&lt;AG$6),AND(AG$7&gt;0,$A110&gt;AG$7)),0,MAX(0,ROUND((INDEX($E110:$G110,AG$5)-SUMIFS(TF_Timer,TF_Tekniker,AG$4,TF_Dato,$A110))*2,0)/2)))</f>
        <v/>
      </c>
      <c r="AH110">
        <f>IF(OR(AH$4="",$A110&gt;TODAY()),0,IF(OR(INDEX($B110:$D110,AH$5)="F",AND(AH$6&gt;0,$A110&lt;AH$6),AND(AH$7&gt;0,$A110&gt;AH$7)),0,MAX(0,ROUND((INDEX($E110:$G110,AH$5)-SUMIFS(TF_Timer,TF_Tekniker,AH$4,TF_Dato,$A110))*2,0)/2)))</f>
        <v/>
      </c>
      <c r="AI110">
        <f>IF(OR(AI$4="",$A110&gt;TODAY()),0,IF(OR(INDEX($B110:$D110,AI$5)="F",AND(AI$6&gt;0,$A110&lt;AI$6),AND(AI$7&gt;0,$A110&gt;AI$7)),0,MAX(0,ROUND((INDEX($E110:$G110,AI$5)-SUMIFS(TF_Timer,TF_Tekniker,AI$4,TF_Dato,$A110))*2,0)/2)))</f>
        <v/>
      </c>
      <c r="AJ110">
        <f>IF(OR(AJ$4="",$A110&gt;TODAY()),0,IF(OR(INDEX($B110:$D110,AJ$5)="F",AND(AJ$6&gt;0,$A110&lt;AJ$6),AND(AJ$7&gt;0,$A110&gt;AJ$7)),0,MAX(0,ROUND((INDEX($E110:$G110,AJ$5)-SUMIFS(TF_Timer,TF_Tekniker,AJ$4,TF_Dato,$A110))*2,0)/2)))</f>
        <v/>
      </c>
      <c r="AK110">
        <f>IF(OR(AK$4="",$A110&gt;TODAY()),0,IF(OR(INDEX($B110:$D110,AK$5)="F",AND(AK$6&gt;0,$A110&lt;AK$6),AND(AK$7&gt;0,$A110&gt;AK$7)),0,MAX(0,ROUND((INDEX($E110:$G110,AK$5)-SUMIFS(TF_Timer,TF_Tekniker,AK$4,TF_Dato,$A110))*2,0)/2)))</f>
        <v/>
      </c>
      <c r="AL110">
        <f>IF(OR(AL$4="",$A110&gt;TODAY()),0,IF(OR(INDEX($B110:$D110,AL$5)="F",AND(AL$6&gt;0,$A110&lt;AL$6),AND(AL$7&gt;0,$A110&gt;AL$7)),0,MAX(0,ROUND((INDEX($E110:$G110,AL$5)-SUMIFS(TF_Timer,TF_Tekniker,AL$4,TF_Dato,$A110))*2,0)/2)))</f>
        <v/>
      </c>
      <c r="AM110">
        <f>IF(OR(AM$4="",$A110&gt;TODAY()),0,IF(OR(INDEX($B110:$D110,AM$5)="F",AND(AM$6&gt;0,$A110&lt;AM$6),AND(AM$7&gt;0,$A110&gt;AM$7)),0,MAX(0,ROUND((INDEX($E110:$G110,AM$5)-SUMIFS(TF_Timer,TF_Tekniker,AM$4,TF_Dato,$A110))*2,0)/2)))</f>
        <v/>
      </c>
      <c r="AN110">
        <f>IF(OR(AN$4="",$A110&gt;TODAY()),0,IF(OR(INDEX($B110:$D110,AN$5)="F",AND(AN$6&gt;0,$A110&lt;AN$6),AND(AN$7&gt;0,$A110&gt;AN$7)),0,MAX(0,ROUND((INDEX($E110:$G110,AN$5)-SUMIFS(TF_Timer,TF_Tekniker,AN$4,TF_Dato,$A110))*2,0)/2)))</f>
        <v/>
      </c>
      <c r="AO110">
        <f>IF(OR(AO$4="",$A110&gt;TODAY()),0,IF(OR(INDEX($B110:$D110,AO$5)="F",AND(AO$6&gt;0,$A110&lt;AO$6),AND(AO$7&gt;0,$A110&gt;AO$7)),0,MAX(0,ROUND((INDEX($E110:$G110,AO$5)-SUMIFS(TF_Timer,TF_Tekniker,AO$4,TF_Dato,$A110))*2,0)/2)))</f>
        <v/>
      </c>
      <c r="AP110">
        <f>IF(OR(AP$4="",$A110&gt;TODAY()),0,IF(OR(INDEX($B110:$D110,AP$5)="F",AND(AP$6&gt;0,$A110&lt;AP$6),AND(AP$7&gt;0,$A110&gt;AP$7)),0,MAX(0,ROUND((INDEX($E110:$G110,AP$5)-SUMIFS(TF_Timer,TF_Tekniker,AP$4,TF_Dato,$A110))*2,0)/2)))</f>
        <v/>
      </c>
      <c r="AQ110">
        <f>IF(OR(AQ$4="",$A110&gt;TODAY()),0,IF(OR(INDEX($B110:$D110,AQ$5)="F",AND(AQ$6&gt;0,$A110&lt;AQ$6),AND(AQ$7&gt;0,$A110&gt;AQ$7)),0,MAX(0,ROUND((INDEX($E110:$G110,AQ$5)-SUMIFS(TF_Timer,TF_Tekniker,AQ$4,TF_Dato,$A110))*2,0)/2)))</f>
        <v/>
      </c>
      <c r="AR110">
        <f>IF(OR(AR$4="",$A110&gt;TODAY()),0,IF(OR(INDEX($B110:$D110,AR$5)="F",AND(AR$6&gt;0,$A110&lt;AR$6),AND(AR$7&gt;0,$A110&gt;AR$7)),0,MAX(0,ROUND((INDEX($E110:$G110,AR$5)-SUMIFS(TF_Timer,TF_Tekniker,AR$4,TF_Dato,$A110))*2,0)/2)))</f>
        <v/>
      </c>
      <c r="AS110">
        <f>IF(OR(AS$4="",$A110&gt;TODAY()),0,IF(OR(INDEX($B110:$D110,AS$5)="F",AND(AS$6&gt;0,$A110&lt;AS$6),AND(AS$7&gt;0,$A110&gt;AS$7)),0,MAX(0,ROUND((INDEX($E110:$G110,AS$5)-SUMIFS(TF_Timer,TF_Tekniker,AS$4,TF_Dato,$A110))*2,0)/2)))</f>
        <v/>
      </c>
      <c r="AT110">
        <f>IF(OR(AT$4="",$A110&gt;TODAY()),0,IF(OR(INDEX($B110:$D110,AT$5)="F",AND(AT$6&gt;0,$A110&lt;AT$6),AND(AT$7&gt;0,$A110&gt;AT$7)),0,MAX(0,ROUND((INDEX($E110:$G110,AT$5)-SUMIFS(TF_Timer,TF_Tekniker,AT$4,TF_Dato,$A110))*2,0)/2)))</f>
        <v/>
      </c>
      <c r="AU110">
        <f>IF(OR(AU$4="",$A110&gt;TODAY()),0,IF(OR(INDEX($B110:$D110,AU$5)="F",AND(AU$6&gt;0,$A110&lt;AU$6),AND(AU$7&gt;0,$A110&gt;AU$7)),0,MAX(0,ROUND((INDEX($E110:$G110,AU$5)-SUMIFS(TF_Timer,TF_Tekniker,AU$4,TF_Dato,$A110))*2,0)/2)))</f>
        <v/>
      </c>
      <c r="AV110">
        <f>IF(OR(AV$4="",$A110&gt;TODAY()),0,IF(OR(INDEX($B110:$D110,AV$5)="F",AND(AV$6&gt;0,$A110&lt;AV$6),AND(AV$7&gt;0,$A110&gt;AV$7)),0,MAX(0,ROUND((INDEX($E110:$G110,AV$5)-SUMIFS(TF_Timer,TF_Tekniker,AV$4,TF_Dato,$A110))*2,0)/2)))</f>
        <v/>
      </c>
      <c r="AW110">
        <f>IF(OR(AW$4="",$A110&gt;TODAY()),0,IF(OR(INDEX($B110:$D110,AW$5)="F",AND(AW$6&gt;0,$A110&lt;AW$6),AND(AW$7&gt;0,$A110&gt;AW$7)),0,MAX(0,ROUND((INDEX($E110:$G110,AW$5)-SUMIFS(TF_Timer,TF_Tekniker,AW$4,TF_Dato,$A110))*2,0)/2)))</f>
        <v/>
      </c>
      <c r="AX110">
        <f>IF(OR(AX$4="",$A110&gt;TODAY()),0,IF(OR(INDEX($B110:$D110,AX$5)="F",AND(AX$6&gt;0,$A110&lt;AX$6),AND(AX$7&gt;0,$A110&gt;AX$7)),0,MAX(0,ROUND((INDEX($E110:$G110,AX$5)-SUMIFS(TF_Timer,TF_Tekniker,AX$4,TF_Dato,$A110))*2,0)/2)))</f>
        <v/>
      </c>
      <c r="AY110">
        <f>IF(OR(AY$4="",$A110&gt;TODAY()),0,IF(OR(INDEX($B110:$D110,AY$5)="F",AND(AY$6&gt;0,$A110&lt;AY$6),AND(AY$7&gt;0,$A110&gt;AY$7)),0,MAX(0,ROUND((INDEX($E110:$G110,AY$5)-SUMIFS(TF_Timer,TF_Tekniker,AY$4,TF_Dato,$A110))*2,0)/2)))</f>
        <v/>
      </c>
      <c r="AZ110">
        <f>IF(OR(AZ$4="",$A110&gt;TODAY()),0,IF(OR(INDEX($B110:$D110,AZ$5)="F",AND(AZ$6&gt;0,$A110&lt;AZ$6),AND(AZ$7&gt;0,$A110&gt;AZ$7)),0,MAX(0,ROUND((INDEX($E110:$G110,AZ$5)-SUMIFS(TF_Timer,TF_Tekniker,AZ$4,TF_Dato,$A110))*2,0)/2)))</f>
        <v/>
      </c>
      <c r="BA110">
        <f>IF(OR(BA$4="",$A110&gt;TODAY()),0,IF(OR(INDEX($B110:$D110,BA$5)="F",AND(BA$6&gt;0,$A110&lt;BA$6),AND(BA$7&gt;0,$A110&gt;BA$7)),0,MAX(0,ROUND((INDEX($E110:$G110,BA$5)-SUMIFS(TF_Timer,TF_Tekniker,BA$4,TF_Dato,$A110))*2,0)/2)))</f>
        <v/>
      </c>
      <c r="BB110">
        <f>IF(OR(BB$4="",$A110&gt;TODAY()),0,IF(OR(INDEX($B110:$D110,BB$5)="F",AND(BB$6&gt;0,$A110&lt;BB$6),AND(BB$7&gt;0,$A110&gt;BB$7)),0,MAX(0,ROUND((INDEX($E110:$G110,BB$5)-SUMIFS(TF_Timer,TF_Tekniker,BB$4,TF_Dato,$A110))*2,0)/2)))</f>
        <v/>
      </c>
      <c r="BC110">
        <f>IF(OR(BC$4="",$A110&gt;TODAY()),0,IF(OR(INDEX($B110:$D110,BC$5)="F",AND(BC$6&gt;0,$A110&lt;BC$6),AND(BC$7&gt;0,$A110&gt;BC$7)),0,MAX(0,ROUND((INDEX($E110:$G110,BC$5)-SUMIFS(TF_Timer,TF_Tekniker,BC$4,TF_Dato,$A110))*2,0)/2)))</f>
        <v/>
      </c>
      <c r="BD110">
        <f>IF(OR(BD$4="",$A110&gt;TODAY()),0,IF(OR(INDEX($B110:$D110,BD$5)="F",AND(BD$6&gt;0,$A110&lt;BD$6),AND(BD$7&gt;0,$A110&gt;BD$7)),0,MAX(0,ROUND((INDEX($E110:$G110,BD$5)-SUMIFS(TF_Timer,TF_Tekniker,BD$4,TF_Dato,$A110))*2,0)/2)))</f>
        <v/>
      </c>
      <c r="BE110">
        <f>IF(OR(BE$4="",$A110&gt;TODAY()),0,IF(OR(INDEX($B110:$D110,BE$5)="F",AND(BE$6&gt;0,$A110&lt;BE$6),AND(BE$7&gt;0,$A110&gt;BE$7)),0,MAX(0,ROUND((INDEX($E110:$G110,BE$5)-SUMIFS(TF_Timer,TF_Tekniker,BE$4,TF_Dato,$A110))*2,0)/2)))</f>
        <v/>
      </c>
      <c r="BF110">
        <f>IF(OR(BF$4="",$A110&gt;TODAY()),0,IF(OR(INDEX($B110:$D110,BF$5)="F",AND(BF$6&gt;0,$A110&lt;BF$6),AND(BF$7&gt;0,$A110&gt;BF$7)),0,MAX(0,ROUND((INDEX($E110:$G110,BF$5)-SUMIFS(TF_Timer,TF_Tekniker,BF$4,TF_Dato,$A110))*2,0)/2)))</f>
        <v/>
      </c>
      <c r="BG110">
        <f>IF(OR(BG$4="",$A110&gt;TODAY()),0,IF(OR(INDEX($B110:$D110,BG$5)="F",AND(BG$6&gt;0,$A110&lt;BG$6),AND(BG$7&gt;0,$A110&gt;BG$7)),0,MAX(0,ROUND((INDEX($E110:$G110,BG$5)-SUMIFS(TF_Timer,TF_Tekniker,BG$4,TF_Dato,$A110))*2,0)/2)))</f>
        <v/>
      </c>
      <c r="BH110">
        <f>IF(OR(BH$4="",$A110&gt;TODAY()),0,IF(OR(INDEX($B110:$D110,BH$5)="F",AND(BH$6&gt;0,$A110&lt;BH$6),AND(BH$7&gt;0,$A110&gt;BH$7)),0,MAX(0,ROUND((INDEX($E110:$G110,BH$5)-SUMIFS(TF_Timer,TF_Tekniker,BH$4,TF_Dato,$A110))*2,0)/2)))</f>
        <v/>
      </c>
      <c r="BI110">
        <f>IF(OR(BI$4="",$A110&gt;TODAY()),0,IF(OR(INDEX($B110:$D110,BI$5)="F",AND(BI$6&gt;0,$A110&lt;BI$6),AND(BI$7&gt;0,$A110&gt;BI$7)),0,MAX(0,ROUND((INDEX($E110:$G110,BI$5)-SUMIFS(TF_Timer,TF_Tekniker,BI$4,TF_Dato,$A110))*2,0)/2)))</f>
        <v/>
      </c>
    </row>
    <row r="111">
      <c r="A111" s="64">
        <f>A110+1</f>
        <v/>
      </c>
      <c r="B111">
        <f>IF(MOD($A111-INDEX(SkiftStart,1),Syklus)&lt;DagK,"K",IF(MOD($A111-INDEX(SkiftStart,1),Syklus)&lt;DagK+DagH,"H",IF(MOD($A111-INDEX(SkiftStart,1),Syklus)&lt;DagK+DagH+DagD,"D","F")))</f>
        <v/>
      </c>
      <c r="C111">
        <f>IF(MOD($A111-INDEX(SkiftStart,2),Syklus)&lt;DagK,"K",IF(MOD($A111-INDEX(SkiftStart,2),Syklus)&lt;DagK+DagH,"H",IF(MOD($A111-INDEX(SkiftStart,2),Syklus)&lt;DagK+DagH+DagD,"D","F")))</f>
        <v/>
      </c>
      <c r="D111">
        <f>IF(MOD($A111-INDEX(SkiftStart,3),Syklus)&lt;DagK,"K",IF(MOD($A111-INDEX(SkiftStart,3),Syklus)&lt;DagK+DagH,"H",IF(MOD($A111-INDEX(SkiftStart,3),Syklus)&lt;DagK+DagH+DagD,"D","F")))</f>
        <v/>
      </c>
      <c r="E111">
        <f>IF(B111="F",0,IF(WEEKDAY($A111,2)=5,INDEX(TimerFr,MATCH(B111,FaseKode,0)),INDEX(TimerMT,MATCH(B111,FaseKode,0))))</f>
        <v/>
      </c>
      <c r="F111">
        <f>IF(C111="F",0,IF(WEEKDAY($A111,2)=5,INDEX(TimerFr,MATCH(C111,FaseKode,0)),INDEX(TimerMT,MATCH(C111,FaseKode,0))))</f>
        <v/>
      </c>
      <c r="G111">
        <f>IF(D111="F",0,IF(WEEKDAY($A111,2)=5,INDEX(TimerFr,MATCH(D111,FaseKode,0)),INDEX(TimerMT,MATCH(D111,FaseKode,0))))</f>
        <v/>
      </c>
      <c r="H111">
        <f>IF(OR(H$4="",$A111&gt;TODAY()),0,IF(OR(INDEX($B111:$D111,H$5)="F",AND(H$6&gt;0,$A111&lt;H$6),AND(H$7&gt;0,$A111&gt;H$7)),0,MAX(0,ROUND((INDEX($E111:$G111,H$5)-SUMIFS(TF_Timer,TF_Tekniker,H$4,TF_Dato,$A111))*2,0)/2)))</f>
        <v/>
      </c>
      <c r="I111">
        <f>IF(OR(I$4="",$A111&gt;TODAY()),0,IF(OR(INDEX($B111:$D111,I$5)="F",AND(I$6&gt;0,$A111&lt;I$6),AND(I$7&gt;0,$A111&gt;I$7)),0,MAX(0,ROUND((INDEX($E111:$G111,I$5)-SUMIFS(TF_Timer,TF_Tekniker,I$4,TF_Dato,$A111))*2,0)/2)))</f>
        <v/>
      </c>
      <c r="J111">
        <f>IF(OR(J$4="",$A111&gt;TODAY()),0,IF(OR(INDEX($B111:$D111,J$5)="F",AND(J$6&gt;0,$A111&lt;J$6),AND(J$7&gt;0,$A111&gt;J$7)),0,MAX(0,ROUND((INDEX($E111:$G111,J$5)-SUMIFS(TF_Timer,TF_Tekniker,J$4,TF_Dato,$A111))*2,0)/2)))</f>
        <v/>
      </c>
      <c r="K111">
        <f>IF(OR(K$4="",$A111&gt;TODAY()),0,IF(OR(INDEX($B111:$D111,K$5)="F",AND(K$6&gt;0,$A111&lt;K$6),AND(K$7&gt;0,$A111&gt;K$7)),0,MAX(0,ROUND((INDEX($E111:$G111,K$5)-SUMIFS(TF_Timer,TF_Tekniker,K$4,TF_Dato,$A111))*2,0)/2)))</f>
        <v/>
      </c>
      <c r="L111">
        <f>IF(OR(L$4="",$A111&gt;TODAY()),0,IF(OR(INDEX($B111:$D111,L$5)="F",AND(L$6&gt;0,$A111&lt;L$6),AND(L$7&gt;0,$A111&gt;L$7)),0,MAX(0,ROUND((INDEX($E111:$G111,L$5)-SUMIFS(TF_Timer,TF_Tekniker,L$4,TF_Dato,$A111))*2,0)/2)))</f>
        <v/>
      </c>
      <c r="M111">
        <f>IF(OR(M$4="",$A111&gt;TODAY()),0,IF(OR(INDEX($B111:$D111,M$5)="F",AND(M$6&gt;0,$A111&lt;M$6),AND(M$7&gt;0,$A111&gt;M$7)),0,MAX(0,ROUND((INDEX($E111:$G111,M$5)-SUMIFS(TF_Timer,TF_Tekniker,M$4,TF_Dato,$A111))*2,0)/2)))</f>
        <v/>
      </c>
      <c r="N111">
        <f>IF(OR(N$4="",$A111&gt;TODAY()),0,IF(OR(INDEX($B111:$D111,N$5)="F",AND(N$6&gt;0,$A111&lt;N$6),AND(N$7&gt;0,$A111&gt;N$7)),0,MAX(0,ROUND((INDEX($E111:$G111,N$5)-SUMIFS(TF_Timer,TF_Tekniker,N$4,TF_Dato,$A111))*2,0)/2)))</f>
        <v/>
      </c>
      <c r="O111">
        <f>IF(OR(O$4="",$A111&gt;TODAY()),0,IF(OR(INDEX($B111:$D111,O$5)="F",AND(O$6&gt;0,$A111&lt;O$6),AND(O$7&gt;0,$A111&gt;O$7)),0,MAX(0,ROUND((INDEX($E111:$G111,O$5)-SUMIFS(TF_Timer,TF_Tekniker,O$4,TF_Dato,$A111))*2,0)/2)))</f>
        <v/>
      </c>
      <c r="P111">
        <f>IF(OR(P$4="",$A111&gt;TODAY()),0,IF(OR(INDEX($B111:$D111,P$5)="F",AND(P$6&gt;0,$A111&lt;P$6),AND(P$7&gt;0,$A111&gt;P$7)),0,MAX(0,ROUND((INDEX($E111:$G111,P$5)-SUMIFS(TF_Timer,TF_Tekniker,P$4,TF_Dato,$A111))*2,0)/2)))</f>
        <v/>
      </c>
      <c r="Q111">
        <f>IF(OR(Q$4="",$A111&gt;TODAY()),0,IF(OR(INDEX($B111:$D111,Q$5)="F",AND(Q$6&gt;0,$A111&lt;Q$6),AND(Q$7&gt;0,$A111&gt;Q$7)),0,MAX(0,ROUND((INDEX($E111:$G111,Q$5)-SUMIFS(TF_Timer,TF_Tekniker,Q$4,TF_Dato,$A111))*2,0)/2)))</f>
        <v/>
      </c>
      <c r="R111">
        <f>IF(OR(R$4="",$A111&gt;TODAY()),0,IF(OR(INDEX($B111:$D111,R$5)="F",AND(R$6&gt;0,$A111&lt;R$6),AND(R$7&gt;0,$A111&gt;R$7)),0,MAX(0,ROUND((INDEX($E111:$G111,R$5)-SUMIFS(TF_Timer,TF_Tekniker,R$4,TF_Dato,$A111))*2,0)/2)))</f>
        <v/>
      </c>
      <c r="S111">
        <f>IF(OR(S$4="",$A111&gt;TODAY()),0,IF(OR(INDEX($B111:$D111,S$5)="F",AND(S$6&gt;0,$A111&lt;S$6),AND(S$7&gt;0,$A111&gt;S$7)),0,MAX(0,ROUND((INDEX($E111:$G111,S$5)-SUMIFS(TF_Timer,TF_Tekniker,S$4,TF_Dato,$A111))*2,0)/2)))</f>
        <v/>
      </c>
      <c r="T111">
        <f>IF(OR(T$4="",$A111&gt;TODAY()),0,IF(OR(INDEX($B111:$D111,T$5)="F",AND(T$6&gt;0,$A111&lt;T$6),AND(T$7&gt;0,$A111&gt;T$7)),0,MAX(0,ROUND((INDEX($E111:$G111,T$5)-SUMIFS(TF_Timer,TF_Tekniker,T$4,TF_Dato,$A111))*2,0)/2)))</f>
        <v/>
      </c>
      <c r="U111">
        <f>IF(OR(U$4="",$A111&gt;TODAY()),0,IF(OR(INDEX($B111:$D111,U$5)="F",AND(U$6&gt;0,$A111&lt;U$6),AND(U$7&gt;0,$A111&gt;U$7)),0,MAX(0,ROUND((INDEX($E111:$G111,U$5)-SUMIFS(TF_Timer,TF_Tekniker,U$4,TF_Dato,$A111))*2,0)/2)))</f>
        <v/>
      </c>
      <c r="V111">
        <f>IF(OR(V$4="",$A111&gt;TODAY()),0,IF(OR(INDEX($B111:$D111,V$5)="F",AND(V$6&gt;0,$A111&lt;V$6),AND(V$7&gt;0,$A111&gt;V$7)),0,MAX(0,ROUND((INDEX($E111:$G111,V$5)-SUMIFS(TF_Timer,TF_Tekniker,V$4,TF_Dato,$A111))*2,0)/2)))</f>
        <v/>
      </c>
      <c r="W111">
        <f>IF(OR(W$4="",$A111&gt;TODAY()),0,IF(OR(INDEX($B111:$D111,W$5)="F",AND(W$6&gt;0,$A111&lt;W$6),AND(W$7&gt;0,$A111&gt;W$7)),0,MAX(0,ROUND((INDEX($E111:$G111,W$5)-SUMIFS(TF_Timer,TF_Tekniker,W$4,TF_Dato,$A111))*2,0)/2)))</f>
        <v/>
      </c>
      <c r="X111">
        <f>IF(OR(X$4="",$A111&gt;TODAY()),0,IF(OR(INDEX($B111:$D111,X$5)="F",AND(X$6&gt;0,$A111&lt;X$6),AND(X$7&gt;0,$A111&gt;X$7)),0,MAX(0,ROUND((INDEX($E111:$G111,X$5)-SUMIFS(TF_Timer,TF_Tekniker,X$4,TF_Dato,$A111))*2,0)/2)))</f>
        <v/>
      </c>
      <c r="Y111">
        <f>IF(OR(Y$4="",$A111&gt;TODAY()),0,IF(OR(INDEX($B111:$D111,Y$5)="F",AND(Y$6&gt;0,$A111&lt;Y$6),AND(Y$7&gt;0,$A111&gt;Y$7)),0,MAX(0,ROUND((INDEX($E111:$G111,Y$5)-SUMIFS(TF_Timer,TF_Tekniker,Y$4,TF_Dato,$A111))*2,0)/2)))</f>
        <v/>
      </c>
      <c r="Z111">
        <f>IF(OR(Z$4="",$A111&gt;TODAY()),0,IF(OR(INDEX($B111:$D111,Z$5)="F",AND(Z$6&gt;0,$A111&lt;Z$6),AND(Z$7&gt;0,$A111&gt;Z$7)),0,MAX(0,ROUND((INDEX($E111:$G111,Z$5)-SUMIFS(TF_Timer,TF_Tekniker,Z$4,TF_Dato,$A111))*2,0)/2)))</f>
        <v/>
      </c>
      <c r="AA111">
        <f>IF(OR(AA$4="",$A111&gt;TODAY()),0,IF(OR(INDEX($B111:$D111,AA$5)="F",AND(AA$6&gt;0,$A111&lt;AA$6),AND(AA$7&gt;0,$A111&gt;AA$7)),0,MAX(0,ROUND((INDEX($E111:$G111,AA$5)-SUMIFS(TF_Timer,TF_Tekniker,AA$4,TF_Dato,$A111))*2,0)/2)))</f>
        <v/>
      </c>
      <c r="AB111">
        <f>IF(OR(AB$4="",$A111&gt;TODAY()),0,IF(OR(INDEX($B111:$D111,AB$5)="F",AND(AB$6&gt;0,$A111&lt;AB$6),AND(AB$7&gt;0,$A111&gt;AB$7)),0,MAX(0,ROUND((INDEX($E111:$G111,AB$5)-SUMIFS(TF_Timer,TF_Tekniker,AB$4,TF_Dato,$A111))*2,0)/2)))</f>
        <v/>
      </c>
      <c r="AC111">
        <f>IF(OR(AC$4="",$A111&gt;TODAY()),0,IF(OR(INDEX($B111:$D111,AC$5)="F",AND(AC$6&gt;0,$A111&lt;AC$6),AND(AC$7&gt;0,$A111&gt;AC$7)),0,MAX(0,ROUND((INDEX($E111:$G111,AC$5)-SUMIFS(TF_Timer,TF_Tekniker,AC$4,TF_Dato,$A111))*2,0)/2)))</f>
        <v/>
      </c>
      <c r="AD111">
        <f>IF(OR(AD$4="",$A111&gt;TODAY()),0,IF(OR(INDEX($B111:$D111,AD$5)="F",AND(AD$6&gt;0,$A111&lt;AD$6),AND(AD$7&gt;0,$A111&gt;AD$7)),0,MAX(0,ROUND((INDEX($E111:$G111,AD$5)-SUMIFS(TF_Timer,TF_Tekniker,AD$4,TF_Dato,$A111))*2,0)/2)))</f>
        <v/>
      </c>
      <c r="AE111">
        <f>IF(OR(AE$4="",$A111&gt;TODAY()),0,IF(OR(INDEX($B111:$D111,AE$5)="F",AND(AE$6&gt;0,$A111&lt;AE$6),AND(AE$7&gt;0,$A111&gt;AE$7)),0,MAX(0,ROUND((INDEX($E111:$G111,AE$5)-SUMIFS(TF_Timer,TF_Tekniker,AE$4,TF_Dato,$A111))*2,0)/2)))</f>
        <v/>
      </c>
      <c r="AF111">
        <f>IF(OR(AF$4="",$A111&gt;TODAY()),0,IF(OR(INDEX($B111:$D111,AF$5)="F",AND(AF$6&gt;0,$A111&lt;AF$6),AND(AF$7&gt;0,$A111&gt;AF$7)),0,MAX(0,ROUND((INDEX($E111:$G111,AF$5)-SUMIFS(TF_Timer,TF_Tekniker,AF$4,TF_Dato,$A111))*2,0)/2)))</f>
        <v/>
      </c>
      <c r="AG111">
        <f>IF(OR(AG$4="",$A111&gt;TODAY()),0,IF(OR(INDEX($B111:$D111,AG$5)="F",AND(AG$6&gt;0,$A111&lt;AG$6),AND(AG$7&gt;0,$A111&gt;AG$7)),0,MAX(0,ROUND((INDEX($E111:$G111,AG$5)-SUMIFS(TF_Timer,TF_Tekniker,AG$4,TF_Dato,$A111))*2,0)/2)))</f>
        <v/>
      </c>
      <c r="AH111">
        <f>IF(OR(AH$4="",$A111&gt;TODAY()),0,IF(OR(INDEX($B111:$D111,AH$5)="F",AND(AH$6&gt;0,$A111&lt;AH$6),AND(AH$7&gt;0,$A111&gt;AH$7)),0,MAX(0,ROUND((INDEX($E111:$G111,AH$5)-SUMIFS(TF_Timer,TF_Tekniker,AH$4,TF_Dato,$A111))*2,0)/2)))</f>
        <v/>
      </c>
      <c r="AI111">
        <f>IF(OR(AI$4="",$A111&gt;TODAY()),0,IF(OR(INDEX($B111:$D111,AI$5)="F",AND(AI$6&gt;0,$A111&lt;AI$6),AND(AI$7&gt;0,$A111&gt;AI$7)),0,MAX(0,ROUND((INDEX($E111:$G111,AI$5)-SUMIFS(TF_Timer,TF_Tekniker,AI$4,TF_Dato,$A111))*2,0)/2)))</f>
        <v/>
      </c>
      <c r="AJ111">
        <f>IF(OR(AJ$4="",$A111&gt;TODAY()),0,IF(OR(INDEX($B111:$D111,AJ$5)="F",AND(AJ$6&gt;0,$A111&lt;AJ$6),AND(AJ$7&gt;0,$A111&gt;AJ$7)),0,MAX(0,ROUND((INDEX($E111:$G111,AJ$5)-SUMIFS(TF_Timer,TF_Tekniker,AJ$4,TF_Dato,$A111))*2,0)/2)))</f>
        <v/>
      </c>
      <c r="AK111">
        <f>IF(OR(AK$4="",$A111&gt;TODAY()),0,IF(OR(INDEX($B111:$D111,AK$5)="F",AND(AK$6&gt;0,$A111&lt;AK$6),AND(AK$7&gt;0,$A111&gt;AK$7)),0,MAX(0,ROUND((INDEX($E111:$G111,AK$5)-SUMIFS(TF_Timer,TF_Tekniker,AK$4,TF_Dato,$A111))*2,0)/2)))</f>
        <v/>
      </c>
      <c r="AL111">
        <f>IF(OR(AL$4="",$A111&gt;TODAY()),0,IF(OR(INDEX($B111:$D111,AL$5)="F",AND(AL$6&gt;0,$A111&lt;AL$6),AND(AL$7&gt;0,$A111&gt;AL$7)),0,MAX(0,ROUND((INDEX($E111:$G111,AL$5)-SUMIFS(TF_Timer,TF_Tekniker,AL$4,TF_Dato,$A111))*2,0)/2)))</f>
        <v/>
      </c>
      <c r="AM111">
        <f>IF(OR(AM$4="",$A111&gt;TODAY()),0,IF(OR(INDEX($B111:$D111,AM$5)="F",AND(AM$6&gt;0,$A111&lt;AM$6),AND(AM$7&gt;0,$A111&gt;AM$7)),0,MAX(0,ROUND((INDEX($E111:$G111,AM$5)-SUMIFS(TF_Timer,TF_Tekniker,AM$4,TF_Dato,$A111))*2,0)/2)))</f>
        <v/>
      </c>
      <c r="AN111">
        <f>IF(OR(AN$4="",$A111&gt;TODAY()),0,IF(OR(INDEX($B111:$D111,AN$5)="F",AND(AN$6&gt;0,$A111&lt;AN$6),AND(AN$7&gt;0,$A111&gt;AN$7)),0,MAX(0,ROUND((INDEX($E111:$G111,AN$5)-SUMIFS(TF_Timer,TF_Tekniker,AN$4,TF_Dato,$A111))*2,0)/2)))</f>
        <v/>
      </c>
      <c r="AO111">
        <f>IF(OR(AO$4="",$A111&gt;TODAY()),0,IF(OR(INDEX($B111:$D111,AO$5)="F",AND(AO$6&gt;0,$A111&lt;AO$6),AND(AO$7&gt;0,$A111&gt;AO$7)),0,MAX(0,ROUND((INDEX($E111:$G111,AO$5)-SUMIFS(TF_Timer,TF_Tekniker,AO$4,TF_Dato,$A111))*2,0)/2)))</f>
        <v/>
      </c>
      <c r="AP111">
        <f>IF(OR(AP$4="",$A111&gt;TODAY()),0,IF(OR(INDEX($B111:$D111,AP$5)="F",AND(AP$6&gt;0,$A111&lt;AP$6),AND(AP$7&gt;0,$A111&gt;AP$7)),0,MAX(0,ROUND((INDEX($E111:$G111,AP$5)-SUMIFS(TF_Timer,TF_Tekniker,AP$4,TF_Dato,$A111))*2,0)/2)))</f>
        <v/>
      </c>
      <c r="AQ111">
        <f>IF(OR(AQ$4="",$A111&gt;TODAY()),0,IF(OR(INDEX($B111:$D111,AQ$5)="F",AND(AQ$6&gt;0,$A111&lt;AQ$6),AND(AQ$7&gt;0,$A111&gt;AQ$7)),0,MAX(0,ROUND((INDEX($E111:$G111,AQ$5)-SUMIFS(TF_Timer,TF_Tekniker,AQ$4,TF_Dato,$A111))*2,0)/2)))</f>
        <v/>
      </c>
      <c r="AR111">
        <f>IF(OR(AR$4="",$A111&gt;TODAY()),0,IF(OR(INDEX($B111:$D111,AR$5)="F",AND(AR$6&gt;0,$A111&lt;AR$6),AND(AR$7&gt;0,$A111&gt;AR$7)),0,MAX(0,ROUND((INDEX($E111:$G111,AR$5)-SUMIFS(TF_Timer,TF_Tekniker,AR$4,TF_Dato,$A111))*2,0)/2)))</f>
        <v/>
      </c>
      <c r="AS111">
        <f>IF(OR(AS$4="",$A111&gt;TODAY()),0,IF(OR(INDEX($B111:$D111,AS$5)="F",AND(AS$6&gt;0,$A111&lt;AS$6),AND(AS$7&gt;0,$A111&gt;AS$7)),0,MAX(0,ROUND((INDEX($E111:$G111,AS$5)-SUMIFS(TF_Timer,TF_Tekniker,AS$4,TF_Dato,$A111))*2,0)/2)))</f>
        <v/>
      </c>
      <c r="AT111">
        <f>IF(OR(AT$4="",$A111&gt;TODAY()),0,IF(OR(INDEX($B111:$D111,AT$5)="F",AND(AT$6&gt;0,$A111&lt;AT$6),AND(AT$7&gt;0,$A111&gt;AT$7)),0,MAX(0,ROUND((INDEX($E111:$G111,AT$5)-SUMIFS(TF_Timer,TF_Tekniker,AT$4,TF_Dato,$A111))*2,0)/2)))</f>
        <v/>
      </c>
      <c r="AU111">
        <f>IF(OR(AU$4="",$A111&gt;TODAY()),0,IF(OR(INDEX($B111:$D111,AU$5)="F",AND(AU$6&gt;0,$A111&lt;AU$6),AND(AU$7&gt;0,$A111&gt;AU$7)),0,MAX(0,ROUND((INDEX($E111:$G111,AU$5)-SUMIFS(TF_Timer,TF_Tekniker,AU$4,TF_Dato,$A111))*2,0)/2)))</f>
        <v/>
      </c>
      <c r="AV111">
        <f>IF(OR(AV$4="",$A111&gt;TODAY()),0,IF(OR(INDEX($B111:$D111,AV$5)="F",AND(AV$6&gt;0,$A111&lt;AV$6),AND(AV$7&gt;0,$A111&gt;AV$7)),0,MAX(0,ROUND((INDEX($E111:$G111,AV$5)-SUMIFS(TF_Timer,TF_Tekniker,AV$4,TF_Dato,$A111))*2,0)/2)))</f>
        <v/>
      </c>
      <c r="AW111">
        <f>IF(OR(AW$4="",$A111&gt;TODAY()),0,IF(OR(INDEX($B111:$D111,AW$5)="F",AND(AW$6&gt;0,$A111&lt;AW$6),AND(AW$7&gt;0,$A111&gt;AW$7)),0,MAX(0,ROUND((INDEX($E111:$G111,AW$5)-SUMIFS(TF_Timer,TF_Tekniker,AW$4,TF_Dato,$A111))*2,0)/2)))</f>
        <v/>
      </c>
      <c r="AX111">
        <f>IF(OR(AX$4="",$A111&gt;TODAY()),0,IF(OR(INDEX($B111:$D111,AX$5)="F",AND(AX$6&gt;0,$A111&lt;AX$6),AND(AX$7&gt;0,$A111&gt;AX$7)),0,MAX(0,ROUND((INDEX($E111:$G111,AX$5)-SUMIFS(TF_Timer,TF_Tekniker,AX$4,TF_Dato,$A111))*2,0)/2)))</f>
        <v/>
      </c>
      <c r="AY111">
        <f>IF(OR(AY$4="",$A111&gt;TODAY()),0,IF(OR(INDEX($B111:$D111,AY$5)="F",AND(AY$6&gt;0,$A111&lt;AY$6),AND(AY$7&gt;0,$A111&gt;AY$7)),0,MAX(0,ROUND((INDEX($E111:$G111,AY$5)-SUMIFS(TF_Timer,TF_Tekniker,AY$4,TF_Dato,$A111))*2,0)/2)))</f>
        <v/>
      </c>
      <c r="AZ111">
        <f>IF(OR(AZ$4="",$A111&gt;TODAY()),0,IF(OR(INDEX($B111:$D111,AZ$5)="F",AND(AZ$6&gt;0,$A111&lt;AZ$6),AND(AZ$7&gt;0,$A111&gt;AZ$7)),0,MAX(0,ROUND((INDEX($E111:$G111,AZ$5)-SUMIFS(TF_Timer,TF_Tekniker,AZ$4,TF_Dato,$A111))*2,0)/2)))</f>
        <v/>
      </c>
      <c r="BA111">
        <f>IF(OR(BA$4="",$A111&gt;TODAY()),0,IF(OR(INDEX($B111:$D111,BA$5)="F",AND(BA$6&gt;0,$A111&lt;BA$6),AND(BA$7&gt;0,$A111&gt;BA$7)),0,MAX(0,ROUND((INDEX($E111:$G111,BA$5)-SUMIFS(TF_Timer,TF_Tekniker,BA$4,TF_Dato,$A111))*2,0)/2)))</f>
        <v/>
      </c>
      <c r="BB111">
        <f>IF(OR(BB$4="",$A111&gt;TODAY()),0,IF(OR(INDEX($B111:$D111,BB$5)="F",AND(BB$6&gt;0,$A111&lt;BB$6),AND(BB$7&gt;0,$A111&gt;BB$7)),0,MAX(0,ROUND((INDEX($E111:$G111,BB$5)-SUMIFS(TF_Timer,TF_Tekniker,BB$4,TF_Dato,$A111))*2,0)/2)))</f>
        <v/>
      </c>
      <c r="BC111">
        <f>IF(OR(BC$4="",$A111&gt;TODAY()),0,IF(OR(INDEX($B111:$D111,BC$5)="F",AND(BC$6&gt;0,$A111&lt;BC$6),AND(BC$7&gt;0,$A111&gt;BC$7)),0,MAX(0,ROUND((INDEX($E111:$G111,BC$5)-SUMIFS(TF_Timer,TF_Tekniker,BC$4,TF_Dato,$A111))*2,0)/2)))</f>
        <v/>
      </c>
      <c r="BD111">
        <f>IF(OR(BD$4="",$A111&gt;TODAY()),0,IF(OR(INDEX($B111:$D111,BD$5)="F",AND(BD$6&gt;0,$A111&lt;BD$6),AND(BD$7&gt;0,$A111&gt;BD$7)),0,MAX(0,ROUND((INDEX($E111:$G111,BD$5)-SUMIFS(TF_Timer,TF_Tekniker,BD$4,TF_Dato,$A111))*2,0)/2)))</f>
        <v/>
      </c>
      <c r="BE111">
        <f>IF(OR(BE$4="",$A111&gt;TODAY()),0,IF(OR(INDEX($B111:$D111,BE$5)="F",AND(BE$6&gt;0,$A111&lt;BE$6),AND(BE$7&gt;0,$A111&gt;BE$7)),0,MAX(0,ROUND((INDEX($E111:$G111,BE$5)-SUMIFS(TF_Timer,TF_Tekniker,BE$4,TF_Dato,$A111))*2,0)/2)))</f>
        <v/>
      </c>
      <c r="BF111">
        <f>IF(OR(BF$4="",$A111&gt;TODAY()),0,IF(OR(INDEX($B111:$D111,BF$5)="F",AND(BF$6&gt;0,$A111&lt;BF$6),AND(BF$7&gt;0,$A111&gt;BF$7)),0,MAX(0,ROUND((INDEX($E111:$G111,BF$5)-SUMIFS(TF_Timer,TF_Tekniker,BF$4,TF_Dato,$A111))*2,0)/2)))</f>
        <v/>
      </c>
      <c r="BG111">
        <f>IF(OR(BG$4="",$A111&gt;TODAY()),0,IF(OR(INDEX($B111:$D111,BG$5)="F",AND(BG$6&gt;0,$A111&lt;BG$6),AND(BG$7&gt;0,$A111&gt;BG$7)),0,MAX(0,ROUND((INDEX($E111:$G111,BG$5)-SUMIFS(TF_Timer,TF_Tekniker,BG$4,TF_Dato,$A111))*2,0)/2)))</f>
        <v/>
      </c>
      <c r="BH111">
        <f>IF(OR(BH$4="",$A111&gt;TODAY()),0,IF(OR(INDEX($B111:$D111,BH$5)="F",AND(BH$6&gt;0,$A111&lt;BH$6),AND(BH$7&gt;0,$A111&gt;BH$7)),0,MAX(0,ROUND((INDEX($E111:$G111,BH$5)-SUMIFS(TF_Timer,TF_Tekniker,BH$4,TF_Dato,$A111))*2,0)/2)))</f>
        <v/>
      </c>
      <c r="BI111">
        <f>IF(OR(BI$4="",$A111&gt;TODAY()),0,IF(OR(INDEX($B111:$D111,BI$5)="F",AND(BI$6&gt;0,$A111&lt;BI$6),AND(BI$7&gt;0,$A111&gt;BI$7)),0,MAX(0,ROUND((INDEX($E111:$G111,BI$5)-SUMIFS(TF_Timer,TF_Tekniker,BI$4,TF_Dato,$A111))*2,0)/2)))</f>
        <v/>
      </c>
    </row>
    <row r="112">
      <c r="A112" s="64">
        <f>A111+1</f>
        <v/>
      </c>
      <c r="B112">
        <f>IF(MOD($A112-INDEX(SkiftStart,1),Syklus)&lt;DagK,"K",IF(MOD($A112-INDEX(SkiftStart,1),Syklus)&lt;DagK+DagH,"H",IF(MOD($A112-INDEX(SkiftStart,1),Syklus)&lt;DagK+DagH+DagD,"D","F")))</f>
        <v/>
      </c>
      <c r="C112">
        <f>IF(MOD($A112-INDEX(SkiftStart,2),Syklus)&lt;DagK,"K",IF(MOD($A112-INDEX(SkiftStart,2),Syklus)&lt;DagK+DagH,"H",IF(MOD($A112-INDEX(SkiftStart,2),Syklus)&lt;DagK+DagH+DagD,"D","F")))</f>
        <v/>
      </c>
      <c r="D112">
        <f>IF(MOD($A112-INDEX(SkiftStart,3),Syklus)&lt;DagK,"K",IF(MOD($A112-INDEX(SkiftStart,3),Syklus)&lt;DagK+DagH,"H",IF(MOD($A112-INDEX(SkiftStart,3),Syklus)&lt;DagK+DagH+DagD,"D","F")))</f>
        <v/>
      </c>
      <c r="E112">
        <f>IF(B112="F",0,IF(WEEKDAY($A112,2)=5,INDEX(TimerFr,MATCH(B112,FaseKode,0)),INDEX(TimerMT,MATCH(B112,FaseKode,0))))</f>
        <v/>
      </c>
      <c r="F112">
        <f>IF(C112="F",0,IF(WEEKDAY($A112,2)=5,INDEX(TimerFr,MATCH(C112,FaseKode,0)),INDEX(TimerMT,MATCH(C112,FaseKode,0))))</f>
        <v/>
      </c>
      <c r="G112">
        <f>IF(D112="F",0,IF(WEEKDAY($A112,2)=5,INDEX(TimerFr,MATCH(D112,FaseKode,0)),INDEX(TimerMT,MATCH(D112,FaseKode,0))))</f>
        <v/>
      </c>
      <c r="H112">
        <f>IF(OR(H$4="",$A112&gt;TODAY()),0,IF(OR(INDEX($B112:$D112,H$5)="F",AND(H$6&gt;0,$A112&lt;H$6),AND(H$7&gt;0,$A112&gt;H$7)),0,MAX(0,ROUND((INDEX($E112:$G112,H$5)-SUMIFS(TF_Timer,TF_Tekniker,H$4,TF_Dato,$A112))*2,0)/2)))</f>
        <v/>
      </c>
      <c r="I112">
        <f>IF(OR(I$4="",$A112&gt;TODAY()),0,IF(OR(INDEX($B112:$D112,I$5)="F",AND(I$6&gt;0,$A112&lt;I$6),AND(I$7&gt;0,$A112&gt;I$7)),0,MAX(0,ROUND((INDEX($E112:$G112,I$5)-SUMIFS(TF_Timer,TF_Tekniker,I$4,TF_Dato,$A112))*2,0)/2)))</f>
        <v/>
      </c>
      <c r="J112">
        <f>IF(OR(J$4="",$A112&gt;TODAY()),0,IF(OR(INDEX($B112:$D112,J$5)="F",AND(J$6&gt;0,$A112&lt;J$6),AND(J$7&gt;0,$A112&gt;J$7)),0,MAX(0,ROUND((INDEX($E112:$G112,J$5)-SUMIFS(TF_Timer,TF_Tekniker,J$4,TF_Dato,$A112))*2,0)/2)))</f>
        <v/>
      </c>
      <c r="K112">
        <f>IF(OR(K$4="",$A112&gt;TODAY()),0,IF(OR(INDEX($B112:$D112,K$5)="F",AND(K$6&gt;0,$A112&lt;K$6),AND(K$7&gt;0,$A112&gt;K$7)),0,MAX(0,ROUND((INDEX($E112:$G112,K$5)-SUMIFS(TF_Timer,TF_Tekniker,K$4,TF_Dato,$A112))*2,0)/2)))</f>
        <v/>
      </c>
      <c r="L112">
        <f>IF(OR(L$4="",$A112&gt;TODAY()),0,IF(OR(INDEX($B112:$D112,L$5)="F",AND(L$6&gt;0,$A112&lt;L$6),AND(L$7&gt;0,$A112&gt;L$7)),0,MAX(0,ROUND((INDEX($E112:$G112,L$5)-SUMIFS(TF_Timer,TF_Tekniker,L$4,TF_Dato,$A112))*2,0)/2)))</f>
        <v/>
      </c>
      <c r="M112">
        <f>IF(OR(M$4="",$A112&gt;TODAY()),0,IF(OR(INDEX($B112:$D112,M$5)="F",AND(M$6&gt;0,$A112&lt;M$6),AND(M$7&gt;0,$A112&gt;M$7)),0,MAX(0,ROUND((INDEX($E112:$G112,M$5)-SUMIFS(TF_Timer,TF_Tekniker,M$4,TF_Dato,$A112))*2,0)/2)))</f>
        <v/>
      </c>
      <c r="N112">
        <f>IF(OR(N$4="",$A112&gt;TODAY()),0,IF(OR(INDEX($B112:$D112,N$5)="F",AND(N$6&gt;0,$A112&lt;N$6),AND(N$7&gt;0,$A112&gt;N$7)),0,MAX(0,ROUND((INDEX($E112:$G112,N$5)-SUMIFS(TF_Timer,TF_Tekniker,N$4,TF_Dato,$A112))*2,0)/2)))</f>
        <v/>
      </c>
      <c r="O112">
        <f>IF(OR(O$4="",$A112&gt;TODAY()),0,IF(OR(INDEX($B112:$D112,O$5)="F",AND(O$6&gt;0,$A112&lt;O$6),AND(O$7&gt;0,$A112&gt;O$7)),0,MAX(0,ROUND((INDEX($E112:$G112,O$5)-SUMIFS(TF_Timer,TF_Tekniker,O$4,TF_Dato,$A112))*2,0)/2)))</f>
        <v/>
      </c>
      <c r="P112">
        <f>IF(OR(P$4="",$A112&gt;TODAY()),0,IF(OR(INDEX($B112:$D112,P$5)="F",AND(P$6&gt;0,$A112&lt;P$6),AND(P$7&gt;0,$A112&gt;P$7)),0,MAX(0,ROUND((INDEX($E112:$G112,P$5)-SUMIFS(TF_Timer,TF_Tekniker,P$4,TF_Dato,$A112))*2,0)/2)))</f>
        <v/>
      </c>
      <c r="Q112">
        <f>IF(OR(Q$4="",$A112&gt;TODAY()),0,IF(OR(INDEX($B112:$D112,Q$5)="F",AND(Q$6&gt;0,$A112&lt;Q$6),AND(Q$7&gt;0,$A112&gt;Q$7)),0,MAX(0,ROUND((INDEX($E112:$G112,Q$5)-SUMIFS(TF_Timer,TF_Tekniker,Q$4,TF_Dato,$A112))*2,0)/2)))</f>
        <v/>
      </c>
      <c r="R112">
        <f>IF(OR(R$4="",$A112&gt;TODAY()),0,IF(OR(INDEX($B112:$D112,R$5)="F",AND(R$6&gt;0,$A112&lt;R$6),AND(R$7&gt;0,$A112&gt;R$7)),0,MAX(0,ROUND((INDEX($E112:$G112,R$5)-SUMIFS(TF_Timer,TF_Tekniker,R$4,TF_Dato,$A112))*2,0)/2)))</f>
        <v/>
      </c>
      <c r="S112">
        <f>IF(OR(S$4="",$A112&gt;TODAY()),0,IF(OR(INDEX($B112:$D112,S$5)="F",AND(S$6&gt;0,$A112&lt;S$6),AND(S$7&gt;0,$A112&gt;S$7)),0,MAX(0,ROUND((INDEX($E112:$G112,S$5)-SUMIFS(TF_Timer,TF_Tekniker,S$4,TF_Dato,$A112))*2,0)/2)))</f>
        <v/>
      </c>
      <c r="T112">
        <f>IF(OR(T$4="",$A112&gt;TODAY()),0,IF(OR(INDEX($B112:$D112,T$5)="F",AND(T$6&gt;0,$A112&lt;T$6),AND(T$7&gt;0,$A112&gt;T$7)),0,MAX(0,ROUND((INDEX($E112:$G112,T$5)-SUMIFS(TF_Timer,TF_Tekniker,T$4,TF_Dato,$A112))*2,0)/2)))</f>
        <v/>
      </c>
      <c r="U112">
        <f>IF(OR(U$4="",$A112&gt;TODAY()),0,IF(OR(INDEX($B112:$D112,U$5)="F",AND(U$6&gt;0,$A112&lt;U$6),AND(U$7&gt;0,$A112&gt;U$7)),0,MAX(0,ROUND((INDEX($E112:$G112,U$5)-SUMIFS(TF_Timer,TF_Tekniker,U$4,TF_Dato,$A112))*2,0)/2)))</f>
        <v/>
      </c>
      <c r="V112">
        <f>IF(OR(V$4="",$A112&gt;TODAY()),0,IF(OR(INDEX($B112:$D112,V$5)="F",AND(V$6&gt;0,$A112&lt;V$6),AND(V$7&gt;0,$A112&gt;V$7)),0,MAX(0,ROUND((INDEX($E112:$G112,V$5)-SUMIFS(TF_Timer,TF_Tekniker,V$4,TF_Dato,$A112))*2,0)/2)))</f>
        <v/>
      </c>
      <c r="W112">
        <f>IF(OR(W$4="",$A112&gt;TODAY()),0,IF(OR(INDEX($B112:$D112,W$5)="F",AND(W$6&gt;0,$A112&lt;W$6),AND(W$7&gt;0,$A112&gt;W$7)),0,MAX(0,ROUND((INDEX($E112:$G112,W$5)-SUMIFS(TF_Timer,TF_Tekniker,W$4,TF_Dato,$A112))*2,0)/2)))</f>
        <v/>
      </c>
      <c r="X112">
        <f>IF(OR(X$4="",$A112&gt;TODAY()),0,IF(OR(INDEX($B112:$D112,X$5)="F",AND(X$6&gt;0,$A112&lt;X$6),AND(X$7&gt;0,$A112&gt;X$7)),0,MAX(0,ROUND((INDEX($E112:$G112,X$5)-SUMIFS(TF_Timer,TF_Tekniker,X$4,TF_Dato,$A112))*2,0)/2)))</f>
        <v/>
      </c>
      <c r="Y112">
        <f>IF(OR(Y$4="",$A112&gt;TODAY()),0,IF(OR(INDEX($B112:$D112,Y$5)="F",AND(Y$6&gt;0,$A112&lt;Y$6),AND(Y$7&gt;0,$A112&gt;Y$7)),0,MAX(0,ROUND((INDEX($E112:$G112,Y$5)-SUMIFS(TF_Timer,TF_Tekniker,Y$4,TF_Dato,$A112))*2,0)/2)))</f>
        <v/>
      </c>
      <c r="Z112">
        <f>IF(OR(Z$4="",$A112&gt;TODAY()),0,IF(OR(INDEX($B112:$D112,Z$5)="F",AND(Z$6&gt;0,$A112&lt;Z$6),AND(Z$7&gt;0,$A112&gt;Z$7)),0,MAX(0,ROUND((INDEX($E112:$G112,Z$5)-SUMIFS(TF_Timer,TF_Tekniker,Z$4,TF_Dato,$A112))*2,0)/2)))</f>
        <v/>
      </c>
      <c r="AA112">
        <f>IF(OR(AA$4="",$A112&gt;TODAY()),0,IF(OR(INDEX($B112:$D112,AA$5)="F",AND(AA$6&gt;0,$A112&lt;AA$6),AND(AA$7&gt;0,$A112&gt;AA$7)),0,MAX(0,ROUND((INDEX($E112:$G112,AA$5)-SUMIFS(TF_Timer,TF_Tekniker,AA$4,TF_Dato,$A112))*2,0)/2)))</f>
        <v/>
      </c>
      <c r="AB112">
        <f>IF(OR(AB$4="",$A112&gt;TODAY()),0,IF(OR(INDEX($B112:$D112,AB$5)="F",AND(AB$6&gt;0,$A112&lt;AB$6),AND(AB$7&gt;0,$A112&gt;AB$7)),0,MAX(0,ROUND((INDEX($E112:$G112,AB$5)-SUMIFS(TF_Timer,TF_Tekniker,AB$4,TF_Dato,$A112))*2,0)/2)))</f>
        <v/>
      </c>
      <c r="AC112">
        <f>IF(OR(AC$4="",$A112&gt;TODAY()),0,IF(OR(INDEX($B112:$D112,AC$5)="F",AND(AC$6&gt;0,$A112&lt;AC$6),AND(AC$7&gt;0,$A112&gt;AC$7)),0,MAX(0,ROUND((INDEX($E112:$G112,AC$5)-SUMIFS(TF_Timer,TF_Tekniker,AC$4,TF_Dato,$A112))*2,0)/2)))</f>
        <v/>
      </c>
      <c r="AD112">
        <f>IF(OR(AD$4="",$A112&gt;TODAY()),0,IF(OR(INDEX($B112:$D112,AD$5)="F",AND(AD$6&gt;0,$A112&lt;AD$6),AND(AD$7&gt;0,$A112&gt;AD$7)),0,MAX(0,ROUND((INDEX($E112:$G112,AD$5)-SUMIFS(TF_Timer,TF_Tekniker,AD$4,TF_Dato,$A112))*2,0)/2)))</f>
        <v/>
      </c>
      <c r="AE112">
        <f>IF(OR(AE$4="",$A112&gt;TODAY()),0,IF(OR(INDEX($B112:$D112,AE$5)="F",AND(AE$6&gt;0,$A112&lt;AE$6),AND(AE$7&gt;0,$A112&gt;AE$7)),0,MAX(0,ROUND((INDEX($E112:$G112,AE$5)-SUMIFS(TF_Timer,TF_Tekniker,AE$4,TF_Dato,$A112))*2,0)/2)))</f>
        <v/>
      </c>
      <c r="AF112">
        <f>IF(OR(AF$4="",$A112&gt;TODAY()),0,IF(OR(INDEX($B112:$D112,AF$5)="F",AND(AF$6&gt;0,$A112&lt;AF$6),AND(AF$7&gt;0,$A112&gt;AF$7)),0,MAX(0,ROUND((INDEX($E112:$G112,AF$5)-SUMIFS(TF_Timer,TF_Tekniker,AF$4,TF_Dato,$A112))*2,0)/2)))</f>
        <v/>
      </c>
      <c r="AG112">
        <f>IF(OR(AG$4="",$A112&gt;TODAY()),0,IF(OR(INDEX($B112:$D112,AG$5)="F",AND(AG$6&gt;0,$A112&lt;AG$6),AND(AG$7&gt;0,$A112&gt;AG$7)),0,MAX(0,ROUND((INDEX($E112:$G112,AG$5)-SUMIFS(TF_Timer,TF_Tekniker,AG$4,TF_Dato,$A112))*2,0)/2)))</f>
        <v/>
      </c>
      <c r="AH112">
        <f>IF(OR(AH$4="",$A112&gt;TODAY()),0,IF(OR(INDEX($B112:$D112,AH$5)="F",AND(AH$6&gt;0,$A112&lt;AH$6),AND(AH$7&gt;0,$A112&gt;AH$7)),0,MAX(0,ROUND((INDEX($E112:$G112,AH$5)-SUMIFS(TF_Timer,TF_Tekniker,AH$4,TF_Dato,$A112))*2,0)/2)))</f>
        <v/>
      </c>
      <c r="AI112">
        <f>IF(OR(AI$4="",$A112&gt;TODAY()),0,IF(OR(INDEX($B112:$D112,AI$5)="F",AND(AI$6&gt;0,$A112&lt;AI$6),AND(AI$7&gt;0,$A112&gt;AI$7)),0,MAX(0,ROUND((INDEX($E112:$G112,AI$5)-SUMIFS(TF_Timer,TF_Tekniker,AI$4,TF_Dato,$A112))*2,0)/2)))</f>
        <v/>
      </c>
      <c r="AJ112">
        <f>IF(OR(AJ$4="",$A112&gt;TODAY()),0,IF(OR(INDEX($B112:$D112,AJ$5)="F",AND(AJ$6&gt;0,$A112&lt;AJ$6),AND(AJ$7&gt;0,$A112&gt;AJ$7)),0,MAX(0,ROUND((INDEX($E112:$G112,AJ$5)-SUMIFS(TF_Timer,TF_Tekniker,AJ$4,TF_Dato,$A112))*2,0)/2)))</f>
        <v/>
      </c>
      <c r="AK112">
        <f>IF(OR(AK$4="",$A112&gt;TODAY()),0,IF(OR(INDEX($B112:$D112,AK$5)="F",AND(AK$6&gt;0,$A112&lt;AK$6),AND(AK$7&gt;0,$A112&gt;AK$7)),0,MAX(0,ROUND((INDEX($E112:$G112,AK$5)-SUMIFS(TF_Timer,TF_Tekniker,AK$4,TF_Dato,$A112))*2,0)/2)))</f>
        <v/>
      </c>
      <c r="AL112">
        <f>IF(OR(AL$4="",$A112&gt;TODAY()),0,IF(OR(INDEX($B112:$D112,AL$5)="F",AND(AL$6&gt;0,$A112&lt;AL$6),AND(AL$7&gt;0,$A112&gt;AL$7)),0,MAX(0,ROUND((INDEX($E112:$G112,AL$5)-SUMIFS(TF_Timer,TF_Tekniker,AL$4,TF_Dato,$A112))*2,0)/2)))</f>
        <v/>
      </c>
      <c r="AM112">
        <f>IF(OR(AM$4="",$A112&gt;TODAY()),0,IF(OR(INDEX($B112:$D112,AM$5)="F",AND(AM$6&gt;0,$A112&lt;AM$6),AND(AM$7&gt;0,$A112&gt;AM$7)),0,MAX(0,ROUND((INDEX($E112:$G112,AM$5)-SUMIFS(TF_Timer,TF_Tekniker,AM$4,TF_Dato,$A112))*2,0)/2)))</f>
        <v/>
      </c>
      <c r="AN112">
        <f>IF(OR(AN$4="",$A112&gt;TODAY()),0,IF(OR(INDEX($B112:$D112,AN$5)="F",AND(AN$6&gt;0,$A112&lt;AN$6),AND(AN$7&gt;0,$A112&gt;AN$7)),0,MAX(0,ROUND((INDEX($E112:$G112,AN$5)-SUMIFS(TF_Timer,TF_Tekniker,AN$4,TF_Dato,$A112))*2,0)/2)))</f>
        <v/>
      </c>
      <c r="AO112">
        <f>IF(OR(AO$4="",$A112&gt;TODAY()),0,IF(OR(INDEX($B112:$D112,AO$5)="F",AND(AO$6&gt;0,$A112&lt;AO$6),AND(AO$7&gt;0,$A112&gt;AO$7)),0,MAX(0,ROUND((INDEX($E112:$G112,AO$5)-SUMIFS(TF_Timer,TF_Tekniker,AO$4,TF_Dato,$A112))*2,0)/2)))</f>
        <v/>
      </c>
      <c r="AP112">
        <f>IF(OR(AP$4="",$A112&gt;TODAY()),0,IF(OR(INDEX($B112:$D112,AP$5)="F",AND(AP$6&gt;0,$A112&lt;AP$6),AND(AP$7&gt;0,$A112&gt;AP$7)),0,MAX(0,ROUND((INDEX($E112:$G112,AP$5)-SUMIFS(TF_Timer,TF_Tekniker,AP$4,TF_Dato,$A112))*2,0)/2)))</f>
        <v/>
      </c>
      <c r="AQ112">
        <f>IF(OR(AQ$4="",$A112&gt;TODAY()),0,IF(OR(INDEX($B112:$D112,AQ$5)="F",AND(AQ$6&gt;0,$A112&lt;AQ$6),AND(AQ$7&gt;0,$A112&gt;AQ$7)),0,MAX(0,ROUND((INDEX($E112:$G112,AQ$5)-SUMIFS(TF_Timer,TF_Tekniker,AQ$4,TF_Dato,$A112))*2,0)/2)))</f>
        <v/>
      </c>
      <c r="AR112">
        <f>IF(OR(AR$4="",$A112&gt;TODAY()),0,IF(OR(INDEX($B112:$D112,AR$5)="F",AND(AR$6&gt;0,$A112&lt;AR$6),AND(AR$7&gt;0,$A112&gt;AR$7)),0,MAX(0,ROUND((INDEX($E112:$G112,AR$5)-SUMIFS(TF_Timer,TF_Tekniker,AR$4,TF_Dato,$A112))*2,0)/2)))</f>
        <v/>
      </c>
      <c r="AS112">
        <f>IF(OR(AS$4="",$A112&gt;TODAY()),0,IF(OR(INDEX($B112:$D112,AS$5)="F",AND(AS$6&gt;0,$A112&lt;AS$6),AND(AS$7&gt;0,$A112&gt;AS$7)),0,MAX(0,ROUND((INDEX($E112:$G112,AS$5)-SUMIFS(TF_Timer,TF_Tekniker,AS$4,TF_Dato,$A112))*2,0)/2)))</f>
        <v/>
      </c>
      <c r="AT112">
        <f>IF(OR(AT$4="",$A112&gt;TODAY()),0,IF(OR(INDEX($B112:$D112,AT$5)="F",AND(AT$6&gt;0,$A112&lt;AT$6),AND(AT$7&gt;0,$A112&gt;AT$7)),0,MAX(0,ROUND((INDEX($E112:$G112,AT$5)-SUMIFS(TF_Timer,TF_Tekniker,AT$4,TF_Dato,$A112))*2,0)/2)))</f>
        <v/>
      </c>
      <c r="AU112">
        <f>IF(OR(AU$4="",$A112&gt;TODAY()),0,IF(OR(INDEX($B112:$D112,AU$5)="F",AND(AU$6&gt;0,$A112&lt;AU$6),AND(AU$7&gt;0,$A112&gt;AU$7)),0,MAX(0,ROUND((INDEX($E112:$G112,AU$5)-SUMIFS(TF_Timer,TF_Tekniker,AU$4,TF_Dato,$A112))*2,0)/2)))</f>
        <v/>
      </c>
      <c r="AV112">
        <f>IF(OR(AV$4="",$A112&gt;TODAY()),0,IF(OR(INDEX($B112:$D112,AV$5)="F",AND(AV$6&gt;0,$A112&lt;AV$6),AND(AV$7&gt;0,$A112&gt;AV$7)),0,MAX(0,ROUND((INDEX($E112:$G112,AV$5)-SUMIFS(TF_Timer,TF_Tekniker,AV$4,TF_Dato,$A112))*2,0)/2)))</f>
        <v/>
      </c>
      <c r="AW112">
        <f>IF(OR(AW$4="",$A112&gt;TODAY()),0,IF(OR(INDEX($B112:$D112,AW$5)="F",AND(AW$6&gt;0,$A112&lt;AW$6),AND(AW$7&gt;0,$A112&gt;AW$7)),0,MAX(0,ROUND((INDEX($E112:$G112,AW$5)-SUMIFS(TF_Timer,TF_Tekniker,AW$4,TF_Dato,$A112))*2,0)/2)))</f>
        <v/>
      </c>
      <c r="AX112">
        <f>IF(OR(AX$4="",$A112&gt;TODAY()),0,IF(OR(INDEX($B112:$D112,AX$5)="F",AND(AX$6&gt;0,$A112&lt;AX$6),AND(AX$7&gt;0,$A112&gt;AX$7)),0,MAX(0,ROUND((INDEX($E112:$G112,AX$5)-SUMIFS(TF_Timer,TF_Tekniker,AX$4,TF_Dato,$A112))*2,0)/2)))</f>
        <v/>
      </c>
      <c r="AY112">
        <f>IF(OR(AY$4="",$A112&gt;TODAY()),0,IF(OR(INDEX($B112:$D112,AY$5)="F",AND(AY$6&gt;0,$A112&lt;AY$6),AND(AY$7&gt;0,$A112&gt;AY$7)),0,MAX(0,ROUND((INDEX($E112:$G112,AY$5)-SUMIFS(TF_Timer,TF_Tekniker,AY$4,TF_Dato,$A112))*2,0)/2)))</f>
        <v/>
      </c>
      <c r="AZ112">
        <f>IF(OR(AZ$4="",$A112&gt;TODAY()),0,IF(OR(INDEX($B112:$D112,AZ$5)="F",AND(AZ$6&gt;0,$A112&lt;AZ$6),AND(AZ$7&gt;0,$A112&gt;AZ$7)),0,MAX(0,ROUND((INDEX($E112:$G112,AZ$5)-SUMIFS(TF_Timer,TF_Tekniker,AZ$4,TF_Dato,$A112))*2,0)/2)))</f>
        <v/>
      </c>
      <c r="BA112">
        <f>IF(OR(BA$4="",$A112&gt;TODAY()),0,IF(OR(INDEX($B112:$D112,BA$5)="F",AND(BA$6&gt;0,$A112&lt;BA$6),AND(BA$7&gt;0,$A112&gt;BA$7)),0,MAX(0,ROUND((INDEX($E112:$G112,BA$5)-SUMIFS(TF_Timer,TF_Tekniker,BA$4,TF_Dato,$A112))*2,0)/2)))</f>
        <v/>
      </c>
      <c r="BB112">
        <f>IF(OR(BB$4="",$A112&gt;TODAY()),0,IF(OR(INDEX($B112:$D112,BB$5)="F",AND(BB$6&gt;0,$A112&lt;BB$6),AND(BB$7&gt;0,$A112&gt;BB$7)),0,MAX(0,ROUND((INDEX($E112:$G112,BB$5)-SUMIFS(TF_Timer,TF_Tekniker,BB$4,TF_Dato,$A112))*2,0)/2)))</f>
        <v/>
      </c>
      <c r="BC112">
        <f>IF(OR(BC$4="",$A112&gt;TODAY()),0,IF(OR(INDEX($B112:$D112,BC$5)="F",AND(BC$6&gt;0,$A112&lt;BC$6),AND(BC$7&gt;0,$A112&gt;BC$7)),0,MAX(0,ROUND((INDEX($E112:$G112,BC$5)-SUMIFS(TF_Timer,TF_Tekniker,BC$4,TF_Dato,$A112))*2,0)/2)))</f>
        <v/>
      </c>
      <c r="BD112">
        <f>IF(OR(BD$4="",$A112&gt;TODAY()),0,IF(OR(INDEX($B112:$D112,BD$5)="F",AND(BD$6&gt;0,$A112&lt;BD$6),AND(BD$7&gt;0,$A112&gt;BD$7)),0,MAX(0,ROUND((INDEX($E112:$G112,BD$5)-SUMIFS(TF_Timer,TF_Tekniker,BD$4,TF_Dato,$A112))*2,0)/2)))</f>
        <v/>
      </c>
      <c r="BE112">
        <f>IF(OR(BE$4="",$A112&gt;TODAY()),0,IF(OR(INDEX($B112:$D112,BE$5)="F",AND(BE$6&gt;0,$A112&lt;BE$6),AND(BE$7&gt;0,$A112&gt;BE$7)),0,MAX(0,ROUND((INDEX($E112:$G112,BE$5)-SUMIFS(TF_Timer,TF_Tekniker,BE$4,TF_Dato,$A112))*2,0)/2)))</f>
        <v/>
      </c>
      <c r="BF112">
        <f>IF(OR(BF$4="",$A112&gt;TODAY()),0,IF(OR(INDEX($B112:$D112,BF$5)="F",AND(BF$6&gt;0,$A112&lt;BF$6),AND(BF$7&gt;0,$A112&gt;BF$7)),0,MAX(0,ROUND((INDEX($E112:$G112,BF$5)-SUMIFS(TF_Timer,TF_Tekniker,BF$4,TF_Dato,$A112))*2,0)/2)))</f>
        <v/>
      </c>
      <c r="BG112">
        <f>IF(OR(BG$4="",$A112&gt;TODAY()),0,IF(OR(INDEX($B112:$D112,BG$5)="F",AND(BG$6&gt;0,$A112&lt;BG$6),AND(BG$7&gt;0,$A112&gt;BG$7)),0,MAX(0,ROUND((INDEX($E112:$G112,BG$5)-SUMIFS(TF_Timer,TF_Tekniker,BG$4,TF_Dato,$A112))*2,0)/2)))</f>
        <v/>
      </c>
      <c r="BH112">
        <f>IF(OR(BH$4="",$A112&gt;TODAY()),0,IF(OR(INDEX($B112:$D112,BH$5)="F",AND(BH$6&gt;0,$A112&lt;BH$6),AND(BH$7&gt;0,$A112&gt;BH$7)),0,MAX(0,ROUND((INDEX($E112:$G112,BH$5)-SUMIFS(TF_Timer,TF_Tekniker,BH$4,TF_Dato,$A112))*2,0)/2)))</f>
        <v/>
      </c>
      <c r="BI112">
        <f>IF(OR(BI$4="",$A112&gt;TODAY()),0,IF(OR(INDEX($B112:$D112,BI$5)="F",AND(BI$6&gt;0,$A112&lt;BI$6),AND(BI$7&gt;0,$A112&gt;BI$7)),0,MAX(0,ROUND((INDEX($E112:$G112,BI$5)-SUMIFS(TF_Timer,TF_Tekniker,BI$4,TF_Dato,$A112))*2,0)/2)))</f>
        <v/>
      </c>
    </row>
    <row r="113">
      <c r="A113" s="64">
        <f>A112+1</f>
        <v/>
      </c>
      <c r="B113">
        <f>IF(MOD($A113-INDEX(SkiftStart,1),Syklus)&lt;DagK,"K",IF(MOD($A113-INDEX(SkiftStart,1),Syklus)&lt;DagK+DagH,"H",IF(MOD($A113-INDEX(SkiftStart,1),Syklus)&lt;DagK+DagH+DagD,"D","F")))</f>
        <v/>
      </c>
      <c r="C113">
        <f>IF(MOD($A113-INDEX(SkiftStart,2),Syklus)&lt;DagK,"K",IF(MOD($A113-INDEX(SkiftStart,2),Syklus)&lt;DagK+DagH,"H",IF(MOD($A113-INDEX(SkiftStart,2),Syklus)&lt;DagK+DagH+DagD,"D","F")))</f>
        <v/>
      </c>
      <c r="D113">
        <f>IF(MOD($A113-INDEX(SkiftStart,3),Syklus)&lt;DagK,"K",IF(MOD($A113-INDEX(SkiftStart,3),Syklus)&lt;DagK+DagH,"H",IF(MOD($A113-INDEX(SkiftStart,3),Syklus)&lt;DagK+DagH+DagD,"D","F")))</f>
        <v/>
      </c>
      <c r="E113">
        <f>IF(B113="F",0,IF(WEEKDAY($A113,2)=5,INDEX(TimerFr,MATCH(B113,FaseKode,0)),INDEX(TimerMT,MATCH(B113,FaseKode,0))))</f>
        <v/>
      </c>
      <c r="F113">
        <f>IF(C113="F",0,IF(WEEKDAY($A113,2)=5,INDEX(TimerFr,MATCH(C113,FaseKode,0)),INDEX(TimerMT,MATCH(C113,FaseKode,0))))</f>
        <v/>
      </c>
      <c r="G113">
        <f>IF(D113="F",0,IF(WEEKDAY($A113,2)=5,INDEX(TimerFr,MATCH(D113,FaseKode,0)),INDEX(TimerMT,MATCH(D113,FaseKode,0))))</f>
        <v/>
      </c>
      <c r="H113">
        <f>IF(OR(H$4="",$A113&gt;TODAY()),0,IF(OR(INDEX($B113:$D113,H$5)="F",AND(H$6&gt;0,$A113&lt;H$6),AND(H$7&gt;0,$A113&gt;H$7)),0,MAX(0,ROUND((INDEX($E113:$G113,H$5)-SUMIFS(TF_Timer,TF_Tekniker,H$4,TF_Dato,$A113))*2,0)/2)))</f>
        <v/>
      </c>
      <c r="I113">
        <f>IF(OR(I$4="",$A113&gt;TODAY()),0,IF(OR(INDEX($B113:$D113,I$5)="F",AND(I$6&gt;0,$A113&lt;I$6),AND(I$7&gt;0,$A113&gt;I$7)),0,MAX(0,ROUND((INDEX($E113:$G113,I$5)-SUMIFS(TF_Timer,TF_Tekniker,I$4,TF_Dato,$A113))*2,0)/2)))</f>
        <v/>
      </c>
      <c r="J113">
        <f>IF(OR(J$4="",$A113&gt;TODAY()),0,IF(OR(INDEX($B113:$D113,J$5)="F",AND(J$6&gt;0,$A113&lt;J$6),AND(J$7&gt;0,$A113&gt;J$7)),0,MAX(0,ROUND((INDEX($E113:$G113,J$5)-SUMIFS(TF_Timer,TF_Tekniker,J$4,TF_Dato,$A113))*2,0)/2)))</f>
        <v/>
      </c>
      <c r="K113">
        <f>IF(OR(K$4="",$A113&gt;TODAY()),0,IF(OR(INDEX($B113:$D113,K$5)="F",AND(K$6&gt;0,$A113&lt;K$6),AND(K$7&gt;0,$A113&gt;K$7)),0,MAX(0,ROUND((INDEX($E113:$G113,K$5)-SUMIFS(TF_Timer,TF_Tekniker,K$4,TF_Dato,$A113))*2,0)/2)))</f>
        <v/>
      </c>
      <c r="L113">
        <f>IF(OR(L$4="",$A113&gt;TODAY()),0,IF(OR(INDEX($B113:$D113,L$5)="F",AND(L$6&gt;0,$A113&lt;L$6),AND(L$7&gt;0,$A113&gt;L$7)),0,MAX(0,ROUND((INDEX($E113:$G113,L$5)-SUMIFS(TF_Timer,TF_Tekniker,L$4,TF_Dato,$A113))*2,0)/2)))</f>
        <v/>
      </c>
      <c r="M113">
        <f>IF(OR(M$4="",$A113&gt;TODAY()),0,IF(OR(INDEX($B113:$D113,M$5)="F",AND(M$6&gt;0,$A113&lt;M$6),AND(M$7&gt;0,$A113&gt;M$7)),0,MAX(0,ROUND((INDEX($E113:$G113,M$5)-SUMIFS(TF_Timer,TF_Tekniker,M$4,TF_Dato,$A113))*2,0)/2)))</f>
        <v/>
      </c>
      <c r="N113">
        <f>IF(OR(N$4="",$A113&gt;TODAY()),0,IF(OR(INDEX($B113:$D113,N$5)="F",AND(N$6&gt;0,$A113&lt;N$6),AND(N$7&gt;0,$A113&gt;N$7)),0,MAX(0,ROUND((INDEX($E113:$G113,N$5)-SUMIFS(TF_Timer,TF_Tekniker,N$4,TF_Dato,$A113))*2,0)/2)))</f>
        <v/>
      </c>
      <c r="O113">
        <f>IF(OR(O$4="",$A113&gt;TODAY()),0,IF(OR(INDEX($B113:$D113,O$5)="F",AND(O$6&gt;0,$A113&lt;O$6),AND(O$7&gt;0,$A113&gt;O$7)),0,MAX(0,ROUND((INDEX($E113:$G113,O$5)-SUMIFS(TF_Timer,TF_Tekniker,O$4,TF_Dato,$A113))*2,0)/2)))</f>
        <v/>
      </c>
      <c r="P113">
        <f>IF(OR(P$4="",$A113&gt;TODAY()),0,IF(OR(INDEX($B113:$D113,P$5)="F",AND(P$6&gt;0,$A113&lt;P$6),AND(P$7&gt;0,$A113&gt;P$7)),0,MAX(0,ROUND((INDEX($E113:$G113,P$5)-SUMIFS(TF_Timer,TF_Tekniker,P$4,TF_Dato,$A113))*2,0)/2)))</f>
        <v/>
      </c>
      <c r="Q113">
        <f>IF(OR(Q$4="",$A113&gt;TODAY()),0,IF(OR(INDEX($B113:$D113,Q$5)="F",AND(Q$6&gt;0,$A113&lt;Q$6),AND(Q$7&gt;0,$A113&gt;Q$7)),0,MAX(0,ROUND((INDEX($E113:$G113,Q$5)-SUMIFS(TF_Timer,TF_Tekniker,Q$4,TF_Dato,$A113))*2,0)/2)))</f>
        <v/>
      </c>
      <c r="R113">
        <f>IF(OR(R$4="",$A113&gt;TODAY()),0,IF(OR(INDEX($B113:$D113,R$5)="F",AND(R$6&gt;0,$A113&lt;R$6),AND(R$7&gt;0,$A113&gt;R$7)),0,MAX(0,ROUND((INDEX($E113:$G113,R$5)-SUMIFS(TF_Timer,TF_Tekniker,R$4,TF_Dato,$A113))*2,0)/2)))</f>
        <v/>
      </c>
      <c r="S113">
        <f>IF(OR(S$4="",$A113&gt;TODAY()),0,IF(OR(INDEX($B113:$D113,S$5)="F",AND(S$6&gt;0,$A113&lt;S$6),AND(S$7&gt;0,$A113&gt;S$7)),0,MAX(0,ROUND((INDEX($E113:$G113,S$5)-SUMIFS(TF_Timer,TF_Tekniker,S$4,TF_Dato,$A113))*2,0)/2)))</f>
        <v/>
      </c>
      <c r="T113">
        <f>IF(OR(T$4="",$A113&gt;TODAY()),0,IF(OR(INDEX($B113:$D113,T$5)="F",AND(T$6&gt;0,$A113&lt;T$6),AND(T$7&gt;0,$A113&gt;T$7)),0,MAX(0,ROUND((INDEX($E113:$G113,T$5)-SUMIFS(TF_Timer,TF_Tekniker,T$4,TF_Dato,$A113))*2,0)/2)))</f>
        <v/>
      </c>
      <c r="U113">
        <f>IF(OR(U$4="",$A113&gt;TODAY()),0,IF(OR(INDEX($B113:$D113,U$5)="F",AND(U$6&gt;0,$A113&lt;U$6),AND(U$7&gt;0,$A113&gt;U$7)),0,MAX(0,ROUND((INDEX($E113:$G113,U$5)-SUMIFS(TF_Timer,TF_Tekniker,U$4,TF_Dato,$A113))*2,0)/2)))</f>
        <v/>
      </c>
      <c r="V113">
        <f>IF(OR(V$4="",$A113&gt;TODAY()),0,IF(OR(INDEX($B113:$D113,V$5)="F",AND(V$6&gt;0,$A113&lt;V$6),AND(V$7&gt;0,$A113&gt;V$7)),0,MAX(0,ROUND((INDEX($E113:$G113,V$5)-SUMIFS(TF_Timer,TF_Tekniker,V$4,TF_Dato,$A113))*2,0)/2)))</f>
        <v/>
      </c>
      <c r="W113">
        <f>IF(OR(W$4="",$A113&gt;TODAY()),0,IF(OR(INDEX($B113:$D113,W$5)="F",AND(W$6&gt;0,$A113&lt;W$6),AND(W$7&gt;0,$A113&gt;W$7)),0,MAX(0,ROUND((INDEX($E113:$G113,W$5)-SUMIFS(TF_Timer,TF_Tekniker,W$4,TF_Dato,$A113))*2,0)/2)))</f>
        <v/>
      </c>
      <c r="X113">
        <f>IF(OR(X$4="",$A113&gt;TODAY()),0,IF(OR(INDEX($B113:$D113,X$5)="F",AND(X$6&gt;0,$A113&lt;X$6),AND(X$7&gt;0,$A113&gt;X$7)),0,MAX(0,ROUND((INDEX($E113:$G113,X$5)-SUMIFS(TF_Timer,TF_Tekniker,X$4,TF_Dato,$A113))*2,0)/2)))</f>
        <v/>
      </c>
      <c r="Y113">
        <f>IF(OR(Y$4="",$A113&gt;TODAY()),0,IF(OR(INDEX($B113:$D113,Y$5)="F",AND(Y$6&gt;0,$A113&lt;Y$6),AND(Y$7&gt;0,$A113&gt;Y$7)),0,MAX(0,ROUND((INDEX($E113:$G113,Y$5)-SUMIFS(TF_Timer,TF_Tekniker,Y$4,TF_Dato,$A113))*2,0)/2)))</f>
        <v/>
      </c>
      <c r="Z113">
        <f>IF(OR(Z$4="",$A113&gt;TODAY()),0,IF(OR(INDEX($B113:$D113,Z$5)="F",AND(Z$6&gt;0,$A113&lt;Z$6),AND(Z$7&gt;0,$A113&gt;Z$7)),0,MAX(0,ROUND((INDEX($E113:$G113,Z$5)-SUMIFS(TF_Timer,TF_Tekniker,Z$4,TF_Dato,$A113))*2,0)/2)))</f>
        <v/>
      </c>
      <c r="AA113">
        <f>IF(OR(AA$4="",$A113&gt;TODAY()),0,IF(OR(INDEX($B113:$D113,AA$5)="F",AND(AA$6&gt;0,$A113&lt;AA$6),AND(AA$7&gt;0,$A113&gt;AA$7)),0,MAX(0,ROUND((INDEX($E113:$G113,AA$5)-SUMIFS(TF_Timer,TF_Tekniker,AA$4,TF_Dato,$A113))*2,0)/2)))</f>
        <v/>
      </c>
      <c r="AB113">
        <f>IF(OR(AB$4="",$A113&gt;TODAY()),0,IF(OR(INDEX($B113:$D113,AB$5)="F",AND(AB$6&gt;0,$A113&lt;AB$6),AND(AB$7&gt;0,$A113&gt;AB$7)),0,MAX(0,ROUND((INDEX($E113:$G113,AB$5)-SUMIFS(TF_Timer,TF_Tekniker,AB$4,TF_Dato,$A113))*2,0)/2)))</f>
        <v/>
      </c>
      <c r="AC113">
        <f>IF(OR(AC$4="",$A113&gt;TODAY()),0,IF(OR(INDEX($B113:$D113,AC$5)="F",AND(AC$6&gt;0,$A113&lt;AC$6),AND(AC$7&gt;0,$A113&gt;AC$7)),0,MAX(0,ROUND((INDEX($E113:$G113,AC$5)-SUMIFS(TF_Timer,TF_Tekniker,AC$4,TF_Dato,$A113))*2,0)/2)))</f>
        <v/>
      </c>
      <c r="AD113">
        <f>IF(OR(AD$4="",$A113&gt;TODAY()),0,IF(OR(INDEX($B113:$D113,AD$5)="F",AND(AD$6&gt;0,$A113&lt;AD$6),AND(AD$7&gt;0,$A113&gt;AD$7)),0,MAX(0,ROUND((INDEX($E113:$G113,AD$5)-SUMIFS(TF_Timer,TF_Tekniker,AD$4,TF_Dato,$A113))*2,0)/2)))</f>
        <v/>
      </c>
      <c r="AE113">
        <f>IF(OR(AE$4="",$A113&gt;TODAY()),0,IF(OR(INDEX($B113:$D113,AE$5)="F",AND(AE$6&gt;0,$A113&lt;AE$6),AND(AE$7&gt;0,$A113&gt;AE$7)),0,MAX(0,ROUND((INDEX($E113:$G113,AE$5)-SUMIFS(TF_Timer,TF_Tekniker,AE$4,TF_Dato,$A113))*2,0)/2)))</f>
        <v/>
      </c>
      <c r="AF113">
        <f>IF(OR(AF$4="",$A113&gt;TODAY()),0,IF(OR(INDEX($B113:$D113,AF$5)="F",AND(AF$6&gt;0,$A113&lt;AF$6),AND(AF$7&gt;0,$A113&gt;AF$7)),0,MAX(0,ROUND((INDEX($E113:$G113,AF$5)-SUMIFS(TF_Timer,TF_Tekniker,AF$4,TF_Dato,$A113))*2,0)/2)))</f>
        <v/>
      </c>
      <c r="AG113">
        <f>IF(OR(AG$4="",$A113&gt;TODAY()),0,IF(OR(INDEX($B113:$D113,AG$5)="F",AND(AG$6&gt;0,$A113&lt;AG$6),AND(AG$7&gt;0,$A113&gt;AG$7)),0,MAX(0,ROUND((INDEX($E113:$G113,AG$5)-SUMIFS(TF_Timer,TF_Tekniker,AG$4,TF_Dato,$A113))*2,0)/2)))</f>
        <v/>
      </c>
      <c r="AH113">
        <f>IF(OR(AH$4="",$A113&gt;TODAY()),0,IF(OR(INDEX($B113:$D113,AH$5)="F",AND(AH$6&gt;0,$A113&lt;AH$6),AND(AH$7&gt;0,$A113&gt;AH$7)),0,MAX(0,ROUND((INDEX($E113:$G113,AH$5)-SUMIFS(TF_Timer,TF_Tekniker,AH$4,TF_Dato,$A113))*2,0)/2)))</f>
        <v/>
      </c>
      <c r="AI113">
        <f>IF(OR(AI$4="",$A113&gt;TODAY()),0,IF(OR(INDEX($B113:$D113,AI$5)="F",AND(AI$6&gt;0,$A113&lt;AI$6),AND(AI$7&gt;0,$A113&gt;AI$7)),0,MAX(0,ROUND((INDEX($E113:$G113,AI$5)-SUMIFS(TF_Timer,TF_Tekniker,AI$4,TF_Dato,$A113))*2,0)/2)))</f>
        <v/>
      </c>
      <c r="AJ113">
        <f>IF(OR(AJ$4="",$A113&gt;TODAY()),0,IF(OR(INDEX($B113:$D113,AJ$5)="F",AND(AJ$6&gt;0,$A113&lt;AJ$6),AND(AJ$7&gt;0,$A113&gt;AJ$7)),0,MAX(0,ROUND((INDEX($E113:$G113,AJ$5)-SUMIFS(TF_Timer,TF_Tekniker,AJ$4,TF_Dato,$A113))*2,0)/2)))</f>
        <v/>
      </c>
      <c r="AK113">
        <f>IF(OR(AK$4="",$A113&gt;TODAY()),0,IF(OR(INDEX($B113:$D113,AK$5)="F",AND(AK$6&gt;0,$A113&lt;AK$6),AND(AK$7&gt;0,$A113&gt;AK$7)),0,MAX(0,ROUND((INDEX($E113:$G113,AK$5)-SUMIFS(TF_Timer,TF_Tekniker,AK$4,TF_Dato,$A113))*2,0)/2)))</f>
        <v/>
      </c>
      <c r="AL113">
        <f>IF(OR(AL$4="",$A113&gt;TODAY()),0,IF(OR(INDEX($B113:$D113,AL$5)="F",AND(AL$6&gt;0,$A113&lt;AL$6),AND(AL$7&gt;0,$A113&gt;AL$7)),0,MAX(0,ROUND((INDEX($E113:$G113,AL$5)-SUMIFS(TF_Timer,TF_Tekniker,AL$4,TF_Dato,$A113))*2,0)/2)))</f>
        <v/>
      </c>
      <c r="AM113">
        <f>IF(OR(AM$4="",$A113&gt;TODAY()),0,IF(OR(INDEX($B113:$D113,AM$5)="F",AND(AM$6&gt;0,$A113&lt;AM$6),AND(AM$7&gt;0,$A113&gt;AM$7)),0,MAX(0,ROUND((INDEX($E113:$G113,AM$5)-SUMIFS(TF_Timer,TF_Tekniker,AM$4,TF_Dato,$A113))*2,0)/2)))</f>
        <v/>
      </c>
      <c r="AN113">
        <f>IF(OR(AN$4="",$A113&gt;TODAY()),0,IF(OR(INDEX($B113:$D113,AN$5)="F",AND(AN$6&gt;0,$A113&lt;AN$6),AND(AN$7&gt;0,$A113&gt;AN$7)),0,MAX(0,ROUND((INDEX($E113:$G113,AN$5)-SUMIFS(TF_Timer,TF_Tekniker,AN$4,TF_Dato,$A113))*2,0)/2)))</f>
        <v/>
      </c>
      <c r="AO113">
        <f>IF(OR(AO$4="",$A113&gt;TODAY()),0,IF(OR(INDEX($B113:$D113,AO$5)="F",AND(AO$6&gt;0,$A113&lt;AO$6),AND(AO$7&gt;0,$A113&gt;AO$7)),0,MAX(0,ROUND((INDEX($E113:$G113,AO$5)-SUMIFS(TF_Timer,TF_Tekniker,AO$4,TF_Dato,$A113))*2,0)/2)))</f>
        <v/>
      </c>
      <c r="AP113">
        <f>IF(OR(AP$4="",$A113&gt;TODAY()),0,IF(OR(INDEX($B113:$D113,AP$5)="F",AND(AP$6&gt;0,$A113&lt;AP$6),AND(AP$7&gt;0,$A113&gt;AP$7)),0,MAX(0,ROUND((INDEX($E113:$G113,AP$5)-SUMIFS(TF_Timer,TF_Tekniker,AP$4,TF_Dato,$A113))*2,0)/2)))</f>
        <v/>
      </c>
      <c r="AQ113">
        <f>IF(OR(AQ$4="",$A113&gt;TODAY()),0,IF(OR(INDEX($B113:$D113,AQ$5)="F",AND(AQ$6&gt;0,$A113&lt;AQ$6),AND(AQ$7&gt;0,$A113&gt;AQ$7)),0,MAX(0,ROUND((INDEX($E113:$G113,AQ$5)-SUMIFS(TF_Timer,TF_Tekniker,AQ$4,TF_Dato,$A113))*2,0)/2)))</f>
        <v/>
      </c>
      <c r="AR113">
        <f>IF(OR(AR$4="",$A113&gt;TODAY()),0,IF(OR(INDEX($B113:$D113,AR$5)="F",AND(AR$6&gt;0,$A113&lt;AR$6),AND(AR$7&gt;0,$A113&gt;AR$7)),0,MAX(0,ROUND((INDEX($E113:$G113,AR$5)-SUMIFS(TF_Timer,TF_Tekniker,AR$4,TF_Dato,$A113))*2,0)/2)))</f>
        <v/>
      </c>
      <c r="AS113">
        <f>IF(OR(AS$4="",$A113&gt;TODAY()),0,IF(OR(INDEX($B113:$D113,AS$5)="F",AND(AS$6&gt;0,$A113&lt;AS$6),AND(AS$7&gt;0,$A113&gt;AS$7)),0,MAX(0,ROUND((INDEX($E113:$G113,AS$5)-SUMIFS(TF_Timer,TF_Tekniker,AS$4,TF_Dato,$A113))*2,0)/2)))</f>
        <v/>
      </c>
      <c r="AT113">
        <f>IF(OR(AT$4="",$A113&gt;TODAY()),0,IF(OR(INDEX($B113:$D113,AT$5)="F",AND(AT$6&gt;0,$A113&lt;AT$6),AND(AT$7&gt;0,$A113&gt;AT$7)),0,MAX(0,ROUND((INDEX($E113:$G113,AT$5)-SUMIFS(TF_Timer,TF_Tekniker,AT$4,TF_Dato,$A113))*2,0)/2)))</f>
        <v/>
      </c>
      <c r="AU113">
        <f>IF(OR(AU$4="",$A113&gt;TODAY()),0,IF(OR(INDEX($B113:$D113,AU$5)="F",AND(AU$6&gt;0,$A113&lt;AU$6),AND(AU$7&gt;0,$A113&gt;AU$7)),0,MAX(0,ROUND((INDEX($E113:$G113,AU$5)-SUMIFS(TF_Timer,TF_Tekniker,AU$4,TF_Dato,$A113))*2,0)/2)))</f>
        <v/>
      </c>
      <c r="AV113">
        <f>IF(OR(AV$4="",$A113&gt;TODAY()),0,IF(OR(INDEX($B113:$D113,AV$5)="F",AND(AV$6&gt;0,$A113&lt;AV$6),AND(AV$7&gt;0,$A113&gt;AV$7)),0,MAX(0,ROUND((INDEX($E113:$G113,AV$5)-SUMIFS(TF_Timer,TF_Tekniker,AV$4,TF_Dato,$A113))*2,0)/2)))</f>
        <v/>
      </c>
      <c r="AW113">
        <f>IF(OR(AW$4="",$A113&gt;TODAY()),0,IF(OR(INDEX($B113:$D113,AW$5)="F",AND(AW$6&gt;0,$A113&lt;AW$6),AND(AW$7&gt;0,$A113&gt;AW$7)),0,MAX(0,ROUND((INDEX($E113:$G113,AW$5)-SUMIFS(TF_Timer,TF_Tekniker,AW$4,TF_Dato,$A113))*2,0)/2)))</f>
        <v/>
      </c>
      <c r="AX113">
        <f>IF(OR(AX$4="",$A113&gt;TODAY()),0,IF(OR(INDEX($B113:$D113,AX$5)="F",AND(AX$6&gt;0,$A113&lt;AX$6),AND(AX$7&gt;0,$A113&gt;AX$7)),0,MAX(0,ROUND((INDEX($E113:$G113,AX$5)-SUMIFS(TF_Timer,TF_Tekniker,AX$4,TF_Dato,$A113))*2,0)/2)))</f>
        <v/>
      </c>
      <c r="AY113">
        <f>IF(OR(AY$4="",$A113&gt;TODAY()),0,IF(OR(INDEX($B113:$D113,AY$5)="F",AND(AY$6&gt;0,$A113&lt;AY$6),AND(AY$7&gt;0,$A113&gt;AY$7)),0,MAX(0,ROUND((INDEX($E113:$G113,AY$5)-SUMIFS(TF_Timer,TF_Tekniker,AY$4,TF_Dato,$A113))*2,0)/2)))</f>
        <v/>
      </c>
      <c r="AZ113">
        <f>IF(OR(AZ$4="",$A113&gt;TODAY()),0,IF(OR(INDEX($B113:$D113,AZ$5)="F",AND(AZ$6&gt;0,$A113&lt;AZ$6),AND(AZ$7&gt;0,$A113&gt;AZ$7)),0,MAX(0,ROUND((INDEX($E113:$G113,AZ$5)-SUMIFS(TF_Timer,TF_Tekniker,AZ$4,TF_Dato,$A113))*2,0)/2)))</f>
        <v/>
      </c>
      <c r="BA113">
        <f>IF(OR(BA$4="",$A113&gt;TODAY()),0,IF(OR(INDEX($B113:$D113,BA$5)="F",AND(BA$6&gt;0,$A113&lt;BA$6),AND(BA$7&gt;0,$A113&gt;BA$7)),0,MAX(0,ROUND((INDEX($E113:$G113,BA$5)-SUMIFS(TF_Timer,TF_Tekniker,BA$4,TF_Dato,$A113))*2,0)/2)))</f>
        <v/>
      </c>
      <c r="BB113">
        <f>IF(OR(BB$4="",$A113&gt;TODAY()),0,IF(OR(INDEX($B113:$D113,BB$5)="F",AND(BB$6&gt;0,$A113&lt;BB$6),AND(BB$7&gt;0,$A113&gt;BB$7)),0,MAX(0,ROUND((INDEX($E113:$G113,BB$5)-SUMIFS(TF_Timer,TF_Tekniker,BB$4,TF_Dato,$A113))*2,0)/2)))</f>
        <v/>
      </c>
      <c r="BC113">
        <f>IF(OR(BC$4="",$A113&gt;TODAY()),0,IF(OR(INDEX($B113:$D113,BC$5)="F",AND(BC$6&gt;0,$A113&lt;BC$6),AND(BC$7&gt;0,$A113&gt;BC$7)),0,MAX(0,ROUND((INDEX($E113:$G113,BC$5)-SUMIFS(TF_Timer,TF_Tekniker,BC$4,TF_Dato,$A113))*2,0)/2)))</f>
        <v/>
      </c>
      <c r="BD113">
        <f>IF(OR(BD$4="",$A113&gt;TODAY()),0,IF(OR(INDEX($B113:$D113,BD$5)="F",AND(BD$6&gt;0,$A113&lt;BD$6),AND(BD$7&gt;0,$A113&gt;BD$7)),0,MAX(0,ROUND((INDEX($E113:$G113,BD$5)-SUMIFS(TF_Timer,TF_Tekniker,BD$4,TF_Dato,$A113))*2,0)/2)))</f>
        <v/>
      </c>
      <c r="BE113">
        <f>IF(OR(BE$4="",$A113&gt;TODAY()),0,IF(OR(INDEX($B113:$D113,BE$5)="F",AND(BE$6&gt;0,$A113&lt;BE$6),AND(BE$7&gt;0,$A113&gt;BE$7)),0,MAX(0,ROUND((INDEX($E113:$G113,BE$5)-SUMIFS(TF_Timer,TF_Tekniker,BE$4,TF_Dato,$A113))*2,0)/2)))</f>
        <v/>
      </c>
      <c r="BF113">
        <f>IF(OR(BF$4="",$A113&gt;TODAY()),0,IF(OR(INDEX($B113:$D113,BF$5)="F",AND(BF$6&gt;0,$A113&lt;BF$6),AND(BF$7&gt;0,$A113&gt;BF$7)),0,MAX(0,ROUND((INDEX($E113:$G113,BF$5)-SUMIFS(TF_Timer,TF_Tekniker,BF$4,TF_Dato,$A113))*2,0)/2)))</f>
        <v/>
      </c>
      <c r="BG113">
        <f>IF(OR(BG$4="",$A113&gt;TODAY()),0,IF(OR(INDEX($B113:$D113,BG$5)="F",AND(BG$6&gt;0,$A113&lt;BG$6),AND(BG$7&gt;0,$A113&gt;BG$7)),0,MAX(0,ROUND((INDEX($E113:$G113,BG$5)-SUMIFS(TF_Timer,TF_Tekniker,BG$4,TF_Dato,$A113))*2,0)/2)))</f>
        <v/>
      </c>
      <c r="BH113">
        <f>IF(OR(BH$4="",$A113&gt;TODAY()),0,IF(OR(INDEX($B113:$D113,BH$5)="F",AND(BH$6&gt;0,$A113&lt;BH$6),AND(BH$7&gt;0,$A113&gt;BH$7)),0,MAX(0,ROUND((INDEX($E113:$G113,BH$5)-SUMIFS(TF_Timer,TF_Tekniker,BH$4,TF_Dato,$A113))*2,0)/2)))</f>
        <v/>
      </c>
      <c r="BI113">
        <f>IF(OR(BI$4="",$A113&gt;TODAY()),0,IF(OR(INDEX($B113:$D113,BI$5)="F",AND(BI$6&gt;0,$A113&lt;BI$6),AND(BI$7&gt;0,$A113&gt;BI$7)),0,MAX(0,ROUND((INDEX($E113:$G113,BI$5)-SUMIFS(TF_Timer,TF_Tekniker,BI$4,TF_Dato,$A113))*2,0)/2)))</f>
        <v/>
      </c>
    </row>
    <row r="114">
      <c r="A114" s="64">
        <f>A113+1</f>
        <v/>
      </c>
      <c r="B114">
        <f>IF(MOD($A114-INDEX(SkiftStart,1),Syklus)&lt;DagK,"K",IF(MOD($A114-INDEX(SkiftStart,1),Syklus)&lt;DagK+DagH,"H",IF(MOD($A114-INDEX(SkiftStart,1),Syklus)&lt;DagK+DagH+DagD,"D","F")))</f>
        <v/>
      </c>
      <c r="C114">
        <f>IF(MOD($A114-INDEX(SkiftStart,2),Syklus)&lt;DagK,"K",IF(MOD($A114-INDEX(SkiftStart,2),Syklus)&lt;DagK+DagH,"H",IF(MOD($A114-INDEX(SkiftStart,2),Syklus)&lt;DagK+DagH+DagD,"D","F")))</f>
        <v/>
      </c>
      <c r="D114">
        <f>IF(MOD($A114-INDEX(SkiftStart,3),Syklus)&lt;DagK,"K",IF(MOD($A114-INDEX(SkiftStart,3),Syklus)&lt;DagK+DagH,"H",IF(MOD($A114-INDEX(SkiftStart,3),Syklus)&lt;DagK+DagH+DagD,"D","F")))</f>
        <v/>
      </c>
      <c r="E114">
        <f>IF(B114="F",0,IF(WEEKDAY($A114,2)=5,INDEX(TimerFr,MATCH(B114,FaseKode,0)),INDEX(TimerMT,MATCH(B114,FaseKode,0))))</f>
        <v/>
      </c>
      <c r="F114">
        <f>IF(C114="F",0,IF(WEEKDAY($A114,2)=5,INDEX(TimerFr,MATCH(C114,FaseKode,0)),INDEX(TimerMT,MATCH(C114,FaseKode,0))))</f>
        <v/>
      </c>
      <c r="G114">
        <f>IF(D114="F",0,IF(WEEKDAY($A114,2)=5,INDEX(TimerFr,MATCH(D114,FaseKode,0)),INDEX(TimerMT,MATCH(D114,FaseKode,0))))</f>
        <v/>
      </c>
      <c r="H114">
        <f>IF(OR(H$4="",$A114&gt;TODAY()),0,IF(OR(INDEX($B114:$D114,H$5)="F",AND(H$6&gt;0,$A114&lt;H$6),AND(H$7&gt;0,$A114&gt;H$7)),0,MAX(0,ROUND((INDEX($E114:$G114,H$5)-SUMIFS(TF_Timer,TF_Tekniker,H$4,TF_Dato,$A114))*2,0)/2)))</f>
        <v/>
      </c>
      <c r="I114">
        <f>IF(OR(I$4="",$A114&gt;TODAY()),0,IF(OR(INDEX($B114:$D114,I$5)="F",AND(I$6&gt;0,$A114&lt;I$6),AND(I$7&gt;0,$A114&gt;I$7)),0,MAX(0,ROUND((INDEX($E114:$G114,I$5)-SUMIFS(TF_Timer,TF_Tekniker,I$4,TF_Dato,$A114))*2,0)/2)))</f>
        <v/>
      </c>
      <c r="J114">
        <f>IF(OR(J$4="",$A114&gt;TODAY()),0,IF(OR(INDEX($B114:$D114,J$5)="F",AND(J$6&gt;0,$A114&lt;J$6),AND(J$7&gt;0,$A114&gt;J$7)),0,MAX(0,ROUND((INDEX($E114:$G114,J$5)-SUMIFS(TF_Timer,TF_Tekniker,J$4,TF_Dato,$A114))*2,0)/2)))</f>
        <v/>
      </c>
      <c r="K114">
        <f>IF(OR(K$4="",$A114&gt;TODAY()),0,IF(OR(INDEX($B114:$D114,K$5)="F",AND(K$6&gt;0,$A114&lt;K$6),AND(K$7&gt;0,$A114&gt;K$7)),0,MAX(0,ROUND((INDEX($E114:$G114,K$5)-SUMIFS(TF_Timer,TF_Tekniker,K$4,TF_Dato,$A114))*2,0)/2)))</f>
        <v/>
      </c>
      <c r="L114">
        <f>IF(OR(L$4="",$A114&gt;TODAY()),0,IF(OR(INDEX($B114:$D114,L$5)="F",AND(L$6&gt;0,$A114&lt;L$6),AND(L$7&gt;0,$A114&gt;L$7)),0,MAX(0,ROUND((INDEX($E114:$G114,L$5)-SUMIFS(TF_Timer,TF_Tekniker,L$4,TF_Dato,$A114))*2,0)/2)))</f>
        <v/>
      </c>
      <c r="M114">
        <f>IF(OR(M$4="",$A114&gt;TODAY()),0,IF(OR(INDEX($B114:$D114,M$5)="F",AND(M$6&gt;0,$A114&lt;M$6),AND(M$7&gt;0,$A114&gt;M$7)),0,MAX(0,ROUND((INDEX($E114:$G114,M$5)-SUMIFS(TF_Timer,TF_Tekniker,M$4,TF_Dato,$A114))*2,0)/2)))</f>
        <v/>
      </c>
      <c r="N114">
        <f>IF(OR(N$4="",$A114&gt;TODAY()),0,IF(OR(INDEX($B114:$D114,N$5)="F",AND(N$6&gt;0,$A114&lt;N$6),AND(N$7&gt;0,$A114&gt;N$7)),0,MAX(0,ROUND((INDEX($E114:$G114,N$5)-SUMIFS(TF_Timer,TF_Tekniker,N$4,TF_Dato,$A114))*2,0)/2)))</f>
        <v/>
      </c>
      <c r="O114">
        <f>IF(OR(O$4="",$A114&gt;TODAY()),0,IF(OR(INDEX($B114:$D114,O$5)="F",AND(O$6&gt;0,$A114&lt;O$6),AND(O$7&gt;0,$A114&gt;O$7)),0,MAX(0,ROUND((INDEX($E114:$G114,O$5)-SUMIFS(TF_Timer,TF_Tekniker,O$4,TF_Dato,$A114))*2,0)/2)))</f>
        <v/>
      </c>
      <c r="P114">
        <f>IF(OR(P$4="",$A114&gt;TODAY()),0,IF(OR(INDEX($B114:$D114,P$5)="F",AND(P$6&gt;0,$A114&lt;P$6),AND(P$7&gt;0,$A114&gt;P$7)),0,MAX(0,ROUND((INDEX($E114:$G114,P$5)-SUMIFS(TF_Timer,TF_Tekniker,P$4,TF_Dato,$A114))*2,0)/2)))</f>
        <v/>
      </c>
      <c r="Q114">
        <f>IF(OR(Q$4="",$A114&gt;TODAY()),0,IF(OR(INDEX($B114:$D114,Q$5)="F",AND(Q$6&gt;0,$A114&lt;Q$6),AND(Q$7&gt;0,$A114&gt;Q$7)),0,MAX(0,ROUND((INDEX($E114:$G114,Q$5)-SUMIFS(TF_Timer,TF_Tekniker,Q$4,TF_Dato,$A114))*2,0)/2)))</f>
        <v/>
      </c>
      <c r="R114">
        <f>IF(OR(R$4="",$A114&gt;TODAY()),0,IF(OR(INDEX($B114:$D114,R$5)="F",AND(R$6&gt;0,$A114&lt;R$6),AND(R$7&gt;0,$A114&gt;R$7)),0,MAX(0,ROUND((INDEX($E114:$G114,R$5)-SUMIFS(TF_Timer,TF_Tekniker,R$4,TF_Dato,$A114))*2,0)/2)))</f>
        <v/>
      </c>
      <c r="S114">
        <f>IF(OR(S$4="",$A114&gt;TODAY()),0,IF(OR(INDEX($B114:$D114,S$5)="F",AND(S$6&gt;0,$A114&lt;S$6),AND(S$7&gt;0,$A114&gt;S$7)),0,MAX(0,ROUND((INDEX($E114:$G114,S$5)-SUMIFS(TF_Timer,TF_Tekniker,S$4,TF_Dato,$A114))*2,0)/2)))</f>
        <v/>
      </c>
      <c r="T114">
        <f>IF(OR(T$4="",$A114&gt;TODAY()),0,IF(OR(INDEX($B114:$D114,T$5)="F",AND(T$6&gt;0,$A114&lt;T$6),AND(T$7&gt;0,$A114&gt;T$7)),0,MAX(0,ROUND((INDEX($E114:$G114,T$5)-SUMIFS(TF_Timer,TF_Tekniker,T$4,TF_Dato,$A114))*2,0)/2)))</f>
        <v/>
      </c>
      <c r="U114">
        <f>IF(OR(U$4="",$A114&gt;TODAY()),0,IF(OR(INDEX($B114:$D114,U$5)="F",AND(U$6&gt;0,$A114&lt;U$6),AND(U$7&gt;0,$A114&gt;U$7)),0,MAX(0,ROUND((INDEX($E114:$G114,U$5)-SUMIFS(TF_Timer,TF_Tekniker,U$4,TF_Dato,$A114))*2,0)/2)))</f>
        <v/>
      </c>
      <c r="V114">
        <f>IF(OR(V$4="",$A114&gt;TODAY()),0,IF(OR(INDEX($B114:$D114,V$5)="F",AND(V$6&gt;0,$A114&lt;V$6),AND(V$7&gt;0,$A114&gt;V$7)),0,MAX(0,ROUND((INDEX($E114:$G114,V$5)-SUMIFS(TF_Timer,TF_Tekniker,V$4,TF_Dato,$A114))*2,0)/2)))</f>
        <v/>
      </c>
      <c r="W114">
        <f>IF(OR(W$4="",$A114&gt;TODAY()),0,IF(OR(INDEX($B114:$D114,W$5)="F",AND(W$6&gt;0,$A114&lt;W$6),AND(W$7&gt;0,$A114&gt;W$7)),0,MAX(0,ROUND((INDEX($E114:$G114,W$5)-SUMIFS(TF_Timer,TF_Tekniker,W$4,TF_Dato,$A114))*2,0)/2)))</f>
        <v/>
      </c>
      <c r="X114">
        <f>IF(OR(X$4="",$A114&gt;TODAY()),0,IF(OR(INDEX($B114:$D114,X$5)="F",AND(X$6&gt;0,$A114&lt;X$6),AND(X$7&gt;0,$A114&gt;X$7)),0,MAX(0,ROUND((INDEX($E114:$G114,X$5)-SUMIFS(TF_Timer,TF_Tekniker,X$4,TF_Dato,$A114))*2,0)/2)))</f>
        <v/>
      </c>
      <c r="Y114">
        <f>IF(OR(Y$4="",$A114&gt;TODAY()),0,IF(OR(INDEX($B114:$D114,Y$5)="F",AND(Y$6&gt;0,$A114&lt;Y$6),AND(Y$7&gt;0,$A114&gt;Y$7)),0,MAX(0,ROUND((INDEX($E114:$G114,Y$5)-SUMIFS(TF_Timer,TF_Tekniker,Y$4,TF_Dato,$A114))*2,0)/2)))</f>
        <v/>
      </c>
      <c r="Z114">
        <f>IF(OR(Z$4="",$A114&gt;TODAY()),0,IF(OR(INDEX($B114:$D114,Z$5)="F",AND(Z$6&gt;0,$A114&lt;Z$6),AND(Z$7&gt;0,$A114&gt;Z$7)),0,MAX(0,ROUND((INDEX($E114:$G114,Z$5)-SUMIFS(TF_Timer,TF_Tekniker,Z$4,TF_Dato,$A114))*2,0)/2)))</f>
        <v/>
      </c>
      <c r="AA114">
        <f>IF(OR(AA$4="",$A114&gt;TODAY()),0,IF(OR(INDEX($B114:$D114,AA$5)="F",AND(AA$6&gt;0,$A114&lt;AA$6),AND(AA$7&gt;0,$A114&gt;AA$7)),0,MAX(0,ROUND((INDEX($E114:$G114,AA$5)-SUMIFS(TF_Timer,TF_Tekniker,AA$4,TF_Dato,$A114))*2,0)/2)))</f>
        <v/>
      </c>
      <c r="AB114">
        <f>IF(OR(AB$4="",$A114&gt;TODAY()),0,IF(OR(INDEX($B114:$D114,AB$5)="F",AND(AB$6&gt;0,$A114&lt;AB$6),AND(AB$7&gt;0,$A114&gt;AB$7)),0,MAX(0,ROUND((INDEX($E114:$G114,AB$5)-SUMIFS(TF_Timer,TF_Tekniker,AB$4,TF_Dato,$A114))*2,0)/2)))</f>
        <v/>
      </c>
      <c r="AC114">
        <f>IF(OR(AC$4="",$A114&gt;TODAY()),0,IF(OR(INDEX($B114:$D114,AC$5)="F",AND(AC$6&gt;0,$A114&lt;AC$6),AND(AC$7&gt;0,$A114&gt;AC$7)),0,MAX(0,ROUND((INDEX($E114:$G114,AC$5)-SUMIFS(TF_Timer,TF_Tekniker,AC$4,TF_Dato,$A114))*2,0)/2)))</f>
        <v/>
      </c>
      <c r="AD114">
        <f>IF(OR(AD$4="",$A114&gt;TODAY()),0,IF(OR(INDEX($B114:$D114,AD$5)="F",AND(AD$6&gt;0,$A114&lt;AD$6),AND(AD$7&gt;0,$A114&gt;AD$7)),0,MAX(0,ROUND((INDEX($E114:$G114,AD$5)-SUMIFS(TF_Timer,TF_Tekniker,AD$4,TF_Dato,$A114))*2,0)/2)))</f>
        <v/>
      </c>
      <c r="AE114">
        <f>IF(OR(AE$4="",$A114&gt;TODAY()),0,IF(OR(INDEX($B114:$D114,AE$5)="F",AND(AE$6&gt;0,$A114&lt;AE$6),AND(AE$7&gt;0,$A114&gt;AE$7)),0,MAX(0,ROUND((INDEX($E114:$G114,AE$5)-SUMIFS(TF_Timer,TF_Tekniker,AE$4,TF_Dato,$A114))*2,0)/2)))</f>
        <v/>
      </c>
      <c r="AF114">
        <f>IF(OR(AF$4="",$A114&gt;TODAY()),0,IF(OR(INDEX($B114:$D114,AF$5)="F",AND(AF$6&gt;0,$A114&lt;AF$6),AND(AF$7&gt;0,$A114&gt;AF$7)),0,MAX(0,ROUND((INDEX($E114:$G114,AF$5)-SUMIFS(TF_Timer,TF_Tekniker,AF$4,TF_Dato,$A114))*2,0)/2)))</f>
        <v/>
      </c>
      <c r="AG114">
        <f>IF(OR(AG$4="",$A114&gt;TODAY()),0,IF(OR(INDEX($B114:$D114,AG$5)="F",AND(AG$6&gt;0,$A114&lt;AG$6),AND(AG$7&gt;0,$A114&gt;AG$7)),0,MAX(0,ROUND((INDEX($E114:$G114,AG$5)-SUMIFS(TF_Timer,TF_Tekniker,AG$4,TF_Dato,$A114))*2,0)/2)))</f>
        <v/>
      </c>
      <c r="AH114">
        <f>IF(OR(AH$4="",$A114&gt;TODAY()),0,IF(OR(INDEX($B114:$D114,AH$5)="F",AND(AH$6&gt;0,$A114&lt;AH$6),AND(AH$7&gt;0,$A114&gt;AH$7)),0,MAX(0,ROUND((INDEX($E114:$G114,AH$5)-SUMIFS(TF_Timer,TF_Tekniker,AH$4,TF_Dato,$A114))*2,0)/2)))</f>
        <v/>
      </c>
      <c r="AI114">
        <f>IF(OR(AI$4="",$A114&gt;TODAY()),0,IF(OR(INDEX($B114:$D114,AI$5)="F",AND(AI$6&gt;0,$A114&lt;AI$6),AND(AI$7&gt;0,$A114&gt;AI$7)),0,MAX(0,ROUND((INDEX($E114:$G114,AI$5)-SUMIFS(TF_Timer,TF_Tekniker,AI$4,TF_Dato,$A114))*2,0)/2)))</f>
        <v/>
      </c>
      <c r="AJ114">
        <f>IF(OR(AJ$4="",$A114&gt;TODAY()),0,IF(OR(INDEX($B114:$D114,AJ$5)="F",AND(AJ$6&gt;0,$A114&lt;AJ$6),AND(AJ$7&gt;0,$A114&gt;AJ$7)),0,MAX(0,ROUND((INDEX($E114:$G114,AJ$5)-SUMIFS(TF_Timer,TF_Tekniker,AJ$4,TF_Dato,$A114))*2,0)/2)))</f>
        <v/>
      </c>
      <c r="AK114">
        <f>IF(OR(AK$4="",$A114&gt;TODAY()),0,IF(OR(INDEX($B114:$D114,AK$5)="F",AND(AK$6&gt;0,$A114&lt;AK$6),AND(AK$7&gt;0,$A114&gt;AK$7)),0,MAX(0,ROUND((INDEX($E114:$G114,AK$5)-SUMIFS(TF_Timer,TF_Tekniker,AK$4,TF_Dato,$A114))*2,0)/2)))</f>
        <v/>
      </c>
      <c r="AL114">
        <f>IF(OR(AL$4="",$A114&gt;TODAY()),0,IF(OR(INDEX($B114:$D114,AL$5)="F",AND(AL$6&gt;0,$A114&lt;AL$6),AND(AL$7&gt;0,$A114&gt;AL$7)),0,MAX(0,ROUND((INDEX($E114:$G114,AL$5)-SUMIFS(TF_Timer,TF_Tekniker,AL$4,TF_Dato,$A114))*2,0)/2)))</f>
        <v/>
      </c>
      <c r="AM114">
        <f>IF(OR(AM$4="",$A114&gt;TODAY()),0,IF(OR(INDEX($B114:$D114,AM$5)="F",AND(AM$6&gt;0,$A114&lt;AM$6),AND(AM$7&gt;0,$A114&gt;AM$7)),0,MAX(0,ROUND((INDEX($E114:$G114,AM$5)-SUMIFS(TF_Timer,TF_Tekniker,AM$4,TF_Dato,$A114))*2,0)/2)))</f>
        <v/>
      </c>
      <c r="AN114">
        <f>IF(OR(AN$4="",$A114&gt;TODAY()),0,IF(OR(INDEX($B114:$D114,AN$5)="F",AND(AN$6&gt;0,$A114&lt;AN$6),AND(AN$7&gt;0,$A114&gt;AN$7)),0,MAX(0,ROUND((INDEX($E114:$G114,AN$5)-SUMIFS(TF_Timer,TF_Tekniker,AN$4,TF_Dato,$A114))*2,0)/2)))</f>
        <v/>
      </c>
      <c r="AO114">
        <f>IF(OR(AO$4="",$A114&gt;TODAY()),0,IF(OR(INDEX($B114:$D114,AO$5)="F",AND(AO$6&gt;0,$A114&lt;AO$6),AND(AO$7&gt;0,$A114&gt;AO$7)),0,MAX(0,ROUND((INDEX($E114:$G114,AO$5)-SUMIFS(TF_Timer,TF_Tekniker,AO$4,TF_Dato,$A114))*2,0)/2)))</f>
        <v/>
      </c>
      <c r="AP114">
        <f>IF(OR(AP$4="",$A114&gt;TODAY()),0,IF(OR(INDEX($B114:$D114,AP$5)="F",AND(AP$6&gt;0,$A114&lt;AP$6),AND(AP$7&gt;0,$A114&gt;AP$7)),0,MAX(0,ROUND((INDEX($E114:$G114,AP$5)-SUMIFS(TF_Timer,TF_Tekniker,AP$4,TF_Dato,$A114))*2,0)/2)))</f>
        <v/>
      </c>
      <c r="AQ114">
        <f>IF(OR(AQ$4="",$A114&gt;TODAY()),0,IF(OR(INDEX($B114:$D114,AQ$5)="F",AND(AQ$6&gt;0,$A114&lt;AQ$6),AND(AQ$7&gt;0,$A114&gt;AQ$7)),0,MAX(0,ROUND((INDEX($E114:$G114,AQ$5)-SUMIFS(TF_Timer,TF_Tekniker,AQ$4,TF_Dato,$A114))*2,0)/2)))</f>
        <v/>
      </c>
      <c r="AR114">
        <f>IF(OR(AR$4="",$A114&gt;TODAY()),0,IF(OR(INDEX($B114:$D114,AR$5)="F",AND(AR$6&gt;0,$A114&lt;AR$6),AND(AR$7&gt;0,$A114&gt;AR$7)),0,MAX(0,ROUND((INDEX($E114:$G114,AR$5)-SUMIFS(TF_Timer,TF_Tekniker,AR$4,TF_Dato,$A114))*2,0)/2)))</f>
        <v/>
      </c>
      <c r="AS114">
        <f>IF(OR(AS$4="",$A114&gt;TODAY()),0,IF(OR(INDEX($B114:$D114,AS$5)="F",AND(AS$6&gt;0,$A114&lt;AS$6),AND(AS$7&gt;0,$A114&gt;AS$7)),0,MAX(0,ROUND((INDEX($E114:$G114,AS$5)-SUMIFS(TF_Timer,TF_Tekniker,AS$4,TF_Dato,$A114))*2,0)/2)))</f>
        <v/>
      </c>
      <c r="AT114">
        <f>IF(OR(AT$4="",$A114&gt;TODAY()),0,IF(OR(INDEX($B114:$D114,AT$5)="F",AND(AT$6&gt;0,$A114&lt;AT$6),AND(AT$7&gt;0,$A114&gt;AT$7)),0,MAX(0,ROUND((INDEX($E114:$G114,AT$5)-SUMIFS(TF_Timer,TF_Tekniker,AT$4,TF_Dato,$A114))*2,0)/2)))</f>
        <v/>
      </c>
      <c r="AU114">
        <f>IF(OR(AU$4="",$A114&gt;TODAY()),0,IF(OR(INDEX($B114:$D114,AU$5)="F",AND(AU$6&gt;0,$A114&lt;AU$6),AND(AU$7&gt;0,$A114&gt;AU$7)),0,MAX(0,ROUND((INDEX($E114:$G114,AU$5)-SUMIFS(TF_Timer,TF_Tekniker,AU$4,TF_Dato,$A114))*2,0)/2)))</f>
        <v/>
      </c>
      <c r="AV114">
        <f>IF(OR(AV$4="",$A114&gt;TODAY()),0,IF(OR(INDEX($B114:$D114,AV$5)="F",AND(AV$6&gt;0,$A114&lt;AV$6),AND(AV$7&gt;0,$A114&gt;AV$7)),0,MAX(0,ROUND((INDEX($E114:$G114,AV$5)-SUMIFS(TF_Timer,TF_Tekniker,AV$4,TF_Dato,$A114))*2,0)/2)))</f>
        <v/>
      </c>
      <c r="AW114">
        <f>IF(OR(AW$4="",$A114&gt;TODAY()),0,IF(OR(INDEX($B114:$D114,AW$5)="F",AND(AW$6&gt;0,$A114&lt;AW$6),AND(AW$7&gt;0,$A114&gt;AW$7)),0,MAX(0,ROUND((INDEX($E114:$G114,AW$5)-SUMIFS(TF_Timer,TF_Tekniker,AW$4,TF_Dato,$A114))*2,0)/2)))</f>
        <v/>
      </c>
      <c r="AX114">
        <f>IF(OR(AX$4="",$A114&gt;TODAY()),0,IF(OR(INDEX($B114:$D114,AX$5)="F",AND(AX$6&gt;0,$A114&lt;AX$6),AND(AX$7&gt;0,$A114&gt;AX$7)),0,MAX(0,ROUND((INDEX($E114:$G114,AX$5)-SUMIFS(TF_Timer,TF_Tekniker,AX$4,TF_Dato,$A114))*2,0)/2)))</f>
        <v/>
      </c>
      <c r="AY114">
        <f>IF(OR(AY$4="",$A114&gt;TODAY()),0,IF(OR(INDEX($B114:$D114,AY$5)="F",AND(AY$6&gt;0,$A114&lt;AY$6),AND(AY$7&gt;0,$A114&gt;AY$7)),0,MAX(0,ROUND((INDEX($E114:$G114,AY$5)-SUMIFS(TF_Timer,TF_Tekniker,AY$4,TF_Dato,$A114))*2,0)/2)))</f>
        <v/>
      </c>
      <c r="AZ114">
        <f>IF(OR(AZ$4="",$A114&gt;TODAY()),0,IF(OR(INDEX($B114:$D114,AZ$5)="F",AND(AZ$6&gt;0,$A114&lt;AZ$6),AND(AZ$7&gt;0,$A114&gt;AZ$7)),0,MAX(0,ROUND((INDEX($E114:$G114,AZ$5)-SUMIFS(TF_Timer,TF_Tekniker,AZ$4,TF_Dato,$A114))*2,0)/2)))</f>
        <v/>
      </c>
      <c r="BA114">
        <f>IF(OR(BA$4="",$A114&gt;TODAY()),0,IF(OR(INDEX($B114:$D114,BA$5)="F",AND(BA$6&gt;0,$A114&lt;BA$6),AND(BA$7&gt;0,$A114&gt;BA$7)),0,MAX(0,ROUND((INDEX($E114:$G114,BA$5)-SUMIFS(TF_Timer,TF_Tekniker,BA$4,TF_Dato,$A114))*2,0)/2)))</f>
        <v/>
      </c>
      <c r="BB114">
        <f>IF(OR(BB$4="",$A114&gt;TODAY()),0,IF(OR(INDEX($B114:$D114,BB$5)="F",AND(BB$6&gt;0,$A114&lt;BB$6),AND(BB$7&gt;0,$A114&gt;BB$7)),0,MAX(0,ROUND((INDEX($E114:$G114,BB$5)-SUMIFS(TF_Timer,TF_Tekniker,BB$4,TF_Dato,$A114))*2,0)/2)))</f>
        <v/>
      </c>
      <c r="BC114">
        <f>IF(OR(BC$4="",$A114&gt;TODAY()),0,IF(OR(INDEX($B114:$D114,BC$5)="F",AND(BC$6&gt;0,$A114&lt;BC$6),AND(BC$7&gt;0,$A114&gt;BC$7)),0,MAX(0,ROUND((INDEX($E114:$G114,BC$5)-SUMIFS(TF_Timer,TF_Tekniker,BC$4,TF_Dato,$A114))*2,0)/2)))</f>
        <v/>
      </c>
      <c r="BD114">
        <f>IF(OR(BD$4="",$A114&gt;TODAY()),0,IF(OR(INDEX($B114:$D114,BD$5)="F",AND(BD$6&gt;0,$A114&lt;BD$6),AND(BD$7&gt;0,$A114&gt;BD$7)),0,MAX(0,ROUND((INDEX($E114:$G114,BD$5)-SUMIFS(TF_Timer,TF_Tekniker,BD$4,TF_Dato,$A114))*2,0)/2)))</f>
        <v/>
      </c>
      <c r="BE114">
        <f>IF(OR(BE$4="",$A114&gt;TODAY()),0,IF(OR(INDEX($B114:$D114,BE$5)="F",AND(BE$6&gt;0,$A114&lt;BE$6),AND(BE$7&gt;0,$A114&gt;BE$7)),0,MAX(0,ROUND((INDEX($E114:$G114,BE$5)-SUMIFS(TF_Timer,TF_Tekniker,BE$4,TF_Dato,$A114))*2,0)/2)))</f>
        <v/>
      </c>
      <c r="BF114">
        <f>IF(OR(BF$4="",$A114&gt;TODAY()),0,IF(OR(INDEX($B114:$D114,BF$5)="F",AND(BF$6&gt;0,$A114&lt;BF$6),AND(BF$7&gt;0,$A114&gt;BF$7)),0,MAX(0,ROUND((INDEX($E114:$G114,BF$5)-SUMIFS(TF_Timer,TF_Tekniker,BF$4,TF_Dato,$A114))*2,0)/2)))</f>
        <v/>
      </c>
      <c r="BG114">
        <f>IF(OR(BG$4="",$A114&gt;TODAY()),0,IF(OR(INDEX($B114:$D114,BG$5)="F",AND(BG$6&gt;0,$A114&lt;BG$6),AND(BG$7&gt;0,$A114&gt;BG$7)),0,MAX(0,ROUND((INDEX($E114:$G114,BG$5)-SUMIFS(TF_Timer,TF_Tekniker,BG$4,TF_Dato,$A114))*2,0)/2)))</f>
        <v/>
      </c>
      <c r="BH114">
        <f>IF(OR(BH$4="",$A114&gt;TODAY()),0,IF(OR(INDEX($B114:$D114,BH$5)="F",AND(BH$6&gt;0,$A114&lt;BH$6),AND(BH$7&gt;0,$A114&gt;BH$7)),0,MAX(0,ROUND((INDEX($E114:$G114,BH$5)-SUMIFS(TF_Timer,TF_Tekniker,BH$4,TF_Dato,$A114))*2,0)/2)))</f>
        <v/>
      </c>
      <c r="BI114">
        <f>IF(OR(BI$4="",$A114&gt;TODAY()),0,IF(OR(INDEX($B114:$D114,BI$5)="F",AND(BI$6&gt;0,$A114&lt;BI$6),AND(BI$7&gt;0,$A114&gt;BI$7)),0,MAX(0,ROUND((INDEX($E114:$G114,BI$5)-SUMIFS(TF_Timer,TF_Tekniker,BI$4,TF_Dato,$A114))*2,0)/2)))</f>
        <v/>
      </c>
    </row>
    <row r="115">
      <c r="A115" s="64">
        <f>A114+1</f>
        <v/>
      </c>
      <c r="B115">
        <f>IF(MOD($A115-INDEX(SkiftStart,1),Syklus)&lt;DagK,"K",IF(MOD($A115-INDEX(SkiftStart,1),Syklus)&lt;DagK+DagH,"H",IF(MOD($A115-INDEX(SkiftStart,1),Syklus)&lt;DagK+DagH+DagD,"D","F")))</f>
        <v/>
      </c>
      <c r="C115">
        <f>IF(MOD($A115-INDEX(SkiftStart,2),Syklus)&lt;DagK,"K",IF(MOD($A115-INDEX(SkiftStart,2),Syklus)&lt;DagK+DagH,"H",IF(MOD($A115-INDEX(SkiftStart,2),Syklus)&lt;DagK+DagH+DagD,"D","F")))</f>
        <v/>
      </c>
      <c r="D115">
        <f>IF(MOD($A115-INDEX(SkiftStart,3),Syklus)&lt;DagK,"K",IF(MOD($A115-INDEX(SkiftStart,3),Syklus)&lt;DagK+DagH,"H",IF(MOD($A115-INDEX(SkiftStart,3),Syklus)&lt;DagK+DagH+DagD,"D","F")))</f>
        <v/>
      </c>
      <c r="E115">
        <f>IF(B115="F",0,IF(WEEKDAY($A115,2)=5,INDEX(TimerFr,MATCH(B115,FaseKode,0)),INDEX(TimerMT,MATCH(B115,FaseKode,0))))</f>
        <v/>
      </c>
      <c r="F115">
        <f>IF(C115="F",0,IF(WEEKDAY($A115,2)=5,INDEX(TimerFr,MATCH(C115,FaseKode,0)),INDEX(TimerMT,MATCH(C115,FaseKode,0))))</f>
        <v/>
      </c>
      <c r="G115">
        <f>IF(D115="F",0,IF(WEEKDAY($A115,2)=5,INDEX(TimerFr,MATCH(D115,FaseKode,0)),INDEX(TimerMT,MATCH(D115,FaseKode,0))))</f>
        <v/>
      </c>
      <c r="H115">
        <f>IF(OR(H$4="",$A115&gt;TODAY()),0,IF(OR(INDEX($B115:$D115,H$5)="F",AND(H$6&gt;0,$A115&lt;H$6),AND(H$7&gt;0,$A115&gt;H$7)),0,MAX(0,ROUND((INDEX($E115:$G115,H$5)-SUMIFS(TF_Timer,TF_Tekniker,H$4,TF_Dato,$A115))*2,0)/2)))</f>
        <v/>
      </c>
      <c r="I115">
        <f>IF(OR(I$4="",$A115&gt;TODAY()),0,IF(OR(INDEX($B115:$D115,I$5)="F",AND(I$6&gt;0,$A115&lt;I$6),AND(I$7&gt;0,$A115&gt;I$7)),0,MAX(0,ROUND((INDEX($E115:$G115,I$5)-SUMIFS(TF_Timer,TF_Tekniker,I$4,TF_Dato,$A115))*2,0)/2)))</f>
        <v/>
      </c>
      <c r="J115">
        <f>IF(OR(J$4="",$A115&gt;TODAY()),0,IF(OR(INDEX($B115:$D115,J$5)="F",AND(J$6&gt;0,$A115&lt;J$6),AND(J$7&gt;0,$A115&gt;J$7)),0,MAX(0,ROUND((INDEX($E115:$G115,J$5)-SUMIFS(TF_Timer,TF_Tekniker,J$4,TF_Dato,$A115))*2,0)/2)))</f>
        <v/>
      </c>
      <c r="K115">
        <f>IF(OR(K$4="",$A115&gt;TODAY()),0,IF(OR(INDEX($B115:$D115,K$5)="F",AND(K$6&gt;0,$A115&lt;K$6),AND(K$7&gt;0,$A115&gt;K$7)),0,MAX(0,ROUND((INDEX($E115:$G115,K$5)-SUMIFS(TF_Timer,TF_Tekniker,K$4,TF_Dato,$A115))*2,0)/2)))</f>
        <v/>
      </c>
      <c r="L115">
        <f>IF(OR(L$4="",$A115&gt;TODAY()),0,IF(OR(INDEX($B115:$D115,L$5)="F",AND(L$6&gt;0,$A115&lt;L$6),AND(L$7&gt;0,$A115&gt;L$7)),0,MAX(0,ROUND((INDEX($E115:$G115,L$5)-SUMIFS(TF_Timer,TF_Tekniker,L$4,TF_Dato,$A115))*2,0)/2)))</f>
        <v/>
      </c>
      <c r="M115">
        <f>IF(OR(M$4="",$A115&gt;TODAY()),0,IF(OR(INDEX($B115:$D115,M$5)="F",AND(M$6&gt;0,$A115&lt;M$6),AND(M$7&gt;0,$A115&gt;M$7)),0,MAX(0,ROUND((INDEX($E115:$G115,M$5)-SUMIFS(TF_Timer,TF_Tekniker,M$4,TF_Dato,$A115))*2,0)/2)))</f>
        <v/>
      </c>
      <c r="N115">
        <f>IF(OR(N$4="",$A115&gt;TODAY()),0,IF(OR(INDEX($B115:$D115,N$5)="F",AND(N$6&gt;0,$A115&lt;N$6),AND(N$7&gt;0,$A115&gt;N$7)),0,MAX(0,ROUND((INDEX($E115:$G115,N$5)-SUMIFS(TF_Timer,TF_Tekniker,N$4,TF_Dato,$A115))*2,0)/2)))</f>
        <v/>
      </c>
      <c r="O115">
        <f>IF(OR(O$4="",$A115&gt;TODAY()),0,IF(OR(INDEX($B115:$D115,O$5)="F",AND(O$6&gt;0,$A115&lt;O$6),AND(O$7&gt;0,$A115&gt;O$7)),0,MAX(0,ROUND((INDEX($E115:$G115,O$5)-SUMIFS(TF_Timer,TF_Tekniker,O$4,TF_Dato,$A115))*2,0)/2)))</f>
        <v/>
      </c>
      <c r="P115">
        <f>IF(OR(P$4="",$A115&gt;TODAY()),0,IF(OR(INDEX($B115:$D115,P$5)="F",AND(P$6&gt;0,$A115&lt;P$6),AND(P$7&gt;0,$A115&gt;P$7)),0,MAX(0,ROUND((INDEX($E115:$G115,P$5)-SUMIFS(TF_Timer,TF_Tekniker,P$4,TF_Dato,$A115))*2,0)/2)))</f>
        <v/>
      </c>
      <c r="Q115">
        <f>IF(OR(Q$4="",$A115&gt;TODAY()),0,IF(OR(INDEX($B115:$D115,Q$5)="F",AND(Q$6&gt;0,$A115&lt;Q$6),AND(Q$7&gt;0,$A115&gt;Q$7)),0,MAX(0,ROUND((INDEX($E115:$G115,Q$5)-SUMIFS(TF_Timer,TF_Tekniker,Q$4,TF_Dato,$A115))*2,0)/2)))</f>
        <v/>
      </c>
      <c r="R115">
        <f>IF(OR(R$4="",$A115&gt;TODAY()),0,IF(OR(INDEX($B115:$D115,R$5)="F",AND(R$6&gt;0,$A115&lt;R$6),AND(R$7&gt;0,$A115&gt;R$7)),0,MAX(0,ROUND((INDEX($E115:$G115,R$5)-SUMIFS(TF_Timer,TF_Tekniker,R$4,TF_Dato,$A115))*2,0)/2)))</f>
        <v/>
      </c>
      <c r="S115">
        <f>IF(OR(S$4="",$A115&gt;TODAY()),0,IF(OR(INDEX($B115:$D115,S$5)="F",AND(S$6&gt;0,$A115&lt;S$6),AND(S$7&gt;0,$A115&gt;S$7)),0,MAX(0,ROUND((INDEX($E115:$G115,S$5)-SUMIFS(TF_Timer,TF_Tekniker,S$4,TF_Dato,$A115))*2,0)/2)))</f>
        <v/>
      </c>
      <c r="T115">
        <f>IF(OR(T$4="",$A115&gt;TODAY()),0,IF(OR(INDEX($B115:$D115,T$5)="F",AND(T$6&gt;0,$A115&lt;T$6),AND(T$7&gt;0,$A115&gt;T$7)),0,MAX(0,ROUND((INDEX($E115:$G115,T$5)-SUMIFS(TF_Timer,TF_Tekniker,T$4,TF_Dato,$A115))*2,0)/2)))</f>
        <v/>
      </c>
      <c r="U115">
        <f>IF(OR(U$4="",$A115&gt;TODAY()),0,IF(OR(INDEX($B115:$D115,U$5)="F",AND(U$6&gt;0,$A115&lt;U$6),AND(U$7&gt;0,$A115&gt;U$7)),0,MAX(0,ROUND((INDEX($E115:$G115,U$5)-SUMIFS(TF_Timer,TF_Tekniker,U$4,TF_Dato,$A115))*2,0)/2)))</f>
        <v/>
      </c>
      <c r="V115">
        <f>IF(OR(V$4="",$A115&gt;TODAY()),0,IF(OR(INDEX($B115:$D115,V$5)="F",AND(V$6&gt;0,$A115&lt;V$6),AND(V$7&gt;0,$A115&gt;V$7)),0,MAX(0,ROUND((INDEX($E115:$G115,V$5)-SUMIFS(TF_Timer,TF_Tekniker,V$4,TF_Dato,$A115))*2,0)/2)))</f>
        <v/>
      </c>
      <c r="W115">
        <f>IF(OR(W$4="",$A115&gt;TODAY()),0,IF(OR(INDEX($B115:$D115,W$5)="F",AND(W$6&gt;0,$A115&lt;W$6),AND(W$7&gt;0,$A115&gt;W$7)),0,MAX(0,ROUND((INDEX($E115:$G115,W$5)-SUMIFS(TF_Timer,TF_Tekniker,W$4,TF_Dato,$A115))*2,0)/2)))</f>
        <v/>
      </c>
      <c r="X115">
        <f>IF(OR(X$4="",$A115&gt;TODAY()),0,IF(OR(INDEX($B115:$D115,X$5)="F",AND(X$6&gt;0,$A115&lt;X$6),AND(X$7&gt;0,$A115&gt;X$7)),0,MAX(0,ROUND((INDEX($E115:$G115,X$5)-SUMIFS(TF_Timer,TF_Tekniker,X$4,TF_Dato,$A115))*2,0)/2)))</f>
        <v/>
      </c>
      <c r="Y115">
        <f>IF(OR(Y$4="",$A115&gt;TODAY()),0,IF(OR(INDEX($B115:$D115,Y$5)="F",AND(Y$6&gt;0,$A115&lt;Y$6),AND(Y$7&gt;0,$A115&gt;Y$7)),0,MAX(0,ROUND((INDEX($E115:$G115,Y$5)-SUMIFS(TF_Timer,TF_Tekniker,Y$4,TF_Dato,$A115))*2,0)/2)))</f>
        <v/>
      </c>
      <c r="Z115">
        <f>IF(OR(Z$4="",$A115&gt;TODAY()),0,IF(OR(INDEX($B115:$D115,Z$5)="F",AND(Z$6&gt;0,$A115&lt;Z$6),AND(Z$7&gt;0,$A115&gt;Z$7)),0,MAX(0,ROUND((INDEX($E115:$G115,Z$5)-SUMIFS(TF_Timer,TF_Tekniker,Z$4,TF_Dato,$A115))*2,0)/2)))</f>
        <v/>
      </c>
      <c r="AA115">
        <f>IF(OR(AA$4="",$A115&gt;TODAY()),0,IF(OR(INDEX($B115:$D115,AA$5)="F",AND(AA$6&gt;0,$A115&lt;AA$6),AND(AA$7&gt;0,$A115&gt;AA$7)),0,MAX(0,ROUND((INDEX($E115:$G115,AA$5)-SUMIFS(TF_Timer,TF_Tekniker,AA$4,TF_Dato,$A115))*2,0)/2)))</f>
        <v/>
      </c>
      <c r="AB115">
        <f>IF(OR(AB$4="",$A115&gt;TODAY()),0,IF(OR(INDEX($B115:$D115,AB$5)="F",AND(AB$6&gt;0,$A115&lt;AB$6),AND(AB$7&gt;0,$A115&gt;AB$7)),0,MAX(0,ROUND((INDEX($E115:$G115,AB$5)-SUMIFS(TF_Timer,TF_Tekniker,AB$4,TF_Dato,$A115))*2,0)/2)))</f>
        <v/>
      </c>
      <c r="AC115">
        <f>IF(OR(AC$4="",$A115&gt;TODAY()),0,IF(OR(INDEX($B115:$D115,AC$5)="F",AND(AC$6&gt;0,$A115&lt;AC$6),AND(AC$7&gt;0,$A115&gt;AC$7)),0,MAX(0,ROUND((INDEX($E115:$G115,AC$5)-SUMIFS(TF_Timer,TF_Tekniker,AC$4,TF_Dato,$A115))*2,0)/2)))</f>
        <v/>
      </c>
      <c r="AD115">
        <f>IF(OR(AD$4="",$A115&gt;TODAY()),0,IF(OR(INDEX($B115:$D115,AD$5)="F",AND(AD$6&gt;0,$A115&lt;AD$6),AND(AD$7&gt;0,$A115&gt;AD$7)),0,MAX(0,ROUND((INDEX($E115:$G115,AD$5)-SUMIFS(TF_Timer,TF_Tekniker,AD$4,TF_Dato,$A115))*2,0)/2)))</f>
        <v/>
      </c>
      <c r="AE115">
        <f>IF(OR(AE$4="",$A115&gt;TODAY()),0,IF(OR(INDEX($B115:$D115,AE$5)="F",AND(AE$6&gt;0,$A115&lt;AE$6),AND(AE$7&gt;0,$A115&gt;AE$7)),0,MAX(0,ROUND((INDEX($E115:$G115,AE$5)-SUMIFS(TF_Timer,TF_Tekniker,AE$4,TF_Dato,$A115))*2,0)/2)))</f>
        <v/>
      </c>
      <c r="AF115">
        <f>IF(OR(AF$4="",$A115&gt;TODAY()),0,IF(OR(INDEX($B115:$D115,AF$5)="F",AND(AF$6&gt;0,$A115&lt;AF$6),AND(AF$7&gt;0,$A115&gt;AF$7)),0,MAX(0,ROUND((INDEX($E115:$G115,AF$5)-SUMIFS(TF_Timer,TF_Tekniker,AF$4,TF_Dato,$A115))*2,0)/2)))</f>
        <v/>
      </c>
      <c r="AG115">
        <f>IF(OR(AG$4="",$A115&gt;TODAY()),0,IF(OR(INDEX($B115:$D115,AG$5)="F",AND(AG$6&gt;0,$A115&lt;AG$6),AND(AG$7&gt;0,$A115&gt;AG$7)),0,MAX(0,ROUND((INDEX($E115:$G115,AG$5)-SUMIFS(TF_Timer,TF_Tekniker,AG$4,TF_Dato,$A115))*2,0)/2)))</f>
        <v/>
      </c>
      <c r="AH115">
        <f>IF(OR(AH$4="",$A115&gt;TODAY()),0,IF(OR(INDEX($B115:$D115,AH$5)="F",AND(AH$6&gt;0,$A115&lt;AH$6),AND(AH$7&gt;0,$A115&gt;AH$7)),0,MAX(0,ROUND((INDEX($E115:$G115,AH$5)-SUMIFS(TF_Timer,TF_Tekniker,AH$4,TF_Dato,$A115))*2,0)/2)))</f>
        <v/>
      </c>
      <c r="AI115">
        <f>IF(OR(AI$4="",$A115&gt;TODAY()),0,IF(OR(INDEX($B115:$D115,AI$5)="F",AND(AI$6&gt;0,$A115&lt;AI$6),AND(AI$7&gt;0,$A115&gt;AI$7)),0,MAX(0,ROUND((INDEX($E115:$G115,AI$5)-SUMIFS(TF_Timer,TF_Tekniker,AI$4,TF_Dato,$A115))*2,0)/2)))</f>
        <v/>
      </c>
      <c r="AJ115">
        <f>IF(OR(AJ$4="",$A115&gt;TODAY()),0,IF(OR(INDEX($B115:$D115,AJ$5)="F",AND(AJ$6&gt;0,$A115&lt;AJ$6),AND(AJ$7&gt;0,$A115&gt;AJ$7)),0,MAX(0,ROUND((INDEX($E115:$G115,AJ$5)-SUMIFS(TF_Timer,TF_Tekniker,AJ$4,TF_Dato,$A115))*2,0)/2)))</f>
        <v/>
      </c>
      <c r="AK115">
        <f>IF(OR(AK$4="",$A115&gt;TODAY()),0,IF(OR(INDEX($B115:$D115,AK$5)="F",AND(AK$6&gt;0,$A115&lt;AK$6),AND(AK$7&gt;0,$A115&gt;AK$7)),0,MAX(0,ROUND((INDEX($E115:$G115,AK$5)-SUMIFS(TF_Timer,TF_Tekniker,AK$4,TF_Dato,$A115))*2,0)/2)))</f>
        <v/>
      </c>
      <c r="AL115">
        <f>IF(OR(AL$4="",$A115&gt;TODAY()),0,IF(OR(INDEX($B115:$D115,AL$5)="F",AND(AL$6&gt;0,$A115&lt;AL$6),AND(AL$7&gt;0,$A115&gt;AL$7)),0,MAX(0,ROUND((INDEX($E115:$G115,AL$5)-SUMIFS(TF_Timer,TF_Tekniker,AL$4,TF_Dato,$A115))*2,0)/2)))</f>
        <v/>
      </c>
      <c r="AM115">
        <f>IF(OR(AM$4="",$A115&gt;TODAY()),0,IF(OR(INDEX($B115:$D115,AM$5)="F",AND(AM$6&gt;0,$A115&lt;AM$6),AND(AM$7&gt;0,$A115&gt;AM$7)),0,MAX(0,ROUND((INDEX($E115:$G115,AM$5)-SUMIFS(TF_Timer,TF_Tekniker,AM$4,TF_Dato,$A115))*2,0)/2)))</f>
        <v/>
      </c>
      <c r="AN115">
        <f>IF(OR(AN$4="",$A115&gt;TODAY()),0,IF(OR(INDEX($B115:$D115,AN$5)="F",AND(AN$6&gt;0,$A115&lt;AN$6),AND(AN$7&gt;0,$A115&gt;AN$7)),0,MAX(0,ROUND((INDEX($E115:$G115,AN$5)-SUMIFS(TF_Timer,TF_Tekniker,AN$4,TF_Dato,$A115))*2,0)/2)))</f>
        <v/>
      </c>
      <c r="AO115">
        <f>IF(OR(AO$4="",$A115&gt;TODAY()),0,IF(OR(INDEX($B115:$D115,AO$5)="F",AND(AO$6&gt;0,$A115&lt;AO$6),AND(AO$7&gt;0,$A115&gt;AO$7)),0,MAX(0,ROUND((INDEX($E115:$G115,AO$5)-SUMIFS(TF_Timer,TF_Tekniker,AO$4,TF_Dato,$A115))*2,0)/2)))</f>
        <v/>
      </c>
      <c r="AP115">
        <f>IF(OR(AP$4="",$A115&gt;TODAY()),0,IF(OR(INDEX($B115:$D115,AP$5)="F",AND(AP$6&gt;0,$A115&lt;AP$6),AND(AP$7&gt;0,$A115&gt;AP$7)),0,MAX(0,ROUND((INDEX($E115:$G115,AP$5)-SUMIFS(TF_Timer,TF_Tekniker,AP$4,TF_Dato,$A115))*2,0)/2)))</f>
        <v/>
      </c>
      <c r="AQ115">
        <f>IF(OR(AQ$4="",$A115&gt;TODAY()),0,IF(OR(INDEX($B115:$D115,AQ$5)="F",AND(AQ$6&gt;0,$A115&lt;AQ$6),AND(AQ$7&gt;0,$A115&gt;AQ$7)),0,MAX(0,ROUND((INDEX($E115:$G115,AQ$5)-SUMIFS(TF_Timer,TF_Tekniker,AQ$4,TF_Dato,$A115))*2,0)/2)))</f>
        <v/>
      </c>
      <c r="AR115">
        <f>IF(OR(AR$4="",$A115&gt;TODAY()),0,IF(OR(INDEX($B115:$D115,AR$5)="F",AND(AR$6&gt;0,$A115&lt;AR$6),AND(AR$7&gt;0,$A115&gt;AR$7)),0,MAX(0,ROUND((INDEX($E115:$G115,AR$5)-SUMIFS(TF_Timer,TF_Tekniker,AR$4,TF_Dato,$A115))*2,0)/2)))</f>
        <v/>
      </c>
      <c r="AS115">
        <f>IF(OR(AS$4="",$A115&gt;TODAY()),0,IF(OR(INDEX($B115:$D115,AS$5)="F",AND(AS$6&gt;0,$A115&lt;AS$6),AND(AS$7&gt;0,$A115&gt;AS$7)),0,MAX(0,ROUND((INDEX($E115:$G115,AS$5)-SUMIFS(TF_Timer,TF_Tekniker,AS$4,TF_Dato,$A115))*2,0)/2)))</f>
        <v/>
      </c>
      <c r="AT115">
        <f>IF(OR(AT$4="",$A115&gt;TODAY()),0,IF(OR(INDEX($B115:$D115,AT$5)="F",AND(AT$6&gt;0,$A115&lt;AT$6),AND(AT$7&gt;0,$A115&gt;AT$7)),0,MAX(0,ROUND((INDEX($E115:$G115,AT$5)-SUMIFS(TF_Timer,TF_Tekniker,AT$4,TF_Dato,$A115))*2,0)/2)))</f>
        <v/>
      </c>
      <c r="AU115">
        <f>IF(OR(AU$4="",$A115&gt;TODAY()),0,IF(OR(INDEX($B115:$D115,AU$5)="F",AND(AU$6&gt;0,$A115&lt;AU$6),AND(AU$7&gt;0,$A115&gt;AU$7)),0,MAX(0,ROUND((INDEX($E115:$G115,AU$5)-SUMIFS(TF_Timer,TF_Tekniker,AU$4,TF_Dato,$A115))*2,0)/2)))</f>
        <v/>
      </c>
      <c r="AV115">
        <f>IF(OR(AV$4="",$A115&gt;TODAY()),0,IF(OR(INDEX($B115:$D115,AV$5)="F",AND(AV$6&gt;0,$A115&lt;AV$6),AND(AV$7&gt;0,$A115&gt;AV$7)),0,MAX(0,ROUND((INDEX($E115:$G115,AV$5)-SUMIFS(TF_Timer,TF_Tekniker,AV$4,TF_Dato,$A115))*2,0)/2)))</f>
        <v/>
      </c>
      <c r="AW115">
        <f>IF(OR(AW$4="",$A115&gt;TODAY()),0,IF(OR(INDEX($B115:$D115,AW$5)="F",AND(AW$6&gt;0,$A115&lt;AW$6),AND(AW$7&gt;0,$A115&gt;AW$7)),0,MAX(0,ROUND((INDEX($E115:$G115,AW$5)-SUMIFS(TF_Timer,TF_Tekniker,AW$4,TF_Dato,$A115))*2,0)/2)))</f>
        <v/>
      </c>
      <c r="AX115">
        <f>IF(OR(AX$4="",$A115&gt;TODAY()),0,IF(OR(INDEX($B115:$D115,AX$5)="F",AND(AX$6&gt;0,$A115&lt;AX$6),AND(AX$7&gt;0,$A115&gt;AX$7)),0,MAX(0,ROUND((INDEX($E115:$G115,AX$5)-SUMIFS(TF_Timer,TF_Tekniker,AX$4,TF_Dato,$A115))*2,0)/2)))</f>
        <v/>
      </c>
      <c r="AY115">
        <f>IF(OR(AY$4="",$A115&gt;TODAY()),0,IF(OR(INDEX($B115:$D115,AY$5)="F",AND(AY$6&gt;0,$A115&lt;AY$6),AND(AY$7&gt;0,$A115&gt;AY$7)),0,MAX(0,ROUND((INDEX($E115:$G115,AY$5)-SUMIFS(TF_Timer,TF_Tekniker,AY$4,TF_Dato,$A115))*2,0)/2)))</f>
        <v/>
      </c>
      <c r="AZ115">
        <f>IF(OR(AZ$4="",$A115&gt;TODAY()),0,IF(OR(INDEX($B115:$D115,AZ$5)="F",AND(AZ$6&gt;0,$A115&lt;AZ$6),AND(AZ$7&gt;0,$A115&gt;AZ$7)),0,MAX(0,ROUND((INDEX($E115:$G115,AZ$5)-SUMIFS(TF_Timer,TF_Tekniker,AZ$4,TF_Dato,$A115))*2,0)/2)))</f>
        <v/>
      </c>
      <c r="BA115">
        <f>IF(OR(BA$4="",$A115&gt;TODAY()),0,IF(OR(INDEX($B115:$D115,BA$5)="F",AND(BA$6&gt;0,$A115&lt;BA$6),AND(BA$7&gt;0,$A115&gt;BA$7)),0,MAX(0,ROUND((INDEX($E115:$G115,BA$5)-SUMIFS(TF_Timer,TF_Tekniker,BA$4,TF_Dato,$A115))*2,0)/2)))</f>
        <v/>
      </c>
      <c r="BB115">
        <f>IF(OR(BB$4="",$A115&gt;TODAY()),0,IF(OR(INDEX($B115:$D115,BB$5)="F",AND(BB$6&gt;0,$A115&lt;BB$6),AND(BB$7&gt;0,$A115&gt;BB$7)),0,MAX(0,ROUND((INDEX($E115:$G115,BB$5)-SUMIFS(TF_Timer,TF_Tekniker,BB$4,TF_Dato,$A115))*2,0)/2)))</f>
        <v/>
      </c>
      <c r="BC115">
        <f>IF(OR(BC$4="",$A115&gt;TODAY()),0,IF(OR(INDEX($B115:$D115,BC$5)="F",AND(BC$6&gt;0,$A115&lt;BC$6),AND(BC$7&gt;0,$A115&gt;BC$7)),0,MAX(0,ROUND((INDEX($E115:$G115,BC$5)-SUMIFS(TF_Timer,TF_Tekniker,BC$4,TF_Dato,$A115))*2,0)/2)))</f>
        <v/>
      </c>
      <c r="BD115">
        <f>IF(OR(BD$4="",$A115&gt;TODAY()),0,IF(OR(INDEX($B115:$D115,BD$5)="F",AND(BD$6&gt;0,$A115&lt;BD$6),AND(BD$7&gt;0,$A115&gt;BD$7)),0,MAX(0,ROUND((INDEX($E115:$G115,BD$5)-SUMIFS(TF_Timer,TF_Tekniker,BD$4,TF_Dato,$A115))*2,0)/2)))</f>
        <v/>
      </c>
      <c r="BE115">
        <f>IF(OR(BE$4="",$A115&gt;TODAY()),0,IF(OR(INDEX($B115:$D115,BE$5)="F",AND(BE$6&gt;0,$A115&lt;BE$6),AND(BE$7&gt;0,$A115&gt;BE$7)),0,MAX(0,ROUND((INDEX($E115:$G115,BE$5)-SUMIFS(TF_Timer,TF_Tekniker,BE$4,TF_Dato,$A115))*2,0)/2)))</f>
        <v/>
      </c>
      <c r="BF115">
        <f>IF(OR(BF$4="",$A115&gt;TODAY()),0,IF(OR(INDEX($B115:$D115,BF$5)="F",AND(BF$6&gt;0,$A115&lt;BF$6),AND(BF$7&gt;0,$A115&gt;BF$7)),0,MAX(0,ROUND((INDEX($E115:$G115,BF$5)-SUMIFS(TF_Timer,TF_Tekniker,BF$4,TF_Dato,$A115))*2,0)/2)))</f>
        <v/>
      </c>
      <c r="BG115">
        <f>IF(OR(BG$4="",$A115&gt;TODAY()),0,IF(OR(INDEX($B115:$D115,BG$5)="F",AND(BG$6&gt;0,$A115&lt;BG$6),AND(BG$7&gt;0,$A115&gt;BG$7)),0,MAX(0,ROUND((INDEX($E115:$G115,BG$5)-SUMIFS(TF_Timer,TF_Tekniker,BG$4,TF_Dato,$A115))*2,0)/2)))</f>
        <v/>
      </c>
      <c r="BH115">
        <f>IF(OR(BH$4="",$A115&gt;TODAY()),0,IF(OR(INDEX($B115:$D115,BH$5)="F",AND(BH$6&gt;0,$A115&lt;BH$6),AND(BH$7&gt;0,$A115&gt;BH$7)),0,MAX(0,ROUND((INDEX($E115:$G115,BH$5)-SUMIFS(TF_Timer,TF_Tekniker,BH$4,TF_Dato,$A115))*2,0)/2)))</f>
        <v/>
      </c>
      <c r="BI115">
        <f>IF(OR(BI$4="",$A115&gt;TODAY()),0,IF(OR(INDEX($B115:$D115,BI$5)="F",AND(BI$6&gt;0,$A115&lt;BI$6),AND(BI$7&gt;0,$A115&gt;BI$7)),0,MAX(0,ROUND((INDEX($E115:$G115,BI$5)-SUMIFS(TF_Timer,TF_Tekniker,BI$4,TF_Dato,$A115))*2,0)/2)))</f>
        <v/>
      </c>
    </row>
    <row r="116">
      <c r="A116" s="64">
        <f>A115+1</f>
        <v/>
      </c>
      <c r="B116">
        <f>IF(MOD($A116-INDEX(SkiftStart,1),Syklus)&lt;DagK,"K",IF(MOD($A116-INDEX(SkiftStart,1),Syklus)&lt;DagK+DagH,"H",IF(MOD($A116-INDEX(SkiftStart,1),Syklus)&lt;DagK+DagH+DagD,"D","F")))</f>
        <v/>
      </c>
      <c r="C116">
        <f>IF(MOD($A116-INDEX(SkiftStart,2),Syklus)&lt;DagK,"K",IF(MOD($A116-INDEX(SkiftStart,2),Syklus)&lt;DagK+DagH,"H",IF(MOD($A116-INDEX(SkiftStart,2),Syklus)&lt;DagK+DagH+DagD,"D","F")))</f>
        <v/>
      </c>
      <c r="D116">
        <f>IF(MOD($A116-INDEX(SkiftStart,3),Syklus)&lt;DagK,"K",IF(MOD($A116-INDEX(SkiftStart,3),Syklus)&lt;DagK+DagH,"H",IF(MOD($A116-INDEX(SkiftStart,3),Syklus)&lt;DagK+DagH+DagD,"D","F")))</f>
        <v/>
      </c>
      <c r="E116">
        <f>IF(B116="F",0,IF(WEEKDAY($A116,2)=5,INDEX(TimerFr,MATCH(B116,FaseKode,0)),INDEX(TimerMT,MATCH(B116,FaseKode,0))))</f>
        <v/>
      </c>
      <c r="F116">
        <f>IF(C116="F",0,IF(WEEKDAY($A116,2)=5,INDEX(TimerFr,MATCH(C116,FaseKode,0)),INDEX(TimerMT,MATCH(C116,FaseKode,0))))</f>
        <v/>
      </c>
      <c r="G116">
        <f>IF(D116="F",0,IF(WEEKDAY($A116,2)=5,INDEX(TimerFr,MATCH(D116,FaseKode,0)),INDEX(TimerMT,MATCH(D116,FaseKode,0))))</f>
        <v/>
      </c>
      <c r="H116">
        <f>IF(OR(H$4="",$A116&gt;TODAY()),0,IF(OR(INDEX($B116:$D116,H$5)="F",AND(H$6&gt;0,$A116&lt;H$6),AND(H$7&gt;0,$A116&gt;H$7)),0,MAX(0,ROUND((INDEX($E116:$G116,H$5)-SUMIFS(TF_Timer,TF_Tekniker,H$4,TF_Dato,$A116))*2,0)/2)))</f>
        <v/>
      </c>
      <c r="I116">
        <f>IF(OR(I$4="",$A116&gt;TODAY()),0,IF(OR(INDEX($B116:$D116,I$5)="F",AND(I$6&gt;0,$A116&lt;I$6),AND(I$7&gt;0,$A116&gt;I$7)),0,MAX(0,ROUND((INDEX($E116:$G116,I$5)-SUMIFS(TF_Timer,TF_Tekniker,I$4,TF_Dato,$A116))*2,0)/2)))</f>
        <v/>
      </c>
      <c r="J116">
        <f>IF(OR(J$4="",$A116&gt;TODAY()),0,IF(OR(INDEX($B116:$D116,J$5)="F",AND(J$6&gt;0,$A116&lt;J$6),AND(J$7&gt;0,$A116&gt;J$7)),0,MAX(0,ROUND((INDEX($E116:$G116,J$5)-SUMIFS(TF_Timer,TF_Tekniker,J$4,TF_Dato,$A116))*2,0)/2)))</f>
        <v/>
      </c>
      <c r="K116">
        <f>IF(OR(K$4="",$A116&gt;TODAY()),0,IF(OR(INDEX($B116:$D116,K$5)="F",AND(K$6&gt;0,$A116&lt;K$6),AND(K$7&gt;0,$A116&gt;K$7)),0,MAX(0,ROUND((INDEX($E116:$G116,K$5)-SUMIFS(TF_Timer,TF_Tekniker,K$4,TF_Dato,$A116))*2,0)/2)))</f>
        <v/>
      </c>
      <c r="L116">
        <f>IF(OR(L$4="",$A116&gt;TODAY()),0,IF(OR(INDEX($B116:$D116,L$5)="F",AND(L$6&gt;0,$A116&lt;L$6),AND(L$7&gt;0,$A116&gt;L$7)),0,MAX(0,ROUND((INDEX($E116:$G116,L$5)-SUMIFS(TF_Timer,TF_Tekniker,L$4,TF_Dato,$A116))*2,0)/2)))</f>
        <v/>
      </c>
      <c r="M116">
        <f>IF(OR(M$4="",$A116&gt;TODAY()),0,IF(OR(INDEX($B116:$D116,M$5)="F",AND(M$6&gt;0,$A116&lt;M$6),AND(M$7&gt;0,$A116&gt;M$7)),0,MAX(0,ROUND((INDEX($E116:$G116,M$5)-SUMIFS(TF_Timer,TF_Tekniker,M$4,TF_Dato,$A116))*2,0)/2)))</f>
        <v/>
      </c>
      <c r="N116">
        <f>IF(OR(N$4="",$A116&gt;TODAY()),0,IF(OR(INDEX($B116:$D116,N$5)="F",AND(N$6&gt;0,$A116&lt;N$6),AND(N$7&gt;0,$A116&gt;N$7)),0,MAX(0,ROUND((INDEX($E116:$G116,N$5)-SUMIFS(TF_Timer,TF_Tekniker,N$4,TF_Dato,$A116))*2,0)/2)))</f>
        <v/>
      </c>
      <c r="O116">
        <f>IF(OR(O$4="",$A116&gt;TODAY()),0,IF(OR(INDEX($B116:$D116,O$5)="F",AND(O$6&gt;0,$A116&lt;O$6),AND(O$7&gt;0,$A116&gt;O$7)),0,MAX(0,ROUND((INDEX($E116:$G116,O$5)-SUMIFS(TF_Timer,TF_Tekniker,O$4,TF_Dato,$A116))*2,0)/2)))</f>
        <v/>
      </c>
      <c r="P116">
        <f>IF(OR(P$4="",$A116&gt;TODAY()),0,IF(OR(INDEX($B116:$D116,P$5)="F",AND(P$6&gt;0,$A116&lt;P$6),AND(P$7&gt;0,$A116&gt;P$7)),0,MAX(0,ROUND((INDEX($E116:$G116,P$5)-SUMIFS(TF_Timer,TF_Tekniker,P$4,TF_Dato,$A116))*2,0)/2)))</f>
        <v/>
      </c>
      <c r="Q116">
        <f>IF(OR(Q$4="",$A116&gt;TODAY()),0,IF(OR(INDEX($B116:$D116,Q$5)="F",AND(Q$6&gt;0,$A116&lt;Q$6),AND(Q$7&gt;0,$A116&gt;Q$7)),0,MAX(0,ROUND((INDEX($E116:$G116,Q$5)-SUMIFS(TF_Timer,TF_Tekniker,Q$4,TF_Dato,$A116))*2,0)/2)))</f>
        <v/>
      </c>
      <c r="R116">
        <f>IF(OR(R$4="",$A116&gt;TODAY()),0,IF(OR(INDEX($B116:$D116,R$5)="F",AND(R$6&gt;0,$A116&lt;R$6),AND(R$7&gt;0,$A116&gt;R$7)),0,MAX(0,ROUND((INDEX($E116:$G116,R$5)-SUMIFS(TF_Timer,TF_Tekniker,R$4,TF_Dato,$A116))*2,0)/2)))</f>
        <v/>
      </c>
      <c r="S116">
        <f>IF(OR(S$4="",$A116&gt;TODAY()),0,IF(OR(INDEX($B116:$D116,S$5)="F",AND(S$6&gt;0,$A116&lt;S$6),AND(S$7&gt;0,$A116&gt;S$7)),0,MAX(0,ROUND((INDEX($E116:$G116,S$5)-SUMIFS(TF_Timer,TF_Tekniker,S$4,TF_Dato,$A116))*2,0)/2)))</f>
        <v/>
      </c>
      <c r="T116">
        <f>IF(OR(T$4="",$A116&gt;TODAY()),0,IF(OR(INDEX($B116:$D116,T$5)="F",AND(T$6&gt;0,$A116&lt;T$6),AND(T$7&gt;0,$A116&gt;T$7)),0,MAX(0,ROUND((INDEX($E116:$G116,T$5)-SUMIFS(TF_Timer,TF_Tekniker,T$4,TF_Dato,$A116))*2,0)/2)))</f>
        <v/>
      </c>
      <c r="U116">
        <f>IF(OR(U$4="",$A116&gt;TODAY()),0,IF(OR(INDEX($B116:$D116,U$5)="F",AND(U$6&gt;0,$A116&lt;U$6),AND(U$7&gt;0,$A116&gt;U$7)),0,MAX(0,ROUND((INDEX($E116:$G116,U$5)-SUMIFS(TF_Timer,TF_Tekniker,U$4,TF_Dato,$A116))*2,0)/2)))</f>
        <v/>
      </c>
      <c r="V116">
        <f>IF(OR(V$4="",$A116&gt;TODAY()),0,IF(OR(INDEX($B116:$D116,V$5)="F",AND(V$6&gt;0,$A116&lt;V$6),AND(V$7&gt;0,$A116&gt;V$7)),0,MAX(0,ROUND((INDEX($E116:$G116,V$5)-SUMIFS(TF_Timer,TF_Tekniker,V$4,TF_Dato,$A116))*2,0)/2)))</f>
        <v/>
      </c>
      <c r="W116">
        <f>IF(OR(W$4="",$A116&gt;TODAY()),0,IF(OR(INDEX($B116:$D116,W$5)="F",AND(W$6&gt;0,$A116&lt;W$6),AND(W$7&gt;0,$A116&gt;W$7)),0,MAX(0,ROUND((INDEX($E116:$G116,W$5)-SUMIFS(TF_Timer,TF_Tekniker,W$4,TF_Dato,$A116))*2,0)/2)))</f>
        <v/>
      </c>
      <c r="X116">
        <f>IF(OR(X$4="",$A116&gt;TODAY()),0,IF(OR(INDEX($B116:$D116,X$5)="F",AND(X$6&gt;0,$A116&lt;X$6),AND(X$7&gt;0,$A116&gt;X$7)),0,MAX(0,ROUND((INDEX($E116:$G116,X$5)-SUMIFS(TF_Timer,TF_Tekniker,X$4,TF_Dato,$A116))*2,0)/2)))</f>
        <v/>
      </c>
      <c r="Y116">
        <f>IF(OR(Y$4="",$A116&gt;TODAY()),0,IF(OR(INDEX($B116:$D116,Y$5)="F",AND(Y$6&gt;0,$A116&lt;Y$6),AND(Y$7&gt;0,$A116&gt;Y$7)),0,MAX(0,ROUND((INDEX($E116:$G116,Y$5)-SUMIFS(TF_Timer,TF_Tekniker,Y$4,TF_Dato,$A116))*2,0)/2)))</f>
        <v/>
      </c>
      <c r="Z116">
        <f>IF(OR(Z$4="",$A116&gt;TODAY()),0,IF(OR(INDEX($B116:$D116,Z$5)="F",AND(Z$6&gt;0,$A116&lt;Z$6),AND(Z$7&gt;0,$A116&gt;Z$7)),0,MAX(0,ROUND((INDEX($E116:$G116,Z$5)-SUMIFS(TF_Timer,TF_Tekniker,Z$4,TF_Dato,$A116))*2,0)/2)))</f>
        <v/>
      </c>
      <c r="AA116">
        <f>IF(OR(AA$4="",$A116&gt;TODAY()),0,IF(OR(INDEX($B116:$D116,AA$5)="F",AND(AA$6&gt;0,$A116&lt;AA$6),AND(AA$7&gt;0,$A116&gt;AA$7)),0,MAX(0,ROUND((INDEX($E116:$G116,AA$5)-SUMIFS(TF_Timer,TF_Tekniker,AA$4,TF_Dato,$A116))*2,0)/2)))</f>
        <v/>
      </c>
      <c r="AB116">
        <f>IF(OR(AB$4="",$A116&gt;TODAY()),0,IF(OR(INDEX($B116:$D116,AB$5)="F",AND(AB$6&gt;0,$A116&lt;AB$6),AND(AB$7&gt;0,$A116&gt;AB$7)),0,MAX(0,ROUND((INDEX($E116:$G116,AB$5)-SUMIFS(TF_Timer,TF_Tekniker,AB$4,TF_Dato,$A116))*2,0)/2)))</f>
        <v/>
      </c>
      <c r="AC116">
        <f>IF(OR(AC$4="",$A116&gt;TODAY()),0,IF(OR(INDEX($B116:$D116,AC$5)="F",AND(AC$6&gt;0,$A116&lt;AC$6),AND(AC$7&gt;0,$A116&gt;AC$7)),0,MAX(0,ROUND((INDEX($E116:$G116,AC$5)-SUMIFS(TF_Timer,TF_Tekniker,AC$4,TF_Dato,$A116))*2,0)/2)))</f>
        <v/>
      </c>
      <c r="AD116">
        <f>IF(OR(AD$4="",$A116&gt;TODAY()),0,IF(OR(INDEX($B116:$D116,AD$5)="F",AND(AD$6&gt;0,$A116&lt;AD$6),AND(AD$7&gt;0,$A116&gt;AD$7)),0,MAX(0,ROUND((INDEX($E116:$G116,AD$5)-SUMIFS(TF_Timer,TF_Tekniker,AD$4,TF_Dato,$A116))*2,0)/2)))</f>
        <v/>
      </c>
      <c r="AE116">
        <f>IF(OR(AE$4="",$A116&gt;TODAY()),0,IF(OR(INDEX($B116:$D116,AE$5)="F",AND(AE$6&gt;0,$A116&lt;AE$6),AND(AE$7&gt;0,$A116&gt;AE$7)),0,MAX(0,ROUND((INDEX($E116:$G116,AE$5)-SUMIFS(TF_Timer,TF_Tekniker,AE$4,TF_Dato,$A116))*2,0)/2)))</f>
        <v/>
      </c>
      <c r="AF116">
        <f>IF(OR(AF$4="",$A116&gt;TODAY()),0,IF(OR(INDEX($B116:$D116,AF$5)="F",AND(AF$6&gt;0,$A116&lt;AF$6),AND(AF$7&gt;0,$A116&gt;AF$7)),0,MAX(0,ROUND((INDEX($E116:$G116,AF$5)-SUMIFS(TF_Timer,TF_Tekniker,AF$4,TF_Dato,$A116))*2,0)/2)))</f>
        <v/>
      </c>
      <c r="AG116">
        <f>IF(OR(AG$4="",$A116&gt;TODAY()),0,IF(OR(INDEX($B116:$D116,AG$5)="F",AND(AG$6&gt;0,$A116&lt;AG$6),AND(AG$7&gt;0,$A116&gt;AG$7)),0,MAX(0,ROUND((INDEX($E116:$G116,AG$5)-SUMIFS(TF_Timer,TF_Tekniker,AG$4,TF_Dato,$A116))*2,0)/2)))</f>
        <v/>
      </c>
      <c r="AH116">
        <f>IF(OR(AH$4="",$A116&gt;TODAY()),0,IF(OR(INDEX($B116:$D116,AH$5)="F",AND(AH$6&gt;0,$A116&lt;AH$6),AND(AH$7&gt;0,$A116&gt;AH$7)),0,MAX(0,ROUND((INDEX($E116:$G116,AH$5)-SUMIFS(TF_Timer,TF_Tekniker,AH$4,TF_Dato,$A116))*2,0)/2)))</f>
        <v/>
      </c>
      <c r="AI116">
        <f>IF(OR(AI$4="",$A116&gt;TODAY()),0,IF(OR(INDEX($B116:$D116,AI$5)="F",AND(AI$6&gt;0,$A116&lt;AI$6),AND(AI$7&gt;0,$A116&gt;AI$7)),0,MAX(0,ROUND((INDEX($E116:$G116,AI$5)-SUMIFS(TF_Timer,TF_Tekniker,AI$4,TF_Dato,$A116))*2,0)/2)))</f>
        <v/>
      </c>
      <c r="AJ116">
        <f>IF(OR(AJ$4="",$A116&gt;TODAY()),0,IF(OR(INDEX($B116:$D116,AJ$5)="F",AND(AJ$6&gt;0,$A116&lt;AJ$6),AND(AJ$7&gt;0,$A116&gt;AJ$7)),0,MAX(0,ROUND((INDEX($E116:$G116,AJ$5)-SUMIFS(TF_Timer,TF_Tekniker,AJ$4,TF_Dato,$A116))*2,0)/2)))</f>
        <v/>
      </c>
      <c r="AK116">
        <f>IF(OR(AK$4="",$A116&gt;TODAY()),0,IF(OR(INDEX($B116:$D116,AK$5)="F",AND(AK$6&gt;0,$A116&lt;AK$6),AND(AK$7&gt;0,$A116&gt;AK$7)),0,MAX(0,ROUND((INDEX($E116:$G116,AK$5)-SUMIFS(TF_Timer,TF_Tekniker,AK$4,TF_Dato,$A116))*2,0)/2)))</f>
        <v/>
      </c>
      <c r="AL116">
        <f>IF(OR(AL$4="",$A116&gt;TODAY()),0,IF(OR(INDEX($B116:$D116,AL$5)="F",AND(AL$6&gt;0,$A116&lt;AL$6),AND(AL$7&gt;0,$A116&gt;AL$7)),0,MAX(0,ROUND((INDEX($E116:$G116,AL$5)-SUMIFS(TF_Timer,TF_Tekniker,AL$4,TF_Dato,$A116))*2,0)/2)))</f>
        <v/>
      </c>
      <c r="AM116">
        <f>IF(OR(AM$4="",$A116&gt;TODAY()),0,IF(OR(INDEX($B116:$D116,AM$5)="F",AND(AM$6&gt;0,$A116&lt;AM$6),AND(AM$7&gt;0,$A116&gt;AM$7)),0,MAX(0,ROUND((INDEX($E116:$G116,AM$5)-SUMIFS(TF_Timer,TF_Tekniker,AM$4,TF_Dato,$A116))*2,0)/2)))</f>
        <v/>
      </c>
      <c r="AN116">
        <f>IF(OR(AN$4="",$A116&gt;TODAY()),0,IF(OR(INDEX($B116:$D116,AN$5)="F",AND(AN$6&gt;0,$A116&lt;AN$6),AND(AN$7&gt;0,$A116&gt;AN$7)),0,MAX(0,ROUND((INDEX($E116:$G116,AN$5)-SUMIFS(TF_Timer,TF_Tekniker,AN$4,TF_Dato,$A116))*2,0)/2)))</f>
        <v/>
      </c>
      <c r="AO116">
        <f>IF(OR(AO$4="",$A116&gt;TODAY()),0,IF(OR(INDEX($B116:$D116,AO$5)="F",AND(AO$6&gt;0,$A116&lt;AO$6),AND(AO$7&gt;0,$A116&gt;AO$7)),0,MAX(0,ROUND((INDEX($E116:$G116,AO$5)-SUMIFS(TF_Timer,TF_Tekniker,AO$4,TF_Dato,$A116))*2,0)/2)))</f>
        <v/>
      </c>
      <c r="AP116">
        <f>IF(OR(AP$4="",$A116&gt;TODAY()),0,IF(OR(INDEX($B116:$D116,AP$5)="F",AND(AP$6&gt;0,$A116&lt;AP$6),AND(AP$7&gt;0,$A116&gt;AP$7)),0,MAX(0,ROUND((INDEX($E116:$G116,AP$5)-SUMIFS(TF_Timer,TF_Tekniker,AP$4,TF_Dato,$A116))*2,0)/2)))</f>
        <v/>
      </c>
      <c r="AQ116">
        <f>IF(OR(AQ$4="",$A116&gt;TODAY()),0,IF(OR(INDEX($B116:$D116,AQ$5)="F",AND(AQ$6&gt;0,$A116&lt;AQ$6),AND(AQ$7&gt;0,$A116&gt;AQ$7)),0,MAX(0,ROUND((INDEX($E116:$G116,AQ$5)-SUMIFS(TF_Timer,TF_Tekniker,AQ$4,TF_Dato,$A116))*2,0)/2)))</f>
        <v/>
      </c>
      <c r="AR116">
        <f>IF(OR(AR$4="",$A116&gt;TODAY()),0,IF(OR(INDEX($B116:$D116,AR$5)="F",AND(AR$6&gt;0,$A116&lt;AR$6),AND(AR$7&gt;0,$A116&gt;AR$7)),0,MAX(0,ROUND((INDEX($E116:$G116,AR$5)-SUMIFS(TF_Timer,TF_Tekniker,AR$4,TF_Dato,$A116))*2,0)/2)))</f>
        <v/>
      </c>
      <c r="AS116">
        <f>IF(OR(AS$4="",$A116&gt;TODAY()),0,IF(OR(INDEX($B116:$D116,AS$5)="F",AND(AS$6&gt;0,$A116&lt;AS$6),AND(AS$7&gt;0,$A116&gt;AS$7)),0,MAX(0,ROUND((INDEX($E116:$G116,AS$5)-SUMIFS(TF_Timer,TF_Tekniker,AS$4,TF_Dato,$A116))*2,0)/2)))</f>
        <v/>
      </c>
      <c r="AT116">
        <f>IF(OR(AT$4="",$A116&gt;TODAY()),0,IF(OR(INDEX($B116:$D116,AT$5)="F",AND(AT$6&gt;0,$A116&lt;AT$6),AND(AT$7&gt;0,$A116&gt;AT$7)),0,MAX(0,ROUND((INDEX($E116:$G116,AT$5)-SUMIFS(TF_Timer,TF_Tekniker,AT$4,TF_Dato,$A116))*2,0)/2)))</f>
        <v/>
      </c>
      <c r="AU116">
        <f>IF(OR(AU$4="",$A116&gt;TODAY()),0,IF(OR(INDEX($B116:$D116,AU$5)="F",AND(AU$6&gt;0,$A116&lt;AU$6),AND(AU$7&gt;0,$A116&gt;AU$7)),0,MAX(0,ROUND((INDEX($E116:$G116,AU$5)-SUMIFS(TF_Timer,TF_Tekniker,AU$4,TF_Dato,$A116))*2,0)/2)))</f>
        <v/>
      </c>
      <c r="AV116">
        <f>IF(OR(AV$4="",$A116&gt;TODAY()),0,IF(OR(INDEX($B116:$D116,AV$5)="F",AND(AV$6&gt;0,$A116&lt;AV$6),AND(AV$7&gt;0,$A116&gt;AV$7)),0,MAX(0,ROUND((INDEX($E116:$G116,AV$5)-SUMIFS(TF_Timer,TF_Tekniker,AV$4,TF_Dato,$A116))*2,0)/2)))</f>
        <v/>
      </c>
      <c r="AW116">
        <f>IF(OR(AW$4="",$A116&gt;TODAY()),0,IF(OR(INDEX($B116:$D116,AW$5)="F",AND(AW$6&gt;0,$A116&lt;AW$6),AND(AW$7&gt;0,$A116&gt;AW$7)),0,MAX(0,ROUND((INDEX($E116:$G116,AW$5)-SUMIFS(TF_Timer,TF_Tekniker,AW$4,TF_Dato,$A116))*2,0)/2)))</f>
        <v/>
      </c>
      <c r="AX116">
        <f>IF(OR(AX$4="",$A116&gt;TODAY()),0,IF(OR(INDEX($B116:$D116,AX$5)="F",AND(AX$6&gt;0,$A116&lt;AX$6),AND(AX$7&gt;0,$A116&gt;AX$7)),0,MAX(0,ROUND((INDEX($E116:$G116,AX$5)-SUMIFS(TF_Timer,TF_Tekniker,AX$4,TF_Dato,$A116))*2,0)/2)))</f>
        <v/>
      </c>
      <c r="AY116">
        <f>IF(OR(AY$4="",$A116&gt;TODAY()),0,IF(OR(INDEX($B116:$D116,AY$5)="F",AND(AY$6&gt;0,$A116&lt;AY$6),AND(AY$7&gt;0,$A116&gt;AY$7)),0,MAX(0,ROUND((INDEX($E116:$G116,AY$5)-SUMIFS(TF_Timer,TF_Tekniker,AY$4,TF_Dato,$A116))*2,0)/2)))</f>
        <v/>
      </c>
      <c r="AZ116">
        <f>IF(OR(AZ$4="",$A116&gt;TODAY()),0,IF(OR(INDEX($B116:$D116,AZ$5)="F",AND(AZ$6&gt;0,$A116&lt;AZ$6),AND(AZ$7&gt;0,$A116&gt;AZ$7)),0,MAX(0,ROUND((INDEX($E116:$G116,AZ$5)-SUMIFS(TF_Timer,TF_Tekniker,AZ$4,TF_Dato,$A116))*2,0)/2)))</f>
        <v/>
      </c>
      <c r="BA116">
        <f>IF(OR(BA$4="",$A116&gt;TODAY()),0,IF(OR(INDEX($B116:$D116,BA$5)="F",AND(BA$6&gt;0,$A116&lt;BA$6),AND(BA$7&gt;0,$A116&gt;BA$7)),0,MAX(0,ROUND((INDEX($E116:$G116,BA$5)-SUMIFS(TF_Timer,TF_Tekniker,BA$4,TF_Dato,$A116))*2,0)/2)))</f>
        <v/>
      </c>
      <c r="BB116">
        <f>IF(OR(BB$4="",$A116&gt;TODAY()),0,IF(OR(INDEX($B116:$D116,BB$5)="F",AND(BB$6&gt;0,$A116&lt;BB$6),AND(BB$7&gt;0,$A116&gt;BB$7)),0,MAX(0,ROUND((INDEX($E116:$G116,BB$5)-SUMIFS(TF_Timer,TF_Tekniker,BB$4,TF_Dato,$A116))*2,0)/2)))</f>
        <v/>
      </c>
      <c r="BC116">
        <f>IF(OR(BC$4="",$A116&gt;TODAY()),0,IF(OR(INDEX($B116:$D116,BC$5)="F",AND(BC$6&gt;0,$A116&lt;BC$6),AND(BC$7&gt;0,$A116&gt;BC$7)),0,MAX(0,ROUND((INDEX($E116:$G116,BC$5)-SUMIFS(TF_Timer,TF_Tekniker,BC$4,TF_Dato,$A116))*2,0)/2)))</f>
        <v/>
      </c>
      <c r="BD116">
        <f>IF(OR(BD$4="",$A116&gt;TODAY()),0,IF(OR(INDEX($B116:$D116,BD$5)="F",AND(BD$6&gt;0,$A116&lt;BD$6),AND(BD$7&gt;0,$A116&gt;BD$7)),0,MAX(0,ROUND((INDEX($E116:$G116,BD$5)-SUMIFS(TF_Timer,TF_Tekniker,BD$4,TF_Dato,$A116))*2,0)/2)))</f>
        <v/>
      </c>
      <c r="BE116">
        <f>IF(OR(BE$4="",$A116&gt;TODAY()),0,IF(OR(INDEX($B116:$D116,BE$5)="F",AND(BE$6&gt;0,$A116&lt;BE$6),AND(BE$7&gt;0,$A116&gt;BE$7)),0,MAX(0,ROUND((INDEX($E116:$G116,BE$5)-SUMIFS(TF_Timer,TF_Tekniker,BE$4,TF_Dato,$A116))*2,0)/2)))</f>
        <v/>
      </c>
      <c r="BF116">
        <f>IF(OR(BF$4="",$A116&gt;TODAY()),0,IF(OR(INDEX($B116:$D116,BF$5)="F",AND(BF$6&gt;0,$A116&lt;BF$6),AND(BF$7&gt;0,$A116&gt;BF$7)),0,MAX(0,ROUND((INDEX($E116:$G116,BF$5)-SUMIFS(TF_Timer,TF_Tekniker,BF$4,TF_Dato,$A116))*2,0)/2)))</f>
        <v/>
      </c>
      <c r="BG116">
        <f>IF(OR(BG$4="",$A116&gt;TODAY()),0,IF(OR(INDEX($B116:$D116,BG$5)="F",AND(BG$6&gt;0,$A116&lt;BG$6),AND(BG$7&gt;0,$A116&gt;BG$7)),0,MAX(0,ROUND((INDEX($E116:$G116,BG$5)-SUMIFS(TF_Timer,TF_Tekniker,BG$4,TF_Dato,$A116))*2,0)/2)))</f>
        <v/>
      </c>
      <c r="BH116">
        <f>IF(OR(BH$4="",$A116&gt;TODAY()),0,IF(OR(INDEX($B116:$D116,BH$5)="F",AND(BH$6&gt;0,$A116&lt;BH$6),AND(BH$7&gt;0,$A116&gt;BH$7)),0,MAX(0,ROUND((INDEX($E116:$G116,BH$5)-SUMIFS(TF_Timer,TF_Tekniker,BH$4,TF_Dato,$A116))*2,0)/2)))</f>
        <v/>
      </c>
      <c r="BI116">
        <f>IF(OR(BI$4="",$A116&gt;TODAY()),0,IF(OR(INDEX($B116:$D116,BI$5)="F",AND(BI$6&gt;0,$A116&lt;BI$6),AND(BI$7&gt;0,$A116&gt;BI$7)),0,MAX(0,ROUND((INDEX($E116:$G116,BI$5)-SUMIFS(TF_Timer,TF_Tekniker,BI$4,TF_Dato,$A116))*2,0)/2)))</f>
        <v/>
      </c>
    </row>
    <row r="117">
      <c r="A117" s="64">
        <f>A116+1</f>
        <v/>
      </c>
      <c r="B117">
        <f>IF(MOD($A117-INDEX(SkiftStart,1),Syklus)&lt;DagK,"K",IF(MOD($A117-INDEX(SkiftStart,1),Syklus)&lt;DagK+DagH,"H",IF(MOD($A117-INDEX(SkiftStart,1),Syklus)&lt;DagK+DagH+DagD,"D","F")))</f>
        <v/>
      </c>
      <c r="C117">
        <f>IF(MOD($A117-INDEX(SkiftStart,2),Syklus)&lt;DagK,"K",IF(MOD($A117-INDEX(SkiftStart,2),Syklus)&lt;DagK+DagH,"H",IF(MOD($A117-INDEX(SkiftStart,2),Syklus)&lt;DagK+DagH+DagD,"D","F")))</f>
        <v/>
      </c>
      <c r="D117">
        <f>IF(MOD($A117-INDEX(SkiftStart,3),Syklus)&lt;DagK,"K",IF(MOD($A117-INDEX(SkiftStart,3),Syklus)&lt;DagK+DagH,"H",IF(MOD($A117-INDEX(SkiftStart,3),Syklus)&lt;DagK+DagH+DagD,"D","F")))</f>
        <v/>
      </c>
      <c r="E117">
        <f>IF(B117="F",0,IF(WEEKDAY($A117,2)=5,INDEX(TimerFr,MATCH(B117,FaseKode,0)),INDEX(TimerMT,MATCH(B117,FaseKode,0))))</f>
        <v/>
      </c>
      <c r="F117">
        <f>IF(C117="F",0,IF(WEEKDAY($A117,2)=5,INDEX(TimerFr,MATCH(C117,FaseKode,0)),INDEX(TimerMT,MATCH(C117,FaseKode,0))))</f>
        <v/>
      </c>
      <c r="G117">
        <f>IF(D117="F",0,IF(WEEKDAY($A117,2)=5,INDEX(TimerFr,MATCH(D117,FaseKode,0)),INDEX(TimerMT,MATCH(D117,FaseKode,0))))</f>
        <v/>
      </c>
      <c r="H117">
        <f>IF(OR(H$4="",$A117&gt;TODAY()),0,IF(OR(INDEX($B117:$D117,H$5)="F",AND(H$6&gt;0,$A117&lt;H$6),AND(H$7&gt;0,$A117&gt;H$7)),0,MAX(0,ROUND((INDEX($E117:$G117,H$5)-SUMIFS(TF_Timer,TF_Tekniker,H$4,TF_Dato,$A117))*2,0)/2)))</f>
        <v/>
      </c>
      <c r="I117">
        <f>IF(OR(I$4="",$A117&gt;TODAY()),0,IF(OR(INDEX($B117:$D117,I$5)="F",AND(I$6&gt;0,$A117&lt;I$6),AND(I$7&gt;0,$A117&gt;I$7)),0,MAX(0,ROUND((INDEX($E117:$G117,I$5)-SUMIFS(TF_Timer,TF_Tekniker,I$4,TF_Dato,$A117))*2,0)/2)))</f>
        <v/>
      </c>
      <c r="J117">
        <f>IF(OR(J$4="",$A117&gt;TODAY()),0,IF(OR(INDEX($B117:$D117,J$5)="F",AND(J$6&gt;0,$A117&lt;J$6),AND(J$7&gt;0,$A117&gt;J$7)),0,MAX(0,ROUND((INDEX($E117:$G117,J$5)-SUMIFS(TF_Timer,TF_Tekniker,J$4,TF_Dato,$A117))*2,0)/2)))</f>
        <v/>
      </c>
      <c r="K117">
        <f>IF(OR(K$4="",$A117&gt;TODAY()),0,IF(OR(INDEX($B117:$D117,K$5)="F",AND(K$6&gt;0,$A117&lt;K$6),AND(K$7&gt;0,$A117&gt;K$7)),0,MAX(0,ROUND((INDEX($E117:$G117,K$5)-SUMIFS(TF_Timer,TF_Tekniker,K$4,TF_Dato,$A117))*2,0)/2)))</f>
        <v/>
      </c>
      <c r="L117">
        <f>IF(OR(L$4="",$A117&gt;TODAY()),0,IF(OR(INDEX($B117:$D117,L$5)="F",AND(L$6&gt;0,$A117&lt;L$6),AND(L$7&gt;0,$A117&gt;L$7)),0,MAX(0,ROUND((INDEX($E117:$G117,L$5)-SUMIFS(TF_Timer,TF_Tekniker,L$4,TF_Dato,$A117))*2,0)/2)))</f>
        <v/>
      </c>
      <c r="M117">
        <f>IF(OR(M$4="",$A117&gt;TODAY()),0,IF(OR(INDEX($B117:$D117,M$5)="F",AND(M$6&gt;0,$A117&lt;M$6),AND(M$7&gt;0,$A117&gt;M$7)),0,MAX(0,ROUND((INDEX($E117:$G117,M$5)-SUMIFS(TF_Timer,TF_Tekniker,M$4,TF_Dato,$A117))*2,0)/2)))</f>
        <v/>
      </c>
      <c r="N117">
        <f>IF(OR(N$4="",$A117&gt;TODAY()),0,IF(OR(INDEX($B117:$D117,N$5)="F",AND(N$6&gt;0,$A117&lt;N$6),AND(N$7&gt;0,$A117&gt;N$7)),0,MAX(0,ROUND((INDEX($E117:$G117,N$5)-SUMIFS(TF_Timer,TF_Tekniker,N$4,TF_Dato,$A117))*2,0)/2)))</f>
        <v/>
      </c>
      <c r="O117">
        <f>IF(OR(O$4="",$A117&gt;TODAY()),0,IF(OR(INDEX($B117:$D117,O$5)="F",AND(O$6&gt;0,$A117&lt;O$6),AND(O$7&gt;0,$A117&gt;O$7)),0,MAX(0,ROUND((INDEX($E117:$G117,O$5)-SUMIFS(TF_Timer,TF_Tekniker,O$4,TF_Dato,$A117))*2,0)/2)))</f>
        <v/>
      </c>
      <c r="P117">
        <f>IF(OR(P$4="",$A117&gt;TODAY()),0,IF(OR(INDEX($B117:$D117,P$5)="F",AND(P$6&gt;0,$A117&lt;P$6),AND(P$7&gt;0,$A117&gt;P$7)),0,MAX(0,ROUND((INDEX($E117:$G117,P$5)-SUMIFS(TF_Timer,TF_Tekniker,P$4,TF_Dato,$A117))*2,0)/2)))</f>
        <v/>
      </c>
      <c r="Q117">
        <f>IF(OR(Q$4="",$A117&gt;TODAY()),0,IF(OR(INDEX($B117:$D117,Q$5)="F",AND(Q$6&gt;0,$A117&lt;Q$6),AND(Q$7&gt;0,$A117&gt;Q$7)),0,MAX(0,ROUND((INDEX($E117:$G117,Q$5)-SUMIFS(TF_Timer,TF_Tekniker,Q$4,TF_Dato,$A117))*2,0)/2)))</f>
        <v/>
      </c>
      <c r="R117">
        <f>IF(OR(R$4="",$A117&gt;TODAY()),0,IF(OR(INDEX($B117:$D117,R$5)="F",AND(R$6&gt;0,$A117&lt;R$6),AND(R$7&gt;0,$A117&gt;R$7)),0,MAX(0,ROUND((INDEX($E117:$G117,R$5)-SUMIFS(TF_Timer,TF_Tekniker,R$4,TF_Dato,$A117))*2,0)/2)))</f>
        <v/>
      </c>
      <c r="S117">
        <f>IF(OR(S$4="",$A117&gt;TODAY()),0,IF(OR(INDEX($B117:$D117,S$5)="F",AND(S$6&gt;0,$A117&lt;S$6),AND(S$7&gt;0,$A117&gt;S$7)),0,MAX(0,ROUND((INDEX($E117:$G117,S$5)-SUMIFS(TF_Timer,TF_Tekniker,S$4,TF_Dato,$A117))*2,0)/2)))</f>
        <v/>
      </c>
      <c r="T117">
        <f>IF(OR(T$4="",$A117&gt;TODAY()),0,IF(OR(INDEX($B117:$D117,T$5)="F",AND(T$6&gt;0,$A117&lt;T$6),AND(T$7&gt;0,$A117&gt;T$7)),0,MAX(0,ROUND((INDEX($E117:$G117,T$5)-SUMIFS(TF_Timer,TF_Tekniker,T$4,TF_Dato,$A117))*2,0)/2)))</f>
        <v/>
      </c>
      <c r="U117">
        <f>IF(OR(U$4="",$A117&gt;TODAY()),0,IF(OR(INDEX($B117:$D117,U$5)="F",AND(U$6&gt;0,$A117&lt;U$6),AND(U$7&gt;0,$A117&gt;U$7)),0,MAX(0,ROUND((INDEX($E117:$G117,U$5)-SUMIFS(TF_Timer,TF_Tekniker,U$4,TF_Dato,$A117))*2,0)/2)))</f>
        <v/>
      </c>
      <c r="V117">
        <f>IF(OR(V$4="",$A117&gt;TODAY()),0,IF(OR(INDEX($B117:$D117,V$5)="F",AND(V$6&gt;0,$A117&lt;V$6),AND(V$7&gt;0,$A117&gt;V$7)),0,MAX(0,ROUND((INDEX($E117:$G117,V$5)-SUMIFS(TF_Timer,TF_Tekniker,V$4,TF_Dato,$A117))*2,0)/2)))</f>
        <v/>
      </c>
      <c r="W117">
        <f>IF(OR(W$4="",$A117&gt;TODAY()),0,IF(OR(INDEX($B117:$D117,W$5)="F",AND(W$6&gt;0,$A117&lt;W$6),AND(W$7&gt;0,$A117&gt;W$7)),0,MAX(0,ROUND((INDEX($E117:$G117,W$5)-SUMIFS(TF_Timer,TF_Tekniker,W$4,TF_Dato,$A117))*2,0)/2)))</f>
        <v/>
      </c>
      <c r="X117">
        <f>IF(OR(X$4="",$A117&gt;TODAY()),0,IF(OR(INDEX($B117:$D117,X$5)="F",AND(X$6&gt;0,$A117&lt;X$6),AND(X$7&gt;0,$A117&gt;X$7)),0,MAX(0,ROUND((INDEX($E117:$G117,X$5)-SUMIFS(TF_Timer,TF_Tekniker,X$4,TF_Dato,$A117))*2,0)/2)))</f>
        <v/>
      </c>
      <c r="Y117">
        <f>IF(OR(Y$4="",$A117&gt;TODAY()),0,IF(OR(INDEX($B117:$D117,Y$5)="F",AND(Y$6&gt;0,$A117&lt;Y$6),AND(Y$7&gt;0,$A117&gt;Y$7)),0,MAX(0,ROUND((INDEX($E117:$G117,Y$5)-SUMIFS(TF_Timer,TF_Tekniker,Y$4,TF_Dato,$A117))*2,0)/2)))</f>
        <v/>
      </c>
      <c r="Z117">
        <f>IF(OR(Z$4="",$A117&gt;TODAY()),0,IF(OR(INDEX($B117:$D117,Z$5)="F",AND(Z$6&gt;0,$A117&lt;Z$6),AND(Z$7&gt;0,$A117&gt;Z$7)),0,MAX(0,ROUND((INDEX($E117:$G117,Z$5)-SUMIFS(TF_Timer,TF_Tekniker,Z$4,TF_Dato,$A117))*2,0)/2)))</f>
        <v/>
      </c>
      <c r="AA117">
        <f>IF(OR(AA$4="",$A117&gt;TODAY()),0,IF(OR(INDEX($B117:$D117,AA$5)="F",AND(AA$6&gt;0,$A117&lt;AA$6),AND(AA$7&gt;0,$A117&gt;AA$7)),0,MAX(0,ROUND((INDEX($E117:$G117,AA$5)-SUMIFS(TF_Timer,TF_Tekniker,AA$4,TF_Dato,$A117))*2,0)/2)))</f>
        <v/>
      </c>
      <c r="AB117">
        <f>IF(OR(AB$4="",$A117&gt;TODAY()),0,IF(OR(INDEX($B117:$D117,AB$5)="F",AND(AB$6&gt;0,$A117&lt;AB$6),AND(AB$7&gt;0,$A117&gt;AB$7)),0,MAX(0,ROUND((INDEX($E117:$G117,AB$5)-SUMIFS(TF_Timer,TF_Tekniker,AB$4,TF_Dato,$A117))*2,0)/2)))</f>
        <v/>
      </c>
      <c r="AC117">
        <f>IF(OR(AC$4="",$A117&gt;TODAY()),0,IF(OR(INDEX($B117:$D117,AC$5)="F",AND(AC$6&gt;0,$A117&lt;AC$6),AND(AC$7&gt;0,$A117&gt;AC$7)),0,MAX(0,ROUND((INDEX($E117:$G117,AC$5)-SUMIFS(TF_Timer,TF_Tekniker,AC$4,TF_Dato,$A117))*2,0)/2)))</f>
        <v/>
      </c>
      <c r="AD117">
        <f>IF(OR(AD$4="",$A117&gt;TODAY()),0,IF(OR(INDEX($B117:$D117,AD$5)="F",AND(AD$6&gt;0,$A117&lt;AD$6),AND(AD$7&gt;0,$A117&gt;AD$7)),0,MAX(0,ROUND((INDEX($E117:$G117,AD$5)-SUMIFS(TF_Timer,TF_Tekniker,AD$4,TF_Dato,$A117))*2,0)/2)))</f>
        <v/>
      </c>
      <c r="AE117">
        <f>IF(OR(AE$4="",$A117&gt;TODAY()),0,IF(OR(INDEX($B117:$D117,AE$5)="F",AND(AE$6&gt;0,$A117&lt;AE$6),AND(AE$7&gt;0,$A117&gt;AE$7)),0,MAX(0,ROUND((INDEX($E117:$G117,AE$5)-SUMIFS(TF_Timer,TF_Tekniker,AE$4,TF_Dato,$A117))*2,0)/2)))</f>
        <v/>
      </c>
      <c r="AF117">
        <f>IF(OR(AF$4="",$A117&gt;TODAY()),0,IF(OR(INDEX($B117:$D117,AF$5)="F",AND(AF$6&gt;0,$A117&lt;AF$6),AND(AF$7&gt;0,$A117&gt;AF$7)),0,MAX(0,ROUND((INDEX($E117:$G117,AF$5)-SUMIFS(TF_Timer,TF_Tekniker,AF$4,TF_Dato,$A117))*2,0)/2)))</f>
        <v/>
      </c>
      <c r="AG117">
        <f>IF(OR(AG$4="",$A117&gt;TODAY()),0,IF(OR(INDEX($B117:$D117,AG$5)="F",AND(AG$6&gt;0,$A117&lt;AG$6),AND(AG$7&gt;0,$A117&gt;AG$7)),0,MAX(0,ROUND((INDEX($E117:$G117,AG$5)-SUMIFS(TF_Timer,TF_Tekniker,AG$4,TF_Dato,$A117))*2,0)/2)))</f>
        <v/>
      </c>
      <c r="AH117">
        <f>IF(OR(AH$4="",$A117&gt;TODAY()),0,IF(OR(INDEX($B117:$D117,AH$5)="F",AND(AH$6&gt;0,$A117&lt;AH$6),AND(AH$7&gt;0,$A117&gt;AH$7)),0,MAX(0,ROUND((INDEX($E117:$G117,AH$5)-SUMIFS(TF_Timer,TF_Tekniker,AH$4,TF_Dato,$A117))*2,0)/2)))</f>
        <v/>
      </c>
      <c r="AI117">
        <f>IF(OR(AI$4="",$A117&gt;TODAY()),0,IF(OR(INDEX($B117:$D117,AI$5)="F",AND(AI$6&gt;0,$A117&lt;AI$6),AND(AI$7&gt;0,$A117&gt;AI$7)),0,MAX(0,ROUND((INDEX($E117:$G117,AI$5)-SUMIFS(TF_Timer,TF_Tekniker,AI$4,TF_Dato,$A117))*2,0)/2)))</f>
        <v/>
      </c>
      <c r="AJ117">
        <f>IF(OR(AJ$4="",$A117&gt;TODAY()),0,IF(OR(INDEX($B117:$D117,AJ$5)="F",AND(AJ$6&gt;0,$A117&lt;AJ$6),AND(AJ$7&gt;0,$A117&gt;AJ$7)),0,MAX(0,ROUND((INDEX($E117:$G117,AJ$5)-SUMIFS(TF_Timer,TF_Tekniker,AJ$4,TF_Dato,$A117))*2,0)/2)))</f>
        <v/>
      </c>
      <c r="AK117">
        <f>IF(OR(AK$4="",$A117&gt;TODAY()),0,IF(OR(INDEX($B117:$D117,AK$5)="F",AND(AK$6&gt;0,$A117&lt;AK$6),AND(AK$7&gt;0,$A117&gt;AK$7)),0,MAX(0,ROUND((INDEX($E117:$G117,AK$5)-SUMIFS(TF_Timer,TF_Tekniker,AK$4,TF_Dato,$A117))*2,0)/2)))</f>
        <v/>
      </c>
      <c r="AL117">
        <f>IF(OR(AL$4="",$A117&gt;TODAY()),0,IF(OR(INDEX($B117:$D117,AL$5)="F",AND(AL$6&gt;0,$A117&lt;AL$6),AND(AL$7&gt;0,$A117&gt;AL$7)),0,MAX(0,ROUND((INDEX($E117:$G117,AL$5)-SUMIFS(TF_Timer,TF_Tekniker,AL$4,TF_Dato,$A117))*2,0)/2)))</f>
        <v/>
      </c>
      <c r="AM117">
        <f>IF(OR(AM$4="",$A117&gt;TODAY()),0,IF(OR(INDEX($B117:$D117,AM$5)="F",AND(AM$6&gt;0,$A117&lt;AM$6),AND(AM$7&gt;0,$A117&gt;AM$7)),0,MAX(0,ROUND((INDEX($E117:$G117,AM$5)-SUMIFS(TF_Timer,TF_Tekniker,AM$4,TF_Dato,$A117))*2,0)/2)))</f>
        <v/>
      </c>
      <c r="AN117">
        <f>IF(OR(AN$4="",$A117&gt;TODAY()),0,IF(OR(INDEX($B117:$D117,AN$5)="F",AND(AN$6&gt;0,$A117&lt;AN$6),AND(AN$7&gt;0,$A117&gt;AN$7)),0,MAX(0,ROUND((INDEX($E117:$G117,AN$5)-SUMIFS(TF_Timer,TF_Tekniker,AN$4,TF_Dato,$A117))*2,0)/2)))</f>
        <v/>
      </c>
      <c r="AO117">
        <f>IF(OR(AO$4="",$A117&gt;TODAY()),0,IF(OR(INDEX($B117:$D117,AO$5)="F",AND(AO$6&gt;0,$A117&lt;AO$6),AND(AO$7&gt;0,$A117&gt;AO$7)),0,MAX(0,ROUND((INDEX($E117:$G117,AO$5)-SUMIFS(TF_Timer,TF_Tekniker,AO$4,TF_Dato,$A117))*2,0)/2)))</f>
        <v/>
      </c>
      <c r="AP117">
        <f>IF(OR(AP$4="",$A117&gt;TODAY()),0,IF(OR(INDEX($B117:$D117,AP$5)="F",AND(AP$6&gt;0,$A117&lt;AP$6),AND(AP$7&gt;0,$A117&gt;AP$7)),0,MAX(0,ROUND((INDEX($E117:$G117,AP$5)-SUMIFS(TF_Timer,TF_Tekniker,AP$4,TF_Dato,$A117))*2,0)/2)))</f>
        <v/>
      </c>
      <c r="AQ117">
        <f>IF(OR(AQ$4="",$A117&gt;TODAY()),0,IF(OR(INDEX($B117:$D117,AQ$5)="F",AND(AQ$6&gt;0,$A117&lt;AQ$6),AND(AQ$7&gt;0,$A117&gt;AQ$7)),0,MAX(0,ROUND((INDEX($E117:$G117,AQ$5)-SUMIFS(TF_Timer,TF_Tekniker,AQ$4,TF_Dato,$A117))*2,0)/2)))</f>
        <v/>
      </c>
      <c r="AR117">
        <f>IF(OR(AR$4="",$A117&gt;TODAY()),0,IF(OR(INDEX($B117:$D117,AR$5)="F",AND(AR$6&gt;0,$A117&lt;AR$6),AND(AR$7&gt;0,$A117&gt;AR$7)),0,MAX(0,ROUND((INDEX($E117:$G117,AR$5)-SUMIFS(TF_Timer,TF_Tekniker,AR$4,TF_Dato,$A117))*2,0)/2)))</f>
        <v/>
      </c>
      <c r="AS117">
        <f>IF(OR(AS$4="",$A117&gt;TODAY()),0,IF(OR(INDEX($B117:$D117,AS$5)="F",AND(AS$6&gt;0,$A117&lt;AS$6),AND(AS$7&gt;0,$A117&gt;AS$7)),0,MAX(0,ROUND((INDEX($E117:$G117,AS$5)-SUMIFS(TF_Timer,TF_Tekniker,AS$4,TF_Dato,$A117))*2,0)/2)))</f>
        <v/>
      </c>
      <c r="AT117">
        <f>IF(OR(AT$4="",$A117&gt;TODAY()),0,IF(OR(INDEX($B117:$D117,AT$5)="F",AND(AT$6&gt;0,$A117&lt;AT$6),AND(AT$7&gt;0,$A117&gt;AT$7)),0,MAX(0,ROUND((INDEX($E117:$G117,AT$5)-SUMIFS(TF_Timer,TF_Tekniker,AT$4,TF_Dato,$A117))*2,0)/2)))</f>
        <v/>
      </c>
      <c r="AU117">
        <f>IF(OR(AU$4="",$A117&gt;TODAY()),0,IF(OR(INDEX($B117:$D117,AU$5)="F",AND(AU$6&gt;0,$A117&lt;AU$6),AND(AU$7&gt;0,$A117&gt;AU$7)),0,MAX(0,ROUND((INDEX($E117:$G117,AU$5)-SUMIFS(TF_Timer,TF_Tekniker,AU$4,TF_Dato,$A117))*2,0)/2)))</f>
        <v/>
      </c>
      <c r="AV117">
        <f>IF(OR(AV$4="",$A117&gt;TODAY()),0,IF(OR(INDEX($B117:$D117,AV$5)="F",AND(AV$6&gt;0,$A117&lt;AV$6),AND(AV$7&gt;0,$A117&gt;AV$7)),0,MAX(0,ROUND((INDEX($E117:$G117,AV$5)-SUMIFS(TF_Timer,TF_Tekniker,AV$4,TF_Dato,$A117))*2,0)/2)))</f>
        <v/>
      </c>
      <c r="AW117">
        <f>IF(OR(AW$4="",$A117&gt;TODAY()),0,IF(OR(INDEX($B117:$D117,AW$5)="F",AND(AW$6&gt;0,$A117&lt;AW$6),AND(AW$7&gt;0,$A117&gt;AW$7)),0,MAX(0,ROUND((INDEX($E117:$G117,AW$5)-SUMIFS(TF_Timer,TF_Tekniker,AW$4,TF_Dato,$A117))*2,0)/2)))</f>
        <v/>
      </c>
      <c r="AX117">
        <f>IF(OR(AX$4="",$A117&gt;TODAY()),0,IF(OR(INDEX($B117:$D117,AX$5)="F",AND(AX$6&gt;0,$A117&lt;AX$6),AND(AX$7&gt;0,$A117&gt;AX$7)),0,MAX(0,ROUND((INDEX($E117:$G117,AX$5)-SUMIFS(TF_Timer,TF_Tekniker,AX$4,TF_Dato,$A117))*2,0)/2)))</f>
        <v/>
      </c>
      <c r="AY117">
        <f>IF(OR(AY$4="",$A117&gt;TODAY()),0,IF(OR(INDEX($B117:$D117,AY$5)="F",AND(AY$6&gt;0,$A117&lt;AY$6),AND(AY$7&gt;0,$A117&gt;AY$7)),0,MAX(0,ROUND((INDEX($E117:$G117,AY$5)-SUMIFS(TF_Timer,TF_Tekniker,AY$4,TF_Dato,$A117))*2,0)/2)))</f>
        <v/>
      </c>
      <c r="AZ117">
        <f>IF(OR(AZ$4="",$A117&gt;TODAY()),0,IF(OR(INDEX($B117:$D117,AZ$5)="F",AND(AZ$6&gt;0,$A117&lt;AZ$6),AND(AZ$7&gt;0,$A117&gt;AZ$7)),0,MAX(0,ROUND((INDEX($E117:$G117,AZ$5)-SUMIFS(TF_Timer,TF_Tekniker,AZ$4,TF_Dato,$A117))*2,0)/2)))</f>
        <v/>
      </c>
      <c r="BA117">
        <f>IF(OR(BA$4="",$A117&gt;TODAY()),0,IF(OR(INDEX($B117:$D117,BA$5)="F",AND(BA$6&gt;0,$A117&lt;BA$6),AND(BA$7&gt;0,$A117&gt;BA$7)),0,MAX(0,ROUND((INDEX($E117:$G117,BA$5)-SUMIFS(TF_Timer,TF_Tekniker,BA$4,TF_Dato,$A117))*2,0)/2)))</f>
        <v/>
      </c>
      <c r="BB117">
        <f>IF(OR(BB$4="",$A117&gt;TODAY()),0,IF(OR(INDEX($B117:$D117,BB$5)="F",AND(BB$6&gt;0,$A117&lt;BB$6),AND(BB$7&gt;0,$A117&gt;BB$7)),0,MAX(0,ROUND((INDEX($E117:$G117,BB$5)-SUMIFS(TF_Timer,TF_Tekniker,BB$4,TF_Dato,$A117))*2,0)/2)))</f>
        <v/>
      </c>
      <c r="BC117">
        <f>IF(OR(BC$4="",$A117&gt;TODAY()),0,IF(OR(INDEX($B117:$D117,BC$5)="F",AND(BC$6&gt;0,$A117&lt;BC$6),AND(BC$7&gt;0,$A117&gt;BC$7)),0,MAX(0,ROUND((INDEX($E117:$G117,BC$5)-SUMIFS(TF_Timer,TF_Tekniker,BC$4,TF_Dato,$A117))*2,0)/2)))</f>
        <v/>
      </c>
      <c r="BD117">
        <f>IF(OR(BD$4="",$A117&gt;TODAY()),0,IF(OR(INDEX($B117:$D117,BD$5)="F",AND(BD$6&gt;0,$A117&lt;BD$6),AND(BD$7&gt;0,$A117&gt;BD$7)),0,MAX(0,ROUND((INDEX($E117:$G117,BD$5)-SUMIFS(TF_Timer,TF_Tekniker,BD$4,TF_Dato,$A117))*2,0)/2)))</f>
        <v/>
      </c>
      <c r="BE117">
        <f>IF(OR(BE$4="",$A117&gt;TODAY()),0,IF(OR(INDEX($B117:$D117,BE$5)="F",AND(BE$6&gt;0,$A117&lt;BE$6),AND(BE$7&gt;0,$A117&gt;BE$7)),0,MAX(0,ROUND((INDEX($E117:$G117,BE$5)-SUMIFS(TF_Timer,TF_Tekniker,BE$4,TF_Dato,$A117))*2,0)/2)))</f>
        <v/>
      </c>
      <c r="BF117">
        <f>IF(OR(BF$4="",$A117&gt;TODAY()),0,IF(OR(INDEX($B117:$D117,BF$5)="F",AND(BF$6&gt;0,$A117&lt;BF$6),AND(BF$7&gt;0,$A117&gt;BF$7)),0,MAX(0,ROUND((INDEX($E117:$G117,BF$5)-SUMIFS(TF_Timer,TF_Tekniker,BF$4,TF_Dato,$A117))*2,0)/2)))</f>
        <v/>
      </c>
      <c r="BG117">
        <f>IF(OR(BG$4="",$A117&gt;TODAY()),0,IF(OR(INDEX($B117:$D117,BG$5)="F",AND(BG$6&gt;0,$A117&lt;BG$6),AND(BG$7&gt;0,$A117&gt;BG$7)),0,MAX(0,ROUND((INDEX($E117:$G117,BG$5)-SUMIFS(TF_Timer,TF_Tekniker,BG$4,TF_Dato,$A117))*2,0)/2)))</f>
        <v/>
      </c>
      <c r="BH117">
        <f>IF(OR(BH$4="",$A117&gt;TODAY()),0,IF(OR(INDEX($B117:$D117,BH$5)="F",AND(BH$6&gt;0,$A117&lt;BH$6),AND(BH$7&gt;0,$A117&gt;BH$7)),0,MAX(0,ROUND((INDEX($E117:$G117,BH$5)-SUMIFS(TF_Timer,TF_Tekniker,BH$4,TF_Dato,$A117))*2,0)/2)))</f>
        <v/>
      </c>
      <c r="BI117">
        <f>IF(OR(BI$4="",$A117&gt;TODAY()),0,IF(OR(INDEX($B117:$D117,BI$5)="F",AND(BI$6&gt;0,$A117&lt;BI$6),AND(BI$7&gt;0,$A117&gt;BI$7)),0,MAX(0,ROUND((INDEX($E117:$G117,BI$5)-SUMIFS(TF_Timer,TF_Tekniker,BI$4,TF_Dato,$A117))*2,0)/2)))</f>
        <v/>
      </c>
    </row>
    <row r="118">
      <c r="A118" s="64">
        <f>A117+1</f>
        <v/>
      </c>
      <c r="B118">
        <f>IF(MOD($A118-INDEX(SkiftStart,1),Syklus)&lt;DagK,"K",IF(MOD($A118-INDEX(SkiftStart,1),Syklus)&lt;DagK+DagH,"H",IF(MOD($A118-INDEX(SkiftStart,1),Syklus)&lt;DagK+DagH+DagD,"D","F")))</f>
        <v/>
      </c>
      <c r="C118">
        <f>IF(MOD($A118-INDEX(SkiftStart,2),Syklus)&lt;DagK,"K",IF(MOD($A118-INDEX(SkiftStart,2),Syklus)&lt;DagK+DagH,"H",IF(MOD($A118-INDEX(SkiftStart,2),Syklus)&lt;DagK+DagH+DagD,"D","F")))</f>
        <v/>
      </c>
      <c r="D118">
        <f>IF(MOD($A118-INDEX(SkiftStart,3),Syklus)&lt;DagK,"K",IF(MOD($A118-INDEX(SkiftStart,3),Syklus)&lt;DagK+DagH,"H",IF(MOD($A118-INDEX(SkiftStart,3),Syklus)&lt;DagK+DagH+DagD,"D","F")))</f>
        <v/>
      </c>
      <c r="E118">
        <f>IF(B118="F",0,IF(WEEKDAY($A118,2)=5,INDEX(TimerFr,MATCH(B118,FaseKode,0)),INDEX(TimerMT,MATCH(B118,FaseKode,0))))</f>
        <v/>
      </c>
      <c r="F118">
        <f>IF(C118="F",0,IF(WEEKDAY($A118,2)=5,INDEX(TimerFr,MATCH(C118,FaseKode,0)),INDEX(TimerMT,MATCH(C118,FaseKode,0))))</f>
        <v/>
      </c>
      <c r="G118">
        <f>IF(D118="F",0,IF(WEEKDAY($A118,2)=5,INDEX(TimerFr,MATCH(D118,FaseKode,0)),INDEX(TimerMT,MATCH(D118,FaseKode,0))))</f>
        <v/>
      </c>
      <c r="H118">
        <f>IF(OR(H$4="",$A118&gt;TODAY()),0,IF(OR(INDEX($B118:$D118,H$5)="F",AND(H$6&gt;0,$A118&lt;H$6),AND(H$7&gt;0,$A118&gt;H$7)),0,MAX(0,ROUND((INDEX($E118:$G118,H$5)-SUMIFS(TF_Timer,TF_Tekniker,H$4,TF_Dato,$A118))*2,0)/2)))</f>
        <v/>
      </c>
      <c r="I118">
        <f>IF(OR(I$4="",$A118&gt;TODAY()),0,IF(OR(INDEX($B118:$D118,I$5)="F",AND(I$6&gt;0,$A118&lt;I$6),AND(I$7&gt;0,$A118&gt;I$7)),0,MAX(0,ROUND((INDEX($E118:$G118,I$5)-SUMIFS(TF_Timer,TF_Tekniker,I$4,TF_Dato,$A118))*2,0)/2)))</f>
        <v/>
      </c>
      <c r="J118">
        <f>IF(OR(J$4="",$A118&gt;TODAY()),0,IF(OR(INDEX($B118:$D118,J$5)="F",AND(J$6&gt;0,$A118&lt;J$6),AND(J$7&gt;0,$A118&gt;J$7)),0,MAX(0,ROUND((INDEX($E118:$G118,J$5)-SUMIFS(TF_Timer,TF_Tekniker,J$4,TF_Dato,$A118))*2,0)/2)))</f>
        <v/>
      </c>
      <c r="K118">
        <f>IF(OR(K$4="",$A118&gt;TODAY()),0,IF(OR(INDEX($B118:$D118,K$5)="F",AND(K$6&gt;0,$A118&lt;K$6),AND(K$7&gt;0,$A118&gt;K$7)),0,MAX(0,ROUND((INDEX($E118:$G118,K$5)-SUMIFS(TF_Timer,TF_Tekniker,K$4,TF_Dato,$A118))*2,0)/2)))</f>
        <v/>
      </c>
      <c r="L118">
        <f>IF(OR(L$4="",$A118&gt;TODAY()),0,IF(OR(INDEX($B118:$D118,L$5)="F",AND(L$6&gt;0,$A118&lt;L$6),AND(L$7&gt;0,$A118&gt;L$7)),0,MAX(0,ROUND((INDEX($E118:$G118,L$5)-SUMIFS(TF_Timer,TF_Tekniker,L$4,TF_Dato,$A118))*2,0)/2)))</f>
        <v/>
      </c>
      <c r="M118">
        <f>IF(OR(M$4="",$A118&gt;TODAY()),0,IF(OR(INDEX($B118:$D118,M$5)="F",AND(M$6&gt;0,$A118&lt;M$6),AND(M$7&gt;0,$A118&gt;M$7)),0,MAX(0,ROUND((INDEX($E118:$G118,M$5)-SUMIFS(TF_Timer,TF_Tekniker,M$4,TF_Dato,$A118))*2,0)/2)))</f>
        <v/>
      </c>
      <c r="N118">
        <f>IF(OR(N$4="",$A118&gt;TODAY()),0,IF(OR(INDEX($B118:$D118,N$5)="F",AND(N$6&gt;0,$A118&lt;N$6),AND(N$7&gt;0,$A118&gt;N$7)),0,MAX(0,ROUND((INDEX($E118:$G118,N$5)-SUMIFS(TF_Timer,TF_Tekniker,N$4,TF_Dato,$A118))*2,0)/2)))</f>
        <v/>
      </c>
      <c r="O118">
        <f>IF(OR(O$4="",$A118&gt;TODAY()),0,IF(OR(INDEX($B118:$D118,O$5)="F",AND(O$6&gt;0,$A118&lt;O$6),AND(O$7&gt;0,$A118&gt;O$7)),0,MAX(0,ROUND((INDEX($E118:$G118,O$5)-SUMIFS(TF_Timer,TF_Tekniker,O$4,TF_Dato,$A118))*2,0)/2)))</f>
        <v/>
      </c>
      <c r="P118">
        <f>IF(OR(P$4="",$A118&gt;TODAY()),0,IF(OR(INDEX($B118:$D118,P$5)="F",AND(P$6&gt;0,$A118&lt;P$6),AND(P$7&gt;0,$A118&gt;P$7)),0,MAX(0,ROUND((INDEX($E118:$G118,P$5)-SUMIFS(TF_Timer,TF_Tekniker,P$4,TF_Dato,$A118))*2,0)/2)))</f>
        <v/>
      </c>
      <c r="Q118">
        <f>IF(OR(Q$4="",$A118&gt;TODAY()),0,IF(OR(INDEX($B118:$D118,Q$5)="F",AND(Q$6&gt;0,$A118&lt;Q$6),AND(Q$7&gt;0,$A118&gt;Q$7)),0,MAX(0,ROUND((INDEX($E118:$G118,Q$5)-SUMIFS(TF_Timer,TF_Tekniker,Q$4,TF_Dato,$A118))*2,0)/2)))</f>
        <v/>
      </c>
      <c r="R118">
        <f>IF(OR(R$4="",$A118&gt;TODAY()),0,IF(OR(INDEX($B118:$D118,R$5)="F",AND(R$6&gt;0,$A118&lt;R$6),AND(R$7&gt;0,$A118&gt;R$7)),0,MAX(0,ROUND((INDEX($E118:$G118,R$5)-SUMIFS(TF_Timer,TF_Tekniker,R$4,TF_Dato,$A118))*2,0)/2)))</f>
        <v/>
      </c>
      <c r="S118">
        <f>IF(OR(S$4="",$A118&gt;TODAY()),0,IF(OR(INDEX($B118:$D118,S$5)="F",AND(S$6&gt;0,$A118&lt;S$6),AND(S$7&gt;0,$A118&gt;S$7)),0,MAX(0,ROUND((INDEX($E118:$G118,S$5)-SUMIFS(TF_Timer,TF_Tekniker,S$4,TF_Dato,$A118))*2,0)/2)))</f>
        <v/>
      </c>
      <c r="T118">
        <f>IF(OR(T$4="",$A118&gt;TODAY()),0,IF(OR(INDEX($B118:$D118,T$5)="F",AND(T$6&gt;0,$A118&lt;T$6),AND(T$7&gt;0,$A118&gt;T$7)),0,MAX(0,ROUND((INDEX($E118:$G118,T$5)-SUMIFS(TF_Timer,TF_Tekniker,T$4,TF_Dato,$A118))*2,0)/2)))</f>
        <v/>
      </c>
      <c r="U118">
        <f>IF(OR(U$4="",$A118&gt;TODAY()),0,IF(OR(INDEX($B118:$D118,U$5)="F",AND(U$6&gt;0,$A118&lt;U$6),AND(U$7&gt;0,$A118&gt;U$7)),0,MAX(0,ROUND((INDEX($E118:$G118,U$5)-SUMIFS(TF_Timer,TF_Tekniker,U$4,TF_Dato,$A118))*2,0)/2)))</f>
        <v/>
      </c>
      <c r="V118">
        <f>IF(OR(V$4="",$A118&gt;TODAY()),0,IF(OR(INDEX($B118:$D118,V$5)="F",AND(V$6&gt;0,$A118&lt;V$6),AND(V$7&gt;0,$A118&gt;V$7)),0,MAX(0,ROUND((INDEX($E118:$G118,V$5)-SUMIFS(TF_Timer,TF_Tekniker,V$4,TF_Dato,$A118))*2,0)/2)))</f>
        <v/>
      </c>
      <c r="W118">
        <f>IF(OR(W$4="",$A118&gt;TODAY()),0,IF(OR(INDEX($B118:$D118,W$5)="F",AND(W$6&gt;0,$A118&lt;W$6),AND(W$7&gt;0,$A118&gt;W$7)),0,MAX(0,ROUND((INDEX($E118:$G118,W$5)-SUMIFS(TF_Timer,TF_Tekniker,W$4,TF_Dato,$A118))*2,0)/2)))</f>
        <v/>
      </c>
      <c r="X118">
        <f>IF(OR(X$4="",$A118&gt;TODAY()),0,IF(OR(INDEX($B118:$D118,X$5)="F",AND(X$6&gt;0,$A118&lt;X$6),AND(X$7&gt;0,$A118&gt;X$7)),0,MAX(0,ROUND((INDEX($E118:$G118,X$5)-SUMIFS(TF_Timer,TF_Tekniker,X$4,TF_Dato,$A118))*2,0)/2)))</f>
        <v/>
      </c>
      <c r="Y118">
        <f>IF(OR(Y$4="",$A118&gt;TODAY()),0,IF(OR(INDEX($B118:$D118,Y$5)="F",AND(Y$6&gt;0,$A118&lt;Y$6),AND(Y$7&gt;0,$A118&gt;Y$7)),0,MAX(0,ROUND((INDEX($E118:$G118,Y$5)-SUMIFS(TF_Timer,TF_Tekniker,Y$4,TF_Dato,$A118))*2,0)/2)))</f>
        <v/>
      </c>
      <c r="Z118">
        <f>IF(OR(Z$4="",$A118&gt;TODAY()),0,IF(OR(INDEX($B118:$D118,Z$5)="F",AND(Z$6&gt;0,$A118&lt;Z$6),AND(Z$7&gt;0,$A118&gt;Z$7)),0,MAX(0,ROUND((INDEX($E118:$G118,Z$5)-SUMIFS(TF_Timer,TF_Tekniker,Z$4,TF_Dato,$A118))*2,0)/2)))</f>
        <v/>
      </c>
      <c r="AA118">
        <f>IF(OR(AA$4="",$A118&gt;TODAY()),0,IF(OR(INDEX($B118:$D118,AA$5)="F",AND(AA$6&gt;0,$A118&lt;AA$6),AND(AA$7&gt;0,$A118&gt;AA$7)),0,MAX(0,ROUND((INDEX($E118:$G118,AA$5)-SUMIFS(TF_Timer,TF_Tekniker,AA$4,TF_Dato,$A118))*2,0)/2)))</f>
        <v/>
      </c>
      <c r="AB118">
        <f>IF(OR(AB$4="",$A118&gt;TODAY()),0,IF(OR(INDEX($B118:$D118,AB$5)="F",AND(AB$6&gt;0,$A118&lt;AB$6),AND(AB$7&gt;0,$A118&gt;AB$7)),0,MAX(0,ROUND((INDEX($E118:$G118,AB$5)-SUMIFS(TF_Timer,TF_Tekniker,AB$4,TF_Dato,$A118))*2,0)/2)))</f>
        <v/>
      </c>
      <c r="AC118">
        <f>IF(OR(AC$4="",$A118&gt;TODAY()),0,IF(OR(INDEX($B118:$D118,AC$5)="F",AND(AC$6&gt;0,$A118&lt;AC$6),AND(AC$7&gt;0,$A118&gt;AC$7)),0,MAX(0,ROUND((INDEX($E118:$G118,AC$5)-SUMIFS(TF_Timer,TF_Tekniker,AC$4,TF_Dato,$A118))*2,0)/2)))</f>
        <v/>
      </c>
      <c r="AD118">
        <f>IF(OR(AD$4="",$A118&gt;TODAY()),0,IF(OR(INDEX($B118:$D118,AD$5)="F",AND(AD$6&gt;0,$A118&lt;AD$6),AND(AD$7&gt;0,$A118&gt;AD$7)),0,MAX(0,ROUND((INDEX($E118:$G118,AD$5)-SUMIFS(TF_Timer,TF_Tekniker,AD$4,TF_Dato,$A118))*2,0)/2)))</f>
        <v/>
      </c>
      <c r="AE118">
        <f>IF(OR(AE$4="",$A118&gt;TODAY()),0,IF(OR(INDEX($B118:$D118,AE$5)="F",AND(AE$6&gt;0,$A118&lt;AE$6),AND(AE$7&gt;0,$A118&gt;AE$7)),0,MAX(0,ROUND((INDEX($E118:$G118,AE$5)-SUMIFS(TF_Timer,TF_Tekniker,AE$4,TF_Dato,$A118))*2,0)/2)))</f>
        <v/>
      </c>
      <c r="AF118">
        <f>IF(OR(AF$4="",$A118&gt;TODAY()),0,IF(OR(INDEX($B118:$D118,AF$5)="F",AND(AF$6&gt;0,$A118&lt;AF$6),AND(AF$7&gt;0,$A118&gt;AF$7)),0,MAX(0,ROUND((INDEX($E118:$G118,AF$5)-SUMIFS(TF_Timer,TF_Tekniker,AF$4,TF_Dato,$A118))*2,0)/2)))</f>
        <v/>
      </c>
      <c r="AG118">
        <f>IF(OR(AG$4="",$A118&gt;TODAY()),0,IF(OR(INDEX($B118:$D118,AG$5)="F",AND(AG$6&gt;0,$A118&lt;AG$6),AND(AG$7&gt;0,$A118&gt;AG$7)),0,MAX(0,ROUND((INDEX($E118:$G118,AG$5)-SUMIFS(TF_Timer,TF_Tekniker,AG$4,TF_Dato,$A118))*2,0)/2)))</f>
        <v/>
      </c>
      <c r="AH118">
        <f>IF(OR(AH$4="",$A118&gt;TODAY()),0,IF(OR(INDEX($B118:$D118,AH$5)="F",AND(AH$6&gt;0,$A118&lt;AH$6),AND(AH$7&gt;0,$A118&gt;AH$7)),0,MAX(0,ROUND((INDEX($E118:$G118,AH$5)-SUMIFS(TF_Timer,TF_Tekniker,AH$4,TF_Dato,$A118))*2,0)/2)))</f>
        <v/>
      </c>
      <c r="AI118">
        <f>IF(OR(AI$4="",$A118&gt;TODAY()),0,IF(OR(INDEX($B118:$D118,AI$5)="F",AND(AI$6&gt;0,$A118&lt;AI$6),AND(AI$7&gt;0,$A118&gt;AI$7)),0,MAX(0,ROUND((INDEX($E118:$G118,AI$5)-SUMIFS(TF_Timer,TF_Tekniker,AI$4,TF_Dato,$A118))*2,0)/2)))</f>
        <v/>
      </c>
      <c r="AJ118">
        <f>IF(OR(AJ$4="",$A118&gt;TODAY()),0,IF(OR(INDEX($B118:$D118,AJ$5)="F",AND(AJ$6&gt;0,$A118&lt;AJ$6),AND(AJ$7&gt;0,$A118&gt;AJ$7)),0,MAX(0,ROUND((INDEX($E118:$G118,AJ$5)-SUMIFS(TF_Timer,TF_Tekniker,AJ$4,TF_Dato,$A118))*2,0)/2)))</f>
        <v/>
      </c>
      <c r="AK118">
        <f>IF(OR(AK$4="",$A118&gt;TODAY()),0,IF(OR(INDEX($B118:$D118,AK$5)="F",AND(AK$6&gt;0,$A118&lt;AK$6),AND(AK$7&gt;0,$A118&gt;AK$7)),0,MAX(0,ROUND((INDEX($E118:$G118,AK$5)-SUMIFS(TF_Timer,TF_Tekniker,AK$4,TF_Dato,$A118))*2,0)/2)))</f>
        <v/>
      </c>
      <c r="AL118">
        <f>IF(OR(AL$4="",$A118&gt;TODAY()),0,IF(OR(INDEX($B118:$D118,AL$5)="F",AND(AL$6&gt;0,$A118&lt;AL$6),AND(AL$7&gt;0,$A118&gt;AL$7)),0,MAX(0,ROUND((INDEX($E118:$G118,AL$5)-SUMIFS(TF_Timer,TF_Tekniker,AL$4,TF_Dato,$A118))*2,0)/2)))</f>
        <v/>
      </c>
      <c r="AM118">
        <f>IF(OR(AM$4="",$A118&gt;TODAY()),0,IF(OR(INDEX($B118:$D118,AM$5)="F",AND(AM$6&gt;0,$A118&lt;AM$6),AND(AM$7&gt;0,$A118&gt;AM$7)),0,MAX(0,ROUND((INDEX($E118:$G118,AM$5)-SUMIFS(TF_Timer,TF_Tekniker,AM$4,TF_Dato,$A118))*2,0)/2)))</f>
        <v/>
      </c>
      <c r="AN118">
        <f>IF(OR(AN$4="",$A118&gt;TODAY()),0,IF(OR(INDEX($B118:$D118,AN$5)="F",AND(AN$6&gt;0,$A118&lt;AN$6),AND(AN$7&gt;0,$A118&gt;AN$7)),0,MAX(0,ROUND((INDEX($E118:$G118,AN$5)-SUMIFS(TF_Timer,TF_Tekniker,AN$4,TF_Dato,$A118))*2,0)/2)))</f>
        <v/>
      </c>
      <c r="AO118">
        <f>IF(OR(AO$4="",$A118&gt;TODAY()),0,IF(OR(INDEX($B118:$D118,AO$5)="F",AND(AO$6&gt;0,$A118&lt;AO$6),AND(AO$7&gt;0,$A118&gt;AO$7)),0,MAX(0,ROUND((INDEX($E118:$G118,AO$5)-SUMIFS(TF_Timer,TF_Tekniker,AO$4,TF_Dato,$A118))*2,0)/2)))</f>
        <v/>
      </c>
      <c r="AP118">
        <f>IF(OR(AP$4="",$A118&gt;TODAY()),0,IF(OR(INDEX($B118:$D118,AP$5)="F",AND(AP$6&gt;0,$A118&lt;AP$6),AND(AP$7&gt;0,$A118&gt;AP$7)),0,MAX(0,ROUND((INDEX($E118:$G118,AP$5)-SUMIFS(TF_Timer,TF_Tekniker,AP$4,TF_Dato,$A118))*2,0)/2)))</f>
        <v/>
      </c>
      <c r="AQ118">
        <f>IF(OR(AQ$4="",$A118&gt;TODAY()),0,IF(OR(INDEX($B118:$D118,AQ$5)="F",AND(AQ$6&gt;0,$A118&lt;AQ$6),AND(AQ$7&gt;0,$A118&gt;AQ$7)),0,MAX(0,ROUND((INDEX($E118:$G118,AQ$5)-SUMIFS(TF_Timer,TF_Tekniker,AQ$4,TF_Dato,$A118))*2,0)/2)))</f>
        <v/>
      </c>
      <c r="AR118">
        <f>IF(OR(AR$4="",$A118&gt;TODAY()),0,IF(OR(INDEX($B118:$D118,AR$5)="F",AND(AR$6&gt;0,$A118&lt;AR$6),AND(AR$7&gt;0,$A118&gt;AR$7)),0,MAX(0,ROUND((INDEX($E118:$G118,AR$5)-SUMIFS(TF_Timer,TF_Tekniker,AR$4,TF_Dato,$A118))*2,0)/2)))</f>
        <v/>
      </c>
      <c r="AS118">
        <f>IF(OR(AS$4="",$A118&gt;TODAY()),0,IF(OR(INDEX($B118:$D118,AS$5)="F",AND(AS$6&gt;0,$A118&lt;AS$6),AND(AS$7&gt;0,$A118&gt;AS$7)),0,MAX(0,ROUND((INDEX($E118:$G118,AS$5)-SUMIFS(TF_Timer,TF_Tekniker,AS$4,TF_Dato,$A118))*2,0)/2)))</f>
        <v/>
      </c>
      <c r="AT118">
        <f>IF(OR(AT$4="",$A118&gt;TODAY()),0,IF(OR(INDEX($B118:$D118,AT$5)="F",AND(AT$6&gt;0,$A118&lt;AT$6),AND(AT$7&gt;0,$A118&gt;AT$7)),0,MAX(0,ROUND((INDEX($E118:$G118,AT$5)-SUMIFS(TF_Timer,TF_Tekniker,AT$4,TF_Dato,$A118))*2,0)/2)))</f>
        <v/>
      </c>
      <c r="AU118">
        <f>IF(OR(AU$4="",$A118&gt;TODAY()),0,IF(OR(INDEX($B118:$D118,AU$5)="F",AND(AU$6&gt;0,$A118&lt;AU$6),AND(AU$7&gt;0,$A118&gt;AU$7)),0,MAX(0,ROUND((INDEX($E118:$G118,AU$5)-SUMIFS(TF_Timer,TF_Tekniker,AU$4,TF_Dato,$A118))*2,0)/2)))</f>
        <v/>
      </c>
      <c r="AV118">
        <f>IF(OR(AV$4="",$A118&gt;TODAY()),0,IF(OR(INDEX($B118:$D118,AV$5)="F",AND(AV$6&gt;0,$A118&lt;AV$6),AND(AV$7&gt;0,$A118&gt;AV$7)),0,MAX(0,ROUND((INDEX($E118:$G118,AV$5)-SUMIFS(TF_Timer,TF_Tekniker,AV$4,TF_Dato,$A118))*2,0)/2)))</f>
        <v/>
      </c>
      <c r="AW118">
        <f>IF(OR(AW$4="",$A118&gt;TODAY()),0,IF(OR(INDEX($B118:$D118,AW$5)="F",AND(AW$6&gt;0,$A118&lt;AW$6),AND(AW$7&gt;0,$A118&gt;AW$7)),0,MAX(0,ROUND((INDEX($E118:$G118,AW$5)-SUMIFS(TF_Timer,TF_Tekniker,AW$4,TF_Dato,$A118))*2,0)/2)))</f>
        <v/>
      </c>
      <c r="AX118">
        <f>IF(OR(AX$4="",$A118&gt;TODAY()),0,IF(OR(INDEX($B118:$D118,AX$5)="F",AND(AX$6&gt;0,$A118&lt;AX$6),AND(AX$7&gt;0,$A118&gt;AX$7)),0,MAX(0,ROUND((INDEX($E118:$G118,AX$5)-SUMIFS(TF_Timer,TF_Tekniker,AX$4,TF_Dato,$A118))*2,0)/2)))</f>
        <v/>
      </c>
      <c r="AY118">
        <f>IF(OR(AY$4="",$A118&gt;TODAY()),0,IF(OR(INDEX($B118:$D118,AY$5)="F",AND(AY$6&gt;0,$A118&lt;AY$6),AND(AY$7&gt;0,$A118&gt;AY$7)),0,MAX(0,ROUND((INDEX($E118:$G118,AY$5)-SUMIFS(TF_Timer,TF_Tekniker,AY$4,TF_Dato,$A118))*2,0)/2)))</f>
        <v/>
      </c>
      <c r="AZ118">
        <f>IF(OR(AZ$4="",$A118&gt;TODAY()),0,IF(OR(INDEX($B118:$D118,AZ$5)="F",AND(AZ$6&gt;0,$A118&lt;AZ$6),AND(AZ$7&gt;0,$A118&gt;AZ$7)),0,MAX(0,ROUND((INDEX($E118:$G118,AZ$5)-SUMIFS(TF_Timer,TF_Tekniker,AZ$4,TF_Dato,$A118))*2,0)/2)))</f>
        <v/>
      </c>
      <c r="BA118">
        <f>IF(OR(BA$4="",$A118&gt;TODAY()),0,IF(OR(INDEX($B118:$D118,BA$5)="F",AND(BA$6&gt;0,$A118&lt;BA$6),AND(BA$7&gt;0,$A118&gt;BA$7)),0,MAX(0,ROUND((INDEX($E118:$G118,BA$5)-SUMIFS(TF_Timer,TF_Tekniker,BA$4,TF_Dato,$A118))*2,0)/2)))</f>
        <v/>
      </c>
      <c r="BB118">
        <f>IF(OR(BB$4="",$A118&gt;TODAY()),0,IF(OR(INDEX($B118:$D118,BB$5)="F",AND(BB$6&gt;0,$A118&lt;BB$6),AND(BB$7&gt;0,$A118&gt;BB$7)),0,MAX(0,ROUND((INDEX($E118:$G118,BB$5)-SUMIFS(TF_Timer,TF_Tekniker,BB$4,TF_Dato,$A118))*2,0)/2)))</f>
        <v/>
      </c>
      <c r="BC118">
        <f>IF(OR(BC$4="",$A118&gt;TODAY()),0,IF(OR(INDEX($B118:$D118,BC$5)="F",AND(BC$6&gt;0,$A118&lt;BC$6),AND(BC$7&gt;0,$A118&gt;BC$7)),0,MAX(0,ROUND((INDEX($E118:$G118,BC$5)-SUMIFS(TF_Timer,TF_Tekniker,BC$4,TF_Dato,$A118))*2,0)/2)))</f>
        <v/>
      </c>
      <c r="BD118">
        <f>IF(OR(BD$4="",$A118&gt;TODAY()),0,IF(OR(INDEX($B118:$D118,BD$5)="F",AND(BD$6&gt;0,$A118&lt;BD$6),AND(BD$7&gt;0,$A118&gt;BD$7)),0,MAX(0,ROUND((INDEX($E118:$G118,BD$5)-SUMIFS(TF_Timer,TF_Tekniker,BD$4,TF_Dato,$A118))*2,0)/2)))</f>
        <v/>
      </c>
      <c r="BE118">
        <f>IF(OR(BE$4="",$A118&gt;TODAY()),0,IF(OR(INDEX($B118:$D118,BE$5)="F",AND(BE$6&gt;0,$A118&lt;BE$6),AND(BE$7&gt;0,$A118&gt;BE$7)),0,MAX(0,ROUND((INDEX($E118:$G118,BE$5)-SUMIFS(TF_Timer,TF_Tekniker,BE$4,TF_Dato,$A118))*2,0)/2)))</f>
        <v/>
      </c>
      <c r="BF118">
        <f>IF(OR(BF$4="",$A118&gt;TODAY()),0,IF(OR(INDEX($B118:$D118,BF$5)="F",AND(BF$6&gt;0,$A118&lt;BF$6),AND(BF$7&gt;0,$A118&gt;BF$7)),0,MAX(0,ROUND((INDEX($E118:$G118,BF$5)-SUMIFS(TF_Timer,TF_Tekniker,BF$4,TF_Dato,$A118))*2,0)/2)))</f>
        <v/>
      </c>
      <c r="BG118">
        <f>IF(OR(BG$4="",$A118&gt;TODAY()),0,IF(OR(INDEX($B118:$D118,BG$5)="F",AND(BG$6&gt;0,$A118&lt;BG$6),AND(BG$7&gt;0,$A118&gt;BG$7)),0,MAX(0,ROUND((INDEX($E118:$G118,BG$5)-SUMIFS(TF_Timer,TF_Tekniker,BG$4,TF_Dato,$A118))*2,0)/2)))</f>
        <v/>
      </c>
      <c r="BH118">
        <f>IF(OR(BH$4="",$A118&gt;TODAY()),0,IF(OR(INDEX($B118:$D118,BH$5)="F",AND(BH$6&gt;0,$A118&lt;BH$6),AND(BH$7&gt;0,$A118&gt;BH$7)),0,MAX(0,ROUND((INDEX($E118:$G118,BH$5)-SUMIFS(TF_Timer,TF_Tekniker,BH$4,TF_Dato,$A118))*2,0)/2)))</f>
        <v/>
      </c>
      <c r="BI118">
        <f>IF(OR(BI$4="",$A118&gt;TODAY()),0,IF(OR(INDEX($B118:$D118,BI$5)="F",AND(BI$6&gt;0,$A118&lt;BI$6),AND(BI$7&gt;0,$A118&gt;BI$7)),0,MAX(0,ROUND((INDEX($E118:$G118,BI$5)-SUMIFS(TF_Timer,TF_Tekniker,BI$4,TF_Dato,$A118))*2,0)/2)))</f>
        <v/>
      </c>
    </row>
    <row r="119">
      <c r="A119" s="64">
        <f>A118+1</f>
        <v/>
      </c>
      <c r="B119">
        <f>IF(MOD($A119-INDEX(SkiftStart,1),Syklus)&lt;DagK,"K",IF(MOD($A119-INDEX(SkiftStart,1),Syklus)&lt;DagK+DagH,"H",IF(MOD($A119-INDEX(SkiftStart,1),Syklus)&lt;DagK+DagH+DagD,"D","F")))</f>
        <v/>
      </c>
      <c r="C119">
        <f>IF(MOD($A119-INDEX(SkiftStart,2),Syklus)&lt;DagK,"K",IF(MOD($A119-INDEX(SkiftStart,2),Syklus)&lt;DagK+DagH,"H",IF(MOD($A119-INDEX(SkiftStart,2),Syklus)&lt;DagK+DagH+DagD,"D","F")))</f>
        <v/>
      </c>
      <c r="D119">
        <f>IF(MOD($A119-INDEX(SkiftStart,3),Syklus)&lt;DagK,"K",IF(MOD($A119-INDEX(SkiftStart,3),Syklus)&lt;DagK+DagH,"H",IF(MOD($A119-INDEX(SkiftStart,3),Syklus)&lt;DagK+DagH+DagD,"D","F")))</f>
        <v/>
      </c>
      <c r="E119">
        <f>IF(B119="F",0,IF(WEEKDAY($A119,2)=5,INDEX(TimerFr,MATCH(B119,FaseKode,0)),INDEX(TimerMT,MATCH(B119,FaseKode,0))))</f>
        <v/>
      </c>
      <c r="F119">
        <f>IF(C119="F",0,IF(WEEKDAY($A119,2)=5,INDEX(TimerFr,MATCH(C119,FaseKode,0)),INDEX(TimerMT,MATCH(C119,FaseKode,0))))</f>
        <v/>
      </c>
      <c r="G119">
        <f>IF(D119="F",0,IF(WEEKDAY($A119,2)=5,INDEX(TimerFr,MATCH(D119,FaseKode,0)),INDEX(TimerMT,MATCH(D119,FaseKode,0))))</f>
        <v/>
      </c>
      <c r="H119">
        <f>IF(OR(H$4="",$A119&gt;TODAY()),0,IF(OR(INDEX($B119:$D119,H$5)="F",AND(H$6&gt;0,$A119&lt;H$6),AND(H$7&gt;0,$A119&gt;H$7)),0,MAX(0,ROUND((INDEX($E119:$G119,H$5)-SUMIFS(TF_Timer,TF_Tekniker,H$4,TF_Dato,$A119))*2,0)/2)))</f>
        <v/>
      </c>
      <c r="I119">
        <f>IF(OR(I$4="",$A119&gt;TODAY()),0,IF(OR(INDEX($B119:$D119,I$5)="F",AND(I$6&gt;0,$A119&lt;I$6),AND(I$7&gt;0,$A119&gt;I$7)),0,MAX(0,ROUND((INDEX($E119:$G119,I$5)-SUMIFS(TF_Timer,TF_Tekniker,I$4,TF_Dato,$A119))*2,0)/2)))</f>
        <v/>
      </c>
      <c r="J119">
        <f>IF(OR(J$4="",$A119&gt;TODAY()),0,IF(OR(INDEX($B119:$D119,J$5)="F",AND(J$6&gt;0,$A119&lt;J$6),AND(J$7&gt;0,$A119&gt;J$7)),0,MAX(0,ROUND((INDEX($E119:$G119,J$5)-SUMIFS(TF_Timer,TF_Tekniker,J$4,TF_Dato,$A119))*2,0)/2)))</f>
        <v/>
      </c>
      <c r="K119">
        <f>IF(OR(K$4="",$A119&gt;TODAY()),0,IF(OR(INDEX($B119:$D119,K$5)="F",AND(K$6&gt;0,$A119&lt;K$6),AND(K$7&gt;0,$A119&gt;K$7)),0,MAX(0,ROUND((INDEX($E119:$G119,K$5)-SUMIFS(TF_Timer,TF_Tekniker,K$4,TF_Dato,$A119))*2,0)/2)))</f>
        <v/>
      </c>
      <c r="L119">
        <f>IF(OR(L$4="",$A119&gt;TODAY()),0,IF(OR(INDEX($B119:$D119,L$5)="F",AND(L$6&gt;0,$A119&lt;L$6),AND(L$7&gt;0,$A119&gt;L$7)),0,MAX(0,ROUND((INDEX($E119:$G119,L$5)-SUMIFS(TF_Timer,TF_Tekniker,L$4,TF_Dato,$A119))*2,0)/2)))</f>
        <v/>
      </c>
      <c r="M119">
        <f>IF(OR(M$4="",$A119&gt;TODAY()),0,IF(OR(INDEX($B119:$D119,M$5)="F",AND(M$6&gt;0,$A119&lt;M$6),AND(M$7&gt;0,$A119&gt;M$7)),0,MAX(0,ROUND((INDEX($E119:$G119,M$5)-SUMIFS(TF_Timer,TF_Tekniker,M$4,TF_Dato,$A119))*2,0)/2)))</f>
        <v/>
      </c>
      <c r="N119">
        <f>IF(OR(N$4="",$A119&gt;TODAY()),0,IF(OR(INDEX($B119:$D119,N$5)="F",AND(N$6&gt;0,$A119&lt;N$6),AND(N$7&gt;0,$A119&gt;N$7)),0,MAX(0,ROUND((INDEX($E119:$G119,N$5)-SUMIFS(TF_Timer,TF_Tekniker,N$4,TF_Dato,$A119))*2,0)/2)))</f>
        <v/>
      </c>
      <c r="O119">
        <f>IF(OR(O$4="",$A119&gt;TODAY()),0,IF(OR(INDEX($B119:$D119,O$5)="F",AND(O$6&gt;0,$A119&lt;O$6),AND(O$7&gt;0,$A119&gt;O$7)),0,MAX(0,ROUND((INDEX($E119:$G119,O$5)-SUMIFS(TF_Timer,TF_Tekniker,O$4,TF_Dato,$A119))*2,0)/2)))</f>
        <v/>
      </c>
      <c r="P119">
        <f>IF(OR(P$4="",$A119&gt;TODAY()),0,IF(OR(INDEX($B119:$D119,P$5)="F",AND(P$6&gt;0,$A119&lt;P$6),AND(P$7&gt;0,$A119&gt;P$7)),0,MAX(0,ROUND((INDEX($E119:$G119,P$5)-SUMIFS(TF_Timer,TF_Tekniker,P$4,TF_Dato,$A119))*2,0)/2)))</f>
        <v/>
      </c>
      <c r="Q119">
        <f>IF(OR(Q$4="",$A119&gt;TODAY()),0,IF(OR(INDEX($B119:$D119,Q$5)="F",AND(Q$6&gt;0,$A119&lt;Q$6),AND(Q$7&gt;0,$A119&gt;Q$7)),0,MAX(0,ROUND((INDEX($E119:$G119,Q$5)-SUMIFS(TF_Timer,TF_Tekniker,Q$4,TF_Dato,$A119))*2,0)/2)))</f>
        <v/>
      </c>
      <c r="R119">
        <f>IF(OR(R$4="",$A119&gt;TODAY()),0,IF(OR(INDEX($B119:$D119,R$5)="F",AND(R$6&gt;0,$A119&lt;R$6),AND(R$7&gt;0,$A119&gt;R$7)),0,MAX(0,ROUND((INDEX($E119:$G119,R$5)-SUMIFS(TF_Timer,TF_Tekniker,R$4,TF_Dato,$A119))*2,0)/2)))</f>
        <v/>
      </c>
      <c r="S119">
        <f>IF(OR(S$4="",$A119&gt;TODAY()),0,IF(OR(INDEX($B119:$D119,S$5)="F",AND(S$6&gt;0,$A119&lt;S$6),AND(S$7&gt;0,$A119&gt;S$7)),0,MAX(0,ROUND((INDEX($E119:$G119,S$5)-SUMIFS(TF_Timer,TF_Tekniker,S$4,TF_Dato,$A119))*2,0)/2)))</f>
        <v/>
      </c>
      <c r="T119">
        <f>IF(OR(T$4="",$A119&gt;TODAY()),0,IF(OR(INDEX($B119:$D119,T$5)="F",AND(T$6&gt;0,$A119&lt;T$6),AND(T$7&gt;0,$A119&gt;T$7)),0,MAX(0,ROUND((INDEX($E119:$G119,T$5)-SUMIFS(TF_Timer,TF_Tekniker,T$4,TF_Dato,$A119))*2,0)/2)))</f>
        <v/>
      </c>
      <c r="U119">
        <f>IF(OR(U$4="",$A119&gt;TODAY()),0,IF(OR(INDEX($B119:$D119,U$5)="F",AND(U$6&gt;0,$A119&lt;U$6),AND(U$7&gt;0,$A119&gt;U$7)),0,MAX(0,ROUND((INDEX($E119:$G119,U$5)-SUMIFS(TF_Timer,TF_Tekniker,U$4,TF_Dato,$A119))*2,0)/2)))</f>
        <v/>
      </c>
      <c r="V119">
        <f>IF(OR(V$4="",$A119&gt;TODAY()),0,IF(OR(INDEX($B119:$D119,V$5)="F",AND(V$6&gt;0,$A119&lt;V$6),AND(V$7&gt;0,$A119&gt;V$7)),0,MAX(0,ROUND((INDEX($E119:$G119,V$5)-SUMIFS(TF_Timer,TF_Tekniker,V$4,TF_Dato,$A119))*2,0)/2)))</f>
        <v/>
      </c>
      <c r="W119">
        <f>IF(OR(W$4="",$A119&gt;TODAY()),0,IF(OR(INDEX($B119:$D119,W$5)="F",AND(W$6&gt;0,$A119&lt;W$6),AND(W$7&gt;0,$A119&gt;W$7)),0,MAX(0,ROUND((INDEX($E119:$G119,W$5)-SUMIFS(TF_Timer,TF_Tekniker,W$4,TF_Dato,$A119))*2,0)/2)))</f>
        <v/>
      </c>
      <c r="X119">
        <f>IF(OR(X$4="",$A119&gt;TODAY()),0,IF(OR(INDEX($B119:$D119,X$5)="F",AND(X$6&gt;0,$A119&lt;X$6),AND(X$7&gt;0,$A119&gt;X$7)),0,MAX(0,ROUND((INDEX($E119:$G119,X$5)-SUMIFS(TF_Timer,TF_Tekniker,X$4,TF_Dato,$A119))*2,0)/2)))</f>
        <v/>
      </c>
      <c r="Y119">
        <f>IF(OR(Y$4="",$A119&gt;TODAY()),0,IF(OR(INDEX($B119:$D119,Y$5)="F",AND(Y$6&gt;0,$A119&lt;Y$6),AND(Y$7&gt;0,$A119&gt;Y$7)),0,MAX(0,ROUND((INDEX($E119:$G119,Y$5)-SUMIFS(TF_Timer,TF_Tekniker,Y$4,TF_Dato,$A119))*2,0)/2)))</f>
        <v/>
      </c>
      <c r="Z119">
        <f>IF(OR(Z$4="",$A119&gt;TODAY()),0,IF(OR(INDEX($B119:$D119,Z$5)="F",AND(Z$6&gt;0,$A119&lt;Z$6),AND(Z$7&gt;0,$A119&gt;Z$7)),0,MAX(0,ROUND((INDEX($E119:$G119,Z$5)-SUMIFS(TF_Timer,TF_Tekniker,Z$4,TF_Dato,$A119))*2,0)/2)))</f>
        <v/>
      </c>
      <c r="AA119">
        <f>IF(OR(AA$4="",$A119&gt;TODAY()),0,IF(OR(INDEX($B119:$D119,AA$5)="F",AND(AA$6&gt;0,$A119&lt;AA$6),AND(AA$7&gt;0,$A119&gt;AA$7)),0,MAX(0,ROUND((INDEX($E119:$G119,AA$5)-SUMIFS(TF_Timer,TF_Tekniker,AA$4,TF_Dato,$A119))*2,0)/2)))</f>
        <v/>
      </c>
      <c r="AB119">
        <f>IF(OR(AB$4="",$A119&gt;TODAY()),0,IF(OR(INDEX($B119:$D119,AB$5)="F",AND(AB$6&gt;0,$A119&lt;AB$6),AND(AB$7&gt;0,$A119&gt;AB$7)),0,MAX(0,ROUND((INDEX($E119:$G119,AB$5)-SUMIFS(TF_Timer,TF_Tekniker,AB$4,TF_Dato,$A119))*2,0)/2)))</f>
        <v/>
      </c>
      <c r="AC119">
        <f>IF(OR(AC$4="",$A119&gt;TODAY()),0,IF(OR(INDEX($B119:$D119,AC$5)="F",AND(AC$6&gt;0,$A119&lt;AC$6),AND(AC$7&gt;0,$A119&gt;AC$7)),0,MAX(0,ROUND((INDEX($E119:$G119,AC$5)-SUMIFS(TF_Timer,TF_Tekniker,AC$4,TF_Dato,$A119))*2,0)/2)))</f>
        <v/>
      </c>
      <c r="AD119">
        <f>IF(OR(AD$4="",$A119&gt;TODAY()),0,IF(OR(INDEX($B119:$D119,AD$5)="F",AND(AD$6&gt;0,$A119&lt;AD$6),AND(AD$7&gt;0,$A119&gt;AD$7)),0,MAX(0,ROUND((INDEX($E119:$G119,AD$5)-SUMIFS(TF_Timer,TF_Tekniker,AD$4,TF_Dato,$A119))*2,0)/2)))</f>
        <v/>
      </c>
      <c r="AE119">
        <f>IF(OR(AE$4="",$A119&gt;TODAY()),0,IF(OR(INDEX($B119:$D119,AE$5)="F",AND(AE$6&gt;0,$A119&lt;AE$6),AND(AE$7&gt;0,$A119&gt;AE$7)),0,MAX(0,ROUND((INDEX($E119:$G119,AE$5)-SUMIFS(TF_Timer,TF_Tekniker,AE$4,TF_Dato,$A119))*2,0)/2)))</f>
        <v/>
      </c>
      <c r="AF119">
        <f>IF(OR(AF$4="",$A119&gt;TODAY()),0,IF(OR(INDEX($B119:$D119,AF$5)="F",AND(AF$6&gt;0,$A119&lt;AF$6),AND(AF$7&gt;0,$A119&gt;AF$7)),0,MAX(0,ROUND((INDEX($E119:$G119,AF$5)-SUMIFS(TF_Timer,TF_Tekniker,AF$4,TF_Dato,$A119))*2,0)/2)))</f>
        <v/>
      </c>
      <c r="AG119">
        <f>IF(OR(AG$4="",$A119&gt;TODAY()),0,IF(OR(INDEX($B119:$D119,AG$5)="F",AND(AG$6&gt;0,$A119&lt;AG$6),AND(AG$7&gt;0,$A119&gt;AG$7)),0,MAX(0,ROUND((INDEX($E119:$G119,AG$5)-SUMIFS(TF_Timer,TF_Tekniker,AG$4,TF_Dato,$A119))*2,0)/2)))</f>
        <v/>
      </c>
      <c r="AH119">
        <f>IF(OR(AH$4="",$A119&gt;TODAY()),0,IF(OR(INDEX($B119:$D119,AH$5)="F",AND(AH$6&gt;0,$A119&lt;AH$6),AND(AH$7&gt;0,$A119&gt;AH$7)),0,MAX(0,ROUND((INDEX($E119:$G119,AH$5)-SUMIFS(TF_Timer,TF_Tekniker,AH$4,TF_Dato,$A119))*2,0)/2)))</f>
        <v/>
      </c>
      <c r="AI119">
        <f>IF(OR(AI$4="",$A119&gt;TODAY()),0,IF(OR(INDEX($B119:$D119,AI$5)="F",AND(AI$6&gt;0,$A119&lt;AI$6),AND(AI$7&gt;0,$A119&gt;AI$7)),0,MAX(0,ROUND((INDEX($E119:$G119,AI$5)-SUMIFS(TF_Timer,TF_Tekniker,AI$4,TF_Dato,$A119))*2,0)/2)))</f>
        <v/>
      </c>
      <c r="AJ119">
        <f>IF(OR(AJ$4="",$A119&gt;TODAY()),0,IF(OR(INDEX($B119:$D119,AJ$5)="F",AND(AJ$6&gt;0,$A119&lt;AJ$6),AND(AJ$7&gt;0,$A119&gt;AJ$7)),0,MAX(0,ROUND((INDEX($E119:$G119,AJ$5)-SUMIFS(TF_Timer,TF_Tekniker,AJ$4,TF_Dato,$A119))*2,0)/2)))</f>
        <v/>
      </c>
      <c r="AK119">
        <f>IF(OR(AK$4="",$A119&gt;TODAY()),0,IF(OR(INDEX($B119:$D119,AK$5)="F",AND(AK$6&gt;0,$A119&lt;AK$6),AND(AK$7&gt;0,$A119&gt;AK$7)),0,MAX(0,ROUND((INDEX($E119:$G119,AK$5)-SUMIFS(TF_Timer,TF_Tekniker,AK$4,TF_Dato,$A119))*2,0)/2)))</f>
        <v/>
      </c>
      <c r="AL119">
        <f>IF(OR(AL$4="",$A119&gt;TODAY()),0,IF(OR(INDEX($B119:$D119,AL$5)="F",AND(AL$6&gt;0,$A119&lt;AL$6),AND(AL$7&gt;0,$A119&gt;AL$7)),0,MAX(0,ROUND((INDEX($E119:$G119,AL$5)-SUMIFS(TF_Timer,TF_Tekniker,AL$4,TF_Dato,$A119))*2,0)/2)))</f>
        <v/>
      </c>
      <c r="AM119">
        <f>IF(OR(AM$4="",$A119&gt;TODAY()),0,IF(OR(INDEX($B119:$D119,AM$5)="F",AND(AM$6&gt;0,$A119&lt;AM$6),AND(AM$7&gt;0,$A119&gt;AM$7)),0,MAX(0,ROUND((INDEX($E119:$G119,AM$5)-SUMIFS(TF_Timer,TF_Tekniker,AM$4,TF_Dato,$A119))*2,0)/2)))</f>
        <v/>
      </c>
      <c r="AN119">
        <f>IF(OR(AN$4="",$A119&gt;TODAY()),0,IF(OR(INDEX($B119:$D119,AN$5)="F",AND(AN$6&gt;0,$A119&lt;AN$6),AND(AN$7&gt;0,$A119&gt;AN$7)),0,MAX(0,ROUND((INDEX($E119:$G119,AN$5)-SUMIFS(TF_Timer,TF_Tekniker,AN$4,TF_Dato,$A119))*2,0)/2)))</f>
        <v/>
      </c>
      <c r="AO119">
        <f>IF(OR(AO$4="",$A119&gt;TODAY()),0,IF(OR(INDEX($B119:$D119,AO$5)="F",AND(AO$6&gt;0,$A119&lt;AO$6),AND(AO$7&gt;0,$A119&gt;AO$7)),0,MAX(0,ROUND((INDEX($E119:$G119,AO$5)-SUMIFS(TF_Timer,TF_Tekniker,AO$4,TF_Dato,$A119))*2,0)/2)))</f>
        <v/>
      </c>
      <c r="AP119">
        <f>IF(OR(AP$4="",$A119&gt;TODAY()),0,IF(OR(INDEX($B119:$D119,AP$5)="F",AND(AP$6&gt;0,$A119&lt;AP$6),AND(AP$7&gt;0,$A119&gt;AP$7)),0,MAX(0,ROUND((INDEX($E119:$G119,AP$5)-SUMIFS(TF_Timer,TF_Tekniker,AP$4,TF_Dato,$A119))*2,0)/2)))</f>
        <v/>
      </c>
      <c r="AQ119">
        <f>IF(OR(AQ$4="",$A119&gt;TODAY()),0,IF(OR(INDEX($B119:$D119,AQ$5)="F",AND(AQ$6&gt;0,$A119&lt;AQ$6),AND(AQ$7&gt;0,$A119&gt;AQ$7)),0,MAX(0,ROUND((INDEX($E119:$G119,AQ$5)-SUMIFS(TF_Timer,TF_Tekniker,AQ$4,TF_Dato,$A119))*2,0)/2)))</f>
        <v/>
      </c>
      <c r="AR119">
        <f>IF(OR(AR$4="",$A119&gt;TODAY()),0,IF(OR(INDEX($B119:$D119,AR$5)="F",AND(AR$6&gt;0,$A119&lt;AR$6),AND(AR$7&gt;0,$A119&gt;AR$7)),0,MAX(0,ROUND((INDEX($E119:$G119,AR$5)-SUMIFS(TF_Timer,TF_Tekniker,AR$4,TF_Dato,$A119))*2,0)/2)))</f>
        <v/>
      </c>
      <c r="AS119">
        <f>IF(OR(AS$4="",$A119&gt;TODAY()),0,IF(OR(INDEX($B119:$D119,AS$5)="F",AND(AS$6&gt;0,$A119&lt;AS$6),AND(AS$7&gt;0,$A119&gt;AS$7)),0,MAX(0,ROUND((INDEX($E119:$G119,AS$5)-SUMIFS(TF_Timer,TF_Tekniker,AS$4,TF_Dato,$A119))*2,0)/2)))</f>
        <v/>
      </c>
      <c r="AT119">
        <f>IF(OR(AT$4="",$A119&gt;TODAY()),0,IF(OR(INDEX($B119:$D119,AT$5)="F",AND(AT$6&gt;0,$A119&lt;AT$6),AND(AT$7&gt;0,$A119&gt;AT$7)),0,MAX(0,ROUND((INDEX($E119:$G119,AT$5)-SUMIFS(TF_Timer,TF_Tekniker,AT$4,TF_Dato,$A119))*2,0)/2)))</f>
        <v/>
      </c>
      <c r="AU119">
        <f>IF(OR(AU$4="",$A119&gt;TODAY()),0,IF(OR(INDEX($B119:$D119,AU$5)="F",AND(AU$6&gt;0,$A119&lt;AU$6),AND(AU$7&gt;0,$A119&gt;AU$7)),0,MAX(0,ROUND((INDEX($E119:$G119,AU$5)-SUMIFS(TF_Timer,TF_Tekniker,AU$4,TF_Dato,$A119))*2,0)/2)))</f>
        <v/>
      </c>
      <c r="AV119">
        <f>IF(OR(AV$4="",$A119&gt;TODAY()),0,IF(OR(INDEX($B119:$D119,AV$5)="F",AND(AV$6&gt;0,$A119&lt;AV$6),AND(AV$7&gt;0,$A119&gt;AV$7)),0,MAX(0,ROUND((INDEX($E119:$G119,AV$5)-SUMIFS(TF_Timer,TF_Tekniker,AV$4,TF_Dato,$A119))*2,0)/2)))</f>
        <v/>
      </c>
      <c r="AW119">
        <f>IF(OR(AW$4="",$A119&gt;TODAY()),0,IF(OR(INDEX($B119:$D119,AW$5)="F",AND(AW$6&gt;0,$A119&lt;AW$6),AND(AW$7&gt;0,$A119&gt;AW$7)),0,MAX(0,ROUND((INDEX($E119:$G119,AW$5)-SUMIFS(TF_Timer,TF_Tekniker,AW$4,TF_Dato,$A119))*2,0)/2)))</f>
        <v/>
      </c>
      <c r="AX119">
        <f>IF(OR(AX$4="",$A119&gt;TODAY()),0,IF(OR(INDEX($B119:$D119,AX$5)="F",AND(AX$6&gt;0,$A119&lt;AX$6),AND(AX$7&gt;0,$A119&gt;AX$7)),0,MAX(0,ROUND((INDEX($E119:$G119,AX$5)-SUMIFS(TF_Timer,TF_Tekniker,AX$4,TF_Dato,$A119))*2,0)/2)))</f>
        <v/>
      </c>
      <c r="AY119">
        <f>IF(OR(AY$4="",$A119&gt;TODAY()),0,IF(OR(INDEX($B119:$D119,AY$5)="F",AND(AY$6&gt;0,$A119&lt;AY$6),AND(AY$7&gt;0,$A119&gt;AY$7)),0,MAX(0,ROUND((INDEX($E119:$G119,AY$5)-SUMIFS(TF_Timer,TF_Tekniker,AY$4,TF_Dato,$A119))*2,0)/2)))</f>
        <v/>
      </c>
      <c r="AZ119">
        <f>IF(OR(AZ$4="",$A119&gt;TODAY()),0,IF(OR(INDEX($B119:$D119,AZ$5)="F",AND(AZ$6&gt;0,$A119&lt;AZ$6),AND(AZ$7&gt;0,$A119&gt;AZ$7)),0,MAX(0,ROUND((INDEX($E119:$G119,AZ$5)-SUMIFS(TF_Timer,TF_Tekniker,AZ$4,TF_Dato,$A119))*2,0)/2)))</f>
        <v/>
      </c>
      <c r="BA119">
        <f>IF(OR(BA$4="",$A119&gt;TODAY()),0,IF(OR(INDEX($B119:$D119,BA$5)="F",AND(BA$6&gt;0,$A119&lt;BA$6),AND(BA$7&gt;0,$A119&gt;BA$7)),0,MAX(0,ROUND((INDEX($E119:$G119,BA$5)-SUMIFS(TF_Timer,TF_Tekniker,BA$4,TF_Dato,$A119))*2,0)/2)))</f>
        <v/>
      </c>
      <c r="BB119">
        <f>IF(OR(BB$4="",$A119&gt;TODAY()),0,IF(OR(INDEX($B119:$D119,BB$5)="F",AND(BB$6&gt;0,$A119&lt;BB$6),AND(BB$7&gt;0,$A119&gt;BB$7)),0,MAX(0,ROUND((INDEX($E119:$G119,BB$5)-SUMIFS(TF_Timer,TF_Tekniker,BB$4,TF_Dato,$A119))*2,0)/2)))</f>
        <v/>
      </c>
      <c r="BC119">
        <f>IF(OR(BC$4="",$A119&gt;TODAY()),0,IF(OR(INDEX($B119:$D119,BC$5)="F",AND(BC$6&gt;0,$A119&lt;BC$6),AND(BC$7&gt;0,$A119&gt;BC$7)),0,MAX(0,ROUND((INDEX($E119:$G119,BC$5)-SUMIFS(TF_Timer,TF_Tekniker,BC$4,TF_Dato,$A119))*2,0)/2)))</f>
        <v/>
      </c>
      <c r="BD119">
        <f>IF(OR(BD$4="",$A119&gt;TODAY()),0,IF(OR(INDEX($B119:$D119,BD$5)="F",AND(BD$6&gt;0,$A119&lt;BD$6),AND(BD$7&gt;0,$A119&gt;BD$7)),0,MAX(0,ROUND((INDEX($E119:$G119,BD$5)-SUMIFS(TF_Timer,TF_Tekniker,BD$4,TF_Dato,$A119))*2,0)/2)))</f>
        <v/>
      </c>
      <c r="BE119">
        <f>IF(OR(BE$4="",$A119&gt;TODAY()),0,IF(OR(INDEX($B119:$D119,BE$5)="F",AND(BE$6&gt;0,$A119&lt;BE$6),AND(BE$7&gt;0,$A119&gt;BE$7)),0,MAX(0,ROUND((INDEX($E119:$G119,BE$5)-SUMIFS(TF_Timer,TF_Tekniker,BE$4,TF_Dato,$A119))*2,0)/2)))</f>
        <v/>
      </c>
      <c r="BF119">
        <f>IF(OR(BF$4="",$A119&gt;TODAY()),0,IF(OR(INDEX($B119:$D119,BF$5)="F",AND(BF$6&gt;0,$A119&lt;BF$6),AND(BF$7&gt;0,$A119&gt;BF$7)),0,MAX(0,ROUND((INDEX($E119:$G119,BF$5)-SUMIFS(TF_Timer,TF_Tekniker,BF$4,TF_Dato,$A119))*2,0)/2)))</f>
        <v/>
      </c>
      <c r="BG119">
        <f>IF(OR(BG$4="",$A119&gt;TODAY()),0,IF(OR(INDEX($B119:$D119,BG$5)="F",AND(BG$6&gt;0,$A119&lt;BG$6),AND(BG$7&gt;0,$A119&gt;BG$7)),0,MAX(0,ROUND((INDEX($E119:$G119,BG$5)-SUMIFS(TF_Timer,TF_Tekniker,BG$4,TF_Dato,$A119))*2,0)/2)))</f>
        <v/>
      </c>
      <c r="BH119">
        <f>IF(OR(BH$4="",$A119&gt;TODAY()),0,IF(OR(INDEX($B119:$D119,BH$5)="F",AND(BH$6&gt;0,$A119&lt;BH$6),AND(BH$7&gt;0,$A119&gt;BH$7)),0,MAX(0,ROUND((INDEX($E119:$G119,BH$5)-SUMIFS(TF_Timer,TF_Tekniker,BH$4,TF_Dato,$A119))*2,0)/2)))</f>
        <v/>
      </c>
      <c r="BI119">
        <f>IF(OR(BI$4="",$A119&gt;TODAY()),0,IF(OR(INDEX($B119:$D119,BI$5)="F",AND(BI$6&gt;0,$A119&lt;BI$6),AND(BI$7&gt;0,$A119&gt;BI$7)),0,MAX(0,ROUND((INDEX($E119:$G119,BI$5)-SUMIFS(TF_Timer,TF_Tekniker,BI$4,TF_Dato,$A119))*2,0)/2)))</f>
        <v/>
      </c>
    </row>
    <row r="120">
      <c r="A120" s="64">
        <f>A119+1</f>
        <v/>
      </c>
      <c r="B120">
        <f>IF(MOD($A120-INDEX(SkiftStart,1),Syklus)&lt;DagK,"K",IF(MOD($A120-INDEX(SkiftStart,1),Syklus)&lt;DagK+DagH,"H",IF(MOD($A120-INDEX(SkiftStart,1),Syklus)&lt;DagK+DagH+DagD,"D","F")))</f>
        <v/>
      </c>
      <c r="C120">
        <f>IF(MOD($A120-INDEX(SkiftStart,2),Syklus)&lt;DagK,"K",IF(MOD($A120-INDEX(SkiftStart,2),Syklus)&lt;DagK+DagH,"H",IF(MOD($A120-INDEX(SkiftStart,2),Syklus)&lt;DagK+DagH+DagD,"D","F")))</f>
        <v/>
      </c>
      <c r="D120">
        <f>IF(MOD($A120-INDEX(SkiftStart,3),Syklus)&lt;DagK,"K",IF(MOD($A120-INDEX(SkiftStart,3),Syklus)&lt;DagK+DagH,"H",IF(MOD($A120-INDEX(SkiftStart,3),Syklus)&lt;DagK+DagH+DagD,"D","F")))</f>
        <v/>
      </c>
      <c r="E120">
        <f>IF(B120="F",0,IF(WEEKDAY($A120,2)=5,INDEX(TimerFr,MATCH(B120,FaseKode,0)),INDEX(TimerMT,MATCH(B120,FaseKode,0))))</f>
        <v/>
      </c>
      <c r="F120">
        <f>IF(C120="F",0,IF(WEEKDAY($A120,2)=5,INDEX(TimerFr,MATCH(C120,FaseKode,0)),INDEX(TimerMT,MATCH(C120,FaseKode,0))))</f>
        <v/>
      </c>
      <c r="G120">
        <f>IF(D120="F",0,IF(WEEKDAY($A120,2)=5,INDEX(TimerFr,MATCH(D120,FaseKode,0)),INDEX(TimerMT,MATCH(D120,FaseKode,0))))</f>
        <v/>
      </c>
      <c r="H120">
        <f>IF(OR(H$4="",$A120&gt;TODAY()),0,IF(OR(INDEX($B120:$D120,H$5)="F",AND(H$6&gt;0,$A120&lt;H$6),AND(H$7&gt;0,$A120&gt;H$7)),0,MAX(0,ROUND((INDEX($E120:$G120,H$5)-SUMIFS(TF_Timer,TF_Tekniker,H$4,TF_Dato,$A120))*2,0)/2)))</f>
        <v/>
      </c>
      <c r="I120">
        <f>IF(OR(I$4="",$A120&gt;TODAY()),0,IF(OR(INDEX($B120:$D120,I$5)="F",AND(I$6&gt;0,$A120&lt;I$6),AND(I$7&gt;0,$A120&gt;I$7)),0,MAX(0,ROUND((INDEX($E120:$G120,I$5)-SUMIFS(TF_Timer,TF_Tekniker,I$4,TF_Dato,$A120))*2,0)/2)))</f>
        <v/>
      </c>
      <c r="J120">
        <f>IF(OR(J$4="",$A120&gt;TODAY()),0,IF(OR(INDEX($B120:$D120,J$5)="F",AND(J$6&gt;0,$A120&lt;J$6),AND(J$7&gt;0,$A120&gt;J$7)),0,MAX(0,ROUND((INDEX($E120:$G120,J$5)-SUMIFS(TF_Timer,TF_Tekniker,J$4,TF_Dato,$A120))*2,0)/2)))</f>
        <v/>
      </c>
      <c r="K120">
        <f>IF(OR(K$4="",$A120&gt;TODAY()),0,IF(OR(INDEX($B120:$D120,K$5)="F",AND(K$6&gt;0,$A120&lt;K$6),AND(K$7&gt;0,$A120&gt;K$7)),0,MAX(0,ROUND((INDEX($E120:$G120,K$5)-SUMIFS(TF_Timer,TF_Tekniker,K$4,TF_Dato,$A120))*2,0)/2)))</f>
        <v/>
      </c>
      <c r="L120">
        <f>IF(OR(L$4="",$A120&gt;TODAY()),0,IF(OR(INDEX($B120:$D120,L$5)="F",AND(L$6&gt;0,$A120&lt;L$6),AND(L$7&gt;0,$A120&gt;L$7)),0,MAX(0,ROUND((INDEX($E120:$G120,L$5)-SUMIFS(TF_Timer,TF_Tekniker,L$4,TF_Dato,$A120))*2,0)/2)))</f>
        <v/>
      </c>
      <c r="M120">
        <f>IF(OR(M$4="",$A120&gt;TODAY()),0,IF(OR(INDEX($B120:$D120,M$5)="F",AND(M$6&gt;0,$A120&lt;M$6),AND(M$7&gt;0,$A120&gt;M$7)),0,MAX(0,ROUND((INDEX($E120:$G120,M$5)-SUMIFS(TF_Timer,TF_Tekniker,M$4,TF_Dato,$A120))*2,0)/2)))</f>
        <v/>
      </c>
      <c r="N120">
        <f>IF(OR(N$4="",$A120&gt;TODAY()),0,IF(OR(INDEX($B120:$D120,N$5)="F",AND(N$6&gt;0,$A120&lt;N$6),AND(N$7&gt;0,$A120&gt;N$7)),0,MAX(0,ROUND((INDEX($E120:$G120,N$5)-SUMIFS(TF_Timer,TF_Tekniker,N$4,TF_Dato,$A120))*2,0)/2)))</f>
        <v/>
      </c>
      <c r="O120">
        <f>IF(OR(O$4="",$A120&gt;TODAY()),0,IF(OR(INDEX($B120:$D120,O$5)="F",AND(O$6&gt;0,$A120&lt;O$6),AND(O$7&gt;0,$A120&gt;O$7)),0,MAX(0,ROUND((INDEX($E120:$G120,O$5)-SUMIFS(TF_Timer,TF_Tekniker,O$4,TF_Dato,$A120))*2,0)/2)))</f>
        <v/>
      </c>
      <c r="P120">
        <f>IF(OR(P$4="",$A120&gt;TODAY()),0,IF(OR(INDEX($B120:$D120,P$5)="F",AND(P$6&gt;0,$A120&lt;P$6),AND(P$7&gt;0,$A120&gt;P$7)),0,MAX(0,ROUND((INDEX($E120:$G120,P$5)-SUMIFS(TF_Timer,TF_Tekniker,P$4,TF_Dato,$A120))*2,0)/2)))</f>
        <v/>
      </c>
      <c r="Q120">
        <f>IF(OR(Q$4="",$A120&gt;TODAY()),0,IF(OR(INDEX($B120:$D120,Q$5)="F",AND(Q$6&gt;0,$A120&lt;Q$6),AND(Q$7&gt;0,$A120&gt;Q$7)),0,MAX(0,ROUND((INDEX($E120:$G120,Q$5)-SUMIFS(TF_Timer,TF_Tekniker,Q$4,TF_Dato,$A120))*2,0)/2)))</f>
        <v/>
      </c>
      <c r="R120">
        <f>IF(OR(R$4="",$A120&gt;TODAY()),0,IF(OR(INDEX($B120:$D120,R$5)="F",AND(R$6&gt;0,$A120&lt;R$6),AND(R$7&gt;0,$A120&gt;R$7)),0,MAX(0,ROUND((INDEX($E120:$G120,R$5)-SUMIFS(TF_Timer,TF_Tekniker,R$4,TF_Dato,$A120))*2,0)/2)))</f>
        <v/>
      </c>
      <c r="S120">
        <f>IF(OR(S$4="",$A120&gt;TODAY()),0,IF(OR(INDEX($B120:$D120,S$5)="F",AND(S$6&gt;0,$A120&lt;S$6),AND(S$7&gt;0,$A120&gt;S$7)),0,MAX(0,ROUND((INDEX($E120:$G120,S$5)-SUMIFS(TF_Timer,TF_Tekniker,S$4,TF_Dato,$A120))*2,0)/2)))</f>
        <v/>
      </c>
      <c r="T120">
        <f>IF(OR(T$4="",$A120&gt;TODAY()),0,IF(OR(INDEX($B120:$D120,T$5)="F",AND(T$6&gt;0,$A120&lt;T$6),AND(T$7&gt;0,$A120&gt;T$7)),0,MAX(0,ROUND((INDEX($E120:$G120,T$5)-SUMIFS(TF_Timer,TF_Tekniker,T$4,TF_Dato,$A120))*2,0)/2)))</f>
        <v/>
      </c>
      <c r="U120">
        <f>IF(OR(U$4="",$A120&gt;TODAY()),0,IF(OR(INDEX($B120:$D120,U$5)="F",AND(U$6&gt;0,$A120&lt;U$6),AND(U$7&gt;0,$A120&gt;U$7)),0,MAX(0,ROUND((INDEX($E120:$G120,U$5)-SUMIFS(TF_Timer,TF_Tekniker,U$4,TF_Dato,$A120))*2,0)/2)))</f>
        <v/>
      </c>
      <c r="V120">
        <f>IF(OR(V$4="",$A120&gt;TODAY()),0,IF(OR(INDEX($B120:$D120,V$5)="F",AND(V$6&gt;0,$A120&lt;V$6),AND(V$7&gt;0,$A120&gt;V$7)),0,MAX(0,ROUND((INDEX($E120:$G120,V$5)-SUMIFS(TF_Timer,TF_Tekniker,V$4,TF_Dato,$A120))*2,0)/2)))</f>
        <v/>
      </c>
      <c r="W120">
        <f>IF(OR(W$4="",$A120&gt;TODAY()),0,IF(OR(INDEX($B120:$D120,W$5)="F",AND(W$6&gt;0,$A120&lt;W$6),AND(W$7&gt;0,$A120&gt;W$7)),0,MAX(0,ROUND((INDEX($E120:$G120,W$5)-SUMIFS(TF_Timer,TF_Tekniker,W$4,TF_Dato,$A120))*2,0)/2)))</f>
        <v/>
      </c>
      <c r="X120">
        <f>IF(OR(X$4="",$A120&gt;TODAY()),0,IF(OR(INDEX($B120:$D120,X$5)="F",AND(X$6&gt;0,$A120&lt;X$6),AND(X$7&gt;0,$A120&gt;X$7)),0,MAX(0,ROUND((INDEX($E120:$G120,X$5)-SUMIFS(TF_Timer,TF_Tekniker,X$4,TF_Dato,$A120))*2,0)/2)))</f>
        <v/>
      </c>
      <c r="Y120">
        <f>IF(OR(Y$4="",$A120&gt;TODAY()),0,IF(OR(INDEX($B120:$D120,Y$5)="F",AND(Y$6&gt;0,$A120&lt;Y$6),AND(Y$7&gt;0,$A120&gt;Y$7)),0,MAX(0,ROUND((INDEX($E120:$G120,Y$5)-SUMIFS(TF_Timer,TF_Tekniker,Y$4,TF_Dato,$A120))*2,0)/2)))</f>
        <v/>
      </c>
      <c r="Z120">
        <f>IF(OR(Z$4="",$A120&gt;TODAY()),0,IF(OR(INDEX($B120:$D120,Z$5)="F",AND(Z$6&gt;0,$A120&lt;Z$6),AND(Z$7&gt;0,$A120&gt;Z$7)),0,MAX(0,ROUND((INDEX($E120:$G120,Z$5)-SUMIFS(TF_Timer,TF_Tekniker,Z$4,TF_Dato,$A120))*2,0)/2)))</f>
        <v/>
      </c>
      <c r="AA120">
        <f>IF(OR(AA$4="",$A120&gt;TODAY()),0,IF(OR(INDEX($B120:$D120,AA$5)="F",AND(AA$6&gt;0,$A120&lt;AA$6),AND(AA$7&gt;0,$A120&gt;AA$7)),0,MAX(0,ROUND((INDEX($E120:$G120,AA$5)-SUMIFS(TF_Timer,TF_Tekniker,AA$4,TF_Dato,$A120))*2,0)/2)))</f>
        <v/>
      </c>
      <c r="AB120">
        <f>IF(OR(AB$4="",$A120&gt;TODAY()),0,IF(OR(INDEX($B120:$D120,AB$5)="F",AND(AB$6&gt;0,$A120&lt;AB$6),AND(AB$7&gt;0,$A120&gt;AB$7)),0,MAX(0,ROUND((INDEX($E120:$G120,AB$5)-SUMIFS(TF_Timer,TF_Tekniker,AB$4,TF_Dato,$A120))*2,0)/2)))</f>
        <v/>
      </c>
      <c r="AC120">
        <f>IF(OR(AC$4="",$A120&gt;TODAY()),0,IF(OR(INDEX($B120:$D120,AC$5)="F",AND(AC$6&gt;0,$A120&lt;AC$6),AND(AC$7&gt;0,$A120&gt;AC$7)),0,MAX(0,ROUND((INDEX($E120:$G120,AC$5)-SUMIFS(TF_Timer,TF_Tekniker,AC$4,TF_Dato,$A120))*2,0)/2)))</f>
        <v/>
      </c>
      <c r="AD120">
        <f>IF(OR(AD$4="",$A120&gt;TODAY()),0,IF(OR(INDEX($B120:$D120,AD$5)="F",AND(AD$6&gt;0,$A120&lt;AD$6),AND(AD$7&gt;0,$A120&gt;AD$7)),0,MAX(0,ROUND((INDEX($E120:$G120,AD$5)-SUMIFS(TF_Timer,TF_Tekniker,AD$4,TF_Dato,$A120))*2,0)/2)))</f>
        <v/>
      </c>
      <c r="AE120">
        <f>IF(OR(AE$4="",$A120&gt;TODAY()),0,IF(OR(INDEX($B120:$D120,AE$5)="F",AND(AE$6&gt;0,$A120&lt;AE$6),AND(AE$7&gt;0,$A120&gt;AE$7)),0,MAX(0,ROUND((INDEX($E120:$G120,AE$5)-SUMIFS(TF_Timer,TF_Tekniker,AE$4,TF_Dato,$A120))*2,0)/2)))</f>
        <v/>
      </c>
      <c r="AF120">
        <f>IF(OR(AF$4="",$A120&gt;TODAY()),0,IF(OR(INDEX($B120:$D120,AF$5)="F",AND(AF$6&gt;0,$A120&lt;AF$6),AND(AF$7&gt;0,$A120&gt;AF$7)),0,MAX(0,ROUND((INDEX($E120:$G120,AF$5)-SUMIFS(TF_Timer,TF_Tekniker,AF$4,TF_Dato,$A120))*2,0)/2)))</f>
        <v/>
      </c>
      <c r="AG120">
        <f>IF(OR(AG$4="",$A120&gt;TODAY()),0,IF(OR(INDEX($B120:$D120,AG$5)="F",AND(AG$6&gt;0,$A120&lt;AG$6),AND(AG$7&gt;0,$A120&gt;AG$7)),0,MAX(0,ROUND((INDEX($E120:$G120,AG$5)-SUMIFS(TF_Timer,TF_Tekniker,AG$4,TF_Dato,$A120))*2,0)/2)))</f>
        <v/>
      </c>
      <c r="AH120">
        <f>IF(OR(AH$4="",$A120&gt;TODAY()),0,IF(OR(INDEX($B120:$D120,AH$5)="F",AND(AH$6&gt;0,$A120&lt;AH$6),AND(AH$7&gt;0,$A120&gt;AH$7)),0,MAX(0,ROUND((INDEX($E120:$G120,AH$5)-SUMIFS(TF_Timer,TF_Tekniker,AH$4,TF_Dato,$A120))*2,0)/2)))</f>
        <v/>
      </c>
      <c r="AI120">
        <f>IF(OR(AI$4="",$A120&gt;TODAY()),0,IF(OR(INDEX($B120:$D120,AI$5)="F",AND(AI$6&gt;0,$A120&lt;AI$6),AND(AI$7&gt;0,$A120&gt;AI$7)),0,MAX(0,ROUND((INDEX($E120:$G120,AI$5)-SUMIFS(TF_Timer,TF_Tekniker,AI$4,TF_Dato,$A120))*2,0)/2)))</f>
        <v/>
      </c>
      <c r="AJ120">
        <f>IF(OR(AJ$4="",$A120&gt;TODAY()),0,IF(OR(INDEX($B120:$D120,AJ$5)="F",AND(AJ$6&gt;0,$A120&lt;AJ$6),AND(AJ$7&gt;0,$A120&gt;AJ$7)),0,MAX(0,ROUND((INDEX($E120:$G120,AJ$5)-SUMIFS(TF_Timer,TF_Tekniker,AJ$4,TF_Dato,$A120))*2,0)/2)))</f>
        <v/>
      </c>
      <c r="AK120">
        <f>IF(OR(AK$4="",$A120&gt;TODAY()),0,IF(OR(INDEX($B120:$D120,AK$5)="F",AND(AK$6&gt;0,$A120&lt;AK$6),AND(AK$7&gt;0,$A120&gt;AK$7)),0,MAX(0,ROUND((INDEX($E120:$G120,AK$5)-SUMIFS(TF_Timer,TF_Tekniker,AK$4,TF_Dato,$A120))*2,0)/2)))</f>
        <v/>
      </c>
      <c r="AL120">
        <f>IF(OR(AL$4="",$A120&gt;TODAY()),0,IF(OR(INDEX($B120:$D120,AL$5)="F",AND(AL$6&gt;0,$A120&lt;AL$6),AND(AL$7&gt;0,$A120&gt;AL$7)),0,MAX(0,ROUND((INDEX($E120:$G120,AL$5)-SUMIFS(TF_Timer,TF_Tekniker,AL$4,TF_Dato,$A120))*2,0)/2)))</f>
        <v/>
      </c>
      <c r="AM120">
        <f>IF(OR(AM$4="",$A120&gt;TODAY()),0,IF(OR(INDEX($B120:$D120,AM$5)="F",AND(AM$6&gt;0,$A120&lt;AM$6),AND(AM$7&gt;0,$A120&gt;AM$7)),0,MAX(0,ROUND((INDEX($E120:$G120,AM$5)-SUMIFS(TF_Timer,TF_Tekniker,AM$4,TF_Dato,$A120))*2,0)/2)))</f>
        <v/>
      </c>
      <c r="AN120">
        <f>IF(OR(AN$4="",$A120&gt;TODAY()),0,IF(OR(INDEX($B120:$D120,AN$5)="F",AND(AN$6&gt;0,$A120&lt;AN$6),AND(AN$7&gt;0,$A120&gt;AN$7)),0,MAX(0,ROUND((INDEX($E120:$G120,AN$5)-SUMIFS(TF_Timer,TF_Tekniker,AN$4,TF_Dato,$A120))*2,0)/2)))</f>
        <v/>
      </c>
      <c r="AO120">
        <f>IF(OR(AO$4="",$A120&gt;TODAY()),0,IF(OR(INDEX($B120:$D120,AO$5)="F",AND(AO$6&gt;0,$A120&lt;AO$6),AND(AO$7&gt;0,$A120&gt;AO$7)),0,MAX(0,ROUND((INDEX($E120:$G120,AO$5)-SUMIFS(TF_Timer,TF_Tekniker,AO$4,TF_Dato,$A120))*2,0)/2)))</f>
        <v/>
      </c>
      <c r="AP120">
        <f>IF(OR(AP$4="",$A120&gt;TODAY()),0,IF(OR(INDEX($B120:$D120,AP$5)="F",AND(AP$6&gt;0,$A120&lt;AP$6),AND(AP$7&gt;0,$A120&gt;AP$7)),0,MAX(0,ROUND((INDEX($E120:$G120,AP$5)-SUMIFS(TF_Timer,TF_Tekniker,AP$4,TF_Dato,$A120))*2,0)/2)))</f>
        <v/>
      </c>
      <c r="AQ120">
        <f>IF(OR(AQ$4="",$A120&gt;TODAY()),0,IF(OR(INDEX($B120:$D120,AQ$5)="F",AND(AQ$6&gt;0,$A120&lt;AQ$6),AND(AQ$7&gt;0,$A120&gt;AQ$7)),0,MAX(0,ROUND((INDEX($E120:$G120,AQ$5)-SUMIFS(TF_Timer,TF_Tekniker,AQ$4,TF_Dato,$A120))*2,0)/2)))</f>
        <v/>
      </c>
      <c r="AR120">
        <f>IF(OR(AR$4="",$A120&gt;TODAY()),0,IF(OR(INDEX($B120:$D120,AR$5)="F",AND(AR$6&gt;0,$A120&lt;AR$6),AND(AR$7&gt;0,$A120&gt;AR$7)),0,MAX(0,ROUND((INDEX($E120:$G120,AR$5)-SUMIFS(TF_Timer,TF_Tekniker,AR$4,TF_Dato,$A120))*2,0)/2)))</f>
        <v/>
      </c>
      <c r="AS120">
        <f>IF(OR(AS$4="",$A120&gt;TODAY()),0,IF(OR(INDEX($B120:$D120,AS$5)="F",AND(AS$6&gt;0,$A120&lt;AS$6),AND(AS$7&gt;0,$A120&gt;AS$7)),0,MAX(0,ROUND((INDEX($E120:$G120,AS$5)-SUMIFS(TF_Timer,TF_Tekniker,AS$4,TF_Dato,$A120))*2,0)/2)))</f>
        <v/>
      </c>
      <c r="AT120">
        <f>IF(OR(AT$4="",$A120&gt;TODAY()),0,IF(OR(INDEX($B120:$D120,AT$5)="F",AND(AT$6&gt;0,$A120&lt;AT$6),AND(AT$7&gt;0,$A120&gt;AT$7)),0,MAX(0,ROUND((INDEX($E120:$G120,AT$5)-SUMIFS(TF_Timer,TF_Tekniker,AT$4,TF_Dato,$A120))*2,0)/2)))</f>
        <v/>
      </c>
      <c r="AU120">
        <f>IF(OR(AU$4="",$A120&gt;TODAY()),0,IF(OR(INDEX($B120:$D120,AU$5)="F",AND(AU$6&gt;0,$A120&lt;AU$6),AND(AU$7&gt;0,$A120&gt;AU$7)),0,MAX(0,ROUND((INDEX($E120:$G120,AU$5)-SUMIFS(TF_Timer,TF_Tekniker,AU$4,TF_Dato,$A120))*2,0)/2)))</f>
        <v/>
      </c>
      <c r="AV120">
        <f>IF(OR(AV$4="",$A120&gt;TODAY()),0,IF(OR(INDEX($B120:$D120,AV$5)="F",AND(AV$6&gt;0,$A120&lt;AV$6),AND(AV$7&gt;0,$A120&gt;AV$7)),0,MAX(0,ROUND((INDEX($E120:$G120,AV$5)-SUMIFS(TF_Timer,TF_Tekniker,AV$4,TF_Dato,$A120))*2,0)/2)))</f>
        <v/>
      </c>
      <c r="AW120">
        <f>IF(OR(AW$4="",$A120&gt;TODAY()),0,IF(OR(INDEX($B120:$D120,AW$5)="F",AND(AW$6&gt;0,$A120&lt;AW$6),AND(AW$7&gt;0,$A120&gt;AW$7)),0,MAX(0,ROUND((INDEX($E120:$G120,AW$5)-SUMIFS(TF_Timer,TF_Tekniker,AW$4,TF_Dato,$A120))*2,0)/2)))</f>
        <v/>
      </c>
      <c r="AX120">
        <f>IF(OR(AX$4="",$A120&gt;TODAY()),0,IF(OR(INDEX($B120:$D120,AX$5)="F",AND(AX$6&gt;0,$A120&lt;AX$6),AND(AX$7&gt;0,$A120&gt;AX$7)),0,MAX(0,ROUND((INDEX($E120:$G120,AX$5)-SUMIFS(TF_Timer,TF_Tekniker,AX$4,TF_Dato,$A120))*2,0)/2)))</f>
        <v/>
      </c>
      <c r="AY120">
        <f>IF(OR(AY$4="",$A120&gt;TODAY()),0,IF(OR(INDEX($B120:$D120,AY$5)="F",AND(AY$6&gt;0,$A120&lt;AY$6),AND(AY$7&gt;0,$A120&gt;AY$7)),0,MAX(0,ROUND((INDEX($E120:$G120,AY$5)-SUMIFS(TF_Timer,TF_Tekniker,AY$4,TF_Dato,$A120))*2,0)/2)))</f>
        <v/>
      </c>
      <c r="AZ120">
        <f>IF(OR(AZ$4="",$A120&gt;TODAY()),0,IF(OR(INDEX($B120:$D120,AZ$5)="F",AND(AZ$6&gt;0,$A120&lt;AZ$6),AND(AZ$7&gt;0,$A120&gt;AZ$7)),0,MAX(0,ROUND((INDEX($E120:$G120,AZ$5)-SUMIFS(TF_Timer,TF_Tekniker,AZ$4,TF_Dato,$A120))*2,0)/2)))</f>
        <v/>
      </c>
      <c r="BA120">
        <f>IF(OR(BA$4="",$A120&gt;TODAY()),0,IF(OR(INDEX($B120:$D120,BA$5)="F",AND(BA$6&gt;0,$A120&lt;BA$6),AND(BA$7&gt;0,$A120&gt;BA$7)),0,MAX(0,ROUND((INDEX($E120:$G120,BA$5)-SUMIFS(TF_Timer,TF_Tekniker,BA$4,TF_Dato,$A120))*2,0)/2)))</f>
        <v/>
      </c>
      <c r="BB120">
        <f>IF(OR(BB$4="",$A120&gt;TODAY()),0,IF(OR(INDEX($B120:$D120,BB$5)="F",AND(BB$6&gt;0,$A120&lt;BB$6),AND(BB$7&gt;0,$A120&gt;BB$7)),0,MAX(0,ROUND((INDEX($E120:$G120,BB$5)-SUMIFS(TF_Timer,TF_Tekniker,BB$4,TF_Dato,$A120))*2,0)/2)))</f>
        <v/>
      </c>
      <c r="BC120">
        <f>IF(OR(BC$4="",$A120&gt;TODAY()),0,IF(OR(INDEX($B120:$D120,BC$5)="F",AND(BC$6&gt;0,$A120&lt;BC$6),AND(BC$7&gt;0,$A120&gt;BC$7)),0,MAX(0,ROUND((INDEX($E120:$G120,BC$5)-SUMIFS(TF_Timer,TF_Tekniker,BC$4,TF_Dato,$A120))*2,0)/2)))</f>
        <v/>
      </c>
      <c r="BD120">
        <f>IF(OR(BD$4="",$A120&gt;TODAY()),0,IF(OR(INDEX($B120:$D120,BD$5)="F",AND(BD$6&gt;0,$A120&lt;BD$6),AND(BD$7&gt;0,$A120&gt;BD$7)),0,MAX(0,ROUND((INDEX($E120:$G120,BD$5)-SUMIFS(TF_Timer,TF_Tekniker,BD$4,TF_Dato,$A120))*2,0)/2)))</f>
        <v/>
      </c>
      <c r="BE120">
        <f>IF(OR(BE$4="",$A120&gt;TODAY()),0,IF(OR(INDEX($B120:$D120,BE$5)="F",AND(BE$6&gt;0,$A120&lt;BE$6),AND(BE$7&gt;0,$A120&gt;BE$7)),0,MAX(0,ROUND((INDEX($E120:$G120,BE$5)-SUMIFS(TF_Timer,TF_Tekniker,BE$4,TF_Dato,$A120))*2,0)/2)))</f>
        <v/>
      </c>
      <c r="BF120">
        <f>IF(OR(BF$4="",$A120&gt;TODAY()),0,IF(OR(INDEX($B120:$D120,BF$5)="F",AND(BF$6&gt;0,$A120&lt;BF$6),AND(BF$7&gt;0,$A120&gt;BF$7)),0,MAX(0,ROUND((INDEX($E120:$G120,BF$5)-SUMIFS(TF_Timer,TF_Tekniker,BF$4,TF_Dato,$A120))*2,0)/2)))</f>
        <v/>
      </c>
      <c r="BG120">
        <f>IF(OR(BG$4="",$A120&gt;TODAY()),0,IF(OR(INDEX($B120:$D120,BG$5)="F",AND(BG$6&gt;0,$A120&lt;BG$6),AND(BG$7&gt;0,$A120&gt;BG$7)),0,MAX(0,ROUND((INDEX($E120:$G120,BG$5)-SUMIFS(TF_Timer,TF_Tekniker,BG$4,TF_Dato,$A120))*2,0)/2)))</f>
        <v/>
      </c>
      <c r="BH120">
        <f>IF(OR(BH$4="",$A120&gt;TODAY()),0,IF(OR(INDEX($B120:$D120,BH$5)="F",AND(BH$6&gt;0,$A120&lt;BH$6),AND(BH$7&gt;0,$A120&gt;BH$7)),0,MAX(0,ROUND((INDEX($E120:$G120,BH$5)-SUMIFS(TF_Timer,TF_Tekniker,BH$4,TF_Dato,$A120))*2,0)/2)))</f>
        <v/>
      </c>
      <c r="BI120">
        <f>IF(OR(BI$4="",$A120&gt;TODAY()),0,IF(OR(INDEX($B120:$D120,BI$5)="F",AND(BI$6&gt;0,$A120&lt;BI$6),AND(BI$7&gt;0,$A120&gt;BI$7)),0,MAX(0,ROUND((INDEX($E120:$G120,BI$5)-SUMIFS(TF_Timer,TF_Tekniker,BI$4,TF_Dato,$A120))*2,0)/2)))</f>
        <v/>
      </c>
    </row>
    <row r="121">
      <c r="A121" s="64">
        <f>A120+1</f>
        <v/>
      </c>
      <c r="B121">
        <f>IF(MOD($A121-INDEX(SkiftStart,1),Syklus)&lt;DagK,"K",IF(MOD($A121-INDEX(SkiftStart,1),Syklus)&lt;DagK+DagH,"H",IF(MOD($A121-INDEX(SkiftStart,1),Syklus)&lt;DagK+DagH+DagD,"D","F")))</f>
        <v/>
      </c>
      <c r="C121">
        <f>IF(MOD($A121-INDEX(SkiftStart,2),Syklus)&lt;DagK,"K",IF(MOD($A121-INDEX(SkiftStart,2),Syklus)&lt;DagK+DagH,"H",IF(MOD($A121-INDEX(SkiftStart,2),Syklus)&lt;DagK+DagH+DagD,"D","F")))</f>
        <v/>
      </c>
      <c r="D121">
        <f>IF(MOD($A121-INDEX(SkiftStart,3),Syklus)&lt;DagK,"K",IF(MOD($A121-INDEX(SkiftStart,3),Syklus)&lt;DagK+DagH,"H",IF(MOD($A121-INDEX(SkiftStart,3),Syklus)&lt;DagK+DagH+DagD,"D","F")))</f>
        <v/>
      </c>
      <c r="E121">
        <f>IF(B121="F",0,IF(WEEKDAY($A121,2)=5,INDEX(TimerFr,MATCH(B121,FaseKode,0)),INDEX(TimerMT,MATCH(B121,FaseKode,0))))</f>
        <v/>
      </c>
      <c r="F121">
        <f>IF(C121="F",0,IF(WEEKDAY($A121,2)=5,INDEX(TimerFr,MATCH(C121,FaseKode,0)),INDEX(TimerMT,MATCH(C121,FaseKode,0))))</f>
        <v/>
      </c>
      <c r="G121">
        <f>IF(D121="F",0,IF(WEEKDAY($A121,2)=5,INDEX(TimerFr,MATCH(D121,FaseKode,0)),INDEX(TimerMT,MATCH(D121,FaseKode,0))))</f>
        <v/>
      </c>
      <c r="H121">
        <f>IF(OR(H$4="",$A121&gt;TODAY()),0,IF(OR(INDEX($B121:$D121,H$5)="F",AND(H$6&gt;0,$A121&lt;H$6),AND(H$7&gt;0,$A121&gt;H$7)),0,MAX(0,ROUND((INDEX($E121:$G121,H$5)-SUMIFS(TF_Timer,TF_Tekniker,H$4,TF_Dato,$A121))*2,0)/2)))</f>
        <v/>
      </c>
      <c r="I121">
        <f>IF(OR(I$4="",$A121&gt;TODAY()),0,IF(OR(INDEX($B121:$D121,I$5)="F",AND(I$6&gt;0,$A121&lt;I$6),AND(I$7&gt;0,$A121&gt;I$7)),0,MAX(0,ROUND((INDEX($E121:$G121,I$5)-SUMIFS(TF_Timer,TF_Tekniker,I$4,TF_Dato,$A121))*2,0)/2)))</f>
        <v/>
      </c>
      <c r="J121">
        <f>IF(OR(J$4="",$A121&gt;TODAY()),0,IF(OR(INDEX($B121:$D121,J$5)="F",AND(J$6&gt;0,$A121&lt;J$6),AND(J$7&gt;0,$A121&gt;J$7)),0,MAX(0,ROUND((INDEX($E121:$G121,J$5)-SUMIFS(TF_Timer,TF_Tekniker,J$4,TF_Dato,$A121))*2,0)/2)))</f>
        <v/>
      </c>
      <c r="K121">
        <f>IF(OR(K$4="",$A121&gt;TODAY()),0,IF(OR(INDEX($B121:$D121,K$5)="F",AND(K$6&gt;0,$A121&lt;K$6),AND(K$7&gt;0,$A121&gt;K$7)),0,MAX(0,ROUND((INDEX($E121:$G121,K$5)-SUMIFS(TF_Timer,TF_Tekniker,K$4,TF_Dato,$A121))*2,0)/2)))</f>
        <v/>
      </c>
      <c r="L121">
        <f>IF(OR(L$4="",$A121&gt;TODAY()),0,IF(OR(INDEX($B121:$D121,L$5)="F",AND(L$6&gt;0,$A121&lt;L$6),AND(L$7&gt;0,$A121&gt;L$7)),0,MAX(0,ROUND((INDEX($E121:$G121,L$5)-SUMIFS(TF_Timer,TF_Tekniker,L$4,TF_Dato,$A121))*2,0)/2)))</f>
        <v/>
      </c>
      <c r="M121">
        <f>IF(OR(M$4="",$A121&gt;TODAY()),0,IF(OR(INDEX($B121:$D121,M$5)="F",AND(M$6&gt;0,$A121&lt;M$6),AND(M$7&gt;0,$A121&gt;M$7)),0,MAX(0,ROUND((INDEX($E121:$G121,M$5)-SUMIFS(TF_Timer,TF_Tekniker,M$4,TF_Dato,$A121))*2,0)/2)))</f>
        <v/>
      </c>
      <c r="N121">
        <f>IF(OR(N$4="",$A121&gt;TODAY()),0,IF(OR(INDEX($B121:$D121,N$5)="F",AND(N$6&gt;0,$A121&lt;N$6),AND(N$7&gt;0,$A121&gt;N$7)),0,MAX(0,ROUND((INDEX($E121:$G121,N$5)-SUMIFS(TF_Timer,TF_Tekniker,N$4,TF_Dato,$A121))*2,0)/2)))</f>
        <v/>
      </c>
      <c r="O121">
        <f>IF(OR(O$4="",$A121&gt;TODAY()),0,IF(OR(INDEX($B121:$D121,O$5)="F",AND(O$6&gt;0,$A121&lt;O$6),AND(O$7&gt;0,$A121&gt;O$7)),0,MAX(0,ROUND((INDEX($E121:$G121,O$5)-SUMIFS(TF_Timer,TF_Tekniker,O$4,TF_Dato,$A121))*2,0)/2)))</f>
        <v/>
      </c>
      <c r="P121">
        <f>IF(OR(P$4="",$A121&gt;TODAY()),0,IF(OR(INDEX($B121:$D121,P$5)="F",AND(P$6&gt;0,$A121&lt;P$6),AND(P$7&gt;0,$A121&gt;P$7)),0,MAX(0,ROUND((INDEX($E121:$G121,P$5)-SUMIFS(TF_Timer,TF_Tekniker,P$4,TF_Dato,$A121))*2,0)/2)))</f>
        <v/>
      </c>
      <c r="Q121">
        <f>IF(OR(Q$4="",$A121&gt;TODAY()),0,IF(OR(INDEX($B121:$D121,Q$5)="F",AND(Q$6&gt;0,$A121&lt;Q$6),AND(Q$7&gt;0,$A121&gt;Q$7)),0,MAX(0,ROUND((INDEX($E121:$G121,Q$5)-SUMIFS(TF_Timer,TF_Tekniker,Q$4,TF_Dato,$A121))*2,0)/2)))</f>
        <v/>
      </c>
      <c r="R121">
        <f>IF(OR(R$4="",$A121&gt;TODAY()),0,IF(OR(INDEX($B121:$D121,R$5)="F",AND(R$6&gt;0,$A121&lt;R$6),AND(R$7&gt;0,$A121&gt;R$7)),0,MAX(0,ROUND((INDEX($E121:$G121,R$5)-SUMIFS(TF_Timer,TF_Tekniker,R$4,TF_Dato,$A121))*2,0)/2)))</f>
        <v/>
      </c>
      <c r="S121">
        <f>IF(OR(S$4="",$A121&gt;TODAY()),0,IF(OR(INDEX($B121:$D121,S$5)="F",AND(S$6&gt;0,$A121&lt;S$6),AND(S$7&gt;0,$A121&gt;S$7)),0,MAX(0,ROUND((INDEX($E121:$G121,S$5)-SUMIFS(TF_Timer,TF_Tekniker,S$4,TF_Dato,$A121))*2,0)/2)))</f>
        <v/>
      </c>
      <c r="T121">
        <f>IF(OR(T$4="",$A121&gt;TODAY()),0,IF(OR(INDEX($B121:$D121,T$5)="F",AND(T$6&gt;0,$A121&lt;T$6),AND(T$7&gt;0,$A121&gt;T$7)),0,MAX(0,ROUND((INDEX($E121:$G121,T$5)-SUMIFS(TF_Timer,TF_Tekniker,T$4,TF_Dato,$A121))*2,0)/2)))</f>
        <v/>
      </c>
      <c r="U121">
        <f>IF(OR(U$4="",$A121&gt;TODAY()),0,IF(OR(INDEX($B121:$D121,U$5)="F",AND(U$6&gt;0,$A121&lt;U$6),AND(U$7&gt;0,$A121&gt;U$7)),0,MAX(0,ROUND((INDEX($E121:$G121,U$5)-SUMIFS(TF_Timer,TF_Tekniker,U$4,TF_Dato,$A121))*2,0)/2)))</f>
        <v/>
      </c>
      <c r="V121">
        <f>IF(OR(V$4="",$A121&gt;TODAY()),0,IF(OR(INDEX($B121:$D121,V$5)="F",AND(V$6&gt;0,$A121&lt;V$6),AND(V$7&gt;0,$A121&gt;V$7)),0,MAX(0,ROUND((INDEX($E121:$G121,V$5)-SUMIFS(TF_Timer,TF_Tekniker,V$4,TF_Dato,$A121))*2,0)/2)))</f>
        <v/>
      </c>
      <c r="W121">
        <f>IF(OR(W$4="",$A121&gt;TODAY()),0,IF(OR(INDEX($B121:$D121,W$5)="F",AND(W$6&gt;0,$A121&lt;W$6),AND(W$7&gt;0,$A121&gt;W$7)),0,MAX(0,ROUND((INDEX($E121:$G121,W$5)-SUMIFS(TF_Timer,TF_Tekniker,W$4,TF_Dato,$A121))*2,0)/2)))</f>
        <v/>
      </c>
      <c r="X121">
        <f>IF(OR(X$4="",$A121&gt;TODAY()),0,IF(OR(INDEX($B121:$D121,X$5)="F",AND(X$6&gt;0,$A121&lt;X$6),AND(X$7&gt;0,$A121&gt;X$7)),0,MAX(0,ROUND((INDEX($E121:$G121,X$5)-SUMIFS(TF_Timer,TF_Tekniker,X$4,TF_Dato,$A121))*2,0)/2)))</f>
        <v/>
      </c>
      <c r="Y121">
        <f>IF(OR(Y$4="",$A121&gt;TODAY()),0,IF(OR(INDEX($B121:$D121,Y$5)="F",AND(Y$6&gt;0,$A121&lt;Y$6),AND(Y$7&gt;0,$A121&gt;Y$7)),0,MAX(0,ROUND((INDEX($E121:$G121,Y$5)-SUMIFS(TF_Timer,TF_Tekniker,Y$4,TF_Dato,$A121))*2,0)/2)))</f>
        <v/>
      </c>
      <c r="Z121">
        <f>IF(OR(Z$4="",$A121&gt;TODAY()),0,IF(OR(INDEX($B121:$D121,Z$5)="F",AND(Z$6&gt;0,$A121&lt;Z$6),AND(Z$7&gt;0,$A121&gt;Z$7)),0,MAX(0,ROUND((INDEX($E121:$G121,Z$5)-SUMIFS(TF_Timer,TF_Tekniker,Z$4,TF_Dato,$A121))*2,0)/2)))</f>
        <v/>
      </c>
      <c r="AA121">
        <f>IF(OR(AA$4="",$A121&gt;TODAY()),0,IF(OR(INDEX($B121:$D121,AA$5)="F",AND(AA$6&gt;0,$A121&lt;AA$6),AND(AA$7&gt;0,$A121&gt;AA$7)),0,MAX(0,ROUND((INDEX($E121:$G121,AA$5)-SUMIFS(TF_Timer,TF_Tekniker,AA$4,TF_Dato,$A121))*2,0)/2)))</f>
        <v/>
      </c>
      <c r="AB121">
        <f>IF(OR(AB$4="",$A121&gt;TODAY()),0,IF(OR(INDEX($B121:$D121,AB$5)="F",AND(AB$6&gt;0,$A121&lt;AB$6),AND(AB$7&gt;0,$A121&gt;AB$7)),0,MAX(0,ROUND((INDEX($E121:$G121,AB$5)-SUMIFS(TF_Timer,TF_Tekniker,AB$4,TF_Dato,$A121))*2,0)/2)))</f>
        <v/>
      </c>
      <c r="AC121">
        <f>IF(OR(AC$4="",$A121&gt;TODAY()),0,IF(OR(INDEX($B121:$D121,AC$5)="F",AND(AC$6&gt;0,$A121&lt;AC$6),AND(AC$7&gt;0,$A121&gt;AC$7)),0,MAX(0,ROUND((INDEX($E121:$G121,AC$5)-SUMIFS(TF_Timer,TF_Tekniker,AC$4,TF_Dato,$A121))*2,0)/2)))</f>
        <v/>
      </c>
      <c r="AD121">
        <f>IF(OR(AD$4="",$A121&gt;TODAY()),0,IF(OR(INDEX($B121:$D121,AD$5)="F",AND(AD$6&gt;0,$A121&lt;AD$6),AND(AD$7&gt;0,$A121&gt;AD$7)),0,MAX(0,ROUND((INDEX($E121:$G121,AD$5)-SUMIFS(TF_Timer,TF_Tekniker,AD$4,TF_Dato,$A121))*2,0)/2)))</f>
        <v/>
      </c>
      <c r="AE121">
        <f>IF(OR(AE$4="",$A121&gt;TODAY()),0,IF(OR(INDEX($B121:$D121,AE$5)="F",AND(AE$6&gt;0,$A121&lt;AE$6),AND(AE$7&gt;0,$A121&gt;AE$7)),0,MAX(0,ROUND((INDEX($E121:$G121,AE$5)-SUMIFS(TF_Timer,TF_Tekniker,AE$4,TF_Dato,$A121))*2,0)/2)))</f>
        <v/>
      </c>
      <c r="AF121">
        <f>IF(OR(AF$4="",$A121&gt;TODAY()),0,IF(OR(INDEX($B121:$D121,AF$5)="F",AND(AF$6&gt;0,$A121&lt;AF$6),AND(AF$7&gt;0,$A121&gt;AF$7)),0,MAX(0,ROUND((INDEX($E121:$G121,AF$5)-SUMIFS(TF_Timer,TF_Tekniker,AF$4,TF_Dato,$A121))*2,0)/2)))</f>
        <v/>
      </c>
      <c r="AG121">
        <f>IF(OR(AG$4="",$A121&gt;TODAY()),0,IF(OR(INDEX($B121:$D121,AG$5)="F",AND(AG$6&gt;0,$A121&lt;AG$6),AND(AG$7&gt;0,$A121&gt;AG$7)),0,MAX(0,ROUND((INDEX($E121:$G121,AG$5)-SUMIFS(TF_Timer,TF_Tekniker,AG$4,TF_Dato,$A121))*2,0)/2)))</f>
        <v/>
      </c>
      <c r="AH121">
        <f>IF(OR(AH$4="",$A121&gt;TODAY()),0,IF(OR(INDEX($B121:$D121,AH$5)="F",AND(AH$6&gt;0,$A121&lt;AH$6),AND(AH$7&gt;0,$A121&gt;AH$7)),0,MAX(0,ROUND((INDEX($E121:$G121,AH$5)-SUMIFS(TF_Timer,TF_Tekniker,AH$4,TF_Dato,$A121))*2,0)/2)))</f>
        <v/>
      </c>
      <c r="AI121">
        <f>IF(OR(AI$4="",$A121&gt;TODAY()),0,IF(OR(INDEX($B121:$D121,AI$5)="F",AND(AI$6&gt;0,$A121&lt;AI$6),AND(AI$7&gt;0,$A121&gt;AI$7)),0,MAX(0,ROUND((INDEX($E121:$G121,AI$5)-SUMIFS(TF_Timer,TF_Tekniker,AI$4,TF_Dato,$A121))*2,0)/2)))</f>
        <v/>
      </c>
      <c r="AJ121">
        <f>IF(OR(AJ$4="",$A121&gt;TODAY()),0,IF(OR(INDEX($B121:$D121,AJ$5)="F",AND(AJ$6&gt;0,$A121&lt;AJ$6),AND(AJ$7&gt;0,$A121&gt;AJ$7)),0,MAX(0,ROUND((INDEX($E121:$G121,AJ$5)-SUMIFS(TF_Timer,TF_Tekniker,AJ$4,TF_Dato,$A121))*2,0)/2)))</f>
        <v/>
      </c>
      <c r="AK121">
        <f>IF(OR(AK$4="",$A121&gt;TODAY()),0,IF(OR(INDEX($B121:$D121,AK$5)="F",AND(AK$6&gt;0,$A121&lt;AK$6),AND(AK$7&gt;0,$A121&gt;AK$7)),0,MAX(0,ROUND((INDEX($E121:$G121,AK$5)-SUMIFS(TF_Timer,TF_Tekniker,AK$4,TF_Dato,$A121))*2,0)/2)))</f>
        <v/>
      </c>
      <c r="AL121">
        <f>IF(OR(AL$4="",$A121&gt;TODAY()),0,IF(OR(INDEX($B121:$D121,AL$5)="F",AND(AL$6&gt;0,$A121&lt;AL$6),AND(AL$7&gt;0,$A121&gt;AL$7)),0,MAX(0,ROUND((INDEX($E121:$G121,AL$5)-SUMIFS(TF_Timer,TF_Tekniker,AL$4,TF_Dato,$A121))*2,0)/2)))</f>
        <v/>
      </c>
      <c r="AM121">
        <f>IF(OR(AM$4="",$A121&gt;TODAY()),0,IF(OR(INDEX($B121:$D121,AM$5)="F",AND(AM$6&gt;0,$A121&lt;AM$6),AND(AM$7&gt;0,$A121&gt;AM$7)),0,MAX(0,ROUND((INDEX($E121:$G121,AM$5)-SUMIFS(TF_Timer,TF_Tekniker,AM$4,TF_Dato,$A121))*2,0)/2)))</f>
        <v/>
      </c>
      <c r="AN121">
        <f>IF(OR(AN$4="",$A121&gt;TODAY()),0,IF(OR(INDEX($B121:$D121,AN$5)="F",AND(AN$6&gt;0,$A121&lt;AN$6),AND(AN$7&gt;0,$A121&gt;AN$7)),0,MAX(0,ROUND((INDEX($E121:$G121,AN$5)-SUMIFS(TF_Timer,TF_Tekniker,AN$4,TF_Dato,$A121))*2,0)/2)))</f>
        <v/>
      </c>
      <c r="AO121">
        <f>IF(OR(AO$4="",$A121&gt;TODAY()),0,IF(OR(INDEX($B121:$D121,AO$5)="F",AND(AO$6&gt;0,$A121&lt;AO$6),AND(AO$7&gt;0,$A121&gt;AO$7)),0,MAX(0,ROUND((INDEX($E121:$G121,AO$5)-SUMIFS(TF_Timer,TF_Tekniker,AO$4,TF_Dato,$A121))*2,0)/2)))</f>
        <v/>
      </c>
      <c r="AP121">
        <f>IF(OR(AP$4="",$A121&gt;TODAY()),0,IF(OR(INDEX($B121:$D121,AP$5)="F",AND(AP$6&gt;0,$A121&lt;AP$6),AND(AP$7&gt;0,$A121&gt;AP$7)),0,MAX(0,ROUND((INDEX($E121:$G121,AP$5)-SUMIFS(TF_Timer,TF_Tekniker,AP$4,TF_Dato,$A121))*2,0)/2)))</f>
        <v/>
      </c>
      <c r="AQ121">
        <f>IF(OR(AQ$4="",$A121&gt;TODAY()),0,IF(OR(INDEX($B121:$D121,AQ$5)="F",AND(AQ$6&gt;0,$A121&lt;AQ$6),AND(AQ$7&gt;0,$A121&gt;AQ$7)),0,MAX(0,ROUND((INDEX($E121:$G121,AQ$5)-SUMIFS(TF_Timer,TF_Tekniker,AQ$4,TF_Dato,$A121))*2,0)/2)))</f>
        <v/>
      </c>
      <c r="AR121">
        <f>IF(OR(AR$4="",$A121&gt;TODAY()),0,IF(OR(INDEX($B121:$D121,AR$5)="F",AND(AR$6&gt;0,$A121&lt;AR$6),AND(AR$7&gt;0,$A121&gt;AR$7)),0,MAX(0,ROUND((INDEX($E121:$G121,AR$5)-SUMIFS(TF_Timer,TF_Tekniker,AR$4,TF_Dato,$A121))*2,0)/2)))</f>
        <v/>
      </c>
      <c r="AS121">
        <f>IF(OR(AS$4="",$A121&gt;TODAY()),0,IF(OR(INDEX($B121:$D121,AS$5)="F",AND(AS$6&gt;0,$A121&lt;AS$6),AND(AS$7&gt;0,$A121&gt;AS$7)),0,MAX(0,ROUND((INDEX($E121:$G121,AS$5)-SUMIFS(TF_Timer,TF_Tekniker,AS$4,TF_Dato,$A121))*2,0)/2)))</f>
        <v/>
      </c>
      <c r="AT121">
        <f>IF(OR(AT$4="",$A121&gt;TODAY()),0,IF(OR(INDEX($B121:$D121,AT$5)="F",AND(AT$6&gt;0,$A121&lt;AT$6),AND(AT$7&gt;0,$A121&gt;AT$7)),0,MAX(0,ROUND((INDEX($E121:$G121,AT$5)-SUMIFS(TF_Timer,TF_Tekniker,AT$4,TF_Dato,$A121))*2,0)/2)))</f>
        <v/>
      </c>
      <c r="AU121">
        <f>IF(OR(AU$4="",$A121&gt;TODAY()),0,IF(OR(INDEX($B121:$D121,AU$5)="F",AND(AU$6&gt;0,$A121&lt;AU$6),AND(AU$7&gt;0,$A121&gt;AU$7)),0,MAX(0,ROUND((INDEX($E121:$G121,AU$5)-SUMIFS(TF_Timer,TF_Tekniker,AU$4,TF_Dato,$A121))*2,0)/2)))</f>
        <v/>
      </c>
      <c r="AV121">
        <f>IF(OR(AV$4="",$A121&gt;TODAY()),0,IF(OR(INDEX($B121:$D121,AV$5)="F",AND(AV$6&gt;0,$A121&lt;AV$6),AND(AV$7&gt;0,$A121&gt;AV$7)),0,MAX(0,ROUND((INDEX($E121:$G121,AV$5)-SUMIFS(TF_Timer,TF_Tekniker,AV$4,TF_Dato,$A121))*2,0)/2)))</f>
        <v/>
      </c>
      <c r="AW121">
        <f>IF(OR(AW$4="",$A121&gt;TODAY()),0,IF(OR(INDEX($B121:$D121,AW$5)="F",AND(AW$6&gt;0,$A121&lt;AW$6),AND(AW$7&gt;0,$A121&gt;AW$7)),0,MAX(0,ROUND((INDEX($E121:$G121,AW$5)-SUMIFS(TF_Timer,TF_Tekniker,AW$4,TF_Dato,$A121))*2,0)/2)))</f>
        <v/>
      </c>
      <c r="AX121">
        <f>IF(OR(AX$4="",$A121&gt;TODAY()),0,IF(OR(INDEX($B121:$D121,AX$5)="F",AND(AX$6&gt;0,$A121&lt;AX$6),AND(AX$7&gt;0,$A121&gt;AX$7)),0,MAX(0,ROUND((INDEX($E121:$G121,AX$5)-SUMIFS(TF_Timer,TF_Tekniker,AX$4,TF_Dato,$A121))*2,0)/2)))</f>
        <v/>
      </c>
      <c r="AY121">
        <f>IF(OR(AY$4="",$A121&gt;TODAY()),0,IF(OR(INDEX($B121:$D121,AY$5)="F",AND(AY$6&gt;0,$A121&lt;AY$6),AND(AY$7&gt;0,$A121&gt;AY$7)),0,MAX(0,ROUND((INDEX($E121:$G121,AY$5)-SUMIFS(TF_Timer,TF_Tekniker,AY$4,TF_Dato,$A121))*2,0)/2)))</f>
        <v/>
      </c>
      <c r="AZ121">
        <f>IF(OR(AZ$4="",$A121&gt;TODAY()),0,IF(OR(INDEX($B121:$D121,AZ$5)="F",AND(AZ$6&gt;0,$A121&lt;AZ$6),AND(AZ$7&gt;0,$A121&gt;AZ$7)),0,MAX(0,ROUND((INDEX($E121:$G121,AZ$5)-SUMIFS(TF_Timer,TF_Tekniker,AZ$4,TF_Dato,$A121))*2,0)/2)))</f>
        <v/>
      </c>
      <c r="BA121">
        <f>IF(OR(BA$4="",$A121&gt;TODAY()),0,IF(OR(INDEX($B121:$D121,BA$5)="F",AND(BA$6&gt;0,$A121&lt;BA$6),AND(BA$7&gt;0,$A121&gt;BA$7)),0,MAX(0,ROUND((INDEX($E121:$G121,BA$5)-SUMIFS(TF_Timer,TF_Tekniker,BA$4,TF_Dato,$A121))*2,0)/2)))</f>
        <v/>
      </c>
      <c r="BB121">
        <f>IF(OR(BB$4="",$A121&gt;TODAY()),0,IF(OR(INDEX($B121:$D121,BB$5)="F",AND(BB$6&gt;0,$A121&lt;BB$6),AND(BB$7&gt;0,$A121&gt;BB$7)),0,MAX(0,ROUND((INDEX($E121:$G121,BB$5)-SUMIFS(TF_Timer,TF_Tekniker,BB$4,TF_Dato,$A121))*2,0)/2)))</f>
        <v/>
      </c>
      <c r="BC121">
        <f>IF(OR(BC$4="",$A121&gt;TODAY()),0,IF(OR(INDEX($B121:$D121,BC$5)="F",AND(BC$6&gt;0,$A121&lt;BC$6),AND(BC$7&gt;0,$A121&gt;BC$7)),0,MAX(0,ROUND((INDEX($E121:$G121,BC$5)-SUMIFS(TF_Timer,TF_Tekniker,BC$4,TF_Dato,$A121))*2,0)/2)))</f>
        <v/>
      </c>
      <c r="BD121">
        <f>IF(OR(BD$4="",$A121&gt;TODAY()),0,IF(OR(INDEX($B121:$D121,BD$5)="F",AND(BD$6&gt;0,$A121&lt;BD$6),AND(BD$7&gt;0,$A121&gt;BD$7)),0,MAX(0,ROUND((INDEX($E121:$G121,BD$5)-SUMIFS(TF_Timer,TF_Tekniker,BD$4,TF_Dato,$A121))*2,0)/2)))</f>
        <v/>
      </c>
      <c r="BE121">
        <f>IF(OR(BE$4="",$A121&gt;TODAY()),0,IF(OR(INDEX($B121:$D121,BE$5)="F",AND(BE$6&gt;0,$A121&lt;BE$6),AND(BE$7&gt;0,$A121&gt;BE$7)),0,MAX(0,ROUND((INDEX($E121:$G121,BE$5)-SUMIFS(TF_Timer,TF_Tekniker,BE$4,TF_Dato,$A121))*2,0)/2)))</f>
        <v/>
      </c>
      <c r="BF121">
        <f>IF(OR(BF$4="",$A121&gt;TODAY()),0,IF(OR(INDEX($B121:$D121,BF$5)="F",AND(BF$6&gt;0,$A121&lt;BF$6),AND(BF$7&gt;0,$A121&gt;BF$7)),0,MAX(0,ROUND((INDEX($E121:$G121,BF$5)-SUMIFS(TF_Timer,TF_Tekniker,BF$4,TF_Dato,$A121))*2,0)/2)))</f>
        <v/>
      </c>
      <c r="BG121">
        <f>IF(OR(BG$4="",$A121&gt;TODAY()),0,IF(OR(INDEX($B121:$D121,BG$5)="F",AND(BG$6&gt;0,$A121&lt;BG$6),AND(BG$7&gt;0,$A121&gt;BG$7)),0,MAX(0,ROUND((INDEX($E121:$G121,BG$5)-SUMIFS(TF_Timer,TF_Tekniker,BG$4,TF_Dato,$A121))*2,0)/2)))</f>
        <v/>
      </c>
      <c r="BH121">
        <f>IF(OR(BH$4="",$A121&gt;TODAY()),0,IF(OR(INDEX($B121:$D121,BH$5)="F",AND(BH$6&gt;0,$A121&lt;BH$6),AND(BH$7&gt;0,$A121&gt;BH$7)),0,MAX(0,ROUND((INDEX($E121:$G121,BH$5)-SUMIFS(TF_Timer,TF_Tekniker,BH$4,TF_Dato,$A121))*2,0)/2)))</f>
        <v/>
      </c>
      <c r="BI121">
        <f>IF(OR(BI$4="",$A121&gt;TODAY()),0,IF(OR(INDEX($B121:$D121,BI$5)="F",AND(BI$6&gt;0,$A121&lt;BI$6),AND(BI$7&gt;0,$A121&gt;BI$7)),0,MAX(0,ROUND((INDEX($E121:$G121,BI$5)-SUMIFS(TF_Timer,TF_Tekniker,BI$4,TF_Dato,$A121))*2,0)/2)))</f>
        <v/>
      </c>
    </row>
    <row r="122">
      <c r="A122" s="64">
        <f>A121+1</f>
        <v/>
      </c>
      <c r="B122">
        <f>IF(MOD($A122-INDEX(SkiftStart,1),Syklus)&lt;DagK,"K",IF(MOD($A122-INDEX(SkiftStart,1),Syklus)&lt;DagK+DagH,"H",IF(MOD($A122-INDEX(SkiftStart,1),Syklus)&lt;DagK+DagH+DagD,"D","F")))</f>
        <v/>
      </c>
      <c r="C122">
        <f>IF(MOD($A122-INDEX(SkiftStart,2),Syklus)&lt;DagK,"K",IF(MOD($A122-INDEX(SkiftStart,2),Syklus)&lt;DagK+DagH,"H",IF(MOD($A122-INDEX(SkiftStart,2),Syklus)&lt;DagK+DagH+DagD,"D","F")))</f>
        <v/>
      </c>
      <c r="D122">
        <f>IF(MOD($A122-INDEX(SkiftStart,3),Syklus)&lt;DagK,"K",IF(MOD($A122-INDEX(SkiftStart,3),Syklus)&lt;DagK+DagH,"H",IF(MOD($A122-INDEX(SkiftStart,3),Syklus)&lt;DagK+DagH+DagD,"D","F")))</f>
        <v/>
      </c>
      <c r="E122">
        <f>IF(B122="F",0,IF(WEEKDAY($A122,2)=5,INDEX(TimerFr,MATCH(B122,FaseKode,0)),INDEX(TimerMT,MATCH(B122,FaseKode,0))))</f>
        <v/>
      </c>
      <c r="F122">
        <f>IF(C122="F",0,IF(WEEKDAY($A122,2)=5,INDEX(TimerFr,MATCH(C122,FaseKode,0)),INDEX(TimerMT,MATCH(C122,FaseKode,0))))</f>
        <v/>
      </c>
      <c r="G122">
        <f>IF(D122="F",0,IF(WEEKDAY($A122,2)=5,INDEX(TimerFr,MATCH(D122,FaseKode,0)),INDEX(TimerMT,MATCH(D122,FaseKode,0))))</f>
        <v/>
      </c>
      <c r="H122">
        <f>IF(OR(H$4="",$A122&gt;TODAY()),0,IF(OR(INDEX($B122:$D122,H$5)="F",AND(H$6&gt;0,$A122&lt;H$6),AND(H$7&gt;0,$A122&gt;H$7)),0,MAX(0,ROUND((INDEX($E122:$G122,H$5)-SUMIFS(TF_Timer,TF_Tekniker,H$4,TF_Dato,$A122))*2,0)/2)))</f>
        <v/>
      </c>
      <c r="I122">
        <f>IF(OR(I$4="",$A122&gt;TODAY()),0,IF(OR(INDEX($B122:$D122,I$5)="F",AND(I$6&gt;0,$A122&lt;I$6),AND(I$7&gt;0,$A122&gt;I$7)),0,MAX(0,ROUND((INDEX($E122:$G122,I$5)-SUMIFS(TF_Timer,TF_Tekniker,I$4,TF_Dato,$A122))*2,0)/2)))</f>
        <v/>
      </c>
      <c r="J122">
        <f>IF(OR(J$4="",$A122&gt;TODAY()),0,IF(OR(INDEX($B122:$D122,J$5)="F",AND(J$6&gt;0,$A122&lt;J$6),AND(J$7&gt;0,$A122&gt;J$7)),0,MAX(0,ROUND((INDEX($E122:$G122,J$5)-SUMIFS(TF_Timer,TF_Tekniker,J$4,TF_Dato,$A122))*2,0)/2)))</f>
        <v/>
      </c>
      <c r="K122">
        <f>IF(OR(K$4="",$A122&gt;TODAY()),0,IF(OR(INDEX($B122:$D122,K$5)="F",AND(K$6&gt;0,$A122&lt;K$6),AND(K$7&gt;0,$A122&gt;K$7)),0,MAX(0,ROUND((INDEX($E122:$G122,K$5)-SUMIFS(TF_Timer,TF_Tekniker,K$4,TF_Dato,$A122))*2,0)/2)))</f>
        <v/>
      </c>
      <c r="L122">
        <f>IF(OR(L$4="",$A122&gt;TODAY()),0,IF(OR(INDEX($B122:$D122,L$5)="F",AND(L$6&gt;0,$A122&lt;L$6),AND(L$7&gt;0,$A122&gt;L$7)),0,MAX(0,ROUND((INDEX($E122:$G122,L$5)-SUMIFS(TF_Timer,TF_Tekniker,L$4,TF_Dato,$A122))*2,0)/2)))</f>
        <v/>
      </c>
      <c r="M122">
        <f>IF(OR(M$4="",$A122&gt;TODAY()),0,IF(OR(INDEX($B122:$D122,M$5)="F",AND(M$6&gt;0,$A122&lt;M$6),AND(M$7&gt;0,$A122&gt;M$7)),0,MAX(0,ROUND((INDEX($E122:$G122,M$5)-SUMIFS(TF_Timer,TF_Tekniker,M$4,TF_Dato,$A122))*2,0)/2)))</f>
        <v/>
      </c>
      <c r="N122">
        <f>IF(OR(N$4="",$A122&gt;TODAY()),0,IF(OR(INDEX($B122:$D122,N$5)="F",AND(N$6&gt;0,$A122&lt;N$6),AND(N$7&gt;0,$A122&gt;N$7)),0,MAX(0,ROUND((INDEX($E122:$G122,N$5)-SUMIFS(TF_Timer,TF_Tekniker,N$4,TF_Dato,$A122))*2,0)/2)))</f>
        <v/>
      </c>
      <c r="O122">
        <f>IF(OR(O$4="",$A122&gt;TODAY()),0,IF(OR(INDEX($B122:$D122,O$5)="F",AND(O$6&gt;0,$A122&lt;O$6),AND(O$7&gt;0,$A122&gt;O$7)),0,MAX(0,ROUND((INDEX($E122:$G122,O$5)-SUMIFS(TF_Timer,TF_Tekniker,O$4,TF_Dato,$A122))*2,0)/2)))</f>
        <v/>
      </c>
      <c r="P122">
        <f>IF(OR(P$4="",$A122&gt;TODAY()),0,IF(OR(INDEX($B122:$D122,P$5)="F",AND(P$6&gt;0,$A122&lt;P$6),AND(P$7&gt;0,$A122&gt;P$7)),0,MAX(0,ROUND((INDEX($E122:$G122,P$5)-SUMIFS(TF_Timer,TF_Tekniker,P$4,TF_Dato,$A122))*2,0)/2)))</f>
        <v/>
      </c>
      <c r="Q122">
        <f>IF(OR(Q$4="",$A122&gt;TODAY()),0,IF(OR(INDEX($B122:$D122,Q$5)="F",AND(Q$6&gt;0,$A122&lt;Q$6),AND(Q$7&gt;0,$A122&gt;Q$7)),0,MAX(0,ROUND((INDEX($E122:$G122,Q$5)-SUMIFS(TF_Timer,TF_Tekniker,Q$4,TF_Dato,$A122))*2,0)/2)))</f>
        <v/>
      </c>
      <c r="R122">
        <f>IF(OR(R$4="",$A122&gt;TODAY()),0,IF(OR(INDEX($B122:$D122,R$5)="F",AND(R$6&gt;0,$A122&lt;R$6),AND(R$7&gt;0,$A122&gt;R$7)),0,MAX(0,ROUND((INDEX($E122:$G122,R$5)-SUMIFS(TF_Timer,TF_Tekniker,R$4,TF_Dato,$A122))*2,0)/2)))</f>
        <v/>
      </c>
      <c r="S122">
        <f>IF(OR(S$4="",$A122&gt;TODAY()),0,IF(OR(INDEX($B122:$D122,S$5)="F",AND(S$6&gt;0,$A122&lt;S$6),AND(S$7&gt;0,$A122&gt;S$7)),0,MAX(0,ROUND((INDEX($E122:$G122,S$5)-SUMIFS(TF_Timer,TF_Tekniker,S$4,TF_Dato,$A122))*2,0)/2)))</f>
        <v/>
      </c>
      <c r="T122">
        <f>IF(OR(T$4="",$A122&gt;TODAY()),0,IF(OR(INDEX($B122:$D122,T$5)="F",AND(T$6&gt;0,$A122&lt;T$6),AND(T$7&gt;0,$A122&gt;T$7)),0,MAX(0,ROUND((INDEX($E122:$G122,T$5)-SUMIFS(TF_Timer,TF_Tekniker,T$4,TF_Dato,$A122))*2,0)/2)))</f>
        <v/>
      </c>
      <c r="U122">
        <f>IF(OR(U$4="",$A122&gt;TODAY()),0,IF(OR(INDEX($B122:$D122,U$5)="F",AND(U$6&gt;0,$A122&lt;U$6),AND(U$7&gt;0,$A122&gt;U$7)),0,MAX(0,ROUND((INDEX($E122:$G122,U$5)-SUMIFS(TF_Timer,TF_Tekniker,U$4,TF_Dato,$A122))*2,0)/2)))</f>
        <v/>
      </c>
      <c r="V122">
        <f>IF(OR(V$4="",$A122&gt;TODAY()),0,IF(OR(INDEX($B122:$D122,V$5)="F",AND(V$6&gt;0,$A122&lt;V$6),AND(V$7&gt;0,$A122&gt;V$7)),0,MAX(0,ROUND((INDEX($E122:$G122,V$5)-SUMIFS(TF_Timer,TF_Tekniker,V$4,TF_Dato,$A122))*2,0)/2)))</f>
        <v/>
      </c>
      <c r="W122">
        <f>IF(OR(W$4="",$A122&gt;TODAY()),0,IF(OR(INDEX($B122:$D122,W$5)="F",AND(W$6&gt;0,$A122&lt;W$6),AND(W$7&gt;0,$A122&gt;W$7)),0,MAX(0,ROUND((INDEX($E122:$G122,W$5)-SUMIFS(TF_Timer,TF_Tekniker,W$4,TF_Dato,$A122))*2,0)/2)))</f>
        <v/>
      </c>
      <c r="X122">
        <f>IF(OR(X$4="",$A122&gt;TODAY()),0,IF(OR(INDEX($B122:$D122,X$5)="F",AND(X$6&gt;0,$A122&lt;X$6),AND(X$7&gt;0,$A122&gt;X$7)),0,MAX(0,ROUND((INDEX($E122:$G122,X$5)-SUMIFS(TF_Timer,TF_Tekniker,X$4,TF_Dato,$A122))*2,0)/2)))</f>
        <v/>
      </c>
      <c r="Y122">
        <f>IF(OR(Y$4="",$A122&gt;TODAY()),0,IF(OR(INDEX($B122:$D122,Y$5)="F",AND(Y$6&gt;0,$A122&lt;Y$6),AND(Y$7&gt;0,$A122&gt;Y$7)),0,MAX(0,ROUND((INDEX($E122:$G122,Y$5)-SUMIFS(TF_Timer,TF_Tekniker,Y$4,TF_Dato,$A122))*2,0)/2)))</f>
        <v/>
      </c>
      <c r="Z122">
        <f>IF(OR(Z$4="",$A122&gt;TODAY()),0,IF(OR(INDEX($B122:$D122,Z$5)="F",AND(Z$6&gt;0,$A122&lt;Z$6),AND(Z$7&gt;0,$A122&gt;Z$7)),0,MAX(0,ROUND((INDEX($E122:$G122,Z$5)-SUMIFS(TF_Timer,TF_Tekniker,Z$4,TF_Dato,$A122))*2,0)/2)))</f>
        <v/>
      </c>
      <c r="AA122">
        <f>IF(OR(AA$4="",$A122&gt;TODAY()),0,IF(OR(INDEX($B122:$D122,AA$5)="F",AND(AA$6&gt;0,$A122&lt;AA$6),AND(AA$7&gt;0,$A122&gt;AA$7)),0,MAX(0,ROUND((INDEX($E122:$G122,AA$5)-SUMIFS(TF_Timer,TF_Tekniker,AA$4,TF_Dato,$A122))*2,0)/2)))</f>
        <v/>
      </c>
      <c r="AB122">
        <f>IF(OR(AB$4="",$A122&gt;TODAY()),0,IF(OR(INDEX($B122:$D122,AB$5)="F",AND(AB$6&gt;0,$A122&lt;AB$6),AND(AB$7&gt;0,$A122&gt;AB$7)),0,MAX(0,ROUND((INDEX($E122:$G122,AB$5)-SUMIFS(TF_Timer,TF_Tekniker,AB$4,TF_Dato,$A122))*2,0)/2)))</f>
        <v/>
      </c>
      <c r="AC122">
        <f>IF(OR(AC$4="",$A122&gt;TODAY()),0,IF(OR(INDEX($B122:$D122,AC$5)="F",AND(AC$6&gt;0,$A122&lt;AC$6),AND(AC$7&gt;0,$A122&gt;AC$7)),0,MAX(0,ROUND((INDEX($E122:$G122,AC$5)-SUMIFS(TF_Timer,TF_Tekniker,AC$4,TF_Dato,$A122))*2,0)/2)))</f>
        <v/>
      </c>
      <c r="AD122">
        <f>IF(OR(AD$4="",$A122&gt;TODAY()),0,IF(OR(INDEX($B122:$D122,AD$5)="F",AND(AD$6&gt;0,$A122&lt;AD$6),AND(AD$7&gt;0,$A122&gt;AD$7)),0,MAX(0,ROUND((INDEX($E122:$G122,AD$5)-SUMIFS(TF_Timer,TF_Tekniker,AD$4,TF_Dato,$A122))*2,0)/2)))</f>
        <v/>
      </c>
      <c r="AE122">
        <f>IF(OR(AE$4="",$A122&gt;TODAY()),0,IF(OR(INDEX($B122:$D122,AE$5)="F",AND(AE$6&gt;0,$A122&lt;AE$6),AND(AE$7&gt;0,$A122&gt;AE$7)),0,MAX(0,ROUND((INDEX($E122:$G122,AE$5)-SUMIFS(TF_Timer,TF_Tekniker,AE$4,TF_Dato,$A122))*2,0)/2)))</f>
        <v/>
      </c>
      <c r="AF122">
        <f>IF(OR(AF$4="",$A122&gt;TODAY()),0,IF(OR(INDEX($B122:$D122,AF$5)="F",AND(AF$6&gt;0,$A122&lt;AF$6),AND(AF$7&gt;0,$A122&gt;AF$7)),0,MAX(0,ROUND((INDEX($E122:$G122,AF$5)-SUMIFS(TF_Timer,TF_Tekniker,AF$4,TF_Dato,$A122))*2,0)/2)))</f>
        <v/>
      </c>
      <c r="AG122">
        <f>IF(OR(AG$4="",$A122&gt;TODAY()),0,IF(OR(INDEX($B122:$D122,AG$5)="F",AND(AG$6&gt;0,$A122&lt;AG$6),AND(AG$7&gt;0,$A122&gt;AG$7)),0,MAX(0,ROUND((INDEX($E122:$G122,AG$5)-SUMIFS(TF_Timer,TF_Tekniker,AG$4,TF_Dato,$A122))*2,0)/2)))</f>
        <v/>
      </c>
      <c r="AH122">
        <f>IF(OR(AH$4="",$A122&gt;TODAY()),0,IF(OR(INDEX($B122:$D122,AH$5)="F",AND(AH$6&gt;0,$A122&lt;AH$6),AND(AH$7&gt;0,$A122&gt;AH$7)),0,MAX(0,ROUND((INDEX($E122:$G122,AH$5)-SUMIFS(TF_Timer,TF_Tekniker,AH$4,TF_Dato,$A122))*2,0)/2)))</f>
        <v/>
      </c>
      <c r="AI122">
        <f>IF(OR(AI$4="",$A122&gt;TODAY()),0,IF(OR(INDEX($B122:$D122,AI$5)="F",AND(AI$6&gt;0,$A122&lt;AI$6),AND(AI$7&gt;0,$A122&gt;AI$7)),0,MAX(0,ROUND((INDEX($E122:$G122,AI$5)-SUMIFS(TF_Timer,TF_Tekniker,AI$4,TF_Dato,$A122))*2,0)/2)))</f>
        <v/>
      </c>
      <c r="AJ122">
        <f>IF(OR(AJ$4="",$A122&gt;TODAY()),0,IF(OR(INDEX($B122:$D122,AJ$5)="F",AND(AJ$6&gt;0,$A122&lt;AJ$6),AND(AJ$7&gt;0,$A122&gt;AJ$7)),0,MAX(0,ROUND((INDEX($E122:$G122,AJ$5)-SUMIFS(TF_Timer,TF_Tekniker,AJ$4,TF_Dato,$A122))*2,0)/2)))</f>
        <v/>
      </c>
      <c r="AK122">
        <f>IF(OR(AK$4="",$A122&gt;TODAY()),0,IF(OR(INDEX($B122:$D122,AK$5)="F",AND(AK$6&gt;0,$A122&lt;AK$6),AND(AK$7&gt;0,$A122&gt;AK$7)),0,MAX(0,ROUND((INDEX($E122:$G122,AK$5)-SUMIFS(TF_Timer,TF_Tekniker,AK$4,TF_Dato,$A122))*2,0)/2)))</f>
        <v/>
      </c>
      <c r="AL122">
        <f>IF(OR(AL$4="",$A122&gt;TODAY()),0,IF(OR(INDEX($B122:$D122,AL$5)="F",AND(AL$6&gt;0,$A122&lt;AL$6),AND(AL$7&gt;0,$A122&gt;AL$7)),0,MAX(0,ROUND((INDEX($E122:$G122,AL$5)-SUMIFS(TF_Timer,TF_Tekniker,AL$4,TF_Dato,$A122))*2,0)/2)))</f>
        <v/>
      </c>
      <c r="AM122">
        <f>IF(OR(AM$4="",$A122&gt;TODAY()),0,IF(OR(INDEX($B122:$D122,AM$5)="F",AND(AM$6&gt;0,$A122&lt;AM$6),AND(AM$7&gt;0,$A122&gt;AM$7)),0,MAX(0,ROUND((INDEX($E122:$G122,AM$5)-SUMIFS(TF_Timer,TF_Tekniker,AM$4,TF_Dato,$A122))*2,0)/2)))</f>
        <v/>
      </c>
      <c r="AN122">
        <f>IF(OR(AN$4="",$A122&gt;TODAY()),0,IF(OR(INDEX($B122:$D122,AN$5)="F",AND(AN$6&gt;0,$A122&lt;AN$6),AND(AN$7&gt;0,$A122&gt;AN$7)),0,MAX(0,ROUND((INDEX($E122:$G122,AN$5)-SUMIFS(TF_Timer,TF_Tekniker,AN$4,TF_Dato,$A122))*2,0)/2)))</f>
        <v/>
      </c>
      <c r="AO122">
        <f>IF(OR(AO$4="",$A122&gt;TODAY()),0,IF(OR(INDEX($B122:$D122,AO$5)="F",AND(AO$6&gt;0,$A122&lt;AO$6),AND(AO$7&gt;0,$A122&gt;AO$7)),0,MAX(0,ROUND((INDEX($E122:$G122,AO$5)-SUMIFS(TF_Timer,TF_Tekniker,AO$4,TF_Dato,$A122))*2,0)/2)))</f>
        <v/>
      </c>
      <c r="AP122">
        <f>IF(OR(AP$4="",$A122&gt;TODAY()),0,IF(OR(INDEX($B122:$D122,AP$5)="F",AND(AP$6&gt;0,$A122&lt;AP$6),AND(AP$7&gt;0,$A122&gt;AP$7)),0,MAX(0,ROUND((INDEX($E122:$G122,AP$5)-SUMIFS(TF_Timer,TF_Tekniker,AP$4,TF_Dato,$A122))*2,0)/2)))</f>
        <v/>
      </c>
      <c r="AQ122">
        <f>IF(OR(AQ$4="",$A122&gt;TODAY()),0,IF(OR(INDEX($B122:$D122,AQ$5)="F",AND(AQ$6&gt;0,$A122&lt;AQ$6),AND(AQ$7&gt;0,$A122&gt;AQ$7)),0,MAX(0,ROUND((INDEX($E122:$G122,AQ$5)-SUMIFS(TF_Timer,TF_Tekniker,AQ$4,TF_Dato,$A122))*2,0)/2)))</f>
        <v/>
      </c>
      <c r="AR122">
        <f>IF(OR(AR$4="",$A122&gt;TODAY()),0,IF(OR(INDEX($B122:$D122,AR$5)="F",AND(AR$6&gt;0,$A122&lt;AR$6),AND(AR$7&gt;0,$A122&gt;AR$7)),0,MAX(0,ROUND((INDEX($E122:$G122,AR$5)-SUMIFS(TF_Timer,TF_Tekniker,AR$4,TF_Dato,$A122))*2,0)/2)))</f>
        <v/>
      </c>
      <c r="AS122">
        <f>IF(OR(AS$4="",$A122&gt;TODAY()),0,IF(OR(INDEX($B122:$D122,AS$5)="F",AND(AS$6&gt;0,$A122&lt;AS$6),AND(AS$7&gt;0,$A122&gt;AS$7)),0,MAX(0,ROUND((INDEX($E122:$G122,AS$5)-SUMIFS(TF_Timer,TF_Tekniker,AS$4,TF_Dato,$A122))*2,0)/2)))</f>
        <v/>
      </c>
      <c r="AT122">
        <f>IF(OR(AT$4="",$A122&gt;TODAY()),0,IF(OR(INDEX($B122:$D122,AT$5)="F",AND(AT$6&gt;0,$A122&lt;AT$6),AND(AT$7&gt;0,$A122&gt;AT$7)),0,MAX(0,ROUND((INDEX($E122:$G122,AT$5)-SUMIFS(TF_Timer,TF_Tekniker,AT$4,TF_Dato,$A122))*2,0)/2)))</f>
        <v/>
      </c>
      <c r="AU122">
        <f>IF(OR(AU$4="",$A122&gt;TODAY()),0,IF(OR(INDEX($B122:$D122,AU$5)="F",AND(AU$6&gt;0,$A122&lt;AU$6),AND(AU$7&gt;0,$A122&gt;AU$7)),0,MAX(0,ROUND((INDEX($E122:$G122,AU$5)-SUMIFS(TF_Timer,TF_Tekniker,AU$4,TF_Dato,$A122))*2,0)/2)))</f>
        <v/>
      </c>
      <c r="AV122">
        <f>IF(OR(AV$4="",$A122&gt;TODAY()),0,IF(OR(INDEX($B122:$D122,AV$5)="F",AND(AV$6&gt;0,$A122&lt;AV$6),AND(AV$7&gt;0,$A122&gt;AV$7)),0,MAX(0,ROUND((INDEX($E122:$G122,AV$5)-SUMIFS(TF_Timer,TF_Tekniker,AV$4,TF_Dato,$A122))*2,0)/2)))</f>
        <v/>
      </c>
      <c r="AW122">
        <f>IF(OR(AW$4="",$A122&gt;TODAY()),0,IF(OR(INDEX($B122:$D122,AW$5)="F",AND(AW$6&gt;0,$A122&lt;AW$6),AND(AW$7&gt;0,$A122&gt;AW$7)),0,MAX(0,ROUND((INDEX($E122:$G122,AW$5)-SUMIFS(TF_Timer,TF_Tekniker,AW$4,TF_Dato,$A122))*2,0)/2)))</f>
        <v/>
      </c>
      <c r="AX122">
        <f>IF(OR(AX$4="",$A122&gt;TODAY()),0,IF(OR(INDEX($B122:$D122,AX$5)="F",AND(AX$6&gt;0,$A122&lt;AX$6),AND(AX$7&gt;0,$A122&gt;AX$7)),0,MAX(0,ROUND((INDEX($E122:$G122,AX$5)-SUMIFS(TF_Timer,TF_Tekniker,AX$4,TF_Dato,$A122))*2,0)/2)))</f>
        <v/>
      </c>
      <c r="AY122">
        <f>IF(OR(AY$4="",$A122&gt;TODAY()),0,IF(OR(INDEX($B122:$D122,AY$5)="F",AND(AY$6&gt;0,$A122&lt;AY$6),AND(AY$7&gt;0,$A122&gt;AY$7)),0,MAX(0,ROUND((INDEX($E122:$G122,AY$5)-SUMIFS(TF_Timer,TF_Tekniker,AY$4,TF_Dato,$A122))*2,0)/2)))</f>
        <v/>
      </c>
      <c r="AZ122">
        <f>IF(OR(AZ$4="",$A122&gt;TODAY()),0,IF(OR(INDEX($B122:$D122,AZ$5)="F",AND(AZ$6&gt;0,$A122&lt;AZ$6),AND(AZ$7&gt;0,$A122&gt;AZ$7)),0,MAX(0,ROUND((INDEX($E122:$G122,AZ$5)-SUMIFS(TF_Timer,TF_Tekniker,AZ$4,TF_Dato,$A122))*2,0)/2)))</f>
        <v/>
      </c>
      <c r="BA122">
        <f>IF(OR(BA$4="",$A122&gt;TODAY()),0,IF(OR(INDEX($B122:$D122,BA$5)="F",AND(BA$6&gt;0,$A122&lt;BA$6),AND(BA$7&gt;0,$A122&gt;BA$7)),0,MAX(0,ROUND((INDEX($E122:$G122,BA$5)-SUMIFS(TF_Timer,TF_Tekniker,BA$4,TF_Dato,$A122))*2,0)/2)))</f>
        <v/>
      </c>
      <c r="BB122">
        <f>IF(OR(BB$4="",$A122&gt;TODAY()),0,IF(OR(INDEX($B122:$D122,BB$5)="F",AND(BB$6&gt;0,$A122&lt;BB$6),AND(BB$7&gt;0,$A122&gt;BB$7)),0,MAX(0,ROUND((INDEX($E122:$G122,BB$5)-SUMIFS(TF_Timer,TF_Tekniker,BB$4,TF_Dato,$A122))*2,0)/2)))</f>
        <v/>
      </c>
      <c r="BC122">
        <f>IF(OR(BC$4="",$A122&gt;TODAY()),0,IF(OR(INDEX($B122:$D122,BC$5)="F",AND(BC$6&gt;0,$A122&lt;BC$6),AND(BC$7&gt;0,$A122&gt;BC$7)),0,MAX(0,ROUND((INDEX($E122:$G122,BC$5)-SUMIFS(TF_Timer,TF_Tekniker,BC$4,TF_Dato,$A122))*2,0)/2)))</f>
        <v/>
      </c>
      <c r="BD122">
        <f>IF(OR(BD$4="",$A122&gt;TODAY()),0,IF(OR(INDEX($B122:$D122,BD$5)="F",AND(BD$6&gt;0,$A122&lt;BD$6),AND(BD$7&gt;0,$A122&gt;BD$7)),0,MAX(0,ROUND((INDEX($E122:$G122,BD$5)-SUMIFS(TF_Timer,TF_Tekniker,BD$4,TF_Dato,$A122))*2,0)/2)))</f>
        <v/>
      </c>
      <c r="BE122">
        <f>IF(OR(BE$4="",$A122&gt;TODAY()),0,IF(OR(INDEX($B122:$D122,BE$5)="F",AND(BE$6&gt;0,$A122&lt;BE$6),AND(BE$7&gt;0,$A122&gt;BE$7)),0,MAX(0,ROUND((INDEX($E122:$G122,BE$5)-SUMIFS(TF_Timer,TF_Tekniker,BE$4,TF_Dato,$A122))*2,0)/2)))</f>
        <v/>
      </c>
      <c r="BF122">
        <f>IF(OR(BF$4="",$A122&gt;TODAY()),0,IF(OR(INDEX($B122:$D122,BF$5)="F",AND(BF$6&gt;0,$A122&lt;BF$6),AND(BF$7&gt;0,$A122&gt;BF$7)),0,MAX(0,ROUND((INDEX($E122:$G122,BF$5)-SUMIFS(TF_Timer,TF_Tekniker,BF$4,TF_Dato,$A122))*2,0)/2)))</f>
        <v/>
      </c>
      <c r="BG122">
        <f>IF(OR(BG$4="",$A122&gt;TODAY()),0,IF(OR(INDEX($B122:$D122,BG$5)="F",AND(BG$6&gt;0,$A122&lt;BG$6),AND(BG$7&gt;0,$A122&gt;BG$7)),0,MAX(0,ROUND((INDEX($E122:$G122,BG$5)-SUMIFS(TF_Timer,TF_Tekniker,BG$4,TF_Dato,$A122))*2,0)/2)))</f>
        <v/>
      </c>
      <c r="BH122">
        <f>IF(OR(BH$4="",$A122&gt;TODAY()),0,IF(OR(INDEX($B122:$D122,BH$5)="F",AND(BH$6&gt;0,$A122&lt;BH$6),AND(BH$7&gt;0,$A122&gt;BH$7)),0,MAX(0,ROUND((INDEX($E122:$G122,BH$5)-SUMIFS(TF_Timer,TF_Tekniker,BH$4,TF_Dato,$A122))*2,0)/2)))</f>
        <v/>
      </c>
      <c r="BI122">
        <f>IF(OR(BI$4="",$A122&gt;TODAY()),0,IF(OR(INDEX($B122:$D122,BI$5)="F",AND(BI$6&gt;0,$A122&lt;BI$6),AND(BI$7&gt;0,$A122&gt;BI$7)),0,MAX(0,ROUND((INDEX($E122:$G122,BI$5)-SUMIFS(TF_Timer,TF_Tekniker,BI$4,TF_Dato,$A122))*2,0)/2)))</f>
        <v/>
      </c>
    </row>
    <row r="123">
      <c r="A123" s="64">
        <f>A122+1</f>
        <v/>
      </c>
      <c r="B123">
        <f>IF(MOD($A123-INDEX(SkiftStart,1),Syklus)&lt;DagK,"K",IF(MOD($A123-INDEX(SkiftStart,1),Syklus)&lt;DagK+DagH,"H",IF(MOD($A123-INDEX(SkiftStart,1),Syklus)&lt;DagK+DagH+DagD,"D","F")))</f>
        <v/>
      </c>
      <c r="C123">
        <f>IF(MOD($A123-INDEX(SkiftStart,2),Syklus)&lt;DagK,"K",IF(MOD($A123-INDEX(SkiftStart,2),Syklus)&lt;DagK+DagH,"H",IF(MOD($A123-INDEX(SkiftStart,2),Syklus)&lt;DagK+DagH+DagD,"D","F")))</f>
        <v/>
      </c>
      <c r="D123">
        <f>IF(MOD($A123-INDEX(SkiftStart,3),Syklus)&lt;DagK,"K",IF(MOD($A123-INDEX(SkiftStart,3),Syklus)&lt;DagK+DagH,"H",IF(MOD($A123-INDEX(SkiftStart,3),Syklus)&lt;DagK+DagH+DagD,"D","F")))</f>
        <v/>
      </c>
      <c r="E123">
        <f>IF(B123="F",0,IF(WEEKDAY($A123,2)=5,INDEX(TimerFr,MATCH(B123,FaseKode,0)),INDEX(TimerMT,MATCH(B123,FaseKode,0))))</f>
        <v/>
      </c>
      <c r="F123">
        <f>IF(C123="F",0,IF(WEEKDAY($A123,2)=5,INDEX(TimerFr,MATCH(C123,FaseKode,0)),INDEX(TimerMT,MATCH(C123,FaseKode,0))))</f>
        <v/>
      </c>
      <c r="G123">
        <f>IF(D123="F",0,IF(WEEKDAY($A123,2)=5,INDEX(TimerFr,MATCH(D123,FaseKode,0)),INDEX(TimerMT,MATCH(D123,FaseKode,0))))</f>
        <v/>
      </c>
      <c r="H123">
        <f>IF(OR(H$4="",$A123&gt;TODAY()),0,IF(OR(INDEX($B123:$D123,H$5)="F",AND(H$6&gt;0,$A123&lt;H$6),AND(H$7&gt;0,$A123&gt;H$7)),0,MAX(0,ROUND((INDEX($E123:$G123,H$5)-SUMIFS(TF_Timer,TF_Tekniker,H$4,TF_Dato,$A123))*2,0)/2)))</f>
        <v/>
      </c>
      <c r="I123">
        <f>IF(OR(I$4="",$A123&gt;TODAY()),0,IF(OR(INDEX($B123:$D123,I$5)="F",AND(I$6&gt;0,$A123&lt;I$6),AND(I$7&gt;0,$A123&gt;I$7)),0,MAX(0,ROUND((INDEX($E123:$G123,I$5)-SUMIFS(TF_Timer,TF_Tekniker,I$4,TF_Dato,$A123))*2,0)/2)))</f>
        <v/>
      </c>
      <c r="J123">
        <f>IF(OR(J$4="",$A123&gt;TODAY()),0,IF(OR(INDEX($B123:$D123,J$5)="F",AND(J$6&gt;0,$A123&lt;J$6),AND(J$7&gt;0,$A123&gt;J$7)),0,MAX(0,ROUND((INDEX($E123:$G123,J$5)-SUMIFS(TF_Timer,TF_Tekniker,J$4,TF_Dato,$A123))*2,0)/2)))</f>
        <v/>
      </c>
      <c r="K123">
        <f>IF(OR(K$4="",$A123&gt;TODAY()),0,IF(OR(INDEX($B123:$D123,K$5)="F",AND(K$6&gt;0,$A123&lt;K$6),AND(K$7&gt;0,$A123&gt;K$7)),0,MAX(0,ROUND((INDEX($E123:$G123,K$5)-SUMIFS(TF_Timer,TF_Tekniker,K$4,TF_Dato,$A123))*2,0)/2)))</f>
        <v/>
      </c>
      <c r="L123">
        <f>IF(OR(L$4="",$A123&gt;TODAY()),0,IF(OR(INDEX($B123:$D123,L$5)="F",AND(L$6&gt;0,$A123&lt;L$6),AND(L$7&gt;0,$A123&gt;L$7)),0,MAX(0,ROUND((INDEX($E123:$G123,L$5)-SUMIFS(TF_Timer,TF_Tekniker,L$4,TF_Dato,$A123))*2,0)/2)))</f>
        <v/>
      </c>
      <c r="M123">
        <f>IF(OR(M$4="",$A123&gt;TODAY()),0,IF(OR(INDEX($B123:$D123,M$5)="F",AND(M$6&gt;0,$A123&lt;M$6),AND(M$7&gt;0,$A123&gt;M$7)),0,MAX(0,ROUND((INDEX($E123:$G123,M$5)-SUMIFS(TF_Timer,TF_Tekniker,M$4,TF_Dato,$A123))*2,0)/2)))</f>
        <v/>
      </c>
      <c r="N123">
        <f>IF(OR(N$4="",$A123&gt;TODAY()),0,IF(OR(INDEX($B123:$D123,N$5)="F",AND(N$6&gt;0,$A123&lt;N$6),AND(N$7&gt;0,$A123&gt;N$7)),0,MAX(0,ROUND((INDEX($E123:$G123,N$5)-SUMIFS(TF_Timer,TF_Tekniker,N$4,TF_Dato,$A123))*2,0)/2)))</f>
        <v/>
      </c>
      <c r="O123">
        <f>IF(OR(O$4="",$A123&gt;TODAY()),0,IF(OR(INDEX($B123:$D123,O$5)="F",AND(O$6&gt;0,$A123&lt;O$6),AND(O$7&gt;0,$A123&gt;O$7)),0,MAX(0,ROUND((INDEX($E123:$G123,O$5)-SUMIFS(TF_Timer,TF_Tekniker,O$4,TF_Dato,$A123))*2,0)/2)))</f>
        <v/>
      </c>
      <c r="P123">
        <f>IF(OR(P$4="",$A123&gt;TODAY()),0,IF(OR(INDEX($B123:$D123,P$5)="F",AND(P$6&gt;0,$A123&lt;P$6),AND(P$7&gt;0,$A123&gt;P$7)),0,MAX(0,ROUND((INDEX($E123:$G123,P$5)-SUMIFS(TF_Timer,TF_Tekniker,P$4,TF_Dato,$A123))*2,0)/2)))</f>
        <v/>
      </c>
      <c r="Q123">
        <f>IF(OR(Q$4="",$A123&gt;TODAY()),0,IF(OR(INDEX($B123:$D123,Q$5)="F",AND(Q$6&gt;0,$A123&lt;Q$6),AND(Q$7&gt;0,$A123&gt;Q$7)),0,MAX(0,ROUND((INDEX($E123:$G123,Q$5)-SUMIFS(TF_Timer,TF_Tekniker,Q$4,TF_Dato,$A123))*2,0)/2)))</f>
        <v/>
      </c>
      <c r="R123">
        <f>IF(OR(R$4="",$A123&gt;TODAY()),0,IF(OR(INDEX($B123:$D123,R$5)="F",AND(R$6&gt;0,$A123&lt;R$6),AND(R$7&gt;0,$A123&gt;R$7)),0,MAX(0,ROUND((INDEX($E123:$G123,R$5)-SUMIFS(TF_Timer,TF_Tekniker,R$4,TF_Dato,$A123))*2,0)/2)))</f>
        <v/>
      </c>
      <c r="S123">
        <f>IF(OR(S$4="",$A123&gt;TODAY()),0,IF(OR(INDEX($B123:$D123,S$5)="F",AND(S$6&gt;0,$A123&lt;S$6),AND(S$7&gt;0,$A123&gt;S$7)),0,MAX(0,ROUND((INDEX($E123:$G123,S$5)-SUMIFS(TF_Timer,TF_Tekniker,S$4,TF_Dato,$A123))*2,0)/2)))</f>
        <v/>
      </c>
      <c r="T123">
        <f>IF(OR(T$4="",$A123&gt;TODAY()),0,IF(OR(INDEX($B123:$D123,T$5)="F",AND(T$6&gt;0,$A123&lt;T$6),AND(T$7&gt;0,$A123&gt;T$7)),0,MAX(0,ROUND((INDEX($E123:$G123,T$5)-SUMIFS(TF_Timer,TF_Tekniker,T$4,TF_Dato,$A123))*2,0)/2)))</f>
        <v/>
      </c>
      <c r="U123">
        <f>IF(OR(U$4="",$A123&gt;TODAY()),0,IF(OR(INDEX($B123:$D123,U$5)="F",AND(U$6&gt;0,$A123&lt;U$6),AND(U$7&gt;0,$A123&gt;U$7)),0,MAX(0,ROUND((INDEX($E123:$G123,U$5)-SUMIFS(TF_Timer,TF_Tekniker,U$4,TF_Dato,$A123))*2,0)/2)))</f>
        <v/>
      </c>
      <c r="V123">
        <f>IF(OR(V$4="",$A123&gt;TODAY()),0,IF(OR(INDEX($B123:$D123,V$5)="F",AND(V$6&gt;0,$A123&lt;V$6),AND(V$7&gt;0,$A123&gt;V$7)),0,MAX(0,ROUND((INDEX($E123:$G123,V$5)-SUMIFS(TF_Timer,TF_Tekniker,V$4,TF_Dato,$A123))*2,0)/2)))</f>
        <v/>
      </c>
      <c r="W123">
        <f>IF(OR(W$4="",$A123&gt;TODAY()),0,IF(OR(INDEX($B123:$D123,W$5)="F",AND(W$6&gt;0,$A123&lt;W$6),AND(W$7&gt;0,$A123&gt;W$7)),0,MAX(0,ROUND((INDEX($E123:$G123,W$5)-SUMIFS(TF_Timer,TF_Tekniker,W$4,TF_Dato,$A123))*2,0)/2)))</f>
        <v/>
      </c>
      <c r="X123">
        <f>IF(OR(X$4="",$A123&gt;TODAY()),0,IF(OR(INDEX($B123:$D123,X$5)="F",AND(X$6&gt;0,$A123&lt;X$6),AND(X$7&gt;0,$A123&gt;X$7)),0,MAX(0,ROUND((INDEX($E123:$G123,X$5)-SUMIFS(TF_Timer,TF_Tekniker,X$4,TF_Dato,$A123))*2,0)/2)))</f>
        <v/>
      </c>
      <c r="Y123">
        <f>IF(OR(Y$4="",$A123&gt;TODAY()),0,IF(OR(INDEX($B123:$D123,Y$5)="F",AND(Y$6&gt;0,$A123&lt;Y$6),AND(Y$7&gt;0,$A123&gt;Y$7)),0,MAX(0,ROUND((INDEX($E123:$G123,Y$5)-SUMIFS(TF_Timer,TF_Tekniker,Y$4,TF_Dato,$A123))*2,0)/2)))</f>
        <v/>
      </c>
      <c r="Z123">
        <f>IF(OR(Z$4="",$A123&gt;TODAY()),0,IF(OR(INDEX($B123:$D123,Z$5)="F",AND(Z$6&gt;0,$A123&lt;Z$6),AND(Z$7&gt;0,$A123&gt;Z$7)),0,MAX(0,ROUND((INDEX($E123:$G123,Z$5)-SUMIFS(TF_Timer,TF_Tekniker,Z$4,TF_Dato,$A123))*2,0)/2)))</f>
        <v/>
      </c>
      <c r="AA123">
        <f>IF(OR(AA$4="",$A123&gt;TODAY()),0,IF(OR(INDEX($B123:$D123,AA$5)="F",AND(AA$6&gt;0,$A123&lt;AA$6),AND(AA$7&gt;0,$A123&gt;AA$7)),0,MAX(0,ROUND((INDEX($E123:$G123,AA$5)-SUMIFS(TF_Timer,TF_Tekniker,AA$4,TF_Dato,$A123))*2,0)/2)))</f>
        <v/>
      </c>
      <c r="AB123">
        <f>IF(OR(AB$4="",$A123&gt;TODAY()),0,IF(OR(INDEX($B123:$D123,AB$5)="F",AND(AB$6&gt;0,$A123&lt;AB$6),AND(AB$7&gt;0,$A123&gt;AB$7)),0,MAX(0,ROUND((INDEX($E123:$G123,AB$5)-SUMIFS(TF_Timer,TF_Tekniker,AB$4,TF_Dato,$A123))*2,0)/2)))</f>
        <v/>
      </c>
      <c r="AC123">
        <f>IF(OR(AC$4="",$A123&gt;TODAY()),0,IF(OR(INDEX($B123:$D123,AC$5)="F",AND(AC$6&gt;0,$A123&lt;AC$6),AND(AC$7&gt;0,$A123&gt;AC$7)),0,MAX(0,ROUND((INDEX($E123:$G123,AC$5)-SUMIFS(TF_Timer,TF_Tekniker,AC$4,TF_Dato,$A123))*2,0)/2)))</f>
        <v/>
      </c>
      <c r="AD123">
        <f>IF(OR(AD$4="",$A123&gt;TODAY()),0,IF(OR(INDEX($B123:$D123,AD$5)="F",AND(AD$6&gt;0,$A123&lt;AD$6),AND(AD$7&gt;0,$A123&gt;AD$7)),0,MAX(0,ROUND((INDEX($E123:$G123,AD$5)-SUMIFS(TF_Timer,TF_Tekniker,AD$4,TF_Dato,$A123))*2,0)/2)))</f>
        <v/>
      </c>
      <c r="AE123">
        <f>IF(OR(AE$4="",$A123&gt;TODAY()),0,IF(OR(INDEX($B123:$D123,AE$5)="F",AND(AE$6&gt;0,$A123&lt;AE$6),AND(AE$7&gt;0,$A123&gt;AE$7)),0,MAX(0,ROUND((INDEX($E123:$G123,AE$5)-SUMIFS(TF_Timer,TF_Tekniker,AE$4,TF_Dato,$A123))*2,0)/2)))</f>
        <v/>
      </c>
      <c r="AF123">
        <f>IF(OR(AF$4="",$A123&gt;TODAY()),0,IF(OR(INDEX($B123:$D123,AF$5)="F",AND(AF$6&gt;0,$A123&lt;AF$6),AND(AF$7&gt;0,$A123&gt;AF$7)),0,MAX(0,ROUND((INDEX($E123:$G123,AF$5)-SUMIFS(TF_Timer,TF_Tekniker,AF$4,TF_Dato,$A123))*2,0)/2)))</f>
        <v/>
      </c>
      <c r="AG123">
        <f>IF(OR(AG$4="",$A123&gt;TODAY()),0,IF(OR(INDEX($B123:$D123,AG$5)="F",AND(AG$6&gt;0,$A123&lt;AG$6),AND(AG$7&gt;0,$A123&gt;AG$7)),0,MAX(0,ROUND((INDEX($E123:$G123,AG$5)-SUMIFS(TF_Timer,TF_Tekniker,AG$4,TF_Dato,$A123))*2,0)/2)))</f>
        <v/>
      </c>
      <c r="AH123">
        <f>IF(OR(AH$4="",$A123&gt;TODAY()),0,IF(OR(INDEX($B123:$D123,AH$5)="F",AND(AH$6&gt;0,$A123&lt;AH$6),AND(AH$7&gt;0,$A123&gt;AH$7)),0,MAX(0,ROUND((INDEX($E123:$G123,AH$5)-SUMIFS(TF_Timer,TF_Tekniker,AH$4,TF_Dato,$A123))*2,0)/2)))</f>
        <v/>
      </c>
      <c r="AI123">
        <f>IF(OR(AI$4="",$A123&gt;TODAY()),0,IF(OR(INDEX($B123:$D123,AI$5)="F",AND(AI$6&gt;0,$A123&lt;AI$6),AND(AI$7&gt;0,$A123&gt;AI$7)),0,MAX(0,ROUND((INDEX($E123:$G123,AI$5)-SUMIFS(TF_Timer,TF_Tekniker,AI$4,TF_Dato,$A123))*2,0)/2)))</f>
        <v/>
      </c>
      <c r="AJ123">
        <f>IF(OR(AJ$4="",$A123&gt;TODAY()),0,IF(OR(INDEX($B123:$D123,AJ$5)="F",AND(AJ$6&gt;0,$A123&lt;AJ$6),AND(AJ$7&gt;0,$A123&gt;AJ$7)),0,MAX(0,ROUND((INDEX($E123:$G123,AJ$5)-SUMIFS(TF_Timer,TF_Tekniker,AJ$4,TF_Dato,$A123))*2,0)/2)))</f>
        <v/>
      </c>
      <c r="AK123">
        <f>IF(OR(AK$4="",$A123&gt;TODAY()),0,IF(OR(INDEX($B123:$D123,AK$5)="F",AND(AK$6&gt;0,$A123&lt;AK$6),AND(AK$7&gt;0,$A123&gt;AK$7)),0,MAX(0,ROUND((INDEX($E123:$G123,AK$5)-SUMIFS(TF_Timer,TF_Tekniker,AK$4,TF_Dato,$A123))*2,0)/2)))</f>
        <v/>
      </c>
      <c r="AL123">
        <f>IF(OR(AL$4="",$A123&gt;TODAY()),0,IF(OR(INDEX($B123:$D123,AL$5)="F",AND(AL$6&gt;0,$A123&lt;AL$6),AND(AL$7&gt;0,$A123&gt;AL$7)),0,MAX(0,ROUND((INDEX($E123:$G123,AL$5)-SUMIFS(TF_Timer,TF_Tekniker,AL$4,TF_Dato,$A123))*2,0)/2)))</f>
        <v/>
      </c>
      <c r="AM123">
        <f>IF(OR(AM$4="",$A123&gt;TODAY()),0,IF(OR(INDEX($B123:$D123,AM$5)="F",AND(AM$6&gt;0,$A123&lt;AM$6),AND(AM$7&gt;0,$A123&gt;AM$7)),0,MAX(0,ROUND((INDEX($E123:$G123,AM$5)-SUMIFS(TF_Timer,TF_Tekniker,AM$4,TF_Dato,$A123))*2,0)/2)))</f>
        <v/>
      </c>
      <c r="AN123">
        <f>IF(OR(AN$4="",$A123&gt;TODAY()),0,IF(OR(INDEX($B123:$D123,AN$5)="F",AND(AN$6&gt;0,$A123&lt;AN$6),AND(AN$7&gt;0,$A123&gt;AN$7)),0,MAX(0,ROUND((INDEX($E123:$G123,AN$5)-SUMIFS(TF_Timer,TF_Tekniker,AN$4,TF_Dato,$A123))*2,0)/2)))</f>
        <v/>
      </c>
      <c r="AO123">
        <f>IF(OR(AO$4="",$A123&gt;TODAY()),0,IF(OR(INDEX($B123:$D123,AO$5)="F",AND(AO$6&gt;0,$A123&lt;AO$6),AND(AO$7&gt;0,$A123&gt;AO$7)),0,MAX(0,ROUND((INDEX($E123:$G123,AO$5)-SUMIFS(TF_Timer,TF_Tekniker,AO$4,TF_Dato,$A123))*2,0)/2)))</f>
        <v/>
      </c>
      <c r="AP123">
        <f>IF(OR(AP$4="",$A123&gt;TODAY()),0,IF(OR(INDEX($B123:$D123,AP$5)="F",AND(AP$6&gt;0,$A123&lt;AP$6),AND(AP$7&gt;0,$A123&gt;AP$7)),0,MAX(0,ROUND((INDEX($E123:$G123,AP$5)-SUMIFS(TF_Timer,TF_Tekniker,AP$4,TF_Dato,$A123))*2,0)/2)))</f>
        <v/>
      </c>
      <c r="AQ123">
        <f>IF(OR(AQ$4="",$A123&gt;TODAY()),0,IF(OR(INDEX($B123:$D123,AQ$5)="F",AND(AQ$6&gt;0,$A123&lt;AQ$6),AND(AQ$7&gt;0,$A123&gt;AQ$7)),0,MAX(0,ROUND((INDEX($E123:$G123,AQ$5)-SUMIFS(TF_Timer,TF_Tekniker,AQ$4,TF_Dato,$A123))*2,0)/2)))</f>
        <v/>
      </c>
      <c r="AR123">
        <f>IF(OR(AR$4="",$A123&gt;TODAY()),0,IF(OR(INDEX($B123:$D123,AR$5)="F",AND(AR$6&gt;0,$A123&lt;AR$6),AND(AR$7&gt;0,$A123&gt;AR$7)),0,MAX(0,ROUND((INDEX($E123:$G123,AR$5)-SUMIFS(TF_Timer,TF_Tekniker,AR$4,TF_Dato,$A123))*2,0)/2)))</f>
        <v/>
      </c>
      <c r="AS123">
        <f>IF(OR(AS$4="",$A123&gt;TODAY()),0,IF(OR(INDEX($B123:$D123,AS$5)="F",AND(AS$6&gt;0,$A123&lt;AS$6),AND(AS$7&gt;0,$A123&gt;AS$7)),0,MAX(0,ROUND((INDEX($E123:$G123,AS$5)-SUMIFS(TF_Timer,TF_Tekniker,AS$4,TF_Dato,$A123))*2,0)/2)))</f>
        <v/>
      </c>
      <c r="AT123">
        <f>IF(OR(AT$4="",$A123&gt;TODAY()),0,IF(OR(INDEX($B123:$D123,AT$5)="F",AND(AT$6&gt;0,$A123&lt;AT$6),AND(AT$7&gt;0,$A123&gt;AT$7)),0,MAX(0,ROUND((INDEX($E123:$G123,AT$5)-SUMIFS(TF_Timer,TF_Tekniker,AT$4,TF_Dato,$A123))*2,0)/2)))</f>
        <v/>
      </c>
      <c r="AU123">
        <f>IF(OR(AU$4="",$A123&gt;TODAY()),0,IF(OR(INDEX($B123:$D123,AU$5)="F",AND(AU$6&gt;0,$A123&lt;AU$6),AND(AU$7&gt;0,$A123&gt;AU$7)),0,MAX(0,ROUND((INDEX($E123:$G123,AU$5)-SUMIFS(TF_Timer,TF_Tekniker,AU$4,TF_Dato,$A123))*2,0)/2)))</f>
        <v/>
      </c>
      <c r="AV123">
        <f>IF(OR(AV$4="",$A123&gt;TODAY()),0,IF(OR(INDEX($B123:$D123,AV$5)="F",AND(AV$6&gt;0,$A123&lt;AV$6),AND(AV$7&gt;0,$A123&gt;AV$7)),0,MAX(0,ROUND((INDEX($E123:$G123,AV$5)-SUMIFS(TF_Timer,TF_Tekniker,AV$4,TF_Dato,$A123))*2,0)/2)))</f>
        <v/>
      </c>
      <c r="AW123">
        <f>IF(OR(AW$4="",$A123&gt;TODAY()),0,IF(OR(INDEX($B123:$D123,AW$5)="F",AND(AW$6&gt;0,$A123&lt;AW$6),AND(AW$7&gt;0,$A123&gt;AW$7)),0,MAX(0,ROUND((INDEX($E123:$G123,AW$5)-SUMIFS(TF_Timer,TF_Tekniker,AW$4,TF_Dato,$A123))*2,0)/2)))</f>
        <v/>
      </c>
      <c r="AX123">
        <f>IF(OR(AX$4="",$A123&gt;TODAY()),0,IF(OR(INDEX($B123:$D123,AX$5)="F",AND(AX$6&gt;0,$A123&lt;AX$6),AND(AX$7&gt;0,$A123&gt;AX$7)),0,MAX(0,ROUND((INDEX($E123:$G123,AX$5)-SUMIFS(TF_Timer,TF_Tekniker,AX$4,TF_Dato,$A123))*2,0)/2)))</f>
        <v/>
      </c>
      <c r="AY123">
        <f>IF(OR(AY$4="",$A123&gt;TODAY()),0,IF(OR(INDEX($B123:$D123,AY$5)="F",AND(AY$6&gt;0,$A123&lt;AY$6),AND(AY$7&gt;0,$A123&gt;AY$7)),0,MAX(0,ROUND((INDEX($E123:$G123,AY$5)-SUMIFS(TF_Timer,TF_Tekniker,AY$4,TF_Dato,$A123))*2,0)/2)))</f>
        <v/>
      </c>
      <c r="AZ123">
        <f>IF(OR(AZ$4="",$A123&gt;TODAY()),0,IF(OR(INDEX($B123:$D123,AZ$5)="F",AND(AZ$6&gt;0,$A123&lt;AZ$6),AND(AZ$7&gt;0,$A123&gt;AZ$7)),0,MAX(0,ROUND((INDEX($E123:$G123,AZ$5)-SUMIFS(TF_Timer,TF_Tekniker,AZ$4,TF_Dato,$A123))*2,0)/2)))</f>
        <v/>
      </c>
      <c r="BA123">
        <f>IF(OR(BA$4="",$A123&gt;TODAY()),0,IF(OR(INDEX($B123:$D123,BA$5)="F",AND(BA$6&gt;0,$A123&lt;BA$6),AND(BA$7&gt;0,$A123&gt;BA$7)),0,MAX(0,ROUND((INDEX($E123:$G123,BA$5)-SUMIFS(TF_Timer,TF_Tekniker,BA$4,TF_Dato,$A123))*2,0)/2)))</f>
        <v/>
      </c>
      <c r="BB123">
        <f>IF(OR(BB$4="",$A123&gt;TODAY()),0,IF(OR(INDEX($B123:$D123,BB$5)="F",AND(BB$6&gt;0,$A123&lt;BB$6),AND(BB$7&gt;0,$A123&gt;BB$7)),0,MAX(0,ROUND((INDEX($E123:$G123,BB$5)-SUMIFS(TF_Timer,TF_Tekniker,BB$4,TF_Dato,$A123))*2,0)/2)))</f>
        <v/>
      </c>
      <c r="BC123">
        <f>IF(OR(BC$4="",$A123&gt;TODAY()),0,IF(OR(INDEX($B123:$D123,BC$5)="F",AND(BC$6&gt;0,$A123&lt;BC$6),AND(BC$7&gt;0,$A123&gt;BC$7)),0,MAX(0,ROUND((INDEX($E123:$G123,BC$5)-SUMIFS(TF_Timer,TF_Tekniker,BC$4,TF_Dato,$A123))*2,0)/2)))</f>
        <v/>
      </c>
      <c r="BD123">
        <f>IF(OR(BD$4="",$A123&gt;TODAY()),0,IF(OR(INDEX($B123:$D123,BD$5)="F",AND(BD$6&gt;0,$A123&lt;BD$6),AND(BD$7&gt;0,$A123&gt;BD$7)),0,MAX(0,ROUND((INDEX($E123:$G123,BD$5)-SUMIFS(TF_Timer,TF_Tekniker,BD$4,TF_Dato,$A123))*2,0)/2)))</f>
        <v/>
      </c>
      <c r="BE123">
        <f>IF(OR(BE$4="",$A123&gt;TODAY()),0,IF(OR(INDEX($B123:$D123,BE$5)="F",AND(BE$6&gt;0,$A123&lt;BE$6),AND(BE$7&gt;0,$A123&gt;BE$7)),0,MAX(0,ROUND((INDEX($E123:$G123,BE$5)-SUMIFS(TF_Timer,TF_Tekniker,BE$4,TF_Dato,$A123))*2,0)/2)))</f>
        <v/>
      </c>
      <c r="BF123">
        <f>IF(OR(BF$4="",$A123&gt;TODAY()),0,IF(OR(INDEX($B123:$D123,BF$5)="F",AND(BF$6&gt;0,$A123&lt;BF$6),AND(BF$7&gt;0,$A123&gt;BF$7)),0,MAX(0,ROUND((INDEX($E123:$G123,BF$5)-SUMIFS(TF_Timer,TF_Tekniker,BF$4,TF_Dato,$A123))*2,0)/2)))</f>
        <v/>
      </c>
      <c r="BG123">
        <f>IF(OR(BG$4="",$A123&gt;TODAY()),0,IF(OR(INDEX($B123:$D123,BG$5)="F",AND(BG$6&gt;0,$A123&lt;BG$6),AND(BG$7&gt;0,$A123&gt;BG$7)),0,MAX(0,ROUND((INDEX($E123:$G123,BG$5)-SUMIFS(TF_Timer,TF_Tekniker,BG$4,TF_Dato,$A123))*2,0)/2)))</f>
        <v/>
      </c>
      <c r="BH123">
        <f>IF(OR(BH$4="",$A123&gt;TODAY()),0,IF(OR(INDEX($B123:$D123,BH$5)="F",AND(BH$6&gt;0,$A123&lt;BH$6),AND(BH$7&gt;0,$A123&gt;BH$7)),0,MAX(0,ROUND((INDEX($E123:$G123,BH$5)-SUMIFS(TF_Timer,TF_Tekniker,BH$4,TF_Dato,$A123))*2,0)/2)))</f>
        <v/>
      </c>
      <c r="BI123">
        <f>IF(OR(BI$4="",$A123&gt;TODAY()),0,IF(OR(INDEX($B123:$D123,BI$5)="F",AND(BI$6&gt;0,$A123&lt;BI$6),AND(BI$7&gt;0,$A123&gt;BI$7)),0,MAX(0,ROUND((INDEX($E123:$G123,BI$5)-SUMIFS(TF_Timer,TF_Tekniker,BI$4,TF_Dato,$A123))*2,0)/2)))</f>
        <v/>
      </c>
    </row>
    <row r="124">
      <c r="A124" s="64">
        <f>A123+1</f>
        <v/>
      </c>
      <c r="B124">
        <f>IF(MOD($A124-INDEX(SkiftStart,1),Syklus)&lt;DagK,"K",IF(MOD($A124-INDEX(SkiftStart,1),Syklus)&lt;DagK+DagH,"H",IF(MOD($A124-INDEX(SkiftStart,1),Syklus)&lt;DagK+DagH+DagD,"D","F")))</f>
        <v/>
      </c>
      <c r="C124">
        <f>IF(MOD($A124-INDEX(SkiftStart,2),Syklus)&lt;DagK,"K",IF(MOD($A124-INDEX(SkiftStart,2),Syklus)&lt;DagK+DagH,"H",IF(MOD($A124-INDEX(SkiftStart,2),Syklus)&lt;DagK+DagH+DagD,"D","F")))</f>
        <v/>
      </c>
      <c r="D124">
        <f>IF(MOD($A124-INDEX(SkiftStart,3),Syklus)&lt;DagK,"K",IF(MOD($A124-INDEX(SkiftStart,3),Syklus)&lt;DagK+DagH,"H",IF(MOD($A124-INDEX(SkiftStart,3),Syklus)&lt;DagK+DagH+DagD,"D","F")))</f>
        <v/>
      </c>
      <c r="E124">
        <f>IF(B124="F",0,IF(WEEKDAY($A124,2)=5,INDEX(TimerFr,MATCH(B124,FaseKode,0)),INDEX(TimerMT,MATCH(B124,FaseKode,0))))</f>
        <v/>
      </c>
      <c r="F124">
        <f>IF(C124="F",0,IF(WEEKDAY($A124,2)=5,INDEX(TimerFr,MATCH(C124,FaseKode,0)),INDEX(TimerMT,MATCH(C124,FaseKode,0))))</f>
        <v/>
      </c>
      <c r="G124">
        <f>IF(D124="F",0,IF(WEEKDAY($A124,2)=5,INDEX(TimerFr,MATCH(D124,FaseKode,0)),INDEX(TimerMT,MATCH(D124,FaseKode,0))))</f>
        <v/>
      </c>
      <c r="H124">
        <f>IF(OR(H$4="",$A124&gt;TODAY()),0,IF(OR(INDEX($B124:$D124,H$5)="F",AND(H$6&gt;0,$A124&lt;H$6),AND(H$7&gt;0,$A124&gt;H$7)),0,MAX(0,ROUND((INDEX($E124:$G124,H$5)-SUMIFS(TF_Timer,TF_Tekniker,H$4,TF_Dato,$A124))*2,0)/2)))</f>
        <v/>
      </c>
      <c r="I124">
        <f>IF(OR(I$4="",$A124&gt;TODAY()),0,IF(OR(INDEX($B124:$D124,I$5)="F",AND(I$6&gt;0,$A124&lt;I$6),AND(I$7&gt;0,$A124&gt;I$7)),0,MAX(0,ROUND((INDEX($E124:$G124,I$5)-SUMIFS(TF_Timer,TF_Tekniker,I$4,TF_Dato,$A124))*2,0)/2)))</f>
        <v/>
      </c>
      <c r="J124">
        <f>IF(OR(J$4="",$A124&gt;TODAY()),0,IF(OR(INDEX($B124:$D124,J$5)="F",AND(J$6&gt;0,$A124&lt;J$6),AND(J$7&gt;0,$A124&gt;J$7)),0,MAX(0,ROUND((INDEX($E124:$G124,J$5)-SUMIFS(TF_Timer,TF_Tekniker,J$4,TF_Dato,$A124))*2,0)/2)))</f>
        <v/>
      </c>
      <c r="K124">
        <f>IF(OR(K$4="",$A124&gt;TODAY()),0,IF(OR(INDEX($B124:$D124,K$5)="F",AND(K$6&gt;0,$A124&lt;K$6),AND(K$7&gt;0,$A124&gt;K$7)),0,MAX(0,ROUND((INDEX($E124:$G124,K$5)-SUMIFS(TF_Timer,TF_Tekniker,K$4,TF_Dato,$A124))*2,0)/2)))</f>
        <v/>
      </c>
      <c r="L124">
        <f>IF(OR(L$4="",$A124&gt;TODAY()),0,IF(OR(INDEX($B124:$D124,L$5)="F",AND(L$6&gt;0,$A124&lt;L$6),AND(L$7&gt;0,$A124&gt;L$7)),0,MAX(0,ROUND((INDEX($E124:$G124,L$5)-SUMIFS(TF_Timer,TF_Tekniker,L$4,TF_Dato,$A124))*2,0)/2)))</f>
        <v/>
      </c>
      <c r="M124">
        <f>IF(OR(M$4="",$A124&gt;TODAY()),0,IF(OR(INDEX($B124:$D124,M$5)="F",AND(M$6&gt;0,$A124&lt;M$6),AND(M$7&gt;0,$A124&gt;M$7)),0,MAX(0,ROUND((INDEX($E124:$G124,M$5)-SUMIFS(TF_Timer,TF_Tekniker,M$4,TF_Dato,$A124))*2,0)/2)))</f>
        <v/>
      </c>
      <c r="N124">
        <f>IF(OR(N$4="",$A124&gt;TODAY()),0,IF(OR(INDEX($B124:$D124,N$5)="F",AND(N$6&gt;0,$A124&lt;N$6),AND(N$7&gt;0,$A124&gt;N$7)),0,MAX(0,ROUND((INDEX($E124:$G124,N$5)-SUMIFS(TF_Timer,TF_Tekniker,N$4,TF_Dato,$A124))*2,0)/2)))</f>
        <v/>
      </c>
      <c r="O124">
        <f>IF(OR(O$4="",$A124&gt;TODAY()),0,IF(OR(INDEX($B124:$D124,O$5)="F",AND(O$6&gt;0,$A124&lt;O$6),AND(O$7&gt;0,$A124&gt;O$7)),0,MAX(0,ROUND((INDEX($E124:$G124,O$5)-SUMIFS(TF_Timer,TF_Tekniker,O$4,TF_Dato,$A124))*2,0)/2)))</f>
        <v/>
      </c>
      <c r="P124">
        <f>IF(OR(P$4="",$A124&gt;TODAY()),0,IF(OR(INDEX($B124:$D124,P$5)="F",AND(P$6&gt;0,$A124&lt;P$6),AND(P$7&gt;0,$A124&gt;P$7)),0,MAX(0,ROUND((INDEX($E124:$G124,P$5)-SUMIFS(TF_Timer,TF_Tekniker,P$4,TF_Dato,$A124))*2,0)/2)))</f>
        <v/>
      </c>
      <c r="Q124">
        <f>IF(OR(Q$4="",$A124&gt;TODAY()),0,IF(OR(INDEX($B124:$D124,Q$5)="F",AND(Q$6&gt;0,$A124&lt;Q$6),AND(Q$7&gt;0,$A124&gt;Q$7)),0,MAX(0,ROUND((INDEX($E124:$G124,Q$5)-SUMIFS(TF_Timer,TF_Tekniker,Q$4,TF_Dato,$A124))*2,0)/2)))</f>
        <v/>
      </c>
      <c r="R124">
        <f>IF(OR(R$4="",$A124&gt;TODAY()),0,IF(OR(INDEX($B124:$D124,R$5)="F",AND(R$6&gt;0,$A124&lt;R$6),AND(R$7&gt;0,$A124&gt;R$7)),0,MAX(0,ROUND((INDEX($E124:$G124,R$5)-SUMIFS(TF_Timer,TF_Tekniker,R$4,TF_Dato,$A124))*2,0)/2)))</f>
        <v/>
      </c>
      <c r="S124">
        <f>IF(OR(S$4="",$A124&gt;TODAY()),0,IF(OR(INDEX($B124:$D124,S$5)="F",AND(S$6&gt;0,$A124&lt;S$6),AND(S$7&gt;0,$A124&gt;S$7)),0,MAX(0,ROUND((INDEX($E124:$G124,S$5)-SUMIFS(TF_Timer,TF_Tekniker,S$4,TF_Dato,$A124))*2,0)/2)))</f>
        <v/>
      </c>
      <c r="T124">
        <f>IF(OR(T$4="",$A124&gt;TODAY()),0,IF(OR(INDEX($B124:$D124,T$5)="F",AND(T$6&gt;0,$A124&lt;T$6),AND(T$7&gt;0,$A124&gt;T$7)),0,MAX(0,ROUND((INDEX($E124:$G124,T$5)-SUMIFS(TF_Timer,TF_Tekniker,T$4,TF_Dato,$A124))*2,0)/2)))</f>
        <v/>
      </c>
      <c r="U124">
        <f>IF(OR(U$4="",$A124&gt;TODAY()),0,IF(OR(INDEX($B124:$D124,U$5)="F",AND(U$6&gt;0,$A124&lt;U$6),AND(U$7&gt;0,$A124&gt;U$7)),0,MAX(0,ROUND((INDEX($E124:$G124,U$5)-SUMIFS(TF_Timer,TF_Tekniker,U$4,TF_Dato,$A124))*2,0)/2)))</f>
        <v/>
      </c>
      <c r="V124">
        <f>IF(OR(V$4="",$A124&gt;TODAY()),0,IF(OR(INDEX($B124:$D124,V$5)="F",AND(V$6&gt;0,$A124&lt;V$6),AND(V$7&gt;0,$A124&gt;V$7)),0,MAX(0,ROUND((INDEX($E124:$G124,V$5)-SUMIFS(TF_Timer,TF_Tekniker,V$4,TF_Dato,$A124))*2,0)/2)))</f>
        <v/>
      </c>
      <c r="W124">
        <f>IF(OR(W$4="",$A124&gt;TODAY()),0,IF(OR(INDEX($B124:$D124,W$5)="F",AND(W$6&gt;0,$A124&lt;W$6),AND(W$7&gt;0,$A124&gt;W$7)),0,MAX(0,ROUND((INDEX($E124:$G124,W$5)-SUMIFS(TF_Timer,TF_Tekniker,W$4,TF_Dato,$A124))*2,0)/2)))</f>
        <v/>
      </c>
      <c r="X124">
        <f>IF(OR(X$4="",$A124&gt;TODAY()),0,IF(OR(INDEX($B124:$D124,X$5)="F",AND(X$6&gt;0,$A124&lt;X$6),AND(X$7&gt;0,$A124&gt;X$7)),0,MAX(0,ROUND((INDEX($E124:$G124,X$5)-SUMIFS(TF_Timer,TF_Tekniker,X$4,TF_Dato,$A124))*2,0)/2)))</f>
        <v/>
      </c>
      <c r="Y124">
        <f>IF(OR(Y$4="",$A124&gt;TODAY()),0,IF(OR(INDEX($B124:$D124,Y$5)="F",AND(Y$6&gt;0,$A124&lt;Y$6),AND(Y$7&gt;0,$A124&gt;Y$7)),0,MAX(0,ROUND((INDEX($E124:$G124,Y$5)-SUMIFS(TF_Timer,TF_Tekniker,Y$4,TF_Dato,$A124))*2,0)/2)))</f>
        <v/>
      </c>
      <c r="Z124">
        <f>IF(OR(Z$4="",$A124&gt;TODAY()),0,IF(OR(INDEX($B124:$D124,Z$5)="F",AND(Z$6&gt;0,$A124&lt;Z$6),AND(Z$7&gt;0,$A124&gt;Z$7)),0,MAX(0,ROUND((INDEX($E124:$G124,Z$5)-SUMIFS(TF_Timer,TF_Tekniker,Z$4,TF_Dato,$A124))*2,0)/2)))</f>
        <v/>
      </c>
      <c r="AA124">
        <f>IF(OR(AA$4="",$A124&gt;TODAY()),0,IF(OR(INDEX($B124:$D124,AA$5)="F",AND(AA$6&gt;0,$A124&lt;AA$6),AND(AA$7&gt;0,$A124&gt;AA$7)),0,MAX(0,ROUND((INDEX($E124:$G124,AA$5)-SUMIFS(TF_Timer,TF_Tekniker,AA$4,TF_Dato,$A124))*2,0)/2)))</f>
        <v/>
      </c>
      <c r="AB124">
        <f>IF(OR(AB$4="",$A124&gt;TODAY()),0,IF(OR(INDEX($B124:$D124,AB$5)="F",AND(AB$6&gt;0,$A124&lt;AB$6),AND(AB$7&gt;0,$A124&gt;AB$7)),0,MAX(0,ROUND((INDEX($E124:$G124,AB$5)-SUMIFS(TF_Timer,TF_Tekniker,AB$4,TF_Dato,$A124))*2,0)/2)))</f>
        <v/>
      </c>
      <c r="AC124">
        <f>IF(OR(AC$4="",$A124&gt;TODAY()),0,IF(OR(INDEX($B124:$D124,AC$5)="F",AND(AC$6&gt;0,$A124&lt;AC$6),AND(AC$7&gt;0,$A124&gt;AC$7)),0,MAX(0,ROUND((INDEX($E124:$G124,AC$5)-SUMIFS(TF_Timer,TF_Tekniker,AC$4,TF_Dato,$A124))*2,0)/2)))</f>
        <v/>
      </c>
      <c r="AD124">
        <f>IF(OR(AD$4="",$A124&gt;TODAY()),0,IF(OR(INDEX($B124:$D124,AD$5)="F",AND(AD$6&gt;0,$A124&lt;AD$6),AND(AD$7&gt;0,$A124&gt;AD$7)),0,MAX(0,ROUND((INDEX($E124:$G124,AD$5)-SUMIFS(TF_Timer,TF_Tekniker,AD$4,TF_Dato,$A124))*2,0)/2)))</f>
        <v/>
      </c>
      <c r="AE124">
        <f>IF(OR(AE$4="",$A124&gt;TODAY()),0,IF(OR(INDEX($B124:$D124,AE$5)="F",AND(AE$6&gt;0,$A124&lt;AE$6),AND(AE$7&gt;0,$A124&gt;AE$7)),0,MAX(0,ROUND((INDEX($E124:$G124,AE$5)-SUMIFS(TF_Timer,TF_Tekniker,AE$4,TF_Dato,$A124))*2,0)/2)))</f>
        <v/>
      </c>
      <c r="AF124">
        <f>IF(OR(AF$4="",$A124&gt;TODAY()),0,IF(OR(INDEX($B124:$D124,AF$5)="F",AND(AF$6&gt;0,$A124&lt;AF$6),AND(AF$7&gt;0,$A124&gt;AF$7)),0,MAX(0,ROUND((INDEX($E124:$G124,AF$5)-SUMIFS(TF_Timer,TF_Tekniker,AF$4,TF_Dato,$A124))*2,0)/2)))</f>
        <v/>
      </c>
      <c r="AG124">
        <f>IF(OR(AG$4="",$A124&gt;TODAY()),0,IF(OR(INDEX($B124:$D124,AG$5)="F",AND(AG$6&gt;0,$A124&lt;AG$6),AND(AG$7&gt;0,$A124&gt;AG$7)),0,MAX(0,ROUND((INDEX($E124:$G124,AG$5)-SUMIFS(TF_Timer,TF_Tekniker,AG$4,TF_Dato,$A124))*2,0)/2)))</f>
        <v/>
      </c>
      <c r="AH124">
        <f>IF(OR(AH$4="",$A124&gt;TODAY()),0,IF(OR(INDEX($B124:$D124,AH$5)="F",AND(AH$6&gt;0,$A124&lt;AH$6),AND(AH$7&gt;0,$A124&gt;AH$7)),0,MAX(0,ROUND((INDEX($E124:$G124,AH$5)-SUMIFS(TF_Timer,TF_Tekniker,AH$4,TF_Dato,$A124))*2,0)/2)))</f>
        <v/>
      </c>
      <c r="AI124">
        <f>IF(OR(AI$4="",$A124&gt;TODAY()),0,IF(OR(INDEX($B124:$D124,AI$5)="F",AND(AI$6&gt;0,$A124&lt;AI$6),AND(AI$7&gt;0,$A124&gt;AI$7)),0,MAX(0,ROUND((INDEX($E124:$G124,AI$5)-SUMIFS(TF_Timer,TF_Tekniker,AI$4,TF_Dato,$A124))*2,0)/2)))</f>
        <v/>
      </c>
      <c r="AJ124">
        <f>IF(OR(AJ$4="",$A124&gt;TODAY()),0,IF(OR(INDEX($B124:$D124,AJ$5)="F",AND(AJ$6&gt;0,$A124&lt;AJ$6),AND(AJ$7&gt;0,$A124&gt;AJ$7)),0,MAX(0,ROUND((INDEX($E124:$G124,AJ$5)-SUMIFS(TF_Timer,TF_Tekniker,AJ$4,TF_Dato,$A124))*2,0)/2)))</f>
        <v/>
      </c>
      <c r="AK124">
        <f>IF(OR(AK$4="",$A124&gt;TODAY()),0,IF(OR(INDEX($B124:$D124,AK$5)="F",AND(AK$6&gt;0,$A124&lt;AK$6),AND(AK$7&gt;0,$A124&gt;AK$7)),0,MAX(0,ROUND((INDEX($E124:$G124,AK$5)-SUMIFS(TF_Timer,TF_Tekniker,AK$4,TF_Dato,$A124))*2,0)/2)))</f>
        <v/>
      </c>
      <c r="AL124">
        <f>IF(OR(AL$4="",$A124&gt;TODAY()),0,IF(OR(INDEX($B124:$D124,AL$5)="F",AND(AL$6&gt;0,$A124&lt;AL$6),AND(AL$7&gt;0,$A124&gt;AL$7)),0,MAX(0,ROUND((INDEX($E124:$G124,AL$5)-SUMIFS(TF_Timer,TF_Tekniker,AL$4,TF_Dato,$A124))*2,0)/2)))</f>
        <v/>
      </c>
      <c r="AM124">
        <f>IF(OR(AM$4="",$A124&gt;TODAY()),0,IF(OR(INDEX($B124:$D124,AM$5)="F",AND(AM$6&gt;0,$A124&lt;AM$6),AND(AM$7&gt;0,$A124&gt;AM$7)),0,MAX(0,ROUND((INDEX($E124:$G124,AM$5)-SUMIFS(TF_Timer,TF_Tekniker,AM$4,TF_Dato,$A124))*2,0)/2)))</f>
        <v/>
      </c>
      <c r="AN124">
        <f>IF(OR(AN$4="",$A124&gt;TODAY()),0,IF(OR(INDEX($B124:$D124,AN$5)="F",AND(AN$6&gt;0,$A124&lt;AN$6),AND(AN$7&gt;0,$A124&gt;AN$7)),0,MAX(0,ROUND((INDEX($E124:$G124,AN$5)-SUMIFS(TF_Timer,TF_Tekniker,AN$4,TF_Dato,$A124))*2,0)/2)))</f>
        <v/>
      </c>
      <c r="AO124">
        <f>IF(OR(AO$4="",$A124&gt;TODAY()),0,IF(OR(INDEX($B124:$D124,AO$5)="F",AND(AO$6&gt;0,$A124&lt;AO$6),AND(AO$7&gt;0,$A124&gt;AO$7)),0,MAX(0,ROUND((INDEX($E124:$G124,AO$5)-SUMIFS(TF_Timer,TF_Tekniker,AO$4,TF_Dato,$A124))*2,0)/2)))</f>
        <v/>
      </c>
      <c r="AP124">
        <f>IF(OR(AP$4="",$A124&gt;TODAY()),0,IF(OR(INDEX($B124:$D124,AP$5)="F",AND(AP$6&gt;0,$A124&lt;AP$6),AND(AP$7&gt;0,$A124&gt;AP$7)),0,MAX(0,ROUND((INDEX($E124:$G124,AP$5)-SUMIFS(TF_Timer,TF_Tekniker,AP$4,TF_Dato,$A124))*2,0)/2)))</f>
        <v/>
      </c>
      <c r="AQ124">
        <f>IF(OR(AQ$4="",$A124&gt;TODAY()),0,IF(OR(INDEX($B124:$D124,AQ$5)="F",AND(AQ$6&gt;0,$A124&lt;AQ$6),AND(AQ$7&gt;0,$A124&gt;AQ$7)),0,MAX(0,ROUND((INDEX($E124:$G124,AQ$5)-SUMIFS(TF_Timer,TF_Tekniker,AQ$4,TF_Dato,$A124))*2,0)/2)))</f>
        <v/>
      </c>
      <c r="AR124">
        <f>IF(OR(AR$4="",$A124&gt;TODAY()),0,IF(OR(INDEX($B124:$D124,AR$5)="F",AND(AR$6&gt;0,$A124&lt;AR$6),AND(AR$7&gt;0,$A124&gt;AR$7)),0,MAX(0,ROUND((INDEX($E124:$G124,AR$5)-SUMIFS(TF_Timer,TF_Tekniker,AR$4,TF_Dato,$A124))*2,0)/2)))</f>
        <v/>
      </c>
      <c r="AS124">
        <f>IF(OR(AS$4="",$A124&gt;TODAY()),0,IF(OR(INDEX($B124:$D124,AS$5)="F",AND(AS$6&gt;0,$A124&lt;AS$6),AND(AS$7&gt;0,$A124&gt;AS$7)),0,MAX(0,ROUND((INDEX($E124:$G124,AS$5)-SUMIFS(TF_Timer,TF_Tekniker,AS$4,TF_Dato,$A124))*2,0)/2)))</f>
        <v/>
      </c>
      <c r="AT124">
        <f>IF(OR(AT$4="",$A124&gt;TODAY()),0,IF(OR(INDEX($B124:$D124,AT$5)="F",AND(AT$6&gt;0,$A124&lt;AT$6),AND(AT$7&gt;0,$A124&gt;AT$7)),0,MAX(0,ROUND((INDEX($E124:$G124,AT$5)-SUMIFS(TF_Timer,TF_Tekniker,AT$4,TF_Dato,$A124))*2,0)/2)))</f>
        <v/>
      </c>
      <c r="AU124">
        <f>IF(OR(AU$4="",$A124&gt;TODAY()),0,IF(OR(INDEX($B124:$D124,AU$5)="F",AND(AU$6&gt;0,$A124&lt;AU$6),AND(AU$7&gt;0,$A124&gt;AU$7)),0,MAX(0,ROUND((INDEX($E124:$G124,AU$5)-SUMIFS(TF_Timer,TF_Tekniker,AU$4,TF_Dato,$A124))*2,0)/2)))</f>
        <v/>
      </c>
      <c r="AV124">
        <f>IF(OR(AV$4="",$A124&gt;TODAY()),0,IF(OR(INDEX($B124:$D124,AV$5)="F",AND(AV$6&gt;0,$A124&lt;AV$6),AND(AV$7&gt;0,$A124&gt;AV$7)),0,MAX(0,ROUND((INDEX($E124:$G124,AV$5)-SUMIFS(TF_Timer,TF_Tekniker,AV$4,TF_Dato,$A124))*2,0)/2)))</f>
        <v/>
      </c>
      <c r="AW124">
        <f>IF(OR(AW$4="",$A124&gt;TODAY()),0,IF(OR(INDEX($B124:$D124,AW$5)="F",AND(AW$6&gt;0,$A124&lt;AW$6),AND(AW$7&gt;0,$A124&gt;AW$7)),0,MAX(0,ROUND((INDEX($E124:$G124,AW$5)-SUMIFS(TF_Timer,TF_Tekniker,AW$4,TF_Dato,$A124))*2,0)/2)))</f>
        <v/>
      </c>
      <c r="AX124">
        <f>IF(OR(AX$4="",$A124&gt;TODAY()),0,IF(OR(INDEX($B124:$D124,AX$5)="F",AND(AX$6&gt;0,$A124&lt;AX$6),AND(AX$7&gt;0,$A124&gt;AX$7)),0,MAX(0,ROUND((INDEX($E124:$G124,AX$5)-SUMIFS(TF_Timer,TF_Tekniker,AX$4,TF_Dato,$A124))*2,0)/2)))</f>
        <v/>
      </c>
      <c r="AY124">
        <f>IF(OR(AY$4="",$A124&gt;TODAY()),0,IF(OR(INDEX($B124:$D124,AY$5)="F",AND(AY$6&gt;0,$A124&lt;AY$6),AND(AY$7&gt;0,$A124&gt;AY$7)),0,MAX(0,ROUND((INDEX($E124:$G124,AY$5)-SUMIFS(TF_Timer,TF_Tekniker,AY$4,TF_Dato,$A124))*2,0)/2)))</f>
        <v/>
      </c>
      <c r="AZ124">
        <f>IF(OR(AZ$4="",$A124&gt;TODAY()),0,IF(OR(INDEX($B124:$D124,AZ$5)="F",AND(AZ$6&gt;0,$A124&lt;AZ$6),AND(AZ$7&gt;0,$A124&gt;AZ$7)),0,MAX(0,ROUND((INDEX($E124:$G124,AZ$5)-SUMIFS(TF_Timer,TF_Tekniker,AZ$4,TF_Dato,$A124))*2,0)/2)))</f>
        <v/>
      </c>
      <c r="BA124">
        <f>IF(OR(BA$4="",$A124&gt;TODAY()),0,IF(OR(INDEX($B124:$D124,BA$5)="F",AND(BA$6&gt;0,$A124&lt;BA$6),AND(BA$7&gt;0,$A124&gt;BA$7)),0,MAX(0,ROUND((INDEX($E124:$G124,BA$5)-SUMIFS(TF_Timer,TF_Tekniker,BA$4,TF_Dato,$A124))*2,0)/2)))</f>
        <v/>
      </c>
      <c r="BB124">
        <f>IF(OR(BB$4="",$A124&gt;TODAY()),0,IF(OR(INDEX($B124:$D124,BB$5)="F",AND(BB$6&gt;0,$A124&lt;BB$6),AND(BB$7&gt;0,$A124&gt;BB$7)),0,MAX(0,ROUND((INDEX($E124:$G124,BB$5)-SUMIFS(TF_Timer,TF_Tekniker,BB$4,TF_Dato,$A124))*2,0)/2)))</f>
        <v/>
      </c>
      <c r="BC124">
        <f>IF(OR(BC$4="",$A124&gt;TODAY()),0,IF(OR(INDEX($B124:$D124,BC$5)="F",AND(BC$6&gt;0,$A124&lt;BC$6),AND(BC$7&gt;0,$A124&gt;BC$7)),0,MAX(0,ROUND((INDEX($E124:$G124,BC$5)-SUMIFS(TF_Timer,TF_Tekniker,BC$4,TF_Dato,$A124))*2,0)/2)))</f>
        <v/>
      </c>
      <c r="BD124">
        <f>IF(OR(BD$4="",$A124&gt;TODAY()),0,IF(OR(INDEX($B124:$D124,BD$5)="F",AND(BD$6&gt;0,$A124&lt;BD$6),AND(BD$7&gt;0,$A124&gt;BD$7)),0,MAX(0,ROUND((INDEX($E124:$G124,BD$5)-SUMIFS(TF_Timer,TF_Tekniker,BD$4,TF_Dato,$A124))*2,0)/2)))</f>
        <v/>
      </c>
      <c r="BE124">
        <f>IF(OR(BE$4="",$A124&gt;TODAY()),0,IF(OR(INDEX($B124:$D124,BE$5)="F",AND(BE$6&gt;0,$A124&lt;BE$6),AND(BE$7&gt;0,$A124&gt;BE$7)),0,MAX(0,ROUND((INDEX($E124:$G124,BE$5)-SUMIFS(TF_Timer,TF_Tekniker,BE$4,TF_Dato,$A124))*2,0)/2)))</f>
        <v/>
      </c>
      <c r="BF124">
        <f>IF(OR(BF$4="",$A124&gt;TODAY()),0,IF(OR(INDEX($B124:$D124,BF$5)="F",AND(BF$6&gt;0,$A124&lt;BF$6),AND(BF$7&gt;0,$A124&gt;BF$7)),0,MAX(0,ROUND((INDEX($E124:$G124,BF$5)-SUMIFS(TF_Timer,TF_Tekniker,BF$4,TF_Dato,$A124))*2,0)/2)))</f>
        <v/>
      </c>
      <c r="BG124">
        <f>IF(OR(BG$4="",$A124&gt;TODAY()),0,IF(OR(INDEX($B124:$D124,BG$5)="F",AND(BG$6&gt;0,$A124&lt;BG$6),AND(BG$7&gt;0,$A124&gt;BG$7)),0,MAX(0,ROUND((INDEX($E124:$G124,BG$5)-SUMIFS(TF_Timer,TF_Tekniker,BG$4,TF_Dato,$A124))*2,0)/2)))</f>
        <v/>
      </c>
      <c r="BH124">
        <f>IF(OR(BH$4="",$A124&gt;TODAY()),0,IF(OR(INDEX($B124:$D124,BH$5)="F",AND(BH$6&gt;0,$A124&lt;BH$6),AND(BH$7&gt;0,$A124&gt;BH$7)),0,MAX(0,ROUND((INDEX($E124:$G124,BH$5)-SUMIFS(TF_Timer,TF_Tekniker,BH$4,TF_Dato,$A124))*2,0)/2)))</f>
        <v/>
      </c>
      <c r="BI124">
        <f>IF(OR(BI$4="",$A124&gt;TODAY()),0,IF(OR(INDEX($B124:$D124,BI$5)="F",AND(BI$6&gt;0,$A124&lt;BI$6),AND(BI$7&gt;0,$A124&gt;BI$7)),0,MAX(0,ROUND((INDEX($E124:$G124,BI$5)-SUMIFS(TF_Timer,TF_Tekniker,BI$4,TF_Dato,$A124))*2,0)/2)))</f>
        <v/>
      </c>
    </row>
    <row r="125">
      <c r="A125" s="64">
        <f>A124+1</f>
        <v/>
      </c>
      <c r="B125">
        <f>IF(MOD($A125-INDEX(SkiftStart,1),Syklus)&lt;DagK,"K",IF(MOD($A125-INDEX(SkiftStart,1),Syklus)&lt;DagK+DagH,"H",IF(MOD($A125-INDEX(SkiftStart,1),Syklus)&lt;DagK+DagH+DagD,"D","F")))</f>
        <v/>
      </c>
      <c r="C125">
        <f>IF(MOD($A125-INDEX(SkiftStart,2),Syklus)&lt;DagK,"K",IF(MOD($A125-INDEX(SkiftStart,2),Syklus)&lt;DagK+DagH,"H",IF(MOD($A125-INDEX(SkiftStart,2),Syklus)&lt;DagK+DagH+DagD,"D","F")))</f>
        <v/>
      </c>
      <c r="D125">
        <f>IF(MOD($A125-INDEX(SkiftStart,3),Syklus)&lt;DagK,"K",IF(MOD($A125-INDEX(SkiftStart,3),Syklus)&lt;DagK+DagH,"H",IF(MOD($A125-INDEX(SkiftStart,3),Syklus)&lt;DagK+DagH+DagD,"D","F")))</f>
        <v/>
      </c>
      <c r="E125">
        <f>IF(B125="F",0,IF(WEEKDAY($A125,2)=5,INDEX(TimerFr,MATCH(B125,FaseKode,0)),INDEX(TimerMT,MATCH(B125,FaseKode,0))))</f>
        <v/>
      </c>
      <c r="F125">
        <f>IF(C125="F",0,IF(WEEKDAY($A125,2)=5,INDEX(TimerFr,MATCH(C125,FaseKode,0)),INDEX(TimerMT,MATCH(C125,FaseKode,0))))</f>
        <v/>
      </c>
      <c r="G125">
        <f>IF(D125="F",0,IF(WEEKDAY($A125,2)=5,INDEX(TimerFr,MATCH(D125,FaseKode,0)),INDEX(TimerMT,MATCH(D125,FaseKode,0))))</f>
        <v/>
      </c>
      <c r="H125">
        <f>IF(OR(H$4="",$A125&gt;TODAY()),0,IF(OR(INDEX($B125:$D125,H$5)="F",AND(H$6&gt;0,$A125&lt;H$6),AND(H$7&gt;0,$A125&gt;H$7)),0,MAX(0,ROUND((INDEX($E125:$G125,H$5)-SUMIFS(TF_Timer,TF_Tekniker,H$4,TF_Dato,$A125))*2,0)/2)))</f>
        <v/>
      </c>
      <c r="I125">
        <f>IF(OR(I$4="",$A125&gt;TODAY()),0,IF(OR(INDEX($B125:$D125,I$5)="F",AND(I$6&gt;0,$A125&lt;I$6),AND(I$7&gt;0,$A125&gt;I$7)),0,MAX(0,ROUND((INDEX($E125:$G125,I$5)-SUMIFS(TF_Timer,TF_Tekniker,I$4,TF_Dato,$A125))*2,0)/2)))</f>
        <v/>
      </c>
      <c r="J125">
        <f>IF(OR(J$4="",$A125&gt;TODAY()),0,IF(OR(INDEX($B125:$D125,J$5)="F",AND(J$6&gt;0,$A125&lt;J$6),AND(J$7&gt;0,$A125&gt;J$7)),0,MAX(0,ROUND((INDEX($E125:$G125,J$5)-SUMIFS(TF_Timer,TF_Tekniker,J$4,TF_Dato,$A125))*2,0)/2)))</f>
        <v/>
      </c>
      <c r="K125">
        <f>IF(OR(K$4="",$A125&gt;TODAY()),0,IF(OR(INDEX($B125:$D125,K$5)="F",AND(K$6&gt;0,$A125&lt;K$6),AND(K$7&gt;0,$A125&gt;K$7)),0,MAX(0,ROUND((INDEX($E125:$G125,K$5)-SUMIFS(TF_Timer,TF_Tekniker,K$4,TF_Dato,$A125))*2,0)/2)))</f>
        <v/>
      </c>
      <c r="L125">
        <f>IF(OR(L$4="",$A125&gt;TODAY()),0,IF(OR(INDEX($B125:$D125,L$5)="F",AND(L$6&gt;0,$A125&lt;L$6),AND(L$7&gt;0,$A125&gt;L$7)),0,MAX(0,ROUND((INDEX($E125:$G125,L$5)-SUMIFS(TF_Timer,TF_Tekniker,L$4,TF_Dato,$A125))*2,0)/2)))</f>
        <v/>
      </c>
      <c r="M125">
        <f>IF(OR(M$4="",$A125&gt;TODAY()),0,IF(OR(INDEX($B125:$D125,M$5)="F",AND(M$6&gt;0,$A125&lt;M$6),AND(M$7&gt;0,$A125&gt;M$7)),0,MAX(0,ROUND((INDEX($E125:$G125,M$5)-SUMIFS(TF_Timer,TF_Tekniker,M$4,TF_Dato,$A125))*2,0)/2)))</f>
        <v/>
      </c>
      <c r="N125">
        <f>IF(OR(N$4="",$A125&gt;TODAY()),0,IF(OR(INDEX($B125:$D125,N$5)="F",AND(N$6&gt;0,$A125&lt;N$6),AND(N$7&gt;0,$A125&gt;N$7)),0,MAX(0,ROUND((INDEX($E125:$G125,N$5)-SUMIFS(TF_Timer,TF_Tekniker,N$4,TF_Dato,$A125))*2,0)/2)))</f>
        <v/>
      </c>
      <c r="O125">
        <f>IF(OR(O$4="",$A125&gt;TODAY()),0,IF(OR(INDEX($B125:$D125,O$5)="F",AND(O$6&gt;0,$A125&lt;O$6),AND(O$7&gt;0,$A125&gt;O$7)),0,MAX(0,ROUND((INDEX($E125:$G125,O$5)-SUMIFS(TF_Timer,TF_Tekniker,O$4,TF_Dato,$A125))*2,0)/2)))</f>
        <v/>
      </c>
      <c r="P125">
        <f>IF(OR(P$4="",$A125&gt;TODAY()),0,IF(OR(INDEX($B125:$D125,P$5)="F",AND(P$6&gt;0,$A125&lt;P$6),AND(P$7&gt;0,$A125&gt;P$7)),0,MAX(0,ROUND((INDEX($E125:$G125,P$5)-SUMIFS(TF_Timer,TF_Tekniker,P$4,TF_Dato,$A125))*2,0)/2)))</f>
        <v/>
      </c>
      <c r="Q125">
        <f>IF(OR(Q$4="",$A125&gt;TODAY()),0,IF(OR(INDEX($B125:$D125,Q$5)="F",AND(Q$6&gt;0,$A125&lt;Q$6),AND(Q$7&gt;0,$A125&gt;Q$7)),0,MAX(0,ROUND((INDEX($E125:$G125,Q$5)-SUMIFS(TF_Timer,TF_Tekniker,Q$4,TF_Dato,$A125))*2,0)/2)))</f>
        <v/>
      </c>
      <c r="R125">
        <f>IF(OR(R$4="",$A125&gt;TODAY()),0,IF(OR(INDEX($B125:$D125,R$5)="F",AND(R$6&gt;0,$A125&lt;R$6),AND(R$7&gt;0,$A125&gt;R$7)),0,MAX(0,ROUND((INDEX($E125:$G125,R$5)-SUMIFS(TF_Timer,TF_Tekniker,R$4,TF_Dato,$A125))*2,0)/2)))</f>
        <v/>
      </c>
      <c r="S125">
        <f>IF(OR(S$4="",$A125&gt;TODAY()),0,IF(OR(INDEX($B125:$D125,S$5)="F",AND(S$6&gt;0,$A125&lt;S$6),AND(S$7&gt;0,$A125&gt;S$7)),0,MAX(0,ROUND((INDEX($E125:$G125,S$5)-SUMIFS(TF_Timer,TF_Tekniker,S$4,TF_Dato,$A125))*2,0)/2)))</f>
        <v/>
      </c>
      <c r="T125">
        <f>IF(OR(T$4="",$A125&gt;TODAY()),0,IF(OR(INDEX($B125:$D125,T$5)="F",AND(T$6&gt;0,$A125&lt;T$6),AND(T$7&gt;0,$A125&gt;T$7)),0,MAX(0,ROUND((INDEX($E125:$G125,T$5)-SUMIFS(TF_Timer,TF_Tekniker,T$4,TF_Dato,$A125))*2,0)/2)))</f>
        <v/>
      </c>
      <c r="U125">
        <f>IF(OR(U$4="",$A125&gt;TODAY()),0,IF(OR(INDEX($B125:$D125,U$5)="F",AND(U$6&gt;0,$A125&lt;U$6),AND(U$7&gt;0,$A125&gt;U$7)),0,MAX(0,ROUND((INDEX($E125:$G125,U$5)-SUMIFS(TF_Timer,TF_Tekniker,U$4,TF_Dato,$A125))*2,0)/2)))</f>
        <v/>
      </c>
      <c r="V125">
        <f>IF(OR(V$4="",$A125&gt;TODAY()),0,IF(OR(INDEX($B125:$D125,V$5)="F",AND(V$6&gt;0,$A125&lt;V$6),AND(V$7&gt;0,$A125&gt;V$7)),0,MAX(0,ROUND((INDEX($E125:$G125,V$5)-SUMIFS(TF_Timer,TF_Tekniker,V$4,TF_Dato,$A125))*2,0)/2)))</f>
        <v/>
      </c>
      <c r="W125">
        <f>IF(OR(W$4="",$A125&gt;TODAY()),0,IF(OR(INDEX($B125:$D125,W$5)="F",AND(W$6&gt;0,$A125&lt;W$6),AND(W$7&gt;0,$A125&gt;W$7)),0,MAX(0,ROUND((INDEX($E125:$G125,W$5)-SUMIFS(TF_Timer,TF_Tekniker,W$4,TF_Dato,$A125))*2,0)/2)))</f>
        <v/>
      </c>
      <c r="X125">
        <f>IF(OR(X$4="",$A125&gt;TODAY()),0,IF(OR(INDEX($B125:$D125,X$5)="F",AND(X$6&gt;0,$A125&lt;X$6),AND(X$7&gt;0,$A125&gt;X$7)),0,MAX(0,ROUND((INDEX($E125:$G125,X$5)-SUMIFS(TF_Timer,TF_Tekniker,X$4,TF_Dato,$A125))*2,0)/2)))</f>
        <v/>
      </c>
      <c r="Y125">
        <f>IF(OR(Y$4="",$A125&gt;TODAY()),0,IF(OR(INDEX($B125:$D125,Y$5)="F",AND(Y$6&gt;0,$A125&lt;Y$6),AND(Y$7&gt;0,$A125&gt;Y$7)),0,MAX(0,ROUND((INDEX($E125:$G125,Y$5)-SUMIFS(TF_Timer,TF_Tekniker,Y$4,TF_Dato,$A125))*2,0)/2)))</f>
        <v/>
      </c>
      <c r="Z125">
        <f>IF(OR(Z$4="",$A125&gt;TODAY()),0,IF(OR(INDEX($B125:$D125,Z$5)="F",AND(Z$6&gt;0,$A125&lt;Z$6),AND(Z$7&gt;0,$A125&gt;Z$7)),0,MAX(0,ROUND((INDEX($E125:$G125,Z$5)-SUMIFS(TF_Timer,TF_Tekniker,Z$4,TF_Dato,$A125))*2,0)/2)))</f>
        <v/>
      </c>
      <c r="AA125">
        <f>IF(OR(AA$4="",$A125&gt;TODAY()),0,IF(OR(INDEX($B125:$D125,AA$5)="F",AND(AA$6&gt;0,$A125&lt;AA$6),AND(AA$7&gt;0,$A125&gt;AA$7)),0,MAX(0,ROUND((INDEX($E125:$G125,AA$5)-SUMIFS(TF_Timer,TF_Tekniker,AA$4,TF_Dato,$A125))*2,0)/2)))</f>
        <v/>
      </c>
      <c r="AB125">
        <f>IF(OR(AB$4="",$A125&gt;TODAY()),0,IF(OR(INDEX($B125:$D125,AB$5)="F",AND(AB$6&gt;0,$A125&lt;AB$6),AND(AB$7&gt;0,$A125&gt;AB$7)),0,MAX(0,ROUND((INDEX($E125:$G125,AB$5)-SUMIFS(TF_Timer,TF_Tekniker,AB$4,TF_Dato,$A125))*2,0)/2)))</f>
        <v/>
      </c>
      <c r="AC125">
        <f>IF(OR(AC$4="",$A125&gt;TODAY()),0,IF(OR(INDEX($B125:$D125,AC$5)="F",AND(AC$6&gt;0,$A125&lt;AC$6),AND(AC$7&gt;0,$A125&gt;AC$7)),0,MAX(0,ROUND((INDEX($E125:$G125,AC$5)-SUMIFS(TF_Timer,TF_Tekniker,AC$4,TF_Dato,$A125))*2,0)/2)))</f>
        <v/>
      </c>
      <c r="AD125">
        <f>IF(OR(AD$4="",$A125&gt;TODAY()),0,IF(OR(INDEX($B125:$D125,AD$5)="F",AND(AD$6&gt;0,$A125&lt;AD$6),AND(AD$7&gt;0,$A125&gt;AD$7)),0,MAX(0,ROUND((INDEX($E125:$G125,AD$5)-SUMIFS(TF_Timer,TF_Tekniker,AD$4,TF_Dato,$A125))*2,0)/2)))</f>
        <v/>
      </c>
      <c r="AE125">
        <f>IF(OR(AE$4="",$A125&gt;TODAY()),0,IF(OR(INDEX($B125:$D125,AE$5)="F",AND(AE$6&gt;0,$A125&lt;AE$6),AND(AE$7&gt;0,$A125&gt;AE$7)),0,MAX(0,ROUND((INDEX($E125:$G125,AE$5)-SUMIFS(TF_Timer,TF_Tekniker,AE$4,TF_Dato,$A125))*2,0)/2)))</f>
        <v/>
      </c>
      <c r="AF125">
        <f>IF(OR(AF$4="",$A125&gt;TODAY()),0,IF(OR(INDEX($B125:$D125,AF$5)="F",AND(AF$6&gt;0,$A125&lt;AF$6),AND(AF$7&gt;0,$A125&gt;AF$7)),0,MAX(0,ROUND((INDEX($E125:$G125,AF$5)-SUMIFS(TF_Timer,TF_Tekniker,AF$4,TF_Dato,$A125))*2,0)/2)))</f>
        <v/>
      </c>
      <c r="AG125">
        <f>IF(OR(AG$4="",$A125&gt;TODAY()),0,IF(OR(INDEX($B125:$D125,AG$5)="F",AND(AG$6&gt;0,$A125&lt;AG$6),AND(AG$7&gt;0,$A125&gt;AG$7)),0,MAX(0,ROUND((INDEX($E125:$G125,AG$5)-SUMIFS(TF_Timer,TF_Tekniker,AG$4,TF_Dato,$A125))*2,0)/2)))</f>
        <v/>
      </c>
      <c r="AH125">
        <f>IF(OR(AH$4="",$A125&gt;TODAY()),0,IF(OR(INDEX($B125:$D125,AH$5)="F",AND(AH$6&gt;0,$A125&lt;AH$6),AND(AH$7&gt;0,$A125&gt;AH$7)),0,MAX(0,ROUND((INDEX($E125:$G125,AH$5)-SUMIFS(TF_Timer,TF_Tekniker,AH$4,TF_Dato,$A125))*2,0)/2)))</f>
        <v/>
      </c>
      <c r="AI125">
        <f>IF(OR(AI$4="",$A125&gt;TODAY()),0,IF(OR(INDEX($B125:$D125,AI$5)="F",AND(AI$6&gt;0,$A125&lt;AI$6),AND(AI$7&gt;0,$A125&gt;AI$7)),0,MAX(0,ROUND((INDEX($E125:$G125,AI$5)-SUMIFS(TF_Timer,TF_Tekniker,AI$4,TF_Dato,$A125))*2,0)/2)))</f>
        <v/>
      </c>
      <c r="AJ125">
        <f>IF(OR(AJ$4="",$A125&gt;TODAY()),0,IF(OR(INDEX($B125:$D125,AJ$5)="F",AND(AJ$6&gt;0,$A125&lt;AJ$6),AND(AJ$7&gt;0,$A125&gt;AJ$7)),0,MAX(0,ROUND((INDEX($E125:$G125,AJ$5)-SUMIFS(TF_Timer,TF_Tekniker,AJ$4,TF_Dato,$A125))*2,0)/2)))</f>
        <v/>
      </c>
      <c r="AK125">
        <f>IF(OR(AK$4="",$A125&gt;TODAY()),0,IF(OR(INDEX($B125:$D125,AK$5)="F",AND(AK$6&gt;0,$A125&lt;AK$6),AND(AK$7&gt;0,$A125&gt;AK$7)),0,MAX(0,ROUND((INDEX($E125:$G125,AK$5)-SUMIFS(TF_Timer,TF_Tekniker,AK$4,TF_Dato,$A125))*2,0)/2)))</f>
        <v/>
      </c>
      <c r="AL125">
        <f>IF(OR(AL$4="",$A125&gt;TODAY()),0,IF(OR(INDEX($B125:$D125,AL$5)="F",AND(AL$6&gt;0,$A125&lt;AL$6),AND(AL$7&gt;0,$A125&gt;AL$7)),0,MAX(0,ROUND((INDEX($E125:$G125,AL$5)-SUMIFS(TF_Timer,TF_Tekniker,AL$4,TF_Dato,$A125))*2,0)/2)))</f>
        <v/>
      </c>
      <c r="AM125">
        <f>IF(OR(AM$4="",$A125&gt;TODAY()),0,IF(OR(INDEX($B125:$D125,AM$5)="F",AND(AM$6&gt;0,$A125&lt;AM$6),AND(AM$7&gt;0,$A125&gt;AM$7)),0,MAX(0,ROUND((INDEX($E125:$G125,AM$5)-SUMIFS(TF_Timer,TF_Tekniker,AM$4,TF_Dato,$A125))*2,0)/2)))</f>
        <v/>
      </c>
      <c r="AN125">
        <f>IF(OR(AN$4="",$A125&gt;TODAY()),0,IF(OR(INDEX($B125:$D125,AN$5)="F",AND(AN$6&gt;0,$A125&lt;AN$6),AND(AN$7&gt;0,$A125&gt;AN$7)),0,MAX(0,ROUND((INDEX($E125:$G125,AN$5)-SUMIFS(TF_Timer,TF_Tekniker,AN$4,TF_Dato,$A125))*2,0)/2)))</f>
        <v/>
      </c>
      <c r="AO125">
        <f>IF(OR(AO$4="",$A125&gt;TODAY()),0,IF(OR(INDEX($B125:$D125,AO$5)="F",AND(AO$6&gt;0,$A125&lt;AO$6),AND(AO$7&gt;0,$A125&gt;AO$7)),0,MAX(0,ROUND((INDEX($E125:$G125,AO$5)-SUMIFS(TF_Timer,TF_Tekniker,AO$4,TF_Dato,$A125))*2,0)/2)))</f>
        <v/>
      </c>
      <c r="AP125">
        <f>IF(OR(AP$4="",$A125&gt;TODAY()),0,IF(OR(INDEX($B125:$D125,AP$5)="F",AND(AP$6&gt;0,$A125&lt;AP$6),AND(AP$7&gt;0,$A125&gt;AP$7)),0,MAX(0,ROUND((INDEX($E125:$G125,AP$5)-SUMIFS(TF_Timer,TF_Tekniker,AP$4,TF_Dato,$A125))*2,0)/2)))</f>
        <v/>
      </c>
      <c r="AQ125">
        <f>IF(OR(AQ$4="",$A125&gt;TODAY()),0,IF(OR(INDEX($B125:$D125,AQ$5)="F",AND(AQ$6&gt;0,$A125&lt;AQ$6),AND(AQ$7&gt;0,$A125&gt;AQ$7)),0,MAX(0,ROUND((INDEX($E125:$G125,AQ$5)-SUMIFS(TF_Timer,TF_Tekniker,AQ$4,TF_Dato,$A125))*2,0)/2)))</f>
        <v/>
      </c>
      <c r="AR125">
        <f>IF(OR(AR$4="",$A125&gt;TODAY()),0,IF(OR(INDEX($B125:$D125,AR$5)="F",AND(AR$6&gt;0,$A125&lt;AR$6),AND(AR$7&gt;0,$A125&gt;AR$7)),0,MAX(0,ROUND((INDEX($E125:$G125,AR$5)-SUMIFS(TF_Timer,TF_Tekniker,AR$4,TF_Dato,$A125))*2,0)/2)))</f>
        <v/>
      </c>
      <c r="AS125">
        <f>IF(OR(AS$4="",$A125&gt;TODAY()),0,IF(OR(INDEX($B125:$D125,AS$5)="F",AND(AS$6&gt;0,$A125&lt;AS$6),AND(AS$7&gt;0,$A125&gt;AS$7)),0,MAX(0,ROUND((INDEX($E125:$G125,AS$5)-SUMIFS(TF_Timer,TF_Tekniker,AS$4,TF_Dato,$A125))*2,0)/2)))</f>
        <v/>
      </c>
      <c r="AT125">
        <f>IF(OR(AT$4="",$A125&gt;TODAY()),0,IF(OR(INDEX($B125:$D125,AT$5)="F",AND(AT$6&gt;0,$A125&lt;AT$6),AND(AT$7&gt;0,$A125&gt;AT$7)),0,MAX(0,ROUND((INDEX($E125:$G125,AT$5)-SUMIFS(TF_Timer,TF_Tekniker,AT$4,TF_Dato,$A125))*2,0)/2)))</f>
        <v/>
      </c>
      <c r="AU125">
        <f>IF(OR(AU$4="",$A125&gt;TODAY()),0,IF(OR(INDEX($B125:$D125,AU$5)="F",AND(AU$6&gt;0,$A125&lt;AU$6),AND(AU$7&gt;0,$A125&gt;AU$7)),0,MAX(0,ROUND((INDEX($E125:$G125,AU$5)-SUMIFS(TF_Timer,TF_Tekniker,AU$4,TF_Dato,$A125))*2,0)/2)))</f>
        <v/>
      </c>
      <c r="AV125">
        <f>IF(OR(AV$4="",$A125&gt;TODAY()),0,IF(OR(INDEX($B125:$D125,AV$5)="F",AND(AV$6&gt;0,$A125&lt;AV$6),AND(AV$7&gt;0,$A125&gt;AV$7)),0,MAX(0,ROUND((INDEX($E125:$G125,AV$5)-SUMIFS(TF_Timer,TF_Tekniker,AV$4,TF_Dato,$A125))*2,0)/2)))</f>
        <v/>
      </c>
      <c r="AW125">
        <f>IF(OR(AW$4="",$A125&gt;TODAY()),0,IF(OR(INDEX($B125:$D125,AW$5)="F",AND(AW$6&gt;0,$A125&lt;AW$6),AND(AW$7&gt;0,$A125&gt;AW$7)),0,MAX(0,ROUND((INDEX($E125:$G125,AW$5)-SUMIFS(TF_Timer,TF_Tekniker,AW$4,TF_Dato,$A125))*2,0)/2)))</f>
        <v/>
      </c>
      <c r="AX125">
        <f>IF(OR(AX$4="",$A125&gt;TODAY()),0,IF(OR(INDEX($B125:$D125,AX$5)="F",AND(AX$6&gt;0,$A125&lt;AX$6),AND(AX$7&gt;0,$A125&gt;AX$7)),0,MAX(0,ROUND((INDEX($E125:$G125,AX$5)-SUMIFS(TF_Timer,TF_Tekniker,AX$4,TF_Dato,$A125))*2,0)/2)))</f>
        <v/>
      </c>
      <c r="AY125">
        <f>IF(OR(AY$4="",$A125&gt;TODAY()),0,IF(OR(INDEX($B125:$D125,AY$5)="F",AND(AY$6&gt;0,$A125&lt;AY$6),AND(AY$7&gt;0,$A125&gt;AY$7)),0,MAX(0,ROUND((INDEX($E125:$G125,AY$5)-SUMIFS(TF_Timer,TF_Tekniker,AY$4,TF_Dato,$A125))*2,0)/2)))</f>
        <v/>
      </c>
      <c r="AZ125">
        <f>IF(OR(AZ$4="",$A125&gt;TODAY()),0,IF(OR(INDEX($B125:$D125,AZ$5)="F",AND(AZ$6&gt;0,$A125&lt;AZ$6),AND(AZ$7&gt;0,$A125&gt;AZ$7)),0,MAX(0,ROUND((INDEX($E125:$G125,AZ$5)-SUMIFS(TF_Timer,TF_Tekniker,AZ$4,TF_Dato,$A125))*2,0)/2)))</f>
        <v/>
      </c>
      <c r="BA125">
        <f>IF(OR(BA$4="",$A125&gt;TODAY()),0,IF(OR(INDEX($B125:$D125,BA$5)="F",AND(BA$6&gt;0,$A125&lt;BA$6),AND(BA$7&gt;0,$A125&gt;BA$7)),0,MAX(0,ROUND((INDEX($E125:$G125,BA$5)-SUMIFS(TF_Timer,TF_Tekniker,BA$4,TF_Dato,$A125))*2,0)/2)))</f>
        <v/>
      </c>
      <c r="BB125">
        <f>IF(OR(BB$4="",$A125&gt;TODAY()),0,IF(OR(INDEX($B125:$D125,BB$5)="F",AND(BB$6&gt;0,$A125&lt;BB$6),AND(BB$7&gt;0,$A125&gt;BB$7)),0,MAX(0,ROUND((INDEX($E125:$G125,BB$5)-SUMIFS(TF_Timer,TF_Tekniker,BB$4,TF_Dato,$A125))*2,0)/2)))</f>
        <v/>
      </c>
      <c r="BC125">
        <f>IF(OR(BC$4="",$A125&gt;TODAY()),0,IF(OR(INDEX($B125:$D125,BC$5)="F",AND(BC$6&gt;0,$A125&lt;BC$6),AND(BC$7&gt;0,$A125&gt;BC$7)),0,MAX(0,ROUND((INDEX($E125:$G125,BC$5)-SUMIFS(TF_Timer,TF_Tekniker,BC$4,TF_Dato,$A125))*2,0)/2)))</f>
        <v/>
      </c>
      <c r="BD125">
        <f>IF(OR(BD$4="",$A125&gt;TODAY()),0,IF(OR(INDEX($B125:$D125,BD$5)="F",AND(BD$6&gt;0,$A125&lt;BD$6),AND(BD$7&gt;0,$A125&gt;BD$7)),0,MAX(0,ROUND((INDEX($E125:$G125,BD$5)-SUMIFS(TF_Timer,TF_Tekniker,BD$4,TF_Dato,$A125))*2,0)/2)))</f>
        <v/>
      </c>
      <c r="BE125">
        <f>IF(OR(BE$4="",$A125&gt;TODAY()),0,IF(OR(INDEX($B125:$D125,BE$5)="F",AND(BE$6&gt;0,$A125&lt;BE$6),AND(BE$7&gt;0,$A125&gt;BE$7)),0,MAX(0,ROUND((INDEX($E125:$G125,BE$5)-SUMIFS(TF_Timer,TF_Tekniker,BE$4,TF_Dato,$A125))*2,0)/2)))</f>
        <v/>
      </c>
      <c r="BF125">
        <f>IF(OR(BF$4="",$A125&gt;TODAY()),0,IF(OR(INDEX($B125:$D125,BF$5)="F",AND(BF$6&gt;0,$A125&lt;BF$6),AND(BF$7&gt;0,$A125&gt;BF$7)),0,MAX(0,ROUND((INDEX($E125:$G125,BF$5)-SUMIFS(TF_Timer,TF_Tekniker,BF$4,TF_Dato,$A125))*2,0)/2)))</f>
        <v/>
      </c>
      <c r="BG125">
        <f>IF(OR(BG$4="",$A125&gt;TODAY()),0,IF(OR(INDEX($B125:$D125,BG$5)="F",AND(BG$6&gt;0,$A125&lt;BG$6),AND(BG$7&gt;0,$A125&gt;BG$7)),0,MAX(0,ROUND((INDEX($E125:$G125,BG$5)-SUMIFS(TF_Timer,TF_Tekniker,BG$4,TF_Dato,$A125))*2,0)/2)))</f>
        <v/>
      </c>
      <c r="BH125">
        <f>IF(OR(BH$4="",$A125&gt;TODAY()),0,IF(OR(INDEX($B125:$D125,BH$5)="F",AND(BH$6&gt;0,$A125&lt;BH$6),AND(BH$7&gt;0,$A125&gt;BH$7)),0,MAX(0,ROUND((INDEX($E125:$G125,BH$5)-SUMIFS(TF_Timer,TF_Tekniker,BH$4,TF_Dato,$A125))*2,0)/2)))</f>
        <v/>
      </c>
      <c r="BI125">
        <f>IF(OR(BI$4="",$A125&gt;TODAY()),0,IF(OR(INDEX($B125:$D125,BI$5)="F",AND(BI$6&gt;0,$A125&lt;BI$6),AND(BI$7&gt;0,$A125&gt;BI$7)),0,MAX(0,ROUND((INDEX($E125:$G125,BI$5)-SUMIFS(TF_Timer,TF_Tekniker,BI$4,TF_Dato,$A125))*2,0)/2)))</f>
        <v/>
      </c>
    </row>
    <row r="126">
      <c r="A126" s="64">
        <f>A125+1</f>
        <v/>
      </c>
      <c r="B126">
        <f>IF(MOD($A126-INDEX(SkiftStart,1),Syklus)&lt;DagK,"K",IF(MOD($A126-INDEX(SkiftStart,1),Syklus)&lt;DagK+DagH,"H",IF(MOD($A126-INDEX(SkiftStart,1),Syklus)&lt;DagK+DagH+DagD,"D","F")))</f>
        <v/>
      </c>
      <c r="C126">
        <f>IF(MOD($A126-INDEX(SkiftStart,2),Syklus)&lt;DagK,"K",IF(MOD($A126-INDEX(SkiftStart,2),Syklus)&lt;DagK+DagH,"H",IF(MOD($A126-INDEX(SkiftStart,2),Syklus)&lt;DagK+DagH+DagD,"D","F")))</f>
        <v/>
      </c>
      <c r="D126">
        <f>IF(MOD($A126-INDEX(SkiftStart,3),Syklus)&lt;DagK,"K",IF(MOD($A126-INDEX(SkiftStart,3),Syklus)&lt;DagK+DagH,"H",IF(MOD($A126-INDEX(SkiftStart,3),Syklus)&lt;DagK+DagH+DagD,"D","F")))</f>
        <v/>
      </c>
      <c r="E126">
        <f>IF(B126="F",0,IF(WEEKDAY($A126,2)=5,INDEX(TimerFr,MATCH(B126,FaseKode,0)),INDEX(TimerMT,MATCH(B126,FaseKode,0))))</f>
        <v/>
      </c>
      <c r="F126">
        <f>IF(C126="F",0,IF(WEEKDAY($A126,2)=5,INDEX(TimerFr,MATCH(C126,FaseKode,0)),INDEX(TimerMT,MATCH(C126,FaseKode,0))))</f>
        <v/>
      </c>
      <c r="G126">
        <f>IF(D126="F",0,IF(WEEKDAY($A126,2)=5,INDEX(TimerFr,MATCH(D126,FaseKode,0)),INDEX(TimerMT,MATCH(D126,FaseKode,0))))</f>
        <v/>
      </c>
      <c r="H126">
        <f>IF(OR(H$4="",$A126&gt;TODAY()),0,IF(OR(INDEX($B126:$D126,H$5)="F",AND(H$6&gt;0,$A126&lt;H$6),AND(H$7&gt;0,$A126&gt;H$7)),0,MAX(0,ROUND((INDEX($E126:$G126,H$5)-SUMIFS(TF_Timer,TF_Tekniker,H$4,TF_Dato,$A126))*2,0)/2)))</f>
        <v/>
      </c>
      <c r="I126">
        <f>IF(OR(I$4="",$A126&gt;TODAY()),0,IF(OR(INDEX($B126:$D126,I$5)="F",AND(I$6&gt;0,$A126&lt;I$6),AND(I$7&gt;0,$A126&gt;I$7)),0,MAX(0,ROUND((INDEX($E126:$G126,I$5)-SUMIFS(TF_Timer,TF_Tekniker,I$4,TF_Dato,$A126))*2,0)/2)))</f>
        <v/>
      </c>
      <c r="J126">
        <f>IF(OR(J$4="",$A126&gt;TODAY()),0,IF(OR(INDEX($B126:$D126,J$5)="F",AND(J$6&gt;0,$A126&lt;J$6),AND(J$7&gt;0,$A126&gt;J$7)),0,MAX(0,ROUND((INDEX($E126:$G126,J$5)-SUMIFS(TF_Timer,TF_Tekniker,J$4,TF_Dato,$A126))*2,0)/2)))</f>
        <v/>
      </c>
      <c r="K126">
        <f>IF(OR(K$4="",$A126&gt;TODAY()),0,IF(OR(INDEX($B126:$D126,K$5)="F",AND(K$6&gt;0,$A126&lt;K$6),AND(K$7&gt;0,$A126&gt;K$7)),0,MAX(0,ROUND((INDEX($E126:$G126,K$5)-SUMIFS(TF_Timer,TF_Tekniker,K$4,TF_Dato,$A126))*2,0)/2)))</f>
        <v/>
      </c>
      <c r="L126">
        <f>IF(OR(L$4="",$A126&gt;TODAY()),0,IF(OR(INDEX($B126:$D126,L$5)="F",AND(L$6&gt;0,$A126&lt;L$6),AND(L$7&gt;0,$A126&gt;L$7)),0,MAX(0,ROUND((INDEX($E126:$G126,L$5)-SUMIFS(TF_Timer,TF_Tekniker,L$4,TF_Dato,$A126))*2,0)/2)))</f>
        <v/>
      </c>
      <c r="M126">
        <f>IF(OR(M$4="",$A126&gt;TODAY()),0,IF(OR(INDEX($B126:$D126,M$5)="F",AND(M$6&gt;0,$A126&lt;M$6),AND(M$7&gt;0,$A126&gt;M$7)),0,MAX(0,ROUND((INDEX($E126:$G126,M$5)-SUMIFS(TF_Timer,TF_Tekniker,M$4,TF_Dato,$A126))*2,0)/2)))</f>
        <v/>
      </c>
      <c r="N126">
        <f>IF(OR(N$4="",$A126&gt;TODAY()),0,IF(OR(INDEX($B126:$D126,N$5)="F",AND(N$6&gt;0,$A126&lt;N$6),AND(N$7&gt;0,$A126&gt;N$7)),0,MAX(0,ROUND((INDEX($E126:$G126,N$5)-SUMIFS(TF_Timer,TF_Tekniker,N$4,TF_Dato,$A126))*2,0)/2)))</f>
        <v/>
      </c>
      <c r="O126">
        <f>IF(OR(O$4="",$A126&gt;TODAY()),0,IF(OR(INDEX($B126:$D126,O$5)="F",AND(O$6&gt;0,$A126&lt;O$6),AND(O$7&gt;0,$A126&gt;O$7)),0,MAX(0,ROUND((INDEX($E126:$G126,O$5)-SUMIFS(TF_Timer,TF_Tekniker,O$4,TF_Dato,$A126))*2,0)/2)))</f>
        <v/>
      </c>
      <c r="P126">
        <f>IF(OR(P$4="",$A126&gt;TODAY()),0,IF(OR(INDEX($B126:$D126,P$5)="F",AND(P$6&gt;0,$A126&lt;P$6),AND(P$7&gt;0,$A126&gt;P$7)),0,MAX(0,ROUND((INDEX($E126:$G126,P$5)-SUMIFS(TF_Timer,TF_Tekniker,P$4,TF_Dato,$A126))*2,0)/2)))</f>
        <v/>
      </c>
      <c r="Q126">
        <f>IF(OR(Q$4="",$A126&gt;TODAY()),0,IF(OR(INDEX($B126:$D126,Q$5)="F",AND(Q$6&gt;0,$A126&lt;Q$6),AND(Q$7&gt;0,$A126&gt;Q$7)),0,MAX(0,ROUND((INDEX($E126:$G126,Q$5)-SUMIFS(TF_Timer,TF_Tekniker,Q$4,TF_Dato,$A126))*2,0)/2)))</f>
        <v/>
      </c>
      <c r="R126">
        <f>IF(OR(R$4="",$A126&gt;TODAY()),0,IF(OR(INDEX($B126:$D126,R$5)="F",AND(R$6&gt;0,$A126&lt;R$6),AND(R$7&gt;0,$A126&gt;R$7)),0,MAX(0,ROUND((INDEX($E126:$G126,R$5)-SUMIFS(TF_Timer,TF_Tekniker,R$4,TF_Dato,$A126))*2,0)/2)))</f>
        <v/>
      </c>
      <c r="S126">
        <f>IF(OR(S$4="",$A126&gt;TODAY()),0,IF(OR(INDEX($B126:$D126,S$5)="F",AND(S$6&gt;0,$A126&lt;S$6),AND(S$7&gt;0,$A126&gt;S$7)),0,MAX(0,ROUND((INDEX($E126:$G126,S$5)-SUMIFS(TF_Timer,TF_Tekniker,S$4,TF_Dato,$A126))*2,0)/2)))</f>
        <v/>
      </c>
      <c r="T126">
        <f>IF(OR(T$4="",$A126&gt;TODAY()),0,IF(OR(INDEX($B126:$D126,T$5)="F",AND(T$6&gt;0,$A126&lt;T$6),AND(T$7&gt;0,$A126&gt;T$7)),0,MAX(0,ROUND((INDEX($E126:$G126,T$5)-SUMIFS(TF_Timer,TF_Tekniker,T$4,TF_Dato,$A126))*2,0)/2)))</f>
        <v/>
      </c>
      <c r="U126">
        <f>IF(OR(U$4="",$A126&gt;TODAY()),0,IF(OR(INDEX($B126:$D126,U$5)="F",AND(U$6&gt;0,$A126&lt;U$6),AND(U$7&gt;0,$A126&gt;U$7)),0,MAX(0,ROUND((INDEX($E126:$G126,U$5)-SUMIFS(TF_Timer,TF_Tekniker,U$4,TF_Dato,$A126))*2,0)/2)))</f>
        <v/>
      </c>
      <c r="V126">
        <f>IF(OR(V$4="",$A126&gt;TODAY()),0,IF(OR(INDEX($B126:$D126,V$5)="F",AND(V$6&gt;0,$A126&lt;V$6),AND(V$7&gt;0,$A126&gt;V$7)),0,MAX(0,ROUND((INDEX($E126:$G126,V$5)-SUMIFS(TF_Timer,TF_Tekniker,V$4,TF_Dato,$A126))*2,0)/2)))</f>
        <v/>
      </c>
      <c r="W126">
        <f>IF(OR(W$4="",$A126&gt;TODAY()),0,IF(OR(INDEX($B126:$D126,W$5)="F",AND(W$6&gt;0,$A126&lt;W$6),AND(W$7&gt;0,$A126&gt;W$7)),0,MAX(0,ROUND((INDEX($E126:$G126,W$5)-SUMIFS(TF_Timer,TF_Tekniker,W$4,TF_Dato,$A126))*2,0)/2)))</f>
        <v/>
      </c>
      <c r="X126">
        <f>IF(OR(X$4="",$A126&gt;TODAY()),0,IF(OR(INDEX($B126:$D126,X$5)="F",AND(X$6&gt;0,$A126&lt;X$6),AND(X$7&gt;0,$A126&gt;X$7)),0,MAX(0,ROUND((INDEX($E126:$G126,X$5)-SUMIFS(TF_Timer,TF_Tekniker,X$4,TF_Dato,$A126))*2,0)/2)))</f>
        <v/>
      </c>
      <c r="Y126">
        <f>IF(OR(Y$4="",$A126&gt;TODAY()),0,IF(OR(INDEX($B126:$D126,Y$5)="F",AND(Y$6&gt;0,$A126&lt;Y$6),AND(Y$7&gt;0,$A126&gt;Y$7)),0,MAX(0,ROUND((INDEX($E126:$G126,Y$5)-SUMIFS(TF_Timer,TF_Tekniker,Y$4,TF_Dato,$A126))*2,0)/2)))</f>
        <v/>
      </c>
      <c r="Z126">
        <f>IF(OR(Z$4="",$A126&gt;TODAY()),0,IF(OR(INDEX($B126:$D126,Z$5)="F",AND(Z$6&gt;0,$A126&lt;Z$6),AND(Z$7&gt;0,$A126&gt;Z$7)),0,MAX(0,ROUND((INDEX($E126:$G126,Z$5)-SUMIFS(TF_Timer,TF_Tekniker,Z$4,TF_Dato,$A126))*2,0)/2)))</f>
        <v/>
      </c>
      <c r="AA126">
        <f>IF(OR(AA$4="",$A126&gt;TODAY()),0,IF(OR(INDEX($B126:$D126,AA$5)="F",AND(AA$6&gt;0,$A126&lt;AA$6),AND(AA$7&gt;0,$A126&gt;AA$7)),0,MAX(0,ROUND((INDEX($E126:$G126,AA$5)-SUMIFS(TF_Timer,TF_Tekniker,AA$4,TF_Dato,$A126))*2,0)/2)))</f>
        <v/>
      </c>
      <c r="AB126">
        <f>IF(OR(AB$4="",$A126&gt;TODAY()),0,IF(OR(INDEX($B126:$D126,AB$5)="F",AND(AB$6&gt;0,$A126&lt;AB$6),AND(AB$7&gt;0,$A126&gt;AB$7)),0,MAX(0,ROUND((INDEX($E126:$G126,AB$5)-SUMIFS(TF_Timer,TF_Tekniker,AB$4,TF_Dato,$A126))*2,0)/2)))</f>
        <v/>
      </c>
      <c r="AC126">
        <f>IF(OR(AC$4="",$A126&gt;TODAY()),0,IF(OR(INDEX($B126:$D126,AC$5)="F",AND(AC$6&gt;0,$A126&lt;AC$6),AND(AC$7&gt;0,$A126&gt;AC$7)),0,MAX(0,ROUND((INDEX($E126:$G126,AC$5)-SUMIFS(TF_Timer,TF_Tekniker,AC$4,TF_Dato,$A126))*2,0)/2)))</f>
        <v/>
      </c>
      <c r="AD126">
        <f>IF(OR(AD$4="",$A126&gt;TODAY()),0,IF(OR(INDEX($B126:$D126,AD$5)="F",AND(AD$6&gt;0,$A126&lt;AD$6),AND(AD$7&gt;0,$A126&gt;AD$7)),0,MAX(0,ROUND((INDEX($E126:$G126,AD$5)-SUMIFS(TF_Timer,TF_Tekniker,AD$4,TF_Dato,$A126))*2,0)/2)))</f>
        <v/>
      </c>
      <c r="AE126">
        <f>IF(OR(AE$4="",$A126&gt;TODAY()),0,IF(OR(INDEX($B126:$D126,AE$5)="F",AND(AE$6&gt;0,$A126&lt;AE$6),AND(AE$7&gt;0,$A126&gt;AE$7)),0,MAX(0,ROUND((INDEX($E126:$G126,AE$5)-SUMIFS(TF_Timer,TF_Tekniker,AE$4,TF_Dato,$A126))*2,0)/2)))</f>
        <v/>
      </c>
      <c r="AF126">
        <f>IF(OR(AF$4="",$A126&gt;TODAY()),0,IF(OR(INDEX($B126:$D126,AF$5)="F",AND(AF$6&gt;0,$A126&lt;AF$6),AND(AF$7&gt;0,$A126&gt;AF$7)),0,MAX(0,ROUND((INDEX($E126:$G126,AF$5)-SUMIFS(TF_Timer,TF_Tekniker,AF$4,TF_Dato,$A126))*2,0)/2)))</f>
        <v/>
      </c>
      <c r="AG126">
        <f>IF(OR(AG$4="",$A126&gt;TODAY()),0,IF(OR(INDEX($B126:$D126,AG$5)="F",AND(AG$6&gt;0,$A126&lt;AG$6),AND(AG$7&gt;0,$A126&gt;AG$7)),0,MAX(0,ROUND((INDEX($E126:$G126,AG$5)-SUMIFS(TF_Timer,TF_Tekniker,AG$4,TF_Dato,$A126))*2,0)/2)))</f>
        <v/>
      </c>
      <c r="AH126">
        <f>IF(OR(AH$4="",$A126&gt;TODAY()),0,IF(OR(INDEX($B126:$D126,AH$5)="F",AND(AH$6&gt;0,$A126&lt;AH$6),AND(AH$7&gt;0,$A126&gt;AH$7)),0,MAX(0,ROUND((INDEX($E126:$G126,AH$5)-SUMIFS(TF_Timer,TF_Tekniker,AH$4,TF_Dato,$A126))*2,0)/2)))</f>
        <v/>
      </c>
      <c r="AI126">
        <f>IF(OR(AI$4="",$A126&gt;TODAY()),0,IF(OR(INDEX($B126:$D126,AI$5)="F",AND(AI$6&gt;0,$A126&lt;AI$6),AND(AI$7&gt;0,$A126&gt;AI$7)),0,MAX(0,ROUND((INDEX($E126:$G126,AI$5)-SUMIFS(TF_Timer,TF_Tekniker,AI$4,TF_Dato,$A126))*2,0)/2)))</f>
        <v/>
      </c>
      <c r="AJ126">
        <f>IF(OR(AJ$4="",$A126&gt;TODAY()),0,IF(OR(INDEX($B126:$D126,AJ$5)="F",AND(AJ$6&gt;0,$A126&lt;AJ$6),AND(AJ$7&gt;0,$A126&gt;AJ$7)),0,MAX(0,ROUND((INDEX($E126:$G126,AJ$5)-SUMIFS(TF_Timer,TF_Tekniker,AJ$4,TF_Dato,$A126))*2,0)/2)))</f>
        <v/>
      </c>
      <c r="AK126">
        <f>IF(OR(AK$4="",$A126&gt;TODAY()),0,IF(OR(INDEX($B126:$D126,AK$5)="F",AND(AK$6&gt;0,$A126&lt;AK$6),AND(AK$7&gt;0,$A126&gt;AK$7)),0,MAX(0,ROUND((INDEX($E126:$G126,AK$5)-SUMIFS(TF_Timer,TF_Tekniker,AK$4,TF_Dato,$A126))*2,0)/2)))</f>
        <v/>
      </c>
      <c r="AL126">
        <f>IF(OR(AL$4="",$A126&gt;TODAY()),0,IF(OR(INDEX($B126:$D126,AL$5)="F",AND(AL$6&gt;0,$A126&lt;AL$6),AND(AL$7&gt;0,$A126&gt;AL$7)),0,MAX(0,ROUND((INDEX($E126:$G126,AL$5)-SUMIFS(TF_Timer,TF_Tekniker,AL$4,TF_Dato,$A126))*2,0)/2)))</f>
        <v/>
      </c>
      <c r="AM126">
        <f>IF(OR(AM$4="",$A126&gt;TODAY()),0,IF(OR(INDEX($B126:$D126,AM$5)="F",AND(AM$6&gt;0,$A126&lt;AM$6),AND(AM$7&gt;0,$A126&gt;AM$7)),0,MAX(0,ROUND((INDEX($E126:$G126,AM$5)-SUMIFS(TF_Timer,TF_Tekniker,AM$4,TF_Dato,$A126))*2,0)/2)))</f>
        <v/>
      </c>
      <c r="AN126">
        <f>IF(OR(AN$4="",$A126&gt;TODAY()),0,IF(OR(INDEX($B126:$D126,AN$5)="F",AND(AN$6&gt;0,$A126&lt;AN$6),AND(AN$7&gt;0,$A126&gt;AN$7)),0,MAX(0,ROUND((INDEX($E126:$G126,AN$5)-SUMIFS(TF_Timer,TF_Tekniker,AN$4,TF_Dato,$A126))*2,0)/2)))</f>
        <v/>
      </c>
      <c r="AO126">
        <f>IF(OR(AO$4="",$A126&gt;TODAY()),0,IF(OR(INDEX($B126:$D126,AO$5)="F",AND(AO$6&gt;0,$A126&lt;AO$6),AND(AO$7&gt;0,$A126&gt;AO$7)),0,MAX(0,ROUND((INDEX($E126:$G126,AO$5)-SUMIFS(TF_Timer,TF_Tekniker,AO$4,TF_Dato,$A126))*2,0)/2)))</f>
        <v/>
      </c>
      <c r="AP126">
        <f>IF(OR(AP$4="",$A126&gt;TODAY()),0,IF(OR(INDEX($B126:$D126,AP$5)="F",AND(AP$6&gt;0,$A126&lt;AP$6),AND(AP$7&gt;0,$A126&gt;AP$7)),0,MAX(0,ROUND((INDEX($E126:$G126,AP$5)-SUMIFS(TF_Timer,TF_Tekniker,AP$4,TF_Dato,$A126))*2,0)/2)))</f>
        <v/>
      </c>
      <c r="AQ126">
        <f>IF(OR(AQ$4="",$A126&gt;TODAY()),0,IF(OR(INDEX($B126:$D126,AQ$5)="F",AND(AQ$6&gt;0,$A126&lt;AQ$6),AND(AQ$7&gt;0,$A126&gt;AQ$7)),0,MAX(0,ROUND((INDEX($E126:$G126,AQ$5)-SUMIFS(TF_Timer,TF_Tekniker,AQ$4,TF_Dato,$A126))*2,0)/2)))</f>
        <v/>
      </c>
      <c r="AR126">
        <f>IF(OR(AR$4="",$A126&gt;TODAY()),0,IF(OR(INDEX($B126:$D126,AR$5)="F",AND(AR$6&gt;0,$A126&lt;AR$6),AND(AR$7&gt;0,$A126&gt;AR$7)),0,MAX(0,ROUND((INDEX($E126:$G126,AR$5)-SUMIFS(TF_Timer,TF_Tekniker,AR$4,TF_Dato,$A126))*2,0)/2)))</f>
        <v/>
      </c>
      <c r="AS126">
        <f>IF(OR(AS$4="",$A126&gt;TODAY()),0,IF(OR(INDEX($B126:$D126,AS$5)="F",AND(AS$6&gt;0,$A126&lt;AS$6),AND(AS$7&gt;0,$A126&gt;AS$7)),0,MAX(0,ROUND((INDEX($E126:$G126,AS$5)-SUMIFS(TF_Timer,TF_Tekniker,AS$4,TF_Dato,$A126))*2,0)/2)))</f>
        <v/>
      </c>
      <c r="AT126">
        <f>IF(OR(AT$4="",$A126&gt;TODAY()),0,IF(OR(INDEX($B126:$D126,AT$5)="F",AND(AT$6&gt;0,$A126&lt;AT$6),AND(AT$7&gt;0,$A126&gt;AT$7)),0,MAX(0,ROUND((INDEX($E126:$G126,AT$5)-SUMIFS(TF_Timer,TF_Tekniker,AT$4,TF_Dato,$A126))*2,0)/2)))</f>
        <v/>
      </c>
      <c r="AU126">
        <f>IF(OR(AU$4="",$A126&gt;TODAY()),0,IF(OR(INDEX($B126:$D126,AU$5)="F",AND(AU$6&gt;0,$A126&lt;AU$6),AND(AU$7&gt;0,$A126&gt;AU$7)),0,MAX(0,ROUND((INDEX($E126:$G126,AU$5)-SUMIFS(TF_Timer,TF_Tekniker,AU$4,TF_Dato,$A126))*2,0)/2)))</f>
        <v/>
      </c>
      <c r="AV126">
        <f>IF(OR(AV$4="",$A126&gt;TODAY()),0,IF(OR(INDEX($B126:$D126,AV$5)="F",AND(AV$6&gt;0,$A126&lt;AV$6),AND(AV$7&gt;0,$A126&gt;AV$7)),0,MAX(0,ROUND((INDEX($E126:$G126,AV$5)-SUMIFS(TF_Timer,TF_Tekniker,AV$4,TF_Dato,$A126))*2,0)/2)))</f>
        <v/>
      </c>
      <c r="AW126">
        <f>IF(OR(AW$4="",$A126&gt;TODAY()),0,IF(OR(INDEX($B126:$D126,AW$5)="F",AND(AW$6&gt;0,$A126&lt;AW$6),AND(AW$7&gt;0,$A126&gt;AW$7)),0,MAX(0,ROUND((INDEX($E126:$G126,AW$5)-SUMIFS(TF_Timer,TF_Tekniker,AW$4,TF_Dato,$A126))*2,0)/2)))</f>
        <v/>
      </c>
      <c r="AX126">
        <f>IF(OR(AX$4="",$A126&gt;TODAY()),0,IF(OR(INDEX($B126:$D126,AX$5)="F",AND(AX$6&gt;0,$A126&lt;AX$6),AND(AX$7&gt;0,$A126&gt;AX$7)),0,MAX(0,ROUND((INDEX($E126:$G126,AX$5)-SUMIFS(TF_Timer,TF_Tekniker,AX$4,TF_Dato,$A126))*2,0)/2)))</f>
        <v/>
      </c>
      <c r="AY126">
        <f>IF(OR(AY$4="",$A126&gt;TODAY()),0,IF(OR(INDEX($B126:$D126,AY$5)="F",AND(AY$6&gt;0,$A126&lt;AY$6),AND(AY$7&gt;0,$A126&gt;AY$7)),0,MAX(0,ROUND((INDEX($E126:$G126,AY$5)-SUMIFS(TF_Timer,TF_Tekniker,AY$4,TF_Dato,$A126))*2,0)/2)))</f>
        <v/>
      </c>
      <c r="AZ126">
        <f>IF(OR(AZ$4="",$A126&gt;TODAY()),0,IF(OR(INDEX($B126:$D126,AZ$5)="F",AND(AZ$6&gt;0,$A126&lt;AZ$6),AND(AZ$7&gt;0,$A126&gt;AZ$7)),0,MAX(0,ROUND((INDEX($E126:$G126,AZ$5)-SUMIFS(TF_Timer,TF_Tekniker,AZ$4,TF_Dato,$A126))*2,0)/2)))</f>
        <v/>
      </c>
      <c r="BA126">
        <f>IF(OR(BA$4="",$A126&gt;TODAY()),0,IF(OR(INDEX($B126:$D126,BA$5)="F",AND(BA$6&gt;0,$A126&lt;BA$6),AND(BA$7&gt;0,$A126&gt;BA$7)),0,MAX(0,ROUND((INDEX($E126:$G126,BA$5)-SUMIFS(TF_Timer,TF_Tekniker,BA$4,TF_Dato,$A126))*2,0)/2)))</f>
        <v/>
      </c>
      <c r="BB126">
        <f>IF(OR(BB$4="",$A126&gt;TODAY()),0,IF(OR(INDEX($B126:$D126,BB$5)="F",AND(BB$6&gt;0,$A126&lt;BB$6),AND(BB$7&gt;0,$A126&gt;BB$7)),0,MAX(0,ROUND((INDEX($E126:$G126,BB$5)-SUMIFS(TF_Timer,TF_Tekniker,BB$4,TF_Dato,$A126))*2,0)/2)))</f>
        <v/>
      </c>
      <c r="BC126">
        <f>IF(OR(BC$4="",$A126&gt;TODAY()),0,IF(OR(INDEX($B126:$D126,BC$5)="F",AND(BC$6&gt;0,$A126&lt;BC$6),AND(BC$7&gt;0,$A126&gt;BC$7)),0,MAX(0,ROUND((INDEX($E126:$G126,BC$5)-SUMIFS(TF_Timer,TF_Tekniker,BC$4,TF_Dato,$A126))*2,0)/2)))</f>
        <v/>
      </c>
      <c r="BD126">
        <f>IF(OR(BD$4="",$A126&gt;TODAY()),0,IF(OR(INDEX($B126:$D126,BD$5)="F",AND(BD$6&gt;0,$A126&lt;BD$6),AND(BD$7&gt;0,$A126&gt;BD$7)),0,MAX(0,ROUND((INDEX($E126:$G126,BD$5)-SUMIFS(TF_Timer,TF_Tekniker,BD$4,TF_Dato,$A126))*2,0)/2)))</f>
        <v/>
      </c>
      <c r="BE126">
        <f>IF(OR(BE$4="",$A126&gt;TODAY()),0,IF(OR(INDEX($B126:$D126,BE$5)="F",AND(BE$6&gt;0,$A126&lt;BE$6),AND(BE$7&gt;0,$A126&gt;BE$7)),0,MAX(0,ROUND((INDEX($E126:$G126,BE$5)-SUMIFS(TF_Timer,TF_Tekniker,BE$4,TF_Dato,$A126))*2,0)/2)))</f>
        <v/>
      </c>
      <c r="BF126">
        <f>IF(OR(BF$4="",$A126&gt;TODAY()),0,IF(OR(INDEX($B126:$D126,BF$5)="F",AND(BF$6&gt;0,$A126&lt;BF$6),AND(BF$7&gt;0,$A126&gt;BF$7)),0,MAX(0,ROUND((INDEX($E126:$G126,BF$5)-SUMIFS(TF_Timer,TF_Tekniker,BF$4,TF_Dato,$A126))*2,0)/2)))</f>
        <v/>
      </c>
      <c r="BG126">
        <f>IF(OR(BG$4="",$A126&gt;TODAY()),0,IF(OR(INDEX($B126:$D126,BG$5)="F",AND(BG$6&gt;0,$A126&lt;BG$6),AND(BG$7&gt;0,$A126&gt;BG$7)),0,MAX(0,ROUND((INDEX($E126:$G126,BG$5)-SUMIFS(TF_Timer,TF_Tekniker,BG$4,TF_Dato,$A126))*2,0)/2)))</f>
        <v/>
      </c>
      <c r="BH126">
        <f>IF(OR(BH$4="",$A126&gt;TODAY()),0,IF(OR(INDEX($B126:$D126,BH$5)="F",AND(BH$6&gt;0,$A126&lt;BH$6),AND(BH$7&gt;0,$A126&gt;BH$7)),0,MAX(0,ROUND((INDEX($E126:$G126,BH$5)-SUMIFS(TF_Timer,TF_Tekniker,BH$4,TF_Dato,$A126))*2,0)/2)))</f>
        <v/>
      </c>
      <c r="BI126">
        <f>IF(OR(BI$4="",$A126&gt;TODAY()),0,IF(OR(INDEX($B126:$D126,BI$5)="F",AND(BI$6&gt;0,$A126&lt;BI$6),AND(BI$7&gt;0,$A126&gt;BI$7)),0,MAX(0,ROUND((INDEX($E126:$G126,BI$5)-SUMIFS(TF_Timer,TF_Tekniker,BI$4,TF_Dato,$A126))*2,0)/2)))</f>
        <v/>
      </c>
    </row>
    <row r="127">
      <c r="A127" s="64">
        <f>A126+1</f>
        <v/>
      </c>
      <c r="B127">
        <f>IF(MOD($A127-INDEX(SkiftStart,1),Syklus)&lt;DagK,"K",IF(MOD($A127-INDEX(SkiftStart,1),Syklus)&lt;DagK+DagH,"H",IF(MOD($A127-INDEX(SkiftStart,1),Syklus)&lt;DagK+DagH+DagD,"D","F")))</f>
        <v/>
      </c>
      <c r="C127">
        <f>IF(MOD($A127-INDEX(SkiftStart,2),Syklus)&lt;DagK,"K",IF(MOD($A127-INDEX(SkiftStart,2),Syklus)&lt;DagK+DagH,"H",IF(MOD($A127-INDEX(SkiftStart,2),Syklus)&lt;DagK+DagH+DagD,"D","F")))</f>
        <v/>
      </c>
      <c r="D127">
        <f>IF(MOD($A127-INDEX(SkiftStart,3),Syklus)&lt;DagK,"K",IF(MOD($A127-INDEX(SkiftStart,3),Syklus)&lt;DagK+DagH,"H",IF(MOD($A127-INDEX(SkiftStart,3),Syklus)&lt;DagK+DagH+DagD,"D","F")))</f>
        <v/>
      </c>
      <c r="E127">
        <f>IF(B127="F",0,IF(WEEKDAY($A127,2)=5,INDEX(TimerFr,MATCH(B127,FaseKode,0)),INDEX(TimerMT,MATCH(B127,FaseKode,0))))</f>
        <v/>
      </c>
      <c r="F127">
        <f>IF(C127="F",0,IF(WEEKDAY($A127,2)=5,INDEX(TimerFr,MATCH(C127,FaseKode,0)),INDEX(TimerMT,MATCH(C127,FaseKode,0))))</f>
        <v/>
      </c>
      <c r="G127">
        <f>IF(D127="F",0,IF(WEEKDAY($A127,2)=5,INDEX(TimerFr,MATCH(D127,FaseKode,0)),INDEX(TimerMT,MATCH(D127,FaseKode,0))))</f>
        <v/>
      </c>
      <c r="H127">
        <f>IF(OR(H$4="",$A127&gt;TODAY()),0,IF(OR(INDEX($B127:$D127,H$5)="F",AND(H$6&gt;0,$A127&lt;H$6),AND(H$7&gt;0,$A127&gt;H$7)),0,MAX(0,ROUND((INDEX($E127:$G127,H$5)-SUMIFS(TF_Timer,TF_Tekniker,H$4,TF_Dato,$A127))*2,0)/2)))</f>
        <v/>
      </c>
      <c r="I127">
        <f>IF(OR(I$4="",$A127&gt;TODAY()),0,IF(OR(INDEX($B127:$D127,I$5)="F",AND(I$6&gt;0,$A127&lt;I$6),AND(I$7&gt;0,$A127&gt;I$7)),0,MAX(0,ROUND((INDEX($E127:$G127,I$5)-SUMIFS(TF_Timer,TF_Tekniker,I$4,TF_Dato,$A127))*2,0)/2)))</f>
        <v/>
      </c>
      <c r="J127">
        <f>IF(OR(J$4="",$A127&gt;TODAY()),0,IF(OR(INDEX($B127:$D127,J$5)="F",AND(J$6&gt;0,$A127&lt;J$6),AND(J$7&gt;0,$A127&gt;J$7)),0,MAX(0,ROUND((INDEX($E127:$G127,J$5)-SUMIFS(TF_Timer,TF_Tekniker,J$4,TF_Dato,$A127))*2,0)/2)))</f>
        <v/>
      </c>
      <c r="K127">
        <f>IF(OR(K$4="",$A127&gt;TODAY()),0,IF(OR(INDEX($B127:$D127,K$5)="F",AND(K$6&gt;0,$A127&lt;K$6),AND(K$7&gt;0,$A127&gt;K$7)),0,MAX(0,ROUND((INDEX($E127:$G127,K$5)-SUMIFS(TF_Timer,TF_Tekniker,K$4,TF_Dato,$A127))*2,0)/2)))</f>
        <v/>
      </c>
      <c r="L127">
        <f>IF(OR(L$4="",$A127&gt;TODAY()),0,IF(OR(INDEX($B127:$D127,L$5)="F",AND(L$6&gt;0,$A127&lt;L$6),AND(L$7&gt;0,$A127&gt;L$7)),0,MAX(0,ROUND((INDEX($E127:$G127,L$5)-SUMIFS(TF_Timer,TF_Tekniker,L$4,TF_Dato,$A127))*2,0)/2)))</f>
        <v/>
      </c>
      <c r="M127">
        <f>IF(OR(M$4="",$A127&gt;TODAY()),0,IF(OR(INDEX($B127:$D127,M$5)="F",AND(M$6&gt;0,$A127&lt;M$6),AND(M$7&gt;0,$A127&gt;M$7)),0,MAX(0,ROUND((INDEX($E127:$G127,M$5)-SUMIFS(TF_Timer,TF_Tekniker,M$4,TF_Dato,$A127))*2,0)/2)))</f>
        <v/>
      </c>
      <c r="N127">
        <f>IF(OR(N$4="",$A127&gt;TODAY()),0,IF(OR(INDEX($B127:$D127,N$5)="F",AND(N$6&gt;0,$A127&lt;N$6),AND(N$7&gt;0,$A127&gt;N$7)),0,MAX(0,ROUND((INDEX($E127:$G127,N$5)-SUMIFS(TF_Timer,TF_Tekniker,N$4,TF_Dato,$A127))*2,0)/2)))</f>
        <v/>
      </c>
      <c r="O127">
        <f>IF(OR(O$4="",$A127&gt;TODAY()),0,IF(OR(INDEX($B127:$D127,O$5)="F",AND(O$6&gt;0,$A127&lt;O$6),AND(O$7&gt;0,$A127&gt;O$7)),0,MAX(0,ROUND((INDEX($E127:$G127,O$5)-SUMIFS(TF_Timer,TF_Tekniker,O$4,TF_Dato,$A127))*2,0)/2)))</f>
        <v/>
      </c>
      <c r="P127">
        <f>IF(OR(P$4="",$A127&gt;TODAY()),0,IF(OR(INDEX($B127:$D127,P$5)="F",AND(P$6&gt;0,$A127&lt;P$6),AND(P$7&gt;0,$A127&gt;P$7)),0,MAX(0,ROUND((INDEX($E127:$G127,P$5)-SUMIFS(TF_Timer,TF_Tekniker,P$4,TF_Dato,$A127))*2,0)/2)))</f>
        <v/>
      </c>
      <c r="Q127">
        <f>IF(OR(Q$4="",$A127&gt;TODAY()),0,IF(OR(INDEX($B127:$D127,Q$5)="F",AND(Q$6&gt;0,$A127&lt;Q$6),AND(Q$7&gt;0,$A127&gt;Q$7)),0,MAX(0,ROUND((INDEX($E127:$G127,Q$5)-SUMIFS(TF_Timer,TF_Tekniker,Q$4,TF_Dato,$A127))*2,0)/2)))</f>
        <v/>
      </c>
      <c r="R127">
        <f>IF(OR(R$4="",$A127&gt;TODAY()),0,IF(OR(INDEX($B127:$D127,R$5)="F",AND(R$6&gt;0,$A127&lt;R$6),AND(R$7&gt;0,$A127&gt;R$7)),0,MAX(0,ROUND((INDEX($E127:$G127,R$5)-SUMIFS(TF_Timer,TF_Tekniker,R$4,TF_Dato,$A127))*2,0)/2)))</f>
        <v/>
      </c>
      <c r="S127">
        <f>IF(OR(S$4="",$A127&gt;TODAY()),0,IF(OR(INDEX($B127:$D127,S$5)="F",AND(S$6&gt;0,$A127&lt;S$6),AND(S$7&gt;0,$A127&gt;S$7)),0,MAX(0,ROUND((INDEX($E127:$G127,S$5)-SUMIFS(TF_Timer,TF_Tekniker,S$4,TF_Dato,$A127))*2,0)/2)))</f>
        <v/>
      </c>
      <c r="T127">
        <f>IF(OR(T$4="",$A127&gt;TODAY()),0,IF(OR(INDEX($B127:$D127,T$5)="F",AND(T$6&gt;0,$A127&lt;T$6),AND(T$7&gt;0,$A127&gt;T$7)),0,MAX(0,ROUND((INDEX($E127:$G127,T$5)-SUMIFS(TF_Timer,TF_Tekniker,T$4,TF_Dato,$A127))*2,0)/2)))</f>
        <v/>
      </c>
      <c r="U127">
        <f>IF(OR(U$4="",$A127&gt;TODAY()),0,IF(OR(INDEX($B127:$D127,U$5)="F",AND(U$6&gt;0,$A127&lt;U$6),AND(U$7&gt;0,$A127&gt;U$7)),0,MAX(0,ROUND((INDEX($E127:$G127,U$5)-SUMIFS(TF_Timer,TF_Tekniker,U$4,TF_Dato,$A127))*2,0)/2)))</f>
        <v/>
      </c>
      <c r="V127">
        <f>IF(OR(V$4="",$A127&gt;TODAY()),0,IF(OR(INDEX($B127:$D127,V$5)="F",AND(V$6&gt;0,$A127&lt;V$6),AND(V$7&gt;0,$A127&gt;V$7)),0,MAX(0,ROUND((INDEX($E127:$G127,V$5)-SUMIFS(TF_Timer,TF_Tekniker,V$4,TF_Dato,$A127))*2,0)/2)))</f>
        <v/>
      </c>
      <c r="W127">
        <f>IF(OR(W$4="",$A127&gt;TODAY()),0,IF(OR(INDEX($B127:$D127,W$5)="F",AND(W$6&gt;0,$A127&lt;W$6),AND(W$7&gt;0,$A127&gt;W$7)),0,MAX(0,ROUND((INDEX($E127:$G127,W$5)-SUMIFS(TF_Timer,TF_Tekniker,W$4,TF_Dato,$A127))*2,0)/2)))</f>
        <v/>
      </c>
      <c r="X127">
        <f>IF(OR(X$4="",$A127&gt;TODAY()),0,IF(OR(INDEX($B127:$D127,X$5)="F",AND(X$6&gt;0,$A127&lt;X$6),AND(X$7&gt;0,$A127&gt;X$7)),0,MAX(0,ROUND((INDEX($E127:$G127,X$5)-SUMIFS(TF_Timer,TF_Tekniker,X$4,TF_Dato,$A127))*2,0)/2)))</f>
        <v/>
      </c>
      <c r="Y127">
        <f>IF(OR(Y$4="",$A127&gt;TODAY()),0,IF(OR(INDEX($B127:$D127,Y$5)="F",AND(Y$6&gt;0,$A127&lt;Y$6),AND(Y$7&gt;0,$A127&gt;Y$7)),0,MAX(0,ROUND((INDEX($E127:$G127,Y$5)-SUMIFS(TF_Timer,TF_Tekniker,Y$4,TF_Dato,$A127))*2,0)/2)))</f>
        <v/>
      </c>
      <c r="Z127">
        <f>IF(OR(Z$4="",$A127&gt;TODAY()),0,IF(OR(INDEX($B127:$D127,Z$5)="F",AND(Z$6&gt;0,$A127&lt;Z$6),AND(Z$7&gt;0,$A127&gt;Z$7)),0,MAX(0,ROUND((INDEX($E127:$G127,Z$5)-SUMIFS(TF_Timer,TF_Tekniker,Z$4,TF_Dato,$A127))*2,0)/2)))</f>
        <v/>
      </c>
      <c r="AA127">
        <f>IF(OR(AA$4="",$A127&gt;TODAY()),0,IF(OR(INDEX($B127:$D127,AA$5)="F",AND(AA$6&gt;0,$A127&lt;AA$6),AND(AA$7&gt;0,$A127&gt;AA$7)),0,MAX(0,ROUND((INDEX($E127:$G127,AA$5)-SUMIFS(TF_Timer,TF_Tekniker,AA$4,TF_Dato,$A127))*2,0)/2)))</f>
        <v/>
      </c>
      <c r="AB127">
        <f>IF(OR(AB$4="",$A127&gt;TODAY()),0,IF(OR(INDEX($B127:$D127,AB$5)="F",AND(AB$6&gt;0,$A127&lt;AB$6),AND(AB$7&gt;0,$A127&gt;AB$7)),0,MAX(0,ROUND((INDEX($E127:$G127,AB$5)-SUMIFS(TF_Timer,TF_Tekniker,AB$4,TF_Dato,$A127))*2,0)/2)))</f>
        <v/>
      </c>
      <c r="AC127">
        <f>IF(OR(AC$4="",$A127&gt;TODAY()),0,IF(OR(INDEX($B127:$D127,AC$5)="F",AND(AC$6&gt;0,$A127&lt;AC$6),AND(AC$7&gt;0,$A127&gt;AC$7)),0,MAX(0,ROUND((INDEX($E127:$G127,AC$5)-SUMIFS(TF_Timer,TF_Tekniker,AC$4,TF_Dato,$A127))*2,0)/2)))</f>
        <v/>
      </c>
      <c r="AD127">
        <f>IF(OR(AD$4="",$A127&gt;TODAY()),0,IF(OR(INDEX($B127:$D127,AD$5)="F",AND(AD$6&gt;0,$A127&lt;AD$6),AND(AD$7&gt;0,$A127&gt;AD$7)),0,MAX(0,ROUND((INDEX($E127:$G127,AD$5)-SUMIFS(TF_Timer,TF_Tekniker,AD$4,TF_Dato,$A127))*2,0)/2)))</f>
        <v/>
      </c>
      <c r="AE127">
        <f>IF(OR(AE$4="",$A127&gt;TODAY()),0,IF(OR(INDEX($B127:$D127,AE$5)="F",AND(AE$6&gt;0,$A127&lt;AE$6),AND(AE$7&gt;0,$A127&gt;AE$7)),0,MAX(0,ROUND((INDEX($E127:$G127,AE$5)-SUMIFS(TF_Timer,TF_Tekniker,AE$4,TF_Dato,$A127))*2,0)/2)))</f>
        <v/>
      </c>
      <c r="AF127">
        <f>IF(OR(AF$4="",$A127&gt;TODAY()),0,IF(OR(INDEX($B127:$D127,AF$5)="F",AND(AF$6&gt;0,$A127&lt;AF$6),AND(AF$7&gt;0,$A127&gt;AF$7)),0,MAX(0,ROUND((INDEX($E127:$G127,AF$5)-SUMIFS(TF_Timer,TF_Tekniker,AF$4,TF_Dato,$A127))*2,0)/2)))</f>
        <v/>
      </c>
      <c r="AG127">
        <f>IF(OR(AG$4="",$A127&gt;TODAY()),0,IF(OR(INDEX($B127:$D127,AG$5)="F",AND(AG$6&gt;0,$A127&lt;AG$6),AND(AG$7&gt;0,$A127&gt;AG$7)),0,MAX(0,ROUND((INDEX($E127:$G127,AG$5)-SUMIFS(TF_Timer,TF_Tekniker,AG$4,TF_Dato,$A127))*2,0)/2)))</f>
        <v/>
      </c>
      <c r="AH127">
        <f>IF(OR(AH$4="",$A127&gt;TODAY()),0,IF(OR(INDEX($B127:$D127,AH$5)="F",AND(AH$6&gt;0,$A127&lt;AH$6),AND(AH$7&gt;0,$A127&gt;AH$7)),0,MAX(0,ROUND((INDEX($E127:$G127,AH$5)-SUMIFS(TF_Timer,TF_Tekniker,AH$4,TF_Dato,$A127))*2,0)/2)))</f>
        <v/>
      </c>
      <c r="AI127">
        <f>IF(OR(AI$4="",$A127&gt;TODAY()),0,IF(OR(INDEX($B127:$D127,AI$5)="F",AND(AI$6&gt;0,$A127&lt;AI$6),AND(AI$7&gt;0,$A127&gt;AI$7)),0,MAX(0,ROUND((INDEX($E127:$G127,AI$5)-SUMIFS(TF_Timer,TF_Tekniker,AI$4,TF_Dato,$A127))*2,0)/2)))</f>
        <v/>
      </c>
      <c r="AJ127">
        <f>IF(OR(AJ$4="",$A127&gt;TODAY()),0,IF(OR(INDEX($B127:$D127,AJ$5)="F",AND(AJ$6&gt;0,$A127&lt;AJ$6),AND(AJ$7&gt;0,$A127&gt;AJ$7)),0,MAX(0,ROUND((INDEX($E127:$G127,AJ$5)-SUMIFS(TF_Timer,TF_Tekniker,AJ$4,TF_Dato,$A127))*2,0)/2)))</f>
        <v/>
      </c>
      <c r="AK127">
        <f>IF(OR(AK$4="",$A127&gt;TODAY()),0,IF(OR(INDEX($B127:$D127,AK$5)="F",AND(AK$6&gt;0,$A127&lt;AK$6),AND(AK$7&gt;0,$A127&gt;AK$7)),0,MAX(0,ROUND((INDEX($E127:$G127,AK$5)-SUMIFS(TF_Timer,TF_Tekniker,AK$4,TF_Dato,$A127))*2,0)/2)))</f>
        <v/>
      </c>
      <c r="AL127">
        <f>IF(OR(AL$4="",$A127&gt;TODAY()),0,IF(OR(INDEX($B127:$D127,AL$5)="F",AND(AL$6&gt;0,$A127&lt;AL$6),AND(AL$7&gt;0,$A127&gt;AL$7)),0,MAX(0,ROUND((INDEX($E127:$G127,AL$5)-SUMIFS(TF_Timer,TF_Tekniker,AL$4,TF_Dato,$A127))*2,0)/2)))</f>
        <v/>
      </c>
      <c r="AM127">
        <f>IF(OR(AM$4="",$A127&gt;TODAY()),0,IF(OR(INDEX($B127:$D127,AM$5)="F",AND(AM$6&gt;0,$A127&lt;AM$6),AND(AM$7&gt;0,$A127&gt;AM$7)),0,MAX(0,ROUND((INDEX($E127:$G127,AM$5)-SUMIFS(TF_Timer,TF_Tekniker,AM$4,TF_Dato,$A127))*2,0)/2)))</f>
        <v/>
      </c>
      <c r="AN127">
        <f>IF(OR(AN$4="",$A127&gt;TODAY()),0,IF(OR(INDEX($B127:$D127,AN$5)="F",AND(AN$6&gt;0,$A127&lt;AN$6),AND(AN$7&gt;0,$A127&gt;AN$7)),0,MAX(0,ROUND((INDEX($E127:$G127,AN$5)-SUMIFS(TF_Timer,TF_Tekniker,AN$4,TF_Dato,$A127))*2,0)/2)))</f>
        <v/>
      </c>
      <c r="AO127">
        <f>IF(OR(AO$4="",$A127&gt;TODAY()),0,IF(OR(INDEX($B127:$D127,AO$5)="F",AND(AO$6&gt;0,$A127&lt;AO$6),AND(AO$7&gt;0,$A127&gt;AO$7)),0,MAX(0,ROUND((INDEX($E127:$G127,AO$5)-SUMIFS(TF_Timer,TF_Tekniker,AO$4,TF_Dato,$A127))*2,0)/2)))</f>
        <v/>
      </c>
      <c r="AP127">
        <f>IF(OR(AP$4="",$A127&gt;TODAY()),0,IF(OR(INDEX($B127:$D127,AP$5)="F",AND(AP$6&gt;0,$A127&lt;AP$6),AND(AP$7&gt;0,$A127&gt;AP$7)),0,MAX(0,ROUND((INDEX($E127:$G127,AP$5)-SUMIFS(TF_Timer,TF_Tekniker,AP$4,TF_Dato,$A127))*2,0)/2)))</f>
        <v/>
      </c>
      <c r="AQ127">
        <f>IF(OR(AQ$4="",$A127&gt;TODAY()),0,IF(OR(INDEX($B127:$D127,AQ$5)="F",AND(AQ$6&gt;0,$A127&lt;AQ$6),AND(AQ$7&gt;0,$A127&gt;AQ$7)),0,MAX(0,ROUND((INDEX($E127:$G127,AQ$5)-SUMIFS(TF_Timer,TF_Tekniker,AQ$4,TF_Dato,$A127))*2,0)/2)))</f>
        <v/>
      </c>
      <c r="AR127">
        <f>IF(OR(AR$4="",$A127&gt;TODAY()),0,IF(OR(INDEX($B127:$D127,AR$5)="F",AND(AR$6&gt;0,$A127&lt;AR$6),AND(AR$7&gt;0,$A127&gt;AR$7)),0,MAX(0,ROUND((INDEX($E127:$G127,AR$5)-SUMIFS(TF_Timer,TF_Tekniker,AR$4,TF_Dato,$A127))*2,0)/2)))</f>
        <v/>
      </c>
      <c r="AS127">
        <f>IF(OR(AS$4="",$A127&gt;TODAY()),0,IF(OR(INDEX($B127:$D127,AS$5)="F",AND(AS$6&gt;0,$A127&lt;AS$6),AND(AS$7&gt;0,$A127&gt;AS$7)),0,MAX(0,ROUND((INDEX($E127:$G127,AS$5)-SUMIFS(TF_Timer,TF_Tekniker,AS$4,TF_Dato,$A127))*2,0)/2)))</f>
        <v/>
      </c>
      <c r="AT127">
        <f>IF(OR(AT$4="",$A127&gt;TODAY()),0,IF(OR(INDEX($B127:$D127,AT$5)="F",AND(AT$6&gt;0,$A127&lt;AT$6),AND(AT$7&gt;0,$A127&gt;AT$7)),0,MAX(0,ROUND((INDEX($E127:$G127,AT$5)-SUMIFS(TF_Timer,TF_Tekniker,AT$4,TF_Dato,$A127))*2,0)/2)))</f>
        <v/>
      </c>
      <c r="AU127">
        <f>IF(OR(AU$4="",$A127&gt;TODAY()),0,IF(OR(INDEX($B127:$D127,AU$5)="F",AND(AU$6&gt;0,$A127&lt;AU$6),AND(AU$7&gt;0,$A127&gt;AU$7)),0,MAX(0,ROUND((INDEX($E127:$G127,AU$5)-SUMIFS(TF_Timer,TF_Tekniker,AU$4,TF_Dato,$A127))*2,0)/2)))</f>
        <v/>
      </c>
      <c r="AV127">
        <f>IF(OR(AV$4="",$A127&gt;TODAY()),0,IF(OR(INDEX($B127:$D127,AV$5)="F",AND(AV$6&gt;0,$A127&lt;AV$6),AND(AV$7&gt;0,$A127&gt;AV$7)),0,MAX(0,ROUND((INDEX($E127:$G127,AV$5)-SUMIFS(TF_Timer,TF_Tekniker,AV$4,TF_Dato,$A127))*2,0)/2)))</f>
        <v/>
      </c>
      <c r="AW127">
        <f>IF(OR(AW$4="",$A127&gt;TODAY()),0,IF(OR(INDEX($B127:$D127,AW$5)="F",AND(AW$6&gt;0,$A127&lt;AW$6),AND(AW$7&gt;0,$A127&gt;AW$7)),0,MAX(0,ROUND((INDEX($E127:$G127,AW$5)-SUMIFS(TF_Timer,TF_Tekniker,AW$4,TF_Dato,$A127))*2,0)/2)))</f>
        <v/>
      </c>
      <c r="AX127">
        <f>IF(OR(AX$4="",$A127&gt;TODAY()),0,IF(OR(INDEX($B127:$D127,AX$5)="F",AND(AX$6&gt;0,$A127&lt;AX$6),AND(AX$7&gt;0,$A127&gt;AX$7)),0,MAX(0,ROUND((INDEX($E127:$G127,AX$5)-SUMIFS(TF_Timer,TF_Tekniker,AX$4,TF_Dato,$A127))*2,0)/2)))</f>
        <v/>
      </c>
      <c r="AY127">
        <f>IF(OR(AY$4="",$A127&gt;TODAY()),0,IF(OR(INDEX($B127:$D127,AY$5)="F",AND(AY$6&gt;0,$A127&lt;AY$6),AND(AY$7&gt;0,$A127&gt;AY$7)),0,MAX(0,ROUND((INDEX($E127:$G127,AY$5)-SUMIFS(TF_Timer,TF_Tekniker,AY$4,TF_Dato,$A127))*2,0)/2)))</f>
        <v/>
      </c>
      <c r="AZ127">
        <f>IF(OR(AZ$4="",$A127&gt;TODAY()),0,IF(OR(INDEX($B127:$D127,AZ$5)="F",AND(AZ$6&gt;0,$A127&lt;AZ$6),AND(AZ$7&gt;0,$A127&gt;AZ$7)),0,MAX(0,ROUND((INDEX($E127:$G127,AZ$5)-SUMIFS(TF_Timer,TF_Tekniker,AZ$4,TF_Dato,$A127))*2,0)/2)))</f>
        <v/>
      </c>
      <c r="BA127">
        <f>IF(OR(BA$4="",$A127&gt;TODAY()),0,IF(OR(INDEX($B127:$D127,BA$5)="F",AND(BA$6&gt;0,$A127&lt;BA$6),AND(BA$7&gt;0,$A127&gt;BA$7)),0,MAX(0,ROUND((INDEX($E127:$G127,BA$5)-SUMIFS(TF_Timer,TF_Tekniker,BA$4,TF_Dato,$A127))*2,0)/2)))</f>
        <v/>
      </c>
      <c r="BB127">
        <f>IF(OR(BB$4="",$A127&gt;TODAY()),0,IF(OR(INDEX($B127:$D127,BB$5)="F",AND(BB$6&gt;0,$A127&lt;BB$6),AND(BB$7&gt;0,$A127&gt;BB$7)),0,MAX(0,ROUND((INDEX($E127:$G127,BB$5)-SUMIFS(TF_Timer,TF_Tekniker,BB$4,TF_Dato,$A127))*2,0)/2)))</f>
        <v/>
      </c>
      <c r="BC127">
        <f>IF(OR(BC$4="",$A127&gt;TODAY()),0,IF(OR(INDEX($B127:$D127,BC$5)="F",AND(BC$6&gt;0,$A127&lt;BC$6),AND(BC$7&gt;0,$A127&gt;BC$7)),0,MAX(0,ROUND((INDEX($E127:$G127,BC$5)-SUMIFS(TF_Timer,TF_Tekniker,BC$4,TF_Dato,$A127))*2,0)/2)))</f>
        <v/>
      </c>
      <c r="BD127">
        <f>IF(OR(BD$4="",$A127&gt;TODAY()),0,IF(OR(INDEX($B127:$D127,BD$5)="F",AND(BD$6&gt;0,$A127&lt;BD$6),AND(BD$7&gt;0,$A127&gt;BD$7)),0,MAX(0,ROUND((INDEX($E127:$G127,BD$5)-SUMIFS(TF_Timer,TF_Tekniker,BD$4,TF_Dato,$A127))*2,0)/2)))</f>
        <v/>
      </c>
      <c r="BE127">
        <f>IF(OR(BE$4="",$A127&gt;TODAY()),0,IF(OR(INDEX($B127:$D127,BE$5)="F",AND(BE$6&gt;0,$A127&lt;BE$6),AND(BE$7&gt;0,$A127&gt;BE$7)),0,MAX(0,ROUND((INDEX($E127:$G127,BE$5)-SUMIFS(TF_Timer,TF_Tekniker,BE$4,TF_Dato,$A127))*2,0)/2)))</f>
        <v/>
      </c>
      <c r="BF127">
        <f>IF(OR(BF$4="",$A127&gt;TODAY()),0,IF(OR(INDEX($B127:$D127,BF$5)="F",AND(BF$6&gt;0,$A127&lt;BF$6),AND(BF$7&gt;0,$A127&gt;BF$7)),0,MAX(0,ROUND((INDEX($E127:$G127,BF$5)-SUMIFS(TF_Timer,TF_Tekniker,BF$4,TF_Dato,$A127))*2,0)/2)))</f>
        <v/>
      </c>
      <c r="BG127">
        <f>IF(OR(BG$4="",$A127&gt;TODAY()),0,IF(OR(INDEX($B127:$D127,BG$5)="F",AND(BG$6&gt;0,$A127&lt;BG$6),AND(BG$7&gt;0,$A127&gt;BG$7)),0,MAX(0,ROUND((INDEX($E127:$G127,BG$5)-SUMIFS(TF_Timer,TF_Tekniker,BG$4,TF_Dato,$A127))*2,0)/2)))</f>
        <v/>
      </c>
      <c r="BH127">
        <f>IF(OR(BH$4="",$A127&gt;TODAY()),0,IF(OR(INDEX($B127:$D127,BH$5)="F",AND(BH$6&gt;0,$A127&lt;BH$6),AND(BH$7&gt;0,$A127&gt;BH$7)),0,MAX(0,ROUND((INDEX($E127:$G127,BH$5)-SUMIFS(TF_Timer,TF_Tekniker,BH$4,TF_Dato,$A127))*2,0)/2)))</f>
        <v/>
      </c>
      <c r="BI127">
        <f>IF(OR(BI$4="",$A127&gt;TODAY()),0,IF(OR(INDEX($B127:$D127,BI$5)="F",AND(BI$6&gt;0,$A127&lt;BI$6),AND(BI$7&gt;0,$A127&gt;BI$7)),0,MAX(0,ROUND((INDEX($E127:$G127,BI$5)-SUMIFS(TF_Timer,TF_Tekniker,BI$4,TF_Dato,$A127))*2,0)/2)))</f>
        <v/>
      </c>
    </row>
    <row r="128">
      <c r="A128" s="64">
        <f>A127+1</f>
        <v/>
      </c>
      <c r="B128">
        <f>IF(MOD($A128-INDEX(SkiftStart,1),Syklus)&lt;DagK,"K",IF(MOD($A128-INDEX(SkiftStart,1),Syklus)&lt;DagK+DagH,"H",IF(MOD($A128-INDEX(SkiftStart,1),Syklus)&lt;DagK+DagH+DagD,"D","F")))</f>
        <v/>
      </c>
      <c r="C128">
        <f>IF(MOD($A128-INDEX(SkiftStart,2),Syklus)&lt;DagK,"K",IF(MOD($A128-INDEX(SkiftStart,2),Syklus)&lt;DagK+DagH,"H",IF(MOD($A128-INDEX(SkiftStart,2),Syklus)&lt;DagK+DagH+DagD,"D","F")))</f>
        <v/>
      </c>
      <c r="D128">
        <f>IF(MOD($A128-INDEX(SkiftStart,3),Syklus)&lt;DagK,"K",IF(MOD($A128-INDEX(SkiftStart,3),Syklus)&lt;DagK+DagH,"H",IF(MOD($A128-INDEX(SkiftStart,3),Syklus)&lt;DagK+DagH+DagD,"D","F")))</f>
        <v/>
      </c>
      <c r="E128">
        <f>IF(B128="F",0,IF(WEEKDAY($A128,2)=5,INDEX(TimerFr,MATCH(B128,FaseKode,0)),INDEX(TimerMT,MATCH(B128,FaseKode,0))))</f>
        <v/>
      </c>
      <c r="F128">
        <f>IF(C128="F",0,IF(WEEKDAY($A128,2)=5,INDEX(TimerFr,MATCH(C128,FaseKode,0)),INDEX(TimerMT,MATCH(C128,FaseKode,0))))</f>
        <v/>
      </c>
      <c r="G128">
        <f>IF(D128="F",0,IF(WEEKDAY($A128,2)=5,INDEX(TimerFr,MATCH(D128,FaseKode,0)),INDEX(TimerMT,MATCH(D128,FaseKode,0))))</f>
        <v/>
      </c>
      <c r="H128">
        <f>IF(OR(H$4="",$A128&gt;TODAY()),0,IF(OR(INDEX($B128:$D128,H$5)="F",AND(H$6&gt;0,$A128&lt;H$6),AND(H$7&gt;0,$A128&gt;H$7)),0,MAX(0,ROUND((INDEX($E128:$G128,H$5)-SUMIFS(TF_Timer,TF_Tekniker,H$4,TF_Dato,$A128))*2,0)/2)))</f>
        <v/>
      </c>
      <c r="I128">
        <f>IF(OR(I$4="",$A128&gt;TODAY()),0,IF(OR(INDEX($B128:$D128,I$5)="F",AND(I$6&gt;0,$A128&lt;I$6),AND(I$7&gt;0,$A128&gt;I$7)),0,MAX(0,ROUND((INDEX($E128:$G128,I$5)-SUMIFS(TF_Timer,TF_Tekniker,I$4,TF_Dato,$A128))*2,0)/2)))</f>
        <v/>
      </c>
      <c r="J128">
        <f>IF(OR(J$4="",$A128&gt;TODAY()),0,IF(OR(INDEX($B128:$D128,J$5)="F",AND(J$6&gt;0,$A128&lt;J$6),AND(J$7&gt;0,$A128&gt;J$7)),0,MAX(0,ROUND((INDEX($E128:$G128,J$5)-SUMIFS(TF_Timer,TF_Tekniker,J$4,TF_Dato,$A128))*2,0)/2)))</f>
        <v/>
      </c>
      <c r="K128">
        <f>IF(OR(K$4="",$A128&gt;TODAY()),0,IF(OR(INDEX($B128:$D128,K$5)="F",AND(K$6&gt;0,$A128&lt;K$6),AND(K$7&gt;0,$A128&gt;K$7)),0,MAX(0,ROUND((INDEX($E128:$G128,K$5)-SUMIFS(TF_Timer,TF_Tekniker,K$4,TF_Dato,$A128))*2,0)/2)))</f>
        <v/>
      </c>
      <c r="L128">
        <f>IF(OR(L$4="",$A128&gt;TODAY()),0,IF(OR(INDEX($B128:$D128,L$5)="F",AND(L$6&gt;0,$A128&lt;L$6),AND(L$7&gt;0,$A128&gt;L$7)),0,MAX(0,ROUND((INDEX($E128:$G128,L$5)-SUMIFS(TF_Timer,TF_Tekniker,L$4,TF_Dato,$A128))*2,0)/2)))</f>
        <v/>
      </c>
      <c r="M128">
        <f>IF(OR(M$4="",$A128&gt;TODAY()),0,IF(OR(INDEX($B128:$D128,M$5)="F",AND(M$6&gt;0,$A128&lt;M$6),AND(M$7&gt;0,$A128&gt;M$7)),0,MAX(0,ROUND((INDEX($E128:$G128,M$5)-SUMIFS(TF_Timer,TF_Tekniker,M$4,TF_Dato,$A128))*2,0)/2)))</f>
        <v/>
      </c>
      <c r="N128">
        <f>IF(OR(N$4="",$A128&gt;TODAY()),0,IF(OR(INDEX($B128:$D128,N$5)="F",AND(N$6&gt;0,$A128&lt;N$6),AND(N$7&gt;0,$A128&gt;N$7)),0,MAX(0,ROUND((INDEX($E128:$G128,N$5)-SUMIFS(TF_Timer,TF_Tekniker,N$4,TF_Dato,$A128))*2,0)/2)))</f>
        <v/>
      </c>
      <c r="O128">
        <f>IF(OR(O$4="",$A128&gt;TODAY()),0,IF(OR(INDEX($B128:$D128,O$5)="F",AND(O$6&gt;0,$A128&lt;O$6),AND(O$7&gt;0,$A128&gt;O$7)),0,MAX(0,ROUND((INDEX($E128:$G128,O$5)-SUMIFS(TF_Timer,TF_Tekniker,O$4,TF_Dato,$A128))*2,0)/2)))</f>
        <v/>
      </c>
      <c r="P128">
        <f>IF(OR(P$4="",$A128&gt;TODAY()),0,IF(OR(INDEX($B128:$D128,P$5)="F",AND(P$6&gt;0,$A128&lt;P$6),AND(P$7&gt;0,$A128&gt;P$7)),0,MAX(0,ROUND((INDEX($E128:$G128,P$5)-SUMIFS(TF_Timer,TF_Tekniker,P$4,TF_Dato,$A128))*2,0)/2)))</f>
        <v/>
      </c>
      <c r="Q128">
        <f>IF(OR(Q$4="",$A128&gt;TODAY()),0,IF(OR(INDEX($B128:$D128,Q$5)="F",AND(Q$6&gt;0,$A128&lt;Q$6),AND(Q$7&gt;0,$A128&gt;Q$7)),0,MAX(0,ROUND((INDEX($E128:$G128,Q$5)-SUMIFS(TF_Timer,TF_Tekniker,Q$4,TF_Dato,$A128))*2,0)/2)))</f>
        <v/>
      </c>
      <c r="R128">
        <f>IF(OR(R$4="",$A128&gt;TODAY()),0,IF(OR(INDEX($B128:$D128,R$5)="F",AND(R$6&gt;0,$A128&lt;R$6),AND(R$7&gt;0,$A128&gt;R$7)),0,MAX(0,ROUND((INDEX($E128:$G128,R$5)-SUMIFS(TF_Timer,TF_Tekniker,R$4,TF_Dato,$A128))*2,0)/2)))</f>
        <v/>
      </c>
      <c r="S128">
        <f>IF(OR(S$4="",$A128&gt;TODAY()),0,IF(OR(INDEX($B128:$D128,S$5)="F",AND(S$6&gt;0,$A128&lt;S$6),AND(S$7&gt;0,$A128&gt;S$7)),0,MAX(0,ROUND((INDEX($E128:$G128,S$5)-SUMIFS(TF_Timer,TF_Tekniker,S$4,TF_Dato,$A128))*2,0)/2)))</f>
        <v/>
      </c>
      <c r="T128">
        <f>IF(OR(T$4="",$A128&gt;TODAY()),0,IF(OR(INDEX($B128:$D128,T$5)="F",AND(T$6&gt;0,$A128&lt;T$6),AND(T$7&gt;0,$A128&gt;T$7)),0,MAX(0,ROUND((INDEX($E128:$G128,T$5)-SUMIFS(TF_Timer,TF_Tekniker,T$4,TF_Dato,$A128))*2,0)/2)))</f>
        <v/>
      </c>
      <c r="U128">
        <f>IF(OR(U$4="",$A128&gt;TODAY()),0,IF(OR(INDEX($B128:$D128,U$5)="F",AND(U$6&gt;0,$A128&lt;U$6),AND(U$7&gt;0,$A128&gt;U$7)),0,MAX(0,ROUND((INDEX($E128:$G128,U$5)-SUMIFS(TF_Timer,TF_Tekniker,U$4,TF_Dato,$A128))*2,0)/2)))</f>
        <v/>
      </c>
      <c r="V128">
        <f>IF(OR(V$4="",$A128&gt;TODAY()),0,IF(OR(INDEX($B128:$D128,V$5)="F",AND(V$6&gt;0,$A128&lt;V$6),AND(V$7&gt;0,$A128&gt;V$7)),0,MAX(0,ROUND((INDEX($E128:$G128,V$5)-SUMIFS(TF_Timer,TF_Tekniker,V$4,TF_Dato,$A128))*2,0)/2)))</f>
        <v/>
      </c>
      <c r="W128">
        <f>IF(OR(W$4="",$A128&gt;TODAY()),0,IF(OR(INDEX($B128:$D128,W$5)="F",AND(W$6&gt;0,$A128&lt;W$6),AND(W$7&gt;0,$A128&gt;W$7)),0,MAX(0,ROUND((INDEX($E128:$G128,W$5)-SUMIFS(TF_Timer,TF_Tekniker,W$4,TF_Dato,$A128))*2,0)/2)))</f>
        <v/>
      </c>
      <c r="X128">
        <f>IF(OR(X$4="",$A128&gt;TODAY()),0,IF(OR(INDEX($B128:$D128,X$5)="F",AND(X$6&gt;0,$A128&lt;X$6),AND(X$7&gt;0,$A128&gt;X$7)),0,MAX(0,ROUND((INDEX($E128:$G128,X$5)-SUMIFS(TF_Timer,TF_Tekniker,X$4,TF_Dato,$A128))*2,0)/2)))</f>
        <v/>
      </c>
      <c r="Y128">
        <f>IF(OR(Y$4="",$A128&gt;TODAY()),0,IF(OR(INDEX($B128:$D128,Y$5)="F",AND(Y$6&gt;0,$A128&lt;Y$6),AND(Y$7&gt;0,$A128&gt;Y$7)),0,MAX(0,ROUND((INDEX($E128:$G128,Y$5)-SUMIFS(TF_Timer,TF_Tekniker,Y$4,TF_Dato,$A128))*2,0)/2)))</f>
        <v/>
      </c>
      <c r="Z128">
        <f>IF(OR(Z$4="",$A128&gt;TODAY()),0,IF(OR(INDEX($B128:$D128,Z$5)="F",AND(Z$6&gt;0,$A128&lt;Z$6),AND(Z$7&gt;0,$A128&gt;Z$7)),0,MAX(0,ROUND((INDEX($E128:$G128,Z$5)-SUMIFS(TF_Timer,TF_Tekniker,Z$4,TF_Dato,$A128))*2,0)/2)))</f>
        <v/>
      </c>
      <c r="AA128">
        <f>IF(OR(AA$4="",$A128&gt;TODAY()),0,IF(OR(INDEX($B128:$D128,AA$5)="F",AND(AA$6&gt;0,$A128&lt;AA$6),AND(AA$7&gt;0,$A128&gt;AA$7)),0,MAX(0,ROUND((INDEX($E128:$G128,AA$5)-SUMIFS(TF_Timer,TF_Tekniker,AA$4,TF_Dato,$A128))*2,0)/2)))</f>
        <v/>
      </c>
      <c r="AB128">
        <f>IF(OR(AB$4="",$A128&gt;TODAY()),0,IF(OR(INDEX($B128:$D128,AB$5)="F",AND(AB$6&gt;0,$A128&lt;AB$6),AND(AB$7&gt;0,$A128&gt;AB$7)),0,MAX(0,ROUND((INDEX($E128:$G128,AB$5)-SUMIFS(TF_Timer,TF_Tekniker,AB$4,TF_Dato,$A128))*2,0)/2)))</f>
        <v/>
      </c>
      <c r="AC128">
        <f>IF(OR(AC$4="",$A128&gt;TODAY()),0,IF(OR(INDEX($B128:$D128,AC$5)="F",AND(AC$6&gt;0,$A128&lt;AC$6),AND(AC$7&gt;0,$A128&gt;AC$7)),0,MAX(0,ROUND((INDEX($E128:$G128,AC$5)-SUMIFS(TF_Timer,TF_Tekniker,AC$4,TF_Dato,$A128))*2,0)/2)))</f>
        <v/>
      </c>
      <c r="AD128">
        <f>IF(OR(AD$4="",$A128&gt;TODAY()),0,IF(OR(INDEX($B128:$D128,AD$5)="F",AND(AD$6&gt;0,$A128&lt;AD$6),AND(AD$7&gt;0,$A128&gt;AD$7)),0,MAX(0,ROUND((INDEX($E128:$G128,AD$5)-SUMIFS(TF_Timer,TF_Tekniker,AD$4,TF_Dato,$A128))*2,0)/2)))</f>
        <v/>
      </c>
      <c r="AE128">
        <f>IF(OR(AE$4="",$A128&gt;TODAY()),0,IF(OR(INDEX($B128:$D128,AE$5)="F",AND(AE$6&gt;0,$A128&lt;AE$6),AND(AE$7&gt;0,$A128&gt;AE$7)),0,MAX(0,ROUND((INDEX($E128:$G128,AE$5)-SUMIFS(TF_Timer,TF_Tekniker,AE$4,TF_Dato,$A128))*2,0)/2)))</f>
        <v/>
      </c>
      <c r="AF128">
        <f>IF(OR(AF$4="",$A128&gt;TODAY()),0,IF(OR(INDEX($B128:$D128,AF$5)="F",AND(AF$6&gt;0,$A128&lt;AF$6),AND(AF$7&gt;0,$A128&gt;AF$7)),0,MAX(0,ROUND((INDEX($E128:$G128,AF$5)-SUMIFS(TF_Timer,TF_Tekniker,AF$4,TF_Dato,$A128))*2,0)/2)))</f>
        <v/>
      </c>
      <c r="AG128">
        <f>IF(OR(AG$4="",$A128&gt;TODAY()),0,IF(OR(INDEX($B128:$D128,AG$5)="F",AND(AG$6&gt;0,$A128&lt;AG$6),AND(AG$7&gt;0,$A128&gt;AG$7)),0,MAX(0,ROUND((INDEX($E128:$G128,AG$5)-SUMIFS(TF_Timer,TF_Tekniker,AG$4,TF_Dato,$A128))*2,0)/2)))</f>
        <v/>
      </c>
      <c r="AH128">
        <f>IF(OR(AH$4="",$A128&gt;TODAY()),0,IF(OR(INDEX($B128:$D128,AH$5)="F",AND(AH$6&gt;0,$A128&lt;AH$6),AND(AH$7&gt;0,$A128&gt;AH$7)),0,MAX(0,ROUND((INDEX($E128:$G128,AH$5)-SUMIFS(TF_Timer,TF_Tekniker,AH$4,TF_Dato,$A128))*2,0)/2)))</f>
        <v/>
      </c>
      <c r="AI128">
        <f>IF(OR(AI$4="",$A128&gt;TODAY()),0,IF(OR(INDEX($B128:$D128,AI$5)="F",AND(AI$6&gt;0,$A128&lt;AI$6),AND(AI$7&gt;0,$A128&gt;AI$7)),0,MAX(0,ROUND((INDEX($E128:$G128,AI$5)-SUMIFS(TF_Timer,TF_Tekniker,AI$4,TF_Dato,$A128))*2,0)/2)))</f>
        <v/>
      </c>
      <c r="AJ128">
        <f>IF(OR(AJ$4="",$A128&gt;TODAY()),0,IF(OR(INDEX($B128:$D128,AJ$5)="F",AND(AJ$6&gt;0,$A128&lt;AJ$6),AND(AJ$7&gt;0,$A128&gt;AJ$7)),0,MAX(0,ROUND((INDEX($E128:$G128,AJ$5)-SUMIFS(TF_Timer,TF_Tekniker,AJ$4,TF_Dato,$A128))*2,0)/2)))</f>
        <v/>
      </c>
      <c r="AK128">
        <f>IF(OR(AK$4="",$A128&gt;TODAY()),0,IF(OR(INDEX($B128:$D128,AK$5)="F",AND(AK$6&gt;0,$A128&lt;AK$6),AND(AK$7&gt;0,$A128&gt;AK$7)),0,MAX(0,ROUND((INDEX($E128:$G128,AK$5)-SUMIFS(TF_Timer,TF_Tekniker,AK$4,TF_Dato,$A128))*2,0)/2)))</f>
        <v/>
      </c>
      <c r="AL128">
        <f>IF(OR(AL$4="",$A128&gt;TODAY()),0,IF(OR(INDEX($B128:$D128,AL$5)="F",AND(AL$6&gt;0,$A128&lt;AL$6),AND(AL$7&gt;0,$A128&gt;AL$7)),0,MAX(0,ROUND((INDEX($E128:$G128,AL$5)-SUMIFS(TF_Timer,TF_Tekniker,AL$4,TF_Dato,$A128))*2,0)/2)))</f>
        <v/>
      </c>
      <c r="AM128">
        <f>IF(OR(AM$4="",$A128&gt;TODAY()),0,IF(OR(INDEX($B128:$D128,AM$5)="F",AND(AM$6&gt;0,$A128&lt;AM$6),AND(AM$7&gt;0,$A128&gt;AM$7)),0,MAX(0,ROUND((INDEX($E128:$G128,AM$5)-SUMIFS(TF_Timer,TF_Tekniker,AM$4,TF_Dato,$A128))*2,0)/2)))</f>
        <v/>
      </c>
      <c r="AN128">
        <f>IF(OR(AN$4="",$A128&gt;TODAY()),0,IF(OR(INDEX($B128:$D128,AN$5)="F",AND(AN$6&gt;0,$A128&lt;AN$6),AND(AN$7&gt;0,$A128&gt;AN$7)),0,MAX(0,ROUND((INDEX($E128:$G128,AN$5)-SUMIFS(TF_Timer,TF_Tekniker,AN$4,TF_Dato,$A128))*2,0)/2)))</f>
        <v/>
      </c>
      <c r="AO128">
        <f>IF(OR(AO$4="",$A128&gt;TODAY()),0,IF(OR(INDEX($B128:$D128,AO$5)="F",AND(AO$6&gt;0,$A128&lt;AO$6),AND(AO$7&gt;0,$A128&gt;AO$7)),0,MAX(0,ROUND((INDEX($E128:$G128,AO$5)-SUMIFS(TF_Timer,TF_Tekniker,AO$4,TF_Dato,$A128))*2,0)/2)))</f>
        <v/>
      </c>
      <c r="AP128">
        <f>IF(OR(AP$4="",$A128&gt;TODAY()),0,IF(OR(INDEX($B128:$D128,AP$5)="F",AND(AP$6&gt;0,$A128&lt;AP$6),AND(AP$7&gt;0,$A128&gt;AP$7)),0,MAX(0,ROUND((INDEX($E128:$G128,AP$5)-SUMIFS(TF_Timer,TF_Tekniker,AP$4,TF_Dato,$A128))*2,0)/2)))</f>
        <v/>
      </c>
      <c r="AQ128">
        <f>IF(OR(AQ$4="",$A128&gt;TODAY()),0,IF(OR(INDEX($B128:$D128,AQ$5)="F",AND(AQ$6&gt;0,$A128&lt;AQ$6),AND(AQ$7&gt;0,$A128&gt;AQ$7)),0,MAX(0,ROUND((INDEX($E128:$G128,AQ$5)-SUMIFS(TF_Timer,TF_Tekniker,AQ$4,TF_Dato,$A128))*2,0)/2)))</f>
        <v/>
      </c>
      <c r="AR128">
        <f>IF(OR(AR$4="",$A128&gt;TODAY()),0,IF(OR(INDEX($B128:$D128,AR$5)="F",AND(AR$6&gt;0,$A128&lt;AR$6),AND(AR$7&gt;0,$A128&gt;AR$7)),0,MAX(0,ROUND((INDEX($E128:$G128,AR$5)-SUMIFS(TF_Timer,TF_Tekniker,AR$4,TF_Dato,$A128))*2,0)/2)))</f>
        <v/>
      </c>
      <c r="AS128">
        <f>IF(OR(AS$4="",$A128&gt;TODAY()),0,IF(OR(INDEX($B128:$D128,AS$5)="F",AND(AS$6&gt;0,$A128&lt;AS$6),AND(AS$7&gt;0,$A128&gt;AS$7)),0,MAX(0,ROUND((INDEX($E128:$G128,AS$5)-SUMIFS(TF_Timer,TF_Tekniker,AS$4,TF_Dato,$A128))*2,0)/2)))</f>
        <v/>
      </c>
      <c r="AT128">
        <f>IF(OR(AT$4="",$A128&gt;TODAY()),0,IF(OR(INDEX($B128:$D128,AT$5)="F",AND(AT$6&gt;0,$A128&lt;AT$6),AND(AT$7&gt;0,$A128&gt;AT$7)),0,MAX(0,ROUND((INDEX($E128:$G128,AT$5)-SUMIFS(TF_Timer,TF_Tekniker,AT$4,TF_Dato,$A128))*2,0)/2)))</f>
        <v/>
      </c>
      <c r="AU128">
        <f>IF(OR(AU$4="",$A128&gt;TODAY()),0,IF(OR(INDEX($B128:$D128,AU$5)="F",AND(AU$6&gt;0,$A128&lt;AU$6),AND(AU$7&gt;0,$A128&gt;AU$7)),0,MAX(0,ROUND((INDEX($E128:$G128,AU$5)-SUMIFS(TF_Timer,TF_Tekniker,AU$4,TF_Dato,$A128))*2,0)/2)))</f>
        <v/>
      </c>
      <c r="AV128">
        <f>IF(OR(AV$4="",$A128&gt;TODAY()),0,IF(OR(INDEX($B128:$D128,AV$5)="F",AND(AV$6&gt;0,$A128&lt;AV$6),AND(AV$7&gt;0,$A128&gt;AV$7)),0,MAX(0,ROUND((INDEX($E128:$G128,AV$5)-SUMIFS(TF_Timer,TF_Tekniker,AV$4,TF_Dato,$A128))*2,0)/2)))</f>
        <v/>
      </c>
      <c r="AW128">
        <f>IF(OR(AW$4="",$A128&gt;TODAY()),0,IF(OR(INDEX($B128:$D128,AW$5)="F",AND(AW$6&gt;0,$A128&lt;AW$6),AND(AW$7&gt;0,$A128&gt;AW$7)),0,MAX(0,ROUND((INDEX($E128:$G128,AW$5)-SUMIFS(TF_Timer,TF_Tekniker,AW$4,TF_Dato,$A128))*2,0)/2)))</f>
        <v/>
      </c>
      <c r="AX128">
        <f>IF(OR(AX$4="",$A128&gt;TODAY()),0,IF(OR(INDEX($B128:$D128,AX$5)="F",AND(AX$6&gt;0,$A128&lt;AX$6),AND(AX$7&gt;0,$A128&gt;AX$7)),0,MAX(0,ROUND((INDEX($E128:$G128,AX$5)-SUMIFS(TF_Timer,TF_Tekniker,AX$4,TF_Dato,$A128))*2,0)/2)))</f>
        <v/>
      </c>
      <c r="AY128">
        <f>IF(OR(AY$4="",$A128&gt;TODAY()),0,IF(OR(INDEX($B128:$D128,AY$5)="F",AND(AY$6&gt;0,$A128&lt;AY$6),AND(AY$7&gt;0,$A128&gt;AY$7)),0,MAX(0,ROUND((INDEX($E128:$G128,AY$5)-SUMIFS(TF_Timer,TF_Tekniker,AY$4,TF_Dato,$A128))*2,0)/2)))</f>
        <v/>
      </c>
      <c r="AZ128">
        <f>IF(OR(AZ$4="",$A128&gt;TODAY()),0,IF(OR(INDEX($B128:$D128,AZ$5)="F",AND(AZ$6&gt;0,$A128&lt;AZ$6),AND(AZ$7&gt;0,$A128&gt;AZ$7)),0,MAX(0,ROUND((INDEX($E128:$G128,AZ$5)-SUMIFS(TF_Timer,TF_Tekniker,AZ$4,TF_Dato,$A128))*2,0)/2)))</f>
        <v/>
      </c>
      <c r="BA128">
        <f>IF(OR(BA$4="",$A128&gt;TODAY()),0,IF(OR(INDEX($B128:$D128,BA$5)="F",AND(BA$6&gt;0,$A128&lt;BA$6),AND(BA$7&gt;0,$A128&gt;BA$7)),0,MAX(0,ROUND((INDEX($E128:$G128,BA$5)-SUMIFS(TF_Timer,TF_Tekniker,BA$4,TF_Dato,$A128))*2,0)/2)))</f>
        <v/>
      </c>
      <c r="BB128">
        <f>IF(OR(BB$4="",$A128&gt;TODAY()),0,IF(OR(INDEX($B128:$D128,BB$5)="F",AND(BB$6&gt;0,$A128&lt;BB$6),AND(BB$7&gt;0,$A128&gt;BB$7)),0,MAX(0,ROUND((INDEX($E128:$G128,BB$5)-SUMIFS(TF_Timer,TF_Tekniker,BB$4,TF_Dato,$A128))*2,0)/2)))</f>
        <v/>
      </c>
      <c r="BC128">
        <f>IF(OR(BC$4="",$A128&gt;TODAY()),0,IF(OR(INDEX($B128:$D128,BC$5)="F",AND(BC$6&gt;0,$A128&lt;BC$6),AND(BC$7&gt;0,$A128&gt;BC$7)),0,MAX(0,ROUND((INDEX($E128:$G128,BC$5)-SUMIFS(TF_Timer,TF_Tekniker,BC$4,TF_Dato,$A128))*2,0)/2)))</f>
        <v/>
      </c>
      <c r="BD128">
        <f>IF(OR(BD$4="",$A128&gt;TODAY()),0,IF(OR(INDEX($B128:$D128,BD$5)="F",AND(BD$6&gt;0,$A128&lt;BD$6),AND(BD$7&gt;0,$A128&gt;BD$7)),0,MAX(0,ROUND((INDEX($E128:$G128,BD$5)-SUMIFS(TF_Timer,TF_Tekniker,BD$4,TF_Dato,$A128))*2,0)/2)))</f>
        <v/>
      </c>
      <c r="BE128">
        <f>IF(OR(BE$4="",$A128&gt;TODAY()),0,IF(OR(INDEX($B128:$D128,BE$5)="F",AND(BE$6&gt;0,$A128&lt;BE$6),AND(BE$7&gt;0,$A128&gt;BE$7)),0,MAX(0,ROUND((INDEX($E128:$G128,BE$5)-SUMIFS(TF_Timer,TF_Tekniker,BE$4,TF_Dato,$A128))*2,0)/2)))</f>
        <v/>
      </c>
      <c r="BF128">
        <f>IF(OR(BF$4="",$A128&gt;TODAY()),0,IF(OR(INDEX($B128:$D128,BF$5)="F",AND(BF$6&gt;0,$A128&lt;BF$6),AND(BF$7&gt;0,$A128&gt;BF$7)),0,MAX(0,ROUND((INDEX($E128:$G128,BF$5)-SUMIFS(TF_Timer,TF_Tekniker,BF$4,TF_Dato,$A128))*2,0)/2)))</f>
        <v/>
      </c>
      <c r="BG128">
        <f>IF(OR(BG$4="",$A128&gt;TODAY()),0,IF(OR(INDEX($B128:$D128,BG$5)="F",AND(BG$6&gt;0,$A128&lt;BG$6),AND(BG$7&gt;0,$A128&gt;BG$7)),0,MAX(0,ROUND((INDEX($E128:$G128,BG$5)-SUMIFS(TF_Timer,TF_Tekniker,BG$4,TF_Dato,$A128))*2,0)/2)))</f>
        <v/>
      </c>
      <c r="BH128">
        <f>IF(OR(BH$4="",$A128&gt;TODAY()),0,IF(OR(INDEX($B128:$D128,BH$5)="F",AND(BH$6&gt;0,$A128&lt;BH$6),AND(BH$7&gt;0,$A128&gt;BH$7)),0,MAX(0,ROUND((INDEX($E128:$G128,BH$5)-SUMIFS(TF_Timer,TF_Tekniker,BH$4,TF_Dato,$A128))*2,0)/2)))</f>
        <v/>
      </c>
      <c r="BI128">
        <f>IF(OR(BI$4="",$A128&gt;TODAY()),0,IF(OR(INDEX($B128:$D128,BI$5)="F",AND(BI$6&gt;0,$A128&lt;BI$6),AND(BI$7&gt;0,$A128&gt;BI$7)),0,MAX(0,ROUND((INDEX($E128:$G128,BI$5)-SUMIFS(TF_Timer,TF_Tekniker,BI$4,TF_Dato,$A128))*2,0)/2)))</f>
        <v/>
      </c>
    </row>
    <row r="129">
      <c r="A129" s="64">
        <f>A128+1</f>
        <v/>
      </c>
      <c r="B129">
        <f>IF(MOD($A129-INDEX(SkiftStart,1),Syklus)&lt;DagK,"K",IF(MOD($A129-INDEX(SkiftStart,1),Syklus)&lt;DagK+DagH,"H",IF(MOD($A129-INDEX(SkiftStart,1),Syklus)&lt;DagK+DagH+DagD,"D","F")))</f>
        <v/>
      </c>
      <c r="C129">
        <f>IF(MOD($A129-INDEX(SkiftStart,2),Syklus)&lt;DagK,"K",IF(MOD($A129-INDEX(SkiftStart,2),Syklus)&lt;DagK+DagH,"H",IF(MOD($A129-INDEX(SkiftStart,2),Syklus)&lt;DagK+DagH+DagD,"D","F")))</f>
        <v/>
      </c>
      <c r="D129">
        <f>IF(MOD($A129-INDEX(SkiftStart,3),Syklus)&lt;DagK,"K",IF(MOD($A129-INDEX(SkiftStart,3),Syklus)&lt;DagK+DagH,"H",IF(MOD($A129-INDEX(SkiftStart,3),Syklus)&lt;DagK+DagH+DagD,"D","F")))</f>
        <v/>
      </c>
      <c r="E129">
        <f>IF(B129="F",0,IF(WEEKDAY($A129,2)=5,INDEX(TimerFr,MATCH(B129,FaseKode,0)),INDEX(TimerMT,MATCH(B129,FaseKode,0))))</f>
        <v/>
      </c>
      <c r="F129">
        <f>IF(C129="F",0,IF(WEEKDAY($A129,2)=5,INDEX(TimerFr,MATCH(C129,FaseKode,0)),INDEX(TimerMT,MATCH(C129,FaseKode,0))))</f>
        <v/>
      </c>
      <c r="G129">
        <f>IF(D129="F",0,IF(WEEKDAY($A129,2)=5,INDEX(TimerFr,MATCH(D129,FaseKode,0)),INDEX(TimerMT,MATCH(D129,FaseKode,0))))</f>
        <v/>
      </c>
      <c r="H129">
        <f>IF(OR(H$4="",$A129&gt;TODAY()),0,IF(OR(INDEX($B129:$D129,H$5)="F",AND(H$6&gt;0,$A129&lt;H$6),AND(H$7&gt;0,$A129&gt;H$7)),0,MAX(0,ROUND((INDEX($E129:$G129,H$5)-SUMIFS(TF_Timer,TF_Tekniker,H$4,TF_Dato,$A129))*2,0)/2)))</f>
        <v/>
      </c>
      <c r="I129">
        <f>IF(OR(I$4="",$A129&gt;TODAY()),0,IF(OR(INDEX($B129:$D129,I$5)="F",AND(I$6&gt;0,$A129&lt;I$6),AND(I$7&gt;0,$A129&gt;I$7)),0,MAX(0,ROUND((INDEX($E129:$G129,I$5)-SUMIFS(TF_Timer,TF_Tekniker,I$4,TF_Dato,$A129))*2,0)/2)))</f>
        <v/>
      </c>
      <c r="J129">
        <f>IF(OR(J$4="",$A129&gt;TODAY()),0,IF(OR(INDEX($B129:$D129,J$5)="F",AND(J$6&gt;0,$A129&lt;J$6),AND(J$7&gt;0,$A129&gt;J$7)),0,MAX(0,ROUND((INDEX($E129:$G129,J$5)-SUMIFS(TF_Timer,TF_Tekniker,J$4,TF_Dato,$A129))*2,0)/2)))</f>
        <v/>
      </c>
      <c r="K129">
        <f>IF(OR(K$4="",$A129&gt;TODAY()),0,IF(OR(INDEX($B129:$D129,K$5)="F",AND(K$6&gt;0,$A129&lt;K$6),AND(K$7&gt;0,$A129&gt;K$7)),0,MAX(0,ROUND((INDEX($E129:$G129,K$5)-SUMIFS(TF_Timer,TF_Tekniker,K$4,TF_Dato,$A129))*2,0)/2)))</f>
        <v/>
      </c>
      <c r="L129">
        <f>IF(OR(L$4="",$A129&gt;TODAY()),0,IF(OR(INDEX($B129:$D129,L$5)="F",AND(L$6&gt;0,$A129&lt;L$6),AND(L$7&gt;0,$A129&gt;L$7)),0,MAX(0,ROUND((INDEX($E129:$G129,L$5)-SUMIFS(TF_Timer,TF_Tekniker,L$4,TF_Dato,$A129))*2,0)/2)))</f>
        <v/>
      </c>
      <c r="M129">
        <f>IF(OR(M$4="",$A129&gt;TODAY()),0,IF(OR(INDEX($B129:$D129,M$5)="F",AND(M$6&gt;0,$A129&lt;M$6),AND(M$7&gt;0,$A129&gt;M$7)),0,MAX(0,ROUND((INDEX($E129:$G129,M$5)-SUMIFS(TF_Timer,TF_Tekniker,M$4,TF_Dato,$A129))*2,0)/2)))</f>
        <v/>
      </c>
      <c r="N129">
        <f>IF(OR(N$4="",$A129&gt;TODAY()),0,IF(OR(INDEX($B129:$D129,N$5)="F",AND(N$6&gt;0,$A129&lt;N$6),AND(N$7&gt;0,$A129&gt;N$7)),0,MAX(0,ROUND((INDEX($E129:$G129,N$5)-SUMIFS(TF_Timer,TF_Tekniker,N$4,TF_Dato,$A129))*2,0)/2)))</f>
        <v/>
      </c>
      <c r="O129">
        <f>IF(OR(O$4="",$A129&gt;TODAY()),0,IF(OR(INDEX($B129:$D129,O$5)="F",AND(O$6&gt;0,$A129&lt;O$6),AND(O$7&gt;0,$A129&gt;O$7)),0,MAX(0,ROUND((INDEX($E129:$G129,O$5)-SUMIFS(TF_Timer,TF_Tekniker,O$4,TF_Dato,$A129))*2,0)/2)))</f>
        <v/>
      </c>
      <c r="P129">
        <f>IF(OR(P$4="",$A129&gt;TODAY()),0,IF(OR(INDEX($B129:$D129,P$5)="F",AND(P$6&gt;0,$A129&lt;P$6),AND(P$7&gt;0,$A129&gt;P$7)),0,MAX(0,ROUND((INDEX($E129:$G129,P$5)-SUMIFS(TF_Timer,TF_Tekniker,P$4,TF_Dato,$A129))*2,0)/2)))</f>
        <v/>
      </c>
      <c r="Q129">
        <f>IF(OR(Q$4="",$A129&gt;TODAY()),0,IF(OR(INDEX($B129:$D129,Q$5)="F",AND(Q$6&gt;0,$A129&lt;Q$6),AND(Q$7&gt;0,$A129&gt;Q$7)),0,MAX(0,ROUND((INDEX($E129:$G129,Q$5)-SUMIFS(TF_Timer,TF_Tekniker,Q$4,TF_Dato,$A129))*2,0)/2)))</f>
        <v/>
      </c>
      <c r="R129">
        <f>IF(OR(R$4="",$A129&gt;TODAY()),0,IF(OR(INDEX($B129:$D129,R$5)="F",AND(R$6&gt;0,$A129&lt;R$6),AND(R$7&gt;0,$A129&gt;R$7)),0,MAX(0,ROUND((INDEX($E129:$G129,R$5)-SUMIFS(TF_Timer,TF_Tekniker,R$4,TF_Dato,$A129))*2,0)/2)))</f>
        <v/>
      </c>
      <c r="S129">
        <f>IF(OR(S$4="",$A129&gt;TODAY()),0,IF(OR(INDEX($B129:$D129,S$5)="F",AND(S$6&gt;0,$A129&lt;S$6),AND(S$7&gt;0,$A129&gt;S$7)),0,MAX(0,ROUND((INDEX($E129:$G129,S$5)-SUMIFS(TF_Timer,TF_Tekniker,S$4,TF_Dato,$A129))*2,0)/2)))</f>
        <v/>
      </c>
      <c r="T129">
        <f>IF(OR(T$4="",$A129&gt;TODAY()),0,IF(OR(INDEX($B129:$D129,T$5)="F",AND(T$6&gt;0,$A129&lt;T$6),AND(T$7&gt;0,$A129&gt;T$7)),0,MAX(0,ROUND((INDEX($E129:$G129,T$5)-SUMIFS(TF_Timer,TF_Tekniker,T$4,TF_Dato,$A129))*2,0)/2)))</f>
        <v/>
      </c>
      <c r="U129">
        <f>IF(OR(U$4="",$A129&gt;TODAY()),0,IF(OR(INDEX($B129:$D129,U$5)="F",AND(U$6&gt;0,$A129&lt;U$6),AND(U$7&gt;0,$A129&gt;U$7)),0,MAX(0,ROUND((INDEX($E129:$G129,U$5)-SUMIFS(TF_Timer,TF_Tekniker,U$4,TF_Dato,$A129))*2,0)/2)))</f>
        <v/>
      </c>
      <c r="V129">
        <f>IF(OR(V$4="",$A129&gt;TODAY()),0,IF(OR(INDEX($B129:$D129,V$5)="F",AND(V$6&gt;0,$A129&lt;V$6),AND(V$7&gt;0,$A129&gt;V$7)),0,MAX(0,ROUND((INDEX($E129:$G129,V$5)-SUMIFS(TF_Timer,TF_Tekniker,V$4,TF_Dato,$A129))*2,0)/2)))</f>
        <v/>
      </c>
      <c r="W129">
        <f>IF(OR(W$4="",$A129&gt;TODAY()),0,IF(OR(INDEX($B129:$D129,W$5)="F",AND(W$6&gt;0,$A129&lt;W$6),AND(W$7&gt;0,$A129&gt;W$7)),0,MAX(0,ROUND((INDEX($E129:$G129,W$5)-SUMIFS(TF_Timer,TF_Tekniker,W$4,TF_Dato,$A129))*2,0)/2)))</f>
        <v/>
      </c>
      <c r="X129">
        <f>IF(OR(X$4="",$A129&gt;TODAY()),0,IF(OR(INDEX($B129:$D129,X$5)="F",AND(X$6&gt;0,$A129&lt;X$6),AND(X$7&gt;0,$A129&gt;X$7)),0,MAX(0,ROUND((INDEX($E129:$G129,X$5)-SUMIFS(TF_Timer,TF_Tekniker,X$4,TF_Dato,$A129))*2,0)/2)))</f>
        <v/>
      </c>
      <c r="Y129">
        <f>IF(OR(Y$4="",$A129&gt;TODAY()),0,IF(OR(INDEX($B129:$D129,Y$5)="F",AND(Y$6&gt;0,$A129&lt;Y$6),AND(Y$7&gt;0,$A129&gt;Y$7)),0,MAX(0,ROUND((INDEX($E129:$G129,Y$5)-SUMIFS(TF_Timer,TF_Tekniker,Y$4,TF_Dato,$A129))*2,0)/2)))</f>
        <v/>
      </c>
      <c r="Z129">
        <f>IF(OR(Z$4="",$A129&gt;TODAY()),0,IF(OR(INDEX($B129:$D129,Z$5)="F",AND(Z$6&gt;0,$A129&lt;Z$6),AND(Z$7&gt;0,$A129&gt;Z$7)),0,MAX(0,ROUND((INDEX($E129:$G129,Z$5)-SUMIFS(TF_Timer,TF_Tekniker,Z$4,TF_Dato,$A129))*2,0)/2)))</f>
        <v/>
      </c>
      <c r="AA129">
        <f>IF(OR(AA$4="",$A129&gt;TODAY()),0,IF(OR(INDEX($B129:$D129,AA$5)="F",AND(AA$6&gt;0,$A129&lt;AA$6),AND(AA$7&gt;0,$A129&gt;AA$7)),0,MAX(0,ROUND((INDEX($E129:$G129,AA$5)-SUMIFS(TF_Timer,TF_Tekniker,AA$4,TF_Dato,$A129))*2,0)/2)))</f>
        <v/>
      </c>
      <c r="AB129">
        <f>IF(OR(AB$4="",$A129&gt;TODAY()),0,IF(OR(INDEX($B129:$D129,AB$5)="F",AND(AB$6&gt;0,$A129&lt;AB$6),AND(AB$7&gt;0,$A129&gt;AB$7)),0,MAX(0,ROUND((INDEX($E129:$G129,AB$5)-SUMIFS(TF_Timer,TF_Tekniker,AB$4,TF_Dato,$A129))*2,0)/2)))</f>
        <v/>
      </c>
      <c r="AC129">
        <f>IF(OR(AC$4="",$A129&gt;TODAY()),0,IF(OR(INDEX($B129:$D129,AC$5)="F",AND(AC$6&gt;0,$A129&lt;AC$6),AND(AC$7&gt;0,$A129&gt;AC$7)),0,MAX(0,ROUND((INDEX($E129:$G129,AC$5)-SUMIFS(TF_Timer,TF_Tekniker,AC$4,TF_Dato,$A129))*2,0)/2)))</f>
        <v/>
      </c>
      <c r="AD129">
        <f>IF(OR(AD$4="",$A129&gt;TODAY()),0,IF(OR(INDEX($B129:$D129,AD$5)="F",AND(AD$6&gt;0,$A129&lt;AD$6),AND(AD$7&gt;0,$A129&gt;AD$7)),0,MAX(0,ROUND((INDEX($E129:$G129,AD$5)-SUMIFS(TF_Timer,TF_Tekniker,AD$4,TF_Dato,$A129))*2,0)/2)))</f>
        <v/>
      </c>
      <c r="AE129">
        <f>IF(OR(AE$4="",$A129&gt;TODAY()),0,IF(OR(INDEX($B129:$D129,AE$5)="F",AND(AE$6&gt;0,$A129&lt;AE$6),AND(AE$7&gt;0,$A129&gt;AE$7)),0,MAX(0,ROUND((INDEX($E129:$G129,AE$5)-SUMIFS(TF_Timer,TF_Tekniker,AE$4,TF_Dato,$A129))*2,0)/2)))</f>
        <v/>
      </c>
      <c r="AF129">
        <f>IF(OR(AF$4="",$A129&gt;TODAY()),0,IF(OR(INDEX($B129:$D129,AF$5)="F",AND(AF$6&gt;0,$A129&lt;AF$6),AND(AF$7&gt;0,$A129&gt;AF$7)),0,MAX(0,ROUND((INDEX($E129:$G129,AF$5)-SUMIFS(TF_Timer,TF_Tekniker,AF$4,TF_Dato,$A129))*2,0)/2)))</f>
        <v/>
      </c>
      <c r="AG129">
        <f>IF(OR(AG$4="",$A129&gt;TODAY()),0,IF(OR(INDEX($B129:$D129,AG$5)="F",AND(AG$6&gt;0,$A129&lt;AG$6),AND(AG$7&gt;0,$A129&gt;AG$7)),0,MAX(0,ROUND((INDEX($E129:$G129,AG$5)-SUMIFS(TF_Timer,TF_Tekniker,AG$4,TF_Dato,$A129))*2,0)/2)))</f>
        <v/>
      </c>
      <c r="AH129">
        <f>IF(OR(AH$4="",$A129&gt;TODAY()),0,IF(OR(INDEX($B129:$D129,AH$5)="F",AND(AH$6&gt;0,$A129&lt;AH$6),AND(AH$7&gt;0,$A129&gt;AH$7)),0,MAX(0,ROUND((INDEX($E129:$G129,AH$5)-SUMIFS(TF_Timer,TF_Tekniker,AH$4,TF_Dato,$A129))*2,0)/2)))</f>
        <v/>
      </c>
      <c r="AI129">
        <f>IF(OR(AI$4="",$A129&gt;TODAY()),0,IF(OR(INDEX($B129:$D129,AI$5)="F",AND(AI$6&gt;0,$A129&lt;AI$6),AND(AI$7&gt;0,$A129&gt;AI$7)),0,MAX(0,ROUND((INDEX($E129:$G129,AI$5)-SUMIFS(TF_Timer,TF_Tekniker,AI$4,TF_Dato,$A129))*2,0)/2)))</f>
        <v/>
      </c>
      <c r="AJ129">
        <f>IF(OR(AJ$4="",$A129&gt;TODAY()),0,IF(OR(INDEX($B129:$D129,AJ$5)="F",AND(AJ$6&gt;0,$A129&lt;AJ$6),AND(AJ$7&gt;0,$A129&gt;AJ$7)),0,MAX(0,ROUND((INDEX($E129:$G129,AJ$5)-SUMIFS(TF_Timer,TF_Tekniker,AJ$4,TF_Dato,$A129))*2,0)/2)))</f>
        <v/>
      </c>
      <c r="AK129">
        <f>IF(OR(AK$4="",$A129&gt;TODAY()),0,IF(OR(INDEX($B129:$D129,AK$5)="F",AND(AK$6&gt;0,$A129&lt;AK$6),AND(AK$7&gt;0,$A129&gt;AK$7)),0,MAX(0,ROUND((INDEX($E129:$G129,AK$5)-SUMIFS(TF_Timer,TF_Tekniker,AK$4,TF_Dato,$A129))*2,0)/2)))</f>
        <v/>
      </c>
      <c r="AL129">
        <f>IF(OR(AL$4="",$A129&gt;TODAY()),0,IF(OR(INDEX($B129:$D129,AL$5)="F",AND(AL$6&gt;0,$A129&lt;AL$6),AND(AL$7&gt;0,$A129&gt;AL$7)),0,MAX(0,ROUND((INDEX($E129:$G129,AL$5)-SUMIFS(TF_Timer,TF_Tekniker,AL$4,TF_Dato,$A129))*2,0)/2)))</f>
        <v/>
      </c>
      <c r="AM129">
        <f>IF(OR(AM$4="",$A129&gt;TODAY()),0,IF(OR(INDEX($B129:$D129,AM$5)="F",AND(AM$6&gt;0,$A129&lt;AM$6),AND(AM$7&gt;0,$A129&gt;AM$7)),0,MAX(0,ROUND((INDEX($E129:$G129,AM$5)-SUMIFS(TF_Timer,TF_Tekniker,AM$4,TF_Dato,$A129))*2,0)/2)))</f>
        <v/>
      </c>
      <c r="AN129">
        <f>IF(OR(AN$4="",$A129&gt;TODAY()),0,IF(OR(INDEX($B129:$D129,AN$5)="F",AND(AN$6&gt;0,$A129&lt;AN$6),AND(AN$7&gt;0,$A129&gt;AN$7)),0,MAX(0,ROUND((INDEX($E129:$G129,AN$5)-SUMIFS(TF_Timer,TF_Tekniker,AN$4,TF_Dato,$A129))*2,0)/2)))</f>
        <v/>
      </c>
      <c r="AO129">
        <f>IF(OR(AO$4="",$A129&gt;TODAY()),0,IF(OR(INDEX($B129:$D129,AO$5)="F",AND(AO$6&gt;0,$A129&lt;AO$6),AND(AO$7&gt;0,$A129&gt;AO$7)),0,MAX(0,ROUND((INDEX($E129:$G129,AO$5)-SUMIFS(TF_Timer,TF_Tekniker,AO$4,TF_Dato,$A129))*2,0)/2)))</f>
        <v/>
      </c>
      <c r="AP129">
        <f>IF(OR(AP$4="",$A129&gt;TODAY()),0,IF(OR(INDEX($B129:$D129,AP$5)="F",AND(AP$6&gt;0,$A129&lt;AP$6),AND(AP$7&gt;0,$A129&gt;AP$7)),0,MAX(0,ROUND((INDEX($E129:$G129,AP$5)-SUMIFS(TF_Timer,TF_Tekniker,AP$4,TF_Dato,$A129))*2,0)/2)))</f>
        <v/>
      </c>
      <c r="AQ129">
        <f>IF(OR(AQ$4="",$A129&gt;TODAY()),0,IF(OR(INDEX($B129:$D129,AQ$5)="F",AND(AQ$6&gt;0,$A129&lt;AQ$6),AND(AQ$7&gt;0,$A129&gt;AQ$7)),0,MAX(0,ROUND((INDEX($E129:$G129,AQ$5)-SUMIFS(TF_Timer,TF_Tekniker,AQ$4,TF_Dato,$A129))*2,0)/2)))</f>
        <v/>
      </c>
      <c r="AR129">
        <f>IF(OR(AR$4="",$A129&gt;TODAY()),0,IF(OR(INDEX($B129:$D129,AR$5)="F",AND(AR$6&gt;0,$A129&lt;AR$6),AND(AR$7&gt;0,$A129&gt;AR$7)),0,MAX(0,ROUND((INDEX($E129:$G129,AR$5)-SUMIFS(TF_Timer,TF_Tekniker,AR$4,TF_Dato,$A129))*2,0)/2)))</f>
        <v/>
      </c>
      <c r="AS129">
        <f>IF(OR(AS$4="",$A129&gt;TODAY()),0,IF(OR(INDEX($B129:$D129,AS$5)="F",AND(AS$6&gt;0,$A129&lt;AS$6),AND(AS$7&gt;0,$A129&gt;AS$7)),0,MAX(0,ROUND((INDEX($E129:$G129,AS$5)-SUMIFS(TF_Timer,TF_Tekniker,AS$4,TF_Dato,$A129))*2,0)/2)))</f>
        <v/>
      </c>
      <c r="AT129">
        <f>IF(OR(AT$4="",$A129&gt;TODAY()),0,IF(OR(INDEX($B129:$D129,AT$5)="F",AND(AT$6&gt;0,$A129&lt;AT$6),AND(AT$7&gt;0,$A129&gt;AT$7)),0,MAX(0,ROUND((INDEX($E129:$G129,AT$5)-SUMIFS(TF_Timer,TF_Tekniker,AT$4,TF_Dato,$A129))*2,0)/2)))</f>
        <v/>
      </c>
      <c r="AU129">
        <f>IF(OR(AU$4="",$A129&gt;TODAY()),0,IF(OR(INDEX($B129:$D129,AU$5)="F",AND(AU$6&gt;0,$A129&lt;AU$6),AND(AU$7&gt;0,$A129&gt;AU$7)),0,MAX(0,ROUND((INDEX($E129:$G129,AU$5)-SUMIFS(TF_Timer,TF_Tekniker,AU$4,TF_Dato,$A129))*2,0)/2)))</f>
        <v/>
      </c>
      <c r="AV129">
        <f>IF(OR(AV$4="",$A129&gt;TODAY()),0,IF(OR(INDEX($B129:$D129,AV$5)="F",AND(AV$6&gt;0,$A129&lt;AV$6),AND(AV$7&gt;0,$A129&gt;AV$7)),0,MAX(0,ROUND((INDEX($E129:$G129,AV$5)-SUMIFS(TF_Timer,TF_Tekniker,AV$4,TF_Dato,$A129))*2,0)/2)))</f>
        <v/>
      </c>
      <c r="AW129">
        <f>IF(OR(AW$4="",$A129&gt;TODAY()),0,IF(OR(INDEX($B129:$D129,AW$5)="F",AND(AW$6&gt;0,$A129&lt;AW$6),AND(AW$7&gt;0,$A129&gt;AW$7)),0,MAX(0,ROUND((INDEX($E129:$G129,AW$5)-SUMIFS(TF_Timer,TF_Tekniker,AW$4,TF_Dato,$A129))*2,0)/2)))</f>
        <v/>
      </c>
      <c r="AX129">
        <f>IF(OR(AX$4="",$A129&gt;TODAY()),0,IF(OR(INDEX($B129:$D129,AX$5)="F",AND(AX$6&gt;0,$A129&lt;AX$6),AND(AX$7&gt;0,$A129&gt;AX$7)),0,MAX(0,ROUND((INDEX($E129:$G129,AX$5)-SUMIFS(TF_Timer,TF_Tekniker,AX$4,TF_Dato,$A129))*2,0)/2)))</f>
        <v/>
      </c>
      <c r="AY129">
        <f>IF(OR(AY$4="",$A129&gt;TODAY()),0,IF(OR(INDEX($B129:$D129,AY$5)="F",AND(AY$6&gt;0,$A129&lt;AY$6),AND(AY$7&gt;0,$A129&gt;AY$7)),0,MAX(0,ROUND((INDEX($E129:$G129,AY$5)-SUMIFS(TF_Timer,TF_Tekniker,AY$4,TF_Dato,$A129))*2,0)/2)))</f>
        <v/>
      </c>
      <c r="AZ129">
        <f>IF(OR(AZ$4="",$A129&gt;TODAY()),0,IF(OR(INDEX($B129:$D129,AZ$5)="F",AND(AZ$6&gt;0,$A129&lt;AZ$6),AND(AZ$7&gt;0,$A129&gt;AZ$7)),0,MAX(0,ROUND((INDEX($E129:$G129,AZ$5)-SUMIFS(TF_Timer,TF_Tekniker,AZ$4,TF_Dato,$A129))*2,0)/2)))</f>
        <v/>
      </c>
      <c r="BA129">
        <f>IF(OR(BA$4="",$A129&gt;TODAY()),0,IF(OR(INDEX($B129:$D129,BA$5)="F",AND(BA$6&gt;0,$A129&lt;BA$6),AND(BA$7&gt;0,$A129&gt;BA$7)),0,MAX(0,ROUND((INDEX($E129:$G129,BA$5)-SUMIFS(TF_Timer,TF_Tekniker,BA$4,TF_Dato,$A129))*2,0)/2)))</f>
        <v/>
      </c>
      <c r="BB129">
        <f>IF(OR(BB$4="",$A129&gt;TODAY()),0,IF(OR(INDEX($B129:$D129,BB$5)="F",AND(BB$6&gt;0,$A129&lt;BB$6),AND(BB$7&gt;0,$A129&gt;BB$7)),0,MAX(0,ROUND((INDEX($E129:$G129,BB$5)-SUMIFS(TF_Timer,TF_Tekniker,BB$4,TF_Dato,$A129))*2,0)/2)))</f>
        <v/>
      </c>
      <c r="BC129">
        <f>IF(OR(BC$4="",$A129&gt;TODAY()),0,IF(OR(INDEX($B129:$D129,BC$5)="F",AND(BC$6&gt;0,$A129&lt;BC$6),AND(BC$7&gt;0,$A129&gt;BC$7)),0,MAX(0,ROUND((INDEX($E129:$G129,BC$5)-SUMIFS(TF_Timer,TF_Tekniker,BC$4,TF_Dato,$A129))*2,0)/2)))</f>
        <v/>
      </c>
      <c r="BD129">
        <f>IF(OR(BD$4="",$A129&gt;TODAY()),0,IF(OR(INDEX($B129:$D129,BD$5)="F",AND(BD$6&gt;0,$A129&lt;BD$6),AND(BD$7&gt;0,$A129&gt;BD$7)),0,MAX(0,ROUND((INDEX($E129:$G129,BD$5)-SUMIFS(TF_Timer,TF_Tekniker,BD$4,TF_Dato,$A129))*2,0)/2)))</f>
        <v/>
      </c>
      <c r="BE129">
        <f>IF(OR(BE$4="",$A129&gt;TODAY()),0,IF(OR(INDEX($B129:$D129,BE$5)="F",AND(BE$6&gt;0,$A129&lt;BE$6),AND(BE$7&gt;0,$A129&gt;BE$7)),0,MAX(0,ROUND((INDEX($E129:$G129,BE$5)-SUMIFS(TF_Timer,TF_Tekniker,BE$4,TF_Dato,$A129))*2,0)/2)))</f>
        <v/>
      </c>
      <c r="BF129">
        <f>IF(OR(BF$4="",$A129&gt;TODAY()),0,IF(OR(INDEX($B129:$D129,BF$5)="F",AND(BF$6&gt;0,$A129&lt;BF$6),AND(BF$7&gt;0,$A129&gt;BF$7)),0,MAX(0,ROUND((INDEX($E129:$G129,BF$5)-SUMIFS(TF_Timer,TF_Tekniker,BF$4,TF_Dato,$A129))*2,0)/2)))</f>
        <v/>
      </c>
      <c r="BG129">
        <f>IF(OR(BG$4="",$A129&gt;TODAY()),0,IF(OR(INDEX($B129:$D129,BG$5)="F",AND(BG$6&gt;0,$A129&lt;BG$6),AND(BG$7&gt;0,$A129&gt;BG$7)),0,MAX(0,ROUND((INDEX($E129:$G129,BG$5)-SUMIFS(TF_Timer,TF_Tekniker,BG$4,TF_Dato,$A129))*2,0)/2)))</f>
        <v/>
      </c>
      <c r="BH129">
        <f>IF(OR(BH$4="",$A129&gt;TODAY()),0,IF(OR(INDEX($B129:$D129,BH$5)="F",AND(BH$6&gt;0,$A129&lt;BH$6),AND(BH$7&gt;0,$A129&gt;BH$7)),0,MAX(0,ROUND((INDEX($E129:$G129,BH$5)-SUMIFS(TF_Timer,TF_Tekniker,BH$4,TF_Dato,$A129))*2,0)/2)))</f>
        <v/>
      </c>
      <c r="BI129">
        <f>IF(OR(BI$4="",$A129&gt;TODAY()),0,IF(OR(INDEX($B129:$D129,BI$5)="F",AND(BI$6&gt;0,$A129&lt;BI$6),AND(BI$7&gt;0,$A129&gt;BI$7)),0,MAX(0,ROUND((INDEX($E129:$G129,BI$5)-SUMIFS(TF_Timer,TF_Tekniker,BI$4,TF_Dato,$A129))*2,0)/2)))</f>
        <v/>
      </c>
    </row>
    <row r="130">
      <c r="A130" s="64">
        <f>A129+1</f>
        <v/>
      </c>
      <c r="B130">
        <f>IF(MOD($A130-INDEX(SkiftStart,1),Syklus)&lt;DagK,"K",IF(MOD($A130-INDEX(SkiftStart,1),Syklus)&lt;DagK+DagH,"H",IF(MOD($A130-INDEX(SkiftStart,1),Syklus)&lt;DagK+DagH+DagD,"D","F")))</f>
        <v/>
      </c>
      <c r="C130">
        <f>IF(MOD($A130-INDEX(SkiftStart,2),Syklus)&lt;DagK,"K",IF(MOD($A130-INDEX(SkiftStart,2),Syklus)&lt;DagK+DagH,"H",IF(MOD($A130-INDEX(SkiftStart,2),Syklus)&lt;DagK+DagH+DagD,"D","F")))</f>
        <v/>
      </c>
      <c r="D130">
        <f>IF(MOD($A130-INDEX(SkiftStart,3),Syklus)&lt;DagK,"K",IF(MOD($A130-INDEX(SkiftStart,3),Syklus)&lt;DagK+DagH,"H",IF(MOD($A130-INDEX(SkiftStart,3),Syklus)&lt;DagK+DagH+DagD,"D","F")))</f>
        <v/>
      </c>
      <c r="E130">
        <f>IF(B130="F",0,IF(WEEKDAY($A130,2)=5,INDEX(TimerFr,MATCH(B130,FaseKode,0)),INDEX(TimerMT,MATCH(B130,FaseKode,0))))</f>
        <v/>
      </c>
      <c r="F130">
        <f>IF(C130="F",0,IF(WEEKDAY($A130,2)=5,INDEX(TimerFr,MATCH(C130,FaseKode,0)),INDEX(TimerMT,MATCH(C130,FaseKode,0))))</f>
        <v/>
      </c>
      <c r="G130">
        <f>IF(D130="F",0,IF(WEEKDAY($A130,2)=5,INDEX(TimerFr,MATCH(D130,FaseKode,0)),INDEX(TimerMT,MATCH(D130,FaseKode,0))))</f>
        <v/>
      </c>
      <c r="H130">
        <f>IF(OR(H$4="",$A130&gt;TODAY()),0,IF(OR(INDEX($B130:$D130,H$5)="F",AND(H$6&gt;0,$A130&lt;H$6),AND(H$7&gt;0,$A130&gt;H$7)),0,MAX(0,ROUND((INDEX($E130:$G130,H$5)-SUMIFS(TF_Timer,TF_Tekniker,H$4,TF_Dato,$A130))*2,0)/2)))</f>
        <v/>
      </c>
      <c r="I130">
        <f>IF(OR(I$4="",$A130&gt;TODAY()),0,IF(OR(INDEX($B130:$D130,I$5)="F",AND(I$6&gt;0,$A130&lt;I$6),AND(I$7&gt;0,$A130&gt;I$7)),0,MAX(0,ROUND((INDEX($E130:$G130,I$5)-SUMIFS(TF_Timer,TF_Tekniker,I$4,TF_Dato,$A130))*2,0)/2)))</f>
        <v/>
      </c>
      <c r="J130">
        <f>IF(OR(J$4="",$A130&gt;TODAY()),0,IF(OR(INDEX($B130:$D130,J$5)="F",AND(J$6&gt;0,$A130&lt;J$6),AND(J$7&gt;0,$A130&gt;J$7)),0,MAX(0,ROUND((INDEX($E130:$G130,J$5)-SUMIFS(TF_Timer,TF_Tekniker,J$4,TF_Dato,$A130))*2,0)/2)))</f>
        <v/>
      </c>
      <c r="K130">
        <f>IF(OR(K$4="",$A130&gt;TODAY()),0,IF(OR(INDEX($B130:$D130,K$5)="F",AND(K$6&gt;0,$A130&lt;K$6),AND(K$7&gt;0,$A130&gt;K$7)),0,MAX(0,ROUND((INDEX($E130:$G130,K$5)-SUMIFS(TF_Timer,TF_Tekniker,K$4,TF_Dato,$A130))*2,0)/2)))</f>
        <v/>
      </c>
      <c r="L130">
        <f>IF(OR(L$4="",$A130&gt;TODAY()),0,IF(OR(INDEX($B130:$D130,L$5)="F",AND(L$6&gt;0,$A130&lt;L$6),AND(L$7&gt;0,$A130&gt;L$7)),0,MAX(0,ROUND((INDEX($E130:$G130,L$5)-SUMIFS(TF_Timer,TF_Tekniker,L$4,TF_Dato,$A130))*2,0)/2)))</f>
        <v/>
      </c>
      <c r="M130">
        <f>IF(OR(M$4="",$A130&gt;TODAY()),0,IF(OR(INDEX($B130:$D130,M$5)="F",AND(M$6&gt;0,$A130&lt;M$6),AND(M$7&gt;0,$A130&gt;M$7)),0,MAX(0,ROUND((INDEX($E130:$G130,M$5)-SUMIFS(TF_Timer,TF_Tekniker,M$4,TF_Dato,$A130))*2,0)/2)))</f>
        <v/>
      </c>
      <c r="N130">
        <f>IF(OR(N$4="",$A130&gt;TODAY()),0,IF(OR(INDEX($B130:$D130,N$5)="F",AND(N$6&gt;0,$A130&lt;N$6),AND(N$7&gt;0,$A130&gt;N$7)),0,MAX(0,ROUND((INDEX($E130:$G130,N$5)-SUMIFS(TF_Timer,TF_Tekniker,N$4,TF_Dato,$A130))*2,0)/2)))</f>
        <v/>
      </c>
      <c r="O130">
        <f>IF(OR(O$4="",$A130&gt;TODAY()),0,IF(OR(INDEX($B130:$D130,O$5)="F",AND(O$6&gt;0,$A130&lt;O$6),AND(O$7&gt;0,$A130&gt;O$7)),0,MAX(0,ROUND((INDEX($E130:$G130,O$5)-SUMIFS(TF_Timer,TF_Tekniker,O$4,TF_Dato,$A130))*2,0)/2)))</f>
        <v/>
      </c>
      <c r="P130">
        <f>IF(OR(P$4="",$A130&gt;TODAY()),0,IF(OR(INDEX($B130:$D130,P$5)="F",AND(P$6&gt;0,$A130&lt;P$6),AND(P$7&gt;0,$A130&gt;P$7)),0,MAX(0,ROUND((INDEX($E130:$G130,P$5)-SUMIFS(TF_Timer,TF_Tekniker,P$4,TF_Dato,$A130))*2,0)/2)))</f>
        <v/>
      </c>
      <c r="Q130">
        <f>IF(OR(Q$4="",$A130&gt;TODAY()),0,IF(OR(INDEX($B130:$D130,Q$5)="F",AND(Q$6&gt;0,$A130&lt;Q$6),AND(Q$7&gt;0,$A130&gt;Q$7)),0,MAX(0,ROUND((INDEX($E130:$G130,Q$5)-SUMIFS(TF_Timer,TF_Tekniker,Q$4,TF_Dato,$A130))*2,0)/2)))</f>
        <v/>
      </c>
      <c r="R130">
        <f>IF(OR(R$4="",$A130&gt;TODAY()),0,IF(OR(INDEX($B130:$D130,R$5)="F",AND(R$6&gt;0,$A130&lt;R$6),AND(R$7&gt;0,$A130&gt;R$7)),0,MAX(0,ROUND((INDEX($E130:$G130,R$5)-SUMIFS(TF_Timer,TF_Tekniker,R$4,TF_Dato,$A130))*2,0)/2)))</f>
        <v/>
      </c>
      <c r="S130">
        <f>IF(OR(S$4="",$A130&gt;TODAY()),0,IF(OR(INDEX($B130:$D130,S$5)="F",AND(S$6&gt;0,$A130&lt;S$6),AND(S$7&gt;0,$A130&gt;S$7)),0,MAX(0,ROUND((INDEX($E130:$G130,S$5)-SUMIFS(TF_Timer,TF_Tekniker,S$4,TF_Dato,$A130))*2,0)/2)))</f>
        <v/>
      </c>
      <c r="T130">
        <f>IF(OR(T$4="",$A130&gt;TODAY()),0,IF(OR(INDEX($B130:$D130,T$5)="F",AND(T$6&gt;0,$A130&lt;T$6),AND(T$7&gt;0,$A130&gt;T$7)),0,MAX(0,ROUND((INDEX($E130:$G130,T$5)-SUMIFS(TF_Timer,TF_Tekniker,T$4,TF_Dato,$A130))*2,0)/2)))</f>
        <v/>
      </c>
      <c r="U130">
        <f>IF(OR(U$4="",$A130&gt;TODAY()),0,IF(OR(INDEX($B130:$D130,U$5)="F",AND(U$6&gt;0,$A130&lt;U$6),AND(U$7&gt;0,$A130&gt;U$7)),0,MAX(0,ROUND((INDEX($E130:$G130,U$5)-SUMIFS(TF_Timer,TF_Tekniker,U$4,TF_Dato,$A130))*2,0)/2)))</f>
        <v/>
      </c>
      <c r="V130">
        <f>IF(OR(V$4="",$A130&gt;TODAY()),0,IF(OR(INDEX($B130:$D130,V$5)="F",AND(V$6&gt;0,$A130&lt;V$6),AND(V$7&gt;0,$A130&gt;V$7)),0,MAX(0,ROUND((INDEX($E130:$G130,V$5)-SUMIFS(TF_Timer,TF_Tekniker,V$4,TF_Dato,$A130))*2,0)/2)))</f>
        <v/>
      </c>
      <c r="W130">
        <f>IF(OR(W$4="",$A130&gt;TODAY()),0,IF(OR(INDEX($B130:$D130,W$5)="F",AND(W$6&gt;0,$A130&lt;W$6),AND(W$7&gt;0,$A130&gt;W$7)),0,MAX(0,ROUND((INDEX($E130:$G130,W$5)-SUMIFS(TF_Timer,TF_Tekniker,W$4,TF_Dato,$A130))*2,0)/2)))</f>
        <v/>
      </c>
      <c r="X130">
        <f>IF(OR(X$4="",$A130&gt;TODAY()),0,IF(OR(INDEX($B130:$D130,X$5)="F",AND(X$6&gt;0,$A130&lt;X$6),AND(X$7&gt;0,$A130&gt;X$7)),0,MAX(0,ROUND((INDEX($E130:$G130,X$5)-SUMIFS(TF_Timer,TF_Tekniker,X$4,TF_Dato,$A130))*2,0)/2)))</f>
        <v/>
      </c>
      <c r="Y130">
        <f>IF(OR(Y$4="",$A130&gt;TODAY()),0,IF(OR(INDEX($B130:$D130,Y$5)="F",AND(Y$6&gt;0,$A130&lt;Y$6),AND(Y$7&gt;0,$A130&gt;Y$7)),0,MAX(0,ROUND((INDEX($E130:$G130,Y$5)-SUMIFS(TF_Timer,TF_Tekniker,Y$4,TF_Dato,$A130))*2,0)/2)))</f>
        <v/>
      </c>
      <c r="Z130">
        <f>IF(OR(Z$4="",$A130&gt;TODAY()),0,IF(OR(INDEX($B130:$D130,Z$5)="F",AND(Z$6&gt;0,$A130&lt;Z$6),AND(Z$7&gt;0,$A130&gt;Z$7)),0,MAX(0,ROUND((INDEX($E130:$G130,Z$5)-SUMIFS(TF_Timer,TF_Tekniker,Z$4,TF_Dato,$A130))*2,0)/2)))</f>
        <v/>
      </c>
      <c r="AA130">
        <f>IF(OR(AA$4="",$A130&gt;TODAY()),0,IF(OR(INDEX($B130:$D130,AA$5)="F",AND(AA$6&gt;0,$A130&lt;AA$6),AND(AA$7&gt;0,$A130&gt;AA$7)),0,MAX(0,ROUND((INDEX($E130:$G130,AA$5)-SUMIFS(TF_Timer,TF_Tekniker,AA$4,TF_Dato,$A130))*2,0)/2)))</f>
        <v/>
      </c>
      <c r="AB130">
        <f>IF(OR(AB$4="",$A130&gt;TODAY()),0,IF(OR(INDEX($B130:$D130,AB$5)="F",AND(AB$6&gt;0,$A130&lt;AB$6),AND(AB$7&gt;0,$A130&gt;AB$7)),0,MAX(0,ROUND((INDEX($E130:$G130,AB$5)-SUMIFS(TF_Timer,TF_Tekniker,AB$4,TF_Dato,$A130))*2,0)/2)))</f>
        <v/>
      </c>
      <c r="AC130">
        <f>IF(OR(AC$4="",$A130&gt;TODAY()),0,IF(OR(INDEX($B130:$D130,AC$5)="F",AND(AC$6&gt;0,$A130&lt;AC$6),AND(AC$7&gt;0,$A130&gt;AC$7)),0,MAX(0,ROUND((INDEX($E130:$G130,AC$5)-SUMIFS(TF_Timer,TF_Tekniker,AC$4,TF_Dato,$A130))*2,0)/2)))</f>
        <v/>
      </c>
      <c r="AD130">
        <f>IF(OR(AD$4="",$A130&gt;TODAY()),0,IF(OR(INDEX($B130:$D130,AD$5)="F",AND(AD$6&gt;0,$A130&lt;AD$6),AND(AD$7&gt;0,$A130&gt;AD$7)),0,MAX(0,ROUND((INDEX($E130:$G130,AD$5)-SUMIFS(TF_Timer,TF_Tekniker,AD$4,TF_Dato,$A130))*2,0)/2)))</f>
        <v/>
      </c>
      <c r="AE130">
        <f>IF(OR(AE$4="",$A130&gt;TODAY()),0,IF(OR(INDEX($B130:$D130,AE$5)="F",AND(AE$6&gt;0,$A130&lt;AE$6),AND(AE$7&gt;0,$A130&gt;AE$7)),0,MAX(0,ROUND((INDEX($E130:$G130,AE$5)-SUMIFS(TF_Timer,TF_Tekniker,AE$4,TF_Dato,$A130))*2,0)/2)))</f>
        <v/>
      </c>
      <c r="AF130">
        <f>IF(OR(AF$4="",$A130&gt;TODAY()),0,IF(OR(INDEX($B130:$D130,AF$5)="F",AND(AF$6&gt;0,$A130&lt;AF$6),AND(AF$7&gt;0,$A130&gt;AF$7)),0,MAX(0,ROUND((INDEX($E130:$G130,AF$5)-SUMIFS(TF_Timer,TF_Tekniker,AF$4,TF_Dato,$A130))*2,0)/2)))</f>
        <v/>
      </c>
      <c r="AG130">
        <f>IF(OR(AG$4="",$A130&gt;TODAY()),0,IF(OR(INDEX($B130:$D130,AG$5)="F",AND(AG$6&gt;0,$A130&lt;AG$6),AND(AG$7&gt;0,$A130&gt;AG$7)),0,MAX(0,ROUND((INDEX($E130:$G130,AG$5)-SUMIFS(TF_Timer,TF_Tekniker,AG$4,TF_Dato,$A130))*2,0)/2)))</f>
        <v/>
      </c>
      <c r="AH130">
        <f>IF(OR(AH$4="",$A130&gt;TODAY()),0,IF(OR(INDEX($B130:$D130,AH$5)="F",AND(AH$6&gt;0,$A130&lt;AH$6),AND(AH$7&gt;0,$A130&gt;AH$7)),0,MAX(0,ROUND((INDEX($E130:$G130,AH$5)-SUMIFS(TF_Timer,TF_Tekniker,AH$4,TF_Dato,$A130))*2,0)/2)))</f>
        <v/>
      </c>
      <c r="AI130">
        <f>IF(OR(AI$4="",$A130&gt;TODAY()),0,IF(OR(INDEX($B130:$D130,AI$5)="F",AND(AI$6&gt;0,$A130&lt;AI$6),AND(AI$7&gt;0,$A130&gt;AI$7)),0,MAX(0,ROUND((INDEX($E130:$G130,AI$5)-SUMIFS(TF_Timer,TF_Tekniker,AI$4,TF_Dato,$A130))*2,0)/2)))</f>
        <v/>
      </c>
      <c r="AJ130">
        <f>IF(OR(AJ$4="",$A130&gt;TODAY()),0,IF(OR(INDEX($B130:$D130,AJ$5)="F",AND(AJ$6&gt;0,$A130&lt;AJ$6),AND(AJ$7&gt;0,$A130&gt;AJ$7)),0,MAX(0,ROUND((INDEX($E130:$G130,AJ$5)-SUMIFS(TF_Timer,TF_Tekniker,AJ$4,TF_Dato,$A130))*2,0)/2)))</f>
        <v/>
      </c>
      <c r="AK130">
        <f>IF(OR(AK$4="",$A130&gt;TODAY()),0,IF(OR(INDEX($B130:$D130,AK$5)="F",AND(AK$6&gt;0,$A130&lt;AK$6),AND(AK$7&gt;0,$A130&gt;AK$7)),0,MAX(0,ROUND((INDEX($E130:$G130,AK$5)-SUMIFS(TF_Timer,TF_Tekniker,AK$4,TF_Dato,$A130))*2,0)/2)))</f>
        <v/>
      </c>
      <c r="AL130">
        <f>IF(OR(AL$4="",$A130&gt;TODAY()),0,IF(OR(INDEX($B130:$D130,AL$5)="F",AND(AL$6&gt;0,$A130&lt;AL$6),AND(AL$7&gt;0,$A130&gt;AL$7)),0,MAX(0,ROUND((INDEX($E130:$G130,AL$5)-SUMIFS(TF_Timer,TF_Tekniker,AL$4,TF_Dato,$A130))*2,0)/2)))</f>
        <v/>
      </c>
      <c r="AM130">
        <f>IF(OR(AM$4="",$A130&gt;TODAY()),0,IF(OR(INDEX($B130:$D130,AM$5)="F",AND(AM$6&gt;0,$A130&lt;AM$6),AND(AM$7&gt;0,$A130&gt;AM$7)),0,MAX(0,ROUND((INDEX($E130:$G130,AM$5)-SUMIFS(TF_Timer,TF_Tekniker,AM$4,TF_Dato,$A130))*2,0)/2)))</f>
        <v/>
      </c>
      <c r="AN130">
        <f>IF(OR(AN$4="",$A130&gt;TODAY()),0,IF(OR(INDEX($B130:$D130,AN$5)="F",AND(AN$6&gt;0,$A130&lt;AN$6),AND(AN$7&gt;0,$A130&gt;AN$7)),0,MAX(0,ROUND((INDEX($E130:$G130,AN$5)-SUMIFS(TF_Timer,TF_Tekniker,AN$4,TF_Dato,$A130))*2,0)/2)))</f>
        <v/>
      </c>
      <c r="AO130">
        <f>IF(OR(AO$4="",$A130&gt;TODAY()),0,IF(OR(INDEX($B130:$D130,AO$5)="F",AND(AO$6&gt;0,$A130&lt;AO$6),AND(AO$7&gt;0,$A130&gt;AO$7)),0,MAX(0,ROUND((INDEX($E130:$G130,AO$5)-SUMIFS(TF_Timer,TF_Tekniker,AO$4,TF_Dato,$A130))*2,0)/2)))</f>
        <v/>
      </c>
      <c r="AP130">
        <f>IF(OR(AP$4="",$A130&gt;TODAY()),0,IF(OR(INDEX($B130:$D130,AP$5)="F",AND(AP$6&gt;0,$A130&lt;AP$6),AND(AP$7&gt;0,$A130&gt;AP$7)),0,MAX(0,ROUND((INDEX($E130:$G130,AP$5)-SUMIFS(TF_Timer,TF_Tekniker,AP$4,TF_Dato,$A130))*2,0)/2)))</f>
        <v/>
      </c>
      <c r="AQ130">
        <f>IF(OR(AQ$4="",$A130&gt;TODAY()),0,IF(OR(INDEX($B130:$D130,AQ$5)="F",AND(AQ$6&gt;0,$A130&lt;AQ$6),AND(AQ$7&gt;0,$A130&gt;AQ$7)),0,MAX(0,ROUND((INDEX($E130:$G130,AQ$5)-SUMIFS(TF_Timer,TF_Tekniker,AQ$4,TF_Dato,$A130))*2,0)/2)))</f>
        <v/>
      </c>
      <c r="AR130">
        <f>IF(OR(AR$4="",$A130&gt;TODAY()),0,IF(OR(INDEX($B130:$D130,AR$5)="F",AND(AR$6&gt;0,$A130&lt;AR$6),AND(AR$7&gt;0,$A130&gt;AR$7)),0,MAX(0,ROUND((INDEX($E130:$G130,AR$5)-SUMIFS(TF_Timer,TF_Tekniker,AR$4,TF_Dato,$A130))*2,0)/2)))</f>
        <v/>
      </c>
      <c r="AS130">
        <f>IF(OR(AS$4="",$A130&gt;TODAY()),0,IF(OR(INDEX($B130:$D130,AS$5)="F",AND(AS$6&gt;0,$A130&lt;AS$6),AND(AS$7&gt;0,$A130&gt;AS$7)),0,MAX(0,ROUND((INDEX($E130:$G130,AS$5)-SUMIFS(TF_Timer,TF_Tekniker,AS$4,TF_Dato,$A130))*2,0)/2)))</f>
        <v/>
      </c>
      <c r="AT130">
        <f>IF(OR(AT$4="",$A130&gt;TODAY()),0,IF(OR(INDEX($B130:$D130,AT$5)="F",AND(AT$6&gt;0,$A130&lt;AT$6),AND(AT$7&gt;0,$A130&gt;AT$7)),0,MAX(0,ROUND((INDEX($E130:$G130,AT$5)-SUMIFS(TF_Timer,TF_Tekniker,AT$4,TF_Dato,$A130))*2,0)/2)))</f>
        <v/>
      </c>
      <c r="AU130">
        <f>IF(OR(AU$4="",$A130&gt;TODAY()),0,IF(OR(INDEX($B130:$D130,AU$5)="F",AND(AU$6&gt;0,$A130&lt;AU$6),AND(AU$7&gt;0,$A130&gt;AU$7)),0,MAX(0,ROUND((INDEX($E130:$G130,AU$5)-SUMIFS(TF_Timer,TF_Tekniker,AU$4,TF_Dato,$A130))*2,0)/2)))</f>
        <v/>
      </c>
      <c r="AV130">
        <f>IF(OR(AV$4="",$A130&gt;TODAY()),0,IF(OR(INDEX($B130:$D130,AV$5)="F",AND(AV$6&gt;0,$A130&lt;AV$6),AND(AV$7&gt;0,$A130&gt;AV$7)),0,MAX(0,ROUND((INDEX($E130:$G130,AV$5)-SUMIFS(TF_Timer,TF_Tekniker,AV$4,TF_Dato,$A130))*2,0)/2)))</f>
        <v/>
      </c>
      <c r="AW130">
        <f>IF(OR(AW$4="",$A130&gt;TODAY()),0,IF(OR(INDEX($B130:$D130,AW$5)="F",AND(AW$6&gt;0,$A130&lt;AW$6),AND(AW$7&gt;0,$A130&gt;AW$7)),0,MAX(0,ROUND((INDEX($E130:$G130,AW$5)-SUMIFS(TF_Timer,TF_Tekniker,AW$4,TF_Dato,$A130))*2,0)/2)))</f>
        <v/>
      </c>
      <c r="AX130">
        <f>IF(OR(AX$4="",$A130&gt;TODAY()),0,IF(OR(INDEX($B130:$D130,AX$5)="F",AND(AX$6&gt;0,$A130&lt;AX$6),AND(AX$7&gt;0,$A130&gt;AX$7)),0,MAX(0,ROUND((INDEX($E130:$G130,AX$5)-SUMIFS(TF_Timer,TF_Tekniker,AX$4,TF_Dato,$A130))*2,0)/2)))</f>
        <v/>
      </c>
      <c r="AY130">
        <f>IF(OR(AY$4="",$A130&gt;TODAY()),0,IF(OR(INDEX($B130:$D130,AY$5)="F",AND(AY$6&gt;0,$A130&lt;AY$6),AND(AY$7&gt;0,$A130&gt;AY$7)),0,MAX(0,ROUND((INDEX($E130:$G130,AY$5)-SUMIFS(TF_Timer,TF_Tekniker,AY$4,TF_Dato,$A130))*2,0)/2)))</f>
        <v/>
      </c>
      <c r="AZ130">
        <f>IF(OR(AZ$4="",$A130&gt;TODAY()),0,IF(OR(INDEX($B130:$D130,AZ$5)="F",AND(AZ$6&gt;0,$A130&lt;AZ$6),AND(AZ$7&gt;0,$A130&gt;AZ$7)),0,MAX(0,ROUND((INDEX($E130:$G130,AZ$5)-SUMIFS(TF_Timer,TF_Tekniker,AZ$4,TF_Dato,$A130))*2,0)/2)))</f>
        <v/>
      </c>
      <c r="BA130">
        <f>IF(OR(BA$4="",$A130&gt;TODAY()),0,IF(OR(INDEX($B130:$D130,BA$5)="F",AND(BA$6&gt;0,$A130&lt;BA$6),AND(BA$7&gt;0,$A130&gt;BA$7)),0,MAX(0,ROUND((INDEX($E130:$G130,BA$5)-SUMIFS(TF_Timer,TF_Tekniker,BA$4,TF_Dato,$A130))*2,0)/2)))</f>
        <v/>
      </c>
      <c r="BB130">
        <f>IF(OR(BB$4="",$A130&gt;TODAY()),0,IF(OR(INDEX($B130:$D130,BB$5)="F",AND(BB$6&gt;0,$A130&lt;BB$6),AND(BB$7&gt;0,$A130&gt;BB$7)),0,MAX(0,ROUND((INDEX($E130:$G130,BB$5)-SUMIFS(TF_Timer,TF_Tekniker,BB$4,TF_Dato,$A130))*2,0)/2)))</f>
        <v/>
      </c>
      <c r="BC130">
        <f>IF(OR(BC$4="",$A130&gt;TODAY()),0,IF(OR(INDEX($B130:$D130,BC$5)="F",AND(BC$6&gt;0,$A130&lt;BC$6),AND(BC$7&gt;0,$A130&gt;BC$7)),0,MAX(0,ROUND((INDEX($E130:$G130,BC$5)-SUMIFS(TF_Timer,TF_Tekniker,BC$4,TF_Dato,$A130))*2,0)/2)))</f>
        <v/>
      </c>
      <c r="BD130">
        <f>IF(OR(BD$4="",$A130&gt;TODAY()),0,IF(OR(INDEX($B130:$D130,BD$5)="F",AND(BD$6&gt;0,$A130&lt;BD$6),AND(BD$7&gt;0,$A130&gt;BD$7)),0,MAX(0,ROUND((INDEX($E130:$G130,BD$5)-SUMIFS(TF_Timer,TF_Tekniker,BD$4,TF_Dato,$A130))*2,0)/2)))</f>
        <v/>
      </c>
      <c r="BE130">
        <f>IF(OR(BE$4="",$A130&gt;TODAY()),0,IF(OR(INDEX($B130:$D130,BE$5)="F",AND(BE$6&gt;0,$A130&lt;BE$6),AND(BE$7&gt;0,$A130&gt;BE$7)),0,MAX(0,ROUND((INDEX($E130:$G130,BE$5)-SUMIFS(TF_Timer,TF_Tekniker,BE$4,TF_Dato,$A130))*2,0)/2)))</f>
        <v/>
      </c>
      <c r="BF130">
        <f>IF(OR(BF$4="",$A130&gt;TODAY()),0,IF(OR(INDEX($B130:$D130,BF$5)="F",AND(BF$6&gt;0,$A130&lt;BF$6),AND(BF$7&gt;0,$A130&gt;BF$7)),0,MAX(0,ROUND((INDEX($E130:$G130,BF$5)-SUMIFS(TF_Timer,TF_Tekniker,BF$4,TF_Dato,$A130))*2,0)/2)))</f>
        <v/>
      </c>
      <c r="BG130">
        <f>IF(OR(BG$4="",$A130&gt;TODAY()),0,IF(OR(INDEX($B130:$D130,BG$5)="F",AND(BG$6&gt;0,$A130&lt;BG$6),AND(BG$7&gt;0,$A130&gt;BG$7)),0,MAX(0,ROUND((INDEX($E130:$G130,BG$5)-SUMIFS(TF_Timer,TF_Tekniker,BG$4,TF_Dato,$A130))*2,0)/2)))</f>
        <v/>
      </c>
      <c r="BH130">
        <f>IF(OR(BH$4="",$A130&gt;TODAY()),0,IF(OR(INDEX($B130:$D130,BH$5)="F",AND(BH$6&gt;0,$A130&lt;BH$6),AND(BH$7&gt;0,$A130&gt;BH$7)),0,MAX(0,ROUND((INDEX($E130:$G130,BH$5)-SUMIFS(TF_Timer,TF_Tekniker,BH$4,TF_Dato,$A130))*2,0)/2)))</f>
        <v/>
      </c>
      <c r="BI130">
        <f>IF(OR(BI$4="",$A130&gt;TODAY()),0,IF(OR(INDEX($B130:$D130,BI$5)="F",AND(BI$6&gt;0,$A130&lt;BI$6),AND(BI$7&gt;0,$A130&gt;BI$7)),0,MAX(0,ROUND((INDEX($E130:$G130,BI$5)-SUMIFS(TF_Timer,TF_Tekniker,BI$4,TF_Dato,$A130))*2,0)/2)))</f>
        <v/>
      </c>
    </row>
    <row r="131">
      <c r="A131" s="64">
        <f>A130+1</f>
        <v/>
      </c>
      <c r="B131">
        <f>IF(MOD($A131-INDEX(SkiftStart,1),Syklus)&lt;DagK,"K",IF(MOD($A131-INDEX(SkiftStart,1),Syklus)&lt;DagK+DagH,"H",IF(MOD($A131-INDEX(SkiftStart,1),Syklus)&lt;DagK+DagH+DagD,"D","F")))</f>
        <v/>
      </c>
      <c r="C131">
        <f>IF(MOD($A131-INDEX(SkiftStart,2),Syklus)&lt;DagK,"K",IF(MOD($A131-INDEX(SkiftStart,2),Syklus)&lt;DagK+DagH,"H",IF(MOD($A131-INDEX(SkiftStart,2),Syklus)&lt;DagK+DagH+DagD,"D","F")))</f>
        <v/>
      </c>
      <c r="D131">
        <f>IF(MOD($A131-INDEX(SkiftStart,3),Syklus)&lt;DagK,"K",IF(MOD($A131-INDEX(SkiftStart,3),Syklus)&lt;DagK+DagH,"H",IF(MOD($A131-INDEX(SkiftStart,3),Syklus)&lt;DagK+DagH+DagD,"D","F")))</f>
        <v/>
      </c>
      <c r="E131">
        <f>IF(B131="F",0,IF(WEEKDAY($A131,2)=5,INDEX(TimerFr,MATCH(B131,FaseKode,0)),INDEX(TimerMT,MATCH(B131,FaseKode,0))))</f>
        <v/>
      </c>
      <c r="F131">
        <f>IF(C131="F",0,IF(WEEKDAY($A131,2)=5,INDEX(TimerFr,MATCH(C131,FaseKode,0)),INDEX(TimerMT,MATCH(C131,FaseKode,0))))</f>
        <v/>
      </c>
      <c r="G131">
        <f>IF(D131="F",0,IF(WEEKDAY($A131,2)=5,INDEX(TimerFr,MATCH(D131,FaseKode,0)),INDEX(TimerMT,MATCH(D131,FaseKode,0))))</f>
        <v/>
      </c>
      <c r="H131">
        <f>IF(OR(H$4="",$A131&gt;TODAY()),0,IF(OR(INDEX($B131:$D131,H$5)="F",AND(H$6&gt;0,$A131&lt;H$6),AND(H$7&gt;0,$A131&gt;H$7)),0,MAX(0,ROUND((INDEX($E131:$G131,H$5)-SUMIFS(TF_Timer,TF_Tekniker,H$4,TF_Dato,$A131))*2,0)/2)))</f>
        <v/>
      </c>
      <c r="I131">
        <f>IF(OR(I$4="",$A131&gt;TODAY()),0,IF(OR(INDEX($B131:$D131,I$5)="F",AND(I$6&gt;0,$A131&lt;I$6),AND(I$7&gt;0,$A131&gt;I$7)),0,MAX(0,ROUND((INDEX($E131:$G131,I$5)-SUMIFS(TF_Timer,TF_Tekniker,I$4,TF_Dato,$A131))*2,0)/2)))</f>
        <v/>
      </c>
      <c r="J131">
        <f>IF(OR(J$4="",$A131&gt;TODAY()),0,IF(OR(INDEX($B131:$D131,J$5)="F",AND(J$6&gt;0,$A131&lt;J$6),AND(J$7&gt;0,$A131&gt;J$7)),0,MAX(0,ROUND((INDEX($E131:$G131,J$5)-SUMIFS(TF_Timer,TF_Tekniker,J$4,TF_Dato,$A131))*2,0)/2)))</f>
        <v/>
      </c>
      <c r="K131">
        <f>IF(OR(K$4="",$A131&gt;TODAY()),0,IF(OR(INDEX($B131:$D131,K$5)="F",AND(K$6&gt;0,$A131&lt;K$6),AND(K$7&gt;0,$A131&gt;K$7)),0,MAX(0,ROUND((INDEX($E131:$G131,K$5)-SUMIFS(TF_Timer,TF_Tekniker,K$4,TF_Dato,$A131))*2,0)/2)))</f>
        <v/>
      </c>
      <c r="L131">
        <f>IF(OR(L$4="",$A131&gt;TODAY()),0,IF(OR(INDEX($B131:$D131,L$5)="F",AND(L$6&gt;0,$A131&lt;L$6),AND(L$7&gt;0,$A131&gt;L$7)),0,MAX(0,ROUND((INDEX($E131:$G131,L$5)-SUMIFS(TF_Timer,TF_Tekniker,L$4,TF_Dato,$A131))*2,0)/2)))</f>
        <v/>
      </c>
      <c r="M131">
        <f>IF(OR(M$4="",$A131&gt;TODAY()),0,IF(OR(INDEX($B131:$D131,M$5)="F",AND(M$6&gt;0,$A131&lt;M$6),AND(M$7&gt;0,$A131&gt;M$7)),0,MAX(0,ROUND((INDEX($E131:$G131,M$5)-SUMIFS(TF_Timer,TF_Tekniker,M$4,TF_Dato,$A131))*2,0)/2)))</f>
        <v/>
      </c>
      <c r="N131">
        <f>IF(OR(N$4="",$A131&gt;TODAY()),0,IF(OR(INDEX($B131:$D131,N$5)="F",AND(N$6&gt;0,$A131&lt;N$6),AND(N$7&gt;0,$A131&gt;N$7)),0,MAX(0,ROUND((INDEX($E131:$G131,N$5)-SUMIFS(TF_Timer,TF_Tekniker,N$4,TF_Dato,$A131))*2,0)/2)))</f>
        <v/>
      </c>
      <c r="O131">
        <f>IF(OR(O$4="",$A131&gt;TODAY()),0,IF(OR(INDEX($B131:$D131,O$5)="F",AND(O$6&gt;0,$A131&lt;O$6),AND(O$7&gt;0,$A131&gt;O$7)),0,MAX(0,ROUND((INDEX($E131:$G131,O$5)-SUMIFS(TF_Timer,TF_Tekniker,O$4,TF_Dato,$A131))*2,0)/2)))</f>
        <v/>
      </c>
      <c r="P131">
        <f>IF(OR(P$4="",$A131&gt;TODAY()),0,IF(OR(INDEX($B131:$D131,P$5)="F",AND(P$6&gt;0,$A131&lt;P$6),AND(P$7&gt;0,$A131&gt;P$7)),0,MAX(0,ROUND((INDEX($E131:$G131,P$5)-SUMIFS(TF_Timer,TF_Tekniker,P$4,TF_Dato,$A131))*2,0)/2)))</f>
        <v/>
      </c>
      <c r="Q131">
        <f>IF(OR(Q$4="",$A131&gt;TODAY()),0,IF(OR(INDEX($B131:$D131,Q$5)="F",AND(Q$6&gt;0,$A131&lt;Q$6),AND(Q$7&gt;0,$A131&gt;Q$7)),0,MAX(0,ROUND((INDEX($E131:$G131,Q$5)-SUMIFS(TF_Timer,TF_Tekniker,Q$4,TF_Dato,$A131))*2,0)/2)))</f>
        <v/>
      </c>
      <c r="R131">
        <f>IF(OR(R$4="",$A131&gt;TODAY()),0,IF(OR(INDEX($B131:$D131,R$5)="F",AND(R$6&gt;0,$A131&lt;R$6),AND(R$7&gt;0,$A131&gt;R$7)),0,MAX(0,ROUND((INDEX($E131:$G131,R$5)-SUMIFS(TF_Timer,TF_Tekniker,R$4,TF_Dato,$A131))*2,0)/2)))</f>
        <v/>
      </c>
      <c r="S131">
        <f>IF(OR(S$4="",$A131&gt;TODAY()),0,IF(OR(INDEX($B131:$D131,S$5)="F",AND(S$6&gt;0,$A131&lt;S$6),AND(S$7&gt;0,$A131&gt;S$7)),0,MAX(0,ROUND((INDEX($E131:$G131,S$5)-SUMIFS(TF_Timer,TF_Tekniker,S$4,TF_Dato,$A131))*2,0)/2)))</f>
        <v/>
      </c>
      <c r="T131">
        <f>IF(OR(T$4="",$A131&gt;TODAY()),0,IF(OR(INDEX($B131:$D131,T$5)="F",AND(T$6&gt;0,$A131&lt;T$6),AND(T$7&gt;0,$A131&gt;T$7)),0,MAX(0,ROUND((INDEX($E131:$G131,T$5)-SUMIFS(TF_Timer,TF_Tekniker,T$4,TF_Dato,$A131))*2,0)/2)))</f>
        <v/>
      </c>
      <c r="U131">
        <f>IF(OR(U$4="",$A131&gt;TODAY()),0,IF(OR(INDEX($B131:$D131,U$5)="F",AND(U$6&gt;0,$A131&lt;U$6),AND(U$7&gt;0,$A131&gt;U$7)),0,MAX(0,ROUND((INDEX($E131:$G131,U$5)-SUMIFS(TF_Timer,TF_Tekniker,U$4,TF_Dato,$A131))*2,0)/2)))</f>
        <v/>
      </c>
      <c r="V131">
        <f>IF(OR(V$4="",$A131&gt;TODAY()),0,IF(OR(INDEX($B131:$D131,V$5)="F",AND(V$6&gt;0,$A131&lt;V$6),AND(V$7&gt;0,$A131&gt;V$7)),0,MAX(0,ROUND((INDEX($E131:$G131,V$5)-SUMIFS(TF_Timer,TF_Tekniker,V$4,TF_Dato,$A131))*2,0)/2)))</f>
        <v/>
      </c>
      <c r="W131">
        <f>IF(OR(W$4="",$A131&gt;TODAY()),0,IF(OR(INDEX($B131:$D131,W$5)="F",AND(W$6&gt;0,$A131&lt;W$6),AND(W$7&gt;0,$A131&gt;W$7)),0,MAX(0,ROUND((INDEX($E131:$G131,W$5)-SUMIFS(TF_Timer,TF_Tekniker,W$4,TF_Dato,$A131))*2,0)/2)))</f>
        <v/>
      </c>
      <c r="X131">
        <f>IF(OR(X$4="",$A131&gt;TODAY()),0,IF(OR(INDEX($B131:$D131,X$5)="F",AND(X$6&gt;0,$A131&lt;X$6),AND(X$7&gt;0,$A131&gt;X$7)),0,MAX(0,ROUND((INDEX($E131:$G131,X$5)-SUMIFS(TF_Timer,TF_Tekniker,X$4,TF_Dato,$A131))*2,0)/2)))</f>
        <v/>
      </c>
      <c r="Y131">
        <f>IF(OR(Y$4="",$A131&gt;TODAY()),0,IF(OR(INDEX($B131:$D131,Y$5)="F",AND(Y$6&gt;0,$A131&lt;Y$6),AND(Y$7&gt;0,$A131&gt;Y$7)),0,MAX(0,ROUND((INDEX($E131:$G131,Y$5)-SUMIFS(TF_Timer,TF_Tekniker,Y$4,TF_Dato,$A131))*2,0)/2)))</f>
        <v/>
      </c>
      <c r="Z131">
        <f>IF(OR(Z$4="",$A131&gt;TODAY()),0,IF(OR(INDEX($B131:$D131,Z$5)="F",AND(Z$6&gt;0,$A131&lt;Z$6),AND(Z$7&gt;0,$A131&gt;Z$7)),0,MAX(0,ROUND((INDEX($E131:$G131,Z$5)-SUMIFS(TF_Timer,TF_Tekniker,Z$4,TF_Dato,$A131))*2,0)/2)))</f>
        <v/>
      </c>
      <c r="AA131">
        <f>IF(OR(AA$4="",$A131&gt;TODAY()),0,IF(OR(INDEX($B131:$D131,AA$5)="F",AND(AA$6&gt;0,$A131&lt;AA$6),AND(AA$7&gt;0,$A131&gt;AA$7)),0,MAX(0,ROUND((INDEX($E131:$G131,AA$5)-SUMIFS(TF_Timer,TF_Tekniker,AA$4,TF_Dato,$A131))*2,0)/2)))</f>
        <v/>
      </c>
      <c r="AB131">
        <f>IF(OR(AB$4="",$A131&gt;TODAY()),0,IF(OR(INDEX($B131:$D131,AB$5)="F",AND(AB$6&gt;0,$A131&lt;AB$6),AND(AB$7&gt;0,$A131&gt;AB$7)),0,MAX(0,ROUND((INDEX($E131:$G131,AB$5)-SUMIFS(TF_Timer,TF_Tekniker,AB$4,TF_Dato,$A131))*2,0)/2)))</f>
        <v/>
      </c>
      <c r="AC131">
        <f>IF(OR(AC$4="",$A131&gt;TODAY()),0,IF(OR(INDEX($B131:$D131,AC$5)="F",AND(AC$6&gt;0,$A131&lt;AC$6),AND(AC$7&gt;0,$A131&gt;AC$7)),0,MAX(0,ROUND((INDEX($E131:$G131,AC$5)-SUMIFS(TF_Timer,TF_Tekniker,AC$4,TF_Dato,$A131))*2,0)/2)))</f>
        <v/>
      </c>
      <c r="AD131">
        <f>IF(OR(AD$4="",$A131&gt;TODAY()),0,IF(OR(INDEX($B131:$D131,AD$5)="F",AND(AD$6&gt;0,$A131&lt;AD$6),AND(AD$7&gt;0,$A131&gt;AD$7)),0,MAX(0,ROUND((INDEX($E131:$G131,AD$5)-SUMIFS(TF_Timer,TF_Tekniker,AD$4,TF_Dato,$A131))*2,0)/2)))</f>
        <v/>
      </c>
      <c r="AE131">
        <f>IF(OR(AE$4="",$A131&gt;TODAY()),0,IF(OR(INDEX($B131:$D131,AE$5)="F",AND(AE$6&gt;0,$A131&lt;AE$6),AND(AE$7&gt;0,$A131&gt;AE$7)),0,MAX(0,ROUND((INDEX($E131:$G131,AE$5)-SUMIFS(TF_Timer,TF_Tekniker,AE$4,TF_Dato,$A131))*2,0)/2)))</f>
        <v/>
      </c>
      <c r="AF131">
        <f>IF(OR(AF$4="",$A131&gt;TODAY()),0,IF(OR(INDEX($B131:$D131,AF$5)="F",AND(AF$6&gt;0,$A131&lt;AF$6),AND(AF$7&gt;0,$A131&gt;AF$7)),0,MAX(0,ROUND((INDEX($E131:$G131,AF$5)-SUMIFS(TF_Timer,TF_Tekniker,AF$4,TF_Dato,$A131))*2,0)/2)))</f>
        <v/>
      </c>
      <c r="AG131">
        <f>IF(OR(AG$4="",$A131&gt;TODAY()),0,IF(OR(INDEX($B131:$D131,AG$5)="F",AND(AG$6&gt;0,$A131&lt;AG$6),AND(AG$7&gt;0,$A131&gt;AG$7)),0,MAX(0,ROUND((INDEX($E131:$G131,AG$5)-SUMIFS(TF_Timer,TF_Tekniker,AG$4,TF_Dato,$A131))*2,0)/2)))</f>
        <v/>
      </c>
      <c r="AH131">
        <f>IF(OR(AH$4="",$A131&gt;TODAY()),0,IF(OR(INDEX($B131:$D131,AH$5)="F",AND(AH$6&gt;0,$A131&lt;AH$6),AND(AH$7&gt;0,$A131&gt;AH$7)),0,MAX(0,ROUND((INDEX($E131:$G131,AH$5)-SUMIFS(TF_Timer,TF_Tekniker,AH$4,TF_Dato,$A131))*2,0)/2)))</f>
        <v/>
      </c>
      <c r="AI131">
        <f>IF(OR(AI$4="",$A131&gt;TODAY()),0,IF(OR(INDEX($B131:$D131,AI$5)="F",AND(AI$6&gt;0,$A131&lt;AI$6),AND(AI$7&gt;0,$A131&gt;AI$7)),0,MAX(0,ROUND((INDEX($E131:$G131,AI$5)-SUMIFS(TF_Timer,TF_Tekniker,AI$4,TF_Dato,$A131))*2,0)/2)))</f>
        <v/>
      </c>
      <c r="AJ131">
        <f>IF(OR(AJ$4="",$A131&gt;TODAY()),0,IF(OR(INDEX($B131:$D131,AJ$5)="F",AND(AJ$6&gt;0,$A131&lt;AJ$6),AND(AJ$7&gt;0,$A131&gt;AJ$7)),0,MAX(0,ROUND((INDEX($E131:$G131,AJ$5)-SUMIFS(TF_Timer,TF_Tekniker,AJ$4,TF_Dato,$A131))*2,0)/2)))</f>
        <v/>
      </c>
      <c r="AK131">
        <f>IF(OR(AK$4="",$A131&gt;TODAY()),0,IF(OR(INDEX($B131:$D131,AK$5)="F",AND(AK$6&gt;0,$A131&lt;AK$6),AND(AK$7&gt;0,$A131&gt;AK$7)),0,MAX(0,ROUND((INDEX($E131:$G131,AK$5)-SUMIFS(TF_Timer,TF_Tekniker,AK$4,TF_Dato,$A131))*2,0)/2)))</f>
        <v/>
      </c>
      <c r="AL131">
        <f>IF(OR(AL$4="",$A131&gt;TODAY()),0,IF(OR(INDEX($B131:$D131,AL$5)="F",AND(AL$6&gt;0,$A131&lt;AL$6),AND(AL$7&gt;0,$A131&gt;AL$7)),0,MAX(0,ROUND((INDEX($E131:$G131,AL$5)-SUMIFS(TF_Timer,TF_Tekniker,AL$4,TF_Dato,$A131))*2,0)/2)))</f>
        <v/>
      </c>
      <c r="AM131">
        <f>IF(OR(AM$4="",$A131&gt;TODAY()),0,IF(OR(INDEX($B131:$D131,AM$5)="F",AND(AM$6&gt;0,$A131&lt;AM$6),AND(AM$7&gt;0,$A131&gt;AM$7)),0,MAX(0,ROUND((INDEX($E131:$G131,AM$5)-SUMIFS(TF_Timer,TF_Tekniker,AM$4,TF_Dato,$A131))*2,0)/2)))</f>
        <v/>
      </c>
      <c r="AN131">
        <f>IF(OR(AN$4="",$A131&gt;TODAY()),0,IF(OR(INDEX($B131:$D131,AN$5)="F",AND(AN$6&gt;0,$A131&lt;AN$6),AND(AN$7&gt;0,$A131&gt;AN$7)),0,MAX(0,ROUND((INDEX($E131:$G131,AN$5)-SUMIFS(TF_Timer,TF_Tekniker,AN$4,TF_Dato,$A131))*2,0)/2)))</f>
        <v/>
      </c>
      <c r="AO131">
        <f>IF(OR(AO$4="",$A131&gt;TODAY()),0,IF(OR(INDEX($B131:$D131,AO$5)="F",AND(AO$6&gt;0,$A131&lt;AO$6),AND(AO$7&gt;0,$A131&gt;AO$7)),0,MAX(0,ROUND((INDEX($E131:$G131,AO$5)-SUMIFS(TF_Timer,TF_Tekniker,AO$4,TF_Dato,$A131))*2,0)/2)))</f>
        <v/>
      </c>
      <c r="AP131">
        <f>IF(OR(AP$4="",$A131&gt;TODAY()),0,IF(OR(INDEX($B131:$D131,AP$5)="F",AND(AP$6&gt;0,$A131&lt;AP$6),AND(AP$7&gt;0,$A131&gt;AP$7)),0,MAX(0,ROUND((INDEX($E131:$G131,AP$5)-SUMIFS(TF_Timer,TF_Tekniker,AP$4,TF_Dato,$A131))*2,0)/2)))</f>
        <v/>
      </c>
      <c r="AQ131">
        <f>IF(OR(AQ$4="",$A131&gt;TODAY()),0,IF(OR(INDEX($B131:$D131,AQ$5)="F",AND(AQ$6&gt;0,$A131&lt;AQ$6),AND(AQ$7&gt;0,$A131&gt;AQ$7)),0,MAX(0,ROUND((INDEX($E131:$G131,AQ$5)-SUMIFS(TF_Timer,TF_Tekniker,AQ$4,TF_Dato,$A131))*2,0)/2)))</f>
        <v/>
      </c>
      <c r="AR131">
        <f>IF(OR(AR$4="",$A131&gt;TODAY()),0,IF(OR(INDEX($B131:$D131,AR$5)="F",AND(AR$6&gt;0,$A131&lt;AR$6),AND(AR$7&gt;0,$A131&gt;AR$7)),0,MAX(0,ROUND((INDEX($E131:$G131,AR$5)-SUMIFS(TF_Timer,TF_Tekniker,AR$4,TF_Dato,$A131))*2,0)/2)))</f>
        <v/>
      </c>
      <c r="AS131">
        <f>IF(OR(AS$4="",$A131&gt;TODAY()),0,IF(OR(INDEX($B131:$D131,AS$5)="F",AND(AS$6&gt;0,$A131&lt;AS$6),AND(AS$7&gt;0,$A131&gt;AS$7)),0,MAX(0,ROUND((INDEX($E131:$G131,AS$5)-SUMIFS(TF_Timer,TF_Tekniker,AS$4,TF_Dato,$A131))*2,0)/2)))</f>
        <v/>
      </c>
      <c r="AT131">
        <f>IF(OR(AT$4="",$A131&gt;TODAY()),0,IF(OR(INDEX($B131:$D131,AT$5)="F",AND(AT$6&gt;0,$A131&lt;AT$6),AND(AT$7&gt;0,$A131&gt;AT$7)),0,MAX(0,ROUND((INDEX($E131:$G131,AT$5)-SUMIFS(TF_Timer,TF_Tekniker,AT$4,TF_Dato,$A131))*2,0)/2)))</f>
        <v/>
      </c>
      <c r="AU131">
        <f>IF(OR(AU$4="",$A131&gt;TODAY()),0,IF(OR(INDEX($B131:$D131,AU$5)="F",AND(AU$6&gt;0,$A131&lt;AU$6),AND(AU$7&gt;0,$A131&gt;AU$7)),0,MAX(0,ROUND((INDEX($E131:$G131,AU$5)-SUMIFS(TF_Timer,TF_Tekniker,AU$4,TF_Dato,$A131))*2,0)/2)))</f>
        <v/>
      </c>
      <c r="AV131">
        <f>IF(OR(AV$4="",$A131&gt;TODAY()),0,IF(OR(INDEX($B131:$D131,AV$5)="F",AND(AV$6&gt;0,$A131&lt;AV$6),AND(AV$7&gt;0,$A131&gt;AV$7)),0,MAX(0,ROUND((INDEX($E131:$G131,AV$5)-SUMIFS(TF_Timer,TF_Tekniker,AV$4,TF_Dato,$A131))*2,0)/2)))</f>
        <v/>
      </c>
      <c r="AW131">
        <f>IF(OR(AW$4="",$A131&gt;TODAY()),0,IF(OR(INDEX($B131:$D131,AW$5)="F",AND(AW$6&gt;0,$A131&lt;AW$6),AND(AW$7&gt;0,$A131&gt;AW$7)),0,MAX(0,ROUND((INDEX($E131:$G131,AW$5)-SUMIFS(TF_Timer,TF_Tekniker,AW$4,TF_Dato,$A131))*2,0)/2)))</f>
        <v/>
      </c>
      <c r="AX131">
        <f>IF(OR(AX$4="",$A131&gt;TODAY()),0,IF(OR(INDEX($B131:$D131,AX$5)="F",AND(AX$6&gt;0,$A131&lt;AX$6),AND(AX$7&gt;0,$A131&gt;AX$7)),0,MAX(0,ROUND((INDEX($E131:$G131,AX$5)-SUMIFS(TF_Timer,TF_Tekniker,AX$4,TF_Dato,$A131))*2,0)/2)))</f>
        <v/>
      </c>
      <c r="AY131">
        <f>IF(OR(AY$4="",$A131&gt;TODAY()),0,IF(OR(INDEX($B131:$D131,AY$5)="F",AND(AY$6&gt;0,$A131&lt;AY$6),AND(AY$7&gt;0,$A131&gt;AY$7)),0,MAX(0,ROUND((INDEX($E131:$G131,AY$5)-SUMIFS(TF_Timer,TF_Tekniker,AY$4,TF_Dato,$A131))*2,0)/2)))</f>
        <v/>
      </c>
      <c r="AZ131">
        <f>IF(OR(AZ$4="",$A131&gt;TODAY()),0,IF(OR(INDEX($B131:$D131,AZ$5)="F",AND(AZ$6&gt;0,$A131&lt;AZ$6),AND(AZ$7&gt;0,$A131&gt;AZ$7)),0,MAX(0,ROUND((INDEX($E131:$G131,AZ$5)-SUMIFS(TF_Timer,TF_Tekniker,AZ$4,TF_Dato,$A131))*2,0)/2)))</f>
        <v/>
      </c>
      <c r="BA131">
        <f>IF(OR(BA$4="",$A131&gt;TODAY()),0,IF(OR(INDEX($B131:$D131,BA$5)="F",AND(BA$6&gt;0,$A131&lt;BA$6),AND(BA$7&gt;0,$A131&gt;BA$7)),0,MAX(0,ROUND((INDEX($E131:$G131,BA$5)-SUMIFS(TF_Timer,TF_Tekniker,BA$4,TF_Dato,$A131))*2,0)/2)))</f>
        <v/>
      </c>
      <c r="BB131">
        <f>IF(OR(BB$4="",$A131&gt;TODAY()),0,IF(OR(INDEX($B131:$D131,BB$5)="F",AND(BB$6&gt;0,$A131&lt;BB$6),AND(BB$7&gt;0,$A131&gt;BB$7)),0,MAX(0,ROUND((INDEX($E131:$G131,BB$5)-SUMIFS(TF_Timer,TF_Tekniker,BB$4,TF_Dato,$A131))*2,0)/2)))</f>
        <v/>
      </c>
      <c r="BC131">
        <f>IF(OR(BC$4="",$A131&gt;TODAY()),0,IF(OR(INDEX($B131:$D131,BC$5)="F",AND(BC$6&gt;0,$A131&lt;BC$6),AND(BC$7&gt;0,$A131&gt;BC$7)),0,MAX(0,ROUND((INDEX($E131:$G131,BC$5)-SUMIFS(TF_Timer,TF_Tekniker,BC$4,TF_Dato,$A131))*2,0)/2)))</f>
        <v/>
      </c>
      <c r="BD131">
        <f>IF(OR(BD$4="",$A131&gt;TODAY()),0,IF(OR(INDEX($B131:$D131,BD$5)="F",AND(BD$6&gt;0,$A131&lt;BD$6),AND(BD$7&gt;0,$A131&gt;BD$7)),0,MAX(0,ROUND((INDEX($E131:$G131,BD$5)-SUMIFS(TF_Timer,TF_Tekniker,BD$4,TF_Dato,$A131))*2,0)/2)))</f>
        <v/>
      </c>
      <c r="BE131">
        <f>IF(OR(BE$4="",$A131&gt;TODAY()),0,IF(OR(INDEX($B131:$D131,BE$5)="F",AND(BE$6&gt;0,$A131&lt;BE$6),AND(BE$7&gt;0,$A131&gt;BE$7)),0,MAX(0,ROUND((INDEX($E131:$G131,BE$5)-SUMIFS(TF_Timer,TF_Tekniker,BE$4,TF_Dato,$A131))*2,0)/2)))</f>
        <v/>
      </c>
      <c r="BF131">
        <f>IF(OR(BF$4="",$A131&gt;TODAY()),0,IF(OR(INDEX($B131:$D131,BF$5)="F",AND(BF$6&gt;0,$A131&lt;BF$6),AND(BF$7&gt;0,$A131&gt;BF$7)),0,MAX(0,ROUND((INDEX($E131:$G131,BF$5)-SUMIFS(TF_Timer,TF_Tekniker,BF$4,TF_Dato,$A131))*2,0)/2)))</f>
        <v/>
      </c>
      <c r="BG131">
        <f>IF(OR(BG$4="",$A131&gt;TODAY()),0,IF(OR(INDEX($B131:$D131,BG$5)="F",AND(BG$6&gt;0,$A131&lt;BG$6),AND(BG$7&gt;0,$A131&gt;BG$7)),0,MAX(0,ROUND((INDEX($E131:$G131,BG$5)-SUMIFS(TF_Timer,TF_Tekniker,BG$4,TF_Dato,$A131))*2,0)/2)))</f>
        <v/>
      </c>
      <c r="BH131">
        <f>IF(OR(BH$4="",$A131&gt;TODAY()),0,IF(OR(INDEX($B131:$D131,BH$5)="F",AND(BH$6&gt;0,$A131&lt;BH$6),AND(BH$7&gt;0,$A131&gt;BH$7)),0,MAX(0,ROUND((INDEX($E131:$G131,BH$5)-SUMIFS(TF_Timer,TF_Tekniker,BH$4,TF_Dato,$A131))*2,0)/2)))</f>
        <v/>
      </c>
      <c r="BI131">
        <f>IF(OR(BI$4="",$A131&gt;TODAY()),0,IF(OR(INDEX($B131:$D131,BI$5)="F",AND(BI$6&gt;0,$A131&lt;BI$6),AND(BI$7&gt;0,$A131&gt;BI$7)),0,MAX(0,ROUND((INDEX($E131:$G131,BI$5)-SUMIFS(TF_Timer,TF_Tekniker,BI$4,TF_Dato,$A131))*2,0)/2)))</f>
        <v/>
      </c>
    </row>
    <row r="132">
      <c r="A132" s="64">
        <f>A131+1</f>
        <v/>
      </c>
      <c r="B132">
        <f>IF(MOD($A132-INDEX(SkiftStart,1),Syklus)&lt;DagK,"K",IF(MOD($A132-INDEX(SkiftStart,1),Syklus)&lt;DagK+DagH,"H",IF(MOD($A132-INDEX(SkiftStart,1),Syklus)&lt;DagK+DagH+DagD,"D","F")))</f>
        <v/>
      </c>
      <c r="C132">
        <f>IF(MOD($A132-INDEX(SkiftStart,2),Syklus)&lt;DagK,"K",IF(MOD($A132-INDEX(SkiftStart,2),Syklus)&lt;DagK+DagH,"H",IF(MOD($A132-INDEX(SkiftStart,2),Syklus)&lt;DagK+DagH+DagD,"D","F")))</f>
        <v/>
      </c>
      <c r="D132">
        <f>IF(MOD($A132-INDEX(SkiftStart,3),Syklus)&lt;DagK,"K",IF(MOD($A132-INDEX(SkiftStart,3),Syklus)&lt;DagK+DagH,"H",IF(MOD($A132-INDEX(SkiftStart,3),Syklus)&lt;DagK+DagH+DagD,"D","F")))</f>
        <v/>
      </c>
      <c r="E132">
        <f>IF(B132="F",0,IF(WEEKDAY($A132,2)=5,INDEX(TimerFr,MATCH(B132,FaseKode,0)),INDEX(TimerMT,MATCH(B132,FaseKode,0))))</f>
        <v/>
      </c>
      <c r="F132">
        <f>IF(C132="F",0,IF(WEEKDAY($A132,2)=5,INDEX(TimerFr,MATCH(C132,FaseKode,0)),INDEX(TimerMT,MATCH(C132,FaseKode,0))))</f>
        <v/>
      </c>
      <c r="G132">
        <f>IF(D132="F",0,IF(WEEKDAY($A132,2)=5,INDEX(TimerFr,MATCH(D132,FaseKode,0)),INDEX(TimerMT,MATCH(D132,FaseKode,0))))</f>
        <v/>
      </c>
      <c r="H132">
        <f>IF(OR(H$4="",$A132&gt;TODAY()),0,IF(OR(INDEX($B132:$D132,H$5)="F",AND(H$6&gt;0,$A132&lt;H$6),AND(H$7&gt;0,$A132&gt;H$7)),0,MAX(0,ROUND((INDEX($E132:$G132,H$5)-SUMIFS(TF_Timer,TF_Tekniker,H$4,TF_Dato,$A132))*2,0)/2)))</f>
        <v/>
      </c>
      <c r="I132">
        <f>IF(OR(I$4="",$A132&gt;TODAY()),0,IF(OR(INDEX($B132:$D132,I$5)="F",AND(I$6&gt;0,$A132&lt;I$6),AND(I$7&gt;0,$A132&gt;I$7)),0,MAX(0,ROUND((INDEX($E132:$G132,I$5)-SUMIFS(TF_Timer,TF_Tekniker,I$4,TF_Dato,$A132))*2,0)/2)))</f>
        <v/>
      </c>
      <c r="J132">
        <f>IF(OR(J$4="",$A132&gt;TODAY()),0,IF(OR(INDEX($B132:$D132,J$5)="F",AND(J$6&gt;0,$A132&lt;J$6),AND(J$7&gt;0,$A132&gt;J$7)),0,MAX(0,ROUND((INDEX($E132:$G132,J$5)-SUMIFS(TF_Timer,TF_Tekniker,J$4,TF_Dato,$A132))*2,0)/2)))</f>
        <v/>
      </c>
      <c r="K132">
        <f>IF(OR(K$4="",$A132&gt;TODAY()),0,IF(OR(INDEX($B132:$D132,K$5)="F",AND(K$6&gt;0,$A132&lt;K$6),AND(K$7&gt;0,$A132&gt;K$7)),0,MAX(0,ROUND((INDEX($E132:$G132,K$5)-SUMIFS(TF_Timer,TF_Tekniker,K$4,TF_Dato,$A132))*2,0)/2)))</f>
        <v/>
      </c>
      <c r="L132">
        <f>IF(OR(L$4="",$A132&gt;TODAY()),0,IF(OR(INDEX($B132:$D132,L$5)="F",AND(L$6&gt;0,$A132&lt;L$6),AND(L$7&gt;0,$A132&gt;L$7)),0,MAX(0,ROUND((INDEX($E132:$G132,L$5)-SUMIFS(TF_Timer,TF_Tekniker,L$4,TF_Dato,$A132))*2,0)/2)))</f>
        <v/>
      </c>
      <c r="M132">
        <f>IF(OR(M$4="",$A132&gt;TODAY()),0,IF(OR(INDEX($B132:$D132,M$5)="F",AND(M$6&gt;0,$A132&lt;M$6),AND(M$7&gt;0,$A132&gt;M$7)),0,MAX(0,ROUND((INDEX($E132:$G132,M$5)-SUMIFS(TF_Timer,TF_Tekniker,M$4,TF_Dato,$A132))*2,0)/2)))</f>
        <v/>
      </c>
      <c r="N132">
        <f>IF(OR(N$4="",$A132&gt;TODAY()),0,IF(OR(INDEX($B132:$D132,N$5)="F",AND(N$6&gt;0,$A132&lt;N$6),AND(N$7&gt;0,$A132&gt;N$7)),0,MAX(0,ROUND((INDEX($E132:$G132,N$5)-SUMIFS(TF_Timer,TF_Tekniker,N$4,TF_Dato,$A132))*2,0)/2)))</f>
        <v/>
      </c>
      <c r="O132">
        <f>IF(OR(O$4="",$A132&gt;TODAY()),0,IF(OR(INDEX($B132:$D132,O$5)="F",AND(O$6&gt;0,$A132&lt;O$6),AND(O$7&gt;0,$A132&gt;O$7)),0,MAX(0,ROUND((INDEX($E132:$G132,O$5)-SUMIFS(TF_Timer,TF_Tekniker,O$4,TF_Dato,$A132))*2,0)/2)))</f>
        <v/>
      </c>
      <c r="P132">
        <f>IF(OR(P$4="",$A132&gt;TODAY()),0,IF(OR(INDEX($B132:$D132,P$5)="F",AND(P$6&gt;0,$A132&lt;P$6),AND(P$7&gt;0,$A132&gt;P$7)),0,MAX(0,ROUND((INDEX($E132:$G132,P$5)-SUMIFS(TF_Timer,TF_Tekniker,P$4,TF_Dato,$A132))*2,0)/2)))</f>
        <v/>
      </c>
      <c r="Q132">
        <f>IF(OR(Q$4="",$A132&gt;TODAY()),0,IF(OR(INDEX($B132:$D132,Q$5)="F",AND(Q$6&gt;0,$A132&lt;Q$6),AND(Q$7&gt;0,$A132&gt;Q$7)),0,MAX(0,ROUND((INDEX($E132:$G132,Q$5)-SUMIFS(TF_Timer,TF_Tekniker,Q$4,TF_Dato,$A132))*2,0)/2)))</f>
        <v/>
      </c>
      <c r="R132">
        <f>IF(OR(R$4="",$A132&gt;TODAY()),0,IF(OR(INDEX($B132:$D132,R$5)="F",AND(R$6&gt;0,$A132&lt;R$6),AND(R$7&gt;0,$A132&gt;R$7)),0,MAX(0,ROUND((INDEX($E132:$G132,R$5)-SUMIFS(TF_Timer,TF_Tekniker,R$4,TF_Dato,$A132))*2,0)/2)))</f>
        <v/>
      </c>
      <c r="S132">
        <f>IF(OR(S$4="",$A132&gt;TODAY()),0,IF(OR(INDEX($B132:$D132,S$5)="F",AND(S$6&gt;0,$A132&lt;S$6),AND(S$7&gt;0,$A132&gt;S$7)),0,MAX(0,ROUND((INDEX($E132:$G132,S$5)-SUMIFS(TF_Timer,TF_Tekniker,S$4,TF_Dato,$A132))*2,0)/2)))</f>
        <v/>
      </c>
      <c r="T132">
        <f>IF(OR(T$4="",$A132&gt;TODAY()),0,IF(OR(INDEX($B132:$D132,T$5)="F",AND(T$6&gt;0,$A132&lt;T$6),AND(T$7&gt;0,$A132&gt;T$7)),0,MAX(0,ROUND((INDEX($E132:$G132,T$5)-SUMIFS(TF_Timer,TF_Tekniker,T$4,TF_Dato,$A132))*2,0)/2)))</f>
        <v/>
      </c>
      <c r="U132">
        <f>IF(OR(U$4="",$A132&gt;TODAY()),0,IF(OR(INDEX($B132:$D132,U$5)="F",AND(U$6&gt;0,$A132&lt;U$6),AND(U$7&gt;0,$A132&gt;U$7)),0,MAX(0,ROUND((INDEX($E132:$G132,U$5)-SUMIFS(TF_Timer,TF_Tekniker,U$4,TF_Dato,$A132))*2,0)/2)))</f>
        <v/>
      </c>
      <c r="V132">
        <f>IF(OR(V$4="",$A132&gt;TODAY()),0,IF(OR(INDEX($B132:$D132,V$5)="F",AND(V$6&gt;0,$A132&lt;V$6),AND(V$7&gt;0,$A132&gt;V$7)),0,MAX(0,ROUND((INDEX($E132:$G132,V$5)-SUMIFS(TF_Timer,TF_Tekniker,V$4,TF_Dato,$A132))*2,0)/2)))</f>
        <v/>
      </c>
      <c r="W132">
        <f>IF(OR(W$4="",$A132&gt;TODAY()),0,IF(OR(INDEX($B132:$D132,W$5)="F",AND(W$6&gt;0,$A132&lt;W$6),AND(W$7&gt;0,$A132&gt;W$7)),0,MAX(0,ROUND((INDEX($E132:$G132,W$5)-SUMIFS(TF_Timer,TF_Tekniker,W$4,TF_Dato,$A132))*2,0)/2)))</f>
        <v/>
      </c>
      <c r="X132">
        <f>IF(OR(X$4="",$A132&gt;TODAY()),0,IF(OR(INDEX($B132:$D132,X$5)="F",AND(X$6&gt;0,$A132&lt;X$6),AND(X$7&gt;0,$A132&gt;X$7)),0,MAX(0,ROUND((INDEX($E132:$G132,X$5)-SUMIFS(TF_Timer,TF_Tekniker,X$4,TF_Dato,$A132))*2,0)/2)))</f>
        <v/>
      </c>
      <c r="Y132">
        <f>IF(OR(Y$4="",$A132&gt;TODAY()),0,IF(OR(INDEX($B132:$D132,Y$5)="F",AND(Y$6&gt;0,$A132&lt;Y$6),AND(Y$7&gt;0,$A132&gt;Y$7)),0,MAX(0,ROUND((INDEX($E132:$G132,Y$5)-SUMIFS(TF_Timer,TF_Tekniker,Y$4,TF_Dato,$A132))*2,0)/2)))</f>
        <v/>
      </c>
      <c r="Z132">
        <f>IF(OR(Z$4="",$A132&gt;TODAY()),0,IF(OR(INDEX($B132:$D132,Z$5)="F",AND(Z$6&gt;0,$A132&lt;Z$6),AND(Z$7&gt;0,$A132&gt;Z$7)),0,MAX(0,ROUND((INDEX($E132:$G132,Z$5)-SUMIFS(TF_Timer,TF_Tekniker,Z$4,TF_Dato,$A132))*2,0)/2)))</f>
        <v/>
      </c>
      <c r="AA132">
        <f>IF(OR(AA$4="",$A132&gt;TODAY()),0,IF(OR(INDEX($B132:$D132,AA$5)="F",AND(AA$6&gt;0,$A132&lt;AA$6),AND(AA$7&gt;0,$A132&gt;AA$7)),0,MAX(0,ROUND((INDEX($E132:$G132,AA$5)-SUMIFS(TF_Timer,TF_Tekniker,AA$4,TF_Dato,$A132))*2,0)/2)))</f>
        <v/>
      </c>
      <c r="AB132">
        <f>IF(OR(AB$4="",$A132&gt;TODAY()),0,IF(OR(INDEX($B132:$D132,AB$5)="F",AND(AB$6&gt;0,$A132&lt;AB$6),AND(AB$7&gt;0,$A132&gt;AB$7)),0,MAX(0,ROUND((INDEX($E132:$G132,AB$5)-SUMIFS(TF_Timer,TF_Tekniker,AB$4,TF_Dato,$A132))*2,0)/2)))</f>
        <v/>
      </c>
      <c r="AC132">
        <f>IF(OR(AC$4="",$A132&gt;TODAY()),0,IF(OR(INDEX($B132:$D132,AC$5)="F",AND(AC$6&gt;0,$A132&lt;AC$6),AND(AC$7&gt;0,$A132&gt;AC$7)),0,MAX(0,ROUND((INDEX($E132:$G132,AC$5)-SUMIFS(TF_Timer,TF_Tekniker,AC$4,TF_Dato,$A132))*2,0)/2)))</f>
        <v/>
      </c>
      <c r="AD132">
        <f>IF(OR(AD$4="",$A132&gt;TODAY()),0,IF(OR(INDEX($B132:$D132,AD$5)="F",AND(AD$6&gt;0,$A132&lt;AD$6),AND(AD$7&gt;0,$A132&gt;AD$7)),0,MAX(0,ROUND((INDEX($E132:$G132,AD$5)-SUMIFS(TF_Timer,TF_Tekniker,AD$4,TF_Dato,$A132))*2,0)/2)))</f>
        <v/>
      </c>
      <c r="AE132">
        <f>IF(OR(AE$4="",$A132&gt;TODAY()),0,IF(OR(INDEX($B132:$D132,AE$5)="F",AND(AE$6&gt;0,$A132&lt;AE$6),AND(AE$7&gt;0,$A132&gt;AE$7)),0,MAX(0,ROUND((INDEX($E132:$G132,AE$5)-SUMIFS(TF_Timer,TF_Tekniker,AE$4,TF_Dato,$A132))*2,0)/2)))</f>
        <v/>
      </c>
      <c r="AF132">
        <f>IF(OR(AF$4="",$A132&gt;TODAY()),0,IF(OR(INDEX($B132:$D132,AF$5)="F",AND(AF$6&gt;0,$A132&lt;AF$6),AND(AF$7&gt;0,$A132&gt;AF$7)),0,MAX(0,ROUND((INDEX($E132:$G132,AF$5)-SUMIFS(TF_Timer,TF_Tekniker,AF$4,TF_Dato,$A132))*2,0)/2)))</f>
        <v/>
      </c>
      <c r="AG132">
        <f>IF(OR(AG$4="",$A132&gt;TODAY()),0,IF(OR(INDEX($B132:$D132,AG$5)="F",AND(AG$6&gt;0,$A132&lt;AG$6),AND(AG$7&gt;0,$A132&gt;AG$7)),0,MAX(0,ROUND((INDEX($E132:$G132,AG$5)-SUMIFS(TF_Timer,TF_Tekniker,AG$4,TF_Dato,$A132))*2,0)/2)))</f>
        <v/>
      </c>
      <c r="AH132">
        <f>IF(OR(AH$4="",$A132&gt;TODAY()),0,IF(OR(INDEX($B132:$D132,AH$5)="F",AND(AH$6&gt;0,$A132&lt;AH$6),AND(AH$7&gt;0,$A132&gt;AH$7)),0,MAX(0,ROUND((INDEX($E132:$G132,AH$5)-SUMIFS(TF_Timer,TF_Tekniker,AH$4,TF_Dato,$A132))*2,0)/2)))</f>
        <v/>
      </c>
      <c r="AI132">
        <f>IF(OR(AI$4="",$A132&gt;TODAY()),0,IF(OR(INDEX($B132:$D132,AI$5)="F",AND(AI$6&gt;0,$A132&lt;AI$6),AND(AI$7&gt;0,$A132&gt;AI$7)),0,MAX(0,ROUND((INDEX($E132:$G132,AI$5)-SUMIFS(TF_Timer,TF_Tekniker,AI$4,TF_Dato,$A132))*2,0)/2)))</f>
        <v/>
      </c>
      <c r="AJ132">
        <f>IF(OR(AJ$4="",$A132&gt;TODAY()),0,IF(OR(INDEX($B132:$D132,AJ$5)="F",AND(AJ$6&gt;0,$A132&lt;AJ$6),AND(AJ$7&gt;0,$A132&gt;AJ$7)),0,MAX(0,ROUND((INDEX($E132:$G132,AJ$5)-SUMIFS(TF_Timer,TF_Tekniker,AJ$4,TF_Dato,$A132))*2,0)/2)))</f>
        <v/>
      </c>
      <c r="AK132">
        <f>IF(OR(AK$4="",$A132&gt;TODAY()),0,IF(OR(INDEX($B132:$D132,AK$5)="F",AND(AK$6&gt;0,$A132&lt;AK$6),AND(AK$7&gt;0,$A132&gt;AK$7)),0,MAX(0,ROUND((INDEX($E132:$G132,AK$5)-SUMIFS(TF_Timer,TF_Tekniker,AK$4,TF_Dato,$A132))*2,0)/2)))</f>
        <v/>
      </c>
      <c r="AL132">
        <f>IF(OR(AL$4="",$A132&gt;TODAY()),0,IF(OR(INDEX($B132:$D132,AL$5)="F",AND(AL$6&gt;0,$A132&lt;AL$6),AND(AL$7&gt;0,$A132&gt;AL$7)),0,MAX(0,ROUND((INDEX($E132:$G132,AL$5)-SUMIFS(TF_Timer,TF_Tekniker,AL$4,TF_Dato,$A132))*2,0)/2)))</f>
        <v/>
      </c>
      <c r="AM132">
        <f>IF(OR(AM$4="",$A132&gt;TODAY()),0,IF(OR(INDEX($B132:$D132,AM$5)="F",AND(AM$6&gt;0,$A132&lt;AM$6),AND(AM$7&gt;0,$A132&gt;AM$7)),0,MAX(0,ROUND((INDEX($E132:$G132,AM$5)-SUMIFS(TF_Timer,TF_Tekniker,AM$4,TF_Dato,$A132))*2,0)/2)))</f>
        <v/>
      </c>
      <c r="AN132">
        <f>IF(OR(AN$4="",$A132&gt;TODAY()),0,IF(OR(INDEX($B132:$D132,AN$5)="F",AND(AN$6&gt;0,$A132&lt;AN$6),AND(AN$7&gt;0,$A132&gt;AN$7)),0,MAX(0,ROUND((INDEX($E132:$G132,AN$5)-SUMIFS(TF_Timer,TF_Tekniker,AN$4,TF_Dato,$A132))*2,0)/2)))</f>
        <v/>
      </c>
      <c r="AO132">
        <f>IF(OR(AO$4="",$A132&gt;TODAY()),0,IF(OR(INDEX($B132:$D132,AO$5)="F",AND(AO$6&gt;0,$A132&lt;AO$6),AND(AO$7&gt;0,$A132&gt;AO$7)),0,MAX(0,ROUND((INDEX($E132:$G132,AO$5)-SUMIFS(TF_Timer,TF_Tekniker,AO$4,TF_Dato,$A132))*2,0)/2)))</f>
        <v/>
      </c>
      <c r="AP132">
        <f>IF(OR(AP$4="",$A132&gt;TODAY()),0,IF(OR(INDEX($B132:$D132,AP$5)="F",AND(AP$6&gt;0,$A132&lt;AP$6),AND(AP$7&gt;0,$A132&gt;AP$7)),0,MAX(0,ROUND((INDEX($E132:$G132,AP$5)-SUMIFS(TF_Timer,TF_Tekniker,AP$4,TF_Dato,$A132))*2,0)/2)))</f>
        <v/>
      </c>
      <c r="AQ132">
        <f>IF(OR(AQ$4="",$A132&gt;TODAY()),0,IF(OR(INDEX($B132:$D132,AQ$5)="F",AND(AQ$6&gt;0,$A132&lt;AQ$6),AND(AQ$7&gt;0,$A132&gt;AQ$7)),0,MAX(0,ROUND((INDEX($E132:$G132,AQ$5)-SUMIFS(TF_Timer,TF_Tekniker,AQ$4,TF_Dato,$A132))*2,0)/2)))</f>
        <v/>
      </c>
      <c r="AR132">
        <f>IF(OR(AR$4="",$A132&gt;TODAY()),0,IF(OR(INDEX($B132:$D132,AR$5)="F",AND(AR$6&gt;0,$A132&lt;AR$6),AND(AR$7&gt;0,$A132&gt;AR$7)),0,MAX(0,ROUND((INDEX($E132:$G132,AR$5)-SUMIFS(TF_Timer,TF_Tekniker,AR$4,TF_Dato,$A132))*2,0)/2)))</f>
        <v/>
      </c>
      <c r="AS132">
        <f>IF(OR(AS$4="",$A132&gt;TODAY()),0,IF(OR(INDEX($B132:$D132,AS$5)="F",AND(AS$6&gt;0,$A132&lt;AS$6),AND(AS$7&gt;0,$A132&gt;AS$7)),0,MAX(0,ROUND((INDEX($E132:$G132,AS$5)-SUMIFS(TF_Timer,TF_Tekniker,AS$4,TF_Dato,$A132))*2,0)/2)))</f>
        <v/>
      </c>
      <c r="AT132">
        <f>IF(OR(AT$4="",$A132&gt;TODAY()),0,IF(OR(INDEX($B132:$D132,AT$5)="F",AND(AT$6&gt;0,$A132&lt;AT$6),AND(AT$7&gt;0,$A132&gt;AT$7)),0,MAX(0,ROUND((INDEX($E132:$G132,AT$5)-SUMIFS(TF_Timer,TF_Tekniker,AT$4,TF_Dato,$A132))*2,0)/2)))</f>
        <v/>
      </c>
      <c r="AU132">
        <f>IF(OR(AU$4="",$A132&gt;TODAY()),0,IF(OR(INDEX($B132:$D132,AU$5)="F",AND(AU$6&gt;0,$A132&lt;AU$6),AND(AU$7&gt;0,$A132&gt;AU$7)),0,MAX(0,ROUND((INDEX($E132:$G132,AU$5)-SUMIFS(TF_Timer,TF_Tekniker,AU$4,TF_Dato,$A132))*2,0)/2)))</f>
        <v/>
      </c>
      <c r="AV132">
        <f>IF(OR(AV$4="",$A132&gt;TODAY()),0,IF(OR(INDEX($B132:$D132,AV$5)="F",AND(AV$6&gt;0,$A132&lt;AV$6),AND(AV$7&gt;0,$A132&gt;AV$7)),0,MAX(0,ROUND((INDEX($E132:$G132,AV$5)-SUMIFS(TF_Timer,TF_Tekniker,AV$4,TF_Dato,$A132))*2,0)/2)))</f>
        <v/>
      </c>
      <c r="AW132">
        <f>IF(OR(AW$4="",$A132&gt;TODAY()),0,IF(OR(INDEX($B132:$D132,AW$5)="F",AND(AW$6&gt;0,$A132&lt;AW$6),AND(AW$7&gt;0,$A132&gt;AW$7)),0,MAX(0,ROUND((INDEX($E132:$G132,AW$5)-SUMIFS(TF_Timer,TF_Tekniker,AW$4,TF_Dato,$A132))*2,0)/2)))</f>
        <v/>
      </c>
      <c r="AX132">
        <f>IF(OR(AX$4="",$A132&gt;TODAY()),0,IF(OR(INDEX($B132:$D132,AX$5)="F",AND(AX$6&gt;0,$A132&lt;AX$6),AND(AX$7&gt;0,$A132&gt;AX$7)),0,MAX(0,ROUND((INDEX($E132:$G132,AX$5)-SUMIFS(TF_Timer,TF_Tekniker,AX$4,TF_Dato,$A132))*2,0)/2)))</f>
        <v/>
      </c>
      <c r="AY132">
        <f>IF(OR(AY$4="",$A132&gt;TODAY()),0,IF(OR(INDEX($B132:$D132,AY$5)="F",AND(AY$6&gt;0,$A132&lt;AY$6),AND(AY$7&gt;0,$A132&gt;AY$7)),0,MAX(0,ROUND((INDEX($E132:$G132,AY$5)-SUMIFS(TF_Timer,TF_Tekniker,AY$4,TF_Dato,$A132))*2,0)/2)))</f>
        <v/>
      </c>
      <c r="AZ132">
        <f>IF(OR(AZ$4="",$A132&gt;TODAY()),0,IF(OR(INDEX($B132:$D132,AZ$5)="F",AND(AZ$6&gt;0,$A132&lt;AZ$6),AND(AZ$7&gt;0,$A132&gt;AZ$7)),0,MAX(0,ROUND((INDEX($E132:$G132,AZ$5)-SUMIFS(TF_Timer,TF_Tekniker,AZ$4,TF_Dato,$A132))*2,0)/2)))</f>
        <v/>
      </c>
      <c r="BA132">
        <f>IF(OR(BA$4="",$A132&gt;TODAY()),0,IF(OR(INDEX($B132:$D132,BA$5)="F",AND(BA$6&gt;0,$A132&lt;BA$6),AND(BA$7&gt;0,$A132&gt;BA$7)),0,MAX(0,ROUND((INDEX($E132:$G132,BA$5)-SUMIFS(TF_Timer,TF_Tekniker,BA$4,TF_Dato,$A132))*2,0)/2)))</f>
        <v/>
      </c>
      <c r="BB132">
        <f>IF(OR(BB$4="",$A132&gt;TODAY()),0,IF(OR(INDEX($B132:$D132,BB$5)="F",AND(BB$6&gt;0,$A132&lt;BB$6),AND(BB$7&gt;0,$A132&gt;BB$7)),0,MAX(0,ROUND((INDEX($E132:$G132,BB$5)-SUMIFS(TF_Timer,TF_Tekniker,BB$4,TF_Dato,$A132))*2,0)/2)))</f>
        <v/>
      </c>
      <c r="BC132">
        <f>IF(OR(BC$4="",$A132&gt;TODAY()),0,IF(OR(INDEX($B132:$D132,BC$5)="F",AND(BC$6&gt;0,$A132&lt;BC$6),AND(BC$7&gt;0,$A132&gt;BC$7)),0,MAX(0,ROUND((INDEX($E132:$G132,BC$5)-SUMIFS(TF_Timer,TF_Tekniker,BC$4,TF_Dato,$A132))*2,0)/2)))</f>
        <v/>
      </c>
      <c r="BD132">
        <f>IF(OR(BD$4="",$A132&gt;TODAY()),0,IF(OR(INDEX($B132:$D132,BD$5)="F",AND(BD$6&gt;0,$A132&lt;BD$6),AND(BD$7&gt;0,$A132&gt;BD$7)),0,MAX(0,ROUND((INDEX($E132:$G132,BD$5)-SUMIFS(TF_Timer,TF_Tekniker,BD$4,TF_Dato,$A132))*2,0)/2)))</f>
        <v/>
      </c>
      <c r="BE132">
        <f>IF(OR(BE$4="",$A132&gt;TODAY()),0,IF(OR(INDEX($B132:$D132,BE$5)="F",AND(BE$6&gt;0,$A132&lt;BE$6),AND(BE$7&gt;0,$A132&gt;BE$7)),0,MAX(0,ROUND((INDEX($E132:$G132,BE$5)-SUMIFS(TF_Timer,TF_Tekniker,BE$4,TF_Dato,$A132))*2,0)/2)))</f>
        <v/>
      </c>
      <c r="BF132">
        <f>IF(OR(BF$4="",$A132&gt;TODAY()),0,IF(OR(INDEX($B132:$D132,BF$5)="F",AND(BF$6&gt;0,$A132&lt;BF$6),AND(BF$7&gt;0,$A132&gt;BF$7)),0,MAX(0,ROUND((INDEX($E132:$G132,BF$5)-SUMIFS(TF_Timer,TF_Tekniker,BF$4,TF_Dato,$A132))*2,0)/2)))</f>
        <v/>
      </c>
      <c r="BG132">
        <f>IF(OR(BG$4="",$A132&gt;TODAY()),0,IF(OR(INDEX($B132:$D132,BG$5)="F",AND(BG$6&gt;0,$A132&lt;BG$6),AND(BG$7&gt;0,$A132&gt;BG$7)),0,MAX(0,ROUND((INDEX($E132:$G132,BG$5)-SUMIFS(TF_Timer,TF_Tekniker,BG$4,TF_Dato,$A132))*2,0)/2)))</f>
        <v/>
      </c>
      <c r="BH132">
        <f>IF(OR(BH$4="",$A132&gt;TODAY()),0,IF(OR(INDEX($B132:$D132,BH$5)="F",AND(BH$6&gt;0,$A132&lt;BH$6),AND(BH$7&gt;0,$A132&gt;BH$7)),0,MAX(0,ROUND((INDEX($E132:$G132,BH$5)-SUMIFS(TF_Timer,TF_Tekniker,BH$4,TF_Dato,$A132))*2,0)/2)))</f>
        <v/>
      </c>
      <c r="BI132">
        <f>IF(OR(BI$4="",$A132&gt;TODAY()),0,IF(OR(INDEX($B132:$D132,BI$5)="F",AND(BI$6&gt;0,$A132&lt;BI$6),AND(BI$7&gt;0,$A132&gt;BI$7)),0,MAX(0,ROUND((INDEX($E132:$G132,BI$5)-SUMIFS(TF_Timer,TF_Tekniker,BI$4,TF_Dato,$A132))*2,0)/2)))</f>
        <v/>
      </c>
    </row>
    <row r="133">
      <c r="A133" s="64">
        <f>A132+1</f>
        <v/>
      </c>
      <c r="B133">
        <f>IF(MOD($A133-INDEX(SkiftStart,1),Syklus)&lt;DagK,"K",IF(MOD($A133-INDEX(SkiftStart,1),Syklus)&lt;DagK+DagH,"H",IF(MOD($A133-INDEX(SkiftStart,1),Syklus)&lt;DagK+DagH+DagD,"D","F")))</f>
        <v/>
      </c>
      <c r="C133">
        <f>IF(MOD($A133-INDEX(SkiftStart,2),Syklus)&lt;DagK,"K",IF(MOD($A133-INDEX(SkiftStart,2),Syklus)&lt;DagK+DagH,"H",IF(MOD($A133-INDEX(SkiftStart,2),Syklus)&lt;DagK+DagH+DagD,"D","F")))</f>
        <v/>
      </c>
      <c r="D133">
        <f>IF(MOD($A133-INDEX(SkiftStart,3),Syklus)&lt;DagK,"K",IF(MOD($A133-INDEX(SkiftStart,3),Syklus)&lt;DagK+DagH,"H",IF(MOD($A133-INDEX(SkiftStart,3),Syklus)&lt;DagK+DagH+DagD,"D","F")))</f>
        <v/>
      </c>
      <c r="E133">
        <f>IF(B133="F",0,IF(WEEKDAY($A133,2)=5,INDEX(TimerFr,MATCH(B133,FaseKode,0)),INDEX(TimerMT,MATCH(B133,FaseKode,0))))</f>
        <v/>
      </c>
      <c r="F133">
        <f>IF(C133="F",0,IF(WEEKDAY($A133,2)=5,INDEX(TimerFr,MATCH(C133,FaseKode,0)),INDEX(TimerMT,MATCH(C133,FaseKode,0))))</f>
        <v/>
      </c>
      <c r="G133">
        <f>IF(D133="F",0,IF(WEEKDAY($A133,2)=5,INDEX(TimerFr,MATCH(D133,FaseKode,0)),INDEX(TimerMT,MATCH(D133,FaseKode,0))))</f>
        <v/>
      </c>
      <c r="H133">
        <f>IF(OR(H$4="",$A133&gt;TODAY()),0,IF(OR(INDEX($B133:$D133,H$5)="F",AND(H$6&gt;0,$A133&lt;H$6),AND(H$7&gt;0,$A133&gt;H$7)),0,MAX(0,ROUND((INDEX($E133:$G133,H$5)-SUMIFS(TF_Timer,TF_Tekniker,H$4,TF_Dato,$A133))*2,0)/2)))</f>
        <v/>
      </c>
      <c r="I133">
        <f>IF(OR(I$4="",$A133&gt;TODAY()),0,IF(OR(INDEX($B133:$D133,I$5)="F",AND(I$6&gt;0,$A133&lt;I$6),AND(I$7&gt;0,$A133&gt;I$7)),0,MAX(0,ROUND((INDEX($E133:$G133,I$5)-SUMIFS(TF_Timer,TF_Tekniker,I$4,TF_Dato,$A133))*2,0)/2)))</f>
        <v/>
      </c>
      <c r="J133">
        <f>IF(OR(J$4="",$A133&gt;TODAY()),0,IF(OR(INDEX($B133:$D133,J$5)="F",AND(J$6&gt;0,$A133&lt;J$6),AND(J$7&gt;0,$A133&gt;J$7)),0,MAX(0,ROUND((INDEX($E133:$G133,J$5)-SUMIFS(TF_Timer,TF_Tekniker,J$4,TF_Dato,$A133))*2,0)/2)))</f>
        <v/>
      </c>
      <c r="K133">
        <f>IF(OR(K$4="",$A133&gt;TODAY()),0,IF(OR(INDEX($B133:$D133,K$5)="F",AND(K$6&gt;0,$A133&lt;K$6),AND(K$7&gt;0,$A133&gt;K$7)),0,MAX(0,ROUND((INDEX($E133:$G133,K$5)-SUMIFS(TF_Timer,TF_Tekniker,K$4,TF_Dato,$A133))*2,0)/2)))</f>
        <v/>
      </c>
      <c r="L133">
        <f>IF(OR(L$4="",$A133&gt;TODAY()),0,IF(OR(INDEX($B133:$D133,L$5)="F",AND(L$6&gt;0,$A133&lt;L$6),AND(L$7&gt;0,$A133&gt;L$7)),0,MAX(0,ROUND((INDEX($E133:$G133,L$5)-SUMIFS(TF_Timer,TF_Tekniker,L$4,TF_Dato,$A133))*2,0)/2)))</f>
        <v/>
      </c>
      <c r="M133">
        <f>IF(OR(M$4="",$A133&gt;TODAY()),0,IF(OR(INDEX($B133:$D133,M$5)="F",AND(M$6&gt;0,$A133&lt;M$6),AND(M$7&gt;0,$A133&gt;M$7)),0,MAX(0,ROUND((INDEX($E133:$G133,M$5)-SUMIFS(TF_Timer,TF_Tekniker,M$4,TF_Dato,$A133))*2,0)/2)))</f>
        <v/>
      </c>
      <c r="N133">
        <f>IF(OR(N$4="",$A133&gt;TODAY()),0,IF(OR(INDEX($B133:$D133,N$5)="F",AND(N$6&gt;0,$A133&lt;N$6),AND(N$7&gt;0,$A133&gt;N$7)),0,MAX(0,ROUND((INDEX($E133:$G133,N$5)-SUMIFS(TF_Timer,TF_Tekniker,N$4,TF_Dato,$A133))*2,0)/2)))</f>
        <v/>
      </c>
      <c r="O133">
        <f>IF(OR(O$4="",$A133&gt;TODAY()),0,IF(OR(INDEX($B133:$D133,O$5)="F",AND(O$6&gt;0,$A133&lt;O$6),AND(O$7&gt;0,$A133&gt;O$7)),0,MAX(0,ROUND((INDEX($E133:$G133,O$5)-SUMIFS(TF_Timer,TF_Tekniker,O$4,TF_Dato,$A133))*2,0)/2)))</f>
        <v/>
      </c>
      <c r="P133">
        <f>IF(OR(P$4="",$A133&gt;TODAY()),0,IF(OR(INDEX($B133:$D133,P$5)="F",AND(P$6&gt;0,$A133&lt;P$6),AND(P$7&gt;0,$A133&gt;P$7)),0,MAX(0,ROUND((INDEX($E133:$G133,P$5)-SUMIFS(TF_Timer,TF_Tekniker,P$4,TF_Dato,$A133))*2,0)/2)))</f>
        <v/>
      </c>
      <c r="Q133">
        <f>IF(OR(Q$4="",$A133&gt;TODAY()),0,IF(OR(INDEX($B133:$D133,Q$5)="F",AND(Q$6&gt;0,$A133&lt;Q$6),AND(Q$7&gt;0,$A133&gt;Q$7)),0,MAX(0,ROUND((INDEX($E133:$G133,Q$5)-SUMIFS(TF_Timer,TF_Tekniker,Q$4,TF_Dato,$A133))*2,0)/2)))</f>
        <v/>
      </c>
      <c r="R133">
        <f>IF(OR(R$4="",$A133&gt;TODAY()),0,IF(OR(INDEX($B133:$D133,R$5)="F",AND(R$6&gt;0,$A133&lt;R$6),AND(R$7&gt;0,$A133&gt;R$7)),0,MAX(0,ROUND((INDEX($E133:$G133,R$5)-SUMIFS(TF_Timer,TF_Tekniker,R$4,TF_Dato,$A133))*2,0)/2)))</f>
        <v/>
      </c>
      <c r="S133">
        <f>IF(OR(S$4="",$A133&gt;TODAY()),0,IF(OR(INDEX($B133:$D133,S$5)="F",AND(S$6&gt;0,$A133&lt;S$6),AND(S$7&gt;0,$A133&gt;S$7)),0,MAX(0,ROUND((INDEX($E133:$G133,S$5)-SUMIFS(TF_Timer,TF_Tekniker,S$4,TF_Dato,$A133))*2,0)/2)))</f>
        <v/>
      </c>
      <c r="T133">
        <f>IF(OR(T$4="",$A133&gt;TODAY()),0,IF(OR(INDEX($B133:$D133,T$5)="F",AND(T$6&gt;0,$A133&lt;T$6),AND(T$7&gt;0,$A133&gt;T$7)),0,MAX(0,ROUND((INDEX($E133:$G133,T$5)-SUMIFS(TF_Timer,TF_Tekniker,T$4,TF_Dato,$A133))*2,0)/2)))</f>
        <v/>
      </c>
      <c r="U133">
        <f>IF(OR(U$4="",$A133&gt;TODAY()),0,IF(OR(INDEX($B133:$D133,U$5)="F",AND(U$6&gt;0,$A133&lt;U$6),AND(U$7&gt;0,$A133&gt;U$7)),0,MAX(0,ROUND((INDEX($E133:$G133,U$5)-SUMIFS(TF_Timer,TF_Tekniker,U$4,TF_Dato,$A133))*2,0)/2)))</f>
        <v/>
      </c>
      <c r="V133">
        <f>IF(OR(V$4="",$A133&gt;TODAY()),0,IF(OR(INDEX($B133:$D133,V$5)="F",AND(V$6&gt;0,$A133&lt;V$6),AND(V$7&gt;0,$A133&gt;V$7)),0,MAX(0,ROUND((INDEX($E133:$G133,V$5)-SUMIFS(TF_Timer,TF_Tekniker,V$4,TF_Dato,$A133))*2,0)/2)))</f>
        <v/>
      </c>
      <c r="W133">
        <f>IF(OR(W$4="",$A133&gt;TODAY()),0,IF(OR(INDEX($B133:$D133,W$5)="F",AND(W$6&gt;0,$A133&lt;W$6),AND(W$7&gt;0,$A133&gt;W$7)),0,MAX(0,ROUND((INDEX($E133:$G133,W$5)-SUMIFS(TF_Timer,TF_Tekniker,W$4,TF_Dato,$A133))*2,0)/2)))</f>
        <v/>
      </c>
      <c r="X133">
        <f>IF(OR(X$4="",$A133&gt;TODAY()),0,IF(OR(INDEX($B133:$D133,X$5)="F",AND(X$6&gt;0,$A133&lt;X$6),AND(X$7&gt;0,$A133&gt;X$7)),0,MAX(0,ROUND((INDEX($E133:$G133,X$5)-SUMIFS(TF_Timer,TF_Tekniker,X$4,TF_Dato,$A133))*2,0)/2)))</f>
        <v/>
      </c>
      <c r="Y133">
        <f>IF(OR(Y$4="",$A133&gt;TODAY()),0,IF(OR(INDEX($B133:$D133,Y$5)="F",AND(Y$6&gt;0,$A133&lt;Y$6),AND(Y$7&gt;0,$A133&gt;Y$7)),0,MAX(0,ROUND((INDEX($E133:$G133,Y$5)-SUMIFS(TF_Timer,TF_Tekniker,Y$4,TF_Dato,$A133))*2,0)/2)))</f>
        <v/>
      </c>
      <c r="Z133">
        <f>IF(OR(Z$4="",$A133&gt;TODAY()),0,IF(OR(INDEX($B133:$D133,Z$5)="F",AND(Z$6&gt;0,$A133&lt;Z$6),AND(Z$7&gt;0,$A133&gt;Z$7)),0,MAX(0,ROUND((INDEX($E133:$G133,Z$5)-SUMIFS(TF_Timer,TF_Tekniker,Z$4,TF_Dato,$A133))*2,0)/2)))</f>
        <v/>
      </c>
      <c r="AA133">
        <f>IF(OR(AA$4="",$A133&gt;TODAY()),0,IF(OR(INDEX($B133:$D133,AA$5)="F",AND(AA$6&gt;0,$A133&lt;AA$6),AND(AA$7&gt;0,$A133&gt;AA$7)),0,MAX(0,ROUND((INDEX($E133:$G133,AA$5)-SUMIFS(TF_Timer,TF_Tekniker,AA$4,TF_Dato,$A133))*2,0)/2)))</f>
        <v/>
      </c>
      <c r="AB133">
        <f>IF(OR(AB$4="",$A133&gt;TODAY()),0,IF(OR(INDEX($B133:$D133,AB$5)="F",AND(AB$6&gt;0,$A133&lt;AB$6),AND(AB$7&gt;0,$A133&gt;AB$7)),0,MAX(0,ROUND((INDEX($E133:$G133,AB$5)-SUMIFS(TF_Timer,TF_Tekniker,AB$4,TF_Dato,$A133))*2,0)/2)))</f>
        <v/>
      </c>
      <c r="AC133">
        <f>IF(OR(AC$4="",$A133&gt;TODAY()),0,IF(OR(INDEX($B133:$D133,AC$5)="F",AND(AC$6&gt;0,$A133&lt;AC$6),AND(AC$7&gt;0,$A133&gt;AC$7)),0,MAX(0,ROUND((INDEX($E133:$G133,AC$5)-SUMIFS(TF_Timer,TF_Tekniker,AC$4,TF_Dato,$A133))*2,0)/2)))</f>
        <v/>
      </c>
      <c r="AD133">
        <f>IF(OR(AD$4="",$A133&gt;TODAY()),0,IF(OR(INDEX($B133:$D133,AD$5)="F",AND(AD$6&gt;0,$A133&lt;AD$6),AND(AD$7&gt;0,$A133&gt;AD$7)),0,MAX(0,ROUND((INDEX($E133:$G133,AD$5)-SUMIFS(TF_Timer,TF_Tekniker,AD$4,TF_Dato,$A133))*2,0)/2)))</f>
        <v/>
      </c>
      <c r="AE133">
        <f>IF(OR(AE$4="",$A133&gt;TODAY()),0,IF(OR(INDEX($B133:$D133,AE$5)="F",AND(AE$6&gt;0,$A133&lt;AE$6),AND(AE$7&gt;0,$A133&gt;AE$7)),0,MAX(0,ROUND((INDEX($E133:$G133,AE$5)-SUMIFS(TF_Timer,TF_Tekniker,AE$4,TF_Dato,$A133))*2,0)/2)))</f>
        <v/>
      </c>
      <c r="AF133">
        <f>IF(OR(AF$4="",$A133&gt;TODAY()),0,IF(OR(INDEX($B133:$D133,AF$5)="F",AND(AF$6&gt;0,$A133&lt;AF$6),AND(AF$7&gt;0,$A133&gt;AF$7)),0,MAX(0,ROUND((INDEX($E133:$G133,AF$5)-SUMIFS(TF_Timer,TF_Tekniker,AF$4,TF_Dato,$A133))*2,0)/2)))</f>
        <v/>
      </c>
      <c r="AG133">
        <f>IF(OR(AG$4="",$A133&gt;TODAY()),0,IF(OR(INDEX($B133:$D133,AG$5)="F",AND(AG$6&gt;0,$A133&lt;AG$6),AND(AG$7&gt;0,$A133&gt;AG$7)),0,MAX(0,ROUND((INDEX($E133:$G133,AG$5)-SUMIFS(TF_Timer,TF_Tekniker,AG$4,TF_Dato,$A133))*2,0)/2)))</f>
        <v/>
      </c>
      <c r="AH133">
        <f>IF(OR(AH$4="",$A133&gt;TODAY()),0,IF(OR(INDEX($B133:$D133,AH$5)="F",AND(AH$6&gt;0,$A133&lt;AH$6),AND(AH$7&gt;0,$A133&gt;AH$7)),0,MAX(0,ROUND((INDEX($E133:$G133,AH$5)-SUMIFS(TF_Timer,TF_Tekniker,AH$4,TF_Dato,$A133))*2,0)/2)))</f>
        <v/>
      </c>
      <c r="AI133">
        <f>IF(OR(AI$4="",$A133&gt;TODAY()),0,IF(OR(INDEX($B133:$D133,AI$5)="F",AND(AI$6&gt;0,$A133&lt;AI$6),AND(AI$7&gt;0,$A133&gt;AI$7)),0,MAX(0,ROUND((INDEX($E133:$G133,AI$5)-SUMIFS(TF_Timer,TF_Tekniker,AI$4,TF_Dato,$A133))*2,0)/2)))</f>
        <v/>
      </c>
      <c r="AJ133">
        <f>IF(OR(AJ$4="",$A133&gt;TODAY()),0,IF(OR(INDEX($B133:$D133,AJ$5)="F",AND(AJ$6&gt;0,$A133&lt;AJ$6),AND(AJ$7&gt;0,$A133&gt;AJ$7)),0,MAX(0,ROUND((INDEX($E133:$G133,AJ$5)-SUMIFS(TF_Timer,TF_Tekniker,AJ$4,TF_Dato,$A133))*2,0)/2)))</f>
        <v/>
      </c>
      <c r="AK133">
        <f>IF(OR(AK$4="",$A133&gt;TODAY()),0,IF(OR(INDEX($B133:$D133,AK$5)="F",AND(AK$6&gt;0,$A133&lt;AK$6),AND(AK$7&gt;0,$A133&gt;AK$7)),0,MAX(0,ROUND((INDEX($E133:$G133,AK$5)-SUMIFS(TF_Timer,TF_Tekniker,AK$4,TF_Dato,$A133))*2,0)/2)))</f>
        <v/>
      </c>
      <c r="AL133">
        <f>IF(OR(AL$4="",$A133&gt;TODAY()),0,IF(OR(INDEX($B133:$D133,AL$5)="F",AND(AL$6&gt;0,$A133&lt;AL$6),AND(AL$7&gt;0,$A133&gt;AL$7)),0,MAX(0,ROUND((INDEX($E133:$G133,AL$5)-SUMIFS(TF_Timer,TF_Tekniker,AL$4,TF_Dato,$A133))*2,0)/2)))</f>
        <v/>
      </c>
      <c r="AM133">
        <f>IF(OR(AM$4="",$A133&gt;TODAY()),0,IF(OR(INDEX($B133:$D133,AM$5)="F",AND(AM$6&gt;0,$A133&lt;AM$6),AND(AM$7&gt;0,$A133&gt;AM$7)),0,MAX(0,ROUND((INDEX($E133:$G133,AM$5)-SUMIFS(TF_Timer,TF_Tekniker,AM$4,TF_Dato,$A133))*2,0)/2)))</f>
        <v/>
      </c>
      <c r="AN133">
        <f>IF(OR(AN$4="",$A133&gt;TODAY()),0,IF(OR(INDEX($B133:$D133,AN$5)="F",AND(AN$6&gt;0,$A133&lt;AN$6),AND(AN$7&gt;0,$A133&gt;AN$7)),0,MAX(0,ROUND((INDEX($E133:$G133,AN$5)-SUMIFS(TF_Timer,TF_Tekniker,AN$4,TF_Dato,$A133))*2,0)/2)))</f>
        <v/>
      </c>
      <c r="AO133">
        <f>IF(OR(AO$4="",$A133&gt;TODAY()),0,IF(OR(INDEX($B133:$D133,AO$5)="F",AND(AO$6&gt;0,$A133&lt;AO$6),AND(AO$7&gt;0,$A133&gt;AO$7)),0,MAX(0,ROUND((INDEX($E133:$G133,AO$5)-SUMIFS(TF_Timer,TF_Tekniker,AO$4,TF_Dato,$A133))*2,0)/2)))</f>
        <v/>
      </c>
      <c r="AP133">
        <f>IF(OR(AP$4="",$A133&gt;TODAY()),0,IF(OR(INDEX($B133:$D133,AP$5)="F",AND(AP$6&gt;0,$A133&lt;AP$6),AND(AP$7&gt;0,$A133&gt;AP$7)),0,MAX(0,ROUND((INDEX($E133:$G133,AP$5)-SUMIFS(TF_Timer,TF_Tekniker,AP$4,TF_Dato,$A133))*2,0)/2)))</f>
        <v/>
      </c>
      <c r="AQ133">
        <f>IF(OR(AQ$4="",$A133&gt;TODAY()),0,IF(OR(INDEX($B133:$D133,AQ$5)="F",AND(AQ$6&gt;0,$A133&lt;AQ$6),AND(AQ$7&gt;0,$A133&gt;AQ$7)),0,MAX(0,ROUND((INDEX($E133:$G133,AQ$5)-SUMIFS(TF_Timer,TF_Tekniker,AQ$4,TF_Dato,$A133))*2,0)/2)))</f>
        <v/>
      </c>
      <c r="AR133">
        <f>IF(OR(AR$4="",$A133&gt;TODAY()),0,IF(OR(INDEX($B133:$D133,AR$5)="F",AND(AR$6&gt;0,$A133&lt;AR$6),AND(AR$7&gt;0,$A133&gt;AR$7)),0,MAX(0,ROUND((INDEX($E133:$G133,AR$5)-SUMIFS(TF_Timer,TF_Tekniker,AR$4,TF_Dato,$A133))*2,0)/2)))</f>
        <v/>
      </c>
      <c r="AS133">
        <f>IF(OR(AS$4="",$A133&gt;TODAY()),0,IF(OR(INDEX($B133:$D133,AS$5)="F",AND(AS$6&gt;0,$A133&lt;AS$6),AND(AS$7&gt;0,$A133&gt;AS$7)),0,MAX(0,ROUND((INDEX($E133:$G133,AS$5)-SUMIFS(TF_Timer,TF_Tekniker,AS$4,TF_Dato,$A133))*2,0)/2)))</f>
        <v/>
      </c>
      <c r="AT133">
        <f>IF(OR(AT$4="",$A133&gt;TODAY()),0,IF(OR(INDEX($B133:$D133,AT$5)="F",AND(AT$6&gt;0,$A133&lt;AT$6),AND(AT$7&gt;0,$A133&gt;AT$7)),0,MAX(0,ROUND((INDEX($E133:$G133,AT$5)-SUMIFS(TF_Timer,TF_Tekniker,AT$4,TF_Dato,$A133))*2,0)/2)))</f>
        <v/>
      </c>
      <c r="AU133">
        <f>IF(OR(AU$4="",$A133&gt;TODAY()),0,IF(OR(INDEX($B133:$D133,AU$5)="F",AND(AU$6&gt;0,$A133&lt;AU$6),AND(AU$7&gt;0,$A133&gt;AU$7)),0,MAX(0,ROUND((INDEX($E133:$G133,AU$5)-SUMIFS(TF_Timer,TF_Tekniker,AU$4,TF_Dato,$A133))*2,0)/2)))</f>
        <v/>
      </c>
      <c r="AV133">
        <f>IF(OR(AV$4="",$A133&gt;TODAY()),0,IF(OR(INDEX($B133:$D133,AV$5)="F",AND(AV$6&gt;0,$A133&lt;AV$6),AND(AV$7&gt;0,$A133&gt;AV$7)),0,MAX(0,ROUND((INDEX($E133:$G133,AV$5)-SUMIFS(TF_Timer,TF_Tekniker,AV$4,TF_Dato,$A133))*2,0)/2)))</f>
        <v/>
      </c>
      <c r="AW133">
        <f>IF(OR(AW$4="",$A133&gt;TODAY()),0,IF(OR(INDEX($B133:$D133,AW$5)="F",AND(AW$6&gt;0,$A133&lt;AW$6),AND(AW$7&gt;0,$A133&gt;AW$7)),0,MAX(0,ROUND((INDEX($E133:$G133,AW$5)-SUMIFS(TF_Timer,TF_Tekniker,AW$4,TF_Dato,$A133))*2,0)/2)))</f>
        <v/>
      </c>
      <c r="AX133">
        <f>IF(OR(AX$4="",$A133&gt;TODAY()),0,IF(OR(INDEX($B133:$D133,AX$5)="F",AND(AX$6&gt;0,$A133&lt;AX$6),AND(AX$7&gt;0,$A133&gt;AX$7)),0,MAX(0,ROUND((INDEX($E133:$G133,AX$5)-SUMIFS(TF_Timer,TF_Tekniker,AX$4,TF_Dato,$A133))*2,0)/2)))</f>
        <v/>
      </c>
      <c r="AY133">
        <f>IF(OR(AY$4="",$A133&gt;TODAY()),0,IF(OR(INDEX($B133:$D133,AY$5)="F",AND(AY$6&gt;0,$A133&lt;AY$6),AND(AY$7&gt;0,$A133&gt;AY$7)),0,MAX(0,ROUND((INDEX($E133:$G133,AY$5)-SUMIFS(TF_Timer,TF_Tekniker,AY$4,TF_Dato,$A133))*2,0)/2)))</f>
        <v/>
      </c>
      <c r="AZ133">
        <f>IF(OR(AZ$4="",$A133&gt;TODAY()),0,IF(OR(INDEX($B133:$D133,AZ$5)="F",AND(AZ$6&gt;0,$A133&lt;AZ$6),AND(AZ$7&gt;0,$A133&gt;AZ$7)),0,MAX(0,ROUND((INDEX($E133:$G133,AZ$5)-SUMIFS(TF_Timer,TF_Tekniker,AZ$4,TF_Dato,$A133))*2,0)/2)))</f>
        <v/>
      </c>
      <c r="BA133">
        <f>IF(OR(BA$4="",$A133&gt;TODAY()),0,IF(OR(INDEX($B133:$D133,BA$5)="F",AND(BA$6&gt;0,$A133&lt;BA$6),AND(BA$7&gt;0,$A133&gt;BA$7)),0,MAX(0,ROUND((INDEX($E133:$G133,BA$5)-SUMIFS(TF_Timer,TF_Tekniker,BA$4,TF_Dato,$A133))*2,0)/2)))</f>
        <v/>
      </c>
      <c r="BB133">
        <f>IF(OR(BB$4="",$A133&gt;TODAY()),0,IF(OR(INDEX($B133:$D133,BB$5)="F",AND(BB$6&gt;0,$A133&lt;BB$6),AND(BB$7&gt;0,$A133&gt;BB$7)),0,MAX(0,ROUND((INDEX($E133:$G133,BB$5)-SUMIFS(TF_Timer,TF_Tekniker,BB$4,TF_Dato,$A133))*2,0)/2)))</f>
        <v/>
      </c>
      <c r="BC133">
        <f>IF(OR(BC$4="",$A133&gt;TODAY()),0,IF(OR(INDEX($B133:$D133,BC$5)="F",AND(BC$6&gt;0,$A133&lt;BC$6),AND(BC$7&gt;0,$A133&gt;BC$7)),0,MAX(0,ROUND((INDEX($E133:$G133,BC$5)-SUMIFS(TF_Timer,TF_Tekniker,BC$4,TF_Dato,$A133))*2,0)/2)))</f>
        <v/>
      </c>
      <c r="BD133">
        <f>IF(OR(BD$4="",$A133&gt;TODAY()),0,IF(OR(INDEX($B133:$D133,BD$5)="F",AND(BD$6&gt;0,$A133&lt;BD$6),AND(BD$7&gt;0,$A133&gt;BD$7)),0,MAX(0,ROUND((INDEX($E133:$G133,BD$5)-SUMIFS(TF_Timer,TF_Tekniker,BD$4,TF_Dato,$A133))*2,0)/2)))</f>
        <v/>
      </c>
      <c r="BE133">
        <f>IF(OR(BE$4="",$A133&gt;TODAY()),0,IF(OR(INDEX($B133:$D133,BE$5)="F",AND(BE$6&gt;0,$A133&lt;BE$6),AND(BE$7&gt;0,$A133&gt;BE$7)),0,MAX(0,ROUND((INDEX($E133:$G133,BE$5)-SUMIFS(TF_Timer,TF_Tekniker,BE$4,TF_Dato,$A133))*2,0)/2)))</f>
        <v/>
      </c>
      <c r="BF133">
        <f>IF(OR(BF$4="",$A133&gt;TODAY()),0,IF(OR(INDEX($B133:$D133,BF$5)="F",AND(BF$6&gt;0,$A133&lt;BF$6),AND(BF$7&gt;0,$A133&gt;BF$7)),0,MAX(0,ROUND((INDEX($E133:$G133,BF$5)-SUMIFS(TF_Timer,TF_Tekniker,BF$4,TF_Dato,$A133))*2,0)/2)))</f>
        <v/>
      </c>
      <c r="BG133">
        <f>IF(OR(BG$4="",$A133&gt;TODAY()),0,IF(OR(INDEX($B133:$D133,BG$5)="F",AND(BG$6&gt;0,$A133&lt;BG$6),AND(BG$7&gt;0,$A133&gt;BG$7)),0,MAX(0,ROUND((INDEX($E133:$G133,BG$5)-SUMIFS(TF_Timer,TF_Tekniker,BG$4,TF_Dato,$A133))*2,0)/2)))</f>
        <v/>
      </c>
      <c r="BH133">
        <f>IF(OR(BH$4="",$A133&gt;TODAY()),0,IF(OR(INDEX($B133:$D133,BH$5)="F",AND(BH$6&gt;0,$A133&lt;BH$6),AND(BH$7&gt;0,$A133&gt;BH$7)),0,MAX(0,ROUND((INDEX($E133:$G133,BH$5)-SUMIFS(TF_Timer,TF_Tekniker,BH$4,TF_Dato,$A133))*2,0)/2)))</f>
        <v/>
      </c>
      <c r="BI133">
        <f>IF(OR(BI$4="",$A133&gt;TODAY()),0,IF(OR(INDEX($B133:$D133,BI$5)="F",AND(BI$6&gt;0,$A133&lt;BI$6),AND(BI$7&gt;0,$A133&gt;BI$7)),0,MAX(0,ROUND((INDEX($E133:$G133,BI$5)-SUMIFS(TF_Timer,TF_Tekniker,BI$4,TF_Dato,$A133))*2,0)/2)))</f>
        <v/>
      </c>
    </row>
    <row r="134">
      <c r="A134" s="64">
        <f>A133+1</f>
        <v/>
      </c>
      <c r="B134">
        <f>IF(MOD($A134-INDEX(SkiftStart,1),Syklus)&lt;DagK,"K",IF(MOD($A134-INDEX(SkiftStart,1),Syklus)&lt;DagK+DagH,"H",IF(MOD($A134-INDEX(SkiftStart,1),Syklus)&lt;DagK+DagH+DagD,"D","F")))</f>
        <v/>
      </c>
      <c r="C134">
        <f>IF(MOD($A134-INDEX(SkiftStart,2),Syklus)&lt;DagK,"K",IF(MOD($A134-INDEX(SkiftStart,2),Syklus)&lt;DagK+DagH,"H",IF(MOD($A134-INDEX(SkiftStart,2),Syklus)&lt;DagK+DagH+DagD,"D","F")))</f>
        <v/>
      </c>
      <c r="D134">
        <f>IF(MOD($A134-INDEX(SkiftStart,3),Syklus)&lt;DagK,"K",IF(MOD($A134-INDEX(SkiftStart,3),Syklus)&lt;DagK+DagH,"H",IF(MOD($A134-INDEX(SkiftStart,3),Syklus)&lt;DagK+DagH+DagD,"D","F")))</f>
        <v/>
      </c>
      <c r="E134">
        <f>IF(B134="F",0,IF(WEEKDAY($A134,2)=5,INDEX(TimerFr,MATCH(B134,FaseKode,0)),INDEX(TimerMT,MATCH(B134,FaseKode,0))))</f>
        <v/>
      </c>
      <c r="F134">
        <f>IF(C134="F",0,IF(WEEKDAY($A134,2)=5,INDEX(TimerFr,MATCH(C134,FaseKode,0)),INDEX(TimerMT,MATCH(C134,FaseKode,0))))</f>
        <v/>
      </c>
      <c r="G134">
        <f>IF(D134="F",0,IF(WEEKDAY($A134,2)=5,INDEX(TimerFr,MATCH(D134,FaseKode,0)),INDEX(TimerMT,MATCH(D134,FaseKode,0))))</f>
        <v/>
      </c>
      <c r="H134">
        <f>IF(OR(H$4="",$A134&gt;TODAY()),0,IF(OR(INDEX($B134:$D134,H$5)="F",AND(H$6&gt;0,$A134&lt;H$6),AND(H$7&gt;0,$A134&gt;H$7)),0,MAX(0,ROUND((INDEX($E134:$G134,H$5)-SUMIFS(TF_Timer,TF_Tekniker,H$4,TF_Dato,$A134))*2,0)/2)))</f>
        <v/>
      </c>
      <c r="I134">
        <f>IF(OR(I$4="",$A134&gt;TODAY()),0,IF(OR(INDEX($B134:$D134,I$5)="F",AND(I$6&gt;0,$A134&lt;I$6),AND(I$7&gt;0,$A134&gt;I$7)),0,MAX(0,ROUND((INDEX($E134:$G134,I$5)-SUMIFS(TF_Timer,TF_Tekniker,I$4,TF_Dato,$A134))*2,0)/2)))</f>
        <v/>
      </c>
      <c r="J134">
        <f>IF(OR(J$4="",$A134&gt;TODAY()),0,IF(OR(INDEX($B134:$D134,J$5)="F",AND(J$6&gt;0,$A134&lt;J$6),AND(J$7&gt;0,$A134&gt;J$7)),0,MAX(0,ROUND((INDEX($E134:$G134,J$5)-SUMIFS(TF_Timer,TF_Tekniker,J$4,TF_Dato,$A134))*2,0)/2)))</f>
        <v/>
      </c>
      <c r="K134">
        <f>IF(OR(K$4="",$A134&gt;TODAY()),0,IF(OR(INDEX($B134:$D134,K$5)="F",AND(K$6&gt;0,$A134&lt;K$6),AND(K$7&gt;0,$A134&gt;K$7)),0,MAX(0,ROUND((INDEX($E134:$G134,K$5)-SUMIFS(TF_Timer,TF_Tekniker,K$4,TF_Dato,$A134))*2,0)/2)))</f>
        <v/>
      </c>
      <c r="L134">
        <f>IF(OR(L$4="",$A134&gt;TODAY()),0,IF(OR(INDEX($B134:$D134,L$5)="F",AND(L$6&gt;0,$A134&lt;L$6),AND(L$7&gt;0,$A134&gt;L$7)),0,MAX(0,ROUND((INDEX($E134:$G134,L$5)-SUMIFS(TF_Timer,TF_Tekniker,L$4,TF_Dato,$A134))*2,0)/2)))</f>
        <v/>
      </c>
      <c r="M134">
        <f>IF(OR(M$4="",$A134&gt;TODAY()),0,IF(OR(INDEX($B134:$D134,M$5)="F",AND(M$6&gt;0,$A134&lt;M$6),AND(M$7&gt;0,$A134&gt;M$7)),0,MAX(0,ROUND((INDEX($E134:$G134,M$5)-SUMIFS(TF_Timer,TF_Tekniker,M$4,TF_Dato,$A134))*2,0)/2)))</f>
        <v/>
      </c>
      <c r="N134">
        <f>IF(OR(N$4="",$A134&gt;TODAY()),0,IF(OR(INDEX($B134:$D134,N$5)="F",AND(N$6&gt;0,$A134&lt;N$6),AND(N$7&gt;0,$A134&gt;N$7)),0,MAX(0,ROUND((INDEX($E134:$G134,N$5)-SUMIFS(TF_Timer,TF_Tekniker,N$4,TF_Dato,$A134))*2,0)/2)))</f>
        <v/>
      </c>
      <c r="O134">
        <f>IF(OR(O$4="",$A134&gt;TODAY()),0,IF(OR(INDEX($B134:$D134,O$5)="F",AND(O$6&gt;0,$A134&lt;O$6),AND(O$7&gt;0,$A134&gt;O$7)),0,MAX(0,ROUND((INDEX($E134:$G134,O$5)-SUMIFS(TF_Timer,TF_Tekniker,O$4,TF_Dato,$A134))*2,0)/2)))</f>
        <v/>
      </c>
      <c r="P134">
        <f>IF(OR(P$4="",$A134&gt;TODAY()),0,IF(OR(INDEX($B134:$D134,P$5)="F",AND(P$6&gt;0,$A134&lt;P$6),AND(P$7&gt;0,$A134&gt;P$7)),0,MAX(0,ROUND((INDEX($E134:$G134,P$5)-SUMIFS(TF_Timer,TF_Tekniker,P$4,TF_Dato,$A134))*2,0)/2)))</f>
        <v/>
      </c>
      <c r="Q134">
        <f>IF(OR(Q$4="",$A134&gt;TODAY()),0,IF(OR(INDEX($B134:$D134,Q$5)="F",AND(Q$6&gt;0,$A134&lt;Q$6),AND(Q$7&gt;0,$A134&gt;Q$7)),0,MAX(0,ROUND((INDEX($E134:$G134,Q$5)-SUMIFS(TF_Timer,TF_Tekniker,Q$4,TF_Dato,$A134))*2,0)/2)))</f>
        <v/>
      </c>
      <c r="R134">
        <f>IF(OR(R$4="",$A134&gt;TODAY()),0,IF(OR(INDEX($B134:$D134,R$5)="F",AND(R$6&gt;0,$A134&lt;R$6),AND(R$7&gt;0,$A134&gt;R$7)),0,MAX(0,ROUND((INDEX($E134:$G134,R$5)-SUMIFS(TF_Timer,TF_Tekniker,R$4,TF_Dato,$A134))*2,0)/2)))</f>
        <v/>
      </c>
      <c r="S134">
        <f>IF(OR(S$4="",$A134&gt;TODAY()),0,IF(OR(INDEX($B134:$D134,S$5)="F",AND(S$6&gt;0,$A134&lt;S$6),AND(S$7&gt;0,$A134&gt;S$7)),0,MAX(0,ROUND((INDEX($E134:$G134,S$5)-SUMIFS(TF_Timer,TF_Tekniker,S$4,TF_Dato,$A134))*2,0)/2)))</f>
        <v/>
      </c>
      <c r="T134">
        <f>IF(OR(T$4="",$A134&gt;TODAY()),0,IF(OR(INDEX($B134:$D134,T$5)="F",AND(T$6&gt;0,$A134&lt;T$6),AND(T$7&gt;0,$A134&gt;T$7)),0,MAX(0,ROUND((INDEX($E134:$G134,T$5)-SUMIFS(TF_Timer,TF_Tekniker,T$4,TF_Dato,$A134))*2,0)/2)))</f>
        <v/>
      </c>
      <c r="U134">
        <f>IF(OR(U$4="",$A134&gt;TODAY()),0,IF(OR(INDEX($B134:$D134,U$5)="F",AND(U$6&gt;0,$A134&lt;U$6),AND(U$7&gt;0,$A134&gt;U$7)),0,MAX(0,ROUND((INDEX($E134:$G134,U$5)-SUMIFS(TF_Timer,TF_Tekniker,U$4,TF_Dato,$A134))*2,0)/2)))</f>
        <v/>
      </c>
      <c r="V134">
        <f>IF(OR(V$4="",$A134&gt;TODAY()),0,IF(OR(INDEX($B134:$D134,V$5)="F",AND(V$6&gt;0,$A134&lt;V$6),AND(V$7&gt;0,$A134&gt;V$7)),0,MAX(0,ROUND((INDEX($E134:$G134,V$5)-SUMIFS(TF_Timer,TF_Tekniker,V$4,TF_Dato,$A134))*2,0)/2)))</f>
        <v/>
      </c>
      <c r="W134">
        <f>IF(OR(W$4="",$A134&gt;TODAY()),0,IF(OR(INDEX($B134:$D134,W$5)="F",AND(W$6&gt;0,$A134&lt;W$6),AND(W$7&gt;0,$A134&gt;W$7)),0,MAX(0,ROUND((INDEX($E134:$G134,W$5)-SUMIFS(TF_Timer,TF_Tekniker,W$4,TF_Dato,$A134))*2,0)/2)))</f>
        <v/>
      </c>
      <c r="X134">
        <f>IF(OR(X$4="",$A134&gt;TODAY()),0,IF(OR(INDEX($B134:$D134,X$5)="F",AND(X$6&gt;0,$A134&lt;X$6),AND(X$7&gt;0,$A134&gt;X$7)),0,MAX(0,ROUND((INDEX($E134:$G134,X$5)-SUMIFS(TF_Timer,TF_Tekniker,X$4,TF_Dato,$A134))*2,0)/2)))</f>
        <v/>
      </c>
      <c r="Y134">
        <f>IF(OR(Y$4="",$A134&gt;TODAY()),0,IF(OR(INDEX($B134:$D134,Y$5)="F",AND(Y$6&gt;0,$A134&lt;Y$6),AND(Y$7&gt;0,$A134&gt;Y$7)),0,MAX(0,ROUND((INDEX($E134:$G134,Y$5)-SUMIFS(TF_Timer,TF_Tekniker,Y$4,TF_Dato,$A134))*2,0)/2)))</f>
        <v/>
      </c>
      <c r="Z134">
        <f>IF(OR(Z$4="",$A134&gt;TODAY()),0,IF(OR(INDEX($B134:$D134,Z$5)="F",AND(Z$6&gt;0,$A134&lt;Z$6),AND(Z$7&gt;0,$A134&gt;Z$7)),0,MAX(0,ROUND((INDEX($E134:$G134,Z$5)-SUMIFS(TF_Timer,TF_Tekniker,Z$4,TF_Dato,$A134))*2,0)/2)))</f>
        <v/>
      </c>
      <c r="AA134">
        <f>IF(OR(AA$4="",$A134&gt;TODAY()),0,IF(OR(INDEX($B134:$D134,AA$5)="F",AND(AA$6&gt;0,$A134&lt;AA$6),AND(AA$7&gt;0,$A134&gt;AA$7)),0,MAX(0,ROUND((INDEX($E134:$G134,AA$5)-SUMIFS(TF_Timer,TF_Tekniker,AA$4,TF_Dato,$A134))*2,0)/2)))</f>
        <v/>
      </c>
      <c r="AB134">
        <f>IF(OR(AB$4="",$A134&gt;TODAY()),0,IF(OR(INDEX($B134:$D134,AB$5)="F",AND(AB$6&gt;0,$A134&lt;AB$6),AND(AB$7&gt;0,$A134&gt;AB$7)),0,MAX(0,ROUND((INDEX($E134:$G134,AB$5)-SUMIFS(TF_Timer,TF_Tekniker,AB$4,TF_Dato,$A134))*2,0)/2)))</f>
        <v/>
      </c>
      <c r="AC134">
        <f>IF(OR(AC$4="",$A134&gt;TODAY()),0,IF(OR(INDEX($B134:$D134,AC$5)="F",AND(AC$6&gt;0,$A134&lt;AC$6),AND(AC$7&gt;0,$A134&gt;AC$7)),0,MAX(0,ROUND((INDEX($E134:$G134,AC$5)-SUMIFS(TF_Timer,TF_Tekniker,AC$4,TF_Dato,$A134))*2,0)/2)))</f>
        <v/>
      </c>
      <c r="AD134">
        <f>IF(OR(AD$4="",$A134&gt;TODAY()),0,IF(OR(INDEX($B134:$D134,AD$5)="F",AND(AD$6&gt;0,$A134&lt;AD$6),AND(AD$7&gt;0,$A134&gt;AD$7)),0,MAX(0,ROUND((INDEX($E134:$G134,AD$5)-SUMIFS(TF_Timer,TF_Tekniker,AD$4,TF_Dato,$A134))*2,0)/2)))</f>
        <v/>
      </c>
      <c r="AE134">
        <f>IF(OR(AE$4="",$A134&gt;TODAY()),0,IF(OR(INDEX($B134:$D134,AE$5)="F",AND(AE$6&gt;0,$A134&lt;AE$6),AND(AE$7&gt;0,$A134&gt;AE$7)),0,MAX(0,ROUND((INDEX($E134:$G134,AE$5)-SUMIFS(TF_Timer,TF_Tekniker,AE$4,TF_Dato,$A134))*2,0)/2)))</f>
        <v/>
      </c>
      <c r="AF134">
        <f>IF(OR(AF$4="",$A134&gt;TODAY()),0,IF(OR(INDEX($B134:$D134,AF$5)="F",AND(AF$6&gt;0,$A134&lt;AF$6),AND(AF$7&gt;0,$A134&gt;AF$7)),0,MAX(0,ROUND((INDEX($E134:$G134,AF$5)-SUMIFS(TF_Timer,TF_Tekniker,AF$4,TF_Dato,$A134))*2,0)/2)))</f>
        <v/>
      </c>
      <c r="AG134">
        <f>IF(OR(AG$4="",$A134&gt;TODAY()),0,IF(OR(INDEX($B134:$D134,AG$5)="F",AND(AG$6&gt;0,$A134&lt;AG$6),AND(AG$7&gt;0,$A134&gt;AG$7)),0,MAX(0,ROUND((INDEX($E134:$G134,AG$5)-SUMIFS(TF_Timer,TF_Tekniker,AG$4,TF_Dato,$A134))*2,0)/2)))</f>
        <v/>
      </c>
      <c r="AH134">
        <f>IF(OR(AH$4="",$A134&gt;TODAY()),0,IF(OR(INDEX($B134:$D134,AH$5)="F",AND(AH$6&gt;0,$A134&lt;AH$6),AND(AH$7&gt;0,$A134&gt;AH$7)),0,MAX(0,ROUND((INDEX($E134:$G134,AH$5)-SUMIFS(TF_Timer,TF_Tekniker,AH$4,TF_Dato,$A134))*2,0)/2)))</f>
        <v/>
      </c>
      <c r="AI134">
        <f>IF(OR(AI$4="",$A134&gt;TODAY()),0,IF(OR(INDEX($B134:$D134,AI$5)="F",AND(AI$6&gt;0,$A134&lt;AI$6),AND(AI$7&gt;0,$A134&gt;AI$7)),0,MAX(0,ROUND((INDEX($E134:$G134,AI$5)-SUMIFS(TF_Timer,TF_Tekniker,AI$4,TF_Dato,$A134))*2,0)/2)))</f>
        <v/>
      </c>
      <c r="AJ134">
        <f>IF(OR(AJ$4="",$A134&gt;TODAY()),0,IF(OR(INDEX($B134:$D134,AJ$5)="F",AND(AJ$6&gt;0,$A134&lt;AJ$6),AND(AJ$7&gt;0,$A134&gt;AJ$7)),0,MAX(0,ROUND((INDEX($E134:$G134,AJ$5)-SUMIFS(TF_Timer,TF_Tekniker,AJ$4,TF_Dato,$A134))*2,0)/2)))</f>
        <v/>
      </c>
      <c r="AK134">
        <f>IF(OR(AK$4="",$A134&gt;TODAY()),0,IF(OR(INDEX($B134:$D134,AK$5)="F",AND(AK$6&gt;0,$A134&lt;AK$6),AND(AK$7&gt;0,$A134&gt;AK$7)),0,MAX(0,ROUND((INDEX($E134:$G134,AK$5)-SUMIFS(TF_Timer,TF_Tekniker,AK$4,TF_Dato,$A134))*2,0)/2)))</f>
        <v/>
      </c>
      <c r="AL134">
        <f>IF(OR(AL$4="",$A134&gt;TODAY()),0,IF(OR(INDEX($B134:$D134,AL$5)="F",AND(AL$6&gt;0,$A134&lt;AL$6),AND(AL$7&gt;0,$A134&gt;AL$7)),0,MAX(0,ROUND((INDEX($E134:$G134,AL$5)-SUMIFS(TF_Timer,TF_Tekniker,AL$4,TF_Dato,$A134))*2,0)/2)))</f>
        <v/>
      </c>
      <c r="AM134">
        <f>IF(OR(AM$4="",$A134&gt;TODAY()),0,IF(OR(INDEX($B134:$D134,AM$5)="F",AND(AM$6&gt;0,$A134&lt;AM$6),AND(AM$7&gt;0,$A134&gt;AM$7)),0,MAX(0,ROUND((INDEX($E134:$G134,AM$5)-SUMIFS(TF_Timer,TF_Tekniker,AM$4,TF_Dato,$A134))*2,0)/2)))</f>
        <v/>
      </c>
      <c r="AN134">
        <f>IF(OR(AN$4="",$A134&gt;TODAY()),0,IF(OR(INDEX($B134:$D134,AN$5)="F",AND(AN$6&gt;0,$A134&lt;AN$6),AND(AN$7&gt;0,$A134&gt;AN$7)),0,MAX(0,ROUND((INDEX($E134:$G134,AN$5)-SUMIFS(TF_Timer,TF_Tekniker,AN$4,TF_Dato,$A134))*2,0)/2)))</f>
        <v/>
      </c>
      <c r="AO134">
        <f>IF(OR(AO$4="",$A134&gt;TODAY()),0,IF(OR(INDEX($B134:$D134,AO$5)="F",AND(AO$6&gt;0,$A134&lt;AO$6),AND(AO$7&gt;0,$A134&gt;AO$7)),0,MAX(0,ROUND((INDEX($E134:$G134,AO$5)-SUMIFS(TF_Timer,TF_Tekniker,AO$4,TF_Dato,$A134))*2,0)/2)))</f>
        <v/>
      </c>
      <c r="AP134">
        <f>IF(OR(AP$4="",$A134&gt;TODAY()),0,IF(OR(INDEX($B134:$D134,AP$5)="F",AND(AP$6&gt;0,$A134&lt;AP$6),AND(AP$7&gt;0,$A134&gt;AP$7)),0,MAX(0,ROUND((INDEX($E134:$G134,AP$5)-SUMIFS(TF_Timer,TF_Tekniker,AP$4,TF_Dato,$A134))*2,0)/2)))</f>
        <v/>
      </c>
      <c r="AQ134">
        <f>IF(OR(AQ$4="",$A134&gt;TODAY()),0,IF(OR(INDEX($B134:$D134,AQ$5)="F",AND(AQ$6&gt;0,$A134&lt;AQ$6),AND(AQ$7&gt;0,$A134&gt;AQ$7)),0,MAX(0,ROUND((INDEX($E134:$G134,AQ$5)-SUMIFS(TF_Timer,TF_Tekniker,AQ$4,TF_Dato,$A134))*2,0)/2)))</f>
        <v/>
      </c>
      <c r="AR134">
        <f>IF(OR(AR$4="",$A134&gt;TODAY()),0,IF(OR(INDEX($B134:$D134,AR$5)="F",AND(AR$6&gt;0,$A134&lt;AR$6),AND(AR$7&gt;0,$A134&gt;AR$7)),0,MAX(0,ROUND((INDEX($E134:$G134,AR$5)-SUMIFS(TF_Timer,TF_Tekniker,AR$4,TF_Dato,$A134))*2,0)/2)))</f>
        <v/>
      </c>
      <c r="AS134">
        <f>IF(OR(AS$4="",$A134&gt;TODAY()),0,IF(OR(INDEX($B134:$D134,AS$5)="F",AND(AS$6&gt;0,$A134&lt;AS$6),AND(AS$7&gt;0,$A134&gt;AS$7)),0,MAX(0,ROUND((INDEX($E134:$G134,AS$5)-SUMIFS(TF_Timer,TF_Tekniker,AS$4,TF_Dato,$A134))*2,0)/2)))</f>
        <v/>
      </c>
      <c r="AT134">
        <f>IF(OR(AT$4="",$A134&gt;TODAY()),0,IF(OR(INDEX($B134:$D134,AT$5)="F",AND(AT$6&gt;0,$A134&lt;AT$6),AND(AT$7&gt;0,$A134&gt;AT$7)),0,MAX(0,ROUND((INDEX($E134:$G134,AT$5)-SUMIFS(TF_Timer,TF_Tekniker,AT$4,TF_Dato,$A134))*2,0)/2)))</f>
        <v/>
      </c>
      <c r="AU134">
        <f>IF(OR(AU$4="",$A134&gt;TODAY()),0,IF(OR(INDEX($B134:$D134,AU$5)="F",AND(AU$6&gt;0,$A134&lt;AU$6),AND(AU$7&gt;0,$A134&gt;AU$7)),0,MAX(0,ROUND((INDEX($E134:$G134,AU$5)-SUMIFS(TF_Timer,TF_Tekniker,AU$4,TF_Dato,$A134))*2,0)/2)))</f>
        <v/>
      </c>
      <c r="AV134">
        <f>IF(OR(AV$4="",$A134&gt;TODAY()),0,IF(OR(INDEX($B134:$D134,AV$5)="F",AND(AV$6&gt;0,$A134&lt;AV$6),AND(AV$7&gt;0,$A134&gt;AV$7)),0,MAX(0,ROUND((INDEX($E134:$G134,AV$5)-SUMIFS(TF_Timer,TF_Tekniker,AV$4,TF_Dato,$A134))*2,0)/2)))</f>
        <v/>
      </c>
      <c r="AW134">
        <f>IF(OR(AW$4="",$A134&gt;TODAY()),0,IF(OR(INDEX($B134:$D134,AW$5)="F",AND(AW$6&gt;0,$A134&lt;AW$6),AND(AW$7&gt;0,$A134&gt;AW$7)),0,MAX(0,ROUND((INDEX($E134:$G134,AW$5)-SUMIFS(TF_Timer,TF_Tekniker,AW$4,TF_Dato,$A134))*2,0)/2)))</f>
        <v/>
      </c>
      <c r="AX134">
        <f>IF(OR(AX$4="",$A134&gt;TODAY()),0,IF(OR(INDEX($B134:$D134,AX$5)="F",AND(AX$6&gt;0,$A134&lt;AX$6),AND(AX$7&gt;0,$A134&gt;AX$7)),0,MAX(0,ROUND((INDEX($E134:$G134,AX$5)-SUMIFS(TF_Timer,TF_Tekniker,AX$4,TF_Dato,$A134))*2,0)/2)))</f>
        <v/>
      </c>
      <c r="AY134">
        <f>IF(OR(AY$4="",$A134&gt;TODAY()),0,IF(OR(INDEX($B134:$D134,AY$5)="F",AND(AY$6&gt;0,$A134&lt;AY$6),AND(AY$7&gt;0,$A134&gt;AY$7)),0,MAX(0,ROUND((INDEX($E134:$G134,AY$5)-SUMIFS(TF_Timer,TF_Tekniker,AY$4,TF_Dato,$A134))*2,0)/2)))</f>
        <v/>
      </c>
      <c r="AZ134">
        <f>IF(OR(AZ$4="",$A134&gt;TODAY()),0,IF(OR(INDEX($B134:$D134,AZ$5)="F",AND(AZ$6&gt;0,$A134&lt;AZ$6),AND(AZ$7&gt;0,$A134&gt;AZ$7)),0,MAX(0,ROUND((INDEX($E134:$G134,AZ$5)-SUMIFS(TF_Timer,TF_Tekniker,AZ$4,TF_Dato,$A134))*2,0)/2)))</f>
        <v/>
      </c>
      <c r="BA134">
        <f>IF(OR(BA$4="",$A134&gt;TODAY()),0,IF(OR(INDEX($B134:$D134,BA$5)="F",AND(BA$6&gt;0,$A134&lt;BA$6),AND(BA$7&gt;0,$A134&gt;BA$7)),0,MAX(0,ROUND((INDEX($E134:$G134,BA$5)-SUMIFS(TF_Timer,TF_Tekniker,BA$4,TF_Dato,$A134))*2,0)/2)))</f>
        <v/>
      </c>
      <c r="BB134">
        <f>IF(OR(BB$4="",$A134&gt;TODAY()),0,IF(OR(INDEX($B134:$D134,BB$5)="F",AND(BB$6&gt;0,$A134&lt;BB$6),AND(BB$7&gt;0,$A134&gt;BB$7)),0,MAX(0,ROUND((INDEX($E134:$G134,BB$5)-SUMIFS(TF_Timer,TF_Tekniker,BB$4,TF_Dato,$A134))*2,0)/2)))</f>
        <v/>
      </c>
      <c r="BC134">
        <f>IF(OR(BC$4="",$A134&gt;TODAY()),0,IF(OR(INDEX($B134:$D134,BC$5)="F",AND(BC$6&gt;0,$A134&lt;BC$6),AND(BC$7&gt;0,$A134&gt;BC$7)),0,MAX(0,ROUND((INDEX($E134:$G134,BC$5)-SUMIFS(TF_Timer,TF_Tekniker,BC$4,TF_Dato,$A134))*2,0)/2)))</f>
        <v/>
      </c>
      <c r="BD134">
        <f>IF(OR(BD$4="",$A134&gt;TODAY()),0,IF(OR(INDEX($B134:$D134,BD$5)="F",AND(BD$6&gt;0,$A134&lt;BD$6),AND(BD$7&gt;0,$A134&gt;BD$7)),0,MAX(0,ROUND((INDEX($E134:$G134,BD$5)-SUMIFS(TF_Timer,TF_Tekniker,BD$4,TF_Dato,$A134))*2,0)/2)))</f>
        <v/>
      </c>
      <c r="BE134">
        <f>IF(OR(BE$4="",$A134&gt;TODAY()),0,IF(OR(INDEX($B134:$D134,BE$5)="F",AND(BE$6&gt;0,$A134&lt;BE$6),AND(BE$7&gt;0,$A134&gt;BE$7)),0,MAX(0,ROUND((INDEX($E134:$G134,BE$5)-SUMIFS(TF_Timer,TF_Tekniker,BE$4,TF_Dato,$A134))*2,0)/2)))</f>
        <v/>
      </c>
      <c r="BF134">
        <f>IF(OR(BF$4="",$A134&gt;TODAY()),0,IF(OR(INDEX($B134:$D134,BF$5)="F",AND(BF$6&gt;0,$A134&lt;BF$6),AND(BF$7&gt;0,$A134&gt;BF$7)),0,MAX(0,ROUND((INDEX($E134:$G134,BF$5)-SUMIFS(TF_Timer,TF_Tekniker,BF$4,TF_Dato,$A134))*2,0)/2)))</f>
        <v/>
      </c>
      <c r="BG134">
        <f>IF(OR(BG$4="",$A134&gt;TODAY()),0,IF(OR(INDEX($B134:$D134,BG$5)="F",AND(BG$6&gt;0,$A134&lt;BG$6),AND(BG$7&gt;0,$A134&gt;BG$7)),0,MAX(0,ROUND((INDEX($E134:$G134,BG$5)-SUMIFS(TF_Timer,TF_Tekniker,BG$4,TF_Dato,$A134))*2,0)/2)))</f>
        <v/>
      </c>
      <c r="BH134">
        <f>IF(OR(BH$4="",$A134&gt;TODAY()),0,IF(OR(INDEX($B134:$D134,BH$5)="F",AND(BH$6&gt;0,$A134&lt;BH$6),AND(BH$7&gt;0,$A134&gt;BH$7)),0,MAX(0,ROUND((INDEX($E134:$G134,BH$5)-SUMIFS(TF_Timer,TF_Tekniker,BH$4,TF_Dato,$A134))*2,0)/2)))</f>
        <v/>
      </c>
      <c r="BI134">
        <f>IF(OR(BI$4="",$A134&gt;TODAY()),0,IF(OR(INDEX($B134:$D134,BI$5)="F",AND(BI$6&gt;0,$A134&lt;BI$6),AND(BI$7&gt;0,$A134&gt;BI$7)),0,MAX(0,ROUND((INDEX($E134:$G134,BI$5)-SUMIFS(TF_Timer,TF_Tekniker,BI$4,TF_Dato,$A134))*2,0)/2)))</f>
        <v/>
      </c>
    </row>
    <row r="135">
      <c r="A135" s="64">
        <f>A134+1</f>
        <v/>
      </c>
      <c r="B135">
        <f>IF(MOD($A135-INDEX(SkiftStart,1),Syklus)&lt;DagK,"K",IF(MOD($A135-INDEX(SkiftStart,1),Syklus)&lt;DagK+DagH,"H",IF(MOD($A135-INDEX(SkiftStart,1),Syklus)&lt;DagK+DagH+DagD,"D","F")))</f>
        <v/>
      </c>
      <c r="C135">
        <f>IF(MOD($A135-INDEX(SkiftStart,2),Syklus)&lt;DagK,"K",IF(MOD($A135-INDEX(SkiftStart,2),Syklus)&lt;DagK+DagH,"H",IF(MOD($A135-INDEX(SkiftStart,2),Syklus)&lt;DagK+DagH+DagD,"D","F")))</f>
        <v/>
      </c>
      <c r="D135">
        <f>IF(MOD($A135-INDEX(SkiftStart,3),Syklus)&lt;DagK,"K",IF(MOD($A135-INDEX(SkiftStart,3),Syklus)&lt;DagK+DagH,"H",IF(MOD($A135-INDEX(SkiftStart,3),Syklus)&lt;DagK+DagH+DagD,"D","F")))</f>
        <v/>
      </c>
      <c r="E135">
        <f>IF(B135="F",0,IF(WEEKDAY($A135,2)=5,INDEX(TimerFr,MATCH(B135,FaseKode,0)),INDEX(TimerMT,MATCH(B135,FaseKode,0))))</f>
        <v/>
      </c>
      <c r="F135">
        <f>IF(C135="F",0,IF(WEEKDAY($A135,2)=5,INDEX(TimerFr,MATCH(C135,FaseKode,0)),INDEX(TimerMT,MATCH(C135,FaseKode,0))))</f>
        <v/>
      </c>
      <c r="G135">
        <f>IF(D135="F",0,IF(WEEKDAY($A135,2)=5,INDEX(TimerFr,MATCH(D135,FaseKode,0)),INDEX(TimerMT,MATCH(D135,FaseKode,0))))</f>
        <v/>
      </c>
      <c r="H135">
        <f>IF(OR(H$4="",$A135&gt;TODAY()),0,IF(OR(INDEX($B135:$D135,H$5)="F",AND(H$6&gt;0,$A135&lt;H$6),AND(H$7&gt;0,$A135&gt;H$7)),0,MAX(0,ROUND((INDEX($E135:$G135,H$5)-SUMIFS(TF_Timer,TF_Tekniker,H$4,TF_Dato,$A135))*2,0)/2)))</f>
        <v/>
      </c>
      <c r="I135">
        <f>IF(OR(I$4="",$A135&gt;TODAY()),0,IF(OR(INDEX($B135:$D135,I$5)="F",AND(I$6&gt;0,$A135&lt;I$6),AND(I$7&gt;0,$A135&gt;I$7)),0,MAX(0,ROUND((INDEX($E135:$G135,I$5)-SUMIFS(TF_Timer,TF_Tekniker,I$4,TF_Dato,$A135))*2,0)/2)))</f>
        <v/>
      </c>
      <c r="J135">
        <f>IF(OR(J$4="",$A135&gt;TODAY()),0,IF(OR(INDEX($B135:$D135,J$5)="F",AND(J$6&gt;0,$A135&lt;J$6),AND(J$7&gt;0,$A135&gt;J$7)),0,MAX(0,ROUND((INDEX($E135:$G135,J$5)-SUMIFS(TF_Timer,TF_Tekniker,J$4,TF_Dato,$A135))*2,0)/2)))</f>
        <v/>
      </c>
      <c r="K135">
        <f>IF(OR(K$4="",$A135&gt;TODAY()),0,IF(OR(INDEX($B135:$D135,K$5)="F",AND(K$6&gt;0,$A135&lt;K$6),AND(K$7&gt;0,$A135&gt;K$7)),0,MAX(0,ROUND((INDEX($E135:$G135,K$5)-SUMIFS(TF_Timer,TF_Tekniker,K$4,TF_Dato,$A135))*2,0)/2)))</f>
        <v/>
      </c>
      <c r="L135">
        <f>IF(OR(L$4="",$A135&gt;TODAY()),0,IF(OR(INDEX($B135:$D135,L$5)="F",AND(L$6&gt;0,$A135&lt;L$6),AND(L$7&gt;0,$A135&gt;L$7)),0,MAX(0,ROUND((INDEX($E135:$G135,L$5)-SUMIFS(TF_Timer,TF_Tekniker,L$4,TF_Dato,$A135))*2,0)/2)))</f>
        <v/>
      </c>
      <c r="M135">
        <f>IF(OR(M$4="",$A135&gt;TODAY()),0,IF(OR(INDEX($B135:$D135,M$5)="F",AND(M$6&gt;0,$A135&lt;M$6),AND(M$7&gt;0,$A135&gt;M$7)),0,MAX(0,ROUND((INDEX($E135:$G135,M$5)-SUMIFS(TF_Timer,TF_Tekniker,M$4,TF_Dato,$A135))*2,0)/2)))</f>
        <v/>
      </c>
      <c r="N135">
        <f>IF(OR(N$4="",$A135&gt;TODAY()),0,IF(OR(INDEX($B135:$D135,N$5)="F",AND(N$6&gt;0,$A135&lt;N$6),AND(N$7&gt;0,$A135&gt;N$7)),0,MAX(0,ROUND((INDEX($E135:$G135,N$5)-SUMIFS(TF_Timer,TF_Tekniker,N$4,TF_Dato,$A135))*2,0)/2)))</f>
        <v/>
      </c>
      <c r="O135">
        <f>IF(OR(O$4="",$A135&gt;TODAY()),0,IF(OR(INDEX($B135:$D135,O$5)="F",AND(O$6&gt;0,$A135&lt;O$6),AND(O$7&gt;0,$A135&gt;O$7)),0,MAX(0,ROUND((INDEX($E135:$G135,O$5)-SUMIFS(TF_Timer,TF_Tekniker,O$4,TF_Dato,$A135))*2,0)/2)))</f>
        <v/>
      </c>
      <c r="P135">
        <f>IF(OR(P$4="",$A135&gt;TODAY()),0,IF(OR(INDEX($B135:$D135,P$5)="F",AND(P$6&gt;0,$A135&lt;P$6),AND(P$7&gt;0,$A135&gt;P$7)),0,MAX(0,ROUND((INDEX($E135:$G135,P$5)-SUMIFS(TF_Timer,TF_Tekniker,P$4,TF_Dato,$A135))*2,0)/2)))</f>
        <v/>
      </c>
      <c r="Q135">
        <f>IF(OR(Q$4="",$A135&gt;TODAY()),0,IF(OR(INDEX($B135:$D135,Q$5)="F",AND(Q$6&gt;0,$A135&lt;Q$6),AND(Q$7&gt;0,$A135&gt;Q$7)),0,MAX(0,ROUND((INDEX($E135:$G135,Q$5)-SUMIFS(TF_Timer,TF_Tekniker,Q$4,TF_Dato,$A135))*2,0)/2)))</f>
        <v/>
      </c>
      <c r="R135">
        <f>IF(OR(R$4="",$A135&gt;TODAY()),0,IF(OR(INDEX($B135:$D135,R$5)="F",AND(R$6&gt;0,$A135&lt;R$6),AND(R$7&gt;0,$A135&gt;R$7)),0,MAX(0,ROUND((INDEX($E135:$G135,R$5)-SUMIFS(TF_Timer,TF_Tekniker,R$4,TF_Dato,$A135))*2,0)/2)))</f>
        <v/>
      </c>
      <c r="S135">
        <f>IF(OR(S$4="",$A135&gt;TODAY()),0,IF(OR(INDEX($B135:$D135,S$5)="F",AND(S$6&gt;0,$A135&lt;S$6),AND(S$7&gt;0,$A135&gt;S$7)),0,MAX(0,ROUND((INDEX($E135:$G135,S$5)-SUMIFS(TF_Timer,TF_Tekniker,S$4,TF_Dato,$A135))*2,0)/2)))</f>
        <v/>
      </c>
      <c r="T135">
        <f>IF(OR(T$4="",$A135&gt;TODAY()),0,IF(OR(INDEX($B135:$D135,T$5)="F",AND(T$6&gt;0,$A135&lt;T$6),AND(T$7&gt;0,$A135&gt;T$7)),0,MAX(0,ROUND((INDEX($E135:$G135,T$5)-SUMIFS(TF_Timer,TF_Tekniker,T$4,TF_Dato,$A135))*2,0)/2)))</f>
        <v/>
      </c>
      <c r="U135">
        <f>IF(OR(U$4="",$A135&gt;TODAY()),0,IF(OR(INDEX($B135:$D135,U$5)="F",AND(U$6&gt;0,$A135&lt;U$6),AND(U$7&gt;0,$A135&gt;U$7)),0,MAX(0,ROUND((INDEX($E135:$G135,U$5)-SUMIFS(TF_Timer,TF_Tekniker,U$4,TF_Dato,$A135))*2,0)/2)))</f>
        <v/>
      </c>
      <c r="V135">
        <f>IF(OR(V$4="",$A135&gt;TODAY()),0,IF(OR(INDEX($B135:$D135,V$5)="F",AND(V$6&gt;0,$A135&lt;V$6),AND(V$7&gt;0,$A135&gt;V$7)),0,MAX(0,ROUND((INDEX($E135:$G135,V$5)-SUMIFS(TF_Timer,TF_Tekniker,V$4,TF_Dato,$A135))*2,0)/2)))</f>
        <v/>
      </c>
      <c r="W135">
        <f>IF(OR(W$4="",$A135&gt;TODAY()),0,IF(OR(INDEX($B135:$D135,W$5)="F",AND(W$6&gt;0,$A135&lt;W$6),AND(W$7&gt;0,$A135&gt;W$7)),0,MAX(0,ROUND((INDEX($E135:$G135,W$5)-SUMIFS(TF_Timer,TF_Tekniker,W$4,TF_Dato,$A135))*2,0)/2)))</f>
        <v/>
      </c>
      <c r="X135">
        <f>IF(OR(X$4="",$A135&gt;TODAY()),0,IF(OR(INDEX($B135:$D135,X$5)="F",AND(X$6&gt;0,$A135&lt;X$6),AND(X$7&gt;0,$A135&gt;X$7)),0,MAX(0,ROUND((INDEX($E135:$G135,X$5)-SUMIFS(TF_Timer,TF_Tekniker,X$4,TF_Dato,$A135))*2,0)/2)))</f>
        <v/>
      </c>
      <c r="Y135">
        <f>IF(OR(Y$4="",$A135&gt;TODAY()),0,IF(OR(INDEX($B135:$D135,Y$5)="F",AND(Y$6&gt;0,$A135&lt;Y$6),AND(Y$7&gt;0,$A135&gt;Y$7)),0,MAX(0,ROUND((INDEX($E135:$G135,Y$5)-SUMIFS(TF_Timer,TF_Tekniker,Y$4,TF_Dato,$A135))*2,0)/2)))</f>
        <v/>
      </c>
      <c r="Z135">
        <f>IF(OR(Z$4="",$A135&gt;TODAY()),0,IF(OR(INDEX($B135:$D135,Z$5)="F",AND(Z$6&gt;0,$A135&lt;Z$6),AND(Z$7&gt;0,$A135&gt;Z$7)),0,MAX(0,ROUND((INDEX($E135:$G135,Z$5)-SUMIFS(TF_Timer,TF_Tekniker,Z$4,TF_Dato,$A135))*2,0)/2)))</f>
        <v/>
      </c>
      <c r="AA135">
        <f>IF(OR(AA$4="",$A135&gt;TODAY()),0,IF(OR(INDEX($B135:$D135,AA$5)="F",AND(AA$6&gt;0,$A135&lt;AA$6),AND(AA$7&gt;0,$A135&gt;AA$7)),0,MAX(0,ROUND((INDEX($E135:$G135,AA$5)-SUMIFS(TF_Timer,TF_Tekniker,AA$4,TF_Dato,$A135))*2,0)/2)))</f>
        <v/>
      </c>
      <c r="AB135">
        <f>IF(OR(AB$4="",$A135&gt;TODAY()),0,IF(OR(INDEX($B135:$D135,AB$5)="F",AND(AB$6&gt;0,$A135&lt;AB$6),AND(AB$7&gt;0,$A135&gt;AB$7)),0,MAX(0,ROUND((INDEX($E135:$G135,AB$5)-SUMIFS(TF_Timer,TF_Tekniker,AB$4,TF_Dato,$A135))*2,0)/2)))</f>
        <v/>
      </c>
      <c r="AC135">
        <f>IF(OR(AC$4="",$A135&gt;TODAY()),0,IF(OR(INDEX($B135:$D135,AC$5)="F",AND(AC$6&gt;0,$A135&lt;AC$6),AND(AC$7&gt;0,$A135&gt;AC$7)),0,MAX(0,ROUND((INDEX($E135:$G135,AC$5)-SUMIFS(TF_Timer,TF_Tekniker,AC$4,TF_Dato,$A135))*2,0)/2)))</f>
        <v/>
      </c>
      <c r="AD135">
        <f>IF(OR(AD$4="",$A135&gt;TODAY()),0,IF(OR(INDEX($B135:$D135,AD$5)="F",AND(AD$6&gt;0,$A135&lt;AD$6),AND(AD$7&gt;0,$A135&gt;AD$7)),0,MAX(0,ROUND((INDEX($E135:$G135,AD$5)-SUMIFS(TF_Timer,TF_Tekniker,AD$4,TF_Dato,$A135))*2,0)/2)))</f>
        <v/>
      </c>
      <c r="AE135">
        <f>IF(OR(AE$4="",$A135&gt;TODAY()),0,IF(OR(INDEX($B135:$D135,AE$5)="F",AND(AE$6&gt;0,$A135&lt;AE$6),AND(AE$7&gt;0,$A135&gt;AE$7)),0,MAX(0,ROUND((INDEX($E135:$G135,AE$5)-SUMIFS(TF_Timer,TF_Tekniker,AE$4,TF_Dato,$A135))*2,0)/2)))</f>
        <v/>
      </c>
      <c r="AF135">
        <f>IF(OR(AF$4="",$A135&gt;TODAY()),0,IF(OR(INDEX($B135:$D135,AF$5)="F",AND(AF$6&gt;0,$A135&lt;AF$6),AND(AF$7&gt;0,$A135&gt;AF$7)),0,MAX(0,ROUND((INDEX($E135:$G135,AF$5)-SUMIFS(TF_Timer,TF_Tekniker,AF$4,TF_Dato,$A135))*2,0)/2)))</f>
        <v/>
      </c>
      <c r="AG135">
        <f>IF(OR(AG$4="",$A135&gt;TODAY()),0,IF(OR(INDEX($B135:$D135,AG$5)="F",AND(AG$6&gt;0,$A135&lt;AG$6),AND(AG$7&gt;0,$A135&gt;AG$7)),0,MAX(0,ROUND((INDEX($E135:$G135,AG$5)-SUMIFS(TF_Timer,TF_Tekniker,AG$4,TF_Dato,$A135))*2,0)/2)))</f>
        <v/>
      </c>
      <c r="AH135">
        <f>IF(OR(AH$4="",$A135&gt;TODAY()),0,IF(OR(INDEX($B135:$D135,AH$5)="F",AND(AH$6&gt;0,$A135&lt;AH$6),AND(AH$7&gt;0,$A135&gt;AH$7)),0,MAX(0,ROUND((INDEX($E135:$G135,AH$5)-SUMIFS(TF_Timer,TF_Tekniker,AH$4,TF_Dato,$A135))*2,0)/2)))</f>
        <v/>
      </c>
      <c r="AI135">
        <f>IF(OR(AI$4="",$A135&gt;TODAY()),0,IF(OR(INDEX($B135:$D135,AI$5)="F",AND(AI$6&gt;0,$A135&lt;AI$6),AND(AI$7&gt;0,$A135&gt;AI$7)),0,MAX(0,ROUND((INDEX($E135:$G135,AI$5)-SUMIFS(TF_Timer,TF_Tekniker,AI$4,TF_Dato,$A135))*2,0)/2)))</f>
        <v/>
      </c>
      <c r="AJ135">
        <f>IF(OR(AJ$4="",$A135&gt;TODAY()),0,IF(OR(INDEX($B135:$D135,AJ$5)="F",AND(AJ$6&gt;0,$A135&lt;AJ$6),AND(AJ$7&gt;0,$A135&gt;AJ$7)),0,MAX(0,ROUND((INDEX($E135:$G135,AJ$5)-SUMIFS(TF_Timer,TF_Tekniker,AJ$4,TF_Dato,$A135))*2,0)/2)))</f>
        <v/>
      </c>
      <c r="AK135">
        <f>IF(OR(AK$4="",$A135&gt;TODAY()),0,IF(OR(INDEX($B135:$D135,AK$5)="F",AND(AK$6&gt;0,$A135&lt;AK$6),AND(AK$7&gt;0,$A135&gt;AK$7)),0,MAX(0,ROUND((INDEX($E135:$G135,AK$5)-SUMIFS(TF_Timer,TF_Tekniker,AK$4,TF_Dato,$A135))*2,0)/2)))</f>
        <v/>
      </c>
      <c r="AL135">
        <f>IF(OR(AL$4="",$A135&gt;TODAY()),0,IF(OR(INDEX($B135:$D135,AL$5)="F",AND(AL$6&gt;0,$A135&lt;AL$6),AND(AL$7&gt;0,$A135&gt;AL$7)),0,MAX(0,ROUND((INDEX($E135:$G135,AL$5)-SUMIFS(TF_Timer,TF_Tekniker,AL$4,TF_Dato,$A135))*2,0)/2)))</f>
        <v/>
      </c>
      <c r="AM135">
        <f>IF(OR(AM$4="",$A135&gt;TODAY()),0,IF(OR(INDEX($B135:$D135,AM$5)="F",AND(AM$6&gt;0,$A135&lt;AM$6),AND(AM$7&gt;0,$A135&gt;AM$7)),0,MAX(0,ROUND((INDEX($E135:$G135,AM$5)-SUMIFS(TF_Timer,TF_Tekniker,AM$4,TF_Dato,$A135))*2,0)/2)))</f>
        <v/>
      </c>
      <c r="AN135">
        <f>IF(OR(AN$4="",$A135&gt;TODAY()),0,IF(OR(INDEX($B135:$D135,AN$5)="F",AND(AN$6&gt;0,$A135&lt;AN$6),AND(AN$7&gt;0,$A135&gt;AN$7)),0,MAX(0,ROUND((INDEX($E135:$G135,AN$5)-SUMIFS(TF_Timer,TF_Tekniker,AN$4,TF_Dato,$A135))*2,0)/2)))</f>
        <v/>
      </c>
      <c r="AO135">
        <f>IF(OR(AO$4="",$A135&gt;TODAY()),0,IF(OR(INDEX($B135:$D135,AO$5)="F",AND(AO$6&gt;0,$A135&lt;AO$6),AND(AO$7&gt;0,$A135&gt;AO$7)),0,MAX(0,ROUND((INDEX($E135:$G135,AO$5)-SUMIFS(TF_Timer,TF_Tekniker,AO$4,TF_Dato,$A135))*2,0)/2)))</f>
        <v/>
      </c>
      <c r="AP135">
        <f>IF(OR(AP$4="",$A135&gt;TODAY()),0,IF(OR(INDEX($B135:$D135,AP$5)="F",AND(AP$6&gt;0,$A135&lt;AP$6),AND(AP$7&gt;0,$A135&gt;AP$7)),0,MAX(0,ROUND((INDEX($E135:$G135,AP$5)-SUMIFS(TF_Timer,TF_Tekniker,AP$4,TF_Dato,$A135))*2,0)/2)))</f>
        <v/>
      </c>
      <c r="AQ135">
        <f>IF(OR(AQ$4="",$A135&gt;TODAY()),0,IF(OR(INDEX($B135:$D135,AQ$5)="F",AND(AQ$6&gt;0,$A135&lt;AQ$6),AND(AQ$7&gt;0,$A135&gt;AQ$7)),0,MAX(0,ROUND((INDEX($E135:$G135,AQ$5)-SUMIFS(TF_Timer,TF_Tekniker,AQ$4,TF_Dato,$A135))*2,0)/2)))</f>
        <v/>
      </c>
      <c r="AR135">
        <f>IF(OR(AR$4="",$A135&gt;TODAY()),0,IF(OR(INDEX($B135:$D135,AR$5)="F",AND(AR$6&gt;0,$A135&lt;AR$6),AND(AR$7&gt;0,$A135&gt;AR$7)),0,MAX(0,ROUND((INDEX($E135:$G135,AR$5)-SUMIFS(TF_Timer,TF_Tekniker,AR$4,TF_Dato,$A135))*2,0)/2)))</f>
        <v/>
      </c>
      <c r="AS135">
        <f>IF(OR(AS$4="",$A135&gt;TODAY()),0,IF(OR(INDEX($B135:$D135,AS$5)="F",AND(AS$6&gt;0,$A135&lt;AS$6),AND(AS$7&gt;0,$A135&gt;AS$7)),0,MAX(0,ROUND((INDEX($E135:$G135,AS$5)-SUMIFS(TF_Timer,TF_Tekniker,AS$4,TF_Dato,$A135))*2,0)/2)))</f>
        <v/>
      </c>
      <c r="AT135">
        <f>IF(OR(AT$4="",$A135&gt;TODAY()),0,IF(OR(INDEX($B135:$D135,AT$5)="F",AND(AT$6&gt;0,$A135&lt;AT$6),AND(AT$7&gt;0,$A135&gt;AT$7)),0,MAX(0,ROUND((INDEX($E135:$G135,AT$5)-SUMIFS(TF_Timer,TF_Tekniker,AT$4,TF_Dato,$A135))*2,0)/2)))</f>
        <v/>
      </c>
      <c r="AU135">
        <f>IF(OR(AU$4="",$A135&gt;TODAY()),0,IF(OR(INDEX($B135:$D135,AU$5)="F",AND(AU$6&gt;0,$A135&lt;AU$6),AND(AU$7&gt;0,$A135&gt;AU$7)),0,MAX(0,ROUND((INDEX($E135:$G135,AU$5)-SUMIFS(TF_Timer,TF_Tekniker,AU$4,TF_Dato,$A135))*2,0)/2)))</f>
        <v/>
      </c>
      <c r="AV135">
        <f>IF(OR(AV$4="",$A135&gt;TODAY()),0,IF(OR(INDEX($B135:$D135,AV$5)="F",AND(AV$6&gt;0,$A135&lt;AV$6),AND(AV$7&gt;0,$A135&gt;AV$7)),0,MAX(0,ROUND((INDEX($E135:$G135,AV$5)-SUMIFS(TF_Timer,TF_Tekniker,AV$4,TF_Dato,$A135))*2,0)/2)))</f>
        <v/>
      </c>
      <c r="AW135">
        <f>IF(OR(AW$4="",$A135&gt;TODAY()),0,IF(OR(INDEX($B135:$D135,AW$5)="F",AND(AW$6&gt;0,$A135&lt;AW$6),AND(AW$7&gt;0,$A135&gt;AW$7)),0,MAX(0,ROUND((INDEX($E135:$G135,AW$5)-SUMIFS(TF_Timer,TF_Tekniker,AW$4,TF_Dato,$A135))*2,0)/2)))</f>
        <v/>
      </c>
      <c r="AX135">
        <f>IF(OR(AX$4="",$A135&gt;TODAY()),0,IF(OR(INDEX($B135:$D135,AX$5)="F",AND(AX$6&gt;0,$A135&lt;AX$6),AND(AX$7&gt;0,$A135&gt;AX$7)),0,MAX(0,ROUND((INDEX($E135:$G135,AX$5)-SUMIFS(TF_Timer,TF_Tekniker,AX$4,TF_Dato,$A135))*2,0)/2)))</f>
        <v/>
      </c>
      <c r="AY135">
        <f>IF(OR(AY$4="",$A135&gt;TODAY()),0,IF(OR(INDEX($B135:$D135,AY$5)="F",AND(AY$6&gt;0,$A135&lt;AY$6),AND(AY$7&gt;0,$A135&gt;AY$7)),0,MAX(0,ROUND((INDEX($E135:$G135,AY$5)-SUMIFS(TF_Timer,TF_Tekniker,AY$4,TF_Dato,$A135))*2,0)/2)))</f>
        <v/>
      </c>
      <c r="AZ135">
        <f>IF(OR(AZ$4="",$A135&gt;TODAY()),0,IF(OR(INDEX($B135:$D135,AZ$5)="F",AND(AZ$6&gt;0,$A135&lt;AZ$6),AND(AZ$7&gt;0,$A135&gt;AZ$7)),0,MAX(0,ROUND((INDEX($E135:$G135,AZ$5)-SUMIFS(TF_Timer,TF_Tekniker,AZ$4,TF_Dato,$A135))*2,0)/2)))</f>
        <v/>
      </c>
      <c r="BA135">
        <f>IF(OR(BA$4="",$A135&gt;TODAY()),0,IF(OR(INDEX($B135:$D135,BA$5)="F",AND(BA$6&gt;0,$A135&lt;BA$6),AND(BA$7&gt;0,$A135&gt;BA$7)),0,MAX(0,ROUND((INDEX($E135:$G135,BA$5)-SUMIFS(TF_Timer,TF_Tekniker,BA$4,TF_Dato,$A135))*2,0)/2)))</f>
        <v/>
      </c>
      <c r="BB135">
        <f>IF(OR(BB$4="",$A135&gt;TODAY()),0,IF(OR(INDEX($B135:$D135,BB$5)="F",AND(BB$6&gt;0,$A135&lt;BB$6),AND(BB$7&gt;0,$A135&gt;BB$7)),0,MAX(0,ROUND((INDEX($E135:$G135,BB$5)-SUMIFS(TF_Timer,TF_Tekniker,BB$4,TF_Dato,$A135))*2,0)/2)))</f>
        <v/>
      </c>
      <c r="BC135">
        <f>IF(OR(BC$4="",$A135&gt;TODAY()),0,IF(OR(INDEX($B135:$D135,BC$5)="F",AND(BC$6&gt;0,$A135&lt;BC$6),AND(BC$7&gt;0,$A135&gt;BC$7)),0,MAX(0,ROUND((INDEX($E135:$G135,BC$5)-SUMIFS(TF_Timer,TF_Tekniker,BC$4,TF_Dato,$A135))*2,0)/2)))</f>
        <v/>
      </c>
      <c r="BD135">
        <f>IF(OR(BD$4="",$A135&gt;TODAY()),0,IF(OR(INDEX($B135:$D135,BD$5)="F",AND(BD$6&gt;0,$A135&lt;BD$6),AND(BD$7&gt;0,$A135&gt;BD$7)),0,MAX(0,ROUND((INDEX($E135:$G135,BD$5)-SUMIFS(TF_Timer,TF_Tekniker,BD$4,TF_Dato,$A135))*2,0)/2)))</f>
        <v/>
      </c>
      <c r="BE135">
        <f>IF(OR(BE$4="",$A135&gt;TODAY()),0,IF(OR(INDEX($B135:$D135,BE$5)="F",AND(BE$6&gt;0,$A135&lt;BE$6),AND(BE$7&gt;0,$A135&gt;BE$7)),0,MAX(0,ROUND((INDEX($E135:$G135,BE$5)-SUMIFS(TF_Timer,TF_Tekniker,BE$4,TF_Dato,$A135))*2,0)/2)))</f>
        <v/>
      </c>
      <c r="BF135">
        <f>IF(OR(BF$4="",$A135&gt;TODAY()),0,IF(OR(INDEX($B135:$D135,BF$5)="F",AND(BF$6&gt;0,$A135&lt;BF$6),AND(BF$7&gt;0,$A135&gt;BF$7)),0,MAX(0,ROUND((INDEX($E135:$G135,BF$5)-SUMIFS(TF_Timer,TF_Tekniker,BF$4,TF_Dato,$A135))*2,0)/2)))</f>
        <v/>
      </c>
      <c r="BG135">
        <f>IF(OR(BG$4="",$A135&gt;TODAY()),0,IF(OR(INDEX($B135:$D135,BG$5)="F",AND(BG$6&gt;0,$A135&lt;BG$6),AND(BG$7&gt;0,$A135&gt;BG$7)),0,MAX(0,ROUND((INDEX($E135:$G135,BG$5)-SUMIFS(TF_Timer,TF_Tekniker,BG$4,TF_Dato,$A135))*2,0)/2)))</f>
        <v/>
      </c>
      <c r="BH135">
        <f>IF(OR(BH$4="",$A135&gt;TODAY()),0,IF(OR(INDEX($B135:$D135,BH$5)="F",AND(BH$6&gt;0,$A135&lt;BH$6),AND(BH$7&gt;0,$A135&gt;BH$7)),0,MAX(0,ROUND((INDEX($E135:$G135,BH$5)-SUMIFS(TF_Timer,TF_Tekniker,BH$4,TF_Dato,$A135))*2,0)/2)))</f>
        <v/>
      </c>
      <c r="BI135">
        <f>IF(OR(BI$4="",$A135&gt;TODAY()),0,IF(OR(INDEX($B135:$D135,BI$5)="F",AND(BI$6&gt;0,$A135&lt;BI$6),AND(BI$7&gt;0,$A135&gt;BI$7)),0,MAX(0,ROUND((INDEX($E135:$G135,BI$5)-SUMIFS(TF_Timer,TF_Tekniker,BI$4,TF_Dato,$A135))*2,0)/2)))</f>
        <v/>
      </c>
    </row>
    <row r="136">
      <c r="A136" s="64">
        <f>A135+1</f>
        <v/>
      </c>
      <c r="B136">
        <f>IF(MOD($A136-INDEX(SkiftStart,1),Syklus)&lt;DagK,"K",IF(MOD($A136-INDEX(SkiftStart,1),Syklus)&lt;DagK+DagH,"H",IF(MOD($A136-INDEX(SkiftStart,1),Syklus)&lt;DagK+DagH+DagD,"D","F")))</f>
        <v/>
      </c>
      <c r="C136">
        <f>IF(MOD($A136-INDEX(SkiftStart,2),Syklus)&lt;DagK,"K",IF(MOD($A136-INDEX(SkiftStart,2),Syklus)&lt;DagK+DagH,"H",IF(MOD($A136-INDEX(SkiftStart,2),Syklus)&lt;DagK+DagH+DagD,"D","F")))</f>
        <v/>
      </c>
      <c r="D136">
        <f>IF(MOD($A136-INDEX(SkiftStart,3),Syklus)&lt;DagK,"K",IF(MOD($A136-INDEX(SkiftStart,3),Syklus)&lt;DagK+DagH,"H",IF(MOD($A136-INDEX(SkiftStart,3),Syklus)&lt;DagK+DagH+DagD,"D","F")))</f>
        <v/>
      </c>
      <c r="E136">
        <f>IF(B136="F",0,IF(WEEKDAY($A136,2)=5,INDEX(TimerFr,MATCH(B136,FaseKode,0)),INDEX(TimerMT,MATCH(B136,FaseKode,0))))</f>
        <v/>
      </c>
      <c r="F136">
        <f>IF(C136="F",0,IF(WEEKDAY($A136,2)=5,INDEX(TimerFr,MATCH(C136,FaseKode,0)),INDEX(TimerMT,MATCH(C136,FaseKode,0))))</f>
        <v/>
      </c>
      <c r="G136">
        <f>IF(D136="F",0,IF(WEEKDAY($A136,2)=5,INDEX(TimerFr,MATCH(D136,FaseKode,0)),INDEX(TimerMT,MATCH(D136,FaseKode,0))))</f>
        <v/>
      </c>
      <c r="H136">
        <f>IF(OR(H$4="",$A136&gt;TODAY()),0,IF(OR(INDEX($B136:$D136,H$5)="F",AND(H$6&gt;0,$A136&lt;H$6),AND(H$7&gt;0,$A136&gt;H$7)),0,MAX(0,ROUND((INDEX($E136:$G136,H$5)-SUMIFS(TF_Timer,TF_Tekniker,H$4,TF_Dato,$A136))*2,0)/2)))</f>
        <v/>
      </c>
      <c r="I136">
        <f>IF(OR(I$4="",$A136&gt;TODAY()),0,IF(OR(INDEX($B136:$D136,I$5)="F",AND(I$6&gt;0,$A136&lt;I$6),AND(I$7&gt;0,$A136&gt;I$7)),0,MAX(0,ROUND((INDEX($E136:$G136,I$5)-SUMIFS(TF_Timer,TF_Tekniker,I$4,TF_Dato,$A136))*2,0)/2)))</f>
        <v/>
      </c>
      <c r="J136">
        <f>IF(OR(J$4="",$A136&gt;TODAY()),0,IF(OR(INDEX($B136:$D136,J$5)="F",AND(J$6&gt;0,$A136&lt;J$6),AND(J$7&gt;0,$A136&gt;J$7)),0,MAX(0,ROUND((INDEX($E136:$G136,J$5)-SUMIFS(TF_Timer,TF_Tekniker,J$4,TF_Dato,$A136))*2,0)/2)))</f>
        <v/>
      </c>
      <c r="K136">
        <f>IF(OR(K$4="",$A136&gt;TODAY()),0,IF(OR(INDEX($B136:$D136,K$5)="F",AND(K$6&gt;0,$A136&lt;K$6),AND(K$7&gt;0,$A136&gt;K$7)),0,MAX(0,ROUND((INDEX($E136:$G136,K$5)-SUMIFS(TF_Timer,TF_Tekniker,K$4,TF_Dato,$A136))*2,0)/2)))</f>
        <v/>
      </c>
      <c r="L136">
        <f>IF(OR(L$4="",$A136&gt;TODAY()),0,IF(OR(INDEX($B136:$D136,L$5)="F",AND(L$6&gt;0,$A136&lt;L$6),AND(L$7&gt;0,$A136&gt;L$7)),0,MAX(0,ROUND((INDEX($E136:$G136,L$5)-SUMIFS(TF_Timer,TF_Tekniker,L$4,TF_Dato,$A136))*2,0)/2)))</f>
        <v/>
      </c>
      <c r="M136">
        <f>IF(OR(M$4="",$A136&gt;TODAY()),0,IF(OR(INDEX($B136:$D136,M$5)="F",AND(M$6&gt;0,$A136&lt;M$6),AND(M$7&gt;0,$A136&gt;M$7)),0,MAX(0,ROUND((INDEX($E136:$G136,M$5)-SUMIFS(TF_Timer,TF_Tekniker,M$4,TF_Dato,$A136))*2,0)/2)))</f>
        <v/>
      </c>
      <c r="N136">
        <f>IF(OR(N$4="",$A136&gt;TODAY()),0,IF(OR(INDEX($B136:$D136,N$5)="F",AND(N$6&gt;0,$A136&lt;N$6),AND(N$7&gt;0,$A136&gt;N$7)),0,MAX(0,ROUND((INDEX($E136:$G136,N$5)-SUMIFS(TF_Timer,TF_Tekniker,N$4,TF_Dato,$A136))*2,0)/2)))</f>
        <v/>
      </c>
      <c r="O136">
        <f>IF(OR(O$4="",$A136&gt;TODAY()),0,IF(OR(INDEX($B136:$D136,O$5)="F",AND(O$6&gt;0,$A136&lt;O$6),AND(O$7&gt;0,$A136&gt;O$7)),0,MAX(0,ROUND((INDEX($E136:$G136,O$5)-SUMIFS(TF_Timer,TF_Tekniker,O$4,TF_Dato,$A136))*2,0)/2)))</f>
        <v/>
      </c>
      <c r="P136">
        <f>IF(OR(P$4="",$A136&gt;TODAY()),0,IF(OR(INDEX($B136:$D136,P$5)="F",AND(P$6&gt;0,$A136&lt;P$6),AND(P$7&gt;0,$A136&gt;P$7)),0,MAX(0,ROUND((INDEX($E136:$G136,P$5)-SUMIFS(TF_Timer,TF_Tekniker,P$4,TF_Dato,$A136))*2,0)/2)))</f>
        <v/>
      </c>
      <c r="Q136">
        <f>IF(OR(Q$4="",$A136&gt;TODAY()),0,IF(OR(INDEX($B136:$D136,Q$5)="F",AND(Q$6&gt;0,$A136&lt;Q$6),AND(Q$7&gt;0,$A136&gt;Q$7)),0,MAX(0,ROUND((INDEX($E136:$G136,Q$5)-SUMIFS(TF_Timer,TF_Tekniker,Q$4,TF_Dato,$A136))*2,0)/2)))</f>
        <v/>
      </c>
      <c r="R136">
        <f>IF(OR(R$4="",$A136&gt;TODAY()),0,IF(OR(INDEX($B136:$D136,R$5)="F",AND(R$6&gt;0,$A136&lt;R$6),AND(R$7&gt;0,$A136&gt;R$7)),0,MAX(0,ROUND((INDEX($E136:$G136,R$5)-SUMIFS(TF_Timer,TF_Tekniker,R$4,TF_Dato,$A136))*2,0)/2)))</f>
        <v/>
      </c>
      <c r="S136">
        <f>IF(OR(S$4="",$A136&gt;TODAY()),0,IF(OR(INDEX($B136:$D136,S$5)="F",AND(S$6&gt;0,$A136&lt;S$6),AND(S$7&gt;0,$A136&gt;S$7)),0,MAX(0,ROUND((INDEX($E136:$G136,S$5)-SUMIFS(TF_Timer,TF_Tekniker,S$4,TF_Dato,$A136))*2,0)/2)))</f>
        <v/>
      </c>
      <c r="T136">
        <f>IF(OR(T$4="",$A136&gt;TODAY()),0,IF(OR(INDEX($B136:$D136,T$5)="F",AND(T$6&gt;0,$A136&lt;T$6),AND(T$7&gt;0,$A136&gt;T$7)),0,MAX(0,ROUND((INDEX($E136:$G136,T$5)-SUMIFS(TF_Timer,TF_Tekniker,T$4,TF_Dato,$A136))*2,0)/2)))</f>
        <v/>
      </c>
      <c r="U136">
        <f>IF(OR(U$4="",$A136&gt;TODAY()),0,IF(OR(INDEX($B136:$D136,U$5)="F",AND(U$6&gt;0,$A136&lt;U$6),AND(U$7&gt;0,$A136&gt;U$7)),0,MAX(0,ROUND((INDEX($E136:$G136,U$5)-SUMIFS(TF_Timer,TF_Tekniker,U$4,TF_Dato,$A136))*2,0)/2)))</f>
        <v/>
      </c>
      <c r="V136">
        <f>IF(OR(V$4="",$A136&gt;TODAY()),0,IF(OR(INDEX($B136:$D136,V$5)="F",AND(V$6&gt;0,$A136&lt;V$6),AND(V$7&gt;0,$A136&gt;V$7)),0,MAX(0,ROUND((INDEX($E136:$G136,V$5)-SUMIFS(TF_Timer,TF_Tekniker,V$4,TF_Dato,$A136))*2,0)/2)))</f>
        <v/>
      </c>
      <c r="W136">
        <f>IF(OR(W$4="",$A136&gt;TODAY()),0,IF(OR(INDEX($B136:$D136,W$5)="F",AND(W$6&gt;0,$A136&lt;W$6),AND(W$7&gt;0,$A136&gt;W$7)),0,MAX(0,ROUND((INDEX($E136:$G136,W$5)-SUMIFS(TF_Timer,TF_Tekniker,W$4,TF_Dato,$A136))*2,0)/2)))</f>
        <v/>
      </c>
      <c r="X136">
        <f>IF(OR(X$4="",$A136&gt;TODAY()),0,IF(OR(INDEX($B136:$D136,X$5)="F",AND(X$6&gt;0,$A136&lt;X$6),AND(X$7&gt;0,$A136&gt;X$7)),0,MAX(0,ROUND((INDEX($E136:$G136,X$5)-SUMIFS(TF_Timer,TF_Tekniker,X$4,TF_Dato,$A136))*2,0)/2)))</f>
        <v/>
      </c>
      <c r="Y136">
        <f>IF(OR(Y$4="",$A136&gt;TODAY()),0,IF(OR(INDEX($B136:$D136,Y$5)="F",AND(Y$6&gt;0,$A136&lt;Y$6),AND(Y$7&gt;0,$A136&gt;Y$7)),0,MAX(0,ROUND((INDEX($E136:$G136,Y$5)-SUMIFS(TF_Timer,TF_Tekniker,Y$4,TF_Dato,$A136))*2,0)/2)))</f>
        <v/>
      </c>
      <c r="Z136">
        <f>IF(OR(Z$4="",$A136&gt;TODAY()),0,IF(OR(INDEX($B136:$D136,Z$5)="F",AND(Z$6&gt;0,$A136&lt;Z$6),AND(Z$7&gt;0,$A136&gt;Z$7)),0,MAX(0,ROUND((INDEX($E136:$G136,Z$5)-SUMIFS(TF_Timer,TF_Tekniker,Z$4,TF_Dato,$A136))*2,0)/2)))</f>
        <v/>
      </c>
      <c r="AA136">
        <f>IF(OR(AA$4="",$A136&gt;TODAY()),0,IF(OR(INDEX($B136:$D136,AA$5)="F",AND(AA$6&gt;0,$A136&lt;AA$6),AND(AA$7&gt;0,$A136&gt;AA$7)),0,MAX(0,ROUND((INDEX($E136:$G136,AA$5)-SUMIFS(TF_Timer,TF_Tekniker,AA$4,TF_Dato,$A136))*2,0)/2)))</f>
        <v/>
      </c>
      <c r="AB136">
        <f>IF(OR(AB$4="",$A136&gt;TODAY()),0,IF(OR(INDEX($B136:$D136,AB$5)="F",AND(AB$6&gt;0,$A136&lt;AB$6),AND(AB$7&gt;0,$A136&gt;AB$7)),0,MAX(0,ROUND((INDEX($E136:$G136,AB$5)-SUMIFS(TF_Timer,TF_Tekniker,AB$4,TF_Dato,$A136))*2,0)/2)))</f>
        <v/>
      </c>
      <c r="AC136">
        <f>IF(OR(AC$4="",$A136&gt;TODAY()),0,IF(OR(INDEX($B136:$D136,AC$5)="F",AND(AC$6&gt;0,$A136&lt;AC$6),AND(AC$7&gt;0,$A136&gt;AC$7)),0,MAX(0,ROUND((INDEX($E136:$G136,AC$5)-SUMIFS(TF_Timer,TF_Tekniker,AC$4,TF_Dato,$A136))*2,0)/2)))</f>
        <v/>
      </c>
      <c r="AD136">
        <f>IF(OR(AD$4="",$A136&gt;TODAY()),0,IF(OR(INDEX($B136:$D136,AD$5)="F",AND(AD$6&gt;0,$A136&lt;AD$6),AND(AD$7&gt;0,$A136&gt;AD$7)),0,MAX(0,ROUND((INDEX($E136:$G136,AD$5)-SUMIFS(TF_Timer,TF_Tekniker,AD$4,TF_Dato,$A136))*2,0)/2)))</f>
        <v/>
      </c>
      <c r="AE136">
        <f>IF(OR(AE$4="",$A136&gt;TODAY()),0,IF(OR(INDEX($B136:$D136,AE$5)="F",AND(AE$6&gt;0,$A136&lt;AE$6),AND(AE$7&gt;0,$A136&gt;AE$7)),0,MAX(0,ROUND((INDEX($E136:$G136,AE$5)-SUMIFS(TF_Timer,TF_Tekniker,AE$4,TF_Dato,$A136))*2,0)/2)))</f>
        <v/>
      </c>
      <c r="AF136">
        <f>IF(OR(AF$4="",$A136&gt;TODAY()),0,IF(OR(INDEX($B136:$D136,AF$5)="F",AND(AF$6&gt;0,$A136&lt;AF$6),AND(AF$7&gt;0,$A136&gt;AF$7)),0,MAX(0,ROUND((INDEX($E136:$G136,AF$5)-SUMIFS(TF_Timer,TF_Tekniker,AF$4,TF_Dato,$A136))*2,0)/2)))</f>
        <v/>
      </c>
      <c r="AG136">
        <f>IF(OR(AG$4="",$A136&gt;TODAY()),0,IF(OR(INDEX($B136:$D136,AG$5)="F",AND(AG$6&gt;0,$A136&lt;AG$6),AND(AG$7&gt;0,$A136&gt;AG$7)),0,MAX(0,ROUND((INDEX($E136:$G136,AG$5)-SUMIFS(TF_Timer,TF_Tekniker,AG$4,TF_Dato,$A136))*2,0)/2)))</f>
        <v/>
      </c>
      <c r="AH136">
        <f>IF(OR(AH$4="",$A136&gt;TODAY()),0,IF(OR(INDEX($B136:$D136,AH$5)="F",AND(AH$6&gt;0,$A136&lt;AH$6),AND(AH$7&gt;0,$A136&gt;AH$7)),0,MAX(0,ROUND((INDEX($E136:$G136,AH$5)-SUMIFS(TF_Timer,TF_Tekniker,AH$4,TF_Dato,$A136))*2,0)/2)))</f>
        <v/>
      </c>
      <c r="AI136">
        <f>IF(OR(AI$4="",$A136&gt;TODAY()),0,IF(OR(INDEX($B136:$D136,AI$5)="F",AND(AI$6&gt;0,$A136&lt;AI$6),AND(AI$7&gt;0,$A136&gt;AI$7)),0,MAX(0,ROUND((INDEX($E136:$G136,AI$5)-SUMIFS(TF_Timer,TF_Tekniker,AI$4,TF_Dato,$A136))*2,0)/2)))</f>
        <v/>
      </c>
      <c r="AJ136">
        <f>IF(OR(AJ$4="",$A136&gt;TODAY()),0,IF(OR(INDEX($B136:$D136,AJ$5)="F",AND(AJ$6&gt;0,$A136&lt;AJ$6),AND(AJ$7&gt;0,$A136&gt;AJ$7)),0,MAX(0,ROUND((INDEX($E136:$G136,AJ$5)-SUMIFS(TF_Timer,TF_Tekniker,AJ$4,TF_Dato,$A136))*2,0)/2)))</f>
        <v/>
      </c>
      <c r="AK136">
        <f>IF(OR(AK$4="",$A136&gt;TODAY()),0,IF(OR(INDEX($B136:$D136,AK$5)="F",AND(AK$6&gt;0,$A136&lt;AK$6),AND(AK$7&gt;0,$A136&gt;AK$7)),0,MAX(0,ROUND((INDEX($E136:$G136,AK$5)-SUMIFS(TF_Timer,TF_Tekniker,AK$4,TF_Dato,$A136))*2,0)/2)))</f>
        <v/>
      </c>
      <c r="AL136">
        <f>IF(OR(AL$4="",$A136&gt;TODAY()),0,IF(OR(INDEX($B136:$D136,AL$5)="F",AND(AL$6&gt;0,$A136&lt;AL$6),AND(AL$7&gt;0,$A136&gt;AL$7)),0,MAX(0,ROUND((INDEX($E136:$G136,AL$5)-SUMIFS(TF_Timer,TF_Tekniker,AL$4,TF_Dato,$A136))*2,0)/2)))</f>
        <v/>
      </c>
      <c r="AM136">
        <f>IF(OR(AM$4="",$A136&gt;TODAY()),0,IF(OR(INDEX($B136:$D136,AM$5)="F",AND(AM$6&gt;0,$A136&lt;AM$6),AND(AM$7&gt;0,$A136&gt;AM$7)),0,MAX(0,ROUND((INDEX($E136:$G136,AM$5)-SUMIFS(TF_Timer,TF_Tekniker,AM$4,TF_Dato,$A136))*2,0)/2)))</f>
        <v/>
      </c>
      <c r="AN136">
        <f>IF(OR(AN$4="",$A136&gt;TODAY()),0,IF(OR(INDEX($B136:$D136,AN$5)="F",AND(AN$6&gt;0,$A136&lt;AN$6),AND(AN$7&gt;0,$A136&gt;AN$7)),0,MAX(0,ROUND((INDEX($E136:$G136,AN$5)-SUMIFS(TF_Timer,TF_Tekniker,AN$4,TF_Dato,$A136))*2,0)/2)))</f>
        <v/>
      </c>
      <c r="AO136">
        <f>IF(OR(AO$4="",$A136&gt;TODAY()),0,IF(OR(INDEX($B136:$D136,AO$5)="F",AND(AO$6&gt;0,$A136&lt;AO$6),AND(AO$7&gt;0,$A136&gt;AO$7)),0,MAX(0,ROUND((INDEX($E136:$G136,AO$5)-SUMIFS(TF_Timer,TF_Tekniker,AO$4,TF_Dato,$A136))*2,0)/2)))</f>
        <v/>
      </c>
      <c r="AP136">
        <f>IF(OR(AP$4="",$A136&gt;TODAY()),0,IF(OR(INDEX($B136:$D136,AP$5)="F",AND(AP$6&gt;0,$A136&lt;AP$6),AND(AP$7&gt;0,$A136&gt;AP$7)),0,MAX(0,ROUND((INDEX($E136:$G136,AP$5)-SUMIFS(TF_Timer,TF_Tekniker,AP$4,TF_Dato,$A136))*2,0)/2)))</f>
        <v/>
      </c>
      <c r="AQ136">
        <f>IF(OR(AQ$4="",$A136&gt;TODAY()),0,IF(OR(INDEX($B136:$D136,AQ$5)="F",AND(AQ$6&gt;0,$A136&lt;AQ$6),AND(AQ$7&gt;0,$A136&gt;AQ$7)),0,MAX(0,ROUND((INDEX($E136:$G136,AQ$5)-SUMIFS(TF_Timer,TF_Tekniker,AQ$4,TF_Dato,$A136))*2,0)/2)))</f>
        <v/>
      </c>
      <c r="AR136">
        <f>IF(OR(AR$4="",$A136&gt;TODAY()),0,IF(OR(INDEX($B136:$D136,AR$5)="F",AND(AR$6&gt;0,$A136&lt;AR$6),AND(AR$7&gt;0,$A136&gt;AR$7)),0,MAX(0,ROUND((INDEX($E136:$G136,AR$5)-SUMIFS(TF_Timer,TF_Tekniker,AR$4,TF_Dato,$A136))*2,0)/2)))</f>
        <v/>
      </c>
      <c r="AS136">
        <f>IF(OR(AS$4="",$A136&gt;TODAY()),0,IF(OR(INDEX($B136:$D136,AS$5)="F",AND(AS$6&gt;0,$A136&lt;AS$6),AND(AS$7&gt;0,$A136&gt;AS$7)),0,MAX(0,ROUND((INDEX($E136:$G136,AS$5)-SUMIFS(TF_Timer,TF_Tekniker,AS$4,TF_Dato,$A136))*2,0)/2)))</f>
        <v/>
      </c>
      <c r="AT136">
        <f>IF(OR(AT$4="",$A136&gt;TODAY()),0,IF(OR(INDEX($B136:$D136,AT$5)="F",AND(AT$6&gt;0,$A136&lt;AT$6),AND(AT$7&gt;0,$A136&gt;AT$7)),0,MAX(0,ROUND((INDEX($E136:$G136,AT$5)-SUMIFS(TF_Timer,TF_Tekniker,AT$4,TF_Dato,$A136))*2,0)/2)))</f>
        <v/>
      </c>
      <c r="AU136">
        <f>IF(OR(AU$4="",$A136&gt;TODAY()),0,IF(OR(INDEX($B136:$D136,AU$5)="F",AND(AU$6&gt;0,$A136&lt;AU$6),AND(AU$7&gt;0,$A136&gt;AU$7)),0,MAX(0,ROUND((INDEX($E136:$G136,AU$5)-SUMIFS(TF_Timer,TF_Tekniker,AU$4,TF_Dato,$A136))*2,0)/2)))</f>
        <v/>
      </c>
      <c r="AV136">
        <f>IF(OR(AV$4="",$A136&gt;TODAY()),0,IF(OR(INDEX($B136:$D136,AV$5)="F",AND(AV$6&gt;0,$A136&lt;AV$6),AND(AV$7&gt;0,$A136&gt;AV$7)),0,MAX(0,ROUND((INDEX($E136:$G136,AV$5)-SUMIFS(TF_Timer,TF_Tekniker,AV$4,TF_Dato,$A136))*2,0)/2)))</f>
        <v/>
      </c>
      <c r="AW136">
        <f>IF(OR(AW$4="",$A136&gt;TODAY()),0,IF(OR(INDEX($B136:$D136,AW$5)="F",AND(AW$6&gt;0,$A136&lt;AW$6),AND(AW$7&gt;0,$A136&gt;AW$7)),0,MAX(0,ROUND((INDEX($E136:$G136,AW$5)-SUMIFS(TF_Timer,TF_Tekniker,AW$4,TF_Dato,$A136))*2,0)/2)))</f>
        <v/>
      </c>
      <c r="AX136">
        <f>IF(OR(AX$4="",$A136&gt;TODAY()),0,IF(OR(INDEX($B136:$D136,AX$5)="F",AND(AX$6&gt;0,$A136&lt;AX$6),AND(AX$7&gt;0,$A136&gt;AX$7)),0,MAX(0,ROUND((INDEX($E136:$G136,AX$5)-SUMIFS(TF_Timer,TF_Tekniker,AX$4,TF_Dato,$A136))*2,0)/2)))</f>
        <v/>
      </c>
      <c r="AY136">
        <f>IF(OR(AY$4="",$A136&gt;TODAY()),0,IF(OR(INDEX($B136:$D136,AY$5)="F",AND(AY$6&gt;0,$A136&lt;AY$6),AND(AY$7&gt;0,$A136&gt;AY$7)),0,MAX(0,ROUND((INDEX($E136:$G136,AY$5)-SUMIFS(TF_Timer,TF_Tekniker,AY$4,TF_Dato,$A136))*2,0)/2)))</f>
        <v/>
      </c>
      <c r="AZ136">
        <f>IF(OR(AZ$4="",$A136&gt;TODAY()),0,IF(OR(INDEX($B136:$D136,AZ$5)="F",AND(AZ$6&gt;0,$A136&lt;AZ$6),AND(AZ$7&gt;0,$A136&gt;AZ$7)),0,MAX(0,ROUND((INDEX($E136:$G136,AZ$5)-SUMIFS(TF_Timer,TF_Tekniker,AZ$4,TF_Dato,$A136))*2,0)/2)))</f>
        <v/>
      </c>
      <c r="BA136">
        <f>IF(OR(BA$4="",$A136&gt;TODAY()),0,IF(OR(INDEX($B136:$D136,BA$5)="F",AND(BA$6&gt;0,$A136&lt;BA$6),AND(BA$7&gt;0,$A136&gt;BA$7)),0,MAX(0,ROUND((INDEX($E136:$G136,BA$5)-SUMIFS(TF_Timer,TF_Tekniker,BA$4,TF_Dato,$A136))*2,0)/2)))</f>
        <v/>
      </c>
      <c r="BB136">
        <f>IF(OR(BB$4="",$A136&gt;TODAY()),0,IF(OR(INDEX($B136:$D136,BB$5)="F",AND(BB$6&gt;0,$A136&lt;BB$6),AND(BB$7&gt;0,$A136&gt;BB$7)),0,MAX(0,ROUND((INDEX($E136:$G136,BB$5)-SUMIFS(TF_Timer,TF_Tekniker,BB$4,TF_Dato,$A136))*2,0)/2)))</f>
        <v/>
      </c>
      <c r="BC136">
        <f>IF(OR(BC$4="",$A136&gt;TODAY()),0,IF(OR(INDEX($B136:$D136,BC$5)="F",AND(BC$6&gt;0,$A136&lt;BC$6),AND(BC$7&gt;0,$A136&gt;BC$7)),0,MAX(0,ROUND((INDEX($E136:$G136,BC$5)-SUMIFS(TF_Timer,TF_Tekniker,BC$4,TF_Dato,$A136))*2,0)/2)))</f>
        <v/>
      </c>
      <c r="BD136">
        <f>IF(OR(BD$4="",$A136&gt;TODAY()),0,IF(OR(INDEX($B136:$D136,BD$5)="F",AND(BD$6&gt;0,$A136&lt;BD$6),AND(BD$7&gt;0,$A136&gt;BD$7)),0,MAX(0,ROUND((INDEX($E136:$G136,BD$5)-SUMIFS(TF_Timer,TF_Tekniker,BD$4,TF_Dato,$A136))*2,0)/2)))</f>
        <v/>
      </c>
      <c r="BE136">
        <f>IF(OR(BE$4="",$A136&gt;TODAY()),0,IF(OR(INDEX($B136:$D136,BE$5)="F",AND(BE$6&gt;0,$A136&lt;BE$6),AND(BE$7&gt;0,$A136&gt;BE$7)),0,MAX(0,ROUND((INDEX($E136:$G136,BE$5)-SUMIFS(TF_Timer,TF_Tekniker,BE$4,TF_Dato,$A136))*2,0)/2)))</f>
        <v/>
      </c>
      <c r="BF136">
        <f>IF(OR(BF$4="",$A136&gt;TODAY()),0,IF(OR(INDEX($B136:$D136,BF$5)="F",AND(BF$6&gt;0,$A136&lt;BF$6),AND(BF$7&gt;0,$A136&gt;BF$7)),0,MAX(0,ROUND((INDEX($E136:$G136,BF$5)-SUMIFS(TF_Timer,TF_Tekniker,BF$4,TF_Dato,$A136))*2,0)/2)))</f>
        <v/>
      </c>
      <c r="BG136">
        <f>IF(OR(BG$4="",$A136&gt;TODAY()),0,IF(OR(INDEX($B136:$D136,BG$5)="F",AND(BG$6&gt;0,$A136&lt;BG$6),AND(BG$7&gt;0,$A136&gt;BG$7)),0,MAX(0,ROUND((INDEX($E136:$G136,BG$5)-SUMIFS(TF_Timer,TF_Tekniker,BG$4,TF_Dato,$A136))*2,0)/2)))</f>
        <v/>
      </c>
      <c r="BH136">
        <f>IF(OR(BH$4="",$A136&gt;TODAY()),0,IF(OR(INDEX($B136:$D136,BH$5)="F",AND(BH$6&gt;0,$A136&lt;BH$6),AND(BH$7&gt;0,$A136&gt;BH$7)),0,MAX(0,ROUND((INDEX($E136:$G136,BH$5)-SUMIFS(TF_Timer,TF_Tekniker,BH$4,TF_Dato,$A136))*2,0)/2)))</f>
        <v/>
      </c>
      <c r="BI136">
        <f>IF(OR(BI$4="",$A136&gt;TODAY()),0,IF(OR(INDEX($B136:$D136,BI$5)="F",AND(BI$6&gt;0,$A136&lt;BI$6),AND(BI$7&gt;0,$A136&gt;BI$7)),0,MAX(0,ROUND((INDEX($E136:$G136,BI$5)-SUMIFS(TF_Timer,TF_Tekniker,BI$4,TF_Dato,$A136))*2,0)/2)))</f>
        <v/>
      </c>
    </row>
    <row r="137">
      <c r="A137" s="64">
        <f>A136+1</f>
        <v/>
      </c>
      <c r="B137">
        <f>IF(MOD($A137-INDEX(SkiftStart,1),Syklus)&lt;DagK,"K",IF(MOD($A137-INDEX(SkiftStart,1),Syklus)&lt;DagK+DagH,"H",IF(MOD($A137-INDEX(SkiftStart,1),Syklus)&lt;DagK+DagH+DagD,"D","F")))</f>
        <v/>
      </c>
      <c r="C137">
        <f>IF(MOD($A137-INDEX(SkiftStart,2),Syklus)&lt;DagK,"K",IF(MOD($A137-INDEX(SkiftStart,2),Syklus)&lt;DagK+DagH,"H",IF(MOD($A137-INDEX(SkiftStart,2),Syklus)&lt;DagK+DagH+DagD,"D","F")))</f>
        <v/>
      </c>
      <c r="D137">
        <f>IF(MOD($A137-INDEX(SkiftStart,3),Syklus)&lt;DagK,"K",IF(MOD($A137-INDEX(SkiftStart,3),Syklus)&lt;DagK+DagH,"H",IF(MOD($A137-INDEX(SkiftStart,3),Syklus)&lt;DagK+DagH+DagD,"D","F")))</f>
        <v/>
      </c>
      <c r="E137">
        <f>IF(B137="F",0,IF(WEEKDAY($A137,2)=5,INDEX(TimerFr,MATCH(B137,FaseKode,0)),INDEX(TimerMT,MATCH(B137,FaseKode,0))))</f>
        <v/>
      </c>
      <c r="F137">
        <f>IF(C137="F",0,IF(WEEKDAY($A137,2)=5,INDEX(TimerFr,MATCH(C137,FaseKode,0)),INDEX(TimerMT,MATCH(C137,FaseKode,0))))</f>
        <v/>
      </c>
      <c r="G137">
        <f>IF(D137="F",0,IF(WEEKDAY($A137,2)=5,INDEX(TimerFr,MATCH(D137,FaseKode,0)),INDEX(TimerMT,MATCH(D137,FaseKode,0))))</f>
        <v/>
      </c>
      <c r="H137">
        <f>IF(OR(H$4="",$A137&gt;TODAY()),0,IF(OR(INDEX($B137:$D137,H$5)="F",AND(H$6&gt;0,$A137&lt;H$6),AND(H$7&gt;0,$A137&gt;H$7)),0,MAX(0,ROUND((INDEX($E137:$G137,H$5)-SUMIFS(TF_Timer,TF_Tekniker,H$4,TF_Dato,$A137))*2,0)/2)))</f>
        <v/>
      </c>
      <c r="I137">
        <f>IF(OR(I$4="",$A137&gt;TODAY()),0,IF(OR(INDEX($B137:$D137,I$5)="F",AND(I$6&gt;0,$A137&lt;I$6),AND(I$7&gt;0,$A137&gt;I$7)),0,MAX(0,ROUND((INDEX($E137:$G137,I$5)-SUMIFS(TF_Timer,TF_Tekniker,I$4,TF_Dato,$A137))*2,0)/2)))</f>
        <v/>
      </c>
      <c r="J137">
        <f>IF(OR(J$4="",$A137&gt;TODAY()),0,IF(OR(INDEX($B137:$D137,J$5)="F",AND(J$6&gt;0,$A137&lt;J$6),AND(J$7&gt;0,$A137&gt;J$7)),0,MAX(0,ROUND((INDEX($E137:$G137,J$5)-SUMIFS(TF_Timer,TF_Tekniker,J$4,TF_Dato,$A137))*2,0)/2)))</f>
        <v/>
      </c>
      <c r="K137">
        <f>IF(OR(K$4="",$A137&gt;TODAY()),0,IF(OR(INDEX($B137:$D137,K$5)="F",AND(K$6&gt;0,$A137&lt;K$6),AND(K$7&gt;0,$A137&gt;K$7)),0,MAX(0,ROUND((INDEX($E137:$G137,K$5)-SUMIFS(TF_Timer,TF_Tekniker,K$4,TF_Dato,$A137))*2,0)/2)))</f>
        <v/>
      </c>
      <c r="L137">
        <f>IF(OR(L$4="",$A137&gt;TODAY()),0,IF(OR(INDEX($B137:$D137,L$5)="F",AND(L$6&gt;0,$A137&lt;L$6),AND(L$7&gt;0,$A137&gt;L$7)),0,MAX(0,ROUND((INDEX($E137:$G137,L$5)-SUMIFS(TF_Timer,TF_Tekniker,L$4,TF_Dato,$A137))*2,0)/2)))</f>
        <v/>
      </c>
      <c r="M137">
        <f>IF(OR(M$4="",$A137&gt;TODAY()),0,IF(OR(INDEX($B137:$D137,M$5)="F",AND(M$6&gt;0,$A137&lt;M$6),AND(M$7&gt;0,$A137&gt;M$7)),0,MAX(0,ROUND((INDEX($E137:$G137,M$5)-SUMIFS(TF_Timer,TF_Tekniker,M$4,TF_Dato,$A137))*2,0)/2)))</f>
        <v/>
      </c>
      <c r="N137">
        <f>IF(OR(N$4="",$A137&gt;TODAY()),0,IF(OR(INDEX($B137:$D137,N$5)="F",AND(N$6&gt;0,$A137&lt;N$6),AND(N$7&gt;0,$A137&gt;N$7)),0,MAX(0,ROUND((INDEX($E137:$G137,N$5)-SUMIFS(TF_Timer,TF_Tekniker,N$4,TF_Dato,$A137))*2,0)/2)))</f>
        <v/>
      </c>
      <c r="O137">
        <f>IF(OR(O$4="",$A137&gt;TODAY()),0,IF(OR(INDEX($B137:$D137,O$5)="F",AND(O$6&gt;0,$A137&lt;O$6),AND(O$7&gt;0,$A137&gt;O$7)),0,MAX(0,ROUND((INDEX($E137:$G137,O$5)-SUMIFS(TF_Timer,TF_Tekniker,O$4,TF_Dato,$A137))*2,0)/2)))</f>
        <v/>
      </c>
      <c r="P137">
        <f>IF(OR(P$4="",$A137&gt;TODAY()),0,IF(OR(INDEX($B137:$D137,P$5)="F",AND(P$6&gt;0,$A137&lt;P$6),AND(P$7&gt;0,$A137&gt;P$7)),0,MAX(0,ROUND((INDEX($E137:$G137,P$5)-SUMIFS(TF_Timer,TF_Tekniker,P$4,TF_Dato,$A137))*2,0)/2)))</f>
        <v/>
      </c>
      <c r="Q137">
        <f>IF(OR(Q$4="",$A137&gt;TODAY()),0,IF(OR(INDEX($B137:$D137,Q$5)="F",AND(Q$6&gt;0,$A137&lt;Q$6),AND(Q$7&gt;0,$A137&gt;Q$7)),0,MAX(0,ROUND((INDEX($E137:$G137,Q$5)-SUMIFS(TF_Timer,TF_Tekniker,Q$4,TF_Dato,$A137))*2,0)/2)))</f>
        <v/>
      </c>
      <c r="R137">
        <f>IF(OR(R$4="",$A137&gt;TODAY()),0,IF(OR(INDEX($B137:$D137,R$5)="F",AND(R$6&gt;0,$A137&lt;R$6),AND(R$7&gt;0,$A137&gt;R$7)),0,MAX(0,ROUND((INDEX($E137:$G137,R$5)-SUMIFS(TF_Timer,TF_Tekniker,R$4,TF_Dato,$A137))*2,0)/2)))</f>
        <v/>
      </c>
      <c r="S137">
        <f>IF(OR(S$4="",$A137&gt;TODAY()),0,IF(OR(INDEX($B137:$D137,S$5)="F",AND(S$6&gt;0,$A137&lt;S$6),AND(S$7&gt;0,$A137&gt;S$7)),0,MAX(0,ROUND((INDEX($E137:$G137,S$5)-SUMIFS(TF_Timer,TF_Tekniker,S$4,TF_Dato,$A137))*2,0)/2)))</f>
        <v/>
      </c>
      <c r="T137">
        <f>IF(OR(T$4="",$A137&gt;TODAY()),0,IF(OR(INDEX($B137:$D137,T$5)="F",AND(T$6&gt;0,$A137&lt;T$6),AND(T$7&gt;0,$A137&gt;T$7)),0,MAX(0,ROUND((INDEX($E137:$G137,T$5)-SUMIFS(TF_Timer,TF_Tekniker,T$4,TF_Dato,$A137))*2,0)/2)))</f>
        <v/>
      </c>
      <c r="U137">
        <f>IF(OR(U$4="",$A137&gt;TODAY()),0,IF(OR(INDEX($B137:$D137,U$5)="F",AND(U$6&gt;0,$A137&lt;U$6),AND(U$7&gt;0,$A137&gt;U$7)),0,MAX(0,ROUND((INDEX($E137:$G137,U$5)-SUMIFS(TF_Timer,TF_Tekniker,U$4,TF_Dato,$A137))*2,0)/2)))</f>
        <v/>
      </c>
      <c r="V137">
        <f>IF(OR(V$4="",$A137&gt;TODAY()),0,IF(OR(INDEX($B137:$D137,V$5)="F",AND(V$6&gt;0,$A137&lt;V$6),AND(V$7&gt;0,$A137&gt;V$7)),0,MAX(0,ROUND((INDEX($E137:$G137,V$5)-SUMIFS(TF_Timer,TF_Tekniker,V$4,TF_Dato,$A137))*2,0)/2)))</f>
        <v/>
      </c>
      <c r="W137">
        <f>IF(OR(W$4="",$A137&gt;TODAY()),0,IF(OR(INDEX($B137:$D137,W$5)="F",AND(W$6&gt;0,$A137&lt;W$6),AND(W$7&gt;0,$A137&gt;W$7)),0,MAX(0,ROUND((INDEX($E137:$G137,W$5)-SUMIFS(TF_Timer,TF_Tekniker,W$4,TF_Dato,$A137))*2,0)/2)))</f>
        <v/>
      </c>
      <c r="X137">
        <f>IF(OR(X$4="",$A137&gt;TODAY()),0,IF(OR(INDEX($B137:$D137,X$5)="F",AND(X$6&gt;0,$A137&lt;X$6),AND(X$7&gt;0,$A137&gt;X$7)),0,MAX(0,ROUND((INDEX($E137:$G137,X$5)-SUMIFS(TF_Timer,TF_Tekniker,X$4,TF_Dato,$A137))*2,0)/2)))</f>
        <v/>
      </c>
      <c r="Y137">
        <f>IF(OR(Y$4="",$A137&gt;TODAY()),0,IF(OR(INDEX($B137:$D137,Y$5)="F",AND(Y$6&gt;0,$A137&lt;Y$6),AND(Y$7&gt;0,$A137&gt;Y$7)),0,MAX(0,ROUND((INDEX($E137:$G137,Y$5)-SUMIFS(TF_Timer,TF_Tekniker,Y$4,TF_Dato,$A137))*2,0)/2)))</f>
        <v/>
      </c>
      <c r="Z137">
        <f>IF(OR(Z$4="",$A137&gt;TODAY()),0,IF(OR(INDEX($B137:$D137,Z$5)="F",AND(Z$6&gt;0,$A137&lt;Z$6),AND(Z$7&gt;0,$A137&gt;Z$7)),0,MAX(0,ROUND((INDEX($E137:$G137,Z$5)-SUMIFS(TF_Timer,TF_Tekniker,Z$4,TF_Dato,$A137))*2,0)/2)))</f>
        <v/>
      </c>
      <c r="AA137">
        <f>IF(OR(AA$4="",$A137&gt;TODAY()),0,IF(OR(INDEX($B137:$D137,AA$5)="F",AND(AA$6&gt;0,$A137&lt;AA$6),AND(AA$7&gt;0,$A137&gt;AA$7)),0,MAX(0,ROUND((INDEX($E137:$G137,AA$5)-SUMIFS(TF_Timer,TF_Tekniker,AA$4,TF_Dato,$A137))*2,0)/2)))</f>
        <v/>
      </c>
      <c r="AB137">
        <f>IF(OR(AB$4="",$A137&gt;TODAY()),0,IF(OR(INDEX($B137:$D137,AB$5)="F",AND(AB$6&gt;0,$A137&lt;AB$6),AND(AB$7&gt;0,$A137&gt;AB$7)),0,MAX(0,ROUND((INDEX($E137:$G137,AB$5)-SUMIFS(TF_Timer,TF_Tekniker,AB$4,TF_Dato,$A137))*2,0)/2)))</f>
        <v/>
      </c>
      <c r="AC137">
        <f>IF(OR(AC$4="",$A137&gt;TODAY()),0,IF(OR(INDEX($B137:$D137,AC$5)="F",AND(AC$6&gt;0,$A137&lt;AC$6),AND(AC$7&gt;0,$A137&gt;AC$7)),0,MAX(0,ROUND((INDEX($E137:$G137,AC$5)-SUMIFS(TF_Timer,TF_Tekniker,AC$4,TF_Dato,$A137))*2,0)/2)))</f>
        <v/>
      </c>
      <c r="AD137">
        <f>IF(OR(AD$4="",$A137&gt;TODAY()),0,IF(OR(INDEX($B137:$D137,AD$5)="F",AND(AD$6&gt;0,$A137&lt;AD$6),AND(AD$7&gt;0,$A137&gt;AD$7)),0,MAX(0,ROUND((INDEX($E137:$G137,AD$5)-SUMIFS(TF_Timer,TF_Tekniker,AD$4,TF_Dato,$A137))*2,0)/2)))</f>
        <v/>
      </c>
      <c r="AE137">
        <f>IF(OR(AE$4="",$A137&gt;TODAY()),0,IF(OR(INDEX($B137:$D137,AE$5)="F",AND(AE$6&gt;0,$A137&lt;AE$6),AND(AE$7&gt;0,$A137&gt;AE$7)),0,MAX(0,ROUND((INDEX($E137:$G137,AE$5)-SUMIFS(TF_Timer,TF_Tekniker,AE$4,TF_Dato,$A137))*2,0)/2)))</f>
        <v/>
      </c>
      <c r="AF137">
        <f>IF(OR(AF$4="",$A137&gt;TODAY()),0,IF(OR(INDEX($B137:$D137,AF$5)="F",AND(AF$6&gt;0,$A137&lt;AF$6),AND(AF$7&gt;0,$A137&gt;AF$7)),0,MAX(0,ROUND((INDEX($E137:$G137,AF$5)-SUMIFS(TF_Timer,TF_Tekniker,AF$4,TF_Dato,$A137))*2,0)/2)))</f>
        <v/>
      </c>
      <c r="AG137">
        <f>IF(OR(AG$4="",$A137&gt;TODAY()),0,IF(OR(INDEX($B137:$D137,AG$5)="F",AND(AG$6&gt;0,$A137&lt;AG$6),AND(AG$7&gt;0,$A137&gt;AG$7)),0,MAX(0,ROUND((INDEX($E137:$G137,AG$5)-SUMIFS(TF_Timer,TF_Tekniker,AG$4,TF_Dato,$A137))*2,0)/2)))</f>
        <v/>
      </c>
      <c r="AH137">
        <f>IF(OR(AH$4="",$A137&gt;TODAY()),0,IF(OR(INDEX($B137:$D137,AH$5)="F",AND(AH$6&gt;0,$A137&lt;AH$6),AND(AH$7&gt;0,$A137&gt;AH$7)),0,MAX(0,ROUND((INDEX($E137:$G137,AH$5)-SUMIFS(TF_Timer,TF_Tekniker,AH$4,TF_Dato,$A137))*2,0)/2)))</f>
        <v/>
      </c>
      <c r="AI137">
        <f>IF(OR(AI$4="",$A137&gt;TODAY()),0,IF(OR(INDEX($B137:$D137,AI$5)="F",AND(AI$6&gt;0,$A137&lt;AI$6),AND(AI$7&gt;0,$A137&gt;AI$7)),0,MAX(0,ROUND((INDEX($E137:$G137,AI$5)-SUMIFS(TF_Timer,TF_Tekniker,AI$4,TF_Dato,$A137))*2,0)/2)))</f>
        <v/>
      </c>
      <c r="AJ137">
        <f>IF(OR(AJ$4="",$A137&gt;TODAY()),0,IF(OR(INDEX($B137:$D137,AJ$5)="F",AND(AJ$6&gt;0,$A137&lt;AJ$6),AND(AJ$7&gt;0,$A137&gt;AJ$7)),0,MAX(0,ROUND((INDEX($E137:$G137,AJ$5)-SUMIFS(TF_Timer,TF_Tekniker,AJ$4,TF_Dato,$A137))*2,0)/2)))</f>
        <v/>
      </c>
      <c r="AK137">
        <f>IF(OR(AK$4="",$A137&gt;TODAY()),0,IF(OR(INDEX($B137:$D137,AK$5)="F",AND(AK$6&gt;0,$A137&lt;AK$6),AND(AK$7&gt;0,$A137&gt;AK$7)),0,MAX(0,ROUND((INDEX($E137:$G137,AK$5)-SUMIFS(TF_Timer,TF_Tekniker,AK$4,TF_Dato,$A137))*2,0)/2)))</f>
        <v/>
      </c>
      <c r="AL137">
        <f>IF(OR(AL$4="",$A137&gt;TODAY()),0,IF(OR(INDEX($B137:$D137,AL$5)="F",AND(AL$6&gt;0,$A137&lt;AL$6),AND(AL$7&gt;0,$A137&gt;AL$7)),0,MAX(0,ROUND((INDEX($E137:$G137,AL$5)-SUMIFS(TF_Timer,TF_Tekniker,AL$4,TF_Dato,$A137))*2,0)/2)))</f>
        <v/>
      </c>
      <c r="AM137">
        <f>IF(OR(AM$4="",$A137&gt;TODAY()),0,IF(OR(INDEX($B137:$D137,AM$5)="F",AND(AM$6&gt;0,$A137&lt;AM$6),AND(AM$7&gt;0,$A137&gt;AM$7)),0,MAX(0,ROUND((INDEX($E137:$G137,AM$5)-SUMIFS(TF_Timer,TF_Tekniker,AM$4,TF_Dato,$A137))*2,0)/2)))</f>
        <v/>
      </c>
      <c r="AN137">
        <f>IF(OR(AN$4="",$A137&gt;TODAY()),0,IF(OR(INDEX($B137:$D137,AN$5)="F",AND(AN$6&gt;0,$A137&lt;AN$6),AND(AN$7&gt;0,$A137&gt;AN$7)),0,MAX(0,ROUND((INDEX($E137:$G137,AN$5)-SUMIFS(TF_Timer,TF_Tekniker,AN$4,TF_Dato,$A137))*2,0)/2)))</f>
        <v/>
      </c>
      <c r="AO137">
        <f>IF(OR(AO$4="",$A137&gt;TODAY()),0,IF(OR(INDEX($B137:$D137,AO$5)="F",AND(AO$6&gt;0,$A137&lt;AO$6),AND(AO$7&gt;0,$A137&gt;AO$7)),0,MAX(0,ROUND((INDEX($E137:$G137,AO$5)-SUMIFS(TF_Timer,TF_Tekniker,AO$4,TF_Dato,$A137))*2,0)/2)))</f>
        <v/>
      </c>
      <c r="AP137">
        <f>IF(OR(AP$4="",$A137&gt;TODAY()),0,IF(OR(INDEX($B137:$D137,AP$5)="F",AND(AP$6&gt;0,$A137&lt;AP$6),AND(AP$7&gt;0,$A137&gt;AP$7)),0,MAX(0,ROUND((INDEX($E137:$G137,AP$5)-SUMIFS(TF_Timer,TF_Tekniker,AP$4,TF_Dato,$A137))*2,0)/2)))</f>
        <v/>
      </c>
      <c r="AQ137">
        <f>IF(OR(AQ$4="",$A137&gt;TODAY()),0,IF(OR(INDEX($B137:$D137,AQ$5)="F",AND(AQ$6&gt;0,$A137&lt;AQ$6),AND(AQ$7&gt;0,$A137&gt;AQ$7)),0,MAX(0,ROUND((INDEX($E137:$G137,AQ$5)-SUMIFS(TF_Timer,TF_Tekniker,AQ$4,TF_Dato,$A137))*2,0)/2)))</f>
        <v/>
      </c>
      <c r="AR137">
        <f>IF(OR(AR$4="",$A137&gt;TODAY()),0,IF(OR(INDEX($B137:$D137,AR$5)="F",AND(AR$6&gt;0,$A137&lt;AR$6),AND(AR$7&gt;0,$A137&gt;AR$7)),0,MAX(0,ROUND((INDEX($E137:$G137,AR$5)-SUMIFS(TF_Timer,TF_Tekniker,AR$4,TF_Dato,$A137))*2,0)/2)))</f>
        <v/>
      </c>
      <c r="AS137">
        <f>IF(OR(AS$4="",$A137&gt;TODAY()),0,IF(OR(INDEX($B137:$D137,AS$5)="F",AND(AS$6&gt;0,$A137&lt;AS$6),AND(AS$7&gt;0,$A137&gt;AS$7)),0,MAX(0,ROUND((INDEX($E137:$G137,AS$5)-SUMIFS(TF_Timer,TF_Tekniker,AS$4,TF_Dato,$A137))*2,0)/2)))</f>
        <v/>
      </c>
      <c r="AT137">
        <f>IF(OR(AT$4="",$A137&gt;TODAY()),0,IF(OR(INDEX($B137:$D137,AT$5)="F",AND(AT$6&gt;0,$A137&lt;AT$6),AND(AT$7&gt;0,$A137&gt;AT$7)),0,MAX(0,ROUND((INDEX($E137:$G137,AT$5)-SUMIFS(TF_Timer,TF_Tekniker,AT$4,TF_Dato,$A137))*2,0)/2)))</f>
        <v/>
      </c>
      <c r="AU137">
        <f>IF(OR(AU$4="",$A137&gt;TODAY()),0,IF(OR(INDEX($B137:$D137,AU$5)="F",AND(AU$6&gt;0,$A137&lt;AU$6),AND(AU$7&gt;0,$A137&gt;AU$7)),0,MAX(0,ROUND((INDEX($E137:$G137,AU$5)-SUMIFS(TF_Timer,TF_Tekniker,AU$4,TF_Dato,$A137))*2,0)/2)))</f>
        <v/>
      </c>
      <c r="AV137">
        <f>IF(OR(AV$4="",$A137&gt;TODAY()),0,IF(OR(INDEX($B137:$D137,AV$5)="F",AND(AV$6&gt;0,$A137&lt;AV$6),AND(AV$7&gt;0,$A137&gt;AV$7)),0,MAX(0,ROUND((INDEX($E137:$G137,AV$5)-SUMIFS(TF_Timer,TF_Tekniker,AV$4,TF_Dato,$A137))*2,0)/2)))</f>
        <v/>
      </c>
      <c r="AW137">
        <f>IF(OR(AW$4="",$A137&gt;TODAY()),0,IF(OR(INDEX($B137:$D137,AW$5)="F",AND(AW$6&gt;0,$A137&lt;AW$6),AND(AW$7&gt;0,$A137&gt;AW$7)),0,MAX(0,ROUND((INDEX($E137:$G137,AW$5)-SUMIFS(TF_Timer,TF_Tekniker,AW$4,TF_Dato,$A137))*2,0)/2)))</f>
        <v/>
      </c>
      <c r="AX137">
        <f>IF(OR(AX$4="",$A137&gt;TODAY()),0,IF(OR(INDEX($B137:$D137,AX$5)="F",AND(AX$6&gt;0,$A137&lt;AX$6),AND(AX$7&gt;0,$A137&gt;AX$7)),0,MAX(0,ROUND((INDEX($E137:$G137,AX$5)-SUMIFS(TF_Timer,TF_Tekniker,AX$4,TF_Dato,$A137))*2,0)/2)))</f>
        <v/>
      </c>
      <c r="AY137">
        <f>IF(OR(AY$4="",$A137&gt;TODAY()),0,IF(OR(INDEX($B137:$D137,AY$5)="F",AND(AY$6&gt;0,$A137&lt;AY$6),AND(AY$7&gt;0,$A137&gt;AY$7)),0,MAX(0,ROUND((INDEX($E137:$G137,AY$5)-SUMIFS(TF_Timer,TF_Tekniker,AY$4,TF_Dato,$A137))*2,0)/2)))</f>
        <v/>
      </c>
      <c r="AZ137">
        <f>IF(OR(AZ$4="",$A137&gt;TODAY()),0,IF(OR(INDEX($B137:$D137,AZ$5)="F",AND(AZ$6&gt;0,$A137&lt;AZ$6),AND(AZ$7&gt;0,$A137&gt;AZ$7)),0,MAX(0,ROUND((INDEX($E137:$G137,AZ$5)-SUMIFS(TF_Timer,TF_Tekniker,AZ$4,TF_Dato,$A137))*2,0)/2)))</f>
        <v/>
      </c>
      <c r="BA137">
        <f>IF(OR(BA$4="",$A137&gt;TODAY()),0,IF(OR(INDEX($B137:$D137,BA$5)="F",AND(BA$6&gt;0,$A137&lt;BA$6),AND(BA$7&gt;0,$A137&gt;BA$7)),0,MAX(0,ROUND((INDEX($E137:$G137,BA$5)-SUMIFS(TF_Timer,TF_Tekniker,BA$4,TF_Dato,$A137))*2,0)/2)))</f>
        <v/>
      </c>
      <c r="BB137">
        <f>IF(OR(BB$4="",$A137&gt;TODAY()),0,IF(OR(INDEX($B137:$D137,BB$5)="F",AND(BB$6&gt;0,$A137&lt;BB$6),AND(BB$7&gt;0,$A137&gt;BB$7)),0,MAX(0,ROUND((INDEX($E137:$G137,BB$5)-SUMIFS(TF_Timer,TF_Tekniker,BB$4,TF_Dato,$A137))*2,0)/2)))</f>
        <v/>
      </c>
      <c r="BC137">
        <f>IF(OR(BC$4="",$A137&gt;TODAY()),0,IF(OR(INDEX($B137:$D137,BC$5)="F",AND(BC$6&gt;0,$A137&lt;BC$6),AND(BC$7&gt;0,$A137&gt;BC$7)),0,MAX(0,ROUND((INDEX($E137:$G137,BC$5)-SUMIFS(TF_Timer,TF_Tekniker,BC$4,TF_Dato,$A137))*2,0)/2)))</f>
        <v/>
      </c>
      <c r="BD137">
        <f>IF(OR(BD$4="",$A137&gt;TODAY()),0,IF(OR(INDEX($B137:$D137,BD$5)="F",AND(BD$6&gt;0,$A137&lt;BD$6),AND(BD$7&gt;0,$A137&gt;BD$7)),0,MAX(0,ROUND((INDEX($E137:$G137,BD$5)-SUMIFS(TF_Timer,TF_Tekniker,BD$4,TF_Dato,$A137))*2,0)/2)))</f>
        <v/>
      </c>
      <c r="BE137">
        <f>IF(OR(BE$4="",$A137&gt;TODAY()),0,IF(OR(INDEX($B137:$D137,BE$5)="F",AND(BE$6&gt;0,$A137&lt;BE$6),AND(BE$7&gt;0,$A137&gt;BE$7)),0,MAX(0,ROUND((INDEX($E137:$G137,BE$5)-SUMIFS(TF_Timer,TF_Tekniker,BE$4,TF_Dato,$A137))*2,0)/2)))</f>
        <v/>
      </c>
      <c r="BF137">
        <f>IF(OR(BF$4="",$A137&gt;TODAY()),0,IF(OR(INDEX($B137:$D137,BF$5)="F",AND(BF$6&gt;0,$A137&lt;BF$6),AND(BF$7&gt;0,$A137&gt;BF$7)),0,MAX(0,ROUND((INDEX($E137:$G137,BF$5)-SUMIFS(TF_Timer,TF_Tekniker,BF$4,TF_Dato,$A137))*2,0)/2)))</f>
        <v/>
      </c>
      <c r="BG137">
        <f>IF(OR(BG$4="",$A137&gt;TODAY()),0,IF(OR(INDEX($B137:$D137,BG$5)="F",AND(BG$6&gt;0,$A137&lt;BG$6),AND(BG$7&gt;0,$A137&gt;BG$7)),0,MAX(0,ROUND((INDEX($E137:$G137,BG$5)-SUMIFS(TF_Timer,TF_Tekniker,BG$4,TF_Dato,$A137))*2,0)/2)))</f>
        <v/>
      </c>
      <c r="BH137">
        <f>IF(OR(BH$4="",$A137&gt;TODAY()),0,IF(OR(INDEX($B137:$D137,BH$5)="F",AND(BH$6&gt;0,$A137&lt;BH$6),AND(BH$7&gt;0,$A137&gt;BH$7)),0,MAX(0,ROUND((INDEX($E137:$G137,BH$5)-SUMIFS(TF_Timer,TF_Tekniker,BH$4,TF_Dato,$A137))*2,0)/2)))</f>
        <v/>
      </c>
      <c r="BI137">
        <f>IF(OR(BI$4="",$A137&gt;TODAY()),0,IF(OR(INDEX($B137:$D137,BI$5)="F",AND(BI$6&gt;0,$A137&lt;BI$6),AND(BI$7&gt;0,$A137&gt;BI$7)),0,MAX(0,ROUND((INDEX($E137:$G137,BI$5)-SUMIFS(TF_Timer,TF_Tekniker,BI$4,TF_Dato,$A137))*2,0)/2)))</f>
        <v/>
      </c>
    </row>
    <row r="138">
      <c r="A138" s="64">
        <f>A137+1</f>
        <v/>
      </c>
      <c r="B138">
        <f>IF(MOD($A138-INDEX(SkiftStart,1),Syklus)&lt;DagK,"K",IF(MOD($A138-INDEX(SkiftStart,1),Syklus)&lt;DagK+DagH,"H",IF(MOD($A138-INDEX(SkiftStart,1),Syklus)&lt;DagK+DagH+DagD,"D","F")))</f>
        <v/>
      </c>
      <c r="C138">
        <f>IF(MOD($A138-INDEX(SkiftStart,2),Syklus)&lt;DagK,"K",IF(MOD($A138-INDEX(SkiftStart,2),Syklus)&lt;DagK+DagH,"H",IF(MOD($A138-INDEX(SkiftStart,2),Syklus)&lt;DagK+DagH+DagD,"D","F")))</f>
        <v/>
      </c>
      <c r="D138">
        <f>IF(MOD($A138-INDEX(SkiftStart,3),Syklus)&lt;DagK,"K",IF(MOD($A138-INDEX(SkiftStart,3),Syklus)&lt;DagK+DagH,"H",IF(MOD($A138-INDEX(SkiftStart,3),Syklus)&lt;DagK+DagH+DagD,"D","F")))</f>
        <v/>
      </c>
      <c r="E138">
        <f>IF(B138="F",0,IF(WEEKDAY($A138,2)=5,INDEX(TimerFr,MATCH(B138,FaseKode,0)),INDEX(TimerMT,MATCH(B138,FaseKode,0))))</f>
        <v/>
      </c>
      <c r="F138">
        <f>IF(C138="F",0,IF(WEEKDAY($A138,2)=5,INDEX(TimerFr,MATCH(C138,FaseKode,0)),INDEX(TimerMT,MATCH(C138,FaseKode,0))))</f>
        <v/>
      </c>
      <c r="G138">
        <f>IF(D138="F",0,IF(WEEKDAY($A138,2)=5,INDEX(TimerFr,MATCH(D138,FaseKode,0)),INDEX(TimerMT,MATCH(D138,FaseKode,0))))</f>
        <v/>
      </c>
      <c r="H138">
        <f>IF(OR(H$4="",$A138&gt;TODAY()),0,IF(OR(INDEX($B138:$D138,H$5)="F",AND(H$6&gt;0,$A138&lt;H$6),AND(H$7&gt;0,$A138&gt;H$7)),0,MAX(0,ROUND((INDEX($E138:$G138,H$5)-SUMIFS(TF_Timer,TF_Tekniker,H$4,TF_Dato,$A138))*2,0)/2)))</f>
        <v/>
      </c>
      <c r="I138">
        <f>IF(OR(I$4="",$A138&gt;TODAY()),0,IF(OR(INDEX($B138:$D138,I$5)="F",AND(I$6&gt;0,$A138&lt;I$6),AND(I$7&gt;0,$A138&gt;I$7)),0,MAX(0,ROUND((INDEX($E138:$G138,I$5)-SUMIFS(TF_Timer,TF_Tekniker,I$4,TF_Dato,$A138))*2,0)/2)))</f>
        <v/>
      </c>
      <c r="J138">
        <f>IF(OR(J$4="",$A138&gt;TODAY()),0,IF(OR(INDEX($B138:$D138,J$5)="F",AND(J$6&gt;0,$A138&lt;J$6),AND(J$7&gt;0,$A138&gt;J$7)),0,MAX(0,ROUND((INDEX($E138:$G138,J$5)-SUMIFS(TF_Timer,TF_Tekniker,J$4,TF_Dato,$A138))*2,0)/2)))</f>
        <v/>
      </c>
      <c r="K138">
        <f>IF(OR(K$4="",$A138&gt;TODAY()),0,IF(OR(INDEX($B138:$D138,K$5)="F",AND(K$6&gt;0,$A138&lt;K$6),AND(K$7&gt;0,$A138&gt;K$7)),0,MAX(0,ROUND((INDEX($E138:$G138,K$5)-SUMIFS(TF_Timer,TF_Tekniker,K$4,TF_Dato,$A138))*2,0)/2)))</f>
        <v/>
      </c>
      <c r="L138">
        <f>IF(OR(L$4="",$A138&gt;TODAY()),0,IF(OR(INDEX($B138:$D138,L$5)="F",AND(L$6&gt;0,$A138&lt;L$6),AND(L$7&gt;0,$A138&gt;L$7)),0,MAX(0,ROUND((INDEX($E138:$G138,L$5)-SUMIFS(TF_Timer,TF_Tekniker,L$4,TF_Dato,$A138))*2,0)/2)))</f>
        <v/>
      </c>
      <c r="M138">
        <f>IF(OR(M$4="",$A138&gt;TODAY()),0,IF(OR(INDEX($B138:$D138,M$5)="F",AND(M$6&gt;0,$A138&lt;M$6),AND(M$7&gt;0,$A138&gt;M$7)),0,MAX(0,ROUND((INDEX($E138:$G138,M$5)-SUMIFS(TF_Timer,TF_Tekniker,M$4,TF_Dato,$A138))*2,0)/2)))</f>
        <v/>
      </c>
      <c r="N138">
        <f>IF(OR(N$4="",$A138&gt;TODAY()),0,IF(OR(INDEX($B138:$D138,N$5)="F",AND(N$6&gt;0,$A138&lt;N$6),AND(N$7&gt;0,$A138&gt;N$7)),0,MAX(0,ROUND((INDEX($E138:$G138,N$5)-SUMIFS(TF_Timer,TF_Tekniker,N$4,TF_Dato,$A138))*2,0)/2)))</f>
        <v/>
      </c>
      <c r="O138">
        <f>IF(OR(O$4="",$A138&gt;TODAY()),0,IF(OR(INDEX($B138:$D138,O$5)="F",AND(O$6&gt;0,$A138&lt;O$6),AND(O$7&gt;0,$A138&gt;O$7)),0,MAX(0,ROUND((INDEX($E138:$G138,O$5)-SUMIFS(TF_Timer,TF_Tekniker,O$4,TF_Dato,$A138))*2,0)/2)))</f>
        <v/>
      </c>
      <c r="P138">
        <f>IF(OR(P$4="",$A138&gt;TODAY()),0,IF(OR(INDEX($B138:$D138,P$5)="F",AND(P$6&gt;0,$A138&lt;P$6),AND(P$7&gt;0,$A138&gt;P$7)),0,MAX(0,ROUND((INDEX($E138:$G138,P$5)-SUMIFS(TF_Timer,TF_Tekniker,P$4,TF_Dato,$A138))*2,0)/2)))</f>
        <v/>
      </c>
      <c r="Q138">
        <f>IF(OR(Q$4="",$A138&gt;TODAY()),0,IF(OR(INDEX($B138:$D138,Q$5)="F",AND(Q$6&gt;0,$A138&lt;Q$6),AND(Q$7&gt;0,$A138&gt;Q$7)),0,MAX(0,ROUND((INDEX($E138:$G138,Q$5)-SUMIFS(TF_Timer,TF_Tekniker,Q$4,TF_Dato,$A138))*2,0)/2)))</f>
        <v/>
      </c>
      <c r="R138">
        <f>IF(OR(R$4="",$A138&gt;TODAY()),0,IF(OR(INDEX($B138:$D138,R$5)="F",AND(R$6&gt;0,$A138&lt;R$6),AND(R$7&gt;0,$A138&gt;R$7)),0,MAX(0,ROUND((INDEX($E138:$G138,R$5)-SUMIFS(TF_Timer,TF_Tekniker,R$4,TF_Dato,$A138))*2,0)/2)))</f>
        <v/>
      </c>
      <c r="S138">
        <f>IF(OR(S$4="",$A138&gt;TODAY()),0,IF(OR(INDEX($B138:$D138,S$5)="F",AND(S$6&gt;0,$A138&lt;S$6),AND(S$7&gt;0,$A138&gt;S$7)),0,MAX(0,ROUND((INDEX($E138:$G138,S$5)-SUMIFS(TF_Timer,TF_Tekniker,S$4,TF_Dato,$A138))*2,0)/2)))</f>
        <v/>
      </c>
      <c r="T138">
        <f>IF(OR(T$4="",$A138&gt;TODAY()),0,IF(OR(INDEX($B138:$D138,T$5)="F",AND(T$6&gt;0,$A138&lt;T$6),AND(T$7&gt;0,$A138&gt;T$7)),0,MAX(0,ROUND((INDEX($E138:$G138,T$5)-SUMIFS(TF_Timer,TF_Tekniker,T$4,TF_Dato,$A138))*2,0)/2)))</f>
        <v/>
      </c>
      <c r="U138">
        <f>IF(OR(U$4="",$A138&gt;TODAY()),0,IF(OR(INDEX($B138:$D138,U$5)="F",AND(U$6&gt;0,$A138&lt;U$6),AND(U$7&gt;0,$A138&gt;U$7)),0,MAX(0,ROUND((INDEX($E138:$G138,U$5)-SUMIFS(TF_Timer,TF_Tekniker,U$4,TF_Dato,$A138))*2,0)/2)))</f>
        <v/>
      </c>
      <c r="V138">
        <f>IF(OR(V$4="",$A138&gt;TODAY()),0,IF(OR(INDEX($B138:$D138,V$5)="F",AND(V$6&gt;0,$A138&lt;V$6),AND(V$7&gt;0,$A138&gt;V$7)),0,MAX(0,ROUND((INDEX($E138:$G138,V$5)-SUMIFS(TF_Timer,TF_Tekniker,V$4,TF_Dato,$A138))*2,0)/2)))</f>
        <v/>
      </c>
      <c r="W138">
        <f>IF(OR(W$4="",$A138&gt;TODAY()),0,IF(OR(INDEX($B138:$D138,W$5)="F",AND(W$6&gt;0,$A138&lt;W$6),AND(W$7&gt;0,$A138&gt;W$7)),0,MAX(0,ROUND((INDEX($E138:$G138,W$5)-SUMIFS(TF_Timer,TF_Tekniker,W$4,TF_Dato,$A138))*2,0)/2)))</f>
        <v/>
      </c>
      <c r="X138">
        <f>IF(OR(X$4="",$A138&gt;TODAY()),0,IF(OR(INDEX($B138:$D138,X$5)="F",AND(X$6&gt;0,$A138&lt;X$6),AND(X$7&gt;0,$A138&gt;X$7)),0,MAX(0,ROUND((INDEX($E138:$G138,X$5)-SUMIFS(TF_Timer,TF_Tekniker,X$4,TF_Dato,$A138))*2,0)/2)))</f>
        <v/>
      </c>
      <c r="Y138">
        <f>IF(OR(Y$4="",$A138&gt;TODAY()),0,IF(OR(INDEX($B138:$D138,Y$5)="F",AND(Y$6&gt;0,$A138&lt;Y$6),AND(Y$7&gt;0,$A138&gt;Y$7)),0,MAX(0,ROUND((INDEX($E138:$G138,Y$5)-SUMIFS(TF_Timer,TF_Tekniker,Y$4,TF_Dato,$A138))*2,0)/2)))</f>
        <v/>
      </c>
      <c r="Z138">
        <f>IF(OR(Z$4="",$A138&gt;TODAY()),0,IF(OR(INDEX($B138:$D138,Z$5)="F",AND(Z$6&gt;0,$A138&lt;Z$6),AND(Z$7&gt;0,$A138&gt;Z$7)),0,MAX(0,ROUND((INDEX($E138:$G138,Z$5)-SUMIFS(TF_Timer,TF_Tekniker,Z$4,TF_Dato,$A138))*2,0)/2)))</f>
        <v/>
      </c>
      <c r="AA138">
        <f>IF(OR(AA$4="",$A138&gt;TODAY()),0,IF(OR(INDEX($B138:$D138,AA$5)="F",AND(AA$6&gt;0,$A138&lt;AA$6),AND(AA$7&gt;0,$A138&gt;AA$7)),0,MAX(0,ROUND((INDEX($E138:$G138,AA$5)-SUMIFS(TF_Timer,TF_Tekniker,AA$4,TF_Dato,$A138))*2,0)/2)))</f>
        <v/>
      </c>
      <c r="AB138">
        <f>IF(OR(AB$4="",$A138&gt;TODAY()),0,IF(OR(INDEX($B138:$D138,AB$5)="F",AND(AB$6&gt;0,$A138&lt;AB$6),AND(AB$7&gt;0,$A138&gt;AB$7)),0,MAX(0,ROUND((INDEX($E138:$G138,AB$5)-SUMIFS(TF_Timer,TF_Tekniker,AB$4,TF_Dato,$A138))*2,0)/2)))</f>
        <v/>
      </c>
      <c r="AC138">
        <f>IF(OR(AC$4="",$A138&gt;TODAY()),0,IF(OR(INDEX($B138:$D138,AC$5)="F",AND(AC$6&gt;0,$A138&lt;AC$6),AND(AC$7&gt;0,$A138&gt;AC$7)),0,MAX(0,ROUND((INDEX($E138:$G138,AC$5)-SUMIFS(TF_Timer,TF_Tekniker,AC$4,TF_Dato,$A138))*2,0)/2)))</f>
        <v/>
      </c>
      <c r="AD138">
        <f>IF(OR(AD$4="",$A138&gt;TODAY()),0,IF(OR(INDEX($B138:$D138,AD$5)="F",AND(AD$6&gt;0,$A138&lt;AD$6),AND(AD$7&gt;0,$A138&gt;AD$7)),0,MAX(0,ROUND((INDEX($E138:$G138,AD$5)-SUMIFS(TF_Timer,TF_Tekniker,AD$4,TF_Dato,$A138))*2,0)/2)))</f>
        <v/>
      </c>
      <c r="AE138">
        <f>IF(OR(AE$4="",$A138&gt;TODAY()),0,IF(OR(INDEX($B138:$D138,AE$5)="F",AND(AE$6&gt;0,$A138&lt;AE$6),AND(AE$7&gt;0,$A138&gt;AE$7)),0,MAX(0,ROUND((INDEX($E138:$G138,AE$5)-SUMIFS(TF_Timer,TF_Tekniker,AE$4,TF_Dato,$A138))*2,0)/2)))</f>
        <v/>
      </c>
      <c r="AF138">
        <f>IF(OR(AF$4="",$A138&gt;TODAY()),0,IF(OR(INDEX($B138:$D138,AF$5)="F",AND(AF$6&gt;0,$A138&lt;AF$6),AND(AF$7&gt;0,$A138&gt;AF$7)),0,MAX(0,ROUND((INDEX($E138:$G138,AF$5)-SUMIFS(TF_Timer,TF_Tekniker,AF$4,TF_Dato,$A138))*2,0)/2)))</f>
        <v/>
      </c>
      <c r="AG138">
        <f>IF(OR(AG$4="",$A138&gt;TODAY()),0,IF(OR(INDEX($B138:$D138,AG$5)="F",AND(AG$6&gt;0,$A138&lt;AG$6),AND(AG$7&gt;0,$A138&gt;AG$7)),0,MAX(0,ROUND((INDEX($E138:$G138,AG$5)-SUMIFS(TF_Timer,TF_Tekniker,AG$4,TF_Dato,$A138))*2,0)/2)))</f>
        <v/>
      </c>
      <c r="AH138">
        <f>IF(OR(AH$4="",$A138&gt;TODAY()),0,IF(OR(INDEX($B138:$D138,AH$5)="F",AND(AH$6&gt;0,$A138&lt;AH$6),AND(AH$7&gt;0,$A138&gt;AH$7)),0,MAX(0,ROUND((INDEX($E138:$G138,AH$5)-SUMIFS(TF_Timer,TF_Tekniker,AH$4,TF_Dato,$A138))*2,0)/2)))</f>
        <v/>
      </c>
      <c r="AI138">
        <f>IF(OR(AI$4="",$A138&gt;TODAY()),0,IF(OR(INDEX($B138:$D138,AI$5)="F",AND(AI$6&gt;0,$A138&lt;AI$6),AND(AI$7&gt;0,$A138&gt;AI$7)),0,MAX(0,ROUND((INDEX($E138:$G138,AI$5)-SUMIFS(TF_Timer,TF_Tekniker,AI$4,TF_Dato,$A138))*2,0)/2)))</f>
        <v/>
      </c>
      <c r="AJ138">
        <f>IF(OR(AJ$4="",$A138&gt;TODAY()),0,IF(OR(INDEX($B138:$D138,AJ$5)="F",AND(AJ$6&gt;0,$A138&lt;AJ$6),AND(AJ$7&gt;0,$A138&gt;AJ$7)),0,MAX(0,ROUND((INDEX($E138:$G138,AJ$5)-SUMIFS(TF_Timer,TF_Tekniker,AJ$4,TF_Dato,$A138))*2,0)/2)))</f>
        <v/>
      </c>
      <c r="AK138">
        <f>IF(OR(AK$4="",$A138&gt;TODAY()),0,IF(OR(INDEX($B138:$D138,AK$5)="F",AND(AK$6&gt;0,$A138&lt;AK$6),AND(AK$7&gt;0,$A138&gt;AK$7)),0,MAX(0,ROUND((INDEX($E138:$G138,AK$5)-SUMIFS(TF_Timer,TF_Tekniker,AK$4,TF_Dato,$A138))*2,0)/2)))</f>
        <v/>
      </c>
      <c r="AL138">
        <f>IF(OR(AL$4="",$A138&gt;TODAY()),0,IF(OR(INDEX($B138:$D138,AL$5)="F",AND(AL$6&gt;0,$A138&lt;AL$6),AND(AL$7&gt;0,$A138&gt;AL$7)),0,MAX(0,ROUND((INDEX($E138:$G138,AL$5)-SUMIFS(TF_Timer,TF_Tekniker,AL$4,TF_Dato,$A138))*2,0)/2)))</f>
        <v/>
      </c>
      <c r="AM138">
        <f>IF(OR(AM$4="",$A138&gt;TODAY()),0,IF(OR(INDEX($B138:$D138,AM$5)="F",AND(AM$6&gt;0,$A138&lt;AM$6),AND(AM$7&gt;0,$A138&gt;AM$7)),0,MAX(0,ROUND((INDEX($E138:$G138,AM$5)-SUMIFS(TF_Timer,TF_Tekniker,AM$4,TF_Dato,$A138))*2,0)/2)))</f>
        <v/>
      </c>
      <c r="AN138">
        <f>IF(OR(AN$4="",$A138&gt;TODAY()),0,IF(OR(INDEX($B138:$D138,AN$5)="F",AND(AN$6&gt;0,$A138&lt;AN$6),AND(AN$7&gt;0,$A138&gt;AN$7)),0,MAX(0,ROUND((INDEX($E138:$G138,AN$5)-SUMIFS(TF_Timer,TF_Tekniker,AN$4,TF_Dato,$A138))*2,0)/2)))</f>
        <v/>
      </c>
      <c r="AO138">
        <f>IF(OR(AO$4="",$A138&gt;TODAY()),0,IF(OR(INDEX($B138:$D138,AO$5)="F",AND(AO$6&gt;0,$A138&lt;AO$6),AND(AO$7&gt;0,$A138&gt;AO$7)),0,MAX(0,ROUND((INDEX($E138:$G138,AO$5)-SUMIFS(TF_Timer,TF_Tekniker,AO$4,TF_Dato,$A138))*2,0)/2)))</f>
        <v/>
      </c>
      <c r="AP138">
        <f>IF(OR(AP$4="",$A138&gt;TODAY()),0,IF(OR(INDEX($B138:$D138,AP$5)="F",AND(AP$6&gt;0,$A138&lt;AP$6),AND(AP$7&gt;0,$A138&gt;AP$7)),0,MAX(0,ROUND((INDEX($E138:$G138,AP$5)-SUMIFS(TF_Timer,TF_Tekniker,AP$4,TF_Dato,$A138))*2,0)/2)))</f>
        <v/>
      </c>
      <c r="AQ138">
        <f>IF(OR(AQ$4="",$A138&gt;TODAY()),0,IF(OR(INDEX($B138:$D138,AQ$5)="F",AND(AQ$6&gt;0,$A138&lt;AQ$6),AND(AQ$7&gt;0,$A138&gt;AQ$7)),0,MAX(0,ROUND((INDEX($E138:$G138,AQ$5)-SUMIFS(TF_Timer,TF_Tekniker,AQ$4,TF_Dato,$A138))*2,0)/2)))</f>
        <v/>
      </c>
      <c r="AR138">
        <f>IF(OR(AR$4="",$A138&gt;TODAY()),0,IF(OR(INDEX($B138:$D138,AR$5)="F",AND(AR$6&gt;0,$A138&lt;AR$6),AND(AR$7&gt;0,$A138&gt;AR$7)),0,MAX(0,ROUND((INDEX($E138:$G138,AR$5)-SUMIFS(TF_Timer,TF_Tekniker,AR$4,TF_Dato,$A138))*2,0)/2)))</f>
        <v/>
      </c>
      <c r="AS138">
        <f>IF(OR(AS$4="",$A138&gt;TODAY()),0,IF(OR(INDEX($B138:$D138,AS$5)="F",AND(AS$6&gt;0,$A138&lt;AS$6),AND(AS$7&gt;0,$A138&gt;AS$7)),0,MAX(0,ROUND((INDEX($E138:$G138,AS$5)-SUMIFS(TF_Timer,TF_Tekniker,AS$4,TF_Dato,$A138))*2,0)/2)))</f>
        <v/>
      </c>
      <c r="AT138">
        <f>IF(OR(AT$4="",$A138&gt;TODAY()),0,IF(OR(INDEX($B138:$D138,AT$5)="F",AND(AT$6&gt;0,$A138&lt;AT$6),AND(AT$7&gt;0,$A138&gt;AT$7)),0,MAX(0,ROUND((INDEX($E138:$G138,AT$5)-SUMIFS(TF_Timer,TF_Tekniker,AT$4,TF_Dato,$A138))*2,0)/2)))</f>
        <v/>
      </c>
      <c r="AU138">
        <f>IF(OR(AU$4="",$A138&gt;TODAY()),0,IF(OR(INDEX($B138:$D138,AU$5)="F",AND(AU$6&gt;0,$A138&lt;AU$6),AND(AU$7&gt;0,$A138&gt;AU$7)),0,MAX(0,ROUND((INDEX($E138:$G138,AU$5)-SUMIFS(TF_Timer,TF_Tekniker,AU$4,TF_Dato,$A138))*2,0)/2)))</f>
        <v/>
      </c>
      <c r="AV138">
        <f>IF(OR(AV$4="",$A138&gt;TODAY()),0,IF(OR(INDEX($B138:$D138,AV$5)="F",AND(AV$6&gt;0,$A138&lt;AV$6),AND(AV$7&gt;0,$A138&gt;AV$7)),0,MAX(0,ROUND((INDEX($E138:$G138,AV$5)-SUMIFS(TF_Timer,TF_Tekniker,AV$4,TF_Dato,$A138))*2,0)/2)))</f>
        <v/>
      </c>
      <c r="AW138">
        <f>IF(OR(AW$4="",$A138&gt;TODAY()),0,IF(OR(INDEX($B138:$D138,AW$5)="F",AND(AW$6&gt;0,$A138&lt;AW$6),AND(AW$7&gt;0,$A138&gt;AW$7)),0,MAX(0,ROUND((INDEX($E138:$G138,AW$5)-SUMIFS(TF_Timer,TF_Tekniker,AW$4,TF_Dato,$A138))*2,0)/2)))</f>
        <v/>
      </c>
      <c r="AX138">
        <f>IF(OR(AX$4="",$A138&gt;TODAY()),0,IF(OR(INDEX($B138:$D138,AX$5)="F",AND(AX$6&gt;0,$A138&lt;AX$6),AND(AX$7&gt;0,$A138&gt;AX$7)),0,MAX(0,ROUND((INDEX($E138:$G138,AX$5)-SUMIFS(TF_Timer,TF_Tekniker,AX$4,TF_Dato,$A138))*2,0)/2)))</f>
        <v/>
      </c>
      <c r="AY138">
        <f>IF(OR(AY$4="",$A138&gt;TODAY()),0,IF(OR(INDEX($B138:$D138,AY$5)="F",AND(AY$6&gt;0,$A138&lt;AY$6),AND(AY$7&gt;0,$A138&gt;AY$7)),0,MAX(0,ROUND((INDEX($E138:$G138,AY$5)-SUMIFS(TF_Timer,TF_Tekniker,AY$4,TF_Dato,$A138))*2,0)/2)))</f>
        <v/>
      </c>
      <c r="AZ138">
        <f>IF(OR(AZ$4="",$A138&gt;TODAY()),0,IF(OR(INDEX($B138:$D138,AZ$5)="F",AND(AZ$6&gt;0,$A138&lt;AZ$6),AND(AZ$7&gt;0,$A138&gt;AZ$7)),0,MAX(0,ROUND((INDEX($E138:$G138,AZ$5)-SUMIFS(TF_Timer,TF_Tekniker,AZ$4,TF_Dato,$A138))*2,0)/2)))</f>
        <v/>
      </c>
      <c r="BA138">
        <f>IF(OR(BA$4="",$A138&gt;TODAY()),0,IF(OR(INDEX($B138:$D138,BA$5)="F",AND(BA$6&gt;0,$A138&lt;BA$6),AND(BA$7&gt;0,$A138&gt;BA$7)),0,MAX(0,ROUND((INDEX($E138:$G138,BA$5)-SUMIFS(TF_Timer,TF_Tekniker,BA$4,TF_Dato,$A138))*2,0)/2)))</f>
        <v/>
      </c>
      <c r="BB138">
        <f>IF(OR(BB$4="",$A138&gt;TODAY()),0,IF(OR(INDEX($B138:$D138,BB$5)="F",AND(BB$6&gt;0,$A138&lt;BB$6),AND(BB$7&gt;0,$A138&gt;BB$7)),0,MAX(0,ROUND((INDEX($E138:$G138,BB$5)-SUMIFS(TF_Timer,TF_Tekniker,BB$4,TF_Dato,$A138))*2,0)/2)))</f>
        <v/>
      </c>
      <c r="BC138">
        <f>IF(OR(BC$4="",$A138&gt;TODAY()),0,IF(OR(INDEX($B138:$D138,BC$5)="F",AND(BC$6&gt;0,$A138&lt;BC$6),AND(BC$7&gt;0,$A138&gt;BC$7)),0,MAX(0,ROUND((INDEX($E138:$G138,BC$5)-SUMIFS(TF_Timer,TF_Tekniker,BC$4,TF_Dato,$A138))*2,0)/2)))</f>
        <v/>
      </c>
      <c r="BD138">
        <f>IF(OR(BD$4="",$A138&gt;TODAY()),0,IF(OR(INDEX($B138:$D138,BD$5)="F",AND(BD$6&gt;0,$A138&lt;BD$6),AND(BD$7&gt;0,$A138&gt;BD$7)),0,MAX(0,ROUND((INDEX($E138:$G138,BD$5)-SUMIFS(TF_Timer,TF_Tekniker,BD$4,TF_Dato,$A138))*2,0)/2)))</f>
        <v/>
      </c>
      <c r="BE138">
        <f>IF(OR(BE$4="",$A138&gt;TODAY()),0,IF(OR(INDEX($B138:$D138,BE$5)="F",AND(BE$6&gt;0,$A138&lt;BE$6),AND(BE$7&gt;0,$A138&gt;BE$7)),0,MAX(0,ROUND((INDEX($E138:$G138,BE$5)-SUMIFS(TF_Timer,TF_Tekniker,BE$4,TF_Dato,$A138))*2,0)/2)))</f>
        <v/>
      </c>
      <c r="BF138">
        <f>IF(OR(BF$4="",$A138&gt;TODAY()),0,IF(OR(INDEX($B138:$D138,BF$5)="F",AND(BF$6&gt;0,$A138&lt;BF$6),AND(BF$7&gt;0,$A138&gt;BF$7)),0,MAX(0,ROUND((INDEX($E138:$G138,BF$5)-SUMIFS(TF_Timer,TF_Tekniker,BF$4,TF_Dato,$A138))*2,0)/2)))</f>
        <v/>
      </c>
      <c r="BG138">
        <f>IF(OR(BG$4="",$A138&gt;TODAY()),0,IF(OR(INDEX($B138:$D138,BG$5)="F",AND(BG$6&gt;0,$A138&lt;BG$6),AND(BG$7&gt;0,$A138&gt;BG$7)),0,MAX(0,ROUND((INDEX($E138:$G138,BG$5)-SUMIFS(TF_Timer,TF_Tekniker,BG$4,TF_Dato,$A138))*2,0)/2)))</f>
        <v/>
      </c>
      <c r="BH138">
        <f>IF(OR(BH$4="",$A138&gt;TODAY()),0,IF(OR(INDEX($B138:$D138,BH$5)="F",AND(BH$6&gt;0,$A138&lt;BH$6),AND(BH$7&gt;0,$A138&gt;BH$7)),0,MAX(0,ROUND((INDEX($E138:$G138,BH$5)-SUMIFS(TF_Timer,TF_Tekniker,BH$4,TF_Dato,$A138))*2,0)/2)))</f>
        <v/>
      </c>
      <c r="BI138">
        <f>IF(OR(BI$4="",$A138&gt;TODAY()),0,IF(OR(INDEX($B138:$D138,BI$5)="F",AND(BI$6&gt;0,$A138&lt;BI$6),AND(BI$7&gt;0,$A138&gt;BI$7)),0,MAX(0,ROUND((INDEX($E138:$G138,BI$5)-SUMIFS(TF_Timer,TF_Tekniker,BI$4,TF_Dato,$A138))*2,0)/2)))</f>
        <v/>
      </c>
    </row>
    <row r="139">
      <c r="A139" s="64">
        <f>A138+1</f>
        <v/>
      </c>
      <c r="B139">
        <f>IF(MOD($A139-INDEX(SkiftStart,1),Syklus)&lt;DagK,"K",IF(MOD($A139-INDEX(SkiftStart,1),Syklus)&lt;DagK+DagH,"H",IF(MOD($A139-INDEX(SkiftStart,1),Syklus)&lt;DagK+DagH+DagD,"D","F")))</f>
        <v/>
      </c>
      <c r="C139">
        <f>IF(MOD($A139-INDEX(SkiftStart,2),Syklus)&lt;DagK,"K",IF(MOD($A139-INDEX(SkiftStart,2),Syklus)&lt;DagK+DagH,"H",IF(MOD($A139-INDEX(SkiftStart,2),Syklus)&lt;DagK+DagH+DagD,"D","F")))</f>
        <v/>
      </c>
      <c r="D139">
        <f>IF(MOD($A139-INDEX(SkiftStart,3),Syklus)&lt;DagK,"K",IF(MOD($A139-INDEX(SkiftStart,3),Syklus)&lt;DagK+DagH,"H",IF(MOD($A139-INDEX(SkiftStart,3),Syklus)&lt;DagK+DagH+DagD,"D","F")))</f>
        <v/>
      </c>
      <c r="E139">
        <f>IF(B139="F",0,IF(WEEKDAY($A139,2)=5,INDEX(TimerFr,MATCH(B139,FaseKode,0)),INDEX(TimerMT,MATCH(B139,FaseKode,0))))</f>
        <v/>
      </c>
      <c r="F139">
        <f>IF(C139="F",0,IF(WEEKDAY($A139,2)=5,INDEX(TimerFr,MATCH(C139,FaseKode,0)),INDEX(TimerMT,MATCH(C139,FaseKode,0))))</f>
        <v/>
      </c>
      <c r="G139">
        <f>IF(D139="F",0,IF(WEEKDAY($A139,2)=5,INDEX(TimerFr,MATCH(D139,FaseKode,0)),INDEX(TimerMT,MATCH(D139,FaseKode,0))))</f>
        <v/>
      </c>
      <c r="H139">
        <f>IF(OR(H$4="",$A139&gt;TODAY()),0,IF(OR(INDEX($B139:$D139,H$5)="F",AND(H$6&gt;0,$A139&lt;H$6),AND(H$7&gt;0,$A139&gt;H$7)),0,MAX(0,ROUND((INDEX($E139:$G139,H$5)-SUMIFS(TF_Timer,TF_Tekniker,H$4,TF_Dato,$A139))*2,0)/2)))</f>
        <v/>
      </c>
      <c r="I139">
        <f>IF(OR(I$4="",$A139&gt;TODAY()),0,IF(OR(INDEX($B139:$D139,I$5)="F",AND(I$6&gt;0,$A139&lt;I$6),AND(I$7&gt;0,$A139&gt;I$7)),0,MAX(0,ROUND((INDEX($E139:$G139,I$5)-SUMIFS(TF_Timer,TF_Tekniker,I$4,TF_Dato,$A139))*2,0)/2)))</f>
        <v/>
      </c>
      <c r="J139">
        <f>IF(OR(J$4="",$A139&gt;TODAY()),0,IF(OR(INDEX($B139:$D139,J$5)="F",AND(J$6&gt;0,$A139&lt;J$6),AND(J$7&gt;0,$A139&gt;J$7)),0,MAX(0,ROUND((INDEX($E139:$G139,J$5)-SUMIFS(TF_Timer,TF_Tekniker,J$4,TF_Dato,$A139))*2,0)/2)))</f>
        <v/>
      </c>
      <c r="K139">
        <f>IF(OR(K$4="",$A139&gt;TODAY()),0,IF(OR(INDEX($B139:$D139,K$5)="F",AND(K$6&gt;0,$A139&lt;K$6),AND(K$7&gt;0,$A139&gt;K$7)),0,MAX(0,ROUND((INDEX($E139:$G139,K$5)-SUMIFS(TF_Timer,TF_Tekniker,K$4,TF_Dato,$A139))*2,0)/2)))</f>
        <v/>
      </c>
      <c r="L139">
        <f>IF(OR(L$4="",$A139&gt;TODAY()),0,IF(OR(INDEX($B139:$D139,L$5)="F",AND(L$6&gt;0,$A139&lt;L$6),AND(L$7&gt;0,$A139&gt;L$7)),0,MAX(0,ROUND((INDEX($E139:$G139,L$5)-SUMIFS(TF_Timer,TF_Tekniker,L$4,TF_Dato,$A139))*2,0)/2)))</f>
        <v/>
      </c>
      <c r="M139">
        <f>IF(OR(M$4="",$A139&gt;TODAY()),0,IF(OR(INDEX($B139:$D139,M$5)="F",AND(M$6&gt;0,$A139&lt;M$6),AND(M$7&gt;0,$A139&gt;M$7)),0,MAX(0,ROUND((INDEX($E139:$G139,M$5)-SUMIFS(TF_Timer,TF_Tekniker,M$4,TF_Dato,$A139))*2,0)/2)))</f>
        <v/>
      </c>
      <c r="N139">
        <f>IF(OR(N$4="",$A139&gt;TODAY()),0,IF(OR(INDEX($B139:$D139,N$5)="F",AND(N$6&gt;0,$A139&lt;N$6),AND(N$7&gt;0,$A139&gt;N$7)),0,MAX(0,ROUND((INDEX($E139:$G139,N$5)-SUMIFS(TF_Timer,TF_Tekniker,N$4,TF_Dato,$A139))*2,0)/2)))</f>
        <v/>
      </c>
      <c r="O139">
        <f>IF(OR(O$4="",$A139&gt;TODAY()),0,IF(OR(INDEX($B139:$D139,O$5)="F",AND(O$6&gt;0,$A139&lt;O$6),AND(O$7&gt;0,$A139&gt;O$7)),0,MAX(0,ROUND((INDEX($E139:$G139,O$5)-SUMIFS(TF_Timer,TF_Tekniker,O$4,TF_Dato,$A139))*2,0)/2)))</f>
        <v/>
      </c>
      <c r="P139">
        <f>IF(OR(P$4="",$A139&gt;TODAY()),0,IF(OR(INDEX($B139:$D139,P$5)="F",AND(P$6&gt;0,$A139&lt;P$6),AND(P$7&gt;0,$A139&gt;P$7)),0,MAX(0,ROUND((INDEX($E139:$G139,P$5)-SUMIFS(TF_Timer,TF_Tekniker,P$4,TF_Dato,$A139))*2,0)/2)))</f>
        <v/>
      </c>
      <c r="Q139">
        <f>IF(OR(Q$4="",$A139&gt;TODAY()),0,IF(OR(INDEX($B139:$D139,Q$5)="F",AND(Q$6&gt;0,$A139&lt;Q$6),AND(Q$7&gt;0,$A139&gt;Q$7)),0,MAX(0,ROUND((INDEX($E139:$G139,Q$5)-SUMIFS(TF_Timer,TF_Tekniker,Q$4,TF_Dato,$A139))*2,0)/2)))</f>
        <v/>
      </c>
      <c r="R139">
        <f>IF(OR(R$4="",$A139&gt;TODAY()),0,IF(OR(INDEX($B139:$D139,R$5)="F",AND(R$6&gt;0,$A139&lt;R$6),AND(R$7&gt;0,$A139&gt;R$7)),0,MAX(0,ROUND((INDEX($E139:$G139,R$5)-SUMIFS(TF_Timer,TF_Tekniker,R$4,TF_Dato,$A139))*2,0)/2)))</f>
        <v/>
      </c>
      <c r="S139">
        <f>IF(OR(S$4="",$A139&gt;TODAY()),0,IF(OR(INDEX($B139:$D139,S$5)="F",AND(S$6&gt;0,$A139&lt;S$6),AND(S$7&gt;0,$A139&gt;S$7)),0,MAX(0,ROUND((INDEX($E139:$G139,S$5)-SUMIFS(TF_Timer,TF_Tekniker,S$4,TF_Dato,$A139))*2,0)/2)))</f>
        <v/>
      </c>
      <c r="T139">
        <f>IF(OR(T$4="",$A139&gt;TODAY()),0,IF(OR(INDEX($B139:$D139,T$5)="F",AND(T$6&gt;0,$A139&lt;T$6),AND(T$7&gt;0,$A139&gt;T$7)),0,MAX(0,ROUND((INDEX($E139:$G139,T$5)-SUMIFS(TF_Timer,TF_Tekniker,T$4,TF_Dato,$A139))*2,0)/2)))</f>
        <v/>
      </c>
      <c r="U139">
        <f>IF(OR(U$4="",$A139&gt;TODAY()),0,IF(OR(INDEX($B139:$D139,U$5)="F",AND(U$6&gt;0,$A139&lt;U$6),AND(U$7&gt;0,$A139&gt;U$7)),0,MAX(0,ROUND((INDEX($E139:$G139,U$5)-SUMIFS(TF_Timer,TF_Tekniker,U$4,TF_Dato,$A139))*2,0)/2)))</f>
        <v/>
      </c>
      <c r="V139">
        <f>IF(OR(V$4="",$A139&gt;TODAY()),0,IF(OR(INDEX($B139:$D139,V$5)="F",AND(V$6&gt;0,$A139&lt;V$6),AND(V$7&gt;0,$A139&gt;V$7)),0,MAX(0,ROUND((INDEX($E139:$G139,V$5)-SUMIFS(TF_Timer,TF_Tekniker,V$4,TF_Dato,$A139))*2,0)/2)))</f>
        <v/>
      </c>
      <c r="W139">
        <f>IF(OR(W$4="",$A139&gt;TODAY()),0,IF(OR(INDEX($B139:$D139,W$5)="F",AND(W$6&gt;0,$A139&lt;W$6),AND(W$7&gt;0,$A139&gt;W$7)),0,MAX(0,ROUND((INDEX($E139:$G139,W$5)-SUMIFS(TF_Timer,TF_Tekniker,W$4,TF_Dato,$A139))*2,0)/2)))</f>
        <v/>
      </c>
      <c r="X139">
        <f>IF(OR(X$4="",$A139&gt;TODAY()),0,IF(OR(INDEX($B139:$D139,X$5)="F",AND(X$6&gt;0,$A139&lt;X$6),AND(X$7&gt;0,$A139&gt;X$7)),0,MAX(0,ROUND((INDEX($E139:$G139,X$5)-SUMIFS(TF_Timer,TF_Tekniker,X$4,TF_Dato,$A139))*2,0)/2)))</f>
        <v/>
      </c>
      <c r="Y139">
        <f>IF(OR(Y$4="",$A139&gt;TODAY()),0,IF(OR(INDEX($B139:$D139,Y$5)="F",AND(Y$6&gt;0,$A139&lt;Y$6),AND(Y$7&gt;0,$A139&gt;Y$7)),0,MAX(0,ROUND((INDEX($E139:$G139,Y$5)-SUMIFS(TF_Timer,TF_Tekniker,Y$4,TF_Dato,$A139))*2,0)/2)))</f>
        <v/>
      </c>
      <c r="Z139">
        <f>IF(OR(Z$4="",$A139&gt;TODAY()),0,IF(OR(INDEX($B139:$D139,Z$5)="F",AND(Z$6&gt;0,$A139&lt;Z$6),AND(Z$7&gt;0,$A139&gt;Z$7)),0,MAX(0,ROUND((INDEX($E139:$G139,Z$5)-SUMIFS(TF_Timer,TF_Tekniker,Z$4,TF_Dato,$A139))*2,0)/2)))</f>
        <v/>
      </c>
      <c r="AA139">
        <f>IF(OR(AA$4="",$A139&gt;TODAY()),0,IF(OR(INDEX($B139:$D139,AA$5)="F",AND(AA$6&gt;0,$A139&lt;AA$6),AND(AA$7&gt;0,$A139&gt;AA$7)),0,MAX(0,ROUND((INDEX($E139:$G139,AA$5)-SUMIFS(TF_Timer,TF_Tekniker,AA$4,TF_Dato,$A139))*2,0)/2)))</f>
        <v/>
      </c>
      <c r="AB139">
        <f>IF(OR(AB$4="",$A139&gt;TODAY()),0,IF(OR(INDEX($B139:$D139,AB$5)="F",AND(AB$6&gt;0,$A139&lt;AB$6),AND(AB$7&gt;0,$A139&gt;AB$7)),0,MAX(0,ROUND((INDEX($E139:$G139,AB$5)-SUMIFS(TF_Timer,TF_Tekniker,AB$4,TF_Dato,$A139))*2,0)/2)))</f>
        <v/>
      </c>
      <c r="AC139">
        <f>IF(OR(AC$4="",$A139&gt;TODAY()),0,IF(OR(INDEX($B139:$D139,AC$5)="F",AND(AC$6&gt;0,$A139&lt;AC$6),AND(AC$7&gt;0,$A139&gt;AC$7)),0,MAX(0,ROUND((INDEX($E139:$G139,AC$5)-SUMIFS(TF_Timer,TF_Tekniker,AC$4,TF_Dato,$A139))*2,0)/2)))</f>
        <v/>
      </c>
      <c r="AD139">
        <f>IF(OR(AD$4="",$A139&gt;TODAY()),0,IF(OR(INDEX($B139:$D139,AD$5)="F",AND(AD$6&gt;0,$A139&lt;AD$6),AND(AD$7&gt;0,$A139&gt;AD$7)),0,MAX(0,ROUND((INDEX($E139:$G139,AD$5)-SUMIFS(TF_Timer,TF_Tekniker,AD$4,TF_Dato,$A139))*2,0)/2)))</f>
        <v/>
      </c>
      <c r="AE139">
        <f>IF(OR(AE$4="",$A139&gt;TODAY()),0,IF(OR(INDEX($B139:$D139,AE$5)="F",AND(AE$6&gt;0,$A139&lt;AE$6),AND(AE$7&gt;0,$A139&gt;AE$7)),0,MAX(0,ROUND((INDEX($E139:$G139,AE$5)-SUMIFS(TF_Timer,TF_Tekniker,AE$4,TF_Dato,$A139))*2,0)/2)))</f>
        <v/>
      </c>
      <c r="AF139">
        <f>IF(OR(AF$4="",$A139&gt;TODAY()),0,IF(OR(INDEX($B139:$D139,AF$5)="F",AND(AF$6&gt;0,$A139&lt;AF$6),AND(AF$7&gt;0,$A139&gt;AF$7)),0,MAX(0,ROUND((INDEX($E139:$G139,AF$5)-SUMIFS(TF_Timer,TF_Tekniker,AF$4,TF_Dato,$A139))*2,0)/2)))</f>
        <v/>
      </c>
      <c r="AG139">
        <f>IF(OR(AG$4="",$A139&gt;TODAY()),0,IF(OR(INDEX($B139:$D139,AG$5)="F",AND(AG$6&gt;0,$A139&lt;AG$6),AND(AG$7&gt;0,$A139&gt;AG$7)),0,MAX(0,ROUND((INDEX($E139:$G139,AG$5)-SUMIFS(TF_Timer,TF_Tekniker,AG$4,TF_Dato,$A139))*2,0)/2)))</f>
        <v/>
      </c>
      <c r="AH139">
        <f>IF(OR(AH$4="",$A139&gt;TODAY()),0,IF(OR(INDEX($B139:$D139,AH$5)="F",AND(AH$6&gt;0,$A139&lt;AH$6),AND(AH$7&gt;0,$A139&gt;AH$7)),0,MAX(0,ROUND((INDEX($E139:$G139,AH$5)-SUMIFS(TF_Timer,TF_Tekniker,AH$4,TF_Dato,$A139))*2,0)/2)))</f>
        <v/>
      </c>
      <c r="AI139">
        <f>IF(OR(AI$4="",$A139&gt;TODAY()),0,IF(OR(INDEX($B139:$D139,AI$5)="F",AND(AI$6&gt;0,$A139&lt;AI$6),AND(AI$7&gt;0,$A139&gt;AI$7)),0,MAX(0,ROUND((INDEX($E139:$G139,AI$5)-SUMIFS(TF_Timer,TF_Tekniker,AI$4,TF_Dato,$A139))*2,0)/2)))</f>
        <v/>
      </c>
      <c r="AJ139">
        <f>IF(OR(AJ$4="",$A139&gt;TODAY()),0,IF(OR(INDEX($B139:$D139,AJ$5)="F",AND(AJ$6&gt;0,$A139&lt;AJ$6),AND(AJ$7&gt;0,$A139&gt;AJ$7)),0,MAX(0,ROUND((INDEX($E139:$G139,AJ$5)-SUMIFS(TF_Timer,TF_Tekniker,AJ$4,TF_Dato,$A139))*2,0)/2)))</f>
        <v/>
      </c>
      <c r="AK139">
        <f>IF(OR(AK$4="",$A139&gt;TODAY()),0,IF(OR(INDEX($B139:$D139,AK$5)="F",AND(AK$6&gt;0,$A139&lt;AK$6),AND(AK$7&gt;0,$A139&gt;AK$7)),0,MAX(0,ROUND((INDEX($E139:$G139,AK$5)-SUMIFS(TF_Timer,TF_Tekniker,AK$4,TF_Dato,$A139))*2,0)/2)))</f>
        <v/>
      </c>
      <c r="AL139">
        <f>IF(OR(AL$4="",$A139&gt;TODAY()),0,IF(OR(INDEX($B139:$D139,AL$5)="F",AND(AL$6&gt;0,$A139&lt;AL$6),AND(AL$7&gt;0,$A139&gt;AL$7)),0,MAX(0,ROUND((INDEX($E139:$G139,AL$5)-SUMIFS(TF_Timer,TF_Tekniker,AL$4,TF_Dato,$A139))*2,0)/2)))</f>
        <v/>
      </c>
      <c r="AM139">
        <f>IF(OR(AM$4="",$A139&gt;TODAY()),0,IF(OR(INDEX($B139:$D139,AM$5)="F",AND(AM$6&gt;0,$A139&lt;AM$6),AND(AM$7&gt;0,$A139&gt;AM$7)),0,MAX(0,ROUND((INDEX($E139:$G139,AM$5)-SUMIFS(TF_Timer,TF_Tekniker,AM$4,TF_Dato,$A139))*2,0)/2)))</f>
        <v/>
      </c>
      <c r="AN139">
        <f>IF(OR(AN$4="",$A139&gt;TODAY()),0,IF(OR(INDEX($B139:$D139,AN$5)="F",AND(AN$6&gt;0,$A139&lt;AN$6),AND(AN$7&gt;0,$A139&gt;AN$7)),0,MAX(0,ROUND((INDEX($E139:$G139,AN$5)-SUMIFS(TF_Timer,TF_Tekniker,AN$4,TF_Dato,$A139))*2,0)/2)))</f>
        <v/>
      </c>
      <c r="AO139">
        <f>IF(OR(AO$4="",$A139&gt;TODAY()),0,IF(OR(INDEX($B139:$D139,AO$5)="F",AND(AO$6&gt;0,$A139&lt;AO$6),AND(AO$7&gt;0,$A139&gt;AO$7)),0,MAX(0,ROUND((INDEX($E139:$G139,AO$5)-SUMIFS(TF_Timer,TF_Tekniker,AO$4,TF_Dato,$A139))*2,0)/2)))</f>
        <v/>
      </c>
      <c r="AP139">
        <f>IF(OR(AP$4="",$A139&gt;TODAY()),0,IF(OR(INDEX($B139:$D139,AP$5)="F",AND(AP$6&gt;0,$A139&lt;AP$6),AND(AP$7&gt;0,$A139&gt;AP$7)),0,MAX(0,ROUND((INDEX($E139:$G139,AP$5)-SUMIFS(TF_Timer,TF_Tekniker,AP$4,TF_Dato,$A139))*2,0)/2)))</f>
        <v/>
      </c>
      <c r="AQ139">
        <f>IF(OR(AQ$4="",$A139&gt;TODAY()),0,IF(OR(INDEX($B139:$D139,AQ$5)="F",AND(AQ$6&gt;0,$A139&lt;AQ$6),AND(AQ$7&gt;0,$A139&gt;AQ$7)),0,MAX(0,ROUND((INDEX($E139:$G139,AQ$5)-SUMIFS(TF_Timer,TF_Tekniker,AQ$4,TF_Dato,$A139))*2,0)/2)))</f>
        <v/>
      </c>
      <c r="AR139">
        <f>IF(OR(AR$4="",$A139&gt;TODAY()),0,IF(OR(INDEX($B139:$D139,AR$5)="F",AND(AR$6&gt;0,$A139&lt;AR$6),AND(AR$7&gt;0,$A139&gt;AR$7)),0,MAX(0,ROUND((INDEX($E139:$G139,AR$5)-SUMIFS(TF_Timer,TF_Tekniker,AR$4,TF_Dato,$A139))*2,0)/2)))</f>
        <v/>
      </c>
      <c r="AS139">
        <f>IF(OR(AS$4="",$A139&gt;TODAY()),0,IF(OR(INDEX($B139:$D139,AS$5)="F",AND(AS$6&gt;0,$A139&lt;AS$6),AND(AS$7&gt;0,$A139&gt;AS$7)),0,MAX(0,ROUND((INDEX($E139:$G139,AS$5)-SUMIFS(TF_Timer,TF_Tekniker,AS$4,TF_Dato,$A139))*2,0)/2)))</f>
        <v/>
      </c>
      <c r="AT139">
        <f>IF(OR(AT$4="",$A139&gt;TODAY()),0,IF(OR(INDEX($B139:$D139,AT$5)="F",AND(AT$6&gt;0,$A139&lt;AT$6),AND(AT$7&gt;0,$A139&gt;AT$7)),0,MAX(0,ROUND((INDEX($E139:$G139,AT$5)-SUMIFS(TF_Timer,TF_Tekniker,AT$4,TF_Dato,$A139))*2,0)/2)))</f>
        <v/>
      </c>
      <c r="AU139">
        <f>IF(OR(AU$4="",$A139&gt;TODAY()),0,IF(OR(INDEX($B139:$D139,AU$5)="F",AND(AU$6&gt;0,$A139&lt;AU$6),AND(AU$7&gt;0,$A139&gt;AU$7)),0,MAX(0,ROUND((INDEX($E139:$G139,AU$5)-SUMIFS(TF_Timer,TF_Tekniker,AU$4,TF_Dato,$A139))*2,0)/2)))</f>
        <v/>
      </c>
      <c r="AV139">
        <f>IF(OR(AV$4="",$A139&gt;TODAY()),0,IF(OR(INDEX($B139:$D139,AV$5)="F",AND(AV$6&gt;0,$A139&lt;AV$6),AND(AV$7&gt;0,$A139&gt;AV$7)),0,MAX(0,ROUND((INDEX($E139:$G139,AV$5)-SUMIFS(TF_Timer,TF_Tekniker,AV$4,TF_Dato,$A139))*2,0)/2)))</f>
        <v/>
      </c>
      <c r="AW139">
        <f>IF(OR(AW$4="",$A139&gt;TODAY()),0,IF(OR(INDEX($B139:$D139,AW$5)="F",AND(AW$6&gt;0,$A139&lt;AW$6),AND(AW$7&gt;0,$A139&gt;AW$7)),0,MAX(0,ROUND((INDEX($E139:$G139,AW$5)-SUMIFS(TF_Timer,TF_Tekniker,AW$4,TF_Dato,$A139))*2,0)/2)))</f>
        <v/>
      </c>
      <c r="AX139">
        <f>IF(OR(AX$4="",$A139&gt;TODAY()),0,IF(OR(INDEX($B139:$D139,AX$5)="F",AND(AX$6&gt;0,$A139&lt;AX$6),AND(AX$7&gt;0,$A139&gt;AX$7)),0,MAX(0,ROUND((INDEX($E139:$G139,AX$5)-SUMIFS(TF_Timer,TF_Tekniker,AX$4,TF_Dato,$A139))*2,0)/2)))</f>
        <v/>
      </c>
      <c r="AY139">
        <f>IF(OR(AY$4="",$A139&gt;TODAY()),0,IF(OR(INDEX($B139:$D139,AY$5)="F",AND(AY$6&gt;0,$A139&lt;AY$6),AND(AY$7&gt;0,$A139&gt;AY$7)),0,MAX(0,ROUND((INDEX($E139:$G139,AY$5)-SUMIFS(TF_Timer,TF_Tekniker,AY$4,TF_Dato,$A139))*2,0)/2)))</f>
        <v/>
      </c>
      <c r="AZ139">
        <f>IF(OR(AZ$4="",$A139&gt;TODAY()),0,IF(OR(INDEX($B139:$D139,AZ$5)="F",AND(AZ$6&gt;0,$A139&lt;AZ$6),AND(AZ$7&gt;0,$A139&gt;AZ$7)),0,MAX(0,ROUND((INDEX($E139:$G139,AZ$5)-SUMIFS(TF_Timer,TF_Tekniker,AZ$4,TF_Dato,$A139))*2,0)/2)))</f>
        <v/>
      </c>
      <c r="BA139">
        <f>IF(OR(BA$4="",$A139&gt;TODAY()),0,IF(OR(INDEX($B139:$D139,BA$5)="F",AND(BA$6&gt;0,$A139&lt;BA$6),AND(BA$7&gt;0,$A139&gt;BA$7)),0,MAX(0,ROUND((INDEX($E139:$G139,BA$5)-SUMIFS(TF_Timer,TF_Tekniker,BA$4,TF_Dato,$A139))*2,0)/2)))</f>
        <v/>
      </c>
      <c r="BB139">
        <f>IF(OR(BB$4="",$A139&gt;TODAY()),0,IF(OR(INDEX($B139:$D139,BB$5)="F",AND(BB$6&gt;0,$A139&lt;BB$6),AND(BB$7&gt;0,$A139&gt;BB$7)),0,MAX(0,ROUND((INDEX($E139:$G139,BB$5)-SUMIFS(TF_Timer,TF_Tekniker,BB$4,TF_Dato,$A139))*2,0)/2)))</f>
        <v/>
      </c>
      <c r="BC139">
        <f>IF(OR(BC$4="",$A139&gt;TODAY()),0,IF(OR(INDEX($B139:$D139,BC$5)="F",AND(BC$6&gt;0,$A139&lt;BC$6),AND(BC$7&gt;0,$A139&gt;BC$7)),0,MAX(0,ROUND((INDEX($E139:$G139,BC$5)-SUMIFS(TF_Timer,TF_Tekniker,BC$4,TF_Dato,$A139))*2,0)/2)))</f>
        <v/>
      </c>
      <c r="BD139">
        <f>IF(OR(BD$4="",$A139&gt;TODAY()),0,IF(OR(INDEX($B139:$D139,BD$5)="F",AND(BD$6&gt;0,$A139&lt;BD$6),AND(BD$7&gt;0,$A139&gt;BD$7)),0,MAX(0,ROUND((INDEX($E139:$G139,BD$5)-SUMIFS(TF_Timer,TF_Tekniker,BD$4,TF_Dato,$A139))*2,0)/2)))</f>
        <v/>
      </c>
      <c r="BE139">
        <f>IF(OR(BE$4="",$A139&gt;TODAY()),0,IF(OR(INDEX($B139:$D139,BE$5)="F",AND(BE$6&gt;0,$A139&lt;BE$6),AND(BE$7&gt;0,$A139&gt;BE$7)),0,MAX(0,ROUND((INDEX($E139:$G139,BE$5)-SUMIFS(TF_Timer,TF_Tekniker,BE$4,TF_Dato,$A139))*2,0)/2)))</f>
        <v/>
      </c>
      <c r="BF139">
        <f>IF(OR(BF$4="",$A139&gt;TODAY()),0,IF(OR(INDEX($B139:$D139,BF$5)="F",AND(BF$6&gt;0,$A139&lt;BF$6),AND(BF$7&gt;0,$A139&gt;BF$7)),0,MAX(0,ROUND((INDEX($E139:$G139,BF$5)-SUMIFS(TF_Timer,TF_Tekniker,BF$4,TF_Dato,$A139))*2,0)/2)))</f>
        <v/>
      </c>
      <c r="BG139">
        <f>IF(OR(BG$4="",$A139&gt;TODAY()),0,IF(OR(INDEX($B139:$D139,BG$5)="F",AND(BG$6&gt;0,$A139&lt;BG$6),AND(BG$7&gt;0,$A139&gt;BG$7)),0,MAX(0,ROUND((INDEX($E139:$G139,BG$5)-SUMIFS(TF_Timer,TF_Tekniker,BG$4,TF_Dato,$A139))*2,0)/2)))</f>
        <v/>
      </c>
      <c r="BH139">
        <f>IF(OR(BH$4="",$A139&gt;TODAY()),0,IF(OR(INDEX($B139:$D139,BH$5)="F",AND(BH$6&gt;0,$A139&lt;BH$6),AND(BH$7&gt;0,$A139&gt;BH$7)),0,MAX(0,ROUND((INDEX($E139:$G139,BH$5)-SUMIFS(TF_Timer,TF_Tekniker,BH$4,TF_Dato,$A139))*2,0)/2)))</f>
        <v/>
      </c>
      <c r="BI139">
        <f>IF(OR(BI$4="",$A139&gt;TODAY()),0,IF(OR(INDEX($B139:$D139,BI$5)="F",AND(BI$6&gt;0,$A139&lt;BI$6),AND(BI$7&gt;0,$A139&gt;BI$7)),0,MAX(0,ROUND((INDEX($E139:$G139,BI$5)-SUMIFS(TF_Timer,TF_Tekniker,BI$4,TF_Dato,$A139))*2,0)/2)))</f>
        <v/>
      </c>
    </row>
    <row r="140">
      <c r="A140" s="64">
        <f>A139+1</f>
        <v/>
      </c>
      <c r="B140">
        <f>IF(MOD($A140-INDEX(SkiftStart,1),Syklus)&lt;DagK,"K",IF(MOD($A140-INDEX(SkiftStart,1),Syklus)&lt;DagK+DagH,"H",IF(MOD($A140-INDEX(SkiftStart,1),Syklus)&lt;DagK+DagH+DagD,"D","F")))</f>
        <v/>
      </c>
      <c r="C140">
        <f>IF(MOD($A140-INDEX(SkiftStart,2),Syklus)&lt;DagK,"K",IF(MOD($A140-INDEX(SkiftStart,2),Syklus)&lt;DagK+DagH,"H",IF(MOD($A140-INDEX(SkiftStart,2),Syklus)&lt;DagK+DagH+DagD,"D","F")))</f>
        <v/>
      </c>
      <c r="D140">
        <f>IF(MOD($A140-INDEX(SkiftStart,3),Syklus)&lt;DagK,"K",IF(MOD($A140-INDEX(SkiftStart,3),Syklus)&lt;DagK+DagH,"H",IF(MOD($A140-INDEX(SkiftStart,3),Syklus)&lt;DagK+DagH+DagD,"D","F")))</f>
        <v/>
      </c>
      <c r="E140">
        <f>IF(B140="F",0,IF(WEEKDAY($A140,2)=5,INDEX(TimerFr,MATCH(B140,FaseKode,0)),INDEX(TimerMT,MATCH(B140,FaseKode,0))))</f>
        <v/>
      </c>
      <c r="F140">
        <f>IF(C140="F",0,IF(WEEKDAY($A140,2)=5,INDEX(TimerFr,MATCH(C140,FaseKode,0)),INDEX(TimerMT,MATCH(C140,FaseKode,0))))</f>
        <v/>
      </c>
      <c r="G140">
        <f>IF(D140="F",0,IF(WEEKDAY($A140,2)=5,INDEX(TimerFr,MATCH(D140,FaseKode,0)),INDEX(TimerMT,MATCH(D140,FaseKode,0))))</f>
        <v/>
      </c>
      <c r="H140">
        <f>IF(OR(H$4="",$A140&gt;TODAY()),0,IF(OR(INDEX($B140:$D140,H$5)="F",AND(H$6&gt;0,$A140&lt;H$6),AND(H$7&gt;0,$A140&gt;H$7)),0,MAX(0,ROUND((INDEX($E140:$G140,H$5)-SUMIFS(TF_Timer,TF_Tekniker,H$4,TF_Dato,$A140))*2,0)/2)))</f>
        <v/>
      </c>
      <c r="I140">
        <f>IF(OR(I$4="",$A140&gt;TODAY()),0,IF(OR(INDEX($B140:$D140,I$5)="F",AND(I$6&gt;0,$A140&lt;I$6),AND(I$7&gt;0,$A140&gt;I$7)),0,MAX(0,ROUND((INDEX($E140:$G140,I$5)-SUMIFS(TF_Timer,TF_Tekniker,I$4,TF_Dato,$A140))*2,0)/2)))</f>
        <v/>
      </c>
      <c r="J140">
        <f>IF(OR(J$4="",$A140&gt;TODAY()),0,IF(OR(INDEX($B140:$D140,J$5)="F",AND(J$6&gt;0,$A140&lt;J$6),AND(J$7&gt;0,$A140&gt;J$7)),0,MAX(0,ROUND((INDEX($E140:$G140,J$5)-SUMIFS(TF_Timer,TF_Tekniker,J$4,TF_Dato,$A140))*2,0)/2)))</f>
        <v/>
      </c>
      <c r="K140">
        <f>IF(OR(K$4="",$A140&gt;TODAY()),0,IF(OR(INDEX($B140:$D140,K$5)="F",AND(K$6&gt;0,$A140&lt;K$6),AND(K$7&gt;0,$A140&gt;K$7)),0,MAX(0,ROUND((INDEX($E140:$G140,K$5)-SUMIFS(TF_Timer,TF_Tekniker,K$4,TF_Dato,$A140))*2,0)/2)))</f>
        <v/>
      </c>
      <c r="L140">
        <f>IF(OR(L$4="",$A140&gt;TODAY()),0,IF(OR(INDEX($B140:$D140,L$5)="F",AND(L$6&gt;0,$A140&lt;L$6),AND(L$7&gt;0,$A140&gt;L$7)),0,MAX(0,ROUND((INDEX($E140:$G140,L$5)-SUMIFS(TF_Timer,TF_Tekniker,L$4,TF_Dato,$A140))*2,0)/2)))</f>
        <v/>
      </c>
      <c r="M140">
        <f>IF(OR(M$4="",$A140&gt;TODAY()),0,IF(OR(INDEX($B140:$D140,M$5)="F",AND(M$6&gt;0,$A140&lt;M$6),AND(M$7&gt;0,$A140&gt;M$7)),0,MAX(0,ROUND((INDEX($E140:$G140,M$5)-SUMIFS(TF_Timer,TF_Tekniker,M$4,TF_Dato,$A140))*2,0)/2)))</f>
        <v/>
      </c>
      <c r="N140">
        <f>IF(OR(N$4="",$A140&gt;TODAY()),0,IF(OR(INDEX($B140:$D140,N$5)="F",AND(N$6&gt;0,$A140&lt;N$6),AND(N$7&gt;0,$A140&gt;N$7)),0,MAX(0,ROUND((INDEX($E140:$G140,N$5)-SUMIFS(TF_Timer,TF_Tekniker,N$4,TF_Dato,$A140))*2,0)/2)))</f>
        <v/>
      </c>
      <c r="O140">
        <f>IF(OR(O$4="",$A140&gt;TODAY()),0,IF(OR(INDEX($B140:$D140,O$5)="F",AND(O$6&gt;0,$A140&lt;O$6),AND(O$7&gt;0,$A140&gt;O$7)),0,MAX(0,ROUND((INDEX($E140:$G140,O$5)-SUMIFS(TF_Timer,TF_Tekniker,O$4,TF_Dato,$A140))*2,0)/2)))</f>
        <v/>
      </c>
      <c r="P140">
        <f>IF(OR(P$4="",$A140&gt;TODAY()),0,IF(OR(INDEX($B140:$D140,P$5)="F",AND(P$6&gt;0,$A140&lt;P$6),AND(P$7&gt;0,$A140&gt;P$7)),0,MAX(0,ROUND((INDEX($E140:$G140,P$5)-SUMIFS(TF_Timer,TF_Tekniker,P$4,TF_Dato,$A140))*2,0)/2)))</f>
        <v/>
      </c>
      <c r="Q140">
        <f>IF(OR(Q$4="",$A140&gt;TODAY()),0,IF(OR(INDEX($B140:$D140,Q$5)="F",AND(Q$6&gt;0,$A140&lt;Q$6),AND(Q$7&gt;0,$A140&gt;Q$7)),0,MAX(0,ROUND((INDEX($E140:$G140,Q$5)-SUMIFS(TF_Timer,TF_Tekniker,Q$4,TF_Dato,$A140))*2,0)/2)))</f>
        <v/>
      </c>
      <c r="R140">
        <f>IF(OR(R$4="",$A140&gt;TODAY()),0,IF(OR(INDEX($B140:$D140,R$5)="F",AND(R$6&gt;0,$A140&lt;R$6),AND(R$7&gt;0,$A140&gt;R$7)),0,MAX(0,ROUND((INDEX($E140:$G140,R$5)-SUMIFS(TF_Timer,TF_Tekniker,R$4,TF_Dato,$A140))*2,0)/2)))</f>
        <v/>
      </c>
      <c r="S140">
        <f>IF(OR(S$4="",$A140&gt;TODAY()),0,IF(OR(INDEX($B140:$D140,S$5)="F",AND(S$6&gt;0,$A140&lt;S$6),AND(S$7&gt;0,$A140&gt;S$7)),0,MAX(0,ROUND((INDEX($E140:$G140,S$5)-SUMIFS(TF_Timer,TF_Tekniker,S$4,TF_Dato,$A140))*2,0)/2)))</f>
        <v/>
      </c>
      <c r="T140">
        <f>IF(OR(T$4="",$A140&gt;TODAY()),0,IF(OR(INDEX($B140:$D140,T$5)="F",AND(T$6&gt;0,$A140&lt;T$6),AND(T$7&gt;0,$A140&gt;T$7)),0,MAX(0,ROUND((INDEX($E140:$G140,T$5)-SUMIFS(TF_Timer,TF_Tekniker,T$4,TF_Dato,$A140))*2,0)/2)))</f>
        <v/>
      </c>
      <c r="U140">
        <f>IF(OR(U$4="",$A140&gt;TODAY()),0,IF(OR(INDEX($B140:$D140,U$5)="F",AND(U$6&gt;0,$A140&lt;U$6),AND(U$7&gt;0,$A140&gt;U$7)),0,MAX(0,ROUND((INDEX($E140:$G140,U$5)-SUMIFS(TF_Timer,TF_Tekniker,U$4,TF_Dato,$A140))*2,0)/2)))</f>
        <v/>
      </c>
      <c r="V140">
        <f>IF(OR(V$4="",$A140&gt;TODAY()),0,IF(OR(INDEX($B140:$D140,V$5)="F",AND(V$6&gt;0,$A140&lt;V$6),AND(V$7&gt;0,$A140&gt;V$7)),0,MAX(0,ROUND((INDEX($E140:$G140,V$5)-SUMIFS(TF_Timer,TF_Tekniker,V$4,TF_Dato,$A140))*2,0)/2)))</f>
        <v/>
      </c>
      <c r="W140">
        <f>IF(OR(W$4="",$A140&gt;TODAY()),0,IF(OR(INDEX($B140:$D140,W$5)="F",AND(W$6&gt;0,$A140&lt;W$6),AND(W$7&gt;0,$A140&gt;W$7)),0,MAX(0,ROUND((INDEX($E140:$G140,W$5)-SUMIFS(TF_Timer,TF_Tekniker,W$4,TF_Dato,$A140))*2,0)/2)))</f>
        <v/>
      </c>
      <c r="X140">
        <f>IF(OR(X$4="",$A140&gt;TODAY()),0,IF(OR(INDEX($B140:$D140,X$5)="F",AND(X$6&gt;0,$A140&lt;X$6),AND(X$7&gt;0,$A140&gt;X$7)),0,MAX(0,ROUND((INDEX($E140:$G140,X$5)-SUMIFS(TF_Timer,TF_Tekniker,X$4,TF_Dato,$A140))*2,0)/2)))</f>
        <v/>
      </c>
      <c r="Y140">
        <f>IF(OR(Y$4="",$A140&gt;TODAY()),0,IF(OR(INDEX($B140:$D140,Y$5)="F",AND(Y$6&gt;0,$A140&lt;Y$6),AND(Y$7&gt;0,$A140&gt;Y$7)),0,MAX(0,ROUND((INDEX($E140:$G140,Y$5)-SUMIFS(TF_Timer,TF_Tekniker,Y$4,TF_Dato,$A140))*2,0)/2)))</f>
        <v/>
      </c>
      <c r="Z140">
        <f>IF(OR(Z$4="",$A140&gt;TODAY()),0,IF(OR(INDEX($B140:$D140,Z$5)="F",AND(Z$6&gt;0,$A140&lt;Z$6),AND(Z$7&gt;0,$A140&gt;Z$7)),0,MAX(0,ROUND((INDEX($E140:$G140,Z$5)-SUMIFS(TF_Timer,TF_Tekniker,Z$4,TF_Dato,$A140))*2,0)/2)))</f>
        <v/>
      </c>
      <c r="AA140">
        <f>IF(OR(AA$4="",$A140&gt;TODAY()),0,IF(OR(INDEX($B140:$D140,AA$5)="F",AND(AA$6&gt;0,$A140&lt;AA$6),AND(AA$7&gt;0,$A140&gt;AA$7)),0,MAX(0,ROUND((INDEX($E140:$G140,AA$5)-SUMIFS(TF_Timer,TF_Tekniker,AA$4,TF_Dato,$A140))*2,0)/2)))</f>
        <v/>
      </c>
      <c r="AB140">
        <f>IF(OR(AB$4="",$A140&gt;TODAY()),0,IF(OR(INDEX($B140:$D140,AB$5)="F",AND(AB$6&gt;0,$A140&lt;AB$6),AND(AB$7&gt;0,$A140&gt;AB$7)),0,MAX(0,ROUND((INDEX($E140:$G140,AB$5)-SUMIFS(TF_Timer,TF_Tekniker,AB$4,TF_Dato,$A140))*2,0)/2)))</f>
        <v/>
      </c>
      <c r="AC140">
        <f>IF(OR(AC$4="",$A140&gt;TODAY()),0,IF(OR(INDEX($B140:$D140,AC$5)="F",AND(AC$6&gt;0,$A140&lt;AC$6),AND(AC$7&gt;0,$A140&gt;AC$7)),0,MAX(0,ROUND((INDEX($E140:$G140,AC$5)-SUMIFS(TF_Timer,TF_Tekniker,AC$4,TF_Dato,$A140))*2,0)/2)))</f>
        <v/>
      </c>
      <c r="AD140">
        <f>IF(OR(AD$4="",$A140&gt;TODAY()),0,IF(OR(INDEX($B140:$D140,AD$5)="F",AND(AD$6&gt;0,$A140&lt;AD$6),AND(AD$7&gt;0,$A140&gt;AD$7)),0,MAX(0,ROUND((INDEX($E140:$G140,AD$5)-SUMIFS(TF_Timer,TF_Tekniker,AD$4,TF_Dato,$A140))*2,0)/2)))</f>
        <v/>
      </c>
      <c r="AE140">
        <f>IF(OR(AE$4="",$A140&gt;TODAY()),0,IF(OR(INDEX($B140:$D140,AE$5)="F",AND(AE$6&gt;0,$A140&lt;AE$6),AND(AE$7&gt;0,$A140&gt;AE$7)),0,MAX(0,ROUND((INDEX($E140:$G140,AE$5)-SUMIFS(TF_Timer,TF_Tekniker,AE$4,TF_Dato,$A140))*2,0)/2)))</f>
        <v/>
      </c>
      <c r="AF140">
        <f>IF(OR(AF$4="",$A140&gt;TODAY()),0,IF(OR(INDEX($B140:$D140,AF$5)="F",AND(AF$6&gt;0,$A140&lt;AF$6),AND(AF$7&gt;0,$A140&gt;AF$7)),0,MAX(0,ROUND((INDEX($E140:$G140,AF$5)-SUMIFS(TF_Timer,TF_Tekniker,AF$4,TF_Dato,$A140))*2,0)/2)))</f>
        <v/>
      </c>
      <c r="AG140">
        <f>IF(OR(AG$4="",$A140&gt;TODAY()),0,IF(OR(INDEX($B140:$D140,AG$5)="F",AND(AG$6&gt;0,$A140&lt;AG$6),AND(AG$7&gt;0,$A140&gt;AG$7)),0,MAX(0,ROUND((INDEX($E140:$G140,AG$5)-SUMIFS(TF_Timer,TF_Tekniker,AG$4,TF_Dato,$A140))*2,0)/2)))</f>
        <v/>
      </c>
      <c r="AH140">
        <f>IF(OR(AH$4="",$A140&gt;TODAY()),0,IF(OR(INDEX($B140:$D140,AH$5)="F",AND(AH$6&gt;0,$A140&lt;AH$6),AND(AH$7&gt;0,$A140&gt;AH$7)),0,MAX(0,ROUND((INDEX($E140:$G140,AH$5)-SUMIFS(TF_Timer,TF_Tekniker,AH$4,TF_Dato,$A140))*2,0)/2)))</f>
        <v/>
      </c>
      <c r="AI140">
        <f>IF(OR(AI$4="",$A140&gt;TODAY()),0,IF(OR(INDEX($B140:$D140,AI$5)="F",AND(AI$6&gt;0,$A140&lt;AI$6),AND(AI$7&gt;0,$A140&gt;AI$7)),0,MAX(0,ROUND((INDEX($E140:$G140,AI$5)-SUMIFS(TF_Timer,TF_Tekniker,AI$4,TF_Dato,$A140))*2,0)/2)))</f>
        <v/>
      </c>
      <c r="AJ140">
        <f>IF(OR(AJ$4="",$A140&gt;TODAY()),0,IF(OR(INDEX($B140:$D140,AJ$5)="F",AND(AJ$6&gt;0,$A140&lt;AJ$6),AND(AJ$7&gt;0,$A140&gt;AJ$7)),0,MAX(0,ROUND((INDEX($E140:$G140,AJ$5)-SUMIFS(TF_Timer,TF_Tekniker,AJ$4,TF_Dato,$A140))*2,0)/2)))</f>
        <v/>
      </c>
      <c r="AK140">
        <f>IF(OR(AK$4="",$A140&gt;TODAY()),0,IF(OR(INDEX($B140:$D140,AK$5)="F",AND(AK$6&gt;0,$A140&lt;AK$6),AND(AK$7&gt;0,$A140&gt;AK$7)),0,MAX(0,ROUND((INDEX($E140:$G140,AK$5)-SUMIFS(TF_Timer,TF_Tekniker,AK$4,TF_Dato,$A140))*2,0)/2)))</f>
        <v/>
      </c>
      <c r="AL140">
        <f>IF(OR(AL$4="",$A140&gt;TODAY()),0,IF(OR(INDEX($B140:$D140,AL$5)="F",AND(AL$6&gt;0,$A140&lt;AL$6),AND(AL$7&gt;0,$A140&gt;AL$7)),0,MAX(0,ROUND((INDEX($E140:$G140,AL$5)-SUMIFS(TF_Timer,TF_Tekniker,AL$4,TF_Dato,$A140))*2,0)/2)))</f>
        <v/>
      </c>
      <c r="AM140">
        <f>IF(OR(AM$4="",$A140&gt;TODAY()),0,IF(OR(INDEX($B140:$D140,AM$5)="F",AND(AM$6&gt;0,$A140&lt;AM$6),AND(AM$7&gt;0,$A140&gt;AM$7)),0,MAX(0,ROUND((INDEX($E140:$G140,AM$5)-SUMIFS(TF_Timer,TF_Tekniker,AM$4,TF_Dato,$A140))*2,0)/2)))</f>
        <v/>
      </c>
      <c r="AN140">
        <f>IF(OR(AN$4="",$A140&gt;TODAY()),0,IF(OR(INDEX($B140:$D140,AN$5)="F",AND(AN$6&gt;0,$A140&lt;AN$6),AND(AN$7&gt;0,$A140&gt;AN$7)),0,MAX(0,ROUND((INDEX($E140:$G140,AN$5)-SUMIFS(TF_Timer,TF_Tekniker,AN$4,TF_Dato,$A140))*2,0)/2)))</f>
        <v/>
      </c>
      <c r="AO140">
        <f>IF(OR(AO$4="",$A140&gt;TODAY()),0,IF(OR(INDEX($B140:$D140,AO$5)="F",AND(AO$6&gt;0,$A140&lt;AO$6),AND(AO$7&gt;0,$A140&gt;AO$7)),0,MAX(0,ROUND((INDEX($E140:$G140,AO$5)-SUMIFS(TF_Timer,TF_Tekniker,AO$4,TF_Dato,$A140))*2,0)/2)))</f>
        <v/>
      </c>
      <c r="AP140">
        <f>IF(OR(AP$4="",$A140&gt;TODAY()),0,IF(OR(INDEX($B140:$D140,AP$5)="F",AND(AP$6&gt;0,$A140&lt;AP$6),AND(AP$7&gt;0,$A140&gt;AP$7)),0,MAX(0,ROUND((INDEX($E140:$G140,AP$5)-SUMIFS(TF_Timer,TF_Tekniker,AP$4,TF_Dato,$A140))*2,0)/2)))</f>
        <v/>
      </c>
      <c r="AQ140">
        <f>IF(OR(AQ$4="",$A140&gt;TODAY()),0,IF(OR(INDEX($B140:$D140,AQ$5)="F",AND(AQ$6&gt;0,$A140&lt;AQ$6),AND(AQ$7&gt;0,$A140&gt;AQ$7)),0,MAX(0,ROUND((INDEX($E140:$G140,AQ$5)-SUMIFS(TF_Timer,TF_Tekniker,AQ$4,TF_Dato,$A140))*2,0)/2)))</f>
        <v/>
      </c>
      <c r="AR140">
        <f>IF(OR(AR$4="",$A140&gt;TODAY()),0,IF(OR(INDEX($B140:$D140,AR$5)="F",AND(AR$6&gt;0,$A140&lt;AR$6),AND(AR$7&gt;0,$A140&gt;AR$7)),0,MAX(0,ROUND((INDEX($E140:$G140,AR$5)-SUMIFS(TF_Timer,TF_Tekniker,AR$4,TF_Dato,$A140))*2,0)/2)))</f>
        <v/>
      </c>
      <c r="AS140">
        <f>IF(OR(AS$4="",$A140&gt;TODAY()),0,IF(OR(INDEX($B140:$D140,AS$5)="F",AND(AS$6&gt;0,$A140&lt;AS$6),AND(AS$7&gt;0,$A140&gt;AS$7)),0,MAX(0,ROUND((INDEX($E140:$G140,AS$5)-SUMIFS(TF_Timer,TF_Tekniker,AS$4,TF_Dato,$A140))*2,0)/2)))</f>
        <v/>
      </c>
      <c r="AT140">
        <f>IF(OR(AT$4="",$A140&gt;TODAY()),0,IF(OR(INDEX($B140:$D140,AT$5)="F",AND(AT$6&gt;0,$A140&lt;AT$6),AND(AT$7&gt;0,$A140&gt;AT$7)),0,MAX(0,ROUND((INDEX($E140:$G140,AT$5)-SUMIFS(TF_Timer,TF_Tekniker,AT$4,TF_Dato,$A140))*2,0)/2)))</f>
        <v/>
      </c>
      <c r="AU140">
        <f>IF(OR(AU$4="",$A140&gt;TODAY()),0,IF(OR(INDEX($B140:$D140,AU$5)="F",AND(AU$6&gt;0,$A140&lt;AU$6),AND(AU$7&gt;0,$A140&gt;AU$7)),0,MAX(0,ROUND((INDEX($E140:$G140,AU$5)-SUMIFS(TF_Timer,TF_Tekniker,AU$4,TF_Dato,$A140))*2,0)/2)))</f>
        <v/>
      </c>
      <c r="AV140">
        <f>IF(OR(AV$4="",$A140&gt;TODAY()),0,IF(OR(INDEX($B140:$D140,AV$5)="F",AND(AV$6&gt;0,$A140&lt;AV$6),AND(AV$7&gt;0,$A140&gt;AV$7)),0,MAX(0,ROUND((INDEX($E140:$G140,AV$5)-SUMIFS(TF_Timer,TF_Tekniker,AV$4,TF_Dato,$A140))*2,0)/2)))</f>
        <v/>
      </c>
      <c r="AW140">
        <f>IF(OR(AW$4="",$A140&gt;TODAY()),0,IF(OR(INDEX($B140:$D140,AW$5)="F",AND(AW$6&gt;0,$A140&lt;AW$6),AND(AW$7&gt;0,$A140&gt;AW$7)),0,MAX(0,ROUND((INDEX($E140:$G140,AW$5)-SUMIFS(TF_Timer,TF_Tekniker,AW$4,TF_Dato,$A140))*2,0)/2)))</f>
        <v/>
      </c>
      <c r="AX140">
        <f>IF(OR(AX$4="",$A140&gt;TODAY()),0,IF(OR(INDEX($B140:$D140,AX$5)="F",AND(AX$6&gt;0,$A140&lt;AX$6),AND(AX$7&gt;0,$A140&gt;AX$7)),0,MAX(0,ROUND((INDEX($E140:$G140,AX$5)-SUMIFS(TF_Timer,TF_Tekniker,AX$4,TF_Dato,$A140))*2,0)/2)))</f>
        <v/>
      </c>
      <c r="AY140">
        <f>IF(OR(AY$4="",$A140&gt;TODAY()),0,IF(OR(INDEX($B140:$D140,AY$5)="F",AND(AY$6&gt;0,$A140&lt;AY$6),AND(AY$7&gt;0,$A140&gt;AY$7)),0,MAX(0,ROUND((INDEX($E140:$G140,AY$5)-SUMIFS(TF_Timer,TF_Tekniker,AY$4,TF_Dato,$A140))*2,0)/2)))</f>
        <v/>
      </c>
      <c r="AZ140">
        <f>IF(OR(AZ$4="",$A140&gt;TODAY()),0,IF(OR(INDEX($B140:$D140,AZ$5)="F",AND(AZ$6&gt;0,$A140&lt;AZ$6),AND(AZ$7&gt;0,$A140&gt;AZ$7)),0,MAX(0,ROUND((INDEX($E140:$G140,AZ$5)-SUMIFS(TF_Timer,TF_Tekniker,AZ$4,TF_Dato,$A140))*2,0)/2)))</f>
        <v/>
      </c>
      <c r="BA140">
        <f>IF(OR(BA$4="",$A140&gt;TODAY()),0,IF(OR(INDEX($B140:$D140,BA$5)="F",AND(BA$6&gt;0,$A140&lt;BA$6),AND(BA$7&gt;0,$A140&gt;BA$7)),0,MAX(0,ROUND((INDEX($E140:$G140,BA$5)-SUMIFS(TF_Timer,TF_Tekniker,BA$4,TF_Dato,$A140))*2,0)/2)))</f>
        <v/>
      </c>
      <c r="BB140">
        <f>IF(OR(BB$4="",$A140&gt;TODAY()),0,IF(OR(INDEX($B140:$D140,BB$5)="F",AND(BB$6&gt;0,$A140&lt;BB$6),AND(BB$7&gt;0,$A140&gt;BB$7)),0,MAX(0,ROUND((INDEX($E140:$G140,BB$5)-SUMIFS(TF_Timer,TF_Tekniker,BB$4,TF_Dato,$A140))*2,0)/2)))</f>
        <v/>
      </c>
      <c r="BC140">
        <f>IF(OR(BC$4="",$A140&gt;TODAY()),0,IF(OR(INDEX($B140:$D140,BC$5)="F",AND(BC$6&gt;0,$A140&lt;BC$6),AND(BC$7&gt;0,$A140&gt;BC$7)),0,MAX(0,ROUND((INDEX($E140:$G140,BC$5)-SUMIFS(TF_Timer,TF_Tekniker,BC$4,TF_Dato,$A140))*2,0)/2)))</f>
        <v/>
      </c>
      <c r="BD140">
        <f>IF(OR(BD$4="",$A140&gt;TODAY()),0,IF(OR(INDEX($B140:$D140,BD$5)="F",AND(BD$6&gt;0,$A140&lt;BD$6),AND(BD$7&gt;0,$A140&gt;BD$7)),0,MAX(0,ROUND((INDEX($E140:$G140,BD$5)-SUMIFS(TF_Timer,TF_Tekniker,BD$4,TF_Dato,$A140))*2,0)/2)))</f>
        <v/>
      </c>
      <c r="BE140">
        <f>IF(OR(BE$4="",$A140&gt;TODAY()),0,IF(OR(INDEX($B140:$D140,BE$5)="F",AND(BE$6&gt;0,$A140&lt;BE$6),AND(BE$7&gt;0,$A140&gt;BE$7)),0,MAX(0,ROUND((INDEX($E140:$G140,BE$5)-SUMIFS(TF_Timer,TF_Tekniker,BE$4,TF_Dato,$A140))*2,0)/2)))</f>
        <v/>
      </c>
      <c r="BF140">
        <f>IF(OR(BF$4="",$A140&gt;TODAY()),0,IF(OR(INDEX($B140:$D140,BF$5)="F",AND(BF$6&gt;0,$A140&lt;BF$6),AND(BF$7&gt;0,$A140&gt;BF$7)),0,MAX(0,ROUND((INDEX($E140:$G140,BF$5)-SUMIFS(TF_Timer,TF_Tekniker,BF$4,TF_Dato,$A140))*2,0)/2)))</f>
        <v/>
      </c>
      <c r="BG140">
        <f>IF(OR(BG$4="",$A140&gt;TODAY()),0,IF(OR(INDEX($B140:$D140,BG$5)="F",AND(BG$6&gt;0,$A140&lt;BG$6),AND(BG$7&gt;0,$A140&gt;BG$7)),0,MAX(0,ROUND((INDEX($E140:$G140,BG$5)-SUMIFS(TF_Timer,TF_Tekniker,BG$4,TF_Dato,$A140))*2,0)/2)))</f>
        <v/>
      </c>
      <c r="BH140">
        <f>IF(OR(BH$4="",$A140&gt;TODAY()),0,IF(OR(INDEX($B140:$D140,BH$5)="F",AND(BH$6&gt;0,$A140&lt;BH$6),AND(BH$7&gt;0,$A140&gt;BH$7)),0,MAX(0,ROUND((INDEX($E140:$G140,BH$5)-SUMIFS(TF_Timer,TF_Tekniker,BH$4,TF_Dato,$A140))*2,0)/2)))</f>
        <v/>
      </c>
      <c r="BI140">
        <f>IF(OR(BI$4="",$A140&gt;TODAY()),0,IF(OR(INDEX($B140:$D140,BI$5)="F",AND(BI$6&gt;0,$A140&lt;BI$6),AND(BI$7&gt;0,$A140&gt;BI$7)),0,MAX(0,ROUND((INDEX($E140:$G140,BI$5)-SUMIFS(TF_Timer,TF_Tekniker,BI$4,TF_Dato,$A140))*2,0)/2)))</f>
        <v/>
      </c>
    </row>
    <row r="141">
      <c r="A141" s="64">
        <f>A140+1</f>
        <v/>
      </c>
      <c r="B141">
        <f>IF(MOD($A141-INDEX(SkiftStart,1),Syklus)&lt;DagK,"K",IF(MOD($A141-INDEX(SkiftStart,1),Syklus)&lt;DagK+DagH,"H",IF(MOD($A141-INDEX(SkiftStart,1),Syklus)&lt;DagK+DagH+DagD,"D","F")))</f>
        <v/>
      </c>
      <c r="C141">
        <f>IF(MOD($A141-INDEX(SkiftStart,2),Syklus)&lt;DagK,"K",IF(MOD($A141-INDEX(SkiftStart,2),Syklus)&lt;DagK+DagH,"H",IF(MOD($A141-INDEX(SkiftStart,2),Syklus)&lt;DagK+DagH+DagD,"D","F")))</f>
        <v/>
      </c>
      <c r="D141">
        <f>IF(MOD($A141-INDEX(SkiftStart,3),Syklus)&lt;DagK,"K",IF(MOD($A141-INDEX(SkiftStart,3),Syklus)&lt;DagK+DagH,"H",IF(MOD($A141-INDEX(SkiftStart,3),Syklus)&lt;DagK+DagH+DagD,"D","F")))</f>
        <v/>
      </c>
      <c r="E141">
        <f>IF(B141="F",0,IF(WEEKDAY($A141,2)=5,INDEX(TimerFr,MATCH(B141,FaseKode,0)),INDEX(TimerMT,MATCH(B141,FaseKode,0))))</f>
        <v/>
      </c>
      <c r="F141">
        <f>IF(C141="F",0,IF(WEEKDAY($A141,2)=5,INDEX(TimerFr,MATCH(C141,FaseKode,0)),INDEX(TimerMT,MATCH(C141,FaseKode,0))))</f>
        <v/>
      </c>
      <c r="G141">
        <f>IF(D141="F",0,IF(WEEKDAY($A141,2)=5,INDEX(TimerFr,MATCH(D141,FaseKode,0)),INDEX(TimerMT,MATCH(D141,FaseKode,0))))</f>
        <v/>
      </c>
      <c r="H141">
        <f>IF(OR(H$4="",$A141&gt;TODAY()),0,IF(OR(INDEX($B141:$D141,H$5)="F",AND(H$6&gt;0,$A141&lt;H$6),AND(H$7&gt;0,$A141&gt;H$7)),0,MAX(0,ROUND((INDEX($E141:$G141,H$5)-SUMIFS(TF_Timer,TF_Tekniker,H$4,TF_Dato,$A141))*2,0)/2)))</f>
        <v/>
      </c>
      <c r="I141">
        <f>IF(OR(I$4="",$A141&gt;TODAY()),0,IF(OR(INDEX($B141:$D141,I$5)="F",AND(I$6&gt;0,$A141&lt;I$6),AND(I$7&gt;0,$A141&gt;I$7)),0,MAX(0,ROUND((INDEX($E141:$G141,I$5)-SUMIFS(TF_Timer,TF_Tekniker,I$4,TF_Dato,$A141))*2,0)/2)))</f>
        <v/>
      </c>
      <c r="J141">
        <f>IF(OR(J$4="",$A141&gt;TODAY()),0,IF(OR(INDEX($B141:$D141,J$5)="F",AND(J$6&gt;0,$A141&lt;J$6),AND(J$7&gt;0,$A141&gt;J$7)),0,MAX(0,ROUND((INDEX($E141:$G141,J$5)-SUMIFS(TF_Timer,TF_Tekniker,J$4,TF_Dato,$A141))*2,0)/2)))</f>
        <v/>
      </c>
      <c r="K141">
        <f>IF(OR(K$4="",$A141&gt;TODAY()),0,IF(OR(INDEX($B141:$D141,K$5)="F",AND(K$6&gt;0,$A141&lt;K$6),AND(K$7&gt;0,$A141&gt;K$7)),0,MAX(0,ROUND((INDEX($E141:$G141,K$5)-SUMIFS(TF_Timer,TF_Tekniker,K$4,TF_Dato,$A141))*2,0)/2)))</f>
        <v/>
      </c>
      <c r="L141">
        <f>IF(OR(L$4="",$A141&gt;TODAY()),0,IF(OR(INDEX($B141:$D141,L$5)="F",AND(L$6&gt;0,$A141&lt;L$6),AND(L$7&gt;0,$A141&gt;L$7)),0,MAX(0,ROUND((INDEX($E141:$G141,L$5)-SUMIFS(TF_Timer,TF_Tekniker,L$4,TF_Dato,$A141))*2,0)/2)))</f>
        <v/>
      </c>
      <c r="M141">
        <f>IF(OR(M$4="",$A141&gt;TODAY()),0,IF(OR(INDEX($B141:$D141,M$5)="F",AND(M$6&gt;0,$A141&lt;M$6),AND(M$7&gt;0,$A141&gt;M$7)),0,MAX(0,ROUND((INDEX($E141:$G141,M$5)-SUMIFS(TF_Timer,TF_Tekniker,M$4,TF_Dato,$A141))*2,0)/2)))</f>
        <v/>
      </c>
      <c r="N141">
        <f>IF(OR(N$4="",$A141&gt;TODAY()),0,IF(OR(INDEX($B141:$D141,N$5)="F",AND(N$6&gt;0,$A141&lt;N$6),AND(N$7&gt;0,$A141&gt;N$7)),0,MAX(0,ROUND((INDEX($E141:$G141,N$5)-SUMIFS(TF_Timer,TF_Tekniker,N$4,TF_Dato,$A141))*2,0)/2)))</f>
        <v/>
      </c>
      <c r="O141">
        <f>IF(OR(O$4="",$A141&gt;TODAY()),0,IF(OR(INDEX($B141:$D141,O$5)="F",AND(O$6&gt;0,$A141&lt;O$6),AND(O$7&gt;0,$A141&gt;O$7)),0,MAX(0,ROUND((INDEX($E141:$G141,O$5)-SUMIFS(TF_Timer,TF_Tekniker,O$4,TF_Dato,$A141))*2,0)/2)))</f>
        <v/>
      </c>
      <c r="P141">
        <f>IF(OR(P$4="",$A141&gt;TODAY()),0,IF(OR(INDEX($B141:$D141,P$5)="F",AND(P$6&gt;0,$A141&lt;P$6),AND(P$7&gt;0,$A141&gt;P$7)),0,MAX(0,ROUND((INDEX($E141:$G141,P$5)-SUMIFS(TF_Timer,TF_Tekniker,P$4,TF_Dato,$A141))*2,0)/2)))</f>
        <v/>
      </c>
      <c r="Q141">
        <f>IF(OR(Q$4="",$A141&gt;TODAY()),0,IF(OR(INDEX($B141:$D141,Q$5)="F",AND(Q$6&gt;0,$A141&lt;Q$6),AND(Q$7&gt;0,$A141&gt;Q$7)),0,MAX(0,ROUND((INDEX($E141:$G141,Q$5)-SUMIFS(TF_Timer,TF_Tekniker,Q$4,TF_Dato,$A141))*2,0)/2)))</f>
        <v/>
      </c>
      <c r="R141">
        <f>IF(OR(R$4="",$A141&gt;TODAY()),0,IF(OR(INDEX($B141:$D141,R$5)="F",AND(R$6&gt;0,$A141&lt;R$6),AND(R$7&gt;0,$A141&gt;R$7)),0,MAX(0,ROUND((INDEX($E141:$G141,R$5)-SUMIFS(TF_Timer,TF_Tekniker,R$4,TF_Dato,$A141))*2,0)/2)))</f>
        <v/>
      </c>
      <c r="S141">
        <f>IF(OR(S$4="",$A141&gt;TODAY()),0,IF(OR(INDEX($B141:$D141,S$5)="F",AND(S$6&gt;0,$A141&lt;S$6),AND(S$7&gt;0,$A141&gt;S$7)),0,MAX(0,ROUND((INDEX($E141:$G141,S$5)-SUMIFS(TF_Timer,TF_Tekniker,S$4,TF_Dato,$A141))*2,0)/2)))</f>
        <v/>
      </c>
      <c r="T141">
        <f>IF(OR(T$4="",$A141&gt;TODAY()),0,IF(OR(INDEX($B141:$D141,T$5)="F",AND(T$6&gt;0,$A141&lt;T$6),AND(T$7&gt;0,$A141&gt;T$7)),0,MAX(0,ROUND((INDEX($E141:$G141,T$5)-SUMIFS(TF_Timer,TF_Tekniker,T$4,TF_Dato,$A141))*2,0)/2)))</f>
        <v/>
      </c>
      <c r="U141">
        <f>IF(OR(U$4="",$A141&gt;TODAY()),0,IF(OR(INDEX($B141:$D141,U$5)="F",AND(U$6&gt;0,$A141&lt;U$6),AND(U$7&gt;0,$A141&gt;U$7)),0,MAX(0,ROUND((INDEX($E141:$G141,U$5)-SUMIFS(TF_Timer,TF_Tekniker,U$4,TF_Dato,$A141))*2,0)/2)))</f>
        <v/>
      </c>
      <c r="V141">
        <f>IF(OR(V$4="",$A141&gt;TODAY()),0,IF(OR(INDEX($B141:$D141,V$5)="F",AND(V$6&gt;0,$A141&lt;V$6),AND(V$7&gt;0,$A141&gt;V$7)),0,MAX(0,ROUND((INDEX($E141:$G141,V$5)-SUMIFS(TF_Timer,TF_Tekniker,V$4,TF_Dato,$A141))*2,0)/2)))</f>
        <v/>
      </c>
      <c r="W141">
        <f>IF(OR(W$4="",$A141&gt;TODAY()),0,IF(OR(INDEX($B141:$D141,W$5)="F",AND(W$6&gt;0,$A141&lt;W$6),AND(W$7&gt;0,$A141&gt;W$7)),0,MAX(0,ROUND((INDEX($E141:$G141,W$5)-SUMIFS(TF_Timer,TF_Tekniker,W$4,TF_Dato,$A141))*2,0)/2)))</f>
        <v/>
      </c>
      <c r="X141">
        <f>IF(OR(X$4="",$A141&gt;TODAY()),0,IF(OR(INDEX($B141:$D141,X$5)="F",AND(X$6&gt;0,$A141&lt;X$6),AND(X$7&gt;0,$A141&gt;X$7)),0,MAX(0,ROUND((INDEX($E141:$G141,X$5)-SUMIFS(TF_Timer,TF_Tekniker,X$4,TF_Dato,$A141))*2,0)/2)))</f>
        <v/>
      </c>
      <c r="Y141">
        <f>IF(OR(Y$4="",$A141&gt;TODAY()),0,IF(OR(INDEX($B141:$D141,Y$5)="F",AND(Y$6&gt;0,$A141&lt;Y$6),AND(Y$7&gt;0,$A141&gt;Y$7)),0,MAX(0,ROUND((INDEX($E141:$G141,Y$5)-SUMIFS(TF_Timer,TF_Tekniker,Y$4,TF_Dato,$A141))*2,0)/2)))</f>
        <v/>
      </c>
      <c r="Z141">
        <f>IF(OR(Z$4="",$A141&gt;TODAY()),0,IF(OR(INDEX($B141:$D141,Z$5)="F",AND(Z$6&gt;0,$A141&lt;Z$6),AND(Z$7&gt;0,$A141&gt;Z$7)),0,MAX(0,ROUND((INDEX($E141:$G141,Z$5)-SUMIFS(TF_Timer,TF_Tekniker,Z$4,TF_Dato,$A141))*2,0)/2)))</f>
        <v/>
      </c>
      <c r="AA141">
        <f>IF(OR(AA$4="",$A141&gt;TODAY()),0,IF(OR(INDEX($B141:$D141,AA$5)="F",AND(AA$6&gt;0,$A141&lt;AA$6),AND(AA$7&gt;0,$A141&gt;AA$7)),0,MAX(0,ROUND((INDEX($E141:$G141,AA$5)-SUMIFS(TF_Timer,TF_Tekniker,AA$4,TF_Dato,$A141))*2,0)/2)))</f>
        <v/>
      </c>
      <c r="AB141">
        <f>IF(OR(AB$4="",$A141&gt;TODAY()),0,IF(OR(INDEX($B141:$D141,AB$5)="F",AND(AB$6&gt;0,$A141&lt;AB$6),AND(AB$7&gt;0,$A141&gt;AB$7)),0,MAX(0,ROUND((INDEX($E141:$G141,AB$5)-SUMIFS(TF_Timer,TF_Tekniker,AB$4,TF_Dato,$A141))*2,0)/2)))</f>
        <v/>
      </c>
      <c r="AC141">
        <f>IF(OR(AC$4="",$A141&gt;TODAY()),0,IF(OR(INDEX($B141:$D141,AC$5)="F",AND(AC$6&gt;0,$A141&lt;AC$6),AND(AC$7&gt;0,$A141&gt;AC$7)),0,MAX(0,ROUND((INDEX($E141:$G141,AC$5)-SUMIFS(TF_Timer,TF_Tekniker,AC$4,TF_Dato,$A141))*2,0)/2)))</f>
        <v/>
      </c>
      <c r="AD141">
        <f>IF(OR(AD$4="",$A141&gt;TODAY()),0,IF(OR(INDEX($B141:$D141,AD$5)="F",AND(AD$6&gt;0,$A141&lt;AD$6),AND(AD$7&gt;0,$A141&gt;AD$7)),0,MAX(0,ROUND((INDEX($E141:$G141,AD$5)-SUMIFS(TF_Timer,TF_Tekniker,AD$4,TF_Dato,$A141))*2,0)/2)))</f>
        <v/>
      </c>
      <c r="AE141">
        <f>IF(OR(AE$4="",$A141&gt;TODAY()),0,IF(OR(INDEX($B141:$D141,AE$5)="F",AND(AE$6&gt;0,$A141&lt;AE$6),AND(AE$7&gt;0,$A141&gt;AE$7)),0,MAX(0,ROUND((INDEX($E141:$G141,AE$5)-SUMIFS(TF_Timer,TF_Tekniker,AE$4,TF_Dato,$A141))*2,0)/2)))</f>
        <v/>
      </c>
      <c r="AF141">
        <f>IF(OR(AF$4="",$A141&gt;TODAY()),0,IF(OR(INDEX($B141:$D141,AF$5)="F",AND(AF$6&gt;0,$A141&lt;AF$6),AND(AF$7&gt;0,$A141&gt;AF$7)),0,MAX(0,ROUND((INDEX($E141:$G141,AF$5)-SUMIFS(TF_Timer,TF_Tekniker,AF$4,TF_Dato,$A141))*2,0)/2)))</f>
        <v/>
      </c>
      <c r="AG141">
        <f>IF(OR(AG$4="",$A141&gt;TODAY()),0,IF(OR(INDEX($B141:$D141,AG$5)="F",AND(AG$6&gt;0,$A141&lt;AG$6),AND(AG$7&gt;0,$A141&gt;AG$7)),0,MAX(0,ROUND((INDEX($E141:$G141,AG$5)-SUMIFS(TF_Timer,TF_Tekniker,AG$4,TF_Dato,$A141))*2,0)/2)))</f>
        <v/>
      </c>
      <c r="AH141">
        <f>IF(OR(AH$4="",$A141&gt;TODAY()),0,IF(OR(INDEX($B141:$D141,AH$5)="F",AND(AH$6&gt;0,$A141&lt;AH$6),AND(AH$7&gt;0,$A141&gt;AH$7)),0,MAX(0,ROUND((INDEX($E141:$G141,AH$5)-SUMIFS(TF_Timer,TF_Tekniker,AH$4,TF_Dato,$A141))*2,0)/2)))</f>
        <v/>
      </c>
      <c r="AI141">
        <f>IF(OR(AI$4="",$A141&gt;TODAY()),0,IF(OR(INDEX($B141:$D141,AI$5)="F",AND(AI$6&gt;0,$A141&lt;AI$6),AND(AI$7&gt;0,$A141&gt;AI$7)),0,MAX(0,ROUND((INDEX($E141:$G141,AI$5)-SUMIFS(TF_Timer,TF_Tekniker,AI$4,TF_Dato,$A141))*2,0)/2)))</f>
        <v/>
      </c>
      <c r="AJ141">
        <f>IF(OR(AJ$4="",$A141&gt;TODAY()),0,IF(OR(INDEX($B141:$D141,AJ$5)="F",AND(AJ$6&gt;0,$A141&lt;AJ$6),AND(AJ$7&gt;0,$A141&gt;AJ$7)),0,MAX(0,ROUND((INDEX($E141:$G141,AJ$5)-SUMIFS(TF_Timer,TF_Tekniker,AJ$4,TF_Dato,$A141))*2,0)/2)))</f>
        <v/>
      </c>
      <c r="AK141">
        <f>IF(OR(AK$4="",$A141&gt;TODAY()),0,IF(OR(INDEX($B141:$D141,AK$5)="F",AND(AK$6&gt;0,$A141&lt;AK$6),AND(AK$7&gt;0,$A141&gt;AK$7)),0,MAX(0,ROUND((INDEX($E141:$G141,AK$5)-SUMIFS(TF_Timer,TF_Tekniker,AK$4,TF_Dato,$A141))*2,0)/2)))</f>
        <v/>
      </c>
      <c r="AL141">
        <f>IF(OR(AL$4="",$A141&gt;TODAY()),0,IF(OR(INDEX($B141:$D141,AL$5)="F",AND(AL$6&gt;0,$A141&lt;AL$6),AND(AL$7&gt;0,$A141&gt;AL$7)),0,MAX(0,ROUND((INDEX($E141:$G141,AL$5)-SUMIFS(TF_Timer,TF_Tekniker,AL$4,TF_Dato,$A141))*2,0)/2)))</f>
        <v/>
      </c>
      <c r="AM141">
        <f>IF(OR(AM$4="",$A141&gt;TODAY()),0,IF(OR(INDEX($B141:$D141,AM$5)="F",AND(AM$6&gt;0,$A141&lt;AM$6),AND(AM$7&gt;0,$A141&gt;AM$7)),0,MAX(0,ROUND((INDEX($E141:$G141,AM$5)-SUMIFS(TF_Timer,TF_Tekniker,AM$4,TF_Dato,$A141))*2,0)/2)))</f>
        <v/>
      </c>
      <c r="AN141">
        <f>IF(OR(AN$4="",$A141&gt;TODAY()),0,IF(OR(INDEX($B141:$D141,AN$5)="F",AND(AN$6&gt;0,$A141&lt;AN$6),AND(AN$7&gt;0,$A141&gt;AN$7)),0,MAX(0,ROUND((INDEX($E141:$G141,AN$5)-SUMIFS(TF_Timer,TF_Tekniker,AN$4,TF_Dato,$A141))*2,0)/2)))</f>
        <v/>
      </c>
      <c r="AO141">
        <f>IF(OR(AO$4="",$A141&gt;TODAY()),0,IF(OR(INDEX($B141:$D141,AO$5)="F",AND(AO$6&gt;0,$A141&lt;AO$6),AND(AO$7&gt;0,$A141&gt;AO$7)),0,MAX(0,ROUND((INDEX($E141:$G141,AO$5)-SUMIFS(TF_Timer,TF_Tekniker,AO$4,TF_Dato,$A141))*2,0)/2)))</f>
        <v/>
      </c>
      <c r="AP141">
        <f>IF(OR(AP$4="",$A141&gt;TODAY()),0,IF(OR(INDEX($B141:$D141,AP$5)="F",AND(AP$6&gt;0,$A141&lt;AP$6),AND(AP$7&gt;0,$A141&gt;AP$7)),0,MAX(0,ROUND((INDEX($E141:$G141,AP$5)-SUMIFS(TF_Timer,TF_Tekniker,AP$4,TF_Dato,$A141))*2,0)/2)))</f>
        <v/>
      </c>
      <c r="AQ141">
        <f>IF(OR(AQ$4="",$A141&gt;TODAY()),0,IF(OR(INDEX($B141:$D141,AQ$5)="F",AND(AQ$6&gt;0,$A141&lt;AQ$6),AND(AQ$7&gt;0,$A141&gt;AQ$7)),0,MAX(0,ROUND((INDEX($E141:$G141,AQ$5)-SUMIFS(TF_Timer,TF_Tekniker,AQ$4,TF_Dato,$A141))*2,0)/2)))</f>
        <v/>
      </c>
      <c r="AR141">
        <f>IF(OR(AR$4="",$A141&gt;TODAY()),0,IF(OR(INDEX($B141:$D141,AR$5)="F",AND(AR$6&gt;0,$A141&lt;AR$6),AND(AR$7&gt;0,$A141&gt;AR$7)),0,MAX(0,ROUND((INDEX($E141:$G141,AR$5)-SUMIFS(TF_Timer,TF_Tekniker,AR$4,TF_Dato,$A141))*2,0)/2)))</f>
        <v/>
      </c>
      <c r="AS141">
        <f>IF(OR(AS$4="",$A141&gt;TODAY()),0,IF(OR(INDEX($B141:$D141,AS$5)="F",AND(AS$6&gt;0,$A141&lt;AS$6),AND(AS$7&gt;0,$A141&gt;AS$7)),0,MAX(0,ROUND((INDEX($E141:$G141,AS$5)-SUMIFS(TF_Timer,TF_Tekniker,AS$4,TF_Dato,$A141))*2,0)/2)))</f>
        <v/>
      </c>
      <c r="AT141">
        <f>IF(OR(AT$4="",$A141&gt;TODAY()),0,IF(OR(INDEX($B141:$D141,AT$5)="F",AND(AT$6&gt;0,$A141&lt;AT$6),AND(AT$7&gt;0,$A141&gt;AT$7)),0,MAX(0,ROUND((INDEX($E141:$G141,AT$5)-SUMIFS(TF_Timer,TF_Tekniker,AT$4,TF_Dato,$A141))*2,0)/2)))</f>
        <v/>
      </c>
      <c r="AU141">
        <f>IF(OR(AU$4="",$A141&gt;TODAY()),0,IF(OR(INDEX($B141:$D141,AU$5)="F",AND(AU$6&gt;0,$A141&lt;AU$6),AND(AU$7&gt;0,$A141&gt;AU$7)),0,MAX(0,ROUND((INDEX($E141:$G141,AU$5)-SUMIFS(TF_Timer,TF_Tekniker,AU$4,TF_Dato,$A141))*2,0)/2)))</f>
        <v/>
      </c>
      <c r="AV141">
        <f>IF(OR(AV$4="",$A141&gt;TODAY()),0,IF(OR(INDEX($B141:$D141,AV$5)="F",AND(AV$6&gt;0,$A141&lt;AV$6),AND(AV$7&gt;0,$A141&gt;AV$7)),0,MAX(0,ROUND((INDEX($E141:$G141,AV$5)-SUMIFS(TF_Timer,TF_Tekniker,AV$4,TF_Dato,$A141))*2,0)/2)))</f>
        <v/>
      </c>
      <c r="AW141">
        <f>IF(OR(AW$4="",$A141&gt;TODAY()),0,IF(OR(INDEX($B141:$D141,AW$5)="F",AND(AW$6&gt;0,$A141&lt;AW$6),AND(AW$7&gt;0,$A141&gt;AW$7)),0,MAX(0,ROUND((INDEX($E141:$G141,AW$5)-SUMIFS(TF_Timer,TF_Tekniker,AW$4,TF_Dato,$A141))*2,0)/2)))</f>
        <v/>
      </c>
      <c r="AX141">
        <f>IF(OR(AX$4="",$A141&gt;TODAY()),0,IF(OR(INDEX($B141:$D141,AX$5)="F",AND(AX$6&gt;0,$A141&lt;AX$6),AND(AX$7&gt;0,$A141&gt;AX$7)),0,MAX(0,ROUND((INDEX($E141:$G141,AX$5)-SUMIFS(TF_Timer,TF_Tekniker,AX$4,TF_Dato,$A141))*2,0)/2)))</f>
        <v/>
      </c>
      <c r="AY141">
        <f>IF(OR(AY$4="",$A141&gt;TODAY()),0,IF(OR(INDEX($B141:$D141,AY$5)="F",AND(AY$6&gt;0,$A141&lt;AY$6),AND(AY$7&gt;0,$A141&gt;AY$7)),0,MAX(0,ROUND((INDEX($E141:$G141,AY$5)-SUMIFS(TF_Timer,TF_Tekniker,AY$4,TF_Dato,$A141))*2,0)/2)))</f>
        <v/>
      </c>
      <c r="AZ141">
        <f>IF(OR(AZ$4="",$A141&gt;TODAY()),0,IF(OR(INDEX($B141:$D141,AZ$5)="F",AND(AZ$6&gt;0,$A141&lt;AZ$6),AND(AZ$7&gt;0,$A141&gt;AZ$7)),0,MAX(0,ROUND((INDEX($E141:$G141,AZ$5)-SUMIFS(TF_Timer,TF_Tekniker,AZ$4,TF_Dato,$A141))*2,0)/2)))</f>
        <v/>
      </c>
      <c r="BA141">
        <f>IF(OR(BA$4="",$A141&gt;TODAY()),0,IF(OR(INDEX($B141:$D141,BA$5)="F",AND(BA$6&gt;0,$A141&lt;BA$6),AND(BA$7&gt;0,$A141&gt;BA$7)),0,MAX(0,ROUND((INDEX($E141:$G141,BA$5)-SUMIFS(TF_Timer,TF_Tekniker,BA$4,TF_Dato,$A141))*2,0)/2)))</f>
        <v/>
      </c>
      <c r="BB141">
        <f>IF(OR(BB$4="",$A141&gt;TODAY()),0,IF(OR(INDEX($B141:$D141,BB$5)="F",AND(BB$6&gt;0,$A141&lt;BB$6),AND(BB$7&gt;0,$A141&gt;BB$7)),0,MAX(0,ROUND((INDEX($E141:$G141,BB$5)-SUMIFS(TF_Timer,TF_Tekniker,BB$4,TF_Dato,$A141))*2,0)/2)))</f>
        <v/>
      </c>
      <c r="BC141">
        <f>IF(OR(BC$4="",$A141&gt;TODAY()),0,IF(OR(INDEX($B141:$D141,BC$5)="F",AND(BC$6&gt;0,$A141&lt;BC$6),AND(BC$7&gt;0,$A141&gt;BC$7)),0,MAX(0,ROUND((INDEX($E141:$G141,BC$5)-SUMIFS(TF_Timer,TF_Tekniker,BC$4,TF_Dato,$A141))*2,0)/2)))</f>
        <v/>
      </c>
      <c r="BD141">
        <f>IF(OR(BD$4="",$A141&gt;TODAY()),0,IF(OR(INDEX($B141:$D141,BD$5)="F",AND(BD$6&gt;0,$A141&lt;BD$6),AND(BD$7&gt;0,$A141&gt;BD$7)),0,MAX(0,ROUND((INDEX($E141:$G141,BD$5)-SUMIFS(TF_Timer,TF_Tekniker,BD$4,TF_Dato,$A141))*2,0)/2)))</f>
        <v/>
      </c>
      <c r="BE141">
        <f>IF(OR(BE$4="",$A141&gt;TODAY()),0,IF(OR(INDEX($B141:$D141,BE$5)="F",AND(BE$6&gt;0,$A141&lt;BE$6),AND(BE$7&gt;0,$A141&gt;BE$7)),0,MAX(0,ROUND((INDEX($E141:$G141,BE$5)-SUMIFS(TF_Timer,TF_Tekniker,BE$4,TF_Dato,$A141))*2,0)/2)))</f>
        <v/>
      </c>
      <c r="BF141">
        <f>IF(OR(BF$4="",$A141&gt;TODAY()),0,IF(OR(INDEX($B141:$D141,BF$5)="F",AND(BF$6&gt;0,$A141&lt;BF$6),AND(BF$7&gt;0,$A141&gt;BF$7)),0,MAX(0,ROUND((INDEX($E141:$G141,BF$5)-SUMIFS(TF_Timer,TF_Tekniker,BF$4,TF_Dato,$A141))*2,0)/2)))</f>
        <v/>
      </c>
      <c r="BG141">
        <f>IF(OR(BG$4="",$A141&gt;TODAY()),0,IF(OR(INDEX($B141:$D141,BG$5)="F",AND(BG$6&gt;0,$A141&lt;BG$6),AND(BG$7&gt;0,$A141&gt;BG$7)),0,MAX(0,ROUND((INDEX($E141:$G141,BG$5)-SUMIFS(TF_Timer,TF_Tekniker,BG$4,TF_Dato,$A141))*2,0)/2)))</f>
        <v/>
      </c>
      <c r="BH141">
        <f>IF(OR(BH$4="",$A141&gt;TODAY()),0,IF(OR(INDEX($B141:$D141,BH$5)="F",AND(BH$6&gt;0,$A141&lt;BH$6),AND(BH$7&gt;0,$A141&gt;BH$7)),0,MAX(0,ROUND((INDEX($E141:$G141,BH$5)-SUMIFS(TF_Timer,TF_Tekniker,BH$4,TF_Dato,$A141))*2,0)/2)))</f>
        <v/>
      </c>
      <c r="BI141">
        <f>IF(OR(BI$4="",$A141&gt;TODAY()),0,IF(OR(INDEX($B141:$D141,BI$5)="F",AND(BI$6&gt;0,$A141&lt;BI$6),AND(BI$7&gt;0,$A141&gt;BI$7)),0,MAX(0,ROUND((INDEX($E141:$G141,BI$5)-SUMIFS(TF_Timer,TF_Tekniker,BI$4,TF_Dato,$A141))*2,0)/2)))</f>
        <v/>
      </c>
    </row>
    <row r="142">
      <c r="A142" s="64">
        <f>A141+1</f>
        <v/>
      </c>
      <c r="B142">
        <f>IF(MOD($A142-INDEX(SkiftStart,1),Syklus)&lt;DagK,"K",IF(MOD($A142-INDEX(SkiftStart,1),Syklus)&lt;DagK+DagH,"H",IF(MOD($A142-INDEX(SkiftStart,1),Syklus)&lt;DagK+DagH+DagD,"D","F")))</f>
        <v/>
      </c>
      <c r="C142">
        <f>IF(MOD($A142-INDEX(SkiftStart,2),Syklus)&lt;DagK,"K",IF(MOD($A142-INDEX(SkiftStart,2),Syklus)&lt;DagK+DagH,"H",IF(MOD($A142-INDEX(SkiftStart,2),Syklus)&lt;DagK+DagH+DagD,"D","F")))</f>
        <v/>
      </c>
      <c r="D142">
        <f>IF(MOD($A142-INDEX(SkiftStart,3),Syklus)&lt;DagK,"K",IF(MOD($A142-INDEX(SkiftStart,3),Syklus)&lt;DagK+DagH,"H",IF(MOD($A142-INDEX(SkiftStart,3),Syklus)&lt;DagK+DagH+DagD,"D","F")))</f>
        <v/>
      </c>
      <c r="E142">
        <f>IF(B142="F",0,IF(WEEKDAY($A142,2)=5,INDEX(TimerFr,MATCH(B142,FaseKode,0)),INDEX(TimerMT,MATCH(B142,FaseKode,0))))</f>
        <v/>
      </c>
      <c r="F142">
        <f>IF(C142="F",0,IF(WEEKDAY($A142,2)=5,INDEX(TimerFr,MATCH(C142,FaseKode,0)),INDEX(TimerMT,MATCH(C142,FaseKode,0))))</f>
        <v/>
      </c>
      <c r="G142">
        <f>IF(D142="F",0,IF(WEEKDAY($A142,2)=5,INDEX(TimerFr,MATCH(D142,FaseKode,0)),INDEX(TimerMT,MATCH(D142,FaseKode,0))))</f>
        <v/>
      </c>
      <c r="H142">
        <f>IF(OR(H$4="",$A142&gt;TODAY()),0,IF(OR(INDEX($B142:$D142,H$5)="F",AND(H$6&gt;0,$A142&lt;H$6),AND(H$7&gt;0,$A142&gt;H$7)),0,MAX(0,ROUND((INDEX($E142:$G142,H$5)-SUMIFS(TF_Timer,TF_Tekniker,H$4,TF_Dato,$A142))*2,0)/2)))</f>
        <v/>
      </c>
      <c r="I142">
        <f>IF(OR(I$4="",$A142&gt;TODAY()),0,IF(OR(INDEX($B142:$D142,I$5)="F",AND(I$6&gt;0,$A142&lt;I$6),AND(I$7&gt;0,$A142&gt;I$7)),0,MAX(0,ROUND((INDEX($E142:$G142,I$5)-SUMIFS(TF_Timer,TF_Tekniker,I$4,TF_Dato,$A142))*2,0)/2)))</f>
        <v/>
      </c>
      <c r="J142">
        <f>IF(OR(J$4="",$A142&gt;TODAY()),0,IF(OR(INDEX($B142:$D142,J$5)="F",AND(J$6&gt;0,$A142&lt;J$6),AND(J$7&gt;0,$A142&gt;J$7)),0,MAX(0,ROUND((INDEX($E142:$G142,J$5)-SUMIFS(TF_Timer,TF_Tekniker,J$4,TF_Dato,$A142))*2,0)/2)))</f>
        <v/>
      </c>
      <c r="K142">
        <f>IF(OR(K$4="",$A142&gt;TODAY()),0,IF(OR(INDEX($B142:$D142,K$5)="F",AND(K$6&gt;0,$A142&lt;K$6),AND(K$7&gt;0,$A142&gt;K$7)),0,MAX(0,ROUND((INDEX($E142:$G142,K$5)-SUMIFS(TF_Timer,TF_Tekniker,K$4,TF_Dato,$A142))*2,0)/2)))</f>
        <v/>
      </c>
      <c r="L142">
        <f>IF(OR(L$4="",$A142&gt;TODAY()),0,IF(OR(INDEX($B142:$D142,L$5)="F",AND(L$6&gt;0,$A142&lt;L$6),AND(L$7&gt;0,$A142&gt;L$7)),0,MAX(0,ROUND((INDEX($E142:$G142,L$5)-SUMIFS(TF_Timer,TF_Tekniker,L$4,TF_Dato,$A142))*2,0)/2)))</f>
        <v/>
      </c>
      <c r="M142">
        <f>IF(OR(M$4="",$A142&gt;TODAY()),0,IF(OR(INDEX($B142:$D142,M$5)="F",AND(M$6&gt;0,$A142&lt;M$6),AND(M$7&gt;0,$A142&gt;M$7)),0,MAX(0,ROUND((INDEX($E142:$G142,M$5)-SUMIFS(TF_Timer,TF_Tekniker,M$4,TF_Dato,$A142))*2,0)/2)))</f>
        <v/>
      </c>
      <c r="N142">
        <f>IF(OR(N$4="",$A142&gt;TODAY()),0,IF(OR(INDEX($B142:$D142,N$5)="F",AND(N$6&gt;0,$A142&lt;N$6),AND(N$7&gt;0,$A142&gt;N$7)),0,MAX(0,ROUND((INDEX($E142:$G142,N$5)-SUMIFS(TF_Timer,TF_Tekniker,N$4,TF_Dato,$A142))*2,0)/2)))</f>
        <v/>
      </c>
      <c r="O142">
        <f>IF(OR(O$4="",$A142&gt;TODAY()),0,IF(OR(INDEX($B142:$D142,O$5)="F",AND(O$6&gt;0,$A142&lt;O$6),AND(O$7&gt;0,$A142&gt;O$7)),0,MAX(0,ROUND((INDEX($E142:$G142,O$5)-SUMIFS(TF_Timer,TF_Tekniker,O$4,TF_Dato,$A142))*2,0)/2)))</f>
        <v/>
      </c>
      <c r="P142">
        <f>IF(OR(P$4="",$A142&gt;TODAY()),0,IF(OR(INDEX($B142:$D142,P$5)="F",AND(P$6&gt;0,$A142&lt;P$6),AND(P$7&gt;0,$A142&gt;P$7)),0,MAX(0,ROUND((INDEX($E142:$G142,P$5)-SUMIFS(TF_Timer,TF_Tekniker,P$4,TF_Dato,$A142))*2,0)/2)))</f>
        <v/>
      </c>
      <c r="Q142">
        <f>IF(OR(Q$4="",$A142&gt;TODAY()),0,IF(OR(INDEX($B142:$D142,Q$5)="F",AND(Q$6&gt;0,$A142&lt;Q$6),AND(Q$7&gt;0,$A142&gt;Q$7)),0,MAX(0,ROUND((INDEX($E142:$G142,Q$5)-SUMIFS(TF_Timer,TF_Tekniker,Q$4,TF_Dato,$A142))*2,0)/2)))</f>
        <v/>
      </c>
      <c r="R142">
        <f>IF(OR(R$4="",$A142&gt;TODAY()),0,IF(OR(INDEX($B142:$D142,R$5)="F",AND(R$6&gt;0,$A142&lt;R$6),AND(R$7&gt;0,$A142&gt;R$7)),0,MAX(0,ROUND((INDEX($E142:$G142,R$5)-SUMIFS(TF_Timer,TF_Tekniker,R$4,TF_Dato,$A142))*2,0)/2)))</f>
        <v/>
      </c>
      <c r="S142">
        <f>IF(OR(S$4="",$A142&gt;TODAY()),0,IF(OR(INDEX($B142:$D142,S$5)="F",AND(S$6&gt;0,$A142&lt;S$6),AND(S$7&gt;0,$A142&gt;S$7)),0,MAX(0,ROUND((INDEX($E142:$G142,S$5)-SUMIFS(TF_Timer,TF_Tekniker,S$4,TF_Dato,$A142))*2,0)/2)))</f>
        <v/>
      </c>
      <c r="T142">
        <f>IF(OR(T$4="",$A142&gt;TODAY()),0,IF(OR(INDEX($B142:$D142,T$5)="F",AND(T$6&gt;0,$A142&lt;T$6),AND(T$7&gt;0,$A142&gt;T$7)),0,MAX(0,ROUND((INDEX($E142:$G142,T$5)-SUMIFS(TF_Timer,TF_Tekniker,T$4,TF_Dato,$A142))*2,0)/2)))</f>
        <v/>
      </c>
      <c r="U142">
        <f>IF(OR(U$4="",$A142&gt;TODAY()),0,IF(OR(INDEX($B142:$D142,U$5)="F",AND(U$6&gt;0,$A142&lt;U$6),AND(U$7&gt;0,$A142&gt;U$7)),0,MAX(0,ROUND((INDEX($E142:$G142,U$5)-SUMIFS(TF_Timer,TF_Tekniker,U$4,TF_Dato,$A142))*2,0)/2)))</f>
        <v/>
      </c>
      <c r="V142">
        <f>IF(OR(V$4="",$A142&gt;TODAY()),0,IF(OR(INDEX($B142:$D142,V$5)="F",AND(V$6&gt;0,$A142&lt;V$6),AND(V$7&gt;0,$A142&gt;V$7)),0,MAX(0,ROUND((INDEX($E142:$G142,V$5)-SUMIFS(TF_Timer,TF_Tekniker,V$4,TF_Dato,$A142))*2,0)/2)))</f>
        <v/>
      </c>
      <c r="W142">
        <f>IF(OR(W$4="",$A142&gt;TODAY()),0,IF(OR(INDEX($B142:$D142,W$5)="F",AND(W$6&gt;0,$A142&lt;W$6),AND(W$7&gt;0,$A142&gt;W$7)),0,MAX(0,ROUND((INDEX($E142:$G142,W$5)-SUMIFS(TF_Timer,TF_Tekniker,W$4,TF_Dato,$A142))*2,0)/2)))</f>
        <v/>
      </c>
      <c r="X142">
        <f>IF(OR(X$4="",$A142&gt;TODAY()),0,IF(OR(INDEX($B142:$D142,X$5)="F",AND(X$6&gt;0,$A142&lt;X$6),AND(X$7&gt;0,$A142&gt;X$7)),0,MAX(0,ROUND((INDEX($E142:$G142,X$5)-SUMIFS(TF_Timer,TF_Tekniker,X$4,TF_Dato,$A142))*2,0)/2)))</f>
        <v/>
      </c>
      <c r="Y142">
        <f>IF(OR(Y$4="",$A142&gt;TODAY()),0,IF(OR(INDEX($B142:$D142,Y$5)="F",AND(Y$6&gt;0,$A142&lt;Y$6),AND(Y$7&gt;0,$A142&gt;Y$7)),0,MAX(0,ROUND((INDEX($E142:$G142,Y$5)-SUMIFS(TF_Timer,TF_Tekniker,Y$4,TF_Dato,$A142))*2,0)/2)))</f>
        <v/>
      </c>
      <c r="Z142">
        <f>IF(OR(Z$4="",$A142&gt;TODAY()),0,IF(OR(INDEX($B142:$D142,Z$5)="F",AND(Z$6&gt;0,$A142&lt;Z$6),AND(Z$7&gt;0,$A142&gt;Z$7)),0,MAX(0,ROUND((INDEX($E142:$G142,Z$5)-SUMIFS(TF_Timer,TF_Tekniker,Z$4,TF_Dato,$A142))*2,0)/2)))</f>
        <v/>
      </c>
      <c r="AA142">
        <f>IF(OR(AA$4="",$A142&gt;TODAY()),0,IF(OR(INDEX($B142:$D142,AA$5)="F",AND(AA$6&gt;0,$A142&lt;AA$6),AND(AA$7&gt;0,$A142&gt;AA$7)),0,MAX(0,ROUND((INDEX($E142:$G142,AA$5)-SUMIFS(TF_Timer,TF_Tekniker,AA$4,TF_Dato,$A142))*2,0)/2)))</f>
        <v/>
      </c>
      <c r="AB142">
        <f>IF(OR(AB$4="",$A142&gt;TODAY()),0,IF(OR(INDEX($B142:$D142,AB$5)="F",AND(AB$6&gt;0,$A142&lt;AB$6),AND(AB$7&gt;0,$A142&gt;AB$7)),0,MAX(0,ROUND((INDEX($E142:$G142,AB$5)-SUMIFS(TF_Timer,TF_Tekniker,AB$4,TF_Dato,$A142))*2,0)/2)))</f>
        <v/>
      </c>
      <c r="AC142">
        <f>IF(OR(AC$4="",$A142&gt;TODAY()),0,IF(OR(INDEX($B142:$D142,AC$5)="F",AND(AC$6&gt;0,$A142&lt;AC$6),AND(AC$7&gt;0,$A142&gt;AC$7)),0,MAX(0,ROUND((INDEX($E142:$G142,AC$5)-SUMIFS(TF_Timer,TF_Tekniker,AC$4,TF_Dato,$A142))*2,0)/2)))</f>
        <v/>
      </c>
      <c r="AD142">
        <f>IF(OR(AD$4="",$A142&gt;TODAY()),0,IF(OR(INDEX($B142:$D142,AD$5)="F",AND(AD$6&gt;0,$A142&lt;AD$6),AND(AD$7&gt;0,$A142&gt;AD$7)),0,MAX(0,ROUND((INDEX($E142:$G142,AD$5)-SUMIFS(TF_Timer,TF_Tekniker,AD$4,TF_Dato,$A142))*2,0)/2)))</f>
        <v/>
      </c>
      <c r="AE142">
        <f>IF(OR(AE$4="",$A142&gt;TODAY()),0,IF(OR(INDEX($B142:$D142,AE$5)="F",AND(AE$6&gt;0,$A142&lt;AE$6),AND(AE$7&gt;0,$A142&gt;AE$7)),0,MAX(0,ROUND((INDEX($E142:$G142,AE$5)-SUMIFS(TF_Timer,TF_Tekniker,AE$4,TF_Dato,$A142))*2,0)/2)))</f>
        <v/>
      </c>
      <c r="AF142">
        <f>IF(OR(AF$4="",$A142&gt;TODAY()),0,IF(OR(INDEX($B142:$D142,AF$5)="F",AND(AF$6&gt;0,$A142&lt;AF$6),AND(AF$7&gt;0,$A142&gt;AF$7)),0,MAX(0,ROUND((INDEX($E142:$G142,AF$5)-SUMIFS(TF_Timer,TF_Tekniker,AF$4,TF_Dato,$A142))*2,0)/2)))</f>
        <v/>
      </c>
      <c r="AG142">
        <f>IF(OR(AG$4="",$A142&gt;TODAY()),0,IF(OR(INDEX($B142:$D142,AG$5)="F",AND(AG$6&gt;0,$A142&lt;AG$6),AND(AG$7&gt;0,$A142&gt;AG$7)),0,MAX(0,ROUND((INDEX($E142:$G142,AG$5)-SUMIFS(TF_Timer,TF_Tekniker,AG$4,TF_Dato,$A142))*2,0)/2)))</f>
        <v/>
      </c>
      <c r="AH142">
        <f>IF(OR(AH$4="",$A142&gt;TODAY()),0,IF(OR(INDEX($B142:$D142,AH$5)="F",AND(AH$6&gt;0,$A142&lt;AH$6),AND(AH$7&gt;0,$A142&gt;AH$7)),0,MAX(0,ROUND((INDEX($E142:$G142,AH$5)-SUMIFS(TF_Timer,TF_Tekniker,AH$4,TF_Dato,$A142))*2,0)/2)))</f>
        <v/>
      </c>
      <c r="AI142">
        <f>IF(OR(AI$4="",$A142&gt;TODAY()),0,IF(OR(INDEX($B142:$D142,AI$5)="F",AND(AI$6&gt;0,$A142&lt;AI$6),AND(AI$7&gt;0,$A142&gt;AI$7)),0,MAX(0,ROUND((INDEX($E142:$G142,AI$5)-SUMIFS(TF_Timer,TF_Tekniker,AI$4,TF_Dato,$A142))*2,0)/2)))</f>
        <v/>
      </c>
      <c r="AJ142">
        <f>IF(OR(AJ$4="",$A142&gt;TODAY()),0,IF(OR(INDEX($B142:$D142,AJ$5)="F",AND(AJ$6&gt;0,$A142&lt;AJ$6),AND(AJ$7&gt;0,$A142&gt;AJ$7)),0,MAX(0,ROUND((INDEX($E142:$G142,AJ$5)-SUMIFS(TF_Timer,TF_Tekniker,AJ$4,TF_Dato,$A142))*2,0)/2)))</f>
        <v/>
      </c>
      <c r="AK142">
        <f>IF(OR(AK$4="",$A142&gt;TODAY()),0,IF(OR(INDEX($B142:$D142,AK$5)="F",AND(AK$6&gt;0,$A142&lt;AK$6),AND(AK$7&gt;0,$A142&gt;AK$7)),0,MAX(0,ROUND((INDEX($E142:$G142,AK$5)-SUMIFS(TF_Timer,TF_Tekniker,AK$4,TF_Dato,$A142))*2,0)/2)))</f>
        <v/>
      </c>
      <c r="AL142">
        <f>IF(OR(AL$4="",$A142&gt;TODAY()),0,IF(OR(INDEX($B142:$D142,AL$5)="F",AND(AL$6&gt;0,$A142&lt;AL$6),AND(AL$7&gt;0,$A142&gt;AL$7)),0,MAX(0,ROUND((INDEX($E142:$G142,AL$5)-SUMIFS(TF_Timer,TF_Tekniker,AL$4,TF_Dato,$A142))*2,0)/2)))</f>
        <v/>
      </c>
      <c r="AM142">
        <f>IF(OR(AM$4="",$A142&gt;TODAY()),0,IF(OR(INDEX($B142:$D142,AM$5)="F",AND(AM$6&gt;0,$A142&lt;AM$6),AND(AM$7&gt;0,$A142&gt;AM$7)),0,MAX(0,ROUND((INDEX($E142:$G142,AM$5)-SUMIFS(TF_Timer,TF_Tekniker,AM$4,TF_Dato,$A142))*2,0)/2)))</f>
        <v/>
      </c>
      <c r="AN142">
        <f>IF(OR(AN$4="",$A142&gt;TODAY()),0,IF(OR(INDEX($B142:$D142,AN$5)="F",AND(AN$6&gt;0,$A142&lt;AN$6),AND(AN$7&gt;0,$A142&gt;AN$7)),0,MAX(0,ROUND((INDEX($E142:$G142,AN$5)-SUMIFS(TF_Timer,TF_Tekniker,AN$4,TF_Dato,$A142))*2,0)/2)))</f>
        <v/>
      </c>
      <c r="AO142">
        <f>IF(OR(AO$4="",$A142&gt;TODAY()),0,IF(OR(INDEX($B142:$D142,AO$5)="F",AND(AO$6&gt;0,$A142&lt;AO$6),AND(AO$7&gt;0,$A142&gt;AO$7)),0,MAX(0,ROUND((INDEX($E142:$G142,AO$5)-SUMIFS(TF_Timer,TF_Tekniker,AO$4,TF_Dato,$A142))*2,0)/2)))</f>
        <v/>
      </c>
      <c r="AP142">
        <f>IF(OR(AP$4="",$A142&gt;TODAY()),0,IF(OR(INDEX($B142:$D142,AP$5)="F",AND(AP$6&gt;0,$A142&lt;AP$6),AND(AP$7&gt;0,$A142&gt;AP$7)),0,MAX(0,ROUND((INDEX($E142:$G142,AP$5)-SUMIFS(TF_Timer,TF_Tekniker,AP$4,TF_Dato,$A142))*2,0)/2)))</f>
        <v/>
      </c>
      <c r="AQ142">
        <f>IF(OR(AQ$4="",$A142&gt;TODAY()),0,IF(OR(INDEX($B142:$D142,AQ$5)="F",AND(AQ$6&gt;0,$A142&lt;AQ$6),AND(AQ$7&gt;0,$A142&gt;AQ$7)),0,MAX(0,ROUND((INDEX($E142:$G142,AQ$5)-SUMIFS(TF_Timer,TF_Tekniker,AQ$4,TF_Dato,$A142))*2,0)/2)))</f>
        <v/>
      </c>
      <c r="AR142">
        <f>IF(OR(AR$4="",$A142&gt;TODAY()),0,IF(OR(INDEX($B142:$D142,AR$5)="F",AND(AR$6&gt;0,$A142&lt;AR$6),AND(AR$7&gt;0,$A142&gt;AR$7)),0,MAX(0,ROUND((INDEX($E142:$G142,AR$5)-SUMIFS(TF_Timer,TF_Tekniker,AR$4,TF_Dato,$A142))*2,0)/2)))</f>
        <v/>
      </c>
      <c r="AS142">
        <f>IF(OR(AS$4="",$A142&gt;TODAY()),0,IF(OR(INDEX($B142:$D142,AS$5)="F",AND(AS$6&gt;0,$A142&lt;AS$6),AND(AS$7&gt;0,$A142&gt;AS$7)),0,MAX(0,ROUND((INDEX($E142:$G142,AS$5)-SUMIFS(TF_Timer,TF_Tekniker,AS$4,TF_Dato,$A142))*2,0)/2)))</f>
        <v/>
      </c>
      <c r="AT142">
        <f>IF(OR(AT$4="",$A142&gt;TODAY()),0,IF(OR(INDEX($B142:$D142,AT$5)="F",AND(AT$6&gt;0,$A142&lt;AT$6),AND(AT$7&gt;0,$A142&gt;AT$7)),0,MAX(0,ROUND((INDEX($E142:$G142,AT$5)-SUMIFS(TF_Timer,TF_Tekniker,AT$4,TF_Dato,$A142))*2,0)/2)))</f>
        <v/>
      </c>
      <c r="AU142">
        <f>IF(OR(AU$4="",$A142&gt;TODAY()),0,IF(OR(INDEX($B142:$D142,AU$5)="F",AND(AU$6&gt;0,$A142&lt;AU$6),AND(AU$7&gt;0,$A142&gt;AU$7)),0,MAX(0,ROUND((INDEX($E142:$G142,AU$5)-SUMIFS(TF_Timer,TF_Tekniker,AU$4,TF_Dato,$A142))*2,0)/2)))</f>
        <v/>
      </c>
      <c r="AV142">
        <f>IF(OR(AV$4="",$A142&gt;TODAY()),0,IF(OR(INDEX($B142:$D142,AV$5)="F",AND(AV$6&gt;0,$A142&lt;AV$6),AND(AV$7&gt;0,$A142&gt;AV$7)),0,MAX(0,ROUND((INDEX($E142:$G142,AV$5)-SUMIFS(TF_Timer,TF_Tekniker,AV$4,TF_Dato,$A142))*2,0)/2)))</f>
        <v/>
      </c>
      <c r="AW142">
        <f>IF(OR(AW$4="",$A142&gt;TODAY()),0,IF(OR(INDEX($B142:$D142,AW$5)="F",AND(AW$6&gt;0,$A142&lt;AW$6),AND(AW$7&gt;0,$A142&gt;AW$7)),0,MAX(0,ROUND((INDEX($E142:$G142,AW$5)-SUMIFS(TF_Timer,TF_Tekniker,AW$4,TF_Dato,$A142))*2,0)/2)))</f>
        <v/>
      </c>
      <c r="AX142">
        <f>IF(OR(AX$4="",$A142&gt;TODAY()),0,IF(OR(INDEX($B142:$D142,AX$5)="F",AND(AX$6&gt;0,$A142&lt;AX$6),AND(AX$7&gt;0,$A142&gt;AX$7)),0,MAX(0,ROUND((INDEX($E142:$G142,AX$5)-SUMIFS(TF_Timer,TF_Tekniker,AX$4,TF_Dato,$A142))*2,0)/2)))</f>
        <v/>
      </c>
      <c r="AY142">
        <f>IF(OR(AY$4="",$A142&gt;TODAY()),0,IF(OR(INDEX($B142:$D142,AY$5)="F",AND(AY$6&gt;0,$A142&lt;AY$6),AND(AY$7&gt;0,$A142&gt;AY$7)),0,MAX(0,ROUND((INDEX($E142:$G142,AY$5)-SUMIFS(TF_Timer,TF_Tekniker,AY$4,TF_Dato,$A142))*2,0)/2)))</f>
        <v/>
      </c>
      <c r="AZ142">
        <f>IF(OR(AZ$4="",$A142&gt;TODAY()),0,IF(OR(INDEX($B142:$D142,AZ$5)="F",AND(AZ$6&gt;0,$A142&lt;AZ$6),AND(AZ$7&gt;0,$A142&gt;AZ$7)),0,MAX(0,ROUND((INDEX($E142:$G142,AZ$5)-SUMIFS(TF_Timer,TF_Tekniker,AZ$4,TF_Dato,$A142))*2,0)/2)))</f>
        <v/>
      </c>
      <c r="BA142">
        <f>IF(OR(BA$4="",$A142&gt;TODAY()),0,IF(OR(INDEX($B142:$D142,BA$5)="F",AND(BA$6&gt;0,$A142&lt;BA$6),AND(BA$7&gt;0,$A142&gt;BA$7)),0,MAX(0,ROUND((INDEX($E142:$G142,BA$5)-SUMIFS(TF_Timer,TF_Tekniker,BA$4,TF_Dato,$A142))*2,0)/2)))</f>
        <v/>
      </c>
      <c r="BB142">
        <f>IF(OR(BB$4="",$A142&gt;TODAY()),0,IF(OR(INDEX($B142:$D142,BB$5)="F",AND(BB$6&gt;0,$A142&lt;BB$6),AND(BB$7&gt;0,$A142&gt;BB$7)),0,MAX(0,ROUND((INDEX($E142:$G142,BB$5)-SUMIFS(TF_Timer,TF_Tekniker,BB$4,TF_Dato,$A142))*2,0)/2)))</f>
        <v/>
      </c>
      <c r="BC142">
        <f>IF(OR(BC$4="",$A142&gt;TODAY()),0,IF(OR(INDEX($B142:$D142,BC$5)="F",AND(BC$6&gt;0,$A142&lt;BC$6),AND(BC$7&gt;0,$A142&gt;BC$7)),0,MAX(0,ROUND((INDEX($E142:$G142,BC$5)-SUMIFS(TF_Timer,TF_Tekniker,BC$4,TF_Dato,$A142))*2,0)/2)))</f>
        <v/>
      </c>
      <c r="BD142">
        <f>IF(OR(BD$4="",$A142&gt;TODAY()),0,IF(OR(INDEX($B142:$D142,BD$5)="F",AND(BD$6&gt;0,$A142&lt;BD$6),AND(BD$7&gt;0,$A142&gt;BD$7)),0,MAX(0,ROUND((INDEX($E142:$G142,BD$5)-SUMIFS(TF_Timer,TF_Tekniker,BD$4,TF_Dato,$A142))*2,0)/2)))</f>
        <v/>
      </c>
      <c r="BE142">
        <f>IF(OR(BE$4="",$A142&gt;TODAY()),0,IF(OR(INDEX($B142:$D142,BE$5)="F",AND(BE$6&gt;0,$A142&lt;BE$6),AND(BE$7&gt;0,$A142&gt;BE$7)),0,MAX(0,ROUND((INDEX($E142:$G142,BE$5)-SUMIFS(TF_Timer,TF_Tekniker,BE$4,TF_Dato,$A142))*2,0)/2)))</f>
        <v/>
      </c>
      <c r="BF142">
        <f>IF(OR(BF$4="",$A142&gt;TODAY()),0,IF(OR(INDEX($B142:$D142,BF$5)="F",AND(BF$6&gt;0,$A142&lt;BF$6),AND(BF$7&gt;0,$A142&gt;BF$7)),0,MAX(0,ROUND((INDEX($E142:$G142,BF$5)-SUMIFS(TF_Timer,TF_Tekniker,BF$4,TF_Dato,$A142))*2,0)/2)))</f>
        <v/>
      </c>
      <c r="BG142">
        <f>IF(OR(BG$4="",$A142&gt;TODAY()),0,IF(OR(INDEX($B142:$D142,BG$5)="F",AND(BG$6&gt;0,$A142&lt;BG$6),AND(BG$7&gt;0,$A142&gt;BG$7)),0,MAX(0,ROUND((INDEX($E142:$G142,BG$5)-SUMIFS(TF_Timer,TF_Tekniker,BG$4,TF_Dato,$A142))*2,0)/2)))</f>
        <v/>
      </c>
      <c r="BH142">
        <f>IF(OR(BH$4="",$A142&gt;TODAY()),0,IF(OR(INDEX($B142:$D142,BH$5)="F",AND(BH$6&gt;0,$A142&lt;BH$6),AND(BH$7&gt;0,$A142&gt;BH$7)),0,MAX(0,ROUND((INDEX($E142:$G142,BH$5)-SUMIFS(TF_Timer,TF_Tekniker,BH$4,TF_Dato,$A142))*2,0)/2)))</f>
        <v/>
      </c>
      <c r="BI142">
        <f>IF(OR(BI$4="",$A142&gt;TODAY()),0,IF(OR(INDEX($B142:$D142,BI$5)="F",AND(BI$6&gt;0,$A142&lt;BI$6),AND(BI$7&gt;0,$A142&gt;BI$7)),0,MAX(0,ROUND((INDEX($E142:$G142,BI$5)-SUMIFS(TF_Timer,TF_Tekniker,BI$4,TF_Dato,$A142))*2,0)/2)))</f>
        <v/>
      </c>
    </row>
    <row r="143">
      <c r="A143" s="64">
        <f>A142+1</f>
        <v/>
      </c>
      <c r="B143">
        <f>IF(MOD($A143-INDEX(SkiftStart,1),Syklus)&lt;DagK,"K",IF(MOD($A143-INDEX(SkiftStart,1),Syklus)&lt;DagK+DagH,"H",IF(MOD($A143-INDEX(SkiftStart,1),Syklus)&lt;DagK+DagH+DagD,"D","F")))</f>
        <v/>
      </c>
      <c r="C143">
        <f>IF(MOD($A143-INDEX(SkiftStart,2),Syklus)&lt;DagK,"K",IF(MOD($A143-INDEX(SkiftStart,2),Syklus)&lt;DagK+DagH,"H",IF(MOD($A143-INDEX(SkiftStart,2),Syklus)&lt;DagK+DagH+DagD,"D","F")))</f>
        <v/>
      </c>
      <c r="D143">
        <f>IF(MOD($A143-INDEX(SkiftStart,3),Syklus)&lt;DagK,"K",IF(MOD($A143-INDEX(SkiftStart,3),Syklus)&lt;DagK+DagH,"H",IF(MOD($A143-INDEX(SkiftStart,3),Syklus)&lt;DagK+DagH+DagD,"D","F")))</f>
        <v/>
      </c>
      <c r="E143">
        <f>IF(B143="F",0,IF(WEEKDAY($A143,2)=5,INDEX(TimerFr,MATCH(B143,FaseKode,0)),INDEX(TimerMT,MATCH(B143,FaseKode,0))))</f>
        <v/>
      </c>
      <c r="F143">
        <f>IF(C143="F",0,IF(WEEKDAY($A143,2)=5,INDEX(TimerFr,MATCH(C143,FaseKode,0)),INDEX(TimerMT,MATCH(C143,FaseKode,0))))</f>
        <v/>
      </c>
      <c r="G143">
        <f>IF(D143="F",0,IF(WEEKDAY($A143,2)=5,INDEX(TimerFr,MATCH(D143,FaseKode,0)),INDEX(TimerMT,MATCH(D143,FaseKode,0))))</f>
        <v/>
      </c>
      <c r="H143">
        <f>IF(OR(H$4="",$A143&gt;TODAY()),0,IF(OR(INDEX($B143:$D143,H$5)="F",AND(H$6&gt;0,$A143&lt;H$6),AND(H$7&gt;0,$A143&gt;H$7)),0,MAX(0,ROUND((INDEX($E143:$G143,H$5)-SUMIFS(TF_Timer,TF_Tekniker,H$4,TF_Dato,$A143))*2,0)/2)))</f>
        <v/>
      </c>
      <c r="I143">
        <f>IF(OR(I$4="",$A143&gt;TODAY()),0,IF(OR(INDEX($B143:$D143,I$5)="F",AND(I$6&gt;0,$A143&lt;I$6),AND(I$7&gt;0,$A143&gt;I$7)),0,MAX(0,ROUND((INDEX($E143:$G143,I$5)-SUMIFS(TF_Timer,TF_Tekniker,I$4,TF_Dato,$A143))*2,0)/2)))</f>
        <v/>
      </c>
      <c r="J143">
        <f>IF(OR(J$4="",$A143&gt;TODAY()),0,IF(OR(INDEX($B143:$D143,J$5)="F",AND(J$6&gt;0,$A143&lt;J$6),AND(J$7&gt;0,$A143&gt;J$7)),0,MAX(0,ROUND((INDEX($E143:$G143,J$5)-SUMIFS(TF_Timer,TF_Tekniker,J$4,TF_Dato,$A143))*2,0)/2)))</f>
        <v/>
      </c>
      <c r="K143">
        <f>IF(OR(K$4="",$A143&gt;TODAY()),0,IF(OR(INDEX($B143:$D143,K$5)="F",AND(K$6&gt;0,$A143&lt;K$6),AND(K$7&gt;0,$A143&gt;K$7)),0,MAX(0,ROUND((INDEX($E143:$G143,K$5)-SUMIFS(TF_Timer,TF_Tekniker,K$4,TF_Dato,$A143))*2,0)/2)))</f>
        <v/>
      </c>
      <c r="L143">
        <f>IF(OR(L$4="",$A143&gt;TODAY()),0,IF(OR(INDEX($B143:$D143,L$5)="F",AND(L$6&gt;0,$A143&lt;L$6),AND(L$7&gt;0,$A143&gt;L$7)),0,MAX(0,ROUND((INDEX($E143:$G143,L$5)-SUMIFS(TF_Timer,TF_Tekniker,L$4,TF_Dato,$A143))*2,0)/2)))</f>
        <v/>
      </c>
      <c r="M143">
        <f>IF(OR(M$4="",$A143&gt;TODAY()),0,IF(OR(INDEX($B143:$D143,M$5)="F",AND(M$6&gt;0,$A143&lt;M$6),AND(M$7&gt;0,$A143&gt;M$7)),0,MAX(0,ROUND((INDEX($E143:$G143,M$5)-SUMIFS(TF_Timer,TF_Tekniker,M$4,TF_Dato,$A143))*2,0)/2)))</f>
        <v/>
      </c>
      <c r="N143">
        <f>IF(OR(N$4="",$A143&gt;TODAY()),0,IF(OR(INDEX($B143:$D143,N$5)="F",AND(N$6&gt;0,$A143&lt;N$6),AND(N$7&gt;0,$A143&gt;N$7)),0,MAX(0,ROUND((INDEX($E143:$G143,N$5)-SUMIFS(TF_Timer,TF_Tekniker,N$4,TF_Dato,$A143))*2,0)/2)))</f>
        <v/>
      </c>
      <c r="O143">
        <f>IF(OR(O$4="",$A143&gt;TODAY()),0,IF(OR(INDEX($B143:$D143,O$5)="F",AND(O$6&gt;0,$A143&lt;O$6),AND(O$7&gt;0,$A143&gt;O$7)),0,MAX(0,ROUND((INDEX($E143:$G143,O$5)-SUMIFS(TF_Timer,TF_Tekniker,O$4,TF_Dato,$A143))*2,0)/2)))</f>
        <v/>
      </c>
      <c r="P143">
        <f>IF(OR(P$4="",$A143&gt;TODAY()),0,IF(OR(INDEX($B143:$D143,P$5)="F",AND(P$6&gt;0,$A143&lt;P$6),AND(P$7&gt;0,$A143&gt;P$7)),0,MAX(0,ROUND((INDEX($E143:$G143,P$5)-SUMIFS(TF_Timer,TF_Tekniker,P$4,TF_Dato,$A143))*2,0)/2)))</f>
        <v/>
      </c>
      <c r="Q143">
        <f>IF(OR(Q$4="",$A143&gt;TODAY()),0,IF(OR(INDEX($B143:$D143,Q$5)="F",AND(Q$6&gt;0,$A143&lt;Q$6),AND(Q$7&gt;0,$A143&gt;Q$7)),0,MAX(0,ROUND((INDEX($E143:$G143,Q$5)-SUMIFS(TF_Timer,TF_Tekniker,Q$4,TF_Dato,$A143))*2,0)/2)))</f>
        <v/>
      </c>
      <c r="R143">
        <f>IF(OR(R$4="",$A143&gt;TODAY()),0,IF(OR(INDEX($B143:$D143,R$5)="F",AND(R$6&gt;0,$A143&lt;R$6),AND(R$7&gt;0,$A143&gt;R$7)),0,MAX(0,ROUND((INDEX($E143:$G143,R$5)-SUMIFS(TF_Timer,TF_Tekniker,R$4,TF_Dato,$A143))*2,0)/2)))</f>
        <v/>
      </c>
      <c r="S143">
        <f>IF(OR(S$4="",$A143&gt;TODAY()),0,IF(OR(INDEX($B143:$D143,S$5)="F",AND(S$6&gt;0,$A143&lt;S$6),AND(S$7&gt;0,$A143&gt;S$7)),0,MAX(0,ROUND((INDEX($E143:$G143,S$5)-SUMIFS(TF_Timer,TF_Tekniker,S$4,TF_Dato,$A143))*2,0)/2)))</f>
        <v/>
      </c>
      <c r="T143">
        <f>IF(OR(T$4="",$A143&gt;TODAY()),0,IF(OR(INDEX($B143:$D143,T$5)="F",AND(T$6&gt;0,$A143&lt;T$6),AND(T$7&gt;0,$A143&gt;T$7)),0,MAX(0,ROUND((INDEX($E143:$G143,T$5)-SUMIFS(TF_Timer,TF_Tekniker,T$4,TF_Dato,$A143))*2,0)/2)))</f>
        <v/>
      </c>
      <c r="U143">
        <f>IF(OR(U$4="",$A143&gt;TODAY()),0,IF(OR(INDEX($B143:$D143,U$5)="F",AND(U$6&gt;0,$A143&lt;U$6),AND(U$7&gt;0,$A143&gt;U$7)),0,MAX(0,ROUND((INDEX($E143:$G143,U$5)-SUMIFS(TF_Timer,TF_Tekniker,U$4,TF_Dato,$A143))*2,0)/2)))</f>
        <v/>
      </c>
      <c r="V143">
        <f>IF(OR(V$4="",$A143&gt;TODAY()),0,IF(OR(INDEX($B143:$D143,V$5)="F",AND(V$6&gt;0,$A143&lt;V$6),AND(V$7&gt;0,$A143&gt;V$7)),0,MAX(0,ROUND((INDEX($E143:$G143,V$5)-SUMIFS(TF_Timer,TF_Tekniker,V$4,TF_Dato,$A143))*2,0)/2)))</f>
        <v/>
      </c>
      <c r="W143">
        <f>IF(OR(W$4="",$A143&gt;TODAY()),0,IF(OR(INDEX($B143:$D143,W$5)="F",AND(W$6&gt;0,$A143&lt;W$6),AND(W$7&gt;0,$A143&gt;W$7)),0,MAX(0,ROUND((INDEX($E143:$G143,W$5)-SUMIFS(TF_Timer,TF_Tekniker,W$4,TF_Dato,$A143))*2,0)/2)))</f>
        <v/>
      </c>
      <c r="X143">
        <f>IF(OR(X$4="",$A143&gt;TODAY()),0,IF(OR(INDEX($B143:$D143,X$5)="F",AND(X$6&gt;0,$A143&lt;X$6),AND(X$7&gt;0,$A143&gt;X$7)),0,MAX(0,ROUND((INDEX($E143:$G143,X$5)-SUMIFS(TF_Timer,TF_Tekniker,X$4,TF_Dato,$A143))*2,0)/2)))</f>
        <v/>
      </c>
      <c r="Y143">
        <f>IF(OR(Y$4="",$A143&gt;TODAY()),0,IF(OR(INDEX($B143:$D143,Y$5)="F",AND(Y$6&gt;0,$A143&lt;Y$6),AND(Y$7&gt;0,$A143&gt;Y$7)),0,MAX(0,ROUND((INDEX($E143:$G143,Y$5)-SUMIFS(TF_Timer,TF_Tekniker,Y$4,TF_Dato,$A143))*2,0)/2)))</f>
        <v/>
      </c>
      <c r="Z143">
        <f>IF(OR(Z$4="",$A143&gt;TODAY()),0,IF(OR(INDEX($B143:$D143,Z$5)="F",AND(Z$6&gt;0,$A143&lt;Z$6),AND(Z$7&gt;0,$A143&gt;Z$7)),0,MAX(0,ROUND((INDEX($E143:$G143,Z$5)-SUMIFS(TF_Timer,TF_Tekniker,Z$4,TF_Dato,$A143))*2,0)/2)))</f>
        <v/>
      </c>
      <c r="AA143">
        <f>IF(OR(AA$4="",$A143&gt;TODAY()),0,IF(OR(INDEX($B143:$D143,AA$5)="F",AND(AA$6&gt;0,$A143&lt;AA$6),AND(AA$7&gt;0,$A143&gt;AA$7)),0,MAX(0,ROUND((INDEX($E143:$G143,AA$5)-SUMIFS(TF_Timer,TF_Tekniker,AA$4,TF_Dato,$A143))*2,0)/2)))</f>
        <v/>
      </c>
      <c r="AB143">
        <f>IF(OR(AB$4="",$A143&gt;TODAY()),0,IF(OR(INDEX($B143:$D143,AB$5)="F",AND(AB$6&gt;0,$A143&lt;AB$6),AND(AB$7&gt;0,$A143&gt;AB$7)),0,MAX(0,ROUND((INDEX($E143:$G143,AB$5)-SUMIFS(TF_Timer,TF_Tekniker,AB$4,TF_Dato,$A143))*2,0)/2)))</f>
        <v/>
      </c>
      <c r="AC143">
        <f>IF(OR(AC$4="",$A143&gt;TODAY()),0,IF(OR(INDEX($B143:$D143,AC$5)="F",AND(AC$6&gt;0,$A143&lt;AC$6),AND(AC$7&gt;0,$A143&gt;AC$7)),0,MAX(0,ROUND((INDEX($E143:$G143,AC$5)-SUMIFS(TF_Timer,TF_Tekniker,AC$4,TF_Dato,$A143))*2,0)/2)))</f>
        <v/>
      </c>
      <c r="AD143">
        <f>IF(OR(AD$4="",$A143&gt;TODAY()),0,IF(OR(INDEX($B143:$D143,AD$5)="F",AND(AD$6&gt;0,$A143&lt;AD$6),AND(AD$7&gt;0,$A143&gt;AD$7)),0,MAX(0,ROUND((INDEX($E143:$G143,AD$5)-SUMIFS(TF_Timer,TF_Tekniker,AD$4,TF_Dato,$A143))*2,0)/2)))</f>
        <v/>
      </c>
      <c r="AE143">
        <f>IF(OR(AE$4="",$A143&gt;TODAY()),0,IF(OR(INDEX($B143:$D143,AE$5)="F",AND(AE$6&gt;0,$A143&lt;AE$6),AND(AE$7&gt;0,$A143&gt;AE$7)),0,MAX(0,ROUND((INDEX($E143:$G143,AE$5)-SUMIFS(TF_Timer,TF_Tekniker,AE$4,TF_Dato,$A143))*2,0)/2)))</f>
        <v/>
      </c>
      <c r="AF143">
        <f>IF(OR(AF$4="",$A143&gt;TODAY()),0,IF(OR(INDEX($B143:$D143,AF$5)="F",AND(AF$6&gt;0,$A143&lt;AF$6),AND(AF$7&gt;0,$A143&gt;AF$7)),0,MAX(0,ROUND((INDEX($E143:$G143,AF$5)-SUMIFS(TF_Timer,TF_Tekniker,AF$4,TF_Dato,$A143))*2,0)/2)))</f>
        <v/>
      </c>
      <c r="AG143">
        <f>IF(OR(AG$4="",$A143&gt;TODAY()),0,IF(OR(INDEX($B143:$D143,AG$5)="F",AND(AG$6&gt;0,$A143&lt;AG$6),AND(AG$7&gt;0,$A143&gt;AG$7)),0,MAX(0,ROUND((INDEX($E143:$G143,AG$5)-SUMIFS(TF_Timer,TF_Tekniker,AG$4,TF_Dato,$A143))*2,0)/2)))</f>
        <v/>
      </c>
      <c r="AH143">
        <f>IF(OR(AH$4="",$A143&gt;TODAY()),0,IF(OR(INDEX($B143:$D143,AH$5)="F",AND(AH$6&gt;0,$A143&lt;AH$6),AND(AH$7&gt;0,$A143&gt;AH$7)),0,MAX(0,ROUND((INDEX($E143:$G143,AH$5)-SUMIFS(TF_Timer,TF_Tekniker,AH$4,TF_Dato,$A143))*2,0)/2)))</f>
        <v/>
      </c>
      <c r="AI143">
        <f>IF(OR(AI$4="",$A143&gt;TODAY()),0,IF(OR(INDEX($B143:$D143,AI$5)="F",AND(AI$6&gt;0,$A143&lt;AI$6),AND(AI$7&gt;0,$A143&gt;AI$7)),0,MAX(0,ROUND((INDEX($E143:$G143,AI$5)-SUMIFS(TF_Timer,TF_Tekniker,AI$4,TF_Dato,$A143))*2,0)/2)))</f>
        <v/>
      </c>
      <c r="AJ143">
        <f>IF(OR(AJ$4="",$A143&gt;TODAY()),0,IF(OR(INDEX($B143:$D143,AJ$5)="F",AND(AJ$6&gt;0,$A143&lt;AJ$6),AND(AJ$7&gt;0,$A143&gt;AJ$7)),0,MAX(0,ROUND((INDEX($E143:$G143,AJ$5)-SUMIFS(TF_Timer,TF_Tekniker,AJ$4,TF_Dato,$A143))*2,0)/2)))</f>
        <v/>
      </c>
      <c r="AK143">
        <f>IF(OR(AK$4="",$A143&gt;TODAY()),0,IF(OR(INDEX($B143:$D143,AK$5)="F",AND(AK$6&gt;0,$A143&lt;AK$6),AND(AK$7&gt;0,$A143&gt;AK$7)),0,MAX(0,ROUND((INDEX($E143:$G143,AK$5)-SUMIFS(TF_Timer,TF_Tekniker,AK$4,TF_Dato,$A143))*2,0)/2)))</f>
        <v/>
      </c>
      <c r="AL143">
        <f>IF(OR(AL$4="",$A143&gt;TODAY()),0,IF(OR(INDEX($B143:$D143,AL$5)="F",AND(AL$6&gt;0,$A143&lt;AL$6),AND(AL$7&gt;0,$A143&gt;AL$7)),0,MAX(0,ROUND((INDEX($E143:$G143,AL$5)-SUMIFS(TF_Timer,TF_Tekniker,AL$4,TF_Dato,$A143))*2,0)/2)))</f>
        <v/>
      </c>
      <c r="AM143">
        <f>IF(OR(AM$4="",$A143&gt;TODAY()),0,IF(OR(INDEX($B143:$D143,AM$5)="F",AND(AM$6&gt;0,$A143&lt;AM$6),AND(AM$7&gt;0,$A143&gt;AM$7)),0,MAX(0,ROUND((INDEX($E143:$G143,AM$5)-SUMIFS(TF_Timer,TF_Tekniker,AM$4,TF_Dato,$A143))*2,0)/2)))</f>
        <v/>
      </c>
      <c r="AN143">
        <f>IF(OR(AN$4="",$A143&gt;TODAY()),0,IF(OR(INDEX($B143:$D143,AN$5)="F",AND(AN$6&gt;0,$A143&lt;AN$6),AND(AN$7&gt;0,$A143&gt;AN$7)),0,MAX(0,ROUND((INDEX($E143:$G143,AN$5)-SUMIFS(TF_Timer,TF_Tekniker,AN$4,TF_Dato,$A143))*2,0)/2)))</f>
        <v/>
      </c>
      <c r="AO143">
        <f>IF(OR(AO$4="",$A143&gt;TODAY()),0,IF(OR(INDEX($B143:$D143,AO$5)="F",AND(AO$6&gt;0,$A143&lt;AO$6),AND(AO$7&gt;0,$A143&gt;AO$7)),0,MAX(0,ROUND((INDEX($E143:$G143,AO$5)-SUMIFS(TF_Timer,TF_Tekniker,AO$4,TF_Dato,$A143))*2,0)/2)))</f>
        <v/>
      </c>
      <c r="AP143">
        <f>IF(OR(AP$4="",$A143&gt;TODAY()),0,IF(OR(INDEX($B143:$D143,AP$5)="F",AND(AP$6&gt;0,$A143&lt;AP$6),AND(AP$7&gt;0,$A143&gt;AP$7)),0,MAX(0,ROUND((INDEX($E143:$G143,AP$5)-SUMIFS(TF_Timer,TF_Tekniker,AP$4,TF_Dato,$A143))*2,0)/2)))</f>
        <v/>
      </c>
      <c r="AQ143">
        <f>IF(OR(AQ$4="",$A143&gt;TODAY()),0,IF(OR(INDEX($B143:$D143,AQ$5)="F",AND(AQ$6&gt;0,$A143&lt;AQ$6),AND(AQ$7&gt;0,$A143&gt;AQ$7)),0,MAX(0,ROUND((INDEX($E143:$G143,AQ$5)-SUMIFS(TF_Timer,TF_Tekniker,AQ$4,TF_Dato,$A143))*2,0)/2)))</f>
        <v/>
      </c>
      <c r="AR143">
        <f>IF(OR(AR$4="",$A143&gt;TODAY()),0,IF(OR(INDEX($B143:$D143,AR$5)="F",AND(AR$6&gt;0,$A143&lt;AR$6),AND(AR$7&gt;0,$A143&gt;AR$7)),0,MAX(0,ROUND((INDEX($E143:$G143,AR$5)-SUMIFS(TF_Timer,TF_Tekniker,AR$4,TF_Dato,$A143))*2,0)/2)))</f>
        <v/>
      </c>
      <c r="AS143">
        <f>IF(OR(AS$4="",$A143&gt;TODAY()),0,IF(OR(INDEX($B143:$D143,AS$5)="F",AND(AS$6&gt;0,$A143&lt;AS$6),AND(AS$7&gt;0,$A143&gt;AS$7)),0,MAX(0,ROUND((INDEX($E143:$G143,AS$5)-SUMIFS(TF_Timer,TF_Tekniker,AS$4,TF_Dato,$A143))*2,0)/2)))</f>
        <v/>
      </c>
      <c r="AT143">
        <f>IF(OR(AT$4="",$A143&gt;TODAY()),0,IF(OR(INDEX($B143:$D143,AT$5)="F",AND(AT$6&gt;0,$A143&lt;AT$6),AND(AT$7&gt;0,$A143&gt;AT$7)),0,MAX(0,ROUND((INDEX($E143:$G143,AT$5)-SUMIFS(TF_Timer,TF_Tekniker,AT$4,TF_Dato,$A143))*2,0)/2)))</f>
        <v/>
      </c>
      <c r="AU143">
        <f>IF(OR(AU$4="",$A143&gt;TODAY()),0,IF(OR(INDEX($B143:$D143,AU$5)="F",AND(AU$6&gt;0,$A143&lt;AU$6),AND(AU$7&gt;0,$A143&gt;AU$7)),0,MAX(0,ROUND((INDEX($E143:$G143,AU$5)-SUMIFS(TF_Timer,TF_Tekniker,AU$4,TF_Dato,$A143))*2,0)/2)))</f>
        <v/>
      </c>
      <c r="AV143">
        <f>IF(OR(AV$4="",$A143&gt;TODAY()),0,IF(OR(INDEX($B143:$D143,AV$5)="F",AND(AV$6&gt;0,$A143&lt;AV$6),AND(AV$7&gt;0,$A143&gt;AV$7)),0,MAX(0,ROUND((INDEX($E143:$G143,AV$5)-SUMIFS(TF_Timer,TF_Tekniker,AV$4,TF_Dato,$A143))*2,0)/2)))</f>
        <v/>
      </c>
      <c r="AW143">
        <f>IF(OR(AW$4="",$A143&gt;TODAY()),0,IF(OR(INDEX($B143:$D143,AW$5)="F",AND(AW$6&gt;0,$A143&lt;AW$6),AND(AW$7&gt;0,$A143&gt;AW$7)),0,MAX(0,ROUND((INDEX($E143:$G143,AW$5)-SUMIFS(TF_Timer,TF_Tekniker,AW$4,TF_Dato,$A143))*2,0)/2)))</f>
        <v/>
      </c>
      <c r="AX143">
        <f>IF(OR(AX$4="",$A143&gt;TODAY()),0,IF(OR(INDEX($B143:$D143,AX$5)="F",AND(AX$6&gt;0,$A143&lt;AX$6),AND(AX$7&gt;0,$A143&gt;AX$7)),0,MAX(0,ROUND((INDEX($E143:$G143,AX$5)-SUMIFS(TF_Timer,TF_Tekniker,AX$4,TF_Dato,$A143))*2,0)/2)))</f>
        <v/>
      </c>
      <c r="AY143">
        <f>IF(OR(AY$4="",$A143&gt;TODAY()),0,IF(OR(INDEX($B143:$D143,AY$5)="F",AND(AY$6&gt;0,$A143&lt;AY$6),AND(AY$7&gt;0,$A143&gt;AY$7)),0,MAX(0,ROUND((INDEX($E143:$G143,AY$5)-SUMIFS(TF_Timer,TF_Tekniker,AY$4,TF_Dato,$A143))*2,0)/2)))</f>
        <v/>
      </c>
      <c r="AZ143">
        <f>IF(OR(AZ$4="",$A143&gt;TODAY()),0,IF(OR(INDEX($B143:$D143,AZ$5)="F",AND(AZ$6&gt;0,$A143&lt;AZ$6),AND(AZ$7&gt;0,$A143&gt;AZ$7)),0,MAX(0,ROUND((INDEX($E143:$G143,AZ$5)-SUMIFS(TF_Timer,TF_Tekniker,AZ$4,TF_Dato,$A143))*2,0)/2)))</f>
        <v/>
      </c>
      <c r="BA143">
        <f>IF(OR(BA$4="",$A143&gt;TODAY()),0,IF(OR(INDEX($B143:$D143,BA$5)="F",AND(BA$6&gt;0,$A143&lt;BA$6),AND(BA$7&gt;0,$A143&gt;BA$7)),0,MAX(0,ROUND((INDEX($E143:$G143,BA$5)-SUMIFS(TF_Timer,TF_Tekniker,BA$4,TF_Dato,$A143))*2,0)/2)))</f>
        <v/>
      </c>
      <c r="BB143">
        <f>IF(OR(BB$4="",$A143&gt;TODAY()),0,IF(OR(INDEX($B143:$D143,BB$5)="F",AND(BB$6&gt;0,$A143&lt;BB$6),AND(BB$7&gt;0,$A143&gt;BB$7)),0,MAX(0,ROUND((INDEX($E143:$G143,BB$5)-SUMIFS(TF_Timer,TF_Tekniker,BB$4,TF_Dato,$A143))*2,0)/2)))</f>
        <v/>
      </c>
      <c r="BC143">
        <f>IF(OR(BC$4="",$A143&gt;TODAY()),0,IF(OR(INDEX($B143:$D143,BC$5)="F",AND(BC$6&gt;0,$A143&lt;BC$6),AND(BC$7&gt;0,$A143&gt;BC$7)),0,MAX(0,ROUND((INDEX($E143:$G143,BC$5)-SUMIFS(TF_Timer,TF_Tekniker,BC$4,TF_Dato,$A143))*2,0)/2)))</f>
        <v/>
      </c>
      <c r="BD143">
        <f>IF(OR(BD$4="",$A143&gt;TODAY()),0,IF(OR(INDEX($B143:$D143,BD$5)="F",AND(BD$6&gt;0,$A143&lt;BD$6),AND(BD$7&gt;0,$A143&gt;BD$7)),0,MAX(0,ROUND((INDEX($E143:$G143,BD$5)-SUMIFS(TF_Timer,TF_Tekniker,BD$4,TF_Dato,$A143))*2,0)/2)))</f>
        <v/>
      </c>
      <c r="BE143">
        <f>IF(OR(BE$4="",$A143&gt;TODAY()),0,IF(OR(INDEX($B143:$D143,BE$5)="F",AND(BE$6&gt;0,$A143&lt;BE$6),AND(BE$7&gt;0,$A143&gt;BE$7)),0,MAX(0,ROUND((INDEX($E143:$G143,BE$5)-SUMIFS(TF_Timer,TF_Tekniker,BE$4,TF_Dato,$A143))*2,0)/2)))</f>
        <v/>
      </c>
      <c r="BF143">
        <f>IF(OR(BF$4="",$A143&gt;TODAY()),0,IF(OR(INDEX($B143:$D143,BF$5)="F",AND(BF$6&gt;0,$A143&lt;BF$6),AND(BF$7&gt;0,$A143&gt;BF$7)),0,MAX(0,ROUND((INDEX($E143:$G143,BF$5)-SUMIFS(TF_Timer,TF_Tekniker,BF$4,TF_Dato,$A143))*2,0)/2)))</f>
        <v/>
      </c>
      <c r="BG143">
        <f>IF(OR(BG$4="",$A143&gt;TODAY()),0,IF(OR(INDEX($B143:$D143,BG$5)="F",AND(BG$6&gt;0,$A143&lt;BG$6),AND(BG$7&gt;0,$A143&gt;BG$7)),0,MAX(0,ROUND((INDEX($E143:$G143,BG$5)-SUMIFS(TF_Timer,TF_Tekniker,BG$4,TF_Dato,$A143))*2,0)/2)))</f>
        <v/>
      </c>
      <c r="BH143">
        <f>IF(OR(BH$4="",$A143&gt;TODAY()),0,IF(OR(INDEX($B143:$D143,BH$5)="F",AND(BH$6&gt;0,$A143&lt;BH$6),AND(BH$7&gt;0,$A143&gt;BH$7)),0,MAX(0,ROUND((INDEX($E143:$G143,BH$5)-SUMIFS(TF_Timer,TF_Tekniker,BH$4,TF_Dato,$A143))*2,0)/2)))</f>
        <v/>
      </c>
      <c r="BI143">
        <f>IF(OR(BI$4="",$A143&gt;TODAY()),0,IF(OR(INDEX($B143:$D143,BI$5)="F",AND(BI$6&gt;0,$A143&lt;BI$6),AND(BI$7&gt;0,$A143&gt;BI$7)),0,MAX(0,ROUND((INDEX($E143:$G143,BI$5)-SUMIFS(TF_Timer,TF_Tekniker,BI$4,TF_Dato,$A143))*2,0)/2)))</f>
        <v/>
      </c>
    </row>
    <row r="144">
      <c r="A144" s="64">
        <f>A143+1</f>
        <v/>
      </c>
      <c r="B144">
        <f>IF(MOD($A144-INDEX(SkiftStart,1),Syklus)&lt;DagK,"K",IF(MOD($A144-INDEX(SkiftStart,1),Syklus)&lt;DagK+DagH,"H",IF(MOD($A144-INDEX(SkiftStart,1),Syklus)&lt;DagK+DagH+DagD,"D","F")))</f>
        <v/>
      </c>
      <c r="C144">
        <f>IF(MOD($A144-INDEX(SkiftStart,2),Syklus)&lt;DagK,"K",IF(MOD($A144-INDEX(SkiftStart,2),Syklus)&lt;DagK+DagH,"H",IF(MOD($A144-INDEX(SkiftStart,2),Syklus)&lt;DagK+DagH+DagD,"D","F")))</f>
        <v/>
      </c>
      <c r="D144">
        <f>IF(MOD($A144-INDEX(SkiftStart,3),Syklus)&lt;DagK,"K",IF(MOD($A144-INDEX(SkiftStart,3),Syklus)&lt;DagK+DagH,"H",IF(MOD($A144-INDEX(SkiftStart,3),Syklus)&lt;DagK+DagH+DagD,"D","F")))</f>
        <v/>
      </c>
      <c r="E144">
        <f>IF(B144="F",0,IF(WEEKDAY($A144,2)=5,INDEX(TimerFr,MATCH(B144,FaseKode,0)),INDEX(TimerMT,MATCH(B144,FaseKode,0))))</f>
        <v/>
      </c>
      <c r="F144">
        <f>IF(C144="F",0,IF(WEEKDAY($A144,2)=5,INDEX(TimerFr,MATCH(C144,FaseKode,0)),INDEX(TimerMT,MATCH(C144,FaseKode,0))))</f>
        <v/>
      </c>
      <c r="G144">
        <f>IF(D144="F",0,IF(WEEKDAY($A144,2)=5,INDEX(TimerFr,MATCH(D144,FaseKode,0)),INDEX(TimerMT,MATCH(D144,FaseKode,0))))</f>
        <v/>
      </c>
      <c r="H144">
        <f>IF(OR(H$4="",$A144&gt;TODAY()),0,IF(OR(INDEX($B144:$D144,H$5)="F",AND(H$6&gt;0,$A144&lt;H$6),AND(H$7&gt;0,$A144&gt;H$7)),0,MAX(0,ROUND((INDEX($E144:$G144,H$5)-SUMIFS(TF_Timer,TF_Tekniker,H$4,TF_Dato,$A144))*2,0)/2)))</f>
        <v/>
      </c>
      <c r="I144">
        <f>IF(OR(I$4="",$A144&gt;TODAY()),0,IF(OR(INDEX($B144:$D144,I$5)="F",AND(I$6&gt;0,$A144&lt;I$6),AND(I$7&gt;0,$A144&gt;I$7)),0,MAX(0,ROUND((INDEX($E144:$G144,I$5)-SUMIFS(TF_Timer,TF_Tekniker,I$4,TF_Dato,$A144))*2,0)/2)))</f>
        <v/>
      </c>
      <c r="J144">
        <f>IF(OR(J$4="",$A144&gt;TODAY()),0,IF(OR(INDEX($B144:$D144,J$5)="F",AND(J$6&gt;0,$A144&lt;J$6),AND(J$7&gt;0,$A144&gt;J$7)),0,MAX(0,ROUND((INDEX($E144:$G144,J$5)-SUMIFS(TF_Timer,TF_Tekniker,J$4,TF_Dato,$A144))*2,0)/2)))</f>
        <v/>
      </c>
      <c r="K144">
        <f>IF(OR(K$4="",$A144&gt;TODAY()),0,IF(OR(INDEX($B144:$D144,K$5)="F",AND(K$6&gt;0,$A144&lt;K$6),AND(K$7&gt;0,$A144&gt;K$7)),0,MAX(0,ROUND((INDEX($E144:$G144,K$5)-SUMIFS(TF_Timer,TF_Tekniker,K$4,TF_Dato,$A144))*2,0)/2)))</f>
        <v/>
      </c>
      <c r="L144">
        <f>IF(OR(L$4="",$A144&gt;TODAY()),0,IF(OR(INDEX($B144:$D144,L$5)="F",AND(L$6&gt;0,$A144&lt;L$6),AND(L$7&gt;0,$A144&gt;L$7)),0,MAX(0,ROUND((INDEX($E144:$G144,L$5)-SUMIFS(TF_Timer,TF_Tekniker,L$4,TF_Dato,$A144))*2,0)/2)))</f>
        <v/>
      </c>
      <c r="M144">
        <f>IF(OR(M$4="",$A144&gt;TODAY()),0,IF(OR(INDEX($B144:$D144,M$5)="F",AND(M$6&gt;0,$A144&lt;M$6),AND(M$7&gt;0,$A144&gt;M$7)),0,MAX(0,ROUND((INDEX($E144:$G144,M$5)-SUMIFS(TF_Timer,TF_Tekniker,M$4,TF_Dato,$A144))*2,0)/2)))</f>
        <v/>
      </c>
      <c r="N144">
        <f>IF(OR(N$4="",$A144&gt;TODAY()),0,IF(OR(INDEX($B144:$D144,N$5)="F",AND(N$6&gt;0,$A144&lt;N$6),AND(N$7&gt;0,$A144&gt;N$7)),0,MAX(0,ROUND((INDEX($E144:$G144,N$5)-SUMIFS(TF_Timer,TF_Tekniker,N$4,TF_Dato,$A144))*2,0)/2)))</f>
        <v/>
      </c>
      <c r="O144">
        <f>IF(OR(O$4="",$A144&gt;TODAY()),0,IF(OR(INDEX($B144:$D144,O$5)="F",AND(O$6&gt;0,$A144&lt;O$6),AND(O$7&gt;0,$A144&gt;O$7)),0,MAX(0,ROUND((INDEX($E144:$G144,O$5)-SUMIFS(TF_Timer,TF_Tekniker,O$4,TF_Dato,$A144))*2,0)/2)))</f>
        <v/>
      </c>
      <c r="P144">
        <f>IF(OR(P$4="",$A144&gt;TODAY()),0,IF(OR(INDEX($B144:$D144,P$5)="F",AND(P$6&gt;0,$A144&lt;P$6),AND(P$7&gt;0,$A144&gt;P$7)),0,MAX(0,ROUND((INDEX($E144:$G144,P$5)-SUMIFS(TF_Timer,TF_Tekniker,P$4,TF_Dato,$A144))*2,0)/2)))</f>
        <v/>
      </c>
      <c r="Q144">
        <f>IF(OR(Q$4="",$A144&gt;TODAY()),0,IF(OR(INDEX($B144:$D144,Q$5)="F",AND(Q$6&gt;0,$A144&lt;Q$6),AND(Q$7&gt;0,$A144&gt;Q$7)),0,MAX(0,ROUND((INDEX($E144:$G144,Q$5)-SUMIFS(TF_Timer,TF_Tekniker,Q$4,TF_Dato,$A144))*2,0)/2)))</f>
        <v/>
      </c>
      <c r="R144">
        <f>IF(OR(R$4="",$A144&gt;TODAY()),0,IF(OR(INDEX($B144:$D144,R$5)="F",AND(R$6&gt;0,$A144&lt;R$6),AND(R$7&gt;0,$A144&gt;R$7)),0,MAX(0,ROUND((INDEX($E144:$G144,R$5)-SUMIFS(TF_Timer,TF_Tekniker,R$4,TF_Dato,$A144))*2,0)/2)))</f>
        <v/>
      </c>
      <c r="S144">
        <f>IF(OR(S$4="",$A144&gt;TODAY()),0,IF(OR(INDEX($B144:$D144,S$5)="F",AND(S$6&gt;0,$A144&lt;S$6),AND(S$7&gt;0,$A144&gt;S$7)),0,MAX(0,ROUND((INDEX($E144:$G144,S$5)-SUMIFS(TF_Timer,TF_Tekniker,S$4,TF_Dato,$A144))*2,0)/2)))</f>
        <v/>
      </c>
      <c r="T144">
        <f>IF(OR(T$4="",$A144&gt;TODAY()),0,IF(OR(INDEX($B144:$D144,T$5)="F",AND(T$6&gt;0,$A144&lt;T$6),AND(T$7&gt;0,$A144&gt;T$7)),0,MAX(0,ROUND((INDEX($E144:$G144,T$5)-SUMIFS(TF_Timer,TF_Tekniker,T$4,TF_Dato,$A144))*2,0)/2)))</f>
        <v/>
      </c>
      <c r="U144">
        <f>IF(OR(U$4="",$A144&gt;TODAY()),0,IF(OR(INDEX($B144:$D144,U$5)="F",AND(U$6&gt;0,$A144&lt;U$6),AND(U$7&gt;0,$A144&gt;U$7)),0,MAX(0,ROUND((INDEX($E144:$G144,U$5)-SUMIFS(TF_Timer,TF_Tekniker,U$4,TF_Dato,$A144))*2,0)/2)))</f>
        <v/>
      </c>
      <c r="V144">
        <f>IF(OR(V$4="",$A144&gt;TODAY()),0,IF(OR(INDEX($B144:$D144,V$5)="F",AND(V$6&gt;0,$A144&lt;V$6),AND(V$7&gt;0,$A144&gt;V$7)),0,MAX(0,ROUND((INDEX($E144:$G144,V$5)-SUMIFS(TF_Timer,TF_Tekniker,V$4,TF_Dato,$A144))*2,0)/2)))</f>
        <v/>
      </c>
      <c r="W144">
        <f>IF(OR(W$4="",$A144&gt;TODAY()),0,IF(OR(INDEX($B144:$D144,W$5)="F",AND(W$6&gt;0,$A144&lt;W$6),AND(W$7&gt;0,$A144&gt;W$7)),0,MAX(0,ROUND((INDEX($E144:$G144,W$5)-SUMIFS(TF_Timer,TF_Tekniker,W$4,TF_Dato,$A144))*2,0)/2)))</f>
        <v/>
      </c>
      <c r="X144">
        <f>IF(OR(X$4="",$A144&gt;TODAY()),0,IF(OR(INDEX($B144:$D144,X$5)="F",AND(X$6&gt;0,$A144&lt;X$6),AND(X$7&gt;0,$A144&gt;X$7)),0,MAX(0,ROUND((INDEX($E144:$G144,X$5)-SUMIFS(TF_Timer,TF_Tekniker,X$4,TF_Dato,$A144))*2,0)/2)))</f>
        <v/>
      </c>
      <c r="Y144">
        <f>IF(OR(Y$4="",$A144&gt;TODAY()),0,IF(OR(INDEX($B144:$D144,Y$5)="F",AND(Y$6&gt;0,$A144&lt;Y$6),AND(Y$7&gt;0,$A144&gt;Y$7)),0,MAX(0,ROUND((INDEX($E144:$G144,Y$5)-SUMIFS(TF_Timer,TF_Tekniker,Y$4,TF_Dato,$A144))*2,0)/2)))</f>
        <v/>
      </c>
      <c r="Z144">
        <f>IF(OR(Z$4="",$A144&gt;TODAY()),0,IF(OR(INDEX($B144:$D144,Z$5)="F",AND(Z$6&gt;0,$A144&lt;Z$6),AND(Z$7&gt;0,$A144&gt;Z$7)),0,MAX(0,ROUND((INDEX($E144:$G144,Z$5)-SUMIFS(TF_Timer,TF_Tekniker,Z$4,TF_Dato,$A144))*2,0)/2)))</f>
        <v/>
      </c>
      <c r="AA144">
        <f>IF(OR(AA$4="",$A144&gt;TODAY()),0,IF(OR(INDEX($B144:$D144,AA$5)="F",AND(AA$6&gt;0,$A144&lt;AA$6),AND(AA$7&gt;0,$A144&gt;AA$7)),0,MAX(0,ROUND((INDEX($E144:$G144,AA$5)-SUMIFS(TF_Timer,TF_Tekniker,AA$4,TF_Dato,$A144))*2,0)/2)))</f>
        <v/>
      </c>
      <c r="AB144">
        <f>IF(OR(AB$4="",$A144&gt;TODAY()),0,IF(OR(INDEX($B144:$D144,AB$5)="F",AND(AB$6&gt;0,$A144&lt;AB$6),AND(AB$7&gt;0,$A144&gt;AB$7)),0,MAX(0,ROUND((INDEX($E144:$G144,AB$5)-SUMIFS(TF_Timer,TF_Tekniker,AB$4,TF_Dato,$A144))*2,0)/2)))</f>
        <v/>
      </c>
      <c r="AC144">
        <f>IF(OR(AC$4="",$A144&gt;TODAY()),0,IF(OR(INDEX($B144:$D144,AC$5)="F",AND(AC$6&gt;0,$A144&lt;AC$6),AND(AC$7&gt;0,$A144&gt;AC$7)),0,MAX(0,ROUND((INDEX($E144:$G144,AC$5)-SUMIFS(TF_Timer,TF_Tekniker,AC$4,TF_Dato,$A144))*2,0)/2)))</f>
        <v/>
      </c>
      <c r="AD144">
        <f>IF(OR(AD$4="",$A144&gt;TODAY()),0,IF(OR(INDEX($B144:$D144,AD$5)="F",AND(AD$6&gt;0,$A144&lt;AD$6),AND(AD$7&gt;0,$A144&gt;AD$7)),0,MAX(0,ROUND((INDEX($E144:$G144,AD$5)-SUMIFS(TF_Timer,TF_Tekniker,AD$4,TF_Dato,$A144))*2,0)/2)))</f>
        <v/>
      </c>
      <c r="AE144">
        <f>IF(OR(AE$4="",$A144&gt;TODAY()),0,IF(OR(INDEX($B144:$D144,AE$5)="F",AND(AE$6&gt;0,$A144&lt;AE$6),AND(AE$7&gt;0,$A144&gt;AE$7)),0,MAX(0,ROUND((INDEX($E144:$G144,AE$5)-SUMIFS(TF_Timer,TF_Tekniker,AE$4,TF_Dato,$A144))*2,0)/2)))</f>
        <v/>
      </c>
      <c r="AF144">
        <f>IF(OR(AF$4="",$A144&gt;TODAY()),0,IF(OR(INDEX($B144:$D144,AF$5)="F",AND(AF$6&gt;0,$A144&lt;AF$6),AND(AF$7&gt;0,$A144&gt;AF$7)),0,MAX(0,ROUND((INDEX($E144:$G144,AF$5)-SUMIFS(TF_Timer,TF_Tekniker,AF$4,TF_Dato,$A144))*2,0)/2)))</f>
        <v/>
      </c>
      <c r="AG144">
        <f>IF(OR(AG$4="",$A144&gt;TODAY()),0,IF(OR(INDEX($B144:$D144,AG$5)="F",AND(AG$6&gt;0,$A144&lt;AG$6),AND(AG$7&gt;0,$A144&gt;AG$7)),0,MAX(0,ROUND((INDEX($E144:$G144,AG$5)-SUMIFS(TF_Timer,TF_Tekniker,AG$4,TF_Dato,$A144))*2,0)/2)))</f>
        <v/>
      </c>
      <c r="AH144">
        <f>IF(OR(AH$4="",$A144&gt;TODAY()),0,IF(OR(INDEX($B144:$D144,AH$5)="F",AND(AH$6&gt;0,$A144&lt;AH$6),AND(AH$7&gt;0,$A144&gt;AH$7)),0,MAX(0,ROUND((INDEX($E144:$G144,AH$5)-SUMIFS(TF_Timer,TF_Tekniker,AH$4,TF_Dato,$A144))*2,0)/2)))</f>
        <v/>
      </c>
      <c r="AI144">
        <f>IF(OR(AI$4="",$A144&gt;TODAY()),0,IF(OR(INDEX($B144:$D144,AI$5)="F",AND(AI$6&gt;0,$A144&lt;AI$6),AND(AI$7&gt;0,$A144&gt;AI$7)),0,MAX(0,ROUND((INDEX($E144:$G144,AI$5)-SUMIFS(TF_Timer,TF_Tekniker,AI$4,TF_Dato,$A144))*2,0)/2)))</f>
        <v/>
      </c>
      <c r="AJ144">
        <f>IF(OR(AJ$4="",$A144&gt;TODAY()),0,IF(OR(INDEX($B144:$D144,AJ$5)="F",AND(AJ$6&gt;0,$A144&lt;AJ$6),AND(AJ$7&gt;0,$A144&gt;AJ$7)),0,MAX(0,ROUND((INDEX($E144:$G144,AJ$5)-SUMIFS(TF_Timer,TF_Tekniker,AJ$4,TF_Dato,$A144))*2,0)/2)))</f>
        <v/>
      </c>
      <c r="AK144">
        <f>IF(OR(AK$4="",$A144&gt;TODAY()),0,IF(OR(INDEX($B144:$D144,AK$5)="F",AND(AK$6&gt;0,$A144&lt;AK$6),AND(AK$7&gt;0,$A144&gt;AK$7)),0,MAX(0,ROUND((INDEX($E144:$G144,AK$5)-SUMIFS(TF_Timer,TF_Tekniker,AK$4,TF_Dato,$A144))*2,0)/2)))</f>
        <v/>
      </c>
      <c r="AL144">
        <f>IF(OR(AL$4="",$A144&gt;TODAY()),0,IF(OR(INDEX($B144:$D144,AL$5)="F",AND(AL$6&gt;0,$A144&lt;AL$6),AND(AL$7&gt;0,$A144&gt;AL$7)),0,MAX(0,ROUND((INDEX($E144:$G144,AL$5)-SUMIFS(TF_Timer,TF_Tekniker,AL$4,TF_Dato,$A144))*2,0)/2)))</f>
        <v/>
      </c>
      <c r="AM144">
        <f>IF(OR(AM$4="",$A144&gt;TODAY()),0,IF(OR(INDEX($B144:$D144,AM$5)="F",AND(AM$6&gt;0,$A144&lt;AM$6),AND(AM$7&gt;0,$A144&gt;AM$7)),0,MAX(0,ROUND((INDEX($E144:$G144,AM$5)-SUMIFS(TF_Timer,TF_Tekniker,AM$4,TF_Dato,$A144))*2,0)/2)))</f>
        <v/>
      </c>
      <c r="AN144">
        <f>IF(OR(AN$4="",$A144&gt;TODAY()),0,IF(OR(INDEX($B144:$D144,AN$5)="F",AND(AN$6&gt;0,$A144&lt;AN$6),AND(AN$7&gt;0,$A144&gt;AN$7)),0,MAX(0,ROUND((INDEX($E144:$G144,AN$5)-SUMIFS(TF_Timer,TF_Tekniker,AN$4,TF_Dato,$A144))*2,0)/2)))</f>
        <v/>
      </c>
      <c r="AO144">
        <f>IF(OR(AO$4="",$A144&gt;TODAY()),0,IF(OR(INDEX($B144:$D144,AO$5)="F",AND(AO$6&gt;0,$A144&lt;AO$6),AND(AO$7&gt;0,$A144&gt;AO$7)),0,MAX(0,ROUND((INDEX($E144:$G144,AO$5)-SUMIFS(TF_Timer,TF_Tekniker,AO$4,TF_Dato,$A144))*2,0)/2)))</f>
        <v/>
      </c>
      <c r="AP144">
        <f>IF(OR(AP$4="",$A144&gt;TODAY()),0,IF(OR(INDEX($B144:$D144,AP$5)="F",AND(AP$6&gt;0,$A144&lt;AP$6),AND(AP$7&gt;0,$A144&gt;AP$7)),0,MAX(0,ROUND((INDEX($E144:$G144,AP$5)-SUMIFS(TF_Timer,TF_Tekniker,AP$4,TF_Dato,$A144))*2,0)/2)))</f>
        <v/>
      </c>
      <c r="AQ144">
        <f>IF(OR(AQ$4="",$A144&gt;TODAY()),0,IF(OR(INDEX($B144:$D144,AQ$5)="F",AND(AQ$6&gt;0,$A144&lt;AQ$6),AND(AQ$7&gt;0,$A144&gt;AQ$7)),0,MAX(0,ROUND((INDEX($E144:$G144,AQ$5)-SUMIFS(TF_Timer,TF_Tekniker,AQ$4,TF_Dato,$A144))*2,0)/2)))</f>
        <v/>
      </c>
      <c r="AR144">
        <f>IF(OR(AR$4="",$A144&gt;TODAY()),0,IF(OR(INDEX($B144:$D144,AR$5)="F",AND(AR$6&gt;0,$A144&lt;AR$6),AND(AR$7&gt;0,$A144&gt;AR$7)),0,MAX(0,ROUND((INDEX($E144:$G144,AR$5)-SUMIFS(TF_Timer,TF_Tekniker,AR$4,TF_Dato,$A144))*2,0)/2)))</f>
        <v/>
      </c>
      <c r="AS144">
        <f>IF(OR(AS$4="",$A144&gt;TODAY()),0,IF(OR(INDEX($B144:$D144,AS$5)="F",AND(AS$6&gt;0,$A144&lt;AS$6),AND(AS$7&gt;0,$A144&gt;AS$7)),0,MAX(0,ROUND((INDEX($E144:$G144,AS$5)-SUMIFS(TF_Timer,TF_Tekniker,AS$4,TF_Dato,$A144))*2,0)/2)))</f>
        <v/>
      </c>
      <c r="AT144">
        <f>IF(OR(AT$4="",$A144&gt;TODAY()),0,IF(OR(INDEX($B144:$D144,AT$5)="F",AND(AT$6&gt;0,$A144&lt;AT$6),AND(AT$7&gt;0,$A144&gt;AT$7)),0,MAX(0,ROUND((INDEX($E144:$G144,AT$5)-SUMIFS(TF_Timer,TF_Tekniker,AT$4,TF_Dato,$A144))*2,0)/2)))</f>
        <v/>
      </c>
      <c r="AU144">
        <f>IF(OR(AU$4="",$A144&gt;TODAY()),0,IF(OR(INDEX($B144:$D144,AU$5)="F",AND(AU$6&gt;0,$A144&lt;AU$6),AND(AU$7&gt;0,$A144&gt;AU$7)),0,MAX(0,ROUND((INDEX($E144:$G144,AU$5)-SUMIFS(TF_Timer,TF_Tekniker,AU$4,TF_Dato,$A144))*2,0)/2)))</f>
        <v/>
      </c>
      <c r="AV144">
        <f>IF(OR(AV$4="",$A144&gt;TODAY()),0,IF(OR(INDEX($B144:$D144,AV$5)="F",AND(AV$6&gt;0,$A144&lt;AV$6),AND(AV$7&gt;0,$A144&gt;AV$7)),0,MAX(0,ROUND((INDEX($E144:$G144,AV$5)-SUMIFS(TF_Timer,TF_Tekniker,AV$4,TF_Dato,$A144))*2,0)/2)))</f>
        <v/>
      </c>
      <c r="AW144">
        <f>IF(OR(AW$4="",$A144&gt;TODAY()),0,IF(OR(INDEX($B144:$D144,AW$5)="F",AND(AW$6&gt;0,$A144&lt;AW$6),AND(AW$7&gt;0,$A144&gt;AW$7)),0,MAX(0,ROUND((INDEX($E144:$G144,AW$5)-SUMIFS(TF_Timer,TF_Tekniker,AW$4,TF_Dato,$A144))*2,0)/2)))</f>
        <v/>
      </c>
      <c r="AX144">
        <f>IF(OR(AX$4="",$A144&gt;TODAY()),0,IF(OR(INDEX($B144:$D144,AX$5)="F",AND(AX$6&gt;0,$A144&lt;AX$6),AND(AX$7&gt;0,$A144&gt;AX$7)),0,MAX(0,ROUND((INDEX($E144:$G144,AX$5)-SUMIFS(TF_Timer,TF_Tekniker,AX$4,TF_Dato,$A144))*2,0)/2)))</f>
        <v/>
      </c>
      <c r="AY144">
        <f>IF(OR(AY$4="",$A144&gt;TODAY()),0,IF(OR(INDEX($B144:$D144,AY$5)="F",AND(AY$6&gt;0,$A144&lt;AY$6),AND(AY$7&gt;0,$A144&gt;AY$7)),0,MAX(0,ROUND((INDEX($E144:$G144,AY$5)-SUMIFS(TF_Timer,TF_Tekniker,AY$4,TF_Dato,$A144))*2,0)/2)))</f>
        <v/>
      </c>
      <c r="AZ144">
        <f>IF(OR(AZ$4="",$A144&gt;TODAY()),0,IF(OR(INDEX($B144:$D144,AZ$5)="F",AND(AZ$6&gt;0,$A144&lt;AZ$6),AND(AZ$7&gt;0,$A144&gt;AZ$7)),0,MAX(0,ROUND((INDEX($E144:$G144,AZ$5)-SUMIFS(TF_Timer,TF_Tekniker,AZ$4,TF_Dato,$A144))*2,0)/2)))</f>
        <v/>
      </c>
      <c r="BA144">
        <f>IF(OR(BA$4="",$A144&gt;TODAY()),0,IF(OR(INDEX($B144:$D144,BA$5)="F",AND(BA$6&gt;0,$A144&lt;BA$6),AND(BA$7&gt;0,$A144&gt;BA$7)),0,MAX(0,ROUND((INDEX($E144:$G144,BA$5)-SUMIFS(TF_Timer,TF_Tekniker,BA$4,TF_Dato,$A144))*2,0)/2)))</f>
        <v/>
      </c>
      <c r="BB144">
        <f>IF(OR(BB$4="",$A144&gt;TODAY()),0,IF(OR(INDEX($B144:$D144,BB$5)="F",AND(BB$6&gt;0,$A144&lt;BB$6),AND(BB$7&gt;0,$A144&gt;BB$7)),0,MAX(0,ROUND((INDEX($E144:$G144,BB$5)-SUMIFS(TF_Timer,TF_Tekniker,BB$4,TF_Dato,$A144))*2,0)/2)))</f>
        <v/>
      </c>
      <c r="BC144">
        <f>IF(OR(BC$4="",$A144&gt;TODAY()),0,IF(OR(INDEX($B144:$D144,BC$5)="F",AND(BC$6&gt;0,$A144&lt;BC$6),AND(BC$7&gt;0,$A144&gt;BC$7)),0,MAX(0,ROUND((INDEX($E144:$G144,BC$5)-SUMIFS(TF_Timer,TF_Tekniker,BC$4,TF_Dato,$A144))*2,0)/2)))</f>
        <v/>
      </c>
      <c r="BD144">
        <f>IF(OR(BD$4="",$A144&gt;TODAY()),0,IF(OR(INDEX($B144:$D144,BD$5)="F",AND(BD$6&gt;0,$A144&lt;BD$6),AND(BD$7&gt;0,$A144&gt;BD$7)),0,MAX(0,ROUND((INDEX($E144:$G144,BD$5)-SUMIFS(TF_Timer,TF_Tekniker,BD$4,TF_Dato,$A144))*2,0)/2)))</f>
        <v/>
      </c>
      <c r="BE144">
        <f>IF(OR(BE$4="",$A144&gt;TODAY()),0,IF(OR(INDEX($B144:$D144,BE$5)="F",AND(BE$6&gt;0,$A144&lt;BE$6),AND(BE$7&gt;0,$A144&gt;BE$7)),0,MAX(0,ROUND((INDEX($E144:$G144,BE$5)-SUMIFS(TF_Timer,TF_Tekniker,BE$4,TF_Dato,$A144))*2,0)/2)))</f>
        <v/>
      </c>
      <c r="BF144">
        <f>IF(OR(BF$4="",$A144&gt;TODAY()),0,IF(OR(INDEX($B144:$D144,BF$5)="F",AND(BF$6&gt;0,$A144&lt;BF$6),AND(BF$7&gt;0,$A144&gt;BF$7)),0,MAX(0,ROUND((INDEX($E144:$G144,BF$5)-SUMIFS(TF_Timer,TF_Tekniker,BF$4,TF_Dato,$A144))*2,0)/2)))</f>
        <v/>
      </c>
      <c r="BG144">
        <f>IF(OR(BG$4="",$A144&gt;TODAY()),0,IF(OR(INDEX($B144:$D144,BG$5)="F",AND(BG$6&gt;0,$A144&lt;BG$6),AND(BG$7&gt;0,$A144&gt;BG$7)),0,MAX(0,ROUND((INDEX($E144:$G144,BG$5)-SUMIFS(TF_Timer,TF_Tekniker,BG$4,TF_Dato,$A144))*2,0)/2)))</f>
        <v/>
      </c>
      <c r="BH144">
        <f>IF(OR(BH$4="",$A144&gt;TODAY()),0,IF(OR(INDEX($B144:$D144,BH$5)="F",AND(BH$6&gt;0,$A144&lt;BH$6),AND(BH$7&gt;0,$A144&gt;BH$7)),0,MAX(0,ROUND((INDEX($E144:$G144,BH$5)-SUMIFS(TF_Timer,TF_Tekniker,BH$4,TF_Dato,$A144))*2,0)/2)))</f>
        <v/>
      </c>
      <c r="BI144">
        <f>IF(OR(BI$4="",$A144&gt;TODAY()),0,IF(OR(INDEX($B144:$D144,BI$5)="F",AND(BI$6&gt;0,$A144&lt;BI$6),AND(BI$7&gt;0,$A144&gt;BI$7)),0,MAX(0,ROUND((INDEX($E144:$G144,BI$5)-SUMIFS(TF_Timer,TF_Tekniker,BI$4,TF_Dato,$A144))*2,0)/2)))</f>
        <v/>
      </c>
    </row>
    <row r="145">
      <c r="A145" s="64">
        <f>A144+1</f>
        <v/>
      </c>
      <c r="B145">
        <f>IF(MOD($A145-INDEX(SkiftStart,1),Syklus)&lt;DagK,"K",IF(MOD($A145-INDEX(SkiftStart,1),Syklus)&lt;DagK+DagH,"H",IF(MOD($A145-INDEX(SkiftStart,1),Syklus)&lt;DagK+DagH+DagD,"D","F")))</f>
        <v/>
      </c>
      <c r="C145">
        <f>IF(MOD($A145-INDEX(SkiftStart,2),Syklus)&lt;DagK,"K",IF(MOD($A145-INDEX(SkiftStart,2),Syklus)&lt;DagK+DagH,"H",IF(MOD($A145-INDEX(SkiftStart,2),Syklus)&lt;DagK+DagH+DagD,"D","F")))</f>
        <v/>
      </c>
      <c r="D145">
        <f>IF(MOD($A145-INDEX(SkiftStart,3),Syklus)&lt;DagK,"K",IF(MOD($A145-INDEX(SkiftStart,3),Syklus)&lt;DagK+DagH,"H",IF(MOD($A145-INDEX(SkiftStart,3),Syklus)&lt;DagK+DagH+DagD,"D","F")))</f>
        <v/>
      </c>
      <c r="E145">
        <f>IF(B145="F",0,IF(WEEKDAY($A145,2)=5,INDEX(TimerFr,MATCH(B145,FaseKode,0)),INDEX(TimerMT,MATCH(B145,FaseKode,0))))</f>
        <v/>
      </c>
      <c r="F145">
        <f>IF(C145="F",0,IF(WEEKDAY($A145,2)=5,INDEX(TimerFr,MATCH(C145,FaseKode,0)),INDEX(TimerMT,MATCH(C145,FaseKode,0))))</f>
        <v/>
      </c>
      <c r="G145">
        <f>IF(D145="F",0,IF(WEEKDAY($A145,2)=5,INDEX(TimerFr,MATCH(D145,FaseKode,0)),INDEX(TimerMT,MATCH(D145,FaseKode,0))))</f>
        <v/>
      </c>
      <c r="H145">
        <f>IF(OR(H$4="",$A145&gt;TODAY()),0,IF(OR(INDEX($B145:$D145,H$5)="F",AND(H$6&gt;0,$A145&lt;H$6),AND(H$7&gt;0,$A145&gt;H$7)),0,MAX(0,ROUND((INDEX($E145:$G145,H$5)-SUMIFS(TF_Timer,TF_Tekniker,H$4,TF_Dato,$A145))*2,0)/2)))</f>
        <v/>
      </c>
      <c r="I145">
        <f>IF(OR(I$4="",$A145&gt;TODAY()),0,IF(OR(INDEX($B145:$D145,I$5)="F",AND(I$6&gt;0,$A145&lt;I$6),AND(I$7&gt;0,$A145&gt;I$7)),0,MAX(0,ROUND((INDEX($E145:$G145,I$5)-SUMIFS(TF_Timer,TF_Tekniker,I$4,TF_Dato,$A145))*2,0)/2)))</f>
        <v/>
      </c>
      <c r="J145">
        <f>IF(OR(J$4="",$A145&gt;TODAY()),0,IF(OR(INDEX($B145:$D145,J$5)="F",AND(J$6&gt;0,$A145&lt;J$6),AND(J$7&gt;0,$A145&gt;J$7)),0,MAX(0,ROUND((INDEX($E145:$G145,J$5)-SUMIFS(TF_Timer,TF_Tekniker,J$4,TF_Dato,$A145))*2,0)/2)))</f>
        <v/>
      </c>
      <c r="K145">
        <f>IF(OR(K$4="",$A145&gt;TODAY()),0,IF(OR(INDEX($B145:$D145,K$5)="F",AND(K$6&gt;0,$A145&lt;K$6),AND(K$7&gt;0,$A145&gt;K$7)),0,MAX(0,ROUND((INDEX($E145:$G145,K$5)-SUMIFS(TF_Timer,TF_Tekniker,K$4,TF_Dato,$A145))*2,0)/2)))</f>
        <v/>
      </c>
      <c r="L145">
        <f>IF(OR(L$4="",$A145&gt;TODAY()),0,IF(OR(INDEX($B145:$D145,L$5)="F",AND(L$6&gt;0,$A145&lt;L$6),AND(L$7&gt;0,$A145&gt;L$7)),0,MAX(0,ROUND((INDEX($E145:$G145,L$5)-SUMIFS(TF_Timer,TF_Tekniker,L$4,TF_Dato,$A145))*2,0)/2)))</f>
        <v/>
      </c>
      <c r="M145">
        <f>IF(OR(M$4="",$A145&gt;TODAY()),0,IF(OR(INDEX($B145:$D145,M$5)="F",AND(M$6&gt;0,$A145&lt;M$6),AND(M$7&gt;0,$A145&gt;M$7)),0,MAX(0,ROUND((INDEX($E145:$G145,M$5)-SUMIFS(TF_Timer,TF_Tekniker,M$4,TF_Dato,$A145))*2,0)/2)))</f>
        <v/>
      </c>
      <c r="N145">
        <f>IF(OR(N$4="",$A145&gt;TODAY()),0,IF(OR(INDEX($B145:$D145,N$5)="F",AND(N$6&gt;0,$A145&lt;N$6),AND(N$7&gt;0,$A145&gt;N$7)),0,MAX(0,ROUND((INDEX($E145:$G145,N$5)-SUMIFS(TF_Timer,TF_Tekniker,N$4,TF_Dato,$A145))*2,0)/2)))</f>
        <v/>
      </c>
      <c r="O145">
        <f>IF(OR(O$4="",$A145&gt;TODAY()),0,IF(OR(INDEX($B145:$D145,O$5)="F",AND(O$6&gt;0,$A145&lt;O$6),AND(O$7&gt;0,$A145&gt;O$7)),0,MAX(0,ROUND((INDEX($E145:$G145,O$5)-SUMIFS(TF_Timer,TF_Tekniker,O$4,TF_Dato,$A145))*2,0)/2)))</f>
        <v/>
      </c>
      <c r="P145">
        <f>IF(OR(P$4="",$A145&gt;TODAY()),0,IF(OR(INDEX($B145:$D145,P$5)="F",AND(P$6&gt;0,$A145&lt;P$6),AND(P$7&gt;0,$A145&gt;P$7)),0,MAX(0,ROUND((INDEX($E145:$G145,P$5)-SUMIFS(TF_Timer,TF_Tekniker,P$4,TF_Dato,$A145))*2,0)/2)))</f>
        <v/>
      </c>
      <c r="Q145">
        <f>IF(OR(Q$4="",$A145&gt;TODAY()),0,IF(OR(INDEX($B145:$D145,Q$5)="F",AND(Q$6&gt;0,$A145&lt;Q$6),AND(Q$7&gt;0,$A145&gt;Q$7)),0,MAX(0,ROUND((INDEX($E145:$G145,Q$5)-SUMIFS(TF_Timer,TF_Tekniker,Q$4,TF_Dato,$A145))*2,0)/2)))</f>
        <v/>
      </c>
      <c r="R145">
        <f>IF(OR(R$4="",$A145&gt;TODAY()),0,IF(OR(INDEX($B145:$D145,R$5)="F",AND(R$6&gt;0,$A145&lt;R$6),AND(R$7&gt;0,$A145&gt;R$7)),0,MAX(0,ROUND((INDEX($E145:$G145,R$5)-SUMIFS(TF_Timer,TF_Tekniker,R$4,TF_Dato,$A145))*2,0)/2)))</f>
        <v/>
      </c>
      <c r="S145">
        <f>IF(OR(S$4="",$A145&gt;TODAY()),0,IF(OR(INDEX($B145:$D145,S$5)="F",AND(S$6&gt;0,$A145&lt;S$6),AND(S$7&gt;0,$A145&gt;S$7)),0,MAX(0,ROUND((INDEX($E145:$G145,S$5)-SUMIFS(TF_Timer,TF_Tekniker,S$4,TF_Dato,$A145))*2,0)/2)))</f>
        <v/>
      </c>
      <c r="T145">
        <f>IF(OR(T$4="",$A145&gt;TODAY()),0,IF(OR(INDEX($B145:$D145,T$5)="F",AND(T$6&gt;0,$A145&lt;T$6),AND(T$7&gt;0,$A145&gt;T$7)),0,MAX(0,ROUND((INDEX($E145:$G145,T$5)-SUMIFS(TF_Timer,TF_Tekniker,T$4,TF_Dato,$A145))*2,0)/2)))</f>
        <v/>
      </c>
      <c r="U145">
        <f>IF(OR(U$4="",$A145&gt;TODAY()),0,IF(OR(INDEX($B145:$D145,U$5)="F",AND(U$6&gt;0,$A145&lt;U$6),AND(U$7&gt;0,$A145&gt;U$7)),0,MAX(0,ROUND((INDEX($E145:$G145,U$5)-SUMIFS(TF_Timer,TF_Tekniker,U$4,TF_Dato,$A145))*2,0)/2)))</f>
        <v/>
      </c>
      <c r="V145">
        <f>IF(OR(V$4="",$A145&gt;TODAY()),0,IF(OR(INDEX($B145:$D145,V$5)="F",AND(V$6&gt;0,$A145&lt;V$6),AND(V$7&gt;0,$A145&gt;V$7)),0,MAX(0,ROUND((INDEX($E145:$G145,V$5)-SUMIFS(TF_Timer,TF_Tekniker,V$4,TF_Dato,$A145))*2,0)/2)))</f>
        <v/>
      </c>
      <c r="W145">
        <f>IF(OR(W$4="",$A145&gt;TODAY()),0,IF(OR(INDEX($B145:$D145,W$5)="F",AND(W$6&gt;0,$A145&lt;W$6),AND(W$7&gt;0,$A145&gt;W$7)),0,MAX(0,ROUND((INDEX($E145:$G145,W$5)-SUMIFS(TF_Timer,TF_Tekniker,W$4,TF_Dato,$A145))*2,0)/2)))</f>
        <v/>
      </c>
      <c r="X145">
        <f>IF(OR(X$4="",$A145&gt;TODAY()),0,IF(OR(INDEX($B145:$D145,X$5)="F",AND(X$6&gt;0,$A145&lt;X$6),AND(X$7&gt;0,$A145&gt;X$7)),0,MAX(0,ROUND((INDEX($E145:$G145,X$5)-SUMIFS(TF_Timer,TF_Tekniker,X$4,TF_Dato,$A145))*2,0)/2)))</f>
        <v/>
      </c>
      <c r="Y145">
        <f>IF(OR(Y$4="",$A145&gt;TODAY()),0,IF(OR(INDEX($B145:$D145,Y$5)="F",AND(Y$6&gt;0,$A145&lt;Y$6),AND(Y$7&gt;0,$A145&gt;Y$7)),0,MAX(0,ROUND((INDEX($E145:$G145,Y$5)-SUMIFS(TF_Timer,TF_Tekniker,Y$4,TF_Dato,$A145))*2,0)/2)))</f>
        <v/>
      </c>
      <c r="Z145">
        <f>IF(OR(Z$4="",$A145&gt;TODAY()),0,IF(OR(INDEX($B145:$D145,Z$5)="F",AND(Z$6&gt;0,$A145&lt;Z$6),AND(Z$7&gt;0,$A145&gt;Z$7)),0,MAX(0,ROUND((INDEX($E145:$G145,Z$5)-SUMIFS(TF_Timer,TF_Tekniker,Z$4,TF_Dato,$A145))*2,0)/2)))</f>
        <v/>
      </c>
      <c r="AA145">
        <f>IF(OR(AA$4="",$A145&gt;TODAY()),0,IF(OR(INDEX($B145:$D145,AA$5)="F",AND(AA$6&gt;0,$A145&lt;AA$6),AND(AA$7&gt;0,$A145&gt;AA$7)),0,MAX(0,ROUND((INDEX($E145:$G145,AA$5)-SUMIFS(TF_Timer,TF_Tekniker,AA$4,TF_Dato,$A145))*2,0)/2)))</f>
        <v/>
      </c>
      <c r="AB145">
        <f>IF(OR(AB$4="",$A145&gt;TODAY()),0,IF(OR(INDEX($B145:$D145,AB$5)="F",AND(AB$6&gt;0,$A145&lt;AB$6),AND(AB$7&gt;0,$A145&gt;AB$7)),0,MAX(0,ROUND((INDEX($E145:$G145,AB$5)-SUMIFS(TF_Timer,TF_Tekniker,AB$4,TF_Dato,$A145))*2,0)/2)))</f>
        <v/>
      </c>
      <c r="AC145">
        <f>IF(OR(AC$4="",$A145&gt;TODAY()),0,IF(OR(INDEX($B145:$D145,AC$5)="F",AND(AC$6&gt;0,$A145&lt;AC$6),AND(AC$7&gt;0,$A145&gt;AC$7)),0,MAX(0,ROUND((INDEX($E145:$G145,AC$5)-SUMIFS(TF_Timer,TF_Tekniker,AC$4,TF_Dato,$A145))*2,0)/2)))</f>
        <v/>
      </c>
      <c r="AD145">
        <f>IF(OR(AD$4="",$A145&gt;TODAY()),0,IF(OR(INDEX($B145:$D145,AD$5)="F",AND(AD$6&gt;0,$A145&lt;AD$6),AND(AD$7&gt;0,$A145&gt;AD$7)),0,MAX(0,ROUND((INDEX($E145:$G145,AD$5)-SUMIFS(TF_Timer,TF_Tekniker,AD$4,TF_Dato,$A145))*2,0)/2)))</f>
        <v/>
      </c>
      <c r="AE145">
        <f>IF(OR(AE$4="",$A145&gt;TODAY()),0,IF(OR(INDEX($B145:$D145,AE$5)="F",AND(AE$6&gt;0,$A145&lt;AE$6),AND(AE$7&gt;0,$A145&gt;AE$7)),0,MAX(0,ROUND((INDEX($E145:$G145,AE$5)-SUMIFS(TF_Timer,TF_Tekniker,AE$4,TF_Dato,$A145))*2,0)/2)))</f>
        <v/>
      </c>
      <c r="AF145">
        <f>IF(OR(AF$4="",$A145&gt;TODAY()),0,IF(OR(INDEX($B145:$D145,AF$5)="F",AND(AF$6&gt;0,$A145&lt;AF$6),AND(AF$7&gt;0,$A145&gt;AF$7)),0,MAX(0,ROUND((INDEX($E145:$G145,AF$5)-SUMIFS(TF_Timer,TF_Tekniker,AF$4,TF_Dato,$A145))*2,0)/2)))</f>
        <v/>
      </c>
      <c r="AG145">
        <f>IF(OR(AG$4="",$A145&gt;TODAY()),0,IF(OR(INDEX($B145:$D145,AG$5)="F",AND(AG$6&gt;0,$A145&lt;AG$6),AND(AG$7&gt;0,$A145&gt;AG$7)),0,MAX(0,ROUND((INDEX($E145:$G145,AG$5)-SUMIFS(TF_Timer,TF_Tekniker,AG$4,TF_Dato,$A145))*2,0)/2)))</f>
        <v/>
      </c>
      <c r="AH145">
        <f>IF(OR(AH$4="",$A145&gt;TODAY()),0,IF(OR(INDEX($B145:$D145,AH$5)="F",AND(AH$6&gt;0,$A145&lt;AH$6),AND(AH$7&gt;0,$A145&gt;AH$7)),0,MAX(0,ROUND((INDEX($E145:$G145,AH$5)-SUMIFS(TF_Timer,TF_Tekniker,AH$4,TF_Dato,$A145))*2,0)/2)))</f>
        <v/>
      </c>
      <c r="AI145">
        <f>IF(OR(AI$4="",$A145&gt;TODAY()),0,IF(OR(INDEX($B145:$D145,AI$5)="F",AND(AI$6&gt;0,$A145&lt;AI$6),AND(AI$7&gt;0,$A145&gt;AI$7)),0,MAX(0,ROUND((INDEX($E145:$G145,AI$5)-SUMIFS(TF_Timer,TF_Tekniker,AI$4,TF_Dato,$A145))*2,0)/2)))</f>
        <v/>
      </c>
      <c r="AJ145">
        <f>IF(OR(AJ$4="",$A145&gt;TODAY()),0,IF(OR(INDEX($B145:$D145,AJ$5)="F",AND(AJ$6&gt;0,$A145&lt;AJ$6),AND(AJ$7&gt;0,$A145&gt;AJ$7)),0,MAX(0,ROUND((INDEX($E145:$G145,AJ$5)-SUMIFS(TF_Timer,TF_Tekniker,AJ$4,TF_Dato,$A145))*2,0)/2)))</f>
        <v/>
      </c>
      <c r="AK145">
        <f>IF(OR(AK$4="",$A145&gt;TODAY()),0,IF(OR(INDEX($B145:$D145,AK$5)="F",AND(AK$6&gt;0,$A145&lt;AK$6),AND(AK$7&gt;0,$A145&gt;AK$7)),0,MAX(0,ROUND((INDEX($E145:$G145,AK$5)-SUMIFS(TF_Timer,TF_Tekniker,AK$4,TF_Dato,$A145))*2,0)/2)))</f>
        <v/>
      </c>
      <c r="AL145">
        <f>IF(OR(AL$4="",$A145&gt;TODAY()),0,IF(OR(INDEX($B145:$D145,AL$5)="F",AND(AL$6&gt;0,$A145&lt;AL$6),AND(AL$7&gt;0,$A145&gt;AL$7)),0,MAX(0,ROUND((INDEX($E145:$G145,AL$5)-SUMIFS(TF_Timer,TF_Tekniker,AL$4,TF_Dato,$A145))*2,0)/2)))</f>
        <v/>
      </c>
      <c r="AM145">
        <f>IF(OR(AM$4="",$A145&gt;TODAY()),0,IF(OR(INDEX($B145:$D145,AM$5)="F",AND(AM$6&gt;0,$A145&lt;AM$6),AND(AM$7&gt;0,$A145&gt;AM$7)),0,MAX(0,ROUND((INDEX($E145:$G145,AM$5)-SUMIFS(TF_Timer,TF_Tekniker,AM$4,TF_Dato,$A145))*2,0)/2)))</f>
        <v/>
      </c>
      <c r="AN145">
        <f>IF(OR(AN$4="",$A145&gt;TODAY()),0,IF(OR(INDEX($B145:$D145,AN$5)="F",AND(AN$6&gt;0,$A145&lt;AN$6),AND(AN$7&gt;0,$A145&gt;AN$7)),0,MAX(0,ROUND((INDEX($E145:$G145,AN$5)-SUMIFS(TF_Timer,TF_Tekniker,AN$4,TF_Dato,$A145))*2,0)/2)))</f>
        <v/>
      </c>
      <c r="AO145">
        <f>IF(OR(AO$4="",$A145&gt;TODAY()),0,IF(OR(INDEX($B145:$D145,AO$5)="F",AND(AO$6&gt;0,$A145&lt;AO$6),AND(AO$7&gt;0,$A145&gt;AO$7)),0,MAX(0,ROUND((INDEX($E145:$G145,AO$5)-SUMIFS(TF_Timer,TF_Tekniker,AO$4,TF_Dato,$A145))*2,0)/2)))</f>
        <v/>
      </c>
      <c r="AP145">
        <f>IF(OR(AP$4="",$A145&gt;TODAY()),0,IF(OR(INDEX($B145:$D145,AP$5)="F",AND(AP$6&gt;0,$A145&lt;AP$6),AND(AP$7&gt;0,$A145&gt;AP$7)),0,MAX(0,ROUND((INDEX($E145:$G145,AP$5)-SUMIFS(TF_Timer,TF_Tekniker,AP$4,TF_Dato,$A145))*2,0)/2)))</f>
        <v/>
      </c>
      <c r="AQ145">
        <f>IF(OR(AQ$4="",$A145&gt;TODAY()),0,IF(OR(INDEX($B145:$D145,AQ$5)="F",AND(AQ$6&gt;0,$A145&lt;AQ$6),AND(AQ$7&gt;0,$A145&gt;AQ$7)),0,MAX(0,ROUND((INDEX($E145:$G145,AQ$5)-SUMIFS(TF_Timer,TF_Tekniker,AQ$4,TF_Dato,$A145))*2,0)/2)))</f>
        <v/>
      </c>
      <c r="AR145">
        <f>IF(OR(AR$4="",$A145&gt;TODAY()),0,IF(OR(INDEX($B145:$D145,AR$5)="F",AND(AR$6&gt;0,$A145&lt;AR$6),AND(AR$7&gt;0,$A145&gt;AR$7)),0,MAX(0,ROUND((INDEX($E145:$G145,AR$5)-SUMIFS(TF_Timer,TF_Tekniker,AR$4,TF_Dato,$A145))*2,0)/2)))</f>
        <v/>
      </c>
      <c r="AS145">
        <f>IF(OR(AS$4="",$A145&gt;TODAY()),0,IF(OR(INDEX($B145:$D145,AS$5)="F",AND(AS$6&gt;0,$A145&lt;AS$6),AND(AS$7&gt;0,$A145&gt;AS$7)),0,MAX(0,ROUND((INDEX($E145:$G145,AS$5)-SUMIFS(TF_Timer,TF_Tekniker,AS$4,TF_Dato,$A145))*2,0)/2)))</f>
        <v/>
      </c>
      <c r="AT145">
        <f>IF(OR(AT$4="",$A145&gt;TODAY()),0,IF(OR(INDEX($B145:$D145,AT$5)="F",AND(AT$6&gt;0,$A145&lt;AT$6),AND(AT$7&gt;0,$A145&gt;AT$7)),0,MAX(0,ROUND((INDEX($E145:$G145,AT$5)-SUMIFS(TF_Timer,TF_Tekniker,AT$4,TF_Dato,$A145))*2,0)/2)))</f>
        <v/>
      </c>
      <c r="AU145">
        <f>IF(OR(AU$4="",$A145&gt;TODAY()),0,IF(OR(INDEX($B145:$D145,AU$5)="F",AND(AU$6&gt;0,$A145&lt;AU$6),AND(AU$7&gt;0,$A145&gt;AU$7)),0,MAX(0,ROUND((INDEX($E145:$G145,AU$5)-SUMIFS(TF_Timer,TF_Tekniker,AU$4,TF_Dato,$A145))*2,0)/2)))</f>
        <v/>
      </c>
      <c r="AV145">
        <f>IF(OR(AV$4="",$A145&gt;TODAY()),0,IF(OR(INDEX($B145:$D145,AV$5)="F",AND(AV$6&gt;0,$A145&lt;AV$6),AND(AV$7&gt;0,$A145&gt;AV$7)),0,MAX(0,ROUND((INDEX($E145:$G145,AV$5)-SUMIFS(TF_Timer,TF_Tekniker,AV$4,TF_Dato,$A145))*2,0)/2)))</f>
        <v/>
      </c>
      <c r="AW145">
        <f>IF(OR(AW$4="",$A145&gt;TODAY()),0,IF(OR(INDEX($B145:$D145,AW$5)="F",AND(AW$6&gt;0,$A145&lt;AW$6),AND(AW$7&gt;0,$A145&gt;AW$7)),0,MAX(0,ROUND((INDEX($E145:$G145,AW$5)-SUMIFS(TF_Timer,TF_Tekniker,AW$4,TF_Dato,$A145))*2,0)/2)))</f>
        <v/>
      </c>
      <c r="AX145">
        <f>IF(OR(AX$4="",$A145&gt;TODAY()),0,IF(OR(INDEX($B145:$D145,AX$5)="F",AND(AX$6&gt;0,$A145&lt;AX$6),AND(AX$7&gt;0,$A145&gt;AX$7)),0,MAX(0,ROUND((INDEX($E145:$G145,AX$5)-SUMIFS(TF_Timer,TF_Tekniker,AX$4,TF_Dato,$A145))*2,0)/2)))</f>
        <v/>
      </c>
      <c r="AY145">
        <f>IF(OR(AY$4="",$A145&gt;TODAY()),0,IF(OR(INDEX($B145:$D145,AY$5)="F",AND(AY$6&gt;0,$A145&lt;AY$6),AND(AY$7&gt;0,$A145&gt;AY$7)),0,MAX(0,ROUND((INDEX($E145:$G145,AY$5)-SUMIFS(TF_Timer,TF_Tekniker,AY$4,TF_Dato,$A145))*2,0)/2)))</f>
        <v/>
      </c>
      <c r="AZ145">
        <f>IF(OR(AZ$4="",$A145&gt;TODAY()),0,IF(OR(INDEX($B145:$D145,AZ$5)="F",AND(AZ$6&gt;0,$A145&lt;AZ$6),AND(AZ$7&gt;0,$A145&gt;AZ$7)),0,MAX(0,ROUND((INDEX($E145:$G145,AZ$5)-SUMIFS(TF_Timer,TF_Tekniker,AZ$4,TF_Dato,$A145))*2,0)/2)))</f>
        <v/>
      </c>
      <c r="BA145">
        <f>IF(OR(BA$4="",$A145&gt;TODAY()),0,IF(OR(INDEX($B145:$D145,BA$5)="F",AND(BA$6&gt;0,$A145&lt;BA$6),AND(BA$7&gt;0,$A145&gt;BA$7)),0,MAX(0,ROUND((INDEX($E145:$G145,BA$5)-SUMIFS(TF_Timer,TF_Tekniker,BA$4,TF_Dato,$A145))*2,0)/2)))</f>
        <v/>
      </c>
      <c r="BB145">
        <f>IF(OR(BB$4="",$A145&gt;TODAY()),0,IF(OR(INDEX($B145:$D145,BB$5)="F",AND(BB$6&gt;0,$A145&lt;BB$6),AND(BB$7&gt;0,$A145&gt;BB$7)),0,MAX(0,ROUND((INDEX($E145:$G145,BB$5)-SUMIFS(TF_Timer,TF_Tekniker,BB$4,TF_Dato,$A145))*2,0)/2)))</f>
        <v/>
      </c>
      <c r="BC145">
        <f>IF(OR(BC$4="",$A145&gt;TODAY()),0,IF(OR(INDEX($B145:$D145,BC$5)="F",AND(BC$6&gt;0,$A145&lt;BC$6),AND(BC$7&gt;0,$A145&gt;BC$7)),0,MAX(0,ROUND((INDEX($E145:$G145,BC$5)-SUMIFS(TF_Timer,TF_Tekniker,BC$4,TF_Dato,$A145))*2,0)/2)))</f>
        <v/>
      </c>
      <c r="BD145">
        <f>IF(OR(BD$4="",$A145&gt;TODAY()),0,IF(OR(INDEX($B145:$D145,BD$5)="F",AND(BD$6&gt;0,$A145&lt;BD$6),AND(BD$7&gt;0,$A145&gt;BD$7)),0,MAX(0,ROUND((INDEX($E145:$G145,BD$5)-SUMIFS(TF_Timer,TF_Tekniker,BD$4,TF_Dato,$A145))*2,0)/2)))</f>
        <v/>
      </c>
      <c r="BE145">
        <f>IF(OR(BE$4="",$A145&gt;TODAY()),0,IF(OR(INDEX($B145:$D145,BE$5)="F",AND(BE$6&gt;0,$A145&lt;BE$6),AND(BE$7&gt;0,$A145&gt;BE$7)),0,MAX(0,ROUND((INDEX($E145:$G145,BE$5)-SUMIFS(TF_Timer,TF_Tekniker,BE$4,TF_Dato,$A145))*2,0)/2)))</f>
        <v/>
      </c>
      <c r="BF145">
        <f>IF(OR(BF$4="",$A145&gt;TODAY()),0,IF(OR(INDEX($B145:$D145,BF$5)="F",AND(BF$6&gt;0,$A145&lt;BF$6),AND(BF$7&gt;0,$A145&gt;BF$7)),0,MAX(0,ROUND((INDEX($E145:$G145,BF$5)-SUMIFS(TF_Timer,TF_Tekniker,BF$4,TF_Dato,$A145))*2,0)/2)))</f>
        <v/>
      </c>
      <c r="BG145">
        <f>IF(OR(BG$4="",$A145&gt;TODAY()),0,IF(OR(INDEX($B145:$D145,BG$5)="F",AND(BG$6&gt;0,$A145&lt;BG$6),AND(BG$7&gt;0,$A145&gt;BG$7)),0,MAX(0,ROUND((INDEX($E145:$G145,BG$5)-SUMIFS(TF_Timer,TF_Tekniker,BG$4,TF_Dato,$A145))*2,0)/2)))</f>
        <v/>
      </c>
      <c r="BH145">
        <f>IF(OR(BH$4="",$A145&gt;TODAY()),0,IF(OR(INDEX($B145:$D145,BH$5)="F",AND(BH$6&gt;0,$A145&lt;BH$6),AND(BH$7&gt;0,$A145&gt;BH$7)),0,MAX(0,ROUND((INDEX($E145:$G145,BH$5)-SUMIFS(TF_Timer,TF_Tekniker,BH$4,TF_Dato,$A145))*2,0)/2)))</f>
        <v/>
      </c>
      <c r="BI145">
        <f>IF(OR(BI$4="",$A145&gt;TODAY()),0,IF(OR(INDEX($B145:$D145,BI$5)="F",AND(BI$6&gt;0,$A145&lt;BI$6),AND(BI$7&gt;0,$A145&gt;BI$7)),0,MAX(0,ROUND((INDEX($E145:$G145,BI$5)-SUMIFS(TF_Timer,TF_Tekniker,BI$4,TF_Dato,$A145))*2,0)/2)))</f>
        <v/>
      </c>
    </row>
    <row r="146">
      <c r="A146" s="64">
        <f>A145+1</f>
        <v/>
      </c>
      <c r="B146">
        <f>IF(MOD($A146-INDEX(SkiftStart,1),Syklus)&lt;DagK,"K",IF(MOD($A146-INDEX(SkiftStart,1),Syklus)&lt;DagK+DagH,"H",IF(MOD($A146-INDEX(SkiftStart,1),Syklus)&lt;DagK+DagH+DagD,"D","F")))</f>
        <v/>
      </c>
      <c r="C146">
        <f>IF(MOD($A146-INDEX(SkiftStart,2),Syklus)&lt;DagK,"K",IF(MOD($A146-INDEX(SkiftStart,2),Syklus)&lt;DagK+DagH,"H",IF(MOD($A146-INDEX(SkiftStart,2),Syklus)&lt;DagK+DagH+DagD,"D","F")))</f>
        <v/>
      </c>
      <c r="D146">
        <f>IF(MOD($A146-INDEX(SkiftStart,3),Syklus)&lt;DagK,"K",IF(MOD($A146-INDEX(SkiftStart,3),Syklus)&lt;DagK+DagH,"H",IF(MOD($A146-INDEX(SkiftStart,3),Syklus)&lt;DagK+DagH+DagD,"D","F")))</f>
        <v/>
      </c>
      <c r="E146">
        <f>IF(B146="F",0,IF(WEEKDAY($A146,2)=5,INDEX(TimerFr,MATCH(B146,FaseKode,0)),INDEX(TimerMT,MATCH(B146,FaseKode,0))))</f>
        <v/>
      </c>
      <c r="F146">
        <f>IF(C146="F",0,IF(WEEKDAY($A146,2)=5,INDEX(TimerFr,MATCH(C146,FaseKode,0)),INDEX(TimerMT,MATCH(C146,FaseKode,0))))</f>
        <v/>
      </c>
      <c r="G146">
        <f>IF(D146="F",0,IF(WEEKDAY($A146,2)=5,INDEX(TimerFr,MATCH(D146,FaseKode,0)),INDEX(TimerMT,MATCH(D146,FaseKode,0))))</f>
        <v/>
      </c>
      <c r="H146">
        <f>IF(OR(H$4="",$A146&gt;TODAY()),0,IF(OR(INDEX($B146:$D146,H$5)="F",AND(H$6&gt;0,$A146&lt;H$6),AND(H$7&gt;0,$A146&gt;H$7)),0,MAX(0,ROUND((INDEX($E146:$G146,H$5)-SUMIFS(TF_Timer,TF_Tekniker,H$4,TF_Dato,$A146))*2,0)/2)))</f>
        <v/>
      </c>
      <c r="I146">
        <f>IF(OR(I$4="",$A146&gt;TODAY()),0,IF(OR(INDEX($B146:$D146,I$5)="F",AND(I$6&gt;0,$A146&lt;I$6),AND(I$7&gt;0,$A146&gt;I$7)),0,MAX(0,ROUND((INDEX($E146:$G146,I$5)-SUMIFS(TF_Timer,TF_Tekniker,I$4,TF_Dato,$A146))*2,0)/2)))</f>
        <v/>
      </c>
      <c r="J146">
        <f>IF(OR(J$4="",$A146&gt;TODAY()),0,IF(OR(INDEX($B146:$D146,J$5)="F",AND(J$6&gt;0,$A146&lt;J$6),AND(J$7&gt;0,$A146&gt;J$7)),0,MAX(0,ROUND((INDEX($E146:$G146,J$5)-SUMIFS(TF_Timer,TF_Tekniker,J$4,TF_Dato,$A146))*2,0)/2)))</f>
        <v/>
      </c>
      <c r="K146">
        <f>IF(OR(K$4="",$A146&gt;TODAY()),0,IF(OR(INDEX($B146:$D146,K$5)="F",AND(K$6&gt;0,$A146&lt;K$6),AND(K$7&gt;0,$A146&gt;K$7)),0,MAX(0,ROUND((INDEX($E146:$G146,K$5)-SUMIFS(TF_Timer,TF_Tekniker,K$4,TF_Dato,$A146))*2,0)/2)))</f>
        <v/>
      </c>
      <c r="L146">
        <f>IF(OR(L$4="",$A146&gt;TODAY()),0,IF(OR(INDEX($B146:$D146,L$5)="F",AND(L$6&gt;0,$A146&lt;L$6),AND(L$7&gt;0,$A146&gt;L$7)),0,MAX(0,ROUND((INDEX($E146:$G146,L$5)-SUMIFS(TF_Timer,TF_Tekniker,L$4,TF_Dato,$A146))*2,0)/2)))</f>
        <v/>
      </c>
      <c r="M146">
        <f>IF(OR(M$4="",$A146&gt;TODAY()),0,IF(OR(INDEX($B146:$D146,M$5)="F",AND(M$6&gt;0,$A146&lt;M$6),AND(M$7&gt;0,$A146&gt;M$7)),0,MAX(0,ROUND((INDEX($E146:$G146,M$5)-SUMIFS(TF_Timer,TF_Tekniker,M$4,TF_Dato,$A146))*2,0)/2)))</f>
        <v/>
      </c>
      <c r="N146">
        <f>IF(OR(N$4="",$A146&gt;TODAY()),0,IF(OR(INDEX($B146:$D146,N$5)="F",AND(N$6&gt;0,$A146&lt;N$6),AND(N$7&gt;0,$A146&gt;N$7)),0,MAX(0,ROUND((INDEX($E146:$G146,N$5)-SUMIFS(TF_Timer,TF_Tekniker,N$4,TF_Dato,$A146))*2,0)/2)))</f>
        <v/>
      </c>
      <c r="O146">
        <f>IF(OR(O$4="",$A146&gt;TODAY()),0,IF(OR(INDEX($B146:$D146,O$5)="F",AND(O$6&gt;0,$A146&lt;O$6),AND(O$7&gt;0,$A146&gt;O$7)),0,MAX(0,ROUND((INDEX($E146:$G146,O$5)-SUMIFS(TF_Timer,TF_Tekniker,O$4,TF_Dato,$A146))*2,0)/2)))</f>
        <v/>
      </c>
      <c r="P146">
        <f>IF(OR(P$4="",$A146&gt;TODAY()),0,IF(OR(INDEX($B146:$D146,P$5)="F",AND(P$6&gt;0,$A146&lt;P$6),AND(P$7&gt;0,$A146&gt;P$7)),0,MAX(0,ROUND((INDEX($E146:$G146,P$5)-SUMIFS(TF_Timer,TF_Tekniker,P$4,TF_Dato,$A146))*2,0)/2)))</f>
        <v/>
      </c>
      <c r="Q146">
        <f>IF(OR(Q$4="",$A146&gt;TODAY()),0,IF(OR(INDEX($B146:$D146,Q$5)="F",AND(Q$6&gt;0,$A146&lt;Q$6),AND(Q$7&gt;0,$A146&gt;Q$7)),0,MAX(0,ROUND((INDEX($E146:$G146,Q$5)-SUMIFS(TF_Timer,TF_Tekniker,Q$4,TF_Dato,$A146))*2,0)/2)))</f>
        <v/>
      </c>
      <c r="R146">
        <f>IF(OR(R$4="",$A146&gt;TODAY()),0,IF(OR(INDEX($B146:$D146,R$5)="F",AND(R$6&gt;0,$A146&lt;R$6),AND(R$7&gt;0,$A146&gt;R$7)),0,MAX(0,ROUND((INDEX($E146:$G146,R$5)-SUMIFS(TF_Timer,TF_Tekniker,R$4,TF_Dato,$A146))*2,0)/2)))</f>
        <v/>
      </c>
      <c r="S146">
        <f>IF(OR(S$4="",$A146&gt;TODAY()),0,IF(OR(INDEX($B146:$D146,S$5)="F",AND(S$6&gt;0,$A146&lt;S$6),AND(S$7&gt;0,$A146&gt;S$7)),0,MAX(0,ROUND((INDEX($E146:$G146,S$5)-SUMIFS(TF_Timer,TF_Tekniker,S$4,TF_Dato,$A146))*2,0)/2)))</f>
        <v/>
      </c>
      <c r="T146">
        <f>IF(OR(T$4="",$A146&gt;TODAY()),0,IF(OR(INDEX($B146:$D146,T$5)="F",AND(T$6&gt;0,$A146&lt;T$6),AND(T$7&gt;0,$A146&gt;T$7)),0,MAX(0,ROUND((INDEX($E146:$G146,T$5)-SUMIFS(TF_Timer,TF_Tekniker,T$4,TF_Dato,$A146))*2,0)/2)))</f>
        <v/>
      </c>
      <c r="U146">
        <f>IF(OR(U$4="",$A146&gt;TODAY()),0,IF(OR(INDEX($B146:$D146,U$5)="F",AND(U$6&gt;0,$A146&lt;U$6),AND(U$7&gt;0,$A146&gt;U$7)),0,MAX(0,ROUND((INDEX($E146:$G146,U$5)-SUMIFS(TF_Timer,TF_Tekniker,U$4,TF_Dato,$A146))*2,0)/2)))</f>
        <v/>
      </c>
      <c r="V146">
        <f>IF(OR(V$4="",$A146&gt;TODAY()),0,IF(OR(INDEX($B146:$D146,V$5)="F",AND(V$6&gt;0,$A146&lt;V$6),AND(V$7&gt;0,$A146&gt;V$7)),0,MAX(0,ROUND((INDEX($E146:$G146,V$5)-SUMIFS(TF_Timer,TF_Tekniker,V$4,TF_Dato,$A146))*2,0)/2)))</f>
        <v/>
      </c>
      <c r="W146">
        <f>IF(OR(W$4="",$A146&gt;TODAY()),0,IF(OR(INDEX($B146:$D146,W$5)="F",AND(W$6&gt;0,$A146&lt;W$6),AND(W$7&gt;0,$A146&gt;W$7)),0,MAX(0,ROUND((INDEX($E146:$G146,W$5)-SUMIFS(TF_Timer,TF_Tekniker,W$4,TF_Dato,$A146))*2,0)/2)))</f>
        <v/>
      </c>
      <c r="X146">
        <f>IF(OR(X$4="",$A146&gt;TODAY()),0,IF(OR(INDEX($B146:$D146,X$5)="F",AND(X$6&gt;0,$A146&lt;X$6),AND(X$7&gt;0,$A146&gt;X$7)),0,MAX(0,ROUND((INDEX($E146:$G146,X$5)-SUMIFS(TF_Timer,TF_Tekniker,X$4,TF_Dato,$A146))*2,0)/2)))</f>
        <v/>
      </c>
      <c r="Y146">
        <f>IF(OR(Y$4="",$A146&gt;TODAY()),0,IF(OR(INDEX($B146:$D146,Y$5)="F",AND(Y$6&gt;0,$A146&lt;Y$6),AND(Y$7&gt;0,$A146&gt;Y$7)),0,MAX(0,ROUND((INDEX($E146:$G146,Y$5)-SUMIFS(TF_Timer,TF_Tekniker,Y$4,TF_Dato,$A146))*2,0)/2)))</f>
        <v/>
      </c>
      <c r="Z146">
        <f>IF(OR(Z$4="",$A146&gt;TODAY()),0,IF(OR(INDEX($B146:$D146,Z$5)="F",AND(Z$6&gt;0,$A146&lt;Z$6),AND(Z$7&gt;0,$A146&gt;Z$7)),0,MAX(0,ROUND((INDEX($E146:$G146,Z$5)-SUMIFS(TF_Timer,TF_Tekniker,Z$4,TF_Dato,$A146))*2,0)/2)))</f>
        <v/>
      </c>
      <c r="AA146">
        <f>IF(OR(AA$4="",$A146&gt;TODAY()),0,IF(OR(INDEX($B146:$D146,AA$5)="F",AND(AA$6&gt;0,$A146&lt;AA$6),AND(AA$7&gt;0,$A146&gt;AA$7)),0,MAX(0,ROUND((INDEX($E146:$G146,AA$5)-SUMIFS(TF_Timer,TF_Tekniker,AA$4,TF_Dato,$A146))*2,0)/2)))</f>
        <v/>
      </c>
      <c r="AB146">
        <f>IF(OR(AB$4="",$A146&gt;TODAY()),0,IF(OR(INDEX($B146:$D146,AB$5)="F",AND(AB$6&gt;0,$A146&lt;AB$6),AND(AB$7&gt;0,$A146&gt;AB$7)),0,MAX(0,ROUND((INDEX($E146:$G146,AB$5)-SUMIFS(TF_Timer,TF_Tekniker,AB$4,TF_Dato,$A146))*2,0)/2)))</f>
        <v/>
      </c>
      <c r="AC146">
        <f>IF(OR(AC$4="",$A146&gt;TODAY()),0,IF(OR(INDEX($B146:$D146,AC$5)="F",AND(AC$6&gt;0,$A146&lt;AC$6),AND(AC$7&gt;0,$A146&gt;AC$7)),0,MAX(0,ROUND((INDEX($E146:$G146,AC$5)-SUMIFS(TF_Timer,TF_Tekniker,AC$4,TF_Dato,$A146))*2,0)/2)))</f>
        <v/>
      </c>
      <c r="AD146">
        <f>IF(OR(AD$4="",$A146&gt;TODAY()),0,IF(OR(INDEX($B146:$D146,AD$5)="F",AND(AD$6&gt;0,$A146&lt;AD$6),AND(AD$7&gt;0,$A146&gt;AD$7)),0,MAX(0,ROUND((INDEX($E146:$G146,AD$5)-SUMIFS(TF_Timer,TF_Tekniker,AD$4,TF_Dato,$A146))*2,0)/2)))</f>
        <v/>
      </c>
      <c r="AE146">
        <f>IF(OR(AE$4="",$A146&gt;TODAY()),0,IF(OR(INDEX($B146:$D146,AE$5)="F",AND(AE$6&gt;0,$A146&lt;AE$6),AND(AE$7&gt;0,$A146&gt;AE$7)),0,MAX(0,ROUND((INDEX($E146:$G146,AE$5)-SUMIFS(TF_Timer,TF_Tekniker,AE$4,TF_Dato,$A146))*2,0)/2)))</f>
        <v/>
      </c>
      <c r="AF146">
        <f>IF(OR(AF$4="",$A146&gt;TODAY()),0,IF(OR(INDEX($B146:$D146,AF$5)="F",AND(AF$6&gt;0,$A146&lt;AF$6),AND(AF$7&gt;0,$A146&gt;AF$7)),0,MAX(0,ROUND((INDEX($E146:$G146,AF$5)-SUMIFS(TF_Timer,TF_Tekniker,AF$4,TF_Dato,$A146))*2,0)/2)))</f>
        <v/>
      </c>
      <c r="AG146">
        <f>IF(OR(AG$4="",$A146&gt;TODAY()),0,IF(OR(INDEX($B146:$D146,AG$5)="F",AND(AG$6&gt;0,$A146&lt;AG$6),AND(AG$7&gt;0,$A146&gt;AG$7)),0,MAX(0,ROUND((INDEX($E146:$G146,AG$5)-SUMIFS(TF_Timer,TF_Tekniker,AG$4,TF_Dato,$A146))*2,0)/2)))</f>
        <v/>
      </c>
      <c r="AH146">
        <f>IF(OR(AH$4="",$A146&gt;TODAY()),0,IF(OR(INDEX($B146:$D146,AH$5)="F",AND(AH$6&gt;0,$A146&lt;AH$6),AND(AH$7&gt;0,$A146&gt;AH$7)),0,MAX(0,ROUND((INDEX($E146:$G146,AH$5)-SUMIFS(TF_Timer,TF_Tekniker,AH$4,TF_Dato,$A146))*2,0)/2)))</f>
        <v/>
      </c>
      <c r="AI146">
        <f>IF(OR(AI$4="",$A146&gt;TODAY()),0,IF(OR(INDEX($B146:$D146,AI$5)="F",AND(AI$6&gt;0,$A146&lt;AI$6),AND(AI$7&gt;0,$A146&gt;AI$7)),0,MAX(0,ROUND((INDEX($E146:$G146,AI$5)-SUMIFS(TF_Timer,TF_Tekniker,AI$4,TF_Dato,$A146))*2,0)/2)))</f>
        <v/>
      </c>
      <c r="AJ146">
        <f>IF(OR(AJ$4="",$A146&gt;TODAY()),0,IF(OR(INDEX($B146:$D146,AJ$5)="F",AND(AJ$6&gt;0,$A146&lt;AJ$6),AND(AJ$7&gt;0,$A146&gt;AJ$7)),0,MAX(0,ROUND((INDEX($E146:$G146,AJ$5)-SUMIFS(TF_Timer,TF_Tekniker,AJ$4,TF_Dato,$A146))*2,0)/2)))</f>
        <v/>
      </c>
      <c r="AK146">
        <f>IF(OR(AK$4="",$A146&gt;TODAY()),0,IF(OR(INDEX($B146:$D146,AK$5)="F",AND(AK$6&gt;0,$A146&lt;AK$6),AND(AK$7&gt;0,$A146&gt;AK$7)),0,MAX(0,ROUND((INDEX($E146:$G146,AK$5)-SUMIFS(TF_Timer,TF_Tekniker,AK$4,TF_Dato,$A146))*2,0)/2)))</f>
        <v/>
      </c>
      <c r="AL146">
        <f>IF(OR(AL$4="",$A146&gt;TODAY()),0,IF(OR(INDEX($B146:$D146,AL$5)="F",AND(AL$6&gt;0,$A146&lt;AL$6),AND(AL$7&gt;0,$A146&gt;AL$7)),0,MAX(0,ROUND((INDEX($E146:$G146,AL$5)-SUMIFS(TF_Timer,TF_Tekniker,AL$4,TF_Dato,$A146))*2,0)/2)))</f>
        <v/>
      </c>
      <c r="AM146">
        <f>IF(OR(AM$4="",$A146&gt;TODAY()),0,IF(OR(INDEX($B146:$D146,AM$5)="F",AND(AM$6&gt;0,$A146&lt;AM$6),AND(AM$7&gt;0,$A146&gt;AM$7)),0,MAX(0,ROUND((INDEX($E146:$G146,AM$5)-SUMIFS(TF_Timer,TF_Tekniker,AM$4,TF_Dato,$A146))*2,0)/2)))</f>
        <v/>
      </c>
      <c r="AN146">
        <f>IF(OR(AN$4="",$A146&gt;TODAY()),0,IF(OR(INDEX($B146:$D146,AN$5)="F",AND(AN$6&gt;0,$A146&lt;AN$6),AND(AN$7&gt;0,$A146&gt;AN$7)),0,MAX(0,ROUND((INDEX($E146:$G146,AN$5)-SUMIFS(TF_Timer,TF_Tekniker,AN$4,TF_Dato,$A146))*2,0)/2)))</f>
        <v/>
      </c>
      <c r="AO146">
        <f>IF(OR(AO$4="",$A146&gt;TODAY()),0,IF(OR(INDEX($B146:$D146,AO$5)="F",AND(AO$6&gt;0,$A146&lt;AO$6),AND(AO$7&gt;0,$A146&gt;AO$7)),0,MAX(0,ROUND((INDEX($E146:$G146,AO$5)-SUMIFS(TF_Timer,TF_Tekniker,AO$4,TF_Dato,$A146))*2,0)/2)))</f>
        <v/>
      </c>
      <c r="AP146">
        <f>IF(OR(AP$4="",$A146&gt;TODAY()),0,IF(OR(INDEX($B146:$D146,AP$5)="F",AND(AP$6&gt;0,$A146&lt;AP$6),AND(AP$7&gt;0,$A146&gt;AP$7)),0,MAX(0,ROUND((INDEX($E146:$G146,AP$5)-SUMIFS(TF_Timer,TF_Tekniker,AP$4,TF_Dato,$A146))*2,0)/2)))</f>
        <v/>
      </c>
      <c r="AQ146">
        <f>IF(OR(AQ$4="",$A146&gt;TODAY()),0,IF(OR(INDEX($B146:$D146,AQ$5)="F",AND(AQ$6&gt;0,$A146&lt;AQ$6),AND(AQ$7&gt;0,$A146&gt;AQ$7)),0,MAX(0,ROUND((INDEX($E146:$G146,AQ$5)-SUMIFS(TF_Timer,TF_Tekniker,AQ$4,TF_Dato,$A146))*2,0)/2)))</f>
        <v/>
      </c>
      <c r="AR146">
        <f>IF(OR(AR$4="",$A146&gt;TODAY()),0,IF(OR(INDEX($B146:$D146,AR$5)="F",AND(AR$6&gt;0,$A146&lt;AR$6),AND(AR$7&gt;0,$A146&gt;AR$7)),0,MAX(0,ROUND((INDEX($E146:$G146,AR$5)-SUMIFS(TF_Timer,TF_Tekniker,AR$4,TF_Dato,$A146))*2,0)/2)))</f>
        <v/>
      </c>
      <c r="AS146">
        <f>IF(OR(AS$4="",$A146&gt;TODAY()),0,IF(OR(INDEX($B146:$D146,AS$5)="F",AND(AS$6&gt;0,$A146&lt;AS$6),AND(AS$7&gt;0,$A146&gt;AS$7)),0,MAX(0,ROUND((INDEX($E146:$G146,AS$5)-SUMIFS(TF_Timer,TF_Tekniker,AS$4,TF_Dato,$A146))*2,0)/2)))</f>
        <v/>
      </c>
      <c r="AT146">
        <f>IF(OR(AT$4="",$A146&gt;TODAY()),0,IF(OR(INDEX($B146:$D146,AT$5)="F",AND(AT$6&gt;0,$A146&lt;AT$6),AND(AT$7&gt;0,$A146&gt;AT$7)),0,MAX(0,ROUND((INDEX($E146:$G146,AT$5)-SUMIFS(TF_Timer,TF_Tekniker,AT$4,TF_Dato,$A146))*2,0)/2)))</f>
        <v/>
      </c>
      <c r="AU146">
        <f>IF(OR(AU$4="",$A146&gt;TODAY()),0,IF(OR(INDEX($B146:$D146,AU$5)="F",AND(AU$6&gt;0,$A146&lt;AU$6),AND(AU$7&gt;0,$A146&gt;AU$7)),0,MAX(0,ROUND((INDEX($E146:$G146,AU$5)-SUMIFS(TF_Timer,TF_Tekniker,AU$4,TF_Dato,$A146))*2,0)/2)))</f>
        <v/>
      </c>
      <c r="AV146">
        <f>IF(OR(AV$4="",$A146&gt;TODAY()),0,IF(OR(INDEX($B146:$D146,AV$5)="F",AND(AV$6&gt;0,$A146&lt;AV$6),AND(AV$7&gt;0,$A146&gt;AV$7)),0,MAX(0,ROUND((INDEX($E146:$G146,AV$5)-SUMIFS(TF_Timer,TF_Tekniker,AV$4,TF_Dato,$A146))*2,0)/2)))</f>
        <v/>
      </c>
      <c r="AW146">
        <f>IF(OR(AW$4="",$A146&gt;TODAY()),0,IF(OR(INDEX($B146:$D146,AW$5)="F",AND(AW$6&gt;0,$A146&lt;AW$6),AND(AW$7&gt;0,$A146&gt;AW$7)),0,MAX(0,ROUND((INDEX($E146:$G146,AW$5)-SUMIFS(TF_Timer,TF_Tekniker,AW$4,TF_Dato,$A146))*2,0)/2)))</f>
        <v/>
      </c>
      <c r="AX146">
        <f>IF(OR(AX$4="",$A146&gt;TODAY()),0,IF(OR(INDEX($B146:$D146,AX$5)="F",AND(AX$6&gt;0,$A146&lt;AX$6),AND(AX$7&gt;0,$A146&gt;AX$7)),0,MAX(0,ROUND((INDEX($E146:$G146,AX$5)-SUMIFS(TF_Timer,TF_Tekniker,AX$4,TF_Dato,$A146))*2,0)/2)))</f>
        <v/>
      </c>
      <c r="AY146">
        <f>IF(OR(AY$4="",$A146&gt;TODAY()),0,IF(OR(INDEX($B146:$D146,AY$5)="F",AND(AY$6&gt;0,$A146&lt;AY$6),AND(AY$7&gt;0,$A146&gt;AY$7)),0,MAX(0,ROUND((INDEX($E146:$G146,AY$5)-SUMIFS(TF_Timer,TF_Tekniker,AY$4,TF_Dato,$A146))*2,0)/2)))</f>
        <v/>
      </c>
      <c r="AZ146">
        <f>IF(OR(AZ$4="",$A146&gt;TODAY()),0,IF(OR(INDEX($B146:$D146,AZ$5)="F",AND(AZ$6&gt;0,$A146&lt;AZ$6),AND(AZ$7&gt;0,$A146&gt;AZ$7)),0,MAX(0,ROUND((INDEX($E146:$G146,AZ$5)-SUMIFS(TF_Timer,TF_Tekniker,AZ$4,TF_Dato,$A146))*2,0)/2)))</f>
        <v/>
      </c>
      <c r="BA146">
        <f>IF(OR(BA$4="",$A146&gt;TODAY()),0,IF(OR(INDEX($B146:$D146,BA$5)="F",AND(BA$6&gt;0,$A146&lt;BA$6),AND(BA$7&gt;0,$A146&gt;BA$7)),0,MAX(0,ROUND((INDEX($E146:$G146,BA$5)-SUMIFS(TF_Timer,TF_Tekniker,BA$4,TF_Dato,$A146))*2,0)/2)))</f>
        <v/>
      </c>
      <c r="BB146">
        <f>IF(OR(BB$4="",$A146&gt;TODAY()),0,IF(OR(INDEX($B146:$D146,BB$5)="F",AND(BB$6&gt;0,$A146&lt;BB$6),AND(BB$7&gt;0,$A146&gt;BB$7)),0,MAX(0,ROUND((INDEX($E146:$G146,BB$5)-SUMIFS(TF_Timer,TF_Tekniker,BB$4,TF_Dato,$A146))*2,0)/2)))</f>
        <v/>
      </c>
      <c r="BC146">
        <f>IF(OR(BC$4="",$A146&gt;TODAY()),0,IF(OR(INDEX($B146:$D146,BC$5)="F",AND(BC$6&gt;0,$A146&lt;BC$6),AND(BC$7&gt;0,$A146&gt;BC$7)),0,MAX(0,ROUND((INDEX($E146:$G146,BC$5)-SUMIFS(TF_Timer,TF_Tekniker,BC$4,TF_Dato,$A146))*2,0)/2)))</f>
        <v/>
      </c>
      <c r="BD146">
        <f>IF(OR(BD$4="",$A146&gt;TODAY()),0,IF(OR(INDEX($B146:$D146,BD$5)="F",AND(BD$6&gt;0,$A146&lt;BD$6),AND(BD$7&gt;0,$A146&gt;BD$7)),0,MAX(0,ROUND((INDEX($E146:$G146,BD$5)-SUMIFS(TF_Timer,TF_Tekniker,BD$4,TF_Dato,$A146))*2,0)/2)))</f>
        <v/>
      </c>
      <c r="BE146">
        <f>IF(OR(BE$4="",$A146&gt;TODAY()),0,IF(OR(INDEX($B146:$D146,BE$5)="F",AND(BE$6&gt;0,$A146&lt;BE$6),AND(BE$7&gt;0,$A146&gt;BE$7)),0,MAX(0,ROUND((INDEX($E146:$G146,BE$5)-SUMIFS(TF_Timer,TF_Tekniker,BE$4,TF_Dato,$A146))*2,0)/2)))</f>
        <v/>
      </c>
      <c r="BF146">
        <f>IF(OR(BF$4="",$A146&gt;TODAY()),0,IF(OR(INDEX($B146:$D146,BF$5)="F",AND(BF$6&gt;0,$A146&lt;BF$6),AND(BF$7&gt;0,$A146&gt;BF$7)),0,MAX(0,ROUND((INDEX($E146:$G146,BF$5)-SUMIFS(TF_Timer,TF_Tekniker,BF$4,TF_Dato,$A146))*2,0)/2)))</f>
        <v/>
      </c>
      <c r="BG146">
        <f>IF(OR(BG$4="",$A146&gt;TODAY()),0,IF(OR(INDEX($B146:$D146,BG$5)="F",AND(BG$6&gt;0,$A146&lt;BG$6),AND(BG$7&gt;0,$A146&gt;BG$7)),0,MAX(0,ROUND((INDEX($E146:$G146,BG$5)-SUMIFS(TF_Timer,TF_Tekniker,BG$4,TF_Dato,$A146))*2,0)/2)))</f>
        <v/>
      </c>
      <c r="BH146">
        <f>IF(OR(BH$4="",$A146&gt;TODAY()),0,IF(OR(INDEX($B146:$D146,BH$5)="F",AND(BH$6&gt;0,$A146&lt;BH$6),AND(BH$7&gt;0,$A146&gt;BH$7)),0,MAX(0,ROUND((INDEX($E146:$G146,BH$5)-SUMIFS(TF_Timer,TF_Tekniker,BH$4,TF_Dato,$A146))*2,0)/2)))</f>
        <v/>
      </c>
      <c r="BI146">
        <f>IF(OR(BI$4="",$A146&gt;TODAY()),0,IF(OR(INDEX($B146:$D146,BI$5)="F",AND(BI$6&gt;0,$A146&lt;BI$6),AND(BI$7&gt;0,$A146&gt;BI$7)),0,MAX(0,ROUND((INDEX($E146:$G146,BI$5)-SUMIFS(TF_Timer,TF_Tekniker,BI$4,TF_Dato,$A146))*2,0)/2)))</f>
        <v/>
      </c>
    </row>
    <row r="147">
      <c r="A147" s="64">
        <f>A146+1</f>
        <v/>
      </c>
      <c r="B147">
        <f>IF(MOD($A147-INDEX(SkiftStart,1),Syklus)&lt;DagK,"K",IF(MOD($A147-INDEX(SkiftStart,1),Syklus)&lt;DagK+DagH,"H",IF(MOD($A147-INDEX(SkiftStart,1),Syklus)&lt;DagK+DagH+DagD,"D","F")))</f>
        <v/>
      </c>
      <c r="C147">
        <f>IF(MOD($A147-INDEX(SkiftStart,2),Syklus)&lt;DagK,"K",IF(MOD($A147-INDEX(SkiftStart,2),Syklus)&lt;DagK+DagH,"H",IF(MOD($A147-INDEX(SkiftStart,2),Syklus)&lt;DagK+DagH+DagD,"D","F")))</f>
        <v/>
      </c>
      <c r="D147">
        <f>IF(MOD($A147-INDEX(SkiftStart,3),Syklus)&lt;DagK,"K",IF(MOD($A147-INDEX(SkiftStart,3),Syklus)&lt;DagK+DagH,"H",IF(MOD($A147-INDEX(SkiftStart,3),Syklus)&lt;DagK+DagH+DagD,"D","F")))</f>
        <v/>
      </c>
      <c r="E147">
        <f>IF(B147="F",0,IF(WEEKDAY($A147,2)=5,INDEX(TimerFr,MATCH(B147,FaseKode,0)),INDEX(TimerMT,MATCH(B147,FaseKode,0))))</f>
        <v/>
      </c>
      <c r="F147">
        <f>IF(C147="F",0,IF(WEEKDAY($A147,2)=5,INDEX(TimerFr,MATCH(C147,FaseKode,0)),INDEX(TimerMT,MATCH(C147,FaseKode,0))))</f>
        <v/>
      </c>
      <c r="G147">
        <f>IF(D147="F",0,IF(WEEKDAY($A147,2)=5,INDEX(TimerFr,MATCH(D147,FaseKode,0)),INDEX(TimerMT,MATCH(D147,FaseKode,0))))</f>
        <v/>
      </c>
      <c r="H147">
        <f>IF(OR(H$4="",$A147&gt;TODAY()),0,IF(OR(INDEX($B147:$D147,H$5)="F",AND(H$6&gt;0,$A147&lt;H$6),AND(H$7&gt;0,$A147&gt;H$7)),0,MAX(0,ROUND((INDEX($E147:$G147,H$5)-SUMIFS(TF_Timer,TF_Tekniker,H$4,TF_Dato,$A147))*2,0)/2)))</f>
        <v/>
      </c>
      <c r="I147">
        <f>IF(OR(I$4="",$A147&gt;TODAY()),0,IF(OR(INDEX($B147:$D147,I$5)="F",AND(I$6&gt;0,$A147&lt;I$6),AND(I$7&gt;0,$A147&gt;I$7)),0,MAX(0,ROUND((INDEX($E147:$G147,I$5)-SUMIFS(TF_Timer,TF_Tekniker,I$4,TF_Dato,$A147))*2,0)/2)))</f>
        <v/>
      </c>
      <c r="J147">
        <f>IF(OR(J$4="",$A147&gt;TODAY()),0,IF(OR(INDEX($B147:$D147,J$5)="F",AND(J$6&gt;0,$A147&lt;J$6),AND(J$7&gt;0,$A147&gt;J$7)),0,MAX(0,ROUND((INDEX($E147:$G147,J$5)-SUMIFS(TF_Timer,TF_Tekniker,J$4,TF_Dato,$A147))*2,0)/2)))</f>
        <v/>
      </c>
      <c r="K147">
        <f>IF(OR(K$4="",$A147&gt;TODAY()),0,IF(OR(INDEX($B147:$D147,K$5)="F",AND(K$6&gt;0,$A147&lt;K$6),AND(K$7&gt;0,$A147&gt;K$7)),0,MAX(0,ROUND((INDEX($E147:$G147,K$5)-SUMIFS(TF_Timer,TF_Tekniker,K$4,TF_Dato,$A147))*2,0)/2)))</f>
        <v/>
      </c>
      <c r="L147">
        <f>IF(OR(L$4="",$A147&gt;TODAY()),0,IF(OR(INDEX($B147:$D147,L$5)="F",AND(L$6&gt;0,$A147&lt;L$6),AND(L$7&gt;0,$A147&gt;L$7)),0,MAX(0,ROUND((INDEX($E147:$G147,L$5)-SUMIFS(TF_Timer,TF_Tekniker,L$4,TF_Dato,$A147))*2,0)/2)))</f>
        <v/>
      </c>
      <c r="M147">
        <f>IF(OR(M$4="",$A147&gt;TODAY()),0,IF(OR(INDEX($B147:$D147,M$5)="F",AND(M$6&gt;0,$A147&lt;M$6),AND(M$7&gt;0,$A147&gt;M$7)),0,MAX(0,ROUND((INDEX($E147:$G147,M$5)-SUMIFS(TF_Timer,TF_Tekniker,M$4,TF_Dato,$A147))*2,0)/2)))</f>
        <v/>
      </c>
      <c r="N147">
        <f>IF(OR(N$4="",$A147&gt;TODAY()),0,IF(OR(INDEX($B147:$D147,N$5)="F",AND(N$6&gt;0,$A147&lt;N$6),AND(N$7&gt;0,$A147&gt;N$7)),0,MAX(0,ROUND((INDEX($E147:$G147,N$5)-SUMIFS(TF_Timer,TF_Tekniker,N$4,TF_Dato,$A147))*2,0)/2)))</f>
        <v/>
      </c>
      <c r="O147">
        <f>IF(OR(O$4="",$A147&gt;TODAY()),0,IF(OR(INDEX($B147:$D147,O$5)="F",AND(O$6&gt;0,$A147&lt;O$6),AND(O$7&gt;0,$A147&gt;O$7)),0,MAX(0,ROUND((INDEX($E147:$G147,O$5)-SUMIFS(TF_Timer,TF_Tekniker,O$4,TF_Dato,$A147))*2,0)/2)))</f>
        <v/>
      </c>
      <c r="P147">
        <f>IF(OR(P$4="",$A147&gt;TODAY()),0,IF(OR(INDEX($B147:$D147,P$5)="F",AND(P$6&gt;0,$A147&lt;P$6),AND(P$7&gt;0,$A147&gt;P$7)),0,MAX(0,ROUND((INDEX($E147:$G147,P$5)-SUMIFS(TF_Timer,TF_Tekniker,P$4,TF_Dato,$A147))*2,0)/2)))</f>
        <v/>
      </c>
      <c r="Q147">
        <f>IF(OR(Q$4="",$A147&gt;TODAY()),0,IF(OR(INDEX($B147:$D147,Q$5)="F",AND(Q$6&gt;0,$A147&lt;Q$6),AND(Q$7&gt;0,$A147&gt;Q$7)),0,MAX(0,ROUND((INDEX($E147:$G147,Q$5)-SUMIFS(TF_Timer,TF_Tekniker,Q$4,TF_Dato,$A147))*2,0)/2)))</f>
        <v/>
      </c>
      <c r="R147">
        <f>IF(OR(R$4="",$A147&gt;TODAY()),0,IF(OR(INDEX($B147:$D147,R$5)="F",AND(R$6&gt;0,$A147&lt;R$6),AND(R$7&gt;0,$A147&gt;R$7)),0,MAX(0,ROUND((INDEX($E147:$G147,R$5)-SUMIFS(TF_Timer,TF_Tekniker,R$4,TF_Dato,$A147))*2,0)/2)))</f>
        <v/>
      </c>
      <c r="S147">
        <f>IF(OR(S$4="",$A147&gt;TODAY()),0,IF(OR(INDEX($B147:$D147,S$5)="F",AND(S$6&gt;0,$A147&lt;S$6),AND(S$7&gt;0,$A147&gt;S$7)),0,MAX(0,ROUND((INDEX($E147:$G147,S$5)-SUMIFS(TF_Timer,TF_Tekniker,S$4,TF_Dato,$A147))*2,0)/2)))</f>
        <v/>
      </c>
      <c r="T147">
        <f>IF(OR(T$4="",$A147&gt;TODAY()),0,IF(OR(INDEX($B147:$D147,T$5)="F",AND(T$6&gt;0,$A147&lt;T$6),AND(T$7&gt;0,$A147&gt;T$7)),0,MAX(0,ROUND((INDEX($E147:$G147,T$5)-SUMIFS(TF_Timer,TF_Tekniker,T$4,TF_Dato,$A147))*2,0)/2)))</f>
        <v/>
      </c>
      <c r="U147">
        <f>IF(OR(U$4="",$A147&gt;TODAY()),0,IF(OR(INDEX($B147:$D147,U$5)="F",AND(U$6&gt;0,$A147&lt;U$6),AND(U$7&gt;0,$A147&gt;U$7)),0,MAX(0,ROUND((INDEX($E147:$G147,U$5)-SUMIFS(TF_Timer,TF_Tekniker,U$4,TF_Dato,$A147))*2,0)/2)))</f>
        <v/>
      </c>
      <c r="V147">
        <f>IF(OR(V$4="",$A147&gt;TODAY()),0,IF(OR(INDEX($B147:$D147,V$5)="F",AND(V$6&gt;0,$A147&lt;V$6),AND(V$7&gt;0,$A147&gt;V$7)),0,MAX(0,ROUND((INDEX($E147:$G147,V$5)-SUMIFS(TF_Timer,TF_Tekniker,V$4,TF_Dato,$A147))*2,0)/2)))</f>
        <v/>
      </c>
      <c r="W147">
        <f>IF(OR(W$4="",$A147&gt;TODAY()),0,IF(OR(INDEX($B147:$D147,W$5)="F",AND(W$6&gt;0,$A147&lt;W$6),AND(W$7&gt;0,$A147&gt;W$7)),0,MAX(0,ROUND((INDEX($E147:$G147,W$5)-SUMIFS(TF_Timer,TF_Tekniker,W$4,TF_Dato,$A147))*2,0)/2)))</f>
        <v/>
      </c>
      <c r="X147">
        <f>IF(OR(X$4="",$A147&gt;TODAY()),0,IF(OR(INDEX($B147:$D147,X$5)="F",AND(X$6&gt;0,$A147&lt;X$6),AND(X$7&gt;0,$A147&gt;X$7)),0,MAX(0,ROUND((INDEX($E147:$G147,X$5)-SUMIFS(TF_Timer,TF_Tekniker,X$4,TF_Dato,$A147))*2,0)/2)))</f>
        <v/>
      </c>
      <c r="Y147">
        <f>IF(OR(Y$4="",$A147&gt;TODAY()),0,IF(OR(INDEX($B147:$D147,Y$5)="F",AND(Y$6&gt;0,$A147&lt;Y$6),AND(Y$7&gt;0,$A147&gt;Y$7)),0,MAX(0,ROUND((INDEX($E147:$G147,Y$5)-SUMIFS(TF_Timer,TF_Tekniker,Y$4,TF_Dato,$A147))*2,0)/2)))</f>
        <v/>
      </c>
      <c r="Z147">
        <f>IF(OR(Z$4="",$A147&gt;TODAY()),0,IF(OR(INDEX($B147:$D147,Z$5)="F",AND(Z$6&gt;0,$A147&lt;Z$6),AND(Z$7&gt;0,$A147&gt;Z$7)),0,MAX(0,ROUND((INDEX($E147:$G147,Z$5)-SUMIFS(TF_Timer,TF_Tekniker,Z$4,TF_Dato,$A147))*2,0)/2)))</f>
        <v/>
      </c>
      <c r="AA147">
        <f>IF(OR(AA$4="",$A147&gt;TODAY()),0,IF(OR(INDEX($B147:$D147,AA$5)="F",AND(AA$6&gt;0,$A147&lt;AA$6),AND(AA$7&gt;0,$A147&gt;AA$7)),0,MAX(0,ROUND((INDEX($E147:$G147,AA$5)-SUMIFS(TF_Timer,TF_Tekniker,AA$4,TF_Dato,$A147))*2,0)/2)))</f>
        <v/>
      </c>
      <c r="AB147">
        <f>IF(OR(AB$4="",$A147&gt;TODAY()),0,IF(OR(INDEX($B147:$D147,AB$5)="F",AND(AB$6&gt;0,$A147&lt;AB$6),AND(AB$7&gt;0,$A147&gt;AB$7)),0,MAX(0,ROUND((INDEX($E147:$G147,AB$5)-SUMIFS(TF_Timer,TF_Tekniker,AB$4,TF_Dato,$A147))*2,0)/2)))</f>
        <v/>
      </c>
      <c r="AC147">
        <f>IF(OR(AC$4="",$A147&gt;TODAY()),0,IF(OR(INDEX($B147:$D147,AC$5)="F",AND(AC$6&gt;0,$A147&lt;AC$6),AND(AC$7&gt;0,$A147&gt;AC$7)),0,MAX(0,ROUND((INDEX($E147:$G147,AC$5)-SUMIFS(TF_Timer,TF_Tekniker,AC$4,TF_Dato,$A147))*2,0)/2)))</f>
        <v/>
      </c>
      <c r="AD147">
        <f>IF(OR(AD$4="",$A147&gt;TODAY()),0,IF(OR(INDEX($B147:$D147,AD$5)="F",AND(AD$6&gt;0,$A147&lt;AD$6),AND(AD$7&gt;0,$A147&gt;AD$7)),0,MAX(0,ROUND((INDEX($E147:$G147,AD$5)-SUMIFS(TF_Timer,TF_Tekniker,AD$4,TF_Dato,$A147))*2,0)/2)))</f>
        <v/>
      </c>
      <c r="AE147">
        <f>IF(OR(AE$4="",$A147&gt;TODAY()),0,IF(OR(INDEX($B147:$D147,AE$5)="F",AND(AE$6&gt;0,$A147&lt;AE$6),AND(AE$7&gt;0,$A147&gt;AE$7)),0,MAX(0,ROUND((INDEX($E147:$G147,AE$5)-SUMIFS(TF_Timer,TF_Tekniker,AE$4,TF_Dato,$A147))*2,0)/2)))</f>
        <v/>
      </c>
      <c r="AF147">
        <f>IF(OR(AF$4="",$A147&gt;TODAY()),0,IF(OR(INDEX($B147:$D147,AF$5)="F",AND(AF$6&gt;0,$A147&lt;AF$6),AND(AF$7&gt;0,$A147&gt;AF$7)),0,MAX(0,ROUND((INDEX($E147:$G147,AF$5)-SUMIFS(TF_Timer,TF_Tekniker,AF$4,TF_Dato,$A147))*2,0)/2)))</f>
        <v/>
      </c>
      <c r="AG147">
        <f>IF(OR(AG$4="",$A147&gt;TODAY()),0,IF(OR(INDEX($B147:$D147,AG$5)="F",AND(AG$6&gt;0,$A147&lt;AG$6),AND(AG$7&gt;0,$A147&gt;AG$7)),0,MAX(0,ROUND((INDEX($E147:$G147,AG$5)-SUMIFS(TF_Timer,TF_Tekniker,AG$4,TF_Dato,$A147))*2,0)/2)))</f>
        <v/>
      </c>
      <c r="AH147">
        <f>IF(OR(AH$4="",$A147&gt;TODAY()),0,IF(OR(INDEX($B147:$D147,AH$5)="F",AND(AH$6&gt;0,$A147&lt;AH$6),AND(AH$7&gt;0,$A147&gt;AH$7)),0,MAX(0,ROUND((INDEX($E147:$G147,AH$5)-SUMIFS(TF_Timer,TF_Tekniker,AH$4,TF_Dato,$A147))*2,0)/2)))</f>
        <v/>
      </c>
      <c r="AI147">
        <f>IF(OR(AI$4="",$A147&gt;TODAY()),0,IF(OR(INDEX($B147:$D147,AI$5)="F",AND(AI$6&gt;0,$A147&lt;AI$6),AND(AI$7&gt;0,$A147&gt;AI$7)),0,MAX(0,ROUND((INDEX($E147:$G147,AI$5)-SUMIFS(TF_Timer,TF_Tekniker,AI$4,TF_Dato,$A147))*2,0)/2)))</f>
        <v/>
      </c>
      <c r="AJ147">
        <f>IF(OR(AJ$4="",$A147&gt;TODAY()),0,IF(OR(INDEX($B147:$D147,AJ$5)="F",AND(AJ$6&gt;0,$A147&lt;AJ$6),AND(AJ$7&gt;0,$A147&gt;AJ$7)),0,MAX(0,ROUND((INDEX($E147:$G147,AJ$5)-SUMIFS(TF_Timer,TF_Tekniker,AJ$4,TF_Dato,$A147))*2,0)/2)))</f>
        <v/>
      </c>
      <c r="AK147">
        <f>IF(OR(AK$4="",$A147&gt;TODAY()),0,IF(OR(INDEX($B147:$D147,AK$5)="F",AND(AK$6&gt;0,$A147&lt;AK$6),AND(AK$7&gt;0,$A147&gt;AK$7)),0,MAX(0,ROUND((INDEX($E147:$G147,AK$5)-SUMIFS(TF_Timer,TF_Tekniker,AK$4,TF_Dato,$A147))*2,0)/2)))</f>
        <v/>
      </c>
      <c r="AL147">
        <f>IF(OR(AL$4="",$A147&gt;TODAY()),0,IF(OR(INDEX($B147:$D147,AL$5)="F",AND(AL$6&gt;0,$A147&lt;AL$6),AND(AL$7&gt;0,$A147&gt;AL$7)),0,MAX(0,ROUND((INDEX($E147:$G147,AL$5)-SUMIFS(TF_Timer,TF_Tekniker,AL$4,TF_Dato,$A147))*2,0)/2)))</f>
        <v/>
      </c>
      <c r="AM147">
        <f>IF(OR(AM$4="",$A147&gt;TODAY()),0,IF(OR(INDEX($B147:$D147,AM$5)="F",AND(AM$6&gt;0,$A147&lt;AM$6),AND(AM$7&gt;0,$A147&gt;AM$7)),0,MAX(0,ROUND((INDEX($E147:$G147,AM$5)-SUMIFS(TF_Timer,TF_Tekniker,AM$4,TF_Dato,$A147))*2,0)/2)))</f>
        <v/>
      </c>
      <c r="AN147">
        <f>IF(OR(AN$4="",$A147&gt;TODAY()),0,IF(OR(INDEX($B147:$D147,AN$5)="F",AND(AN$6&gt;0,$A147&lt;AN$6),AND(AN$7&gt;0,$A147&gt;AN$7)),0,MAX(0,ROUND((INDEX($E147:$G147,AN$5)-SUMIFS(TF_Timer,TF_Tekniker,AN$4,TF_Dato,$A147))*2,0)/2)))</f>
        <v/>
      </c>
      <c r="AO147">
        <f>IF(OR(AO$4="",$A147&gt;TODAY()),0,IF(OR(INDEX($B147:$D147,AO$5)="F",AND(AO$6&gt;0,$A147&lt;AO$6),AND(AO$7&gt;0,$A147&gt;AO$7)),0,MAX(0,ROUND((INDEX($E147:$G147,AO$5)-SUMIFS(TF_Timer,TF_Tekniker,AO$4,TF_Dato,$A147))*2,0)/2)))</f>
        <v/>
      </c>
      <c r="AP147">
        <f>IF(OR(AP$4="",$A147&gt;TODAY()),0,IF(OR(INDEX($B147:$D147,AP$5)="F",AND(AP$6&gt;0,$A147&lt;AP$6),AND(AP$7&gt;0,$A147&gt;AP$7)),0,MAX(0,ROUND((INDEX($E147:$G147,AP$5)-SUMIFS(TF_Timer,TF_Tekniker,AP$4,TF_Dato,$A147))*2,0)/2)))</f>
        <v/>
      </c>
      <c r="AQ147">
        <f>IF(OR(AQ$4="",$A147&gt;TODAY()),0,IF(OR(INDEX($B147:$D147,AQ$5)="F",AND(AQ$6&gt;0,$A147&lt;AQ$6),AND(AQ$7&gt;0,$A147&gt;AQ$7)),0,MAX(0,ROUND((INDEX($E147:$G147,AQ$5)-SUMIFS(TF_Timer,TF_Tekniker,AQ$4,TF_Dato,$A147))*2,0)/2)))</f>
        <v/>
      </c>
      <c r="AR147">
        <f>IF(OR(AR$4="",$A147&gt;TODAY()),0,IF(OR(INDEX($B147:$D147,AR$5)="F",AND(AR$6&gt;0,$A147&lt;AR$6),AND(AR$7&gt;0,$A147&gt;AR$7)),0,MAX(0,ROUND((INDEX($E147:$G147,AR$5)-SUMIFS(TF_Timer,TF_Tekniker,AR$4,TF_Dato,$A147))*2,0)/2)))</f>
        <v/>
      </c>
      <c r="AS147">
        <f>IF(OR(AS$4="",$A147&gt;TODAY()),0,IF(OR(INDEX($B147:$D147,AS$5)="F",AND(AS$6&gt;0,$A147&lt;AS$6),AND(AS$7&gt;0,$A147&gt;AS$7)),0,MAX(0,ROUND((INDEX($E147:$G147,AS$5)-SUMIFS(TF_Timer,TF_Tekniker,AS$4,TF_Dato,$A147))*2,0)/2)))</f>
        <v/>
      </c>
      <c r="AT147">
        <f>IF(OR(AT$4="",$A147&gt;TODAY()),0,IF(OR(INDEX($B147:$D147,AT$5)="F",AND(AT$6&gt;0,$A147&lt;AT$6),AND(AT$7&gt;0,$A147&gt;AT$7)),0,MAX(0,ROUND((INDEX($E147:$G147,AT$5)-SUMIFS(TF_Timer,TF_Tekniker,AT$4,TF_Dato,$A147))*2,0)/2)))</f>
        <v/>
      </c>
      <c r="AU147">
        <f>IF(OR(AU$4="",$A147&gt;TODAY()),0,IF(OR(INDEX($B147:$D147,AU$5)="F",AND(AU$6&gt;0,$A147&lt;AU$6),AND(AU$7&gt;0,$A147&gt;AU$7)),0,MAX(0,ROUND((INDEX($E147:$G147,AU$5)-SUMIFS(TF_Timer,TF_Tekniker,AU$4,TF_Dato,$A147))*2,0)/2)))</f>
        <v/>
      </c>
      <c r="AV147">
        <f>IF(OR(AV$4="",$A147&gt;TODAY()),0,IF(OR(INDEX($B147:$D147,AV$5)="F",AND(AV$6&gt;0,$A147&lt;AV$6),AND(AV$7&gt;0,$A147&gt;AV$7)),0,MAX(0,ROUND((INDEX($E147:$G147,AV$5)-SUMIFS(TF_Timer,TF_Tekniker,AV$4,TF_Dato,$A147))*2,0)/2)))</f>
        <v/>
      </c>
      <c r="AW147">
        <f>IF(OR(AW$4="",$A147&gt;TODAY()),0,IF(OR(INDEX($B147:$D147,AW$5)="F",AND(AW$6&gt;0,$A147&lt;AW$6),AND(AW$7&gt;0,$A147&gt;AW$7)),0,MAX(0,ROUND((INDEX($E147:$G147,AW$5)-SUMIFS(TF_Timer,TF_Tekniker,AW$4,TF_Dato,$A147))*2,0)/2)))</f>
        <v/>
      </c>
      <c r="AX147">
        <f>IF(OR(AX$4="",$A147&gt;TODAY()),0,IF(OR(INDEX($B147:$D147,AX$5)="F",AND(AX$6&gt;0,$A147&lt;AX$6),AND(AX$7&gt;0,$A147&gt;AX$7)),0,MAX(0,ROUND((INDEX($E147:$G147,AX$5)-SUMIFS(TF_Timer,TF_Tekniker,AX$4,TF_Dato,$A147))*2,0)/2)))</f>
        <v/>
      </c>
      <c r="AY147">
        <f>IF(OR(AY$4="",$A147&gt;TODAY()),0,IF(OR(INDEX($B147:$D147,AY$5)="F",AND(AY$6&gt;0,$A147&lt;AY$6),AND(AY$7&gt;0,$A147&gt;AY$7)),0,MAX(0,ROUND((INDEX($E147:$G147,AY$5)-SUMIFS(TF_Timer,TF_Tekniker,AY$4,TF_Dato,$A147))*2,0)/2)))</f>
        <v/>
      </c>
      <c r="AZ147">
        <f>IF(OR(AZ$4="",$A147&gt;TODAY()),0,IF(OR(INDEX($B147:$D147,AZ$5)="F",AND(AZ$6&gt;0,$A147&lt;AZ$6),AND(AZ$7&gt;0,$A147&gt;AZ$7)),0,MAX(0,ROUND((INDEX($E147:$G147,AZ$5)-SUMIFS(TF_Timer,TF_Tekniker,AZ$4,TF_Dato,$A147))*2,0)/2)))</f>
        <v/>
      </c>
      <c r="BA147">
        <f>IF(OR(BA$4="",$A147&gt;TODAY()),0,IF(OR(INDEX($B147:$D147,BA$5)="F",AND(BA$6&gt;0,$A147&lt;BA$6),AND(BA$7&gt;0,$A147&gt;BA$7)),0,MAX(0,ROUND((INDEX($E147:$G147,BA$5)-SUMIFS(TF_Timer,TF_Tekniker,BA$4,TF_Dato,$A147))*2,0)/2)))</f>
        <v/>
      </c>
      <c r="BB147">
        <f>IF(OR(BB$4="",$A147&gt;TODAY()),0,IF(OR(INDEX($B147:$D147,BB$5)="F",AND(BB$6&gt;0,$A147&lt;BB$6),AND(BB$7&gt;0,$A147&gt;BB$7)),0,MAX(0,ROUND((INDEX($E147:$G147,BB$5)-SUMIFS(TF_Timer,TF_Tekniker,BB$4,TF_Dato,$A147))*2,0)/2)))</f>
        <v/>
      </c>
      <c r="BC147">
        <f>IF(OR(BC$4="",$A147&gt;TODAY()),0,IF(OR(INDEX($B147:$D147,BC$5)="F",AND(BC$6&gt;0,$A147&lt;BC$6),AND(BC$7&gt;0,$A147&gt;BC$7)),0,MAX(0,ROUND((INDEX($E147:$G147,BC$5)-SUMIFS(TF_Timer,TF_Tekniker,BC$4,TF_Dato,$A147))*2,0)/2)))</f>
        <v/>
      </c>
      <c r="BD147">
        <f>IF(OR(BD$4="",$A147&gt;TODAY()),0,IF(OR(INDEX($B147:$D147,BD$5)="F",AND(BD$6&gt;0,$A147&lt;BD$6),AND(BD$7&gt;0,$A147&gt;BD$7)),0,MAX(0,ROUND((INDEX($E147:$G147,BD$5)-SUMIFS(TF_Timer,TF_Tekniker,BD$4,TF_Dato,$A147))*2,0)/2)))</f>
        <v/>
      </c>
      <c r="BE147">
        <f>IF(OR(BE$4="",$A147&gt;TODAY()),0,IF(OR(INDEX($B147:$D147,BE$5)="F",AND(BE$6&gt;0,$A147&lt;BE$6),AND(BE$7&gt;0,$A147&gt;BE$7)),0,MAX(0,ROUND((INDEX($E147:$G147,BE$5)-SUMIFS(TF_Timer,TF_Tekniker,BE$4,TF_Dato,$A147))*2,0)/2)))</f>
        <v/>
      </c>
      <c r="BF147">
        <f>IF(OR(BF$4="",$A147&gt;TODAY()),0,IF(OR(INDEX($B147:$D147,BF$5)="F",AND(BF$6&gt;0,$A147&lt;BF$6),AND(BF$7&gt;0,$A147&gt;BF$7)),0,MAX(0,ROUND((INDEX($E147:$G147,BF$5)-SUMIFS(TF_Timer,TF_Tekniker,BF$4,TF_Dato,$A147))*2,0)/2)))</f>
        <v/>
      </c>
      <c r="BG147">
        <f>IF(OR(BG$4="",$A147&gt;TODAY()),0,IF(OR(INDEX($B147:$D147,BG$5)="F",AND(BG$6&gt;0,$A147&lt;BG$6),AND(BG$7&gt;0,$A147&gt;BG$7)),0,MAX(0,ROUND((INDEX($E147:$G147,BG$5)-SUMIFS(TF_Timer,TF_Tekniker,BG$4,TF_Dato,$A147))*2,0)/2)))</f>
        <v/>
      </c>
      <c r="BH147">
        <f>IF(OR(BH$4="",$A147&gt;TODAY()),0,IF(OR(INDEX($B147:$D147,BH$5)="F",AND(BH$6&gt;0,$A147&lt;BH$6),AND(BH$7&gt;0,$A147&gt;BH$7)),0,MAX(0,ROUND((INDEX($E147:$G147,BH$5)-SUMIFS(TF_Timer,TF_Tekniker,BH$4,TF_Dato,$A147))*2,0)/2)))</f>
        <v/>
      </c>
      <c r="BI147">
        <f>IF(OR(BI$4="",$A147&gt;TODAY()),0,IF(OR(INDEX($B147:$D147,BI$5)="F",AND(BI$6&gt;0,$A147&lt;BI$6),AND(BI$7&gt;0,$A147&gt;BI$7)),0,MAX(0,ROUND((INDEX($E147:$G147,BI$5)-SUMIFS(TF_Timer,TF_Tekniker,BI$4,TF_Dato,$A147))*2,0)/2)))</f>
        <v/>
      </c>
    </row>
    <row r="148">
      <c r="A148" s="64">
        <f>A147+1</f>
        <v/>
      </c>
      <c r="B148">
        <f>IF(MOD($A148-INDEX(SkiftStart,1),Syklus)&lt;DagK,"K",IF(MOD($A148-INDEX(SkiftStart,1),Syklus)&lt;DagK+DagH,"H",IF(MOD($A148-INDEX(SkiftStart,1),Syklus)&lt;DagK+DagH+DagD,"D","F")))</f>
        <v/>
      </c>
      <c r="C148">
        <f>IF(MOD($A148-INDEX(SkiftStart,2),Syklus)&lt;DagK,"K",IF(MOD($A148-INDEX(SkiftStart,2),Syklus)&lt;DagK+DagH,"H",IF(MOD($A148-INDEX(SkiftStart,2),Syklus)&lt;DagK+DagH+DagD,"D","F")))</f>
        <v/>
      </c>
      <c r="D148">
        <f>IF(MOD($A148-INDEX(SkiftStart,3),Syklus)&lt;DagK,"K",IF(MOD($A148-INDEX(SkiftStart,3),Syklus)&lt;DagK+DagH,"H",IF(MOD($A148-INDEX(SkiftStart,3),Syklus)&lt;DagK+DagH+DagD,"D","F")))</f>
        <v/>
      </c>
      <c r="E148">
        <f>IF(B148="F",0,IF(WEEKDAY($A148,2)=5,INDEX(TimerFr,MATCH(B148,FaseKode,0)),INDEX(TimerMT,MATCH(B148,FaseKode,0))))</f>
        <v/>
      </c>
      <c r="F148">
        <f>IF(C148="F",0,IF(WEEKDAY($A148,2)=5,INDEX(TimerFr,MATCH(C148,FaseKode,0)),INDEX(TimerMT,MATCH(C148,FaseKode,0))))</f>
        <v/>
      </c>
      <c r="G148">
        <f>IF(D148="F",0,IF(WEEKDAY($A148,2)=5,INDEX(TimerFr,MATCH(D148,FaseKode,0)),INDEX(TimerMT,MATCH(D148,FaseKode,0))))</f>
        <v/>
      </c>
      <c r="H148">
        <f>IF(OR(H$4="",$A148&gt;TODAY()),0,IF(OR(INDEX($B148:$D148,H$5)="F",AND(H$6&gt;0,$A148&lt;H$6),AND(H$7&gt;0,$A148&gt;H$7)),0,MAX(0,ROUND((INDEX($E148:$G148,H$5)-SUMIFS(TF_Timer,TF_Tekniker,H$4,TF_Dato,$A148))*2,0)/2)))</f>
        <v/>
      </c>
      <c r="I148">
        <f>IF(OR(I$4="",$A148&gt;TODAY()),0,IF(OR(INDEX($B148:$D148,I$5)="F",AND(I$6&gt;0,$A148&lt;I$6),AND(I$7&gt;0,$A148&gt;I$7)),0,MAX(0,ROUND((INDEX($E148:$G148,I$5)-SUMIFS(TF_Timer,TF_Tekniker,I$4,TF_Dato,$A148))*2,0)/2)))</f>
        <v/>
      </c>
      <c r="J148">
        <f>IF(OR(J$4="",$A148&gt;TODAY()),0,IF(OR(INDEX($B148:$D148,J$5)="F",AND(J$6&gt;0,$A148&lt;J$6),AND(J$7&gt;0,$A148&gt;J$7)),0,MAX(0,ROUND((INDEX($E148:$G148,J$5)-SUMIFS(TF_Timer,TF_Tekniker,J$4,TF_Dato,$A148))*2,0)/2)))</f>
        <v/>
      </c>
      <c r="K148">
        <f>IF(OR(K$4="",$A148&gt;TODAY()),0,IF(OR(INDEX($B148:$D148,K$5)="F",AND(K$6&gt;0,$A148&lt;K$6),AND(K$7&gt;0,$A148&gt;K$7)),0,MAX(0,ROUND((INDEX($E148:$G148,K$5)-SUMIFS(TF_Timer,TF_Tekniker,K$4,TF_Dato,$A148))*2,0)/2)))</f>
        <v/>
      </c>
      <c r="L148">
        <f>IF(OR(L$4="",$A148&gt;TODAY()),0,IF(OR(INDEX($B148:$D148,L$5)="F",AND(L$6&gt;0,$A148&lt;L$6),AND(L$7&gt;0,$A148&gt;L$7)),0,MAX(0,ROUND((INDEX($E148:$G148,L$5)-SUMIFS(TF_Timer,TF_Tekniker,L$4,TF_Dato,$A148))*2,0)/2)))</f>
        <v/>
      </c>
      <c r="M148">
        <f>IF(OR(M$4="",$A148&gt;TODAY()),0,IF(OR(INDEX($B148:$D148,M$5)="F",AND(M$6&gt;0,$A148&lt;M$6),AND(M$7&gt;0,$A148&gt;M$7)),0,MAX(0,ROUND((INDEX($E148:$G148,M$5)-SUMIFS(TF_Timer,TF_Tekniker,M$4,TF_Dato,$A148))*2,0)/2)))</f>
        <v/>
      </c>
      <c r="N148">
        <f>IF(OR(N$4="",$A148&gt;TODAY()),0,IF(OR(INDEX($B148:$D148,N$5)="F",AND(N$6&gt;0,$A148&lt;N$6),AND(N$7&gt;0,$A148&gt;N$7)),0,MAX(0,ROUND((INDEX($E148:$G148,N$5)-SUMIFS(TF_Timer,TF_Tekniker,N$4,TF_Dato,$A148))*2,0)/2)))</f>
        <v/>
      </c>
      <c r="O148">
        <f>IF(OR(O$4="",$A148&gt;TODAY()),0,IF(OR(INDEX($B148:$D148,O$5)="F",AND(O$6&gt;0,$A148&lt;O$6),AND(O$7&gt;0,$A148&gt;O$7)),0,MAX(0,ROUND((INDEX($E148:$G148,O$5)-SUMIFS(TF_Timer,TF_Tekniker,O$4,TF_Dato,$A148))*2,0)/2)))</f>
        <v/>
      </c>
      <c r="P148">
        <f>IF(OR(P$4="",$A148&gt;TODAY()),0,IF(OR(INDEX($B148:$D148,P$5)="F",AND(P$6&gt;0,$A148&lt;P$6),AND(P$7&gt;0,$A148&gt;P$7)),0,MAX(0,ROUND((INDEX($E148:$G148,P$5)-SUMIFS(TF_Timer,TF_Tekniker,P$4,TF_Dato,$A148))*2,0)/2)))</f>
        <v/>
      </c>
      <c r="Q148">
        <f>IF(OR(Q$4="",$A148&gt;TODAY()),0,IF(OR(INDEX($B148:$D148,Q$5)="F",AND(Q$6&gt;0,$A148&lt;Q$6),AND(Q$7&gt;0,$A148&gt;Q$7)),0,MAX(0,ROUND((INDEX($E148:$G148,Q$5)-SUMIFS(TF_Timer,TF_Tekniker,Q$4,TF_Dato,$A148))*2,0)/2)))</f>
        <v/>
      </c>
      <c r="R148">
        <f>IF(OR(R$4="",$A148&gt;TODAY()),0,IF(OR(INDEX($B148:$D148,R$5)="F",AND(R$6&gt;0,$A148&lt;R$6),AND(R$7&gt;0,$A148&gt;R$7)),0,MAX(0,ROUND((INDEX($E148:$G148,R$5)-SUMIFS(TF_Timer,TF_Tekniker,R$4,TF_Dato,$A148))*2,0)/2)))</f>
        <v/>
      </c>
      <c r="S148">
        <f>IF(OR(S$4="",$A148&gt;TODAY()),0,IF(OR(INDEX($B148:$D148,S$5)="F",AND(S$6&gt;0,$A148&lt;S$6),AND(S$7&gt;0,$A148&gt;S$7)),0,MAX(0,ROUND((INDEX($E148:$G148,S$5)-SUMIFS(TF_Timer,TF_Tekniker,S$4,TF_Dato,$A148))*2,0)/2)))</f>
        <v/>
      </c>
      <c r="T148">
        <f>IF(OR(T$4="",$A148&gt;TODAY()),0,IF(OR(INDEX($B148:$D148,T$5)="F",AND(T$6&gt;0,$A148&lt;T$6),AND(T$7&gt;0,$A148&gt;T$7)),0,MAX(0,ROUND((INDEX($E148:$G148,T$5)-SUMIFS(TF_Timer,TF_Tekniker,T$4,TF_Dato,$A148))*2,0)/2)))</f>
        <v/>
      </c>
      <c r="U148">
        <f>IF(OR(U$4="",$A148&gt;TODAY()),0,IF(OR(INDEX($B148:$D148,U$5)="F",AND(U$6&gt;0,$A148&lt;U$6),AND(U$7&gt;0,$A148&gt;U$7)),0,MAX(0,ROUND((INDEX($E148:$G148,U$5)-SUMIFS(TF_Timer,TF_Tekniker,U$4,TF_Dato,$A148))*2,0)/2)))</f>
        <v/>
      </c>
      <c r="V148">
        <f>IF(OR(V$4="",$A148&gt;TODAY()),0,IF(OR(INDEX($B148:$D148,V$5)="F",AND(V$6&gt;0,$A148&lt;V$6),AND(V$7&gt;0,$A148&gt;V$7)),0,MAX(0,ROUND((INDEX($E148:$G148,V$5)-SUMIFS(TF_Timer,TF_Tekniker,V$4,TF_Dato,$A148))*2,0)/2)))</f>
        <v/>
      </c>
      <c r="W148">
        <f>IF(OR(W$4="",$A148&gt;TODAY()),0,IF(OR(INDEX($B148:$D148,W$5)="F",AND(W$6&gt;0,$A148&lt;W$6),AND(W$7&gt;0,$A148&gt;W$7)),0,MAX(0,ROUND((INDEX($E148:$G148,W$5)-SUMIFS(TF_Timer,TF_Tekniker,W$4,TF_Dato,$A148))*2,0)/2)))</f>
        <v/>
      </c>
      <c r="X148">
        <f>IF(OR(X$4="",$A148&gt;TODAY()),0,IF(OR(INDEX($B148:$D148,X$5)="F",AND(X$6&gt;0,$A148&lt;X$6),AND(X$7&gt;0,$A148&gt;X$7)),0,MAX(0,ROUND((INDEX($E148:$G148,X$5)-SUMIFS(TF_Timer,TF_Tekniker,X$4,TF_Dato,$A148))*2,0)/2)))</f>
        <v/>
      </c>
      <c r="Y148">
        <f>IF(OR(Y$4="",$A148&gt;TODAY()),0,IF(OR(INDEX($B148:$D148,Y$5)="F",AND(Y$6&gt;0,$A148&lt;Y$6),AND(Y$7&gt;0,$A148&gt;Y$7)),0,MAX(0,ROUND((INDEX($E148:$G148,Y$5)-SUMIFS(TF_Timer,TF_Tekniker,Y$4,TF_Dato,$A148))*2,0)/2)))</f>
        <v/>
      </c>
      <c r="Z148">
        <f>IF(OR(Z$4="",$A148&gt;TODAY()),0,IF(OR(INDEX($B148:$D148,Z$5)="F",AND(Z$6&gt;0,$A148&lt;Z$6),AND(Z$7&gt;0,$A148&gt;Z$7)),0,MAX(0,ROUND((INDEX($E148:$G148,Z$5)-SUMIFS(TF_Timer,TF_Tekniker,Z$4,TF_Dato,$A148))*2,0)/2)))</f>
        <v/>
      </c>
      <c r="AA148">
        <f>IF(OR(AA$4="",$A148&gt;TODAY()),0,IF(OR(INDEX($B148:$D148,AA$5)="F",AND(AA$6&gt;0,$A148&lt;AA$6),AND(AA$7&gt;0,$A148&gt;AA$7)),0,MAX(0,ROUND((INDEX($E148:$G148,AA$5)-SUMIFS(TF_Timer,TF_Tekniker,AA$4,TF_Dato,$A148))*2,0)/2)))</f>
        <v/>
      </c>
      <c r="AB148">
        <f>IF(OR(AB$4="",$A148&gt;TODAY()),0,IF(OR(INDEX($B148:$D148,AB$5)="F",AND(AB$6&gt;0,$A148&lt;AB$6),AND(AB$7&gt;0,$A148&gt;AB$7)),0,MAX(0,ROUND((INDEX($E148:$G148,AB$5)-SUMIFS(TF_Timer,TF_Tekniker,AB$4,TF_Dato,$A148))*2,0)/2)))</f>
        <v/>
      </c>
      <c r="AC148">
        <f>IF(OR(AC$4="",$A148&gt;TODAY()),0,IF(OR(INDEX($B148:$D148,AC$5)="F",AND(AC$6&gt;0,$A148&lt;AC$6),AND(AC$7&gt;0,$A148&gt;AC$7)),0,MAX(0,ROUND((INDEX($E148:$G148,AC$5)-SUMIFS(TF_Timer,TF_Tekniker,AC$4,TF_Dato,$A148))*2,0)/2)))</f>
        <v/>
      </c>
      <c r="AD148">
        <f>IF(OR(AD$4="",$A148&gt;TODAY()),0,IF(OR(INDEX($B148:$D148,AD$5)="F",AND(AD$6&gt;0,$A148&lt;AD$6),AND(AD$7&gt;0,$A148&gt;AD$7)),0,MAX(0,ROUND((INDEX($E148:$G148,AD$5)-SUMIFS(TF_Timer,TF_Tekniker,AD$4,TF_Dato,$A148))*2,0)/2)))</f>
        <v/>
      </c>
      <c r="AE148">
        <f>IF(OR(AE$4="",$A148&gt;TODAY()),0,IF(OR(INDEX($B148:$D148,AE$5)="F",AND(AE$6&gt;0,$A148&lt;AE$6),AND(AE$7&gt;0,$A148&gt;AE$7)),0,MAX(0,ROUND((INDEX($E148:$G148,AE$5)-SUMIFS(TF_Timer,TF_Tekniker,AE$4,TF_Dato,$A148))*2,0)/2)))</f>
        <v/>
      </c>
      <c r="AF148">
        <f>IF(OR(AF$4="",$A148&gt;TODAY()),0,IF(OR(INDEX($B148:$D148,AF$5)="F",AND(AF$6&gt;0,$A148&lt;AF$6),AND(AF$7&gt;0,$A148&gt;AF$7)),0,MAX(0,ROUND((INDEX($E148:$G148,AF$5)-SUMIFS(TF_Timer,TF_Tekniker,AF$4,TF_Dato,$A148))*2,0)/2)))</f>
        <v/>
      </c>
      <c r="AG148">
        <f>IF(OR(AG$4="",$A148&gt;TODAY()),0,IF(OR(INDEX($B148:$D148,AG$5)="F",AND(AG$6&gt;0,$A148&lt;AG$6),AND(AG$7&gt;0,$A148&gt;AG$7)),0,MAX(0,ROUND((INDEX($E148:$G148,AG$5)-SUMIFS(TF_Timer,TF_Tekniker,AG$4,TF_Dato,$A148))*2,0)/2)))</f>
        <v/>
      </c>
      <c r="AH148">
        <f>IF(OR(AH$4="",$A148&gt;TODAY()),0,IF(OR(INDEX($B148:$D148,AH$5)="F",AND(AH$6&gt;0,$A148&lt;AH$6),AND(AH$7&gt;0,$A148&gt;AH$7)),0,MAX(0,ROUND((INDEX($E148:$G148,AH$5)-SUMIFS(TF_Timer,TF_Tekniker,AH$4,TF_Dato,$A148))*2,0)/2)))</f>
        <v/>
      </c>
      <c r="AI148">
        <f>IF(OR(AI$4="",$A148&gt;TODAY()),0,IF(OR(INDEX($B148:$D148,AI$5)="F",AND(AI$6&gt;0,$A148&lt;AI$6),AND(AI$7&gt;0,$A148&gt;AI$7)),0,MAX(0,ROUND((INDEX($E148:$G148,AI$5)-SUMIFS(TF_Timer,TF_Tekniker,AI$4,TF_Dato,$A148))*2,0)/2)))</f>
        <v/>
      </c>
      <c r="AJ148">
        <f>IF(OR(AJ$4="",$A148&gt;TODAY()),0,IF(OR(INDEX($B148:$D148,AJ$5)="F",AND(AJ$6&gt;0,$A148&lt;AJ$6),AND(AJ$7&gt;0,$A148&gt;AJ$7)),0,MAX(0,ROUND((INDEX($E148:$G148,AJ$5)-SUMIFS(TF_Timer,TF_Tekniker,AJ$4,TF_Dato,$A148))*2,0)/2)))</f>
        <v/>
      </c>
      <c r="AK148">
        <f>IF(OR(AK$4="",$A148&gt;TODAY()),0,IF(OR(INDEX($B148:$D148,AK$5)="F",AND(AK$6&gt;0,$A148&lt;AK$6),AND(AK$7&gt;0,$A148&gt;AK$7)),0,MAX(0,ROUND((INDEX($E148:$G148,AK$5)-SUMIFS(TF_Timer,TF_Tekniker,AK$4,TF_Dato,$A148))*2,0)/2)))</f>
        <v/>
      </c>
      <c r="AL148">
        <f>IF(OR(AL$4="",$A148&gt;TODAY()),0,IF(OR(INDEX($B148:$D148,AL$5)="F",AND(AL$6&gt;0,$A148&lt;AL$6),AND(AL$7&gt;0,$A148&gt;AL$7)),0,MAX(0,ROUND((INDEX($E148:$G148,AL$5)-SUMIFS(TF_Timer,TF_Tekniker,AL$4,TF_Dato,$A148))*2,0)/2)))</f>
        <v/>
      </c>
      <c r="AM148">
        <f>IF(OR(AM$4="",$A148&gt;TODAY()),0,IF(OR(INDEX($B148:$D148,AM$5)="F",AND(AM$6&gt;0,$A148&lt;AM$6),AND(AM$7&gt;0,$A148&gt;AM$7)),0,MAX(0,ROUND((INDEX($E148:$G148,AM$5)-SUMIFS(TF_Timer,TF_Tekniker,AM$4,TF_Dato,$A148))*2,0)/2)))</f>
        <v/>
      </c>
      <c r="AN148">
        <f>IF(OR(AN$4="",$A148&gt;TODAY()),0,IF(OR(INDEX($B148:$D148,AN$5)="F",AND(AN$6&gt;0,$A148&lt;AN$6),AND(AN$7&gt;0,$A148&gt;AN$7)),0,MAX(0,ROUND((INDEX($E148:$G148,AN$5)-SUMIFS(TF_Timer,TF_Tekniker,AN$4,TF_Dato,$A148))*2,0)/2)))</f>
        <v/>
      </c>
      <c r="AO148">
        <f>IF(OR(AO$4="",$A148&gt;TODAY()),0,IF(OR(INDEX($B148:$D148,AO$5)="F",AND(AO$6&gt;0,$A148&lt;AO$6),AND(AO$7&gt;0,$A148&gt;AO$7)),0,MAX(0,ROUND((INDEX($E148:$G148,AO$5)-SUMIFS(TF_Timer,TF_Tekniker,AO$4,TF_Dato,$A148))*2,0)/2)))</f>
        <v/>
      </c>
      <c r="AP148">
        <f>IF(OR(AP$4="",$A148&gt;TODAY()),0,IF(OR(INDEX($B148:$D148,AP$5)="F",AND(AP$6&gt;0,$A148&lt;AP$6),AND(AP$7&gt;0,$A148&gt;AP$7)),0,MAX(0,ROUND((INDEX($E148:$G148,AP$5)-SUMIFS(TF_Timer,TF_Tekniker,AP$4,TF_Dato,$A148))*2,0)/2)))</f>
        <v/>
      </c>
      <c r="AQ148">
        <f>IF(OR(AQ$4="",$A148&gt;TODAY()),0,IF(OR(INDEX($B148:$D148,AQ$5)="F",AND(AQ$6&gt;0,$A148&lt;AQ$6),AND(AQ$7&gt;0,$A148&gt;AQ$7)),0,MAX(0,ROUND((INDEX($E148:$G148,AQ$5)-SUMIFS(TF_Timer,TF_Tekniker,AQ$4,TF_Dato,$A148))*2,0)/2)))</f>
        <v/>
      </c>
      <c r="AR148">
        <f>IF(OR(AR$4="",$A148&gt;TODAY()),0,IF(OR(INDEX($B148:$D148,AR$5)="F",AND(AR$6&gt;0,$A148&lt;AR$6),AND(AR$7&gt;0,$A148&gt;AR$7)),0,MAX(0,ROUND((INDEX($E148:$G148,AR$5)-SUMIFS(TF_Timer,TF_Tekniker,AR$4,TF_Dato,$A148))*2,0)/2)))</f>
        <v/>
      </c>
      <c r="AS148">
        <f>IF(OR(AS$4="",$A148&gt;TODAY()),0,IF(OR(INDEX($B148:$D148,AS$5)="F",AND(AS$6&gt;0,$A148&lt;AS$6),AND(AS$7&gt;0,$A148&gt;AS$7)),0,MAX(0,ROUND((INDEX($E148:$G148,AS$5)-SUMIFS(TF_Timer,TF_Tekniker,AS$4,TF_Dato,$A148))*2,0)/2)))</f>
        <v/>
      </c>
      <c r="AT148">
        <f>IF(OR(AT$4="",$A148&gt;TODAY()),0,IF(OR(INDEX($B148:$D148,AT$5)="F",AND(AT$6&gt;0,$A148&lt;AT$6),AND(AT$7&gt;0,$A148&gt;AT$7)),0,MAX(0,ROUND((INDEX($E148:$G148,AT$5)-SUMIFS(TF_Timer,TF_Tekniker,AT$4,TF_Dato,$A148))*2,0)/2)))</f>
        <v/>
      </c>
      <c r="AU148">
        <f>IF(OR(AU$4="",$A148&gt;TODAY()),0,IF(OR(INDEX($B148:$D148,AU$5)="F",AND(AU$6&gt;0,$A148&lt;AU$6),AND(AU$7&gt;0,$A148&gt;AU$7)),0,MAX(0,ROUND((INDEX($E148:$G148,AU$5)-SUMIFS(TF_Timer,TF_Tekniker,AU$4,TF_Dato,$A148))*2,0)/2)))</f>
        <v/>
      </c>
      <c r="AV148">
        <f>IF(OR(AV$4="",$A148&gt;TODAY()),0,IF(OR(INDEX($B148:$D148,AV$5)="F",AND(AV$6&gt;0,$A148&lt;AV$6),AND(AV$7&gt;0,$A148&gt;AV$7)),0,MAX(0,ROUND((INDEX($E148:$G148,AV$5)-SUMIFS(TF_Timer,TF_Tekniker,AV$4,TF_Dato,$A148))*2,0)/2)))</f>
        <v/>
      </c>
      <c r="AW148">
        <f>IF(OR(AW$4="",$A148&gt;TODAY()),0,IF(OR(INDEX($B148:$D148,AW$5)="F",AND(AW$6&gt;0,$A148&lt;AW$6),AND(AW$7&gt;0,$A148&gt;AW$7)),0,MAX(0,ROUND((INDEX($E148:$G148,AW$5)-SUMIFS(TF_Timer,TF_Tekniker,AW$4,TF_Dato,$A148))*2,0)/2)))</f>
        <v/>
      </c>
      <c r="AX148">
        <f>IF(OR(AX$4="",$A148&gt;TODAY()),0,IF(OR(INDEX($B148:$D148,AX$5)="F",AND(AX$6&gt;0,$A148&lt;AX$6),AND(AX$7&gt;0,$A148&gt;AX$7)),0,MAX(0,ROUND((INDEX($E148:$G148,AX$5)-SUMIFS(TF_Timer,TF_Tekniker,AX$4,TF_Dato,$A148))*2,0)/2)))</f>
        <v/>
      </c>
      <c r="AY148">
        <f>IF(OR(AY$4="",$A148&gt;TODAY()),0,IF(OR(INDEX($B148:$D148,AY$5)="F",AND(AY$6&gt;0,$A148&lt;AY$6),AND(AY$7&gt;0,$A148&gt;AY$7)),0,MAX(0,ROUND((INDEX($E148:$G148,AY$5)-SUMIFS(TF_Timer,TF_Tekniker,AY$4,TF_Dato,$A148))*2,0)/2)))</f>
        <v/>
      </c>
      <c r="AZ148">
        <f>IF(OR(AZ$4="",$A148&gt;TODAY()),0,IF(OR(INDEX($B148:$D148,AZ$5)="F",AND(AZ$6&gt;0,$A148&lt;AZ$6),AND(AZ$7&gt;0,$A148&gt;AZ$7)),0,MAX(0,ROUND((INDEX($E148:$G148,AZ$5)-SUMIFS(TF_Timer,TF_Tekniker,AZ$4,TF_Dato,$A148))*2,0)/2)))</f>
        <v/>
      </c>
      <c r="BA148">
        <f>IF(OR(BA$4="",$A148&gt;TODAY()),0,IF(OR(INDEX($B148:$D148,BA$5)="F",AND(BA$6&gt;0,$A148&lt;BA$6),AND(BA$7&gt;0,$A148&gt;BA$7)),0,MAX(0,ROUND((INDEX($E148:$G148,BA$5)-SUMIFS(TF_Timer,TF_Tekniker,BA$4,TF_Dato,$A148))*2,0)/2)))</f>
        <v/>
      </c>
      <c r="BB148">
        <f>IF(OR(BB$4="",$A148&gt;TODAY()),0,IF(OR(INDEX($B148:$D148,BB$5)="F",AND(BB$6&gt;0,$A148&lt;BB$6),AND(BB$7&gt;0,$A148&gt;BB$7)),0,MAX(0,ROUND((INDEX($E148:$G148,BB$5)-SUMIFS(TF_Timer,TF_Tekniker,BB$4,TF_Dato,$A148))*2,0)/2)))</f>
        <v/>
      </c>
      <c r="BC148">
        <f>IF(OR(BC$4="",$A148&gt;TODAY()),0,IF(OR(INDEX($B148:$D148,BC$5)="F",AND(BC$6&gt;0,$A148&lt;BC$6),AND(BC$7&gt;0,$A148&gt;BC$7)),0,MAX(0,ROUND((INDEX($E148:$G148,BC$5)-SUMIFS(TF_Timer,TF_Tekniker,BC$4,TF_Dato,$A148))*2,0)/2)))</f>
        <v/>
      </c>
      <c r="BD148">
        <f>IF(OR(BD$4="",$A148&gt;TODAY()),0,IF(OR(INDEX($B148:$D148,BD$5)="F",AND(BD$6&gt;0,$A148&lt;BD$6),AND(BD$7&gt;0,$A148&gt;BD$7)),0,MAX(0,ROUND((INDEX($E148:$G148,BD$5)-SUMIFS(TF_Timer,TF_Tekniker,BD$4,TF_Dato,$A148))*2,0)/2)))</f>
        <v/>
      </c>
      <c r="BE148">
        <f>IF(OR(BE$4="",$A148&gt;TODAY()),0,IF(OR(INDEX($B148:$D148,BE$5)="F",AND(BE$6&gt;0,$A148&lt;BE$6),AND(BE$7&gt;0,$A148&gt;BE$7)),0,MAX(0,ROUND((INDEX($E148:$G148,BE$5)-SUMIFS(TF_Timer,TF_Tekniker,BE$4,TF_Dato,$A148))*2,0)/2)))</f>
        <v/>
      </c>
      <c r="BF148">
        <f>IF(OR(BF$4="",$A148&gt;TODAY()),0,IF(OR(INDEX($B148:$D148,BF$5)="F",AND(BF$6&gt;0,$A148&lt;BF$6),AND(BF$7&gt;0,$A148&gt;BF$7)),0,MAX(0,ROUND((INDEX($E148:$G148,BF$5)-SUMIFS(TF_Timer,TF_Tekniker,BF$4,TF_Dato,$A148))*2,0)/2)))</f>
        <v/>
      </c>
      <c r="BG148">
        <f>IF(OR(BG$4="",$A148&gt;TODAY()),0,IF(OR(INDEX($B148:$D148,BG$5)="F",AND(BG$6&gt;0,$A148&lt;BG$6),AND(BG$7&gt;0,$A148&gt;BG$7)),0,MAX(0,ROUND((INDEX($E148:$G148,BG$5)-SUMIFS(TF_Timer,TF_Tekniker,BG$4,TF_Dato,$A148))*2,0)/2)))</f>
        <v/>
      </c>
      <c r="BH148">
        <f>IF(OR(BH$4="",$A148&gt;TODAY()),0,IF(OR(INDEX($B148:$D148,BH$5)="F",AND(BH$6&gt;0,$A148&lt;BH$6),AND(BH$7&gt;0,$A148&gt;BH$7)),0,MAX(0,ROUND((INDEX($E148:$G148,BH$5)-SUMIFS(TF_Timer,TF_Tekniker,BH$4,TF_Dato,$A148))*2,0)/2)))</f>
        <v/>
      </c>
      <c r="BI148">
        <f>IF(OR(BI$4="",$A148&gt;TODAY()),0,IF(OR(INDEX($B148:$D148,BI$5)="F",AND(BI$6&gt;0,$A148&lt;BI$6),AND(BI$7&gt;0,$A148&gt;BI$7)),0,MAX(0,ROUND((INDEX($E148:$G148,BI$5)-SUMIFS(TF_Timer,TF_Tekniker,BI$4,TF_Dato,$A148))*2,0)/2)))</f>
        <v/>
      </c>
    </row>
    <row r="149">
      <c r="A149" s="64">
        <f>A148+1</f>
        <v/>
      </c>
      <c r="B149">
        <f>IF(MOD($A149-INDEX(SkiftStart,1),Syklus)&lt;DagK,"K",IF(MOD($A149-INDEX(SkiftStart,1),Syklus)&lt;DagK+DagH,"H",IF(MOD($A149-INDEX(SkiftStart,1),Syklus)&lt;DagK+DagH+DagD,"D","F")))</f>
        <v/>
      </c>
      <c r="C149">
        <f>IF(MOD($A149-INDEX(SkiftStart,2),Syklus)&lt;DagK,"K",IF(MOD($A149-INDEX(SkiftStart,2),Syklus)&lt;DagK+DagH,"H",IF(MOD($A149-INDEX(SkiftStart,2),Syklus)&lt;DagK+DagH+DagD,"D","F")))</f>
        <v/>
      </c>
      <c r="D149">
        <f>IF(MOD($A149-INDEX(SkiftStart,3),Syklus)&lt;DagK,"K",IF(MOD($A149-INDEX(SkiftStart,3),Syklus)&lt;DagK+DagH,"H",IF(MOD($A149-INDEX(SkiftStart,3),Syklus)&lt;DagK+DagH+DagD,"D","F")))</f>
        <v/>
      </c>
      <c r="E149">
        <f>IF(B149="F",0,IF(WEEKDAY($A149,2)=5,INDEX(TimerFr,MATCH(B149,FaseKode,0)),INDEX(TimerMT,MATCH(B149,FaseKode,0))))</f>
        <v/>
      </c>
      <c r="F149">
        <f>IF(C149="F",0,IF(WEEKDAY($A149,2)=5,INDEX(TimerFr,MATCH(C149,FaseKode,0)),INDEX(TimerMT,MATCH(C149,FaseKode,0))))</f>
        <v/>
      </c>
      <c r="G149">
        <f>IF(D149="F",0,IF(WEEKDAY($A149,2)=5,INDEX(TimerFr,MATCH(D149,FaseKode,0)),INDEX(TimerMT,MATCH(D149,FaseKode,0))))</f>
        <v/>
      </c>
      <c r="H149">
        <f>IF(OR(H$4="",$A149&gt;TODAY()),0,IF(OR(INDEX($B149:$D149,H$5)="F",AND(H$6&gt;0,$A149&lt;H$6),AND(H$7&gt;0,$A149&gt;H$7)),0,MAX(0,ROUND((INDEX($E149:$G149,H$5)-SUMIFS(TF_Timer,TF_Tekniker,H$4,TF_Dato,$A149))*2,0)/2)))</f>
        <v/>
      </c>
      <c r="I149">
        <f>IF(OR(I$4="",$A149&gt;TODAY()),0,IF(OR(INDEX($B149:$D149,I$5)="F",AND(I$6&gt;0,$A149&lt;I$6),AND(I$7&gt;0,$A149&gt;I$7)),0,MAX(0,ROUND((INDEX($E149:$G149,I$5)-SUMIFS(TF_Timer,TF_Tekniker,I$4,TF_Dato,$A149))*2,0)/2)))</f>
        <v/>
      </c>
      <c r="J149">
        <f>IF(OR(J$4="",$A149&gt;TODAY()),0,IF(OR(INDEX($B149:$D149,J$5)="F",AND(J$6&gt;0,$A149&lt;J$6),AND(J$7&gt;0,$A149&gt;J$7)),0,MAX(0,ROUND((INDEX($E149:$G149,J$5)-SUMIFS(TF_Timer,TF_Tekniker,J$4,TF_Dato,$A149))*2,0)/2)))</f>
        <v/>
      </c>
      <c r="K149">
        <f>IF(OR(K$4="",$A149&gt;TODAY()),0,IF(OR(INDEX($B149:$D149,K$5)="F",AND(K$6&gt;0,$A149&lt;K$6),AND(K$7&gt;0,$A149&gt;K$7)),0,MAX(0,ROUND((INDEX($E149:$G149,K$5)-SUMIFS(TF_Timer,TF_Tekniker,K$4,TF_Dato,$A149))*2,0)/2)))</f>
        <v/>
      </c>
      <c r="L149">
        <f>IF(OR(L$4="",$A149&gt;TODAY()),0,IF(OR(INDEX($B149:$D149,L$5)="F",AND(L$6&gt;0,$A149&lt;L$6),AND(L$7&gt;0,$A149&gt;L$7)),0,MAX(0,ROUND((INDEX($E149:$G149,L$5)-SUMIFS(TF_Timer,TF_Tekniker,L$4,TF_Dato,$A149))*2,0)/2)))</f>
        <v/>
      </c>
      <c r="M149">
        <f>IF(OR(M$4="",$A149&gt;TODAY()),0,IF(OR(INDEX($B149:$D149,M$5)="F",AND(M$6&gt;0,$A149&lt;M$6),AND(M$7&gt;0,$A149&gt;M$7)),0,MAX(0,ROUND((INDEX($E149:$G149,M$5)-SUMIFS(TF_Timer,TF_Tekniker,M$4,TF_Dato,$A149))*2,0)/2)))</f>
        <v/>
      </c>
      <c r="N149">
        <f>IF(OR(N$4="",$A149&gt;TODAY()),0,IF(OR(INDEX($B149:$D149,N$5)="F",AND(N$6&gt;0,$A149&lt;N$6),AND(N$7&gt;0,$A149&gt;N$7)),0,MAX(0,ROUND((INDEX($E149:$G149,N$5)-SUMIFS(TF_Timer,TF_Tekniker,N$4,TF_Dato,$A149))*2,0)/2)))</f>
        <v/>
      </c>
      <c r="O149">
        <f>IF(OR(O$4="",$A149&gt;TODAY()),0,IF(OR(INDEX($B149:$D149,O$5)="F",AND(O$6&gt;0,$A149&lt;O$6),AND(O$7&gt;0,$A149&gt;O$7)),0,MAX(0,ROUND((INDEX($E149:$G149,O$5)-SUMIFS(TF_Timer,TF_Tekniker,O$4,TF_Dato,$A149))*2,0)/2)))</f>
        <v/>
      </c>
      <c r="P149">
        <f>IF(OR(P$4="",$A149&gt;TODAY()),0,IF(OR(INDEX($B149:$D149,P$5)="F",AND(P$6&gt;0,$A149&lt;P$6),AND(P$7&gt;0,$A149&gt;P$7)),0,MAX(0,ROUND((INDEX($E149:$G149,P$5)-SUMIFS(TF_Timer,TF_Tekniker,P$4,TF_Dato,$A149))*2,0)/2)))</f>
        <v/>
      </c>
      <c r="Q149">
        <f>IF(OR(Q$4="",$A149&gt;TODAY()),0,IF(OR(INDEX($B149:$D149,Q$5)="F",AND(Q$6&gt;0,$A149&lt;Q$6),AND(Q$7&gt;0,$A149&gt;Q$7)),0,MAX(0,ROUND((INDEX($E149:$G149,Q$5)-SUMIFS(TF_Timer,TF_Tekniker,Q$4,TF_Dato,$A149))*2,0)/2)))</f>
        <v/>
      </c>
      <c r="R149">
        <f>IF(OR(R$4="",$A149&gt;TODAY()),0,IF(OR(INDEX($B149:$D149,R$5)="F",AND(R$6&gt;0,$A149&lt;R$6),AND(R$7&gt;0,$A149&gt;R$7)),0,MAX(0,ROUND((INDEX($E149:$G149,R$5)-SUMIFS(TF_Timer,TF_Tekniker,R$4,TF_Dato,$A149))*2,0)/2)))</f>
        <v/>
      </c>
      <c r="S149">
        <f>IF(OR(S$4="",$A149&gt;TODAY()),0,IF(OR(INDEX($B149:$D149,S$5)="F",AND(S$6&gt;0,$A149&lt;S$6),AND(S$7&gt;0,$A149&gt;S$7)),0,MAX(0,ROUND((INDEX($E149:$G149,S$5)-SUMIFS(TF_Timer,TF_Tekniker,S$4,TF_Dato,$A149))*2,0)/2)))</f>
        <v/>
      </c>
      <c r="T149">
        <f>IF(OR(T$4="",$A149&gt;TODAY()),0,IF(OR(INDEX($B149:$D149,T$5)="F",AND(T$6&gt;0,$A149&lt;T$6),AND(T$7&gt;0,$A149&gt;T$7)),0,MAX(0,ROUND((INDEX($E149:$G149,T$5)-SUMIFS(TF_Timer,TF_Tekniker,T$4,TF_Dato,$A149))*2,0)/2)))</f>
        <v/>
      </c>
      <c r="U149">
        <f>IF(OR(U$4="",$A149&gt;TODAY()),0,IF(OR(INDEX($B149:$D149,U$5)="F",AND(U$6&gt;0,$A149&lt;U$6),AND(U$7&gt;0,$A149&gt;U$7)),0,MAX(0,ROUND((INDEX($E149:$G149,U$5)-SUMIFS(TF_Timer,TF_Tekniker,U$4,TF_Dato,$A149))*2,0)/2)))</f>
        <v/>
      </c>
      <c r="V149">
        <f>IF(OR(V$4="",$A149&gt;TODAY()),0,IF(OR(INDEX($B149:$D149,V$5)="F",AND(V$6&gt;0,$A149&lt;V$6),AND(V$7&gt;0,$A149&gt;V$7)),0,MAX(0,ROUND((INDEX($E149:$G149,V$5)-SUMIFS(TF_Timer,TF_Tekniker,V$4,TF_Dato,$A149))*2,0)/2)))</f>
        <v/>
      </c>
      <c r="W149">
        <f>IF(OR(W$4="",$A149&gt;TODAY()),0,IF(OR(INDEX($B149:$D149,W$5)="F",AND(W$6&gt;0,$A149&lt;W$6),AND(W$7&gt;0,$A149&gt;W$7)),0,MAX(0,ROUND((INDEX($E149:$G149,W$5)-SUMIFS(TF_Timer,TF_Tekniker,W$4,TF_Dato,$A149))*2,0)/2)))</f>
        <v/>
      </c>
      <c r="X149">
        <f>IF(OR(X$4="",$A149&gt;TODAY()),0,IF(OR(INDEX($B149:$D149,X$5)="F",AND(X$6&gt;0,$A149&lt;X$6),AND(X$7&gt;0,$A149&gt;X$7)),0,MAX(0,ROUND((INDEX($E149:$G149,X$5)-SUMIFS(TF_Timer,TF_Tekniker,X$4,TF_Dato,$A149))*2,0)/2)))</f>
        <v/>
      </c>
      <c r="Y149">
        <f>IF(OR(Y$4="",$A149&gt;TODAY()),0,IF(OR(INDEX($B149:$D149,Y$5)="F",AND(Y$6&gt;0,$A149&lt;Y$6),AND(Y$7&gt;0,$A149&gt;Y$7)),0,MAX(0,ROUND((INDEX($E149:$G149,Y$5)-SUMIFS(TF_Timer,TF_Tekniker,Y$4,TF_Dato,$A149))*2,0)/2)))</f>
        <v/>
      </c>
      <c r="Z149">
        <f>IF(OR(Z$4="",$A149&gt;TODAY()),0,IF(OR(INDEX($B149:$D149,Z$5)="F",AND(Z$6&gt;0,$A149&lt;Z$6),AND(Z$7&gt;0,$A149&gt;Z$7)),0,MAX(0,ROUND((INDEX($E149:$G149,Z$5)-SUMIFS(TF_Timer,TF_Tekniker,Z$4,TF_Dato,$A149))*2,0)/2)))</f>
        <v/>
      </c>
      <c r="AA149">
        <f>IF(OR(AA$4="",$A149&gt;TODAY()),0,IF(OR(INDEX($B149:$D149,AA$5)="F",AND(AA$6&gt;0,$A149&lt;AA$6),AND(AA$7&gt;0,$A149&gt;AA$7)),0,MAX(0,ROUND((INDEX($E149:$G149,AA$5)-SUMIFS(TF_Timer,TF_Tekniker,AA$4,TF_Dato,$A149))*2,0)/2)))</f>
        <v/>
      </c>
      <c r="AB149">
        <f>IF(OR(AB$4="",$A149&gt;TODAY()),0,IF(OR(INDEX($B149:$D149,AB$5)="F",AND(AB$6&gt;0,$A149&lt;AB$6),AND(AB$7&gt;0,$A149&gt;AB$7)),0,MAX(0,ROUND((INDEX($E149:$G149,AB$5)-SUMIFS(TF_Timer,TF_Tekniker,AB$4,TF_Dato,$A149))*2,0)/2)))</f>
        <v/>
      </c>
      <c r="AC149">
        <f>IF(OR(AC$4="",$A149&gt;TODAY()),0,IF(OR(INDEX($B149:$D149,AC$5)="F",AND(AC$6&gt;0,$A149&lt;AC$6),AND(AC$7&gt;0,$A149&gt;AC$7)),0,MAX(0,ROUND((INDEX($E149:$G149,AC$5)-SUMIFS(TF_Timer,TF_Tekniker,AC$4,TF_Dato,$A149))*2,0)/2)))</f>
        <v/>
      </c>
      <c r="AD149">
        <f>IF(OR(AD$4="",$A149&gt;TODAY()),0,IF(OR(INDEX($B149:$D149,AD$5)="F",AND(AD$6&gt;0,$A149&lt;AD$6),AND(AD$7&gt;0,$A149&gt;AD$7)),0,MAX(0,ROUND((INDEX($E149:$G149,AD$5)-SUMIFS(TF_Timer,TF_Tekniker,AD$4,TF_Dato,$A149))*2,0)/2)))</f>
        <v/>
      </c>
      <c r="AE149">
        <f>IF(OR(AE$4="",$A149&gt;TODAY()),0,IF(OR(INDEX($B149:$D149,AE$5)="F",AND(AE$6&gt;0,$A149&lt;AE$6),AND(AE$7&gt;0,$A149&gt;AE$7)),0,MAX(0,ROUND((INDEX($E149:$G149,AE$5)-SUMIFS(TF_Timer,TF_Tekniker,AE$4,TF_Dato,$A149))*2,0)/2)))</f>
        <v/>
      </c>
      <c r="AF149">
        <f>IF(OR(AF$4="",$A149&gt;TODAY()),0,IF(OR(INDEX($B149:$D149,AF$5)="F",AND(AF$6&gt;0,$A149&lt;AF$6),AND(AF$7&gt;0,$A149&gt;AF$7)),0,MAX(0,ROUND((INDEX($E149:$G149,AF$5)-SUMIFS(TF_Timer,TF_Tekniker,AF$4,TF_Dato,$A149))*2,0)/2)))</f>
        <v/>
      </c>
      <c r="AG149">
        <f>IF(OR(AG$4="",$A149&gt;TODAY()),0,IF(OR(INDEX($B149:$D149,AG$5)="F",AND(AG$6&gt;0,$A149&lt;AG$6),AND(AG$7&gt;0,$A149&gt;AG$7)),0,MAX(0,ROUND((INDEX($E149:$G149,AG$5)-SUMIFS(TF_Timer,TF_Tekniker,AG$4,TF_Dato,$A149))*2,0)/2)))</f>
        <v/>
      </c>
      <c r="AH149">
        <f>IF(OR(AH$4="",$A149&gt;TODAY()),0,IF(OR(INDEX($B149:$D149,AH$5)="F",AND(AH$6&gt;0,$A149&lt;AH$6),AND(AH$7&gt;0,$A149&gt;AH$7)),0,MAX(0,ROUND((INDEX($E149:$G149,AH$5)-SUMIFS(TF_Timer,TF_Tekniker,AH$4,TF_Dato,$A149))*2,0)/2)))</f>
        <v/>
      </c>
      <c r="AI149">
        <f>IF(OR(AI$4="",$A149&gt;TODAY()),0,IF(OR(INDEX($B149:$D149,AI$5)="F",AND(AI$6&gt;0,$A149&lt;AI$6),AND(AI$7&gt;0,$A149&gt;AI$7)),0,MAX(0,ROUND((INDEX($E149:$G149,AI$5)-SUMIFS(TF_Timer,TF_Tekniker,AI$4,TF_Dato,$A149))*2,0)/2)))</f>
        <v/>
      </c>
      <c r="AJ149">
        <f>IF(OR(AJ$4="",$A149&gt;TODAY()),0,IF(OR(INDEX($B149:$D149,AJ$5)="F",AND(AJ$6&gt;0,$A149&lt;AJ$6),AND(AJ$7&gt;0,$A149&gt;AJ$7)),0,MAX(0,ROUND((INDEX($E149:$G149,AJ$5)-SUMIFS(TF_Timer,TF_Tekniker,AJ$4,TF_Dato,$A149))*2,0)/2)))</f>
        <v/>
      </c>
      <c r="AK149">
        <f>IF(OR(AK$4="",$A149&gt;TODAY()),0,IF(OR(INDEX($B149:$D149,AK$5)="F",AND(AK$6&gt;0,$A149&lt;AK$6),AND(AK$7&gt;0,$A149&gt;AK$7)),0,MAX(0,ROUND((INDEX($E149:$G149,AK$5)-SUMIFS(TF_Timer,TF_Tekniker,AK$4,TF_Dato,$A149))*2,0)/2)))</f>
        <v/>
      </c>
      <c r="AL149">
        <f>IF(OR(AL$4="",$A149&gt;TODAY()),0,IF(OR(INDEX($B149:$D149,AL$5)="F",AND(AL$6&gt;0,$A149&lt;AL$6),AND(AL$7&gt;0,$A149&gt;AL$7)),0,MAX(0,ROUND((INDEX($E149:$G149,AL$5)-SUMIFS(TF_Timer,TF_Tekniker,AL$4,TF_Dato,$A149))*2,0)/2)))</f>
        <v/>
      </c>
      <c r="AM149">
        <f>IF(OR(AM$4="",$A149&gt;TODAY()),0,IF(OR(INDEX($B149:$D149,AM$5)="F",AND(AM$6&gt;0,$A149&lt;AM$6),AND(AM$7&gt;0,$A149&gt;AM$7)),0,MAX(0,ROUND((INDEX($E149:$G149,AM$5)-SUMIFS(TF_Timer,TF_Tekniker,AM$4,TF_Dato,$A149))*2,0)/2)))</f>
        <v/>
      </c>
      <c r="AN149">
        <f>IF(OR(AN$4="",$A149&gt;TODAY()),0,IF(OR(INDEX($B149:$D149,AN$5)="F",AND(AN$6&gt;0,$A149&lt;AN$6),AND(AN$7&gt;0,$A149&gt;AN$7)),0,MAX(0,ROUND((INDEX($E149:$G149,AN$5)-SUMIFS(TF_Timer,TF_Tekniker,AN$4,TF_Dato,$A149))*2,0)/2)))</f>
        <v/>
      </c>
      <c r="AO149">
        <f>IF(OR(AO$4="",$A149&gt;TODAY()),0,IF(OR(INDEX($B149:$D149,AO$5)="F",AND(AO$6&gt;0,$A149&lt;AO$6),AND(AO$7&gt;0,$A149&gt;AO$7)),0,MAX(0,ROUND((INDEX($E149:$G149,AO$5)-SUMIFS(TF_Timer,TF_Tekniker,AO$4,TF_Dato,$A149))*2,0)/2)))</f>
        <v/>
      </c>
      <c r="AP149">
        <f>IF(OR(AP$4="",$A149&gt;TODAY()),0,IF(OR(INDEX($B149:$D149,AP$5)="F",AND(AP$6&gt;0,$A149&lt;AP$6),AND(AP$7&gt;0,$A149&gt;AP$7)),0,MAX(0,ROUND((INDEX($E149:$G149,AP$5)-SUMIFS(TF_Timer,TF_Tekniker,AP$4,TF_Dato,$A149))*2,0)/2)))</f>
        <v/>
      </c>
      <c r="AQ149">
        <f>IF(OR(AQ$4="",$A149&gt;TODAY()),0,IF(OR(INDEX($B149:$D149,AQ$5)="F",AND(AQ$6&gt;0,$A149&lt;AQ$6),AND(AQ$7&gt;0,$A149&gt;AQ$7)),0,MAX(0,ROUND((INDEX($E149:$G149,AQ$5)-SUMIFS(TF_Timer,TF_Tekniker,AQ$4,TF_Dato,$A149))*2,0)/2)))</f>
        <v/>
      </c>
      <c r="AR149">
        <f>IF(OR(AR$4="",$A149&gt;TODAY()),0,IF(OR(INDEX($B149:$D149,AR$5)="F",AND(AR$6&gt;0,$A149&lt;AR$6),AND(AR$7&gt;0,$A149&gt;AR$7)),0,MAX(0,ROUND((INDEX($E149:$G149,AR$5)-SUMIFS(TF_Timer,TF_Tekniker,AR$4,TF_Dato,$A149))*2,0)/2)))</f>
        <v/>
      </c>
      <c r="AS149">
        <f>IF(OR(AS$4="",$A149&gt;TODAY()),0,IF(OR(INDEX($B149:$D149,AS$5)="F",AND(AS$6&gt;0,$A149&lt;AS$6),AND(AS$7&gt;0,$A149&gt;AS$7)),0,MAX(0,ROUND((INDEX($E149:$G149,AS$5)-SUMIFS(TF_Timer,TF_Tekniker,AS$4,TF_Dato,$A149))*2,0)/2)))</f>
        <v/>
      </c>
      <c r="AT149">
        <f>IF(OR(AT$4="",$A149&gt;TODAY()),0,IF(OR(INDEX($B149:$D149,AT$5)="F",AND(AT$6&gt;0,$A149&lt;AT$6),AND(AT$7&gt;0,$A149&gt;AT$7)),0,MAX(0,ROUND((INDEX($E149:$G149,AT$5)-SUMIFS(TF_Timer,TF_Tekniker,AT$4,TF_Dato,$A149))*2,0)/2)))</f>
        <v/>
      </c>
      <c r="AU149">
        <f>IF(OR(AU$4="",$A149&gt;TODAY()),0,IF(OR(INDEX($B149:$D149,AU$5)="F",AND(AU$6&gt;0,$A149&lt;AU$6),AND(AU$7&gt;0,$A149&gt;AU$7)),0,MAX(0,ROUND((INDEX($E149:$G149,AU$5)-SUMIFS(TF_Timer,TF_Tekniker,AU$4,TF_Dato,$A149))*2,0)/2)))</f>
        <v/>
      </c>
      <c r="AV149">
        <f>IF(OR(AV$4="",$A149&gt;TODAY()),0,IF(OR(INDEX($B149:$D149,AV$5)="F",AND(AV$6&gt;0,$A149&lt;AV$6),AND(AV$7&gt;0,$A149&gt;AV$7)),0,MAX(0,ROUND((INDEX($E149:$G149,AV$5)-SUMIFS(TF_Timer,TF_Tekniker,AV$4,TF_Dato,$A149))*2,0)/2)))</f>
        <v/>
      </c>
      <c r="AW149">
        <f>IF(OR(AW$4="",$A149&gt;TODAY()),0,IF(OR(INDEX($B149:$D149,AW$5)="F",AND(AW$6&gt;0,$A149&lt;AW$6),AND(AW$7&gt;0,$A149&gt;AW$7)),0,MAX(0,ROUND((INDEX($E149:$G149,AW$5)-SUMIFS(TF_Timer,TF_Tekniker,AW$4,TF_Dato,$A149))*2,0)/2)))</f>
        <v/>
      </c>
      <c r="AX149">
        <f>IF(OR(AX$4="",$A149&gt;TODAY()),0,IF(OR(INDEX($B149:$D149,AX$5)="F",AND(AX$6&gt;0,$A149&lt;AX$6),AND(AX$7&gt;0,$A149&gt;AX$7)),0,MAX(0,ROUND((INDEX($E149:$G149,AX$5)-SUMIFS(TF_Timer,TF_Tekniker,AX$4,TF_Dato,$A149))*2,0)/2)))</f>
        <v/>
      </c>
      <c r="AY149">
        <f>IF(OR(AY$4="",$A149&gt;TODAY()),0,IF(OR(INDEX($B149:$D149,AY$5)="F",AND(AY$6&gt;0,$A149&lt;AY$6),AND(AY$7&gt;0,$A149&gt;AY$7)),0,MAX(0,ROUND((INDEX($E149:$G149,AY$5)-SUMIFS(TF_Timer,TF_Tekniker,AY$4,TF_Dato,$A149))*2,0)/2)))</f>
        <v/>
      </c>
      <c r="AZ149">
        <f>IF(OR(AZ$4="",$A149&gt;TODAY()),0,IF(OR(INDEX($B149:$D149,AZ$5)="F",AND(AZ$6&gt;0,$A149&lt;AZ$6),AND(AZ$7&gt;0,$A149&gt;AZ$7)),0,MAX(0,ROUND((INDEX($E149:$G149,AZ$5)-SUMIFS(TF_Timer,TF_Tekniker,AZ$4,TF_Dato,$A149))*2,0)/2)))</f>
        <v/>
      </c>
      <c r="BA149">
        <f>IF(OR(BA$4="",$A149&gt;TODAY()),0,IF(OR(INDEX($B149:$D149,BA$5)="F",AND(BA$6&gt;0,$A149&lt;BA$6),AND(BA$7&gt;0,$A149&gt;BA$7)),0,MAX(0,ROUND((INDEX($E149:$G149,BA$5)-SUMIFS(TF_Timer,TF_Tekniker,BA$4,TF_Dato,$A149))*2,0)/2)))</f>
        <v/>
      </c>
      <c r="BB149">
        <f>IF(OR(BB$4="",$A149&gt;TODAY()),0,IF(OR(INDEX($B149:$D149,BB$5)="F",AND(BB$6&gt;0,$A149&lt;BB$6),AND(BB$7&gt;0,$A149&gt;BB$7)),0,MAX(0,ROUND((INDEX($E149:$G149,BB$5)-SUMIFS(TF_Timer,TF_Tekniker,BB$4,TF_Dato,$A149))*2,0)/2)))</f>
        <v/>
      </c>
      <c r="BC149">
        <f>IF(OR(BC$4="",$A149&gt;TODAY()),0,IF(OR(INDEX($B149:$D149,BC$5)="F",AND(BC$6&gt;0,$A149&lt;BC$6),AND(BC$7&gt;0,$A149&gt;BC$7)),0,MAX(0,ROUND((INDEX($E149:$G149,BC$5)-SUMIFS(TF_Timer,TF_Tekniker,BC$4,TF_Dato,$A149))*2,0)/2)))</f>
        <v/>
      </c>
      <c r="BD149">
        <f>IF(OR(BD$4="",$A149&gt;TODAY()),0,IF(OR(INDEX($B149:$D149,BD$5)="F",AND(BD$6&gt;0,$A149&lt;BD$6),AND(BD$7&gt;0,$A149&gt;BD$7)),0,MAX(0,ROUND((INDEX($E149:$G149,BD$5)-SUMIFS(TF_Timer,TF_Tekniker,BD$4,TF_Dato,$A149))*2,0)/2)))</f>
        <v/>
      </c>
      <c r="BE149">
        <f>IF(OR(BE$4="",$A149&gt;TODAY()),0,IF(OR(INDEX($B149:$D149,BE$5)="F",AND(BE$6&gt;0,$A149&lt;BE$6),AND(BE$7&gt;0,$A149&gt;BE$7)),0,MAX(0,ROUND((INDEX($E149:$G149,BE$5)-SUMIFS(TF_Timer,TF_Tekniker,BE$4,TF_Dato,$A149))*2,0)/2)))</f>
        <v/>
      </c>
      <c r="BF149">
        <f>IF(OR(BF$4="",$A149&gt;TODAY()),0,IF(OR(INDEX($B149:$D149,BF$5)="F",AND(BF$6&gt;0,$A149&lt;BF$6),AND(BF$7&gt;0,$A149&gt;BF$7)),0,MAX(0,ROUND((INDEX($E149:$G149,BF$5)-SUMIFS(TF_Timer,TF_Tekniker,BF$4,TF_Dato,$A149))*2,0)/2)))</f>
        <v/>
      </c>
      <c r="BG149">
        <f>IF(OR(BG$4="",$A149&gt;TODAY()),0,IF(OR(INDEX($B149:$D149,BG$5)="F",AND(BG$6&gt;0,$A149&lt;BG$6),AND(BG$7&gt;0,$A149&gt;BG$7)),0,MAX(0,ROUND((INDEX($E149:$G149,BG$5)-SUMIFS(TF_Timer,TF_Tekniker,BG$4,TF_Dato,$A149))*2,0)/2)))</f>
        <v/>
      </c>
      <c r="BH149">
        <f>IF(OR(BH$4="",$A149&gt;TODAY()),0,IF(OR(INDEX($B149:$D149,BH$5)="F",AND(BH$6&gt;0,$A149&lt;BH$6),AND(BH$7&gt;0,$A149&gt;BH$7)),0,MAX(0,ROUND((INDEX($E149:$G149,BH$5)-SUMIFS(TF_Timer,TF_Tekniker,BH$4,TF_Dato,$A149))*2,0)/2)))</f>
        <v/>
      </c>
      <c r="BI149">
        <f>IF(OR(BI$4="",$A149&gt;TODAY()),0,IF(OR(INDEX($B149:$D149,BI$5)="F",AND(BI$6&gt;0,$A149&lt;BI$6),AND(BI$7&gt;0,$A149&gt;BI$7)),0,MAX(0,ROUND((INDEX($E149:$G149,BI$5)-SUMIFS(TF_Timer,TF_Tekniker,BI$4,TF_Dato,$A149))*2,0)/2)))</f>
        <v/>
      </c>
    </row>
    <row r="150">
      <c r="A150" s="64">
        <f>A149+1</f>
        <v/>
      </c>
      <c r="B150">
        <f>IF(MOD($A150-INDEX(SkiftStart,1),Syklus)&lt;DagK,"K",IF(MOD($A150-INDEX(SkiftStart,1),Syklus)&lt;DagK+DagH,"H",IF(MOD($A150-INDEX(SkiftStart,1),Syklus)&lt;DagK+DagH+DagD,"D","F")))</f>
        <v/>
      </c>
      <c r="C150">
        <f>IF(MOD($A150-INDEX(SkiftStart,2),Syklus)&lt;DagK,"K",IF(MOD($A150-INDEX(SkiftStart,2),Syklus)&lt;DagK+DagH,"H",IF(MOD($A150-INDEX(SkiftStart,2),Syklus)&lt;DagK+DagH+DagD,"D","F")))</f>
        <v/>
      </c>
      <c r="D150">
        <f>IF(MOD($A150-INDEX(SkiftStart,3),Syklus)&lt;DagK,"K",IF(MOD($A150-INDEX(SkiftStart,3),Syklus)&lt;DagK+DagH,"H",IF(MOD($A150-INDEX(SkiftStart,3),Syklus)&lt;DagK+DagH+DagD,"D","F")))</f>
        <v/>
      </c>
      <c r="E150">
        <f>IF(B150="F",0,IF(WEEKDAY($A150,2)=5,INDEX(TimerFr,MATCH(B150,FaseKode,0)),INDEX(TimerMT,MATCH(B150,FaseKode,0))))</f>
        <v/>
      </c>
      <c r="F150">
        <f>IF(C150="F",0,IF(WEEKDAY($A150,2)=5,INDEX(TimerFr,MATCH(C150,FaseKode,0)),INDEX(TimerMT,MATCH(C150,FaseKode,0))))</f>
        <v/>
      </c>
      <c r="G150">
        <f>IF(D150="F",0,IF(WEEKDAY($A150,2)=5,INDEX(TimerFr,MATCH(D150,FaseKode,0)),INDEX(TimerMT,MATCH(D150,FaseKode,0))))</f>
        <v/>
      </c>
      <c r="H150">
        <f>IF(OR(H$4="",$A150&gt;TODAY()),0,IF(OR(INDEX($B150:$D150,H$5)="F",AND(H$6&gt;0,$A150&lt;H$6),AND(H$7&gt;0,$A150&gt;H$7)),0,MAX(0,ROUND((INDEX($E150:$G150,H$5)-SUMIFS(TF_Timer,TF_Tekniker,H$4,TF_Dato,$A150))*2,0)/2)))</f>
        <v/>
      </c>
      <c r="I150">
        <f>IF(OR(I$4="",$A150&gt;TODAY()),0,IF(OR(INDEX($B150:$D150,I$5)="F",AND(I$6&gt;0,$A150&lt;I$6),AND(I$7&gt;0,$A150&gt;I$7)),0,MAX(0,ROUND((INDEX($E150:$G150,I$5)-SUMIFS(TF_Timer,TF_Tekniker,I$4,TF_Dato,$A150))*2,0)/2)))</f>
        <v/>
      </c>
      <c r="J150">
        <f>IF(OR(J$4="",$A150&gt;TODAY()),0,IF(OR(INDEX($B150:$D150,J$5)="F",AND(J$6&gt;0,$A150&lt;J$6),AND(J$7&gt;0,$A150&gt;J$7)),0,MAX(0,ROUND((INDEX($E150:$G150,J$5)-SUMIFS(TF_Timer,TF_Tekniker,J$4,TF_Dato,$A150))*2,0)/2)))</f>
        <v/>
      </c>
      <c r="K150">
        <f>IF(OR(K$4="",$A150&gt;TODAY()),0,IF(OR(INDEX($B150:$D150,K$5)="F",AND(K$6&gt;0,$A150&lt;K$6),AND(K$7&gt;0,$A150&gt;K$7)),0,MAX(0,ROUND((INDEX($E150:$G150,K$5)-SUMIFS(TF_Timer,TF_Tekniker,K$4,TF_Dato,$A150))*2,0)/2)))</f>
        <v/>
      </c>
      <c r="L150">
        <f>IF(OR(L$4="",$A150&gt;TODAY()),0,IF(OR(INDEX($B150:$D150,L$5)="F",AND(L$6&gt;0,$A150&lt;L$6),AND(L$7&gt;0,$A150&gt;L$7)),0,MAX(0,ROUND((INDEX($E150:$G150,L$5)-SUMIFS(TF_Timer,TF_Tekniker,L$4,TF_Dato,$A150))*2,0)/2)))</f>
        <v/>
      </c>
      <c r="M150">
        <f>IF(OR(M$4="",$A150&gt;TODAY()),0,IF(OR(INDEX($B150:$D150,M$5)="F",AND(M$6&gt;0,$A150&lt;M$6),AND(M$7&gt;0,$A150&gt;M$7)),0,MAX(0,ROUND((INDEX($E150:$G150,M$5)-SUMIFS(TF_Timer,TF_Tekniker,M$4,TF_Dato,$A150))*2,0)/2)))</f>
        <v/>
      </c>
      <c r="N150">
        <f>IF(OR(N$4="",$A150&gt;TODAY()),0,IF(OR(INDEX($B150:$D150,N$5)="F",AND(N$6&gt;0,$A150&lt;N$6),AND(N$7&gt;0,$A150&gt;N$7)),0,MAX(0,ROUND((INDEX($E150:$G150,N$5)-SUMIFS(TF_Timer,TF_Tekniker,N$4,TF_Dato,$A150))*2,0)/2)))</f>
        <v/>
      </c>
      <c r="O150">
        <f>IF(OR(O$4="",$A150&gt;TODAY()),0,IF(OR(INDEX($B150:$D150,O$5)="F",AND(O$6&gt;0,$A150&lt;O$6),AND(O$7&gt;0,$A150&gt;O$7)),0,MAX(0,ROUND((INDEX($E150:$G150,O$5)-SUMIFS(TF_Timer,TF_Tekniker,O$4,TF_Dato,$A150))*2,0)/2)))</f>
        <v/>
      </c>
      <c r="P150">
        <f>IF(OR(P$4="",$A150&gt;TODAY()),0,IF(OR(INDEX($B150:$D150,P$5)="F",AND(P$6&gt;0,$A150&lt;P$6),AND(P$7&gt;0,$A150&gt;P$7)),0,MAX(0,ROUND((INDEX($E150:$G150,P$5)-SUMIFS(TF_Timer,TF_Tekniker,P$4,TF_Dato,$A150))*2,0)/2)))</f>
        <v/>
      </c>
      <c r="Q150">
        <f>IF(OR(Q$4="",$A150&gt;TODAY()),0,IF(OR(INDEX($B150:$D150,Q$5)="F",AND(Q$6&gt;0,$A150&lt;Q$6),AND(Q$7&gt;0,$A150&gt;Q$7)),0,MAX(0,ROUND((INDEX($E150:$G150,Q$5)-SUMIFS(TF_Timer,TF_Tekniker,Q$4,TF_Dato,$A150))*2,0)/2)))</f>
        <v/>
      </c>
      <c r="R150">
        <f>IF(OR(R$4="",$A150&gt;TODAY()),0,IF(OR(INDEX($B150:$D150,R$5)="F",AND(R$6&gt;0,$A150&lt;R$6),AND(R$7&gt;0,$A150&gt;R$7)),0,MAX(0,ROUND((INDEX($E150:$G150,R$5)-SUMIFS(TF_Timer,TF_Tekniker,R$4,TF_Dato,$A150))*2,0)/2)))</f>
        <v/>
      </c>
      <c r="S150">
        <f>IF(OR(S$4="",$A150&gt;TODAY()),0,IF(OR(INDEX($B150:$D150,S$5)="F",AND(S$6&gt;0,$A150&lt;S$6),AND(S$7&gt;0,$A150&gt;S$7)),0,MAX(0,ROUND((INDEX($E150:$G150,S$5)-SUMIFS(TF_Timer,TF_Tekniker,S$4,TF_Dato,$A150))*2,0)/2)))</f>
        <v/>
      </c>
      <c r="T150">
        <f>IF(OR(T$4="",$A150&gt;TODAY()),0,IF(OR(INDEX($B150:$D150,T$5)="F",AND(T$6&gt;0,$A150&lt;T$6),AND(T$7&gt;0,$A150&gt;T$7)),0,MAX(0,ROUND((INDEX($E150:$G150,T$5)-SUMIFS(TF_Timer,TF_Tekniker,T$4,TF_Dato,$A150))*2,0)/2)))</f>
        <v/>
      </c>
      <c r="U150">
        <f>IF(OR(U$4="",$A150&gt;TODAY()),0,IF(OR(INDEX($B150:$D150,U$5)="F",AND(U$6&gt;0,$A150&lt;U$6),AND(U$7&gt;0,$A150&gt;U$7)),0,MAX(0,ROUND((INDEX($E150:$G150,U$5)-SUMIFS(TF_Timer,TF_Tekniker,U$4,TF_Dato,$A150))*2,0)/2)))</f>
        <v/>
      </c>
      <c r="V150">
        <f>IF(OR(V$4="",$A150&gt;TODAY()),0,IF(OR(INDEX($B150:$D150,V$5)="F",AND(V$6&gt;0,$A150&lt;V$6),AND(V$7&gt;0,$A150&gt;V$7)),0,MAX(0,ROUND((INDEX($E150:$G150,V$5)-SUMIFS(TF_Timer,TF_Tekniker,V$4,TF_Dato,$A150))*2,0)/2)))</f>
        <v/>
      </c>
      <c r="W150">
        <f>IF(OR(W$4="",$A150&gt;TODAY()),0,IF(OR(INDEX($B150:$D150,W$5)="F",AND(W$6&gt;0,$A150&lt;W$6),AND(W$7&gt;0,$A150&gt;W$7)),0,MAX(0,ROUND((INDEX($E150:$G150,W$5)-SUMIFS(TF_Timer,TF_Tekniker,W$4,TF_Dato,$A150))*2,0)/2)))</f>
        <v/>
      </c>
      <c r="X150">
        <f>IF(OR(X$4="",$A150&gt;TODAY()),0,IF(OR(INDEX($B150:$D150,X$5)="F",AND(X$6&gt;0,$A150&lt;X$6),AND(X$7&gt;0,$A150&gt;X$7)),0,MAX(0,ROUND((INDEX($E150:$G150,X$5)-SUMIFS(TF_Timer,TF_Tekniker,X$4,TF_Dato,$A150))*2,0)/2)))</f>
        <v/>
      </c>
      <c r="Y150">
        <f>IF(OR(Y$4="",$A150&gt;TODAY()),0,IF(OR(INDEX($B150:$D150,Y$5)="F",AND(Y$6&gt;0,$A150&lt;Y$6),AND(Y$7&gt;0,$A150&gt;Y$7)),0,MAX(0,ROUND((INDEX($E150:$G150,Y$5)-SUMIFS(TF_Timer,TF_Tekniker,Y$4,TF_Dato,$A150))*2,0)/2)))</f>
        <v/>
      </c>
      <c r="Z150">
        <f>IF(OR(Z$4="",$A150&gt;TODAY()),0,IF(OR(INDEX($B150:$D150,Z$5)="F",AND(Z$6&gt;0,$A150&lt;Z$6),AND(Z$7&gt;0,$A150&gt;Z$7)),0,MAX(0,ROUND((INDEX($E150:$G150,Z$5)-SUMIFS(TF_Timer,TF_Tekniker,Z$4,TF_Dato,$A150))*2,0)/2)))</f>
        <v/>
      </c>
      <c r="AA150">
        <f>IF(OR(AA$4="",$A150&gt;TODAY()),0,IF(OR(INDEX($B150:$D150,AA$5)="F",AND(AA$6&gt;0,$A150&lt;AA$6),AND(AA$7&gt;0,$A150&gt;AA$7)),0,MAX(0,ROUND((INDEX($E150:$G150,AA$5)-SUMIFS(TF_Timer,TF_Tekniker,AA$4,TF_Dato,$A150))*2,0)/2)))</f>
        <v/>
      </c>
      <c r="AB150">
        <f>IF(OR(AB$4="",$A150&gt;TODAY()),0,IF(OR(INDEX($B150:$D150,AB$5)="F",AND(AB$6&gt;0,$A150&lt;AB$6),AND(AB$7&gt;0,$A150&gt;AB$7)),0,MAX(0,ROUND((INDEX($E150:$G150,AB$5)-SUMIFS(TF_Timer,TF_Tekniker,AB$4,TF_Dato,$A150))*2,0)/2)))</f>
        <v/>
      </c>
      <c r="AC150">
        <f>IF(OR(AC$4="",$A150&gt;TODAY()),0,IF(OR(INDEX($B150:$D150,AC$5)="F",AND(AC$6&gt;0,$A150&lt;AC$6),AND(AC$7&gt;0,$A150&gt;AC$7)),0,MAX(0,ROUND((INDEX($E150:$G150,AC$5)-SUMIFS(TF_Timer,TF_Tekniker,AC$4,TF_Dato,$A150))*2,0)/2)))</f>
        <v/>
      </c>
      <c r="AD150">
        <f>IF(OR(AD$4="",$A150&gt;TODAY()),0,IF(OR(INDEX($B150:$D150,AD$5)="F",AND(AD$6&gt;0,$A150&lt;AD$6),AND(AD$7&gt;0,$A150&gt;AD$7)),0,MAX(0,ROUND((INDEX($E150:$G150,AD$5)-SUMIFS(TF_Timer,TF_Tekniker,AD$4,TF_Dato,$A150))*2,0)/2)))</f>
        <v/>
      </c>
      <c r="AE150">
        <f>IF(OR(AE$4="",$A150&gt;TODAY()),0,IF(OR(INDEX($B150:$D150,AE$5)="F",AND(AE$6&gt;0,$A150&lt;AE$6),AND(AE$7&gt;0,$A150&gt;AE$7)),0,MAX(0,ROUND((INDEX($E150:$G150,AE$5)-SUMIFS(TF_Timer,TF_Tekniker,AE$4,TF_Dato,$A150))*2,0)/2)))</f>
        <v/>
      </c>
      <c r="AF150">
        <f>IF(OR(AF$4="",$A150&gt;TODAY()),0,IF(OR(INDEX($B150:$D150,AF$5)="F",AND(AF$6&gt;0,$A150&lt;AF$6),AND(AF$7&gt;0,$A150&gt;AF$7)),0,MAX(0,ROUND((INDEX($E150:$G150,AF$5)-SUMIFS(TF_Timer,TF_Tekniker,AF$4,TF_Dato,$A150))*2,0)/2)))</f>
        <v/>
      </c>
      <c r="AG150">
        <f>IF(OR(AG$4="",$A150&gt;TODAY()),0,IF(OR(INDEX($B150:$D150,AG$5)="F",AND(AG$6&gt;0,$A150&lt;AG$6),AND(AG$7&gt;0,$A150&gt;AG$7)),0,MAX(0,ROUND((INDEX($E150:$G150,AG$5)-SUMIFS(TF_Timer,TF_Tekniker,AG$4,TF_Dato,$A150))*2,0)/2)))</f>
        <v/>
      </c>
      <c r="AH150">
        <f>IF(OR(AH$4="",$A150&gt;TODAY()),0,IF(OR(INDEX($B150:$D150,AH$5)="F",AND(AH$6&gt;0,$A150&lt;AH$6),AND(AH$7&gt;0,$A150&gt;AH$7)),0,MAX(0,ROUND((INDEX($E150:$G150,AH$5)-SUMIFS(TF_Timer,TF_Tekniker,AH$4,TF_Dato,$A150))*2,0)/2)))</f>
        <v/>
      </c>
      <c r="AI150">
        <f>IF(OR(AI$4="",$A150&gt;TODAY()),0,IF(OR(INDEX($B150:$D150,AI$5)="F",AND(AI$6&gt;0,$A150&lt;AI$6),AND(AI$7&gt;0,$A150&gt;AI$7)),0,MAX(0,ROUND((INDEX($E150:$G150,AI$5)-SUMIFS(TF_Timer,TF_Tekniker,AI$4,TF_Dato,$A150))*2,0)/2)))</f>
        <v/>
      </c>
      <c r="AJ150">
        <f>IF(OR(AJ$4="",$A150&gt;TODAY()),0,IF(OR(INDEX($B150:$D150,AJ$5)="F",AND(AJ$6&gt;0,$A150&lt;AJ$6),AND(AJ$7&gt;0,$A150&gt;AJ$7)),0,MAX(0,ROUND((INDEX($E150:$G150,AJ$5)-SUMIFS(TF_Timer,TF_Tekniker,AJ$4,TF_Dato,$A150))*2,0)/2)))</f>
        <v/>
      </c>
      <c r="AK150">
        <f>IF(OR(AK$4="",$A150&gt;TODAY()),0,IF(OR(INDEX($B150:$D150,AK$5)="F",AND(AK$6&gt;0,$A150&lt;AK$6),AND(AK$7&gt;0,$A150&gt;AK$7)),0,MAX(0,ROUND((INDEX($E150:$G150,AK$5)-SUMIFS(TF_Timer,TF_Tekniker,AK$4,TF_Dato,$A150))*2,0)/2)))</f>
        <v/>
      </c>
      <c r="AL150">
        <f>IF(OR(AL$4="",$A150&gt;TODAY()),0,IF(OR(INDEX($B150:$D150,AL$5)="F",AND(AL$6&gt;0,$A150&lt;AL$6),AND(AL$7&gt;0,$A150&gt;AL$7)),0,MAX(0,ROUND((INDEX($E150:$G150,AL$5)-SUMIFS(TF_Timer,TF_Tekniker,AL$4,TF_Dato,$A150))*2,0)/2)))</f>
        <v/>
      </c>
      <c r="AM150">
        <f>IF(OR(AM$4="",$A150&gt;TODAY()),0,IF(OR(INDEX($B150:$D150,AM$5)="F",AND(AM$6&gt;0,$A150&lt;AM$6),AND(AM$7&gt;0,$A150&gt;AM$7)),0,MAX(0,ROUND((INDEX($E150:$G150,AM$5)-SUMIFS(TF_Timer,TF_Tekniker,AM$4,TF_Dato,$A150))*2,0)/2)))</f>
        <v/>
      </c>
      <c r="AN150">
        <f>IF(OR(AN$4="",$A150&gt;TODAY()),0,IF(OR(INDEX($B150:$D150,AN$5)="F",AND(AN$6&gt;0,$A150&lt;AN$6),AND(AN$7&gt;0,$A150&gt;AN$7)),0,MAX(0,ROUND((INDEX($E150:$G150,AN$5)-SUMIFS(TF_Timer,TF_Tekniker,AN$4,TF_Dato,$A150))*2,0)/2)))</f>
        <v/>
      </c>
      <c r="AO150">
        <f>IF(OR(AO$4="",$A150&gt;TODAY()),0,IF(OR(INDEX($B150:$D150,AO$5)="F",AND(AO$6&gt;0,$A150&lt;AO$6),AND(AO$7&gt;0,$A150&gt;AO$7)),0,MAX(0,ROUND((INDEX($E150:$G150,AO$5)-SUMIFS(TF_Timer,TF_Tekniker,AO$4,TF_Dato,$A150))*2,0)/2)))</f>
        <v/>
      </c>
      <c r="AP150">
        <f>IF(OR(AP$4="",$A150&gt;TODAY()),0,IF(OR(INDEX($B150:$D150,AP$5)="F",AND(AP$6&gt;0,$A150&lt;AP$6),AND(AP$7&gt;0,$A150&gt;AP$7)),0,MAX(0,ROUND((INDEX($E150:$G150,AP$5)-SUMIFS(TF_Timer,TF_Tekniker,AP$4,TF_Dato,$A150))*2,0)/2)))</f>
        <v/>
      </c>
      <c r="AQ150">
        <f>IF(OR(AQ$4="",$A150&gt;TODAY()),0,IF(OR(INDEX($B150:$D150,AQ$5)="F",AND(AQ$6&gt;0,$A150&lt;AQ$6),AND(AQ$7&gt;0,$A150&gt;AQ$7)),0,MAX(0,ROUND((INDEX($E150:$G150,AQ$5)-SUMIFS(TF_Timer,TF_Tekniker,AQ$4,TF_Dato,$A150))*2,0)/2)))</f>
        <v/>
      </c>
      <c r="AR150">
        <f>IF(OR(AR$4="",$A150&gt;TODAY()),0,IF(OR(INDEX($B150:$D150,AR$5)="F",AND(AR$6&gt;0,$A150&lt;AR$6),AND(AR$7&gt;0,$A150&gt;AR$7)),0,MAX(0,ROUND((INDEX($E150:$G150,AR$5)-SUMIFS(TF_Timer,TF_Tekniker,AR$4,TF_Dato,$A150))*2,0)/2)))</f>
        <v/>
      </c>
      <c r="AS150">
        <f>IF(OR(AS$4="",$A150&gt;TODAY()),0,IF(OR(INDEX($B150:$D150,AS$5)="F",AND(AS$6&gt;0,$A150&lt;AS$6),AND(AS$7&gt;0,$A150&gt;AS$7)),0,MAX(0,ROUND((INDEX($E150:$G150,AS$5)-SUMIFS(TF_Timer,TF_Tekniker,AS$4,TF_Dato,$A150))*2,0)/2)))</f>
        <v/>
      </c>
      <c r="AT150">
        <f>IF(OR(AT$4="",$A150&gt;TODAY()),0,IF(OR(INDEX($B150:$D150,AT$5)="F",AND(AT$6&gt;0,$A150&lt;AT$6),AND(AT$7&gt;0,$A150&gt;AT$7)),0,MAX(0,ROUND((INDEX($E150:$G150,AT$5)-SUMIFS(TF_Timer,TF_Tekniker,AT$4,TF_Dato,$A150))*2,0)/2)))</f>
        <v/>
      </c>
      <c r="AU150">
        <f>IF(OR(AU$4="",$A150&gt;TODAY()),0,IF(OR(INDEX($B150:$D150,AU$5)="F",AND(AU$6&gt;0,$A150&lt;AU$6),AND(AU$7&gt;0,$A150&gt;AU$7)),0,MAX(0,ROUND((INDEX($E150:$G150,AU$5)-SUMIFS(TF_Timer,TF_Tekniker,AU$4,TF_Dato,$A150))*2,0)/2)))</f>
        <v/>
      </c>
      <c r="AV150">
        <f>IF(OR(AV$4="",$A150&gt;TODAY()),0,IF(OR(INDEX($B150:$D150,AV$5)="F",AND(AV$6&gt;0,$A150&lt;AV$6),AND(AV$7&gt;0,$A150&gt;AV$7)),0,MAX(0,ROUND((INDEX($E150:$G150,AV$5)-SUMIFS(TF_Timer,TF_Tekniker,AV$4,TF_Dato,$A150))*2,0)/2)))</f>
        <v/>
      </c>
      <c r="AW150">
        <f>IF(OR(AW$4="",$A150&gt;TODAY()),0,IF(OR(INDEX($B150:$D150,AW$5)="F",AND(AW$6&gt;0,$A150&lt;AW$6),AND(AW$7&gt;0,$A150&gt;AW$7)),0,MAX(0,ROUND((INDEX($E150:$G150,AW$5)-SUMIFS(TF_Timer,TF_Tekniker,AW$4,TF_Dato,$A150))*2,0)/2)))</f>
        <v/>
      </c>
      <c r="AX150">
        <f>IF(OR(AX$4="",$A150&gt;TODAY()),0,IF(OR(INDEX($B150:$D150,AX$5)="F",AND(AX$6&gt;0,$A150&lt;AX$6),AND(AX$7&gt;0,$A150&gt;AX$7)),0,MAX(0,ROUND((INDEX($E150:$G150,AX$5)-SUMIFS(TF_Timer,TF_Tekniker,AX$4,TF_Dato,$A150))*2,0)/2)))</f>
        <v/>
      </c>
      <c r="AY150">
        <f>IF(OR(AY$4="",$A150&gt;TODAY()),0,IF(OR(INDEX($B150:$D150,AY$5)="F",AND(AY$6&gt;0,$A150&lt;AY$6),AND(AY$7&gt;0,$A150&gt;AY$7)),0,MAX(0,ROUND((INDEX($E150:$G150,AY$5)-SUMIFS(TF_Timer,TF_Tekniker,AY$4,TF_Dato,$A150))*2,0)/2)))</f>
        <v/>
      </c>
      <c r="AZ150">
        <f>IF(OR(AZ$4="",$A150&gt;TODAY()),0,IF(OR(INDEX($B150:$D150,AZ$5)="F",AND(AZ$6&gt;0,$A150&lt;AZ$6),AND(AZ$7&gt;0,$A150&gt;AZ$7)),0,MAX(0,ROUND((INDEX($E150:$G150,AZ$5)-SUMIFS(TF_Timer,TF_Tekniker,AZ$4,TF_Dato,$A150))*2,0)/2)))</f>
        <v/>
      </c>
      <c r="BA150">
        <f>IF(OR(BA$4="",$A150&gt;TODAY()),0,IF(OR(INDEX($B150:$D150,BA$5)="F",AND(BA$6&gt;0,$A150&lt;BA$6),AND(BA$7&gt;0,$A150&gt;BA$7)),0,MAX(0,ROUND((INDEX($E150:$G150,BA$5)-SUMIFS(TF_Timer,TF_Tekniker,BA$4,TF_Dato,$A150))*2,0)/2)))</f>
        <v/>
      </c>
      <c r="BB150">
        <f>IF(OR(BB$4="",$A150&gt;TODAY()),0,IF(OR(INDEX($B150:$D150,BB$5)="F",AND(BB$6&gt;0,$A150&lt;BB$6),AND(BB$7&gt;0,$A150&gt;BB$7)),0,MAX(0,ROUND((INDEX($E150:$G150,BB$5)-SUMIFS(TF_Timer,TF_Tekniker,BB$4,TF_Dato,$A150))*2,0)/2)))</f>
        <v/>
      </c>
      <c r="BC150">
        <f>IF(OR(BC$4="",$A150&gt;TODAY()),0,IF(OR(INDEX($B150:$D150,BC$5)="F",AND(BC$6&gt;0,$A150&lt;BC$6),AND(BC$7&gt;0,$A150&gt;BC$7)),0,MAX(0,ROUND((INDEX($E150:$G150,BC$5)-SUMIFS(TF_Timer,TF_Tekniker,BC$4,TF_Dato,$A150))*2,0)/2)))</f>
        <v/>
      </c>
      <c r="BD150">
        <f>IF(OR(BD$4="",$A150&gt;TODAY()),0,IF(OR(INDEX($B150:$D150,BD$5)="F",AND(BD$6&gt;0,$A150&lt;BD$6),AND(BD$7&gt;0,$A150&gt;BD$7)),0,MAX(0,ROUND((INDEX($E150:$G150,BD$5)-SUMIFS(TF_Timer,TF_Tekniker,BD$4,TF_Dato,$A150))*2,0)/2)))</f>
        <v/>
      </c>
      <c r="BE150">
        <f>IF(OR(BE$4="",$A150&gt;TODAY()),0,IF(OR(INDEX($B150:$D150,BE$5)="F",AND(BE$6&gt;0,$A150&lt;BE$6),AND(BE$7&gt;0,$A150&gt;BE$7)),0,MAX(0,ROUND((INDEX($E150:$G150,BE$5)-SUMIFS(TF_Timer,TF_Tekniker,BE$4,TF_Dato,$A150))*2,0)/2)))</f>
        <v/>
      </c>
      <c r="BF150">
        <f>IF(OR(BF$4="",$A150&gt;TODAY()),0,IF(OR(INDEX($B150:$D150,BF$5)="F",AND(BF$6&gt;0,$A150&lt;BF$6),AND(BF$7&gt;0,$A150&gt;BF$7)),0,MAX(0,ROUND((INDEX($E150:$G150,BF$5)-SUMIFS(TF_Timer,TF_Tekniker,BF$4,TF_Dato,$A150))*2,0)/2)))</f>
        <v/>
      </c>
      <c r="BG150">
        <f>IF(OR(BG$4="",$A150&gt;TODAY()),0,IF(OR(INDEX($B150:$D150,BG$5)="F",AND(BG$6&gt;0,$A150&lt;BG$6),AND(BG$7&gt;0,$A150&gt;BG$7)),0,MAX(0,ROUND((INDEX($E150:$G150,BG$5)-SUMIFS(TF_Timer,TF_Tekniker,BG$4,TF_Dato,$A150))*2,0)/2)))</f>
        <v/>
      </c>
      <c r="BH150">
        <f>IF(OR(BH$4="",$A150&gt;TODAY()),0,IF(OR(INDEX($B150:$D150,BH$5)="F",AND(BH$6&gt;0,$A150&lt;BH$6),AND(BH$7&gt;0,$A150&gt;BH$7)),0,MAX(0,ROUND((INDEX($E150:$G150,BH$5)-SUMIFS(TF_Timer,TF_Tekniker,BH$4,TF_Dato,$A150))*2,0)/2)))</f>
        <v/>
      </c>
      <c r="BI150">
        <f>IF(OR(BI$4="",$A150&gt;TODAY()),0,IF(OR(INDEX($B150:$D150,BI$5)="F",AND(BI$6&gt;0,$A150&lt;BI$6),AND(BI$7&gt;0,$A150&gt;BI$7)),0,MAX(0,ROUND((INDEX($E150:$G150,BI$5)-SUMIFS(TF_Timer,TF_Tekniker,BI$4,TF_Dato,$A150))*2,0)/2)))</f>
        <v/>
      </c>
    </row>
    <row r="151">
      <c r="A151" s="64">
        <f>A150+1</f>
        <v/>
      </c>
      <c r="B151">
        <f>IF(MOD($A151-INDEX(SkiftStart,1),Syklus)&lt;DagK,"K",IF(MOD($A151-INDEX(SkiftStart,1),Syklus)&lt;DagK+DagH,"H",IF(MOD($A151-INDEX(SkiftStart,1),Syklus)&lt;DagK+DagH+DagD,"D","F")))</f>
        <v/>
      </c>
      <c r="C151">
        <f>IF(MOD($A151-INDEX(SkiftStart,2),Syklus)&lt;DagK,"K",IF(MOD($A151-INDEX(SkiftStart,2),Syklus)&lt;DagK+DagH,"H",IF(MOD($A151-INDEX(SkiftStart,2),Syklus)&lt;DagK+DagH+DagD,"D","F")))</f>
        <v/>
      </c>
      <c r="D151">
        <f>IF(MOD($A151-INDEX(SkiftStart,3),Syklus)&lt;DagK,"K",IF(MOD($A151-INDEX(SkiftStart,3),Syklus)&lt;DagK+DagH,"H",IF(MOD($A151-INDEX(SkiftStart,3),Syklus)&lt;DagK+DagH+DagD,"D","F")))</f>
        <v/>
      </c>
      <c r="E151">
        <f>IF(B151="F",0,IF(WEEKDAY($A151,2)=5,INDEX(TimerFr,MATCH(B151,FaseKode,0)),INDEX(TimerMT,MATCH(B151,FaseKode,0))))</f>
        <v/>
      </c>
      <c r="F151">
        <f>IF(C151="F",0,IF(WEEKDAY($A151,2)=5,INDEX(TimerFr,MATCH(C151,FaseKode,0)),INDEX(TimerMT,MATCH(C151,FaseKode,0))))</f>
        <v/>
      </c>
      <c r="G151">
        <f>IF(D151="F",0,IF(WEEKDAY($A151,2)=5,INDEX(TimerFr,MATCH(D151,FaseKode,0)),INDEX(TimerMT,MATCH(D151,FaseKode,0))))</f>
        <v/>
      </c>
      <c r="H151">
        <f>IF(OR(H$4="",$A151&gt;TODAY()),0,IF(OR(INDEX($B151:$D151,H$5)="F",AND(H$6&gt;0,$A151&lt;H$6),AND(H$7&gt;0,$A151&gt;H$7)),0,MAX(0,ROUND((INDEX($E151:$G151,H$5)-SUMIFS(TF_Timer,TF_Tekniker,H$4,TF_Dato,$A151))*2,0)/2)))</f>
        <v/>
      </c>
      <c r="I151">
        <f>IF(OR(I$4="",$A151&gt;TODAY()),0,IF(OR(INDEX($B151:$D151,I$5)="F",AND(I$6&gt;0,$A151&lt;I$6),AND(I$7&gt;0,$A151&gt;I$7)),0,MAX(0,ROUND((INDEX($E151:$G151,I$5)-SUMIFS(TF_Timer,TF_Tekniker,I$4,TF_Dato,$A151))*2,0)/2)))</f>
        <v/>
      </c>
      <c r="J151">
        <f>IF(OR(J$4="",$A151&gt;TODAY()),0,IF(OR(INDEX($B151:$D151,J$5)="F",AND(J$6&gt;0,$A151&lt;J$6),AND(J$7&gt;0,$A151&gt;J$7)),0,MAX(0,ROUND((INDEX($E151:$G151,J$5)-SUMIFS(TF_Timer,TF_Tekniker,J$4,TF_Dato,$A151))*2,0)/2)))</f>
        <v/>
      </c>
      <c r="K151">
        <f>IF(OR(K$4="",$A151&gt;TODAY()),0,IF(OR(INDEX($B151:$D151,K$5)="F",AND(K$6&gt;0,$A151&lt;K$6),AND(K$7&gt;0,$A151&gt;K$7)),0,MAX(0,ROUND((INDEX($E151:$G151,K$5)-SUMIFS(TF_Timer,TF_Tekniker,K$4,TF_Dato,$A151))*2,0)/2)))</f>
        <v/>
      </c>
      <c r="L151">
        <f>IF(OR(L$4="",$A151&gt;TODAY()),0,IF(OR(INDEX($B151:$D151,L$5)="F",AND(L$6&gt;0,$A151&lt;L$6),AND(L$7&gt;0,$A151&gt;L$7)),0,MAX(0,ROUND((INDEX($E151:$G151,L$5)-SUMIFS(TF_Timer,TF_Tekniker,L$4,TF_Dato,$A151))*2,0)/2)))</f>
        <v/>
      </c>
      <c r="M151">
        <f>IF(OR(M$4="",$A151&gt;TODAY()),0,IF(OR(INDEX($B151:$D151,M$5)="F",AND(M$6&gt;0,$A151&lt;M$6),AND(M$7&gt;0,$A151&gt;M$7)),0,MAX(0,ROUND((INDEX($E151:$G151,M$5)-SUMIFS(TF_Timer,TF_Tekniker,M$4,TF_Dato,$A151))*2,0)/2)))</f>
        <v/>
      </c>
      <c r="N151">
        <f>IF(OR(N$4="",$A151&gt;TODAY()),0,IF(OR(INDEX($B151:$D151,N$5)="F",AND(N$6&gt;0,$A151&lt;N$6),AND(N$7&gt;0,$A151&gt;N$7)),0,MAX(0,ROUND((INDEX($E151:$G151,N$5)-SUMIFS(TF_Timer,TF_Tekniker,N$4,TF_Dato,$A151))*2,0)/2)))</f>
        <v/>
      </c>
      <c r="O151">
        <f>IF(OR(O$4="",$A151&gt;TODAY()),0,IF(OR(INDEX($B151:$D151,O$5)="F",AND(O$6&gt;0,$A151&lt;O$6),AND(O$7&gt;0,$A151&gt;O$7)),0,MAX(0,ROUND((INDEX($E151:$G151,O$5)-SUMIFS(TF_Timer,TF_Tekniker,O$4,TF_Dato,$A151))*2,0)/2)))</f>
        <v/>
      </c>
      <c r="P151">
        <f>IF(OR(P$4="",$A151&gt;TODAY()),0,IF(OR(INDEX($B151:$D151,P$5)="F",AND(P$6&gt;0,$A151&lt;P$6),AND(P$7&gt;0,$A151&gt;P$7)),0,MAX(0,ROUND((INDEX($E151:$G151,P$5)-SUMIFS(TF_Timer,TF_Tekniker,P$4,TF_Dato,$A151))*2,0)/2)))</f>
        <v/>
      </c>
      <c r="Q151">
        <f>IF(OR(Q$4="",$A151&gt;TODAY()),0,IF(OR(INDEX($B151:$D151,Q$5)="F",AND(Q$6&gt;0,$A151&lt;Q$6),AND(Q$7&gt;0,$A151&gt;Q$7)),0,MAX(0,ROUND((INDEX($E151:$G151,Q$5)-SUMIFS(TF_Timer,TF_Tekniker,Q$4,TF_Dato,$A151))*2,0)/2)))</f>
        <v/>
      </c>
      <c r="R151">
        <f>IF(OR(R$4="",$A151&gt;TODAY()),0,IF(OR(INDEX($B151:$D151,R$5)="F",AND(R$6&gt;0,$A151&lt;R$6),AND(R$7&gt;0,$A151&gt;R$7)),0,MAX(0,ROUND((INDEX($E151:$G151,R$5)-SUMIFS(TF_Timer,TF_Tekniker,R$4,TF_Dato,$A151))*2,0)/2)))</f>
        <v/>
      </c>
      <c r="S151">
        <f>IF(OR(S$4="",$A151&gt;TODAY()),0,IF(OR(INDEX($B151:$D151,S$5)="F",AND(S$6&gt;0,$A151&lt;S$6),AND(S$7&gt;0,$A151&gt;S$7)),0,MAX(0,ROUND((INDEX($E151:$G151,S$5)-SUMIFS(TF_Timer,TF_Tekniker,S$4,TF_Dato,$A151))*2,0)/2)))</f>
        <v/>
      </c>
      <c r="T151">
        <f>IF(OR(T$4="",$A151&gt;TODAY()),0,IF(OR(INDEX($B151:$D151,T$5)="F",AND(T$6&gt;0,$A151&lt;T$6),AND(T$7&gt;0,$A151&gt;T$7)),0,MAX(0,ROUND((INDEX($E151:$G151,T$5)-SUMIFS(TF_Timer,TF_Tekniker,T$4,TF_Dato,$A151))*2,0)/2)))</f>
        <v/>
      </c>
      <c r="U151">
        <f>IF(OR(U$4="",$A151&gt;TODAY()),0,IF(OR(INDEX($B151:$D151,U$5)="F",AND(U$6&gt;0,$A151&lt;U$6),AND(U$7&gt;0,$A151&gt;U$7)),0,MAX(0,ROUND((INDEX($E151:$G151,U$5)-SUMIFS(TF_Timer,TF_Tekniker,U$4,TF_Dato,$A151))*2,0)/2)))</f>
        <v/>
      </c>
      <c r="V151">
        <f>IF(OR(V$4="",$A151&gt;TODAY()),0,IF(OR(INDEX($B151:$D151,V$5)="F",AND(V$6&gt;0,$A151&lt;V$6),AND(V$7&gt;0,$A151&gt;V$7)),0,MAX(0,ROUND((INDEX($E151:$G151,V$5)-SUMIFS(TF_Timer,TF_Tekniker,V$4,TF_Dato,$A151))*2,0)/2)))</f>
        <v/>
      </c>
      <c r="W151">
        <f>IF(OR(W$4="",$A151&gt;TODAY()),0,IF(OR(INDEX($B151:$D151,W$5)="F",AND(W$6&gt;0,$A151&lt;W$6),AND(W$7&gt;0,$A151&gt;W$7)),0,MAX(0,ROUND((INDEX($E151:$G151,W$5)-SUMIFS(TF_Timer,TF_Tekniker,W$4,TF_Dato,$A151))*2,0)/2)))</f>
        <v/>
      </c>
      <c r="X151">
        <f>IF(OR(X$4="",$A151&gt;TODAY()),0,IF(OR(INDEX($B151:$D151,X$5)="F",AND(X$6&gt;0,$A151&lt;X$6),AND(X$7&gt;0,$A151&gt;X$7)),0,MAX(0,ROUND((INDEX($E151:$G151,X$5)-SUMIFS(TF_Timer,TF_Tekniker,X$4,TF_Dato,$A151))*2,0)/2)))</f>
        <v/>
      </c>
      <c r="Y151">
        <f>IF(OR(Y$4="",$A151&gt;TODAY()),0,IF(OR(INDEX($B151:$D151,Y$5)="F",AND(Y$6&gt;0,$A151&lt;Y$6),AND(Y$7&gt;0,$A151&gt;Y$7)),0,MAX(0,ROUND((INDEX($E151:$G151,Y$5)-SUMIFS(TF_Timer,TF_Tekniker,Y$4,TF_Dato,$A151))*2,0)/2)))</f>
        <v/>
      </c>
      <c r="Z151">
        <f>IF(OR(Z$4="",$A151&gt;TODAY()),0,IF(OR(INDEX($B151:$D151,Z$5)="F",AND(Z$6&gt;0,$A151&lt;Z$6),AND(Z$7&gt;0,$A151&gt;Z$7)),0,MAX(0,ROUND((INDEX($E151:$G151,Z$5)-SUMIFS(TF_Timer,TF_Tekniker,Z$4,TF_Dato,$A151))*2,0)/2)))</f>
        <v/>
      </c>
      <c r="AA151">
        <f>IF(OR(AA$4="",$A151&gt;TODAY()),0,IF(OR(INDEX($B151:$D151,AA$5)="F",AND(AA$6&gt;0,$A151&lt;AA$6),AND(AA$7&gt;0,$A151&gt;AA$7)),0,MAX(0,ROUND((INDEX($E151:$G151,AA$5)-SUMIFS(TF_Timer,TF_Tekniker,AA$4,TF_Dato,$A151))*2,0)/2)))</f>
        <v/>
      </c>
      <c r="AB151">
        <f>IF(OR(AB$4="",$A151&gt;TODAY()),0,IF(OR(INDEX($B151:$D151,AB$5)="F",AND(AB$6&gt;0,$A151&lt;AB$6),AND(AB$7&gt;0,$A151&gt;AB$7)),0,MAX(0,ROUND((INDEX($E151:$G151,AB$5)-SUMIFS(TF_Timer,TF_Tekniker,AB$4,TF_Dato,$A151))*2,0)/2)))</f>
        <v/>
      </c>
      <c r="AC151">
        <f>IF(OR(AC$4="",$A151&gt;TODAY()),0,IF(OR(INDEX($B151:$D151,AC$5)="F",AND(AC$6&gt;0,$A151&lt;AC$6),AND(AC$7&gt;0,$A151&gt;AC$7)),0,MAX(0,ROUND((INDEX($E151:$G151,AC$5)-SUMIFS(TF_Timer,TF_Tekniker,AC$4,TF_Dato,$A151))*2,0)/2)))</f>
        <v/>
      </c>
      <c r="AD151">
        <f>IF(OR(AD$4="",$A151&gt;TODAY()),0,IF(OR(INDEX($B151:$D151,AD$5)="F",AND(AD$6&gt;0,$A151&lt;AD$6),AND(AD$7&gt;0,$A151&gt;AD$7)),0,MAX(0,ROUND((INDEX($E151:$G151,AD$5)-SUMIFS(TF_Timer,TF_Tekniker,AD$4,TF_Dato,$A151))*2,0)/2)))</f>
        <v/>
      </c>
      <c r="AE151">
        <f>IF(OR(AE$4="",$A151&gt;TODAY()),0,IF(OR(INDEX($B151:$D151,AE$5)="F",AND(AE$6&gt;0,$A151&lt;AE$6),AND(AE$7&gt;0,$A151&gt;AE$7)),0,MAX(0,ROUND((INDEX($E151:$G151,AE$5)-SUMIFS(TF_Timer,TF_Tekniker,AE$4,TF_Dato,$A151))*2,0)/2)))</f>
        <v/>
      </c>
      <c r="AF151">
        <f>IF(OR(AF$4="",$A151&gt;TODAY()),0,IF(OR(INDEX($B151:$D151,AF$5)="F",AND(AF$6&gt;0,$A151&lt;AF$6),AND(AF$7&gt;0,$A151&gt;AF$7)),0,MAX(0,ROUND((INDEX($E151:$G151,AF$5)-SUMIFS(TF_Timer,TF_Tekniker,AF$4,TF_Dato,$A151))*2,0)/2)))</f>
        <v/>
      </c>
      <c r="AG151">
        <f>IF(OR(AG$4="",$A151&gt;TODAY()),0,IF(OR(INDEX($B151:$D151,AG$5)="F",AND(AG$6&gt;0,$A151&lt;AG$6),AND(AG$7&gt;0,$A151&gt;AG$7)),0,MAX(0,ROUND((INDEX($E151:$G151,AG$5)-SUMIFS(TF_Timer,TF_Tekniker,AG$4,TF_Dato,$A151))*2,0)/2)))</f>
        <v/>
      </c>
      <c r="AH151">
        <f>IF(OR(AH$4="",$A151&gt;TODAY()),0,IF(OR(INDEX($B151:$D151,AH$5)="F",AND(AH$6&gt;0,$A151&lt;AH$6),AND(AH$7&gt;0,$A151&gt;AH$7)),0,MAX(0,ROUND((INDEX($E151:$G151,AH$5)-SUMIFS(TF_Timer,TF_Tekniker,AH$4,TF_Dato,$A151))*2,0)/2)))</f>
        <v/>
      </c>
      <c r="AI151">
        <f>IF(OR(AI$4="",$A151&gt;TODAY()),0,IF(OR(INDEX($B151:$D151,AI$5)="F",AND(AI$6&gt;0,$A151&lt;AI$6),AND(AI$7&gt;0,$A151&gt;AI$7)),0,MAX(0,ROUND((INDEX($E151:$G151,AI$5)-SUMIFS(TF_Timer,TF_Tekniker,AI$4,TF_Dato,$A151))*2,0)/2)))</f>
        <v/>
      </c>
      <c r="AJ151">
        <f>IF(OR(AJ$4="",$A151&gt;TODAY()),0,IF(OR(INDEX($B151:$D151,AJ$5)="F",AND(AJ$6&gt;0,$A151&lt;AJ$6),AND(AJ$7&gt;0,$A151&gt;AJ$7)),0,MAX(0,ROUND((INDEX($E151:$G151,AJ$5)-SUMIFS(TF_Timer,TF_Tekniker,AJ$4,TF_Dato,$A151))*2,0)/2)))</f>
        <v/>
      </c>
      <c r="AK151">
        <f>IF(OR(AK$4="",$A151&gt;TODAY()),0,IF(OR(INDEX($B151:$D151,AK$5)="F",AND(AK$6&gt;0,$A151&lt;AK$6),AND(AK$7&gt;0,$A151&gt;AK$7)),0,MAX(0,ROUND((INDEX($E151:$G151,AK$5)-SUMIFS(TF_Timer,TF_Tekniker,AK$4,TF_Dato,$A151))*2,0)/2)))</f>
        <v/>
      </c>
      <c r="AL151">
        <f>IF(OR(AL$4="",$A151&gt;TODAY()),0,IF(OR(INDEX($B151:$D151,AL$5)="F",AND(AL$6&gt;0,$A151&lt;AL$6),AND(AL$7&gt;0,$A151&gt;AL$7)),0,MAX(0,ROUND((INDEX($E151:$G151,AL$5)-SUMIFS(TF_Timer,TF_Tekniker,AL$4,TF_Dato,$A151))*2,0)/2)))</f>
        <v/>
      </c>
      <c r="AM151">
        <f>IF(OR(AM$4="",$A151&gt;TODAY()),0,IF(OR(INDEX($B151:$D151,AM$5)="F",AND(AM$6&gt;0,$A151&lt;AM$6),AND(AM$7&gt;0,$A151&gt;AM$7)),0,MAX(0,ROUND((INDEX($E151:$G151,AM$5)-SUMIFS(TF_Timer,TF_Tekniker,AM$4,TF_Dato,$A151))*2,0)/2)))</f>
        <v/>
      </c>
      <c r="AN151">
        <f>IF(OR(AN$4="",$A151&gt;TODAY()),0,IF(OR(INDEX($B151:$D151,AN$5)="F",AND(AN$6&gt;0,$A151&lt;AN$6),AND(AN$7&gt;0,$A151&gt;AN$7)),0,MAX(0,ROUND((INDEX($E151:$G151,AN$5)-SUMIFS(TF_Timer,TF_Tekniker,AN$4,TF_Dato,$A151))*2,0)/2)))</f>
        <v/>
      </c>
      <c r="AO151">
        <f>IF(OR(AO$4="",$A151&gt;TODAY()),0,IF(OR(INDEX($B151:$D151,AO$5)="F",AND(AO$6&gt;0,$A151&lt;AO$6),AND(AO$7&gt;0,$A151&gt;AO$7)),0,MAX(0,ROUND((INDEX($E151:$G151,AO$5)-SUMIFS(TF_Timer,TF_Tekniker,AO$4,TF_Dato,$A151))*2,0)/2)))</f>
        <v/>
      </c>
      <c r="AP151">
        <f>IF(OR(AP$4="",$A151&gt;TODAY()),0,IF(OR(INDEX($B151:$D151,AP$5)="F",AND(AP$6&gt;0,$A151&lt;AP$6),AND(AP$7&gt;0,$A151&gt;AP$7)),0,MAX(0,ROUND((INDEX($E151:$G151,AP$5)-SUMIFS(TF_Timer,TF_Tekniker,AP$4,TF_Dato,$A151))*2,0)/2)))</f>
        <v/>
      </c>
      <c r="AQ151">
        <f>IF(OR(AQ$4="",$A151&gt;TODAY()),0,IF(OR(INDEX($B151:$D151,AQ$5)="F",AND(AQ$6&gt;0,$A151&lt;AQ$6),AND(AQ$7&gt;0,$A151&gt;AQ$7)),0,MAX(0,ROUND((INDEX($E151:$G151,AQ$5)-SUMIFS(TF_Timer,TF_Tekniker,AQ$4,TF_Dato,$A151))*2,0)/2)))</f>
        <v/>
      </c>
      <c r="AR151">
        <f>IF(OR(AR$4="",$A151&gt;TODAY()),0,IF(OR(INDEX($B151:$D151,AR$5)="F",AND(AR$6&gt;0,$A151&lt;AR$6),AND(AR$7&gt;0,$A151&gt;AR$7)),0,MAX(0,ROUND((INDEX($E151:$G151,AR$5)-SUMIFS(TF_Timer,TF_Tekniker,AR$4,TF_Dato,$A151))*2,0)/2)))</f>
        <v/>
      </c>
      <c r="AS151">
        <f>IF(OR(AS$4="",$A151&gt;TODAY()),0,IF(OR(INDEX($B151:$D151,AS$5)="F",AND(AS$6&gt;0,$A151&lt;AS$6),AND(AS$7&gt;0,$A151&gt;AS$7)),0,MAX(0,ROUND((INDEX($E151:$G151,AS$5)-SUMIFS(TF_Timer,TF_Tekniker,AS$4,TF_Dato,$A151))*2,0)/2)))</f>
        <v/>
      </c>
      <c r="AT151">
        <f>IF(OR(AT$4="",$A151&gt;TODAY()),0,IF(OR(INDEX($B151:$D151,AT$5)="F",AND(AT$6&gt;0,$A151&lt;AT$6),AND(AT$7&gt;0,$A151&gt;AT$7)),0,MAX(0,ROUND((INDEX($E151:$G151,AT$5)-SUMIFS(TF_Timer,TF_Tekniker,AT$4,TF_Dato,$A151))*2,0)/2)))</f>
        <v/>
      </c>
      <c r="AU151">
        <f>IF(OR(AU$4="",$A151&gt;TODAY()),0,IF(OR(INDEX($B151:$D151,AU$5)="F",AND(AU$6&gt;0,$A151&lt;AU$6),AND(AU$7&gt;0,$A151&gt;AU$7)),0,MAX(0,ROUND((INDEX($E151:$G151,AU$5)-SUMIFS(TF_Timer,TF_Tekniker,AU$4,TF_Dato,$A151))*2,0)/2)))</f>
        <v/>
      </c>
      <c r="AV151">
        <f>IF(OR(AV$4="",$A151&gt;TODAY()),0,IF(OR(INDEX($B151:$D151,AV$5)="F",AND(AV$6&gt;0,$A151&lt;AV$6),AND(AV$7&gt;0,$A151&gt;AV$7)),0,MAX(0,ROUND((INDEX($E151:$G151,AV$5)-SUMIFS(TF_Timer,TF_Tekniker,AV$4,TF_Dato,$A151))*2,0)/2)))</f>
        <v/>
      </c>
      <c r="AW151">
        <f>IF(OR(AW$4="",$A151&gt;TODAY()),0,IF(OR(INDEX($B151:$D151,AW$5)="F",AND(AW$6&gt;0,$A151&lt;AW$6),AND(AW$7&gt;0,$A151&gt;AW$7)),0,MAX(0,ROUND((INDEX($E151:$G151,AW$5)-SUMIFS(TF_Timer,TF_Tekniker,AW$4,TF_Dato,$A151))*2,0)/2)))</f>
        <v/>
      </c>
      <c r="AX151">
        <f>IF(OR(AX$4="",$A151&gt;TODAY()),0,IF(OR(INDEX($B151:$D151,AX$5)="F",AND(AX$6&gt;0,$A151&lt;AX$6),AND(AX$7&gt;0,$A151&gt;AX$7)),0,MAX(0,ROUND((INDEX($E151:$G151,AX$5)-SUMIFS(TF_Timer,TF_Tekniker,AX$4,TF_Dato,$A151))*2,0)/2)))</f>
        <v/>
      </c>
      <c r="AY151">
        <f>IF(OR(AY$4="",$A151&gt;TODAY()),0,IF(OR(INDEX($B151:$D151,AY$5)="F",AND(AY$6&gt;0,$A151&lt;AY$6),AND(AY$7&gt;0,$A151&gt;AY$7)),0,MAX(0,ROUND((INDEX($E151:$G151,AY$5)-SUMIFS(TF_Timer,TF_Tekniker,AY$4,TF_Dato,$A151))*2,0)/2)))</f>
        <v/>
      </c>
      <c r="AZ151">
        <f>IF(OR(AZ$4="",$A151&gt;TODAY()),0,IF(OR(INDEX($B151:$D151,AZ$5)="F",AND(AZ$6&gt;0,$A151&lt;AZ$6),AND(AZ$7&gt;0,$A151&gt;AZ$7)),0,MAX(0,ROUND((INDEX($E151:$G151,AZ$5)-SUMIFS(TF_Timer,TF_Tekniker,AZ$4,TF_Dato,$A151))*2,0)/2)))</f>
        <v/>
      </c>
      <c r="BA151">
        <f>IF(OR(BA$4="",$A151&gt;TODAY()),0,IF(OR(INDEX($B151:$D151,BA$5)="F",AND(BA$6&gt;0,$A151&lt;BA$6),AND(BA$7&gt;0,$A151&gt;BA$7)),0,MAX(0,ROUND((INDEX($E151:$G151,BA$5)-SUMIFS(TF_Timer,TF_Tekniker,BA$4,TF_Dato,$A151))*2,0)/2)))</f>
        <v/>
      </c>
      <c r="BB151">
        <f>IF(OR(BB$4="",$A151&gt;TODAY()),0,IF(OR(INDEX($B151:$D151,BB$5)="F",AND(BB$6&gt;0,$A151&lt;BB$6),AND(BB$7&gt;0,$A151&gt;BB$7)),0,MAX(0,ROUND((INDEX($E151:$G151,BB$5)-SUMIFS(TF_Timer,TF_Tekniker,BB$4,TF_Dato,$A151))*2,0)/2)))</f>
        <v/>
      </c>
      <c r="BC151">
        <f>IF(OR(BC$4="",$A151&gt;TODAY()),0,IF(OR(INDEX($B151:$D151,BC$5)="F",AND(BC$6&gt;0,$A151&lt;BC$6),AND(BC$7&gt;0,$A151&gt;BC$7)),0,MAX(0,ROUND((INDEX($E151:$G151,BC$5)-SUMIFS(TF_Timer,TF_Tekniker,BC$4,TF_Dato,$A151))*2,0)/2)))</f>
        <v/>
      </c>
      <c r="BD151">
        <f>IF(OR(BD$4="",$A151&gt;TODAY()),0,IF(OR(INDEX($B151:$D151,BD$5)="F",AND(BD$6&gt;0,$A151&lt;BD$6),AND(BD$7&gt;0,$A151&gt;BD$7)),0,MAX(0,ROUND((INDEX($E151:$G151,BD$5)-SUMIFS(TF_Timer,TF_Tekniker,BD$4,TF_Dato,$A151))*2,0)/2)))</f>
        <v/>
      </c>
      <c r="BE151">
        <f>IF(OR(BE$4="",$A151&gt;TODAY()),0,IF(OR(INDEX($B151:$D151,BE$5)="F",AND(BE$6&gt;0,$A151&lt;BE$6),AND(BE$7&gt;0,$A151&gt;BE$7)),0,MAX(0,ROUND((INDEX($E151:$G151,BE$5)-SUMIFS(TF_Timer,TF_Tekniker,BE$4,TF_Dato,$A151))*2,0)/2)))</f>
        <v/>
      </c>
      <c r="BF151">
        <f>IF(OR(BF$4="",$A151&gt;TODAY()),0,IF(OR(INDEX($B151:$D151,BF$5)="F",AND(BF$6&gt;0,$A151&lt;BF$6),AND(BF$7&gt;0,$A151&gt;BF$7)),0,MAX(0,ROUND((INDEX($E151:$G151,BF$5)-SUMIFS(TF_Timer,TF_Tekniker,BF$4,TF_Dato,$A151))*2,0)/2)))</f>
        <v/>
      </c>
      <c r="BG151">
        <f>IF(OR(BG$4="",$A151&gt;TODAY()),0,IF(OR(INDEX($B151:$D151,BG$5)="F",AND(BG$6&gt;0,$A151&lt;BG$6),AND(BG$7&gt;0,$A151&gt;BG$7)),0,MAX(0,ROUND((INDEX($E151:$G151,BG$5)-SUMIFS(TF_Timer,TF_Tekniker,BG$4,TF_Dato,$A151))*2,0)/2)))</f>
        <v/>
      </c>
      <c r="BH151">
        <f>IF(OR(BH$4="",$A151&gt;TODAY()),0,IF(OR(INDEX($B151:$D151,BH$5)="F",AND(BH$6&gt;0,$A151&lt;BH$6),AND(BH$7&gt;0,$A151&gt;BH$7)),0,MAX(0,ROUND((INDEX($E151:$G151,BH$5)-SUMIFS(TF_Timer,TF_Tekniker,BH$4,TF_Dato,$A151))*2,0)/2)))</f>
        <v/>
      </c>
      <c r="BI151">
        <f>IF(OR(BI$4="",$A151&gt;TODAY()),0,IF(OR(INDEX($B151:$D151,BI$5)="F",AND(BI$6&gt;0,$A151&lt;BI$6),AND(BI$7&gt;0,$A151&gt;BI$7)),0,MAX(0,ROUND((INDEX($E151:$G151,BI$5)-SUMIFS(TF_Timer,TF_Tekniker,BI$4,TF_Dato,$A151))*2,0)/2)))</f>
        <v/>
      </c>
    </row>
    <row r="152">
      <c r="A152" s="64">
        <f>A151+1</f>
        <v/>
      </c>
      <c r="B152">
        <f>IF(MOD($A152-INDEX(SkiftStart,1),Syklus)&lt;DagK,"K",IF(MOD($A152-INDEX(SkiftStart,1),Syklus)&lt;DagK+DagH,"H",IF(MOD($A152-INDEX(SkiftStart,1),Syklus)&lt;DagK+DagH+DagD,"D","F")))</f>
        <v/>
      </c>
      <c r="C152">
        <f>IF(MOD($A152-INDEX(SkiftStart,2),Syklus)&lt;DagK,"K",IF(MOD($A152-INDEX(SkiftStart,2),Syklus)&lt;DagK+DagH,"H",IF(MOD($A152-INDEX(SkiftStart,2),Syklus)&lt;DagK+DagH+DagD,"D","F")))</f>
        <v/>
      </c>
      <c r="D152">
        <f>IF(MOD($A152-INDEX(SkiftStart,3),Syklus)&lt;DagK,"K",IF(MOD($A152-INDEX(SkiftStart,3),Syklus)&lt;DagK+DagH,"H",IF(MOD($A152-INDEX(SkiftStart,3),Syklus)&lt;DagK+DagH+DagD,"D","F")))</f>
        <v/>
      </c>
      <c r="E152">
        <f>IF(B152="F",0,IF(WEEKDAY($A152,2)=5,INDEX(TimerFr,MATCH(B152,FaseKode,0)),INDEX(TimerMT,MATCH(B152,FaseKode,0))))</f>
        <v/>
      </c>
      <c r="F152">
        <f>IF(C152="F",0,IF(WEEKDAY($A152,2)=5,INDEX(TimerFr,MATCH(C152,FaseKode,0)),INDEX(TimerMT,MATCH(C152,FaseKode,0))))</f>
        <v/>
      </c>
      <c r="G152">
        <f>IF(D152="F",0,IF(WEEKDAY($A152,2)=5,INDEX(TimerFr,MATCH(D152,FaseKode,0)),INDEX(TimerMT,MATCH(D152,FaseKode,0))))</f>
        <v/>
      </c>
      <c r="H152">
        <f>IF(OR(H$4="",$A152&gt;TODAY()),0,IF(OR(INDEX($B152:$D152,H$5)="F",AND(H$6&gt;0,$A152&lt;H$6),AND(H$7&gt;0,$A152&gt;H$7)),0,MAX(0,ROUND((INDEX($E152:$G152,H$5)-SUMIFS(TF_Timer,TF_Tekniker,H$4,TF_Dato,$A152))*2,0)/2)))</f>
        <v/>
      </c>
      <c r="I152">
        <f>IF(OR(I$4="",$A152&gt;TODAY()),0,IF(OR(INDEX($B152:$D152,I$5)="F",AND(I$6&gt;0,$A152&lt;I$6),AND(I$7&gt;0,$A152&gt;I$7)),0,MAX(0,ROUND((INDEX($E152:$G152,I$5)-SUMIFS(TF_Timer,TF_Tekniker,I$4,TF_Dato,$A152))*2,0)/2)))</f>
        <v/>
      </c>
      <c r="J152">
        <f>IF(OR(J$4="",$A152&gt;TODAY()),0,IF(OR(INDEX($B152:$D152,J$5)="F",AND(J$6&gt;0,$A152&lt;J$6),AND(J$7&gt;0,$A152&gt;J$7)),0,MAX(0,ROUND((INDEX($E152:$G152,J$5)-SUMIFS(TF_Timer,TF_Tekniker,J$4,TF_Dato,$A152))*2,0)/2)))</f>
        <v/>
      </c>
      <c r="K152">
        <f>IF(OR(K$4="",$A152&gt;TODAY()),0,IF(OR(INDEX($B152:$D152,K$5)="F",AND(K$6&gt;0,$A152&lt;K$6),AND(K$7&gt;0,$A152&gt;K$7)),0,MAX(0,ROUND((INDEX($E152:$G152,K$5)-SUMIFS(TF_Timer,TF_Tekniker,K$4,TF_Dato,$A152))*2,0)/2)))</f>
        <v/>
      </c>
      <c r="L152">
        <f>IF(OR(L$4="",$A152&gt;TODAY()),0,IF(OR(INDEX($B152:$D152,L$5)="F",AND(L$6&gt;0,$A152&lt;L$6),AND(L$7&gt;0,$A152&gt;L$7)),0,MAX(0,ROUND((INDEX($E152:$G152,L$5)-SUMIFS(TF_Timer,TF_Tekniker,L$4,TF_Dato,$A152))*2,0)/2)))</f>
        <v/>
      </c>
      <c r="M152">
        <f>IF(OR(M$4="",$A152&gt;TODAY()),0,IF(OR(INDEX($B152:$D152,M$5)="F",AND(M$6&gt;0,$A152&lt;M$6),AND(M$7&gt;0,$A152&gt;M$7)),0,MAX(0,ROUND((INDEX($E152:$G152,M$5)-SUMIFS(TF_Timer,TF_Tekniker,M$4,TF_Dato,$A152))*2,0)/2)))</f>
        <v/>
      </c>
      <c r="N152">
        <f>IF(OR(N$4="",$A152&gt;TODAY()),0,IF(OR(INDEX($B152:$D152,N$5)="F",AND(N$6&gt;0,$A152&lt;N$6),AND(N$7&gt;0,$A152&gt;N$7)),0,MAX(0,ROUND((INDEX($E152:$G152,N$5)-SUMIFS(TF_Timer,TF_Tekniker,N$4,TF_Dato,$A152))*2,0)/2)))</f>
        <v/>
      </c>
      <c r="O152">
        <f>IF(OR(O$4="",$A152&gt;TODAY()),0,IF(OR(INDEX($B152:$D152,O$5)="F",AND(O$6&gt;0,$A152&lt;O$6),AND(O$7&gt;0,$A152&gt;O$7)),0,MAX(0,ROUND((INDEX($E152:$G152,O$5)-SUMIFS(TF_Timer,TF_Tekniker,O$4,TF_Dato,$A152))*2,0)/2)))</f>
        <v/>
      </c>
      <c r="P152">
        <f>IF(OR(P$4="",$A152&gt;TODAY()),0,IF(OR(INDEX($B152:$D152,P$5)="F",AND(P$6&gt;0,$A152&lt;P$6),AND(P$7&gt;0,$A152&gt;P$7)),0,MAX(0,ROUND((INDEX($E152:$G152,P$5)-SUMIFS(TF_Timer,TF_Tekniker,P$4,TF_Dato,$A152))*2,0)/2)))</f>
        <v/>
      </c>
      <c r="Q152">
        <f>IF(OR(Q$4="",$A152&gt;TODAY()),0,IF(OR(INDEX($B152:$D152,Q$5)="F",AND(Q$6&gt;0,$A152&lt;Q$6),AND(Q$7&gt;0,$A152&gt;Q$7)),0,MAX(0,ROUND((INDEX($E152:$G152,Q$5)-SUMIFS(TF_Timer,TF_Tekniker,Q$4,TF_Dato,$A152))*2,0)/2)))</f>
        <v/>
      </c>
      <c r="R152">
        <f>IF(OR(R$4="",$A152&gt;TODAY()),0,IF(OR(INDEX($B152:$D152,R$5)="F",AND(R$6&gt;0,$A152&lt;R$6),AND(R$7&gt;0,$A152&gt;R$7)),0,MAX(0,ROUND((INDEX($E152:$G152,R$5)-SUMIFS(TF_Timer,TF_Tekniker,R$4,TF_Dato,$A152))*2,0)/2)))</f>
        <v/>
      </c>
      <c r="S152">
        <f>IF(OR(S$4="",$A152&gt;TODAY()),0,IF(OR(INDEX($B152:$D152,S$5)="F",AND(S$6&gt;0,$A152&lt;S$6),AND(S$7&gt;0,$A152&gt;S$7)),0,MAX(0,ROUND((INDEX($E152:$G152,S$5)-SUMIFS(TF_Timer,TF_Tekniker,S$4,TF_Dato,$A152))*2,0)/2)))</f>
        <v/>
      </c>
      <c r="T152">
        <f>IF(OR(T$4="",$A152&gt;TODAY()),0,IF(OR(INDEX($B152:$D152,T$5)="F",AND(T$6&gt;0,$A152&lt;T$6),AND(T$7&gt;0,$A152&gt;T$7)),0,MAX(0,ROUND((INDEX($E152:$G152,T$5)-SUMIFS(TF_Timer,TF_Tekniker,T$4,TF_Dato,$A152))*2,0)/2)))</f>
        <v/>
      </c>
      <c r="U152">
        <f>IF(OR(U$4="",$A152&gt;TODAY()),0,IF(OR(INDEX($B152:$D152,U$5)="F",AND(U$6&gt;0,$A152&lt;U$6),AND(U$7&gt;0,$A152&gt;U$7)),0,MAX(0,ROUND((INDEX($E152:$G152,U$5)-SUMIFS(TF_Timer,TF_Tekniker,U$4,TF_Dato,$A152))*2,0)/2)))</f>
        <v/>
      </c>
      <c r="V152">
        <f>IF(OR(V$4="",$A152&gt;TODAY()),0,IF(OR(INDEX($B152:$D152,V$5)="F",AND(V$6&gt;0,$A152&lt;V$6),AND(V$7&gt;0,$A152&gt;V$7)),0,MAX(0,ROUND((INDEX($E152:$G152,V$5)-SUMIFS(TF_Timer,TF_Tekniker,V$4,TF_Dato,$A152))*2,0)/2)))</f>
        <v/>
      </c>
      <c r="W152">
        <f>IF(OR(W$4="",$A152&gt;TODAY()),0,IF(OR(INDEX($B152:$D152,W$5)="F",AND(W$6&gt;0,$A152&lt;W$6),AND(W$7&gt;0,$A152&gt;W$7)),0,MAX(0,ROUND((INDEX($E152:$G152,W$5)-SUMIFS(TF_Timer,TF_Tekniker,W$4,TF_Dato,$A152))*2,0)/2)))</f>
        <v/>
      </c>
      <c r="X152">
        <f>IF(OR(X$4="",$A152&gt;TODAY()),0,IF(OR(INDEX($B152:$D152,X$5)="F",AND(X$6&gt;0,$A152&lt;X$6),AND(X$7&gt;0,$A152&gt;X$7)),0,MAX(0,ROUND((INDEX($E152:$G152,X$5)-SUMIFS(TF_Timer,TF_Tekniker,X$4,TF_Dato,$A152))*2,0)/2)))</f>
        <v/>
      </c>
      <c r="Y152">
        <f>IF(OR(Y$4="",$A152&gt;TODAY()),0,IF(OR(INDEX($B152:$D152,Y$5)="F",AND(Y$6&gt;0,$A152&lt;Y$6),AND(Y$7&gt;0,$A152&gt;Y$7)),0,MAX(0,ROUND((INDEX($E152:$G152,Y$5)-SUMIFS(TF_Timer,TF_Tekniker,Y$4,TF_Dato,$A152))*2,0)/2)))</f>
        <v/>
      </c>
      <c r="Z152">
        <f>IF(OR(Z$4="",$A152&gt;TODAY()),0,IF(OR(INDEX($B152:$D152,Z$5)="F",AND(Z$6&gt;0,$A152&lt;Z$6),AND(Z$7&gt;0,$A152&gt;Z$7)),0,MAX(0,ROUND((INDEX($E152:$G152,Z$5)-SUMIFS(TF_Timer,TF_Tekniker,Z$4,TF_Dato,$A152))*2,0)/2)))</f>
        <v/>
      </c>
      <c r="AA152">
        <f>IF(OR(AA$4="",$A152&gt;TODAY()),0,IF(OR(INDEX($B152:$D152,AA$5)="F",AND(AA$6&gt;0,$A152&lt;AA$6),AND(AA$7&gt;0,$A152&gt;AA$7)),0,MAX(0,ROUND((INDEX($E152:$G152,AA$5)-SUMIFS(TF_Timer,TF_Tekniker,AA$4,TF_Dato,$A152))*2,0)/2)))</f>
        <v/>
      </c>
      <c r="AB152">
        <f>IF(OR(AB$4="",$A152&gt;TODAY()),0,IF(OR(INDEX($B152:$D152,AB$5)="F",AND(AB$6&gt;0,$A152&lt;AB$6),AND(AB$7&gt;0,$A152&gt;AB$7)),0,MAX(0,ROUND((INDEX($E152:$G152,AB$5)-SUMIFS(TF_Timer,TF_Tekniker,AB$4,TF_Dato,$A152))*2,0)/2)))</f>
        <v/>
      </c>
      <c r="AC152">
        <f>IF(OR(AC$4="",$A152&gt;TODAY()),0,IF(OR(INDEX($B152:$D152,AC$5)="F",AND(AC$6&gt;0,$A152&lt;AC$6),AND(AC$7&gt;0,$A152&gt;AC$7)),0,MAX(0,ROUND((INDEX($E152:$G152,AC$5)-SUMIFS(TF_Timer,TF_Tekniker,AC$4,TF_Dato,$A152))*2,0)/2)))</f>
        <v/>
      </c>
      <c r="AD152">
        <f>IF(OR(AD$4="",$A152&gt;TODAY()),0,IF(OR(INDEX($B152:$D152,AD$5)="F",AND(AD$6&gt;0,$A152&lt;AD$6),AND(AD$7&gt;0,$A152&gt;AD$7)),0,MAX(0,ROUND((INDEX($E152:$G152,AD$5)-SUMIFS(TF_Timer,TF_Tekniker,AD$4,TF_Dato,$A152))*2,0)/2)))</f>
        <v/>
      </c>
      <c r="AE152">
        <f>IF(OR(AE$4="",$A152&gt;TODAY()),0,IF(OR(INDEX($B152:$D152,AE$5)="F",AND(AE$6&gt;0,$A152&lt;AE$6),AND(AE$7&gt;0,$A152&gt;AE$7)),0,MAX(0,ROUND((INDEX($E152:$G152,AE$5)-SUMIFS(TF_Timer,TF_Tekniker,AE$4,TF_Dato,$A152))*2,0)/2)))</f>
        <v/>
      </c>
      <c r="AF152">
        <f>IF(OR(AF$4="",$A152&gt;TODAY()),0,IF(OR(INDEX($B152:$D152,AF$5)="F",AND(AF$6&gt;0,$A152&lt;AF$6),AND(AF$7&gt;0,$A152&gt;AF$7)),0,MAX(0,ROUND((INDEX($E152:$G152,AF$5)-SUMIFS(TF_Timer,TF_Tekniker,AF$4,TF_Dato,$A152))*2,0)/2)))</f>
        <v/>
      </c>
      <c r="AG152">
        <f>IF(OR(AG$4="",$A152&gt;TODAY()),0,IF(OR(INDEX($B152:$D152,AG$5)="F",AND(AG$6&gt;0,$A152&lt;AG$6),AND(AG$7&gt;0,$A152&gt;AG$7)),0,MAX(0,ROUND((INDEX($E152:$G152,AG$5)-SUMIFS(TF_Timer,TF_Tekniker,AG$4,TF_Dato,$A152))*2,0)/2)))</f>
        <v/>
      </c>
      <c r="AH152">
        <f>IF(OR(AH$4="",$A152&gt;TODAY()),0,IF(OR(INDEX($B152:$D152,AH$5)="F",AND(AH$6&gt;0,$A152&lt;AH$6),AND(AH$7&gt;0,$A152&gt;AH$7)),0,MAX(0,ROUND((INDEX($E152:$G152,AH$5)-SUMIFS(TF_Timer,TF_Tekniker,AH$4,TF_Dato,$A152))*2,0)/2)))</f>
        <v/>
      </c>
      <c r="AI152">
        <f>IF(OR(AI$4="",$A152&gt;TODAY()),0,IF(OR(INDEX($B152:$D152,AI$5)="F",AND(AI$6&gt;0,$A152&lt;AI$6),AND(AI$7&gt;0,$A152&gt;AI$7)),0,MAX(0,ROUND((INDEX($E152:$G152,AI$5)-SUMIFS(TF_Timer,TF_Tekniker,AI$4,TF_Dato,$A152))*2,0)/2)))</f>
        <v/>
      </c>
      <c r="AJ152">
        <f>IF(OR(AJ$4="",$A152&gt;TODAY()),0,IF(OR(INDEX($B152:$D152,AJ$5)="F",AND(AJ$6&gt;0,$A152&lt;AJ$6),AND(AJ$7&gt;0,$A152&gt;AJ$7)),0,MAX(0,ROUND((INDEX($E152:$G152,AJ$5)-SUMIFS(TF_Timer,TF_Tekniker,AJ$4,TF_Dato,$A152))*2,0)/2)))</f>
        <v/>
      </c>
      <c r="AK152">
        <f>IF(OR(AK$4="",$A152&gt;TODAY()),0,IF(OR(INDEX($B152:$D152,AK$5)="F",AND(AK$6&gt;0,$A152&lt;AK$6),AND(AK$7&gt;0,$A152&gt;AK$7)),0,MAX(0,ROUND((INDEX($E152:$G152,AK$5)-SUMIFS(TF_Timer,TF_Tekniker,AK$4,TF_Dato,$A152))*2,0)/2)))</f>
        <v/>
      </c>
      <c r="AL152">
        <f>IF(OR(AL$4="",$A152&gt;TODAY()),0,IF(OR(INDEX($B152:$D152,AL$5)="F",AND(AL$6&gt;0,$A152&lt;AL$6),AND(AL$7&gt;0,$A152&gt;AL$7)),0,MAX(0,ROUND((INDEX($E152:$G152,AL$5)-SUMIFS(TF_Timer,TF_Tekniker,AL$4,TF_Dato,$A152))*2,0)/2)))</f>
        <v/>
      </c>
      <c r="AM152">
        <f>IF(OR(AM$4="",$A152&gt;TODAY()),0,IF(OR(INDEX($B152:$D152,AM$5)="F",AND(AM$6&gt;0,$A152&lt;AM$6),AND(AM$7&gt;0,$A152&gt;AM$7)),0,MAX(0,ROUND((INDEX($E152:$G152,AM$5)-SUMIFS(TF_Timer,TF_Tekniker,AM$4,TF_Dato,$A152))*2,0)/2)))</f>
        <v/>
      </c>
      <c r="AN152">
        <f>IF(OR(AN$4="",$A152&gt;TODAY()),0,IF(OR(INDEX($B152:$D152,AN$5)="F",AND(AN$6&gt;0,$A152&lt;AN$6),AND(AN$7&gt;0,$A152&gt;AN$7)),0,MAX(0,ROUND((INDEX($E152:$G152,AN$5)-SUMIFS(TF_Timer,TF_Tekniker,AN$4,TF_Dato,$A152))*2,0)/2)))</f>
        <v/>
      </c>
      <c r="AO152">
        <f>IF(OR(AO$4="",$A152&gt;TODAY()),0,IF(OR(INDEX($B152:$D152,AO$5)="F",AND(AO$6&gt;0,$A152&lt;AO$6),AND(AO$7&gt;0,$A152&gt;AO$7)),0,MAX(0,ROUND((INDEX($E152:$G152,AO$5)-SUMIFS(TF_Timer,TF_Tekniker,AO$4,TF_Dato,$A152))*2,0)/2)))</f>
        <v/>
      </c>
      <c r="AP152">
        <f>IF(OR(AP$4="",$A152&gt;TODAY()),0,IF(OR(INDEX($B152:$D152,AP$5)="F",AND(AP$6&gt;0,$A152&lt;AP$6),AND(AP$7&gt;0,$A152&gt;AP$7)),0,MAX(0,ROUND((INDEX($E152:$G152,AP$5)-SUMIFS(TF_Timer,TF_Tekniker,AP$4,TF_Dato,$A152))*2,0)/2)))</f>
        <v/>
      </c>
      <c r="AQ152">
        <f>IF(OR(AQ$4="",$A152&gt;TODAY()),0,IF(OR(INDEX($B152:$D152,AQ$5)="F",AND(AQ$6&gt;0,$A152&lt;AQ$6),AND(AQ$7&gt;0,$A152&gt;AQ$7)),0,MAX(0,ROUND((INDEX($E152:$G152,AQ$5)-SUMIFS(TF_Timer,TF_Tekniker,AQ$4,TF_Dato,$A152))*2,0)/2)))</f>
        <v/>
      </c>
      <c r="AR152">
        <f>IF(OR(AR$4="",$A152&gt;TODAY()),0,IF(OR(INDEX($B152:$D152,AR$5)="F",AND(AR$6&gt;0,$A152&lt;AR$6),AND(AR$7&gt;0,$A152&gt;AR$7)),0,MAX(0,ROUND((INDEX($E152:$G152,AR$5)-SUMIFS(TF_Timer,TF_Tekniker,AR$4,TF_Dato,$A152))*2,0)/2)))</f>
        <v/>
      </c>
      <c r="AS152">
        <f>IF(OR(AS$4="",$A152&gt;TODAY()),0,IF(OR(INDEX($B152:$D152,AS$5)="F",AND(AS$6&gt;0,$A152&lt;AS$6),AND(AS$7&gt;0,$A152&gt;AS$7)),0,MAX(0,ROUND((INDEX($E152:$G152,AS$5)-SUMIFS(TF_Timer,TF_Tekniker,AS$4,TF_Dato,$A152))*2,0)/2)))</f>
        <v/>
      </c>
      <c r="AT152">
        <f>IF(OR(AT$4="",$A152&gt;TODAY()),0,IF(OR(INDEX($B152:$D152,AT$5)="F",AND(AT$6&gt;0,$A152&lt;AT$6),AND(AT$7&gt;0,$A152&gt;AT$7)),0,MAX(0,ROUND((INDEX($E152:$G152,AT$5)-SUMIFS(TF_Timer,TF_Tekniker,AT$4,TF_Dato,$A152))*2,0)/2)))</f>
        <v/>
      </c>
      <c r="AU152">
        <f>IF(OR(AU$4="",$A152&gt;TODAY()),0,IF(OR(INDEX($B152:$D152,AU$5)="F",AND(AU$6&gt;0,$A152&lt;AU$6),AND(AU$7&gt;0,$A152&gt;AU$7)),0,MAX(0,ROUND((INDEX($E152:$G152,AU$5)-SUMIFS(TF_Timer,TF_Tekniker,AU$4,TF_Dato,$A152))*2,0)/2)))</f>
        <v/>
      </c>
      <c r="AV152">
        <f>IF(OR(AV$4="",$A152&gt;TODAY()),0,IF(OR(INDEX($B152:$D152,AV$5)="F",AND(AV$6&gt;0,$A152&lt;AV$6),AND(AV$7&gt;0,$A152&gt;AV$7)),0,MAX(0,ROUND((INDEX($E152:$G152,AV$5)-SUMIFS(TF_Timer,TF_Tekniker,AV$4,TF_Dato,$A152))*2,0)/2)))</f>
        <v/>
      </c>
      <c r="AW152">
        <f>IF(OR(AW$4="",$A152&gt;TODAY()),0,IF(OR(INDEX($B152:$D152,AW$5)="F",AND(AW$6&gt;0,$A152&lt;AW$6),AND(AW$7&gt;0,$A152&gt;AW$7)),0,MAX(0,ROUND((INDEX($E152:$G152,AW$5)-SUMIFS(TF_Timer,TF_Tekniker,AW$4,TF_Dato,$A152))*2,0)/2)))</f>
        <v/>
      </c>
      <c r="AX152">
        <f>IF(OR(AX$4="",$A152&gt;TODAY()),0,IF(OR(INDEX($B152:$D152,AX$5)="F",AND(AX$6&gt;0,$A152&lt;AX$6),AND(AX$7&gt;0,$A152&gt;AX$7)),0,MAX(0,ROUND((INDEX($E152:$G152,AX$5)-SUMIFS(TF_Timer,TF_Tekniker,AX$4,TF_Dato,$A152))*2,0)/2)))</f>
        <v/>
      </c>
      <c r="AY152">
        <f>IF(OR(AY$4="",$A152&gt;TODAY()),0,IF(OR(INDEX($B152:$D152,AY$5)="F",AND(AY$6&gt;0,$A152&lt;AY$6),AND(AY$7&gt;0,$A152&gt;AY$7)),0,MAX(0,ROUND((INDEX($E152:$G152,AY$5)-SUMIFS(TF_Timer,TF_Tekniker,AY$4,TF_Dato,$A152))*2,0)/2)))</f>
        <v/>
      </c>
      <c r="AZ152">
        <f>IF(OR(AZ$4="",$A152&gt;TODAY()),0,IF(OR(INDEX($B152:$D152,AZ$5)="F",AND(AZ$6&gt;0,$A152&lt;AZ$6),AND(AZ$7&gt;0,$A152&gt;AZ$7)),0,MAX(0,ROUND((INDEX($E152:$G152,AZ$5)-SUMIFS(TF_Timer,TF_Tekniker,AZ$4,TF_Dato,$A152))*2,0)/2)))</f>
        <v/>
      </c>
      <c r="BA152">
        <f>IF(OR(BA$4="",$A152&gt;TODAY()),0,IF(OR(INDEX($B152:$D152,BA$5)="F",AND(BA$6&gt;0,$A152&lt;BA$6),AND(BA$7&gt;0,$A152&gt;BA$7)),0,MAX(0,ROUND((INDEX($E152:$G152,BA$5)-SUMIFS(TF_Timer,TF_Tekniker,BA$4,TF_Dato,$A152))*2,0)/2)))</f>
        <v/>
      </c>
      <c r="BB152">
        <f>IF(OR(BB$4="",$A152&gt;TODAY()),0,IF(OR(INDEX($B152:$D152,BB$5)="F",AND(BB$6&gt;0,$A152&lt;BB$6),AND(BB$7&gt;0,$A152&gt;BB$7)),0,MAX(0,ROUND((INDEX($E152:$G152,BB$5)-SUMIFS(TF_Timer,TF_Tekniker,BB$4,TF_Dato,$A152))*2,0)/2)))</f>
        <v/>
      </c>
      <c r="BC152">
        <f>IF(OR(BC$4="",$A152&gt;TODAY()),0,IF(OR(INDEX($B152:$D152,BC$5)="F",AND(BC$6&gt;0,$A152&lt;BC$6),AND(BC$7&gt;0,$A152&gt;BC$7)),0,MAX(0,ROUND((INDEX($E152:$G152,BC$5)-SUMIFS(TF_Timer,TF_Tekniker,BC$4,TF_Dato,$A152))*2,0)/2)))</f>
        <v/>
      </c>
      <c r="BD152">
        <f>IF(OR(BD$4="",$A152&gt;TODAY()),0,IF(OR(INDEX($B152:$D152,BD$5)="F",AND(BD$6&gt;0,$A152&lt;BD$6),AND(BD$7&gt;0,$A152&gt;BD$7)),0,MAX(0,ROUND((INDEX($E152:$G152,BD$5)-SUMIFS(TF_Timer,TF_Tekniker,BD$4,TF_Dato,$A152))*2,0)/2)))</f>
        <v/>
      </c>
      <c r="BE152">
        <f>IF(OR(BE$4="",$A152&gt;TODAY()),0,IF(OR(INDEX($B152:$D152,BE$5)="F",AND(BE$6&gt;0,$A152&lt;BE$6),AND(BE$7&gt;0,$A152&gt;BE$7)),0,MAX(0,ROUND((INDEX($E152:$G152,BE$5)-SUMIFS(TF_Timer,TF_Tekniker,BE$4,TF_Dato,$A152))*2,0)/2)))</f>
        <v/>
      </c>
      <c r="BF152">
        <f>IF(OR(BF$4="",$A152&gt;TODAY()),0,IF(OR(INDEX($B152:$D152,BF$5)="F",AND(BF$6&gt;0,$A152&lt;BF$6),AND(BF$7&gt;0,$A152&gt;BF$7)),0,MAX(0,ROUND((INDEX($E152:$G152,BF$5)-SUMIFS(TF_Timer,TF_Tekniker,BF$4,TF_Dato,$A152))*2,0)/2)))</f>
        <v/>
      </c>
      <c r="BG152">
        <f>IF(OR(BG$4="",$A152&gt;TODAY()),0,IF(OR(INDEX($B152:$D152,BG$5)="F",AND(BG$6&gt;0,$A152&lt;BG$6),AND(BG$7&gt;0,$A152&gt;BG$7)),0,MAX(0,ROUND((INDEX($E152:$G152,BG$5)-SUMIFS(TF_Timer,TF_Tekniker,BG$4,TF_Dato,$A152))*2,0)/2)))</f>
        <v/>
      </c>
      <c r="BH152">
        <f>IF(OR(BH$4="",$A152&gt;TODAY()),0,IF(OR(INDEX($B152:$D152,BH$5)="F",AND(BH$6&gt;0,$A152&lt;BH$6),AND(BH$7&gt;0,$A152&gt;BH$7)),0,MAX(0,ROUND((INDEX($E152:$G152,BH$5)-SUMIFS(TF_Timer,TF_Tekniker,BH$4,TF_Dato,$A152))*2,0)/2)))</f>
        <v/>
      </c>
      <c r="BI152">
        <f>IF(OR(BI$4="",$A152&gt;TODAY()),0,IF(OR(INDEX($B152:$D152,BI$5)="F",AND(BI$6&gt;0,$A152&lt;BI$6),AND(BI$7&gt;0,$A152&gt;BI$7)),0,MAX(0,ROUND((INDEX($E152:$G152,BI$5)-SUMIFS(TF_Timer,TF_Tekniker,BI$4,TF_Dato,$A152))*2,0)/2)))</f>
        <v/>
      </c>
    </row>
    <row r="153">
      <c r="A153" s="64">
        <f>A152+1</f>
        <v/>
      </c>
      <c r="B153">
        <f>IF(MOD($A153-INDEX(SkiftStart,1),Syklus)&lt;DagK,"K",IF(MOD($A153-INDEX(SkiftStart,1),Syklus)&lt;DagK+DagH,"H",IF(MOD($A153-INDEX(SkiftStart,1),Syklus)&lt;DagK+DagH+DagD,"D","F")))</f>
        <v/>
      </c>
      <c r="C153">
        <f>IF(MOD($A153-INDEX(SkiftStart,2),Syklus)&lt;DagK,"K",IF(MOD($A153-INDEX(SkiftStart,2),Syklus)&lt;DagK+DagH,"H",IF(MOD($A153-INDEX(SkiftStart,2),Syklus)&lt;DagK+DagH+DagD,"D","F")))</f>
        <v/>
      </c>
      <c r="D153">
        <f>IF(MOD($A153-INDEX(SkiftStart,3),Syklus)&lt;DagK,"K",IF(MOD($A153-INDEX(SkiftStart,3),Syklus)&lt;DagK+DagH,"H",IF(MOD($A153-INDEX(SkiftStart,3),Syklus)&lt;DagK+DagH+DagD,"D","F")))</f>
        <v/>
      </c>
      <c r="E153">
        <f>IF(B153="F",0,IF(WEEKDAY($A153,2)=5,INDEX(TimerFr,MATCH(B153,FaseKode,0)),INDEX(TimerMT,MATCH(B153,FaseKode,0))))</f>
        <v/>
      </c>
      <c r="F153">
        <f>IF(C153="F",0,IF(WEEKDAY($A153,2)=5,INDEX(TimerFr,MATCH(C153,FaseKode,0)),INDEX(TimerMT,MATCH(C153,FaseKode,0))))</f>
        <v/>
      </c>
      <c r="G153">
        <f>IF(D153="F",0,IF(WEEKDAY($A153,2)=5,INDEX(TimerFr,MATCH(D153,FaseKode,0)),INDEX(TimerMT,MATCH(D153,FaseKode,0))))</f>
        <v/>
      </c>
      <c r="H153">
        <f>IF(OR(H$4="",$A153&gt;TODAY()),0,IF(OR(INDEX($B153:$D153,H$5)="F",AND(H$6&gt;0,$A153&lt;H$6),AND(H$7&gt;0,$A153&gt;H$7)),0,MAX(0,ROUND((INDEX($E153:$G153,H$5)-SUMIFS(TF_Timer,TF_Tekniker,H$4,TF_Dato,$A153))*2,0)/2)))</f>
        <v/>
      </c>
      <c r="I153">
        <f>IF(OR(I$4="",$A153&gt;TODAY()),0,IF(OR(INDEX($B153:$D153,I$5)="F",AND(I$6&gt;0,$A153&lt;I$6),AND(I$7&gt;0,$A153&gt;I$7)),0,MAX(0,ROUND((INDEX($E153:$G153,I$5)-SUMIFS(TF_Timer,TF_Tekniker,I$4,TF_Dato,$A153))*2,0)/2)))</f>
        <v/>
      </c>
      <c r="J153">
        <f>IF(OR(J$4="",$A153&gt;TODAY()),0,IF(OR(INDEX($B153:$D153,J$5)="F",AND(J$6&gt;0,$A153&lt;J$6),AND(J$7&gt;0,$A153&gt;J$7)),0,MAX(0,ROUND((INDEX($E153:$G153,J$5)-SUMIFS(TF_Timer,TF_Tekniker,J$4,TF_Dato,$A153))*2,0)/2)))</f>
        <v/>
      </c>
      <c r="K153">
        <f>IF(OR(K$4="",$A153&gt;TODAY()),0,IF(OR(INDEX($B153:$D153,K$5)="F",AND(K$6&gt;0,$A153&lt;K$6),AND(K$7&gt;0,$A153&gt;K$7)),0,MAX(0,ROUND((INDEX($E153:$G153,K$5)-SUMIFS(TF_Timer,TF_Tekniker,K$4,TF_Dato,$A153))*2,0)/2)))</f>
        <v/>
      </c>
      <c r="L153">
        <f>IF(OR(L$4="",$A153&gt;TODAY()),0,IF(OR(INDEX($B153:$D153,L$5)="F",AND(L$6&gt;0,$A153&lt;L$6),AND(L$7&gt;0,$A153&gt;L$7)),0,MAX(0,ROUND((INDEX($E153:$G153,L$5)-SUMIFS(TF_Timer,TF_Tekniker,L$4,TF_Dato,$A153))*2,0)/2)))</f>
        <v/>
      </c>
      <c r="M153">
        <f>IF(OR(M$4="",$A153&gt;TODAY()),0,IF(OR(INDEX($B153:$D153,M$5)="F",AND(M$6&gt;0,$A153&lt;M$6),AND(M$7&gt;0,$A153&gt;M$7)),0,MAX(0,ROUND((INDEX($E153:$G153,M$5)-SUMIFS(TF_Timer,TF_Tekniker,M$4,TF_Dato,$A153))*2,0)/2)))</f>
        <v/>
      </c>
      <c r="N153">
        <f>IF(OR(N$4="",$A153&gt;TODAY()),0,IF(OR(INDEX($B153:$D153,N$5)="F",AND(N$6&gt;0,$A153&lt;N$6),AND(N$7&gt;0,$A153&gt;N$7)),0,MAX(0,ROUND((INDEX($E153:$G153,N$5)-SUMIFS(TF_Timer,TF_Tekniker,N$4,TF_Dato,$A153))*2,0)/2)))</f>
        <v/>
      </c>
      <c r="O153">
        <f>IF(OR(O$4="",$A153&gt;TODAY()),0,IF(OR(INDEX($B153:$D153,O$5)="F",AND(O$6&gt;0,$A153&lt;O$6),AND(O$7&gt;0,$A153&gt;O$7)),0,MAX(0,ROUND((INDEX($E153:$G153,O$5)-SUMIFS(TF_Timer,TF_Tekniker,O$4,TF_Dato,$A153))*2,0)/2)))</f>
        <v/>
      </c>
      <c r="P153">
        <f>IF(OR(P$4="",$A153&gt;TODAY()),0,IF(OR(INDEX($B153:$D153,P$5)="F",AND(P$6&gt;0,$A153&lt;P$6),AND(P$7&gt;0,$A153&gt;P$7)),0,MAX(0,ROUND((INDEX($E153:$G153,P$5)-SUMIFS(TF_Timer,TF_Tekniker,P$4,TF_Dato,$A153))*2,0)/2)))</f>
        <v/>
      </c>
      <c r="Q153">
        <f>IF(OR(Q$4="",$A153&gt;TODAY()),0,IF(OR(INDEX($B153:$D153,Q$5)="F",AND(Q$6&gt;0,$A153&lt;Q$6),AND(Q$7&gt;0,$A153&gt;Q$7)),0,MAX(0,ROUND((INDEX($E153:$G153,Q$5)-SUMIFS(TF_Timer,TF_Tekniker,Q$4,TF_Dato,$A153))*2,0)/2)))</f>
        <v/>
      </c>
      <c r="R153">
        <f>IF(OR(R$4="",$A153&gt;TODAY()),0,IF(OR(INDEX($B153:$D153,R$5)="F",AND(R$6&gt;0,$A153&lt;R$6),AND(R$7&gt;0,$A153&gt;R$7)),0,MAX(0,ROUND((INDEX($E153:$G153,R$5)-SUMIFS(TF_Timer,TF_Tekniker,R$4,TF_Dato,$A153))*2,0)/2)))</f>
        <v/>
      </c>
      <c r="S153">
        <f>IF(OR(S$4="",$A153&gt;TODAY()),0,IF(OR(INDEX($B153:$D153,S$5)="F",AND(S$6&gt;0,$A153&lt;S$6),AND(S$7&gt;0,$A153&gt;S$7)),0,MAX(0,ROUND((INDEX($E153:$G153,S$5)-SUMIFS(TF_Timer,TF_Tekniker,S$4,TF_Dato,$A153))*2,0)/2)))</f>
        <v/>
      </c>
      <c r="T153">
        <f>IF(OR(T$4="",$A153&gt;TODAY()),0,IF(OR(INDEX($B153:$D153,T$5)="F",AND(T$6&gt;0,$A153&lt;T$6),AND(T$7&gt;0,$A153&gt;T$7)),0,MAX(0,ROUND((INDEX($E153:$G153,T$5)-SUMIFS(TF_Timer,TF_Tekniker,T$4,TF_Dato,$A153))*2,0)/2)))</f>
        <v/>
      </c>
      <c r="U153">
        <f>IF(OR(U$4="",$A153&gt;TODAY()),0,IF(OR(INDEX($B153:$D153,U$5)="F",AND(U$6&gt;0,$A153&lt;U$6),AND(U$7&gt;0,$A153&gt;U$7)),0,MAX(0,ROUND((INDEX($E153:$G153,U$5)-SUMIFS(TF_Timer,TF_Tekniker,U$4,TF_Dato,$A153))*2,0)/2)))</f>
        <v/>
      </c>
      <c r="V153">
        <f>IF(OR(V$4="",$A153&gt;TODAY()),0,IF(OR(INDEX($B153:$D153,V$5)="F",AND(V$6&gt;0,$A153&lt;V$6),AND(V$7&gt;0,$A153&gt;V$7)),0,MAX(0,ROUND((INDEX($E153:$G153,V$5)-SUMIFS(TF_Timer,TF_Tekniker,V$4,TF_Dato,$A153))*2,0)/2)))</f>
        <v/>
      </c>
      <c r="W153">
        <f>IF(OR(W$4="",$A153&gt;TODAY()),0,IF(OR(INDEX($B153:$D153,W$5)="F",AND(W$6&gt;0,$A153&lt;W$6),AND(W$7&gt;0,$A153&gt;W$7)),0,MAX(0,ROUND((INDEX($E153:$G153,W$5)-SUMIFS(TF_Timer,TF_Tekniker,W$4,TF_Dato,$A153))*2,0)/2)))</f>
        <v/>
      </c>
      <c r="X153">
        <f>IF(OR(X$4="",$A153&gt;TODAY()),0,IF(OR(INDEX($B153:$D153,X$5)="F",AND(X$6&gt;0,$A153&lt;X$6),AND(X$7&gt;0,$A153&gt;X$7)),0,MAX(0,ROUND((INDEX($E153:$G153,X$5)-SUMIFS(TF_Timer,TF_Tekniker,X$4,TF_Dato,$A153))*2,0)/2)))</f>
        <v/>
      </c>
      <c r="Y153">
        <f>IF(OR(Y$4="",$A153&gt;TODAY()),0,IF(OR(INDEX($B153:$D153,Y$5)="F",AND(Y$6&gt;0,$A153&lt;Y$6),AND(Y$7&gt;0,$A153&gt;Y$7)),0,MAX(0,ROUND((INDEX($E153:$G153,Y$5)-SUMIFS(TF_Timer,TF_Tekniker,Y$4,TF_Dato,$A153))*2,0)/2)))</f>
        <v/>
      </c>
      <c r="Z153">
        <f>IF(OR(Z$4="",$A153&gt;TODAY()),0,IF(OR(INDEX($B153:$D153,Z$5)="F",AND(Z$6&gt;0,$A153&lt;Z$6),AND(Z$7&gt;0,$A153&gt;Z$7)),0,MAX(0,ROUND((INDEX($E153:$G153,Z$5)-SUMIFS(TF_Timer,TF_Tekniker,Z$4,TF_Dato,$A153))*2,0)/2)))</f>
        <v/>
      </c>
      <c r="AA153">
        <f>IF(OR(AA$4="",$A153&gt;TODAY()),0,IF(OR(INDEX($B153:$D153,AA$5)="F",AND(AA$6&gt;0,$A153&lt;AA$6),AND(AA$7&gt;0,$A153&gt;AA$7)),0,MAX(0,ROUND((INDEX($E153:$G153,AA$5)-SUMIFS(TF_Timer,TF_Tekniker,AA$4,TF_Dato,$A153))*2,0)/2)))</f>
        <v/>
      </c>
      <c r="AB153">
        <f>IF(OR(AB$4="",$A153&gt;TODAY()),0,IF(OR(INDEX($B153:$D153,AB$5)="F",AND(AB$6&gt;0,$A153&lt;AB$6),AND(AB$7&gt;0,$A153&gt;AB$7)),0,MAX(0,ROUND((INDEX($E153:$G153,AB$5)-SUMIFS(TF_Timer,TF_Tekniker,AB$4,TF_Dato,$A153))*2,0)/2)))</f>
        <v/>
      </c>
      <c r="AC153">
        <f>IF(OR(AC$4="",$A153&gt;TODAY()),0,IF(OR(INDEX($B153:$D153,AC$5)="F",AND(AC$6&gt;0,$A153&lt;AC$6),AND(AC$7&gt;0,$A153&gt;AC$7)),0,MAX(0,ROUND((INDEX($E153:$G153,AC$5)-SUMIFS(TF_Timer,TF_Tekniker,AC$4,TF_Dato,$A153))*2,0)/2)))</f>
        <v/>
      </c>
      <c r="AD153">
        <f>IF(OR(AD$4="",$A153&gt;TODAY()),0,IF(OR(INDEX($B153:$D153,AD$5)="F",AND(AD$6&gt;0,$A153&lt;AD$6),AND(AD$7&gt;0,$A153&gt;AD$7)),0,MAX(0,ROUND((INDEX($E153:$G153,AD$5)-SUMIFS(TF_Timer,TF_Tekniker,AD$4,TF_Dato,$A153))*2,0)/2)))</f>
        <v/>
      </c>
      <c r="AE153">
        <f>IF(OR(AE$4="",$A153&gt;TODAY()),0,IF(OR(INDEX($B153:$D153,AE$5)="F",AND(AE$6&gt;0,$A153&lt;AE$6),AND(AE$7&gt;0,$A153&gt;AE$7)),0,MAX(0,ROUND((INDEX($E153:$G153,AE$5)-SUMIFS(TF_Timer,TF_Tekniker,AE$4,TF_Dato,$A153))*2,0)/2)))</f>
        <v/>
      </c>
      <c r="AF153">
        <f>IF(OR(AF$4="",$A153&gt;TODAY()),0,IF(OR(INDEX($B153:$D153,AF$5)="F",AND(AF$6&gt;0,$A153&lt;AF$6),AND(AF$7&gt;0,$A153&gt;AF$7)),0,MAX(0,ROUND((INDEX($E153:$G153,AF$5)-SUMIFS(TF_Timer,TF_Tekniker,AF$4,TF_Dato,$A153))*2,0)/2)))</f>
        <v/>
      </c>
      <c r="AG153">
        <f>IF(OR(AG$4="",$A153&gt;TODAY()),0,IF(OR(INDEX($B153:$D153,AG$5)="F",AND(AG$6&gt;0,$A153&lt;AG$6),AND(AG$7&gt;0,$A153&gt;AG$7)),0,MAX(0,ROUND((INDEX($E153:$G153,AG$5)-SUMIFS(TF_Timer,TF_Tekniker,AG$4,TF_Dato,$A153))*2,0)/2)))</f>
        <v/>
      </c>
      <c r="AH153">
        <f>IF(OR(AH$4="",$A153&gt;TODAY()),0,IF(OR(INDEX($B153:$D153,AH$5)="F",AND(AH$6&gt;0,$A153&lt;AH$6),AND(AH$7&gt;0,$A153&gt;AH$7)),0,MAX(0,ROUND((INDEX($E153:$G153,AH$5)-SUMIFS(TF_Timer,TF_Tekniker,AH$4,TF_Dato,$A153))*2,0)/2)))</f>
        <v/>
      </c>
      <c r="AI153">
        <f>IF(OR(AI$4="",$A153&gt;TODAY()),0,IF(OR(INDEX($B153:$D153,AI$5)="F",AND(AI$6&gt;0,$A153&lt;AI$6),AND(AI$7&gt;0,$A153&gt;AI$7)),0,MAX(0,ROUND((INDEX($E153:$G153,AI$5)-SUMIFS(TF_Timer,TF_Tekniker,AI$4,TF_Dato,$A153))*2,0)/2)))</f>
        <v/>
      </c>
      <c r="AJ153">
        <f>IF(OR(AJ$4="",$A153&gt;TODAY()),0,IF(OR(INDEX($B153:$D153,AJ$5)="F",AND(AJ$6&gt;0,$A153&lt;AJ$6),AND(AJ$7&gt;0,$A153&gt;AJ$7)),0,MAX(0,ROUND((INDEX($E153:$G153,AJ$5)-SUMIFS(TF_Timer,TF_Tekniker,AJ$4,TF_Dato,$A153))*2,0)/2)))</f>
        <v/>
      </c>
      <c r="AK153">
        <f>IF(OR(AK$4="",$A153&gt;TODAY()),0,IF(OR(INDEX($B153:$D153,AK$5)="F",AND(AK$6&gt;0,$A153&lt;AK$6),AND(AK$7&gt;0,$A153&gt;AK$7)),0,MAX(0,ROUND((INDEX($E153:$G153,AK$5)-SUMIFS(TF_Timer,TF_Tekniker,AK$4,TF_Dato,$A153))*2,0)/2)))</f>
        <v/>
      </c>
      <c r="AL153">
        <f>IF(OR(AL$4="",$A153&gt;TODAY()),0,IF(OR(INDEX($B153:$D153,AL$5)="F",AND(AL$6&gt;0,$A153&lt;AL$6),AND(AL$7&gt;0,$A153&gt;AL$7)),0,MAX(0,ROUND((INDEX($E153:$G153,AL$5)-SUMIFS(TF_Timer,TF_Tekniker,AL$4,TF_Dato,$A153))*2,0)/2)))</f>
        <v/>
      </c>
      <c r="AM153">
        <f>IF(OR(AM$4="",$A153&gt;TODAY()),0,IF(OR(INDEX($B153:$D153,AM$5)="F",AND(AM$6&gt;0,$A153&lt;AM$6),AND(AM$7&gt;0,$A153&gt;AM$7)),0,MAX(0,ROUND((INDEX($E153:$G153,AM$5)-SUMIFS(TF_Timer,TF_Tekniker,AM$4,TF_Dato,$A153))*2,0)/2)))</f>
        <v/>
      </c>
      <c r="AN153">
        <f>IF(OR(AN$4="",$A153&gt;TODAY()),0,IF(OR(INDEX($B153:$D153,AN$5)="F",AND(AN$6&gt;0,$A153&lt;AN$6),AND(AN$7&gt;0,$A153&gt;AN$7)),0,MAX(0,ROUND((INDEX($E153:$G153,AN$5)-SUMIFS(TF_Timer,TF_Tekniker,AN$4,TF_Dato,$A153))*2,0)/2)))</f>
        <v/>
      </c>
      <c r="AO153">
        <f>IF(OR(AO$4="",$A153&gt;TODAY()),0,IF(OR(INDEX($B153:$D153,AO$5)="F",AND(AO$6&gt;0,$A153&lt;AO$6),AND(AO$7&gt;0,$A153&gt;AO$7)),0,MAX(0,ROUND((INDEX($E153:$G153,AO$5)-SUMIFS(TF_Timer,TF_Tekniker,AO$4,TF_Dato,$A153))*2,0)/2)))</f>
        <v/>
      </c>
      <c r="AP153">
        <f>IF(OR(AP$4="",$A153&gt;TODAY()),0,IF(OR(INDEX($B153:$D153,AP$5)="F",AND(AP$6&gt;0,$A153&lt;AP$6),AND(AP$7&gt;0,$A153&gt;AP$7)),0,MAX(0,ROUND((INDEX($E153:$G153,AP$5)-SUMIFS(TF_Timer,TF_Tekniker,AP$4,TF_Dato,$A153))*2,0)/2)))</f>
        <v/>
      </c>
      <c r="AQ153">
        <f>IF(OR(AQ$4="",$A153&gt;TODAY()),0,IF(OR(INDEX($B153:$D153,AQ$5)="F",AND(AQ$6&gt;0,$A153&lt;AQ$6),AND(AQ$7&gt;0,$A153&gt;AQ$7)),0,MAX(0,ROUND((INDEX($E153:$G153,AQ$5)-SUMIFS(TF_Timer,TF_Tekniker,AQ$4,TF_Dato,$A153))*2,0)/2)))</f>
        <v/>
      </c>
      <c r="AR153">
        <f>IF(OR(AR$4="",$A153&gt;TODAY()),0,IF(OR(INDEX($B153:$D153,AR$5)="F",AND(AR$6&gt;0,$A153&lt;AR$6),AND(AR$7&gt;0,$A153&gt;AR$7)),0,MAX(0,ROUND((INDEX($E153:$G153,AR$5)-SUMIFS(TF_Timer,TF_Tekniker,AR$4,TF_Dato,$A153))*2,0)/2)))</f>
        <v/>
      </c>
      <c r="AS153">
        <f>IF(OR(AS$4="",$A153&gt;TODAY()),0,IF(OR(INDEX($B153:$D153,AS$5)="F",AND(AS$6&gt;0,$A153&lt;AS$6),AND(AS$7&gt;0,$A153&gt;AS$7)),0,MAX(0,ROUND((INDEX($E153:$G153,AS$5)-SUMIFS(TF_Timer,TF_Tekniker,AS$4,TF_Dato,$A153))*2,0)/2)))</f>
        <v/>
      </c>
      <c r="AT153">
        <f>IF(OR(AT$4="",$A153&gt;TODAY()),0,IF(OR(INDEX($B153:$D153,AT$5)="F",AND(AT$6&gt;0,$A153&lt;AT$6),AND(AT$7&gt;0,$A153&gt;AT$7)),0,MAX(0,ROUND((INDEX($E153:$G153,AT$5)-SUMIFS(TF_Timer,TF_Tekniker,AT$4,TF_Dato,$A153))*2,0)/2)))</f>
        <v/>
      </c>
      <c r="AU153">
        <f>IF(OR(AU$4="",$A153&gt;TODAY()),0,IF(OR(INDEX($B153:$D153,AU$5)="F",AND(AU$6&gt;0,$A153&lt;AU$6),AND(AU$7&gt;0,$A153&gt;AU$7)),0,MAX(0,ROUND((INDEX($E153:$G153,AU$5)-SUMIFS(TF_Timer,TF_Tekniker,AU$4,TF_Dato,$A153))*2,0)/2)))</f>
        <v/>
      </c>
      <c r="AV153">
        <f>IF(OR(AV$4="",$A153&gt;TODAY()),0,IF(OR(INDEX($B153:$D153,AV$5)="F",AND(AV$6&gt;0,$A153&lt;AV$6),AND(AV$7&gt;0,$A153&gt;AV$7)),0,MAX(0,ROUND((INDEX($E153:$G153,AV$5)-SUMIFS(TF_Timer,TF_Tekniker,AV$4,TF_Dato,$A153))*2,0)/2)))</f>
        <v/>
      </c>
      <c r="AW153">
        <f>IF(OR(AW$4="",$A153&gt;TODAY()),0,IF(OR(INDEX($B153:$D153,AW$5)="F",AND(AW$6&gt;0,$A153&lt;AW$6),AND(AW$7&gt;0,$A153&gt;AW$7)),0,MAX(0,ROUND((INDEX($E153:$G153,AW$5)-SUMIFS(TF_Timer,TF_Tekniker,AW$4,TF_Dato,$A153))*2,0)/2)))</f>
        <v/>
      </c>
      <c r="AX153">
        <f>IF(OR(AX$4="",$A153&gt;TODAY()),0,IF(OR(INDEX($B153:$D153,AX$5)="F",AND(AX$6&gt;0,$A153&lt;AX$6),AND(AX$7&gt;0,$A153&gt;AX$7)),0,MAX(0,ROUND((INDEX($E153:$G153,AX$5)-SUMIFS(TF_Timer,TF_Tekniker,AX$4,TF_Dato,$A153))*2,0)/2)))</f>
        <v/>
      </c>
      <c r="AY153">
        <f>IF(OR(AY$4="",$A153&gt;TODAY()),0,IF(OR(INDEX($B153:$D153,AY$5)="F",AND(AY$6&gt;0,$A153&lt;AY$6),AND(AY$7&gt;0,$A153&gt;AY$7)),0,MAX(0,ROUND((INDEX($E153:$G153,AY$5)-SUMIFS(TF_Timer,TF_Tekniker,AY$4,TF_Dato,$A153))*2,0)/2)))</f>
        <v/>
      </c>
      <c r="AZ153">
        <f>IF(OR(AZ$4="",$A153&gt;TODAY()),0,IF(OR(INDEX($B153:$D153,AZ$5)="F",AND(AZ$6&gt;0,$A153&lt;AZ$6),AND(AZ$7&gt;0,$A153&gt;AZ$7)),0,MAX(0,ROUND((INDEX($E153:$G153,AZ$5)-SUMIFS(TF_Timer,TF_Tekniker,AZ$4,TF_Dato,$A153))*2,0)/2)))</f>
        <v/>
      </c>
      <c r="BA153">
        <f>IF(OR(BA$4="",$A153&gt;TODAY()),0,IF(OR(INDEX($B153:$D153,BA$5)="F",AND(BA$6&gt;0,$A153&lt;BA$6),AND(BA$7&gt;0,$A153&gt;BA$7)),0,MAX(0,ROUND((INDEX($E153:$G153,BA$5)-SUMIFS(TF_Timer,TF_Tekniker,BA$4,TF_Dato,$A153))*2,0)/2)))</f>
        <v/>
      </c>
      <c r="BB153">
        <f>IF(OR(BB$4="",$A153&gt;TODAY()),0,IF(OR(INDEX($B153:$D153,BB$5)="F",AND(BB$6&gt;0,$A153&lt;BB$6),AND(BB$7&gt;0,$A153&gt;BB$7)),0,MAX(0,ROUND((INDEX($E153:$G153,BB$5)-SUMIFS(TF_Timer,TF_Tekniker,BB$4,TF_Dato,$A153))*2,0)/2)))</f>
        <v/>
      </c>
      <c r="BC153">
        <f>IF(OR(BC$4="",$A153&gt;TODAY()),0,IF(OR(INDEX($B153:$D153,BC$5)="F",AND(BC$6&gt;0,$A153&lt;BC$6),AND(BC$7&gt;0,$A153&gt;BC$7)),0,MAX(0,ROUND((INDEX($E153:$G153,BC$5)-SUMIFS(TF_Timer,TF_Tekniker,BC$4,TF_Dato,$A153))*2,0)/2)))</f>
        <v/>
      </c>
      <c r="BD153">
        <f>IF(OR(BD$4="",$A153&gt;TODAY()),0,IF(OR(INDEX($B153:$D153,BD$5)="F",AND(BD$6&gt;0,$A153&lt;BD$6),AND(BD$7&gt;0,$A153&gt;BD$7)),0,MAX(0,ROUND((INDEX($E153:$G153,BD$5)-SUMIFS(TF_Timer,TF_Tekniker,BD$4,TF_Dato,$A153))*2,0)/2)))</f>
        <v/>
      </c>
      <c r="BE153">
        <f>IF(OR(BE$4="",$A153&gt;TODAY()),0,IF(OR(INDEX($B153:$D153,BE$5)="F",AND(BE$6&gt;0,$A153&lt;BE$6),AND(BE$7&gt;0,$A153&gt;BE$7)),0,MAX(0,ROUND((INDEX($E153:$G153,BE$5)-SUMIFS(TF_Timer,TF_Tekniker,BE$4,TF_Dato,$A153))*2,0)/2)))</f>
        <v/>
      </c>
      <c r="BF153">
        <f>IF(OR(BF$4="",$A153&gt;TODAY()),0,IF(OR(INDEX($B153:$D153,BF$5)="F",AND(BF$6&gt;0,$A153&lt;BF$6),AND(BF$7&gt;0,$A153&gt;BF$7)),0,MAX(0,ROUND((INDEX($E153:$G153,BF$5)-SUMIFS(TF_Timer,TF_Tekniker,BF$4,TF_Dato,$A153))*2,0)/2)))</f>
        <v/>
      </c>
      <c r="BG153">
        <f>IF(OR(BG$4="",$A153&gt;TODAY()),0,IF(OR(INDEX($B153:$D153,BG$5)="F",AND(BG$6&gt;0,$A153&lt;BG$6),AND(BG$7&gt;0,$A153&gt;BG$7)),0,MAX(0,ROUND((INDEX($E153:$G153,BG$5)-SUMIFS(TF_Timer,TF_Tekniker,BG$4,TF_Dato,$A153))*2,0)/2)))</f>
        <v/>
      </c>
      <c r="BH153">
        <f>IF(OR(BH$4="",$A153&gt;TODAY()),0,IF(OR(INDEX($B153:$D153,BH$5)="F",AND(BH$6&gt;0,$A153&lt;BH$6),AND(BH$7&gt;0,$A153&gt;BH$7)),0,MAX(0,ROUND((INDEX($E153:$G153,BH$5)-SUMIFS(TF_Timer,TF_Tekniker,BH$4,TF_Dato,$A153))*2,0)/2)))</f>
        <v/>
      </c>
      <c r="BI153">
        <f>IF(OR(BI$4="",$A153&gt;TODAY()),0,IF(OR(INDEX($B153:$D153,BI$5)="F",AND(BI$6&gt;0,$A153&lt;BI$6),AND(BI$7&gt;0,$A153&gt;BI$7)),0,MAX(0,ROUND((INDEX($E153:$G153,BI$5)-SUMIFS(TF_Timer,TF_Tekniker,BI$4,TF_Dato,$A153))*2,0)/2)))</f>
        <v/>
      </c>
    </row>
    <row r="154">
      <c r="A154" s="64">
        <f>A153+1</f>
        <v/>
      </c>
      <c r="B154">
        <f>IF(MOD($A154-INDEX(SkiftStart,1),Syklus)&lt;DagK,"K",IF(MOD($A154-INDEX(SkiftStart,1),Syklus)&lt;DagK+DagH,"H",IF(MOD($A154-INDEX(SkiftStart,1),Syklus)&lt;DagK+DagH+DagD,"D","F")))</f>
        <v/>
      </c>
      <c r="C154">
        <f>IF(MOD($A154-INDEX(SkiftStart,2),Syklus)&lt;DagK,"K",IF(MOD($A154-INDEX(SkiftStart,2),Syklus)&lt;DagK+DagH,"H",IF(MOD($A154-INDEX(SkiftStart,2),Syklus)&lt;DagK+DagH+DagD,"D","F")))</f>
        <v/>
      </c>
      <c r="D154">
        <f>IF(MOD($A154-INDEX(SkiftStart,3),Syklus)&lt;DagK,"K",IF(MOD($A154-INDEX(SkiftStart,3),Syklus)&lt;DagK+DagH,"H",IF(MOD($A154-INDEX(SkiftStart,3),Syklus)&lt;DagK+DagH+DagD,"D","F")))</f>
        <v/>
      </c>
      <c r="E154">
        <f>IF(B154="F",0,IF(WEEKDAY($A154,2)=5,INDEX(TimerFr,MATCH(B154,FaseKode,0)),INDEX(TimerMT,MATCH(B154,FaseKode,0))))</f>
        <v/>
      </c>
      <c r="F154">
        <f>IF(C154="F",0,IF(WEEKDAY($A154,2)=5,INDEX(TimerFr,MATCH(C154,FaseKode,0)),INDEX(TimerMT,MATCH(C154,FaseKode,0))))</f>
        <v/>
      </c>
      <c r="G154">
        <f>IF(D154="F",0,IF(WEEKDAY($A154,2)=5,INDEX(TimerFr,MATCH(D154,FaseKode,0)),INDEX(TimerMT,MATCH(D154,FaseKode,0))))</f>
        <v/>
      </c>
      <c r="H154">
        <f>IF(OR(H$4="",$A154&gt;TODAY()),0,IF(OR(INDEX($B154:$D154,H$5)="F",AND(H$6&gt;0,$A154&lt;H$6),AND(H$7&gt;0,$A154&gt;H$7)),0,MAX(0,ROUND((INDEX($E154:$G154,H$5)-SUMIFS(TF_Timer,TF_Tekniker,H$4,TF_Dato,$A154))*2,0)/2)))</f>
        <v/>
      </c>
      <c r="I154">
        <f>IF(OR(I$4="",$A154&gt;TODAY()),0,IF(OR(INDEX($B154:$D154,I$5)="F",AND(I$6&gt;0,$A154&lt;I$6),AND(I$7&gt;0,$A154&gt;I$7)),0,MAX(0,ROUND((INDEX($E154:$G154,I$5)-SUMIFS(TF_Timer,TF_Tekniker,I$4,TF_Dato,$A154))*2,0)/2)))</f>
        <v/>
      </c>
      <c r="J154">
        <f>IF(OR(J$4="",$A154&gt;TODAY()),0,IF(OR(INDEX($B154:$D154,J$5)="F",AND(J$6&gt;0,$A154&lt;J$6),AND(J$7&gt;0,$A154&gt;J$7)),0,MAX(0,ROUND((INDEX($E154:$G154,J$5)-SUMIFS(TF_Timer,TF_Tekniker,J$4,TF_Dato,$A154))*2,0)/2)))</f>
        <v/>
      </c>
      <c r="K154">
        <f>IF(OR(K$4="",$A154&gt;TODAY()),0,IF(OR(INDEX($B154:$D154,K$5)="F",AND(K$6&gt;0,$A154&lt;K$6),AND(K$7&gt;0,$A154&gt;K$7)),0,MAX(0,ROUND((INDEX($E154:$G154,K$5)-SUMIFS(TF_Timer,TF_Tekniker,K$4,TF_Dato,$A154))*2,0)/2)))</f>
        <v/>
      </c>
      <c r="L154">
        <f>IF(OR(L$4="",$A154&gt;TODAY()),0,IF(OR(INDEX($B154:$D154,L$5)="F",AND(L$6&gt;0,$A154&lt;L$6),AND(L$7&gt;0,$A154&gt;L$7)),0,MAX(0,ROUND((INDEX($E154:$G154,L$5)-SUMIFS(TF_Timer,TF_Tekniker,L$4,TF_Dato,$A154))*2,0)/2)))</f>
        <v/>
      </c>
      <c r="M154">
        <f>IF(OR(M$4="",$A154&gt;TODAY()),0,IF(OR(INDEX($B154:$D154,M$5)="F",AND(M$6&gt;0,$A154&lt;M$6),AND(M$7&gt;0,$A154&gt;M$7)),0,MAX(0,ROUND((INDEX($E154:$G154,M$5)-SUMIFS(TF_Timer,TF_Tekniker,M$4,TF_Dato,$A154))*2,0)/2)))</f>
        <v/>
      </c>
      <c r="N154">
        <f>IF(OR(N$4="",$A154&gt;TODAY()),0,IF(OR(INDEX($B154:$D154,N$5)="F",AND(N$6&gt;0,$A154&lt;N$6),AND(N$7&gt;0,$A154&gt;N$7)),0,MAX(0,ROUND((INDEX($E154:$G154,N$5)-SUMIFS(TF_Timer,TF_Tekniker,N$4,TF_Dato,$A154))*2,0)/2)))</f>
        <v/>
      </c>
      <c r="O154">
        <f>IF(OR(O$4="",$A154&gt;TODAY()),0,IF(OR(INDEX($B154:$D154,O$5)="F",AND(O$6&gt;0,$A154&lt;O$6),AND(O$7&gt;0,$A154&gt;O$7)),0,MAX(0,ROUND((INDEX($E154:$G154,O$5)-SUMIFS(TF_Timer,TF_Tekniker,O$4,TF_Dato,$A154))*2,0)/2)))</f>
        <v/>
      </c>
      <c r="P154">
        <f>IF(OR(P$4="",$A154&gt;TODAY()),0,IF(OR(INDEX($B154:$D154,P$5)="F",AND(P$6&gt;0,$A154&lt;P$6),AND(P$7&gt;0,$A154&gt;P$7)),0,MAX(0,ROUND((INDEX($E154:$G154,P$5)-SUMIFS(TF_Timer,TF_Tekniker,P$4,TF_Dato,$A154))*2,0)/2)))</f>
        <v/>
      </c>
      <c r="Q154">
        <f>IF(OR(Q$4="",$A154&gt;TODAY()),0,IF(OR(INDEX($B154:$D154,Q$5)="F",AND(Q$6&gt;0,$A154&lt;Q$6),AND(Q$7&gt;0,$A154&gt;Q$7)),0,MAX(0,ROUND((INDEX($E154:$G154,Q$5)-SUMIFS(TF_Timer,TF_Tekniker,Q$4,TF_Dato,$A154))*2,0)/2)))</f>
        <v/>
      </c>
      <c r="R154">
        <f>IF(OR(R$4="",$A154&gt;TODAY()),0,IF(OR(INDEX($B154:$D154,R$5)="F",AND(R$6&gt;0,$A154&lt;R$6),AND(R$7&gt;0,$A154&gt;R$7)),0,MAX(0,ROUND((INDEX($E154:$G154,R$5)-SUMIFS(TF_Timer,TF_Tekniker,R$4,TF_Dato,$A154))*2,0)/2)))</f>
        <v/>
      </c>
      <c r="S154">
        <f>IF(OR(S$4="",$A154&gt;TODAY()),0,IF(OR(INDEX($B154:$D154,S$5)="F",AND(S$6&gt;0,$A154&lt;S$6),AND(S$7&gt;0,$A154&gt;S$7)),0,MAX(0,ROUND((INDEX($E154:$G154,S$5)-SUMIFS(TF_Timer,TF_Tekniker,S$4,TF_Dato,$A154))*2,0)/2)))</f>
        <v/>
      </c>
      <c r="T154">
        <f>IF(OR(T$4="",$A154&gt;TODAY()),0,IF(OR(INDEX($B154:$D154,T$5)="F",AND(T$6&gt;0,$A154&lt;T$6),AND(T$7&gt;0,$A154&gt;T$7)),0,MAX(0,ROUND((INDEX($E154:$G154,T$5)-SUMIFS(TF_Timer,TF_Tekniker,T$4,TF_Dato,$A154))*2,0)/2)))</f>
        <v/>
      </c>
      <c r="U154">
        <f>IF(OR(U$4="",$A154&gt;TODAY()),0,IF(OR(INDEX($B154:$D154,U$5)="F",AND(U$6&gt;0,$A154&lt;U$6),AND(U$7&gt;0,$A154&gt;U$7)),0,MAX(0,ROUND((INDEX($E154:$G154,U$5)-SUMIFS(TF_Timer,TF_Tekniker,U$4,TF_Dato,$A154))*2,0)/2)))</f>
        <v/>
      </c>
      <c r="V154">
        <f>IF(OR(V$4="",$A154&gt;TODAY()),0,IF(OR(INDEX($B154:$D154,V$5)="F",AND(V$6&gt;0,$A154&lt;V$6),AND(V$7&gt;0,$A154&gt;V$7)),0,MAX(0,ROUND((INDEX($E154:$G154,V$5)-SUMIFS(TF_Timer,TF_Tekniker,V$4,TF_Dato,$A154))*2,0)/2)))</f>
        <v/>
      </c>
      <c r="W154">
        <f>IF(OR(W$4="",$A154&gt;TODAY()),0,IF(OR(INDEX($B154:$D154,W$5)="F",AND(W$6&gt;0,$A154&lt;W$6),AND(W$7&gt;0,$A154&gt;W$7)),0,MAX(0,ROUND((INDEX($E154:$G154,W$5)-SUMIFS(TF_Timer,TF_Tekniker,W$4,TF_Dato,$A154))*2,0)/2)))</f>
        <v/>
      </c>
      <c r="X154">
        <f>IF(OR(X$4="",$A154&gt;TODAY()),0,IF(OR(INDEX($B154:$D154,X$5)="F",AND(X$6&gt;0,$A154&lt;X$6),AND(X$7&gt;0,$A154&gt;X$7)),0,MAX(0,ROUND((INDEX($E154:$G154,X$5)-SUMIFS(TF_Timer,TF_Tekniker,X$4,TF_Dato,$A154))*2,0)/2)))</f>
        <v/>
      </c>
      <c r="Y154">
        <f>IF(OR(Y$4="",$A154&gt;TODAY()),0,IF(OR(INDEX($B154:$D154,Y$5)="F",AND(Y$6&gt;0,$A154&lt;Y$6),AND(Y$7&gt;0,$A154&gt;Y$7)),0,MAX(0,ROUND((INDEX($E154:$G154,Y$5)-SUMIFS(TF_Timer,TF_Tekniker,Y$4,TF_Dato,$A154))*2,0)/2)))</f>
        <v/>
      </c>
      <c r="Z154">
        <f>IF(OR(Z$4="",$A154&gt;TODAY()),0,IF(OR(INDEX($B154:$D154,Z$5)="F",AND(Z$6&gt;0,$A154&lt;Z$6),AND(Z$7&gt;0,$A154&gt;Z$7)),0,MAX(0,ROUND((INDEX($E154:$G154,Z$5)-SUMIFS(TF_Timer,TF_Tekniker,Z$4,TF_Dato,$A154))*2,0)/2)))</f>
        <v/>
      </c>
      <c r="AA154">
        <f>IF(OR(AA$4="",$A154&gt;TODAY()),0,IF(OR(INDEX($B154:$D154,AA$5)="F",AND(AA$6&gt;0,$A154&lt;AA$6),AND(AA$7&gt;0,$A154&gt;AA$7)),0,MAX(0,ROUND((INDEX($E154:$G154,AA$5)-SUMIFS(TF_Timer,TF_Tekniker,AA$4,TF_Dato,$A154))*2,0)/2)))</f>
        <v/>
      </c>
      <c r="AB154">
        <f>IF(OR(AB$4="",$A154&gt;TODAY()),0,IF(OR(INDEX($B154:$D154,AB$5)="F",AND(AB$6&gt;0,$A154&lt;AB$6),AND(AB$7&gt;0,$A154&gt;AB$7)),0,MAX(0,ROUND((INDEX($E154:$G154,AB$5)-SUMIFS(TF_Timer,TF_Tekniker,AB$4,TF_Dato,$A154))*2,0)/2)))</f>
        <v/>
      </c>
      <c r="AC154">
        <f>IF(OR(AC$4="",$A154&gt;TODAY()),0,IF(OR(INDEX($B154:$D154,AC$5)="F",AND(AC$6&gt;0,$A154&lt;AC$6),AND(AC$7&gt;0,$A154&gt;AC$7)),0,MAX(0,ROUND((INDEX($E154:$G154,AC$5)-SUMIFS(TF_Timer,TF_Tekniker,AC$4,TF_Dato,$A154))*2,0)/2)))</f>
        <v/>
      </c>
      <c r="AD154">
        <f>IF(OR(AD$4="",$A154&gt;TODAY()),0,IF(OR(INDEX($B154:$D154,AD$5)="F",AND(AD$6&gt;0,$A154&lt;AD$6),AND(AD$7&gt;0,$A154&gt;AD$7)),0,MAX(0,ROUND((INDEX($E154:$G154,AD$5)-SUMIFS(TF_Timer,TF_Tekniker,AD$4,TF_Dato,$A154))*2,0)/2)))</f>
        <v/>
      </c>
      <c r="AE154">
        <f>IF(OR(AE$4="",$A154&gt;TODAY()),0,IF(OR(INDEX($B154:$D154,AE$5)="F",AND(AE$6&gt;0,$A154&lt;AE$6),AND(AE$7&gt;0,$A154&gt;AE$7)),0,MAX(0,ROUND((INDEX($E154:$G154,AE$5)-SUMIFS(TF_Timer,TF_Tekniker,AE$4,TF_Dato,$A154))*2,0)/2)))</f>
        <v/>
      </c>
      <c r="AF154">
        <f>IF(OR(AF$4="",$A154&gt;TODAY()),0,IF(OR(INDEX($B154:$D154,AF$5)="F",AND(AF$6&gt;0,$A154&lt;AF$6),AND(AF$7&gt;0,$A154&gt;AF$7)),0,MAX(0,ROUND((INDEX($E154:$G154,AF$5)-SUMIFS(TF_Timer,TF_Tekniker,AF$4,TF_Dato,$A154))*2,0)/2)))</f>
        <v/>
      </c>
      <c r="AG154">
        <f>IF(OR(AG$4="",$A154&gt;TODAY()),0,IF(OR(INDEX($B154:$D154,AG$5)="F",AND(AG$6&gt;0,$A154&lt;AG$6),AND(AG$7&gt;0,$A154&gt;AG$7)),0,MAX(0,ROUND((INDEX($E154:$G154,AG$5)-SUMIFS(TF_Timer,TF_Tekniker,AG$4,TF_Dato,$A154))*2,0)/2)))</f>
        <v/>
      </c>
      <c r="AH154">
        <f>IF(OR(AH$4="",$A154&gt;TODAY()),0,IF(OR(INDEX($B154:$D154,AH$5)="F",AND(AH$6&gt;0,$A154&lt;AH$6),AND(AH$7&gt;0,$A154&gt;AH$7)),0,MAX(0,ROUND((INDEX($E154:$G154,AH$5)-SUMIFS(TF_Timer,TF_Tekniker,AH$4,TF_Dato,$A154))*2,0)/2)))</f>
        <v/>
      </c>
      <c r="AI154">
        <f>IF(OR(AI$4="",$A154&gt;TODAY()),0,IF(OR(INDEX($B154:$D154,AI$5)="F",AND(AI$6&gt;0,$A154&lt;AI$6),AND(AI$7&gt;0,$A154&gt;AI$7)),0,MAX(0,ROUND((INDEX($E154:$G154,AI$5)-SUMIFS(TF_Timer,TF_Tekniker,AI$4,TF_Dato,$A154))*2,0)/2)))</f>
        <v/>
      </c>
      <c r="AJ154">
        <f>IF(OR(AJ$4="",$A154&gt;TODAY()),0,IF(OR(INDEX($B154:$D154,AJ$5)="F",AND(AJ$6&gt;0,$A154&lt;AJ$6),AND(AJ$7&gt;0,$A154&gt;AJ$7)),0,MAX(0,ROUND((INDEX($E154:$G154,AJ$5)-SUMIFS(TF_Timer,TF_Tekniker,AJ$4,TF_Dato,$A154))*2,0)/2)))</f>
        <v/>
      </c>
      <c r="AK154">
        <f>IF(OR(AK$4="",$A154&gt;TODAY()),0,IF(OR(INDEX($B154:$D154,AK$5)="F",AND(AK$6&gt;0,$A154&lt;AK$6),AND(AK$7&gt;0,$A154&gt;AK$7)),0,MAX(0,ROUND((INDEX($E154:$G154,AK$5)-SUMIFS(TF_Timer,TF_Tekniker,AK$4,TF_Dato,$A154))*2,0)/2)))</f>
        <v/>
      </c>
      <c r="AL154">
        <f>IF(OR(AL$4="",$A154&gt;TODAY()),0,IF(OR(INDEX($B154:$D154,AL$5)="F",AND(AL$6&gt;0,$A154&lt;AL$6),AND(AL$7&gt;0,$A154&gt;AL$7)),0,MAX(0,ROUND((INDEX($E154:$G154,AL$5)-SUMIFS(TF_Timer,TF_Tekniker,AL$4,TF_Dato,$A154))*2,0)/2)))</f>
        <v/>
      </c>
      <c r="AM154">
        <f>IF(OR(AM$4="",$A154&gt;TODAY()),0,IF(OR(INDEX($B154:$D154,AM$5)="F",AND(AM$6&gt;0,$A154&lt;AM$6),AND(AM$7&gt;0,$A154&gt;AM$7)),0,MAX(0,ROUND((INDEX($E154:$G154,AM$5)-SUMIFS(TF_Timer,TF_Tekniker,AM$4,TF_Dato,$A154))*2,0)/2)))</f>
        <v/>
      </c>
      <c r="AN154">
        <f>IF(OR(AN$4="",$A154&gt;TODAY()),0,IF(OR(INDEX($B154:$D154,AN$5)="F",AND(AN$6&gt;0,$A154&lt;AN$6),AND(AN$7&gt;0,$A154&gt;AN$7)),0,MAX(0,ROUND((INDEX($E154:$G154,AN$5)-SUMIFS(TF_Timer,TF_Tekniker,AN$4,TF_Dato,$A154))*2,0)/2)))</f>
        <v/>
      </c>
      <c r="AO154">
        <f>IF(OR(AO$4="",$A154&gt;TODAY()),0,IF(OR(INDEX($B154:$D154,AO$5)="F",AND(AO$6&gt;0,$A154&lt;AO$6),AND(AO$7&gt;0,$A154&gt;AO$7)),0,MAX(0,ROUND((INDEX($E154:$G154,AO$5)-SUMIFS(TF_Timer,TF_Tekniker,AO$4,TF_Dato,$A154))*2,0)/2)))</f>
        <v/>
      </c>
      <c r="AP154">
        <f>IF(OR(AP$4="",$A154&gt;TODAY()),0,IF(OR(INDEX($B154:$D154,AP$5)="F",AND(AP$6&gt;0,$A154&lt;AP$6),AND(AP$7&gt;0,$A154&gt;AP$7)),0,MAX(0,ROUND((INDEX($E154:$G154,AP$5)-SUMIFS(TF_Timer,TF_Tekniker,AP$4,TF_Dato,$A154))*2,0)/2)))</f>
        <v/>
      </c>
      <c r="AQ154">
        <f>IF(OR(AQ$4="",$A154&gt;TODAY()),0,IF(OR(INDEX($B154:$D154,AQ$5)="F",AND(AQ$6&gt;0,$A154&lt;AQ$6),AND(AQ$7&gt;0,$A154&gt;AQ$7)),0,MAX(0,ROUND((INDEX($E154:$G154,AQ$5)-SUMIFS(TF_Timer,TF_Tekniker,AQ$4,TF_Dato,$A154))*2,0)/2)))</f>
        <v/>
      </c>
      <c r="AR154">
        <f>IF(OR(AR$4="",$A154&gt;TODAY()),0,IF(OR(INDEX($B154:$D154,AR$5)="F",AND(AR$6&gt;0,$A154&lt;AR$6),AND(AR$7&gt;0,$A154&gt;AR$7)),0,MAX(0,ROUND((INDEX($E154:$G154,AR$5)-SUMIFS(TF_Timer,TF_Tekniker,AR$4,TF_Dato,$A154))*2,0)/2)))</f>
        <v/>
      </c>
      <c r="AS154">
        <f>IF(OR(AS$4="",$A154&gt;TODAY()),0,IF(OR(INDEX($B154:$D154,AS$5)="F",AND(AS$6&gt;0,$A154&lt;AS$6),AND(AS$7&gt;0,$A154&gt;AS$7)),0,MAX(0,ROUND((INDEX($E154:$G154,AS$5)-SUMIFS(TF_Timer,TF_Tekniker,AS$4,TF_Dato,$A154))*2,0)/2)))</f>
        <v/>
      </c>
      <c r="AT154">
        <f>IF(OR(AT$4="",$A154&gt;TODAY()),0,IF(OR(INDEX($B154:$D154,AT$5)="F",AND(AT$6&gt;0,$A154&lt;AT$6),AND(AT$7&gt;0,$A154&gt;AT$7)),0,MAX(0,ROUND((INDEX($E154:$G154,AT$5)-SUMIFS(TF_Timer,TF_Tekniker,AT$4,TF_Dato,$A154))*2,0)/2)))</f>
        <v/>
      </c>
      <c r="AU154">
        <f>IF(OR(AU$4="",$A154&gt;TODAY()),0,IF(OR(INDEX($B154:$D154,AU$5)="F",AND(AU$6&gt;0,$A154&lt;AU$6),AND(AU$7&gt;0,$A154&gt;AU$7)),0,MAX(0,ROUND((INDEX($E154:$G154,AU$5)-SUMIFS(TF_Timer,TF_Tekniker,AU$4,TF_Dato,$A154))*2,0)/2)))</f>
        <v/>
      </c>
      <c r="AV154">
        <f>IF(OR(AV$4="",$A154&gt;TODAY()),0,IF(OR(INDEX($B154:$D154,AV$5)="F",AND(AV$6&gt;0,$A154&lt;AV$6),AND(AV$7&gt;0,$A154&gt;AV$7)),0,MAX(0,ROUND((INDEX($E154:$G154,AV$5)-SUMIFS(TF_Timer,TF_Tekniker,AV$4,TF_Dato,$A154))*2,0)/2)))</f>
        <v/>
      </c>
      <c r="AW154">
        <f>IF(OR(AW$4="",$A154&gt;TODAY()),0,IF(OR(INDEX($B154:$D154,AW$5)="F",AND(AW$6&gt;0,$A154&lt;AW$6),AND(AW$7&gt;0,$A154&gt;AW$7)),0,MAX(0,ROUND((INDEX($E154:$G154,AW$5)-SUMIFS(TF_Timer,TF_Tekniker,AW$4,TF_Dato,$A154))*2,0)/2)))</f>
        <v/>
      </c>
      <c r="AX154">
        <f>IF(OR(AX$4="",$A154&gt;TODAY()),0,IF(OR(INDEX($B154:$D154,AX$5)="F",AND(AX$6&gt;0,$A154&lt;AX$6),AND(AX$7&gt;0,$A154&gt;AX$7)),0,MAX(0,ROUND((INDEX($E154:$G154,AX$5)-SUMIFS(TF_Timer,TF_Tekniker,AX$4,TF_Dato,$A154))*2,0)/2)))</f>
        <v/>
      </c>
      <c r="AY154">
        <f>IF(OR(AY$4="",$A154&gt;TODAY()),0,IF(OR(INDEX($B154:$D154,AY$5)="F",AND(AY$6&gt;0,$A154&lt;AY$6),AND(AY$7&gt;0,$A154&gt;AY$7)),0,MAX(0,ROUND((INDEX($E154:$G154,AY$5)-SUMIFS(TF_Timer,TF_Tekniker,AY$4,TF_Dato,$A154))*2,0)/2)))</f>
        <v/>
      </c>
      <c r="AZ154">
        <f>IF(OR(AZ$4="",$A154&gt;TODAY()),0,IF(OR(INDEX($B154:$D154,AZ$5)="F",AND(AZ$6&gt;0,$A154&lt;AZ$6),AND(AZ$7&gt;0,$A154&gt;AZ$7)),0,MAX(0,ROUND((INDEX($E154:$G154,AZ$5)-SUMIFS(TF_Timer,TF_Tekniker,AZ$4,TF_Dato,$A154))*2,0)/2)))</f>
        <v/>
      </c>
      <c r="BA154">
        <f>IF(OR(BA$4="",$A154&gt;TODAY()),0,IF(OR(INDEX($B154:$D154,BA$5)="F",AND(BA$6&gt;0,$A154&lt;BA$6),AND(BA$7&gt;0,$A154&gt;BA$7)),0,MAX(0,ROUND((INDEX($E154:$G154,BA$5)-SUMIFS(TF_Timer,TF_Tekniker,BA$4,TF_Dato,$A154))*2,0)/2)))</f>
        <v/>
      </c>
      <c r="BB154">
        <f>IF(OR(BB$4="",$A154&gt;TODAY()),0,IF(OR(INDEX($B154:$D154,BB$5)="F",AND(BB$6&gt;0,$A154&lt;BB$6),AND(BB$7&gt;0,$A154&gt;BB$7)),0,MAX(0,ROUND((INDEX($E154:$G154,BB$5)-SUMIFS(TF_Timer,TF_Tekniker,BB$4,TF_Dato,$A154))*2,0)/2)))</f>
        <v/>
      </c>
      <c r="BC154">
        <f>IF(OR(BC$4="",$A154&gt;TODAY()),0,IF(OR(INDEX($B154:$D154,BC$5)="F",AND(BC$6&gt;0,$A154&lt;BC$6),AND(BC$7&gt;0,$A154&gt;BC$7)),0,MAX(0,ROUND((INDEX($E154:$G154,BC$5)-SUMIFS(TF_Timer,TF_Tekniker,BC$4,TF_Dato,$A154))*2,0)/2)))</f>
        <v/>
      </c>
      <c r="BD154">
        <f>IF(OR(BD$4="",$A154&gt;TODAY()),0,IF(OR(INDEX($B154:$D154,BD$5)="F",AND(BD$6&gt;0,$A154&lt;BD$6),AND(BD$7&gt;0,$A154&gt;BD$7)),0,MAX(0,ROUND((INDEX($E154:$G154,BD$5)-SUMIFS(TF_Timer,TF_Tekniker,BD$4,TF_Dato,$A154))*2,0)/2)))</f>
        <v/>
      </c>
      <c r="BE154">
        <f>IF(OR(BE$4="",$A154&gt;TODAY()),0,IF(OR(INDEX($B154:$D154,BE$5)="F",AND(BE$6&gt;0,$A154&lt;BE$6),AND(BE$7&gt;0,$A154&gt;BE$7)),0,MAX(0,ROUND((INDEX($E154:$G154,BE$5)-SUMIFS(TF_Timer,TF_Tekniker,BE$4,TF_Dato,$A154))*2,0)/2)))</f>
        <v/>
      </c>
      <c r="BF154">
        <f>IF(OR(BF$4="",$A154&gt;TODAY()),0,IF(OR(INDEX($B154:$D154,BF$5)="F",AND(BF$6&gt;0,$A154&lt;BF$6),AND(BF$7&gt;0,$A154&gt;BF$7)),0,MAX(0,ROUND((INDEX($E154:$G154,BF$5)-SUMIFS(TF_Timer,TF_Tekniker,BF$4,TF_Dato,$A154))*2,0)/2)))</f>
        <v/>
      </c>
      <c r="BG154">
        <f>IF(OR(BG$4="",$A154&gt;TODAY()),0,IF(OR(INDEX($B154:$D154,BG$5)="F",AND(BG$6&gt;0,$A154&lt;BG$6),AND(BG$7&gt;0,$A154&gt;BG$7)),0,MAX(0,ROUND((INDEX($E154:$G154,BG$5)-SUMIFS(TF_Timer,TF_Tekniker,BG$4,TF_Dato,$A154))*2,0)/2)))</f>
        <v/>
      </c>
      <c r="BH154">
        <f>IF(OR(BH$4="",$A154&gt;TODAY()),0,IF(OR(INDEX($B154:$D154,BH$5)="F",AND(BH$6&gt;0,$A154&lt;BH$6),AND(BH$7&gt;0,$A154&gt;BH$7)),0,MAX(0,ROUND((INDEX($E154:$G154,BH$5)-SUMIFS(TF_Timer,TF_Tekniker,BH$4,TF_Dato,$A154))*2,0)/2)))</f>
        <v/>
      </c>
      <c r="BI154">
        <f>IF(OR(BI$4="",$A154&gt;TODAY()),0,IF(OR(INDEX($B154:$D154,BI$5)="F",AND(BI$6&gt;0,$A154&lt;BI$6),AND(BI$7&gt;0,$A154&gt;BI$7)),0,MAX(0,ROUND((INDEX($E154:$G154,BI$5)-SUMIFS(TF_Timer,TF_Tekniker,BI$4,TF_Dato,$A154))*2,0)/2)))</f>
        <v/>
      </c>
    </row>
    <row r="155">
      <c r="A155" s="64">
        <f>A154+1</f>
        <v/>
      </c>
      <c r="B155">
        <f>IF(MOD($A155-INDEX(SkiftStart,1),Syklus)&lt;DagK,"K",IF(MOD($A155-INDEX(SkiftStart,1),Syklus)&lt;DagK+DagH,"H",IF(MOD($A155-INDEX(SkiftStart,1),Syklus)&lt;DagK+DagH+DagD,"D","F")))</f>
        <v/>
      </c>
      <c r="C155">
        <f>IF(MOD($A155-INDEX(SkiftStart,2),Syklus)&lt;DagK,"K",IF(MOD($A155-INDEX(SkiftStart,2),Syklus)&lt;DagK+DagH,"H",IF(MOD($A155-INDEX(SkiftStart,2),Syklus)&lt;DagK+DagH+DagD,"D","F")))</f>
        <v/>
      </c>
      <c r="D155">
        <f>IF(MOD($A155-INDEX(SkiftStart,3),Syklus)&lt;DagK,"K",IF(MOD($A155-INDEX(SkiftStart,3),Syklus)&lt;DagK+DagH,"H",IF(MOD($A155-INDEX(SkiftStart,3),Syklus)&lt;DagK+DagH+DagD,"D","F")))</f>
        <v/>
      </c>
      <c r="E155">
        <f>IF(B155="F",0,IF(WEEKDAY($A155,2)=5,INDEX(TimerFr,MATCH(B155,FaseKode,0)),INDEX(TimerMT,MATCH(B155,FaseKode,0))))</f>
        <v/>
      </c>
      <c r="F155">
        <f>IF(C155="F",0,IF(WEEKDAY($A155,2)=5,INDEX(TimerFr,MATCH(C155,FaseKode,0)),INDEX(TimerMT,MATCH(C155,FaseKode,0))))</f>
        <v/>
      </c>
      <c r="G155">
        <f>IF(D155="F",0,IF(WEEKDAY($A155,2)=5,INDEX(TimerFr,MATCH(D155,FaseKode,0)),INDEX(TimerMT,MATCH(D155,FaseKode,0))))</f>
        <v/>
      </c>
      <c r="H155">
        <f>IF(OR(H$4="",$A155&gt;TODAY()),0,IF(OR(INDEX($B155:$D155,H$5)="F",AND(H$6&gt;0,$A155&lt;H$6),AND(H$7&gt;0,$A155&gt;H$7)),0,MAX(0,ROUND((INDEX($E155:$G155,H$5)-SUMIFS(TF_Timer,TF_Tekniker,H$4,TF_Dato,$A155))*2,0)/2)))</f>
        <v/>
      </c>
      <c r="I155">
        <f>IF(OR(I$4="",$A155&gt;TODAY()),0,IF(OR(INDEX($B155:$D155,I$5)="F",AND(I$6&gt;0,$A155&lt;I$6),AND(I$7&gt;0,$A155&gt;I$7)),0,MAX(0,ROUND((INDEX($E155:$G155,I$5)-SUMIFS(TF_Timer,TF_Tekniker,I$4,TF_Dato,$A155))*2,0)/2)))</f>
        <v/>
      </c>
      <c r="J155">
        <f>IF(OR(J$4="",$A155&gt;TODAY()),0,IF(OR(INDEX($B155:$D155,J$5)="F",AND(J$6&gt;0,$A155&lt;J$6),AND(J$7&gt;0,$A155&gt;J$7)),0,MAX(0,ROUND((INDEX($E155:$G155,J$5)-SUMIFS(TF_Timer,TF_Tekniker,J$4,TF_Dato,$A155))*2,0)/2)))</f>
        <v/>
      </c>
      <c r="K155">
        <f>IF(OR(K$4="",$A155&gt;TODAY()),0,IF(OR(INDEX($B155:$D155,K$5)="F",AND(K$6&gt;0,$A155&lt;K$6),AND(K$7&gt;0,$A155&gt;K$7)),0,MAX(0,ROUND((INDEX($E155:$G155,K$5)-SUMIFS(TF_Timer,TF_Tekniker,K$4,TF_Dato,$A155))*2,0)/2)))</f>
        <v/>
      </c>
      <c r="L155">
        <f>IF(OR(L$4="",$A155&gt;TODAY()),0,IF(OR(INDEX($B155:$D155,L$5)="F",AND(L$6&gt;0,$A155&lt;L$6),AND(L$7&gt;0,$A155&gt;L$7)),0,MAX(0,ROUND((INDEX($E155:$G155,L$5)-SUMIFS(TF_Timer,TF_Tekniker,L$4,TF_Dato,$A155))*2,0)/2)))</f>
        <v/>
      </c>
      <c r="M155">
        <f>IF(OR(M$4="",$A155&gt;TODAY()),0,IF(OR(INDEX($B155:$D155,M$5)="F",AND(M$6&gt;0,$A155&lt;M$6),AND(M$7&gt;0,$A155&gt;M$7)),0,MAX(0,ROUND((INDEX($E155:$G155,M$5)-SUMIFS(TF_Timer,TF_Tekniker,M$4,TF_Dato,$A155))*2,0)/2)))</f>
        <v/>
      </c>
      <c r="N155">
        <f>IF(OR(N$4="",$A155&gt;TODAY()),0,IF(OR(INDEX($B155:$D155,N$5)="F",AND(N$6&gt;0,$A155&lt;N$6),AND(N$7&gt;0,$A155&gt;N$7)),0,MAX(0,ROUND((INDEX($E155:$G155,N$5)-SUMIFS(TF_Timer,TF_Tekniker,N$4,TF_Dato,$A155))*2,0)/2)))</f>
        <v/>
      </c>
      <c r="O155">
        <f>IF(OR(O$4="",$A155&gt;TODAY()),0,IF(OR(INDEX($B155:$D155,O$5)="F",AND(O$6&gt;0,$A155&lt;O$6),AND(O$7&gt;0,$A155&gt;O$7)),0,MAX(0,ROUND((INDEX($E155:$G155,O$5)-SUMIFS(TF_Timer,TF_Tekniker,O$4,TF_Dato,$A155))*2,0)/2)))</f>
        <v/>
      </c>
      <c r="P155">
        <f>IF(OR(P$4="",$A155&gt;TODAY()),0,IF(OR(INDEX($B155:$D155,P$5)="F",AND(P$6&gt;0,$A155&lt;P$6),AND(P$7&gt;0,$A155&gt;P$7)),0,MAX(0,ROUND((INDEX($E155:$G155,P$5)-SUMIFS(TF_Timer,TF_Tekniker,P$4,TF_Dato,$A155))*2,0)/2)))</f>
        <v/>
      </c>
      <c r="Q155">
        <f>IF(OR(Q$4="",$A155&gt;TODAY()),0,IF(OR(INDEX($B155:$D155,Q$5)="F",AND(Q$6&gt;0,$A155&lt;Q$6),AND(Q$7&gt;0,$A155&gt;Q$7)),0,MAX(0,ROUND((INDEX($E155:$G155,Q$5)-SUMIFS(TF_Timer,TF_Tekniker,Q$4,TF_Dato,$A155))*2,0)/2)))</f>
        <v/>
      </c>
      <c r="R155">
        <f>IF(OR(R$4="",$A155&gt;TODAY()),0,IF(OR(INDEX($B155:$D155,R$5)="F",AND(R$6&gt;0,$A155&lt;R$6),AND(R$7&gt;0,$A155&gt;R$7)),0,MAX(0,ROUND((INDEX($E155:$G155,R$5)-SUMIFS(TF_Timer,TF_Tekniker,R$4,TF_Dato,$A155))*2,0)/2)))</f>
        <v/>
      </c>
      <c r="S155">
        <f>IF(OR(S$4="",$A155&gt;TODAY()),0,IF(OR(INDEX($B155:$D155,S$5)="F",AND(S$6&gt;0,$A155&lt;S$6),AND(S$7&gt;0,$A155&gt;S$7)),0,MAX(0,ROUND((INDEX($E155:$G155,S$5)-SUMIFS(TF_Timer,TF_Tekniker,S$4,TF_Dato,$A155))*2,0)/2)))</f>
        <v/>
      </c>
      <c r="T155">
        <f>IF(OR(T$4="",$A155&gt;TODAY()),0,IF(OR(INDEX($B155:$D155,T$5)="F",AND(T$6&gt;0,$A155&lt;T$6),AND(T$7&gt;0,$A155&gt;T$7)),0,MAX(0,ROUND((INDEX($E155:$G155,T$5)-SUMIFS(TF_Timer,TF_Tekniker,T$4,TF_Dato,$A155))*2,0)/2)))</f>
        <v/>
      </c>
      <c r="U155">
        <f>IF(OR(U$4="",$A155&gt;TODAY()),0,IF(OR(INDEX($B155:$D155,U$5)="F",AND(U$6&gt;0,$A155&lt;U$6),AND(U$7&gt;0,$A155&gt;U$7)),0,MAX(0,ROUND((INDEX($E155:$G155,U$5)-SUMIFS(TF_Timer,TF_Tekniker,U$4,TF_Dato,$A155))*2,0)/2)))</f>
        <v/>
      </c>
      <c r="V155">
        <f>IF(OR(V$4="",$A155&gt;TODAY()),0,IF(OR(INDEX($B155:$D155,V$5)="F",AND(V$6&gt;0,$A155&lt;V$6),AND(V$7&gt;0,$A155&gt;V$7)),0,MAX(0,ROUND((INDEX($E155:$G155,V$5)-SUMIFS(TF_Timer,TF_Tekniker,V$4,TF_Dato,$A155))*2,0)/2)))</f>
        <v/>
      </c>
      <c r="W155">
        <f>IF(OR(W$4="",$A155&gt;TODAY()),0,IF(OR(INDEX($B155:$D155,W$5)="F",AND(W$6&gt;0,$A155&lt;W$6),AND(W$7&gt;0,$A155&gt;W$7)),0,MAX(0,ROUND((INDEX($E155:$G155,W$5)-SUMIFS(TF_Timer,TF_Tekniker,W$4,TF_Dato,$A155))*2,0)/2)))</f>
        <v/>
      </c>
      <c r="X155">
        <f>IF(OR(X$4="",$A155&gt;TODAY()),0,IF(OR(INDEX($B155:$D155,X$5)="F",AND(X$6&gt;0,$A155&lt;X$6),AND(X$7&gt;0,$A155&gt;X$7)),0,MAX(0,ROUND((INDEX($E155:$G155,X$5)-SUMIFS(TF_Timer,TF_Tekniker,X$4,TF_Dato,$A155))*2,0)/2)))</f>
        <v/>
      </c>
      <c r="Y155">
        <f>IF(OR(Y$4="",$A155&gt;TODAY()),0,IF(OR(INDEX($B155:$D155,Y$5)="F",AND(Y$6&gt;0,$A155&lt;Y$6),AND(Y$7&gt;0,$A155&gt;Y$7)),0,MAX(0,ROUND((INDEX($E155:$G155,Y$5)-SUMIFS(TF_Timer,TF_Tekniker,Y$4,TF_Dato,$A155))*2,0)/2)))</f>
        <v/>
      </c>
      <c r="Z155">
        <f>IF(OR(Z$4="",$A155&gt;TODAY()),0,IF(OR(INDEX($B155:$D155,Z$5)="F",AND(Z$6&gt;0,$A155&lt;Z$6),AND(Z$7&gt;0,$A155&gt;Z$7)),0,MAX(0,ROUND((INDEX($E155:$G155,Z$5)-SUMIFS(TF_Timer,TF_Tekniker,Z$4,TF_Dato,$A155))*2,0)/2)))</f>
        <v/>
      </c>
      <c r="AA155">
        <f>IF(OR(AA$4="",$A155&gt;TODAY()),0,IF(OR(INDEX($B155:$D155,AA$5)="F",AND(AA$6&gt;0,$A155&lt;AA$6),AND(AA$7&gt;0,$A155&gt;AA$7)),0,MAX(0,ROUND((INDEX($E155:$G155,AA$5)-SUMIFS(TF_Timer,TF_Tekniker,AA$4,TF_Dato,$A155))*2,0)/2)))</f>
        <v/>
      </c>
      <c r="AB155">
        <f>IF(OR(AB$4="",$A155&gt;TODAY()),0,IF(OR(INDEX($B155:$D155,AB$5)="F",AND(AB$6&gt;0,$A155&lt;AB$6),AND(AB$7&gt;0,$A155&gt;AB$7)),0,MAX(0,ROUND((INDEX($E155:$G155,AB$5)-SUMIFS(TF_Timer,TF_Tekniker,AB$4,TF_Dato,$A155))*2,0)/2)))</f>
        <v/>
      </c>
      <c r="AC155">
        <f>IF(OR(AC$4="",$A155&gt;TODAY()),0,IF(OR(INDEX($B155:$D155,AC$5)="F",AND(AC$6&gt;0,$A155&lt;AC$6),AND(AC$7&gt;0,$A155&gt;AC$7)),0,MAX(0,ROUND((INDEX($E155:$G155,AC$5)-SUMIFS(TF_Timer,TF_Tekniker,AC$4,TF_Dato,$A155))*2,0)/2)))</f>
        <v/>
      </c>
      <c r="AD155">
        <f>IF(OR(AD$4="",$A155&gt;TODAY()),0,IF(OR(INDEX($B155:$D155,AD$5)="F",AND(AD$6&gt;0,$A155&lt;AD$6),AND(AD$7&gt;0,$A155&gt;AD$7)),0,MAX(0,ROUND((INDEX($E155:$G155,AD$5)-SUMIFS(TF_Timer,TF_Tekniker,AD$4,TF_Dato,$A155))*2,0)/2)))</f>
        <v/>
      </c>
      <c r="AE155">
        <f>IF(OR(AE$4="",$A155&gt;TODAY()),0,IF(OR(INDEX($B155:$D155,AE$5)="F",AND(AE$6&gt;0,$A155&lt;AE$6),AND(AE$7&gt;0,$A155&gt;AE$7)),0,MAX(0,ROUND((INDEX($E155:$G155,AE$5)-SUMIFS(TF_Timer,TF_Tekniker,AE$4,TF_Dato,$A155))*2,0)/2)))</f>
        <v/>
      </c>
      <c r="AF155">
        <f>IF(OR(AF$4="",$A155&gt;TODAY()),0,IF(OR(INDEX($B155:$D155,AF$5)="F",AND(AF$6&gt;0,$A155&lt;AF$6),AND(AF$7&gt;0,$A155&gt;AF$7)),0,MAX(0,ROUND((INDEX($E155:$G155,AF$5)-SUMIFS(TF_Timer,TF_Tekniker,AF$4,TF_Dato,$A155))*2,0)/2)))</f>
        <v/>
      </c>
      <c r="AG155">
        <f>IF(OR(AG$4="",$A155&gt;TODAY()),0,IF(OR(INDEX($B155:$D155,AG$5)="F",AND(AG$6&gt;0,$A155&lt;AG$6),AND(AG$7&gt;0,$A155&gt;AG$7)),0,MAX(0,ROUND((INDEX($E155:$G155,AG$5)-SUMIFS(TF_Timer,TF_Tekniker,AG$4,TF_Dato,$A155))*2,0)/2)))</f>
        <v/>
      </c>
      <c r="AH155">
        <f>IF(OR(AH$4="",$A155&gt;TODAY()),0,IF(OR(INDEX($B155:$D155,AH$5)="F",AND(AH$6&gt;0,$A155&lt;AH$6),AND(AH$7&gt;0,$A155&gt;AH$7)),0,MAX(0,ROUND((INDEX($E155:$G155,AH$5)-SUMIFS(TF_Timer,TF_Tekniker,AH$4,TF_Dato,$A155))*2,0)/2)))</f>
        <v/>
      </c>
      <c r="AI155">
        <f>IF(OR(AI$4="",$A155&gt;TODAY()),0,IF(OR(INDEX($B155:$D155,AI$5)="F",AND(AI$6&gt;0,$A155&lt;AI$6),AND(AI$7&gt;0,$A155&gt;AI$7)),0,MAX(0,ROUND((INDEX($E155:$G155,AI$5)-SUMIFS(TF_Timer,TF_Tekniker,AI$4,TF_Dato,$A155))*2,0)/2)))</f>
        <v/>
      </c>
      <c r="AJ155">
        <f>IF(OR(AJ$4="",$A155&gt;TODAY()),0,IF(OR(INDEX($B155:$D155,AJ$5)="F",AND(AJ$6&gt;0,$A155&lt;AJ$6),AND(AJ$7&gt;0,$A155&gt;AJ$7)),0,MAX(0,ROUND((INDEX($E155:$G155,AJ$5)-SUMIFS(TF_Timer,TF_Tekniker,AJ$4,TF_Dato,$A155))*2,0)/2)))</f>
        <v/>
      </c>
      <c r="AK155">
        <f>IF(OR(AK$4="",$A155&gt;TODAY()),0,IF(OR(INDEX($B155:$D155,AK$5)="F",AND(AK$6&gt;0,$A155&lt;AK$6),AND(AK$7&gt;0,$A155&gt;AK$7)),0,MAX(0,ROUND((INDEX($E155:$G155,AK$5)-SUMIFS(TF_Timer,TF_Tekniker,AK$4,TF_Dato,$A155))*2,0)/2)))</f>
        <v/>
      </c>
      <c r="AL155">
        <f>IF(OR(AL$4="",$A155&gt;TODAY()),0,IF(OR(INDEX($B155:$D155,AL$5)="F",AND(AL$6&gt;0,$A155&lt;AL$6),AND(AL$7&gt;0,$A155&gt;AL$7)),0,MAX(0,ROUND((INDEX($E155:$G155,AL$5)-SUMIFS(TF_Timer,TF_Tekniker,AL$4,TF_Dato,$A155))*2,0)/2)))</f>
        <v/>
      </c>
      <c r="AM155">
        <f>IF(OR(AM$4="",$A155&gt;TODAY()),0,IF(OR(INDEX($B155:$D155,AM$5)="F",AND(AM$6&gt;0,$A155&lt;AM$6),AND(AM$7&gt;0,$A155&gt;AM$7)),0,MAX(0,ROUND((INDEX($E155:$G155,AM$5)-SUMIFS(TF_Timer,TF_Tekniker,AM$4,TF_Dato,$A155))*2,0)/2)))</f>
        <v/>
      </c>
      <c r="AN155">
        <f>IF(OR(AN$4="",$A155&gt;TODAY()),0,IF(OR(INDEX($B155:$D155,AN$5)="F",AND(AN$6&gt;0,$A155&lt;AN$6),AND(AN$7&gt;0,$A155&gt;AN$7)),0,MAX(0,ROUND((INDEX($E155:$G155,AN$5)-SUMIFS(TF_Timer,TF_Tekniker,AN$4,TF_Dato,$A155))*2,0)/2)))</f>
        <v/>
      </c>
      <c r="AO155">
        <f>IF(OR(AO$4="",$A155&gt;TODAY()),0,IF(OR(INDEX($B155:$D155,AO$5)="F",AND(AO$6&gt;0,$A155&lt;AO$6),AND(AO$7&gt;0,$A155&gt;AO$7)),0,MAX(0,ROUND((INDEX($E155:$G155,AO$5)-SUMIFS(TF_Timer,TF_Tekniker,AO$4,TF_Dato,$A155))*2,0)/2)))</f>
        <v/>
      </c>
      <c r="AP155">
        <f>IF(OR(AP$4="",$A155&gt;TODAY()),0,IF(OR(INDEX($B155:$D155,AP$5)="F",AND(AP$6&gt;0,$A155&lt;AP$6),AND(AP$7&gt;0,$A155&gt;AP$7)),0,MAX(0,ROUND((INDEX($E155:$G155,AP$5)-SUMIFS(TF_Timer,TF_Tekniker,AP$4,TF_Dato,$A155))*2,0)/2)))</f>
        <v/>
      </c>
      <c r="AQ155">
        <f>IF(OR(AQ$4="",$A155&gt;TODAY()),0,IF(OR(INDEX($B155:$D155,AQ$5)="F",AND(AQ$6&gt;0,$A155&lt;AQ$6),AND(AQ$7&gt;0,$A155&gt;AQ$7)),0,MAX(0,ROUND((INDEX($E155:$G155,AQ$5)-SUMIFS(TF_Timer,TF_Tekniker,AQ$4,TF_Dato,$A155))*2,0)/2)))</f>
        <v/>
      </c>
      <c r="AR155">
        <f>IF(OR(AR$4="",$A155&gt;TODAY()),0,IF(OR(INDEX($B155:$D155,AR$5)="F",AND(AR$6&gt;0,$A155&lt;AR$6),AND(AR$7&gt;0,$A155&gt;AR$7)),0,MAX(0,ROUND((INDEX($E155:$G155,AR$5)-SUMIFS(TF_Timer,TF_Tekniker,AR$4,TF_Dato,$A155))*2,0)/2)))</f>
        <v/>
      </c>
      <c r="AS155">
        <f>IF(OR(AS$4="",$A155&gt;TODAY()),0,IF(OR(INDEX($B155:$D155,AS$5)="F",AND(AS$6&gt;0,$A155&lt;AS$6),AND(AS$7&gt;0,$A155&gt;AS$7)),0,MAX(0,ROUND((INDEX($E155:$G155,AS$5)-SUMIFS(TF_Timer,TF_Tekniker,AS$4,TF_Dato,$A155))*2,0)/2)))</f>
        <v/>
      </c>
      <c r="AT155">
        <f>IF(OR(AT$4="",$A155&gt;TODAY()),0,IF(OR(INDEX($B155:$D155,AT$5)="F",AND(AT$6&gt;0,$A155&lt;AT$6),AND(AT$7&gt;0,$A155&gt;AT$7)),0,MAX(0,ROUND((INDEX($E155:$G155,AT$5)-SUMIFS(TF_Timer,TF_Tekniker,AT$4,TF_Dato,$A155))*2,0)/2)))</f>
        <v/>
      </c>
      <c r="AU155">
        <f>IF(OR(AU$4="",$A155&gt;TODAY()),0,IF(OR(INDEX($B155:$D155,AU$5)="F",AND(AU$6&gt;0,$A155&lt;AU$6),AND(AU$7&gt;0,$A155&gt;AU$7)),0,MAX(0,ROUND((INDEX($E155:$G155,AU$5)-SUMIFS(TF_Timer,TF_Tekniker,AU$4,TF_Dato,$A155))*2,0)/2)))</f>
        <v/>
      </c>
      <c r="AV155">
        <f>IF(OR(AV$4="",$A155&gt;TODAY()),0,IF(OR(INDEX($B155:$D155,AV$5)="F",AND(AV$6&gt;0,$A155&lt;AV$6),AND(AV$7&gt;0,$A155&gt;AV$7)),0,MAX(0,ROUND((INDEX($E155:$G155,AV$5)-SUMIFS(TF_Timer,TF_Tekniker,AV$4,TF_Dato,$A155))*2,0)/2)))</f>
        <v/>
      </c>
      <c r="AW155">
        <f>IF(OR(AW$4="",$A155&gt;TODAY()),0,IF(OR(INDEX($B155:$D155,AW$5)="F",AND(AW$6&gt;0,$A155&lt;AW$6),AND(AW$7&gt;0,$A155&gt;AW$7)),0,MAX(0,ROUND((INDEX($E155:$G155,AW$5)-SUMIFS(TF_Timer,TF_Tekniker,AW$4,TF_Dato,$A155))*2,0)/2)))</f>
        <v/>
      </c>
      <c r="AX155">
        <f>IF(OR(AX$4="",$A155&gt;TODAY()),0,IF(OR(INDEX($B155:$D155,AX$5)="F",AND(AX$6&gt;0,$A155&lt;AX$6),AND(AX$7&gt;0,$A155&gt;AX$7)),0,MAX(0,ROUND((INDEX($E155:$G155,AX$5)-SUMIFS(TF_Timer,TF_Tekniker,AX$4,TF_Dato,$A155))*2,0)/2)))</f>
        <v/>
      </c>
      <c r="AY155">
        <f>IF(OR(AY$4="",$A155&gt;TODAY()),0,IF(OR(INDEX($B155:$D155,AY$5)="F",AND(AY$6&gt;0,$A155&lt;AY$6),AND(AY$7&gt;0,$A155&gt;AY$7)),0,MAX(0,ROUND((INDEX($E155:$G155,AY$5)-SUMIFS(TF_Timer,TF_Tekniker,AY$4,TF_Dato,$A155))*2,0)/2)))</f>
        <v/>
      </c>
      <c r="AZ155">
        <f>IF(OR(AZ$4="",$A155&gt;TODAY()),0,IF(OR(INDEX($B155:$D155,AZ$5)="F",AND(AZ$6&gt;0,$A155&lt;AZ$6),AND(AZ$7&gt;0,$A155&gt;AZ$7)),0,MAX(0,ROUND((INDEX($E155:$G155,AZ$5)-SUMIFS(TF_Timer,TF_Tekniker,AZ$4,TF_Dato,$A155))*2,0)/2)))</f>
        <v/>
      </c>
      <c r="BA155">
        <f>IF(OR(BA$4="",$A155&gt;TODAY()),0,IF(OR(INDEX($B155:$D155,BA$5)="F",AND(BA$6&gt;0,$A155&lt;BA$6),AND(BA$7&gt;0,$A155&gt;BA$7)),0,MAX(0,ROUND((INDEX($E155:$G155,BA$5)-SUMIFS(TF_Timer,TF_Tekniker,BA$4,TF_Dato,$A155))*2,0)/2)))</f>
        <v/>
      </c>
      <c r="BB155">
        <f>IF(OR(BB$4="",$A155&gt;TODAY()),0,IF(OR(INDEX($B155:$D155,BB$5)="F",AND(BB$6&gt;0,$A155&lt;BB$6),AND(BB$7&gt;0,$A155&gt;BB$7)),0,MAX(0,ROUND((INDEX($E155:$G155,BB$5)-SUMIFS(TF_Timer,TF_Tekniker,BB$4,TF_Dato,$A155))*2,0)/2)))</f>
        <v/>
      </c>
      <c r="BC155">
        <f>IF(OR(BC$4="",$A155&gt;TODAY()),0,IF(OR(INDEX($B155:$D155,BC$5)="F",AND(BC$6&gt;0,$A155&lt;BC$6),AND(BC$7&gt;0,$A155&gt;BC$7)),0,MAX(0,ROUND((INDEX($E155:$G155,BC$5)-SUMIFS(TF_Timer,TF_Tekniker,BC$4,TF_Dato,$A155))*2,0)/2)))</f>
        <v/>
      </c>
      <c r="BD155">
        <f>IF(OR(BD$4="",$A155&gt;TODAY()),0,IF(OR(INDEX($B155:$D155,BD$5)="F",AND(BD$6&gt;0,$A155&lt;BD$6),AND(BD$7&gt;0,$A155&gt;BD$7)),0,MAX(0,ROUND((INDEX($E155:$G155,BD$5)-SUMIFS(TF_Timer,TF_Tekniker,BD$4,TF_Dato,$A155))*2,0)/2)))</f>
        <v/>
      </c>
      <c r="BE155">
        <f>IF(OR(BE$4="",$A155&gt;TODAY()),0,IF(OR(INDEX($B155:$D155,BE$5)="F",AND(BE$6&gt;0,$A155&lt;BE$6),AND(BE$7&gt;0,$A155&gt;BE$7)),0,MAX(0,ROUND((INDEX($E155:$G155,BE$5)-SUMIFS(TF_Timer,TF_Tekniker,BE$4,TF_Dato,$A155))*2,0)/2)))</f>
        <v/>
      </c>
      <c r="BF155">
        <f>IF(OR(BF$4="",$A155&gt;TODAY()),0,IF(OR(INDEX($B155:$D155,BF$5)="F",AND(BF$6&gt;0,$A155&lt;BF$6),AND(BF$7&gt;0,$A155&gt;BF$7)),0,MAX(0,ROUND((INDEX($E155:$G155,BF$5)-SUMIFS(TF_Timer,TF_Tekniker,BF$4,TF_Dato,$A155))*2,0)/2)))</f>
        <v/>
      </c>
      <c r="BG155">
        <f>IF(OR(BG$4="",$A155&gt;TODAY()),0,IF(OR(INDEX($B155:$D155,BG$5)="F",AND(BG$6&gt;0,$A155&lt;BG$6),AND(BG$7&gt;0,$A155&gt;BG$7)),0,MAX(0,ROUND((INDEX($E155:$G155,BG$5)-SUMIFS(TF_Timer,TF_Tekniker,BG$4,TF_Dato,$A155))*2,0)/2)))</f>
        <v/>
      </c>
      <c r="BH155">
        <f>IF(OR(BH$4="",$A155&gt;TODAY()),0,IF(OR(INDEX($B155:$D155,BH$5)="F",AND(BH$6&gt;0,$A155&lt;BH$6),AND(BH$7&gt;0,$A155&gt;BH$7)),0,MAX(0,ROUND((INDEX($E155:$G155,BH$5)-SUMIFS(TF_Timer,TF_Tekniker,BH$4,TF_Dato,$A155))*2,0)/2)))</f>
        <v/>
      </c>
      <c r="BI155">
        <f>IF(OR(BI$4="",$A155&gt;TODAY()),0,IF(OR(INDEX($B155:$D155,BI$5)="F",AND(BI$6&gt;0,$A155&lt;BI$6),AND(BI$7&gt;0,$A155&gt;BI$7)),0,MAX(0,ROUND((INDEX($E155:$G155,BI$5)-SUMIFS(TF_Timer,TF_Tekniker,BI$4,TF_Dato,$A155))*2,0)/2)))</f>
        <v/>
      </c>
    </row>
    <row r="156">
      <c r="A156" s="64">
        <f>A155+1</f>
        <v/>
      </c>
      <c r="B156">
        <f>IF(MOD($A156-INDEX(SkiftStart,1),Syklus)&lt;DagK,"K",IF(MOD($A156-INDEX(SkiftStart,1),Syklus)&lt;DagK+DagH,"H",IF(MOD($A156-INDEX(SkiftStart,1),Syklus)&lt;DagK+DagH+DagD,"D","F")))</f>
        <v/>
      </c>
      <c r="C156">
        <f>IF(MOD($A156-INDEX(SkiftStart,2),Syklus)&lt;DagK,"K",IF(MOD($A156-INDEX(SkiftStart,2),Syklus)&lt;DagK+DagH,"H",IF(MOD($A156-INDEX(SkiftStart,2),Syklus)&lt;DagK+DagH+DagD,"D","F")))</f>
        <v/>
      </c>
      <c r="D156">
        <f>IF(MOD($A156-INDEX(SkiftStart,3),Syklus)&lt;DagK,"K",IF(MOD($A156-INDEX(SkiftStart,3),Syklus)&lt;DagK+DagH,"H",IF(MOD($A156-INDEX(SkiftStart,3),Syklus)&lt;DagK+DagH+DagD,"D","F")))</f>
        <v/>
      </c>
      <c r="E156">
        <f>IF(B156="F",0,IF(WEEKDAY($A156,2)=5,INDEX(TimerFr,MATCH(B156,FaseKode,0)),INDEX(TimerMT,MATCH(B156,FaseKode,0))))</f>
        <v/>
      </c>
      <c r="F156">
        <f>IF(C156="F",0,IF(WEEKDAY($A156,2)=5,INDEX(TimerFr,MATCH(C156,FaseKode,0)),INDEX(TimerMT,MATCH(C156,FaseKode,0))))</f>
        <v/>
      </c>
      <c r="G156">
        <f>IF(D156="F",0,IF(WEEKDAY($A156,2)=5,INDEX(TimerFr,MATCH(D156,FaseKode,0)),INDEX(TimerMT,MATCH(D156,FaseKode,0))))</f>
        <v/>
      </c>
      <c r="H156">
        <f>IF(OR(H$4="",$A156&gt;TODAY()),0,IF(OR(INDEX($B156:$D156,H$5)="F",AND(H$6&gt;0,$A156&lt;H$6),AND(H$7&gt;0,$A156&gt;H$7)),0,MAX(0,ROUND((INDEX($E156:$G156,H$5)-SUMIFS(TF_Timer,TF_Tekniker,H$4,TF_Dato,$A156))*2,0)/2)))</f>
        <v/>
      </c>
      <c r="I156">
        <f>IF(OR(I$4="",$A156&gt;TODAY()),0,IF(OR(INDEX($B156:$D156,I$5)="F",AND(I$6&gt;0,$A156&lt;I$6),AND(I$7&gt;0,$A156&gt;I$7)),0,MAX(0,ROUND((INDEX($E156:$G156,I$5)-SUMIFS(TF_Timer,TF_Tekniker,I$4,TF_Dato,$A156))*2,0)/2)))</f>
        <v/>
      </c>
      <c r="J156">
        <f>IF(OR(J$4="",$A156&gt;TODAY()),0,IF(OR(INDEX($B156:$D156,J$5)="F",AND(J$6&gt;0,$A156&lt;J$6),AND(J$7&gt;0,$A156&gt;J$7)),0,MAX(0,ROUND((INDEX($E156:$G156,J$5)-SUMIFS(TF_Timer,TF_Tekniker,J$4,TF_Dato,$A156))*2,0)/2)))</f>
        <v/>
      </c>
      <c r="K156">
        <f>IF(OR(K$4="",$A156&gt;TODAY()),0,IF(OR(INDEX($B156:$D156,K$5)="F",AND(K$6&gt;0,$A156&lt;K$6),AND(K$7&gt;0,$A156&gt;K$7)),0,MAX(0,ROUND((INDEX($E156:$G156,K$5)-SUMIFS(TF_Timer,TF_Tekniker,K$4,TF_Dato,$A156))*2,0)/2)))</f>
        <v/>
      </c>
      <c r="L156">
        <f>IF(OR(L$4="",$A156&gt;TODAY()),0,IF(OR(INDEX($B156:$D156,L$5)="F",AND(L$6&gt;0,$A156&lt;L$6),AND(L$7&gt;0,$A156&gt;L$7)),0,MAX(0,ROUND((INDEX($E156:$G156,L$5)-SUMIFS(TF_Timer,TF_Tekniker,L$4,TF_Dato,$A156))*2,0)/2)))</f>
        <v/>
      </c>
      <c r="M156">
        <f>IF(OR(M$4="",$A156&gt;TODAY()),0,IF(OR(INDEX($B156:$D156,M$5)="F",AND(M$6&gt;0,$A156&lt;M$6),AND(M$7&gt;0,$A156&gt;M$7)),0,MAX(0,ROUND((INDEX($E156:$G156,M$5)-SUMIFS(TF_Timer,TF_Tekniker,M$4,TF_Dato,$A156))*2,0)/2)))</f>
        <v/>
      </c>
      <c r="N156">
        <f>IF(OR(N$4="",$A156&gt;TODAY()),0,IF(OR(INDEX($B156:$D156,N$5)="F",AND(N$6&gt;0,$A156&lt;N$6),AND(N$7&gt;0,$A156&gt;N$7)),0,MAX(0,ROUND((INDEX($E156:$G156,N$5)-SUMIFS(TF_Timer,TF_Tekniker,N$4,TF_Dato,$A156))*2,0)/2)))</f>
        <v/>
      </c>
      <c r="O156">
        <f>IF(OR(O$4="",$A156&gt;TODAY()),0,IF(OR(INDEX($B156:$D156,O$5)="F",AND(O$6&gt;0,$A156&lt;O$6),AND(O$7&gt;0,$A156&gt;O$7)),0,MAX(0,ROUND((INDEX($E156:$G156,O$5)-SUMIFS(TF_Timer,TF_Tekniker,O$4,TF_Dato,$A156))*2,0)/2)))</f>
        <v/>
      </c>
      <c r="P156">
        <f>IF(OR(P$4="",$A156&gt;TODAY()),0,IF(OR(INDEX($B156:$D156,P$5)="F",AND(P$6&gt;0,$A156&lt;P$6),AND(P$7&gt;0,$A156&gt;P$7)),0,MAX(0,ROUND((INDEX($E156:$G156,P$5)-SUMIFS(TF_Timer,TF_Tekniker,P$4,TF_Dato,$A156))*2,0)/2)))</f>
        <v/>
      </c>
      <c r="Q156">
        <f>IF(OR(Q$4="",$A156&gt;TODAY()),0,IF(OR(INDEX($B156:$D156,Q$5)="F",AND(Q$6&gt;0,$A156&lt;Q$6),AND(Q$7&gt;0,$A156&gt;Q$7)),0,MAX(0,ROUND((INDEX($E156:$G156,Q$5)-SUMIFS(TF_Timer,TF_Tekniker,Q$4,TF_Dato,$A156))*2,0)/2)))</f>
        <v/>
      </c>
      <c r="R156">
        <f>IF(OR(R$4="",$A156&gt;TODAY()),0,IF(OR(INDEX($B156:$D156,R$5)="F",AND(R$6&gt;0,$A156&lt;R$6),AND(R$7&gt;0,$A156&gt;R$7)),0,MAX(0,ROUND((INDEX($E156:$G156,R$5)-SUMIFS(TF_Timer,TF_Tekniker,R$4,TF_Dato,$A156))*2,0)/2)))</f>
        <v/>
      </c>
      <c r="S156">
        <f>IF(OR(S$4="",$A156&gt;TODAY()),0,IF(OR(INDEX($B156:$D156,S$5)="F",AND(S$6&gt;0,$A156&lt;S$6),AND(S$7&gt;0,$A156&gt;S$7)),0,MAX(0,ROUND((INDEX($E156:$G156,S$5)-SUMIFS(TF_Timer,TF_Tekniker,S$4,TF_Dato,$A156))*2,0)/2)))</f>
        <v/>
      </c>
      <c r="T156">
        <f>IF(OR(T$4="",$A156&gt;TODAY()),0,IF(OR(INDEX($B156:$D156,T$5)="F",AND(T$6&gt;0,$A156&lt;T$6),AND(T$7&gt;0,$A156&gt;T$7)),0,MAX(0,ROUND((INDEX($E156:$G156,T$5)-SUMIFS(TF_Timer,TF_Tekniker,T$4,TF_Dato,$A156))*2,0)/2)))</f>
        <v/>
      </c>
      <c r="U156">
        <f>IF(OR(U$4="",$A156&gt;TODAY()),0,IF(OR(INDEX($B156:$D156,U$5)="F",AND(U$6&gt;0,$A156&lt;U$6),AND(U$7&gt;0,$A156&gt;U$7)),0,MAX(0,ROUND((INDEX($E156:$G156,U$5)-SUMIFS(TF_Timer,TF_Tekniker,U$4,TF_Dato,$A156))*2,0)/2)))</f>
        <v/>
      </c>
      <c r="V156">
        <f>IF(OR(V$4="",$A156&gt;TODAY()),0,IF(OR(INDEX($B156:$D156,V$5)="F",AND(V$6&gt;0,$A156&lt;V$6),AND(V$7&gt;0,$A156&gt;V$7)),0,MAX(0,ROUND((INDEX($E156:$G156,V$5)-SUMIFS(TF_Timer,TF_Tekniker,V$4,TF_Dato,$A156))*2,0)/2)))</f>
        <v/>
      </c>
      <c r="W156">
        <f>IF(OR(W$4="",$A156&gt;TODAY()),0,IF(OR(INDEX($B156:$D156,W$5)="F",AND(W$6&gt;0,$A156&lt;W$6),AND(W$7&gt;0,$A156&gt;W$7)),0,MAX(0,ROUND((INDEX($E156:$G156,W$5)-SUMIFS(TF_Timer,TF_Tekniker,W$4,TF_Dato,$A156))*2,0)/2)))</f>
        <v/>
      </c>
      <c r="X156">
        <f>IF(OR(X$4="",$A156&gt;TODAY()),0,IF(OR(INDEX($B156:$D156,X$5)="F",AND(X$6&gt;0,$A156&lt;X$6),AND(X$7&gt;0,$A156&gt;X$7)),0,MAX(0,ROUND((INDEX($E156:$G156,X$5)-SUMIFS(TF_Timer,TF_Tekniker,X$4,TF_Dato,$A156))*2,0)/2)))</f>
        <v/>
      </c>
      <c r="Y156">
        <f>IF(OR(Y$4="",$A156&gt;TODAY()),0,IF(OR(INDEX($B156:$D156,Y$5)="F",AND(Y$6&gt;0,$A156&lt;Y$6),AND(Y$7&gt;0,$A156&gt;Y$7)),0,MAX(0,ROUND((INDEX($E156:$G156,Y$5)-SUMIFS(TF_Timer,TF_Tekniker,Y$4,TF_Dato,$A156))*2,0)/2)))</f>
        <v/>
      </c>
      <c r="Z156">
        <f>IF(OR(Z$4="",$A156&gt;TODAY()),0,IF(OR(INDEX($B156:$D156,Z$5)="F",AND(Z$6&gt;0,$A156&lt;Z$6),AND(Z$7&gt;0,$A156&gt;Z$7)),0,MAX(0,ROUND((INDEX($E156:$G156,Z$5)-SUMIFS(TF_Timer,TF_Tekniker,Z$4,TF_Dato,$A156))*2,0)/2)))</f>
        <v/>
      </c>
      <c r="AA156">
        <f>IF(OR(AA$4="",$A156&gt;TODAY()),0,IF(OR(INDEX($B156:$D156,AA$5)="F",AND(AA$6&gt;0,$A156&lt;AA$6),AND(AA$7&gt;0,$A156&gt;AA$7)),0,MAX(0,ROUND((INDEX($E156:$G156,AA$5)-SUMIFS(TF_Timer,TF_Tekniker,AA$4,TF_Dato,$A156))*2,0)/2)))</f>
        <v/>
      </c>
      <c r="AB156">
        <f>IF(OR(AB$4="",$A156&gt;TODAY()),0,IF(OR(INDEX($B156:$D156,AB$5)="F",AND(AB$6&gt;0,$A156&lt;AB$6),AND(AB$7&gt;0,$A156&gt;AB$7)),0,MAX(0,ROUND((INDEX($E156:$G156,AB$5)-SUMIFS(TF_Timer,TF_Tekniker,AB$4,TF_Dato,$A156))*2,0)/2)))</f>
        <v/>
      </c>
      <c r="AC156">
        <f>IF(OR(AC$4="",$A156&gt;TODAY()),0,IF(OR(INDEX($B156:$D156,AC$5)="F",AND(AC$6&gt;0,$A156&lt;AC$6),AND(AC$7&gt;0,$A156&gt;AC$7)),0,MAX(0,ROUND((INDEX($E156:$G156,AC$5)-SUMIFS(TF_Timer,TF_Tekniker,AC$4,TF_Dato,$A156))*2,0)/2)))</f>
        <v/>
      </c>
      <c r="AD156">
        <f>IF(OR(AD$4="",$A156&gt;TODAY()),0,IF(OR(INDEX($B156:$D156,AD$5)="F",AND(AD$6&gt;0,$A156&lt;AD$6),AND(AD$7&gt;0,$A156&gt;AD$7)),0,MAX(0,ROUND((INDEX($E156:$G156,AD$5)-SUMIFS(TF_Timer,TF_Tekniker,AD$4,TF_Dato,$A156))*2,0)/2)))</f>
        <v/>
      </c>
      <c r="AE156">
        <f>IF(OR(AE$4="",$A156&gt;TODAY()),0,IF(OR(INDEX($B156:$D156,AE$5)="F",AND(AE$6&gt;0,$A156&lt;AE$6),AND(AE$7&gt;0,$A156&gt;AE$7)),0,MAX(0,ROUND((INDEX($E156:$G156,AE$5)-SUMIFS(TF_Timer,TF_Tekniker,AE$4,TF_Dato,$A156))*2,0)/2)))</f>
        <v/>
      </c>
      <c r="AF156">
        <f>IF(OR(AF$4="",$A156&gt;TODAY()),0,IF(OR(INDEX($B156:$D156,AF$5)="F",AND(AF$6&gt;0,$A156&lt;AF$6),AND(AF$7&gt;0,$A156&gt;AF$7)),0,MAX(0,ROUND((INDEX($E156:$G156,AF$5)-SUMIFS(TF_Timer,TF_Tekniker,AF$4,TF_Dato,$A156))*2,0)/2)))</f>
        <v/>
      </c>
      <c r="AG156">
        <f>IF(OR(AG$4="",$A156&gt;TODAY()),0,IF(OR(INDEX($B156:$D156,AG$5)="F",AND(AG$6&gt;0,$A156&lt;AG$6),AND(AG$7&gt;0,$A156&gt;AG$7)),0,MAX(0,ROUND((INDEX($E156:$G156,AG$5)-SUMIFS(TF_Timer,TF_Tekniker,AG$4,TF_Dato,$A156))*2,0)/2)))</f>
        <v/>
      </c>
      <c r="AH156">
        <f>IF(OR(AH$4="",$A156&gt;TODAY()),0,IF(OR(INDEX($B156:$D156,AH$5)="F",AND(AH$6&gt;0,$A156&lt;AH$6),AND(AH$7&gt;0,$A156&gt;AH$7)),0,MAX(0,ROUND((INDEX($E156:$G156,AH$5)-SUMIFS(TF_Timer,TF_Tekniker,AH$4,TF_Dato,$A156))*2,0)/2)))</f>
        <v/>
      </c>
      <c r="AI156">
        <f>IF(OR(AI$4="",$A156&gt;TODAY()),0,IF(OR(INDEX($B156:$D156,AI$5)="F",AND(AI$6&gt;0,$A156&lt;AI$6),AND(AI$7&gt;0,$A156&gt;AI$7)),0,MAX(0,ROUND((INDEX($E156:$G156,AI$5)-SUMIFS(TF_Timer,TF_Tekniker,AI$4,TF_Dato,$A156))*2,0)/2)))</f>
        <v/>
      </c>
      <c r="AJ156">
        <f>IF(OR(AJ$4="",$A156&gt;TODAY()),0,IF(OR(INDEX($B156:$D156,AJ$5)="F",AND(AJ$6&gt;0,$A156&lt;AJ$6),AND(AJ$7&gt;0,$A156&gt;AJ$7)),0,MAX(0,ROUND((INDEX($E156:$G156,AJ$5)-SUMIFS(TF_Timer,TF_Tekniker,AJ$4,TF_Dato,$A156))*2,0)/2)))</f>
        <v/>
      </c>
      <c r="AK156">
        <f>IF(OR(AK$4="",$A156&gt;TODAY()),0,IF(OR(INDEX($B156:$D156,AK$5)="F",AND(AK$6&gt;0,$A156&lt;AK$6),AND(AK$7&gt;0,$A156&gt;AK$7)),0,MAX(0,ROUND((INDEX($E156:$G156,AK$5)-SUMIFS(TF_Timer,TF_Tekniker,AK$4,TF_Dato,$A156))*2,0)/2)))</f>
        <v/>
      </c>
      <c r="AL156">
        <f>IF(OR(AL$4="",$A156&gt;TODAY()),0,IF(OR(INDEX($B156:$D156,AL$5)="F",AND(AL$6&gt;0,$A156&lt;AL$6),AND(AL$7&gt;0,$A156&gt;AL$7)),0,MAX(0,ROUND((INDEX($E156:$G156,AL$5)-SUMIFS(TF_Timer,TF_Tekniker,AL$4,TF_Dato,$A156))*2,0)/2)))</f>
        <v/>
      </c>
      <c r="AM156">
        <f>IF(OR(AM$4="",$A156&gt;TODAY()),0,IF(OR(INDEX($B156:$D156,AM$5)="F",AND(AM$6&gt;0,$A156&lt;AM$6),AND(AM$7&gt;0,$A156&gt;AM$7)),0,MAX(0,ROUND((INDEX($E156:$G156,AM$5)-SUMIFS(TF_Timer,TF_Tekniker,AM$4,TF_Dato,$A156))*2,0)/2)))</f>
        <v/>
      </c>
      <c r="AN156">
        <f>IF(OR(AN$4="",$A156&gt;TODAY()),0,IF(OR(INDEX($B156:$D156,AN$5)="F",AND(AN$6&gt;0,$A156&lt;AN$6),AND(AN$7&gt;0,$A156&gt;AN$7)),0,MAX(0,ROUND((INDEX($E156:$G156,AN$5)-SUMIFS(TF_Timer,TF_Tekniker,AN$4,TF_Dato,$A156))*2,0)/2)))</f>
        <v/>
      </c>
      <c r="AO156">
        <f>IF(OR(AO$4="",$A156&gt;TODAY()),0,IF(OR(INDEX($B156:$D156,AO$5)="F",AND(AO$6&gt;0,$A156&lt;AO$6),AND(AO$7&gt;0,$A156&gt;AO$7)),0,MAX(0,ROUND((INDEX($E156:$G156,AO$5)-SUMIFS(TF_Timer,TF_Tekniker,AO$4,TF_Dato,$A156))*2,0)/2)))</f>
        <v/>
      </c>
      <c r="AP156">
        <f>IF(OR(AP$4="",$A156&gt;TODAY()),0,IF(OR(INDEX($B156:$D156,AP$5)="F",AND(AP$6&gt;0,$A156&lt;AP$6),AND(AP$7&gt;0,$A156&gt;AP$7)),0,MAX(0,ROUND((INDEX($E156:$G156,AP$5)-SUMIFS(TF_Timer,TF_Tekniker,AP$4,TF_Dato,$A156))*2,0)/2)))</f>
        <v/>
      </c>
      <c r="AQ156">
        <f>IF(OR(AQ$4="",$A156&gt;TODAY()),0,IF(OR(INDEX($B156:$D156,AQ$5)="F",AND(AQ$6&gt;0,$A156&lt;AQ$6),AND(AQ$7&gt;0,$A156&gt;AQ$7)),0,MAX(0,ROUND((INDEX($E156:$G156,AQ$5)-SUMIFS(TF_Timer,TF_Tekniker,AQ$4,TF_Dato,$A156))*2,0)/2)))</f>
        <v/>
      </c>
      <c r="AR156">
        <f>IF(OR(AR$4="",$A156&gt;TODAY()),0,IF(OR(INDEX($B156:$D156,AR$5)="F",AND(AR$6&gt;0,$A156&lt;AR$6),AND(AR$7&gt;0,$A156&gt;AR$7)),0,MAX(0,ROUND((INDEX($E156:$G156,AR$5)-SUMIFS(TF_Timer,TF_Tekniker,AR$4,TF_Dato,$A156))*2,0)/2)))</f>
        <v/>
      </c>
      <c r="AS156">
        <f>IF(OR(AS$4="",$A156&gt;TODAY()),0,IF(OR(INDEX($B156:$D156,AS$5)="F",AND(AS$6&gt;0,$A156&lt;AS$6),AND(AS$7&gt;0,$A156&gt;AS$7)),0,MAX(0,ROUND((INDEX($E156:$G156,AS$5)-SUMIFS(TF_Timer,TF_Tekniker,AS$4,TF_Dato,$A156))*2,0)/2)))</f>
        <v/>
      </c>
      <c r="AT156">
        <f>IF(OR(AT$4="",$A156&gt;TODAY()),0,IF(OR(INDEX($B156:$D156,AT$5)="F",AND(AT$6&gt;0,$A156&lt;AT$6),AND(AT$7&gt;0,$A156&gt;AT$7)),0,MAX(0,ROUND((INDEX($E156:$G156,AT$5)-SUMIFS(TF_Timer,TF_Tekniker,AT$4,TF_Dato,$A156))*2,0)/2)))</f>
        <v/>
      </c>
      <c r="AU156">
        <f>IF(OR(AU$4="",$A156&gt;TODAY()),0,IF(OR(INDEX($B156:$D156,AU$5)="F",AND(AU$6&gt;0,$A156&lt;AU$6),AND(AU$7&gt;0,$A156&gt;AU$7)),0,MAX(0,ROUND((INDEX($E156:$G156,AU$5)-SUMIFS(TF_Timer,TF_Tekniker,AU$4,TF_Dato,$A156))*2,0)/2)))</f>
        <v/>
      </c>
      <c r="AV156">
        <f>IF(OR(AV$4="",$A156&gt;TODAY()),0,IF(OR(INDEX($B156:$D156,AV$5)="F",AND(AV$6&gt;0,$A156&lt;AV$6),AND(AV$7&gt;0,$A156&gt;AV$7)),0,MAX(0,ROUND((INDEX($E156:$G156,AV$5)-SUMIFS(TF_Timer,TF_Tekniker,AV$4,TF_Dato,$A156))*2,0)/2)))</f>
        <v/>
      </c>
      <c r="AW156">
        <f>IF(OR(AW$4="",$A156&gt;TODAY()),0,IF(OR(INDEX($B156:$D156,AW$5)="F",AND(AW$6&gt;0,$A156&lt;AW$6),AND(AW$7&gt;0,$A156&gt;AW$7)),0,MAX(0,ROUND((INDEX($E156:$G156,AW$5)-SUMIFS(TF_Timer,TF_Tekniker,AW$4,TF_Dato,$A156))*2,0)/2)))</f>
        <v/>
      </c>
      <c r="AX156">
        <f>IF(OR(AX$4="",$A156&gt;TODAY()),0,IF(OR(INDEX($B156:$D156,AX$5)="F",AND(AX$6&gt;0,$A156&lt;AX$6),AND(AX$7&gt;0,$A156&gt;AX$7)),0,MAX(0,ROUND((INDEX($E156:$G156,AX$5)-SUMIFS(TF_Timer,TF_Tekniker,AX$4,TF_Dato,$A156))*2,0)/2)))</f>
        <v/>
      </c>
      <c r="AY156">
        <f>IF(OR(AY$4="",$A156&gt;TODAY()),0,IF(OR(INDEX($B156:$D156,AY$5)="F",AND(AY$6&gt;0,$A156&lt;AY$6),AND(AY$7&gt;0,$A156&gt;AY$7)),0,MAX(0,ROUND((INDEX($E156:$G156,AY$5)-SUMIFS(TF_Timer,TF_Tekniker,AY$4,TF_Dato,$A156))*2,0)/2)))</f>
        <v/>
      </c>
      <c r="AZ156">
        <f>IF(OR(AZ$4="",$A156&gt;TODAY()),0,IF(OR(INDEX($B156:$D156,AZ$5)="F",AND(AZ$6&gt;0,$A156&lt;AZ$6),AND(AZ$7&gt;0,$A156&gt;AZ$7)),0,MAX(0,ROUND((INDEX($E156:$G156,AZ$5)-SUMIFS(TF_Timer,TF_Tekniker,AZ$4,TF_Dato,$A156))*2,0)/2)))</f>
        <v/>
      </c>
      <c r="BA156">
        <f>IF(OR(BA$4="",$A156&gt;TODAY()),0,IF(OR(INDEX($B156:$D156,BA$5)="F",AND(BA$6&gt;0,$A156&lt;BA$6),AND(BA$7&gt;0,$A156&gt;BA$7)),0,MAX(0,ROUND((INDEX($E156:$G156,BA$5)-SUMIFS(TF_Timer,TF_Tekniker,BA$4,TF_Dato,$A156))*2,0)/2)))</f>
        <v/>
      </c>
      <c r="BB156">
        <f>IF(OR(BB$4="",$A156&gt;TODAY()),0,IF(OR(INDEX($B156:$D156,BB$5)="F",AND(BB$6&gt;0,$A156&lt;BB$6),AND(BB$7&gt;0,$A156&gt;BB$7)),0,MAX(0,ROUND((INDEX($E156:$G156,BB$5)-SUMIFS(TF_Timer,TF_Tekniker,BB$4,TF_Dato,$A156))*2,0)/2)))</f>
        <v/>
      </c>
      <c r="BC156">
        <f>IF(OR(BC$4="",$A156&gt;TODAY()),0,IF(OR(INDEX($B156:$D156,BC$5)="F",AND(BC$6&gt;0,$A156&lt;BC$6),AND(BC$7&gt;0,$A156&gt;BC$7)),0,MAX(0,ROUND((INDEX($E156:$G156,BC$5)-SUMIFS(TF_Timer,TF_Tekniker,BC$4,TF_Dato,$A156))*2,0)/2)))</f>
        <v/>
      </c>
      <c r="BD156">
        <f>IF(OR(BD$4="",$A156&gt;TODAY()),0,IF(OR(INDEX($B156:$D156,BD$5)="F",AND(BD$6&gt;0,$A156&lt;BD$6),AND(BD$7&gt;0,$A156&gt;BD$7)),0,MAX(0,ROUND((INDEX($E156:$G156,BD$5)-SUMIFS(TF_Timer,TF_Tekniker,BD$4,TF_Dato,$A156))*2,0)/2)))</f>
        <v/>
      </c>
      <c r="BE156">
        <f>IF(OR(BE$4="",$A156&gt;TODAY()),0,IF(OR(INDEX($B156:$D156,BE$5)="F",AND(BE$6&gt;0,$A156&lt;BE$6),AND(BE$7&gt;0,$A156&gt;BE$7)),0,MAX(0,ROUND((INDEX($E156:$G156,BE$5)-SUMIFS(TF_Timer,TF_Tekniker,BE$4,TF_Dato,$A156))*2,0)/2)))</f>
        <v/>
      </c>
      <c r="BF156">
        <f>IF(OR(BF$4="",$A156&gt;TODAY()),0,IF(OR(INDEX($B156:$D156,BF$5)="F",AND(BF$6&gt;0,$A156&lt;BF$6),AND(BF$7&gt;0,$A156&gt;BF$7)),0,MAX(0,ROUND((INDEX($E156:$G156,BF$5)-SUMIFS(TF_Timer,TF_Tekniker,BF$4,TF_Dato,$A156))*2,0)/2)))</f>
        <v/>
      </c>
      <c r="BG156">
        <f>IF(OR(BG$4="",$A156&gt;TODAY()),0,IF(OR(INDEX($B156:$D156,BG$5)="F",AND(BG$6&gt;0,$A156&lt;BG$6),AND(BG$7&gt;0,$A156&gt;BG$7)),0,MAX(0,ROUND((INDEX($E156:$G156,BG$5)-SUMIFS(TF_Timer,TF_Tekniker,BG$4,TF_Dato,$A156))*2,0)/2)))</f>
        <v/>
      </c>
      <c r="BH156">
        <f>IF(OR(BH$4="",$A156&gt;TODAY()),0,IF(OR(INDEX($B156:$D156,BH$5)="F",AND(BH$6&gt;0,$A156&lt;BH$6),AND(BH$7&gt;0,$A156&gt;BH$7)),0,MAX(0,ROUND((INDEX($E156:$G156,BH$5)-SUMIFS(TF_Timer,TF_Tekniker,BH$4,TF_Dato,$A156))*2,0)/2)))</f>
        <v/>
      </c>
      <c r="BI156">
        <f>IF(OR(BI$4="",$A156&gt;TODAY()),0,IF(OR(INDEX($B156:$D156,BI$5)="F",AND(BI$6&gt;0,$A156&lt;BI$6),AND(BI$7&gt;0,$A156&gt;BI$7)),0,MAX(0,ROUND((INDEX($E156:$G156,BI$5)-SUMIFS(TF_Timer,TF_Tekniker,BI$4,TF_Dato,$A156))*2,0)/2)))</f>
        <v/>
      </c>
    </row>
    <row r="157">
      <c r="A157" s="64">
        <f>A156+1</f>
        <v/>
      </c>
      <c r="B157">
        <f>IF(MOD($A157-INDEX(SkiftStart,1),Syklus)&lt;DagK,"K",IF(MOD($A157-INDEX(SkiftStart,1),Syklus)&lt;DagK+DagH,"H",IF(MOD($A157-INDEX(SkiftStart,1),Syklus)&lt;DagK+DagH+DagD,"D","F")))</f>
        <v/>
      </c>
      <c r="C157">
        <f>IF(MOD($A157-INDEX(SkiftStart,2),Syklus)&lt;DagK,"K",IF(MOD($A157-INDEX(SkiftStart,2),Syklus)&lt;DagK+DagH,"H",IF(MOD($A157-INDEX(SkiftStart,2),Syklus)&lt;DagK+DagH+DagD,"D","F")))</f>
        <v/>
      </c>
      <c r="D157">
        <f>IF(MOD($A157-INDEX(SkiftStart,3),Syklus)&lt;DagK,"K",IF(MOD($A157-INDEX(SkiftStart,3),Syklus)&lt;DagK+DagH,"H",IF(MOD($A157-INDEX(SkiftStart,3),Syklus)&lt;DagK+DagH+DagD,"D","F")))</f>
        <v/>
      </c>
      <c r="E157">
        <f>IF(B157="F",0,IF(WEEKDAY($A157,2)=5,INDEX(TimerFr,MATCH(B157,FaseKode,0)),INDEX(TimerMT,MATCH(B157,FaseKode,0))))</f>
        <v/>
      </c>
      <c r="F157">
        <f>IF(C157="F",0,IF(WEEKDAY($A157,2)=5,INDEX(TimerFr,MATCH(C157,FaseKode,0)),INDEX(TimerMT,MATCH(C157,FaseKode,0))))</f>
        <v/>
      </c>
      <c r="G157">
        <f>IF(D157="F",0,IF(WEEKDAY($A157,2)=5,INDEX(TimerFr,MATCH(D157,FaseKode,0)),INDEX(TimerMT,MATCH(D157,FaseKode,0))))</f>
        <v/>
      </c>
      <c r="H157">
        <f>IF(OR(H$4="",$A157&gt;TODAY()),0,IF(OR(INDEX($B157:$D157,H$5)="F",AND(H$6&gt;0,$A157&lt;H$6),AND(H$7&gt;0,$A157&gt;H$7)),0,MAX(0,ROUND((INDEX($E157:$G157,H$5)-SUMIFS(TF_Timer,TF_Tekniker,H$4,TF_Dato,$A157))*2,0)/2)))</f>
        <v/>
      </c>
      <c r="I157">
        <f>IF(OR(I$4="",$A157&gt;TODAY()),0,IF(OR(INDEX($B157:$D157,I$5)="F",AND(I$6&gt;0,$A157&lt;I$6),AND(I$7&gt;0,$A157&gt;I$7)),0,MAX(0,ROUND((INDEX($E157:$G157,I$5)-SUMIFS(TF_Timer,TF_Tekniker,I$4,TF_Dato,$A157))*2,0)/2)))</f>
        <v/>
      </c>
      <c r="J157">
        <f>IF(OR(J$4="",$A157&gt;TODAY()),0,IF(OR(INDEX($B157:$D157,J$5)="F",AND(J$6&gt;0,$A157&lt;J$6),AND(J$7&gt;0,$A157&gt;J$7)),0,MAX(0,ROUND((INDEX($E157:$G157,J$5)-SUMIFS(TF_Timer,TF_Tekniker,J$4,TF_Dato,$A157))*2,0)/2)))</f>
        <v/>
      </c>
      <c r="K157">
        <f>IF(OR(K$4="",$A157&gt;TODAY()),0,IF(OR(INDEX($B157:$D157,K$5)="F",AND(K$6&gt;0,$A157&lt;K$6),AND(K$7&gt;0,$A157&gt;K$7)),0,MAX(0,ROUND((INDEX($E157:$G157,K$5)-SUMIFS(TF_Timer,TF_Tekniker,K$4,TF_Dato,$A157))*2,0)/2)))</f>
        <v/>
      </c>
      <c r="L157">
        <f>IF(OR(L$4="",$A157&gt;TODAY()),0,IF(OR(INDEX($B157:$D157,L$5)="F",AND(L$6&gt;0,$A157&lt;L$6),AND(L$7&gt;0,$A157&gt;L$7)),0,MAX(0,ROUND((INDEX($E157:$G157,L$5)-SUMIFS(TF_Timer,TF_Tekniker,L$4,TF_Dato,$A157))*2,0)/2)))</f>
        <v/>
      </c>
      <c r="M157">
        <f>IF(OR(M$4="",$A157&gt;TODAY()),0,IF(OR(INDEX($B157:$D157,M$5)="F",AND(M$6&gt;0,$A157&lt;M$6),AND(M$7&gt;0,$A157&gt;M$7)),0,MAX(0,ROUND((INDEX($E157:$G157,M$5)-SUMIFS(TF_Timer,TF_Tekniker,M$4,TF_Dato,$A157))*2,0)/2)))</f>
        <v/>
      </c>
      <c r="N157">
        <f>IF(OR(N$4="",$A157&gt;TODAY()),0,IF(OR(INDEX($B157:$D157,N$5)="F",AND(N$6&gt;0,$A157&lt;N$6),AND(N$7&gt;0,$A157&gt;N$7)),0,MAX(0,ROUND((INDEX($E157:$G157,N$5)-SUMIFS(TF_Timer,TF_Tekniker,N$4,TF_Dato,$A157))*2,0)/2)))</f>
        <v/>
      </c>
      <c r="O157">
        <f>IF(OR(O$4="",$A157&gt;TODAY()),0,IF(OR(INDEX($B157:$D157,O$5)="F",AND(O$6&gt;0,$A157&lt;O$6),AND(O$7&gt;0,$A157&gt;O$7)),0,MAX(0,ROUND((INDEX($E157:$G157,O$5)-SUMIFS(TF_Timer,TF_Tekniker,O$4,TF_Dato,$A157))*2,0)/2)))</f>
        <v/>
      </c>
      <c r="P157">
        <f>IF(OR(P$4="",$A157&gt;TODAY()),0,IF(OR(INDEX($B157:$D157,P$5)="F",AND(P$6&gt;0,$A157&lt;P$6),AND(P$7&gt;0,$A157&gt;P$7)),0,MAX(0,ROUND((INDEX($E157:$G157,P$5)-SUMIFS(TF_Timer,TF_Tekniker,P$4,TF_Dato,$A157))*2,0)/2)))</f>
        <v/>
      </c>
      <c r="Q157">
        <f>IF(OR(Q$4="",$A157&gt;TODAY()),0,IF(OR(INDEX($B157:$D157,Q$5)="F",AND(Q$6&gt;0,$A157&lt;Q$6),AND(Q$7&gt;0,$A157&gt;Q$7)),0,MAX(0,ROUND((INDEX($E157:$G157,Q$5)-SUMIFS(TF_Timer,TF_Tekniker,Q$4,TF_Dato,$A157))*2,0)/2)))</f>
        <v/>
      </c>
      <c r="R157">
        <f>IF(OR(R$4="",$A157&gt;TODAY()),0,IF(OR(INDEX($B157:$D157,R$5)="F",AND(R$6&gt;0,$A157&lt;R$6),AND(R$7&gt;0,$A157&gt;R$7)),0,MAX(0,ROUND((INDEX($E157:$G157,R$5)-SUMIFS(TF_Timer,TF_Tekniker,R$4,TF_Dato,$A157))*2,0)/2)))</f>
        <v/>
      </c>
      <c r="S157">
        <f>IF(OR(S$4="",$A157&gt;TODAY()),0,IF(OR(INDEX($B157:$D157,S$5)="F",AND(S$6&gt;0,$A157&lt;S$6),AND(S$7&gt;0,$A157&gt;S$7)),0,MAX(0,ROUND((INDEX($E157:$G157,S$5)-SUMIFS(TF_Timer,TF_Tekniker,S$4,TF_Dato,$A157))*2,0)/2)))</f>
        <v/>
      </c>
      <c r="T157">
        <f>IF(OR(T$4="",$A157&gt;TODAY()),0,IF(OR(INDEX($B157:$D157,T$5)="F",AND(T$6&gt;0,$A157&lt;T$6),AND(T$7&gt;0,$A157&gt;T$7)),0,MAX(0,ROUND((INDEX($E157:$G157,T$5)-SUMIFS(TF_Timer,TF_Tekniker,T$4,TF_Dato,$A157))*2,0)/2)))</f>
        <v/>
      </c>
      <c r="U157">
        <f>IF(OR(U$4="",$A157&gt;TODAY()),0,IF(OR(INDEX($B157:$D157,U$5)="F",AND(U$6&gt;0,$A157&lt;U$6),AND(U$7&gt;0,$A157&gt;U$7)),0,MAX(0,ROUND((INDEX($E157:$G157,U$5)-SUMIFS(TF_Timer,TF_Tekniker,U$4,TF_Dato,$A157))*2,0)/2)))</f>
        <v/>
      </c>
      <c r="V157">
        <f>IF(OR(V$4="",$A157&gt;TODAY()),0,IF(OR(INDEX($B157:$D157,V$5)="F",AND(V$6&gt;0,$A157&lt;V$6),AND(V$7&gt;0,$A157&gt;V$7)),0,MAX(0,ROUND((INDEX($E157:$G157,V$5)-SUMIFS(TF_Timer,TF_Tekniker,V$4,TF_Dato,$A157))*2,0)/2)))</f>
        <v/>
      </c>
      <c r="W157">
        <f>IF(OR(W$4="",$A157&gt;TODAY()),0,IF(OR(INDEX($B157:$D157,W$5)="F",AND(W$6&gt;0,$A157&lt;W$6),AND(W$7&gt;0,$A157&gt;W$7)),0,MAX(0,ROUND((INDEX($E157:$G157,W$5)-SUMIFS(TF_Timer,TF_Tekniker,W$4,TF_Dato,$A157))*2,0)/2)))</f>
        <v/>
      </c>
      <c r="X157">
        <f>IF(OR(X$4="",$A157&gt;TODAY()),0,IF(OR(INDEX($B157:$D157,X$5)="F",AND(X$6&gt;0,$A157&lt;X$6),AND(X$7&gt;0,$A157&gt;X$7)),0,MAX(0,ROUND((INDEX($E157:$G157,X$5)-SUMIFS(TF_Timer,TF_Tekniker,X$4,TF_Dato,$A157))*2,0)/2)))</f>
        <v/>
      </c>
      <c r="Y157">
        <f>IF(OR(Y$4="",$A157&gt;TODAY()),0,IF(OR(INDEX($B157:$D157,Y$5)="F",AND(Y$6&gt;0,$A157&lt;Y$6),AND(Y$7&gt;0,$A157&gt;Y$7)),0,MAX(0,ROUND((INDEX($E157:$G157,Y$5)-SUMIFS(TF_Timer,TF_Tekniker,Y$4,TF_Dato,$A157))*2,0)/2)))</f>
        <v/>
      </c>
      <c r="Z157">
        <f>IF(OR(Z$4="",$A157&gt;TODAY()),0,IF(OR(INDEX($B157:$D157,Z$5)="F",AND(Z$6&gt;0,$A157&lt;Z$6),AND(Z$7&gt;0,$A157&gt;Z$7)),0,MAX(0,ROUND((INDEX($E157:$G157,Z$5)-SUMIFS(TF_Timer,TF_Tekniker,Z$4,TF_Dato,$A157))*2,0)/2)))</f>
        <v/>
      </c>
      <c r="AA157">
        <f>IF(OR(AA$4="",$A157&gt;TODAY()),0,IF(OR(INDEX($B157:$D157,AA$5)="F",AND(AA$6&gt;0,$A157&lt;AA$6),AND(AA$7&gt;0,$A157&gt;AA$7)),0,MAX(0,ROUND((INDEX($E157:$G157,AA$5)-SUMIFS(TF_Timer,TF_Tekniker,AA$4,TF_Dato,$A157))*2,0)/2)))</f>
        <v/>
      </c>
      <c r="AB157">
        <f>IF(OR(AB$4="",$A157&gt;TODAY()),0,IF(OR(INDEX($B157:$D157,AB$5)="F",AND(AB$6&gt;0,$A157&lt;AB$6),AND(AB$7&gt;0,$A157&gt;AB$7)),0,MAX(0,ROUND((INDEX($E157:$G157,AB$5)-SUMIFS(TF_Timer,TF_Tekniker,AB$4,TF_Dato,$A157))*2,0)/2)))</f>
        <v/>
      </c>
      <c r="AC157">
        <f>IF(OR(AC$4="",$A157&gt;TODAY()),0,IF(OR(INDEX($B157:$D157,AC$5)="F",AND(AC$6&gt;0,$A157&lt;AC$6),AND(AC$7&gt;0,$A157&gt;AC$7)),0,MAX(0,ROUND((INDEX($E157:$G157,AC$5)-SUMIFS(TF_Timer,TF_Tekniker,AC$4,TF_Dato,$A157))*2,0)/2)))</f>
        <v/>
      </c>
      <c r="AD157">
        <f>IF(OR(AD$4="",$A157&gt;TODAY()),0,IF(OR(INDEX($B157:$D157,AD$5)="F",AND(AD$6&gt;0,$A157&lt;AD$6),AND(AD$7&gt;0,$A157&gt;AD$7)),0,MAX(0,ROUND((INDEX($E157:$G157,AD$5)-SUMIFS(TF_Timer,TF_Tekniker,AD$4,TF_Dato,$A157))*2,0)/2)))</f>
        <v/>
      </c>
      <c r="AE157">
        <f>IF(OR(AE$4="",$A157&gt;TODAY()),0,IF(OR(INDEX($B157:$D157,AE$5)="F",AND(AE$6&gt;0,$A157&lt;AE$6),AND(AE$7&gt;0,$A157&gt;AE$7)),0,MAX(0,ROUND((INDEX($E157:$G157,AE$5)-SUMIFS(TF_Timer,TF_Tekniker,AE$4,TF_Dato,$A157))*2,0)/2)))</f>
        <v/>
      </c>
      <c r="AF157">
        <f>IF(OR(AF$4="",$A157&gt;TODAY()),0,IF(OR(INDEX($B157:$D157,AF$5)="F",AND(AF$6&gt;0,$A157&lt;AF$6),AND(AF$7&gt;0,$A157&gt;AF$7)),0,MAX(0,ROUND((INDEX($E157:$G157,AF$5)-SUMIFS(TF_Timer,TF_Tekniker,AF$4,TF_Dato,$A157))*2,0)/2)))</f>
        <v/>
      </c>
      <c r="AG157">
        <f>IF(OR(AG$4="",$A157&gt;TODAY()),0,IF(OR(INDEX($B157:$D157,AG$5)="F",AND(AG$6&gt;0,$A157&lt;AG$6),AND(AG$7&gt;0,$A157&gt;AG$7)),0,MAX(0,ROUND((INDEX($E157:$G157,AG$5)-SUMIFS(TF_Timer,TF_Tekniker,AG$4,TF_Dato,$A157))*2,0)/2)))</f>
        <v/>
      </c>
      <c r="AH157">
        <f>IF(OR(AH$4="",$A157&gt;TODAY()),0,IF(OR(INDEX($B157:$D157,AH$5)="F",AND(AH$6&gt;0,$A157&lt;AH$6),AND(AH$7&gt;0,$A157&gt;AH$7)),0,MAX(0,ROUND((INDEX($E157:$G157,AH$5)-SUMIFS(TF_Timer,TF_Tekniker,AH$4,TF_Dato,$A157))*2,0)/2)))</f>
        <v/>
      </c>
      <c r="AI157">
        <f>IF(OR(AI$4="",$A157&gt;TODAY()),0,IF(OR(INDEX($B157:$D157,AI$5)="F",AND(AI$6&gt;0,$A157&lt;AI$6),AND(AI$7&gt;0,$A157&gt;AI$7)),0,MAX(0,ROUND((INDEX($E157:$G157,AI$5)-SUMIFS(TF_Timer,TF_Tekniker,AI$4,TF_Dato,$A157))*2,0)/2)))</f>
        <v/>
      </c>
      <c r="AJ157">
        <f>IF(OR(AJ$4="",$A157&gt;TODAY()),0,IF(OR(INDEX($B157:$D157,AJ$5)="F",AND(AJ$6&gt;0,$A157&lt;AJ$6),AND(AJ$7&gt;0,$A157&gt;AJ$7)),0,MAX(0,ROUND((INDEX($E157:$G157,AJ$5)-SUMIFS(TF_Timer,TF_Tekniker,AJ$4,TF_Dato,$A157))*2,0)/2)))</f>
        <v/>
      </c>
      <c r="AK157">
        <f>IF(OR(AK$4="",$A157&gt;TODAY()),0,IF(OR(INDEX($B157:$D157,AK$5)="F",AND(AK$6&gt;0,$A157&lt;AK$6),AND(AK$7&gt;0,$A157&gt;AK$7)),0,MAX(0,ROUND((INDEX($E157:$G157,AK$5)-SUMIFS(TF_Timer,TF_Tekniker,AK$4,TF_Dato,$A157))*2,0)/2)))</f>
        <v/>
      </c>
      <c r="AL157">
        <f>IF(OR(AL$4="",$A157&gt;TODAY()),0,IF(OR(INDEX($B157:$D157,AL$5)="F",AND(AL$6&gt;0,$A157&lt;AL$6),AND(AL$7&gt;0,$A157&gt;AL$7)),0,MAX(0,ROUND((INDEX($E157:$G157,AL$5)-SUMIFS(TF_Timer,TF_Tekniker,AL$4,TF_Dato,$A157))*2,0)/2)))</f>
        <v/>
      </c>
      <c r="AM157">
        <f>IF(OR(AM$4="",$A157&gt;TODAY()),0,IF(OR(INDEX($B157:$D157,AM$5)="F",AND(AM$6&gt;0,$A157&lt;AM$6),AND(AM$7&gt;0,$A157&gt;AM$7)),0,MAX(0,ROUND((INDEX($E157:$G157,AM$5)-SUMIFS(TF_Timer,TF_Tekniker,AM$4,TF_Dato,$A157))*2,0)/2)))</f>
        <v/>
      </c>
      <c r="AN157">
        <f>IF(OR(AN$4="",$A157&gt;TODAY()),0,IF(OR(INDEX($B157:$D157,AN$5)="F",AND(AN$6&gt;0,$A157&lt;AN$6),AND(AN$7&gt;0,$A157&gt;AN$7)),0,MAX(0,ROUND((INDEX($E157:$G157,AN$5)-SUMIFS(TF_Timer,TF_Tekniker,AN$4,TF_Dato,$A157))*2,0)/2)))</f>
        <v/>
      </c>
      <c r="AO157">
        <f>IF(OR(AO$4="",$A157&gt;TODAY()),0,IF(OR(INDEX($B157:$D157,AO$5)="F",AND(AO$6&gt;0,$A157&lt;AO$6),AND(AO$7&gt;0,$A157&gt;AO$7)),0,MAX(0,ROUND((INDEX($E157:$G157,AO$5)-SUMIFS(TF_Timer,TF_Tekniker,AO$4,TF_Dato,$A157))*2,0)/2)))</f>
        <v/>
      </c>
      <c r="AP157">
        <f>IF(OR(AP$4="",$A157&gt;TODAY()),0,IF(OR(INDEX($B157:$D157,AP$5)="F",AND(AP$6&gt;0,$A157&lt;AP$6),AND(AP$7&gt;0,$A157&gt;AP$7)),0,MAX(0,ROUND((INDEX($E157:$G157,AP$5)-SUMIFS(TF_Timer,TF_Tekniker,AP$4,TF_Dato,$A157))*2,0)/2)))</f>
        <v/>
      </c>
      <c r="AQ157">
        <f>IF(OR(AQ$4="",$A157&gt;TODAY()),0,IF(OR(INDEX($B157:$D157,AQ$5)="F",AND(AQ$6&gt;0,$A157&lt;AQ$6),AND(AQ$7&gt;0,$A157&gt;AQ$7)),0,MAX(0,ROUND((INDEX($E157:$G157,AQ$5)-SUMIFS(TF_Timer,TF_Tekniker,AQ$4,TF_Dato,$A157))*2,0)/2)))</f>
        <v/>
      </c>
      <c r="AR157">
        <f>IF(OR(AR$4="",$A157&gt;TODAY()),0,IF(OR(INDEX($B157:$D157,AR$5)="F",AND(AR$6&gt;0,$A157&lt;AR$6),AND(AR$7&gt;0,$A157&gt;AR$7)),0,MAX(0,ROUND((INDEX($E157:$G157,AR$5)-SUMIFS(TF_Timer,TF_Tekniker,AR$4,TF_Dato,$A157))*2,0)/2)))</f>
        <v/>
      </c>
      <c r="AS157">
        <f>IF(OR(AS$4="",$A157&gt;TODAY()),0,IF(OR(INDEX($B157:$D157,AS$5)="F",AND(AS$6&gt;0,$A157&lt;AS$6),AND(AS$7&gt;0,$A157&gt;AS$7)),0,MAX(0,ROUND((INDEX($E157:$G157,AS$5)-SUMIFS(TF_Timer,TF_Tekniker,AS$4,TF_Dato,$A157))*2,0)/2)))</f>
        <v/>
      </c>
      <c r="AT157">
        <f>IF(OR(AT$4="",$A157&gt;TODAY()),0,IF(OR(INDEX($B157:$D157,AT$5)="F",AND(AT$6&gt;0,$A157&lt;AT$6),AND(AT$7&gt;0,$A157&gt;AT$7)),0,MAX(0,ROUND((INDEX($E157:$G157,AT$5)-SUMIFS(TF_Timer,TF_Tekniker,AT$4,TF_Dato,$A157))*2,0)/2)))</f>
        <v/>
      </c>
      <c r="AU157">
        <f>IF(OR(AU$4="",$A157&gt;TODAY()),0,IF(OR(INDEX($B157:$D157,AU$5)="F",AND(AU$6&gt;0,$A157&lt;AU$6),AND(AU$7&gt;0,$A157&gt;AU$7)),0,MAX(0,ROUND((INDEX($E157:$G157,AU$5)-SUMIFS(TF_Timer,TF_Tekniker,AU$4,TF_Dato,$A157))*2,0)/2)))</f>
        <v/>
      </c>
      <c r="AV157">
        <f>IF(OR(AV$4="",$A157&gt;TODAY()),0,IF(OR(INDEX($B157:$D157,AV$5)="F",AND(AV$6&gt;0,$A157&lt;AV$6),AND(AV$7&gt;0,$A157&gt;AV$7)),0,MAX(0,ROUND((INDEX($E157:$G157,AV$5)-SUMIFS(TF_Timer,TF_Tekniker,AV$4,TF_Dato,$A157))*2,0)/2)))</f>
        <v/>
      </c>
      <c r="AW157">
        <f>IF(OR(AW$4="",$A157&gt;TODAY()),0,IF(OR(INDEX($B157:$D157,AW$5)="F",AND(AW$6&gt;0,$A157&lt;AW$6),AND(AW$7&gt;0,$A157&gt;AW$7)),0,MAX(0,ROUND((INDEX($E157:$G157,AW$5)-SUMIFS(TF_Timer,TF_Tekniker,AW$4,TF_Dato,$A157))*2,0)/2)))</f>
        <v/>
      </c>
      <c r="AX157">
        <f>IF(OR(AX$4="",$A157&gt;TODAY()),0,IF(OR(INDEX($B157:$D157,AX$5)="F",AND(AX$6&gt;0,$A157&lt;AX$6),AND(AX$7&gt;0,$A157&gt;AX$7)),0,MAX(0,ROUND((INDEX($E157:$G157,AX$5)-SUMIFS(TF_Timer,TF_Tekniker,AX$4,TF_Dato,$A157))*2,0)/2)))</f>
        <v/>
      </c>
      <c r="AY157">
        <f>IF(OR(AY$4="",$A157&gt;TODAY()),0,IF(OR(INDEX($B157:$D157,AY$5)="F",AND(AY$6&gt;0,$A157&lt;AY$6),AND(AY$7&gt;0,$A157&gt;AY$7)),0,MAX(0,ROUND((INDEX($E157:$G157,AY$5)-SUMIFS(TF_Timer,TF_Tekniker,AY$4,TF_Dato,$A157))*2,0)/2)))</f>
        <v/>
      </c>
      <c r="AZ157">
        <f>IF(OR(AZ$4="",$A157&gt;TODAY()),0,IF(OR(INDEX($B157:$D157,AZ$5)="F",AND(AZ$6&gt;0,$A157&lt;AZ$6),AND(AZ$7&gt;0,$A157&gt;AZ$7)),0,MAX(0,ROUND((INDEX($E157:$G157,AZ$5)-SUMIFS(TF_Timer,TF_Tekniker,AZ$4,TF_Dato,$A157))*2,0)/2)))</f>
        <v/>
      </c>
      <c r="BA157">
        <f>IF(OR(BA$4="",$A157&gt;TODAY()),0,IF(OR(INDEX($B157:$D157,BA$5)="F",AND(BA$6&gt;0,$A157&lt;BA$6),AND(BA$7&gt;0,$A157&gt;BA$7)),0,MAX(0,ROUND((INDEX($E157:$G157,BA$5)-SUMIFS(TF_Timer,TF_Tekniker,BA$4,TF_Dato,$A157))*2,0)/2)))</f>
        <v/>
      </c>
      <c r="BB157">
        <f>IF(OR(BB$4="",$A157&gt;TODAY()),0,IF(OR(INDEX($B157:$D157,BB$5)="F",AND(BB$6&gt;0,$A157&lt;BB$6),AND(BB$7&gt;0,$A157&gt;BB$7)),0,MAX(0,ROUND((INDEX($E157:$G157,BB$5)-SUMIFS(TF_Timer,TF_Tekniker,BB$4,TF_Dato,$A157))*2,0)/2)))</f>
        <v/>
      </c>
      <c r="BC157">
        <f>IF(OR(BC$4="",$A157&gt;TODAY()),0,IF(OR(INDEX($B157:$D157,BC$5)="F",AND(BC$6&gt;0,$A157&lt;BC$6),AND(BC$7&gt;0,$A157&gt;BC$7)),0,MAX(0,ROUND((INDEX($E157:$G157,BC$5)-SUMIFS(TF_Timer,TF_Tekniker,BC$4,TF_Dato,$A157))*2,0)/2)))</f>
        <v/>
      </c>
      <c r="BD157">
        <f>IF(OR(BD$4="",$A157&gt;TODAY()),0,IF(OR(INDEX($B157:$D157,BD$5)="F",AND(BD$6&gt;0,$A157&lt;BD$6),AND(BD$7&gt;0,$A157&gt;BD$7)),0,MAX(0,ROUND((INDEX($E157:$G157,BD$5)-SUMIFS(TF_Timer,TF_Tekniker,BD$4,TF_Dato,$A157))*2,0)/2)))</f>
        <v/>
      </c>
      <c r="BE157">
        <f>IF(OR(BE$4="",$A157&gt;TODAY()),0,IF(OR(INDEX($B157:$D157,BE$5)="F",AND(BE$6&gt;0,$A157&lt;BE$6),AND(BE$7&gt;0,$A157&gt;BE$7)),0,MAX(0,ROUND((INDEX($E157:$G157,BE$5)-SUMIFS(TF_Timer,TF_Tekniker,BE$4,TF_Dato,$A157))*2,0)/2)))</f>
        <v/>
      </c>
      <c r="BF157">
        <f>IF(OR(BF$4="",$A157&gt;TODAY()),0,IF(OR(INDEX($B157:$D157,BF$5)="F",AND(BF$6&gt;0,$A157&lt;BF$6),AND(BF$7&gt;0,$A157&gt;BF$7)),0,MAX(0,ROUND((INDEX($E157:$G157,BF$5)-SUMIFS(TF_Timer,TF_Tekniker,BF$4,TF_Dato,$A157))*2,0)/2)))</f>
        <v/>
      </c>
      <c r="BG157">
        <f>IF(OR(BG$4="",$A157&gt;TODAY()),0,IF(OR(INDEX($B157:$D157,BG$5)="F",AND(BG$6&gt;0,$A157&lt;BG$6),AND(BG$7&gt;0,$A157&gt;BG$7)),0,MAX(0,ROUND((INDEX($E157:$G157,BG$5)-SUMIFS(TF_Timer,TF_Tekniker,BG$4,TF_Dato,$A157))*2,0)/2)))</f>
        <v/>
      </c>
      <c r="BH157">
        <f>IF(OR(BH$4="",$A157&gt;TODAY()),0,IF(OR(INDEX($B157:$D157,BH$5)="F",AND(BH$6&gt;0,$A157&lt;BH$6),AND(BH$7&gt;0,$A157&gt;BH$7)),0,MAX(0,ROUND((INDEX($E157:$G157,BH$5)-SUMIFS(TF_Timer,TF_Tekniker,BH$4,TF_Dato,$A157))*2,0)/2)))</f>
        <v/>
      </c>
      <c r="BI157">
        <f>IF(OR(BI$4="",$A157&gt;TODAY()),0,IF(OR(INDEX($B157:$D157,BI$5)="F",AND(BI$6&gt;0,$A157&lt;BI$6),AND(BI$7&gt;0,$A157&gt;BI$7)),0,MAX(0,ROUND((INDEX($E157:$G157,BI$5)-SUMIFS(TF_Timer,TF_Tekniker,BI$4,TF_Dato,$A157))*2,0)/2)))</f>
        <v/>
      </c>
    </row>
    <row r="158">
      <c r="A158" s="64">
        <f>A157+1</f>
        <v/>
      </c>
      <c r="B158">
        <f>IF(MOD($A158-INDEX(SkiftStart,1),Syklus)&lt;DagK,"K",IF(MOD($A158-INDEX(SkiftStart,1),Syklus)&lt;DagK+DagH,"H",IF(MOD($A158-INDEX(SkiftStart,1),Syklus)&lt;DagK+DagH+DagD,"D","F")))</f>
        <v/>
      </c>
      <c r="C158">
        <f>IF(MOD($A158-INDEX(SkiftStart,2),Syklus)&lt;DagK,"K",IF(MOD($A158-INDEX(SkiftStart,2),Syklus)&lt;DagK+DagH,"H",IF(MOD($A158-INDEX(SkiftStart,2),Syklus)&lt;DagK+DagH+DagD,"D","F")))</f>
        <v/>
      </c>
      <c r="D158">
        <f>IF(MOD($A158-INDEX(SkiftStart,3),Syklus)&lt;DagK,"K",IF(MOD($A158-INDEX(SkiftStart,3),Syklus)&lt;DagK+DagH,"H",IF(MOD($A158-INDEX(SkiftStart,3),Syklus)&lt;DagK+DagH+DagD,"D","F")))</f>
        <v/>
      </c>
      <c r="E158">
        <f>IF(B158="F",0,IF(WEEKDAY($A158,2)=5,INDEX(TimerFr,MATCH(B158,FaseKode,0)),INDEX(TimerMT,MATCH(B158,FaseKode,0))))</f>
        <v/>
      </c>
      <c r="F158">
        <f>IF(C158="F",0,IF(WEEKDAY($A158,2)=5,INDEX(TimerFr,MATCH(C158,FaseKode,0)),INDEX(TimerMT,MATCH(C158,FaseKode,0))))</f>
        <v/>
      </c>
      <c r="G158">
        <f>IF(D158="F",0,IF(WEEKDAY($A158,2)=5,INDEX(TimerFr,MATCH(D158,FaseKode,0)),INDEX(TimerMT,MATCH(D158,FaseKode,0))))</f>
        <v/>
      </c>
      <c r="H158">
        <f>IF(OR(H$4="",$A158&gt;TODAY()),0,IF(OR(INDEX($B158:$D158,H$5)="F",AND(H$6&gt;0,$A158&lt;H$6),AND(H$7&gt;0,$A158&gt;H$7)),0,MAX(0,ROUND((INDEX($E158:$G158,H$5)-SUMIFS(TF_Timer,TF_Tekniker,H$4,TF_Dato,$A158))*2,0)/2)))</f>
        <v/>
      </c>
      <c r="I158">
        <f>IF(OR(I$4="",$A158&gt;TODAY()),0,IF(OR(INDEX($B158:$D158,I$5)="F",AND(I$6&gt;0,$A158&lt;I$6),AND(I$7&gt;0,$A158&gt;I$7)),0,MAX(0,ROUND((INDEX($E158:$G158,I$5)-SUMIFS(TF_Timer,TF_Tekniker,I$4,TF_Dato,$A158))*2,0)/2)))</f>
        <v/>
      </c>
      <c r="J158">
        <f>IF(OR(J$4="",$A158&gt;TODAY()),0,IF(OR(INDEX($B158:$D158,J$5)="F",AND(J$6&gt;0,$A158&lt;J$6),AND(J$7&gt;0,$A158&gt;J$7)),0,MAX(0,ROUND((INDEX($E158:$G158,J$5)-SUMIFS(TF_Timer,TF_Tekniker,J$4,TF_Dato,$A158))*2,0)/2)))</f>
        <v/>
      </c>
      <c r="K158">
        <f>IF(OR(K$4="",$A158&gt;TODAY()),0,IF(OR(INDEX($B158:$D158,K$5)="F",AND(K$6&gt;0,$A158&lt;K$6),AND(K$7&gt;0,$A158&gt;K$7)),0,MAX(0,ROUND((INDEX($E158:$G158,K$5)-SUMIFS(TF_Timer,TF_Tekniker,K$4,TF_Dato,$A158))*2,0)/2)))</f>
        <v/>
      </c>
      <c r="L158">
        <f>IF(OR(L$4="",$A158&gt;TODAY()),0,IF(OR(INDEX($B158:$D158,L$5)="F",AND(L$6&gt;0,$A158&lt;L$6),AND(L$7&gt;0,$A158&gt;L$7)),0,MAX(0,ROUND((INDEX($E158:$G158,L$5)-SUMIFS(TF_Timer,TF_Tekniker,L$4,TF_Dato,$A158))*2,0)/2)))</f>
        <v/>
      </c>
      <c r="M158">
        <f>IF(OR(M$4="",$A158&gt;TODAY()),0,IF(OR(INDEX($B158:$D158,M$5)="F",AND(M$6&gt;0,$A158&lt;M$6),AND(M$7&gt;0,$A158&gt;M$7)),0,MAX(0,ROUND((INDEX($E158:$G158,M$5)-SUMIFS(TF_Timer,TF_Tekniker,M$4,TF_Dato,$A158))*2,0)/2)))</f>
        <v/>
      </c>
      <c r="N158">
        <f>IF(OR(N$4="",$A158&gt;TODAY()),0,IF(OR(INDEX($B158:$D158,N$5)="F",AND(N$6&gt;0,$A158&lt;N$6),AND(N$7&gt;0,$A158&gt;N$7)),0,MAX(0,ROUND((INDEX($E158:$G158,N$5)-SUMIFS(TF_Timer,TF_Tekniker,N$4,TF_Dato,$A158))*2,0)/2)))</f>
        <v/>
      </c>
      <c r="O158">
        <f>IF(OR(O$4="",$A158&gt;TODAY()),0,IF(OR(INDEX($B158:$D158,O$5)="F",AND(O$6&gt;0,$A158&lt;O$6),AND(O$7&gt;0,$A158&gt;O$7)),0,MAX(0,ROUND((INDEX($E158:$G158,O$5)-SUMIFS(TF_Timer,TF_Tekniker,O$4,TF_Dato,$A158))*2,0)/2)))</f>
        <v/>
      </c>
      <c r="P158">
        <f>IF(OR(P$4="",$A158&gt;TODAY()),0,IF(OR(INDEX($B158:$D158,P$5)="F",AND(P$6&gt;0,$A158&lt;P$6),AND(P$7&gt;0,$A158&gt;P$7)),0,MAX(0,ROUND((INDEX($E158:$G158,P$5)-SUMIFS(TF_Timer,TF_Tekniker,P$4,TF_Dato,$A158))*2,0)/2)))</f>
        <v/>
      </c>
      <c r="Q158">
        <f>IF(OR(Q$4="",$A158&gt;TODAY()),0,IF(OR(INDEX($B158:$D158,Q$5)="F",AND(Q$6&gt;0,$A158&lt;Q$6),AND(Q$7&gt;0,$A158&gt;Q$7)),0,MAX(0,ROUND((INDEX($E158:$G158,Q$5)-SUMIFS(TF_Timer,TF_Tekniker,Q$4,TF_Dato,$A158))*2,0)/2)))</f>
        <v/>
      </c>
      <c r="R158">
        <f>IF(OR(R$4="",$A158&gt;TODAY()),0,IF(OR(INDEX($B158:$D158,R$5)="F",AND(R$6&gt;0,$A158&lt;R$6),AND(R$7&gt;0,$A158&gt;R$7)),0,MAX(0,ROUND((INDEX($E158:$G158,R$5)-SUMIFS(TF_Timer,TF_Tekniker,R$4,TF_Dato,$A158))*2,0)/2)))</f>
        <v/>
      </c>
      <c r="S158">
        <f>IF(OR(S$4="",$A158&gt;TODAY()),0,IF(OR(INDEX($B158:$D158,S$5)="F",AND(S$6&gt;0,$A158&lt;S$6),AND(S$7&gt;0,$A158&gt;S$7)),0,MAX(0,ROUND((INDEX($E158:$G158,S$5)-SUMIFS(TF_Timer,TF_Tekniker,S$4,TF_Dato,$A158))*2,0)/2)))</f>
        <v/>
      </c>
      <c r="T158">
        <f>IF(OR(T$4="",$A158&gt;TODAY()),0,IF(OR(INDEX($B158:$D158,T$5)="F",AND(T$6&gt;0,$A158&lt;T$6),AND(T$7&gt;0,$A158&gt;T$7)),0,MAX(0,ROUND((INDEX($E158:$G158,T$5)-SUMIFS(TF_Timer,TF_Tekniker,T$4,TF_Dato,$A158))*2,0)/2)))</f>
        <v/>
      </c>
      <c r="U158">
        <f>IF(OR(U$4="",$A158&gt;TODAY()),0,IF(OR(INDEX($B158:$D158,U$5)="F",AND(U$6&gt;0,$A158&lt;U$6),AND(U$7&gt;0,$A158&gt;U$7)),0,MAX(0,ROUND((INDEX($E158:$G158,U$5)-SUMIFS(TF_Timer,TF_Tekniker,U$4,TF_Dato,$A158))*2,0)/2)))</f>
        <v/>
      </c>
      <c r="V158">
        <f>IF(OR(V$4="",$A158&gt;TODAY()),0,IF(OR(INDEX($B158:$D158,V$5)="F",AND(V$6&gt;0,$A158&lt;V$6),AND(V$7&gt;0,$A158&gt;V$7)),0,MAX(0,ROUND((INDEX($E158:$G158,V$5)-SUMIFS(TF_Timer,TF_Tekniker,V$4,TF_Dato,$A158))*2,0)/2)))</f>
        <v/>
      </c>
      <c r="W158">
        <f>IF(OR(W$4="",$A158&gt;TODAY()),0,IF(OR(INDEX($B158:$D158,W$5)="F",AND(W$6&gt;0,$A158&lt;W$6),AND(W$7&gt;0,$A158&gt;W$7)),0,MAX(0,ROUND((INDEX($E158:$G158,W$5)-SUMIFS(TF_Timer,TF_Tekniker,W$4,TF_Dato,$A158))*2,0)/2)))</f>
        <v/>
      </c>
      <c r="X158">
        <f>IF(OR(X$4="",$A158&gt;TODAY()),0,IF(OR(INDEX($B158:$D158,X$5)="F",AND(X$6&gt;0,$A158&lt;X$6),AND(X$7&gt;0,$A158&gt;X$7)),0,MAX(0,ROUND((INDEX($E158:$G158,X$5)-SUMIFS(TF_Timer,TF_Tekniker,X$4,TF_Dato,$A158))*2,0)/2)))</f>
        <v/>
      </c>
      <c r="Y158">
        <f>IF(OR(Y$4="",$A158&gt;TODAY()),0,IF(OR(INDEX($B158:$D158,Y$5)="F",AND(Y$6&gt;0,$A158&lt;Y$6),AND(Y$7&gt;0,$A158&gt;Y$7)),0,MAX(0,ROUND((INDEX($E158:$G158,Y$5)-SUMIFS(TF_Timer,TF_Tekniker,Y$4,TF_Dato,$A158))*2,0)/2)))</f>
        <v/>
      </c>
      <c r="Z158">
        <f>IF(OR(Z$4="",$A158&gt;TODAY()),0,IF(OR(INDEX($B158:$D158,Z$5)="F",AND(Z$6&gt;0,$A158&lt;Z$6),AND(Z$7&gt;0,$A158&gt;Z$7)),0,MAX(0,ROUND((INDEX($E158:$G158,Z$5)-SUMIFS(TF_Timer,TF_Tekniker,Z$4,TF_Dato,$A158))*2,0)/2)))</f>
        <v/>
      </c>
      <c r="AA158">
        <f>IF(OR(AA$4="",$A158&gt;TODAY()),0,IF(OR(INDEX($B158:$D158,AA$5)="F",AND(AA$6&gt;0,$A158&lt;AA$6),AND(AA$7&gt;0,$A158&gt;AA$7)),0,MAX(0,ROUND((INDEX($E158:$G158,AA$5)-SUMIFS(TF_Timer,TF_Tekniker,AA$4,TF_Dato,$A158))*2,0)/2)))</f>
        <v/>
      </c>
      <c r="AB158">
        <f>IF(OR(AB$4="",$A158&gt;TODAY()),0,IF(OR(INDEX($B158:$D158,AB$5)="F",AND(AB$6&gt;0,$A158&lt;AB$6),AND(AB$7&gt;0,$A158&gt;AB$7)),0,MAX(0,ROUND((INDEX($E158:$G158,AB$5)-SUMIFS(TF_Timer,TF_Tekniker,AB$4,TF_Dato,$A158))*2,0)/2)))</f>
        <v/>
      </c>
      <c r="AC158">
        <f>IF(OR(AC$4="",$A158&gt;TODAY()),0,IF(OR(INDEX($B158:$D158,AC$5)="F",AND(AC$6&gt;0,$A158&lt;AC$6),AND(AC$7&gt;0,$A158&gt;AC$7)),0,MAX(0,ROUND((INDEX($E158:$G158,AC$5)-SUMIFS(TF_Timer,TF_Tekniker,AC$4,TF_Dato,$A158))*2,0)/2)))</f>
        <v/>
      </c>
      <c r="AD158">
        <f>IF(OR(AD$4="",$A158&gt;TODAY()),0,IF(OR(INDEX($B158:$D158,AD$5)="F",AND(AD$6&gt;0,$A158&lt;AD$6),AND(AD$7&gt;0,$A158&gt;AD$7)),0,MAX(0,ROUND((INDEX($E158:$G158,AD$5)-SUMIFS(TF_Timer,TF_Tekniker,AD$4,TF_Dato,$A158))*2,0)/2)))</f>
        <v/>
      </c>
      <c r="AE158">
        <f>IF(OR(AE$4="",$A158&gt;TODAY()),0,IF(OR(INDEX($B158:$D158,AE$5)="F",AND(AE$6&gt;0,$A158&lt;AE$6),AND(AE$7&gt;0,$A158&gt;AE$7)),0,MAX(0,ROUND((INDEX($E158:$G158,AE$5)-SUMIFS(TF_Timer,TF_Tekniker,AE$4,TF_Dato,$A158))*2,0)/2)))</f>
        <v/>
      </c>
      <c r="AF158">
        <f>IF(OR(AF$4="",$A158&gt;TODAY()),0,IF(OR(INDEX($B158:$D158,AF$5)="F",AND(AF$6&gt;0,$A158&lt;AF$6),AND(AF$7&gt;0,$A158&gt;AF$7)),0,MAX(0,ROUND((INDEX($E158:$G158,AF$5)-SUMIFS(TF_Timer,TF_Tekniker,AF$4,TF_Dato,$A158))*2,0)/2)))</f>
        <v/>
      </c>
      <c r="AG158">
        <f>IF(OR(AG$4="",$A158&gt;TODAY()),0,IF(OR(INDEX($B158:$D158,AG$5)="F",AND(AG$6&gt;0,$A158&lt;AG$6),AND(AG$7&gt;0,$A158&gt;AG$7)),0,MAX(0,ROUND((INDEX($E158:$G158,AG$5)-SUMIFS(TF_Timer,TF_Tekniker,AG$4,TF_Dato,$A158))*2,0)/2)))</f>
        <v/>
      </c>
      <c r="AH158">
        <f>IF(OR(AH$4="",$A158&gt;TODAY()),0,IF(OR(INDEX($B158:$D158,AH$5)="F",AND(AH$6&gt;0,$A158&lt;AH$6),AND(AH$7&gt;0,$A158&gt;AH$7)),0,MAX(0,ROUND((INDEX($E158:$G158,AH$5)-SUMIFS(TF_Timer,TF_Tekniker,AH$4,TF_Dato,$A158))*2,0)/2)))</f>
        <v/>
      </c>
      <c r="AI158">
        <f>IF(OR(AI$4="",$A158&gt;TODAY()),0,IF(OR(INDEX($B158:$D158,AI$5)="F",AND(AI$6&gt;0,$A158&lt;AI$6),AND(AI$7&gt;0,$A158&gt;AI$7)),0,MAX(0,ROUND((INDEX($E158:$G158,AI$5)-SUMIFS(TF_Timer,TF_Tekniker,AI$4,TF_Dato,$A158))*2,0)/2)))</f>
        <v/>
      </c>
      <c r="AJ158">
        <f>IF(OR(AJ$4="",$A158&gt;TODAY()),0,IF(OR(INDEX($B158:$D158,AJ$5)="F",AND(AJ$6&gt;0,$A158&lt;AJ$6),AND(AJ$7&gt;0,$A158&gt;AJ$7)),0,MAX(0,ROUND((INDEX($E158:$G158,AJ$5)-SUMIFS(TF_Timer,TF_Tekniker,AJ$4,TF_Dato,$A158))*2,0)/2)))</f>
        <v/>
      </c>
      <c r="AK158">
        <f>IF(OR(AK$4="",$A158&gt;TODAY()),0,IF(OR(INDEX($B158:$D158,AK$5)="F",AND(AK$6&gt;0,$A158&lt;AK$6),AND(AK$7&gt;0,$A158&gt;AK$7)),0,MAX(0,ROUND((INDEX($E158:$G158,AK$5)-SUMIFS(TF_Timer,TF_Tekniker,AK$4,TF_Dato,$A158))*2,0)/2)))</f>
        <v/>
      </c>
      <c r="AL158">
        <f>IF(OR(AL$4="",$A158&gt;TODAY()),0,IF(OR(INDEX($B158:$D158,AL$5)="F",AND(AL$6&gt;0,$A158&lt;AL$6),AND(AL$7&gt;0,$A158&gt;AL$7)),0,MAX(0,ROUND((INDEX($E158:$G158,AL$5)-SUMIFS(TF_Timer,TF_Tekniker,AL$4,TF_Dato,$A158))*2,0)/2)))</f>
        <v/>
      </c>
      <c r="AM158">
        <f>IF(OR(AM$4="",$A158&gt;TODAY()),0,IF(OR(INDEX($B158:$D158,AM$5)="F",AND(AM$6&gt;0,$A158&lt;AM$6),AND(AM$7&gt;0,$A158&gt;AM$7)),0,MAX(0,ROUND((INDEX($E158:$G158,AM$5)-SUMIFS(TF_Timer,TF_Tekniker,AM$4,TF_Dato,$A158))*2,0)/2)))</f>
        <v/>
      </c>
      <c r="AN158">
        <f>IF(OR(AN$4="",$A158&gt;TODAY()),0,IF(OR(INDEX($B158:$D158,AN$5)="F",AND(AN$6&gt;0,$A158&lt;AN$6),AND(AN$7&gt;0,$A158&gt;AN$7)),0,MAX(0,ROUND((INDEX($E158:$G158,AN$5)-SUMIFS(TF_Timer,TF_Tekniker,AN$4,TF_Dato,$A158))*2,0)/2)))</f>
        <v/>
      </c>
      <c r="AO158">
        <f>IF(OR(AO$4="",$A158&gt;TODAY()),0,IF(OR(INDEX($B158:$D158,AO$5)="F",AND(AO$6&gt;0,$A158&lt;AO$6),AND(AO$7&gt;0,$A158&gt;AO$7)),0,MAX(0,ROUND((INDEX($E158:$G158,AO$5)-SUMIFS(TF_Timer,TF_Tekniker,AO$4,TF_Dato,$A158))*2,0)/2)))</f>
        <v/>
      </c>
      <c r="AP158">
        <f>IF(OR(AP$4="",$A158&gt;TODAY()),0,IF(OR(INDEX($B158:$D158,AP$5)="F",AND(AP$6&gt;0,$A158&lt;AP$6),AND(AP$7&gt;0,$A158&gt;AP$7)),0,MAX(0,ROUND((INDEX($E158:$G158,AP$5)-SUMIFS(TF_Timer,TF_Tekniker,AP$4,TF_Dato,$A158))*2,0)/2)))</f>
        <v/>
      </c>
      <c r="AQ158">
        <f>IF(OR(AQ$4="",$A158&gt;TODAY()),0,IF(OR(INDEX($B158:$D158,AQ$5)="F",AND(AQ$6&gt;0,$A158&lt;AQ$6),AND(AQ$7&gt;0,$A158&gt;AQ$7)),0,MAX(0,ROUND((INDEX($E158:$G158,AQ$5)-SUMIFS(TF_Timer,TF_Tekniker,AQ$4,TF_Dato,$A158))*2,0)/2)))</f>
        <v/>
      </c>
      <c r="AR158">
        <f>IF(OR(AR$4="",$A158&gt;TODAY()),0,IF(OR(INDEX($B158:$D158,AR$5)="F",AND(AR$6&gt;0,$A158&lt;AR$6),AND(AR$7&gt;0,$A158&gt;AR$7)),0,MAX(0,ROUND((INDEX($E158:$G158,AR$5)-SUMIFS(TF_Timer,TF_Tekniker,AR$4,TF_Dato,$A158))*2,0)/2)))</f>
        <v/>
      </c>
      <c r="AS158">
        <f>IF(OR(AS$4="",$A158&gt;TODAY()),0,IF(OR(INDEX($B158:$D158,AS$5)="F",AND(AS$6&gt;0,$A158&lt;AS$6),AND(AS$7&gt;0,$A158&gt;AS$7)),0,MAX(0,ROUND((INDEX($E158:$G158,AS$5)-SUMIFS(TF_Timer,TF_Tekniker,AS$4,TF_Dato,$A158))*2,0)/2)))</f>
        <v/>
      </c>
      <c r="AT158">
        <f>IF(OR(AT$4="",$A158&gt;TODAY()),0,IF(OR(INDEX($B158:$D158,AT$5)="F",AND(AT$6&gt;0,$A158&lt;AT$6),AND(AT$7&gt;0,$A158&gt;AT$7)),0,MAX(0,ROUND((INDEX($E158:$G158,AT$5)-SUMIFS(TF_Timer,TF_Tekniker,AT$4,TF_Dato,$A158))*2,0)/2)))</f>
        <v/>
      </c>
      <c r="AU158">
        <f>IF(OR(AU$4="",$A158&gt;TODAY()),0,IF(OR(INDEX($B158:$D158,AU$5)="F",AND(AU$6&gt;0,$A158&lt;AU$6),AND(AU$7&gt;0,$A158&gt;AU$7)),0,MAX(0,ROUND((INDEX($E158:$G158,AU$5)-SUMIFS(TF_Timer,TF_Tekniker,AU$4,TF_Dato,$A158))*2,0)/2)))</f>
        <v/>
      </c>
      <c r="AV158">
        <f>IF(OR(AV$4="",$A158&gt;TODAY()),0,IF(OR(INDEX($B158:$D158,AV$5)="F",AND(AV$6&gt;0,$A158&lt;AV$6),AND(AV$7&gt;0,$A158&gt;AV$7)),0,MAX(0,ROUND((INDEX($E158:$G158,AV$5)-SUMIFS(TF_Timer,TF_Tekniker,AV$4,TF_Dato,$A158))*2,0)/2)))</f>
        <v/>
      </c>
      <c r="AW158">
        <f>IF(OR(AW$4="",$A158&gt;TODAY()),0,IF(OR(INDEX($B158:$D158,AW$5)="F",AND(AW$6&gt;0,$A158&lt;AW$6),AND(AW$7&gt;0,$A158&gt;AW$7)),0,MAX(0,ROUND((INDEX($E158:$G158,AW$5)-SUMIFS(TF_Timer,TF_Tekniker,AW$4,TF_Dato,$A158))*2,0)/2)))</f>
        <v/>
      </c>
      <c r="AX158">
        <f>IF(OR(AX$4="",$A158&gt;TODAY()),0,IF(OR(INDEX($B158:$D158,AX$5)="F",AND(AX$6&gt;0,$A158&lt;AX$6),AND(AX$7&gt;0,$A158&gt;AX$7)),0,MAX(0,ROUND((INDEX($E158:$G158,AX$5)-SUMIFS(TF_Timer,TF_Tekniker,AX$4,TF_Dato,$A158))*2,0)/2)))</f>
        <v/>
      </c>
      <c r="AY158">
        <f>IF(OR(AY$4="",$A158&gt;TODAY()),0,IF(OR(INDEX($B158:$D158,AY$5)="F",AND(AY$6&gt;0,$A158&lt;AY$6),AND(AY$7&gt;0,$A158&gt;AY$7)),0,MAX(0,ROUND((INDEX($E158:$G158,AY$5)-SUMIFS(TF_Timer,TF_Tekniker,AY$4,TF_Dato,$A158))*2,0)/2)))</f>
        <v/>
      </c>
      <c r="AZ158">
        <f>IF(OR(AZ$4="",$A158&gt;TODAY()),0,IF(OR(INDEX($B158:$D158,AZ$5)="F",AND(AZ$6&gt;0,$A158&lt;AZ$6),AND(AZ$7&gt;0,$A158&gt;AZ$7)),0,MAX(0,ROUND((INDEX($E158:$G158,AZ$5)-SUMIFS(TF_Timer,TF_Tekniker,AZ$4,TF_Dato,$A158))*2,0)/2)))</f>
        <v/>
      </c>
      <c r="BA158">
        <f>IF(OR(BA$4="",$A158&gt;TODAY()),0,IF(OR(INDEX($B158:$D158,BA$5)="F",AND(BA$6&gt;0,$A158&lt;BA$6),AND(BA$7&gt;0,$A158&gt;BA$7)),0,MAX(0,ROUND((INDEX($E158:$G158,BA$5)-SUMIFS(TF_Timer,TF_Tekniker,BA$4,TF_Dato,$A158))*2,0)/2)))</f>
        <v/>
      </c>
      <c r="BB158">
        <f>IF(OR(BB$4="",$A158&gt;TODAY()),0,IF(OR(INDEX($B158:$D158,BB$5)="F",AND(BB$6&gt;0,$A158&lt;BB$6),AND(BB$7&gt;0,$A158&gt;BB$7)),0,MAX(0,ROUND((INDEX($E158:$G158,BB$5)-SUMIFS(TF_Timer,TF_Tekniker,BB$4,TF_Dato,$A158))*2,0)/2)))</f>
        <v/>
      </c>
      <c r="BC158">
        <f>IF(OR(BC$4="",$A158&gt;TODAY()),0,IF(OR(INDEX($B158:$D158,BC$5)="F",AND(BC$6&gt;0,$A158&lt;BC$6),AND(BC$7&gt;0,$A158&gt;BC$7)),0,MAX(0,ROUND((INDEX($E158:$G158,BC$5)-SUMIFS(TF_Timer,TF_Tekniker,BC$4,TF_Dato,$A158))*2,0)/2)))</f>
        <v/>
      </c>
      <c r="BD158">
        <f>IF(OR(BD$4="",$A158&gt;TODAY()),0,IF(OR(INDEX($B158:$D158,BD$5)="F",AND(BD$6&gt;0,$A158&lt;BD$6),AND(BD$7&gt;0,$A158&gt;BD$7)),0,MAX(0,ROUND((INDEX($E158:$G158,BD$5)-SUMIFS(TF_Timer,TF_Tekniker,BD$4,TF_Dato,$A158))*2,0)/2)))</f>
        <v/>
      </c>
      <c r="BE158">
        <f>IF(OR(BE$4="",$A158&gt;TODAY()),0,IF(OR(INDEX($B158:$D158,BE$5)="F",AND(BE$6&gt;0,$A158&lt;BE$6),AND(BE$7&gt;0,$A158&gt;BE$7)),0,MAX(0,ROUND((INDEX($E158:$G158,BE$5)-SUMIFS(TF_Timer,TF_Tekniker,BE$4,TF_Dato,$A158))*2,0)/2)))</f>
        <v/>
      </c>
      <c r="BF158">
        <f>IF(OR(BF$4="",$A158&gt;TODAY()),0,IF(OR(INDEX($B158:$D158,BF$5)="F",AND(BF$6&gt;0,$A158&lt;BF$6),AND(BF$7&gt;0,$A158&gt;BF$7)),0,MAX(0,ROUND((INDEX($E158:$G158,BF$5)-SUMIFS(TF_Timer,TF_Tekniker,BF$4,TF_Dato,$A158))*2,0)/2)))</f>
        <v/>
      </c>
      <c r="BG158">
        <f>IF(OR(BG$4="",$A158&gt;TODAY()),0,IF(OR(INDEX($B158:$D158,BG$5)="F",AND(BG$6&gt;0,$A158&lt;BG$6),AND(BG$7&gt;0,$A158&gt;BG$7)),0,MAX(0,ROUND((INDEX($E158:$G158,BG$5)-SUMIFS(TF_Timer,TF_Tekniker,BG$4,TF_Dato,$A158))*2,0)/2)))</f>
        <v/>
      </c>
      <c r="BH158">
        <f>IF(OR(BH$4="",$A158&gt;TODAY()),0,IF(OR(INDEX($B158:$D158,BH$5)="F",AND(BH$6&gt;0,$A158&lt;BH$6),AND(BH$7&gt;0,$A158&gt;BH$7)),0,MAX(0,ROUND((INDEX($E158:$G158,BH$5)-SUMIFS(TF_Timer,TF_Tekniker,BH$4,TF_Dato,$A158))*2,0)/2)))</f>
        <v/>
      </c>
      <c r="BI158">
        <f>IF(OR(BI$4="",$A158&gt;TODAY()),0,IF(OR(INDEX($B158:$D158,BI$5)="F",AND(BI$6&gt;0,$A158&lt;BI$6),AND(BI$7&gt;0,$A158&gt;BI$7)),0,MAX(0,ROUND((INDEX($E158:$G158,BI$5)-SUMIFS(TF_Timer,TF_Tekniker,BI$4,TF_Dato,$A158))*2,0)/2)))</f>
        <v/>
      </c>
    </row>
    <row r="159">
      <c r="A159" s="64">
        <f>A158+1</f>
        <v/>
      </c>
      <c r="B159">
        <f>IF(MOD($A159-INDEX(SkiftStart,1),Syklus)&lt;DagK,"K",IF(MOD($A159-INDEX(SkiftStart,1),Syklus)&lt;DagK+DagH,"H",IF(MOD($A159-INDEX(SkiftStart,1),Syklus)&lt;DagK+DagH+DagD,"D","F")))</f>
        <v/>
      </c>
      <c r="C159">
        <f>IF(MOD($A159-INDEX(SkiftStart,2),Syklus)&lt;DagK,"K",IF(MOD($A159-INDEX(SkiftStart,2),Syklus)&lt;DagK+DagH,"H",IF(MOD($A159-INDEX(SkiftStart,2),Syklus)&lt;DagK+DagH+DagD,"D","F")))</f>
        <v/>
      </c>
      <c r="D159">
        <f>IF(MOD($A159-INDEX(SkiftStart,3),Syklus)&lt;DagK,"K",IF(MOD($A159-INDEX(SkiftStart,3),Syklus)&lt;DagK+DagH,"H",IF(MOD($A159-INDEX(SkiftStart,3),Syklus)&lt;DagK+DagH+DagD,"D","F")))</f>
        <v/>
      </c>
      <c r="E159">
        <f>IF(B159="F",0,IF(WEEKDAY($A159,2)=5,INDEX(TimerFr,MATCH(B159,FaseKode,0)),INDEX(TimerMT,MATCH(B159,FaseKode,0))))</f>
        <v/>
      </c>
      <c r="F159">
        <f>IF(C159="F",0,IF(WEEKDAY($A159,2)=5,INDEX(TimerFr,MATCH(C159,FaseKode,0)),INDEX(TimerMT,MATCH(C159,FaseKode,0))))</f>
        <v/>
      </c>
      <c r="G159">
        <f>IF(D159="F",0,IF(WEEKDAY($A159,2)=5,INDEX(TimerFr,MATCH(D159,FaseKode,0)),INDEX(TimerMT,MATCH(D159,FaseKode,0))))</f>
        <v/>
      </c>
      <c r="H159">
        <f>IF(OR(H$4="",$A159&gt;TODAY()),0,IF(OR(INDEX($B159:$D159,H$5)="F",AND(H$6&gt;0,$A159&lt;H$6),AND(H$7&gt;0,$A159&gt;H$7)),0,MAX(0,ROUND((INDEX($E159:$G159,H$5)-SUMIFS(TF_Timer,TF_Tekniker,H$4,TF_Dato,$A159))*2,0)/2)))</f>
        <v/>
      </c>
      <c r="I159">
        <f>IF(OR(I$4="",$A159&gt;TODAY()),0,IF(OR(INDEX($B159:$D159,I$5)="F",AND(I$6&gt;0,$A159&lt;I$6),AND(I$7&gt;0,$A159&gt;I$7)),0,MAX(0,ROUND((INDEX($E159:$G159,I$5)-SUMIFS(TF_Timer,TF_Tekniker,I$4,TF_Dato,$A159))*2,0)/2)))</f>
        <v/>
      </c>
      <c r="J159">
        <f>IF(OR(J$4="",$A159&gt;TODAY()),0,IF(OR(INDEX($B159:$D159,J$5)="F",AND(J$6&gt;0,$A159&lt;J$6),AND(J$7&gt;0,$A159&gt;J$7)),0,MAX(0,ROUND((INDEX($E159:$G159,J$5)-SUMIFS(TF_Timer,TF_Tekniker,J$4,TF_Dato,$A159))*2,0)/2)))</f>
        <v/>
      </c>
      <c r="K159">
        <f>IF(OR(K$4="",$A159&gt;TODAY()),0,IF(OR(INDEX($B159:$D159,K$5)="F",AND(K$6&gt;0,$A159&lt;K$6),AND(K$7&gt;0,$A159&gt;K$7)),0,MAX(0,ROUND((INDEX($E159:$G159,K$5)-SUMIFS(TF_Timer,TF_Tekniker,K$4,TF_Dato,$A159))*2,0)/2)))</f>
        <v/>
      </c>
      <c r="L159">
        <f>IF(OR(L$4="",$A159&gt;TODAY()),0,IF(OR(INDEX($B159:$D159,L$5)="F",AND(L$6&gt;0,$A159&lt;L$6),AND(L$7&gt;0,$A159&gt;L$7)),0,MAX(0,ROUND((INDEX($E159:$G159,L$5)-SUMIFS(TF_Timer,TF_Tekniker,L$4,TF_Dato,$A159))*2,0)/2)))</f>
        <v/>
      </c>
      <c r="M159">
        <f>IF(OR(M$4="",$A159&gt;TODAY()),0,IF(OR(INDEX($B159:$D159,M$5)="F",AND(M$6&gt;0,$A159&lt;M$6),AND(M$7&gt;0,$A159&gt;M$7)),0,MAX(0,ROUND((INDEX($E159:$G159,M$5)-SUMIFS(TF_Timer,TF_Tekniker,M$4,TF_Dato,$A159))*2,0)/2)))</f>
        <v/>
      </c>
      <c r="N159">
        <f>IF(OR(N$4="",$A159&gt;TODAY()),0,IF(OR(INDEX($B159:$D159,N$5)="F",AND(N$6&gt;0,$A159&lt;N$6),AND(N$7&gt;0,$A159&gt;N$7)),0,MAX(0,ROUND((INDEX($E159:$G159,N$5)-SUMIFS(TF_Timer,TF_Tekniker,N$4,TF_Dato,$A159))*2,0)/2)))</f>
        <v/>
      </c>
      <c r="O159">
        <f>IF(OR(O$4="",$A159&gt;TODAY()),0,IF(OR(INDEX($B159:$D159,O$5)="F",AND(O$6&gt;0,$A159&lt;O$6),AND(O$7&gt;0,$A159&gt;O$7)),0,MAX(0,ROUND((INDEX($E159:$G159,O$5)-SUMIFS(TF_Timer,TF_Tekniker,O$4,TF_Dato,$A159))*2,0)/2)))</f>
        <v/>
      </c>
      <c r="P159">
        <f>IF(OR(P$4="",$A159&gt;TODAY()),0,IF(OR(INDEX($B159:$D159,P$5)="F",AND(P$6&gt;0,$A159&lt;P$6),AND(P$7&gt;0,$A159&gt;P$7)),0,MAX(0,ROUND((INDEX($E159:$G159,P$5)-SUMIFS(TF_Timer,TF_Tekniker,P$4,TF_Dato,$A159))*2,0)/2)))</f>
        <v/>
      </c>
      <c r="Q159">
        <f>IF(OR(Q$4="",$A159&gt;TODAY()),0,IF(OR(INDEX($B159:$D159,Q$5)="F",AND(Q$6&gt;0,$A159&lt;Q$6),AND(Q$7&gt;0,$A159&gt;Q$7)),0,MAX(0,ROUND((INDEX($E159:$G159,Q$5)-SUMIFS(TF_Timer,TF_Tekniker,Q$4,TF_Dato,$A159))*2,0)/2)))</f>
        <v/>
      </c>
      <c r="R159">
        <f>IF(OR(R$4="",$A159&gt;TODAY()),0,IF(OR(INDEX($B159:$D159,R$5)="F",AND(R$6&gt;0,$A159&lt;R$6),AND(R$7&gt;0,$A159&gt;R$7)),0,MAX(0,ROUND((INDEX($E159:$G159,R$5)-SUMIFS(TF_Timer,TF_Tekniker,R$4,TF_Dato,$A159))*2,0)/2)))</f>
        <v/>
      </c>
      <c r="S159">
        <f>IF(OR(S$4="",$A159&gt;TODAY()),0,IF(OR(INDEX($B159:$D159,S$5)="F",AND(S$6&gt;0,$A159&lt;S$6),AND(S$7&gt;0,$A159&gt;S$7)),0,MAX(0,ROUND((INDEX($E159:$G159,S$5)-SUMIFS(TF_Timer,TF_Tekniker,S$4,TF_Dato,$A159))*2,0)/2)))</f>
        <v/>
      </c>
      <c r="T159">
        <f>IF(OR(T$4="",$A159&gt;TODAY()),0,IF(OR(INDEX($B159:$D159,T$5)="F",AND(T$6&gt;0,$A159&lt;T$6),AND(T$7&gt;0,$A159&gt;T$7)),0,MAX(0,ROUND((INDEX($E159:$G159,T$5)-SUMIFS(TF_Timer,TF_Tekniker,T$4,TF_Dato,$A159))*2,0)/2)))</f>
        <v/>
      </c>
      <c r="U159">
        <f>IF(OR(U$4="",$A159&gt;TODAY()),0,IF(OR(INDEX($B159:$D159,U$5)="F",AND(U$6&gt;0,$A159&lt;U$6),AND(U$7&gt;0,$A159&gt;U$7)),0,MAX(0,ROUND((INDEX($E159:$G159,U$5)-SUMIFS(TF_Timer,TF_Tekniker,U$4,TF_Dato,$A159))*2,0)/2)))</f>
        <v/>
      </c>
      <c r="V159">
        <f>IF(OR(V$4="",$A159&gt;TODAY()),0,IF(OR(INDEX($B159:$D159,V$5)="F",AND(V$6&gt;0,$A159&lt;V$6),AND(V$7&gt;0,$A159&gt;V$7)),0,MAX(0,ROUND((INDEX($E159:$G159,V$5)-SUMIFS(TF_Timer,TF_Tekniker,V$4,TF_Dato,$A159))*2,0)/2)))</f>
        <v/>
      </c>
      <c r="W159">
        <f>IF(OR(W$4="",$A159&gt;TODAY()),0,IF(OR(INDEX($B159:$D159,W$5)="F",AND(W$6&gt;0,$A159&lt;W$6),AND(W$7&gt;0,$A159&gt;W$7)),0,MAX(0,ROUND((INDEX($E159:$G159,W$5)-SUMIFS(TF_Timer,TF_Tekniker,W$4,TF_Dato,$A159))*2,0)/2)))</f>
        <v/>
      </c>
      <c r="X159">
        <f>IF(OR(X$4="",$A159&gt;TODAY()),0,IF(OR(INDEX($B159:$D159,X$5)="F",AND(X$6&gt;0,$A159&lt;X$6),AND(X$7&gt;0,$A159&gt;X$7)),0,MAX(0,ROUND((INDEX($E159:$G159,X$5)-SUMIFS(TF_Timer,TF_Tekniker,X$4,TF_Dato,$A159))*2,0)/2)))</f>
        <v/>
      </c>
      <c r="Y159">
        <f>IF(OR(Y$4="",$A159&gt;TODAY()),0,IF(OR(INDEX($B159:$D159,Y$5)="F",AND(Y$6&gt;0,$A159&lt;Y$6),AND(Y$7&gt;0,$A159&gt;Y$7)),0,MAX(0,ROUND((INDEX($E159:$G159,Y$5)-SUMIFS(TF_Timer,TF_Tekniker,Y$4,TF_Dato,$A159))*2,0)/2)))</f>
        <v/>
      </c>
      <c r="Z159">
        <f>IF(OR(Z$4="",$A159&gt;TODAY()),0,IF(OR(INDEX($B159:$D159,Z$5)="F",AND(Z$6&gt;0,$A159&lt;Z$6),AND(Z$7&gt;0,$A159&gt;Z$7)),0,MAX(0,ROUND((INDEX($E159:$G159,Z$5)-SUMIFS(TF_Timer,TF_Tekniker,Z$4,TF_Dato,$A159))*2,0)/2)))</f>
        <v/>
      </c>
      <c r="AA159">
        <f>IF(OR(AA$4="",$A159&gt;TODAY()),0,IF(OR(INDEX($B159:$D159,AA$5)="F",AND(AA$6&gt;0,$A159&lt;AA$6),AND(AA$7&gt;0,$A159&gt;AA$7)),0,MAX(0,ROUND((INDEX($E159:$G159,AA$5)-SUMIFS(TF_Timer,TF_Tekniker,AA$4,TF_Dato,$A159))*2,0)/2)))</f>
        <v/>
      </c>
      <c r="AB159">
        <f>IF(OR(AB$4="",$A159&gt;TODAY()),0,IF(OR(INDEX($B159:$D159,AB$5)="F",AND(AB$6&gt;0,$A159&lt;AB$6),AND(AB$7&gt;0,$A159&gt;AB$7)),0,MAX(0,ROUND((INDEX($E159:$G159,AB$5)-SUMIFS(TF_Timer,TF_Tekniker,AB$4,TF_Dato,$A159))*2,0)/2)))</f>
        <v/>
      </c>
      <c r="AC159">
        <f>IF(OR(AC$4="",$A159&gt;TODAY()),0,IF(OR(INDEX($B159:$D159,AC$5)="F",AND(AC$6&gt;0,$A159&lt;AC$6),AND(AC$7&gt;0,$A159&gt;AC$7)),0,MAX(0,ROUND((INDEX($E159:$G159,AC$5)-SUMIFS(TF_Timer,TF_Tekniker,AC$4,TF_Dato,$A159))*2,0)/2)))</f>
        <v/>
      </c>
      <c r="AD159">
        <f>IF(OR(AD$4="",$A159&gt;TODAY()),0,IF(OR(INDEX($B159:$D159,AD$5)="F",AND(AD$6&gt;0,$A159&lt;AD$6),AND(AD$7&gt;0,$A159&gt;AD$7)),0,MAX(0,ROUND((INDEX($E159:$G159,AD$5)-SUMIFS(TF_Timer,TF_Tekniker,AD$4,TF_Dato,$A159))*2,0)/2)))</f>
        <v/>
      </c>
      <c r="AE159">
        <f>IF(OR(AE$4="",$A159&gt;TODAY()),0,IF(OR(INDEX($B159:$D159,AE$5)="F",AND(AE$6&gt;0,$A159&lt;AE$6),AND(AE$7&gt;0,$A159&gt;AE$7)),0,MAX(0,ROUND((INDEX($E159:$G159,AE$5)-SUMIFS(TF_Timer,TF_Tekniker,AE$4,TF_Dato,$A159))*2,0)/2)))</f>
        <v/>
      </c>
      <c r="AF159">
        <f>IF(OR(AF$4="",$A159&gt;TODAY()),0,IF(OR(INDEX($B159:$D159,AF$5)="F",AND(AF$6&gt;0,$A159&lt;AF$6),AND(AF$7&gt;0,$A159&gt;AF$7)),0,MAX(0,ROUND((INDEX($E159:$G159,AF$5)-SUMIFS(TF_Timer,TF_Tekniker,AF$4,TF_Dato,$A159))*2,0)/2)))</f>
        <v/>
      </c>
      <c r="AG159">
        <f>IF(OR(AG$4="",$A159&gt;TODAY()),0,IF(OR(INDEX($B159:$D159,AG$5)="F",AND(AG$6&gt;0,$A159&lt;AG$6),AND(AG$7&gt;0,$A159&gt;AG$7)),0,MAX(0,ROUND((INDEX($E159:$G159,AG$5)-SUMIFS(TF_Timer,TF_Tekniker,AG$4,TF_Dato,$A159))*2,0)/2)))</f>
        <v/>
      </c>
      <c r="AH159">
        <f>IF(OR(AH$4="",$A159&gt;TODAY()),0,IF(OR(INDEX($B159:$D159,AH$5)="F",AND(AH$6&gt;0,$A159&lt;AH$6),AND(AH$7&gt;0,$A159&gt;AH$7)),0,MAX(0,ROUND((INDEX($E159:$G159,AH$5)-SUMIFS(TF_Timer,TF_Tekniker,AH$4,TF_Dato,$A159))*2,0)/2)))</f>
        <v/>
      </c>
      <c r="AI159">
        <f>IF(OR(AI$4="",$A159&gt;TODAY()),0,IF(OR(INDEX($B159:$D159,AI$5)="F",AND(AI$6&gt;0,$A159&lt;AI$6),AND(AI$7&gt;0,$A159&gt;AI$7)),0,MAX(0,ROUND((INDEX($E159:$G159,AI$5)-SUMIFS(TF_Timer,TF_Tekniker,AI$4,TF_Dato,$A159))*2,0)/2)))</f>
        <v/>
      </c>
      <c r="AJ159">
        <f>IF(OR(AJ$4="",$A159&gt;TODAY()),0,IF(OR(INDEX($B159:$D159,AJ$5)="F",AND(AJ$6&gt;0,$A159&lt;AJ$6),AND(AJ$7&gt;0,$A159&gt;AJ$7)),0,MAX(0,ROUND((INDEX($E159:$G159,AJ$5)-SUMIFS(TF_Timer,TF_Tekniker,AJ$4,TF_Dato,$A159))*2,0)/2)))</f>
        <v/>
      </c>
      <c r="AK159">
        <f>IF(OR(AK$4="",$A159&gt;TODAY()),0,IF(OR(INDEX($B159:$D159,AK$5)="F",AND(AK$6&gt;0,$A159&lt;AK$6),AND(AK$7&gt;0,$A159&gt;AK$7)),0,MAX(0,ROUND((INDEX($E159:$G159,AK$5)-SUMIFS(TF_Timer,TF_Tekniker,AK$4,TF_Dato,$A159))*2,0)/2)))</f>
        <v/>
      </c>
      <c r="AL159">
        <f>IF(OR(AL$4="",$A159&gt;TODAY()),0,IF(OR(INDEX($B159:$D159,AL$5)="F",AND(AL$6&gt;0,$A159&lt;AL$6),AND(AL$7&gt;0,$A159&gt;AL$7)),0,MAX(0,ROUND((INDEX($E159:$G159,AL$5)-SUMIFS(TF_Timer,TF_Tekniker,AL$4,TF_Dato,$A159))*2,0)/2)))</f>
        <v/>
      </c>
      <c r="AM159">
        <f>IF(OR(AM$4="",$A159&gt;TODAY()),0,IF(OR(INDEX($B159:$D159,AM$5)="F",AND(AM$6&gt;0,$A159&lt;AM$6),AND(AM$7&gt;0,$A159&gt;AM$7)),0,MAX(0,ROUND((INDEX($E159:$G159,AM$5)-SUMIFS(TF_Timer,TF_Tekniker,AM$4,TF_Dato,$A159))*2,0)/2)))</f>
        <v/>
      </c>
      <c r="AN159">
        <f>IF(OR(AN$4="",$A159&gt;TODAY()),0,IF(OR(INDEX($B159:$D159,AN$5)="F",AND(AN$6&gt;0,$A159&lt;AN$6),AND(AN$7&gt;0,$A159&gt;AN$7)),0,MAX(0,ROUND((INDEX($E159:$G159,AN$5)-SUMIFS(TF_Timer,TF_Tekniker,AN$4,TF_Dato,$A159))*2,0)/2)))</f>
        <v/>
      </c>
      <c r="AO159">
        <f>IF(OR(AO$4="",$A159&gt;TODAY()),0,IF(OR(INDEX($B159:$D159,AO$5)="F",AND(AO$6&gt;0,$A159&lt;AO$6),AND(AO$7&gt;0,$A159&gt;AO$7)),0,MAX(0,ROUND((INDEX($E159:$G159,AO$5)-SUMIFS(TF_Timer,TF_Tekniker,AO$4,TF_Dato,$A159))*2,0)/2)))</f>
        <v/>
      </c>
      <c r="AP159">
        <f>IF(OR(AP$4="",$A159&gt;TODAY()),0,IF(OR(INDEX($B159:$D159,AP$5)="F",AND(AP$6&gt;0,$A159&lt;AP$6),AND(AP$7&gt;0,$A159&gt;AP$7)),0,MAX(0,ROUND((INDEX($E159:$G159,AP$5)-SUMIFS(TF_Timer,TF_Tekniker,AP$4,TF_Dato,$A159))*2,0)/2)))</f>
        <v/>
      </c>
      <c r="AQ159">
        <f>IF(OR(AQ$4="",$A159&gt;TODAY()),0,IF(OR(INDEX($B159:$D159,AQ$5)="F",AND(AQ$6&gt;0,$A159&lt;AQ$6),AND(AQ$7&gt;0,$A159&gt;AQ$7)),0,MAX(0,ROUND((INDEX($E159:$G159,AQ$5)-SUMIFS(TF_Timer,TF_Tekniker,AQ$4,TF_Dato,$A159))*2,0)/2)))</f>
        <v/>
      </c>
      <c r="AR159">
        <f>IF(OR(AR$4="",$A159&gt;TODAY()),0,IF(OR(INDEX($B159:$D159,AR$5)="F",AND(AR$6&gt;0,$A159&lt;AR$6),AND(AR$7&gt;0,$A159&gt;AR$7)),0,MAX(0,ROUND((INDEX($E159:$G159,AR$5)-SUMIFS(TF_Timer,TF_Tekniker,AR$4,TF_Dato,$A159))*2,0)/2)))</f>
        <v/>
      </c>
      <c r="AS159">
        <f>IF(OR(AS$4="",$A159&gt;TODAY()),0,IF(OR(INDEX($B159:$D159,AS$5)="F",AND(AS$6&gt;0,$A159&lt;AS$6),AND(AS$7&gt;0,$A159&gt;AS$7)),0,MAX(0,ROUND((INDEX($E159:$G159,AS$5)-SUMIFS(TF_Timer,TF_Tekniker,AS$4,TF_Dato,$A159))*2,0)/2)))</f>
        <v/>
      </c>
      <c r="AT159">
        <f>IF(OR(AT$4="",$A159&gt;TODAY()),0,IF(OR(INDEX($B159:$D159,AT$5)="F",AND(AT$6&gt;0,$A159&lt;AT$6),AND(AT$7&gt;0,$A159&gt;AT$7)),0,MAX(0,ROUND((INDEX($E159:$G159,AT$5)-SUMIFS(TF_Timer,TF_Tekniker,AT$4,TF_Dato,$A159))*2,0)/2)))</f>
        <v/>
      </c>
      <c r="AU159">
        <f>IF(OR(AU$4="",$A159&gt;TODAY()),0,IF(OR(INDEX($B159:$D159,AU$5)="F",AND(AU$6&gt;0,$A159&lt;AU$6),AND(AU$7&gt;0,$A159&gt;AU$7)),0,MAX(0,ROUND((INDEX($E159:$G159,AU$5)-SUMIFS(TF_Timer,TF_Tekniker,AU$4,TF_Dato,$A159))*2,0)/2)))</f>
        <v/>
      </c>
      <c r="AV159">
        <f>IF(OR(AV$4="",$A159&gt;TODAY()),0,IF(OR(INDEX($B159:$D159,AV$5)="F",AND(AV$6&gt;0,$A159&lt;AV$6),AND(AV$7&gt;0,$A159&gt;AV$7)),0,MAX(0,ROUND((INDEX($E159:$G159,AV$5)-SUMIFS(TF_Timer,TF_Tekniker,AV$4,TF_Dato,$A159))*2,0)/2)))</f>
        <v/>
      </c>
      <c r="AW159">
        <f>IF(OR(AW$4="",$A159&gt;TODAY()),0,IF(OR(INDEX($B159:$D159,AW$5)="F",AND(AW$6&gt;0,$A159&lt;AW$6),AND(AW$7&gt;0,$A159&gt;AW$7)),0,MAX(0,ROUND((INDEX($E159:$G159,AW$5)-SUMIFS(TF_Timer,TF_Tekniker,AW$4,TF_Dato,$A159))*2,0)/2)))</f>
        <v/>
      </c>
      <c r="AX159">
        <f>IF(OR(AX$4="",$A159&gt;TODAY()),0,IF(OR(INDEX($B159:$D159,AX$5)="F",AND(AX$6&gt;0,$A159&lt;AX$6),AND(AX$7&gt;0,$A159&gt;AX$7)),0,MAX(0,ROUND((INDEX($E159:$G159,AX$5)-SUMIFS(TF_Timer,TF_Tekniker,AX$4,TF_Dato,$A159))*2,0)/2)))</f>
        <v/>
      </c>
      <c r="AY159">
        <f>IF(OR(AY$4="",$A159&gt;TODAY()),0,IF(OR(INDEX($B159:$D159,AY$5)="F",AND(AY$6&gt;0,$A159&lt;AY$6),AND(AY$7&gt;0,$A159&gt;AY$7)),0,MAX(0,ROUND((INDEX($E159:$G159,AY$5)-SUMIFS(TF_Timer,TF_Tekniker,AY$4,TF_Dato,$A159))*2,0)/2)))</f>
        <v/>
      </c>
      <c r="AZ159">
        <f>IF(OR(AZ$4="",$A159&gt;TODAY()),0,IF(OR(INDEX($B159:$D159,AZ$5)="F",AND(AZ$6&gt;0,$A159&lt;AZ$6),AND(AZ$7&gt;0,$A159&gt;AZ$7)),0,MAX(0,ROUND((INDEX($E159:$G159,AZ$5)-SUMIFS(TF_Timer,TF_Tekniker,AZ$4,TF_Dato,$A159))*2,0)/2)))</f>
        <v/>
      </c>
      <c r="BA159">
        <f>IF(OR(BA$4="",$A159&gt;TODAY()),0,IF(OR(INDEX($B159:$D159,BA$5)="F",AND(BA$6&gt;0,$A159&lt;BA$6),AND(BA$7&gt;0,$A159&gt;BA$7)),0,MAX(0,ROUND((INDEX($E159:$G159,BA$5)-SUMIFS(TF_Timer,TF_Tekniker,BA$4,TF_Dato,$A159))*2,0)/2)))</f>
        <v/>
      </c>
      <c r="BB159">
        <f>IF(OR(BB$4="",$A159&gt;TODAY()),0,IF(OR(INDEX($B159:$D159,BB$5)="F",AND(BB$6&gt;0,$A159&lt;BB$6),AND(BB$7&gt;0,$A159&gt;BB$7)),0,MAX(0,ROUND((INDEX($E159:$G159,BB$5)-SUMIFS(TF_Timer,TF_Tekniker,BB$4,TF_Dato,$A159))*2,0)/2)))</f>
        <v/>
      </c>
      <c r="BC159">
        <f>IF(OR(BC$4="",$A159&gt;TODAY()),0,IF(OR(INDEX($B159:$D159,BC$5)="F",AND(BC$6&gt;0,$A159&lt;BC$6),AND(BC$7&gt;0,$A159&gt;BC$7)),0,MAX(0,ROUND((INDEX($E159:$G159,BC$5)-SUMIFS(TF_Timer,TF_Tekniker,BC$4,TF_Dato,$A159))*2,0)/2)))</f>
        <v/>
      </c>
      <c r="BD159">
        <f>IF(OR(BD$4="",$A159&gt;TODAY()),0,IF(OR(INDEX($B159:$D159,BD$5)="F",AND(BD$6&gt;0,$A159&lt;BD$6),AND(BD$7&gt;0,$A159&gt;BD$7)),0,MAX(0,ROUND((INDEX($E159:$G159,BD$5)-SUMIFS(TF_Timer,TF_Tekniker,BD$4,TF_Dato,$A159))*2,0)/2)))</f>
        <v/>
      </c>
      <c r="BE159">
        <f>IF(OR(BE$4="",$A159&gt;TODAY()),0,IF(OR(INDEX($B159:$D159,BE$5)="F",AND(BE$6&gt;0,$A159&lt;BE$6),AND(BE$7&gt;0,$A159&gt;BE$7)),0,MAX(0,ROUND((INDEX($E159:$G159,BE$5)-SUMIFS(TF_Timer,TF_Tekniker,BE$4,TF_Dato,$A159))*2,0)/2)))</f>
        <v/>
      </c>
      <c r="BF159">
        <f>IF(OR(BF$4="",$A159&gt;TODAY()),0,IF(OR(INDEX($B159:$D159,BF$5)="F",AND(BF$6&gt;0,$A159&lt;BF$6),AND(BF$7&gt;0,$A159&gt;BF$7)),0,MAX(0,ROUND((INDEX($E159:$G159,BF$5)-SUMIFS(TF_Timer,TF_Tekniker,BF$4,TF_Dato,$A159))*2,0)/2)))</f>
        <v/>
      </c>
      <c r="BG159">
        <f>IF(OR(BG$4="",$A159&gt;TODAY()),0,IF(OR(INDEX($B159:$D159,BG$5)="F",AND(BG$6&gt;0,$A159&lt;BG$6),AND(BG$7&gt;0,$A159&gt;BG$7)),0,MAX(0,ROUND((INDEX($E159:$G159,BG$5)-SUMIFS(TF_Timer,TF_Tekniker,BG$4,TF_Dato,$A159))*2,0)/2)))</f>
        <v/>
      </c>
      <c r="BH159">
        <f>IF(OR(BH$4="",$A159&gt;TODAY()),0,IF(OR(INDEX($B159:$D159,BH$5)="F",AND(BH$6&gt;0,$A159&lt;BH$6),AND(BH$7&gt;0,$A159&gt;BH$7)),0,MAX(0,ROUND((INDEX($E159:$G159,BH$5)-SUMIFS(TF_Timer,TF_Tekniker,BH$4,TF_Dato,$A159))*2,0)/2)))</f>
        <v/>
      </c>
      <c r="BI159">
        <f>IF(OR(BI$4="",$A159&gt;TODAY()),0,IF(OR(INDEX($B159:$D159,BI$5)="F",AND(BI$6&gt;0,$A159&lt;BI$6),AND(BI$7&gt;0,$A159&gt;BI$7)),0,MAX(0,ROUND((INDEX($E159:$G159,BI$5)-SUMIFS(TF_Timer,TF_Tekniker,BI$4,TF_Dato,$A159))*2,0)/2)))</f>
        <v/>
      </c>
    </row>
    <row r="160">
      <c r="A160" s="64">
        <f>A159+1</f>
        <v/>
      </c>
      <c r="B160">
        <f>IF(MOD($A160-INDEX(SkiftStart,1),Syklus)&lt;DagK,"K",IF(MOD($A160-INDEX(SkiftStart,1),Syklus)&lt;DagK+DagH,"H",IF(MOD($A160-INDEX(SkiftStart,1),Syklus)&lt;DagK+DagH+DagD,"D","F")))</f>
        <v/>
      </c>
      <c r="C160">
        <f>IF(MOD($A160-INDEX(SkiftStart,2),Syklus)&lt;DagK,"K",IF(MOD($A160-INDEX(SkiftStart,2),Syklus)&lt;DagK+DagH,"H",IF(MOD($A160-INDEX(SkiftStart,2),Syklus)&lt;DagK+DagH+DagD,"D","F")))</f>
        <v/>
      </c>
      <c r="D160">
        <f>IF(MOD($A160-INDEX(SkiftStart,3),Syklus)&lt;DagK,"K",IF(MOD($A160-INDEX(SkiftStart,3),Syklus)&lt;DagK+DagH,"H",IF(MOD($A160-INDEX(SkiftStart,3),Syklus)&lt;DagK+DagH+DagD,"D","F")))</f>
        <v/>
      </c>
      <c r="E160">
        <f>IF(B160="F",0,IF(WEEKDAY($A160,2)=5,INDEX(TimerFr,MATCH(B160,FaseKode,0)),INDEX(TimerMT,MATCH(B160,FaseKode,0))))</f>
        <v/>
      </c>
      <c r="F160">
        <f>IF(C160="F",0,IF(WEEKDAY($A160,2)=5,INDEX(TimerFr,MATCH(C160,FaseKode,0)),INDEX(TimerMT,MATCH(C160,FaseKode,0))))</f>
        <v/>
      </c>
      <c r="G160">
        <f>IF(D160="F",0,IF(WEEKDAY($A160,2)=5,INDEX(TimerFr,MATCH(D160,FaseKode,0)),INDEX(TimerMT,MATCH(D160,FaseKode,0))))</f>
        <v/>
      </c>
      <c r="H160">
        <f>IF(OR(H$4="",$A160&gt;TODAY()),0,IF(OR(INDEX($B160:$D160,H$5)="F",AND(H$6&gt;0,$A160&lt;H$6),AND(H$7&gt;0,$A160&gt;H$7)),0,MAX(0,ROUND((INDEX($E160:$G160,H$5)-SUMIFS(TF_Timer,TF_Tekniker,H$4,TF_Dato,$A160))*2,0)/2)))</f>
        <v/>
      </c>
      <c r="I160">
        <f>IF(OR(I$4="",$A160&gt;TODAY()),0,IF(OR(INDEX($B160:$D160,I$5)="F",AND(I$6&gt;0,$A160&lt;I$6),AND(I$7&gt;0,$A160&gt;I$7)),0,MAX(0,ROUND((INDEX($E160:$G160,I$5)-SUMIFS(TF_Timer,TF_Tekniker,I$4,TF_Dato,$A160))*2,0)/2)))</f>
        <v/>
      </c>
      <c r="J160">
        <f>IF(OR(J$4="",$A160&gt;TODAY()),0,IF(OR(INDEX($B160:$D160,J$5)="F",AND(J$6&gt;0,$A160&lt;J$6),AND(J$7&gt;0,$A160&gt;J$7)),0,MAX(0,ROUND((INDEX($E160:$G160,J$5)-SUMIFS(TF_Timer,TF_Tekniker,J$4,TF_Dato,$A160))*2,0)/2)))</f>
        <v/>
      </c>
      <c r="K160">
        <f>IF(OR(K$4="",$A160&gt;TODAY()),0,IF(OR(INDEX($B160:$D160,K$5)="F",AND(K$6&gt;0,$A160&lt;K$6),AND(K$7&gt;0,$A160&gt;K$7)),0,MAX(0,ROUND((INDEX($E160:$G160,K$5)-SUMIFS(TF_Timer,TF_Tekniker,K$4,TF_Dato,$A160))*2,0)/2)))</f>
        <v/>
      </c>
      <c r="L160">
        <f>IF(OR(L$4="",$A160&gt;TODAY()),0,IF(OR(INDEX($B160:$D160,L$5)="F",AND(L$6&gt;0,$A160&lt;L$6),AND(L$7&gt;0,$A160&gt;L$7)),0,MAX(0,ROUND((INDEX($E160:$G160,L$5)-SUMIFS(TF_Timer,TF_Tekniker,L$4,TF_Dato,$A160))*2,0)/2)))</f>
        <v/>
      </c>
      <c r="M160">
        <f>IF(OR(M$4="",$A160&gt;TODAY()),0,IF(OR(INDEX($B160:$D160,M$5)="F",AND(M$6&gt;0,$A160&lt;M$6),AND(M$7&gt;0,$A160&gt;M$7)),0,MAX(0,ROUND((INDEX($E160:$G160,M$5)-SUMIFS(TF_Timer,TF_Tekniker,M$4,TF_Dato,$A160))*2,0)/2)))</f>
        <v/>
      </c>
      <c r="N160">
        <f>IF(OR(N$4="",$A160&gt;TODAY()),0,IF(OR(INDEX($B160:$D160,N$5)="F",AND(N$6&gt;0,$A160&lt;N$6),AND(N$7&gt;0,$A160&gt;N$7)),0,MAX(0,ROUND((INDEX($E160:$G160,N$5)-SUMIFS(TF_Timer,TF_Tekniker,N$4,TF_Dato,$A160))*2,0)/2)))</f>
        <v/>
      </c>
      <c r="O160">
        <f>IF(OR(O$4="",$A160&gt;TODAY()),0,IF(OR(INDEX($B160:$D160,O$5)="F",AND(O$6&gt;0,$A160&lt;O$6),AND(O$7&gt;0,$A160&gt;O$7)),0,MAX(0,ROUND((INDEX($E160:$G160,O$5)-SUMIFS(TF_Timer,TF_Tekniker,O$4,TF_Dato,$A160))*2,0)/2)))</f>
        <v/>
      </c>
      <c r="P160">
        <f>IF(OR(P$4="",$A160&gt;TODAY()),0,IF(OR(INDEX($B160:$D160,P$5)="F",AND(P$6&gt;0,$A160&lt;P$6),AND(P$7&gt;0,$A160&gt;P$7)),0,MAX(0,ROUND((INDEX($E160:$G160,P$5)-SUMIFS(TF_Timer,TF_Tekniker,P$4,TF_Dato,$A160))*2,0)/2)))</f>
        <v/>
      </c>
      <c r="Q160">
        <f>IF(OR(Q$4="",$A160&gt;TODAY()),0,IF(OR(INDEX($B160:$D160,Q$5)="F",AND(Q$6&gt;0,$A160&lt;Q$6),AND(Q$7&gt;0,$A160&gt;Q$7)),0,MAX(0,ROUND((INDEX($E160:$G160,Q$5)-SUMIFS(TF_Timer,TF_Tekniker,Q$4,TF_Dato,$A160))*2,0)/2)))</f>
        <v/>
      </c>
      <c r="R160">
        <f>IF(OR(R$4="",$A160&gt;TODAY()),0,IF(OR(INDEX($B160:$D160,R$5)="F",AND(R$6&gt;0,$A160&lt;R$6),AND(R$7&gt;0,$A160&gt;R$7)),0,MAX(0,ROUND((INDEX($E160:$G160,R$5)-SUMIFS(TF_Timer,TF_Tekniker,R$4,TF_Dato,$A160))*2,0)/2)))</f>
        <v/>
      </c>
      <c r="S160">
        <f>IF(OR(S$4="",$A160&gt;TODAY()),0,IF(OR(INDEX($B160:$D160,S$5)="F",AND(S$6&gt;0,$A160&lt;S$6),AND(S$7&gt;0,$A160&gt;S$7)),0,MAX(0,ROUND((INDEX($E160:$G160,S$5)-SUMIFS(TF_Timer,TF_Tekniker,S$4,TF_Dato,$A160))*2,0)/2)))</f>
        <v/>
      </c>
      <c r="T160">
        <f>IF(OR(T$4="",$A160&gt;TODAY()),0,IF(OR(INDEX($B160:$D160,T$5)="F",AND(T$6&gt;0,$A160&lt;T$6),AND(T$7&gt;0,$A160&gt;T$7)),0,MAX(0,ROUND((INDEX($E160:$G160,T$5)-SUMIFS(TF_Timer,TF_Tekniker,T$4,TF_Dato,$A160))*2,0)/2)))</f>
        <v/>
      </c>
      <c r="U160">
        <f>IF(OR(U$4="",$A160&gt;TODAY()),0,IF(OR(INDEX($B160:$D160,U$5)="F",AND(U$6&gt;0,$A160&lt;U$6),AND(U$7&gt;0,$A160&gt;U$7)),0,MAX(0,ROUND((INDEX($E160:$G160,U$5)-SUMIFS(TF_Timer,TF_Tekniker,U$4,TF_Dato,$A160))*2,0)/2)))</f>
        <v/>
      </c>
      <c r="V160">
        <f>IF(OR(V$4="",$A160&gt;TODAY()),0,IF(OR(INDEX($B160:$D160,V$5)="F",AND(V$6&gt;0,$A160&lt;V$6),AND(V$7&gt;0,$A160&gt;V$7)),0,MAX(0,ROUND((INDEX($E160:$G160,V$5)-SUMIFS(TF_Timer,TF_Tekniker,V$4,TF_Dato,$A160))*2,0)/2)))</f>
        <v/>
      </c>
      <c r="W160">
        <f>IF(OR(W$4="",$A160&gt;TODAY()),0,IF(OR(INDEX($B160:$D160,W$5)="F",AND(W$6&gt;0,$A160&lt;W$6),AND(W$7&gt;0,$A160&gt;W$7)),0,MAX(0,ROUND((INDEX($E160:$G160,W$5)-SUMIFS(TF_Timer,TF_Tekniker,W$4,TF_Dato,$A160))*2,0)/2)))</f>
        <v/>
      </c>
      <c r="X160">
        <f>IF(OR(X$4="",$A160&gt;TODAY()),0,IF(OR(INDEX($B160:$D160,X$5)="F",AND(X$6&gt;0,$A160&lt;X$6),AND(X$7&gt;0,$A160&gt;X$7)),0,MAX(0,ROUND((INDEX($E160:$G160,X$5)-SUMIFS(TF_Timer,TF_Tekniker,X$4,TF_Dato,$A160))*2,0)/2)))</f>
        <v/>
      </c>
      <c r="Y160">
        <f>IF(OR(Y$4="",$A160&gt;TODAY()),0,IF(OR(INDEX($B160:$D160,Y$5)="F",AND(Y$6&gt;0,$A160&lt;Y$6),AND(Y$7&gt;0,$A160&gt;Y$7)),0,MAX(0,ROUND((INDEX($E160:$G160,Y$5)-SUMIFS(TF_Timer,TF_Tekniker,Y$4,TF_Dato,$A160))*2,0)/2)))</f>
        <v/>
      </c>
      <c r="Z160">
        <f>IF(OR(Z$4="",$A160&gt;TODAY()),0,IF(OR(INDEX($B160:$D160,Z$5)="F",AND(Z$6&gt;0,$A160&lt;Z$6),AND(Z$7&gt;0,$A160&gt;Z$7)),0,MAX(0,ROUND((INDEX($E160:$G160,Z$5)-SUMIFS(TF_Timer,TF_Tekniker,Z$4,TF_Dato,$A160))*2,0)/2)))</f>
        <v/>
      </c>
      <c r="AA160">
        <f>IF(OR(AA$4="",$A160&gt;TODAY()),0,IF(OR(INDEX($B160:$D160,AA$5)="F",AND(AA$6&gt;0,$A160&lt;AA$6),AND(AA$7&gt;0,$A160&gt;AA$7)),0,MAX(0,ROUND((INDEX($E160:$G160,AA$5)-SUMIFS(TF_Timer,TF_Tekniker,AA$4,TF_Dato,$A160))*2,0)/2)))</f>
        <v/>
      </c>
      <c r="AB160">
        <f>IF(OR(AB$4="",$A160&gt;TODAY()),0,IF(OR(INDEX($B160:$D160,AB$5)="F",AND(AB$6&gt;0,$A160&lt;AB$6),AND(AB$7&gt;0,$A160&gt;AB$7)),0,MAX(0,ROUND((INDEX($E160:$G160,AB$5)-SUMIFS(TF_Timer,TF_Tekniker,AB$4,TF_Dato,$A160))*2,0)/2)))</f>
        <v/>
      </c>
      <c r="AC160">
        <f>IF(OR(AC$4="",$A160&gt;TODAY()),0,IF(OR(INDEX($B160:$D160,AC$5)="F",AND(AC$6&gt;0,$A160&lt;AC$6),AND(AC$7&gt;0,$A160&gt;AC$7)),0,MAX(0,ROUND((INDEX($E160:$G160,AC$5)-SUMIFS(TF_Timer,TF_Tekniker,AC$4,TF_Dato,$A160))*2,0)/2)))</f>
        <v/>
      </c>
      <c r="AD160">
        <f>IF(OR(AD$4="",$A160&gt;TODAY()),0,IF(OR(INDEX($B160:$D160,AD$5)="F",AND(AD$6&gt;0,$A160&lt;AD$6),AND(AD$7&gt;0,$A160&gt;AD$7)),0,MAX(0,ROUND((INDEX($E160:$G160,AD$5)-SUMIFS(TF_Timer,TF_Tekniker,AD$4,TF_Dato,$A160))*2,0)/2)))</f>
        <v/>
      </c>
      <c r="AE160">
        <f>IF(OR(AE$4="",$A160&gt;TODAY()),0,IF(OR(INDEX($B160:$D160,AE$5)="F",AND(AE$6&gt;0,$A160&lt;AE$6),AND(AE$7&gt;0,$A160&gt;AE$7)),0,MAX(0,ROUND((INDEX($E160:$G160,AE$5)-SUMIFS(TF_Timer,TF_Tekniker,AE$4,TF_Dato,$A160))*2,0)/2)))</f>
        <v/>
      </c>
      <c r="AF160">
        <f>IF(OR(AF$4="",$A160&gt;TODAY()),0,IF(OR(INDEX($B160:$D160,AF$5)="F",AND(AF$6&gt;0,$A160&lt;AF$6),AND(AF$7&gt;0,$A160&gt;AF$7)),0,MAX(0,ROUND((INDEX($E160:$G160,AF$5)-SUMIFS(TF_Timer,TF_Tekniker,AF$4,TF_Dato,$A160))*2,0)/2)))</f>
        <v/>
      </c>
      <c r="AG160">
        <f>IF(OR(AG$4="",$A160&gt;TODAY()),0,IF(OR(INDEX($B160:$D160,AG$5)="F",AND(AG$6&gt;0,$A160&lt;AG$6),AND(AG$7&gt;0,$A160&gt;AG$7)),0,MAX(0,ROUND((INDEX($E160:$G160,AG$5)-SUMIFS(TF_Timer,TF_Tekniker,AG$4,TF_Dato,$A160))*2,0)/2)))</f>
        <v/>
      </c>
      <c r="AH160">
        <f>IF(OR(AH$4="",$A160&gt;TODAY()),0,IF(OR(INDEX($B160:$D160,AH$5)="F",AND(AH$6&gt;0,$A160&lt;AH$6),AND(AH$7&gt;0,$A160&gt;AH$7)),0,MAX(0,ROUND((INDEX($E160:$G160,AH$5)-SUMIFS(TF_Timer,TF_Tekniker,AH$4,TF_Dato,$A160))*2,0)/2)))</f>
        <v/>
      </c>
      <c r="AI160">
        <f>IF(OR(AI$4="",$A160&gt;TODAY()),0,IF(OR(INDEX($B160:$D160,AI$5)="F",AND(AI$6&gt;0,$A160&lt;AI$6),AND(AI$7&gt;0,$A160&gt;AI$7)),0,MAX(0,ROUND((INDEX($E160:$G160,AI$5)-SUMIFS(TF_Timer,TF_Tekniker,AI$4,TF_Dato,$A160))*2,0)/2)))</f>
        <v/>
      </c>
      <c r="AJ160">
        <f>IF(OR(AJ$4="",$A160&gt;TODAY()),0,IF(OR(INDEX($B160:$D160,AJ$5)="F",AND(AJ$6&gt;0,$A160&lt;AJ$6),AND(AJ$7&gt;0,$A160&gt;AJ$7)),0,MAX(0,ROUND((INDEX($E160:$G160,AJ$5)-SUMIFS(TF_Timer,TF_Tekniker,AJ$4,TF_Dato,$A160))*2,0)/2)))</f>
        <v/>
      </c>
      <c r="AK160">
        <f>IF(OR(AK$4="",$A160&gt;TODAY()),0,IF(OR(INDEX($B160:$D160,AK$5)="F",AND(AK$6&gt;0,$A160&lt;AK$6),AND(AK$7&gt;0,$A160&gt;AK$7)),0,MAX(0,ROUND((INDEX($E160:$G160,AK$5)-SUMIFS(TF_Timer,TF_Tekniker,AK$4,TF_Dato,$A160))*2,0)/2)))</f>
        <v/>
      </c>
      <c r="AL160">
        <f>IF(OR(AL$4="",$A160&gt;TODAY()),0,IF(OR(INDEX($B160:$D160,AL$5)="F",AND(AL$6&gt;0,$A160&lt;AL$6),AND(AL$7&gt;0,$A160&gt;AL$7)),0,MAX(0,ROUND((INDEX($E160:$G160,AL$5)-SUMIFS(TF_Timer,TF_Tekniker,AL$4,TF_Dato,$A160))*2,0)/2)))</f>
        <v/>
      </c>
      <c r="AM160">
        <f>IF(OR(AM$4="",$A160&gt;TODAY()),0,IF(OR(INDEX($B160:$D160,AM$5)="F",AND(AM$6&gt;0,$A160&lt;AM$6),AND(AM$7&gt;0,$A160&gt;AM$7)),0,MAX(0,ROUND((INDEX($E160:$G160,AM$5)-SUMIFS(TF_Timer,TF_Tekniker,AM$4,TF_Dato,$A160))*2,0)/2)))</f>
        <v/>
      </c>
      <c r="AN160">
        <f>IF(OR(AN$4="",$A160&gt;TODAY()),0,IF(OR(INDEX($B160:$D160,AN$5)="F",AND(AN$6&gt;0,$A160&lt;AN$6),AND(AN$7&gt;0,$A160&gt;AN$7)),0,MAX(0,ROUND((INDEX($E160:$G160,AN$5)-SUMIFS(TF_Timer,TF_Tekniker,AN$4,TF_Dato,$A160))*2,0)/2)))</f>
        <v/>
      </c>
      <c r="AO160">
        <f>IF(OR(AO$4="",$A160&gt;TODAY()),0,IF(OR(INDEX($B160:$D160,AO$5)="F",AND(AO$6&gt;0,$A160&lt;AO$6),AND(AO$7&gt;0,$A160&gt;AO$7)),0,MAX(0,ROUND((INDEX($E160:$G160,AO$5)-SUMIFS(TF_Timer,TF_Tekniker,AO$4,TF_Dato,$A160))*2,0)/2)))</f>
        <v/>
      </c>
      <c r="AP160">
        <f>IF(OR(AP$4="",$A160&gt;TODAY()),0,IF(OR(INDEX($B160:$D160,AP$5)="F",AND(AP$6&gt;0,$A160&lt;AP$6),AND(AP$7&gt;0,$A160&gt;AP$7)),0,MAX(0,ROUND((INDEX($E160:$G160,AP$5)-SUMIFS(TF_Timer,TF_Tekniker,AP$4,TF_Dato,$A160))*2,0)/2)))</f>
        <v/>
      </c>
      <c r="AQ160">
        <f>IF(OR(AQ$4="",$A160&gt;TODAY()),0,IF(OR(INDEX($B160:$D160,AQ$5)="F",AND(AQ$6&gt;0,$A160&lt;AQ$6),AND(AQ$7&gt;0,$A160&gt;AQ$7)),0,MAX(0,ROUND((INDEX($E160:$G160,AQ$5)-SUMIFS(TF_Timer,TF_Tekniker,AQ$4,TF_Dato,$A160))*2,0)/2)))</f>
        <v/>
      </c>
      <c r="AR160">
        <f>IF(OR(AR$4="",$A160&gt;TODAY()),0,IF(OR(INDEX($B160:$D160,AR$5)="F",AND(AR$6&gt;0,$A160&lt;AR$6),AND(AR$7&gt;0,$A160&gt;AR$7)),0,MAX(0,ROUND((INDEX($E160:$G160,AR$5)-SUMIFS(TF_Timer,TF_Tekniker,AR$4,TF_Dato,$A160))*2,0)/2)))</f>
        <v/>
      </c>
      <c r="AS160">
        <f>IF(OR(AS$4="",$A160&gt;TODAY()),0,IF(OR(INDEX($B160:$D160,AS$5)="F",AND(AS$6&gt;0,$A160&lt;AS$6),AND(AS$7&gt;0,$A160&gt;AS$7)),0,MAX(0,ROUND((INDEX($E160:$G160,AS$5)-SUMIFS(TF_Timer,TF_Tekniker,AS$4,TF_Dato,$A160))*2,0)/2)))</f>
        <v/>
      </c>
      <c r="AT160">
        <f>IF(OR(AT$4="",$A160&gt;TODAY()),0,IF(OR(INDEX($B160:$D160,AT$5)="F",AND(AT$6&gt;0,$A160&lt;AT$6),AND(AT$7&gt;0,$A160&gt;AT$7)),0,MAX(0,ROUND((INDEX($E160:$G160,AT$5)-SUMIFS(TF_Timer,TF_Tekniker,AT$4,TF_Dato,$A160))*2,0)/2)))</f>
        <v/>
      </c>
      <c r="AU160">
        <f>IF(OR(AU$4="",$A160&gt;TODAY()),0,IF(OR(INDEX($B160:$D160,AU$5)="F",AND(AU$6&gt;0,$A160&lt;AU$6),AND(AU$7&gt;0,$A160&gt;AU$7)),0,MAX(0,ROUND((INDEX($E160:$G160,AU$5)-SUMIFS(TF_Timer,TF_Tekniker,AU$4,TF_Dato,$A160))*2,0)/2)))</f>
        <v/>
      </c>
      <c r="AV160">
        <f>IF(OR(AV$4="",$A160&gt;TODAY()),0,IF(OR(INDEX($B160:$D160,AV$5)="F",AND(AV$6&gt;0,$A160&lt;AV$6),AND(AV$7&gt;0,$A160&gt;AV$7)),0,MAX(0,ROUND((INDEX($E160:$G160,AV$5)-SUMIFS(TF_Timer,TF_Tekniker,AV$4,TF_Dato,$A160))*2,0)/2)))</f>
        <v/>
      </c>
      <c r="AW160">
        <f>IF(OR(AW$4="",$A160&gt;TODAY()),0,IF(OR(INDEX($B160:$D160,AW$5)="F",AND(AW$6&gt;0,$A160&lt;AW$6),AND(AW$7&gt;0,$A160&gt;AW$7)),0,MAX(0,ROUND((INDEX($E160:$G160,AW$5)-SUMIFS(TF_Timer,TF_Tekniker,AW$4,TF_Dato,$A160))*2,0)/2)))</f>
        <v/>
      </c>
      <c r="AX160">
        <f>IF(OR(AX$4="",$A160&gt;TODAY()),0,IF(OR(INDEX($B160:$D160,AX$5)="F",AND(AX$6&gt;0,$A160&lt;AX$6),AND(AX$7&gt;0,$A160&gt;AX$7)),0,MAX(0,ROUND((INDEX($E160:$G160,AX$5)-SUMIFS(TF_Timer,TF_Tekniker,AX$4,TF_Dato,$A160))*2,0)/2)))</f>
        <v/>
      </c>
      <c r="AY160">
        <f>IF(OR(AY$4="",$A160&gt;TODAY()),0,IF(OR(INDEX($B160:$D160,AY$5)="F",AND(AY$6&gt;0,$A160&lt;AY$6),AND(AY$7&gt;0,$A160&gt;AY$7)),0,MAX(0,ROUND((INDEX($E160:$G160,AY$5)-SUMIFS(TF_Timer,TF_Tekniker,AY$4,TF_Dato,$A160))*2,0)/2)))</f>
        <v/>
      </c>
      <c r="AZ160">
        <f>IF(OR(AZ$4="",$A160&gt;TODAY()),0,IF(OR(INDEX($B160:$D160,AZ$5)="F",AND(AZ$6&gt;0,$A160&lt;AZ$6),AND(AZ$7&gt;0,$A160&gt;AZ$7)),0,MAX(0,ROUND((INDEX($E160:$G160,AZ$5)-SUMIFS(TF_Timer,TF_Tekniker,AZ$4,TF_Dato,$A160))*2,0)/2)))</f>
        <v/>
      </c>
      <c r="BA160">
        <f>IF(OR(BA$4="",$A160&gt;TODAY()),0,IF(OR(INDEX($B160:$D160,BA$5)="F",AND(BA$6&gt;0,$A160&lt;BA$6),AND(BA$7&gt;0,$A160&gt;BA$7)),0,MAX(0,ROUND((INDEX($E160:$G160,BA$5)-SUMIFS(TF_Timer,TF_Tekniker,BA$4,TF_Dato,$A160))*2,0)/2)))</f>
        <v/>
      </c>
      <c r="BB160">
        <f>IF(OR(BB$4="",$A160&gt;TODAY()),0,IF(OR(INDEX($B160:$D160,BB$5)="F",AND(BB$6&gt;0,$A160&lt;BB$6),AND(BB$7&gt;0,$A160&gt;BB$7)),0,MAX(0,ROUND((INDEX($E160:$G160,BB$5)-SUMIFS(TF_Timer,TF_Tekniker,BB$4,TF_Dato,$A160))*2,0)/2)))</f>
        <v/>
      </c>
      <c r="BC160">
        <f>IF(OR(BC$4="",$A160&gt;TODAY()),0,IF(OR(INDEX($B160:$D160,BC$5)="F",AND(BC$6&gt;0,$A160&lt;BC$6),AND(BC$7&gt;0,$A160&gt;BC$7)),0,MAX(0,ROUND((INDEX($E160:$G160,BC$5)-SUMIFS(TF_Timer,TF_Tekniker,BC$4,TF_Dato,$A160))*2,0)/2)))</f>
        <v/>
      </c>
      <c r="BD160">
        <f>IF(OR(BD$4="",$A160&gt;TODAY()),0,IF(OR(INDEX($B160:$D160,BD$5)="F",AND(BD$6&gt;0,$A160&lt;BD$6),AND(BD$7&gt;0,$A160&gt;BD$7)),0,MAX(0,ROUND((INDEX($E160:$G160,BD$5)-SUMIFS(TF_Timer,TF_Tekniker,BD$4,TF_Dato,$A160))*2,0)/2)))</f>
        <v/>
      </c>
      <c r="BE160">
        <f>IF(OR(BE$4="",$A160&gt;TODAY()),0,IF(OR(INDEX($B160:$D160,BE$5)="F",AND(BE$6&gt;0,$A160&lt;BE$6),AND(BE$7&gt;0,$A160&gt;BE$7)),0,MAX(0,ROUND((INDEX($E160:$G160,BE$5)-SUMIFS(TF_Timer,TF_Tekniker,BE$4,TF_Dato,$A160))*2,0)/2)))</f>
        <v/>
      </c>
      <c r="BF160">
        <f>IF(OR(BF$4="",$A160&gt;TODAY()),0,IF(OR(INDEX($B160:$D160,BF$5)="F",AND(BF$6&gt;0,$A160&lt;BF$6),AND(BF$7&gt;0,$A160&gt;BF$7)),0,MAX(0,ROUND((INDEX($E160:$G160,BF$5)-SUMIFS(TF_Timer,TF_Tekniker,BF$4,TF_Dato,$A160))*2,0)/2)))</f>
        <v/>
      </c>
      <c r="BG160">
        <f>IF(OR(BG$4="",$A160&gt;TODAY()),0,IF(OR(INDEX($B160:$D160,BG$5)="F",AND(BG$6&gt;0,$A160&lt;BG$6),AND(BG$7&gt;0,$A160&gt;BG$7)),0,MAX(0,ROUND((INDEX($E160:$G160,BG$5)-SUMIFS(TF_Timer,TF_Tekniker,BG$4,TF_Dato,$A160))*2,0)/2)))</f>
        <v/>
      </c>
      <c r="BH160">
        <f>IF(OR(BH$4="",$A160&gt;TODAY()),0,IF(OR(INDEX($B160:$D160,BH$5)="F",AND(BH$6&gt;0,$A160&lt;BH$6),AND(BH$7&gt;0,$A160&gt;BH$7)),0,MAX(0,ROUND((INDEX($E160:$G160,BH$5)-SUMIFS(TF_Timer,TF_Tekniker,BH$4,TF_Dato,$A160))*2,0)/2)))</f>
        <v/>
      </c>
      <c r="BI160">
        <f>IF(OR(BI$4="",$A160&gt;TODAY()),0,IF(OR(INDEX($B160:$D160,BI$5)="F",AND(BI$6&gt;0,$A160&lt;BI$6),AND(BI$7&gt;0,$A160&gt;BI$7)),0,MAX(0,ROUND((INDEX($E160:$G160,BI$5)-SUMIFS(TF_Timer,TF_Tekniker,BI$4,TF_Dato,$A160))*2,0)/2)))</f>
        <v/>
      </c>
    </row>
    <row r="161">
      <c r="A161" s="64">
        <f>A160+1</f>
        <v/>
      </c>
      <c r="B161">
        <f>IF(MOD($A161-INDEX(SkiftStart,1),Syklus)&lt;DagK,"K",IF(MOD($A161-INDEX(SkiftStart,1),Syklus)&lt;DagK+DagH,"H",IF(MOD($A161-INDEX(SkiftStart,1),Syklus)&lt;DagK+DagH+DagD,"D","F")))</f>
        <v/>
      </c>
      <c r="C161">
        <f>IF(MOD($A161-INDEX(SkiftStart,2),Syklus)&lt;DagK,"K",IF(MOD($A161-INDEX(SkiftStart,2),Syklus)&lt;DagK+DagH,"H",IF(MOD($A161-INDEX(SkiftStart,2),Syklus)&lt;DagK+DagH+DagD,"D","F")))</f>
        <v/>
      </c>
      <c r="D161">
        <f>IF(MOD($A161-INDEX(SkiftStart,3),Syklus)&lt;DagK,"K",IF(MOD($A161-INDEX(SkiftStart,3),Syklus)&lt;DagK+DagH,"H",IF(MOD($A161-INDEX(SkiftStart,3),Syklus)&lt;DagK+DagH+DagD,"D","F")))</f>
        <v/>
      </c>
      <c r="E161">
        <f>IF(B161="F",0,IF(WEEKDAY($A161,2)=5,INDEX(TimerFr,MATCH(B161,FaseKode,0)),INDEX(TimerMT,MATCH(B161,FaseKode,0))))</f>
        <v/>
      </c>
      <c r="F161">
        <f>IF(C161="F",0,IF(WEEKDAY($A161,2)=5,INDEX(TimerFr,MATCH(C161,FaseKode,0)),INDEX(TimerMT,MATCH(C161,FaseKode,0))))</f>
        <v/>
      </c>
      <c r="G161">
        <f>IF(D161="F",0,IF(WEEKDAY($A161,2)=5,INDEX(TimerFr,MATCH(D161,FaseKode,0)),INDEX(TimerMT,MATCH(D161,FaseKode,0))))</f>
        <v/>
      </c>
      <c r="H161">
        <f>IF(OR(H$4="",$A161&gt;TODAY()),0,IF(OR(INDEX($B161:$D161,H$5)="F",AND(H$6&gt;0,$A161&lt;H$6),AND(H$7&gt;0,$A161&gt;H$7)),0,MAX(0,ROUND((INDEX($E161:$G161,H$5)-SUMIFS(TF_Timer,TF_Tekniker,H$4,TF_Dato,$A161))*2,0)/2)))</f>
        <v/>
      </c>
      <c r="I161">
        <f>IF(OR(I$4="",$A161&gt;TODAY()),0,IF(OR(INDEX($B161:$D161,I$5)="F",AND(I$6&gt;0,$A161&lt;I$6),AND(I$7&gt;0,$A161&gt;I$7)),0,MAX(0,ROUND((INDEX($E161:$G161,I$5)-SUMIFS(TF_Timer,TF_Tekniker,I$4,TF_Dato,$A161))*2,0)/2)))</f>
        <v/>
      </c>
      <c r="J161">
        <f>IF(OR(J$4="",$A161&gt;TODAY()),0,IF(OR(INDEX($B161:$D161,J$5)="F",AND(J$6&gt;0,$A161&lt;J$6),AND(J$7&gt;0,$A161&gt;J$7)),0,MAX(0,ROUND((INDEX($E161:$G161,J$5)-SUMIFS(TF_Timer,TF_Tekniker,J$4,TF_Dato,$A161))*2,0)/2)))</f>
        <v/>
      </c>
      <c r="K161">
        <f>IF(OR(K$4="",$A161&gt;TODAY()),0,IF(OR(INDEX($B161:$D161,K$5)="F",AND(K$6&gt;0,$A161&lt;K$6),AND(K$7&gt;0,$A161&gt;K$7)),0,MAX(0,ROUND((INDEX($E161:$G161,K$5)-SUMIFS(TF_Timer,TF_Tekniker,K$4,TF_Dato,$A161))*2,0)/2)))</f>
        <v/>
      </c>
      <c r="L161">
        <f>IF(OR(L$4="",$A161&gt;TODAY()),0,IF(OR(INDEX($B161:$D161,L$5)="F",AND(L$6&gt;0,$A161&lt;L$6),AND(L$7&gt;0,$A161&gt;L$7)),0,MAX(0,ROUND((INDEX($E161:$G161,L$5)-SUMIFS(TF_Timer,TF_Tekniker,L$4,TF_Dato,$A161))*2,0)/2)))</f>
        <v/>
      </c>
      <c r="M161">
        <f>IF(OR(M$4="",$A161&gt;TODAY()),0,IF(OR(INDEX($B161:$D161,M$5)="F",AND(M$6&gt;0,$A161&lt;M$6),AND(M$7&gt;0,$A161&gt;M$7)),0,MAX(0,ROUND((INDEX($E161:$G161,M$5)-SUMIFS(TF_Timer,TF_Tekniker,M$4,TF_Dato,$A161))*2,0)/2)))</f>
        <v/>
      </c>
      <c r="N161">
        <f>IF(OR(N$4="",$A161&gt;TODAY()),0,IF(OR(INDEX($B161:$D161,N$5)="F",AND(N$6&gt;0,$A161&lt;N$6),AND(N$7&gt;0,$A161&gt;N$7)),0,MAX(0,ROUND((INDEX($E161:$G161,N$5)-SUMIFS(TF_Timer,TF_Tekniker,N$4,TF_Dato,$A161))*2,0)/2)))</f>
        <v/>
      </c>
      <c r="O161">
        <f>IF(OR(O$4="",$A161&gt;TODAY()),0,IF(OR(INDEX($B161:$D161,O$5)="F",AND(O$6&gt;0,$A161&lt;O$6),AND(O$7&gt;0,$A161&gt;O$7)),0,MAX(0,ROUND((INDEX($E161:$G161,O$5)-SUMIFS(TF_Timer,TF_Tekniker,O$4,TF_Dato,$A161))*2,0)/2)))</f>
        <v/>
      </c>
      <c r="P161">
        <f>IF(OR(P$4="",$A161&gt;TODAY()),0,IF(OR(INDEX($B161:$D161,P$5)="F",AND(P$6&gt;0,$A161&lt;P$6),AND(P$7&gt;0,$A161&gt;P$7)),0,MAX(0,ROUND((INDEX($E161:$G161,P$5)-SUMIFS(TF_Timer,TF_Tekniker,P$4,TF_Dato,$A161))*2,0)/2)))</f>
        <v/>
      </c>
      <c r="Q161">
        <f>IF(OR(Q$4="",$A161&gt;TODAY()),0,IF(OR(INDEX($B161:$D161,Q$5)="F",AND(Q$6&gt;0,$A161&lt;Q$6),AND(Q$7&gt;0,$A161&gt;Q$7)),0,MAX(0,ROUND((INDEX($E161:$G161,Q$5)-SUMIFS(TF_Timer,TF_Tekniker,Q$4,TF_Dato,$A161))*2,0)/2)))</f>
        <v/>
      </c>
      <c r="R161">
        <f>IF(OR(R$4="",$A161&gt;TODAY()),0,IF(OR(INDEX($B161:$D161,R$5)="F",AND(R$6&gt;0,$A161&lt;R$6),AND(R$7&gt;0,$A161&gt;R$7)),0,MAX(0,ROUND((INDEX($E161:$G161,R$5)-SUMIFS(TF_Timer,TF_Tekniker,R$4,TF_Dato,$A161))*2,0)/2)))</f>
        <v/>
      </c>
      <c r="S161">
        <f>IF(OR(S$4="",$A161&gt;TODAY()),0,IF(OR(INDEX($B161:$D161,S$5)="F",AND(S$6&gt;0,$A161&lt;S$6),AND(S$7&gt;0,$A161&gt;S$7)),0,MAX(0,ROUND((INDEX($E161:$G161,S$5)-SUMIFS(TF_Timer,TF_Tekniker,S$4,TF_Dato,$A161))*2,0)/2)))</f>
        <v/>
      </c>
      <c r="T161">
        <f>IF(OR(T$4="",$A161&gt;TODAY()),0,IF(OR(INDEX($B161:$D161,T$5)="F",AND(T$6&gt;0,$A161&lt;T$6),AND(T$7&gt;0,$A161&gt;T$7)),0,MAX(0,ROUND((INDEX($E161:$G161,T$5)-SUMIFS(TF_Timer,TF_Tekniker,T$4,TF_Dato,$A161))*2,0)/2)))</f>
        <v/>
      </c>
      <c r="U161">
        <f>IF(OR(U$4="",$A161&gt;TODAY()),0,IF(OR(INDEX($B161:$D161,U$5)="F",AND(U$6&gt;0,$A161&lt;U$6),AND(U$7&gt;0,$A161&gt;U$7)),0,MAX(0,ROUND((INDEX($E161:$G161,U$5)-SUMIFS(TF_Timer,TF_Tekniker,U$4,TF_Dato,$A161))*2,0)/2)))</f>
        <v/>
      </c>
      <c r="V161">
        <f>IF(OR(V$4="",$A161&gt;TODAY()),0,IF(OR(INDEX($B161:$D161,V$5)="F",AND(V$6&gt;0,$A161&lt;V$6),AND(V$7&gt;0,$A161&gt;V$7)),0,MAX(0,ROUND((INDEX($E161:$G161,V$5)-SUMIFS(TF_Timer,TF_Tekniker,V$4,TF_Dato,$A161))*2,0)/2)))</f>
        <v/>
      </c>
      <c r="W161">
        <f>IF(OR(W$4="",$A161&gt;TODAY()),0,IF(OR(INDEX($B161:$D161,W$5)="F",AND(W$6&gt;0,$A161&lt;W$6),AND(W$7&gt;0,$A161&gt;W$7)),0,MAX(0,ROUND((INDEX($E161:$G161,W$5)-SUMIFS(TF_Timer,TF_Tekniker,W$4,TF_Dato,$A161))*2,0)/2)))</f>
        <v/>
      </c>
      <c r="X161">
        <f>IF(OR(X$4="",$A161&gt;TODAY()),0,IF(OR(INDEX($B161:$D161,X$5)="F",AND(X$6&gt;0,$A161&lt;X$6),AND(X$7&gt;0,$A161&gt;X$7)),0,MAX(0,ROUND((INDEX($E161:$G161,X$5)-SUMIFS(TF_Timer,TF_Tekniker,X$4,TF_Dato,$A161))*2,0)/2)))</f>
        <v/>
      </c>
      <c r="Y161">
        <f>IF(OR(Y$4="",$A161&gt;TODAY()),0,IF(OR(INDEX($B161:$D161,Y$5)="F",AND(Y$6&gt;0,$A161&lt;Y$6),AND(Y$7&gt;0,$A161&gt;Y$7)),0,MAX(0,ROUND((INDEX($E161:$G161,Y$5)-SUMIFS(TF_Timer,TF_Tekniker,Y$4,TF_Dato,$A161))*2,0)/2)))</f>
        <v/>
      </c>
      <c r="Z161">
        <f>IF(OR(Z$4="",$A161&gt;TODAY()),0,IF(OR(INDEX($B161:$D161,Z$5)="F",AND(Z$6&gt;0,$A161&lt;Z$6),AND(Z$7&gt;0,$A161&gt;Z$7)),0,MAX(0,ROUND((INDEX($E161:$G161,Z$5)-SUMIFS(TF_Timer,TF_Tekniker,Z$4,TF_Dato,$A161))*2,0)/2)))</f>
        <v/>
      </c>
      <c r="AA161">
        <f>IF(OR(AA$4="",$A161&gt;TODAY()),0,IF(OR(INDEX($B161:$D161,AA$5)="F",AND(AA$6&gt;0,$A161&lt;AA$6),AND(AA$7&gt;0,$A161&gt;AA$7)),0,MAX(0,ROUND((INDEX($E161:$G161,AA$5)-SUMIFS(TF_Timer,TF_Tekniker,AA$4,TF_Dato,$A161))*2,0)/2)))</f>
        <v/>
      </c>
      <c r="AB161">
        <f>IF(OR(AB$4="",$A161&gt;TODAY()),0,IF(OR(INDEX($B161:$D161,AB$5)="F",AND(AB$6&gt;0,$A161&lt;AB$6),AND(AB$7&gt;0,$A161&gt;AB$7)),0,MAX(0,ROUND((INDEX($E161:$G161,AB$5)-SUMIFS(TF_Timer,TF_Tekniker,AB$4,TF_Dato,$A161))*2,0)/2)))</f>
        <v/>
      </c>
      <c r="AC161">
        <f>IF(OR(AC$4="",$A161&gt;TODAY()),0,IF(OR(INDEX($B161:$D161,AC$5)="F",AND(AC$6&gt;0,$A161&lt;AC$6),AND(AC$7&gt;0,$A161&gt;AC$7)),0,MAX(0,ROUND((INDEX($E161:$G161,AC$5)-SUMIFS(TF_Timer,TF_Tekniker,AC$4,TF_Dato,$A161))*2,0)/2)))</f>
        <v/>
      </c>
      <c r="AD161">
        <f>IF(OR(AD$4="",$A161&gt;TODAY()),0,IF(OR(INDEX($B161:$D161,AD$5)="F",AND(AD$6&gt;0,$A161&lt;AD$6),AND(AD$7&gt;0,$A161&gt;AD$7)),0,MAX(0,ROUND((INDEX($E161:$G161,AD$5)-SUMIFS(TF_Timer,TF_Tekniker,AD$4,TF_Dato,$A161))*2,0)/2)))</f>
        <v/>
      </c>
      <c r="AE161">
        <f>IF(OR(AE$4="",$A161&gt;TODAY()),0,IF(OR(INDEX($B161:$D161,AE$5)="F",AND(AE$6&gt;0,$A161&lt;AE$6),AND(AE$7&gt;0,$A161&gt;AE$7)),0,MAX(0,ROUND((INDEX($E161:$G161,AE$5)-SUMIFS(TF_Timer,TF_Tekniker,AE$4,TF_Dato,$A161))*2,0)/2)))</f>
        <v/>
      </c>
      <c r="AF161">
        <f>IF(OR(AF$4="",$A161&gt;TODAY()),0,IF(OR(INDEX($B161:$D161,AF$5)="F",AND(AF$6&gt;0,$A161&lt;AF$6),AND(AF$7&gt;0,$A161&gt;AF$7)),0,MAX(0,ROUND((INDEX($E161:$G161,AF$5)-SUMIFS(TF_Timer,TF_Tekniker,AF$4,TF_Dato,$A161))*2,0)/2)))</f>
        <v/>
      </c>
      <c r="AG161">
        <f>IF(OR(AG$4="",$A161&gt;TODAY()),0,IF(OR(INDEX($B161:$D161,AG$5)="F",AND(AG$6&gt;0,$A161&lt;AG$6),AND(AG$7&gt;0,$A161&gt;AG$7)),0,MAX(0,ROUND((INDEX($E161:$G161,AG$5)-SUMIFS(TF_Timer,TF_Tekniker,AG$4,TF_Dato,$A161))*2,0)/2)))</f>
        <v/>
      </c>
      <c r="AH161">
        <f>IF(OR(AH$4="",$A161&gt;TODAY()),0,IF(OR(INDEX($B161:$D161,AH$5)="F",AND(AH$6&gt;0,$A161&lt;AH$6),AND(AH$7&gt;0,$A161&gt;AH$7)),0,MAX(0,ROUND((INDEX($E161:$G161,AH$5)-SUMIFS(TF_Timer,TF_Tekniker,AH$4,TF_Dato,$A161))*2,0)/2)))</f>
        <v/>
      </c>
      <c r="AI161">
        <f>IF(OR(AI$4="",$A161&gt;TODAY()),0,IF(OR(INDEX($B161:$D161,AI$5)="F",AND(AI$6&gt;0,$A161&lt;AI$6),AND(AI$7&gt;0,$A161&gt;AI$7)),0,MAX(0,ROUND((INDEX($E161:$G161,AI$5)-SUMIFS(TF_Timer,TF_Tekniker,AI$4,TF_Dato,$A161))*2,0)/2)))</f>
        <v/>
      </c>
      <c r="AJ161">
        <f>IF(OR(AJ$4="",$A161&gt;TODAY()),0,IF(OR(INDEX($B161:$D161,AJ$5)="F",AND(AJ$6&gt;0,$A161&lt;AJ$6),AND(AJ$7&gt;0,$A161&gt;AJ$7)),0,MAX(0,ROUND((INDEX($E161:$G161,AJ$5)-SUMIFS(TF_Timer,TF_Tekniker,AJ$4,TF_Dato,$A161))*2,0)/2)))</f>
        <v/>
      </c>
      <c r="AK161">
        <f>IF(OR(AK$4="",$A161&gt;TODAY()),0,IF(OR(INDEX($B161:$D161,AK$5)="F",AND(AK$6&gt;0,$A161&lt;AK$6),AND(AK$7&gt;0,$A161&gt;AK$7)),0,MAX(0,ROUND((INDEX($E161:$G161,AK$5)-SUMIFS(TF_Timer,TF_Tekniker,AK$4,TF_Dato,$A161))*2,0)/2)))</f>
        <v/>
      </c>
      <c r="AL161">
        <f>IF(OR(AL$4="",$A161&gt;TODAY()),0,IF(OR(INDEX($B161:$D161,AL$5)="F",AND(AL$6&gt;0,$A161&lt;AL$6),AND(AL$7&gt;0,$A161&gt;AL$7)),0,MAX(0,ROUND((INDEX($E161:$G161,AL$5)-SUMIFS(TF_Timer,TF_Tekniker,AL$4,TF_Dato,$A161))*2,0)/2)))</f>
        <v/>
      </c>
      <c r="AM161">
        <f>IF(OR(AM$4="",$A161&gt;TODAY()),0,IF(OR(INDEX($B161:$D161,AM$5)="F",AND(AM$6&gt;0,$A161&lt;AM$6),AND(AM$7&gt;0,$A161&gt;AM$7)),0,MAX(0,ROUND((INDEX($E161:$G161,AM$5)-SUMIFS(TF_Timer,TF_Tekniker,AM$4,TF_Dato,$A161))*2,0)/2)))</f>
        <v/>
      </c>
      <c r="AN161">
        <f>IF(OR(AN$4="",$A161&gt;TODAY()),0,IF(OR(INDEX($B161:$D161,AN$5)="F",AND(AN$6&gt;0,$A161&lt;AN$6),AND(AN$7&gt;0,$A161&gt;AN$7)),0,MAX(0,ROUND((INDEX($E161:$G161,AN$5)-SUMIFS(TF_Timer,TF_Tekniker,AN$4,TF_Dato,$A161))*2,0)/2)))</f>
        <v/>
      </c>
      <c r="AO161">
        <f>IF(OR(AO$4="",$A161&gt;TODAY()),0,IF(OR(INDEX($B161:$D161,AO$5)="F",AND(AO$6&gt;0,$A161&lt;AO$6),AND(AO$7&gt;0,$A161&gt;AO$7)),0,MAX(0,ROUND((INDEX($E161:$G161,AO$5)-SUMIFS(TF_Timer,TF_Tekniker,AO$4,TF_Dato,$A161))*2,0)/2)))</f>
        <v/>
      </c>
      <c r="AP161">
        <f>IF(OR(AP$4="",$A161&gt;TODAY()),0,IF(OR(INDEX($B161:$D161,AP$5)="F",AND(AP$6&gt;0,$A161&lt;AP$6),AND(AP$7&gt;0,$A161&gt;AP$7)),0,MAX(0,ROUND((INDEX($E161:$G161,AP$5)-SUMIFS(TF_Timer,TF_Tekniker,AP$4,TF_Dato,$A161))*2,0)/2)))</f>
        <v/>
      </c>
      <c r="AQ161">
        <f>IF(OR(AQ$4="",$A161&gt;TODAY()),0,IF(OR(INDEX($B161:$D161,AQ$5)="F",AND(AQ$6&gt;0,$A161&lt;AQ$6),AND(AQ$7&gt;0,$A161&gt;AQ$7)),0,MAX(0,ROUND((INDEX($E161:$G161,AQ$5)-SUMIFS(TF_Timer,TF_Tekniker,AQ$4,TF_Dato,$A161))*2,0)/2)))</f>
        <v/>
      </c>
      <c r="AR161">
        <f>IF(OR(AR$4="",$A161&gt;TODAY()),0,IF(OR(INDEX($B161:$D161,AR$5)="F",AND(AR$6&gt;0,$A161&lt;AR$6),AND(AR$7&gt;0,$A161&gt;AR$7)),0,MAX(0,ROUND((INDEX($E161:$G161,AR$5)-SUMIFS(TF_Timer,TF_Tekniker,AR$4,TF_Dato,$A161))*2,0)/2)))</f>
        <v/>
      </c>
      <c r="AS161">
        <f>IF(OR(AS$4="",$A161&gt;TODAY()),0,IF(OR(INDEX($B161:$D161,AS$5)="F",AND(AS$6&gt;0,$A161&lt;AS$6),AND(AS$7&gt;0,$A161&gt;AS$7)),0,MAX(0,ROUND((INDEX($E161:$G161,AS$5)-SUMIFS(TF_Timer,TF_Tekniker,AS$4,TF_Dato,$A161))*2,0)/2)))</f>
        <v/>
      </c>
      <c r="AT161">
        <f>IF(OR(AT$4="",$A161&gt;TODAY()),0,IF(OR(INDEX($B161:$D161,AT$5)="F",AND(AT$6&gt;0,$A161&lt;AT$6),AND(AT$7&gt;0,$A161&gt;AT$7)),0,MAX(0,ROUND((INDEX($E161:$G161,AT$5)-SUMIFS(TF_Timer,TF_Tekniker,AT$4,TF_Dato,$A161))*2,0)/2)))</f>
        <v/>
      </c>
      <c r="AU161">
        <f>IF(OR(AU$4="",$A161&gt;TODAY()),0,IF(OR(INDEX($B161:$D161,AU$5)="F",AND(AU$6&gt;0,$A161&lt;AU$6),AND(AU$7&gt;0,$A161&gt;AU$7)),0,MAX(0,ROUND((INDEX($E161:$G161,AU$5)-SUMIFS(TF_Timer,TF_Tekniker,AU$4,TF_Dato,$A161))*2,0)/2)))</f>
        <v/>
      </c>
      <c r="AV161">
        <f>IF(OR(AV$4="",$A161&gt;TODAY()),0,IF(OR(INDEX($B161:$D161,AV$5)="F",AND(AV$6&gt;0,$A161&lt;AV$6),AND(AV$7&gt;0,$A161&gt;AV$7)),0,MAX(0,ROUND((INDEX($E161:$G161,AV$5)-SUMIFS(TF_Timer,TF_Tekniker,AV$4,TF_Dato,$A161))*2,0)/2)))</f>
        <v/>
      </c>
      <c r="AW161">
        <f>IF(OR(AW$4="",$A161&gt;TODAY()),0,IF(OR(INDEX($B161:$D161,AW$5)="F",AND(AW$6&gt;0,$A161&lt;AW$6),AND(AW$7&gt;0,$A161&gt;AW$7)),0,MAX(0,ROUND((INDEX($E161:$G161,AW$5)-SUMIFS(TF_Timer,TF_Tekniker,AW$4,TF_Dato,$A161))*2,0)/2)))</f>
        <v/>
      </c>
      <c r="AX161">
        <f>IF(OR(AX$4="",$A161&gt;TODAY()),0,IF(OR(INDEX($B161:$D161,AX$5)="F",AND(AX$6&gt;0,$A161&lt;AX$6),AND(AX$7&gt;0,$A161&gt;AX$7)),0,MAX(0,ROUND((INDEX($E161:$G161,AX$5)-SUMIFS(TF_Timer,TF_Tekniker,AX$4,TF_Dato,$A161))*2,0)/2)))</f>
        <v/>
      </c>
      <c r="AY161">
        <f>IF(OR(AY$4="",$A161&gt;TODAY()),0,IF(OR(INDEX($B161:$D161,AY$5)="F",AND(AY$6&gt;0,$A161&lt;AY$6),AND(AY$7&gt;0,$A161&gt;AY$7)),0,MAX(0,ROUND((INDEX($E161:$G161,AY$5)-SUMIFS(TF_Timer,TF_Tekniker,AY$4,TF_Dato,$A161))*2,0)/2)))</f>
        <v/>
      </c>
      <c r="AZ161">
        <f>IF(OR(AZ$4="",$A161&gt;TODAY()),0,IF(OR(INDEX($B161:$D161,AZ$5)="F",AND(AZ$6&gt;0,$A161&lt;AZ$6),AND(AZ$7&gt;0,$A161&gt;AZ$7)),0,MAX(0,ROUND((INDEX($E161:$G161,AZ$5)-SUMIFS(TF_Timer,TF_Tekniker,AZ$4,TF_Dato,$A161))*2,0)/2)))</f>
        <v/>
      </c>
      <c r="BA161">
        <f>IF(OR(BA$4="",$A161&gt;TODAY()),0,IF(OR(INDEX($B161:$D161,BA$5)="F",AND(BA$6&gt;0,$A161&lt;BA$6),AND(BA$7&gt;0,$A161&gt;BA$7)),0,MAX(0,ROUND((INDEX($E161:$G161,BA$5)-SUMIFS(TF_Timer,TF_Tekniker,BA$4,TF_Dato,$A161))*2,0)/2)))</f>
        <v/>
      </c>
      <c r="BB161">
        <f>IF(OR(BB$4="",$A161&gt;TODAY()),0,IF(OR(INDEX($B161:$D161,BB$5)="F",AND(BB$6&gt;0,$A161&lt;BB$6),AND(BB$7&gt;0,$A161&gt;BB$7)),0,MAX(0,ROUND((INDEX($E161:$G161,BB$5)-SUMIFS(TF_Timer,TF_Tekniker,BB$4,TF_Dato,$A161))*2,0)/2)))</f>
        <v/>
      </c>
      <c r="BC161">
        <f>IF(OR(BC$4="",$A161&gt;TODAY()),0,IF(OR(INDEX($B161:$D161,BC$5)="F",AND(BC$6&gt;0,$A161&lt;BC$6),AND(BC$7&gt;0,$A161&gt;BC$7)),0,MAX(0,ROUND((INDEX($E161:$G161,BC$5)-SUMIFS(TF_Timer,TF_Tekniker,BC$4,TF_Dato,$A161))*2,0)/2)))</f>
        <v/>
      </c>
      <c r="BD161">
        <f>IF(OR(BD$4="",$A161&gt;TODAY()),0,IF(OR(INDEX($B161:$D161,BD$5)="F",AND(BD$6&gt;0,$A161&lt;BD$6),AND(BD$7&gt;0,$A161&gt;BD$7)),0,MAX(0,ROUND((INDEX($E161:$G161,BD$5)-SUMIFS(TF_Timer,TF_Tekniker,BD$4,TF_Dato,$A161))*2,0)/2)))</f>
        <v/>
      </c>
      <c r="BE161">
        <f>IF(OR(BE$4="",$A161&gt;TODAY()),0,IF(OR(INDEX($B161:$D161,BE$5)="F",AND(BE$6&gt;0,$A161&lt;BE$6),AND(BE$7&gt;0,$A161&gt;BE$7)),0,MAX(0,ROUND((INDEX($E161:$G161,BE$5)-SUMIFS(TF_Timer,TF_Tekniker,BE$4,TF_Dato,$A161))*2,0)/2)))</f>
        <v/>
      </c>
      <c r="BF161">
        <f>IF(OR(BF$4="",$A161&gt;TODAY()),0,IF(OR(INDEX($B161:$D161,BF$5)="F",AND(BF$6&gt;0,$A161&lt;BF$6),AND(BF$7&gt;0,$A161&gt;BF$7)),0,MAX(0,ROUND((INDEX($E161:$G161,BF$5)-SUMIFS(TF_Timer,TF_Tekniker,BF$4,TF_Dato,$A161))*2,0)/2)))</f>
        <v/>
      </c>
      <c r="BG161">
        <f>IF(OR(BG$4="",$A161&gt;TODAY()),0,IF(OR(INDEX($B161:$D161,BG$5)="F",AND(BG$6&gt;0,$A161&lt;BG$6),AND(BG$7&gt;0,$A161&gt;BG$7)),0,MAX(0,ROUND((INDEX($E161:$G161,BG$5)-SUMIFS(TF_Timer,TF_Tekniker,BG$4,TF_Dato,$A161))*2,0)/2)))</f>
        <v/>
      </c>
      <c r="BH161">
        <f>IF(OR(BH$4="",$A161&gt;TODAY()),0,IF(OR(INDEX($B161:$D161,BH$5)="F",AND(BH$6&gt;0,$A161&lt;BH$6),AND(BH$7&gt;0,$A161&gt;BH$7)),0,MAX(0,ROUND((INDEX($E161:$G161,BH$5)-SUMIFS(TF_Timer,TF_Tekniker,BH$4,TF_Dato,$A161))*2,0)/2)))</f>
        <v/>
      </c>
      <c r="BI161">
        <f>IF(OR(BI$4="",$A161&gt;TODAY()),0,IF(OR(INDEX($B161:$D161,BI$5)="F",AND(BI$6&gt;0,$A161&lt;BI$6),AND(BI$7&gt;0,$A161&gt;BI$7)),0,MAX(0,ROUND((INDEX($E161:$G161,BI$5)-SUMIFS(TF_Timer,TF_Tekniker,BI$4,TF_Dato,$A161))*2,0)/2)))</f>
        <v/>
      </c>
    </row>
    <row r="162">
      <c r="A162" s="64">
        <f>A161+1</f>
        <v/>
      </c>
      <c r="B162">
        <f>IF(MOD($A162-INDEX(SkiftStart,1),Syklus)&lt;DagK,"K",IF(MOD($A162-INDEX(SkiftStart,1),Syklus)&lt;DagK+DagH,"H",IF(MOD($A162-INDEX(SkiftStart,1),Syklus)&lt;DagK+DagH+DagD,"D","F")))</f>
        <v/>
      </c>
      <c r="C162">
        <f>IF(MOD($A162-INDEX(SkiftStart,2),Syklus)&lt;DagK,"K",IF(MOD($A162-INDEX(SkiftStart,2),Syklus)&lt;DagK+DagH,"H",IF(MOD($A162-INDEX(SkiftStart,2),Syklus)&lt;DagK+DagH+DagD,"D","F")))</f>
        <v/>
      </c>
      <c r="D162">
        <f>IF(MOD($A162-INDEX(SkiftStart,3),Syklus)&lt;DagK,"K",IF(MOD($A162-INDEX(SkiftStart,3),Syklus)&lt;DagK+DagH,"H",IF(MOD($A162-INDEX(SkiftStart,3),Syklus)&lt;DagK+DagH+DagD,"D","F")))</f>
        <v/>
      </c>
      <c r="E162">
        <f>IF(B162="F",0,IF(WEEKDAY($A162,2)=5,INDEX(TimerFr,MATCH(B162,FaseKode,0)),INDEX(TimerMT,MATCH(B162,FaseKode,0))))</f>
        <v/>
      </c>
      <c r="F162">
        <f>IF(C162="F",0,IF(WEEKDAY($A162,2)=5,INDEX(TimerFr,MATCH(C162,FaseKode,0)),INDEX(TimerMT,MATCH(C162,FaseKode,0))))</f>
        <v/>
      </c>
      <c r="G162">
        <f>IF(D162="F",0,IF(WEEKDAY($A162,2)=5,INDEX(TimerFr,MATCH(D162,FaseKode,0)),INDEX(TimerMT,MATCH(D162,FaseKode,0))))</f>
        <v/>
      </c>
      <c r="H162">
        <f>IF(OR(H$4="",$A162&gt;TODAY()),0,IF(OR(INDEX($B162:$D162,H$5)="F",AND(H$6&gt;0,$A162&lt;H$6),AND(H$7&gt;0,$A162&gt;H$7)),0,MAX(0,ROUND((INDEX($E162:$G162,H$5)-SUMIFS(TF_Timer,TF_Tekniker,H$4,TF_Dato,$A162))*2,0)/2)))</f>
        <v/>
      </c>
      <c r="I162">
        <f>IF(OR(I$4="",$A162&gt;TODAY()),0,IF(OR(INDEX($B162:$D162,I$5)="F",AND(I$6&gt;0,$A162&lt;I$6),AND(I$7&gt;0,$A162&gt;I$7)),0,MAX(0,ROUND((INDEX($E162:$G162,I$5)-SUMIFS(TF_Timer,TF_Tekniker,I$4,TF_Dato,$A162))*2,0)/2)))</f>
        <v/>
      </c>
      <c r="J162">
        <f>IF(OR(J$4="",$A162&gt;TODAY()),0,IF(OR(INDEX($B162:$D162,J$5)="F",AND(J$6&gt;0,$A162&lt;J$6),AND(J$7&gt;0,$A162&gt;J$7)),0,MAX(0,ROUND((INDEX($E162:$G162,J$5)-SUMIFS(TF_Timer,TF_Tekniker,J$4,TF_Dato,$A162))*2,0)/2)))</f>
        <v/>
      </c>
      <c r="K162">
        <f>IF(OR(K$4="",$A162&gt;TODAY()),0,IF(OR(INDEX($B162:$D162,K$5)="F",AND(K$6&gt;0,$A162&lt;K$6),AND(K$7&gt;0,$A162&gt;K$7)),0,MAX(0,ROUND((INDEX($E162:$G162,K$5)-SUMIFS(TF_Timer,TF_Tekniker,K$4,TF_Dato,$A162))*2,0)/2)))</f>
        <v/>
      </c>
      <c r="L162">
        <f>IF(OR(L$4="",$A162&gt;TODAY()),0,IF(OR(INDEX($B162:$D162,L$5)="F",AND(L$6&gt;0,$A162&lt;L$6),AND(L$7&gt;0,$A162&gt;L$7)),0,MAX(0,ROUND((INDEX($E162:$G162,L$5)-SUMIFS(TF_Timer,TF_Tekniker,L$4,TF_Dato,$A162))*2,0)/2)))</f>
        <v/>
      </c>
      <c r="M162">
        <f>IF(OR(M$4="",$A162&gt;TODAY()),0,IF(OR(INDEX($B162:$D162,M$5)="F",AND(M$6&gt;0,$A162&lt;M$6),AND(M$7&gt;0,$A162&gt;M$7)),0,MAX(0,ROUND((INDEX($E162:$G162,M$5)-SUMIFS(TF_Timer,TF_Tekniker,M$4,TF_Dato,$A162))*2,0)/2)))</f>
        <v/>
      </c>
      <c r="N162">
        <f>IF(OR(N$4="",$A162&gt;TODAY()),0,IF(OR(INDEX($B162:$D162,N$5)="F",AND(N$6&gt;0,$A162&lt;N$6),AND(N$7&gt;0,$A162&gt;N$7)),0,MAX(0,ROUND((INDEX($E162:$G162,N$5)-SUMIFS(TF_Timer,TF_Tekniker,N$4,TF_Dato,$A162))*2,0)/2)))</f>
        <v/>
      </c>
      <c r="O162">
        <f>IF(OR(O$4="",$A162&gt;TODAY()),0,IF(OR(INDEX($B162:$D162,O$5)="F",AND(O$6&gt;0,$A162&lt;O$6),AND(O$7&gt;0,$A162&gt;O$7)),0,MAX(0,ROUND((INDEX($E162:$G162,O$5)-SUMIFS(TF_Timer,TF_Tekniker,O$4,TF_Dato,$A162))*2,0)/2)))</f>
        <v/>
      </c>
      <c r="P162">
        <f>IF(OR(P$4="",$A162&gt;TODAY()),0,IF(OR(INDEX($B162:$D162,P$5)="F",AND(P$6&gt;0,$A162&lt;P$6),AND(P$7&gt;0,$A162&gt;P$7)),0,MAX(0,ROUND((INDEX($E162:$G162,P$5)-SUMIFS(TF_Timer,TF_Tekniker,P$4,TF_Dato,$A162))*2,0)/2)))</f>
        <v/>
      </c>
      <c r="Q162">
        <f>IF(OR(Q$4="",$A162&gt;TODAY()),0,IF(OR(INDEX($B162:$D162,Q$5)="F",AND(Q$6&gt;0,$A162&lt;Q$6),AND(Q$7&gt;0,$A162&gt;Q$7)),0,MAX(0,ROUND((INDEX($E162:$G162,Q$5)-SUMIFS(TF_Timer,TF_Tekniker,Q$4,TF_Dato,$A162))*2,0)/2)))</f>
        <v/>
      </c>
      <c r="R162">
        <f>IF(OR(R$4="",$A162&gt;TODAY()),0,IF(OR(INDEX($B162:$D162,R$5)="F",AND(R$6&gt;0,$A162&lt;R$6),AND(R$7&gt;0,$A162&gt;R$7)),0,MAX(0,ROUND((INDEX($E162:$G162,R$5)-SUMIFS(TF_Timer,TF_Tekniker,R$4,TF_Dato,$A162))*2,0)/2)))</f>
        <v/>
      </c>
      <c r="S162">
        <f>IF(OR(S$4="",$A162&gt;TODAY()),0,IF(OR(INDEX($B162:$D162,S$5)="F",AND(S$6&gt;0,$A162&lt;S$6),AND(S$7&gt;0,$A162&gt;S$7)),0,MAX(0,ROUND((INDEX($E162:$G162,S$5)-SUMIFS(TF_Timer,TF_Tekniker,S$4,TF_Dato,$A162))*2,0)/2)))</f>
        <v/>
      </c>
      <c r="T162">
        <f>IF(OR(T$4="",$A162&gt;TODAY()),0,IF(OR(INDEX($B162:$D162,T$5)="F",AND(T$6&gt;0,$A162&lt;T$6),AND(T$7&gt;0,$A162&gt;T$7)),0,MAX(0,ROUND((INDEX($E162:$G162,T$5)-SUMIFS(TF_Timer,TF_Tekniker,T$4,TF_Dato,$A162))*2,0)/2)))</f>
        <v/>
      </c>
      <c r="U162">
        <f>IF(OR(U$4="",$A162&gt;TODAY()),0,IF(OR(INDEX($B162:$D162,U$5)="F",AND(U$6&gt;0,$A162&lt;U$6),AND(U$7&gt;0,$A162&gt;U$7)),0,MAX(0,ROUND((INDEX($E162:$G162,U$5)-SUMIFS(TF_Timer,TF_Tekniker,U$4,TF_Dato,$A162))*2,0)/2)))</f>
        <v/>
      </c>
      <c r="V162">
        <f>IF(OR(V$4="",$A162&gt;TODAY()),0,IF(OR(INDEX($B162:$D162,V$5)="F",AND(V$6&gt;0,$A162&lt;V$6),AND(V$7&gt;0,$A162&gt;V$7)),0,MAX(0,ROUND((INDEX($E162:$G162,V$5)-SUMIFS(TF_Timer,TF_Tekniker,V$4,TF_Dato,$A162))*2,0)/2)))</f>
        <v/>
      </c>
      <c r="W162">
        <f>IF(OR(W$4="",$A162&gt;TODAY()),0,IF(OR(INDEX($B162:$D162,W$5)="F",AND(W$6&gt;0,$A162&lt;W$6),AND(W$7&gt;0,$A162&gt;W$7)),0,MAX(0,ROUND((INDEX($E162:$G162,W$5)-SUMIFS(TF_Timer,TF_Tekniker,W$4,TF_Dato,$A162))*2,0)/2)))</f>
        <v/>
      </c>
      <c r="X162">
        <f>IF(OR(X$4="",$A162&gt;TODAY()),0,IF(OR(INDEX($B162:$D162,X$5)="F",AND(X$6&gt;0,$A162&lt;X$6),AND(X$7&gt;0,$A162&gt;X$7)),0,MAX(0,ROUND((INDEX($E162:$G162,X$5)-SUMIFS(TF_Timer,TF_Tekniker,X$4,TF_Dato,$A162))*2,0)/2)))</f>
        <v/>
      </c>
      <c r="Y162">
        <f>IF(OR(Y$4="",$A162&gt;TODAY()),0,IF(OR(INDEX($B162:$D162,Y$5)="F",AND(Y$6&gt;0,$A162&lt;Y$6),AND(Y$7&gt;0,$A162&gt;Y$7)),0,MAX(0,ROUND((INDEX($E162:$G162,Y$5)-SUMIFS(TF_Timer,TF_Tekniker,Y$4,TF_Dato,$A162))*2,0)/2)))</f>
        <v/>
      </c>
      <c r="Z162">
        <f>IF(OR(Z$4="",$A162&gt;TODAY()),0,IF(OR(INDEX($B162:$D162,Z$5)="F",AND(Z$6&gt;0,$A162&lt;Z$6),AND(Z$7&gt;0,$A162&gt;Z$7)),0,MAX(0,ROUND((INDEX($E162:$G162,Z$5)-SUMIFS(TF_Timer,TF_Tekniker,Z$4,TF_Dato,$A162))*2,0)/2)))</f>
        <v/>
      </c>
      <c r="AA162">
        <f>IF(OR(AA$4="",$A162&gt;TODAY()),0,IF(OR(INDEX($B162:$D162,AA$5)="F",AND(AA$6&gt;0,$A162&lt;AA$6),AND(AA$7&gt;0,$A162&gt;AA$7)),0,MAX(0,ROUND((INDEX($E162:$G162,AA$5)-SUMIFS(TF_Timer,TF_Tekniker,AA$4,TF_Dato,$A162))*2,0)/2)))</f>
        <v/>
      </c>
      <c r="AB162">
        <f>IF(OR(AB$4="",$A162&gt;TODAY()),0,IF(OR(INDEX($B162:$D162,AB$5)="F",AND(AB$6&gt;0,$A162&lt;AB$6),AND(AB$7&gt;0,$A162&gt;AB$7)),0,MAX(0,ROUND((INDEX($E162:$G162,AB$5)-SUMIFS(TF_Timer,TF_Tekniker,AB$4,TF_Dato,$A162))*2,0)/2)))</f>
        <v/>
      </c>
      <c r="AC162">
        <f>IF(OR(AC$4="",$A162&gt;TODAY()),0,IF(OR(INDEX($B162:$D162,AC$5)="F",AND(AC$6&gt;0,$A162&lt;AC$6),AND(AC$7&gt;0,$A162&gt;AC$7)),0,MAX(0,ROUND((INDEX($E162:$G162,AC$5)-SUMIFS(TF_Timer,TF_Tekniker,AC$4,TF_Dato,$A162))*2,0)/2)))</f>
        <v/>
      </c>
      <c r="AD162">
        <f>IF(OR(AD$4="",$A162&gt;TODAY()),0,IF(OR(INDEX($B162:$D162,AD$5)="F",AND(AD$6&gt;0,$A162&lt;AD$6),AND(AD$7&gt;0,$A162&gt;AD$7)),0,MAX(0,ROUND((INDEX($E162:$G162,AD$5)-SUMIFS(TF_Timer,TF_Tekniker,AD$4,TF_Dato,$A162))*2,0)/2)))</f>
        <v/>
      </c>
      <c r="AE162">
        <f>IF(OR(AE$4="",$A162&gt;TODAY()),0,IF(OR(INDEX($B162:$D162,AE$5)="F",AND(AE$6&gt;0,$A162&lt;AE$6),AND(AE$7&gt;0,$A162&gt;AE$7)),0,MAX(0,ROUND((INDEX($E162:$G162,AE$5)-SUMIFS(TF_Timer,TF_Tekniker,AE$4,TF_Dato,$A162))*2,0)/2)))</f>
        <v/>
      </c>
      <c r="AF162">
        <f>IF(OR(AF$4="",$A162&gt;TODAY()),0,IF(OR(INDEX($B162:$D162,AF$5)="F",AND(AF$6&gt;0,$A162&lt;AF$6),AND(AF$7&gt;0,$A162&gt;AF$7)),0,MAX(0,ROUND((INDEX($E162:$G162,AF$5)-SUMIFS(TF_Timer,TF_Tekniker,AF$4,TF_Dato,$A162))*2,0)/2)))</f>
        <v/>
      </c>
      <c r="AG162">
        <f>IF(OR(AG$4="",$A162&gt;TODAY()),0,IF(OR(INDEX($B162:$D162,AG$5)="F",AND(AG$6&gt;0,$A162&lt;AG$6),AND(AG$7&gt;0,$A162&gt;AG$7)),0,MAX(0,ROUND((INDEX($E162:$G162,AG$5)-SUMIFS(TF_Timer,TF_Tekniker,AG$4,TF_Dato,$A162))*2,0)/2)))</f>
        <v/>
      </c>
      <c r="AH162">
        <f>IF(OR(AH$4="",$A162&gt;TODAY()),0,IF(OR(INDEX($B162:$D162,AH$5)="F",AND(AH$6&gt;0,$A162&lt;AH$6),AND(AH$7&gt;0,$A162&gt;AH$7)),0,MAX(0,ROUND((INDEX($E162:$G162,AH$5)-SUMIFS(TF_Timer,TF_Tekniker,AH$4,TF_Dato,$A162))*2,0)/2)))</f>
        <v/>
      </c>
      <c r="AI162">
        <f>IF(OR(AI$4="",$A162&gt;TODAY()),0,IF(OR(INDEX($B162:$D162,AI$5)="F",AND(AI$6&gt;0,$A162&lt;AI$6),AND(AI$7&gt;0,$A162&gt;AI$7)),0,MAX(0,ROUND((INDEX($E162:$G162,AI$5)-SUMIFS(TF_Timer,TF_Tekniker,AI$4,TF_Dato,$A162))*2,0)/2)))</f>
        <v/>
      </c>
      <c r="AJ162">
        <f>IF(OR(AJ$4="",$A162&gt;TODAY()),0,IF(OR(INDEX($B162:$D162,AJ$5)="F",AND(AJ$6&gt;0,$A162&lt;AJ$6),AND(AJ$7&gt;0,$A162&gt;AJ$7)),0,MAX(0,ROUND((INDEX($E162:$G162,AJ$5)-SUMIFS(TF_Timer,TF_Tekniker,AJ$4,TF_Dato,$A162))*2,0)/2)))</f>
        <v/>
      </c>
      <c r="AK162">
        <f>IF(OR(AK$4="",$A162&gt;TODAY()),0,IF(OR(INDEX($B162:$D162,AK$5)="F",AND(AK$6&gt;0,$A162&lt;AK$6),AND(AK$7&gt;0,$A162&gt;AK$7)),0,MAX(0,ROUND((INDEX($E162:$G162,AK$5)-SUMIFS(TF_Timer,TF_Tekniker,AK$4,TF_Dato,$A162))*2,0)/2)))</f>
        <v/>
      </c>
      <c r="AL162">
        <f>IF(OR(AL$4="",$A162&gt;TODAY()),0,IF(OR(INDEX($B162:$D162,AL$5)="F",AND(AL$6&gt;0,$A162&lt;AL$6),AND(AL$7&gt;0,$A162&gt;AL$7)),0,MAX(0,ROUND((INDEX($E162:$G162,AL$5)-SUMIFS(TF_Timer,TF_Tekniker,AL$4,TF_Dato,$A162))*2,0)/2)))</f>
        <v/>
      </c>
      <c r="AM162">
        <f>IF(OR(AM$4="",$A162&gt;TODAY()),0,IF(OR(INDEX($B162:$D162,AM$5)="F",AND(AM$6&gt;0,$A162&lt;AM$6),AND(AM$7&gt;0,$A162&gt;AM$7)),0,MAX(0,ROUND((INDEX($E162:$G162,AM$5)-SUMIFS(TF_Timer,TF_Tekniker,AM$4,TF_Dato,$A162))*2,0)/2)))</f>
        <v/>
      </c>
      <c r="AN162">
        <f>IF(OR(AN$4="",$A162&gt;TODAY()),0,IF(OR(INDEX($B162:$D162,AN$5)="F",AND(AN$6&gt;0,$A162&lt;AN$6),AND(AN$7&gt;0,$A162&gt;AN$7)),0,MAX(0,ROUND((INDEX($E162:$G162,AN$5)-SUMIFS(TF_Timer,TF_Tekniker,AN$4,TF_Dato,$A162))*2,0)/2)))</f>
        <v/>
      </c>
      <c r="AO162">
        <f>IF(OR(AO$4="",$A162&gt;TODAY()),0,IF(OR(INDEX($B162:$D162,AO$5)="F",AND(AO$6&gt;0,$A162&lt;AO$6),AND(AO$7&gt;0,$A162&gt;AO$7)),0,MAX(0,ROUND((INDEX($E162:$G162,AO$5)-SUMIFS(TF_Timer,TF_Tekniker,AO$4,TF_Dato,$A162))*2,0)/2)))</f>
        <v/>
      </c>
      <c r="AP162">
        <f>IF(OR(AP$4="",$A162&gt;TODAY()),0,IF(OR(INDEX($B162:$D162,AP$5)="F",AND(AP$6&gt;0,$A162&lt;AP$6),AND(AP$7&gt;0,$A162&gt;AP$7)),0,MAX(0,ROUND((INDEX($E162:$G162,AP$5)-SUMIFS(TF_Timer,TF_Tekniker,AP$4,TF_Dato,$A162))*2,0)/2)))</f>
        <v/>
      </c>
      <c r="AQ162">
        <f>IF(OR(AQ$4="",$A162&gt;TODAY()),0,IF(OR(INDEX($B162:$D162,AQ$5)="F",AND(AQ$6&gt;0,$A162&lt;AQ$6),AND(AQ$7&gt;0,$A162&gt;AQ$7)),0,MAX(0,ROUND((INDEX($E162:$G162,AQ$5)-SUMIFS(TF_Timer,TF_Tekniker,AQ$4,TF_Dato,$A162))*2,0)/2)))</f>
        <v/>
      </c>
      <c r="AR162">
        <f>IF(OR(AR$4="",$A162&gt;TODAY()),0,IF(OR(INDEX($B162:$D162,AR$5)="F",AND(AR$6&gt;0,$A162&lt;AR$6),AND(AR$7&gt;0,$A162&gt;AR$7)),0,MAX(0,ROUND((INDEX($E162:$G162,AR$5)-SUMIFS(TF_Timer,TF_Tekniker,AR$4,TF_Dato,$A162))*2,0)/2)))</f>
        <v/>
      </c>
      <c r="AS162">
        <f>IF(OR(AS$4="",$A162&gt;TODAY()),0,IF(OR(INDEX($B162:$D162,AS$5)="F",AND(AS$6&gt;0,$A162&lt;AS$6),AND(AS$7&gt;0,$A162&gt;AS$7)),0,MAX(0,ROUND((INDEX($E162:$G162,AS$5)-SUMIFS(TF_Timer,TF_Tekniker,AS$4,TF_Dato,$A162))*2,0)/2)))</f>
        <v/>
      </c>
      <c r="AT162">
        <f>IF(OR(AT$4="",$A162&gt;TODAY()),0,IF(OR(INDEX($B162:$D162,AT$5)="F",AND(AT$6&gt;0,$A162&lt;AT$6),AND(AT$7&gt;0,$A162&gt;AT$7)),0,MAX(0,ROUND((INDEX($E162:$G162,AT$5)-SUMIFS(TF_Timer,TF_Tekniker,AT$4,TF_Dato,$A162))*2,0)/2)))</f>
        <v/>
      </c>
      <c r="AU162">
        <f>IF(OR(AU$4="",$A162&gt;TODAY()),0,IF(OR(INDEX($B162:$D162,AU$5)="F",AND(AU$6&gt;0,$A162&lt;AU$6),AND(AU$7&gt;0,$A162&gt;AU$7)),0,MAX(0,ROUND((INDEX($E162:$G162,AU$5)-SUMIFS(TF_Timer,TF_Tekniker,AU$4,TF_Dato,$A162))*2,0)/2)))</f>
        <v/>
      </c>
      <c r="AV162">
        <f>IF(OR(AV$4="",$A162&gt;TODAY()),0,IF(OR(INDEX($B162:$D162,AV$5)="F",AND(AV$6&gt;0,$A162&lt;AV$6),AND(AV$7&gt;0,$A162&gt;AV$7)),0,MAX(0,ROUND((INDEX($E162:$G162,AV$5)-SUMIFS(TF_Timer,TF_Tekniker,AV$4,TF_Dato,$A162))*2,0)/2)))</f>
        <v/>
      </c>
      <c r="AW162">
        <f>IF(OR(AW$4="",$A162&gt;TODAY()),0,IF(OR(INDEX($B162:$D162,AW$5)="F",AND(AW$6&gt;0,$A162&lt;AW$6),AND(AW$7&gt;0,$A162&gt;AW$7)),0,MAX(0,ROUND((INDEX($E162:$G162,AW$5)-SUMIFS(TF_Timer,TF_Tekniker,AW$4,TF_Dato,$A162))*2,0)/2)))</f>
        <v/>
      </c>
      <c r="AX162">
        <f>IF(OR(AX$4="",$A162&gt;TODAY()),0,IF(OR(INDEX($B162:$D162,AX$5)="F",AND(AX$6&gt;0,$A162&lt;AX$6),AND(AX$7&gt;0,$A162&gt;AX$7)),0,MAX(0,ROUND((INDEX($E162:$G162,AX$5)-SUMIFS(TF_Timer,TF_Tekniker,AX$4,TF_Dato,$A162))*2,0)/2)))</f>
        <v/>
      </c>
      <c r="AY162">
        <f>IF(OR(AY$4="",$A162&gt;TODAY()),0,IF(OR(INDEX($B162:$D162,AY$5)="F",AND(AY$6&gt;0,$A162&lt;AY$6),AND(AY$7&gt;0,$A162&gt;AY$7)),0,MAX(0,ROUND((INDEX($E162:$G162,AY$5)-SUMIFS(TF_Timer,TF_Tekniker,AY$4,TF_Dato,$A162))*2,0)/2)))</f>
        <v/>
      </c>
      <c r="AZ162">
        <f>IF(OR(AZ$4="",$A162&gt;TODAY()),0,IF(OR(INDEX($B162:$D162,AZ$5)="F",AND(AZ$6&gt;0,$A162&lt;AZ$6),AND(AZ$7&gt;0,$A162&gt;AZ$7)),0,MAX(0,ROUND((INDEX($E162:$G162,AZ$5)-SUMIFS(TF_Timer,TF_Tekniker,AZ$4,TF_Dato,$A162))*2,0)/2)))</f>
        <v/>
      </c>
      <c r="BA162">
        <f>IF(OR(BA$4="",$A162&gt;TODAY()),0,IF(OR(INDEX($B162:$D162,BA$5)="F",AND(BA$6&gt;0,$A162&lt;BA$6),AND(BA$7&gt;0,$A162&gt;BA$7)),0,MAX(0,ROUND((INDEX($E162:$G162,BA$5)-SUMIFS(TF_Timer,TF_Tekniker,BA$4,TF_Dato,$A162))*2,0)/2)))</f>
        <v/>
      </c>
      <c r="BB162">
        <f>IF(OR(BB$4="",$A162&gt;TODAY()),0,IF(OR(INDEX($B162:$D162,BB$5)="F",AND(BB$6&gt;0,$A162&lt;BB$6),AND(BB$7&gt;0,$A162&gt;BB$7)),0,MAX(0,ROUND((INDEX($E162:$G162,BB$5)-SUMIFS(TF_Timer,TF_Tekniker,BB$4,TF_Dato,$A162))*2,0)/2)))</f>
        <v/>
      </c>
      <c r="BC162">
        <f>IF(OR(BC$4="",$A162&gt;TODAY()),0,IF(OR(INDEX($B162:$D162,BC$5)="F",AND(BC$6&gt;0,$A162&lt;BC$6),AND(BC$7&gt;0,$A162&gt;BC$7)),0,MAX(0,ROUND((INDEX($E162:$G162,BC$5)-SUMIFS(TF_Timer,TF_Tekniker,BC$4,TF_Dato,$A162))*2,0)/2)))</f>
        <v/>
      </c>
      <c r="BD162">
        <f>IF(OR(BD$4="",$A162&gt;TODAY()),0,IF(OR(INDEX($B162:$D162,BD$5)="F",AND(BD$6&gt;0,$A162&lt;BD$6),AND(BD$7&gt;0,$A162&gt;BD$7)),0,MAX(0,ROUND((INDEX($E162:$G162,BD$5)-SUMIFS(TF_Timer,TF_Tekniker,BD$4,TF_Dato,$A162))*2,0)/2)))</f>
        <v/>
      </c>
      <c r="BE162">
        <f>IF(OR(BE$4="",$A162&gt;TODAY()),0,IF(OR(INDEX($B162:$D162,BE$5)="F",AND(BE$6&gt;0,$A162&lt;BE$6),AND(BE$7&gt;0,$A162&gt;BE$7)),0,MAX(0,ROUND((INDEX($E162:$G162,BE$5)-SUMIFS(TF_Timer,TF_Tekniker,BE$4,TF_Dato,$A162))*2,0)/2)))</f>
        <v/>
      </c>
      <c r="BF162">
        <f>IF(OR(BF$4="",$A162&gt;TODAY()),0,IF(OR(INDEX($B162:$D162,BF$5)="F",AND(BF$6&gt;0,$A162&lt;BF$6),AND(BF$7&gt;0,$A162&gt;BF$7)),0,MAX(0,ROUND((INDEX($E162:$G162,BF$5)-SUMIFS(TF_Timer,TF_Tekniker,BF$4,TF_Dato,$A162))*2,0)/2)))</f>
        <v/>
      </c>
      <c r="BG162">
        <f>IF(OR(BG$4="",$A162&gt;TODAY()),0,IF(OR(INDEX($B162:$D162,BG$5)="F",AND(BG$6&gt;0,$A162&lt;BG$6),AND(BG$7&gt;0,$A162&gt;BG$7)),0,MAX(0,ROUND((INDEX($E162:$G162,BG$5)-SUMIFS(TF_Timer,TF_Tekniker,BG$4,TF_Dato,$A162))*2,0)/2)))</f>
        <v/>
      </c>
      <c r="BH162">
        <f>IF(OR(BH$4="",$A162&gt;TODAY()),0,IF(OR(INDEX($B162:$D162,BH$5)="F",AND(BH$6&gt;0,$A162&lt;BH$6),AND(BH$7&gt;0,$A162&gt;BH$7)),0,MAX(0,ROUND((INDEX($E162:$G162,BH$5)-SUMIFS(TF_Timer,TF_Tekniker,BH$4,TF_Dato,$A162))*2,0)/2)))</f>
        <v/>
      </c>
      <c r="BI162">
        <f>IF(OR(BI$4="",$A162&gt;TODAY()),0,IF(OR(INDEX($B162:$D162,BI$5)="F",AND(BI$6&gt;0,$A162&lt;BI$6),AND(BI$7&gt;0,$A162&gt;BI$7)),0,MAX(0,ROUND((INDEX($E162:$G162,BI$5)-SUMIFS(TF_Timer,TF_Tekniker,BI$4,TF_Dato,$A162))*2,0)/2)))</f>
        <v/>
      </c>
    </row>
    <row r="163">
      <c r="A163" s="64">
        <f>A162+1</f>
        <v/>
      </c>
      <c r="B163">
        <f>IF(MOD($A163-INDEX(SkiftStart,1),Syklus)&lt;DagK,"K",IF(MOD($A163-INDEX(SkiftStart,1),Syklus)&lt;DagK+DagH,"H",IF(MOD($A163-INDEX(SkiftStart,1),Syklus)&lt;DagK+DagH+DagD,"D","F")))</f>
        <v/>
      </c>
      <c r="C163">
        <f>IF(MOD($A163-INDEX(SkiftStart,2),Syklus)&lt;DagK,"K",IF(MOD($A163-INDEX(SkiftStart,2),Syklus)&lt;DagK+DagH,"H",IF(MOD($A163-INDEX(SkiftStart,2),Syklus)&lt;DagK+DagH+DagD,"D","F")))</f>
        <v/>
      </c>
      <c r="D163">
        <f>IF(MOD($A163-INDEX(SkiftStart,3),Syklus)&lt;DagK,"K",IF(MOD($A163-INDEX(SkiftStart,3),Syklus)&lt;DagK+DagH,"H",IF(MOD($A163-INDEX(SkiftStart,3),Syklus)&lt;DagK+DagH+DagD,"D","F")))</f>
        <v/>
      </c>
      <c r="E163">
        <f>IF(B163="F",0,IF(WEEKDAY($A163,2)=5,INDEX(TimerFr,MATCH(B163,FaseKode,0)),INDEX(TimerMT,MATCH(B163,FaseKode,0))))</f>
        <v/>
      </c>
      <c r="F163">
        <f>IF(C163="F",0,IF(WEEKDAY($A163,2)=5,INDEX(TimerFr,MATCH(C163,FaseKode,0)),INDEX(TimerMT,MATCH(C163,FaseKode,0))))</f>
        <v/>
      </c>
      <c r="G163">
        <f>IF(D163="F",0,IF(WEEKDAY($A163,2)=5,INDEX(TimerFr,MATCH(D163,FaseKode,0)),INDEX(TimerMT,MATCH(D163,FaseKode,0))))</f>
        <v/>
      </c>
      <c r="H163">
        <f>IF(OR(H$4="",$A163&gt;TODAY()),0,IF(OR(INDEX($B163:$D163,H$5)="F",AND(H$6&gt;0,$A163&lt;H$6),AND(H$7&gt;0,$A163&gt;H$7)),0,MAX(0,ROUND((INDEX($E163:$G163,H$5)-SUMIFS(TF_Timer,TF_Tekniker,H$4,TF_Dato,$A163))*2,0)/2)))</f>
        <v/>
      </c>
      <c r="I163">
        <f>IF(OR(I$4="",$A163&gt;TODAY()),0,IF(OR(INDEX($B163:$D163,I$5)="F",AND(I$6&gt;0,$A163&lt;I$6),AND(I$7&gt;0,$A163&gt;I$7)),0,MAX(0,ROUND((INDEX($E163:$G163,I$5)-SUMIFS(TF_Timer,TF_Tekniker,I$4,TF_Dato,$A163))*2,0)/2)))</f>
        <v/>
      </c>
      <c r="J163">
        <f>IF(OR(J$4="",$A163&gt;TODAY()),0,IF(OR(INDEX($B163:$D163,J$5)="F",AND(J$6&gt;0,$A163&lt;J$6),AND(J$7&gt;0,$A163&gt;J$7)),0,MAX(0,ROUND((INDEX($E163:$G163,J$5)-SUMIFS(TF_Timer,TF_Tekniker,J$4,TF_Dato,$A163))*2,0)/2)))</f>
        <v/>
      </c>
      <c r="K163">
        <f>IF(OR(K$4="",$A163&gt;TODAY()),0,IF(OR(INDEX($B163:$D163,K$5)="F",AND(K$6&gt;0,$A163&lt;K$6),AND(K$7&gt;0,$A163&gt;K$7)),0,MAX(0,ROUND((INDEX($E163:$G163,K$5)-SUMIFS(TF_Timer,TF_Tekniker,K$4,TF_Dato,$A163))*2,0)/2)))</f>
        <v/>
      </c>
      <c r="L163">
        <f>IF(OR(L$4="",$A163&gt;TODAY()),0,IF(OR(INDEX($B163:$D163,L$5)="F",AND(L$6&gt;0,$A163&lt;L$6),AND(L$7&gt;0,$A163&gt;L$7)),0,MAX(0,ROUND((INDEX($E163:$G163,L$5)-SUMIFS(TF_Timer,TF_Tekniker,L$4,TF_Dato,$A163))*2,0)/2)))</f>
        <v/>
      </c>
      <c r="M163">
        <f>IF(OR(M$4="",$A163&gt;TODAY()),0,IF(OR(INDEX($B163:$D163,M$5)="F",AND(M$6&gt;0,$A163&lt;M$6),AND(M$7&gt;0,$A163&gt;M$7)),0,MAX(0,ROUND((INDEX($E163:$G163,M$5)-SUMIFS(TF_Timer,TF_Tekniker,M$4,TF_Dato,$A163))*2,0)/2)))</f>
        <v/>
      </c>
      <c r="N163">
        <f>IF(OR(N$4="",$A163&gt;TODAY()),0,IF(OR(INDEX($B163:$D163,N$5)="F",AND(N$6&gt;0,$A163&lt;N$6),AND(N$7&gt;0,$A163&gt;N$7)),0,MAX(0,ROUND((INDEX($E163:$G163,N$5)-SUMIFS(TF_Timer,TF_Tekniker,N$4,TF_Dato,$A163))*2,0)/2)))</f>
        <v/>
      </c>
      <c r="O163">
        <f>IF(OR(O$4="",$A163&gt;TODAY()),0,IF(OR(INDEX($B163:$D163,O$5)="F",AND(O$6&gt;0,$A163&lt;O$6),AND(O$7&gt;0,$A163&gt;O$7)),0,MAX(0,ROUND((INDEX($E163:$G163,O$5)-SUMIFS(TF_Timer,TF_Tekniker,O$4,TF_Dato,$A163))*2,0)/2)))</f>
        <v/>
      </c>
      <c r="P163">
        <f>IF(OR(P$4="",$A163&gt;TODAY()),0,IF(OR(INDEX($B163:$D163,P$5)="F",AND(P$6&gt;0,$A163&lt;P$6),AND(P$7&gt;0,$A163&gt;P$7)),0,MAX(0,ROUND((INDEX($E163:$G163,P$5)-SUMIFS(TF_Timer,TF_Tekniker,P$4,TF_Dato,$A163))*2,0)/2)))</f>
        <v/>
      </c>
      <c r="Q163">
        <f>IF(OR(Q$4="",$A163&gt;TODAY()),0,IF(OR(INDEX($B163:$D163,Q$5)="F",AND(Q$6&gt;0,$A163&lt;Q$6),AND(Q$7&gt;0,$A163&gt;Q$7)),0,MAX(0,ROUND((INDEX($E163:$G163,Q$5)-SUMIFS(TF_Timer,TF_Tekniker,Q$4,TF_Dato,$A163))*2,0)/2)))</f>
        <v/>
      </c>
      <c r="R163">
        <f>IF(OR(R$4="",$A163&gt;TODAY()),0,IF(OR(INDEX($B163:$D163,R$5)="F",AND(R$6&gt;0,$A163&lt;R$6),AND(R$7&gt;0,$A163&gt;R$7)),0,MAX(0,ROUND((INDEX($E163:$G163,R$5)-SUMIFS(TF_Timer,TF_Tekniker,R$4,TF_Dato,$A163))*2,0)/2)))</f>
        <v/>
      </c>
      <c r="S163">
        <f>IF(OR(S$4="",$A163&gt;TODAY()),0,IF(OR(INDEX($B163:$D163,S$5)="F",AND(S$6&gt;0,$A163&lt;S$6),AND(S$7&gt;0,$A163&gt;S$7)),0,MAX(0,ROUND((INDEX($E163:$G163,S$5)-SUMIFS(TF_Timer,TF_Tekniker,S$4,TF_Dato,$A163))*2,0)/2)))</f>
        <v/>
      </c>
      <c r="T163">
        <f>IF(OR(T$4="",$A163&gt;TODAY()),0,IF(OR(INDEX($B163:$D163,T$5)="F",AND(T$6&gt;0,$A163&lt;T$6),AND(T$7&gt;0,$A163&gt;T$7)),0,MAX(0,ROUND((INDEX($E163:$G163,T$5)-SUMIFS(TF_Timer,TF_Tekniker,T$4,TF_Dato,$A163))*2,0)/2)))</f>
        <v/>
      </c>
      <c r="U163">
        <f>IF(OR(U$4="",$A163&gt;TODAY()),0,IF(OR(INDEX($B163:$D163,U$5)="F",AND(U$6&gt;0,$A163&lt;U$6),AND(U$7&gt;0,$A163&gt;U$7)),0,MAX(0,ROUND((INDEX($E163:$G163,U$5)-SUMIFS(TF_Timer,TF_Tekniker,U$4,TF_Dato,$A163))*2,0)/2)))</f>
        <v/>
      </c>
      <c r="V163">
        <f>IF(OR(V$4="",$A163&gt;TODAY()),0,IF(OR(INDEX($B163:$D163,V$5)="F",AND(V$6&gt;0,$A163&lt;V$6),AND(V$7&gt;0,$A163&gt;V$7)),0,MAX(0,ROUND((INDEX($E163:$G163,V$5)-SUMIFS(TF_Timer,TF_Tekniker,V$4,TF_Dato,$A163))*2,0)/2)))</f>
        <v/>
      </c>
      <c r="W163">
        <f>IF(OR(W$4="",$A163&gt;TODAY()),0,IF(OR(INDEX($B163:$D163,W$5)="F",AND(W$6&gt;0,$A163&lt;W$6),AND(W$7&gt;0,$A163&gt;W$7)),0,MAX(0,ROUND((INDEX($E163:$G163,W$5)-SUMIFS(TF_Timer,TF_Tekniker,W$4,TF_Dato,$A163))*2,0)/2)))</f>
        <v/>
      </c>
      <c r="X163">
        <f>IF(OR(X$4="",$A163&gt;TODAY()),0,IF(OR(INDEX($B163:$D163,X$5)="F",AND(X$6&gt;0,$A163&lt;X$6),AND(X$7&gt;0,$A163&gt;X$7)),0,MAX(0,ROUND((INDEX($E163:$G163,X$5)-SUMIFS(TF_Timer,TF_Tekniker,X$4,TF_Dato,$A163))*2,0)/2)))</f>
        <v/>
      </c>
      <c r="Y163">
        <f>IF(OR(Y$4="",$A163&gt;TODAY()),0,IF(OR(INDEX($B163:$D163,Y$5)="F",AND(Y$6&gt;0,$A163&lt;Y$6),AND(Y$7&gt;0,$A163&gt;Y$7)),0,MAX(0,ROUND((INDEX($E163:$G163,Y$5)-SUMIFS(TF_Timer,TF_Tekniker,Y$4,TF_Dato,$A163))*2,0)/2)))</f>
        <v/>
      </c>
      <c r="Z163">
        <f>IF(OR(Z$4="",$A163&gt;TODAY()),0,IF(OR(INDEX($B163:$D163,Z$5)="F",AND(Z$6&gt;0,$A163&lt;Z$6),AND(Z$7&gt;0,$A163&gt;Z$7)),0,MAX(0,ROUND((INDEX($E163:$G163,Z$5)-SUMIFS(TF_Timer,TF_Tekniker,Z$4,TF_Dato,$A163))*2,0)/2)))</f>
        <v/>
      </c>
      <c r="AA163">
        <f>IF(OR(AA$4="",$A163&gt;TODAY()),0,IF(OR(INDEX($B163:$D163,AA$5)="F",AND(AA$6&gt;0,$A163&lt;AA$6),AND(AA$7&gt;0,$A163&gt;AA$7)),0,MAX(0,ROUND((INDEX($E163:$G163,AA$5)-SUMIFS(TF_Timer,TF_Tekniker,AA$4,TF_Dato,$A163))*2,0)/2)))</f>
        <v/>
      </c>
      <c r="AB163">
        <f>IF(OR(AB$4="",$A163&gt;TODAY()),0,IF(OR(INDEX($B163:$D163,AB$5)="F",AND(AB$6&gt;0,$A163&lt;AB$6),AND(AB$7&gt;0,$A163&gt;AB$7)),0,MAX(0,ROUND((INDEX($E163:$G163,AB$5)-SUMIFS(TF_Timer,TF_Tekniker,AB$4,TF_Dato,$A163))*2,0)/2)))</f>
        <v/>
      </c>
      <c r="AC163">
        <f>IF(OR(AC$4="",$A163&gt;TODAY()),0,IF(OR(INDEX($B163:$D163,AC$5)="F",AND(AC$6&gt;0,$A163&lt;AC$6),AND(AC$7&gt;0,$A163&gt;AC$7)),0,MAX(0,ROUND((INDEX($E163:$G163,AC$5)-SUMIFS(TF_Timer,TF_Tekniker,AC$4,TF_Dato,$A163))*2,0)/2)))</f>
        <v/>
      </c>
      <c r="AD163">
        <f>IF(OR(AD$4="",$A163&gt;TODAY()),0,IF(OR(INDEX($B163:$D163,AD$5)="F",AND(AD$6&gt;0,$A163&lt;AD$6),AND(AD$7&gt;0,$A163&gt;AD$7)),0,MAX(0,ROUND((INDEX($E163:$G163,AD$5)-SUMIFS(TF_Timer,TF_Tekniker,AD$4,TF_Dato,$A163))*2,0)/2)))</f>
        <v/>
      </c>
      <c r="AE163">
        <f>IF(OR(AE$4="",$A163&gt;TODAY()),0,IF(OR(INDEX($B163:$D163,AE$5)="F",AND(AE$6&gt;0,$A163&lt;AE$6),AND(AE$7&gt;0,$A163&gt;AE$7)),0,MAX(0,ROUND((INDEX($E163:$G163,AE$5)-SUMIFS(TF_Timer,TF_Tekniker,AE$4,TF_Dato,$A163))*2,0)/2)))</f>
        <v/>
      </c>
      <c r="AF163">
        <f>IF(OR(AF$4="",$A163&gt;TODAY()),0,IF(OR(INDEX($B163:$D163,AF$5)="F",AND(AF$6&gt;0,$A163&lt;AF$6),AND(AF$7&gt;0,$A163&gt;AF$7)),0,MAX(0,ROUND((INDEX($E163:$G163,AF$5)-SUMIFS(TF_Timer,TF_Tekniker,AF$4,TF_Dato,$A163))*2,0)/2)))</f>
        <v/>
      </c>
      <c r="AG163">
        <f>IF(OR(AG$4="",$A163&gt;TODAY()),0,IF(OR(INDEX($B163:$D163,AG$5)="F",AND(AG$6&gt;0,$A163&lt;AG$6),AND(AG$7&gt;0,$A163&gt;AG$7)),0,MAX(0,ROUND((INDEX($E163:$G163,AG$5)-SUMIFS(TF_Timer,TF_Tekniker,AG$4,TF_Dato,$A163))*2,0)/2)))</f>
        <v/>
      </c>
      <c r="AH163">
        <f>IF(OR(AH$4="",$A163&gt;TODAY()),0,IF(OR(INDEX($B163:$D163,AH$5)="F",AND(AH$6&gt;0,$A163&lt;AH$6),AND(AH$7&gt;0,$A163&gt;AH$7)),0,MAX(0,ROUND((INDEX($E163:$G163,AH$5)-SUMIFS(TF_Timer,TF_Tekniker,AH$4,TF_Dato,$A163))*2,0)/2)))</f>
        <v/>
      </c>
      <c r="AI163">
        <f>IF(OR(AI$4="",$A163&gt;TODAY()),0,IF(OR(INDEX($B163:$D163,AI$5)="F",AND(AI$6&gt;0,$A163&lt;AI$6),AND(AI$7&gt;0,$A163&gt;AI$7)),0,MAX(0,ROUND((INDEX($E163:$G163,AI$5)-SUMIFS(TF_Timer,TF_Tekniker,AI$4,TF_Dato,$A163))*2,0)/2)))</f>
        <v/>
      </c>
      <c r="AJ163">
        <f>IF(OR(AJ$4="",$A163&gt;TODAY()),0,IF(OR(INDEX($B163:$D163,AJ$5)="F",AND(AJ$6&gt;0,$A163&lt;AJ$6),AND(AJ$7&gt;0,$A163&gt;AJ$7)),0,MAX(0,ROUND((INDEX($E163:$G163,AJ$5)-SUMIFS(TF_Timer,TF_Tekniker,AJ$4,TF_Dato,$A163))*2,0)/2)))</f>
        <v/>
      </c>
      <c r="AK163">
        <f>IF(OR(AK$4="",$A163&gt;TODAY()),0,IF(OR(INDEX($B163:$D163,AK$5)="F",AND(AK$6&gt;0,$A163&lt;AK$6),AND(AK$7&gt;0,$A163&gt;AK$7)),0,MAX(0,ROUND((INDEX($E163:$G163,AK$5)-SUMIFS(TF_Timer,TF_Tekniker,AK$4,TF_Dato,$A163))*2,0)/2)))</f>
        <v/>
      </c>
      <c r="AL163">
        <f>IF(OR(AL$4="",$A163&gt;TODAY()),0,IF(OR(INDEX($B163:$D163,AL$5)="F",AND(AL$6&gt;0,$A163&lt;AL$6),AND(AL$7&gt;0,$A163&gt;AL$7)),0,MAX(0,ROUND((INDEX($E163:$G163,AL$5)-SUMIFS(TF_Timer,TF_Tekniker,AL$4,TF_Dato,$A163))*2,0)/2)))</f>
        <v/>
      </c>
      <c r="AM163">
        <f>IF(OR(AM$4="",$A163&gt;TODAY()),0,IF(OR(INDEX($B163:$D163,AM$5)="F",AND(AM$6&gt;0,$A163&lt;AM$6),AND(AM$7&gt;0,$A163&gt;AM$7)),0,MAX(0,ROUND((INDEX($E163:$G163,AM$5)-SUMIFS(TF_Timer,TF_Tekniker,AM$4,TF_Dato,$A163))*2,0)/2)))</f>
        <v/>
      </c>
      <c r="AN163">
        <f>IF(OR(AN$4="",$A163&gt;TODAY()),0,IF(OR(INDEX($B163:$D163,AN$5)="F",AND(AN$6&gt;0,$A163&lt;AN$6),AND(AN$7&gt;0,$A163&gt;AN$7)),0,MAX(0,ROUND((INDEX($E163:$G163,AN$5)-SUMIFS(TF_Timer,TF_Tekniker,AN$4,TF_Dato,$A163))*2,0)/2)))</f>
        <v/>
      </c>
      <c r="AO163">
        <f>IF(OR(AO$4="",$A163&gt;TODAY()),0,IF(OR(INDEX($B163:$D163,AO$5)="F",AND(AO$6&gt;0,$A163&lt;AO$6),AND(AO$7&gt;0,$A163&gt;AO$7)),0,MAX(0,ROUND((INDEX($E163:$G163,AO$5)-SUMIFS(TF_Timer,TF_Tekniker,AO$4,TF_Dato,$A163))*2,0)/2)))</f>
        <v/>
      </c>
      <c r="AP163">
        <f>IF(OR(AP$4="",$A163&gt;TODAY()),0,IF(OR(INDEX($B163:$D163,AP$5)="F",AND(AP$6&gt;0,$A163&lt;AP$6),AND(AP$7&gt;0,$A163&gt;AP$7)),0,MAX(0,ROUND((INDEX($E163:$G163,AP$5)-SUMIFS(TF_Timer,TF_Tekniker,AP$4,TF_Dato,$A163))*2,0)/2)))</f>
        <v/>
      </c>
      <c r="AQ163">
        <f>IF(OR(AQ$4="",$A163&gt;TODAY()),0,IF(OR(INDEX($B163:$D163,AQ$5)="F",AND(AQ$6&gt;0,$A163&lt;AQ$6),AND(AQ$7&gt;0,$A163&gt;AQ$7)),0,MAX(0,ROUND((INDEX($E163:$G163,AQ$5)-SUMIFS(TF_Timer,TF_Tekniker,AQ$4,TF_Dato,$A163))*2,0)/2)))</f>
        <v/>
      </c>
      <c r="AR163">
        <f>IF(OR(AR$4="",$A163&gt;TODAY()),0,IF(OR(INDEX($B163:$D163,AR$5)="F",AND(AR$6&gt;0,$A163&lt;AR$6),AND(AR$7&gt;0,$A163&gt;AR$7)),0,MAX(0,ROUND((INDEX($E163:$G163,AR$5)-SUMIFS(TF_Timer,TF_Tekniker,AR$4,TF_Dato,$A163))*2,0)/2)))</f>
        <v/>
      </c>
      <c r="AS163">
        <f>IF(OR(AS$4="",$A163&gt;TODAY()),0,IF(OR(INDEX($B163:$D163,AS$5)="F",AND(AS$6&gt;0,$A163&lt;AS$6),AND(AS$7&gt;0,$A163&gt;AS$7)),0,MAX(0,ROUND((INDEX($E163:$G163,AS$5)-SUMIFS(TF_Timer,TF_Tekniker,AS$4,TF_Dato,$A163))*2,0)/2)))</f>
        <v/>
      </c>
      <c r="AT163">
        <f>IF(OR(AT$4="",$A163&gt;TODAY()),0,IF(OR(INDEX($B163:$D163,AT$5)="F",AND(AT$6&gt;0,$A163&lt;AT$6),AND(AT$7&gt;0,$A163&gt;AT$7)),0,MAX(0,ROUND((INDEX($E163:$G163,AT$5)-SUMIFS(TF_Timer,TF_Tekniker,AT$4,TF_Dato,$A163))*2,0)/2)))</f>
        <v/>
      </c>
      <c r="AU163">
        <f>IF(OR(AU$4="",$A163&gt;TODAY()),0,IF(OR(INDEX($B163:$D163,AU$5)="F",AND(AU$6&gt;0,$A163&lt;AU$6),AND(AU$7&gt;0,$A163&gt;AU$7)),0,MAX(0,ROUND((INDEX($E163:$G163,AU$5)-SUMIFS(TF_Timer,TF_Tekniker,AU$4,TF_Dato,$A163))*2,0)/2)))</f>
        <v/>
      </c>
      <c r="AV163">
        <f>IF(OR(AV$4="",$A163&gt;TODAY()),0,IF(OR(INDEX($B163:$D163,AV$5)="F",AND(AV$6&gt;0,$A163&lt;AV$6),AND(AV$7&gt;0,$A163&gt;AV$7)),0,MAX(0,ROUND((INDEX($E163:$G163,AV$5)-SUMIFS(TF_Timer,TF_Tekniker,AV$4,TF_Dato,$A163))*2,0)/2)))</f>
        <v/>
      </c>
      <c r="AW163">
        <f>IF(OR(AW$4="",$A163&gt;TODAY()),0,IF(OR(INDEX($B163:$D163,AW$5)="F",AND(AW$6&gt;0,$A163&lt;AW$6),AND(AW$7&gt;0,$A163&gt;AW$7)),0,MAX(0,ROUND((INDEX($E163:$G163,AW$5)-SUMIFS(TF_Timer,TF_Tekniker,AW$4,TF_Dato,$A163))*2,0)/2)))</f>
        <v/>
      </c>
      <c r="AX163">
        <f>IF(OR(AX$4="",$A163&gt;TODAY()),0,IF(OR(INDEX($B163:$D163,AX$5)="F",AND(AX$6&gt;0,$A163&lt;AX$6),AND(AX$7&gt;0,$A163&gt;AX$7)),0,MAX(0,ROUND((INDEX($E163:$G163,AX$5)-SUMIFS(TF_Timer,TF_Tekniker,AX$4,TF_Dato,$A163))*2,0)/2)))</f>
        <v/>
      </c>
      <c r="AY163">
        <f>IF(OR(AY$4="",$A163&gt;TODAY()),0,IF(OR(INDEX($B163:$D163,AY$5)="F",AND(AY$6&gt;0,$A163&lt;AY$6),AND(AY$7&gt;0,$A163&gt;AY$7)),0,MAX(0,ROUND((INDEX($E163:$G163,AY$5)-SUMIFS(TF_Timer,TF_Tekniker,AY$4,TF_Dato,$A163))*2,0)/2)))</f>
        <v/>
      </c>
      <c r="AZ163">
        <f>IF(OR(AZ$4="",$A163&gt;TODAY()),0,IF(OR(INDEX($B163:$D163,AZ$5)="F",AND(AZ$6&gt;0,$A163&lt;AZ$6),AND(AZ$7&gt;0,$A163&gt;AZ$7)),0,MAX(0,ROUND((INDEX($E163:$G163,AZ$5)-SUMIFS(TF_Timer,TF_Tekniker,AZ$4,TF_Dato,$A163))*2,0)/2)))</f>
        <v/>
      </c>
      <c r="BA163">
        <f>IF(OR(BA$4="",$A163&gt;TODAY()),0,IF(OR(INDEX($B163:$D163,BA$5)="F",AND(BA$6&gt;0,$A163&lt;BA$6),AND(BA$7&gt;0,$A163&gt;BA$7)),0,MAX(0,ROUND((INDEX($E163:$G163,BA$5)-SUMIFS(TF_Timer,TF_Tekniker,BA$4,TF_Dato,$A163))*2,0)/2)))</f>
        <v/>
      </c>
      <c r="BB163">
        <f>IF(OR(BB$4="",$A163&gt;TODAY()),0,IF(OR(INDEX($B163:$D163,BB$5)="F",AND(BB$6&gt;0,$A163&lt;BB$6),AND(BB$7&gt;0,$A163&gt;BB$7)),0,MAX(0,ROUND((INDEX($E163:$G163,BB$5)-SUMIFS(TF_Timer,TF_Tekniker,BB$4,TF_Dato,$A163))*2,0)/2)))</f>
        <v/>
      </c>
      <c r="BC163">
        <f>IF(OR(BC$4="",$A163&gt;TODAY()),0,IF(OR(INDEX($B163:$D163,BC$5)="F",AND(BC$6&gt;0,$A163&lt;BC$6),AND(BC$7&gt;0,$A163&gt;BC$7)),0,MAX(0,ROUND((INDEX($E163:$G163,BC$5)-SUMIFS(TF_Timer,TF_Tekniker,BC$4,TF_Dato,$A163))*2,0)/2)))</f>
        <v/>
      </c>
      <c r="BD163">
        <f>IF(OR(BD$4="",$A163&gt;TODAY()),0,IF(OR(INDEX($B163:$D163,BD$5)="F",AND(BD$6&gt;0,$A163&lt;BD$6),AND(BD$7&gt;0,$A163&gt;BD$7)),0,MAX(0,ROUND((INDEX($E163:$G163,BD$5)-SUMIFS(TF_Timer,TF_Tekniker,BD$4,TF_Dato,$A163))*2,0)/2)))</f>
        <v/>
      </c>
      <c r="BE163">
        <f>IF(OR(BE$4="",$A163&gt;TODAY()),0,IF(OR(INDEX($B163:$D163,BE$5)="F",AND(BE$6&gt;0,$A163&lt;BE$6),AND(BE$7&gt;0,$A163&gt;BE$7)),0,MAX(0,ROUND((INDEX($E163:$G163,BE$5)-SUMIFS(TF_Timer,TF_Tekniker,BE$4,TF_Dato,$A163))*2,0)/2)))</f>
        <v/>
      </c>
      <c r="BF163">
        <f>IF(OR(BF$4="",$A163&gt;TODAY()),0,IF(OR(INDEX($B163:$D163,BF$5)="F",AND(BF$6&gt;0,$A163&lt;BF$6),AND(BF$7&gt;0,$A163&gt;BF$7)),0,MAX(0,ROUND((INDEX($E163:$G163,BF$5)-SUMIFS(TF_Timer,TF_Tekniker,BF$4,TF_Dato,$A163))*2,0)/2)))</f>
        <v/>
      </c>
      <c r="BG163">
        <f>IF(OR(BG$4="",$A163&gt;TODAY()),0,IF(OR(INDEX($B163:$D163,BG$5)="F",AND(BG$6&gt;0,$A163&lt;BG$6),AND(BG$7&gt;0,$A163&gt;BG$7)),0,MAX(0,ROUND((INDEX($E163:$G163,BG$5)-SUMIFS(TF_Timer,TF_Tekniker,BG$4,TF_Dato,$A163))*2,0)/2)))</f>
        <v/>
      </c>
      <c r="BH163">
        <f>IF(OR(BH$4="",$A163&gt;TODAY()),0,IF(OR(INDEX($B163:$D163,BH$5)="F",AND(BH$6&gt;0,$A163&lt;BH$6),AND(BH$7&gt;0,$A163&gt;BH$7)),0,MAX(0,ROUND((INDEX($E163:$G163,BH$5)-SUMIFS(TF_Timer,TF_Tekniker,BH$4,TF_Dato,$A163))*2,0)/2)))</f>
        <v/>
      </c>
      <c r="BI163">
        <f>IF(OR(BI$4="",$A163&gt;TODAY()),0,IF(OR(INDEX($B163:$D163,BI$5)="F",AND(BI$6&gt;0,$A163&lt;BI$6),AND(BI$7&gt;0,$A163&gt;BI$7)),0,MAX(0,ROUND((INDEX($E163:$G163,BI$5)-SUMIFS(TF_Timer,TF_Tekniker,BI$4,TF_Dato,$A163))*2,0)/2)))</f>
        <v/>
      </c>
    </row>
    <row r="164">
      <c r="A164" s="64">
        <f>A163+1</f>
        <v/>
      </c>
      <c r="B164">
        <f>IF(MOD($A164-INDEX(SkiftStart,1),Syklus)&lt;DagK,"K",IF(MOD($A164-INDEX(SkiftStart,1),Syklus)&lt;DagK+DagH,"H",IF(MOD($A164-INDEX(SkiftStart,1),Syklus)&lt;DagK+DagH+DagD,"D","F")))</f>
        <v/>
      </c>
      <c r="C164">
        <f>IF(MOD($A164-INDEX(SkiftStart,2),Syklus)&lt;DagK,"K",IF(MOD($A164-INDEX(SkiftStart,2),Syklus)&lt;DagK+DagH,"H",IF(MOD($A164-INDEX(SkiftStart,2),Syklus)&lt;DagK+DagH+DagD,"D","F")))</f>
        <v/>
      </c>
      <c r="D164">
        <f>IF(MOD($A164-INDEX(SkiftStart,3),Syklus)&lt;DagK,"K",IF(MOD($A164-INDEX(SkiftStart,3),Syklus)&lt;DagK+DagH,"H",IF(MOD($A164-INDEX(SkiftStart,3),Syklus)&lt;DagK+DagH+DagD,"D","F")))</f>
        <v/>
      </c>
      <c r="E164">
        <f>IF(B164="F",0,IF(WEEKDAY($A164,2)=5,INDEX(TimerFr,MATCH(B164,FaseKode,0)),INDEX(TimerMT,MATCH(B164,FaseKode,0))))</f>
        <v/>
      </c>
      <c r="F164">
        <f>IF(C164="F",0,IF(WEEKDAY($A164,2)=5,INDEX(TimerFr,MATCH(C164,FaseKode,0)),INDEX(TimerMT,MATCH(C164,FaseKode,0))))</f>
        <v/>
      </c>
      <c r="G164">
        <f>IF(D164="F",0,IF(WEEKDAY($A164,2)=5,INDEX(TimerFr,MATCH(D164,FaseKode,0)),INDEX(TimerMT,MATCH(D164,FaseKode,0))))</f>
        <v/>
      </c>
      <c r="H164">
        <f>IF(OR(H$4="",$A164&gt;TODAY()),0,IF(OR(INDEX($B164:$D164,H$5)="F",AND(H$6&gt;0,$A164&lt;H$6),AND(H$7&gt;0,$A164&gt;H$7)),0,MAX(0,ROUND((INDEX($E164:$G164,H$5)-SUMIFS(TF_Timer,TF_Tekniker,H$4,TF_Dato,$A164))*2,0)/2)))</f>
        <v/>
      </c>
      <c r="I164">
        <f>IF(OR(I$4="",$A164&gt;TODAY()),0,IF(OR(INDEX($B164:$D164,I$5)="F",AND(I$6&gt;0,$A164&lt;I$6),AND(I$7&gt;0,$A164&gt;I$7)),0,MAX(0,ROUND((INDEX($E164:$G164,I$5)-SUMIFS(TF_Timer,TF_Tekniker,I$4,TF_Dato,$A164))*2,0)/2)))</f>
        <v/>
      </c>
      <c r="J164">
        <f>IF(OR(J$4="",$A164&gt;TODAY()),0,IF(OR(INDEX($B164:$D164,J$5)="F",AND(J$6&gt;0,$A164&lt;J$6),AND(J$7&gt;0,$A164&gt;J$7)),0,MAX(0,ROUND((INDEX($E164:$G164,J$5)-SUMIFS(TF_Timer,TF_Tekniker,J$4,TF_Dato,$A164))*2,0)/2)))</f>
        <v/>
      </c>
      <c r="K164">
        <f>IF(OR(K$4="",$A164&gt;TODAY()),0,IF(OR(INDEX($B164:$D164,K$5)="F",AND(K$6&gt;0,$A164&lt;K$6),AND(K$7&gt;0,$A164&gt;K$7)),0,MAX(0,ROUND((INDEX($E164:$G164,K$5)-SUMIFS(TF_Timer,TF_Tekniker,K$4,TF_Dato,$A164))*2,0)/2)))</f>
        <v/>
      </c>
      <c r="L164">
        <f>IF(OR(L$4="",$A164&gt;TODAY()),0,IF(OR(INDEX($B164:$D164,L$5)="F",AND(L$6&gt;0,$A164&lt;L$6),AND(L$7&gt;0,$A164&gt;L$7)),0,MAX(0,ROUND((INDEX($E164:$G164,L$5)-SUMIFS(TF_Timer,TF_Tekniker,L$4,TF_Dato,$A164))*2,0)/2)))</f>
        <v/>
      </c>
      <c r="M164">
        <f>IF(OR(M$4="",$A164&gt;TODAY()),0,IF(OR(INDEX($B164:$D164,M$5)="F",AND(M$6&gt;0,$A164&lt;M$6),AND(M$7&gt;0,$A164&gt;M$7)),0,MAX(0,ROUND((INDEX($E164:$G164,M$5)-SUMIFS(TF_Timer,TF_Tekniker,M$4,TF_Dato,$A164))*2,0)/2)))</f>
        <v/>
      </c>
      <c r="N164">
        <f>IF(OR(N$4="",$A164&gt;TODAY()),0,IF(OR(INDEX($B164:$D164,N$5)="F",AND(N$6&gt;0,$A164&lt;N$6),AND(N$7&gt;0,$A164&gt;N$7)),0,MAX(0,ROUND((INDEX($E164:$G164,N$5)-SUMIFS(TF_Timer,TF_Tekniker,N$4,TF_Dato,$A164))*2,0)/2)))</f>
        <v/>
      </c>
      <c r="O164">
        <f>IF(OR(O$4="",$A164&gt;TODAY()),0,IF(OR(INDEX($B164:$D164,O$5)="F",AND(O$6&gt;0,$A164&lt;O$6),AND(O$7&gt;0,$A164&gt;O$7)),0,MAX(0,ROUND((INDEX($E164:$G164,O$5)-SUMIFS(TF_Timer,TF_Tekniker,O$4,TF_Dato,$A164))*2,0)/2)))</f>
        <v/>
      </c>
      <c r="P164">
        <f>IF(OR(P$4="",$A164&gt;TODAY()),0,IF(OR(INDEX($B164:$D164,P$5)="F",AND(P$6&gt;0,$A164&lt;P$6),AND(P$7&gt;0,$A164&gt;P$7)),0,MAX(0,ROUND((INDEX($E164:$G164,P$5)-SUMIFS(TF_Timer,TF_Tekniker,P$4,TF_Dato,$A164))*2,0)/2)))</f>
        <v/>
      </c>
      <c r="Q164">
        <f>IF(OR(Q$4="",$A164&gt;TODAY()),0,IF(OR(INDEX($B164:$D164,Q$5)="F",AND(Q$6&gt;0,$A164&lt;Q$6),AND(Q$7&gt;0,$A164&gt;Q$7)),0,MAX(0,ROUND((INDEX($E164:$G164,Q$5)-SUMIFS(TF_Timer,TF_Tekniker,Q$4,TF_Dato,$A164))*2,0)/2)))</f>
        <v/>
      </c>
      <c r="R164">
        <f>IF(OR(R$4="",$A164&gt;TODAY()),0,IF(OR(INDEX($B164:$D164,R$5)="F",AND(R$6&gt;0,$A164&lt;R$6),AND(R$7&gt;0,$A164&gt;R$7)),0,MAX(0,ROUND((INDEX($E164:$G164,R$5)-SUMIFS(TF_Timer,TF_Tekniker,R$4,TF_Dato,$A164))*2,0)/2)))</f>
        <v/>
      </c>
      <c r="S164">
        <f>IF(OR(S$4="",$A164&gt;TODAY()),0,IF(OR(INDEX($B164:$D164,S$5)="F",AND(S$6&gt;0,$A164&lt;S$6),AND(S$7&gt;0,$A164&gt;S$7)),0,MAX(0,ROUND((INDEX($E164:$G164,S$5)-SUMIFS(TF_Timer,TF_Tekniker,S$4,TF_Dato,$A164))*2,0)/2)))</f>
        <v/>
      </c>
      <c r="T164">
        <f>IF(OR(T$4="",$A164&gt;TODAY()),0,IF(OR(INDEX($B164:$D164,T$5)="F",AND(T$6&gt;0,$A164&lt;T$6),AND(T$7&gt;0,$A164&gt;T$7)),0,MAX(0,ROUND((INDEX($E164:$G164,T$5)-SUMIFS(TF_Timer,TF_Tekniker,T$4,TF_Dato,$A164))*2,0)/2)))</f>
        <v/>
      </c>
      <c r="U164">
        <f>IF(OR(U$4="",$A164&gt;TODAY()),0,IF(OR(INDEX($B164:$D164,U$5)="F",AND(U$6&gt;0,$A164&lt;U$6),AND(U$7&gt;0,$A164&gt;U$7)),0,MAX(0,ROUND((INDEX($E164:$G164,U$5)-SUMIFS(TF_Timer,TF_Tekniker,U$4,TF_Dato,$A164))*2,0)/2)))</f>
        <v/>
      </c>
      <c r="V164">
        <f>IF(OR(V$4="",$A164&gt;TODAY()),0,IF(OR(INDEX($B164:$D164,V$5)="F",AND(V$6&gt;0,$A164&lt;V$6),AND(V$7&gt;0,$A164&gt;V$7)),0,MAX(0,ROUND((INDEX($E164:$G164,V$5)-SUMIFS(TF_Timer,TF_Tekniker,V$4,TF_Dato,$A164))*2,0)/2)))</f>
        <v/>
      </c>
      <c r="W164">
        <f>IF(OR(W$4="",$A164&gt;TODAY()),0,IF(OR(INDEX($B164:$D164,W$5)="F",AND(W$6&gt;0,$A164&lt;W$6),AND(W$7&gt;0,$A164&gt;W$7)),0,MAX(0,ROUND((INDEX($E164:$G164,W$5)-SUMIFS(TF_Timer,TF_Tekniker,W$4,TF_Dato,$A164))*2,0)/2)))</f>
        <v/>
      </c>
      <c r="X164">
        <f>IF(OR(X$4="",$A164&gt;TODAY()),0,IF(OR(INDEX($B164:$D164,X$5)="F",AND(X$6&gt;0,$A164&lt;X$6),AND(X$7&gt;0,$A164&gt;X$7)),0,MAX(0,ROUND((INDEX($E164:$G164,X$5)-SUMIFS(TF_Timer,TF_Tekniker,X$4,TF_Dato,$A164))*2,0)/2)))</f>
        <v/>
      </c>
      <c r="Y164">
        <f>IF(OR(Y$4="",$A164&gt;TODAY()),0,IF(OR(INDEX($B164:$D164,Y$5)="F",AND(Y$6&gt;0,$A164&lt;Y$6),AND(Y$7&gt;0,$A164&gt;Y$7)),0,MAX(0,ROUND((INDEX($E164:$G164,Y$5)-SUMIFS(TF_Timer,TF_Tekniker,Y$4,TF_Dato,$A164))*2,0)/2)))</f>
        <v/>
      </c>
      <c r="Z164">
        <f>IF(OR(Z$4="",$A164&gt;TODAY()),0,IF(OR(INDEX($B164:$D164,Z$5)="F",AND(Z$6&gt;0,$A164&lt;Z$6),AND(Z$7&gt;0,$A164&gt;Z$7)),0,MAX(0,ROUND((INDEX($E164:$G164,Z$5)-SUMIFS(TF_Timer,TF_Tekniker,Z$4,TF_Dato,$A164))*2,0)/2)))</f>
        <v/>
      </c>
      <c r="AA164">
        <f>IF(OR(AA$4="",$A164&gt;TODAY()),0,IF(OR(INDEX($B164:$D164,AA$5)="F",AND(AA$6&gt;0,$A164&lt;AA$6),AND(AA$7&gt;0,$A164&gt;AA$7)),0,MAX(0,ROUND((INDEX($E164:$G164,AA$5)-SUMIFS(TF_Timer,TF_Tekniker,AA$4,TF_Dato,$A164))*2,0)/2)))</f>
        <v/>
      </c>
      <c r="AB164">
        <f>IF(OR(AB$4="",$A164&gt;TODAY()),0,IF(OR(INDEX($B164:$D164,AB$5)="F",AND(AB$6&gt;0,$A164&lt;AB$6),AND(AB$7&gt;0,$A164&gt;AB$7)),0,MAX(0,ROUND((INDEX($E164:$G164,AB$5)-SUMIFS(TF_Timer,TF_Tekniker,AB$4,TF_Dato,$A164))*2,0)/2)))</f>
        <v/>
      </c>
      <c r="AC164">
        <f>IF(OR(AC$4="",$A164&gt;TODAY()),0,IF(OR(INDEX($B164:$D164,AC$5)="F",AND(AC$6&gt;0,$A164&lt;AC$6),AND(AC$7&gt;0,$A164&gt;AC$7)),0,MAX(0,ROUND((INDEX($E164:$G164,AC$5)-SUMIFS(TF_Timer,TF_Tekniker,AC$4,TF_Dato,$A164))*2,0)/2)))</f>
        <v/>
      </c>
      <c r="AD164">
        <f>IF(OR(AD$4="",$A164&gt;TODAY()),0,IF(OR(INDEX($B164:$D164,AD$5)="F",AND(AD$6&gt;0,$A164&lt;AD$6),AND(AD$7&gt;0,$A164&gt;AD$7)),0,MAX(0,ROUND((INDEX($E164:$G164,AD$5)-SUMIFS(TF_Timer,TF_Tekniker,AD$4,TF_Dato,$A164))*2,0)/2)))</f>
        <v/>
      </c>
      <c r="AE164">
        <f>IF(OR(AE$4="",$A164&gt;TODAY()),0,IF(OR(INDEX($B164:$D164,AE$5)="F",AND(AE$6&gt;0,$A164&lt;AE$6),AND(AE$7&gt;0,$A164&gt;AE$7)),0,MAX(0,ROUND((INDEX($E164:$G164,AE$5)-SUMIFS(TF_Timer,TF_Tekniker,AE$4,TF_Dato,$A164))*2,0)/2)))</f>
        <v/>
      </c>
      <c r="AF164">
        <f>IF(OR(AF$4="",$A164&gt;TODAY()),0,IF(OR(INDEX($B164:$D164,AF$5)="F",AND(AF$6&gt;0,$A164&lt;AF$6),AND(AF$7&gt;0,$A164&gt;AF$7)),0,MAX(0,ROUND((INDEX($E164:$G164,AF$5)-SUMIFS(TF_Timer,TF_Tekniker,AF$4,TF_Dato,$A164))*2,0)/2)))</f>
        <v/>
      </c>
      <c r="AG164">
        <f>IF(OR(AG$4="",$A164&gt;TODAY()),0,IF(OR(INDEX($B164:$D164,AG$5)="F",AND(AG$6&gt;0,$A164&lt;AG$6),AND(AG$7&gt;0,$A164&gt;AG$7)),0,MAX(0,ROUND((INDEX($E164:$G164,AG$5)-SUMIFS(TF_Timer,TF_Tekniker,AG$4,TF_Dato,$A164))*2,0)/2)))</f>
        <v/>
      </c>
      <c r="AH164">
        <f>IF(OR(AH$4="",$A164&gt;TODAY()),0,IF(OR(INDEX($B164:$D164,AH$5)="F",AND(AH$6&gt;0,$A164&lt;AH$6),AND(AH$7&gt;0,$A164&gt;AH$7)),0,MAX(0,ROUND((INDEX($E164:$G164,AH$5)-SUMIFS(TF_Timer,TF_Tekniker,AH$4,TF_Dato,$A164))*2,0)/2)))</f>
        <v/>
      </c>
      <c r="AI164">
        <f>IF(OR(AI$4="",$A164&gt;TODAY()),0,IF(OR(INDEX($B164:$D164,AI$5)="F",AND(AI$6&gt;0,$A164&lt;AI$6),AND(AI$7&gt;0,$A164&gt;AI$7)),0,MAX(0,ROUND((INDEX($E164:$G164,AI$5)-SUMIFS(TF_Timer,TF_Tekniker,AI$4,TF_Dato,$A164))*2,0)/2)))</f>
        <v/>
      </c>
      <c r="AJ164">
        <f>IF(OR(AJ$4="",$A164&gt;TODAY()),0,IF(OR(INDEX($B164:$D164,AJ$5)="F",AND(AJ$6&gt;0,$A164&lt;AJ$6),AND(AJ$7&gt;0,$A164&gt;AJ$7)),0,MAX(0,ROUND((INDEX($E164:$G164,AJ$5)-SUMIFS(TF_Timer,TF_Tekniker,AJ$4,TF_Dato,$A164))*2,0)/2)))</f>
        <v/>
      </c>
      <c r="AK164">
        <f>IF(OR(AK$4="",$A164&gt;TODAY()),0,IF(OR(INDEX($B164:$D164,AK$5)="F",AND(AK$6&gt;0,$A164&lt;AK$6),AND(AK$7&gt;0,$A164&gt;AK$7)),0,MAX(0,ROUND((INDEX($E164:$G164,AK$5)-SUMIFS(TF_Timer,TF_Tekniker,AK$4,TF_Dato,$A164))*2,0)/2)))</f>
        <v/>
      </c>
      <c r="AL164">
        <f>IF(OR(AL$4="",$A164&gt;TODAY()),0,IF(OR(INDEX($B164:$D164,AL$5)="F",AND(AL$6&gt;0,$A164&lt;AL$6),AND(AL$7&gt;0,$A164&gt;AL$7)),0,MAX(0,ROUND((INDEX($E164:$G164,AL$5)-SUMIFS(TF_Timer,TF_Tekniker,AL$4,TF_Dato,$A164))*2,0)/2)))</f>
        <v/>
      </c>
      <c r="AM164">
        <f>IF(OR(AM$4="",$A164&gt;TODAY()),0,IF(OR(INDEX($B164:$D164,AM$5)="F",AND(AM$6&gt;0,$A164&lt;AM$6),AND(AM$7&gt;0,$A164&gt;AM$7)),0,MAX(0,ROUND((INDEX($E164:$G164,AM$5)-SUMIFS(TF_Timer,TF_Tekniker,AM$4,TF_Dato,$A164))*2,0)/2)))</f>
        <v/>
      </c>
      <c r="AN164">
        <f>IF(OR(AN$4="",$A164&gt;TODAY()),0,IF(OR(INDEX($B164:$D164,AN$5)="F",AND(AN$6&gt;0,$A164&lt;AN$6),AND(AN$7&gt;0,$A164&gt;AN$7)),0,MAX(0,ROUND((INDEX($E164:$G164,AN$5)-SUMIFS(TF_Timer,TF_Tekniker,AN$4,TF_Dato,$A164))*2,0)/2)))</f>
        <v/>
      </c>
      <c r="AO164">
        <f>IF(OR(AO$4="",$A164&gt;TODAY()),0,IF(OR(INDEX($B164:$D164,AO$5)="F",AND(AO$6&gt;0,$A164&lt;AO$6),AND(AO$7&gt;0,$A164&gt;AO$7)),0,MAX(0,ROUND((INDEX($E164:$G164,AO$5)-SUMIFS(TF_Timer,TF_Tekniker,AO$4,TF_Dato,$A164))*2,0)/2)))</f>
        <v/>
      </c>
      <c r="AP164">
        <f>IF(OR(AP$4="",$A164&gt;TODAY()),0,IF(OR(INDEX($B164:$D164,AP$5)="F",AND(AP$6&gt;0,$A164&lt;AP$6),AND(AP$7&gt;0,$A164&gt;AP$7)),0,MAX(0,ROUND((INDEX($E164:$G164,AP$5)-SUMIFS(TF_Timer,TF_Tekniker,AP$4,TF_Dato,$A164))*2,0)/2)))</f>
        <v/>
      </c>
      <c r="AQ164">
        <f>IF(OR(AQ$4="",$A164&gt;TODAY()),0,IF(OR(INDEX($B164:$D164,AQ$5)="F",AND(AQ$6&gt;0,$A164&lt;AQ$6),AND(AQ$7&gt;0,$A164&gt;AQ$7)),0,MAX(0,ROUND((INDEX($E164:$G164,AQ$5)-SUMIFS(TF_Timer,TF_Tekniker,AQ$4,TF_Dato,$A164))*2,0)/2)))</f>
        <v/>
      </c>
      <c r="AR164">
        <f>IF(OR(AR$4="",$A164&gt;TODAY()),0,IF(OR(INDEX($B164:$D164,AR$5)="F",AND(AR$6&gt;0,$A164&lt;AR$6),AND(AR$7&gt;0,$A164&gt;AR$7)),0,MAX(0,ROUND((INDEX($E164:$G164,AR$5)-SUMIFS(TF_Timer,TF_Tekniker,AR$4,TF_Dato,$A164))*2,0)/2)))</f>
        <v/>
      </c>
      <c r="AS164">
        <f>IF(OR(AS$4="",$A164&gt;TODAY()),0,IF(OR(INDEX($B164:$D164,AS$5)="F",AND(AS$6&gt;0,$A164&lt;AS$6),AND(AS$7&gt;0,$A164&gt;AS$7)),0,MAX(0,ROUND((INDEX($E164:$G164,AS$5)-SUMIFS(TF_Timer,TF_Tekniker,AS$4,TF_Dato,$A164))*2,0)/2)))</f>
        <v/>
      </c>
      <c r="AT164">
        <f>IF(OR(AT$4="",$A164&gt;TODAY()),0,IF(OR(INDEX($B164:$D164,AT$5)="F",AND(AT$6&gt;0,$A164&lt;AT$6),AND(AT$7&gt;0,$A164&gt;AT$7)),0,MAX(0,ROUND((INDEX($E164:$G164,AT$5)-SUMIFS(TF_Timer,TF_Tekniker,AT$4,TF_Dato,$A164))*2,0)/2)))</f>
        <v/>
      </c>
      <c r="AU164">
        <f>IF(OR(AU$4="",$A164&gt;TODAY()),0,IF(OR(INDEX($B164:$D164,AU$5)="F",AND(AU$6&gt;0,$A164&lt;AU$6),AND(AU$7&gt;0,$A164&gt;AU$7)),0,MAX(0,ROUND((INDEX($E164:$G164,AU$5)-SUMIFS(TF_Timer,TF_Tekniker,AU$4,TF_Dato,$A164))*2,0)/2)))</f>
        <v/>
      </c>
      <c r="AV164">
        <f>IF(OR(AV$4="",$A164&gt;TODAY()),0,IF(OR(INDEX($B164:$D164,AV$5)="F",AND(AV$6&gt;0,$A164&lt;AV$6),AND(AV$7&gt;0,$A164&gt;AV$7)),0,MAX(0,ROUND((INDEX($E164:$G164,AV$5)-SUMIFS(TF_Timer,TF_Tekniker,AV$4,TF_Dato,$A164))*2,0)/2)))</f>
        <v/>
      </c>
      <c r="AW164">
        <f>IF(OR(AW$4="",$A164&gt;TODAY()),0,IF(OR(INDEX($B164:$D164,AW$5)="F",AND(AW$6&gt;0,$A164&lt;AW$6),AND(AW$7&gt;0,$A164&gt;AW$7)),0,MAX(0,ROUND((INDEX($E164:$G164,AW$5)-SUMIFS(TF_Timer,TF_Tekniker,AW$4,TF_Dato,$A164))*2,0)/2)))</f>
        <v/>
      </c>
      <c r="AX164">
        <f>IF(OR(AX$4="",$A164&gt;TODAY()),0,IF(OR(INDEX($B164:$D164,AX$5)="F",AND(AX$6&gt;0,$A164&lt;AX$6),AND(AX$7&gt;0,$A164&gt;AX$7)),0,MAX(0,ROUND((INDEX($E164:$G164,AX$5)-SUMIFS(TF_Timer,TF_Tekniker,AX$4,TF_Dato,$A164))*2,0)/2)))</f>
        <v/>
      </c>
      <c r="AY164">
        <f>IF(OR(AY$4="",$A164&gt;TODAY()),0,IF(OR(INDEX($B164:$D164,AY$5)="F",AND(AY$6&gt;0,$A164&lt;AY$6),AND(AY$7&gt;0,$A164&gt;AY$7)),0,MAX(0,ROUND((INDEX($E164:$G164,AY$5)-SUMIFS(TF_Timer,TF_Tekniker,AY$4,TF_Dato,$A164))*2,0)/2)))</f>
        <v/>
      </c>
      <c r="AZ164">
        <f>IF(OR(AZ$4="",$A164&gt;TODAY()),0,IF(OR(INDEX($B164:$D164,AZ$5)="F",AND(AZ$6&gt;0,$A164&lt;AZ$6),AND(AZ$7&gt;0,$A164&gt;AZ$7)),0,MAX(0,ROUND((INDEX($E164:$G164,AZ$5)-SUMIFS(TF_Timer,TF_Tekniker,AZ$4,TF_Dato,$A164))*2,0)/2)))</f>
        <v/>
      </c>
      <c r="BA164">
        <f>IF(OR(BA$4="",$A164&gt;TODAY()),0,IF(OR(INDEX($B164:$D164,BA$5)="F",AND(BA$6&gt;0,$A164&lt;BA$6),AND(BA$7&gt;0,$A164&gt;BA$7)),0,MAX(0,ROUND((INDEX($E164:$G164,BA$5)-SUMIFS(TF_Timer,TF_Tekniker,BA$4,TF_Dato,$A164))*2,0)/2)))</f>
        <v/>
      </c>
      <c r="BB164">
        <f>IF(OR(BB$4="",$A164&gt;TODAY()),0,IF(OR(INDEX($B164:$D164,BB$5)="F",AND(BB$6&gt;0,$A164&lt;BB$6),AND(BB$7&gt;0,$A164&gt;BB$7)),0,MAX(0,ROUND((INDEX($E164:$G164,BB$5)-SUMIFS(TF_Timer,TF_Tekniker,BB$4,TF_Dato,$A164))*2,0)/2)))</f>
        <v/>
      </c>
      <c r="BC164">
        <f>IF(OR(BC$4="",$A164&gt;TODAY()),0,IF(OR(INDEX($B164:$D164,BC$5)="F",AND(BC$6&gt;0,$A164&lt;BC$6),AND(BC$7&gt;0,$A164&gt;BC$7)),0,MAX(0,ROUND((INDEX($E164:$G164,BC$5)-SUMIFS(TF_Timer,TF_Tekniker,BC$4,TF_Dato,$A164))*2,0)/2)))</f>
        <v/>
      </c>
      <c r="BD164">
        <f>IF(OR(BD$4="",$A164&gt;TODAY()),0,IF(OR(INDEX($B164:$D164,BD$5)="F",AND(BD$6&gt;0,$A164&lt;BD$6),AND(BD$7&gt;0,$A164&gt;BD$7)),0,MAX(0,ROUND((INDEX($E164:$G164,BD$5)-SUMIFS(TF_Timer,TF_Tekniker,BD$4,TF_Dato,$A164))*2,0)/2)))</f>
        <v/>
      </c>
      <c r="BE164">
        <f>IF(OR(BE$4="",$A164&gt;TODAY()),0,IF(OR(INDEX($B164:$D164,BE$5)="F",AND(BE$6&gt;0,$A164&lt;BE$6),AND(BE$7&gt;0,$A164&gt;BE$7)),0,MAX(0,ROUND((INDEX($E164:$G164,BE$5)-SUMIFS(TF_Timer,TF_Tekniker,BE$4,TF_Dato,$A164))*2,0)/2)))</f>
        <v/>
      </c>
      <c r="BF164">
        <f>IF(OR(BF$4="",$A164&gt;TODAY()),0,IF(OR(INDEX($B164:$D164,BF$5)="F",AND(BF$6&gt;0,$A164&lt;BF$6),AND(BF$7&gt;0,$A164&gt;BF$7)),0,MAX(0,ROUND((INDEX($E164:$G164,BF$5)-SUMIFS(TF_Timer,TF_Tekniker,BF$4,TF_Dato,$A164))*2,0)/2)))</f>
        <v/>
      </c>
      <c r="BG164">
        <f>IF(OR(BG$4="",$A164&gt;TODAY()),0,IF(OR(INDEX($B164:$D164,BG$5)="F",AND(BG$6&gt;0,$A164&lt;BG$6),AND(BG$7&gt;0,$A164&gt;BG$7)),0,MAX(0,ROUND((INDEX($E164:$G164,BG$5)-SUMIFS(TF_Timer,TF_Tekniker,BG$4,TF_Dato,$A164))*2,0)/2)))</f>
        <v/>
      </c>
      <c r="BH164">
        <f>IF(OR(BH$4="",$A164&gt;TODAY()),0,IF(OR(INDEX($B164:$D164,BH$5)="F",AND(BH$6&gt;0,$A164&lt;BH$6),AND(BH$7&gt;0,$A164&gt;BH$7)),0,MAX(0,ROUND((INDEX($E164:$G164,BH$5)-SUMIFS(TF_Timer,TF_Tekniker,BH$4,TF_Dato,$A164))*2,0)/2)))</f>
        <v/>
      </c>
      <c r="BI164">
        <f>IF(OR(BI$4="",$A164&gt;TODAY()),0,IF(OR(INDEX($B164:$D164,BI$5)="F",AND(BI$6&gt;0,$A164&lt;BI$6),AND(BI$7&gt;0,$A164&gt;BI$7)),0,MAX(0,ROUND((INDEX($E164:$G164,BI$5)-SUMIFS(TF_Timer,TF_Tekniker,BI$4,TF_Dato,$A164))*2,0)/2)))</f>
        <v/>
      </c>
    </row>
    <row r="165">
      <c r="A165" s="64">
        <f>A164+1</f>
        <v/>
      </c>
      <c r="B165">
        <f>IF(MOD($A165-INDEX(SkiftStart,1),Syklus)&lt;DagK,"K",IF(MOD($A165-INDEX(SkiftStart,1),Syklus)&lt;DagK+DagH,"H",IF(MOD($A165-INDEX(SkiftStart,1),Syklus)&lt;DagK+DagH+DagD,"D","F")))</f>
        <v/>
      </c>
      <c r="C165">
        <f>IF(MOD($A165-INDEX(SkiftStart,2),Syklus)&lt;DagK,"K",IF(MOD($A165-INDEX(SkiftStart,2),Syklus)&lt;DagK+DagH,"H",IF(MOD($A165-INDEX(SkiftStart,2),Syklus)&lt;DagK+DagH+DagD,"D","F")))</f>
        <v/>
      </c>
      <c r="D165">
        <f>IF(MOD($A165-INDEX(SkiftStart,3),Syklus)&lt;DagK,"K",IF(MOD($A165-INDEX(SkiftStart,3),Syklus)&lt;DagK+DagH,"H",IF(MOD($A165-INDEX(SkiftStart,3),Syklus)&lt;DagK+DagH+DagD,"D","F")))</f>
        <v/>
      </c>
      <c r="E165">
        <f>IF(B165="F",0,IF(WEEKDAY($A165,2)=5,INDEX(TimerFr,MATCH(B165,FaseKode,0)),INDEX(TimerMT,MATCH(B165,FaseKode,0))))</f>
        <v/>
      </c>
      <c r="F165">
        <f>IF(C165="F",0,IF(WEEKDAY($A165,2)=5,INDEX(TimerFr,MATCH(C165,FaseKode,0)),INDEX(TimerMT,MATCH(C165,FaseKode,0))))</f>
        <v/>
      </c>
      <c r="G165">
        <f>IF(D165="F",0,IF(WEEKDAY($A165,2)=5,INDEX(TimerFr,MATCH(D165,FaseKode,0)),INDEX(TimerMT,MATCH(D165,FaseKode,0))))</f>
        <v/>
      </c>
      <c r="H165">
        <f>IF(OR(H$4="",$A165&gt;TODAY()),0,IF(OR(INDEX($B165:$D165,H$5)="F",AND(H$6&gt;0,$A165&lt;H$6),AND(H$7&gt;0,$A165&gt;H$7)),0,MAX(0,ROUND((INDEX($E165:$G165,H$5)-SUMIFS(TF_Timer,TF_Tekniker,H$4,TF_Dato,$A165))*2,0)/2)))</f>
        <v/>
      </c>
      <c r="I165">
        <f>IF(OR(I$4="",$A165&gt;TODAY()),0,IF(OR(INDEX($B165:$D165,I$5)="F",AND(I$6&gt;0,$A165&lt;I$6),AND(I$7&gt;0,$A165&gt;I$7)),0,MAX(0,ROUND((INDEX($E165:$G165,I$5)-SUMIFS(TF_Timer,TF_Tekniker,I$4,TF_Dato,$A165))*2,0)/2)))</f>
        <v/>
      </c>
      <c r="J165">
        <f>IF(OR(J$4="",$A165&gt;TODAY()),0,IF(OR(INDEX($B165:$D165,J$5)="F",AND(J$6&gt;0,$A165&lt;J$6),AND(J$7&gt;0,$A165&gt;J$7)),0,MAX(0,ROUND((INDEX($E165:$G165,J$5)-SUMIFS(TF_Timer,TF_Tekniker,J$4,TF_Dato,$A165))*2,0)/2)))</f>
        <v/>
      </c>
      <c r="K165">
        <f>IF(OR(K$4="",$A165&gt;TODAY()),0,IF(OR(INDEX($B165:$D165,K$5)="F",AND(K$6&gt;0,$A165&lt;K$6),AND(K$7&gt;0,$A165&gt;K$7)),0,MAX(0,ROUND((INDEX($E165:$G165,K$5)-SUMIFS(TF_Timer,TF_Tekniker,K$4,TF_Dato,$A165))*2,0)/2)))</f>
        <v/>
      </c>
      <c r="L165">
        <f>IF(OR(L$4="",$A165&gt;TODAY()),0,IF(OR(INDEX($B165:$D165,L$5)="F",AND(L$6&gt;0,$A165&lt;L$6),AND(L$7&gt;0,$A165&gt;L$7)),0,MAX(0,ROUND((INDEX($E165:$G165,L$5)-SUMIFS(TF_Timer,TF_Tekniker,L$4,TF_Dato,$A165))*2,0)/2)))</f>
        <v/>
      </c>
      <c r="M165">
        <f>IF(OR(M$4="",$A165&gt;TODAY()),0,IF(OR(INDEX($B165:$D165,M$5)="F",AND(M$6&gt;0,$A165&lt;M$6),AND(M$7&gt;0,$A165&gt;M$7)),0,MAX(0,ROUND((INDEX($E165:$G165,M$5)-SUMIFS(TF_Timer,TF_Tekniker,M$4,TF_Dato,$A165))*2,0)/2)))</f>
        <v/>
      </c>
      <c r="N165">
        <f>IF(OR(N$4="",$A165&gt;TODAY()),0,IF(OR(INDEX($B165:$D165,N$5)="F",AND(N$6&gt;0,$A165&lt;N$6),AND(N$7&gt;0,$A165&gt;N$7)),0,MAX(0,ROUND((INDEX($E165:$G165,N$5)-SUMIFS(TF_Timer,TF_Tekniker,N$4,TF_Dato,$A165))*2,0)/2)))</f>
        <v/>
      </c>
      <c r="O165">
        <f>IF(OR(O$4="",$A165&gt;TODAY()),0,IF(OR(INDEX($B165:$D165,O$5)="F",AND(O$6&gt;0,$A165&lt;O$6),AND(O$7&gt;0,$A165&gt;O$7)),0,MAX(0,ROUND((INDEX($E165:$G165,O$5)-SUMIFS(TF_Timer,TF_Tekniker,O$4,TF_Dato,$A165))*2,0)/2)))</f>
        <v/>
      </c>
      <c r="P165">
        <f>IF(OR(P$4="",$A165&gt;TODAY()),0,IF(OR(INDEX($B165:$D165,P$5)="F",AND(P$6&gt;0,$A165&lt;P$6),AND(P$7&gt;0,$A165&gt;P$7)),0,MAX(0,ROUND((INDEX($E165:$G165,P$5)-SUMIFS(TF_Timer,TF_Tekniker,P$4,TF_Dato,$A165))*2,0)/2)))</f>
        <v/>
      </c>
      <c r="Q165">
        <f>IF(OR(Q$4="",$A165&gt;TODAY()),0,IF(OR(INDEX($B165:$D165,Q$5)="F",AND(Q$6&gt;0,$A165&lt;Q$6),AND(Q$7&gt;0,$A165&gt;Q$7)),0,MAX(0,ROUND((INDEX($E165:$G165,Q$5)-SUMIFS(TF_Timer,TF_Tekniker,Q$4,TF_Dato,$A165))*2,0)/2)))</f>
        <v/>
      </c>
      <c r="R165">
        <f>IF(OR(R$4="",$A165&gt;TODAY()),0,IF(OR(INDEX($B165:$D165,R$5)="F",AND(R$6&gt;0,$A165&lt;R$6),AND(R$7&gt;0,$A165&gt;R$7)),0,MAX(0,ROUND((INDEX($E165:$G165,R$5)-SUMIFS(TF_Timer,TF_Tekniker,R$4,TF_Dato,$A165))*2,0)/2)))</f>
        <v/>
      </c>
      <c r="S165">
        <f>IF(OR(S$4="",$A165&gt;TODAY()),0,IF(OR(INDEX($B165:$D165,S$5)="F",AND(S$6&gt;0,$A165&lt;S$6),AND(S$7&gt;0,$A165&gt;S$7)),0,MAX(0,ROUND((INDEX($E165:$G165,S$5)-SUMIFS(TF_Timer,TF_Tekniker,S$4,TF_Dato,$A165))*2,0)/2)))</f>
        <v/>
      </c>
      <c r="T165">
        <f>IF(OR(T$4="",$A165&gt;TODAY()),0,IF(OR(INDEX($B165:$D165,T$5)="F",AND(T$6&gt;0,$A165&lt;T$6),AND(T$7&gt;0,$A165&gt;T$7)),0,MAX(0,ROUND((INDEX($E165:$G165,T$5)-SUMIFS(TF_Timer,TF_Tekniker,T$4,TF_Dato,$A165))*2,0)/2)))</f>
        <v/>
      </c>
      <c r="U165">
        <f>IF(OR(U$4="",$A165&gt;TODAY()),0,IF(OR(INDEX($B165:$D165,U$5)="F",AND(U$6&gt;0,$A165&lt;U$6),AND(U$7&gt;0,$A165&gt;U$7)),0,MAX(0,ROUND((INDEX($E165:$G165,U$5)-SUMIFS(TF_Timer,TF_Tekniker,U$4,TF_Dato,$A165))*2,0)/2)))</f>
        <v/>
      </c>
      <c r="V165">
        <f>IF(OR(V$4="",$A165&gt;TODAY()),0,IF(OR(INDEX($B165:$D165,V$5)="F",AND(V$6&gt;0,$A165&lt;V$6),AND(V$7&gt;0,$A165&gt;V$7)),0,MAX(0,ROUND((INDEX($E165:$G165,V$5)-SUMIFS(TF_Timer,TF_Tekniker,V$4,TF_Dato,$A165))*2,0)/2)))</f>
        <v/>
      </c>
      <c r="W165">
        <f>IF(OR(W$4="",$A165&gt;TODAY()),0,IF(OR(INDEX($B165:$D165,W$5)="F",AND(W$6&gt;0,$A165&lt;W$6),AND(W$7&gt;0,$A165&gt;W$7)),0,MAX(0,ROUND((INDEX($E165:$G165,W$5)-SUMIFS(TF_Timer,TF_Tekniker,W$4,TF_Dato,$A165))*2,0)/2)))</f>
        <v/>
      </c>
      <c r="X165">
        <f>IF(OR(X$4="",$A165&gt;TODAY()),0,IF(OR(INDEX($B165:$D165,X$5)="F",AND(X$6&gt;0,$A165&lt;X$6),AND(X$7&gt;0,$A165&gt;X$7)),0,MAX(0,ROUND((INDEX($E165:$G165,X$5)-SUMIFS(TF_Timer,TF_Tekniker,X$4,TF_Dato,$A165))*2,0)/2)))</f>
        <v/>
      </c>
      <c r="Y165">
        <f>IF(OR(Y$4="",$A165&gt;TODAY()),0,IF(OR(INDEX($B165:$D165,Y$5)="F",AND(Y$6&gt;0,$A165&lt;Y$6),AND(Y$7&gt;0,$A165&gt;Y$7)),0,MAX(0,ROUND((INDEX($E165:$G165,Y$5)-SUMIFS(TF_Timer,TF_Tekniker,Y$4,TF_Dato,$A165))*2,0)/2)))</f>
        <v/>
      </c>
      <c r="Z165">
        <f>IF(OR(Z$4="",$A165&gt;TODAY()),0,IF(OR(INDEX($B165:$D165,Z$5)="F",AND(Z$6&gt;0,$A165&lt;Z$6),AND(Z$7&gt;0,$A165&gt;Z$7)),0,MAX(0,ROUND((INDEX($E165:$G165,Z$5)-SUMIFS(TF_Timer,TF_Tekniker,Z$4,TF_Dato,$A165))*2,0)/2)))</f>
        <v/>
      </c>
      <c r="AA165">
        <f>IF(OR(AA$4="",$A165&gt;TODAY()),0,IF(OR(INDEX($B165:$D165,AA$5)="F",AND(AA$6&gt;0,$A165&lt;AA$6),AND(AA$7&gt;0,$A165&gt;AA$7)),0,MAX(0,ROUND((INDEX($E165:$G165,AA$5)-SUMIFS(TF_Timer,TF_Tekniker,AA$4,TF_Dato,$A165))*2,0)/2)))</f>
        <v/>
      </c>
      <c r="AB165">
        <f>IF(OR(AB$4="",$A165&gt;TODAY()),0,IF(OR(INDEX($B165:$D165,AB$5)="F",AND(AB$6&gt;0,$A165&lt;AB$6),AND(AB$7&gt;0,$A165&gt;AB$7)),0,MAX(0,ROUND((INDEX($E165:$G165,AB$5)-SUMIFS(TF_Timer,TF_Tekniker,AB$4,TF_Dato,$A165))*2,0)/2)))</f>
        <v/>
      </c>
      <c r="AC165">
        <f>IF(OR(AC$4="",$A165&gt;TODAY()),0,IF(OR(INDEX($B165:$D165,AC$5)="F",AND(AC$6&gt;0,$A165&lt;AC$6),AND(AC$7&gt;0,$A165&gt;AC$7)),0,MAX(0,ROUND((INDEX($E165:$G165,AC$5)-SUMIFS(TF_Timer,TF_Tekniker,AC$4,TF_Dato,$A165))*2,0)/2)))</f>
        <v/>
      </c>
      <c r="AD165">
        <f>IF(OR(AD$4="",$A165&gt;TODAY()),0,IF(OR(INDEX($B165:$D165,AD$5)="F",AND(AD$6&gt;0,$A165&lt;AD$6),AND(AD$7&gt;0,$A165&gt;AD$7)),0,MAX(0,ROUND((INDEX($E165:$G165,AD$5)-SUMIFS(TF_Timer,TF_Tekniker,AD$4,TF_Dato,$A165))*2,0)/2)))</f>
        <v/>
      </c>
      <c r="AE165">
        <f>IF(OR(AE$4="",$A165&gt;TODAY()),0,IF(OR(INDEX($B165:$D165,AE$5)="F",AND(AE$6&gt;0,$A165&lt;AE$6),AND(AE$7&gt;0,$A165&gt;AE$7)),0,MAX(0,ROUND((INDEX($E165:$G165,AE$5)-SUMIFS(TF_Timer,TF_Tekniker,AE$4,TF_Dato,$A165))*2,0)/2)))</f>
        <v/>
      </c>
      <c r="AF165">
        <f>IF(OR(AF$4="",$A165&gt;TODAY()),0,IF(OR(INDEX($B165:$D165,AF$5)="F",AND(AF$6&gt;0,$A165&lt;AF$6),AND(AF$7&gt;0,$A165&gt;AF$7)),0,MAX(0,ROUND((INDEX($E165:$G165,AF$5)-SUMIFS(TF_Timer,TF_Tekniker,AF$4,TF_Dato,$A165))*2,0)/2)))</f>
        <v/>
      </c>
      <c r="AG165">
        <f>IF(OR(AG$4="",$A165&gt;TODAY()),0,IF(OR(INDEX($B165:$D165,AG$5)="F",AND(AG$6&gt;0,$A165&lt;AG$6),AND(AG$7&gt;0,$A165&gt;AG$7)),0,MAX(0,ROUND((INDEX($E165:$G165,AG$5)-SUMIFS(TF_Timer,TF_Tekniker,AG$4,TF_Dato,$A165))*2,0)/2)))</f>
        <v/>
      </c>
      <c r="AH165">
        <f>IF(OR(AH$4="",$A165&gt;TODAY()),0,IF(OR(INDEX($B165:$D165,AH$5)="F",AND(AH$6&gt;0,$A165&lt;AH$6),AND(AH$7&gt;0,$A165&gt;AH$7)),0,MAX(0,ROUND((INDEX($E165:$G165,AH$5)-SUMIFS(TF_Timer,TF_Tekniker,AH$4,TF_Dato,$A165))*2,0)/2)))</f>
        <v/>
      </c>
      <c r="AI165">
        <f>IF(OR(AI$4="",$A165&gt;TODAY()),0,IF(OR(INDEX($B165:$D165,AI$5)="F",AND(AI$6&gt;0,$A165&lt;AI$6),AND(AI$7&gt;0,$A165&gt;AI$7)),0,MAX(0,ROUND((INDEX($E165:$G165,AI$5)-SUMIFS(TF_Timer,TF_Tekniker,AI$4,TF_Dato,$A165))*2,0)/2)))</f>
        <v/>
      </c>
      <c r="AJ165">
        <f>IF(OR(AJ$4="",$A165&gt;TODAY()),0,IF(OR(INDEX($B165:$D165,AJ$5)="F",AND(AJ$6&gt;0,$A165&lt;AJ$6),AND(AJ$7&gt;0,$A165&gt;AJ$7)),0,MAX(0,ROUND((INDEX($E165:$G165,AJ$5)-SUMIFS(TF_Timer,TF_Tekniker,AJ$4,TF_Dato,$A165))*2,0)/2)))</f>
        <v/>
      </c>
      <c r="AK165">
        <f>IF(OR(AK$4="",$A165&gt;TODAY()),0,IF(OR(INDEX($B165:$D165,AK$5)="F",AND(AK$6&gt;0,$A165&lt;AK$6),AND(AK$7&gt;0,$A165&gt;AK$7)),0,MAX(0,ROUND((INDEX($E165:$G165,AK$5)-SUMIFS(TF_Timer,TF_Tekniker,AK$4,TF_Dato,$A165))*2,0)/2)))</f>
        <v/>
      </c>
      <c r="AL165">
        <f>IF(OR(AL$4="",$A165&gt;TODAY()),0,IF(OR(INDEX($B165:$D165,AL$5)="F",AND(AL$6&gt;0,$A165&lt;AL$6),AND(AL$7&gt;0,$A165&gt;AL$7)),0,MAX(0,ROUND((INDEX($E165:$G165,AL$5)-SUMIFS(TF_Timer,TF_Tekniker,AL$4,TF_Dato,$A165))*2,0)/2)))</f>
        <v/>
      </c>
      <c r="AM165">
        <f>IF(OR(AM$4="",$A165&gt;TODAY()),0,IF(OR(INDEX($B165:$D165,AM$5)="F",AND(AM$6&gt;0,$A165&lt;AM$6),AND(AM$7&gt;0,$A165&gt;AM$7)),0,MAX(0,ROUND((INDEX($E165:$G165,AM$5)-SUMIFS(TF_Timer,TF_Tekniker,AM$4,TF_Dato,$A165))*2,0)/2)))</f>
        <v/>
      </c>
      <c r="AN165">
        <f>IF(OR(AN$4="",$A165&gt;TODAY()),0,IF(OR(INDEX($B165:$D165,AN$5)="F",AND(AN$6&gt;0,$A165&lt;AN$6),AND(AN$7&gt;0,$A165&gt;AN$7)),0,MAX(0,ROUND((INDEX($E165:$G165,AN$5)-SUMIFS(TF_Timer,TF_Tekniker,AN$4,TF_Dato,$A165))*2,0)/2)))</f>
        <v/>
      </c>
      <c r="AO165">
        <f>IF(OR(AO$4="",$A165&gt;TODAY()),0,IF(OR(INDEX($B165:$D165,AO$5)="F",AND(AO$6&gt;0,$A165&lt;AO$6),AND(AO$7&gt;0,$A165&gt;AO$7)),0,MAX(0,ROUND((INDEX($E165:$G165,AO$5)-SUMIFS(TF_Timer,TF_Tekniker,AO$4,TF_Dato,$A165))*2,0)/2)))</f>
        <v/>
      </c>
      <c r="AP165">
        <f>IF(OR(AP$4="",$A165&gt;TODAY()),0,IF(OR(INDEX($B165:$D165,AP$5)="F",AND(AP$6&gt;0,$A165&lt;AP$6),AND(AP$7&gt;0,$A165&gt;AP$7)),0,MAX(0,ROUND((INDEX($E165:$G165,AP$5)-SUMIFS(TF_Timer,TF_Tekniker,AP$4,TF_Dato,$A165))*2,0)/2)))</f>
        <v/>
      </c>
      <c r="AQ165">
        <f>IF(OR(AQ$4="",$A165&gt;TODAY()),0,IF(OR(INDEX($B165:$D165,AQ$5)="F",AND(AQ$6&gt;0,$A165&lt;AQ$6),AND(AQ$7&gt;0,$A165&gt;AQ$7)),0,MAX(0,ROUND((INDEX($E165:$G165,AQ$5)-SUMIFS(TF_Timer,TF_Tekniker,AQ$4,TF_Dato,$A165))*2,0)/2)))</f>
        <v/>
      </c>
      <c r="AR165">
        <f>IF(OR(AR$4="",$A165&gt;TODAY()),0,IF(OR(INDEX($B165:$D165,AR$5)="F",AND(AR$6&gt;0,$A165&lt;AR$6),AND(AR$7&gt;0,$A165&gt;AR$7)),0,MAX(0,ROUND((INDEX($E165:$G165,AR$5)-SUMIFS(TF_Timer,TF_Tekniker,AR$4,TF_Dato,$A165))*2,0)/2)))</f>
        <v/>
      </c>
      <c r="AS165">
        <f>IF(OR(AS$4="",$A165&gt;TODAY()),0,IF(OR(INDEX($B165:$D165,AS$5)="F",AND(AS$6&gt;0,$A165&lt;AS$6),AND(AS$7&gt;0,$A165&gt;AS$7)),0,MAX(0,ROUND((INDEX($E165:$G165,AS$5)-SUMIFS(TF_Timer,TF_Tekniker,AS$4,TF_Dato,$A165))*2,0)/2)))</f>
        <v/>
      </c>
      <c r="AT165">
        <f>IF(OR(AT$4="",$A165&gt;TODAY()),0,IF(OR(INDEX($B165:$D165,AT$5)="F",AND(AT$6&gt;0,$A165&lt;AT$6),AND(AT$7&gt;0,$A165&gt;AT$7)),0,MAX(0,ROUND((INDEX($E165:$G165,AT$5)-SUMIFS(TF_Timer,TF_Tekniker,AT$4,TF_Dato,$A165))*2,0)/2)))</f>
        <v/>
      </c>
      <c r="AU165">
        <f>IF(OR(AU$4="",$A165&gt;TODAY()),0,IF(OR(INDEX($B165:$D165,AU$5)="F",AND(AU$6&gt;0,$A165&lt;AU$6),AND(AU$7&gt;0,$A165&gt;AU$7)),0,MAX(0,ROUND((INDEX($E165:$G165,AU$5)-SUMIFS(TF_Timer,TF_Tekniker,AU$4,TF_Dato,$A165))*2,0)/2)))</f>
        <v/>
      </c>
      <c r="AV165">
        <f>IF(OR(AV$4="",$A165&gt;TODAY()),0,IF(OR(INDEX($B165:$D165,AV$5)="F",AND(AV$6&gt;0,$A165&lt;AV$6),AND(AV$7&gt;0,$A165&gt;AV$7)),0,MAX(0,ROUND((INDEX($E165:$G165,AV$5)-SUMIFS(TF_Timer,TF_Tekniker,AV$4,TF_Dato,$A165))*2,0)/2)))</f>
        <v/>
      </c>
      <c r="AW165">
        <f>IF(OR(AW$4="",$A165&gt;TODAY()),0,IF(OR(INDEX($B165:$D165,AW$5)="F",AND(AW$6&gt;0,$A165&lt;AW$6),AND(AW$7&gt;0,$A165&gt;AW$7)),0,MAX(0,ROUND((INDEX($E165:$G165,AW$5)-SUMIFS(TF_Timer,TF_Tekniker,AW$4,TF_Dato,$A165))*2,0)/2)))</f>
        <v/>
      </c>
      <c r="AX165">
        <f>IF(OR(AX$4="",$A165&gt;TODAY()),0,IF(OR(INDEX($B165:$D165,AX$5)="F",AND(AX$6&gt;0,$A165&lt;AX$6),AND(AX$7&gt;0,$A165&gt;AX$7)),0,MAX(0,ROUND((INDEX($E165:$G165,AX$5)-SUMIFS(TF_Timer,TF_Tekniker,AX$4,TF_Dato,$A165))*2,0)/2)))</f>
        <v/>
      </c>
      <c r="AY165">
        <f>IF(OR(AY$4="",$A165&gt;TODAY()),0,IF(OR(INDEX($B165:$D165,AY$5)="F",AND(AY$6&gt;0,$A165&lt;AY$6),AND(AY$7&gt;0,$A165&gt;AY$7)),0,MAX(0,ROUND((INDEX($E165:$G165,AY$5)-SUMIFS(TF_Timer,TF_Tekniker,AY$4,TF_Dato,$A165))*2,0)/2)))</f>
        <v/>
      </c>
      <c r="AZ165">
        <f>IF(OR(AZ$4="",$A165&gt;TODAY()),0,IF(OR(INDEX($B165:$D165,AZ$5)="F",AND(AZ$6&gt;0,$A165&lt;AZ$6),AND(AZ$7&gt;0,$A165&gt;AZ$7)),0,MAX(0,ROUND((INDEX($E165:$G165,AZ$5)-SUMIFS(TF_Timer,TF_Tekniker,AZ$4,TF_Dato,$A165))*2,0)/2)))</f>
        <v/>
      </c>
      <c r="BA165">
        <f>IF(OR(BA$4="",$A165&gt;TODAY()),0,IF(OR(INDEX($B165:$D165,BA$5)="F",AND(BA$6&gt;0,$A165&lt;BA$6),AND(BA$7&gt;0,$A165&gt;BA$7)),0,MAX(0,ROUND((INDEX($E165:$G165,BA$5)-SUMIFS(TF_Timer,TF_Tekniker,BA$4,TF_Dato,$A165))*2,0)/2)))</f>
        <v/>
      </c>
      <c r="BB165">
        <f>IF(OR(BB$4="",$A165&gt;TODAY()),0,IF(OR(INDEX($B165:$D165,BB$5)="F",AND(BB$6&gt;0,$A165&lt;BB$6),AND(BB$7&gt;0,$A165&gt;BB$7)),0,MAX(0,ROUND((INDEX($E165:$G165,BB$5)-SUMIFS(TF_Timer,TF_Tekniker,BB$4,TF_Dato,$A165))*2,0)/2)))</f>
        <v/>
      </c>
      <c r="BC165">
        <f>IF(OR(BC$4="",$A165&gt;TODAY()),0,IF(OR(INDEX($B165:$D165,BC$5)="F",AND(BC$6&gt;0,$A165&lt;BC$6),AND(BC$7&gt;0,$A165&gt;BC$7)),0,MAX(0,ROUND((INDEX($E165:$G165,BC$5)-SUMIFS(TF_Timer,TF_Tekniker,BC$4,TF_Dato,$A165))*2,0)/2)))</f>
        <v/>
      </c>
      <c r="BD165">
        <f>IF(OR(BD$4="",$A165&gt;TODAY()),0,IF(OR(INDEX($B165:$D165,BD$5)="F",AND(BD$6&gt;0,$A165&lt;BD$6),AND(BD$7&gt;0,$A165&gt;BD$7)),0,MAX(0,ROUND((INDEX($E165:$G165,BD$5)-SUMIFS(TF_Timer,TF_Tekniker,BD$4,TF_Dato,$A165))*2,0)/2)))</f>
        <v/>
      </c>
      <c r="BE165">
        <f>IF(OR(BE$4="",$A165&gt;TODAY()),0,IF(OR(INDEX($B165:$D165,BE$5)="F",AND(BE$6&gt;0,$A165&lt;BE$6),AND(BE$7&gt;0,$A165&gt;BE$7)),0,MAX(0,ROUND((INDEX($E165:$G165,BE$5)-SUMIFS(TF_Timer,TF_Tekniker,BE$4,TF_Dato,$A165))*2,0)/2)))</f>
        <v/>
      </c>
      <c r="BF165">
        <f>IF(OR(BF$4="",$A165&gt;TODAY()),0,IF(OR(INDEX($B165:$D165,BF$5)="F",AND(BF$6&gt;0,$A165&lt;BF$6),AND(BF$7&gt;0,$A165&gt;BF$7)),0,MAX(0,ROUND((INDEX($E165:$G165,BF$5)-SUMIFS(TF_Timer,TF_Tekniker,BF$4,TF_Dato,$A165))*2,0)/2)))</f>
        <v/>
      </c>
      <c r="BG165">
        <f>IF(OR(BG$4="",$A165&gt;TODAY()),0,IF(OR(INDEX($B165:$D165,BG$5)="F",AND(BG$6&gt;0,$A165&lt;BG$6),AND(BG$7&gt;0,$A165&gt;BG$7)),0,MAX(0,ROUND((INDEX($E165:$G165,BG$5)-SUMIFS(TF_Timer,TF_Tekniker,BG$4,TF_Dato,$A165))*2,0)/2)))</f>
        <v/>
      </c>
      <c r="BH165">
        <f>IF(OR(BH$4="",$A165&gt;TODAY()),0,IF(OR(INDEX($B165:$D165,BH$5)="F",AND(BH$6&gt;0,$A165&lt;BH$6),AND(BH$7&gt;0,$A165&gt;BH$7)),0,MAX(0,ROUND((INDEX($E165:$G165,BH$5)-SUMIFS(TF_Timer,TF_Tekniker,BH$4,TF_Dato,$A165))*2,0)/2)))</f>
        <v/>
      </c>
      <c r="BI165">
        <f>IF(OR(BI$4="",$A165&gt;TODAY()),0,IF(OR(INDEX($B165:$D165,BI$5)="F",AND(BI$6&gt;0,$A165&lt;BI$6),AND(BI$7&gt;0,$A165&gt;BI$7)),0,MAX(0,ROUND((INDEX($E165:$G165,BI$5)-SUMIFS(TF_Timer,TF_Tekniker,BI$4,TF_Dato,$A165))*2,0)/2)))</f>
        <v/>
      </c>
    </row>
    <row r="166">
      <c r="A166" s="64">
        <f>A165+1</f>
        <v/>
      </c>
      <c r="B166">
        <f>IF(MOD($A166-INDEX(SkiftStart,1),Syklus)&lt;DagK,"K",IF(MOD($A166-INDEX(SkiftStart,1),Syklus)&lt;DagK+DagH,"H",IF(MOD($A166-INDEX(SkiftStart,1),Syklus)&lt;DagK+DagH+DagD,"D","F")))</f>
        <v/>
      </c>
      <c r="C166">
        <f>IF(MOD($A166-INDEX(SkiftStart,2),Syklus)&lt;DagK,"K",IF(MOD($A166-INDEX(SkiftStart,2),Syklus)&lt;DagK+DagH,"H",IF(MOD($A166-INDEX(SkiftStart,2),Syklus)&lt;DagK+DagH+DagD,"D","F")))</f>
        <v/>
      </c>
      <c r="D166">
        <f>IF(MOD($A166-INDEX(SkiftStart,3),Syklus)&lt;DagK,"K",IF(MOD($A166-INDEX(SkiftStart,3),Syklus)&lt;DagK+DagH,"H",IF(MOD($A166-INDEX(SkiftStart,3),Syklus)&lt;DagK+DagH+DagD,"D","F")))</f>
        <v/>
      </c>
      <c r="E166">
        <f>IF(B166="F",0,IF(WEEKDAY($A166,2)=5,INDEX(TimerFr,MATCH(B166,FaseKode,0)),INDEX(TimerMT,MATCH(B166,FaseKode,0))))</f>
        <v/>
      </c>
      <c r="F166">
        <f>IF(C166="F",0,IF(WEEKDAY($A166,2)=5,INDEX(TimerFr,MATCH(C166,FaseKode,0)),INDEX(TimerMT,MATCH(C166,FaseKode,0))))</f>
        <v/>
      </c>
      <c r="G166">
        <f>IF(D166="F",0,IF(WEEKDAY($A166,2)=5,INDEX(TimerFr,MATCH(D166,FaseKode,0)),INDEX(TimerMT,MATCH(D166,FaseKode,0))))</f>
        <v/>
      </c>
      <c r="H166">
        <f>IF(OR(H$4="",$A166&gt;TODAY()),0,IF(OR(INDEX($B166:$D166,H$5)="F",AND(H$6&gt;0,$A166&lt;H$6),AND(H$7&gt;0,$A166&gt;H$7)),0,MAX(0,ROUND((INDEX($E166:$G166,H$5)-SUMIFS(TF_Timer,TF_Tekniker,H$4,TF_Dato,$A166))*2,0)/2)))</f>
        <v/>
      </c>
      <c r="I166">
        <f>IF(OR(I$4="",$A166&gt;TODAY()),0,IF(OR(INDEX($B166:$D166,I$5)="F",AND(I$6&gt;0,$A166&lt;I$6),AND(I$7&gt;0,$A166&gt;I$7)),0,MAX(0,ROUND((INDEX($E166:$G166,I$5)-SUMIFS(TF_Timer,TF_Tekniker,I$4,TF_Dato,$A166))*2,0)/2)))</f>
        <v/>
      </c>
      <c r="J166">
        <f>IF(OR(J$4="",$A166&gt;TODAY()),0,IF(OR(INDEX($B166:$D166,J$5)="F",AND(J$6&gt;0,$A166&lt;J$6),AND(J$7&gt;0,$A166&gt;J$7)),0,MAX(0,ROUND((INDEX($E166:$G166,J$5)-SUMIFS(TF_Timer,TF_Tekniker,J$4,TF_Dato,$A166))*2,0)/2)))</f>
        <v/>
      </c>
      <c r="K166">
        <f>IF(OR(K$4="",$A166&gt;TODAY()),0,IF(OR(INDEX($B166:$D166,K$5)="F",AND(K$6&gt;0,$A166&lt;K$6),AND(K$7&gt;0,$A166&gt;K$7)),0,MAX(0,ROUND((INDEX($E166:$G166,K$5)-SUMIFS(TF_Timer,TF_Tekniker,K$4,TF_Dato,$A166))*2,0)/2)))</f>
        <v/>
      </c>
      <c r="L166">
        <f>IF(OR(L$4="",$A166&gt;TODAY()),0,IF(OR(INDEX($B166:$D166,L$5)="F",AND(L$6&gt;0,$A166&lt;L$6),AND(L$7&gt;0,$A166&gt;L$7)),0,MAX(0,ROUND((INDEX($E166:$G166,L$5)-SUMIFS(TF_Timer,TF_Tekniker,L$4,TF_Dato,$A166))*2,0)/2)))</f>
        <v/>
      </c>
      <c r="M166">
        <f>IF(OR(M$4="",$A166&gt;TODAY()),0,IF(OR(INDEX($B166:$D166,M$5)="F",AND(M$6&gt;0,$A166&lt;M$6),AND(M$7&gt;0,$A166&gt;M$7)),0,MAX(0,ROUND((INDEX($E166:$G166,M$5)-SUMIFS(TF_Timer,TF_Tekniker,M$4,TF_Dato,$A166))*2,0)/2)))</f>
        <v/>
      </c>
      <c r="N166">
        <f>IF(OR(N$4="",$A166&gt;TODAY()),0,IF(OR(INDEX($B166:$D166,N$5)="F",AND(N$6&gt;0,$A166&lt;N$6),AND(N$7&gt;0,$A166&gt;N$7)),0,MAX(0,ROUND((INDEX($E166:$G166,N$5)-SUMIFS(TF_Timer,TF_Tekniker,N$4,TF_Dato,$A166))*2,0)/2)))</f>
        <v/>
      </c>
      <c r="O166">
        <f>IF(OR(O$4="",$A166&gt;TODAY()),0,IF(OR(INDEX($B166:$D166,O$5)="F",AND(O$6&gt;0,$A166&lt;O$6),AND(O$7&gt;0,$A166&gt;O$7)),0,MAX(0,ROUND((INDEX($E166:$G166,O$5)-SUMIFS(TF_Timer,TF_Tekniker,O$4,TF_Dato,$A166))*2,0)/2)))</f>
        <v/>
      </c>
      <c r="P166">
        <f>IF(OR(P$4="",$A166&gt;TODAY()),0,IF(OR(INDEX($B166:$D166,P$5)="F",AND(P$6&gt;0,$A166&lt;P$6),AND(P$7&gt;0,$A166&gt;P$7)),0,MAX(0,ROUND((INDEX($E166:$G166,P$5)-SUMIFS(TF_Timer,TF_Tekniker,P$4,TF_Dato,$A166))*2,0)/2)))</f>
        <v/>
      </c>
      <c r="Q166">
        <f>IF(OR(Q$4="",$A166&gt;TODAY()),0,IF(OR(INDEX($B166:$D166,Q$5)="F",AND(Q$6&gt;0,$A166&lt;Q$6),AND(Q$7&gt;0,$A166&gt;Q$7)),0,MAX(0,ROUND((INDEX($E166:$G166,Q$5)-SUMIFS(TF_Timer,TF_Tekniker,Q$4,TF_Dato,$A166))*2,0)/2)))</f>
        <v/>
      </c>
      <c r="R166">
        <f>IF(OR(R$4="",$A166&gt;TODAY()),0,IF(OR(INDEX($B166:$D166,R$5)="F",AND(R$6&gt;0,$A166&lt;R$6),AND(R$7&gt;0,$A166&gt;R$7)),0,MAX(0,ROUND((INDEX($E166:$G166,R$5)-SUMIFS(TF_Timer,TF_Tekniker,R$4,TF_Dato,$A166))*2,0)/2)))</f>
        <v/>
      </c>
      <c r="S166">
        <f>IF(OR(S$4="",$A166&gt;TODAY()),0,IF(OR(INDEX($B166:$D166,S$5)="F",AND(S$6&gt;0,$A166&lt;S$6),AND(S$7&gt;0,$A166&gt;S$7)),0,MAX(0,ROUND((INDEX($E166:$G166,S$5)-SUMIFS(TF_Timer,TF_Tekniker,S$4,TF_Dato,$A166))*2,0)/2)))</f>
        <v/>
      </c>
      <c r="T166">
        <f>IF(OR(T$4="",$A166&gt;TODAY()),0,IF(OR(INDEX($B166:$D166,T$5)="F",AND(T$6&gt;0,$A166&lt;T$6),AND(T$7&gt;0,$A166&gt;T$7)),0,MAX(0,ROUND((INDEX($E166:$G166,T$5)-SUMIFS(TF_Timer,TF_Tekniker,T$4,TF_Dato,$A166))*2,0)/2)))</f>
        <v/>
      </c>
      <c r="U166">
        <f>IF(OR(U$4="",$A166&gt;TODAY()),0,IF(OR(INDEX($B166:$D166,U$5)="F",AND(U$6&gt;0,$A166&lt;U$6),AND(U$7&gt;0,$A166&gt;U$7)),0,MAX(0,ROUND((INDEX($E166:$G166,U$5)-SUMIFS(TF_Timer,TF_Tekniker,U$4,TF_Dato,$A166))*2,0)/2)))</f>
        <v/>
      </c>
      <c r="V166">
        <f>IF(OR(V$4="",$A166&gt;TODAY()),0,IF(OR(INDEX($B166:$D166,V$5)="F",AND(V$6&gt;0,$A166&lt;V$6),AND(V$7&gt;0,$A166&gt;V$7)),0,MAX(0,ROUND((INDEX($E166:$G166,V$5)-SUMIFS(TF_Timer,TF_Tekniker,V$4,TF_Dato,$A166))*2,0)/2)))</f>
        <v/>
      </c>
      <c r="W166">
        <f>IF(OR(W$4="",$A166&gt;TODAY()),0,IF(OR(INDEX($B166:$D166,W$5)="F",AND(W$6&gt;0,$A166&lt;W$6),AND(W$7&gt;0,$A166&gt;W$7)),0,MAX(0,ROUND((INDEX($E166:$G166,W$5)-SUMIFS(TF_Timer,TF_Tekniker,W$4,TF_Dato,$A166))*2,0)/2)))</f>
        <v/>
      </c>
      <c r="X166">
        <f>IF(OR(X$4="",$A166&gt;TODAY()),0,IF(OR(INDEX($B166:$D166,X$5)="F",AND(X$6&gt;0,$A166&lt;X$6),AND(X$7&gt;0,$A166&gt;X$7)),0,MAX(0,ROUND((INDEX($E166:$G166,X$5)-SUMIFS(TF_Timer,TF_Tekniker,X$4,TF_Dato,$A166))*2,0)/2)))</f>
        <v/>
      </c>
      <c r="Y166">
        <f>IF(OR(Y$4="",$A166&gt;TODAY()),0,IF(OR(INDEX($B166:$D166,Y$5)="F",AND(Y$6&gt;0,$A166&lt;Y$6),AND(Y$7&gt;0,$A166&gt;Y$7)),0,MAX(0,ROUND((INDEX($E166:$G166,Y$5)-SUMIFS(TF_Timer,TF_Tekniker,Y$4,TF_Dato,$A166))*2,0)/2)))</f>
        <v/>
      </c>
      <c r="Z166">
        <f>IF(OR(Z$4="",$A166&gt;TODAY()),0,IF(OR(INDEX($B166:$D166,Z$5)="F",AND(Z$6&gt;0,$A166&lt;Z$6),AND(Z$7&gt;0,$A166&gt;Z$7)),0,MAX(0,ROUND((INDEX($E166:$G166,Z$5)-SUMIFS(TF_Timer,TF_Tekniker,Z$4,TF_Dato,$A166))*2,0)/2)))</f>
        <v/>
      </c>
      <c r="AA166">
        <f>IF(OR(AA$4="",$A166&gt;TODAY()),0,IF(OR(INDEX($B166:$D166,AA$5)="F",AND(AA$6&gt;0,$A166&lt;AA$6),AND(AA$7&gt;0,$A166&gt;AA$7)),0,MAX(0,ROUND((INDEX($E166:$G166,AA$5)-SUMIFS(TF_Timer,TF_Tekniker,AA$4,TF_Dato,$A166))*2,0)/2)))</f>
        <v/>
      </c>
      <c r="AB166">
        <f>IF(OR(AB$4="",$A166&gt;TODAY()),0,IF(OR(INDEX($B166:$D166,AB$5)="F",AND(AB$6&gt;0,$A166&lt;AB$6),AND(AB$7&gt;0,$A166&gt;AB$7)),0,MAX(0,ROUND((INDEX($E166:$G166,AB$5)-SUMIFS(TF_Timer,TF_Tekniker,AB$4,TF_Dato,$A166))*2,0)/2)))</f>
        <v/>
      </c>
      <c r="AC166">
        <f>IF(OR(AC$4="",$A166&gt;TODAY()),0,IF(OR(INDEX($B166:$D166,AC$5)="F",AND(AC$6&gt;0,$A166&lt;AC$6),AND(AC$7&gt;0,$A166&gt;AC$7)),0,MAX(0,ROUND((INDEX($E166:$G166,AC$5)-SUMIFS(TF_Timer,TF_Tekniker,AC$4,TF_Dato,$A166))*2,0)/2)))</f>
        <v/>
      </c>
      <c r="AD166">
        <f>IF(OR(AD$4="",$A166&gt;TODAY()),0,IF(OR(INDEX($B166:$D166,AD$5)="F",AND(AD$6&gt;0,$A166&lt;AD$6),AND(AD$7&gt;0,$A166&gt;AD$7)),0,MAX(0,ROUND((INDEX($E166:$G166,AD$5)-SUMIFS(TF_Timer,TF_Tekniker,AD$4,TF_Dato,$A166))*2,0)/2)))</f>
        <v/>
      </c>
      <c r="AE166">
        <f>IF(OR(AE$4="",$A166&gt;TODAY()),0,IF(OR(INDEX($B166:$D166,AE$5)="F",AND(AE$6&gt;0,$A166&lt;AE$6),AND(AE$7&gt;0,$A166&gt;AE$7)),0,MAX(0,ROUND((INDEX($E166:$G166,AE$5)-SUMIFS(TF_Timer,TF_Tekniker,AE$4,TF_Dato,$A166))*2,0)/2)))</f>
        <v/>
      </c>
      <c r="AF166">
        <f>IF(OR(AF$4="",$A166&gt;TODAY()),0,IF(OR(INDEX($B166:$D166,AF$5)="F",AND(AF$6&gt;0,$A166&lt;AF$6),AND(AF$7&gt;0,$A166&gt;AF$7)),0,MAX(0,ROUND((INDEX($E166:$G166,AF$5)-SUMIFS(TF_Timer,TF_Tekniker,AF$4,TF_Dato,$A166))*2,0)/2)))</f>
        <v/>
      </c>
      <c r="AG166">
        <f>IF(OR(AG$4="",$A166&gt;TODAY()),0,IF(OR(INDEX($B166:$D166,AG$5)="F",AND(AG$6&gt;0,$A166&lt;AG$6),AND(AG$7&gt;0,$A166&gt;AG$7)),0,MAX(0,ROUND((INDEX($E166:$G166,AG$5)-SUMIFS(TF_Timer,TF_Tekniker,AG$4,TF_Dato,$A166))*2,0)/2)))</f>
        <v/>
      </c>
      <c r="AH166">
        <f>IF(OR(AH$4="",$A166&gt;TODAY()),0,IF(OR(INDEX($B166:$D166,AH$5)="F",AND(AH$6&gt;0,$A166&lt;AH$6),AND(AH$7&gt;0,$A166&gt;AH$7)),0,MAX(0,ROUND((INDEX($E166:$G166,AH$5)-SUMIFS(TF_Timer,TF_Tekniker,AH$4,TF_Dato,$A166))*2,0)/2)))</f>
        <v/>
      </c>
      <c r="AI166">
        <f>IF(OR(AI$4="",$A166&gt;TODAY()),0,IF(OR(INDEX($B166:$D166,AI$5)="F",AND(AI$6&gt;0,$A166&lt;AI$6),AND(AI$7&gt;0,$A166&gt;AI$7)),0,MAX(0,ROUND((INDEX($E166:$G166,AI$5)-SUMIFS(TF_Timer,TF_Tekniker,AI$4,TF_Dato,$A166))*2,0)/2)))</f>
        <v/>
      </c>
      <c r="AJ166">
        <f>IF(OR(AJ$4="",$A166&gt;TODAY()),0,IF(OR(INDEX($B166:$D166,AJ$5)="F",AND(AJ$6&gt;0,$A166&lt;AJ$6),AND(AJ$7&gt;0,$A166&gt;AJ$7)),0,MAX(0,ROUND((INDEX($E166:$G166,AJ$5)-SUMIFS(TF_Timer,TF_Tekniker,AJ$4,TF_Dato,$A166))*2,0)/2)))</f>
        <v/>
      </c>
      <c r="AK166">
        <f>IF(OR(AK$4="",$A166&gt;TODAY()),0,IF(OR(INDEX($B166:$D166,AK$5)="F",AND(AK$6&gt;0,$A166&lt;AK$6),AND(AK$7&gt;0,$A166&gt;AK$7)),0,MAX(0,ROUND((INDEX($E166:$G166,AK$5)-SUMIFS(TF_Timer,TF_Tekniker,AK$4,TF_Dato,$A166))*2,0)/2)))</f>
        <v/>
      </c>
      <c r="AL166">
        <f>IF(OR(AL$4="",$A166&gt;TODAY()),0,IF(OR(INDEX($B166:$D166,AL$5)="F",AND(AL$6&gt;0,$A166&lt;AL$6),AND(AL$7&gt;0,$A166&gt;AL$7)),0,MAX(0,ROUND((INDEX($E166:$G166,AL$5)-SUMIFS(TF_Timer,TF_Tekniker,AL$4,TF_Dato,$A166))*2,0)/2)))</f>
        <v/>
      </c>
      <c r="AM166">
        <f>IF(OR(AM$4="",$A166&gt;TODAY()),0,IF(OR(INDEX($B166:$D166,AM$5)="F",AND(AM$6&gt;0,$A166&lt;AM$6),AND(AM$7&gt;0,$A166&gt;AM$7)),0,MAX(0,ROUND((INDEX($E166:$G166,AM$5)-SUMIFS(TF_Timer,TF_Tekniker,AM$4,TF_Dato,$A166))*2,0)/2)))</f>
        <v/>
      </c>
      <c r="AN166">
        <f>IF(OR(AN$4="",$A166&gt;TODAY()),0,IF(OR(INDEX($B166:$D166,AN$5)="F",AND(AN$6&gt;0,$A166&lt;AN$6),AND(AN$7&gt;0,$A166&gt;AN$7)),0,MAX(0,ROUND((INDEX($E166:$G166,AN$5)-SUMIFS(TF_Timer,TF_Tekniker,AN$4,TF_Dato,$A166))*2,0)/2)))</f>
        <v/>
      </c>
      <c r="AO166">
        <f>IF(OR(AO$4="",$A166&gt;TODAY()),0,IF(OR(INDEX($B166:$D166,AO$5)="F",AND(AO$6&gt;0,$A166&lt;AO$6),AND(AO$7&gt;0,$A166&gt;AO$7)),0,MAX(0,ROUND((INDEX($E166:$G166,AO$5)-SUMIFS(TF_Timer,TF_Tekniker,AO$4,TF_Dato,$A166))*2,0)/2)))</f>
        <v/>
      </c>
      <c r="AP166">
        <f>IF(OR(AP$4="",$A166&gt;TODAY()),0,IF(OR(INDEX($B166:$D166,AP$5)="F",AND(AP$6&gt;0,$A166&lt;AP$6),AND(AP$7&gt;0,$A166&gt;AP$7)),0,MAX(0,ROUND((INDEX($E166:$G166,AP$5)-SUMIFS(TF_Timer,TF_Tekniker,AP$4,TF_Dato,$A166))*2,0)/2)))</f>
        <v/>
      </c>
      <c r="AQ166">
        <f>IF(OR(AQ$4="",$A166&gt;TODAY()),0,IF(OR(INDEX($B166:$D166,AQ$5)="F",AND(AQ$6&gt;0,$A166&lt;AQ$6),AND(AQ$7&gt;0,$A166&gt;AQ$7)),0,MAX(0,ROUND((INDEX($E166:$G166,AQ$5)-SUMIFS(TF_Timer,TF_Tekniker,AQ$4,TF_Dato,$A166))*2,0)/2)))</f>
        <v/>
      </c>
      <c r="AR166">
        <f>IF(OR(AR$4="",$A166&gt;TODAY()),0,IF(OR(INDEX($B166:$D166,AR$5)="F",AND(AR$6&gt;0,$A166&lt;AR$6),AND(AR$7&gt;0,$A166&gt;AR$7)),0,MAX(0,ROUND((INDEX($E166:$G166,AR$5)-SUMIFS(TF_Timer,TF_Tekniker,AR$4,TF_Dato,$A166))*2,0)/2)))</f>
        <v/>
      </c>
      <c r="AS166">
        <f>IF(OR(AS$4="",$A166&gt;TODAY()),0,IF(OR(INDEX($B166:$D166,AS$5)="F",AND(AS$6&gt;0,$A166&lt;AS$6),AND(AS$7&gt;0,$A166&gt;AS$7)),0,MAX(0,ROUND((INDEX($E166:$G166,AS$5)-SUMIFS(TF_Timer,TF_Tekniker,AS$4,TF_Dato,$A166))*2,0)/2)))</f>
        <v/>
      </c>
      <c r="AT166">
        <f>IF(OR(AT$4="",$A166&gt;TODAY()),0,IF(OR(INDEX($B166:$D166,AT$5)="F",AND(AT$6&gt;0,$A166&lt;AT$6),AND(AT$7&gt;0,$A166&gt;AT$7)),0,MAX(0,ROUND((INDEX($E166:$G166,AT$5)-SUMIFS(TF_Timer,TF_Tekniker,AT$4,TF_Dato,$A166))*2,0)/2)))</f>
        <v/>
      </c>
      <c r="AU166">
        <f>IF(OR(AU$4="",$A166&gt;TODAY()),0,IF(OR(INDEX($B166:$D166,AU$5)="F",AND(AU$6&gt;0,$A166&lt;AU$6),AND(AU$7&gt;0,$A166&gt;AU$7)),0,MAX(0,ROUND((INDEX($E166:$G166,AU$5)-SUMIFS(TF_Timer,TF_Tekniker,AU$4,TF_Dato,$A166))*2,0)/2)))</f>
        <v/>
      </c>
      <c r="AV166">
        <f>IF(OR(AV$4="",$A166&gt;TODAY()),0,IF(OR(INDEX($B166:$D166,AV$5)="F",AND(AV$6&gt;0,$A166&lt;AV$6),AND(AV$7&gt;0,$A166&gt;AV$7)),0,MAX(0,ROUND((INDEX($E166:$G166,AV$5)-SUMIFS(TF_Timer,TF_Tekniker,AV$4,TF_Dato,$A166))*2,0)/2)))</f>
        <v/>
      </c>
      <c r="AW166">
        <f>IF(OR(AW$4="",$A166&gt;TODAY()),0,IF(OR(INDEX($B166:$D166,AW$5)="F",AND(AW$6&gt;0,$A166&lt;AW$6),AND(AW$7&gt;0,$A166&gt;AW$7)),0,MAX(0,ROUND((INDEX($E166:$G166,AW$5)-SUMIFS(TF_Timer,TF_Tekniker,AW$4,TF_Dato,$A166))*2,0)/2)))</f>
        <v/>
      </c>
      <c r="AX166">
        <f>IF(OR(AX$4="",$A166&gt;TODAY()),0,IF(OR(INDEX($B166:$D166,AX$5)="F",AND(AX$6&gt;0,$A166&lt;AX$6),AND(AX$7&gt;0,$A166&gt;AX$7)),0,MAX(0,ROUND((INDEX($E166:$G166,AX$5)-SUMIFS(TF_Timer,TF_Tekniker,AX$4,TF_Dato,$A166))*2,0)/2)))</f>
        <v/>
      </c>
      <c r="AY166">
        <f>IF(OR(AY$4="",$A166&gt;TODAY()),0,IF(OR(INDEX($B166:$D166,AY$5)="F",AND(AY$6&gt;0,$A166&lt;AY$6),AND(AY$7&gt;0,$A166&gt;AY$7)),0,MAX(0,ROUND((INDEX($E166:$G166,AY$5)-SUMIFS(TF_Timer,TF_Tekniker,AY$4,TF_Dato,$A166))*2,0)/2)))</f>
        <v/>
      </c>
      <c r="AZ166">
        <f>IF(OR(AZ$4="",$A166&gt;TODAY()),0,IF(OR(INDEX($B166:$D166,AZ$5)="F",AND(AZ$6&gt;0,$A166&lt;AZ$6),AND(AZ$7&gt;0,$A166&gt;AZ$7)),0,MAX(0,ROUND((INDEX($E166:$G166,AZ$5)-SUMIFS(TF_Timer,TF_Tekniker,AZ$4,TF_Dato,$A166))*2,0)/2)))</f>
        <v/>
      </c>
      <c r="BA166">
        <f>IF(OR(BA$4="",$A166&gt;TODAY()),0,IF(OR(INDEX($B166:$D166,BA$5)="F",AND(BA$6&gt;0,$A166&lt;BA$6),AND(BA$7&gt;0,$A166&gt;BA$7)),0,MAX(0,ROUND((INDEX($E166:$G166,BA$5)-SUMIFS(TF_Timer,TF_Tekniker,BA$4,TF_Dato,$A166))*2,0)/2)))</f>
        <v/>
      </c>
      <c r="BB166">
        <f>IF(OR(BB$4="",$A166&gt;TODAY()),0,IF(OR(INDEX($B166:$D166,BB$5)="F",AND(BB$6&gt;0,$A166&lt;BB$6),AND(BB$7&gt;0,$A166&gt;BB$7)),0,MAX(0,ROUND((INDEX($E166:$G166,BB$5)-SUMIFS(TF_Timer,TF_Tekniker,BB$4,TF_Dato,$A166))*2,0)/2)))</f>
        <v/>
      </c>
      <c r="BC166">
        <f>IF(OR(BC$4="",$A166&gt;TODAY()),0,IF(OR(INDEX($B166:$D166,BC$5)="F",AND(BC$6&gt;0,$A166&lt;BC$6),AND(BC$7&gt;0,$A166&gt;BC$7)),0,MAX(0,ROUND((INDEX($E166:$G166,BC$5)-SUMIFS(TF_Timer,TF_Tekniker,BC$4,TF_Dato,$A166))*2,0)/2)))</f>
        <v/>
      </c>
      <c r="BD166">
        <f>IF(OR(BD$4="",$A166&gt;TODAY()),0,IF(OR(INDEX($B166:$D166,BD$5)="F",AND(BD$6&gt;0,$A166&lt;BD$6),AND(BD$7&gt;0,$A166&gt;BD$7)),0,MAX(0,ROUND((INDEX($E166:$G166,BD$5)-SUMIFS(TF_Timer,TF_Tekniker,BD$4,TF_Dato,$A166))*2,0)/2)))</f>
        <v/>
      </c>
      <c r="BE166">
        <f>IF(OR(BE$4="",$A166&gt;TODAY()),0,IF(OR(INDEX($B166:$D166,BE$5)="F",AND(BE$6&gt;0,$A166&lt;BE$6),AND(BE$7&gt;0,$A166&gt;BE$7)),0,MAX(0,ROUND((INDEX($E166:$G166,BE$5)-SUMIFS(TF_Timer,TF_Tekniker,BE$4,TF_Dato,$A166))*2,0)/2)))</f>
        <v/>
      </c>
      <c r="BF166">
        <f>IF(OR(BF$4="",$A166&gt;TODAY()),0,IF(OR(INDEX($B166:$D166,BF$5)="F",AND(BF$6&gt;0,$A166&lt;BF$6),AND(BF$7&gt;0,$A166&gt;BF$7)),0,MAX(0,ROUND((INDEX($E166:$G166,BF$5)-SUMIFS(TF_Timer,TF_Tekniker,BF$4,TF_Dato,$A166))*2,0)/2)))</f>
        <v/>
      </c>
      <c r="BG166">
        <f>IF(OR(BG$4="",$A166&gt;TODAY()),0,IF(OR(INDEX($B166:$D166,BG$5)="F",AND(BG$6&gt;0,$A166&lt;BG$6),AND(BG$7&gt;0,$A166&gt;BG$7)),0,MAX(0,ROUND((INDEX($E166:$G166,BG$5)-SUMIFS(TF_Timer,TF_Tekniker,BG$4,TF_Dato,$A166))*2,0)/2)))</f>
        <v/>
      </c>
      <c r="BH166">
        <f>IF(OR(BH$4="",$A166&gt;TODAY()),0,IF(OR(INDEX($B166:$D166,BH$5)="F",AND(BH$6&gt;0,$A166&lt;BH$6),AND(BH$7&gt;0,$A166&gt;BH$7)),0,MAX(0,ROUND((INDEX($E166:$G166,BH$5)-SUMIFS(TF_Timer,TF_Tekniker,BH$4,TF_Dato,$A166))*2,0)/2)))</f>
        <v/>
      </c>
      <c r="BI166">
        <f>IF(OR(BI$4="",$A166&gt;TODAY()),0,IF(OR(INDEX($B166:$D166,BI$5)="F",AND(BI$6&gt;0,$A166&lt;BI$6),AND(BI$7&gt;0,$A166&gt;BI$7)),0,MAX(0,ROUND((INDEX($E166:$G166,BI$5)-SUMIFS(TF_Timer,TF_Tekniker,BI$4,TF_Dato,$A166))*2,0)/2)))</f>
        <v/>
      </c>
    </row>
    <row r="167">
      <c r="A167" s="64">
        <f>A166+1</f>
        <v/>
      </c>
      <c r="B167">
        <f>IF(MOD($A167-INDEX(SkiftStart,1),Syklus)&lt;DagK,"K",IF(MOD($A167-INDEX(SkiftStart,1),Syklus)&lt;DagK+DagH,"H",IF(MOD($A167-INDEX(SkiftStart,1),Syklus)&lt;DagK+DagH+DagD,"D","F")))</f>
        <v/>
      </c>
      <c r="C167">
        <f>IF(MOD($A167-INDEX(SkiftStart,2),Syklus)&lt;DagK,"K",IF(MOD($A167-INDEX(SkiftStart,2),Syklus)&lt;DagK+DagH,"H",IF(MOD($A167-INDEX(SkiftStart,2),Syklus)&lt;DagK+DagH+DagD,"D","F")))</f>
        <v/>
      </c>
      <c r="D167">
        <f>IF(MOD($A167-INDEX(SkiftStart,3),Syklus)&lt;DagK,"K",IF(MOD($A167-INDEX(SkiftStart,3),Syklus)&lt;DagK+DagH,"H",IF(MOD($A167-INDEX(SkiftStart,3),Syklus)&lt;DagK+DagH+DagD,"D","F")))</f>
        <v/>
      </c>
      <c r="E167">
        <f>IF(B167="F",0,IF(WEEKDAY($A167,2)=5,INDEX(TimerFr,MATCH(B167,FaseKode,0)),INDEX(TimerMT,MATCH(B167,FaseKode,0))))</f>
        <v/>
      </c>
      <c r="F167">
        <f>IF(C167="F",0,IF(WEEKDAY($A167,2)=5,INDEX(TimerFr,MATCH(C167,FaseKode,0)),INDEX(TimerMT,MATCH(C167,FaseKode,0))))</f>
        <v/>
      </c>
      <c r="G167">
        <f>IF(D167="F",0,IF(WEEKDAY($A167,2)=5,INDEX(TimerFr,MATCH(D167,FaseKode,0)),INDEX(TimerMT,MATCH(D167,FaseKode,0))))</f>
        <v/>
      </c>
      <c r="H167">
        <f>IF(OR(H$4="",$A167&gt;TODAY()),0,IF(OR(INDEX($B167:$D167,H$5)="F",AND(H$6&gt;0,$A167&lt;H$6),AND(H$7&gt;0,$A167&gt;H$7)),0,MAX(0,ROUND((INDEX($E167:$G167,H$5)-SUMIFS(TF_Timer,TF_Tekniker,H$4,TF_Dato,$A167))*2,0)/2)))</f>
        <v/>
      </c>
      <c r="I167">
        <f>IF(OR(I$4="",$A167&gt;TODAY()),0,IF(OR(INDEX($B167:$D167,I$5)="F",AND(I$6&gt;0,$A167&lt;I$6),AND(I$7&gt;0,$A167&gt;I$7)),0,MAX(0,ROUND((INDEX($E167:$G167,I$5)-SUMIFS(TF_Timer,TF_Tekniker,I$4,TF_Dato,$A167))*2,0)/2)))</f>
        <v/>
      </c>
      <c r="J167">
        <f>IF(OR(J$4="",$A167&gt;TODAY()),0,IF(OR(INDEX($B167:$D167,J$5)="F",AND(J$6&gt;0,$A167&lt;J$6),AND(J$7&gt;0,$A167&gt;J$7)),0,MAX(0,ROUND((INDEX($E167:$G167,J$5)-SUMIFS(TF_Timer,TF_Tekniker,J$4,TF_Dato,$A167))*2,0)/2)))</f>
        <v/>
      </c>
      <c r="K167">
        <f>IF(OR(K$4="",$A167&gt;TODAY()),0,IF(OR(INDEX($B167:$D167,K$5)="F",AND(K$6&gt;0,$A167&lt;K$6),AND(K$7&gt;0,$A167&gt;K$7)),0,MAX(0,ROUND((INDEX($E167:$G167,K$5)-SUMIFS(TF_Timer,TF_Tekniker,K$4,TF_Dato,$A167))*2,0)/2)))</f>
        <v/>
      </c>
      <c r="L167">
        <f>IF(OR(L$4="",$A167&gt;TODAY()),0,IF(OR(INDEX($B167:$D167,L$5)="F",AND(L$6&gt;0,$A167&lt;L$6),AND(L$7&gt;0,$A167&gt;L$7)),0,MAX(0,ROUND((INDEX($E167:$G167,L$5)-SUMIFS(TF_Timer,TF_Tekniker,L$4,TF_Dato,$A167))*2,0)/2)))</f>
        <v/>
      </c>
      <c r="M167">
        <f>IF(OR(M$4="",$A167&gt;TODAY()),0,IF(OR(INDEX($B167:$D167,M$5)="F",AND(M$6&gt;0,$A167&lt;M$6),AND(M$7&gt;0,$A167&gt;M$7)),0,MAX(0,ROUND((INDEX($E167:$G167,M$5)-SUMIFS(TF_Timer,TF_Tekniker,M$4,TF_Dato,$A167))*2,0)/2)))</f>
        <v/>
      </c>
      <c r="N167">
        <f>IF(OR(N$4="",$A167&gt;TODAY()),0,IF(OR(INDEX($B167:$D167,N$5)="F",AND(N$6&gt;0,$A167&lt;N$6),AND(N$7&gt;0,$A167&gt;N$7)),0,MAX(0,ROUND((INDEX($E167:$G167,N$5)-SUMIFS(TF_Timer,TF_Tekniker,N$4,TF_Dato,$A167))*2,0)/2)))</f>
        <v/>
      </c>
      <c r="O167">
        <f>IF(OR(O$4="",$A167&gt;TODAY()),0,IF(OR(INDEX($B167:$D167,O$5)="F",AND(O$6&gt;0,$A167&lt;O$6),AND(O$7&gt;0,$A167&gt;O$7)),0,MAX(0,ROUND((INDEX($E167:$G167,O$5)-SUMIFS(TF_Timer,TF_Tekniker,O$4,TF_Dato,$A167))*2,0)/2)))</f>
        <v/>
      </c>
      <c r="P167">
        <f>IF(OR(P$4="",$A167&gt;TODAY()),0,IF(OR(INDEX($B167:$D167,P$5)="F",AND(P$6&gt;0,$A167&lt;P$6),AND(P$7&gt;0,$A167&gt;P$7)),0,MAX(0,ROUND((INDEX($E167:$G167,P$5)-SUMIFS(TF_Timer,TF_Tekniker,P$4,TF_Dato,$A167))*2,0)/2)))</f>
        <v/>
      </c>
      <c r="Q167">
        <f>IF(OR(Q$4="",$A167&gt;TODAY()),0,IF(OR(INDEX($B167:$D167,Q$5)="F",AND(Q$6&gt;0,$A167&lt;Q$6),AND(Q$7&gt;0,$A167&gt;Q$7)),0,MAX(0,ROUND((INDEX($E167:$G167,Q$5)-SUMIFS(TF_Timer,TF_Tekniker,Q$4,TF_Dato,$A167))*2,0)/2)))</f>
        <v/>
      </c>
      <c r="R167">
        <f>IF(OR(R$4="",$A167&gt;TODAY()),0,IF(OR(INDEX($B167:$D167,R$5)="F",AND(R$6&gt;0,$A167&lt;R$6),AND(R$7&gt;0,$A167&gt;R$7)),0,MAX(0,ROUND((INDEX($E167:$G167,R$5)-SUMIFS(TF_Timer,TF_Tekniker,R$4,TF_Dato,$A167))*2,0)/2)))</f>
        <v/>
      </c>
      <c r="S167">
        <f>IF(OR(S$4="",$A167&gt;TODAY()),0,IF(OR(INDEX($B167:$D167,S$5)="F",AND(S$6&gt;0,$A167&lt;S$6),AND(S$7&gt;0,$A167&gt;S$7)),0,MAX(0,ROUND((INDEX($E167:$G167,S$5)-SUMIFS(TF_Timer,TF_Tekniker,S$4,TF_Dato,$A167))*2,0)/2)))</f>
        <v/>
      </c>
      <c r="T167">
        <f>IF(OR(T$4="",$A167&gt;TODAY()),0,IF(OR(INDEX($B167:$D167,T$5)="F",AND(T$6&gt;0,$A167&lt;T$6),AND(T$7&gt;0,$A167&gt;T$7)),0,MAX(0,ROUND((INDEX($E167:$G167,T$5)-SUMIFS(TF_Timer,TF_Tekniker,T$4,TF_Dato,$A167))*2,0)/2)))</f>
        <v/>
      </c>
      <c r="U167">
        <f>IF(OR(U$4="",$A167&gt;TODAY()),0,IF(OR(INDEX($B167:$D167,U$5)="F",AND(U$6&gt;0,$A167&lt;U$6),AND(U$7&gt;0,$A167&gt;U$7)),0,MAX(0,ROUND((INDEX($E167:$G167,U$5)-SUMIFS(TF_Timer,TF_Tekniker,U$4,TF_Dato,$A167))*2,0)/2)))</f>
        <v/>
      </c>
      <c r="V167">
        <f>IF(OR(V$4="",$A167&gt;TODAY()),0,IF(OR(INDEX($B167:$D167,V$5)="F",AND(V$6&gt;0,$A167&lt;V$6),AND(V$7&gt;0,$A167&gt;V$7)),0,MAX(0,ROUND((INDEX($E167:$G167,V$5)-SUMIFS(TF_Timer,TF_Tekniker,V$4,TF_Dato,$A167))*2,0)/2)))</f>
        <v/>
      </c>
      <c r="W167">
        <f>IF(OR(W$4="",$A167&gt;TODAY()),0,IF(OR(INDEX($B167:$D167,W$5)="F",AND(W$6&gt;0,$A167&lt;W$6),AND(W$7&gt;0,$A167&gt;W$7)),0,MAX(0,ROUND((INDEX($E167:$G167,W$5)-SUMIFS(TF_Timer,TF_Tekniker,W$4,TF_Dato,$A167))*2,0)/2)))</f>
        <v/>
      </c>
      <c r="X167">
        <f>IF(OR(X$4="",$A167&gt;TODAY()),0,IF(OR(INDEX($B167:$D167,X$5)="F",AND(X$6&gt;0,$A167&lt;X$6),AND(X$7&gt;0,$A167&gt;X$7)),0,MAX(0,ROUND((INDEX($E167:$G167,X$5)-SUMIFS(TF_Timer,TF_Tekniker,X$4,TF_Dato,$A167))*2,0)/2)))</f>
        <v/>
      </c>
      <c r="Y167">
        <f>IF(OR(Y$4="",$A167&gt;TODAY()),0,IF(OR(INDEX($B167:$D167,Y$5)="F",AND(Y$6&gt;0,$A167&lt;Y$6),AND(Y$7&gt;0,$A167&gt;Y$7)),0,MAX(0,ROUND((INDEX($E167:$G167,Y$5)-SUMIFS(TF_Timer,TF_Tekniker,Y$4,TF_Dato,$A167))*2,0)/2)))</f>
        <v/>
      </c>
      <c r="Z167">
        <f>IF(OR(Z$4="",$A167&gt;TODAY()),0,IF(OR(INDEX($B167:$D167,Z$5)="F",AND(Z$6&gt;0,$A167&lt;Z$6),AND(Z$7&gt;0,$A167&gt;Z$7)),0,MAX(0,ROUND((INDEX($E167:$G167,Z$5)-SUMIFS(TF_Timer,TF_Tekniker,Z$4,TF_Dato,$A167))*2,0)/2)))</f>
        <v/>
      </c>
      <c r="AA167">
        <f>IF(OR(AA$4="",$A167&gt;TODAY()),0,IF(OR(INDEX($B167:$D167,AA$5)="F",AND(AA$6&gt;0,$A167&lt;AA$6),AND(AA$7&gt;0,$A167&gt;AA$7)),0,MAX(0,ROUND((INDEX($E167:$G167,AA$5)-SUMIFS(TF_Timer,TF_Tekniker,AA$4,TF_Dato,$A167))*2,0)/2)))</f>
        <v/>
      </c>
      <c r="AB167">
        <f>IF(OR(AB$4="",$A167&gt;TODAY()),0,IF(OR(INDEX($B167:$D167,AB$5)="F",AND(AB$6&gt;0,$A167&lt;AB$6),AND(AB$7&gt;0,$A167&gt;AB$7)),0,MAX(0,ROUND((INDEX($E167:$G167,AB$5)-SUMIFS(TF_Timer,TF_Tekniker,AB$4,TF_Dato,$A167))*2,0)/2)))</f>
        <v/>
      </c>
      <c r="AC167">
        <f>IF(OR(AC$4="",$A167&gt;TODAY()),0,IF(OR(INDEX($B167:$D167,AC$5)="F",AND(AC$6&gt;0,$A167&lt;AC$6),AND(AC$7&gt;0,$A167&gt;AC$7)),0,MAX(0,ROUND((INDEX($E167:$G167,AC$5)-SUMIFS(TF_Timer,TF_Tekniker,AC$4,TF_Dato,$A167))*2,0)/2)))</f>
        <v/>
      </c>
      <c r="AD167">
        <f>IF(OR(AD$4="",$A167&gt;TODAY()),0,IF(OR(INDEX($B167:$D167,AD$5)="F",AND(AD$6&gt;0,$A167&lt;AD$6),AND(AD$7&gt;0,$A167&gt;AD$7)),0,MAX(0,ROUND((INDEX($E167:$G167,AD$5)-SUMIFS(TF_Timer,TF_Tekniker,AD$4,TF_Dato,$A167))*2,0)/2)))</f>
        <v/>
      </c>
      <c r="AE167">
        <f>IF(OR(AE$4="",$A167&gt;TODAY()),0,IF(OR(INDEX($B167:$D167,AE$5)="F",AND(AE$6&gt;0,$A167&lt;AE$6),AND(AE$7&gt;0,$A167&gt;AE$7)),0,MAX(0,ROUND((INDEX($E167:$G167,AE$5)-SUMIFS(TF_Timer,TF_Tekniker,AE$4,TF_Dato,$A167))*2,0)/2)))</f>
        <v/>
      </c>
      <c r="AF167">
        <f>IF(OR(AF$4="",$A167&gt;TODAY()),0,IF(OR(INDEX($B167:$D167,AF$5)="F",AND(AF$6&gt;0,$A167&lt;AF$6),AND(AF$7&gt;0,$A167&gt;AF$7)),0,MAX(0,ROUND((INDEX($E167:$G167,AF$5)-SUMIFS(TF_Timer,TF_Tekniker,AF$4,TF_Dato,$A167))*2,0)/2)))</f>
        <v/>
      </c>
      <c r="AG167">
        <f>IF(OR(AG$4="",$A167&gt;TODAY()),0,IF(OR(INDEX($B167:$D167,AG$5)="F",AND(AG$6&gt;0,$A167&lt;AG$6),AND(AG$7&gt;0,$A167&gt;AG$7)),0,MAX(0,ROUND((INDEX($E167:$G167,AG$5)-SUMIFS(TF_Timer,TF_Tekniker,AG$4,TF_Dato,$A167))*2,0)/2)))</f>
        <v/>
      </c>
      <c r="AH167">
        <f>IF(OR(AH$4="",$A167&gt;TODAY()),0,IF(OR(INDEX($B167:$D167,AH$5)="F",AND(AH$6&gt;0,$A167&lt;AH$6),AND(AH$7&gt;0,$A167&gt;AH$7)),0,MAX(0,ROUND((INDEX($E167:$G167,AH$5)-SUMIFS(TF_Timer,TF_Tekniker,AH$4,TF_Dato,$A167))*2,0)/2)))</f>
        <v/>
      </c>
      <c r="AI167">
        <f>IF(OR(AI$4="",$A167&gt;TODAY()),0,IF(OR(INDEX($B167:$D167,AI$5)="F",AND(AI$6&gt;0,$A167&lt;AI$6),AND(AI$7&gt;0,$A167&gt;AI$7)),0,MAX(0,ROUND((INDEX($E167:$G167,AI$5)-SUMIFS(TF_Timer,TF_Tekniker,AI$4,TF_Dato,$A167))*2,0)/2)))</f>
        <v/>
      </c>
      <c r="AJ167">
        <f>IF(OR(AJ$4="",$A167&gt;TODAY()),0,IF(OR(INDEX($B167:$D167,AJ$5)="F",AND(AJ$6&gt;0,$A167&lt;AJ$6),AND(AJ$7&gt;0,$A167&gt;AJ$7)),0,MAX(0,ROUND((INDEX($E167:$G167,AJ$5)-SUMIFS(TF_Timer,TF_Tekniker,AJ$4,TF_Dato,$A167))*2,0)/2)))</f>
        <v/>
      </c>
      <c r="AK167">
        <f>IF(OR(AK$4="",$A167&gt;TODAY()),0,IF(OR(INDEX($B167:$D167,AK$5)="F",AND(AK$6&gt;0,$A167&lt;AK$6),AND(AK$7&gt;0,$A167&gt;AK$7)),0,MAX(0,ROUND((INDEX($E167:$G167,AK$5)-SUMIFS(TF_Timer,TF_Tekniker,AK$4,TF_Dato,$A167))*2,0)/2)))</f>
        <v/>
      </c>
      <c r="AL167">
        <f>IF(OR(AL$4="",$A167&gt;TODAY()),0,IF(OR(INDEX($B167:$D167,AL$5)="F",AND(AL$6&gt;0,$A167&lt;AL$6),AND(AL$7&gt;0,$A167&gt;AL$7)),0,MAX(0,ROUND((INDEX($E167:$G167,AL$5)-SUMIFS(TF_Timer,TF_Tekniker,AL$4,TF_Dato,$A167))*2,0)/2)))</f>
        <v/>
      </c>
      <c r="AM167">
        <f>IF(OR(AM$4="",$A167&gt;TODAY()),0,IF(OR(INDEX($B167:$D167,AM$5)="F",AND(AM$6&gt;0,$A167&lt;AM$6),AND(AM$7&gt;0,$A167&gt;AM$7)),0,MAX(0,ROUND((INDEX($E167:$G167,AM$5)-SUMIFS(TF_Timer,TF_Tekniker,AM$4,TF_Dato,$A167))*2,0)/2)))</f>
        <v/>
      </c>
      <c r="AN167">
        <f>IF(OR(AN$4="",$A167&gt;TODAY()),0,IF(OR(INDEX($B167:$D167,AN$5)="F",AND(AN$6&gt;0,$A167&lt;AN$6),AND(AN$7&gt;0,$A167&gt;AN$7)),0,MAX(0,ROUND((INDEX($E167:$G167,AN$5)-SUMIFS(TF_Timer,TF_Tekniker,AN$4,TF_Dato,$A167))*2,0)/2)))</f>
        <v/>
      </c>
      <c r="AO167">
        <f>IF(OR(AO$4="",$A167&gt;TODAY()),0,IF(OR(INDEX($B167:$D167,AO$5)="F",AND(AO$6&gt;0,$A167&lt;AO$6),AND(AO$7&gt;0,$A167&gt;AO$7)),0,MAX(0,ROUND((INDEX($E167:$G167,AO$5)-SUMIFS(TF_Timer,TF_Tekniker,AO$4,TF_Dato,$A167))*2,0)/2)))</f>
        <v/>
      </c>
      <c r="AP167">
        <f>IF(OR(AP$4="",$A167&gt;TODAY()),0,IF(OR(INDEX($B167:$D167,AP$5)="F",AND(AP$6&gt;0,$A167&lt;AP$6),AND(AP$7&gt;0,$A167&gt;AP$7)),0,MAX(0,ROUND((INDEX($E167:$G167,AP$5)-SUMIFS(TF_Timer,TF_Tekniker,AP$4,TF_Dato,$A167))*2,0)/2)))</f>
        <v/>
      </c>
      <c r="AQ167">
        <f>IF(OR(AQ$4="",$A167&gt;TODAY()),0,IF(OR(INDEX($B167:$D167,AQ$5)="F",AND(AQ$6&gt;0,$A167&lt;AQ$6),AND(AQ$7&gt;0,$A167&gt;AQ$7)),0,MAX(0,ROUND((INDEX($E167:$G167,AQ$5)-SUMIFS(TF_Timer,TF_Tekniker,AQ$4,TF_Dato,$A167))*2,0)/2)))</f>
        <v/>
      </c>
      <c r="AR167">
        <f>IF(OR(AR$4="",$A167&gt;TODAY()),0,IF(OR(INDEX($B167:$D167,AR$5)="F",AND(AR$6&gt;0,$A167&lt;AR$6),AND(AR$7&gt;0,$A167&gt;AR$7)),0,MAX(0,ROUND((INDEX($E167:$G167,AR$5)-SUMIFS(TF_Timer,TF_Tekniker,AR$4,TF_Dato,$A167))*2,0)/2)))</f>
        <v/>
      </c>
      <c r="AS167">
        <f>IF(OR(AS$4="",$A167&gt;TODAY()),0,IF(OR(INDEX($B167:$D167,AS$5)="F",AND(AS$6&gt;0,$A167&lt;AS$6),AND(AS$7&gt;0,$A167&gt;AS$7)),0,MAX(0,ROUND((INDEX($E167:$G167,AS$5)-SUMIFS(TF_Timer,TF_Tekniker,AS$4,TF_Dato,$A167))*2,0)/2)))</f>
        <v/>
      </c>
      <c r="AT167">
        <f>IF(OR(AT$4="",$A167&gt;TODAY()),0,IF(OR(INDEX($B167:$D167,AT$5)="F",AND(AT$6&gt;0,$A167&lt;AT$6),AND(AT$7&gt;0,$A167&gt;AT$7)),0,MAX(0,ROUND((INDEX($E167:$G167,AT$5)-SUMIFS(TF_Timer,TF_Tekniker,AT$4,TF_Dato,$A167))*2,0)/2)))</f>
        <v/>
      </c>
      <c r="AU167">
        <f>IF(OR(AU$4="",$A167&gt;TODAY()),0,IF(OR(INDEX($B167:$D167,AU$5)="F",AND(AU$6&gt;0,$A167&lt;AU$6),AND(AU$7&gt;0,$A167&gt;AU$7)),0,MAX(0,ROUND((INDEX($E167:$G167,AU$5)-SUMIFS(TF_Timer,TF_Tekniker,AU$4,TF_Dato,$A167))*2,0)/2)))</f>
        <v/>
      </c>
      <c r="AV167">
        <f>IF(OR(AV$4="",$A167&gt;TODAY()),0,IF(OR(INDEX($B167:$D167,AV$5)="F",AND(AV$6&gt;0,$A167&lt;AV$6),AND(AV$7&gt;0,$A167&gt;AV$7)),0,MAX(0,ROUND((INDEX($E167:$G167,AV$5)-SUMIFS(TF_Timer,TF_Tekniker,AV$4,TF_Dato,$A167))*2,0)/2)))</f>
        <v/>
      </c>
      <c r="AW167">
        <f>IF(OR(AW$4="",$A167&gt;TODAY()),0,IF(OR(INDEX($B167:$D167,AW$5)="F",AND(AW$6&gt;0,$A167&lt;AW$6),AND(AW$7&gt;0,$A167&gt;AW$7)),0,MAX(0,ROUND((INDEX($E167:$G167,AW$5)-SUMIFS(TF_Timer,TF_Tekniker,AW$4,TF_Dato,$A167))*2,0)/2)))</f>
        <v/>
      </c>
      <c r="AX167">
        <f>IF(OR(AX$4="",$A167&gt;TODAY()),0,IF(OR(INDEX($B167:$D167,AX$5)="F",AND(AX$6&gt;0,$A167&lt;AX$6),AND(AX$7&gt;0,$A167&gt;AX$7)),0,MAX(0,ROUND((INDEX($E167:$G167,AX$5)-SUMIFS(TF_Timer,TF_Tekniker,AX$4,TF_Dato,$A167))*2,0)/2)))</f>
        <v/>
      </c>
      <c r="AY167">
        <f>IF(OR(AY$4="",$A167&gt;TODAY()),0,IF(OR(INDEX($B167:$D167,AY$5)="F",AND(AY$6&gt;0,$A167&lt;AY$6),AND(AY$7&gt;0,$A167&gt;AY$7)),0,MAX(0,ROUND((INDEX($E167:$G167,AY$5)-SUMIFS(TF_Timer,TF_Tekniker,AY$4,TF_Dato,$A167))*2,0)/2)))</f>
        <v/>
      </c>
      <c r="AZ167">
        <f>IF(OR(AZ$4="",$A167&gt;TODAY()),0,IF(OR(INDEX($B167:$D167,AZ$5)="F",AND(AZ$6&gt;0,$A167&lt;AZ$6),AND(AZ$7&gt;0,$A167&gt;AZ$7)),0,MAX(0,ROUND((INDEX($E167:$G167,AZ$5)-SUMIFS(TF_Timer,TF_Tekniker,AZ$4,TF_Dato,$A167))*2,0)/2)))</f>
        <v/>
      </c>
      <c r="BA167">
        <f>IF(OR(BA$4="",$A167&gt;TODAY()),0,IF(OR(INDEX($B167:$D167,BA$5)="F",AND(BA$6&gt;0,$A167&lt;BA$6),AND(BA$7&gt;0,$A167&gt;BA$7)),0,MAX(0,ROUND((INDEX($E167:$G167,BA$5)-SUMIFS(TF_Timer,TF_Tekniker,BA$4,TF_Dato,$A167))*2,0)/2)))</f>
        <v/>
      </c>
      <c r="BB167">
        <f>IF(OR(BB$4="",$A167&gt;TODAY()),0,IF(OR(INDEX($B167:$D167,BB$5)="F",AND(BB$6&gt;0,$A167&lt;BB$6),AND(BB$7&gt;0,$A167&gt;BB$7)),0,MAX(0,ROUND((INDEX($E167:$G167,BB$5)-SUMIFS(TF_Timer,TF_Tekniker,BB$4,TF_Dato,$A167))*2,0)/2)))</f>
        <v/>
      </c>
      <c r="BC167">
        <f>IF(OR(BC$4="",$A167&gt;TODAY()),0,IF(OR(INDEX($B167:$D167,BC$5)="F",AND(BC$6&gt;0,$A167&lt;BC$6),AND(BC$7&gt;0,$A167&gt;BC$7)),0,MAX(0,ROUND((INDEX($E167:$G167,BC$5)-SUMIFS(TF_Timer,TF_Tekniker,BC$4,TF_Dato,$A167))*2,0)/2)))</f>
        <v/>
      </c>
      <c r="BD167">
        <f>IF(OR(BD$4="",$A167&gt;TODAY()),0,IF(OR(INDEX($B167:$D167,BD$5)="F",AND(BD$6&gt;0,$A167&lt;BD$6),AND(BD$7&gt;0,$A167&gt;BD$7)),0,MAX(0,ROUND((INDEX($E167:$G167,BD$5)-SUMIFS(TF_Timer,TF_Tekniker,BD$4,TF_Dato,$A167))*2,0)/2)))</f>
        <v/>
      </c>
      <c r="BE167">
        <f>IF(OR(BE$4="",$A167&gt;TODAY()),0,IF(OR(INDEX($B167:$D167,BE$5)="F",AND(BE$6&gt;0,$A167&lt;BE$6),AND(BE$7&gt;0,$A167&gt;BE$7)),0,MAX(0,ROUND((INDEX($E167:$G167,BE$5)-SUMIFS(TF_Timer,TF_Tekniker,BE$4,TF_Dato,$A167))*2,0)/2)))</f>
        <v/>
      </c>
      <c r="BF167">
        <f>IF(OR(BF$4="",$A167&gt;TODAY()),0,IF(OR(INDEX($B167:$D167,BF$5)="F",AND(BF$6&gt;0,$A167&lt;BF$6),AND(BF$7&gt;0,$A167&gt;BF$7)),0,MAX(0,ROUND((INDEX($E167:$G167,BF$5)-SUMIFS(TF_Timer,TF_Tekniker,BF$4,TF_Dato,$A167))*2,0)/2)))</f>
        <v/>
      </c>
      <c r="BG167">
        <f>IF(OR(BG$4="",$A167&gt;TODAY()),0,IF(OR(INDEX($B167:$D167,BG$5)="F",AND(BG$6&gt;0,$A167&lt;BG$6),AND(BG$7&gt;0,$A167&gt;BG$7)),0,MAX(0,ROUND((INDEX($E167:$G167,BG$5)-SUMIFS(TF_Timer,TF_Tekniker,BG$4,TF_Dato,$A167))*2,0)/2)))</f>
        <v/>
      </c>
      <c r="BH167">
        <f>IF(OR(BH$4="",$A167&gt;TODAY()),0,IF(OR(INDEX($B167:$D167,BH$5)="F",AND(BH$6&gt;0,$A167&lt;BH$6),AND(BH$7&gt;0,$A167&gt;BH$7)),0,MAX(0,ROUND((INDEX($E167:$G167,BH$5)-SUMIFS(TF_Timer,TF_Tekniker,BH$4,TF_Dato,$A167))*2,0)/2)))</f>
        <v/>
      </c>
      <c r="BI167">
        <f>IF(OR(BI$4="",$A167&gt;TODAY()),0,IF(OR(INDEX($B167:$D167,BI$5)="F",AND(BI$6&gt;0,$A167&lt;BI$6),AND(BI$7&gt;0,$A167&gt;BI$7)),0,MAX(0,ROUND((INDEX($E167:$G167,BI$5)-SUMIFS(TF_Timer,TF_Tekniker,BI$4,TF_Dato,$A167))*2,0)/2)))</f>
        <v/>
      </c>
    </row>
    <row r="168">
      <c r="A168" s="64">
        <f>A167+1</f>
        <v/>
      </c>
      <c r="B168">
        <f>IF(MOD($A168-INDEX(SkiftStart,1),Syklus)&lt;DagK,"K",IF(MOD($A168-INDEX(SkiftStart,1),Syklus)&lt;DagK+DagH,"H",IF(MOD($A168-INDEX(SkiftStart,1),Syklus)&lt;DagK+DagH+DagD,"D","F")))</f>
        <v/>
      </c>
      <c r="C168">
        <f>IF(MOD($A168-INDEX(SkiftStart,2),Syklus)&lt;DagK,"K",IF(MOD($A168-INDEX(SkiftStart,2),Syklus)&lt;DagK+DagH,"H",IF(MOD($A168-INDEX(SkiftStart,2),Syklus)&lt;DagK+DagH+DagD,"D","F")))</f>
        <v/>
      </c>
      <c r="D168">
        <f>IF(MOD($A168-INDEX(SkiftStart,3),Syklus)&lt;DagK,"K",IF(MOD($A168-INDEX(SkiftStart,3),Syklus)&lt;DagK+DagH,"H",IF(MOD($A168-INDEX(SkiftStart,3),Syklus)&lt;DagK+DagH+DagD,"D","F")))</f>
        <v/>
      </c>
      <c r="E168">
        <f>IF(B168="F",0,IF(WEEKDAY($A168,2)=5,INDEX(TimerFr,MATCH(B168,FaseKode,0)),INDEX(TimerMT,MATCH(B168,FaseKode,0))))</f>
        <v/>
      </c>
      <c r="F168">
        <f>IF(C168="F",0,IF(WEEKDAY($A168,2)=5,INDEX(TimerFr,MATCH(C168,FaseKode,0)),INDEX(TimerMT,MATCH(C168,FaseKode,0))))</f>
        <v/>
      </c>
      <c r="G168">
        <f>IF(D168="F",0,IF(WEEKDAY($A168,2)=5,INDEX(TimerFr,MATCH(D168,FaseKode,0)),INDEX(TimerMT,MATCH(D168,FaseKode,0))))</f>
        <v/>
      </c>
      <c r="H168">
        <f>IF(OR(H$4="",$A168&gt;TODAY()),0,IF(OR(INDEX($B168:$D168,H$5)="F",AND(H$6&gt;0,$A168&lt;H$6),AND(H$7&gt;0,$A168&gt;H$7)),0,MAX(0,ROUND((INDEX($E168:$G168,H$5)-SUMIFS(TF_Timer,TF_Tekniker,H$4,TF_Dato,$A168))*2,0)/2)))</f>
        <v/>
      </c>
      <c r="I168">
        <f>IF(OR(I$4="",$A168&gt;TODAY()),0,IF(OR(INDEX($B168:$D168,I$5)="F",AND(I$6&gt;0,$A168&lt;I$6),AND(I$7&gt;0,$A168&gt;I$7)),0,MAX(0,ROUND((INDEX($E168:$G168,I$5)-SUMIFS(TF_Timer,TF_Tekniker,I$4,TF_Dato,$A168))*2,0)/2)))</f>
        <v/>
      </c>
      <c r="J168">
        <f>IF(OR(J$4="",$A168&gt;TODAY()),0,IF(OR(INDEX($B168:$D168,J$5)="F",AND(J$6&gt;0,$A168&lt;J$6),AND(J$7&gt;0,$A168&gt;J$7)),0,MAX(0,ROUND((INDEX($E168:$G168,J$5)-SUMIFS(TF_Timer,TF_Tekniker,J$4,TF_Dato,$A168))*2,0)/2)))</f>
        <v/>
      </c>
      <c r="K168">
        <f>IF(OR(K$4="",$A168&gt;TODAY()),0,IF(OR(INDEX($B168:$D168,K$5)="F",AND(K$6&gt;0,$A168&lt;K$6),AND(K$7&gt;0,$A168&gt;K$7)),0,MAX(0,ROUND((INDEX($E168:$G168,K$5)-SUMIFS(TF_Timer,TF_Tekniker,K$4,TF_Dato,$A168))*2,0)/2)))</f>
        <v/>
      </c>
      <c r="L168">
        <f>IF(OR(L$4="",$A168&gt;TODAY()),0,IF(OR(INDEX($B168:$D168,L$5)="F",AND(L$6&gt;0,$A168&lt;L$6),AND(L$7&gt;0,$A168&gt;L$7)),0,MAX(0,ROUND((INDEX($E168:$G168,L$5)-SUMIFS(TF_Timer,TF_Tekniker,L$4,TF_Dato,$A168))*2,0)/2)))</f>
        <v/>
      </c>
      <c r="M168">
        <f>IF(OR(M$4="",$A168&gt;TODAY()),0,IF(OR(INDEX($B168:$D168,M$5)="F",AND(M$6&gt;0,$A168&lt;M$6),AND(M$7&gt;0,$A168&gt;M$7)),0,MAX(0,ROUND((INDEX($E168:$G168,M$5)-SUMIFS(TF_Timer,TF_Tekniker,M$4,TF_Dato,$A168))*2,0)/2)))</f>
        <v/>
      </c>
      <c r="N168">
        <f>IF(OR(N$4="",$A168&gt;TODAY()),0,IF(OR(INDEX($B168:$D168,N$5)="F",AND(N$6&gt;0,$A168&lt;N$6),AND(N$7&gt;0,$A168&gt;N$7)),0,MAX(0,ROUND((INDEX($E168:$G168,N$5)-SUMIFS(TF_Timer,TF_Tekniker,N$4,TF_Dato,$A168))*2,0)/2)))</f>
        <v/>
      </c>
      <c r="O168">
        <f>IF(OR(O$4="",$A168&gt;TODAY()),0,IF(OR(INDEX($B168:$D168,O$5)="F",AND(O$6&gt;0,$A168&lt;O$6),AND(O$7&gt;0,$A168&gt;O$7)),0,MAX(0,ROUND((INDEX($E168:$G168,O$5)-SUMIFS(TF_Timer,TF_Tekniker,O$4,TF_Dato,$A168))*2,0)/2)))</f>
        <v/>
      </c>
      <c r="P168">
        <f>IF(OR(P$4="",$A168&gt;TODAY()),0,IF(OR(INDEX($B168:$D168,P$5)="F",AND(P$6&gt;0,$A168&lt;P$6),AND(P$7&gt;0,$A168&gt;P$7)),0,MAX(0,ROUND((INDEX($E168:$G168,P$5)-SUMIFS(TF_Timer,TF_Tekniker,P$4,TF_Dato,$A168))*2,0)/2)))</f>
        <v/>
      </c>
      <c r="Q168">
        <f>IF(OR(Q$4="",$A168&gt;TODAY()),0,IF(OR(INDEX($B168:$D168,Q$5)="F",AND(Q$6&gt;0,$A168&lt;Q$6),AND(Q$7&gt;0,$A168&gt;Q$7)),0,MAX(0,ROUND((INDEX($E168:$G168,Q$5)-SUMIFS(TF_Timer,TF_Tekniker,Q$4,TF_Dato,$A168))*2,0)/2)))</f>
        <v/>
      </c>
      <c r="R168">
        <f>IF(OR(R$4="",$A168&gt;TODAY()),0,IF(OR(INDEX($B168:$D168,R$5)="F",AND(R$6&gt;0,$A168&lt;R$6),AND(R$7&gt;0,$A168&gt;R$7)),0,MAX(0,ROUND((INDEX($E168:$G168,R$5)-SUMIFS(TF_Timer,TF_Tekniker,R$4,TF_Dato,$A168))*2,0)/2)))</f>
        <v/>
      </c>
      <c r="S168">
        <f>IF(OR(S$4="",$A168&gt;TODAY()),0,IF(OR(INDEX($B168:$D168,S$5)="F",AND(S$6&gt;0,$A168&lt;S$6),AND(S$7&gt;0,$A168&gt;S$7)),0,MAX(0,ROUND((INDEX($E168:$G168,S$5)-SUMIFS(TF_Timer,TF_Tekniker,S$4,TF_Dato,$A168))*2,0)/2)))</f>
        <v/>
      </c>
      <c r="T168">
        <f>IF(OR(T$4="",$A168&gt;TODAY()),0,IF(OR(INDEX($B168:$D168,T$5)="F",AND(T$6&gt;0,$A168&lt;T$6),AND(T$7&gt;0,$A168&gt;T$7)),0,MAX(0,ROUND((INDEX($E168:$G168,T$5)-SUMIFS(TF_Timer,TF_Tekniker,T$4,TF_Dato,$A168))*2,0)/2)))</f>
        <v/>
      </c>
      <c r="U168">
        <f>IF(OR(U$4="",$A168&gt;TODAY()),0,IF(OR(INDEX($B168:$D168,U$5)="F",AND(U$6&gt;0,$A168&lt;U$6),AND(U$7&gt;0,$A168&gt;U$7)),0,MAX(0,ROUND((INDEX($E168:$G168,U$5)-SUMIFS(TF_Timer,TF_Tekniker,U$4,TF_Dato,$A168))*2,0)/2)))</f>
        <v/>
      </c>
      <c r="V168">
        <f>IF(OR(V$4="",$A168&gt;TODAY()),0,IF(OR(INDEX($B168:$D168,V$5)="F",AND(V$6&gt;0,$A168&lt;V$6),AND(V$7&gt;0,$A168&gt;V$7)),0,MAX(0,ROUND((INDEX($E168:$G168,V$5)-SUMIFS(TF_Timer,TF_Tekniker,V$4,TF_Dato,$A168))*2,0)/2)))</f>
        <v/>
      </c>
      <c r="W168">
        <f>IF(OR(W$4="",$A168&gt;TODAY()),0,IF(OR(INDEX($B168:$D168,W$5)="F",AND(W$6&gt;0,$A168&lt;W$6),AND(W$7&gt;0,$A168&gt;W$7)),0,MAX(0,ROUND((INDEX($E168:$G168,W$5)-SUMIFS(TF_Timer,TF_Tekniker,W$4,TF_Dato,$A168))*2,0)/2)))</f>
        <v/>
      </c>
      <c r="X168">
        <f>IF(OR(X$4="",$A168&gt;TODAY()),0,IF(OR(INDEX($B168:$D168,X$5)="F",AND(X$6&gt;0,$A168&lt;X$6),AND(X$7&gt;0,$A168&gt;X$7)),0,MAX(0,ROUND((INDEX($E168:$G168,X$5)-SUMIFS(TF_Timer,TF_Tekniker,X$4,TF_Dato,$A168))*2,0)/2)))</f>
        <v/>
      </c>
      <c r="Y168">
        <f>IF(OR(Y$4="",$A168&gt;TODAY()),0,IF(OR(INDEX($B168:$D168,Y$5)="F",AND(Y$6&gt;0,$A168&lt;Y$6),AND(Y$7&gt;0,$A168&gt;Y$7)),0,MAX(0,ROUND((INDEX($E168:$G168,Y$5)-SUMIFS(TF_Timer,TF_Tekniker,Y$4,TF_Dato,$A168))*2,0)/2)))</f>
        <v/>
      </c>
      <c r="Z168">
        <f>IF(OR(Z$4="",$A168&gt;TODAY()),0,IF(OR(INDEX($B168:$D168,Z$5)="F",AND(Z$6&gt;0,$A168&lt;Z$6),AND(Z$7&gt;0,$A168&gt;Z$7)),0,MAX(0,ROUND((INDEX($E168:$G168,Z$5)-SUMIFS(TF_Timer,TF_Tekniker,Z$4,TF_Dato,$A168))*2,0)/2)))</f>
        <v/>
      </c>
      <c r="AA168">
        <f>IF(OR(AA$4="",$A168&gt;TODAY()),0,IF(OR(INDEX($B168:$D168,AA$5)="F",AND(AA$6&gt;0,$A168&lt;AA$6),AND(AA$7&gt;0,$A168&gt;AA$7)),0,MAX(0,ROUND((INDEX($E168:$G168,AA$5)-SUMIFS(TF_Timer,TF_Tekniker,AA$4,TF_Dato,$A168))*2,0)/2)))</f>
        <v/>
      </c>
      <c r="AB168">
        <f>IF(OR(AB$4="",$A168&gt;TODAY()),0,IF(OR(INDEX($B168:$D168,AB$5)="F",AND(AB$6&gt;0,$A168&lt;AB$6),AND(AB$7&gt;0,$A168&gt;AB$7)),0,MAX(0,ROUND((INDEX($E168:$G168,AB$5)-SUMIFS(TF_Timer,TF_Tekniker,AB$4,TF_Dato,$A168))*2,0)/2)))</f>
        <v/>
      </c>
      <c r="AC168">
        <f>IF(OR(AC$4="",$A168&gt;TODAY()),0,IF(OR(INDEX($B168:$D168,AC$5)="F",AND(AC$6&gt;0,$A168&lt;AC$6),AND(AC$7&gt;0,$A168&gt;AC$7)),0,MAX(0,ROUND((INDEX($E168:$G168,AC$5)-SUMIFS(TF_Timer,TF_Tekniker,AC$4,TF_Dato,$A168))*2,0)/2)))</f>
        <v/>
      </c>
      <c r="AD168">
        <f>IF(OR(AD$4="",$A168&gt;TODAY()),0,IF(OR(INDEX($B168:$D168,AD$5)="F",AND(AD$6&gt;0,$A168&lt;AD$6),AND(AD$7&gt;0,$A168&gt;AD$7)),0,MAX(0,ROUND((INDEX($E168:$G168,AD$5)-SUMIFS(TF_Timer,TF_Tekniker,AD$4,TF_Dato,$A168))*2,0)/2)))</f>
        <v/>
      </c>
      <c r="AE168">
        <f>IF(OR(AE$4="",$A168&gt;TODAY()),0,IF(OR(INDEX($B168:$D168,AE$5)="F",AND(AE$6&gt;0,$A168&lt;AE$6),AND(AE$7&gt;0,$A168&gt;AE$7)),0,MAX(0,ROUND((INDEX($E168:$G168,AE$5)-SUMIFS(TF_Timer,TF_Tekniker,AE$4,TF_Dato,$A168))*2,0)/2)))</f>
        <v/>
      </c>
      <c r="AF168">
        <f>IF(OR(AF$4="",$A168&gt;TODAY()),0,IF(OR(INDEX($B168:$D168,AF$5)="F",AND(AF$6&gt;0,$A168&lt;AF$6),AND(AF$7&gt;0,$A168&gt;AF$7)),0,MAX(0,ROUND((INDEX($E168:$G168,AF$5)-SUMIFS(TF_Timer,TF_Tekniker,AF$4,TF_Dato,$A168))*2,0)/2)))</f>
        <v/>
      </c>
      <c r="AG168">
        <f>IF(OR(AG$4="",$A168&gt;TODAY()),0,IF(OR(INDEX($B168:$D168,AG$5)="F",AND(AG$6&gt;0,$A168&lt;AG$6),AND(AG$7&gt;0,$A168&gt;AG$7)),0,MAX(0,ROUND((INDEX($E168:$G168,AG$5)-SUMIFS(TF_Timer,TF_Tekniker,AG$4,TF_Dato,$A168))*2,0)/2)))</f>
        <v/>
      </c>
      <c r="AH168">
        <f>IF(OR(AH$4="",$A168&gt;TODAY()),0,IF(OR(INDEX($B168:$D168,AH$5)="F",AND(AH$6&gt;0,$A168&lt;AH$6),AND(AH$7&gt;0,$A168&gt;AH$7)),0,MAX(0,ROUND((INDEX($E168:$G168,AH$5)-SUMIFS(TF_Timer,TF_Tekniker,AH$4,TF_Dato,$A168))*2,0)/2)))</f>
        <v/>
      </c>
      <c r="AI168">
        <f>IF(OR(AI$4="",$A168&gt;TODAY()),0,IF(OR(INDEX($B168:$D168,AI$5)="F",AND(AI$6&gt;0,$A168&lt;AI$6),AND(AI$7&gt;0,$A168&gt;AI$7)),0,MAX(0,ROUND((INDEX($E168:$G168,AI$5)-SUMIFS(TF_Timer,TF_Tekniker,AI$4,TF_Dato,$A168))*2,0)/2)))</f>
        <v/>
      </c>
      <c r="AJ168">
        <f>IF(OR(AJ$4="",$A168&gt;TODAY()),0,IF(OR(INDEX($B168:$D168,AJ$5)="F",AND(AJ$6&gt;0,$A168&lt;AJ$6),AND(AJ$7&gt;0,$A168&gt;AJ$7)),0,MAX(0,ROUND((INDEX($E168:$G168,AJ$5)-SUMIFS(TF_Timer,TF_Tekniker,AJ$4,TF_Dato,$A168))*2,0)/2)))</f>
        <v/>
      </c>
      <c r="AK168">
        <f>IF(OR(AK$4="",$A168&gt;TODAY()),0,IF(OR(INDEX($B168:$D168,AK$5)="F",AND(AK$6&gt;0,$A168&lt;AK$6),AND(AK$7&gt;0,$A168&gt;AK$7)),0,MAX(0,ROUND((INDEX($E168:$G168,AK$5)-SUMIFS(TF_Timer,TF_Tekniker,AK$4,TF_Dato,$A168))*2,0)/2)))</f>
        <v/>
      </c>
      <c r="AL168">
        <f>IF(OR(AL$4="",$A168&gt;TODAY()),0,IF(OR(INDEX($B168:$D168,AL$5)="F",AND(AL$6&gt;0,$A168&lt;AL$6),AND(AL$7&gt;0,$A168&gt;AL$7)),0,MAX(0,ROUND((INDEX($E168:$G168,AL$5)-SUMIFS(TF_Timer,TF_Tekniker,AL$4,TF_Dato,$A168))*2,0)/2)))</f>
        <v/>
      </c>
      <c r="AM168">
        <f>IF(OR(AM$4="",$A168&gt;TODAY()),0,IF(OR(INDEX($B168:$D168,AM$5)="F",AND(AM$6&gt;0,$A168&lt;AM$6),AND(AM$7&gt;0,$A168&gt;AM$7)),0,MAX(0,ROUND((INDEX($E168:$G168,AM$5)-SUMIFS(TF_Timer,TF_Tekniker,AM$4,TF_Dato,$A168))*2,0)/2)))</f>
        <v/>
      </c>
      <c r="AN168">
        <f>IF(OR(AN$4="",$A168&gt;TODAY()),0,IF(OR(INDEX($B168:$D168,AN$5)="F",AND(AN$6&gt;0,$A168&lt;AN$6),AND(AN$7&gt;0,$A168&gt;AN$7)),0,MAX(0,ROUND((INDEX($E168:$G168,AN$5)-SUMIFS(TF_Timer,TF_Tekniker,AN$4,TF_Dato,$A168))*2,0)/2)))</f>
        <v/>
      </c>
      <c r="AO168">
        <f>IF(OR(AO$4="",$A168&gt;TODAY()),0,IF(OR(INDEX($B168:$D168,AO$5)="F",AND(AO$6&gt;0,$A168&lt;AO$6),AND(AO$7&gt;0,$A168&gt;AO$7)),0,MAX(0,ROUND((INDEX($E168:$G168,AO$5)-SUMIFS(TF_Timer,TF_Tekniker,AO$4,TF_Dato,$A168))*2,0)/2)))</f>
        <v/>
      </c>
      <c r="AP168">
        <f>IF(OR(AP$4="",$A168&gt;TODAY()),0,IF(OR(INDEX($B168:$D168,AP$5)="F",AND(AP$6&gt;0,$A168&lt;AP$6),AND(AP$7&gt;0,$A168&gt;AP$7)),0,MAX(0,ROUND((INDEX($E168:$G168,AP$5)-SUMIFS(TF_Timer,TF_Tekniker,AP$4,TF_Dato,$A168))*2,0)/2)))</f>
        <v/>
      </c>
      <c r="AQ168">
        <f>IF(OR(AQ$4="",$A168&gt;TODAY()),0,IF(OR(INDEX($B168:$D168,AQ$5)="F",AND(AQ$6&gt;0,$A168&lt;AQ$6),AND(AQ$7&gt;0,$A168&gt;AQ$7)),0,MAX(0,ROUND((INDEX($E168:$G168,AQ$5)-SUMIFS(TF_Timer,TF_Tekniker,AQ$4,TF_Dato,$A168))*2,0)/2)))</f>
        <v/>
      </c>
      <c r="AR168">
        <f>IF(OR(AR$4="",$A168&gt;TODAY()),0,IF(OR(INDEX($B168:$D168,AR$5)="F",AND(AR$6&gt;0,$A168&lt;AR$6),AND(AR$7&gt;0,$A168&gt;AR$7)),0,MAX(0,ROUND((INDEX($E168:$G168,AR$5)-SUMIFS(TF_Timer,TF_Tekniker,AR$4,TF_Dato,$A168))*2,0)/2)))</f>
        <v/>
      </c>
      <c r="AS168">
        <f>IF(OR(AS$4="",$A168&gt;TODAY()),0,IF(OR(INDEX($B168:$D168,AS$5)="F",AND(AS$6&gt;0,$A168&lt;AS$6),AND(AS$7&gt;0,$A168&gt;AS$7)),0,MAX(0,ROUND((INDEX($E168:$G168,AS$5)-SUMIFS(TF_Timer,TF_Tekniker,AS$4,TF_Dato,$A168))*2,0)/2)))</f>
        <v/>
      </c>
      <c r="AT168">
        <f>IF(OR(AT$4="",$A168&gt;TODAY()),0,IF(OR(INDEX($B168:$D168,AT$5)="F",AND(AT$6&gt;0,$A168&lt;AT$6),AND(AT$7&gt;0,$A168&gt;AT$7)),0,MAX(0,ROUND((INDEX($E168:$G168,AT$5)-SUMIFS(TF_Timer,TF_Tekniker,AT$4,TF_Dato,$A168))*2,0)/2)))</f>
        <v/>
      </c>
      <c r="AU168">
        <f>IF(OR(AU$4="",$A168&gt;TODAY()),0,IF(OR(INDEX($B168:$D168,AU$5)="F",AND(AU$6&gt;0,$A168&lt;AU$6),AND(AU$7&gt;0,$A168&gt;AU$7)),0,MAX(0,ROUND((INDEX($E168:$G168,AU$5)-SUMIFS(TF_Timer,TF_Tekniker,AU$4,TF_Dato,$A168))*2,0)/2)))</f>
        <v/>
      </c>
      <c r="AV168">
        <f>IF(OR(AV$4="",$A168&gt;TODAY()),0,IF(OR(INDEX($B168:$D168,AV$5)="F",AND(AV$6&gt;0,$A168&lt;AV$6),AND(AV$7&gt;0,$A168&gt;AV$7)),0,MAX(0,ROUND((INDEX($E168:$G168,AV$5)-SUMIFS(TF_Timer,TF_Tekniker,AV$4,TF_Dato,$A168))*2,0)/2)))</f>
        <v/>
      </c>
      <c r="AW168">
        <f>IF(OR(AW$4="",$A168&gt;TODAY()),0,IF(OR(INDEX($B168:$D168,AW$5)="F",AND(AW$6&gt;0,$A168&lt;AW$6),AND(AW$7&gt;0,$A168&gt;AW$7)),0,MAX(0,ROUND((INDEX($E168:$G168,AW$5)-SUMIFS(TF_Timer,TF_Tekniker,AW$4,TF_Dato,$A168))*2,0)/2)))</f>
        <v/>
      </c>
      <c r="AX168">
        <f>IF(OR(AX$4="",$A168&gt;TODAY()),0,IF(OR(INDEX($B168:$D168,AX$5)="F",AND(AX$6&gt;0,$A168&lt;AX$6),AND(AX$7&gt;0,$A168&gt;AX$7)),0,MAX(0,ROUND((INDEX($E168:$G168,AX$5)-SUMIFS(TF_Timer,TF_Tekniker,AX$4,TF_Dato,$A168))*2,0)/2)))</f>
        <v/>
      </c>
      <c r="AY168">
        <f>IF(OR(AY$4="",$A168&gt;TODAY()),0,IF(OR(INDEX($B168:$D168,AY$5)="F",AND(AY$6&gt;0,$A168&lt;AY$6),AND(AY$7&gt;0,$A168&gt;AY$7)),0,MAX(0,ROUND((INDEX($E168:$G168,AY$5)-SUMIFS(TF_Timer,TF_Tekniker,AY$4,TF_Dato,$A168))*2,0)/2)))</f>
        <v/>
      </c>
      <c r="AZ168">
        <f>IF(OR(AZ$4="",$A168&gt;TODAY()),0,IF(OR(INDEX($B168:$D168,AZ$5)="F",AND(AZ$6&gt;0,$A168&lt;AZ$6),AND(AZ$7&gt;0,$A168&gt;AZ$7)),0,MAX(0,ROUND((INDEX($E168:$G168,AZ$5)-SUMIFS(TF_Timer,TF_Tekniker,AZ$4,TF_Dato,$A168))*2,0)/2)))</f>
        <v/>
      </c>
      <c r="BA168">
        <f>IF(OR(BA$4="",$A168&gt;TODAY()),0,IF(OR(INDEX($B168:$D168,BA$5)="F",AND(BA$6&gt;0,$A168&lt;BA$6),AND(BA$7&gt;0,$A168&gt;BA$7)),0,MAX(0,ROUND((INDEX($E168:$G168,BA$5)-SUMIFS(TF_Timer,TF_Tekniker,BA$4,TF_Dato,$A168))*2,0)/2)))</f>
        <v/>
      </c>
      <c r="BB168">
        <f>IF(OR(BB$4="",$A168&gt;TODAY()),0,IF(OR(INDEX($B168:$D168,BB$5)="F",AND(BB$6&gt;0,$A168&lt;BB$6),AND(BB$7&gt;0,$A168&gt;BB$7)),0,MAX(0,ROUND((INDEX($E168:$G168,BB$5)-SUMIFS(TF_Timer,TF_Tekniker,BB$4,TF_Dato,$A168))*2,0)/2)))</f>
        <v/>
      </c>
      <c r="BC168">
        <f>IF(OR(BC$4="",$A168&gt;TODAY()),0,IF(OR(INDEX($B168:$D168,BC$5)="F",AND(BC$6&gt;0,$A168&lt;BC$6),AND(BC$7&gt;0,$A168&gt;BC$7)),0,MAX(0,ROUND((INDEX($E168:$G168,BC$5)-SUMIFS(TF_Timer,TF_Tekniker,BC$4,TF_Dato,$A168))*2,0)/2)))</f>
        <v/>
      </c>
      <c r="BD168">
        <f>IF(OR(BD$4="",$A168&gt;TODAY()),0,IF(OR(INDEX($B168:$D168,BD$5)="F",AND(BD$6&gt;0,$A168&lt;BD$6),AND(BD$7&gt;0,$A168&gt;BD$7)),0,MAX(0,ROUND((INDEX($E168:$G168,BD$5)-SUMIFS(TF_Timer,TF_Tekniker,BD$4,TF_Dato,$A168))*2,0)/2)))</f>
        <v/>
      </c>
      <c r="BE168">
        <f>IF(OR(BE$4="",$A168&gt;TODAY()),0,IF(OR(INDEX($B168:$D168,BE$5)="F",AND(BE$6&gt;0,$A168&lt;BE$6),AND(BE$7&gt;0,$A168&gt;BE$7)),0,MAX(0,ROUND((INDEX($E168:$G168,BE$5)-SUMIFS(TF_Timer,TF_Tekniker,BE$4,TF_Dato,$A168))*2,0)/2)))</f>
        <v/>
      </c>
      <c r="BF168">
        <f>IF(OR(BF$4="",$A168&gt;TODAY()),0,IF(OR(INDEX($B168:$D168,BF$5)="F",AND(BF$6&gt;0,$A168&lt;BF$6),AND(BF$7&gt;0,$A168&gt;BF$7)),0,MAX(0,ROUND((INDEX($E168:$G168,BF$5)-SUMIFS(TF_Timer,TF_Tekniker,BF$4,TF_Dato,$A168))*2,0)/2)))</f>
        <v/>
      </c>
      <c r="BG168">
        <f>IF(OR(BG$4="",$A168&gt;TODAY()),0,IF(OR(INDEX($B168:$D168,BG$5)="F",AND(BG$6&gt;0,$A168&lt;BG$6),AND(BG$7&gt;0,$A168&gt;BG$7)),0,MAX(0,ROUND((INDEX($E168:$G168,BG$5)-SUMIFS(TF_Timer,TF_Tekniker,BG$4,TF_Dato,$A168))*2,0)/2)))</f>
        <v/>
      </c>
      <c r="BH168">
        <f>IF(OR(BH$4="",$A168&gt;TODAY()),0,IF(OR(INDEX($B168:$D168,BH$5)="F",AND(BH$6&gt;0,$A168&lt;BH$6),AND(BH$7&gt;0,$A168&gt;BH$7)),0,MAX(0,ROUND((INDEX($E168:$G168,BH$5)-SUMIFS(TF_Timer,TF_Tekniker,BH$4,TF_Dato,$A168))*2,0)/2)))</f>
        <v/>
      </c>
      <c r="BI168">
        <f>IF(OR(BI$4="",$A168&gt;TODAY()),0,IF(OR(INDEX($B168:$D168,BI$5)="F",AND(BI$6&gt;0,$A168&lt;BI$6),AND(BI$7&gt;0,$A168&gt;BI$7)),0,MAX(0,ROUND((INDEX($E168:$G168,BI$5)-SUMIFS(TF_Timer,TF_Tekniker,BI$4,TF_Dato,$A168))*2,0)/2)))</f>
        <v/>
      </c>
    </row>
    <row r="169">
      <c r="A169" s="64">
        <f>A168+1</f>
        <v/>
      </c>
      <c r="B169">
        <f>IF(MOD($A169-INDEX(SkiftStart,1),Syklus)&lt;DagK,"K",IF(MOD($A169-INDEX(SkiftStart,1),Syklus)&lt;DagK+DagH,"H",IF(MOD($A169-INDEX(SkiftStart,1),Syklus)&lt;DagK+DagH+DagD,"D","F")))</f>
        <v/>
      </c>
      <c r="C169">
        <f>IF(MOD($A169-INDEX(SkiftStart,2),Syklus)&lt;DagK,"K",IF(MOD($A169-INDEX(SkiftStart,2),Syklus)&lt;DagK+DagH,"H",IF(MOD($A169-INDEX(SkiftStart,2),Syklus)&lt;DagK+DagH+DagD,"D","F")))</f>
        <v/>
      </c>
      <c r="D169">
        <f>IF(MOD($A169-INDEX(SkiftStart,3),Syklus)&lt;DagK,"K",IF(MOD($A169-INDEX(SkiftStart,3),Syklus)&lt;DagK+DagH,"H",IF(MOD($A169-INDEX(SkiftStart,3),Syklus)&lt;DagK+DagH+DagD,"D","F")))</f>
        <v/>
      </c>
      <c r="E169">
        <f>IF(B169="F",0,IF(WEEKDAY($A169,2)=5,INDEX(TimerFr,MATCH(B169,FaseKode,0)),INDEX(TimerMT,MATCH(B169,FaseKode,0))))</f>
        <v/>
      </c>
      <c r="F169">
        <f>IF(C169="F",0,IF(WEEKDAY($A169,2)=5,INDEX(TimerFr,MATCH(C169,FaseKode,0)),INDEX(TimerMT,MATCH(C169,FaseKode,0))))</f>
        <v/>
      </c>
      <c r="G169">
        <f>IF(D169="F",0,IF(WEEKDAY($A169,2)=5,INDEX(TimerFr,MATCH(D169,FaseKode,0)),INDEX(TimerMT,MATCH(D169,FaseKode,0))))</f>
        <v/>
      </c>
      <c r="H169">
        <f>IF(OR(H$4="",$A169&gt;TODAY()),0,IF(OR(INDEX($B169:$D169,H$5)="F",AND(H$6&gt;0,$A169&lt;H$6),AND(H$7&gt;0,$A169&gt;H$7)),0,MAX(0,ROUND((INDEX($E169:$G169,H$5)-SUMIFS(TF_Timer,TF_Tekniker,H$4,TF_Dato,$A169))*2,0)/2)))</f>
        <v/>
      </c>
      <c r="I169">
        <f>IF(OR(I$4="",$A169&gt;TODAY()),0,IF(OR(INDEX($B169:$D169,I$5)="F",AND(I$6&gt;0,$A169&lt;I$6),AND(I$7&gt;0,$A169&gt;I$7)),0,MAX(0,ROUND((INDEX($E169:$G169,I$5)-SUMIFS(TF_Timer,TF_Tekniker,I$4,TF_Dato,$A169))*2,0)/2)))</f>
        <v/>
      </c>
      <c r="J169">
        <f>IF(OR(J$4="",$A169&gt;TODAY()),0,IF(OR(INDEX($B169:$D169,J$5)="F",AND(J$6&gt;0,$A169&lt;J$6),AND(J$7&gt;0,$A169&gt;J$7)),0,MAX(0,ROUND((INDEX($E169:$G169,J$5)-SUMIFS(TF_Timer,TF_Tekniker,J$4,TF_Dato,$A169))*2,0)/2)))</f>
        <v/>
      </c>
      <c r="K169">
        <f>IF(OR(K$4="",$A169&gt;TODAY()),0,IF(OR(INDEX($B169:$D169,K$5)="F",AND(K$6&gt;0,$A169&lt;K$6),AND(K$7&gt;0,$A169&gt;K$7)),0,MAX(0,ROUND((INDEX($E169:$G169,K$5)-SUMIFS(TF_Timer,TF_Tekniker,K$4,TF_Dato,$A169))*2,0)/2)))</f>
        <v/>
      </c>
      <c r="L169">
        <f>IF(OR(L$4="",$A169&gt;TODAY()),0,IF(OR(INDEX($B169:$D169,L$5)="F",AND(L$6&gt;0,$A169&lt;L$6),AND(L$7&gt;0,$A169&gt;L$7)),0,MAX(0,ROUND((INDEX($E169:$G169,L$5)-SUMIFS(TF_Timer,TF_Tekniker,L$4,TF_Dato,$A169))*2,0)/2)))</f>
        <v/>
      </c>
      <c r="M169">
        <f>IF(OR(M$4="",$A169&gt;TODAY()),0,IF(OR(INDEX($B169:$D169,M$5)="F",AND(M$6&gt;0,$A169&lt;M$6),AND(M$7&gt;0,$A169&gt;M$7)),0,MAX(0,ROUND((INDEX($E169:$G169,M$5)-SUMIFS(TF_Timer,TF_Tekniker,M$4,TF_Dato,$A169))*2,0)/2)))</f>
        <v/>
      </c>
      <c r="N169">
        <f>IF(OR(N$4="",$A169&gt;TODAY()),0,IF(OR(INDEX($B169:$D169,N$5)="F",AND(N$6&gt;0,$A169&lt;N$6),AND(N$7&gt;0,$A169&gt;N$7)),0,MAX(0,ROUND((INDEX($E169:$G169,N$5)-SUMIFS(TF_Timer,TF_Tekniker,N$4,TF_Dato,$A169))*2,0)/2)))</f>
        <v/>
      </c>
      <c r="O169">
        <f>IF(OR(O$4="",$A169&gt;TODAY()),0,IF(OR(INDEX($B169:$D169,O$5)="F",AND(O$6&gt;0,$A169&lt;O$6),AND(O$7&gt;0,$A169&gt;O$7)),0,MAX(0,ROUND((INDEX($E169:$G169,O$5)-SUMIFS(TF_Timer,TF_Tekniker,O$4,TF_Dato,$A169))*2,0)/2)))</f>
        <v/>
      </c>
      <c r="P169">
        <f>IF(OR(P$4="",$A169&gt;TODAY()),0,IF(OR(INDEX($B169:$D169,P$5)="F",AND(P$6&gt;0,$A169&lt;P$6),AND(P$7&gt;0,$A169&gt;P$7)),0,MAX(0,ROUND((INDEX($E169:$G169,P$5)-SUMIFS(TF_Timer,TF_Tekniker,P$4,TF_Dato,$A169))*2,0)/2)))</f>
        <v/>
      </c>
      <c r="Q169">
        <f>IF(OR(Q$4="",$A169&gt;TODAY()),0,IF(OR(INDEX($B169:$D169,Q$5)="F",AND(Q$6&gt;0,$A169&lt;Q$6),AND(Q$7&gt;0,$A169&gt;Q$7)),0,MAX(0,ROUND((INDEX($E169:$G169,Q$5)-SUMIFS(TF_Timer,TF_Tekniker,Q$4,TF_Dato,$A169))*2,0)/2)))</f>
        <v/>
      </c>
      <c r="R169">
        <f>IF(OR(R$4="",$A169&gt;TODAY()),0,IF(OR(INDEX($B169:$D169,R$5)="F",AND(R$6&gt;0,$A169&lt;R$6),AND(R$7&gt;0,$A169&gt;R$7)),0,MAX(0,ROUND((INDEX($E169:$G169,R$5)-SUMIFS(TF_Timer,TF_Tekniker,R$4,TF_Dato,$A169))*2,0)/2)))</f>
        <v/>
      </c>
      <c r="S169">
        <f>IF(OR(S$4="",$A169&gt;TODAY()),0,IF(OR(INDEX($B169:$D169,S$5)="F",AND(S$6&gt;0,$A169&lt;S$6),AND(S$7&gt;0,$A169&gt;S$7)),0,MAX(0,ROUND((INDEX($E169:$G169,S$5)-SUMIFS(TF_Timer,TF_Tekniker,S$4,TF_Dato,$A169))*2,0)/2)))</f>
        <v/>
      </c>
      <c r="T169">
        <f>IF(OR(T$4="",$A169&gt;TODAY()),0,IF(OR(INDEX($B169:$D169,T$5)="F",AND(T$6&gt;0,$A169&lt;T$6),AND(T$7&gt;0,$A169&gt;T$7)),0,MAX(0,ROUND((INDEX($E169:$G169,T$5)-SUMIFS(TF_Timer,TF_Tekniker,T$4,TF_Dato,$A169))*2,0)/2)))</f>
        <v/>
      </c>
      <c r="U169">
        <f>IF(OR(U$4="",$A169&gt;TODAY()),0,IF(OR(INDEX($B169:$D169,U$5)="F",AND(U$6&gt;0,$A169&lt;U$6),AND(U$7&gt;0,$A169&gt;U$7)),0,MAX(0,ROUND((INDEX($E169:$G169,U$5)-SUMIFS(TF_Timer,TF_Tekniker,U$4,TF_Dato,$A169))*2,0)/2)))</f>
        <v/>
      </c>
      <c r="V169">
        <f>IF(OR(V$4="",$A169&gt;TODAY()),0,IF(OR(INDEX($B169:$D169,V$5)="F",AND(V$6&gt;0,$A169&lt;V$6),AND(V$7&gt;0,$A169&gt;V$7)),0,MAX(0,ROUND((INDEX($E169:$G169,V$5)-SUMIFS(TF_Timer,TF_Tekniker,V$4,TF_Dato,$A169))*2,0)/2)))</f>
        <v/>
      </c>
      <c r="W169">
        <f>IF(OR(W$4="",$A169&gt;TODAY()),0,IF(OR(INDEX($B169:$D169,W$5)="F",AND(W$6&gt;0,$A169&lt;W$6),AND(W$7&gt;0,$A169&gt;W$7)),0,MAX(0,ROUND((INDEX($E169:$G169,W$5)-SUMIFS(TF_Timer,TF_Tekniker,W$4,TF_Dato,$A169))*2,0)/2)))</f>
        <v/>
      </c>
      <c r="X169">
        <f>IF(OR(X$4="",$A169&gt;TODAY()),0,IF(OR(INDEX($B169:$D169,X$5)="F",AND(X$6&gt;0,$A169&lt;X$6),AND(X$7&gt;0,$A169&gt;X$7)),0,MAX(0,ROUND((INDEX($E169:$G169,X$5)-SUMIFS(TF_Timer,TF_Tekniker,X$4,TF_Dato,$A169))*2,0)/2)))</f>
        <v/>
      </c>
      <c r="Y169">
        <f>IF(OR(Y$4="",$A169&gt;TODAY()),0,IF(OR(INDEX($B169:$D169,Y$5)="F",AND(Y$6&gt;0,$A169&lt;Y$6),AND(Y$7&gt;0,$A169&gt;Y$7)),0,MAX(0,ROUND((INDEX($E169:$G169,Y$5)-SUMIFS(TF_Timer,TF_Tekniker,Y$4,TF_Dato,$A169))*2,0)/2)))</f>
        <v/>
      </c>
      <c r="Z169">
        <f>IF(OR(Z$4="",$A169&gt;TODAY()),0,IF(OR(INDEX($B169:$D169,Z$5)="F",AND(Z$6&gt;0,$A169&lt;Z$6),AND(Z$7&gt;0,$A169&gt;Z$7)),0,MAX(0,ROUND((INDEX($E169:$G169,Z$5)-SUMIFS(TF_Timer,TF_Tekniker,Z$4,TF_Dato,$A169))*2,0)/2)))</f>
        <v/>
      </c>
      <c r="AA169">
        <f>IF(OR(AA$4="",$A169&gt;TODAY()),0,IF(OR(INDEX($B169:$D169,AA$5)="F",AND(AA$6&gt;0,$A169&lt;AA$6),AND(AA$7&gt;0,$A169&gt;AA$7)),0,MAX(0,ROUND((INDEX($E169:$G169,AA$5)-SUMIFS(TF_Timer,TF_Tekniker,AA$4,TF_Dato,$A169))*2,0)/2)))</f>
        <v/>
      </c>
      <c r="AB169">
        <f>IF(OR(AB$4="",$A169&gt;TODAY()),0,IF(OR(INDEX($B169:$D169,AB$5)="F",AND(AB$6&gt;0,$A169&lt;AB$6),AND(AB$7&gt;0,$A169&gt;AB$7)),0,MAX(0,ROUND((INDEX($E169:$G169,AB$5)-SUMIFS(TF_Timer,TF_Tekniker,AB$4,TF_Dato,$A169))*2,0)/2)))</f>
        <v/>
      </c>
      <c r="AC169">
        <f>IF(OR(AC$4="",$A169&gt;TODAY()),0,IF(OR(INDEX($B169:$D169,AC$5)="F",AND(AC$6&gt;0,$A169&lt;AC$6),AND(AC$7&gt;0,$A169&gt;AC$7)),0,MAX(0,ROUND((INDEX($E169:$G169,AC$5)-SUMIFS(TF_Timer,TF_Tekniker,AC$4,TF_Dato,$A169))*2,0)/2)))</f>
        <v/>
      </c>
      <c r="AD169">
        <f>IF(OR(AD$4="",$A169&gt;TODAY()),0,IF(OR(INDEX($B169:$D169,AD$5)="F",AND(AD$6&gt;0,$A169&lt;AD$6),AND(AD$7&gt;0,$A169&gt;AD$7)),0,MAX(0,ROUND((INDEX($E169:$G169,AD$5)-SUMIFS(TF_Timer,TF_Tekniker,AD$4,TF_Dato,$A169))*2,0)/2)))</f>
        <v/>
      </c>
      <c r="AE169">
        <f>IF(OR(AE$4="",$A169&gt;TODAY()),0,IF(OR(INDEX($B169:$D169,AE$5)="F",AND(AE$6&gt;0,$A169&lt;AE$6),AND(AE$7&gt;0,$A169&gt;AE$7)),0,MAX(0,ROUND((INDEX($E169:$G169,AE$5)-SUMIFS(TF_Timer,TF_Tekniker,AE$4,TF_Dato,$A169))*2,0)/2)))</f>
        <v/>
      </c>
      <c r="AF169">
        <f>IF(OR(AF$4="",$A169&gt;TODAY()),0,IF(OR(INDEX($B169:$D169,AF$5)="F",AND(AF$6&gt;0,$A169&lt;AF$6),AND(AF$7&gt;0,$A169&gt;AF$7)),0,MAX(0,ROUND((INDEX($E169:$G169,AF$5)-SUMIFS(TF_Timer,TF_Tekniker,AF$4,TF_Dato,$A169))*2,0)/2)))</f>
        <v/>
      </c>
      <c r="AG169">
        <f>IF(OR(AG$4="",$A169&gt;TODAY()),0,IF(OR(INDEX($B169:$D169,AG$5)="F",AND(AG$6&gt;0,$A169&lt;AG$6),AND(AG$7&gt;0,$A169&gt;AG$7)),0,MAX(0,ROUND((INDEX($E169:$G169,AG$5)-SUMIFS(TF_Timer,TF_Tekniker,AG$4,TF_Dato,$A169))*2,0)/2)))</f>
        <v/>
      </c>
      <c r="AH169">
        <f>IF(OR(AH$4="",$A169&gt;TODAY()),0,IF(OR(INDEX($B169:$D169,AH$5)="F",AND(AH$6&gt;0,$A169&lt;AH$6),AND(AH$7&gt;0,$A169&gt;AH$7)),0,MAX(0,ROUND((INDEX($E169:$G169,AH$5)-SUMIFS(TF_Timer,TF_Tekniker,AH$4,TF_Dato,$A169))*2,0)/2)))</f>
        <v/>
      </c>
      <c r="AI169">
        <f>IF(OR(AI$4="",$A169&gt;TODAY()),0,IF(OR(INDEX($B169:$D169,AI$5)="F",AND(AI$6&gt;0,$A169&lt;AI$6),AND(AI$7&gt;0,$A169&gt;AI$7)),0,MAX(0,ROUND((INDEX($E169:$G169,AI$5)-SUMIFS(TF_Timer,TF_Tekniker,AI$4,TF_Dato,$A169))*2,0)/2)))</f>
        <v/>
      </c>
      <c r="AJ169">
        <f>IF(OR(AJ$4="",$A169&gt;TODAY()),0,IF(OR(INDEX($B169:$D169,AJ$5)="F",AND(AJ$6&gt;0,$A169&lt;AJ$6),AND(AJ$7&gt;0,$A169&gt;AJ$7)),0,MAX(0,ROUND((INDEX($E169:$G169,AJ$5)-SUMIFS(TF_Timer,TF_Tekniker,AJ$4,TF_Dato,$A169))*2,0)/2)))</f>
        <v/>
      </c>
      <c r="AK169">
        <f>IF(OR(AK$4="",$A169&gt;TODAY()),0,IF(OR(INDEX($B169:$D169,AK$5)="F",AND(AK$6&gt;0,$A169&lt;AK$6),AND(AK$7&gt;0,$A169&gt;AK$7)),0,MAX(0,ROUND((INDEX($E169:$G169,AK$5)-SUMIFS(TF_Timer,TF_Tekniker,AK$4,TF_Dato,$A169))*2,0)/2)))</f>
        <v/>
      </c>
      <c r="AL169">
        <f>IF(OR(AL$4="",$A169&gt;TODAY()),0,IF(OR(INDEX($B169:$D169,AL$5)="F",AND(AL$6&gt;0,$A169&lt;AL$6),AND(AL$7&gt;0,$A169&gt;AL$7)),0,MAX(0,ROUND((INDEX($E169:$G169,AL$5)-SUMIFS(TF_Timer,TF_Tekniker,AL$4,TF_Dato,$A169))*2,0)/2)))</f>
        <v/>
      </c>
      <c r="AM169">
        <f>IF(OR(AM$4="",$A169&gt;TODAY()),0,IF(OR(INDEX($B169:$D169,AM$5)="F",AND(AM$6&gt;0,$A169&lt;AM$6),AND(AM$7&gt;0,$A169&gt;AM$7)),0,MAX(0,ROUND((INDEX($E169:$G169,AM$5)-SUMIFS(TF_Timer,TF_Tekniker,AM$4,TF_Dato,$A169))*2,0)/2)))</f>
        <v/>
      </c>
      <c r="AN169">
        <f>IF(OR(AN$4="",$A169&gt;TODAY()),0,IF(OR(INDEX($B169:$D169,AN$5)="F",AND(AN$6&gt;0,$A169&lt;AN$6),AND(AN$7&gt;0,$A169&gt;AN$7)),0,MAX(0,ROUND((INDEX($E169:$G169,AN$5)-SUMIFS(TF_Timer,TF_Tekniker,AN$4,TF_Dato,$A169))*2,0)/2)))</f>
        <v/>
      </c>
      <c r="AO169">
        <f>IF(OR(AO$4="",$A169&gt;TODAY()),0,IF(OR(INDEX($B169:$D169,AO$5)="F",AND(AO$6&gt;0,$A169&lt;AO$6),AND(AO$7&gt;0,$A169&gt;AO$7)),0,MAX(0,ROUND((INDEX($E169:$G169,AO$5)-SUMIFS(TF_Timer,TF_Tekniker,AO$4,TF_Dato,$A169))*2,0)/2)))</f>
        <v/>
      </c>
      <c r="AP169">
        <f>IF(OR(AP$4="",$A169&gt;TODAY()),0,IF(OR(INDEX($B169:$D169,AP$5)="F",AND(AP$6&gt;0,$A169&lt;AP$6),AND(AP$7&gt;0,$A169&gt;AP$7)),0,MAX(0,ROUND((INDEX($E169:$G169,AP$5)-SUMIFS(TF_Timer,TF_Tekniker,AP$4,TF_Dato,$A169))*2,0)/2)))</f>
        <v/>
      </c>
      <c r="AQ169">
        <f>IF(OR(AQ$4="",$A169&gt;TODAY()),0,IF(OR(INDEX($B169:$D169,AQ$5)="F",AND(AQ$6&gt;0,$A169&lt;AQ$6),AND(AQ$7&gt;0,$A169&gt;AQ$7)),0,MAX(0,ROUND((INDEX($E169:$G169,AQ$5)-SUMIFS(TF_Timer,TF_Tekniker,AQ$4,TF_Dato,$A169))*2,0)/2)))</f>
        <v/>
      </c>
      <c r="AR169">
        <f>IF(OR(AR$4="",$A169&gt;TODAY()),0,IF(OR(INDEX($B169:$D169,AR$5)="F",AND(AR$6&gt;0,$A169&lt;AR$6),AND(AR$7&gt;0,$A169&gt;AR$7)),0,MAX(0,ROUND((INDEX($E169:$G169,AR$5)-SUMIFS(TF_Timer,TF_Tekniker,AR$4,TF_Dato,$A169))*2,0)/2)))</f>
        <v/>
      </c>
      <c r="AS169">
        <f>IF(OR(AS$4="",$A169&gt;TODAY()),0,IF(OR(INDEX($B169:$D169,AS$5)="F",AND(AS$6&gt;0,$A169&lt;AS$6),AND(AS$7&gt;0,$A169&gt;AS$7)),0,MAX(0,ROUND((INDEX($E169:$G169,AS$5)-SUMIFS(TF_Timer,TF_Tekniker,AS$4,TF_Dato,$A169))*2,0)/2)))</f>
        <v/>
      </c>
      <c r="AT169">
        <f>IF(OR(AT$4="",$A169&gt;TODAY()),0,IF(OR(INDEX($B169:$D169,AT$5)="F",AND(AT$6&gt;0,$A169&lt;AT$6),AND(AT$7&gt;0,$A169&gt;AT$7)),0,MAX(0,ROUND((INDEX($E169:$G169,AT$5)-SUMIFS(TF_Timer,TF_Tekniker,AT$4,TF_Dato,$A169))*2,0)/2)))</f>
        <v/>
      </c>
      <c r="AU169">
        <f>IF(OR(AU$4="",$A169&gt;TODAY()),0,IF(OR(INDEX($B169:$D169,AU$5)="F",AND(AU$6&gt;0,$A169&lt;AU$6),AND(AU$7&gt;0,$A169&gt;AU$7)),0,MAX(0,ROUND((INDEX($E169:$G169,AU$5)-SUMIFS(TF_Timer,TF_Tekniker,AU$4,TF_Dato,$A169))*2,0)/2)))</f>
        <v/>
      </c>
      <c r="AV169">
        <f>IF(OR(AV$4="",$A169&gt;TODAY()),0,IF(OR(INDEX($B169:$D169,AV$5)="F",AND(AV$6&gt;0,$A169&lt;AV$6),AND(AV$7&gt;0,$A169&gt;AV$7)),0,MAX(0,ROUND((INDEX($E169:$G169,AV$5)-SUMIFS(TF_Timer,TF_Tekniker,AV$4,TF_Dato,$A169))*2,0)/2)))</f>
        <v/>
      </c>
      <c r="AW169">
        <f>IF(OR(AW$4="",$A169&gt;TODAY()),0,IF(OR(INDEX($B169:$D169,AW$5)="F",AND(AW$6&gt;0,$A169&lt;AW$6),AND(AW$7&gt;0,$A169&gt;AW$7)),0,MAX(0,ROUND((INDEX($E169:$G169,AW$5)-SUMIFS(TF_Timer,TF_Tekniker,AW$4,TF_Dato,$A169))*2,0)/2)))</f>
        <v/>
      </c>
      <c r="AX169">
        <f>IF(OR(AX$4="",$A169&gt;TODAY()),0,IF(OR(INDEX($B169:$D169,AX$5)="F",AND(AX$6&gt;0,$A169&lt;AX$6),AND(AX$7&gt;0,$A169&gt;AX$7)),0,MAX(0,ROUND((INDEX($E169:$G169,AX$5)-SUMIFS(TF_Timer,TF_Tekniker,AX$4,TF_Dato,$A169))*2,0)/2)))</f>
        <v/>
      </c>
      <c r="AY169">
        <f>IF(OR(AY$4="",$A169&gt;TODAY()),0,IF(OR(INDEX($B169:$D169,AY$5)="F",AND(AY$6&gt;0,$A169&lt;AY$6),AND(AY$7&gt;0,$A169&gt;AY$7)),0,MAX(0,ROUND((INDEX($E169:$G169,AY$5)-SUMIFS(TF_Timer,TF_Tekniker,AY$4,TF_Dato,$A169))*2,0)/2)))</f>
        <v/>
      </c>
      <c r="AZ169">
        <f>IF(OR(AZ$4="",$A169&gt;TODAY()),0,IF(OR(INDEX($B169:$D169,AZ$5)="F",AND(AZ$6&gt;0,$A169&lt;AZ$6),AND(AZ$7&gt;0,$A169&gt;AZ$7)),0,MAX(0,ROUND((INDEX($E169:$G169,AZ$5)-SUMIFS(TF_Timer,TF_Tekniker,AZ$4,TF_Dato,$A169))*2,0)/2)))</f>
        <v/>
      </c>
      <c r="BA169">
        <f>IF(OR(BA$4="",$A169&gt;TODAY()),0,IF(OR(INDEX($B169:$D169,BA$5)="F",AND(BA$6&gt;0,$A169&lt;BA$6),AND(BA$7&gt;0,$A169&gt;BA$7)),0,MAX(0,ROUND((INDEX($E169:$G169,BA$5)-SUMIFS(TF_Timer,TF_Tekniker,BA$4,TF_Dato,$A169))*2,0)/2)))</f>
        <v/>
      </c>
      <c r="BB169">
        <f>IF(OR(BB$4="",$A169&gt;TODAY()),0,IF(OR(INDEX($B169:$D169,BB$5)="F",AND(BB$6&gt;0,$A169&lt;BB$6),AND(BB$7&gt;0,$A169&gt;BB$7)),0,MAX(0,ROUND((INDEX($E169:$G169,BB$5)-SUMIFS(TF_Timer,TF_Tekniker,BB$4,TF_Dato,$A169))*2,0)/2)))</f>
        <v/>
      </c>
      <c r="BC169">
        <f>IF(OR(BC$4="",$A169&gt;TODAY()),0,IF(OR(INDEX($B169:$D169,BC$5)="F",AND(BC$6&gt;0,$A169&lt;BC$6),AND(BC$7&gt;0,$A169&gt;BC$7)),0,MAX(0,ROUND((INDEX($E169:$G169,BC$5)-SUMIFS(TF_Timer,TF_Tekniker,BC$4,TF_Dato,$A169))*2,0)/2)))</f>
        <v/>
      </c>
      <c r="BD169">
        <f>IF(OR(BD$4="",$A169&gt;TODAY()),0,IF(OR(INDEX($B169:$D169,BD$5)="F",AND(BD$6&gt;0,$A169&lt;BD$6),AND(BD$7&gt;0,$A169&gt;BD$7)),0,MAX(0,ROUND((INDEX($E169:$G169,BD$5)-SUMIFS(TF_Timer,TF_Tekniker,BD$4,TF_Dato,$A169))*2,0)/2)))</f>
        <v/>
      </c>
      <c r="BE169">
        <f>IF(OR(BE$4="",$A169&gt;TODAY()),0,IF(OR(INDEX($B169:$D169,BE$5)="F",AND(BE$6&gt;0,$A169&lt;BE$6),AND(BE$7&gt;0,$A169&gt;BE$7)),0,MAX(0,ROUND((INDEX($E169:$G169,BE$5)-SUMIFS(TF_Timer,TF_Tekniker,BE$4,TF_Dato,$A169))*2,0)/2)))</f>
        <v/>
      </c>
      <c r="BF169">
        <f>IF(OR(BF$4="",$A169&gt;TODAY()),0,IF(OR(INDEX($B169:$D169,BF$5)="F",AND(BF$6&gt;0,$A169&lt;BF$6),AND(BF$7&gt;0,$A169&gt;BF$7)),0,MAX(0,ROUND((INDEX($E169:$G169,BF$5)-SUMIFS(TF_Timer,TF_Tekniker,BF$4,TF_Dato,$A169))*2,0)/2)))</f>
        <v/>
      </c>
      <c r="BG169">
        <f>IF(OR(BG$4="",$A169&gt;TODAY()),0,IF(OR(INDEX($B169:$D169,BG$5)="F",AND(BG$6&gt;0,$A169&lt;BG$6),AND(BG$7&gt;0,$A169&gt;BG$7)),0,MAX(0,ROUND((INDEX($E169:$G169,BG$5)-SUMIFS(TF_Timer,TF_Tekniker,BG$4,TF_Dato,$A169))*2,0)/2)))</f>
        <v/>
      </c>
      <c r="BH169">
        <f>IF(OR(BH$4="",$A169&gt;TODAY()),0,IF(OR(INDEX($B169:$D169,BH$5)="F",AND(BH$6&gt;0,$A169&lt;BH$6),AND(BH$7&gt;0,$A169&gt;BH$7)),0,MAX(0,ROUND((INDEX($E169:$G169,BH$5)-SUMIFS(TF_Timer,TF_Tekniker,BH$4,TF_Dato,$A169))*2,0)/2)))</f>
        <v/>
      </c>
      <c r="BI169">
        <f>IF(OR(BI$4="",$A169&gt;TODAY()),0,IF(OR(INDEX($B169:$D169,BI$5)="F",AND(BI$6&gt;0,$A169&lt;BI$6),AND(BI$7&gt;0,$A169&gt;BI$7)),0,MAX(0,ROUND((INDEX($E169:$G169,BI$5)-SUMIFS(TF_Timer,TF_Tekniker,BI$4,TF_Dato,$A169))*2,0)/2)))</f>
        <v/>
      </c>
    </row>
    <row r="170">
      <c r="A170" s="64">
        <f>A169+1</f>
        <v/>
      </c>
      <c r="B170">
        <f>IF(MOD($A170-INDEX(SkiftStart,1),Syklus)&lt;DagK,"K",IF(MOD($A170-INDEX(SkiftStart,1),Syklus)&lt;DagK+DagH,"H",IF(MOD($A170-INDEX(SkiftStart,1),Syklus)&lt;DagK+DagH+DagD,"D","F")))</f>
        <v/>
      </c>
      <c r="C170">
        <f>IF(MOD($A170-INDEX(SkiftStart,2),Syklus)&lt;DagK,"K",IF(MOD($A170-INDEX(SkiftStart,2),Syklus)&lt;DagK+DagH,"H",IF(MOD($A170-INDEX(SkiftStart,2),Syklus)&lt;DagK+DagH+DagD,"D","F")))</f>
        <v/>
      </c>
      <c r="D170">
        <f>IF(MOD($A170-INDEX(SkiftStart,3),Syklus)&lt;DagK,"K",IF(MOD($A170-INDEX(SkiftStart,3),Syklus)&lt;DagK+DagH,"H",IF(MOD($A170-INDEX(SkiftStart,3),Syklus)&lt;DagK+DagH+DagD,"D","F")))</f>
        <v/>
      </c>
      <c r="E170">
        <f>IF(B170="F",0,IF(WEEKDAY($A170,2)=5,INDEX(TimerFr,MATCH(B170,FaseKode,0)),INDEX(TimerMT,MATCH(B170,FaseKode,0))))</f>
        <v/>
      </c>
      <c r="F170">
        <f>IF(C170="F",0,IF(WEEKDAY($A170,2)=5,INDEX(TimerFr,MATCH(C170,FaseKode,0)),INDEX(TimerMT,MATCH(C170,FaseKode,0))))</f>
        <v/>
      </c>
      <c r="G170">
        <f>IF(D170="F",0,IF(WEEKDAY($A170,2)=5,INDEX(TimerFr,MATCH(D170,FaseKode,0)),INDEX(TimerMT,MATCH(D170,FaseKode,0))))</f>
        <v/>
      </c>
      <c r="H170">
        <f>IF(OR(H$4="",$A170&gt;TODAY()),0,IF(OR(INDEX($B170:$D170,H$5)="F",AND(H$6&gt;0,$A170&lt;H$6),AND(H$7&gt;0,$A170&gt;H$7)),0,MAX(0,ROUND((INDEX($E170:$G170,H$5)-SUMIFS(TF_Timer,TF_Tekniker,H$4,TF_Dato,$A170))*2,0)/2)))</f>
        <v/>
      </c>
      <c r="I170">
        <f>IF(OR(I$4="",$A170&gt;TODAY()),0,IF(OR(INDEX($B170:$D170,I$5)="F",AND(I$6&gt;0,$A170&lt;I$6),AND(I$7&gt;0,$A170&gt;I$7)),0,MAX(0,ROUND((INDEX($E170:$G170,I$5)-SUMIFS(TF_Timer,TF_Tekniker,I$4,TF_Dato,$A170))*2,0)/2)))</f>
        <v/>
      </c>
      <c r="J170">
        <f>IF(OR(J$4="",$A170&gt;TODAY()),0,IF(OR(INDEX($B170:$D170,J$5)="F",AND(J$6&gt;0,$A170&lt;J$6),AND(J$7&gt;0,$A170&gt;J$7)),0,MAX(0,ROUND((INDEX($E170:$G170,J$5)-SUMIFS(TF_Timer,TF_Tekniker,J$4,TF_Dato,$A170))*2,0)/2)))</f>
        <v/>
      </c>
      <c r="K170">
        <f>IF(OR(K$4="",$A170&gt;TODAY()),0,IF(OR(INDEX($B170:$D170,K$5)="F",AND(K$6&gt;0,$A170&lt;K$6),AND(K$7&gt;0,$A170&gt;K$7)),0,MAX(0,ROUND((INDEX($E170:$G170,K$5)-SUMIFS(TF_Timer,TF_Tekniker,K$4,TF_Dato,$A170))*2,0)/2)))</f>
        <v/>
      </c>
      <c r="L170">
        <f>IF(OR(L$4="",$A170&gt;TODAY()),0,IF(OR(INDEX($B170:$D170,L$5)="F",AND(L$6&gt;0,$A170&lt;L$6),AND(L$7&gt;0,$A170&gt;L$7)),0,MAX(0,ROUND((INDEX($E170:$G170,L$5)-SUMIFS(TF_Timer,TF_Tekniker,L$4,TF_Dato,$A170))*2,0)/2)))</f>
        <v/>
      </c>
      <c r="M170">
        <f>IF(OR(M$4="",$A170&gt;TODAY()),0,IF(OR(INDEX($B170:$D170,M$5)="F",AND(M$6&gt;0,$A170&lt;M$6),AND(M$7&gt;0,$A170&gt;M$7)),0,MAX(0,ROUND((INDEX($E170:$G170,M$5)-SUMIFS(TF_Timer,TF_Tekniker,M$4,TF_Dato,$A170))*2,0)/2)))</f>
        <v/>
      </c>
      <c r="N170">
        <f>IF(OR(N$4="",$A170&gt;TODAY()),0,IF(OR(INDEX($B170:$D170,N$5)="F",AND(N$6&gt;0,$A170&lt;N$6),AND(N$7&gt;0,$A170&gt;N$7)),0,MAX(0,ROUND((INDEX($E170:$G170,N$5)-SUMIFS(TF_Timer,TF_Tekniker,N$4,TF_Dato,$A170))*2,0)/2)))</f>
        <v/>
      </c>
      <c r="O170">
        <f>IF(OR(O$4="",$A170&gt;TODAY()),0,IF(OR(INDEX($B170:$D170,O$5)="F",AND(O$6&gt;0,$A170&lt;O$6),AND(O$7&gt;0,$A170&gt;O$7)),0,MAX(0,ROUND((INDEX($E170:$G170,O$5)-SUMIFS(TF_Timer,TF_Tekniker,O$4,TF_Dato,$A170))*2,0)/2)))</f>
        <v/>
      </c>
      <c r="P170">
        <f>IF(OR(P$4="",$A170&gt;TODAY()),0,IF(OR(INDEX($B170:$D170,P$5)="F",AND(P$6&gt;0,$A170&lt;P$6),AND(P$7&gt;0,$A170&gt;P$7)),0,MAX(0,ROUND((INDEX($E170:$G170,P$5)-SUMIFS(TF_Timer,TF_Tekniker,P$4,TF_Dato,$A170))*2,0)/2)))</f>
        <v/>
      </c>
      <c r="Q170">
        <f>IF(OR(Q$4="",$A170&gt;TODAY()),0,IF(OR(INDEX($B170:$D170,Q$5)="F",AND(Q$6&gt;0,$A170&lt;Q$6),AND(Q$7&gt;0,$A170&gt;Q$7)),0,MAX(0,ROUND((INDEX($E170:$G170,Q$5)-SUMIFS(TF_Timer,TF_Tekniker,Q$4,TF_Dato,$A170))*2,0)/2)))</f>
        <v/>
      </c>
      <c r="R170">
        <f>IF(OR(R$4="",$A170&gt;TODAY()),0,IF(OR(INDEX($B170:$D170,R$5)="F",AND(R$6&gt;0,$A170&lt;R$6),AND(R$7&gt;0,$A170&gt;R$7)),0,MAX(0,ROUND((INDEX($E170:$G170,R$5)-SUMIFS(TF_Timer,TF_Tekniker,R$4,TF_Dato,$A170))*2,0)/2)))</f>
        <v/>
      </c>
      <c r="S170">
        <f>IF(OR(S$4="",$A170&gt;TODAY()),0,IF(OR(INDEX($B170:$D170,S$5)="F",AND(S$6&gt;0,$A170&lt;S$6),AND(S$7&gt;0,$A170&gt;S$7)),0,MAX(0,ROUND((INDEX($E170:$G170,S$5)-SUMIFS(TF_Timer,TF_Tekniker,S$4,TF_Dato,$A170))*2,0)/2)))</f>
        <v/>
      </c>
      <c r="T170">
        <f>IF(OR(T$4="",$A170&gt;TODAY()),0,IF(OR(INDEX($B170:$D170,T$5)="F",AND(T$6&gt;0,$A170&lt;T$6),AND(T$7&gt;0,$A170&gt;T$7)),0,MAX(0,ROUND((INDEX($E170:$G170,T$5)-SUMIFS(TF_Timer,TF_Tekniker,T$4,TF_Dato,$A170))*2,0)/2)))</f>
        <v/>
      </c>
      <c r="U170">
        <f>IF(OR(U$4="",$A170&gt;TODAY()),0,IF(OR(INDEX($B170:$D170,U$5)="F",AND(U$6&gt;0,$A170&lt;U$6),AND(U$7&gt;0,$A170&gt;U$7)),0,MAX(0,ROUND((INDEX($E170:$G170,U$5)-SUMIFS(TF_Timer,TF_Tekniker,U$4,TF_Dato,$A170))*2,0)/2)))</f>
        <v/>
      </c>
      <c r="V170">
        <f>IF(OR(V$4="",$A170&gt;TODAY()),0,IF(OR(INDEX($B170:$D170,V$5)="F",AND(V$6&gt;0,$A170&lt;V$6),AND(V$7&gt;0,$A170&gt;V$7)),0,MAX(0,ROUND((INDEX($E170:$G170,V$5)-SUMIFS(TF_Timer,TF_Tekniker,V$4,TF_Dato,$A170))*2,0)/2)))</f>
        <v/>
      </c>
      <c r="W170">
        <f>IF(OR(W$4="",$A170&gt;TODAY()),0,IF(OR(INDEX($B170:$D170,W$5)="F",AND(W$6&gt;0,$A170&lt;W$6),AND(W$7&gt;0,$A170&gt;W$7)),0,MAX(0,ROUND((INDEX($E170:$G170,W$5)-SUMIFS(TF_Timer,TF_Tekniker,W$4,TF_Dato,$A170))*2,0)/2)))</f>
        <v/>
      </c>
      <c r="X170">
        <f>IF(OR(X$4="",$A170&gt;TODAY()),0,IF(OR(INDEX($B170:$D170,X$5)="F",AND(X$6&gt;0,$A170&lt;X$6),AND(X$7&gt;0,$A170&gt;X$7)),0,MAX(0,ROUND((INDEX($E170:$G170,X$5)-SUMIFS(TF_Timer,TF_Tekniker,X$4,TF_Dato,$A170))*2,0)/2)))</f>
        <v/>
      </c>
      <c r="Y170">
        <f>IF(OR(Y$4="",$A170&gt;TODAY()),0,IF(OR(INDEX($B170:$D170,Y$5)="F",AND(Y$6&gt;0,$A170&lt;Y$6),AND(Y$7&gt;0,$A170&gt;Y$7)),0,MAX(0,ROUND((INDEX($E170:$G170,Y$5)-SUMIFS(TF_Timer,TF_Tekniker,Y$4,TF_Dato,$A170))*2,0)/2)))</f>
        <v/>
      </c>
      <c r="Z170">
        <f>IF(OR(Z$4="",$A170&gt;TODAY()),0,IF(OR(INDEX($B170:$D170,Z$5)="F",AND(Z$6&gt;0,$A170&lt;Z$6),AND(Z$7&gt;0,$A170&gt;Z$7)),0,MAX(0,ROUND((INDEX($E170:$G170,Z$5)-SUMIFS(TF_Timer,TF_Tekniker,Z$4,TF_Dato,$A170))*2,0)/2)))</f>
        <v/>
      </c>
      <c r="AA170">
        <f>IF(OR(AA$4="",$A170&gt;TODAY()),0,IF(OR(INDEX($B170:$D170,AA$5)="F",AND(AA$6&gt;0,$A170&lt;AA$6),AND(AA$7&gt;0,$A170&gt;AA$7)),0,MAX(0,ROUND((INDEX($E170:$G170,AA$5)-SUMIFS(TF_Timer,TF_Tekniker,AA$4,TF_Dato,$A170))*2,0)/2)))</f>
        <v/>
      </c>
      <c r="AB170">
        <f>IF(OR(AB$4="",$A170&gt;TODAY()),0,IF(OR(INDEX($B170:$D170,AB$5)="F",AND(AB$6&gt;0,$A170&lt;AB$6),AND(AB$7&gt;0,$A170&gt;AB$7)),0,MAX(0,ROUND((INDEX($E170:$G170,AB$5)-SUMIFS(TF_Timer,TF_Tekniker,AB$4,TF_Dato,$A170))*2,0)/2)))</f>
        <v/>
      </c>
      <c r="AC170">
        <f>IF(OR(AC$4="",$A170&gt;TODAY()),0,IF(OR(INDEX($B170:$D170,AC$5)="F",AND(AC$6&gt;0,$A170&lt;AC$6),AND(AC$7&gt;0,$A170&gt;AC$7)),0,MAX(0,ROUND((INDEX($E170:$G170,AC$5)-SUMIFS(TF_Timer,TF_Tekniker,AC$4,TF_Dato,$A170))*2,0)/2)))</f>
        <v/>
      </c>
      <c r="AD170">
        <f>IF(OR(AD$4="",$A170&gt;TODAY()),0,IF(OR(INDEX($B170:$D170,AD$5)="F",AND(AD$6&gt;0,$A170&lt;AD$6),AND(AD$7&gt;0,$A170&gt;AD$7)),0,MAX(0,ROUND((INDEX($E170:$G170,AD$5)-SUMIFS(TF_Timer,TF_Tekniker,AD$4,TF_Dato,$A170))*2,0)/2)))</f>
        <v/>
      </c>
      <c r="AE170">
        <f>IF(OR(AE$4="",$A170&gt;TODAY()),0,IF(OR(INDEX($B170:$D170,AE$5)="F",AND(AE$6&gt;0,$A170&lt;AE$6),AND(AE$7&gt;0,$A170&gt;AE$7)),0,MAX(0,ROUND((INDEX($E170:$G170,AE$5)-SUMIFS(TF_Timer,TF_Tekniker,AE$4,TF_Dato,$A170))*2,0)/2)))</f>
        <v/>
      </c>
      <c r="AF170">
        <f>IF(OR(AF$4="",$A170&gt;TODAY()),0,IF(OR(INDEX($B170:$D170,AF$5)="F",AND(AF$6&gt;0,$A170&lt;AF$6),AND(AF$7&gt;0,$A170&gt;AF$7)),0,MAX(0,ROUND((INDEX($E170:$G170,AF$5)-SUMIFS(TF_Timer,TF_Tekniker,AF$4,TF_Dato,$A170))*2,0)/2)))</f>
        <v/>
      </c>
      <c r="AG170">
        <f>IF(OR(AG$4="",$A170&gt;TODAY()),0,IF(OR(INDEX($B170:$D170,AG$5)="F",AND(AG$6&gt;0,$A170&lt;AG$6),AND(AG$7&gt;0,$A170&gt;AG$7)),0,MAX(0,ROUND((INDEX($E170:$G170,AG$5)-SUMIFS(TF_Timer,TF_Tekniker,AG$4,TF_Dato,$A170))*2,0)/2)))</f>
        <v/>
      </c>
      <c r="AH170">
        <f>IF(OR(AH$4="",$A170&gt;TODAY()),0,IF(OR(INDEX($B170:$D170,AH$5)="F",AND(AH$6&gt;0,$A170&lt;AH$6),AND(AH$7&gt;0,$A170&gt;AH$7)),0,MAX(0,ROUND((INDEX($E170:$G170,AH$5)-SUMIFS(TF_Timer,TF_Tekniker,AH$4,TF_Dato,$A170))*2,0)/2)))</f>
        <v/>
      </c>
      <c r="AI170">
        <f>IF(OR(AI$4="",$A170&gt;TODAY()),0,IF(OR(INDEX($B170:$D170,AI$5)="F",AND(AI$6&gt;0,$A170&lt;AI$6),AND(AI$7&gt;0,$A170&gt;AI$7)),0,MAX(0,ROUND((INDEX($E170:$G170,AI$5)-SUMIFS(TF_Timer,TF_Tekniker,AI$4,TF_Dato,$A170))*2,0)/2)))</f>
        <v/>
      </c>
      <c r="AJ170">
        <f>IF(OR(AJ$4="",$A170&gt;TODAY()),0,IF(OR(INDEX($B170:$D170,AJ$5)="F",AND(AJ$6&gt;0,$A170&lt;AJ$6),AND(AJ$7&gt;0,$A170&gt;AJ$7)),0,MAX(0,ROUND((INDEX($E170:$G170,AJ$5)-SUMIFS(TF_Timer,TF_Tekniker,AJ$4,TF_Dato,$A170))*2,0)/2)))</f>
        <v/>
      </c>
      <c r="AK170">
        <f>IF(OR(AK$4="",$A170&gt;TODAY()),0,IF(OR(INDEX($B170:$D170,AK$5)="F",AND(AK$6&gt;0,$A170&lt;AK$6),AND(AK$7&gt;0,$A170&gt;AK$7)),0,MAX(0,ROUND((INDEX($E170:$G170,AK$5)-SUMIFS(TF_Timer,TF_Tekniker,AK$4,TF_Dato,$A170))*2,0)/2)))</f>
        <v/>
      </c>
      <c r="AL170">
        <f>IF(OR(AL$4="",$A170&gt;TODAY()),0,IF(OR(INDEX($B170:$D170,AL$5)="F",AND(AL$6&gt;0,$A170&lt;AL$6),AND(AL$7&gt;0,$A170&gt;AL$7)),0,MAX(0,ROUND((INDEX($E170:$G170,AL$5)-SUMIFS(TF_Timer,TF_Tekniker,AL$4,TF_Dato,$A170))*2,0)/2)))</f>
        <v/>
      </c>
      <c r="AM170">
        <f>IF(OR(AM$4="",$A170&gt;TODAY()),0,IF(OR(INDEX($B170:$D170,AM$5)="F",AND(AM$6&gt;0,$A170&lt;AM$6),AND(AM$7&gt;0,$A170&gt;AM$7)),0,MAX(0,ROUND((INDEX($E170:$G170,AM$5)-SUMIFS(TF_Timer,TF_Tekniker,AM$4,TF_Dato,$A170))*2,0)/2)))</f>
        <v/>
      </c>
      <c r="AN170">
        <f>IF(OR(AN$4="",$A170&gt;TODAY()),0,IF(OR(INDEX($B170:$D170,AN$5)="F",AND(AN$6&gt;0,$A170&lt;AN$6),AND(AN$7&gt;0,$A170&gt;AN$7)),0,MAX(0,ROUND((INDEX($E170:$G170,AN$5)-SUMIFS(TF_Timer,TF_Tekniker,AN$4,TF_Dato,$A170))*2,0)/2)))</f>
        <v/>
      </c>
      <c r="AO170">
        <f>IF(OR(AO$4="",$A170&gt;TODAY()),0,IF(OR(INDEX($B170:$D170,AO$5)="F",AND(AO$6&gt;0,$A170&lt;AO$6),AND(AO$7&gt;0,$A170&gt;AO$7)),0,MAX(0,ROUND((INDEX($E170:$G170,AO$5)-SUMIFS(TF_Timer,TF_Tekniker,AO$4,TF_Dato,$A170))*2,0)/2)))</f>
        <v/>
      </c>
      <c r="AP170">
        <f>IF(OR(AP$4="",$A170&gt;TODAY()),0,IF(OR(INDEX($B170:$D170,AP$5)="F",AND(AP$6&gt;0,$A170&lt;AP$6),AND(AP$7&gt;0,$A170&gt;AP$7)),0,MAX(0,ROUND((INDEX($E170:$G170,AP$5)-SUMIFS(TF_Timer,TF_Tekniker,AP$4,TF_Dato,$A170))*2,0)/2)))</f>
        <v/>
      </c>
      <c r="AQ170">
        <f>IF(OR(AQ$4="",$A170&gt;TODAY()),0,IF(OR(INDEX($B170:$D170,AQ$5)="F",AND(AQ$6&gt;0,$A170&lt;AQ$6),AND(AQ$7&gt;0,$A170&gt;AQ$7)),0,MAX(0,ROUND((INDEX($E170:$G170,AQ$5)-SUMIFS(TF_Timer,TF_Tekniker,AQ$4,TF_Dato,$A170))*2,0)/2)))</f>
        <v/>
      </c>
      <c r="AR170">
        <f>IF(OR(AR$4="",$A170&gt;TODAY()),0,IF(OR(INDEX($B170:$D170,AR$5)="F",AND(AR$6&gt;0,$A170&lt;AR$6),AND(AR$7&gt;0,$A170&gt;AR$7)),0,MAX(0,ROUND((INDEX($E170:$G170,AR$5)-SUMIFS(TF_Timer,TF_Tekniker,AR$4,TF_Dato,$A170))*2,0)/2)))</f>
        <v/>
      </c>
      <c r="AS170">
        <f>IF(OR(AS$4="",$A170&gt;TODAY()),0,IF(OR(INDEX($B170:$D170,AS$5)="F",AND(AS$6&gt;0,$A170&lt;AS$6),AND(AS$7&gt;0,$A170&gt;AS$7)),0,MAX(0,ROUND((INDEX($E170:$G170,AS$5)-SUMIFS(TF_Timer,TF_Tekniker,AS$4,TF_Dato,$A170))*2,0)/2)))</f>
        <v/>
      </c>
      <c r="AT170">
        <f>IF(OR(AT$4="",$A170&gt;TODAY()),0,IF(OR(INDEX($B170:$D170,AT$5)="F",AND(AT$6&gt;0,$A170&lt;AT$6),AND(AT$7&gt;0,$A170&gt;AT$7)),0,MAX(0,ROUND((INDEX($E170:$G170,AT$5)-SUMIFS(TF_Timer,TF_Tekniker,AT$4,TF_Dato,$A170))*2,0)/2)))</f>
        <v/>
      </c>
      <c r="AU170">
        <f>IF(OR(AU$4="",$A170&gt;TODAY()),0,IF(OR(INDEX($B170:$D170,AU$5)="F",AND(AU$6&gt;0,$A170&lt;AU$6),AND(AU$7&gt;0,$A170&gt;AU$7)),0,MAX(0,ROUND((INDEX($E170:$G170,AU$5)-SUMIFS(TF_Timer,TF_Tekniker,AU$4,TF_Dato,$A170))*2,0)/2)))</f>
        <v/>
      </c>
      <c r="AV170">
        <f>IF(OR(AV$4="",$A170&gt;TODAY()),0,IF(OR(INDEX($B170:$D170,AV$5)="F",AND(AV$6&gt;0,$A170&lt;AV$6),AND(AV$7&gt;0,$A170&gt;AV$7)),0,MAX(0,ROUND((INDEX($E170:$G170,AV$5)-SUMIFS(TF_Timer,TF_Tekniker,AV$4,TF_Dato,$A170))*2,0)/2)))</f>
        <v/>
      </c>
      <c r="AW170">
        <f>IF(OR(AW$4="",$A170&gt;TODAY()),0,IF(OR(INDEX($B170:$D170,AW$5)="F",AND(AW$6&gt;0,$A170&lt;AW$6),AND(AW$7&gt;0,$A170&gt;AW$7)),0,MAX(0,ROUND((INDEX($E170:$G170,AW$5)-SUMIFS(TF_Timer,TF_Tekniker,AW$4,TF_Dato,$A170))*2,0)/2)))</f>
        <v/>
      </c>
      <c r="AX170">
        <f>IF(OR(AX$4="",$A170&gt;TODAY()),0,IF(OR(INDEX($B170:$D170,AX$5)="F",AND(AX$6&gt;0,$A170&lt;AX$6),AND(AX$7&gt;0,$A170&gt;AX$7)),0,MAX(0,ROUND((INDEX($E170:$G170,AX$5)-SUMIFS(TF_Timer,TF_Tekniker,AX$4,TF_Dato,$A170))*2,0)/2)))</f>
        <v/>
      </c>
      <c r="AY170">
        <f>IF(OR(AY$4="",$A170&gt;TODAY()),0,IF(OR(INDEX($B170:$D170,AY$5)="F",AND(AY$6&gt;0,$A170&lt;AY$6),AND(AY$7&gt;0,$A170&gt;AY$7)),0,MAX(0,ROUND((INDEX($E170:$G170,AY$5)-SUMIFS(TF_Timer,TF_Tekniker,AY$4,TF_Dato,$A170))*2,0)/2)))</f>
        <v/>
      </c>
      <c r="AZ170">
        <f>IF(OR(AZ$4="",$A170&gt;TODAY()),0,IF(OR(INDEX($B170:$D170,AZ$5)="F",AND(AZ$6&gt;0,$A170&lt;AZ$6),AND(AZ$7&gt;0,$A170&gt;AZ$7)),0,MAX(0,ROUND((INDEX($E170:$G170,AZ$5)-SUMIFS(TF_Timer,TF_Tekniker,AZ$4,TF_Dato,$A170))*2,0)/2)))</f>
        <v/>
      </c>
      <c r="BA170">
        <f>IF(OR(BA$4="",$A170&gt;TODAY()),0,IF(OR(INDEX($B170:$D170,BA$5)="F",AND(BA$6&gt;0,$A170&lt;BA$6),AND(BA$7&gt;0,$A170&gt;BA$7)),0,MAX(0,ROUND((INDEX($E170:$G170,BA$5)-SUMIFS(TF_Timer,TF_Tekniker,BA$4,TF_Dato,$A170))*2,0)/2)))</f>
        <v/>
      </c>
      <c r="BB170">
        <f>IF(OR(BB$4="",$A170&gt;TODAY()),0,IF(OR(INDEX($B170:$D170,BB$5)="F",AND(BB$6&gt;0,$A170&lt;BB$6),AND(BB$7&gt;0,$A170&gt;BB$7)),0,MAX(0,ROUND((INDEX($E170:$G170,BB$5)-SUMIFS(TF_Timer,TF_Tekniker,BB$4,TF_Dato,$A170))*2,0)/2)))</f>
        <v/>
      </c>
      <c r="BC170">
        <f>IF(OR(BC$4="",$A170&gt;TODAY()),0,IF(OR(INDEX($B170:$D170,BC$5)="F",AND(BC$6&gt;0,$A170&lt;BC$6),AND(BC$7&gt;0,$A170&gt;BC$7)),0,MAX(0,ROUND((INDEX($E170:$G170,BC$5)-SUMIFS(TF_Timer,TF_Tekniker,BC$4,TF_Dato,$A170))*2,0)/2)))</f>
        <v/>
      </c>
      <c r="BD170">
        <f>IF(OR(BD$4="",$A170&gt;TODAY()),0,IF(OR(INDEX($B170:$D170,BD$5)="F",AND(BD$6&gt;0,$A170&lt;BD$6),AND(BD$7&gt;0,$A170&gt;BD$7)),0,MAX(0,ROUND((INDEX($E170:$G170,BD$5)-SUMIFS(TF_Timer,TF_Tekniker,BD$4,TF_Dato,$A170))*2,0)/2)))</f>
        <v/>
      </c>
      <c r="BE170">
        <f>IF(OR(BE$4="",$A170&gt;TODAY()),0,IF(OR(INDEX($B170:$D170,BE$5)="F",AND(BE$6&gt;0,$A170&lt;BE$6),AND(BE$7&gt;0,$A170&gt;BE$7)),0,MAX(0,ROUND((INDEX($E170:$G170,BE$5)-SUMIFS(TF_Timer,TF_Tekniker,BE$4,TF_Dato,$A170))*2,0)/2)))</f>
        <v/>
      </c>
      <c r="BF170">
        <f>IF(OR(BF$4="",$A170&gt;TODAY()),0,IF(OR(INDEX($B170:$D170,BF$5)="F",AND(BF$6&gt;0,$A170&lt;BF$6),AND(BF$7&gt;0,$A170&gt;BF$7)),0,MAX(0,ROUND((INDEX($E170:$G170,BF$5)-SUMIFS(TF_Timer,TF_Tekniker,BF$4,TF_Dato,$A170))*2,0)/2)))</f>
        <v/>
      </c>
      <c r="BG170">
        <f>IF(OR(BG$4="",$A170&gt;TODAY()),0,IF(OR(INDEX($B170:$D170,BG$5)="F",AND(BG$6&gt;0,$A170&lt;BG$6),AND(BG$7&gt;0,$A170&gt;BG$7)),0,MAX(0,ROUND((INDEX($E170:$G170,BG$5)-SUMIFS(TF_Timer,TF_Tekniker,BG$4,TF_Dato,$A170))*2,0)/2)))</f>
        <v/>
      </c>
      <c r="BH170">
        <f>IF(OR(BH$4="",$A170&gt;TODAY()),0,IF(OR(INDEX($B170:$D170,BH$5)="F",AND(BH$6&gt;0,$A170&lt;BH$6),AND(BH$7&gt;0,$A170&gt;BH$7)),0,MAX(0,ROUND((INDEX($E170:$G170,BH$5)-SUMIFS(TF_Timer,TF_Tekniker,BH$4,TF_Dato,$A170))*2,0)/2)))</f>
        <v/>
      </c>
      <c r="BI170">
        <f>IF(OR(BI$4="",$A170&gt;TODAY()),0,IF(OR(INDEX($B170:$D170,BI$5)="F",AND(BI$6&gt;0,$A170&lt;BI$6),AND(BI$7&gt;0,$A170&gt;BI$7)),0,MAX(0,ROUND((INDEX($E170:$G170,BI$5)-SUMIFS(TF_Timer,TF_Tekniker,BI$4,TF_Dato,$A170))*2,0)/2)))</f>
        <v/>
      </c>
    </row>
    <row r="171">
      <c r="A171" s="64">
        <f>A170+1</f>
        <v/>
      </c>
      <c r="B171">
        <f>IF(MOD($A171-INDEX(SkiftStart,1),Syklus)&lt;DagK,"K",IF(MOD($A171-INDEX(SkiftStart,1),Syklus)&lt;DagK+DagH,"H",IF(MOD($A171-INDEX(SkiftStart,1),Syklus)&lt;DagK+DagH+DagD,"D","F")))</f>
        <v/>
      </c>
      <c r="C171">
        <f>IF(MOD($A171-INDEX(SkiftStart,2),Syklus)&lt;DagK,"K",IF(MOD($A171-INDEX(SkiftStart,2),Syklus)&lt;DagK+DagH,"H",IF(MOD($A171-INDEX(SkiftStart,2),Syklus)&lt;DagK+DagH+DagD,"D","F")))</f>
        <v/>
      </c>
      <c r="D171">
        <f>IF(MOD($A171-INDEX(SkiftStart,3),Syklus)&lt;DagK,"K",IF(MOD($A171-INDEX(SkiftStart,3),Syklus)&lt;DagK+DagH,"H",IF(MOD($A171-INDEX(SkiftStart,3),Syklus)&lt;DagK+DagH+DagD,"D","F")))</f>
        <v/>
      </c>
      <c r="E171">
        <f>IF(B171="F",0,IF(WEEKDAY($A171,2)=5,INDEX(TimerFr,MATCH(B171,FaseKode,0)),INDEX(TimerMT,MATCH(B171,FaseKode,0))))</f>
        <v/>
      </c>
      <c r="F171">
        <f>IF(C171="F",0,IF(WEEKDAY($A171,2)=5,INDEX(TimerFr,MATCH(C171,FaseKode,0)),INDEX(TimerMT,MATCH(C171,FaseKode,0))))</f>
        <v/>
      </c>
      <c r="G171">
        <f>IF(D171="F",0,IF(WEEKDAY($A171,2)=5,INDEX(TimerFr,MATCH(D171,FaseKode,0)),INDEX(TimerMT,MATCH(D171,FaseKode,0))))</f>
        <v/>
      </c>
      <c r="H171">
        <f>IF(OR(H$4="",$A171&gt;TODAY()),0,IF(OR(INDEX($B171:$D171,H$5)="F",AND(H$6&gt;0,$A171&lt;H$6),AND(H$7&gt;0,$A171&gt;H$7)),0,MAX(0,ROUND((INDEX($E171:$G171,H$5)-SUMIFS(TF_Timer,TF_Tekniker,H$4,TF_Dato,$A171))*2,0)/2)))</f>
        <v/>
      </c>
      <c r="I171">
        <f>IF(OR(I$4="",$A171&gt;TODAY()),0,IF(OR(INDEX($B171:$D171,I$5)="F",AND(I$6&gt;0,$A171&lt;I$6),AND(I$7&gt;0,$A171&gt;I$7)),0,MAX(0,ROUND((INDEX($E171:$G171,I$5)-SUMIFS(TF_Timer,TF_Tekniker,I$4,TF_Dato,$A171))*2,0)/2)))</f>
        <v/>
      </c>
      <c r="J171">
        <f>IF(OR(J$4="",$A171&gt;TODAY()),0,IF(OR(INDEX($B171:$D171,J$5)="F",AND(J$6&gt;0,$A171&lt;J$6),AND(J$7&gt;0,$A171&gt;J$7)),0,MAX(0,ROUND((INDEX($E171:$G171,J$5)-SUMIFS(TF_Timer,TF_Tekniker,J$4,TF_Dato,$A171))*2,0)/2)))</f>
        <v/>
      </c>
      <c r="K171">
        <f>IF(OR(K$4="",$A171&gt;TODAY()),0,IF(OR(INDEX($B171:$D171,K$5)="F",AND(K$6&gt;0,$A171&lt;K$6),AND(K$7&gt;0,$A171&gt;K$7)),0,MAX(0,ROUND((INDEX($E171:$G171,K$5)-SUMIFS(TF_Timer,TF_Tekniker,K$4,TF_Dato,$A171))*2,0)/2)))</f>
        <v/>
      </c>
      <c r="L171">
        <f>IF(OR(L$4="",$A171&gt;TODAY()),0,IF(OR(INDEX($B171:$D171,L$5)="F",AND(L$6&gt;0,$A171&lt;L$6),AND(L$7&gt;0,$A171&gt;L$7)),0,MAX(0,ROUND((INDEX($E171:$G171,L$5)-SUMIFS(TF_Timer,TF_Tekniker,L$4,TF_Dato,$A171))*2,0)/2)))</f>
        <v/>
      </c>
      <c r="M171">
        <f>IF(OR(M$4="",$A171&gt;TODAY()),0,IF(OR(INDEX($B171:$D171,M$5)="F",AND(M$6&gt;0,$A171&lt;M$6),AND(M$7&gt;0,$A171&gt;M$7)),0,MAX(0,ROUND((INDEX($E171:$G171,M$5)-SUMIFS(TF_Timer,TF_Tekniker,M$4,TF_Dato,$A171))*2,0)/2)))</f>
        <v/>
      </c>
      <c r="N171">
        <f>IF(OR(N$4="",$A171&gt;TODAY()),0,IF(OR(INDEX($B171:$D171,N$5)="F",AND(N$6&gt;0,$A171&lt;N$6),AND(N$7&gt;0,$A171&gt;N$7)),0,MAX(0,ROUND((INDEX($E171:$G171,N$5)-SUMIFS(TF_Timer,TF_Tekniker,N$4,TF_Dato,$A171))*2,0)/2)))</f>
        <v/>
      </c>
      <c r="O171">
        <f>IF(OR(O$4="",$A171&gt;TODAY()),0,IF(OR(INDEX($B171:$D171,O$5)="F",AND(O$6&gt;0,$A171&lt;O$6),AND(O$7&gt;0,$A171&gt;O$7)),0,MAX(0,ROUND((INDEX($E171:$G171,O$5)-SUMIFS(TF_Timer,TF_Tekniker,O$4,TF_Dato,$A171))*2,0)/2)))</f>
        <v/>
      </c>
      <c r="P171">
        <f>IF(OR(P$4="",$A171&gt;TODAY()),0,IF(OR(INDEX($B171:$D171,P$5)="F",AND(P$6&gt;0,$A171&lt;P$6),AND(P$7&gt;0,$A171&gt;P$7)),0,MAX(0,ROUND((INDEX($E171:$G171,P$5)-SUMIFS(TF_Timer,TF_Tekniker,P$4,TF_Dato,$A171))*2,0)/2)))</f>
        <v/>
      </c>
      <c r="Q171">
        <f>IF(OR(Q$4="",$A171&gt;TODAY()),0,IF(OR(INDEX($B171:$D171,Q$5)="F",AND(Q$6&gt;0,$A171&lt;Q$6),AND(Q$7&gt;0,$A171&gt;Q$7)),0,MAX(0,ROUND((INDEX($E171:$G171,Q$5)-SUMIFS(TF_Timer,TF_Tekniker,Q$4,TF_Dato,$A171))*2,0)/2)))</f>
        <v/>
      </c>
      <c r="R171">
        <f>IF(OR(R$4="",$A171&gt;TODAY()),0,IF(OR(INDEX($B171:$D171,R$5)="F",AND(R$6&gt;0,$A171&lt;R$6),AND(R$7&gt;0,$A171&gt;R$7)),0,MAX(0,ROUND((INDEX($E171:$G171,R$5)-SUMIFS(TF_Timer,TF_Tekniker,R$4,TF_Dato,$A171))*2,0)/2)))</f>
        <v/>
      </c>
      <c r="S171">
        <f>IF(OR(S$4="",$A171&gt;TODAY()),0,IF(OR(INDEX($B171:$D171,S$5)="F",AND(S$6&gt;0,$A171&lt;S$6),AND(S$7&gt;0,$A171&gt;S$7)),0,MAX(0,ROUND((INDEX($E171:$G171,S$5)-SUMIFS(TF_Timer,TF_Tekniker,S$4,TF_Dato,$A171))*2,0)/2)))</f>
        <v/>
      </c>
      <c r="T171">
        <f>IF(OR(T$4="",$A171&gt;TODAY()),0,IF(OR(INDEX($B171:$D171,T$5)="F",AND(T$6&gt;0,$A171&lt;T$6),AND(T$7&gt;0,$A171&gt;T$7)),0,MAX(0,ROUND((INDEX($E171:$G171,T$5)-SUMIFS(TF_Timer,TF_Tekniker,T$4,TF_Dato,$A171))*2,0)/2)))</f>
        <v/>
      </c>
      <c r="U171">
        <f>IF(OR(U$4="",$A171&gt;TODAY()),0,IF(OR(INDEX($B171:$D171,U$5)="F",AND(U$6&gt;0,$A171&lt;U$6),AND(U$7&gt;0,$A171&gt;U$7)),0,MAX(0,ROUND((INDEX($E171:$G171,U$5)-SUMIFS(TF_Timer,TF_Tekniker,U$4,TF_Dato,$A171))*2,0)/2)))</f>
        <v/>
      </c>
      <c r="V171">
        <f>IF(OR(V$4="",$A171&gt;TODAY()),0,IF(OR(INDEX($B171:$D171,V$5)="F",AND(V$6&gt;0,$A171&lt;V$6),AND(V$7&gt;0,$A171&gt;V$7)),0,MAX(0,ROUND((INDEX($E171:$G171,V$5)-SUMIFS(TF_Timer,TF_Tekniker,V$4,TF_Dato,$A171))*2,0)/2)))</f>
        <v/>
      </c>
      <c r="W171">
        <f>IF(OR(W$4="",$A171&gt;TODAY()),0,IF(OR(INDEX($B171:$D171,W$5)="F",AND(W$6&gt;0,$A171&lt;W$6),AND(W$7&gt;0,$A171&gt;W$7)),0,MAX(0,ROUND((INDEX($E171:$G171,W$5)-SUMIFS(TF_Timer,TF_Tekniker,W$4,TF_Dato,$A171))*2,0)/2)))</f>
        <v/>
      </c>
      <c r="X171">
        <f>IF(OR(X$4="",$A171&gt;TODAY()),0,IF(OR(INDEX($B171:$D171,X$5)="F",AND(X$6&gt;0,$A171&lt;X$6),AND(X$7&gt;0,$A171&gt;X$7)),0,MAX(0,ROUND((INDEX($E171:$G171,X$5)-SUMIFS(TF_Timer,TF_Tekniker,X$4,TF_Dato,$A171))*2,0)/2)))</f>
        <v/>
      </c>
      <c r="Y171">
        <f>IF(OR(Y$4="",$A171&gt;TODAY()),0,IF(OR(INDEX($B171:$D171,Y$5)="F",AND(Y$6&gt;0,$A171&lt;Y$6),AND(Y$7&gt;0,$A171&gt;Y$7)),0,MAX(0,ROUND((INDEX($E171:$G171,Y$5)-SUMIFS(TF_Timer,TF_Tekniker,Y$4,TF_Dato,$A171))*2,0)/2)))</f>
        <v/>
      </c>
      <c r="Z171">
        <f>IF(OR(Z$4="",$A171&gt;TODAY()),0,IF(OR(INDEX($B171:$D171,Z$5)="F",AND(Z$6&gt;0,$A171&lt;Z$6),AND(Z$7&gt;0,$A171&gt;Z$7)),0,MAX(0,ROUND((INDEX($E171:$G171,Z$5)-SUMIFS(TF_Timer,TF_Tekniker,Z$4,TF_Dato,$A171))*2,0)/2)))</f>
        <v/>
      </c>
      <c r="AA171">
        <f>IF(OR(AA$4="",$A171&gt;TODAY()),0,IF(OR(INDEX($B171:$D171,AA$5)="F",AND(AA$6&gt;0,$A171&lt;AA$6),AND(AA$7&gt;0,$A171&gt;AA$7)),0,MAX(0,ROUND((INDEX($E171:$G171,AA$5)-SUMIFS(TF_Timer,TF_Tekniker,AA$4,TF_Dato,$A171))*2,0)/2)))</f>
        <v/>
      </c>
      <c r="AB171">
        <f>IF(OR(AB$4="",$A171&gt;TODAY()),0,IF(OR(INDEX($B171:$D171,AB$5)="F",AND(AB$6&gt;0,$A171&lt;AB$6),AND(AB$7&gt;0,$A171&gt;AB$7)),0,MAX(0,ROUND((INDEX($E171:$G171,AB$5)-SUMIFS(TF_Timer,TF_Tekniker,AB$4,TF_Dato,$A171))*2,0)/2)))</f>
        <v/>
      </c>
      <c r="AC171">
        <f>IF(OR(AC$4="",$A171&gt;TODAY()),0,IF(OR(INDEX($B171:$D171,AC$5)="F",AND(AC$6&gt;0,$A171&lt;AC$6),AND(AC$7&gt;0,$A171&gt;AC$7)),0,MAX(0,ROUND((INDEX($E171:$G171,AC$5)-SUMIFS(TF_Timer,TF_Tekniker,AC$4,TF_Dato,$A171))*2,0)/2)))</f>
        <v/>
      </c>
      <c r="AD171">
        <f>IF(OR(AD$4="",$A171&gt;TODAY()),0,IF(OR(INDEX($B171:$D171,AD$5)="F",AND(AD$6&gt;0,$A171&lt;AD$6),AND(AD$7&gt;0,$A171&gt;AD$7)),0,MAX(0,ROUND((INDEX($E171:$G171,AD$5)-SUMIFS(TF_Timer,TF_Tekniker,AD$4,TF_Dato,$A171))*2,0)/2)))</f>
        <v/>
      </c>
      <c r="AE171">
        <f>IF(OR(AE$4="",$A171&gt;TODAY()),0,IF(OR(INDEX($B171:$D171,AE$5)="F",AND(AE$6&gt;0,$A171&lt;AE$6),AND(AE$7&gt;0,$A171&gt;AE$7)),0,MAX(0,ROUND((INDEX($E171:$G171,AE$5)-SUMIFS(TF_Timer,TF_Tekniker,AE$4,TF_Dato,$A171))*2,0)/2)))</f>
        <v/>
      </c>
      <c r="AF171">
        <f>IF(OR(AF$4="",$A171&gt;TODAY()),0,IF(OR(INDEX($B171:$D171,AF$5)="F",AND(AF$6&gt;0,$A171&lt;AF$6),AND(AF$7&gt;0,$A171&gt;AF$7)),0,MAX(0,ROUND((INDEX($E171:$G171,AF$5)-SUMIFS(TF_Timer,TF_Tekniker,AF$4,TF_Dato,$A171))*2,0)/2)))</f>
        <v/>
      </c>
      <c r="AG171">
        <f>IF(OR(AG$4="",$A171&gt;TODAY()),0,IF(OR(INDEX($B171:$D171,AG$5)="F",AND(AG$6&gt;0,$A171&lt;AG$6),AND(AG$7&gt;0,$A171&gt;AG$7)),0,MAX(0,ROUND((INDEX($E171:$G171,AG$5)-SUMIFS(TF_Timer,TF_Tekniker,AG$4,TF_Dato,$A171))*2,0)/2)))</f>
        <v/>
      </c>
      <c r="AH171">
        <f>IF(OR(AH$4="",$A171&gt;TODAY()),0,IF(OR(INDEX($B171:$D171,AH$5)="F",AND(AH$6&gt;0,$A171&lt;AH$6),AND(AH$7&gt;0,$A171&gt;AH$7)),0,MAX(0,ROUND((INDEX($E171:$G171,AH$5)-SUMIFS(TF_Timer,TF_Tekniker,AH$4,TF_Dato,$A171))*2,0)/2)))</f>
        <v/>
      </c>
      <c r="AI171">
        <f>IF(OR(AI$4="",$A171&gt;TODAY()),0,IF(OR(INDEX($B171:$D171,AI$5)="F",AND(AI$6&gt;0,$A171&lt;AI$6),AND(AI$7&gt;0,$A171&gt;AI$7)),0,MAX(0,ROUND((INDEX($E171:$G171,AI$5)-SUMIFS(TF_Timer,TF_Tekniker,AI$4,TF_Dato,$A171))*2,0)/2)))</f>
        <v/>
      </c>
      <c r="AJ171">
        <f>IF(OR(AJ$4="",$A171&gt;TODAY()),0,IF(OR(INDEX($B171:$D171,AJ$5)="F",AND(AJ$6&gt;0,$A171&lt;AJ$6),AND(AJ$7&gt;0,$A171&gt;AJ$7)),0,MAX(0,ROUND((INDEX($E171:$G171,AJ$5)-SUMIFS(TF_Timer,TF_Tekniker,AJ$4,TF_Dato,$A171))*2,0)/2)))</f>
        <v/>
      </c>
      <c r="AK171">
        <f>IF(OR(AK$4="",$A171&gt;TODAY()),0,IF(OR(INDEX($B171:$D171,AK$5)="F",AND(AK$6&gt;0,$A171&lt;AK$6),AND(AK$7&gt;0,$A171&gt;AK$7)),0,MAX(0,ROUND((INDEX($E171:$G171,AK$5)-SUMIFS(TF_Timer,TF_Tekniker,AK$4,TF_Dato,$A171))*2,0)/2)))</f>
        <v/>
      </c>
      <c r="AL171">
        <f>IF(OR(AL$4="",$A171&gt;TODAY()),0,IF(OR(INDEX($B171:$D171,AL$5)="F",AND(AL$6&gt;0,$A171&lt;AL$6),AND(AL$7&gt;0,$A171&gt;AL$7)),0,MAX(0,ROUND((INDEX($E171:$G171,AL$5)-SUMIFS(TF_Timer,TF_Tekniker,AL$4,TF_Dato,$A171))*2,0)/2)))</f>
        <v/>
      </c>
      <c r="AM171">
        <f>IF(OR(AM$4="",$A171&gt;TODAY()),0,IF(OR(INDEX($B171:$D171,AM$5)="F",AND(AM$6&gt;0,$A171&lt;AM$6),AND(AM$7&gt;0,$A171&gt;AM$7)),0,MAX(0,ROUND((INDEX($E171:$G171,AM$5)-SUMIFS(TF_Timer,TF_Tekniker,AM$4,TF_Dato,$A171))*2,0)/2)))</f>
        <v/>
      </c>
      <c r="AN171">
        <f>IF(OR(AN$4="",$A171&gt;TODAY()),0,IF(OR(INDEX($B171:$D171,AN$5)="F",AND(AN$6&gt;0,$A171&lt;AN$6),AND(AN$7&gt;0,$A171&gt;AN$7)),0,MAX(0,ROUND((INDEX($E171:$G171,AN$5)-SUMIFS(TF_Timer,TF_Tekniker,AN$4,TF_Dato,$A171))*2,0)/2)))</f>
        <v/>
      </c>
      <c r="AO171">
        <f>IF(OR(AO$4="",$A171&gt;TODAY()),0,IF(OR(INDEX($B171:$D171,AO$5)="F",AND(AO$6&gt;0,$A171&lt;AO$6),AND(AO$7&gt;0,$A171&gt;AO$7)),0,MAX(0,ROUND((INDEX($E171:$G171,AO$5)-SUMIFS(TF_Timer,TF_Tekniker,AO$4,TF_Dato,$A171))*2,0)/2)))</f>
        <v/>
      </c>
      <c r="AP171">
        <f>IF(OR(AP$4="",$A171&gt;TODAY()),0,IF(OR(INDEX($B171:$D171,AP$5)="F",AND(AP$6&gt;0,$A171&lt;AP$6),AND(AP$7&gt;0,$A171&gt;AP$7)),0,MAX(0,ROUND((INDEX($E171:$G171,AP$5)-SUMIFS(TF_Timer,TF_Tekniker,AP$4,TF_Dato,$A171))*2,0)/2)))</f>
        <v/>
      </c>
      <c r="AQ171">
        <f>IF(OR(AQ$4="",$A171&gt;TODAY()),0,IF(OR(INDEX($B171:$D171,AQ$5)="F",AND(AQ$6&gt;0,$A171&lt;AQ$6),AND(AQ$7&gt;0,$A171&gt;AQ$7)),0,MAX(0,ROUND((INDEX($E171:$G171,AQ$5)-SUMIFS(TF_Timer,TF_Tekniker,AQ$4,TF_Dato,$A171))*2,0)/2)))</f>
        <v/>
      </c>
      <c r="AR171">
        <f>IF(OR(AR$4="",$A171&gt;TODAY()),0,IF(OR(INDEX($B171:$D171,AR$5)="F",AND(AR$6&gt;0,$A171&lt;AR$6),AND(AR$7&gt;0,$A171&gt;AR$7)),0,MAX(0,ROUND((INDEX($E171:$G171,AR$5)-SUMIFS(TF_Timer,TF_Tekniker,AR$4,TF_Dato,$A171))*2,0)/2)))</f>
        <v/>
      </c>
      <c r="AS171">
        <f>IF(OR(AS$4="",$A171&gt;TODAY()),0,IF(OR(INDEX($B171:$D171,AS$5)="F",AND(AS$6&gt;0,$A171&lt;AS$6),AND(AS$7&gt;0,$A171&gt;AS$7)),0,MAX(0,ROUND((INDEX($E171:$G171,AS$5)-SUMIFS(TF_Timer,TF_Tekniker,AS$4,TF_Dato,$A171))*2,0)/2)))</f>
        <v/>
      </c>
      <c r="AT171">
        <f>IF(OR(AT$4="",$A171&gt;TODAY()),0,IF(OR(INDEX($B171:$D171,AT$5)="F",AND(AT$6&gt;0,$A171&lt;AT$6),AND(AT$7&gt;0,$A171&gt;AT$7)),0,MAX(0,ROUND((INDEX($E171:$G171,AT$5)-SUMIFS(TF_Timer,TF_Tekniker,AT$4,TF_Dato,$A171))*2,0)/2)))</f>
        <v/>
      </c>
      <c r="AU171">
        <f>IF(OR(AU$4="",$A171&gt;TODAY()),0,IF(OR(INDEX($B171:$D171,AU$5)="F",AND(AU$6&gt;0,$A171&lt;AU$6),AND(AU$7&gt;0,$A171&gt;AU$7)),0,MAX(0,ROUND((INDEX($E171:$G171,AU$5)-SUMIFS(TF_Timer,TF_Tekniker,AU$4,TF_Dato,$A171))*2,0)/2)))</f>
        <v/>
      </c>
      <c r="AV171">
        <f>IF(OR(AV$4="",$A171&gt;TODAY()),0,IF(OR(INDEX($B171:$D171,AV$5)="F",AND(AV$6&gt;0,$A171&lt;AV$6),AND(AV$7&gt;0,$A171&gt;AV$7)),0,MAX(0,ROUND((INDEX($E171:$G171,AV$5)-SUMIFS(TF_Timer,TF_Tekniker,AV$4,TF_Dato,$A171))*2,0)/2)))</f>
        <v/>
      </c>
      <c r="AW171">
        <f>IF(OR(AW$4="",$A171&gt;TODAY()),0,IF(OR(INDEX($B171:$D171,AW$5)="F",AND(AW$6&gt;0,$A171&lt;AW$6),AND(AW$7&gt;0,$A171&gt;AW$7)),0,MAX(0,ROUND((INDEX($E171:$G171,AW$5)-SUMIFS(TF_Timer,TF_Tekniker,AW$4,TF_Dato,$A171))*2,0)/2)))</f>
        <v/>
      </c>
      <c r="AX171">
        <f>IF(OR(AX$4="",$A171&gt;TODAY()),0,IF(OR(INDEX($B171:$D171,AX$5)="F",AND(AX$6&gt;0,$A171&lt;AX$6),AND(AX$7&gt;0,$A171&gt;AX$7)),0,MAX(0,ROUND((INDEX($E171:$G171,AX$5)-SUMIFS(TF_Timer,TF_Tekniker,AX$4,TF_Dato,$A171))*2,0)/2)))</f>
        <v/>
      </c>
      <c r="AY171">
        <f>IF(OR(AY$4="",$A171&gt;TODAY()),0,IF(OR(INDEX($B171:$D171,AY$5)="F",AND(AY$6&gt;0,$A171&lt;AY$6),AND(AY$7&gt;0,$A171&gt;AY$7)),0,MAX(0,ROUND((INDEX($E171:$G171,AY$5)-SUMIFS(TF_Timer,TF_Tekniker,AY$4,TF_Dato,$A171))*2,0)/2)))</f>
        <v/>
      </c>
      <c r="AZ171">
        <f>IF(OR(AZ$4="",$A171&gt;TODAY()),0,IF(OR(INDEX($B171:$D171,AZ$5)="F",AND(AZ$6&gt;0,$A171&lt;AZ$6),AND(AZ$7&gt;0,$A171&gt;AZ$7)),0,MAX(0,ROUND((INDEX($E171:$G171,AZ$5)-SUMIFS(TF_Timer,TF_Tekniker,AZ$4,TF_Dato,$A171))*2,0)/2)))</f>
        <v/>
      </c>
      <c r="BA171">
        <f>IF(OR(BA$4="",$A171&gt;TODAY()),0,IF(OR(INDEX($B171:$D171,BA$5)="F",AND(BA$6&gt;0,$A171&lt;BA$6),AND(BA$7&gt;0,$A171&gt;BA$7)),0,MAX(0,ROUND((INDEX($E171:$G171,BA$5)-SUMIFS(TF_Timer,TF_Tekniker,BA$4,TF_Dato,$A171))*2,0)/2)))</f>
        <v/>
      </c>
      <c r="BB171">
        <f>IF(OR(BB$4="",$A171&gt;TODAY()),0,IF(OR(INDEX($B171:$D171,BB$5)="F",AND(BB$6&gt;0,$A171&lt;BB$6),AND(BB$7&gt;0,$A171&gt;BB$7)),0,MAX(0,ROUND((INDEX($E171:$G171,BB$5)-SUMIFS(TF_Timer,TF_Tekniker,BB$4,TF_Dato,$A171))*2,0)/2)))</f>
        <v/>
      </c>
      <c r="BC171">
        <f>IF(OR(BC$4="",$A171&gt;TODAY()),0,IF(OR(INDEX($B171:$D171,BC$5)="F",AND(BC$6&gt;0,$A171&lt;BC$6),AND(BC$7&gt;0,$A171&gt;BC$7)),0,MAX(0,ROUND((INDEX($E171:$G171,BC$5)-SUMIFS(TF_Timer,TF_Tekniker,BC$4,TF_Dato,$A171))*2,0)/2)))</f>
        <v/>
      </c>
      <c r="BD171">
        <f>IF(OR(BD$4="",$A171&gt;TODAY()),0,IF(OR(INDEX($B171:$D171,BD$5)="F",AND(BD$6&gt;0,$A171&lt;BD$6),AND(BD$7&gt;0,$A171&gt;BD$7)),0,MAX(0,ROUND((INDEX($E171:$G171,BD$5)-SUMIFS(TF_Timer,TF_Tekniker,BD$4,TF_Dato,$A171))*2,0)/2)))</f>
        <v/>
      </c>
      <c r="BE171">
        <f>IF(OR(BE$4="",$A171&gt;TODAY()),0,IF(OR(INDEX($B171:$D171,BE$5)="F",AND(BE$6&gt;0,$A171&lt;BE$6),AND(BE$7&gt;0,$A171&gt;BE$7)),0,MAX(0,ROUND((INDEX($E171:$G171,BE$5)-SUMIFS(TF_Timer,TF_Tekniker,BE$4,TF_Dato,$A171))*2,0)/2)))</f>
        <v/>
      </c>
      <c r="BF171">
        <f>IF(OR(BF$4="",$A171&gt;TODAY()),0,IF(OR(INDEX($B171:$D171,BF$5)="F",AND(BF$6&gt;0,$A171&lt;BF$6),AND(BF$7&gt;0,$A171&gt;BF$7)),0,MAX(0,ROUND((INDEX($E171:$G171,BF$5)-SUMIFS(TF_Timer,TF_Tekniker,BF$4,TF_Dato,$A171))*2,0)/2)))</f>
        <v/>
      </c>
      <c r="BG171">
        <f>IF(OR(BG$4="",$A171&gt;TODAY()),0,IF(OR(INDEX($B171:$D171,BG$5)="F",AND(BG$6&gt;0,$A171&lt;BG$6),AND(BG$7&gt;0,$A171&gt;BG$7)),0,MAX(0,ROUND((INDEX($E171:$G171,BG$5)-SUMIFS(TF_Timer,TF_Tekniker,BG$4,TF_Dato,$A171))*2,0)/2)))</f>
        <v/>
      </c>
      <c r="BH171">
        <f>IF(OR(BH$4="",$A171&gt;TODAY()),0,IF(OR(INDEX($B171:$D171,BH$5)="F",AND(BH$6&gt;0,$A171&lt;BH$6),AND(BH$7&gt;0,$A171&gt;BH$7)),0,MAX(0,ROUND((INDEX($E171:$G171,BH$5)-SUMIFS(TF_Timer,TF_Tekniker,BH$4,TF_Dato,$A171))*2,0)/2)))</f>
        <v/>
      </c>
      <c r="BI171">
        <f>IF(OR(BI$4="",$A171&gt;TODAY()),0,IF(OR(INDEX($B171:$D171,BI$5)="F",AND(BI$6&gt;0,$A171&lt;BI$6),AND(BI$7&gt;0,$A171&gt;BI$7)),0,MAX(0,ROUND((INDEX($E171:$G171,BI$5)-SUMIFS(TF_Timer,TF_Tekniker,BI$4,TF_Dato,$A171))*2,0)/2)))</f>
        <v/>
      </c>
    </row>
    <row r="172">
      <c r="A172" s="64">
        <f>A171+1</f>
        <v/>
      </c>
      <c r="B172">
        <f>IF(MOD($A172-INDEX(SkiftStart,1),Syklus)&lt;DagK,"K",IF(MOD($A172-INDEX(SkiftStart,1),Syklus)&lt;DagK+DagH,"H",IF(MOD($A172-INDEX(SkiftStart,1),Syklus)&lt;DagK+DagH+DagD,"D","F")))</f>
        <v/>
      </c>
      <c r="C172">
        <f>IF(MOD($A172-INDEX(SkiftStart,2),Syklus)&lt;DagK,"K",IF(MOD($A172-INDEX(SkiftStart,2),Syklus)&lt;DagK+DagH,"H",IF(MOD($A172-INDEX(SkiftStart,2),Syklus)&lt;DagK+DagH+DagD,"D","F")))</f>
        <v/>
      </c>
      <c r="D172">
        <f>IF(MOD($A172-INDEX(SkiftStart,3),Syklus)&lt;DagK,"K",IF(MOD($A172-INDEX(SkiftStart,3),Syklus)&lt;DagK+DagH,"H",IF(MOD($A172-INDEX(SkiftStart,3),Syklus)&lt;DagK+DagH+DagD,"D","F")))</f>
        <v/>
      </c>
      <c r="E172">
        <f>IF(B172="F",0,IF(WEEKDAY($A172,2)=5,INDEX(TimerFr,MATCH(B172,FaseKode,0)),INDEX(TimerMT,MATCH(B172,FaseKode,0))))</f>
        <v/>
      </c>
      <c r="F172">
        <f>IF(C172="F",0,IF(WEEKDAY($A172,2)=5,INDEX(TimerFr,MATCH(C172,FaseKode,0)),INDEX(TimerMT,MATCH(C172,FaseKode,0))))</f>
        <v/>
      </c>
      <c r="G172">
        <f>IF(D172="F",0,IF(WEEKDAY($A172,2)=5,INDEX(TimerFr,MATCH(D172,FaseKode,0)),INDEX(TimerMT,MATCH(D172,FaseKode,0))))</f>
        <v/>
      </c>
      <c r="H172">
        <f>IF(OR(H$4="",$A172&gt;TODAY()),0,IF(OR(INDEX($B172:$D172,H$5)="F",AND(H$6&gt;0,$A172&lt;H$6),AND(H$7&gt;0,$A172&gt;H$7)),0,MAX(0,ROUND((INDEX($E172:$G172,H$5)-SUMIFS(TF_Timer,TF_Tekniker,H$4,TF_Dato,$A172))*2,0)/2)))</f>
        <v/>
      </c>
      <c r="I172">
        <f>IF(OR(I$4="",$A172&gt;TODAY()),0,IF(OR(INDEX($B172:$D172,I$5)="F",AND(I$6&gt;0,$A172&lt;I$6),AND(I$7&gt;0,$A172&gt;I$7)),0,MAX(0,ROUND((INDEX($E172:$G172,I$5)-SUMIFS(TF_Timer,TF_Tekniker,I$4,TF_Dato,$A172))*2,0)/2)))</f>
        <v/>
      </c>
      <c r="J172">
        <f>IF(OR(J$4="",$A172&gt;TODAY()),0,IF(OR(INDEX($B172:$D172,J$5)="F",AND(J$6&gt;0,$A172&lt;J$6),AND(J$7&gt;0,$A172&gt;J$7)),0,MAX(0,ROUND((INDEX($E172:$G172,J$5)-SUMIFS(TF_Timer,TF_Tekniker,J$4,TF_Dato,$A172))*2,0)/2)))</f>
        <v/>
      </c>
      <c r="K172">
        <f>IF(OR(K$4="",$A172&gt;TODAY()),0,IF(OR(INDEX($B172:$D172,K$5)="F",AND(K$6&gt;0,$A172&lt;K$6),AND(K$7&gt;0,$A172&gt;K$7)),0,MAX(0,ROUND((INDEX($E172:$G172,K$5)-SUMIFS(TF_Timer,TF_Tekniker,K$4,TF_Dato,$A172))*2,0)/2)))</f>
        <v/>
      </c>
      <c r="L172">
        <f>IF(OR(L$4="",$A172&gt;TODAY()),0,IF(OR(INDEX($B172:$D172,L$5)="F",AND(L$6&gt;0,$A172&lt;L$6),AND(L$7&gt;0,$A172&gt;L$7)),0,MAX(0,ROUND((INDEX($E172:$G172,L$5)-SUMIFS(TF_Timer,TF_Tekniker,L$4,TF_Dato,$A172))*2,0)/2)))</f>
        <v/>
      </c>
      <c r="M172">
        <f>IF(OR(M$4="",$A172&gt;TODAY()),0,IF(OR(INDEX($B172:$D172,M$5)="F",AND(M$6&gt;0,$A172&lt;M$6),AND(M$7&gt;0,$A172&gt;M$7)),0,MAX(0,ROUND((INDEX($E172:$G172,M$5)-SUMIFS(TF_Timer,TF_Tekniker,M$4,TF_Dato,$A172))*2,0)/2)))</f>
        <v/>
      </c>
      <c r="N172">
        <f>IF(OR(N$4="",$A172&gt;TODAY()),0,IF(OR(INDEX($B172:$D172,N$5)="F",AND(N$6&gt;0,$A172&lt;N$6),AND(N$7&gt;0,$A172&gt;N$7)),0,MAX(0,ROUND((INDEX($E172:$G172,N$5)-SUMIFS(TF_Timer,TF_Tekniker,N$4,TF_Dato,$A172))*2,0)/2)))</f>
        <v/>
      </c>
      <c r="O172">
        <f>IF(OR(O$4="",$A172&gt;TODAY()),0,IF(OR(INDEX($B172:$D172,O$5)="F",AND(O$6&gt;0,$A172&lt;O$6),AND(O$7&gt;0,$A172&gt;O$7)),0,MAX(0,ROUND((INDEX($E172:$G172,O$5)-SUMIFS(TF_Timer,TF_Tekniker,O$4,TF_Dato,$A172))*2,0)/2)))</f>
        <v/>
      </c>
      <c r="P172">
        <f>IF(OR(P$4="",$A172&gt;TODAY()),0,IF(OR(INDEX($B172:$D172,P$5)="F",AND(P$6&gt;0,$A172&lt;P$6),AND(P$7&gt;0,$A172&gt;P$7)),0,MAX(0,ROUND((INDEX($E172:$G172,P$5)-SUMIFS(TF_Timer,TF_Tekniker,P$4,TF_Dato,$A172))*2,0)/2)))</f>
        <v/>
      </c>
      <c r="Q172">
        <f>IF(OR(Q$4="",$A172&gt;TODAY()),0,IF(OR(INDEX($B172:$D172,Q$5)="F",AND(Q$6&gt;0,$A172&lt;Q$6),AND(Q$7&gt;0,$A172&gt;Q$7)),0,MAX(0,ROUND((INDEX($E172:$G172,Q$5)-SUMIFS(TF_Timer,TF_Tekniker,Q$4,TF_Dato,$A172))*2,0)/2)))</f>
        <v/>
      </c>
      <c r="R172">
        <f>IF(OR(R$4="",$A172&gt;TODAY()),0,IF(OR(INDEX($B172:$D172,R$5)="F",AND(R$6&gt;0,$A172&lt;R$6),AND(R$7&gt;0,$A172&gt;R$7)),0,MAX(0,ROUND((INDEX($E172:$G172,R$5)-SUMIFS(TF_Timer,TF_Tekniker,R$4,TF_Dato,$A172))*2,0)/2)))</f>
        <v/>
      </c>
      <c r="S172">
        <f>IF(OR(S$4="",$A172&gt;TODAY()),0,IF(OR(INDEX($B172:$D172,S$5)="F",AND(S$6&gt;0,$A172&lt;S$6),AND(S$7&gt;0,$A172&gt;S$7)),0,MAX(0,ROUND((INDEX($E172:$G172,S$5)-SUMIFS(TF_Timer,TF_Tekniker,S$4,TF_Dato,$A172))*2,0)/2)))</f>
        <v/>
      </c>
      <c r="T172">
        <f>IF(OR(T$4="",$A172&gt;TODAY()),0,IF(OR(INDEX($B172:$D172,T$5)="F",AND(T$6&gt;0,$A172&lt;T$6),AND(T$7&gt;0,$A172&gt;T$7)),0,MAX(0,ROUND((INDEX($E172:$G172,T$5)-SUMIFS(TF_Timer,TF_Tekniker,T$4,TF_Dato,$A172))*2,0)/2)))</f>
        <v/>
      </c>
      <c r="U172">
        <f>IF(OR(U$4="",$A172&gt;TODAY()),0,IF(OR(INDEX($B172:$D172,U$5)="F",AND(U$6&gt;0,$A172&lt;U$6),AND(U$7&gt;0,$A172&gt;U$7)),0,MAX(0,ROUND((INDEX($E172:$G172,U$5)-SUMIFS(TF_Timer,TF_Tekniker,U$4,TF_Dato,$A172))*2,0)/2)))</f>
        <v/>
      </c>
      <c r="V172">
        <f>IF(OR(V$4="",$A172&gt;TODAY()),0,IF(OR(INDEX($B172:$D172,V$5)="F",AND(V$6&gt;0,$A172&lt;V$6),AND(V$7&gt;0,$A172&gt;V$7)),0,MAX(0,ROUND((INDEX($E172:$G172,V$5)-SUMIFS(TF_Timer,TF_Tekniker,V$4,TF_Dato,$A172))*2,0)/2)))</f>
        <v/>
      </c>
      <c r="W172">
        <f>IF(OR(W$4="",$A172&gt;TODAY()),0,IF(OR(INDEX($B172:$D172,W$5)="F",AND(W$6&gt;0,$A172&lt;W$6),AND(W$7&gt;0,$A172&gt;W$7)),0,MAX(0,ROUND((INDEX($E172:$G172,W$5)-SUMIFS(TF_Timer,TF_Tekniker,W$4,TF_Dato,$A172))*2,0)/2)))</f>
        <v/>
      </c>
      <c r="X172">
        <f>IF(OR(X$4="",$A172&gt;TODAY()),0,IF(OR(INDEX($B172:$D172,X$5)="F",AND(X$6&gt;0,$A172&lt;X$6),AND(X$7&gt;0,$A172&gt;X$7)),0,MAX(0,ROUND((INDEX($E172:$G172,X$5)-SUMIFS(TF_Timer,TF_Tekniker,X$4,TF_Dato,$A172))*2,0)/2)))</f>
        <v/>
      </c>
      <c r="Y172">
        <f>IF(OR(Y$4="",$A172&gt;TODAY()),0,IF(OR(INDEX($B172:$D172,Y$5)="F",AND(Y$6&gt;0,$A172&lt;Y$6),AND(Y$7&gt;0,$A172&gt;Y$7)),0,MAX(0,ROUND((INDEX($E172:$G172,Y$5)-SUMIFS(TF_Timer,TF_Tekniker,Y$4,TF_Dato,$A172))*2,0)/2)))</f>
        <v/>
      </c>
      <c r="Z172">
        <f>IF(OR(Z$4="",$A172&gt;TODAY()),0,IF(OR(INDEX($B172:$D172,Z$5)="F",AND(Z$6&gt;0,$A172&lt;Z$6),AND(Z$7&gt;0,$A172&gt;Z$7)),0,MAX(0,ROUND((INDEX($E172:$G172,Z$5)-SUMIFS(TF_Timer,TF_Tekniker,Z$4,TF_Dato,$A172))*2,0)/2)))</f>
        <v/>
      </c>
      <c r="AA172">
        <f>IF(OR(AA$4="",$A172&gt;TODAY()),0,IF(OR(INDEX($B172:$D172,AA$5)="F",AND(AA$6&gt;0,$A172&lt;AA$6),AND(AA$7&gt;0,$A172&gt;AA$7)),0,MAX(0,ROUND((INDEX($E172:$G172,AA$5)-SUMIFS(TF_Timer,TF_Tekniker,AA$4,TF_Dato,$A172))*2,0)/2)))</f>
        <v/>
      </c>
      <c r="AB172">
        <f>IF(OR(AB$4="",$A172&gt;TODAY()),0,IF(OR(INDEX($B172:$D172,AB$5)="F",AND(AB$6&gt;0,$A172&lt;AB$6),AND(AB$7&gt;0,$A172&gt;AB$7)),0,MAX(0,ROUND((INDEX($E172:$G172,AB$5)-SUMIFS(TF_Timer,TF_Tekniker,AB$4,TF_Dato,$A172))*2,0)/2)))</f>
        <v/>
      </c>
      <c r="AC172">
        <f>IF(OR(AC$4="",$A172&gt;TODAY()),0,IF(OR(INDEX($B172:$D172,AC$5)="F",AND(AC$6&gt;0,$A172&lt;AC$6),AND(AC$7&gt;0,$A172&gt;AC$7)),0,MAX(0,ROUND((INDEX($E172:$G172,AC$5)-SUMIFS(TF_Timer,TF_Tekniker,AC$4,TF_Dato,$A172))*2,0)/2)))</f>
        <v/>
      </c>
      <c r="AD172">
        <f>IF(OR(AD$4="",$A172&gt;TODAY()),0,IF(OR(INDEX($B172:$D172,AD$5)="F",AND(AD$6&gt;0,$A172&lt;AD$6),AND(AD$7&gt;0,$A172&gt;AD$7)),0,MAX(0,ROUND((INDEX($E172:$G172,AD$5)-SUMIFS(TF_Timer,TF_Tekniker,AD$4,TF_Dato,$A172))*2,0)/2)))</f>
        <v/>
      </c>
      <c r="AE172">
        <f>IF(OR(AE$4="",$A172&gt;TODAY()),0,IF(OR(INDEX($B172:$D172,AE$5)="F",AND(AE$6&gt;0,$A172&lt;AE$6),AND(AE$7&gt;0,$A172&gt;AE$7)),0,MAX(0,ROUND((INDEX($E172:$G172,AE$5)-SUMIFS(TF_Timer,TF_Tekniker,AE$4,TF_Dato,$A172))*2,0)/2)))</f>
        <v/>
      </c>
      <c r="AF172">
        <f>IF(OR(AF$4="",$A172&gt;TODAY()),0,IF(OR(INDEX($B172:$D172,AF$5)="F",AND(AF$6&gt;0,$A172&lt;AF$6),AND(AF$7&gt;0,$A172&gt;AF$7)),0,MAX(0,ROUND((INDEX($E172:$G172,AF$5)-SUMIFS(TF_Timer,TF_Tekniker,AF$4,TF_Dato,$A172))*2,0)/2)))</f>
        <v/>
      </c>
      <c r="AG172">
        <f>IF(OR(AG$4="",$A172&gt;TODAY()),0,IF(OR(INDEX($B172:$D172,AG$5)="F",AND(AG$6&gt;0,$A172&lt;AG$6),AND(AG$7&gt;0,$A172&gt;AG$7)),0,MAX(0,ROUND((INDEX($E172:$G172,AG$5)-SUMIFS(TF_Timer,TF_Tekniker,AG$4,TF_Dato,$A172))*2,0)/2)))</f>
        <v/>
      </c>
      <c r="AH172">
        <f>IF(OR(AH$4="",$A172&gt;TODAY()),0,IF(OR(INDEX($B172:$D172,AH$5)="F",AND(AH$6&gt;0,$A172&lt;AH$6),AND(AH$7&gt;0,$A172&gt;AH$7)),0,MAX(0,ROUND((INDEX($E172:$G172,AH$5)-SUMIFS(TF_Timer,TF_Tekniker,AH$4,TF_Dato,$A172))*2,0)/2)))</f>
        <v/>
      </c>
      <c r="AI172">
        <f>IF(OR(AI$4="",$A172&gt;TODAY()),0,IF(OR(INDEX($B172:$D172,AI$5)="F",AND(AI$6&gt;0,$A172&lt;AI$6),AND(AI$7&gt;0,$A172&gt;AI$7)),0,MAX(0,ROUND((INDEX($E172:$G172,AI$5)-SUMIFS(TF_Timer,TF_Tekniker,AI$4,TF_Dato,$A172))*2,0)/2)))</f>
        <v/>
      </c>
      <c r="AJ172">
        <f>IF(OR(AJ$4="",$A172&gt;TODAY()),0,IF(OR(INDEX($B172:$D172,AJ$5)="F",AND(AJ$6&gt;0,$A172&lt;AJ$6),AND(AJ$7&gt;0,$A172&gt;AJ$7)),0,MAX(0,ROUND((INDEX($E172:$G172,AJ$5)-SUMIFS(TF_Timer,TF_Tekniker,AJ$4,TF_Dato,$A172))*2,0)/2)))</f>
        <v/>
      </c>
      <c r="AK172">
        <f>IF(OR(AK$4="",$A172&gt;TODAY()),0,IF(OR(INDEX($B172:$D172,AK$5)="F",AND(AK$6&gt;0,$A172&lt;AK$6),AND(AK$7&gt;0,$A172&gt;AK$7)),0,MAX(0,ROUND((INDEX($E172:$G172,AK$5)-SUMIFS(TF_Timer,TF_Tekniker,AK$4,TF_Dato,$A172))*2,0)/2)))</f>
        <v/>
      </c>
      <c r="AL172">
        <f>IF(OR(AL$4="",$A172&gt;TODAY()),0,IF(OR(INDEX($B172:$D172,AL$5)="F",AND(AL$6&gt;0,$A172&lt;AL$6),AND(AL$7&gt;0,$A172&gt;AL$7)),0,MAX(0,ROUND((INDEX($E172:$G172,AL$5)-SUMIFS(TF_Timer,TF_Tekniker,AL$4,TF_Dato,$A172))*2,0)/2)))</f>
        <v/>
      </c>
      <c r="AM172">
        <f>IF(OR(AM$4="",$A172&gt;TODAY()),0,IF(OR(INDEX($B172:$D172,AM$5)="F",AND(AM$6&gt;0,$A172&lt;AM$6),AND(AM$7&gt;0,$A172&gt;AM$7)),0,MAX(0,ROUND((INDEX($E172:$G172,AM$5)-SUMIFS(TF_Timer,TF_Tekniker,AM$4,TF_Dato,$A172))*2,0)/2)))</f>
        <v/>
      </c>
      <c r="AN172">
        <f>IF(OR(AN$4="",$A172&gt;TODAY()),0,IF(OR(INDEX($B172:$D172,AN$5)="F",AND(AN$6&gt;0,$A172&lt;AN$6),AND(AN$7&gt;0,$A172&gt;AN$7)),0,MAX(0,ROUND((INDEX($E172:$G172,AN$5)-SUMIFS(TF_Timer,TF_Tekniker,AN$4,TF_Dato,$A172))*2,0)/2)))</f>
        <v/>
      </c>
      <c r="AO172">
        <f>IF(OR(AO$4="",$A172&gt;TODAY()),0,IF(OR(INDEX($B172:$D172,AO$5)="F",AND(AO$6&gt;0,$A172&lt;AO$6),AND(AO$7&gt;0,$A172&gt;AO$7)),0,MAX(0,ROUND((INDEX($E172:$G172,AO$5)-SUMIFS(TF_Timer,TF_Tekniker,AO$4,TF_Dato,$A172))*2,0)/2)))</f>
        <v/>
      </c>
      <c r="AP172">
        <f>IF(OR(AP$4="",$A172&gt;TODAY()),0,IF(OR(INDEX($B172:$D172,AP$5)="F",AND(AP$6&gt;0,$A172&lt;AP$6),AND(AP$7&gt;0,$A172&gt;AP$7)),0,MAX(0,ROUND((INDEX($E172:$G172,AP$5)-SUMIFS(TF_Timer,TF_Tekniker,AP$4,TF_Dato,$A172))*2,0)/2)))</f>
        <v/>
      </c>
      <c r="AQ172">
        <f>IF(OR(AQ$4="",$A172&gt;TODAY()),0,IF(OR(INDEX($B172:$D172,AQ$5)="F",AND(AQ$6&gt;0,$A172&lt;AQ$6),AND(AQ$7&gt;0,$A172&gt;AQ$7)),0,MAX(0,ROUND((INDEX($E172:$G172,AQ$5)-SUMIFS(TF_Timer,TF_Tekniker,AQ$4,TF_Dato,$A172))*2,0)/2)))</f>
        <v/>
      </c>
      <c r="AR172">
        <f>IF(OR(AR$4="",$A172&gt;TODAY()),0,IF(OR(INDEX($B172:$D172,AR$5)="F",AND(AR$6&gt;0,$A172&lt;AR$6),AND(AR$7&gt;0,$A172&gt;AR$7)),0,MAX(0,ROUND((INDEX($E172:$G172,AR$5)-SUMIFS(TF_Timer,TF_Tekniker,AR$4,TF_Dato,$A172))*2,0)/2)))</f>
        <v/>
      </c>
      <c r="AS172">
        <f>IF(OR(AS$4="",$A172&gt;TODAY()),0,IF(OR(INDEX($B172:$D172,AS$5)="F",AND(AS$6&gt;0,$A172&lt;AS$6),AND(AS$7&gt;0,$A172&gt;AS$7)),0,MAX(0,ROUND((INDEX($E172:$G172,AS$5)-SUMIFS(TF_Timer,TF_Tekniker,AS$4,TF_Dato,$A172))*2,0)/2)))</f>
        <v/>
      </c>
      <c r="AT172">
        <f>IF(OR(AT$4="",$A172&gt;TODAY()),0,IF(OR(INDEX($B172:$D172,AT$5)="F",AND(AT$6&gt;0,$A172&lt;AT$6),AND(AT$7&gt;0,$A172&gt;AT$7)),0,MAX(0,ROUND((INDEX($E172:$G172,AT$5)-SUMIFS(TF_Timer,TF_Tekniker,AT$4,TF_Dato,$A172))*2,0)/2)))</f>
        <v/>
      </c>
      <c r="AU172">
        <f>IF(OR(AU$4="",$A172&gt;TODAY()),0,IF(OR(INDEX($B172:$D172,AU$5)="F",AND(AU$6&gt;0,$A172&lt;AU$6),AND(AU$7&gt;0,$A172&gt;AU$7)),0,MAX(0,ROUND((INDEX($E172:$G172,AU$5)-SUMIFS(TF_Timer,TF_Tekniker,AU$4,TF_Dato,$A172))*2,0)/2)))</f>
        <v/>
      </c>
      <c r="AV172">
        <f>IF(OR(AV$4="",$A172&gt;TODAY()),0,IF(OR(INDEX($B172:$D172,AV$5)="F",AND(AV$6&gt;0,$A172&lt;AV$6),AND(AV$7&gt;0,$A172&gt;AV$7)),0,MAX(0,ROUND((INDEX($E172:$G172,AV$5)-SUMIFS(TF_Timer,TF_Tekniker,AV$4,TF_Dato,$A172))*2,0)/2)))</f>
        <v/>
      </c>
      <c r="AW172">
        <f>IF(OR(AW$4="",$A172&gt;TODAY()),0,IF(OR(INDEX($B172:$D172,AW$5)="F",AND(AW$6&gt;0,$A172&lt;AW$6),AND(AW$7&gt;0,$A172&gt;AW$7)),0,MAX(0,ROUND((INDEX($E172:$G172,AW$5)-SUMIFS(TF_Timer,TF_Tekniker,AW$4,TF_Dato,$A172))*2,0)/2)))</f>
        <v/>
      </c>
      <c r="AX172">
        <f>IF(OR(AX$4="",$A172&gt;TODAY()),0,IF(OR(INDEX($B172:$D172,AX$5)="F",AND(AX$6&gt;0,$A172&lt;AX$6),AND(AX$7&gt;0,$A172&gt;AX$7)),0,MAX(0,ROUND((INDEX($E172:$G172,AX$5)-SUMIFS(TF_Timer,TF_Tekniker,AX$4,TF_Dato,$A172))*2,0)/2)))</f>
        <v/>
      </c>
      <c r="AY172">
        <f>IF(OR(AY$4="",$A172&gt;TODAY()),0,IF(OR(INDEX($B172:$D172,AY$5)="F",AND(AY$6&gt;0,$A172&lt;AY$6),AND(AY$7&gt;0,$A172&gt;AY$7)),0,MAX(0,ROUND((INDEX($E172:$G172,AY$5)-SUMIFS(TF_Timer,TF_Tekniker,AY$4,TF_Dato,$A172))*2,0)/2)))</f>
        <v/>
      </c>
      <c r="AZ172">
        <f>IF(OR(AZ$4="",$A172&gt;TODAY()),0,IF(OR(INDEX($B172:$D172,AZ$5)="F",AND(AZ$6&gt;0,$A172&lt;AZ$6),AND(AZ$7&gt;0,$A172&gt;AZ$7)),0,MAX(0,ROUND((INDEX($E172:$G172,AZ$5)-SUMIFS(TF_Timer,TF_Tekniker,AZ$4,TF_Dato,$A172))*2,0)/2)))</f>
        <v/>
      </c>
      <c r="BA172">
        <f>IF(OR(BA$4="",$A172&gt;TODAY()),0,IF(OR(INDEX($B172:$D172,BA$5)="F",AND(BA$6&gt;0,$A172&lt;BA$6),AND(BA$7&gt;0,$A172&gt;BA$7)),0,MAX(0,ROUND((INDEX($E172:$G172,BA$5)-SUMIFS(TF_Timer,TF_Tekniker,BA$4,TF_Dato,$A172))*2,0)/2)))</f>
        <v/>
      </c>
      <c r="BB172">
        <f>IF(OR(BB$4="",$A172&gt;TODAY()),0,IF(OR(INDEX($B172:$D172,BB$5)="F",AND(BB$6&gt;0,$A172&lt;BB$6),AND(BB$7&gt;0,$A172&gt;BB$7)),0,MAX(0,ROUND((INDEX($E172:$G172,BB$5)-SUMIFS(TF_Timer,TF_Tekniker,BB$4,TF_Dato,$A172))*2,0)/2)))</f>
        <v/>
      </c>
      <c r="BC172">
        <f>IF(OR(BC$4="",$A172&gt;TODAY()),0,IF(OR(INDEX($B172:$D172,BC$5)="F",AND(BC$6&gt;0,$A172&lt;BC$6),AND(BC$7&gt;0,$A172&gt;BC$7)),0,MAX(0,ROUND((INDEX($E172:$G172,BC$5)-SUMIFS(TF_Timer,TF_Tekniker,BC$4,TF_Dato,$A172))*2,0)/2)))</f>
        <v/>
      </c>
      <c r="BD172">
        <f>IF(OR(BD$4="",$A172&gt;TODAY()),0,IF(OR(INDEX($B172:$D172,BD$5)="F",AND(BD$6&gt;0,$A172&lt;BD$6),AND(BD$7&gt;0,$A172&gt;BD$7)),0,MAX(0,ROUND((INDEX($E172:$G172,BD$5)-SUMIFS(TF_Timer,TF_Tekniker,BD$4,TF_Dato,$A172))*2,0)/2)))</f>
        <v/>
      </c>
      <c r="BE172">
        <f>IF(OR(BE$4="",$A172&gt;TODAY()),0,IF(OR(INDEX($B172:$D172,BE$5)="F",AND(BE$6&gt;0,$A172&lt;BE$6),AND(BE$7&gt;0,$A172&gt;BE$7)),0,MAX(0,ROUND((INDEX($E172:$G172,BE$5)-SUMIFS(TF_Timer,TF_Tekniker,BE$4,TF_Dato,$A172))*2,0)/2)))</f>
        <v/>
      </c>
      <c r="BF172">
        <f>IF(OR(BF$4="",$A172&gt;TODAY()),0,IF(OR(INDEX($B172:$D172,BF$5)="F",AND(BF$6&gt;0,$A172&lt;BF$6),AND(BF$7&gt;0,$A172&gt;BF$7)),0,MAX(0,ROUND((INDEX($E172:$G172,BF$5)-SUMIFS(TF_Timer,TF_Tekniker,BF$4,TF_Dato,$A172))*2,0)/2)))</f>
        <v/>
      </c>
      <c r="BG172">
        <f>IF(OR(BG$4="",$A172&gt;TODAY()),0,IF(OR(INDEX($B172:$D172,BG$5)="F",AND(BG$6&gt;0,$A172&lt;BG$6),AND(BG$7&gt;0,$A172&gt;BG$7)),0,MAX(0,ROUND((INDEX($E172:$G172,BG$5)-SUMIFS(TF_Timer,TF_Tekniker,BG$4,TF_Dato,$A172))*2,0)/2)))</f>
        <v/>
      </c>
      <c r="BH172">
        <f>IF(OR(BH$4="",$A172&gt;TODAY()),0,IF(OR(INDEX($B172:$D172,BH$5)="F",AND(BH$6&gt;0,$A172&lt;BH$6),AND(BH$7&gt;0,$A172&gt;BH$7)),0,MAX(0,ROUND((INDEX($E172:$G172,BH$5)-SUMIFS(TF_Timer,TF_Tekniker,BH$4,TF_Dato,$A172))*2,0)/2)))</f>
        <v/>
      </c>
      <c r="BI172">
        <f>IF(OR(BI$4="",$A172&gt;TODAY()),0,IF(OR(INDEX($B172:$D172,BI$5)="F",AND(BI$6&gt;0,$A172&lt;BI$6),AND(BI$7&gt;0,$A172&gt;BI$7)),0,MAX(0,ROUND((INDEX($E172:$G172,BI$5)-SUMIFS(TF_Timer,TF_Tekniker,BI$4,TF_Dato,$A172))*2,0)/2)))</f>
        <v/>
      </c>
    </row>
    <row r="173">
      <c r="A173" s="64">
        <f>A172+1</f>
        <v/>
      </c>
      <c r="B173">
        <f>IF(MOD($A173-INDEX(SkiftStart,1),Syklus)&lt;DagK,"K",IF(MOD($A173-INDEX(SkiftStart,1),Syklus)&lt;DagK+DagH,"H",IF(MOD($A173-INDEX(SkiftStart,1),Syklus)&lt;DagK+DagH+DagD,"D","F")))</f>
        <v/>
      </c>
      <c r="C173">
        <f>IF(MOD($A173-INDEX(SkiftStart,2),Syklus)&lt;DagK,"K",IF(MOD($A173-INDEX(SkiftStart,2),Syklus)&lt;DagK+DagH,"H",IF(MOD($A173-INDEX(SkiftStart,2),Syklus)&lt;DagK+DagH+DagD,"D","F")))</f>
        <v/>
      </c>
      <c r="D173">
        <f>IF(MOD($A173-INDEX(SkiftStart,3),Syklus)&lt;DagK,"K",IF(MOD($A173-INDEX(SkiftStart,3),Syklus)&lt;DagK+DagH,"H",IF(MOD($A173-INDEX(SkiftStart,3),Syklus)&lt;DagK+DagH+DagD,"D","F")))</f>
        <v/>
      </c>
      <c r="E173">
        <f>IF(B173="F",0,IF(WEEKDAY($A173,2)=5,INDEX(TimerFr,MATCH(B173,FaseKode,0)),INDEX(TimerMT,MATCH(B173,FaseKode,0))))</f>
        <v/>
      </c>
      <c r="F173">
        <f>IF(C173="F",0,IF(WEEKDAY($A173,2)=5,INDEX(TimerFr,MATCH(C173,FaseKode,0)),INDEX(TimerMT,MATCH(C173,FaseKode,0))))</f>
        <v/>
      </c>
      <c r="G173">
        <f>IF(D173="F",0,IF(WEEKDAY($A173,2)=5,INDEX(TimerFr,MATCH(D173,FaseKode,0)),INDEX(TimerMT,MATCH(D173,FaseKode,0))))</f>
        <v/>
      </c>
      <c r="H173">
        <f>IF(OR(H$4="",$A173&gt;TODAY()),0,IF(OR(INDEX($B173:$D173,H$5)="F",AND(H$6&gt;0,$A173&lt;H$6),AND(H$7&gt;0,$A173&gt;H$7)),0,MAX(0,ROUND((INDEX($E173:$G173,H$5)-SUMIFS(TF_Timer,TF_Tekniker,H$4,TF_Dato,$A173))*2,0)/2)))</f>
        <v/>
      </c>
      <c r="I173">
        <f>IF(OR(I$4="",$A173&gt;TODAY()),0,IF(OR(INDEX($B173:$D173,I$5)="F",AND(I$6&gt;0,$A173&lt;I$6),AND(I$7&gt;0,$A173&gt;I$7)),0,MAX(0,ROUND((INDEX($E173:$G173,I$5)-SUMIFS(TF_Timer,TF_Tekniker,I$4,TF_Dato,$A173))*2,0)/2)))</f>
        <v/>
      </c>
      <c r="J173">
        <f>IF(OR(J$4="",$A173&gt;TODAY()),0,IF(OR(INDEX($B173:$D173,J$5)="F",AND(J$6&gt;0,$A173&lt;J$6),AND(J$7&gt;0,$A173&gt;J$7)),0,MAX(0,ROUND((INDEX($E173:$G173,J$5)-SUMIFS(TF_Timer,TF_Tekniker,J$4,TF_Dato,$A173))*2,0)/2)))</f>
        <v/>
      </c>
      <c r="K173">
        <f>IF(OR(K$4="",$A173&gt;TODAY()),0,IF(OR(INDEX($B173:$D173,K$5)="F",AND(K$6&gt;0,$A173&lt;K$6),AND(K$7&gt;0,$A173&gt;K$7)),0,MAX(0,ROUND((INDEX($E173:$G173,K$5)-SUMIFS(TF_Timer,TF_Tekniker,K$4,TF_Dato,$A173))*2,0)/2)))</f>
        <v/>
      </c>
      <c r="L173">
        <f>IF(OR(L$4="",$A173&gt;TODAY()),0,IF(OR(INDEX($B173:$D173,L$5)="F",AND(L$6&gt;0,$A173&lt;L$6),AND(L$7&gt;0,$A173&gt;L$7)),0,MAX(0,ROUND((INDEX($E173:$G173,L$5)-SUMIFS(TF_Timer,TF_Tekniker,L$4,TF_Dato,$A173))*2,0)/2)))</f>
        <v/>
      </c>
      <c r="M173">
        <f>IF(OR(M$4="",$A173&gt;TODAY()),0,IF(OR(INDEX($B173:$D173,M$5)="F",AND(M$6&gt;0,$A173&lt;M$6),AND(M$7&gt;0,$A173&gt;M$7)),0,MAX(0,ROUND((INDEX($E173:$G173,M$5)-SUMIFS(TF_Timer,TF_Tekniker,M$4,TF_Dato,$A173))*2,0)/2)))</f>
        <v/>
      </c>
      <c r="N173">
        <f>IF(OR(N$4="",$A173&gt;TODAY()),0,IF(OR(INDEX($B173:$D173,N$5)="F",AND(N$6&gt;0,$A173&lt;N$6),AND(N$7&gt;0,$A173&gt;N$7)),0,MAX(0,ROUND((INDEX($E173:$G173,N$5)-SUMIFS(TF_Timer,TF_Tekniker,N$4,TF_Dato,$A173))*2,0)/2)))</f>
        <v/>
      </c>
      <c r="O173">
        <f>IF(OR(O$4="",$A173&gt;TODAY()),0,IF(OR(INDEX($B173:$D173,O$5)="F",AND(O$6&gt;0,$A173&lt;O$6),AND(O$7&gt;0,$A173&gt;O$7)),0,MAX(0,ROUND((INDEX($E173:$G173,O$5)-SUMIFS(TF_Timer,TF_Tekniker,O$4,TF_Dato,$A173))*2,0)/2)))</f>
        <v/>
      </c>
      <c r="P173">
        <f>IF(OR(P$4="",$A173&gt;TODAY()),0,IF(OR(INDEX($B173:$D173,P$5)="F",AND(P$6&gt;0,$A173&lt;P$6),AND(P$7&gt;0,$A173&gt;P$7)),0,MAX(0,ROUND((INDEX($E173:$G173,P$5)-SUMIFS(TF_Timer,TF_Tekniker,P$4,TF_Dato,$A173))*2,0)/2)))</f>
        <v/>
      </c>
      <c r="Q173">
        <f>IF(OR(Q$4="",$A173&gt;TODAY()),0,IF(OR(INDEX($B173:$D173,Q$5)="F",AND(Q$6&gt;0,$A173&lt;Q$6),AND(Q$7&gt;0,$A173&gt;Q$7)),0,MAX(0,ROUND((INDEX($E173:$G173,Q$5)-SUMIFS(TF_Timer,TF_Tekniker,Q$4,TF_Dato,$A173))*2,0)/2)))</f>
        <v/>
      </c>
      <c r="R173">
        <f>IF(OR(R$4="",$A173&gt;TODAY()),0,IF(OR(INDEX($B173:$D173,R$5)="F",AND(R$6&gt;0,$A173&lt;R$6),AND(R$7&gt;0,$A173&gt;R$7)),0,MAX(0,ROUND((INDEX($E173:$G173,R$5)-SUMIFS(TF_Timer,TF_Tekniker,R$4,TF_Dato,$A173))*2,0)/2)))</f>
        <v/>
      </c>
      <c r="S173">
        <f>IF(OR(S$4="",$A173&gt;TODAY()),0,IF(OR(INDEX($B173:$D173,S$5)="F",AND(S$6&gt;0,$A173&lt;S$6),AND(S$7&gt;0,$A173&gt;S$7)),0,MAX(0,ROUND((INDEX($E173:$G173,S$5)-SUMIFS(TF_Timer,TF_Tekniker,S$4,TF_Dato,$A173))*2,0)/2)))</f>
        <v/>
      </c>
      <c r="T173">
        <f>IF(OR(T$4="",$A173&gt;TODAY()),0,IF(OR(INDEX($B173:$D173,T$5)="F",AND(T$6&gt;0,$A173&lt;T$6),AND(T$7&gt;0,$A173&gt;T$7)),0,MAX(0,ROUND((INDEX($E173:$G173,T$5)-SUMIFS(TF_Timer,TF_Tekniker,T$4,TF_Dato,$A173))*2,0)/2)))</f>
        <v/>
      </c>
      <c r="U173">
        <f>IF(OR(U$4="",$A173&gt;TODAY()),0,IF(OR(INDEX($B173:$D173,U$5)="F",AND(U$6&gt;0,$A173&lt;U$6),AND(U$7&gt;0,$A173&gt;U$7)),0,MAX(0,ROUND((INDEX($E173:$G173,U$5)-SUMIFS(TF_Timer,TF_Tekniker,U$4,TF_Dato,$A173))*2,0)/2)))</f>
        <v/>
      </c>
      <c r="V173">
        <f>IF(OR(V$4="",$A173&gt;TODAY()),0,IF(OR(INDEX($B173:$D173,V$5)="F",AND(V$6&gt;0,$A173&lt;V$6),AND(V$7&gt;0,$A173&gt;V$7)),0,MAX(0,ROUND((INDEX($E173:$G173,V$5)-SUMIFS(TF_Timer,TF_Tekniker,V$4,TF_Dato,$A173))*2,0)/2)))</f>
        <v/>
      </c>
      <c r="W173">
        <f>IF(OR(W$4="",$A173&gt;TODAY()),0,IF(OR(INDEX($B173:$D173,W$5)="F",AND(W$6&gt;0,$A173&lt;W$6),AND(W$7&gt;0,$A173&gt;W$7)),0,MAX(0,ROUND((INDEX($E173:$G173,W$5)-SUMIFS(TF_Timer,TF_Tekniker,W$4,TF_Dato,$A173))*2,0)/2)))</f>
        <v/>
      </c>
      <c r="X173">
        <f>IF(OR(X$4="",$A173&gt;TODAY()),0,IF(OR(INDEX($B173:$D173,X$5)="F",AND(X$6&gt;0,$A173&lt;X$6),AND(X$7&gt;0,$A173&gt;X$7)),0,MAX(0,ROUND((INDEX($E173:$G173,X$5)-SUMIFS(TF_Timer,TF_Tekniker,X$4,TF_Dato,$A173))*2,0)/2)))</f>
        <v/>
      </c>
      <c r="Y173">
        <f>IF(OR(Y$4="",$A173&gt;TODAY()),0,IF(OR(INDEX($B173:$D173,Y$5)="F",AND(Y$6&gt;0,$A173&lt;Y$6),AND(Y$7&gt;0,$A173&gt;Y$7)),0,MAX(0,ROUND((INDEX($E173:$G173,Y$5)-SUMIFS(TF_Timer,TF_Tekniker,Y$4,TF_Dato,$A173))*2,0)/2)))</f>
        <v/>
      </c>
      <c r="Z173">
        <f>IF(OR(Z$4="",$A173&gt;TODAY()),0,IF(OR(INDEX($B173:$D173,Z$5)="F",AND(Z$6&gt;0,$A173&lt;Z$6),AND(Z$7&gt;0,$A173&gt;Z$7)),0,MAX(0,ROUND((INDEX($E173:$G173,Z$5)-SUMIFS(TF_Timer,TF_Tekniker,Z$4,TF_Dato,$A173))*2,0)/2)))</f>
        <v/>
      </c>
      <c r="AA173">
        <f>IF(OR(AA$4="",$A173&gt;TODAY()),0,IF(OR(INDEX($B173:$D173,AA$5)="F",AND(AA$6&gt;0,$A173&lt;AA$6),AND(AA$7&gt;0,$A173&gt;AA$7)),0,MAX(0,ROUND((INDEX($E173:$G173,AA$5)-SUMIFS(TF_Timer,TF_Tekniker,AA$4,TF_Dato,$A173))*2,0)/2)))</f>
        <v/>
      </c>
      <c r="AB173">
        <f>IF(OR(AB$4="",$A173&gt;TODAY()),0,IF(OR(INDEX($B173:$D173,AB$5)="F",AND(AB$6&gt;0,$A173&lt;AB$6),AND(AB$7&gt;0,$A173&gt;AB$7)),0,MAX(0,ROUND((INDEX($E173:$G173,AB$5)-SUMIFS(TF_Timer,TF_Tekniker,AB$4,TF_Dato,$A173))*2,0)/2)))</f>
        <v/>
      </c>
      <c r="AC173">
        <f>IF(OR(AC$4="",$A173&gt;TODAY()),0,IF(OR(INDEX($B173:$D173,AC$5)="F",AND(AC$6&gt;0,$A173&lt;AC$6),AND(AC$7&gt;0,$A173&gt;AC$7)),0,MAX(0,ROUND((INDEX($E173:$G173,AC$5)-SUMIFS(TF_Timer,TF_Tekniker,AC$4,TF_Dato,$A173))*2,0)/2)))</f>
        <v/>
      </c>
      <c r="AD173">
        <f>IF(OR(AD$4="",$A173&gt;TODAY()),0,IF(OR(INDEX($B173:$D173,AD$5)="F",AND(AD$6&gt;0,$A173&lt;AD$6),AND(AD$7&gt;0,$A173&gt;AD$7)),0,MAX(0,ROUND((INDEX($E173:$G173,AD$5)-SUMIFS(TF_Timer,TF_Tekniker,AD$4,TF_Dato,$A173))*2,0)/2)))</f>
        <v/>
      </c>
      <c r="AE173">
        <f>IF(OR(AE$4="",$A173&gt;TODAY()),0,IF(OR(INDEX($B173:$D173,AE$5)="F",AND(AE$6&gt;0,$A173&lt;AE$6),AND(AE$7&gt;0,$A173&gt;AE$7)),0,MAX(0,ROUND((INDEX($E173:$G173,AE$5)-SUMIFS(TF_Timer,TF_Tekniker,AE$4,TF_Dato,$A173))*2,0)/2)))</f>
        <v/>
      </c>
      <c r="AF173">
        <f>IF(OR(AF$4="",$A173&gt;TODAY()),0,IF(OR(INDEX($B173:$D173,AF$5)="F",AND(AF$6&gt;0,$A173&lt;AF$6),AND(AF$7&gt;0,$A173&gt;AF$7)),0,MAX(0,ROUND((INDEX($E173:$G173,AF$5)-SUMIFS(TF_Timer,TF_Tekniker,AF$4,TF_Dato,$A173))*2,0)/2)))</f>
        <v/>
      </c>
      <c r="AG173">
        <f>IF(OR(AG$4="",$A173&gt;TODAY()),0,IF(OR(INDEX($B173:$D173,AG$5)="F",AND(AG$6&gt;0,$A173&lt;AG$6),AND(AG$7&gt;0,$A173&gt;AG$7)),0,MAX(0,ROUND((INDEX($E173:$G173,AG$5)-SUMIFS(TF_Timer,TF_Tekniker,AG$4,TF_Dato,$A173))*2,0)/2)))</f>
        <v/>
      </c>
      <c r="AH173">
        <f>IF(OR(AH$4="",$A173&gt;TODAY()),0,IF(OR(INDEX($B173:$D173,AH$5)="F",AND(AH$6&gt;0,$A173&lt;AH$6),AND(AH$7&gt;0,$A173&gt;AH$7)),0,MAX(0,ROUND((INDEX($E173:$G173,AH$5)-SUMIFS(TF_Timer,TF_Tekniker,AH$4,TF_Dato,$A173))*2,0)/2)))</f>
        <v/>
      </c>
      <c r="AI173">
        <f>IF(OR(AI$4="",$A173&gt;TODAY()),0,IF(OR(INDEX($B173:$D173,AI$5)="F",AND(AI$6&gt;0,$A173&lt;AI$6),AND(AI$7&gt;0,$A173&gt;AI$7)),0,MAX(0,ROUND((INDEX($E173:$G173,AI$5)-SUMIFS(TF_Timer,TF_Tekniker,AI$4,TF_Dato,$A173))*2,0)/2)))</f>
        <v/>
      </c>
      <c r="AJ173">
        <f>IF(OR(AJ$4="",$A173&gt;TODAY()),0,IF(OR(INDEX($B173:$D173,AJ$5)="F",AND(AJ$6&gt;0,$A173&lt;AJ$6),AND(AJ$7&gt;0,$A173&gt;AJ$7)),0,MAX(0,ROUND((INDEX($E173:$G173,AJ$5)-SUMIFS(TF_Timer,TF_Tekniker,AJ$4,TF_Dato,$A173))*2,0)/2)))</f>
        <v/>
      </c>
      <c r="AK173">
        <f>IF(OR(AK$4="",$A173&gt;TODAY()),0,IF(OR(INDEX($B173:$D173,AK$5)="F",AND(AK$6&gt;0,$A173&lt;AK$6),AND(AK$7&gt;0,$A173&gt;AK$7)),0,MAX(0,ROUND((INDEX($E173:$G173,AK$5)-SUMIFS(TF_Timer,TF_Tekniker,AK$4,TF_Dato,$A173))*2,0)/2)))</f>
        <v/>
      </c>
      <c r="AL173">
        <f>IF(OR(AL$4="",$A173&gt;TODAY()),0,IF(OR(INDEX($B173:$D173,AL$5)="F",AND(AL$6&gt;0,$A173&lt;AL$6),AND(AL$7&gt;0,$A173&gt;AL$7)),0,MAX(0,ROUND((INDEX($E173:$G173,AL$5)-SUMIFS(TF_Timer,TF_Tekniker,AL$4,TF_Dato,$A173))*2,0)/2)))</f>
        <v/>
      </c>
      <c r="AM173">
        <f>IF(OR(AM$4="",$A173&gt;TODAY()),0,IF(OR(INDEX($B173:$D173,AM$5)="F",AND(AM$6&gt;0,$A173&lt;AM$6),AND(AM$7&gt;0,$A173&gt;AM$7)),0,MAX(0,ROUND((INDEX($E173:$G173,AM$5)-SUMIFS(TF_Timer,TF_Tekniker,AM$4,TF_Dato,$A173))*2,0)/2)))</f>
        <v/>
      </c>
      <c r="AN173">
        <f>IF(OR(AN$4="",$A173&gt;TODAY()),0,IF(OR(INDEX($B173:$D173,AN$5)="F",AND(AN$6&gt;0,$A173&lt;AN$6),AND(AN$7&gt;0,$A173&gt;AN$7)),0,MAX(0,ROUND((INDEX($E173:$G173,AN$5)-SUMIFS(TF_Timer,TF_Tekniker,AN$4,TF_Dato,$A173))*2,0)/2)))</f>
        <v/>
      </c>
      <c r="AO173">
        <f>IF(OR(AO$4="",$A173&gt;TODAY()),0,IF(OR(INDEX($B173:$D173,AO$5)="F",AND(AO$6&gt;0,$A173&lt;AO$6),AND(AO$7&gt;0,$A173&gt;AO$7)),0,MAX(0,ROUND((INDEX($E173:$G173,AO$5)-SUMIFS(TF_Timer,TF_Tekniker,AO$4,TF_Dato,$A173))*2,0)/2)))</f>
        <v/>
      </c>
      <c r="AP173">
        <f>IF(OR(AP$4="",$A173&gt;TODAY()),0,IF(OR(INDEX($B173:$D173,AP$5)="F",AND(AP$6&gt;0,$A173&lt;AP$6),AND(AP$7&gt;0,$A173&gt;AP$7)),0,MAX(0,ROUND((INDEX($E173:$G173,AP$5)-SUMIFS(TF_Timer,TF_Tekniker,AP$4,TF_Dato,$A173))*2,0)/2)))</f>
        <v/>
      </c>
      <c r="AQ173">
        <f>IF(OR(AQ$4="",$A173&gt;TODAY()),0,IF(OR(INDEX($B173:$D173,AQ$5)="F",AND(AQ$6&gt;0,$A173&lt;AQ$6),AND(AQ$7&gt;0,$A173&gt;AQ$7)),0,MAX(0,ROUND((INDEX($E173:$G173,AQ$5)-SUMIFS(TF_Timer,TF_Tekniker,AQ$4,TF_Dato,$A173))*2,0)/2)))</f>
        <v/>
      </c>
      <c r="AR173">
        <f>IF(OR(AR$4="",$A173&gt;TODAY()),0,IF(OR(INDEX($B173:$D173,AR$5)="F",AND(AR$6&gt;0,$A173&lt;AR$6),AND(AR$7&gt;0,$A173&gt;AR$7)),0,MAX(0,ROUND((INDEX($E173:$G173,AR$5)-SUMIFS(TF_Timer,TF_Tekniker,AR$4,TF_Dato,$A173))*2,0)/2)))</f>
        <v/>
      </c>
      <c r="AS173">
        <f>IF(OR(AS$4="",$A173&gt;TODAY()),0,IF(OR(INDEX($B173:$D173,AS$5)="F",AND(AS$6&gt;0,$A173&lt;AS$6),AND(AS$7&gt;0,$A173&gt;AS$7)),0,MAX(0,ROUND((INDEX($E173:$G173,AS$5)-SUMIFS(TF_Timer,TF_Tekniker,AS$4,TF_Dato,$A173))*2,0)/2)))</f>
        <v/>
      </c>
      <c r="AT173">
        <f>IF(OR(AT$4="",$A173&gt;TODAY()),0,IF(OR(INDEX($B173:$D173,AT$5)="F",AND(AT$6&gt;0,$A173&lt;AT$6),AND(AT$7&gt;0,$A173&gt;AT$7)),0,MAX(0,ROUND((INDEX($E173:$G173,AT$5)-SUMIFS(TF_Timer,TF_Tekniker,AT$4,TF_Dato,$A173))*2,0)/2)))</f>
        <v/>
      </c>
      <c r="AU173">
        <f>IF(OR(AU$4="",$A173&gt;TODAY()),0,IF(OR(INDEX($B173:$D173,AU$5)="F",AND(AU$6&gt;0,$A173&lt;AU$6),AND(AU$7&gt;0,$A173&gt;AU$7)),0,MAX(0,ROUND((INDEX($E173:$G173,AU$5)-SUMIFS(TF_Timer,TF_Tekniker,AU$4,TF_Dato,$A173))*2,0)/2)))</f>
        <v/>
      </c>
      <c r="AV173">
        <f>IF(OR(AV$4="",$A173&gt;TODAY()),0,IF(OR(INDEX($B173:$D173,AV$5)="F",AND(AV$6&gt;0,$A173&lt;AV$6),AND(AV$7&gt;0,$A173&gt;AV$7)),0,MAX(0,ROUND((INDEX($E173:$G173,AV$5)-SUMIFS(TF_Timer,TF_Tekniker,AV$4,TF_Dato,$A173))*2,0)/2)))</f>
        <v/>
      </c>
      <c r="AW173">
        <f>IF(OR(AW$4="",$A173&gt;TODAY()),0,IF(OR(INDEX($B173:$D173,AW$5)="F",AND(AW$6&gt;0,$A173&lt;AW$6),AND(AW$7&gt;0,$A173&gt;AW$7)),0,MAX(0,ROUND((INDEX($E173:$G173,AW$5)-SUMIFS(TF_Timer,TF_Tekniker,AW$4,TF_Dato,$A173))*2,0)/2)))</f>
        <v/>
      </c>
      <c r="AX173">
        <f>IF(OR(AX$4="",$A173&gt;TODAY()),0,IF(OR(INDEX($B173:$D173,AX$5)="F",AND(AX$6&gt;0,$A173&lt;AX$6),AND(AX$7&gt;0,$A173&gt;AX$7)),0,MAX(0,ROUND((INDEX($E173:$G173,AX$5)-SUMIFS(TF_Timer,TF_Tekniker,AX$4,TF_Dato,$A173))*2,0)/2)))</f>
        <v/>
      </c>
      <c r="AY173">
        <f>IF(OR(AY$4="",$A173&gt;TODAY()),0,IF(OR(INDEX($B173:$D173,AY$5)="F",AND(AY$6&gt;0,$A173&lt;AY$6),AND(AY$7&gt;0,$A173&gt;AY$7)),0,MAX(0,ROUND((INDEX($E173:$G173,AY$5)-SUMIFS(TF_Timer,TF_Tekniker,AY$4,TF_Dato,$A173))*2,0)/2)))</f>
        <v/>
      </c>
      <c r="AZ173">
        <f>IF(OR(AZ$4="",$A173&gt;TODAY()),0,IF(OR(INDEX($B173:$D173,AZ$5)="F",AND(AZ$6&gt;0,$A173&lt;AZ$6),AND(AZ$7&gt;0,$A173&gt;AZ$7)),0,MAX(0,ROUND((INDEX($E173:$G173,AZ$5)-SUMIFS(TF_Timer,TF_Tekniker,AZ$4,TF_Dato,$A173))*2,0)/2)))</f>
        <v/>
      </c>
      <c r="BA173">
        <f>IF(OR(BA$4="",$A173&gt;TODAY()),0,IF(OR(INDEX($B173:$D173,BA$5)="F",AND(BA$6&gt;0,$A173&lt;BA$6),AND(BA$7&gt;0,$A173&gt;BA$7)),0,MAX(0,ROUND((INDEX($E173:$G173,BA$5)-SUMIFS(TF_Timer,TF_Tekniker,BA$4,TF_Dato,$A173))*2,0)/2)))</f>
        <v/>
      </c>
      <c r="BB173">
        <f>IF(OR(BB$4="",$A173&gt;TODAY()),0,IF(OR(INDEX($B173:$D173,BB$5)="F",AND(BB$6&gt;0,$A173&lt;BB$6),AND(BB$7&gt;0,$A173&gt;BB$7)),0,MAX(0,ROUND((INDEX($E173:$G173,BB$5)-SUMIFS(TF_Timer,TF_Tekniker,BB$4,TF_Dato,$A173))*2,0)/2)))</f>
        <v/>
      </c>
      <c r="BC173">
        <f>IF(OR(BC$4="",$A173&gt;TODAY()),0,IF(OR(INDEX($B173:$D173,BC$5)="F",AND(BC$6&gt;0,$A173&lt;BC$6),AND(BC$7&gt;0,$A173&gt;BC$7)),0,MAX(0,ROUND((INDEX($E173:$G173,BC$5)-SUMIFS(TF_Timer,TF_Tekniker,BC$4,TF_Dato,$A173))*2,0)/2)))</f>
        <v/>
      </c>
      <c r="BD173">
        <f>IF(OR(BD$4="",$A173&gt;TODAY()),0,IF(OR(INDEX($B173:$D173,BD$5)="F",AND(BD$6&gt;0,$A173&lt;BD$6),AND(BD$7&gt;0,$A173&gt;BD$7)),0,MAX(0,ROUND((INDEX($E173:$G173,BD$5)-SUMIFS(TF_Timer,TF_Tekniker,BD$4,TF_Dato,$A173))*2,0)/2)))</f>
        <v/>
      </c>
      <c r="BE173">
        <f>IF(OR(BE$4="",$A173&gt;TODAY()),0,IF(OR(INDEX($B173:$D173,BE$5)="F",AND(BE$6&gt;0,$A173&lt;BE$6),AND(BE$7&gt;0,$A173&gt;BE$7)),0,MAX(0,ROUND((INDEX($E173:$G173,BE$5)-SUMIFS(TF_Timer,TF_Tekniker,BE$4,TF_Dato,$A173))*2,0)/2)))</f>
        <v/>
      </c>
      <c r="BF173">
        <f>IF(OR(BF$4="",$A173&gt;TODAY()),0,IF(OR(INDEX($B173:$D173,BF$5)="F",AND(BF$6&gt;0,$A173&lt;BF$6),AND(BF$7&gt;0,$A173&gt;BF$7)),0,MAX(0,ROUND((INDEX($E173:$G173,BF$5)-SUMIFS(TF_Timer,TF_Tekniker,BF$4,TF_Dato,$A173))*2,0)/2)))</f>
        <v/>
      </c>
      <c r="BG173">
        <f>IF(OR(BG$4="",$A173&gt;TODAY()),0,IF(OR(INDEX($B173:$D173,BG$5)="F",AND(BG$6&gt;0,$A173&lt;BG$6),AND(BG$7&gt;0,$A173&gt;BG$7)),0,MAX(0,ROUND((INDEX($E173:$G173,BG$5)-SUMIFS(TF_Timer,TF_Tekniker,BG$4,TF_Dato,$A173))*2,0)/2)))</f>
        <v/>
      </c>
      <c r="BH173">
        <f>IF(OR(BH$4="",$A173&gt;TODAY()),0,IF(OR(INDEX($B173:$D173,BH$5)="F",AND(BH$6&gt;0,$A173&lt;BH$6),AND(BH$7&gt;0,$A173&gt;BH$7)),0,MAX(0,ROUND((INDEX($E173:$G173,BH$5)-SUMIFS(TF_Timer,TF_Tekniker,BH$4,TF_Dato,$A173))*2,0)/2)))</f>
        <v/>
      </c>
      <c r="BI173">
        <f>IF(OR(BI$4="",$A173&gt;TODAY()),0,IF(OR(INDEX($B173:$D173,BI$5)="F",AND(BI$6&gt;0,$A173&lt;BI$6),AND(BI$7&gt;0,$A173&gt;BI$7)),0,MAX(0,ROUND((INDEX($E173:$G173,BI$5)-SUMIFS(TF_Timer,TF_Tekniker,BI$4,TF_Dato,$A173))*2,0)/2)))</f>
        <v/>
      </c>
    </row>
    <row r="174">
      <c r="A174" s="64">
        <f>A173+1</f>
        <v/>
      </c>
      <c r="B174">
        <f>IF(MOD($A174-INDEX(SkiftStart,1),Syklus)&lt;DagK,"K",IF(MOD($A174-INDEX(SkiftStart,1),Syklus)&lt;DagK+DagH,"H",IF(MOD($A174-INDEX(SkiftStart,1),Syklus)&lt;DagK+DagH+DagD,"D","F")))</f>
        <v/>
      </c>
      <c r="C174">
        <f>IF(MOD($A174-INDEX(SkiftStart,2),Syklus)&lt;DagK,"K",IF(MOD($A174-INDEX(SkiftStart,2),Syklus)&lt;DagK+DagH,"H",IF(MOD($A174-INDEX(SkiftStart,2),Syklus)&lt;DagK+DagH+DagD,"D","F")))</f>
        <v/>
      </c>
      <c r="D174">
        <f>IF(MOD($A174-INDEX(SkiftStart,3),Syklus)&lt;DagK,"K",IF(MOD($A174-INDEX(SkiftStart,3),Syklus)&lt;DagK+DagH,"H",IF(MOD($A174-INDEX(SkiftStart,3),Syklus)&lt;DagK+DagH+DagD,"D","F")))</f>
        <v/>
      </c>
      <c r="E174">
        <f>IF(B174="F",0,IF(WEEKDAY($A174,2)=5,INDEX(TimerFr,MATCH(B174,FaseKode,0)),INDEX(TimerMT,MATCH(B174,FaseKode,0))))</f>
        <v/>
      </c>
      <c r="F174">
        <f>IF(C174="F",0,IF(WEEKDAY($A174,2)=5,INDEX(TimerFr,MATCH(C174,FaseKode,0)),INDEX(TimerMT,MATCH(C174,FaseKode,0))))</f>
        <v/>
      </c>
      <c r="G174">
        <f>IF(D174="F",0,IF(WEEKDAY($A174,2)=5,INDEX(TimerFr,MATCH(D174,FaseKode,0)),INDEX(TimerMT,MATCH(D174,FaseKode,0))))</f>
        <v/>
      </c>
      <c r="H174">
        <f>IF(OR(H$4="",$A174&gt;TODAY()),0,IF(OR(INDEX($B174:$D174,H$5)="F",AND(H$6&gt;0,$A174&lt;H$6),AND(H$7&gt;0,$A174&gt;H$7)),0,MAX(0,ROUND((INDEX($E174:$G174,H$5)-SUMIFS(TF_Timer,TF_Tekniker,H$4,TF_Dato,$A174))*2,0)/2)))</f>
        <v/>
      </c>
      <c r="I174">
        <f>IF(OR(I$4="",$A174&gt;TODAY()),0,IF(OR(INDEX($B174:$D174,I$5)="F",AND(I$6&gt;0,$A174&lt;I$6),AND(I$7&gt;0,$A174&gt;I$7)),0,MAX(0,ROUND((INDEX($E174:$G174,I$5)-SUMIFS(TF_Timer,TF_Tekniker,I$4,TF_Dato,$A174))*2,0)/2)))</f>
        <v/>
      </c>
      <c r="J174">
        <f>IF(OR(J$4="",$A174&gt;TODAY()),0,IF(OR(INDEX($B174:$D174,J$5)="F",AND(J$6&gt;0,$A174&lt;J$6),AND(J$7&gt;0,$A174&gt;J$7)),0,MAX(0,ROUND((INDEX($E174:$G174,J$5)-SUMIFS(TF_Timer,TF_Tekniker,J$4,TF_Dato,$A174))*2,0)/2)))</f>
        <v/>
      </c>
      <c r="K174">
        <f>IF(OR(K$4="",$A174&gt;TODAY()),0,IF(OR(INDEX($B174:$D174,K$5)="F",AND(K$6&gt;0,$A174&lt;K$6),AND(K$7&gt;0,$A174&gt;K$7)),0,MAX(0,ROUND((INDEX($E174:$G174,K$5)-SUMIFS(TF_Timer,TF_Tekniker,K$4,TF_Dato,$A174))*2,0)/2)))</f>
        <v/>
      </c>
      <c r="L174">
        <f>IF(OR(L$4="",$A174&gt;TODAY()),0,IF(OR(INDEX($B174:$D174,L$5)="F",AND(L$6&gt;0,$A174&lt;L$6),AND(L$7&gt;0,$A174&gt;L$7)),0,MAX(0,ROUND((INDEX($E174:$G174,L$5)-SUMIFS(TF_Timer,TF_Tekniker,L$4,TF_Dato,$A174))*2,0)/2)))</f>
        <v/>
      </c>
      <c r="M174">
        <f>IF(OR(M$4="",$A174&gt;TODAY()),0,IF(OR(INDEX($B174:$D174,M$5)="F",AND(M$6&gt;0,$A174&lt;M$6),AND(M$7&gt;0,$A174&gt;M$7)),0,MAX(0,ROUND((INDEX($E174:$G174,M$5)-SUMIFS(TF_Timer,TF_Tekniker,M$4,TF_Dato,$A174))*2,0)/2)))</f>
        <v/>
      </c>
      <c r="N174">
        <f>IF(OR(N$4="",$A174&gt;TODAY()),0,IF(OR(INDEX($B174:$D174,N$5)="F",AND(N$6&gt;0,$A174&lt;N$6),AND(N$7&gt;0,$A174&gt;N$7)),0,MAX(0,ROUND((INDEX($E174:$G174,N$5)-SUMIFS(TF_Timer,TF_Tekniker,N$4,TF_Dato,$A174))*2,0)/2)))</f>
        <v/>
      </c>
      <c r="O174">
        <f>IF(OR(O$4="",$A174&gt;TODAY()),0,IF(OR(INDEX($B174:$D174,O$5)="F",AND(O$6&gt;0,$A174&lt;O$6),AND(O$7&gt;0,$A174&gt;O$7)),0,MAX(0,ROUND((INDEX($E174:$G174,O$5)-SUMIFS(TF_Timer,TF_Tekniker,O$4,TF_Dato,$A174))*2,0)/2)))</f>
        <v/>
      </c>
      <c r="P174">
        <f>IF(OR(P$4="",$A174&gt;TODAY()),0,IF(OR(INDEX($B174:$D174,P$5)="F",AND(P$6&gt;0,$A174&lt;P$6),AND(P$7&gt;0,$A174&gt;P$7)),0,MAX(0,ROUND((INDEX($E174:$G174,P$5)-SUMIFS(TF_Timer,TF_Tekniker,P$4,TF_Dato,$A174))*2,0)/2)))</f>
        <v/>
      </c>
      <c r="Q174">
        <f>IF(OR(Q$4="",$A174&gt;TODAY()),0,IF(OR(INDEX($B174:$D174,Q$5)="F",AND(Q$6&gt;0,$A174&lt;Q$6),AND(Q$7&gt;0,$A174&gt;Q$7)),0,MAX(0,ROUND((INDEX($E174:$G174,Q$5)-SUMIFS(TF_Timer,TF_Tekniker,Q$4,TF_Dato,$A174))*2,0)/2)))</f>
        <v/>
      </c>
      <c r="R174">
        <f>IF(OR(R$4="",$A174&gt;TODAY()),0,IF(OR(INDEX($B174:$D174,R$5)="F",AND(R$6&gt;0,$A174&lt;R$6),AND(R$7&gt;0,$A174&gt;R$7)),0,MAX(0,ROUND((INDEX($E174:$G174,R$5)-SUMIFS(TF_Timer,TF_Tekniker,R$4,TF_Dato,$A174))*2,0)/2)))</f>
        <v/>
      </c>
      <c r="S174">
        <f>IF(OR(S$4="",$A174&gt;TODAY()),0,IF(OR(INDEX($B174:$D174,S$5)="F",AND(S$6&gt;0,$A174&lt;S$6),AND(S$7&gt;0,$A174&gt;S$7)),0,MAX(0,ROUND((INDEX($E174:$G174,S$5)-SUMIFS(TF_Timer,TF_Tekniker,S$4,TF_Dato,$A174))*2,0)/2)))</f>
        <v/>
      </c>
      <c r="T174">
        <f>IF(OR(T$4="",$A174&gt;TODAY()),0,IF(OR(INDEX($B174:$D174,T$5)="F",AND(T$6&gt;0,$A174&lt;T$6),AND(T$7&gt;0,$A174&gt;T$7)),0,MAX(0,ROUND((INDEX($E174:$G174,T$5)-SUMIFS(TF_Timer,TF_Tekniker,T$4,TF_Dato,$A174))*2,0)/2)))</f>
        <v/>
      </c>
      <c r="U174">
        <f>IF(OR(U$4="",$A174&gt;TODAY()),0,IF(OR(INDEX($B174:$D174,U$5)="F",AND(U$6&gt;0,$A174&lt;U$6),AND(U$7&gt;0,$A174&gt;U$7)),0,MAX(0,ROUND((INDEX($E174:$G174,U$5)-SUMIFS(TF_Timer,TF_Tekniker,U$4,TF_Dato,$A174))*2,0)/2)))</f>
        <v/>
      </c>
      <c r="V174">
        <f>IF(OR(V$4="",$A174&gt;TODAY()),0,IF(OR(INDEX($B174:$D174,V$5)="F",AND(V$6&gt;0,$A174&lt;V$6),AND(V$7&gt;0,$A174&gt;V$7)),0,MAX(0,ROUND((INDEX($E174:$G174,V$5)-SUMIFS(TF_Timer,TF_Tekniker,V$4,TF_Dato,$A174))*2,0)/2)))</f>
        <v/>
      </c>
      <c r="W174">
        <f>IF(OR(W$4="",$A174&gt;TODAY()),0,IF(OR(INDEX($B174:$D174,W$5)="F",AND(W$6&gt;0,$A174&lt;W$6),AND(W$7&gt;0,$A174&gt;W$7)),0,MAX(0,ROUND((INDEX($E174:$G174,W$5)-SUMIFS(TF_Timer,TF_Tekniker,W$4,TF_Dato,$A174))*2,0)/2)))</f>
        <v/>
      </c>
      <c r="X174">
        <f>IF(OR(X$4="",$A174&gt;TODAY()),0,IF(OR(INDEX($B174:$D174,X$5)="F",AND(X$6&gt;0,$A174&lt;X$6),AND(X$7&gt;0,$A174&gt;X$7)),0,MAX(0,ROUND((INDEX($E174:$G174,X$5)-SUMIFS(TF_Timer,TF_Tekniker,X$4,TF_Dato,$A174))*2,0)/2)))</f>
        <v/>
      </c>
      <c r="Y174">
        <f>IF(OR(Y$4="",$A174&gt;TODAY()),0,IF(OR(INDEX($B174:$D174,Y$5)="F",AND(Y$6&gt;0,$A174&lt;Y$6),AND(Y$7&gt;0,$A174&gt;Y$7)),0,MAX(0,ROUND((INDEX($E174:$G174,Y$5)-SUMIFS(TF_Timer,TF_Tekniker,Y$4,TF_Dato,$A174))*2,0)/2)))</f>
        <v/>
      </c>
      <c r="Z174">
        <f>IF(OR(Z$4="",$A174&gt;TODAY()),0,IF(OR(INDEX($B174:$D174,Z$5)="F",AND(Z$6&gt;0,$A174&lt;Z$6),AND(Z$7&gt;0,$A174&gt;Z$7)),0,MAX(0,ROUND((INDEX($E174:$G174,Z$5)-SUMIFS(TF_Timer,TF_Tekniker,Z$4,TF_Dato,$A174))*2,0)/2)))</f>
        <v/>
      </c>
      <c r="AA174">
        <f>IF(OR(AA$4="",$A174&gt;TODAY()),0,IF(OR(INDEX($B174:$D174,AA$5)="F",AND(AA$6&gt;0,$A174&lt;AA$6),AND(AA$7&gt;0,$A174&gt;AA$7)),0,MAX(0,ROUND((INDEX($E174:$G174,AA$5)-SUMIFS(TF_Timer,TF_Tekniker,AA$4,TF_Dato,$A174))*2,0)/2)))</f>
        <v/>
      </c>
      <c r="AB174">
        <f>IF(OR(AB$4="",$A174&gt;TODAY()),0,IF(OR(INDEX($B174:$D174,AB$5)="F",AND(AB$6&gt;0,$A174&lt;AB$6),AND(AB$7&gt;0,$A174&gt;AB$7)),0,MAX(0,ROUND((INDEX($E174:$G174,AB$5)-SUMIFS(TF_Timer,TF_Tekniker,AB$4,TF_Dato,$A174))*2,0)/2)))</f>
        <v/>
      </c>
      <c r="AC174">
        <f>IF(OR(AC$4="",$A174&gt;TODAY()),0,IF(OR(INDEX($B174:$D174,AC$5)="F",AND(AC$6&gt;0,$A174&lt;AC$6),AND(AC$7&gt;0,$A174&gt;AC$7)),0,MAX(0,ROUND((INDEX($E174:$G174,AC$5)-SUMIFS(TF_Timer,TF_Tekniker,AC$4,TF_Dato,$A174))*2,0)/2)))</f>
        <v/>
      </c>
      <c r="AD174">
        <f>IF(OR(AD$4="",$A174&gt;TODAY()),0,IF(OR(INDEX($B174:$D174,AD$5)="F",AND(AD$6&gt;0,$A174&lt;AD$6),AND(AD$7&gt;0,$A174&gt;AD$7)),0,MAX(0,ROUND((INDEX($E174:$G174,AD$5)-SUMIFS(TF_Timer,TF_Tekniker,AD$4,TF_Dato,$A174))*2,0)/2)))</f>
        <v/>
      </c>
      <c r="AE174">
        <f>IF(OR(AE$4="",$A174&gt;TODAY()),0,IF(OR(INDEX($B174:$D174,AE$5)="F",AND(AE$6&gt;0,$A174&lt;AE$6),AND(AE$7&gt;0,$A174&gt;AE$7)),0,MAX(0,ROUND((INDEX($E174:$G174,AE$5)-SUMIFS(TF_Timer,TF_Tekniker,AE$4,TF_Dato,$A174))*2,0)/2)))</f>
        <v/>
      </c>
      <c r="AF174">
        <f>IF(OR(AF$4="",$A174&gt;TODAY()),0,IF(OR(INDEX($B174:$D174,AF$5)="F",AND(AF$6&gt;0,$A174&lt;AF$6),AND(AF$7&gt;0,$A174&gt;AF$7)),0,MAX(0,ROUND((INDEX($E174:$G174,AF$5)-SUMIFS(TF_Timer,TF_Tekniker,AF$4,TF_Dato,$A174))*2,0)/2)))</f>
        <v/>
      </c>
      <c r="AG174">
        <f>IF(OR(AG$4="",$A174&gt;TODAY()),0,IF(OR(INDEX($B174:$D174,AG$5)="F",AND(AG$6&gt;0,$A174&lt;AG$6),AND(AG$7&gt;0,$A174&gt;AG$7)),0,MAX(0,ROUND((INDEX($E174:$G174,AG$5)-SUMIFS(TF_Timer,TF_Tekniker,AG$4,TF_Dato,$A174))*2,0)/2)))</f>
        <v/>
      </c>
      <c r="AH174">
        <f>IF(OR(AH$4="",$A174&gt;TODAY()),0,IF(OR(INDEX($B174:$D174,AH$5)="F",AND(AH$6&gt;0,$A174&lt;AH$6),AND(AH$7&gt;0,$A174&gt;AH$7)),0,MAX(0,ROUND((INDEX($E174:$G174,AH$5)-SUMIFS(TF_Timer,TF_Tekniker,AH$4,TF_Dato,$A174))*2,0)/2)))</f>
        <v/>
      </c>
      <c r="AI174">
        <f>IF(OR(AI$4="",$A174&gt;TODAY()),0,IF(OR(INDEX($B174:$D174,AI$5)="F",AND(AI$6&gt;0,$A174&lt;AI$6),AND(AI$7&gt;0,$A174&gt;AI$7)),0,MAX(0,ROUND((INDEX($E174:$G174,AI$5)-SUMIFS(TF_Timer,TF_Tekniker,AI$4,TF_Dato,$A174))*2,0)/2)))</f>
        <v/>
      </c>
      <c r="AJ174">
        <f>IF(OR(AJ$4="",$A174&gt;TODAY()),0,IF(OR(INDEX($B174:$D174,AJ$5)="F",AND(AJ$6&gt;0,$A174&lt;AJ$6),AND(AJ$7&gt;0,$A174&gt;AJ$7)),0,MAX(0,ROUND((INDEX($E174:$G174,AJ$5)-SUMIFS(TF_Timer,TF_Tekniker,AJ$4,TF_Dato,$A174))*2,0)/2)))</f>
        <v/>
      </c>
      <c r="AK174">
        <f>IF(OR(AK$4="",$A174&gt;TODAY()),0,IF(OR(INDEX($B174:$D174,AK$5)="F",AND(AK$6&gt;0,$A174&lt;AK$6),AND(AK$7&gt;0,$A174&gt;AK$7)),0,MAX(0,ROUND((INDEX($E174:$G174,AK$5)-SUMIFS(TF_Timer,TF_Tekniker,AK$4,TF_Dato,$A174))*2,0)/2)))</f>
        <v/>
      </c>
      <c r="AL174">
        <f>IF(OR(AL$4="",$A174&gt;TODAY()),0,IF(OR(INDEX($B174:$D174,AL$5)="F",AND(AL$6&gt;0,$A174&lt;AL$6),AND(AL$7&gt;0,$A174&gt;AL$7)),0,MAX(0,ROUND((INDEX($E174:$G174,AL$5)-SUMIFS(TF_Timer,TF_Tekniker,AL$4,TF_Dato,$A174))*2,0)/2)))</f>
        <v/>
      </c>
      <c r="AM174">
        <f>IF(OR(AM$4="",$A174&gt;TODAY()),0,IF(OR(INDEX($B174:$D174,AM$5)="F",AND(AM$6&gt;0,$A174&lt;AM$6),AND(AM$7&gt;0,$A174&gt;AM$7)),0,MAX(0,ROUND((INDEX($E174:$G174,AM$5)-SUMIFS(TF_Timer,TF_Tekniker,AM$4,TF_Dato,$A174))*2,0)/2)))</f>
        <v/>
      </c>
      <c r="AN174">
        <f>IF(OR(AN$4="",$A174&gt;TODAY()),0,IF(OR(INDEX($B174:$D174,AN$5)="F",AND(AN$6&gt;0,$A174&lt;AN$6),AND(AN$7&gt;0,$A174&gt;AN$7)),0,MAX(0,ROUND((INDEX($E174:$G174,AN$5)-SUMIFS(TF_Timer,TF_Tekniker,AN$4,TF_Dato,$A174))*2,0)/2)))</f>
        <v/>
      </c>
      <c r="AO174">
        <f>IF(OR(AO$4="",$A174&gt;TODAY()),0,IF(OR(INDEX($B174:$D174,AO$5)="F",AND(AO$6&gt;0,$A174&lt;AO$6),AND(AO$7&gt;0,$A174&gt;AO$7)),0,MAX(0,ROUND((INDEX($E174:$G174,AO$5)-SUMIFS(TF_Timer,TF_Tekniker,AO$4,TF_Dato,$A174))*2,0)/2)))</f>
        <v/>
      </c>
      <c r="AP174">
        <f>IF(OR(AP$4="",$A174&gt;TODAY()),0,IF(OR(INDEX($B174:$D174,AP$5)="F",AND(AP$6&gt;0,$A174&lt;AP$6),AND(AP$7&gt;0,$A174&gt;AP$7)),0,MAX(0,ROUND((INDEX($E174:$G174,AP$5)-SUMIFS(TF_Timer,TF_Tekniker,AP$4,TF_Dato,$A174))*2,0)/2)))</f>
        <v/>
      </c>
      <c r="AQ174">
        <f>IF(OR(AQ$4="",$A174&gt;TODAY()),0,IF(OR(INDEX($B174:$D174,AQ$5)="F",AND(AQ$6&gt;0,$A174&lt;AQ$6),AND(AQ$7&gt;0,$A174&gt;AQ$7)),0,MAX(0,ROUND((INDEX($E174:$G174,AQ$5)-SUMIFS(TF_Timer,TF_Tekniker,AQ$4,TF_Dato,$A174))*2,0)/2)))</f>
        <v/>
      </c>
      <c r="AR174">
        <f>IF(OR(AR$4="",$A174&gt;TODAY()),0,IF(OR(INDEX($B174:$D174,AR$5)="F",AND(AR$6&gt;0,$A174&lt;AR$6),AND(AR$7&gt;0,$A174&gt;AR$7)),0,MAX(0,ROUND((INDEX($E174:$G174,AR$5)-SUMIFS(TF_Timer,TF_Tekniker,AR$4,TF_Dato,$A174))*2,0)/2)))</f>
        <v/>
      </c>
      <c r="AS174">
        <f>IF(OR(AS$4="",$A174&gt;TODAY()),0,IF(OR(INDEX($B174:$D174,AS$5)="F",AND(AS$6&gt;0,$A174&lt;AS$6),AND(AS$7&gt;0,$A174&gt;AS$7)),0,MAX(0,ROUND((INDEX($E174:$G174,AS$5)-SUMIFS(TF_Timer,TF_Tekniker,AS$4,TF_Dato,$A174))*2,0)/2)))</f>
        <v/>
      </c>
      <c r="AT174">
        <f>IF(OR(AT$4="",$A174&gt;TODAY()),0,IF(OR(INDEX($B174:$D174,AT$5)="F",AND(AT$6&gt;0,$A174&lt;AT$6),AND(AT$7&gt;0,$A174&gt;AT$7)),0,MAX(0,ROUND((INDEX($E174:$G174,AT$5)-SUMIFS(TF_Timer,TF_Tekniker,AT$4,TF_Dato,$A174))*2,0)/2)))</f>
        <v/>
      </c>
      <c r="AU174">
        <f>IF(OR(AU$4="",$A174&gt;TODAY()),0,IF(OR(INDEX($B174:$D174,AU$5)="F",AND(AU$6&gt;0,$A174&lt;AU$6),AND(AU$7&gt;0,$A174&gt;AU$7)),0,MAX(0,ROUND((INDEX($E174:$G174,AU$5)-SUMIFS(TF_Timer,TF_Tekniker,AU$4,TF_Dato,$A174))*2,0)/2)))</f>
        <v/>
      </c>
      <c r="AV174">
        <f>IF(OR(AV$4="",$A174&gt;TODAY()),0,IF(OR(INDEX($B174:$D174,AV$5)="F",AND(AV$6&gt;0,$A174&lt;AV$6),AND(AV$7&gt;0,$A174&gt;AV$7)),0,MAX(0,ROUND((INDEX($E174:$G174,AV$5)-SUMIFS(TF_Timer,TF_Tekniker,AV$4,TF_Dato,$A174))*2,0)/2)))</f>
        <v/>
      </c>
      <c r="AW174">
        <f>IF(OR(AW$4="",$A174&gt;TODAY()),0,IF(OR(INDEX($B174:$D174,AW$5)="F",AND(AW$6&gt;0,$A174&lt;AW$6),AND(AW$7&gt;0,$A174&gt;AW$7)),0,MAX(0,ROUND((INDEX($E174:$G174,AW$5)-SUMIFS(TF_Timer,TF_Tekniker,AW$4,TF_Dato,$A174))*2,0)/2)))</f>
        <v/>
      </c>
      <c r="AX174">
        <f>IF(OR(AX$4="",$A174&gt;TODAY()),0,IF(OR(INDEX($B174:$D174,AX$5)="F",AND(AX$6&gt;0,$A174&lt;AX$6),AND(AX$7&gt;0,$A174&gt;AX$7)),0,MAX(0,ROUND((INDEX($E174:$G174,AX$5)-SUMIFS(TF_Timer,TF_Tekniker,AX$4,TF_Dato,$A174))*2,0)/2)))</f>
        <v/>
      </c>
      <c r="AY174">
        <f>IF(OR(AY$4="",$A174&gt;TODAY()),0,IF(OR(INDEX($B174:$D174,AY$5)="F",AND(AY$6&gt;0,$A174&lt;AY$6),AND(AY$7&gt;0,$A174&gt;AY$7)),0,MAX(0,ROUND((INDEX($E174:$G174,AY$5)-SUMIFS(TF_Timer,TF_Tekniker,AY$4,TF_Dato,$A174))*2,0)/2)))</f>
        <v/>
      </c>
      <c r="AZ174">
        <f>IF(OR(AZ$4="",$A174&gt;TODAY()),0,IF(OR(INDEX($B174:$D174,AZ$5)="F",AND(AZ$6&gt;0,$A174&lt;AZ$6),AND(AZ$7&gt;0,$A174&gt;AZ$7)),0,MAX(0,ROUND((INDEX($E174:$G174,AZ$5)-SUMIFS(TF_Timer,TF_Tekniker,AZ$4,TF_Dato,$A174))*2,0)/2)))</f>
        <v/>
      </c>
      <c r="BA174">
        <f>IF(OR(BA$4="",$A174&gt;TODAY()),0,IF(OR(INDEX($B174:$D174,BA$5)="F",AND(BA$6&gt;0,$A174&lt;BA$6),AND(BA$7&gt;0,$A174&gt;BA$7)),0,MAX(0,ROUND((INDEX($E174:$G174,BA$5)-SUMIFS(TF_Timer,TF_Tekniker,BA$4,TF_Dato,$A174))*2,0)/2)))</f>
        <v/>
      </c>
      <c r="BB174">
        <f>IF(OR(BB$4="",$A174&gt;TODAY()),0,IF(OR(INDEX($B174:$D174,BB$5)="F",AND(BB$6&gt;0,$A174&lt;BB$6),AND(BB$7&gt;0,$A174&gt;BB$7)),0,MAX(0,ROUND((INDEX($E174:$G174,BB$5)-SUMIFS(TF_Timer,TF_Tekniker,BB$4,TF_Dato,$A174))*2,0)/2)))</f>
        <v/>
      </c>
      <c r="BC174">
        <f>IF(OR(BC$4="",$A174&gt;TODAY()),0,IF(OR(INDEX($B174:$D174,BC$5)="F",AND(BC$6&gt;0,$A174&lt;BC$6),AND(BC$7&gt;0,$A174&gt;BC$7)),0,MAX(0,ROUND((INDEX($E174:$G174,BC$5)-SUMIFS(TF_Timer,TF_Tekniker,BC$4,TF_Dato,$A174))*2,0)/2)))</f>
        <v/>
      </c>
      <c r="BD174">
        <f>IF(OR(BD$4="",$A174&gt;TODAY()),0,IF(OR(INDEX($B174:$D174,BD$5)="F",AND(BD$6&gt;0,$A174&lt;BD$6),AND(BD$7&gt;0,$A174&gt;BD$7)),0,MAX(0,ROUND((INDEX($E174:$G174,BD$5)-SUMIFS(TF_Timer,TF_Tekniker,BD$4,TF_Dato,$A174))*2,0)/2)))</f>
        <v/>
      </c>
      <c r="BE174">
        <f>IF(OR(BE$4="",$A174&gt;TODAY()),0,IF(OR(INDEX($B174:$D174,BE$5)="F",AND(BE$6&gt;0,$A174&lt;BE$6),AND(BE$7&gt;0,$A174&gt;BE$7)),0,MAX(0,ROUND((INDEX($E174:$G174,BE$5)-SUMIFS(TF_Timer,TF_Tekniker,BE$4,TF_Dato,$A174))*2,0)/2)))</f>
        <v/>
      </c>
      <c r="BF174">
        <f>IF(OR(BF$4="",$A174&gt;TODAY()),0,IF(OR(INDEX($B174:$D174,BF$5)="F",AND(BF$6&gt;0,$A174&lt;BF$6),AND(BF$7&gt;0,$A174&gt;BF$7)),0,MAX(0,ROUND((INDEX($E174:$G174,BF$5)-SUMIFS(TF_Timer,TF_Tekniker,BF$4,TF_Dato,$A174))*2,0)/2)))</f>
        <v/>
      </c>
      <c r="BG174">
        <f>IF(OR(BG$4="",$A174&gt;TODAY()),0,IF(OR(INDEX($B174:$D174,BG$5)="F",AND(BG$6&gt;0,$A174&lt;BG$6),AND(BG$7&gt;0,$A174&gt;BG$7)),0,MAX(0,ROUND((INDEX($E174:$G174,BG$5)-SUMIFS(TF_Timer,TF_Tekniker,BG$4,TF_Dato,$A174))*2,0)/2)))</f>
        <v/>
      </c>
      <c r="BH174">
        <f>IF(OR(BH$4="",$A174&gt;TODAY()),0,IF(OR(INDEX($B174:$D174,BH$5)="F",AND(BH$6&gt;0,$A174&lt;BH$6),AND(BH$7&gt;0,$A174&gt;BH$7)),0,MAX(0,ROUND((INDEX($E174:$G174,BH$5)-SUMIFS(TF_Timer,TF_Tekniker,BH$4,TF_Dato,$A174))*2,0)/2)))</f>
        <v/>
      </c>
      <c r="BI174">
        <f>IF(OR(BI$4="",$A174&gt;TODAY()),0,IF(OR(INDEX($B174:$D174,BI$5)="F",AND(BI$6&gt;0,$A174&lt;BI$6),AND(BI$7&gt;0,$A174&gt;BI$7)),0,MAX(0,ROUND((INDEX($E174:$G174,BI$5)-SUMIFS(TF_Timer,TF_Tekniker,BI$4,TF_Dato,$A174))*2,0)/2)))</f>
        <v/>
      </c>
    </row>
    <row r="175">
      <c r="A175" s="64">
        <f>A174+1</f>
        <v/>
      </c>
      <c r="B175">
        <f>IF(MOD($A175-INDEX(SkiftStart,1),Syklus)&lt;DagK,"K",IF(MOD($A175-INDEX(SkiftStart,1),Syklus)&lt;DagK+DagH,"H",IF(MOD($A175-INDEX(SkiftStart,1),Syklus)&lt;DagK+DagH+DagD,"D","F")))</f>
        <v/>
      </c>
      <c r="C175">
        <f>IF(MOD($A175-INDEX(SkiftStart,2),Syklus)&lt;DagK,"K",IF(MOD($A175-INDEX(SkiftStart,2),Syklus)&lt;DagK+DagH,"H",IF(MOD($A175-INDEX(SkiftStart,2),Syklus)&lt;DagK+DagH+DagD,"D","F")))</f>
        <v/>
      </c>
      <c r="D175">
        <f>IF(MOD($A175-INDEX(SkiftStart,3),Syklus)&lt;DagK,"K",IF(MOD($A175-INDEX(SkiftStart,3),Syklus)&lt;DagK+DagH,"H",IF(MOD($A175-INDEX(SkiftStart,3),Syklus)&lt;DagK+DagH+DagD,"D","F")))</f>
        <v/>
      </c>
      <c r="E175">
        <f>IF(B175="F",0,IF(WEEKDAY($A175,2)=5,INDEX(TimerFr,MATCH(B175,FaseKode,0)),INDEX(TimerMT,MATCH(B175,FaseKode,0))))</f>
        <v/>
      </c>
      <c r="F175">
        <f>IF(C175="F",0,IF(WEEKDAY($A175,2)=5,INDEX(TimerFr,MATCH(C175,FaseKode,0)),INDEX(TimerMT,MATCH(C175,FaseKode,0))))</f>
        <v/>
      </c>
      <c r="G175">
        <f>IF(D175="F",0,IF(WEEKDAY($A175,2)=5,INDEX(TimerFr,MATCH(D175,FaseKode,0)),INDEX(TimerMT,MATCH(D175,FaseKode,0))))</f>
        <v/>
      </c>
      <c r="H175">
        <f>IF(OR(H$4="",$A175&gt;TODAY()),0,IF(OR(INDEX($B175:$D175,H$5)="F",AND(H$6&gt;0,$A175&lt;H$6),AND(H$7&gt;0,$A175&gt;H$7)),0,MAX(0,ROUND((INDEX($E175:$G175,H$5)-SUMIFS(TF_Timer,TF_Tekniker,H$4,TF_Dato,$A175))*2,0)/2)))</f>
        <v/>
      </c>
      <c r="I175">
        <f>IF(OR(I$4="",$A175&gt;TODAY()),0,IF(OR(INDEX($B175:$D175,I$5)="F",AND(I$6&gt;0,$A175&lt;I$6),AND(I$7&gt;0,$A175&gt;I$7)),0,MAX(0,ROUND((INDEX($E175:$G175,I$5)-SUMIFS(TF_Timer,TF_Tekniker,I$4,TF_Dato,$A175))*2,0)/2)))</f>
        <v/>
      </c>
      <c r="J175">
        <f>IF(OR(J$4="",$A175&gt;TODAY()),0,IF(OR(INDEX($B175:$D175,J$5)="F",AND(J$6&gt;0,$A175&lt;J$6),AND(J$7&gt;0,$A175&gt;J$7)),0,MAX(0,ROUND((INDEX($E175:$G175,J$5)-SUMIFS(TF_Timer,TF_Tekniker,J$4,TF_Dato,$A175))*2,0)/2)))</f>
        <v/>
      </c>
      <c r="K175">
        <f>IF(OR(K$4="",$A175&gt;TODAY()),0,IF(OR(INDEX($B175:$D175,K$5)="F",AND(K$6&gt;0,$A175&lt;K$6),AND(K$7&gt;0,$A175&gt;K$7)),0,MAX(0,ROUND((INDEX($E175:$G175,K$5)-SUMIFS(TF_Timer,TF_Tekniker,K$4,TF_Dato,$A175))*2,0)/2)))</f>
        <v/>
      </c>
      <c r="L175">
        <f>IF(OR(L$4="",$A175&gt;TODAY()),0,IF(OR(INDEX($B175:$D175,L$5)="F",AND(L$6&gt;0,$A175&lt;L$6),AND(L$7&gt;0,$A175&gt;L$7)),0,MAX(0,ROUND((INDEX($E175:$G175,L$5)-SUMIFS(TF_Timer,TF_Tekniker,L$4,TF_Dato,$A175))*2,0)/2)))</f>
        <v/>
      </c>
      <c r="M175">
        <f>IF(OR(M$4="",$A175&gt;TODAY()),0,IF(OR(INDEX($B175:$D175,M$5)="F",AND(M$6&gt;0,$A175&lt;M$6),AND(M$7&gt;0,$A175&gt;M$7)),0,MAX(0,ROUND((INDEX($E175:$G175,M$5)-SUMIFS(TF_Timer,TF_Tekniker,M$4,TF_Dato,$A175))*2,0)/2)))</f>
        <v/>
      </c>
      <c r="N175">
        <f>IF(OR(N$4="",$A175&gt;TODAY()),0,IF(OR(INDEX($B175:$D175,N$5)="F",AND(N$6&gt;0,$A175&lt;N$6),AND(N$7&gt;0,$A175&gt;N$7)),0,MAX(0,ROUND((INDEX($E175:$G175,N$5)-SUMIFS(TF_Timer,TF_Tekniker,N$4,TF_Dato,$A175))*2,0)/2)))</f>
        <v/>
      </c>
      <c r="O175">
        <f>IF(OR(O$4="",$A175&gt;TODAY()),0,IF(OR(INDEX($B175:$D175,O$5)="F",AND(O$6&gt;0,$A175&lt;O$6),AND(O$7&gt;0,$A175&gt;O$7)),0,MAX(0,ROUND((INDEX($E175:$G175,O$5)-SUMIFS(TF_Timer,TF_Tekniker,O$4,TF_Dato,$A175))*2,0)/2)))</f>
        <v/>
      </c>
      <c r="P175">
        <f>IF(OR(P$4="",$A175&gt;TODAY()),0,IF(OR(INDEX($B175:$D175,P$5)="F",AND(P$6&gt;0,$A175&lt;P$6),AND(P$7&gt;0,$A175&gt;P$7)),0,MAX(0,ROUND((INDEX($E175:$G175,P$5)-SUMIFS(TF_Timer,TF_Tekniker,P$4,TF_Dato,$A175))*2,0)/2)))</f>
        <v/>
      </c>
      <c r="Q175">
        <f>IF(OR(Q$4="",$A175&gt;TODAY()),0,IF(OR(INDEX($B175:$D175,Q$5)="F",AND(Q$6&gt;0,$A175&lt;Q$6),AND(Q$7&gt;0,$A175&gt;Q$7)),0,MAX(0,ROUND((INDEX($E175:$G175,Q$5)-SUMIFS(TF_Timer,TF_Tekniker,Q$4,TF_Dato,$A175))*2,0)/2)))</f>
        <v/>
      </c>
      <c r="R175">
        <f>IF(OR(R$4="",$A175&gt;TODAY()),0,IF(OR(INDEX($B175:$D175,R$5)="F",AND(R$6&gt;0,$A175&lt;R$6),AND(R$7&gt;0,$A175&gt;R$7)),0,MAX(0,ROUND((INDEX($E175:$G175,R$5)-SUMIFS(TF_Timer,TF_Tekniker,R$4,TF_Dato,$A175))*2,0)/2)))</f>
        <v/>
      </c>
      <c r="S175">
        <f>IF(OR(S$4="",$A175&gt;TODAY()),0,IF(OR(INDEX($B175:$D175,S$5)="F",AND(S$6&gt;0,$A175&lt;S$6),AND(S$7&gt;0,$A175&gt;S$7)),0,MAX(0,ROUND((INDEX($E175:$G175,S$5)-SUMIFS(TF_Timer,TF_Tekniker,S$4,TF_Dato,$A175))*2,0)/2)))</f>
        <v/>
      </c>
      <c r="T175">
        <f>IF(OR(T$4="",$A175&gt;TODAY()),0,IF(OR(INDEX($B175:$D175,T$5)="F",AND(T$6&gt;0,$A175&lt;T$6),AND(T$7&gt;0,$A175&gt;T$7)),0,MAX(0,ROUND((INDEX($E175:$G175,T$5)-SUMIFS(TF_Timer,TF_Tekniker,T$4,TF_Dato,$A175))*2,0)/2)))</f>
        <v/>
      </c>
      <c r="U175">
        <f>IF(OR(U$4="",$A175&gt;TODAY()),0,IF(OR(INDEX($B175:$D175,U$5)="F",AND(U$6&gt;0,$A175&lt;U$6),AND(U$7&gt;0,$A175&gt;U$7)),0,MAX(0,ROUND((INDEX($E175:$G175,U$5)-SUMIFS(TF_Timer,TF_Tekniker,U$4,TF_Dato,$A175))*2,0)/2)))</f>
        <v/>
      </c>
      <c r="V175">
        <f>IF(OR(V$4="",$A175&gt;TODAY()),0,IF(OR(INDEX($B175:$D175,V$5)="F",AND(V$6&gt;0,$A175&lt;V$6),AND(V$7&gt;0,$A175&gt;V$7)),0,MAX(0,ROUND((INDEX($E175:$G175,V$5)-SUMIFS(TF_Timer,TF_Tekniker,V$4,TF_Dato,$A175))*2,0)/2)))</f>
        <v/>
      </c>
      <c r="W175">
        <f>IF(OR(W$4="",$A175&gt;TODAY()),0,IF(OR(INDEX($B175:$D175,W$5)="F",AND(W$6&gt;0,$A175&lt;W$6),AND(W$7&gt;0,$A175&gt;W$7)),0,MAX(0,ROUND((INDEX($E175:$G175,W$5)-SUMIFS(TF_Timer,TF_Tekniker,W$4,TF_Dato,$A175))*2,0)/2)))</f>
        <v/>
      </c>
      <c r="X175">
        <f>IF(OR(X$4="",$A175&gt;TODAY()),0,IF(OR(INDEX($B175:$D175,X$5)="F",AND(X$6&gt;0,$A175&lt;X$6),AND(X$7&gt;0,$A175&gt;X$7)),0,MAX(0,ROUND((INDEX($E175:$G175,X$5)-SUMIFS(TF_Timer,TF_Tekniker,X$4,TF_Dato,$A175))*2,0)/2)))</f>
        <v/>
      </c>
      <c r="Y175">
        <f>IF(OR(Y$4="",$A175&gt;TODAY()),0,IF(OR(INDEX($B175:$D175,Y$5)="F",AND(Y$6&gt;0,$A175&lt;Y$6),AND(Y$7&gt;0,$A175&gt;Y$7)),0,MAX(0,ROUND((INDEX($E175:$G175,Y$5)-SUMIFS(TF_Timer,TF_Tekniker,Y$4,TF_Dato,$A175))*2,0)/2)))</f>
        <v/>
      </c>
      <c r="Z175">
        <f>IF(OR(Z$4="",$A175&gt;TODAY()),0,IF(OR(INDEX($B175:$D175,Z$5)="F",AND(Z$6&gt;0,$A175&lt;Z$6),AND(Z$7&gt;0,$A175&gt;Z$7)),0,MAX(0,ROUND((INDEX($E175:$G175,Z$5)-SUMIFS(TF_Timer,TF_Tekniker,Z$4,TF_Dato,$A175))*2,0)/2)))</f>
        <v/>
      </c>
      <c r="AA175">
        <f>IF(OR(AA$4="",$A175&gt;TODAY()),0,IF(OR(INDEX($B175:$D175,AA$5)="F",AND(AA$6&gt;0,$A175&lt;AA$6),AND(AA$7&gt;0,$A175&gt;AA$7)),0,MAX(0,ROUND((INDEX($E175:$G175,AA$5)-SUMIFS(TF_Timer,TF_Tekniker,AA$4,TF_Dato,$A175))*2,0)/2)))</f>
        <v/>
      </c>
      <c r="AB175">
        <f>IF(OR(AB$4="",$A175&gt;TODAY()),0,IF(OR(INDEX($B175:$D175,AB$5)="F",AND(AB$6&gt;0,$A175&lt;AB$6),AND(AB$7&gt;0,$A175&gt;AB$7)),0,MAX(0,ROUND((INDEX($E175:$G175,AB$5)-SUMIFS(TF_Timer,TF_Tekniker,AB$4,TF_Dato,$A175))*2,0)/2)))</f>
        <v/>
      </c>
      <c r="AC175">
        <f>IF(OR(AC$4="",$A175&gt;TODAY()),0,IF(OR(INDEX($B175:$D175,AC$5)="F",AND(AC$6&gt;0,$A175&lt;AC$6),AND(AC$7&gt;0,$A175&gt;AC$7)),0,MAX(0,ROUND((INDEX($E175:$G175,AC$5)-SUMIFS(TF_Timer,TF_Tekniker,AC$4,TF_Dato,$A175))*2,0)/2)))</f>
        <v/>
      </c>
      <c r="AD175">
        <f>IF(OR(AD$4="",$A175&gt;TODAY()),0,IF(OR(INDEX($B175:$D175,AD$5)="F",AND(AD$6&gt;0,$A175&lt;AD$6),AND(AD$7&gt;0,$A175&gt;AD$7)),0,MAX(0,ROUND((INDEX($E175:$G175,AD$5)-SUMIFS(TF_Timer,TF_Tekniker,AD$4,TF_Dato,$A175))*2,0)/2)))</f>
        <v/>
      </c>
      <c r="AE175">
        <f>IF(OR(AE$4="",$A175&gt;TODAY()),0,IF(OR(INDEX($B175:$D175,AE$5)="F",AND(AE$6&gt;0,$A175&lt;AE$6),AND(AE$7&gt;0,$A175&gt;AE$7)),0,MAX(0,ROUND((INDEX($E175:$G175,AE$5)-SUMIFS(TF_Timer,TF_Tekniker,AE$4,TF_Dato,$A175))*2,0)/2)))</f>
        <v/>
      </c>
      <c r="AF175">
        <f>IF(OR(AF$4="",$A175&gt;TODAY()),0,IF(OR(INDEX($B175:$D175,AF$5)="F",AND(AF$6&gt;0,$A175&lt;AF$6),AND(AF$7&gt;0,$A175&gt;AF$7)),0,MAX(0,ROUND((INDEX($E175:$G175,AF$5)-SUMIFS(TF_Timer,TF_Tekniker,AF$4,TF_Dato,$A175))*2,0)/2)))</f>
        <v/>
      </c>
      <c r="AG175">
        <f>IF(OR(AG$4="",$A175&gt;TODAY()),0,IF(OR(INDEX($B175:$D175,AG$5)="F",AND(AG$6&gt;0,$A175&lt;AG$6),AND(AG$7&gt;0,$A175&gt;AG$7)),0,MAX(0,ROUND((INDEX($E175:$G175,AG$5)-SUMIFS(TF_Timer,TF_Tekniker,AG$4,TF_Dato,$A175))*2,0)/2)))</f>
        <v/>
      </c>
      <c r="AH175">
        <f>IF(OR(AH$4="",$A175&gt;TODAY()),0,IF(OR(INDEX($B175:$D175,AH$5)="F",AND(AH$6&gt;0,$A175&lt;AH$6),AND(AH$7&gt;0,$A175&gt;AH$7)),0,MAX(0,ROUND((INDEX($E175:$G175,AH$5)-SUMIFS(TF_Timer,TF_Tekniker,AH$4,TF_Dato,$A175))*2,0)/2)))</f>
        <v/>
      </c>
      <c r="AI175">
        <f>IF(OR(AI$4="",$A175&gt;TODAY()),0,IF(OR(INDEX($B175:$D175,AI$5)="F",AND(AI$6&gt;0,$A175&lt;AI$6),AND(AI$7&gt;0,$A175&gt;AI$7)),0,MAX(0,ROUND((INDEX($E175:$G175,AI$5)-SUMIFS(TF_Timer,TF_Tekniker,AI$4,TF_Dato,$A175))*2,0)/2)))</f>
        <v/>
      </c>
      <c r="AJ175">
        <f>IF(OR(AJ$4="",$A175&gt;TODAY()),0,IF(OR(INDEX($B175:$D175,AJ$5)="F",AND(AJ$6&gt;0,$A175&lt;AJ$6),AND(AJ$7&gt;0,$A175&gt;AJ$7)),0,MAX(0,ROUND((INDEX($E175:$G175,AJ$5)-SUMIFS(TF_Timer,TF_Tekniker,AJ$4,TF_Dato,$A175))*2,0)/2)))</f>
        <v/>
      </c>
      <c r="AK175">
        <f>IF(OR(AK$4="",$A175&gt;TODAY()),0,IF(OR(INDEX($B175:$D175,AK$5)="F",AND(AK$6&gt;0,$A175&lt;AK$6),AND(AK$7&gt;0,$A175&gt;AK$7)),0,MAX(0,ROUND((INDEX($E175:$G175,AK$5)-SUMIFS(TF_Timer,TF_Tekniker,AK$4,TF_Dato,$A175))*2,0)/2)))</f>
        <v/>
      </c>
      <c r="AL175">
        <f>IF(OR(AL$4="",$A175&gt;TODAY()),0,IF(OR(INDEX($B175:$D175,AL$5)="F",AND(AL$6&gt;0,$A175&lt;AL$6),AND(AL$7&gt;0,$A175&gt;AL$7)),0,MAX(0,ROUND((INDEX($E175:$G175,AL$5)-SUMIFS(TF_Timer,TF_Tekniker,AL$4,TF_Dato,$A175))*2,0)/2)))</f>
        <v/>
      </c>
      <c r="AM175">
        <f>IF(OR(AM$4="",$A175&gt;TODAY()),0,IF(OR(INDEX($B175:$D175,AM$5)="F",AND(AM$6&gt;0,$A175&lt;AM$6),AND(AM$7&gt;0,$A175&gt;AM$7)),0,MAX(0,ROUND((INDEX($E175:$G175,AM$5)-SUMIFS(TF_Timer,TF_Tekniker,AM$4,TF_Dato,$A175))*2,0)/2)))</f>
        <v/>
      </c>
      <c r="AN175">
        <f>IF(OR(AN$4="",$A175&gt;TODAY()),0,IF(OR(INDEX($B175:$D175,AN$5)="F",AND(AN$6&gt;0,$A175&lt;AN$6),AND(AN$7&gt;0,$A175&gt;AN$7)),0,MAX(0,ROUND((INDEX($E175:$G175,AN$5)-SUMIFS(TF_Timer,TF_Tekniker,AN$4,TF_Dato,$A175))*2,0)/2)))</f>
        <v/>
      </c>
      <c r="AO175">
        <f>IF(OR(AO$4="",$A175&gt;TODAY()),0,IF(OR(INDEX($B175:$D175,AO$5)="F",AND(AO$6&gt;0,$A175&lt;AO$6),AND(AO$7&gt;0,$A175&gt;AO$7)),0,MAX(0,ROUND((INDEX($E175:$G175,AO$5)-SUMIFS(TF_Timer,TF_Tekniker,AO$4,TF_Dato,$A175))*2,0)/2)))</f>
        <v/>
      </c>
      <c r="AP175">
        <f>IF(OR(AP$4="",$A175&gt;TODAY()),0,IF(OR(INDEX($B175:$D175,AP$5)="F",AND(AP$6&gt;0,$A175&lt;AP$6),AND(AP$7&gt;0,$A175&gt;AP$7)),0,MAX(0,ROUND((INDEX($E175:$G175,AP$5)-SUMIFS(TF_Timer,TF_Tekniker,AP$4,TF_Dato,$A175))*2,0)/2)))</f>
        <v/>
      </c>
      <c r="AQ175">
        <f>IF(OR(AQ$4="",$A175&gt;TODAY()),0,IF(OR(INDEX($B175:$D175,AQ$5)="F",AND(AQ$6&gt;0,$A175&lt;AQ$6),AND(AQ$7&gt;0,$A175&gt;AQ$7)),0,MAX(0,ROUND((INDEX($E175:$G175,AQ$5)-SUMIFS(TF_Timer,TF_Tekniker,AQ$4,TF_Dato,$A175))*2,0)/2)))</f>
        <v/>
      </c>
      <c r="AR175">
        <f>IF(OR(AR$4="",$A175&gt;TODAY()),0,IF(OR(INDEX($B175:$D175,AR$5)="F",AND(AR$6&gt;0,$A175&lt;AR$6),AND(AR$7&gt;0,$A175&gt;AR$7)),0,MAX(0,ROUND((INDEX($E175:$G175,AR$5)-SUMIFS(TF_Timer,TF_Tekniker,AR$4,TF_Dato,$A175))*2,0)/2)))</f>
        <v/>
      </c>
      <c r="AS175">
        <f>IF(OR(AS$4="",$A175&gt;TODAY()),0,IF(OR(INDEX($B175:$D175,AS$5)="F",AND(AS$6&gt;0,$A175&lt;AS$6),AND(AS$7&gt;0,$A175&gt;AS$7)),0,MAX(0,ROUND((INDEX($E175:$G175,AS$5)-SUMIFS(TF_Timer,TF_Tekniker,AS$4,TF_Dato,$A175))*2,0)/2)))</f>
        <v/>
      </c>
      <c r="AT175">
        <f>IF(OR(AT$4="",$A175&gt;TODAY()),0,IF(OR(INDEX($B175:$D175,AT$5)="F",AND(AT$6&gt;0,$A175&lt;AT$6),AND(AT$7&gt;0,$A175&gt;AT$7)),0,MAX(0,ROUND((INDEX($E175:$G175,AT$5)-SUMIFS(TF_Timer,TF_Tekniker,AT$4,TF_Dato,$A175))*2,0)/2)))</f>
        <v/>
      </c>
      <c r="AU175">
        <f>IF(OR(AU$4="",$A175&gt;TODAY()),0,IF(OR(INDEX($B175:$D175,AU$5)="F",AND(AU$6&gt;0,$A175&lt;AU$6),AND(AU$7&gt;0,$A175&gt;AU$7)),0,MAX(0,ROUND((INDEX($E175:$G175,AU$5)-SUMIFS(TF_Timer,TF_Tekniker,AU$4,TF_Dato,$A175))*2,0)/2)))</f>
        <v/>
      </c>
      <c r="AV175">
        <f>IF(OR(AV$4="",$A175&gt;TODAY()),0,IF(OR(INDEX($B175:$D175,AV$5)="F",AND(AV$6&gt;0,$A175&lt;AV$6),AND(AV$7&gt;0,$A175&gt;AV$7)),0,MAX(0,ROUND((INDEX($E175:$G175,AV$5)-SUMIFS(TF_Timer,TF_Tekniker,AV$4,TF_Dato,$A175))*2,0)/2)))</f>
        <v/>
      </c>
      <c r="AW175">
        <f>IF(OR(AW$4="",$A175&gt;TODAY()),0,IF(OR(INDEX($B175:$D175,AW$5)="F",AND(AW$6&gt;0,$A175&lt;AW$6),AND(AW$7&gt;0,$A175&gt;AW$7)),0,MAX(0,ROUND((INDEX($E175:$G175,AW$5)-SUMIFS(TF_Timer,TF_Tekniker,AW$4,TF_Dato,$A175))*2,0)/2)))</f>
        <v/>
      </c>
      <c r="AX175">
        <f>IF(OR(AX$4="",$A175&gt;TODAY()),0,IF(OR(INDEX($B175:$D175,AX$5)="F",AND(AX$6&gt;0,$A175&lt;AX$6),AND(AX$7&gt;0,$A175&gt;AX$7)),0,MAX(0,ROUND((INDEX($E175:$G175,AX$5)-SUMIFS(TF_Timer,TF_Tekniker,AX$4,TF_Dato,$A175))*2,0)/2)))</f>
        <v/>
      </c>
      <c r="AY175">
        <f>IF(OR(AY$4="",$A175&gt;TODAY()),0,IF(OR(INDEX($B175:$D175,AY$5)="F",AND(AY$6&gt;0,$A175&lt;AY$6),AND(AY$7&gt;0,$A175&gt;AY$7)),0,MAX(0,ROUND((INDEX($E175:$G175,AY$5)-SUMIFS(TF_Timer,TF_Tekniker,AY$4,TF_Dato,$A175))*2,0)/2)))</f>
        <v/>
      </c>
      <c r="AZ175">
        <f>IF(OR(AZ$4="",$A175&gt;TODAY()),0,IF(OR(INDEX($B175:$D175,AZ$5)="F",AND(AZ$6&gt;0,$A175&lt;AZ$6),AND(AZ$7&gt;0,$A175&gt;AZ$7)),0,MAX(0,ROUND((INDEX($E175:$G175,AZ$5)-SUMIFS(TF_Timer,TF_Tekniker,AZ$4,TF_Dato,$A175))*2,0)/2)))</f>
        <v/>
      </c>
      <c r="BA175">
        <f>IF(OR(BA$4="",$A175&gt;TODAY()),0,IF(OR(INDEX($B175:$D175,BA$5)="F",AND(BA$6&gt;0,$A175&lt;BA$6),AND(BA$7&gt;0,$A175&gt;BA$7)),0,MAX(0,ROUND((INDEX($E175:$G175,BA$5)-SUMIFS(TF_Timer,TF_Tekniker,BA$4,TF_Dato,$A175))*2,0)/2)))</f>
        <v/>
      </c>
      <c r="BB175">
        <f>IF(OR(BB$4="",$A175&gt;TODAY()),0,IF(OR(INDEX($B175:$D175,BB$5)="F",AND(BB$6&gt;0,$A175&lt;BB$6),AND(BB$7&gt;0,$A175&gt;BB$7)),0,MAX(0,ROUND((INDEX($E175:$G175,BB$5)-SUMIFS(TF_Timer,TF_Tekniker,BB$4,TF_Dato,$A175))*2,0)/2)))</f>
        <v/>
      </c>
      <c r="BC175">
        <f>IF(OR(BC$4="",$A175&gt;TODAY()),0,IF(OR(INDEX($B175:$D175,BC$5)="F",AND(BC$6&gt;0,$A175&lt;BC$6),AND(BC$7&gt;0,$A175&gt;BC$7)),0,MAX(0,ROUND((INDEX($E175:$G175,BC$5)-SUMIFS(TF_Timer,TF_Tekniker,BC$4,TF_Dato,$A175))*2,0)/2)))</f>
        <v/>
      </c>
      <c r="BD175">
        <f>IF(OR(BD$4="",$A175&gt;TODAY()),0,IF(OR(INDEX($B175:$D175,BD$5)="F",AND(BD$6&gt;0,$A175&lt;BD$6),AND(BD$7&gt;0,$A175&gt;BD$7)),0,MAX(0,ROUND((INDEX($E175:$G175,BD$5)-SUMIFS(TF_Timer,TF_Tekniker,BD$4,TF_Dato,$A175))*2,0)/2)))</f>
        <v/>
      </c>
      <c r="BE175">
        <f>IF(OR(BE$4="",$A175&gt;TODAY()),0,IF(OR(INDEX($B175:$D175,BE$5)="F",AND(BE$6&gt;0,$A175&lt;BE$6),AND(BE$7&gt;0,$A175&gt;BE$7)),0,MAX(0,ROUND((INDEX($E175:$G175,BE$5)-SUMIFS(TF_Timer,TF_Tekniker,BE$4,TF_Dato,$A175))*2,0)/2)))</f>
        <v/>
      </c>
      <c r="BF175">
        <f>IF(OR(BF$4="",$A175&gt;TODAY()),0,IF(OR(INDEX($B175:$D175,BF$5)="F",AND(BF$6&gt;0,$A175&lt;BF$6),AND(BF$7&gt;0,$A175&gt;BF$7)),0,MAX(0,ROUND((INDEX($E175:$G175,BF$5)-SUMIFS(TF_Timer,TF_Tekniker,BF$4,TF_Dato,$A175))*2,0)/2)))</f>
        <v/>
      </c>
      <c r="BG175">
        <f>IF(OR(BG$4="",$A175&gt;TODAY()),0,IF(OR(INDEX($B175:$D175,BG$5)="F",AND(BG$6&gt;0,$A175&lt;BG$6),AND(BG$7&gt;0,$A175&gt;BG$7)),0,MAX(0,ROUND((INDEX($E175:$G175,BG$5)-SUMIFS(TF_Timer,TF_Tekniker,BG$4,TF_Dato,$A175))*2,0)/2)))</f>
        <v/>
      </c>
      <c r="BH175">
        <f>IF(OR(BH$4="",$A175&gt;TODAY()),0,IF(OR(INDEX($B175:$D175,BH$5)="F",AND(BH$6&gt;0,$A175&lt;BH$6),AND(BH$7&gt;0,$A175&gt;BH$7)),0,MAX(0,ROUND((INDEX($E175:$G175,BH$5)-SUMIFS(TF_Timer,TF_Tekniker,BH$4,TF_Dato,$A175))*2,0)/2)))</f>
        <v/>
      </c>
      <c r="BI175">
        <f>IF(OR(BI$4="",$A175&gt;TODAY()),0,IF(OR(INDEX($B175:$D175,BI$5)="F",AND(BI$6&gt;0,$A175&lt;BI$6),AND(BI$7&gt;0,$A175&gt;BI$7)),0,MAX(0,ROUND((INDEX($E175:$G175,BI$5)-SUMIFS(TF_Timer,TF_Tekniker,BI$4,TF_Dato,$A175))*2,0)/2)))</f>
        <v/>
      </c>
    </row>
    <row r="176">
      <c r="A176" s="64">
        <f>A175+1</f>
        <v/>
      </c>
      <c r="B176">
        <f>IF(MOD($A176-INDEX(SkiftStart,1),Syklus)&lt;DagK,"K",IF(MOD($A176-INDEX(SkiftStart,1),Syklus)&lt;DagK+DagH,"H",IF(MOD($A176-INDEX(SkiftStart,1),Syklus)&lt;DagK+DagH+DagD,"D","F")))</f>
        <v/>
      </c>
      <c r="C176">
        <f>IF(MOD($A176-INDEX(SkiftStart,2),Syklus)&lt;DagK,"K",IF(MOD($A176-INDEX(SkiftStart,2),Syklus)&lt;DagK+DagH,"H",IF(MOD($A176-INDEX(SkiftStart,2),Syklus)&lt;DagK+DagH+DagD,"D","F")))</f>
        <v/>
      </c>
      <c r="D176">
        <f>IF(MOD($A176-INDEX(SkiftStart,3),Syklus)&lt;DagK,"K",IF(MOD($A176-INDEX(SkiftStart,3),Syklus)&lt;DagK+DagH,"H",IF(MOD($A176-INDEX(SkiftStart,3),Syklus)&lt;DagK+DagH+DagD,"D","F")))</f>
        <v/>
      </c>
      <c r="E176">
        <f>IF(B176="F",0,IF(WEEKDAY($A176,2)=5,INDEX(TimerFr,MATCH(B176,FaseKode,0)),INDEX(TimerMT,MATCH(B176,FaseKode,0))))</f>
        <v/>
      </c>
      <c r="F176">
        <f>IF(C176="F",0,IF(WEEKDAY($A176,2)=5,INDEX(TimerFr,MATCH(C176,FaseKode,0)),INDEX(TimerMT,MATCH(C176,FaseKode,0))))</f>
        <v/>
      </c>
      <c r="G176">
        <f>IF(D176="F",0,IF(WEEKDAY($A176,2)=5,INDEX(TimerFr,MATCH(D176,FaseKode,0)),INDEX(TimerMT,MATCH(D176,FaseKode,0))))</f>
        <v/>
      </c>
      <c r="H176">
        <f>IF(OR(H$4="",$A176&gt;TODAY()),0,IF(OR(INDEX($B176:$D176,H$5)="F",AND(H$6&gt;0,$A176&lt;H$6),AND(H$7&gt;0,$A176&gt;H$7)),0,MAX(0,ROUND((INDEX($E176:$G176,H$5)-SUMIFS(TF_Timer,TF_Tekniker,H$4,TF_Dato,$A176))*2,0)/2)))</f>
        <v/>
      </c>
      <c r="I176">
        <f>IF(OR(I$4="",$A176&gt;TODAY()),0,IF(OR(INDEX($B176:$D176,I$5)="F",AND(I$6&gt;0,$A176&lt;I$6),AND(I$7&gt;0,$A176&gt;I$7)),0,MAX(0,ROUND((INDEX($E176:$G176,I$5)-SUMIFS(TF_Timer,TF_Tekniker,I$4,TF_Dato,$A176))*2,0)/2)))</f>
        <v/>
      </c>
      <c r="J176">
        <f>IF(OR(J$4="",$A176&gt;TODAY()),0,IF(OR(INDEX($B176:$D176,J$5)="F",AND(J$6&gt;0,$A176&lt;J$6),AND(J$7&gt;0,$A176&gt;J$7)),0,MAX(0,ROUND((INDEX($E176:$G176,J$5)-SUMIFS(TF_Timer,TF_Tekniker,J$4,TF_Dato,$A176))*2,0)/2)))</f>
        <v/>
      </c>
      <c r="K176">
        <f>IF(OR(K$4="",$A176&gt;TODAY()),0,IF(OR(INDEX($B176:$D176,K$5)="F",AND(K$6&gt;0,$A176&lt;K$6),AND(K$7&gt;0,$A176&gt;K$7)),0,MAX(0,ROUND((INDEX($E176:$G176,K$5)-SUMIFS(TF_Timer,TF_Tekniker,K$4,TF_Dato,$A176))*2,0)/2)))</f>
        <v/>
      </c>
      <c r="L176">
        <f>IF(OR(L$4="",$A176&gt;TODAY()),0,IF(OR(INDEX($B176:$D176,L$5)="F",AND(L$6&gt;0,$A176&lt;L$6),AND(L$7&gt;0,$A176&gt;L$7)),0,MAX(0,ROUND((INDEX($E176:$G176,L$5)-SUMIFS(TF_Timer,TF_Tekniker,L$4,TF_Dato,$A176))*2,0)/2)))</f>
        <v/>
      </c>
      <c r="M176">
        <f>IF(OR(M$4="",$A176&gt;TODAY()),0,IF(OR(INDEX($B176:$D176,M$5)="F",AND(M$6&gt;0,$A176&lt;M$6),AND(M$7&gt;0,$A176&gt;M$7)),0,MAX(0,ROUND((INDEX($E176:$G176,M$5)-SUMIFS(TF_Timer,TF_Tekniker,M$4,TF_Dato,$A176))*2,0)/2)))</f>
        <v/>
      </c>
      <c r="N176">
        <f>IF(OR(N$4="",$A176&gt;TODAY()),0,IF(OR(INDEX($B176:$D176,N$5)="F",AND(N$6&gt;0,$A176&lt;N$6),AND(N$7&gt;0,$A176&gt;N$7)),0,MAX(0,ROUND((INDEX($E176:$G176,N$5)-SUMIFS(TF_Timer,TF_Tekniker,N$4,TF_Dato,$A176))*2,0)/2)))</f>
        <v/>
      </c>
      <c r="O176">
        <f>IF(OR(O$4="",$A176&gt;TODAY()),0,IF(OR(INDEX($B176:$D176,O$5)="F",AND(O$6&gt;0,$A176&lt;O$6),AND(O$7&gt;0,$A176&gt;O$7)),0,MAX(0,ROUND((INDEX($E176:$G176,O$5)-SUMIFS(TF_Timer,TF_Tekniker,O$4,TF_Dato,$A176))*2,0)/2)))</f>
        <v/>
      </c>
      <c r="P176">
        <f>IF(OR(P$4="",$A176&gt;TODAY()),0,IF(OR(INDEX($B176:$D176,P$5)="F",AND(P$6&gt;0,$A176&lt;P$6),AND(P$7&gt;0,$A176&gt;P$7)),0,MAX(0,ROUND((INDEX($E176:$G176,P$5)-SUMIFS(TF_Timer,TF_Tekniker,P$4,TF_Dato,$A176))*2,0)/2)))</f>
        <v/>
      </c>
      <c r="Q176">
        <f>IF(OR(Q$4="",$A176&gt;TODAY()),0,IF(OR(INDEX($B176:$D176,Q$5)="F",AND(Q$6&gt;0,$A176&lt;Q$6),AND(Q$7&gt;0,$A176&gt;Q$7)),0,MAX(0,ROUND((INDEX($E176:$G176,Q$5)-SUMIFS(TF_Timer,TF_Tekniker,Q$4,TF_Dato,$A176))*2,0)/2)))</f>
        <v/>
      </c>
      <c r="R176">
        <f>IF(OR(R$4="",$A176&gt;TODAY()),0,IF(OR(INDEX($B176:$D176,R$5)="F",AND(R$6&gt;0,$A176&lt;R$6),AND(R$7&gt;0,$A176&gt;R$7)),0,MAX(0,ROUND((INDEX($E176:$G176,R$5)-SUMIFS(TF_Timer,TF_Tekniker,R$4,TF_Dato,$A176))*2,0)/2)))</f>
        <v/>
      </c>
      <c r="S176">
        <f>IF(OR(S$4="",$A176&gt;TODAY()),0,IF(OR(INDEX($B176:$D176,S$5)="F",AND(S$6&gt;0,$A176&lt;S$6),AND(S$7&gt;0,$A176&gt;S$7)),0,MAX(0,ROUND((INDEX($E176:$G176,S$5)-SUMIFS(TF_Timer,TF_Tekniker,S$4,TF_Dato,$A176))*2,0)/2)))</f>
        <v/>
      </c>
      <c r="T176">
        <f>IF(OR(T$4="",$A176&gt;TODAY()),0,IF(OR(INDEX($B176:$D176,T$5)="F",AND(T$6&gt;0,$A176&lt;T$6),AND(T$7&gt;0,$A176&gt;T$7)),0,MAX(0,ROUND((INDEX($E176:$G176,T$5)-SUMIFS(TF_Timer,TF_Tekniker,T$4,TF_Dato,$A176))*2,0)/2)))</f>
        <v/>
      </c>
      <c r="U176">
        <f>IF(OR(U$4="",$A176&gt;TODAY()),0,IF(OR(INDEX($B176:$D176,U$5)="F",AND(U$6&gt;0,$A176&lt;U$6),AND(U$7&gt;0,$A176&gt;U$7)),0,MAX(0,ROUND((INDEX($E176:$G176,U$5)-SUMIFS(TF_Timer,TF_Tekniker,U$4,TF_Dato,$A176))*2,0)/2)))</f>
        <v/>
      </c>
      <c r="V176">
        <f>IF(OR(V$4="",$A176&gt;TODAY()),0,IF(OR(INDEX($B176:$D176,V$5)="F",AND(V$6&gt;0,$A176&lt;V$6),AND(V$7&gt;0,$A176&gt;V$7)),0,MAX(0,ROUND((INDEX($E176:$G176,V$5)-SUMIFS(TF_Timer,TF_Tekniker,V$4,TF_Dato,$A176))*2,0)/2)))</f>
        <v/>
      </c>
      <c r="W176">
        <f>IF(OR(W$4="",$A176&gt;TODAY()),0,IF(OR(INDEX($B176:$D176,W$5)="F",AND(W$6&gt;0,$A176&lt;W$6),AND(W$7&gt;0,$A176&gt;W$7)),0,MAX(0,ROUND((INDEX($E176:$G176,W$5)-SUMIFS(TF_Timer,TF_Tekniker,W$4,TF_Dato,$A176))*2,0)/2)))</f>
        <v/>
      </c>
      <c r="X176">
        <f>IF(OR(X$4="",$A176&gt;TODAY()),0,IF(OR(INDEX($B176:$D176,X$5)="F",AND(X$6&gt;0,$A176&lt;X$6),AND(X$7&gt;0,$A176&gt;X$7)),0,MAX(0,ROUND((INDEX($E176:$G176,X$5)-SUMIFS(TF_Timer,TF_Tekniker,X$4,TF_Dato,$A176))*2,0)/2)))</f>
        <v/>
      </c>
      <c r="Y176">
        <f>IF(OR(Y$4="",$A176&gt;TODAY()),0,IF(OR(INDEX($B176:$D176,Y$5)="F",AND(Y$6&gt;0,$A176&lt;Y$6),AND(Y$7&gt;0,$A176&gt;Y$7)),0,MAX(0,ROUND((INDEX($E176:$G176,Y$5)-SUMIFS(TF_Timer,TF_Tekniker,Y$4,TF_Dato,$A176))*2,0)/2)))</f>
        <v/>
      </c>
      <c r="Z176">
        <f>IF(OR(Z$4="",$A176&gt;TODAY()),0,IF(OR(INDEX($B176:$D176,Z$5)="F",AND(Z$6&gt;0,$A176&lt;Z$6),AND(Z$7&gt;0,$A176&gt;Z$7)),0,MAX(0,ROUND((INDEX($E176:$G176,Z$5)-SUMIFS(TF_Timer,TF_Tekniker,Z$4,TF_Dato,$A176))*2,0)/2)))</f>
        <v/>
      </c>
      <c r="AA176">
        <f>IF(OR(AA$4="",$A176&gt;TODAY()),0,IF(OR(INDEX($B176:$D176,AA$5)="F",AND(AA$6&gt;0,$A176&lt;AA$6),AND(AA$7&gt;0,$A176&gt;AA$7)),0,MAX(0,ROUND((INDEX($E176:$G176,AA$5)-SUMIFS(TF_Timer,TF_Tekniker,AA$4,TF_Dato,$A176))*2,0)/2)))</f>
        <v/>
      </c>
      <c r="AB176">
        <f>IF(OR(AB$4="",$A176&gt;TODAY()),0,IF(OR(INDEX($B176:$D176,AB$5)="F",AND(AB$6&gt;0,$A176&lt;AB$6),AND(AB$7&gt;0,$A176&gt;AB$7)),0,MAX(0,ROUND((INDEX($E176:$G176,AB$5)-SUMIFS(TF_Timer,TF_Tekniker,AB$4,TF_Dato,$A176))*2,0)/2)))</f>
        <v/>
      </c>
      <c r="AC176">
        <f>IF(OR(AC$4="",$A176&gt;TODAY()),0,IF(OR(INDEX($B176:$D176,AC$5)="F",AND(AC$6&gt;0,$A176&lt;AC$6),AND(AC$7&gt;0,$A176&gt;AC$7)),0,MAX(0,ROUND((INDEX($E176:$G176,AC$5)-SUMIFS(TF_Timer,TF_Tekniker,AC$4,TF_Dato,$A176))*2,0)/2)))</f>
        <v/>
      </c>
      <c r="AD176">
        <f>IF(OR(AD$4="",$A176&gt;TODAY()),0,IF(OR(INDEX($B176:$D176,AD$5)="F",AND(AD$6&gt;0,$A176&lt;AD$6),AND(AD$7&gt;0,$A176&gt;AD$7)),0,MAX(0,ROUND((INDEX($E176:$G176,AD$5)-SUMIFS(TF_Timer,TF_Tekniker,AD$4,TF_Dato,$A176))*2,0)/2)))</f>
        <v/>
      </c>
      <c r="AE176">
        <f>IF(OR(AE$4="",$A176&gt;TODAY()),0,IF(OR(INDEX($B176:$D176,AE$5)="F",AND(AE$6&gt;0,$A176&lt;AE$6),AND(AE$7&gt;0,$A176&gt;AE$7)),0,MAX(0,ROUND((INDEX($E176:$G176,AE$5)-SUMIFS(TF_Timer,TF_Tekniker,AE$4,TF_Dato,$A176))*2,0)/2)))</f>
        <v/>
      </c>
      <c r="AF176">
        <f>IF(OR(AF$4="",$A176&gt;TODAY()),0,IF(OR(INDEX($B176:$D176,AF$5)="F",AND(AF$6&gt;0,$A176&lt;AF$6),AND(AF$7&gt;0,$A176&gt;AF$7)),0,MAX(0,ROUND((INDEX($E176:$G176,AF$5)-SUMIFS(TF_Timer,TF_Tekniker,AF$4,TF_Dato,$A176))*2,0)/2)))</f>
        <v/>
      </c>
      <c r="AG176">
        <f>IF(OR(AG$4="",$A176&gt;TODAY()),0,IF(OR(INDEX($B176:$D176,AG$5)="F",AND(AG$6&gt;0,$A176&lt;AG$6),AND(AG$7&gt;0,$A176&gt;AG$7)),0,MAX(0,ROUND((INDEX($E176:$G176,AG$5)-SUMIFS(TF_Timer,TF_Tekniker,AG$4,TF_Dato,$A176))*2,0)/2)))</f>
        <v/>
      </c>
      <c r="AH176">
        <f>IF(OR(AH$4="",$A176&gt;TODAY()),0,IF(OR(INDEX($B176:$D176,AH$5)="F",AND(AH$6&gt;0,$A176&lt;AH$6),AND(AH$7&gt;0,$A176&gt;AH$7)),0,MAX(0,ROUND((INDEX($E176:$G176,AH$5)-SUMIFS(TF_Timer,TF_Tekniker,AH$4,TF_Dato,$A176))*2,0)/2)))</f>
        <v/>
      </c>
      <c r="AI176">
        <f>IF(OR(AI$4="",$A176&gt;TODAY()),0,IF(OR(INDEX($B176:$D176,AI$5)="F",AND(AI$6&gt;0,$A176&lt;AI$6),AND(AI$7&gt;0,$A176&gt;AI$7)),0,MAX(0,ROUND((INDEX($E176:$G176,AI$5)-SUMIFS(TF_Timer,TF_Tekniker,AI$4,TF_Dato,$A176))*2,0)/2)))</f>
        <v/>
      </c>
      <c r="AJ176">
        <f>IF(OR(AJ$4="",$A176&gt;TODAY()),0,IF(OR(INDEX($B176:$D176,AJ$5)="F",AND(AJ$6&gt;0,$A176&lt;AJ$6),AND(AJ$7&gt;0,$A176&gt;AJ$7)),0,MAX(0,ROUND((INDEX($E176:$G176,AJ$5)-SUMIFS(TF_Timer,TF_Tekniker,AJ$4,TF_Dato,$A176))*2,0)/2)))</f>
        <v/>
      </c>
      <c r="AK176">
        <f>IF(OR(AK$4="",$A176&gt;TODAY()),0,IF(OR(INDEX($B176:$D176,AK$5)="F",AND(AK$6&gt;0,$A176&lt;AK$6),AND(AK$7&gt;0,$A176&gt;AK$7)),0,MAX(0,ROUND((INDEX($E176:$G176,AK$5)-SUMIFS(TF_Timer,TF_Tekniker,AK$4,TF_Dato,$A176))*2,0)/2)))</f>
        <v/>
      </c>
      <c r="AL176">
        <f>IF(OR(AL$4="",$A176&gt;TODAY()),0,IF(OR(INDEX($B176:$D176,AL$5)="F",AND(AL$6&gt;0,$A176&lt;AL$6),AND(AL$7&gt;0,$A176&gt;AL$7)),0,MAX(0,ROUND((INDEX($E176:$G176,AL$5)-SUMIFS(TF_Timer,TF_Tekniker,AL$4,TF_Dato,$A176))*2,0)/2)))</f>
        <v/>
      </c>
      <c r="AM176">
        <f>IF(OR(AM$4="",$A176&gt;TODAY()),0,IF(OR(INDEX($B176:$D176,AM$5)="F",AND(AM$6&gt;0,$A176&lt;AM$6),AND(AM$7&gt;0,$A176&gt;AM$7)),0,MAX(0,ROUND((INDEX($E176:$G176,AM$5)-SUMIFS(TF_Timer,TF_Tekniker,AM$4,TF_Dato,$A176))*2,0)/2)))</f>
        <v/>
      </c>
      <c r="AN176">
        <f>IF(OR(AN$4="",$A176&gt;TODAY()),0,IF(OR(INDEX($B176:$D176,AN$5)="F",AND(AN$6&gt;0,$A176&lt;AN$6),AND(AN$7&gt;0,$A176&gt;AN$7)),0,MAX(0,ROUND((INDEX($E176:$G176,AN$5)-SUMIFS(TF_Timer,TF_Tekniker,AN$4,TF_Dato,$A176))*2,0)/2)))</f>
        <v/>
      </c>
      <c r="AO176">
        <f>IF(OR(AO$4="",$A176&gt;TODAY()),0,IF(OR(INDEX($B176:$D176,AO$5)="F",AND(AO$6&gt;0,$A176&lt;AO$6),AND(AO$7&gt;0,$A176&gt;AO$7)),0,MAX(0,ROUND((INDEX($E176:$G176,AO$5)-SUMIFS(TF_Timer,TF_Tekniker,AO$4,TF_Dato,$A176))*2,0)/2)))</f>
        <v/>
      </c>
      <c r="AP176">
        <f>IF(OR(AP$4="",$A176&gt;TODAY()),0,IF(OR(INDEX($B176:$D176,AP$5)="F",AND(AP$6&gt;0,$A176&lt;AP$6),AND(AP$7&gt;0,$A176&gt;AP$7)),0,MAX(0,ROUND((INDEX($E176:$G176,AP$5)-SUMIFS(TF_Timer,TF_Tekniker,AP$4,TF_Dato,$A176))*2,0)/2)))</f>
        <v/>
      </c>
      <c r="AQ176">
        <f>IF(OR(AQ$4="",$A176&gt;TODAY()),0,IF(OR(INDEX($B176:$D176,AQ$5)="F",AND(AQ$6&gt;0,$A176&lt;AQ$6),AND(AQ$7&gt;0,$A176&gt;AQ$7)),0,MAX(0,ROUND((INDEX($E176:$G176,AQ$5)-SUMIFS(TF_Timer,TF_Tekniker,AQ$4,TF_Dato,$A176))*2,0)/2)))</f>
        <v/>
      </c>
      <c r="AR176">
        <f>IF(OR(AR$4="",$A176&gt;TODAY()),0,IF(OR(INDEX($B176:$D176,AR$5)="F",AND(AR$6&gt;0,$A176&lt;AR$6),AND(AR$7&gt;0,$A176&gt;AR$7)),0,MAX(0,ROUND((INDEX($E176:$G176,AR$5)-SUMIFS(TF_Timer,TF_Tekniker,AR$4,TF_Dato,$A176))*2,0)/2)))</f>
        <v/>
      </c>
      <c r="AS176">
        <f>IF(OR(AS$4="",$A176&gt;TODAY()),0,IF(OR(INDEX($B176:$D176,AS$5)="F",AND(AS$6&gt;0,$A176&lt;AS$6),AND(AS$7&gt;0,$A176&gt;AS$7)),0,MAX(0,ROUND((INDEX($E176:$G176,AS$5)-SUMIFS(TF_Timer,TF_Tekniker,AS$4,TF_Dato,$A176))*2,0)/2)))</f>
        <v/>
      </c>
      <c r="AT176">
        <f>IF(OR(AT$4="",$A176&gt;TODAY()),0,IF(OR(INDEX($B176:$D176,AT$5)="F",AND(AT$6&gt;0,$A176&lt;AT$6),AND(AT$7&gt;0,$A176&gt;AT$7)),0,MAX(0,ROUND((INDEX($E176:$G176,AT$5)-SUMIFS(TF_Timer,TF_Tekniker,AT$4,TF_Dato,$A176))*2,0)/2)))</f>
        <v/>
      </c>
      <c r="AU176">
        <f>IF(OR(AU$4="",$A176&gt;TODAY()),0,IF(OR(INDEX($B176:$D176,AU$5)="F",AND(AU$6&gt;0,$A176&lt;AU$6),AND(AU$7&gt;0,$A176&gt;AU$7)),0,MAX(0,ROUND((INDEX($E176:$G176,AU$5)-SUMIFS(TF_Timer,TF_Tekniker,AU$4,TF_Dato,$A176))*2,0)/2)))</f>
        <v/>
      </c>
      <c r="AV176">
        <f>IF(OR(AV$4="",$A176&gt;TODAY()),0,IF(OR(INDEX($B176:$D176,AV$5)="F",AND(AV$6&gt;0,$A176&lt;AV$6),AND(AV$7&gt;0,$A176&gt;AV$7)),0,MAX(0,ROUND((INDEX($E176:$G176,AV$5)-SUMIFS(TF_Timer,TF_Tekniker,AV$4,TF_Dato,$A176))*2,0)/2)))</f>
        <v/>
      </c>
      <c r="AW176">
        <f>IF(OR(AW$4="",$A176&gt;TODAY()),0,IF(OR(INDEX($B176:$D176,AW$5)="F",AND(AW$6&gt;0,$A176&lt;AW$6),AND(AW$7&gt;0,$A176&gt;AW$7)),0,MAX(0,ROUND((INDEX($E176:$G176,AW$5)-SUMIFS(TF_Timer,TF_Tekniker,AW$4,TF_Dato,$A176))*2,0)/2)))</f>
        <v/>
      </c>
      <c r="AX176">
        <f>IF(OR(AX$4="",$A176&gt;TODAY()),0,IF(OR(INDEX($B176:$D176,AX$5)="F",AND(AX$6&gt;0,$A176&lt;AX$6),AND(AX$7&gt;0,$A176&gt;AX$7)),0,MAX(0,ROUND((INDEX($E176:$G176,AX$5)-SUMIFS(TF_Timer,TF_Tekniker,AX$4,TF_Dato,$A176))*2,0)/2)))</f>
        <v/>
      </c>
      <c r="AY176">
        <f>IF(OR(AY$4="",$A176&gt;TODAY()),0,IF(OR(INDEX($B176:$D176,AY$5)="F",AND(AY$6&gt;0,$A176&lt;AY$6),AND(AY$7&gt;0,$A176&gt;AY$7)),0,MAX(0,ROUND((INDEX($E176:$G176,AY$5)-SUMIFS(TF_Timer,TF_Tekniker,AY$4,TF_Dato,$A176))*2,0)/2)))</f>
        <v/>
      </c>
      <c r="AZ176">
        <f>IF(OR(AZ$4="",$A176&gt;TODAY()),0,IF(OR(INDEX($B176:$D176,AZ$5)="F",AND(AZ$6&gt;0,$A176&lt;AZ$6),AND(AZ$7&gt;0,$A176&gt;AZ$7)),0,MAX(0,ROUND((INDEX($E176:$G176,AZ$5)-SUMIFS(TF_Timer,TF_Tekniker,AZ$4,TF_Dato,$A176))*2,0)/2)))</f>
        <v/>
      </c>
      <c r="BA176">
        <f>IF(OR(BA$4="",$A176&gt;TODAY()),0,IF(OR(INDEX($B176:$D176,BA$5)="F",AND(BA$6&gt;0,$A176&lt;BA$6),AND(BA$7&gt;0,$A176&gt;BA$7)),0,MAX(0,ROUND((INDEX($E176:$G176,BA$5)-SUMIFS(TF_Timer,TF_Tekniker,BA$4,TF_Dato,$A176))*2,0)/2)))</f>
        <v/>
      </c>
      <c r="BB176">
        <f>IF(OR(BB$4="",$A176&gt;TODAY()),0,IF(OR(INDEX($B176:$D176,BB$5)="F",AND(BB$6&gt;0,$A176&lt;BB$6),AND(BB$7&gt;0,$A176&gt;BB$7)),0,MAX(0,ROUND((INDEX($E176:$G176,BB$5)-SUMIFS(TF_Timer,TF_Tekniker,BB$4,TF_Dato,$A176))*2,0)/2)))</f>
        <v/>
      </c>
      <c r="BC176">
        <f>IF(OR(BC$4="",$A176&gt;TODAY()),0,IF(OR(INDEX($B176:$D176,BC$5)="F",AND(BC$6&gt;0,$A176&lt;BC$6),AND(BC$7&gt;0,$A176&gt;BC$7)),0,MAX(0,ROUND((INDEX($E176:$G176,BC$5)-SUMIFS(TF_Timer,TF_Tekniker,BC$4,TF_Dato,$A176))*2,0)/2)))</f>
        <v/>
      </c>
      <c r="BD176">
        <f>IF(OR(BD$4="",$A176&gt;TODAY()),0,IF(OR(INDEX($B176:$D176,BD$5)="F",AND(BD$6&gt;0,$A176&lt;BD$6),AND(BD$7&gt;0,$A176&gt;BD$7)),0,MAX(0,ROUND((INDEX($E176:$G176,BD$5)-SUMIFS(TF_Timer,TF_Tekniker,BD$4,TF_Dato,$A176))*2,0)/2)))</f>
        <v/>
      </c>
      <c r="BE176">
        <f>IF(OR(BE$4="",$A176&gt;TODAY()),0,IF(OR(INDEX($B176:$D176,BE$5)="F",AND(BE$6&gt;0,$A176&lt;BE$6),AND(BE$7&gt;0,$A176&gt;BE$7)),0,MAX(0,ROUND((INDEX($E176:$G176,BE$5)-SUMIFS(TF_Timer,TF_Tekniker,BE$4,TF_Dato,$A176))*2,0)/2)))</f>
        <v/>
      </c>
      <c r="BF176">
        <f>IF(OR(BF$4="",$A176&gt;TODAY()),0,IF(OR(INDEX($B176:$D176,BF$5)="F",AND(BF$6&gt;0,$A176&lt;BF$6),AND(BF$7&gt;0,$A176&gt;BF$7)),0,MAX(0,ROUND((INDEX($E176:$G176,BF$5)-SUMIFS(TF_Timer,TF_Tekniker,BF$4,TF_Dato,$A176))*2,0)/2)))</f>
        <v/>
      </c>
      <c r="BG176">
        <f>IF(OR(BG$4="",$A176&gt;TODAY()),0,IF(OR(INDEX($B176:$D176,BG$5)="F",AND(BG$6&gt;0,$A176&lt;BG$6),AND(BG$7&gt;0,$A176&gt;BG$7)),0,MAX(0,ROUND((INDEX($E176:$G176,BG$5)-SUMIFS(TF_Timer,TF_Tekniker,BG$4,TF_Dato,$A176))*2,0)/2)))</f>
        <v/>
      </c>
      <c r="BH176">
        <f>IF(OR(BH$4="",$A176&gt;TODAY()),0,IF(OR(INDEX($B176:$D176,BH$5)="F",AND(BH$6&gt;0,$A176&lt;BH$6),AND(BH$7&gt;0,$A176&gt;BH$7)),0,MAX(0,ROUND((INDEX($E176:$G176,BH$5)-SUMIFS(TF_Timer,TF_Tekniker,BH$4,TF_Dato,$A176))*2,0)/2)))</f>
        <v/>
      </c>
      <c r="BI176">
        <f>IF(OR(BI$4="",$A176&gt;TODAY()),0,IF(OR(INDEX($B176:$D176,BI$5)="F",AND(BI$6&gt;0,$A176&lt;BI$6),AND(BI$7&gt;0,$A176&gt;BI$7)),0,MAX(0,ROUND((INDEX($E176:$G176,BI$5)-SUMIFS(TF_Timer,TF_Tekniker,BI$4,TF_Dato,$A176))*2,0)/2)))</f>
        <v/>
      </c>
    </row>
    <row r="177">
      <c r="A177" s="64">
        <f>A176+1</f>
        <v/>
      </c>
      <c r="B177">
        <f>IF(MOD($A177-INDEX(SkiftStart,1),Syklus)&lt;DagK,"K",IF(MOD($A177-INDEX(SkiftStart,1),Syklus)&lt;DagK+DagH,"H",IF(MOD($A177-INDEX(SkiftStart,1),Syklus)&lt;DagK+DagH+DagD,"D","F")))</f>
        <v/>
      </c>
      <c r="C177">
        <f>IF(MOD($A177-INDEX(SkiftStart,2),Syklus)&lt;DagK,"K",IF(MOD($A177-INDEX(SkiftStart,2),Syklus)&lt;DagK+DagH,"H",IF(MOD($A177-INDEX(SkiftStart,2),Syklus)&lt;DagK+DagH+DagD,"D","F")))</f>
        <v/>
      </c>
      <c r="D177">
        <f>IF(MOD($A177-INDEX(SkiftStart,3),Syklus)&lt;DagK,"K",IF(MOD($A177-INDEX(SkiftStart,3),Syklus)&lt;DagK+DagH,"H",IF(MOD($A177-INDEX(SkiftStart,3),Syklus)&lt;DagK+DagH+DagD,"D","F")))</f>
        <v/>
      </c>
      <c r="E177">
        <f>IF(B177="F",0,IF(WEEKDAY($A177,2)=5,INDEX(TimerFr,MATCH(B177,FaseKode,0)),INDEX(TimerMT,MATCH(B177,FaseKode,0))))</f>
        <v/>
      </c>
      <c r="F177">
        <f>IF(C177="F",0,IF(WEEKDAY($A177,2)=5,INDEX(TimerFr,MATCH(C177,FaseKode,0)),INDEX(TimerMT,MATCH(C177,FaseKode,0))))</f>
        <v/>
      </c>
      <c r="G177">
        <f>IF(D177="F",0,IF(WEEKDAY($A177,2)=5,INDEX(TimerFr,MATCH(D177,FaseKode,0)),INDEX(TimerMT,MATCH(D177,FaseKode,0))))</f>
        <v/>
      </c>
      <c r="H177">
        <f>IF(OR(H$4="",$A177&gt;TODAY()),0,IF(OR(INDEX($B177:$D177,H$5)="F",AND(H$6&gt;0,$A177&lt;H$6),AND(H$7&gt;0,$A177&gt;H$7)),0,MAX(0,ROUND((INDEX($E177:$G177,H$5)-SUMIFS(TF_Timer,TF_Tekniker,H$4,TF_Dato,$A177))*2,0)/2)))</f>
        <v/>
      </c>
      <c r="I177">
        <f>IF(OR(I$4="",$A177&gt;TODAY()),0,IF(OR(INDEX($B177:$D177,I$5)="F",AND(I$6&gt;0,$A177&lt;I$6),AND(I$7&gt;0,$A177&gt;I$7)),0,MAX(0,ROUND((INDEX($E177:$G177,I$5)-SUMIFS(TF_Timer,TF_Tekniker,I$4,TF_Dato,$A177))*2,0)/2)))</f>
        <v/>
      </c>
      <c r="J177">
        <f>IF(OR(J$4="",$A177&gt;TODAY()),0,IF(OR(INDEX($B177:$D177,J$5)="F",AND(J$6&gt;0,$A177&lt;J$6),AND(J$7&gt;0,$A177&gt;J$7)),0,MAX(0,ROUND((INDEX($E177:$G177,J$5)-SUMIFS(TF_Timer,TF_Tekniker,J$4,TF_Dato,$A177))*2,0)/2)))</f>
        <v/>
      </c>
      <c r="K177">
        <f>IF(OR(K$4="",$A177&gt;TODAY()),0,IF(OR(INDEX($B177:$D177,K$5)="F",AND(K$6&gt;0,$A177&lt;K$6),AND(K$7&gt;0,$A177&gt;K$7)),0,MAX(0,ROUND((INDEX($E177:$G177,K$5)-SUMIFS(TF_Timer,TF_Tekniker,K$4,TF_Dato,$A177))*2,0)/2)))</f>
        <v/>
      </c>
      <c r="L177">
        <f>IF(OR(L$4="",$A177&gt;TODAY()),0,IF(OR(INDEX($B177:$D177,L$5)="F",AND(L$6&gt;0,$A177&lt;L$6),AND(L$7&gt;0,$A177&gt;L$7)),0,MAX(0,ROUND((INDEX($E177:$G177,L$5)-SUMIFS(TF_Timer,TF_Tekniker,L$4,TF_Dato,$A177))*2,0)/2)))</f>
        <v/>
      </c>
      <c r="M177">
        <f>IF(OR(M$4="",$A177&gt;TODAY()),0,IF(OR(INDEX($B177:$D177,M$5)="F",AND(M$6&gt;0,$A177&lt;M$6),AND(M$7&gt;0,$A177&gt;M$7)),0,MAX(0,ROUND((INDEX($E177:$G177,M$5)-SUMIFS(TF_Timer,TF_Tekniker,M$4,TF_Dato,$A177))*2,0)/2)))</f>
        <v/>
      </c>
      <c r="N177">
        <f>IF(OR(N$4="",$A177&gt;TODAY()),0,IF(OR(INDEX($B177:$D177,N$5)="F",AND(N$6&gt;0,$A177&lt;N$6),AND(N$7&gt;0,$A177&gt;N$7)),0,MAX(0,ROUND((INDEX($E177:$G177,N$5)-SUMIFS(TF_Timer,TF_Tekniker,N$4,TF_Dato,$A177))*2,0)/2)))</f>
        <v/>
      </c>
      <c r="O177">
        <f>IF(OR(O$4="",$A177&gt;TODAY()),0,IF(OR(INDEX($B177:$D177,O$5)="F",AND(O$6&gt;0,$A177&lt;O$6),AND(O$7&gt;0,$A177&gt;O$7)),0,MAX(0,ROUND((INDEX($E177:$G177,O$5)-SUMIFS(TF_Timer,TF_Tekniker,O$4,TF_Dato,$A177))*2,0)/2)))</f>
        <v/>
      </c>
      <c r="P177">
        <f>IF(OR(P$4="",$A177&gt;TODAY()),0,IF(OR(INDEX($B177:$D177,P$5)="F",AND(P$6&gt;0,$A177&lt;P$6),AND(P$7&gt;0,$A177&gt;P$7)),0,MAX(0,ROUND((INDEX($E177:$G177,P$5)-SUMIFS(TF_Timer,TF_Tekniker,P$4,TF_Dato,$A177))*2,0)/2)))</f>
        <v/>
      </c>
      <c r="Q177">
        <f>IF(OR(Q$4="",$A177&gt;TODAY()),0,IF(OR(INDEX($B177:$D177,Q$5)="F",AND(Q$6&gt;0,$A177&lt;Q$6),AND(Q$7&gt;0,$A177&gt;Q$7)),0,MAX(0,ROUND((INDEX($E177:$G177,Q$5)-SUMIFS(TF_Timer,TF_Tekniker,Q$4,TF_Dato,$A177))*2,0)/2)))</f>
        <v/>
      </c>
      <c r="R177">
        <f>IF(OR(R$4="",$A177&gt;TODAY()),0,IF(OR(INDEX($B177:$D177,R$5)="F",AND(R$6&gt;0,$A177&lt;R$6),AND(R$7&gt;0,$A177&gt;R$7)),0,MAX(0,ROUND((INDEX($E177:$G177,R$5)-SUMIFS(TF_Timer,TF_Tekniker,R$4,TF_Dato,$A177))*2,0)/2)))</f>
        <v/>
      </c>
      <c r="S177">
        <f>IF(OR(S$4="",$A177&gt;TODAY()),0,IF(OR(INDEX($B177:$D177,S$5)="F",AND(S$6&gt;0,$A177&lt;S$6),AND(S$7&gt;0,$A177&gt;S$7)),0,MAX(0,ROUND((INDEX($E177:$G177,S$5)-SUMIFS(TF_Timer,TF_Tekniker,S$4,TF_Dato,$A177))*2,0)/2)))</f>
        <v/>
      </c>
      <c r="T177">
        <f>IF(OR(T$4="",$A177&gt;TODAY()),0,IF(OR(INDEX($B177:$D177,T$5)="F",AND(T$6&gt;0,$A177&lt;T$6),AND(T$7&gt;0,$A177&gt;T$7)),0,MAX(0,ROUND((INDEX($E177:$G177,T$5)-SUMIFS(TF_Timer,TF_Tekniker,T$4,TF_Dato,$A177))*2,0)/2)))</f>
        <v/>
      </c>
      <c r="U177">
        <f>IF(OR(U$4="",$A177&gt;TODAY()),0,IF(OR(INDEX($B177:$D177,U$5)="F",AND(U$6&gt;0,$A177&lt;U$6),AND(U$7&gt;0,$A177&gt;U$7)),0,MAX(0,ROUND((INDEX($E177:$G177,U$5)-SUMIFS(TF_Timer,TF_Tekniker,U$4,TF_Dato,$A177))*2,0)/2)))</f>
        <v/>
      </c>
      <c r="V177">
        <f>IF(OR(V$4="",$A177&gt;TODAY()),0,IF(OR(INDEX($B177:$D177,V$5)="F",AND(V$6&gt;0,$A177&lt;V$6),AND(V$7&gt;0,$A177&gt;V$7)),0,MAX(0,ROUND((INDEX($E177:$G177,V$5)-SUMIFS(TF_Timer,TF_Tekniker,V$4,TF_Dato,$A177))*2,0)/2)))</f>
        <v/>
      </c>
      <c r="W177">
        <f>IF(OR(W$4="",$A177&gt;TODAY()),0,IF(OR(INDEX($B177:$D177,W$5)="F",AND(W$6&gt;0,$A177&lt;W$6),AND(W$7&gt;0,$A177&gt;W$7)),0,MAX(0,ROUND((INDEX($E177:$G177,W$5)-SUMIFS(TF_Timer,TF_Tekniker,W$4,TF_Dato,$A177))*2,0)/2)))</f>
        <v/>
      </c>
      <c r="X177">
        <f>IF(OR(X$4="",$A177&gt;TODAY()),0,IF(OR(INDEX($B177:$D177,X$5)="F",AND(X$6&gt;0,$A177&lt;X$6),AND(X$7&gt;0,$A177&gt;X$7)),0,MAX(0,ROUND((INDEX($E177:$G177,X$5)-SUMIFS(TF_Timer,TF_Tekniker,X$4,TF_Dato,$A177))*2,0)/2)))</f>
        <v/>
      </c>
      <c r="Y177">
        <f>IF(OR(Y$4="",$A177&gt;TODAY()),0,IF(OR(INDEX($B177:$D177,Y$5)="F",AND(Y$6&gt;0,$A177&lt;Y$6),AND(Y$7&gt;0,$A177&gt;Y$7)),0,MAX(0,ROUND((INDEX($E177:$G177,Y$5)-SUMIFS(TF_Timer,TF_Tekniker,Y$4,TF_Dato,$A177))*2,0)/2)))</f>
        <v/>
      </c>
      <c r="Z177">
        <f>IF(OR(Z$4="",$A177&gt;TODAY()),0,IF(OR(INDEX($B177:$D177,Z$5)="F",AND(Z$6&gt;0,$A177&lt;Z$6),AND(Z$7&gt;0,$A177&gt;Z$7)),0,MAX(0,ROUND((INDEX($E177:$G177,Z$5)-SUMIFS(TF_Timer,TF_Tekniker,Z$4,TF_Dato,$A177))*2,0)/2)))</f>
        <v/>
      </c>
      <c r="AA177">
        <f>IF(OR(AA$4="",$A177&gt;TODAY()),0,IF(OR(INDEX($B177:$D177,AA$5)="F",AND(AA$6&gt;0,$A177&lt;AA$6),AND(AA$7&gt;0,$A177&gt;AA$7)),0,MAX(0,ROUND((INDEX($E177:$G177,AA$5)-SUMIFS(TF_Timer,TF_Tekniker,AA$4,TF_Dato,$A177))*2,0)/2)))</f>
        <v/>
      </c>
      <c r="AB177">
        <f>IF(OR(AB$4="",$A177&gt;TODAY()),0,IF(OR(INDEX($B177:$D177,AB$5)="F",AND(AB$6&gt;0,$A177&lt;AB$6),AND(AB$7&gt;0,$A177&gt;AB$7)),0,MAX(0,ROUND((INDEX($E177:$G177,AB$5)-SUMIFS(TF_Timer,TF_Tekniker,AB$4,TF_Dato,$A177))*2,0)/2)))</f>
        <v/>
      </c>
      <c r="AC177">
        <f>IF(OR(AC$4="",$A177&gt;TODAY()),0,IF(OR(INDEX($B177:$D177,AC$5)="F",AND(AC$6&gt;0,$A177&lt;AC$6),AND(AC$7&gt;0,$A177&gt;AC$7)),0,MAX(0,ROUND((INDEX($E177:$G177,AC$5)-SUMIFS(TF_Timer,TF_Tekniker,AC$4,TF_Dato,$A177))*2,0)/2)))</f>
        <v/>
      </c>
      <c r="AD177">
        <f>IF(OR(AD$4="",$A177&gt;TODAY()),0,IF(OR(INDEX($B177:$D177,AD$5)="F",AND(AD$6&gt;0,$A177&lt;AD$6),AND(AD$7&gt;0,$A177&gt;AD$7)),0,MAX(0,ROUND((INDEX($E177:$G177,AD$5)-SUMIFS(TF_Timer,TF_Tekniker,AD$4,TF_Dato,$A177))*2,0)/2)))</f>
        <v/>
      </c>
      <c r="AE177">
        <f>IF(OR(AE$4="",$A177&gt;TODAY()),0,IF(OR(INDEX($B177:$D177,AE$5)="F",AND(AE$6&gt;0,$A177&lt;AE$6),AND(AE$7&gt;0,$A177&gt;AE$7)),0,MAX(0,ROUND((INDEX($E177:$G177,AE$5)-SUMIFS(TF_Timer,TF_Tekniker,AE$4,TF_Dato,$A177))*2,0)/2)))</f>
        <v/>
      </c>
      <c r="AF177">
        <f>IF(OR(AF$4="",$A177&gt;TODAY()),0,IF(OR(INDEX($B177:$D177,AF$5)="F",AND(AF$6&gt;0,$A177&lt;AF$6),AND(AF$7&gt;0,$A177&gt;AF$7)),0,MAX(0,ROUND((INDEX($E177:$G177,AF$5)-SUMIFS(TF_Timer,TF_Tekniker,AF$4,TF_Dato,$A177))*2,0)/2)))</f>
        <v/>
      </c>
      <c r="AG177">
        <f>IF(OR(AG$4="",$A177&gt;TODAY()),0,IF(OR(INDEX($B177:$D177,AG$5)="F",AND(AG$6&gt;0,$A177&lt;AG$6),AND(AG$7&gt;0,$A177&gt;AG$7)),0,MAX(0,ROUND((INDEX($E177:$G177,AG$5)-SUMIFS(TF_Timer,TF_Tekniker,AG$4,TF_Dato,$A177))*2,0)/2)))</f>
        <v/>
      </c>
      <c r="AH177">
        <f>IF(OR(AH$4="",$A177&gt;TODAY()),0,IF(OR(INDEX($B177:$D177,AH$5)="F",AND(AH$6&gt;0,$A177&lt;AH$6),AND(AH$7&gt;0,$A177&gt;AH$7)),0,MAX(0,ROUND((INDEX($E177:$G177,AH$5)-SUMIFS(TF_Timer,TF_Tekniker,AH$4,TF_Dato,$A177))*2,0)/2)))</f>
        <v/>
      </c>
      <c r="AI177">
        <f>IF(OR(AI$4="",$A177&gt;TODAY()),0,IF(OR(INDEX($B177:$D177,AI$5)="F",AND(AI$6&gt;0,$A177&lt;AI$6),AND(AI$7&gt;0,$A177&gt;AI$7)),0,MAX(0,ROUND((INDEX($E177:$G177,AI$5)-SUMIFS(TF_Timer,TF_Tekniker,AI$4,TF_Dato,$A177))*2,0)/2)))</f>
        <v/>
      </c>
      <c r="AJ177">
        <f>IF(OR(AJ$4="",$A177&gt;TODAY()),0,IF(OR(INDEX($B177:$D177,AJ$5)="F",AND(AJ$6&gt;0,$A177&lt;AJ$6),AND(AJ$7&gt;0,$A177&gt;AJ$7)),0,MAX(0,ROUND((INDEX($E177:$G177,AJ$5)-SUMIFS(TF_Timer,TF_Tekniker,AJ$4,TF_Dato,$A177))*2,0)/2)))</f>
        <v/>
      </c>
      <c r="AK177">
        <f>IF(OR(AK$4="",$A177&gt;TODAY()),0,IF(OR(INDEX($B177:$D177,AK$5)="F",AND(AK$6&gt;0,$A177&lt;AK$6),AND(AK$7&gt;0,$A177&gt;AK$7)),0,MAX(0,ROUND((INDEX($E177:$G177,AK$5)-SUMIFS(TF_Timer,TF_Tekniker,AK$4,TF_Dato,$A177))*2,0)/2)))</f>
        <v/>
      </c>
      <c r="AL177">
        <f>IF(OR(AL$4="",$A177&gt;TODAY()),0,IF(OR(INDEX($B177:$D177,AL$5)="F",AND(AL$6&gt;0,$A177&lt;AL$6),AND(AL$7&gt;0,$A177&gt;AL$7)),0,MAX(0,ROUND((INDEX($E177:$G177,AL$5)-SUMIFS(TF_Timer,TF_Tekniker,AL$4,TF_Dato,$A177))*2,0)/2)))</f>
        <v/>
      </c>
      <c r="AM177">
        <f>IF(OR(AM$4="",$A177&gt;TODAY()),0,IF(OR(INDEX($B177:$D177,AM$5)="F",AND(AM$6&gt;0,$A177&lt;AM$6),AND(AM$7&gt;0,$A177&gt;AM$7)),0,MAX(0,ROUND((INDEX($E177:$G177,AM$5)-SUMIFS(TF_Timer,TF_Tekniker,AM$4,TF_Dato,$A177))*2,0)/2)))</f>
        <v/>
      </c>
      <c r="AN177">
        <f>IF(OR(AN$4="",$A177&gt;TODAY()),0,IF(OR(INDEX($B177:$D177,AN$5)="F",AND(AN$6&gt;0,$A177&lt;AN$6),AND(AN$7&gt;0,$A177&gt;AN$7)),0,MAX(0,ROUND((INDEX($E177:$G177,AN$5)-SUMIFS(TF_Timer,TF_Tekniker,AN$4,TF_Dato,$A177))*2,0)/2)))</f>
        <v/>
      </c>
      <c r="AO177">
        <f>IF(OR(AO$4="",$A177&gt;TODAY()),0,IF(OR(INDEX($B177:$D177,AO$5)="F",AND(AO$6&gt;0,$A177&lt;AO$6),AND(AO$7&gt;0,$A177&gt;AO$7)),0,MAX(0,ROUND((INDEX($E177:$G177,AO$5)-SUMIFS(TF_Timer,TF_Tekniker,AO$4,TF_Dato,$A177))*2,0)/2)))</f>
        <v/>
      </c>
      <c r="AP177">
        <f>IF(OR(AP$4="",$A177&gt;TODAY()),0,IF(OR(INDEX($B177:$D177,AP$5)="F",AND(AP$6&gt;0,$A177&lt;AP$6),AND(AP$7&gt;0,$A177&gt;AP$7)),0,MAX(0,ROUND((INDEX($E177:$G177,AP$5)-SUMIFS(TF_Timer,TF_Tekniker,AP$4,TF_Dato,$A177))*2,0)/2)))</f>
        <v/>
      </c>
      <c r="AQ177">
        <f>IF(OR(AQ$4="",$A177&gt;TODAY()),0,IF(OR(INDEX($B177:$D177,AQ$5)="F",AND(AQ$6&gt;0,$A177&lt;AQ$6),AND(AQ$7&gt;0,$A177&gt;AQ$7)),0,MAX(0,ROUND((INDEX($E177:$G177,AQ$5)-SUMIFS(TF_Timer,TF_Tekniker,AQ$4,TF_Dato,$A177))*2,0)/2)))</f>
        <v/>
      </c>
      <c r="AR177">
        <f>IF(OR(AR$4="",$A177&gt;TODAY()),0,IF(OR(INDEX($B177:$D177,AR$5)="F",AND(AR$6&gt;0,$A177&lt;AR$6),AND(AR$7&gt;0,$A177&gt;AR$7)),0,MAX(0,ROUND((INDEX($E177:$G177,AR$5)-SUMIFS(TF_Timer,TF_Tekniker,AR$4,TF_Dato,$A177))*2,0)/2)))</f>
        <v/>
      </c>
      <c r="AS177">
        <f>IF(OR(AS$4="",$A177&gt;TODAY()),0,IF(OR(INDEX($B177:$D177,AS$5)="F",AND(AS$6&gt;0,$A177&lt;AS$6),AND(AS$7&gt;0,$A177&gt;AS$7)),0,MAX(0,ROUND((INDEX($E177:$G177,AS$5)-SUMIFS(TF_Timer,TF_Tekniker,AS$4,TF_Dato,$A177))*2,0)/2)))</f>
        <v/>
      </c>
      <c r="AT177">
        <f>IF(OR(AT$4="",$A177&gt;TODAY()),0,IF(OR(INDEX($B177:$D177,AT$5)="F",AND(AT$6&gt;0,$A177&lt;AT$6),AND(AT$7&gt;0,$A177&gt;AT$7)),0,MAX(0,ROUND((INDEX($E177:$G177,AT$5)-SUMIFS(TF_Timer,TF_Tekniker,AT$4,TF_Dato,$A177))*2,0)/2)))</f>
        <v/>
      </c>
      <c r="AU177">
        <f>IF(OR(AU$4="",$A177&gt;TODAY()),0,IF(OR(INDEX($B177:$D177,AU$5)="F",AND(AU$6&gt;0,$A177&lt;AU$6),AND(AU$7&gt;0,$A177&gt;AU$7)),0,MAX(0,ROUND((INDEX($E177:$G177,AU$5)-SUMIFS(TF_Timer,TF_Tekniker,AU$4,TF_Dato,$A177))*2,0)/2)))</f>
        <v/>
      </c>
      <c r="AV177">
        <f>IF(OR(AV$4="",$A177&gt;TODAY()),0,IF(OR(INDEX($B177:$D177,AV$5)="F",AND(AV$6&gt;0,$A177&lt;AV$6),AND(AV$7&gt;0,$A177&gt;AV$7)),0,MAX(0,ROUND((INDEX($E177:$G177,AV$5)-SUMIFS(TF_Timer,TF_Tekniker,AV$4,TF_Dato,$A177))*2,0)/2)))</f>
        <v/>
      </c>
      <c r="AW177">
        <f>IF(OR(AW$4="",$A177&gt;TODAY()),0,IF(OR(INDEX($B177:$D177,AW$5)="F",AND(AW$6&gt;0,$A177&lt;AW$6),AND(AW$7&gt;0,$A177&gt;AW$7)),0,MAX(0,ROUND((INDEX($E177:$G177,AW$5)-SUMIFS(TF_Timer,TF_Tekniker,AW$4,TF_Dato,$A177))*2,0)/2)))</f>
        <v/>
      </c>
      <c r="AX177">
        <f>IF(OR(AX$4="",$A177&gt;TODAY()),0,IF(OR(INDEX($B177:$D177,AX$5)="F",AND(AX$6&gt;0,$A177&lt;AX$6),AND(AX$7&gt;0,$A177&gt;AX$7)),0,MAX(0,ROUND((INDEX($E177:$G177,AX$5)-SUMIFS(TF_Timer,TF_Tekniker,AX$4,TF_Dato,$A177))*2,0)/2)))</f>
        <v/>
      </c>
      <c r="AY177">
        <f>IF(OR(AY$4="",$A177&gt;TODAY()),0,IF(OR(INDEX($B177:$D177,AY$5)="F",AND(AY$6&gt;0,$A177&lt;AY$6),AND(AY$7&gt;0,$A177&gt;AY$7)),0,MAX(0,ROUND((INDEX($E177:$G177,AY$5)-SUMIFS(TF_Timer,TF_Tekniker,AY$4,TF_Dato,$A177))*2,0)/2)))</f>
        <v/>
      </c>
      <c r="AZ177">
        <f>IF(OR(AZ$4="",$A177&gt;TODAY()),0,IF(OR(INDEX($B177:$D177,AZ$5)="F",AND(AZ$6&gt;0,$A177&lt;AZ$6),AND(AZ$7&gt;0,$A177&gt;AZ$7)),0,MAX(0,ROUND((INDEX($E177:$G177,AZ$5)-SUMIFS(TF_Timer,TF_Tekniker,AZ$4,TF_Dato,$A177))*2,0)/2)))</f>
        <v/>
      </c>
      <c r="BA177">
        <f>IF(OR(BA$4="",$A177&gt;TODAY()),0,IF(OR(INDEX($B177:$D177,BA$5)="F",AND(BA$6&gt;0,$A177&lt;BA$6),AND(BA$7&gt;0,$A177&gt;BA$7)),0,MAX(0,ROUND((INDEX($E177:$G177,BA$5)-SUMIFS(TF_Timer,TF_Tekniker,BA$4,TF_Dato,$A177))*2,0)/2)))</f>
        <v/>
      </c>
      <c r="BB177">
        <f>IF(OR(BB$4="",$A177&gt;TODAY()),0,IF(OR(INDEX($B177:$D177,BB$5)="F",AND(BB$6&gt;0,$A177&lt;BB$6),AND(BB$7&gt;0,$A177&gt;BB$7)),0,MAX(0,ROUND((INDEX($E177:$G177,BB$5)-SUMIFS(TF_Timer,TF_Tekniker,BB$4,TF_Dato,$A177))*2,0)/2)))</f>
        <v/>
      </c>
      <c r="BC177">
        <f>IF(OR(BC$4="",$A177&gt;TODAY()),0,IF(OR(INDEX($B177:$D177,BC$5)="F",AND(BC$6&gt;0,$A177&lt;BC$6),AND(BC$7&gt;0,$A177&gt;BC$7)),0,MAX(0,ROUND((INDEX($E177:$G177,BC$5)-SUMIFS(TF_Timer,TF_Tekniker,BC$4,TF_Dato,$A177))*2,0)/2)))</f>
        <v/>
      </c>
      <c r="BD177">
        <f>IF(OR(BD$4="",$A177&gt;TODAY()),0,IF(OR(INDEX($B177:$D177,BD$5)="F",AND(BD$6&gt;0,$A177&lt;BD$6),AND(BD$7&gt;0,$A177&gt;BD$7)),0,MAX(0,ROUND((INDEX($E177:$G177,BD$5)-SUMIFS(TF_Timer,TF_Tekniker,BD$4,TF_Dato,$A177))*2,0)/2)))</f>
        <v/>
      </c>
      <c r="BE177">
        <f>IF(OR(BE$4="",$A177&gt;TODAY()),0,IF(OR(INDEX($B177:$D177,BE$5)="F",AND(BE$6&gt;0,$A177&lt;BE$6),AND(BE$7&gt;0,$A177&gt;BE$7)),0,MAX(0,ROUND((INDEX($E177:$G177,BE$5)-SUMIFS(TF_Timer,TF_Tekniker,BE$4,TF_Dato,$A177))*2,0)/2)))</f>
        <v/>
      </c>
      <c r="BF177">
        <f>IF(OR(BF$4="",$A177&gt;TODAY()),0,IF(OR(INDEX($B177:$D177,BF$5)="F",AND(BF$6&gt;0,$A177&lt;BF$6),AND(BF$7&gt;0,$A177&gt;BF$7)),0,MAX(0,ROUND((INDEX($E177:$G177,BF$5)-SUMIFS(TF_Timer,TF_Tekniker,BF$4,TF_Dato,$A177))*2,0)/2)))</f>
        <v/>
      </c>
      <c r="BG177">
        <f>IF(OR(BG$4="",$A177&gt;TODAY()),0,IF(OR(INDEX($B177:$D177,BG$5)="F",AND(BG$6&gt;0,$A177&lt;BG$6),AND(BG$7&gt;0,$A177&gt;BG$7)),0,MAX(0,ROUND((INDEX($E177:$G177,BG$5)-SUMIFS(TF_Timer,TF_Tekniker,BG$4,TF_Dato,$A177))*2,0)/2)))</f>
        <v/>
      </c>
      <c r="BH177">
        <f>IF(OR(BH$4="",$A177&gt;TODAY()),0,IF(OR(INDEX($B177:$D177,BH$5)="F",AND(BH$6&gt;0,$A177&lt;BH$6),AND(BH$7&gt;0,$A177&gt;BH$7)),0,MAX(0,ROUND((INDEX($E177:$G177,BH$5)-SUMIFS(TF_Timer,TF_Tekniker,BH$4,TF_Dato,$A177))*2,0)/2)))</f>
        <v/>
      </c>
      <c r="BI177">
        <f>IF(OR(BI$4="",$A177&gt;TODAY()),0,IF(OR(INDEX($B177:$D177,BI$5)="F",AND(BI$6&gt;0,$A177&lt;BI$6),AND(BI$7&gt;0,$A177&gt;BI$7)),0,MAX(0,ROUND((INDEX($E177:$G177,BI$5)-SUMIFS(TF_Timer,TF_Tekniker,BI$4,TF_Dato,$A177))*2,0)/2)))</f>
        <v/>
      </c>
    </row>
    <row r="178">
      <c r="A178" s="64">
        <f>A177+1</f>
        <v/>
      </c>
      <c r="B178">
        <f>IF(MOD($A178-INDEX(SkiftStart,1),Syklus)&lt;DagK,"K",IF(MOD($A178-INDEX(SkiftStart,1),Syklus)&lt;DagK+DagH,"H",IF(MOD($A178-INDEX(SkiftStart,1),Syklus)&lt;DagK+DagH+DagD,"D","F")))</f>
        <v/>
      </c>
      <c r="C178">
        <f>IF(MOD($A178-INDEX(SkiftStart,2),Syklus)&lt;DagK,"K",IF(MOD($A178-INDEX(SkiftStart,2),Syklus)&lt;DagK+DagH,"H",IF(MOD($A178-INDEX(SkiftStart,2),Syklus)&lt;DagK+DagH+DagD,"D","F")))</f>
        <v/>
      </c>
      <c r="D178">
        <f>IF(MOD($A178-INDEX(SkiftStart,3),Syklus)&lt;DagK,"K",IF(MOD($A178-INDEX(SkiftStart,3),Syklus)&lt;DagK+DagH,"H",IF(MOD($A178-INDEX(SkiftStart,3),Syklus)&lt;DagK+DagH+DagD,"D","F")))</f>
        <v/>
      </c>
      <c r="E178">
        <f>IF(B178="F",0,IF(WEEKDAY($A178,2)=5,INDEX(TimerFr,MATCH(B178,FaseKode,0)),INDEX(TimerMT,MATCH(B178,FaseKode,0))))</f>
        <v/>
      </c>
      <c r="F178">
        <f>IF(C178="F",0,IF(WEEKDAY($A178,2)=5,INDEX(TimerFr,MATCH(C178,FaseKode,0)),INDEX(TimerMT,MATCH(C178,FaseKode,0))))</f>
        <v/>
      </c>
      <c r="G178">
        <f>IF(D178="F",0,IF(WEEKDAY($A178,2)=5,INDEX(TimerFr,MATCH(D178,FaseKode,0)),INDEX(TimerMT,MATCH(D178,FaseKode,0))))</f>
        <v/>
      </c>
      <c r="H178">
        <f>IF(OR(H$4="",$A178&gt;TODAY()),0,IF(OR(INDEX($B178:$D178,H$5)="F",AND(H$6&gt;0,$A178&lt;H$6),AND(H$7&gt;0,$A178&gt;H$7)),0,MAX(0,ROUND((INDEX($E178:$G178,H$5)-SUMIFS(TF_Timer,TF_Tekniker,H$4,TF_Dato,$A178))*2,0)/2)))</f>
        <v/>
      </c>
      <c r="I178">
        <f>IF(OR(I$4="",$A178&gt;TODAY()),0,IF(OR(INDEX($B178:$D178,I$5)="F",AND(I$6&gt;0,$A178&lt;I$6),AND(I$7&gt;0,$A178&gt;I$7)),0,MAX(0,ROUND((INDEX($E178:$G178,I$5)-SUMIFS(TF_Timer,TF_Tekniker,I$4,TF_Dato,$A178))*2,0)/2)))</f>
        <v/>
      </c>
      <c r="J178">
        <f>IF(OR(J$4="",$A178&gt;TODAY()),0,IF(OR(INDEX($B178:$D178,J$5)="F",AND(J$6&gt;0,$A178&lt;J$6),AND(J$7&gt;0,$A178&gt;J$7)),0,MAX(0,ROUND((INDEX($E178:$G178,J$5)-SUMIFS(TF_Timer,TF_Tekniker,J$4,TF_Dato,$A178))*2,0)/2)))</f>
        <v/>
      </c>
      <c r="K178">
        <f>IF(OR(K$4="",$A178&gt;TODAY()),0,IF(OR(INDEX($B178:$D178,K$5)="F",AND(K$6&gt;0,$A178&lt;K$6),AND(K$7&gt;0,$A178&gt;K$7)),0,MAX(0,ROUND((INDEX($E178:$G178,K$5)-SUMIFS(TF_Timer,TF_Tekniker,K$4,TF_Dato,$A178))*2,0)/2)))</f>
        <v/>
      </c>
      <c r="L178">
        <f>IF(OR(L$4="",$A178&gt;TODAY()),0,IF(OR(INDEX($B178:$D178,L$5)="F",AND(L$6&gt;0,$A178&lt;L$6),AND(L$7&gt;0,$A178&gt;L$7)),0,MAX(0,ROUND((INDEX($E178:$G178,L$5)-SUMIFS(TF_Timer,TF_Tekniker,L$4,TF_Dato,$A178))*2,0)/2)))</f>
        <v/>
      </c>
      <c r="M178">
        <f>IF(OR(M$4="",$A178&gt;TODAY()),0,IF(OR(INDEX($B178:$D178,M$5)="F",AND(M$6&gt;0,$A178&lt;M$6),AND(M$7&gt;0,$A178&gt;M$7)),0,MAX(0,ROUND((INDEX($E178:$G178,M$5)-SUMIFS(TF_Timer,TF_Tekniker,M$4,TF_Dato,$A178))*2,0)/2)))</f>
        <v/>
      </c>
      <c r="N178">
        <f>IF(OR(N$4="",$A178&gt;TODAY()),0,IF(OR(INDEX($B178:$D178,N$5)="F",AND(N$6&gt;0,$A178&lt;N$6),AND(N$7&gt;0,$A178&gt;N$7)),0,MAX(0,ROUND((INDEX($E178:$G178,N$5)-SUMIFS(TF_Timer,TF_Tekniker,N$4,TF_Dato,$A178))*2,0)/2)))</f>
        <v/>
      </c>
      <c r="O178">
        <f>IF(OR(O$4="",$A178&gt;TODAY()),0,IF(OR(INDEX($B178:$D178,O$5)="F",AND(O$6&gt;0,$A178&lt;O$6),AND(O$7&gt;0,$A178&gt;O$7)),0,MAX(0,ROUND((INDEX($E178:$G178,O$5)-SUMIFS(TF_Timer,TF_Tekniker,O$4,TF_Dato,$A178))*2,0)/2)))</f>
        <v/>
      </c>
      <c r="P178">
        <f>IF(OR(P$4="",$A178&gt;TODAY()),0,IF(OR(INDEX($B178:$D178,P$5)="F",AND(P$6&gt;0,$A178&lt;P$6),AND(P$7&gt;0,$A178&gt;P$7)),0,MAX(0,ROUND((INDEX($E178:$G178,P$5)-SUMIFS(TF_Timer,TF_Tekniker,P$4,TF_Dato,$A178))*2,0)/2)))</f>
        <v/>
      </c>
      <c r="Q178">
        <f>IF(OR(Q$4="",$A178&gt;TODAY()),0,IF(OR(INDEX($B178:$D178,Q$5)="F",AND(Q$6&gt;0,$A178&lt;Q$6),AND(Q$7&gt;0,$A178&gt;Q$7)),0,MAX(0,ROUND((INDEX($E178:$G178,Q$5)-SUMIFS(TF_Timer,TF_Tekniker,Q$4,TF_Dato,$A178))*2,0)/2)))</f>
        <v/>
      </c>
      <c r="R178">
        <f>IF(OR(R$4="",$A178&gt;TODAY()),0,IF(OR(INDEX($B178:$D178,R$5)="F",AND(R$6&gt;0,$A178&lt;R$6),AND(R$7&gt;0,$A178&gt;R$7)),0,MAX(0,ROUND((INDEX($E178:$G178,R$5)-SUMIFS(TF_Timer,TF_Tekniker,R$4,TF_Dato,$A178))*2,0)/2)))</f>
        <v/>
      </c>
      <c r="S178">
        <f>IF(OR(S$4="",$A178&gt;TODAY()),0,IF(OR(INDEX($B178:$D178,S$5)="F",AND(S$6&gt;0,$A178&lt;S$6),AND(S$7&gt;0,$A178&gt;S$7)),0,MAX(0,ROUND((INDEX($E178:$G178,S$5)-SUMIFS(TF_Timer,TF_Tekniker,S$4,TF_Dato,$A178))*2,0)/2)))</f>
        <v/>
      </c>
      <c r="T178">
        <f>IF(OR(T$4="",$A178&gt;TODAY()),0,IF(OR(INDEX($B178:$D178,T$5)="F",AND(T$6&gt;0,$A178&lt;T$6),AND(T$7&gt;0,$A178&gt;T$7)),0,MAX(0,ROUND((INDEX($E178:$G178,T$5)-SUMIFS(TF_Timer,TF_Tekniker,T$4,TF_Dato,$A178))*2,0)/2)))</f>
        <v/>
      </c>
      <c r="U178">
        <f>IF(OR(U$4="",$A178&gt;TODAY()),0,IF(OR(INDEX($B178:$D178,U$5)="F",AND(U$6&gt;0,$A178&lt;U$6),AND(U$7&gt;0,$A178&gt;U$7)),0,MAX(0,ROUND((INDEX($E178:$G178,U$5)-SUMIFS(TF_Timer,TF_Tekniker,U$4,TF_Dato,$A178))*2,0)/2)))</f>
        <v/>
      </c>
      <c r="V178">
        <f>IF(OR(V$4="",$A178&gt;TODAY()),0,IF(OR(INDEX($B178:$D178,V$5)="F",AND(V$6&gt;0,$A178&lt;V$6),AND(V$7&gt;0,$A178&gt;V$7)),0,MAX(0,ROUND((INDEX($E178:$G178,V$5)-SUMIFS(TF_Timer,TF_Tekniker,V$4,TF_Dato,$A178))*2,0)/2)))</f>
        <v/>
      </c>
      <c r="W178">
        <f>IF(OR(W$4="",$A178&gt;TODAY()),0,IF(OR(INDEX($B178:$D178,W$5)="F",AND(W$6&gt;0,$A178&lt;W$6),AND(W$7&gt;0,$A178&gt;W$7)),0,MAX(0,ROUND((INDEX($E178:$G178,W$5)-SUMIFS(TF_Timer,TF_Tekniker,W$4,TF_Dato,$A178))*2,0)/2)))</f>
        <v/>
      </c>
      <c r="X178">
        <f>IF(OR(X$4="",$A178&gt;TODAY()),0,IF(OR(INDEX($B178:$D178,X$5)="F",AND(X$6&gt;0,$A178&lt;X$6),AND(X$7&gt;0,$A178&gt;X$7)),0,MAX(0,ROUND((INDEX($E178:$G178,X$5)-SUMIFS(TF_Timer,TF_Tekniker,X$4,TF_Dato,$A178))*2,0)/2)))</f>
        <v/>
      </c>
      <c r="Y178">
        <f>IF(OR(Y$4="",$A178&gt;TODAY()),0,IF(OR(INDEX($B178:$D178,Y$5)="F",AND(Y$6&gt;0,$A178&lt;Y$6),AND(Y$7&gt;0,$A178&gt;Y$7)),0,MAX(0,ROUND((INDEX($E178:$G178,Y$5)-SUMIFS(TF_Timer,TF_Tekniker,Y$4,TF_Dato,$A178))*2,0)/2)))</f>
        <v/>
      </c>
      <c r="Z178">
        <f>IF(OR(Z$4="",$A178&gt;TODAY()),0,IF(OR(INDEX($B178:$D178,Z$5)="F",AND(Z$6&gt;0,$A178&lt;Z$6),AND(Z$7&gt;0,$A178&gt;Z$7)),0,MAX(0,ROUND((INDEX($E178:$G178,Z$5)-SUMIFS(TF_Timer,TF_Tekniker,Z$4,TF_Dato,$A178))*2,0)/2)))</f>
        <v/>
      </c>
      <c r="AA178">
        <f>IF(OR(AA$4="",$A178&gt;TODAY()),0,IF(OR(INDEX($B178:$D178,AA$5)="F",AND(AA$6&gt;0,$A178&lt;AA$6),AND(AA$7&gt;0,$A178&gt;AA$7)),0,MAX(0,ROUND((INDEX($E178:$G178,AA$5)-SUMIFS(TF_Timer,TF_Tekniker,AA$4,TF_Dato,$A178))*2,0)/2)))</f>
        <v/>
      </c>
      <c r="AB178">
        <f>IF(OR(AB$4="",$A178&gt;TODAY()),0,IF(OR(INDEX($B178:$D178,AB$5)="F",AND(AB$6&gt;0,$A178&lt;AB$6),AND(AB$7&gt;0,$A178&gt;AB$7)),0,MAX(0,ROUND((INDEX($E178:$G178,AB$5)-SUMIFS(TF_Timer,TF_Tekniker,AB$4,TF_Dato,$A178))*2,0)/2)))</f>
        <v/>
      </c>
      <c r="AC178">
        <f>IF(OR(AC$4="",$A178&gt;TODAY()),0,IF(OR(INDEX($B178:$D178,AC$5)="F",AND(AC$6&gt;0,$A178&lt;AC$6),AND(AC$7&gt;0,$A178&gt;AC$7)),0,MAX(0,ROUND((INDEX($E178:$G178,AC$5)-SUMIFS(TF_Timer,TF_Tekniker,AC$4,TF_Dato,$A178))*2,0)/2)))</f>
        <v/>
      </c>
      <c r="AD178">
        <f>IF(OR(AD$4="",$A178&gt;TODAY()),0,IF(OR(INDEX($B178:$D178,AD$5)="F",AND(AD$6&gt;0,$A178&lt;AD$6),AND(AD$7&gt;0,$A178&gt;AD$7)),0,MAX(0,ROUND((INDEX($E178:$G178,AD$5)-SUMIFS(TF_Timer,TF_Tekniker,AD$4,TF_Dato,$A178))*2,0)/2)))</f>
        <v/>
      </c>
      <c r="AE178">
        <f>IF(OR(AE$4="",$A178&gt;TODAY()),0,IF(OR(INDEX($B178:$D178,AE$5)="F",AND(AE$6&gt;0,$A178&lt;AE$6),AND(AE$7&gt;0,$A178&gt;AE$7)),0,MAX(0,ROUND((INDEX($E178:$G178,AE$5)-SUMIFS(TF_Timer,TF_Tekniker,AE$4,TF_Dato,$A178))*2,0)/2)))</f>
        <v/>
      </c>
      <c r="AF178">
        <f>IF(OR(AF$4="",$A178&gt;TODAY()),0,IF(OR(INDEX($B178:$D178,AF$5)="F",AND(AF$6&gt;0,$A178&lt;AF$6),AND(AF$7&gt;0,$A178&gt;AF$7)),0,MAX(0,ROUND((INDEX($E178:$G178,AF$5)-SUMIFS(TF_Timer,TF_Tekniker,AF$4,TF_Dato,$A178))*2,0)/2)))</f>
        <v/>
      </c>
      <c r="AG178">
        <f>IF(OR(AG$4="",$A178&gt;TODAY()),0,IF(OR(INDEX($B178:$D178,AG$5)="F",AND(AG$6&gt;0,$A178&lt;AG$6),AND(AG$7&gt;0,$A178&gt;AG$7)),0,MAX(0,ROUND((INDEX($E178:$G178,AG$5)-SUMIFS(TF_Timer,TF_Tekniker,AG$4,TF_Dato,$A178))*2,0)/2)))</f>
        <v/>
      </c>
      <c r="AH178">
        <f>IF(OR(AH$4="",$A178&gt;TODAY()),0,IF(OR(INDEX($B178:$D178,AH$5)="F",AND(AH$6&gt;0,$A178&lt;AH$6),AND(AH$7&gt;0,$A178&gt;AH$7)),0,MAX(0,ROUND((INDEX($E178:$G178,AH$5)-SUMIFS(TF_Timer,TF_Tekniker,AH$4,TF_Dato,$A178))*2,0)/2)))</f>
        <v/>
      </c>
      <c r="AI178">
        <f>IF(OR(AI$4="",$A178&gt;TODAY()),0,IF(OR(INDEX($B178:$D178,AI$5)="F",AND(AI$6&gt;0,$A178&lt;AI$6),AND(AI$7&gt;0,$A178&gt;AI$7)),0,MAX(0,ROUND((INDEX($E178:$G178,AI$5)-SUMIFS(TF_Timer,TF_Tekniker,AI$4,TF_Dato,$A178))*2,0)/2)))</f>
        <v/>
      </c>
      <c r="AJ178">
        <f>IF(OR(AJ$4="",$A178&gt;TODAY()),0,IF(OR(INDEX($B178:$D178,AJ$5)="F",AND(AJ$6&gt;0,$A178&lt;AJ$6),AND(AJ$7&gt;0,$A178&gt;AJ$7)),0,MAX(0,ROUND((INDEX($E178:$G178,AJ$5)-SUMIFS(TF_Timer,TF_Tekniker,AJ$4,TF_Dato,$A178))*2,0)/2)))</f>
        <v/>
      </c>
      <c r="AK178">
        <f>IF(OR(AK$4="",$A178&gt;TODAY()),0,IF(OR(INDEX($B178:$D178,AK$5)="F",AND(AK$6&gt;0,$A178&lt;AK$6),AND(AK$7&gt;0,$A178&gt;AK$7)),0,MAX(0,ROUND((INDEX($E178:$G178,AK$5)-SUMIFS(TF_Timer,TF_Tekniker,AK$4,TF_Dato,$A178))*2,0)/2)))</f>
        <v/>
      </c>
      <c r="AL178">
        <f>IF(OR(AL$4="",$A178&gt;TODAY()),0,IF(OR(INDEX($B178:$D178,AL$5)="F",AND(AL$6&gt;0,$A178&lt;AL$6),AND(AL$7&gt;0,$A178&gt;AL$7)),0,MAX(0,ROUND((INDEX($E178:$G178,AL$5)-SUMIFS(TF_Timer,TF_Tekniker,AL$4,TF_Dato,$A178))*2,0)/2)))</f>
        <v/>
      </c>
      <c r="AM178">
        <f>IF(OR(AM$4="",$A178&gt;TODAY()),0,IF(OR(INDEX($B178:$D178,AM$5)="F",AND(AM$6&gt;0,$A178&lt;AM$6),AND(AM$7&gt;0,$A178&gt;AM$7)),0,MAX(0,ROUND((INDEX($E178:$G178,AM$5)-SUMIFS(TF_Timer,TF_Tekniker,AM$4,TF_Dato,$A178))*2,0)/2)))</f>
        <v/>
      </c>
      <c r="AN178">
        <f>IF(OR(AN$4="",$A178&gt;TODAY()),0,IF(OR(INDEX($B178:$D178,AN$5)="F",AND(AN$6&gt;0,$A178&lt;AN$6),AND(AN$7&gt;0,$A178&gt;AN$7)),0,MAX(0,ROUND((INDEX($E178:$G178,AN$5)-SUMIFS(TF_Timer,TF_Tekniker,AN$4,TF_Dato,$A178))*2,0)/2)))</f>
        <v/>
      </c>
      <c r="AO178">
        <f>IF(OR(AO$4="",$A178&gt;TODAY()),0,IF(OR(INDEX($B178:$D178,AO$5)="F",AND(AO$6&gt;0,$A178&lt;AO$6),AND(AO$7&gt;0,$A178&gt;AO$7)),0,MAX(0,ROUND((INDEX($E178:$G178,AO$5)-SUMIFS(TF_Timer,TF_Tekniker,AO$4,TF_Dato,$A178))*2,0)/2)))</f>
        <v/>
      </c>
      <c r="AP178">
        <f>IF(OR(AP$4="",$A178&gt;TODAY()),0,IF(OR(INDEX($B178:$D178,AP$5)="F",AND(AP$6&gt;0,$A178&lt;AP$6),AND(AP$7&gt;0,$A178&gt;AP$7)),0,MAX(0,ROUND((INDEX($E178:$G178,AP$5)-SUMIFS(TF_Timer,TF_Tekniker,AP$4,TF_Dato,$A178))*2,0)/2)))</f>
        <v/>
      </c>
      <c r="AQ178">
        <f>IF(OR(AQ$4="",$A178&gt;TODAY()),0,IF(OR(INDEX($B178:$D178,AQ$5)="F",AND(AQ$6&gt;0,$A178&lt;AQ$6),AND(AQ$7&gt;0,$A178&gt;AQ$7)),0,MAX(0,ROUND((INDEX($E178:$G178,AQ$5)-SUMIFS(TF_Timer,TF_Tekniker,AQ$4,TF_Dato,$A178))*2,0)/2)))</f>
        <v/>
      </c>
      <c r="AR178">
        <f>IF(OR(AR$4="",$A178&gt;TODAY()),0,IF(OR(INDEX($B178:$D178,AR$5)="F",AND(AR$6&gt;0,$A178&lt;AR$6),AND(AR$7&gt;0,$A178&gt;AR$7)),0,MAX(0,ROUND((INDEX($E178:$G178,AR$5)-SUMIFS(TF_Timer,TF_Tekniker,AR$4,TF_Dato,$A178))*2,0)/2)))</f>
        <v/>
      </c>
      <c r="AS178">
        <f>IF(OR(AS$4="",$A178&gt;TODAY()),0,IF(OR(INDEX($B178:$D178,AS$5)="F",AND(AS$6&gt;0,$A178&lt;AS$6),AND(AS$7&gt;0,$A178&gt;AS$7)),0,MAX(0,ROUND((INDEX($E178:$G178,AS$5)-SUMIFS(TF_Timer,TF_Tekniker,AS$4,TF_Dato,$A178))*2,0)/2)))</f>
        <v/>
      </c>
      <c r="AT178">
        <f>IF(OR(AT$4="",$A178&gt;TODAY()),0,IF(OR(INDEX($B178:$D178,AT$5)="F",AND(AT$6&gt;0,$A178&lt;AT$6),AND(AT$7&gt;0,$A178&gt;AT$7)),0,MAX(0,ROUND((INDEX($E178:$G178,AT$5)-SUMIFS(TF_Timer,TF_Tekniker,AT$4,TF_Dato,$A178))*2,0)/2)))</f>
        <v/>
      </c>
      <c r="AU178">
        <f>IF(OR(AU$4="",$A178&gt;TODAY()),0,IF(OR(INDEX($B178:$D178,AU$5)="F",AND(AU$6&gt;0,$A178&lt;AU$6),AND(AU$7&gt;0,$A178&gt;AU$7)),0,MAX(0,ROUND((INDEX($E178:$G178,AU$5)-SUMIFS(TF_Timer,TF_Tekniker,AU$4,TF_Dato,$A178))*2,0)/2)))</f>
        <v/>
      </c>
      <c r="AV178">
        <f>IF(OR(AV$4="",$A178&gt;TODAY()),0,IF(OR(INDEX($B178:$D178,AV$5)="F",AND(AV$6&gt;0,$A178&lt;AV$6),AND(AV$7&gt;0,$A178&gt;AV$7)),0,MAX(0,ROUND((INDEX($E178:$G178,AV$5)-SUMIFS(TF_Timer,TF_Tekniker,AV$4,TF_Dato,$A178))*2,0)/2)))</f>
        <v/>
      </c>
      <c r="AW178">
        <f>IF(OR(AW$4="",$A178&gt;TODAY()),0,IF(OR(INDEX($B178:$D178,AW$5)="F",AND(AW$6&gt;0,$A178&lt;AW$6),AND(AW$7&gt;0,$A178&gt;AW$7)),0,MAX(0,ROUND((INDEX($E178:$G178,AW$5)-SUMIFS(TF_Timer,TF_Tekniker,AW$4,TF_Dato,$A178))*2,0)/2)))</f>
        <v/>
      </c>
      <c r="AX178">
        <f>IF(OR(AX$4="",$A178&gt;TODAY()),0,IF(OR(INDEX($B178:$D178,AX$5)="F",AND(AX$6&gt;0,$A178&lt;AX$6),AND(AX$7&gt;0,$A178&gt;AX$7)),0,MAX(0,ROUND((INDEX($E178:$G178,AX$5)-SUMIFS(TF_Timer,TF_Tekniker,AX$4,TF_Dato,$A178))*2,0)/2)))</f>
        <v/>
      </c>
      <c r="AY178">
        <f>IF(OR(AY$4="",$A178&gt;TODAY()),0,IF(OR(INDEX($B178:$D178,AY$5)="F",AND(AY$6&gt;0,$A178&lt;AY$6),AND(AY$7&gt;0,$A178&gt;AY$7)),0,MAX(0,ROUND((INDEX($E178:$G178,AY$5)-SUMIFS(TF_Timer,TF_Tekniker,AY$4,TF_Dato,$A178))*2,0)/2)))</f>
        <v/>
      </c>
      <c r="AZ178">
        <f>IF(OR(AZ$4="",$A178&gt;TODAY()),0,IF(OR(INDEX($B178:$D178,AZ$5)="F",AND(AZ$6&gt;0,$A178&lt;AZ$6),AND(AZ$7&gt;0,$A178&gt;AZ$7)),0,MAX(0,ROUND((INDEX($E178:$G178,AZ$5)-SUMIFS(TF_Timer,TF_Tekniker,AZ$4,TF_Dato,$A178))*2,0)/2)))</f>
        <v/>
      </c>
      <c r="BA178">
        <f>IF(OR(BA$4="",$A178&gt;TODAY()),0,IF(OR(INDEX($B178:$D178,BA$5)="F",AND(BA$6&gt;0,$A178&lt;BA$6),AND(BA$7&gt;0,$A178&gt;BA$7)),0,MAX(0,ROUND((INDEX($E178:$G178,BA$5)-SUMIFS(TF_Timer,TF_Tekniker,BA$4,TF_Dato,$A178))*2,0)/2)))</f>
        <v/>
      </c>
      <c r="BB178">
        <f>IF(OR(BB$4="",$A178&gt;TODAY()),0,IF(OR(INDEX($B178:$D178,BB$5)="F",AND(BB$6&gt;0,$A178&lt;BB$6),AND(BB$7&gt;0,$A178&gt;BB$7)),0,MAX(0,ROUND((INDEX($E178:$G178,BB$5)-SUMIFS(TF_Timer,TF_Tekniker,BB$4,TF_Dato,$A178))*2,0)/2)))</f>
        <v/>
      </c>
      <c r="BC178">
        <f>IF(OR(BC$4="",$A178&gt;TODAY()),0,IF(OR(INDEX($B178:$D178,BC$5)="F",AND(BC$6&gt;0,$A178&lt;BC$6),AND(BC$7&gt;0,$A178&gt;BC$7)),0,MAX(0,ROUND((INDEX($E178:$G178,BC$5)-SUMIFS(TF_Timer,TF_Tekniker,BC$4,TF_Dato,$A178))*2,0)/2)))</f>
        <v/>
      </c>
      <c r="BD178">
        <f>IF(OR(BD$4="",$A178&gt;TODAY()),0,IF(OR(INDEX($B178:$D178,BD$5)="F",AND(BD$6&gt;0,$A178&lt;BD$6),AND(BD$7&gt;0,$A178&gt;BD$7)),0,MAX(0,ROUND((INDEX($E178:$G178,BD$5)-SUMIFS(TF_Timer,TF_Tekniker,BD$4,TF_Dato,$A178))*2,0)/2)))</f>
        <v/>
      </c>
      <c r="BE178">
        <f>IF(OR(BE$4="",$A178&gt;TODAY()),0,IF(OR(INDEX($B178:$D178,BE$5)="F",AND(BE$6&gt;0,$A178&lt;BE$6),AND(BE$7&gt;0,$A178&gt;BE$7)),0,MAX(0,ROUND((INDEX($E178:$G178,BE$5)-SUMIFS(TF_Timer,TF_Tekniker,BE$4,TF_Dato,$A178))*2,0)/2)))</f>
        <v/>
      </c>
      <c r="BF178">
        <f>IF(OR(BF$4="",$A178&gt;TODAY()),0,IF(OR(INDEX($B178:$D178,BF$5)="F",AND(BF$6&gt;0,$A178&lt;BF$6),AND(BF$7&gt;0,$A178&gt;BF$7)),0,MAX(0,ROUND((INDEX($E178:$G178,BF$5)-SUMIFS(TF_Timer,TF_Tekniker,BF$4,TF_Dato,$A178))*2,0)/2)))</f>
        <v/>
      </c>
      <c r="BG178">
        <f>IF(OR(BG$4="",$A178&gt;TODAY()),0,IF(OR(INDEX($B178:$D178,BG$5)="F",AND(BG$6&gt;0,$A178&lt;BG$6),AND(BG$7&gt;0,$A178&gt;BG$7)),0,MAX(0,ROUND((INDEX($E178:$G178,BG$5)-SUMIFS(TF_Timer,TF_Tekniker,BG$4,TF_Dato,$A178))*2,0)/2)))</f>
        <v/>
      </c>
      <c r="BH178">
        <f>IF(OR(BH$4="",$A178&gt;TODAY()),0,IF(OR(INDEX($B178:$D178,BH$5)="F",AND(BH$6&gt;0,$A178&lt;BH$6),AND(BH$7&gt;0,$A178&gt;BH$7)),0,MAX(0,ROUND((INDEX($E178:$G178,BH$5)-SUMIFS(TF_Timer,TF_Tekniker,BH$4,TF_Dato,$A178))*2,0)/2)))</f>
        <v/>
      </c>
      <c r="BI178">
        <f>IF(OR(BI$4="",$A178&gt;TODAY()),0,IF(OR(INDEX($B178:$D178,BI$5)="F",AND(BI$6&gt;0,$A178&lt;BI$6),AND(BI$7&gt;0,$A178&gt;BI$7)),0,MAX(0,ROUND((INDEX($E178:$G178,BI$5)-SUMIFS(TF_Timer,TF_Tekniker,BI$4,TF_Dato,$A178))*2,0)/2)))</f>
        <v/>
      </c>
    </row>
    <row r="179">
      <c r="A179" s="64">
        <f>A178+1</f>
        <v/>
      </c>
      <c r="B179">
        <f>IF(MOD($A179-INDEX(SkiftStart,1),Syklus)&lt;DagK,"K",IF(MOD($A179-INDEX(SkiftStart,1),Syklus)&lt;DagK+DagH,"H",IF(MOD($A179-INDEX(SkiftStart,1),Syklus)&lt;DagK+DagH+DagD,"D","F")))</f>
        <v/>
      </c>
      <c r="C179">
        <f>IF(MOD($A179-INDEX(SkiftStart,2),Syklus)&lt;DagK,"K",IF(MOD($A179-INDEX(SkiftStart,2),Syklus)&lt;DagK+DagH,"H",IF(MOD($A179-INDEX(SkiftStart,2),Syklus)&lt;DagK+DagH+DagD,"D","F")))</f>
        <v/>
      </c>
      <c r="D179">
        <f>IF(MOD($A179-INDEX(SkiftStart,3),Syklus)&lt;DagK,"K",IF(MOD($A179-INDEX(SkiftStart,3),Syklus)&lt;DagK+DagH,"H",IF(MOD($A179-INDEX(SkiftStart,3),Syklus)&lt;DagK+DagH+DagD,"D","F")))</f>
        <v/>
      </c>
      <c r="E179">
        <f>IF(B179="F",0,IF(WEEKDAY($A179,2)=5,INDEX(TimerFr,MATCH(B179,FaseKode,0)),INDEX(TimerMT,MATCH(B179,FaseKode,0))))</f>
        <v/>
      </c>
      <c r="F179">
        <f>IF(C179="F",0,IF(WEEKDAY($A179,2)=5,INDEX(TimerFr,MATCH(C179,FaseKode,0)),INDEX(TimerMT,MATCH(C179,FaseKode,0))))</f>
        <v/>
      </c>
      <c r="G179">
        <f>IF(D179="F",0,IF(WEEKDAY($A179,2)=5,INDEX(TimerFr,MATCH(D179,FaseKode,0)),INDEX(TimerMT,MATCH(D179,FaseKode,0))))</f>
        <v/>
      </c>
      <c r="H179">
        <f>IF(OR(H$4="",$A179&gt;TODAY()),0,IF(OR(INDEX($B179:$D179,H$5)="F",AND(H$6&gt;0,$A179&lt;H$6),AND(H$7&gt;0,$A179&gt;H$7)),0,MAX(0,ROUND((INDEX($E179:$G179,H$5)-SUMIFS(TF_Timer,TF_Tekniker,H$4,TF_Dato,$A179))*2,0)/2)))</f>
        <v/>
      </c>
      <c r="I179">
        <f>IF(OR(I$4="",$A179&gt;TODAY()),0,IF(OR(INDEX($B179:$D179,I$5)="F",AND(I$6&gt;0,$A179&lt;I$6),AND(I$7&gt;0,$A179&gt;I$7)),0,MAX(0,ROUND((INDEX($E179:$G179,I$5)-SUMIFS(TF_Timer,TF_Tekniker,I$4,TF_Dato,$A179))*2,0)/2)))</f>
        <v/>
      </c>
      <c r="J179">
        <f>IF(OR(J$4="",$A179&gt;TODAY()),0,IF(OR(INDEX($B179:$D179,J$5)="F",AND(J$6&gt;0,$A179&lt;J$6),AND(J$7&gt;0,$A179&gt;J$7)),0,MAX(0,ROUND((INDEX($E179:$G179,J$5)-SUMIFS(TF_Timer,TF_Tekniker,J$4,TF_Dato,$A179))*2,0)/2)))</f>
        <v/>
      </c>
      <c r="K179">
        <f>IF(OR(K$4="",$A179&gt;TODAY()),0,IF(OR(INDEX($B179:$D179,K$5)="F",AND(K$6&gt;0,$A179&lt;K$6),AND(K$7&gt;0,$A179&gt;K$7)),0,MAX(0,ROUND((INDEX($E179:$G179,K$5)-SUMIFS(TF_Timer,TF_Tekniker,K$4,TF_Dato,$A179))*2,0)/2)))</f>
        <v/>
      </c>
      <c r="L179">
        <f>IF(OR(L$4="",$A179&gt;TODAY()),0,IF(OR(INDEX($B179:$D179,L$5)="F",AND(L$6&gt;0,$A179&lt;L$6),AND(L$7&gt;0,$A179&gt;L$7)),0,MAX(0,ROUND((INDEX($E179:$G179,L$5)-SUMIFS(TF_Timer,TF_Tekniker,L$4,TF_Dato,$A179))*2,0)/2)))</f>
        <v/>
      </c>
      <c r="M179">
        <f>IF(OR(M$4="",$A179&gt;TODAY()),0,IF(OR(INDEX($B179:$D179,M$5)="F",AND(M$6&gt;0,$A179&lt;M$6),AND(M$7&gt;0,$A179&gt;M$7)),0,MAX(0,ROUND((INDEX($E179:$G179,M$5)-SUMIFS(TF_Timer,TF_Tekniker,M$4,TF_Dato,$A179))*2,0)/2)))</f>
        <v/>
      </c>
      <c r="N179">
        <f>IF(OR(N$4="",$A179&gt;TODAY()),0,IF(OR(INDEX($B179:$D179,N$5)="F",AND(N$6&gt;0,$A179&lt;N$6),AND(N$7&gt;0,$A179&gt;N$7)),0,MAX(0,ROUND((INDEX($E179:$G179,N$5)-SUMIFS(TF_Timer,TF_Tekniker,N$4,TF_Dato,$A179))*2,0)/2)))</f>
        <v/>
      </c>
      <c r="O179">
        <f>IF(OR(O$4="",$A179&gt;TODAY()),0,IF(OR(INDEX($B179:$D179,O$5)="F",AND(O$6&gt;0,$A179&lt;O$6),AND(O$7&gt;0,$A179&gt;O$7)),0,MAX(0,ROUND((INDEX($E179:$G179,O$5)-SUMIFS(TF_Timer,TF_Tekniker,O$4,TF_Dato,$A179))*2,0)/2)))</f>
        <v/>
      </c>
      <c r="P179">
        <f>IF(OR(P$4="",$A179&gt;TODAY()),0,IF(OR(INDEX($B179:$D179,P$5)="F",AND(P$6&gt;0,$A179&lt;P$6),AND(P$7&gt;0,$A179&gt;P$7)),0,MAX(0,ROUND((INDEX($E179:$G179,P$5)-SUMIFS(TF_Timer,TF_Tekniker,P$4,TF_Dato,$A179))*2,0)/2)))</f>
        <v/>
      </c>
      <c r="Q179">
        <f>IF(OR(Q$4="",$A179&gt;TODAY()),0,IF(OR(INDEX($B179:$D179,Q$5)="F",AND(Q$6&gt;0,$A179&lt;Q$6),AND(Q$7&gt;0,$A179&gt;Q$7)),0,MAX(0,ROUND((INDEX($E179:$G179,Q$5)-SUMIFS(TF_Timer,TF_Tekniker,Q$4,TF_Dato,$A179))*2,0)/2)))</f>
        <v/>
      </c>
      <c r="R179">
        <f>IF(OR(R$4="",$A179&gt;TODAY()),0,IF(OR(INDEX($B179:$D179,R$5)="F",AND(R$6&gt;0,$A179&lt;R$6),AND(R$7&gt;0,$A179&gt;R$7)),0,MAX(0,ROUND((INDEX($E179:$G179,R$5)-SUMIFS(TF_Timer,TF_Tekniker,R$4,TF_Dato,$A179))*2,0)/2)))</f>
        <v/>
      </c>
      <c r="S179">
        <f>IF(OR(S$4="",$A179&gt;TODAY()),0,IF(OR(INDEX($B179:$D179,S$5)="F",AND(S$6&gt;0,$A179&lt;S$6),AND(S$7&gt;0,$A179&gt;S$7)),0,MAX(0,ROUND((INDEX($E179:$G179,S$5)-SUMIFS(TF_Timer,TF_Tekniker,S$4,TF_Dato,$A179))*2,0)/2)))</f>
        <v/>
      </c>
      <c r="T179">
        <f>IF(OR(T$4="",$A179&gt;TODAY()),0,IF(OR(INDEX($B179:$D179,T$5)="F",AND(T$6&gt;0,$A179&lt;T$6),AND(T$7&gt;0,$A179&gt;T$7)),0,MAX(0,ROUND((INDEX($E179:$G179,T$5)-SUMIFS(TF_Timer,TF_Tekniker,T$4,TF_Dato,$A179))*2,0)/2)))</f>
        <v/>
      </c>
      <c r="U179">
        <f>IF(OR(U$4="",$A179&gt;TODAY()),0,IF(OR(INDEX($B179:$D179,U$5)="F",AND(U$6&gt;0,$A179&lt;U$6),AND(U$7&gt;0,$A179&gt;U$7)),0,MAX(0,ROUND((INDEX($E179:$G179,U$5)-SUMIFS(TF_Timer,TF_Tekniker,U$4,TF_Dato,$A179))*2,0)/2)))</f>
        <v/>
      </c>
      <c r="V179">
        <f>IF(OR(V$4="",$A179&gt;TODAY()),0,IF(OR(INDEX($B179:$D179,V$5)="F",AND(V$6&gt;0,$A179&lt;V$6),AND(V$7&gt;0,$A179&gt;V$7)),0,MAX(0,ROUND((INDEX($E179:$G179,V$5)-SUMIFS(TF_Timer,TF_Tekniker,V$4,TF_Dato,$A179))*2,0)/2)))</f>
        <v/>
      </c>
      <c r="W179">
        <f>IF(OR(W$4="",$A179&gt;TODAY()),0,IF(OR(INDEX($B179:$D179,W$5)="F",AND(W$6&gt;0,$A179&lt;W$6),AND(W$7&gt;0,$A179&gt;W$7)),0,MAX(0,ROUND((INDEX($E179:$G179,W$5)-SUMIFS(TF_Timer,TF_Tekniker,W$4,TF_Dato,$A179))*2,0)/2)))</f>
        <v/>
      </c>
      <c r="X179">
        <f>IF(OR(X$4="",$A179&gt;TODAY()),0,IF(OR(INDEX($B179:$D179,X$5)="F",AND(X$6&gt;0,$A179&lt;X$6),AND(X$7&gt;0,$A179&gt;X$7)),0,MAX(0,ROUND((INDEX($E179:$G179,X$5)-SUMIFS(TF_Timer,TF_Tekniker,X$4,TF_Dato,$A179))*2,0)/2)))</f>
        <v/>
      </c>
      <c r="Y179">
        <f>IF(OR(Y$4="",$A179&gt;TODAY()),0,IF(OR(INDEX($B179:$D179,Y$5)="F",AND(Y$6&gt;0,$A179&lt;Y$6),AND(Y$7&gt;0,$A179&gt;Y$7)),0,MAX(0,ROUND((INDEX($E179:$G179,Y$5)-SUMIFS(TF_Timer,TF_Tekniker,Y$4,TF_Dato,$A179))*2,0)/2)))</f>
        <v/>
      </c>
      <c r="Z179">
        <f>IF(OR(Z$4="",$A179&gt;TODAY()),0,IF(OR(INDEX($B179:$D179,Z$5)="F",AND(Z$6&gt;0,$A179&lt;Z$6),AND(Z$7&gt;0,$A179&gt;Z$7)),0,MAX(0,ROUND((INDEX($E179:$G179,Z$5)-SUMIFS(TF_Timer,TF_Tekniker,Z$4,TF_Dato,$A179))*2,0)/2)))</f>
        <v/>
      </c>
      <c r="AA179">
        <f>IF(OR(AA$4="",$A179&gt;TODAY()),0,IF(OR(INDEX($B179:$D179,AA$5)="F",AND(AA$6&gt;0,$A179&lt;AA$6),AND(AA$7&gt;0,$A179&gt;AA$7)),0,MAX(0,ROUND((INDEX($E179:$G179,AA$5)-SUMIFS(TF_Timer,TF_Tekniker,AA$4,TF_Dato,$A179))*2,0)/2)))</f>
        <v/>
      </c>
      <c r="AB179">
        <f>IF(OR(AB$4="",$A179&gt;TODAY()),0,IF(OR(INDEX($B179:$D179,AB$5)="F",AND(AB$6&gt;0,$A179&lt;AB$6),AND(AB$7&gt;0,$A179&gt;AB$7)),0,MAX(0,ROUND((INDEX($E179:$G179,AB$5)-SUMIFS(TF_Timer,TF_Tekniker,AB$4,TF_Dato,$A179))*2,0)/2)))</f>
        <v/>
      </c>
      <c r="AC179">
        <f>IF(OR(AC$4="",$A179&gt;TODAY()),0,IF(OR(INDEX($B179:$D179,AC$5)="F",AND(AC$6&gt;0,$A179&lt;AC$6),AND(AC$7&gt;0,$A179&gt;AC$7)),0,MAX(0,ROUND((INDEX($E179:$G179,AC$5)-SUMIFS(TF_Timer,TF_Tekniker,AC$4,TF_Dato,$A179))*2,0)/2)))</f>
        <v/>
      </c>
      <c r="AD179">
        <f>IF(OR(AD$4="",$A179&gt;TODAY()),0,IF(OR(INDEX($B179:$D179,AD$5)="F",AND(AD$6&gt;0,$A179&lt;AD$6),AND(AD$7&gt;0,$A179&gt;AD$7)),0,MAX(0,ROUND((INDEX($E179:$G179,AD$5)-SUMIFS(TF_Timer,TF_Tekniker,AD$4,TF_Dato,$A179))*2,0)/2)))</f>
        <v/>
      </c>
      <c r="AE179">
        <f>IF(OR(AE$4="",$A179&gt;TODAY()),0,IF(OR(INDEX($B179:$D179,AE$5)="F",AND(AE$6&gt;0,$A179&lt;AE$6),AND(AE$7&gt;0,$A179&gt;AE$7)),0,MAX(0,ROUND((INDEX($E179:$G179,AE$5)-SUMIFS(TF_Timer,TF_Tekniker,AE$4,TF_Dato,$A179))*2,0)/2)))</f>
        <v/>
      </c>
      <c r="AF179">
        <f>IF(OR(AF$4="",$A179&gt;TODAY()),0,IF(OR(INDEX($B179:$D179,AF$5)="F",AND(AF$6&gt;0,$A179&lt;AF$6),AND(AF$7&gt;0,$A179&gt;AF$7)),0,MAX(0,ROUND((INDEX($E179:$G179,AF$5)-SUMIFS(TF_Timer,TF_Tekniker,AF$4,TF_Dato,$A179))*2,0)/2)))</f>
        <v/>
      </c>
      <c r="AG179">
        <f>IF(OR(AG$4="",$A179&gt;TODAY()),0,IF(OR(INDEX($B179:$D179,AG$5)="F",AND(AG$6&gt;0,$A179&lt;AG$6),AND(AG$7&gt;0,$A179&gt;AG$7)),0,MAX(0,ROUND((INDEX($E179:$G179,AG$5)-SUMIFS(TF_Timer,TF_Tekniker,AG$4,TF_Dato,$A179))*2,0)/2)))</f>
        <v/>
      </c>
      <c r="AH179">
        <f>IF(OR(AH$4="",$A179&gt;TODAY()),0,IF(OR(INDEX($B179:$D179,AH$5)="F",AND(AH$6&gt;0,$A179&lt;AH$6),AND(AH$7&gt;0,$A179&gt;AH$7)),0,MAX(0,ROUND((INDEX($E179:$G179,AH$5)-SUMIFS(TF_Timer,TF_Tekniker,AH$4,TF_Dato,$A179))*2,0)/2)))</f>
        <v/>
      </c>
      <c r="AI179">
        <f>IF(OR(AI$4="",$A179&gt;TODAY()),0,IF(OR(INDEX($B179:$D179,AI$5)="F",AND(AI$6&gt;0,$A179&lt;AI$6),AND(AI$7&gt;0,$A179&gt;AI$7)),0,MAX(0,ROUND((INDEX($E179:$G179,AI$5)-SUMIFS(TF_Timer,TF_Tekniker,AI$4,TF_Dato,$A179))*2,0)/2)))</f>
        <v/>
      </c>
      <c r="AJ179">
        <f>IF(OR(AJ$4="",$A179&gt;TODAY()),0,IF(OR(INDEX($B179:$D179,AJ$5)="F",AND(AJ$6&gt;0,$A179&lt;AJ$6),AND(AJ$7&gt;0,$A179&gt;AJ$7)),0,MAX(0,ROUND((INDEX($E179:$G179,AJ$5)-SUMIFS(TF_Timer,TF_Tekniker,AJ$4,TF_Dato,$A179))*2,0)/2)))</f>
        <v/>
      </c>
      <c r="AK179">
        <f>IF(OR(AK$4="",$A179&gt;TODAY()),0,IF(OR(INDEX($B179:$D179,AK$5)="F",AND(AK$6&gt;0,$A179&lt;AK$6),AND(AK$7&gt;0,$A179&gt;AK$7)),0,MAX(0,ROUND((INDEX($E179:$G179,AK$5)-SUMIFS(TF_Timer,TF_Tekniker,AK$4,TF_Dato,$A179))*2,0)/2)))</f>
        <v/>
      </c>
      <c r="AL179">
        <f>IF(OR(AL$4="",$A179&gt;TODAY()),0,IF(OR(INDEX($B179:$D179,AL$5)="F",AND(AL$6&gt;0,$A179&lt;AL$6),AND(AL$7&gt;0,$A179&gt;AL$7)),0,MAX(0,ROUND((INDEX($E179:$G179,AL$5)-SUMIFS(TF_Timer,TF_Tekniker,AL$4,TF_Dato,$A179))*2,0)/2)))</f>
        <v/>
      </c>
      <c r="AM179">
        <f>IF(OR(AM$4="",$A179&gt;TODAY()),0,IF(OR(INDEX($B179:$D179,AM$5)="F",AND(AM$6&gt;0,$A179&lt;AM$6),AND(AM$7&gt;0,$A179&gt;AM$7)),0,MAX(0,ROUND((INDEX($E179:$G179,AM$5)-SUMIFS(TF_Timer,TF_Tekniker,AM$4,TF_Dato,$A179))*2,0)/2)))</f>
        <v/>
      </c>
      <c r="AN179">
        <f>IF(OR(AN$4="",$A179&gt;TODAY()),0,IF(OR(INDEX($B179:$D179,AN$5)="F",AND(AN$6&gt;0,$A179&lt;AN$6),AND(AN$7&gt;0,$A179&gt;AN$7)),0,MAX(0,ROUND((INDEX($E179:$G179,AN$5)-SUMIFS(TF_Timer,TF_Tekniker,AN$4,TF_Dato,$A179))*2,0)/2)))</f>
        <v/>
      </c>
      <c r="AO179">
        <f>IF(OR(AO$4="",$A179&gt;TODAY()),0,IF(OR(INDEX($B179:$D179,AO$5)="F",AND(AO$6&gt;0,$A179&lt;AO$6),AND(AO$7&gt;0,$A179&gt;AO$7)),0,MAX(0,ROUND((INDEX($E179:$G179,AO$5)-SUMIFS(TF_Timer,TF_Tekniker,AO$4,TF_Dato,$A179))*2,0)/2)))</f>
        <v/>
      </c>
      <c r="AP179">
        <f>IF(OR(AP$4="",$A179&gt;TODAY()),0,IF(OR(INDEX($B179:$D179,AP$5)="F",AND(AP$6&gt;0,$A179&lt;AP$6),AND(AP$7&gt;0,$A179&gt;AP$7)),0,MAX(0,ROUND((INDEX($E179:$G179,AP$5)-SUMIFS(TF_Timer,TF_Tekniker,AP$4,TF_Dato,$A179))*2,0)/2)))</f>
        <v/>
      </c>
      <c r="AQ179">
        <f>IF(OR(AQ$4="",$A179&gt;TODAY()),0,IF(OR(INDEX($B179:$D179,AQ$5)="F",AND(AQ$6&gt;0,$A179&lt;AQ$6),AND(AQ$7&gt;0,$A179&gt;AQ$7)),0,MAX(0,ROUND((INDEX($E179:$G179,AQ$5)-SUMIFS(TF_Timer,TF_Tekniker,AQ$4,TF_Dato,$A179))*2,0)/2)))</f>
        <v/>
      </c>
      <c r="AR179">
        <f>IF(OR(AR$4="",$A179&gt;TODAY()),0,IF(OR(INDEX($B179:$D179,AR$5)="F",AND(AR$6&gt;0,$A179&lt;AR$6),AND(AR$7&gt;0,$A179&gt;AR$7)),0,MAX(0,ROUND((INDEX($E179:$G179,AR$5)-SUMIFS(TF_Timer,TF_Tekniker,AR$4,TF_Dato,$A179))*2,0)/2)))</f>
        <v/>
      </c>
      <c r="AS179">
        <f>IF(OR(AS$4="",$A179&gt;TODAY()),0,IF(OR(INDEX($B179:$D179,AS$5)="F",AND(AS$6&gt;0,$A179&lt;AS$6),AND(AS$7&gt;0,$A179&gt;AS$7)),0,MAX(0,ROUND((INDEX($E179:$G179,AS$5)-SUMIFS(TF_Timer,TF_Tekniker,AS$4,TF_Dato,$A179))*2,0)/2)))</f>
        <v/>
      </c>
      <c r="AT179">
        <f>IF(OR(AT$4="",$A179&gt;TODAY()),0,IF(OR(INDEX($B179:$D179,AT$5)="F",AND(AT$6&gt;0,$A179&lt;AT$6),AND(AT$7&gt;0,$A179&gt;AT$7)),0,MAX(0,ROUND((INDEX($E179:$G179,AT$5)-SUMIFS(TF_Timer,TF_Tekniker,AT$4,TF_Dato,$A179))*2,0)/2)))</f>
        <v/>
      </c>
      <c r="AU179">
        <f>IF(OR(AU$4="",$A179&gt;TODAY()),0,IF(OR(INDEX($B179:$D179,AU$5)="F",AND(AU$6&gt;0,$A179&lt;AU$6),AND(AU$7&gt;0,$A179&gt;AU$7)),0,MAX(0,ROUND((INDEX($E179:$G179,AU$5)-SUMIFS(TF_Timer,TF_Tekniker,AU$4,TF_Dato,$A179))*2,0)/2)))</f>
        <v/>
      </c>
      <c r="AV179">
        <f>IF(OR(AV$4="",$A179&gt;TODAY()),0,IF(OR(INDEX($B179:$D179,AV$5)="F",AND(AV$6&gt;0,$A179&lt;AV$6),AND(AV$7&gt;0,$A179&gt;AV$7)),0,MAX(0,ROUND((INDEX($E179:$G179,AV$5)-SUMIFS(TF_Timer,TF_Tekniker,AV$4,TF_Dato,$A179))*2,0)/2)))</f>
        <v/>
      </c>
      <c r="AW179">
        <f>IF(OR(AW$4="",$A179&gt;TODAY()),0,IF(OR(INDEX($B179:$D179,AW$5)="F",AND(AW$6&gt;0,$A179&lt;AW$6),AND(AW$7&gt;0,$A179&gt;AW$7)),0,MAX(0,ROUND((INDEX($E179:$G179,AW$5)-SUMIFS(TF_Timer,TF_Tekniker,AW$4,TF_Dato,$A179))*2,0)/2)))</f>
        <v/>
      </c>
      <c r="AX179">
        <f>IF(OR(AX$4="",$A179&gt;TODAY()),0,IF(OR(INDEX($B179:$D179,AX$5)="F",AND(AX$6&gt;0,$A179&lt;AX$6),AND(AX$7&gt;0,$A179&gt;AX$7)),0,MAX(0,ROUND((INDEX($E179:$G179,AX$5)-SUMIFS(TF_Timer,TF_Tekniker,AX$4,TF_Dato,$A179))*2,0)/2)))</f>
        <v/>
      </c>
      <c r="AY179">
        <f>IF(OR(AY$4="",$A179&gt;TODAY()),0,IF(OR(INDEX($B179:$D179,AY$5)="F",AND(AY$6&gt;0,$A179&lt;AY$6),AND(AY$7&gt;0,$A179&gt;AY$7)),0,MAX(0,ROUND((INDEX($E179:$G179,AY$5)-SUMIFS(TF_Timer,TF_Tekniker,AY$4,TF_Dato,$A179))*2,0)/2)))</f>
        <v/>
      </c>
      <c r="AZ179">
        <f>IF(OR(AZ$4="",$A179&gt;TODAY()),0,IF(OR(INDEX($B179:$D179,AZ$5)="F",AND(AZ$6&gt;0,$A179&lt;AZ$6),AND(AZ$7&gt;0,$A179&gt;AZ$7)),0,MAX(0,ROUND((INDEX($E179:$G179,AZ$5)-SUMIFS(TF_Timer,TF_Tekniker,AZ$4,TF_Dato,$A179))*2,0)/2)))</f>
        <v/>
      </c>
      <c r="BA179">
        <f>IF(OR(BA$4="",$A179&gt;TODAY()),0,IF(OR(INDEX($B179:$D179,BA$5)="F",AND(BA$6&gt;0,$A179&lt;BA$6),AND(BA$7&gt;0,$A179&gt;BA$7)),0,MAX(0,ROUND((INDEX($E179:$G179,BA$5)-SUMIFS(TF_Timer,TF_Tekniker,BA$4,TF_Dato,$A179))*2,0)/2)))</f>
        <v/>
      </c>
      <c r="BB179">
        <f>IF(OR(BB$4="",$A179&gt;TODAY()),0,IF(OR(INDEX($B179:$D179,BB$5)="F",AND(BB$6&gt;0,$A179&lt;BB$6),AND(BB$7&gt;0,$A179&gt;BB$7)),0,MAX(0,ROUND((INDEX($E179:$G179,BB$5)-SUMIFS(TF_Timer,TF_Tekniker,BB$4,TF_Dato,$A179))*2,0)/2)))</f>
        <v/>
      </c>
      <c r="BC179">
        <f>IF(OR(BC$4="",$A179&gt;TODAY()),0,IF(OR(INDEX($B179:$D179,BC$5)="F",AND(BC$6&gt;0,$A179&lt;BC$6),AND(BC$7&gt;0,$A179&gt;BC$7)),0,MAX(0,ROUND((INDEX($E179:$G179,BC$5)-SUMIFS(TF_Timer,TF_Tekniker,BC$4,TF_Dato,$A179))*2,0)/2)))</f>
        <v/>
      </c>
      <c r="BD179">
        <f>IF(OR(BD$4="",$A179&gt;TODAY()),0,IF(OR(INDEX($B179:$D179,BD$5)="F",AND(BD$6&gt;0,$A179&lt;BD$6),AND(BD$7&gt;0,$A179&gt;BD$7)),0,MAX(0,ROUND((INDEX($E179:$G179,BD$5)-SUMIFS(TF_Timer,TF_Tekniker,BD$4,TF_Dato,$A179))*2,0)/2)))</f>
        <v/>
      </c>
      <c r="BE179">
        <f>IF(OR(BE$4="",$A179&gt;TODAY()),0,IF(OR(INDEX($B179:$D179,BE$5)="F",AND(BE$6&gt;0,$A179&lt;BE$6),AND(BE$7&gt;0,$A179&gt;BE$7)),0,MAX(0,ROUND((INDEX($E179:$G179,BE$5)-SUMIFS(TF_Timer,TF_Tekniker,BE$4,TF_Dato,$A179))*2,0)/2)))</f>
        <v/>
      </c>
      <c r="BF179">
        <f>IF(OR(BF$4="",$A179&gt;TODAY()),0,IF(OR(INDEX($B179:$D179,BF$5)="F",AND(BF$6&gt;0,$A179&lt;BF$6),AND(BF$7&gt;0,$A179&gt;BF$7)),0,MAX(0,ROUND((INDEX($E179:$G179,BF$5)-SUMIFS(TF_Timer,TF_Tekniker,BF$4,TF_Dato,$A179))*2,0)/2)))</f>
        <v/>
      </c>
      <c r="BG179">
        <f>IF(OR(BG$4="",$A179&gt;TODAY()),0,IF(OR(INDEX($B179:$D179,BG$5)="F",AND(BG$6&gt;0,$A179&lt;BG$6),AND(BG$7&gt;0,$A179&gt;BG$7)),0,MAX(0,ROUND((INDEX($E179:$G179,BG$5)-SUMIFS(TF_Timer,TF_Tekniker,BG$4,TF_Dato,$A179))*2,0)/2)))</f>
        <v/>
      </c>
      <c r="BH179">
        <f>IF(OR(BH$4="",$A179&gt;TODAY()),0,IF(OR(INDEX($B179:$D179,BH$5)="F",AND(BH$6&gt;0,$A179&lt;BH$6),AND(BH$7&gt;0,$A179&gt;BH$7)),0,MAX(0,ROUND((INDEX($E179:$G179,BH$5)-SUMIFS(TF_Timer,TF_Tekniker,BH$4,TF_Dato,$A179))*2,0)/2)))</f>
        <v/>
      </c>
      <c r="BI179">
        <f>IF(OR(BI$4="",$A179&gt;TODAY()),0,IF(OR(INDEX($B179:$D179,BI$5)="F",AND(BI$6&gt;0,$A179&lt;BI$6),AND(BI$7&gt;0,$A179&gt;BI$7)),0,MAX(0,ROUND((INDEX($E179:$G179,BI$5)-SUMIFS(TF_Timer,TF_Tekniker,BI$4,TF_Dato,$A179))*2,0)/2)))</f>
        <v/>
      </c>
    </row>
    <row r="180">
      <c r="A180" s="64">
        <f>A179+1</f>
        <v/>
      </c>
      <c r="B180">
        <f>IF(MOD($A180-INDEX(SkiftStart,1),Syklus)&lt;DagK,"K",IF(MOD($A180-INDEX(SkiftStart,1),Syklus)&lt;DagK+DagH,"H",IF(MOD($A180-INDEX(SkiftStart,1),Syklus)&lt;DagK+DagH+DagD,"D","F")))</f>
        <v/>
      </c>
      <c r="C180">
        <f>IF(MOD($A180-INDEX(SkiftStart,2),Syklus)&lt;DagK,"K",IF(MOD($A180-INDEX(SkiftStart,2),Syklus)&lt;DagK+DagH,"H",IF(MOD($A180-INDEX(SkiftStart,2),Syklus)&lt;DagK+DagH+DagD,"D","F")))</f>
        <v/>
      </c>
      <c r="D180">
        <f>IF(MOD($A180-INDEX(SkiftStart,3),Syklus)&lt;DagK,"K",IF(MOD($A180-INDEX(SkiftStart,3),Syklus)&lt;DagK+DagH,"H",IF(MOD($A180-INDEX(SkiftStart,3),Syklus)&lt;DagK+DagH+DagD,"D","F")))</f>
        <v/>
      </c>
      <c r="E180">
        <f>IF(B180="F",0,IF(WEEKDAY($A180,2)=5,INDEX(TimerFr,MATCH(B180,FaseKode,0)),INDEX(TimerMT,MATCH(B180,FaseKode,0))))</f>
        <v/>
      </c>
      <c r="F180">
        <f>IF(C180="F",0,IF(WEEKDAY($A180,2)=5,INDEX(TimerFr,MATCH(C180,FaseKode,0)),INDEX(TimerMT,MATCH(C180,FaseKode,0))))</f>
        <v/>
      </c>
      <c r="G180">
        <f>IF(D180="F",0,IF(WEEKDAY($A180,2)=5,INDEX(TimerFr,MATCH(D180,FaseKode,0)),INDEX(TimerMT,MATCH(D180,FaseKode,0))))</f>
        <v/>
      </c>
      <c r="H180">
        <f>IF(OR(H$4="",$A180&gt;TODAY()),0,IF(OR(INDEX($B180:$D180,H$5)="F",AND(H$6&gt;0,$A180&lt;H$6),AND(H$7&gt;0,$A180&gt;H$7)),0,MAX(0,ROUND((INDEX($E180:$G180,H$5)-SUMIFS(TF_Timer,TF_Tekniker,H$4,TF_Dato,$A180))*2,0)/2)))</f>
        <v/>
      </c>
      <c r="I180">
        <f>IF(OR(I$4="",$A180&gt;TODAY()),0,IF(OR(INDEX($B180:$D180,I$5)="F",AND(I$6&gt;0,$A180&lt;I$6),AND(I$7&gt;0,$A180&gt;I$7)),0,MAX(0,ROUND((INDEX($E180:$G180,I$5)-SUMIFS(TF_Timer,TF_Tekniker,I$4,TF_Dato,$A180))*2,0)/2)))</f>
        <v/>
      </c>
      <c r="J180">
        <f>IF(OR(J$4="",$A180&gt;TODAY()),0,IF(OR(INDEX($B180:$D180,J$5)="F",AND(J$6&gt;0,$A180&lt;J$6),AND(J$7&gt;0,$A180&gt;J$7)),0,MAX(0,ROUND((INDEX($E180:$G180,J$5)-SUMIFS(TF_Timer,TF_Tekniker,J$4,TF_Dato,$A180))*2,0)/2)))</f>
        <v/>
      </c>
      <c r="K180">
        <f>IF(OR(K$4="",$A180&gt;TODAY()),0,IF(OR(INDEX($B180:$D180,K$5)="F",AND(K$6&gt;0,$A180&lt;K$6),AND(K$7&gt;0,$A180&gt;K$7)),0,MAX(0,ROUND((INDEX($E180:$G180,K$5)-SUMIFS(TF_Timer,TF_Tekniker,K$4,TF_Dato,$A180))*2,0)/2)))</f>
        <v/>
      </c>
      <c r="L180">
        <f>IF(OR(L$4="",$A180&gt;TODAY()),0,IF(OR(INDEX($B180:$D180,L$5)="F",AND(L$6&gt;0,$A180&lt;L$6),AND(L$7&gt;0,$A180&gt;L$7)),0,MAX(0,ROUND((INDEX($E180:$G180,L$5)-SUMIFS(TF_Timer,TF_Tekniker,L$4,TF_Dato,$A180))*2,0)/2)))</f>
        <v/>
      </c>
      <c r="M180">
        <f>IF(OR(M$4="",$A180&gt;TODAY()),0,IF(OR(INDEX($B180:$D180,M$5)="F",AND(M$6&gt;0,$A180&lt;M$6),AND(M$7&gt;0,$A180&gt;M$7)),0,MAX(0,ROUND((INDEX($E180:$G180,M$5)-SUMIFS(TF_Timer,TF_Tekniker,M$4,TF_Dato,$A180))*2,0)/2)))</f>
        <v/>
      </c>
      <c r="N180">
        <f>IF(OR(N$4="",$A180&gt;TODAY()),0,IF(OR(INDEX($B180:$D180,N$5)="F",AND(N$6&gt;0,$A180&lt;N$6),AND(N$7&gt;0,$A180&gt;N$7)),0,MAX(0,ROUND((INDEX($E180:$G180,N$5)-SUMIFS(TF_Timer,TF_Tekniker,N$4,TF_Dato,$A180))*2,0)/2)))</f>
        <v/>
      </c>
      <c r="O180">
        <f>IF(OR(O$4="",$A180&gt;TODAY()),0,IF(OR(INDEX($B180:$D180,O$5)="F",AND(O$6&gt;0,$A180&lt;O$6),AND(O$7&gt;0,$A180&gt;O$7)),0,MAX(0,ROUND((INDEX($E180:$G180,O$5)-SUMIFS(TF_Timer,TF_Tekniker,O$4,TF_Dato,$A180))*2,0)/2)))</f>
        <v/>
      </c>
      <c r="P180">
        <f>IF(OR(P$4="",$A180&gt;TODAY()),0,IF(OR(INDEX($B180:$D180,P$5)="F",AND(P$6&gt;0,$A180&lt;P$6),AND(P$7&gt;0,$A180&gt;P$7)),0,MAX(0,ROUND((INDEX($E180:$G180,P$5)-SUMIFS(TF_Timer,TF_Tekniker,P$4,TF_Dato,$A180))*2,0)/2)))</f>
        <v/>
      </c>
      <c r="Q180">
        <f>IF(OR(Q$4="",$A180&gt;TODAY()),0,IF(OR(INDEX($B180:$D180,Q$5)="F",AND(Q$6&gt;0,$A180&lt;Q$6),AND(Q$7&gt;0,$A180&gt;Q$7)),0,MAX(0,ROUND((INDEX($E180:$G180,Q$5)-SUMIFS(TF_Timer,TF_Tekniker,Q$4,TF_Dato,$A180))*2,0)/2)))</f>
        <v/>
      </c>
      <c r="R180">
        <f>IF(OR(R$4="",$A180&gt;TODAY()),0,IF(OR(INDEX($B180:$D180,R$5)="F",AND(R$6&gt;0,$A180&lt;R$6),AND(R$7&gt;0,$A180&gt;R$7)),0,MAX(0,ROUND((INDEX($E180:$G180,R$5)-SUMIFS(TF_Timer,TF_Tekniker,R$4,TF_Dato,$A180))*2,0)/2)))</f>
        <v/>
      </c>
      <c r="S180">
        <f>IF(OR(S$4="",$A180&gt;TODAY()),0,IF(OR(INDEX($B180:$D180,S$5)="F",AND(S$6&gt;0,$A180&lt;S$6),AND(S$7&gt;0,$A180&gt;S$7)),0,MAX(0,ROUND((INDEX($E180:$G180,S$5)-SUMIFS(TF_Timer,TF_Tekniker,S$4,TF_Dato,$A180))*2,0)/2)))</f>
        <v/>
      </c>
      <c r="T180">
        <f>IF(OR(T$4="",$A180&gt;TODAY()),0,IF(OR(INDEX($B180:$D180,T$5)="F",AND(T$6&gt;0,$A180&lt;T$6),AND(T$7&gt;0,$A180&gt;T$7)),0,MAX(0,ROUND((INDEX($E180:$G180,T$5)-SUMIFS(TF_Timer,TF_Tekniker,T$4,TF_Dato,$A180))*2,0)/2)))</f>
        <v/>
      </c>
      <c r="U180">
        <f>IF(OR(U$4="",$A180&gt;TODAY()),0,IF(OR(INDEX($B180:$D180,U$5)="F",AND(U$6&gt;0,$A180&lt;U$6),AND(U$7&gt;0,$A180&gt;U$7)),0,MAX(0,ROUND((INDEX($E180:$G180,U$5)-SUMIFS(TF_Timer,TF_Tekniker,U$4,TF_Dato,$A180))*2,0)/2)))</f>
        <v/>
      </c>
      <c r="V180">
        <f>IF(OR(V$4="",$A180&gt;TODAY()),0,IF(OR(INDEX($B180:$D180,V$5)="F",AND(V$6&gt;0,$A180&lt;V$6),AND(V$7&gt;0,$A180&gt;V$7)),0,MAX(0,ROUND((INDEX($E180:$G180,V$5)-SUMIFS(TF_Timer,TF_Tekniker,V$4,TF_Dato,$A180))*2,0)/2)))</f>
        <v/>
      </c>
      <c r="W180">
        <f>IF(OR(W$4="",$A180&gt;TODAY()),0,IF(OR(INDEX($B180:$D180,W$5)="F",AND(W$6&gt;0,$A180&lt;W$6),AND(W$7&gt;0,$A180&gt;W$7)),0,MAX(0,ROUND((INDEX($E180:$G180,W$5)-SUMIFS(TF_Timer,TF_Tekniker,W$4,TF_Dato,$A180))*2,0)/2)))</f>
        <v/>
      </c>
      <c r="X180">
        <f>IF(OR(X$4="",$A180&gt;TODAY()),0,IF(OR(INDEX($B180:$D180,X$5)="F",AND(X$6&gt;0,$A180&lt;X$6),AND(X$7&gt;0,$A180&gt;X$7)),0,MAX(0,ROUND((INDEX($E180:$G180,X$5)-SUMIFS(TF_Timer,TF_Tekniker,X$4,TF_Dato,$A180))*2,0)/2)))</f>
        <v/>
      </c>
      <c r="Y180">
        <f>IF(OR(Y$4="",$A180&gt;TODAY()),0,IF(OR(INDEX($B180:$D180,Y$5)="F",AND(Y$6&gt;0,$A180&lt;Y$6),AND(Y$7&gt;0,$A180&gt;Y$7)),0,MAX(0,ROUND((INDEX($E180:$G180,Y$5)-SUMIFS(TF_Timer,TF_Tekniker,Y$4,TF_Dato,$A180))*2,0)/2)))</f>
        <v/>
      </c>
      <c r="Z180">
        <f>IF(OR(Z$4="",$A180&gt;TODAY()),0,IF(OR(INDEX($B180:$D180,Z$5)="F",AND(Z$6&gt;0,$A180&lt;Z$6),AND(Z$7&gt;0,$A180&gt;Z$7)),0,MAX(0,ROUND((INDEX($E180:$G180,Z$5)-SUMIFS(TF_Timer,TF_Tekniker,Z$4,TF_Dato,$A180))*2,0)/2)))</f>
        <v/>
      </c>
      <c r="AA180">
        <f>IF(OR(AA$4="",$A180&gt;TODAY()),0,IF(OR(INDEX($B180:$D180,AA$5)="F",AND(AA$6&gt;0,$A180&lt;AA$6),AND(AA$7&gt;0,$A180&gt;AA$7)),0,MAX(0,ROUND((INDEX($E180:$G180,AA$5)-SUMIFS(TF_Timer,TF_Tekniker,AA$4,TF_Dato,$A180))*2,0)/2)))</f>
        <v/>
      </c>
      <c r="AB180">
        <f>IF(OR(AB$4="",$A180&gt;TODAY()),0,IF(OR(INDEX($B180:$D180,AB$5)="F",AND(AB$6&gt;0,$A180&lt;AB$6),AND(AB$7&gt;0,$A180&gt;AB$7)),0,MAX(0,ROUND((INDEX($E180:$G180,AB$5)-SUMIFS(TF_Timer,TF_Tekniker,AB$4,TF_Dato,$A180))*2,0)/2)))</f>
        <v/>
      </c>
      <c r="AC180">
        <f>IF(OR(AC$4="",$A180&gt;TODAY()),0,IF(OR(INDEX($B180:$D180,AC$5)="F",AND(AC$6&gt;0,$A180&lt;AC$6),AND(AC$7&gt;0,$A180&gt;AC$7)),0,MAX(0,ROUND((INDEX($E180:$G180,AC$5)-SUMIFS(TF_Timer,TF_Tekniker,AC$4,TF_Dato,$A180))*2,0)/2)))</f>
        <v/>
      </c>
      <c r="AD180">
        <f>IF(OR(AD$4="",$A180&gt;TODAY()),0,IF(OR(INDEX($B180:$D180,AD$5)="F",AND(AD$6&gt;0,$A180&lt;AD$6),AND(AD$7&gt;0,$A180&gt;AD$7)),0,MAX(0,ROUND((INDEX($E180:$G180,AD$5)-SUMIFS(TF_Timer,TF_Tekniker,AD$4,TF_Dato,$A180))*2,0)/2)))</f>
        <v/>
      </c>
      <c r="AE180">
        <f>IF(OR(AE$4="",$A180&gt;TODAY()),0,IF(OR(INDEX($B180:$D180,AE$5)="F",AND(AE$6&gt;0,$A180&lt;AE$6),AND(AE$7&gt;0,$A180&gt;AE$7)),0,MAX(0,ROUND((INDEX($E180:$G180,AE$5)-SUMIFS(TF_Timer,TF_Tekniker,AE$4,TF_Dato,$A180))*2,0)/2)))</f>
        <v/>
      </c>
      <c r="AF180">
        <f>IF(OR(AF$4="",$A180&gt;TODAY()),0,IF(OR(INDEX($B180:$D180,AF$5)="F",AND(AF$6&gt;0,$A180&lt;AF$6),AND(AF$7&gt;0,$A180&gt;AF$7)),0,MAX(0,ROUND((INDEX($E180:$G180,AF$5)-SUMIFS(TF_Timer,TF_Tekniker,AF$4,TF_Dato,$A180))*2,0)/2)))</f>
        <v/>
      </c>
      <c r="AG180">
        <f>IF(OR(AG$4="",$A180&gt;TODAY()),0,IF(OR(INDEX($B180:$D180,AG$5)="F",AND(AG$6&gt;0,$A180&lt;AG$6),AND(AG$7&gt;0,$A180&gt;AG$7)),0,MAX(0,ROUND((INDEX($E180:$G180,AG$5)-SUMIFS(TF_Timer,TF_Tekniker,AG$4,TF_Dato,$A180))*2,0)/2)))</f>
        <v/>
      </c>
      <c r="AH180">
        <f>IF(OR(AH$4="",$A180&gt;TODAY()),0,IF(OR(INDEX($B180:$D180,AH$5)="F",AND(AH$6&gt;0,$A180&lt;AH$6),AND(AH$7&gt;0,$A180&gt;AH$7)),0,MAX(0,ROUND((INDEX($E180:$G180,AH$5)-SUMIFS(TF_Timer,TF_Tekniker,AH$4,TF_Dato,$A180))*2,0)/2)))</f>
        <v/>
      </c>
      <c r="AI180">
        <f>IF(OR(AI$4="",$A180&gt;TODAY()),0,IF(OR(INDEX($B180:$D180,AI$5)="F",AND(AI$6&gt;0,$A180&lt;AI$6),AND(AI$7&gt;0,$A180&gt;AI$7)),0,MAX(0,ROUND((INDEX($E180:$G180,AI$5)-SUMIFS(TF_Timer,TF_Tekniker,AI$4,TF_Dato,$A180))*2,0)/2)))</f>
        <v/>
      </c>
      <c r="AJ180">
        <f>IF(OR(AJ$4="",$A180&gt;TODAY()),0,IF(OR(INDEX($B180:$D180,AJ$5)="F",AND(AJ$6&gt;0,$A180&lt;AJ$6),AND(AJ$7&gt;0,$A180&gt;AJ$7)),0,MAX(0,ROUND((INDEX($E180:$G180,AJ$5)-SUMIFS(TF_Timer,TF_Tekniker,AJ$4,TF_Dato,$A180))*2,0)/2)))</f>
        <v/>
      </c>
      <c r="AK180">
        <f>IF(OR(AK$4="",$A180&gt;TODAY()),0,IF(OR(INDEX($B180:$D180,AK$5)="F",AND(AK$6&gt;0,$A180&lt;AK$6),AND(AK$7&gt;0,$A180&gt;AK$7)),0,MAX(0,ROUND((INDEX($E180:$G180,AK$5)-SUMIFS(TF_Timer,TF_Tekniker,AK$4,TF_Dato,$A180))*2,0)/2)))</f>
        <v/>
      </c>
      <c r="AL180">
        <f>IF(OR(AL$4="",$A180&gt;TODAY()),0,IF(OR(INDEX($B180:$D180,AL$5)="F",AND(AL$6&gt;0,$A180&lt;AL$6),AND(AL$7&gt;0,$A180&gt;AL$7)),0,MAX(0,ROUND((INDEX($E180:$G180,AL$5)-SUMIFS(TF_Timer,TF_Tekniker,AL$4,TF_Dato,$A180))*2,0)/2)))</f>
        <v/>
      </c>
      <c r="AM180">
        <f>IF(OR(AM$4="",$A180&gt;TODAY()),0,IF(OR(INDEX($B180:$D180,AM$5)="F",AND(AM$6&gt;0,$A180&lt;AM$6),AND(AM$7&gt;0,$A180&gt;AM$7)),0,MAX(0,ROUND((INDEX($E180:$G180,AM$5)-SUMIFS(TF_Timer,TF_Tekniker,AM$4,TF_Dato,$A180))*2,0)/2)))</f>
        <v/>
      </c>
      <c r="AN180">
        <f>IF(OR(AN$4="",$A180&gt;TODAY()),0,IF(OR(INDEX($B180:$D180,AN$5)="F",AND(AN$6&gt;0,$A180&lt;AN$6),AND(AN$7&gt;0,$A180&gt;AN$7)),0,MAX(0,ROUND((INDEX($E180:$G180,AN$5)-SUMIFS(TF_Timer,TF_Tekniker,AN$4,TF_Dato,$A180))*2,0)/2)))</f>
        <v/>
      </c>
      <c r="AO180">
        <f>IF(OR(AO$4="",$A180&gt;TODAY()),0,IF(OR(INDEX($B180:$D180,AO$5)="F",AND(AO$6&gt;0,$A180&lt;AO$6),AND(AO$7&gt;0,$A180&gt;AO$7)),0,MAX(0,ROUND((INDEX($E180:$G180,AO$5)-SUMIFS(TF_Timer,TF_Tekniker,AO$4,TF_Dato,$A180))*2,0)/2)))</f>
        <v/>
      </c>
      <c r="AP180">
        <f>IF(OR(AP$4="",$A180&gt;TODAY()),0,IF(OR(INDEX($B180:$D180,AP$5)="F",AND(AP$6&gt;0,$A180&lt;AP$6),AND(AP$7&gt;0,$A180&gt;AP$7)),0,MAX(0,ROUND((INDEX($E180:$G180,AP$5)-SUMIFS(TF_Timer,TF_Tekniker,AP$4,TF_Dato,$A180))*2,0)/2)))</f>
        <v/>
      </c>
      <c r="AQ180">
        <f>IF(OR(AQ$4="",$A180&gt;TODAY()),0,IF(OR(INDEX($B180:$D180,AQ$5)="F",AND(AQ$6&gt;0,$A180&lt;AQ$6),AND(AQ$7&gt;0,$A180&gt;AQ$7)),0,MAX(0,ROUND((INDEX($E180:$G180,AQ$5)-SUMIFS(TF_Timer,TF_Tekniker,AQ$4,TF_Dato,$A180))*2,0)/2)))</f>
        <v/>
      </c>
      <c r="AR180">
        <f>IF(OR(AR$4="",$A180&gt;TODAY()),0,IF(OR(INDEX($B180:$D180,AR$5)="F",AND(AR$6&gt;0,$A180&lt;AR$6),AND(AR$7&gt;0,$A180&gt;AR$7)),0,MAX(0,ROUND((INDEX($E180:$G180,AR$5)-SUMIFS(TF_Timer,TF_Tekniker,AR$4,TF_Dato,$A180))*2,0)/2)))</f>
        <v/>
      </c>
      <c r="AS180">
        <f>IF(OR(AS$4="",$A180&gt;TODAY()),0,IF(OR(INDEX($B180:$D180,AS$5)="F",AND(AS$6&gt;0,$A180&lt;AS$6),AND(AS$7&gt;0,$A180&gt;AS$7)),0,MAX(0,ROUND((INDEX($E180:$G180,AS$5)-SUMIFS(TF_Timer,TF_Tekniker,AS$4,TF_Dato,$A180))*2,0)/2)))</f>
        <v/>
      </c>
      <c r="AT180">
        <f>IF(OR(AT$4="",$A180&gt;TODAY()),0,IF(OR(INDEX($B180:$D180,AT$5)="F",AND(AT$6&gt;0,$A180&lt;AT$6),AND(AT$7&gt;0,$A180&gt;AT$7)),0,MAX(0,ROUND((INDEX($E180:$G180,AT$5)-SUMIFS(TF_Timer,TF_Tekniker,AT$4,TF_Dato,$A180))*2,0)/2)))</f>
        <v/>
      </c>
      <c r="AU180">
        <f>IF(OR(AU$4="",$A180&gt;TODAY()),0,IF(OR(INDEX($B180:$D180,AU$5)="F",AND(AU$6&gt;0,$A180&lt;AU$6),AND(AU$7&gt;0,$A180&gt;AU$7)),0,MAX(0,ROUND((INDEX($E180:$G180,AU$5)-SUMIFS(TF_Timer,TF_Tekniker,AU$4,TF_Dato,$A180))*2,0)/2)))</f>
        <v/>
      </c>
      <c r="AV180">
        <f>IF(OR(AV$4="",$A180&gt;TODAY()),0,IF(OR(INDEX($B180:$D180,AV$5)="F",AND(AV$6&gt;0,$A180&lt;AV$6),AND(AV$7&gt;0,$A180&gt;AV$7)),0,MAX(0,ROUND((INDEX($E180:$G180,AV$5)-SUMIFS(TF_Timer,TF_Tekniker,AV$4,TF_Dato,$A180))*2,0)/2)))</f>
        <v/>
      </c>
      <c r="AW180">
        <f>IF(OR(AW$4="",$A180&gt;TODAY()),0,IF(OR(INDEX($B180:$D180,AW$5)="F",AND(AW$6&gt;0,$A180&lt;AW$6),AND(AW$7&gt;0,$A180&gt;AW$7)),0,MAX(0,ROUND((INDEX($E180:$G180,AW$5)-SUMIFS(TF_Timer,TF_Tekniker,AW$4,TF_Dato,$A180))*2,0)/2)))</f>
        <v/>
      </c>
      <c r="AX180">
        <f>IF(OR(AX$4="",$A180&gt;TODAY()),0,IF(OR(INDEX($B180:$D180,AX$5)="F",AND(AX$6&gt;0,$A180&lt;AX$6),AND(AX$7&gt;0,$A180&gt;AX$7)),0,MAX(0,ROUND((INDEX($E180:$G180,AX$5)-SUMIFS(TF_Timer,TF_Tekniker,AX$4,TF_Dato,$A180))*2,0)/2)))</f>
        <v/>
      </c>
      <c r="AY180">
        <f>IF(OR(AY$4="",$A180&gt;TODAY()),0,IF(OR(INDEX($B180:$D180,AY$5)="F",AND(AY$6&gt;0,$A180&lt;AY$6),AND(AY$7&gt;0,$A180&gt;AY$7)),0,MAX(0,ROUND((INDEX($E180:$G180,AY$5)-SUMIFS(TF_Timer,TF_Tekniker,AY$4,TF_Dato,$A180))*2,0)/2)))</f>
        <v/>
      </c>
      <c r="AZ180">
        <f>IF(OR(AZ$4="",$A180&gt;TODAY()),0,IF(OR(INDEX($B180:$D180,AZ$5)="F",AND(AZ$6&gt;0,$A180&lt;AZ$6),AND(AZ$7&gt;0,$A180&gt;AZ$7)),0,MAX(0,ROUND((INDEX($E180:$G180,AZ$5)-SUMIFS(TF_Timer,TF_Tekniker,AZ$4,TF_Dato,$A180))*2,0)/2)))</f>
        <v/>
      </c>
      <c r="BA180">
        <f>IF(OR(BA$4="",$A180&gt;TODAY()),0,IF(OR(INDEX($B180:$D180,BA$5)="F",AND(BA$6&gt;0,$A180&lt;BA$6),AND(BA$7&gt;0,$A180&gt;BA$7)),0,MAX(0,ROUND((INDEX($E180:$G180,BA$5)-SUMIFS(TF_Timer,TF_Tekniker,BA$4,TF_Dato,$A180))*2,0)/2)))</f>
        <v/>
      </c>
      <c r="BB180">
        <f>IF(OR(BB$4="",$A180&gt;TODAY()),0,IF(OR(INDEX($B180:$D180,BB$5)="F",AND(BB$6&gt;0,$A180&lt;BB$6),AND(BB$7&gt;0,$A180&gt;BB$7)),0,MAX(0,ROUND((INDEX($E180:$G180,BB$5)-SUMIFS(TF_Timer,TF_Tekniker,BB$4,TF_Dato,$A180))*2,0)/2)))</f>
        <v/>
      </c>
      <c r="BC180">
        <f>IF(OR(BC$4="",$A180&gt;TODAY()),0,IF(OR(INDEX($B180:$D180,BC$5)="F",AND(BC$6&gt;0,$A180&lt;BC$6),AND(BC$7&gt;0,$A180&gt;BC$7)),0,MAX(0,ROUND((INDEX($E180:$G180,BC$5)-SUMIFS(TF_Timer,TF_Tekniker,BC$4,TF_Dato,$A180))*2,0)/2)))</f>
        <v/>
      </c>
      <c r="BD180">
        <f>IF(OR(BD$4="",$A180&gt;TODAY()),0,IF(OR(INDEX($B180:$D180,BD$5)="F",AND(BD$6&gt;0,$A180&lt;BD$6),AND(BD$7&gt;0,$A180&gt;BD$7)),0,MAX(0,ROUND((INDEX($E180:$G180,BD$5)-SUMIFS(TF_Timer,TF_Tekniker,BD$4,TF_Dato,$A180))*2,0)/2)))</f>
        <v/>
      </c>
      <c r="BE180">
        <f>IF(OR(BE$4="",$A180&gt;TODAY()),0,IF(OR(INDEX($B180:$D180,BE$5)="F",AND(BE$6&gt;0,$A180&lt;BE$6),AND(BE$7&gt;0,$A180&gt;BE$7)),0,MAX(0,ROUND((INDEX($E180:$G180,BE$5)-SUMIFS(TF_Timer,TF_Tekniker,BE$4,TF_Dato,$A180))*2,0)/2)))</f>
        <v/>
      </c>
      <c r="BF180">
        <f>IF(OR(BF$4="",$A180&gt;TODAY()),0,IF(OR(INDEX($B180:$D180,BF$5)="F",AND(BF$6&gt;0,$A180&lt;BF$6),AND(BF$7&gt;0,$A180&gt;BF$7)),0,MAX(0,ROUND((INDEX($E180:$G180,BF$5)-SUMIFS(TF_Timer,TF_Tekniker,BF$4,TF_Dato,$A180))*2,0)/2)))</f>
        <v/>
      </c>
      <c r="BG180">
        <f>IF(OR(BG$4="",$A180&gt;TODAY()),0,IF(OR(INDEX($B180:$D180,BG$5)="F",AND(BG$6&gt;0,$A180&lt;BG$6),AND(BG$7&gt;0,$A180&gt;BG$7)),0,MAX(0,ROUND((INDEX($E180:$G180,BG$5)-SUMIFS(TF_Timer,TF_Tekniker,BG$4,TF_Dato,$A180))*2,0)/2)))</f>
        <v/>
      </c>
      <c r="BH180">
        <f>IF(OR(BH$4="",$A180&gt;TODAY()),0,IF(OR(INDEX($B180:$D180,BH$5)="F",AND(BH$6&gt;0,$A180&lt;BH$6),AND(BH$7&gt;0,$A180&gt;BH$7)),0,MAX(0,ROUND((INDEX($E180:$G180,BH$5)-SUMIFS(TF_Timer,TF_Tekniker,BH$4,TF_Dato,$A180))*2,0)/2)))</f>
        <v/>
      </c>
      <c r="BI180">
        <f>IF(OR(BI$4="",$A180&gt;TODAY()),0,IF(OR(INDEX($B180:$D180,BI$5)="F",AND(BI$6&gt;0,$A180&lt;BI$6),AND(BI$7&gt;0,$A180&gt;BI$7)),0,MAX(0,ROUND((INDEX($E180:$G180,BI$5)-SUMIFS(TF_Timer,TF_Tekniker,BI$4,TF_Dato,$A180))*2,0)/2)))</f>
        <v/>
      </c>
    </row>
    <row r="181">
      <c r="A181" s="64">
        <f>A180+1</f>
        <v/>
      </c>
      <c r="B181">
        <f>IF(MOD($A181-INDEX(SkiftStart,1),Syklus)&lt;DagK,"K",IF(MOD($A181-INDEX(SkiftStart,1),Syklus)&lt;DagK+DagH,"H",IF(MOD($A181-INDEX(SkiftStart,1),Syklus)&lt;DagK+DagH+DagD,"D","F")))</f>
        <v/>
      </c>
      <c r="C181">
        <f>IF(MOD($A181-INDEX(SkiftStart,2),Syklus)&lt;DagK,"K",IF(MOD($A181-INDEX(SkiftStart,2),Syklus)&lt;DagK+DagH,"H",IF(MOD($A181-INDEX(SkiftStart,2),Syklus)&lt;DagK+DagH+DagD,"D","F")))</f>
        <v/>
      </c>
      <c r="D181">
        <f>IF(MOD($A181-INDEX(SkiftStart,3),Syklus)&lt;DagK,"K",IF(MOD($A181-INDEX(SkiftStart,3),Syklus)&lt;DagK+DagH,"H",IF(MOD($A181-INDEX(SkiftStart,3),Syklus)&lt;DagK+DagH+DagD,"D","F")))</f>
        <v/>
      </c>
      <c r="E181">
        <f>IF(B181="F",0,IF(WEEKDAY($A181,2)=5,INDEX(TimerFr,MATCH(B181,FaseKode,0)),INDEX(TimerMT,MATCH(B181,FaseKode,0))))</f>
        <v/>
      </c>
      <c r="F181">
        <f>IF(C181="F",0,IF(WEEKDAY($A181,2)=5,INDEX(TimerFr,MATCH(C181,FaseKode,0)),INDEX(TimerMT,MATCH(C181,FaseKode,0))))</f>
        <v/>
      </c>
      <c r="G181">
        <f>IF(D181="F",0,IF(WEEKDAY($A181,2)=5,INDEX(TimerFr,MATCH(D181,FaseKode,0)),INDEX(TimerMT,MATCH(D181,FaseKode,0))))</f>
        <v/>
      </c>
      <c r="H181">
        <f>IF(OR(H$4="",$A181&gt;TODAY()),0,IF(OR(INDEX($B181:$D181,H$5)="F",AND(H$6&gt;0,$A181&lt;H$6),AND(H$7&gt;0,$A181&gt;H$7)),0,MAX(0,ROUND((INDEX($E181:$G181,H$5)-SUMIFS(TF_Timer,TF_Tekniker,H$4,TF_Dato,$A181))*2,0)/2)))</f>
        <v/>
      </c>
      <c r="I181">
        <f>IF(OR(I$4="",$A181&gt;TODAY()),0,IF(OR(INDEX($B181:$D181,I$5)="F",AND(I$6&gt;0,$A181&lt;I$6),AND(I$7&gt;0,$A181&gt;I$7)),0,MAX(0,ROUND((INDEX($E181:$G181,I$5)-SUMIFS(TF_Timer,TF_Tekniker,I$4,TF_Dato,$A181))*2,0)/2)))</f>
        <v/>
      </c>
      <c r="J181">
        <f>IF(OR(J$4="",$A181&gt;TODAY()),0,IF(OR(INDEX($B181:$D181,J$5)="F",AND(J$6&gt;0,$A181&lt;J$6),AND(J$7&gt;0,$A181&gt;J$7)),0,MAX(0,ROUND((INDEX($E181:$G181,J$5)-SUMIFS(TF_Timer,TF_Tekniker,J$4,TF_Dato,$A181))*2,0)/2)))</f>
        <v/>
      </c>
      <c r="K181">
        <f>IF(OR(K$4="",$A181&gt;TODAY()),0,IF(OR(INDEX($B181:$D181,K$5)="F",AND(K$6&gt;0,$A181&lt;K$6),AND(K$7&gt;0,$A181&gt;K$7)),0,MAX(0,ROUND((INDEX($E181:$G181,K$5)-SUMIFS(TF_Timer,TF_Tekniker,K$4,TF_Dato,$A181))*2,0)/2)))</f>
        <v/>
      </c>
      <c r="L181">
        <f>IF(OR(L$4="",$A181&gt;TODAY()),0,IF(OR(INDEX($B181:$D181,L$5)="F",AND(L$6&gt;0,$A181&lt;L$6),AND(L$7&gt;0,$A181&gt;L$7)),0,MAX(0,ROUND((INDEX($E181:$G181,L$5)-SUMIFS(TF_Timer,TF_Tekniker,L$4,TF_Dato,$A181))*2,0)/2)))</f>
        <v/>
      </c>
      <c r="M181">
        <f>IF(OR(M$4="",$A181&gt;TODAY()),0,IF(OR(INDEX($B181:$D181,M$5)="F",AND(M$6&gt;0,$A181&lt;M$6),AND(M$7&gt;0,$A181&gt;M$7)),0,MAX(0,ROUND((INDEX($E181:$G181,M$5)-SUMIFS(TF_Timer,TF_Tekniker,M$4,TF_Dato,$A181))*2,0)/2)))</f>
        <v/>
      </c>
      <c r="N181">
        <f>IF(OR(N$4="",$A181&gt;TODAY()),0,IF(OR(INDEX($B181:$D181,N$5)="F",AND(N$6&gt;0,$A181&lt;N$6),AND(N$7&gt;0,$A181&gt;N$7)),0,MAX(0,ROUND((INDEX($E181:$G181,N$5)-SUMIFS(TF_Timer,TF_Tekniker,N$4,TF_Dato,$A181))*2,0)/2)))</f>
        <v/>
      </c>
      <c r="O181">
        <f>IF(OR(O$4="",$A181&gt;TODAY()),0,IF(OR(INDEX($B181:$D181,O$5)="F",AND(O$6&gt;0,$A181&lt;O$6),AND(O$7&gt;0,$A181&gt;O$7)),0,MAX(0,ROUND((INDEX($E181:$G181,O$5)-SUMIFS(TF_Timer,TF_Tekniker,O$4,TF_Dato,$A181))*2,0)/2)))</f>
        <v/>
      </c>
      <c r="P181">
        <f>IF(OR(P$4="",$A181&gt;TODAY()),0,IF(OR(INDEX($B181:$D181,P$5)="F",AND(P$6&gt;0,$A181&lt;P$6),AND(P$7&gt;0,$A181&gt;P$7)),0,MAX(0,ROUND((INDEX($E181:$G181,P$5)-SUMIFS(TF_Timer,TF_Tekniker,P$4,TF_Dato,$A181))*2,0)/2)))</f>
        <v/>
      </c>
      <c r="Q181">
        <f>IF(OR(Q$4="",$A181&gt;TODAY()),0,IF(OR(INDEX($B181:$D181,Q$5)="F",AND(Q$6&gt;0,$A181&lt;Q$6),AND(Q$7&gt;0,$A181&gt;Q$7)),0,MAX(0,ROUND((INDEX($E181:$G181,Q$5)-SUMIFS(TF_Timer,TF_Tekniker,Q$4,TF_Dato,$A181))*2,0)/2)))</f>
        <v/>
      </c>
      <c r="R181">
        <f>IF(OR(R$4="",$A181&gt;TODAY()),0,IF(OR(INDEX($B181:$D181,R$5)="F",AND(R$6&gt;0,$A181&lt;R$6),AND(R$7&gt;0,$A181&gt;R$7)),0,MAX(0,ROUND((INDEX($E181:$G181,R$5)-SUMIFS(TF_Timer,TF_Tekniker,R$4,TF_Dato,$A181))*2,0)/2)))</f>
        <v/>
      </c>
      <c r="S181">
        <f>IF(OR(S$4="",$A181&gt;TODAY()),0,IF(OR(INDEX($B181:$D181,S$5)="F",AND(S$6&gt;0,$A181&lt;S$6),AND(S$7&gt;0,$A181&gt;S$7)),0,MAX(0,ROUND((INDEX($E181:$G181,S$5)-SUMIFS(TF_Timer,TF_Tekniker,S$4,TF_Dato,$A181))*2,0)/2)))</f>
        <v/>
      </c>
      <c r="T181">
        <f>IF(OR(T$4="",$A181&gt;TODAY()),0,IF(OR(INDEX($B181:$D181,T$5)="F",AND(T$6&gt;0,$A181&lt;T$6),AND(T$7&gt;0,$A181&gt;T$7)),0,MAX(0,ROUND((INDEX($E181:$G181,T$5)-SUMIFS(TF_Timer,TF_Tekniker,T$4,TF_Dato,$A181))*2,0)/2)))</f>
        <v/>
      </c>
      <c r="U181">
        <f>IF(OR(U$4="",$A181&gt;TODAY()),0,IF(OR(INDEX($B181:$D181,U$5)="F",AND(U$6&gt;0,$A181&lt;U$6),AND(U$7&gt;0,$A181&gt;U$7)),0,MAX(0,ROUND((INDEX($E181:$G181,U$5)-SUMIFS(TF_Timer,TF_Tekniker,U$4,TF_Dato,$A181))*2,0)/2)))</f>
        <v/>
      </c>
      <c r="V181">
        <f>IF(OR(V$4="",$A181&gt;TODAY()),0,IF(OR(INDEX($B181:$D181,V$5)="F",AND(V$6&gt;0,$A181&lt;V$6),AND(V$7&gt;0,$A181&gt;V$7)),0,MAX(0,ROUND((INDEX($E181:$G181,V$5)-SUMIFS(TF_Timer,TF_Tekniker,V$4,TF_Dato,$A181))*2,0)/2)))</f>
        <v/>
      </c>
      <c r="W181">
        <f>IF(OR(W$4="",$A181&gt;TODAY()),0,IF(OR(INDEX($B181:$D181,W$5)="F",AND(W$6&gt;0,$A181&lt;W$6),AND(W$7&gt;0,$A181&gt;W$7)),0,MAX(0,ROUND((INDEX($E181:$G181,W$5)-SUMIFS(TF_Timer,TF_Tekniker,W$4,TF_Dato,$A181))*2,0)/2)))</f>
        <v/>
      </c>
      <c r="X181">
        <f>IF(OR(X$4="",$A181&gt;TODAY()),0,IF(OR(INDEX($B181:$D181,X$5)="F",AND(X$6&gt;0,$A181&lt;X$6),AND(X$7&gt;0,$A181&gt;X$7)),0,MAX(0,ROUND((INDEX($E181:$G181,X$5)-SUMIFS(TF_Timer,TF_Tekniker,X$4,TF_Dato,$A181))*2,0)/2)))</f>
        <v/>
      </c>
      <c r="Y181">
        <f>IF(OR(Y$4="",$A181&gt;TODAY()),0,IF(OR(INDEX($B181:$D181,Y$5)="F",AND(Y$6&gt;0,$A181&lt;Y$6),AND(Y$7&gt;0,$A181&gt;Y$7)),0,MAX(0,ROUND((INDEX($E181:$G181,Y$5)-SUMIFS(TF_Timer,TF_Tekniker,Y$4,TF_Dato,$A181))*2,0)/2)))</f>
        <v/>
      </c>
      <c r="Z181">
        <f>IF(OR(Z$4="",$A181&gt;TODAY()),0,IF(OR(INDEX($B181:$D181,Z$5)="F",AND(Z$6&gt;0,$A181&lt;Z$6),AND(Z$7&gt;0,$A181&gt;Z$7)),0,MAX(0,ROUND((INDEX($E181:$G181,Z$5)-SUMIFS(TF_Timer,TF_Tekniker,Z$4,TF_Dato,$A181))*2,0)/2)))</f>
        <v/>
      </c>
      <c r="AA181">
        <f>IF(OR(AA$4="",$A181&gt;TODAY()),0,IF(OR(INDEX($B181:$D181,AA$5)="F",AND(AA$6&gt;0,$A181&lt;AA$6),AND(AA$7&gt;0,$A181&gt;AA$7)),0,MAX(0,ROUND((INDEX($E181:$G181,AA$5)-SUMIFS(TF_Timer,TF_Tekniker,AA$4,TF_Dato,$A181))*2,0)/2)))</f>
        <v/>
      </c>
      <c r="AB181">
        <f>IF(OR(AB$4="",$A181&gt;TODAY()),0,IF(OR(INDEX($B181:$D181,AB$5)="F",AND(AB$6&gt;0,$A181&lt;AB$6),AND(AB$7&gt;0,$A181&gt;AB$7)),0,MAX(0,ROUND((INDEX($E181:$G181,AB$5)-SUMIFS(TF_Timer,TF_Tekniker,AB$4,TF_Dato,$A181))*2,0)/2)))</f>
        <v/>
      </c>
      <c r="AC181">
        <f>IF(OR(AC$4="",$A181&gt;TODAY()),0,IF(OR(INDEX($B181:$D181,AC$5)="F",AND(AC$6&gt;0,$A181&lt;AC$6),AND(AC$7&gt;0,$A181&gt;AC$7)),0,MAX(0,ROUND((INDEX($E181:$G181,AC$5)-SUMIFS(TF_Timer,TF_Tekniker,AC$4,TF_Dato,$A181))*2,0)/2)))</f>
        <v/>
      </c>
      <c r="AD181">
        <f>IF(OR(AD$4="",$A181&gt;TODAY()),0,IF(OR(INDEX($B181:$D181,AD$5)="F",AND(AD$6&gt;0,$A181&lt;AD$6),AND(AD$7&gt;0,$A181&gt;AD$7)),0,MAX(0,ROUND((INDEX($E181:$G181,AD$5)-SUMIFS(TF_Timer,TF_Tekniker,AD$4,TF_Dato,$A181))*2,0)/2)))</f>
        <v/>
      </c>
      <c r="AE181">
        <f>IF(OR(AE$4="",$A181&gt;TODAY()),0,IF(OR(INDEX($B181:$D181,AE$5)="F",AND(AE$6&gt;0,$A181&lt;AE$6),AND(AE$7&gt;0,$A181&gt;AE$7)),0,MAX(0,ROUND((INDEX($E181:$G181,AE$5)-SUMIFS(TF_Timer,TF_Tekniker,AE$4,TF_Dato,$A181))*2,0)/2)))</f>
        <v/>
      </c>
      <c r="AF181">
        <f>IF(OR(AF$4="",$A181&gt;TODAY()),0,IF(OR(INDEX($B181:$D181,AF$5)="F",AND(AF$6&gt;0,$A181&lt;AF$6),AND(AF$7&gt;0,$A181&gt;AF$7)),0,MAX(0,ROUND((INDEX($E181:$G181,AF$5)-SUMIFS(TF_Timer,TF_Tekniker,AF$4,TF_Dato,$A181))*2,0)/2)))</f>
        <v/>
      </c>
      <c r="AG181">
        <f>IF(OR(AG$4="",$A181&gt;TODAY()),0,IF(OR(INDEX($B181:$D181,AG$5)="F",AND(AG$6&gt;0,$A181&lt;AG$6),AND(AG$7&gt;0,$A181&gt;AG$7)),0,MAX(0,ROUND((INDEX($E181:$G181,AG$5)-SUMIFS(TF_Timer,TF_Tekniker,AG$4,TF_Dato,$A181))*2,0)/2)))</f>
        <v/>
      </c>
      <c r="AH181">
        <f>IF(OR(AH$4="",$A181&gt;TODAY()),0,IF(OR(INDEX($B181:$D181,AH$5)="F",AND(AH$6&gt;0,$A181&lt;AH$6),AND(AH$7&gt;0,$A181&gt;AH$7)),0,MAX(0,ROUND((INDEX($E181:$G181,AH$5)-SUMIFS(TF_Timer,TF_Tekniker,AH$4,TF_Dato,$A181))*2,0)/2)))</f>
        <v/>
      </c>
      <c r="AI181">
        <f>IF(OR(AI$4="",$A181&gt;TODAY()),0,IF(OR(INDEX($B181:$D181,AI$5)="F",AND(AI$6&gt;0,$A181&lt;AI$6),AND(AI$7&gt;0,$A181&gt;AI$7)),0,MAX(0,ROUND((INDEX($E181:$G181,AI$5)-SUMIFS(TF_Timer,TF_Tekniker,AI$4,TF_Dato,$A181))*2,0)/2)))</f>
        <v/>
      </c>
      <c r="AJ181">
        <f>IF(OR(AJ$4="",$A181&gt;TODAY()),0,IF(OR(INDEX($B181:$D181,AJ$5)="F",AND(AJ$6&gt;0,$A181&lt;AJ$6),AND(AJ$7&gt;0,$A181&gt;AJ$7)),0,MAX(0,ROUND((INDEX($E181:$G181,AJ$5)-SUMIFS(TF_Timer,TF_Tekniker,AJ$4,TF_Dato,$A181))*2,0)/2)))</f>
        <v/>
      </c>
      <c r="AK181">
        <f>IF(OR(AK$4="",$A181&gt;TODAY()),0,IF(OR(INDEX($B181:$D181,AK$5)="F",AND(AK$6&gt;0,$A181&lt;AK$6),AND(AK$7&gt;0,$A181&gt;AK$7)),0,MAX(0,ROUND((INDEX($E181:$G181,AK$5)-SUMIFS(TF_Timer,TF_Tekniker,AK$4,TF_Dato,$A181))*2,0)/2)))</f>
        <v/>
      </c>
      <c r="AL181">
        <f>IF(OR(AL$4="",$A181&gt;TODAY()),0,IF(OR(INDEX($B181:$D181,AL$5)="F",AND(AL$6&gt;0,$A181&lt;AL$6),AND(AL$7&gt;0,$A181&gt;AL$7)),0,MAX(0,ROUND((INDEX($E181:$G181,AL$5)-SUMIFS(TF_Timer,TF_Tekniker,AL$4,TF_Dato,$A181))*2,0)/2)))</f>
        <v/>
      </c>
      <c r="AM181">
        <f>IF(OR(AM$4="",$A181&gt;TODAY()),0,IF(OR(INDEX($B181:$D181,AM$5)="F",AND(AM$6&gt;0,$A181&lt;AM$6),AND(AM$7&gt;0,$A181&gt;AM$7)),0,MAX(0,ROUND((INDEX($E181:$G181,AM$5)-SUMIFS(TF_Timer,TF_Tekniker,AM$4,TF_Dato,$A181))*2,0)/2)))</f>
        <v/>
      </c>
      <c r="AN181">
        <f>IF(OR(AN$4="",$A181&gt;TODAY()),0,IF(OR(INDEX($B181:$D181,AN$5)="F",AND(AN$6&gt;0,$A181&lt;AN$6),AND(AN$7&gt;0,$A181&gt;AN$7)),0,MAX(0,ROUND((INDEX($E181:$G181,AN$5)-SUMIFS(TF_Timer,TF_Tekniker,AN$4,TF_Dato,$A181))*2,0)/2)))</f>
        <v/>
      </c>
      <c r="AO181">
        <f>IF(OR(AO$4="",$A181&gt;TODAY()),0,IF(OR(INDEX($B181:$D181,AO$5)="F",AND(AO$6&gt;0,$A181&lt;AO$6),AND(AO$7&gt;0,$A181&gt;AO$7)),0,MAX(0,ROUND((INDEX($E181:$G181,AO$5)-SUMIFS(TF_Timer,TF_Tekniker,AO$4,TF_Dato,$A181))*2,0)/2)))</f>
        <v/>
      </c>
      <c r="AP181">
        <f>IF(OR(AP$4="",$A181&gt;TODAY()),0,IF(OR(INDEX($B181:$D181,AP$5)="F",AND(AP$6&gt;0,$A181&lt;AP$6),AND(AP$7&gt;0,$A181&gt;AP$7)),0,MAX(0,ROUND((INDEX($E181:$G181,AP$5)-SUMIFS(TF_Timer,TF_Tekniker,AP$4,TF_Dato,$A181))*2,0)/2)))</f>
        <v/>
      </c>
      <c r="AQ181">
        <f>IF(OR(AQ$4="",$A181&gt;TODAY()),0,IF(OR(INDEX($B181:$D181,AQ$5)="F",AND(AQ$6&gt;0,$A181&lt;AQ$6),AND(AQ$7&gt;0,$A181&gt;AQ$7)),0,MAX(0,ROUND((INDEX($E181:$G181,AQ$5)-SUMIFS(TF_Timer,TF_Tekniker,AQ$4,TF_Dato,$A181))*2,0)/2)))</f>
        <v/>
      </c>
      <c r="AR181">
        <f>IF(OR(AR$4="",$A181&gt;TODAY()),0,IF(OR(INDEX($B181:$D181,AR$5)="F",AND(AR$6&gt;0,$A181&lt;AR$6),AND(AR$7&gt;0,$A181&gt;AR$7)),0,MAX(0,ROUND((INDEX($E181:$G181,AR$5)-SUMIFS(TF_Timer,TF_Tekniker,AR$4,TF_Dato,$A181))*2,0)/2)))</f>
        <v/>
      </c>
      <c r="AS181">
        <f>IF(OR(AS$4="",$A181&gt;TODAY()),0,IF(OR(INDEX($B181:$D181,AS$5)="F",AND(AS$6&gt;0,$A181&lt;AS$6),AND(AS$7&gt;0,$A181&gt;AS$7)),0,MAX(0,ROUND((INDEX($E181:$G181,AS$5)-SUMIFS(TF_Timer,TF_Tekniker,AS$4,TF_Dato,$A181))*2,0)/2)))</f>
        <v/>
      </c>
      <c r="AT181">
        <f>IF(OR(AT$4="",$A181&gt;TODAY()),0,IF(OR(INDEX($B181:$D181,AT$5)="F",AND(AT$6&gt;0,$A181&lt;AT$6),AND(AT$7&gt;0,$A181&gt;AT$7)),0,MAX(0,ROUND((INDEX($E181:$G181,AT$5)-SUMIFS(TF_Timer,TF_Tekniker,AT$4,TF_Dato,$A181))*2,0)/2)))</f>
        <v/>
      </c>
      <c r="AU181">
        <f>IF(OR(AU$4="",$A181&gt;TODAY()),0,IF(OR(INDEX($B181:$D181,AU$5)="F",AND(AU$6&gt;0,$A181&lt;AU$6),AND(AU$7&gt;0,$A181&gt;AU$7)),0,MAX(0,ROUND((INDEX($E181:$G181,AU$5)-SUMIFS(TF_Timer,TF_Tekniker,AU$4,TF_Dato,$A181))*2,0)/2)))</f>
        <v/>
      </c>
      <c r="AV181">
        <f>IF(OR(AV$4="",$A181&gt;TODAY()),0,IF(OR(INDEX($B181:$D181,AV$5)="F",AND(AV$6&gt;0,$A181&lt;AV$6),AND(AV$7&gt;0,$A181&gt;AV$7)),0,MAX(0,ROUND((INDEX($E181:$G181,AV$5)-SUMIFS(TF_Timer,TF_Tekniker,AV$4,TF_Dato,$A181))*2,0)/2)))</f>
        <v/>
      </c>
      <c r="AW181">
        <f>IF(OR(AW$4="",$A181&gt;TODAY()),0,IF(OR(INDEX($B181:$D181,AW$5)="F",AND(AW$6&gt;0,$A181&lt;AW$6),AND(AW$7&gt;0,$A181&gt;AW$7)),0,MAX(0,ROUND((INDEX($E181:$G181,AW$5)-SUMIFS(TF_Timer,TF_Tekniker,AW$4,TF_Dato,$A181))*2,0)/2)))</f>
        <v/>
      </c>
      <c r="AX181">
        <f>IF(OR(AX$4="",$A181&gt;TODAY()),0,IF(OR(INDEX($B181:$D181,AX$5)="F",AND(AX$6&gt;0,$A181&lt;AX$6),AND(AX$7&gt;0,$A181&gt;AX$7)),0,MAX(0,ROUND((INDEX($E181:$G181,AX$5)-SUMIFS(TF_Timer,TF_Tekniker,AX$4,TF_Dato,$A181))*2,0)/2)))</f>
        <v/>
      </c>
      <c r="AY181">
        <f>IF(OR(AY$4="",$A181&gt;TODAY()),0,IF(OR(INDEX($B181:$D181,AY$5)="F",AND(AY$6&gt;0,$A181&lt;AY$6),AND(AY$7&gt;0,$A181&gt;AY$7)),0,MAX(0,ROUND((INDEX($E181:$G181,AY$5)-SUMIFS(TF_Timer,TF_Tekniker,AY$4,TF_Dato,$A181))*2,0)/2)))</f>
        <v/>
      </c>
      <c r="AZ181">
        <f>IF(OR(AZ$4="",$A181&gt;TODAY()),0,IF(OR(INDEX($B181:$D181,AZ$5)="F",AND(AZ$6&gt;0,$A181&lt;AZ$6),AND(AZ$7&gt;0,$A181&gt;AZ$7)),0,MAX(0,ROUND((INDEX($E181:$G181,AZ$5)-SUMIFS(TF_Timer,TF_Tekniker,AZ$4,TF_Dato,$A181))*2,0)/2)))</f>
        <v/>
      </c>
      <c r="BA181">
        <f>IF(OR(BA$4="",$A181&gt;TODAY()),0,IF(OR(INDEX($B181:$D181,BA$5)="F",AND(BA$6&gt;0,$A181&lt;BA$6),AND(BA$7&gt;0,$A181&gt;BA$7)),0,MAX(0,ROUND((INDEX($E181:$G181,BA$5)-SUMIFS(TF_Timer,TF_Tekniker,BA$4,TF_Dato,$A181))*2,0)/2)))</f>
        <v/>
      </c>
      <c r="BB181">
        <f>IF(OR(BB$4="",$A181&gt;TODAY()),0,IF(OR(INDEX($B181:$D181,BB$5)="F",AND(BB$6&gt;0,$A181&lt;BB$6),AND(BB$7&gt;0,$A181&gt;BB$7)),0,MAX(0,ROUND((INDEX($E181:$G181,BB$5)-SUMIFS(TF_Timer,TF_Tekniker,BB$4,TF_Dato,$A181))*2,0)/2)))</f>
        <v/>
      </c>
      <c r="BC181">
        <f>IF(OR(BC$4="",$A181&gt;TODAY()),0,IF(OR(INDEX($B181:$D181,BC$5)="F",AND(BC$6&gt;0,$A181&lt;BC$6),AND(BC$7&gt;0,$A181&gt;BC$7)),0,MAX(0,ROUND((INDEX($E181:$G181,BC$5)-SUMIFS(TF_Timer,TF_Tekniker,BC$4,TF_Dato,$A181))*2,0)/2)))</f>
        <v/>
      </c>
      <c r="BD181">
        <f>IF(OR(BD$4="",$A181&gt;TODAY()),0,IF(OR(INDEX($B181:$D181,BD$5)="F",AND(BD$6&gt;0,$A181&lt;BD$6),AND(BD$7&gt;0,$A181&gt;BD$7)),0,MAX(0,ROUND((INDEX($E181:$G181,BD$5)-SUMIFS(TF_Timer,TF_Tekniker,BD$4,TF_Dato,$A181))*2,0)/2)))</f>
        <v/>
      </c>
      <c r="BE181">
        <f>IF(OR(BE$4="",$A181&gt;TODAY()),0,IF(OR(INDEX($B181:$D181,BE$5)="F",AND(BE$6&gt;0,$A181&lt;BE$6),AND(BE$7&gt;0,$A181&gt;BE$7)),0,MAX(0,ROUND((INDEX($E181:$G181,BE$5)-SUMIFS(TF_Timer,TF_Tekniker,BE$4,TF_Dato,$A181))*2,0)/2)))</f>
        <v/>
      </c>
      <c r="BF181">
        <f>IF(OR(BF$4="",$A181&gt;TODAY()),0,IF(OR(INDEX($B181:$D181,BF$5)="F",AND(BF$6&gt;0,$A181&lt;BF$6),AND(BF$7&gt;0,$A181&gt;BF$7)),0,MAX(0,ROUND((INDEX($E181:$G181,BF$5)-SUMIFS(TF_Timer,TF_Tekniker,BF$4,TF_Dato,$A181))*2,0)/2)))</f>
        <v/>
      </c>
      <c r="BG181">
        <f>IF(OR(BG$4="",$A181&gt;TODAY()),0,IF(OR(INDEX($B181:$D181,BG$5)="F",AND(BG$6&gt;0,$A181&lt;BG$6),AND(BG$7&gt;0,$A181&gt;BG$7)),0,MAX(0,ROUND((INDEX($E181:$G181,BG$5)-SUMIFS(TF_Timer,TF_Tekniker,BG$4,TF_Dato,$A181))*2,0)/2)))</f>
        <v/>
      </c>
      <c r="BH181">
        <f>IF(OR(BH$4="",$A181&gt;TODAY()),0,IF(OR(INDEX($B181:$D181,BH$5)="F",AND(BH$6&gt;0,$A181&lt;BH$6),AND(BH$7&gt;0,$A181&gt;BH$7)),0,MAX(0,ROUND((INDEX($E181:$G181,BH$5)-SUMIFS(TF_Timer,TF_Tekniker,BH$4,TF_Dato,$A181))*2,0)/2)))</f>
        <v/>
      </c>
      <c r="BI181">
        <f>IF(OR(BI$4="",$A181&gt;TODAY()),0,IF(OR(INDEX($B181:$D181,BI$5)="F",AND(BI$6&gt;0,$A181&lt;BI$6),AND(BI$7&gt;0,$A181&gt;BI$7)),0,MAX(0,ROUND((INDEX($E181:$G181,BI$5)-SUMIFS(TF_Timer,TF_Tekniker,BI$4,TF_Dato,$A181))*2,0)/2)))</f>
        <v/>
      </c>
    </row>
    <row r="182">
      <c r="A182" s="64">
        <f>A181+1</f>
        <v/>
      </c>
      <c r="B182">
        <f>IF(MOD($A182-INDEX(SkiftStart,1),Syklus)&lt;DagK,"K",IF(MOD($A182-INDEX(SkiftStart,1),Syklus)&lt;DagK+DagH,"H",IF(MOD($A182-INDEX(SkiftStart,1),Syklus)&lt;DagK+DagH+DagD,"D","F")))</f>
        <v/>
      </c>
      <c r="C182">
        <f>IF(MOD($A182-INDEX(SkiftStart,2),Syklus)&lt;DagK,"K",IF(MOD($A182-INDEX(SkiftStart,2),Syklus)&lt;DagK+DagH,"H",IF(MOD($A182-INDEX(SkiftStart,2),Syklus)&lt;DagK+DagH+DagD,"D","F")))</f>
        <v/>
      </c>
      <c r="D182">
        <f>IF(MOD($A182-INDEX(SkiftStart,3),Syklus)&lt;DagK,"K",IF(MOD($A182-INDEX(SkiftStart,3),Syklus)&lt;DagK+DagH,"H",IF(MOD($A182-INDEX(SkiftStart,3),Syklus)&lt;DagK+DagH+DagD,"D","F")))</f>
        <v/>
      </c>
      <c r="E182">
        <f>IF(B182="F",0,IF(WEEKDAY($A182,2)=5,INDEX(TimerFr,MATCH(B182,FaseKode,0)),INDEX(TimerMT,MATCH(B182,FaseKode,0))))</f>
        <v/>
      </c>
      <c r="F182">
        <f>IF(C182="F",0,IF(WEEKDAY($A182,2)=5,INDEX(TimerFr,MATCH(C182,FaseKode,0)),INDEX(TimerMT,MATCH(C182,FaseKode,0))))</f>
        <v/>
      </c>
      <c r="G182">
        <f>IF(D182="F",0,IF(WEEKDAY($A182,2)=5,INDEX(TimerFr,MATCH(D182,FaseKode,0)),INDEX(TimerMT,MATCH(D182,FaseKode,0))))</f>
        <v/>
      </c>
      <c r="H182">
        <f>IF(OR(H$4="",$A182&gt;TODAY()),0,IF(OR(INDEX($B182:$D182,H$5)="F",AND(H$6&gt;0,$A182&lt;H$6),AND(H$7&gt;0,$A182&gt;H$7)),0,MAX(0,ROUND((INDEX($E182:$G182,H$5)-SUMIFS(TF_Timer,TF_Tekniker,H$4,TF_Dato,$A182))*2,0)/2)))</f>
        <v/>
      </c>
      <c r="I182">
        <f>IF(OR(I$4="",$A182&gt;TODAY()),0,IF(OR(INDEX($B182:$D182,I$5)="F",AND(I$6&gt;0,$A182&lt;I$6),AND(I$7&gt;0,$A182&gt;I$7)),0,MAX(0,ROUND((INDEX($E182:$G182,I$5)-SUMIFS(TF_Timer,TF_Tekniker,I$4,TF_Dato,$A182))*2,0)/2)))</f>
        <v/>
      </c>
      <c r="J182">
        <f>IF(OR(J$4="",$A182&gt;TODAY()),0,IF(OR(INDEX($B182:$D182,J$5)="F",AND(J$6&gt;0,$A182&lt;J$6),AND(J$7&gt;0,$A182&gt;J$7)),0,MAX(0,ROUND((INDEX($E182:$G182,J$5)-SUMIFS(TF_Timer,TF_Tekniker,J$4,TF_Dato,$A182))*2,0)/2)))</f>
        <v/>
      </c>
      <c r="K182">
        <f>IF(OR(K$4="",$A182&gt;TODAY()),0,IF(OR(INDEX($B182:$D182,K$5)="F",AND(K$6&gt;0,$A182&lt;K$6),AND(K$7&gt;0,$A182&gt;K$7)),0,MAX(0,ROUND((INDEX($E182:$G182,K$5)-SUMIFS(TF_Timer,TF_Tekniker,K$4,TF_Dato,$A182))*2,0)/2)))</f>
        <v/>
      </c>
      <c r="L182">
        <f>IF(OR(L$4="",$A182&gt;TODAY()),0,IF(OR(INDEX($B182:$D182,L$5)="F",AND(L$6&gt;0,$A182&lt;L$6),AND(L$7&gt;0,$A182&gt;L$7)),0,MAX(0,ROUND((INDEX($E182:$G182,L$5)-SUMIFS(TF_Timer,TF_Tekniker,L$4,TF_Dato,$A182))*2,0)/2)))</f>
        <v/>
      </c>
      <c r="M182">
        <f>IF(OR(M$4="",$A182&gt;TODAY()),0,IF(OR(INDEX($B182:$D182,M$5)="F",AND(M$6&gt;0,$A182&lt;M$6),AND(M$7&gt;0,$A182&gt;M$7)),0,MAX(0,ROUND((INDEX($E182:$G182,M$5)-SUMIFS(TF_Timer,TF_Tekniker,M$4,TF_Dato,$A182))*2,0)/2)))</f>
        <v/>
      </c>
      <c r="N182">
        <f>IF(OR(N$4="",$A182&gt;TODAY()),0,IF(OR(INDEX($B182:$D182,N$5)="F",AND(N$6&gt;0,$A182&lt;N$6),AND(N$7&gt;0,$A182&gt;N$7)),0,MAX(0,ROUND((INDEX($E182:$G182,N$5)-SUMIFS(TF_Timer,TF_Tekniker,N$4,TF_Dato,$A182))*2,0)/2)))</f>
        <v/>
      </c>
      <c r="O182">
        <f>IF(OR(O$4="",$A182&gt;TODAY()),0,IF(OR(INDEX($B182:$D182,O$5)="F",AND(O$6&gt;0,$A182&lt;O$6),AND(O$7&gt;0,$A182&gt;O$7)),0,MAX(0,ROUND((INDEX($E182:$G182,O$5)-SUMIFS(TF_Timer,TF_Tekniker,O$4,TF_Dato,$A182))*2,0)/2)))</f>
        <v/>
      </c>
      <c r="P182">
        <f>IF(OR(P$4="",$A182&gt;TODAY()),0,IF(OR(INDEX($B182:$D182,P$5)="F",AND(P$6&gt;0,$A182&lt;P$6),AND(P$7&gt;0,$A182&gt;P$7)),0,MAX(0,ROUND((INDEX($E182:$G182,P$5)-SUMIFS(TF_Timer,TF_Tekniker,P$4,TF_Dato,$A182))*2,0)/2)))</f>
        <v/>
      </c>
      <c r="Q182">
        <f>IF(OR(Q$4="",$A182&gt;TODAY()),0,IF(OR(INDEX($B182:$D182,Q$5)="F",AND(Q$6&gt;0,$A182&lt;Q$6),AND(Q$7&gt;0,$A182&gt;Q$7)),0,MAX(0,ROUND((INDEX($E182:$G182,Q$5)-SUMIFS(TF_Timer,TF_Tekniker,Q$4,TF_Dato,$A182))*2,0)/2)))</f>
        <v/>
      </c>
      <c r="R182">
        <f>IF(OR(R$4="",$A182&gt;TODAY()),0,IF(OR(INDEX($B182:$D182,R$5)="F",AND(R$6&gt;0,$A182&lt;R$6),AND(R$7&gt;0,$A182&gt;R$7)),0,MAX(0,ROUND((INDEX($E182:$G182,R$5)-SUMIFS(TF_Timer,TF_Tekniker,R$4,TF_Dato,$A182))*2,0)/2)))</f>
        <v/>
      </c>
      <c r="S182">
        <f>IF(OR(S$4="",$A182&gt;TODAY()),0,IF(OR(INDEX($B182:$D182,S$5)="F",AND(S$6&gt;0,$A182&lt;S$6),AND(S$7&gt;0,$A182&gt;S$7)),0,MAX(0,ROUND((INDEX($E182:$G182,S$5)-SUMIFS(TF_Timer,TF_Tekniker,S$4,TF_Dato,$A182))*2,0)/2)))</f>
        <v/>
      </c>
      <c r="T182">
        <f>IF(OR(T$4="",$A182&gt;TODAY()),0,IF(OR(INDEX($B182:$D182,T$5)="F",AND(T$6&gt;0,$A182&lt;T$6),AND(T$7&gt;0,$A182&gt;T$7)),0,MAX(0,ROUND((INDEX($E182:$G182,T$5)-SUMIFS(TF_Timer,TF_Tekniker,T$4,TF_Dato,$A182))*2,0)/2)))</f>
        <v/>
      </c>
      <c r="U182">
        <f>IF(OR(U$4="",$A182&gt;TODAY()),0,IF(OR(INDEX($B182:$D182,U$5)="F",AND(U$6&gt;0,$A182&lt;U$6),AND(U$7&gt;0,$A182&gt;U$7)),0,MAX(0,ROUND((INDEX($E182:$G182,U$5)-SUMIFS(TF_Timer,TF_Tekniker,U$4,TF_Dato,$A182))*2,0)/2)))</f>
        <v/>
      </c>
      <c r="V182">
        <f>IF(OR(V$4="",$A182&gt;TODAY()),0,IF(OR(INDEX($B182:$D182,V$5)="F",AND(V$6&gt;0,$A182&lt;V$6),AND(V$7&gt;0,$A182&gt;V$7)),0,MAX(0,ROUND((INDEX($E182:$G182,V$5)-SUMIFS(TF_Timer,TF_Tekniker,V$4,TF_Dato,$A182))*2,0)/2)))</f>
        <v/>
      </c>
      <c r="W182">
        <f>IF(OR(W$4="",$A182&gt;TODAY()),0,IF(OR(INDEX($B182:$D182,W$5)="F",AND(W$6&gt;0,$A182&lt;W$6),AND(W$7&gt;0,$A182&gt;W$7)),0,MAX(0,ROUND((INDEX($E182:$G182,W$5)-SUMIFS(TF_Timer,TF_Tekniker,W$4,TF_Dato,$A182))*2,0)/2)))</f>
        <v/>
      </c>
      <c r="X182">
        <f>IF(OR(X$4="",$A182&gt;TODAY()),0,IF(OR(INDEX($B182:$D182,X$5)="F",AND(X$6&gt;0,$A182&lt;X$6),AND(X$7&gt;0,$A182&gt;X$7)),0,MAX(0,ROUND((INDEX($E182:$G182,X$5)-SUMIFS(TF_Timer,TF_Tekniker,X$4,TF_Dato,$A182))*2,0)/2)))</f>
        <v/>
      </c>
      <c r="Y182">
        <f>IF(OR(Y$4="",$A182&gt;TODAY()),0,IF(OR(INDEX($B182:$D182,Y$5)="F",AND(Y$6&gt;0,$A182&lt;Y$6),AND(Y$7&gt;0,$A182&gt;Y$7)),0,MAX(0,ROUND((INDEX($E182:$G182,Y$5)-SUMIFS(TF_Timer,TF_Tekniker,Y$4,TF_Dato,$A182))*2,0)/2)))</f>
        <v/>
      </c>
      <c r="Z182">
        <f>IF(OR(Z$4="",$A182&gt;TODAY()),0,IF(OR(INDEX($B182:$D182,Z$5)="F",AND(Z$6&gt;0,$A182&lt;Z$6),AND(Z$7&gt;0,$A182&gt;Z$7)),0,MAX(0,ROUND((INDEX($E182:$G182,Z$5)-SUMIFS(TF_Timer,TF_Tekniker,Z$4,TF_Dato,$A182))*2,0)/2)))</f>
        <v/>
      </c>
      <c r="AA182">
        <f>IF(OR(AA$4="",$A182&gt;TODAY()),0,IF(OR(INDEX($B182:$D182,AA$5)="F",AND(AA$6&gt;0,$A182&lt;AA$6),AND(AA$7&gt;0,$A182&gt;AA$7)),0,MAX(0,ROUND((INDEX($E182:$G182,AA$5)-SUMIFS(TF_Timer,TF_Tekniker,AA$4,TF_Dato,$A182))*2,0)/2)))</f>
        <v/>
      </c>
      <c r="AB182">
        <f>IF(OR(AB$4="",$A182&gt;TODAY()),0,IF(OR(INDEX($B182:$D182,AB$5)="F",AND(AB$6&gt;0,$A182&lt;AB$6),AND(AB$7&gt;0,$A182&gt;AB$7)),0,MAX(0,ROUND((INDEX($E182:$G182,AB$5)-SUMIFS(TF_Timer,TF_Tekniker,AB$4,TF_Dato,$A182))*2,0)/2)))</f>
        <v/>
      </c>
      <c r="AC182">
        <f>IF(OR(AC$4="",$A182&gt;TODAY()),0,IF(OR(INDEX($B182:$D182,AC$5)="F",AND(AC$6&gt;0,$A182&lt;AC$6),AND(AC$7&gt;0,$A182&gt;AC$7)),0,MAX(0,ROUND((INDEX($E182:$G182,AC$5)-SUMIFS(TF_Timer,TF_Tekniker,AC$4,TF_Dato,$A182))*2,0)/2)))</f>
        <v/>
      </c>
      <c r="AD182">
        <f>IF(OR(AD$4="",$A182&gt;TODAY()),0,IF(OR(INDEX($B182:$D182,AD$5)="F",AND(AD$6&gt;0,$A182&lt;AD$6),AND(AD$7&gt;0,$A182&gt;AD$7)),0,MAX(0,ROUND((INDEX($E182:$G182,AD$5)-SUMIFS(TF_Timer,TF_Tekniker,AD$4,TF_Dato,$A182))*2,0)/2)))</f>
        <v/>
      </c>
      <c r="AE182">
        <f>IF(OR(AE$4="",$A182&gt;TODAY()),0,IF(OR(INDEX($B182:$D182,AE$5)="F",AND(AE$6&gt;0,$A182&lt;AE$6),AND(AE$7&gt;0,$A182&gt;AE$7)),0,MAX(0,ROUND((INDEX($E182:$G182,AE$5)-SUMIFS(TF_Timer,TF_Tekniker,AE$4,TF_Dato,$A182))*2,0)/2)))</f>
        <v/>
      </c>
      <c r="AF182">
        <f>IF(OR(AF$4="",$A182&gt;TODAY()),0,IF(OR(INDEX($B182:$D182,AF$5)="F",AND(AF$6&gt;0,$A182&lt;AF$6),AND(AF$7&gt;0,$A182&gt;AF$7)),0,MAX(0,ROUND((INDEX($E182:$G182,AF$5)-SUMIFS(TF_Timer,TF_Tekniker,AF$4,TF_Dato,$A182))*2,0)/2)))</f>
        <v/>
      </c>
      <c r="AG182">
        <f>IF(OR(AG$4="",$A182&gt;TODAY()),0,IF(OR(INDEX($B182:$D182,AG$5)="F",AND(AG$6&gt;0,$A182&lt;AG$6),AND(AG$7&gt;0,$A182&gt;AG$7)),0,MAX(0,ROUND((INDEX($E182:$G182,AG$5)-SUMIFS(TF_Timer,TF_Tekniker,AG$4,TF_Dato,$A182))*2,0)/2)))</f>
        <v/>
      </c>
      <c r="AH182">
        <f>IF(OR(AH$4="",$A182&gt;TODAY()),0,IF(OR(INDEX($B182:$D182,AH$5)="F",AND(AH$6&gt;0,$A182&lt;AH$6),AND(AH$7&gt;0,$A182&gt;AH$7)),0,MAX(0,ROUND((INDEX($E182:$G182,AH$5)-SUMIFS(TF_Timer,TF_Tekniker,AH$4,TF_Dato,$A182))*2,0)/2)))</f>
        <v/>
      </c>
      <c r="AI182">
        <f>IF(OR(AI$4="",$A182&gt;TODAY()),0,IF(OR(INDEX($B182:$D182,AI$5)="F",AND(AI$6&gt;0,$A182&lt;AI$6),AND(AI$7&gt;0,$A182&gt;AI$7)),0,MAX(0,ROUND((INDEX($E182:$G182,AI$5)-SUMIFS(TF_Timer,TF_Tekniker,AI$4,TF_Dato,$A182))*2,0)/2)))</f>
        <v/>
      </c>
      <c r="AJ182">
        <f>IF(OR(AJ$4="",$A182&gt;TODAY()),0,IF(OR(INDEX($B182:$D182,AJ$5)="F",AND(AJ$6&gt;0,$A182&lt;AJ$6),AND(AJ$7&gt;0,$A182&gt;AJ$7)),0,MAX(0,ROUND((INDEX($E182:$G182,AJ$5)-SUMIFS(TF_Timer,TF_Tekniker,AJ$4,TF_Dato,$A182))*2,0)/2)))</f>
        <v/>
      </c>
      <c r="AK182">
        <f>IF(OR(AK$4="",$A182&gt;TODAY()),0,IF(OR(INDEX($B182:$D182,AK$5)="F",AND(AK$6&gt;0,$A182&lt;AK$6),AND(AK$7&gt;0,$A182&gt;AK$7)),0,MAX(0,ROUND((INDEX($E182:$G182,AK$5)-SUMIFS(TF_Timer,TF_Tekniker,AK$4,TF_Dato,$A182))*2,0)/2)))</f>
        <v/>
      </c>
      <c r="AL182">
        <f>IF(OR(AL$4="",$A182&gt;TODAY()),0,IF(OR(INDEX($B182:$D182,AL$5)="F",AND(AL$6&gt;0,$A182&lt;AL$6),AND(AL$7&gt;0,$A182&gt;AL$7)),0,MAX(0,ROUND((INDEX($E182:$G182,AL$5)-SUMIFS(TF_Timer,TF_Tekniker,AL$4,TF_Dato,$A182))*2,0)/2)))</f>
        <v/>
      </c>
      <c r="AM182">
        <f>IF(OR(AM$4="",$A182&gt;TODAY()),0,IF(OR(INDEX($B182:$D182,AM$5)="F",AND(AM$6&gt;0,$A182&lt;AM$6),AND(AM$7&gt;0,$A182&gt;AM$7)),0,MAX(0,ROUND((INDEX($E182:$G182,AM$5)-SUMIFS(TF_Timer,TF_Tekniker,AM$4,TF_Dato,$A182))*2,0)/2)))</f>
        <v/>
      </c>
      <c r="AN182">
        <f>IF(OR(AN$4="",$A182&gt;TODAY()),0,IF(OR(INDEX($B182:$D182,AN$5)="F",AND(AN$6&gt;0,$A182&lt;AN$6),AND(AN$7&gt;0,$A182&gt;AN$7)),0,MAX(0,ROUND((INDEX($E182:$G182,AN$5)-SUMIFS(TF_Timer,TF_Tekniker,AN$4,TF_Dato,$A182))*2,0)/2)))</f>
        <v/>
      </c>
      <c r="AO182">
        <f>IF(OR(AO$4="",$A182&gt;TODAY()),0,IF(OR(INDEX($B182:$D182,AO$5)="F",AND(AO$6&gt;0,$A182&lt;AO$6),AND(AO$7&gt;0,$A182&gt;AO$7)),0,MAX(0,ROUND((INDEX($E182:$G182,AO$5)-SUMIFS(TF_Timer,TF_Tekniker,AO$4,TF_Dato,$A182))*2,0)/2)))</f>
        <v/>
      </c>
      <c r="AP182">
        <f>IF(OR(AP$4="",$A182&gt;TODAY()),0,IF(OR(INDEX($B182:$D182,AP$5)="F",AND(AP$6&gt;0,$A182&lt;AP$6),AND(AP$7&gt;0,$A182&gt;AP$7)),0,MAX(0,ROUND((INDEX($E182:$G182,AP$5)-SUMIFS(TF_Timer,TF_Tekniker,AP$4,TF_Dato,$A182))*2,0)/2)))</f>
        <v/>
      </c>
      <c r="AQ182">
        <f>IF(OR(AQ$4="",$A182&gt;TODAY()),0,IF(OR(INDEX($B182:$D182,AQ$5)="F",AND(AQ$6&gt;0,$A182&lt;AQ$6),AND(AQ$7&gt;0,$A182&gt;AQ$7)),0,MAX(0,ROUND((INDEX($E182:$G182,AQ$5)-SUMIFS(TF_Timer,TF_Tekniker,AQ$4,TF_Dato,$A182))*2,0)/2)))</f>
        <v/>
      </c>
      <c r="AR182">
        <f>IF(OR(AR$4="",$A182&gt;TODAY()),0,IF(OR(INDEX($B182:$D182,AR$5)="F",AND(AR$6&gt;0,$A182&lt;AR$6),AND(AR$7&gt;0,$A182&gt;AR$7)),0,MAX(0,ROUND((INDEX($E182:$G182,AR$5)-SUMIFS(TF_Timer,TF_Tekniker,AR$4,TF_Dato,$A182))*2,0)/2)))</f>
        <v/>
      </c>
      <c r="AS182">
        <f>IF(OR(AS$4="",$A182&gt;TODAY()),0,IF(OR(INDEX($B182:$D182,AS$5)="F",AND(AS$6&gt;0,$A182&lt;AS$6),AND(AS$7&gt;0,$A182&gt;AS$7)),0,MAX(0,ROUND((INDEX($E182:$G182,AS$5)-SUMIFS(TF_Timer,TF_Tekniker,AS$4,TF_Dato,$A182))*2,0)/2)))</f>
        <v/>
      </c>
      <c r="AT182">
        <f>IF(OR(AT$4="",$A182&gt;TODAY()),0,IF(OR(INDEX($B182:$D182,AT$5)="F",AND(AT$6&gt;0,$A182&lt;AT$6),AND(AT$7&gt;0,$A182&gt;AT$7)),0,MAX(0,ROUND((INDEX($E182:$G182,AT$5)-SUMIFS(TF_Timer,TF_Tekniker,AT$4,TF_Dato,$A182))*2,0)/2)))</f>
        <v/>
      </c>
      <c r="AU182">
        <f>IF(OR(AU$4="",$A182&gt;TODAY()),0,IF(OR(INDEX($B182:$D182,AU$5)="F",AND(AU$6&gt;0,$A182&lt;AU$6),AND(AU$7&gt;0,$A182&gt;AU$7)),0,MAX(0,ROUND((INDEX($E182:$G182,AU$5)-SUMIFS(TF_Timer,TF_Tekniker,AU$4,TF_Dato,$A182))*2,0)/2)))</f>
        <v/>
      </c>
      <c r="AV182">
        <f>IF(OR(AV$4="",$A182&gt;TODAY()),0,IF(OR(INDEX($B182:$D182,AV$5)="F",AND(AV$6&gt;0,$A182&lt;AV$6),AND(AV$7&gt;0,$A182&gt;AV$7)),0,MAX(0,ROUND((INDEX($E182:$G182,AV$5)-SUMIFS(TF_Timer,TF_Tekniker,AV$4,TF_Dato,$A182))*2,0)/2)))</f>
        <v/>
      </c>
      <c r="AW182">
        <f>IF(OR(AW$4="",$A182&gt;TODAY()),0,IF(OR(INDEX($B182:$D182,AW$5)="F",AND(AW$6&gt;0,$A182&lt;AW$6),AND(AW$7&gt;0,$A182&gt;AW$7)),0,MAX(0,ROUND((INDEX($E182:$G182,AW$5)-SUMIFS(TF_Timer,TF_Tekniker,AW$4,TF_Dato,$A182))*2,0)/2)))</f>
        <v/>
      </c>
      <c r="AX182">
        <f>IF(OR(AX$4="",$A182&gt;TODAY()),0,IF(OR(INDEX($B182:$D182,AX$5)="F",AND(AX$6&gt;0,$A182&lt;AX$6),AND(AX$7&gt;0,$A182&gt;AX$7)),0,MAX(0,ROUND((INDEX($E182:$G182,AX$5)-SUMIFS(TF_Timer,TF_Tekniker,AX$4,TF_Dato,$A182))*2,0)/2)))</f>
        <v/>
      </c>
      <c r="AY182">
        <f>IF(OR(AY$4="",$A182&gt;TODAY()),0,IF(OR(INDEX($B182:$D182,AY$5)="F",AND(AY$6&gt;0,$A182&lt;AY$6),AND(AY$7&gt;0,$A182&gt;AY$7)),0,MAX(0,ROUND((INDEX($E182:$G182,AY$5)-SUMIFS(TF_Timer,TF_Tekniker,AY$4,TF_Dato,$A182))*2,0)/2)))</f>
        <v/>
      </c>
      <c r="AZ182">
        <f>IF(OR(AZ$4="",$A182&gt;TODAY()),0,IF(OR(INDEX($B182:$D182,AZ$5)="F",AND(AZ$6&gt;0,$A182&lt;AZ$6),AND(AZ$7&gt;0,$A182&gt;AZ$7)),0,MAX(0,ROUND((INDEX($E182:$G182,AZ$5)-SUMIFS(TF_Timer,TF_Tekniker,AZ$4,TF_Dato,$A182))*2,0)/2)))</f>
        <v/>
      </c>
      <c r="BA182">
        <f>IF(OR(BA$4="",$A182&gt;TODAY()),0,IF(OR(INDEX($B182:$D182,BA$5)="F",AND(BA$6&gt;0,$A182&lt;BA$6),AND(BA$7&gt;0,$A182&gt;BA$7)),0,MAX(0,ROUND((INDEX($E182:$G182,BA$5)-SUMIFS(TF_Timer,TF_Tekniker,BA$4,TF_Dato,$A182))*2,0)/2)))</f>
        <v/>
      </c>
      <c r="BB182">
        <f>IF(OR(BB$4="",$A182&gt;TODAY()),0,IF(OR(INDEX($B182:$D182,BB$5)="F",AND(BB$6&gt;0,$A182&lt;BB$6),AND(BB$7&gt;0,$A182&gt;BB$7)),0,MAX(0,ROUND((INDEX($E182:$G182,BB$5)-SUMIFS(TF_Timer,TF_Tekniker,BB$4,TF_Dato,$A182))*2,0)/2)))</f>
        <v/>
      </c>
      <c r="BC182">
        <f>IF(OR(BC$4="",$A182&gt;TODAY()),0,IF(OR(INDEX($B182:$D182,BC$5)="F",AND(BC$6&gt;0,$A182&lt;BC$6),AND(BC$7&gt;0,$A182&gt;BC$7)),0,MAX(0,ROUND((INDEX($E182:$G182,BC$5)-SUMIFS(TF_Timer,TF_Tekniker,BC$4,TF_Dato,$A182))*2,0)/2)))</f>
        <v/>
      </c>
      <c r="BD182">
        <f>IF(OR(BD$4="",$A182&gt;TODAY()),0,IF(OR(INDEX($B182:$D182,BD$5)="F",AND(BD$6&gt;0,$A182&lt;BD$6),AND(BD$7&gt;0,$A182&gt;BD$7)),0,MAX(0,ROUND((INDEX($E182:$G182,BD$5)-SUMIFS(TF_Timer,TF_Tekniker,BD$4,TF_Dato,$A182))*2,0)/2)))</f>
        <v/>
      </c>
      <c r="BE182">
        <f>IF(OR(BE$4="",$A182&gt;TODAY()),0,IF(OR(INDEX($B182:$D182,BE$5)="F",AND(BE$6&gt;0,$A182&lt;BE$6),AND(BE$7&gt;0,$A182&gt;BE$7)),0,MAX(0,ROUND((INDEX($E182:$G182,BE$5)-SUMIFS(TF_Timer,TF_Tekniker,BE$4,TF_Dato,$A182))*2,0)/2)))</f>
        <v/>
      </c>
      <c r="BF182">
        <f>IF(OR(BF$4="",$A182&gt;TODAY()),0,IF(OR(INDEX($B182:$D182,BF$5)="F",AND(BF$6&gt;0,$A182&lt;BF$6),AND(BF$7&gt;0,$A182&gt;BF$7)),0,MAX(0,ROUND((INDEX($E182:$G182,BF$5)-SUMIFS(TF_Timer,TF_Tekniker,BF$4,TF_Dato,$A182))*2,0)/2)))</f>
        <v/>
      </c>
      <c r="BG182">
        <f>IF(OR(BG$4="",$A182&gt;TODAY()),0,IF(OR(INDEX($B182:$D182,BG$5)="F",AND(BG$6&gt;0,$A182&lt;BG$6),AND(BG$7&gt;0,$A182&gt;BG$7)),0,MAX(0,ROUND((INDEX($E182:$G182,BG$5)-SUMIFS(TF_Timer,TF_Tekniker,BG$4,TF_Dato,$A182))*2,0)/2)))</f>
        <v/>
      </c>
      <c r="BH182">
        <f>IF(OR(BH$4="",$A182&gt;TODAY()),0,IF(OR(INDEX($B182:$D182,BH$5)="F",AND(BH$6&gt;0,$A182&lt;BH$6),AND(BH$7&gt;0,$A182&gt;BH$7)),0,MAX(0,ROUND((INDEX($E182:$G182,BH$5)-SUMIFS(TF_Timer,TF_Tekniker,BH$4,TF_Dato,$A182))*2,0)/2)))</f>
        <v/>
      </c>
      <c r="BI182">
        <f>IF(OR(BI$4="",$A182&gt;TODAY()),0,IF(OR(INDEX($B182:$D182,BI$5)="F",AND(BI$6&gt;0,$A182&lt;BI$6),AND(BI$7&gt;0,$A182&gt;BI$7)),0,MAX(0,ROUND((INDEX($E182:$G182,BI$5)-SUMIFS(TF_Timer,TF_Tekniker,BI$4,TF_Dato,$A182))*2,0)/2)))</f>
        <v/>
      </c>
    </row>
    <row r="183">
      <c r="A183" s="64">
        <f>A182+1</f>
        <v/>
      </c>
      <c r="B183">
        <f>IF(MOD($A183-INDEX(SkiftStart,1),Syklus)&lt;DagK,"K",IF(MOD($A183-INDEX(SkiftStart,1),Syklus)&lt;DagK+DagH,"H",IF(MOD($A183-INDEX(SkiftStart,1),Syklus)&lt;DagK+DagH+DagD,"D","F")))</f>
        <v/>
      </c>
      <c r="C183">
        <f>IF(MOD($A183-INDEX(SkiftStart,2),Syklus)&lt;DagK,"K",IF(MOD($A183-INDEX(SkiftStart,2),Syklus)&lt;DagK+DagH,"H",IF(MOD($A183-INDEX(SkiftStart,2),Syklus)&lt;DagK+DagH+DagD,"D","F")))</f>
        <v/>
      </c>
      <c r="D183">
        <f>IF(MOD($A183-INDEX(SkiftStart,3),Syklus)&lt;DagK,"K",IF(MOD($A183-INDEX(SkiftStart,3),Syklus)&lt;DagK+DagH,"H",IF(MOD($A183-INDEX(SkiftStart,3),Syklus)&lt;DagK+DagH+DagD,"D","F")))</f>
        <v/>
      </c>
      <c r="E183">
        <f>IF(B183="F",0,IF(WEEKDAY($A183,2)=5,INDEX(TimerFr,MATCH(B183,FaseKode,0)),INDEX(TimerMT,MATCH(B183,FaseKode,0))))</f>
        <v/>
      </c>
      <c r="F183">
        <f>IF(C183="F",0,IF(WEEKDAY($A183,2)=5,INDEX(TimerFr,MATCH(C183,FaseKode,0)),INDEX(TimerMT,MATCH(C183,FaseKode,0))))</f>
        <v/>
      </c>
      <c r="G183">
        <f>IF(D183="F",0,IF(WEEKDAY($A183,2)=5,INDEX(TimerFr,MATCH(D183,FaseKode,0)),INDEX(TimerMT,MATCH(D183,FaseKode,0))))</f>
        <v/>
      </c>
      <c r="H183">
        <f>IF(OR(H$4="",$A183&gt;TODAY()),0,IF(OR(INDEX($B183:$D183,H$5)="F",AND(H$6&gt;0,$A183&lt;H$6),AND(H$7&gt;0,$A183&gt;H$7)),0,MAX(0,ROUND((INDEX($E183:$G183,H$5)-SUMIFS(TF_Timer,TF_Tekniker,H$4,TF_Dato,$A183))*2,0)/2)))</f>
        <v/>
      </c>
      <c r="I183">
        <f>IF(OR(I$4="",$A183&gt;TODAY()),0,IF(OR(INDEX($B183:$D183,I$5)="F",AND(I$6&gt;0,$A183&lt;I$6),AND(I$7&gt;0,$A183&gt;I$7)),0,MAX(0,ROUND((INDEX($E183:$G183,I$5)-SUMIFS(TF_Timer,TF_Tekniker,I$4,TF_Dato,$A183))*2,0)/2)))</f>
        <v/>
      </c>
      <c r="J183">
        <f>IF(OR(J$4="",$A183&gt;TODAY()),0,IF(OR(INDEX($B183:$D183,J$5)="F",AND(J$6&gt;0,$A183&lt;J$6),AND(J$7&gt;0,$A183&gt;J$7)),0,MAX(0,ROUND((INDEX($E183:$G183,J$5)-SUMIFS(TF_Timer,TF_Tekniker,J$4,TF_Dato,$A183))*2,0)/2)))</f>
        <v/>
      </c>
      <c r="K183">
        <f>IF(OR(K$4="",$A183&gt;TODAY()),0,IF(OR(INDEX($B183:$D183,K$5)="F",AND(K$6&gt;0,$A183&lt;K$6),AND(K$7&gt;0,$A183&gt;K$7)),0,MAX(0,ROUND((INDEX($E183:$G183,K$5)-SUMIFS(TF_Timer,TF_Tekniker,K$4,TF_Dato,$A183))*2,0)/2)))</f>
        <v/>
      </c>
      <c r="L183">
        <f>IF(OR(L$4="",$A183&gt;TODAY()),0,IF(OR(INDEX($B183:$D183,L$5)="F",AND(L$6&gt;0,$A183&lt;L$6),AND(L$7&gt;0,$A183&gt;L$7)),0,MAX(0,ROUND((INDEX($E183:$G183,L$5)-SUMIFS(TF_Timer,TF_Tekniker,L$4,TF_Dato,$A183))*2,0)/2)))</f>
        <v/>
      </c>
      <c r="M183">
        <f>IF(OR(M$4="",$A183&gt;TODAY()),0,IF(OR(INDEX($B183:$D183,M$5)="F",AND(M$6&gt;0,$A183&lt;M$6),AND(M$7&gt;0,$A183&gt;M$7)),0,MAX(0,ROUND((INDEX($E183:$G183,M$5)-SUMIFS(TF_Timer,TF_Tekniker,M$4,TF_Dato,$A183))*2,0)/2)))</f>
        <v/>
      </c>
      <c r="N183">
        <f>IF(OR(N$4="",$A183&gt;TODAY()),0,IF(OR(INDEX($B183:$D183,N$5)="F",AND(N$6&gt;0,$A183&lt;N$6),AND(N$7&gt;0,$A183&gt;N$7)),0,MAX(0,ROUND((INDEX($E183:$G183,N$5)-SUMIFS(TF_Timer,TF_Tekniker,N$4,TF_Dato,$A183))*2,0)/2)))</f>
        <v/>
      </c>
      <c r="O183">
        <f>IF(OR(O$4="",$A183&gt;TODAY()),0,IF(OR(INDEX($B183:$D183,O$5)="F",AND(O$6&gt;0,$A183&lt;O$6),AND(O$7&gt;0,$A183&gt;O$7)),0,MAX(0,ROUND((INDEX($E183:$G183,O$5)-SUMIFS(TF_Timer,TF_Tekniker,O$4,TF_Dato,$A183))*2,0)/2)))</f>
        <v/>
      </c>
      <c r="P183">
        <f>IF(OR(P$4="",$A183&gt;TODAY()),0,IF(OR(INDEX($B183:$D183,P$5)="F",AND(P$6&gt;0,$A183&lt;P$6),AND(P$7&gt;0,$A183&gt;P$7)),0,MAX(0,ROUND((INDEX($E183:$G183,P$5)-SUMIFS(TF_Timer,TF_Tekniker,P$4,TF_Dato,$A183))*2,0)/2)))</f>
        <v/>
      </c>
      <c r="Q183">
        <f>IF(OR(Q$4="",$A183&gt;TODAY()),0,IF(OR(INDEX($B183:$D183,Q$5)="F",AND(Q$6&gt;0,$A183&lt;Q$6),AND(Q$7&gt;0,$A183&gt;Q$7)),0,MAX(0,ROUND((INDEX($E183:$G183,Q$5)-SUMIFS(TF_Timer,TF_Tekniker,Q$4,TF_Dato,$A183))*2,0)/2)))</f>
        <v/>
      </c>
      <c r="R183">
        <f>IF(OR(R$4="",$A183&gt;TODAY()),0,IF(OR(INDEX($B183:$D183,R$5)="F",AND(R$6&gt;0,$A183&lt;R$6),AND(R$7&gt;0,$A183&gt;R$7)),0,MAX(0,ROUND((INDEX($E183:$G183,R$5)-SUMIFS(TF_Timer,TF_Tekniker,R$4,TF_Dato,$A183))*2,0)/2)))</f>
        <v/>
      </c>
      <c r="S183">
        <f>IF(OR(S$4="",$A183&gt;TODAY()),0,IF(OR(INDEX($B183:$D183,S$5)="F",AND(S$6&gt;0,$A183&lt;S$6),AND(S$7&gt;0,$A183&gt;S$7)),0,MAX(0,ROUND((INDEX($E183:$G183,S$5)-SUMIFS(TF_Timer,TF_Tekniker,S$4,TF_Dato,$A183))*2,0)/2)))</f>
        <v/>
      </c>
      <c r="T183">
        <f>IF(OR(T$4="",$A183&gt;TODAY()),0,IF(OR(INDEX($B183:$D183,T$5)="F",AND(T$6&gt;0,$A183&lt;T$6),AND(T$7&gt;0,$A183&gt;T$7)),0,MAX(0,ROUND((INDEX($E183:$G183,T$5)-SUMIFS(TF_Timer,TF_Tekniker,T$4,TF_Dato,$A183))*2,0)/2)))</f>
        <v/>
      </c>
      <c r="U183">
        <f>IF(OR(U$4="",$A183&gt;TODAY()),0,IF(OR(INDEX($B183:$D183,U$5)="F",AND(U$6&gt;0,$A183&lt;U$6),AND(U$7&gt;0,$A183&gt;U$7)),0,MAX(0,ROUND((INDEX($E183:$G183,U$5)-SUMIFS(TF_Timer,TF_Tekniker,U$4,TF_Dato,$A183))*2,0)/2)))</f>
        <v/>
      </c>
      <c r="V183">
        <f>IF(OR(V$4="",$A183&gt;TODAY()),0,IF(OR(INDEX($B183:$D183,V$5)="F",AND(V$6&gt;0,$A183&lt;V$6),AND(V$7&gt;0,$A183&gt;V$7)),0,MAX(0,ROUND((INDEX($E183:$G183,V$5)-SUMIFS(TF_Timer,TF_Tekniker,V$4,TF_Dato,$A183))*2,0)/2)))</f>
        <v/>
      </c>
      <c r="W183">
        <f>IF(OR(W$4="",$A183&gt;TODAY()),0,IF(OR(INDEX($B183:$D183,W$5)="F",AND(W$6&gt;0,$A183&lt;W$6),AND(W$7&gt;0,$A183&gt;W$7)),0,MAX(0,ROUND((INDEX($E183:$G183,W$5)-SUMIFS(TF_Timer,TF_Tekniker,W$4,TF_Dato,$A183))*2,0)/2)))</f>
        <v/>
      </c>
      <c r="X183">
        <f>IF(OR(X$4="",$A183&gt;TODAY()),0,IF(OR(INDEX($B183:$D183,X$5)="F",AND(X$6&gt;0,$A183&lt;X$6),AND(X$7&gt;0,$A183&gt;X$7)),0,MAX(0,ROUND((INDEX($E183:$G183,X$5)-SUMIFS(TF_Timer,TF_Tekniker,X$4,TF_Dato,$A183))*2,0)/2)))</f>
        <v/>
      </c>
      <c r="Y183">
        <f>IF(OR(Y$4="",$A183&gt;TODAY()),0,IF(OR(INDEX($B183:$D183,Y$5)="F",AND(Y$6&gt;0,$A183&lt;Y$6),AND(Y$7&gt;0,$A183&gt;Y$7)),0,MAX(0,ROUND((INDEX($E183:$G183,Y$5)-SUMIFS(TF_Timer,TF_Tekniker,Y$4,TF_Dato,$A183))*2,0)/2)))</f>
        <v/>
      </c>
      <c r="Z183">
        <f>IF(OR(Z$4="",$A183&gt;TODAY()),0,IF(OR(INDEX($B183:$D183,Z$5)="F",AND(Z$6&gt;0,$A183&lt;Z$6),AND(Z$7&gt;0,$A183&gt;Z$7)),0,MAX(0,ROUND((INDEX($E183:$G183,Z$5)-SUMIFS(TF_Timer,TF_Tekniker,Z$4,TF_Dato,$A183))*2,0)/2)))</f>
        <v/>
      </c>
      <c r="AA183">
        <f>IF(OR(AA$4="",$A183&gt;TODAY()),0,IF(OR(INDEX($B183:$D183,AA$5)="F",AND(AA$6&gt;0,$A183&lt;AA$6),AND(AA$7&gt;0,$A183&gt;AA$7)),0,MAX(0,ROUND((INDEX($E183:$G183,AA$5)-SUMIFS(TF_Timer,TF_Tekniker,AA$4,TF_Dato,$A183))*2,0)/2)))</f>
        <v/>
      </c>
      <c r="AB183">
        <f>IF(OR(AB$4="",$A183&gt;TODAY()),0,IF(OR(INDEX($B183:$D183,AB$5)="F",AND(AB$6&gt;0,$A183&lt;AB$6),AND(AB$7&gt;0,$A183&gt;AB$7)),0,MAX(0,ROUND((INDEX($E183:$G183,AB$5)-SUMIFS(TF_Timer,TF_Tekniker,AB$4,TF_Dato,$A183))*2,0)/2)))</f>
        <v/>
      </c>
      <c r="AC183">
        <f>IF(OR(AC$4="",$A183&gt;TODAY()),0,IF(OR(INDEX($B183:$D183,AC$5)="F",AND(AC$6&gt;0,$A183&lt;AC$6),AND(AC$7&gt;0,$A183&gt;AC$7)),0,MAX(0,ROUND((INDEX($E183:$G183,AC$5)-SUMIFS(TF_Timer,TF_Tekniker,AC$4,TF_Dato,$A183))*2,0)/2)))</f>
        <v/>
      </c>
      <c r="AD183">
        <f>IF(OR(AD$4="",$A183&gt;TODAY()),0,IF(OR(INDEX($B183:$D183,AD$5)="F",AND(AD$6&gt;0,$A183&lt;AD$6),AND(AD$7&gt;0,$A183&gt;AD$7)),0,MAX(0,ROUND((INDEX($E183:$G183,AD$5)-SUMIFS(TF_Timer,TF_Tekniker,AD$4,TF_Dato,$A183))*2,0)/2)))</f>
        <v/>
      </c>
      <c r="AE183">
        <f>IF(OR(AE$4="",$A183&gt;TODAY()),0,IF(OR(INDEX($B183:$D183,AE$5)="F",AND(AE$6&gt;0,$A183&lt;AE$6),AND(AE$7&gt;0,$A183&gt;AE$7)),0,MAX(0,ROUND((INDEX($E183:$G183,AE$5)-SUMIFS(TF_Timer,TF_Tekniker,AE$4,TF_Dato,$A183))*2,0)/2)))</f>
        <v/>
      </c>
      <c r="AF183">
        <f>IF(OR(AF$4="",$A183&gt;TODAY()),0,IF(OR(INDEX($B183:$D183,AF$5)="F",AND(AF$6&gt;0,$A183&lt;AF$6),AND(AF$7&gt;0,$A183&gt;AF$7)),0,MAX(0,ROUND((INDEX($E183:$G183,AF$5)-SUMIFS(TF_Timer,TF_Tekniker,AF$4,TF_Dato,$A183))*2,0)/2)))</f>
        <v/>
      </c>
      <c r="AG183">
        <f>IF(OR(AG$4="",$A183&gt;TODAY()),0,IF(OR(INDEX($B183:$D183,AG$5)="F",AND(AG$6&gt;0,$A183&lt;AG$6),AND(AG$7&gt;0,$A183&gt;AG$7)),0,MAX(0,ROUND((INDEX($E183:$G183,AG$5)-SUMIFS(TF_Timer,TF_Tekniker,AG$4,TF_Dato,$A183))*2,0)/2)))</f>
        <v/>
      </c>
      <c r="AH183">
        <f>IF(OR(AH$4="",$A183&gt;TODAY()),0,IF(OR(INDEX($B183:$D183,AH$5)="F",AND(AH$6&gt;0,$A183&lt;AH$6),AND(AH$7&gt;0,$A183&gt;AH$7)),0,MAX(0,ROUND((INDEX($E183:$G183,AH$5)-SUMIFS(TF_Timer,TF_Tekniker,AH$4,TF_Dato,$A183))*2,0)/2)))</f>
        <v/>
      </c>
      <c r="AI183">
        <f>IF(OR(AI$4="",$A183&gt;TODAY()),0,IF(OR(INDEX($B183:$D183,AI$5)="F",AND(AI$6&gt;0,$A183&lt;AI$6),AND(AI$7&gt;0,$A183&gt;AI$7)),0,MAX(0,ROUND((INDEX($E183:$G183,AI$5)-SUMIFS(TF_Timer,TF_Tekniker,AI$4,TF_Dato,$A183))*2,0)/2)))</f>
        <v/>
      </c>
      <c r="AJ183">
        <f>IF(OR(AJ$4="",$A183&gt;TODAY()),0,IF(OR(INDEX($B183:$D183,AJ$5)="F",AND(AJ$6&gt;0,$A183&lt;AJ$6),AND(AJ$7&gt;0,$A183&gt;AJ$7)),0,MAX(0,ROUND((INDEX($E183:$G183,AJ$5)-SUMIFS(TF_Timer,TF_Tekniker,AJ$4,TF_Dato,$A183))*2,0)/2)))</f>
        <v/>
      </c>
      <c r="AK183">
        <f>IF(OR(AK$4="",$A183&gt;TODAY()),0,IF(OR(INDEX($B183:$D183,AK$5)="F",AND(AK$6&gt;0,$A183&lt;AK$6),AND(AK$7&gt;0,$A183&gt;AK$7)),0,MAX(0,ROUND((INDEX($E183:$G183,AK$5)-SUMIFS(TF_Timer,TF_Tekniker,AK$4,TF_Dato,$A183))*2,0)/2)))</f>
        <v/>
      </c>
      <c r="AL183">
        <f>IF(OR(AL$4="",$A183&gt;TODAY()),0,IF(OR(INDEX($B183:$D183,AL$5)="F",AND(AL$6&gt;0,$A183&lt;AL$6),AND(AL$7&gt;0,$A183&gt;AL$7)),0,MAX(0,ROUND((INDEX($E183:$G183,AL$5)-SUMIFS(TF_Timer,TF_Tekniker,AL$4,TF_Dato,$A183))*2,0)/2)))</f>
        <v/>
      </c>
      <c r="AM183">
        <f>IF(OR(AM$4="",$A183&gt;TODAY()),0,IF(OR(INDEX($B183:$D183,AM$5)="F",AND(AM$6&gt;0,$A183&lt;AM$6),AND(AM$7&gt;0,$A183&gt;AM$7)),0,MAX(0,ROUND((INDEX($E183:$G183,AM$5)-SUMIFS(TF_Timer,TF_Tekniker,AM$4,TF_Dato,$A183))*2,0)/2)))</f>
        <v/>
      </c>
      <c r="AN183">
        <f>IF(OR(AN$4="",$A183&gt;TODAY()),0,IF(OR(INDEX($B183:$D183,AN$5)="F",AND(AN$6&gt;0,$A183&lt;AN$6),AND(AN$7&gt;0,$A183&gt;AN$7)),0,MAX(0,ROUND((INDEX($E183:$G183,AN$5)-SUMIFS(TF_Timer,TF_Tekniker,AN$4,TF_Dato,$A183))*2,0)/2)))</f>
        <v/>
      </c>
      <c r="AO183">
        <f>IF(OR(AO$4="",$A183&gt;TODAY()),0,IF(OR(INDEX($B183:$D183,AO$5)="F",AND(AO$6&gt;0,$A183&lt;AO$6),AND(AO$7&gt;0,$A183&gt;AO$7)),0,MAX(0,ROUND((INDEX($E183:$G183,AO$5)-SUMIFS(TF_Timer,TF_Tekniker,AO$4,TF_Dato,$A183))*2,0)/2)))</f>
        <v/>
      </c>
      <c r="AP183">
        <f>IF(OR(AP$4="",$A183&gt;TODAY()),0,IF(OR(INDEX($B183:$D183,AP$5)="F",AND(AP$6&gt;0,$A183&lt;AP$6),AND(AP$7&gt;0,$A183&gt;AP$7)),0,MAX(0,ROUND((INDEX($E183:$G183,AP$5)-SUMIFS(TF_Timer,TF_Tekniker,AP$4,TF_Dato,$A183))*2,0)/2)))</f>
        <v/>
      </c>
      <c r="AQ183">
        <f>IF(OR(AQ$4="",$A183&gt;TODAY()),0,IF(OR(INDEX($B183:$D183,AQ$5)="F",AND(AQ$6&gt;0,$A183&lt;AQ$6),AND(AQ$7&gt;0,$A183&gt;AQ$7)),0,MAX(0,ROUND((INDEX($E183:$G183,AQ$5)-SUMIFS(TF_Timer,TF_Tekniker,AQ$4,TF_Dato,$A183))*2,0)/2)))</f>
        <v/>
      </c>
      <c r="AR183">
        <f>IF(OR(AR$4="",$A183&gt;TODAY()),0,IF(OR(INDEX($B183:$D183,AR$5)="F",AND(AR$6&gt;0,$A183&lt;AR$6),AND(AR$7&gt;0,$A183&gt;AR$7)),0,MAX(0,ROUND((INDEX($E183:$G183,AR$5)-SUMIFS(TF_Timer,TF_Tekniker,AR$4,TF_Dato,$A183))*2,0)/2)))</f>
        <v/>
      </c>
      <c r="AS183">
        <f>IF(OR(AS$4="",$A183&gt;TODAY()),0,IF(OR(INDEX($B183:$D183,AS$5)="F",AND(AS$6&gt;0,$A183&lt;AS$6),AND(AS$7&gt;0,$A183&gt;AS$7)),0,MAX(0,ROUND((INDEX($E183:$G183,AS$5)-SUMIFS(TF_Timer,TF_Tekniker,AS$4,TF_Dato,$A183))*2,0)/2)))</f>
        <v/>
      </c>
      <c r="AT183">
        <f>IF(OR(AT$4="",$A183&gt;TODAY()),0,IF(OR(INDEX($B183:$D183,AT$5)="F",AND(AT$6&gt;0,$A183&lt;AT$6),AND(AT$7&gt;0,$A183&gt;AT$7)),0,MAX(0,ROUND((INDEX($E183:$G183,AT$5)-SUMIFS(TF_Timer,TF_Tekniker,AT$4,TF_Dato,$A183))*2,0)/2)))</f>
        <v/>
      </c>
      <c r="AU183">
        <f>IF(OR(AU$4="",$A183&gt;TODAY()),0,IF(OR(INDEX($B183:$D183,AU$5)="F",AND(AU$6&gt;0,$A183&lt;AU$6),AND(AU$7&gt;0,$A183&gt;AU$7)),0,MAX(0,ROUND((INDEX($E183:$G183,AU$5)-SUMIFS(TF_Timer,TF_Tekniker,AU$4,TF_Dato,$A183))*2,0)/2)))</f>
        <v/>
      </c>
      <c r="AV183">
        <f>IF(OR(AV$4="",$A183&gt;TODAY()),0,IF(OR(INDEX($B183:$D183,AV$5)="F",AND(AV$6&gt;0,$A183&lt;AV$6),AND(AV$7&gt;0,$A183&gt;AV$7)),0,MAX(0,ROUND((INDEX($E183:$G183,AV$5)-SUMIFS(TF_Timer,TF_Tekniker,AV$4,TF_Dato,$A183))*2,0)/2)))</f>
        <v/>
      </c>
      <c r="AW183">
        <f>IF(OR(AW$4="",$A183&gt;TODAY()),0,IF(OR(INDEX($B183:$D183,AW$5)="F",AND(AW$6&gt;0,$A183&lt;AW$6),AND(AW$7&gt;0,$A183&gt;AW$7)),0,MAX(0,ROUND((INDEX($E183:$G183,AW$5)-SUMIFS(TF_Timer,TF_Tekniker,AW$4,TF_Dato,$A183))*2,0)/2)))</f>
        <v/>
      </c>
      <c r="AX183">
        <f>IF(OR(AX$4="",$A183&gt;TODAY()),0,IF(OR(INDEX($B183:$D183,AX$5)="F",AND(AX$6&gt;0,$A183&lt;AX$6),AND(AX$7&gt;0,$A183&gt;AX$7)),0,MAX(0,ROUND((INDEX($E183:$G183,AX$5)-SUMIFS(TF_Timer,TF_Tekniker,AX$4,TF_Dato,$A183))*2,0)/2)))</f>
        <v/>
      </c>
      <c r="AY183">
        <f>IF(OR(AY$4="",$A183&gt;TODAY()),0,IF(OR(INDEX($B183:$D183,AY$5)="F",AND(AY$6&gt;0,$A183&lt;AY$6),AND(AY$7&gt;0,$A183&gt;AY$7)),0,MAX(0,ROUND((INDEX($E183:$G183,AY$5)-SUMIFS(TF_Timer,TF_Tekniker,AY$4,TF_Dato,$A183))*2,0)/2)))</f>
        <v/>
      </c>
      <c r="AZ183">
        <f>IF(OR(AZ$4="",$A183&gt;TODAY()),0,IF(OR(INDEX($B183:$D183,AZ$5)="F",AND(AZ$6&gt;0,$A183&lt;AZ$6),AND(AZ$7&gt;0,$A183&gt;AZ$7)),0,MAX(0,ROUND((INDEX($E183:$G183,AZ$5)-SUMIFS(TF_Timer,TF_Tekniker,AZ$4,TF_Dato,$A183))*2,0)/2)))</f>
        <v/>
      </c>
      <c r="BA183">
        <f>IF(OR(BA$4="",$A183&gt;TODAY()),0,IF(OR(INDEX($B183:$D183,BA$5)="F",AND(BA$6&gt;0,$A183&lt;BA$6),AND(BA$7&gt;0,$A183&gt;BA$7)),0,MAX(0,ROUND((INDEX($E183:$G183,BA$5)-SUMIFS(TF_Timer,TF_Tekniker,BA$4,TF_Dato,$A183))*2,0)/2)))</f>
        <v/>
      </c>
      <c r="BB183">
        <f>IF(OR(BB$4="",$A183&gt;TODAY()),0,IF(OR(INDEX($B183:$D183,BB$5)="F",AND(BB$6&gt;0,$A183&lt;BB$6),AND(BB$7&gt;0,$A183&gt;BB$7)),0,MAX(0,ROUND((INDEX($E183:$G183,BB$5)-SUMIFS(TF_Timer,TF_Tekniker,BB$4,TF_Dato,$A183))*2,0)/2)))</f>
        <v/>
      </c>
      <c r="BC183">
        <f>IF(OR(BC$4="",$A183&gt;TODAY()),0,IF(OR(INDEX($B183:$D183,BC$5)="F",AND(BC$6&gt;0,$A183&lt;BC$6),AND(BC$7&gt;0,$A183&gt;BC$7)),0,MAX(0,ROUND((INDEX($E183:$G183,BC$5)-SUMIFS(TF_Timer,TF_Tekniker,BC$4,TF_Dato,$A183))*2,0)/2)))</f>
        <v/>
      </c>
      <c r="BD183">
        <f>IF(OR(BD$4="",$A183&gt;TODAY()),0,IF(OR(INDEX($B183:$D183,BD$5)="F",AND(BD$6&gt;0,$A183&lt;BD$6),AND(BD$7&gt;0,$A183&gt;BD$7)),0,MAX(0,ROUND((INDEX($E183:$G183,BD$5)-SUMIFS(TF_Timer,TF_Tekniker,BD$4,TF_Dato,$A183))*2,0)/2)))</f>
        <v/>
      </c>
      <c r="BE183">
        <f>IF(OR(BE$4="",$A183&gt;TODAY()),0,IF(OR(INDEX($B183:$D183,BE$5)="F",AND(BE$6&gt;0,$A183&lt;BE$6),AND(BE$7&gt;0,$A183&gt;BE$7)),0,MAX(0,ROUND((INDEX($E183:$G183,BE$5)-SUMIFS(TF_Timer,TF_Tekniker,BE$4,TF_Dato,$A183))*2,0)/2)))</f>
        <v/>
      </c>
      <c r="BF183">
        <f>IF(OR(BF$4="",$A183&gt;TODAY()),0,IF(OR(INDEX($B183:$D183,BF$5)="F",AND(BF$6&gt;0,$A183&lt;BF$6),AND(BF$7&gt;0,$A183&gt;BF$7)),0,MAX(0,ROUND((INDEX($E183:$G183,BF$5)-SUMIFS(TF_Timer,TF_Tekniker,BF$4,TF_Dato,$A183))*2,0)/2)))</f>
        <v/>
      </c>
      <c r="BG183">
        <f>IF(OR(BG$4="",$A183&gt;TODAY()),0,IF(OR(INDEX($B183:$D183,BG$5)="F",AND(BG$6&gt;0,$A183&lt;BG$6),AND(BG$7&gt;0,$A183&gt;BG$7)),0,MAX(0,ROUND((INDEX($E183:$G183,BG$5)-SUMIFS(TF_Timer,TF_Tekniker,BG$4,TF_Dato,$A183))*2,0)/2)))</f>
        <v/>
      </c>
      <c r="BH183">
        <f>IF(OR(BH$4="",$A183&gt;TODAY()),0,IF(OR(INDEX($B183:$D183,BH$5)="F",AND(BH$6&gt;0,$A183&lt;BH$6),AND(BH$7&gt;0,$A183&gt;BH$7)),0,MAX(0,ROUND((INDEX($E183:$G183,BH$5)-SUMIFS(TF_Timer,TF_Tekniker,BH$4,TF_Dato,$A183))*2,0)/2)))</f>
        <v/>
      </c>
      <c r="BI183">
        <f>IF(OR(BI$4="",$A183&gt;TODAY()),0,IF(OR(INDEX($B183:$D183,BI$5)="F",AND(BI$6&gt;0,$A183&lt;BI$6),AND(BI$7&gt;0,$A183&gt;BI$7)),0,MAX(0,ROUND((INDEX($E183:$G183,BI$5)-SUMIFS(TF_Timer,TF_Tekniker,BI$4,TF_Dato,$A183))*2,0)/2)))</f>
        <v/>
      </c>
    </row>
    <row r="184">
      <c r="A184" s="64">
        <f>A183+1</f>
        <v/>
      </c>
      <c r="B184">
        <f>IF(MOD($A184-INDEX(SkiftStart,1),Syklus)&lt;DagK,"K",IF(MOD($A184-INDEX(SkiftStart,1),Syklus)&lt;DagK+DagH,"H",IF(MOD($A184-INDEX(SkiftStart,1),Syklus)&lt;DagK+DagH+DagD,"D","F")))</f>
        <v/>
      </c>
      <c r="C184">
        <f>IF(MOD($A184-INDEX(SkiftStart,2),Syklus)&lt;DagK,"K",IF(MOD($A184-INDEX(SkiftStart,2),Syklus)&lt;DagK+DagH,"H",IF(MOD($A184-INDEX(SkiftStart,2),Syklus)&lt;DagK+DagH+DagD,"D","F")))</f>
        <v/>
      </c>
      <c r="D184">
        <f>IF(MOD($A184-INDEX(SkiftStart,3),Syklus)&lt;DagK,"K",IF(MOD($A184-INDEX(SkiftStart,3),Syklus)&lt;DagK+DagH,"H",IF(MOD($A184-INDEX(SkiftStart,3),Syklus)&lt;DagK+DagH+DagD,"D","F")))</f>
        <v/>
      </c>
      <c r="E184">
        <f>IF(B184="F",0,IF(WEEKDAY($A184,2)=5,INDEX(TimerFr,MATCH(B184,FaseKode,0)),INDEX(TimerMT,MATCH(B184,FaseKode,0))))</f>
        <v/>
      </c>
      <c r="F184">
        <f>IF(C184="F",0,IF(WEEKDAY($A184,2)=5,INDEX(TimerFr,MATCH(C184,FaseKode,0)),INDEX(TimerMT,MATCH(C184,FaseKode,0))))</f>
        <v/>
      </c>
      <c r="G184">
        <f>IF(D184="F",0,IF(WEEKDAY($A184,2)=5,INDEX(TimerFr,MATCH(D184,FaseKode,0)),INDEX(TimerMT,MATCH(D184,FaseKode,0))))</f>
        <v/>
      </c>
      <c r="H184">
        <f>IF(OR(H$4="",$A184&gt;TODAY()),0,IF(OR(INDEX($B184:$D184,H$5)="F",AND(H$6&gt;0,$A184&lt;H$6),AND(H$7&gt;0,$A184&gt;H$7)),0,MAX(0,ROUND((INDEX($E184:$G184,H$5)-SUMIFS(TF_Timer,TF_Tekniker,H$4,TF_Dato,$A184))*2,0)/2)))</f>
        <v/>
      </c>
      <c r="I184">
        <f>IF(OR(I$4="",$A184&gt;TODAY()),0,IF(OR(INDEX($B184:$D184,I$5)="F",AND(I$6&gt;0,$A184&lt;I$6),AND(I$7&gt;0,$A184&gt;I$7)),0,MAX(0,ROUND((INDEX($E184:$G184,I$5)-SUMIFS(TF_Timer,TF_Tekniker,I$4,TF_Dato,$A184))*2,0)/2)))</f>
        <v/>
      </c>
      <c r="J184">
        <f>IF(OR(J$4="",$A184&gt;TODAY()),0,IF(OR(INDEX($B184:$D184,J$5)="F",AND(J$6&gt;0,$A184&lt;J$6),AND(J$7&gt;0,$A184&gt;J$7)),0,MAX(0,ROUND((INDEX($E184:$G184,J$5)-SUMIFS(TF_Timer,TF_Tekniker,J$4,TF_Dato,$A184))*2,0)/2)))</f>
        <v/>
      </c>
      <c r="K184">
        <f>IF(OR(K$4="",$A184&gt;TODAY()),0,IF(OR(INDEX($B184:$D184,K$5)="F",AND(K$6&gt;0,$A184&lt;K$6),AND(K$7&gt;0,$A184&gt;K$7)),0,MAX(0,ROUND((INDEX($E184:$G184,K$5)-SUMIFS(TF_Timer,TF_Tekniker,K$4,TF_Dato,$A184))*2,0)/2)))</f>
        <v/>
      </c>
      <c r="L184">
        <f>IF(OR(L$4="",$A184&gt;TODAY()),0,IF(OR(INDEX($B184:$D184,L$5)="F",AND(L$6&gt;0,$A184&lt;L$6),AND(L$7&gt;0,$A184&gt;L$7)),0,MAX(0,ROUND((INDEX($E184:$G184,L$5)-SUMIFS(TF_Timer,TF_Tekniker,L$4,TF_Dato,$A184))*2,0)/2)))</f>
        <v/>
      </c>
      <c r="M184">
        <f>IF(OR(M$4="",$A184&gt;TODAY()),0,IF(OR(INDEX($B184:$D184,M$5)="F",AND(M$6&gt;0,$A184&lt;M$6),AND(M$7&gt;0,$A184&gt;M$7)),0,MAX(0,ROUND((INDEX($E184:$G184,M$5)-SUMIFS(TF_Timer,TF_Tekniker,M$4,TF_Dato,$A184))*2,0)/2)))</f>
        <v/>
      </c>
      <c r="N184">
        <f>IF(OR(N$4="",$A184&gt;TODAY()),0,IF(OR(INDEX($B184:$D184,N$5)="F",AND(N$6&gt;0,$A184&lt;N$6),AND(N$7&gt;0,$A184&gt;N$7)),0,MAX(0,ROUND((INDEX($E184:$G184,N$5)-SUMIFS(TF_Timer,TF_Tekniker,N$4,TF_Dato,$A184))*2,0)/2)))</f>
        <v/>
      </c>
      <c r="O184">
        <f>IF(OR(O$4="",$A184&gt;TODAY()),0,IF(OR(INDEX($B184:$D184,O$5)="F",AND(O$6&gt;0,$A184&lt;O$6),AND(O$7&gt;0,$A184&gt;O$7)),0,MAX(0,ROUND((INDEX($E184:$G184,O$5)-SUMIFS(TF_Timer,TF_Tekniker,O$4,TF_Dato,$A184))*2,0)/2)))</f>
        <v/>
      </c>
      <c r="P184">
        <f>IF(OR(P$4="",$A184&gt;TODAY()),0,IF(OR(INDEX($B184:$D184,P$5)="F",AND(P$6&gt;0,$A184&lt;P$6),AND(P$7&gt;0,$A184&gt;P$7)),0,MAX(0,ROUND((INDEX($E184:$G184,P$5)-SUMIFS(TF_Timer,TF_Tekniker,P$4,TF_Dato,$A184))*2,0)/2)))</f>
        <v/>
      </c>
      <c r="Q184">
        <f>IF(OR(Q$4="",$A184&gt;TODAY()),0,IF(OR(INDEX($B184:$D184,Q$5)="F",AND(Q$6&gt;0,$A184&lt;Q$6),AND(Q$7&gt;0,$A184&gt;Q$7)),0,MAX(0,ROUND((INDEX($E184:$G184,Q$5)-SUMIFS(TF_Timer,TF_Tekniker,Q$4,TF_Dato,$A184))*2,0)/2)))</f>
        <v/>
      </c>
      <c r="R184">
        <f>IF(OR(R$4="",$A184&gt;TODAY()),0,IF(OR(INDEX($B184:$D184,R$5)="F",AND(R$6&gt;0,$A184&lt;R$6),AND(R$7&gt;0,$A184&gt;R$7)),0,MAX(0,ROUND((INDEX($E184:$G184,R$5)-SUMIFS(TF_Timer,TF_Tekniker,R$4,TF_Dato,$A184))*2,0)/2)))</f>
        <v/>
      </c>
      <c r="S184">
        <f>IF(OR(S$4="",$A184&gt;TODAY()),0,IF(OR(INDEX($B184:$D184,S$5)="F",AND(S$6&gt;0,$A184&lt;S$6),AND(S$7&gt;0,$A184&gt;S$7)),0,MAX(0,ROUND((INDEX($E184:$G184,S$5)-SUMIFS(TF_Timer,TF_Tekniker,S$4,TF_Dato,$A184))*2,0)/2)))</f>
        <v/>
      </c>
      <c r="T184">
        <f>IF(OR(T$4="",$A184&gt;TODAY()),0,IF(OR(INDEX($B184:$D184,T$5)="F",AND(T$6&gt;0,$A184&lt;T$6),AND(T$7&gt;0,$A184&gt;T$7)),0,MAX(0,ROUND((INDEX($E184:$G184,T$5)-SUMIFS(TF_Timer,TF_Tekniker,T$4,TF_Dato,$A184))*2,0)/2)))</f>
        <v/>
      </c>
      <c r="U184">
        <f>IF(OR(U$4="",$A184&gt;TODAY()),0,IF(OR(INDEX($B184:$D184,U$5)="F",AND(U$6&gt;0,$A184&lt;U$6),AND(U$7&gt;0,$A184&gt;U$7)),0,MAX(0,ROUND((INDEX($E184:$G184,U$5)-SUMIFS(TF_Timer,TF_Tekniker,U$4,TF_Dato,$A184))*2,0)/2)))</f>
        <v/>
      </c>
      <c r="V184">
        <f>IF(OR(V$4="",$A184&gt;TODAY()),0,IF(OR(INDEX($B184:$D184,V$5)="F",AND(V$6&gt;0,$A184&lt;V$6),AND(V$7&gt;0,$A184&gt;V$7)),0,MAX(0,ROUND((INDEX($E184:$G184,V$5)-SUMIFS(TF_Timer,TF_Tekniker,V$4,TF_Dato,$A184))*2,0)/2)))</f>
        <v/>
      </c>
      <c r="W184">
        <f>IF(OR(W$4="",$A184&gt;TODAY()),0,IF(OR(INDEX($B184:$D184,W$5)="F",AND(W$6&gt;0,$A184&lt;W$6),AND(W$7&gt;0,$A184&gt;W$7)),0,MAX(0,ROUND((INDEX($E184:$G184,W$5)-SUMIFS(TF_Timer,TF_Tekniker,W$4,TF_Dato,$A184))*2,0)/2)))</f>
        <v/>
      </c>
      <c r="X184">
        <f>IF(OR(X$4="",$A184&gt;TODAY()),0,IF(OR(INDEX($B184:$D184,X$5)="F",AND(X$6&gt;0,$A184&lt;X$6),AND(X$7&gt;0,$A184&gt;X$7)),0,MAX(0,ROUND((INDEX($E184:$G184,X$5)-SUMIFS(TF_Timer,TF_Tekniker,X$4,TF_Dato,$A184))*2,0)/2)))</f>
        <v/>
      </c>
      <c r="Y184">
        <f>IF(OR(Y$4="",$A184&gt;TODAY()),0,IF(OR(INDEX($B184:$D184,Y$5)="F",AND(Y$6&gt;0,$A184&lt;Y$6),AND(Y$7&gt;0,$A184&gt;Y$7)),0,MAX(0,ROUND((INDEX($E184:$G184,Y$5)-SUMIFS(TF_Timer,TF_Tekniker,Y$4,TF_Dato,$A184))*2,0)/2)))</f>
        <v/>
      </c>
      <c r="Z184">
        <f>IF(OR(Z$4="",$A184&gt;TODAY()),0,IF(OR(INDEX($B184:$D184,Z$5)="F",AND(Z$6&gt;0,$A184&lt;Z$6),AND(Z$7&gt;0,$A184&gt;Z$7)),0,MAX(0,ROUND((INDEX($E184:$G184,Z$5)-SUMIFS(TF_Timer,TF_Tekniker,Z$4,TF_Dato,$A184))*2,0)/2)))</f>
        <v/>
      </c>
      <c r="AA184">
        <f>IF(OR(AA$4="",$A184&gt;TODAY()),0,IF(OR(INDEX($B184:$D184,AA$5)="F",AND(AA$6&gt;0,$A184&lt;AA$6),AND(AA$7&gt;0,$A184&gt;AA$7)),0,MAX(0,ROUND((INDEX($E184:$G184,AA$5)-SUMIFS(TF_Timer,TF_Tekniker,AA$4,TF_Dato,$A184))*2,0)/2)))</f>
        <v/>
      </c>
      <c r="AB184">
        <f>IF(OR(AB$4="",$A184&gt;TODAY()),0,IF(OR(INDEX($B184:$D184,AB$5)="F",AND(AB$6&gt;0,$A184&lt;AB$6),AND(AB$7&gt;0,$A184&gt;AB$7)),0,MAX(0,ROUND((INDEX($E184:$G184,AB$5)-SUMIFS(TF_Timer,TF_Tekniker,AB$4,TF_Dato,$A184))*2,0)/2)))</f>
        <v/>
      </c>
      <c r="AC184">
        <f>IF(OR(AC$4="",$A184&gt;TODAY()),0,IF(OR(INDEX($B184:$D184,AC$5)="F",AND(AC$6&gt;0,$A184&lt;AC$6),AND(AC$7&gt;0,$A184&gt;AC$7)),0,MAX(0,ROUND((INDEX($E184:$G184,AC$5)-SUMIFS(TF_Timer,TF_Tekniker,AC$4,TF_Dato,$A184))*2,0)/2)))</f>
        <v/>
      </c>
      <c r="AD184">
        <f>IF(OR(AD$4="",$A184&gt;TODAY()),0,IF(OR(INDEX($B184:$D184,AD$5)="F",AND(AD$6&gt;0,$A184&lt;AD$6),AND(AD$7&gt;0,$A184&gt;AD$7)),0,MAX(0,ROUND((INDEX($E184:$G184,AD$5)-SUMIFS(TF_Timer,TF_Tekniker,AD$4,TF_Dato,$A184))*2,0)/2)))</f>
        <v/>
      </c>
      <c r="AE184">
        <f>IF(OR(AE$4="",$A184&gt;TODAY()),0,IF(OR(INDEX($B184:$D184,AE$5)="F",AND(AE$6&gt;0,$A184&lt;AE$6),AND(AE$7&gt;0,$A184&gt;AE$7)),0,MAX(0,ROUND((INDEX($E184:$G184,AE$5)-SUMIFS(TF_Timer,TF_Tekniker,AE$4,TF_Dato,$A184))*2,0)/2)))</f>
        <v/>
      </c>
      <c r="AF184">
        <f>IF(OR(AF$4="",$A184&gt;TODAY()),0,IF(OR(INDEX($B184:$D184,AF$5)="F",AND(AF$6&gt;0,$A184&lt;AF$6),AND(AF$7&gt;0,$A184&gt;AF$7)),0,MAX(0,ROUND((INDEX($E184:$G184,AF$5)-SUMIFS(TF_Timer,TF_Tekniker,AF$4,TF_Dato,$A184))*2,0)/2)))</f>
        <v/>
      </c>
      <c r="AG184">
        <f>IF(OR(AG$4="",$A184&gt;TODAY()),0,IF(OR(INDEX($B184:$D184,AG$5)="F",AND(AG$6&gt;0,$A184&lt;AG$6),AND(AG$7&gt;0,$A184&gt;AG$7)),0,MAX(0,ROUND((INDEX($E184:$G184,AG$5)-SUMIFS(TF_Timer,TF_Tekniker,AG$4,TF_Dato,$A184))*2,0)/2)))</f>
        <v/>
      </c>
      <c r="AH184">
        <f>IF(OR(AH$4="",$A184&gt;TODAY()),0,IF(OR(INDEX($B184:$D184,AH$5)="F",AND(AH$6&gt;0,$A184&lt;AH$6),AND(AH$7&gt;0,$A184&gt;AH$7)),0,MAX(0,ROUND((INDEX($E184:$G184,AH$5)-SUMIFS(TF_Timer,TF_Tekniker,AH$4,TF_Dato,$A184))*2,0)/2)))</f>
        <v/>
      </c>
      <c r="AI184">
        <f>IF(OR(AI$4="",$A184&gt;TODAY()),0,IF(OR(INDEX($B184:$D184,AI$5)="F",AND(AI$6&gt;0,$A184&lt;AI$6),AND(AI$7&gt;0,$A184&gt;AI$7)),0,MAX(0,ROUND((INDEX($E184:$G184,AI$5)-SUMIFS(TF_Timer,TF_Tekniker,AI$4,TF_Dato,$A184))*2,0)/2)))</f>
        <v/>
      </c>
      <c r="AJ184">
        <f>IF(OR(AJ$4="",$A184&gt;TODAY()),0,IF(OR(INDEX($B184:$D184,AJ$5)="F",AND(AJ$6&gt;0,$A184&lt;AJ$6),AND(AJ$7&gt;0,$A184&gt;AJ$7)),0,MAX(0,ROUND((INDEX($E184:$G184,AJ$5)-SUMIFS(TF_Timer,TF_Tekniker,AJ$4,TF_Dato,$A184))*2,0)/2)))</f>
        <v/>
      </c>
      <c r="AK184">
        <f>IF(OR(AK$4="",$A184&gt;TODAY()),0,IF(OR(INDEX($B184:$D184,AK$5)="F",AND(AK$6&gt;0,$A184&lt;AK$6),AND(AK$7&gt;0,$A184&gt;AK$7)),0,MAX(0,ROUND((INDEX($E184:$G184,AK$5)-SUMIFS(TF_Timer,TF_Tekniker,AK$4,TF_Dato,$A184))*2,0)/2)))</f>
        <v/>
      </c>
      <c r="AL184">
        <f>IF(OR(AL$4="",$A184&gt;TODAY()),0,IF(OR(INDEX($B184:$D184,AL$5)="F",AND(AL$6&gt;0,$A184&lt;AL$6),AND(AL$7&gt;0,$A184&gt;AL$7)),0,MAX(0,ROUND((INDEX($E184:$G184,AL$5)-SUMIFS(TF_Timer,TF_Tekniker,AL$4,TF_Dato,$A184))*2,0)/2)))</f>
        <v/>
      </c>
      <c r="AM184">
        <f>IF(OR(AM$4="",$A184&gt;TODAY()),0,IF(OR(INDEX($B184:$D184,AM$5)="F",AND(AM$6&gt;0,$A184&lt;AM$6),AND(AM$7&gt;0,$A184&gt;AM$7)),0,MAX(0,ROUND((INDEX($E184:$G184,AM$5)-SUMIFS(TF_Timer,TF_Tekniker,AM$4,TF_Dato,$A184))*2,0)/2)))</f>
        <v/>
      </c>
      <c r="AN184">
        <f>IF(OR(AN$4="",$A184&gt;TODAY()),0,IF(OR(INDEX($B184:$D184,AN$5)="F",AND(AN$6&gt;0,$A184&lt;AN$6),AND(AN$7&gt;0,$A184&gt;AN$7)),0,MAX(0,ROUND((INDEX($E184:$G184,AN$5)-SUMIFS(TF_Timer,TF_Tekniker,AN$4,TF_Dato,$A184))*2,0)/2)))</f>
        <v/>
      </c>
      <c r="AO184">
        <f>IF(OR(AO$4="",$A184&gt;TODAY()),0,IF(OR(INDEX($B184:$D184,AO$5)="F",AND(AO$6&gt;0,$A184&lt;AO$6),AND(AO$7&gt;0,$A184&gt;AO$7)),0,MAX(0,ROUND((INDEX($E184:$G184,AO$5)-SUMIFS(TF_Timer,TF_Tekniker,AO$4,TF_Dato,$A184))*2,0)/2)))</f>
        <v/>
      </c>
      <c r="AP184">
        <f>IF(OR(AP$4="",$A184&gt;TODAY()),0,IF(OR(INDEX($B184:$D184,AP$5)="F",AND(AP$6&gt;0,$A184&lt;AP$6),AND(AP$7&gt;0,$A184&gt;AP$7)),0,MAX(0,ROUND((INDEX($E184:$G184,AP$5)-SUMIFS(TF_Timer,TF_Tekniker,AP$4,TF_Dato,$A184))*2,0)/2)))</f>
        <v/>
      </c>
      <c r="AQ184">
        <f>IF(OR(AQ$4="",$A184&gt;TODAY()),0,IF(OR(INDEX($B184:$D184,AQ$5)="F",AND(AQ$6&gt;0,$A184&lt;AQ$6),AND(AQ$7&gt;0,$A184&gt;AQ$7)),0,MAX(0,ROUND((INDEX($E184:$G184,AQ$5)-SUMIFS(TF_Timer,TF_Tekniker,AQ$4,TF_Dato,$A184))*2,0)/2)))</f>
        <v/>
      </c>
      <c r="AR184">
        <f>IF(OR(AR$4="",$A184&gt;TODAY()),0,IF(OR(INDEX($B184:$D184,AR$5)="F",AND(AR$6&gt;0,$A184&lt;AR$6),AND(AR$7&gt;0,$A184&gt;AR$7)),0,MAX(0,ROUND((INDEX($E184:$G184,AR$5)-SUMIFS(TF_Timer,TF_Tekniker,AR$4,TF_Dato,$A184))*2,0)/2)))</f>
        <v/>
      </c>
      <c r="AS184">
        <f>IF(OR(AS$4="",$A184&gt;TODAY()),0,IF(OR(INDEX($B184:$D184,AS$5)="F",AND(AS$6&gt;0,$A184&lt;AS$6),AND(AS$7&gt;0,$A184&gt;AS$7)),0,MAX(0,ROUND((INDEX($E184:$G184,AS$5)-SUMIFS(TF_Timer,TF_Tekniker,AS$4,TF_Dato,$A184))*2,0)/2)))</f>
        <v/>
      </c>
      <c r="AT184">
        <f>IF(OR(AT$4="",$A184&gt;TODAY()),0,IF(OR(INDEX($B184:$D184,AT$5)="F",AND(AT$6&gt;0,$A184&lt;AT$6),AND(AT$7&gt;0,$A184&gt;AT$7)),0,MAX(0,ROUND((INDEX($E184:$G184,AT$5)-SUMIFS(TF_Timer,TF_Tekniker,AT$4,TF_Dato,$A184))*2,0)/2)))</f>
        <v/>
      </c>
      <c r="AU184">
        <f>IF(OR(AU$4="",$A184&gt;TODAY()),0,IF(OR(INDEX($B184:$D184,AU$5)="F",AND(AU$6&gt;0,$A184&lt;AU$6),AND(AU$7&gt;0,$A184&gt;AU$7)),0,MAX(0,ROUND((INDEX($E184:$G184,AU$5)-SUMIFS(TF_Timer,TF_Tekniker,AU$4,TF_Dato,$A184))*2,0)/2)))</f>
        <v/>
      </c>
      <c r="AV184">
        <f>IF(OR(AV$4="",$A184&gt;TODAY()),0,IF(OR(INDEX($B184:$D184,AV$5)="F",AND(AV$6&gt;0,$A184&lt;AV$6),AND(AV$7&gt;0,$A184&gt;AV$7)),0,MAX(0,ROUND((INDEX($E184:$G184,AV$5)-SUMIFS(TF_Timer,TF_Tekniker,AV$4,TF_Dato,$A184))*2,0)/2)))</f>
        <v/>
      </c>
      <c r="AW184">
        <f>IF(OR(AW$4="",$A184&gt;TODAY()),0,IF(OR(INDEX($B184:$D184,AW$5)="F",AND(AW$6&gt;0,$A184&lt;AW$6),AND(AW$7&gt;0,$A184&gt;AW$7)),0,MAX(0,ROUND((INDEX($E184:$G184,AW$5)-SUMIFS(TF_Timer,TF_Tekniker,AW$4,TF_Dato,$A184))*2,0)/2)))</f>
        <v/>
      </c>
      <c r="AX184">
        <f>IF(OR(AX$4="",$A184&gt;TODAY()),0,IF(OR(INDEX($B184:$D184,AX$5)="F",AND(AX$6&gt;0,$A184&lt;AX$6),AND(AX$7&gt;0,$A184&gt;AX$7)),0,MAX(0,ROUND((INDEX($E184:$G184,AX$5)-SUMIFS(TF_Timer,TF_Tekniker,AX$4,TF_Dato,$A184))*2,0)/2)))</f>
        <v/>
      </c>
      <c r="AY184">
        <f>IF(OR(AY$4="",$A184&gt;TODAY()),0,IF(OR(INDEX($B184:$D184,AY$5)="F",AND(AY$6&gt;0,$A184&lt;AY$6),AND(AY$7&gt;0,$A184&gt;AY$7)),0,MAX(0,ROUND((INDEX($E184:$G184,AY$5)-SUMIFS(TF_Timer,TF_Tekniker,AY$4,TF_Dato,$A184))*2,0)/2)))</f>
        <v/>
      </c>
      <c r="AZ184">
        <f>IF(OR(AZ$4="",$A184&gt;TODAY()),0,IF(OR(INDEX($B184:$D184,AZ$5)="F",AND(AZ$6&gt;0,$A184&lt;AZ$6),AND(AZ$7&gt;0,$A184&gt;AZ$7)),0,MAX(0,ROUND((INDEX($E184:$G184,AZ$5)-SUMIFS(TF_Timer,TF_Tekniker,AZ$4,TF_Dato,$A184))*2,0)/2)))</f>
        <v/>
      </c>
      <c r="BA184">
        <f>IF(OR(BA$4="",$A184&gt;TODAY()),0,IF(OR(INDEX($B184:$D184,BA$5)="F",AND(BA$6&gt;0,$A184&lt;BA$6),AND(BA$7&gt;0,$A184&gt;BA$7)),0,MAX(0,ROUND((INDEX($E184:$G184,BA$5)-SUMIFS(TF_Timer,TF_Tekniker,BA$4,TF_Dato,$A184))*2,0)/2)))</f>
        <v/>
      </c>
      <c r="BB184">
        <f>IF(OR(BB$4="",$A184&gt;TODAY()),0,IF(OR(INDEX($B184:$D184,BB$5)="F",AND(BB$6&gt;0,$A184&lt;BB$6),AND(BB$7&gt;0,$A184&gt;BB$7)),0,MAX(0,ROUND((INDEX($E184:$G184,BB$5)-SUMIFS(TF_Timer,TF_Tekniker,BB$4,TF_Dato,$A184))*2,0)/2)))</f>
        <v/>
      </c>
      <c r="BC184">
        <f>IF(OR(BC$4="",$A184&gt;TODAY()),0,IF(OR(INDEX($B184:$D184,BC$5)="F",AND(BC$6&gt;0,$A184&lt;BC$6),AND(BC$7&gt;0,$A184&gt;BC$7)),0,MAX(0,ROUND((INDEX($E184:$G184,BC$5)-SUMIFS(TF_Timer,TF_Tekniker,BC$4,TF_Dato,$A184))*2,0)/2)))</f>
        <v/>
      </c>
      <c r="BD184">
        <f>IF(OR(BD$4="",$A184&gt;TODAY()),0,IF(OR(INDEX($B184:$D184,BD$5)="F",AND(BD$6&gt;0,$A184&lt;BD$6),AND(BD$7&gt;0,$A184&gt;BD$7)),0,MAX(0,ROUND((INDEX($E184:$G184,BD$5)-SUMIFS(TF_Timer,TF_Tekniker,BD$4,TF_Dato,$A184))*2,0)/2)))</f>
        <v/>
      </c>
      <c r="BE184">
        <f>IF(OR(BE$4="",$A184&gt;TODAY()),0,IF(OR(INDEX($B184:$D184,BE$5)="F",AND(BE$6&gt;0,$A184&lt;BE$6),AND(BE$7&gt;0,$A184&gt;BE$7)),0,MAX(0,ROUND((INDEX($E184:$G184,BE$5)-SUMIFS(TF_Timer,TF_Tekniker,BE$4,TF_Dato,$A184))*2,0)/2)))</f>
        <v/>
      </c>
      <c r="BF184">
        <f>IF(OR(BF$4="",$A184&gt;TODAY()),0,IF(OR(INDEX($B184:$D184,BF$5)="F",AND(BF$6&gt;0,$A184&lt;BF$6),AND(BF$7&gt;0,$A184&gt;BF$7)),0,MAX(0,ROUND((INDEX($E184:$G184,BF$5)-SUMIFS(TF_Timer,TF_Tekniker,BF$4,TF_Dato,$A184))*2,0)/2)))</f>
        <v/>
      </c>
      <c r="BG184">
        <f>IF(OR(BG$4="",$A184&gt;TODAY()),0,IF(OR(INDEX($B184:$D184,BG$5)="F",AND(BG$6&gt;0,$A184&lt;BG$6),AND(BG$7&gt;0,$A184&gt;BG$7)),0,MAX(0,ROUND((INDEX($E184:$G184,BG$5)-SUMIFS(TF_Timer,TF_Tekniker,BG$4,TF_Dato,$A184))*2,0)/2)))</f>
        <v/>
      </c>
      <c r="BH184">
        <f>IF(OR(BH$4="",$A184&gt;TODAY()),0,IF(OR(INDEX($B184:$D184,BH$5)="F",AND(BH$6&gt;0,$A184&lt;BH$6),AND(BH$7&gt;0,$A184&gt;BH$7)),0,MAX(0,ROUND((INDEX($E184:$G184,BH$5)-SUMIFS(TF_Timer,TF_Tekniker,BH$4,TF_Dato,$A184))*2,0)/2)))</f>
        <v/>
      </c>
      <c r="BI184">
        <f>IF(OR(BI$4="",$A184&gt;TODAY()),0,IF(OR(INDEX($B184:$D184,BI$5)="F",AND(BI$6&gt;0,$A184&lt;BI$6),AND(BI$7&gt;0,$A184&gt;BI$7)),0,MAX(0,ROUND((INDEX($E184:$G184,BI$5)-SUMIFS(TF_Timer,TF_Tekniker,BI$4,TF_Dato,$A184))*2,0)/2)))</f>
        <v/>
      </c>
    </row>
    <row r="185">
      <c r="A185" s="64">
        <f>A184+1</f>
        <v/>
      </c>
      <c r="B185">
        <f>IF(MOD($A185-INDEX(SkiftStart,1),Syklus)&lt;DagK,"K",IF(MOD($A185-INDEX(SkiftStart,1),Syklus)&lt;DagK+DagH,"H",IF(MOD($A185-INDEX(SkiftStart,1),Syklus)&lt;DagK+DagH+DagD,"D","F")))</f>
        <v/>
      </c>
      <c r="C185">
        <f>IF(MOD($A185-INDEX(SkiftStart,2),Syklus)&lt;DagK,"K",IF(MOD($A185-INDEX(SkiftStart,2),Syklus)&lt;DagK+DagH,"H",IF(MOD($A185-INDEX(SkiftStart,2),Syklus)&lt;DagK+DagH+DagD,"D","F")))</f>
        <v/>
      </c>
      <c r="D185">
        <f>IF(MOD($A185-INDEX(SkiftStart,3),Syklus)&lt;DagK,"K",IF(MOD($A185-INDEX(SkiftStart,3),Syklus)&lt;DagK+DagH,"H",IF(MOD($A185-INDEX(SkiftStart,3),Syklus)&lt;DagK+DagH+DagD,"D","F")))</f>
        <v/>
      </c>
      <c r="E185">
        <f>IF(B185="F",0,IF(WEEKDAY($A185,2)=5,INDEX(TimerFr,MATCH(B185,FaseKode,0)),INDEX(TimerMT,MATCH(B185,FaseKode,0))))</f>
        <v/>
      </c>
      <c r="F185">
        <f>IF(C185="F",0,IF(WEEKDAY($A185,2)=5,INDEX(TimerFr,MATCH(C185,FaseKode,0)),INDEX(TimerMT,MATCH(C185,FaseKode,0))))</f>
        <v/>
      </c>
      <c r="G185">
        <f>IF(D185="F",0,IF(WEEKDAY($A185,2)=5,INDEX(TimerFr,MATCH(D185,FaseKode,0)),INDEX(TimerMT,MATCH(D185,FaseKode,0))))</f>
        <v/>
      </c>
      <c r="H185">
        <f>IF(OR(H$4="",$A185&gt;TODAY()),0,IF(OR(INDEX($B185:$D185,H$5)="F",AND(H$6&gt;0,$A185&lt;H$6),AND(H$7&gt;0,$A185&gt;H$7)),0,MAX(0,ROUND((INDEX($E185:$G185,H$5)-SUMIFS(TF_Timer,TF_Tekniker,H$4,TF_Dato,$A185))*2,0)/2)))</f>
        <v/>
      </c>
      <c r="I185">
        <f>IF(OR(I$4="",$A185&gt;TODAY()),0,IF(OR(INDEX($B185:$D185,I$5)="F",AND(I$6&gt;0,$A185&lt;I$6),AND(I$7&gt;0,$A185&gt;I$7)),0,MAX(0,ROUND((INDEX($E185:$G185,I$5)-SUMIFS(TF_Timer,TF_Tekniker,I$4,TF_Dato,$A185))*2,0)/2)))</f>
        <v/>
      </c>
      <c r="J185">
        <f>IF(OR(J$4="",$A185&gt;TODAY()),0,IF(OR(INDEX($B185:$D185,J$5)="F",AND(J$6&gt;0,$A185&lt;J$6),AND(J$7&gt;0,$A185&gt;J$7)),0,MAX(0,ROUND((INDEX($E185:$G185,J$5)-SUMIFS(TF_Timer,TF_Tekniker,J$4,TF_Dato,$A185))*2,0)/2)))</f>
        <v/>
      </c>
      <c r="K185">
        <f>IF(OR(K$4="",$A185&gt;TODAY()),0,IF(OR(INDEX($B185:$D185,K$5)="F",AND(K$6&gt;0,$A185&lt;K$6),AND(K$7&gt;0,$A185&gt;K$7)),0,MAX(0,ROUND((INDEX($E185:$G185,K$5)-SUMIFS(TF_Timer,TF_Tekniker,K$4,TF_Dato,$A185))*2,0)/2)))</f>
        <v/>
      </c>
      <c r="L185">
        <f>IF(OR(L$4="",$A185&gt;TODAY()),0,IF(OR(INDEX($B185:$D185,L$5)="F",AND(L$6&gt;0,$A185&lt;L$6),AND(L$7&gt;0,$A185&gt;L$7)),0,MAX(0,ROUND((INDEX($E185:$G185,L$5)-SUMIFS(TF_Timer,TF_Tekniker,L$4,TF_Dato,$A185))*2,0)/2)))</f>
        <v/>
      </c>
      <c r="M185">
        <f>IF(OR(M$4="",$A185&gt;TODAY()),0,IF(OR(INDEX($B185:$D185,M$5)="F",AND(M$6&gt;0,$A185&lt;M$6),AND(M$7&gt;0,$A185&gt;M$7)),0,MAX(0,ROUND((INDEX($E185:$G185,M$5)-SUMIFS(TF_Timer,TF_Tekniker,M$4,TF_Dato,$A185))*2,0)/2)))</f>
        <v/>
      </c>
      <c r="N185">
        <f>IF(OR(N$4="",$A185&gt;TODAY()),0,IF(OR(INDEX($B185:$D185,N$5)="F",AND(N$6&gt;0,$A185&lt;N$6),AND(N$7&gt;0,$A185&gt;N$7)),0,MAX(0,ROUND((INDEX($E185:$G185,N$5)-SUMIFS(TF_Timer,TF_Tekniker,N$4,TF_Dato,$A185))*2,0)/2)))</f>
        <v/>
      </c>
      <c r="O185">
        <f>IF(OR(O$4="",$A185&gt;TODAY()),0,IF(OR(INDEX($B185:$D185,O$5)="F",AND(O$6&gt;0,$A185&lt;O$6),AND(O$7&gt;0,$A185&gt;O$7)),0,MAX(0,ROUND((INDEX($E185:$G185,O$5)-SUMIFS(TF_Timer,TF_Tekniker,O$4,TF_Dato,$A185))*2,0)/2)))</f>
        <v/>
      </c>
      <c r="P185">
        <f>IF(OR(P$4="",$A185&gt;TODAY()),0,IF(OR(INDEX($B185:$D185,P$5)="F",AND(P$6&gt;0,$A185&lt;P$6),AND(P$7&gt;0,$A185&gt;P$7)),0,MAX(0,ROUND((INDEX($E185:$G185,P$5)-SUMIFS(TF_Timer,TF_Tekniker,P$4,TF_Dato,$A185))*2,0)/2)))</f>
        <v/>
      </c>
      <c r="Q185">
        <f>IF(OR(Q$4="",$A185&gt;TODAY()),0,IF(OR(INDEX($B185:$D185,Q$5)="F",AND(Q$6&gt;0,$A185&lt;Q$6),AND(Q$7&gt;0,$A185&gt;Q$7)),0,MAX(0,ROUND((INDEX($E185:$G185,Q$5)-SUMIFS(TF_Timer,TF_Tekniker,Q$4,TF_Dato,$A185))*2,0)/2)))</f>
        <v/>
      </c>
      <c r="R185">
        <f>IF(OR(R$4="",$A185&gt;TODAY()),0,IF(OR(INDEX($B185:$D185,R$5)="F",AND(R$6&gt;0,$A185&lt;R$6),AND(R$7&gt;0,$A185&gt;R$7)),0,MAX(0,ROUND((INDEX($E185:$G185,R$5)-SUMIFS(TF_Timer,TF_Tekniker,R$4,TF_Dato,$A185))*2,0)/2)))</f>
        <v/>
      </c>
      <c r="S185">
        <f>IF(OR(S$4="",$A185&gt;TODAY()),0,IF(OR(INDEX($B185:$D185,S$5)="F",AND(S$6&gt;0,$A185&lt;S$6),AND(S$7&gt;0,$A185&gt;S$7)),0,MAX(0,ROUND((INDEX($E185:$G185,S$5)-SUMIFS(TF_Timer,TF_Tekniker,S$4,TF_Dato,$A185))*2,0)/2)))</f>
        <v/>
      </c>
      <c r="T185">
        <f>IF(OR(T$4="",$A185&gt;TODAY()),0,IF(OR(INDEX($B185:$D185,T$5)="F",AND(T$6&gt;0,$A185&lt;T$6),AND(T$7&gt;0,$A185&gt;T$7)),0,MAX(0,ROUND((INDEX($E185:$G185,T$5)-SUMIFS(TF_Timer,TF_Tekniker,T$4,TF_Dato,$A185))*2,0)/2)))</f>
        <v/>
      </c>
      <c r="U185">
        <f>IF(OR(U$4="",$A185&gt;TODAY()),0,IF(OR(INDEX($B185:$D185,U$5)="F",AND(U$6&gt;0,$A185&lt;U$6),AND(U$7&gt;0,$A185&gt;U$7)),0,MAX(0,ROUND((INDEX($E185:$G185,U$5)-SUMIFS(TF_Timer,TF_Tekniker,U$4,TF_Dato,$A185))*2,0)/2)))</f>
        <v/>
      </c>
      <c r="V185">
        <f>IF(OR(V$4="",$A185&gt;TODAY()),0,IF(OR(INDEX($B185:$D185,V$5)="F",AND(V$6&gt;0,$A185&lt;V$6),AND(V$7&gt;0,$A185&gt;V$7)),0,MAX(0,ROUND((INDEX($E185:$G185,V$5)-SUMIFS(TF_Timer,TF_Tekniker,V$4,TF_Dato,$A185))*2,0)/2)))</f>
        <v/>
      </c>
      <c r="W185">
        <f>IF(OR(W$4="",$A185&gt;TODAY()),0,IF(OR(INDEX($B185:$D185,W$5)="F",AND(W$6&gt;0,$A185&lt;W$6),AND(W$7&gt;0,$A185&gt;W$7)),0,MAX(0,ROUND((INDEX($E185:$G185,W$5)-SUMIFS(TF_Timer,TF_Tekniker,W$4,TF_Dato,$A185))*2,0)/2)))</f>
        <v/>
      </c>
      <c r="X185">
        <f>IF(OR(X$4="",$A185&gt;TODAY()),0,IF(OR(INDEX($B185:$D185,X$5)="F",AND(X$6&gt;0,$A185&lt;X$6),AND(X$7&gt;0,$A185&gt;X$7)),0,MAX(0,ROUND((INDEX($E185:$G185,X$5)-SUMIFS(TF_Timer,TF_Tekniker,X$4,TF_Dato,$A185))*2,0)/2)))</f>
        <v/>
      </c>
      <c r="Y185">
        <f>IF(OR(Y$4="",$A185&gt;TODAY()),0,IF(OR(INDEX($B185:$D185,Y$5)="F",AND(Y$6&gt;0,$A185&lt;Y$6),AND(Y$7&gt;0,$A185&gt;Y$7)),0,MAX(0,ROUND((INDEX($E185:$G185,Y$5)-SUMIFS(TF_Timer,TF_Tekniker,Y$4,TF_Dato,$A185))*2,0)/2)))</f>
        <v/>
      </c>
      <c r="Z185">
        <f>IF(OR(Z$4="",$A185&gt;TODAY()),0,IF(OR(INDEX($B185:$D185,Z$5)="F",AND(Z$6&gt;0,$A185&lt;Z$6),AND(Z$7&gt;0,$A185&gt;Z$7)),0,MAX(0,ROUND((INDEX($E185:$G185,Z$5)-SUMIFS(TF_Timer,TF_Tekniker,Z$4,TF_Dato,$A185))*2,0)/2)))</f>
        <v/>
      </c>
      <c r="AA185">
        <f>IF(OR(AA$4="",$A185&gt;TODAY()),0,IF(OR(INDEX($B185:$D185,AA$5)="F",AND(AA$6&gt;0,$A185&lt;AA$6),AND(AA$7&gt;0,$A185&gt;AA$7)),0,MAX(0,ROUND((INDEX($E185:$G185,AA$5)-SUMIFS(TF_Timer,TF_Tekniker,AA$4,TF_Dato,$A185))*2,0)/2)))</f>
        <v/>
      </c>
      <c r="AB185">
        <f>IF(OR(AB$4="",$A185&gt;TODAY()),0,IF(OR(INDEX($B185:$D185,AB$5)="F",AND(AB$6&gt;0,$A185&lt;AB$6),AND(AB$7&gt;0,$A185&gt;AB$7)),0,MAX(0,ROUND((INDEX($E185:$G185,AB$5)-SUMIFS(TF_Timer,TF_Tekniker,AB$4,TF_Dato,$A185))*2,0)/2)))</f>
        <v/>
      </c>
      <c r="AC185">
        <f>IF(OR(AC$4="",$A185&gt;TODAY()),0,IF(OR(INDEX($B185:$D185,AC$5)="F",AND(AC$6&gt;0,$A185&lt;AC$6),AND(AC$7&gt;0,$A185&gt;AC$7)),0,MAX(0,ROUND((INDEX($E185:$G185,AC$5)-SUMIFS(TF_Timer,TF_Tekniker,AC$4,TF_Dato,$A185))*2,0)/2)))</f>
        <v/>
      </c>
      <c r="AD185">
        <f>IF(OR(AD$4="",$A185&gt;TODAY()),0,IF(OR(INDEX($B185:$D185,AD$5)="F",AND(AD$6&gt;0,$A185&lt;AD$6),AND(AD$7&gt;0,$A185&gt;AD$7)),0,MAX(0,ROUND((INDEX($E185:$G185,AD$5)-SUMIFS(TF_Timer,TF_Tekniker,AD$4,TF_Dato,$A185))*2,0)/2)))</f>
        <v/>
      </c>
      <c r="AE185">
        <f>IF(OR(AE$4="",$A185&gt;TODAY()),0,IF(OR(INDEX($B185:$D185,AE$5)="F",AND(AE$6&gt;0,$A185&lt;AE$6),AND(AE$7&gt;0,$A185&gt;AE$7)),0,MAX(0,ROUND((INDEX($E185:$G185,AE$5)-SUMIFS(TF_Timer,TF_Tekniker,AE$4,TF_Dato,$A185))*2,0)/2)))</f>
        <v/>
      </c>
      <c r="AF185">
        <f>IF(OR(AF$4="",$A185&gt;TODAY()),0,IF(OR(INDEX($B185:$D185,AF$5)="F",AND(AF$6&gt;0,$A185&lt;AF$6),AND(AF$7&gt;0,$A185&gt;AF$7)),0,MAX(0,ROUND((INDEX($E185:$G185,AF$5)-SUMIFS(TF_Timer,TF_Tekniker,AF$4,TF_Dato,$A185))*2,0)/2)))</f>
        <v/>
      </c>
      <c r="AG185">
        <f>IF(OR(AG$4="",$A185&gt;TODAY()),0,IF(OR(INDEX($B185:$D185,AG$5)="F",AND(AG$6&gt;0,$A185&lt;AG$6),AND(AG$7&gt;0,$A185&gt;AG$7)),0,MAX(0,ROUND((INDEX($E185:$G185,AG$5)-SUMIFS(TF_Timer,TF_Tekniker,AG$4,TF_Dato,$A185))*2,0)/2)))</f>
        <v/>
      </c>
      <c r="AH185">
        <f>IF(OR(AH$4="",$A185&gt;TODAY()),0,IF(OR(INDEX($B185:$D185,AH$5)="F",AND(AH$6&gt;0,$A185&lt;AH$6),AND(AH$7&gt;0,$A185&gt;AH$7)),0,MAX(0,ROUND((INDEX($E185:$G185,AH$5)-SUMIFS(TF_Timer,TF_Tekniker,AH$4,TF_Dato,$A185))*2,0)/2)))</f>
        <v/>
      </c>
      <c r="AI185">
        <f>IF(OR(AI$4="",$A185&gt;TODAY()),0,IF(OR(INDEX($B185:$D185,AI$5)="F",AND(AI$6&gt;0,$A185&lt;AI$6),AND(AI$7&gt;0,$A185&gt;AI$7)),0,MAX(0,ROUND((INDEX($E185:$G185,AI$5)-SUMIFS(TF_Timer,TF_Tekniker,AI$4,TF_Dato,$A185))*2,0)/2)))</f>
        <v/>
      </c>
      <c r="AJ185">
        <f>IF(OR(AJ$4="",$A185&gt;TODAY()),0,IF(OR(INDEX($B185:$D185,AJ$5)="F",AND(AJ$6&gt;0,$A185&lt;AJ$6),AND(AJ$7&gt;0,$A185&gt;AJ$7)),0,MAX(0,ROUND((INDEX($E185:$G185,AJ$5)-SUMIFS(TF_Timer,TF_Tekniker,AJ$4,TF_Dato,$A185))*2,0)/2)))</f>
        <v/>
      </c>
      <c r="AK185">
        <f>IF(OR(AK$4="",$A185&gt;TODAY()),0,IF(OR(INDEX($B185:$D185,AK$5)="F",AND(AK$6&gt;0,$A185&lt;AK$6),AND(AK$7&gt;0,$A185&gt;AK$7)),0,MAX(0,ROUND((INDEX($E185:$G185,AK$5)-SUMIFS(TF_Timer,TF_Tekniker,AK$4,TF_Dato,$A185))*2,0)/2)))</f>
        <v/>
      </c>
      <c r="AL185">
        <f>IF(OR(AL$4="",$A185&gt;TODAY()),0,IF(OR(INDEX($B185:$D185,AL$5)="F",AND(AL$6&gt;0,$A185&lt;AL$6),AND(AL$7&gt;0,$A185&gt;AL$7)),0,MAX(0,ROUND((INDEX($E185:$G185,AL$5)-SUMIFS(TF_Timer,TF_Tekniker,AL$4,TF_Dato,$A185))*2,0)/2)))</f>
        <v/>
      </c>
      <c r="AM185">
        <f>IF(OR(AM$4="",$A185&gt;TODAY()),0,IF(OR(INDEX($B185:$D185,AM$5)="F",AND(AM$6&gt;0,$A185&lt;AM$6),AND(AM$7&gt;0,$A185&gt;AM$7)),0,MAX(0,ROUND((INDEX($E185:$G185,AM$5)-SUMIFS(TF_Timer,TF_Tekniker,AM$4,TF_Dato,$A185))*2,0)/2)))</f>
        <v/>
      </c>
      <c r="AN185">
        <f>IF(OR(AN$4="",$A185&gt;TODAY()),0,IF(OR(INDEX($B185:$D185,AN$5)="F",AND(AN$6&gt;0,$A185&lt;AN$6),AND(AN$7&gt;0,$A185&gt;AN$7)),0,MAX(0,ROUND((INDEX($E185:$G185,AN$5)-SUMIFS(TF_Timer,TF_Tekniker,AN$4,TF_Dato,$A185))*2,0)/2)))</f>
        <v/>
      </c>
      <c r="AO185">
        <f>IF(OR(AO$4="",$A185&gt;TODAY()),0,IF(OR(INDEX($B185:$D185,AO$5)="F",AND(AO$6&gt;0,$A185&lt;AO$6),AND(AO$7&gt;0,$A185&gt;AO$7)),0,MAX(0,ROUND((INDEX($E185:$G185,AO$5)-SUMIFS(TF_Timer,TF_Tekniker,AO$4,TF_Dato,$A185))*2,0)/2)))</f>
        <v/>
      </c>
      <c r="AP185">
        <f>IF(OR(AP$4="",$A185&gt;TODAY()),0,IF(OR(INDEX($B185:$D185,AP$5)="F",AND(AP$6&gt;0,$A185&lt;AP$6),AND(AP$7&gt;0,$A185&gt;AP$7)),0,MAX(0,ROUND((INDEX($E185:$G185,AP$5)-SUMIFS(TF_Timer,TF_Tekniker,AP$4,TF_Dato,$A185))*2,0)/2)))</f>
        <v/>
      </c>
      <c r="AQ185">
        <f>IF(OR(AQ$4="",$A185&gt;TODAY()),0,IF(OR(INDEX($B185:$D185,AQ$5)="F",AND(AQ$6&gt;0,$A185&lt;AQ$6),AND(AQ$7&gt;0,$A185&gt;AQ$7)),0,MAX(0,ROUND((INDEX($E185:$G185,AQ$5)-SUMIFS(TF_Timer,TF_Tekniker,AQ$4,TF_Dato,$A185))*2,0)/2)))</f>
        <v/>
      </c>
      <c r="AR185">
        <f>IF(OR(AR$4="",$A185&gt;TODAY()),0,IF(OR(INDEX($B185:$D185,AR$5)="F",AND(AR$6&gt;0,$A185&lt;AR$6),AND(AR$7&gt;0,$A185&gt;AR$7)),0,MAX(0,ROUND((INDEX($E185:$G185,AR$5)-SUMIFS(TF_Timer,TF_Tekniker,AR$4,TF_Dato,$A185))*2,0)/2)))</f>
        <v/>
      </c>
      <c r="AS185">
        <f>IF(OR(AS$4="",$A185&gt;TODAY()),0,IF(OR(INDEX($B185:$D185,AS$5)="F",AND(AS$6&gt;0,$A185&lt;AS$6),AND(AS$7&gt;0,$A185&gt;AS$7)),0,MAX(0,ROUND((INDEX($E185:$G185,AS$5)-SUMIFS(TF_Timer,TF_Tekniker,AS$4,TF_Dato,$A185))*2,0)/2)))</f>
        <v/>
      </c>
      <c r="AT185">
        <f>IF(OR(AT$4="",$A185&gt;TODAY()),0,IF(OR(INDEX($B185:$D185,AT$5)="F",AND(AT$6&gt;0,$A185&lt;AT$6),AND(AT$7&gt;0,$A185&gt;AT$7)),0,MAX(0,ROUND((INDEX($E185:$G185,AT$5)-SUMIFS(TF_Timer,TF_Tekniker,AT$4,TF_Dato,$A185))*2,0)/2)))</f>
        <v/>
      </c>
      <c r="AU185">
        <f>IF(OR(AU$4="",$A185&gt;TODAY()),0,IF(OR(INDEX($B185:$D185,AU$5)="F",AND(AU$6&gt;0,$A185&lt;AU$6),AND(AU$7&gt;0,$A185&gt;AU$7)),0,MAX(0,ROUND((INDEX($E185:$G185,AU$5)-SUMIFS(TF_Timer,TF_Tekniker,AU$4,TF_Dato,$A185))*2,0)/2)))</f>
        <v/>
      </c>
      <c r="AV185">
        <f>IF(OR(AV$4="",$A185&gt;TODAY()),0,IF(OR(INDEX($B185:$D185,AV$5)="F",AND(AV$6&gt;0,$A185&lt;AV$6),AND(AV$7&gt;0,$A185&gt;AV$7)),0,MAX(0,ROUND((INDEX($E185:$G185,AV$5)-SUMIFS(TF_Timer,TF_Tekniker,AV$4,TF_Dato,$A185))*2,0)/2)))</f>
        <v/>
      </c>
      <c r="AW185">
        <f>IF(OR(AW$4="",$A185&gt;TODAY()),0,IF(OR(INDEX($B185:$D185,AW$5)="F",AND(AW$6&gt;0,$A185&lt;AW$6),AND(AW$7&gt;0,$A185&gt;AW$7)),0,MAX(0,ROUND((INDEX($E185:$G185,AW$5)-SUMIFS(TF_Timer,TF_Tekniker,AW$4,TF_Dato,$A185))*2,0)/2)))</f>
        <v/>
      </c>
      <c r="AX185">
        <f>IF(OR(AX$4="",$A185&gt;TODAY()),0,IF(OR(INDEX($B185:$D185,AX$5)="F",AND(AX$6&gt;0,$A185&lt;AX$6),AND(AX$7&gt;0,$A185&gt;AX$7)),0,MAX(0,ROUND((INDEX($E185:$G185,AX$5)-SUMIFS(TF_Timer,TF_Tekniker,AX$4,TF_Dato,$A185))*2,0)/2)))</f>
        <v/>
      </c>
      <c r="AY185">
        <f>IF(OR(AY$4="",$A185&gt;TODAY()),0,IF(OR(INDEX($B185:$D185,AY$5)="F",AND(AY$6&gt;0,$A185&lt;AY$6),AND(AY$7&gt;0,$A185&gt;AY$7)),0,MAX(0,ROUND((INDEX($E185:$G185,AY$5)-SUMIFS(TF_Timer,TF_Tekniker,AY$4,TF_Dato,$A185))*2,0)/2)))</f>
        <v/>
      </c>
      <c r="AZ185">
        <f>IF(OR(AZ$4="",$A185&gt;TODAY()),0,IF(OR(INDEX($B185:$D185,AZ$5)="F",AND(AZ$6&gt;0,$A185&lt;AZ$6),AND(AZ$7&gt;0,$A185&gt;AZ$7)),0,MAX(0,ROUND((INDEX($E185:$G185,AZ$5)-SUMIFS(TF_Timer,TF_Tekniker,AZ$4,TF_Dato,$A185))*2,0)/2)))</f>
        <v/>
      </c>
      <c r="BA185">
        <f>IF(OR(BA$4="",$A185&gt;TODAY()),0,IF(OR(INDEX($B185:$D185,BA$5)="F",AND(BA$6&gt;0,$A185&lt;BA$6),AND(BA$7&gt;0,$A185&gt;BA$7)),0,MAX(0,ROUND((INDEX($E185:$G185,BA$5)-SUMIFS(TF_Timer,TF_Tekniker,BA$4,TF_Dato,$A185))*2,0)/2)))</f>
        <v/>
      </c>
      <c r="BB185">
        <f>IF(OR(BB$4="",$A185&gt;TODAY()),0,IF(OR(INDEX($B185:$D185,BB$5)="F",AND(BB$6&gt;0,$A185&lt;BB$6),AND(BB$7&gt;0,$A185&gt;BB$7)),0,MAX(0,ROUND((INDEX($E185:$G185,BB$5)-SUMIFS(TF_Timer,TF_Tekniker,BB$4,TF_Dato,$A185))*2,0)/2)))</f>
        <v/>
      </c>
      <c r="BC185">
        <f>IF(OR(BC$4="",$A185&gt;TODAY()),0,IF(OR(INDEX($B185:$D185,BC$5)="F",AND(BC$6&gt;0,$A185&lt;BC$6),AND(BC$7&gt;0,$A185&gt;BC$7)),0,MAX(0,ROUND((INDEX($E185:$G185,BC$5)-SUMIFS(TF_Timer,TF_Tekniker,BC$4,TF_Dato,$A185))*2,0)/2)))</f>
        <v/>
      </c>
      <c r="BD185">
        <f>IF(OR(BD$4="",$A185&gt;TODAY()),0,IF(OR(INDEX($B185:$D185,BD$5)="F",AND(BD$6&gt;0,$A185&lt;BD$6),AND(BD$7&gt;0,$A185&gt;BD$7)),0,MAX(0,ROUND((INDEX($E185:$G185,BD$5)-SUMIFS(TF_Timer,TF_Tekniker,BD$4,TF_Dato,$A185))*2,0)/2)))</f>
        <v/>
      </c>
      <c r="BE185">
        <f>IF(OR(BE$4="",$A185&gt;TODAY()),0,IF(OR(INDEX($B185:$D185,BE$5)="F",AND(BE$6&gt;0,$A185&lt;BE$6),AND(BE$7&gt;0,$A185&gt;BE$7)),0,MAX(0,ROUND((INDEX($E185:$G185,BE$5)-SUMIFS(TF_Timer,TF_Tekniker,BE$4,TF_Dato,$A185))*2,0)/2)))</f>
        <v/>
      </c>
      <c r="BF185">
        <f>IF(OR(BF$4="",$A185&gt;TODAY()),0,IF(OR(INDEX($B185:$D185,BF$5)="F",AND(BF$6&gt;0,$A185&lt;BF$6),AND(BF$7&gt;0,$A185&gt;BF$7)),0,MAX(0,ROUND((INDEX($E185:$G185,BF$5)-SUMIFS(TF_Timer,TF_Tekniker,BF$4,TF_Dato,$A185))*2,0)/2)))</f>
        <v/>
      </c>
      <c r="BG185">
        <f>IF(OR(BG$4="",$A185&gt;TODAY()),0,IF(OR(INDEX($B185:$D185,BG$5)="F",AND(BG$6&gt;0,$A185&lt;BG$6),AND(BG$7&gt;0,$A185&gt;BG$7)),0,MAX(0,ROUND((INDEX($E185:$G185,BG$5)-SUMIFS(TF_Timer,TF_Tekniker,BG$4,TF_Dato,$A185))*2,0)/2)))</f>
        <v/>
      </c>
      <c r="BH185">
        <f>IF(OR(BH$4="",$A185&gt;TODAY()),0,IF(OR(INDEX($B185:$D185,BH$5)="F",AND(BH$6&gt;0,$A185&lt;BH$6),AND(BH$7&gt;0,$A185&gt;BH$7)),0,MAX(0,ROUND((INDEX($E185:$G185,BH$5)-SUMIFS(TF_Timer,TF_Tekniker,BH$4,TF_Dato,$A185))*2,0)/2)))</f>
        <v/>
      </c>
      <c r="BI185">
        <f>IF(OR(BI$4="",$A185&gt;TODAY()),0,IF(OR(INDEX($B185:$D185,BI$5)="F",AND(BI$6&gt;0,$A185&lt;BI$6),AND(BI$7&gt;0,$A185&gt;BI$7)),0,MAX(0,ROUND((INDEX($E185:$G185,BI$5)-SUMIFS(TF_Timer,TF_Tekniker,BI$4,TF_Dato,$A185))*2,0)/2)))</f>
        <v/>
      </c>
    </row>
    <row r="186">
      <c r="A186" s="64">
        <f>A185+1</f>
        <v/>
      </c>
      <c r="B186">
        <f>IF(MOD($A186-INDEX(SkiftStart,1),Syklus)&lt;DagK,"K",IF(MOD($A186-INDEX(SkiftStart,1),Syklus)&lt;DagK+DagH,"H",IF(MOD($A186-INDEX(SkiftStart,1),Syklus)&lt;DagK+DagH+DagD,"D","F")))</f>
        <v/>
      </c>
      <c r="C186">
        <f>IF(MOD($A186-INDEX(SkiftStart,2),Syklus)&lt;DagK,"K",IF(MOD($A186-INDEX(SkiftStart,2),Syklus)&lt;DagK+DagH,"H",IF(MOD($A186-INDEX(SkiftStart,2),Syklus)&lt;DagK+DagH+DagD,"D","F")))</f>
        <v/>
      </c>
      <c r="D186">
        <f>IF(MOD($A186-INDEX(SkiftStart,3),Syklus)&lt;DagK,"K",IF(MOD($A186-INDEX(SkiftStart,3),Syklus)&lt;DagK+DagH,"H",IF(MOD($A186-INDEX(SkiftStart,3),Syklus)&lt;DagK+DagH+DagD,"D","F")))</f>
        <v/>
      </c>
      <c r="E186">
        <f>IF(B186="F",0,IF(WEEKDAY($A186,2)=5,INDEX(TimerFr,MATCH(B186,FaseKode,0)),INDEX(TimerMT,MATCH(B186,FaseKode,0))))</f>
        <v/>
      </c>
      <c r="F186">
        <f>IF(C186="F",0,IF(WEEKDAY($A186,2)=5,INDEX(TimerFr,MATCH(C186,FaseKode,0)),INDEX(TimerMT,MATCH(C186,FaseKode,0))))</f>
        <v/>
      </c>
      <c r="G186">
        <f>IF(D186="F",0,IF(WEEKDAY($A186,2)=5,INDEX(TimerFr,MATCH(D186,FaseKode,0)),INDEX(TimerMT,MATCH(D186,FaseKode,0))))</f>
        <v/>
      </c>
      <c r="H186">
        <f>IF(OR(H$4="",$A186&gt;TODAY()),0,IF(OR(INDEX($B186:$D186,H$5)="F",AND(H$6&gt;0,$A186&lt;H$6),AND(H$7&gt;0,$A186&gt;H$7)),0,MAX(0,ROUND((INDEX($E186:$G186,H$5)-SUMIFS(TF_Timer,TF_Tekniker,H$4,TF_Dato,$A186))*2,0)/2)))</f>
        <v/>
      </c>
      <c r="I186">
        <f>IF(OR(I$4="",$A186&gt;TODAY()),0,IF(OR(INDEX($B186:$D186,I$5)="F",AND(I$6&gt;0,$A186&lt;I$6),AND(I$7&gt;0,$A186&gt;I$7)),0,MAX(0,ROUND((INDEX($E186:$G186,I$5)-SUMIFS(TF_Timer,TF_Tekniker,I$4,TF_Dato,$A186))*2,0)/2)))</f>
        <v/>
      </c>
      <c r="J186">
        <f>IF(OR(J$4="",$A186&gt;TODAY()),0,IF(OR(INDEX($B186:$D186,J$5)="F",AND(J$6&gt;0,$A186&lt;J$6),AND(J$7&gt;0,$A186&gt;J$7)),0,MAX(0,ROUND((INDEX($E186:$G186,J$5)-SUMIFS(TF_Timer,TF_Tekniker,J$4,TF_Dato,$A186))*2,0)/2)))</f>
        <v/>
      </c>
      <c r="K186">
        <f>IF(OR(K$4="",$A186&gt;TODAY()),0,IF(OR(INDEX($B186:$D186,K$5)="F",AND(K$6&gt;0,$A186&lt;K$6),AND(K$7&gt;0,$A186&gt;K$7)),0,MAX(0,ROUND((INDEX($E186:$G186,K$5)-SUMIFS(TF_Timer,TF_Tekniker,K$4,TF_Dato,$A186))*2,0)/2)))</f>
        <v/>
      </c>
      <c r="L186">
        <f>IF(OR(L$4="",$A186&gt;TODAY()),0,IF(OR(INDEX($B186:$D186,L$5)="F",AND(L$6&gt;0,$A186&lt;L$6),AND(L$7&gt;0,$A186&gt;L$7)),0,MAX(0,ROUND((INDEX($E186:$G186,L$5)-SUMIFS(TF_Timer,TF_Tekniker,L$4,TF_Dato,$A186))*2,0)/2)))</f>
        <v/>
      </c>
      <c r="M186">
        <f>IF(OR(M$4="",$A186&gt;TODAY()),0,IF(OR(INDEX($B186:$D186,M$5)="F",AND(M$6&gt;0,$A186&lt;M$6),AND(M$7&gt;0,$A186&gt;M$7)),0,MAX(0,ROUND((INDEX($E186:$G186,M$5)-SUMIFS(TF_Timer,TF_Tekniker,M$4,TF_Dato,$A186))*2,0)/2)))</f>
        <v/>
      </c>
      <c r="N186">
        <f>IF(OR(N$4="",$A186&gt;TODAY()),0,IF(OR(INDEX($B186:$D186,N$5)="F",AND(N$6&gt;0,$A186&lt;N$6),AND(N$7&gt;0,$A186&gt;N$7)),0,MAX(0,ROUND((INDEX($E186:$G186,N$5)-SUMIFS(TF_Timer,TF_Tekniker,N$4,TF_Dato,$A186))*2,0)/2)))</f>
        <v/>
      </c>
      <c r="O186">
        <f>IF(OR(O$4="",$A186&gt;TODAY()),0,IF(OR(INDEX($B186:$D186,O$5)="F",AND(O$6&gt;0,$A186&lt;O$6),AND(O$7&gt;0,$A186&gt;O$7)),0,MAX(0,ROUND((INDEX($E186:$G186,O$5)-SUMIFS(TF_Timer,TF_Tekniker,O$4,TF_Dato,$A186))*2,0)/2)))</f>
        <v/>
      </c>
      <c r="P186">
        <f>IF(OR(P$4="",$A186&gt;TODAY()),0,IF(OR(INDEX($B186:$D186,P$5)="F",AND(P$6&gt;0,$A186&lt;P$6),AND(P$7&gt;0,$A186&gt;P$7)),0,MAX(0,ROUND((INDEX($E186:$G186,P$5)-SUMIFS(TF_Timer,TF_Tekniker,P$4,TF_Dato,$A186))*2,0)/2)))</f>
        <v/>
      </c>
      <c r="Q186">
        <f>IF(OR(Q$4="",$A186&gt;TODAY()),0,IF(OR(INDEX($B186:$D186,Q$5)="F",AND(Q$6&gt;0,$A186&lt;Q$6),AND(Q$7&gt;0,$A186&gt;Q$7)),0,MAX(0,ROUND((INDEX($E186:$G186,Q$5)-SUMIFS(TF_Timer,TF_Tekniker,Q$4,TF_Dato,$A186))*2,0)/2)))</f>
        <v/>
      </c>
      <c r="R186">
        <f>IF(OR(R$4="",$A186&gt;TODAY()),0,IF(OR(INDEX($B186:$D186,R$5)="F",AND(R$6&gt;0,$A186&lt;R$6),AND(R$7&gt;0,$A186&gt;R$7)),0,MAX(0,ROUND((INDEX($E186:$G186,R$5)-SUMIFS(TF_Timer,TF_Tekniker,R$4,TF_Dato,$A186))*2,0)/2)))</f>
        <v/>
      </c>
      <c r="S186">
        <f>IF(OR(S$4="",$A186&gt;TODAY()),0,IF(OR(INDEX($B186:$D186,S$5)="F",AND(S$6&gt;0,$A186&lt;S$6),AND(S$7&gt;0,$A186&gt;S$7)),0,MAX(0,ROUND((INDEX($E186:$G186,S$5)-SUMIFS(TF_Timer,TF_Tekniker,S$4,TF_Dato,$A186))*2,0)/2)))</f>
        <v/>
      </c>
      <c r="T186">
        <f>IF(OR(T$4="",$A186&gt;TODAY()),0,IF(OR(INDEX($B186:$D186,T$5)="F",AND(T$6&gt;0,$A186&lt;T$6),AND(T$7&gt;0,$A186&gt;T$7)),0,MAX(0,ROUND((INDEX($E186:$G186,T$5)-SUMIFS(TF_Timer,TF_Tekniker,T$4,TF_Dato,$A186))*2,0)/2)))</f>
        <v/>
      </c>
      <c r="U186">
        <f>IF(OR(U$4="",$A186&gt;TODAY()),0,IF(OR(INDEX($B186:$D186,U$5)="F",AND(U$6&gt;0,$A186&lt;U$6),AND(U$7&gt;0,$A186&gt;U$7)),0,MAX(0,ROUND((INDEX($E186:$G186,U$5)-SUMIFS(TF_Timer,TF_Tekniker,U$4,TF_Dato,$A186))*2,0)/2)))</f>
        <v/>
      </c>
      <c r="V186">
        <f>IF(OR(V$4="",$A186&gt;TODAY()),0,IF(OR(INDEX($B186:$D186,V$5)="F",AND(V$6&gt;0,$A186&lt;V$6),AND(V$7&gt;0,$A186&gt;V$7)),0,MAX(0,ROUND((INDEX($E186:$G186,V$5)-SUMIFS(TF_Timer,TF_Tekniker,V$4,TF_Dato,$A186))*2,0)/2)))</f>
        <v/>
      </c>
      <c r="W186">
        <f>IF(OR(W$4="",$A186&gt;TODAY()),0,IF(OR(INDEX($B186:$D186,W$5)="F",AND(W$6&gt;0,$A186&lt;W$6),AND(W$7&gt;0,$A186&gt;W$7)),0,MAX(0,ROUND((INDEX($E186:$G186,W$5)-SUMIFS(TF_Timer,TF_Tekniker,W$4,TF_Dato,$A186))*2,0)/2)))</f>
        <v/>
      </c>
      <c r="X186">
        <f>IF(OR(X$4="",$A186&gt;TODAY()),0,IF(OR(INDEX($B186:$D186,X$5)="F",AND(X$6&gt;0,$A186&lt;X$6),AND(X$7&gt;0,$A186&gt;X$7)),0,MAX(0,ROUND((INDEX($E186:$G186,X$5)-SUMIFS(TF_Timer,TF_Tekniker,X$4,TF_Dato,$A186))*2,0)/2)))</f>
        <v/>
      </c>
      <c r="Y186">
        <f>IF(OR(Y$4="",$A186&gt;TODAY()),0,IF(OR(INDEX($B186:$D186,Y$5)="F",AND(Y$6&gt;0,$A186&lt;Y$6),AND(Y$7&gt;0,$A186&gt;Y$7)),0,MAX(0,ROUND((INDEX($E186:$G186,Y$5)-SUMIFS(TF_Timer,TF_Tekniker,Y$4,TF_Dato,$A186))*2,0)/2)))</f>
        <v/>
      </c>
      <c r="Z186">
        <f>IF(OR(Z$4="",$A186&gt;TODAY()),0,IF(OR(INDEX($B186:$D186,Z$5)="F",AND(Z$6&gt;0,$A186&lt;Z$6),AND(Z$7&gt;0,$A186&gt;Z$7)),0,MAX(0,ROUND((INDEX($E186:$G186,Z$5)-SUMIFS(TF_Timer,TF_Tekniker,Z$4,TF_Dato,$A186))*2,0)/2)))</f>
        <v/>
      </c>
      <c r="AA186">
        <f>IF(OR(AA$4="",$A186&gt;TODAY()),0,IF(OR(INDEX($B186:$D186,AA$5)="F",AND(AA$6&gt;0,$A186&lt;AA$6),AND(AA$7&gt;0,$A186&gt;AA$7)),0,MAX(0,ROUND((INDEX($E186:$G186,AA$5)-SUMIFS(TF_Timer,TF_Tekniker,AA$4,TF_Dato,$A186))*2,0)/2)))</f>
        <v/>
      </c>
      <c r="AB186">
        <f>IF(OR(AB$4="",$A186&gt;TODAY()),0,IF(OR(INDEX($B186:$D186,AB$5)="F",AND(AB$6&gt;0,$A186&lt;AB$6),AND(AB$7&gt;0,$A186&gt;AB$7)),0,MAX(0,ROUND((INDEX($E186:$G186,AB$5)-SUMIFS(TF_Timer,TF_Tekniker,AB$4,TF_Dato,$A186))*2,0)/2)))</f>
        <v/>
      </c>
      <c r="AC186">
        <f>IF(OR(AC$4="",$A186&gt;TODAY()),0,IF(OR(INDEX($B186:$D186,AC$5)="F",AND(AC$6&gt;0,$A186&lt;AC$6),AND(AC$7&gt;0,$A186&gt;AC$7)),0,MAX(0,ROUND((INDEX($E186:$G186,AC$5)-SUMIFS(TF_Timer,TF_Tekniker,AC$4,TF_Dato,$A186))*2,0)/2)))</f>
        <v/>
      </c>
      <c r="AD186">
        <f>IF(OR(AD$4="",$A186&gt;TODAY()),0,IF(OR(INDEX($B186:$D186,AD$5)="F",AND(AD$6&gt;0,$A186&lt;AD$6),AND(AD$7&gt;0,$A186&gt;AD$7)),0,MAX(0,ROUND((INDEX($E186:$G186,AD$5)-SUMIFS(TF_Timer,TF_Tekniker,AD$4,TF_Dato,$A186))*2,0)/2)))</f>
        <v/>
      </c>
      <c r="AE186">
        <f>IF(OR(AE$4="",$A186&gt;TODAY()),0,IF(OR(INDEX($B186:$D186,AE$5)="F",AND(AE$6&gt;0,$A186&lt;AE$6),AND(AE$7&gt;0,$A186&gt;AE$7)),0,MAX(0,ROUND((INDEX($E186:$G186,AE$5)-SUMIFS(TF_Timer,TF_Tekniker,AE$4,TF_Dato,$A186))*2,0)/2)))</f>
        <v/>
      </c>
      <c r="AF186">
        <f>IF(OR(AF$4="",$A186&gt;TODAY()),0,IF(OR(INDEX($B186:$D186,AF$5)="F",AND(AF$6&gt;0,$A186&lt;AF$6),AND(AF$7&gt;0,$A186&gt;AF$7)),0,MAX(0,ROUND((INDEX($E186:$G186,AF$5)-SUMIFS(TF_Timer,TF_Tekniker,AF$4,TF_Dato,$A186))*2,0)/2)))</f>
        <v/>
      </c>
      <c r="AG186">
        <f>IF(OR(AG$4="",$A186&gt;TODAY()),0,IF(OR(INDEX($B186:$D186,AG$5)="F",AND(AG$6&gt;0,$A186&lt;AG$6),AND(AG$7&gt;0,$A186&gt;AG$7)),0,MAX(0,ROUND((INDEX($E186:$G186,AG$5)-SUMIFS(TF_Timer,TF_Tekniker,AG$4,TF_Dato,$A186))*2,0)/2)))</f>
        <v/>
      </c>
      <c r="AH186">
        <f>IF(OR(AH$4="",$A186&gt;TODAY()),0,IF(OR(INDEX($B186:$D186,AH$5)="F",AND(AH$6&gt;0,$A186&lt;AH$6),AND(AH$7&gt;0,$A186&gt;AH$7)),0,MAX(0,ROUND((INDEX($E186:$G186,AH$5)-SUMIFS(TF_Timer,TF_Tekniker,AH$4,TF_Dato,$A186))*2,0)/2)))</f>
        <v/>
      </c>
      <c r="AI186">
        <f>IF(OR(AI$4="",$A186&gt;TODAY()),0,IF(OR(INDEX($B186:$D186,AI$5)="F",AND(AI$6&gt;0,$A186&lt;AI$6),AND(AI$7&gt;0,$A186&gt;AI$7)),0,MAX(0,ROUND((INDEX($E186:$G186,AI$5)-SUMIFS(TF_Timer,TF_Tekniker,AI$4,TF_Dato,$A186))*2,0)/2)))</f>
        <v/>
      </c>
      <c r="AJ186">
        <f>IF(OR(AJ$4="",$A186&gt;TODAY()),0,IF(OR(INDEX($B186:$D186,AJ$5)="F",AND(AJ$6&gt;0,$A186&lt;AJ$6),AND(AJ$7&gt;0,$A186&gt;AJ$7)),0,MAX(0,ROUND((INDEX($E186:$G186,AJ$5)-SUMIFS(TF_Timer,TF_Tekniker,AJ$4,TF_Dato,$A186))*2,0)/2)))</f>
        <v/>
      </c>
      <c r="AK186">
        <f>IF(OR(AK$4="",$A186&gt;TODAY()),0,IF(OR(INDEX($B186:$D186,AK$5)="F",AND(AK$6&gt;0,$A186&lt;AK$6),AND(AK$7&gt;0,$A186&gt;AK$7)),0,MAX(0,ROUND((INDEX($E186:$G186,AK$5)-SUMIFS(TF_Timer,TF_Tekniker,AK$4,TF_Dato,$A186))*2,0)/2)))</f>
        <v/>
      </c>
      <c r="AL186">
        <f>IF(OR(AL$4="",$A186&gt;TODAY()),0,IF(OR(INDEX($B186:$D186,AL$5)="F",AND(AL$6&gt;0,$A186&lt;AL$6),AND(AL$7&gt;0,$A186&gt;AL$7)),0,MAX(0,ROUND((INDEX($E186:$G186,AL$5)-SUMIFS(TF_Timer,TF_Tekniker,AL$4,TF_Dato,$A186))*2,0)/2)))</f>
        <v/>
      </c>
      <c r="AM186">
        <f>IF(OR(AM$4="",$A186&gt;TODAY()),0,IF(OR(INDEX($B186:$D186,AM$5)="F",AND(AM$6&gt;0,$A186&lt;AM$6),AND(AM$7&gt;0,$A186&gt;AM$7)),0,MAX(0,ROUND((INDEX($E186:$G186,AM$5)-SUMIFS(TF_Timer,TF_Tekniker,AM$4,TF_Dato,$A186))*2,0)/2)))</f>
        <v/>
      </c>
      <c r="AN186">
        <f>IF(OR(AN$4="",$A186&gt;TODAY()),0,IF(OR(INDEX($B186:$D186,AN$5)="F",AND(AN$6&gt;0,$A186&lt;AN$6),AND(AN$7&gt;0,$A186&gt;AN$7)),0,MAX(0,ROUND((INDEX($E186:$G186,AN$5)-SUMIFS(TF_Timer,TF_Tekniker,AN$4,TF_Dato,$A186))*2,0)/2)))</f>
        <v/>
      </c>
      <c r="AO186">
        <f>IF(OR(AO$4="",$A186&gt;TODAY()),0,IF(OR(INDEX($B186:$D186,AO$5)="F",AND(AO$6&gt;0,$A186&lt;AO$6),AND(AO$7&gt;0,$A186&gt;AO$7)),0,MAX(0,ROUND((INDEX($E186:$G186,AO$5)-SUMIFS(TF_Timer,TF_Tekniker,AO$4,TF_Dato,$A186))*2,0)/2)))</f>
        <v/>
      </c>
      <c r="AP186">
        <f>IF(OR(AP$4="",$A186&gt;TODAY()),0,IF(OR(INDEX($B186:$D186,AP$5)="F",AND(AP$6&gt;0,$A186&lt;AP$6),AND(AP$7&gt;0,$A186&gt;AP$7)),0,MAX(0,ROUND((INDEX($E186:$G186,AP$5)-SUMIFS(TF_Timer,TF_Tekniker,AP$4,TF_Dato,$A186))*2,0)/2)))</f>
        <v/>
      </c>
      <c r="AQ186">
        <f>IF(OR(AQ$4="",$A186&gt;TODAY()),0,IF(OR(INDEX($B186:$D186,AQ$5)="F",AND(AQ$6&gt;0,$A186&lt;AQ$6),AND(AQ$7&gt;0,$A186&gt;AQ$7)),0,MAX(0,ROUND((INDEX($E186:$G186,AQ$5)-SUMIFS(TF_Timer,TF_Tekniker,AQ$4,TF_Dato,$A186))*2,0)/2)))</f>
        <v/>
      </c>
      <c r="AR186">
        <f>IF(OR(AR$4="",$A186&gt;TODAY()),0,IF(OR(INDEX($B186:$D186,AR$5)="F",AND(AR$6&gt;0,$A186&lt;AR$6),AND(AR$7&gt;0,$A186&gt;AR$7)),0,MAX(0,ROUND((INDEX($E186:$G186,AR$5)-SUMIFS(TF_Timer,TF_Tekniker,AR$4,TF_Dato,$A186))*2,0)/2)))</f>
        <v/>
      </c>
      <c r="AS186">
        <f>IF(OR(AS$4="",$A186&gt;TODAY()),0,IF(OR(INDEX($B186:$D186,AS$5)="F",AND(AS$6&gt;0,$A186&lt;AS$6),AND(AS$7&gt;0,$A186&gt;AS$7)),0,MAX(0,ROUND((INDEX($E186:$G186,AS$5)-SUMIFS(TF_Timer,TF_Tekniker,AS$4,TF_Dato,$A186))*2,0)/2)))</f>
        <v/>
      </c>
      <c r="AT186">
        <f>IF(OR(AT$4="",$A186&gt;TODAY()),0,IF(OR(INDEX($B186:$D186,AT$5)="F",AND(AT$6&gt;0,$A186&lt;AT$6),AND(AT$7&gt;0,$A186&gt;AT$7)),0,MAX(0,ROUND((INDEX($E186:$G186,AT$5)-SUMIFS(TF_Timer,TF_Tekniker,AT$4,TF_Dato,$A186))*2,0)/2)))</f>
        <v/>
      </c>
      <c r="AU186">
        <f>IF(OR(AU$4="",$A186&gt;TODAY()),0,IF(OR(INDEX($B186:$D186,AU$5)="F",AND(AU$6&gt;0,$A186&lt;AU$6),AND(AU$7&gt;0,$A186&gt;AU$7)),0,MAX(0,ROUND((INDEX($E186:$G186,AU$5)-SUMIFS(TF_Timer,TF_Tekniker,AU$4,TF_Dato,$A186))*2,0)/2)))</f>
        <v/>
      </c>
      <c r="AV186">
        <f>IF(OR(AV$4="",$A186&gt;TODAY()),0,IF(OR(INDEX($B186:$D186,AV$5)="F",AND(AV$6&gt;0,$A186&lt;AV$6),AND(AV$7&gt;0,$A186&gt;AV$7)),0,MAX(0,ROUND((INDEX($E186:$G186,AV$5)-SUMIFS(TF_Timer,TF_Tekniker,AV$4,TF_Dato,$A186))*2,0)/2)))</f>
        <v/>
      </c>
      <c r="AW186">
        <f>IF(OR(AW$4="",$A186&gt;TODAY()),0,IF(OR(INDEX($B186:$D186,AW$5)="F",AND(AW$6&gt;0,$A186&lt;AW$6),AND(AW$7&gt;0,$A186&gt;AW$7)),0,MAX(0,ROUND((INDEX($E186:$G186,AW$5)-SUMIFS(TF_Timer,TF_Tekniker,AW$4,TF_Dato,$A186))*2,0)/2)))</f>
        <v/>
      </c>
      <c r="AX186">
        <f>IF(OR(AX$4="",$A186&gt;TODAY()),0,IF(OR(INDEX($B186:$D186,AX$5)="F",AND(AX$6&gt;0,$A186&lt;AX$6),AND(AX$7&gt;0,$A186&gt;AX$7)),0,MAX(0,ROUND((INDEX($E186:$G186,AX$5)-SUMIFS(TF_Timer,TF_Tekniker,AX$4,TF_Dato,$A186))*2,0)/2)))</f>
        <v/>
      </c>
      <c r="AY186">
        <f>IF(OR(AY$4="",$A186&gt;TODAY()),0,IF(OR(INDEX($B186:$D186,AY$5)="F",AND(AY$6&gt;0,$A186&lt;AY$6),AND(AY$7&gt;0,$A186&gt;AY$7)),0,MAX(0,ROUND((INDEX($E186:$G186,AY$5)-SUMIFS(TF_Timer,TF_Tekniker,AY$4,TF_Dato,$A186))*2,0)/2)))</f>
        <v/>
      </c>
      <c r="AZ186">
        <f>IF(OR(AZ$4="",$A186&gt;TODAY()),0,IF(OR(INDEX($B186:$D186,AZ$5)="F",AND(AZ$6&gt;0,$A186&lt;AZ$6),AND(AZ$7&gt;0,$A186&gt;AZ$7)),0,MAX(0,ROUND((INDEX($E186:$G186,AZ$5)-SUMIFS(TF_Timer,TF_Tekniker,AZ$4,TF_Dato,$A186))*2,0)/2)))</f>
        <v/>
      </c>
      <c r="BA186">
        <f>IF(OR(BA$4="",$A186&gt;TODAY()),0,IF(OR(INDEX($B186:$D186,BA$5)="F",AND(BA$6&gt;0,$A186&lt;BA$6),AND(BA$7&gt;0,$A186&gt;BA$7)),0,MAX(0,ROUND((INDEX($E186:$G186,BA$5)-SUMIFS(TF_Timer,TF_Tekniker,BA$4,TF_Dato,$A186))*2,0)/2)))</f>
        <v/>
      </c>
      <c r="BB186">
        <f>IF(OR(BB$4="",$A186&gt;TODAY()),0,IF(OR(INDEX($B186:$D186,BB$5)="F",AND(BB$6&gt;0,$A186&lt;BB$6),AND(BB$7&gt;0,$A186&gt;BB$7)),0,MAX(0,ROUND((INDEX($E186:$G186,BB$5)-SUMIFS(TF_Timer,TF_Tekniker,BB$4,TF_Dato,$A186))*2,0)/2)))</f>
        <v/>
      </c>
      <c r="BC186">
        <f>IF(OR(BC$4="",$A186&gt;TODAY()),0,IF(OR(INDEX($B186:$D186,BC$5)="F",AND(BC$6&gt;0,$A186&lt;BC$6),AND(BC$7&gt;0,$A186&gt;BC$7)),0,MAX(0,ROUND((INDEX($E186:$G186,BC$5)-SUMIFS(TF_Timer,TF_Tekniker,BC$4,TF_Dato,$A186))*2,0)/2)))</f>
        <v/>
      </c>
      <c r="BD186">
        <f>IF(OR(BD$4="",$A186&gt;TODAY()),0,IF(OR(INDEX($B186:$D186,BD$5)="F",AND(BD$6&gt;0,$A186&lt;BD$6),AND(BD$7&gt;0,$A186&gt;BD$7)),0,MAX(0,ROUND((INDEX($E186:$G186,BD$5)-SUMIFS(TF_Timer,TF_Tekniker,BD$4,TF_Dato,$A186))*2,0)/2)))</f>
        <v/>
      </c>
      <c r="BE186">
        <f>IF(OR(BE$4="",$A186&gt;TODAY()),0,IF(OR(INDEX($B186:$D186,BE$5)="F",AND(BE$6&gt;0,$A186&lt;BE$6),AND(BE$7&gt;0,$A186&gt;BE$7)),0,MAX(0,ROUND((INDEX($E186:$G186,BE$5)-SUMIFS(TF_Timer,TF_Tekniker,BE$4,TF_Dato,$A186))*2,0)/2)))</f>
        <v/>
      </c>
      <c r="BF186">
        <f>IF(OR(BF$4="",$A186&gt;TODAY()),0,IF(OR(INDEX($B186:$D186,BF$5)="F",AND(BF$6&gt;0,$A186&lt;BF$6),AND(BF$7&gt;0,$A186&gt;BF$7)),0,MAX(0,ROUND((INDEX($E186:$G186,BF$5)-SUMIFS(TF_Timer,TF_Tekniker,BF$4,TF_Dato,$A186))*2,0)/2)))</f>
        <v/>
      </c>
      <c r="BG186">
        <f>IF(OR(BG$4="",$A186&gt;TODAY()),0,IF(OR(INDEX($B186:$D186,BG$5)="F",AND(BG$6&gt;0,$A186&lt;BG$6),AND(BG$7&gt;0,$A186&gt;BG$7)),0,MAX(0,ROUND((INDEX($E186:$G186,BG$5)-SUMIFS(TF_Timer,TF_Tekniker,BG$4,TF_Dato,$A186))*2,0)/2)))</f>
        <v/>
      </c>
      <c r="BH186">
        <f>IF(OR(BH$4="",$A186&gt;TODAY()),0,IF(OR(INDEX($B186:$D186,BH$5)="F",AND(BH$6&gt;0,$A186&lt;BH$6),AND(BH$7&gt;0,$A186&gt;BH$7)),0,MAX(0,ROUND((INDEX($E186:$G186,BH$5)-SUMIFS(TF_Timer,TF_Tekniker,BH$4,TF_Dato,$A186))*2,0)/2)))</f>
        <v/>
      </c>
      <c r="BI186">
        <f>IF(OR(BI$4="",$A186&gt;TODAY()),0,IF(OR(INDEX($B186:$D186,BI$5)="F",AND(BI$6&gt;0,$A186&lt;BI$6),AND(BI$7&gt;0,$A186&gt;BI$7)),0,MAX(0,ROUND((INDEX($E186:$G186,BI$5)-SUMIFS(TF_Timer,TF_Tekniker,BI$4,TF_Dato,$A186))*2,0)/2)))</f>
        <v/>
      </c>
    </row>
    <row r="187">
      <c r="A187" s="64">
        <f>A186+1</f>
        <v/>
      </c>
      <c r="B187">
        <f>IF(MOD($A187-INDEX(SkiftStart,1),Syklus)&lt;DagK,"K",IF(MOD($A187-INDEX(SkiftStart,1),Syklus)&lt;DagK+DagH,"H",IF(MOD($A187-INDEX(SkiftStart,1),Syklus)&lt;DagK+DagH+DagD,"D","F")))</f>
        <v/>
      </c>
      <c r="C187">
        <f>IF(MOD($A187-INDEX(SkiftStart,2),Syklus)&lt;DagK,"K",IF(MOD($A187-INDEX(SkiftStart,2),Syklus)&lt;DagK+DagH,"H",IF(MOD($A187-INDEX(SkiftStart,2),Syklus)&lt;DagK+DagH+DagD,"D","F")))</f>
        <v/>
      </c>
      <c r="D187">
        <f>IF(MOD($A187-INDEX(SkiftStart,3),Syklus)&lt;DagK,"K",IF(MOD($A187-INDEX(SkiftStart,3),Syklus)&lt;DagK+DagH,"H",IF(MOD($A187-INDEX(SkiftStart,3),Syklus)&lt;DagK+DagH+DagD,"D","F")))</f>
        <v/>
      </c>
      <c r="E187">
        <f>IF(B187="F",0,IF(WEEKDAY($A187,2)=5,INDEX(TimerFr,MATCH(B187,FaseKode,0)),INDEX(TimerMT,MATCH(B187,FaseKode,0))))</f>
        <v/>
      </c>
      <c r="F187">
        <f>IF(C187="F",0,IF(WEEKDAY($A187,2)=5,INDEX(TimerFr,MATCH(C187,FaseKode,0)),INDEX(TimerMT,MATCH(C187,FaseKode,0))))</f>
        <v/>
      </c>
      <c r="G187">
        <f>IF(D187="F",0,IF(WEEKDAY($A187,2)=5,INDEX(TimerFr,MATCH(D187,FaseKode,0)),INDEX(TimerMT,MATCH(D187,FaseKode,0))))</f>
        <v/>
      </c>
      <c r="H187">
        <f>IF(OR(H$4="",$A187&gt;TODAY()),0,IF(OR(INDEX($B187:$D187,H$5)="F",AND(H$6&gt;0,$A187&lt;H$6),AND(H$7&gt;0,$A187&gt;H$7)),0,MAX(0,ROUND((INDEX($E187:$G187,H$5)-SUMIFS(TF_Timer,TF_Tekniker,H$4,TF_Dato,$A187))*2,0)/2)))</f>
        <v/>
      </c>
      <c r="I187">
        <f>IF(OR(I$4="",$A187&gt;TODAY()),0,IF(OR(INDEX($B187:$D187,I$5)="F",AND(I$6&gt;0,$A187&lt;I$6),AND(I$7&gt;0,$A187&gt;I$7)),0,MAX(0,ROUND((INDEX($E187:$G187,I$5)-SUMIFS(TF_Timer,TF_Tekniker,I$4,TF_Dato,$A187))*2,0)/2)))</f>
        <v/>
      </c>
      <c r="J187">
        <f>IF(OR(J$4="",$A187&gt;TODAY()),0,IF(OR(INDEX($B187:$D187,J$5)="F",AND(J$6&gt;0,$A187&lt;J$6),AND(J$7&gt;0,$A187&gt;J$7)),0,MAX(0,ROUND((INDEX($E187:$G187,J$5)-SUMIFS(TF_Timer,TF_Tekniker,J$4,TF_Dato,$A187))*2,0)/2)))</f>
        <v/>
      </c>
      <c r="K187">
        <f>IF(OR(K$4="",$A187&gt;TODAY()),0,IF(OR(INDEX($B187:$D187,K$5)="F",AND(K$6&gt;0,$A187&lt;K$6),AND(K$7&gt;0,$A187&gt;K$7)),0,MAX(0,ROUND((INDEX($E187:$G187,K$5)-SUMIFS(TF_Timer,TF_Tekniker,K$4,TF_Dato,$A187))*2,0)/2)))</f>
        <v/>
      </c>
      <c r="L187">
        <f>IF(OR(L$4="",$A187&gt;TODAY()),0,IF(OR(INDEX($B187:$D187,L$5)="F",AND(L$6&gt;0,$A187&lt;L$6),AND(L$7&gt;0,$A187&gt;L$7)),0,MAX(0,ROUND((INDEX($E187:$G187,L$5)-SUMIFS(TF_Timer,TF_Tekniker,L$4,TF_Dato,$A187))*2,0)/2)))</f>
        <v/>
      </c>
      <c r="M187">
        <f>IF(OR(M$4="",$A187&gt;TODAY()),0,IF(OR(INDEX($B187:$D187,M$5)="F",AND(M$6&gt;0,$A187&lt;M$6),AND(M$7&gt;0,$A187&gt;M$7)),0,MAX(0,ROUND((INDEX($E187:$G187,M$5)-SUMIFS(TF_Timer,TF_Tekniker,M$4,TF_Dato,$A187))*2,0)/2)))</f>
        <v/>
      </c>
      <c r="N187">
        <f>IF(OR(N$4="",$A187&gt;TODAY()),0,IF(OR(INDEX($B187:$D187,N$5)="F",AND(N$6&gt;0,$A187&lt;N$6),AND(N$7&gt;0,$A187&gt;N$7)),0,MAX(0,ROUND((INDEX($E187:$G187,N$5)-SUMIFS(TF_Timer,TF_Tekniker,N$4,TF_Dato,$A187))*2,0)/2)))</f>
        <v/>
      </c>
      <c r="O187">
        <f>IF(OR(O$4="",$A187&gt;TODAY()),0,IF(OR(INDEX($B187:$D187,O$5)="F",AND(O$6&gt;0,$A187&lt;O$6),AND(O$7&gt;0,$A187&gt;O$7)),0,MAX(0,ROUND((INDEX($E187:$G187,O$5)-SUMIFS(TF_Timer,TF_Tekniker,O$4,TF_Dato,$A187))*2,0)/2)))</f>
        <v/>
      </c>
      <c r="P187">
        <f>IF(OR(P$4="",$A187&gt;TODAY()),0,IF(OR(INDEX($B187:$D187,P$5)="F",AND(P$6&gt;0,$A187&lt;P$6),AND(P$7&gt;0,$A187&gt;P$7)),0,MAX(0,ROUND((INDEX($E187:$G187,P$5)-SUMIFS(TF_Timer,TF_Tekniker,P$4,TF_Dato,$A187))*2,0)/2)))</f>
        <v/>
      </c>
      <c r="Q187">
        <f>IF(OR(Q$4="",$A187&gt;TODAY()),0,IF(OR(INDEX($B187:$D187,Q$5)="F",AND(Q$6&gt;0,$A187&lt;Q$6),AND(Q$7&gt;0,$A187&gt;Q$7)),0,MAX(0,ROUND((INDEX($E187:$G187,Q$5)-SUMIFS(TF_Timer,TF_Tekniker,Q$4,TF_Dato,$A187))*2,0)/2)))</f>
        <v/>
      </c>
      <c r="R187">
        <f>IF(OR(R$4="",$A187&gt;TODAY()),0,IF(OR(INDEX($B187:$D187,R$5)="F",AND(R$6&gt;0,$A187&lt;R$6),AND(R$7&gt;0,$A187&gt;R$7)),0,MAX(0,ROUND((INDEX($E187:$G187,R$5)-SUMIFS(TF_Timer,TF_Tekniker,R$4,TF_Dato,$A187))*2,0)/2)))</f>
        <v/>
      </c>
      <c r="S187">
        <f>IF(OR(S$4="",$A187&gt;TODAY()),0,IF(OR(INDEX($B187:$D187,S$5)="F",AND(S$6&gt;0,$A187&lt;S$6),AND(S$7&gt;0,$A187&gt;S$7)),0,MAX(0,ROUND((INDEX($E187:$G187,S$5)-SUMIFS(TF_Timer,TF_Tekniker,S$4,TF_Dato,$A187))*2,0)/2)))</f>
        <v/>
      </c>
      <c r="T187">
        <f>IF(OR(T$4="",$A187&gt;TODAY()),0,IF(OR(INDEX($B187:$D187,T$5)="F",AND(T$6&gt;0,$A187&lt;T$6),AND(T$7&gt;0,$A187&gt;T$7)),0,MAX(0,ROUND((INDEX($E187:$G187,T$5)-SUMIFS(TF_Timer,TF_Tekniker,T$4,TF_Dato,$A187))*2,0)/2)))</f>
        <v/>
      </c>
      <c r="U187">
        <f>IF(OR(U$4="",$A187&gt;TODAY()),0,IF(OR(INDEX($B187:$D187,U$5)="F",AND(U$6&gt;0,$A187&lt;U$6),AND(U$7&gt;0,$A187&gt;U$7)),0,MAX(0,ROUND((INDEX($E187:$G187,U$5)-SUMIFS(TF_Timer,TF_Tekniker,U$4,TF_Dato,$A187))*2,0)/2)))</f>
        <v/>
      </c>
      <c r="V187">
        <f>IF(OR(V$4="",$A187&gt;TODAY()),0,IF(OR(INDEX($B187:$D187,V$5)="F",AND(V$6&gt;0,$A187&lt;V$6),AND(V$7&gt;0,$A187&gt;V$7)),0,MAX(0,ROUND((INDEX($E187:$G187,V$5)-SUMIFS(TF_Timer,TF_Tekniker,V$4,TF_Dato,$A187))*2,0)/2)))</f>
        <v/>
      </c>
      <c r="W187">
        <f>IF(OR(W$4="",$A187&gt;TODAY()),0,IF(OR(INDEX($B187:$D187,W$5)="F",AND(W$6&gt;0,$A187&lt;W$6),AND(W$7&gt;0,$A187&gt;W$7)),0,MAX(0,ROUND((INDEX($E187:$G187,W$5)-SUMIFS(TF_Timer,TF_Tekniker,W$4,TF_Dato,$A187))*2,0)/2)))</f>
        <v/>
      </c>
      <c r="X187">
        <f>IF(OR(X$4="",$A187&gt;TODAY()),0,IF(OR(INDEX($B187:$D187,X$5)="F",AND(X$6&gt;0,$A187&lt;X$6),AND(X$7&gt;0,$A187&gt;X$7)),0,MAX(0,ROUND((INDEX($E187:$G187,X$5)-SUMIFS(TF_Timer,TF_Tekniker,X$4,TF_Dato,$A187))*2,0)/2)))</f>
        <v/>
      </c>
      <c r="Y187">
        <f>IF(OR(Y$4="",$A187&gt;TODAY()),0,IF(OR(INDEX($B187:$D187,Y$5)="F",AND(Y$6&gt;0,$A187&lt;Y$6),AND(Y$7&gt;0,$A187&gt;Y$7)),0,MAX(0,ROUND((INDEX($E187:$G187,Y$5)-SUMIFS(TF_Timer,TF_Tekniker,Y$4,TF_Dato,$A187))*2,0)/2)))</f>
        <v/>
      </c>
      <c r="Z187">
        <f>IF(OR(Z$4="",$A187&gt;TODAY()),0,IF(OR(INDEX($B187:$D187,Z$5)="F",AND(Z$6&gt;0,$A187&lt;Z$6),AND(Z$7&gt;0,$A187&gt;Z$7)),0,MAX(0,ROUND((INDEX($E187:$G187,Z$5)-SUMIFS(TF_Timer,TF_Tekniker,Z$4,TF_Dato,$A187))*2,0)/2)))</f>
        <v/>
      </c>
      <c r="AA187">
        <f>IF(OR(AA$4="",$A187&gt;TODAY()),0,IF(OR(INDEX($B187:$D187,AA$5)="F",AND(AA$6&gt;0,$A187&lt;AA$6),AND(AA$7&gt;0,$A187&gt;AA$7)),0,MAX(0,ROUND((INDEX($E187:$G187,AA$5)-SUMIFS(TF_Timer,TF_Tekniker,AA$4,TF_Dato,$A187))*2,0)/2)))</f>
        <v/>
      </c>
      <c r="AB187">
        <f>IF(OR(AB$4="",$A187&gt;TODAY()),0,IF(OR(INDEX($B187:$D187,AB$5)="F",AND(AB$6&gt;0,$A187&lt;AB$6),AND(AB$7&gt;0,$A187&gt;AB$7)),0,MAX(0,ROUND((INDEX($E187:$G187,AB$5)-SUMIFS(TF_Timer,TF_Tekniker,AB$4,TF_Dato,$A187))*2,0)/2)))</f>
        <v/>
      </c>
      <c r="AC187">
        <f>IF(OR(AC$4="",$A187&gt;TODAY()),0,IF(OR(INDEX($B187:$D187,AC$5)="F",AND(AC$6&gt;0,$A187&lt;AC$6),AND(AC$7&gt;0,$A187&gt;AC$7)),0,MAX(0,ROUND((INDEX($E187:$G187,AC$5)-SUMIFS(TF_Timer,TF_Tekniker,AC$4,TF_Dato,$A187))*2,0)/2)))</f>
        <v/>
      </c>
      <c r="AD187">
        <f>IF(OR(AD$4="",$A187&gt;TODAY()),0,IF(OR(INDEX($B187:$D187,AD$5)="F",AND(AD$6&gt;0,$A187&lt;AD$6),AND(AD$7&gt;0,$A187&gt;AD$7)),0,MAX(0,ROUND((INDEX($E187:$G187,AD$5)-SUMIFS(TF_Timer,TF_Tekniker,AD$4,TF_Dato,$A187))*2,0)/2)))</f>
        <v/>
      </c>
      <c r="AE187">
        <f>IF(OR(AE$4="",$A187&gt;TODAY()),0,IF(OR(INDEX($B187:$D187,AE$5)="F",AND(AE$6&gt;0,$A187&lt;AE$6),AND(AE$7&gt;0,$A187&gt;AE$7)),0,MAX(0,ROUND((INDEX($E187:$G187,AE$5)-SUMIFS(TF_Timer,TF_Tekniker,AE$4,TF_Dato,$A187))*2,0)/2)))</f>
        <v/>
      </c>
      <c r="AF187">
        <f>IF(OR(AF$4="",$A187&gt;TODAY()),0,IF(OR(INDEX($B187:$D187,AF$5)="F",AND(AF$6&gt;0,$A187&lt;AF$6),AND(AF$7&gt;0,$A187&gt;AF$7)),0,MAX(0,ROUND((INDEX($E187:$G187,AF$5)-SUMIFS(TF_Timer,TF_Tekniker,AF$4,TF_Dato,$A187))*2,0)/2)))</f>
        <v/>
      </c>
      <c r="AG187">
        <f>IF(OR(AG$4="",$A187&gt;TODAY()),0,IF(OR(INDEX($B187:$D187,AG$5)="F",AND(AG$6&gt;0,$A187&lt;AG$6),AND(AG$7&gt;0,$A187&gt;AG$7)),0,MAX(0,ROUND((INDEX($E187:$G187,AG$5)-SUMIFS(TF_Timer,TF_Tekniker,AG$4,TF_Dato,$A187))*2,0)/2)))</f>
        <v/>
      </c>
      <c r="AH187">
        <f>IF(OR(AH$4="",$A187&gt;TODAY()),0,IF(OR(INDEX($B187:$D187,AH$5)="F",AND(AH$6&gt;0,$A187&lt;AH$6),AND(AH$7&gt;0,$A187&gt;AH$7)),0,MAX(0,ROUND((INDEX($E187:$G187,AH$5)-SUMIFS(TF_Timer,TF_Tekniker,AH$4,TF_Dato,$A187))*2,0)/2)))</f>
        <v/>
      </c>
      <c r="AI187">
        <f>IF(OR(AI$4="",$A187&gt;TODAY()),0,IF(OR(INDEX($B187:$D187,AI$5)="F",AND(AI$6&gt;0,$A187&lt;AI$6),AND(AI$7&gt;0,$A187&gt;AI$7)),0,MAX(0,ROUND((INDEX($E187:$G187,AI$5)-SUMIFS(TF_Timer,TF_Tekniker,AI$4,TF_Dato,$A187))*2,0)/2)))</f>
        <v/>
      </c>
      <c r="AJ187">
        <f>IF(OR(AJ$4="",$A187&gt;TODAY()),0,IF(OR(INDEX($B187:$D187,AJ$5)="F",AND(AJ$6&gt;0,$A187&lt;AJ$6),AND(AJ$7&gt;0,$A187&gt;AJ$7)),0,MAX(0,ROUND((INDEX($E187:$G187,AJ$5)-SUMIFS(TF_Timer,TF_Tekniker,AJ$4,TF_Dato,$A187))*2,0)/2)))</f>
        <v/>
      </c>
      <c r="AK187">
        <f>IF(OR(AK$4="",$A187&gt;TODAY()),0,IF(OR(INDEX($B187:$D187,AK$5)="F",AND(AK$6&gt;0,$A187&lt;AK$6),AND(AK$7&gt;0,$A187&gt;AK$7)),0,MAX(0,ROUND((INDEX($E187:$G187,AK$5)-SUMIFS(TF_Timer,TF_Tekniker,AK$4,TF_Dato,$A187))*2,0)/2)))</f>
        <v/>
      </c>
      <c r="AL187">
        <f>IF(OR(AL$4="",$A187&gt;TODAY()),0,IF(OR(INDEX($B187:$D187,AL$5)="F",AND(AL$6&gt;0,$A187&lt;AL$6),AND(AL$7&gt;0,$A187&gt;AL$7)),0,MAX(0,ROUND((INDEX($E187:$G187,AL$5)-SUMIFS(TF_Timer,TF_Tekniker,AL$4,TF_Dato,$A187))*2,0)/2)))</f>
        <v/>
      </c>
      <c r="AM187">
        <f>IF(OR(AM$4="",$A187&gt;TODAY()),0,IF(OR(INDEX($B187:$D187,AM$5)="F",AND(AM$6&gt;0,$A187&lt;AM$6),AND(AM$7&gt;0,$A187&gt;AM$7)),0,MAX(0,ROUND((INDEX($E187:$G187,AM$5)-SUMIFS(TF_Timer,TF_Tekniker,AM$4,TF_Dato,$A187))*2,0)/2)))</f>
        <v/>
      </c>
      <c r="AN187">
        <f>IF(OR(AN$4="",$A187&gt;TODAY()),0,IF(OR(INDEX($B187:$D187,AN$5)="F",AND(AN$6&gt;0,$A187&lt;AN$6),AND(AN$7&gt;0,$A187&gt;AN$7)),0,MAX(0,ROUND((INDEX($E187:$G187,AN$5)-SUMIFS(TF_Timer,TF_Tekniker,AN$4,TF_Dato,$A187))*2,0)/2)))</f>
        <v/>
      </c>
      <c r="AO187">
        <f>IF(OR(AO$4="",$A187&gt;TODAY()),0,IF(OR(INDEX($B187:$D187,AO$5)="F",AND(AO$6&gt;0,$A187&lt;AO$6),AND(AO$7&gt;0,$A187&gt;AO$7)),0,MAX(0,ROUND((INDEX($E187:$G187,AO$5)-SUMIFS(TF_Timer,TF_Tekniker,AO$4,TF_Dato,$A187))*2,0)/2)))</f>
        <v/>
      </c>
      <c r="AP187">
        <f>IF(OR(AP$4="",$A187&gt;TODAY()),0,IF(OR(INDEX($B187:$D187,AP$5)="F",AND(AP$6&gt;0,$A187&lt;AP$6),AND(AP$7&gt;0,$A187&gt;AP$7)),0,MAX(0,ROUND((INDEX($E187:$G187,AP$5)-SUMIFS(TF_Timer,TF_Tekniker,AP$4,TF_Dato,$A187))*2,0)/2)))</f>
        <v/>
      </c>
      <c r="AQ187">
        <f>IF(OR(AQ$4="",$A187&gt;TODAY()),0,IF(OR(INDEX($B187:$D187,AQ$5)="F",AND(AQ$6&gt;0,$A187&lt;AQ$6),AND(AQ$7&gt;0,$A187&gt;AQ$7)),0,MAX(0,ROUND((INDEX($E187:$G187,AQ$5)-SUMIFS(TF_Timer,TF_Tekniker,AQ$4,TF_Dato,$A187))*2,0)/2)))</f>
        <v/>
      </c>
      <c r="AR187">
        <f>IF(OR(AR$4="",$A187&gt;TODAY()),0,IF(OR(INDEX($B187:$D187,AR$5)="F",AND(AR$6&gt;0,$A187&lt;AR$6),AND(AR$7&gt;0,$A187&gt;AR$7)),0,MAX(0,ROUND((INDEX($E187:$G187,AR$5)-SUMIFS(TF_Timer,TF_Tekniker,AR$4,TF_Dato,$A187))*2,0)/2)))</f>
        <v/>
      </c>
      <c r="AS187">
        <f>IF(OR(AS$4="",$A187&gt;TODAY()),0,IF(OR(INDEX($B187:$D187,AS$5)="F",AND(AS$6&gt;0,$A187&lt;AS$6),AND(AS$7&gt;0,$A187&gt;AS$7)),0,MAX(0,ROUND((INDEX($E187:$G187,AS$5)-SUMIFS(TF_Timer,TF_Tekniker,AS$4,TF_Dato,$A187))*2,0)/2)))</f>
        <v/>
      </c>
      <c r="AT187">
        <f>IF(OR(AT$4="",$A187&gt;TODAY()),0,IF(OR(INDEX($B187:$D187,AT$5)="F",AND(AT$6&gt;0,$A187&lt;AT$6),AND(AT$7&gt;0,$A187&gt;AT$7)),0,MAX(0,ROUND((INDEX($E187:$G187,AT$5)-SUMIFS(TF_Timer,TF_Tekniker,AT$4,TF_Dato,$A187))*2,0)/2)))</f>
        <v/>
      </c>
      <c r="AU187">
        <f>IF(OR(AU$4="",$A187&gt;TODAY()),0,IF(OR(INDEX($B187:$D187,AU$5)="F",AND(AU$6&gt;0,$A187&lt;AU$6),AND(AU$7&gt;0,$A187&gt;AU$7)),0,MAX(0,ROUND((INDEX($E187:$G187,AU$5)-SUMIFS(TF_Timer,TF_Tekniker,AU$4,TF_Dato,$A187))*2,0)/2)))</f>
        <v/>
      </c>
      <c r="AV187">
        <f>IF(OR(AV$4="",$A187&gt;TODAY()),0,IF(OR(INDEX($B187:$D187,AV$5)="F",AND(AV$6&gt;0,$A187&lt;AV$6),AND(AV$7&gt;0,$A187&gt;AV$7)),0,MAX(0,ROUND((INDEX($E187:$G187,AV$5)-SUMIFS(TF_Timer,TF_Tekniker,AV$4,TF_Dato,$A187))*2,0)/2)))</f>
        <v/>
      </c>
      <c r="AW187">
        <f>IF(OR(AW$4="",$A187&gt;TODAY()),0,IF(OR(INDEX($B187:$D187,AW$5)="F",AND(AW$6&gt;0,$A187&lt;AW$6),AND(AW$7&gt;0,$A187&gt;AW$7)),0,MAX(0,ROUND((INDEX($E187:$G187,AW$5)-SUMIFS(TF_Timer,TF_Tekniker,AW$4,TF_Dato,$A187))*2,0)/2)))</f>
        <v/>
      </c>
      <c r="AX187">
        <f>IF(OR(AX$4="",$A187&gt;TODAY()),0,IF(OR(INDEX($B187:$D187,AX$5)="F",AND(AX$6&gt;0,$A187&lt;AX$6),AND(AX$7&gt;0,$A187&gt;AX$7)),0,MAX(0,ROUND((INDEX($E187:$G187,AX$5)-SUMIFS(TF_Timer,TF_Tekniker,AX$4,TF_Dato,$A187))*2,0)/2)))</f>
        <v/>
      </c>
      <c r="AY187">
        <f>IF(OR(AY$4="",$A187&gt;TODAY()),0,IF(OR(INDEX($B187:$D187,AY$5)="F",AND(AY$6&gt;0,$A187&lt;AY$6),AND(AY$7&gt;0,$A187&gt;AY$7)),0,MAX(0,ROUND((INDEX($E187:$G187,AY$5)-SUMIFS(TF_Timer,TF_Tekniker,AY$4,TF_Dato,$A187))*2,0)/2)))</f>
        <v/>
      </c>
      <c r="AZ187">
        <f>IF(OR(AZ$4="",$A187&gt;TODAY()),0,IF(OR(INDEX($B187:$D187,AZ$5)="F",AND(AZ$6&gt;0,$A187&lt;AZ$6),AND(AZ$7&gt;0,$A187&gt;AZ$7)),0,MAX(0,ROUND((INDEX($E187:$G187,AZ$5)-SUMIFS(TF_Timer,TF_Tekniker,AZ$4,TF_Dato,$A187))*2,0)/2)))</f>
        <v/>
      </c>
      <c r="BA187">
        <f>IF(OR(BA$4="",$A187&gt;TODAY()),0,IF(OR(INDEX($B187:$D187,BA$5)="F",AND(BA$6&gt;0,$A187&lt;BA$6),AND(BA$7&gt;0,$A187&gt;BA$7)),0,MAX(0,ROUND((INDEX($E187:$G187,BA$5)-SUMIFS(TF_Timer,TF_Tekniker,BA$4,TF_Dato,$A187))*2,0)/2)))</f>
        <v/>
      </c>
      <c r="BB187">
        <f>IF(OR(BB$4="",$A187&gt;TODAY()),0,IF(OR(INDEX($B187:$D187,BB$5)="F",AND(BB$6&gt;0,$A187&lt;BB$6),AND(BB$7&gt;0,$A187&gt;BB$7)),0,MAX(0,ROUND((INDEX($E187:$G187,BB$5)-SUMIFS(TF_Timer,TF_Tekniker,BB$4,TF_Dato,$A187))*2,0)/2)))</f>
        <v/>
      </c>
      <c r="BC187">
        <f>IF(OR(BC$4="",$A187&gt;TODAY()),0,IF(OR(INDEX($B187:$D187,BC$5)="F",AND(BC$6&gt;0,$A187&lt;BC$6),AND(BC$7&gt;0,$A187&gt;BC$7)),0,MAX(0,ROUND((INDEX($E187:$G187,BC$5)-SUMIFS(TF_Timer,TF_Tekniker,BC$4,TF_Dato,$A187))*2,0)/2)))</f>
        <v/>
      </c>
      <c r="BD187">
        <f>IF(OR(BD$4="",$A187&gt;TODAY()),0,IF(OR(INDEX($B187:$D187,BD$5)="F",AND(BD$6&gt;0,$A187&lt;BD$6),AND(BD$7&gt;0,$A187&gt;BD$7)),0,MAX(0,ROUND((INDEX($E187:$G187,BD$5)-SUMIFS(TF_Timer,TF_Tekniker,BD$4,TF_Dato,$A187))*2,0)/2)))</f>
        <v/>
      </c>
      <c r="BE187">
        <f>IF(OR(BE$4="",$A187&gt;TODAY()),0,IF(OR(INDEX($B187:$D187,BE$5)="F",AND(BE$6&gt;0,$A187&lt;BE$6),AND(BE$7&gt;0,$A187&gt;BE$7)),0,MAX(0,ROUND((INDEX($E187:$G187,BE$5)-SUMIFS(TF_Timer,TF_Tekniker,BE$4,TF_Dato,$A187))*2,0)/2)))</f>
        <v/>
      </c>
      <c r="BF187">
        <f>IF(OR(BF$4="",$A187&gt;TODAY()),0,IF(OR(INDEX($B187:$D187,BF$5)="F",AND(BF$6&gt;0,$A187&lt;BF$6),AND(BF$7&gt;0,$A187&gt;BF$7)),0,MAX(0,ROUND((INDEX($E187:$G187,BF$5)-SUMIFS(TF_Timer,TF_Tekniker,BF$4,TF_Dato,$A187))*2,0)/2)))</f>
        <v/>
      </c>
      <c r="BG187">
        <f>IF(OR(BG$4="",$A187&gt;TODAY()),0,IF(OR(INDEX($B187:$D187,BG$5)="F",AND(BG$6&gt;0,$A187&lt;BG$6),AND(BG$7&gt;0,$A187&gt;BG$7)),0,MAX(0,ROUND((INDEX($E187:$G187,BG$5)-SUMIFS(TF_Timer,TF_Tekniker,BG$4,TF_Dato,$A187))*2,0)/2)))</f>
        <v/>
      </c>
      <c r="BH187">
        <f>IF(OR(BH$4="",$A187&gt;TODAY()),0,IF(OR(INDEX($B187:$D187,BH$5)="F",AND(BH$6&gt;0,$A187&lt;BH$6),AND(BH$7&gt;0,$A187&gt;BH$7)),0,MAX(0,ROUND((INDEX($E187:$G187,BH$5)-SUMIFS(TF_Timer,TF_Tekniker,BH$4,TF_Dato,$A187))*2,0)/2)))</f>
        <v/>
      </c>
      <c r="BI187">
        <f>IF(OR(BI$4="",$A187&gt;TODAY()),0,IF(OR(INDEX($B187:$D187,BI$5)="F",AND(BI$6&gt;0,$A187&lt;BI$6),AND(BI$7&gt;0,$A187&gt;BI$7)),0,MAX(0,ROUND((INDEX($E187:$G187,BI$5)-SUMIFS(TF_Timer,TF_Tekniker,BI$4,TF_Dato,$A187))*2,0)/2)))</f>
        <v/>
      </c>
    </row>
    <row r="188">
      <c r="A188" s="64">
        <f>A187+1</f>
        <v/>
      </c>
      <c r="B188">
        <f>IF(MOD($A188-INDEX(SkiftStart,1),Syklus)&lt;DagK,"K",IF(MOD($A188-INDEX(SkiftStart,1),Syklus)&lt;DagK+DagH,"H",IF(MOD($A188-INDEX(SkiftStart,1),Syklus)&lt;DagK+DagH+DagD,"D","F")))</f>
        <v/>
      </c>
      <c r="C188">
        <f>IF(MOD($A188-INDEX(SkiftStart,2),Syklus)&lt;DagK,"K",IF(MOD($A188-INDEX(SkiftStart,2),Syklus)&lt;DagK+DagH,"H",IF(MOD($A188-INDEX(SkiftStart,2),Syklus)&lt;DagK+DagH+DagD,"D","F")))</f>
        <v/>
      </c>
      <c r="D188">
        <f>IF(MOD($A188-INDEX(SkiftStart,3),Syklus)&lt;DagK,"K",IF(MOD($A188-INDEX(SkiftStart,3),Syklus)&lt;DagK+DagH,"H",IF(MOD($A188-INDEX(SkiftStart,3),Syklus)&lt;DagK+DagH+DagD,"D","F")))</f>
        <v/>
      </c>
      <c r="E188">
        <f>IF(B188="F",0,IF(WEEKDAY($A188,2)=5,INDEX(TimerFr,MATCH(B188,FaseKode,0)),INDEX(TimerMT,MATCH(B188,FaseKode,0))))</f>
        <v/>
      </c>
      <c r="F188">
        <f>IF(C188="F",0,IF(WEEKDAY($A188,2)=5,INDEX(TimerFr,MATCH(C188,FaseKode,0)),INDEX(TimerMT,MATCH(C188,FaseKode,0))))</f>
        <v/>
      </c>
      <c r="G188">
        <f>IF(D188="F",0,IF(WEEKDAY($A188,2)=5,INDEX(TimerFr,MATCH(D188,FaseKode,0)),INDEX(TimerMT,MATCH(D188,FaseKode,0))))</f>
        <v/>
      </c>
      <c r="H188">
        <f>IF(OR(H$4="",$A188&gt;TODAY()),0,IF(OR(INDEX($B188:$D188,H$5)="F",AND(H$6&gt;0,$A188&lt;H$6),AND(H$7&gt;0,$A188&gt;H$7)),0,MAX(0,ROUND((INDEX($E188:$G188,H$5)-SUMIFS(TF_Timer,TF_Tekniker,H$4,TF_Dato,$A188))*2,0)/2)))</f>
        <v/>
      </c>
      <c r="I188">
        <f>IF(OR(I$4="",$A188&gt;TODAY()),0,IF(OR(INDEX($B188:$D188,I$5)="F",AND(I$6&gt;0,$A188&lt;I$6),AND(I$7&gt;0,$A188&gt;I$7)),0,MAX(0,ROUND((INDEX($E188:$G188,I$5)-SUMIFS(TF_Timer,TF_Tekniker,I$4,TF_Dato,$A188))*2,0)/2)))</f>
        <v/>
      </c>
      <c r="J188">
        <f>IF(OR(J$4="",$A188&gt;TODAY()),0,IF(OR(INDEX($B188:$D188,J$5)="F",AND(J$6&gt;0,$A188&lt;J$6),AND(J$7&gt;0,$A188&gt;J$7)),0,MAX(0,ROUND((INDEX($E188:$G188,J$5)-SUMIFS(TF_Timer,TF_Tekniker,J$4,TF_Dato,$A188))*2,0)/2)))</f>
        <v/>
      </c>
      <c r="K188">
        <f>IF(OR(K$4="",$A188&gt;TODAY()),0,IF(OR(INDEX($B188:$D188,K$5)="F",AND(K$6&gt;0,$A188&lt;K$6),AND(K$7&gt;0,$A188&gt;K$7)),0,MAX(0,ROUND((INDEX($E188:$G188,K$5)-SUMIFS(TF_Timer,TF_Tekniker,K$4,TF_Dato,$A188))*2,0)/2)))</f>
        <v/>
      </c>
      <c r="L188">
        <f>IF(OR(L$4="",$A188&gt;TODAY()),0,IF(OR(INDEX($B188:$D188,L$5)="F",AND(L$6&gt;0,$A188&lt;L$6),AND(L$7&gt;0,$A188&gt;L$7)),0,MAX(0,ROUND((INDEX($E188:$G188,L$5)-SUMIFS(TF_Timer,TF_Tekniker,L$4,TF_Dato,$A188))*2,0)/2)))</f>
        <v/>
      </c>
      <c r="M188">
        <f>IF(OR(M$4="",$A188&gt;TODAY()),0,IF(OR(INDEX($B188:$D188,M$5)="F",AND(M$6&gt;0,$A188&lt;M$6),AND(M$7&gt;0,$A188&gt;M$7)),0,MAX(0,ROUND((INDEX($E188:$G188,M$5)-SUMIFS(TF_Timer,TF_Tekniker,M$4,TF_Dato,$A188))*2,0)/2)))</f>
        <v/>
      </c>
      <c r="N188">
        <f>IF(OR(N$4="",$A188&gt;TODAY()),0,IF(OR(INDEX($B188:$D188,N$5)="F",AND(N$6&gt;0,$A188&lt;N$6),AND(N$7&gt;0,$A188&gt;N$7)),0,MAX(0,ROUND((INDEX($E188:$G188,N$5)-SUMIFS(TF_Timer,TF_Tekniker,N$4,TF_Dato,$A188))*2,0)/2)))</f>
        <v/>
      </c>
      <c r="O188">
        <f>IF(OR(O$4="",$A188&gt;TODAY()),0,IF(OR(INDEX($B188:$D188,O$5)="F",AND(O$6&gt;0,$A188&lt;O$6),AND(O$7&gt;0,$A188&gt;O$7)),0,MAX(0,ROUND((INDEX($E188:$G188,O$5)-SUMIFS(TF_Timer,TF_Tekniker,O$4,TF_Dato,$A188))*2,0)/2)))</f>
        <v/>
      </c>
      <c r="P188">
        <f>IF(OR(P$4="",$A188&gt;TODAY()),0,IF(OR(INDEX($B188:$D188,P$5)="F",AND(P$6&gt;0,$A188&lt;P$6),AND(P$7&gt;0,$A188&gt;P$7)),0,MAX(0,ROUND((INDEX($E188:$G188,P$5)-SUMIFS(TF_Timer,TF_Tekniker,P$4,TF_Dato,$A188))*2,0)/2)))</f>
        <v/>
      </c>
      <c r="Q188">
        <f>IF(OR(Q$4="",$A188&gt;TODAY()),0,IF(OR(INDEX($B188:$D188,Q$5)="F",AND(Q$6&gt;0,$A188&lt;Q$6),AND(Q$7&gt;0,$A188&gt;Q$7)),0,MAX(0,ROUND((INDEX($E188:$G188,Q$5)-SUMIFS(TF_Timer,TF_Tekniker,Q$4,TF_Dato,$A188))*2,0)/2)))</f>
        <v/>
      </c>
      <c r="R188">
        <f>IF(OR(R$4="",$A188&gt;TODAY()),0,IF(OR(INDEX($B188:$D188,R$5)="F",AND(R$6&gt;0,$A188&lt;R$6),AND(R$7&gt;0,$A188&gt;R$7)),0,MAX(0,ROUND((INDEX($E188:$G188,R$5)-SUMIFS(TF_Timer,TF_Tekniker,R$4,TF_Dato,$A188))*2,0)/2)))</f>
        <v/>
      </c>
      <c r="S188">
        <f>IF(OR(S$4="",$A188&gt;TODAY()),0,IF(OR(INDEX($B188:$D188,S$5)="F",AND(S$6&gt;0,$A188&lt;S$6),AND(S$7&gt;0,$A188&gt;S$7)),0,MAX(0,ROUND((INDEX($E188:$G188,S$5)-SUMIFS(TF_Timer,TF_Tekniker,S$4,TF_Dato,$A188))*2,0)/2)))</f>
        <v/>
      </c>
      <c r="T188">
        <f>IF(OR(T$4="",$A188&gt;TODAY()),0,IF(OR(INDEX($B188:$D188,T$5)="F",AND(T$6&gt;0,$A188&lt;T$6),AND(T$7&gt;0,$A188&gt;T$7)),0,MAX(0,ROUND((INDEX($E188:$G188,T$5)-SUMIFS(TF_Timer,TF_Tekniker,T$4,TF_Dato,$A188))*2,0)/2)))</f>
        <v/>
      </c>
      <c r="U188">
        <f>IF(OR(U$4="",$A188&gt;TODAY()),0,IF(OR(INDEX($B188:$D188,U$5)="F",AND(U$6&gt;0,$A188&lt;U$6),AND(U$7&gt;0,$A188&gt;U$7)),0,MAX(0,ROUND((INDEX($E188:$G188,U$5)-SUMIFS(TF_Timer,TF_Tekniker,U$4,TF_Dato,$A188))*2,0)/2)))</f>
        <v/>
      </c>
      <c r="V188">
        <f>IF(OR(V$4="",$A188&gt;TODAY()),0,IF(OR(INDEX($B188:$D188,V$5)="F",AND(V$6&gt;0,$A188&lt;V$6),AND(V$7&gt;0,$A188&gt;V$7)),0,MAX(0,ROUND((INDEX($E188:$G188,V$5)-SUMIFS(TF_Timer,TF_Tekniker,V$4,TF_Dato,$A188))*2,0)/2)))</f>
        <v/>
      </c>
      <c r="W188">
        <f>IF(OR(W$4="",$A188&gt;TODAY()),0,IF(OR(INDEX($B188:$D188,W$5)="F",AND(W$6&gt;0,$A188&lt;W$6),AND(W$7&gt;0,$A188&gt;W$7)),0,MAX(0,ROUND((INDEX($E188:$G188,W$5)-SUMIFS(TF_Timer,TF_Tekniker,W$4,TF_Dato,$A188))*2,0)/2)))</f>
        <v/>
      </c>
      <c r="X188">
        <f>IF(OR(X$4="",$A188&gt;TODAY()),0,IF(OR(INDEX($B188:$D188,X$5)="F",AND(X$6&gt;0,$A188&lt;X$6),AND(X$7&gt;0,$A188&gt;X$7)),0,MAX(0,ROUND((INDEX($E188:$G188,X$5)-SUMIFS(TF_Timer,TF_Tekniker,X$4,TF_Dato,$A188))*2,0)/2)))</f>
        <v/>
      </c>
      <c r="Y188">
        <f>IF(OR(Y$4="",$A188&gt;TODAY()),0,IF(OR(INDEX($B188:$D188,Y$5)="F",AND(Y$6&gt;0,$A188&lt;Y$6),AND(Y$7&gt;0,$A188&gt;Y$7)),0,MAX(0,ROUND((INDEX($E188:$G188,Y$5)-SUMIFS(TF_Timer,TF_Tekniker,Y$4,TF_Dato,$A188))*2,0)/2)))</f>
        <v/>
      </c>
      <c r="Z188">
        <f>IF(OR(Z$4="",$A188&gt;TODAY()),0,IF(OR(INDEX($B188:$D188,Z$5)="F",AND(Z$6&gt;0,$A188&lt;Z$6),AND(Z$7&gt;0,$A188&gt;Z$7)),0,MAX(0,ROUND((INDEX($E188:$G188,Z$5)-SUMIFS(TF_Timer,TF_Tekniker,Z$4,TF_Dato,$A188))*2,0)/2)))</f>
        <v/>
      </c>
      <c r="AA188">
        <f>IF(OR(AA$4="",$A188&gt;TODAY()),0,IF(OR(INDEX($B188:$D188,AA$5)="F",AND(AA$6&gt;0,$A188&lt;AA$6),AND(AA$7&gt;0,$A188&gt;AA$7)),0,MAX(0,ROUND((INDEX($E188:$G188,AA$5)-SUMIFS(TF_Timer,TF_Tekniker,AA$4,TF_Dato,$A188))*2,0)/2)))</f>
        <v/>
      </c>
      <c r="AB188">
        <f>IF(OR(AB$4="",$A188&gt;TODAY()),0,IF(OR(INDEX($B188:$D188,AB$5)="F",AND(AB$6&gt;0,$A188&lt;AB$6),AND(AB$7&gt;0,$A188&gt;AB$7)),0,MAX(0,ROUND((INDEX($E188:$G188,AB$5)-SUMIFS(TF_Timer,TF_Tekniker,AB$4,TF_Dato,$A188))*2,0)/2)))</f>
        <v/>
      </c>
      <c r="AC188">
        <f>IF(OR(AC$4="",$A188&gt;TODAY()),0,IF(OR(INDEX($B188:$D188,AC$5)="F",AND(AC$6&gt;0,$A188&lt;AC$6),AND(AC$7&gt;0,$A188&gt;AC$7)),0,MAX(0,ROUND((INDEX($E188:$G188,AC$5)-SUMIFS(TF_Timer,TF_Tekniker,AC$4,TF_Dato,$A188))*2,0)/2)))</f>
        <v/>
      </c>
      <c r="AD188">
        <f>IF(OR(AD$4="",$A188&gt;TODAY()),0,IF(OR(INDEX($B188:$D188,AD$5)="F",AND(AD$6&gt;0,$A188&lt;AD$6),AND(AD$7&gt;0,$A188&gt;AD$7)),0,MAX(0,ROUND((INDEX($E188:$G188,AD$5)-SUMIFS(TF_Timer,TF_Tekniker,AD$4,TF_Dato,$A188))*2,0)/2)))</f>
        <v/>
      </c>
      <c r="AE188">
        <f>IF(OR(AE$4="",$A188&gt;TODAY()),0,IF(OR(INDEX($B188:$D188,AE$5)="F",AND(AE$6&gt;0,$A188&lt;AE$6),AND(AE$7&gt;0,$A188&gt;AE$7)),0,MAX(0,ROUND((INDEX($E188:$G188,AE$5)-SUMIFS(TF_Timer,TF_Tekniker,AE$4,TF_Dato,$A188))*2,0)/2)))</f>
        <v/>
      </c>
      <c r="AF188">
        <f>IF(OR(AF$4="",$A188&gt;TODAY()),0,IF(OR(INDEX($B188:$D188,AF$5)="F",AND(AF$6&gt;0,$A188&lt;AF$6),AND(AF$7&gt;0,$A188&gt;AF$7)),0,MAX(0,ROUND((INDEX($E188:$G188,AF$5)-SUMIFS(TF_Timer,TF_Tekniker,AF$4,TF_Dato,$A188))*2,0)/2)))</f>
        <v/>
      </c>
      <c r="AG188">
        <f>IF(OR(AG$4="",$A188&gt;TODAY()),0,IF(OR(INDEX($B188:$D188,AG$5)="F",AND(AG$6&gt;0,$A188&lt;AG$6),AND(AG$7&gt;0,$A188&gt;AG$7)),0,MAX(0,ROUND((INDEX($E188:$G188,AG$5)-SUMIFS(TF_Timer,TF_Tekniker,AG$4,TF_Dato,$A188))*2,0)/2)))</f>
        <v/>
      </c>
      <c r="AH188">
        <f>IF(OR(AH$4="",$A188&gt;TODAY()),0,IF(OR(INDEX($B188:$D188,AH$5)="F",AND(AH$6&gt;0,$A188&lt;AH$6),AND(AH$7&gt;0,$A188&gt;AH$7)),0,MAX(0,ROUND((INDEX($E188:$G188,AH$5)-SUMIFS(TF_Timer,TF_Tekniker,AH$4,TF_Dato,$A188))*2,0)/2)))</f>
        <v/>
      </c>
      <c r="AI188">
        <f>IF(OR(AI$4="",$A188&gt;TODAY()),0,IF(OR(INDEX($B188:$D188,AI$5)="F",AND(AI$6&gt;0,$A188&lt;AI$6),AND(AI$7&gt;0,$A188&gt;AI$7)),0,MAX(0,ROUND((INDEX($E188:$G188,AI$5)-SUMIFS(TF_Timer,TF_Tekniker,AI$4,TF_Dato,$A188))*2,0)/2)))</f>
        <v/>
      </c>
      <c r="AJ188">
        <f>IF(OR(AJ$4="",$A188&gt;TODAY()),0,IF(OR(INDEX($B188:$D188,AJ$5)="F",AND(AJ$6&gt;0,$A188&lt;AJ$6),AND(AJ$7&gt;0,$A188&gt;AJ$7)),0,MAX(0,ROUND((INDEX($E188:$G188,AJ$5)-SUMIFS(TF_Timer,TF_Tekniker,AJ$4,TF_Dato,$A188))*2,0)/2)))</f>
        <v/>
      </c>
      <c r="AK188">
        <f>IF(OR(AK$4="",$A188&gt;TODAY()),0,IF(OR(INDEX($B188:$D188,AK$5)="F",AND(AK$6&gt;0,$A188&lt;AK$6),AND(AK$7&gt;0,$A188&gt;AK$7)),0,MAX(0,ROUND((INDEX($E188:$G188,AK$5)-SUMIFS(TF_Timer,TF_Tekniker,AK$4,TF_Dato,$A188))*2,0)/2)))</f>
        <v/>
      </c>
      <c r="AL188">
        <f>IF(OR(AL$4="",$A188&gt;TODAY()),0,IF(OR(INDEX($B188:$D188,AL$5)="F",AND(AL$6&gt;0,$A188&lt;AL$6),AND(AL$7&gt;0,$A188&gt;AL$7)),0,MAX(0,ROUND((INDEX($E188:$G188,AL$5)-SUMIFS(TF_Timer,TF_Tekniker,AL$4,TF_Dato,$A188))*2,0)/2)))</f>
        <v/>
      </c>
      <c r="AM188">
        <f>IF(OR(AM$4="",$A188&gt;TODAY()),0,IF(OR(INDEX($B188:$D188,AM$5)="F",AND(AM$6&gt;0,$A188&lt;AM$6),AND(AM$7&gt;0,$A188&gt;AM$7)),0,MAX(0,ROUND((INDEX($E188:$G188,AM$5)-SUMIFS(TF_Timer,TF_Tekniker,AM$4,TF_Dato,$A188))*2,0)/2)))</f>
        <v/>
      </c>
      <c r="AN188">
        <f>IF(OR(AN$4="",$A188&gt;TODAY()),0,IF(OR(INDEX($B188:$D188,AN$5)="F",AND(AN$6&gt;0,$A188&lt;AN$6),AND(AN$7&gt;0,$A188&gt;AN$7)),0,MAX(0,ROUND((INDEX($E188:$G188,AN$5)-SUMIFS(TF_Timer,TF_Tekniker,AN$4,TF_Dato,$A188))*2,0)/2)))</f>
        <v/>
      </c>
      <c r="AO188">
        <f>IF(OR(AO$4="",$A188&gt;TODAY()),0,IF(OR(INDEX($B188:$D188,AO$5)="F",AND(AO$6&gt;0,$A188&lt;AO$6),AND(AO$7&gt;0,$A188&gt;AO$7)),0,MAX(0,ROUND((INDEX($E188:$G188,AO$5)-SUMIFS(TF_Timer,TF_Tekniker,AO$4,TF_Dato,$A188))*2,0)/2)))</f>
        <v/>
      </c>
      <c r="AP188">
        <f>IF(OR(AP$4="",$A188&gt;TODAY()),0,IF(OR(INDEX($B188:$D188,AP$5)="F",AND(AP$6&gt;0,$A188&lt;AP$6),AND(AP$7&gt;0,$A188&gt;AP$7)),0,MAX(0,ROUND((INDEX($E188:$G188,AP$5)-SUMIFS(TF_Timer,TF_Tekniker,AP$4,TF_Dato,$A188))*2,0)/2)))</f>
        <v/>
      </c>
      <c r="AQ188">
        <f>IF(OR(AQ$4="",$A188&gt;TODAY()),0,IF(OR(INDEX($B188:$D188,AQ$5)="F",AND(AQ$6&gt;0,$A188&lt;AQ$6),AND(AQ$7&gt;0,$A188&gt;AQ$7)),0,MAX(0,ROUND((INDEX($E188:$G188,AQ$5)-SUMIFS(TF_Timer,TF_Tekniker,AQ$4,TF_Dato,$A188))*2,0)/2)))</f>
        <v/>
      </c>
      <c r="AR188">
        <f>IF(OR(AR$4="",$A188&gt;TODAY()),0,IF(OR(INDEX($B188:$D188,AR$5)="F",AND(AR$6&gt;0,$A188&lt;AR$6),AND(AR$7&gt;0,$A188&gt;AR$7)),0,MAX(0,ROUND((INDEX($E188:$G188,AR$5)-SUMIFS(TF_Timer,TF_Tekniker,AR$4,TF_Dato,$A188))*2,0)/2)))</f>
        <v/>
      </c>
      <c r="AS188">
        <f>IF(OR(AS$4="",$A188&gt;TODAY()),0,IF(OR(INDEX($B188:$D188,AS$5)="F",AND(AS$6&gt;0,$A188&lt;AS$6),AND(AS$7&gt;0,$A188&gt;AS$7)),0,MAX(0,ROUND((INDEX($E188:$G188,AS$5)-SUMIFS(TF_Timer,TF_Tekniker,AS$4,TF_Dato,$A188))*2,0)/2)))</f>
        <v/>
      </c>
      <c r="AT188">
        <f>IF(OR(AT$4="",$A188&gt;TODAY()),0,IF(OR(INDEX($B188:$D188,AT$5)="F",AND(AT$6&gt;0,$A188&lt;AT$6),AND(AT$7&gt;0,$A188&gt;AT$7)),0,MAX(0,ROUND((INDEX($E188:$G188,AT$5)-SUMIFS(TF_Timer,TF_Tekniker,AT$4,TF_Dato,$A188))*2,0)/2)))</f>
        <v/>
      </c>
      <c r="AU188">
        <f>IF(OR(AU$4="",$A188&gt;TODAY()),0,IF(OR(INDEX($B188:$D188,AU$5)="F",AND(AU$6&gt;0,$A188&lt;AU$6),AND(AU$7&gt;0,$A188&gt;AU$7)),0,MAX(0,ROUND((INDEX($E188:$G188,AU$5)-SUMIFS(TF_Timer,TF_Tekniker,AU$4,TF_Dato,$A188))*2,0)/2)))</f>
        <v/>
      </c>
      <c r="AV188">
        <f>IF(OR(AV$4="",$A188&gt;TODAY()),0,IF(OR(INDEX($B188:$D188,AV$5)="F",AND(AV$6&gt;0,$A188&lt;AV$6),AND(AV$7&gt;0,$A188&gt;AV$7)),0,MAX(0,ROUND((INDEX($E188:$G188,AV$5)-SUMIFS(TF_Timer,TF_Tekniker,AV$4,TF_Dato,$A188))*2,0)/2)))</f>
        <v/>
      </c>
      <c r="AW188">
        <f>IF(OR(AW$4="",$A188&gt;TODAY()),0,IF(OR(INDEX($B188:$D188,AW$5)="F",AND(AW$6&gt;0,$A188&lt;AW$6),AND(AW$7&gt;0,$A188&gt;AW$7)),0,MAX(0,ROUND((INDEX($E188:$G188,AW$5)-SUMIFS(TF_Timer,TF_Tekniker,AW$4,TF_Dato,$A188))*2,0)/2)))</f>
        <v/>
      </c>
      <c r="AX188">
        <f>IF(OR(AX$4="",$A188&gt;TODAY()),0,IF(OR(INDEX($B188:$D188,AX$5)="F",AND(AX$6&gt;0,$A188&lt;AX$6),AND(AX$7&gt;0,$A188&gt;AX$7)),0,MAX(0,ROUND((INDEX($E188:$G188,AX$5)-SUMIFS(TF_Timer,TF_Tekniker,AX$4,TF_Dato,$A188))*2,0)/2)))</f>
        <v/>
      </c>
      <c r="AY188">
        <f>IF(OR(AY$4="",$A188&gt;TODAY()),0,IF(OR(INDEX($B188:$D188,AY$5)="F",AND(AY$6&gt;0,$A188&lt;AY$6),AND(AY$7&gt;0,$A188&gt;AY$7)),0,MAX(0,ROUND((INDEX($E188:$G188,AY$5)-SUMIFS(TF_Timer,TF_Tekniker,AY$4,TF_Dato,$A188))*2,0)/2)))</f>
        <v/>
      </c>
      <c r="AZ188">
        <f>IF(OR(AZ$4="",$A188&gt;TODAY()),0,IF(OR(INDEX($B188:$D188,AZ$5)="F",AND(AZ$6&gt;0,$A188&lt;AZ$6),AND(AZ$7&gt;0,$A188&gt;AZ$7)),0,MAX(0,ROUND((INDEX($E188:$G188,AZ$5)-SUMIFS(TF_Timer,TF_Tekniker,AZ$4,TF_Dato,$A188))*2,0)/2)))</f>
        <v/>
      </c>
      <c r="BA188">
        <f>IF(OR(BA$4="",$A188&gt;TODAY()),0,IF(OR(INDEX($B188:$D188,BA$5)="F",AND(BA$6&gt;0,$A188&lt;BA$6),AND(BA$7&gt;0,$A188&gt;BA$7)),0,MAX(0,ROUND((INDEX($E188:$G188,BA$5)-SUMIFS(TF_Timer,TF_Tekniker,BA$4,TF_Dato,$A188))*2,0)/2)))</f>
        <v/>
      </c>
      <c r="BB188">
        <f>IF(OR(BB$4="",$A188&gt;TODAY()),0,IF(OR(INDEX($B188:$D188,BB$5)="F",AND(BB$6&gt;0,$A188&lt;BB$6),AND(BB$7&gt;0,$A188&gt;BB$7)),0,MAX(0,ROUND((INDEX($E188:$G188,BB$5)-SUMIFS(TF_Timer,TF_Tekniker,BB$4,TF_Dato,$A188))*2,0)/2)))</f>
        <v/>
      </c>
      <c r="BC188">
        <f>IF(OR(BC$4="",$A188&gt;TODAY()),0,IF(OR(INDEX($B188:$D188,BC$5)="F",AND(BC$6&gt;0,$A188&lt;BC$6),AND(BC$7&gt;0,$A188&gt;BC$7)),0,MAX(0,ROUND((INDEX($E188:$G188,BC$5)-SUMIFS(TF_Timer,TF_Tekniker,BC$4,TF_Dato,$A188))*2,0)/2)))</f>
        <v/>
      </c>
      <c r="BD188">
        <f>IF(OR(BD$4="",$A188&gt;TODAY()),0,IF(OR(INDEX($B188:$D188,BD$5)="F",AND(BD$6&gt;0,$A188&lt;BD$6),AND(BD$7&gt;0,$A188&gt;BD$7)),0,MAX(0,ROUND((INDEX($E188:$G188,BD$5)-SUMIFS(TF_Timer,TF_Tekniker,BD$4,TF_Dato,$A188))*2,0)/2)))</f>
        <v/>
      </c>
      <c r="BE188">
        <f>IF(OR(BE$4="",$A188&gt;TODAY()),0,IF(OR(INDEX($B188:$D188,BE$5)="F",AND(BE$6&gt;0,$A188&lt;BE$6),AND(BE$7&gt;0,$A188&gt;BE$7)),0,MAX(0,ROUND((INDEX($E188:$G188,BE$5)-SUMIFS(TF_Timer,TF_Tekniker,BE$4,TF_Dato,$A188))*2,0)/2)))</f>
        <v/>
      </c>
      <c r="BF188">
        <f>IF(OR(BF$4="",$A188&gt;TODAY()),0,IF(OR(INDEX($B188:$D188,BF$5)="F",AND(BF$6&gt;0,$A188&lt;BF$6),AND(BF$7&gt;0,$A188&gt;BF$7)),0,MAX(0,ROUND((INDEX($E188:$G188,BF$5)-SUMIFS(TF_Timer,TF_Tekniker,BF$4,TF_Dato,$A188))*2,0)/2)))</f>
        <v/>
      </c>
      <c r="BG188">
        <f>IF(OR(BG$4="",$A188&gt;TODAY()),0,IF(OR(INDEX($B188:$D188,BG$5)="F",AND(BG$6&gt;0,$A188&lt;BG$6),AND(BG$7&gt;0,$A188&gt;BG$7)),0,MAX(0,ROUND((INDEX($E188:$G188,BG$5)-SUMIFS(TF_Timer,TF_Tekniker,BG$4,TF_Dato,$A188))*2,0)/2)))</f>
        <v/>
      </c>
      <c r="BH188">
        <f>IF(OR(BH$4="",$A188&gt;TODAY()),0,IF(OR(INDEX($B188:$D188,BH$5)="F",AND(BH$6&gt;0,$A188&lt;BH$6),AND(BH$7&gt;0,$A188&gt;BH$7)),0,MAX(0,ROUND((INDEX($E188:$G188,BH$5)-SUMIFS(TF_Timer,TF_Tekniker,BH$4,TF_Dato,$A188))*2,0)/2)))</f>
        <v/>
      </c>
      <c r="BI188">
        <f>IF(OR(BI$4="",$A188&gt;TODAY()),0,IF(OR(INDEX($B188:$D188,BI$5)="F",AND(BI$6&gt;0,$A188&lt;BI$6),AND(BI$7&gt;0,$A188&gt;BI$7)),0,MAX(0,ROUND((INDEX($E188:$G188,BI$5)-SUMIFS(TF_Timer,TF_Tekniker,BI$4,TF_Dato,$A188))*2,0)/2)))</f>
        <v/>
      </c>
    </row>
    <row r="189">
      <c r="A189" s="64">
        <f>A188+1</f>
        <v/>
      </c>
      <c r="B189">
        <f>IF(MOD($A189-INDEX(SkiftStart,1),Syklus)&lt;DagK,"K",IF(MOD($A189-INDEX(SkiftStart,1),Syklus)&lt;DagK+DagH,"H",IF(MOD($A189-INDEX(SkiftStart,1),Syklus)&lt;DagK+DagH+DagD,"D","F")))</f>
        <v/>
      </c>
      <c r="C189">
        <f>IF(MOD($A189-INDEX(SkiftStart,2),Syklus)&lt;DagK,"K",IF(MOD($A189-INDEX(SkiftStart,2),Syklus)&lt;DagK+DagH,"H",IF(MOD($A189-INDEX(SkiftStart,2),Syklus)&lt;DagK+DagH+DagD,"D","F")))</f>
        <v/>
      </c>
      <c r="D189">
        <f>IF(MOD($A189-INDEX(SkiftStart,3),Syklus)&lt;DagK,"K",IF(MOD($A189-INDEX(SkiftStart,3),Syklus)&lt;DagK+DagH,"H",IF(MOD($A189-INDEX(SkiftStart,3),Syklus)&lt;DagK+DagH+DagD,"D","F")))</f>
        <v/>
      </c>
      <c r="E189">
        <f>IF(B189="F",0,IF(WEEKDAY($A189,2)=5,INDEX(TimerFr,MATCH(B189,FaseKode,0)),INDEX(TimerMT,MATCH(B189,FaseKode,0))))</f>
        <v/>
      </c>
      <c r="F189">
        <f>IF(C189="F",0,IF(WEEKDAY($A189,2)=5,INDEX(TimerFr,MATCH(C189,FaseKode,0)),INDEX(TimerMT,MATCH(C189,FaseKode,0))))</f>
        <v/>
      </c>
      <c r="G189">
        <f>IF(D189="F",0,IF(WEEKDAY($A189,2)=5,INDEX(TimerFr,MATCH(D189,FaseKode,0)),INDEX(TimerMT,MATCH(D189,FaseKode,0))))</f>
        <v/>
      </c>
      <c r="H189">
        <f>IF(OR(H$4="",$A189&gt;TODAY()),0,IF(OR(INDEX($B189:$D189,H$5)="F",AND(H$6&gt;0,$A189&lt;H$6),AND(H$7&gt;0,$A189&gt;H$7)),0,MAX(0,ROUND((INDEX($E189:$G189,H$5)-SUMIFS(TF_Timer,TF_Tekniker,H$4,TF_Dato,$A189))*2,0)/2)))</f>
        <v/>
      </c>
      <c r="I189">
        <f>IF(OR(I$4="",$A189&gt;TODAY()),0,IF(OR(INDEX($B189:$D189,I$5)="F",AND(I$6&gt;0,$A189&lt;I$6),AND(I$7&gt;0,$A189&gt;I$7)),0,MAX(0,ROUND((INDEX($E189:$G189,I$5)-SUMIFS(TF_Timer,TF_Tekniker,I$4,TF_Dato,$A189))*2,0)/2)))</f>
        <v/>
      </c>
      <c r="J189">
        <f>IF(OR(J$4="",$A189&gt;TODAY()),0,IF(OR(INDEX($B189:$D189,J$5)="F",AND(J$6&gt;0,$A189&lt;J$6),AND(J$7&gt;0,$A189&gt;J$7)),0,MAX(0,ROUND((INDEX($E189:$G189,J$5)-SUMIFS(TF_Timer,TF_Tekniker,J$4,TF_Dato,$A189))*2,0)/2)))</f>
        <v/>
      </c>
      <c r="K189">
        <f>IF(OR(K$4="",$A189&gt;TODAY()),0,IF(OR(INDEX($B189:$D189,K$5)="F",AND(K$6&gt;0,$A189&lt;K$6),AND(K$7&gt;0,$A189&gt;K$7)),0,MAX(0,ROUND((INDEX($E189:$G189,K$5)-SUMIFS(TF_Timer,TF_Tekniker,K$4,TF_Dato,$A189))*2,0)/2)))</f>
        <v/>
      </c>
      <c r="L189">
        <f>IF(OR(L$4="",$A189&gt;TODAY()),0,IF(OR(INDEX($B189:$D189,L$5)="F",AND(L$6&gt;0,$A189&lt;L$6),AND(L$7&gt;0,$A189&gt;L$7)),0,MAX(0,ROUND((INDEX($E189:$G189,L$5)-SUMIFS(TF_Timer,TF_Tekniker,L$4,TF_Dato,$A189))*2,0)/2)))</f>
        <v/>
      </c>
      <c r="M189">
        <f>IF(OR(M$4="",$A189&gt;TODAY()),0,IF(OR(INDEX($B189:$D189,M$5)="F",AND(M$6&gt;0,$A189&lt;M$6),AND(M$7&gt;0,$A189&gt;M$7)),0,MAX(0,ROUND((INDEX($E189:$G189,M$5)-SUMIFS(TF_Timer,TF_Tekniker,M$4,TF_Dato,$A189))*2,0)/2)))</f>
        <v/>
      </c>
      <c r="N189">
        <f>IF(OR(N$4="",$A189&gt;TODAY()),0,IF(OR(INDEX($B189:$D189,N$5)="F",AND(N$6&gt;0,$A189&lt;N$6),AND(N$7&gt;0,$A189&gt;N$7)),0,MAX(0,ROUND((INDEX($E189:$G189,N$5)-SUMIFS(TF_Timer,TF_Tekniker,N$4,TF_Dato,$A189))*2,0)/2)))</f>
        <v/>
      </c>
      <c r="O189">
        <f>IF(OR(O$4="",$A189&gt;TODAY()),0,IF(OR(INDEX($B189:$D189,O$5)="F",AND(O$6&gt;0,$A189&lt;O$6),AND(O$7&gt;0,$A189&gt;O$7)),0,MAX(0,ROUND((INDEX($E189:$G189,O$5)-SUMIFS(TF_Timer,TF_Tekniker,O$4,TF_Dato,$A189))*2,0)/2)))</f>
        <v/>
      </c>
      <c r="P189">
        <f>IF(OR(P$4="",$A189&gt;TODAY()),0,IF(OR(INDEX($B189:$D189,P$5)="F",AND(P$6&gt;0,$A189&lt;P$6),AND(P$7&gt;0,$A189&gt;P$7)),0,MAX(0,ROUND((INDEX($E189:$G189,P$5)-SUMIFS(TF_Timer,TF_Tekniker,P$4,TF_Dato,$A189))*2,0)/2)))</f>
        <v/>
      </c>
      <c r="Q189">
        <f>IF(OR(Q$4="",$A189&gt;TODAY()),0,IF(OR(INDEX($B189:$D189,Q$5)="F",AND(Q$6&gt;0,$A189&lt;Q$6),AND(Q$7&gt;0,$A189&gt;Q$7)),0,MAX(0,ROUND((INDEX($E189:$G189,Q$5)-SUMIFS(TF_Timer,TF_Tekniker,Q$4,TF_Dato,$A189))*2,0)/2)))</f>
        <v/>
      </c>
      <c r="R189">
        <f>IF(OR(R$4="",$A189&gt;TODAY()),0,IF(OR(INDEX($B189:$D189,R$5)="F",AND(R$6&gt;0,$A189&lt;R$6),AND(R$7&gt;0,$A189&gt;R$7)),0,MAX(0,ROUND((INDEX($E189:$G189,R$5)-SUMIFS(TF_Timer,TF_Tekniker,R$4,TF_Dato,$A189))*2,0)/2)))</f>
        <v/>
      </c>
      <c r="S189">
        <f>IF(OR(S$4="",$A189&gt;TODAY()),0,IF(OR(INDEX($B189:$D189,S$5)="F",AND(S$6&gt;0,$A189&lt;S$6),AND(S$7&gt;0,$A189&gt;S$7)),0,MAX(0,ROUND((INDEX($E189:$G189,S$5)-SUMIFS(TF_Timer,TF_Tekniker,S$4,TF_Dato,$A189))*2,0)/2)))</f>
        <v/>
      </c>
      <c r="T189">
        <f>IF(OR(T$4="",$A189&gt;TODAY()),0,IF(OR(INDEX($B189:$D189,T$5)="F",AND(T$6&gt;0,$A189&lt;T$6),AND(T$7&gt;0,$A189&gt;T$7)),0,MAX(0,ROUND((INDEX($E189:$G189,T$5)-SUMIFS(TF_Timer,TF_Tekniker,T$4,TF_Dato,$A189))*2,0)/2)))</f>
        <v/>
      </c>
      <c r="U189">
        <f>IF(OR(U$4="",$A189&gt;TODAY()),0,IF(OR(INDEX($B189:$D189,U$5)="F",AND(U$6&gt;0,$A189&lt;U$6),AND(U$7&gt;0,$A189&gt;U$7)),0,MAX(0,ROUND((INDEX($E189:$G189,U$5)-SUMIFS(TF_Timer,TF_Tekniker,U$4,TF_Dato,$A189))*2,0)/2)))</f>
        <v/>
      </c>
      <c r="V189">
        <f>IF(OR(V$4="",$A189&gt;TODAY()),0,IF(OR(INDEX($B189:$D189,V$5)="F",AND(V$6&gt;0,$A189&lt;V$6),AND(V$7&gt;0,$A189&gt;V$7)),0,MAX(0,ROUND((INDEX($E189:$G189,V$5)-SUMIFS(TF_Timer,TF_Tekniker,V$4,TF_Dato,$A189))*2,0)/2)))</f>
        <v/>
      </c>
      <c r="W189">
        <f>IF(OR(W$4="",$A189&gt;TODAY()),0,IF(OR(INDEX($B189:$D189,W$5)="F",AND(W$6&gt;0,$A189&lt;W$6),AND(W$7&gt;0,$A189&gt;W$7)),0,MAX(0,ROUND((INDEX($E189:$G189,W$5)-SUMIFS(TF_Timer,TF_Tekniker,W$4,TF_Dato,$A189))*2,0)/2)))</f>
        <v/>
      </c>
      <c r="X189">
        <f>IF(OR(X$4="",$A189&gt;TODAY()),0,IF(OR(INDEX($B189:$D189,X$5)="F",AND(X$6&gt;0,$A189&lt;X$6),AND(X$7&gt;0,$A189&gt;X$7)),0,MAX(0,ROUND((INDEX($E189:$G189,X$5)-SUMIFS(TF_Timer,TF_Tekniker,X$4,TF_Dato,$A189))*2,0)/2)))</f>
        <v/>
      </c>
      <c r="Y189">
        <f>IF(OR(Y$4="",$A189&gt;TODAY()),0,IF(OR(INDEX($B189:$D189,Y$5)="F",AND(Y$6&gt;0,$A189&lt;Y$6),AND(Y$7&gt;0,$A189&gt;Y$7)),0,MAX(0,ROUND((INDEX($E189:$G189,Y$5)-SUMIFS(TF_Timer,TF_Tekniker,Y$4,TF_Dato,$A189))*2,0)/2)))</f>
        <v/>
      </c>
      <c r="Z189">
        <f>IF(OR(Z$4="",$A189&gt;TODAY()),0,IF(OR(INDEX($B189:$D189,Z$5)="F",AND(Z$6&gt;0,$A189&lt;Z$6),AND(Z$7&gt;0,$A189&gt;Z$7)),0,MAX(0,ROUND((INDEX($E189:$G189,Z$5)-SUMIFS(TF_Timer,TF_Tekniker,Z$4,TF_Dato,$A189))*2,0)/2)))</f>
        <v/>
      </c>
      <c r="AA189">
        <f>IF(OR(AA$4="",$A189&gt;TODAY()),0,IF(OR(INDEX($B189:$D189,AA$5)="F",AND(AA$6&gt;0,$A189&lt;AA$6),AND(AA$7&gt;0,$A189&gt;AA$7)),0,MAX(0,ROUND((INDEX($E189:$G189,AA$5)-SUMIFS(TF_Timer,TF_Tekniker,AA$4,TF_Dato,$A189))*2,0)/2)))</f>
        <v/>
      </c>
      <c r="AB189">
        <f>IF(OR(AB$4="",$A189&gt;TODAY()),0,IF(OR(INDEX($B189:$D189,AB$5)="F",AND(AB$6&gt;0,$A189&lt;AB$6),AND(AB$7&gt;0,$A189&gt;AB$7)),0,MAX(0,ROUND((INDEX($E189:$G189,AB$5)-SUMIFS(TF_Timer,TF_Tekniker,AB$4,TF_Dato,$A189))*2,0)/2)))</f>
        <v/>
      </c>
      <c r="AC189">
        <f>IF(OR(AC$4="",$A189&gt;TODAY()),0,IF(OR(INDEX($B189:$D189,AC$5)="F",AND(AC$6&gt;0,$A189&lt;AC$6),AND(AC$7&gt;0,$A189&gt;AC$7)),0,MAX(0,ROUND((INDEX($E189:$G189,AC$5)-SUMIFS(TF_Timer,TF_Tekniker,AC$4,TF_Dato,$A189))*2,0)/2)))</f>
        <v/>
      </c>
      <c r="AD189">
        <f>IF(OR(AD$4="",$A189&gt;TODAY()),0,IF(OR(INDEX($B189:$D189,AD$5)="F",AND(AD$6&gt;0,$A189&lt;AD$6),AND(AD$7&gt;0,$A189&gt;AD$7)),0,MAX(0,ROUND((INDEX($E189:$G189,AD$5)-SUMIFS(TF_Timer,TF_Tekniker,AD$4,TF_Dato,$A189))*2,0)/2)))</f>
        <v/>
      </c>
      <c r="AE189">
        <f>IF(OR(AE$4="",$A189&gt;TODAY()),0,IF(OR(INDEX($B189:$D189,AE$5)="F",AND(AE$6&gt;0,$A189&lt;AE$6),AND(AE$7&gt;0,$A189&gt;AE$7)),0,MAX(0,ROUND((INDEX($E189:$G189,AE$5)-SUMIFS(TF_Timer,TF_Tekniker,AE$4,TF_Dato,$A189))*2,0)/2)))</f>
        <v/>
      </c>
      <c r="AF189">
        <f>IF(OR(AF$4="",$A189&gt;TODAY()),0,IF(OR(INDEX($B189:$D189,AF$5)="F",AND(AF$6&gt;0,$A189&lt;AF$6),AND(AF$7&gt;0,$A189&gt;AF$7)),0,MAX(0,ROUND((INDEX($E189:$G189,AF$5)-SUMIFS(TF_Timer,TF_Tekniker,AF$4,TF_Dato,$A189))*2,0)/2)))</f>
        <v/>
      </c>
      <c r="AG189">
        <f>IF(OR(AG$4="",$A189&gt;TODAY()),0,IF(OR(INDEX($B189:$D189,AG$5)="F",AND(AG$6&gt;0,$A189&lt;AG$6),AND(AG$7&gt;0,$A189&gt;AG$7)),0,MAX(0,ROUND((INDEX($E189:$G189,AG$5)-SUMIFS(TF_Timer,TF_Tekniker,AG$4,TF_Dato,$A189))*2,0)/2)))</f>
        <v/>
      </c>
      <c r="AH189">
        <f>IF(OR(AH$4="",$A189&gt;TODAY()),0,IF(OR(INDEX($B189:$D189,AH$5)="F",AND(AH$6&gt;0,$A189&lt;AH$6),AND(AH$7&gt;0,$A189&gt;AH$7)),0,MAX(0,ROUND((INDEX($E189:$G189,AH$5)-SUMIFS(TF_Timer,TF_Tekniker,AH$4,TF_Dato,$A189))*2,0)/2)))</f>
        <v/>
      </c>
      <c r="AI189">
        <f>IF(OR(AI$4="",$A189&gt;TODAY()),0,IF(OR(INDEX($B189:$D189,AI$5)="F",AND(AI$6&gt;0,$A189&lt;AI$6),AND(AI$7&gt;0,$A189&gt;AI$7)),0,MAX(0,ROUND((INDEX($E189:$G189,AI$5)-SUMIFS(TF_Timer,TF_Tekniker,AI$4,TF_Dato,$A189))*2,0)/2)))</f>
        <v/>
      </c>
      <c r="AJ189">
        <f>IF(OR(AJ$4="",$A189&gt;TODAY()),0,IF(OR(INDEX($B189:$D189,AJ$5)="F",AND(AJ$6&gt;0,$A189&lt;AJ$6),AND(AJ$7&gt;0,$A189&gt;AJ$7)),0,MAX(0,ROUND((INDEX($E189:$G189,AJ$5)-SUMIFS(TF_Timer,TF_Tekniker,AJ$4,TF_Dato,$A189))*2,0)/2)))</f>
        <v/>
      </c>
      <c r="AK189">
        <f>IF(OR(AK$4="",$A189&gt;TODAY()),0,IF(OR(INDEX($B189:$D189,AK$5)="F",AND(AK$6&gt;0,$A189&lt;AK$6),AND(AK$7&gt;0,$A189&gt;AK$7)),0,MAX(0,ROUND((INDEX($E189:$G189,AK$5)-SUMIFS(TF_Timer,TF_Tekniker,AK$4,TF_Dato,$A189))*2,0)/2)))</f>
        <v/>
      </c>
      <c r="AL189">
        <f>IF(OR(AL$4="",$A189&gt;TODAY()),0,IF(OR(INDEX($B189:$D189,AL$5)="F",AND(AL$6&gt;0,$A189&lt;AL$6),AND(AL$7&gt;0,$A189&gt;AL$7)),0,MAX(0,ROUND((INDEX($E189:$G189,AL$5)-SUMIFS(TF_Timer,TF_Tekniker,AL$4,TF_Dato,$A189))*2,0)/2)))</f>
        <v/>
      </c>
      <c r="AM189">
        <f>IF(OR(AM$4="",$A189&gt;TODAY()),0,IF(OR(INDEX($B189:$D189,AM$5)="F",AND(AM$6&gt;0,$A189&lt;AM$6),AND(AM$7&gt;0,$A189&gt;AM$7)),0,MAX(0,ROUND((INDEX($E189:$G189,AM$5)-SUMIFS(TF_Timer,TF_Tekniker,AM$4,TF_Dato,$A189))*2,0)/2)))</f>
        <v/>
      </c>
      <c r="AN189">
        <f>IF(OR(AN$4="",$A189&gt;TODAY()),0,IF(OR(INDEX($B189:$D189,AN$5)="F",AND(AN$6&gt;0,$A189&lt;AN$6),AND(AN$7&gt;0,$A189&gt;AN$7)),0,MAX(0,ROUND((INDEX($E189:$G189,AN$5)-SUMIFS(TF_Timer,TF_Tekniker,AN$4,TF_Dato,$A189))*2,0)/2)))</f>
        <v/>
      </c>
      <c r="AO189">
        <f>IF(OR(AO$4="",$A189&gt;TODAY()),0,IF(OR(INDEX($B189:$D189,AO$5)="F",AND(AO$6&gt;0,$A189&lt;AO$6),AND(AO$7&gt;0,$A189&gt;AO$7)),0,MAX(0,ROUND((INDEX($E189:$G189,AO$5)-SUMIFS(TF_Timer,TF_Tekniker,AO$4,TF_Dato,$A189))*2,0)/2)))</f>
        <v/>
      </c>
      <c r="AP189">
        <f>IF(OR(AP$4="",$A189&gt;TODAY()),0,IF(OR(INDEX($B189:$D189,AP$5)="F",AND(AP$6&gt;0,$A189&lt;AP$6),AND(AP$7&gt;0,$A189&gt;AP$7)),0,MAX(0,ROUND((INDEX($E189:$G189,AP$5)-SUMIFS(TF_Timer,TF_Tekniker,AP$4,TF_Dato,$A189))*2,0)/2)))</f>
        <v/>
      </c>
      <c r="AQ189">
        <f>IF(OR(AQ$4="",$A189&gt;TODAY()),0,IF(OR(INDEX($B189:$D189,AQ$5)="F",AND(AQ$6&gt;0,$A189&lt;AQ$6),AND(AQ$7&gt;0,$A189&gt;AQ$7)),0,MAX(0,ROUND((INDEX($E189:$G189,AQ$5)-SUMIFS(TF_Timer,TF_Tekniker,AQ$4,TF_Dato,$A189))*2,0)/2)))</f>
        <v/>
      </c>
      <c r="AR189">
        <f>IF(OR(AR$4="",$A189&gt;TODAY()),0,IF(OR(INDEX($B189:$D189,AR$5)="F",AND(AR$6&gt;0,$A189&lt;AR$6),AND(AR$7&gt;0,$A189&gt;AR$7)),0,MAX(0,ROUND((INDEX($E189:$G189,AR$5)-SUMIFS(TF_Timer,TF_Tekniker,AR$4,TF_Dato,$A189))*2,0)/2)))</f>
        <v/>
      </c>
      <c r="AS189">
        <f>IF(OR(AS$4="",$A189&gt;TODAY()),0,IF(OR(INDEX($B189:$D189,AS$5)="F",AND(AS$6&gt;0,$A189&lt;AS$6),AND(AS$7&gt;0,$A189&gt;AS$7)),0,MAX(0,ROUND((INDEX($E189:$G189,AS$5)-SUMIFS(TF_Timer,TF_Tekniker,AS$4,TF_Dato,$A189))*2,0)/2)))</f>
        <v/>
      </c>
      <c r="AT189">
        <f>IF(OR(AT$4="",$A189&gt;TODAY()),0,IF(OR(INDEX($B189:$D189,AT$5)="F",AND(AT$6&gt;0,$A189&lt;AT$6),AND(AT$7&gt;0,$A189&gt;AT$7)),0,MAX(0,ROUND((INDEX($E189:$G189,AT$5)-SUMIFS(TF_Timer,TF_Tekniker,AT$4,TF_Dato,$A189))*2,0)/2)))</f>
        <v/>
      </c>
      <c r="AU189">
        <f>IF(OR(AU$4="",$A189&gt;TODAY()),0,IF(OR(INDEX($B189:$D189,AU$5)="F",AND(AU$6&gt;0,$A189&lt;AU$6),AND(AU$7&gt;0,$A189&gt;AU$7)),0,MAX(0,ROUND((INDEX($E189:$G189,AU$5)-SUMIFS(TF_Timer,TF_Tekniker,AU$4,TF_Dato,$A189))*2,0)/2)))</f>
        <v/>
      </c>
      <c r="AV189">
        <f>IF(OR(AV$4="",$A189&gt;TODAY()),0,IF(OR(INDEX($B189:$D189,AV$5)="F",AND(AV$6&gt;0,$A189&lt;AV$6),AND(AV$7&gt;0,$A189&gt;AV$7)),0,MAX(0,ROUND((INDEX($E189:$G189,AV$5)-SUMIFS(TF_Timer,TF_Tekniker,AV$4,TF_Dato,$A189))*2,0)/2)))</f>
        <v/>
      </c>
      <c r="AW189">
        <f>IF(OR(AW$4="",$A189&gt;TODAY()),0,IF(OR(INDEX($B189:$D189,AW$5)="F",AND(AW$6&gt;0,$A189&lt;AW$6),AND(AW$7&gt;0,$A189&gt;AW$7)),0,MAX(0,ROUND((INDEX($E189:$G189,AW$5)-SUMIFS(TF_Timer,TF_Tekniker,AW$4,TF_Dato,$A189))*2,0)/2)))</f>
        <v/>
      </c>
      <c r="AX189">
        <f>IF(OR(AX$4="",$A189&gt;TODAY()),0,IF(OR(INDEX($B189:$D189,AX$5)="F",AND(AX$6&gt;0,$A189&lt;AX$6),AND(AX$7&gt;0,$A189&gt;AX$7)),0,MAX(0,ROUND((INDEX($E189:$G189,AX$5)-SUMIFS(TF_Timer,TF_Tekniker,AX$4,TF_Dato,$A189))*2,0)/2)))</f>
        <v/>
      </c>
      <c r="AY189">
        <f>IF(OR(AY$4="",$A189&gt;TODAY()),0,IF(OR(INDEX($B189:$D189,AY$5)="F",AND(AY$6&gt;0,$A189&lt;AY$6),AND(AY$7&gt;0,$A189&gt;AY$7)),0,MAX(0,ROUND((INDEX($E189:$G189,AY$5)-SUMIFS(TF_Timer,TF_Tekniker,AY$4,TF_Dato,$A189))*2,0)/2)))</f>
        <v/>
      </c>
      <c r="AZ189">
        <f>IF(OR(AZ$4="",$A189&gt;TODAY()),0,IF(OR(INDEX($B189:$D189,AZ$5)="F",AND(AZ$6&gt;0,$A189&lt;AZ$6),AND(AZ$7&gt;0,$A189&gt;AZ$7)),0,MAX(0,ROUND((INDEX($E189:$G189,AZ$5)-SUMIFS(TF_Timer,TF_Tekniker,AZ$4,TF_Dato,$A189))*2,0)/2)))</f>
        <v/>
      </c>
      <c r="BA189">
        <f>IF(OR(BA$4="",$A189&gt;TODAY()),0,IF(OR(INDEX($B189:$D189,BA$5)="F",AND(BA$6&gt;0,$A189&lt;BA$6),AND(BA$7&gt;0,$A189&gt;BA$7)),0,MAX(0,ROUND((INDEX($E189:$G189,BA$5)-SUMIFS(TF_Timer,TF_Tekniker,BA$4,TF_Dato,$A189))*2,0)/2)))</f>
        <v/>
      </c>
      <c r="BB189">
        <f>IF(OR(BB$4="",$A189&gt;TODAY()),0,IF(OR(INDEX($B189:$D189,BB$5)="F",AND(BB$6&gt;0,$A189&lt;BB$6),AND(BB$7&gt;0,$A189&gt;BB$7)),0,MAX(0,ROUND((INDEX($E189:$G189,BB$5)-SUMIFS(TF_Timer,TF_Tekniker,BB$4,TF_Dato,$A189))*2,0)/2)))</f>
        <v/>
      </c>
      <c r="BC189">
        <f>IF(OR(BC$4="",$A189&gt;TODAY()),0,IF(OR(INDEX($B189:$D189,BC$5)="F",AND(BC$6&gt;0,$A189&lt;BC$6),AND(BC$7&gt;0,$A189&gt;BC$7)),0,MAX(0,ROUND((INDEX($E189:$G189,BC$5)-SUMIFS(TF_Timer,TF_Tekniker,BC$4,TF_Dato,$A189))*2,0)/2)))</f>
        <v/>
      </c>
      <c r="BD189">
        <f>IF(OR(BD$4="",$A189&gt;TODAY()),0,IF(OR(INDEX($B189:$D189,BD$5)="F",AND(BD$6&gt;0,$A189&lt;BD$6),AND(BD$7&gt;0,$A189&gt;BD$7)),0,MAX(0,ROUND((INDEX($E189:$G189,BD$5)-SUMIFS(TF_Timer,TF_Tekniker,BD$4,TF_Dato,$A189))*2,0)/2)))</f>
        <v/>
      </c>
      <c r="BE189">
        <f>IF(OR(BE$4="",$A189&gt;TODAY()),0,IF(OR(INDEX($B189:$D189,BE$5)="F",AND(BE$6&gt;0,$A189&lt;BE$6),AND(BE$7&gt;0,$A189&gt;BE$7)),0,MAX(0,ROUND((INDEX($E189:$G189,BE$5)-SUMIFS(TF_Timer,TF_Tekniker,BE$4,TF_Dato,$A189))*2,0)/2)))</f>
        <v/>
      </c>
      <c r="BF189">
        <f>IF(OR(BF$4="",$A189&gt;TODAY()),0,IF(OR(INDEX($B189:$D189,BF$5)="F",AND(BF$6&gt;0,$A189&lt;BF$6),AND(BF$7&gt;0,$A189&gt;BF$7)),0,MAX(0,ROUND((INDEX($E189:$G189,BF$5)-SUMIFS(TF_Timer,TF_Tekniker,BF$4,TF_Dato,$A189))*2,0)/2)))</f>
        <v/>
      </c>
      <c r="BG189">
        <f>IF(OR(BG$4="",$A189&gt;TODAY()),0,IF(OR(INDEX($B189:$D189,BG$5)="F",AND(BG$6&gt;0,$A189&lt;BG$6),AND(BG$7&gt;0,$A189&gt;BG$7)),0,MAX(0,ROUND((INDEX($E189:$G189,BG$5)-SUMIFS(TF_Timer,TF_Tekniker,BG$4,TF_Dato,$A189))*2,0)/2)))</f>
        <v/>
      </c>
      <c r="BH189">
        <f>IF(OR(BH$4="",$A189&gt;TODAY()),0,IF(OR(INDEX($B189:$D189,BH$5)="F",AND(BH$6&gt;0,$A189&lt;BH$6),AND(BH$7&gt;0,$A189&gt;BH$7)),0,MAX(0,ROUND((INDEX($E189:$G189,BH$5)-SUMIFS(TF_Timer,TF_Tekniker,BH$4,TF_Dato,$A189))*2,0)/2)))</f>
        <v/>
      </c>
      <c r="BI189">
        <f>IF(OR(BI$4="",$A189&gt;TODAY()),0,IF(OR(INDEX($B189:$D189,BI$5)="F",AND(BI$6&gt;0,$A189&lt;BI$6),AND(BI$7&gt;0,$A189&gt;BI$7)),0,MAX(0,ROUND((INDEX($E189:$G189,BI$5)-SUMIFS(TF_Timer,TF_Tekniker,BI$4,TF_Dato,$A189))*2,0)/2)))</f>
        <v/>
      </c>
    </row>
    <row r="190">
      <c r="A190" s="64">
        <f>A189+1</f>
        <v/>
      </c>
      <c r="B190">
        <f>IF(MOD($A190-INDEX(SkiftStart,1),Syklus)&lt;DagK,"K",IF(MOD($A190-INDEX(SkiftStart,1),Syklus)&lt;DagK+DagH,"H",IF(MOD($A190-INDEX(SkiftStart,1),Syklus)&lt;DagK+DagH+DagD,"D","F")))</f>
        <v/>
      </c>
      <c r="C190">
        <f>IF(MOD($A190-INDEX(SkiftStart,2),Syklus)&lt;DagK,"K",IF(MOD($A190-INDEX(SkiftStart,2),Syklus)&lt;DagK+DagH,"H",IF(MOD($A190-INDEX(SkiftStart,2),Syklus)&lt;DagK+DagH+DagD,"D","F")))</f>
        <v/>
      </c>
      <c r="D190">
        <f>IF(MOD($A190-INDEX(SkiftStart,3),Syklus)&lt;DagK,"K",IF(MOD($A190-INDEX(SkiftStart,3),Syklus)&lt;DagK+DagH,"H",IF(MOD($A190-INDEX(SkiftStart,3),Syklus)&lt;DagK+DagH+DagD,"D","F")))</f>
        <v/>
      </c>
      <c r="E190">
        <f>IF(B190="F",0,IF(WEEKDAY($A190,2)=5,INDEX(TimerFr,MATCH(B190,FaseKode,0)),INDEX(TimerMT,MATCH(B190,FaseKode,0))))</f>
        <v/>
      </c>
      <c r="F190">
        <f>IF(C190="F",0,IF(WEEKDAY($A190,2)=5,INDEX(TimerFr,MATCH(C190,FaseKode,0)),INDEX(TimerMT,MATCH(C190,FaseKode,0))))</f>
        <v/>
      </c>
      <c r="G190">
        <f>IF(D190="F",0,IF(WEEKDAY($A190,2)=5,INDEX(TimerFr,MATCH(D190,FaseKode,0)),INDEX(TimerMT,MATCH(D190,FaseKode,0))))</f>
        <v/>
      </c>
      <c r="H190">
        <f>IF(OR(H$4="",$A190&gt;TODAY()),0,IF(OR(INDEX($B190:$D190,H$5)="F",AND(H$6&gt;0,$A190&lt;H$6),AND(H$7&gt;0,$A190&gt;H$7)),0,MAX(0,ROUND((INDEX($E190:$G190,H$5)-SUMIFS(TF_Timer,TF_Tekniker,H$4,TF_Dato,$A190))*2,0)/2)))</f>
        <v/>
      </c>
      <c r="I190">
        <f>IF(OR(I$4="",$A190&gt;TODAY()),0,IF(OR(INDEX($B190:$D190,I$5)="F",AND(I$6&gt;0,$A190&lt;I$6),AND(I$7&gt;0,$A190&gt;I$7)),0,MAX(0,ROUND((INDEX($E190:$G190,I$5)-SUMIFS(TF_Timer,TF_Tekniker,I$4,TF_Dato,$A190))*2,0)/2)))</f>
        <v/>
      </c>
      <c r="J190">
        <f>IF(OR(J$4="",$A190&gt;TODAY()),0,IF(OR(INDEX($B190:$D190,J$5)="F",AND(J$6&gt;0,$A190&lt;J$6),AND(J$7&gt;0,$A190&gt;J$7)),0,MAX(0,ROUND((INDEX($E190:$G190,J$5)-SUMIFS(TF_Timer,TF_Tekniker,J$4,TF_Dato,$A190))*2,0)/2)))</f>
        <v/>
      </c>
      <c r="K190">
        <f>IF(OR(K$4="",$A190&gt;TODAY()),0,IF(OR(INDEX($B190:$D190,K$5)="F",AND(K$6&gt;0,$A190&lt;K$6),AND(K$7&gt;0,$A190&gt;K$7)),0,MAX(0,ROUND((INDEX($E190:$G190,K$5)-SUMIFS(TF_Timer,TF_Tekniker,K$4,TF_Dato,$A190))*2,0)/2)))</f>
        <v/>
      </c>
      <c r="L190">
        <f>IF(OR(L$4="",$A190&gt;TODAY()),0,IF(OR(INDEX($B190:$D190,L$5)="F",AND(L$6&gt;0,$A190&lt;L$6),AND(L$7&gt;0,$A190&gt;L$7)),0,MAX(0,ROUND((INDEX($E190:$G190,L$5)-SUMIFS(TF_Timer,TF_Tekniker,L$4,TF_Dato,$A190))*2,0)/2)))</f>
        <v/>
      </c>
      <c r="M190">
        <f>IF(OR(M$4="",$A190&gt;TODAY()),0,IF(OR(INDEX($B190:$D190,M$5)="F",AND(M$6&gt;0,$A190&lt;M$6),AND(M$7&gt;0,$A190&gt;M$7)),0,MAX(0,ROUND((INDEX($E190:$G190,M$5)-SUMIFS(TF_Timer,TF_Tekniker,M$4,TF_Dato,$A190))*2,0)/2)))</f>
        <v/>
      </c>
      <c r="N190">
        <f>IF(OR(N$4="",$A190&gt;TODAY()),0,IF(OR(INDEX($B190:$D190,N$5)="F",AND(N$6&gt;0,$A190&lt;N$6),AND(N$7&gt;0,$A190&gt;N$7)),0,MAX(0,ROUND((INDEX($E190:$G190,N$5)-SUMIFS(TF_Timer,TF_Tekniker,N$4,TF_Dato,$A190))*2,0)/2)))</f>
        <v/>
      </c>
      <c r="O190">
        <f>IF(OR(O$4="",$A190&gt;TODAY()),0,IF(OR(INDEX($B190:$D190,O$5)="F",AND(O$6&gt;0,$A190&lt;O$6),AND(O$7&gt;0,$A190&gt;O$7)),0,MAX(0,ROUND((INDEX($E190:$G190,O$5)-SUMIFS(TF_Timer,TF_Tekniker,O$4,TF_Dato,$A190))*2,0)/2)))</f>
        <v/>
      </c>
      <c r="P190">
        <f>IF(OR(P$4="",$A190&gt;TODAY()),0,IF(OR(INDEX($B190:$D190,P$5)="F",AND(P$6&gt;0,$A190&lt;P$6),AND(P$7&gt;0,$A190&gt;P$7)),0,MAX(0,ROUND((INDEX($E190:$G190,P$5)-SUMIFS(TF_Timer,TF_Tekniker,P$4,TF_Dato,$A190))*2,0)/2)))</f>
        <v/>
      </c>
      <c r="Q190">
        <f>IF(OR(Q$4="",$A190&gt;TODAY()),0,IF(OR(INDEX($B190:$D190,Q$5)="F",AND(Q$6&gt;0,$A190&lt;Q$6),AND(Q$7&gt;0,$A190&gt;Q$7)),0,MAX(0,ROUND((INDEX($E190:$G190,Q$5)-SUMIFS(TF_Timer,TF_Tekniker,Q$4,TF_Dato,$A190))*2,0)/2)))</f>
        <v/>
      </c>
      <c r="R190">
        <f>IF(OR(R$4="",$A190&gt;TODAY()),0,IF(OR(INDEX($B190:$D190,R$5)="F",AND(R$6&gt;0,$A190&lt;R$6),AND(R$7&gt;0,$A190&gt;R$7)),0,MAX(0,ROUND((INDEX($E190:$G190,R$5)-SUMIFS(TF_Timer,TF_Tekniker,R$4,TF_Dato,$A190))*2,0)/2)))</f>
        <v/>
      </c>
      <c r="S190">
        <f>IF(OR(S$4="",$A190&gt;TODAY()),0,IF(OR(INDEX($B190:$D190,S$5)="F",AND(S$6&gt;0,$A190&lt;S$6),AND(S$7&gt;0,$A190&gt;S$7)),0,MAX(0,ROUND((INDEX($E190:$G190,S$5)-SUMIFS(TF_Timer,TF_Tekniker,S$4,TF_Dato,$A190))*2,0)/2)))</f>
        <v/>
      </c>
      <c r="T190">
        <f>IF(OR(T$4="",$A190&gt;TODAY()),0,IF(OR(INDEX($B190:$D190,T$5)="F",AND(T$6&gt;0,$A190&lt;T$6),AND(T$7&gt;0,$A190&gt;T$7)),0,MAX(0,ROUND((INDEX($E190:$G190,T$5)-SUMIFS(TF_Timer,TF_Tekniker,T$4,TF_Dato,$A190))*2,0)/2)))</f>
        <v/>
      </c>
      <c r="U190">
        <f>IF(OR(U$4="",$A190&gt;TODAY()),0,IF(OR(INDEX($B190:$D190,U$5)="F",AND(U$6&gt;0,$A190&lt;U$6),AND(U$7&gt;0,$A190&gt;U$7)),0,MAX(0,ROUND((INDEX($E190:$G190,U$5)-SUMIFS(TF_Timer,TF_Tekniker,U$4,TF_Dato,$A190))*2,0)/2)))</f>
        <v/>
      </c>
      <c r="V190">
        <f>IF(OR(V$4="",$A190&gt;TODAY()),0,IF(OR(INDEX($B190:$D190,V$5)="F",AND(V$6&gt;0,$A190&lt;V$6),AND(V$7&gt;0,$A190&gt;V$7)),0,MAX(0,ROUND((INDEX($E190:$G190,V$5)-SUMIFS(TF_Timer,TF_Tekniker,V$4,TF_Dato,$A190))*2,0)/2)))</f>
        <v/>
      </c>
      <c r="W190">
        <f>IF(OR(W$4="",$A190&gt;TODAY()),0,IF(OR(INDEX($B190:$D190,W$5)="F",AND(W$6&gt;0,$A190&lt;W$6),AND(W$7&gt;0,$A190&gt;W$7)),0,MAX(0,ROUND((INDEX($E190:$G190,W$5)-SUMIFS(TF_Timer,TF_Tekniker,W$4,TF_Dato,$A190))*2,0)/2)))</f>
        <v/>
      </c>
      <c r="X190">
        <f>IF(OR(X$4="",$A190&gt;TODAY()),0,IF(OR(INDEX($B190:$D190,X$5)="F",AND(X$6&gt;0,$A190&lt;X$6),AND(X$7&gt;0,$A190&gt;X$7)),0,MAX(0,ROUND((INDEX($E190:$G190,X$5)-SUMIFS(TF_Timer,TF_Tekniker,X$4,TF_Dato,$A190))*2,0)/2)))</f>
        <v/>
      </c>
      <c r="Y190">
        <f>IF(OR(Y$4="",$A190&gt;TODAY()),0,IF(OR(INDEX($B190:$D190,Y$5)="F",AND(Y$6&gt;0,$A190&lt;Y$6),AND(Y$7&gt;0,$A190&gt;Y$7)),0,MAX(0,ROUND((INDEX($E190:$G190,Y$5)-SUMIFS(TF_Timer,TF_Tekniker,Y$4,TF_Dato,$A190))*2,0)/2)))</f>
        <v/>
      </c>
      <c r="Z190">
        <f>IF(OR(Z$4="",$A190&gt;TODAY()),0,IF(OR(INDEX($B190:$D190,Z$5)="F",AND(Z$6&gt;0,$A190&lt;Z$6),AND(Z$7&gt;0,$A190&gt;Z$7)),0,MAX(0,ROUND((INDEX($E190:$G190,Z$5)-SUMIFS(TF_Timer,TF_Tekniker,Z$4,TF_Dato,$A190))*2,0)/2)))</f>
        <v/>
      </c>
      <c r="AA190">
        <f>IF(OR(AA$4="",$A190&gt;TODAY()),0,IF(OR(INDEX($B190:$D190,AA$5)="F",AND(AA$6&gt;0,$A190&lt;AA$6),AND(AA$7&gt;0,$A190&gt;AA$7)),0,MAX(0,ROUND((INDEX($E190:$G190,AA$5)-SUMIFS(TF_Timer,TF_Tekniker,AA$4,TF_Dato,$A190))*2,0)/2)))</f>
        <v/>
      </c>
      <c r="AB190">
        <f>IF(OR(AB$4="",$A190&gt;TODAY()),0,IF(OR(INDEX($B190:$D190,AB$5)="F",AND(AB$6&gt;0,$A190&lt;AB$6),AND(AB$7&gt;0,$A190&gt;AB$7)),0,MAX(0,ROUND((INDEX($E190:$G190,AB$5)-SUMIFS(TF_Timer,TF_Tekniker,AB$4,TF_Dato,$A190))*2,0)/2)))</f>
        <v/>
      </c>
      <c r="AC190">
        <f>IF(OR(AC$4="",$A190&gt;TODAY()),0,IF(OR(INDEX($B190:$D190,AC$5)="F",AND(AC$6&gt;0,$A190&lt;AC$6),AND(AC$7&gt;0,$A190&gt;AC$7)),0,MAX(0,ROUND((INDEX($E190:$G190,AC$5)-SUMIFS(TF_Timer,TF_Tekniker,AC$4,TF_Dato,$A190))*2,0)/2)))</f>
        <v/>
      </c>
      <c r="AD190">
        <f>IF(OR(AD$4="",$A190&gt;TODAY()),0,IF(OR(INDEX($B190:$D190,AD$5)="F",AND(AD$6&gt;0,$A190&lt;AD$6),AND(AD$7&gt;0,$A190&gt;AD$7)),0,MAX(0,ROUND((INDEX($E190:$G190,AD$5)-SUMIFS(TF_Timer,TF_Tekniker,AD$4,TF_Dato,$A190))*2,0)/2)))</f>
        <v/>
      </c>
      <c r="AE190">
        <f>IF(OR(AE$4="",$A190&gt;TODAY()),0,IF(OR(INDEX($B190:$D190,AE$5)="F",AND(AE$6&gt;0,$A190&lt;AE$6),AND(AE$7&gt;0,$A190&gt;AE$7)),0,MAX(0,ROUND((INDEX($E190:$G190,AE$5)-SUMIFS(TF_Timer,TF_Tekniker,AE$4,TF_Dato,$A190))*2,0)/2)))</f>
        <v/>
      </c>
      <c r="AF190">
        <f>IF(OR(AF$4="",$A190&gt;TODAY()),0,IF(OR(INDEX($B190:$D190,AF$5)="F",AND(AF$6&gt;0,$A190&lt;AF$6),AND(AF$7&gt;0,$A190&gt;AF$7)),0,MAX(0,ROUND((INDEX($E190:$G190,AF$5)-SUMIFS(TF_Timer,TF_Tekniker,AF$4,TF_Dato,$A190))*2,0)/2)))</f>
        <v/>
      </c>
      <c r="AG190">
        <f>IF(OR(AG$4="",$A190&gt;TODAY()),0,IF(OR(INDEX($B190:$D190,AG$5)="F",AND(AG$6&gt;0,$A190&lt;AG$6),AND(AG$7&gt;0,$A190&gt;AG$7)),0,MAX(0,ROUND((INDEX($E190:$G190,AG$5)-SUMIFS(TF_Timer,TF_Tekniker,AG$4,TF_Dato,$A190))*2,0)/2)))</f>
        <v/>
      </c>
      <c r="AH190">
        <f>IF(OR(AH$4="",$A190&gt;TODAY()),0,IF(OR(INDEX($B190:$D190,AH$5)="F",AND(AH$6&gt;0,$A190&lt;AH$6),AND(AH$7&gt;0,$A190&gt;AH$7)),0,MAX(0,ROUND((INDEX($E190:$G190,AH$5)-SUMIFS(TF_Timer,TF_Tekniker,AH$4,TF_Dato,$A190))*2,0)/2)))</f>
        <v/>
      </c>
      <c r="AI190">
        <f>IF(OR(AI$4="",$A190&gt;TODAY()),0,IF(OR(INDEX($B190:$D190,AI$5)="F",AND(AI$6&gt;0,$A190&lt;AI$6),AND(AI$7&gt;0,$A190&gt;AI$7)),0,MAX(0,ROUND((INDEX($E190:$G190,AI$5)-SUMIFS(TF_Timer,TF_Tekniker,AI$4,TF_Dato,$A190))*2,0)/2)))</f>
        <v/>
      </c>
      <c r="AJ190">
        <f>IF(OR(AJ$4="",$A190&gt;TODAY()),0,IF(OR(INDEX($B190:$D190,AJ$5)="F",AND(AJ$6&gt;0,$A190&lt;AJ$6),AND(AJ$7&gt;0,$A190&gt;AJ$7)),0,MAX(0,ROUND((INDEX($E190:$G190,AJ$5)-SUMIFS(TF_Timer,TF_Tekniker,AJ$4,TF_Dato,$A190))*2,0)/2)))</f>
        <v/>
      </c>
      <c r="AK190">
        <f>IF(OR(AK$4="",$A190&gt;TODAY()),0,IF(OR(INDEX($B190:$D190,AK$5)="F",AND(AK$6&gt;0,$A190&lt;AK$6),AND(AK$7&gt;0,$A190&gt;AK$7)),0,MAX(0,ROUND((INDEX($E190:$G190,AK$5)-SUMIFS(TF_Timer,TF_Tekniker,AK$4,TF_Dato,$A190))*2,0)/2)))</f>
        <v/>
      </c>
      <c r="AL190">
        <f>IF(OR(AL$4="",$A190&gt;TODAY()),0,IF(OR(INDEX($B190:$D190,AL$5)="F",AND(AL$6&gt;0,$A190&lt;AL$6),AND(AL$7&gt;0,$A190&gt;AL$7)),0,MAX(0,ROUND((INDEX($E190:$G190,AL$5)-SUMIFS(TF_Timer,TF_Tekniker,AL$4,TF_Dato,$A190))*2,0)/2)))</f>
        <v/>
      </c>
      <c r="AM190">
        <f>IF(OR(AM$4="",$A190&gt;TODAY()),0,IF(OR(INDEX($B190:$D190,AM$5)="F",AND(AM$6&gt;0,$A190&lt;AM$6),AND(AM$7&gt;0,$A190&gt;AM$7)),0,MAX(0,ROUND((INDEX($E190:$G190,AM$5)-SUMIFS(TF_Timer,TF_Tekniker,AM$4,TF_Dato,$A190))*2,0)/2)))</f>
        <v/>
      </c>
      <c r="AN190">
        <f>IF(OR(AN$4="",$A190&gt;TODAY()),0,IF(OR(INDEX($B190:$D190,AN$5)="F",AND(AN$6&gt;0,$A190&lt;AN$6),AND(AN$7&gt;0,$A190&gt;AN$7)),0,MAX(0,ROUND((INDEX($E190:$G190,AN$5)-SUMIFS(TF_Timer,TF_Tekniker,AN$4,TF_Dato,$A190))*2,0)/2)))</f>
        <v/>
      </c>
      <c r="AO190">
        <f>IF(OR(AO$4="",$A190&gt;TODAY()),0,IF(OR(INDEX($B190:$D190,AO$5)="F",AND(AO$6&gt;0,$A190&lt;AO$6),AND(AO$7&gt;0,$A190&gt;AO$7)),0,MAX(0,ROUND((INDEX($E190:$G190,AO$5)-SUMIFS(TF_Timer,TF_Tekniker,AO$4,TF_Dato,$A190))*2,0)/2)))</f>
        <v/>
      </c>
      <c r="AP190">
        <f>IF(OR(AP$4="",$A190&gt;TODAY()),0,IF(OR(INDEX($B190:$D190,AP$5)="F",AND(AP$6&gt;0,$A190&lt;AP$6),AND(AP$7&gt;0,$A190&gt;AP$7)),0,MAX(0,ROUND((INDEX($E190:$G190,AP$5)-SUMIFS(TF_Timer,TF_Tekniker,AP$4,TF_Dato,$A190))*2,0)/2)))</f>
        <v/>
      </c>
      <c r="AQ190">
        <f>IF(OR(AQ$4="",$A190&gt;TODAY()),0,IF(OR(INDEX($B190:$D190,AQ$5)="F",AND(AQ$6&gt;0,$A190&lt;AQ$6),AND(AQ$7&gt;0,$A190&gt;AQ$7)),0,MAX(0,ROUND((INDEX($E190:$G190,AQ$5)-SUMIFS(TF_Timer,TF_Tekniker,AQ$4,TF_Dato,$A190))*2,0)/2)))</f>
        <v/>
      </c>
      <c r="AR190">
        <f>IF(OR(AR$4="",$A190&gt;TODAY()),0,IF(OR(INDEX($B190:$D190,AR$5)="F",AND(AR$6&gt;0,$A190&lt;AR$6),AND(AR$7&gt;0,$A190&gt;AR$7)),0,MAX(0,ROUND((INDEX($E190:$G190,AR$5)-SUMIFS(TF_Timer,TF_Tekniker,AR$4,TF_Dato,$A190))*2,0)/2)))</f>
        <v/>
      </c>
      <c r="AS190">
        <f>IF(OR(AS$4="",$A190&gt;TODAY()),0,IF(OR(INDEX($B190:$D190,AS$5)="F",AND(AS$6&gt;0,$A190&lt;AS$6),AND(AS$7&gt;0,$A190&gt;AS$7)),0,MAX(0,ROUND((INDEX($E190:$G190,AS$5)-SUMIFS(TF_Timer,TF_Tekniker,AS$4,TF_Dato,$A190))*2,0)/2)))</f>
        <v/>
      </c>
      <c r="AT190">
        <f>IF(OR(AT$4="",$A190&gt;TODAY()),0,IF(OR(INDEX($B190:$D190,AT$5)="F",AND(AT$6&gt;0,$A190&lt;AT$6),AND(AT$7&gt;0,$A190&gt;AT$7)),0,MAX(0,ROUND((INDEX($E190:$G190,AT$5)-SUMIFS(TF_Timer,TF_Tekniker,AT$4,TF_Dato,$A190))*2,0)/2)))</f>
        <v/>
      </c>
      <c r="AU190">
        <f>IF(OR(AU$4="",$A190&gt;TODAY()),0,IF(OR(INDEX($B190:$D190,AU$5)="F",AND(AU$6&gt;0,$A190&lt;AU$6),AND(AU$7&gt;0,$A190&gt;AU$7)),0,MAX(0,ROUND((INDEX($E190:$G190,AU$5)-SUMIFS(TF_Timer,TF_Tekniker,AU$4,TF_Dato,$A190))*2,0)/2)))</f>
        <v/>
      </c>
      <c r="AV190">
        <f>IF(OR(AV$4="",$A190&gt;TODAY()),0,IF(OR(INDEX($B190:$D190,AV$5)="F",AND(AV$6&gt;0,$A190&lt;AV$6),AND(AV$7&gt;0,$A190&gt;AV$7)),0,MAX(0,ROUND((INDEX($E190:$G190,AV$5)-SUMIFS(TF_Timer,TF_Tekniker,AV$4,TF_Dato,$A190))*2,0)/2)))</f>
        <v/>
      </c>
      <c r="AW190">
        <f>IF(OR(AW$4="",$A190&gt;TODAY()),0,IF(OR(INDEX($B190:$D190,AW$5)="F",AND(AW$6&gt;0,$A190&lt;AW$6),AND(AW$7&gt;0,$A190&gt;AW$7)),0,MAX(0,ROUND((INDEX($E190:$G190,AW$5)-SUMIFS(TF_Timer,TF_Tekniker,AW$4,TF_Dato,$A190))*2,0)/2)))</f>
        <v/>
      </c>
      <c r="AX190">
        <f>IF(OR(AX$4="",$A190&gt;TODAY()),0,IF(OR(INDEX($B190:$D190,AX$5)="F",AND(AX$6&gt;0,$A190&lt;AX$6),AND(AX$7&gt;0,$A190&gt;AX$7)),0,MAX(0,ROUND((INDEX($E190:$G190,AX$5)-SUMIFS(TF_Timer,TF_Tekniker,AX$4,TF_Dato,$A190))*2,0)/2)))</f>
        <v/>
      </c>
      <c r="AY190">
        <f>IF(OR(AY$4="",$A190&gt;TODAY()),0,IF(OR(INDEX($B190:$D190,AY$5)="F",AND(AY$6&gt;0,$A190&lt;AY$6),AND(AY$7&gt;0,$A190&gt;AY$7)),0,MAX(0,ROUND((INDEX($E190:$G190,AY$5)-SUMIFS(TF_Timer,TF_Tekniker,AY$4,TF_Dato,$A190))*2,0)/2)))</f>
        <v/>
      </c>
      <c r="AZ190">
        <f>IF(OR(AZ$4="",$A190&gt;TODAY()),0,IF(OR(INDEX($B190:$D190,AZ$5)="F",AND(AZ$6&gt;0,$A190&lt;AZ$6),AND(AZ$7&gt;0,$A190&gt;AZ$7)),0,MAX(0,ROUND((INDEX($E190:$G190,AZ$5)-SUMIFS(TF_Timer,TF_Tekniker,AZ$4,TF_Dato,$A190))*2,0)/2)))</f>
        <v/>
      </c>
      <c r="BA190">
        <f>IF(OR(BA$4="",$A190&gt;TODAY()),0,IF(OR(INDEX($B190:$D190,BA$5)="F",AND(BA$6&gt;0,$A190&lt;BA$6),AND(BA$7&gt;0,$A190&gt;BA$7)),0,MAX(0,ROUND((INDEX($E190:$G190,BA$5)-SUMIFS(TF_Timer,TF_Tekniker,BA$4,TF_Dato,$A190))*2,0)/2)))</f>
        <v/>
      </c>
      <c r="BB190">
        <f>IF(OR(BB$4="",$A190&gt;TODAY()),0,IF(OR(INDEX($B190:$D190,BB$5)="F",AND(BB$6&gt;0,$A190&lt;BB$6),AND(BB$7&gt;0,$A190&gt;BB$7)),0,MAX(0,ROUND((INDEX($E190:$G190,BB$5)-SUMIFS(TF_Timer,TF_Tekniker,BB$4,TF_Dato,$A190))*2,0)/2)))</f>
        <v/>
      </c>
      <c r="BC190">
        <f>IF(OR(BC$4="",$A190&gt;TODAY()),0,IF(OR(INDEX($B190:$D190,BC$5)="F",AND(BC$6&gt;0,$A190&lt;BC$6),AND(BC$7&gt;0,$A190&gt;BC$7)),0,MAX(0,ROUND((INDEX($E190:$G190,BC$5)-SUMIFS(TF_Timer,TF_Tekniker,BC$4,TF_Dato,$A190))*2,0)/2)))</f>
        <v/>
      </c>
      <c r="BD190">
        <f>IF(OR(BD$4="",$A190&gt;TODAY()),0,IF(OR(INDEX($B190:$D190,BD$5)="F",AND(BD$6&gt;0,$A190&lt;BD$6),AND(BD$7&gt;0,$A190&gt;BD$7)),0,MAX(0,ROUND((INDEX($E190:$G190,BD$5)-SUMIFS(TF_Timer,TF_Tekniker,BD$4,TF_Dato,$A190))*2,0)/2)))</f>
        <v/>
      </c>
      <c r="BE190">
        <f>IF(OR(BE$4="",$A190&gt;TODAY()),0,IF(OR(INDEX($B190:$D190,BE$5)="F",AND(BE$6&gt;0,$A190&lt;BE$6),AND(BE$7&gt;0,$A190&gt;BE$7)),0,MAX(0,ROUND((INDEX($E190:$G190,BE$5)-SUMIFS(TF_Timer,TF_Tekniker,BE$4,TF_Dato,$A190))*2,0)/2)))</f>
        <v/>
      </c>
      <c r="BF190">
        <f>IF(OR(BF$4="",$A190&gt;TODAY()),0,IF(OR(INDEX($B190:$D190,BF$5)="F",AND(BF$6&gt;0,$A190&lt;BF$6),AND(BF$7&gt;0,$A190&gt;BF$7)),0,MAX(0,ROUND((INDEX($E190:$G190,BF$5)-SUMIFS(TF_Timer,TF_Tekniker,BF$4,TF_Dato,$A190))*2,0)/2)))</f>
        <v/>
      </c>
      <c r="BG190">
        <f>IF(OR(BG$4="",$A190&gt;TODAY()),0,IF(OR(INDEX($B190:$D190,BG$5)="F",AND(BG$6&gt;0,$A190&lt;BG$6),AND(BG$7&gt;0,$A190&gt;BG$7)),0,MAX(0,ROUND((INDEX($E190:$G190,BG$5)-SUMIFS(TF_Timer,TF_Tekniker,BG$4,TF_Dato,$A190))*2,0)/2)))</f>
        <v/>
      </c>
      <c r="BH190">
        <f>IF(OR(BH$4="",$A190&gt;TODAY()),0,IF(OR(INDEX($B190:$D190,BH$5)="F",AND(BH$6&gt;0,$A190&lt;BH$6),AND(BH$7&gt;0,$A190&gt;BH$7)),0,MAX(0,ROUND((INDEX($E190:$G190,BH$5)-SUMIFS(TF_Timer,TF_Tekniker,BH$4,TF_Dato,$A190))*2,0)/2)))</f>
        <v/>
      </c>
      <c r="BI190">
        <f>IF(OR(BI$4="",$A190&gt;TODAY()),0,IF(OR(INDEX($B190:$D190,BI$5)="F",AND(BI$6&gt;0,$A190&lt;BI$6),AND(BI$7&gt;0,$A190&gt;BI$7)),0,MAX(0,ROUND((INDEX($E190:$G190,BI$5)-SUMIFS(TF_Timer,TF_Tekniker,BI$4,TF_Dato,$A190))*2,0)/2)))</f>
        <v/>
      </c>
    </row>
    <row r="191">
      <c r="A191" s="64">
        <f>A190+1</f>
        <v/>
      </c>
      <c r="B191">
        <f>IF(MOD($A191-INDEX(SkiftStart,1),Syklus)&lt;DagK,"K",IF(MOD($A191-INDEX(SkiftStart,1),Syklus)&lt;DagK+DagH,"H",IF(MOD($A191-INDEX(SkiftStart,1),Syklus)&lt;DagK+DagH+DagD,"D","F")))</f>
        <v/>
      </c>
      <c r="C191">
        <f>IF(MOD($A191-INDEX(SkiftStart,2),Syklus)&lt;DagK,"K",IF(MOD($A191-INDEX(SkiftStart,2),Syklus)&lt;DagK+DagH,"H",IF(MOD($A191-INDEX(SkiftStart,2),Syklus)&lt;DagK+DagH+DagD,"D","F")))</f>
        <v/>
      </c>
      <c r="D191">
        <f>IF(MOD($A191-INDEX(SkiftStart,3),Syklus)&lt;DagK,"K",IF(MOD($A191-INDEX(SkiftStart,3),Syklus)&lt;DagK+DagH,"H",IF(MOD($A191-INDEX(SkiftStart,3),Syklus)&lt;DagK+DagH+DagD,"D","F")))</f>
        <v/>
      </c>
      <c r="E191">
        <f>IF(B191="F",0,IF(WEEKDAY($A191,2)=5,INDEX(TimerFr,MATCH(B191,FaseKode,0)),INDEX(TimerMT,MATCH(B191,FaseKode,0))))</f>
        <v/>
      </c>
      <c r="F191">
        <f>IF(C191="F",0,IF(WEEKDAY($A191,2)=5,INDEX(TimerFr,MATCH(C191,FaseKode,0)),INDEX(TimerMT,MATCH(C191,FaseKode,0))))</f>
        <v/>
      </c>
      <c r="G191">
        <f>IF(D191="F",0,IF(WEEKDAY($A191,2)=5,INDEX(TimerFr,MATCH(D191,FaseKode,0)),INDEX(TimerMT,MATCH(D191,FaseKode,0))))</f>
        <v/>
      </c>
      <c r="H191">
        <f>IF(OR(H$4="",$A191&gt;TODAY()),0,IF(OR(INDEX($B191:$D191,H$5)="F",AND(H$6&gt;0,$A191&lt;H$6),AND(H$7&gt;0,$A191&gt;H$7)),0,MAX(0,ROUND((INDEX($E191:$G191,H$5)-SUMIFS(TF_Timer,TF_Tekniker,H$4,TF_Dato,$A191))*2,0)/2)))</f>
        <v/>
      </c>
      <c r="I191">
        <f>IF(OR(I$4="",$A191&gt;TODAY()),0,IF(OR(INDEX($B191:$D191,I$5)="F",AND(I$6&gt;0,$A191&lt;I$6),AND(I$7&gt;0,$A191&gt;I$7)),0,MAX(0,ROUND((INDEX($E191:$G191,I$5)-SUMIFS(TF_Timer,TF_Tekniker,I$4,TF_Dato,$A191))*2,0)/2)))</f>
        <v/>
      </c>
      <c r="J191">
        <f>IF(OR(J$4="",$A191&gt;TODAY()),0,IF(OR(INDEX($B191:$D191,J$5)="F",AND(J$6&gt;0,$A191&lt;J$6),AND(J$7&gt;0,$A191&gt;J$7)),0,MAX(0,ROUND((INDEX($E191:$G191,J$5)-SUMIFS(TF_Timer,TF_Tekniker,J$4,TF_Dato,$A191))*2,0)/2)))</f>
        <v/>
      </c>
      <c r="K191">
        <f>IF(OR(K$4="",$A191&gt;TODAY()),0,IF(OR(INDEX($B191:$D191,K$5)="F",AND(K$6&gt;0,$A191&lt;K$6),AND(K$7&gt;0,$A191&gt;K$7)),0,MAX(0,ROUND((INDEX($E191:$G191,K$5)-SUMIFS(TF_Timer,TF_Tekniker,K$4,TF_Dato,$A191))*2,0)/2)))</f>
        <v/>
      </c>
      <c r="L191">
        <f>IF(OR(L$4="",$A191&gt;TODAY()),0,IF(OR(INDEX($B191:$D191,L$5)="F",AND(L$6&gt;0,$A191&lt;L$6),AND(L$7&gt;0,$A191&gt;L$7)),0,MAX(0,ROUND((INDEX($E191:$G191,L$5)-SUMIFS(TF_Timer,TF_Tekniker,L$4,TF_Dato,$A191))*2,0)/2)))</f>
        <v/>
      </c>
      <c r="M191">
        <f>IF(OR(M$4="",$A191&gt;TODAY()),0,IF(OR(INDEX($B191:$D191,M$5)="F",AND(M$6&gt;0,$A191&lt;M$6),AND(M$7&gt;0,$A191&gt;M$7)),0,MAX(0,ROUND((INDEX($E191:$G191,M$5)-SUMIFS(TF_Timer,TF_Tekniker,M$4,TF_Dato,$A191))*2,0)/2)))</f>
        <v/>
      </c>
      <c r="N191">
        <f>IF(OR(N$4="",$A191&gt;TODAY()),0,IF(OR(INDEX($B191:$D191,N$5)="F",AND(N$6&gt;0,$A191&lt;N$6),AND(N$7&gt;0,$A191&gt;N$7)),0,MAX(0,ROUND((INDEX($E191:$G191,N$5)-SUMIFS(TF_Timer,TF_Tekniker,N$4,TF_Dato,$A191))*2,0)/2)))</f>
        <v/>
      </c>
      <c r="O191">
        <f>IF(OR(O$4="",$A191&gt;TODAY()),0,IF(OR(INDEX($B191:$D191,O$5)="F",AND(O$6&gt;0,$A191&lt;O$6),AND(O$7&gt;0,$A191&gt;O$7)),0,MAX(0,ROUND((INDEX($E191:$G191,O$5)-SUMIFS(TF_Timer,TF_Tekniker,O$4,TF_Dato,$A191))*2,0)/2)))</f>
        <v/>
      </c>
      <c r="P191">
        <f>IF(OR(P$4="",$A191&gt;TODAY()),0,IF(OR(INDEX($B191:$D191,P$5)="F",AND(P$6&gt;0,$A191&lt;P$6),AND(P$7&gt;0,$A191&gt;P$7)),0,MAX(0,ROUND((INDEX($E191:$G191,P$5)-SUMIFS(TF_Timer,TF_Tekniker,P$4,TF_Dato,$A191))*2,0)/2)))</f>
        <v/>
      </c>
      <c r="Q191">
        <f>IF(OR(Q$4="",$A191&gt;TODAY()),0,IF(OR(INDEX($B191:$D191,Q$5)="F",AND(Q$6&gt;0,$A191&lt;Q$6),AND(Q$7&gt;0,$A191&gt;Q$7)),0,MAX(0,ROUND((INDEX($E191:$G191,Q$5)-SUMIFS(TF_Timer,TF_Tekniker,Q$4,TF_Dato,$A191))*2,0)/2)))</f>
        <v/>
      </c>
      <c r="R191">
        <f>IF(OR(R$4="",$A191&gt;TODAY()),0,IF(OR(INDEX($B191:$D191,R$5)="F",AND(R$6&gt;0,$A191&lt;R$6),AND(R$7&gt;0,$A191&gt;R$7)),0,MAX(0,ROUND((INDEX($E191:$G191,R$5)-SUMIFS(TF_Timer,TF_Tekniker,R$4,TF_Dato,$A191))*2,0)/2)))</f>
        <v/>
      </c>
      <c r="S191">
        <f>IF(OR(S$4="",$A191&gt;TODAY()),0,IF(OR(INDEX($B191:$D191,S$5)="F",AND(S$6&gt;0,$A191&lt;S$6),AND(S$7&gt;0,$A191&gt;S$7)),0,MAX(0,ROUND((INDEX($E191:$G191,S$5)-SUMIFS(TF_Timer,TF_Tekniker,S$4,TF_Dato,$A191))*2,0)/2)))</f>
        <v/>
      </c>
      <c r="T191">
        <f>IF(OR(T$4="",$A191&gt;TODAY()),0,IF(OR(INDEX($B191:$D191,T$5)="F",AND(T$6&gt;0,$A191&lt;T$6),AND(T$7&gt;0,$A191&gt;T$7)),0,MAX(0,ROUND((INDEX($E191:$G191,T$5)-SUMIFS(TF_Timer,TF_Tekniker,T$4,TF_Dato,$A191))*2,0)/2)))</f>
        <v/>
      </c>
      <c r="U191">
        <f>IF(OR(U$4="",$A191&gt;TODAY()),0,IF(OR(INDEX($B191:$D191,U$5)="F",AND(U$6&gt;0,$A191&lt;U$6),AND(U$7&gt;0,$A191&gt;U$7)),0,MAX(0,ROUND((INDEX($E191:$G191,U$5)-SUMIFS(TF_Timer,TF_Tekniker,U$4,TF_Dato,$A191))*2,0)/2)))</f>
        <v/>
      </c>
      <c r="V191">
        <f>IF(OR(V$4="",$A191&gt;TODAY()),0,IF(OR(INDEX($B191:$D191,V$5)="F",AND(V$6&gt;0,$A191&lt;V$6),AND(V$7&gt;0,$A191&gt;V$7)),0,MAX(0,ROUND((INDEX($E191:$G191,V$5)-SUMIFS(TF_Timer,TF_Tekniker,V$4,TF_Dato,$A191))*2,0)/2)))</f>
        <v/>
      </c>
      <c r="W191">
        <f>IF(OR(W$4="",$A191&gt;TODAY()),0,IF(OR(INDEX($B191:$D191,W$5)="F",AND(W$6&gt;0,$A191&lt;W$6),AND(W$7&gt;0,$A191&gt;W$7)),0,MAX(0,ROUND((INDEX($E191:$G191,W$5)-SUMIFS(TF_Timer,TF_Tekniker,W$4,TF_Dato,$A191))*2,0)/2)))</f>
        <v/>
      </c>
      <c r="X191">
        <f>IF(OR(X$4="",$A191&gt;TODAY()),0,IF(OR(INDEX($B191:$D191,X$5)="F",AND(X$6&gt;0,$A191&lt;X$6),AND(X$7&gt;0,$A191&gt;X$7)),0,MAX(0,ROUND((INDEX($E191:$G191,X$5)-SUMIFS(TF_Timer,TF_Tekniker,X$4,TF_Dato,$A191))*2,0)/2)))</f>
        <v/>
      </c>
      <c r="Y191">
        <f>IF(OR(Y$4="",$A191&gt;TODAY()),0,IF(OR(INDEX($B191:$D191,Y$5)="F",AND(Y$6&gt;0,$A191&lt;Y$6),AND(Y$7&gt;0,$A191&gt;Y$7)),0,MAX(0,ROUND((INDEX($E191:$G191,Y$5)-SUMIFS(TF_Timer,TF_Tekniker,Y$4,TF_Dato,$A191))*2,0)/2)))</f>
        <v/>
      </c>
      <c r="Z191">
        <f>IF(OR(Z$4="",$A191&gt;TODAY()),0,IF(OR(INDEX($B191:$D191,Z$5)="F",AND(Z$6&gt;0,$A191&lt;Z$6),AND(Z$7&gt;0,$A191&gt;Z$7)),0,MAX(0,ROUND((INDEX($E191:$G191,Z$5)-SUMIFS(TF_Timer,TF_Tekniker,Z$4,TF_Dato,$A191))*2,0)/2)))</f>
        <v/>
      </c>
      <c r="AA191">
        <f>IF(OR(AA$4="",$A191&gt;TODAY()),0,IF(OR(INDEX($B191:$D191,AA$5)="F",AND(AA$6&gt;0,$A191&lt;AA$6),AND(AA$7&gt;0,$A191&gt;AA$7)),0,MAX(0,ROUND((INDEX($E191:$G191,AA$5)-SUMIFS(TF_Timer,TF_Tekniker,AA$4,TF_Dato,$A191))*2,0)/2)))</f>
        <v/>
      </c>
      <c r="AB191">
        <f>IF(OR(AB$4="",$A191&gt;TODAY()),0,IF(OR(INDEX($B191:$D191,AB$5)="F",AND(AB$6&gt;0,$A191&lt;AB$6),AND(AB$7&gt;0,$A191&gt;AB$7)),0,MAX(0,ROUND((INDEX($E191:$G191,AB$5)-SUMIFS(TF_Timer,TF_Tekniker,AB$4,TF_Dato,$A191))*2,0)/2)))</f>
        <v/>
      </c>
      <c r="AC191">
        <f>IF(OR(AC$4="",$A191&gt;TODAY()),0,IF(OR(INDEX($B191:$D191,AC$5)="F",AND(AC$6&gt;0,$A191&lt;AC$6),AND(AC$7&gt;0,$A191&gt;AC$7)),0,MAX(0,ROUND((INDEX($E191:$G191,AC$5)-SUMIFS(TF_Timer,TF_Tekniker,AC$4,TF_Dato,$A191))*2,0)/2)))</f>
        <v/>
      </c>
      <c r="AD191">
        <f>IF(OR(AD$4="",$A191&gt;TODAY()),0,IF(OR(INDEX($B191:$D191,AD$5)="F",AND(AD$6&gt;0,$A191&lt;AD$6),AND(AD$7&gt;0,$A191&gt;AD$7)),0,MAX(0,ROUND((INDEX($E191:$G191,AD$5)-SUMIFS(TF_Timer,TF_Tekniker,AD$4,TF_Dato,$A191))*2,0)/2)))</f>
        <v/>
      </c>
      <c r="AE191">
        <f>IF(OR(AE$4="",$A191&gt;TODAY()),0,IF(OR(INDEX($B191:$D191,AE$5)="F",AND(AE$6&gt;0,$A191&lt;AE$6),AND(AE$7&gt;0,$A191&gt;AE$7)),0,MAX(0,ROUND((INDEX($E191:$G191,AE$5)-SUMIFS(TF_Timer,TF_Tekniker,AE$4,TF_Dato,$A191))*2,0)/2)))</f>
        <v/>
      </c>
      <c r="AF191">
        <f>IF(OR(AF$4="",$A191&gt;TODAY()),0,IF(OR(INDEX($B191:$D191,AF$5)="F",AND(AF$6&gt;0,$A191&lt;AF$6),AND(AF$7&gt;0,$A191&gt;AF$7)),0,MAX(0,ROUND((INDEX($E191:$G191,AF$5)-SUMIFS(TF_Timer,TF_Tekniker,AF$4,TF_Dato,$A191))*2,0)/2)))</f>
        <v/>
      </c>
      <c r="AG191">
        <f>IF(OR(AG$4="",$A191&gt;TODAY()),0,IF(OR(INDEX($B191:$D191,AG$5)="F",AND(AG$6&gt;0,$A191&lt;AG$6),AND(AG$7&gt;0,$A191&gt;AG$7)),0,MAX(0,ROUND((INDEX($E191:$G191,AG$5)-SUMIFS(TF_Timer,TF_Tekniker,AG$4,TF_Dato,$A191))*2,0)/2)))</f>
        <v/>
      </c>
      <c r="AH191">
        <f>IF(OR(AH$4="",$A191&gt;TODAY()),0,IF(OR(INDEX($B191:$D191,AH$5)="F",AND(AH$6&gt;0,$A191&lt;AH$6),AND(AH$7&gt;0,$A191&gt;AH$7)),0,MAX(0,ROUND((INDEX($E191:$G191,AH$5)-SUMIFS(TF_Timer,TF_Tekniker,AH$4,TF_Dato,$A191))*2,0)/2)))</f>
        <v/>
      </c>
      <c r="AI191">
        <f>IF(OR(AI$4="",$A191&gt;TODAY()),0,IF(OR(INDEX($B191:$D191,AI$5)="F",AND(AI$6&gt;0,$A191&lt;AI$6),AND(AI$7&gt;0,$A191&gt;AI$7)),0,MAX(0,ROUND((INDEX($E191:$G191,AI$5)-SUMIFS(TF_Timer,TF_Tekniker,AI$4,TF_Dato,$A191))*2,0)/2)))</f>
        <v/>
      </c>
      <c r="AJ191">
        <f>IF(OR(AJ$4="",$A191&gt;TODAY()),0,IF(OR(INDEX($B191:$D191,AJ$5)="F",AND(AJ$6&gt;0,$A191&lt;AJ$6),AND(AJ$7&gt;0,$A191&gt;AJ$7)),0,MAX(0,ROUND((INDEX($E191:$G191,AJ$5)-SUMIFS(TF_Timer,TF_Tekniker,AJ$4,TF_Dato,$A191))*2,0)/2)))</f>
        <v/>
      </c>
      <c r="AK191">
        <f>IF(OR(AK$4="",$A191&gt;TODAY()),0,IF(OR(INDEX($B191:$D191,AK$5)="F",AND(AK$6&gt;0,$A191&lt;AK$6),AND(AK$7&gt;0,$A191&gt;AK$7)),0,MAX(0,ROUND((INDEX($E191:$G191,AK$5)-SUMIFS(TF_Timer,TF_Tekniker,AK$4,TF_Dato,$A191))*2,0)/2)))</f>
        <v/>
      </c>
      <c r="AL191">
        <f>IF(OR(AL$4="",$A191&gt;TODAY()),0,IF(OR(INDEX($B191:$D191,AL$5)="F",AND(AL$6&gt;0,$A191&lt;AL$6),AND(AL$7&gt;0,$A191&gt;AL$7)),0,MAX(0,ROUND((INDEX($E191:$G191,AL$5)-SUMIFS(TF_Timer,TF_Tekniker,AL$4,TF_Dato,$A191))*2,0)/2)))</f>
        <v/>
      </c>
      <c r="AM191">
        <f>IF(OR(AM$4="",$A191&gt;TODAY()),0,IF(OR(INDEX($B191:$D191,AM$5)="F",AND(AM$6&gt;0,$A191&lt;AM$6),AND(AM$7&gt;0,$A191&gt;AM$7)),0,MAX(0,ROUND((INDEX($E191:$G191,AM$5)-SUMIFS(TF_Timer,TF_Tekniker,AM$4,TF_Dato,$A191))*2,0)/2)))</f>
        <v/>
      </c>
      <c r="AN191">
        <f>IF(OR(AN$4="",$A191&gt;TODAY()),0,IF(OR(INDEX($B191:$D191,AN$5)="F",AND(AN$6&gt;0,$A191&lt;AN$6),AND(AN$7&gt;0,$A191&gt;AN$7)),0,MAX(0,ROUND((INDEX($E191:$G191,AN$5)-SUMIFS(TF_Timer,TF_Tekniker,AN$4,TF_Dato,$A191))*2,0)/2)))</f>
        <v/>
      </c>
      <c r="AO191">
        <f>IF(OR(AO$4="",$A191&gt;TODAY()),0,IF(OR(INDEX($B191:$D191,AO$5)="F",AND(AO$6&gt;0,$A191&lt;AO$6),AND(AO$7&gt;0,$A191&gt;AO$7)),0,MAX(0,ROUND((INDEX($E191:$G191,AO$5)-SUMIFS(TF_Timer,TF_Tekniker,AO$4,TF_Dato,$A191))*2,0)/2)))</f>
        <v/>
      </c>
      <c r="AP191">
        <f>IF(OR(AP$4="",$A191&gt;TODAY()),0,IF(OR(INDEX($B191:$D191,AP$5)="F",AND(AP$6&gt;0,$A191&lt;AP$6),AND(AP$7&gt;0,$A191&gt;AP$7)),0,MAX(0,ROUND((INDEX($E191:$G191,AP$5)-SUMIFS(TF_Timer,TF_Tekniker,AP$4,TF_Dato,$A191))*2,0)/2)))</f>
        <v/>
      </c>
      <c r="AQ191">
        <f>IF(OR(AQ$4="",$A191&gt;TODAY()),0,IF(OR(INDEX($B191:$D191,AQ$5)="F",AND(AQ$6&gt;0,$A191&lt;AQ$6),AND(AQ$7&gt;0,$A191&gt;AQ$7)),0,MAX(0,ROUND((INDEX($E191:$G191,AQ$5)-SUMIFS(TF_Timer,TF_Tekniker,AQ$4,TF_Dato,$A191))*2,0)/2)))</f>
        <v/>
      </c>
      <c r="AR191">
        <f>IF(OR(AR$4="",$A191&gt;TODAY()),0,IF(OR(INDEX($B191:$D191,AR$5)="F",AND(AR$6&gt;0,$A191&lt;AR$6),AND(AR$7&gt;0,$A191&gt;AR$7)),0,MAX(0,ROUND((INDEX($E191:$G191,AR$5)-SUMIFS(TF_Timer,TF_Tekniker,AR$4,TF_Dato,$A191))*2,0)/2)))</f>
        <v/>
      </c>
      <c r="AS191">
        <f>IF(OR(AS$4="",$A191&gt;TODAY()),0,IF(OR(INDEX($B191:$D191,AS$5)="F",AND(AS$6&gt;0,$A191&lt;AS$6),AND(AS$7&gt;0,$A191&gt;AS$7)),0,MAX(0,ROUND((INDEX($E191:$G191,AS$5)-SUMIFS(TF_Timer,TF_Tekniker,AS$4,TF_Dato,$A191))*2,0)/2)))</f>
        <v/>
      </c>
      <c r="AT191">
        <f>IF(OR(AT$4="",$A191&gt;TODAY()),0,IF(OR(INDEX($B191:$D191,AT$5)="F",AND(AT$6&gt;0,$A191&lt;AT$6),AND(AT$7&gt;0,$A191&gt;AT$7)),0,MAX(0,ROUND((INDEX($E191:$G191,AT$5)-SUMIFS(TF_Timer,TF_Tekniker,AT$4,TF_Dato,$A191))*2,0)/2)))</f>
        <v/>
      </c>
      <c r="AU191">
        <f>IF(OR(AU$4="",$A191&gt;TODAY()),0,IF(OR(INDEX($B191:$D191,AU$5)="F",AND(AU$6&gt;0,$A191&lt;AU$6),AND(AU$7&gt;0,$A191&gt;AU$7)),0,MAX(0,ROUND((INDEX($E191:$G191,AU$5)-SUMIFS(TF_Timer,TF_Tekniker,AU$4,TF_Dato,$A191))*2,0)/2)))</f>
        <v/>
      </c>
      <c r="AV191">
        <f>IF(OR(AV$4="",$A191&gt;TODAY()),0,IF(OR(INDEX($B191:$D191,AV$5)="F",AND(AV$6&gt;0,$A191&lt;AV$6),AND(AV$7&gt;0,$A191&gt;AV$7)),0,MAX(0,ROUND((INDEX($E191:$G191,AV$5)-SUMIFS(TF_Timer,TF_Tekniker,AV$4,TF_Dato,$A191))*2,0)/2)))</f>
        <v/>
      </c>
      <c r="AW191">
        <f>IF(OR(AW$4="",$A191&gt;TODAY()),0,IF(OR(INDEX($B191:$D191,AW$5)="F",AND(AW$6&gt;0,$A191&lt;AW$6),AND(AW$7&gt;0,$A191&gt;AW$7)),0,MAX(0,ROUND((INDEX($E191:$G191,AW$5)-SUMIFS(TF_Timer,TF_Tekniker,AW$4,TF_Dato,$A191))*2,0)/2)))</f>
        <v/>
      </c>
      <c r="AX191">
        <f>IF(OR(AX$4="",$A191&gt;TODAY()),0,IF(OR(INDEX($B191:$D191,AX$5)="F",AND(AX$6&gt;0,$A191&lt;AX$6),AND(AX$7&gt;0,$A191&gt;AX$7)),0,MAX(0,ROUND((INDEX($E191:$G191,AX$5)-SUMIFS(TF_Timer,TF_Tekniker,AX$4,TF_Dato,$A191))*2,0)/2)))</f>
        <v/>
      </c>
      <c r="AY191">
        <f>IF(OR(AY$4="",$A191&gt;TODAY()),0,IF(OR(INDEX($B191:$D191,AY$5)="F",AND(AY$6&gt;0,$A191&lt;AY$6),AND(AY$7&gt;0,$A191&gt;AY$7)),0,MAX(0,ROUND((INDEX($E191:$G191,AY$5)-SUMIFS(TF_Timer,TF_Tekniker,AY$4,TF_Dato,$A191))*2,0)/2)))</f>
        <v/>
      </c>
      <c r="AZ191">
        <f>IF(OR(AZ$4="",$A191&gt;TODAY()),0,IF(OR(INDEX($B191:$D191,AZ$5)="F",AND(AZ$6&gt;0,$A191&lt;AZ$6),AND(AZ$7&gt;0,$A191&gt;AZ$7)),0,MAX(0,ROUND((INDEX($E191:$G191,AZ$5)-SUMIFS(TF_Timer,TF_Tekniker,AZ$4,TF_Dato,$A191))*2,0)/2)))</f>
        <v/>
      </c>
      <c r="BA191">
        <f>IF(OR(BA$4="",$A191&gt;TODAY()),0,IF(OR(INDEX($B191:$D191,BA$5)="F",AND(BA$6&gt;0,$A191&lt;BA$6),AND(BA$7&gt;0,$A191&gt;BA$7)),0,MAX(0,ROUND((INDEX($E191:$G191,BA$5)-SUMIFS(TF_Timer,TF_Tekniker,BA$4,TF_Dato,$A191))*2,0)/2)))</f>
        <v/>
      </c>
      <c r="BB191">
        <f>IF(OR(BB$4="",$A191&gt;TODAY()),0,IF(OR(INDEX($B191:$D191,BB$5)="F",AND(BB$6&gt;0,$A191&lt;BB$6),AND(BB$7&gt;0,$A191&gt;BB$7)),0,MAX(0,ROUND((INDEX($E191:$G191,BB$5)-SUMIFS(TF_Timer,TF_Tekniker,BB$4,TF_Dato,$A191))*2,0)/2)))</f>
        <v/>
      </c>
      <c r="BC191">
        <f>IF(OR(BC$4="",$A191&gt;TODAY()),0,IF(OR(INDEX($B191:$D191,BC$5)="F",AND(BC$6&gt;0,$A191&lt;BC$6),AND(BC$7&gt;0,$A191&gt;BC$7)),0,MAX(0,ROUND((INDEX($E191:$G191,BC$5)-SUMIFS(TF_Timer,TF_Tekniker,BC$4,TF_Dato,$A191))*2,0)/2)))</f>
        <v/>
      </c>
      <c r="BD191">
        <f>IF(OR(BD$4="",$A191&gt;TODAY()),0,IF(OR(INDEX($B191:$D191,BD$5)="F",AND(BD$6&gt;0,$A191&lt;BD$6),AND(BD$7&gt;0,$A191&gt;BD$7)),0,MAX(0,ROUND((INDEX($E191:$G191,BD$5)-SUMIFS(TF_Timer,TF_Tekniker,BD$4,TF_Dato,$A191))*2,0)/2)))</f>
        <v/>
      </c>
      <c r="BE191">
        <f>IF(OR(BE$4="",$A191&gt;TODAY()),0,IF(OR(INDEX($B191:$D191,BE$5)="F",AND(BE$6&gt;0,$A191&lt;BE$6),AND(BE$7&gt;0,$A191&gt;BE$7)),0,MAX(0,ROUND((INDEX($E191:$G191,BE$5)-SUMIFS(TF_Timer,TF_Tekniker,BE$4,TF_Dato,$A191))*2,0)/2)))</f>
        <v/>
      </c>
      <c r="BF191">
        <f>IF(OR(BF$4="",$A191&gt;TODAY()),0,IF(OR(INDEX($B191:$D191,BF$5)="F",AND(BF$6&gt;0,$A191&lt;BF$6),AND(BF$7&gt;0,$A191&gt;BF$7)),0,MAX(0,ROUND((INDEX($E191:$G191,BF$5)-SUMIFS(TF_Timer,TF_Tekniker,BF$4,TF_Dato,$A191))*2,0)/2)))</f>
        <v/>
      </c>
      <c r="BG191">
        <f>IF(OR(BG$4="",$A191&gt;TODAY()),0,IF(OR(INDEX($B191:$D191,BG$5)="F",AND(BG$6&gt;0,$A191&lt;BG$6),AND(BG$7&gt;0,$A191&gt;BG$7)),0,MAX(0,ROUND((INDEX($E191:$G191,BG$5)-SUMIFS(TF_Timer,TF_Tekniker,BG$4,TF_Dato,$A191))*2,0)/2)))</f>
        <v/>
      </c>
      <c r="BH191">
        <f>IF(OR(BH$4="",$A191&gt;TODAY()),0,IF(OR(INDEX($B191:$D191,BH$5)="F",AND(BH$6&gt;0,$A191&lt;BH$6),AND(BH$7&gt;0,$A191&gt;BH$7)),0,MAX(0,ROUND((INDEX($E191:$G191,BH$5)-SUMIFS(TF_Timer,TF_Tekniker,BH$4,TF_Dato,$A191))*2,0)/2)))</f>
        <v/>
      </c>
      <c r="BI191">
        <f>IF(OR(BI$4="",$A191&gt;TODAY()),0,IF(OR(INDEX($B191:$D191,BI$5)="F",AND(BI$6&gt;0,$A191&lt;BI$6),AND(BI$7&gt;0,$A191&gt;BI$7)),0,MAX(0,ROUND((INDEX($E191:$G191,BI$5)-SUMIFS(TF_Timer,TF_Tekniker,BI$4,TF_Dato,$A191))*2,0)/2)))</f>
        <v/>
      </c>
    </row>
    <row r="192">
      <c r="A192" s="64">
        <f>A191+1</f>
        <v/>
      </c>
      <c r="B192">
        <f>IF(MOD($A192-INDEX(SkiftStart,1),Syklus)&lt;DagK,"K",IF(MOD($A192-INDEX(SkiftStart,1),Syklus)&lt;DagK+DagH,"H",IF(MOD($A192-INDEX(SkiftStart,1),Syklus)&lt;DagK+DagH+DagD,"D","F")))</f>
        <v/>
      </c>
      <c r="C192">
        <f>IF(MOD($A192-INDEX(SkiftStart,2),Syklus)&lt;DagK,"K",IF(MOD($A192-INDEX(SkiftStart,2),Syklus)&lt;DagK+DagH,"H",IF(MOD($A192-INDEX(SkiftStart,2),Syklus)&lt;DagK+DagH+DagD,"D","F")))</f>
        <v/>
      </c>
      <c r="D192">
        <f>IF(MOD($A192-INDEX(SkiftStart,3),Syklus)&lt;DagK,"K",IF(MOD($A192-INDEX(SkiftStart,3),Syklus)&lt;DagK+DagH,"H",IF(MOD($A192-INDEX(SkiftStart,3),Syklus)&lt;DagK+DagH+DagD,"D","F")))</f>
        <v/>
      </c>
      <c r="E192">
        <f>IF(B192="F",0,IF(WEEKDAY($A192,2)=5,INDEX(TimerFr,MATCH(B192,FaseKode,0)),INDEX(TimerMT,MATCH(B192,FaseKode,0))))</f>
        <v/>
      </c>
      <c r="F192">
        <f>IF(C192="F",0,IF(WEEKDAY($A192,2)=5,INDEX(TimerFr,MATCH(C192,FaseKode,0)),INDEX(TimerMT,MATCH(C192,FaseKode,0))))</f>
        <v/>
      </c>
      <c r="G192">
        <f>IF(D192="F",0,IF(WEEKDAY($A192,2)=5,INDEX(TimerFr,MATCH(D192,FaseKode,0)),INDEX(TimerMT,MATCH(D192,FaseKode,0))))</f>
        <v/>
      </c>
      <c r="H192">
        <f>IF(OR(H$4="",$A192&gt;TODAY()),0,IF(OR(INDEX($B192:$D192,H$5)="F",AND(H$6&gt;0,$A192&lt;H$6),AND(H$7&gt;0,$A192&gt;H$7)),0,MAX(0,ROUND((INDEX($E192:$G192,H$5)-SUMIFS(TF_Timer,TF_Tekniker,H$4,TF_Dato,$A192))*2,0)/2)))</f>
        <v/>
      </c>
      <c r="I192">
        <f>IF(OR(I$4="",$A192&gt;TODAY()),0,IF(OR(INDEX($B192:$D192,I$5)="F",AND(I$6&gt;0,$A192&lt;I$6),AND(I$7&gt;0,$A192&gt;I$7)),0,MAX(0,ROUND((INDEX($E192:$G192,I$5)-SUMIFS(TF_Timer,TF_Tekniker,I$4,TF_Dato,$A192))*2,0)/2)))</f>
        <v/>
      </c>
      <c r="J192">
        <f>IF(OR(J$4="",$A192&gt;TODAY()),0,IF(OR(INDEX($B192:$D192,J$5)="F",AND(J$6&gt;0,$A192&lt;J$6),AND(J$7&gt;0,$A192&gt;J$7)),0,MAX(0,ROUND((INDEX($E192:$G192,J$5)-SUMIFS(TF_Timer,TF_Tekniker,J$4,TF_Dato,$A192))*2,0)/2)))</f>
        <v/>
      </c>
      <c r="K192">
        <f>IF(OR(K$4="",$A192&gt;TODAY()),0,IF(OR(INDEX($B192:$D192,K$5)="F",AND(K$6&gt;0,$A192&lt;K$6),AND(K$7&gt;0,$A192&gt;K$7)),0,MAX(0,ROUND((INDEX($E192:$G192,K$5)-SUMIFS(TF_Timer,TF_Tekniker,K$4,TF_Dato,$A192))*2,0)/2)))</f>
        <v/>
      </c>
      <c r="L192">
        <f>IF(OR(L$4="",$A192&gt;TODAY()),0,IF(OR(INDEX($B192:$D192,L$5)="F",AND(L$6&gt;0,$A192&lt;L$6),AND(L$7&gt;0,$A192&gt;L$7)),0,MAX(0,ROUND((INDEX($E192:$G192,L$5)-SUMIFS(TF_Timer,TF_Tekniker,L$4,TF_Dato,$A192))*2,0)/2)))</f>
        <v/>
      </c>
      <c r="M192">
        <f>IF(OR(M$4="",$A192&gt;TODAY()),0,IF(OR(INDEX($B192:$D192,M$5)="F",AND(M$6&gt;0,$A192&lt;M$6),AND(M$7&gt;0,$A192&gt;M$7)),0,MAX(0,ROUND((INDEX($E192:$G192,M$5)-SUMIFS(TF_Timer,TF_Tekniker,M$4,TF_Dato,$A192))*2,0)/2)))</f>
        <v/>
      </c>
      <c r="N192">
        <f>IF(OR(N$4="",$A192&gt;TODAY()),0,IF(OR(INDEX($B192:$D192,N$5)="F",AND(N$6&gt;0,$A192&lt;N$6),AND(N$7&gt;0,$A192&gt;N$7)),0,MAX(0,ROUND((INDEX($E192:$G192,N$5)-SUMIFS(TF_Timer,TF_Tekniker,N$4,TF_Dato,$A192))*2,0)/2)))</f>
        <v/>
      </c>
      <c r="O192">
        <f>IF(OR(O$4="",$A192&gt;TODAY()),0,IF(OR(INDEX($B192:$D192,O$5)="F",AND(O$6&gt;0,$A192&lt;O$6),AND(O$7&gt;0,$A192&gt;O$7)),0,MAX(0,ROUND((INDEX($E192:$G192,O$5)-SUMIFS(TF_Timer,TF_Tekniker,O$4,TF_Dato,$A192))*2,0)/2)))</f>
        <v/>
      </c>
      <c r="P192">
        <f>IF(OR(P$4="",$A192&gt;TODAY()),0,IF(OR(INDEX($B192:$D192,P$5)="F",AND(P$6&gt;0,$A192&lt;P$6),AND(P$7&gt;0,$A192&gt;P$7)),0,MAX(0,ROUND((INDEX($E192:$G192,P$5)-SUMIFS(TF_Timer,TF_Tekniker,P$4,TF_Dato,$A192))*2,0)/2)))</f>
        <v/>
      </c>
      <c r="Q192">
        <f>IF(OR(Q$4="",$A192&gt;TODAY()),0,IF(OR(INDEX($B192:$D192,Q$5)="F",AND(Q$6&gt;0,$A192&lt;Q$6),AND(Q$7&gt;0,$A192&gt;Q$7)),0,MAX(0,ROUND((INDEX($E192:$G192,Q$5)-SUMIFS(TF_Timer,TF_Tekniker,Q$4,TF_Dato,$A192))*2,0)/2)))</f>
        <v/>
      </c>
      <c r="R192">
        <f>IF(OR(R$4="",$A192&gt;TODAY()),0,IF(OR(INDEX($B192:$D192,R$5)="F",AND(R$6&gt;0,$A192&lt;R$6),AND(R$7&gt;0,$A192&gt;R$7)),0,MAX(0,ROUND((INDEX($E192:$G192,R$5)-SUMIFS(TF_Timer,TF_Tekniker,R$4,TF_Dato,$A192))*2,0)/2)))</f>
        <v/>
      </c>
      <c r="S192">
        <f>IF(OR(S$4="",$A192&gt;TODAY()),0,IF(OR(INDEX($B192:$D192,S$5)="F",AND(S$6&gt;0,$A192&lt;S$6),AND(S$7&gt;0,$A192&gt;S$7)),0,MAX(0,ROUND((INDEX($E192:$G192,S$5)-SUMIFS(TF_Timer,TF_Tekniker,S$4,TF_Dato,$A192))*2,0)/2)))</f>
        <v/>
      </c>
      <c r="T192">
        <f>IF(OR(T$4="",$A192&gt;TODAY()),0,IF(OR(INDEX($B192:$D192,T$5)="F",AND(T$6&gt;0,$A192&lt;T$6),AND(T$7&gt;0,$A192&gt;T$7)),0,MAX(0,ROUND((INDEX($E192:$G192,T$5)-SUMIFS(TF_Timer,TF_Tekniker,T$4,TF_Dato,$A192))*2,0)/2)))</f>
        <v/>
      </c>
      <c r="U192">
        <f>IF(OR(U$4="",$A192&gt;TODAY()),0,IF(OR(INDEX($B192:$D192,U$5)="F",AND(U$6&gt;0,$A192&lt;U$6),AND(U$7&gt;0,$A192&gt;U$7)),0,MAX(0,ROUND((INDEX($E192:$G192,U$5)-SUMIFS(TF_Timer,TF_Tekniker,U$4,TF_Dato,$A192))*2,0)/2)))</f>
        <v/>
      </c>
      <c r="V192">
        <f>IF(OR(V$4="",$A192&gt;TODAY()),0,IF(OR(INDEX($B192:$D192,V$5)="F",AND(V$6&gt;0,$A192&lt;V$6),AND(V$7&gt;0,$A192&gt;V$7)),0,MAX(0,ROUND((INDEX($E192:$G192,V$5)-SUMIFS(TF_Timer,TF_Tekniker,V$4,TF_Dato,$A192))*2,0)/2)))</f>
        <v/>
      </c>
      <c r="W192">
        <f>IF(OR(W$4="",$A192&gt;TODAY()),0,IF(OR(INDEX($B192:$D192,W$5)="F",AND(W$6&gt;0,$A192&lt;W$6),AND(W$7&gt;0,$A192&gt;W$7)),0,MAX(0,ROUND((INDEX($E192:$G192,W$5)-SUMIFS(TF_Timer,TF_Tekniker,W$4,TF_Dato,$A192))*2,0)/2)))</f>
        <v/>
      </c>
      <c r="X192">
        <f>IF(OR(X$4="",$A192&gt;TODAY()),0,IF(OR(INDEX($B192:$D192,X$5)="F",AND(X$6&gt;0,$A192&lt;X$6),AND(X$7&gt;0,$A192&gt;X$7)),0,MAX(0,ROUND((INDEX($E192:$G192,X$5)-SUMIFS(TF_Timer,TF_Tekniker,X$4,TF_Dato,$A192))*2,0)/2)))</f>
        <v/>
      </c>
      <c r="Y192">
        <f>IF(OR(Y$4="",$A192&gt;TODAY()),0,IF(OR(INDEX($B192:$D192,Y$5)="F",AND(Y$6&gt;0,$A192&lt;Y$6),AND(Y$7&gt;0,$A192&gt;Y$7)),0,MAX(0,ROUND((INDEX($E192:$G192,Y$5)-SUMIFS(TF_Timer,TF_Tekniker,Y$4,TF_Dato,$A192))*2,0)/2)))</f>
        <v/>
      </c>
      <c r="Z192">
        <f>IF(OR(Z$4="",$A192&gt;TODAY()),0,IF(OR(INDEX($B192:$D192,Z$5)="F",AND(Z$6&gt;0,$A192&lt;Z$6),AND(Z$7&gt;0,$A192&gt;Z$7)),0,MAX(0,ROUND((INDEX($E192:$G192,Z$5)-SUMIFS(TF_Timer,TF_Tekniker,Z$4,TF_Dato,$A192))*2,0)/2)))</f>
        <v/>
      </c>
      <c r="AA192">
        <f>IF(OR(AA$4="",$A192&gt;TODAY()),0,IF(OR(INDEX($B192:$D192,AA$5)="F",AND(AA$6&gt;0,$A192&lt;AA$6),AND(AA$7&gt;0,$A192&gt;AA$7)),0,MAX(0,ROUND((INDEX($E192:$G192,AA$5)-SUMIFS(TF_Timer,TF_Tekniker,AA$4,TF_Dato,$A192))*2,0)/2)))</f>
        <v/>
      </c>
      <c r="AB192">
        <f>IF(OR(AB$4="",$A192&gt;TODAY()),0,IF(OR(INDEX($B192:$D192,AB$5)="F",AND(AB$6&gt;0,$A192&lt;AB$6),AND(AB$7&gt;0,$A192&gt;AB$7)),0,MAX(0,ROUND((INDEX($E192:$G192,AB$5)-SUMIFS(TF_Timer,TF_Tekniker,AB$4,TF_Dato,$A192))*2,0)/2)))</f>
        <v/>
      </c>
      <c r="AC192">
        <f>IF(OR(AC$4="",$A192&gt;TODAY()),0,IF(OR(INDEX($B192:$D192,AC$5)="F",AND(AC$6&gt;0,$A192&lt;AC$6),AND(AC$7&gt;0,$A192&gt;AC$7)),0,MAX(0,ROUND((INDEX($E192:$G192,AC$5)-SUMIFS(TF_Timer,TF_Tekniker,AC$4,TF_Dato,$A192))*2,0)/2)))</f>
        <v/>
      </c>
      <c r="AD192">
        <f>IF(OR(AD$4="",$A192&gt;TODAY()),0,IF(OR(INDEX($B192:$D192,AD$5)="F",AND(AD$6&gt;0,$A192&lt;AD$6),AND(AD$7&gt;0,$A192&gt;AD$7)),0,MAX(0,ROUND((INDEX($E192:$G192,AD$5)-SUMIFS(TF_Timer,TF_Tekniker,AD$4,TF_Dato,$A192))*2,0)/2)))</f>
        <v/>
      </c>
      <c r="AE192">
        <f>IF(OR(AE$4="",$A192&gt;TODAY()),0,IF(OR(INDEX($B192:$D192,AE$5)="F",AND(AE$6&gt;0,$A192&lt;AE$6),AND(AE$7&gt;0,$A192&gt;AE$7)),0,MAX(0,ROUND((INDEX($E192:$G192,AE$5)-SUMIFS(TF_Timer,TF_Tekniker,AE$4,TF_Dato,$A192))*2,0)/2)))</f>
        <v/>
      </c>
      <c r="AF192">
        <f>IF(OR(AF$4="",$A192&gt;TODAY()),0,IF(OR(INDEX($B192:$D192,AF$5)="F",AND(AF$6&gt;0,$A192&lt;AF$6),AND(AF$7&gt;0,$A192&gt;AF$7)),0,MAX(0,ROUND((INDEX($E192:$G192,AF$5)-SUMIFS(TF_Timer,TF_Tekniker,AF$4,TF_Dato,$A192))*2,0)/2)))</f>
        <v/>
      </c>
      <c r="AG192">
        <f>IF(OR(AG$4="",$A192&gt;TODAY()),0,IF(OR(INDEX($B192:$D192,AG$5)="F",AND(AG$6&gt;0,$A192&lt;AG$6),AND(AG$7&gt;0,$A192&gt;AG$7)),0,MAX(0,ROUND((INDEX($E192:$G192,AG$5)-SUMIFS(TF_Timer,TF_Tekniker,AG$4,TF_Dato,$A192))*2,0)/2)))</f>
        <v/>
      </c>
      <c r="AH192">
        <f>IF(OR(AH$4="",$A192&gt;TODAY()),0,IF(OR(INDEX($B192:$D192,AH$5)="F",AND(AH$6&gt;0,$A192&lt;AH$6),AND(AH$7&gt;0,$A192&gt;AH$7)),0,MAX(0,ROUND((INDEX($E192:$G192,AH$5)-SUMIFS(TF_Timer,TF_Tekniker,AH$4,TF_Dato,$A192))*2,0)/2)))</f>
        <v/>
      </c>
      <c r="AI192">
        <f>IF(OR(AI$4="",$A192&gt;TODAY()),0,IF(OR(INDEX($B192:$D192,AI$5)="F",AND(AI$6&gt;0,$A192&lt;AI$6),AND(AI$7&gt;0,$A192&gt;AI$7)),0,MAX(0,ROUND((INDEX($E192:$G192,AI$5)-SUMIFS(TF_Timer,TF_Tekniker,AI$4,TF_Dato,$A192))*2,0)/2)))</f>
        <v/>
      </c>
      <c r="AJ192">
        <f>IF(OR(AJ$4="",$A192&gt;TODAY()),0,IF(OR(INDEX($B192:$D192,AJ$5)="F",AND(AJ$6&gt;0,$A192&lt;AJ$6),AND(AJ$7&gt;0,$A192&gt;AJ$7)),0,MAX(0,ROUND((INDEX($E192:$G192,AJ$5)-SUMIFS(TF_Timer,TF_Tekniker,AJ$4,TF_Dato,$A192))*2,0)/2)))</f>
        <v/>
      </c>
      <c r="AK192">
        <f>IF(OR(AK$4="",$A192&gt;TODAY()),0,IF(OR(INDEX($B192:$D192,AK$5)="F",AND(AK$6&gt;0,$A192&lt;AK$6),AND(AK$7&gt;0,$A192&gt;AK$7)),0,MAX(0,ROUND((INDEX($E192:$G192,AK$5)-SUMIFS(TF_Timer,TF_Tekniker,AK$4,TF_Dato,$A192))*2,0)/2)))</f>
        <v/>
      </c>
      <c r="AL192">
        <f>IF(OR(AL$4="",$A192&gt;TODAY()),0,IF(OR(INDEX($B192:$D192,AL$5)="F",AND(AL$6&gt;0,$A192&lt;AL$6),AND(AL$7&gt;0,$A192&gt;AL$7)),0,MAX(0,ROUND((INDEX($E192:$G192,AL$5)-SUMIFS(TF_Timer,TF_Tekniker,AL$4,TF_Dato,$A192))*2,0)/2)))</f>
        <v/>
      </c>
      <c r="AM192">
        <f>IF(OR(AM$4="",$A192&gt;TODAY()),0,IF(OR(INDEX($B192:$D192,AM$5)="F",AND(AM$6&gt;0,$A192&lt;AM$6),AND(AM$7&gt;0,$A192&gt;AM$7)),0,MAX(0,ROUND((INDEX($E192:$G192,AM$5)-SUMIFS(TF_Timer,TF_Tekniker,AM$4,TF_Dato,$A192))*2,0)/2)))</f>
        <v/>
      </c>
      <c r="AN192">
        <f>IF(OR(AN$4="",$A192&gt;TODAY()),0,IF(OR(INDEX($B192:$D192,AN$5)="F",AND(AN$6&gt;0,$A192&lt;AN$6),AND(AN$7&gt;0,$A192&gt;AN$7)),0,MAX(0,ROUND((INDEX($E192:$G192,AN$5)-SUMIFS(TF_Timer,TF_Tekniker,AN$4,TF_Dato,$A192))*2,0)/2)))</f>
        <v/>
      </c>
      <c r="AO192">
        <f>IF(OR(AO$4="",$A192&gt;TODAY()),0,IF(OR(INDEX($B192:$D192,AO$5)="F",AND(AO$6&gt;0,$A192&lt;AO$6),AND(AO$7&gt;0,$A192&gt;AO$7)),0,MAX(0,ROUND((INDEX($E192:$G192,AO$5)-SUMIFS(TF_Timer,TF_Tekniker,AO$4,TF_Dato,$A192))*2,0)/2)))</f>
        <v/>
      </c>
      <c r="AP192">
        <f>IF(OR(AP$4="",$A192&gt;TODAY()),0,IF(OR(INDEX($B192:$D192,AP$5)="F",AND(AP$6&gt;0,$A192&lt;AP$6),AND(AP$7&gt;0,$A192&gt;AP$7)),0,MAX(0,ROUND((INDEX($E192:$G192,AP$5)-SUMIFS(TF_Timer,TF_Tekniker,AP$4,TF_Dato,$A192))*2,0)/2)))</f>
        <v/>
      </c>
      <c r="AQ192">
        <f>IF(OR(AQ$4="",$A192&gt;TODAY()),0,IF(OR(INDEX($B192:$D192,AQ$5)="F",AND(AQ$6&gt;0,$A192&lt;AQ$6),AND(AQ$7&gt;0,$A192&gt;AQ$7)),0,MAX(0,ROUND((INDEX($E192:$G192,AQ$5)-SUMIFS(TF_Timer,TF_Tekniker,AQ$4,TF_Dato,$A192))*2,0)/2)))</f>
        <v/>
      </c>
      <c r="AR192">
        <f>IF(OR(AR$4="",$A192&gt;TODAY()),0,IF(OR(INDEX($B192:$D192,AR$5)="F",AND(AR$6&gt;0,$A192&lt;AR$6),AND(AR$7&gt;0,$A192&gt;AR$7)),0,MAX(0,ROUND((INDEX($E192:$G192,AR$5)-SUMIFS(TF_Timer,TF_Tekniker,AR$4,TF_Dato,$A192))*2,0)/2)))</f>
        <v/>
      </c>
      <c r="AS192">
        <f>IF(OR(AS$4="",$A192&gt;TODAY()),0,IF(OR(INDEX($B192:$D192,AS$5)="F",AND(AS$6&gt;0,$A192&lt;AS$6),AND(AS$7&gt;0,$A192&gt;AS$7)),0,MAX(0,ROUND((INDEX($E192:$G192,AS$5)-SUMIFS(TF_Timer,TF_Tekniker,AS$4,TF_Dato,$A192))*2,0)/2)))</f>
        <v/>
      </c>
      <c r="AT192">
        <f>IF(OR(AT$4="",$A192&gt;TODAY()),0,IF(OR(INDEX($B192:$D192,AT$5)="F",AND(AT$6&gt;0,$A192&lt;AT$6),AND(AT$7&gt;0,$A192&gt;AT$7)),0,MAX(0,ROUND((INDEX($E192:$G192,AT$5)-SUMIFS(TF_Timer,TF_Tekniker,AT$4,TF_Dato,$A192))*2,0)/2)))</f>
        <v/>
      </c>
      <c r="AU192">
        <f>IF(OR(AU$4="",$A192&gt;TODAY()),0,IF(OR(INDEX($B192:$D192,AU$5)="F",AND(AU$6&gt;0,$A192&lt;AU$6),AND(AU$7&gt;0,$A192&gt;AU$7)),0,MAX(0,ROUND((INDEX($E192:$G192,AU$5)-SUMIFS(TF_Timer,TF_Tekniker,AU$4,TF_Dato,$A192))*2,0)/2)))</f>
        <v/>
      </c>
      <c r="AV192">
        <f>IF(OR(AV$4="",$A192&gt;TODAY()),0,IF(OR(INDEX($B192:$D192,AV$5)="F",AND(AV$6&gt;0,$A192&lt;AV$6),AND(AV$7&gt;0,$A192&gt;AV$7)),0,MAX(0,ROUND((INDEX($E192:$G192,AV$5)-SUMIFS(TF_Timer,TF_Tekniker,AV$4,TF_Dato,$A192))*2,0)/2)))</f>
        <v/>
      </c>
      <c r="AW192">
        <f>IF(OR(AW$4="",$A192&gt;TODAY()),0,IF(OR(INDEX($B192:$D192,AW$5)="F",AND(AW$6&gt;0,$A192&lt;AW$6),AND(AW$7&gt;0,$A192&gt;AW$7)),0,MAX(0,ROUND((INDEX($E192:$G192,AW$5)-SUMIFS(TF_Timer,TF_Tekniker,AW$4,TF_Dato,$A192))*2,0)/2)))</f>
        <v/>
      </c>
      <c r="AX192">
        <f>IF(OR(AX$4="",$A192&gt;TODAY()),0,IF(OR(INDEX($B192:$D192,AX$5)="F",AND(AX$6&gt;0,$A192&lt;AX$6),AND(AX$7&gt;0,$A192&gt;AX$7)),0,MAX(0,ROUND((INDEX($E192:$G192,AX$5)-SUMIFS(TF_Timer,TF_Tekniker,AX$4,TF_Dato,$A192))*2,0)/2)))</f>
        <v/>
      </c>
      <c r="AY192">
        <f>IF(OR(AY$4="",$A192&gt;TODAY()),0,IF(OR(INDEX($B192:$D192,AY$5)="F",AND(AY$6&gt;0,$A192&lt;AY$6),AND(AY$7&gt;0,$A192&gt;AY$7)),0,MAX(0,ROUND((INDEX($E192:$G192,AY$5)-SUMIFS(TF_Timer,TF_Tekniker,AY$4,TF_Dato,$A192))*2,0)/2)))</f>
        <v/>
      </c>
      <c r="AZ192">
        <f>IF(OR(AZ$4="",$A192&gt;TODAY()),0,IF(OR(INDEX($B192:$D192,AZ$5)="F",AND(AZ$6&gt;0,$A192&lt;AZ$6),AND(AZ$7&gt;0,$A192&gt;AZ$7)),0,MAX(0,ROUND((INDEX($E192:$G192,AZ$5)-SUMIFS(TF_Timer,TF_Tekniker,AZ$4,TF_Dato,$A192))*2,0)/2)))</f>
        <v/>
      </c>
      <c r="BA192">
        <f>IF(OR(BA$4="",$A192&gt;TODAY()),0,IF(OR(INDEX($B192:$D192,BA$5)="F",AND(BA$6&gt;0,$A192&lt;BA$6),AND(BA$7&gt;0,$A192&gt;BA$7)),0,MAX(0,ROUND((INDEX($E192:$G192,BA$5)-SUMIFS(TF_Timer,TF_Tekniker,BA$4,TF_Dato,$A192))*2,0)/2)))</f>
        <v/>
      </c>
      <c r="BB192">
        <f>IF(OR(BB$4="",$A192&gt;TODAY()),0,IF(OR(INDEX($B192:$D192,BB$5)="F",AND(BB$6&gt;0,$A192&lt;BB$6),AND(BB$7&gt;0,$A192&gt;BB$7)),0,MAX(0,ROUND((INDEX($E192:$G192,BB$5)-SUMIFS(TF_Timer,TF_Tekniker,BB$4,TF_Dato,$A192))*2,0)/2)))</f>
        <v/>
      </c>
      <c r="BC192">
        <f>IF(OR(BC$4="",$A192&gt;TODAY()),0,IF(OR(INDEX($B192:$D192,BC$5)="F",AND(BC$6&gt;0,$A192&lt;BC$6),AND(BC$7&gt;0,$A192&gt;BC$7)),0,MAX(0,ROUND((INDEX($E192:$G192,BC$5)-SUMIFS(TF_Timer,TF_Tekniker,BC$4,TF_Dato,$A192))*2,0)/2)))</f>
        <v/>
      </c>
      <c r="BD192">
        <f>IF(OR(BD$4="",$A192&gt;TODAY()),0,IF(OR(INDEX($B192:$D192,BD$5)="F",AND(BD$6&gt;0,$A192&lt;BD$6),AND(BD$7&gt;0,$A192&gt;BD$7)),0,MAX(0,ROUND((INDEX($E192:$G192,BD$5)-SUMIFS(TF_Timer,TF_Tekniker,BD$4,TF_Dato,$A192))*2,0)/2)))</f>
        <v/>
      </c>
      <c r="BE192">
        <f>IF(OR(BE$4="",$A192&gt;TODAY()),0,IF(OR(INDEX($B192:$D192,BE$5)="F",AND(BE$6&gt;0,$A192&lt;BE$6),AND(BE$7&gt;0,$A192&gt;BE$7)),0,MAX(0,ROUND((INDEX($E192:$G192,BE$5)-SUMIFS(TF_Timer,TF_Tekniker,BE$4,TF_Dato,$A192))*2,0)/2)))</f>
        <v/>
      </c>
      <c r="BF192">
        <f>IF(OR(BF$4="",$A192&gt;TODAY()),0,IF(OR(INDEX($B192:$D192,BF$5)="F",AND(BF$6&gt;0,$A192&lt;BF$6),AND(BF$7&gt;0,$A192&gt;BF$7)),0,MAX(0,ROUND((INDEX($E192:$G192,BF$5)-SUMIFS(TF_Timer,TF_Tekniker,BF$4,TF_Dato,$A192))*2,0)/2)))</f>
        <v/>
      </c>
      <c r="BG192">
        <f>IF(OR(BG$4="",$A192&gt;TODAY()),0,IF(OR(INDEX($B192:$D192,BG$5)="F",AND(BG$6&gt;0,$A192&lt;BG$6),AND(BG$7&gt;0,$A192&gt;BG$7)),0,MAX(0,ROUND((INDEX($E192:$G192,BG$5)-SUMIFS(TF_Timer,TF_Tekniker,BG$4,TF_Dato,$A192))*2,0)/2)))</f>
        <v/>
      </c>
      <c r="BH192">
        <f>IF(OR(BH$4="",$A192&gt;TODAY()),0,IF(OR(INDEX($B192:$D192,BH$5)="F",AND(BH$6&gt;0,$A192&lt;BH$6),AND(BH$7&gt;0,$A192&gt;BH$7)),0,MAX(0,ROUND((INDEX($E192:$G192,BH$5)-SUMIFS(TF_Timer,TF_Tekniker,BH$4,TF_Dato,$A192))*2,0)/2)))</f>
        <v/>
      </c>
      <c r="BI192">
        <f>IF(OR(BI$4="",$A192&gt;TODAY()),0,IF(OR(INDEX($B192:$D192,BI$5)="F",AND(BI$6&gt;0,$A192&lt;BI$6),AND(BI$7&gt;0,$A192&gt;BI$7)),0,MAX(0,ROUND((INDEX($E192:$G192,BI$5)-SUMIFS(TF_Timer,TF_Tekniker,BI$4,TF_Dato,$A192))*2,0)/2)))</f>
        <v/>
      </c>
    </row>
    <row r="193">
      <c r="A193" s="64">
        <f>A192+1</f>
        <v/>
      </c>
      <c r="B193">
        <f>IF(MOD($A193-INDEX(SkiftStart,1),Syklus)&lt;DagK,"K",IF(MOD($A193-INDEX(SkiftStart,1),Syklus)&lt;DagK+DagH,"H",IF(MOD($A193-INDEX(SkiftStart,1),Syklus)&lt;DagK+DagH+DagD,"D","F")))</f>
        <v/>
      </c>
      <c r="C193">
        <f>IF(MOD($A193-INDEX(SkiftStart,2),Syklus)&lt;DagK,"K",IF(MOD($A193-INDEX(SkiftStart,2),Syklus)&lt;DagK+DagH,"H",IF(MOD($A193-INDEX(SkiftStart,2),Syklus)&lt;DagK+DagH+DagD,"D","F")))</f>
        <v/>
      </c>
      <c r="D193">
        <f>IF(MOD($A193-INDEX(SkiftStart,3),Syklus)&lt;DagK,"K",IF(MOD($A193-INDEX(SkiftStart,3),Syklus)&lt;DagK+DagH,"H",IF(MOD($A193-INDEX(SkiftStart,3),Syklus)&lt;DagK+DagH+DagD,"D","F")))</f>
        <v/>
      </c>
      <c r="E193">
        <f>IF(B193="F",0,IF(WEEKDAY($A193,2)=5,INDEX(TimerFr,MATCH(B193,FaseKode,0)),INDEX(TimerMT,MATCH(B193,FaseKode,0))))</f>
        <v/>
      </c>
      <c r="F193">
        <f>IF(C193="F",0,IF(WEEKDAY($A193,2)=5,INDEX(TimerFr,MATCH(C193,FaseKode,0)),INDEX(TimerMT,MATCH(C193,FaseKode,0))))</f>
        <v/>
      </c>
      <c r="G193">
        <f>IF(D193="F",0,IF(WEEKDAY($A193,2)=5,INDEX(TimerFr,MATCH(D193,FaseKode,0)),INDEX(TimerMT,MATCH(D193,FaseKode,0))))</f>
        <v/>
      </c>
      <c r="H193">
        <f>IF(OR(H$4="",$A193&gt;TODAY()),0,IF(OR(INDEX($B193:$D193,H$5)="F",AND(H$6&gt;0,$A193&lt;H$6),AND(H$7&gt;0,$A193&gt;H$7)),0,MAX(0,ROUND((INDEX($E193:$G193,H$5)-SUMIFS(TF_Timer,TF_Tekniker,H$4,TF_Dato,$A193))*2,0)/2)))</f>
        <v/>
      </c>
      <c r="I193">
        <f>IF(OR(I$4="",$A193&gt;TODAY()),0,IF(OR(INDEX($B193:$D193,I$5)="F",AND(I$6&gt;0,$A193&lt;I$6),AND(I$7&gt;0,$A193&gt;I$7)),0,MAX(0,ROUND((INDEX($E193:$G193,I$5)-SUMIFS(TF_Timer,TF_Tekniker,I$4,TF_Dato,$A193))*2,0)/2)))</f>
        <v/>
      </c>
      <c r="J193">
        <f>IF(OR(J$4="",$A193&gt;TODAY()),0,IF(OR(INDEX($B193:$D193,J$5)="F",AND(J$6&gt;0,$A193&lt;J$6),AND(J$7&gt;0,$A193&gt;J$7)),0,MAX(0,ROUND((INDEX($E193:$G193,J$5)-SUMIFS(TF_Timer,TF_Tekniker,J$4,TF_Dato,$A193))*2,0)/2)))</f>
        <v/>
      </c>
      <c r="K193">
        <f>IF(OR(K$4="",$A193&gt;TODAY()),0,IF(OR(INDEX($B193:$D193,K$5)="F",AND(K$6&gt;0,$A193&lt;K$6),AND(K$7&gt;0,$A193&gt;K$7)),0,MAX(0,ROUND((INDEX($E193:$G193,K$5)-SUMIFS(TF_Timer,TF_Tekniker,K$4,TF_Dato,$A193))*2,0)/2)))</f>
        <v/>
      </c>
      <c r="L193">
        <f>IF(OR(L$4="",$A193&gt;TODAY()),0,IF(OR(INDEX($B193:$D193,L$5)="F",AND(L$6&gt;0,$A193&lt;L$6),AND(L$7&gt;0,$A193&gt;L$7)),0,MAX(0,ROUND((INDEX($E193:$G193,L$5)-SUMIFS(TF_Timer,TF_Tekniker,L$4,TF_Dato,$A193))*2,0)/2)))</f>
        <v/>
      </c>
      <c r="M193">
        <f>IF(OR(M$4="",$A193&gt;TODAY()),0,IF(OR(INDEX($B193:$D193,M$5)="F",AND(M$6&gt;0,$A193&lt;M$6),AND(M$7&gt;0,$A193&gt;M$7)),0,MAX(0,ROUND((INDEX($E193:$G193,M$5)-SUMIFS(TF_Timer,TF_Tekniker,M$4,TF_Dato,$A193))*2,0)/2)))</f>
        <v/>
      </c>
      <c r="N193">
        <f>IF(OR(N$4="",$A193&gt;TODAY()),0,IF(OR(INDEX($B193:$D193,N$5)="F",AND(N$6&gt;0,$A193&lt;N$6),AND(N$7&gt;0,$A193&gt;N$7)),0,MAX(0,ROUND((INDEX($E193:$G193,N$5)-SUMIFS(TF_Timer,TF_Tekniker,N$4,TF_Dato,$A193))*2,0)/2)))</f>
        <v/>
      </c>
      <c r="O193">
        <f>IF(OR(O$4="",$A193&gt;TODAY()),0,IF(OR(INDEX($B193:$D193,O$5)="F",AND(O$6&gt;0,$A193&lt;O$6),AND(O$7&gt;0,$A193&gt;O$7)),0,MAX(0,ROUND((INDEX($E193:$G193,O$5)-SUMIFS(TF_Timer,TF_Tekniker,O$4,TF_Dato,$A193))*2,0)/2)))</f>
        <v/>
      </c>
      <c r="P193">
        <f>IF(OR(P$4="",$A193&gt;TODAY()),0,IF(OR(INDEX($B193:$D193,P$5)="F",AND(P$6&gt;0,$A193&lt;P$6),AND(P$7&gt;0,$A193&gt;P$7)),0,MAX(0,ROUND((INDEX($E193:$G193,P$5)-SUMIFS(TF_Timer,TF_Tekniker,P$4,TF_Dato,$A193))*2,0)/2)))</f>
        <v/>
      </c>
      <c r="Q193">
        <f>IF(OR(Q$4="",$A193&gt;TODAY()),0,IF(OR(INDEX($B193:$D193,Q$5)="F",AND(Q$6&gt;0,$A193&lt;Q$6),AND(Q$7&gt;0,$A193&gt;Q$7)),0,MAX(0,ROUND((INDEX($E193:$G193,Q$5)-SUMIFS(TF_Timer,TF_Tekniker,Q$4,TF_Dato,$A193))*2,0)/2)))</f>
        <v/>
      </c>
      <c r="R193">
        <f>IF(OR(R$4="",$A193&gt;TODAY()),0,IF(OR(INDEX($B193:$D193,R$5)="F",AND(R$6&gt;0,$A193&lt;R$6),AND(R$7&gt;0,$A193&gt;R$7)),0,MAX(0,ROUND((INDEX($E193:$G193,R$5)-SUMIFS(TF_Timer,TF_Tekniker,R$4,TF_Dato,$A193))*2,0)/2)))</f>
        <v/>
      </c>
      <c r="S193">
        <f>IF(OR(S$4="",$A193&gt;TODAY()),0,IF(OR(INDEX($B193:$D193,S$5)="F",AND(S$6&gt;0,$A193&lt;S$6),AND(S$7&gt;0,$A193&gt;S$7)),0,MAX(0,ROUND((INDEX($E193:$G193,S$5)-SUMIFS(TF_Timer,TF_Tekniker,S$4,TF_Dato,$A193))*2,0)/2)))</f>
        <v/>
      </c>
      <c r="T193">
        <f>IF(OR(T$4="",$A193&gt;TODAY()),0,IF(OR(INDEX($B193:$D193,T$5)="F",AND(T$6&gt;0,$A193&lt;T$6),AND(T$7&gt;0,$A193&gt;T$7)),0,MAX(0,ROUND((INDEX($E193:$G193,T$5)-SUMIFS(TF_Timer,TF_Tekniker,T$4,TF_Dato,$A193))*2,0)/2)))</f>
        <v/>
      </c>
      <c r="U193">
        <f>IF(OR(U$4="",$A193&gt;TODAY()),0,IF(OR(INDEX($B193:$D193,U$5)="F",AND(U$6&gt;0,$A193&lt;U$6),AND(U$7&gt;0,$A193&gt;U$7)),0,MAX(0,ROUND((INDEX($E193:$G193,U$5)-SUMIFS(TF_Timer,TF_Tekniker,U$4,TF_Dato,$A193))*2,0)/2)))</f>
        <v/>
      </c>
      <c r="V193">
        <f>IF(OR(V$4="",$A193&gt;TODAY()),0,IF(OR(INDEX($B193:$D193,V$5)="F",AND(V$6&gt;0,$A193&lt;V$6),AND(V$7&gt;0,$A193&gt;V$7)),0,MAX(0,ROUND((INDEX($E193:$G193,V$5)-SUMIFS(TF_Timer,TF_Tekniker,V$4,TF_Dato,$A193))*2,0)/2)))</f>
        <v/>
      </c>
      <c r="W193">
        <f>IF(OR(W$4="",$A193&gt;TODAY()),0,IF(OR(INDEX($B193:$D193,W$5)="F",AND(W$6&gt;0,$A193&lt;W$6),AND(W$7&gt;0,$A193&gt;W$7)),0,MAX(0,ROUND((INDEX($E193:$G193,W$5)-SUMIFS(TF_Timer,TF_Tekniker,W$4,TF_Dato,$A193))*2,0)/2)))</f>
        <v/>
      </c>
      <c r="X193">
        <f>IF(OR(X$4="",$A193&gt;TODAY()),0,IF(OR(INDEX($B193:$D193,X$5)="F",AND(X$6&gt;0,$A193&lt;X$6),AND(X$7&gt;0,$A193&gt;X$7)),0,MAX(0,ROUND((INDEX($E193:$G193,X$5)-SUMIFS(TF_Timer,TF_Tekniker,X$4,TF_Dato,$A193))*2,0)/2)))</f>
        <v/>
      </c>
      <c r="Y193">
        <f>IF(OR(Y$4="",$A193&gt;TODAY()),0,IF(OR(INDEX($B193:$D193,Y$5)="F",AND(Y$6&gt;0,$A193&lt;Y$6),AND(Y$7&gt;0,$A193&gt;Y$7)),0,MAX(0,ROUND((INDEX($E193:$G193,Y$5)-SUMIFS(TF_Timer,TF_Tekniker,Y$4,TF_Dato,$A193))*2,0)/2)))</f>
        <v/>
      </c>
      <c r="Z193">
        <f>IF(OR(Z$4="",$A193&gt;TODAY()),0,IF(OR(INDEX($B193:$D193,Z$5)="F",AND(Z$6&gt;0,$A193&lt;Z$6),AND(Z$7&gt;0,$A193&gt;Z$7)),0,MAX(0,ROUND((INDEX($E193:$G193,Z$5)-SUMIFS(TF_Timer,TF_Tekniker,Z$4,TF_Dato,$A193))*2,0)/2)))</f>
        <v/>
      </c>
      <c r="AA193">
        <f>IF(OR(AA$4="",$A193&gt;TODAY()),0,IF(OR(INDEX($B193:$D193,AA$5)="F",AND(AA$6&gt;0,$A193&lt;AA$6),AND(AA$7&gt;0,$A193&gt;AA$7)),0,MAX(0,ROUND((INDEX($E193:$G193,AA$5)-SUMIFS(TF_Timer,TF_Tekniker,AA$4,TF_Dato,$A193))*2,0)/2)))</f>
        <v/>
      </c>
      <c r="AB193">
        <f>IF(OR(AB$4="",$A193&gt;TODAY()),0,IF(OR(INDEX($B193:$D193,AB$5)="F",AND(AB$6&gt;0,$A193&lt;AB$6),AND(AB$7&gt;0,$A193&gt;AB$7)),0,MAX(0,ROUND((INDEX($E193:$G193,AB$5)-SUMIFS(TF_Timer,TF_Tekniker,AB$4,TF_Dato,$A193))*2,0)/2)))</f>
        <v/>
      </c>
      <c r="AC193">
        <f>IF(OR(AC$4="",$A193&gt;TODAY()),0,IF(OR(INDEX($B193:$D193,AC$5)="F",AND(AC$6&gt;0,$A193&lt;AC$6),AND(AC$7&gt;0,$A193&gt;AC$7)),0,MAX(0,ROUND((INDEX($E193:$G193,AC$5)-SUMIFS(TF_Timer,TF_Tekniker,AC$4,TF_Dato,$A193))*2,0)/2)))</f>
        <v/>
      </c>
      <c r="AD193">
        <f>IF(OR(AD$4="",$A193&gt;TODAY()),0,IF(OR(INDEX($B193:$D193,AD$5)="F",AND(AD$6&gt;0,$A193&lt;AD$6),AND(AD$7&gt;0,$A193&gt;AD$7)),0,MAX(0,ROUND((INDEX($E193:$G193,AD$5)-SUMIFS(TF_Timer,TF_Tekniker,AD$4,TF_Dato,$A193))*2,0)/2)))</f>
        <v/>
      </c>
      <c r="AE193">
        <f>IF(OR(AE$4="",$A193&gt;TODAY()),0,IF(OR(INDEX($B193:$D193,AE$5)="F",AND(AE$6&gt;0,$A193&lt;AE$6),AND(AE$7&gt;0,$A193&gt;AE$7)),0,MAX(0,ROUND((INDEX($E193:$G193,AE$5)-SUMIFS(TF_Timer,TF_Tekniker,AE$4,TF_Dato,$A193))*2,0)/2)))</f>
        <v/>
      </c>
      <c r="AF193">
        <f>IF(OR(AF$4="",$A193&gt;TODAY()),0,IF(OR(INDEX($B193:$D193,AF$5)="F",AND(AF$6&gt;0,$A193&lt;AF$6),AND(AF$7&gt;0,$A193&gt;AF$7)),0,MAX(0,ROUND((INDEX($E193:$G193,AF$5)-SUMIFS(TF_Timer,TF_Tekniker,AF$4,TF_Dato,$A193))*2,0)/2)))</f>
        <v/>
      </c>
      <c r="AG193">
        <f>IF(OR(AG$4="",$A193&gt;TODAY()),0,IF(OR(INDEX($B193:$D193,AG$5)="F",AND(AG$6&gt;0,$A193&lt;AG$6),AND(AG$7&gt;0,$A193&gt;AG$7)),0,MAX(0,ROUND((INDEX($E193:$G193,AG$5)-SUMIFS(TF_Timer,TF_Tekniker,AG$4,TF_Dato,$A193))*2,0)/2)))</f>
        <v/>
      </c>
      <c r="AH193">
        <f>IF(OR(AH$4="",$A193&gt;TODAY()),0,IF(OR(INDEX($B193:$D193,AH$5)="F",AND(AH$6&gt;0,$A193&lt;AH$6),AND(AH$7&gt;0,$A193&gt;AH$7)),0,MAX(0,ROUND((INDEX($E193:$G193,AH$5)-SUMIFS(TF_Timer,TF_Tekniker,AH$4,TF_Dato,$A193))*2,0)/2)))</f>
        <v/>
      </c>
      <c r="AI193">
        <f>IF(OR(AI$4="",$A193&gt;TODAY()),0,IF(OR(INDEX($B193:$D193,AI$5)="F",AND(AI$6&gt;0,$A193&lt;AI$6),AND(AI$7&gt;0,$A193&gt;AI$7)),0,MAX(0,ROUND((INDEX($E193:$G193,AI$5)-SUMIFS(TF_Timer,TF_Tekniker,AI$4,TF_Dato,$A193))*2,0)/2)))</f>
        <v/>
      </c>
      <c r="AJ193">
        <f>IF(OR(AJ$4="",$A193&gt;TODAY()),0,IF(OR(INDEX($B193:$D193,AJ$5)="F",AND(AJ$6&gt;0,$A193&lt;AJ$6),AND(AJ$7&gt;0,$A193&gt;AJ$7)),0,MAX(0,ROUND((INDEX($E193:$G193,AJ$5)-SUMIFS(TF_Timer,TF_Tekniker,AJ$4,TF_Dato,$A193))*2,0)/2)))</f>
        <v/>
      </c>
      <c r="AK193">
        <f>IF(OR(AK$4="",$A193&gt;TODAY()),0,IF(OR(INDEX($B193:$D193,AK$5)="F",AND(AK$6&gt;0,$A193&lt;AK$6),AND(AK$7&gt;0,$A193&gt;AK$7)),0,MAX(0,ROUND((INDEX($E193:$G193,AK$5)-SUMIFS(TF_Timer,TF_Tekniker,AK$4,TF_Dato,$A193))*2,0)/2)))</f>
        <v/>
      </c>
      <c r="AL193">
        <f>IF(OR(AL$4="",$A193&gt;TODAY()),0,IF(OR(INDEX($B193:$D193,AL$5)="F",AND(AL$6&gt;0,$A193&lt;AL$6),AND(AL$7&gt;0,$A193&gt;AL$7)),0,MAX(0,ROUND((INDEX($E193:$G193,AL$5)-SUMIFS(TF_Timer,TF_Tekniker,AL$4,TF_Dato,$A193))*2,0)/2)))</f>
        <v/>
      </c>
      <c r="AM193">
        <f>IF(OR(AM$4="",$A193&gt;TODAY()),0,IF(OR(INDEX($B193:$D193,AM$5)="F",AND(AM$6&gt;0,$A193&lt;AM$6),AND(AM$7&gt;0,$A193&gt;AM$7)),0,MAX(0,ROUND((INDEX($E193:$G193,AM$5)-SUMIFS(TF_Timer,TF_Tekniker,AM$4,TF_Dato,$A193))*2,0)/2)))</f>
        <v/>
      </c>
      <c r="AN193">
        <f>IF(OR(AN$4="",$A193&gt;TODAY()),0,IF(OR(INDEX($B193:$D193,AN$5)="F",AND(AN$6&gt;0,$A193&lt;AN$6),AND(AN$7&gt;0,$A193&gt;AN$7)),0,MAX(0,ROUND((INDEX($E193:$G193,AN$5)-SUMIFS(TF_Timer,TF_Tekniker,AN$4,TF_Dato,$A193))*2,0)/2)))</f>
        <v/>
      </c>
      <c r="AO193">
        <f>IF(OR(AO$4="",$A193&gt;TODAY()),0,IF(OR(INDEX($B193:$D193,AO$5)="F",AND(AO$6&gt;0,$A193&lt;AO$6),AND(AO$7&gt;0,$A193&gt;AO$7)),0,MAX(0,ROUND((INDEX($E193:$G193,AO$5)-SUMIFS(TF_Timer,TF_Tekniker,AO$4,TF_Dato,$A193))*2,0)/2)))</f>
        <v/>
      </c>
      <c r="AP193">
        <f>IF(OR(AP$4="",$A193&gt;TODAY()),0,IF(OR(INDEX($B193:$D193,AP$5)="F",AND(AP$6&gt;0,$A193&lt;AP$6),AND(AP$7&gt;0,$A193&gt;AP$7)),0,MAX(0,ROUND((INDEX($E193:$G193,AP$5)-SUMIFS(TF_Timer,TF_Tekniker,AP$4,TF_Dato,$A193))*2,0)/2)))</f>
        <v/>
      </c>
      <c r="AQ193">
        <f>IF(OR(AQ$4="",$A193&gt;TODAY()),0,IF(OR(INDEX($B193:$D193,AQ$5)="F",AND(AQ$6&gt;0,$A193&lt;AQ$6),AND(AQ$7&gt;0,$A193&gt;AQ$7)),0,MAX(0,ROUND((INDEX($E193:$G193,AQ$5)-SUMIFS(TF_Timer,TF_Tekniker,AQ$4,TF_Dato,$A193))*2,0)/2)))</f>
        <v/>
      </c>
      <c r="AR193">
        <f>IF(OR(AR$4="",$A193&gt;TODAY()),0,IF(OR(INDEX($B193:$D193,AR$5)="F",AND(AR$6&gt;0,$A193&lt;AR$6),AND(AR$7&gt;0,$A193&gt;AR$7)),0,MAX(0,ROUND((INDEX($E193:$G193,AR$5)-SUMIFS(TF_Timer,TF_Tekniker,AR$4,TF_Dato,$A193))*2,0)/2)))</f>
        <v/>
      </c>
      <c r="AS193">
        <f>IF(OR(AS$4="",$A193&gt;TODAY()),0,IF(OR(INDEX($B193:$D193,AS$5)="F",AND(AS$6&gt;0,$A193&lt;AS$6),AND(AS$7&gt;0,$A193&gt;AS$7)),0,MAX(0,ROUND((INDEX($E193:$G193,AS$5)-SUMIFS(TF_Timer,TF_Tekniker,AS$4,TF_Dato,$A193))*2,0)/2)))</f>
        <v/>
      </c>
      <c r="AT193">
        <f>IF(OR(AT$4="",$A193&gt;TODAY()),0,IF(OR(INDEX($B193:$D193,AT$5)="F",AND(AT$6&gt;0,$A193&lt;AT$6),AND(AT$7&gt;0,$A193&gt;AT$7)),0,MAX(0,ROUND((INDEX($E193:$G193,AT$5)-SUMIFS(TF_Timer,TF_Tekniker,AT$4,TF_Dato,$A193))*2,0)/2)))</f>
        <v/>
      </c>
      <c r="AU193">
        <f>IF(OR(AU$4="",$A193&gt;TODAY()),0,IF(OR(INDEX($B193:$D193,AU$5)="F",AND(AU$6&gt;0,$A193&lt;AU$6),AND(AU$7&gt;0,$A193&gt;AU$7)),0,MAX(0,ROUND((INDEX($E193:$G193,AU$5)-SUMIFS(TF_Timer,TF_Tekniker,AU$4,TF_Dato,$A193))*2,0)/2)))</f>
        <v/>
      </c>
      <c r="AV193">
        <f>IF(OR(AV$4="",$A193&gt;TODAY()),0,IF(OR(INDEX($B193:$D193,AV$5)="F",AND(AV$6&gt;0,$A193&lt;AV$6),AND(AV$7&gt;0,$A193&gt;AV$7)),0,MAX(0,ROUND((INDEX($E193:$G193,AV$5)-SUMIFS(TF_Timer,TF_Tekniker,AV$4,TF_Dato,$A193))*2,0)/2)))</f>
        <v/>
      </c>
      <c r="AW193">
        <f>IF(OR(AW$4="",$A193&gt;TODAY()),0,IF(OR(INDEX($B193:$D193,AW$5)="F",AND(AW$6&gt;0,$A193&lt;AW$6),AND(AW$7&gt;0,$A193&gt;AW$7)),0,MAX(0,ROUND((INDEX($E193:$G193,AW$5)-SUMIFS(TF_Timer,TF_Tekniker,AW$4,TF_Dato,$A193))*2,0)/2)))</f>
        <v/>
      </c>
      <c r="AX193">
        <f>IF(OR(AX$4="",$A193&gt;TODAY()),0,IF(OR(INDEX($B193:$D193,AX$5)="F",AND(AX$6&gt;0,$A193&lt;AX$6),AND(AX$7&gt;0,$A193&gt;AX$7)),0,MAX(0,ROUND((INDEX($E193:$G193,AX$5)-SUMIFS(TF_Timer,TF_Tekniker,AX$4,TF_Dato,$A193))*2,0)/2)))</f>
        <v/>
      </c>
      <c r="AY193">
        <f>IF(OR(AY$4="",$A193&gt;TODAY()),0,IF(OR(INDEX($B193:$D193,AY$5)="F",AND(AY$6&gt;0,$A193&lt;AY$6),AND(AY$7&gt;0,$A193&gt;AY$7)),0,MAX(0,ROUND((INDEX($E193:$G193,AY$5)-SUMIFS(TF_Timer,TF_Tekniker,AY$4,TF_Dato,$A193))*2,0)/2)))</f>
        <v/>
      </c>
      <c r="AZ193">
        <f>IF(OR(AZ$4="",$A193&gt;TODAY()),0,IF(OR(INDEX($B193:$D193,AZ$5)="F",AND(AZ$6&gt;0,$A193&lt;AZ$6),AND(AZ$7&gt;0,$A193&gt;AZ$7)),0,MAX(0,ROUND((INDEX($E193:$G193,AZ$5)-SUMIFS(TF_Timer,TF_Tekniker,AZ$4,TF_Dato,$A193))*2,0)/2)))</f>
        <v/>
      </c>
      <c r="BA193">
        <f>IF(OR(BA$4="",$A193&gt;TODAY()),0,IF(OR(INDEX($B193:$D193,BA$5)="F",AND(BA$6&gt;0,$A193&lt;BA$6),AND(BA$7&gt;0,$A193&gt;BA$7)),0,MAX(0,ROUND((INDEX($E193:$G193,BA$5)-SUMIFS(TF_Timer,TF_Tekniker,BA$4,TF_Dato,$A193))*2,0)/2)))</f>
        <v/>
      </c>
      <c r="BB193">
        <f>IF(OR(BB$4="",$A193&gt;TODAY()),0,IF(OR(INDEX($B193:$D193,BB$5)="F",AND(BB$6&gt;0,$A193&lt;BB$6),AND(BB$7&gt;0,$A193&gt;BB$7)),0,MAX(0,ROUND((INDEX($E193:$G193,BB$5)-SUMIFS(TF_Timer,TF_Tekniker,BB$4,TF_Dato,$A193))*2,0)/2)))</f>
        <v/>
      </c>
      <c r="BC193">
        <f>IF(OR(BC$4="",$A193&gt;TODAY()),0,IF(OR(INDEX($B193:$D193,BC$5)="F",AND(BC$6&gt;0,$A193&lt;BC$6),AND(BC$7&gt;0,$A193&gt;BC$7)),0,MAX(0,ROUND((INDEX($E193:$G193,BC$5)-SUMIFS(TF_Timer,TF_Tekniker,BC$4,TF_Dato,$A193))*2,0)/2)))</f>
        <v/>
      </c>
      <c r="BD193">
        <f>IF(OR(BD$4="",$A193&gt;TODAY()),0,IF(OR(INDEX($B193:$D193,BD$5)="F",AND(BD$6&gt;0,$A193&lt;BD$6),AND(BD$7&gt;0,$A193&gt;BD$7)),0,MAX(0,ROUND((INDEX($E193:$G193,BD$5)-SUMIFS(TF_Timer,TF_Tekniker,BD$4,TF_Dato,$A193))*2,0)/2)))</f>
        <v/>
      </c>
      <c r="BE193">
        <f>IF(OR(BE$4="",$A193&gt;TODAY()),0,IF(OR(INDEX($B193:$D193,BE$5)="F",AND(BE$6&gt;0,$A193&lt;BE$6),AND(BE$7&gt;0,$A193&gt;BE$7)),0,MAX(0,ROUND((INDEX($E193:$G193,BE$5)-SUMIFS(TF_Timer,TF_Tekniker,BE$4,TF_Dato,$A193))*2,0)/2)))</f>
        <v/>
      </c>
      <c r="BF193">
        <f>IF(OR(BF$4="",$A193&gt;TODAY()),0,IF(OR(INDEX($B193:$D193,BF$5)="F",AND(BF$6&gt;0,$A193&lt;BF$6),AND(BF$7&gt;0,$A193&gt;BF$7)),0,MAX(0,ROUND((INDEX($E193:$G193,BF$5)-SUMIFS(TF_Timer,TF_Tekniker,BF$4,TF_Dato,$A193))*2,0)/2)))</f>
        <v/>
      </c>
      <c r="BG193">
        <f>IF(OR(BG$4="",$A193&gt;TODAY()),0,IF(OR(INDEX($B193:$D193,BG$5)="F",AND(BG$6&gt;0,$A193&lt;BG$6),AND(BG$7&gt;0,$A193&gt;BG$7)),0,MAX(0,ROUND((INDEX($E193:$G193,BG$5)-SUMIFS(TF_Timer,TF_Tekniker,BG$4,TF_Dato,$A193))*2,0)/2)))</f>
        <v/>
      </c>
      <c r="BH193">
        <f>IF(OR(BH$4="",$A193&gt;TODAY()),0,IF(OR(INDEX($B193:$D193,BH$5)="F",AND(BH$6&gt;0,$A193&lt;BH$6),AND(BH$7&gt;0,$A193&gt;BH$7)),0,MAX(0,ROUND((INDEX($E193:$G193,BH$5)-SUMIFS(TF_Timer,TF_Tekniker,BH$4,TF_Dato,$A193))*2,0)/2)))</f>
        <v/>
      </c>
      <c r="BI193">
        <f>IF(OR(BI$4="",$A193&gt;TODAY()),0,IF(OR(INDEX($B193:$D193,BI$5)="F",AND(BI$6&gt;0,$A193&lt;BI$6),AND(BI$7&gt;0,$A193&gt;BI$7)),0,MAX(0,ROUND((INDEX($E193:$G193,BI$5)-SUMIFS(TF_Timer,TF_Tekniker,BI$4,TF_Dato,$A193))*2,0)/2)))</f>
        <v/>
      </c>
    </row>
    <row r="194">
      <c r="A194" s="64">
        <f>A193+1</f>
        <v/>
      </c>
      <c r="B194">
        <f>IF(MOD($A194-INDEX(SkiftStart,1),Syklus)&lt;DagK,"K",IF(MOD($A194-INDEX(SkiftStart,1),Syklus)&lt;DagK+DagH,"H",IF(MOD($A194-INDEX(SkiftStart,1),Syklus)&lt;DagK+DagH+DagD,"D","F")))</f>
        <v/>
      </c>
      <c r="C194">
        <f>IF(MOD($A194-INDEX(SkiftStart,2),Syklus)&lt;DagK,"K",IF(MOD($A194-INDEX(SkiftStart,2),Syklus)&lt;DagK+DagH,"H",IF(MOD($A194-INDEX(SkiftStart,2),Syklus)&lt;DagK+DagH+DagD,"D","F")))</f>
        <v/>
      </c>
      <c r="D194">
        <f>IF(MOD($A194-INDEX(SkiftStart,3),Syklus)&lt;DagK,"K",IF(MOD($A194-INDEX(SkiftStart,3),Syklus)&lt;DagK+DagH,"H",IF(MOD($A194-INDEX(SkiftStart,3),Syklus)&lt;DagK+DagH+DagD,"D","F")))</f>
        <v/>
      </c>
      <c r="E194">
        <f>IF(B194="F",0,IF(WEEKDAY($A194,2)=5,INDEX(TimerFr,MATCH(B194,FaseKode,0)),INDEX(TimerMT,MATCH(B194,FaseKode,0))))</f>
        <v/>
      </c>
      <c r="F194">
        <f>IF(C194="F",0,IF(WEEKDAY($A194,2)=5,INDEX(TimerFr,MATCH(C194,FaseKode,0)),INDEX(TimerMT,MATCH(C194,FaseKode,0))))</f>
        <v/>
      </c>
      <c r="G194">
        <f>IF(D194="F",0,IF(WEEKDAY($A194,2)=5,INDEX(TimerFr,MATCH(D194,FaseKode,0)),INDEX(TimerMT,MATCH(D194,FaseKode,0))))</f>
        <v/>
      </c>
      <c r="H194">
        <f>IF(OR(H$4="",$A194&gt;TODAY()),0,IF(OR(INDEX($B194:$D194,H$5)="F",AND(H$6&gt;0,$A194&lt;H$6),AND(H$7&gt;0,$A194&gt;H$7)),0,MAX(0,ROUND((INDEX($E194:$G194,H$5)-SUMIFS(TF_Timer,TF_Tekniker,H$4,TF_Dato,$A194))*2,0)/2)))</f>
        <v/>
      </c>
      <c r="I194">
        <f>IF(OR(I$4="",$A194&gt;TODAY()),0,IF(OR(INDEX($B194:$D194,I$5)="F",AND(I$6&gt;0,$A194&lt;I$6),AND(I$7&gt;0,$A194&gt;I$7)),0,MAX(0,ROUND((INDEX($E194:$G194,I$5)-SUMIFS(TF_Timer,TF_Tekniker,I$4,TF_Dato,$A194))*2,0)/2)))</f>
        <v/>
      </c>
      <c r="J194">
        <f>IF(OR(J$4="",$A194&gt;TODAY()),0,IF(OR(INDEX($B194:$D194,J$5)="F",AND(J$6&gt;0,$A194&lt;J$6),AND(J$7&gt;0,$A194&gt;J$7)),0,MAX(0,ROUND((INDEX($E194:$G194,J$5)-SUMIFS(TF_Timer,TF_Tekniker,J$4,TF_Dato,$A194))*2,0)/2)))</f>
        <v/>
      </c>
      <c r="K194">
        <f>IF(OR(K$4="",$A194&gt;TODAY()),0,IF(OR(INDEX($B194:$D194,K$5)="F",AND(K$6&gt;0,$A194&lt;K$6),AND(K$7&gt;0,$A194&gt;K$7)),0,MAX(0,ROUND((INDEX($E194:$G194,K$5)-SUMIFS(TF_Timer,TF_Tekniker,K$4,TF_Dato,$A194))*2,0)/2)))</f>
        <v/>
      </c>
      <c r="L194">
        <f>IF(OR(L$4="",$A194&gt;TODAY()),0,IF(OR(INDEX($B194:$D194,L$5)="F",AND(L$6&gt;0,$A194&lt;L$6),AND(L$7&gt;0,$A194&gt;L$7)),0,MAX(0,ROUND((INDEX($E194:$G194,L$5)-SUMIFS(TF_Timer,TF_Tekniker,L$4,TF_Dato,$A194))*2,0)/2)))</f>
        <v/>
      </c>
      <c r="M194">
        <f>IF(OR(M$4="",$A194&gt;TODAY()),0,IF(OR(INDEX($B194:$D194,M$5)="F",AND(M$6&gt;0,$A194&lt;M$6),AND(M$7&gt;0,$A194&gt;M$7)),0,MAX(0,ROUND((INDEX($E194:$G194,M$5)-SUMIFS(TF_Timer,TF_Tekniker,M$4,TF_Dato,$A194))*2,0)/2)))</f>
        <v/>
      </c>
      <c r="N194">
        <f>IF(OR(N$4="",$A194&gt;TODAY()),0,IF(OR(INDEX($B194:$D194,N$5)="F",AND(N$6&gt;0,$A194&lt;N$6),AND(N$7&gt;0,$A194&gt;N$7)),0,MAX(0,ROUND((INDEX($E194:$G194,N$5)-SUMIFS(TF_Timer,TF_Tekniker,N$4,TF_Dato,$A194))*2,0)/2)))</f>
        <v/>
      </c>
      <c r="O194">
        <f>IF(OR(O$4="",$A194&gt;TODAY()),0,IF(OR(INDEX($B194:$D194,O$5)="F",AND(O$6&gt;0,$A194&lt;O$6),AND(O$7&gt;0,$A194&gt;O$7)),0,MAX(0,ROUND((INDEX($E194:$G194,O$5)-SUMIFS(TF_Timer,TF_Tekniker,O$4,TF_Dato,$A194))*2,0)/2)))</f>
        <v/>
      </c>
      <c r="P194">
        <f>IF(OR(P$4="",$A194&gt;TODAY()),0,IF(OR(INDEX($B194:$D194,P$5)="F",AND(P$6&gt;0,$A194&lt;P$6),AND(P$7&gt;0,$A194&gt;P$7)),0,MAX(0,ROUND((INDEX($E194:$G194,P$5)-SUMIFS(TF_Timer,TF_Tekniker,P$4,TF_Dato,$A194))*2,0)/2)))</f>
        <v/>
      </c>
      <c r="Q194">
        <f>IF(OR(Q$4="",$A194&gt;TODAY()),0,IF(OR(INDEX($B194:$D194,Q$5)="F",AND(Q$6&gt;0,$A194&lt;Q$6),AND(Q$7&gt;0,$A194&gt;Q$7)),0,MAX(0,ROUND((INDEX($E194:$G194,Q$5)-SUMIFS(TF_Timer,TF_Tekniker,Q$4,TF_Dato,$A194))*2,0)/2)))</f>
        <v/>
      </c>
      <c r="R194">
        <f>IF(OR(R$4="",$A194&gt;TODAY()),0,IF(OR(INDEX($B194:$D194,R$5)="F",AND(R$6&gt;0,$A194&lt;R$6),AND(R$7&gt;0,$A194&gt;R$7)),0,MAX(0,ROUND((INDEX($E194:$G194,R$5)-SUMIFS(TF_Timer,TF_Tekniker,R$4,TF_Dato,$A194))*2,0)/2)))</f>
        <v/>
      </c>
      <c r="S194">
        <f>IF(OR(S$4="",$A194&gt;TODAY()),0,IF(OR(INDEX($B194:$D194,S$5)="F",AND(S$6&gt;0,$A194&lt;S$6),AND(S$7&gt;0,$A194&gt;S$7)),0,MAX(0,ROUND((INDEX($E194:$G194,S$5)-SUMIFS(TF_Timer,TF_Tekniker,S$4,TF_Dato,$A194))*2,0)/2)))</f>
        <v/>
      </c>
      <c r="T194">
        <f>IF(OR(T$4="",$A194&gt;TODAY()),0,IF(OR(INDEX($B194:$D194,T$5)="F",AND(T$6&gt;0,$A194&lt;T$6),AND(T$7&gt;0,$A194&gt;T$7)),0,MAX(0,ROUND((INDEX($E194:$G194,T$5)-SUMIFS(TF_Timer,TF_Tekniker,T$4,TF_Dato,$A194))*2,0)/2)))</f>
        <v/>
      </c>
      <c r="U194">
        <f>IF(OR(U$4="",$A194&gt;TODAY()),0,IF(OR(INDEX($B194:$D194,U$5)="F",AND(U$6&gt;0,$A194&lt;U$6),AND(U$7&gt;0,$A194&gt;U$7)),0,MAX(0,ROUND((INDEX($E194:$G194,U$5)-SUMIFS(TF_Timer,TF_Tekniker,U$4,TF_Dato,$A194))*2,0)/2)))</f>
        <v/>
      </c>
      <c r="V194">
        <f>IF(OR(V$4="",$A194&gt;TODAY()),0,IF(OR(INDEX($B194:$D194,V$5)="F",AND(V$6&gt;0,$A194&lt;V$6),AND(V$7&gt;0,$A194&gt;V$7)),0,MAX(0,ROUND((INDEX($E194:$G194,V$5)-SUMIFS(TF_Timer,TF_Tekniker,V$4,TF_Dato,$A194))*2,0)/2)))</f>
        <v/>
      </c>
      <c r="W194">
        <f>IF(OR(W$4="",$A194&gt;TODAY()),0,IF(OR(INDEX($B194:$D194,W$5)="F",AND(W$6&gt;0,$A194&lt;W$6),AND(W$7&gt;0,$A194&gt;W$7)),0,MAX(0,ROUND((INDEX($E194:$G194,W$5)-SUMIFS(TF_Timer,TF_Tekniker,W$4,TF_Dato,$A194))*2,0)/2)))</f>
        <v/>
      </c>
      <c r="X194">
        <f>IF(OR(X$4="",$A194&gt;TODAY()),0,IF(OR(INDEX($B194:$D194,X$5)="F",AND(X$6&gt;0,$A194&lt;X$6),AND(X$7&gt;0,$A194&gt;X$7)),0,MAX(0,ROUND((INDEX($E194:$G194,X$5)-SUMIFS(TF_Timer,TF_Tekniker,X$4,TF_Dato,$A194))*2,0)/2)))</f>
        <v/>
      </c>
      <c r="Y194">
        <f>IF(OR(Y$4="",$A194&gt;TODAY()),0,IF(OR(INDEX($B194:$D194,Y$5)="F",AND(Y$6&gt;0,$A194&lt;Y$6),AND(Y$7&gt;0,$A194&gt;Y$7)),0,MAX(0,ROUND((INDEX($E194:$G194,Y$5)-SUMIFS(TF_Timer,TF_Tekniker,Y$4,TF_Dato,$A194))*2,0)/2)))</f>
        <v/>
      </c>
      <c r="Z194">
        <f>IF(OR(Z$4="",$A194&gt;TODAY()),0,IF(OR(INDEX($B194:$D194,Z$5)="F",AND(Z$6&gt;0,$A194&lt;Z$6),AND(Z$7&gt;0,$A194&gt;Z$7)),0,MAX(0,ROUND((INDEX($E194:$G194,Z$5)-SUMIFS(TF_Timer,TF_Tekniker,Z$4,TF_Dato,$A194))*2,0)/2)))</f>
        <v/>
      </c>
      <c r="AA194">
        <f>IF(OR(AA$4="",$A194&gt;TODAY()),0,IF(OR(INDEX($B194:$D194,AA$5)="F",AND(AA$6&gt;0,$A194&lt;AA$6),AND(AA$7&gt;0,$A194&gt;AA$7)),0,MAX(0,ROUND((INDEX($E194:$G194,AA$5)-SUMIFS(TF_Timer,TF_Tekniker,AA$4,TF_Dato,$A194))*2,0)/2)))</f>
        <v/>
      </c>
      <c r="AB194">
        <f>IF(OR(AB$4="",$A194&gt;TODAY()),0,IF(OR(INDEX($B194:$D194,AB$5)="F",AND(AB$6&gt;0,$A194&lt;AB$6),AND(AB$7&gt;0,$A194&gt;AB$7)),0,MAX(0,ROUND((INDEX($E194:$G194,AB$5)-SUMIFS(TF_Timer,TF_Tekniker,AB$4,TF_Dato,$A194))*2,0)/2)))</f>
        <v/>
      </c>
      <c r="AC194">
        <f>IF(OR(AC$4="",$A194&gt;TODAY()),0,IF(OR(INDEX($B194:$D194,AC$5)="F",AND(AC$6&gt;0,$A194&lt;AC$6),AND(AC$7&gt;0,$A194&gt;AC$7)),0,MAX(0,ROUND((INDEX($E194:$G194,AC$5)-SUMIFS(TF_Timer,TF_Tekniker,AC$4,TF_Dato,$A194))*2,0)/2)))</f>
        <v/>
      </c>
      <c r="AD194">
        <f>IF(OR(AD$4="",$A194&gt;TODAY()),0,IF(OR(INDEX($B194:$D194,AD$5)="F",AND(AD$6&gt;0,$A194&lt;AD$6),AND(AD$7&gt;0,$A194&gt;AD$7)),0,MAX(0,ROUND((INDEX($E194:$G194,AD$5)-SUMIFS(TF_Timer,TF_Tekniker,AD$4,TF_Dato,$A194))*2,0)/2)))</f>
        <v/>
      </c>
      <c r="AE194">
        <f>IF(OR(AE$4="",$A194&gt;TODAY()),0,IF(OR(INDEX($B194:$D194,AE$5)="F",AND(AE$6&gt;0,$A194&lt;AE$6),AND(AE$7&gt;0,$A194&gt;AE$7)),0,MAX(0,ROUND((INDEX($E194:$G194,AE$5)-SUMIFS(TF_Timer,TF_Tekniker,AE$4,TF_Dato,$A194))*2,0)/2)))</f>
        <v/>
      </c>
      <c r="AF194">
        <f>IF(OR(AF$4="",$A194&gt;TODAY()),0,IF(OR(INDEX($B194:$D194,AF$5)="F",AND(AF$6&gt;0,$A194&lt;AF$6),AND(AF$7&gt;0,$A194&gt;AF$7)),0,MAX(0,ROUND((INDEX($E194:$G194,AF$5)-SUMIFS(TF_Timer,TF_Tekniker,AF$4,TF_Dato,$A194))*2,0)/2)))</f>
        <v/>
      </c>
      <c r="AG194">
        <f>IF(OR(AG$4="",$A194&gt;TODAY()),0,IF(OR(INDEX($B194:$D194,AG$5)="F",AND(AG$6&gt;0,$A194&lt;AG$6),AND(AG$7&gt;0,$A194&gt;AG$7)),0,MAX(0,ROUND((INDEX($E194:$G194,AG$5)-SUMIFS(TF_Timer,TF_Tekniker,AG$4,TF_Dato,$A194))*2,0)/2)))</f>
        <v/>
      </c>
      <c r="AH194">
        <f>IF(OR(AH$4="",$A194&gt;TODAY()),0,IF(OR(INDEX($B194:$D194,AH$5)="F",AND(AH$6&gt;0,$A194&lt;AH$6),AND(AH$7&gt;0,$A194&gt;AH$7)),0,MAX(0,ROUND((INDEX($E194:$G194,AH$5)-SUMIFS(TF_Timer,TF_Tekniker,AH$4,TF_Dato,$A194))*2,0)/2)))</f>
        <v/>
      </c>
      <c r="AI194">
        <f>IF(OR(AI$4="",$A194&gt;TODAY()),0,IF(OR(INDEX($B194:$D194,AI$5)="F",AND(AI$6&gt;0,$A194&lt;AI$6),AND(AI$7&gt;0,$A194&gt;AI$7)),0,MAX(0,ROUND((INDEX($E194:$G194,AI$5)-SUMIFS(TF_Timer,TF_Tekniker,AI$4,TF_Dato,$A194))*2,0)/2)))</f>
        <v/>
      </c>
      <c r="AJ194">
        <f>IF(OR(AJ$4="",$A194&gt;TODAY()),0,IF(OR(INDEX($B194:$D194,AJ$5)="F",AND(AJ$6&gt;0,$A194&lt;AJ$6),AND(AJ$7&gt;0,$A194&gt;AJ$7)),0,MAX(0,ROUND((INDEX($E194:$G194,AJ$5)-SUMIFS(TF_Timer,TF_Tekniker,AJ$4,TF_Dato,$A194))*2,0)/2)))</f>
        <v/>
      </c>
      <c r="AK194">
        <f>IF(OR(AK$4="",$A194&gt;TODAY()),0,IF(OR(INDEX($B194:$D194,AK$5)="F",AND(AK$6&gt;0,$A194&lt;AK$6),AND(AK$7&gt;0,$A194&gt;AK$7)),0,MAX(0,ROUND((INDEX($E194:$G194,AK$5)-SUMIFS(TF_Timer,TF_Tekniker,AK$4,TF_Dato,$A194))*2,0)/2)))</f>
        <v/>
      </c>
      <c r="AL194">
        <f>IF(OR(AL$4="",$A194&gt;TODAY()),0,IF(OR(INDEX($B194:$D194,AL$5)="F",AND(AL$6&gt;0,$A194&lt;AL$6),AND(AL$7&gt;0,$A194&gt;AL$7)),0,MAX(0,ROUND((INDEX($E194:$G194,AL$5)-SUMIFS(TF_Timer,TF_Tekniker,AL$4,TF_Dato,$A194))*2,0)/2)))</f>
        <v/>
      </c>
      <c r="AM194">
        <f>IF(OR(AM$4="",$A194&gt;TODAY()),0,IF(OR(INDEX($B194:$D194,AM$5)="F",AND(AM$6&gt;0,$A194&lt;AM$6),AND(AM$7&gt;0,$A194&gt;AM$7)),0,MAX(0,ROUND((INDEX($E194:$G194,AM$5)-SUMIFS(TF_Timer,TF_Tekniker,AM$4,TF_Dato,$A194))*2,0)/2)))</f>
        <v/>
      </c>
      <c r="AN194">
        <f>IF(OR(AN$4="",$A194&gt;TODAY()),0,IF(OR(INDEX($B194:$D194,AN$5)="F",AND(AN$6&gt;0,$A194&lt;AN$6),AND(AN$7&gt;0,$A194&gt;AN$7)),0,MAX(0,ROUND((INDEX($E194:$G194,AN$5)-SUMIFS(TF_Timer,TF_Tekniker,AN$4,TF_Dato,$A194))*2,0)/2)))</f>
        <v/>
      </c>
      <c r="AO194">
        <f>IF(OR(AO$4="",$A194&gt;TODAY()),0,IF(OR(INDEX($B194:$D194,AO$5)="F",AND(AO$6&gt;0,$A194&lt;AO$6),AND(AO$7&gt;0,$A194&gt;AO$7)),0,MAX(0,ROUND((INDEX($E194:$G194,AO$5)-SUMIFS(TF_Timer,TF_Tekniker,AO$4,TF_Dato,$A194))*2,0)/2)))</f>
        <v/>
      </c>
      <c r="AP194">
        <f>IF(OR(AP$4="",$A194&gt;TODAY()),0,IF(OR(INDEX($B194:$D194,AP$5)="F",AND(AP$6&gt;0,$A194&lt;AP$6),AND(AP$7&gt;0,$A194&gt;AP$7)),0,MAX(0,ROUND((INDEX($E194:$G194,AP$5)-SUMIFS(TF_Timer,TF_Tekniker,AP$4,TF_Dato,$A194))*2,0)/2)))</f>
        <v/>
      </c>
      <c r="AQ194">
        <f>IF(OR(AQ$4="",$A194&gt;TODAY()),0,IF(OR(INDEX($B194:$D194,AQ$5)="F",AND(AQ$6&gt;0,$A194&lt;AQ$6),AND(AQ$7&gt;0,$A194&gt;AQ$7)),0,MAX(0,ROUND((INDEX($E194:$G194,AQ$5)-SUMIFS(TF_Timer,TF_Tekniker,AQ$4,TF_Dato,$A194))*2,0)/2)))</f>
        <v/>
      </c>
      <c r="AR194">
        <f>IF(OR(AR$4="",$A194&gt;TODAY()),0,IF(OR(INDEX($B194:$D194,AR$5)="F",AND(AR$6&gt;0,$A194&lt;AR$6),AND(AR$7&gt;0,$A194&gt;AR$7)),0,MAX(0,ROUND((INDEX($E194:$G194,AR$5)-SUMIFS(TF_Timer,TF_Tekniker,AR$4,TF_Dato,$A194))*2,0)/2)))</f>
        <v/>
      </c>
      <c r="AS194">
        <f>IF(OR(AS$4="",$A194&gt;TODAY()),0,IF(OR(INDEX($B194:$D194,AS$5)="F",AND(AS$6&gt;0,$A194&lt;AS$6),AND(AS$7&gt;0,$A194&gt;AS$7)),0,MAX(0,ROUND((INDEX($E194:$G194,AS$5)-SUMIFS(TF_Timer,TF_Tekniker,AS$4,TF_Dato,$A194))*2,0)/2)))</f>
        <v/>
      </c>
      <c r="AT194">
        <f>IF(OR(AT$4="",$A194&gt;TODAY()),0,IF(OR(INDEX($B194:$D194,AT$5)="F",AND(AT$6&gt;0,$A194&lt;AT$6),AND(AT$7&gt;0,$A194&gt;AT$7)),0,MAX(0,ROUND((INDEX($E194:$G194,AT$5)-SUMIFS(TF_Timer,TF_Tekniker,AT$4,TF_Dato,$A194))*2,0)/2)))</f>
        <v/>
      </c>
      <c r="AU194">
        <f>IF(OR(AU$4="",$A194&gt;TODAY()),0,IF(OR(INDEX($B194:$D194,AU$5)="F",AND(AU$6&gt;0,$A194&lt;AU$6),AND(AU$7&gt;0,$A194&gt;AU$7)),0,MAX(0,ROUND((INDEX($E194:$G194,AU$5)-SUMIFS(TF_Timer,TF_Tekniker,AU$4,TF_Dato,$A194))*2,0)/2)))</f>
        <v/>
      </c>
      <c r="AV194">
        <f>IF(OR(AV$4="",$A194&gt;TODAY()),0,IF(OR(INDEX($B194:$D194,AV$5)="F",AND(AV$6&gt;0,$A194&lt;AV$6),AND(AV$7&gt;0,$A194&gt;AV$7)),0,MAX(0,ROUND((INDEX($E194:$G194,AV$5)-SUMIFS(TF_Timer,TF_Tekniker,AV$4,TF_Dato,$A194))*2,0)/2)))</f>
        <v/>
      </c>
      <c r="AW194">
        <f>IF(OR(AW$4="",$A194&gt;TODAY()),0,IF(OR(INDEX($B194:$D194,AW$5)="F",AND(AW$6&gt;0,$A194&lt;AW$6),AND(AW$7&gt;0,$A194&gt;AW$7)),0,MAX(0,ROUND((INDEX($E194:$G194,AW$5)-SUMIFS(TF_Timer,TF_Tekniker,AW$4,TF_Dato,$A194))*2,0)/2)))</f>
        <v/>
      </c>
      <c r="AX194">
        <f>IF(OR(AX$4="",$A194&gt;TODAY()),0,IF(OR(INDEX($B194:$D194,AX$5)="F",AND(AX$6&gt;0,$A194&lt;AX$6),AND(AX$7&gt;0,$A194&gt;AX$7)),0,MAX(0,ROUND((INDEX($E194:$G194,AX$5)-SUMIFS(TF_Timer,TF_Tekniker,AX$4,TF_Dato,$A194))*2,0)/2)))</f>
        <v/>
      </c>
      <c r="AY194">
        <f>IF(OR(AY$4="",$A194&gt;TODAY()),0,IF(OR(INDEX($B194:$D194,AY$5)="F",AND(AY$6&gt;0,$A194&lt;AY$6),AND(AY$7&gt;0,$A194&gt;AY$7)),0,MAX(0,ROUND((INDEX($E194:$G194,AY$5)-SUMIFS(TF_Timer,TF_Tekniker,AY$4,TF_Dato,$A194))*2,0)/2)))</f>
        <v/>
      </c>
      <c r="AZ194">
        <f>IF(OR(AZ$4="",$A194&gt;TODAY()),0,IF(OR(INDEX($B194:$D194,AZ$5)="F",AND(AZ$6&gt;0,$A194&lt;AZ$6),AND(AZ$7&gt;0,$A194&gt;AZ$7)),0,MAX(0,ROUND((INDEX($E194:$G194,AZ$5)-SUMIFS(TF_Timer,TF_Tekniker,AZ$4,TF_Dato,$A194))*2,0)/2)))</f>
        <v/>
      </c>
      <c r="BA194">
        <f>IF(OR(BA$4="",$A194&gt;TODAY()),0,IF(OR(INDEX($B194:$D194,BA$5)="F",AND(BA$6&gt;0,$A194&lt;BA$6),AND(BA$7&gt;0,$A194&gt;BA$7)),0,MAX(0,ROUND((INDEX($E194:$G194,BA$5)-SUMIFS(TF_Timer,TF_Tekniker,BA$4,TF_Dato,$A194))*2,0)/2)))</f>
        <v/>
      </c>
      <c r="BB194">
        <f>IF(OR(BB$4="",$A194&gt;TODAY()),0,IF(OR(INDEX($B194:$D194,BB$5)="F",AND(BB$6&gt;0,$A194&lt;BB$6),AND(BB$7&gt;0,$A194&gt;BB$7)),0,MAX(0,ROUND((INDEX($E194:$G194,BB$5)-SUMIFS(TF_Timer,TF_Tekniker,BB$4,TF_Dato,$A194))*2,0)/2)))</f>
        <v/>
      </c>
      <c r="BC194">
        <f>IF(OR(BC$4="",$A194&gt;TODAY()),0,IF(OR(INDEX($B194:$D194,BC$5)="F",AND(BC$6&gt;0,$A194&lt;BC$6),AND(BC$7&gt;0,$A194&gt;BC$7)),0,MAX(0,ROUND((INDEX($E194:$G194,BC$5)-SUMIFS(TF_Timer,TF_Tekniker,BC$4,TF_Dato,$A194))*2,0)/2)))</f>
        <v/>
      </c>
      <c r="BD194">
        <f>IF(OR(BD$4="",$A194&gt;TODAY()),0,IF(OR(INDEX($B194:$D194,BD$5)="F",AND(BD$6&gt;0,$A194&lt;BD$6),AND(BD$7&gt;0,$A194&gt;BD$7)),0,MAX(0,ROUND((INDEX($E194:$G194,BD$5)-SUMIFS(TF_Timer,TF_Tekniker,BD$4,TF_Dato,$A194))*2,0)/2)))</f>
        <v/>
      </c>
      <c r="BE194">
        <f>IF(OR(BE$4="",$A194&gt;TODAY()),0,IF(OR(INDEX($B194:$D194,BE$5)="F",AND(BE$6&gt;0,$A194&lt;BE$6),AND(BE$7&gt;0,$A194&gt;BE$7)),0,MAX(0,ROUND((INDEX($E194:$G194,BE$5)-SUMIFS(TF_Timer,TF_Tekniker,BE$4,TF_Dato,$A194))*2,0)/2)))</f>
        <v/>
      </c>
      <c r="BF194">
        <f>IF(OR(BF$4="",$A194&gt;TODAY()),0,IF(OR(INDEX($B194:$D194,BF$5)="F",AND(BF$6&gt;0,$A194&lt;BF$6),AND(BF$7&gt;0,$A194&gt;BF$7)),0,MAX(0,ROUND((INDEX($E194:$G194,BF$5)-SUMIFS(TF_Timer,TF_Tekniker,BF$4,TF_Dato,$A194))*2,0)/2)))</f>
        <v/>
      </c>
      <c r="BG194">
        <f>IF(OR(BG$4="",$A194&gt;TODAY()),0,IF(OR(INDEX($B194:$D194,BG$5)="F",AND(BG$6&gt;0,$A194&lt;BG$6),AND(BG$7&gt;0,$A194&gt;BG$7)),0,MAX(0,ROUND((INDEX($E194:$G194,BG$5)-SUMIFS(TF_Timer,TF_Tekniker,BG$4,TF_Dato,$A194))*2,0)/2)))</f>
        <v/>
      </c>
      <c r="BH194">
        <f>IF(OR(BH$4="",$A194&gt;TODAY()),0,IF(OR(INDEX($B194:$D194,BH$5)="F",AND(BH$6&gt;0,$A194&lt;BH$6),AND(BH$7&gt;0,$A194&gt;BH$7)),0,MAX(0,ROUND((INDEX($E194:$G194,BH$5)-SUMIFS(TF_Timer,TF_Tekniker,BH$4,TF_Dato,$A194))*2,0)/2)))</f>
        <v/>
      </c>
      <c r="BI194">
        <f>IF(OR(BI$4="",$A194&gt;TODAY()),0,IF(OR(INDEX($B194:$D194,BI$5)="F",AND(BI$6&gt;0,$A194&lt;BI$6),AND(BI$7&gt;0,$A194&gt;BI$7)),0,MAX(0,ROUND((INDEX($E194:$G194,BI$5)-SUMIFS(TF_Timer,TF_Tekniker,BI$4,TF_Dato,$A194))*2,0)/2)))</f>
        <v/>
      </c>
    </row>
    <row r="195">
      <c r="A195" s="64">
        <f>A194+1</f>
        <v/>
      </c>
      <c r="B195">
        <f>IF(MOD($A195-INDEX(SkiftStart,1),Syklus)&lt;DagK,"K",IF(MOD($A195-INDEX(SkiftStart,1),Syklus)&lt;DagK+DagH,"H",IF(MOD($A195-INDEX(SkiftStart,1),Syklus)&lt;DagK+DagH+DagD,"D","F")))</f>
        <v/>
      </c>
      <c r="C195">
        <f>IF(MOD($A195-INDEX(SkiftStart,2),Syklus)&lt;DagK,"K",IF(MOD($A195-INDEX(SkiftStart,2),Syklus)&lt;DagK+DagH,"H",IF(MOD($A195-INDEX(SkiftStart,2),Syklus)&lt;DagK+DagH+DagD,"D","F")))</f>
        <v/>
      </c>
      <c r="D195">
        <f>IF(MOD($A195-INDEX(SkiftStart,3),Syklus)&lt;DagK,"K",IF(MOD($A195-INDEX(SkiftStart,3),Syklus)&lt;DagK+DagH,"H",IF(MOD($A195-INDEX(SkiftStart,3),Syklus)&lt;DagK+DagH+DagD,"D","F")))</f>
        <v/>
      </c>
      <c r="E195">
        <f>IF(B195="F",0,IF(WEEKDAY($A195,2)=5,INDEX(TimerFr,MATCH(B195,FaseKode,0)),INDEX(TimerMT,MATCH(B195,FaseKode,0))))</f>
        <v/>
      </c>
      <c r="F195">
        <f>IF(C195="F",0,IF(WEEKDAY($A195,2)=5,INDEX(TimerFr,MATCH(C195,FaseKode,0)),INDEX(TimerMT,MATCH(C195,FaseKode,0))))</f>
        <v/>
      </c>
      <c r="G195">
        <f>IF(D195="F",0,IF(WEEKDAY($A195,2)=5,INDEX(TimerFr,MATCH(D195,FaseKode,0)),INDEX(TimerMT,MATCH(D195,FaseKode,0))))</f>
        <v/>
      </c>
      <c r="H195">
        <f>IF(OR(H$4="",$A195&gt;TODAY()),0,IF(OR(INDEX($B195:$D195,H$5)="F",AND(H$6&gt;0,$A195&lt;H$6),AND(H$7&gt;0,$A195&gt;H$7)),0,MAX(0,ROUND((INDEX($E195:$G195,H$5)-SUMIFS(TF_Timer,TF_Tekniker,H$4,TF_Dato,$A195))*2,0)/2)))</f>
        <v/>
      </c>
      <c r="I195">
        <f>IF(OR(I$4="",$A195&gt;TODAY()),0,IF(OR(INDEX($B195:$D195,I$5)="F",AND(I$6&gt;0,$A195&lt;I$6),AND(I$7&gt;0,$A195&gt;I$7)),0,MAX(0,ROUND((INDEX($E195:$G195,I$5)-SUMIFS(TF_Timer,TF_Tekniker,I$4,TF_Dato,$A195))*2,0)/2)))</f>
        <v/>
      </c>
      <c r="J195">
        <f>IF(OR(J$4="",$A195&gt;TODAY()),0,IF(OR(INDEX($B195:$D195,J$5)="F",AND(J$6&gt;0,$A195&lt;J$6),AND(J$7&gt;0,$A195&gt;J$7)),0,MAX(0,ROUND((INDEX($E195:$G195,J$5)-SUMIFS(TF_Timer,TF_Tekniker,J$4,TF_Dato,$A195))*2,0)/2)))</f>
        <v/>
      </c>
      <c r="K195">
        <f>IF(OR(K$4="",$A195&gt;TODAY()),0,IF(OR(INDEX($B195:$D195,K$5)="F",AND(K$6&gt;0,$A195&lt;K$6),AND(K$7&gt;0,$A195&gt;K$7)),0,MAX(0,ROUND((INDEX($E195:$G195,K$5)-SUMIFS(TF_Timer,TF_Tekniker,K$4,TF_Dato,$A195))*2,0)/2)))</f>
        <v/>
      </c>
      <c r="L195">
        <f>IF(OR(L$4="",$A195&gt;TODAY()),0,IF(OR(INDEX($B195:$D195,L$5)="F",AND(L$6&gt;0,$A195&lt;L$6),AND(L$7&gt;0,$A195&gt;L$7)),0,MAX(0,ROUND((INDEX($E195:$G195,L$5)-SUMIFS(TF_Timer,TF_Tekniker,L$4,TF_Dato,$A195))*2,0)/2)))</f>
        <v/>
      </c>
      <c r="M195">
        <f>IF(OR(M$4="",$A195&gt;TODAY()),0,IF(OR(INDEX($B195:$D195,M$5)="F",AND(M$6&gt;0,$A195&lt;M$6),AND(M$7&gt;0,$A195&gt;M$7)),0,MAX(0,ROUND((INDEX($E195:$G195,M$5)-SUMIFS(TF_Timer,TF_Tekniker,M$4,TF_Dato,$A195))*2,0)/2)))</f>
        <v/>
      </c>
      <c r="N195">
        <f>IF(OR(N$4="",$A195&gt;TODAY()),0,IF(OR(INDEX($B195:$D195,N$5)="F",AND(N$6&gt;0,$A195&lt;N$6),AND(N$7&gt;0,$A195&gt;N$7)),0,MAX(0,ROUND((INDEX($E195:$G195,N$5)-SUMIFS(TF_Timer,TF_Tekniker,N$4,TF_Dato,$A195))*2,0)/2)))</f>
        <v/>
      </c>
      <c r="O195">
        <f>IF(OR(O$4="",$A195&gt;TODAY()),0,IF(OR(INDEX($B195:$D195,O$5)="F",AND(O$6&gt;0,$A195&lt;O$6),AND(O$7&gt;0,$A195&gt;O$7)),0,MAX(0,ROUND((INDEX($E195:$G195,O$5)-SUMIFS(TF_Timer,TF_Tekniker,O$4,TF_Dato,$A195))*2,0)/2)))</f>
        <v/>
      </c>
      <c r="P195">
        <f>IF(OR(P$4="",$A195&gt;TODAY()),0,IF(OR(INDEX($B195:$D195,P$5)="F",AND(P$6&gt;0,$A195&lt;P$6),AND(P$7&gt;0,$A195&gt;P$7)),0,MAX(0,ROUND((INDEX($E195:$G195,P$5)-SUMIFS(TF_Timer,TF_Tekniker,P$4,TF_Dato,$A195))*2,0)/2)))</f>
        <v/>
      </c>
      <c r="Q195">
        <f>IF(OR(Q$4="",$A195&gt;TODAY()),0,IF(OR(INDEX($B195:$D195,Q$5)="F",AND(Q$6&gt;0,$A195&lt;Q$6),AND(Q$7&gt;0,$A195&gt;Q$7)),0,MAX(0,ROUND((INDEX($E195:$G195,Q$5)-SUMIFS(TF_Timer,TF_Tekniker,Q$4,TF_Dato,$A195))*2,0)/2)))</f>
        <v/>
      </c>
      <c r="R195">
        <f>IF(OR(R$4="",$A195&gt;TODAY()),0,IF(OR(INDEX($B195:$D195,R$5)="F",AND(R$6&gt;0,$A195&lt;R$6),AND(R$7&gt;0,$A195&gt;R$7)),0,MAX(0,ROUND((INDEX($E195:$G195,R$5)-SUMIFS(TF_Timer,TF_Tekniker,R$4,TF_Dato,$A195))*2,0)/2)))</f>
        <v/>
      </c>
      <c r="S195">
        <f>IF(OR(S$4="",$A195&gt;TODAY()),0,IF(OR(INDEX($B195:$D195,S$5)="F",AND(S$6&gt;0,$A195&lt;S$6),AND(S$7&gt;0,$A195&gt;S$7)),0,MAX(0,ROUND((INDEX($E195:$G195,S$5)-SUMIFS(TF_Timer,TF_Tekniker,S$4,TF_Dato,$A195))*2,0)/2)))</f>
        <v/>
      </c>
      <c r="T195">
        <f>IF(OR(T$4="",$A195&gt;TODAY()),0,IF(OR(INDEX($B195:$D195,T$5)="F",AND(T$6&gt;0,$A195&lt;T$6),AND(T$7&gt;0,$A195&gt;T$7)),0,MAX(0,ROUND((INDEX($E195:$G195,T$5)-SUMIFS(TF_Timer,TF_Tekniker,T$4,TF_Dato,$A195))*2,0)/2)))</f>
        <v/>
      </c>
      <c r="U195">
        <f>IF(OR(U$4="",$A195&gt;TODAY()),0,IF(OR(INDEX($B195:$D195,U$5)="F",AND(U$6&gt;0,$A195&lt;U$6),AND(U$7&gt;0,$A195&gt;U$7)),0,MAX(0,ROUND((INDEX($E195:$G195,U$5)-SUMIFS(TF_Timer,TF_Tekniker,U$4,TF_Dato,$A195))*2,0)/2)))</f>
        <v/>
      </c>
      <c r="V195">
        <f>IF(OR(V$4="",$A195&gt;TODAY()),0,IF(OR(INDEX($B195:$D195,V$5)="F",AND(V$6&gt;0,$A195&lt;V$6),AND(V$7&gt;0,$A195&gt;V$7)),0,MAX(0,ROUND((INDEX($E195:$G195,V$5)-SUMIFS(TF_Timer,TF_Tekniker,V$4,TF_Dato,$A195))*2,0)/2)))</f>
        <v/>
      </c>
      <c r="W195">
        <f>IF(OR(W$4="",$A195&gt;TODAY()),0,IF(OR(INDEX($B195:$D195,W$5)="F",AND(W$6&gt;0,$A195&lt;W$6),AND(W$7&gt;0,$A195&gt;W$7)),0,MAX(0,ROUND((INDEX($E195:$G195,W$5)-SUMIFS(TF_Timer,TF_Tekniker,W$4,TF_Dato,$A195))*2,0)/2)))</f>
        <v/>
      </c>
      <c r="X195">
        <f>IF(OR(X$4="",$A195&gt;TODAY()),0,IF(OR(INDEX($B195:$D195,X$5)="F",AND(X$6&gt;0,$A195&lt;X$6),AND(X$7&gt;0,$A195&gt;X$7)),0,MAX(0,ROUND((INDEX($E195:$G195,X$5)-SUMIFS(TF_Timer,TF_Tekniker,X$4,TF_Dato,$A195))*2,0)/2)))</f>
        <v/>
      </c>
      <c r="Y195">
        <f>IF(OR(Y$4="",$A195&gt;TODAY()),0,IF(OR(INDEX($B195:$D195,Y$5)="F",AND(Y$6&gt;0,$A195&lt;Y$6),AND(Y$7&gt;0,$A195&gt;Y$7)),0,MAX(0,ROUND((INDEX($E195:$G195,Y$5)-SUMIFS(TF_Timer,TF_Tekniker,Y$4,TF_Dato,$A195))*2,0)/2)))</f>
        <v/>
      </c>
      <c r="Z195">
        <f>IF(OR(Z$4="",$A195&gt;TODAY()),0,IF(OR(INDEX($B195:$D195,Z$5)="F",AND(Z$6&gt;0,$A195&lt;Z$6),AND(Z$7&gt;0,$A195&gt;Z$7)),0,MAX(0,ROUND((INDEX($E195:$G195,Z$5)-SUMIFS(TF_Timer,TF_Tekniker,Z$4,TF_Dato,$A195))*2,0)/2)))</f>
        <v/>
      </c>
      <c r="AA195">
        <f>IF(OR(AA$4="",$A195&gt;TODAY()),0,IF(OR(INDEX($B195:$D195,AA$5)="F",AND(AA$6&gt;0,$A195&lt;AA$6),AND(AA$7&gt;0,$A195&gt;AA$7)),0,MAX(0,ROUND((INDEX($E195:$G195,AA$5)-SUMIFS(TF_Timer,TF_Tekniker,AA$4,TF_Dato,$A195))*2,0)/2)))</f>
        <v/>
      </c>
      <c r="AB195">
        <f>IF(OR(AB$4="",$A195&gt;TODAY()),0,IF(OR(INDEX($B195:$D195,AB$5)="F",AND(AB$6&gt;0,$A195&lt;AB$6),AND(AB$7&gt;0,$A195&gt;AB$7)),0,MAX(0,ROUND((INDEX($E195:$G195,AB$5)-SUMIFS(TF_Timer,TF_Tekniker,AB$4,TF_Dato,$A195))*2,0)/2)))</f>
        <v/>
      </c>
      <c r="AC195">
        <f>IF(OR(AC$4="",$A195&gt;TODAY()),0,IF(OR(INDEX($B195:$D195,AC$5)="F",AND(AC$6&gt;0,$A195&lt;AC$6),AND(AC$7&gt;0,$A195&gt;AC$7)),0,MAX(0,ROUND((INDEX($E195:$G195,AC$5)-SUMIFS(TF_Timer,TF_Tekniker,AC$4,TF_Dato,$A195))*2,0)/2)))</f>
        <v/>
      </c>
      <c r="AD195">
        <f>IF(OR(AD$4="",$A195&gt;TODAY()),0,IF(OR(INDEX($B195:$D195,AD$5)="F",AND(AD$6&gt;0,$A195&lt;AD$6),AND(AD$7&gt;0,$A195&gt;AD$7)),0,MAX(0,ROUND((INDEX($E195:$G195,AD$5)-SUMIFS(TF_Timer,TF_Tekniker,AD$4,TF_Dato,$A195))*2,0)/2)))</f>
        <v/>
      </c>
      <c r="AE195">
        <f>IF(OR(AE$4="",$A195&gt;TODAY()),0,IF(OR(INDEX($B195:$D195,AE$5)="F",AND(AE$6&gt;0,$A195&lt;AE$6),AND(AE$7&gt;0,$A195&gt;AE$7)),0,MAX(0,ROUND((INDEX($E195:$G195,AE$5)-SUMIFS(TF_Timer,TF_Tekniker,AE$4,TF_Dato,$A195))*2,0)/2)))</f>
        <v/>
      </c>
      <c r="AF195">
        <f>IF(OR(AF$4="",$A195&gt;TODAY()),0,IF(OR(INDEX($B195:$D195,AF$5)="F",AND(AF$6&gt;0,$A195&lt;AF$6),AND(AF$7&gt;0,$A195&gt;AF$7)),0,MAX(0,ROUND((INDEX($E195:$G195,AF$5)-SUMIFS(TF_Timer,TF_Tekniker,AF$4,TF_Dato,$A195))*2,0)/2)))</f>
        <v/>
      </c>
      <c r="AG195">
        <f>IF(OR(AG$4="",$A195&gt;TODAY()),0,IF(OR(INDEX($B195:$D195,AG$5)="F",AND(AG$6&gt;0,$A195&lt;AG$6),AND(AG$7&gt;0,$A195&gt;AG$7)),0,MAX(0,ROUND((INDEX($E195:$G195,AG$5)-SUMIFS(TF_Timer,TF_Tekniker,AG$4,TF_Dato,$A195))*2,0)/2)))</f>
        <v/>
      </c>
      <c r="AH195">
        <f>IF(OR(AH$4="",$A195&gt;TODAY()),0,IF(OR(INDEX($B195:$D195,AH$5)="F",AND(AH$6&gt;0,$A195&lt;AH$6),AND(AH$7&gt;0,$A195&gt;AH$7)),0,MAX(0,ROUND((INDEX($E195:$G195,AH$5)-SUMIFS(TF_Timer,TF_Tekniker,AH$4,TF_Dato,$A195))*2,0)/2)))</f>
        <v/>
      </c>
      <c r="AI195">
        <f>IF(OR(AI$4="",$A195&gt;TODAY()),0,IF(OR(INDEX($B195:$D195,AI$5)="F",AND(AI$6&gt;0,$A195&lt;AI$6),AND(AI$7&gt;0,$A195&gt;AI$7)),0,MAX(0,ROUND((INDEX($E195:$G195,AI$5)-SUMIFS(TF_Timer,TF_Tekniker,AI$4,TF_Dato,$A195))*2,0)/2)))</f>
        <v/>
      </c>
      <c r="AJ195">
        <f>IF(OR(AJ$4="",$A195&gt;TODAY()),0,IF(OR(INDEX($B195:$D195,AJ$5)="F",AND(AJ$6&gt;0,$A195&lt;AJ$6),AND(AJ$7&gt;0,$A195&gt;AJ$7)),0,MAX(0,ROUND((INDEX($E195:$G195,AJ$5)-SUMIFS(TF_Timer,TF_Tekniker,AJ$4,TF_Dato,$A195))*2,0)/2)))</f>
        <v/>
      </c>
      <c r="AK195">
        <f>IF(OR(AK$4="",$A195&gt;TODAY()),0,IF(OR(INDEX($B195:$D195,AK$5)="F",AND(AK$6&gt;0,$A195&lt;AK$6),AND(AK$7&gt;0,$A195&gt;AK$7)),0,MAX(0,ROUND((INDEX($E195:$G195,AK$5)-SUMIFS(TF_Timer,TF_Tekniker,AK$4,TF_Dato,$A195))*2,0)/2)))</f>
        <v/>
      </c>
      <c r="AL195">
        <f>IF(OR(AL$4="",$A195&gt;TODAY()),0,IF(OR(INDEX($B195:$D195,AL$5)="F",AND(AL$6&gt;0,$A195&lt;AL$6),AND(AL$7&gt;0,$A195&gt;AL$7)),0,MAX(0,ROUND((INDEX($E195:$G195,AL$5)-SUMIFS(TF_Timer,TF_Tekniker,AL$4,TF_Dato,$A195))*2,0)/2)))</f>
        <v/>
      </c>
      <c r="AM195">
        <f>IF(OR(AM$4="",$A195&gt;TODAY()),0,IF(OR(INDEX($B195:$D195,AM$5)="F",AND(AM$6&gt;0,$A195&lt;AM$6),AND(AM$7&gt;0,$A195&gt;AM$7)),0,MAX(0,ROUND((INDEX($E195:$G195,AM$5)-SUMIFS(TF_Timer,TF_Tekniker,AM$4,TF_Dato,$A195))*2,0)/2)))</f>
        <v/>
      </c>
      <c r="AN195">
        <f>IF(OR(AN$4="",$A195&gt;TODAY()),0,IF(OR(INDEX($B195:$D195,AN$5)="F",AND(AN$6&gt;0,$A195&lt;AN$6),AND(AN$7&gt;0,$A195&gt;AN$7)),0,MAX(0,ROUND((INDEX($E195:$G195,AN$5)-SUMIFS(TF_Timer,TF_Tekniker,AN$4,TF_Dato,$A195))*2,0)/2)))</f>
        <v/>
      </c>
      <c r="AO195">
        <f>IF(OR(AO$4="",$A195&gt;TODAY()),0,IF(OR(INDEX($B195:$D195,AO$5)="F",AND(AO$6&gt;0,$A195&lt;AO$6),AND(AO$7&gt;0,$A195&gt;AO$7)),0,MAX(0,ROUND((INDEX($E195:$G195,AO$5)-SUMIFS(TF_Timer,TF_Tekniker,AO$4,TF_Dato,$A195))*2,0)/2)))</f>
        <v/>
      </c>
      <c r="AP195">
        <f>IF(OR(AP$4="",$A195&gt;TODAY()),0,IF(OR(INDEX($B195:$D195,AP$5)="F",AND(AP$6&gt;0,$A195&lt;AP$6),AND(AP$7&gt;0,$A195&gt;AP$7)),0,MAX(0,ROUND((INDEX($E195:$G195,AP$5)-SUMIFS(TF_Timer,TF_Tekniker,AP$4,TF_Dato,$A195))*2,0)/2)))</f>
        <v/>
      </c>
      <c r="AQ195">
        <f>IF(OR(AQ$4="",$A195&gt;TODAY()),0,IF(OR(INDEX($B195:$D195,AQ$5)="F",AND(AQ$6&gt;0,$A195&lt;AQ$6),AND(AQ$7&gt;0,$A195&gt;AQ$7)),0,MAX(0,ROUND((INDEX($E195:$G195,AQ$5)-SUMIFS(TF_Timer,TF_Tekniker,AQ$4,TF_Dato,$A195))*2,0)/2)))</f>
        <v/>
      </c>
      <c r="AR195">
        <f>IF(OR(AR$4="",$A195&gt;TODAY()),0,IF(OR(INDEX($B195:$D195,AR$5)="F",AND(AR$6&gt;0,$A195&lt;AR$6),AND(AR$7&gt;0,$A195&gt;AR$7)),0,MAX(0,ROUND((INDEX($E195:$G195,AR$5)-SUMIFS(TF_Timer,TF_Tekniker,AR$4,TF_Dato,$A195))*2,0)/2)))</f>
        <v/>
      </c>
      <c r="AS195">
        <f>IF(OR(AS$4="",$A195&gt;TODAY()),0,IF(OR(INDEX($B195:$D195,AS$5)="F",AND(AS$6&gt;0,$A195&lt;AS$6),AND(AS$7&gt;0,$A195&gt;AS$7)),0,MAX(0,ROUND((INDEX($E195:$G195,AS$5)-SUMIFS(TF_Timer,TF_Tekniker,AS$4,TF_Dato,$A195))*2,0)/2)))</f>
        <v/>
      </c>
      <c r="AT195">
        <f>IF(OR(AT$4="",$A195&gt;TODAY()),0,IF(OR(INDEX($B195:$D195,AT$5)="F",AND(AT$6&gt;0,$A195&lt;AT$6),AND(AT$7&gt;0,$A195&gt;AT$7)),0,MAX(0,ROUND((INDEX($E195:$G195,AT$5)-SUMIFS(TF_Timer,TF_Tekniker,AT$4,TF_Dato,$A195))*2,0)/2)))</f>
        <v/>
      </c>
      <c r="AU195">
        <f>IF(OR(AU$4="",$A195&gt;TODAY()),0,IF(OR(INDEX($B195:$D195,AU$5)="F",AND(AU$6&gt;0,$A195&lt;AU$6),AND(AU$7&gt;0,$A195&gt;AU$7)),0,MAX(0,ROUND((INDEX($E195:$G195,AU$5)-SUMIFS(TF_Timer,TF_Tekniker,AU$4,TF_Dato,$A195))*2,0)/2)))</f>
        <v/>
      </c>
      <c r="AV195">
        <f>IF(OR(AV$4="",$A195&gt;TODAY()),0,IF(OR(INDEX($B195:$D195,AV$5)="F",AND(AV$6&gt;0,$A195&lt;AV$6),AND(AV$7&gt;0,$A195&gt;AV$7)),0,MAX(0,ROUND((INDEX($E195:$G195,AV$5)-SUMIFS(TF_Timer,TF_Tekniker,AV$4,TF_Dato,$A195))*2,0)/2)))</f>
        <v/>
      </c>
      <c r="AW195">
        <f>IF(OR(AW$4="",$A195&gt;TODAY()),0,IF(OR(INDEX($B195:$D195,AW$5)="F",AND(AW$6&gt;0,$A195&lt;AW$6),AND(AW$7&gt;0,$A195&gt;AW$7)),0,MAX(0,ROUND((INDEX($E195:$G195,AW$5)-SUMIFS(TF_Timer,TF_Tekniker,AW$4,TF_Dato,$A195))*2,0)/2)))</f>
        <v/>
      </c>
      <c r="AX195">
        <f>IF(OR(AX$4="",$A195&gt;TODAY()),0,IF(OR(INDEX($B195:$D195,AX$5)="F",AND(AX$6&gt;0,$A195&lt;AX$6),AND(AX$7&gt;0,$A195&gt;AX$7)),0,MAX(0,ROUND((INDEX($E195:$G195,AX$5)-SUMIFS(TF_Timer,TF_Tekniker,AX$4,TF_Dato,$A195))*2,0)/2)))</f>
        <v/>
      </c>
      <c r="AY195">
        <f>IF(OR(AY$4="",$A195&gt;TODAY()),0,IF(OR(INDEX($B195:$D195,AY$5)="F",AND(AY$6&gt;0,$A195&lt;AY$6),AND(AY$7&gt;0,$A195&gt;AY$7)),0,MAX(0,ROUND((INDEX($E195:$G195,AY$5)-SUMIFS(TF_Timer,TF_Tekniker,AY$4,TF_Dato,$A195))*2,0)/2)))</f>
        <v/>
      </c>
      <c r="AZ195">
        <f>IF(OR(AZ$4="",$A195&gt;TODAY()),0,IF(OR(INDEX($B195:$D195,AZ$5)="F",AND(AZ$6&gt;0,$A195&lt;AZ$6),AND(AZ$7&gt;0,$A195&gt;AZ$7)),0,MAX(0,ROUND((INDEX($E195:$G195,AZ$5)-SUMIFS(TF_Timer,TF_Tekniker,AZ$4,TF_Dato,$A195))*2,0)/2)))</f>
        <v/>
      </c>
      <c r="BA195">
        <f>IF(OR(BA$4="",$A195&gt;TODAY()),0,IF(OR(INDEX($B195:$D195,BA$5)="F",AND(BA$6&gt;0,$A195&lt;BA$6),AND(BA$7&gt;0,$A195&gt;BA$7)),0,MAX(0,ROUND((INDEX($E195:$G195,BA$5)-SUMIFS(TF_Timer,TF_Tekniker,BA$4,TF_Dato,$A195))*2,0)/2)))</f>
        <v/>
      </c>
      <c r="BB195">
        <f>IF(OR(BB$4="",$A195&gt;TODAY()),0,IF(OR(INDEX($B195:$D195,BB$5)="F",AND(BB$6&gt;0,$A195&lt;BB$6),AND(BB$7&gt;0,$A195&gt;BB$7)),0,MAX(0,ROUND((INDEX($E195:$G195,BB$5)-SUMIFS(TF_Timer,TF_Tekniker,BB$4,TF_Dato,$A195))*2,0)/2)))</f>
        <v/>
      </c>
      <c r="BC195">
        <f>IF(OR(BC$4="",$A195&gt;TODAY()),0,IF(OR(INDEX($B195:$D195,BC$5)="F",AND(BC$6&gt;0,$A195&lt;BC$6),AND(BC$7&gt;0,$A195&gt;BC$7)),0,MAX(0,ROUND((INDEX($E195:$G195,BC$5)-SUMIFS(TF_Timer,TF_Tekniker,BC$4,TF_Dato,$A195))*2,0)/2)))</f>
        <v/>
      </c>
      <c r="BD195">
        <f>IF(OR(BD$4="",$A195&gt;TODAY()),0,IF(OR(INDEX($B195:$D195,BD$5)="F",AND(BD$6&gt;0,$A195&lt;BD$6),AND(BD$7&gt;0,$A195&gt;BD$7)),0,MAX(0,ROUND((INDEX($E195:$G195,BD$5)-SUMIFS(TF_Timer,TF_Tekniker,BD$4,TF_Dato,$A195))*2,0)/2)))</f>
        <v/>
      </c>
      <c r="BE195">
        <f>IF(OR(BE$4="",$A195&gt;TODAY()),0,IF(OR(INDEX($B195:$D195,BE$5)="F",AND(BE$6&gt;0,$A195&lt;BE$6),AND(BE$7&gt;0,$A195&gt;BE$7)),0,MAX(0,ROUND((INDEX($E195:$G195,BE$5)-SUMIFS(TF_Timer,TF_Tekniker,BE$4,TF_Dato,$A195))*2,0)/2)))</f>
        <v/>
      </c>
      <c r="BF195">
        <f>IF(OR(BF$4="",$A195&gt;TODAY()),0,IF(OR(INDEX($B195:$D195,BF$5)="F",AND(BF$6&gt;0,$A195&lt;BF$6),AND(BF$7&gt;0,$A195&gt;BF$7)),0,MAX(0,ROUND((INDEX($E195:$G195,BF$5)-SUMIFS(TF_Timer,TF_Tekniker,BF$4,TF_Dato,$A195))*2,0)/2)))</f>
        <v/>
      </c>
      <c r="BG195">
        <f>IF(OR(BG$4="",$A195&gt;TODAY()),0,IF(OR(INDEX($B195:$D195,BG$5)="F",AND(BG$6&gt;0,$A195&lt;BG$6),AND(BG$7&gt;0,$A195&gt;BG$7)),0,MAX(0,ROUND((INDEX($E195:$G195,BG$5)-SUMIFS(TF_Timer,TF_Tekniker,BG$4,TF_Dato,$A195))*2,0)/2)))</f>
        <v/>
      </c>
      <c r="BH195">
        <f>IF(OR(BH$4="",$A195&gt;TODAY()),0,IF(OR(INDEX($B195:$D195,BH$5)="F",AND(BH$6&gt;0,$A195&lt;BH$6),AND(BH$7&gt;0,$A195&gt;BH$7)),0,MAX(0,ROUND((INDEX($E195:$G195,BH$5)-SUMIFS(TF_Timer,TF_Tekniker,BH$4,TF_Dato,$A195))*2,0)/2)))</f>
        <v/>
      </c>
      <c r="BI195">
        <f>IF(OR(BI$4="",$A195&gt;TODAY()),0,IF(OR(INDEX($B195:$D195,BI$5)="F",AND(BI$6&gt;0,$A195&lt;BI$6),AND(BI$7&gt;0,$A195&gt;BI$7)),0,MAX(0,ROUND((INDEX($E195:$G195,BI$5)-SUMIFS(TF_Timer,TF_Tekniker,BI$4,TF_Dato,$A195))*2,0)/2)))</f>
        <v/>
      </c>
    </row>
    <row r="196">
      <c r="A196" s="64">
        <f>A195+1</f>
        <v/>
      </c>
      <c r="B196">
        <f>IF(MOD($A196-INDEX(SkiftStart,1),Syklus)&lt;DagK,"K",IF(MOD($A196-INDEX(SkiftStart,1),Syklus)&lt;DagK+DagH,"H",IF(MOD($A196-INDEX(SkiftStart,1),Syklus)&lt;DagK+DagH+DagD,"D","F")))</f>
        <v/>
      </c>
      <c r="C196">
        <f>IF(MOD($A196-INDEX(SkiftStart,2),Syklus)&lt;DagK,"K",IF(MOD($A196-INDEX(SkiftStart,2),Syklus)&lt;DagK+DagH,"H",IF(MOD($A196-INDEX(SkiftStart,2),Syklus)&lt;DagK+DagH+DagD,"D","F")))</f>
        <v/>
      </c>
      <c r="D196">
        <f>IF(MOD($A196-INDEX(SkiftStart,3),Syklus)&lt;DagK,"K",IF(MOD($A196-INDEX(SkiftStart,3),Syklus)&lt;DagK+DagH,"H",IF(MOD($A196-INDEX(SkiftStart,3),Syklus)&lt;DagK+DagH+DagD,"D","F")))</f>
        <v/>
      </c>
      <c r="E196">
        <f>IF(B196="F",0,IF(WEEKDAY($A196,2)=5,INDEX(TimerFr,MATCH(B196,FaseKode,0)),INDEX(TimerMT,MATCH(B196,FaseKode,0))))</f>
        <v/>
      </c>
      <c r="F196">
        <f>IF(C196="F",0,IF(WEEKDAY($A196,2)=5,INDEX(TimerFr,MATCH(C196,FaseKode,0)),INDEX(TimerMT,MATCH(C196,FaseKode,0))))</f>
        <v/>
      </c>
      <c r="G196">
        <f>IF(D196="F",0,IF(WEEKDAY($A196,2)=5,INDEX(TimerFr,MATCH(D196,FaseKode,0)),INDEX(TimerMT,MATCH(D196,FaseKode,0))))</f>
        <v/>
      </c>
      <c r="H196">
        <f>IF(OR(H$4="",$A196&gt;TODAY()),0,IF(OR(INDEX($B196:$D196,H$5)="F",AND(H$6&gt;0,$A196&lt;H$6),AND(H$7&gt;0,$A196&gt;H$7)),0,MAX(0,ROUND((INDEX($E196:$G196,H$5)-SUMIFS(TF_Timer,TF_Tekniker,H$4,TF_Dato,$A196))*2,0)/2)))</f>
        <v/>
      </c>
      <c r="I196">
        <f>IF(OR(I$4="",$A196&gt;TODAY()),0,IF(OR(INDEX($B196:$D196,I$5)="F",AND(I$6&gt;0,$A196&lt;I$6),AND(I$7&gt;0,$A196&gt;I$7)),0,MAX(0,ROUND((INDEX($E196:$G196,I$5)-SUMIFS(TF_Timer,TF_Tekniker,I$4,TF_Dato,$A196))*2,0)/2)))</f>
        <v/>
      </c>
      <c r="J196">
        <f>IF(OR(J$4="",$A196&gt;TODAY()),0,IF(OR(INDEX($B196:$D196,J$5)="F",AND(J$6&gt;0,$A196&lt;J$6),AND(J$7&gt;0,$A196&gt;J$7)),0,MAX(0,ROUND((INDEX($E196:$G196,J$5)-SUMIFS(TF_Timer,TF_Tekniker,J$4,TF_Dato,$A196))*2,0)/2)))</f>
        <v/>
      </c>
      <c r="K196">
        <f>IF(OR(K$4="",$A196&gt;TODAY()),0,IF(OR(INDEX($B196:$D196,K$5)="F",AND(K$6&gt;0,$A196&lt;K$6),AND(K$7&gt;0,$A196&gt;K$7)),0,MAX(0,ROUND((INDEX($E196:$G196,K$5)-SUMIFS(TF_Timer,TF_Tekniker,K$4,TF_Dato,$A196))*2,0)/2)))</f>
        <v/>
      </c>
      <c r="L196">
        <f>IF(OR(L$4="",$A196&gt;TODAY()),0,IF(OR(INDEX($B196:$D196,L$5)="F",AND(L$6&gt;0,$A196&lt;L$6),AND(L$7&gt;0,$A196&gt;L$7)),0,MAX(0,ROUND((INDEX($E196:$G196,L$5)-SUMIFS(TF_Timer,TF_Tekniker,L$4,TF_Dato,$A196))*2,0)/2)))</f>
        <v/>
      </c>
      <c r="M196">
        <f>IF(OR(M$4="",$A196&gt;TODAY()),0,IF(OR(INDEX($B196:$D196,M$5)="F",AND(M$6&gt;0,$A196&lt;M$6),AND(M$7&gt;0,$A196&gt;M$7)),0,MAX(0,ROUND((INDEX($E196:$G196,M$5)-SUMIFS(TF_Timer,TF_Tekniker,M$4,TF_Dato,$A196))*2,0)/2)))</f>
        <v/>
      </c>
      <c r="N196">
        <f>IF(OR(N$4="",$A196&gt;TODAY()),0,IF(OR(INDEX($B196:$D196,N$5)="F",AND(N$6&gt;0,$A196&lt;N$6),AND(N$7&gt;0,$A196&gt;N$7)),0,MAX(0,ROUND((INDEX($E196:$G196,N$5)-SUMIFS(TF_Timer,TF_Tekniker,N$4,TF_Dato,$A196))*2,0)/2)))</f>
        <v/>
      </c>
      <c r="O196">
        <f>IF(OR(O$4="",$A196&gt;TODAY()),0,IF(OR(INDEX($B196:$D196,O$5)="F",AND(O$6&gt;0,$A196&lt;O$6),AND(O$7&gt;0,$A196&gt;O$7)),0,MAX(0,ROUND((INDEX($E196:$G196,O$5)-SUMIFS(TF_Timer,TF_Tekniker,O$4,TF_Dato,$A196))*2,0)/2)))</f>
        <v/>
      </c>
      <c r="P196">
        <f>IF(OR(P$4="",$A196&gt;TODAY()),0,IF(OR(INDEX($B196:$D196,P$5)="F",AND(P$6&gt;0,$A196&lt;P$6),AND(P$7&gt;0,$A196&gt;P$7)),0,MAX(0,ROUND((INDEX($E196:$G196,P$5)-SUMIFS(TF_Timer,TF_Tekniker,P$4,TF_Dato,$A196))*2,0)/2)))</f>
        <v/>
      </c>
      <c r="Q196">
        <f>IF(OR(Q$4="",$A196&gt;TODAY()),0,IF(OR(INDEX($B196:$D196,Q$5)="F",AND(Q$6&gt;0,$A196&lt;Q$6),AND(Q$7&gt;0,$A196&gt;Q$7)),0,MAX(0,ROUND((INDEX($E196:$G196,Q$5)-SUMIFS(TF_Timer,TF_Tekniker,Q$4,TF_Dato,$A196))*2,0)/2)))</f>
        <v/>
      </c>
      <c r="R196">
        <f>IF(OR(R$4="",$A196&gt;TODAY()),0,IF(OR(INDEX($B196:$D196,R$5)="F",AND(R$6&gt;0,$A196&lt;R$6),AND(R$7&gt;0,$A196&gt;R$7)),0,MAX(0,ROUND((INDEX($E196:$G196,R$5)-SUMIFS(TF_Timer,TF_Tekniker,R$4,TF_Dato,$A196))*2,0)/2)))</f>
        <v/>
      </c>
      <c r="S196">
        <f>IF(OR(S$4="",$A196&gt;TODAY()),0,IF(OR(INDEX($B196:$D196,S$5)="F",AND(S$6&gt;0,$A196&lt;S$6),AND(S$7&gt;0,$A196&gt;S$7)),0,MAX(0,ROUND((INDEX($E196:$G196,S$5)-SUMIFS(TF_Timer,TF_Tekniker,S$4,TF_Dato,$A196))*2,0)/2)))</f>
        <v/>
      </c>
      <c r="T196">
        <f>IF(OR(T$4="",$A196&gt;TODAY()),0,IF(OR(INDEX($B196:$D196,T$5)="F",AND(T$6&gt;0,$A196&lt;T$6),AND(T$7&gt;0,$A196&gt;T$7)),0,MAX(0,ROUND((INDEX($E196:$G196,T$5)-SUMIFS(TF_Timer,TF_Tekniker,T$4,TF_Dato,$A196))*2,0)/2)))</f>
        <v/>
      </c>
      <c r="U196">
        <f>IF(OR(U$4="",$A196&gt;TODAY()),0,IF(OR(INDEX($B196:$D196,U$5)="F",AND(U$6&gt;0,$A196&lt;U$6),AND(U$7&gt;0,$A196&gt;U$7)),0,MAX(0,ROUND((INDEX($E196:$G196,U$5)-SUMIFS(TF_Timer,TF_Tekniker,U$4,TF_Dato,$A196))*2,0)/2)))</f>
        <v/>
      </c>
      <c r="V196">
        <f>IF(OR(V$4="",$A196&gt;TODAY()),0,IF(OR(INDEX($B196:$D196,V$5)="F",AND(V$6&gt;0,$A196&lt;V$6),AND(V$7&gt;0,$A196&gt;V$7)),0,MAX(0,ROUND((INDEX($E196:$G196,V$5)-SUMIFS(TF_Timer,TF_Tekniker,V$4,TF_Dato,$A196))*2,0)/2)))</f>
        <v/>
      </c>
      <c r="W196">
        <f>IF(OR(W$4="",$A196&gt;TODAY()),0,IF(OR(INDEX($B196:$D196,W$5)="F",AND(W$6&gt;0,$A196&lt;W$6),AND(W$7&gt;0,$A196&gt;W$7)),0,MAX(0,ROUND((INDEX($E196:$G196,W$5)-SUMIFS(TF_Timer,TF_Tekniker,W$4,TF_Dato,$A196))*2,0)/2)))</f>
        <v/>
      </c>
      <c r="X196">
        <f>IF(OR(X$4="",$A196&gt;TODAY()),0,IF(OR(INDEX($B196:$D196,X$5)="F",AND(X$6&gt;0,$A196&lt;X$6),AND(X$7&gt;0,$A196&gt;X$7)),0,MAX(0,ROUND((INDEX($E196:$G196,X$5)-SUMIFS(TF_Timer,TF_Tekniker,X$4,TF_Dato,$A196))*2,0)/2)))</f>
        <v/>
      </c>
      <c r="Y196">
        <f>IF(OR(Y$4="",$A196&gt;TODAY()),0,IF(OR(INDEX($B196:$D196,Y$5)="F",AND(Y$6&gt;0,$A196&lt;Y$6),AND(Y$7&gt;0,$A196&gt;Y$7)),0,MAX(0,ROUND((INDEX($E196:$G196,Y$5)-SUMIFS(TF_Timer,TF_Tekniker,Y$4,TF_Dato,$A196))*2,0)/2)))</f>
        <v/>
      </c>
      <c r="Z196">
        <f>IF(OR(Z$4="",$A196&gt;TODAY()),0,IF(OR(INDEX($B196:$D196,Z$5)="F",AND(Z$6&gt;0,$A196&lt;Z$6),AND(Z$7&gt;0,$A196&gt;Z$7)),0,MAX(0,ROUND((INDEX($E196:$G196,Z$5)-SUMIFS(TF_Timer,TF_Tekniker,Z$4,TF_Dato,$A196))*2,0)/2)))</f>
        <v/>
      </c>
      <c r="AA196">
        <f>IF(OR(AA$4="",$A196&gt;TODAY()),0,IF(OR(INDEX($B196:$D196,AA$5)="F",AND(AA$6&gt;0,$A196&lt;AA$6),AND(AA$7&gt;0,$A196&gt;AA$7)),0,MAX(0,ROUND((INDEX($E196:$G196,AA$5)-SUMIFS(TF_Timer,TF_Tekniker,AA$4,TF_Dato,$A196))*2,0)/2)))</f>
        <v/>
      </c>
      <c r="AB196">
        <f>IF(OR(AB$4="",$A196&gt;TODAY()),0,IF(OR(INDEX($B196:$D196,AB$5)="F",AND(AB$6&gt;0,$A196&lt;AB$6),AND(AB$7&gt;0,$A196&gt;AB$7)),0,MAX(0,ROUND((INDEX($E196:$G196,AB$5)-SUMIFS(TF_Timer,TF_Tekniker,AB$4,TF_Dato,$A196))*2,0)/2)))</f>
        <v/>
      </c>
      <c r="AC196">
        <f>IF(OR(AC$4="",$A196&gt;TODAY()),0,IF(OR(INDEX($B196:$D196,AC$5)="F",AND(AC$6&gt;0,$A196&lt;AC$6),AND(AC$7&gt;0,$A196&gt;AC$7)),0,MAX(0,ROUND((INDEX($E196:$G196,AC$5)-SUMIFS(TF_Timer,TF_Tekniker,AC$4,TF_Dato,$A196))*2,0)/2)))</f>
        <v/>
      </c>
      <c r="AD196">
        <f>IF(OR(AD$4="",$A196&gt;TODAY()),0,IF(OR(INDEX($B196:$D196,AD$5)="F",AND(AD$6&gt;0,$A196&lt;AD$6),AND(AD$7&gt;0,$A196&gt;AD$7)),0,MAX(0,ROUND((INDEX($E196:$G196,AD$5)-SUMIFS(TF_Timer,TF_Tekniker,AD$4,TF_Dato,$A196))*2,0)/2)))</f>
        <v/>
      </c>
      <c r="AE196">
        <f>IF(OR(AE$4="",$A196&gt;TODAY()),0,IF(OR(INDEX($B196:$D196,AE$5)="F",AND(AE$6&gt;0,$A196&lt;AE$6),AND(AE$7&gt;0,$A196&gt;AE$7)),0,MAX(0,ROUND((INDEX($E196:$G196,AE$5)-SUMIFS(TF_Timer,TF_Tekniker,AE$4,TF_Dato,$A196))*2,0)/2)))</f>
        <v/>
      </c>
      <c r="AF196">
        <f>IF(OR(AF$4="",$A196&gt;TODAY()),0,IF(OR(INDEX($B196:$D196,AF$5)="F",AND(AF$6&gt;0,$A196&lt;AF$6),AND(AF$7&gt;0,$A196&gt;AF$7)),0,MAX(0,ROUND((INDEX($E196:$G196,AF$5)-SUMIFS(TF_Timer,TF_Tekniker,AF$4,TF_Dato,$A196))*2,0)/2)))</f>
        <v/>
      </c>
      <c r="AG196">
        <f>IF(OR(AG$4="",$A196&gt;TODAY()),0,IF(OR(INDEX($B196:$D196,AG$5)="F",AND(AG$6&gt;0,$A196&lt;AG$6),AND(AG$7&gt;0,$A196&gt;AG$7)),0,MAX(0,ROUND((INDEX($E196:$G196,AG$5)-SUMIFS(TF_Timer,TF_Tekniker,AG$4,TF_Dato,$A196))*2,0)/2)))</f>
        <v/>
      </c>
      <c r="AH196">
        <f>IF(OR(AH$4="",$A196&gt;TODAY()),0,IF(OR(INDEX($B196:$D196,AH$5)="F",AND(AH$6&gt;0,$A196&lt;AH$6),AND(AH$7&gt;0,$A196&gt;AH$7)),0,MAX(0,ROUND((INDEX($E196:$G196,AH$5)-SUMIFS(TF_Timer,TF_Tekniker,AH$4,TF_Dato,$A196))*2,0)/2)))</f>
        <v/>
      </c>
      <c r="AI196">
        <f>IF(OR(AI$4="",$A196&gt;TODAY()),0,IF(OR(INDEX($B196:$D196,AI$5)="F",AND(AI$6&gt;0,$A196&lt;AI$6),AND(AI$7&gt;0,$A196&gt;AI$7)),0,MAX(0,ROUND((INDEX($E196:$G196,AI$5)-SUMIFS(TF_Timer,TF_Tekniker,AI$4,TF_Dato,$A196))*2,0)/2)))</f>
        <v/>
      </c>
      <c r="AJ196">
        <f>IF(OR(AJ$4="",$A196&gt;TODAY()),0,IF(OR(INDEX($B196:$D196,AJ$5)="F",AND(AJ$6&gt;0,$A196&lt;AJ$6),AND(AJ$7&gt;0,$A196&gt;AJ$7)),0,MAX(0,ROUND((INDEX($E196:$G196,AJ$5)-SUMIFS(TF_Timer,TF_Tekniker,AJ$4,TF_Dato,$A196))*2,0)/2)))</f>
        <v/>
      </c>
      <c r="AK196">
        <f>IF(OR(AK$4="",$A196&gt;TODAY()),0,IF(OR(INDEX($B196:$D196,AK$5)="F",AND(AK$6&gt;0,$A196&lt;AK$6),AND(AK$7&gt;0,$A196&gt;AK$7)),0,MAX(0,ROUND((INDEX($E196:$G196,AK$5)-SUMIFS(TF_Timer,TF_Tekniker,AK$4,TF_Dato,$A196))*2,0)/2)))</f>
        <v/>
      </c>
      <c r="AL196">
        <f>IF(OR(AL$4="",$A196&gt;TODAY()),0,IF(OR(INDEX($B196:$D196,AL$5)="F",AND(AL$6&gt;0,$A196&lt;AL$6),AND(AL$7&gt;0,$A196&gt;AL$7)),0,MAX(0,ROUND((INDEX($E196:$G196,AL$5)-SUMIFS(TF_Timer,TF_Tekniker,AL$4,TF_Dato,$A196))*2,0)/2)))</f>
        <v/>
      </c>
      <c r="AM196">
        <f>IF(OR(AM$4="",$A196&gt;TODAY()),0,IF(OR(INDEX($B196:$D196,AM$5)="F",AND(AM$6&gt;0,$A196&lt;AM$6),AND(AM$7&gt;0,$A196&gt;AM$7)),0,MAX(0,ROUND((INDEX($E196:$G196,AM$5)-SUMIFS(TF_Timer,TF_Tekniker,AM$4,TF_Dato,$A196))*2,0)/2)))</f>
        <v/>
      </c>
      <c r="AN196">
        <f>IF(OR(AN$4="",$A196&gt;TODAY()),0,IF(OR(INDEX($B196:$D196,AN$5)="F",AND(AN$6&gt;0,$A196&lt;AN$6),AND(AN$7&gt;0,$A196&gt;AN$7)),0,MAX(0,ROUND((INDEX($E196:$G196,AN$5)-SUMIFS(TF_Timer,TF_Tekniker,AN$4,TF_Dato,$A196))*2,0)/2)))</f>
        <v/>
      </c>
      <c r="AO196">
        <f>IF(OR(AO$4="",$A196&gt;TODAY()),0,IF(OR(INDEX($B196:$D196,AO$5)="F",AND(AO$6&gt;0,$A196&lt;AO$6),AND(AO$7&gt;0,$A196&gt;AO$7)),0,MAX(0,ROUND((INDEX($E196:$G196,AO$5)-SUMIFS(TF_Timer,TF_Tekniker,AO$4,TF_Dato,$A196))*2,0)/2)))</f>
        <v/>
      </c>
      <c r="AP196">
        <f>IF(OR(AP$4="",$A196&gt;TODAY()),0,IF(OR(INDEX($B196:$D196,AP$5)="F",AND(AP$6&gt;0,$A196&lt;AP$6),AND(AP$7&gt;0,$A196&gt;AP$7)),0,MAX(0,ROUND((INDEX($E196:$G196,AP$5)-SUMIFS(TF_Timer,TF_Tekniker,AP$4,TF_Dato,$A196))*2,0)/2)))</f>
        <v/>
      </c>
      <c r="AQ196">
        <f>IF(OR(AQ$4="",$A196&gt;TODAY()),0,IF(OR(INDEX($B196:$D196,AQ$5)="F",AND(AQ$6&gt;0,$A196&lt;AQ$6),AND(AQ$7&gt;0,$A196&gt;AQ$7)),0,MAX(0,ROUND((INDEX($E196:$G196,AQ$5)-SUMIFS(TF_Timer,TF_Tekniker,AQ$4,TF_Dato,$A196))*2,0)/2)))</f>
        <v/>
      </c>
      <c r="AR196">
        <f>IF(OR(AR$4="",$A196&gt;TODAY()),0,IF(OR(INDEX($B196:$D196,AR$5)="F",AND(AR$6&gt;0,$A196&lt;AR$6),AND(AR$7&gt;0,$A196&gt;AR$7)),0,MAX(0,ROUND((INDEX($E196:$G196,AR$5)-SUMIFS(TF_Timer,TF_Tekniker,AR$4,TF_Dato,$A196))*2,0)/2)))</f>
        <v/>
      </c>
      <c r="AS196">
        <f>IF(OR(AS$4="",$A196&gt;TODAY()),0,IF(OR(INDEX($B196:$D196,AS$5)="F",AND(AS$6&gt;0,$A196&lt;AS$6),AND(AS$7&gt;0,$A196&gt;AS$7)),0,MAX(0,ROUND((INDEX($E196:$G196,AS$5)-SUMIFS(TF_Timer,TF_Tekniker,AS$4,TF_Dato,$A196))*2,0)/2)))</f>
        <v/>
      </c>
      <c r="AT196">
        <f>IF(OR(AT$4="",$A196&gt;TODAY()),0,IF(OR(INDEX($B196:$D196,AT$5)="F",AND(AT$6&gt;0,$A196&lt;AT$6),AND(AT$7&gt;0,$A196&gt;AT$7)),0,MAX(0,ROUND((INDEX($E196:$G196,AT$5)-SUMIFS(TF_Timer,TF_Tekniker,AT$4,TF_Dato,$A196))*2,0)/2)))</f>
        <v/>
      </c>
      <c r="AU196">
        <f>IF(OR(AU$4="",$A196&gt;TODAY()),0,IF(OR(INDEX($B196:$D196,AU$5)="F",AND(AU$6&gt;0,$A196&lt;AU$6),AND(AU$7&gt;0,$A196&gt;AU$7)),0,MAX(0,ROUND((INDEX($E196:$G196,AU$5)-SUMIFS(TF_Timer,TF_Tekniker,AU$4,TF_Dato,$A196))*2,0)/2)))</f>
        <v/>
      </c>
      <c r="AV196">
        <f>IF(OR(AV$4="",$A196&gt;TODAY()),0,IF(OR(INDEX($B196:$D196,AV$5)="F",AND(AV$6&gt;0,$A196&lt;AV$6),AND(AV$7&gt;0,$A196&gt;AV$7)),0,MAX(0,ROUND((INDEX($E196:$G196,AV$5)-SUMIFS(TF_Timer,TF_Tekniker,AV$4,TF_Dato,$A196))*2,0)/2)))</f>
        <v/>
      </c>
      <c r="AW196">
        <f>IF(OR(AW$4="",$A196&gt;TODAY()),0,IF(OR(INDEX($B196:$D196,AW$5)="F",AND(AW$6&gt;0,$A196&lt;AW$6),AND(AW$7&gt;0,$A196&gt;AW$7)),0,MAX(0,ROUND((INDEX($E196:$G196,AW$5)-SUMIFS(TF_Timer,TF_Tekniker,AW$4,TF_Dato,$A196))*2,0)/2)))</f>
        <v/>
      </c>
      <c r="AX196">
        <f>IF(OR(AX$4="",$A196&gt;TODAY()),0,IF(OR(INDEX($B196:$D196,AX$5)="F",AND(AX$6&gt;0,$A196&lt;AX$6),AND(AX$7&gt;0,$A196&gt;AX$7)),0,MAX(0,ROUND((INDEX($E196:$G196,AX$5)-SUMIFS(TF_Timer,TF_Tekniker,AX$4,TF_Dato,$A196))*2,0)/2)))</f>
        <v/>
      </c>
      <c r="AY196">
        <f>IF(OR(AY$4="",$A196&gt;TODAY()),0,IF(OR(INDEX($B196:$D196,AY$5)="F",AND(AY$6&gt;0,$A196&lt;AY$6),AND(AY$7&gt;0,$A196&gt;AY$7)),0,MAX(0,ROUND((INDEX($E196:$G196,AY$5)-SUMIFS(TF_Timer,TF_Tekniker,AY$4,TF_Dato,$A196))*2,0)/2)))</f>
        <v/>
      </c>
      <c r="AZ196">
        <f>IF(OR(AZ$4="",$A196&gt;TODAY()),0,IF(OR(INDEX($B196:$D196,AZ$5)="F",AND(AZ$6&gt;0,$A196&lt;AZ$6),AND(AZ$7&gt;0,$A196&gt;AZ$7)),0,MAX(0,ROUND((INDEX($E196:$G196,AZ$5)-SUMIFS(TF_Timer,TF_Tekniker,AZ$4,TF_Dato,$A196))*2,0)/2)))</f>
        <v/>
      </c>
      <c r="BA196">
        <f>IF(OR(BA$4="",$A196&gt;TODAY()),0,IF(OR(INDEX($B196:$D196,BA$5)="F",AND(BA$6&gt;0,$A196&lt;BA$6),AND(BA$7&gt;0,$A196&gt;BA$7)),0,MAX(0,ROUND((INDEX($E196:$G196,BA$5)-SUMIFS(TF_Timer,TF_Tekniker,BA$4,TF_Dato,$A196))*2,0)/2)))</f>
        <v/>
      </c>
      <c r="BB196">
        <f>IF(OR(BB$4="",$A196&gt;TODAY()),0,IF(OR(INDEX($B196:$D196,BB$5)="F",AND(BB$6&gt;0,$A196&lt;BB$6),AND(BB$7&gt;0,$A196&gt;BB$7)),0,MAX(0,ROUND((INDEX($E196:$G196,BB$5)-SUMIFS(TF_Timer,TF_Tekniker,BB$4,TF_Dato,$A196))*2,0)/2)))</f>
        <v/>
      </c>
      <c r="BC196">
        <f>IF(OR(BC$4="",$A196&gt;TODAY()),0,IF(OR(INDEX($B196:$D196,BC$5)="F",AND(BC$6&gt;0,$A196&lt;BC$6),AND(BC$7&gt;0,$A196&gt;BC$7)),0,MAX(0,ROUND((INDEX($E196:$G196,BC$5)-SUMIFS(TF_Timer,TF_Tekniker,BC$4,TF_Dato,$A196))*2,0)/2)))</f>
        <v/>
      </c>
      <c r="BD196">
        <f>IF(OR(BD$4="",$A196&gt;TODAY()),0,IF(OR(INDEX($B196:$D196,BD$5)="F",AND(BD$6&gt;0,$A196&lt;BD$6),AND(BD$7&gt;0,$A196&gt;BD$7)),0,MAX(0,ROUND((INDEX($E196:$G196,BD$5)-SUMIFS(TF_Timer,TF_Tekniker,BD$4,TF_Dato,$A196))*2,0)/2)))</f>
        <v/>
      </c>
      <c r="BE196">
        <f>IF(OR(BE$4="",$A196&gt;TODAY()),0,IF(OR(INDEX($B196:$D196,BE$5)="F",AND(BE$6&gt;0,$A196&lt;BE$6),AND(BE$7&gt;0,$A196&gt;BE$7)),0,MAX(0,ROUND((INDEX($E196:$G196,BE$5)-SUMIFS(TF_Timer,TF_Tekniker,BE$4,TF_Dato,$A196))*2,0)/2)))</f>
        <v/>
      </c>
      <c r="BF196">
        <f>IF(OR(BF$4="",$A196&gt;TODAY()),0,IF(OR(INDEX($B196:$D196,BF$5)="F",AND(BF$6&gt;0,$A196&lt;BF$6),AND(BF$7&gt;0,$A196&gt;BF$7)),0,MAX(0,ROUND((INDEX($E196:$G196,BF$5)-SUMIFS(TF_Timer,TF_Tekniker,BF$4,TF_Dato,$A196))*2,0)/2)))</f>
        <v/>
      </c>
      <c r="BG196">
        <f>IF(OR(BG$4="",$A196&gt;TODAY()),0,IF(OR(INDEX($B196:$D196,BG$5)="F",AND(BG$6&gt;0,$A196&lt;BG$6),AND(BG$7&gt;0,$A196&gt;BG$7)),0,MAX(0,ROUND((INDEX($E196:$G196,BG$5)-SUMIFS(TF_Timer,TF_Tekniker,BG$4,TF_Dato,$A196))*2,0)/2)))</f>
        <v/>
      </c>
      <c r="BH196">
        <f>IF(OR(BH$4="",$A196&gt;TODAY()),0,IF(OR(INDEX($B196:$D196,BH$5)="F",AND(BH$6&gt;0,$A196&lt;BH$6),AND(BH$7&gt;0,$A196&gt;BH$7)),0,MAX(0,ROUND((INDEX($E196:$G196,BH$5)-SUMIFS(TF_Timer,TF_Tekniker,BH$4,TF_Dato,$A196))*2,0)/2)))</f>
        <v/>
      </c>
      <c r="BI196">
        <f>IF(OR(BI$4="",$A196&gt;TODAY()),0,IF(OR(INDEX($B196:$D196,BI$5)="F",AND(BI$6&gt;0,$A196&lt;BI$6),AND(BI$7&gt;0,$A196&gt;BI$7)),0,MAX(0,ROUND((INDEX($E196:$G196,BI$5)-SUMIFS(TF_Timer,TF_Tekniker,BI$4,TF_Dato,$A196))*2,0)/2)))</f>
        <v/>
      </c>
    </row>
    <row r="197">
      <c r="A197" s="64">
        <f>A196+1</f>
        <v/>
      </c>
      <c r="B197">
        <f>IF(MOD($A197-INDEX(SkiftStart,1),Syklus)&lt;DagK,"K",IF(MOD($A197-INDEX(SkiftStart,1),Syklus)&lt;DagK+DagH,"H",IF(MOD($A197-INDEX(SkiftStart,1),Syklus)&lt;DagK+DagH+DagD,"D","F")))</f>
        <v/>
      </c>
      <c r="C197">
        <f>IF(MOD($A197-INDEX(SkiftStart,2),Syklus)&lt;DagK,"K",IF(MOD($A197-INDEX(SkiftStart,2),Syklus)&lt;DagK+DagH,"H",IF(MOD($A197-INDEX(SkiftStart,2),Syklus)&lt;DagK+DagH+DagD,"D","F")))</f>
        <v/>
      </c>
      <c r="D197">
        <f>IF(MOD($A197-INDEX(SkiftStart,3),Syklus)&lt;DagK,"K",IF(MOD($A197-INDEX(SkiftStart,3),Syklus)&lt;DagK+DagH,"H",IF(MOD($A197-INDEX(SkiftStart,3),Syklus)&lt;DagK+DagH+DagD,"D","F")))</f>
        <v/>
      </c>
      <c r="E197">
        <f>IF(B197="F",0,IF(WEEKDAY($A197,2)=5,INDEX(TimerFr,MATCH(B197,FaseKode,0)),INDEX(TimerMT,MATCH(B197,FaseKode,0))))</f>
        <v/>
      </c>
      <c r="F197">
        <f>IF(C197="F",0,IF(WEEKDAY($A197,2)=5,INDEX(TimerFr,MATCH(C197,FaseKode,0)),INDEX(TimerMT,MATCH(C197,FaseKode,0))))</f>
        <v/>
      </c>
      <c r="G197">
        <f>IF(D197="F",0,IF(WEEKDAY($A197,2)=5,INDEX(TimerFr,MATCH(D197,FaseKode,0)),INDEX(TimerMT,MATCH(D197,FaseKode,0))))</f>
        <v/>
      </c>
      <c r="H197">
        <f>IF(OR(H$4="",$A197&gt;TODAY()),0,IF(OR(INDEX($B197:$D197,H$5)="F",AND(H$6&gt;0,$A197&lt;H$6),AND(H$7&gt;0,$A197&gt;H$7)),0,MAX(0,ROUND((INDEX($E197:$G197,H$5)-SUMIFS(TF_Timer,TF_Tekniker,H$4,TF_Dato,$A197))*2,0)/2)))</f>
        <v/>
      </c>
      <c r="I197">
        <f>IF(OR(I$4="",$A197&gt;TODAY()),0,IF(OR(INDEX($B197:$D197,I$5)="F",AND(I$6&gt;0,$A197&lt;I$6),AND(I$7&gt;0,$A197&gt;I$7)),0,MAX(0,ROUND((INDEX($E197:$G197,I$5)-SUMIFS(TF_Timer,TF_Tekniker,I$4,TF_Dato,$A197))*2,0)/2)))</f>
        <v/>
      </c>
      <c r="J197">
        <f>IF(OR(J$4="",$A197&gt;TODAY()),0,IF(OR(INDEX($B197:$D197,J$5)="F",AND(J$6&gt;0,$A197&lt;J$6),AND(J$7&gt;0,$A197&gt;J$7)),0,MAX(0,ROUND((INDEX($E197:$G197,J$5)-SUMIFS(TF_Timer,TF_Tekniker,J$4,TF_Dato,$A197))*2,0)/2)))</f>
        <v/>
      </c>
      <c r="K197">
        <f>IF(OR(K$4="",$A197&gt;TODAY()),0,IF(OR(INDEX($B197:$D197,K$5)="F",AND(K$6&gt;0,$A197&lt;K$6),AND(K$7&gt;0,$A197&gt;K$7)),0,MAX(0,ROUND((INDEX($E197:$G197,K$5)-SUMIFS(TF_Timer,TF_Tekniker,K$4,TF_Dato,$A197))*2,0)/2)))</f>
        <v/>
      </c>
      <c r="L197">
        <f>IF(OR(L$4="",$A197&gt;TODAY()),0,IF(OR(INDEX($B197:$D197,L$5)="F",AND(L$6&gt;0,$A197&lt;L$6),AND(L$7&gt;0,$A197&gt;L$7)),0,MAX(0,ROUND((INDEX($E197:$G197,L$5)-SUMIFS(TF_Timer,TF_Tekniker,L$4,TF_Dato,$A197))*2,0)/2)))</f>
        <v/>
      </c>
      <c r="M197">
        <f>IF(OR(M$4="",$A197&gt;TODAY()),0,IF(OR(INDEX($B197:$D197,M$5)="F",AND(M$6&gt;0,$A197&lt;M$6),AND(M$7&gt;0,$A197&gt;M$7)),0,MAX(0,ROUND((INDEX($E197:$G197,M$5)-SUMIFS(TF_Timer,TF_Tekniker,M$4,TF_Dato,$A197))*2,0)/2)))</f>
        <v/>
      </c>
      <c r="N197">
        <f>IF(OR(N$4="",$A197&gt;TODAY()),0,IF(OR(INDEX($B197:$D197,N$5)="F",AND(N$6&gt;0,$A197&lt;N$6),AND(N$7&gt;0,$A197&gt;N$7)),0,MAX(0,ROUND((INDEX($E197:$G197,N$5)-SUMIFS(TF_Timer,TF_Tekniker,N$4,TF_Dato,$A197))*2,0)/2)))</f>
        <v/>
      </c>
      <c r="O197">
        <f>IF(OR(O$4="",$A197&gt;TODAY()),0,IF(OR(INDEX($B197:$D197,O$5)="F",AND(O$6&gt;0,$A197&lt;O$6),AND(O$7&gt;0,$A197&gt;O$7)),0,MAX(0,ROUND((INDEX($E197:$G197,O$5)-SUMIFS(TF_Timer,TF_Tekniker,O$4,TF_Dato,$A197))*2,0)/2)))</f>
        <v/>
      </c>
      <c r="P197">
        <f>IF(OR(P$4="",$A197&gt;TODAY()),0,IF(OR(INDEX($B197:$D197,P$5)="F",AND(P$6&gt;0,$A197&lt;P$6),AND(P$7&gt;0,$A197&gt;P$7)),0,MAX(0,ROUND((INDEX($E197:$G197,P$5)-SUMIFS(TF_Timer,TF_Tekniker,P$4,TF_Dato,$A197))*2,0)/2)))</f>
        <v/>
      </c>
      <c r="Q197">
        <f>IF(OR(Q$4="",$A197&gt;TODAY()),0,IF(OR(INDEX($B197:$D197,Q$5)="F",AND(Q$6&gt;0,$A197&lt;Q$6),AND(Q$7&gt;0,$A197&gt;Q$7)),0,MAX(0,ROUND((INDEX($E197:$G197,Q$5)-SUMIFS(TF_Timer,TF_Tekniker,Q$4,TF_Dato,$A197))*2,0)/2)))</f>
        <v/>
      </c>
      <c r="R197">
        <f>IF(OR(R$4="",$A197&gt;TODAY()),0,IF(OR(INDEX($B197:$D197,R$5)="F",AND(R$6&gt;0,$A197&lt;R$6),AND(R$7&gt;0,$A197&gt;R$7)),0,MAX(0,ROUND((INDEX($E197:$G197,R$5)-SUMIFS(TF_Timer,TF_Tekniker,R$4,TF_Dato,$A197))*2,0)/2)))</f>
        <v/>
      </c>
      <c r="S197">
        <f>IF(OR(S$4="",$A197&gt;TODAY()),0,IF(OR(INDEX($B197:$D197,S$5)="F",AND(S$6&gt;0,$A197&lt;S$6),AND(S$7&gt;0,$A197&gt;S$7)),0,MAX(0,ROUND((INDEX($E197:$G197,S$5)-SUMIFS(TF_Timer,TF_Tekniker,S$4,TF_Dato,$A197))*2,0)/2)))</f>
        <v/>
      </c>
      <c r="T197">
        <f>IF(OR(T$4="",$A197&gt;TODAY()),0,IF(OR(INDEX($B197:$D197,T$5)="F",AND(T$6&gt;0,$A197&lt;T$6),AND(T$7&gt;0,$A197&gt;T$7)),0,MAX(0,ROUND((INDEX($E197:$G197,T$5)-SUMIFS(TF_Timer,TF_Tekniker,T$4,TF_Dato,$A197))*2,0)/2)))</f>
        <v/>
      </c>
      <c r="U197">
        <f>IF(OR(U$4="",$A197&gt;TODAY()),0,IF(OR(INDEX($B197:$D197,U$5)="F",AND(U$6&gt;0,$A197&lt;U$6),AND(U$7&gt;0,$A197&gt;U$7)),0,MAX(0,ROUND((INDEX($E197:$G197,U$5)-SUMIFS(TF_Timer,TF_Tekniker,U$4,TF_Dato,$A197))*2,0)/2)))</f>
        <v/>
      </c>
      <c r="V197">
        <f>IF(OR(V$4="",$A197&gt;TODAY()),0,IF(OR(INDEX($B197:$D197,V$5)="F",AND(V$6&gt;0,$A197&lt;V$6),AND(V$7&gt;0,$A197&gt;V$7)),0,MAX(0,ROUND((INDEX($E197:$G197,V$5)-SUMIFS(TF_Timer,TF_Tekniker,V$4,TF_Dato,$A197))*2,0)/2)))</f>
        <v/>
      </c>
      <c r="W197">
        <f>IF(OR(W$4="",$A197&gt;TODAY()),0,IF(OR(INDEX($B197:$D197,W$5)="F",AND(W$6&gt;0,$A197&lt;W$6),AND(W$7&gt;0,$A197&gt;W$7)),0,MAX(0,ROUND((INDEX($E197:$G197,W$5)-SUMIFS(TF_Timer,TF_Tekniker,W$4,TF_Dato,$A197))*2,0)/2)))</f>
        <v/>
      </c>
      <c r="X197">
        <f>IF(OR(X$4="",$A197&gt;TODAY()),0,IF(OR(INDEX($B197:$D197,X$5)="F",AND(X$6&gt;0,$A197&lt;X$6),AND(X$7&gt;0,$A197&gt;X$7)),0,MAX(0,ROUND((INDEX($E197:$G197,X$5)-SUMIFS(TF_Timer,TF_Tekniker,X$4,TF_Dato,$A197))*2,0)/2)))</f>
        <v/>
      </c>
      <c r="Y197">
        <f>IF(OR(Y$4="",$A197&gt;TODAY()),0,IF(OR(INDEX($B197:$D197,Y$5)="F",AND(Y$6&gt;0,$A197&lt;Y$6),AND(Y$7&gt;0,$A197&gt;Y$7)),0,MAX(0,ROUND((INDEX($E197:$G197,Y$5)-SUMIFS(TF_Timer,TF_Tekniker,Y$4,TF_Dato,$A197))*2,0)/2)))</f>
        <v/>
      </c>
      <c r="Z197">
        <f>IF(OR(Z$4="",$A197&gt;TODAY()),0,IF(OR(INDEX($B197:$D197,Z$5)="F",AND(Z$6&gt;0,$A197&lt;Z$6),AND(Z$7&gt;0,$A197&gt;Z$7)),0,MAX(0,ROUND((INDEX($E197:$G197,Z$5)-SUMIFS(TF_Timer,TF_Tekniker,Z$4,TF_Dato,$A197))*2,0)/2)))</f>
        <v/>
      </c>
      <c r="AA197">
        <f>IF(OR(AA$4="",$A197&gt;TODAY()),0,IF(OR(INDEX($B197:$D197,AA$5)="F",AND(AA$6&gt;0,$A197&lt;AA$6),AND(AA$7&gt;0,$A197&gt;AA$7)),0,MAX(0,ROUND((INDEX($E197:$G197,AA$5)-SUMIFS(TF_Timer,TF_Tekniker,AA$4,TF_Dato,$A197))*2,0)/2)))</f>
        <v/>
      </c>
      <c r="AB197">
        <f>IF(OR(AB$4="",$A197&gt;TODAY()),0,IF(OR(INDEX($B197:$D197,AB$5)="F",AND(AB$6&gt;0,$A197&lt;AB$6),AND(AB$7&gt;0,$A197&gt;AB$7)),0,MAX(0,ROUND((INDEX($E197:$G197,AB$5)-SUMIFS(TF_Timer,TF_Tekniker,AB$4,TF_Dato,$A197))*2,0)/2)))</f>
        <v/>
      </c>
      <c r="AC197">
        <f>IF(OR(AC$4="",$A197&gt;TODAY()),0,IF(OR(INDEX($B197:$D197,AC$5)="F",AND(AC$6&gt;0,$A197&lt;AC$6),AND(AC$7&gt;0,$A197&gt;AC$7)),0,MAX(0,ROUND((INDEX($E197:$G197,AC$5)-SUMIFS(TF_Timer,TF_Tekniker,AC$4,TF_Dato,$A197))*2,0)/2)))</f>
        <v/>
      </c>
      <c r="AD197">
        <f>IF(OR(AD$4="",$A197&gt;TODAY()),0,IF(OR(INDEX($B197:$D197,AD$5)="F",AND(AD$6&gt;0,$A197&lt;AD$6),AND(AD$7&gt;0,$A197&gt;AD$7)),0,MAX(0,ROUND((INDEX($E197:$G197,AD$5)-SUMIFS(TF_Timer,TF_Tekniker,AD$4,TF_Dato,$A197))*2,0)/2)))</f>
        <v/>
      </c>
      <c r="AE197">
        <f>IF(OR(AE$4="",$A197&gt;TODAY()),0,IF(OR(INDEX($B197:$D197,AE$5)="F",AND(AE$6&gt;0,$A197&lt;AE$6),AND(AE$7&gt;0,$A197&gt;AE$7)),0,MAX(0,ROUND((INDEX($E197:$G197,AE$5)-SUMIFS(TF_Timer,TF_Tekniker,AE$4,TF_Dato,$A197))*2,0)/2)))</f>
        <v/>
      </c>
      <c r="AF197">
        <f>IF(OR(AF$4="",$A197&gt;TODAY()),0,IF(OR(INDEX($B197:$D197,AF$5)="F",AND(AF$6&gt;0,$A197&lt;AF$6),AND(AF$7&gt;0,$A197&gt;AF$7)),0,MAX(0,ROUND((INDEX($E197:$G197,AF$5)-SUMIFS(TF_Timer,TF_Tekniker,AF$4,TF_Dato,$A197))*2,0)/2)))</f>
        <v/>
      </c>
      <c r="AG197">
        <f>IF(OR(AG$4="",$A197&gt;TODAY()),0,IF(OR(INDEX($B197:$D197,AG$5)="F",AND(AG$6&gt;0,$A197&lt;AG$6),AND(AG$7&gt;0,$A197&gt;AG$7)),0,MAX(0,ROUND((INDEX($E197:$G197,AG$5)-SUMIFS(TF_Timer,TF_Tekniker,AG$4,TF_Dato,$A197))*2,0)/2)))</f>
        <v/>
      </c>
      <c r="AH197">
        <f>IF(OR(AH$4="",$A197&gt;TODAY()),0,IF(OR(INDEX($B197:$D197,AH$5)="F",AND(AH$6&gt;0,$A197&lt;AH$6),AND(AH$7&gt;0,$A197&gt;AH$7)),0,MAX(0,ROUND((INDEX($E197:$G197,AH$5)-SUMIFS(TF_Timer,TF_Tekniker,AH$4,TF_Dato,$A197))*2,0)/2)))</f>
        <v/>
      </c>
      <c r="AI197">
        <f>IF(OR(AI$4="",$A197&gt;TODAY()),0,IF(OR(INDEX($B197:$D197,AI$5)="F",AND(AI$6&gt;0,$A197&lt;AI$6),AND(AI$7&gt;0,$A197&gt;AI$7)),0,MAX(0,ROUND((INDEX($E197:$G197,AI$5)-SUMIFS(TF_Timer,TF_Tekniker,AI$4,TF_Dato,$A197))*2,0)/2)))</f>
        <v/>
      </c>
      <c r="AJ197">
        <f>IF(OR(AJ$4="",$A197&gt;TODAY()),0,IF(OR(INDEX($B197:$D197,AJ$5)="F",AND(AJ$6&gt;0,$A197&lt;AJ$6),AND(AJ$7&gt;0,$A197&gt;AJ$7)),0,MAX(0,ROUND((INDEX($E197:$G197,AJ$5)-SUMIFS(TF_Timer,TF_Tekniker,AJ$4,TF_Dato,$A197))*2,0)/2)))</f>
        <v/>
      </c>
      <c r="AK197">
        <f>IF(OR(AK$4="",$A197&gt;TODAY()),0,IF(OR(INDEX($B197:$D197,AK$5)="F",AND(AK$6&gt;0,$A197&lt;AK$6),AND(AK$7&gt;0,$A197&gt;AK$7)),0,MAX(0,ROUND((INDEX($E197:$G197,AK$5)-SUMIFS(TF_Timer,TF_Tekniker,AK$4,TF_Dato,$A197))*2,0)/2)))</f>
        <v/>
      </c>
      <c r="AL197">
        <f>IF(OR(AL$4="",$A197&gt;TODAY()),0,IF(OR(INDEX($B197:$D197,AL$5)="F",AND(AL$6&gt;0,$A197&lt;AL$6),AND(AL$7&gt;0,$A197&gt;AL$7)),0,MAX(0,ROUND((INDEX($E197:$G197,AL$5)-SUMIFS(TF_Timer,TF_Tekniker,AL$4,TF_Dato,$A197))*2,0)/2)))</f>
        <v/>
      </c>
      <c r="AM197">
        <f>IF(OR(AM$4="",$A197&gt;TODAY()),0,IF(OR(INDEX($B197:$D197,AM$5)="F",AND(AM$6&gt;0,$A197&lt;AM$6),AND(AM$7&gt;0,$A197&gt;AM$7)),0,MAX(0,ROUND((INDEX($E197:$G197,AM$5)-SUMIFS(TF_Timer,TF_Tekniker,AM$4,TF_Dato,$A197))*2,0)/2)))</f>
        <v/>
      </c>
      <c r="AN197">
        <f>IF(OR(AN$4="",$A197&gt;TODAY()),0,IF(OR(INDEX($B197:$D197,AN$5)="F",AND(AN$6&gt;0,$A197&lt;AN$6),AND(AN$7&gt;0,$A197&gt;AN$7)),0,MAX(0,ROUND((INDEX($E197:$G197,AN$5)-SUMIFS(TF_Timer,TF_Tekniker,AN$4,TF_Dato,$A197))*2,0)/2)))</f>
        <v/>
      </c>
      <c r="AO197">
        <f>IF(OR(AO$4="",$A197&gt;TODAY()),0,IF(OR(INDEX($B197:$D197,AO$5)="F",AND(AO$6&gt;0,$A197&lt;AO$6),AND(AO$7&gt;0,$A197&gt;AO$7)),0,MAX(0,ROUND((INDEX($E197:$G197,AO$5)-SUMIFS(TF_Timer,TF_Tekniker,AO$4,TF_Dato,$A197))*2,0)/2)))</f>
        <v/>
      </c>
      <c r="AP197">
        <f>IF(OR(AP$4="",$A197&gt;TODAY()),0,IF(OR(INDEX($B197:$D197,AP$5)="F",AND(AP$6&gt;0,$A197&lt;AP$6),AND(AP$7&gt;0,$A197&gt;AP$7)),0,MAX(0,ROUND((INDEX($E197:$G197,AP$5)-SUMIFS(TF_Timer,TF_Tekniker,AP$4,TF_Dato,$A197))*2,0)/2)))</f>
        <v/>
      </c>
      <c r="AQ197">
        <f>IF(OR(AQ$4="",$A197&gt;TODAY()),0,IF(OR(INDEX($B197:$D197,AQ$5)="F",AND(AQ$6&gt;0,$A197&lt;AQ$6),AND(AQ$7&gt;0,$A197&gt;AQ$7)),0,MAX(0,ROUND((INDEX($E197:$G197,AQ$5)-SUMIFS(TF_Timer,TF_Tekniker,AQ$4,TF_Dato,$A197))*2,0)/2)))</f>
        <v/>
      </c>
      <c r="AR197">
        <f>IF(OR(AR$4="",$A197&gt;TODAY()),0,IF(OR(INDEX($B197:$D197,AR$5)="F",AND(AR$6&gt;0,$A197&lt;AR$6),AND(AR$7&gt;0,$A197&gt;AR$7)),0,MAX(0,ROUND((INDEX($E197:$G197,AR$5)-SUMIFS(TF_Timer,TF_Tekniker,AR$4,TF_Dato,$A197))*2,0)/2)))</f>
        <v/>
      </c>
      <c r="AS197">
        <f>IF(OR(AS$4="",$A197&gt;TODAY()),0,IF(OR(INDEX($B197:$D197,AS$5)="F",AND(AS$6&gt;0,$A197&lt;AS$6),AND(AS$7&gt;0,$A197&gt;AS$7)),0,MAX(0,ROUND((INDEX($E197:$G197,AS$5)-SUMIFS(TF_Timer,TF_Tekniker,AS$4,TF_Dato,$A197))*2,0)/2)))</f>
        <v/>
      </c>
      <c r="AT197">
        <f>IF(OR(AT$4="",$A197&gt;TODAY()),0,IF(OR(INDEX($B197:$D197,AT$5)="F",AND(AT$6&gt;0,$A197&lt;AT$6),AND(AT$7&gt;0,$A197&gt;AT$7)),0,MAX(0,ROUND((INDEX($E197:$G197,AT$5)-SUMIFS(TF_Timer,TF_Tekniker,AT$4,TF_Dato,$A197))*2,0)/2)))</f>
        <v/>
      </c>
      <c r="AU197">
        <f>IF(OR(AU$4="",$A197&gt;TODAY()),0,IF(OR(INDEX($B197:$D197,AU$5)="F",AND(AU$6&gt;0,$A197&lt;AU$6),AND(AU$7&gt;0,$A197&gt;AU$7)),0,MAX(0,ROUND((INDEX($E197:$G197,AU$5)-SUMIFS(TF_Timer,TF_Tekniker,AU$4,TF_Dato,$A197))*2,0)/2)))</f>
        <v/>
      </c>
      <c r="AV197">
        <f>IF(OR(AV$4="",$A197&gt;TODAY()),0,IF(OR(INDEX($B197:$D197,AV$5)="F",AND(AV$6&gt;0,$A197&lt;AV$6),AND(AV$7&gt;0,$A197&gt;AV$7)),0,MAX(0,ROUND((INDEX($E197:$G197,AV$5)-SUMIFS(TF_Timer,TF_Tekniker,AV$4,TF_Dato,$A197))*2,0)/2)))</f>
        <v/>
      </c>
      <c r="AW197">
        <f>IF(OR(AW$4="",$A197&gt;TODAY()),0,IF(OR(INDEX($B197:$D197,AW$5)="F",AND(AW$6&gt;0,$A197&lt;AW$6),AND(AW$7&gt;0,$A197&gt;AW$7)),0,MAX(0,ROUND((INDEX($E197:$G197,AW$5)-SUMIFS(TF_Timer,TF_Tekniker,AW$4,TF_Dato,$A197))*2,0)/2)))</f>
        <v/>
      </c>
      <c r="AX197">
        <f>IF(OR(AX$4="",$A197&gt;TODAY()),0,IF(OR(INDEX($B197:$D197,AX$5)="F",AND(AX$6&gt;0,$A197&lt;AX$6),AND(AX$7&gt;0,$A197&gt;AX$7)),0,MAX(0,ROUND((INDEX($E197:$G197,AX$5)-SUMIFS(TF_Timer,TF_Tekniker,AX$4,TF_Dato,$A197))*2,0)/2)))</f>
        <v/>
      </c>
      <c r="AY197">
        <f>IF(OR(AY$4="",$A197&gt;TODAY()),0,IF(OR(INDEX($B197:$D197,AY$5)="F",AND(AY$6&gt;0,$A197&lt;AY$6),AND(AY$7&gt;0,$A197&gt;AY$7)),0,MAX(0,ROUND((INDEX($E197:$G197,AY$5)-SUMIFS(TF_Timer,TF_Tekniker,AY$4,TF_Dato,$A197))*2,0)/2)))</f>
        <v/>
      </c>
      <c r="AZ197">
        <f>IF(OR(AZ$4="",$A197&gt;TODAY()),0,IF(OR(INDEX($B197:$D197,AZ$5)="F",AND(AZ$6&gt;0,$A197&lt;AZ$6),AND(AZ$7&gt;0,$A197&gt;AZ$7)),0,MAX(0,ROUND((INDEX($E197:$G197,AZ$5)-SUMIFS(TF_Timer,TF_Tekniker,AZ$4,TF_Dato,$A197))*2,0)/2)))</f>
        <v/>
      </c>
      <c r="BA197">
        <f>IF(OR(BA$4="",$A197&gt;TODAY()),0,IF(OR(INDEX($B197:$D197,BA$5)="F",AND(BA$6&gt;0,$A197&lt;BA$6),AND(BA$7&gt;0,$A197&gt;BA$7)),0,MAX(0,ROUND((INDEX($E197:$G197,BA$5)-SUMIFS(TF_Timer,TF_Tekniker,BA$4,TF_Dato,$A197))*2,0)/2)))</f>
        <v/>
      </c>
      <c r="BB197">
        <f>IF(OR(BB$4="",$A197&gt;TODAY()),0,IF(OR(INDEX($B197:$D197,BB$5)="F",AND(BB$6&gt;0,$A197&lt;BB$6),AND(BB$7&gt;0,$A197&gt;BB$7)),0,MAX(0,ROUND((INDEX($E197:$G197,BB$5)-SUMIFS(TF_Timer,TF_Tekniker,BB$4,TF_Dato,$A197))*2,0)/2)))</f>
        <v/>
      </c>
      <c r="BC197">
        <f>IF(OR(BC$4="",$A197&gt;TODAY()),0,IF(OR(INDEX($B197:$D197,BC$5)="F",AND(BC$6&gt;0,$A197&lt;BC$6),AND(BC$7&gt;0,$A197&gt;BC$7)),0,MAX(0,ROUND((INDEX($E197:$G197,BC$5)-SUMIFS(TF_Timer,TF_Tekniker,BC$4,TF_Dato,$A197))*2,0)/2)))</f>
        <v/>
      </c>
      <c r="BD197">
        <f>IF(OR(BD$4="",$A197&gt;TODAY()),0,IF(OR(INDEX($B197:$D197,BD$5)="F",AND(BD$6&gt;0,$A197&lt;BD$6),AND(BD$7&gt;0,$A197&gt;BD$7)),0,MAX(0,ROUND((INDEX($E197:$G197,BD$5)-SUMIFS(TF_Timer,TF_Tekniker,BD$4,TF_Dato,$A197))*2,0)/2)))</f>
        <v/>
      </c>
      <c r="BE197">
        <f>IF(OR(BE$4="",$A197&gt;TODAY()),0,IF(OR(INDEX($B197:$D197,BE$5)="F",AND(BE$6&gt;0,$A197&lt;BE$6),AND(BE$7&gt;0,$A197&gt;BE$7)),0,MAX(0,ROUND((INDEX($E197:$G197,BE$5)-SUMIFS(TF_Timer,TF_Tekniker,BE$4,TF_Dato,$A197))*2,0)/2)))</f>
        <v/>
      </c>
      <c r="BF197">
        <f>IF(OR(BF$4="",$A197&gt;TODAY()),0,IF(OR(INDEX($B197:$D197,BF$5)="F",AND(BF$6&gt;0,$A197&lt;BF$6),AND(BF$7&gt;0,$A197&gt;BF$7)),0,MAX(0,ROUND((INDEX($E197:$G197,BF$5)-SUMIFS(TF_Timer,TF_Tekniker,BF$4,TF_Dato,$A197))*2,0)/2)))</f>
        <v/>
      </c>
      <c r="BG197">
        <f>IF(OR(BG$4="",$A197&gt;TODAY()),0,IF(OR(INDEX($B197:$D197,BG$5)="F",AND(BG$6&gt;0,$A197&lt;BG$6),AND(BG$7&gt;0,$A197&gt;BG$7)),0,MAX(0,ROUND((INDEX($E197:$G197,BG$5)-SUMIFS(TF_Timer,TF_Tekniker,BG$4,TF_Dato,$A197))*2,0)/2)))</f>
        <v/>
      </c>
      <c r="BH197">
        <f>IF(OR(BH$4="",$A197&gt;TODAY()),0,IF(OR(INDEX($B197:$D197,BH$5)="F",AND(BH$6&gt;0,$A197&lt;BH$6),AND(BH$7&gt;0,$A197&gt;BH$7)),0,MAX(0,ROUND((INDEX($E197:$G197,BH$5)-SUMIFS(TF_Timer,TF_Tekniker,BH$4,TF_Dato,$A197))*2,0)/2)))</f>
        <v/>
      </c>
      <c r="BI197">
        <f>IF(OR(BI$4="",$A197&gt;TODAY()),0,IF(OR(INDEX($B197:$D197,BI$5)="F",AND(BI$6&gt;0,$A197&lt;BI$6),AND(BI$7&gt;0,$A197&gt;BI$7)),0,MAX(0,ROUND((INDEX($E197:$G197,BI$5)-SUMIFS(TF_Timer,TF_Tekniker,BI$4,TF_Dato,$A197))*2,0)/2)))</f>
        <v/>
      </c>
    </row>
    <row r="198">
      <c r="A198" s="64">
        <f>A197+1</f>
        <v/>
      </c>
      <c r="B198">
        <f>IF(MOD($A198-INDEX(SkiftStart,1),Syklus)&lt;DagK,"K",IF(MOD($A198-INDEX(SkiftStart,1),Syklus)&lt;DagK+DagH,"H",IF(MOD($A198-INDEX(SkiftStart,1),Syklus)&lt;DagK+DagH+DagD,"D","F")))</f>
        <v/>
      </c>
      <c r="C198">
        <f>IF(MOD($A198-INDEX(SkiftStart,2),Syklus)&lt;DagK,"K",IF(MOD($A198-INDEX(SkiftStart,2),Syklus)&lt;DagK+DagH,"H",IF(MOD($A198-INDEX(SkiftStart,2),Syklus)&lt;DagK+DagH+DagD,"D","F")))</f>
        <v/>
      </c>
      <c r="D198">
        <f>IF(MOD($A198-INDEX(SkiftStart,3),Syklus)&lt;DagK,"K",IF(MOD($A198-INDEX(SkiftStart,3),Syklus)&lt;DagK+DagH,"H",IF(MOD($A198-INDEX(SkiftStart,3),Syklus)&lt;DagK+DagH+DagD,"D","F")))</f>
        <v/>
      </c>
      <c r="E198">
        <f>IF(B198="F",0,IF(WEEKDAY($A198,2)=5,INDEX(TimerFr,MATCH(B198,FaseKode,0)),INDEX(TimerMT,MATCH(B198,FaseKode,0))))</f>
        <v/>
      </c>
      <c r="F198">
        <f>IF(C198="F",0,IF(WEEKDAY($A198,2)=5,INDEX(TimerFr,MATCH(C198,FaseKode,0)),INDEX(TimerMT,MATCH(C198,FaseKode,0))))</f>
        <v/>
      </c>
      <c r="G198">
        <f>IF(D198="F",0,IF(WEEKDAY($A198,2)=5,INDEX(TimerFr,MATCH(D198,FaseKode,0)),INDEX(TimerMT,MATCH(D198,FaseKode,0))))</f>
        <v/>
      </c>
      <c r="H198">
        <f>IF(OR(H$4="",$A198&gt;TODAY()),0,IF(OR(INDEX($B198:$D198,H$5)="F",AND(H$6&gt;0,$A198&lt;H$6),AND(H$7&gt;0,$A198&gt;H$7)),0,MAX(0,ROUND((INDEX($E198:$G198,H$5)-SUMIFS(TF_Timer,TF_Tekniker,H$4,TF_Dato,$A198))*2,0)/2)))</f>
        <v/>
      </c>
      <c r="I198">
        <f>IF(OR(I$4="",$A198&gt;TODAY()),0,IF(OR(INDEX($B198:$D198,I$5)="F",AND(I$6&gt;0,$A198&lt;I$6),AND(I$7&gt;0,$A198&gt;I$7)),0,MAX(0,ROUND((INDEX($E198:$G198,I$5)-SUMIFS(TF_Timer,TF_Tekniker,I$4,TF_Dato,$A198))*2,0)/2)))</f>
        <v/>
      </c>
      <c r="J198">
        <f>IF(OR(J$4="",$A198&gt;TODAY()),0,IF(OR(INDEX($B198:$D198,J$5)="F",AND(J$6&gt;0,$A198&lt;J$6),AND(J$7&gt;0,$A198&gt;J$7)),0,MAX(0,ROUND((INDEX($E198:$G198,J$5)-SUMIFS(TF_Timer,TF_Tekniker,J$4,TF_Dato,$A198))*2,0)/2)))</f>
        <v/>
      </c>
      <c r="K198">
        <f>IF(OR(K$4="",$A198&gt;TODAY()),0,IF(OR(INDEX($B198:$D198,K$5)="F",AND(K$6&gt;0,$A198&lt;K$6),AND(K$7&gt;0,$A198&gt;K$7)),0,MAX(0,ROUND((INDEX($E198:$G198,K$5)-SUMIFS(TF_Timer,TF_Tekniker,K$4,TF_Dato,$A198))*2,0)/2)))</f>
        <v/>
      </c>
      <c r="L198">
        <f>IF(OR(L$4="",$A198&gt;TODAY()),0,IF(OR(INDEX($B198:$D198,L$5)="F",AND(L$6&gt;0,$A198&lt;L$6),AND(L$7&gt;0,$A198&gt;L$7)),0,MAX(0,ROUND((INDEX($E198:$G198,L$5)-SUMIFS(TF_Timer,TF_Tekniker,L$4,TF_Dato,$A198))*2,0)/2)))</f>
        <v/>
      </c>
      <c r="M198">
        <f>IF(OR(M$4="",$A198&gt;TODAY()),0,IF(OR(INDEX($B198:$D198,M$5)="F",AND(M$6&gt;0,$A198&lt;M$6),AND(M$7&gt;0,$A198&gt;M$7)),0,MAX(0,ROUND((INDEX($E198:$G198,M$5)-SUMIFS(TF_Timer,TF_Tekniker,M$4,TF_Dato,$A198))*2,0)/2)))</f>
        <v/>
      </c>
      <c r="N198">
        <f>IF(OR(N$4="",$A198&gt;TODAY()),0,IF(OR(INDEX($B198:$D198,N$5)="F",AND(N$6&gt;0,$A198&lt;N$6),AND(N$7&gt;0,$A198&gt;N$7)),0,MAX(0,ROUND((INDEX($E198:$G198,N$5)-SUMIFS(TF_Timer,TF_Tekniker,N$4,TF_Dato,$A198))*2,0)/2)))</f>
        <v/>
      </c>
      <c r="O198">
        <f>IF(OR(O$4="",$A198&gt;TODAY()),0,IF(OR(INDEX($B198:$D198,O$5)="F",AND(O$6&gt;0,$A198&lt;O$6),AND(O$7&gt;0,$A198&gt;O$7)),0,MAX(0,ROUND((INDEX($E198:$G198,O$5)-SUMIFS(TF_Timer,TF_Tekniker,O$4,TF_Dato,$A198))*2,0)/2)))</f>
        <v/>
      </c>
      <c r="P198">
        <f>IF(OR(P$4="",$A198&gt;TODAY()),0,IF(OR(INDEX($B198:$D198,P$5)="F",AND(P$6&gt;0,$A198&lt;P$6),AND(P$7&gt;0,$A198&gt;P$7)),0,MAX(0,ROUND((INDEX($E198:$G198,P$5)-SUMIFS(TF_Timer,TF_Tekniker,P$4,TF_Dato,$A198))*2,0)/2)))</f>
        <v/>
      </c>
      <c r="Q198">
        <f>IF(OR(Q$4="",$A198&gt;TODAY()),0,IF(OR(INDEX($B198:$D198,Q$5)="F",AND(Q$6&gt;0,$A198&lt;Q$6),AND(Q$7&gt;0,$A198&gt;Q$7)),0,MAX(0,ROUND((INDEX($E198:$G198,Q$5)-SUMIFS(TF_Timer,TF_Tekniker,Q$4,TF_Dato,$A198))*2,0)/2)))</f>
        <v/>
      </c>
      <c r="R198">
        <f>IF(OR(R$4="",$A198&gt;TODAY()),0,IF(OR(INDEX($B198:$D198,R$5)="F",AND(R$6&gt;0,$A198&lt;R$6),AND(R$7&gt;0,$A198&gt;R$7)),0,MAX(0,ROUND((INDEX($E198:$G198,R$5)-SUMIFS(TF_Timer,TF_Tekniker,R$4,TF_Dato,$A198))*2,0)/2)))</f>
        <v/>
      </c>
      <c r="S198">
        <f>IF(OR(S$4="",$A198&gt;TODAY()),0,IF(OR(INDEX($B198:$D198,S$5)="F",AND(S$6&gt;0,$A198&lt;S$6),AND(S$7&gt;0,$A198&gt;S$7)),0,MAX(0,ROUND((INDEX($E198:$G198,S$5)-SUMIFS(TF_Timer,TF_Tekniker,S$4,TF_Dato,$A198))*2,0)/2)))</f>
        <v/>
      </c>
      <c r="T198">
        <f>IF(OR(T$4="",$A198&gt;TODAY()),0,IF(OR(INDEX($B198:$D198,T$5)="F",AND(T$6&gt;0,$A198&lt;T$6),AND(T$7&gt;0,$A198&gt;T$7)),0,MAX(0,ROUND((INDEX($E198:$G198,T$5)-SUMIFS(TF_Timer,TF_Tekniker,T$4,TF_Dato,$A198))*2,0)/2)))</f>
        <v/>
      </c>
      <c r="U198">
        <f>IF(OR(U$4="",$A198&gt;TODAY()),0,IF(OR(INDEX($B198:$D198,U$5)="F",AND(U$6&gt;0,$A198&lt;U$6),AND(U$7&gt;0,$A198&gt;U$7)),0,MAX(0,ROUND((INDEX($E198:$G198,U$5)-SUMIFS(TF_Timer,TF_Tekniker,U$4,TF_Dato,$A198))*2,0)/2)))</f>
        <v/>
      </c>
      <c r="V198">
        <f>IF(OR(V$4="",$A198&gt;TODAY()),0,IF(OR(INDEX($B198:$D198,V$5)="F",AND(V$6&gt;0,$A198&lt;V$6),AND(V$7&gt;0,$A198&gt;V$7)),0,MAX(0,ROUND((INDEX($E198:$G198,V$5)-SUMIFS(TF_Timer,TF_Tekniker,V$4,TF_Dato,$A198))*2,0)/2)))</f>
        <v/>
      </c>
      <c r="W198">
        <f>IF(OR(W$4="",$A198&gt;TODAY()),0,IF(OR(INDEX($B198:$D198,W$5)="F",AND(W$6&gt;0,$A198&lt;W$6),AND(W$7&gt;0,$A198&gt;W$7)),0,MAX(0,ROUND((INDEX($E198:$G198,W$5)-SUMIFS(TF_Timer,TF_Tekniker,W$4,TF_Dato,$A198))*2,0)/2)))</f>
        <v/>
      </c>
      <c r="X198">
        <f>IF(OR(X$4="",$A198&gt;TODAY()),0,IF(OR(INDEX($B198:$D198,X$5)="F",AND(X$6&gt;0,$A198&lt;X$6),AND(X$7&gt;0,$A198&gt;X$7)),0,MAX(0,ROUND((INDEX($E198:$G198,X$5)-SUMIFS(TF_Timer,TF_Tekniker,X$4,TF_Dato,$A198))*2,0)/2)))</f>
        <v/>
      </c>
      <c r="Y198">
        <f>IF(OR(Y$4="",$A198&gt;TODAY()),0,IF(OR(INDEX($B198:$D198,Y$5)="F",AND(Y$6&gt;0,$A198&lt;Y$6),AND(Y$7&gt;0,$A198&gt;Y$7)),0,MAX(0,ROUND((INDEX($E198:$G198,Y$5)-SUMIFS(TF_Timer,TF_Tekniker,Y$4,TF_Dato,$A198))*2,0)/2)))</f>
        <v/>
      </c>
      <c r="Z198">
        <f>IF(OR(Z$4="",$A198&gt;TODAY()),0,IF(OR(INDEX($B198:$D198,Z$5)="F",AND(Z$6&gt;0,$A198&lt;Z$6),AND(Z$7&gt;0,$A198&gt;Z$7)),0,MAX(0,ROUND((INDEX($E198:$G198,Z$5)-SUMIFS(TF_Timer,TF_Tekniker,Z$4,TF_Dato,$A198))*2,0)/2)))</f>
        <v/>
      </c>
      <c r="AA198">
        <f>IF(OR(AA$4="",$A198&gt;TODAY()),0,IF(OR(INDEX($B198:$D198,AA$5)="F",AND(AA$6&gt;0,$A198&lt;AA$6),AND(AA$7&gt;0,$A198&gt;AA$7)),0,MAX(0,ROUND((INDEX($E198:$G198,AA$5)-SUMIFS(TF_Timer,TF_Tekniker,AA$4,TF_Dato,$A198))*2,0)/2)))</f>
        <v/>
      </c>
      <c r="AB198">
        <f>IF(OR(AB$4="",$A198&gt;TODAY()),0,IF(OR(INDEX($B198:$D198,AB$5)="F",AND(AB$6&gt;0,$A198&lt;AB$6),AND(AB$7&gt;0,$A198&gt;AB$7)),0,MAX(0,ROUND((INDEX($E198:$G198,AB$5)-SUMIFS(TF_Timer,TF_Tekniker,AB$4,TF_Dato,$A198))*2,0)/2)))</f>
        <v/>
      </c>
      <c r="AC198">
        <f>IF(OR(AC$4="",$A198&gt;TODAY()),0,IF(OR(INDEX($B198:$D198,AC$5)="F",AND(AC$6&gt;0,$A198&lt;AC$6),AND(AC$7&gt;0,$A198&gt;AC$7)),0,MAX(0,ROUND((INDEX($E198:$G198,AC$5)-SUMIFS(TF_Timer,TF_Tekniker,AC$4,TF_Dato,$A198))*2,0)/2)))</f>
        <v/>
      </c>
      <c r="AD198">
        <f>IF(OR(AD$4="",$A198&gt;TODAY()),0,IF(OR(INDEX($B198:$D198,AD$5)="F",AND(AD$6&gt;0,$A198&lt;AD$6),AND(AD$7&gt;0,$A198&gt;AD$7)),0,MAX(0,ROUND((INDEX($E198:$G198,AD$5)-SUMIFS(TF_Timer,TF_Tekniker,AD$4,TF_Dato,$A198))*2,0)/2)))</f>
        <v/>
      </c>
      <c r="AE198">
        <f>IF(OR(AE$4="",$A198&gt;TODAY()),0,IF(OR(INDEX($B198:$D198,AE$5)="F",AND(AE$6&gt;0,$A198&lt;AE$6),AND(AE$7&gt;0,$A198&gt;AE$7)),0,MAX(0,ROUND((INDEX($E198:$G198,AE$5)-SUMIFS(TF_Timer,TF_Tekniker,AE$4,TF_Dato,$A198))*2,0)/2)))</f>
        <v/>
      </c>
      <c r="AF198">
        <f>IF(OR(AF$4="",$A198&gt;TODAY()),0,IF(OR(INDEX($B198:$D198,AF$5)="F",AND(AF$6&gt;0,$A198&lt;AF$6),AND(AF$7&gt;0,$A198&gt;AF$7)),0,MAX(0,ROUND((INDEX($E198:$G198,AF$5)-SUMIFS(TF_Timer,TF_Tekniker,AF$4,TF_Dato,$A198))*2,0)/2)))</f>
        <v/>
      </c>
      <c r="AG198">
        <f>IF(OR(AG$4="",$A198&gt;TODAY()),0,IF(OR(INDEX($B198:$D198,AG$5)="F",AND(AG$6&gt;0,$A198&lt;AG$6),AND(AG$7&gt;0,$A198&gt;AG$7)),0,MAX(0,ROUND((INDEX($E198:$G198,AG$5)-SUMIFS(TF_Timer,TF_Tekniker,AG$4,TF_Dato,$A198))*2,0)/2)))</f>
        <v/>
      </c>
      <c r="AH198">
        <f>IF(OR(AH$4="",$A198&gt;TODAY()),0,IF(OR(INDEX($B198:$D198,AH$5)="F",AND(AH$6&gt;0,$A198&lt;AH$6),AND(AH$7&gt;0,$A198&gt;AH$7)),0,MAX(0,ROUND((INDEX($E198:$G198,AH$5)-SUMIFS(TF_Timer,TF_Tekniker,AH$4,TF_Dato,$A198))*2,0)/2)))</f>
        <v/>
      </c>
      <c r="AI198">
        <f>IF(OR(AI$4="",$A198&gt;TODAY()),0,IF(OR(INDEX($B198:$D198,AI$5)="F",AND(AI$6&gt;0,$A198&lt;AI$6),AND(AI$7&gt;0,$A198&gt;AI$7)),0,MAX(0,ROUND((INDEX($E198:$G198,AI$5)-SUMIFS(TF_Timer,TF_Tekniker,AI$4,TF_Dato,$A198))*2,0)/2)))</f>
        <v/>
      </c>
      <c r="AJ198">
        <f>IF(OR(AJ$4="",$A198&gt;TODAY()),0,IF(OR(INDEX($B198:$D198,AJ$5)="F",AND(AJ$6&gt;0,$A198&lt;AJ$6),AND(AJ$7&gt;0,$A198&gt;AJ$7)),0,MAX(0,ROUND((INDEX($E198:$G198,AJ$5)-SUMIFS(TF_Timer,TF_Tekniker,AJ$4,TF_Dato,$A198))*2,0)/2)))</f>
        <v/>
      </c>
      <c r="AK198">
        <f>IF(OR(AK$4="",$A198&gt;TODAY()),0,IF(OR(INDEX($B198:$D198,AK$5)="F",AND(AK$6&gt;0,$A198&lt;AK$6),AND(AK$7&gt;0,$A198&gt;AK$7)),0,MAX(0,ROUND((INDEX($E198:$G198,AK$5)-SUMIFS(TF_Timer,TF_Tekniker,AK$4,TF_Dato,$A198))*2,0)/2)))</f>
        <v/>
      </c>
      <c r="AL198">
        <f>IF(OR(AL$4="",$A198&gt;TODAY()),0,IF(OR(INDEX($B198:$D198,AL$5)="F",AND(AL$6&gt;0,$A198&lt;AL$6),AND(AL$7&gt;0,$A198&gt;AL$7)),0,MAX(0,ROUND((INDEX($E198:$G198,AL$5)-SUMIFS(TF_Timer,TF_Tekniker,AL$4,TF_Dato,$A198))*2,0)/2)))</f>
        <v/>
      </c>
      <c r="AM198">
        <f>IF(OR(AM$4="",$A198&gt;TODAY()),0,IF(OR(INDEX($B198:$D198,AM$5)="F",AND(AM$6&gt;0,$A198&lt;AM$6),AND(AM$7&gt;0,$A198&gt;AM$7)),0,MAX(0,ROUND((INDEX($E198:$G198,AM$5)-SUMIFS(TF_Timer,TF_Tekniker,AM$4,TF_Dato,$A198))*2,0)/2)))</f>
        <v/>
      </c>
      <c r="AN198">
        <f>IF(OR(AN$4="",$A198&gt;TODAY()),0,IF(OR(INDEX($B198:$D198,AN$5)="F",AND(AN$6&gt;0,$A198&lt;AN$6),AND(AN$7&gt;0,$A198&gt;AN$7)),0,MAX(0,ROUND((INDEX($E198:$G198,AN$5)-SUMIFS(TF_Timer,TF_Tekniker,AN$4,TF_Dato,$A198))*2,0)/2)))</f>
        <v/>
      </c>
      <c r="AO198">
        <f>IF(OR(AO$4="",$A198&gt;TODAY()),0,IF(OR(INDEX($B198:$D198,AO$5)="F",AND(AO$6&gt;0,$A198&lt;AO$6),AND(AO$7&gt;0,$A198&gt;AO$7)),0,MAX(0,ROUND((INDEX($E198:$G198,AO$5)-SUMIFS(TF_Timer,TF_Tekniker,AO$4,TF_Dato,$A198))*2,0)/2)))</f>
        <v/>
      </c>
      <c r="AP198">
        <f>IF(OR(AP$4="",$A198&gt;TODAY()),0,IF(OR(INDEX($B198:$D198,AP$5)="F",AND(AP$6&gt;0,$A198&lt;AP$6),AND(AP$7&gt;0,$A198&gt;AP$7)),0,MAX(0,ROUND((INDEX($E198:$G198,AP$5)-SUMIFS(TF_Timer,TF_Tekniker,AP$4,TF_Dato,$A198))*2,0)/2)))</f>
        <v/>
      </c>
      <c r="AQ198">
        <f>IF(OR(AQ$4="",$A198&gt;TODAY()),0,IF(OR(INDEX($B198:$D198,AQ$5)="F",AND(AQ$6&gt;0,$A198&lt;AQ$6),AND(AQ$7&gt;0,$A198&gt;AQ$7)),0,MAX(0,ROUND((INDEX($E198:$G198,AQ$5)-SUMIFS(TF_Timer,TF_Tekniker,AQ$4,TF_Dato,$A198))*2,0)/2)))</f>
        <v/>
      </c>
      <c r="AR198">
        <f>IF(OR(AR$4="",$A198&gt;TODAY()),0,IF(OR(INDEX($B198:$D198,AR$5)="F",AND(AR$6&gt;0,$A198&lt;AR$6),AND(AR$7&gt;0,$A198&gt;AR$7)),0,MAX(0,ROUND((INDEX($E198:$G198,AR$5)-SUMIFS(TF_Timer,TF_Tekniker,AR$4,TF_Dato,$A198))*2,0)/2)))</f>
        <v/>
      </c>
      <c r="AS198">
        <f>IF(OR(AS$4="",$A198&gt;TODAY()),0,IF(OR(INDEX($B198:$D198,AS$5)="F",AND(AS$6&gt;0,$A198&lt;AS$6),AND(AS$7&gt;0,$A198&gt;AS$7)),0,MAX(0,ROUND((INDEX($E198:$G198,AS$5)-SUMIFS(TF_Timer,TF_Tekniker,AS$4,TF_Dato,$A198))*2,0)/2)))</f>
        <v/>
      </c>
      <c r="AT198">
        <f>IF(OR(AT$4="",$A198&gt;TODAY()),0,IF(OR(INDEX($B198:$D198,AT$5)="F",AND(AT$6&gt;0,$A198&lt;AT$6),AND(AT$7&gt;0,$A198&gt;AT$7)),0,MAX(0,ROUND((INDEX($E198:$G198,AT$5)-SUMIFS(TF_Timer,TF_Tekniker,AT$4,TF_Dato,$A198))*2,0)/2)))</f>
        <v/>
      </c>
      <c r="AU198">
        <f>IF(OR(AU$4="",$A198&gt;TODAY()),0,IF(OR(INDEX($B198:$D198,AU$5)="F",AND(AU$6&gt;0,$A198&lt;AU$6),AND(AU$7&gt;0,$A198&gt;AU$7)),0,MAX(0,ROUND((INDEX($E198:$G198,AU$5)-SUMIFS(TF_Timer,TF_Tekniker,AU$4,TF_Dato,$A198))*2,0)/2)))</f>
        <v/>
      </c>
      <c r="AV198">
        <f>IF(OR(AV$4="",$A198&gt;TODAY()),0,IF(OR(INDEX($B198:$D198,AV$5)="F",AND(AV$6&gt;0,$A198&lt;AV$6),AND(AV$7&gt;0,$A198&gt;AV$7)),0,MAX(0,ROUND((INDEX($E198:$G198,AV$5)-SUMIFS(TF_Timer,TF_Tekniker,AV$4,TF_Dato,$A198))*2,0)/2)))</f>
        <v/>
      </c>
      <c r="AW198">
        <f>IF(OR(AW$4="",$A198&gt;TODAY()),0,IF(OR(INDEX($B198:$D198,AW$5)="F",AND(AW$6&gt;0,$A198&lt;AW$6),AND(AW$7&gt;0,$A198&gt;AW$7)),0,MAX(0,ROUND((INDEX($E198:$G198,AW$5)-SUMIFS(TF_Timer,TF_Tekniker,AW$4,TF_Dato,$A198))*2,0)/2)))</f>
        <v/>
      </c>
      <c r="AX198">
        <f>IF(OR(AX$4="",$A198&gt;TODAY()),0,IF(OR(INDEX($B198:$D198,AX$5)="F",AND(AX$6&gt;0,$A198&lt;AX$6),AND(AX$7&gt;0,$A198&gt;AX$7)),0,MAX(0,ROUND((INDEX($E198:$G198,AX$5)-SUMIFS(TF_Timer,TF_Tekniker,AX$4,TF_Dato,$A198))*2,0)/2)))</f>
        <v/>
      </c>
      <c r="AY198">
        <f>IF(OR(AY$4="",$A198&gt;TODAY()),0,IF(OR(INDEX($B198:$D198,AY$5)="F",AND(AY$6&gt;0,$A198&lt;AY$6),AND(AY$7&gt;0,$A198&gt;AY$7)),0,MAX(0,ROUND((INDEX($E198:$G198,AY$5)-SUMIFS(TF_Timer,TF_Tekniker,AY$4,TF_Dato,$A198))*2,0)/2)))</f>
        <v/>
      </c>
      <c r="AZ198">
        <f>IF(OR(AZ$4="",$A198&gt;TODAY()),0,IF(OR(INDEX($B198:$D198,AZ$5)="F",AND(AZ$6&gt;0,$A198&lt;AZ$6),AND(AZ$7&gt;0,$A198&gt;AZ$7)),0,MAX(0,ROUND((INDEX($E198:$G198,AZ$5)-SUMIFS(TF_Timer,TF_Tekniker,AZ$4,TF_Dato,$A198))*2,0)/2)))</f>
        <v/>
      </c>
      <c r="BA198">
        <f>IF(OR(BA$4="",$A198&gt;TODAY()),0,IF(OR(INDEX($B198:$D198,BA$5)="F",AND(BA$6&gt;0,$A198&lt;BA$6),AND(BA$7&gt;0,$A198&gt;BA$7)),0,MAX(0,ROUND((INDEX($E198:$G198,BA$5)-SUMIFS(TF_Timer,TF_Tekniker,BA$4,TF_Dato,$A198))*2,0)/2)))</f>
        <v/>
      </c>
      <c r="BB198">
        <f>IF(OR(BB$4="",$A198&gt;TODAY()),0,IF(OR(INDEX($B198:$D198,BB$5)="F",AND(BB$6&gt;0,$A198&lt;BB$6),AND(BB$7&gt;0,$A198&gt;BB$7)),0,MAX(0,ROUND((INDEX($E198:$G198,BB$5)-SUMIFS(TF_Timer,TF_Tekniker,BB$4,TF_Dato,$A198))*2,0)/2)))</f>
        <v/>
      </c>
      <c r="BC198">
        <f>IF(OR(BC$4="",$A198&gt;TODAY()),0,IF(OR(INDEX($B198:$D198,BC$5)="F",AND(BC$6&gt;0,$A198&lt;BC$6),AND(BC$7&gt;0,$A198&gt;BC$7)),0,MAX(0,ROUND((INDEX($E198:$G198,BC$5)-SUMIFS(TF_Timer,TF_Tekniker,BC$4,TF_Dato,$A198))*2,0)/2)))</f>
        <v/>
      </c>
      <c r="BD198">
        <f>IF(OR(BD$4="",$A198&gt;TODAY()),0,IF(OR(INDEX($B198:$D198,BD$5)="F",AND(BD$6&gt;0,$A198&lt;BD$6),AND(BD$7&gt;0,$A198&gt;BD$7)),0,MAX(0,ROUND((INDEX($E198:$G198,BD$5)-SUMIFS(TF_Timer,TF_Tekniker,BD$4,TF_Dato,$A198))*2,0)/2)))</f>
        <v/>
      </c>
      <c r="BE198">
        <f>IF(OR(BE$4="",$A198&gt;TODAY()),0,IF(OR(INDEX($B198:$D198,BE$5)="F",AND(BE$6&gt;0,$A198&lt;BE$6),AND(BE$7&gt;0,$A198&gt;BE$7)),0,MAX(0,ROUND((INDEX($E198:$G198,BE$5)-SUMIFS(TF_Timer,TF_Tekniker,BE$4,TF_Dato,$A198))*2,0)/2)))</f>
        <v/>
      </c>
      <c r="BF198">
        <f>IF(OR(BF$4="",$A198&gt;TODAY()),0,IF(OR(INDEX($B198:$D198,BF$5)="F",AND(BF$6&gt;0,$A198&lt;BF$6),AND(BF$7&gt;0,$A198&gt;BF$7)),0,MAX(0,ROUND((INDEX($E198:$G198,BF$5)-SUMIFS(TF_Timer,TF_Tekniker,BF$4,TF_Dato,$A198))*2,0)/2)))</f>
        <v/>
      </c>
      <c r="BG198">
        <f>IF(OR(BG$4="",$A198&gt;TODAY()),0,IF(OR(INDEX($B198:$D198,BG$5)="F",AND(BG$6&gt;0,$A198&lt;BG$6),AND(BG$7&gt;0,$A198&gt;BG$7)),0,MAX(0,ROUND((INDEX($E198:$G198,BG$5)-SUMIFS(TF_Timer,TF_Tekniker,BG$4,TF_Dato,$A198))*2,0)/2)))</f>
        <v/>
      </c>
      <c r="BH198">
        <f>IF(OR(BH$4="",$A198&gt;TODAY()),0,IF(OR(INDEX($B198:$D198,BH$5)="F",AND(BH$6&gt;0,$A198&lt;BH$6),AND(BH$7&gt;0,$A198&gt;BH$7)),0,MAX(0,ROUND((INDEX($E198:$G198,BH$5)-SUMIFS(TF_Timer,TF_Tekniker,BH$4,TF_Dato,$A198))*2,0)/2)))</f>
        <v/>
      </c>
      <c r="BI198">
        <f>IF(OR(BI$4="",$A198&gt;TODAY()),0,IF(OR(INDEX($B198:$D198,BI$5)="F",AND(BI$6&gt;0,$A198&lt;BI$6),AND(BI$7&gt;0,$A198&gt;BI$7)),0,MAX(0,ROUND((INDEX($E198:$G198,BI$5)-SUMIFS(TF_Timer,TF_Tekniker,BI$4,TF_Dato,$A198))*2,0)/2)))</f>
        <v/>
      </c>
    </row>
    <row r="199">
      <c r="A199" s="64">
        <f>A198+1</f>
        <v/>
      </c>
      <c r="B199">
        <f>IF(MOD($A199-INDEX(SkiftStart,1),Syklus)&lt;DagK,"K",IF(MOD($A199-INDEX(SkiftStart,1),Syklus)&lt;DagK+DagH,"H",IF(MOD($A199-INDEX(SkiftStart,1),Syklus)&lt;DagK+DagH+DagD,"D","F")))</f>
        <v/>
      </c>
      <c r="C199">
        <f>IF(MOD($A199-INDEX(SkiftStart,2),Syklus)&lt;DagK,"K",IF(MOD($A199-INDEX(SkiftStart,2),Syklus)&lt;DagK+DagH,"H",IF(MOD($A199-INDEX(SkiftStart,2),Syklus)&lt;DagK+DagH+DagD,"D","F")))</f>
        <v/>
      </c>
      <c r="D199">
        <f>IF(MOD($A199-INDEX(SkiftStart,3),Syklus)&lt;DagK,"K",IF(MOD($A199-INDEX(SkiftStart,3),Syklus)&lt;DagK+DagH,"H",IF(MOD($A199-INDEX(SkiftStart,3),Syklus)&lt;DagK+DagH+DagD,"D","F")))</f>
        <v/>
      </c>
      <c r="E199">
        <f>IF(B199="F",0,IF(WEEKDAY($A199,2)=5,INDEX(TimerFr,MATCH(B199,FaseKode,0)),INDEX(TimerMT,MATCH(B199,FaseKode,0))))</f>
        <v/>
      </c>
      <c r="F199">
        <f>IF(C199="F",0,IF(WEEKDAY($A199,2)=5,INDEX(TimerFr,MATCH(C199,FaseKode,0)),INDEX(TimerMT,MATCH(C199,FaseKode,0))))</f>
        <v/>
      </c>
      <c r="G199">
        <f>IF(D199="F",0,IF(WEEKDAY($A199,2)=5,INDEX(TimerFr,MATCH(D199,FaseKode,0)),INDEX(TimerMT,MATCH(D199,FaseKode,0))))</f>
        <v/>
      </c>
      <c r="H199">
        <f>IF(OR(H$4="",$A199&gt;TODAY()),0,IF(OR(INDEX($B199:$D199,H$5)="F",AND(H$6&gt;0,$A199&lt;H$6),AND(H$7&gt;0,$A199&gt;H$7)),0,MAX(0,ROUND((INDEX($E199:$G199,H$5)-SUMIFS(TF_Timer,TF_Tekniker,H$4,TF_Dato,$A199))*2,0)/2)))</f>
        <v/>
      </c>
      <c r="I199">
        <f>IF(OR(I$4="",$A199&gt;TODAY()),0,IF(OR(INDEX($B199:$D199,I$5)="F",AND(I$6&gt;0,$A199&lt;I$6),AND(I$7&gt;0,$A199&gt;I$7)),0,MAX(0,ROUND((INDEX($E199:$G199,I$5)-SUMIFS(TF_Timer,TF_Tekniker,I$4,TF_Dato,$A199))*2,0)/2)))</f>
        <v/>
      </c>
      <c r="J199">
        <f>IF(OR(J$4="",$A199&gt;TODAY()),0,IF(OR(INDEX($B199:$D199,J$5)="F",AND(J$6&gt;0,$A199&lt;J$6),AND(J$7&gt;0,$A199&gt;J$7)),0,MAX(0,ROUND((INDEX($E199:$G199,J$5)-SUMIFS(TF_Timer,TF_Tekniker,J$4,TF_Dato,$A199))*2,0)/2)))</f>
        <v/>
      </c>
      <c r="K199">
        <f>IF(OR(K$4="",$A199&gt;TODAY()),0,IF(OR(INDEX($B199:$D199,K$5)="F",AND(K$6&gt;0,$A199&lt;K$6),AND(K$7&gt;0,$A199&gt;K$7)),0,MAX(0,ROUND((INDEX($E199:$G199,K$5)-SUMIFS(TF_Timer,TF_Tekniker,K$4,TF_Dato,$A199))*2,0)/2)))</f>
        <v/>
      </c>
      <c r="L199">
        <f>IF(OR(L$4="",$A199&gt;TODAY()),0,IF(OR(INDEX($B199:$D199,L$5)="F",AND(L$6&gt;0,$A199&lt;L$6),AND(L$7&gt;0,$A199&gt;L$7)),0,MAX(0,ROUND((INDEX($E199:$G199,L$5)-SUMIFS(TF_Timer,TF_Tekniker,L$4,TF_Dato,$A199))*2,0)/2)))</f>
        <v/>
      </c>
      <c r="M199">
        <f>IF(OR(M$4="",$A199&gt;TODAY()),0,IF(OR(INDEX($B199:$D199,M$5)="F",AND(M$6&gt;0,$A199&lt;M$6),AND(M$7&gt;0,$A199&gt;M$7)),0,MAX(0,ROUND((INDEX($E199:$G199,M$5)-SUMIFS(TF_Timer,TF_Tekniker,M$4,TF_Dato,$A199))*2,0)/2)))</f>
        <v/>
      </c>
      <c r="N199">
        <f>IF(OR(N$4="",$A199&gt;TODAY()),0,IF(OR(INDEX($B199:$D199,N$5)="F",AND(N$6&gt;0,$A199&lt;N$6),AND(N$7&gt;0,$A199&gt;N$7)),0,MAX(0,ROUND((INDEX($E199:$G199,N$5)-SUMIFS(TF_Timer,TF_Tekniker,N$4,TF_Dato,$A199))*2,0)/2)))</f>
        <v/>
      </c>
      <c r="O199">
        <f>IF(OR(O$4="",$A199&gt;TODAY()),0,IF(OR(INDEX($B199:$D199,O$5)="F",AND(O$6&gt;0,$A199&lt;O$6),AND(O$7&gt;0,$A199&gt;O$7)),0,MAX(0,ROUND((INDEX($E199:$G199,O$5)-SUMIFS(TF_Timer,TF_Tekniker,O$4,TF_Dato,$A199))*2,0)/2)))</f>
        <v/>
      </c>
      <c r="P199">
        <f>IF(OR(P$4="",$A199&gt;TODAY()),0,IF(OR(INDEX($B199:$D199,P$5)="F",AND(P$6&gt;0,$A199&lt;P$6),AND(P$7&gt;0,$A199&gt;P$7)),0,MAX(0,ROUND((INDEX($E199:$G199,P$5)-SUMIFS(TF_Timer,TF_Tekniker,P$4,TF_Dato,$A199))*2,0)/2)))</f>
        <v/>
      </c>
      <c r="Q199">
        <f>IF(OR(Q$4="",$A199&gt;TODAY()),0,IF(OR(INDEX($B199:$D199,Q$5)="F",AND(Q$6&gt;0,$A199&lt;Q$6),AND(Q$7&gt;0,$A199&gt;Q$7)),0,MAX(0,ROUND((INDEX($E199:$G199,Q$5)-SUMIFS(TF_Timer,TF_Tekniker,Q$4,TF_Dato,$A199))*2,0)/2)))</f>
        <v/>
      </c>
      <c r="R199">
        <f>IF(OR(R$4="",$A199&gt;TODAY()),0,IF(OR(INDEX($B199:$D199,R$5)="F",AND(R$6&gt;0,$A199&lt;R$6),AND(R$7&gt;0,$A199&gt;R$7)),0,MAX(0,ROUND((INDEX($E199:$G199,R$5)-SUMIFS(TF_Timer,TF_Tekniker,R$4,TF_Dato,$A199))*2,0)/2)))</f>
        <v/>
      </c>
      <c r="S199">
        <f>IF(OR(S$4="",$A199&gt;TODAY()),0,IF(OR(INDEX($B199:$D199,S$5)="F",AND(S$6&gt;0,$A199&lt;S$6),AND(S$7&gt;0,$A199&gt;S$7)),0,MAX(0,ROUND((INDEX($E199:$G199,S$5)-SUMIFS(TF_Timer,TF_Tekniker,S$4,TF_Dato,$A199))*2,0)/2)))</f>
        <v/>
      </c>
      <c r="T199">
        <f>IF(OR(T$4="",$A199&gt;TODAY()),0,IF(OR(INDEX($B199:$D199,T$5)="F",AND(T$6&gt;0,$A199&lt;T$6),AND(T$7&gt;0,$A199&gt;T$7)),0,MAX(0,ROUND((INDEX($E199:$G199,T$5)-SUMIFS(TF_Timer,TF_Tekniker,T$4,TF_Dato,$A199))*2,0)/2)))</f>
        <v/>
      </c>
      <c r="U199">
        <f>IF(OR(U$4="",$A199&gt;TODAY()),0,IF(OR(INDEX($B199:$D199,U$5)="F",AND(U$6&gt;0,$A199&lt;U$6),AND(U$7&gt;0,$A199&gt;U$7)),0,MAX(0,ROUND((INDEX($E199:$G199,U$5)-SUMIFS(TF_Timer,TF_Tekniker,U$4,TF_Dato,$A199))*2,0)/2)))</f>
        <v/>
      </c>
      <c r="V199">
        <f>IF(OR(V$4="",$A199&gt;TODAY()),0,IF(OR(INDEX($B199:$D199,V$5)="F",AND(V$6&gt;0,$A199&lt;V$6),AND(V$7&gt;0,$A199&gt;V$7)),0,MAX(0,ROUND((INDEX($E199:$G199,V$5)-SUMIFS(TF_Timer,TF_Tekniker,V$4,TF_Dato,$A199))*2,0)/2)))</f>
        <v/>
      </c>
      <c r="W199">
        <f>IF(OR(W$4="",$A199&gt;TODAY()),0,IF(OR(INDEX($B199:$D199,W$5)="F",AND(W$6&gt;0,$A199&lt;W$6),AND(W$7&gt;0,$A199&gt;W$7)),0,MAX(0,ROUND((INDEX($E199:$G199,W$5)-SUMIFS(TF_Timer,TF_Tekniker,W$4,TF_Dato,$A199))*2,0)/2)))</f>
        <v/>
      </c>
      <c r="X199">
        <f>IF(OR(X$4="",$A199&gt;TODAY()),0,IF(OR(INDEX($B199:$D199,X$5)="F",AND(X$6&gt;0,$A199&lt;X$6),AND(X$7&gt;0,$A199&gt;X$7)),0,MAX(0,ROUND((INDEX($E199:$G199,X$5)-SUMIFS(TF_Timer,TF_Tekniker,X$4,TF_Dato,$A199))*2,0)/2)))</f>
        <v/>
      </c>
      <c r="Y199">
        <f>IF(OR(Y$4="",$A199&gt;TODAY()),0,IF(OR(INDEX($B199:$D199,Y$5)="F",AND(Y$6&gt;0,$A199&lt;Y$6),AND(Y$7&gt;0,$A199&gt;Y$7)),0,MAX(0,ROUND((INDEX($E199:$G199,Y$5)-SUMIFS(TF_Timer,TF_Tekniker,Y$4,TF_Dato,$A199))*2,0)/2)))</f>
        <v/>
      </c>
      <c r="Z199">
        <f>IF(OR(Z$4="",$A199&gt;TODAY()),0,IF(OR(INDEX($B199:$D199,Z$5)="F",AND(Z$6&gt;0,$A199&lt;Z$6),AND(Z$7&gt;0,$A199&gt;Z$7)),0,MAX(0,ROUND((INDEX($E199:$G199,Z$5)-SUMIFS(TF_Timer,TF_Tekniker,Z$4,TF_Dato,$A199))*2,0)/2)))</f>
        <v/>
      </c>
      <c r="AA199">
        <f>IF(OR(AA$4="",$A199&gt;TODAY()),0,IF(OR(INDEX($B199:$D199,AA$5)="F",AND(AA$6&gt;0,$A199&lt;AA$6),AND(AA$7&gt;0,$A199&gt;AA$7)),0,MAX(0,ROUND((INDEX($E199:$G199,AA$5)-SUMIFS(TF_Timer,TF_Tekniker,AA$4,TF_Dato,$A199))*2,0)/2)))</f>
        <v/>
      </c>
      <c r="AB199">
        <f>IF(OR(AB$4="",$A199&gt;TODAY()),0,IF(OR(INDEX($B199:$D199,AB$5)="F",AND(AB$6&gt;0,$A199&lt;AB$6),AND(AB$7&gt;0,$A199&gt;AB$7)),0,MAX(0,ROUND((INDEX($E199:$G199,AB$5)-SUMIFS(TF_Timer,TF_Tekniker,AB$4,TF_Dato,$A199))*2,0)/2)))</f>
        <v/>
      </c>
      <c r="AC199">
        <f>IF(OR(AC$4="",$A199&gt;TODAY()),0,IF(OR(INDEX($B199:$D199,AC$5)="F",AND(AC$6&gt;0,$A199&lt;AC$6),AND(AC$7&gt;0,$A199&gt;AC$7)),0,MAX(0,ROUND((INDEX($E199:$G199,AC$5)-SUMIFS(TF_Timer,TF_Tekniker,AC$4,TF_Dato,$A199))*2,0)/2)))</f>
        <v/>
      </c>
      <c r="AD199">
        <f>IF(OR(AD$4="",$A199&gt;TODAY()),0,IF(OR(INDEX($B199:$D199,AD$5)="F",AND(AD$6&gt;0,$A199&lt;AD$6),AND(AD$7&gt;0,$A199&gt;AD$7)),0,MAX(0,ROUND((INDEX($E199:$G199,AD$5)-SUMIFS(TF_Timer,TF_Tekniker,AD$4,TF_Dato,$A199))*2,0)/2)))</f>
        <v/>
      </c>
      <c r="AE199">
        <f>IF(OR(AE$4="",$A199&gt;TODAY()),0,IF(OR(INDEX($B199:$D199,AE$5)="F",AND(AE$6&gt;0,$A199&lt;AE$6),AND(AE$7&gt;0,$A199&gt;AE$7)),0,MAX(0,ROUND((INDEX($E199:$G199,AE$5)-SUMIFS(TF_Timer,TF_Tekniker,AE$4,TF_Dato,$A199))*2,0)/2)))</f>
        <v/>
      </c>
      <c r="AF199">
        <f>IF(OR(AF$4="",$A199&gt;TODAY()),0,IF(OR(INDEX($B199:$D199,AF$5)="F",AND(AF$6&gt;0,$A199&lt;AF$6),AND(AF$7&gt;0,$A199&gt;AF$7)),0,MAX(0,ROUND((INDEX($E199:$G199,AF$5)-SUMIFS(TF_Timer,TF_Tekniker,AF$4,TF_Dato,$A199))*2,0)/2)))</f>
        <v/>
      </c>
      <c r="AG199">
        <f>IF(OR(AG$4="",$A199&gt;TODAY()),0,IF(OR(INDEX($B199:$D199,AG$5)="F",AND(AG$6&gt;0,$A199&lt;AG$6),AND(AG$7&gt;0,$A199&gt;AG$7)),0,MAX(0,ROUND((INDEX($E199:$G199,AG$5)-SUMIFS(TF_Timer,TF_Tekniker,AG$4,TF_Dato,$A199))*2,0)/2)))</f>
        <v/>
      </c>
      <c r="AH199">
        <f>IF(OR(AH$4="",$A199&gt;TODAY()),0,IF(OR(INDEX($B199:$D199,AH$5)="F",AND(AH$6&gt;0,$A199&lt;AH$6),AND(AH$7&gt;0,$A199&gt;AH$7)),0,MAX(0,ROUND((INDEX($E199:$G199,AH$5)-SUMIFS(TF_Timer,TF_Tekniker,AH$4,TF_Dato,$A199))*2,0)/2)))</f>
        <v/>
      </c>
      <c r="AI199">
        <f>IF(OR(AI$4="",$A199&gt;TODAY()),0,IF(OR(INDEX($B199:$D199,AI$5)="F",AND(AI$6&gt;0,$A199&lt;AI$6),AND(AI$7&gt;0,$A199&gt;AI$7)),0,MAX(0,ROUND((INDEX($E199:$G199,AI$5)-SUMIFS(TF_Timer,TF_Tekniker,AI$4,TF_Dato,$A199))*2,0)/2)))</f>
        <v/>
      </c>
      <c r="AJ199">
        <f>IF(OR(AJ$4="",$A199&gt;TODAY()),0,IF(OR(INDEX($B199:$D199,AJ$5)="F",AND(AJ$6&gt;0,$A199&lt;AJ$6),AND(AJ$7&gt;0,$A199&gt;AJ$7)),0,MAX(0,ROUND((INDEX($E199:$G199,AJ$5)-SUMIFS(TF_Timer,TF_Tekniker,AJ$4,TF_Dato,$A199))*2,0)/2)))</f>
        <v/>
      </c>
      <c r="AK199">
        <f>IF(OR(AK$4="",$A199&gt;TODAY()),0,IF(OR(INDEX($B199:$D199,AK$5)="F",AND(AK$6&gt;0,$A199&lt;AK$6),AND(AK$7&gt;0,$A199&gt;AK$7)),0,MAX(0,ROUND((INDEX($E199:$G199,AK$5)-SUMIFS(TF_Timer,TF_Tekniker,AK$4,TF_Dato,$A199))*2,0)/2)))</f>
        <v/>
      </c>
      <c r="AL199">
        <f>IF(OR(AL$4="",$A199&gt;TODAY()),0,IF(OR(INDEX($B199:$D199,AL$5)="F",AND(AL$6&gt;0,$A199&lt;AL$6),AND(AL$7&gt;0,$A199&gt;AL$7)),0,MAX(0,ROUND((INDEX($E199:$G199,AL$5)-SUMIFS(TF_Timer,TF_Tekniker,AL$4,TF_Dato,$A199))*2,0)/2)))</f>
        <v/>
      </c>
      <c r="AM199">
        <f>IF(OR(AM$4="",$A199&gt;TODAY()),0,IF(OR(INDEX($B199:$D199,AM$5)="F",AND(AM$6&gt;0,$A199&lt;AM$6),AND(AM$7&gt;0,$A199&gt;AM$7)),0,MAX(0,ROUND((INDEX($E199:$G199,AM$5)-SUMIFS(TF_Timer,TF_Tekniker,AM$4,TF_Dato,$A199))*2,0)/2)))</f>
        <v/>
      </c>
      <c r="AN199">
        <f>IF(OR(AN$4="",$A199&gt;TODAY()),0,IF(OR(INDEX($B199:$D199,AN$5)="F",AND(AN$6&gt;0,$A199&lt;AN$6),AND(AN$7&gt;0,$A199&gt;AN$7)),0,MAX(0,ROUND((INDEX($E199:$G199,AN$5)-SUMIFS(TF_Timer,TF_Tekniker,AN$4,TF_Dato,$A199))*2,0)/2)))</f>
        <v/>
      </c>
      <c r="AO199">
        <f>IF(OR(AO$4="",$A199&gt;TODAY()),0,IF(OR(INDEX($B199:$D199,AO$5)="F",AND(AO$6&gt;0,$A199&lt;AO$6),AND(AO$7&gt;0,$A199&gt;AO$7)),0,MAX(0,ROUND((INDEX($E199:$G199,AO$5)-SUMIFS(TF_Timer,TF_Tekniker,AO$4,TF_Dato,$A199))*2,0)/2)))</f>
        <v/>
      </c>
      <c r="AP199">
        <f>IF(OR(AP$4="",$A199&gt;TODAY()),0,IF(OR(INDEX($B199:$D199,AP$5)="F",AND(AP$6&gt;0,$A199&lt;AP$6),AND(AP$7&gt;0,$A199&gt;AP$7)),0,MAX(0,ROUND((INDEX($E199:$G199,AP$5)-SUMIFS(TF_Timer,TF_Tekniker,AP$4,TF_Dato,$A199))*2,0)/2)))</f>
        <v/>
      </c>
      <c r="AQ199">
        <f>IF(OR(AQ$4="",$A199&gt;TODAY()),0,IF(OR(INDEX($B199:$D199,AQ$5)="F",AND(AQ$6&gt;0,$A199&lt;AQ$6),AND(AQ$7&gt;0,$A199&gt;AQ$7)),0,MAX(0,ROUND((INDEX($E199:$G199,AQ$5)-SUMIFS(TF_Timer,TF_Tekniker,AQ$4,TF_Dato,$A199))*2,0)/2)))</f>
        <v/>
      </c>
      <c r="AR199">
        <f>IF(OR(AR$4="",$A199&gt;TODAY()),0,IF(OR(INDEX($B199:$D199,AR$5)="F",AND(AR$6&gt;0,$A199&lt;AR$6),AND(AR$7&gt;0,$A199&gt;AR$7)),0,MAX(0,ROUND((INDEX($E199:$G199,AR$5)-SUMIFS(TF_Timer,TF_Tekniker,AR$4,TF_Dato,$A199))*2,0)/2)))</f>
        <v/>
      </c>
      <c r="AS199">
        <f>IF(OR(AS$4="",$A199&gt;TODAY()),0,IF(OR(INDEX($B199:$D199,AS$5)="F",AND(AS$6&gt;0,$A199&lt;AS$6),AND(AS$7&gt;0,$A199&gt;AS$7)),0,MAX(0,ROUND((INDEX($E199:$G199,AS$5)-SUMIFS(TF_Timer,TF_Tekniker,AS$4,TF_Dato,$A199))*2,0)/2)))</f>
        <v/>
      </c>
      <c r="AT199">
        <f>IF(OR(AT$4="",$A199&gt;TODAY()),0,IF(OR(INDEX($B199:$D199,AT$5)="F",AND(AT$6&gt;0,$A199&lt;AT$6),AND(AT$7&gt;0,$A199&gt;AT$7)),0,MAX(0,ROUND((INDEX($E199:$G199,AT$5)-SUMIFS(TF_Timer,TF_Tekniker,AT$4,TF_Dato,$A199))*2,0)/2)))</f>
        <v/>
      </c>
      <c r="AU199">
        <f>IF(OR(AU$4="",$A199&gt;TODAY()),0,IF(OR(INDEX($B199:$D199,AU$5)="F",AND(AU$6&gt;0,$A199&lt;AU$6),AND(AU$7&gt;0,$A199&gt;AU$7)),0,MAX(0,ROUND((INDEX($E199:$G199,AU$5)-SUMIFS(TF_Timer,TF_Tekniker,AU$4,TF_Dato,$A199))*2,0)/2)))</f>
        <v/>
      </c>
      <c r="AV199">
        <f>IF(OR(AV$4="",$A199&gt;TODAY()),0,IF(OR(INDEX($B199:$D199,AV$5)="F",AND(AV$6&gt;0,$A199&lt;AV$6),AND(AV$7&gt;0,$A199&gt;AV$7)),0,MAX(0,ROUND((INDEX($E199:$G199,AV$5)-SUMIFS(TF_Timer,TF_Tekniker,AV$4,TF_Dato,$A199))*2,0)/2)))</f>
        <v/>
      </c>
      <c r="AW199">
        <f>IF(OR(AW$4="",$A199&gt;TODAY()),0,IF(OR(INDEX($B199:$D199,AW$5)="F",AND(AW$6&gt;0,$A199&lt;AW$6),AND(AW$7&gt;0,$A199&gt;AW$7)),0,MAX(0,ROUND((INDEX($E199:$G199,AW$5)-SUMIFS(TF_Timer,TF_Tekniker,AW$4,TF_Dato,$A199))*2,0)/2)))</f>
        <v/>
      </c>
      <c r="AX199">
        <f>IF(OR(AX$4="",$A199&gt;TODAY()),0,IF(OR(INDEX($B199:$D199,AX$5)="F",AND(AX$6&gt;0,$A199&lt;AX$6),AND(AX$7&gt;0,$A199&gt;AX$7)),0,MAX(0,ROUND((INDEX($E199:$G199,AX$5)-SUMIFS(TF_Timer,TF_Tekniker,AX$4,TF_Dato,$A199))*2,0)/2)))</f>
        <v/>
      </c>
      <c r="AY199">
        <f>IF(OR(AY$4="",$A199&gt;TODAY()),0,IF(OR(INDEX($B199:$D199,AY$5)="F",AND(AY$6&gt;0,$A199&lt;AY$6),AND(AY$7&gt;0,$A199&gt;AY$7)),0,MAX(0,ROUND((INDEX($E199:$G199,AY$5)-SUMIFS(TF_Timer,TF_Tekniker,AY$4,TF_Dato,$A199))*2,0)/2)))</f>
        <v/>
      </c>
      <c r="AZ199">
        <f>IF(OR(AZ$4="",$A199&gt;TODAY()),0,IF(OR(INDEX($B199:$D199,AZ$5)="F",AND(AZ$6&gt;0,$A199&lt;AZ$6),AND(AZ$7&gt;0,$A199&gt;AZ$7)),0,MAX(0,ROUND((INDEX($E199:$G199,AZ$5)-SUMIFS(TF_Timer,TF_Tekniker,AZ$4,TF_Dato,$A199))*2,0)/2)))</f>
        <v/>
      </c>
      <c r="BA199">
        <f>IF(OR(BA$4="",$A199&gt;TODAY()),0,IF(OR(INDEX($B199:$D199,BA$5)="F",AND(BA$6&gt;0,$A199&lt;BA$6),AND(BA$7&gt;0,$A199&gt;BA$7)),0,MAX(0,ROUND((INDEX($E199:$G199,BA$5)-SUMIFS(TF_Timer,TF_Tekniker,BA$4,TF_Dato,$A199))*2,0)/2)))</f>
        <v/>
      </c>
      <c r="BB199">
        <f>IF(OR(BB$4="",$A199&gt;TODAY()),0,IF(OR(INDEX($B199:$D199,BB$5)="F",AND(BB$6&gt;0,$A199&lt;BB$6),AND(BB$7&gt;0,$A199&gt;BB$7)),0,MAX(0,ROUND((INDEX($E199:$G199,BB$5)-SUMIFS(TF_Timer,TF_Tekniker,BB$4,TF_Dato,$A199))*2,0)/2)))</f>
        <v/>
      </c>
      <c r="BC199">
        <f>IF(OR(BC$4="",$A199&gt;TODAY()),0,IF(OR(INDEX($B199:$D199,BC$5)="F",AND(BC$6&gt;0,$A199&lt;BC$6),AND(BC$7&gt;0,$A199&gt;BC$7)),0,MAX(0,ROUND((INDEX($E199:$G199,BC$5)-SUMIFS(TF_Timer,TF_Tekniker,BC$4,TF_Dato,$A199))*2,0)/2)))</f>
        <v/>
      </c>
      <c r="BD199">
        <f>IF(OR(BD$4="",$A199&gt;TODAY()),0,IF(OR(INDEX($B199:$D199,BD$5)="F",AND(BD$6&gt;0,$A199&lt;BD$6),AND(BD$7&gt;0,$A199&gt;BD$7)),0,MAX(0,ROUND((INDEX($E199:$G199,BD$5)-SUMIFS(TF_Timer,TF_Tekniker,BD$4,TF_Dato,$A199))*2,0)/2)))</f>
        <v/>
      </c>
      <c r="BE199">
        <f>IF(OR(BE$4="",$A199&gt;TODAY()),0,IF(OR(INDEX($B199:$D199,BE$5)="F",AND(BE$6&gt;0,$A199&lt;BE$6),AND(BE$7&gt;0,$A199&gt;BE$7)),0,MAX(0,ROUND((INDEX($E199:$G199,BE$5)-SUMIFS(TF_Timer,TF_Tekniker,BE$4,TF_Dato,$A199))*2,0)/2)))</f>
        <v/>
      </c>
      <c r="BF199">
        <f>IF(OR(BF$4="",$A199&gt;TODAY()),0,IF(OR(INDEX($B199:$D199,BF$5)="F",AND(BF$6&gt;0,$A199&lt;BF$6),AND(BF$7&gt;0,$A199&gt;BF$7)),0,MAX(0,ROUND((INDEX($E199:$G199,BF$5)-SUMIFS(TF_Timer,TF_Tekniker,BF$4,TF_Dato,$A199))*2,0)/2)))</f>
        <v/>
      </c>
      <c r="BG199">
        <f>IF(OR(BG$4="",$A199&gt;TODAY()),0,IF(OR(INDEX($B199:$D199,BG$5)="F",AND(BG$6&gt;0,$A199&lt;BG$6),AND(BG$7&gt;0,$A199&gt;BG$7)),0,MAX(0,ROUND((INDEX($E199:$G199,BG$5)-SUMIFS(TF_Timer,TF_Tekniker,BG$4,TF_Dato,$A199))*2,0)/2)))</f>
        <v/>
      </c>
      <c r="BH199">
        <f>IF(OR(BH$4="",$A199&gt;TODAY()),0,IF(OR(INDEX($B199:$D199,BH$5)="F",AND(BH$6&gt;0,$A199&lt;BH$6),AND(BH$7&gt;0,$A199&gt;BH$7)),0,MAX(0,ROUND((INDEX($E199:$G199,BH$5)-SUMIFS(TF_Timer,TF_Tekniker,BH$4,TF_Dato,$A199))*2,0)/2)))</f>
        <v/>
      </c>
      <c r="BI199">
        <f>IF(OR(BI$4="",$A199&gt;TODAY()),0,IF(OR(INDEX($B199:$D199,BI$5)="F",AND(BI$6&gt;0,$A199&lt;BI$6),AND(BI$7&gt;0,$A199&gt;BI$7)),0,MAX(0,ROUND((INDEX($E199:$G199,BI$5)-SUMIFS(TF_Timer,TF_Tekniker,BI$4,TF_Dato,$A199))*2,0)/2)))</f>
        <v/>
      </c>
    </row>
    <row r="200">
      <c r="A200" s="64">
        <f>A199+1</f>
        <v/>
      </c>
      <c r="B200">
        <f>IF(MOD($A200-INDEX(SkiftStart,1),Syklus)&lt;DagK,"K",IF(MOD($A200-INDEX(SkiftStart,1),Syklus)&lt;DagK+DagH,"H",IF(MOD($A200-INDEX(SkiftStart,1),Syklus)&lt;DagK+DagH+DagD,"D","F")))</f>
        <v/>
      </c>
      <c r="C200">
        <f>IF(MOD($A200-INDEX(SkiftStart,2),Syklus)&lt;DagK,"K",IF(MOD($A200-INDEX(SkiftStart,2),Syklus)&lt;DagK+DagH,"H",IF(MOD($A200-INDEX(SkiftStart,2),Syklus)&lt;DagK+DagH+DagD,"D","F")))</f>
        <v/>
      </c>
      <c r="D200">
        <f>IF(MOD($A200-INDEX(SkiftStart,3),Syklus)&lt;DagK,"K",IF(MOD($A200-INDEX(SkiftStart,3),Syklus)&lt;DagK+DagH,"H",IF(MOD($A200-INDEX(SkiftStart,3),Syklus)&lt;DagK+DagH+DagD,"D","F")))</f>
        <v/>
      </c>
      <c r="E200">
        <f>IF(B200="F",0,IF(WEEKDAY($A200,2)=5,INDEX(TimerFr,MATCH(B200,FaseKode,0)),INDEX(TimerMT,MATCH(B200,FaseKode,0))))</f>
        <v/>
      </c>
      <c r="F200">
        <f>IF(C200="F",0,IF(WEEKDAY($A200,2)=5,INDEX(TimerFr,MATCH(C200,FaseKode,0)),INDEX(TimerMT,MATCH(C200,FaseKode,0))))</f>
        <v/>
      </c>
      <c r="G200">
        <f>IF(D200="F",0,IF(WEEKDAY($A200,2)=5,INDEX(TimerFr,MATCH(D200,FaseKode,0)),INDEX(TimerMT,MATCH(D200,FaseKode,0))))</f>
        <v/>
      </c>
      <c r="H200">
        <f>IF(OR(H$4="",$A200&gt;TODAY()),0,IF(OR(INDEX($B200:$D200,H$5)="F",AND(H$6&gt;0,$A200&lt;H$6),AND(H$7&gt;0,$A200&gt;H$7)),0,MAX(0,ROUND((INDEX($E200:$G200,H$5)-SUMIFS(TF_Timer,TF_Tekniker,H$4,TF_Dato,$A200))*2,0)/2)))</f>
        <v/>
      </c>
      <c r="I200">
        <f>IF(OR(I$4="",$A200&gt;TODAY()),0,IF(OR(INDEX($B200:$D200,I$5)="F",AND(I$6&gt;0,$A200&lt;I$6),AND(I$7&gt;0,$A200&gt;I$7)),0,MAX(0,ROUND((INDEX($E200:$G200,I$5)-SUMIFS(TF_Timer,TF_Tekniker,I$4,TF_Dato,$A200))*2,0)/2)))</f>
        <v/>
      </c>
      <c r="J200">
        <f>IF(OR(J$4="",$A200&gt;TODAY()),0,IF(OR(INDEX($B200:$D200,J$5)="F",AND(J$6&gt;0,$A200&lt;J$6),AND(J$7&gt;0,$A200&gt;J$7)),0,MAX(0,ROUND((INDEX($E200:$G200,J$5)-SUMIFS(TF_Timer,TF_Tekniker,J$4,TF_Dato,$A200))*2,0)/2)))</f>
        <v/>
      </c>
      <c r="K200">
        <f>IF(OR(K$4="",$A200&gt;TODAY()),0,IF(OR(INDEX($B200:$D200,K$5)="F",AND(K$6&gt;0,$A200&lt;K$6),AND(K$7&gt;0,$A200&gt;K$7)),0,MAX(0,ROUND((INDEX($E200:$G200,K$5)-SUMIFS(TF_Timer,TF_Tekniker,K$4,TF_Dato,$A200))*2,0)/2)))</f>
        <v/>
      </c>
      <c r="L200">
        <f>IF(OR(L$4="",$A200&gt;TODAY()),0,IF(OR(INDEX($B200:$D200,L$5)="F",AND(L$6&gt;0,$A200&lt;L$6),AND(L$7&gt;0,$A200&gt;L$7)),0,MAX(0,ROUND((INDEX($E200:$G200,L$5)-SUMIFS(TF_Timer,TF_Tekniker,L$4,TF_Dato,$A200))*2,0)/2)))</f>
        <v/>
      </c>
      <c r="M200">
        <f>IF(OR(M$4="",$A200&gt;TODAY()),0,IF(OR(INDEX($B200:$D200,M$5)="F",AND(M$6&gt;0,$A200&lt;M$6),AND(M$7&gt;0,$A200&gt;M$7)),0,MAX(0,ROUND((INDEX($E200:$G200,M$5)-SUMIFS(TF_Timer,TF_Tekniker,M$4,TF_Dato,$A200))*2,0)/2)))</f>
        <v/>
      </c>
      <c r="N200">
        <f>IF(OR(N$4="",$A200&gt;TODAY()),0,IF(OR(INDEX($B200:$D200,N$5)="F",AND(N$6&gt;0,$A200&lt;N$6),AND(N$7&gt;0,$A200&gt;N$7)),0,MAX(0,ROUND((INDEX($E200:$G200,N$5)-SUMIFS(TF_Timer,TF_Tekniker,N$4,TF_Dato,$A200))*2,0)/2)))</f>
        <v/>
      </c>
      <c r="O200">
        <f>IF(OR(O$4="",$A200&gt;TODAY()),0,IF(OR(INDEX($B200:$D200,O$5)="F",AND(O$6&gt;0,$A200&lt;O$6),AND(O$7&gt;0,$A200&gt;O$7)),0,MAX(0,ROUND((INDEX($E200:$G200,O$5)-SUMIFS(TF_Timer,TF_Tekniker,O$4,TF_Dato,$A200))*2,0)/2)))</f>
        <v/>
      </c>
      <c r="P200">
        <f>IF(OR(P$4="",$A200&gt;TODAY()),0,IF(OR(INDEX($B200:$D200,P$5)="F",AND(P$6&gt;0,$A200&lt;P$6),AND(P$7&gt;0,$A200&gt;P$7)),0,MAX(0,ROUND((INDEX($E200:$G200,P$5)-SUMIFS(TF_Timer,TF_Tekniker,P$4,TF_Dato,$A200))*2,0)/2)))</f>
        <v/>
      </c>
      <c r="Q200">
        <f>IF(OR(Q$4="",$A200&gt;TODAY()),0,IF(OR(INDEX($B200:$D200,Q$5)="F",AND(Q$6&gt;0,$A200&lt;Q$6),AND(Q$7&gt;0,$A200&gt;Q$7)),0,MAX(0,ROUND((INDEX($E200:$G200,Q$5)-SUMIFS(TF_Timer,TF_Tekniker,Q$4,TF_Dato,$A200))*2,0)/2)))</f>
        <v/>
      </c>
      <c r="R200">
        <f>IF(OR(R$4="",$A200&gt;TODAY()),0,IF(OR(INDEX($B200:$D200,R$5)="F",AND(R$6&gt;0,$A200&lt;R$6),AND(R$7&gt;0,$A200&gt;R$7)),0,MAX(0,ROUND((INDEX($E200:$G200,R$5)-SUMIFS(TF_Timer,TF_Tekniker,R$4,TF_Dato,$A200))*2,0)/2)))</f>
        <v/>
      </c>
      <c r="S200">
        <f>IF(OR(S$4="",$A200&gt;TODAY()),0,IF(OR(INDEX($B200:$D200,S$5)="F",AND(S$6&gt;0,$A200&lt;S$6),AND(S$7&gt;0,$A200&gt;S$7)),0,MAX(0,ROUND((INDEX($E200:$G200,S$5)-SUMIFS(TF_Timer,TF_Tekniker,S$4,TF_Dato,$A200))*2,0)/2)))</f>
        <v/>
      </c>
      <c r="T200">
        <f>IF(OR(T$4="",$A200&gt;TODAY()),0,IF(OR(INDEX($B200:$D200,T$5)="F",AND(T$6&gt;0,$A200&lt;T$6),AND(T$7&gt;0,$A200&gt;T$7)),0,MAX(0,ROUND((INDEX($E200:$G200,T$5)-SUMIFS(TF_Timer,TF_Tekniker,T$4,TF_Dato,$A200))*2,0)/2)))</f>
        <v/>
      </c>
      <c r="U200">
        <f>IF(OR(U$4="",$A200&gt;TODAY()),0,IF(OR(INDEX($B200:$D200,U$5)="F",AND(U$6&gt;0,$A200&lt;U$6),AND(U$7&gt;0,$A200&gt;U$7)),0,MAX(0,ROUND((INDEX($E200:$G200,U$5)-SUMIFS(TF_Timer,TF_Tekniker,U$4,TF_Dato,$A200))*2,0)/2)))</f>
        <v/>
      </c>
      <c r="V200">
        <f>IF(OR(V$4="",$A200&gt;TODAY()),0,IF(OR(INDEX($B200:$D200,V$5)="F",AND(V$6&gt;0,$A200&lt;V$6),AND(V$7&gt;0,$A200&gt;V$7)),0,MAX(0,ROUND((INDEX($E200:$G200,V$5)-SUMIFS(TF_Timer,TF_Tekniker,V$4,TF_Dato,$A200))*2,0)/2)))</f>
        <v/>
      </c>
      <c r="W200">
        <f>IF(OR(W$4="",$A200&gt;TODAY()),0,IF(OR(INDEX($B200:$D200,W$5)="F",AND(W$6&gt;0,$A200&lt;W$6),AND(W$7&gt;0,$A200&gt;W$7)),0,MAX(0,ROUND((INDEX($E200:$G200,W$5)-SUMIFS(TF_Timer,TF_Tekniker,W$4,TF_Dato,$A200))*2,0)/2)))</f>
        <v/>
      </c>
      <c r="X200">
        <f>IF(OR(X$4="",$A200&gt;TODAY()),0,IF(OR(INDEX($B200:$D200,X$5)="F",AND(X$6&gt;0,$A200&lt;X$6),AND(X$7&gt;0,$A200&gt;X$7)),0,MAX(0,ROUND((INDEX($E200:$G200,X$5)-SUMIFS(TF_Timer,TF_Tekniker,X$4,TF_Dato,$A200))*2,0)/2)))</f>
        <v/>
      </c>
      <c r="Y200">
        <f>IF(OR(Y$4="",$A200&gt;TODAY()),0,IF(OR(INDEX($B200:$D200,Y$5)="F",AND(Y$6&gt;0,$A200&lt;Y$6),AND(Y$7&gt;0,$A200&gt;Y$7)),0,MAX(0,ROUND((INDEX($E200:$G200,Y$5)-SUMIFS(TF_Timer,TF_Tekniker,Y$4,TF_Dato,$A200))*2,0)/2)))</f>
        <v/>
      </c>
      <c r="Z200">
        <f>IF(OR(Z$4="",$A200&gt;TODAY()),0,IF(OR(INDEX($B200:$D200,Z$5)="F",AND(Z$6&gt;0,$A200&lt;Z$6),AND(Z$7&gt;0,$A200&gt;Z$7)),0,MAX(0,ROUND((INDEX($E200:$G200,Z$5)-SUMIFS(TF_Timer,TF_Tekniker,Z$4,TF_Dato,$A200))*2,0)/2)))</f>
        <v/>
      </c>
      <c r="AA200">
        <f>IF(OR(AA$4="",$A200&gt;TODAY()),0,IF(OR(INDEX($B200:$D200,AA$5)="F",AND(AA$6&gt;0,$A200&lt;AA$6),AND(AA$7&gt;0,$A200&gt;AA$7)),0,MAX(0,ROUND((INDEX($E200:$G200,AA$5)-SUMIFS(TF_Timer,TF_Tekniker,AA$4,TF_Dato,$A200))*2,0)/2)))</f>
        <v/>
      </c>
      <c r="AB200">
        <f>IF(OR(AB$4="",$A200&gt;TODAY()),0,IF(OR(INDEX($B200:$D200,AB$5)="F",AND(AB$6&gt;0,$A200&lt;AB$6),AND(AB$7&gt;0,$A200&gt;AB$7)),0,MAX(0,ROUND((INDEX($E200:$G200,AB$5)-SUMIFS(TF_Timer,TF_Tekniker,AB$4,TF_Dato,$A200))*2,0)/2)))</f>
        <v/>
      </c>
      <c r="AC200">
        <f>IF(OR(AC$4="",$A200&gt;TODAY()),0,IF(OR(INDEX($B200:$D200,AC$5)="F",AND(AC$6&gt;0,$A200&lt;AC$6),AND(AC$7&gt;0,$A200&gt;AC$7)),0,MAX(0,ROUND((INDEX($E200:$G200,AC$5)-SUMIFS(TF_Timer,TF_Tekniker,AC$4,TF_Dato,$A200))*2,0)/2)))</f>
        <v/>
      </c>
      <c r="AD200">
        <f>IF(OR(AD$4="",$A200&gt;TODAY()),0,IF(OR(INDEX($B200:$D200,AD$5)="F",AND(AD$6&gt;0,$A200&lt;AD$6),AND(AD$7&gt;0,$A200&gt;AD$7)),0,MAX(0,ROUND((INDEX($E200:$G200,AD$5)-SUMIFS(TF_Timer,TF_Tekniker,AD$4,TF_Dato,$A200))*2,0)/2)))</f>
        <v/>
      </c>
      <c r="AE200">
        <f>IF(OR(AE$4="",$A200&gt;TODAY()),0,IF(OR(INDEX($B200:$D200,AE$5)="F",AND(AE$6&gt;0,$A200&lt;AE$6),AND(AE$7&gt;0,$A200&gt;AE$7)),0,MAX(0,ROUND((INDEX($E200:$G200,AE$5)-SUMIFS(TF_Timer,TF_Tekniker,AE$4,TF_Dato,$A200))*2,0)/2)))</f>
        <v/>
      </c>
      <c r="AF200">
        <f>IF(OR(AF$4="",$A200&gt;TODAY()),0,IF(OR(INDEX($B200:$D200,AF$5)="F",AND(AF$6&gt;0,$A200&lt;AF$6),AND(AF$7&gt;0,$A200&gt;AF$7)),0,MAX(0,ROUND((INDEX($E200:$G200,AF$5)-SUMIFS(TF_Timer,TF_Tekniker,AF$4,TF_Dato,$A200))*2,0)/2)))</f>
        <v/>
      </c>
      <c r="AG200">
        <f>IF(OR(AG$4="",$A200&gt;TODAY()),0,IF(OR(INDEX($B200:$D200,AG$5)="F",AND(AG$6&gt;0,$A200&lt;AG$6),AND(AG$7&gt;0,$A200&gt;AG$7)),0,MAX(0,ROUND((INDEX($E200:$G200,AG$5)-SUMIFS(TF_Timer,TF_Tekniker,AG$4,TF_Dato,$A200))*2,0)/2)))</f>
        <v/>
      </c>
      <c r="AH200">
        <f>IF(OR(AH$4="",$A200&gt;TODAY()),0,IF(OR(INDEX($B200:$D200,AH$5)="F",AND(AH$6&gt;0,$A200&lt;AH$6),AND(AH$7&gt;0,$A200&gt;AH$7)),0,MAX(0,ROUND((INDEX($E200:$G200,AH$5)-SUMIFS(TF_Timer,TF_Tekniker,AH$4,TF_Dato,$A200))*2,0)/2)))</f>
        <v/>
      </c>
      <c r="AI200">
        <f>IF(OR(AI$4="",$A200&gt;TODAY()),0,IF(OR(INDEX($B200:$D200,AI$5)="F",AND(AI$6&gt;0,$A200&lt;AI$6),AND(AI$7&gt;0,$A200&gt;AI$7)),0,MAX(0,ROUND((INDEX($E200:$G200,AI$5)-SUMIFS(TF_Timer,TF_Tekniker,AI$4,TF_Dato,$A200))*2,0)/2)))</f>
        <v/>
      </c>
      <c r="AJ200">
        <f>IF(OR(AJ$4="",$A200&gt;TODAY()),0,IF(OR(INDEX($B200:$D200,AJ$5)="F",AND(AJ$6&gt;0,$A200&lt;AJ$6),AND(AJ$7&gt;0,$A200&gt;AJ$7)),0,MAX(0,ROUND((INDEX($E200:$G200,AJ$5)-SUMIFS(TF_Timer,TF_Tekniker,AJ$4,TF_Dato,$A200))*2,0)/2)))</f>
        <v/>
      </c>
      <c r="AK200">
        <f>IF(OR(AK$4="",$A200&gt;TODAY()),0,IF(OR(INDEX($B200:$D200,AK$5)="F",AND(AK$6&gt;0,$A200&lt;AK$6),AND(AK$7&gt;0,$A200&gt;AK$7)),0,MAX(0,ROUND((INDEX($E200:$G200,AK$5)-SUMIFS(TF_Timer,TF_Tekniker,AK$4,TF_Dato,$A200))*2,0)/2)))</f>
        <v/>
      </c>
      <c r="AL200">
        <f>IF(OR(AL$4="",$A200&gt;TODAY()),0,IF(OR(INDEX($B200:$D200,AL$5)="F",AND(AL$6&gt;0,$A200&lt;AL$6),AND(AL$7&gt;0,$A200&gt;AL$7)),0,MAX(0,ROUND((INDEX($E200:$G200,AL$5)-SUMIFS(TF_Timer,TF_Tekniker,AL$4,TF_Dato,$A200))*2,0)/2)))</f>
        <v/>
      </c>
      <c r="AM200">
        <f>IF(OR(AM$4="",$A200&gt;TODAY()),0,IF(OR(INDEX($B200:$D200,AM$5)="F",AND(AM$6&gt;0,$A200&lt;AM$6),AND(AM$7&gt;0,$A200&gt;AM$7)),0,MAX(0,ROUND((INDEX($E200:$G200,AM$5)-SUMIFS(TF_Timer,TF_Tekniker,AM$4,TF_Dato,$A200))*2,0)/2)))</f>
        <v/>
      </c>
      <c r="AN200">
        <f>IF(OR(AN$4="",$A200&gt;TODAY()),0,IF(OR(INDEX($B200:$D200,AN$5)="F",AND(AN$6&gt;0,$A200&lt;AN$6),AND(AN$7&gt;0,$A200&gt;AN$7)),0,MAX(0,ROUND((INDEX($E200:$G200,AN$5)-SUMIFS(TF_Timer,TF_Tekniker,AN$4,TF_Dato,$A200))*2,0)/2)))</f>
        <v/>
      </c>
      <c r="AO200">
        <f>IF(OR(AO$4="",$A200&gt;TODAY()),0,IF(OR(INDEX($B200:$D200,AO$5)="F",AND(AO$6&gt;0,$A200&lt;AO$6),AND(AO$7&gt;0,$A200&gt;AO$7)),0,MAX(0,ROUND((INDEX($E200:$G200,AO$5)-SUMIFS(TF_Timer,TF_Tekniker,AO$4,TF_Dato,$A200))*2,0)/2)))</f>
        <v/>
      </c>
      <c r="AP200">
        <f>IF(OR(AP$4="",$A200&gt;TODAY()),0,IF(OR(INDEX($B200:$D200,AP$5)="F",AND(AP$6&gt;0,$A200&lt;AP$6),AND(AP$7&gt;0,$A200&gt;AP$7)),0,MAX(0,ROUND((INDEX($E200:$G200,AP$5)-SUMIFS(TF_Timer,TF_Tekniker,AP$4,TF_Dato,$A200))*2,0)/2)))</f>
        <v/>
      </c>
      <c r="AQ200">
        <f>IF(OR(AQ$4="",$A200&gt;TODAY()),0,IF(OR(INDEX($B200:$D200,AQ$5)="F",AND(AQ$6&gt;0,$A200&lt;AQ$6),AND(AQ$7&gt;0,$A200&gt;AQ$7)),0,MAX(0,ROUND((INDEX($E200:$G200,AQ$5)-SUMIFS(TF_Timer,TF_Tekniker,AQ$4,TF_Dato,$A200))*2,0)/2)))</f>
        <v/>
      </c>
      <c r="AR200">
        <f>IF(OR(AR$4="",$A200&gt;TODAY()),0,IF(OR(INDEX($B200:$D200,AR$5)="F",AND(AR$6&gt;0,$A200&lt;AR$6),AND(AR$7&gt;0,$A200&gt;AR$7)),0,MAX(0,ROUND((INDEX($E200:$G200,AR$5)-SUMIFS(TF_Timer,TF_Tekniker,AR$4,TF_Dato,$A200))*2,0)/2)))</f>
        <v/>
      </c>
      <c r="AS200">
        <f>IF(OR(AS$4="",$A200&gt;TODAY()),0,IF(OR(INDEX($B200:$D200,AS$5)="F",AND(AS$6&gt;0,$A200&lt;AS$6),AND(AS$7&gt;0,$A200&gt;AS$7)),0,MAX(0,ROUND((INDEX($E200:$G200,AS$5)-SUMIFS(TF_Timer,TF_Tekniker,AS$4,TF_Dato,$A200))*2,0)/2)))</f>
        <v/>
      </c>
      <c r="AT200">
        <f>IF(OR(AT$4="",$A200&gt;TODAY()),0,IF(OR(INDEX($B200:$D200,AT$5)="F",AND(AT$6&gt;0,$A200&lt;AT$6),AND(AT$7&gt;0,$A200&gt;AT$7)),0,MAX(0,ROUND((INDEX($E200:$G200,AT$5)-SUMIFS(TF_Timer,TF_Tekniker,AT$4,TF_Dato,$A200))*2,0)/2)))</f>
        <v/>
      </c>
      <c r="AU200">
        <f>IF(OR(AU$4="",$A200&gt;TODAY()),0,IF(OR(INDEX($B200:$D200,AU$5)="F",AND(AU$6&gt;0,$A200&lt;AU$6),AND(AU$7&gt;0,$A200&gt;AU$7)),0,MAX(0,ROUND((INDEX($E200:$G200,AU$5)-SUMIFS(TF_Timer,TF_Tekniker,AU$4,TF_Dato,$A200))*2,0)/2)))</f>
        <v/>
      </c>
      <c r="AV200">
        <f>IF(OR(AV$4="",$A200&gt;TODAY()),0,IF(OR(INDEX($B200:$D200,AV$5)="F",AND(AV$6&gt;0,$A200&lt;AV$6),AND(AV$7&gt;0,$A200&gt;AV$7)),0,MAX(0,ROUND((INDEX($E200:$G200,AV$5)-SUMIFS(TF_Timer,TF_Tekniker,AV$4,TF_Dato,$A200))*2,0)/2)))</f>
        <v/>
      </c>
      <c r="AW200">
        <f>IF(OR(AW$4="",$A200&gt;TODAY()),0,IF(OR(INDEX($B200:$D200,AW$5)="F",AND(AW$6&gt;0,$A200&lt;AW$6),AND(AW$7&gt;0,$A200&gt;AW$7)),0,MAX(0,ROUND((INDEX($E200:$G200,AW$5)-SUMIFS(TF_Timer,TF_Tekniker,AW$4,TF_Dato,$A200))*2,0)/2)))</f>
        <v/>
      </c>
      <c r="AX200">
        <f>IF(OR(AX$4="",$A200&gt;TODAY()),0,IF(OR(INDEX($B200:$D200,AX$5)="F",AND(AX$6&gt;0,$A200&lt;AX$6),AND(AX$7&gt;0,$A200&gt;AX$7)),0,MAX(0,ROUND((INDEX($E200:$G200,AX$5)-SUMIFS(TF_Timer,TF_Tekniker,AX$4,TF_Dato,$A200))*2,0)/2)))</f>
        <v/>
      </c>
      <c r="AY200">
        <f>IF(OR(AY$4="",$A200&gt;TODAY()),0,IF(OR(INDEX($B200:$D200,AY$5)="F",AND(AY$6&gt;0,$A200&lt;AY$6),AND(AY$7&gt;0,$A200&gt;AY$7)),0,MAX(0,ROUND((INDEX($E200:$G200,AY$5)-SUMIFS(TF_Timer,TF_Tekniker,AY$4,TF_Dato,$A200))*2,0)/2)))</f>
        <v/>
      </c>
      <c r="AZ200">
        <f>IF(OR(AZ$4="",$A200&gt;TODAY()),0,IF(OR(INDEX($B200:$D200,AZ$5)="F",AND(AZ$6&gt;0,$A200&lt;AZ$6),AND(AZ$7&gt;0,$A200&gt;AZ$7)),0,MAX(0,ROUND((INDEX($E200:$G200,AZ$5)-SUMIFS(TF_Timer,TF_Tekniker,AZ$4,TF_Dato,$A200))*2,0)/2)))</f>
        <v/>
      </c>
      <c r="BA200">
        <f>IF(OR(BA$4="",$A200&gt;TODAY()),0,IF(OR(INDEX($B200:$D200,BA$5)="F",AND(BA$6&gt;0,$A200&lt;BA$6),AND(BA$7&gt;0,$A200&gt;BA$7)),0,MAX(0,ROUND((INDEX($E200:$G200,BA$5)-SUMIFS(TF_Timer,TF_Tekniker,BA$4,TF_Dato,$A200))*2,0)/2)))</f>
        <v/>
      </c>
      <c r="BB200">
        <f>IF(OR(BB$4="",$A200&gt;TODAY()),0,IF(OR(INDEX($B200:$D200,BB$5)="F",AND(BB$6&gt;0,$A200&lt;BB$6),AND(BB$7&gt;0,$A200&gt;BB$7)),0,MAX(0,ROUND((INDEX($E200:$G200,BB$5)-SUMIFS(TF_Timer,TF_Tekniker,BB$4,TF_Dato,$A200))*2,0)/2)))</f>
        <v/>
      </c>
      <c r="BC200">
        <f>IF(OR(BC$4="",$A200&gt;TODAY()),0,IF(OR(INDEX($B200:$D200,BC$5)="F",AND(BC$6&gt;0,$A200&lt;BC$6),AND(BC$7&gt;0,$A200&gt;BC$7)),0,MAX(0,ROUND((INDEX($E200:$G200,BC$5)-SUMIFS(TF_Timer,TF_Tekniker,BC$4,TF_Dato,$A200))*2,0)/2)))</f>
        <v/>
      </c>
      <c r="BD200">
        <f>IF(OR(BD$4="",$A200&gt;TODAY()),0,IF(OR(INDEX($B200:$D200,BD$5)="F",AND(BD$6&gt;0,$A200&lt;BD$6),AND(BD$7&gt;0,$A200&gt;BD$7)),0,MAX(0,ROUND((INDEX($E200:$G200,BD$5)-SUMIFS(TF_Timer,TF_Tekniker,BD$4,TF_Dato,$A200))*2,0)/2)))</f>
        <v/>
      </c>
      <c r="BE200">
        <f>IF(OR(BE$4="",$A200&gt;TODAY()),0,IF(OR(INDEX($B200:$D200,BE$5)="F",AND(BE$6&gt;0,$A200&lt;BE$6),AND(BE$7&gt;0,$A200&gt;BE$7)),0,MAX(0,ROUND((INDEX($E200:$G200,BE$5)-SUMIFS(TF_Timer,TF_Tekniker,BE$4,TF_Dato,$A200))*2,0)/2)))</f>
        <v/>
      </c>
      <c r="BF200">
        <f>IF(OR(BF$4="",$A200&gt;TODAY()),0,IF(OR(INDEX($B200:$D200,BF$5)="F",AND(BF$6&gt;0,$A200&lt;BF$6),AND(BF$7&gt;0,$A200&gt;BF$7)),0,MAX(0,ROUND((INDEX($E200:$G200,BF$5)-SUMIFS(TF_Timer,TF_Tekniker,BF$4,TF_Dato,$A200))*2,0)/2)))</f>
        <v/>
      </c>
      <c r="BG200">
        <f>IF(OR(BG$4="",$A200&gt;TODAY()),0,IF(OR(INDEX($B200:$D200,BG$5)="F",AND(BG$6&gt;0,$A200&lt;BG$6),AND(BG$7&gt;0,$A200&gt;BG$7)),0,MAX(0,ROUND((INDEX($E200:$G200,BG$5)-SUMIFS(TF_Timer,TF_Tekniker,BG$4,TF_Dato,$A200))*2,0)/2)))</f>
        <v/>
      </c>
      <c r="BH200">
        <f>IF(OR(BH$4="",$A200&gt;TODAY()),0,IF(OR(INDEX($B200:$D200,BH$5)="F",AND(BH$6&gt;0,$A200&lt;BH$6),AND(BH$7&gt;0,$A200&gt;BH$7)),0,MAX(0,ROUND((INDEX($E200:$G200,BH$5)-SUMIFS(TF_Timer,TF_Tekniker,BH$4,TF_Dato,$A200))*2,0)/2)))</f>
        <v/>
      </c>
      <c r="BI200">
        <f>IF(OR(BI$4="",$A200&gt;TODAY()),0,IF(OR(INDEX($B200:$D200,BI$5)="F",AND(BI$6&gt;0,$A200&lt;BI$6),AND(BI$7&gt;0,$A200&gt;BI$7)),0,MAX(0,ROUND((INDEX($E200:$G200,BI$5)-SUMIFS(TF_Timer,TF_Tekniker,BI$4,TF_Dato,$A200))*2,0)/2)))</f>
        <v/>
      </c>
    </row>
    <row r="201">
      <c r="A201" s="64">
        <f>A200+1</f>
        <v/>
      </c>
      <c r="B201">
        <f>IF(MOD($A201-INDEX(SkiftStart,1),Syklus)&lt;DagK,"K",IF(MOD($A201-INDEX(SkiftStart,1),Syklus)&lt;DagK+DagH,"H",IF(MOD($A201-INDEX(SkiftStart,1),Syklus)&lt;DagK+DagH+DagD,"D","F")))</f>
        <v/>
      </c>
      <c r="C201">
        <f>IF(MOD($A201-INDEX(SkiftStart,2),Syklus)&lt;DagK,"K",IF(MOD($A201-INDEX(SkiftStart,2),Syklus)&lt;DagK+DagH,"H",IF(MOD($A201-INDEX(SkiftStart,2),Syklus)&lt;DagK+DagH+DagD,"D","F")))</f>
        <v/>
      </c>
      <c r="D201">
        <f>IF(MOD($A201-INDEX(SkiftStart,3),Syklus)&lt;DagK,"K",IF(MOD($A201-INDEX(SkiftStart,3),Syklus)&lt;DagK+DagH,"H",IF(MOD($A201-INDEX(SkiftStart,3),Syklus)&lt;DagK+DagH+DagD,"D","F")))</f>
        <v/>
      </c>
      <c r="E201">
        <f>IF(B201="F",0,IF(WEEKDAY($A201,2)=5,INDEX(TimerFr,MATCH(B201,FaseKode,0)),INDEX(TimerMT,MATCH(B201,FaseKode,0))))</f>
        <v/>
      </c>
      <c r="F201">
        <f>IF(C201="F",0,IF(WEEKDAY($A201,2)=5,INDEX(TimerFr,MATCH(C201,FaseKode,0)),INDEX(TimerMT,MATCH(C201,FaseKode,0))))</f>
        <v/>
      </c>
      <c r="G201">
        <f>IF(D201="F",0,IF(WEEKDAY($A201,2)=5,INDEX(TimerFr,MATCH(D201,FaseKode,0)),INDEX(TimerMT,MATCH(D201,FaseKode,0))))</f>
        <v/>
      </c>
      <c r="H201">
        <f>IF(OR(H$4="",$A201&gt;TODAY()),0,IF(OR(INDEX($B201:$D201,H$5)="F",AND(H$6&gt;0,$A201&lt;H$6),AND(H$7&gt;0,$A201&gt;H$7)),0,MAX(0,ROUND((INDEX($E201:$G201,H$5)-SUMIFS(TF_Timer,TF_Tekniker,H$4,TF_Dato,$A201))*2,0)/2)))</f>
        <v/>
      </c>
      <c r="I201">
        <f>IF(OR(I$4="",$A201&gt;TODAY()),0,IF(OR(INDEX($B201:$D201,I$5)="F",AND(I$6&gt;0,$A201&lt;I$6),AND(I$7&gt;0,$A201&gt;I$7)),0,MAX(0,ROUND((INDEX($E201:$G201,I$5)-SUMIFS(TF_Timer,TF_Tekniker,I$4,TF_Dato,$A201))*2,0)/2)))</f>
        <v/>
      </c>
      <c r="J201">
        <f>IF(OR(J$4="",$A201&gt;TODAY()),0,IF(OR(INDEX($B201:$D201,J$5)="F",AND(J$6&gt;0,$A201&lt;J$6),AND(J$7&gt;0,$A201&gt;J$7)),0,MAX(0,ROUND((INDEX($E201:$G201,J$5)-SUMIFS(TF_Timer,TF_Tekniker,J$4,TF_Dato,$A201))*2,0)/2)))</f>
        <v/>
      </c>
      <c r="K201">
        <f>IF(OR(K$4="",$A201&gt;TODAY()),0,IF(OR(INDEX($B201:$D201,K$5)="F",AND(K$6&gt;0,$A201&lt;K$6),AND(K$7&gt;0,$A201&gt;K$7)),0,MAX(0,ROUND((INDEX($E201:$G201,K$5)-SUMIFS(TF_Timer,TF_Tekniker,K$4,TF_Dato,$A201))*2,0)/2)))</f>
        <v/>
      </c>
      <c r="L201">
        <f>IF(OR(L$4="",$A201&gt;TODAY()),0,IF(OR(INDEX($B201:$D201,L$5)="F",AND(L$6&gt;0,$A201&lt;L$6),AND(L$7&gt;0,$A201&gt;L$7)),0,MAX(0,ROUND((INDEX($E201:$G201,L$5)-SUMIFS(TF_Timer,TF_Tekniker,L$4,TF_Dato,$A201))*2,0)/2)))</f>
        <v/>
      </c>
      <c r="M201">
        <f>IF(OR(M$4="",$A201&gt;TODAY()),0,IF(OR(INDEX($B201:$D201,M$5)="F",AND(M$6&gt;0,$A201&lt;M$6),AND(M$7&gt;0,$A201&gt;M$7)),0,MAX(0,ROUND((INDEX($E201:$G201,M$5)-SUMIFS(TF_Timer,TF_Tekniker,M$4,TF_Dato,$A201))*2,0)/2)))</f>
        <v/>
      </c>
      <c r="N201">
        <f>IF(OR(N$4="",$A201&gt;TODAY()),0,IF(OR(INDEX($B201:$D201,N$5)="F",AND(N$6&gt;0,$A201&lt;N$6),AND(N$7&gt;0,$A201&gt;N$7)),0,MAX(0,ROUND((INDEX($E201:$G201,N$5)-SUMIFS(TF_Timer,TF_Tekniker,N$4,TF_Dato,$A201))*2,0)/2)))</f>
        <v/>
      </c>
      <c r="O201">
        <f>IF(OR(O$4="",$A201&gt;TODAY()),0,IF(OR(INDEX($B201:$D201,O$5)="F",AND(O$6&gt;0,$A201&lt;O$6),AND(O$7&gt;0,$A201&gt;O$7)),0,MAX(0,ROUND((INDEX($E201:$G201,O$5)-SUMIFS(TF_Timer,TF_Tekniker,O$4,TF_Dato,$A201))*2,0)/2)))</f>
        <v/>
      </c>
      <c r="P201">
        <f>IF(OR(P$4="",$A201&gt;TODAY()),0,IF(OR(INDEX($B201:$D201,P$5)="F",AND(P$6&gt;0,$A201&lt;P$6),AND(P$7&gt;0,$A201&gt;P$7)),0,MAX(0,ROUND((INDEX($E201:$G201,P$5)-SUMIFS(TF_Timer,TF_Tekniker,P$4,TF_Dato,$A201))*2,0)/2)))</f>
        <v/>
      </c>
      <c r="Q201">
        <f>IF(OR(Q$4="",$A201&gt;TODAY()),0,IF(OR(INDEX($B201:$D201,Q$5)="F",AND(Q$6&gt;0,$A201&lt;Q$6),AND(Q$7&gt;0,$A201&gt;Q$7)),0,MAX(0,ROUND((INDEX($E201:$G201,Q$5)-SUMIFS(TF_Timer,TF_Tekniker,Q$4,TF_Dato,$A201))*2,0)/2)))</f>
        <v/>
      </c>
      <c r="R201">
        <f>IF(OR(R$4="",$A201&gt;TODAY()),0,IF(OR(INDEX($B201:$D201,R$5)="F",AND(R$6&gt;0,$A201&lt;R$6),AND(R$7&gt;0,$A201&gt;R$7)),0,MAX(0,ROUND((INDEX($E201:$G201,R$5)-SUMIFS(TF_Timer,TF_Tekniker,R$4,TF_Dato,$A201))*2,0)/2)))</f>
        <v/>
      </c>
      <c r="S201">
        <f>IF(OR(S$4="",$A201&gt;TODAY()),0,IF(OR(INDEX($B201:$D201,S$5)="F",AND(S$6&gt;0,$A201&lt;S$6),AND(S$7&gt;0,$A201&gt;S$7)),0,MAX(0,ROUND((INDEX($E201:$G201,S$5)-SUMIFS(TF_Timer,TF_Tekniker,S$4,TF_Dato,$A201))*2,0)/2)))</f>
        <v/>
      </c>
      <c r="T201">
        <f>IF(OR(T$4="",$A201&gt;TODAY()),0,IF(OR(INDEX($B201:$D201,T$5)="F",AND(T$6&gt;0,$A201&lt;T$6),AND(T$7&gt;0,$A201&gt;T$7)),0,MAX(0,ROUND((INDEX($E201:$G201,T$5)-SUMIFS(TF_Timer,TF_Tekniker,T$4,TF_Dato,$A201))*2,0)/2)))</f>
        <v/>
      </c>
      <c r="U201">
        <f>IF(OR(U$4="",$A201&gt;TODAY()),0,IF(OR(INDEX($B201:$D201,U$5)="F",AND(U$6&gt;0,$A201&lt;U$6),AND(U$7&gt;0,$A201&gt;U$7)),0,MAX(0,ROUND((INDEX($E201:$G201,U$5)-SUMIFS(TF_Timer,TF_Tekniker,U$4,TF_Dato,$A201))*2,0)/2)))</f>
        <v/>
      </c>
      <c r="V201">
        <f>IF(OR(V$4="",$A201&gt;TODAY()),0,IF(OR(INDEX($B201:$D201,V$5)="F",AND(V$6&gt;0,$A201&lt;V$6),AND(V$7&gt;0,$A201&gt;V$7)),0,MAX(0,ROUND((INDEX($E201:$G201,V$5)-SUMIFS(TF_Timer,TF_Tekniker,V$4,TF_Dato,$A201))*2,0)/2)))</f>
        <v/>
      </c>
      <c r="W201">
        <f>IF(OR(W$4="",$A201&gt;TODAY()),0,IF(OR(INDEX($B201:$D201,W$5)="F",AND(W$6&gt;0,$A201&lt;W$6),AND(W$7&gt;0,$A201&gt;W$7)),0,MAX(0,ROUND((INDEX($E201:$G201,W$5)-SUMIFS(TF_Timer,TF_Tekniker,W$4,TF_Dato,$A201))*2,0)/2)))</f>
        <v/>
      </c>
      <c r="X201">
        <f>IF(OR(X$4="",$A201&gt;TODAY()),0,IF(OR(INDEX($B201:$D201,X$5)="F",AND(X$6&gt;0,$A201&lt;X$6),AND(X$7&gt;0,$A201&gt;X$7)),0,MAX(0,ROUND((INDEX($E201:$G201,X$5)-SUMIFS(TF_Timer,TF_Tekniker,X$4,TF_Dato,$A201))*2,0)/2)))</f>
        <v/>
      </c>
      <c r="Y201">
        <f>IF(OR(Y$4="",$A201&gt;TODAY()),0,IF(OR(INDEX($B201:$D201,Y$5)="F",AND(Y$6&gt;0,$A201&lt;Y$6),AND(Y$7&gt;0,$A201&gt;Y$7)),0,MAX(0,ROUND((INDEX($E201:$G201,Y$5)-SUMIFS(TF_Timer,TF_Tekniker,Y$4,TF_Dato,$A201))*2,0)/2)))</f>
        <v/>
      </c>
      <c r="Z201">
        <f>IF(OR(Z$4="",$A201&gt;TODAY()),0,IF(OR(INDEX($B201:$D201,Z$5)="F",AND(Z$6&gt;0,$A201&lt;Z$6),AND(Z$7&gt;0,$A201&gt;Z$7)),0,MAX(0,ROUND((INDEX($E201:$G201,Z$5)-SUMIFS(TF_Timer,TF_Tekniker,Z$4,TF_Dato,$A201))*2,0)/2)))</f>
        <v/>
      </c>
      <c r="AA201">
        <f>IF(OR(AA$4="",$A201&gt;TODAY()),0,IF(OR(INDEX($B201:$D201,AA$5)="F",AND(AA$6&gt;0,$A201&lt;AA$6),AND(AA$7&gt;0,$A201&gt;AA$7)),0,MAX(0,ROUND((INDEX($E201:$G201,AA$5)-SUMIFS(TF_Timer,TF_Tekniker,AA$4,TF_Dato,$A201))*2,0)/2)))</f>
        <v/>
      </c>
      <c r="AB201">
        <f>IF(OR(AB$4="",$A201&gt;TODAY()),0,IF(OR(INDEX($B201:$D201,AB$5)="F",AND(AB$6&gt;0,$A201&lt;AB$6),AND(AB$7&gt;0,$A201&gt;AB$7)),0,MAX(0,ROUND((INDEX($E201:$G201,AB$5)-SUMIFS(TF_Timer,TF_Tekniker,AB$4,TF_Dato,$A201))*2,0)/2)))</f>
        <v/>
      </c>
      <c r="AC201">
        <f>IF(OR(AC$4="",$A201&gt;TODAY()),0,IF(OR(INDEX($B201:$D201,AC$5)="F",AND(AC$6&gt;0,$A201&lt;AC$6),AND(AC$7&gt;0,$A201&gt;AC$7)),0,MAX(0,ROUND((INDEX($E201:$G201,AC$5)-SUMIFS(TF_Timer,TF_Tekniker,AC$4,TF_Dato,$A201))*2,0)/2)))</f>
        <v/>
      </c>
      <c r="AD201">
        <f>IF(OR(AD$4="",$A201&gt;TODAY()),0,IF(OR(INDEX($B201:$D201,AD$5)="F",AND(AD$6&gt;0,$A201&lt;AD$6),AND(AD$7&gt;0,$A201&gt;AD$7)),0,MAX(0,ROUND((INDEX($E201:$G201,AD$5)-SUMIFS(TF_Timer,TF_Tekniker,AD$4,TF_Dato,$A201))*2,0)/2)))</f>
        <v/>
      </c>
      <c r="AE201">
        <f>IF(OR(AE$4="",$A201&gt;TODAY()),0,IF(OR(INDEX($B201:$D201,AE$5)="F",AND(AE$6&gt;0,$A201&lt;AE$6),AND(AE$7&gt;0,$A201&gt;AE$7)),0,MAX(0,ROUND((INDEX($E201:$G201,AE$5)-SUMIFS(TF_Timer,TF_Tekniker,AE$4,TF_Dato,$A201))*2,0)/2)))</f>
        <v/>
      </c>
      <c r="AF201">
        <f>IF(OR(AF$4="",$A201&gt;TODAY()),0,IF(OR(INDEX($B201:$D201,AF$5)="F",AND(AF$6&gt;0,$A201&lt;AF$6),AND(AF$7&gt;0,$A201&gt;AF$7)),0,MAX(0,ROUND((INDEX($E201:$G201,AF$5)-SUMIFS(TF_Timer,TF_Tekniker,AF$4,TF_Dato,$A201))*2,0)/2)))</f>
        <v/>
      </c>
      <c r="AG201">
        <f>IF(OR(AG$4="",$A201&gt;TODAY()),0,IF(OR(INDEX($B201:$D201,AG$5)="F",AND(AG$6&gt;0,$A201&lt;AG$6),AND(AG$7&gt;0,$A201&gt;AG$7)),0,MAX(0,ROUND((INDEX($E201:$G201,AG$5)-SUMIFS(TF_Timer,TF_Tekniker,AG$4,TF_Dato,$A201))*2,0)/2)))</f>
        <v/>
      </c>
      <c r="AH201">
        <f>IF(OR(AH$4="",$A201&gt;TODAY()),0,IF(OR(INDEX($B201:$D201,AH$5)="F",AND(AH$6&gt;0,$A201&lt;AH$6),AND(AH$7&gt;0,$A201&gt;AH$7)),0,MAX(0,ROUND((INDEX($E201:$G201,AH$5)-SUMIFS(TF_Timer,TF_Tekniker,AH$4,TF_Dato,$A201))*2,0)/2)))</f>
        <v/>
      </c>
      <c r="AI201">
        <f>IF(OR(AI$4="",$A201&gt;TODAY()),0,IF(OR(INDEX($B201:$D201,AI$5)="F",AND(AI$6&gt;0,$A201&lt;AI$6),AND(AI$7&gt;0,$A201&gt;AI$7)),0,MAX(0,ROUND((INDEX($E201:$G201,AI$5)-SUMIFS(TF_Timer,TF_Tekniker,AI$4,TF_Dato,$A201))*2,0)/2)))</f>
        <v/>
      </c>
      <c r="AJ201">
        <f>IF(OR(AJ$4="",$A201&gt;TODAY()),0,IF(OR(INDEX($B201:$D201,AJ$5)="F",AND(AJ$6&gt;0,$A201&lt;AJ$6),AND(AJ$7&gt;0,$A201&gt;AJ$7)),0,MAX(0,ROUND((INDEX($E201:$G201,AJ$5)-SUMIFS(TF_Timer,TF_Tekniker,AJ$4,TF_Dato,$A201))*2,0)/2)))</f>
        <v/>
      </c>
      <c r="AK201">
        <f>IF(OR(AK$4="",$A201&gt;TODAY()),0,IF(OR(INDEX($B201:$D201,AK$5)="F",AND(AK$6&gt;0,$A201&lt;AK$6),AND(AK$7&gt;0,$A201&gt;AK$7)),0,MAX(0,ROUND((INDEX($E201:$G201,AK$5)-SUMIFS(TF_Timer,TF_Tekniker,AK$4,TF_Dato,$A201))*2,0)/2)))</f>
        <v/>
      </c>
      <c r="AL201">
        <f>IF(OR(AL$4="",$A201&gt;TODAY()),0,IF(OR(INDEX($B201:$D201,AL$5)="F",AND(AL$6&gt;0,$A201&lt;AL$6),AND(AL$7&gt;0,$A201&gt;AL$7)),0,MAX(0,ROUND((INDEX($E201:$G201,AL$5)-SUMIFS(TF_Timer,TF_Tekniker,AL$4,TF_Dato,$A201))*2,0)/2)))</f>
        <v/>
      </c>
      <c r="AM201">
        <f>IF(OR(AM$4="",$A201&gt;TODAY()),0,IF(OR(INDEX($B201:$D201,AM$5)="F",AND(AM$6&gt;0,$A201&lt;AM$6),AND(AM$7&gt;0,$A201&gt;AM$7)),0,MAX(0,ROUND((INDEX($E201:$G201,AM$5)-SUMIFS(TF_Timer,TF_Tekniker,AM$4,TF_Dato,$A201))*2,0)/2)))</f>
        <v/>
      </c>
      <c r="AN201">
        <f>IF(OR(AN$4="",$A201&gt;TODAY()),0,IF(OR(INDEX($B201:$D201,AN$5)="F",AND(AN$6&gt;0,$A201&lt;AN$6),AND(AN$7&gt;0,$A201&gt;AN$7)),0,MAX(0,ROUND((INDEX($E201:$G201,AN$5)-SUMIFS(TF_Timer,TF_Tekniker,AN$4,TF_Dato,$A201))*2,0)/2)))</f>
        <v/>
      </c>
      <c r="AO201">
        <f>IF(OR(AO$4="",$A201&gt;TODAY()),0,IF(OR(INDEX($B201:$D201,AO$5)="F",AND(AO$6&gt;0,$A201&lt;AO$6),AND(AO$7&gt;0,$A201&gt;AO$7)),0,MAX(0,ROUND((INDEX($E201:$G201,AO$5)-SUMIFS(TF_Timer,TF_Tekniker,AO$4,TF_Dato,$A201))*2,0)/2)))</f>
        <v/>
      </c>
      <c r="AP201">
        <f>IF(OR(AP$4="",$A201&gt;TODAY()),0,IF(OR(INDEX($B201:$D201,AP$5)="F",AND(AP$6&gt;0,$A201&lt;AP$6),AND(AP$7&gt;0,$A201&gt;AP$7)),0,MAX(0,ROUND((INDEX($E201:$G201,AP$5)-SUMIFS(TF_Timer,TF_Tekniker,AP$4,TF_Dato,$A201))*2,0)/2)))</f>
        <v/>
      </c>
      <c r="AQ201">
        <f>IF(OR(AQ$4="",$A201&gt;TODAY()),0,IF(OR(INDEX($B201:$D201,AQ$5)="F",AND(AQ$6&gt;0,$A201&lt;AQ$6),AND(AQ$7&gt;0,$A201&gt;AQ$7)),0,MAX(0,ROUND((INDEX($E201:$G201,AQ$5)-SUMIFS(TF_Timer,TF_Tekniker,AQ$4,TF_Dato,$A201))*2,0)/2)))</f>
        <v/>
      </c>
      <c r="AR201">
        <f>IF(OR(AR$4="",$A201&gt;TODAY()),0,IF(OR(INDEX($B201:$D201,AR$5)="F",AND(AR$6&gt;0,$A201&lt;AR$6),AND(AR$7&gt;0,$A201&gt;AR$7)),0,MAX(0,ROUND((INDEX($E201:$G201,AR$5)-SUMIFS(TF_Timer,TF_Tekniker,AR$4,TF_Dato,$A201))*2,0)/2)))</f>
        <v/>
      </c>
      <c r="AS201">
        <f>IF(OR(AS$4="",$A201&gt;TODAY()),0,IF(OR(INDEX($B201:$D201,AS$5)="F",AND(AS$6&gt;0,$A201&lt;AS$6),AND(AS$7&gt;0,$A201&gt;AS$7)),0,MAX(0,ROUND((INDEX($E201:$G201,AS$5)-SUMIFS(TF_Timer,TF_Tekniker,AS$4,TF_Dato,$A201))*2,0)/2)))</f>
        <v/>
      </c>
      <c r="AT201">
        <f>IF(OR(AT$4="",$A201&gt;TODAY()),0,IF(OR(INDEX($B201:$D201,AT$5)="F",AND(AT$6&gt;0,$A201&lt;AT$6),AND(AT$7&gt;0,$A201&gt;AT$7)),0,MAX(0,ROUND((INDEX($E201:$G201,AT$5)-SUMIFS(TF_Timer,TF_Tekniker,AT$4,TF_Dato,$A201))*2,0)/2)))</f>
        <v/>
      </c>
      <c r="AU201">
        <f>IF(OR(AU$4="",$A201&gt;TODAY()),0,IF(OR(INDEX($B201:$D201,AU$5)="F",AND(AU$6&gt;0,$A201&lt;AU$6),AND(AU$7&gt;0,$A201&gt;AU$7)),0,MAX(0,ROUND((INDEX($E201:$G201,AU$5)-SUMIFS(TF_Timer,TF_Tekniker,AU$4,TF_Dato,$A201))*2,0)/2)))</f>
        <v/>
      </c>
      <c r="AV201">
        <f>IF(OR(AV$4="",$A201&gt;TODAY()),0,IF(OR(INDEX($B201:$D201,AV$5)="F",AND(AV$6&gt;0,$A201&lt;AV$6),AND(AV$7&gt;0,$A201&gt;AV$7)),0,MAX(0,ROUND((INDEX($E201:$G201,AV$5)-SUMIFS(TF_Timer,TF_Tekniker,AV$4,TF_Dato,$A201))*2,0)/2)))</f>
        <v/>
      </c>
      <c r="AW201">
        <f>IF(OR(AW$4="",$A201&gt;TODAY()),0,IF(OR(INDEX($B201:$D201,AW$5)="F",AND(AW$6&gt;0,$A201&lt;AW$6),AND(AW$7&gt;0,$A201&gt;AW$7)),0,MAX(0,ROUND((INDEX($E201:$G201,AW$5)-SUMIFS(TF_Timer,TF_Tekniker,AW$4,TF_Dato,$A201))*2,0)/2)))</f>
        <v/>
      </c>
      <c r="AX201">
        <f>IF(OR(AX$4="",$A201&gt;TODAY()),0,IF(OR(INDEX($B201:$D201,AX$5)="F",AND(AX$6&gt;0,$A201&lt;AX$6),AND(AX$7&gt;0,$A201&gt;AX$7)),0,MAX(0,ROUND((INDEX($E201:$G201,AX$5)-SUMIFS(TF_Timer,TF_Tekniker,AX$4,TF_Dato,$A201))*2,0)/2)))</f>
        <v/>
      </c>
      <c r="AY201">
        <f>IF(OR(AY$4="",$A201&gt;TODAY()),0,IF(OR(INDEX($B201:$D201,AY$5)="F",AND(AY$6&gt;0,$A201&lt;AY$6),AND(AY$7&gt;0,$A201&gt;AY$7)),0,MAX(0,ROUND((INDEX($E201:$G201,AY$5)-SUMIFS(TF_Timer,TF_Tekniker,AY$4,TF_Dato,$A201))*2,0)/2)))</f>
        <v/>
      </c>
      <c r="AZ201">
        <f>IF(OR(AZ$4="",$A201&gt;TODAY()),0,IF(OR(INDEX($B201:$D201,AZ$5)="F",AND(AZ$6&gt;0,$A201&lt;AZ$6),AND(AZ$7&gt;0,$A201&gt;AZ$7)),0,MAX(0,ROUND((INDEX($E201:$G201,AZ$5)-SUMIFS(TF_Timer,TF_Tekniker,AZ$4,TF_Dato,$A201))*2,0)/2)))</f>
        <v/>
      </c>
      <c r="BA201">
        <f>IF(OR(BA$4="",$A201&gt;TODAY()),0,IF(OR(INDEX($B201:$D201,BA$5)="F",AND(BA$6&gt;0,$A201&lt;BA$6),AND(BA$7&gt;0,$A201&gt;BA$7)),0,MAX(0,ROUND((INDEX($E201:$G201,BA$5)-SUMIFS(TF_Timer,TF_Tekniker,BA$4,TF_Dato,$A201))*2,0)/2)))</f>
        <v/>
      </c>
      <c r="BB201">
        <f>IF(OR(BB$4="",$A201&gt;TODAY()),0,IF(OR(INDEX($B201:$D201,BB$5)="F",AND(BB$6&gt;0,$A201&lt;BB$6),AND(BB$7&gt;0,$A201&gt;BB$7)),0,MAX(0,ROUND((INDEX($E201:$G201,BB$5)-SUMIFS(TF_Timer,TF_Tekniker,BB$4,TF_Dato,$A201))*2,0)/2)))</f>
        <v/>
      </c>
      <c r="BC201">
        <f>IF(OR(BC$4="",$A201&gt;TODAY()),0,IF(OR(INDEX($B201:$D201,BC$5)="F",AND(BC$6&gt;0,$A201&lt;BC$6),AND(BC$7&gt;0,$A201&gt;BC$7)),0,MAX(0,ROUND((INDEX($E201:$G201,BC$5)-SUMIFS(TF_Timer,TF_Tekniker,BC$4,TF_Dato,$A201))*2,0)/2)))</f>
        <v/>
      </c>
      <c r="BD201">
        <f>IF(OR(BD$4="",$A201&gt;TODAY()),0,IF(OR(INDEX($B201:$D201,BD$5)="F",AND(BD$6&gt;0,$A201&lt;BD$6),AND(BD$7&gt;0,$A201&gt;BD$7)),0,MAX(0,ROUND((INDEX($E201:$G201,BD$5)-SUMIFS(TF_Timer,TF_Tekniker,BD$4,TF_Dato,$A201))*2,0)/2)))</f>
        <v/>
      </c>
      <c r="BE201">
        <f>IF(OR(BE$4="",$A201&gt;TODAY()),0,IF(OR(INDEX($B201:$D201,BE$5)="F",AND(BE$6&gt;0,$A201&lt;BE$6),AND(BE$7&gt;0,$A201&gt;BE$7)),0,MAX(0,ROUND((INDEX($E201:$G201,BE$5)-SUMIFS(TF_Timer,TF_Tekniker,BE$4,TF_Dato,$A201))*2,0)/2)))</f>
        <v/>
      </c>
      <c r="BF201">
        <f>IF(OR(BF$4="",$A201&gt;TODAY()),0,IF(OR(INDEX($B201:$D201,BF$5)="F",AND(BF$6&gt;0,$A201&lt;BF$6),AND(BF$7&gt;0,$A201&gt;BF$7)),0,MAX(0,ROUND((INDEX($E201:$G201,BF$5)-SUMIFS(TF_Timer,TF_Tekniker,BF$4,TF_Dato,$A201))*2,0)/2)))</f>
        <v/>
      </c>
      <c r="BG201">
        <f>IF(OR(BG$4="",$A201&gt;TODAY()),0,IF(OR(INDEX($B201:$D201,BG$5)="F",AND(BG$6&gt;0,$A201&lt;BG$6),AND(BG$7&gt;0,$A201&gt;BG$7)),0,MAX(0,ROUND((INDEX($E201:$G201,BG$5)-SUMIFS(TF_Timer,TF_Tekniker,BG$4,TF_Dato,$A201))*2,0)/2)))</f>
        <v/>
      </c>
      <c r="BH201">
        <f>IF(OR(BH$4="",$A201&gt;TODAY()),0,IF(OR(INDEX($B201:$D201,BH$5)="F",AND(BH$6&gt;0,$A201&lt;BH$6),AND(BH$7&gt;0,$A201&gt;BH$7)),0,MAX(0,ROUND((INDEX($E201:$G201,BH$5)-SUMIFS(TF_Timer,TF_Tekniker,BH$4,TF_Dato,$A201))*2,0)/2)))</f>
        <v/>
      </c>
      <c r="BI201">
        <f>IF(OR(BI$4="",$A201&gt;TODAY()),0,IF(OR(INDEX($B201:$D201,BI$5)="F",AND(BI$6&gt;0,$A201&lt;BI$6),AND(BI$7&gt;0,$A201&gt;BI$7)),0,MAX(0,ROUND((INDEX($E201:$G201,BI$5)-SUMIFS(TF_Timer,TF_Tekniker,BI$4,TF_Dato,$A201))*2,0)/2)))</f>
        <v/>
      </c>
    </row>
    <row r="202">
      <c r="A202" s="64">
        <f>A201+1</f>
        <v/>
      </c>
      <c r="B202">
        <f>IF(MOD($A202-INDEX(SkiftStart,1),Syklus)&lt;DagK,"K",IF(MOD($A202-INDEX(SkiftStart,1),Syklus)&lt;DagK+DagH,"H",IF(MOD($A202-INDEX(SkiftStart,1),Syklus)&lt;DagK+DagH+DagD,"D","F")))</f>
        <v/>
      </c>
      <c r="C202">
        <f>IF(MOD($A202-INDEX(SkiftStart,2),Syklus)&lt;DagK,"K",IF(MOD($A202-INDEX(SkiftStart,2),Syklus)&lt;DagK+DagH,"H",IF(MOD($A202-INDEX(SkiftStart,2),Syklus)&lt;DagK+DagH+DagD,"D","F")))</f>
        <v/>
      </c>
      <c r="D202">
        <f>IF(MOD($A202-INDEX(SkiftStart,3),Syklus)&lt;DagK,"K",IF(MOD($A202-INDEX(SkiftStart,3),Syklus)&lt;DagK+DagH,"H",IF(MOD($A202-INDEX(SkiftStart,3),Syklus)&lt;DagK+DagH+DagD,"D","F")))</f>
        <v/>
      </c>
      <c r="E202">
        <f>IF(B202="F",0,IF(WEEKDAY($A202,2)=5,INDEX(TimerFr,MATCH(B202,FaseKode,0)),INDEX(TimerMT,MATCH(B202,FaseKode,0))))</f>
        <v/>
      </c>
      <c r="F202">
        <f>IF(C202="F",0,IF(WEEKDAY($A202,2)=5,INDEX(TimerFr,MATCH(C202,FaseKode,0)),INDEX(TimerMT,MATCH(C202,FaseKode,0))))</f>
        <v/>
      </c>
      <c r="G202">
        <f>IF(D202="F",0,IF(WEEKDAY($A202,2)=5,INDEX(TimerFr,MATCH(D202,FaseKode,0)),INDEX(TimerMT,MATCH(D202,FaseKode,0))))</f>
        <v/>
      </c>
      <c r="H202">
        <f>IF(OR(H$4="",$A202&gt;TODAY()),0,IF(OR(INDEX($B202:$D202,H$5)="F",AND(H$6&gt;0,$A202&lt;H$6),AND(H$7&gt;0,$A202&gt;H$7)),0,MAX(0,ROUND((INDEX($E202:$G202,H$5)-SUMIFS(TF_Timer,TF_Tekniker,H$4,TF_Dato,$A202))*2,0)/2)))</f>
        <v/>
      </c>
      <c r="I202">
        <f>IF(OR(I$4="",$A202&gt;TODAY()),0,IF(OR(INDEX($B202:$D202,I$5)="F",AND(I$6&gt;0,$A202&lt;I$6),AND(I$7&gt;0,$A202&gt;I$7)),0,MAX(0,ROUND((INDEX($E202:$G202,I$5)-SUMIFS(TF_Timer,TF_Tekniker,I$4,TF_Dato,$A202))*2,0)/2)))</f>
        <v/>
      </c>
      <c r="J202">
        <f>IF(OR(J$4="",$A202&gt;TODAY()),0,IF(OR(INDEX($B202:$D202,J$5)="F",AND(J$6&gt;0,$A202&lt;J$6),AND(J$7&gt;0,$A202&gt;J$7)),0,MAX(0,ROUND((INDEX($E202:$G202,J$5)-SUMIFS(TF_Timer,TF_Tekniker,J$4,TF_Dato,$A202))*2,0)/2)))</f>
        <v/>
      </c>
      <c r="K202">
        <f>IF(OR(K$4="",$A202&gt;TODAY()),0,IF(OR(INDEX($B202:$D202,K$5)="F",AND(K$6&gt;0,$A202&lt;K$6),AND(K$7&gt;0,$A202&gt;K$7)),0,MAX(0,ROUND((INDEX($E202:$G202,K$5)-SUMIFS(TF_Timer,TF_Tekniker,K$4,TF_Dato,$A202))*2,0)/2)))</f>
        <v/>
      </c>
      <c r="L202">
        <f>IF(OR(L$4="",$A202&gt;TODAY()),0,IF(OR(INDEX($B202:$D202,L$5)="F",AND(L$6&gt;0,$A202&lt;L$6),AND(L$7&gt;0,$A202&gt;L$7)),0,MAX(0,ROUND((INDEX($E202:$G202,L$5)-SUMIFS(TF_Timer,TF_Tekniker,L$4,TF_Dato,$A202))*2,0)/2)))</f>
        <v/>
      </c>
      <c r="M202">
        <f>IF(OR(M$4="",$A202&gt;TODAY()),0,IF(OR(INDEX($B202:$D202,M$5)="F",AND(M$6&gt;0,$A202&lt;M$6),AND(M$7&gt;0,$A202&gt;M$7)),0,MAX(0,ROUND((INDEX($E202:$G202,M$5)-SUMIFS(TF_Timer,TF_Tekniker,M$4,TF_Dato,$A202))*2,0)/2)))</f>
        <v/>
      </c>
      <c r="N202">
        <f>IF(OR(N$4="",$A202&gt;TODAY()),0,IF(OR(INDEX($B202:$D202,N$5)="F",AND(N$6&gt;0,$A202&lt;N$6),AND(N$7&gt;0,$A202&gt;N$7)),0,MAX(0,ROUND((INDEX($E202:$G202,N$5)-SUMIFS(TF_Timer,TF_Tekniker,N$4,TF_Dato,$A202))*2,0)/2)))</f>
        <v/>
      </c>
      <c r="O202">
        <f>IF(OR(O$4="",$A202&gt;TODAY()),0,IF(OR(INDEX($B202:$D202,O$5)="F",AND(O$6&gt;0,$A202&lt;O$6),AND(O$7&gt;0,$A202&gt;O$7)),0,MAX(0,ROUND((INDEX($E202:$G202,O$5)-SUMIFS(TF_Timer,TF_Tekniker,O$4,TF_Dato,$A202))*2,0)/2)))</f>
        <v/>
      </c>
      <c r="P202">
        <f>IF(OR(P$4="",$A202&gt;TODAY()),0,IF(OR(INDEX($B202:$D202,P$5)="F",AND(P$6&gt;0,$A202&lt;P$6),AND(P$7&gt;0,$A202&gt;P$7)),0,MAX(0,ROUND((INDEX($E202:$G202,P$5)-SUMIFS(TF_Timer,TF_Tekniker,P$4,TF_Dato,$A202))*2,0)/2)))</f>
        <v/>
      </c>
      <c r="Q202">
        <f>IF(OR(Q$4="",$A202&gt;TODAY()),0,IF(OR(INDEX($B202:$D202,Q$5)="F",AND(Q$6&gt;0,$A202&lt;Q$6),AND(Q$7&gt;0,$A202&gt;Q$7)),0,MAX(0,ROUND((INDEX($E202:$G202,Q$5)-SUMIFS(TF_Timer,TF_Tekniker,Q$4,TF_Dato,$A202))*2,0)/2)))</f>
        <v/>
      </c>
      <c r="R202">
        <f>IF(OR(R$4="",$A202&gt;TODAY()),0,IF(OR(INDEX($B202:$D202,R$5)="F",AND(R$6&gt;0,$A202&lt;R$6),AND(R$7&gt;0,$A202&gt;R$7)),0,MAX(0,ROUND((INDEX($E202:$G202,R$5)-SUMIFS(TF_Timer,TF_Tekniker,R$4,TF_Dato,$A202))*2,0)/2)))</f>
        <v/>
      </c>
      <c r="S202">
        <f>IF(OR(S$4="",$A202&gt;TODAY()),0,IF(OR(INDEX($B202:$D202,S$5)="F",AND(S$6&gt;0,$A202&lt;S$6),AND(S$7&gt;0,$A202&gt;S$7)),0,MAX(0,ROUND((INDEX($E202:$G202,S$5)-SUMIFS(TF_Timer,TF_Tekniker,S$4,TF_Dato,$A202))*2,0)/2)))</f>
        <v/>
      </c>
      <c r="T202">
        <f>IF(OR(T$4="",$A202&gt;TODAY()),0,IF(OR(INDEX($B202:$D202,T$5)="F",AND(T$6&gt;0,$A202&lt;T$6),AND(T$7&gt;0,$A202&gt;T$7)),0,MAX(0,ROUND((INDEX($E202:$G202,T$5)-SUMIFS(TF_Timer,TF_Tekniker,T$4,TF_Dato,$A202))*2,0)/2)))</f>
        <v/>
      </c>
      <c r="U202">
        <f>IF(OR(U$4="",$A202&gt;TODAY()),0,IF(OR(INDEX($B202:$D202,U$5)="F",AND(U$6&gt;0,$A202&lt;U$6),AND(U$7&gt;0,$A202&gt;U$7)),0,MAX(0,ROUND((INDEX($E202:$G202,U$5)-SUMIFS(TF_Timer,TF_Tekniker,U$4,TF_Dato,$A202))*2,0)/2)))</f>
        <v/>
      </c>
      <c r="V202">
        <f>IF(OR(V$4="",$A202&gt;TODAY()),0,IF(OR(INDEX($B202:$D202,V$5)="F",AND(V$6&gt;0,$A202&lt;V$6),AND(V$7&gt;0,$A202&gt;V$7)),0,MAX(0,ROUND((INDEX($E202:$G202,V$5)-SUMIFS(TF_Timer,TF_Tekniker,V$4,TF_Dato,$A202))*2,0)/2)))</f>
        <v/>
      </c>
      <c r="W202">
        <f>IF(OR(W$4="",$A202&gt;TODAY()),0,IF(OR(INDEX($B202:$D202,W$5)="F",AND(W$6&gt;0,$A202&lt;W$6),AND(W$7&gt;0,$A202&gt;W$7)),0,MAX(0,ROUND((INDEX($E202:$G202,W$5)-SUMIFS(TF_Timer,TF_Tekniker,W$4,TF_Dato,$A202))*2,0)/2)))</f>
        <v/>
      </c>
      <c r="X202">
        <f>IF(OR(X$4="",$A202&gt;TODAY()),0,IF(OR(INDEX($B202:$D202,X$5)="F",AND(X$6&gt;0,$A202&lt;X$6),AND(X$7&gt;0,$A202&gt;X$7)),0,MAX(0,ROUND((INDEX($E202:$G202,X$5)-SUMIFS(TF_Timer,TF_Tekniker,X$4,TF_Dato,$A202))*2,0)/2)))</f>
        <v/>
      </c>
      <c r="Y202">
        <f>IF(OR(Y$4="",$A202&gt;TODAY()),0,IF(OR(INDEX($B202:$D202,Y$5)="F",AND(Y$6&gt;0,$A202&lt;Y$6),AND(Y$7&gt;0,$A202&gt;Y$7)),0,MAX(0,ROUND((INDEX($E202:$G202,Y$5)-SUMIFS(TF_Timer,TF_Tekniker,Y$4,TF_Dato,$A202))*2,0)/2)))</f>
        <v/>
      </c>
      <c r="Z202">
        <f>IF(OR(Z$4="",$A202&gt;TODAY()),0,IF(OR(INDEX($B202:$D202,Z$5)="F",AND(Z$6&gt;0,$A202&lt;Z$6),AND(Z$7&gt;0,$A202&gt;Z$7)),0,MAX(0,ROUND((INDEX($E202:$G202,Z$5)-SUMIFS(TF_Timer,TF_Tekniker,Z$4,TF_Dato,$A202))*2,0)/2)))</f>
        <v/>
      </c>
      <c r="AA202">
        <f>IF(OR(AA$4="",$A202&gt;TODAY()),0,IF(OR(INDEX($B202:$D202,AA$5)="F",AND(AA$6&gt;0,$A202&lt;AA$6),AND(AA$7&gt;0,$A202&gt;AA$7)),0,MAX(0,ROUND((INDEX($E202:$G202,AA$5)-SUMIFS(TF_Timer,TF_Tekniker,AA$4,TF_Dato,$A202))*2,0)/2)))</f>
        <v/>
      </c>
      <c r="AB202">
        <f>IF(OR(AB$4="",$A202&gt;TODAY()),0,IF(OR(INDEX($B202:$D202,AB$5)="F",AND(AB$6&gt;0,$A202&lt;AB$6),AND(AB$7&gt;0,$A202&gt;AB$7)),0,MAX(0,ROUND((INDEX($E202:$G202,AB$5)-SUMIFS(TF_Timer,TF_Tekniker,AB$4,TF_Dato,$A202))*2,0)/2)))</f>
        <v/>
      </c>
      <c r="AC202">
        <f>IF(OR(AC$4="",$A202&gt;TODAY()),0,IF(OR(INDEX($B202:$D202,AC$5)="F",AND(AC$6&gt;0,$A202&lt;AC$6),AND(AC$7&gt;0,$A202&gt;AC$7)),0,MAX(0,ROUND((INDEX($E202:$G202,AC$5)-SUMIFS(TF_Timer,TF_Tekniker,AC$4,TF_Dato,$A202))*2,0)/2)))</f>
        <v/>
      </c>
      <c r="AD202">
        <f>IF(OR(AD$4="",$A202&gt;TODAY()),0,IF(OR(INDEX($B202:$D202,AD$5)="F",AND(AD$6&gt;0,$A202&lt;AD$6),AND(AD$7&gt;0,$A202&gt;AD$7)),0,MAX(0,ROUND((INDEX($E202:$G202,AD$5)-SUMIFS(TF_Timer,TF_Tekniker,AD$4,TF_Dato,$A202))*2,0)/2)))</f>
        <v/>
      </c>
      <c r="AE202">
        <f>IF(OR(AE$4="",$A202&gt;TODAY()),0,IF(OR(INDEX($B202:$D202,AE$5)="F",AND(AE$6&gt;0,$A202&lt;AE$6),AND(AE$7&gt;0,$A202&gt;AE$7)),0,MAX(0,ROUND((INDEX($E202:$G202,AE$5)-SUMIFS(TF_Timer,TF_Tekniker,AE$4,TF_Dato,$A202))*2,0)/2)))</f>
        <v/>
      </c>
      <c r="AF202">
        <f>IF(OR(AF$4="",$A202&gt;TODAY()),0,IF(OR(INDEX($B202:$D202,AF$5)="F",AND(AF$6&gt;0,$A202&lt;AF$6),AND(AF$7&gt;0,$A202&gt;AF$7)),0,MAX(0,ROUND((INDEX($E202:$G202,AF$5)-SUMIFS(TF_Timer,TF_Tekniker,AF$4,TF_Dato,$A202))*2,0)/2)))</f>
        <v/>
      </c>
      <c r="AG202">
        <f>IF(OR(AG$4="",$A202&gt;TODAY()),0,IF(OR(INDEX($B202:$D202,AG$5)="F",AND(AG$6&gt;0,$A202&lt;AG$6),AND(AG$7&gt;0,$A202&gt;AG$7)),0,MAX(0,ROUND((INDEX($E202:$G202,AG$5)-SUMIFS(TF_Timer,TF_Tekniker,AG$4,TF_Dato,$A202))*2,0)/2)))</f>
        <v/>
      </c>
      <c r="AH202">
        <f>IF(OR(AH$4="",$A202&gt;TODAY()),0,IF(OR(INDEX($B202:$D202,AH$5)="F",AND(AH$6&gt;0,$A202&lt;AH$6),AND(AH$7&gt;0,$A202&gt;AH$7)),0,MAX(0,ROUND((INDEX($E202:$G202,AH$5)-SUMIFS(TF_Timer,TF_Tekniker,AH$4,TF_Dato,$A202))*2,0)/2)))</f>
        <v/>
      </c>
      <c r="AI202">
        <f>IF(OR(AI$4="",$A202&gt;TODAY()),0,IF(OR(INDEX($B202:$D202,AI$5)="F",AND(AI$6&gt;0,$A202&lt;AI$6),AND(AI$7&gt;0,$A202&gt;AI$7)),0,MAX(0,ROUND((INDEX($E202:$G202,AI$5)-SUMIFS(TF_Timer,TF_Tekniker,AI$4,TF_Dato,$A202))*2,0)/2)))</f>
        <v/>
      </c>
      <c r="AJ202">
        <f>IF(OR(AJ$4="",$A202&gt;TODAY()),0,IF(OR(INDEX($B202:$D202,AJ$5)="F",AND(AJ$6&gt;0,$A202&lt;AJ$6),AND(AJ$7&gt;0,$A202&gt;AJ$7)),0,MAX(0,ROUND((INDEX($E202:$G202,AJ$5)-SUMIFS(TF_Timer,TF_Tekniker,AJ$4,TF_Dato,$A202))*2,0)/2)))</f>
        <v/>
      </c>
      <c r="AK202">
        <f>IF(OR(AK$4="",$A202&gt;TODAY()),0,IF(OR(INDEX($B202:$D202,AK$5)="F",AND(AK$6&gt;0,$A202&lt;AK$6),AND(AK$7&gt;0,$A202&gt;AK$7)),0,MAX(0,ROUND((INDEX($E202:$G202,AK$5)-SUMIFS(TF_Timer,TF_Tekniker,AK$4,TF_Dato,$A202))*2,0)/2)))</f>
        <v/>
      </c>
      <c r="AL202">
        <f>IF(OR(AL$4="",$A202&gt;TODAY()),0,IF(OR(INDEX($B202:$D202,AL$5)="F",AND(AL$6&gt;0,$A202&lt;AL$6),AND(AL$7&gt;0,$A202&gt;AL$7)),0,MAX(0,ROUND((INDEX($E202:$G202,AL$5)-SUMIFS(TF_Timer,TF_Tekniker,AL$4,TF_Dato,$A202))*2,0)/2)))</f>
        <v/>
      </c>
      <c r="AM202">
        <f>IF(OR(AM$4="",$A202&gt;TODAY()),0,IF(OR(INDEX($B202:$D202,AM$5)="F",AND(AM$6&gt;0,$A202&lt;AM$6),AND(AM$7&gt;0,$A202&gt;AM$7)),0,MAX(0,ROUND((INDEX($E202:$G202,AM$5)-SUMIFS(TF_Timer,TF_Tekniker,AM$4,TF_Dato,$A202))*2,0)/2)))</f>
        <v/>
      </c>
      <c r="AN202">
        <f>IF(OR(AN$4="",$A202&gt;TODAY()),0,IF(OR(INDEX($B202:$D202,AN$5)="F",AND(AN$6&gt;0,$A202&lt;AN$6),AND(AN$7&gt;0,$A202&gt;AN$7)),0,MAX(0,ROUND((INDEX($E202:$G202,AN$5)-SUMIFS(TF_Timer,TF_Tekniker,AN$4,TF_Dato,$A202))*2,0)/2)))</f>
        <v/>
      </c>
      <c r="AO202">
        <f>IF(OR(AO$4="",$A202&gt;TODAY()),0,IF(OR(INDEX($B202:$D202,AO$5)="F",AND(AO$6&gt;0,$A202&lt;AO$6),AND(AO$7&gt;0,$A202&gt;AO$7)),0,MAX(0,ROUND((INDEX($E202:$G202,AO$5)-SUMIFS(TF_Timer,TF_Tekniker,AO$4,TF_Dato,$A202))*2,0)/2)))</f>
        <v/>
      </c>
      <c r="AP202">
        <f>IF(OR(AP$4="",$A202&gt;TODAY()),0,IF(OR(INDEX($B202:$D202,AP$5)="F",AND(AP$6&gt;0,$A202&lt;AP$6),AND(AP$7&gt;0,$A202&gt;AP$7)),0,MAX(0,ROUND((INDEX($E202:$G202,AP$5)-SUMIFS(TF_Timer,TF_Tekniker,AP$4,TF_Dato,$A202))*2,0)/2)))</f>
        <v/>
      </c>
      <c r="AQ202">
        <f>IF(OR(AQ$4="",$A202&gt;TODAY()),0,IF(OR(INDEX($B202:$D202,AQ$5)="F",AND(AQ$6&gt;0,$A202&lt;AQ$6),AND(AQ$7&gt;0,$A202&gt;AQ$7)),0,MAX(0,ROUND((INDEX($E202:$G202,AQ$5)-SUMIFS(TF_Timer,TF_Tekniker,AQ$4,TF_Dato,$A202))*2,0)/2)))</f>
        <v/>
      </c>
      <c r="AR202">
        <f>IF(OR(AR$4="",$A202&gt;TODAY()),0,IF(OR(INDEX($B202:$D202,AR$5)="F",AND(AR$6&gt;0,$A202&lt;AR$6),AND(AR$7&gt;0,$A202&gt;AR$7)),0,MAX(0,ROUND((INDEX($E202:$G202,AR$5)-SUMIFS(TF_Timer,TF_Tekniker,AR$4,TF_Dato,$A202))*2,0)/2)))</f>
        <v/>
      </c>
      <c r="AS202">
        <f>IF(OR(AS$4="",$A202&gt;TODAY()),0,IF(OR(INDEX($B202:$D202,AS$5)="F",AND(AS$6&gt;0,$A202&lt;AS$6),AND(AS$7&gt;0,$A202&gt;AS$7)),0,MAX(0,ROUND((INDEX($E202:$G202,AS$5)-SUMIFS(TF_Timer,TF_Tekniker,AS$4,TF_Dato,$A202))*2,0)/2)))</f>
        <v/>
      </c>
      <c r="AT202">
        <f>IF(OR(AT$4="",$A202&gt;TODAY()),0,IF(OR(INDEX($B202:$D202,AT$5)="F",AND(AT$6&gt;0,$A202&lt;AT$6),AND(AT$7&gt;0,$A202&gt;AT$7)),0,MAX(0,ROUND((INDEX($E202:$G202,AT$5)-SUMIFS(TF_Timer,TF_Tekniker,AT$4,TF_Dato,$A202))*2,0)/2)))</f>
        <v/>
      </c>
      <c r="AU202">
        <f>IF(OR(AU$4="",$A202&gt;TODAY()),0,IF(OR(INDEX($B202:$D202,AU$5)="F",AND(AU$6&gt;0,$A202&lt;AU$6),AND(AU$7&gt;0,$A202&gt;AU$7)),0,MAX(0,ROUND((INDEX($E202:$G202,AU$5)-SUMIFS(TF_Timer,TF_Tekniker,AU$4,TF_Dato,$A202))*2,0)/2)))</f>
        <v/>
      </c>
      <c r="AV202">
        <f>IF(OR(AV$4="",$A202&gt;TODAY()),0,IF(OR(INDEX($B202:$D202,AV$5)="F",AND(AV$6&gt;0,$A202&lt;AV$6),AND(AV$7&gt;0,$A202&gt;AV$7)),0,MAX(0,ROUND((INDEX($E202:$G202,AV$5)-SUMIFS(TF_Timer,TF_Tekniker,AV$4,TF_Dato,$A202))*2,0)/2)))</f>
        <v/>
      </c>
      <c r="AW202">
        <f>IF(OR(AW$4="",$A202&gt;TODAY()),0,IF(OR(INDEX($B202:$D202,AW$5)="F",AND(AW$6&gt;0,$A202&lt;AW$6),AND(AW$7&gt;0,$A202&gt;AW$7)),0,MAX(0,ROUND((INDEX($E202:$G202,AW$5)-SUMIFS(TF_Timer,TF_Tekniker,AW$4,TF_Dato,$A202))*2,0)/2)))</f>
        <v/>
      </c>
      <c r="AX202">
        <f>IF(OR(AX$4="",$A202&gt;TODAY()),0,IF(OR(INDEX($B202:$D202,AX$5)="F",AND(AX$6&gt;0,$A202&lt;AX$6),AND(AX$7&gt;0,$A202&gt;AX$7)),0,MAX(0,ROUND((INDEX($E202:$G202,AX$5)-SUMIFS(TF_Timer,TF_Tekniker,AX$4,TF_Dato,$A202))*2,0)/2)))</f>
        <v/>
      </c>
      <c r="AY202">
        <f>IF(OR(AY$4="",$A202&gt;TODAY()),0,IF(OR(INDEX($B202:$D202,AY$5)="F",AND(AY$6&gt;0,$A202&lt;AY$6),AND(AY$7&gt;0,$A202&gt;AY$7)),0,MAX(0,ROUND((INDEX($E202:$G202,AY$5)-SUMIFS(TF_Timer,TF_Tekniker,AY$4,TF_Dato,$A202))*2,0)/2)))</f>
        <v/>
      </c>
      <c r="AZ202">
        <f>IF(OR(AZ$4="",$A202&gt;TODAY()),0,IF(OR(INDEX($B202:$D202,AZ$5)="F",AND(AZ$6&gt;0,$A202&lt;AZ$6),AND(AZ$7&gt;0,$A202&gt;AZ$7)),0,MAX(0,ROUND((INDEX($E202:$G202,AZ$5)-SUMIFS(TF_Timer,TF_Tekniker,AZ$4,TF_Dato,$A202))*2,0)/2)))</f>
        <v/>
      </c>
      <c r="BA202">
        <f>IF(OR(BA$4="",$A202&gt;TODAY()),0,IF(OR(INDEX($B202:$D202,BA$5)="F",AND(BA$6&gt;0,$A202&lt;BA$6),AND(BA$7&gt;0,$A202&gt;BA$7)),0,MAX(0,ROUND((INDEX($E202:$G202,BA$5)-SUMIFS(TF_Timer,TF_Tekniker,BA$4,TF_Dato,$A202))*2,0)/2)))</f>
        <v/>
      </c>
      <c r="BB202">
        <f>IF(OR(BB$4="",$A202&gt;TODAY()),0,IF(OR(INDEX($B202:$D202,BB$5)="F",AND(BB$6&gt;0,$A202&lt;BB$6),AND(BB$7&gt;0,$A202&gt;BB$7)),0,MAX(0,ROUND((INDEX($E202:$G202,BB$5)-SUMIFS(TF_Timer,TF_Tekniker,BB$4,TF_Dato,$A202))*2,0)/2)))</f>
        <v/>
      </c>
      <c r="BC202">
        <f>IF(OR(BC$4="",$A202&gt;TODAY()),0,IF(OR(INDEX($B202:$D202,BC$5)="F",AND(BC$6&gt;0,$A202&lt;BC$6),AND(BC$7&gt;0,$A202&gt;BC$7)),0,MAX(0,ROUND((INDEX($E202:$G202,BC$5)-SUMIFS(TF_Timer,TF_Tekniker,BC$4,TF_Dato,$A202))*2,0)/2)))</f>
        <v/>
      </c>
      <c r="BD202">
        <f>IF(OR(BD$4="",$A202&gt;TODAY()),0,IF(OR(INDEX($B202:$D202,BD$5)="F",AND(BD$6&gt;0,$A202&lt;BD$6),AND(BD$7&gt;0,$A202&gt;BD$7)),0,MAX(0,ROUND((INDEX($E202:$G202,BD$5)-SUMIFS(TF_Timer,TF_Tekniker,BD$4,TF_Dato,$A202))*2,0)/2)))</f>
        <v/>
      </c>
      <c r="BE202">
        <f>IF(OR(BE$4="",$A202&gt;TODAY()),0,IF(OR(INDEX($B202:$D202,BE$5)="F",AND(BE$6&gt;0,$A202&lt;BE$6),AND(BE$7&gt;0,$A202&gt;BE$7)),0,MAX(0,ROUND((INDEX($E202:$G202,BE$5)-SUMIFS(TF_Timer,TF_Tekniker,BE$4,TF_Dato,$A202))*2,0)/2)))</f>
        <v/>
      </c>
      <c r="BF202">
        <f>IF(OR(BF$4="",$A202&gt;TODAY()),0,IF(OR(INDEX($B202:$D202,BF$5)="F",AND(BF$6&gt;0,$A202&lt;BF$6),AND(BF$7&gt;0,$A202&gt;BF$7)),0,MAX(0,ROUND((INDEX($E202:$G202,BF$5)-SUMIFS(TF_Timer,TF_Tekniker,BF$4,TF_Dato,$A202))*2,0)/2)))</f>
        <v/>
      </c>
      <c r="BG202">
        <f>IF(OR(BG$4="",$A202&gt;TODAY()),0,IF(OR(INDEX($B202:$D202,BG$5)="F",AND(BG$6&gt;0,$A202&lt;BG$6),AND(BG$7&gt;0,$A202&gt;BG$7)),0,MAX(0,ROUND((INDEX($E202:$G202,BG$5)-SUMIFS(TF_Timer,TF_Tekniker,BG$4,TF_Dato,$A202))*2,0)/2)))</f>
        <v/>
      </c>
      <c r="BH202">
        <f>IF(OR(BH$4="",$A202&gt;TODAY()),0,IF(OR(INDEX($B202:$D202,BH$5)="F",AND(BH$6&gt;0,$A202&lt;BH$6),AND(BH$7&gt;0,$A202&gt;BH$7)),0,MAX(0,ROUND((INDEX($E202:$G202,BH$5)-SUMIFS(TF_Timer,TF_Tekniker,BH$4,TF_Dato,$A202))*2,0)/2)))</f>
        <v/>
      </c>
      <c r="BI202">
        <f>IF(OR(BI$4="",$A202&gt;TODAY()),0,IF(OR(INDEX($B202:$D202,BI$5)="F",AND(BI$6&gt;0,$A202&lt;BI$6),AND(BI$7&gt;0,$A202&gt;BI$7)),0,MAX(0,ROUND((INDEX($E202:$G202,BI$5)-SUMIFS(TF_Timer,TF_Tekniker,BI$4,TF_Dato,$A202))*2,0)/2)))</f>
        <v/>
      </c>
    </row>
    <row r="203">
      <c r="A203" s="64">
        <f>A202+1</f>
        <v/>
      </c>
      <c r="B203">
        <f>IF(MOD($A203-INDEX(SkiftStart,1),Syklus)&lt;DagK,"K",IF(MOD($A203-INDEX(SkiftStart,1),Syklus)&lt;DagK+DagH,"H",IF(MOD($A203-INDEX(SkiftStart,1),Syklus)&lt;DagK+DagH+DagD,"D","F")))</f>
        <v/>
      </c>
      <c r="C203">
        <f>IF(MOD($A203-INDEX(SkiftStart,2),Syklus)&lt;DagK,"K",IF(MOD($A203-INDEX(SkiftStart,2),Syklus)&lt;DagK+DagH,"H",IF(MOD($A203-INDEX(SkiftStart,2),Syklus)&lt;DagK+DagH+DagD,"D","F")))</f>
        <v/>
      </c>
      <c r="D203">
        <f>IF(MOD($A203-INDEX(SkiftStart,3),Syklus)&lt;DagK,"K",IF(MOD($A203-INDEX(SkiftStart,3),Syklus)&lt;DagK+DagH,"H",IF(MOD($A203-INDEX(SkiftStart,3),Syklus)&lt;DagK+DagH+DagD,"D","F")))</f>
        <v/>
      </c>
      <c r="E203">
        <f>IF(B203="F",0,IF(WEEKDAY($A203,2)=5,INDEX(TimerFr,MATCH(B203,FaseKode,0)),INDEX(TimerMT,MATCH(B203,FaseKode,0))))</f>
        <v/>
      </c>
      <c r="F203">
        <f>IF(C203="F",0,IF(WEEKDAY($A203,2)=5,INDEX(TimerFr,MATCH(C203,FaseKode,0)),INDEX(TimerMT,MATCH(C203,FaseKode,0))))</f>
        <v/>
      </c>
      <c r="G203">
        <f>IF(D203="F",0,IF(WEEKDAY($A203,2)=5,INDEX(TimerFr,MATCH(D203,FaseKode,0)),INDEX(TimerMT,MATCH(D203,FaseKode,0))))</f>
        <v/>
      </c>
      <c r="H203">
        <f>IF(OR(H$4="",$A203&gt;TODAY()),0,IF(OR(INDEX($B203:$D203,H$5)="F",AND(H$6&gt;0,$A203&lt;H$6),AND(H$7&gt;0,$A203&gt;H$7)),0,MAX(0,ROUND((INDEX($E203:$G203,H$5)-SUMIFS(TF_Timer,TF_Tekniker,H$4,TF_Dato,$A203))*2,0)/2)))</f>
        <v/>
      </c>
      <c r="I203">
        <f>IF(OR(I$4="",$A203&gt;TODAY()),0,IF(OR(INDEX($B203:$D203,I$5)="F",AND(I$6&gt;0,$A203&lt;I$6),AND(I$7&gt;0,$A203&gt;I$7)),0,MAX(0,ROUND((INDEX($E203:$G203,I$5)-SUMIFS(TF_Timer,TF_Tekniker,I$4,TF_Dato,$A203))*2,0)/2)))</f>
        <v/>
      </c>
      <c r="J203">
        <f>IF(OR(J$4="",$A203&gt;TODAY()),0,IF(OR(INDEX($B203:$D203,J$5)="F",AND(J$6&gt;0,$A203&lt;J$6),AND(J$7&gt;0,$A203&gt;J$7)),0,MAX(0,ROUND((INDEX($E203:$G203,J$5)-SUMIFS(TF_Timer,TF_Tekniker,J$4,TF_Dato,$A203))*2,0)/2)))</f>
        <v/>
      </c>
      <c r="K203">
        <f>IF(OR(K$4="",$A203&gt;TODAY()),0,IF(OR(INDEX($B203:$D203,K$5)="F",AND(K$6&gt;0,$A203&lt;K$6),AND(K$7&gt;0,$A203&gt;K$7)),0,MAX(0,ROUND((INDEX($E203:$G203,K$5)-SUMIFS(TF_Timer,TF_Tekniker,K$4,TF_Dato,$A203))*2,0)/2)))</f>
        <v/>
      </c>
      <c r="L203">
        <f>IF(OR(L$4="",$A203&gt;TODAY()),0,IF(OR(INDEX($B203:$D203,L$5)="F",AND(L$6&gt;0,$A203&lt;L$6),AND(L$7&gt;0,$A203&gt;L$7)),0,MAX(0,ROUND((INDEX($E203:$G203,L$5)-SUMIFS(TF_Timer,TF_Tekniker,L$4,TF_Dato,$A203))*2,0)/2)))</f>
        <v/>
      </c>
      <c r="M203">
        <f>IF(OR(M$4="",$A203&gt;TODAY()),0,IF(OR(INDEX($B203:$D203,M$5)="F",AND(M$6&gt;0,$A203&lt;M$6),AND(M$7&gt;0,$A203&gt;M$7)),0,MAX(0,ROUND((INDEX($E203:$G203,M$5)-SUMIFS(TF_Timer,TF_Tekniker,M$4,TF_Dato,$A203))*2,0)/2)))</f>
        <v/>
      </c>
      <c r="N203">
        <f>IF(OR(N$4="",$A203&gt;TODAY()),0,IF(OR(INDEX($B203:$D203,N$5)="F",AND(N$6&gt;0,$A203&lt;N$6),AND(N$7&gt;0,$A203&gt;N$7)),0,MAX(0,ROUND((INDEX($E203:$G203,N$5)-SUMIFS(TF_Timer,TF_Tekniker,N$4,TF_Dato,$A203))*2,0)/2)))</f>
        <v/>
      </c>
      <c r="O203">
        <f>IF(OR(O$4="",$A203&gt;TODAY()),0,IF(OR(INDEX($B203:$D203,O$5)="F",AND(O$6&gt;0,$A203&lt;O$6),AND(O$7&gt;0,$A203&gt;O$7)),0,MAX(0,ROUND((INDEX($E203:$G203,O$5)-SUMIFS(TF_Timer,TF_Tekniker,O$4,TF_Dato,$A203))*2,0)/2)))</f>
        <v/>
      </c>
      <c r="P203">
        <f>IF(OR(P$4="",$A203&gt;TODAY()),0,IF(OR(INDEX($B203:$D203,P$5)="F",AND(P$6&gt;0,$A203&lt;P$6),AND(P$7&gt;0,$A203&gt;P$7)),0,MAX(0,ROUND((INDEX($E203:$G203,P$5)-SUMIFS(TF_Timer,TF_Tekniker,P$4,TF_Dato,$A203))*2,0)/2)))</f>
        <v/>
      </c>
      <c r="Q203">
        <f>IF(OR(Q$4="",$A203&gt;TODAY()),0,IF(OR(INDEX($B203:$D203,Q$5)="F",AND(Q$6&gt;0,$A203&lt;Q$6),AND(Q$7&gt;0,$A203&gt;Q$7)),0,MAX(0,ROUND((INDEX($E203:$G203,Q$5)-SUMIFS(TF_Timer,TF_Tekniker,Q$4,TF_Dato,$A203))*2,0)/2)))</f>
        <v/>
      </c>
      <c r="R203">
        <f>IF(OR(R$4="",$A203&gt;TODAY()),0,IF(OR(INDEX($B203:$D203,R$5)="F",AND(R$6&gt;0,$A203&lt;R$6),AND(R$7&gt;0,$A203&gt;R$7)),0,MAX(0,ROUND((INDEX($E203:$G203,R$5)-SUMIFS(TF_Timer,TF_Tekniker,R$4,TF_Dato,$A203))*2,0)/2)))</f>
        <v/>
      </c>
      <c r="S203">
        <f>IF(OR(S$4="",$A203&gt;TODAY()),0,IF(OR(INDEX($B203:$D203,S$5)="F",AND(S$6&gt;0,$A203&lt;S$6),AND(S$7&gt;0,$A203&gt;S$7)),0,MAX(0,ROUND((INDEX($E203:$G203,S$5)-SUMIFS(TF_Timer,TF_Tekniker,S$4,TF_Dato,$A203))*2,0)/2)))</f>
        <v/>
      </c>
      <c r="T203">
        <f>IF(OR(T$4="",$A203&gt;TODAY()),0,IF(OR(INDEX($B203:$D203,T$5)="F",AND(T$6&gt;0,$A203&lt;T$6),AND(T$7&gt;0,$A203&gt;T$7)),0,MAX(0,ROUND((INDEX($E203:$G203,T$5)-SUMIFS(TF_Timer,TF_Tekniker,T$4,TF_Dato,$A203))*2,0)/2)))</f>
        <v/>
      </c>
      <c r="U203">
        <f>IF(OR(U$4="",$A203&gt;TODAY()),0,IF(OR(INDEX($B203:$D203,U$5)="F",AND(U$6&gt;0,$A203&lt;U$6),AND(U$7&gt;0,$A203&gt;U$7)),0,MAX(0,ROUND((INDEX($E203:$G203,U$5)-SUMIFS(TF_Timer,TF_Tekniker,U$4,TF_Dato,$A203))*2,0)/2)))</f>
        <v/>
      </c>
      <c r="V203">
        <f>IF(OR(V$4="",$A203&gt;TODAY()),0,IF(OR(INDEX($B203:$D203,V$5)="F",AND(V$6&gt;0,$A203&lt;V$6),AND(V$7&gt;0,$A203&gt;V$7)),0,MAX(0,ROUND((INDEX($E203:$G203,V$5)-SUMIFS(TF_Timer,TF_Tekniker,V$4,TF_Dato,$A203))*2,0)/2)))</f>
        <v/>
      </c>
      <c r="W203">
        <f>IF(OR(W$4="",$A203&gt;TODAY()),0,IF(OR(INDEX($B203:$D203,W$5)="F",AND(W$6&gt;0,$A203&lt;W$6),AND(W$7&gt;0,$A203&gt;W$7)),0,MAX(0,ROUND((INDEX($E203:$G203,W$5)-SUMIFS(TF_Timer,TF_Tekniker,W$4,TF_Dato,$A203))*2,0)/2)))</f>
        <v/>
      </c>
      <c r="X203">
        <f>IF(OR(X$4="",$A203&gt;TODAY()),0,IF(OR(INDEX($B203:$D203,X$5)="F",AND(X$6&gt;0,$A203&lt;X$6),AND(X$7&gt;0,$A203&gt;X$7)),0,MAX(0,ROUND((INDEX($E203:$G203,X$5)-SUMIFS(TF_Timer,TF_Tekniker,X$4,TF_Dato,$A203))*2,0)/2)))</f>
        <v/>
      </c>
      <c r="Y203">
        <f>IF(OR(Y$4="",$A203&gt;TODAY()),0,IF(OR(INDEX($B203:$D203,Y$5)="F",AND(Y$6&gt;0,$A203&lt;Y$6),AND(Y$7&gt;0,$A203&gt;Y$7)),0,MAX(0,ROUND((INDEX($E203:$G203,Y$5)-SUMIFS(TF_Timer,TF_Tekniker,Y$4,TF_Dato,$A203))*2,0)/2)))</f>
        <v/>
      </c>
      <c r="Z203">
        <f>IF(OR(Z$4="",$A203&gt;TODAY()),0,IF(OR(INDEX($B203:$D203,Z$5)="F",AND(Z$6&gt;0,$A203&lt;Z$6),AND(Z$7&gt;0,$A203&gt;Z$7)),0,MAX(0,ROUND((INDEX($E203:$G203,Z$5)-SUMIFS(TF_Timer,TF_Tekniker,Z$4,TF_Dato,$A203))*2,0)/2)))</f>
        <v/>
      </c>
      <c r="AA203">
        <f>IF(OR(AA$4="",$A203&gt;TODAY()),0,IF(OR(INDEX($B203:$D203,AA$5)="F",AND(AA$6&gt;0,$A203&lt;AA$6),AND(AA$7&gt;0,$A203&gt;AA$7)),0,MAX(0,ROUND((INDEX($E203:$G203,AA$5)-SUMIFS(TF_Timer,TF_Tekniker,AA$4,TF_Dato,$A203))*2,0)/2)))</f>
        <v/>
      </c>
      <c r="AB203">
        <f>IF(OR(AB$4="",$A203&gt;TODAY()),0,IF(OR(INDEX($B203:$D203,AB$5)="F",AND(AB$6&gt;0,$A203&lt;AB$6),AND(AB$7&gt;0,$A203&gt;AB$7)),0,MAX(0,ROUND((INDEX($E203:$G203,AB$5)-SUMIFS(TF_Timer,TF_Tekniker,AB$4,TF_Dato,$A203))*2,0)/2)))</f>
        <v/>
      </c>
      <c r="AC203">
        <f>IF(OR(AC$4="",$A203&gt;TODAY()),0,IF(OR(INDEX($B203:$D203,AC$5)="F",AND(AC$6&gt;0,$A203&lt;AC$6),AND(AC$7&gt;0,$A203&gt;AC$7)),0,MAX(0,ROUND((INDEX($E203:$G203,AC$5)-SUMIFS(TF_Timer,TF_Tekniker,AC$4,TF_Dato,$A203))*2,0)/2)))</f>
        <v/>
      </c>
      <c r="AD203">
        <f>IF(OR(AD$4="",$A203&gt;TODAY()),0,IF(OR(INDEX($B203:$D203,AD$5)="F",AND(AD$6&gt;0,$A203&lt;AD$6),AND(AD$7&gt;0,$A203&gt;AD$7)),0,MAX(0,ROUND((INDEX($E203:$G203,AD$5)-SUMIFS(TF_Timer,TF_Tekniker,AD$4,TF_Dato,$A203))*2,0)/2)))</f>
        <v/>
      </c>
      <c r="AE203">
        <f>IF(OR(AE$4="",$A203&gt;TODAY()),0,IF(OR(INDEX($B203:$D203,AE$5)="F",AND(AE$6&gt;0,$A203&lt;AE$6),AND(AE$7&gt;0,$A203&gt;AE$7)),0,MAX(0,ROUND((INDEX($E203:$G203,AE$5)-SUMIFS(TF_Timer,TF_Tekniker,AE$4,TF_Dato,$A203))*2,0)/2)))</f>
        <v/>
      </c>
      <c r="AF203">
        <f>IF(OR(AF$4="",$A203&gt;TODAY()),0,IF(OR(INDEX($B203:$D203,AF$5)="F",AND(AF$6&gt;0,$A203&lt;AF$6),AND(AF$7&gt;0,$A203&gt;AF$7)),0,MAX(0,ROUND((INDEX($E203:$G203,AF$5)-SUMIFS(TF_Timer,TF_Tekniker,AF$4,TF_Dato,$A203))*2,0)/2)))</f>
        <v/>
      </c>
      <c r="AG203">
        <f>IF(OR(AG$4="",$A203&gt;TODAY()),0,IF(OR(INDEX($B203:$D203,AG$5)="F",AND(AG$6&gt;0,$A203&lt;AG$6),AND(AG$7&gt;0,$A203&gt;AG$7)),0,MAX(0,ROUND((INDEX($E203:$G203,AG$5)-SUMIFS(TF_Timer,TF_Tekniker,AG$4,TF_Dato,$A203))*2,0)/2)))</f>
        <v/>
      </c>
      <c r="AH203">
        <f>IF(OR(AH$4="",$A203&gt;TODAY()),0,IF(OR(INDEX($B203:$D203,AH$5)="F",AND(AH$6&gt;0,$A203&lt;AH$6),AND(AH$7&gt;0,$A203&gt;AH$7)),0,MAX(0,ROUND((INDEX($E203:$G203,AH$5)-SUMIFS(TF_Timer,TF_Tekniker,AH$4,TF_Dato,$A203))*2,0)/2)))</f>
        <v/>
      </c>
      <c r="AI203">
        <f>IF(OR(AI$4="",$A203&gt;TODAY()),0,IF(OR(INDEX($B203:$D203,AI$5)="F",AND(AI$6&gt;0,$A203&lt;AI$6),AND(AI$7&gt;0,$A203&gt;AI$7)),0,MAX(0,ROUND((INDEX($E203:$G203,AI$5)-SUMIFS(TF_Timer,TF_Tekniker,AI$4,TF_Dato,$A203))*2,0)/2)))</f>
        <v/>
      </c>
      <c r="AJ203">
        <f>IF(OR(AJ$4="",$A203&gt;TODAY()),0,IF(OR(INDEX($B203:$D203,AJ$5)="F",AND(AJ$6&gt;0,$A203&lt;AJ$6),AND(AJ$7&gt;0,$A203&gt;AJ$7)),0,MAX(0,ROUND((INDEX($E203:$G203,AJ$5)-SUMIFS(TF_Timer,TF_Tekniker,AJ$4,TF_Dato,$A203))*2,0)/2)))</f>
        <v/>
      </c>
      <c r="AK203">
        <f>IF(OR(AK$4="",$A203&gt;TODAY()),0,IF(OR(INDEX($B203:$D203,AK$5)="F",AND(AK$6&gt;0,$A203&lt;AK$6),AND(AK$7&gt;0,$A203&gt;AK$7)),0,MAX(0,ROUND((INDEX($E203:$G203,AK$5)-SUMIFS(TF_Timer,TF_Tekniker,AK$4,TF_Dato,$A203))*2,0)/2)))</f>
        <v/>
      </c>
      <c r="AL203">
        <f>IF(OR(AL$4="",$A203&gt;TODAY()),0,IF(OR(INDEX($B203:$D203,AL$5)="F",AND(AL$6&gt;0,$A203&lt;AL$6),AND(AL$7&gt;0,$A203&gt;AL$7)),0,MAX(0,ROUND((INDEX($E203:$G203,AL$5)-SUMIFS(TF_Timer,TF_Tekniker,AL$4,TF_Dato,$A203))*2,0)/2)))</f>
        <v/>
      </c>
      <c r="AM203">
        <f>IF(OR(AM$4="",$A203&gt;TODAY()),0,IF(OR(INDEX($B203:$D203,AM$5)="F",AND(AM$6&gt;0,$A203&lt;AM$6),AND(AM$7&gt;0,$A203&gt;AM$7)),0,MAX(0,ROUND((INDEX($E203:$G203,AM$5)-SUMIFS(TF_Timer,TF_Tekniker,AM$4,TF_Dato,$A203))*2,0)/2)))</f>
        <v/>
      </c>
      <c r="AN203">
        <f>IF(OR(AN$4="",$A203&gt;TODAY()),0,IF(OR(INDEX($B203:$D203,AN$5)="F",AND(AN$6&gt;0,$A203&lt;AN$6),AND(AN$7&gt;0,$A203&gt;AN$7)),0,MAX(0,ROUND((INDEX($E203:$G203,AN$5)-SUMIFS(TF_Timer,TF_Tekniker,AN$4,TF_Dato,$A203))*2,0)/2)))</f>
        <v/>
      </c>
      <c r="AO203">
        <f>IF(OR(AO$4="",$A203&gt;TODAY()),0,IF(OR(INDEX($B203:$D203,AO$5)="F",AND(AO$6&gt;0,$A203&lt;AO$6),AND(AO$7&gt;0,$A203&gt;AO$7)),0,MAX(0,ROUND((INDEX($E203:$G203,AO$5)-SUMIFS(TF_Timer,TF_Tekniker,AO$4,TF_Dato,$A203))*2,0)/2)))</f>
        <v/>
      </c>
      <c r="AP203">
        <f>IF(OR(AP$4="",$A203&gt;TODAY()),0,IF(OR(INDEX($B203:$D203,AP$5)="F",AND(AP$6&gt;0,$A203&lt;AP$6),AND(AP$7&gt;0,$A203&gt;AP$7)),0,MAX(0,ROUND((INDEX($E203:$G203,AP$5)-SUMIFS(TF_Timer,TF_Tekniker,AP$4,TF_Dato,$A203))*2,0)/2)))</f>
        <v/>
      </c>
      <c r="AQ203">
        <f>IF(OR(AQ$4="",$A203&gt;TODAY()),0,IF(OR(INDEX($B203:$D203,AQ$5)="F",AND(AQ$6&gt;0,$A203&lt;AQ$6),AND(AQ$7&gt;0,$A203&gt;AQ$7)),0,MAX(0,ROUND((INDEX($E203:$G203,AQ$5)-SUMIFS(TF_Timer,TF_Tekniker,AQ$4,TF_Dato,$A203))*2,0)/2)))</f>
        <v/>
      </c>
      <c r="AR203">
        <f>IF(OR(AR$4="",$A203&gt;TODAY()),0,IF(OR(INDEX($B203:$D203,AR$5)="F",AND(AR$6&gt;0,$A203&lt;AR$6),AND(AR$7&gt;0,$A203&gt;AR$7)),0,MAX(0,ROUND((INDEX($E203:$G203,AR$5)-SUMIFS(TF_Timer,TF_Tekniker,AR$4,TF_Dato,$A203))*2,0)/2)))</f>
        <v/>
      </c>
      <c r="AS203">
        <f>IF(OR(AS$4="",$A203&gt;TODAY()),0,IF(OR(INDEX($B203:$D203,AS$5)="F",AND(AS$6&gt;0,$A203&lt;AS$6),AND(AS$7&gt;0,$A203&gt;AS$7)),0,MAX(0,ROUND((INDEX($E203:$G203,AS$5)-SUMIFS(TF_Timer,TF_Tekniker,AS$4,TF_Dato,$A203))*2,0)/2)))</f>
        <v/>
      </c>
      <c r="AT203">
        <f>IF(OR(AT$4="",$A203&gt;TODAY()),0,IF(OR(INDEX($B203:$D203,AT$5)="F",AND(AT$6&gt;0,$A203&lt;AT$6),AND(AT$7&gt;0,$A203&gt;AT$7)),0,MAX(0,ROUND((INDEX($E203:$G203,AT$5)-SUMIFS(TF_Timer,TF_Tekniker,AT$4,TF_Dato,$A203))*2,0)/2)))</f>
        <v/>
      </c>
      <c r="AU203">
        <f>IF(OR(AU$4="",$A203&gt;TODAY()),0,IF(OR(INDEX($B203:$D203,AU$5)="F",AND(AU$6&gt;0,$A203&lt;AU$6),AND(AU$7&gt;0,$A203&gt;AU$7)),0,MAX(0,ROUND((INDEX($E203:$G203,AU$5)-SUMIFS(TF_Timer,TF_Tekniker,AU$4,TF_Dato,$A203))*2,0)/2)))</f>
        <v/>
      </c>
      <c r="AV203">
        <f>IF(OR(AV$4="",$A203&gt;TODAY()),0,IF(OR(INDEX($B203:$D203,AV$5)="F",AND(AV$6&gt;0,$A203&lt;AV$6),AND(AV$7&gt;0,$A203&gt;AV$7)),0,MAX(0,ROUND((INDEX($E203:$G203,AV$5)-SUMIFS(TF_Timer,TF_Tekniker,AV$4,TF_Dato,$A203))*2,0)/2)))</f>
        <v/>
      </c>
      <c r="AW203">
        <f>IF(OR(AW$4="",$A203&gt;TODAY()),0,IF(OR(INDEX($B203:$D203,AW$5)="F",AND(AW$6&gt;0,$A203&lt;AW$6),AND(AW$7&gt;0,$A203&gt;AW$7)),0,MAX(0,ROUND((INDEX($E203:$G203,AW$5)-SUMIFS(TF_Timer,TF_Tekniker,AW$4,TF_Dato,$A203))*2,0)/2)))</f>
        <v/>
      </c>
      <c r="AX203">
        <f>IF(OR(AX$4="",$A203&gt;TODAY()),0,IF(OR(INDEX($B203:$D203,AX$5)="F",AND(AX$6&gt;0,$A203&lt;AX$6),AND(AX$7&gt;0,$A203&gt;AX$7)),0,MAX(0,ROUND((INDEX($E203:$G203,AX$5)-SUMIFS(TF_Timer,TF_Tekniker,AX$4,TF_Dato,$A203))*2,0)/2)))</f>
        <v/>
      </c>
      <c r="AY203">
        <f>IF(OR(AY$4="",$A203&gt;TODAY()),0,IF(OR(INDEX($B203:$D203,AY$5)="F",AND(AY$6&gt;0,$A203&lt;AY$6),AND(AY$7&gt;0,$A203&gt;AY$7)),0,MAX(0,ROUND((INDEX($E203:$G203,AY$5)-SUMIFS(TF_Timer,TF_Tekniker,AY$4,TF_Dato,$A203))*2,0)/2)))</f>
        <v/>
      </c>
      <c r="AZ203">
        <f>IF(OR(AZ$4="",$A203&gt;TODAY()),0,IF(OR(INDEX($B203:$D203,AZ$5)="F",AND(AZ$6&gt;0,$A203&lt;AZ$6),AND(AZ$7&gt;0,$A203&gt;AZ$7)),0,MAX(0,ROUND((INDEX($E203:$G203,AZ$5)-SUMIFS(TF_Timer,TF_Tekniker,AZ$4,TF_Dato,$A203))*2,0)/2)))</f>
        <v/>
      </c>
      <c r="BA203">
        <f>IF(OR(BA$4="",$A203&gt;TODAY()),0,IF(OR(INDEX($B203:$D203,BA$5)="F",AND(BA$6&gt;0,$A203&lt;BA$6),AND(BA$7&gt;0,$A203&gt;BA$7)),0,MAX(0,ROUND((INDEX($E203:$G203,BA$5)-SUMIFS(TF_Timer,TF_Tekniker,BA$4,TF_Dato,$A203))*2,0)/2)))</f>
        <v/>
      </c>
      <c r="BB203">
        <f>IF(OR(BB$4="",$A203&gt;TODAY()),0,IF(OR(INDEX($B203:$D203,BB$5)="F",AND(BB$6&gt;0,$A203&lt;BB$6),AND(BB$7&gt;0,$A203&gt;BB$7)),0,MAX(0,ROUND((INDEX($E203:$G203,BB$5)-SUMIFS(TF_Timer,TF_Tekniker,BB$4,TF_Dato,$A203))*2,0)/2)))</f>
        <v/>
      </c>
      <c r="BC203">
        <f>IF(OR(BC$4="",$A203&gt;TODAY()),0,IF(OR(INDEX($B203:$D203,BC$5)="F",AND(BC$6&gt;0,$A203&lt;BC$6),AND(BC$7&gt;0,$A203&gt;BC$7)),0,MAX(0,ROUND((INDEX($E203:$G203,BC$5)-SUMIFS(TF_Timer,TF_Tekniker,BC$4,TF_Dato,$A203))*2,0)/2)))</f>
        <v/>
      </c>
      <c r="BD203">
        <f>IF(OR(BD$4="",$A203&gt;TODAY()),0,IF(OR(INDEX($B203:$D203,BD$5)="F",AND(BD$6&gt;0,$A203&lt;BD$6),AND(BD$7&gt;0,$A203&gt;BD$7)),0,MAX(0,ROUND((INDEX($E203:$G203,BD$5)-SUMIFS(TF_Timer,TF_Tekniker,BD$4,TF_Dato,$A203))*2,0)/2)))</f>
        <v/>
      </c>
      <c r="BE203">
        <f>IF(OR(BE$4="",$A203&gt;TODAY()),0,IF(OR(INDEX($B203:$D203,BE$5)="F",AND(BE$6&gt;0,$A203&lt;BE$6),AND(BE$7&gt;0,$A203&gt;BE$7)),0,MAX(0,ROUND((INDEX($E203:$G203,BE$5)-SUMIFS(TF_Timer,TF_Tekniker,BE$4,TF_Dato,$A203))*2,0)/2)))</f>
        <v/>
      </c>
      <c r="BF203">
        <f>IF(OR(BF$4="",$A203&gt;TODAY()),0,IF(OR(INDEX($B203:$D203,BF$5)="F",AND(BF$6&gt;0,$A203&lt;BF$6),AND(BF$7&gt;0,$A203&gt;BF$7)),0,MAX(0,ROUND((INDEX($E203:$G203,BF$5)-SUMIFS(TF_Timer,TF_Tekniker,BF$4,TF_Dato,$A203))*2,0)/2)))</f>
        <v/>
      </c>
      <c r="BG203">
        <f>IF(OR(BG$4="",$A203&gt;TODAY()),0,IF(OR(INDEX($B203:$D203,BG$5)="F",AND(BG$6&gt;0,$A203&lt;BG$6),AND(BG$7&gt;0,$A203&gt;BG$7)),0,MAX(0,ROUND((INDEX($E203:$G203,BG$5)-SUMIFS(TF_Timer,TF_Tekniker,BG$4,TF_Dato,$A203))*2,0)/2)))</f>
        <v/>
      </c>
      <c r="BH203">
        <f>IF(OR(BH$4="",$A203&gt;TODAY()),0,IF(OR(INDEX($B203:$D203,BH$5)="F",AND(BH$6&gt;0,$A203&lt;BH$6),AND(BH$7&gt;0,$A203&gt;BH$7)),0,MAX(0,ROUND((INDEX($E203:$G203,BH$5)-SUMIFS(TF_Timer,TF_Tekniker,BH$4,TF_Dato,$A203))*2,0)/2)))</f>
        <v/>
      </c>
      <c r="BI203">
        <f>IF(OR(BI$4="",$A203&gt;TODAY()),0,IF(OR(INDEX($B203:$D203,BI$5)="F",AND(BI$6&gt;0,$A203&lt;BI$6),AND(BI$7&gt;0,$A203&gt;BI$7)),0,MAX(0,ROUND((INDEX($E203:$G203,BI$5)-SUMIFS(TF_Timer,TF_Tekniker,BI$4,TF_Dato,$A203))*2,0)/2)))</f>
        <v/>
      </c>
    </row>
    <row r="204">
      <c r="A204" s="64">
        <f>A203+1</f>
        <v/>
      </c>
      <c r="B204">
        <f>IF(MOD($A204-INDEX(SkiftStart,1),Syklus)&lt;DagK,"K",IF(MOD($A204-INDEX(SkiftStart,1),Syklus)&lt;DagK+DagH,"H",IF(MOD($A204-INDEX(SkiftStart,1),Syklus)&lt;DagK+DagH+DagD,"D","F")))</f>
        <v/>
      </c>
      <c r="C204">
        <f>IF(MOD($A204-INDEX(SkiftStart,2),Syklus)&lt;DagK,"K",IF(MOD($A204-INDEX(SkiftStart,2),Syklus)&lt;DagK+DagH,"H",IF(MOD($A204-INDEX(SkiftStart,2),Syklus)&lt;DagK+DagH+DagD,"D","F")))</f>
        <v/>
      </c>
      <c r="D204">
        <f>IF(MOD($A204-INDEX(SkiftStart,3),Syklus)&lt;DagK,"K",IF(MOD($A204-INDEX(SkiftStart,3),Syklus)&lt;DagK+DagH,"H",IF(MOD($A204-INDEX(SkiftStart,3),Syklus)&lt;DagK+DagH+DagD,"D","F")))</f>
        <v/>
      </c>
      <c r="E204">
        <f>IF(B204="F",0,IF(WEEKDAY($A204,2)=5,INDEX(TimerFr,MATCH(B204,FaseKode,0)),INDEX(TimerMT,MATCH(B204,FaseKode,0))))</f>
        <v/>
      </c>
      <c r="F204">
        <f>IF(C204="F",0,IF(WEEKDAY($A204,2)=5,INDEX(TimerFr,MATCH(C204,FaseKode,0)),INDEX(TimerMT,MATCH(C204,FaseKode,0))))</f>
        <v/>
      </c>
      <c r="G204">
        <f>IF(D204="F",0,IF(WEEKDAY($A204,2)=5,INDEX(TimerFr,MATCH(D204,FaseKode,0)),INDEX(TimerMT,MATCH(D204,FaseKode,0))))</f>
        <v/>
      </c>
      <c r="H204">
        <f>IF(OR(H$4="",$A204&gt;TODAY()),0,IF(OR(INDEX($B204:$D204,H$5)="F",AND(H$6&gt;0,$A204&lt;H$6),AND(H$7&gt;0,$A204&gt;H$7)),0,MAX(0,ROUND((INDEX($E204:$G204,H$5)-SUMIFS(TF_Timer,TF_Tekniker,H$4,TF_Dato,$A204))*2,0)/2)))</f>
        <v/>
      </c>
      <c r="I204">
        <f>IF(OR(I$4="",$A204&gt;TODAY()),0,IF(OR(INDEX($B204:$D204,I$5)="F",AND(I$6&gt;0,$A204&lt;I$6),AND(I$7&gt;0,$A204&gt;I$7)),0,MAX(0,ROUND((INDEX($E204:$G204,I$5)-SUMIFS(TF_Timer,TF_Tekniker,I$4,TF_Dato,$A204))*2,0)/2)))</f>
        <v/>
      </c>
      <c r="J204">
        <f>IF(OR(J$4="",$A204&gt;TODAY()),0,IF(OR(INDEX($B204:$D204,J$5)="F",AND(J$6&gt;0,$A204&lt;J$6),AND(J$7&gt;0,$A204&gt;J$7)),0,MAX(0,ROUND((INDEX($E204:$G204,J$5)-SUMIFS(TF_Timer,TF_Tekniker,J$4,TF_Dato,$A204))*2,0)/2)))</f>
        <v/>
      </c>
      <c r="K204">
        <f>IF(OR(K$4="",$A204&gt;TODAY()),0,IF(OR(INDEX($B204:$D204,K$5)="F",AND(K$6&gt;0,$A204&lt;K$6),AND(K$7&gt;0,$A204&gt;K$7)),0,MAX(0,ROUND((INDEX($E204:$G204,K$5)-SUMIFS(TF_Timer,TF_Tekniker,K$4,TF_Dato,$A204))*2,0)/2)))</f>
        <v/>
      </c>
      <c r="L204">
        <f>IF(OR(L$4="",$A204&gt;TODAY()),0,IF(OR(INDEX($B204:$D204,L$5)="F",AND(L$6&gt;0,$A204&lt;L$6),AND(L$7&gt;0,$A204&gt;L$7)),0,MAX(0,ROUND((INDEX($E204:$G204,L$5)-SUMIFS(TF_Timer,TF_Tekniker,L$4,TF_Dato,$A204))*2,0)/2)))</f>
        <v/>
      </c>
      <c r="M204">
        <f>IF(OR(M$4="",$A204&gt;TODAY()),0,IF(OR(INDEX($B204:$D204,M$5)="F",AND(M$6&gt;0,$A204&lt;M$6),AND(M$7&gt;0,$A204&gt;M$7)),0,MAX(0,ROUND((INDEX($E204:$G204,M$5)-SUMIFS(TF_Timer,TF_Tekniker,M$4,TF_Dato,$A204))*2,0)/2)))</f>
        <v/>
      </c>
      <c r="N204">
        <f>IF(OR(N$4="",$A204&gt;TODAY()),0,IF(OR(INDEX($B204:$D204,N$5)="F",AND(N$6&gt;0,$A204&lt;N$6),AND(N$7&gt;0,$A204&gt;N$7)),0,MAX(0,ROUND((INDEX($E204:$G204,N$5)-SUMIFS(TF_Timer,TF_Tekniker,N$4,TF_Dato,$A204))*2,0)/2)))</f>
        <v/>
      </c>
      <c r="O204">
        <f>IF(OR(O$4="",$A204&gt;TODAY()),0,IF(OR(INDEX($B204:$D204,O$5)="F",AND(O$6&gt;0,$A204&lt;O$6),AND(O$7&gt;0,$A204&gt;O$7)),0,MAX(0,ROUND((INDEX($E204:$G204,O$5)-SUMIFS(TF_Timer,TF_Tekniker,O$4,TF_Dato,$A204))*2,0)/2)))</f>
        <v/>
      </c>
      <c r="P204">
        <f>IF(OR(P$4="",$A204&gt;TODAY()),0,IF(OR(INDEX($B204:$D204,P$5)="F",AND(P$6&gt;0,$A204&lt;P$6),AND(P$7&gt;0,$A204&gt;P$7)),0,MAX(0,ROUND((INDEX($E204:$G204,P$5)-SUMIFS(TF_Timer,TF_Tekniker,P$4,TF_Dato,$A204))*2,0)/2)))</f>
        <v/>
      </c>
      <c r="Q204">
        <f>IF(OR(Q$4="",$A204&gt;TODAY()),0,IF(OR(INDEX($B204:$D204,Q$5)="F",AND(Q$6&gt;0,$A204&lt;Q$6),AND(Q$7&gt;0,$A204&gt;Q$7)),0,MAX(0,ROUND((INDEX($E204:$G204,Q$5)-SUMIFS(TF_Timer,TF_Tekniker,Q$4,TF_Dato,$A204))*2,0)/2)))</f>
        <v/>
      </c>
      <c r="R204">
        <f>IF(OR(R$4="",$A204&gt;TODAY()),0,IF(OR(INDEX($B204:$D204,R$5)="F",AND(R$6&gt;0,$A204&lt;R$6),AND(R$7&gt;0,$A204&gt;R$7)),0,MAX(0,ROUND((INDEX($E204:$G204,R$5)-SUMIFS(TF_Timer,TF_Tekniker,R$4,TF_Dato,$A204))*2,0)/2)))</f>
        <v/>
      </c>
      <c r="S204">
        <f>IF(OR(S$4="",$A204&gt;TODAY()),0,IF(OR(INDEX($B204:$D204,S$5)="F",AND(S$6&gt;0,$A204&lt;S$6),AND(S$7&gt;0,$A204&gt;S$7)),0,MAX(0,ROUND((INDEX($E204:$G204,S$5)-SUMIFS(TF_Timer,TF_Tekniker,S$4,TF_Dato,$A204))*2,0)/2)))</f>
        <v/>
      </c>
      <c r="T204">
        <f>IF(OR(T$4="",$A204&gt;TODAY()),0,IF(OR(INDEX($B204:$D204,T$5)="F",AND(T$6&gt;0,$A204&lt;T$6),AND(T$7&gt;0,$A204&gt;T$7)),0,MAX(0,ROUND((INDEX($E204:$G204,T$5)-SUMIFS(TF_Timer,TF_Tekniker,T$4,TF_Dato,$A204))*2,0)/2)))</f>
        <v/>
      </c>
      <c r="U204">
        <f>IF(OR(U$4="",$A204&gt;TODAY()),0,IF(OR(INDEX($B204:$D204,U$5)="F",AND(U$6&gt;0,$A204&lt;U$6),AND(U$7&gt;0,$A204&gt;U$7)),0,MAX(0,ROUND((INDEX($E204:$G204,U$5)-SUMIFS(TF_Timer,TF_Tekniker,U$4,TF_Dato,$A204))*2,0)/2)))</f>
        <v/>
      </c>
      <c r="V204">
        <f>IF(OR(V$4="",$A204&gt;TODAY()),0,IF(OR(INDEX($B204:$D204,V$5)="F",AND(V$6&gt;0,$A204&lt;V$6),AND(V$7&gt;0,$A204&gt;V$7)),0,MAX(0,ROUND((INDEX($E204:$G204,V$5)-SUMIFS(TF_Timer,TF_Tekniker,V$4,TF_Dato,$A204))*2,0)/2)))</f>
        <v/>
      </c>
      <c r="W204">
        <f>IF(OR(W$4="",$A204&gt;TODAY()),0,IF(OR(INDEX($B204:$D204,W$5)="F",AND(W$6&gt;0,$A204&lt;W$6),AND(W$7&gt;0,$A204&gt;W$7)),0,MAX(0,ROUND((INDEX($E204:$G204,W$5)-SUMIFS(TF_Timer,TF_Tekniker,W$4,TF_Dato,$A204))*2,0)/2)))</f>
        <v/>
      </c>
      <c r="X204">
        <f>IF(OR(X$4="",$A204&gt;TODAY()),0,IF(OR(INDEX($B204:$D204,X$5)="F",AND(X$6&gt;0,$A204&lt;X$6),AND(X$7&gt;0,$A204&gt;X$7)),0,MAX(0,ROUND((INDEX($E204:$G204,X$5)-SUMIFS(TF_Timer,TF_Tekniker,X$4,TF_Dato,$A204))*2,0)/2)))</f>
        <v/>
      </c>
      <c r="Y204">
        <f>IF(OR(Y$4="",$A204&gt;TODAY()),0,IF(OR(INDEX($B204:$D204,Y$5)="F",AND(Y$6&gt;0,$A204&lt;Y$6),AND(Y$7&gt;0,$A204&gt;Y$7)),0,MAX(0,ROUND((INDEX($E204:$G204,Y$5)-SUMIFS(TF_Timer,TF_Tekniker,Y$4,TF_Dato,$A204))*2,0)/2)))</f>
        <v/>
      </c>
      <c r="Z204">
        <f>IF(OR(Z$4="",$A204&gt;TODAY()),0,IF(OR(INDEX($B204:$D204,Z$5)="F",AND(Z$6&gt;0,$A204&lt;Z$6),AND(Z$7&gt;0,$A204&gt;Z$7)),0,MAX(0,ROUND((INDEX($E204:$G204,Z$5)-SUMIFS(TF_Timer,TF_Tekniker,Z$4,TF_Dato,$A204))*2,0)/2)))</f>
        <v/>
      </c>
      <c r="AA204">
        <f>IF(OR(AA$4="",$A204&gt;TODAY()),0,IF(OR(INDEX($B204:$D204,AA$5)="F",AND(AA$6&gt;0,$A204&lt;AA$6),AND(AA$7&gt;0,$A204&gt;AA$7)),0,MAX(0,ROUND((INDEX($E204:$G204,AA$5)-SUMIFS(TF_Timer,TF_Tekniker,AA$4,TF_Dato,$A204))*2,0)/2)))</f>
        <v/>
      </c>
      <c r="AB204">
        <f>IF(OR(AB$4="",$A204&gt;TODAY()),0,IF(OR(INDEX($B204:$D204,AB$5)="F",AND(AB$6&gt;0,$A204&lt;AB$6),AND(AB$7&gt;0,$A204&gt;AB$7)),0,MAX(0,ROUND((INDEX($E204:$G204,AB$5)-SUMIFS(TF_Timer,TF_Tekniker,AB$4,TF_Dato,$A204))*2,0)/2)))</f>
        <v/>
      </c>
      <c r="AC204">
        <f>IF(OR(AC$4="",$A204&gt;TODAY()),0,IF(OR(INDEX($B204:$D204,AC$5)="F",AND(AC$6&gt;0,$A204&lt;AC$6),AND(AC$7&gt;0,$A204&gt;AC$7)),0,MAX(0,ROUND((INDEX($E204:$G204,AC$5)-SUMIFS(TF_Timer,TF_Tekniker,AC$4,TF_Dato,$A204))*2,0)/2)))</f>
        <v/>
      </c>
      <c r="AD204">
        <f>IF(OR(AD$4="",$A204&gt;TODAY()),0,IF(OR(INDEX($B204:$D204,AD$5)="F",AND(AD$6&gt;0,$A204&lt;AD$6),AND(AD$7&gt;0,$A204&gt;AD$7)),0,MAX(0,ROUND((INDEX($E204:$G204,AD$5)-SUMIFS(TF_Timer,TF_Tekniker,AD$4,TF_Dato,$A204))*2,0)/2)))</f>
        <v/>
      </c>
      <c r="AE204">
        <f>IF(OR(AE$4="",$A204&gt;TODAY()),0,IF(OR(INDEX($B204:$D204,AE$5)="F",AND(AE$6&gt;0,$A204&lt;AE$6),AND(AE$7&gt;0,$A204&gt;AE$7)),0,MAX(0,ROUND((INDEX($E204:$G204,AE$5)-SUMIFS(TF_Timer,TF_Tekniker,AE$4,TF_Dato,$A204))*2,0)/2)))</f>
        <v/>
      </c>
      <c r="AF204">
        <f>IF(OR(AF$4="",$A204&gt;TODAY()),0,IF(OR(INDEX($B204:$D204,AF$5)="F",AND(AF$6&gt;0,$A204&lt;AF$6),AND(AF$7&gt;0,$A204&gt;AF$7)),0,MAX(0,ROUND((INDEX($E204:$G204,AF$5)-SUMIFS(TF_Timer,TF_Tekniker,AF$4,TF_Dato,$A204))*2,0)/2)))</f>
        <v/>
      </c>
      <c r="AG204">
        <f>IF(OR(AG$4="",$A204&gt;TODAY()),0,IF(OR(INDEX($B204:$D204,AG$5)="F",AND(AG$6&gt;0,$A204&lt;AG$6),AND(AG$7&gt;0,$A204&gt;AG$7)),0,MAX(0,ROUND((INDEX($E204:$G204,AG$5)-SUMIFS(TF_Timer,TF_Tekniker,AG$4,TF_Dato,$A204))*2,0)/2)))</f>
        <v/>
      </c>
      <c r="AH204">
        <f>IF(OR(AH$4="",$A204&gt;TODAY()),0,IF(OR(INDEX($B204:$D204,AH$5)="F",AND(AH$6&gt;0,$A204&lt;AH$6),AND(AH$7&gt;0,$A204&gt;AH$7)),0,MAX(0,ROUND((INDEX($E204:$G204,AH$5)-SUMIFS(TF_Timer,TF_Tekniker,AH$4,TF_Dato,$A204))*2,0)/2)))</f>
        <v/>
      </c>
      <c r="AI204">
        <f>IF(OR(AI$4="",$A204&gt;TODAY()),0,IF(OR(INDEX($B204:$D204,AI$5)="F",AND(AI$6&gt;0,$A204&lt;AI$6),AND(AI$7&gt;0,$A204&gt;AI$7)),0,MAX(0,ROUND((INDEX($E204:$G204,AI$5)-SUMIFS(TF_Timer,TF_Tekniker,AI$4,TF_Dato,$A204))*2,0)/2)))</f>
        <v/>
      </c>
      <c r="AJ204">
        <f>IF(OR(AJ$4="",$A204&gt;TODAY()),0,IF(OR(INDEX($B204:$D204,AJ$5)="F",AND(AJ$6&gt;0,$A204&lt;AJ$6),AND(AJ$7&gt;0,$A204&gt;AJ$7)),0,MAX(0,ROUND((INDEX($E204:$G204,AJ$5)-SUMIFS(TF_Timer,TF_Tekniker,AJ$4,TF_Dato,$A204))*2,0)/2)))</f>
        <v/>
      </c>
      <c r="AK204">
        <f>IF(OR(AK$4="",$A204&gt;TODAY()),0,IF(OR(INDEX($B204:$D204,AK$5)="F",AND(AK$6&gt;0,$A204&lt;AK$6),AND(AK$7&gt;0,$A204&gt;AK$7)),0,MAX(0,ROUND((INDEX($E204:$G204,AK$5)-SUMIFS(TF_Timer,TF_Tekniker,AK$4,TF_Dato,$A204))*2,0)/2)))</f>
        <v/>
      </c>
      <c r="AL204">
        <f>IF(OR(AL$4="",$A204&gt;TODAY()),0,IF(OR(INDEX($B204:$D204,AL$5)="F",AND(AL$6&gt;0,$A204&lt;AL$6),AND(AL$7&gt;0,$A204&gt;AL$7)),0,MAX(0,ROUND((INDEX($E204:$G204,AL$5)-SUMIFS(TF_Timer,TF_Tekniker,AL$4,TF_Dato,$A204))*2,0)/2)))</f>
        <v/>
      </c>
      <c r="AM204">
        <f>IF(OR(AM$4="",$A204&gt;TODAY()),0,IF(OR(INDEX($B204:$D204,AM$5)="F",AND(AM$6&gt;0,$A204&lt;AM$6),AND(AM$7&gt;0,$A204&gt;AM$7)),0,MAX(0,ROUND((INDEX($E204:$G204,AM$5)-SUMIFS(TF_Timer,TF_Tekniker,AM$4,TF_Dato,$A204))*2,0)/2)))</f>
        <v/>
      </c>
      <c r="AN204">
        <f>IF(OR(AN$4="",$A204&gt;TODAY()),0,IF(OR(INDEX($B204:$D204,AN$5)="F",AND(AN$6&gt;0,$A204&lt;AN$6),AND(AN$7&gt;0,$A204&gt;AN$7)),0,MAX(0,ROUND((INDEX($E204:$G204,AN$5)-SUMIFS(TF_Timer,TF_Tekniker,AN$4,TF_Dato,$A204))*2,0)/2)))</f>
        <v/>
      </c>
      <c r="AO204">
        <f>IF(OR(AO$4="",$A204&gt;TODAY()),0,IF(OR(INDEX($B204:$D204,AO$5)="F",AND(AO$6&gt;0,$A204&lt;AO$6),AND(AO$7&gt;0,$A204&gt;AO$7)),0,MAX(0,ROUND((INDEX($E204:$G204,AO$5)-SUMIFS(TF_Timer,TF_Tekniker,AO$4,TF_Dato,$A204))*2,0)/2)))</f>
        <v/>
      </c>
      <c r="AP204">
        <f>IF(OR(AP$4="",$A204&gt;TODAY()),0,IF(OR(INDEX($B204:$D204,AP$5)="F",AND(AP$6&gt;0,$A204&lt;AP$6),AND(AP$7&gt;0,$A204&gt;AP$7)),0,MAX(0,ROUND((INDEX($E204:$G204,AP$5)-SUMIFS(TF_Timer,TF_Tekniker,AP$4,TF_Dato,$A204))*2,0)/2)))</f>
        <v/>
      </c>
      <c r="AQ204">
        <f>IF(OR(AQ$4="",$A204&gt;TODAY()),0,IF(OR(INDEX($B204:$D204,AQ$5)="F",AND(AQ$6&gt;0,$A204&lt;AQ$6),AND(AQ$7&gt;0,$A204&gt;AQ$7)),0,MAX(0,ROUND((INDEX($E204:$G204,AQ$5)-SUMIFS(TF_Timer,TF_Tekniker,AQ$4,TF_Dato,$A204))*2,0)/2)))</f>
        <v/>
      </c>
      <c r="AR204">
        <f>IF(OR(AR$4="",$A204&gt;TODAY()),0,IF(OR(INDEX($B204:$D204,AR$5)="F",AND(AR$6&gt;0,$A204&lt;AR$6),AND(AR$7&gt;0,$A204&gt;AR$7)),0,MAX(0,ROUND((INDEX($E204:$G204,AR$5)-SUMIFS(TF_Timer,TF_Tekniker,AR$4,TF_Dato,$A204))*2,0)/2)))</f>
        <v/>
      </c>
      <c r="AS204">
        <f>IF(OR(AS$4="",$A204&gt;TODAY()),0,IF(OR(INDEX($B204:$D204,AS$5)="F",AND(AS$6&gt;0,$A204&lt;AS$6),AND(AS$7&gt;0,$A204&gt;AS$7)),0,MAX(0,ROUND((INDEX($E204:$G204,AS$5)-SUMIFS(TF_Timer,TF_Tekniker,AS$4,TF_Dato,$A204))*2,0)/2)))</f>
        <v/>
      </c>
      <c r="AT204">
        <f>IF(OR(AT$4="",$A204&gt;TODAY()),0,IF(OR(INDEX($B204:$D204,AT$5)="F",AND(AT$6&gt;0,$A204&lt;AT$6),AND(AT$7&gt;0,$A204&gt;AT$7)),0,MAX(0,ROUND((INDEX($E204:$G204,AT$5)-SUMIFS(TF_Timer,TF_Tekniker,AT$4,TF_Dato,$A204))*2,0)/2)))</f>
        <v/>
      </c>
      <c r="AU204">
        <f>IF(OR(AU$4="",$A204&gt;TODAY()),0,IF(OR(INDEX($B204:$D204,AU$5)="F",AND(AU$6&gt;0,$A204&lt;AU$6),AND(AU$7&gt;0,$A204&gt;AU$7)),0,MAX(0,ROUND((INDEX($E204:$G204,AU$5)-SUMIFS(TF_Timer,TF_Tekniker,AU$4,TF_Dato,$A204))*2,0)/2)))</f>
        <v/>
      </c>
      <c r="AV204">
        <f>IF(OR(AV$4="",$A204&gt;TODAY()),0,IF(OR(INDEX($B204:$D204,AV$5)="F",AND(AV$6&gt;0,$A204&lt;AV$6),AND(AV$7&gt;0,$A204&gt;AV$7)),0,MAX(0,ROUND((INDEX($E204:$G204,AV$5)-SUMIFS(TF_Timer,TF_Tekniker,AV$4,TF_Dato,$A204))*2,0)/2)))</f>
        <v/>
      </c>
      <c r="AW204">
        <f>IF(OR(AW$4="",$A204&gt;TODAY()),0,IF(OR(INDEX($B204:$D204,AW$5)="F",AND(AW$6&gt;0,$A204&lt;AW$6),AND(AW$7&gt;0,$A204&gt;AW$7)),0,MAX(0,ROUND((INDEX($E204:$G204,AW$5)-SUMIFS(TF_Timer,TF_Tekniker,AW$4,TF_Dato,$A204))*2,0)/2)))</f>
        <v/>
      </c>
      <c r="AX204">
        <f>IF(OR(AX$4="",$A204&gt;TODAY()),0,IF(OR(INDEX($B204:$D204,AX$5)="F",AND(AX$6&gt;0,$A204&lt;AX$6),AND(AX$7&gt;0,$A204&gt;AX$7)),0,MAX(0,ROUND((INDEX($E204:$G204,AX$5)-SUMIFS(TF_Timer,TF_Tekniker,AX$4,TF_Dato,$A204))*2,0)/2)))</f>
        <v/>
      </c>
      <c r="AY204">
        <f>IF(OR(AY$4="",$A204&gt;TODAY()),0,IF(OR(INDEX($B204:$D204,AY$5)="F",AND(AY$6&gt;0,$A204&lt;AY$6),AND(AY$7&gt;0,$A204&gt;AY$7)),0,MAX(0,ROUND((INDEX($E204:$G204,AY$5)-SUMIFS(TF_Timer,TF_Tekniker,AY$4,TF_Dato,$A204))*2,0)/2)))</f>
        <v/>
      </c>
      <c r="AZ204">
        <f>IF(OR(AZ$4="",$A204&gt;TODAY()),0,IF(OR(INDEX($B204:$D204,AZ$5)="F",AND(AZ$6&gt;0,$A204&lt;AZ$6),AND(AZ$7&gt;0,$A204&gt;AZ$7)),0,MAX(0,ROUND((INDEX($E204:$G204,AZ$5)-SUMIFS(TF_Timer,TF_Tekniker,AZ$4,TF_Dato,$A204))*2,0)/2)))</f>
        <v/>
      </c>
      <c r="BA204">
        <f>IF(OR(BA$4="",$A204&gt;TODAY()),0,IF(OR(INDEX($B204:$D204,BA$5)="F",AND(BA$6&gt;0,$A204&lt;BA$6),AND(BA$7&gt;0,$A204&gt;BA$7)),0,MAX(0,ROUND((INDEX($E204:$G204,BA$5)-SUMIFS(TF_Timer,TF_Tekniker,BA$4,TF_Dato,$A204))*2,0)/2)))</f>
        <v/>
      </c>
      <c r="BB204">
        <f>IF(OR(BB$4="",$A204&gt;TODAY()),0,IF(OR(INDEX($B204:$D204,BB$5)="F",AND(BB$6&gt;0,$A204&lt;BB$6),AND(BB$7&gt;0,$A204&gt;BB$7)),0,MAX(0,ROUND((INDEX($E204:$G204,BB$5)-SUMIFS(TF_Timer,TF_Tekniker,BB$4,TF_Dato,$A204))*2,0)/2)))</f>
        <v/>
      </c>
      <c r="BC204">
        <f>IF(OR(BC$4="",$A204&gt;TODAY()),0,IF(OR(INDEX($B204:$D204,BC$5)="F",AND(BC$6&gt;0,$A204&lt;BC$6),AND(BC$7&gt;0,$A204&gt;BC$7)),0,MAX(0,ROUND((INDEX($E204:$G204,BC$5)-SUMIFS(TF_Timer,TF_Tekniker,BC$4,TF_Dato,$A204))*2,0)/2)))</f>
        <v/>
      </c>
      <c r="BD204">
        <f>IF(OR(BD$4="",$A204&gt;TODAY()),0,IF(OR(INDEX($B204:$D204,BD$5)="F",AND(BD$6&gt;0,$A204&lt;BD$6),AND(BD$7&gt;0,$A204&gt;BD$7)),0,MAX(0,ROUND((INDEX($E204:$G204,BD$5)-SUMIFS(TF_Timer,TF_Tekniker,BD$4,TF_Dato,$A204))*2,0)/2)))</f>
        <v/>
      </c>
      <c r="BE204">
        <f>IF(OR(BE$4="",$A204&gt;TODAY()),0,IF(OR(INDEX($B204:$D204,BE$5)="F",AND(BE$6&gt;0,$A204&lt;BE$6),AND(BE$7&gt;0,$A204&gt;BE$7)),0,MAX(0,ROUND((INDEX($E204:$G204,BE$5)-SUMIFS(TF_Timer,TF_Tekniker,BE$4,TF_Dato,$A204))*2,0)/2)))</f>
        <v/>
      </c>
      <c r="BF204">
        <f>IF(OR(BF$4="",$A204&gt;TODAY()),0,IF(OR(INDEX($B204:$D204,BF$5)="F",AND(BF$6&gt;0,$A204&lt;BF$6),AND(BF$7&gt;0,$A204&gt;BF$7)),0,MAX(0,ROUND((INDEX($E204:$G204,BF$5)-SUMIFS(TF_Timer,TF_Tekniker,BF$4,TF_Dato,$A204))*2,0)/2)))</f>
        <v/>
      </c>
      <c r="BG204">
        <f>IF(OR(BG$4="",$A204&gt;TODAY()),0,IF(OR(INDEX($B204:$D204,BG$5)="F",AND(BG$6&gt;0,$A204&lt;BG$6),AND(BG$7&gt;0,$A204&gt;BG$7)),0,MAX(0,ROUND((INDEX($E204:$G204,BG$5)-SUMIFS(TF_Timer,TF_Tekniker,BG$4,TF_Dato,$A204))*2,0)/2)))</f>
        <v/>
      </c>
      <c r="BH204">
        <f>IF(OR(BH$4="",$A204&gt;TODAY()),0,IF(OR(INDEX($B204:$D204,BH$5)="F",AND(BH$6&gt;0,$A204&lt;BH$6),AND(BH$7&gt;0,$A204&gt;BH$7)),0,MAX(0,ROUND((INDEX($E204:$G204,BH$5)-SUMIFS(TF_Timer,TF_Tekniker,BH$4,TF_Dato,$A204))*2,0)/2)))</f>
        <v/>
      </c>
      <c r="BI204">
        <f>IF(OR(BI$4="",$A204&gt;TODAY()),0,IF(OR(INDEX($B204:$D204,BI$5)="F",AND(BI$6&gt;0,$A204&lt;BI$6),AND(BI$7&gt;0,$A204&gt;BI$7)),0,MAX(0,ROUND((INDEX($E204:$G204,BI$5)-SUMIFS(TF_Timer,TF_Tekniker,BI$4,TF_Dato,$A204))*2,0)/2)))</f>
        <v/>
      </c>
    </row>
    <row r="205">
      <c r="A205" s="64">
        <f>A204+1</f>
        <v/>
      </c>
      <c r="B205">
        <f>IF(MOD($A205-INDEX(SkiftStart,1),Syklus)&lt;DagK,"K",IF(MOD($A205-INDEX(SkiftStart,1),Syklus)&lt;DagK+DagH,"H",IF(MOD($A205-INDEX(SkiftStart,1),Syklus)&lt;DagK+DagH+DagD,"D","F")))</f>
        <v/>
      </c>
      <c r="C205">
        <f>IF(MOD($A205-INDEX(SkiftStart,2),Syklus)&lt;DagK,"K",IF(MOD($A205-INDEX(SkiftStart,2),Syklus)&lt;DagK+DagH,"H",IF(MOD($A205-INDEX(SkiftStart,2),Syklus)&lt;DagK+DagH+DagD,"D","F")))</f>
        <v/>
      </c>
      <c r="D205">
        <f>IF(MOD($A205-INDEX(SkiftStart,3),Syklus)&lt;DagK,"K",IF(MOD($A205-INDEX(SkiftStart,3),Syklus)&lt;DagK+DagH,"H",IF(MOD($A205-INDEX(SkiftStart,3),Syklus)&lt;DagK+DagH+DagD,"D","F")))</f>
        <v/>
      </c>
      <c r="E205">
        <f>IF(B205="F",0,IF(WEEKDAY($A205,2)=5,INDEX(TimerFr,MATCH(B205,FaseKode,0)),INDEX(TimerMT,MATCH(B205,FaseKode,0))))</f>
        <v/>
      </c>
      <c r="F205">
        <f>IF(C205="F",0,IF(WEEKDAY($A205,2)=5,INDEX(TimerFr,MATCH(C205,FaseKode,0)),INDEX(TimerMT,MATCH(C205,FaseKode,0))))</f>
        <v/>
      </c>
      <c r="G205">
        <f>IF(D205="F",0,IF(WEEKDAY($A205,2)=5,INDEX(TimerFr,MATCH(D205,FaseKode,0)),INDEX(TimerMT,MATCH(D205,FaseKode,0))))</f>
        <v/>
      </c>
      <c r="H205">
        <f>IF(OR(H$4="",$A205&gt;TODAY()),0,IF(OR(INDEX($B205:$D205,H$5)="F",AND(H$6&gt;0,$A205&lt;H$6),AND(H$7&gt;0,$A205&gt;H$7)),0,MAX(0,ROUND((INDEX($E205:$G205,H$5)-SUMIFS(TF_Timer,TF_Tekniker,H$4,TF_Dato,$A205))*2,0)/2)))</f>
        <v/>
      </c>
      <c r="I205">
        <f>IF(OR(I$4="",$A205&gt;TODAY()),0,IF(OR(INDEX($B205:$D205,I$5)="F",AND(I$6&gt;0,$A205&lt;I$6),AND(I$7&gt;0,$A205&gt;I$7)),0,MAX(0,ROUND((INDEX($E205:$G205,I$5)-SUMIFS(TF_Timer,TF_Tekniker,I$4,TF_Dato,$A205))*2,0)/2)))</f>
        <v/>
      </c>
      <c r="J205">
        <f>IF(OR(J$4="",$A205&gt;TODAY()),0,IF(OR(INDEX($B205:$D205,J$5)="F",AND(J$6&gt;0,$A205&lt;J$6),AND(J$7&gt;0,$A205&gt;J$7)),0,MAX(0,ROUND((INDEX($E205:$G205,J$5)-SUMIFS(TF_Timer,TF_Tekniker,J$4,TF_Dato,$A205))*2,0)/2)))</f>
        <v/>
      </c>
      <c r="K205">
        <f>IF(OR(K$4="",$A205&gt;TODAY()),0,IF(OR(INDEX($B205:$D205,K$5)="F",AND(K$6&gt;0,$A205&lt;K$6),AND(K$7&gt;0,$A205&gt;K$7)),0,MAX(0,ROUND((INDEX($E205:$G205,K$5)-SUMIFS(TF_Timer,TF_Tekniker,K$4,TF_Dato,$A205))*2,0)/2)))</f>
        <v/>
      </c>
      <c r="L205">
        <f>IF(OR(L$4="",$A205&gt;TODAY()),0,IF(OR(INDEX($B205:$D205,L$5)="F",AND(L$6&gt;0,$A205&lt;L$6),AND(L$7&gt;0,$A205&gt;L$7)),0,MAX(0,ROUND((INDEX($E205:$G205,L$5)-SUMIFS(TF_Timer,TF_Tekniker,L$4,TF_Dato,$A205))*2,0)/2)))</f>
        <v/>
      </c>
      <c r="M205">
        <f>IF(OR(M$4="",$A205&gt;TODAY()),0,IF(OR(INDEX($B205:$D205,M$5)="F",AND(M$6&gt;0,$A205&lt;M$6),AND(M$7&gt;0,$A205&gt;M$7)),0,MAX(0,ROUND((INDEX($E205:$G205,M$5)-SUMIFS(TF_Timer,TF_Tekniker,M$4,TF_Dato,$A205))*2,0)/2)))</f>
        <v/>
      </c>
      <c r="N205">
        <f>IF(OR(N$4="",$A205&gt;TODAY()),0,IF(OR(INDEX($B205:$D205,N$5)="F",AND(N$6&gt;0,$A205&lt;N$6),AND(N$7&gt;0,$A205&gt;N$7)),0,MAX(0,ROUND((INDEX($E205:$G205,N$5)-SUMIFS(TF_Timer,TF_Tekniker,N$4,TF_Dato,$A205))*2,0)/2)))</f>
        <v/>
      </c>
      <c r="O205">
        <f>IF(OR(O$4="",$A205&gt;TODAY()),0,IF(OR(INDEX($B205:$D205,O$5)="F",AND(O$6&gt;0,$A205&lt;O$6),AND(O$7&gt;0,$A205&gt;O$7)),0,MAX(0,ROUND((INDEX($E205:$G205,O$5)-SUMIFS(TF_Timer,TF_Tekniker,O$4,TF_Dato,$A205))*2,0)/2)))</f>
        <v/>
      </c>
      <c r="P205">
        <f>IF(OR(P$4="",$A205&gt;TODAY()),0,IF(OR(INDEX($B205:$D205,P$5)="F",AND(P$6&gt;0,$A205&lt;P$6),AND(P$7&gt;0,$A205&gt;P$7)),0,MAX(0,ROUND((INDEX($E205:$G205,P$5)-SUMIFS(TF_Timer,TF_Tekniker,P$4,TF_Dato,$A205))*2,0)/2)))</f>
        <v/>
      </c>
      <c r="Q205">
        <f>IF(OR(Q$4="",$A205&gt;TODAY()),0,IF(OR(INDEX($B205:$D205,Q$5)="F",AND(Q$6&gt;0,$A205&lt;Q$6),AND(Q$7&gt;0,$A205&gt;Q$7)),0,MAX(0,ROUND((INDEX($E205:$G205,Q$5)-SUMIFS(TF_Timer,TF_Tekniker,Q$4,TF_Dato,$A205))*2,0)/2)))</f>
        <v/>
      </c>
      <c r="R205">
        <f>IF(OR(R$4="",$A205&gt;TODAY()),0,IF(OR(INDEX($B205:$D205,R$5)="F",AND(R$6&gt;0,$A205&lt;R$6),AND(R$7&gt;0,$A205&gt;R$7)),0,MAX(0,ROUND((INDEX($E205:$G205,R$5)-SUMIFS(TF_Timer,TF_Tekniker,R$4,TF_Dato,$A205))*2,0)/2)))</f>
        <v/>
      </c>
      <c r="S205">
        <f>IF(OR(S$4="",$A205&gt;TODAY()),0,IF(OR(INDEX($B205:$D205,S$5)="F",AND(S$6&gt;0,$A205&lt;S$6),AND(S$7&gt;0,$A205&gt;S$7)),0,MAX(0,ROUND((INDEX($E205:$G205,S$5)-SUMIFS(TF_Timer,TF_Tekniker,S$4,TF_Dato,$A205))*2,0)/2)))</f>
        <v/>
      </c>
      <c r="T205">
        <f>IF(OR(T$4="",$A205&gt;TODAY()),0,IF(OR(INDEX($B205:$D205,T$5)="F",AND(T$6&gt;0,$A205&lt;T$6),AND(T$7&gt;0,$A205&gt;T$7)),0,MAX(0,ROUND((INDEX($E205:$G205,T$5)-SUMIFS(TF_Timer,TF_Tekniker,T$4,TF_Dato,$A205))*2,0)/2)))</f>
        <v/>
      </c>
      <c r="U205">
        <f>IF(OR(U$4="",$A205&gt;TODAY()),0,IF(OR(INDEX($B205:$D205,U$5)="F",AND(U$6&gt;0,$A205&lt;U$6),AND(U$7&gt;0,$A205&gt;U$7)),0,MAX(0,ROUND((INDEX($E205:$G205,U$5)-SUMIFS(TF_Timer,TF_Tekniker,U$4,TF_Dato,$A205))*2,0)/2)))</f>
        <v/>
      </c>
      <c r="V205">
        <f>IF(OR(V$4="",$A205&gt;TODAY()),0,IF(OR(INDEX($B205:$D205,V$5)="F",AND(V$6&gt;0,$A205&lt;V$6),AND(V$7&gt;0,$A205&gt;V$7)),0,MAX(0,ROUND((INDEX($E205:$G205,V$5)-SUMIFS(TF_Timer,TF_Tekniker,V$4,TF_Dato,$A205))*2,0)/2)))</f>
        <v/>
      </c>
      <c r="W205">
        <f>IF(OR(W$4="",$A205&gt;TODAY()),0,IF(OR(INDEX($B205:$D205,W$5)="F",AND(W$6&gt;0,$A205&lt;W$6),AND(W$7&gt;0,$A205&gt;W$7)),0,MAX(0,ROUND((INDEX($E205:$G205,W$5)-SUMIFS(TF_Timer,TF_Tekniker,W$4,TF_Dato,$A205))*2,0)/2)))</f>
        <v/>
      </c>
      <c r="X205">
        <f>IF(OR(X$4="",$A205&gt;TODAY()),0,IF(OR(INDEX($B205:$D205,X$5)="F",AND(X$6&gt;0,$A205&lt;X$6),AND(X$7&gt;0,$A205&gt;X$7)),0,MAX(0,ROUND((INDEX($E205:$G205,X$5)-SUMIFS(TF_Timer,TF_Tekniker,X$4,TF_Dato,$A205))*2,0)/2)))</f>
        <v/>
      </c>
      <c r="Y205">
        <f>IF(OR(Y$4="",$A205&gt;TODAY()),0,IF(OR(INDEX($B205:$D205,Y$5)="F",AND(Y$6&gt;0,$A205&lt;Y$6),AND(Y$7&gt;0,$A205&gt;Y$7)),0,MAX(0,ROUND((INDEX($E205:$G205,Y$5)-SUMIFS(TF_Timer,TF_Tekniker,Y$4,TF_Dato,$A205))*2,0)/2)))</f>
        <v/>
      </c>
      <c r="Z205">
        <f>IF(OR(Z$4="",$A205&gt;TODAY()),0,IF(OR(INDEX($B205:$D205,Z$5)="F",AND(Z$6&gt;0,$A205&lt;Z$6),AND(Z$7&gt;0,$A205&gt;Z$7)),0,MAX(0,ROUND((INDEX($E205:$G205,Z$5)-SUMIFS(TF_Timer,TF_Tekniker,Z$4,TF_Dato,$A205))*2,0)/2)))</f>
        <v/>
      </c>
      <c r="AA205">
        <f>IF(OR(AA$4="",$A205&gt;TODAY()),0,IF(OR(INDEX($B205:$D205,AA$5)="F",AND(AA$6&gt;0,$A205&lt;AA$6),AND(AA$7&gt;0,$A205&gt;AA$7)),0,MAX(0,ROUND((INDEX($E205:$G205,AA$5)-SUMIFS(TF_Timer,TF_Tekniker,AA$4,TF_Dato,$A205))*2,0)/2)))</f>
        <v/>
      </c>
      <c r="AB205">
        <f>IF(OR(AB$4="",$A205&gt;TODAY()),0,IF(OR(INDEX($B205:$D205,AB$5)="F",AND(AB$6&gt;0,$A205&lt;AB$6),AND(AB$7&gt;0,$A205&gt;AB$7)),0,MAX(0,ROUND((INDEX($E205:$G205,AB$5)-SUMIFS(TF_Timer,TF_Tekniker,AB$4,TF_Dato,$A205))*2,0)/2)))</f>
        <v/>
      </c>
      <c r="AC205">
        <f>IF(OR(AC$4="",$A205&gt;TODAY()),0,IF(OR(INDEX($B205:$D205,AC$5)="F",AND(AC$6&gt;0,$A205&lt;AC$6),AND(AC$7&gt;0,$A205&gt;AC$7)),0,MAX(0,ROUND((INDEX($E205:$G205,AC$5)-SUMIFS(TF_Timer,TF_Tekniker,AC$4,TF_Dato,$A205))*2,0)/2)))</f>
        <v/>
      </c>
      <c r="AD205">
        <f>IF(OR(AD$4="",$A205&gt;TODAY()),0,IF(OR(INDEX($B205:$D205,AD$5)="F",AND(AD$6&gt;0,$A205&lt;AD$6),AND(AD$7&gt;0,$A205&gt;AD$7)),0,MAX(0,ROUND((INDEX($E205:$G205,AD$5)-SUMIFS(TF_Timer,TF_Tekniker,AD$4,TF_Dato,$A205))*2,0)/2)))</f>
        <v/>
      </c>
      <c r="AE205">
        <f>IF(OR(AE$4="",$A205&gt;TODAY()),0,IF(OR(INDEX($B205:$D205,AE$5)="F",AND(AE$6&gt;0,$A205&lt;AE$6),AND(AE$7&gt;0,$A205&gt;AE$7)),0,MAX(0,ROUND((INDEX($E205:$G205,AE$5)-SUMIFS(TF_Timer,TF_Tekniker,AE$4,TF_Dato,$A205))*2,0)/2)))</f>
        <v/>
      </c>
      <c r="AF205">
        <f>IF(OR(AF$4="",$A205&gt;TODAY()),0,IF(OR(INDEX($B205:$D205,AF$5)="F",AND(AF$6&gt;0,$A205&lt;AF$6),AND(AF$7&gt;0,$A205&gt;AF$7)),0,MAX(0,ROUND((INDEX($E205:$G205,AF$5)-SUMIFS(TF_Timer,TF_Tekniker,AF$4,TF_Dato,$A205))*2,0)/2)))</f>
        <v/>
      </c>
      <c r="AG205">
        <f>IF(OR(AG$4="",$A205&gt;TODAY()),0,IF(OR(INDEX($B205:$D205,AG$5)="F",AND(AG$6&gt;0,$A205&lt;AG$6),AND(AG$7&gt;0,$A205&gt;AG$7)),0,MAX(0,ROUND((INDEX($E205:$G205,AG$5)-SUMIFS(TF_Timer,TF_Tekniker,AG$4,TF_Dato,$A205))*2,0)/2)))</f>
        <v/>
      </c>
      <c r="AH205">
        <f>IF(OR(AH$4="",$A205&gt;TODAY()),0,IF(OR(INDEX($B205:$D205,AH$5)="F",AND(AH$6&gt;0,$A205&lt;AH$6),AND(AH$7&gt;0,$A205&gt;AH$7)),0,MAX(0,ROUND((INDEX($E205:$G205,AH$5)-SUMIFS(TF_Timer,TF_Tekniker,AH$4,TF_Dato,$A205))*2,0)/2)))</f>
        <v/>
      </c>
      <c r="AI205">
        <f>IF(OR(AI$4="",$A205&gt;TODAY()),0,IF(OR(INDEX($B205:$D205,AI$5)="F",AND(AI$6&gt;0,$A205&lt;AI$6),AND(AI$7&gt;0,$A205&gt;AI$7)),0,MAX(0,ROUND((INDEX($E205:$G205,AI$5)-SUMIFS(TF_Timer,TF_Tekniker,AI$4,TF_Dato,$A205))*2,0)/2)))</f>
        <v/>
      </c>
      <c r="AJ205">
        <f>IF(OR(AJ$4="",$A205&gt;TODAY()),0,IF(OR(INDEX($B205:$D205,AJ$5)="F",AND(AJ$6&gt;0,$A205&lt;AJ$6),AND(AJ$7&gt;0,$A205&gt;AJ$7)),0,MAX(0,ROUND((INDEX($E205:$G205,AJ$5)-SUMIFS(TF_Timer,TF_Tekniker,AJ$4,TF_Dato,$A205))*2,0)/2)))</f>
        <v/>
      </c>
      <c r="AK205">
        <f>IF(OR(AK$4="",$A205&gt;TODAY()),0,IF(OR(INDEX($B205:$D205,AK$5)="F",AND(AK$6&gt;0,$A205&lt;AK$6),AND(AK$7&gt;0,$A205&gt;AK$7)),0,MAX(0,ROUND((INDEX($E205:$G205,AK$5)-SUMIFS(TF_Timer,TF_Tekniker,AK$4,TF_Dato,$A205))*2,0)/2)))</f>
        <v/>
      </c>
      <c r="AL205">
        <f>IF(OR(AL$4="",$A205&gt;TODAY()),0,IF(OR(INDEX($B205:$D205,AL$5)="F",AND(AL$6&gt;0,$A205&lt;AL$6),AND(AL$7&gt;0,$A205&gt;AL$7)),0,MAX(0,ROUND((INDEX($E205:$G205,AL$5)-SUMIFS(TF_Timer,TF_Tekniker,AL$4,TF_Dato,$A205))*2,0)/2)))</f>
        <v/>
      </c>
      <c r="AM205">
        <f>IF(OR(AM$4="",$A205&gt;TODAY()),0,IF(OR(INDEX($B205:$D205,AM$5)="F",AND(AM$6&gt;0,$A205&lt;AM$6),AND(AM$7&gt;0,$A205&gt;AM$7)),0,MAX(0,ROUND((INDEX($E205:$G205,AM$5)-SUMIFS(TF_Timer,TF_Tekniker,AM$4,TF_Dato,$A205))*2,0)/2)))</f>
        <v/>
      </c>
      <c r="AN205">
        <f>IF(OR(AN$4="",$A205&gt;TODAY()),0,IF(OR(INDEX($B205:$D205,AN$5)="F",AND(AN$6&gt;0,$A205&lt;AN$6),AND(AN$7&gt;0,$A205&gt;AN$7)),0,MAX(0,ROUND((INDEX($E205:$G205,AN$5)-SUMIFS(TF_Timer,TF_Tekniker,AN$4,TF_Dato,$A205))*2,0)/2)))</f>
        <v/>
      </c>
      <c r="AO205">
        <f>IF(OR(AO$4="",$A205&gt;TODAY()),0,IF(OR(INDEX($B205:$D205,AO$5)="F",AND(AO$6&gt;0,$A205&lt;AO$6),AND(AO$7&gt;0,$A205&gt;AO$7)),0,MAX(0,ROUND((INDEX($E205:$G205,AO$5)-SUMIFS(TF_Timer,TF_Tekniker,AO$4,TF_Dato,$A205))*2,0)/2)))</f>
        <v/>
      </c>
      <c r="AP205">
        <f>IF(OR(AP$4="",$A205&gt;TODAY()),0,IF(OR(INDEX($B205:$D205,AP$5)="F",AND(AP$6&gt;0,$A205&lt;AP$6),AND(AP$7&gt;0,$A205&gt;AP$7)),0,MAX(0,ROUND((INDEX($E205:$G205,AP$5)-SUMIFS(TF_Timer,TF_Tekniker,AP$4,TF_Dato,$A205))*2,0)/2)))</f>
        <v/>
      </c>
      <c r="AQ205">
        <f>IF(OR(AQ$4="",$A205&gt;TODAY()),0,IF(OR(INDEX($B205:$D205,AQ$5)="F",AND(AQ$6&gt;0,$A205&lt;AQ$6),AND(AQ$7&gt;0,$A205&gt;AQ$7)),0,MAX(0,ROUND((INDEX($E205:$G205,AQ$5)-SUMIFS(TF_Timer,TF_Tekniker,AQ$4,TF_Dato,$A205))*2,0)/2)))</f>
        <v/>
      </c>
      <c r="AR205">
        <f>IF(OR(AR$4="",$A205&gt;TODAY()),0,IF(OR(INDEX($B205:$D205,AR$5)="F",AND(AR$6&gt;0,$A205&lt;AR$6),AND(AR$7&gt;0,$A205&gt;AR$7)),0,MAX(0,ROUND((INDEX($E205:$G205,AR$5)-SUMIFS(TF_Timer,TF_Tekniker,AR$4,TF_Dato,$A205))*2,0)/2)))</f>
        <v/>
      </c>
      <c r="AS205">
        <f>IF(OR(AS$4="",$A205&gt;TODAY()),0,IF(OR(INDEX($B205:$D205,AS$5)="F",AND(AS$6&gt;0,$A205&lt;AS$6),AND(AS$7&gt;0,$A205&gt;AS$7)),0,MAX(0,ROUND((INDEX($E205:$G205,AS$5)-SUMIFS(TF_Timer,TF_Tekniker,AS$4,TF_Dato,$A205))*2,0)/2)))</f>
        <v/>
      </c>
      <c r="AT205">
        <f>IF(OR(AT$4="",$A205&gt;TODAY()),0,IF(OR(INDEX($B205:$D205,AT$5)="F",AND(AT$6&gt;0,$A205&lt;AT$6),AND(AT$7&gt;0,$A205&gt;AT$7)),0,MAX(0,ROUND((INDEX($E205:$G205,AT$5)-SUMIFS(TF_Timer,TF_Tekniker,AT$4,TF_Dato,$A205))*2,0)/2)))</f>
        <v/>
      </c>
      <c r="AU205">
        <f>IF(OR(AU$4="",$A205&gt;TODAY()),0,IF(OR(INDEX($B205:$D205,AU$5)="F",AND(AU$6&gt;0,$A205&lt;AU$6),AND(AU$7&gt;0,$A205&gt;AU$7)),0,MAX(0,ROUND((INDEX($E205:$G205,AU$5)-SUMIFS(TF_Timer,TF_Tekniker,AU$4,TF_Dato,$A205))*2,0)/2)))</f>
        <v/>
      </c>
      <c r="AV205">
        <f>IF(OR(AV$4="",$A205&gt;TODAY()),0,IF(OR(INDEX($B205:$D205,AV$5)="F",AND(AV$6&gt;0,$A205&lt;AV$6),AND(AV$7&gt;0,$A205&gt;AV$7)),0,MAX(0,ROUND((INDEX($E205:$G205,AV$5)-SUMIFS(TF_Timer,TF_Tekniker,AV$4,TF_Dato,$A205))*2,0)/2)))</f>
        <v/>
      </c>
      <c r="AW205">
        <f>IF(OR(AW$4="",$A205&gt;TODAY()),0,IF(OR(INDEX($B205:$D205,AW$5)="F",AND(AW$6&gt;0,$A205&lt;AW$6),AND(AW$7&gt;0,$A205&gt;AW$7)),0,MAX(0,ROUND((INDEX($E205:$G205,AW$5)-SUMIFS(TF_Timer,TF_Tekniker,AW$4,TF_Dato,$A205))*2,0)/2)))</f>
        <v/>
      </c>
      <c r="AX205">
        <f>IF(OR(AX$4="",$A205&gt;TODAY()),0,IF(OR(INDEX($B205:$D205,AX$5)="F",AND(AX$6&gt;0,$A205&lt;AX$6),AND(AX$7&gt;0,$A205&gt;AX$7)),0,MAX(0,ROUND((INDEX($E205:$G205,AX$5)-SUMIFS(TF_Timer,TF_Tekniker,AX$4,TF_Dato,$A205))*2,0)/2)))</f>
        <v/>
      </c>
      <c r="AY205">
        <f>IF(OR(AY$4="",$A205&gt;TODAY()),0,IF(OR(INDEX($B205:$D205,AY$5)="F",AND(AY$6&gt;0,$A205&lt;AY$6),AND(AY$7&gt;0,$A205&gt;AY$7)),0,MAX(0,ROUND((INDEX($E205:$G205,AY$5)-SUMIFS(TF_Timer,TF_Tekniker,AY$4,TF_Dato,$A205))*2,0)/2)))</f>
        <v/>
      </c>
      <c r="AZ205">
        <f>IF(OR(AZ$4="",$A205&gt;TODAY()),0,IF(OR(INDEX($B205:$D205,AZ$5)="F",AND(AZ$6&gt;0,$A205&lt;AZ$6),AND(AZ$7&gt;0,$A205&gt;AZ$7)),0,MAX(0,ROUND((INDEX($E205:$G205,AZ$5)-SUMIFS(TF_Timer,TF_Tekniker,AZ$4,TF_Dato,$A205))*2,0)/2)))</f>
        <v/>
      </c>
      <c r="BA205">
        <f>IF(OR(BA$4="",$A205&gt;TODAY()),0,IF(OR(INDEX($B205:$D205,BA$5)="F",AND(BA$6&gt;0,$A205&lt;BA$6),AND(BA$7&gt;0,$A205&gt;BA$7)),0,MAX(0,ROUND((INDEX($E205:$G205,BA$5)-SUMIFS(TF_Timer,TF_Tekniker,BA$4,TF_Dato,$A205))*2,0)/2)))</f>
        <v/>
      </c>
      <c r="BB205">
        <f>IF(OR(BB$4="",$A205&gt;TODAY()),0,IF(OR(INDEX($B205:$D205,BB$5)="F",AND(BB$6&gt;0,$A205&lt;BB$6),AND(BB$7&gt;0,$A205&gt;BB$7)),0,MAX(0,ROUND((INDEX($E205:$G205,BB$5)-SUMIFS(TF_Timer,TF_Tekniker,BB$4,TF_Dato,$A205))*2,0)/2)))</f>
        <v/>
      </c>
      <c r="BC205">
        <f>IF(OR(BC$4="",$A205&gt;TODAY()),0,IF(OR(INDEX($B205:$D205,BC$5)="F",AND(BC$6&gt;0,$A205&lt;BC$6),AND(BC$7&gt;0,$A205&gt;BC$7)),0,MAX(0,ROUND((INDEX($E205:$G205,BC$5)-SUMIFS(TF_Timer,TF_Tekniker,BC$4,TF_Dato,$A205))*2,0)/2)))</f>
        <v/>
      </c>
      <c r="BD205">
        <f>IF(OR(BD$4="",$A205&gt;TODAY()),0,IF(OR(INDEX($B205:$D205,BD$5)="F",AND(BD$6&gt;0,$A205&lt;BD$6),AND(BD$7&gt;0,$A205&gt;BD$7)),0,MAX(0,ROUND((INDEX($E205:$G205,BD$5)-SUMIFS(TF_Timer,TF_Tekniker,BD$4,TF_Dato,$A205))*2,0)/2)))</f>
        <v/>
      </c>
      <c r="BE205">
        <f>IF(OR(BE$4="",$A205&gt;TODAY()),0,IF(OR(INDEX($B205:$D205,BE$5)="F",AND(BE$6&gt;0,$A205&lt;BE$6),AND(BE$7&gt;0,$A205&gt;BE$7)),0,MAX(0,ROUND((INDEX($E205:$G205,BE$5)-SUMIFS(TF_Timer,TF_Tekniker,BE$4,TF_Dato,$A205))*2,0)/2)))</f>
        <v/>
      </c>
      <c r="BF205">
        <f>IF(OR(BF$4="",$A205&gt;TODAY()),0,IF(OR(INDEX($B205:$D205,BF$5)="F",AND(BF$6&gt;0,$A205&lt;BF$6),AND(BF$7&gt;0,$A205&gt;BF$7)),0,MAX(0,ROUND((INDEX($E205:$G205,BF$5)-SUMIFS(TF_Timer,TF_Tekniker,BF$4,TF_Dato,$A205))*2,0)/2)))</f>
        <v/>
      </c>
      <c r="BG205">
        <f>IF(OR(BG$4="",$A205&gt;TODAY()),0,IF(OR(INDEX($B205:$D205,BG$5)="F",AND(BG$6&gt;0,$A205&lt;BG$6),AND(BG$7&gt;0,$A205&gt;BG$7)),0,MAX(0,ROUND((INDEX($E205:$G205,BG$5)-SUMIFS(TF_Timer,TF_Tekniker,BG$4,TF_Dato,$A205))*2,0)/2)))</f>
        <v/>
      </c>
      <c r="BH205">
        <f>IF(OR(BH$4="",$A205&gt;TODAY()),0,IF(OR(INDEX($B205:$D205,BH$5)="F",AND(BH$6&gt;0,$A205&lt;BH$6),AND(BH$7&gt;0,$A205&gt;BH$7)),0,MAX(0,ROUND((INDEX($E205:$G205,BH$5)-SUMIFS(TF_Timer,TF_Tekniker,BH$4,TF_Dato,$A205))*2,0)/2)))</f>
        <v/>
      </c>
      <c r="BI205">
        <f>IF(OR(BI$4="",$A205&gt;TODAY()),0,IF(OR(INDEX($B205:$D205,BI$5)="F",AND(BI$6&gt;0,$A205&lt;BI$6),AND(BI$7&gt;0,$A205&gt;BI$7)),0,MAX(0,ROUND((INDEX($E205:$G205,BI$5)-SUMIFS(TF_Timer,TF_Tekniker,BI$4,TF_Dato,$A205))*2,0)/2)))</f>
        <v/>
      </c>
    </row>
    <row r="206">
      <c r="A206" s="64">
        <f>A205+1</f>
        <v/>
      </c>
      <c r="B206">
        <f>IF(MOD($A206-INDEX(SkiftStart,1),Syklus)&lt;DagK,"K",IF(MOD($A206-INDEX(SkiftStart,1),Syklus)&lt;DagK+DagH,"H",IF(MOD($A206-INDEX(SkiftStart,1),Syklus)&lt;DagK+DagH+DagD,"D","F")))</f>
        <v/>
      </c>
      <c r="C206">
        <f>IF(MOD($A206-INDEX(SkiftStart,2),Syklus)&lt;DagK,"K",IF(MOD($A206-INDEX(SkiftStart,2),Syklus)&lt;DagK+DagH,"H",IF(MOD($A206-INDEX(SkiftStart,2),Syklus)&lt;DagK+DagH+DagD,"D","F")))</f>
        <v/>
      </c>
      <c r="D206">
        <f>IF(MOD($A206-INDEX(SkiftStart,3),Syklus)&lt;DagK,"K",IF(MOD($A206-INDEX(SkiftStart,3),Syklus)&lt;DagK+DagH,"H",IF(MOD($A206-INDEX(SkiftStart,3),Syklus)&lt;DagK+DagH+DagD,"D","F")))</f>
        <v/>
      </c>
      <c r="E206">
        <f>IF(B206="F",0,IF(WEEKDAY($A206,2)=5,INDEX(TimerFr,MATCH(B206,FaseKode,0)),INDEX(TimerMT,MATCH(B206,FaseKode,0))))</f>
        <v/>
      </c>
      <c r="F206">
        <f>IF(C206="F",0,IF(WEEKDAY($A206,2)=5,INDEX(TimerFr,MATCH(C206,FaseKode,0)),INDEX(TimerMT,MATCH(C206,FaseKode,0))))</f>
        <v/>
      </c>
      <c r="G206">
        <f>IF(D206="F",0,IF(WEEKDAY($A206,2)=5,INDEX(TimerFr,MATCH(D206,FaseKode,0)),INDEX(TimerMT,MATCH(D206,FaseKode,0))))</f>
        <v/>
      </c>
      <c r="H206">
        <f>IF(OR(H$4="",$A206&gt;TODAY()),0,IF(OR(INDEX($B206:$D206,H$5)="F",AND(H$6&gt;0,$A206&lt;H$6),AND(H$7&gt;0,$A206&gt;H$7)),0,MAX(0,ROUND((INDEX($E206:$G206,H$5)-SUMIFS(TF_Timer,TF_Tekniker,H$4,TF_Dato,$A206))*2,0)/2)))</f>
        <v/>
      </c>
      <c r="I206">
        <f>IF(OR(I$4="",$A206&gt;TODAY()),0,IF(OR(INDEX($B206:$D206,I$5)="F",AND(I$6&gt;0,$A206&lt;I$6),AND(I$7&gt;0,$A206&gt;I$7)),0,MAX(0,ROUND((INDEX($E206:$G206,I$5)-SUMIFS(TF_Timer,TF_Tekniker,I$4,TF_Dato,$A206))*2,0)/2)))</f>
        <v/>
      </c>
      <c r="J206">
        <f>IF(OR(J$4="",$A206&gt;TODAY()),0,IF(OR(INDEX($B206:$D206,J$5)="F",AND(J$6&gt;0,$A206&lt;J$6),AND(J$7&gt;0,$A206&gt;J$7)),0,MAX(0,ROUND((INDEX($E206:$G206,J$5)-SUMIFS(TF_Timer,TF_Tekniker,J$4,TF_Dato,$A206))*2,0)/2)))</f>
        <v/>
      </c>
      <c r="K206">
        <f>IF(OR(K$4="",$A206&gt;TODAY()),0,IF(OR(INDEX($B206:$D206,K$5)="F",AND(K$6&gt;0,$A206&lt;K$6),AND(K$7&gt;0,$A206&gt;K$7)),0,MAX(0,ROUND((INDEX($E206:$G206,K$5)-SUMIFS(TF_Timer,TF_Tekniker,K$4,TF_Dato,$A206))*2,0)/2)))</f>
        <v/>
      </c>
      <c r="L206">
        <f>IF(OR(L$4="",$A206&gt;TODAY()),0,IF(OR(INDEX($B206:$D206,L$5)="F",AND(L$6&gt;0,$A206&lt;L$6),AND(L$7&gt;0,$A206&gt;L$7)),0,MAX(0,ROUND((INDEX($E206:$G206,L$5)-SUMIFS(TF_Timer,TF_Tekniker,L$4,TF_Dato,$A206))*2,0)/2)))</f>
        <v/>
      </c>
      <c r="M206">
        <f>IF(OR(M$4="",$A206&gt;TODAY()),0,IF(OR(INDEX($B206:$D206,M$5)="F",AND(M$6&gt;0,$A206&lt;M$6),AND(M$7&gt;0,$A206&gt;M$7)),0,MAX(0,ROUND((INDEX($E206:$G206,M$5)-SUMIFS(TF_Timer,TF_Tekniker,M$4,TF_Dato,$A206))*2,0)/2)))</f>
        <v/>
      </c>
      <c r="N206">
        <f>IF(OR(N$4="",$A206&gt;TODAY()),0,IF(OR(INDEX($B206:$D206,N$5)="F",AND(N$6&gt;0,$A206&lt;N$6),AND(N$7&gt;0,$A206&gt;N$7)),0,MAX(0,ROUND((INDEX($E206:$G206,N$5)-SUMIFS(TF_Timer,TF_Tekniker,N$4,TF_Dato,$A206))*2,0)/2)))</f>
        <v/>
      </c>
      <c r="O206">
        <f>IF(OR(O$4="",$A206&gt;TODAY()),0,IF(OR(INDEX($B206:$D206,O$5)="F",AND(O$6&gt;0,$A206&lt;O$6),AND(O$7&gt;0,$A206&gt;O$7)),0,MAX(0,ROUND((INDEX($E206:$G206,O$5)-SUMIFS(TF_Timer,TF_Tekniker,O$4,TF_Dato,$A206))*2,0)/2)))</f>
        <v/>
      </c>
      <c r="P206">
        <f>IF(OR(P$4="",$A206&gt;TODAY()),0,IF(OR(INDEX($B206:$D206,P$5)="F",AND(P$6&gt;0,$A206&lt;P$6),AND(P$7&gt;0,$A206&gt;P$7)),0,MAX(0,ROUND((INDEX($E206:$G206,P$5)-SUMIFS(TF_Timer,TF_Tekniker,P$4,TF_Dato,$A206))*2,0)/2)))</f>
        <v/>
      </c>
      <c r="Q206">
        <f>IF(OR(Q$4="",$A206&gt;TODAY()),0,IF(OR(INDEX($B206:$D206,Q$5)="F",AND(Q$6&gt;0,$A206&lt;Q$6),AND(Q$7&gt;0,$A206&gt;Q$7)),0,MAX(0,ROUND((INDEX($E206:$G206,Q$5)-SUMIFS(TF_Timer,TF_Tekniker,Q$4,TF_Dato,$A206))*2,0)/2)))</f>
        <v/>
      </c>
      <c r="R206">
        <f>IF(OR(R$4="",$A206&gt;TODAY()),0,IF(OR(INDEX($B206:$D206,R$5)="F",AND(R$6&gt;0,$A206&lt;R$6),AND(R$7&gt;0,$A206&gt;R$7)),0,MAX(0,ROUND((INDEX($E206:$G206,R$5)-SUMIFS(TF_Timer,TF_Tekniker,R$4,TF_Dato,$A206))*2,0)/2)))</f>
        <v/>
      </c>
      <c r="S206">
        <f>IF(OR(S$4="",$A206&gt;TODAY()),0,IF(OR(INDEX($B206:$D206,S$5)="F",AND(S$6&gt;0,$A206&lt;S$6),AND(S$7&gt;0,$A206&gt;S$7)),0,MAX(0,ROUND((INDEX($E206:$G206,S$5)-SUMIFS(TF_Timer,TF_Tekniker,S$4,TF_Dato,$A206))*2,0)/2)))</f>
        <v/>
      </c>
      <c r="T206">
        <f>IF(OR(T$4="",$A206&gt;TODAY()),0,IF(OR(INDEX($B206:$D206,T$5)="F",AND(T$6&gt;0,$A206&lt;T$6),AND(T$7&gt;0,$A206&gt;T$7)),0,MAX(0,ROUND((INDEX($E206:$G206,T$5)-SUMIFS(TF_Timer,TF_Tekniker,T$4,TF_Dato,$A206))*2,0)/2)))</f>
        <v/>
      </c>
      <c r="U206">
        <f>IF(OR(U$4="",$A206&gt;TODAY()),0,IF(OR(INDEX($B206:$D206,U$5)="F",AND(U$6&gt;0,$A206&lt;U$6),AND(U$7&gt;0,$A206&gt;U$7)),0,MAX(0,ROUND((INDEX($E206:$G206,U$5)-SUMIFS(TF_Timer,TF_Tekniker,U$4,TF_Dato,$A206))*2,0)/2)))</f>
        <v/>
      </c>
      <c r="V206">
        <f>IF(OR(V$4="",$A206&gt;TODAY()),0,IF(OR(INDEX($B206:$D206,V$5)="F",AND(V$6&gt;0,$A206&lt;V$6),AND(V$7&gt;0,$A206&gt;V$7)),0,MAX(0,ROUND((INDEX($E206:$G206,V$5)-SUMIFS(TF_Timer,TF_Tekniker,V$4,TF_Dato,$A206))*2,0)/2)))</f>
        <v/>
      </c>
      <c r="W206">
        <f>IF(OR(W$4="",$A206&gt;TODAY()),0,IF(OR(INDEX($B206:$D206,W$5)="F",AND(W$6&gt;0,$A206&lt;W$6),AND(W$7&gt;0,$A206&gt;W$7)),0,MAX(0,ROUND((INDEX($E206:$G206,W$5)-SUMIFS(TF_Timer,TF_Tekniker,W$4,TF_Dato,$A206))*2,0)/2)))</f>
        <v/>
      </c>
      <c r="X206">
        <f>IF(OR(X$4="",$A206&gt;TODAY()),0,IF(OR(INDEX($B206:$D206,X$5)="F",AND(X$6&gt;0,$A206&lt;X$6),AND(X$7&gt;0,$A206&gt;X$7)),0,MAX(0,ROUND((INDEX($E206:$G206,X$5)-SUMIFS(TF_Timer,TF_Tekniker,X$4,TF_Dato,$A206))*2,0)/2)))</f>
        <v/>
      </c>
      <c r="Y206">
        <f>IF(OR(Y$4="",$A206&gt;TODAY()),0,IF(OR(INDEX($B206:$D206,Y$5)="F",AND(Y$6&gt;0,$A206&lt;Y$6),AND(Y$7&gt;0,$A206&gt;Y$7)),0,MAX(0,ROUND((INDEX($E206:$G206,Y$5)-SUMIFS(TF_Timer,TF_Tekniker,Y$4,TF_Dato,$A206))*2,0)/2)))</f>
        <v/>
      </c>
      <c r="Z206">
        <f>IF(OR(Z$4="",$A206&gt;TODAY()),0,IF(OR(INDEX($B206:$D206,Z$5)="F",AND(Z$6&gt;0,$A206&lt;Z$6),AND(Z$7&gt;0,$A206&gt;Z$7)),0,MAX(0,ROUND((INDEX($E206:$G206,Z$5)-SUMIFS(TF_Timer,TF_Tekniker,Z$4,TF_Dato,$A206))*2,0)/2)))</f>
        <v/>
      </c>
      <c r="AA206">
        <f>IF(OR(AA$4="",$A206&gt;TODAY()),0,IF(OR(INDEX($B206:$D206,AA$5)="F",AND(AA$6&gt;0,$A206&lt;AA$6),AND(AA$7&gt;0,$A206&gt;AA$7)),0,MAX(0,ROUND((INDEX($E206:$G206,AA$5)-SUMIFS(TF_Timer,TF_Tekniker,AA$4,TF_Dato,$A206))*2,0)/2)))</f>
        <v/>
      </c>
      <c r="AB206">
        <f>IF(OR(AB$4="",$A206&gt;TODAY()),0,IF(OR(INDEX($B206:$D206,AB$5)="F",AND(AB$6&gt;0,$A206&lt;AB$6),AND(AB$7&gt;0,$A206&gt;AB$7)),0,MAX(0,ROUND((INDEX($E206:$G206,AB$5)-SUMIFS(TF_Timer,TF_Tekniker,AB$4,TF_Dato,$A206))*2,0)/2)))</f>
        <v/>
      </c>
      <c r="AC206">
        <f>IF(OR(AC$4="",$A206&gt;TODAY()),0,IF(OR(INDEX($B206:$D206,AC$5)="F",AND(AC$6&gt;0,$A206&lt;AC$6),AND(AC$7&gt;0,$A206&gt;AC$7)),0,MAX(0,ROUND((INDEX($E206:$G206,AC$5)-SUMIFS(TF_Timer,TF_Tekniker,AC$4,TF_Dato,$A206))*2,0)/2)))</f>
        <v/>
      </c>
      <c r="AD206">
        <f>IF(OR(AD$4="",$A206&gt;TODAY()),0,IF(OR(INDEX($B206:$D206,AD$5)="F",AND(AD$6&gt;0,$A206&lt;AD$6),AND(AD$7&gt;0,$A206&gt;AD$7)),0,MAX(0,ROUND((INDEX($E206:$G206,AD$5)-SUMIFS(TF_Timer,TF_Tekniker,AD$4,TF_Dato,$A206))*2,0)/2)))</f>
        <v/>
      </c>
      <c r="AE206">
        <f>IF(OR(AE$4="",$A206&gt;TODAY()),0,IF(OR(INDEX($B206:$D206,AE$5)="F",AND(AE$6&gt;0,$A206&lt;AE$6),AND(AE$7&gt;0,$A206&gt;AE$7)),0,MAX(0,ROUND((INDEX($E206:$G206,AE$5)-SUMIFS(TF_Timer,TF_Tekniker,AE$4,TF_Dato,$A206))*2,0)/2)))</f>
        <v/>
      </c>
      <c r="AF206">
        <f>IF(OR(AF$4="",$A206&gt;TODAY()),0,IF(OR(INDEX($B206:$D206,AF$5)="F",AND(AF$6&gt;0,$A206&lt;AF$6),AND(AF$7&gt;0,$A206&gt;AF$7)),0,MAX(0,ROUND((INDEX($E206:$G206,AF$5)-SUMIFS(TF_Timer,TF_Tekniker,AF$4,TF_Dato,$A206))*2,0)/2)))</f>
        <v/>
      </c>
      <c r="AG206">
        <f>IF(OR(AG$4="",$A206&gt;TODAY()),0,IF(OR(INDEX($B206:$D206,AG$5)="F",AND(AG$6&gt;0,$A206&lt;AG$6),AND(AG$7&gt;0,$A206&gt;AG$7)),0,MAX(0,ROUND((INDEX($E206:$G206,AG$5)-SUMIFS(TF_Timer,TF_Tekniker,AG$4,TF_Dato,$A206))*2,0)/2)))</f>
        <v/>
      </c>
      <c r="AH206">
        <f>IF(OR(AH$4="",$A206&gt;TODAY()),0,IF(OR(INDEX($B206:$D206,AH$5)="F",AND(AH$6&gt;0,$A206&lt;AH$6),AND(AH$7&gt;0,$A206&gt;AH$7)),0,MAX(0,ROUND((INDEX($E206:$G206,AH$5)-SUMIFS(TF_Timer,TF_Tekniker,AH$4,TF_Dato,$A206))*2,0)/2)))</f>
        <v/>
      </c>
      <c r="AI206">
        <f>IF(OR(AI$4="",$A206&gt;TODAY()),0,IF(OR(INDEX($B206:$D206,AI$5)="F",AND(AI$6&gt;0,$A206&lt;AI$6),AND(AI$7&gt;0,$A206&gt;AI$7)),0,MAX(0,ROUND((INDEX($E206:$G206,AI$5)-SUMIFS(TF_Timer,TF_Tekniker,AI$4,TF_Dato,$A206))*2,0)/2)))</f>
        <v/>
      </c>
      <c r="AJ206">
        <f>IF(OR(AJ$4="",$A206&gt;TODAY()),0,IF(OR(INDEX($B206:$D206,AJ$5)="F",AND(AJ$6&gt;0,$A206&lt;AJ$6),AND(AJ$7&gt;0,$A206&gt;AJ$7)),0,MAX(0,ROUND((INDEX($E206:$G206,AJ$5)-SUMIFS(TF_Timer,TF_Tekniker,AJ$4,TF_Dato,$A206))*2,0)/2)))</f>
        <v/>
      </c>
      <c r="AK206">
        <f>IF(OR(AK$4="",$A206&gt;TODAY()),0,IF(OR(INDEX($B206:$D206,AK$5)="F",AND(AK$6&gt;0,$A206&lt;AK$6),AND(AK$7&gt;0,$A206&gt;AK$7)),0,MAX(0,ROUND((INDEX($E206:$G206,AK$5)-SUMIFS(TF_Timer,TF_Tekniker,AK$4,TF_Dato,$A206))*2,0)/2)))</f>
        <v/>
      </c>
      <c r="AL206">
        <f>IF(OR(AL$4="",$A206&gt;TODAY()),0,IF(OR(INDEX($B206:$D206,AL$5)="F",AND(AL$6&gt;0,$A206&lt;AL$6),AND(AL$7&gt;0,$A206&gt;AL$7)),0,MAX(0,ROUND((INDEX($E206:$G206,AL$5)-SUMIFS(TF_Timer,TF_Tekniker,AL$4,TF_Dato,$A206))*2,0)/2)))</f>
        <v/>
      </c>
      <c r="AM206">
        <f>IF(OR(AM$4="",$A206&gt;TODAY()),0,IF(OR(INDEX($B206:$D206,AM$5)="F",AND(AM$6&gt;0,$A206&lt;AM$6),AND(AM$7&gt;0,$A206&gt;AM$7)),0,MAX(0,ROUND((INDEX($E206:$G206,AM$5)-SUMIFS(TF_Timer,TF_Tekniker,AM$4,TF_Dato,$A206))*2,0)/2)))</f>
        <v/>
      </c>
      <c r="AN206">
        <f>IF(OR(AN$4="",$A206&gt;TODAY()),0,IF(OR(INDEX($B206:$D206,AN$5)="F",AND(AN$6&gt;0,$A206&lt;AN$6),AND(AN$7&gt;0,$A206&gt;AN$7)),0,MAX(0,ROUND((INDEX($E206:$G206,AN$5)-SUMIFS(TF_Timer,TF_Tekniker,AN$4,TF_Dato,$A206))*2,0)/2)))</f>
        <v/>
      </c>
      <c r="AO206">
        <f>IF(OR(AO$4="",$A206&gt;TODAY()),0,IF(OR(INDEX($B206:$D206,AO$5)="F",AND(AO$6&gt;0,$A206&lt;AO$6),AND(AO$7&gt;0,$A206&gt;AO$7)),0,MAX(0,ROUND((INDEX($E206:$G206,AO$5)-SUMIFS(TF_Timer,TF_Tekniker,AO$4,TF_Dato,$A206))*2,0)/2)))</f>
        <v/>
      </c>
      <c r="AP206">
        <f>IF(OR(AP$4="",$A206&gt;TODAY()),0,IF(OR(INDEX($B206:$D206,AP$5)="F",AND(AP$6&gt;0,$A206&lt;AP$6),AND(AP$7&gt;0,$A206&gt;AP$7)),0,MAX(0,ROUND((INDEX($E206:$G206,AP$5)-SUMIFS(TF_Timer,TF_Tekniker,AP$4,TF_Dato,$A206))*2,0)/2)))</f>
        <v/>
      </c>
      <c r="AQ206">
        <f>IF(OR(AQ$4="",$A206&gt;TODAY()),0,IF(OR(INDEX($B206:$D206,AQ$5)="F",AND(AQ$6&gt;0,$A206&lt;AQ$6),AND(AQ$7&gt;0,$A206&gt;AQ$7)),0,MAX(0,ROUND((INDEX($E206:$G206,AQ$5)-SUMIFS(TF_Timer,TF_Tekniker,AQ$4,TF_Dato,$A206))*2,0)/2)))</f>
        <v/>
      </c>
      <c r="AR206">
        <f>IF(OR(AR$4="",$A206&gt;TODAY()),0,IF(OR(INDEX($B206:$D206,AR$5)="F",AND(AR$6&gt;0,$A206&lt;AR$6),AND(AR$7&gt;0,$A206&gt;AR$7)),0,MAX(0,ROUND((INDEX($E206:$G206,AR$5)-SUMIFS(TF_Timer,TF_Tekniker,AR$4,TF_Dato,$A206))*2,0)/2)))</f>
        <v/>
      </c>
      <c r="AS206">
        <f>IF(OR(AS$4="",$A206&gt;TODAY()),0,IF(OR(INDEX($B206:$D206,AS$5)="F",AND(AS$6&gt;0,$A206&lt;AS$6),AND(AS$7&gt;0,$A206&gt;AS$7)),0,MAX(0,ROUND((INDEX($E206:$G206,AS$5)-SUMIFS(TF_Timer,TF_Tekniker,AS$4,TF_Dato,$A206))*2,0)/2)))</f>
        <v/>
      </c>
      <c r="AT206">
        <f>IF(OR(AT$4="",$A206&gt;TODAY()),0,IF(OR(INDEX($B206:$D206,AT$5)="F",AND(AT$6&gt;0,$A206&lt;AT$6),AND(AT$7&gt;0,$A206&gt;AT$7)),0,MAX(0,ROUND((INDEX($E206:$G206,AT$5)-SUMIFS(TF_Timer,TF_Tekniker,AT$4,TF_Dato,$A206))*2,0)/2)))</f>
        <v/>
      </c>
      <c r="AU206">
        <f>IF(OR(AU$4="",$A206&gt;TODAY()),0,IF(OR(INDEX($B206:$D206,AU$5)="F",AND(AU$6&gt;0,$A206&lt;AU$6),AND(AU$7&gt;0,$A206&gt;AU$7)),0,MAX(0,ROUND((INDEX($E206:$G206,AU$5)-SUMIFS(TF_Timer,TF_Tekniker,AU$4,TF_Dato,$A206))*2,0)/2)))</f>
        <v/>
      </c>
      <c r="AV206">
        <f>IF(OR(AV$4="",$A206&gt;TODAY()),0,IF(OR(INDEX($B206:$D206,AV$5)="F",AND(AV$6&gt;0,$A206&lt;AV$6),AND(AV$7&gt;0,$A206&gt;AV$7)),0,MAX(0,ROUND((INDEX($E206:$G206,AV$5)-SUMIFS(TF_Timer,TF_Tekniker,AV$4,TF_Dato,$A206))*2,0)/2)))</f>
        <v/>
      </c>
      <c r="AW206">
        <f>IF(OR(AW$4="",$A206&gt;TODAY()),0,IF(OR(INDEX($B206:$D206,AW$5)="F",AND(AW$6&gt;0,$A206&lt;AW$6),AND(AW$7&gt;0,$A206&gt;AW$7)),0,MAX(0,ROUND((INDEX($E206:$G206,AW$5)-SUMIFS(TF_Timer,TF_Tekniker,AW$4,TF_Dato,$A206))*2,0)/2)))</f>
        <v/>
      </c>
      <c r="AX206">
        <f>IF(OR(AX$4="",$A206&gt;TODAY()),0,IF(OR(INDEX($B206:$D206,AX$5)="F",AND(AX$6&gt;0,$A206&lt;AX$6),AND(AX$7&gt;0,$A206&gt;AX$7)),0,MAX(0,ROUND((INDEX($E206:$G206,AX$5)-SUMIFS(TF_Timer,TF_Tekniker,AX$4,TF_Dato,$A206))*2,0)/2)))</f>
        <v/>
      </c>
      <c r="AY206">
        <f>IF(OR(AY$4="",$A206&gt;TODAY()),0,IF(OR(INDEX($B206:$D206,AY$5)="F",AND(AY$6&gt;0,$A206&lt;AY$6),AND(AY$7&gt;0,$A206&gt;AY$7)),0,MAX(0,ROUND((INDEX($E206:$G206,AY$5)-SUMIFS(TF_Timer,TF_Tekniker,AY$4,TF_Dato,$A206))*2,0)/2)))</f>
        <v/>
      </c>
      <c r="AZ206">
        <f>IF(OR(AZ$4="",$A206&gt;TODAY()),0,IF(OR(INDEX($B206:$D206,AZ$5)="F",AND(AZ$6&gt;0,$A206&lt;AZ$6),AND(AZ$7&gt;0,$A206&gt;AZ$7)),0,MAX(0,ROUND((INDEX($E206:$G206,AZ$5)-SUMIFS(TF_Timer,TF_Tekniker,AZ$4,TF_Dato,$A206))*2,0)/2)))</f>
        <v/>
      </c>
      <c r="BA206">
        <f>IF(OR(BA$4="",$A206&gt;TODAY()),0,IF(OR(INDEX($B206:$D206,BA$5)="F",AND(BA$6&gt;0,$A206&lt;BA$6),AND(BA$7&gt;0,$A206&gt;BA$7)),0,MAX(0,ROUND((INDEX($E206:$G206,BA$5)-SUMIFS(TF_Timer,TF_Tekniker,BA$4,TF_Dato,$A206))*2,0)/2)))</f>
        <v/>
      </c>
      <c r="BB206">
        <f>IF(OR(BB$4="",$A206&gt;TODAY()),0,IF(OR(INDEX($B206:$D206,BB$5)="F",AND(BB$6&gt;0,$A206&lt;BB$6),AND(BB$7&gt;0,$A206&gt;BB$7)),0,MAX(0,ROUND((INDEX($E206:$G206,BB$5)-SUMIFS(TF_Timer,TF_Tekniker,BB$4,TF_Dato,$A206))*2,0)/2)))</f>
        <v/>
      </c>
      <c r="BC206">
        <f>IF(OR(BC$4="",$A206&gt;TODAY()),0,IF(OR(INDEX($B206:$D206,BC$5)="F",AND(BC$6&gt;0,$A206&lt;BC$6),AND(BC$7&gt;0,$A206&gt;BC$7)),0,MAX(0,ROUND((INDEX($E206:$G206,BC$5)-SUMIFS(TF_Timer,TF_Tekniker,BC$4,TF_Dato,$A206))*2,0)/2)))</f>
        <v/>
      </c>
      <c r="BD206">
        <f>IF(OR(BD$4="",$A206&gt;TODAY()),0,IF(OR(INDEX($B206:$D206,BD$5)="F",AND(BD$6&gt;0,$A206&lt;BD$6),AND(BD$7&gt;0,$A206&gt;BD$7)),0,MAX(0,ROUND((INDEX($E206:$G206,BD$5)-SUMIFS(TF_Timer,TF_Tekniker,BD$4,TF_Dato,$A206))*2,0)/2)))</f>
        <v/>
      </c>
      <c r="BE206">
        <f>IF(OR(BE$4="",$A206&gt;TODAY()),0,IF(OR(INDEX($B206:$D206,BE$5)="F",AND(BE$6&gt;0,$A206&lt;BE$6),AND(BE$7&gt;0,$A206&gt;BE$7)),0,MAX(0,ROUND((INDEX($E206:$G206,BE$5)-SUMIFS(TF_Timer,TF_Tekniker,BE$4,TF_Dato,$A206))*2,0)/2)))</f>
        <v/>
      </c>
      <c r="BF206">
        <f>IF(OR(BF$4="",$A206&gt;TODAY()),0,IF(OR(INDEX($B206:$D206,BF$5)="F",AND(BF$6&gt;0,$A206&lt;BF$6),AND(BF$7&gt;0,$A206&gt;BF$7)),0,MAX(0,ROUND((INDEX($E206:$G206,BF$5)-SUMIFS(TF_Timer,TF_Tekniker,BF$4,TF_Dato,$A206))*2,0)/2)))</f>
        <v/>
      </c>
      <c r="BG206">
        <f>IF(OR(BG$4="",$A206&gt;TODAY()),0,IF(OR(INDEX($B206:$D206,BG$5)="F",AND(BG$6&gt;0,$A206&lt;BG$6),AND(BG$7&gt;0,$A206&gt;BG$7)),0,MAX(0,ROUND((INDEX($E206:$G206,BG$5)-SUMIFS(TF_Timer,TF_Tekniker,BG$4,TF_Dato,$A206))*2,0)/2)))</f>
        <v/>
      </c>
      <c r="BH206">
        <f>IF(OR(BH$4="",$A206&gt;TODAY()),0,IF(OR(INDEX($B206:$D206,BH$5)="F",AND(BH$6&gt;0,$A206&lt;BH$6),AND(BH$7&gt;0,$A206&gt;BH$7)),0,MAX(0,ROUND((INDEX($E206:$G206,BH$5)-SUMIFS(TF_Timer,TF_Tekniker,BH$4,TF_Dato,$A206))*2,0)/2)))</f>
        <v/>
      </c>
      <c r="BI206">
        <f>IF(OR(BI$4="",$A206&gt;TODAY()),0,IF(OR(INDEX($B206:$D206,BI$5)="F",AND(BI$6&gt;0,$A206&lt;BI$6),AND(BI$7&gt;0,$A206&gt;BI$7)),0,MAX(0,ROUND((INDEX($E206:$G206,BI$5)-SUMIFS(TF_Timer,TF_Tekniker,BI$4,TF_Dato,$A206))*2,0)/2)))</f>
        <v/>
      </c>
    </row>
    <row r="207">
      <c r="A207" s="64">
        <f>A206+1</f>
        <v/>
      </c>
      <c r="B207">
        <f>IF(MOD($A207-INDEX(SkiftStart,1),Syklus)&lt;DagK,"K",IF(MOD($A207-INDEX(SkiftStart,1),Syklus)&lt;DagK+DagH,"H",IF(MOD($A207-INDEX(SkiftStart,1),Syklus)&lt;DagK+DagH+DagD,"D","F")))</f>
        <v/>
      </c>
      <c r="C207">
        <f>IF(MOD($A207-INDEX(SkiftStart,2),Syklus)&lt;DagK,"K",IF(MOD($A207-INDEX(SkiftStart,2),Syklus)&lt;DagK+DagH,"H",IF(MOD($A207-INDEX(SkiftStart,2),Syklus)&lt;DagK+DagH+DagD,"D","F")))</f>
        <v/>
      </c>
      <c r="D207">
        <f>IF(MOD($A207-INDEX(SkiftStart,3),Syklus)&lt;DagK,"K",IF(MOD($A207-INDEX(SkiftStart,3),Syklus)&lt;DagK+DagH,"H",IF(MOD($A207-INDEX(SkiftStart,3),Syklus)&lt;DagK+DagH+DagD,"D","F")))</f>
        <v/>
      </c>
      <c r="E207">
        <f>IF(B207="F",0,IF(WEEKDAY($A207,2)=5,INDEX(TimerFr,MATCH(B207,FaseKode,0)),INDEX(TimerMT,MATCH(B207,FaseKode,0))))</f>
        <v/>
      </c>
      <c r="F207">
        <f>IF(C207="F",0,IF(WEEKDAY($A207,2)=5,INDEX(TimerFr,MATCH(C207,FaseKode,0)),INDEX(TimerMT,MATCH(C207,FaseKode,0))))</f>
        <v/>
      </c>
      <c r="G207">
        <f>IF(D207="F",0,IF(WEEKDAY($A207,2)=5,INDEX(TimerFr,MATCH(D207,FaseKode,0)),INDEX(TimerMT,MATCH(D207,FaseKode,0))))</f>
        <v/>
      </c>
      <c r="H207">
        <f>IF(OR(H$4="",$A207&gt;TODAY()),0,IF(OR(INDEX($B207:$D207,H$5)="F",AND(H$6&gt;0,$A207&lt;H$6),AND(H$7&gt;0,$A207&gt;H$7)),0,MAX(0,ROUND((INDEX($E207:$G207,H$5)-SUMIFS(TF_Timer,TF_Tekniker,H$4,TF_Dato,$A207))*2,0)/2)))</f>
        <v/>
      </c>
      <c r="I207">
        <f>IF(OR(I$4="",$A207&gt;TODAY()),0,IF(OR(INDEX($B207:$D207,I$5)="F",AND(I$6&gt;0,$A207&lt;I$6),AND(I$7&gt;0,$A207&gt;I$7)),0,MAX(0,ROUND((INDEX($E207:$G207,I$5)-SUMIFS(TF_Timer,TF_Tekniker,I$4,TF_Dato,$A207))*2,0)/2)))</f>
        <v/>
      </c>
      <c r="J207">
        <f>IF(OR(J$4="",$A207&gt;TODAY()),0,IF(OR(INDEX($B207:$D207,J$5)="F",AND(J$6&gt;0,$A207&lt;J$6),AND(J$7&gt;0,$A207&gt;J$7)),0,MAX(0,ROUND((INDEX($E207:$G207,J$5)-SUMIFS(TF_Timer,TF_Tekniker,J$4,TF_Dato,$A207))*2,0)/2)))</f>
        <v/>
      </c>
      <c r="K207">
        <f>IF(OR(K$4="",$A207&gt;TODAY()),0,IF(OR(INDEX($B207:$D207,K$5)="F",AND(K$6&gt;0,$A207&lt;K$6),AND(K$7&gt;0,$A207&gt;K$7)),0,MAX(0,ROUND((INDEX($E207:$G207,K$5)-SUMIFS(TF_Timer,TF_Tekniker,K$4,TF_Dato,$A207))*2,0)/2)))</f>
        <v/>
      </c>
      <c r="L207">
        <f>IF(OR(L$4="",$A207&gt;TODAY()),0,IF(OR(INDEX($B207:$D207,L$5)="F",AND(L$6&gt;0,$A207&lt;L$6),AND(L$7&gt;0,$A207&gt;L$7)),0,MAX(0,ROUND((INDEX($E207:$G207,L$5)-SUMIFS(TF_Timer,TF_Tekniker,L$4,TF_Dato,$A207))*2,0)/2)))</f>
        <v/>
      </c>
      <c r="M207">
        <f>IF(OR(M$4="",$A207&gt;TODAY()),0,IF(OR(INDEX($B207:$D207,M$5)="F",AND(M$6&gt;0,$A207&lt;M$6),AND(M$7&gt;0,$A207&gt;M$7)),0,MAX(0,ROUND((INDEX($E207:$G207,M$5)-SUMIFS(TF_Timer,TF_Tekniker,M$4,TF_Dato,$A207))*2,0)/2)))</f>
        <v/>
      </c>
      <c r="N207">
        <f>IF(OR(N$4="",$A207&gt;TODAY()),0,IF(OR(INDEX($B207:$D207,N$5)="F",AND(N$6&gt;0,$A207&lt;N$6),AND(N$7&gt;0,$A207&gt;N$7)),0,MAX(0,ROUND((INDEX($E207:$G207,N$5)-SUMIFS(TF_Timer,TF_Tekniker,N$4,TF_Dato,$A207))*2,0)/2)))</f>
        <v/>
      </c>
      <c r="O207">
        <f>IF(OR(O$4="",$A207&gt;TODAY()),0,IF(OR(INDEX($B207:$D207,O$5)="F",AND(O$6&gt;0,$A207&lt;O$6),AND(O$7&gt;0,$A207&gt;O$7)),0,MAX(0,ROUND((INDEX($E207:$G207,O$5)-SUMIFS(TF_Timer,TF_Tekniker,O$4,TF_Dato,$A207))*2,0)/2)))</f>
        <v/>
      </c>
      <c r="P207">
        <f>IF(OR(P$4="",$A207&gt;TODAY()),0,IF(OR(INDEX($B207:$D207,P$5)="F",AND(P$6&gt;0,$A207&lt;P$6),AND(P$7&gt;0,$A207&gt;P$7)),0,MAX(0,ROUND((INDEX($E207:$G207,P$5)-SUMIFS(TF_Timer,TF_Tekniker,P$4,TF_Dato,$A207))*2,0)/2)))</f>
        <v/>
      </c>
      <c r="Q207">
        <f>IF(OR(Q$4="",$A207&gt;TODAY()),0,IF(OR(INDEX($B207:$D207,Q$5)="F",AND(Q$6&gt;0,$A207&lt;Q$6),AND(Q$7&gt;0,$A207&gt;Q$7)),0,MAX(0,ROUND((INDEX($E207:$G207,Q$5)-SUMIFS(TF_Timer,TF_Tekniker,Q$4,TF_Dato,$A207))*2,0)/2)))</f>
        <v/>
      </c>
      <c r="R207">
        <f>IF(OR(R$4="",$A207&gt;TODAY()),0,IF(OR(INDEX($B207:$D207,R$5)="F",AND(R$6&gt;0,$A207&lt;R$6),AND(R$7&gt;0,$A207&gt;R$7)),0,MAX(0,ROUND((INDEX($E207:$G207,R$5)-SUMIFS(TF_Timer,TF_Tekniker,R$4,TF_Dato,$A207))*2,0)/2)))</f>
        <v/>
      </c>
      <c r="S207">
        <f>IF(OR(S$4="",$A207&gt;TODAY()),0,IF(OR(INDEX($B207:$D207,S$5)="F",AND(S$6&gt;0,$A207&lt;S$6),AND(S$7&gt;0,$A207&gt;S$7)),0,MAX(0,ROUND((INDEX($E207:$G207,S$5)-SUMIFS(TF_Timer,TF_Tekniker,S$4,TF_Dato,$A207))*2,0)/2)))</f>
        <v/>
      </c>
      <c r="T207">
        <f>IF(OR(T$4="",$A207&gt;TODAY()),0,IF(OR(INDEX($B207:$D207,T$5)="F",AND(T$6&gt;0,$A207&lt;T$6),AND(T$7&gt;0,$A207&gt;T$7)),0,MAX(0,ROUND((INDEX($E207:$G207,T$5)-SUMIFS(TF_Timer,TF_Tekniker,T$4,TF_Dato,$A207))*2,0)/2)))</f>
        <v/>
      </c>
      <c r="U207">
        <f>IF(OR(U$4="",$A207&gt;TODAY()),0,IF(OR(INDEX($B207:$D207,U$5)="F",AND(U$6&gt;0,$A207&lt;U$6),AND(U$7&gt;0,$A207&gt;U$7)),0,MAX(0,ROUND((INDEX($E207:$G207,U$5)-SUMIFS(TF_Timer,TF_Tekniker,U$4,TF_Dato,$A207))*2,0)/2)))</f>
        <v/>
      </c>
      <c r="V207">
        <f>IF(OR(V$4="",$A207&gt;TODAY()),0,IF(OR(INDEX($B207:$D207,V$5)="F",AND(V$6&gt;0,$A207&lt;V$6),AND(V$7&gt;0,$A207&gt;V$7)),0,MAX(0,ROUND((INDEX($E207:$G207,V$5)-SUMIFS(TF_Timer,TF_Tekniker,V$4,TF_Dato,$A207))*2,0)/2)))</f>
        <v/>
      </c>
      <c r="W207">
        <f>IF(OR(W$4="",$A207&gt;TODAY()),0,IF(OR(INDEX($B207:$D207,W$5)="F",AND(W$6&gt;0,$A207&lt;W$6),AND(W$7&gt;0,$A207&gt;W$7)),0,MAX(0,ROUND((INDEX($E207:$G207,W$5)-SUMIFS(TF_Timer,TF_Tekniker,W$4,TF_Dato,$A207))*2,0)/2)))</f>
        <v/>
      </c>
      <c r="X207">
        <f>IF(OR(X$4="",$A207&gt;TODAY()),0,IF(OR(INDEX($B207:$D207,X$5)="F",AND(X$6&gt;0,$A207&lt;X$6),AND(X$7&gt;0,$A207&gt;X$7)),0,MAX(0,ROUND((INDEX($E207:$G207,X$5)-SUMIFS(TF_Timer,TF_Tekniker,X$4,TF_Dato,$A207))*2,0)/2)))</f>
        <v/>
      </c>
      <c r="Y207">
        <f>IF(OR(Y$4="",$A207&gt;TODAY()),0,IF(OR(INDEX($B207:$D207,Y$5)="F",AND(Y$6&gt;0,$A207&lt;Y$6),AND(Y$7&gt;0,$A207&gt;Y$7)),0,MAX(0,ROUND((INDEX($E207:$G207,Y$5)-SUMIFS(TF_Timer,TF_Tekniker,Y$4,TF_Dato,$A207))*2,0)/2)))</f>
        <v/>
      </c>
      <c r="Z207">
        <f>IF(OR(Z$4="",$A207&gt;TODAY()),0,IF(OR(INDEX($B207:$D207,Z$5)="F",AND(Z$6&gt;0,$A207&lt;Z$6),AND(Z$7&gt;0,$A207&gt;Z$7)),0,MAX(0,ROUND((INDEX($E207:$G207,Z$5)-SUMIFS(TF_Timer,TF_Tekniker,Z$4,TF_Dato,$A207))*2,0)/2)))</f>
        <v/>
      </c>
      <c r="AA207">
        <f>IF(OR(AA$4="",$A207&gt;TODAY()),0,IF(OR(INDEX($B207:$D207,AA$5)="F",AND(AA$6&gt;0,$A207&lt;AA$6),AND(AA$7&gt;0,$A207&gt;AA$7)),0,MAX(0,ROUND((INDEX($E207:$G207,AA$5)-SUMIFS(TF_Timer,TF_Tekniker,AA$4,TF_Dato,$A207))*2,0)/2)))</f>
        <v/>
      </c>
      <c r="AB207">
        <f>IF(OR(AB$4="",$A207&gt;TODAY()),0,IF(OR(INDEX($B207:$D207,AB$5)="F",AND(AB$6&gt;0,$A207&lt;AB$6),AND(AB$7&gt;0,$A207&gt;AB$7)),0,MAX(0,ROUND((INDEX($E207:$G207,AB$5)-SUMIFS(TF_Timer,TF_Tekniker,AB$4,TF_Dato,$A207))*2,0)/2)))</f>
        <v/>
      </c>
      <c r="AC207">
        <f>IF(OR(AC$4="",$A207&gt;TODAY()),0,IF(OR(INDEX($B207:$D207,AC$5)="F",AND(AC$6&gt;0,$A207&lt;AC$6),AND(AC$7&gt;0,$A207&gt;AC$7)),0,MAX(0,ROUND((INDEX($E207:$G207,AC$5)-SUMIFS(TF_Timer,TF_Tekniker,AC$4,TF_Dato,$A207))*2,0)/2)))</f>
        <v/>
      </c>
      <c r="AD207">
        <f>IF(OR(AD$4="",$A207&gt;TODAY()),0,IF(OR(INDEX($B207:$D207,AD$5)="F",AND(AD$6&gt;0,$A207&lt;AD$6),AND(AD$7&gt;0,$A207&gt;AD$7)),0,MAX(0,ROUND((INDEX($E207:$G207,AD$5)-SUMIFS(TF_Timer,TF_Tekniker,AD$4,TF_Dato,$A207))*2,0)/2)))</f>
        <v/>
      </c>
      <c r="AE207">
        <f>IF(OR(AE$4="",$A207&gt;TODAY()),0,IF(OR(INDEX($B207:$D207,AE$5)="F",AND(AE$6&gt;0,$A207&lt;AE$6),AND(AE$7&gt;0,$A207&gt;AE$7)),0,MAX(0,ROUND((INDEX($E207:$G207,AE$5)-SUMIFS(TF_Timer,TF_Tekniker,AE$4,TF_Dato,$A207))*2,0)/2)))</f>
        <v/>
      </c>
      <c r="AF207">
        <f>IF(OR(AF$4="",$A207&gt;TODAY()),0,IF(OR(INDEX($B207:$D207,AF$5)="F",AND(AF$6&gt;0,$A207&lt;AF$6),AND(AF$7&gt;0,$A207&gt;AF$7)),0,MAX(0,ROUND((INDEX($E207:$G207,AF$5)-SUMIFS(TF_Timer,TF_Tekniker,AF$4,TF_Dato,$A207))*2,0)/2)))</f>
        <v/>
      </c>
      <c r="AG207">
        <f>IF(OR(AG$4="",$A207&gt;TODAY()),0,IF(OR(INDEX($B207:$D207,AG$5)="F",AND(AG$6&gt;0,$A207&lt;AG$6),AND(AG$7&gt;0,$A207&gt;AG$7)),0,MAX(0,ROUND((INDEX($E207:$G207,AG$5)-SUMIFS(TF_Timer,TF_Tekniker,AG$4,TF_Dato,$A207))*2,0)/2)))</f>
        <v/>
      </c>
      <c r="AH207">
        <f>IF(OR(AH$4="",$A207&gt;TODAY()),0,IF(OR(INDEX($B207:$D207,AH$5)="F",AND(AH$6&gt;0,$A207&lt;AH$6),AND(AH$7&gt;0,$A207&gt;AH$7)),0,MAX(0,ROUND((INDEX($E207:$G207,AH$5)-SUMIFS(TF_Timer,TF_Tekniker,AH$4,TF_Dato,$A207))*2,0)/2)))</f>
        <v/>
      </c>
      <c r="AI207">
        <f>IF(OR(AI$4="",$A207&gt;TODAY()),0,IF(OR(INDEX($B207:$D207,AI$5)="F",AND(AI$6&gt;0,$A207&lt;AI$6),AND(AI$7&gt;0,$A207&gt;AI$7)),0,MAX(0,ROUND((INDEX($E207:$G207,AI$5)-SUMIFS(TF_Timer,TF_Tekniker,AI$4,TF_Dato,$A207))*2,0)/2)))</f>
        <v/>
      </c>
      <c r="AJ207">
        <f>IF(OR(AJ$4="",$A207&gt;TODAY()),0,IF(OR(INDEX($B207:$D207,AJ$5)="F",AND(AJ$6&gt;0,$A207&lt;AJ$6),AND(AJ$7&gt;0,$A207&gt;AJ$7)),0,MAX(0,ROUND((INDEX($E207:$G207,AJ$5)-SUMIFS(TF_Timer,TF_Tekniker,AJ$4,TF_Dato,$A207))*2,0)/2)))</f>
        <v/>
      </c>
      <c r="AK207">
        <f>IF(OR(AK$4="",$A207&gt;TODAY()),0,IF(OR(INDEX($B207:$D207,AK$5)="F",AND(AK$6&gt;0,$A207&lt;AK$6),AND(AK$7&gt;0,$A207&gt;AK$7)),0,MAX(0,ROUND((INDEX($E207:$G207,AK$5)-SUMIFS(TF_Timer,TF_Tekniker,AK$4,TF_Dato,$A207))*2,0)/2)))</f>
        <v/>
      </c>
      <c r="AL207">
        <f>IF(OR(AL$4="",$A207&gt;TODAY()),0,IF(OR(INDEX($B207:$D207,AL$5)="F",AND(AL$6&gt;0,$A207&lt;AL$6),AND(AL$7&gt;0,$A207&gt;AL$7)),0,MAX(0,ROUND((INDEX($E207:$G207,AL$5)-SUMIFS(TF_Timer,TF_Tekniker,AL$4,TF_Dato,$A207))*2,0)/2)))</f>
        <v/>
      </c>
      <c r="AM207">
        <f>IF(OR(AM$4="",$A207&gt;TODAY()),0,IF(OR(INDEX($B207:$D207,AM$5)="F",AND(AM$6&gt;0,$A207&lt;AM$6),AND(AM$7&gt;0,$A207&gt;AM$7)),0,MAX(0,ROUND((INDEX($E207:$G207,AM$5)-SUMIFS(TF_Timer,TF_Tekniker,AM$4,TF_Dato,$A207))*2,0)/2)))</f>
        <v/>
      </c>
      <c r="AN207">
        <f>IF(OR(AN$4="",$A207&gt;TODAY()),0,IF(OR(INDEX($B207:$D207,AN$5)="F",AND(AN$6&gt;0,$A207&lt;AN$6),AND(AN$7&gt;0,$A207&gt;AN$7)),0,MAX(0,ROUND((INDEX($E207:$G207,AN$5)-SUMIFS(TF_Timer,TF_Tekniker,AN$4,TF_Dato,$A207))*2,0)/2)))</f>
        <v/>
      </c>
      <c r="AO207">
        <f>IF(OR(AO$4="",$A207&gt;TODAY()),0,IF(OR(INDEX($B207:$D207,AO$5)="F",AND(AO$6&gt;0,$A207&lt;AO$6),AND(AO$7&gt;0,$A207&gt;AO$7)),0,MAX(0,ROUND((INDEX($E207:$G207,AO$5)-SUMIFS(TF_Timer,TF_Tekniker,AO$4,TF_Dato,$A207))*2,0)/2)))</f>
        <v/>
      </c>
      <c r="AP207">
        <f>IF(OR(AP$4="",$A207&gt;TODAY()),0,IF(OR(INDEX($B207:$D207,AP$5)="F",AND(AP$6&gt;0,$A207&lt;AP$6),AND(AP$7&gt;0,$A207&gt;AP$7)),0,MAX(0,ROUND((INDEX($E207:$G207,AP$5)-SUMIFS(TF_Timer,TF_Tekniker,AP$4,TF_Dato,$A207))*2,0)/2)))</f>
        <v/>
      </c>
      <c r="AQ207">
        <f>IF(OR(AQ$4="",$A207&gt;TODAY()),0,IF(OR(INDEX($B207:$D207,AQ$5)="F",AND(AQ$6&gt;0,$A207&lt;AQ$6),AND(AQ$7&gt;0,$A207&gt;AQ$7)),0,MAX(0,ROUND((INDEX($E207:$G207,AQ$5)-SUMIFS(TF_Timer,TF_Tekniker,AQ$4,TF_Dato,$A207))*2,0)/2)))</f>
        <v/>
      </c>
      <c r="AR207">
        <f>IF(OR(AR$4="",$A207&gt;TODAY()),0,IF(OR(INDEX($B207:$D207,AR$5)="F",AND(AR$6&gt;0,$A207&lt;AR$6),AND(AR$7&gt;0,$A207&gt;AR$7)),0,MAX(0,ROUND((INDEX($E207:$G207,AR$5)-SUMIFS(TF_Timer,TF_Tekniker,AR$4,TF_Dato,$A207))*2,0)/2)))</f>
        <v/>
      </c>
      <c r="AS207">
        <f>IF(OR(AS$4="",$A207&gt;TODAY()),0,IF(OR(INDEX($B207:$D207,AS$5)="F",AND(AS$6&gt;0,$A207&lt;AS$6),AND(AS$7&gt;0,$A207&gt;AS$7)),0,MAX(0,ROUND((INDEX($E207:$G207,AS$5)-SUMIFS(TF_Timer,TF_Tekniker,AS$4,TF_Dato,$A207))*2,0)/2)))</f>
        <v/>
      </c>
      <c r="AT207">
        <f>IF(OR(AT$4="",$A207&gt;TODAY()),0,IF(OR(INDEX($B207:$D207,AT$5)="F",AND(AT$6&gt;0,$A207&lt;AT$6),AND(AT$7&gt;0,$A207&gt;AT$7)),0,MAX(0,ROUND((INDEX($E207:$G207,AT$5)-SUMIFS(TF_Timer,TF_Tekniker,AT$4,TF_Dato,$A207))*2,0)/2)))</f>
        <v/>
      </c>
      <c r="AU207">
        <f>IF(OR(AU$4="",$A207&gt;TODAY()),0,IF(OR(INDEX($B207:$D207,AU$5)="F",AND(AU$6&gt;0,$A207&lt;AU$6),AND(AU$7&gt;0,$A207&gt;AU$7)),0,MAX(0,ROUND((INDEX($E207:$G207,AU$5)-SUMIFS(TF_Timer,TF_Tekniker,AU$4,TF_Dato,$A207))*2,0)/2)))</f>
        <v/>
      </c>
      <c r="AV207">
        <f>IF(OR(AV$4="",$A207&gt;TODAY()),0,IF(OR(INDEX($B207:$D207,AV$5)="F",AND(AV$6&gt;0,$A207&lt;AV$6),AND(AV$7&gt;0,$A207&gt;AV$7)),0,MAX(0,ROUND((INDEX($E207:$G207,AV$5)-SUMIFS(TF_Timer,TF_Tekniker,AV$4,TF_Dato,$A207))*2,0)/2)))</f>
        <v/>
      </c>
      <c r="AW207">
        <f>IF(OR(AW$4="",$A207&gt;TODAY()),0,IF(OR(INDEX($B207:$D207,AW$5)="F",AND(AW$6&gt;0,$A207&lt;AW$6),AND(AW$7&gt;0,$A207&gt;AW$7)),0,MAX(0,ROUND((INDEX($E207:$G207,AW$5)-SUMIFS(TF_Timer,TF_Tekniker,AW$4,TF_Dato,$A207))*2,0)/2)))</f>
        <v/>
      </c>
      <c r="AX207">
        <f>IF(OR(AX$4="",$A207&gt;TODAY()),0,IF(OR(INDEX($B207:$D207,AX$5)="F",AND(AX$6&gt;0,$A207&lt;AX$6),AND(AX$7&gt;0,$A207&gt;AX$7)),0,MAX(0,ROUND((INDEX($E207:$G207,AX$5)-SUMIFS(TF_Timer,TF_Tekniker,AX$4,TF_Dato,$A207))*2,0)/2)))</f>
        <v/>
      </c>
      <c r="AY207">
        <f>IF(OR(AY$4="",$A207&gt;TODAY()),0,IF(OR(INDEX($B207:$D207,AY$5)="F",AND(AY$6&gt;0,$A207&lt;AY$6),AND(AY$7&gt;0,$A207&gt;AY$7)),0,MAX(0,ROUND((INDEX($E207:$G207,AY$5)-SUMIFS(TF_Timer,TF_Tekniker,AY$4,TF_Dato,$A207))*2,0)/2)))</f>
        <v/>
      </c>
      <c r="AZ207">
        <f>IF(OR(AZ$4="",$A207&gt;TODAY()),0,IF(OR(INDEX($B207:$D207,AZ$5)="F",AND(AZ$6&gt;0,$A207&lt;AZ$6),AND(AZ$7&gt;0,$A207&gt;AZ$7)),0,MAX(0,ROUND((INDEX($E207:$G207,AZ$5)-SUMIFS(TF_Timer,TF_Tekniker,AZ$4,TF_Dato,$A207))*2,0)/2)))</f>
        <v/>
      </c>
      <c r="BA207">
        <f>IF(OR(BA$4="",$A207&gt;TODAY()),0,IF(OR(INDEX($B207:$D207,BA$5)="F",AND(BA$6&gt;0,$A207&lt;BA$6),AND(BA$7&gt;0,$A207&gt;BA$7)),0,MAX(0,ROUND((INDEX($E207:$G207,BA$5)-SUMIFS(TF_Timer,TF_Tekniker,BA$4,TF_Dato,$A207))*2,0)/2)))</f>
        <v/>
      </c>
      <c r="BB207">
        <f>IF(OR(BB$4="",$A207&gt;TODAY()),0,IF(OR(INDEX($B207:$D207,BB$5)="F",AND(BB$6&gt;0,$A207&lt;BB$6),AND(BB$7&gt;0,$A207&gt;BB$7)),0,MAX(0,ROUND((INDEX($E207:$G207,BB$5)-SUMIFS(TF_Timer,TF_Tekniker,BB$4,TF_Dato,$A207))*2,0)/2)))</f>
        <v/>
      </c>
      <c r="BC207">
        <f>IF(OR(BC$4="",$A207&gt;TODAY()),0,IF(OR(INDEX($B207:$D207,BC$5)="F",AND(BC$6&gt;0,$A207&lt;BC$6),AND(BC$7&gt;0,$A207&gt;BC$7)),0,MAX(0,ROUND((INDEX($E207:$G207,BC$5)-SUMIFS(TF_Timer,TF_Tekniker,BC$4,TF_Dato,$A207))*2,0)/2)))</f>
        <v/>
      </c>
      <c r="BD207">
        <f>IF(OR(BD$4="",$A207&gt;TODAY()),0,IF(OR(INDEX($B207:$D207,BD$5)="F",AND(BD$6&gt;0,$A207&lt;BD$6),AND(BD$7&gt;0,$A207&gt;BD$7)),0,MAX(0,ROUND((INDEX($E207:$G207,BD$5)-SUMIFS(TF_Timer,TF_Tekniker,BD$4,TF_Dato,$A207))*2,0)/2)))</f>
        <v/>
      </c>
      <c r="BE207">
        <f>IF(OR(BE$4="",$A207&gt;TODAY()),0,IF(OR(INDEX($B207:$D207,BE$5)="F",AND(BE$6&gt;0,$A207&lt;BE$6),AND(BE$7&gt;0,$A207&gt;BE$7)),0,MAX(0,ROUND((INDEX($E207:$G207,BE$5)-SUMIFS(TF_Timer,TF_Tekniker,BE$4,TF_Dato,$A207))*2,0)/2)))</f>
        <v/>
      </c>
      <c r="BF207">
        <f>IF(OR(BF$4="",$A207&gt;TODAY()),0,IF(OR(INDEX($B207:$D207,BF$5)="F",AND(BF$6&gt;0,$A207&lt;BF$6),AND(BF$7&gt;0,$A207&gt;BF$7)),0,MAX(0,ROUND((INDEX($E207:$G207,BF$5)-SUMIFS(TF_Timer,TF_Tekniker,BF$4,TF_Dato,$A207))*2,0)/2)))</f>
        <v/>
      </c>
      <c r="BG207">
        <f>IF(OR(BG$4="",$A207&gt;TODAY()),0,IF(OR(INDEX($B207:$D207,BG$5)="F",AND(BG$6&gt;0,$A207&lt;BG$6),AND(BG$7&gt;0,$A207&gt;BG$7)),0,MAX(0,ROUND((INDEX($E207:$G207,BG$5)-SUMIFS(TF_Timer,TF_Tekniker,BG$4,TF_Dato,$A207))*2,0)/2)))</f>
        <v/>
      </c>
      <c r="BH207">
        <f>IF(OR(BH$4="",$A207&gt;TODAY()),0,IF(OR(INDEX($B207:$D207,BH$5)="F",AND(BH$6&gt;0,$A207&lt;BH$6),AND(BH$7&gt;0,$A207&gt;BH$7)),0,MAX(0,ROUND((INDEX($E207:$G207,BH$5)-SUMIFS(TF_Timer,TF_Tekniker,BH$4,TF_Dato,$A207))*2,0)/2)))</f>
        <v/>
      </c>
      <c r="BI207">
        <f>IF(OR(BI$4="",$A207&gt;TODAY()),0,IF(OR(INDEX($B207:$D207,BI$5)="F",AND(BI$6&gt;0,$A207&lt;BI$6),AND(BI$7&gt;0,$A207&gt;BI$7)),0,MAX(0,ROUND((INDEX($E207:$G207,BI$5)-SUMIFS(TF_Timer,TF_Tekniker,BI$4,TF_Dato,$A207))*2,0)/2)))</f>
        <v/>
      </c>
    </row>
    <row r="208">
      <c r="A208" s="64">
        <f>A207+1</f>
        <v/>
      </c>
      <c r="B208">
        <f>IF(MOD($A208-INDEX(SkiftStart,1),Syklus)&lt;DagK,"K",IF(MOD($A208-INDEX(SkiftStart,1),Syklus)&lt;DagK+DagH,"H",IF(MOD($A208-INDEX(SkiftStart,1),Syklus)&lt;DagK+DagH+DagD,"D","F")))</f>
        <v/>
      </c>
      <c r="C208">
        <f>IF(MOD($A208-INDEX(SkiftStart,2),Syklus)&lt;DagK,"K",IF(MOD($A208-INDEX(SkiftStart,2),Syklus)&lt;DagK+DagH,"H",IF(MOD($A208-INDEX(SkiftStart,2),Syklus)&lt;DagK+DagH+DagD,"D","F")))</f>
        <v/>
      </c>
      <c r="D208">
        <f>IF(MOD($A208-INDEX(SkiftStart,3),Syklus)&lt;DagK,"K",IF(MOD($A208-INDEX(SkiftStart,3),Syklus)&lt;DagK+DagH,"H",IF(MOD($A208-INDEX(SkiftStart,3),Syklus)&lt;DagK+DagH+DagD,"D","F")))</f>
        <v/>
      </c>
      <c r="E208">
        <f>IF(B208="F",0,IF(WEEKDAY($A208,2)=5,INDEX(TimerFr,MATCH(B208,FaseKode,0)),INDEX(TimerMT,MATCH(B208,FaseKode,0))))</f>
        <v/>
      </c>
      <c r="F208">
        <f>IF(C208="F",0,IF(WEEKDAY($A208,2)=5,INDEX(TimerFr,MATCH(C208,FaseKode,0)),INDEX(TimerMT,MATCH(C208,FaseKode,0))))</f>
        <v/>
      </c>
      <c r="G208">
        <f>IF(D208="F",0,IF(WEEKDAY($A208,2)=5,INDEX(TimerFr,MATCH(D208,FaseKode,0)),INDEX(TimerMT,MATCH(D208,FaseKode,0))))</f>
        <v/>
      </c>
      <c r="H208">
        <f>IF(OR(H$4="",$A208&gt;TODAY()),0,IF(OR(INDEX($B208:$D208,H$5)="F",AND(H$6&gt;0,$A208&lt;H$6),AND(H$7&gt;0,$A208&gt;H$7)),0,MAX(0,ROUND((INDEX($E208:$G208,H$5)-SUMIFS(TF_Timer,TF_Tekniker,H$4,TF_Dato,$A208))*2,0)/2)))</f>
        <v/>
      </c>
      <c r="I208">
        <f>IF(OR(I$4="",$A208&gt;TODAY()),0,IF(OR(INDEX($B208:$D208,I$5)="F",AND(I$6&gt;0,$A208&lt;I$6),AND(I$7&gt;0,$A208&gt;I$7)),0,MAX(0,ROUND((INDEX($E208:$G208,I$5)-SUMIFS(TF_Timer,TF_Tekniker,I$4,TF_Dato,$A208))*2,0)/2)))</f>
        <v/>
      </c>
      <c r="J208">
        <f>IF(OR(J$4="",$A208&gt;TODAY()),0,IF(OR(INDEX($B208:$D208,J$5)="F",AND(J$6&gt;0,$A208&lt;J$6),AND(J$7&gt;0,$A208&gt;J$7)),0,MAX(0,ROUND((INDEX($E208:$G208,J$5)-SUMIFS(TF_Timer,TF_Tekniker,J$4,TF_Dato,$A208))*2,0)/2)))</f>
        <v/>
      </c>
      <c r="K208">
        <f>IF(OR(K$4="",$A208&gt;TODAY()),0,IF(OR(INDEX($B208:$D208,K$5)="F",AND(K$6&gt;0,$A208&lt;K$6),AND(K$7&gt;0,$A208&gt;K$7)),0,MAX(0,ROUND((INDEX($E208:$G208,K$5)-SUMIFS(TF_Timer,TF_Tekniker,K$4,TF_Dato,$A208))*2,0)/2)))</f>
        <v/>
      </c>
      <c r="L208">
        <f>IF(OR(L$4="",$A208&gt;TODAY()),0,IF(OR(INDEX($B208:$D208,L$5)="F",AND(L$6&gt;0,$A208&lt;L$6),AND(L$7&gt;0,$A208&gt;L$7)),0,MAX(0,ROUND((INDEX($E208:$G208,L$5)-SUMIFS(TF_Timer,TF_Tekniker,L$4,TF_Dato,$A208))*2,0)/2)))</f>
        <v/>
      </c>
      <c r="M208">
        <f>IF(OR(M$4="",$A208&gt;TODAY()),0,IF(OR(INDEX($B208:$D208,M$5)="F",AND(M$6&gt;0,$A208&lt;M$6),AND(M$7&gt;0,$A208&gt;M$7)),0,MAX(0,ROUND((INDEX($E208:$G208,M$5)-SUMIFS(TF_Timer,TF_Tekniker,M$4,TF_Dato,$A208))*2,0)/2)))</f>
        <v/>
      </c>
      <c r="N208">
        <f>IF(OR(N$4="",$A208&gt;TODAY()),0,IF(OR(INDEX($B208:$D208,N$5)="F",AND(N$6&gt;0,$A208&lt;N$6),AND(N$7&gt;0,$A208&gt;N$7)),0,MAX(0,ROUND((INDEX($E208:$G208,N$5)-SUMIFS(TF_Timer,TF_Tekniker,N$4,TF_Dato,$A208))*2,0)/2)))</f>
        <v/>
      </c>
      <c r="O208">
        <f>IF(OR(O$4="",$A208&gt;TODAY()),0,IF(OR(INDEX($B208:$D208,O$5)="F",AND(O$6&gt;0,$A208&lt;O$6),AND(O$7&gt;0,$A208&gt;O$7)),0,MAX(0,ROUND((INDEX($E208:$G208,O$5)-SUMIFS(TF_Timer,TF_Tekniker,O$4,TF_Dato,$A208))*2,0)/2)))</f>
        <v/>
      </c>
      <c r="P208">
        <f>IF(OR(P$4="",$A208&gt;TODAY()),0,IF(OR(INDEX($B208:$D208,P$5)="F",AND(P$6&gt;0,$A208&lt;P$6),AND(P$7&gt;0,$A208&gt;P$7)),0,MAX(0,ROUND((INDEX($E208:$G208,P$5)-SUMIFS(TF_Timer,TF_Tekniker,P$4,TF_Dato,$A208))*2,0)/2)))</f>
        <v/>
      </c>
      <c r="Q208">
        <f>IF(OR(Q$4="",$A208&gt;TODAY()),0,IF(OR(INDEX($B208:$D208,Q$5)="F",AND(Q$6&gt;0,$A208&lt;Q$6),AND(Q$7&gt;0,$A208&gt;Q$7)),0,MAX(0,ROUND((INDEX($E208:$G208,Q$5)-SUMIFS(TF_Timer,TF_Tekniker,Q$4,TF_Dato,$A208))*2,0)/2)))</f>
        <v/>
      </c>
      <c r="R208">
        <f>IF(OR(R$4="",$A208&gt;TODAY()),0,IF(OR(INDEX($B208:$D208,R$5)="F",AND(R$6&gt;0,$A208&lt;R$6),AND(R$7&gt;0,$A208&gt;R$7)),0,MAX(0,ROUND((INDEX($E208:$G208,R$5)-SUMIFS(TF_Timer,TF_Tekniker,R$4,TF_Dato,$A208))*2,0)/2)))</f>
        <v/>
      </c>
      <c r="S208">
        <f>IF(OR(S$4="",$A208&gt;TODAY()),0,IF(OR(INDEX($B208:$D208,S$5)="F",AND(S$6&gt;0,$A208&lt;S$6),AND(S$7&gt;0,$A208&gt;S$7)),0,MAX(0,ROUND((INDEX($E208:$G208,S$5)-SUMIFS(TF_Timer,TF_Tekniker,S$4,TF_Dato,$A208))*2,0)/2)))</f>
        <v/>
      </c>
      <c r="T208">
        <f>IF(OR(T$4="",$A208&gt;TODAY()),0,IF(OR(INDEX($B208:$D208,T$5)="F",AND(T$6&gt;0,$A208&lt;T$6),AND(T$7&gt;0,$A208&gt;T$7)),0,MAX(0,ROUND((INDEX($E208:$G208,T$5)-SUMIFS(TF_Timer,TF_Tekniker,T$4,TF_Dato,$A208))*2,0)/2)))</f>
        <v/>
      </c>
      <c r="U208">
        <f>IF(OR(U$4="",$A208&gt;TODAY()),0,IF(OR(INDEX($B208:$D208,U$5)="F",AND(U$6&gt;0,$A208&lt;U$6),AND(U$7&gt;0,$A208&gt;U$7)),0,MAX(0,ROUND((INDEX($E208:$G208,U$5)-SUMIFS(TF_Timer,TF_Tekniker,U$4,TF_Dato,$A208))*2,0)/2)))</f>
        <v/>
      </c>
      <c r="V208">
        <f>IF(OR(V$4="",$A208&gt;TODAY()),0,IF(OR(INDEX($B208:$D208,V$5)="F",AND(V$6&gt;0,$A208&lt;V$6),AND(V$7&gt;0,$A208&gt;V$7)),0,MAX(0,ROUND((INDEX($E208:$G208,V$5)-SUMIFS(TF_Timer,TF_Tekniker,V$4,TF_Dato,$A208))*2,0)/2)))</f>
        <v/>
      </c>
      <c r="W208">
        <f>IF(OR(W$4="",$A208&gt;TODAY()),0,IF(OR(INDEX($B208:$D208,W$5)="F",AND(W$6&gt;0,$A208&lt;W$6),AND(W$7&gt;0,$A208&gt;W$7)),0,MAX(0,ROUND((INDEX($E208:$G208,W$5)-SUMIFS(TF_Timer,TF_Tekniker,W$4,TF_Dato,$A208))*2,0)/2)))</f>
        <v/>
      </c>
      <c r="X208">
        <f>IF(OR(X$4="",$A208&gt;TODAY()),0,IF(OR(INDEX($B208:$D208,X$5)="F",AND(X$6&gt;0,$A208&lt;X$6),AND(X$7&gt;0,$A208&gt;X$7)),0,MAX(0,ROUND((INDEX($E208:$G208,X$5)-SUMIFS(TF_Timer,TF_Tekniker,X$4,TF_Dato,$A208))*2,0)/2)))</f>
        <v/>
      </c>
      <c r="Y208">
        <f>IF(OR(Y$4="",$A208&gt;TODAY()),0,IF(OR(INDEX($B208:$D208,Y$5)="F",AND(Y$6&gt;0,$A208&lt;Y$6),AND(Y$7&gt;0,$A208&gt;Y$7)),0,MAX(0,ROUND((INDEX($E208:$G208,Y$5)-SUMIFS(TF_Timer,TF_Tekniker,Y$4,TF_Dato,$A208))*2,0)/2)))</f>
        <v/>
      </c>
      <c r="Z208">
        <f>IF(OR(Z$4="",$A208&gt;TODAY()),0,IF(OR(INDEX($B208:$D208,Z$5)="F",AND(Z$6&gt;0,$A208&lt;Z$6),AND(Z$7&gt;0,$A208&gt;Z$7)),0,MAX(0,ROUND((INDEX($E208:$G208,Z$5)-SUMIFS(TF_Timer,TF_Tekniker,Z$4,TF_Dato,$A208))*2,0)/2)))</f>
        <v/>
      </c>
      <c r="AA208">
        <f>IF(OR(AA$4="",$A208&gt;TODAY()),0,IF(OR(INDEX($B208:$D208,AA$5)="F",AND(AA$6&gt;0,$A208&lt;AA$6),AND(AA$7&gt;0,$A208&gt;AA$7)),0,MAX(0,ROUND((INDEX($E208:$G208,AA$5)-SUMIFS(TF_Timer,TF_Tekniker,AA$4,TF_Dato,$A208))*2,0)/2)))</f>
        <v/>
      </c>
      <c r="AB208">
        <f>IF(OR(AB$4="",$A208&gt;TODAY()),0,IF(OR(INDEX($B208:$D208,AB$5)="F",AND(AB$6&gt;0,$A208&lt;AB$6),AND(AB$7&gt;0,$A208&gt;AB$7)),0,MAX(0,ROUND((INDEX($E208:$G208,AB$5)-SUMIFS(TF_Timer,TF_Tekniker,AB$4,TF_Dato,$A208))*2,0)/2)))</f>
        <v/>
      </c>
      <c r="AC208">
        <f>IF(OR(AC$4="",$A208&gt;TODAY()),0,IF(OR(INDEX($B208:$D208,AC$5)="F",AND(AC$6&gt;0,$A208&lt;AC$6),AND(AC$7&gt;0,$A208&gt;AC$7)),0,MAX(0,ROUND((INDEX($E208:$G208,AC$5)-SUMIFS(TF_Timer,TF_Tekniker,AC$4,TF_Dato,$A208))*2,0)/2)))</f>
        <v/>
      </c>
      <c r="AD208">
        <f>IF(OR(AD$4="",$A208&gt;TODAY()),0,IF(OR(INDEX($B208:$D208,AD$5)="F",AND(AD$6&gt;0,$A208&lt;AD$6),AND(AD$7&gt;0,$A208&gt;AD$7)),0,MAX(0,ROUND((INDEX($E208:$G208,AD$5)-SUMIFS(TF_Timer,TF_Tekniker,AD$4,TF_Dato,$A208))*2,0)/2)))</f>
        <v/>
      </c>
      <c r="AE208">
        <f>IF(OR(AE$4="",$A208&gt;TODAY()),0,IF(OR(INDEX($B208:$D208,AE$5)="F",AND(AE$6&gt;0,$A208&lt;AE$6),AND(AE$7&gt;0,$A208&gt;AE$7)),0,MAX(0,ROUND((INDEX($E208:$G208,AE$5)-SUMIFS(TF_Timer,TF_Tekniker,AE$4,TF_Dato,$A208))*2,0)/2)))</f>
        <v/>
      </c>
      <c r="AF208">
        <f>IF(OR(AF$4="",$A208&gt;TODAY()),0,IF(OR(INDEX($B208:$D208,AF$5)="F",AND(AF$6&gt;0,$A208&lt;AF$6),AND(AF$7&gt;0,$A208&gt;AF$7)),0,MAX(0,ROUND((INDEX($E208:$G208,AF$5)-SUMIFS(TF_Timer,TF_Tekniker,AF$4,TF_Dato,$A208))*2,0)/2)))</f>
        <v/>
      </c>
      <c r="AG208">
        <f>IF(OR(AG$4="",$A208&gt;TODAY()),0,IF(OR(INDEX($B208:$D208,AG$5)="F",AND(AG$6&gt;0,$A208&lt;AG$6),AND(AG$7&gt;0,$A208&gt;AG$7)),0,MAX(0,ROUND((INDEX($E208:$G208,AG$5)-SUMIFS(TF_Timer,TF_Tekniker,AG$4,TF_Dato,$A208))*2,0)/2)))</f>
        <v/>
      </c>
      <c r="AH208">
        <f>IF(OR(AH$4="",$A208&gt;TODAY()),0,IF(OR(INDEX($B208:$D208,AH$5)="F",AND(AH$6&gt;0,$A208&lt;AH$6),AND(AH$7&gt;0,$A208&gt;AH$7)),0,MAX(0,ROUND((INDEX($E208:$G208,AH$5)-SUMIFS(TF_Timer,TF_Tekniker,AH$4,TF_Dato,$A208))*2,0)/2)))</f>
        <v/>
      </c>
      <c r="AI208">
        <f>IF(OR(AI$4="",$A208&gt;TODAY()),0,IF(OR(INDEX($B208:$D208,AI$5)="F",AND(AI$6&gt;0,$A208&lt;AI$6),AND(AI$7&gt;0,$A208&gt;AI$7)),0,MAX(0,ROUND((INDEX($E208:$G208,AI$5)-SUMIFS(TF_Timer,TF_Tekniker,AI$4,TF_Dato,$A208))*2,0)/2)))</f>
        <v/>
      </c>
      <c r="AJ208">
        <f>IF(OR(AJ$4="",$A208&gt;TODAY()),0,IF(OR(INDEX($B208:$D208,AJ$5)="F",AND(AJ$6&gt;0,$A208&lt;AJ$6),AND(AJ$7&gt;0,$A208&gt;AJ$7)),0,MAX(0,ROUND((INDEX($E208:$G208,AJ$5)-SUMIFS(TF_Timer,TF_Tekniker,AJ$4,TF_Dato,$A208))*2,0)/2)))</f>
        <v/>
      </c>
      <c r="AK208">
        <f>IF(OR(AK$4="",$A208&gt;TODAY()),0,IF(OR(INDEX($B208:$D208,AK$5)="F",AND(AK$6&gt;0,$A208&lt;AK$6),AND(AK$7&gt;0,$A208&gt;AK$7)),0,MAX(0,ROUND((INDEX($E208:$G208,AK$5)-SUMIFS(TF_Timer,TF_Tekniker,AK$4,TF_Dato,$A208))*2,0)/2)))</f>
        <v/>
      </c>
      <c r="AL208">
        <f>IF(OR(AL$4="",$A208&gt;TODAY()),0,IF(OR(INDEX($B208:$D208,AL$5)="F",AND(AL$6&gt;0,$A208&lt;AL$6),AND(AL$7&gt;0,$A208&gt;AL$7)),0,MAX(0,ROUND((INDEX($E208:$G208,AL$5)-SUMIFS(TF_Timer,TF_Tekniker,AL$4,TF_Dato,$A208))*2,0)/2)))</f>
        <v/>
      </c>
      <c r="AM208">
        <f>IF(OR(AM$4="",$A208&gt;TODAY()),0,IF(OR(INDEX($B208:$D208,AM$5)="F",AND(AM$6&gt;0,$A208&lt;AM$6),AND(AM$7&gt;0,$A208&gt;AM$7)),0,MAX(0,ROUND((INDEX($E208:$G208,AM$5)-SUMIFS(TF_Timer,TF_Tekniker,AM$4,TF_Dato,$A208))*2,0)/2)))</f>
        <v/>
      </c>
      <c r="AN208">
        <f>IF(OR(AN$4="",$A208&gt;TODAY()),0,IF(OR(INDEX($B208:$D208,AN$5)="F",AND(AN$6&gt;0,$A208&lt;AN$6),AND(AN$7&gt;0,$A208&gt;AN$7)),0,MAX(0,ROUND((INDEX($E208:$G208,AN$5)-SUMIFS(TF_Timer,TF_Tekniker,AN$4,TF_Dato,$A208))*2,0)/2)))</f>
        <v/>
      </c>
      <c r="AO208">
        <f>IF(OR(AO$4="",$A208&gt;TODAY()),0,IF(OR(INDEX($B208:$D208,AO$5)="F",AND(AO$6&gt;0,$A208&lt;AO$6),AND(AO$7&gt;0,$A208&gt;AO$7)),0,MAX(0,ROUND((INDEX($E208:$G208,AO$5)-SUMIFS(TF_Timer,TF_Tekniker,AO$4,TF_Dato,$A208))*2,0)/2)))</f>
        <v/>
      </c>
      <c r="AP208">
        <f>IF(OR(AP$4="",$A208&gt;TODAY()),0,IF(OR(INDEX($B208:$D208,AP$5)="F",AND(AP$6&gt;0,$A208&lt;AP$6),AND(AP$7&gt;0,$A208&gt;AP$7)),0,MAX(0,ROUND((INDEX($E208:$G208,AP$5)-SUMIFS(TF_Timer,TF_Tekniker,AP$4,TF_Dato,$A208))*2,0)/2)))</f>
        <v/>
      </c>
      <c r="AQ208">
        <f>IF(OR(AQ$4="",$A208&gt;TODAY()),0,IF(OR(INDEX($B208:$D208,AQ$5)="F",AND(AQ$6&gt;0,$A208&lt;AQ$6),AND(AQ$7&gt;0,$A208&gt;AQ$7)),0,MAX(0,ROUND((INDEX($E208:$G208,AQ$5)-SUMIFS(TF_Timer,TF_Tekniker,AQ$4,TF_Dato,$A208))*2,0)/2)))</f>
        <v/>
      </c>
      <c r="AR208">
        <f>IF(OR(AR$4="",$A208&gt;TODAY()),0,IF(OR(INDEX($B208:$D208,AR$5)="F",AND(AR$6&gt;0,$A208&lt;AR$6),AND(AR$7&gt;0,$A208&gt;AR$7)),0,MAX(0,ROUND((INDEX($E208:$G208,AR$5)-SUMIFS(TF_Timer,TF_Tekniker,AR$4,TF_Dato,$A208))*2,0)/2)))</f>
        <v/>
      </c>
      <c r="AS208">
        <f>IF(OR(AS$4="",$A208&gt;TODAY()),0,IF(OR(INDEX($B208:$D208,AS$5)="F",AND(AS$6&gt;0,$A208&lt;AS$6),AND(AS$7&gt;0,$A208&gt;AS$7)),0,MAX(0,ROUND((INDEX($E208:$G208,AS$5)-SUMIFS(TF_Timer,TF_Tekniker,AS$4,TF_Dato,$A208))*2,0)/2)))</f>
        <v/>
      </c>
      <c r="AT208">
        <f>IF(OR(AT$4="",$A208&gt;TODAY()),0,IF(OR(INDEX($B208:$D208,AT$5)="F",AND(AT$6&gt;0,$A208&lt;AT$6),AND(AT$7&gt;0,$A208&gt;AT$7)),0,MAX(0,ROUND((INDEX($E208:$G208,AT$5)-SUMIFS(TF_Timer,TF_Tekniker,AT$4,TF_Dato,$A208))*2,0)/2)))</f>
        <v/>
      </c>
      <c r="AU208">
        <f>IF(OR(AU$4="",$A208&gt;TODAY()),0,IF(OR(INDEX($B208:$D208,AU$5)="F",AND(AU$6&gt;0,$A208&lt;AU$6),AND(AU$7&gt;0,$A208&gt;AU$7)),0,MAX(0,ROUND((INDEX($E208:$G208,AU$5)-SUMIFS(TF_Timer,TF_Tekniker,AU$4,TF_Dato,$A208))*2,0)/2)))</f>
        <v/>
      </c>
      <c r="AV208">
        <f>IF(OR(AV$4="",$A208&gt;TODAY()),0,IF(OR(INDEX($B208:$D208,AV$5)="F",AND(AV$6&gt;0,$A208&lt;AV$6),AND(AV$7&gt;0,$A208&gt;AV$7)),0,MAX(0,ROUND((INDEX($E208:$G208,AV$5)-SUMIFS(TF_Timer,TF_Tekniker,AV$4,TF_Dato,$A208))*2,0)/2)))</f>
        <v/>
      </c>
      <c r="AW208">
        <f>IF(OR(AW$4="",$A208&gt;TODAY()),0,IF(OR(INDEX($B208:$D208,AW$5)="F",AND(AW$6&gt;0,$A208&lt;AW$6),AND(AW$7&gt;0,$A208&gt;AW$7)),0,MAX(0,ROUND((INDEX($E208:$G208,AW$5)-SUMIFS(TF_Timer,TF_Tekniker,AW$4,TF_Dato,$A208))*2,0)/2)))</f>
        <v/>
      </c>
      <c r="AX208">
        <f>IF(OR(AX$4="",$A208&gt;TODAY()),0,IF(OR(INDEX($B208:$D208,AX$5)="F",AND(AX$6&gt;0,$A208&lt;AX$6),AND(AX$7&gt;0,$A208&gt;AX$7)),0,MAX(0,ROUND((INDEX($E208:$G208,AX$5)-SUMIFS(TF_Timer,TF_Tekniker,AX$4,TF_Dato,$A208))*2,0)/2)))</f>
        <v/>
      </c>
      <c r="AY208">
        <f>IF(OR(AY$4="",$A208&gt;TODAY()),0,IF(OR(INDEX($B208:$D208,AY$5)="F",AND(AY$6&gt;0,$A208&lt;AY$6),AND(AY$7&gt;0,$A208&gt;AY$7)),0,MAX(0,ROUND((INDEX($E208:$G208,AY$5)-SUMIFS(TF_Timer,TF_Tekniker,AY$4,TF_Dato,$A208))*2,0)/2)))</f>
        <v/>
      </c>
      <c r="AZ208">
        <f>IF(OR(AZ$4="",$A208&gt;TODAY()),0,IF(OR(INDEX($B208:$D208,AZ$5)="F",AND(AZ$6&gt;0,$A208&lt;AZ$6),AND(AZ$7&gt;0,$A208&gt;AZ$7)),0,MAX(0,ROUND((INDEX($E208:$G208,AZ$5)-SUMIFS(TF_Timer,TF_Tekniker,AZ$4,TF_Dato,$A208))*2,0)/2)))</f>
        <v/>
      </c>
      <c r="BA208">
        <f>IF(OR(BA$4="",$A208&gt;TODAY()),0,IF(OR(INDEX($B208:$D208,BA$5)="F",AND(BA$6&gt;0,$A208&lt;BA$6),AND(BA$7&gt;0,$A208&gt;BA$7)),0,MAX(0,ROUND((INDEX($E208:$G208,BA$5)-SUMIFS(TF_Timer,TF_Tekniker,BA$4,TF_Dato,$A208))*2,0)/2)))</f>
        <v/>
      </c>
      <c r="BB208">
        <f>IF(OR(BB$4="",$A208&gt;TODAY()),0,IF(OR(INDEX($B208:$D208,BB$5)="F",AND(BB$6&gt;0,$A208&lt;BB$6),AND(BB$7&gt;0,$A208&gt;BB$7)),0,MAX(0,ROUND((INDEX($E208:$G208,BB$5)-SUMIFS(TF_Timer,TF_Tekniker,BB$4,TF_Dato,$A208))*2,0)/2)))</f>
        <v/>
      </c>
      <c r="BC208">
        <f>IF(OR(BC$4="",$A208&gt;TODAY()),0,IF(OR(INDEX($B208:$D208,BC$5)="F",AND(BC$6&gt;0,$A208&lt;BC$6),AND(BC$7&gt;0,$A208&gt;BC$7)),0,MAX(0,ROUND((INDEX($E208:$G208,BC$5)-SUMIFS(TF_Timer,TF_Tekniker,BC$4,TF_Dato,$A208))*2,0)/2)))</f>
        <v/>
      </c>
      <c r="BD208">
        <f>IF(OR(BD$4="",$A208&gt;TODAY()),0,IF(OR(INDEX($B208:$D208,BD$5)="F",AND(BD$6&gt;0,$A208&lt;BD$6),AND(BD$7&gt;0,$A208&gt;BD$7)),0,MAX(0,ROUND((INDEX($E208:$G208,BD$5)-SUMIFS(TF_Timer,TF_Tekniker,BD$4,TF_Dato,$A208))*2,0)/2)))</f>
        <v/>
      </c>
      <c r="BE208">
        <f>IF(OR(BE$4="",$A208&gt;TODAY()),0,IF(OR(INDEX($B208:$D208,BE$5)="F",AND(BE$6&gt;0,$A208&lt;BE$6),AND(BE$7&gt;0,$A208&gt;BE$7)),0,MAX(0,ROUND((INDEX($E208:$G208,BE$5)-SUMIFS(TF_Timer,TF_Tekniker,BE$4,TF_Dato,$A208))*2,0)/2)))</f>
        <v/>
      </c>
      <c r="BF208">
        <f>IF(OR(BF$4="",$A208&gt;TODAY()),0,IF(OR(INDEX($B208:$D208,BF$5)="F",AND(BF$6&gt;0,$A208&lt;BF$6),AND(BF$7&gt;0,$A208&gt;BF$7)),0,MAX(0,ROUND((INDEX($E208:$G208,BF$5)-SUMIFS(TF_Timer,TF_Tekniker,BF$4,TF_Dato,$A208))*2,0)/2)))</f>
        <v/>
      </c>
      <c r="BG208">
        <f>IF(OR(BG$4="",$A208&gt;TODAY()),0,IF(OR(INDEX($B208:$D208,BG$5)="F",AND(BG$6&gt;0,$A208&lt;BG$6),AND(BG$7&gt;0,$A208&gt;BG$7)),0,MAX(0,ROUND((INDEX($E208:$G208,BG$5)-SUMIFS(TF_Timer,TF_Tekniker,BG$4,TF_Dato,$A208))*2,0)/2)))</f>
        <v/>
      </c>
      <c r="BH208">
        <f>IF(OR(BH$4="",$A208&gt;TODAY()),0,IF(OR(INDEX($B208:$D208,BH$5)="F",AND(BH$6&gt;0,$A208&lt;BH$6),AND(BH$7&gt;0,$A208&gt;BH$7)),0,MAX(0,ROUND((INDEX($E208:$G208,BH$5)-SUMIFS(TF_Timer,TF_Tekniker,BH$4,TF_Dato,$A208))*2,0)/2)))</f>
        <v/>
      </c>
      <c r="BI208">
        <f>IF(OR(BI$4="",$A208&gt;TODAY()),0,IF(OR(INDEX($B208:$D208,BI$5)="F",AND(BI$6&gt;0,$A208&lt;BI$6),AND(BI$7&gt;0,$A208&gt;BI$7)),0,MAX(0,ROUND((INDEX($E208:$G208,BI$5)-SUMIFS(TF_Timer,TF_Tekniker,BI$4,TF_Dato,$A208))*2,0)/2)))</f>
        <v/>
      </c>
    </row>
    <row r="209">
      <c r="A209" s="64">
        <f>A208+1</f>
        <v/>
      </c>
      <c r="B209">
        <f>IF(MOD($A209-INDEX(SkiftStart,1),Syklus)&lt;DagK,"K",IF(MOD($A209-INDEX(SkiftStart,1),Syklus)&lt;DagK+DagH,"H",IF(MOD($A209-INDEX(SkiftStart,1),Syklus)&lt;DagK+DagH+DagD,"D","F")))</f>
        <v/>
      </c>
      <c r="C209">
        <f>IF(MOD($A209-INDEX(SkiftStart,2),Syklus)&lt;DagK,"K",IF(MOD($A209-INDEX(SkiftStart,2),Syklus)&lt;DagK+DagH,"H",IF(MOD($A209-INDEX(SkiftStart,2),Syklus)&lt;DagK+DagH+DagD,"D","F")))</f>
        <v/>
      </c>
      <c r="D209">
        <f>IF(MOD($A209-INDEX(SkiftStart,3),Syklus)&lt;DagK,"K",IF(MOD($A209-INDEX(SkiftStart,3),Syklus)&lt;DagK+DagH,"H",IF(MOD($A209-INDEX(SkiftStart,3),Syklus)&lt;DagK+DagH+DagD,"D","F")))</f>
        <v/>
      </c>
      <c r="E209">
        <f>IF(B209="F",0,IF(WEEKDAY($A209,2)=5,INDEX(TimerFr,MATCH(B209,FaseKode,0)),INDEX(TimerMT,MATCH(B209,FaseKode,0))))</f>
        <v/>
      </c>
      <c r="F209">
        <f>IF(C209="F",0,IF(WEEKDAY($A209,2)=5,INDEX(TimerFr,MATCH(C209,FaseKode,0)),INDEX(TimerMT,MATCH(C209,FaseKode,0))))</f>
        <v/>
      </c>
      <c r="G209">
        <f>IF(D209="F",0,IF(WEEKDAY($A209,2)=5,INDEX(TimerFr,MATCH(D209,FaseKode,0)),INDEX(TimerMT,MATCH(D209,FaseKode,0))))</f>
        <v/>
      </c>
      <c r="H209">
        <f>IF(OR(H$4="",$A209&gt;TODAY()),0,IF(OR(INDEX($B209:$D209,H$5)="F",AND(H$6&gt;0,$A209&lt;H$6),AND(H$7&gt;0,$A209&gt;H$7)),0,MAX(0,ROUND((INDEX($E209:$G209,H$5)-SUMIFS(TF_Timer,TF_Tekniker,H$4,TF_Dato,$A209))*2,0)/2)))</f>
        <v/>
      </c>
      <c r="I209">
        <f>IF(OR(I$4="",$A209&gt;TODAY()),0,IF(OR(INDEX($B209:$D209,I$5)="F",AND(I$6&gt;0,$A209&lt;I$6),AND(I$7&gt;0,$A209&gt;I$7)),0,MAX(0,ROUND((INDEX($E209:$G209,I$5)-SUMIFS(TF_Timer,TF_Tekniker,I$4,TF_Dato,$A209))*2,0)/2)))</f>
        <v/>
      </c>
      <c r="J209">
        <f>IF(OR(J$4="",$A209&gt;TODAY()),0,IF(OR(INDEX($B209:$D209,J$5)="F",AND(J$6&gt;0,$A209&lt;J$6),AND(J$7&gt;0,$A209&gt;J$7)),0,MAX(0,ROUND((INDEX($E209:$G209,J$5)-SUMIFS(TF_Timer,TF_Tekniker,J$4,TF_Dato,$A209))*2,0)/2)))</f>
        <v/>
      </c>
      <c r="K209">
        <f>IF(OR(K$4="",$A209&gt;TODAY()),0,IF(OR(INDEX($B209:$D209,K$5)="F",AND(K$6&gt;0,$A209&lt;K$6),AND(K$7&gt;0,$A209&gt;K$7)),0,MAX(0,ROUND((INDEX($E209:$G209,K$5)-SUMIFS(TF_Timer,TF_Tekniker,K$4,TF_Dato,$A209))*2,0)/2)))</f>
        <v/>
      </c>
      <c r="L209">
        <f>IF(OR(L$4="",$A209&gt;TODAY()),0,IF(OR(INDEX($B209:$D209,L$5)="F",AND(L$6&gt;0,$A209&lt;L$6),AND(L$7&gt;0,$A209&gt;L$7)),0,MAX(0,ROUND((INDEX($E209:$G209,L$5)-SUMIFS(TF_Timer,TF_Tekniker,L$4,TF_Dato,$A209))*2,0)/2)))</f>
        <v/>
      </c>
      <c r="M209">
        <f>IF(OR(M$4="",$A209&gt;TODAY()),0,IF(OR(INDEX($B209:$D209,M$5)="F",AND(M$6&gt;0,$A209&lt;M$6),AND(M$7&gt;0,$A209&gt;M$7)),0,MAX(0,ROUND((INDEX($E209:$G209,M$5)-SUMIFS(TF_Timer,TF_Tekniker,M$4,TF_Dato,$A209))*2,0)/2)))</f>
        <v/>
      </c>
      <c r="N209">
        <f>IF(OR(N$4="",$A209&gt;TODAY()),0,IF(OR(INDEX($B209:$D209,N$5)="F",AND(N$6&gt;0,$A209&lt;N$6),AND(N$7&gt;0,$A209&gt;N$7)),0,MAX(0,ROUND((INDEX($E209:$G209,N$5)-SUMIFS(TF_Timer,TF_Tekniker,N$4,TF_Dato,$A209))*2,0)/2)))</f>
        <v/>
      </c>
      <c r="O209">
        <f>IF(OR(O$4="",$A209&gt;TODAY()),0,IF(OR(INDEX($B209:$D209,O$5)="F",AND(O$6&gt;0,$A209&lt;O$6),AND(O$7&gt;0,$A209&gt;O$7)),0,MAX(0,ROUND((INDEX($E209:$G209,O$5)-SUMIFS(TF_Timer,TF_Tekniker,O$4,TF_Dato,$A209))*2,0)/2)))</f>
        <v/>
      </c>
      <c r="P209">
        <f>IF(OR(P$4="",$A209&gt;TODAY()),0,IF(OR(INDEX($B209:$D209,P$5)="F",AND(P$6&gt;0,$A209&lt;P$6),AND(P$7&gt;0,$A209&gt;P$7)),0,MAX(0,ROUND((INDEX($E209:$G209,P$5)-SUMIFS(TF_Timer,TF_Tekniker,P$4,TF_Dato,$A209))*2,0)/2)))</f>
        <v/>
      </c>
      <c r="Q209">
        <f>IF(OR(Q$4="",$A209&gt;TODAY()),0,IF(OR(INDEX($B209:$D209,Q$5)="F",AND(Q$6&gt;0,$A209&lt;Q$6),AND(Q$7&gt;0,$A209&gt;Q$7)),0,MAX(0,ROUND((INDEX($E209:$G209,Q$5)-SUMIFS(TF_Timer,TF_Tekniker,Q$4,TF_Dato,$A209))*2,0)/2)))</f>
        <v/>
      </c>
      <c r="R209">
        <f>IF(OR(R$4="",$A209&gt;TODAY()),0,IF(OR(INDEX($B209:$D209,R$5)="F",AND(R$6&gt;0,$A209&lt;R$6),AND(R$7&gt;0,$A209&gt;R$7)),0,MAX(0,ROUND((INDEX($E209:$G209,R$5)-SUMIFS(TF_Timer,TF_Tekniker,R$4,TF_Dato,$A209))*2,0)/2)))</f>
        <v/>
      </c>
      <c r="S209">
        <f>IF(OR(S$4="",$A209&gt;TODAY()),0,IF(OR(INDEX($B209:$D209,S$5)="F",AND(S$6&gt;0,$A209&lt;S$6),AND(S$7&gt;0,$A209&gt;S$7)),0,MAX(0,ROUND((INDEX($E209:$G209,S$5)-SUMIFS(TF_Timer,TF_Tekniker,S$4,TF_Dato,$A209))*2,0)/2)))</f>
        <v/>
      </c>
      <c r="T209">
        <f>IF(OR(T$4="",$A209&gt;TODAY()),0,IF(OR(INDEX($B209:$D209,T$5)="F",AND(T$6&gt;0,$A209&lt;T$6),AND(T$7&gt;0,$A209&gt;T$7)),0,MAX(0,ROUND((INDEX($E209:$G209,T$5)-SUMIFS(TF_Timer,TF_Tekniker,T$4,TF_Dato,$A209))*2,0)/2)))</f>
        <v/>
      </c>
      <c r="U209">
        <f>IF(OR(U$4="",$A209&gt;TODAY()),0,IF(OR(INDEX($B209:$D209,U$5)="F",AND(U$6&gt;0,$A209&lt;U$6),AND(U$7&gt;0,$A209&gt;U$7)),0,MAX(0,ROUND((INDEX($E209:$G209,U$5)-SUMIFS(TF_Timer,TF_Tekniker,U$4,TF_Dato,$A209))*2,0)/2)))</f>
        <v/>
      </c>
      <c r="V209">
        <f>IF(OR(V$4="",$A209&gt;TODAY()),0,IF(OR(INDEX($B209:$D209,V$5)="F",AND(V$6&gt;0,$A209&lt;V$6),AND(V$7&gt;0,$A209&gt;V$7)),0,MAX(0,ROUND((INDEX($E209:$G209,V$5)-SUMIFS(TF_Timer,TF_Tekniker,V$4,TF_Dato,$A209))*2,0)/2)))</f>
        <v/>
      </c>
      <c r="W209">
        <f>IF(OR(W$4="",$A209&gt;TODAY()),0,IF(OR(INDEX($B209:$D209,W$5)="F",AND(W$6&gt;0,$A209&lt;W$6),AND(W$7&gt;0,$A209&gt;W$7)),0,MAX(0,ROUND((INDEX($E209:$G209,W$5)-SUMIFS(TF_Timer,TF_Tekniker,W$4,TF_Dato,$A209))*2,0)/2)))</f>
        <v/>
      </c>
      <c r="X209">
        <f>IF(OR(X$4="",$A209&gt;TODAY()),0,IF(OR(INDEX($B209:$D209,X$5)="F",AND(X$6&gt;0,$A209&lt;X$6),AND(X$7&gt;0,$A209&gt;X$7)),0,MAX(0,ROUND((INDEX($E209:$G209,X$5)-SUMIFS(TF_Timer,TF_Tekniker,X$4,TF_Dato,$A209))*2,0)/2)))</f>
        <v/>
      </c>
      <c r="Y209">
        <f>IF(OR(Y$4="",$A209&gt;TODAY()),0,IF(OR(INDEX($B209:$D209,Y$5)="F",AND(Y$6&gt;0,$A209&lt;Y$6),AND(Y$7&gt;0,$A209&gt;Y$7)),0,MAX(0,ROUND((INDEX($E209:$G209,Y$5)-SUMIFS(TF_Timer,TF_Tekniker,Y$4,TF_Dato,$A209))*2,0)/2)))</f>
        <v/>
      </c>
      <c r="Z209">
        <f>IF(OR(Z$4="",$A209&gt;TODAY()),0,IF(OR(INDEX($B209:$D209,Z$5)="F",AND(Z$6&gt;0,$A209&lt;Z$6),AND(Z$7&gt;0,$A209&gt;Z$7)),0,MAX(0,ROUND((INDEX($E209:$G209,Z$5)-SUMIFS(TF_Timer,TF_Tekniker,Z$4,TF_Dato,$A209))*2,0)/2)))</f>
        <v/>
      </c>
      <c r="AA209">
        <f>IF(OR(AA$4="",$A209&gt;TODAY()),0,IF(OR(INDEX($B209:$D209,AA$5)="F",AND(AA$6&gt;0,$A209&lt;AA$6),AND(AA$7&gt;0,$A209&gt;AA$7)),0,MAX(0,ROUND((INDEX($E209:$G209,AA$5)-SUMIFS(TF_Timer,TF_Tekniker,AA$4,TF_Dato,$A209))*2,0)/2)))</f>
        <v/>
      </c>
      <c r="AB209">
        <f>IF(OR(AB$4="",$A209&gt;TODAY()),0,IF(OR(INDEX($B209:$D209,AB$5)="F",AND(AB$6&gt;0,$A209&lt;AB$6),AND(AB$7&gt;0,$A209&gt;AB$7)),0,MAX(0,ROUND((INDEX($E209:$G209,AB$5)-SUMIFS(TF_Timer,TF_Tekniker,AB$4,TF_Dato,$A209))*2,0)/2)))</f>
        <v/>
      </c>
      <c r="AC209">
        <f>IF(OR(AC$4="",$A209&gt;TODAY()),0,IF(OR(INDEX($B209:$D209,AC$5)="F",AND(AC$6&gt;0,$A209&lt;AC$6),AND(AC$7&gt;0,$A209&gt;AC$7)),0,MAX(0,ROUND((INDEX($E209:$G209,AC$5)-SUMIFS(TF_Timer,TF_Tekniker,AC$4,TF_Dato,$A209))*2,0)/2)))</f>
        <v/>
      </c>
      <c r="AD209">
        <f>IF(OR(AD$4="",$A209&gt;TODAY()),0,IF(OR(INDEX($B209:$D209,AD$5)="F",AND(AD$6&gt;0,$A209&lt;AD$6),AND(AD$7&gt;0,$A209&gt;AD$7)),0,MAX(0,ROUND((INDEX($E209:$G209,AD$5)-SUMIFS(TF_Timer,TF_Tekniker,AD$4,TF_Dato,$A209))*2,0)/2)))</f>
        <v/>
      </c>
      <c r="AE209">
        <f>IF(OR(AE$4="",$A209&gt;TODAY()),0,IF(OR(INDEX($B209:$D209,AE$5)="F",AND(AE$6&gt;0,$A209&lt;AE$6),AND(AE$7&gt;0,$A209&gt;AE$7)),0,MAX(0,ROUND((INDEX($E209:$G209,AE$5)-SUMIFS(TF_Timer,TF_Tekniker,AE$4,TF_Dato,$A209))*2,0)/2)))</f>
        <v/>
      </c>
      <c r="AF209">
        <f>IF(OR(AF$4="",$A209&gt;TODAY()),0,IF(OR(INDEX($B209:$D209,AF$5)="F",AND(AF$6&gt;0,$A209&lt;AF$6),AND(AF$7&gt;0,$A209&gt;AF$7)),0,MAX(0,ROUND((INDEX($E209:$G209,AF$5)-SUMIFS(TF_Timer,TF_Tekniker,AF$4,TF_Dato,$A209))*2,0)/2)))</f>
        <v/>
      </c>
      <c r="AG209">
        <f>IF(OR(AG$4="",$A209&gt;TODAY()),0,IF(OR(INDEX($B209:$D209,AG$5)="F",AND(AG$6&gt;0,$A209&lt;AG$6),AND(AG$7&gt;0,$A209&gt;AG$7)),0,MAX(0,ROUND((INDEX($E209:$G209,AG$5)-SUMIFS(TF_Timer,TF_Tekniker,AG$4,TF_Dato,$A209))*2,0)/2)))</f>
        <v/>
      </c>
      <c r="AH209">
        <f>IF(OR(AH$4="",$A209&gt;TODAY()),0,IF(OR(INDEX($B209:$D209,AH$5)="F",AND(AH$6&gt;0,$A209&lt;AH$6),AND(AH$7&gt;0,$A209&gt;AH$7)),0,MAX(0,ROUND((INDEX($E209:$G209,AH$5)-SUMIFS(TF_Timer,TF_Tekniker,AH$4,TF_Dato,$A209))*2,0)/2)))</f>
        <v/>
      </c>
      <c r="AI209">
        <f>IF(OR(AI$4="",$A209&gt;TODAY()),0,IF(OR(INDEX($B209:$D209,AI$5)="F",AND(AI$6&gt;0,$A209&lt;AI$6),AND(AI$7&gt;0,$A209&gt;AI$7)),0,MAX(0,ROUND((INDEX($E209:$G209,AI$5)-SUMIFS(TF_Timer,TF_Tekniker,AI$4,TF_Dato,$A209))*2,0)/2)))</f>
        <v/>
      </c>
      <c r="AJ209">
        <f>IF(OR(AJ$4="",$A209&gt;TODAY()),0,IF(OR(INDEX($B209:$D209,AJ$5)="F",AND(AJ$6&gt;0,$A209&lt;AJ$6),AND(AJ$7&gt;0,$A209&gt;AJ$7)),0,MAX(0,ROUND((INDEX($E209:$G209,AJ$5)-SUMIFS(TF_Timer,TF_Tekniker,AJ$4,TF_Dato,$A209))*2,0)/2)))</f>
        <v/>
      </c>
      <c r="AK209">
        <f>IF(OR(AK$4="",$A209&gt;TODAY()),0,IF(OR(INDEX($B209:$D209,AK$5)="F",AND(AK$6&gt;0,$A209&lt;AK$6),AND(AK$7&gt;0,$A209&gt;AK$7)),0,MAX(0,ROUND((INDEX($E209:$G209,AK$5)-SUMIFS(TF_Timer,TF_Tekniker,AK$4,TF_Dato,$A209))*2,0)/2)))</f>
        <v/>
      </c>
      <c r="AL209">
        <f>IF(OR(AL$4="",$A209&gt;TODAY()),0,IF(OR(INDEX($B209:$D209,AL$5)="F",AND(AL$6&gt;0,$A209&lt;AL$6),AND(AL$7&gt;0,$A209&gt;AL$7)),0,MAX(0,ROUND((INDEX($E209:$G209,AL$5)-SUMIFS(TF_Timer,TF_Tekniker,AL$4,TF_Dato,$A209))*2,0)/2)))</f>
        <v/>
      </c>
      <c r="AM209">
        <f>IF(OR(AM$4="",$A209&gt;TODAY()),0,IF(OR(INDEX($B209:$D209,AM$5)="F",AND(AM$6&gt;0,$A209&lt;AM$6),AND(AM$7&gt;0,$A209&gt;AM$7)),0,MAX(0,ROUND((INDEX($E209:$G209,AM$5)-SUMIFS(TF_Timer,TF_Tekniker,AM$4,TF_Dato,$A209))*2,0)/2)))</f>
        <v/>
      </c>
      <c r="AN209">
        <f>IF(OR(AN$4="",$A209&gt;TODAY()),0,IF(OR(INDEX($B209:$D209,AN$5)="F",AND(AN$6&gt;0,$A209&lt;AN$6),AND(AN$7&gt;0,$A209&gt;AN$7)),0,MAX(0,ROUND((INDEX($E209:$G209,AN$5)-SUMIFS(TF_Timer,TF_Tekniker,AN$4,TF_Dato,$A209))*2,0)/2)))</f>
        <v/>
      </c>
      <c r="AO209">
        <f>IF(OR(AO$4="",$A209&gt;TODAY()),0,IF(OR(INDEX($B209:$D209,AO$5)="F",AND(AO$6&gt;0,$A209&lt;AO$6),AND(AO$7&gt;0,$A209&gt;AO$7)),0,MAX(0,ROUND((INDEX($E209:$G209,AO$5)-SUMIFS(TF_Timer,TF_Tekniker,AO$4,TF_Dato,$A209))*2,0)/2)))</f>
        <v/>
      </c>
      <c r="AP209">
        <f>IF(OR(AP$4="",$A209&gt;TODAY()),0,IF(OR(INDEX($B209:$D209,AP$5)="F",AND(AP$6&gt;0,$A209&lt;AP$6),AND(AP$7&gt;0,$A209&gt;AP$7)),0,MAX(0,ROUND((INDEX($E209:$G209,AP$5)-SUMIFS(TF_Timer,TF_Tekniker,AP$4,TF_Dato,$A209))*2,0)/2)))</f>
        <v/>
      </c>
      <c r="AQ209">
        <f>IF(OR(AQ$4="",$A209&gt;TODAY()),0,IF(OR(INDEX($B209:$D209,AQ$5)="F",AND(AQ$6&gt;0,$A209&lt;AQ$6),AND(AQ$7&gt;0,$A209&gt;AQ$7)),0,MAX(0,ROUND((INDEX($E209:$G209,AQ$5)-SUMIFS(TF_Timer,TF_Tekniker,AQ$4,TF_Dato,$A209))*2,0)/2)))</f>
        <v/>
      </c>
      <c r="AR209">
        <f>IF(OR(AR$4="",$A209&gt;TODAY()),0,IF(OR(INDEX($B209:$D209,AR$5)="F",AND(AR$6&gt;0,$A209&lt;AR$6),AND(AR$7&gt;0,$A209&gt;AR$7)),0,MAX(0,ROUND((INDEX($E209:$G209,AR$5)-SUMIFS(TF_Timer,TF_Tekniker,AR$4,TF_Dato,$A209))*2,0)/2)))</f>
        <v/>
      </c>
      <c r="AS209">
        <f>IF(OR(AS$4="",$A209&gt;TODAY()),0,IF(OR(INDEX($B209:$D209,AS$5)="F",AND(AS$6&gt;0,$A209&lt;AS$6),AND(AS$7&gt;0,$A209&gt;AS$7)),0,MAX(0,ROUND((INDEX($E209:$G209,AS$5)-SUMIFS(TF_Timer,TF_Tekniker,AS$4,TF_Dato,$A209))*2,0)/2)))</f>
        <v/>
      </c>
      <c r="AT209">
        <f>IF(OR(AT$4="",$A209&gt;TODAY()),0,IF(OR(INDEX($B209:$D209,AT$5)="F",AND(AT$6&gt;0,$A209&lt;AT$6),AND(AT$7&gt;0,$A209&gt;AT$7)),0,MAX(0,ROUND((INDEX($E209:$G209,AT$5)-SUMIFS(TF_Timer,TF_Tekniker,AT$4,TF_Dato,$A209))*2,0)/2)))</f>
        <v/>
      </c>
      <c r="AU209">
        <f>IF(OR(AU$4="",$A209&gt;TODAY()),0,IF(OR(INDEX($B209:$D209,AU$5)="F",AND(AU$6&gt;0,$A209&lt;AU$6),AND(AU$7&gt;0,$A209&gt;AU$7)),0,MAX(0,ROUND((INDEX($E209:$G209,AU$5)-SUMIFS(TF_Timer,TF_Tekniker,AU$4,TF_Dato,$A209))*2,0)/2)))</f>
        <v/>
      </c>
      <c r="AV209">
        <f>IF(OR(AV$4="",$A209&gt;TODAY()),0,IF(OR(INDEX($B209:$D209,AV$5)="F",AND(AV$6&gt;0,$A209&lt;AV$6),AND(AV$7&gt;0,$A209&gt;AV$7)),0,MAX(0,ROUND((INDEX($E209:$G209,AV$5)-SUMIFS(TF_Timer,TF_Tekniker,AV$4,TF_Dato,$A209))*2,0)/2)))</f>
        <v/>
      </c>
      <c r="AW209">
        <f>IF(OR(AW$4="",$A209&gt;TODAY()),0,IF(OR(INDEX($B209:$D209,AW$5)="F",AND(AW$6&gt;0,$A209&lt;AW$6),AND(AW$7&gt;0,$A209&gt;AW$7)),0,MAX(0,ROUND((INDEX($E209:$G209,AW$5)-SUMIFS(TF_Timer,TF_Tekniker,AW$4,TF_Dato,$A209))*2,0)/2)))</f>
        <v/>
      </c>
      <c r="AX209">
        <f>IF(OR(AX$4="",$A209&gt;TODAY()),0,IF(OR(INDEX($B209:$D209,AX$5)="F",AND(AX$6&gt;0,$A209&lt;AX$6),AND(AX$7&gt;0,$A209&gt;AX$7)),0,MAX(0,ROUND((INDEX($E209:$G209,AX$5)-SUMIFS(TF_Timer,TF_Tekniker,AX$4,TF_Dato,$A209))*2,0)/2)))</f>
        <v/>
      </c>
      <c r="AY209">
        <f>IF(OR(AY$4="",$A209&gt;TODAY()),0,IF(OR(INDEX($B209:$D209,AY$5)="F",AND(AY$6&gt;0,$A209&lt;AY$6),AND(AY$7&gt;0,$A209&gt;AY$7)),0,MAX(0,ROUND((INDEX($E209:$G209,AY$5)-SUMIFS(TF_Timer,TF_Tekniker,AY$4,TF_Dato,$A209))*2,0)/2)))</f>
        <v/>
      </c>
      <c r="AZ209">
        <f>IF(OR(AZ$4="",$A209&gt;TODAY()),0,IF(OR(INDEX($B209:$D209,AZ$5)="F",AND(AZ$6&gt;0,$A209&lt;AZ$6),AND(AZ$7&gt;0,$A209&gt;AZ$7)),0,MAX(0,ROUND((INDEX($E209:$G209,AZ$5)-SUMIFS(TF_Timer,TF_Tekniker,AZ$4,TF_Dato,$A209))*2,0)/2)))</f>
        <v/>
      </c>
      <c r="BA209">
        <f>IF(OR(BA$4="",$A209&gt;TODAY()),0,IF(OR(INDEX($B209:$D209,BA$5)="F",AND(BA$6&gt;0,$A209&lt;BA$6),AND(BA$7&gt;0,$A209&gt;BA$7)),0,MAX(0,ROUND((INDEX($E209:$G209,BA$5)-SUMIFS(TF_Timer,TF_Tekniker,BA$4,TF_Dato,$A209))*2,0)/2)))</f>
        <v/>
      </c>
      <c r="BB209">
        <f>IF(OR(BB$4="",$A209&gt;TODAY()),0,IF(OR(INDEX($B209:$D209,BB$5)="F",AND(BB$6&gt;0,$A209&lt;BB$6),AND(BB$7&gt;0,$A209&gt;BB$7)),0,MAX(0,ROUND((INDEX($E209:$G209,BB$5)-SUMIFS(TF_Timer,TF_Tekniker,BB$4,TF_Dato,$A209))*2,0)/2)))</f>
        <v/>
      </c>
      <c r="BC209">
        <f>IF(OR(BC$4="",$A209&gt;TODAY()),0,IF(OR(INDEX($B209:$D209,BC$5)="F",AND(BC$6&gt;0,$A209&lt;BC$6),AND(BC$7&gt;0,$A209&gt;BC$7)),0,MAX(0,ROUND((INDEX($E209:$G209,BC$5)-SUMIFS(TF_Timer,TF_Tekniker,BC$4,TF_Dato,$A209))*2,0)/2)))</f>
        <v/>
      </c>
      <c r="BD209">
        <f>IF(OR(BD$4="",$A209&gt;TODAY()),0,IF(OR(INDEX($B209:$D209,BD$5)="F",AND(BD$6&gt;0,$A209&lt;BD$6),AND(BD$7&gt;0,$A209&gt;BD$7)),0,MAX(0,ROUND((INDEX($E209:$G209,BD$5)-SUMIFS(TF_Timer,TF_Tekniker,BD$4,TF_Dato,$A209))*2,0)/2)))</f>
        <v/>
      </c>
      <c r="BE209">
        <f>IF(OR(BE$4="",$A209&gt;TODAY()),0,IF(OR(INDEX($B209:$D209,BE$5)="F",AND(BE$6&gt;0,$A209&lt;BE$6),AND(BE$7&gt;0,$A209&gt;BE$7)),0,MAX(0,ROUND((INDEX($E209:$G209,BE$5)-SUMIFS(TF_Timer,TF_Tekniker,BE$4,TF_Dato,$A209))*2,0)/2)))</f>
        <v/>
      </c>
      <c r="BF209">
        <f>IF(OR(BF$4="",$A209&gt;TODAY()),0,IF(OR(INDEX($B209:$D209,BF$5)="F",AND(BF$6&gt;0,$A209&lt;BF$6),AND(BF$7&gt;0,$A209&gt;BF$7)),0,MAX(0,ROUND((INDEX($E209:$G209,BF$5)-SUMIFS(TF_Timer,TF_Tekniker,BF$4,TF_Dato,$A209))*2,0)/2)))</f>
        <v/>
      </c>
      <c r="BG209">
        <f>IF(OR(BG$4="",$A209&gt;TODAY()),0,IF(OR(INDEX($B209:$D209,BG$5)="F",AND(BG$6&gt;0,$A209&lt;BG$6),AND(BG$7&gt;0,$A209&gt;BG$7)),0,MAX(0,ROUND((INDEX($E209:$G209,BG$5)-SUMIFS(TF_Timer,TF_Tekniker,BG$4,TF_Dato,$A209))*2,0)/2)))</f>
        <v/>
      </c>
      <c r="BH209">
        <f>IF(OR(BH$4="",$A209&gt;TODAY()),0,IF(OR(INDEX($B209:$D209,BH$5)="F",AND(BH$6&gt;0,$A209&lt;BH$6),AND(BH$7&gt;0,$A209&gt;BH$7)),0,MAX(0,ROUND((INDEX($E209:$G209,BH$5)-SUMIFS(TF_Timer,TF_Tekniker,BH$4,TF_Dato,$A209))*2,0)/2)))</f>
        <v/>
      </c>
      <c r="BI209">
        <f>IF(OR(BI$4="",$A209&gt;TODAY()),0,IF(OR(INDEX($B209:$D209,BI$5)="F",AND(BI$6&gt;0,$A209&lt;BI$6),AND(BI$7&gt;0,$A209&gt;BI$7)),0,MAX(0,ROUND((INDEX($E209:$G209,BI$5)-SUMIFS(TF_Timer,TF_Tekniker,BI$4,TF_Dato,$A209))*2,0)/2)))</f>
        <v/>
      </c>
    </row>
    <row r="210">
      <c r="A210" s="64">
        <f>A209+1</f>
        <v/>
      </c>
      <c r="B210">
        <f>IF(MOD($A210-INDEX(SkiftStart,1),Syklus)&lt;DagK,"K",IF(MOD($A210-INDEX(SkiftStart,1),Syklus)&lt;DagK+DagH,"H",IF(MOD($A210-INDEX(SkiftStart,1),Syklus)&lt;DagK+DagH+DagD,"D","F")))</f>
        <v/>
      </c>
      <c r="C210">
        <f>IF(MOD($A210-INDEX(SkiftStart,2),Syklus)&lt;DagK,"K",IF(MOD($A210-INDEX(SkiftStart,2),Syklus)&lt;DagK+DagH,"H",IF(MOD($A210-INDEX(SkiftStart,2),Syklus)&lt;DagK+DagH+DagD,"D","F")))</f>
        <v/>
      </c>
      <c r="D210">
        <f>IF(MOD($A210-INDEX(SkiftStart,3),Syklus)&lt;DagK,"K",IF(MOD($A210-INDEX(SkiftStart,3),Syklus)&lt;DagK+DagH,"H",IF(MOD($A210-INDEX(SkiftStart,3),Syklus)&lt;DagK+DagH+DagD,"D","F")))</f>
        <v/>
      </c>
      <c r="E210">
        <f>IF(B210="F",0,IF(WEEKDAY($A210,2)=5,INDEX(TimerFr,MATCH(B210,FaseKode,0)),INDEX(TimerMT,MATCH(B210,FaseKode,0))))</f>
        <v/>
      </c>
      <c r="F210">
        <f>IF(C210="F",0,IF(WEEKDAY($A210,2)=5,INDEX(TimerFr,MATCH(C210,FaseKode,0)),INDEX(TimerMT,MATCH(C210,FaseKode,0))))</f>
        <v/>
      </c>
      <c r="G210">
        <f>IF(D210="F",0,IF(WEEKDAY($A210,2)=5,INDEX(TimerFr,MATCH(D210,FaseKode,0)),INDEX(TimerMT,MATCH(D210,FaseKode,0))))</f>
        <v/>
      </c>
      <c r="H210">
        <f>IF(OR(H$4="",$A210&gt;TODAY()),0,IF(OR(INDEX($B210:$D210,H$5)="F",AND(H$6&gt;0,$A210&lt;H$6),AND(H$7&gt;0,$A210&gt;H$7)),0,MAX(0,ROUND((INDEX($E210:$G210,H$5)-SUMIFS(TF_Timer,TF_Tekniker,H$4,TF_Dato,$A210))*2,0)/2)))</f>
        <v/>
      </c>
      <c r="I210">
        <f>IF(OR(I$4="",$A210&gt;TODAY()),0,IF(OR(INDEX($B210:$D210,I$5)="F",AND(I$6&gt;0,$A210&lt;I$6),AND(I$7&gt;0,$A210&gt;I$7)),0,MAX(0,ROUND((INDEX($E210:$G210,I$5)-SUMIFS(TF_Timer,TF_Tekniker,I$4,TF_Dato,$A210))*2,0)/2)))</f>
        <v/>
      </c>
      <c r="J210">
        <f>IF(OR(J$4="",$A210&gt;TODAY()),0,IF(OR(INDEX($B210:$D210,J$5)="F",AND(J$6&gt;0,$A210&lt;J$6),AND(J$7&gt;0,$A210&gt;J$7)),0,MAX(0,ROUND((INDEX($E210:$G210,J$5)-SUMIFS(TF_Timer,TF_Tekniker,J$4,TF_Dato,$A210))*2,0)/2)))</f>
        <v/>
      </c>
      <c r="K210">
        <f>IF(OR(K$4="",$A210&gt;TODAY()),0,IF(OR(INDEX($B210:$D210,K$5)="F",AND(K$6&gt;0,$A210&lt;K$6),AND(K$7&gt;0,$A210&gt;K$7)),0,MAX(0,ROUND((INDEX($E210:$G210,K$5)-SUMIFS(TF_Timer,TF_Tekniker,K$4,TF_Dato,$A210))*2,0)/2)))</f>
        <v/>
      </c>
      <c r="L210">
        <f>IF(OR(L$4="",$A210&gt;TODAY()),0,IF(OR(INDEX($B210:$D210,L$5)="F",AND(L$6&gt;0,$A210&lt;L$6),AND(L$7&gt;0,$A210&gt;L$7)),0,MAX(0,ROUND((INDEX($E210:$G210,L$5)-SUMIFS(TF_Timer,TF_Tekniker,L$4,TF_Dato,$A210))*2,0)/2)))</f>
        <v/>
      </c>
      <c r="M210">
        <f>IF(OR(M$4="",$A210&gt;TODAY()),0,IF(OR(INDEX($B210:$D210,M$5)="F",AND(M$6&gt;0,$A210&lt;M$6),AND(M$7&gt;0,$A210&gt;M$7)),0,MAX(0,ROUND((INDEX($E210:$G210,M$5)-SUMIFS(TF_Timer,TF_Tekniker,M$4,TF_Dato,$A210))*2,0)/2)))</f>
        <v/>
      </c>
      <c r="N210">
        <f>IF(OR(N$4="",$A210&gt;TODAY()),0,IF(OR(INDEX($B210:$D210,N$5)="F",AND(N$6&gt;0,$A210&lt;N$6),AND(N$7&gt;0,$A210&gt;N$7)),0,MAX(0,ROUND((INDEX($E210:$G210,N$5)-SUMIFS(TF_Timer,TF_Tekniker,N$4,TF_Dato,$A210))*2,0)/2)))</f>
        <v/>
      </c>
      <c r="O210">
        <f>IF(OR(O$4="",$A210&gt;TODAY()),0,IF(OR(INDEX($B210:$D210,O$5)="F",AND(O$6&gt;0,$A210&lt;O$6),AND(O$7&gt;0,$A210&gt;O$7)),0,MAX(0,ROUND((INDEX($E210:$G210,O$5)-SUMIFS(TF_Timer,TF_Tekniker,O$4,TF_Dato,$A210))*2,0)/2)))</f>
        <v/>
      </c>
      <c r="P210">
        <f>IF(OR(P$4="",$A210&gt;TODAY()),0,IF(OR(INDEX($B210:$D210,P$5)="F",AND(P$6&gt;0,$A210&lt;P$6),AND(P$7&gt;0,$A210&gt;P$7)),0,MAX(0,ROUND((INDEX($E210:$G210,P$5)-SUMIFS(TF_Timer,TF_Tekniker,P$4,TF_Dato,$A210))*2,0)/2)))</f>
        <v/>
      </c>
      <c r="Q210">
        <f>IF(OR(Q$4="",$A210&gt;TODAY()),0,IF(OR(INDEX($B210:$D210,Q$5)="F",AND(Q$6&gt;0,$A210&lt;Q$6),AND(Q$7&gt;0,$A210&gt;Q$7)),0,MAX(0,ROUND((INDEX($E210:$G210,Q$5)-SUMIFS(TF_Timer,TF_Tekniker,Q$4,TF_Dato,$A210))*2,0)/2)))</f>
        <v/>
      </c>
      <c r="R210">
        <f>IF(OR(R$4="",$A210&gt;TODAY()),0,IF(OR(INDEX($B210:$D210,R$5)="F",AND(R$6&gt;0,$A210&lt;R$6),AND(R$7&gt;0,$A210&gt;R$7)),0,MAX(0,ROUND((INDEX($E210:$G210,R$5)-SUMIFS(TF_Timer,TF_Tekniker,R$4,TF_Dato,$A210))*2,0)/2)))</f>
        <v/>
      </c>
      <c r="S210">
        <f>IF(OR(S$4="",$A210&gt;TODAY()),0,IF(OR(INDEX($B210:$D210,S$5)="F",AND(S$6&gt;0,$A210&lt;S$6),AND(S$7&gt;0,$A210&gt;S$7)),0,MAX(0,ROUND((INDEX($E210:$G210,S$5)-SUMIFS(TF_Timer,TF_Tekniker,S$4,TF_Dato,$A210))*2,0)/2)))</f>
        <v/>
      </c>
      <c r="T210">
        <f>IF(OR(T$4="",$A210&gt;TODAY()),0,IF(OR(INDEX($B210:$D210,T$5)="F",AND(T$6&gt;0,$A210&lt;T$6),AND(T$7&gt;0,$A210&gt;T$7)),0,MAX(0,ROUND((INDEX($E210:$G210,T$5)-SUMIFS(TF_Timer,TF_Tekniker,T$4,TF_Dato,$A210))*2,0)/2)))</f>
        <v/>
      </c>
      <c r="U210">
        <f>IF(OR(U$4="",$A210&gt;TODAY()),0,IF(OR(INDEX($B210:$D210,U$5)="F",AND(U$6&gt;0,$A210&lt;U$6),AND(U$7&gt;0,$A210&gt;U$7)),0,MAX(0,ROUND((INDEX($E210:$G210,U$5)-SUMIFS(TF_Timer,TF_Tekniker,U$4,TF_Dato,$A210))*2,0)/2)))</f>
        <v/>
      </c>
      <c r="V210">
        <f>IF(OR(V$4="",$A210&gt;TODAY()),0,IF(OR(INDEX($B210:$D210,V$5)="F",AND(V$6&gt;0,$A210&lt;V$6),AND(V$7&gt;0,$A210&gt;V$7)),0,MAX(0,ROUND((INDEX($E210:$G210,V$5)-SUMIFS(TF_Timer,TF_Tekniker,V$4,TF_Dato,$A210))*2,0)/2)))</f>
        <v/>
      </c>
      <c r="W210">
        <f>IF(OR(W$4="",$A210&gt;TODAY()),0,IF(OR(INDEX($B210:$D210,W$5)="F",AND(W$6&gt;0,$A210&lt;W$6),AND(W$7&gt;0,$A210&gt;W$7)),0,MAX(0,ROUND((INDEX($E210:$G210,W$5)-SUMIFS(TF_Timer,TF_Tekniker,W$4,TF_Dato,$A210))*2,0)/2)))</f>
        <v/>
      </c>
      <c r="X210">
        <f>IF(OR(X$4="",$A210&gt;TODAY()),0,IF(OR(INDEX($B210:$D210,X$5)="F",AND(X$6&gt;0,$A210&lt;X$6),AND(X$7&gt;0,$A210&gt;X$7)),0,MAX(0,ROUND((INDEX($E210:$G210,X$5)-SUMIFS(TF_Timer,TF_Tekniker,X$4,TF_Dato,$A210))*2,0)/2)))</f>
        <v/>
      </c>
      <c r="Y210">
        <f>IF(OR(Y$4="",$A210&gt;TODAY()),0,IF(OR(INDEX($B210:$D210,Y$5)="F",AND(Y$6&gt;0,$A210&lt;Y$6),AND(Y$7&gt;0,$A210&gt;Y$7)),0,MAX(0,ROUND((INDEX($E210:$G210,Y$5)-SUMIFS(TF_Timer,TF_Tekniker,Y$4,TF_Dato,$A210))*2,0)/2)))</f>
        <v/>
      </c>
      <c r="Z210">
        <f>IF(OR(Z$4="",$A210&gt;TODAY()),0,IF(OR(INDEX($B210:$D210,Z$5)="F",AND(Z$6&gt;0,$A210&lt;Z$6),AND(Z$7&gt;0,$A210&gt;Z$7)),0,MAX(0,ROUND((INDEX($E210:$G210,Z$5)-SUMIFS(TF_Timer,TF_Tekniker,Z$4,TF_Dato,$A210))*2,0)/2)))</f>
        <v/>
      </c>
      <c r="AA210">
        <f>IF(OR(AA$4="",$A210&gt;TODAY()),0,IF(OR(INDEX($B210:$D210,AA$5)="F",AND(AA$6&gt;0,$A210&lt;AA$6),AND(AA$7&gt;0,$A210&gt;AA$7)),0,MAX(0,ROUND((INDEX($E210:$G210,AA$5)-SUMIFS(TF_Timer,TF_Tekniker,AA$4,TF_Dato,$A210))*2,0)/2)))</f>
        <v/>
      </c>
      <c r="AB210">
        <f>IF(OR(AB$4="",$A210&gt;TODAY()),0,IF(OR(INDEX($B210:$D210,AB$5)="F",AND(AB$6&gt;0,$A210&lt;AB$6),AND(AB$7&gt;0,$A210&gt;AB$7)),0,MAX(0,ROUND((INDEX($E210:$G210,AB$5)-SUMIFS(TF_Timer,TF_Tekniker,AB$4,TF_Dato,$A210))*2,0)/2)))</f>
        <v/>
      </c>
      <c r="AC210">
        <f>IF(OR(AC$4="",$A210&gt;TODAY()),0,IF(OR(INDEX($B210:$D210,AC$5)="F",AND(AC$6&gt;0,$A210&lt;AC$6),AND(AC$7&gt;0,$A210&gt;AC$7)),0,MAX(0,ROUND((INDEX($E210:$G210,AC$5)-SUMIFS(TF_Timer,TF_Tekniker,AC$4,TF_Dato,$A210))*2,0)/2)))</f>
        <v/>
      </c>
      <c r="AD210">
        <f>IF(OR(AD$4="",$A210&gt;TODAY()),0,IF(OR(INDEX($B210:$D210,AD$5)="F",AND(AD$6&gt;0,$A210&lt;AD$6),AND(AD$7&gt;0,$A210&gt;AD$7)),0,MAX(0,ROUND((INDEX($E210:$G210,AD$5)-SUMIFS(TF_Timer,TF_Tekniker,AD$4,TF_Dato,$A210))*2,0)/2)))</f>
        <v/>
      </c>
      <c r="AE210">
        <f>IF(OR(AE$4="",$A210&gt;TODAY()),0,IF(OR(INDEX($B210:$D210,AE$5)="F",AND(AE$6&gt;0,$A210&lt;AE$6),AND(AE$7&gt;0,$A210&gt;AE$7)),0,MAX(0,ROUND((INDEX($E210:$G210,AE$5)-SUMIFS(TF_Timer,TF_Tekniker,AE$4,TF_Dato,$A210))*2,0)/2)))</f>
        <v/>
      </c>
      <c r="AF210">
        <f>IF(OR(AF$4="",$A210&gt;TODAY()),0,IF(OR(INDEX($B210:$D210,AF$5)="F",AND(AF$6&gt;0,$A210&lt;AF$6),AND(AF$7&gt;0,$A210&gt;AF$7)),0,MAX(0,ROUND((INDEX($E210:$G210,AF$5)-SUMIFS(TF_Timer,TF_Tekniker,AF$4,TF_Dato,$A210))*2,0)/2)))</f>
        <v/>
      </c>
      <c r="AG210">
        <f>IF(OR(AG$4="",$A210&gt;TODAY()),0,IF(OR(INDEX($B210:$D210,AG$5)="F",AND(AG$6&gt;0,$A210&lt;AG$6),AND(AG$7&gt;0,$A210&gt;AG$7)),0,MAX(0,ROUND((INDEX($E210:$G210,AG$5)-SUMIFS(TF_Timer,TF_Tekniker,AG$4,TF_Dato,$A210))*2,0)/2)))</f>
        <v/>
      </c>
      <c r="AH210">
        <f>IF(OR(AH$4="",$A210&gt;TODAY()),0,IF(OR(INDEX($B210:$D210,AH$5)="F",AND(AH$6&gt;0,$A210&lt;AH$6),AND(AH$7&gt;0,$A210&gt;AH$7)),0,MAX(0,ROUND((INDEX($E210:$G210,AH$5)-SUMIFS(TF_Timer,TF_Tekniker,AH$4,TF_Dato,$A210))*2,0)/2)))</f>
        <v/>
      </c>
      <c r="AI210">
        <f>IF(OR(AI$4="",$A210&gt;TODAY()),0,IF(OR(INDEX($B210:$D210,AI$5)="F",AND(AI$6&gt;0,$A210&lt;AI$6),AND(AI$7&gt;0,$A210&gt;AI$7)),0,MAX(0,ROUND((INDEX($E210:$G210,AI$5)-SUMIFS(TF_Timer,TF_Tekniker,AI$4,TF_Dato,$A210))*2,0)/2)))</f>
        <v/>
      </c>
      <c r="AJ210">
        <f>IF(OR(AJ$4="",$A210&gt;TODAY()),0,IF(OR(INDEX($B210:$D210,AJ$5)="F",AND(AJ$6&gt;0,$A210&lt;AJ$6),AND(AJ$7&gt;0,$A210&gt;AJ$7)),0,MAX(0,ROUND((INDEX($E210:$G210,AJ$5)-SUMIFS(TF_Timer,TF_Tekniker,AJ$4,TF_Dato,$A210))*2,0)/2)))</f>
        <v/>
      </c>
      <c r="AK210">
        <f>IF(OR(AK$4="",$A210&gt;TODAY()),0,IF(OR(INDEX($B210:$D210,AK$5)="F",AND(AK$6&gt;0,$A210&lt;AK$6),AND(AK$7&gt;0,$A210&gt;AK$7)),0,MAX(0,ROUND((INDEX($E210:$G210,AK$5)-SUMIFS(TF_Timer,TF_Tekniker,AK$4,TF_Dato,$A210))*2,0)/2)))</f>
        <v/>
      </c>
      <c r="AL210">
        <f>IF(OR(AL$4="",$A210&gt;TODAY()),0,IF(OR(INDEX($B210:$D210,AL$5)="F",AND(AL$6&gt;0,$A210&lt;AL$6),AND(AL$7&gt;0,$A210&gt;AL$7)),0,MAX(0,ROUND((INDEX($E210:$G210,AL$5)-SUMIFS(TF_Timer,TF_Tekniker,AL$4,TF_Dato,$A210))*2,0)/2)))</f>
        <v/>
      </c>
      <c r="AM210">
        <f>IF(OR(AM$4="",$A210&gt;TODAY()),0,IF(OR(INDEX($B210:$D210,AM$5)="F",AND(AM$6&gt;0,$A210&lt;AM$6),AND(AM$7&gt;0,$A210&gt;AM$7)),0,MAX(0,ROUND((INDEX($E210:$G210,AM$5)-SUMIFS(TF_Timer,TF_Tekniker,AM$4,TF_Dato,$A210))*2,0)/2)))</f>
        <v/>
      </c>
      <c r="AN210">
        <f>IF(OR(AN$4="",$A210&gt;TODAY()),0,IF(OR(INDEX($B210:$D210,AN$5)="F",AND(AN$6&gt;0,$A210&lt;AN$6),AND(AN$7&gt;0,$A210&gt;AN$7)),0,MAX(0,ROUND((INDEX($E210:$G210,AN$5)-SUMIFS(TF_Timer,TF_Tekniker,AN$4,TF_Dato,$A210))*2,0)/2)))</f>
        <v/>
      </c>
      <c r="AO210">
        <f>IF(OR(AO$4="",$A210&gt;TODAY()),0,IF(OR(INDEX($B210:$D210,AO$5)="F",AND(AO$6&gt;0,$A210&lt;AO$6),AND(AO$7&gt;0,$A210&gt;AO$7)),0,MAX(0,ROUND((INDEX($E210:$G210,AO$5)-SUMIFS(TF_Timer,TF_Tekniker,AO$4,TF_Dato,$A210))*2,0)/2)))</f>
        <v/>
      </c>
      <c r="AP210">
        <f>IF(OR(AP$4="",$A210&gt;TODAY()),0,IF(OR(INDEX($B210:$D210,AP$5)="F",AND(AP$6&gt;0,$A210&lt;AP$6),AND(AP$7&gt;0,$A210&gt;AP$7)),0,MAX(0,ROUND((INDEX($E210:$G210,AP$5)-SUMIFS(TF_Timer,TF_Tekniker,AP$4,TF_Dato,$A210))*2,0)/2)))</f>
        <v/>
      </c>
      <c r="AQ210">
        <f>IF(OR(AQ$4="",$A210&gt;TODAY()),0,IF(OR(INDEX($B210:$D210,AQ$5)="F",AND(AQ$6&gt;0,$A210&lt;AQ$6),AND(AQ$7&gt;0,$A210&gt;AQ$7)),0,MAX(0,ROUND((INDEX($E210:$G210,AQ$5)-SUMIFS(TF_Timer,TF_Tekniker,AQ$4,TF_Dato,$A210))*2,0)/2)))</f>
        <v/>
      </c>
      <c r="AR210">
        <f>IF(OR(AR$4="",$A210&gt;TODAY()),0,IF(OR(INDEX($B210:$D210,AR$5)="F",AND(AR$6&gt;0,$A210&lt;AR$6),AND(AR$7&gt;0,$A210&gt;AR$7)),0,MAX(0,ROUND((INDEX($E210:$G210,AR$5)-SUMIFS(TF_Timer,TF_Tekniker,AR$4,TF_Dato,$A210))*2,0)/2)))</f>
        <v/>
      </c>
      <c r="AS210">
        <f>IF(OR(AS$4="",$A210&gt;TODAY()),0,IF(OR(INDEX($B210:$D210,AS$5)="F",AND(AS$6&gt;0,$A210&lt;AS$6),AND(AS$7&gt;0,$A210&gt;AS$7)),0,MAX(0,ROUND((INDEX($E210:$G210,AS$5)-SUMIFS(TF_Timer,TF_Tekniker,AS$4,TF_Dato,$A210))*2,0)/2)))</f>
        <v/>
      </c>
      <c r="AT210">
        <f>IF(OR(AT$4="",$A210&gt;TODAY()),0,IF(OR(INDEX($B210:$D210,AT$5)="F",AND(AT$6&gt;0,$A210&lt;AT$6),AND(AT$7&gt;0,$A210&gt;AT$7)),0,MAX(0,ROUND((INDEX($E210:$G210,AT$5)-SUMIFS(TF_Timer,TF_Tekniker,AT$4,TF_Dato,$A210))*2,0)/2)))</f>
        <v/>
      </c>
      <c r="AU210">
        <f>IF(OR(AU$4="",$A210&gt;TODAY()),0,IF(OR(INDEX($B210:$D210,AU$5)="F",AND(AU$6&gt;0,$A210&lt;AU$6),AND(AU$7&gt;0,$A210&gt;AU$7)),0,MAX(0,ROUND((INDEX($E210:$G210,AU$5)-SUMIFS(TF_Timer,TF_Tekniker,AU$4,TF_Dato,$A210))*2,0)/2)))</f>
        <v/>
      </c>
      <c r="AV210">
        <f>IF(OR(AV$4="",$A210&gt;TODAY()),0,IF(OR(INDEX($B210:$D210,AV$5)="F",AND(AV$6&gt;0,$A210&lt;AV$6),AND(AV$7&gt;0,$A210&gt;AV$7)),0,MAX(0,ROUND((INDEX($E210:$G210,AV$5)-SUMIFS(TF_Timer,TF_Tekniker,AV$4,TF_Dato,$A210))*2,0)/2)))</f>
        <v/>
      </c>
      <c r="AW210">
        <f>IF(OR(AW$4="",$A210&gt;TODAY()),0,IF(OR(INDEX($B210:$D210,AW$5)="F",AND(AW$6&gt;0,$A210&lt;AW$6),AND(AW$7&gt;0,$A210&gt;AW$7)),0,MAX(0,ROUND((INDEX($E210:$G210,AW$5)-SUMIFS(TF_Timer,TF_Tekniker,AW$4,TF_Dato,$A210))*2,0)/2)))</f>
        <v/>
      </c>
      <c r="AX210">
        <f>IF(OR(AX$4="",$A210&gt;TODAY()),0,IF(OR(INDEX($B210:$D210,AX$5)="F",AND(AX$6&gt;0,$A210&lt;AX$6),AND(AX$7&gt;0,$A210&gt;AX$7)),0,MAX(0,ROUND((INDEX($E210:$G210,AX$5)-SUMIFS(TF_Timer,TF_Tekniker,AX$4,TF_Dato,$A210))*2,0)/2)))</f>
        <v/>
      </c>
      <c r="AY210">
        <f>IF(OR(AY$4="",$A210&gt;TODAY()),0,IF(OR(INDEX($B210:$D210,AY$5)="F",AND(AY$6&gt;0,$A210&lt;AY$6),AND(AY$7&gt;0,$A210&gt;AY$7)),0,MAX(0,ROUND((INDEX($E210:$G210,AY$5)-SUMIFS(TF_Timer,TF_Tekniker,AY$4,TF_Dato,$A210))*2,0)/2)))</f>
        <v/>
      </c>
      <c r="AZ210">
        <f>IF(OR(AZ$4="",$A210&gt;TODAY()),0,IF(OR(INDEX($B210:$D210,AZ$5)="F",AND(AZ$6&gt;0,$A210&lt;AZ$6),AND(AZ$7&gt;0,$A210&gt;AZ$7)),0,MAX(0,ROUND((INDEX($E210:$G210,AZ$5)-SUMIFS(TF_Timer,TF_Tekniker,AZ$4,TF_Dato,$A210))*2,0)/2)))</f>
        <v/>
      </c>
      <c r="BA210">
        <f>IF(OR(BA$4="",$A210&gt;TODAY()),0,IF(OR(INDEX($B210:$D210,BA$5)="F",AND(BA$6&gt;0,$A210&lt;BA$6),AND(BA$7&gt;0,$A210&gt;BA$7)),0,MAX(0,ROUND((INDEX($E210:$G210,BA$5)-SUMIFS(TF_Timer,TF_Tekniker,BA$4,TF_Dato,$A210))*2,0)/2)))</f>
        <v/>
      </c>
      <c r="BB210">
        <f>IF(OR(BB$4="",$A210&gt;TODAY()),0,IF(OR(INDEX($B210:$D210,BB$5)="F",AND(BB$6&gt;0,$A210&lt;BB$6),AND(BB$7&gt;0,$A210&gt;BB$7)),0,MAX(0,ROUND((INDEX($E210:$G210,BB$5)-SUMIFS(TF_Timer,TF_Tekniker,BB$4,TF_Dato,$A210))*2,0)/2)))</f>
        <v/>
      </c>
      <c r="BC210">
        <f>IF(OR(BC$4="",$A210&gt;TODAY()),0,IF(OR(INDEX($B210:$D210,BC$5)="F",AND(BC$6&gt;0,$A210&lt;BC$6),AND(BC$7&gt;0,$A210&gt;BC$7)),0,MAX(0,ROUND((INDEX($E210:$G210,BC$5)-SUMIFS(TF_Timer,TF_Tekniker,BC$4,TF_Dato,$A210))*2,0)/2)))</f>
        <v/>
      </c>
      <c r="BD210">
        <f>IF(OR(BD$4="",$A210&gt;TODAY()),0,IF(OR(INDEX($B210:$D210,BD$5)="F",AND(BD$6&gt;0,$A210&lt;BD$6),AND(BD$7&gt;0,$A210&gt;BD$7)),0,MAX(0,ROUND((INDEX($E210:$G210,BD$5)-SUMIFS(TF_Timer,TF_Tekniker,BD$4,TF_Dato,$A210))*2,0)/2)))</f>
        <v/>
      </c>
      <c r="BE210">
        <f>IF(OR(BE$4="",$A210&gt;TODAY()),0,IF(OR(INDEX($B210:$D210,BE$5)="F",AND(BE$6&gt;0,$A210&lt;BE$6),AND(BE$7&gt;0,$A210&gt;BE$7)),0,MAX(0,ROUND((INDEX($E210:$G210,BE$5)-SUMIFS(TF_Timer,TF_Tekniker,BE$4,TF_Dato,$A210))*2,0)/2)))</f>
        <v/>
      </c>
      <c r="BF210">
        <f>IF(OR(BF$4="",$A210&gt;TODAY()),0,IF(OR(INDEX($B210:$D210,BF$5)="F",AND(BF$6&gt;0,$A210&lt;BF$6),AND(BF$7&gt;0,$A210&gt;BF$7)),0,MAX(0,ROUND((INDEX($E210:$G210,BF$5)-SUMIFS(TF_Timer,TF_Tekniker,BF$4,TF_Dato,$A210))*2,0)/2)))</f>
        <v/>
      </c>
      <c r="BG210">
        <f>IF(OR(BG$4="",$A210&gt;TODAY()),0,IF(OR(INDEX($B210:$D210,BG$5)="F",AND(BG$6&gt;0,$A210&lt;BG$6),AND(BG$7&gt;0,$A210&gt;BG$7)),0,MAX(0,ROUND((INDEX($E210:$G210,BG$5)-SUMIFS(TF_Timer,TF_Tekniker,BG$4,TF_Dato,$A210))*2,0)/2)))</f>
        <v/>
      </c>
      <c r="BH210">
        <f>IF(OR(BH$4="",$A210&gt;TODAY()),0,IF(OR(INDEX($B210:$D210,BH$5)="F",AND(BH$6&gt;0,$A210&lt;BH$6),AND(BH$7&gt;0,$A210&gt;BH$7)),0,MAX(0,ROUND((INDEX($E210:$G210,BH$5)-SUMIFS(TF_Timer,TF_Tekniker,BH$4,TF_Dato,$A210))*2,0)/2)))</f>
        <v/>
      </c>
      <c r="BI210">
        <f>IF(OR(BI$4="",$A210&gt;TODAY()),0,IF(OR(INDEX($B210:$D210,BI$5)="F",AND(BI$6&gt;0,$A210&lt;BI$6),AND(BI$7&gt;0,$A210&gt;BI$7)),0,MAX(0,ROUND((INDEX($E210:$G210,BI$5)-SUMIFS(TF_Timer,TF_Tekniker,BI$4,TF_Dato,$A210))*2,0)/2)))</f>
        <v/>
      </c>
    </row>
    <row r="211">
      <c r="A211" s="64">
        <f>A210+1</f>
        <v/>
      </c>
      <c r="B211">
        <f>IF(MOD($A211-INDEX(SkiftStart,1),Syklus)&lt;DagK,"K",IF(MOD($A211-INDEX(SkiftStart,1),Syklus)&lt;DagK+DagH,"H",IF(MOD($A211-INDEX(SkiftStart,1),Syklus)&lt;DagK+DagH+DagD,"D","F")))</f>
        <v/>
      </c>
      <c r="C211">
        <f>IF(MOD($A211-INDEX(SkiftStart,2),Syklus)&lt;DagK,"K",IF(MOD($A211-INDEX(SkiftStart,2),Syklus)&lt;DagK+DagH,"H",IF(MOD($A211-INDEX(SkiftStart,2),Syklus)&lt;DagK+DagH+DagD,"D","F")))</f>
        <v/>
      </c>
      <c r="D211">
        <f>IF(MOD($A211-INDEX(SkiftStart,3),Syklus)&lt;DagK,"K",IF(MOD($A211-INDEX(SkiftStart,3),Syklus)&lt;DagK+DagH,"H",IF(MOD($A211-INDEX(SkiftStart,3),Syklus)&lt;DagK+DagH+DagD,"D","F")))</f>
        <v/>
      </c>
      <c r="E211">
        <f>IF(B211="F",0,IF(WEEKDAY($A211,2)=5,INDEX(TimerFr,MATCH(B211,FaseKode,0)),INDEX(TimerMT,MATCH(B211,FaseKode,0))))</f>
        <v/>
      </c>
      <c r="F211">
        <f>IF(C211="F",0,IF(WEEKDAY($A211,2)=5,INDEX(TimerFr,MATCH(C211,FaseKode,0)),INDEX(TimerMT,MATCH(C211,FaseKode,0))))</f>
        <v/>
      </c>
      <c r="G211">
        <f>IF(D211="F",0,IF(WEEKDAY($A211,2)=5,INDEX(TimerFr,MATCH(D211,FaseKode,0)),INDEX(TimerMT,MATCH(D211,FaseKode,0))))</f>
        <v/>
      </c>
      <c r="H211">
        <f>IF(OR(H$4="",$A211&gt;TODAY()),0,IF(OR(INDEX($B211:$D211,H$5)="F",AND(H$6&gt;0,$A211&lt;H$6),AND(H$7&gt;0,$A211&gt;H$7)),0,MAX(0,ROUND((INDEX($E211:$G211,H$5)-SUMIFS(TF_Timer,TF_Tekniker,H$4,TF_Dato,$A211))*2,0)/2)))</f>
        <v/>
      </c>
      <c r="I211">
        <f>IF(OR(I$4="",$A211&gt;TODAY()),0,IF(OR(INDEX($B211:$D211,I$5)="F",AND(I$6&gt;0,$A211&lt;I$6),AND(I$7&gt;0,$A211&gt;I$7)),0,MAX(0,ROUND((INDEX($E211:$G211,I$5)-SUMIFS(TF_Timer,TF_Tekniker,I$4,TF_Dato,$A211))*2,0)/2)))</f>
        <v/>
      </c>
      <c r="J211">
        <f>IF(OR(J$4="",$A211&gt;TODAY()),0,IF(OR(INDEX($B211:$D211,J$5)="F",AND(J$6&gt;0,$A211&lt;J$6),AND(J$7&gt;0,$A211&gt;J$7)),0,MAX(0,ROUND((INDEX($E211:$G211,J$5)-SUMIFS(TF_Timer,TF_Tekniker,J$4,TF_Dato,$A211))*2,0)/2)))</f>
        <v/>
      </c>
      <c r="K211">
        <f>IF(OR(K$4="",$A211&gt;TODAY()),0,IF(OR(INDEX($B211:$D211,K$5)="F",AND(K$6&gt;0,$A211&lt;K$6),AND(K$7&gt;0,$A211&gt;K$7)),0,MAX(0,ROUND((INDEX($E211:$G211,K$5)-SUMIFS(TF_Timer,TF_Tekniker,K$4,TF_Dato,$A211))*2,0)/2)))</f>
        <v/>
      </c>
      <c r="L211">
        <f>IF(OR(L$4="",$A211&gt;TODAY()),0,IF(OR(INDEX($B211:$D211,L$5)="F",AND(L$6&gt;0,$A211&lt;L$6),AND(L$7&gt;0,$A211&gt;L$7)),0,MAX(0,ROUND((INDEX($E211:$G211,L$5)-SUMIFS(TF_Timer,TF_Tekniker,L$4,TF_Dato,$A211))*2,0)/2)))</f>
        <v/>
      </c>
      <c r="M211">
        <f>IF(OR(M$4="",$A211&gt;TODAY()),0,IF(OR(INDEX($B211:$D211,M$5)="F",AND(M$6&gt;0,$A211&lt;M$6),AND(M$7&gt;0,$A211&gt;M$7)),0,MAX(0,ROUND((INDEX($E211:$G211,M$5)-SUMIFS(TF_Timer,TF_Tekniker,M$4,TF_Dato,$A211))*2,0)/2)))</f>
        <v/>
      </c>
      <c r="N211">
        <f>IF(OR(N$4="",$A211&gt;TODAY()),0,IF(OR(INDEX($B211:$D211,N$5)="F",AND(N$6&gt;0,$A211&lt;N$6),AND(N$7&gt;0,$A211&gt;N$7)),0,MAX(0,ROUND((INDEX($E211:$G211,N$5)-SUMIFS(TF_Timer,TF_Tekniker,N$4,TF_Dato,$A211))*2,0)/2)))</f>
        <v/>
      </c>
      <c r="O211">
        <f>IF(OR(O$4="",$A211&gt;TODAY()),0,IF(OR(INDEX($B211:$D211,O$5)="F",AND(O$6&gt;0,$A211&lt;O$6),AND(O$7&gt;0,$A211&gt;O$7)),0,MAX(0,ROUND((INDEX($E211:$G211,O$5)-SUMIFS(TF_Timer,TF_Tekniker,O$4,TF_Dato,$A211))*2,0)/2)))</f>
        <v/>
      </c>
      <c r="P211">
        <f>IF(OR(P$4="",$A211&gt;TODAY()),0,IF(OR(INDEX($B211:$D211,P$5)="F",AND(P$6&gt;0,$A211&lt;P$6),AND(P$7&gt;0,$A211&gt;P$7)),0,MAX(0,ROUND((INDEX($E211:$G211,P$5)-SUMIFS(TF_Timer,TF_Tekniker,P$4,TF_Dato,$A211))*2,0)/2)))</f>
        <v/>
      </c>
      <c r="Q211">
        <f>IF(OR(Q$4="",$A211&gt;TODAY()),0,IF(OR(INDEX($B211:$D211,Q$5)="F",AND(Q$6&gt;0,$A211&lt;Q$6),AND(Q$7&gt;0,$A211&gt;Q$7)),0,MAX(0,ROUND((INDEX($E211:$G211,Q$5)-SUMIFS(TF_Timer,TF_Tekniker,Q$4,TF_Dato,$A211))*2,0)/2)))</f>
        <v/>
      </c>
      <c r="R211">
        <f>IF(OR(R$4="",$A211&gt;TODAY()),0,IF(OR(INDEX($B211:$D211,R$5)="F",AND(R$6&gt;0,$A211&lt;R$6),AND(R$7&gt;0,$A211&gt;R$7)),0,MAX(0,ROUND((INDEX($E211:$G211,R$5)-SUMIFS(TF_Timer,TF_Tekniker,R$4,TF_Dato,$A211))*2,0)/2)))</f>
        <v/>
      </c>
      <c r="S211">
        <f>IF(OR(S$4="",$A211&gt;TODAY()),0,IF(OR(INDEX($B211:$D211,S$5)="F",AND(S$6&gt;0,$A211&lt;S$6),AND(S$7&gt;0,$A211&gt;S$7)),0,MAX(0,ROUND((INDEX($E211:$G211,S$5)-SUMIFS(TF_Timer,TF_Tekniker,S$4,TF_Dato,$A211))*2,0)/2)))</f>
        <v/>
      </c>
      <c r="T211">
        <f>IF(OR(T$4="",$A211&gt;TODAY()),0,IF(OR(INDEX($B211:$D211,T$5)="F",AND(T$6&gt;0,$A211&lt;T$6),AND(T$7&gt;0,$A211&gt;T$7)),0,MAX(0,ROUND((INDEX($E211:$G211,T$5)-SUMIFS(TF_Timer,TF_Tekniker,T$4,TF_Dato,$A211))*2,0)/2)))</f>
        <v/>
      </c>
      <c r="U211">
        <f>IF(OR(U$4="",$A211&gt;TODAY()),0,IF(OR(INDEX($B211:$D211,U$5)="F",AND(U$6&gt;0,$A211&lt;U$6),AND(U$7&gt;0,$A211&gt;U$7)),0,MAX(0,ROUND((INDEX($E211:$G211,U$5)-SUMIFS(TF_Timer,TF_Tekniker,U$4,TF_Dato,$A211))*2,0)/2)))</f>
        <v/>
      </c>
      <c r="V211">
        <f>IF(OR(V$4="",$A211&gt;TODAY()),0,IF(OR(INDEX($B211:$D211,V$5)="F",AND(V$6&gt;0,$A211&lt;V$6),AND(V$7&gt;0,$A211&gt;V$7)),0,MAX(0,ROUND((INDEX($E211:$G211,V$5)-SUMIFS(TF_Timer,TF_Tekniker,V$4,TF_Dato,$A211))*2,0)/2)))</f>
        <v/>
      </c>
      <c r="W211">
        <f>IF(OR(W$4="",$A211&gt;TODAY()),0,IF(OR(INDEX($B211:$D211,W$5)="F",AND(W$6&gt;0,$A211&lt;W$6),AND(W$7&gt;0,$A211&gt;W$7)),0,MAX(0,ROUND((INDEX($E211:$G211,W$5)-SUMIFS(TF_Timer,TF_Tekniker,W$4,TF_Dato,$A211))*2,0)/2)))</f>
        <v/>
      </c>
      <c r="X211">
        <f>IF(OR(X$4="",$A211&gt;TODAY()),0,IF(OR(INDEX($B211:$D211,X$5)="F",AND(X$6&gt;0,$A211&lt;X$6),AND(X$7&gt;0,$A211&gt;X$7)),0,MAX(0,ROUND((INDEX($E211:$G211,X$5)-SUMIFS(TF_Timer,TF_Tekniker,X$4,TF_Dato,$A211))*2,0)/2)))</f>
        <v/>
      </c>
      <c r="Y211">
        <f>IF(OR(Y$4="",$A211&gt;TODAY()),0,IF(OR(INDEX($B211:$D211,Y$5)="F",AND(Y$6&gt;0,$A211&lt;Y$6),AND(Y$7&gt;0,$A211&gt;Y$7)),0,MAX(0,ROUND((INDEX($E211:$G211,Y$5)-SUMIFS(TF_Timer,TF_Tekniker,Y$4,TF_Dato,$A211))*2,0)/2)))</f>
        <v/>
      </c>
      <c r="Z211">
        <f>IF(OR(Z$4="",$A211&gt;TODAY()),0,IF(OR(INDEX($B211:$D211,Z$5)="F",AND(Z$6&gt;0,$A211&lt;Z$6),AND(Z$7&gt;0,$A211&gt;Z$7)),0,MAX(0,ROUND((INDEX($E211:$G211,Z$5)-SUMIFS(TF_Timer,TF_Tekniker,Z$4,TF_Dato,$A211))*2,0)/2)))</f>
        <v/>
      </c>
      <c r="AA211">
        <f>IF(OR(AA$4="",$A211&gt;TODAY()),0,IF(OR(INDEX($B211:$D211,AA$5)="F",AND(AA$6&gt;0,$A211&lt;AA$6),AND(AA$7&gt;0,$A211&gt;AA$7)),0,MAX(0,ROUND((INDEX($E211:$G211,AA$5)-SUMIFS(TF_Timer,TF_Tekniker,AA$4,TF_Dato,$A211))*2,0)/2)))</f>
        <v/>
      </c>
      <c r="AB211">
        <f>IF(OR(AB$4="",$A211&gt;TODAY()),0,IF(OR(INDEX($B211:$D211,AB$5)="F",AND(AB$6&gt;0,$A211&lt;AB$6),AND(AB$7&gt;0,$A211&gt;AB$7)),0,MAX(0,ROUND((INDEX($E211:$G211,AB$5)-SUMIFS(TF_Timer,TF_Tekniker,AB$4,TF_Dato,$A211))*2,0)/2)))</f>
        <v/>
      </c>
      <c r="AC211">
        <f>IF(OR(AC$4="",$A211&gt;TODAY()),0,IF(OR(INDEX($B211:$D211,AC$5)="F",AND(AC$6&gt;0,$A211&lt;AC$6),AND(AC$7&gt;0,$A211&gt;AC$7)),0,MAX(0,ROUND((INDEX($E211:$G211,AC$5)-SUMIFS(TF_Timer,TF_Tekniker,AC$4,TF_Dato,$A211))*2,0)/2)))</f>
        <v/>
      </c>
      <c r="AD211">
        <f>IF(OR(AD$4="",$A211&gt;TODAY()),0,IF(OR(INDEX($B211:$D211,AD$5)="F",AND(AD$6&gt;0,$A211&lt;AD$6),AND(AD$7&gt;0,$A211&gt;AD$7)),0,MAX(0,ROUND((INDEX($E211:$G211,AD$5)-SUMIFS(TF_Timer,TF_Tekniker,AD$4,TF_Dato,$A211))*2,0)/2)))</f>
        <v/>
      </c>
      <c r="AE211">
        <f>IF(OR(AE$4="",$A211&gt;TODAY()),0,IF(OR(INDEX($B211:$D211,AE$5)="F",AND(AE$6&gt;0,$A211&lt;AE$6),AND(AE$7&gt;0,$A211&gt;AE$7)),0,MAX(0,ROUND((INDEX($E211:$G211,AE$5)-SUMIFS(TF_Timer,TF_Tekniker,AE$4,TF_Dato,$A211))*2,0)/2)))</f>
        <v/>
      </c>
      <c r="AF211">
        <f>IF(OR(AF$4="",$A211&gt;TODAY()),0,IF(OR(INDEX($B211:$D211,AF$5)="F",AND(AF$6&gt;0,$A211&lt;AF$6),AND(AF$7&gt;0,$A211&gt;AF$7)),0,MAX(0,ROUND((INDEX($E211:$G211,AF$5)-SUMIFS(TF_Timer,TF_Tekniker,AF$4,TF_Dato,$A211))*2,0)/2)))</f>
        <v/>
      </c>
      <c r="AG211">
        <f>IF(OR(AG$4="",$A211&gt;TODAY()),0,IF(OR(INDEX($B211:$D211,AG$5)="F",AND(AG$6&gt;0,$A211&lt;AG$6),AND(AG$7&gt;0,$A211&gt;AG$7)),0,MAX(0,ROUND((INDEX($E211:$G211,AG$5)-SUMIFS(TF_Timer,TF_Tekniker,AG$4,TF_Dato,$A211))*2,0)/2)))</f>
        <v/>
      </c>
      <c r="AH211">
        <f>IF(OR(AH$4="",$A211&gt;TODAY()),0,IF(OR(INDEX($B211:$D211,AH$5)="F",AND(AH$6&gt;0,$A211&lt;AH$6),AND(AH$7&gt;0,$A211&gt;AH$7)),0,MAX(0,ROUND((INDEX($E211:$G211,AH$5)-SUMIFS(TF_Timer,TF_Tekniker,AH$4,TF_Dato,$A211))*2,0)/2)))</f>
        <v/>
      </c>
      <c r="AI211">
        <f>IF(OR(AI$4="",$A211&gt;TODAY()),0,IF(OR(INDEX($B211:$D211,AI$5)="F",AND(AI$6&gt;0,$A211&lt;AI$6),AND(AI$7&gt;0,$A211&gt;AI$7)),0,MAX(0,ROUND((INDEX($E211:$G211,AI$5)-SUMIFS(TF_Timer,TF_Tekniker,AI$4,TF_Dato,$A211))*2,0)/2)))</f>
        <v/>
      </c>
      <c r="AJ211">
        <f>IF(OR(AJ$4="",$A211&gt;TODAY()),0,IF(OR(INDEX($B211:$D211,AJ$5)="F",AND(AJ$6&gt;0,$A211&lt;AJ$6),AND(AJ$7&gt;0,$A211&gt;AJ$7)),0,MAX(0,ROUND((INDEX($E211:$G211,AJ$5)-SUMIFS(TF_Timer,TF_Tekniker,AJ$4,TF_Dato,$A211))*2,0)/2)))</f>
        <v/>
      </c>
      <c r="AK211">
        <f>IF(OR(AK$4="",$A211&gt;TODAY()),0,IF(OR(INDEX($B211:$D211,AK$5)="F",AND(AK$6&gt;0,$A211&lt;AK$6),AND(AK$7&gt;0,$A211&gt;AK$7)),0,MAX(0,ROUND((INDEX($E211:$G211,AK$5)-SUMIFS(TF_Timer,TF_Tekniker,AK$4,TF_Dato,$A211))*2,0)/2)))</f>
        <v/>
      </c>
      <c r="AL211">
        <f>IF(OR(AL$4="",$A211&gt;TODAY()),0,IF(OR(INDEX($B211:$D211,AL$5)="F",AND(AL$6&gt;0,$A211&lt;AL$6),AND(AL$7&gt;0,$A211&gt;AL$7)),0,MAX(0,ROUND((INDEX($E211:$G211,AL$5)-SUMIFS(TF_Timer,TF_Tekniker,AL$4,TF_Dato,$A211))*2,0)/2)))</f>
        <v/>
      </c>
      <c r="AM211">
        <f>IF(OR(AM$4="",$A211&gt;TODAY()),0,IF(OR(INDEX($B211:$D211,AM$5)="F",AND(AM$6&gt;0,$A211&lt;AM$6),AND(AM$7&gt;0,$A211&gt;AM$7)),0,MAX(0,ROUND((INDEX($E211:$G211,AM$5)-SUMIFS(TF_Timer,TF_Tekniker,AM$4,TF_Dato,$A211))*2,0)/2)))</f>
        <v/>
      </c>
      <c r="AN211">
        <f>IF(OR(AN$4="",$A211&gt;TODAY()),0,IF(OR(INDEX($B211:$D211,AN$5)="F",AND(AN$6&gt;0,$A211&lt;AN$6),AND(AN$7&gt;0,$A211&gt;AN$7)),0,MAX(0,ROUND((INDEX($E211:$G211,AN$5)-SUMIFS(TF_Timer,TF_Tekniker,AN$4,TF_Dato,$A211))*2,0)/2)))</f>
        <v/>
      </c>
      <c r="AO211">
        <f>IF(OR(AO$4="",$A211&gt;TODAY()),0,IF(OR(INDEX($B211:$D211,AO$5)="F",AND(AO$6&gt;0,$A211&lt;AO$6),AND(AO$7&gt;0,$A211&gt;AO$7)),0,MAX(0,ROUND((INDEX($E211:$G211,AO$5)-SUMIFS(TF_Timer,TF_Tekniker,AO$4,TF_Dato,$A211))*2,0)/2)))</f>
        <v/>
      </c>
      <c r="AP211">
        <f>IF(OR(AP$4="",$A211&gt;TODAY()),0,IF(OR(INDEX($B211:$D211,AP$5)="F",AND(AP$6&gt;0,$A211&lt;AP$6),AND(AP$7&gt;0,$A211&gt;AP$7)),0,MAX(0,ROUND((INDEX($E211:$G211,AP$5)-SUMIFS(TF_Timer,TF_Tekniker,AP$4,TF_Dato,$A211))*2,0)/2)))</f>
        <v/>
      </c>
      <c r="AQ211">
        <f>IF(OR(AQ$4="",$A211&gt;TODAY()),0,IF(OR(INDEX($B211:$D211,AQ$5)="F",AND(AQ$6&gt;0,$A211&lt;AQ$6),AND(AQ$7&gt;0,$A211&gt;AQ$7)),0,MAX(0,ROUND((INDEX($E211:$G211,AQ$5)-SUMIFS(TF_Timer,TF_Tekniker,AQ$4,TF_Dato,$A211))*2,0)/2)))</f>
        <v/>
      </c>
      <c r="AR211">
        <f>IF(OR(AR$4="",$A211&gt;TODAY()),0,IF(OR(INDEX($B211:$D211,AR$5)="F",AND(AR$6&gt;0,$A211&lt;AR$6),AND(AR$7&gt;0,$A211&gt;AR$7)),0,MAX(0,ROUND((INDEX($E211:$G211,AR$5)-SUMIFS(TF_Timer,TF_Tekniker,AR$4,TF_Dato,$A211))*2,0)/2)))</f>
        <v/>
      </c>
      <c r="AS211">
        <f>IF(OR(AS$4="",$A211&gt;TODAY()),0,IF(OR(INDEX($B211:$D211,AS$5)="F",AND(AS$6&gt;0,$A211&lt;AS$6),AND(AS$7&gt;0,$A211&gt;AS$7)),0,MAX(0,ROUND((INDEX($E211:$G211,AS$5)-SUMIFS(TF_Timer,TF_Tekniker,AS$4,TF_Dato,$A211))*2,0)/2)))</f>
        <v/>
      </c>
      <c r="AT211">
        <f>IF(OR(AT$4="",$A211&gt;TODAY()),0,IF(OR(INDEX($B211:$D211,AT$5)="F",AND(AT$6&gt;0,$A211&lt;AT$6),AND(AT$7&gt;0,$A211&gt;AT$7)),0,MAX(0,ROUND((INDEX($E211:$G211,AT$5)-SUMIFS(TF_Timer,TF_Tekniker,AT$4,TF_Dato,$A211))*2,0)/2)))</f>
        <v/>
      </c>
      <c r="AU211">
        <f>IF(OR(AU$4="",$A211&gt;TODAY()),0,IF(OR(INDEX($B211:$D211,AU$5)="F",AND(AU$6&gt;0,$A211&lt;AU$6),AND(AU$7&gt;0,$A211&gt;AU$7)),0,MAX(0,ROUND((INDEX($E211:$G211,AU$5)-SUMIFS(TF_Timer,TF_Tekniker,AU$4,TF_Dato,$A211))*2,0)/2)))</f>
        <v/>
      </c>
      <c r="AV211">
        <f>IF(OR(AV$4="",$A211&gt;TODAY()),0,IF(OR(INDEX($B211:$D211,AV$5)="F",AND(AV$6&gt;0,$A211&lt;AV$6),AND(AV$7&gt;0,$A211&gt;AV$7)),0,MAX(0,ROUND((INDEX($E211:$G211,AV$5)-SUMIFS(TF_Timer,TF_Tekniker,AV$4,TF_Dato,$A211))*2,0)/2)))</f>
        <v/>
      </c>
      <c r="AW211">
        <f>IF(OR(AW$4="",$A211&gt;TODAY()),0,IF(OR(INDEX($B211:$D211,AW$5)="F",AND(AW$6&gt;0,$A211&lt;AW$6),AND(AW$7&gt;0,$A211&gt;AW$7)),0,MAX(0,ROUND((INDEX($E211:$G211,AW$5)-SUMIFS(TF_Timer,TF_Tekniker,AW$4,TF_Dato,$A211))*2,0)/2)))</f>
        <v/>
      </c>
      <c r="AX211">
        <f>IF(OR(AX$4="",$A211&gt;TODAY()),0,IF(OR(INDEX($B211:$D211,AX$5)="F",AND(AX$6&gt;0,$A211&lt;AX$6),AND(AX$7&gt;0,$A211&gt;AX$7)),0,MAX(0,ROUND((INDEX($E211:$G211,AX$5)-SUMIFS(TF_Timer,TF_Tekniker,AX$4,TF_Dato,$A211))*2,0)/2)))</f>
        <v/>
      </c>
      <c r="AY211">
        <f>IF(OR(AY$4="",$A211&gt;TODAY()),0,IF(OR(INDEX($B211:$D211,AY$5)="F",AND(AY$6&gt;0,$A211&lt;AY$6),AND(AY$7&gt;0,$A211&gt;AY$7)),0,MAX(0,ROUND((INDEX($E211:$G211,AY$5)-SUMIFS(TF_Timer,TF_Tekniker,AY$4,TF_Dato,$A211))*2,0)/2)))</f>
        <v/>
      </c>
      <c r="AZ211">
        <f>IF(OR(AZ$4="",$A211&gt;TODAY()),0,IF(OR(INDEX($B211:$D211,AZ$5)="F",AND(AZ$6&gt;0,$A211&lt;AZ$6),AND(AZ$7&gt;0,$A211&gt;AZ$7)),0,MAX(0,ROUND((INDEX($E211:$G211,AZ$5)-SUMIFS(TF_Timer,TF_Tekniker,AZ$4,TF_Dato,$A211))*2,0)/2)))</f>
        <v/>
      </c>
      <c r="BA211">
        <f>IF(OR(BA$4="",$A211&gt;TODAY()),0,IF(OR(INDEX($B211:$D211,BA$5)="F",AND(BA$6&gt;0,$A211&lt;BA$6),AND(BA$7&gt;0,$A211&gt;BA$7)),0,MAX(0,ROUND((INDEX($E211:$G211,BA$5)-SUMIFS(TF_Timer,TF_Tekniker,BA$4,TF_Dato,$A211))*2,0)/2)))</f>
        <v/>
      </c>
      <c r="BB211">
        <f>IF(OR(BB$4="",$A211&gt;TODAY()),0,IF(OR(INDEX($B211:$D211,BB$5)="F",AND(BB$6&gt;0,$A211&lt;BB$6),AND(BB$7&gt;0,$A211&gt;BB$7)),0,MAX(0,ROUND((INDEX($E211:$G211,BB$5)-SUMIFS(TF_Timer,TF_Tekniker,BB$4,TF_Dato,$A211))*2,0)/2)))</f>
        <v/>
      </c>
      <c r="BC211">
        <f>IF(OR(BC$4="",$A211&gt;TODAY()),0,IF(OR(INDEX($B211:$D211,BC$5)="F",AND(BC$6&gt;0,$A211&lt;BC$6),AND(BC$7&gt;0,$A211&gt;BC$7)),0,MAX(0,ROUND((INDEX($E211:$G211,BC$5)-SUMIFS(TF_Timer,TF_Tekniker,BC$4,TF_Dato,$A211))*2,0)/2)))</f>
        <v/>
      </c>
      <c r="BD211">
        <f>IF(OR(BD$4="",$A211&gt;TODAY()),0,IF(OR(INDEX($B211:$D211,BD$5)="F",AND(BD$6&gt;0,$A211&lt;BD$6),AND(BD$7&gt;0,$A211&gt;BD$7)),0,MAX(0,ROUND((INDEX($E211:$G211,BD$5)-SUMIFS(TF_Timer,TF_Tekniker,BD$4,TF_Dato,$A211))*2,0)/2)))</f>
        <v/>
      </c>
      <c r="BE211">
        <f>IF(OR(BE$4="",$A211&gt;TODAY()),0,IF(OR(INDEX($B211:$D211,BE$5)="F",AND(BE$6&gt;0,$A211&lt;BE$6),AND(BE$7&gt;0,$A211&gt;BE$7)),0,MAX(0,ROUND((INDEX($E211:$G211,BE$5)-SUMIFS(TF_Timer,TF_Tekniker,BE$4,TF_Dato,$A211))*2,0)/2)))</f>
        <v/>
      </c>
      <c r="BF211">
        <f>IF(OR(BF$4="",$A211&gt;TODAY()),0,IF(OR(INDEX($B211:$D211,BF$5)="F",AND(BF$6&gt;0,$A211&lt;BF$6),AND(BF$7&gt;0,$A211&gt;BF$7)),0,MAX(0,ROUND((INDEX($E211:$G211,BF$5)-SUMIFS(TF_Timer,TF_Tekniker,BF$4,TF_Dato,$A211))*2,0)/2)))</f>
        <v/>
      </c>
      <c r="BG211">
        <f>IF(OR(BG$4="",$A211&gt;TODAY()),0,IF(OR(INDEX($B211:$D211,BG$5)="F",AND(BG$6&gt;0,$A211&lt;BG$6),AND(BG$7&gt;0,$A211&gt;BG$7)),0,MAX(0,ROUND((INDEX($E211:$G211,BG$5)-SUMIFS(TF_Timer,TF_Tekniker,BG$4,TF_Dato,$A211))*2,0)/2)))</f>
        <v/>
      </c>
      <c r="BH211">
        <f>IF(OR(BH$4="",$A211&gt;TODAY()),0,IF(OR(INDEX($B211:$D211,BH$5)="F",AND(BH$6&gt;0,$A211&lt;BH$6),AND(BH$7&gt;0,$A211&gt;BH$7)),0,MAX(0,ROUND((INDEX($E211:$G211,BH$5)-SUMIFS(TF_Timer,TF_Tekniker,BH$4,TF_Dato,$A211))*2,0)/2)))</f>
        <v/>
      </c>
      <c r="BI211">
        <f>IF(OR(BI$4="",$A211&gt;TODAY()),0,IF(OR(INDEX($B211:$D211,BI$5)="F",AND(BI$6&gt;0,$A211&lt;BI$6),AND(BI$7&gt;0,$A211&gt;BI$7)),0,MAX(0,ROUND((INDEX($E211:$G211,BI$5)-SUMIFS(TF_Timer,TF_Tekniker,BI$4,TF_Dato,$A211))*2,0)/2)))</f>
        <v/>
      </c>
    </row>
    <row r="212">
      <c r="A212" s="64">
        <f>A211+1</f>
        <v/>
      </c>
      <c r="B212">
        <f>IF(MOD($A212-INDEX(SkiftStart,1),Syklus)&lt;DagK,"K",IF(MOD($A212-INDEX(SkiftStart,1),Syklus)&lt;DagK+DagH,"H",IF(MOD($A212-INDEX(SkiftStart,1),Syklus)&lt;DagK+DagH+DagD,"D","F")))</f>
        <v/>
      </c>
      <c r="C212">
        <f>IF(MOD($A212-INDEX(SkiftStart,2),Syklus)&lt;DagK,"K",IF(MOD($A212-INDEX(SkiftStart,2),Syklus)&lt;DagK+DagH,"H",IF(MOD($A212-INDEX(SkiftStart,2),Syklus)&lt;DagK+DagH+DagD,"D","F")))</f>
        <v/>
      </c>
      <c r="D212">
        <f>IF(MOD($A212-INDEX(SkiftStart,3),Syklus)&lt;DagK,"K",IF(MOD($A212-INDEX(SkiftStart,3),Syklus)&lt;DagK+DagH,"H",IF(MOD($A212-INDEX(SkiftStart,3),Syklus)&lt;DagK+DagH+DagD,"D","F")))</f>
        <v/>
      </c>
      <c r="E212">
        <f>IF(B212="F",0,IF(WEEKDAY($A212,2)=5,INDEX(TimerFr,MATCH(B212,FaseKode,0)),INDEX(TimerMT,MATCH(B212,FaseKode,0))))</f>
        <v/>
      </c>
      <c r="F212">
        <f>IF(C212="F",0,IF(WEEKDAY($A212,2)=5,INDEX(TimerFr,MATCH(C212,FaseKode,0)),INDEX(TimerMT,MATCH(C212,FaseKode,0))))</f>
        <v/>
      </c>
      <c r="G212">
        <f>IF(D212="F",0,IF(WEEKDAY($A212,2)=5,INDEX(TimerFr,MATCH(D212,FaseKode,0)),INDEX(TimerMT,MATCH(D212,FaseKode,0))))</f>
        <v/>
      </c>
      <c r="H212">
        <f>IF(OR(H$4="",$A212&gt;TODAY()),0,IF(OR(INDEX($B212:$D212,H$5)="F",AND(H$6&gt;0,$A212&lt;H$6),AND(H$7&gt;0,$A212&gt;H$7)),0,MAX(0,ROUND((INDEX($E212:$G212,H$5)-SUMIFS(TF_Timer,TF_Tekniker,H$4,TF_Dato,$A212))*2,0)/2)))</f>
        <v/>
      </c>
      <c r="I212">
        <f>IF(OR(I$4="",$A212&gt;TODAY()),0,IF(OR(INDEX($B212:$D212,I$5)="F",AND(I$6&gt;0,$A212&lt;I$6),AND(I$7&gt;0,$A212&gt;I$7)),0,MAX(0,ROUND((INDEX($E212:$G212,I$5)-SUMIFS(TF_Timer,TF_Tekniker,I$4,TF_Dato,$A212))*2,0)/2)))</f>
        <v/>
      </c>
      <c r="J212">
        <f>IF(OR(J$4="",$A212&gt;TODAY()),0,IF(OR(INDEX($B212:$D212,J$5)="F",AND(J$6&gt;0,$A212&lt;J$6),AND(J$7&gt;0,$A212&gt;J$7)),0,MAX(0,ROUND((INDEX($E212:$G212,J$5)-SUMIFS(TF_Timer,TF_Tekniker,J$4,TF_Dato,$A212))*2,0)/2)))</f>
        <v/>
      </c>
      <c r="K212">
        <f>IF(OR(K$4="",$A212&gt;TODAY()),0,IF(OR(INDEX($B212:$D212,K$5)="F",AND(K$6&gt;0,$A212&lt;K$6),AND(K$7&gt;0,$A212&gt;K$7)),0,MAX(0,ROUND((INDEX($E212:$G212,K$5)-SUMIFS(TF_Timer,TF_Tekniker,K$4,TF_Dato,$A212))*2,0)/2)))</f>
        <v/>
      </c>
      <c r="L212">
        <f>IF(OR(L$4="",$A212&gt;TODAY()),0,IF(OR(INDEX($B212:$D212,L$5)="F",AND(L$6&gt;0,$A212&lt;L$6),AND(L$7&gt;0,$A212&gt;L$7)),0,MAX(0,ROUND((INDEX($E212:$G212,L$5)-SUMIFS(TF_Timer,TF_Tekniker,L$4,TF_Dato,$A212))*2,0)/2)))</f>
        <v/>
      </c>
      <c r="M212">
        <f>IF(OR(M$4="",$A212&gt;TODAY()),0,IF(OR(INDEX($B212:$D212,M$5)="F",AND(M$6&gt;0,$A212&lt;M$6),AND(M$7&gt;0,$A212&gt;M$7)),0,MAX(0,ROUND((INDEX($E212:$G212,M$5)-SUMIFS(TF_Timer,TF_Tekniker,M$4,TF_Dato,$A212))*2,0)/2)))</f>
        <v/>
      </c>
      <c r="N212">
        <f>IF(OR(N$4="",$A212&gt;TODAY()),0,IF(OR(INDEX($B212:$D212,N$5)="F",AND(N$6&gt;0,$A212&lt;N$6),AND(N$7&gt;0,$A212&gt;N$7)),0,MAX(0,ROUND((INDEX($E212:$G212,N$5)-SUMIFS(TF_Timer,TF_Tekniker,N$4,TF_Dato,$A212))*2,0)/2)))</f>
        <v/>
      </c>
      <c r="O212">
        <f>IF(OR(O$4="",$A212&gt;TODAY()),0,IF(OR(INDEX($B212:$D212,O$5)="F",AND(O$6&gt;0,$A212&lt;O$6),AND(O$7&gt;0,$A212&gt;O$7)),0,MAX(0,ROUND((INDEX($E212:$G212,O$5)-SUMIFS(TF_Timer,TF_Tekniker,O$4,TF_Dato,$A212))*2,0)/2)))</f>
        <v/>
      </c>
      <c r="P212">
        <f>IF(OR(P$4="",$A212&gt;TODAY()),0,IF(OR(INDEX($B212:$D212,P$5)="F",AND(P$6&gt;0,$A212&lt;P$6),AND(P$7&gt;0,$A212&gt;P$7)),0,MAX(0,ROUND((INDEX($E212:$G212,P$5)-SUMIFS(TF_Timer,TF_Tekniker,P$4,TF_Dato,$A212))*2,0)/2)))</f>
        <v/>
      </c>
      <c r="Q212">
        <f>IF(OR(Q$4="",$A212&gt;TODAY()),0,IF(OR(INDEX($B212:$D212,Q$5)="F",AND(Q$6&gt;0,$A212&lt;Q$6),AND(Q$7&gt;0,$A212&gt;Q$7)),0,MAX(0,ROUND((INDEX($E212:$G212,Q$5)-SUMIFS(TF_Timer,TF_Tekniker,Q$4,TF_Dato,$A212))*2,0)/2)))</f>
        <v/>
      </c>
      <c r="R212">
        <f>IF(OR(R$4="",$A212&gt;TODAY()),0,IF(OR(INDEX($B212:$D212,R$5)="F",AND(R$6&gt;0,$A212&lt;R$6),AND(R$7&gt;0,$A212&gt;R$7)),0,MAX(0,ROUND((INDEX($E212:$G212,R$5)-SUMIFS(TF_Timer,TF_Tekniker,R$4,TF_Dato,$A212))*2,0)/2)))</f>
        <v/>
      </c>
      <c r="S212">
        <f>IF(OR(S$4="",$A212&gt;TODAY()),0,IF(OR(INDEX($B212:$D212,S$5)="F",AND(S$6&gt;0,$A212&lt;S$6),AND(S$7&gt;0,$A212&gt;S$7)),0,MAX(0,ROUND((INDEX($E212:$G212,S$5)-SUMIFS(TF_Timer,TF_Tekniker,S$4,TF_Dato,$A212))*2,0)/2)))</f>
        <v/>
      </c>
      <c r="T212">
        <f>IF(OR(T$4="",$A212&gt;TODAY()),0,IF(OR(INDEX($B212:$D212,T$5)="F",AND(T$6&gt;0,$A212&lt;T$6),AND(T$7&gt;0,$A212&gt;T$7)),0,MAX(0,ROUND((INDEX($E212:$G212,T$5)-SUMIFS(TF_Timer,TF_Tekniker,T$4,TF_Dato,$A212))*2,0)/2)))</f>
        <v/>
      </c>
      <c r="U212">
        <f>IF(OR(U$4="",$A212&gt;TODAY()),0,IF(OR(INDEX($B212:$D212,U$5)="F",AND(U$6&gt;0,$A212&lt;U$6),AND(U$7&gt;0,$A212&gt;U$7)),0,MAX(0,ROUND((INDEX($E212:$G212,U$5)-SUMIFS(TF_Timer,TF_Tekniker,U$4,TF_Dato,$A212))*2,0)/2)))</f>
        <v/>
      </c>
      <c r="V212">
        <f>IF(OR(V$4="",$A212&gt;TODAY()),0,IF(OR(INDEX($B212:$D212,V$5)="F",AND(V$6&gt;0,$A212&lt;V$6),AND(V$7&gt;0,$A212&gt;V$7)),0,MAX(0,ROUND((INDEX($E212:$G212,V$5)-SUMIFS(TF_Timer,TF_Tekniker,V$4,TF_Dato,$A212))*2,0)/2)))</f>
        <v/>
      </c>
      <c r="W212">
        <f>IF(OR(W$4="",$A212&gt;TODAY()),0,IF(OR(INDEX($B212:$D212,W$5)="F",AND(W$6&gt;0,$A212&lt;W$6),AND(W$7&gt;0,$A212&gt;W$7)),0,MAX(0,ROUND((INDEX($E212:$G212,W$5)-SUMIFS(TF_Timer,TF_Tekniker,W$4,TF_Dato,$A212))*2,0)/2)))</f>
        <v/>
      </c>
      <c r="X212">
        <f>IF(OR(X$4="",$A212&gt;TODAY()),0,IF(OR(INDEX($B212:$D212,X$5)="F",AND(X$6&gt;0,$A212&lt;X$6),AND(X$7&gt;0,$A212&gt;X$7)),0,MAX(0,ROUND((INDEX($E212:$G212,X$5)-SUMIFS(TF_Timer,TF_Tekniker,X$4,TF_Dato,$A212))*2,0)/2)))</f>
        <v/>
      </c>
      <c r="Y212">
        <f>IF(OR(Y$4="",$A212&gt;TODAY()),0,IF(OR(INDEX($B212:$D212,Y$5)="F",AND(Y$6&gt;0,$A212&lt;Y$6),AND(Y$7&gt;0,$A212&gt;Y$7)),0,MAX(0,ROUND((INDEX($E212:$G212,Y$5)-SUMIFS(TF_Timer,TF_Tekniker,Y$4,TF_Dato,$A212))*2,0)/2)))</f>
        <v/>
      </c>
      <c r="Z212">
        <f>IF(OR(Z$4="",$A212&gt;TODAY()),0,IF(OR(INDEX($B212:$D212,Z$5)="F",AND(Z$6&gt;0,$A212&lt;Z$6),AND(Z$7&gt;0,$A212&gt;Z$7)),0,MAX(0,ROUND((INDEX($E212:$G212,Z$5)-SUMIFS(TF_Timer,TF_Tekniker,Z$4,TF_Dato,$A212))*2,0)/2)))</f>
        <v/>
      </c>
      <c r="AA212">
        <f>IF(OR(AA$4="",$A212&gt;TODAY()),0,IF(OR(INDEX($B212:$D212,AA$5)="F",AND(AA$6&gt;0,$A212&lt;AA$6),AND(AA$7&gt;0,$A212&gt;AA$7)),0,MAX(0,ROUND((INDEX($E212:$G212,AA$5)-SUMIFS(TF_Timer,TF_Tekniker,AA$4,TF_Dato,$A212))*2,0)/2)))</f>
        <v/>
      </c>
      <c r="AB212">
        <f>IF(OR(AB$4="",$A212&gt;TODAY()),0,IF(OR(INDEX($B212:$D212,AB$5)="F",AND(AB$6&gt;0,$A212&lt;AB$6),AND(AB$7&gt;0,$A212&gt;AB$7)),0,MAX(0,ROUND((INDEX($E212:$G212,AB$5)-SUMIFS(TF_Timer,TF_Tekniker,AB$4,TF_Dato,$A212))*2,0)/2)))</f>
        <v/>
      </c>
      <c r="AC212">
        <f>IF(OR(AC$4="",$A212&gt;TODAY()),0,IF(OR(INDEX($B212:$D212,AC$5)="F",AND(AC$6&gt;0,$A212&lt;AC$6),AND(AC$7&gt;0,$A212&gt;AC$7)),0,MAX(0,ROUND((INDEX($E212:$G212,AC$5)-SUMIFS(TF_Timer,TF_Tekniker,AC$4,TF_Dato,$A212))*2,0)/2)))</f>
        <v/>
      </c>
      <c r="AD212">
        <f>IF(OR(AD$4="",$A212&gt;TODAY()),0,IF(OR(INDEX($B212:$D212,AD$5)="F",AND(AD$6&gt;0,$A212&lt;AD$6),AND(AD$7&gt;0,$A212&gt;AD$7)),0,MAX(0,ROUND((INDEX($E212:$G212,AD$5)-SUMIFS(TF_Timer,TF_Tekniker,AD$4,TF_Dato,$A212))*2,0)/2)))</f>
        <v/>
      </c>
      <c r="AE212">
        <f>IF(OR(AE$4="",$A212&gt;TODAY()),0,IF(OR(INDEX($B212:$D212,AE$5)="F",AND(AE$6&gt;0,$A212&lt;AE$6),AND(AE$7&gt;0,$A212&gt;AE$7)),0,MAX(0,ROUND((INDEX($E212:$G212,AE$5)-SUMIFS(TF_Timer,TF_Tekniker,AE$4,TF_Dato,$A212))*2,0)/2)))</f>
        <v/>
      </c>
      <c r="AF212">
        <f>IF(OR(AF$4="",$A212&gt;TODAY()),0,IF(OR(INDEX($B212:$D212,AF$5)="F",AND(AF$6&gt;0,$A212&lt;AF$6),AND(AF$7&gt;0,$A212&gt;AF$7)),0,MAX(0,ROUND((INDEX($E212:$G212,AF$5)-SUMIFS(TF_Timer,TF_Tekniker,AF$4,TF_Dato,$A212))*2,0)/2)))</f>
        <v/>
      </c>
      <c r="AG212">
        <f>IF(OR(AG$4="",$A212&gt;TODAY()),0,IF(OR(INDEX($B212:$D212,AG$5)="F",AND(AG$6&gt;0,$A212&lt;AG$6),AND(AG$7&gt;0,$A212&gt;AG$7)),0,MAX(0,ROUND((INDEX($E212:$G212,AG$5)-SUMIFS(TF_Timer,TF_Tekniker,AG$4,TF_Dato,$A212))*2,0)/2)))</f>
        <v/>
      </c>
      <c r="AH212">
        <f>IF(OR(AH$4="",$A212&gt;TODAY()),0,IF(OR(INDEX($B212:$D212,AH$5)="F",AND(AH$6&gt;0,$A212&lt;AH$6),AND(AH$7&gt;0,$A212&gt;AH$7)),0,MAX(0,ROUND((INDEX($E212:$G212,AH$5)-SUMIFS(TF_Timer,TF_Tekniker,AH$4,TF_Dato,$A212))*2,0)/2)))</f>
        <v/>
      </c>
      <c r="AI212">
        <f>IF(OR(AI$4="",$A212&gt;TODAY()),0,IF(OR(INDEX($B212:$D212,AI$5)="F",AND(AI$6&gt;0,$A212&lt;AI$6),AND(AI$7&gt;0,$A212&gt;AI$7)),0,MAX(0,ROUND((INDEX($E212:$G212,AI$5)-SUMIFS(TF_Timer,TF_Tekniker,AI$4,TF_Dato,$A212))*2,0)/2)))</f>
        <v/>
      </c>
      <c r="AJ212">
        <f>IF(OR(AJ$4="",$A212&gt;TODAY()),0,IF(OR(INDEX($B212:$D212,AJ$5)="F",AND(AJ$6&gt;0,$A212&lt;AJ$6),AND(AJ$7&gt;0,$A212&gt;AJ$7)),0,MAX(0,ROUND((INDEX($E212:$G212,AJ$5)-SUMIFS(TF_Timer,TF_Tekniker,AJ$4,TF_Dato,$A212))*2,0)/2)))</f>
        <v/>
      </c>
      <c r="AK212">
        <f>IF(OR(AK$4="",$A212&gt;TODAY()),0,IF(OR(INDEX($B212:$D212,AK$5)="F",AND(AK$6&gt;0,$A212&lt;AK$6),AND(AK$7&gt;0,$A212&gt;AK$7)),0,MAX(0,ROUND((INDEX($E212:$G212,AK$5)-SUMIFS(TF_Timer,TF_Tekniker,AK$4,TF_Dato,$A212))*2,0)/2)))</f>
        <v/>
      </c>
      <c r="AL212">
        <f>IF(OR(AL$4="",$A212&gt;TODAY()),0,IF(OR(INDEX($B212:$D212,AL$5)="F",AND(AL$6&gt;0,$A212&lt;AL$6),AND(AL$7&gt;0,$A212&gt;AL$7)),0,MAX(0,ROUND((INDEX($E212:$G212,AL$5)-SUMIFS(TF_Timer,TF_Tekniker,AL$4,TF_Dato,$A212))*2,0)/2)))</f>
        <v/>
      </c>
      <c r="AM212">
        <f>IF(OR(AM$4="",$A212&gt;TODAY()),0,IF(OR(INDEX($B212:$D212,AM$5)="F",AND(AM$6&gt;0,$A212&lt;AM$6),AND(AM$7&gt;0,$A212&gt;AM$7)),0,MAX(0,ROUND((INDEX($E212:$G212,AM$5)-SUMIFS(TF_Timer,TF_Tekniker,AM$4,TF_Dato,$A212))*2,0)/2)))</f>
        <v/>
      </c>
      <c r="AN212">
        <f>IF(OR(AN$4="",$A212&gt;TODAY()),0,IF(OR(INDEX($B212:$D212,AN$5)="F",AND(AN$6&gt;0,$A212&lt;AN$6),AND(AN$7&gt;0,$A212&gt;AN$7)),0,MAX(0,ROUND((INDEX($E212:$G212,AN$5)-SUMIFS(TF_Timer,TF_Tekniker,AN$4,TF_Dato,$A212))*2,0)/2)))</f>
        <v/>
      </c>
      <c r="AO212">
        <f>IF(OR(AO$4="",$A212&gt;TODAY()),0,IF(OR(INDEX($B212:$D212,AO$5)="F",AND(AO$6&gt;0,$A212&lt;AO$6),AND(AO$7&gt;0,$A212&gt;AO$7)),0,MAX(0,ROUND((INDEX($E212:$G212,AO$5)-SUMIFS(TF_Timer,TF_Tekniker,AO$4,TF_Dato,$A212))*2,0)/2)))</f>
        <v/>
      </c>
      <c r="AP212">
        <f>IF(OR(AP$4="",$A212&gt;TODAY()),0,IF(OR(INDEX($B212:$D212,AP$5)="F",AND(AP$6&gt;0,$A212&lt;AP$6),AND(AP$7&gt;0,$A212&gt;AP$7)),0,MAX(0,ROUND((INDEX($E212:$G212,AP$5)-SUMIFS(TF_Timer,TF_Tekniker,AP$4,TF_Dato,$A212))*2,0)/2)))</f>
        <v/>
      </c>
      <c r="AQ212">
        <f>IF(OR(AQ$4="",$A212&gt;TODAY()),0,IF(OR(INDEX($B212:$D212,AQ$5)="F",AND(AQ$6&gt;0,$A212&lt;AQ$6),AND(AQ$7&gt;0,$A212&gt;AQ$7)),0,MAX(0,ROUND((INDEX($E212:$G212,AQ$5)-SUMIFS(TF_Timer,TF_Tekniker,AQ$4,TF_Dato,$A212))*2,0)/2)))</f>
        <v/>
      </c>
      <c r="AR212">
        <f>IF(OR(AR$4="",$A212&gt;TODAY()),0,IF(OR(INDEX($B212:$D212,AR$5)="F",AND(AR$6&gt;0,$A212&lt;AR$6),AND(AR$7&gt;0,$A212&gt;AR$7)),0,MAX(0,ROUND((INDEX($E212:$G212,AR$5)-SUMIFS(TF_Timer,TF_Tekniker,AR$4,TF_Dato,$A212))*2,0)/2)))</f>
        <v/>
      </c>
      <c r="AS212">
        <f>IF(OR(AS$4="",$A212&gt;TODAY()),0,IF(OR(INDEX($B212:$D212,AS$5)="F",AND(AS$6&gt;0,$A212&lt;AS$6),AND(AS$7&gt;0,$A212&gt;AS$7)),0,MAX(0,ROUND((INDEX($E212:$G212,AS$5)-SUMIFS(TF_Timer,TF_Tekniker,AS$4,TF_Dato,$A212))*2,0)/2)))</f>
        <v/>
      </c>
      <c r="AT212">
        <f>IF(OR(AT$4="",$A212&gt;TODAY()),0,IF(OR(INDEX($B212:$D212,AT$5)="F",AND(AT$6&gt;0,$A212&lt;AT$6),AND(AT$7&gt;0,$A212&gt;AT$7)),0,MAX(0,ROUND((INDEX($E212:$G212,AT$5)-SUMIFS(TF_Timer,TF_Tekniker,AT$4,TF_Dato,$A212))*2,0)/2)))</f>
        <v/>
      </c>
      <c r="AU212">
        <f>IF(OR(AU$4="",$A212&gt;TODAY()),0,IF(OR(INDEX($B212:$D212,AU$5)="F",AND(AU$6&gt;0,$A212&lt;AU$6),AND(AU$7&gt;0,$A212&gt;AU$7)),0,MAX(0,ROUND((INDEX($E212:$G212,AU$5)-SUMIFS(TF_Timer,TF_Tekniker,AU$4,TF_Dato,$A212))*2,0)/2)))</f>
        <v/>
      </c>
      <c r="AV212">
        <f>IF(OR(AV$4="",$A212&gt;TODAY()),0,IF(OR(INDEX($B212:$D212,AV$5)="F",AND(AV$6&gt;0,$A212&lt;AV$6),AND(AV$7&gt;0,$A212&gt;AV$7)),0,MAX(0,ROUND((INDEX($E212:$G212,AV$5)-SUMIFS(TF_Timer,TF_Tekniker,AV$4,TF_Dato,$A212))*2,0)/2)))</f>
        <v/>
      </c>
      <c r="AW212">
        <f>IF(OR(AW$4="",$A212&gt;TODAY()),0,IF(OR(INDEX($B212:$D212,AW$5)="F",AND(AW$6&gt;0,$A212&lt;AW$6),AND(AW$7&gt;0,$A212&gt;AW$7)),0,MAX(0,ROUND((INDEX($E212:$G212,AW$5)-SUMIFS(TF_Timer,TF_Tekniker,AW$4,TF_Dato,$A212))*2,0)/2)))</f>
        <v/>
      </c>
      <c r="AX212">
        <f>IF(OR(AX$4="",$A212&gt;TODAY()),0,IF(OR(INDEX($B212:$D212,AX$5)="F",AND(AX$6&gt;0,$A212&lt;AX$6),AND(AX$7&gt;0,$A212&gt;AX$7)),0,MAX(0,ROUND((INDEX($E212:$G212,AX$5)-SUMIFS(TF_Timer,TF_Tekniker,AX$4,TF_Dato,$A212))*2,0)/2)))</f>
        <v/>
      </c>
      <c r="AY212">
        <f>IF(OR(AY$4="",$A212&gt;TODAY()),0,IF(OR(INDEX($B212:$D212,AY$5)="F",AND(AY$6&gt;0,$A212&lt;AY$6),AND(AY$7&gt;0,$A212&gt;AY$7)),0,MAX(0,ROUND((INDEX($E212:$G212,AY$5)-SUMIFS(TF_Timer,TF_Tekniker,AY$4,TF_Dato,$A212))*2,0)/2)))</f>
        <v/>
      </c>
      <c r="AZ212">
        <f>IF(OR(AZ$4="",$A212&gt;TODAY()),0,IF(OR(INDEX($B212:$D212,AZ$5)="F",AND(AZ$6&gt;0,$A212&lt;AZ$6),AND(AZ$7&gt;0,$A212&gt;AZ$7)),0,MAX(0,ROUND((INDEX($E212:$G212,AZ$5)-SUMIFS(TF_Timer,TF_Tekniker,AZ$4,TF_Dato,$A212))*2,0)/2)))</f>
        <v/>
      </c>
      <c r="BA212">
        <f>IF(OR(BA$4="",$A212&gt;TODAY()),0,IF(OR(INDEX($B212:$D212,BA$5)="F",AND(BA$6&gt;0,$A212&lt;BA$6),AND(BA$7&gt;0,$A212&gt;BA$7)),0,MAX(0,ROUND((INDEX($E212:$G212,BA$5)-SUMIFS(TF_Timer,TF_Tekniker,BA$4,TF_Dato,$A212))*2,0)/2)))</f>
        <v/>
      </c>
      <c r="BB212">
        <f>IF(OR(BB$4="",$A212&gt;TODAY()),0,IF(OR(INDEX($B212:$D212,BB$5)="F",AND(BB$6&gt;0,$A212&lt;BB$6),AND(BB$7&gt;0,$A212&gt;BB$7)),0,MAX(0,ROUND((INDEX($E212:$G212,BB$5)-SUMIFS(TF_Timer,TF_Tekniker,BB$4,TF_Dato,$A212))*2,0)/2)))</f>
        <v/>
      </c>
      <c r="BC212">
        <f>IF(OR(BC$4="",$A212&gt;TODAY()),0,IF(OR(INDEX($B212:$D212,BC$5)="F",AND(BC$6&gt;0,$A212&lt;BC$6),AND(BC$7&gt;0,$A212&gt;BC$7)),0,MAX(0,ROUND((INDEX($E212:$G212,BC$5)-SUMIFS(TF_Timer,TF_Tekniker,BC$4,TF_Dato,$A212))*2,0)/2)))</f>
        <v/>
      </c>
      <c r="BD212">
        <f>IF(OR(BD$4="",$A212&gt;TODAY()),0,IF(OR(INDEX($B212:$D212,BD$5)="F",AND(BD$6&gt;0,$A212&lt;BD$6),AND(BD$7&gt;0,$A212&gt;BD$7)),0,MAX(0,ROUND((INDEX($E212:$G212,BD$5)-SUMIFS(TF_Timer,TF_Tekniker,BD$4,TF_Dato,$A212))*2,0)/2)))</f>
        <v/>
      </c>
      <c r="BE212">
        <f>IF(OR(BE$4="",$A212&gt;TODAY()),0,IF(OR(INDEX($B212:$D212,BE$5)="F",AND(BE$6&gt;0,$A212&lt;BE$6),AND(BE$7&gt;0,$A212&gt;BE$7)),0,MAX(0,ROUND((INDEX($E212:$G212,BE$5)-SUMIFS(TF_Timer,TF_Tekniker,BE$4,TF_Dato,$A212))*2,0)/2)))</f>
        <v/>
      </c>
      <c r="BF212">
        <f>IF(OR(BF$4="",$A212&gt;TODAY()),0,IF(OR(INDEX($B212:$D212,BF$5)="F",AND(BF$6&gt;0,$A212&lt;BF$6),AND(BF$7&gt;0,$A212&gt;BF$7)),0,MAX(0,ROUND((INDEX($E212:$G212,BF$5)-SUMIFS(TF_Timer,TF_Tekniker,BF$4,TF_Dato,$A212))*2,0)/2)))</f>
        <v/>
      </c>
      <c r="BG212">
        <f>IF(OR(BG$4="",$A212&gt;TODAY()),0,IF(OR(INDEX($B212:$D212,BG$5)="F",AND(BG$6&gt;0,$A212&lt;BG$6),AND(BG$7&gt;0,$A212&gt;BG$7)),0,MAX(0,ROUND((INDEX($E212:$G212,BG$5)-SUMIFS(TF_Timer,TF_Tekniker,BG$4,TF_Dato,$A212))*2,0)/2)))</f>
        <v/>
      </c>
      <c r="BH212">
        <f>IF(OR(BH$4="",$A212&gt;TODAY()),0,IF(OR(INDEX($B212:$D212,BH$5)="F",AND(BH$6&gt;0,$A212&lt;BH$6),AND(BH$7&gt;0,$A212&gt;BH$7)),0,MAX(0,ROUND((INDEX($E212:$G212,BH$5)-SUMIFS(TF_Timer,TF_Tekniker,BH$4,TF_Dato,$A212))*2,0)/2)))</f>
        <v/>
      </c>
      <c r="BI212">
        <f>IF(OR(BI$4="",$A212&gt;TODAY()),0,IF(OR(INDEX($B212:$D212,BI$5)="F",AND(BI$6&gt;0,$A212&lt;BI$6),AND(BI$7&gt;0,$A212&gt;BI$7)),0,MAX(0,ROUND((INDEX($E212:$G212,BI$5)-SUMIFS(TF_Timer,TF_Tekniker,BI$4,TF_Dato,$A212))*2,0)/2)))</f>
        <v/>
      </c>
    </row>
    <row r="213">
      <c r="A213" s="64">
        <f>A212+1</f>
        <v/>
      </c>
      <c r="B213">
        <f>IF(MOD($A213-INDEX(SkiftStart,1),Syklus)&lt;DagK,"K",IF(MOD($A213-INDEX(SkiftStart,1),Syklus)&lt;DagK+DagH,"H",IF(MOD($A213-INDEX(SkiftStart,1),Syklus)&lt;DagK+DagH+DagD,"D","F")))</f>
        <v/>
      </c>
      <c r="C213">
        <f>IF(MOD($A213-INDEX(SkiftStart,2),Syklus)&lt;DagK,"K",IF(MOD($A213-INDEX(SkiftStart,2),Syklus)&lt;DagK+DagH,"H",IF(MOD($A213-INDEX(SkiftStart,2),Syklus)&lt;DagK+DagH+DagD,"D","F")))</f>
        <v/>
      </c>
      <c r="D213">
        <f>IF(MOD($A213-INDEX(SkiftStart,3),Syklus)&lt;DagK,"K",IF(MOD($A213-INDEX(SkiftStart,3),Syklus)&lt;DagK+DagH,"H",IF(MOD($A213-INDEX(SkiftStart,3),Syklus)&lt;DagK+DagH+DagD,"D","F")))</f>
        <v/>
      </c>
      <c r="E213">
        <f>IF(B213="F",0,IF(WEEKDAY($A213,2)=5,INDEX(TimerFr,MATCH(B213,FaseKode,0)),INDEX(TimerMT,MATCH(B213,FaseKode,0))))</f>
        <v/>
      </c>
      <c r="F213">
        <f>IF(C213="F",0,IF(WEEKDAY($A213,2)=5,INDEX(TimerFr,MATCH(C213,FaseKode,0)),INDEX(TimerMT,MATCH(C213,FaseKode,0))))</f>
        <v/>
      </c>
      <c r="G213">
        <f>IF(D213="F",0,IF(WEEKDAY($A213,2)=5,INDEX(TimerFr,MATCH(D213,FaseKode,0)),INDEX(TimerMT,MATCH(D213,FaseKode,0))))</f>
        <v/>
      </c>
      <c r="H213">
        <f>IF(OR(H$4="",$A213&gt;TODAY()),0,IF(OR(INDEX($B213:$D213,H$5)="F",AND(H$6&gt;0,$A213&lt;H$6),AND(H$7&gt;0,$A213&gt;H$7)),0,MAX(0,ROUND((INDEX($E213:$G213,H$5)-SUMIFS(TF_Timer,TF_Tekniker,H$4,TF_Dato,$A213))*2,0)/2)))</f>
        <v/>
      </c>
      <c r="I213">
        <f>IF(OR(I$4="",$A213&gt;TODAY()),0,IF(OR(INDEX($B213:$D213,I$5)="F",AND(I$6&gt;0,$A213&lt;I$6),AND(I$7&gt;0,$A213&gt;I$7)),0,MAX(0,ROUND((INDEX($E213:$G213,I$5)-SUMIFS(TF_Timer,TF_Tekniker,I$4,TF_Dato,$A213))*2,0)/2)))</f>
        <v/>
      </c>
      <c r="J213">
        <f>IF(OR(J$4="",$A213&gt;TODAY()),0,IF(OR(INDEX($B213:$D213,J$5)="F",AND(J$6&gt;0,$A213&lt;J$6),AND(J$7&gt;0,$A213&gt;J$7)),0,MAX(0,ROUND((INDEX($E213:$G213,J$5)-SUMIFS(TF_Timer,TF_Tekniker,J$4,TF_Dato,$A213))*2,0)/2)))</f>
        <v/>
      </c>
      <c r="K213">
        <f>IF(OR(K$4="",$A213&gt;TODAY()),0,IF(OR(INDEX($B213:$D213,K$5)="F",AND(K$6&gt;0,$A213&lt;K$6),AND(K$7&gt;0,$A213&gt;K$7)),0,MAX(0,ROUND((INDEX($E213:$G213,K$5)-SUMIFS(TF_Timer,TF_Tekniker,K$4,TF_Dato,$A213))*2,0)/2)))</f>
        <v/>
      </c>
      <c r="L213">
        <f>IF(OR(L$4="",$A213&gt;TODAY()),0,IF(OR(INDEX($B213:$D213,L$5)="F",AND(L$6&gt;0,$A213&lt;L$6),AND(L$7&gt;0,$A213&gt;L$7)),0,MAX(0,ROUND((INDEX($E213:$G213,L$5)-SUMIFS(TF_Timer,TF_Tekniker,L$4,TF_Dato,$A213))*2,0)/2)))</f>
        <v/>
      </c>
      <c r="M213">
        <f>IF(OR(M$4="",$A213&gt;TODAY()),0,IF(OR(INDEX($B213:$D213,M$5)="F",AND(M$6&gt;0,$A213&lt;M$6),AND(M$7&gt;0,$A213&gt;M$7)),0,MAX(0,ROUND((INDEX($E213:$G213,M$5)-SUMIFS(TF_Timer,TF_Tekniker,M$4,TF_Dato,$A213))*2,0)/2)))</f>
        <v/>
      </c>
      <c r="N213">
        <f>IF(OR(N$4="",$A213&gt;TODAY()),0,IF(OR(INDEX($B213:$D213,N$5)="F",AND(N$6&gt;0,$A213&lt;N$6),AND(N$7&gt;0,$A213&gt;N$7)),0,MAX(0,ROUND((INDEX($E213:$G213,N$5)-SUMIFS(TF_Timer,TF_Tekniker,N$4,TF_Dato,$A213))*2,0)/2)))</f>
        <v/>
      </c>
      <c r="O213">
        <f>IF(OR(O$4="",$A213&gt;TODAY()),0,IF(OR(INDEX($B213:$D213,O$5)="F",AND(O$6&gt;0,$A213&lt;O$6),AND(O$7&gt;0,$A213&gt;O$7)),0,MAX(0,ROUND((INDEX($E213:$G213,O$5)-SUMIFS(TF_Timer,TF_Tekniker,O$4,TF_Dato,$A213))*2,0)/2)))</f>
        <v/>
      </c>
      <c r="P213">
        <f>IF(OR(P$4="",$A213&gt;TODAY()),0,IF(OR(INDEX($B213:$D213,P$5)="F",AND(P$6&gt;0,$A213&lt;P$6),AND(P$7&gt;0,$A213&gt;P$7)),0,MAX(0,ROUND((INDEX($E213:$G213,P$5)-SUMIFS(TF_Timer,TF_Tekniker,P$4,TF_Dato,$A213))*2,0)/2)))</f>
        <v/>
      </c>
      <c r="Q213">
        <f>IF(OR(Q$4="",$A213&gt;TODAY()),0,IF(OR(INDEX($B213:$D213,Q$5)="F",AND(Q$6&gt;0,$A213&lt;Q$6),AND(Q$7&gt;0,$A213&gt;Q$7)),0,MAX(0,ROUND((INDEX($E213:$G213,Q$5)-SUMIFS(TF_Timer,TF_Tekniker,Q$4,TF_Dato,$A213))*2,0)/2)))</f>
        <v/>
      </c>
      <c r="R213">
        <f>IF(OR(R$4="",$A213&gt;TODAY()),0,IF(OR(INDEX($B213:$D213,R$5)="F",AND(R$6&gt;0,$A213&lt;R$6),AND(R$7&gt;0,$A213&gt;R$7)),0,MAX(0,ROUND((INDEX($E213:$G213,R$5)-SUMIFS(TF_Timer,TF_Tekniker,R$4,TF_Dato,$A213))*2,0)/2)))</f>
        <v/>
      </c>
      <c r="S213">
        <f>IF(OR(S$4="",$A213&gt;TODAY()),0,IF(OR(INDEX($B213:$D213,S$5)="F",AND(S$6&gt;0,$A213&lt;S$6),AND(S$7&gt;0,$A213&gt;S$7)),0,MAX(0,ROUND((INDEX($E213:$G213,S$5)-SUMIFS(TF_Timer,TF_Tekniker,S$4,TF_Dato,$A213))*2,0)/2)))</f>
        <v/>
      </c>
      <c r="T213">
        <f>IF(OR(T$4="",$A213&gt;TODAY()),0,IF(OR(INDEX($B213:$D213,T$5)="F",AND(T$6&gt;0,$A213&lt;T$6),AND(T$7&gt;0,$A213&gt;T$7)),0,MAX(0,ROUND((INDEX($E213:$G213,T$5)-SUMIFS(TF_Timer,TF_Tekniker,T$4,TF_Dato,$A213))*2,0)/2)))</f>
        <v/>
      </c>
      <c r="U213">
        <f>IF(OR(U$4="",$A213&gt;TODAY()),0,IF(OR(INDEX($B213:$D213,U$5)="F",AND(U$6&gt;0,$A213&lt;U$6),AND(U$7&gt;0,$A213&gt;U$7)),0,MAX(0,ROUND((INDEX($E213:$G213,U$5)-SUMIFS(TF_Timer,TF_Tekniker,U$4,TF_Dato,$A213))*2,0)/2)))</f>
        <v/>
      </c>
      <c r="V213">
        <f>IF(OR(V$4="",$A213&gt;TODAY()),0,IF(OR(INDEX($B213:$D213,V$5)="F",AND(V$6&gt;0,$A213&lt;V$6),AND(V$7&gt;0,$A213&gt;V$7)),0,MAX(0,ROUND((INDEX($E213:$G213,V$5)-SUMIFS(TF_Timer,TF_Tekniker,V$4,TF_Dato,$A213))*2,0)/2)))</f>
        <v/>
      </c>
      <c r="W213">
        <f>IF(OR(W$4="",$A213&gt;TODAY()),0,IF(OR(INDEX($B213:$D213,W$5)="F",AND(W$6&gt;0,$A213&lt;W$6),AND(W$7&gt;0,$A213&gt;W$7)),0,MAX(0,ROUND((INDEX($E213:$G213,W$5)-SUMIFS(TF_Timer,TF_Tekniker,W$4,TF_Dato,$A213))*2,0)/2)))</f>
        <v/>
      </c>
      <c r="X213">
        <f>IF(OR(X$4="",$A213&gt;TODAY()),0,IF(OR(INDEX($B213:$D213,X$5)="F",AND(X$6&gt;0,$A213&lt;X$6),AND(X$7&gt;0,$A213&gt;X$7)),0,MAX(0,ROUND((INDEX($E213:$G213,X$5)-SUMIFS(TF_Timer,TF_Tekniker,X$4,TF_Dato,$A213))*2,0)/2)))</f>
        <v/>
      </c>
      <c r="Y213">
        <f>IF(OR(Y$4="",$A213&gt;TODAY()),0,IF(OR(INDEX($B213:$D213,Y$5)="F",AND(Y$6&gt;0,$A213&lt;Y$6),AND(Y$7&gt;0,$A213&gt;Y$7)),0,MAX(0,ROUND((INDEX($E213:$G213,Y$5)-SUMIFS(TF_Timer,TF_Tekniker,Y$4,TF_Dato,$A213))*2,0)/2)))</f>
        <v/>
      </c>
      <c r="Z213">
        <f>IF(OR(Z$4="",$A213&gt;TODAY()),0,IF(OR(INDEX($B213:$D213,Z$5)="F",AND(Z$6&gt;0,$A213&lt;Z$6),AND(Z$7&gt;0,$A213&gt;Z$7)),0,MAX(0,ROUND((INDEX($E213:$G213,Z$5)-SUMIFS(TF_Timer,TF_Tekniker,Z$4,TF_Dato,$A213))*2,0)/2)))</f>
        <v/>
      </c>
      <c r="AA213">
        <f>IF(OR(AA$4="",$A213&gt;TODAY()),0,IF(OR(INDEX($B213:$D213,AA$5)="F",AND(AA$6&gt;0,$A213&lt;AA$6),AND(AA$7&gt;0,$A213&gt;AA$7)),0,MAX(0,ROUND((INDEX($E213:$G213,AA$5)-SUMIFS(TF_Timer,TF_Tekniker,AA$4,TF_Dato,$A213))*2,0)/2)))</f>
        <v/>
      </c>
      <c r="AB213">
        <f>IF(OR(AB$4="",$A213&gt;TODAY()),0,IF(OR(INDEX($B213:$D213,AB$5)="F",AND(AB$6&gt;0,$A213&lt;AB$6),AND(AB$7&gt;0,$A213&gt;AB$7)),0,MAX(0,ROUND((INDEX($E213:$G213,AB$5)-SUMIFS(TF_Timer,TF_Tekniker,AB$4,TF_Dato,$A213))*2,0)/2)))</f>
        <v/>
      </c>
      <c r="AC213">
        <f>IF(OR(AC$4="",$A213&gt;TODAY()),0,IF(OR(INDEX($B213:$D213,AC$5)="F",AND(AC$6&gt;0,$A213&lt;AC$6),AND(AC$7&gt;0,$A213&gt;AC$7)),0,MAX(0,ROUND((INDEX($E213:$G213,AC$5)-SUMIFS(TF_Timer,TF_Tekniker,AC$4,TF_Dato,$A213))*2,0)/2)))</f>
        <v/>
      </c>
      <c r="AD213">
        <f>IF(OR(AD$4="",$A213&gt;TODAY()),0,IF(OR(INDEX($B213:$D213,AD$5)="F",AND(AD$6&gt;0,$A213&lt;AD$6),AND(AD$7&gt;0,$A213&gt;AD$7)),0,MAX(0,ROUND((INDEX($E213:$G213,AD$5)-SUMIFS(TF_Timer,TF_Tekniker,AD$4,TF_Dato,$A213))*2,0)/2)))</f>
        <v/>
      </c>
      <c r="AE213">
        <f>IF(OR(AE$4="",$A213&gt;TODAY()),0,IF(OR(INDEX($B213:$D213,AE$5)="F",AND(AE$6&gt;0,$A213&lt;AE$6),AND(AE$7&gt;0,$A213&gt;AE$7)),0,MAX(0,ROUND((INDEX($E213:$G213,AE$5)-SUMIFS(TF_Timer,TF_Tekniker,AE$4,TF_Dato,$A213))*2,0)/2)))</f>
        <v/>
      </c>
      <c r="AF213">
        <f>IF(OR(AF$4="",$A213&gt;TODAY()),0,IF(OR(INDEX($B213:$D213,AF$5)="F",AND(AF$6&gt;0,$A213&lt;AF$6),AND(AF$7&gt;0,$A213&gt;AF$7)),0,MAX(0,ROUND((INDEX($E213:$G213,AF$5)-SUMIFS(TF_Timer,TF_Tekniker,AF$4,TF_Dato,$A213))*2,0)/2)))</f>
        <v/>
      </c>
      <c r="AG213">
        <f>IF(OR(AG$4="",$A213&gt;TODAY()),0,IF(OR(INDEX($B213:$D213,AG$5)="F",AND(AG$6&gt;0,$A213&lt;AG$6),AND(AG$7&gt;0,$A213&gt;AG$7)),0,MAX(0,ROUND((INDEX($E213:$G213,AG$5)-SUMIFS(TF_Timer,TF_Tekniker,AG$4,TF_Dato,$A213))*2,0)/2)))</f>
        <v/>
      </c>
      <c r="AH213">
        <f>IF(OR(AH$4="",$A213&gt;TODAY()),0,IF(OR(INDEX($B213:$D213,AH$5)="F",AND(AH$6&gt;0,$A213&lt;AH$6),AND(AH$7&gt;0,$A213&gt;AH$7)),0,MAX(0,ROUND((INDEX($E213:$G213,AH$5)-SUMIFS(TF_Timer,TF_Tekniker,AH$4,TF_Dato,$A213))*2,0)/2)))</f>
        <v/>
      </c>
      <c r="AI213">
        <f>IF(OR(AI$4="",$A213&gt;TODAY()),0,IF(OR(INDEX($B213:$D213,AI$5)="F",AND(AI$6&gt;0,$A213&lt;AI$6),AND(AI$7&gt;0,$A213&gt;AI$7)),0,MAX(0,ROUND((INDEX($E213:$G213,AI$5)-SUMIFS(TF_Timer,TF_Tekniker,AI$4,TF_Dato,$A213))*2,0)/2)))</f>
        <v/>
      </c>
      <c r="AJ213">
        <f>IF(OR(AJ$4="",$A213&gt;TODAY()),0,IF(OR(INDEX($B213:$D213,AJ$5)="F",AND(AJ$6&gt;0,$A213&lt;AJ$6),AND(AJ$7&gt;0,$A213&gt;AJ$7)),0,MAX(0,ROUND((INDEX($E213:$G213,AJ$5)-SUMIFS(TF_Timer,TF_Tekniker,AJ$4,TF_Dato,$A213))*2,0)/2)))</f>
        <v/>
      </c>
      <c r="AK213">
        <f>IF(OR(AK$4="",$A213&gt;TODAY()),0,IF(OR(INDEX($B213:$D213,AK$5)="F",AND(AK$6&gt;0,$A213&lt;AK$6),AND(AK$7&gt;0,$A213&gt;AK$7)),0,MAX(0,ROUND((INDEX($E213:$G213,AK$5)-SUMIFS(TF_Timer,TF_Tekniker,AK$4,TF_Dato,$A213))*2,0)/2)))</f>
        <v/>
      </c>
      <c r="AL213">
        <f>IF(OR(AL$4="",$A213&gt;TODAY()),0,IF(OR(INDEX($B213:$D213,AL$5)="F",AND(AL$6&gt;0,$A213&lt;AL$6),AND(AL$7&gt;0,$A213&gt;AL$7)),0,MAX(0,ROUND((INDEX($E213:$G213,AL$5)-SUMIFS(TF_Timer,TF_Tekniker,AL$4,TF_Dato,$A213))*2,0)/2)))</f>
        <v/>
      </c>
      <c r="AM213">
        <f>IF(OR(AM$4="",$A213&gt;TODAY()),0,IF(OR(INDEX($B213:$D213,AM$5)="F",AND(AM$6&gt;0,$A213&lt;AM$6),AND(AM$7&gt;0,$A213&gt;AM$7)),0,MAX(0,ROUND((INDEX($E213:$G213,AM$5)-SUMIFS(TF_Timer,TF_Tekniker,AM$4,TF_Dato,$A213))*2,0)/2)))</f>
        <v/>
      </c>
      <c r="AN213">
        <f>IF(OR(AN$4="",$A213&gt;TODAY()),0,IF(OR(INDEX($B213:$D213,AN$5)="F",AND(AN$6&gt;0,$A213&lt;AN$6),AND(AN$7&gt;0,$A213&gt;AN$7)),0,MAX(0,ROUND((INDEX($E213:$G213,AN$5)-SUMIFS(TF_Timer,TF_Tekniker,AN$4,TF_Dato,$A213))*2,0)/2)))</f>
        <v/>
      </c>
      <c r="AO213">
        <f>IF(OR(AO$4="",$A213&gt;TODAY()),0,IF(OR(INDEX($B213:$D213,AO$5)="F",AND(AO$6&gt;0,$A213&lt;AO$6),AND(AO$7&gt;0,$A213&gt;AO$7)),0,MAX(0,ROUND((INDEX($E213:$G213,AO$5)-SUMIFS(TF_Timer,TF_Tekniker,AO$4,TF_Dato,$A213))*2,0)/2)))</f>
        <v/>
      </c>
      <c r="AP213">
        <f>IF(OR(AP$4="",$A213&gt;TODAY()),0,IF(OR(INDEX($B213:$D213,AP$5)="F",AND(AP$6&gt;0,$A213&lt;AP$6),AND(AP$7&gt;0,$A213&gt;AP$7)),0,MAX(0,ROUND((INDEX($E213:$G213,AP$5)-SUMIFS(TF_Timer,TF_Tekniker,AP$4,TF_Dato,$A213))*2,0)/2)))</f>
        <v/>
      </c>
      <c r="AQ213">
        <f>IF(OR(AQ$4="",$A213&gt;TODAY()),0,IF(OR(INDEX($B213:$D213,AQ$5)="F",AND(AQ$6&gt;0,$A213&lt;AQ$6),AND(AQ$7&gt;0,$A213&gt;AQ$7)),0,MAX(0,ROUND((INDEX($E213:$G213,AQ$5)-SUMIFS(TF_Timer,TF_Tekniker,AQ$4,TF_Dato,$A213))*2,0)/2)))</f>
        <v/>
      </c>
      <c r="AR213">
        <f>IF(OR(AR$4="",$A213&gt;TODAY()),0,IF(OR(INDEX($B213:$D213,AR$5)="F",AND(AR$6&gt;0,$A213&lt;AR$6),AND(AR$7&gt;0,$A213&gt;AR$7)),0,MAX(0,ROUND((INDEX($E213:$G213,AR$5)-SUMIFS(TF_Timer,TF_Tekniker,AR$4,TF_Dato,$A213))*2,0)/2)))</f>
        <v/>
      </c>
      <c r="AS213">
        <f>IF(OR(AS$4="",$A213&gt;TODAY()),0,IF(OR(INDEX($B213:$D213,AS$5)="F",AND(AS$6&gt;0,$A213&lt;AS$6),AND(AS$7&gt;0,$A213&gt;AS$7)),0,MAX(0,ROUND((INDEX($E213:$G213,AS$5)-SUMIFS(TF_Timer,TF_Tekniker,AS$4,TF_Dato,$A213))*2,0)/2)))</f>
        <v/>
      </c>
      <c r="AT213">
        <f>IF(OR(AT$4="",$A213&gt;TODAY()),0,IF(OR(INDEX($B213:$D213,AT$5)="F",AND(AT$6&gt;0,$A213&lt;AT$6),AND(AT$7&gt;0,$A213&gt;AT$7)),0,MAX(0,ROUND((INDEX($E213:$G213,AT$5)-SUMIFS(TF_Timer,TF_Tekniker,AT$4,TF_Dato,$A213))*2,0)/2)))</f>
        <v/>
      </c>
      <c r="AU213">
        <f>IF(OR(AU$4="",$A213&gt;TODAY()),0,IF(OR(INDEX($B213:$D213,AU$5)="F",AND(AU$6&gt;0,$A213&lt;AU$6),AND(AU$7&gt;0,$A213&gt;AU$7)),0,MAX(0,ROUND((INDEX($E213:$G213,AU$5)-SUMIFS(TF_Timer,TF_Tekniker,AU$4,TF_Dato,$A213))*2,0)/2)))</f>
        <v/>
      </c>
      <c r="AV213">
        <f>IF(OR(AV$4="",$A213&gt;TODAY()),0,IF(OR(INDEX($B213:$D213,AV$5)="F",AND(AV$6&gt;0,$A213&lt;AV$6),AND(AV$7&gt;0,$A213&gt;AV$7)),0,MAX(0,ROUND((INDEX($E213:$G213,AV$5)-SUMIFS(TF_Timer,TF_Tekniker,AV$4,TF_Dato,$A213))*2,0)/2)))</f>
        <v/>
      </c>
      <c r="AW213">
        <f>IF(OR(AW$4="",$A213&gt;TODAY()),0,IF(OR(INDEX($B213:$D213,AW$5)="F",AND(AW$6&gt;0,$A213&lt;AW$6),AND(AW$7&gt;0,$A213&gt;AW$7)),0,MAX(0,ROUND((INDEX($E213:$G213,AW$5)-SUMIFS(TF_Timer,TF_Tekniker,AW$4,TF_Dato,$A213))*2,0)/2)))</f>
        <v/>
      </c>
      <c r="AX213">
        <f>IF(OR(AX$4="",$A213&gt;TODAY()),0,IF(OR(INDEX($B213:$D213,AX$5)="F",AND(AX$6&gt;0,$A213&lt;AX$6),AND(AX$7&gt;0,$A213&gt;AX$7)),0,MAX(0,ROUND((INDEX($E213:$G213,AX$5)-SUMIFS(TF_Timer,TF_Tekniker,AX$4,TF_Dato,$A213))*2,0)/2)))</f>
        <v/>
      </c>
      <c r="AY213">
        <f>IF(OR(AY$4="",$A213&gt;TODAY()),0,IF(OR(INDEX($B213:$D213,AY$5)="F",AND(AY$6&gt;0,$A213&lt;AY$6),AND(AY$7&gt;0,$A213&gt;AY$7)),0,MAX(0,ROUND((INDEX($E213:$G213,AY$5)-SUMIFS(TF_Timer,TF_Tekniker,AY$4,TF_Dato,$A213))*2,0)/2)))</f>
        <v/>
      </c>
      <c r="AZ213">
        <f>IF(OR(AZ$4="",$A213&gt;TODAY()),0,IF(OR(INDEX($B213:$D213,AZ$5)="F",AND(AZ$6&gt;0,$A213&lt;AZ$6),AND(AZ$7&gt;0,$A213&gt;AZ$7)),0,MAX(0,ROUND((INDEX($E213:$G213,AZ$5)-SUMIFS(TF_Timer,TF_Tekniker,AZ$4,TF_Dato,$A213))*2,0)/2)))</f>
        <v/>
      </c>
      <c r="BA213">
        <f>IF(OR(BA$4="",$A213&gt;TODAY()),0,IF(OR(INDEX($B213:$D213,BA$5)="F",AND(BA$6&gt;0,$A213&lt;BA$6),AND(BA$7&gt;0,$A213&gt;BA$7)),0,MAX(0,ROUND((INDEX($E213:$G213,BA$5)-SUMIFS(TF_Timer,TF_Tekniker,BA$4,TF_Dato,$A213))*2,0)/2)))</f>
        <v/>
      </c>
      <c r="BB213">
        <f>IF(OR(BB$4="",$A213&gt;TODAY()),0,IF(OR(INDEX($B213:$D213,BB$5)="F",AND(BB$6&gt;0,$A213&lt;BB$6),AND(BB$7&gt;0,$A213&gt;BB$7)),0,MAX(0,ROUND((INDEX($E213:$G213,BB$5)-SUMIFS(TF_Timer,TF_Tekniker,BB$4,TF_Dato,$A213))*2,0)/2)))</f>
        <v/>
      </c>
      <c r="BC213">
        <f>IF(OR(BC$4="",$A213&gt;TODAY()),0,IF(OR(INDEX($B213:$D213,BC$5)="F",AND(BC$6&gt;0,$A213&lt;BC$6),AND(BC$7&gt;0,$A213&gt;BC$7)),0,MAX(0,ROUND((INDEX($E213:$G213,BC$5)-SUMIFS(TF_Timer,TF_Tekniker,BC$4,TF_Dato,$A213))*2,0)/2)))</f>
        <v/>
      </c>
      <c r="BD213">
        <f>IF(OR(BD$4="",$A213&gt;TODAY()),0,IF(OR(INDEX($B213:$D213,BD$5)="F",AND(BD$6&gt;0,$A213&lt;BD$6),AND(BD$7&gt;0,$A213&gt;BD$7)),0,MAX(0,ROUND((INDEX($E213:$G213,BD$5)-SUMIFS(TF_Timer,TF_Tekniker,BD$4,TF_Dato,$A213))*2,0)/2)))</f>
        <v/>
      </c>
      <c r="BE213">
        <f>IF(OR(BE$4="",$A213&gt;TODAY()),0,IF(OR(INDEX($B213:$D213,BE$5)="F",AND(BE$6&gt;0,$A213&lt;BE$6),AND(BE$7&gt;0,$A213&gt;BE$7)),0,MAX(0,ROUND((INDEX($E213:$G213,BE$5)-SUMIFS(TF_Timer,TF_Tekniker,BE$4,TF_Dato,$A213))*2,0)/2)))</f>
        <v/>
      </c>
      <c r="BF213">
        <f>IF(OR(BF$4="",$A213&gt;TODAY()),0,IF(OR(INDEX($B213:$D213,BF$5)="F",AND(BF$6&gt;0,$A213&lt;BF$6),AND(BF$7&gt;0,$A213&gt;BF$7)),0,MAX(0,ROUND((INDEX($E213:$G213,BF$5)-SUMIFS(TF_Timer,TF_Tekniker,BF$4,TF_Dato,$A213))*2,0)/2)))</f>
        <v/>
      </c>
      <c r="BG213">
        <f>IF(OR(BG$4="",$A213&gt;TODAY()),0,IF(OR(INDEX($B213:$D213,BG$5)="F",AND(BG$6&gt;0,$A213&lt;BG$6),AND(BG$7&gt;0,$A213&gt;BG$7)),0,MAX(0,ROUND((INDEX($E213:$G213,BG$5)-SUMIFS(TF_Timer,TF_Tekniker,BG$4,TF_Dato,$A213))*2,0)/2)))</f>
        <v/>
      </c>
      <c r="BH213">
        <f>IF(OR(BH$4="",$A213&gt;TODAY()),0,IF(OR(INDEX($B213:$D213,BH$5)="F",AND(BH$6&gt;0,$A213&lt;BH$6),AND(BH$7&gt;0,$A213&gt;BH$7)),0,MAX(0,ROUND((INDEX($E213:$G213,BH$5)-SUMIFS(TF_Timer,TF_Tekniker,BH$4,TF_Dato,$A213))*2,0)/2)))</f>
        <v/>
      </c>
      <c r="BI213">
        <f>IF(OR(BI$4="",$A213&gt;TODAY()),0,IF(OR(INDEX($B213:$D213,BI$5)="F",AND(BI$6&gt;0,$A213&lt;BI$6),AND(BI$7&gt;0,$A213&gt;BI$7)),0,MAX(0,ROUND((INDEX($E213:$G213,BI$5)-SUMIFS(TF_Timer,TF_Tekniker,BI$4,TF_Dato,$A213))*2,0)/2)))</f>
        <v/>
      </c>
    </row>
    <row r="214">
      <c r="A214" s="64">
        <f>A213+1</f>
        <v/>
      </c>
      <c r="B214">
        <f>IF(MOD($A214-INDEX(SkiftStart,1),Syklus)&lt;DagK,"K",IF(MOD($A214-INDEX(SkiftStart,1),Syklus)&lt;DagK+DagH,"H",IF(MOD($A214-INDEX(SkiftStart,1),Syklus)&lt;DagK+DagH+DagD,"D","F")))</f>
        <v/>
      </c>
      <c r="C214">
        <f>IF(MOD($A214-INDEX(SkiftStart,2),Syklus)&lt;DagK,"K",IF(MOD($A214-INDEX(SkiftStart,2),Syklus)&lt;DagK+DagH,"H",IF(MOD($A214-INDEX(SkiftStart,2),Syklus)&lt;DagK+DagH+DagD,"D","F")))</f>
        <v/>
      </c>
      <c r="D214">
        <f>IF(MOD($A214-INDEX(SkiftStart,3),Syklus)&lt;DagK,"K",IF(MOD($A214-INDEX(SkiftStart,3),Syklus)&lt;DagK+DagH,"H",IF(MOD($A214-INDEX(SkiftStart,3),Syklus)&lt;DagK+DagH+DagD,"D","F")))</f>
        <v/>
      </c>
      <c r="E214">
        <f>IF(B214="F",0,IF(WEEKDAY($A214,2)=5,INDEX(TimerFr,MATCH(B214,FaseKode,0)),INDEX(TimerMT,MATCH(B214,FaseKode,0))))</f>
        <v/>
      </c>
      <c r="F214">
        <f>IF(C214="F",0,IF(WEEKDAY($A214,2)=5,INDEX(TimerFr,MATCH(C214,FaseKode,0)),INDEX(TimerMT,MATCH(C214,FaseKode,0))))</f>
        <v/>
      </c>
      <c r="G214">
        <f>IF(D214="F",0,IF(WEEKDAY($A214,2)=5,INDEX(TimerFr,MATCH(D214,FaseKode,0)),INDEX(TimerMT,MATCH(D214,FaseKode,0))))</f>
        <v/>
      </c>
      <c r="H214">
        <f>IF(OR(H$4="",$A214&gt;TODAY()),0,IF(OR(INDEX($B214:$D214,H$5)="F",AND(H$6&gt;0,$A214&lt;H$6),AND(H$7&gt;0,$A214&gt;H$7)),0,MAX(0,ROUND((INDEX($E214:$G214,H$5)-SUMIFS(TF_Timer,TF_Tekniker,H$4,TF_Dato,$A214))*2,0)/2)))</f>
        <v/>
      </c>
      <c r="I214">
        <f>IF(OR(I$4="",$A214&gt;TODAY()),0,IF(OR(INDEX($B214:$D214,I$5)="F",AND(I$6&gt;0,$A214&lt;I$6),AND(I$7&gt;0,$A214&gt;I$7)),0,MAX(0,ROUND((INDEX($E214:$G214,I$5)-SUMIFS(TF_Timer,TF_Tekniker,I$4,TF_Dato,$A214))*2,0)/2)))</f>
        <v/>
      </c>
      <c r="J214">
        <f>IF(OR(J$4="",$A214&gt;TODAY()),0,IF(OR(INDEX($B214:$D214,J$5)="F",AND(J$6&gt;0,$A214&lt;J$6),AND(J$7&gt;0,$A214&gt;J$7)),0,MAX(0,ROUND((INDEX($E214:$G214,J$5)-SUMIFS(TF_Timer,TF_Tekniker,J$4,TF_Dato,$A214))*2,0)/2)))</f>
        <v/>
      </c>
      <c r="K214">
        <f>IF(OR(K$4="",$A214&gt;TODAY()),0,IF(OR(INDEX($B214:$D214,K$5)="F",AND(K$6&gt;0,$A214&lt;K$6),AND(K$7&gt;0,$A214&gt;K$7)),0,MAX(0,ROUND((INDEX($E214:$G214,K$5)-SUMIFS(TF_Timer,TF_Tekniker,K$4,TF_Dato,$A214))*2,0)/2)))</f>
        <v/>
      </c>
      <c r="L214">
        <f>IF(OR(L$4="",$A214&gt;TODAY()),0,IF(OR(INDEX($B214:$D214,L$5)="F",AND(L$6&gt;0,$A214&lt;L$6),AND(L$7&gt;0,$A214&gt;L$7)),0,MAX(0,ROUND((INDEX($E214:$G214,L$5)-SUMIFS(TF_Timer,TF_Tekniker,L$4,TF_Dato,$A214))*2,0)/2)))</f>
        <v/>
      </c>
      <c r="M214">
        <f>IF(OR(M$4="",$A214&gt;TODAY()),0,IF(OR(INDEX($B214:$D214,M$5)="F",AND(M$6&gt;0,$A214&lt;M$6),AND(M$7&gt;0,$A214&gt;M$7)),0,MAX(0,ROUND((INDEX($E214:$G214,M$5)-SUMIFS(TF_Timer,TF_Tekniker,M$4,TF_Dato,$A214))*2,0)/2)))</f>
        <v/>
      </c>
      <c r="N214">
        <f>IF(OR(N$4="",$A214&gt;TODAY()),0,IF(OR(INDEX($B214:$D214,N$5)="F",AND(N$6&gt;0,$A214&lt;N$6),AND(N$7&gt;0,$A214&gt;N$7)),0,MAX(0,ROUND((INDEX($E214:$G214,N$5)-SUMIFS(TF_Timer,TF_Tekniker,N$4,TF_Dato,$A214))*2,0)/2)))</f>
        <v/>
      </c>
      <c r="O214">
        <f>IF(OR(O$4="",$A214&gt;TODAY()),0,IF(OR(INDEX($B214:$D214,O$5)="F",AND(O$6&gt;0,$A214&lt;O$6),AND(O$7&gt;0,$A214&gt;O$7)),0,MAX(0,ROUND((INDEX($E214:$G214,O$5)-SUMIFS(TF_Timer,TF_Tekniker,O$4,TF_Dato,$A214))*2,0)/2)))</f>
        <v/>
      </c>
      <c r="P214">
        <f>IF(OR(P$4="",$A214&gt;TODAY()),0,IF(OR(INDEX($B214:$D214,P$5)="F",AND(P$6&gt;0,$A214&lt;P$6),AND(P$7&gt;0,$A214&gt;P$7)),0,MAX(0,ROUND((INDEX($E214:$G214,P$5)-SUMIFS(TF_Timer,TF_Tekniker,P$4,TF_Dato,$A214))*2,0)/2)))</f>
        <v/>
      </c>
      <c r="Q214">
        <f>IF(OR(Q$4="",$A214&gt;TODAY()),0,IF(OR(INDEX($B214:$D214,Q$5)="F",AND(Q$6&gt;0,$A214&lt;Q$6),AND(Q$7&gt;0,$A214&gt;Q$7)),0,MAX(0,ROUND((INDEX($E214:$G214,Q$5)-SUMIFS(TF_Timer,TF_Tekniker,Q$4,TF_Dato,$A214))*2,0)/2)))</f>
        <v/>
      </c>
      <c r="R214">
        <f>IF(OR(R$4="",$A214&gt;TODAY()),0,IF(OR(INDEX($B214:$D214,R$5)="F",AND(R$6&gt;0,$A214&lt;R$6),AND(R$7&gt;0,$A214&gt;R$7)),0,MAX(0,ROUND((INDEX($E214:$G214,R$5)-SUMIFS(TF_Timer,TF_Tekniker,R$4,TF_Dato,$A214))*2,0)/2)))</f>
        <v/>
      </c>
      <c r="S214">
        <f>IF(OR(S$4="",$A214&gt;TODAY()),0,IF(OR(INDEX($B214:$D214,S$5)="F",AND(S$6&gt;0,$A214&lt;S$6),AND(S$7&gt;0,$A214&gt;S$7)),0,MAX(0,ROUND((INDEX($E214:$G214,S$5)-SUMIFS(TF_Timer,TF_Tekniker,S$4,TF_Dato,$A214))*2,0)/2)))</f>
        <v/>
      </c>
      <c r="T214">
        <f>IF(OR(T$4="",$A214&gt;TODAY()),0,IF(OR(INDEX($B214:$D214,T$5)="F",AND(T$6&gt;0,$A214&lt;T$6),AND(T$7&gt;0,$A214&gt;T$7)),0,MAX(0,ROUND((INDEX($E214:$G214,T$5)-SUMIFS(TF_Timer,TF_Tekniker,T$4,TF_Dato,$A214))*2,0)/2)))</f>
        <v/>
      </c>
      <c r="U214">
        <f>IF(OR(U$4="",$A214&gt;TODAY()),0,IF(OR(INDEX($B214:$D214,U$5)="F",AND(U$6&gt;0,$A214&lt;U$6),AND(U$7&gt;0,$A214&gt;U$7)),0,MAX(0,ROUND((INDEX($E214:$G214,U$5)-SUMIFS(TF_Timer,TF_Tekniker,U$4,TF_Dato,$A214))*2,0)/2)))</f>
        <v/>
      </c>
      <c r="V214">
        <f>IF(OR(V$4="",$A214&gt;TODAY()),0,IF(OR(INDEX($B214:$D214,V$5)="F",AND(V$6&gt;0,$A214&lt;V$6),AND(V$7&gt;0,$A214&gt;V$7)),0,MAX(0,ROUND((INDEX($E214:$G214,V$5)-SUMIFS(TF_Timer,TF_Tekniker,V$4,TF_Dato,$A214))*2,0)/2)))</f>
        <v/>
      </c>
      <c r="W214">
        <f>IF(OR(W$4="",$A214&gt;TODAY()),0,IF(OR(INDEX($B214:$D214,W$5)="F",AND(W$6&gt;0,$A214&lt;W$6),AND(W$7&gt;0,$A214&gt;W$7)),0,MAX(0,ROUND((INDEX($E214:$G214,W$5)-SUMIFS(TF_Timer,TF_Tekniker,W$4,TF_Dato,$A214))*2,0)/2)))</f>
        <v/>
      </c>
      <c r="X214">
        <f>IF(OR(X$4="",$A214&gt;TODAY()),0,IF(OR(INDEX($B214:$D214,X$5)="F",AND(X$6&gt;0,$A214&lt;X$6),AND(X$7&gt;0,$A214&gt;X$7)),0,MAX(0,ROUND((INDEX($E214:$G214,X$5)-SUMIFS(TF_Timer,TF_Tekniker,X$4,TF_Dato,$A214))*2,0)/2)))</f>
        <v/>
      </c>
      <c r="Y214">
        <f>IF(OR(Y$4="",$A214&gt;TODAY()),0,IF(OR(INDEX($B214:$D214,Y$5)="F",AND(Y$6&gt;0,$A214&lt;Y$6),AND(Y$7&gt;0,$A214&gt;Y$7)),0,MAX(0,ROUND((INDEX($E214:$G214,Y$5)-SUMIFS(TF_Timer,TF_Tekniker,Y$4,TF_Dato,$A214))*2,0)/2)))</f>
        <v/>
      </c>
      <c r="Z214">
        <f>IF(OR(Z$4="",$A214&gt;TODAY()),0,IF(OR(INDEX($B214:$D214,Z$5)="F",AND(Z$6&gt;0,$A214&lt;Z$6),AND(Z$7&gt;0,$A214&gt;Z$7)),0,MAX(0,ROUND((INDEX($E214:$G214,Z$5)-SUMIFS(TF_Timer,TF_Tekniker,Z$4,TF_Dato,$A214))*2,0)/2)))</f>
        <v/>
      </c>
      <c r="AA214">
        <f>IF(OR(AA$4="",$A214&gt;TODAY()),0,IF(OR(INDEX($B214:$D214,AA$5)="F",AND(AA$6&gt;0,$A214&lt;AA$6),AND(AA$7&gt;0,$A214&gt;AA$7)),0,MAX(0,ROUND((INDEX($E214:$G214,AA$5)-SUMIFS(TF_Timer,TF_Tekniker,AA$4,TF_Dato,$A214))*2,0)/2)))</f>
        <v/>
      </c>
      <c r="AB214">
        <f>IF(OR(AB$4="",$A214&gt;TODAY()),0,IF(OR(INDEX($B214:$D214,AB$5)="F",AND(AB$6&gt;0,$A214&lt;AB$6),AND(AB$7&gt;0,$A214&gt;AB$7)),0,MAX(0,ROUND((INDEX($E214:$G214,AB$5)-SUMIFS(TF_Timer,TF_Tekniker,AB$4,TF_Dato,$A214))*2,0)/2)))</f>
        <v/>
      </c>
      <c r="AC214">
        <f>IF(OR(AC$4="",$A214&gt;TODAY()),0,IF(OR(INDEX($B214:$D214,AC$5)="F",AND(AC$6&gt;0,$A214&lt;AC$6),AND(AC$7&gt;0,$A214&gt;AC$7)),0,MAX(0,ROUND((INDEX($E214:$G214,AC$5)-SUMIFS(TF_Timer,TF_Tekniker,AC$4,TF_Dato,$A214))*2,0)/2)))</f>
        <v/>
      </c>
      <c r="AD214">
        <f>IF(OR(AD$4="",$A214&gt;TODAY()),0,IF(OR(INDEX($B214:$D214,AD$5)="F",AND(AD$6&gt;0,$A214&lt;AD$6),AND(AD$7&gt;0,$A214&gt;AD$7)),0,MAX(0,ROUND((INDEX($E214:$G214,AD$5)-SUMIFS(TF_Timer,TF_Tekniker,AD$4,TF_Dato,$A214))*2,0)/2)))</f>
        <v/>
      </c>
      <c r="AE214">
        <f>IF(OR(AE$4="",$A214&gt;TODAY()),0,IF(OR(INDEX($B214:$D214,AE$5)="F",AND(AE$6&gt;0,$A214&lt;AE$6),AND(AE$7&gt;0,$A214&gt;AE$7)),0,MAX(0,ROUND((INDEX($E214:$G214,AE$5)-SUMIFS(TF_Timer,TF_Tekniker,AE$4,TF_Dato,$A214))*2,0)/2)))</f>
        <v/>
      </c>
      <c r="AF214">
        <f>IF(OR(AF$4="",$A214&gt;TODAY()),0,IF(OR(INDEX($B214:$D214,AF$5)="F",AND(AF$6&gt;0,$A214&lt;AF$6),AND(AF$7&gt;0,$A214&gt;AF$7)),0,MAX(0,ROUND((INDEX($E214:$G214,AF$5)-SUMIFS(TF_Timer,TF_Tekniker,AF$4,TF_Dato,$A214))*2,0)/2)))</f>
        <v/>
      </c>
      <c r="AG214">
        <f>IF(OR(AG$4="",$A214&gt;TODAY()),0,IF(OR(INDEX($B214:$D214,AG$5)="F",AND(AG$6&gt;0,$A214&lt;AG$6),AND(AG$7&gt;0,$A214&gt;AG$7)),0,MAX(0,ROUND((INDEX($E214:$G214,AG$5)-SUMIFS(TF_Timer,TF_Tekniker,AG$4,TF_Dato,$A214))*2,0)/2)))</f>
        <v/>
      </c>
      <c r="AH214">
        <f>IF(OR(AH$4="",$A214&gt;TODAY()),0,IF(OR(INDEX($B214:$D214,AH$5)="F",AND(AH$6&gt;0,$A214&lt;AH$6),AND(AH$7&gt;0,$A214&gt;AH$7)),0,MAX(0,ROUND((INDEX($E214:$G214,AH$5)-SUMIFS(TF_Timer,TF_Tekniker,AH$4,TF_Dato,$A214))*2,0)/2)))</f>
        <v/>
      </c>
      <c r="AI214">
        <f>IF(OR(AI$4="",$A214&gt;TODAY()),0,IF(OR(INDEX($B214:$D214,AI$5)="F",AND(AI$6&gt;0,$A214&lt;AI$6),AND(AI$7&gt;0,$A214&gt;AI$7)),0,MAX(0,ROUND((INDEX($E214:$G214,AI$5)-SUMIFS(TF_Timer,TF_Tekniker,AI$4,TF_Dato,$A214))*2,0)/2)))</f>
        <v/>
      </c>
      <c r="AJ214">
        <f>IF(OR(AJ$4="",$A214&gt;TODAY()),0,IF(OR(INDEX($B214:$D214,AJ$5)="F",AND(AJ$6&gt;0,$A214&lt;AJ$6),AND(AJ$7&gt;0,$A214&gt;AJ$7)),0,MAX(0,ROUND((INDEX($E214:$G214,AJ$5)-SUMIFS(TF_Timer,TF_Tekniker,AJ$4,TF_Dato,$A214))*2,0)/2)))</f>
        <v/>
      </c>
      <c r="AK214">
        <f>IF(OR(AK$4="",$A214&gt;TODAY()),0,IF(OR(INDEX($B214:$D214,AK$5)="F",AND(AK$6&gt;0,$A214&lt;AK$6),AND(AK$7&gt;0,$A214&gt;AK$7)),0,MAX(0,ROUND((INDEX($E214:$G214,AK$5)-SUMIFS(TF_Timer,TF_Tekniker,AK$4,TF_Dato,$A214))*2,0)/2)))</f>
        <v/>
      </c>
      <c r="AL214">
        <f>IF(OR(AL$4="",$A214&gt;TODAY()),0,IF(OR(INDEX($B214:$D214,AL$5)="F",AND(AL$6&gt;0,$A214&lt;AL$6),AND(AL$7&gt;0,$A214&gt;AL$7)),0,MAX(0,ROUND((INDEX($E214:$G214,AL$5)-SUMIFS(TF_Timer,TF_Tekniker,AL$4,TF_Dato,$A214))*2,0)/2)))</f>
        <v/>
      </c>
      <c r="AM214">
        <f>IF(OR(AM$4="",$A214&gt;TODAY()),0,IF(OR(INDEX($B214:$D214,AM$5)="F",AND(AM$6&gt;0,$A214&lt;AM$6),AND(AM$7&gt;0,$A214&gt;AM$7)),0,MAX(0,ROUND((INDEX($E214:$G214,AM$5)-SUMIFS(TF_Timer,TF_Tekniker,AM$4,TF_Dato,$A214))*2,0)/2)))</f>
        <v/>
      </c>
      <c r="AN214">
        <f>IF(OR(AN$4="",$A214&gt;TODAY()),0,IF(OR(INDEX($B214:$D214,AN$5)="F",AND(AN$6&gt;0,$A214&lt;AN$6),AND(AN$7&gt;0,$A214&gt;AN$7)),0,MAX(0,ROUND((INDEX($E214:$G214,AN$5)-SUMIFS(TF_Timer,TF_Tekniker,AN$4,TF_Dato,$A214))*2,0)/2)))</f>
        <v/>
      </c>
      <c r="AO214">
        <f>IF(OR(AO$4="",$A214&gt;TODAY()),0,IF(OR(INDEX($B214:$D214,AO$5)="F",AND(AO$6&gt;0,$A214&lt;AO$6),AND(AO$7&gt;0,$A214&gt;AO$7)),0,MAX(0,ROUND((INDEX($E214:$G214,AO$5)-SUMIFS(TF_Timer,TF_Tekniker,AO$4,TF_Dato,$A214))*2,0)/2)))</f>
        <v/>
      </c>
      <c r="AP214">
        <f>IF(OR(AP$4="",$A214&gt;TODAY()),0,IF(OR(INDEX($B214:$D214,AP$5)="F",AND(AP$6&gt;0,$A214&lt;AP$6),AND(AP$7&gt;0,$A214&gt;AP$7)),0,MAX(0,ROUND((INDEX($E214:$G214,AP$5)-SUMIFS(TF_Timer,TF_Tekniker,AP$4,TF_Dato,$A214))*2,0)/2)))</f>
        <v/>
      </c>
      <c r="AQ214">
        <f>IF(OR(AQ$4="",$A214&gt;TODAY()),0,IF(OR(INDEX($B214:$D214,AQ$5)="F",AND(AQ$6&gt;0,$A214&lt;AQ$6),AND(AQ$7&gt;0,$A214&gt;AQ$7)),0,MAX(0,ROUND((INDEX($E214:$G214,AQ$5)-SUMIFS(TF_Timer,TF_Tekniker,AQ$4,TF_Dato,$A214))*2,0)/2)))</f>
        <v/>
      </c>
      <c r="AR214">
        <f>IF(OR(AR$4="",$A214&gt;TODAY()),0,IF(OR(INDEX($B214:$D214,AR$5)="F",AND(AR$6&gt;0,$A214&lt;AR$6),AND(AR$7&gt;0,$A214&gt;AR$7)),0,MAX(0,ROUND((INDEX($E214:$G214,AR$5)-SUMIFS(TF_Timer,TF_Tekniker,AR$4,TF_Dato,$A214))*2,0)/2)))</f>
        <v/>
      </c>
      <c r="AS214">
        <f>IF(OR(AS$4="",$A214&gt;TODAY()),0,IF(OR(INDEX($B214:$D214,AS$5)="F",AND(AS$6&gt;0,$A214&lt;AS$6),AND(AS$7&gt;0,$A214&gt;AS$7)),0,MAX(0,ROUND((INDEX($E214:$G214,AS$5)-SUMIFS(TF_Timer,TF_Tekniker,AS$4,TF_Dato,$A214))*2,0)/2)))</f>
        <v/>
      </c>
      <c r="AT214">
        <f>IF(OR(AT$4="",$A214&gt;TODAY()),0,IF(OR(INDEX($B214:$D214,AT$5)="F",AND(AT$6&gt;0,$A214&lt;AT$6),AND(AT$7&gt;0,$A214&gt;AT$7)),0,MAX(0,ROUND((INDEX($E214:$G214,AT$5)-SUMIFS(TF_Timer,TF_Tekniker,AT$4,TF_Dato,$A214))*2,0)/2)))</f>
        <v/>
      </c>
      <c r="AU214">
        <f>IF(OR(AU$4="",$A214&gt;TODAY()),0,IF(OR(INDEX($B214:$D214,AU$5)="F",AND(AU$6&gt;0,$A214&lt;AU$6),AND(AU$7&gt;0,$A214&gt;AU$7)),0,MAX(0,ROUND((INDEX($E214:$G214,AU$5)-SUMIFS(TF_Timer,TF_Tekniker,AU$4,TF_Dato,$A214))*2,0)/2)))</f>
        <v/>
      </c>
      <c r="AV214">
        <f>IF(OR(AV$4="",$A214&gt;TODAY()),0,IF(OR(INDEX($B214:$D214,AV$5)="F",AND(AV$6&gt;0,$A214&lt;AV$6),AND(AV$7&gt;0,$A214&gt;AV$7)),0,MAX(0,ROUND((INDEX($E214:$G214,AV$5)-SUMIFS(TF_Timer,TF_Tekniker,AV$4,TF_Dato,$A214))*2,0)/2)))</f>
        <v/>
      </c>
      <c r="AW214">
        <f>IF(OR(AW$4="",$A214&gt;TODAY()),0,IF(OR(INDEX($B214:$D214,AW$5)="F",AND(AW$6&gt;0,$A214&lt;AW$6),AND(AW$7&gt;0,$A214&gt;AW$7)),0,MAX(0,ROUND((INDEX($E214:$G214,AW$5)-SUMIFS(TF_Timer,TF_Tekniker,AW$4,TF_Dato,$A214))*2,0)/2)))</f>
        <v/>
      </c>
      <c r="AX214">
        <f>IF(OR(AX$4="",$A214&gt;TODAY()),0,IF(OR(INDEX($B214:$D214,AX$5)="F",AND(AX$6&gt;0,$A214&lt;AX$6),AND(AX$7&gt;0,$A214&gt;AX$7)),0,MAX(0,ROUND((INDEX($E214:$G214,AX$5)-SUMIFS(TF_Timer,TF_Tekniker,AX$4,TF_Dato,$A214))*2,0)/2)))</f>
        <v/>
      </c>
      <c r="AY214">
        <f>IF(OR(AY$4="",$A214&gt;TODAY()),0,IF(OR(INDEX($B214:$D214,AY$5)="F",AND(AY$6&gt;0,$A214&lt;AY$6),AND(AY$7&gt;0,$A214&gt;AY$7)),0,MAX(0,ROUND((INDEX($E214:$G214,AY$5)-SUMIFS(TF_Timer,TF_Tekniker,AY$4,TF_Dato,$A214))*2,0)/2)))</f>
        <v/>
      </c>
      <c r="AZ214">
        <f>IF(OR(AZ$4="",$A214&gt;TODAY()),0,IF(OR(INDEX($B214:$D214,AZ$5)="F",AND(AZ$6&gt;0,$A214&lt;AZ$6),AND(AZ$7&gt;0,$A214&gt;AZ$7)),0,MAX(0,ROUND((INDEX($E214:$G214,AZ$5)-SUMIFS(TF_Timer,TF_Tekniker,AZ$4,TF_Dato,$A214))*2,0)/2)))</f>
        <v/>
      </c>
      <c r="BA214">
        <f>IF(OR(BA$4="",$A214&gt;TODAY()),0,IF(OR(INDEX($B214:$D214,BA$5)="F",AND(BA$6&gt;0,$A214&lt;BA$6),AND(BA$7&gt;0,$A214&gt;BA$7)),0,MAX(0,ROUND((INDEX($E214:$G214,BA$5)-SUMIFS(TF_Timer,TF_Tekniker,BA$4,TF_Dato,$A214))*2,0)/2)))</f>
        <v/>
      </c>
      <c r="BB214">
        <f>IF(OR(BB$4="",$A214&gt;TODAY()),0,IF(OR(INDEX($B214:$D214,BB$5)="F",AND(BB$6&gt;0,$A214&lt;BB$6),AND(BB$7&gt;0,$A214&gt;BB$7)),0,MAX(0,ROUND((INDEX($E214:$G214,BB$5)-SUMIFS(TF_Timer,TF_Tekniker,BB$4,TF_Dato,$A214))*2,0)/2)))</f>
        <v/>
      </c>
      <c r="BC214">
        <f>IF(OR(BC$4="",$A214&gt;TODAY()),0,IF(OR(INDEX($B214:$D214,BC$5)="F",AND(BC$6&gt;0,$A214&lt;BC$6),AND(BC$7&gt;0,$A214&gt;BC$7)),0,MAX(0,ROUND((INDEX($E214:$G214,BC$5)-SUMIFS(TF_Timer,TF_Tekniker,BC$4,TF_Dato,$A214))*2,0)/2)))</f>
        <v/>
      </c>
      <c r="BD214">
        <f>IF(OR(BD$4="",$A214&gt;TODAY()),0,IF(OR(INDEX($B214:$D214,BD$5)="F",AND(BD$6&gt;0,$A214&lt;BD$6),AND(BD$7&gt;0,$A214&gt;BD$7)),0,MAX(0,ROUND((INDEX($E214:$G214,BD$5)-SUMIFS(TF_Timer,TF_Tekniker,BD$4,TF_Dato,$A214))*2,0)/2)))</f>
        <v/>
      </c>
      <c r="BE214">
        <f>IF(OR(BE$4="",$A214&gt;TODAY()),0,IF(OR(INDEX($B214:$D214,BE$5)="F",AND(BE$6&gt;0,$A214&lt;BE$6),AND(BE$7&gt;0,$A214&gt;BE$7)),0,MAX(0,ROUND((INDEX($E214:$G214,BE$5)-SUMIFS(TF_Timer,TF_Tekniker,BE$4,TF_Dato,$A214))*2,0)/2)))</f>
        <v/>
      </c>
      <c r="BF214">
        <f>IF(OR(BF$4="",$A214&gt;TODAY()),0,IF(OR(INDEX($B214:$D214,BF$5)="F",AND(BF$6&gt;0,$A214&lt;BF$6),AND(BF$7&gt;0,$A214&gt;BF$7)),0,MAX(0,ROUND((INDEX($E214:$G214,BF$5)-SUMIFS(TF_Timer,TF_Tekniker,BF$4,TF_Dato,$A214))*2,0)/2)))</f>
        <v/>
      </c>
      <c r="BG214">
        <f>IF(OR(BG$4="",$A214&gt;TODAY()),0,IF(OR(INDEX($B214:$D214,BG$5)="F",AND(BG$6&gt;0,$A214&lt;BG$6),AND(BG$7&gt;0,$A214&gt;BG$7)),0,MAX(0,ROUND((INDEX($E214:$G214,BG$5)-SUMIFS(TF_Timer,TF_Tekniker,BG$4,TF_Dato,$A214))*2,0)/2)))</f>
        <v/>
      </c>
      <c r="BH214">
        <f>IF(OR(BH$4="",$A214&gt;TODAY()),0,IF(OR(INDEX($B214:$D214,BH$5)="F",AND(BH$6&gt;0,$A214&lt;BH$6),AND(BH$7&gt;0,$A214&gt;BH$7)),0,MAX(0,ROUND((INDEX($E214:$G214,BH$5)-SUMIFS(TF_Timer,TF_Tekniker,BH$4,TF_Dato,$A214))*2,0)/2)))</f>
        <v/>
      </c>
      <c r="BI214">
        <f>IF(OR(BI$4="",$A214&gt;TODAY()),0,IF(OR(INDEX($B214:$D214,BI$5)="F",AND(BI$6&gt;0,$A214&lt;BI$6),AND(BI$7&gt;0,$A214&gt;BI$7)),0,MAX(0,ROUND((INDEX($E214:$G214,BI$5)-SUMIFS(TF_Timer,TF_Tekniker,BI$4,TF_Dato,$A214))*2,0)/2)))</f>
        <v/>
      </c>
    </row>
    <row r="215">
      <c r="A215" s="64">
        <f>A214+1</f>
        <v/>
      </c>
      <c r="B215">
        <f>IF(MOD($A215-INDEX(SkiftStart,1),Syklus)&lt;DagK,"K",IF(MOD($A215-INDEX(SkiftStart,1),Syklus)&lt;DagK+DagH,"H",IF(MOD($A215-INDEX(SkiftStart,1),Syklus)&lt;DagK+DagH+DagD,"D","F")))</f>
        <v/>
      </c>
      <c r="C215">
        <f>IF(MOD($A215-INDEX(SkiftStart,2),Syklus)&lt;DagK,"K",IF(MOD($A215-INDEX(SkiftStart,2),Syklus)&lt;DagK+DagH,"H",IF(MOD($A215-INDEX(SkiftStart,2),Syklus)&lt;DagK+DagH+DagD,"D","F")))</f>
        <v/>
      </c>
      <c r="D215">
        <f>IF(MOD($A215-INDEX(SkiftStart,3),Syklus)&lt;DagK,"K",IF(MOD($A215-INDEX(SkiftStart,3),Syklus)&lt;DagK+DagH,"H",IF(MOD($A215-INDEX(SkiftStart,3),Syklus)&lt;DagK+DagH+DagD,"D","F")))</f>
        <v/>
      </c>
      <c r="E215">
        <f>IF(B215="F",0,IF(WEEKDAY($A215,2)=5,INDEX(TimerFr,MATCH(B215,FaseKode,0)),INDEX(TimerMT,MATCH(B215,FaseKode,0))))</f>
        <v/>
      </c>
      <c r="F215">
        <f>IF(C215="F",0,IF(WEEKDAY($A215,2)=5,INDEX(TimerFr,MATCH(C215,FaseKode,0)),INDEX(TimerMT,MATCH(C215,FaseKode,0))))</f>
        <v/>
      </c>
      <c r="G215">
        <f>IF(D215="F",0,IF(WEEKDAY($A215,2)=5,INDEX(TimerFr,MATCH(D215,FaseKode,0)),INDEX(TimerMT,MATCH(D215,FaseKode,0))))</f>
        <v/>
      </c>
      <c r="H215">
        <f>IF(OR(H$4="",$A215&gt;TODAY()),0,IF(OR(INDEX($B215:$D215,H$5)="F",AND(H$6&gt;0,$A215&lt;H$6),AND(H$7&gt;0,$A215&gt;H$7)),0,MAX(0,ROUND((INDEX($E215:$G215,H$5)-SUMIFS(TF_Timer,TF_Tekniker,H$4,TF_Dato,$A215))*2,0)/2)))</f>
        <v/>
      </c>
      <c r="I215">
        <f>IF(OR(I$4="",$A215&gt;TODAY()),0,IF(OR(INDEX($B215:$D215,I$5)="F",AND(I$6&gt;0,$A215&lt;I$6),AND(I$7&gt;0,$A215&gt;I$7)),0,MAX(0,ROUND((INDEX($E215:$G215,I$5)-SUMIFS(TF_Timer,TF_Tekniker,I$4,TF_Dato,$A215))*2,0)/2)))</f>
        <v/>
      </c>
      <c r="J215">
        <f>IF(OR(J$4="",$A215&gt;TODAY()),0,IF(OR(INDEX($B215:$D215,J$5)="F",AND(J$6&gt;0,$A215&lt;J$6),AND(J$7&gt;0,$A215&gt;J$7)),0,MAX(0,ROUND((INDEX($E215:$G215,J$5)-SUMIFS(TF_Timer,TF_Tekniker,J$4,TF_Dato,$A215))*2,0)/2)))</f>
        <v/>
      </c>
      <c r="K215">
        <f>IF(OR(K$4="",$A215&gt;TODAY()),0,IF(OR(INDEX($B215:$D215,K$5)="F",AND(K$6&gt;0,$A215&lt;K$6),AND(K$7&gt;0,$A215&gt;K$7)),0,MAX(0,ROUND((INDEX($E215:$G215,K$5)-SUMIFS(TF_Timer,TF_Tekniker,K$4,TF_Dato,$A215))*2,0)/2)))</f>
        <v/>
      </c>
      <c r="L215">
        <f>IF(OR(L$4="",$A215&gt;TODAY()),0,IF(OR(INDEX($B215:$D215,L$5)="F",AND(L$6&gt;0,$A215&lt;L$6),AND(L$7&gt;0,$A215&gt;L$7)),0,MAX(0,ROUND((INDEX($E215:$G215,L$5)-SUMIFS(TF_Timer,TF_Tekniker,L$4,TF_Dato,$A215))*2,0)/2)))</f>
        <v/>
      </c>
      <c r="M215">
        <f>IF(OR(M$4="",$A215&gt;TODAY()),0,IF(OR(INDEX($B215:$D215,M$5)="F",AND(M$6&gt;0,$A215&lt;M$6),AND(M$7&gt;0,$A215&gt;M$7)),0,MAX(0,ROUND((INDEX($E215:$G215,M$5)-SUMIFS(TF_Timer,TF_Tekniker,M$4,TF_Dato,$A215))*2,0)/2)))</f>
        <v/>
      </c>
      <c r="N215">
        <f>IF(OR(N$4="",$A215&gt;TODAY()),0,IF(OR(INDEX($B215:$D215,N$5)="F",AND(N$6&gt;0,$A215&lt;N$6),AND(N$7&gt;0,$A215&gt;N$7)),0,MAX(0,ROUND((INDEX($E215:$G215,N$5)-SUMIFS(TF_Timer,TF_Tekniker,N$4,TF_Dato,$A215))*2,0)/2)))</f>
        <v/>
      </c>
      <c r="O215">
        <f>IF(OR(O$4="",$A215&gt;TODAY()),0,IF(OR(INDEX($B215:$D215,O$5)="F",AND(O$6&gt;0,$A215&lt;O$6),AND(O$7&gt;0,$A215&gt;O$7)),0,MAX(0,ROUND((INDEX($E215:$G215,O$5)-SUMIFS(TF_Timer,TF_Tekniker,O$4,TF_Dato,$A215))*2,0)/2)))</f>
        <v/>
      </c>
      <c r="P215">
        <f>IF(OR(P$4="",$A215&gt;TODAY()),0,IF(OR(INDEX($B215:$D215,P$5)="F",AND(P$6&gt;0,$A215&lt;P$6),AND(P$7&gt;0,$A215&gt;P$7)),0,MAX(0,ROUND((INDEX($E215:$G215,P$5)-SUMIFS(TF_Timer,TF_Tekniker,P$4,TF_Dato,$A215))*2,0)/2)))</f>
        <v/>
      </c>
      <c r="Q215">
        <f>IF(OR(Q$4="",$A215&gt;TODAY()),0,IF(OR(INDEX($B215:$D215,Q$5)="F",AND(Q$6&gt;0,$A215&lt;Q$6),AND(Q$7&gt;0,$A215&gt;Q$7)),0,MAX(0,ROUND((INDEX($E215:$G215,Q$5)-SUMIFS(TF_Timer,TF_Tekniker,Q$4,TF_Dato,$A215))*2,0)/2)))</f>
        <v/>
      </c>
      <c r="R215">
        <f>IF(OR(R$4="",$A215&gt;TODAY()),0,IF(OR(INDEX($B215:$D215,R$5)="F",AND(R$6&gt;0,$A215&lt;R$6),AND(R$7&gt;0,$A215&gt;R$7)),0,MAX(0,ROUND((INDEX($E215:$G215,R$5)-SUMIFS(TF_Timer,TF_Tekniker,R$4,TF_Dato,$A215))*2,0)/2)))</f>
        <v/>
      </c>
      <c r="S215">
        <f>IF(OR(S$4="",$A215&gt;TODAY()),0,IF(OR(INDEX($B215:$D215,S$5)="F",AND(S$6&gt;0,$A215&lt;S$6),AND(S$7&gt;0,$A215&gt;S$7)),0,MAX(0,ROUND((INDEX($E215:$G215,S$5)-SUMIFS(TF_Timer,TF_Tekniker,S$4,TF_Dato,$A215))*2,0)/2)))</f>
        <v/>
      </c>
      <c r="T215">
        <f>IF(OR(T$4="",$A215&gt;TODAY()),0,IF(OR(INDEX($B215:$D215,T$5)="F",AND(T$6&gt;0,$A215&lt;T$6),AND(T$7&gt;0,$A215&gt;T$7)),0,MAX(0,ROUND((INDEX($E215:$G215,T$5)-SUMIFS(TF_Timer,TF_Tekniker,T$4,TF_Dato,$A215))*2,0)/2)))</f>
        <v/>
      </c>
      <c r="U215">
        <f>IF(OR(U$4="",$A215&gt;TODAY()),0,IF(OR(INDEX($B215:$D215,U$5)="F",AND(U$6&gt;0,$A215&lt;U$6),AND(U$7&gt;0,$A215&gt;U$7)),0,MAX(0,ROUND((INDEX($E215:$G215,U$5)-SUMIFS(TF_Timer,TF_Tekniker,U$4,TF_Dato,$A215))*2,0)/2)))</f>
        <v/>
      </c>
      <c r="V215">
        <f>IF(OR(V$4="",$A215&gt;TODAY()),0,IF(OR(INDEX($B215:$D215,V$5)="F",AND(V$6&gt;0,$A215&lt;V$6),AND(V$7&gt;0,$A215&gt;V$7)),0,MAX(0,ROUND((INDEX($E215:$G215,V$5)-SUMIFS(TF_Timer,TF_Tekniker,V$4,TF_Dato,$A215))*2,0)/2)))</f>
        <v/>
      </c>
      <c r="W215">
        <f>IF(OR(W$4="",$A215&gt;TODAY()),0,IF(OR(INDEX($B215:$D215,W$5)="F",AND(W$6&gt;0,$A215&lt;W$6),AND(W$7&gt;0,$A215&gt;W$7)),0,MAX(0,ROUND((INDEX($E215:$G215,W$5)-SUMIFS(TF_Timer,TF_Tekniker,W$4,TF_Dato,$A215))*2,0)/2)))</f>
        <v/>
      </c>
      <c r="X215">
        <f>IF(OR(X$4="",$A215&gt;TODAY()),0,IF(OR(INDEX($B215:$D215,X$5)="F",AND(X$6&gt;0,$A215&lt;X$6),AND(X$7&gt;0,$A215&gt;X$7)),0,MAX(0,ROUND((INDEX($E215:$G215,X$5)-SUMIFS(TF_Timer,TF_Tekniker,X$4,TF_Dato,$A215))*2,0)/2)))</f>
        <v/>
      </c>
      <c r="Y215">
        <f>IF(OR(Y$4="",$A215&gt;TODAY()),0,IF(OR(INDEX($B215:$D215,Y$5)="F",AND(Y$6&gt;0,$A215&lt;Y$6),AND(Y$7&gt;0,$A215&gt;Y$7)),0,MAX(0,ROUND((INDEX($E215:$G215,Y$5)-SUMIFS(TF_Timer,TF_Tekniker,Y$4,TF_Dato,$A215))*2,0)/2)))</f>
        <v/>
      </c>
      <c r="Z215">
        <f>IF(OR(Z$4="",$A215&gt;TODAY()),0,IF(OR(INDEX($B215:$D215,Z$5)="F",AND(Z$6&gt;0,$A215&lt;Z$6),AND(Z$7&gt;0,$A215&gt;Z$7)),0,MAX(0,ROUND((INDEX($E215:$G215,Z$5)-SUMIFS(TF_Timer,TF_Tekniker,Z$4,TF_Dato,$A215))*2,0)/2)))</f>
        <v/>
      </c>
      <c r="AA215">
        <f>IF(OR(AA$4="",$A215&gt;TODAY()),0,IF(OR(INDEX($B215:$D215,AA$5)="F",AND(AA$6&gt;0,$A215&lt;AA$6),AND(AA$7&gt;0,$A215&gt;AA$7)),0,MAX(0,ROUND((INDEX($E215:$G215,AA$5)-SUMIFS(TF_Timer,TF_Tekniker,AA$4,TF_Dato,$A215))*2,0)/2)))</f>
        <v/>
      </c>
      <c r="AB215">
        <f>IF(OR(AB$4="",$A215&gt;TODAY()),0,IF(OR(INDEX($B215:$D215,AB$5)="F",AND(AB$6&gt;0,$A215&lt;AB$6),AND(AB$7&gt;0,$A215&gt;AB$7)),0,MAX(0,ROUND((INDEX($E215:$G215,AB$5)-SUMIFS(TF_Timer,TF_Tekniker,AB$4,TF_Dato,$A215))*2,0)/2)))</f>
        <v/>
      </c>
      <c r="AC215">
        <f>IF(OR(AC$4="",$A215&gt;TODAY()),0,IF(OR(INDEX($B215:$D215,AC$5)="F",AND(AC$6&gt;0,$A215&lt;AC$6),AND(AC$7&gt;0,$A215&gt;AC$7)),0,MAX(0,ROUND((INDEX($E215:$G215,AC$5)-SUMIFS(TF_Timer,TF_Tekniker,AC$4,TF_Dato,$A215))*2,0)/2)))</f>
        <v/>
      </c>
      <c r="AD215">
        <f>IF(OR(AD$4="",$A215&gt;TODAY()),0,IF(OR(INDEX($B215:$D215,AD$5)="F",AND(AD$6&gt;0,$A215&lt;AD$6),AND(AD$7&gt;0,$A215&gt;AD$7)),0,MAX(0,ROUND((INDEX($E215:$G215,AD$5)-SUMIFS(TF_Timer,TF_Tekniker,AD$4,TF_Dato,$A215))*2,0)/2)))</f>
        <v/>
      </c>
      <c r="AE215">
        <f>IF(OR(AE$4="",$A215&gt;TODAY()),0,IF(OR(INDEX($B215:$D215,AE$5)="F",AND(AE$6&gt;0,$A215&lt;AE$6),AND(AE$7&gt;0,$A215&gt;AE$7)),0,MAX(0,ROUND((INDEX($E215:$G215,AE$5)-SUMIFS(TF_Timer,TF_Tekniker,AE$4,TF_Dato,$A215))*2,0)/2)))</f>
        <v/>
      </c>
      <c r="AF215">
        <f>IF(OR(AF$4="",$A215&gt;TODAY()),0,IF(OR(INDEX($B215:$D215,AF$5)="F",AND(AF$6&gt;0,$A215&lt;AF$6),AND(AF$7&gt;0,$A215&gt;AF$7)),0,MAX(0,ROUND((INDEX($E215:$G215,AF$5)-SUMIFS(TF_Timer,TF_Tekniker,AF$4,TF_Dato,$A215))*2,0)/2)))</f>
        <v/>
      </c>
      <c r="AG215">
        <f>IF(OR(AG$4="",$A215&gt;TODAY()),0,IF(OR(INDEX($B215:$D215,AG$5)="F",AND(AG$6&gt;0,$A215&lt;AG$6),AND(AG$7&gt;0,$A215&gt;AG$7)),0,MAX(0,ROUND((INDEX($E215:$G215,AG$5)-SUMIFS(TF_Timer,TF_Tekniker,AG$4,TF_Dato,$A215))*2,0)/2)))</f>
        <v/>
      </c>
      <c r="AH215">
        <f>IF(OR(AH$4="",$A215&gt;TODAY()),0,IF(OR(INDEX($B215:$D215,AH$5)="F",AND(AH$6&gt;0,$A215&lt;AH$6),AND(AH$7&gt;0,$A215&gt;AH$7)),0,MAX(0,ROUND((INDEX($E215:$G215,AH$5)-SUMIFS(TF_Timer,TF_Tekniker,AH$4,TF_Dato,$A215))*2,0)/2)))</f>
        <v/>
      </c>
      <c r="AI215">
        <f>IF(OR(AI$4="",$A215&gt;TODAY()),0,IF(OR(INDEX($B215:$D215,AI$5)="F",AND(AI$6&gt;0,$A215&lt;AI$6),AND(AI$7&gt;0,$A215&gt;AI$7)),0,MAX(0,ROUND((INDEX($E215:$G215,AI$5)-SUMIFS(TF_Timer,TF_Tekniker,AI$4,TF_Dato,$A215))*2,0)/2)))</f>
        <v/>
      </c>
      <c r="AJ215">
        <f>IF(OR(AJ$4="",$A215&gt;TODAY()),0,IF(OR(INDEX($B215:$D215,AJ$5)="F",AND(AJ$6&gt;0,$A215&lt;AJ$6),AND(AJ$7&gt;0,$A215&gt;AJ$7)),0,MAX(0,ROUND((INDEX($E215:$G215,AJ$5)-SUMIFS(TF_Timer,TF_Tekniker,AJ$4,TF_Dato,$A215))*2,0)/2)))</f>
        <v/>
      </c>
      <c r="AK215">
        <f>IF(OR(AK$4="",$A215&gt;TODAY()),0,IF(OR(INDEX($B215:$D215,AK$5)="F",AND(AK$6&gt;0,$A215&lt;AK$6),AND(AK$7&gt;0,$A215&gt;AK$7)),0,MAX(0,ROUND((INDEX($E215:$G215,AK$5)-SUMIFS(TF_Timer,TF_Tekniker,AK$4,TF_Dato,$A215))*2,0)/2)))</f>
        <v/>
      </c>
      <c r="AL215">
        <f>IF(OR(AL$4="",$A215&gt;TODAY()),0,IF(OR(INDEX($B215:$D215,AL$5)="F",AND(AL$6&gt;0,$A215&lt;AL$6),AND(AL$7&gt;0,$A215&gt;AL$7)),0,MAX(0,ROUND((INDEX($E215:$G215,AL$5)-SUMIFS(TF_Timer,TF_Tekniker,AL$4,TF_Dato,$A215))*2,0)/2)))</f>
        <v/>
      </c>
      <c r="AM215">
        <f>IF(OR(AM$4="",$A215&gt;TODAY()),0,IF(OR(INDEX($B215:$D215,AM$5)="F",AND(AM$6&gt;0,$A215&lt;AM$6),AND(AM$7&gt;0,$A215&gt;AM$7)),0,MAX(0,ROUND((INDEX($E215:$G215,AM$5)-SUMIFS(TF_Timer,TF_Tekniker,AM$4,TF_Dato,$A215))*2,0)/2)))</f>
        <v/>
      </c>
      <c r="AN215">
        <f>IF(OR(AN$4="",$A215&gt;TODAY()),0,IF(OR(INDEX($B215:$D215,AN$5)="F",AND(AN$6&gt;0,$A215&lt;AN$6),AND(AN$7&gt;0,$A215&gt;AN$7)),0,MAX(0,ROUND((INDEX($E215:$G215,AN$5)-SUMIFS(TF_Timer,TF_Tekniker,AN$4,TF_Dato,$A215))*2,0)/2)))</f>
        <v/>
      </c>
      <c r="AO215">
        <f>IF(OR(AO$4="",$A215&gt;TODAY()),0,IF(OR(INDEX($B215:$D215,AO$5)="F",AND(AO$6&gt;0,$A215&lt;AO$6),AND(AO$7&gt;0,$A215&gt;AO$7)),0,MAX(0,ROUND((INDEX($E215:$G215,AO$5)-SUMIFS(TF_Timer,TF_Tekniker,AO$4,TF_Dato,$A215))*2,0)/2)))</f>
        <v/>
      </c>
      <c r="AP215">
        <f>IF(OR(AP$4="",$A215&gt;TODAY()),0,IF(OR(INDEX($B215:$D215,AP$5)="F",AND(AP$6&gt;0,$A215&lt;AP$6),AND(AP$7&gt;0,$A215&gt;AP$7)),0,MAX(0,ROUND((INDEX($E215:$G215,AP$5)-SUMIFS(TF_Timer,TF_Tekniker,AP$4,TF_Dato,$A215))*2,0)/2)))</f>
        <v/>
      </c>
      <c r="AQ215">
        <f>IF(OR(AQ$4="",$A215&gt;TODAY()),0,IF(OR(INDEX($B215:$D215,AQ$5)="F",AND(AQ$6&gt;0,$A215&lt;AQ$6),AND(AQ$7&gt;0,$A215&gt;AQ$7)),0,MAX(0,ROUND((INDEX($E215:$G215,AQ$5)-SUMIFS(TF_Timer,TF_Tekniker,AQ$4,TF_Dato,$A215))*2,0)/2)))</f>
        <v/>
      </c>
      <c r="AR215">
        <f>IF(OR(AR$4="",$A215&gt;TODAY()),0,IF(OR(INDEX($B215:$D215,AR$5)="F",AND(AR$6&gt;0,$A215&lt;AR$6),AND(AR$7&gt;0,$A215&gt;AR$7)),0,MAX(0,ROUND((INDEX($E215:$G215,AR$5)-SUMIFS(TF_Timer,TF_Tekniker,AR$4,TF_Dato,$A215))*2,0)/2)))</f>
        <v/>
      </c>
      <c r="AS215">
        <f>IF(OR(AS$4="",$A215&gt;TODAY()),0,IF(OR(INDEX($B215:$D215,AS$5)="F",AND(AS$6&gt;0,$A215&lt;AS$6),AND(AS$7&gt;0,$A215&gt;AS$7)),0,MAX(0,ROUND((INDEX($E215:$G215,AS$5)-SUMIFS(TF_Timer,TF_Tekniker,AS$4,TF_Dato,$A215))*2,0)/2)))</f>
        <v/>
      </c>
      <c r="AT215">
        <f>IF(OR(AT$4="",$A215&gt;TODAY()),0,IF(OR(INDEX($B215:$D215,AT$5)="F",AND(AT$6&gt;0,$A215&lt;AT$6),AND(AT$7&gt;0,$A215&gt;AT$7)),0,MAX(0,ROUND((INDEX($E215:$G215,AT$5)-SUMIFS(TF_Timer,TF_Tekniker,AT$4,TF_Dato,$A215))*2,0)/2)))</f>
        <v/>
      </c>
      <c r="AU215">
        <f>IF(OR(AU$4="",$A215&gt;TODAY()),0,IF(OR(INDEX($B215:$D215,AU$5)="F",AND(AU$6&gt;0,$A215&lt;AU$6),AND(AU$7&gt;0,$A215&gt;AU$7)),0,MAX(0,ROUND((INDEX($E215:$G215,AU$5)-SUMIFS(TF_Timer,TF_Tekniker,AU$4,TF_Dato,$A215))*2,0)/2)))</f>
        <v/>
      </c>
      <c r="AV215">
        <f>IF(OR(AV$4="",$A215&gt;TODAY()),0,IF(OR(INDEX($B215:$D215,AV$5)="F",AND(AV$6&gt;0,$A215&lt;AV$6),AND(AV$7&gt;0,$A215&gt;AV$7)),0,MAX(0,ROUND((INDEX($E215:$G215,AV$5)-SUMIFS(TF_Timer,TF_Tekniker,AV$4,TF_Dato,$A215))*2,0)/2)))</f>
        <v/>
      </c>
      <c r="AW215">
        <f>IF(OR(AW$4="",$A215&gt;TODAY()),0,IF(OR(INDEX($B215:$D215,AW$5)="F",AND(AW$6&gt;0,$A215&lt;AW$6),AND(AW$7&gt;0,$A215&gt;AW$7)),0,MAX(0,ROUND((INDEX($E215:$G215,AW$5)-SUMIFS(TF_Timer,TF_Tekniker,AW$4,TF_Dato,$A215))*2,0)/2)))</f>
        <v/>
      </c>
      <c r="AX215">
        <f>IF(OR(AX$4="",$A215&gt;TODAY()),0,IF(OR(INDEX($B215:$D215,AX$5)="F",AND(AX$6&gt;0,$A215&lt;AX$6),AND(AX$7&gt;0,$A215&gt;AX$7)),0,MAX(0,ROUND((INDEX($E215:$G215,AX$5)-SUMIFS(TF_Timer,TF_Tekniker,AX$4,TF_Dato,$A215))*2,0)/2)))</f>
        <v/>
      </c>
      <c r="AY215">
        <f>IF(OR(AY$4="",$A215&gt;TODAY()),0,IF(OR(INDEX($B215:$D215,AY$5)="F",AND(AY$6&gt;0,$A215&lt;AY$6),AND(AY$7&gt;0,$A215&gt;AY$7)),0,MAX(0,ROUND((INDEX($E215:$G215,AY$5)-SUMIFS(TF_Timer,TF_Tekniker,AY$4,TF_Dato,$A215))*2,0)/2)))</f>
        <v/>
      </c>
      <c r="AZ215">
        <f>IF(OR(AZ$4="",$A215&gt;TODAY()),0,IF(OR(INDEX($B215:$D215,AZ$5)="F",AND(AZ$6&gt;0,$A215&lt;AZ$6),AND(AZ$7&gt;0,$A215&gt;AZ$7)),0,MAX(0,ROUND((INDEX($E215:$G215,AZ$5)-SUMIFS(TF_Timer,TF_Tekniker,AZ$4,TF_Dato,$A215))*2,0)/2)))</f>
        <v/>
      </c>
      <c r="BA215">
        <f>IF(OR(BA$4="",$A215&gt;TODAY()),0,IF(OR(INDEX($B215:$D215,BA$5)="F",AND(BA$6&gt;0,$A215&lt;BA$6),AND(BA$7&gt;0,$A215&gt;BA$7)),0,MAX(0,ROUND((INDEX($E215:$G215,BA$5)-SUMIFS(TF_Timer,TF_Tekniker,BA$4,TF_Dato,$A215))*2,0)/2)))</f>
        <v/>
      </c>
      <c r="BB215">
        <f>IF(OR(BB$4="",$A215&gt;TODAY()),0,IF(OR(INDEX($B215:$D215,BB$5)="F",AND(BB$6&gt;0,$A215&lt;BB$6),AND(BB$7&gt;0,$A215&gt;BB$7)),0,MAX(0,ROUND((INDEX($E215:$G215,BB$5)-SUMIFS(TF_Timer,TF_Tekniker,BB$4,TF_Dato,$A215))*2,0)/2)))</f>
        <v/>
      </c>
      <c r="BC215">
        <f>IF(OR(BC$4="",$A215&gt;TODAY()),0,IF(OR(INDEX($B215:$D215,BC$5)="F",AND(BC$6&gt;0,$A215&lt;BC$6),AND(BC$7&gt;0,$A215&gt;BC$7)),0,MAX(0,ROUND((INDEX($E215:$G215,BC$5)-SUMIFS(TF_Timer,TF_Tekniker,BC$4,TF_Dato,$A215))*2,0)/2)))</f>
        <v/>
      </c>
      <c r="BD215">
        <f>IF(OR(BD$4="",$A215&gt;TODAY()),0,IF(OR(INDEX($B215:$D215,BD$5)="F",AND(BD$6&gt;0,$A215&lt;BD$6),AND(BD$7&gt;0,$A215&gt;BD$7)),0,MAX(0,ROUND((INDEX($E215:$G215,BD$5)-SUMIFS(TF_Timer,TF_Tekniker,BD$4,TF_Dato,$A215))*2,0)/2)))</f>
        <v/>
      </c>
      <c r="BE215">
        <f>IF(OR(BE$4="",$A215&gt;TODAY()),0,IF(OR(INDEX($B215:$D215,BE$5)="F",AND(BE$6&gt;0,$A215&lt;BE$6),AND(BE$7&gt;0,$A215&gt;BE$7)),0,MAX(0,ROUND((INDEX($E215:$G215,BE$5)-SUMIFS(TF_Timer,TF_Tekniker,BE$4,TF_Dato,$A215))*2,0)/2)))</f>
        <v/>
      </c>
      <c r="BF215">
        <f>IF(OR(BF$4="",$A215&gt;TODAY()),0,IF(OR(INDEX($B215:$D215,BF$5)="F",AND(BF$6&gt;0,$A215&lt;BF$6),AND(BF$7&gt;0,$A215&gt;BF$7)),0,MAX(0,ROUND((INDEX($E215:$G215,BF$5)-SUMIFS(TF_Timer,TF_Tekniker,BF$4,TF_Dato,$A215))*2,0)/2)))</f>
        <v/>
      </c>
      <c r="BG215">
        <f>IF(OR(BG$4="",$A215&gt;TODAY()),0,IF(OR(INDEX($B215:$D215,BG$5)="F",AND(BG$6&gt;0,$A215&lt;BG$6),AND(BG$7&gt;0,$A215&gt;BG$7)),0,MAX(0,ROUND((INDEX($E215:$G215,BG$5)-SUMIFS(TF_Timer,TF_Tekniker,BG$4,TF_Dato,$A215))*2,0)/2)))</f>
        <v/>
      </c>
      <c r="BH215">
        <f>IF(OR(BH$4="",$A215&gt;TODAY()),0,IF(OR(INDEX($B215:$D215,BH$5)="F",AND(BH$6&gt;0,$A215&lt;BH$6),AND(BH$7&gt;0,$A215&gt;BH$7)),0,MAX(0,ROUND((INDEX($E215:$G215,BH$5)-SUMIFS(TF_Timer,TF_Tekniker,BH$4,TF_Dato,$A215))*2,0)/2)))</f>
        <v/>
      </c>
      <c r="BI215">
        <f>IF(OR(BI$4="",$A215&gt;TODAY()),0,IF(OR(INDEX($B215:$D215,BI$5)="F",AND(BI$6&gt;0,$A215&lt;BI$6),AND(BI$7&gt;0,$A215&gt;BI$7)),0,MAX(0,ROUND((INDEX($E215:$G215,BI$5)-SUMIFS(TF_Timer,TF_Tekniker,BI$4,TF_Dato,$A215))*2,0)/2)))</f>
        <v/>
      </c>
    </row>
    <row r="216">
      <c r="A216" s="64">
        <f>A215+1</f>
        <v/>
      </c>
      <c r="B216">
        <f>IF(MOD($A216-INDEX(SkiftStart,1),Syklus)&lt;DagK,"K",IF(MOD($A216-INDEX(SkiftStart,1),Syklus)&lt;DagK+DagH,"H",IF(MOD($A216-INDEX(SkiftStart,1),Syklus)&lt;DagK+DagH+DagD,"D","F")))</f>
        <v/>
      </c>
      <c r="C216">
        <f>IF(MOD($A216-INDEX(SkiftStart,2),Syklus)&lt;DagK,"K",IF(MOD($A216-INDEX(SkiftStart,2),Syklus)&lt;DagK+DagH,"H",IF(MOD($A216-INDEX(SkiftStart,2),Syklus)&lt;DagK+DagH+DagD,"D","F")))</f>
        <v/>
      </c>
      <c r="D216">
        <f>IF(MOD($A216-INDEX(SkiftStart,3),Syklus)&lt;DagK,"K",IF(MOD($A216-INDEX(SkiftStart,3),Syklus)&lt;DagK+DagH,"H",IF(MOD($A216-INDEX(SkiftStart,3),Syklus)&lt;DagK+DagH+DagD,"D","F")))</f>
        <v/>
      </c>
      <c r="E216">
        <f>IF(B216="F",0,IF(WEEKDAY($A216,2)=5,INDEX(TimerFr,MATCH(B216,FaseKode,0)),INDEX(TimerMT,MATCH(B216,FaseKode,0))))</f>
        <v/>
      </c>
      <c r="F216">
        <f>IF(C216="F",0,IF(WEEKDAY($A216,2)=5,INDEX(TimerFr,MATCH(C216,FaseKode,0)),INDEX(TimerMT,MATCH(C216,FaseKode,0))))</f>
        <v/>
      </c>
      <c r="G216">
        <f>IF(D216="F",0,IF(WEEKDAY($A216,2)=5,INDEX(TimerFr,MATCH(D216,FaseKode,0)),INDEX(TimerMT,MATCH(D216,FaseKode,0))))</f>
        <v/>
      </c>
      <c r="H216">
        <f>IF(OR(H$4="",$A216&gt;TODAY()),0,IF(OR(INDEX($B216:$D216,H$5)="F",AND(H$6&gt;0,$A216&lt;H$6),AND(H$7&gt;0,$A216&gt;H$7)),0,MAX(0,ROUND((INDEX($E216:$G216,H$5)-SUMIFS(TF_Timer,TF_Tekniker,H$4,TF_Dato,$A216))*2,0)/2)))</f>
        <v/>
      </c>
      <c r="I216">
        <f>IF(OR(I$4="",$A216&gt;TODAY()),0,IF(OR(INDEX($B216:$D216,I$5)="F",AND(I$6&gt;0,$A216&lt;I$6),AND(I$7&gt;0,$A216&gt;I$7)),0,MAX(0,ROUND((INDEX($E216:$G216,I$5)-SUMIFS(TF_Timer,TF_Tekniker,I$4,TF_Dato,$A216))*2,0)/2)))</f>
        <v/>
      </c>
      <c r="J216">
        <f>IF(OR(J$4="",$A216&gt;TODAY()),0,IF(OR(INDEX($B216:$D216,J$5)="F",AND(J$6&gt;0,$A216&lt;J$6),AND(J$7&gt;0,$A216&gt;J$7)),0,MAX(0,ROUND((INDEX($E216:$G216,J$5)-SUMIFS(TF_Timer,TF_Tekniker,J$4,TF_Dato,$A216))*2,0)/2)))</f>
        <v/>
      </c>
      <c r="K216">
        <f>IF(OR(K$4="",$A216&gt;TODAY()),0,IF(OR(INDEX($B216:$D216,K$5)="F",AND(K$6&gt;0,$A216&lt;K$6),AND(K$7&gt;0,$A216&gt;K$7)),0,MAX(0,ROUND((INDEX($E216:$G216,K$5)-SUMIFS(TF_Timer,TF_Tekniker,K$4,TF_Dato,$A216))*2,0)/2)))</f>
        <v/>
      </c>
      <c r="L216">
        <f>IF(OR(L$4="",$A216&gt;TODAY()),0,IF(OR(INDEX($B216:$D216,L$5)="F",AND(L$6&gt;0,$A216&lt;L$6),AND(L$7&gt;0,$A216&gt;L$7)),0,MAX(0,ROUND((INDEX($E216:$G216,L$5)-SUMIFS(TF_Timer,TF_Tekniker,L$4,TF_Dato,$A216))*2,0)/2)))</f>
        <v/>
      </c>
      <c r="M216">
        <f>IF(OR(M$4="",$A216&gt;TODAY()),0,IF(OR(INDEX($B216:$D216,M$5)="F",AND(M$6&gt;0,$A216&lt;M$6),AND(M$7&gt;0,$A216&gt;M$7)),0,MAX(0,ROUND((INDEX($E216:$G216,M$5)-SUMIFS(TF_Timer,TF_Tekniker,M$4,TF_Dato,$A216))*2,0)/2)))</f>
        <v/>
      </c>
      <c r="N216">
        <f>IF(OR(N$4="",$A216&gt;TODAY()),0,IF(OR(INDEX($B216:$D216,N$5)="F",AND(N$6&gt;0,$A216&lt;N$6),AND(N$7&gt;0,$A216&gt;N$7)),0,MAX(0,ROUND((INDEX($E216:$G216,N$5)-SUMIFS(TF_Timer,TF_Tekniker,N$4,TF_Dato,$A216))*2,0)/2)))</f>
        <v/>
      </c>
      <c r="O216">
        <f>IF(OR(O$4="",$A216&gt;TODAY()),0,IF(OR(INDEX($B216:$D216,O$5)="F",AND(O$6&gt;0,$A216&lt;O$6),AND(O$7&gt;0,$A216&gt;O$7)),0,MAX(0,ROUND((INDEX($E216:$G216,O$5)-SUMIFS(TF_Timer,TF_Tekniker,O$4,TF_Dato,$A216))*2,0)/2)))</f>
        <v/>
      </c>
      <c r="P216">
        <f>IF(OR(P$4="",$A216&gt;TODAY()),0,IF(OR(INDEX($B216:$D216,P$5)="F",AND(P$6&gt;0,$A216&lt;P$6),AND(P$7&gt;0,$A216&gt;P$7)),0,MAX(0,ROUND((INDEX($E216:$G216,P$5)-SUMIFS(TF_Timer,TF_Tekniker,P$4,TF_Dato,$A216))*2,0)/2)))</f>
        <v/>
      </c>
      <c r="Q216">
        <f>IF(OR(Q$4="",$A216&gt;TODAY()),0,IF(OR(INDEX($B216:$D216,Q$5)="F",AND(Q$6&gt;0,$A216&lt;Q$6),AND(Q$7&gt;0,$A216&gt;Q$7)),0,MAX(0,ROUND((INDEX($E216:$G216,Q$5)-SUMIFS(TF_Timer,TF_Tekniker,Q$4,TF_Dato,$A216))*2,0)/2)))</f>
        <v/>
      </c>
      <c r="R216">
        <f>IF(OR(R$4="",$A216&gt;TODAY()),0,IF(OR(INDEX($B216:$D216,R$5)="F",AND(R$6&gt;0,$A216&lt;R$6),AND(R$7&gt;0,$A216&gt;R$7)),0,MAX(0,ROUND((INDEX($E216:$G216,R$5)-SUMIFS(TF_Timer,TF_Tekniker,R$4,TF_Dato,$A216))*2,0)/2)))</f>
        <v/>
      </c>
      <c r="S216">
        <f>IF(OR(S$4="",$A216&gt;TODAY()),0,IF(OR(INDEX($B216:$D216,S$5)="F",AND(S$6&gt;0,$A216&lt;S$6),AND(S$7&gt;0,$A216&gt;S$7)),0,MAX(0,ROUND((INDEX($E216:$G216,S$5)-SUMIFS(TF_Timer,TF_Tekniker,S$4,TF_Dato,$A216))*2,0)/2)))</f>
        <v/>
      </c>
      <c r="T216">
        <f>IF(OR(T$4="",$A216&gt;TODAY()),0,IF(OR(INDEX($B216:$D216,T$5)="F",AND(T$6&gt;0,$A216&lt;T$6),AND(T$7&gt;0,$A216&gt;T$7)),0,MAX(0,ROUND((INDEX($E216:$G216,T$5)-SUMIFS(TF_Timer,TF_Tekniker,T$4,TF_Dato,$A216))*2,0)/2)))</f>
        <v/>
      </c>
      <c r="U216">
        <f>IF(OR(U$4="",$A216&gt;TODAY()),0,IF(OR(INDEX($B216:$D216,U$5)="F",AND(U$6&gt;0,$A216&lt;U$6),AND(U$7&gt;0,$A216&gt;U$7)),0,MAX(0,ROUND((INDEX($E216:$G216,U$5)-SUMIFS(TF_Timer,TF_Tekniker,U$4,TF_Dato,$A216))*2,0)/2)))</f>
        <v/>
      </c>
      <c r="V216">
        <f>IF(OR(V$4="",$A216&gt;TODAY()),0,IF(OR(INDEX($B216:$D216,V$5)="F",AND(V$6&gt;0,$A216&lt;V$6),AND(V$7&gt;0,$A216&gt;V$7)),0,MAX(0,ROUND((INDEX($E216:$G216,V$5)-SUMIFS(TF_Timer,TF_Tekniker,V$4,TF_Dato,$A216))*2,0)/2)))</f>
        <v/>
      </c>
      <c r="W216">
        <f>IF(OR(W$4="",$A216&gt;TODAY()),0,IF(OR(INDEX($B216:$D216,W$5)="F",AND(W$6&gt;0,$A216&lt;W$6),AND(W$7&gt;0,$A216&gt;W$7)),0,MAX(0,ROUND((INDEX($E216:$G216,W$5)-SUMIFS(TF_Timer,TF_Tekniker,W$4,TF_Dato,$A216))*2,0)/2)))</f>
        <v/>
      </c>
      <c r="X216">
        <f>IF(OR(X$4="",$A216&gt;TODAY()),0,IF(OR(INDEX($B216:$D216,X$5)="F",AND(X$6&gt;0,$A216&lt;X$6),AND(X$7&gt;0,$A216&gt;X$7)),0,MAX(0,ROUND((INDEX($E216:$G216,X$5)-SUMIFS(TF_Timer,TF_Tekniker,X$4,TF_Dato,$A216))*2,0)/2)))</f>
        <v/>
      </c>
      <c r="Y216">
        <f>IF(OR(Y$4="",$A216&gt;TODAY()),0,IF(OR(INDEX($B216:$D216,Y$5)="F",AND(Y$6&gt;0,$A216&lt;Y$6),AND(Y$7&gt;0,$A216&gt;Y$7)),0,MAX(0,ROUND((INDEX($E216:$G216,Y$5)-SUMIFS(TF_Timer,TF_Tekniker,Y$4,TF_Dato,$A216))*2,0)/2)))</f>
        <v/>
      </c>
      <c r="Z216">
        <f>IF(OR(Z$4="",$A216&gt;TODAY()),0,IF(OR(INDEX($B216:$D216,Z$5)="F",AND(Z$6&gt;0,$A216&lt;Z$6),AND(Z$7&gt;0,$A216&gt;Z$7)),0,MAX(0,ROUND((INDEX($E216:$G216,Z$5)-SUMIFS(TF_Timer,TF_Tekniker,Z$4,TF_Dato,$A216))*2,0)/2)))</f>
        <v/>
      </c>
      <c r="AA216">
        <f>IF(OR(AA$4="",$A216&gt;TODAY()),0,IF(OR(INDEX($B216:$D216,AA$5)="F",AND(AA$6&gt;0,$A216&lt;AA$6),AND(AA$7&gt;0,$A216&gt;AA$7)),0,MAX(0,ROUND((INDEX($E216:$G216,AA$5)-SUMIFS(TF_Timer,TF_Tekniker,AA$4,TF_Dato,$A216))*2,0)/2)))</f>
        <v/>
      </c>
      <c r="AB216">
        <f>IF(OR(AB$4="",$A216&gt;TODAY()),0,IF(OR(INDEX($B216:$D216,AB$5)="F",AND(AB$6&gt;0,$A216&lt;AB$6),AND(AB$7&gt;0,$A216&gt;AB$7)),0,MAX(0,ROUND((INDEX($E216:$G216,AB$5)-SUMIFS(TF_Timer,TF_Tekniker,AB$4,TF_Dato,$A216))*2,0)/2)))</f>
        <v/>
      </c>
      <c r="AC216">
        <f>IF(OR(AC$4="",$A216&gt;TODAY()),0,IF(OR(INDEX($B216:$D216,AC$5)="F",AND(AC$6&gt;0,$A216&lt;AC$6),AND(AC$7&gt;0,$A216&gt;AC$7)),0,MAX(0,ROUND((INDEX($E216:$G216,AC$5)-SUMIFS(TF_Timer,TF_Tekniker,AC$4,TF_Dato,$A216))*2,0)/2)))</f>
        <v/>
      </c>
      <c r="AD216">
        <f>IF(OR(AD$4="",$A216&gt;TODAY()),0,IF(OR(INDEX($B216:$D216,AD$5)="F",AND(AD$6&gt;0,$A216&lt;AD$6),AND(AD$7&gt;0,$A216&gt;AD$7)),0,MAX(0,ROUND((INDEX($E216:$G216,AD$5)-SUMIFS(TF_Timer,TF_Tekniker,AD$4,TF_Dato,$A216))*2,0)/2)))</f>
        <v/>
      </c>
      <c r="AE216">
        <f>IF(OR(AE$4="",$A216&gt;TODAY()),0,IF(OR(INDEX($B216:$D216,AE$5)="F",AND(AE$6&gt;0,$A216&lt;AE$6),AND(AE$7&gt;0,$A216&gt;AE$7)),0,MAX(0,ROUND((INDEX($E216:$G216,AE$5)-SUMIFS(TF_Timer,TF_Tekniker,AE$4,TF_Dato,$A216))*2,0)/2)))</f>
        <v/>
      </c>
      <c r="AF216">
        <f>IF(OR(AF$4="",$A216&gt;TODAY()),0,IF(OR(INDEX($B216:$D216,AF$5)="F",AND(AF$6&gt;0,$A216&lt;AF$6),AND(AF$7&gt;0,$A216&gt;AF$7)),0,MAX(0,ROUND((INDEX($E216:$G216,AF$5)-SUMIFS(TF_Timer,TF_Tekniker,AF$4,TF_Dato,$A216))*2,0)/2)))</f>
        <v/>
      </c>
      <c r="AG216">
        <f>IF(OR(AG$4="",$A216&gt;TODAY()),0,IF(OR(INDEX($B216:$D216,AG$5)="F",AND(AG$6&gt;0,$A216&lt;AG$6),AND(AG$7&gt;0,$A216&gt;AG$7)),0,MAX(0,ROUND((INDEX($E216:$G216,AG$5)-SUMIFS(TF_Timer,TF_Tekniker,AG$4,TF_Dato,$A216))*2,0)/2)))</f>
        <v/>
      </c>
      <c r="AH216">
        <f>IF(OR(AH$4="",$A216&gt;TODAY()),0,IF(OR(INDEX($B216:$D216,AH$5)="F",AND(AH$6&gt;0,$A216&lt;AH$6),AND(AH$7&gt;0,$A216&gt;AH$7)),0,MAX(0,ROUND((INDEX($E216:$G216,AH$5)-SUMIFS(TF_Timer,TF_Tekniker,AH$4,TF_Dato,$A216))*2,0)/2)))</f>
        <v/>
      </c>
      <c r="AI216">
        <f>IF(OR(AI$4="",$A216&gt;TODAY()),0,IF(OR(INDEX($B216:$D216,AI$5)="F",AND(AI$6&gt;0,$A216&lt;AI$6),AND(AI$7&gt;0,$A216&gt;AI$7)),0,MAX(0,ROUND((INDEX($E216:$G216,AI$5)-SUMIFS(TF_Timer,TF_Tekniker,AI$4,TF_Dato,$A216))*2,0)/2)))</f>
        <v/>
      </c>
      <c r="AJ216">
        <f>IF(OR(AJ$4="",$A216&gt;TODAY()),0,IF(OR(INDEX($B216:$D216,AJ$5)="F",AND(AJ$6&gt;0,$A216&lt;AJ$6),AND(AJ$7&gt;0,$A216&gt;AJ$7)),0,MAX(0,ROUND((INDEX($E216:$G216,AJ$5)-SUMIFS(TF_Timer,TF_Tekniker,AJ$4,TF_Dato,$A216))*2,0)/2)))</f>
        <v/>
      </c>
      <c r="AK216">
        <f>IF(OR(AK$4="",$A216&gt;TODAY()),0,IF(OR(INDEX($B216:$D216,AK$5)="F",AND(AK$6&gt;0,$A216&lt;AK$6),AND(AK$7&gt;0,$A216&gt;AK$7)),0,MAX(0,ROUND((INDEX($E216:$G216,AK$5)-SUMIFS(TF_Timer,TF_Tekniker,AK$4,TF_Dato,$A216))*2,0)/2)))</f>
        <v/>
      </c>
      <c r="AL216">
        <f>IF(OR(AL$4="",$A216&gt;TODAY()),0,IF(OR(INDEX($B216:$D216,AL$5)="F",AND(AL$6&gt;0,$A216&lt;AL$6),AND(AL$7&gt;0,$A216&gt;AL$7)),0,MAX(0,ROUND((INDEX($E216:$G216,AL$5)-SUMIFS(TF_Timer,TF_Tekniker,AL$4,TF_Dato,$A216))*2,0)/2)))</f>
        <v/>
      </c>
      <c r="AM216">
        <f>IF(OR(AM$4="",$A216&gt;TODAY()),0,IF(OR(INDEX($B216:$D216,AM$5)="F",AND(AM$6&gt;0,$A216&lt;AM$6),AND(AM$7&gt;0,$A216&gt;AM$7)),0,MAX(0,ROUND((INDEX($E216:$G216,AM$5)-SUMIFS(TF_Timer,TF_Tekniker,AM$4,TF_Dato,$A216))*2,0)/2)))</f>
        <v/>
      </c>
      <c r="AN216">
        <f>IF(OR(AN$4="",$A216&gt;TODAY()),0,IF(OR(INDEX($B216:$D216,AN$5)="F",AND(AN$6&gt;0,$A216&lt;AN$6),AND(AN$7&gt;0,$A216&gt;AN$7)),0,MAX(0,ROUND((INDEX($E216:$G216,AN$5)-SUMIFS(TF_Timer,TF_Tekniker,AN$4,TF_Dato,$A216))*2,0)/2)))</f>
        <v/>
      </c>
      <c r="AO216">
        <f>IF(OR(AO$4="",$A216&gt;TODAY()),0,IF(OR(INDEX($B216:$D216,AO$5)="F",AND(AO$6&gt;0,$A216&lt;AO$6),AND(AO$7&gt;0,$A216&gt;AO$7)),0,MAX(0,ROUND((INDEX($E216:$G216,AO$5)-SUMIFS(TF_Timer,TF_Tekniker,AO$4,TF_Dato,$A216))*2,0)/2)))</f>
        <v/>
      </c>
      <c r="AP216">
        <f>IF(OR(AP$4="",$A216&gt;TODAY()),0,IF(OR(INDEX($B216:$D216,AP$5)="F",AND(AP$6&gt;0,$A216&lt;AP$6),AND(AP$7&gt;0,$A216&gt;AP$7)),0,MAX(0,ROUND((INDEX($E216:$G216,AP$5)-SUMIFS(TF_Timer,TF_Tekniker,AP$4,TF_Dato,$A216))*2,0)/2)))</f>
        <v/>
      </c>
      <c r="AQ216">
        <f>IF(OR(AQ$4="",$A216&gt;TODAY()),0,IF(OR(INDEX($B216:$D216,AQ$5)="F",AND(AQ$6&gt;0,$A216&lt;AQ$6),AND(AQ$7&gt;0,$A216&gt;AQ$7)),0,MAX(0,ROUND((INDEX($E216:$G216,AQ$5)-SUMIFS(TF_Timer,TF_Tekniker,AQ$4,TF_Dato,$A216))*2,0)/2)))</f>
        <v/>
      </c>
      <c r="AR216">
        <f>IF(OR(AR$4="",$A216&gt;TODAY()),0,IF(OR(INDEX($B216:$D216,AR$5)="F",AND(AR$6&gt;0,$A216&lt;AR$6),AND(AR$7&gt;0,$A216&gt;AR$7)),0,MAX(0,ROUND((INDEX($E216:$G216,AR$5)-SUMIFS(TF_Timer,TF_Tekniker,AR$4,TF_Dato,$A216))*2,0)/2)))</f>
        <v/>
      </c>
      <c r="AS216">
        <f>IF(OR(AS$4="",$A216&gt;TODAY()),0,IF(OR(INDEX($B216:$D216,AS$5)="F",AND(AS$6&gt;0,$A216&lt;AS$6),AND(AS$7&gt;0,$A216&gt;AS$7)),0,MAX(0,ROUND((INDEX($E216:$G216,AS$5)-SUMIFS(TF_Timer,TF_Tekniker,AS$4,TF_Dato,$A216))*2,0)/2)))</f>
        <v/>
      </c>
      <c r="AT216">
        <f>IF(OR(AT$4="",$A216&gt;TODAY()),0,IF(OR(INDEX($B216:$D216,AT$5)="F",AND(AT$6&gt;0,$A216&lt;AT$6),AND(AT$7&gt;0,$A216&gt;AT$7)),0,MAX(0,ROUND((INDEX($E216:$G216,AT$5)-SUMIFS(TF_Timer,TF_Tekniker,AT$4,TF_Dato,$A216))*2,0)/2)))</f>
        <v/>
      </c>
      <c r="AU216">
        <f>IF(OR(AU$4="",$A216&gt;TODAY()),0,IF(OR(INDEX($B216:$D216,AU$5)="F",AND(AU$6&gt;0,$A216&lt;AU$6),AND(AU$7&gt;0,$A216&gt;AU$7)),0,MAX(0,ROUND((INDEX($E216:$G216,AU$5)-SUMIFS(TF_Timer,TF_Tekniker,AU$4,TF_Dato,$A216))*2,0)/2)))</f>
        <v/>
      </c>
      <c r="AV216">
        <f>IF(OR(AV$4="",$A216&gt;TODAY()),0,IF(OR(INDEX($B216:$D216,AV$5)="F",AND(AV$6&gt;0,$A216&lt;AV$6),AND(AV$7&gt;0,$A216&gt;AV$7)),0,MAX(0,ROUND((INDEX($E216:$G216,AV$5)-SUMIFS(TF_Timer,TF_Tekniker,AV$4,TF_Dato,$A216))*2,0)/2)))</f>
        <v/>
      </c>
      <c r="AW216">
        <f>IF(OR(AW$4="",$A216&gt;TODAY()),0,IF(OR(INDEX($B216:$D216,AW$5)="F",AND(AW$6&gt;0,$A216&lt;AW$6),AND(AW$7&gt;0,$A216&gt;AW$7)),0,MAX(0,ROUND((INDEX($E216:$G216,AW$5)-SUMIFS(TF_Timer,TF_Tekniker,AW$4,TF_Dato,$A216))*2,0)/2)))</f>
        <v/>
      </c>
      <c r="AX216">
        <f>IF(OR(AX$4="",$A216&gt;TODAY()),0,IF(OR(INDEX($B216:$D216,AX$5)="F",AND(AX$6&gt;0,$A216&lt;AX$6),AND(AX$7&gt;0,$A216&gt;AX$7)),0,MAX(0,ROUND((INDEX($E216:$G216,AX$5)-SUMIFS(TF_Timer,TF_Tekniker,AX$4,TF_Dato,$A216))*2,0)/2)))</f>
        <v/>
      </c>
      <c r="AY216">
        <f>IF(OR(AY$4="",$A216&gt;TODAY()),0,IF(OR(INDEX($B216:$D216,AY$5)="F",AND(AY$6&gt;0,$A216&lt;AY$6),AND(AY$7&gt;0,$A216&gt;AY$7)),0,MAX(0,ROUND((INDEX($E216:$G216,AY$5)-SUMIFS(TF_Timer,TF_Tekniker,AY$4,TF_Dato,$A216))*2,0)/2)))</f>
        <v/>
      </c>
      <c r="AZ216">
        <f>IF(OR(AZ$4="",$A216&gt;TODAY()),0,IF(OR(INDEX($B216:$D216,AZ$5)="F",AND(AZ$6&gt;0,$A216&lt;AZ$6),AND(AZ$7&gt;0,$A216&gt;AZ$7)),0,MAX(0,ROUND((INDEX($E216:$G216,AZ$5)-SUMIFS(TF_Timer,TF_Tekniker,AZ$4,TF_Dato,$A216))*2,0)/2)))</f>
        <v/>
      </c>
      <c r="BA216">
        <f>IF(OR(BA$4="",$A216&gt;TODAY()),0,IF(OR(INDEX($B216:$D216,BA$5)="F",AND(BA$6&gt;0,$A216&lt;BA$6),AND(BA$7&gt;0,$A216&gt;BA$7)),0,MAX(0,ROUND((INDEX($E216:$G216,BA$5)-SUMIFS(TF_Timer,TF_Tekniker,BA$4,TF_Dato,$A216))*2,0)/2)))</f>
        <v/>
      </c>
      <c r="BB216">
        <f>IF(OR(BB$4="",$A216&gt;TODAY()),0,IF(OR(INDEX($B216:$D216,BB$5)="F",AND(BB$6&gt;0,$A216&lt;BB$6),AND(BB$7&gt;0,$A216&gt;BB$7)),0,MAX(0,ROUND((INDEX($E216:$G216,BB$5)-SUMIFS(TF_Timer,TF_Tekniker,BB$4,TF_Dato,$A216))*2,0)/2)))</f>
        <v/>
      </c>
      <c r="BC216">
        <f>IF(OR(BC$4="",$A216&gt;TODAY()),0,IF(OR(INDEX($B216:$D216,BC$5)="F",AND(BC$6&gt;0,$A216&lt;BC$6),AND(BC$7&gt;0,$A216&gt;BC$7)),0,MAX(0,ROUND((INDEX($E216:$G216,BC$5)-SUMIFS(TF_Timer,TF_Tekniker,BC$4,TF_Dato,$A216))*2,0)/2)))</f>
        <v/>
      </c>
      <c r="BD216">
        <f>IF(OR(BD$4="",$A216&gt;TODAY()),0,IF(OR(INDEX($B216:$D216,BD$5)="F",AND(BD$6&gt;0,$A216&lt;BD$6),AND(BD$7&gt;0,$A216&gt;BD$7)),0,MAX(0,ROUND((INDEX($E216:$G216,BD$5)-SUMIFS(TF_Timer,TF_Tekniker,BD$4,TF_Dato,$A216))*2,0)/2)))</f>
        <v/>
      </c>
      <c r="BE216">
        <f>IF(OR(BE$4="",$A216&gt;TODAY()),0,IF(OR(INDEX($B216:$D216,BE$5)="F",AND(BE$6&gt;0,$A216&lt;BE$6),AND(BE$7&gt;0,$A216&gt;BE$7)),0,MAX(0,ROUND((INDEX($E216:$G216,BE$5)-SUMIFS(TF_Timer,TF_Tekniker,BE$4,TF_Dato,$A216))*2,0)/2)))</f>
        <v/>
      </c>
      <c r="BF216">
        <f>IF(OR(BF$4="",$A216&gt;TODAY()),0,IF(OR(INDEX($B216:$D216,BF$5)="F",AND(BF$6&gt;0,$A216&lt;BF$6),AND(BF$7&gt;0,$A216&gt;BF$7)),0,MAX(0,ROUND((INDEX($E216:$G216,BF$5)-SUMIFS(TF_Timer,TF_Tekniker,BF$4,TF_Dato,$A216))*2,0)/2)))</f>
        <v/>
      </c>
      <c r="BG216">
        <f>IF(OR(BG$4="",$A216&gt;TODAY()),0,IF(OR(INDEX($B216:$D216,BG$5)="F",AND(BG$6&gt;0,$A216&lt;BG$6),AND(BG$7&gt;0,$A216&gt;BG$7)),0,MAX(0,ROUND((INDEX($E216:$G216,BG$5)-SUMIFS(TF_Timer,TF_Tekniker,BG$4,TF_Dato,$A216))*2,0)/2)))</f>
        <v/>
      </c>
      <c r="BH216">
        <f>IF(OR(BH$4="",$A216&gt;TODAY()),0,IF(OR(INDEX($B216:$D216,BH$5)="F",AND(BH$6&gt;0,$A216&lt;BH$6),AND(BH$7&gt;0,$A216&gt;BH$7)),0,MAX(0,ROUND((INDEX($E216:$G216,BH$5)-SUMIFS(TF_Timer,TF_Tekniker,BH$4,TF_Dato,$A216))*2,0)/2)))</f>
        <v/>
      </c>
      <c r="BI216">
        <f>IF(OR(BI$4="",$A216&gt;TODAY()),0,IF(OR(INDEX($B216:$D216,BI$5)="F",AND(BI$6&gt;0,$A216&lt;BI$6),AND(BI$7&gt;0,$A216&gt;BI$7)),0,MAX(0,ROUND((INDEX($E216:$G216,BI$5)-SUMIFS(TF_Timer,TF_Tekniker,BI$4,TF_Dato,$A216))*2,0)/2)))</f>
        <v/>
      </c>
    </row>
    <row r="217">
      <c r="A217" s="64">
        <f>A216+1</f>
        <v/>
      </c>
      <c r="B217">
        <f>IF(MOD($A217-INDEX(SkiftStart,1),Syklus)&lt;DagK,"K",IF(MOD($A217-INDEX(SkiftStart,1),Syklus)&lt;DagK+DagH,"H",IF(MOD($A217-INDEX(SkiftStart,1),Syklus)&lt;DagK+DagH+DagD,"D","F")))</f>
        <v/>
      </c>
      <c r="C217">
        <f>IF(MOD($A217-INDEX(SkiftStart,2),Syklus)&lt;DagK,"K",IF(MOD($A217-INDEX(SkiftStart,2),Syklus)&lt;DagK+DagH,"H",IF(MOD($A217-INDEX(SkiftStart,2),Syklus)&lt;DagK+DagH+DagD,"D","F")))</f>
        <v/>
      </c>
      <c r="D217">
        <f>IF(MOD($A217-INDEX(SkiftStart,3),Syklus)&lt;DagK,"K",IF(MOD($A217-INDEX(SkiftStart,3),Syklus)&lt;DagK+DagH,"H",IF(MOD($A217-INDEX(SkiftStart,3),Syklus)&lt;DagK+DagH+DagD,"D","F")))</f>
        <v/>
      </c>
      <c r="E217">
        <f>IF(B217="F",0,IF(WEEKDAY($A217,2)=5,INDEX(TimerFr,MATCH(B217,FaseKode,0)),INDEX(TimerMT,MATCH(B217,FaseKode,0))))</f>
        <v/>
      </c>
      <c r="F217">
        <f>IF(C217="F",0,IF(WEEKDAY($A217,2)=5,INDEX(TimerFr,MATCH(C217,FaseKode,0)),INDEX(TimerMT,MATCH(C217,FaseKode,0))))</f>
        <v/>
      </c>
      <c r="G217">
        <f>IF(D217="F",0,IF(WEEKDAY($A217,2)=5,INDEX(TimerFr,MATCH(D217,FaseKode,0)),INDEX(TimerMT,MATCH(D217,FaseKode,0))))</f>
        <v/>
      </c>
      <c r="H217">
        <f>IF(OR(H$4="",$A217&gt;TODAY()),0,IF(OR(INDEX($B217:$D217,H$5)="F",AND(H$6&gt;0,$A217&lt;H$6),AND(H$7&gt;0,$A217&gt;H$7)),0,MAX(0,ROUND((INDEX($E217:$G217,H$5)-SUMIFS(TF_Timer,TF_Tekniker,H$4,TF_Dato,$A217))*2,0)/2)))</f>
        <v/>
      </c>
      <c r="I217">
        <f>IF(OR(I$4="",$A217&gt;TODAY()),0,IF(OR(INDEX($B217:$D217,I$5)="F",AND(I$6&gt;0,$A217&lt;I$6),AND(I$7&gt;0,$A217&gt;I$7)),0,MAX(0,ROUND((INDEX($E217:$G217,I$5)-SUMIFS(TF_Timer,TF_Tekniker,I$4,TF_Dato,$A217))*2,0)/2)))</f>
        <v/>
      </c>
      <c r="J217">
        <f>IF(OR(J$4="",$A217&gt;TODAY()),0,IF(OR(INDEX($B217:$D217,J$5)="F",AND(J$6&gt;0,$A217&lt;J$6),AND(J$7&gt;0,$A217&gt;J$7)),0,MAX(0,ROUND((INDEX($E217:$G217,J$5)-SUMIFS(TF_Timer,TF_Tekniker,J$4,TF_Dato,$A217))*2,0)/2)))</f>
        <v/>
      </c>
      <c r="K217">
        <f>IF(OR(K$4="",$A217&gt;TODAY()),0,IF(OR(INDEX($B217:$D217,K$5)="F",AND(K$6&gt;0,$A217&lt;K$6),AND(K$7&gt;0,$A217&gt;K$7)),0,MAX(0,ROUND((INDEX($E217:$G217,K$5)-SUMIFS(TF_Timer,TF_Tekniker,K$4,TF_Dato,$A217))*2,0)/2)))</f>
        <v/>
      </c>
      <c r="L217">
        <f>IF(OR(L$4="",$A217&gt;TODAY()),0,IF(OR(INDEX($B217:$D217,L$5)="F",AND(L$6&gt;0,$A217&lt;L$6),AND(L$7&gt;0,$A217&gt;L$7)),0,MAX(0,ROUND((INDEX($E217:$G217,L$5)-SUMIFS(TF_Timer,TF_Tekniker,L$4,TF_Dato,$A217))*2,0)/2)))</f>
        <v/>
      </c>
      <c r="M217">
        <f>IF(OR(M$4="",$A217&gt;TODAY()),0,IF(OR(INDEX($B217:$D217,M$5)="F",AND(M$6&gt;0,$A217&lt;M$6),AND(M$7&gt;0,$A217&gt;M$7)),0,MAX(0,ROUND((INDEX($E217:$G217,M$5)-SUMIFS(TF_Timer,TF_Tekniker,M$4,TF_Dato,$A217))*2,0)/2)))</f>
        <v/>
      </c>
      <c r="N217">
        <f>IF(OR(N$4="",$A217&gt;TODAY()),0,IF(OR(INDEX($B217:$D217,N$5)="F",AND(N$6&gt;0,$A217&lt;N$6),AND(N$7&gt;0,$A217&gt;N$7)),0,MAX(0,ROUND((INDEX($E217:$G217,N$5)-SUMIFS(TF_Timer,TF_Tekniker,N$4,TF_Dato,$A217))*2,0)/2)))</f>
        <v/>
      </c>
      <c r="O217">
        <f>IF(OR(O$4="",$A217&gt;TODAY()),0,IF(OR(INDEX($B217:$D217,O$5)="F",AND(O$6&gt;0,$A217&lt;O$6),AND(O$7&gt;0,$A217&gt;O$7)),0,MAX(0,ROUND((INDEX($E217:$G217,O$5)-SUMIFS(TF_Timer,TF_Tekniker,O$4,TF_Dato,$A217))*2,0)/2)))</f>
        <v/>
      </c>
      <c r="P217">
        <f>IF(OR(P$4="",$A217&gt;TODAY()),0,IF(OR(INDEX($B217:$D217,P$5)="F",AND(P$6&gt;0,$A217&lt;P$6),AND(P$7&gt;0,$A217&gt;P$7)),0,MAX(0,ROUND((INDEX($E217:$G217,P$5)-SUMIFS(TF_Timer,TF_Tekniker,P$4,TF_Dato,$A217))*2,0)/2)))</f>
        <v/>
      </c>
      <c r="Q217">
        <f>IF(OR(Q$4="",$A217&gt;TODAY()),0,IF(OR(INDEX($B217:$D217,Q$5)="F",AND(Q$6&gt;0,$A217&lt;Q$6),AND(Q$7&gt;0,$A217&gt;Q$7)),0,MAX(0,ROUND((INDEX($E217:$G217,Q$5)-SUMIFS(TF_Timer,TF_Tekniker,Q$4,TF_Dato,$A217))*2,0)/2)))</f>
        <v/>
      </c>
      <c r="R217">
        <f>IF(OR(R$4="",$A217&gt;TODAY()),0,IF(OR(INDEX($B217:$D217,R$5)="F",AND(R$6&gt;0,$A217&lt;R$6),AND(R$7&gt;0,$A217&gt;R$7)),0,MAX(0,ROUND((INDEX($E217:$G217,R$5)-SUMIFS(TF_Timer,TF_Tekniker,R$4,TF_Dato,$A217))*2,0)/2)))</f>
        <v/>
      </c>
      <c r="S217">
        <f>IF(OR(S$4="",$A217&gt;TODAY()),0,IF(OR(INDEX($B217:$D217,S$5)="F",AND(S$6&gt;0,$A217&lt;S$6),AND(S$7&gt;0,$A217&gt;S$7)),0,MAX(0,ROUND((INDEX($E217:$G217,S$5)-SUMIFS(TF_Timer,TF_Tekniker,S$4,TF_Dato,$A217))*2,0)/2)))</f>
        <v/>
      </c>
      <c r="T217">
        <f>IF(OR(T$4="",$A217&gt;TODAY()),0,IF(OR(INDEX($B217:$D217,T$5)="F",AND(T$6&gt;0,$A217&lt;T$6),AND(T$7&gt;0,$A217&gt;T$7)),0,MAX(0,ROUND((INDEX($E217:$G217,T$5)-SUMIFS(TF_Timer,TF_Tekniker,T$4,TF_Dato,$A217))*2,0)/2)))</f>
        <v/>
      </c>
      <c r="U217">
        <f>IF(OR(U$4="",$A217&gt;TODAY()),0,IF(OR(INDEX($B217:$D217,U$5)="F",AND(U$6&gt;0,$A217&lt;U$6),AND(U$7&gt;0,$A217&gt;U$7)),0,MAX(0,ROUND((INDEX($E217:$G217,U$5)-SUMIFS(TF_Timer,TF_Tekniker,U$4,TF_Dato,$A217))*2,0)/2)))</f>
        <v/>
      </c>
      <c r="V217">
        <f>IF(OR(V$4="",$A217&gt;TODAY()),0,IF(OR(INDEX($B217:$D217,V$5)="F",AND(V$6&gt;0,$A217&lt;V$6),AND(V$7&gt;0,$A217&gt;V$7)),0,MAX(0,ROUND((INDEX($E217:$G217,V$5)-SUMIFS(TF_Timer,TF_Tekniker,V$4,TF_Dato,$A217))*2,0)/2)))</f>
        <v/>
      </c>
      <c r="W217">
        <f>IF(OR(W$4="",$A217&gt;TODAY()),0,IF(OR(INDEX($B217:$D217,W$5)="F",AND(W$6&gt;0,$A217&lt;W$6),AND(W$7&gt;0,$A217&gt;W$7)),0,MAX(0,ROUND((INDEX($E217:$G217,W$5)-SUMIFS(TF_Timer,TF_Tekniker,W$4,TF_Dato,$A217))*2,0)/2)))</f>
        <v/>
      </c>
      <c r="X217">
        <f>IF(OR(X$4="",$A217&gt;TODAY()),0,IF(OR(INDEX($B217:$D217,X$5)="F",AND(X$6&gt;0,$A217&lt;X$6),AND(X$7&gt;0,$A217&gt;X$7)),0,MAX(0,ROUND((INDEX($E217:$G217,X$5)-SUMIFS(TF_Timer,TF_Tekniker,X$4,TF_Dato,$A217))*2,0)/2)))</f>
        <v/>
      </c>
      <c r="Y217">
        <f>IF(OR(Y$4="",$A217&gt;TODAY()),0,IF(OR(INDEX($B217:$D217,Y$5)="F",AND(Y$6&gt;0,$A217&lt;Y$6),AND(Y$7&gt;0,$A217&gt;Y$7)),0,MAX(0,ROUND((INDEX($E217:$G217,Y$5)-SUMIFS(TF_Timer,TF_Tekniker,Y$4,TF_Dato,$A217))*2,0)/2)))</f>
        <v/>
      </c>
      <c r="Z217">
        <f>IF(OR(Z$4="",$A217&gt;TODAY()),0,IF(OR(INDEX($B217:$D217,Z$5)="F",AND(Z$6&gt;0,$A217&lt;Z$6),AND(Z$7&gt;0,$A217&gt;Z$7)),0,MAX(0,ROUND((INDEX($E217:$G217,Z$5)-SUMIFS(TF_Timer,TF_Tekniker,Z$4,TF_Dato,$A217))*2,0)/2)))</f>
        <v/>
      </c>
      <c r="AA217">
        <f>IF(OR(AA$4="",$A217&gt;TODAY()),0,IF(OR(INDEX($B217:$D217,AA$5)="F",AND(AA$6&gt;0,$A217&lt;AA$6),AND(AA$7&gt;0,$A217&gt;AA$7)),0,MAX(0,ROUND((INDEX($E217:$G217,AA$5)-SUMIFS(TF_Timer,TF_Tekniker,AA$4,TF_Dato,$A217))*2,0)/2)))</f>
        <v/>
      </c>
      <c r="AB217">
        <f>IF(OR(AB$4="",$A217&gt;TODAY()),0,IF(OR(INDEX($B217:$D217,AB$5)="F",AND(AB$6&gt;0,$A217&lt;AB$6),AND(AB$7&gt;0,$A217&gt;AB$7)),0,MAX(0,ROUND((INDEX($E217:$G217,AB$5)-SUMIFS(TF_Timer,TF_Tekniker,AB$4,TF_Dato,$A217))*2,0)/2)))</f>
        <v/>
      </c>
      <c r="AC217">
        <f>IF(OR(AC$4="",$A217&gt;TODAY()),0,IF(OR(INDEX($B217:$D217,AC$5)="F",AND(AC$6&gt;0,$A217&lt;AC$6),AND(AC$7&gt;0,$A217&gt;AC$7)),0,MAX(0,ROUND((INDEX($E217:$G217,AC$5)-SUMIFS(TF_Timer,TF_Tekniker,AC$4,TF_Dato,$A217))*2,0)/2)))</f>
        <v/>
      </c>
      <c r="AD217">
        <f>IF(OR(AD$4="",$A217&gt;TODAY()),0,IF(OR(INDEX($B217:$D217,AD$5)="F",AND(AD$6&gt;0,$A217&lt;AD$6),AND(AD$7&gt;0,$A217&gt;AD$7)),0,MAX(0,ROUND((INDEX($E217:$G217,AD$5)-SUMIFS(TF_Timer,TF_Tekniker,AD$4,TF_Dato,$A217))*2,0)/2)))</f>
        <v/>
      </c>
      <c r="AE217">
        <f>IF(OR(AE$4="",$A217&gt;TODAY()),0,IF(OR(INDEX($B217:$D217,AE$5)="F",AND(AE$6&gt;0,$A217&lt;AE$6),AND(AE$7&gt;0,$A217&gt;AE$7)),0,MAX(0,ROUND((INDEX($E217:$G217,AE$5)-SUMIFS(TF_Timer,TF_Tekniker,AE$4,TF_Dato,$A217))*2,0)/2)))</f>
        <v/>
      </c>
      <c r="AF217">
        <f>IF(OR(AF$4="",$A217&gt;TODAY()),0,IF(OR(INDEX($B217:$D217,AF$5)="F",AND(AF$6&gt;0,$A217&lt;AF$6),AND(AF$7&gt;0,$A217&gt;AF$7)),0,MAX(0,ROUND((INDEX($E217:$G217,AF$5)-SUMIFS(TF_Timer,TF_Tekniker,AF$4,TF_Dato,$A217))*2,0)/2)))</f>
        <v/>
      </c>
      <c r="AG217">
        <f>IF(OR(AG$4="",$A217&gt;TODAY()),0,IF(OR(INDEX($B217:$D217,AG$5)="F",AND(AG$6&gt;0,$A217&lt;AG$6),AND(AG$7&gt;0,$A217&gt;AG$7)),0,MAX(0,ROUND((INDEX($E217:$G217,AG$5)-SUMIFS(TF_Timer,TF_Tekniker,AG$4,TF_Dato,$A217))*2,0)/2)))</f>
        <v/>
      </c>
      <c r="AH217">
        <f>IF(OR(AH$4="",$A217&gt;TODAY()),0,IF(OR(INDEX($B217:$D217,AH$5)="F",AND(AH$6&gt;0,$A217&lt;AH$6),AND(AH$7&gt;0,$A217&gt;AH$7)),0,MAX(0,ROUND((INDEX($E217:$G217,AH$5)-SUMIFS(TF_Timer,TF_Tekniker,AH$4,TF_Dato,$A217))*2,0)/2)))</f>
        <v/>
      </c>
      <c r="AI217">
        <f>IF(OR(AI$4="",$A217&gt;TODAY()),0,IF(OR(INDEX($B217:$D217,AI$5)="F",AND(AI$6&gt;0,$A217&lt;AI$6),AND(AI$7&gt;0,$A217&gt;AI$7)),0,MAX(0,ROUND((INDEX($E217:$G217,AI$5)-SUMIFS(TF_Timer,TF_Tekniker,AI$4,TF_Dato,$A217))*2,0)/2)))</f>
        <v/>
      </c>
      <c r="AJ217">
        <f>IF(OR(AJ$4="",$A217&gt;TODAY()),0,IF(OR(INDEX($B217:$D217,AJ$5)="F",AND(AJ$6&gt;0,$A217&lt;AJ$6),AND(AJ$7&gt;0,$A217&gt;AJ$7)),0,MAX(0,ROUND((INDEX($E217:$G217,AJ$5)-SUMIFS(TF_Timer,TF_Tekniker,AJ$4,TF_Dato,$A217))*2,0)/2)))</f>
        <v/>
      </c>
      <c r="AK217">
        <f>IF(OR(AK$4="",$A217&gt;TODAY()),0,IF(OR(INDEX($B217:$D217,AK$5)="F",AND(AK$6&gt;0,$A217&lt;AK$6),AND(AK$7&gt;0,$A217&gt;AK$7)),0,MAX(0,ROUND((INDEX($E217:$G217,AK$5)-SUMIFS(TF_Timer,TF_Tekniker,AK$4,TF_Dato,$A217))*2,0)/2)))</f>
        <v/>
      </c>
      <c r="AL217">
        <f>IF(OR(AL$4="",$A217&gt;TODAY()),0,IF(OR(INDEX($B217:$D217,AL$5)="F",AND(AL$6&gt;0,$A217&lt;AL$6),AND(AL$7&gt;0,$A217&gt;AL$7)),0,MAX(0,ROUND((INDEX($E217:$G217,AL$5)-SUMIFS(TF_Timer,TF_Tekniker,AL$4,TF_Dato,$A217))*2,0)/2)))</f>
        <v/>
      </c>
      <c r="AM217">
        <f>IF(OR(AM$4="",$A217&gt;TODAY()),0,IF(OR(INDEX($B217:$D217,AM$5)="F",AND(AM$6&gt;0,$A217&lt;AM$6),AND(AM$7&gt;0,$A217&gt;AM$7)),0,MAX(0,ROUND((INDEX($E217:$G217,AM$5)-SUMIFS(TF_Timer,TF_Tekniker,AM$4,TF_Dato,$A217))*2,0)/2)))</f>
        <v/>
      </c>
      <c r="AN217">
        <f>IF(OR(AN$4="",$A217&gt;TODAY()),0,IF(OR(INDEX($B217:$D217,AN$5)="F",AND(AN$6&gt;0,$A217&lt;AN$6),AND(AN$7&gt;0,$A217&gt;AN$7)),0,MAX(0,ROUND((INDEX($E217:$G217,AN$5)-SUMIFS(TF_Timer,TF_Tekniker,AN$4,TF_Dato,$A217))*2,0)/2)))</f>
        <v/>
      </c>
      <c r="AO217">
        <f>IF(OR(AO$4="",$A217&gt;TODAY()),0,IF(OR(INDEX($B217:$D217,AO$5)="F",AND(AO$6&gt;0,$A217&lt;AO$6),AND(AO$7&gt;0,$A217&gt;AO$7)),0,MAX(0,ROUND((INDEX($E217:$G217,AO$5)-SUMIFS(TF_Timer,TF_Tekniker,AO$4,TF_Dato,$A217))*2,0)/2)))</f>
        <v/>
      </c>
      <c r="AP217">
        <f>IF(OR(AP$4="",$A217&gt;TODAY()),0,IF(OR(INDEX($B217:$D217,AP$5)="F",AND(AP$6&gt;0,$A217&lt;AP$6),AND(AP$7&gt;0,$A217&gt;AP$7)),0,MAX(0,ROUND((INDEX($E217:$G217,AP$5)-SUMIFS(TF_Timer,TF_Tekniker,AP$4,TF_Dato,$A217))*2,0)/2)))</f>
        <v/>
      </c>
      <c r="AQ217">
        <f>IF(OR(AQ$4="",$A217&gt;TODAY()),0,IF(OR(INDEX($B217:$D217,AQ$5)="F",AND(AQ$6&gt;0,$A217&lt;AQ$6),AND(AQ$7&gt;0,$A217&gt;AQ$7)),0,MAX(0,ROUND((INDEX($E217:$G217,AQ$5)-SUMIFS(TF_Timer,TF_Tekniker,AQ$4,TF_Dato,$A217))*2,0)/2)))</f>
        <v/>
      </c>
      <c r="AR217">
        <f>IF(OR(AR$4="",$A217&gt;TODAY()),0,IF(OR(INDEX($B217:$D217,AR$5)="F",AND(AR$6&gt;0,$A217&lt;AR$6),AND(AR$7&gt;0,$A217&gt;AR$7)),0,MAX(0,ROUND((INDEX($E217:$G217,AR$5)-SUMIFS(TF_Timer,TF_Tekniker,AR$4,TF_Dato,$A217))*2,0)/2)))</f>
        <v/>
      </c>
      <c r="AS217">
        <f>IF(OR(AS$4="",$A217&gt;TODAY()),0,IF(OR(INDEX($B217:$D217,AS$5)="F",AND(AS$6&gt;0,$A217&lt;AS$6),AND(AS$7&gt;0,$A217&gt;AS$7)),0,MAX(0,ROUND((INDEX($E217:$G217,AS$5)-SUMIFS(TF_Timer,TF_Tekniker,AS$4,TF_Dato,$A217))*2,0)/2)))</f>
        <v/>
      </c>
      <c r="AT217">
        <f>IF(OR(AT$4="",$A217&gt;TODAY()),0,IF(OR(INDEX($B217:$D217,AT$5)="F",AND(AT$6&gt;0,$A217&lt;AT$6),AND(AT$7&gt;0,$A217&gt;AT$7)),0,MAX(0,ROUND((INDEX($E217:$G217,AT$5)-SUMIFS(TF_Timer,TF_Tekniker,AT$4,TF_Dato,$A217))*2,0)/2)))</f>
        <v/>
      </c>
      <c r="AU217">
        <f>IF(OR(AU$4="",$A217&gt;TODAY()),0,IF(OR(INDEX($B217:$D217,AU$5)="F",AND(AU$6&gt;0,$A217&lt;AU$6),AND(AU$7&gt;0,$A217&gt;AU$7)),0,MAX(0,ROUND((INDEX($E217:$G217,AU$5)-SUMIFS(TF_Timer,TF_Tekniker,AU$4,TF_Dato,$A217))*2,0)/2)))</f>
        <v/>
      </c>
      <c r="AV217">
        <f>IF(OR(AV$4="",$A217&gt;TODAY()),0,IF(OR(INDEX($B217:$D217,AV$5)="F",AND(AV$6&gt;0,$A217&lt;AV$6),AND(AV$7&gt;0,$A217&gt;AV$7)),0,MAX(0,ROUND((INDEX($E217:$G217,AV$5)-SUMIFS(TF_Timer,TF_Tekniker,AV$4,TF_Dato,$A217))*2,0)/2)))</f>
        <v/>
      </c>
      <c r="AW217">
        <f>IF(OR(AW$4="",$A217&gt;TODAY()),0,IF(OR(INDEX($B217:$D217,AW$5)="F",AND(AW$6&gt;0,$A217&lt;AW$6),AND(AW$7&gt;0,$A217&gt;AW$7)),0,MAX(0,ROUND((INDEX($E217:$G217,AW$5)-SUMIFS(TF_Timer,TF_Tekniker,AW$4,TF_Dato,$A217))*2,0)/2)))</f>
        <v/>
      </c>
      <c r="AX217">
        <f>IF(OR(AX$4="",$A217&gt;TODAY()),0,IF(OR(INDEX($B217:$D217,AX$5)="F",AND(AX$6&gt;0,$A217&lt;AX$6),AND(AX$7&gt;0,$A217&gt;AX$7)),0,MAX(0,ROUND((INDEX($E217:$G217,AX$5)-SUMIFS(TF_Timer,TF_Tekniker,AX$4,TF_Dato,$A217))*2,0)/2)))</f>
        <v/>
      </c>
      <c r="AY217">
        <f>IF(OR(AY$4="",$A217&gt;TODAY()),0,IF(OR(INDEX($B217:$D217,AY$5)="F",AND(AY$6&gt;0,$A217&lt;AY$6),AND(AY$7&gt;0,$A217&gt;AY$7)),0,MAX(0,ROUND((INDEX($E217:$G217,AY$5)-SUMIFS(TF_Timer,TF_Tekniker,AY$4,TF_Dato,$A217))*2,0)/2)))</f>
        <v/>
      </c>
      <c r="AZ217">
        <f>IF(OR(AZ$4="",$A217&gt;TODAY()),0,IF(OR(INDEX($B217:$D217,AZ$5)="F",AND(AZ$6&gt;0,$A217&lt;AZ$6),AND(AZ$7&gt;0,$A217&gt;AZ$7)),0,MAX(0,ROUND((INDEX($E217:$G217,AZ$5)-SUMIFS(TF_Timer,TF_Tekniker,AZ$4,TF_Dato,$A217))*2,0)/2)))</f>
        <v/>
      </c>
      <c r="BA217">
        <f>IF(OR(BA$4="",$A217&gt;TODAY()),0,IF(OR(INDEX($B217:$D217,BA$5)="F",AND(BA$6&gt;0,$A217&lt;BA$6),AND(BA$7&gt;0,$A217&gt;BA$7)),0,MAX(0,ROUND((INDEX($E217:$G217,BA$5)-SUMIFS(TF_Timer,TF_Tekniker,BA$4,TF_Dato,$A217))*2,0)/2)))</f>
        <v/>
      </c>
      <c r="BB217">
        <f>IF(OR(BB$4="",$A217&gt;TODAY()),0,IF(OR(INDEX($B217:$D217,BB$5)="F",AND(BB$6&gt;0,$A217&lt;BB$6),AND(BB$7&gt;0,$A217&gt;BB$7)),0,MAX(0,ROUND((INDEX($E217:$G217,BB$5)-SUMIFS(TF_Timer,TF_Tekniker,BB$4,TF_Dato,$A217))*2,0)/2)))</f>
        <v/>
      </c>
      <c r="BC217">
        <f>IF(OR(BC$4="",$A217&gt;TODAY()),0,IF(OR(INDEX($B217:$D217,BC$5)="F",AND(BC$6&gt;0,$A217&lt;BC$6),AND(BC$7&gt;0,$A217&gt;BC$7)),0,MAX(0,ROUND((INDEX($E217:$G217,BC$5)-SUMIFS(TF_Timer,TF_Tekniker,BC$4,TF_Dato,$A217))*2,0)/2)))</f>
        <v/>
      </c>
      <c r="BD217">
        <f>IF(OR(BD$4="",$A217&gt;TODAY()),0,IF(OR(INDEX($B217:$D217,BD$5)="F",AND(BD$6&gt;0,$A217&lt;BD$6),AND(BD$7&gt;0,$A217&gt;BD$7)),0,MAX(0,ROUND((INDEX($E217:$G217,BD$5)-SUMIFS(TF_Timer,TF_Tekniker,BD$4,TF_Dato,$A217))*2,0)/2)))</f>
        <v/>
      </c>
      <c r="BE217">
        <f>IF(OR(BE$4="",$A217&gt;TODAY()),0,IF(OR(INDEX($B217:$D217,BE$5)="F",AND(BE$6&gt;0,$A217&lt;BE$6),AND(BE$7&gt;0,$A217&gt;BE$7)),0,MAX(0,ROUND((INDEX($E217:$G217,BE$5)-SUMIFS(TF_Timer,TF_Tekniker,BE$4,TF_Dato,$A217))*2,0)/2)))</f>
        <v/>
      </c>
      <c r="BF217">
        <f>IF(OR(BF$4="",$A217&gt;TODAY()),0,IF(OR(INDEX($B217:$D217,BF$5)="F",AND(BF$6&gt;0,$A217&lt;BF$6),AND(BF$7&gt;0,$A217&gt;BF$7)),0,MAX(0,ROUND((INDEX($E217:$G217,BF$5)-SUMIFS(TF_Timer,TF_Tekniker,BF$4,TF_Dato,$A217))*2,0)/2)))</f>
        <v/>
      </c>
      <c r="BG217">
        <f>IF(OR(BG$4="",$A217&gt;TODAY()),0,IF(OR(INDEX($B217:$D217,BG$5)="F",AND(BG$6&gt;0,$A217&lt;BG$6),AND(BG$7&gt;0,$A217&gt;BG$7)),0,MAX(0,ROUND((INDEX($E217:$G217,BG$5)-SUMIFS(TF_Timer,TF_Tekniker,BG$4,TF_Dato,$A217))*2,0)/2)))</f>
        <v/>
      </c>
      <c r="BH217">
        <f>IF(OR(BH$4="",$A217&gt;TODAY()),0,IF(OR(INDEX($B217:$D217,BH$5)="F",AND(BH$6&gt;0,$A217&lt;BH$6),AND(BH$7&gt;0,$A217&gt;BH$7)),0,MAX(0,ROUND((INDEX($E217:$G217,BH$5)-SUMIFS(TF_Timer,TF_Tekniker,BH$4,TF_Dato,$A217))*2,0)/2)))</f>
        <v/>
      </c>
      <c r="BI217">
        <f>IF(OR(BI$4="",$A217&gt;TODAY()),0,IF(OR(INDEX($B217:$D217,BI$5)="F",AND(BI$6&gt;0,$A217&lt;BI$6),AND(BI$7&gt;0,$A217&gt;BI$7)),0,MAX(0,ROUND((INDEX($E217:$G217,BI$5)-SUMIFS(TF_Timer,TF_Tekniker,BI$4,TF_Dato,$A217))*2,0)/2)))</f>
        <v/>
      </c>
    </row>
    <row r="218">
      <c r="A218" s="64">
        <f>A217+1</f>
        <v/>
      </c>
      <c r="B218">
        <f>IF(MOD($A218-INDEX(SkiftStart,1),Syklus)&lt;DagK,"K",IF(MOD($A218-INDEX(SkiftStart,1),Syklus)&lt;DagK+DagH,"H",IF(MOD($A218-INDEX(SkiftStart,1),Syklus)&lt;DagK+DagH+DagD,"D","F")))</f>
        <v/>
      </c>
      <c r="C218">
        <f>IF(MOD($A218-INDEX(SkiftStart,2),Syklus)&lt;DagK,"K",IF(MOD($A218-INDEX(SkiftStart,2),Syklus)&lt;DagK+DagH,"H",IF(MOD($A218-INDEX(SkiftStart,2),Syklus)&lt;DagK+DagH+DagD,"D","F")))</f>
        <v/>
      </c>
      <c r="D218">
        <f>IF(MOD($A218-INDEX(SkiftStart,3),Syklus)&lt;DagK,"K",IF(MOD($A218-INDEX(SkiftStart,3),Syklus)&lt;DagK+DagH,"H",IF(MOD($A218-INDEX(SkiftStart,3),Syklus)&lt;DagK+DagH+DagD,"D","F")))</f>
        <v/>
      </c>
      <c r="E218">
        <f>IF(B218="F",0,IF(WEEKDAY($A218,2)=5,INDEX(TimerFr,MATCH(B218,FaseKode,0)),INDEX(TimerMT,MATCH(B218,FaseKode,0))))</f>
        <v/>
      </c>
      <c r="F218">
        <f>IF(C218="F",0,IF(WEEKDAY($A218,2)=5,INDEX(TimerFr,MATCH(C218,FaseKode,0)),INDEX(TimerMT,MATCH(C218,FaseKode,0))))</f>
        <v/>
      </c>
      <c r="G218">
        <f>IF(D218="F",0,IF(WEEKDAY($A218,2)=5,INDEX(TimerFr,MATCH(D218,FaseKode,0)),INDEX(TimerMT,MATCH(D218,FaseKode,0))))</f>
        <v/>
      </c>
      <c r="H218">
        <f>IF(OR(H$4="",$A218&gt;TODAY()),0,IF(OR(INDEX($B218:$D218,H$5)="F",AND(H$6&gt;0,$A218&lt;H$6),AND(H$7&gt;0,$A218&gt;H$7)),0,MAX(0,ROUND((INDEX($E218:$G218,H$5)-SUMIFS(TF_Timer,TF_Tekniker,H$4,TF_Dato,$A218))*2,0)/2)))</f>
        <v/>
      </c>
      <c r="I218">
        <f>IF(OR(I$4="",$A218&gt;TODAY()),0,IF(OR(INDEX($B218:$D218,I$5)="F",AND(I$6&gt;0,$A218&lt;I$6),AND(I$7&gt;0,$A218&gt;I$7)),0,MAX(0,ROUND((INDEX($E218:$G218,I$5)-SUMIFS(TF_Timer,TF_Tekniker,I$4,TF_Dato,$A218))*2,0)/2)))</f>
        <v/>
      </c>
      <c r="J218">
        <f>IF(OR(J$4="",$A218&gt;TODAY()),0,IF(OR(INDEX($B218:$D218,J$5)="F",AND(J$6&gt;0,$A218&lt;J$6),AND(J$7&gt;0,$A218&gt;J$7)),0,MAX(0,ROUND((INDEX($E218:$G218,J$5)-SUMIFS(TF_Timer,TF_Tekniker,J$4,TF_Dato,$A218))*2,0)/2)))</f>
        <v/>
      </c>
      <c r="K218">
        <f>IF(OR(K$4="",$A218&gt;TODAY()),0,IF(OR(INDEX($B218:$D218,K$5)="F",AND(K$6&gt;0,$A218&lt;K$6),AND(K$7&gt;0,$A218&gt;K$7)),0,MAX(0,ROUND((INDEX($E218:$G218,K$5)-SUMIFS(TF_Timer,TF_Tekniker,K$4,TF_Dato,$A218))*2,0)/2)))</f>
        <v/>
      </c>
      <c r="L218">
        <f>IF(OR(L$4="",$A218&gt;TODAY()),0,IF(OR(INDEX($B218:$D218,L$5)="F",AND(L$6&gt;0,$A218&lt;L$6),AND(L$7&gt;0,$A218&gt;L$7)),0,MAX(0,ROUND((INDEX($E218:$G218,L$5)-SUMIFS(TF_Timer,TF_Tekniker,L$4,TF_Dato,$A218))*2,0)/2)))</f>
        <v/>
      </c>
      <c r="M218">
        <f>IF(OR(M$4="",$A218&gt;TODAY()),0,IF(OR(INDEX($B218:$D218,M$5)="F",AND(M$6&gt;0,$A218&lt;M$6),AND(M$7&gt;0,$A218&gt;M$7)),0,MAX(0,ROUND((INDEX($E218:$G218,M$5)-SUMIFS(TF_Timer,TF_Tekniker,M$4,TF_Dato,$A218))*2,0)/2)))</f>
        <v/>
      </c>
      <c r="N218">
        <f>IF(OR(N$4="",$A218&gt;TODAY()),0,IF(OR(INDEX($B218:$D218,N$5)="F",AND(N$6&gt;0,$A218&lt;N$6),AND(N$7&gt;0,$A218&gt;N$7)),0,MAX(0,ROUND((INDEX($E218:$G218,N$5)-SUMIFS(TF_Timer,TF_Tekniker,N$4,TF_Dato,$A218))*2,0)/2)))</f>
        <v/>
      </c>
      <c r="O218">
        <f>IF(OR(O$4="",$A218&gt;TODAY()),0,IF(OR(INDEX($B218:$D218,O$5)="F",AND(O$6&gt;0,$A218&lt;O$6),AND(O$7&gt;0,$A218&gt;O$7)),0,MAX(0,ROUND((INDEX($E218:$G218,O$5)-SUMIFS(TF_Timer,TF_Tekniker,O$4,TF_Dato,$A218))*2,0)/2)))</f>
        <v/>
      </c>
      <c r="P218">
        <f>IF(OR(P$4="",$A218&gt;TODAY()),0,IF(OR(INDEX($B218:$D218,P$5)="F",AND(P$6&gt;0,$A218&lt;P$6),AND(P$7&gt;0,$A218&gt;P$7)),0,MAX(0,ROUND((INDEX($E218:$G218,P$5)-SUMIFS(TF_Timer,TF_Tekniker,P$4,TF_Dato,$A218))*2,0)/2)))</f>
        <v/>
      </c>
      <c r="Q218">
        <f>IF(OR(Q$4="",$A218&gt;TODAY()),0,IF(OR(INDEX($B218:$D218,Q$5)="F",AND(Q$6&gt;0,$A218&lt;Q$6),AND(Q$7&gt;0,$A218&gt;Q$7)),0,MAX(0,ROUND((INDEX($E218:$G218,Q$5)-SUMIFS(TF_Timer,TF_Tekniker,Q$4,TF_Dato,$A218))*2,0)/2)))</f>
        <v/>
      </c>
      <c r="R218">
        <f>IF(OR(R$4="",$A218&gt;TODAY()),0,IF(OR(INDEX($B218:$D218,R$5)="F",AND(R$6&gt;0,$A218&lt;R$6),AND(R$7&gt;0,$A218&gt;R$7)),0,MAX(0,ROUND((INDEX($E218:$G218,R$5)-SUMIFS(TF_Timer,TF_Tekniker,R$4,TF_Dato,$A218))*2,0)/2)))</f>
        <v/>
      </c>
      <c r="S218">
        <f>IF(OR(S$4="",$A218&gt;TODAY()),0,IF(OR(INDEX($B218:$D218,S$5)="F",AND(S$6&gt;0,$A218&lt;S$6),AND(S$7&gt;0,$A218&gt;S$7)),0,MAX(0,ROUND((INDEX($E218:$G218,S$5)-SUMIFS(TF_Timer,TF_Tekniker,S$4,TF_Dato,$A218))*2,0)/2)))</f>
        <v/>
      </c>
      <c r="T218">
        <f>IF(OR(T$4="",$A218&gt;TODAY()),0,IF(OR(INDEX($B218:$D218,T$5)="F",AND(T$6&gt;0,$A218&lt;T$6),AND(T$7&gt;0,$A218&gt;T$7)),0,MAX(0,ROUND((INDEX($E218:$G218,T$5)-SUMIFS(TF_Timer,TF_Tekniker,T$4,TF_Dato,$A218))*2,0)/2)))</f>
        <v/>
      </c>
      <c r="U218">
        <f>IF(OR(U$4="",$A218&gt;TODAY()),0,IF(OR(INDEX($B218:$D218,U$5)="F",AND(U$6&gt;0,$A218&lt;U$6),AND(U$7&gt;0,$A218&gt;U$7)),0,MAX(0,ROUND((INDEX($E218:$G218,U$5)-SUMIFS(TF_Timer,TF_Tekniker,U$4,TF_Dato,$A218))*2,0)/2)))</f>
        <v/>
      </c>
      <c r="V218">
        <f>IF(OR(V$4="",$A218&gt;TODAY()),0,IF(OR(INDEX($B218:$D218,V$5)="F",AND(V$6&gt;0,$A218&lt;V$6),AND(V$7&gt;0,$A218&gt;V$7)),0,MAX(0,ROUND((INDEX($E218:$G218,V$5)-SUMIFS(TF_Timer,TF_Tekniker,V$4,TF_Dato,$A218))*2,0)/2)))</f>
        <v/>
      </c>
      <c r="W218">
        <f>IF(OR(W$4="",$A218&gt;TODAY()),0,IF(OR(INDEX($B218:$D218,W$5)="F",AND(W$6&gt;0,$A218&lt;W$6),AND(W$7&gt;0,$A218&gt;W$7)),0,MAX(0,ROUND((INDEX($E218:$G218,W$5)-SUMIFS(TF_Timer,TF_Tekniker,W$4,TF_Dato,$A218))*2,0)/2)))</f>
        <v/>
      </c>
      <c r="X218">
        <f>IF(OR(X$4="",$A218&gt;TODAY()),0,IF(OR(INDEX($B218:$D218,X$5)="F",AND(X$6&gt;0,$A218&lt;X$6),AND(X$7&gt;0,$A218&gt;X$7)),0,MAX(0,ROUND((INDEX($E218:$G218,X$5)-SUMIFS(TF_Timer,TF_Tekniker,X$4,TF_Dato,$A218))*2,0)/2)))</f>
        <v/>
      </c>
      <c r="Y218">
        <f>IF(OR(Y$4="",$A218&gt;TODAY()),0,IF(OR(INDEX($B218:$D218,Y$5)="F",AND(Y$6&gt;0,$A218&lt;Y$6),AND(Y$7&gt;0,$A218&gt;Y$7)),0,MAX(0,ROUND((INDEX($E218:$G218,Y$5)-SUMIFS(TF_Timer,TF_Tekniker,Y$4,TF_Dato,$A218))*2,0)/2)))</f>
        <v/>
      </c>
      <c r="Z218">
        <f>IF(OR(Z$4="",$A218&gt;TODAY()),0,IF(OR(INDEX($B218:$D218,Z$5)="F",AND(Z$6&gt;0,$A218&lt;Z$6),AND(Z$7&gt;0,$A218&gt;Z$7)),0,MAX(0,ROUND((INDEX($E218:$G218,Z$5)-SUMIFS(TF_Timer,TF_Tekniker,Z$4,TF_Dato,$A218))*2,0)/2)))</f>
        <v/>
      </c>
      <c r="AA218">
        <f>IF(OR(AA$4="",$A218&gt;TODAY()),0,IF(OR(INDEX($B218:$D218,AA$5)="F",AND(AA$6&gt;0,$A218&lt;AA$6),AND(AA$7&gt;0,$A218&gt;AA$7)),0,MAX(0,ROUND((INDEX($E218:$G218,AA$5)-SUMIFS(TF_Timer,TF_Tekniker,AA$4,TF_Dato,$A218))*2,0)/2)))</f>
        <v/>
      </c>
      <c r="AB218">
        <f>IF(OR(AB$4="",$A218&gt;TODAY()),0,IF(OR(INDEX($B218:$D218,AB$5)="F",AND(AB$6&gt;0,$A218&lt;AB$6),AND(AB$7&gt;0,$A218&gt;AB$7)),0,MAX(0,ROUND((INDEX($E218:$G218,AB$5)-SUMIFS(TF_Timer,TF_Tekniker,AB$4,TF_Dato,$A218))*2,0)/2)))</f>
        <v/>
      </c>
      <c r="AC218">
        <f>IF(OR(AC$4="",$A218&gt;TODAY()),0,IF(OR(INDEX($B218:$D218,AC$5)="F",AND(AC$6&gt;0,$A218&lt;AC$6),AND(AC$7&gt;0,$A218&gt;AC$7)),0,MAX(0,ROUND((INDEX($E218:$G218,AC$5)-SUMIFS(TF_Timer,TF_Tekniker,AC$4,TF_Dato,$A218))*2,0)/2)))</f>
        <v/>
      </c>
      <c r="AD218">
        <f>IF(OR(AD$4="",$A218&gt;TODAY()),0,IF(OR(INDEX($B218:$D218,AD$5)="F",AND(AD$6&gt;0,$A218&lt;AD$6),AND(AD$7&gt;0,$A218&gt;AD$7)),0,MAX(0,ROUND((INDEX($E218:$G218,AD$5)-SUMIFS(TF_Timer,TF_Tekniker,AD$4,TF_Dato,$A218))*2,0)/2)))</f>
        <v/>
      </c>
      <c r="AE218">
        <f>IF(OR(AE$4="",$A218&gt;TODAY()),0,IF(OR(INDEX($B218:$D218,AE$5)="F",AND(AE$6&gt;0,$A218&lt;AE$6),AND(AE$7&gt;0,$A218&gt;AE$7)),0,MAX(0,ROUND((INDEX($E218:$G218,AE$5)-SUMIFS(TF_Timer,TF_Tekniker,AE$4,TF_Dato,$A218))*2,0)/2)))</f>
        <v/>
      </c>
      <c r="AF218">
        <f>IF(OR(AF$4="",$A218&gt;TODAY()),0,IF(OR(INDEX($B218:$D218,AF$5)="F",AND(AF$6&gt;0,$A218&lt;AF$6),AND(AF$7&gt;0,$A218&gt;AF$7)),0,MAX(0,ROUND((INDEX($E218:$G218,AF$5)-SUMIFS(TF_Timer,TF_Tekniker,AF$4,TF_Dato,$A218))*2,0)/2)))</f>
        <v/>
      </c>
      <c r="AG218">
        <f>IF(OR(AG$4="",$A218&gt;TODAY()),0,IF(OR(INDEX($B218:$D218,AG$5)="F",AND(AG$6&gt;0,$A218&lt;AG$6),AND(AG$7&gt;0,$A218&gt;AG$7)),0,MAX(0,ROUND((INDEX($E218:$G218,AG$5)-SUMIFS(TF_Timer,TF_Tekniker,AG$4,TF_Dato,$A218))*2,0)/2)))</f>
        <v/>
      </c>
      <c r="AH218">
        <f>IF(OR(AH$4="",$A218&gt;TODAY()),0,IF(OR(INDEX($B218:$D218,AH$5)="F",AND(AH$6&gt;0,$A218&lt;AH$6),AND(AH$7&gt;0,$A218&gt;AH$7)),0,MAX(0,ROUND((INDEX($E218:$G218,AH$5)-SUMIFS(TF_Timer,TF_Tekniker,AH$4,TF_Dato,$A218))*2,0)/2)))</f>
        <v/>
      </c>
      <c r="AI218">
        <f>IF(OR(AI$4="",$A218&gt;TODAY()),0,IF(OR(INDEX($B218:$D218,AI$5)="F",AND(AI$6&gt;0,$A218&lt;AI$6),AND(AI$7&gt;0,$A218&gt;AI$7)),0,MAX(0,ROUND((INDEX($E218:$G218,AI$5)-SUMIFS(TF_Timer,TF_Tekniker,AI$4,TF_Dato,$A218))*2,0)/2)))</f>
        <v/>
      </c>
      <c r="AJ218">
        <f>IF(OR(AJ$4="",$A218&gt;TODAY()),0,IF(OR(INDEX($B218:$D218,AJ$5)="F",AND(AJ$6&gt;0,$A218&lt;AJ$6),AND(AJ$7&gt;0,$A218&gt;AJ$7)),0,MAX(0,ROUND((INDEX($E218:$G218,AJ$5)-SUMIFS(TF_Timer,TF_Tekniker,AJ$4,TF_Dato,$A218))*2,0)/2)))</f>
        <v/>
      </c>
      <c r="AK218">
        <f>IF(OR(AK$4="",$A218&gt;TODAY()),0,IF(OR(INDEX($B218:$D218,AK$5)="F",AND(AK$6&gt;0,$A218&lt;AK$6),AND(AK$7&gt;0,$A218&gt;AK$7)),0,MAX(0,ROUND((INDEX($E218:$G218,AK$5)-SUMIFS(TF_Timer,TF_Tekniker,AK$4,TF_Dato,$A218))*2,0)/2)))</f>
        <v/>
      </c>
      <c r="AL218">
        <f>IF(OR(AL$4="",$A218&gt;TODAY()),0,IF(OR(INDEX($B218:$D218,AL$5)="F",AND(AL$6&gt;0,$A218&lt;AL$6),AND(AL$7&gt;0,$A218&gt;AL$7)),0,MAX(0,ROUND((INDEX($E218:$G218,AL$5)-SUMIFS(TF_Timer,TF_Tekniker,AL$4,TF_Dato,$A218))*2,0)/2)))</f>
        <v/>
      </c>
      <c r="AM218">
        <f>IF(OR(AM$4="",$A218&gt;TODAY()),0,IF(OR(INDEX($B218:$D218,AM$5)="F",AND(AM$6&gt;0,$A218&lt;AM$6),AND(AM$7&gt;0,$A218&gt;AM$7)),0,MAX(0,ROUND((INDEX($E218:$G218,AM$5)-SUMIFS(TF_Timer,TF_Tekniker,AM$4,TF_Dato,$A218))*2,0)/2)))</f>
        <v/>
      </c>
      <c r="AN218">
        <f>IF(OR(AN$4="",$A218&gt;TODAY()),0,IF(OR(INDEX($B218:$D218,AN$5)="F",AND(AN$6&gt;0,$A218&lt;AN$6),AND(AN$7&gt;0,$A218&gt;AN$7)),0,MAX(0,ROUND((INDEX($E218:$G218,AN$5)-SUMIFS(TF_Timer,TF_Tekniker,AN$4,TF_Dato,$A218))*2,0)/2)))</f>
        <v/>
      </c>
      <c r="AO218">
        <f>IF(OR(AO$4="",$A218&gt;TODAY()),0,IF(OR(INDEX($B218:$D218,AO$5)="F",AND(AO$6&gt;0,$A218&lt;AO$6),AND(AO$7&gt;0,$A218&gt;AO$7)),0,MAX(0,ROUND((INDEX($E218:$G218,AO$5)-SUMIFS(TF_Timer,TF_Tekniker,AO$4,TF_Dato,$A218))*2,0)/2)))</f>
        <v/>
      </c>
      <c r="AP218">
        <f>IF(OR(AP$4="",$A218&gt;TODAY()),0,IF(OR(INDEX($B218:$D218,AP$5)="F",AND(AP$6&gt;0,$A218&lt;AP$6),AND(AP$7&gt;0,$A218&gt;AP$7)),0,MAX(0,ROUND((INDEX($E218:$G218,AP$5)-SUMIFS(TF_Timer,TF_Tekniker,AP$4,TF_Dato,$A218))*2,0)/2)))</f>
        <v/>
      </c>
      <c r="AQ218">
        <f>IF(OR(AQ$4="",$A218&gt;TODAY()),0,IF(OR(INDEX($B218:$D218,AQ$5)="F",AND(AQ$6&gt;0,$A218&lt;AQ$6),AND(AQ$7&gt;0,$A218&gt;AQ$7)),0,MAX(0,ROUND((INDEX($E218:$G218,AQ$5)-SUMIFS(TF_Timer,TF_Tekniker,AQ$4,TF_Dato,$A218))*2,0)/2)))</f>
        <v/>
      </c>
      <c r="AR218">
        <f>IF(OR(AR$4="",$A218&gt;TODAY()),0,IF(OR(INDEX($B218:$D218,AR$5)="F",AND(AR$6&gt;0,$A218&lt;AR$6),AND(AR$7&gt;0,$A218&gt;AR$7)),0,MAX(0,ROUND((INDEX($E218:$G218,AR$5)-SUMIFS(TF_Timer,TF_Tekniker,AR$4,TF_Dato,$A218))*2,0)/2)))</f>
        <v/>
      </c>
      <c r="AS218">
        <f>IF(OR(AS$4="",$A218&gt;TODAY()),0,IF(OR(INDEX($B218:$D218,AS$5)="F",AND(AS$6&gt;0,$A218&lt;AS$6),AND(AS$7&gt;0,$A218&gt;AS$7)),0,MAX(0,ROUND((INDEX($E218:$G218,AS$5)-SUMIFS(TF_Timer,TF_Tekniker,AS$4,TF_Dato,$A218))*2,0)/2)))</f>
        <v/>
      </c>
      <c r="AT218">
        <f>IF(OR(AT$4="",$A218&gt;TODAY()),0,IF(OR(INDEX($B218:$D218,AT$5)="F",AND(AT$6&gt;0,$A218&lt;AT$6),AND(AT$7&gt;0,$A218&gt;AT$7)),0,MAX(0,ROUND((INDEX($E218:$G218,AT$5)-SUMIFS(TF_Timer,TF_Tekniker,AT$4,TF_Dato,$A218))*2,0)/2)))</f>
        <v/>
      </c>
      <c r="AU218">
        <f>IF(OR(AU$4="",$A218&gt;TODAY()),0,IF(OR(INDEX($B218:$D218,AU$5)="F",AND(AU$6&gt;0,$A218&lt;AU$6),AND(AU$7&gt;0,$A218&gt;AU$7)),0,MAX(0,ROUND((INDEX($E218:$G218,AU$5)-SUMIFS(TF_Timer,TF_Tekniker,AU$4,TF_Dato,$A218))*2,0)/2)))</f>
        <v/>
      </c>
      <c r="AV218">
        <f>IF(OR(AV$4="",$A218&gt;TODAY()),0,IF(OR(INDEX($B218:$D218,AV$5)="F",AND(AV$6&gt;0,$A218&lt;AV$6),AND(AV$7&gt;0,$A218&gt;AV$7)),0,MAX(0,ROUND((INDEX($E218:$G218,AV$5)-SUMIFS(TF_Timer,TF_Tekniker,AV$4,TF_Dato,$A218))*2,0)/2)))</f>
        <v/>
      </c>
      <c r="AW218">
        <f>IF(OR(AW$4="",$A218&gt;TODAY()),0,IF(OR(INDEX($B218:$D218,AW$5)="F",AND(AW$6&gt;0,$A218&lt;AW$6),AND(AW$7&gt;0,$A218&gt;AW$7)),0,MAX(0,ROUND((INDEX($E218:$G218,AW$5)-SUMIFS(TF_Timer,TF_Tekniker,AW$4,TF_Dato,$A218))*2,0)/2)))</f>
        <v/>
      </c>
      <c r="AX218">
        <f>IF(OR(AX$4="",$A218&gt;TODAY()),0,IF(OR(INDEX($B218:$D218,AX$5)="F",AND(AX$6&gt;0,$A218&lt;AX$6),AND(AX$7&gt;0,$A218&gt;AX$7)),0,MAX(0,ROUND((INDEX($E218:$G218,AX$5)-SUMIFS(TF_Timer,TF_Tekniker,AX$4,TF_Dato,$A218))*2,0)/2)))</f>
        <v/>
      </c>
      <c r="AY218">
        <f>IF(OR(AY$4="",$A218&gt;TODAY()),0,IF(OR(INDEX($B218:$D218,AY$5)="F",AND(AY$6&gt;0,$A218&lt;AY$6),AND(AY$7&gt;0,$A218&gt;AY$7)),0,MAX(0,ROUND((INDEX($E218:$G218,AY$5)-SUMIFS(TF_Timer,TF_Tekniker,AY$4,TF_Dato,$A218))*2,0)/2)))</f>
        <v/>
      </c>
      <c r="AZ218">
        <f>IF(OR(AZ$4="",$A218&gt;TODAY()),0,IF(OR(INDEX($B218:$D218,AZ$5)="F",AND(AZ$6&gt;0,$A218&lt;AZ$6),AND(AZ$7&gt;0,$A218&gt;AZ$7)),0,MAX(0,ROUND((INDEX($E218:$G218,AZ$5)-SUMIFS(TF_Timer,TF_Tekniker,AZ$4,TF_Dato,$A218))*2,0)/2)))</f>
        <v/>
      </c>
      <c r="BA218">
        <f>IF(OR(BA$4="",$A218&gt;TODAY()),0,IF(OR(INDEX($B218:$D218,BA$5)="F",AND(BA$6&gt;0,$A218&lt;BA$6),AND(BA$7&gt;0,$A218&gt;BA$7)),0,MAX(0,ROUND((INDEX($E218:$G218,BA$5)-SUMIFS(TF_Timer,TF_Tekniker,BA$4,TF_Dato,$A218))*2,0)/2)))</f>
        <v/>
      </c>
      <c r="BB218">
        <f>IF(OR(BB$4="",$A218&gt;TODAY()),0,IF(OR(INDEX($B218:$D218,BB$5)="F",AND(BB$6&gt;0,$A218&lt;BB$6),AND(BB$7&gt;0,$A218&gt;BB$7)),0,MAX(0,ROUND((INDEX($E218:$G218,BB$5)-SUMIFS(TF_Timer,TF_Tekniker,BB$4,TF_Dato,$A218))*2,0)/2)))</f>
        <v/>
      </c>
      <c r="BC218">
        <f>IF(OR(BC$4="",$A218&gt;TODAY()),0,IF(OR(INDEX($B218:$D218,BC$5)="F",AND(BC$6&gt;0,$A218&lt;BC$6),AND(BC$7&gt;0,$A218&gt;BC$7)),0,MAX(0,ROUND((INDEX($E218:$G218,BC$5)-SUMIFS(TF_Timer,TF_Tekniker,BC$4,TF_Dato,$A218))*2,0)/2)))</f>
        <v/>
      </c>
      <c r="BD218">
        <f>IF(OR(BD$4="",$A218&gt;TODAY()),0,IF(OR(INDEX($B218:$D218,BD$5)="F",AND(BD$6&gt;0,$A218&lt;BD$6),AND(BD$7&gt;0,$A218&gt;BD$7)),0,MAX(0,ROUND((INDEX($E218:$G218,BD$5)-SUMIFS(TF_Timer,TF_Tekniker,BD$4,TF_Dato,$A218))*2,0)/2)))</f>
        <v/>
      </c>
      <c r="BE218">
        <f>IF(OR(BE$4="",$A218&gt;TODAY()),0,IF(OR(INDEX($B218:$D218,BE$5)="F",AND(BE$6&gt;0,$A218&lt;BE$6),AND(BE$7&gt;0,$A218&gt;BE$7)),0,MAX(0,ROUND((INDEX($E218:$G218,BE$5)-SUMIFS(TF_Timer,TF_Tekniker,BE$4,TF_Dato,$A218))*2,0)/2)))</f>
        <v/>
      </c>
      <c r="BF218">
        <f>IF(OR(BF$4="",$A218&gt;TODAY()),0,IF(OR(INDEX($B218:$D218,BF$5)="F",AND(BF$6&gt;0,$A218&lt;BF$6),AND(BF$7&gt;0,$A218&gt;BF$7)),0,MAX(0,ROUND((INDEX($E218:$G218,BF$5)-SUMIFS(TF_Timer,TF_Tekniker,BF$4,TF_Dato,$A218))*2,0)/2)))</f>
        <v/>
      </c>
      <c r="BG218">
        <f>IF(OR(BG$4="",$A218&gt;TODAY()),0,IF(OR(INDEX($B218:$D218,BG$5)="F",AND(BG$6&gt;0,$A218&lt;BG$6),AND(BG$7&gt;0,$A218&gt;BG$7)),0,MAX(0,ROUND((INDEX($E218:$G218,BG$5)-SUMIFS(TF_Timer,TF_Tekniker,BG$4,TF_Dato,$A218))*2,0)/2)))</f>
        <v/>
      </c>
      <c r="BH218">
        <f>IF(OR(BH$4="",$A218&gt;TODAY()),0,IF(OR(INDEX($B218:$D218,BH$5)="F",AND(BH$6&gt;0,$A218&lt;BH$6),AND(BH$7&gt;0,$A218&gt;BH$7)),0,MAX(0,ROUND((INDEX($E218:$G218,BH$5)-SUMIFS(TF_Timer,TF_Tekniker,BH$4,TF_Dato,$A218))*2,0)/2)))</f>
        <v/>
      </c>
      <c r="BI218">
        <f>IF(OR(BI$4="",$A218&gt;TODAY()),0,IF(OR(INDEX($B218:$D218,BI$5)="F",AND(BI$6&gt;0,$A218&lt;BI$6),AND(BI$7&gt;0,$A218&gt;BI$7)),0,MAX(0,ROUND((INDEX($E218:$G218,BI$5)-SUMIFS(TF_Timer,TF_Tekniker,BI$4,TF_Dato,$A218))*2,0)/2)))</f>
        <v/>
      </c>
    </row>
    <row r="219">
      <c r="A219" s="64">
        <f>A218+1</f>
        <v/>
      </c>
      <c r="B219">
        <f>IF(MOD($A219-INDEX(SkiftStart,1),Syklus)&lt;DagK,"K",IF(MOD($A219-INDEX(SkiftStart,1),Syklus)&lt;DagK+DagH,"H",IF(MOD($A219-INDEX(SkiftStart,1),Syklus)&lt;DagK+DagH+DagD,"D","F")))</f>
        <v/>
      </c>
      <c r="C219">
        <f>IF(MOD($A219-INDEX(SkiftStart,2),Syklus)&lt;DagK,"K",IF(MOD($A219-INDEX(SkiftStart,2),Syklus)&lt;DagK+DagH,"H",IF(MOD($A219-INDEX(SkiftStart,2),Syklus)&lt;DagK+DagH+DagD,"D","F")))</f>
        <v/>
      </c>
      <c r="D219">
        <f>IF(MOD($A219-INDEX(SkiftStart,3),Syklus)&lt;DagK,"K",IF(MOD($A219-INDEX(SkiftStart,3),Syklus)&lt;DagK+DagH,"H",IF(MOD($A219-INDEX(SkiftStart,3),Syklus)&lt;DagK+DagH+DagD,"D","F")))</f>
        <v/>
      </c>
      <c r="E219">
        <f>IF(B219="F",0,IF(WEEKDAY($A219,2)=5,INDEX(TimerFr,MATCH(B219,FaseKode,0)),INDEX(TimerMT,MATCH(B219,FaseKode,0))))</f>
        <v/>
      </c>
      <c r="F219">
        <f>IF(C219="F",0,IF(WEEKDAY($A219,2)=5,INDEX(TimerFr,MATCH(C219,FaseKode,0)),INDEX(TimerMT,MATCH(C219,FaseKode,0))))</f>
        <v/>
      </c>
      <c r="G219">
        <f>IF(D219="F",0,IF(WEEKDAY($A219,2)=5,INDEX(TimerFr,MATCH(D219,FaseKode,0)),INDEX(TimerMT,MATCH(D219,FaseKode,0))))</f>
        <v/>
      </c>
      <c r="H219">
        <f>IF(OR(H$4="",$A219&gt;TODAY()),0,IF(OR(INDEX($B219:$D219,H$5)="F",AND(H$6&gt;0,$A219&lt;H$6),AND(H$7&gt;0,$A219&gt;H$7)),0,MAX(0,ROUND((INDEX($E219:$G219,H$5)-SUMIFS(TF_Timer,TF_Tekniker,H$4,TF_Dato,$A219))*2,0)/2)))</f>
        <v/>
      </c>
      <c r="I219">
        <f>IF(OR(I$4="",$A219&gt;TODAY()),0,IF(OR(INDEX($B219:$D219,I$5)="F",AND(I$6&gt;0,$A219&lt;I$6),AND(I$7&gt;0,$A219&gt;I$7)),0,MAX(0,ROUND((INDEX($E219:$G219,I$5)-SUMIFS(TF_Timer,TF_Tekniker,I$4,TF_Dato,$A219))*2,0)/2)))</f>
        <v/>
      </c>
      <c r="J219">
        <f>IF(OR(J$4="",$A219&gt;TODAY()),0,IF(OR(INDEX($B219:$D219,J$5)="F",AND(J$6&gt;0,$A219&lt;J$6),AND(J$7&gt;0,$A219&gt;J$7)),0,MAX(0,ROUND((INDEX($E219:$G219,J$5)-SUMIFS(TF_Timer,TF_Tekniker,J$4,TF_Dato,$A219))*2,0)/2)))</f>
        <v/>
      </c>
      <c r="K219">
        <f>IF(OR(K$4="",$A219&gt;TODAY()),0,IF(OR(INDEX($B219:$D219,K$5)="F",AND(K$6&gt;0,$A219&lt;K$6),AND(K$7&gt;0,$A219&gt;K$7)),0,MAX(0,ROUND((INDEX($E219:$G219,K$5)-SUMIFS(TF_Timer,TF_Tekniker,K$4,TF_Dato,$A219))*2,0)/2)))</f>
        <v/>
      </c>
      <c r="L219">
        <f>IF(OR(L$4="",$A219&gt;TODAY()),0,IF(OR(INDEX($B219:$D219,L$5)="F",AND(L$6&gt;0,$A219&lt;L$6),AND(L$7&gt;0,$A219&gt;L$7)),0,MAX(0,ROUND((INDEX($E219:$G219,L$5)-SUMIFS(TF_Timer,TF_Tekniker,L$4,TF_Dato,$A219))*2,0)/2)))</f>
        <v/>
      </c>
      <c r="M219">
        <f>IF(OR(M$4="",$A219&gt;TODAY()),0,IF(OR(INDEX($B219:$D219,M$5)="F",AND(M$6&gt;0,$A219&lt;M$6),AND(M$7&gt;0,$A219&gt;M$7)),0,MAX(0,ROUND((INDEX($E219:$G219,M$5)-SUMIFS(TF_Timer,TF_Tekniker,M$4,TF_Dato,$A219))*2,0)/2)))</f>
        <v/>
      </c>
      <c r="N219">
        <f>IF(OR(N$4="",$A219&gt;TODAY()),0,IF(OR(INDEX($B219:$D219,N$5)="F",AND(N$6&gt;0,$A219&lt;N$6),AND(N$7&gt;0,$A219&gt;N$7)),0,MAX(0,ROUND((INDEX($E219:$G219,N$5)-SUMIFS(TF_Timer,TF_Tekniker,N$4,TF_Dato,$A219))*2,0)/2)))</f>
        <v/>
      </c>
      <c r="O219">
        <f>IF(OR(O$4="",$A219&gt;TODAY()),0,IF(OR(INDEX($B219:$D219,O$5)="F",AND(O$6&gt;0,$A219&lt;O$6),AND(O$7&gt;0,$A219&gt;O$7)),0,MAX(0,ROUND((INDEX($E219:$G219,O$5)-SUMIFS(TF_Timer,TF_Tekniker,O$4,TF_Dato,$A219))*2,0)/2)))</f>
        <v/>
      </c>
      <c r="P219">
        <f>IF(OR(P$4="",$A219&gt;TODAY()),0,IF(OR(INDEX($B219:$D219,P$5)="F",AND(P$6&gt;0,$A219&lt;P$6),AND(P$7&gt;0,$A219&gt;P$7)),0,MAX(0,ROUND((INDEX($E219:$G219,P$5)-SUMIFS(TF_Timer,TF_Tekniker,P$4,TF_Dato,$A219))*2,0)/2)))</f>
        <v/>
      </c>
      <c r="Q219">
        <f>IF(OR(Q$4="",$A219&gt;TODAY()),0,IF(OR(INDEX($B219:$D219,Q$5)="F",AND(Q$6&gt;0,$A219&lt;Q$6),AND(Q$7&gt;0,$A219&gt;Q$7)),0,MAX(0,ROUND((INDEX($E219:$G219,Q$5)-SUMIFS(TF_Timer,TF_Tekniker,Q$4,TF_Dato,$A219))*2,0)/2)))</f>
        <v/>
      </c>
      <c r="R219">
        <f>IF(OR(R$4="",$A219&gt;TODAY()),0,IF(OR(INDEX($B219:$D219,R$5)="F",AND(R$6&gt;0,$A219&lt;R$6),AND(R$7&gt;0,$A219&gt;R$7)),0,MAX(0,ROUND((INDEX($E219:$G219,R$5)-SUMIFS(TF_Timer,TF_Tekniker,R$4,TF_Dato,$A219))*2,0)/2)))</f>
        <v/>
      </c>
      <c r="S219">
        <f>IF(OR(S$4="",$A219&gt;TODAY()),0,IF(OR(INDEX($B219:$D219,S$5)="F",AND(S$6&gt;0,$A219&lt;S$6),AND(S$7&gt;0,$A219&gt;S$7)),0,MAX(0,ROUND((INDEX($E219:$G219,S$5)-SUMIFS(TF_Timer,TF_Tekniker,S$4,TF_Dato,$A219))*2,0)/2)))</f>
        <v/>
      </c>
      <c r="T219">
        <f>IF(OR(T$4="",$A219&gt;TODAY()),0,IF(OR(INDEX($B219:$D219,T$5)="F",AND(T$6&gt;0,$A219&lt;T$6),AND(T$7&gt;0,$A219&gt;T$7)),0,MAX(0,ROUND((INDEX($E219:$G219,T$5)-SUMIFS(TF_Timer,TF_Tekniker,T$4,TF_Dato,$A219))*2,0)/2)))</f>
        <v/>
      </c>
      <c r="U219">
        <f>IF(OR(U$4="",$A219&gt;TODAY()),0,IF(OR(INDEX($B219:$D219,U$5)="F",AND(U$6&gt;0,$A219&lt;U$6),AND(U$7&gt;0,$A219&gt;U$7)),0,MAX(0,ROUND((INDEX($E219:$G219,U$5)-SUMIFS(TF_Timer,TF_Tekniker,U$4,TF_Dato,$A219))*2,0)/2)))</f>
        <v/>
      </c>
      <c r="V219">
        <f>IF(OR(V$4="",$A219&gt;TODAY()),0,IF(OR(INDEX($B219:$D219,V$5)="F",AND(V$6&gt;0,$A219&lt;V$6),AND(V$7&gt;0,$A219&gt;V$7)),0,MAX(0,ROUND((INDEX($E219:$G219,V$5)-SUMIFS(TF_Timer,TF_Tekniker,V$4,TF_Dato,$A219))*2,0)/2)))</f>
        <v/>
      </c>
      <c r="W219">
        <f>IF(OR(W$4="",$A219&gt;TODAY()),0,IF(OR(INDEX($B219:$D219,W$5)="F",AND(W$6&gt;0,$A219&lt;W$6),AND(W$7&gt;0,$A219&gt;W$7)),0,MAX(0,ROUND((INDEX($E219:$G219,W$5)-SUMIFS(TF_Timer,TF_Tekniker,W$4,TF_Dato,$A219))*2,0)/2)))</f>
        <v/>
      </c>
      <c r="X219">
        <f>IF(OR(X$4="",$A219&gt;TODAY()),0,IF(OR(INDEX($B219:$D219,X$5)="F",AND(X$6&gt;0,$A219&lt;X$6),AND(X$7&gt;0,$A219&gt;X$7)),0,MAX(0,ROUND((INDEX($E219:$G219,X$5)-SUMIFS(TF_Timer,TF_Tekniker,X$4,TF_Dato,$A219))*2,0)/2)))</f>
        <v/>
      </c>
      <c r="Y219">
        <f>IF(OR(Y$4="",$A219&gt;TODAY()),0,IF(OR(INDEX($B219:$D219,Y$5)="F",AND(Y$6&gt;0,$A219&lt;Y$6),AND(Y$7&gt;0,$A219&gt;Y$7)),0,MAX(0,ROUND((INDEX($E219:$G219,Y$5)-SUMIFS(TF_Timer,TF_Tekniker,Y$4,TF_Dato,$A219))*2,0)/2)))</f>
        <v/>
      </c>
      <c r="Z219">
        <f>IF(OR(Z$4="",$A219&gt;TODAY()),0,IF(OR(INDEX($B219:$D219,Z$5)="F",AND(Z$6&gt;0,$A219&lt;Z$6),AND(Z$7&gt;0,$A219&gt;Z$7)),0,MAX(0,ROUND((INDEX($E219:$G219,Z$5)-SUMIFS(TF_Timer,TF_Tekniker,Z$4,TF_Dato,$A219))*2,0)/2)))</f>
        <v/>
      </c>
      <c r="AA219">
        <f>IF(OR(AA$4="",$A219&gt;TODAY()),0,IF(OR(INDEX($B219:$D219,AA$5)="F",AND(AA$6&gt;0,$A219&lt;AA$6),AND(AA$7&gt;0,$A219&gt;AA$7)),0,MAX(0,ROUND((INDEX($E219:$G219,AA$5)-SUMIFS(TF_Timer,TF_Tekniker,AA$4,TF_Dato,$A219))*2,0)/2)))</f>
        <v/>
      </c>
      <c r="AB219">
        <f>IF(OR(AB$4="",$A219&gt;TODAY()),0,IF(OR(INDEX($B219:$D219,AB$5)="F",AND(AB$6&gt;0,$A219&lt;AB$6),AND(AB$7&gt;0,$A219&gt;AB$7)),0,MAX(0,ROUND((INDEX($E219:$G219,AB$5)-SUMIFS(TF_Timer,TF_Tekniker,AB$4,TF_Dato,$A219))*2,0)/2)))</f>
        <v/>
      </c>
      <c r="AC219">
        <f>IF(OR(AC$4="",$A219&gt;TODAY()),0,IF(OR(INDEX($B219:$D219,AC$5)="F",AND(AC$6&gt;0,$A219&lt;AC$6),AND(AC$7&gt;0,$A219&gt;AC$7)),0,MAX(0,ROUND((INDEX($E219:$G219,AC$5)-SUMIFS(TF_Timer,TF_Tekniker,AC$4,TF_Dato,$A219))*2,0)/2)))</f>
        <v/>
      </c>
      <c r="AD219">
        <f>IF(OR(AD$4="",$A219&gt;TODAY()),0,IF(OR(INDEX($B219:$D219,AD$5)="F",AND(AD$6&gt;0,$A219&lt;AD$6),AND(AD$7&gt;0,$A219&gt;AD$7)),0,MAX(0,ROUND((INDEX($E219:$G219,AD$5)-SUMIFS(TF_Timer,TF_Tekniker,AD$4,TF_Dato,$A219))*2,0)/2)))</f>
        <v/>
      </c>
      <c r="AE219">
        <f>IF(OR(AE$4="",$A219&gt;TODAY()),0,IF(OR(INDEX($B219:$D219,AE$5)="F",AND(AE$6&gt;0,$A219&lt;AE$6),AND(AE$7&gt;0,$A219&gt;AE$7)),0,MAX(0,ROUND((INDEX($E219:$G219,AE$5)-SUMIFS(TF_Timer,TF_Tekniker,AE$4,TF_Dato,$A219))*2,0)/2)))</f>
        <v/>
      </c>
      <c r="AF219">
        <f>IF(OR(AF$4="",$A219&gt;TODAY()),0,IF(OR(INDEX($B219:$D219,AF$5)="F",AND(AF$6&gt;0,$A219&lt;AF$6),AND(AF$7&gt;0,$A219&gt;AF$7)),0,MAX(0,ROUND((INDEX($E219:$G219,AF$5)-SUMIFS(TF_Timer,TF_Tekniker,AF$4,TF_Dato,$A219))*2,0)/2)))</f>
        <v/>
      </c>
      <c r="AG219">
        <f>IF(OR(AG$4="",$A219&gt;TODAY()),0,IF(OR(INDEX($B219:$D219,AG$5)="F",AND(AG$6&gt;0,$A219&lt;AG$6),AND(AG$7&gt;0,$A219&gt;AG$7)),0,MAX(0,ROUND((INDEX($E219:$G219,AG$5)-SUMIFS(TF_Timer,TF_Tekniker,AG$4,TF_Dato,$A219))*2,0)/2)))</f>
        <v/>
      </c>
      <c r="AH219">
        <f>IF(OR(AH$4="",$A219&gt;TODAY()),0,IF(OR(INDEX($B219:$D219,AH$5)="F",AND(AH$6&gt;0,$A219&lt;AH$6),AND(AH$7&gt;0,$A219&gt;AH$7)),0,MAX(0,ROUND((INDEX($E219:$G219,AH$5)-SUMIFS(TF_Timer,TF_Tekniker,AH$4,TF_Dato,$A219))*2,0)/2)))</f>
        <v/>
      </c>
      <c r="AI219">
        <f>IF(OR(AI$4="",$A219&gt;TODAY()),0,IF(OR(INDEX($B219:$D219,AI$5)="F",AND(AI$6&gt;0,$A219&lt;AI$6),AND(AI$7&gt;0,$A219&gt;AI$7)),0,MAX(0,ROUND((INDEX($E219:$G219,AI$5)-SUMIFS(TF_Timer,TF_Tekniker,AI$4,TF_Dato,$A219))*2,0)/2)))</f>
        <v/>
      </c>
      <c r="AJ219">
        <f>IF(OR(AJ$4="",$A219&gt;TODAY()),0,IF(OR(INDEX($B219:$D219,AJ$5)="F",AND(AJ$6&gt;0,$A219&lt;AJ$6),AND(AJ$7&gt;0,$A219&gt;AJ$7)),0,MAX(0,ROUND((INDEX($E219:$G219,AJ$5)-SUMIFS(TF_Timer,TF_Tekniker,AJ$4,TF_Dato,$A219))*2,0)/2)))</f>
        <v/>
      </c>
      <c r="AK219">
        <f>IF(OR(AK$4="",$A219&gt;TODAY()),0,IF(OR(INDEX($B219:$D219,AK$5)="F",AND(AK$6&gt;0,$A219&lt;AK$6),AND(AK$7&gt;0,$A219&gt;AK$7)),0,MAX(0,ROUND((INDEX($E219:$G219,AK$5)-SUMIFS(TF_Timer,TF_Tekniker,AK$4,TF_Dato,$A219))*2,0)/2)))</f>
        <v/>
      </c>
      <c r="AL219">
        <f>IF(OR(AL$4="",$A219&gt;TODAY()),0,IF(OR(INDEX($B219:$D219,AL$5)="F",AND(AL$6&gt;0,$A219&lt;AL$6),AND(AL$7&gt;0,$A219&gt;AL$7)),0,MAX(0,ROUND((INDEX($E219:$G219,AL$5)-SUMIFS(TF_Timer,TF_Tekniker,AL$4,TF_Dato,$A219))*2,0)/2)))</f>
        <v/>
      </c>
      <c r="AM219">
        <f>IF(OR(AM$4="",$A219&gt;TODAY()),0,IF(OR(INDEX($B219:$D219,AM$5)="F",AND(AM$6&gt;0,$A219&lt;AM$6),AND(AM$7&gt;0,$A219&gt;AM$7)),0,MAX(0,ROUND((INDEX($E219:$G219,AM$5)-SUMIFS(TF_Timer,TF_Tekniker,AM$4,TF_Dato,$A219))*2,0)/2)))</f>
        <v/>
      </c>
      <c r="AN219">
        <f>IF(OR(AN$4="",$A219&gt;TODAY()),0,IF(OR(INDEX($B219:$D219,AN$5)="F",AND(AN$6&gt;0,$A219&lt;AN$6),AND(AN$7&gt;0,$A219&gt;AN$7)),0,MAX(0,ROUND((INDEX($E219:$G219,AN$5)-SUMIFS(TF_Timer,TF_Tekniker,AN$4,TF_Dato,$A219))*2,0)/2)))</f>
        <v/>
      </c>
      <c r="AO219">
        <f>IF(OR(AO$4="",$A219&gt;TODAY()),0,IF(OR(INDEX($B219:$D219,AO$5)="F",AND(AO$6&gt;0,$A219&lt;AO$6),AND(AO$7&gt;0,$A219&gt;AO$7)),0,MAX(0,ROUND((INDEX($E219:$G219,AO$5)-SUMIFS(TF_Timer,TF_Tekniker,AO$4,TF_Dato,$A219))*2,0)/2)))</f>
        <v/>
      </c>
      <c r="AP219">
        <f>IF(OR(AP$4="",$A219&gt;TODAY()),0,IF(OR(INDEX($B219:$D219,AP$5)="F",AND(AP$6&gt;0,$A219&lt;AP$6),AND(AP$7&gt;0,$A219&gt;AP$7)),0,MAX(0,ROUND((INDEX($E219:$G219,AP$5)-SUMIFS(TF_Timer,TF_Tekniker,AP$4,TF_Dato,$A219))*2,0)/2)))</f>
        <v/>
      </c>
      <c r="AQ219">
        <f>IF(OR(AQ$4="",$A219&gt;TODAY()),0,IF(OR(INDEX($B219:$D219,AQ$5)="F",AND(AQ$6&gt;0,$A219&lt;AQ$6),AND(AQ$7&gt;0,$A219&gt;AQ$7)),0,MAX(0,ROUND((INDEX($E219:$G219,AQ$5)-SUMIFS(TF_Timer,TF_Tekniker,AQ$4,TF_Dato,$A219))*2,0)/2)))</f>
        <v/>
      </c>
      <c r="AR219">
        <f>IF(OR(AR$4="",$A219&gt;TODAY()),0,IF(OR(INDEX($B219:$D219,AR$5)="F",AND(AR$6&gt;0,$A219&lt;AR$6),AND(AR$7&gt;0,$A219&gt;AR$7)),0,MAX(0,ROUND((INDEX($E219:$G219,AR$5)-SUMIFS(TF_Timer,TF_Tekniker,AR$4,TF_Dato,$A219))*2,0)/2)))</f>
        <v/>
      </c>
      <c r="AS219">
        <f>IF(OR(AS$4="",$A219&gt;TODAY()),0,IF(OR(INDEX($B219:$D219,AS$5)="F",AND(AS$6&gt;0,$A219&lt;AS$6),AND(AS$7&gt;0,$A219&gt;AS$7)),0,MAX(0,ROUND((INDEX($E219:$G219,AS$5)-SUMIFS(TF_Timer,TF_Tekniker,AS$4,TF_Dato,$A219))*2,0)/2)))</f>
        <v/>
      </c>
      <c r="AT219">
        <f>IF(OR(AT$4="",$A219&gt;TODAY()),0,IF(OR(INDEX($B219:$D219,AT$5)="F",AND(AT$6&gt;0,$A219&lt;AT$6),AND(AT$7&gt;0,$A219&gt;AT$7)),0,MAX(0,ROUND((INDEX($E219:$G219,AT$5)-SUMIFS(TF_Timer,TF_Tekniker,AT$4,TF_Dato,$A219))*2,0)/2)))</f>
        <v/>
      </c>
      <c r="AU219">
        <f>IF(OR(AU$4="",$A219&gt;TODAY()),0,IF(OR(INDEX($B219:$D219,AU$5)="F",AND(AU$6&gt;0,$A219&lt;AU$6),AND(AU$7&gt;0,$A219&gt;AU$7)),0,MAX(0,ROUND((INDEX($E219:$G219,AU$5)-SUMIFS(TF_Timer,TF_Tekniker,AU$4,TF_Dato,$A219))*2,0)/2)))</f>
        <v/>
      </c>
      <c r="AV219">
        <f>IF(OR(AV$4="",$A219&gt;TODAY()),0,IF(OR(INDEX($B219:$D219,AV$5)="F",AND(AV$6&gt;0,$A219&lt;AV$6),AND(AV$7&gt;0,$A219&gt;AV$7)),0,MAX(0,ROUND((INDEX($E219:$G219,AV$5)-SUMIFS(TF_Timer,TF_Tekniker,AV$4,TF_Dato,$A219))*2,0)/2)))</f>
        <v/>
      </c>
      <c r="AW219">
        <f>IF(OR(AW$4="",$A219&gt;TODAY()),0,IF(OR(INDEX($B219:$D219,AW$5)="F",AND(AW$6&gt;0,$A219&lt;AW$6),AND(AW$7&gt;0,$A219&gt;AW$7)),0,MAX(0,ROUND((INDEX($E219:$G219,AW$5)-SUMIFS(TF_Timer,TF_Tekniker,AW$4,TF_Dato,$A219))*2,0)/2)))</f>
        <v/>
      </c>
      <c r="AX219">
        <f>IF(OR(AX$4="",$A219&gt;TODAY()),0,IF(OR(INDEX($B219:$D219,AX$5)="F",AND(AX$6&gt;0,$A219&lt;AX$6),AND(AX$7&gt;0,$A219&gt;AX$7)),0,MAX(0,ROUND((INDEX($E219:$G219,AX$5)-SUMIFS(TF_Timer,TF_Tekniker,AX$4,TF_Dato,$A219))*2,0)/2)))</f>
        <v/>
      </c>
      <c r="AY219">
        <f>IF(OR(AY$4="",$A219&gt;TODAY()),0,IF(OR(INDEX($B219:$D219,AY$5)="F",AND(AY$6&gt;0,$A219&lt;AY$6),AND(AY$7&gt;0,$A219&gt;AY$7)),0,MAX(0,ROUND((INDEX($E219:$G219,AY$5)-SUMIFS(TF_Timer,TF_Tekniker,AY$4,TF_Dato,$A219))*2,0)/2)))</f>
        <v/>
      </c>
      <c r="AZ219">
        <f>IF(OR(AZ$4="",$A219&gt;TODAY()),0,IF(OR(INDEX($B219:$D219,AZ$5)="F",AND(AZ$6&gt;0,$A219&lt;AZ$6),AND(AZ$7&gt;0,$A219&gt;AZ$7)),0,MAX(0,ROUND((INDEX($E219:$G219,AZ$5)-SUMIFS(TF_Timer,TF_Tekniker,AZ$4,TF_Dato,$A219))*2,0)/2)))</f>
        <v/>
      </c>
      <c r="BA219">
        <f>IF(OR(BA$4="",$A219&gt;TODAY()),0,IF(OR(INDEX($B219:$D219,BA$5)="F",AND(BA$6&gt;0,$A219&lt;BA$6),AND(BA$7&gt;0,$A219&gt;BA$7)),0,MAX(0,ROUND((INDEX($E219:$G219,BA$5)-SUMIFS(TF_Timer,TF_Tekniker,BA$4,TF_Dato,$A219))*2,0)/2)))</f>
        <v/>
      </c>
      <c r="BB219">
        <f>IF(OR(BB$4="",$A219&gt;TODAY()),0,IF(OR(INDEX($B219:$D219,BB$5)="F",AND(BB$6&gt;0,$A219&lt;BB$6),AND(BB$7&gt;0,$A219&gt;BB$7)),0,MAX(0,ROUND((INDEX($E219:$G219,BB$5)-SUMIFS(TF_Timer,TF_Tekniker,BB$4,TF_Dato,$A219))*2,0)/2)))</f>
        <v/>
      </c>
      <c r="BC219">
        <f>IF(OR(BC$4="",$A219&gt;TODAY()),0,IF(OR(INDEX($B219:$D219,BC$5)="F",AND(BC$6&gt;0,$A219&lt;BC$6),AND(BC$7&gt;0,$A219&gt;BC$7)),0,MAX(0,ROUND((INDEX($E219:$G219,BC$5)-SUMIFS(TF_Timer,TF_Tekniker,BC$4,TF_Dato,$A219))*2,0)/2)))</f>
        <v/>
      </c>
      <c r="BD219">
        <f>IF(OR(BD$4="",$A219&gt;TODAY()),0,IF(OR(INDEX($B219:$D219,BD$5)="F",AND(BD$6&gt;0,$A219&lt;BD$6),AND(BD$7&gt;0,$A219&gt;BD$7)),0,MAX(0,ROUND((INDEX($E219:$G219,BD$5)-SUMIFS(TF_Timer,TF_Tekniker,BD$4,TF_Dato,$A219))*2,0)/2)))</f>
        <v/>
      </c>
      <c r="BE219">
        <f>IF(OR(BE$4="",$A219&gt;TODAY()),0,IF(OR(INDEX($B219:$D219,BE$5)="F",AND(BE$6&gt;0,$A219&lt;BE$6),AND(BE$7&gt;0,$A219&gt;BE$7)),0,MAX(0,ROUND((INDEX($E219:$G219,BE$5)-SUMIFS(TF_Timer,TF_Tekniker,BE$4,TF_Dato,$A219))*2,0)/2)))</f>
        <v/>
      </c>
      <c r="BF219">
        <f>IF(OR(BF$4="",$A219&gt;TODAY()),0,IF(OR(INDEX($B219:$D219,BF$5)="F",AND(BF$6&gt;0,$A219&lt;BF$6),AND(BF$7&gt;0,$A219&gt;BF$7)),0,MAX(0,ROUND((INDEX($E219:$G219,BF$5)-SUMIFS(TF_Timer,TF_Tekniker,BF$4,TF_Dato,$A219))*2,0)/2)))</f>
        <v/>
      </c>
      <c r="BG219">
        <f>IF(OR(BG$4="",$A219&gt;TODAY()),0,IF(OR(INDEX($B219:$D219,BG$5)="F",AND(BG$6&gt;0,$A219&lt;BG$6),AND(BG$7&gt;0,$A219&gt;BG$7)),0,MAX(0,ROUND((INDEX($E219:$G219,BG$5)-SUMIFS(TF_Timer,TF_Tekniker,BG$4,TF_Dato,$A219))*2,0)/2)))</f>
        <v/>
      </c>
      <c r="BH219">
        <f>IF(OR(BH$4="",$A219&gt;TODAY()),0,IF(OR(INDEX($B219:$D219,BH$5)="F",AND(BH$6&gt;0,$A219&lt;BH$6),AND(BH$7&gt;0,$A219&gt;BH$7)),0,MAX(0,ROUND((INDEX($E219:$G219,BH$5)-SUMIFS(TF_Timer,TF_Tekniker,BH$4,TF_Dato,$A219))*2,0)/2)))</f>
        <v/>
      </c>
      <c r="BI219">
        <f>IF(OR(BI$4="",$A219&gt;TODAY()),0,IF(OR(INDEX($B219:$D219,BI$5)="F",AND(BI$6&gt;0,$A219&lt;BI$6),AND(BI$7&gt;0,$A219&gt;BI$7)),0,MAX(0,ROUND((INDEX($E219:$G219,BI$5)-SUMIFS(TF_Timer,TF_Tekniker,BI$4,TF_Dato,$A219))*2,0)/2)))</f>
        <v/>
      </c>
    </row>
    <row r="220">
      <c r="A220" s="64">
        <f>A219+1</f>
        <v/>
      </c>
      <c r="B220">
        <f>IF(MOD($A220-INDEX(SkiftStart,1),Syklus)&lt;DagK,"K",IF(MOD($A220-INDEX(SkiftStart,1),Syklus)&lt;DagK+DagH,"H",IF(MOD($A220-INDEX(SkiftStart,1),Syklus)&lt;DagK+DagH+DagD,"D","F")))</f>
        <v/>
      </c>
      <c r="C220">
        <f>IF(MOD($A220-INDEX(SkiftStart,2),Syklus)&lt;DagK,"K",IF(MOD($A220-INDEX(SkiftStart,2),Syklus)&lt;DagK+DagH,"H",IF(MOD($A220-INDEX(SkiftStart,2),Syklus)&lt;DagK+DagH+DagD,"D","F")))</f>
        <v/>
      </c>
      <c r="D220">
        <f>IF(MOD($A220-INDEX(SkiftStart,3),Syklus)&lt;DagK,"K",IF(MOD($A220-INDEX(SkiftStart,3),Syklus)&lt;DagK+DagH,"H",IF(MOD($A220-INDEX(SkiftStart,3),Syklus)&lt;DagK+DagH+DagD,"D","F")))</f>
        <v/>
      </c>
      <c r="E220">
        <f>IF(B220="F",0,IF(WEEKDAY($A220,2)=5,INDEX(TimerFr,MATCH(B220,FaseKode,0)),INDEX(TimerMT,MATCH(B220,FaseKode,0))))</f>
        <v/>
      </c>
      <c r="F220">
        <f>IF(C220="F",0,IF(WEEKDAY($A220,2)=5,INDEX(TimerFr,MATCH(C220,FaseKode,0)),INDEX(TimerMT,MATCH(C220,FaseKode,0))))</f>
        <v/>
      </c>
      <c r="G220">
        <f>IF(D220="F",0,IF(WEEKDAY($A220,2)=5,INDEX(TimerFr,MATCH(D220,FaseKode,0)),INDEX(TimerMT,MATCH(D220,FaseKode,0))))</f>
        <v/>
      </c>
      <c r="H220">
        <f>IF(OR(H$4="",$A220&gt;TODAY()),0,IF(OR(INDEX($B220:$D220,H$5)="F",AND(H$6&gt;0,$A220&lt;H$6),AND(H$7&gt;0,$A220&gt;H$7)),0,MAX(0,ROUND((INDEX($E220:$G220,H$5)-SUMIFS(TF_Timer,TF_Tekniker,H$4,TF_Dato,$A220))*2,0)/2)))</f>
        <v/>
      </c>
      <c r="I220">
        <f>IF(OR(I$4="",$A220&gt;TODAY()),0,IF(OR(INDEX($B220:$D220,I$5)="F",AND(I$6&gt;0,$A220&lt;I$6),AND(I$7&gt;0,$A220&gt;I$7)),0,MAX(0,ROUND((INDEX($E220:$G220,I$5)-SUMIFS(TF_Timer,TF_Tekniker,I$4,TF_Dato,$A220))*2,0)/2)))</f>
        <v/>
      </c>
      <c r="J220">
        <f>IF(OR(J$4="",$A220&gt;TODAY()),0,IF(OR(INDEX($B220:$D220,J$5)="F",AND(J$6&gt;0,$A220&lt;J$6),AND(J$7&gt;0,$A220&gt;J$7)),0,MAX(0,ROUND((INDEX($E220:$G220,J$5)-SUMIFS(TF_Timer,TF_Tekniker,J$4,TF_Dato,$A220))*2,0)/2)))</f>
        <v/>
      </c>
      <c r="K220">
        <f>IF(OR(K$4="",$A220&gt;TODAY()),0,IF(OR(INDEX($B220:$D220,K$5)="F",AND(K$6&gt;0,$A220&lt;K$6),AND(K$7&gt;0,$A220&gt;K$7)),0,MAX(0,ROUND((INDEX($E220:$G220,K$5)-SUMIFS(TF_Timer,TF_Tekniker,K$4,TF_Dato,$A220))*2,0)/2)))</f>
        <v/>
      </c>
      <c r="L220">
        <f>IF(OR(L$4="",$A220&gt;TODAY()),0,IF(OR(INDEX($B220:$D220,L$5)="F",AND(L$6&gt;0,$A220&lt;L$6),AND(L$7&gt;0,$A220&gt;L$7)),0,MAX(0,ROUND((INDEX($E220:$G220,L$5)-SUMIFS(TF_Timer,TF_Tekniker,L$4,TF_Dato,$A220))*2,0)/2)))</f>
        <v/>
      </c>
      <c r="M220">
        <f>IF(OR(M$4="",$A220&gt;TODAY()),0,IF(OR(INDEX($B220:$D220,M$5)="F",AND(M$6&gt;0,$A220&lt;M$6),AND(M$7&gt;0,$A220&gt;M$7)),0,MAX(0,ROUND((INDEX($E220:$G220,M$5)-SUMIFS(TF_Timer,TF_Tekniker,M$4,TF_Dato,$A220))*2,0)/2)))</f>
        <v/>
      </c>
      <c r="N220">
        <f>IF(OR(N$4="",$A220&gt;TODAY()),0,IF(OR(INDEX($B220:$D220,N$5)="F",AND(N$6&gt;0,$A220&lt;N$6),AND(N$7&gt;0,$A220&gt;N$7)),0,MAX(0,ROUND((INDEX($E220:$G220,N$5)-SUMIFS(TF_Timer,TF_Tekniker,N$4,TF_Dato,$A220))*2,0)/2)))</f>
        <v/>
      </c>
      <c r="O220">
        <f>IF(OR(O$4="",$A220&gt;TODAY()),0,IF(OR(INDEX($B220:$D220,O$5)="F",AND(O$6&gt;0,$A220&lt;O$6),AND(O$7&gt;0,$A220&gt;O$7)),0,MAX(0,ROUND((INDEX($E220:$G220,O$5)-SUMIFS(TF_Timer,TF_Tekniker,O$4,TF_Dato,$A220))*2,0)/2)))</f>
        <v/>
      </c>
      <c r="P220">
        <f>IF(OR(P$4="",$A220&gt;TODAY()),0,IF(OR(INDEX($B220:$D220,P$5)="F",AND(P$6&gt;0,$A220&lt;P$6),AND(P$7&gt;0,$A220&gt;P$7)),0,MAX(0,ROUND((INDEX($E220:$G220,P$5)-SUMIFS(TF_Timer,TF_Tekniker,P$4,TF_Dato,$A220))*2,0)/2)))</f>
        <v/>
      </c>
      <c r="Q220">
        <f>IF(OR(Q$4="",$A220&gt;TODAY()),0,IF(OR(INDEX($B220:$D220,Q$5)="F",AND(Q$6&gt;0,$A220&lt;Q$6),AND(Q$7&gt;0,$A220&gt;Q$7)),0,MAX(0,ROUND((INDEX($E220:$G220,Q$5)-SUMIFS(TF_Timer,TF_Tekniker,Q$4,TF_Dato,$A220))*2,0)/2)))</f>
        <v/>
      </c>
      <c r="R220">
        <f>IF(OR(R$4="",$A220&gt;TODAY()),0,IF(OR(INDEX($B220:$D220,R$5)="F",AND(R$6&gt;0,$A220&lt;R$6),AND(R$7&gt;0,$A220&gt;R$7)),0,MAX(0,ROUND((INDEX($E220:$G220,R$5)-SUMIFS(TF_Timer,TF_Tekniker,R$4,TF_Dato,$A220))*2,0)/2)))</f>
        <v/>
      </c>
      <c r="S220">
        <f>IF(OR(S$4="",$A220&gt;TODAY()),0,IF(OR(INDEX($B220:$D220,S$5)="F",AND(S$6&gt;0,$A220&lt;S$6),AND(S$7&gt;0,$A220&gt;S$7)),0,MAX(0,ROUND((INDEX($E220:$G220,S$5)-SUMIFS(TF_Timer,TF_Tekniker,S$4,TF_Dato,$A220))*2,0)/2)))</f>
        <v/>
      </c>
      <c r="T220">
        <f>IF(OR(T$4="",$A220&gt;TODAY()),0,IF(OR(INDEX($B220:$D220,T$5)="F",AND(T$6&gt;0,$A220&lt;T$6),AND(T$7&gt;0,$A220&gt;T$7)),0,MAX(0,ROUND((INDEX($E220:$G220,T$5)-SUMIFS(TF_Timer,TF_Tekniker,T$4,TF_Dato,$A220))*2,0)/2)))</f>
        <v/>
      </c>
      <c r="U220">
        <f>IF(OR(U$4="",$A220&gt;TODAY()),0,IF(OR(INDEX($B220:$D220,U$5)="F",AND(U$6&gt;0,$A220&lt;U$6),AND(U$7&gt;0,$A220&gt;U$7)),0,MAX(0,ROUND((INDEX($E220:$G220,U$5)-SUMIFS(TF_Timer,TF_Tekniker,U$4,TF_Dato,$A220))*2,0)/2)))</f>
        <v/>
      </c>
      <c r="V220">
        <f>IF(OR(V$4="",$A220&gt;TODAY()),0,IF(OR(INDEX($B220:$D220,V$5)="F",AND(V$6&gt;0,$A220&lt;V$6),AND(V$7&gt;0,$A220&gt;V$7)),0,MAX(0,ROUND((INDEX($E220:$G220,V$5)-SUMIFS(TF_Timer,TF_Tekniker,V$4,TF_Dato,$A220))*2,0)/2)))</f>
        <v/>
      </c>
      <c r="W220">
        <f>IF(OR(W$4="",$A220&gt;TODAY()),0,IF(OR(INDEX($B220:$D220,W$5)="F",AND(W$6&gt;0,$A220&lt;W$6),AND(W$7&gt;0,$A220&gt;W$7)),0,MAX(0,ROUND((INDEX($E220:$G220,W$5)-SUMIFS(TF_Timer,TF_Tekniker,W$4,TF_Dato,$A220))*2,0)/2)))</f>
        <v/>
      </c>
      <c r="X220">
        <f>IF(OR(X$4="",$A220&gt;TODAY()),0,IF(OR(INDEX($B220:$D220,X$5)="F",AND(X$6&gt;0,$A220&lt;X$6),AND(X$7&gt;0,$A220&gt;X$7)),0,MAX(0,ROUND((INDEX($E220:$G220,X$5)-SUMIFS(TF_Timer,TF_Tekniker,X$4,TF_Dato,$A220))*2,0)/2)))</f>
        <v/>
      </c>
      <c r="Y220">
        <f>IF(OR(Y$4="",$A220&gt;TODAY()),0,IF(OR(INDEX($B220:$D220,Y$5)="F",AND(Y$6&gt;0,$A220&lt;Y$6),AND(Y$7&gt;0,$A220&gt;Y$7)),0,MAX(0,ROUND((INDEX($E220:$G220,Y$5)-SUMIFS(TF_Timer,TF_Tekniker,Y$4,TF_Dato,$A220))*2,0)/2)))</f>
        <v/>
      </c>
      <c r="Z220">
        <f>IF(OR(Z$4="",$A220&gt;TODAY()),0,IF(OR(INDEX($B220:$D220,Z$5)="F",AND(Z$6&gt;0,$A220&lt;Z$6),AND(Z$7&gt;0,$A220&gt;Z$7)),0,MAX(0,ROUND((INDEX($E220:$G220,Z$5)-SUMIFS(TF_Timer,TF_Tekniker,Z$4,TF_Dato,$A220))*2,0)/2)))</f>
        <v/>
      </c>
      <c r="AA220">
        <f>IF(OR(AA$4="",$A220&gt;TODAY()),0,IF(OR(INDEX($B220:$D220,AA$5)="F",AND(AA$6&gt;0,$A220&lt;AA$6),AND(AA$7&gt;0,$A220&gt;AA$7)),0,MAX(0,ROUND((INDEX($E220:$G220,AA$5)-SUMIFS(TF_Timer,TF_Tekniker,AA$4,TF_Dato,$A220))*2,0)/2)))</f>
        <v/>
      </c>
      <c r="AB220">
        <f>IF(OR(AB$4="",$A220&gt;TODAY()),0,IF(OR(INDEX($B220:$D220,AB$5)="F",AND(AB$6&gt;0,$A220&lt;AB$6),AND(AB$7&gt;0,$A220&gt;AB$7)),0,MAX(0,ROUND((INDEX($E220:$G220,AB$5)-SUMIFS(TF_Timer,TF_Tekniker,AB$4,TF_Dato,$A220))*2,0)/2)))</f>
        <v/>
      </c>
      <c r="AC220">
        <f>IF(OR(AC$4="",$A220&gt;TODAY()),0,IF(OR(INDEX($B220:$D220,AC$5)="F",AND(AC$6&gt;0,$A220&lt;AC$6),AND(AC$7&gt;0,$A220&gt;AC$7)),0,MAX(0,ROUND((INDEX($E220:$G220,AC$5)-SUMIFS(TF_Timer,TF_Tekniker,AC$4,TF_Dato,$A220))*2,0)/2)))</f>
        <v/>
      </c>
      <c r="AD220">
        <f>IF(OR(AD$4="",$A220&gt;TODAY()),0,IF(OR(INDEX($B220:$D220,AD$5)="F",AND(AD$6&gt;0,$A220&lt;AD$6),AND(AD$7&gt;0,$A220&gt;AD$7)),0,MAX(0,ROUND((INDEX($E220:$G220,AD$5)-SUMIFS(TF_Timer,TF_Tekniker,AD$4,TF_Dato,$A220))*2,0)/2)))</f>
        <v/>
      </c>
      <c r="AE220">
        <f>IF(OR(AE$4="",$A220&gt;TODAY()),0,IF(OR(INDEX($B220:$D220,AE$5)="F",AND(AE$6&gt;0,$A220&lt;AE$6),AND(AE$7&gt;0,$A220&gt;AE$7)),0,MAX(0,ROUND((INDEX($E220:$G220,AE$5)-SUMIFS(TF_Timer,TF_Tekniker,AE$4,TF_Dato,$A220))*2,0)/2)))</f>
        <v/>
      </c>
      <c r="AF220">
        <f>IF(OR(AF$4="",$A220&gt;TODAY()),0,IF(OR(INDEX($B220:$D220,AF$5)="F",AND(AF$6&gt;0,$A220&lt;AF$6),AND(AF$7&gt;0,$A220&gt;AF$7)),0,MAX(0,ROUND((INDEX($E220:$G220,AF$5)-SUMIFS(TF_Timer,TF_Tekniker,AF$4,TF_Dato,$A220))*2,0)/2)))</f>
        <v/>
      </c>
      <c r="AG220">
        <f>IF(OR(AG$4="",$A220&gt;TODAY()),0,IF(OR(INDEX($B220:$D220,AG$5)="F",AND(AG$6&gt;0,$A220&lt;AG$6),AND(AG$7&gt;0,$A220&gt;AG$7)),0,MAX(0,ROUND((INDEX($E220:$G220,AG$5)-SUMIFS(TF_Timer,TF_Tekniker,AG$4,TF_Dato,$A220))*2,0)/2)))</f>
        <v/>
      </c>
      <c r="AH220">
        <f>IF(OR(AH$4="",$A220&gt;TODAY()),0,IF(OR(INDEX($B220:$D220,AH$5)="F",AND(AH$6&gt;0,$A220&lt;AH$6),AND(AH$7&gt;0,$A220&gt;AH$7)),0,MAX(0,ROUND((INDEX($E220:$G220,AH$5)-SUMIFS(TF_Timer,TF_Tekniker,AH$4,TF_Dato,$A220))*2,0)/2)))</f>
        <v/>
      </c>
      <c r="AI220">
        <f>IF(OR(AI$4="",$A220&gt;TODAY()),0,IF(OR(INDEX($B220:$D220,AI$5)="F",AND(AI$6&gt;0,$A220&lt;AI$6),AND(AI$7&gt;0,$A220&gt;AI$7)),0,MAX(0,ROUND((INDEX($E220:$G220,AI$5)-SUMIFS(TF_Timer,TF_Tekniker,AI$4,TF_Dato,$A220))*2,0)/2)))</f>
        <v/>
      </c>
      <c r="AJ220">
        <f>IF(OR(AJ$4="",$A220&gt;TODAY()),0,IF(OR(INDEX($B220:$D220,AJ$5)="F",AND(AJ$6&gt;0,$A220&lt;AJ$6),AND(AJ$7&gt;0,$A220&gt;AJ$7)),0,MAX(0,ROUND((INDEX($E220:$G220,AJ$5)-SUMIFS(TF_Timer,TF_Tekniker,AJ$4,TF_Dato,$A220))*2,0)/2)))</f>
        <v/>
      </c>
      <c r="AK220">
        <f>IF(OR(AK$4="",$A220&gt;TODAY()),0,IF(OR(INDEX($B220:$D220,AK$5)="F",AND(AK$6&gt;0,$A220&lt;AK$6),AND(AK$7&gt;0,$A220&gt;AK$7)),0,MAX(0,ROUND((INDEX($E220:$G220,AK$5)-SUMIFS(TF_Timer,TF_Tekniker,AK$4,TF_Dato,$A220))*2,0)/2)))</f>
        <v/>
      </c>
      <c r="AL220">
        <f>IF(OR(AL$4="",$A220&gt;TODAY()),0,IF(OR(INDEX($B220:$D220,AL$5)="F",AND(AL$6&gt;0,$A220&lt;AL$6),AND(AL$7&gt;0,$A220&gt;AL$7)),0,MAX(0,ROUND((INDEX($E220:$G220,AL$5)-SUMIFS(TF_Timer,TF_Tekniker,AL$4,TF_Dato,$A220))*2,0)/2)))</f>
        <v/>
      </c>
      <c r="AM220">
        <f>IF(OR(AM$4="",$A220&gt;TODAY()),0,IF(OR(INDEX($B220:$D220,AM$5)="F",AND(AM$6&gt;0,$A220&lt;AM$6),AND(AM$7&gt;0,$A220&gt;AM$7)),0,MAX(0,ROUND((INDEX($E220:$G220,AM$5)-SUMIFS(TF_Timer,TF_Tekniker,AM$4,TF_Dato,$A220))*2,0)/2)))</f>
        <v/>
      </c>
      <c r="AN220">
        <f>IF(OR(AN$4="",$A220&gt;TODAY()),0,IF(OR(INDEX($B220:$D220,AN$5)="F",AND(AN$6&gt;0,$A220&lt;AN$6),AND(AN$7&gt;0,$A220&gt;AN$7)),0,MAX(0,ROUND((INDEX($E220:$G220,AN$5)-SUMIFS(TF_Timer,TF_Tekniker,AN$4,TF_Dato,$A220))*2,0)/2)))</f>
        <v/>
      </c>
      <c r="AO220">
        <f>IF(OR(AO$4="",$A220&gt;TODAY()),0,IF(OR(INDEX($B220:$D220,AO$5)="F",AND(AO$6&gt;0,$A220&lt;AO$6),AND(AO$7&gt;0,$A220&gt;AO$7)),0,MAX(0,ROUND((INDEX($E220:$G220,AO$5)-SUMIFS(TF_Timer,TF_Tekniker,AO$4,TF_Dato,$A220))*2,0)/2)))</f>
        <v/>
      </c>
      <c r="AP220">
        <f>IF(OR(AP$4="",$A220&gt;TODAY()),0,IF(OR(INDEX($B220:$D220,AP$5)="F",AND(AP$6&gt;0,$A220&lt;AP$6),AND(AP$7&gt;0,$A220&gt;AP$7)),0,MAX(0,ROUND((INDEX($E220:$G220,AP$5)-SUMIFS(TF_Timer,TF_Tekniker,AP$4,TF_Dato,$A220))*2,0)/2)))</f>
        <v/>
      </c>
      <c r="AQ220">
        <f>IF(OR(AQ$4="",$A220&gt;TODAY()),0,IF(OR(INDEX($B220:$D220,AQ$5)="F",AND(AQ$6&gt;0,$A220&lt;AQ$6),AND(AQ$7&gt;0,$A220&gt;AQ$7)),0,MAX(0,ROUND((INDEX($E220:$G220,AQ$5)-SUMIFS(TF_Timer,TF_Tekniker,AQ$4,TF_Dato,$A220))*2,0)/2)))</f>
        <v/>
      </c>
      <c r="AR220">
        <f>IF(OR(AR$4="",$A220&gt;TODAY()),0,IF(OR(INDEX($B220:$D220,AR$5)="F",AND(AR$6&gt;0,$A220&lt;AR$6),AND(AR$7&gt;0,$A220&gt;AR$7)),0,MAX(0,ROUND((INDEX($E220:$G220,AR$5)-SUMIFS(TF_Timer,TF_Tekniker,AR$4,TF_Dato,$A220))*2,0)/2)))</f>
        <v/>
      </c>
      <c r="AS220">
        <f>IF(OR(AS$4="",$A220&gt;TODAY()),0,IF(OR(INDEX($B220:$D220,AS$5)="F",AND(AS$6&gt;0,$A220&lt;AS$6),AND(AS$7&gt;0,$A220&gt;AS$7)),0,MAX(0,ROUND((INDEX($E220:$G220,AS$5)-SUMIFS(TF_Timer,TF_Tekniker,AS$4,TF_Dato,$A220))*2,0)/2)))</f>
        <v/>
      </c>
      <c r="AT220">
        <f>IF(OR(AT$4="",$A220&gt;TODAY()),0,IF(OR(INDEX($B220:$D220,AT$5)="F",AND(AT$6&gt;0,$A220&lt;AT$6),AND(AT$7&gt;0,$A220&gt;AT$7)),0,MAX(0,ROUND((INDEX($E220:$G220,AT$5)-SUMIFS(TF_Timer,TF_Tekniker,AT$4,TF_Dato,$A220))*2,0)/2)))</f>
        <v/>
      </c>
      <c r="AU220">
        <f>IF(OR(AU$4="",$A220&gt;TODAY()),0,IF(OR(INDEX($B220:$D220,AU$5)="F",AND(AU$6&gt;0,$A220&lt;AU$6),AND(AU$7&gt;0,$A220&gt;AU$7)),0,MAX(0,ROUND((INDEX($E220:$G220,AU$5)-SUMIFS(TF_Timer,TF_Tekniker,AU$4,TF_Dato,$A220))*2,0)/2)))</f>
        <v/>
      </c>
      <c r="AV220">
        <f>IF(OR(AV$4="",$A220&gt;TODAY()),0,IF(OR(INDEX($B220:$D220,AV$5)="F",AND(AV$6&gt;0,$A220&lt;AV$6),AND(AV$7&gt;0,$A220&gt;AV$7)),0,MAX(0,ROUND((INDEX($E220:$G220,AV$5)-SUMIFS(TF_Timer,TF_Tekniker,AV$4,TF_Dato,$A220))*2,0)/2)))</f>
        <v/>
      </c>
      <c r="AW220">
        <f>IF(OR(AW$4="",$A220&gt;TODAY()),0,IF(OR(INDEX($B220:$D220,AW$5)="F",AND(AW$6&gt;0,$A220&lt;AW$6),AND(AW$7&gt;0,$A220&gt;AW$7)),0,MAX(0,ROUND((INDEX($E220:$G220,AW$5)-SUMIFS(TF_Timer,TF_Tekniker,AW$4,TF_Dato,$A220))*2,0)/2)))</f>
        <v/>
      </c>
      <c r="AX220">
        <f>IF(OR(AX$4="",$A220&gt;TODAY()),0,IF(OR(INDEX($B220:$D220,AX$5)="F",AND(AX$6&gt;0,$A220&lt;AX$6),AND(AX$7&gt;0,$A220&gt;AX$7)),0,MAX(0,ROUND((INDEX($E220:$G220,AX$5)-SUMIFS(TF_Timer,TF_Tekniker,AX$4,TF_Dato,$A220))*2,0)/2)))</f>
        <v/>
      </c>
      <c r="AY220">
        <f>IF(OR(AY$4="",$A220&gt;TODAY()),0,IF(OR(INDEX($B220:$D220,AY$5)="F",AND(AY$6&gt;0,$A220&lt;AY$6),AND(AY$7&gt;0,$A220&gt;AY$7)),0,MAX(0,ROUND((INDEX($E220:$G220,AY$5)-SUMIFS(TF_Timer,TF_Tekniker,AY$4,TF_Dato,$A220))*2,0)/2)))</f>
        <v/>
      </c>
      <c r="AZ220">
        <f>IF(OR(AZ$4="",$A220&gt;TODAY()),0,IF(OR(INDEX($B220:$D220,AZ$5)="F",AND(AZ$6&gt;0,$A220&lt;AZ$6),AND(AZ$7&gt;0,$A220&gt;AZ$7)),0,MAX(0,ROUND((INDEX($E220:$G220,AZ$5)-SUMIFS(TF_Timer,TF_Tekniker,AZ$4,TF_Dato,$A220))*2,0)/2)))</f>
        <v/>
      </c>
      <c r="BA220">
        <f>IF(OR(BA$4="",$A220&gt;TODAY()),0,IF(OR(INDEX($B220:$D220,BA$5)="F",AND(BA$6&gt;0,$A220&lt;BA$6),AND(BA$7&gt;0,$A220&gt;BA$7)),0,MAX(0,ROUND((INDEX($E220:$G220,BA$5)-SUMIFS(TF_Timer,TF_Tekniker,BA$4,TF_Dato,$A220))*2,0)/2)))</f>
        <v/>
      </c>
      <c r="BB220">
        <f>IF(OR(BB$4="",$A220&gt;TODAY()),0,IF(OR(INDEX($B220:$D220,BB$5)="F",AND(BB$6&gt;0,$A220&lt;BB$6),AND(BB$7&gt;0,$A220&gt;BB$7)),0,MAX(0,ROUND((INDEX($E220:$G220,BB$5)-SUMIFS(TF_Timer,TF_Tekniker,BB$4,TF_Dato,$A220))*2,0)/2)))</f>
        <v/>
      </c>
      <c r="BC220">
        <f>IF(OR(BC$4="",$A220&gt;TODAY()),0,IF(OR(INDEX($B220:$D220,BC$5)="F",AND(BC$6&gt;0,$A220&lt;BC$6),AND(BC$7&gt;0,$A220&gt;BC$7)),0,MAX(0,ROUND((INDEX($E220:$G220,BC$5)-SUMIFS(TF_Timer,TF_Tekniker,BC$4,TF_Dato,$A220))*2,0)/2)))</f>
        <v/>
      </c>
      <c r="BD220">
        <f>IF(OR(BD$4="",$A220&gt;TODAY()),0,IF(OR(INDEX($B220:$D220,BD$5)="F",AND(BD$6&gt;0,$A220&lt;BD$6),AND(BD$7&gt;0,$A220&gt;BD$7)),0,MAX(0,ROUND((INDEX($E220:$G220,BD$5)-SUMIFS(TF_Timer,TF_Tekniker,BD$4,TF_Dato,$A220))*2,0)/2)))</f>
        <v/>
      </c>
      <c r="BE220">
        <f>IF(OR(BE$4="",$A220&gt;TODAY()),0,IF(OR(INDEX($B220:$D220,BE$5)="F",AND(BE$6&gt;0,$A220&lt;BE$6),AND(BE$7&gt;0,$A220&gt;BE$7)),0,MAX(0,ROUND((INDEX($E220:$G220,BE$5)-SUMIFS(TF_Timer,TF_Tekniker,BE$4,TF_Dato,$A220))*2,0)/2)))</f>
        <v/>
      </c>
      <c r="BF220">
        <f>IF(OR(BF$4="",$A220&gt;TODAY()),0,IF(OR(INDEX($B220:$D220,BF$5)="F",AND(BF$6&gt;0,$A220&lt;BF$6),AND(BF$7&gt;0,$A220&gt;BF$7)),0,MAX(0,ROUND((INDEX($E220:$G220,BF$5)-SUMIFS(TF_Timer,TF_Tekniker,BF$4,TF_Dato,$A220))*2,0)/2)))</f>
        <v/>
      </c>
      <c r="BG220">
        <f>IF(OR(BG$4="",$A220&gt;TODAY()),0,IF(OR(INDEX($B220:$D220,BG$5)="F",AND(BG$6&gt;0,$A220&lt;BG$6),AND(BG$7&gt;0,$A220&gt;BG$7)),0,MAX(0,ROUND((INDEX($E220:$G220,BG$5)-SUMIFS(TF_Timer,TF_Tekniker,BG$4,TF_Dato,$A220))*2,0)/2)))</f>
        <v/>
      </c>
      <c r="BH220">
        <f>IF(OR(BH$4="",$A220&gt;TODAY()),0,IF(OR(INDEX($B220:$D220,BH$5)="F",AND(BH$6&gt;0,$A220&lt;BH$6),AND(BH$7&gt;0,$A220&gt;BH$7)),0,MAX(0,ROUND((INDEX($E220:$G220,BH$5)-SUMIFS(TF_Timer,TF_Tekniker,BH$4,TF_Dato,$A220))*2,0)/2)))</f>
        <v/>
      </c>
      <c r="BI220">
        <f>IF(OR(BI$4="",$A220&gt;TODAY()),0,IF(OR(INDEX($B220:$D220,BI$5)="F",AND(BI$6&gt;0,$A220&lt;BI$6),AND(BI$7&gt;0,$A220&gt;BI$7)),0,MAX(0,ROUND((INDEX($E220:$G220,BI$5)-SUMIFS(TF_Timer,TF_Tekniker,BI$4,TF_Dato,$A220))*2,0)/2)))</f>
        <v/>
      </c>
    </row>
    <row r="221">
      <c r="A221" s="64">
        <f>A220+1</f>
        <v/>
      </c>
      <c r="B221">
        <f>IF(MOD($A221-INDEX(SkiftStart,1),Syklus)&lt;DagK,"K",IF(MOD($A221-INDEX(SkiftStart,1),Syklus)&lt;DagK+DagH,"H",IF(MOD($A221-INDEX(SkiftStart,1),Syklus)&lt;DagK+DagH+DagD,"D","F")))</f>
        <v/>
      </c>
      <c r="C221">
        <f>IF(MOD($A221-INDEX(SkiftStart,2),Syklus)&lt;DagK,"K",IF(MOD($A221-INDEX(SkiftStart,2),Syklus)&lt;DagK+DagH,"H",IF(MOD($A221-INDEX(SkiftStart,2),Syklus)&lt;DagK+DagH+DagD,"D","F")))</f>
        <v/>
      </c>
      <c r="D221">
        <f>IF(MOD($A221-INDEX(SkiftStart,3),Syklus)&lt;DagK,"K",IF(MOD($A221-INDEX(SkiftStart,3),Syklus)&lt;DagK+DagH,"H",IF(MOD($A221-INDEX(SkiftStart,3),Syklus)&lt;DagK+DagH+DagD,"D","F")))</f>
        <v/>
      </c>
      <c r="E221">
        <f>IF(B221="F",0,IF(WEEKDAY($A221,2)=5,INDEX(TimerFr,MATCH(B221,FaseKode,0)),INDEX(TimerMT,MATCH(B221,FaseKode,0))))</f>
        <v/>
      </c>
      <c r="F221">
        <f>IF(C221="F",0,IF(WEEKDAY($A221,2)=5,INDEX(TimerFr,MATCH(C221,FaseKode,0)),INDEX(TimerMT,MATCH(C221,FaseKode,0))))</f>
        <v/>
      </c>
      <c r="G221">
        <f>IF(D221="F",0,IF(WEEKDAY($A221,2)=5,INDEX(TimerFr,MATCH(D221,FaseKode,0)),INDEX(TimerMT,MATCH(D221,FaseKode,0))))</f>
        <v/>
      </c>
      <c r="H221">
        <f>IF(OR(H$4="",$A221&gt;TODAY()),0,IF(OR(INDEX($B221:$D221,H$5)="F",AND(H$6&gt;0,$A221&lt;H$6),AND(H$7&gt;0,$A221&gt;H$7)),0,MAX(0,ROUND((INDEX($E221:$G221,H$5)-SUMIFS(TF_Timer,TF_Tekniker,H$4,TF_Dato,$A221))*2,0)/2)))</f>
        <v/>
      </c>
      <c r="I221">
        <f>IF(OR(I$4="",$A221&gt;TODAY()),0,IF(OR(INDEX($B221:$D221,I$5)="F",AND(I$6&gt;0,$A221&lt;I$6),AND(I$7&gt;0,$A221&gt;I$7)),0,MAX(0,ROUND((INDEX($E221:$G221,I$5)-SUMIFS(TF_Timer,TF_Tekniker,I$4,TF_Dato,$A221))*2,0)/2)))</f>
        <v/>
      </c>
      <c r="J221">
        <f>IF(OR(J$4="",$A221&gt;TODAY()),0,IF(OR(INDEX($B221:$D221,J$5)="F",AND(J$6&gt;0,$A221&lt;J$6),AND(J$7&gt;0,$A221&gt;J$7)),0,MAX(0,ROUND((INDEX($E221:$G221,J$5)-SUMIFS(TF_Timer,TF_Tekniker,J$4,TF_Dato,$A221))*2,0)/2)))</f>
        <v/>
      </c>
      <c r="K221">
        <f>IF(OR(K$4="",$A221&gt;TODAY()),0,IF(OR(INDEX($B221:$D221,K$5)="F",AND(K$6&gt;0,$A221&lt;K$6),AND(K$7&gt;0,$A221&gt;K$7)),0,MAX(0,ROUND((INDEX($E221:$G221,K$5)-SUMIFS(TF_Timer,TF_Tekniker,K$4,TF_Dato,$A221))*2,0)/2)))</f>
        <v/>
      </c>
      <c r="L221">
        <f>IF(OR(L$4="",$A221&gt;TODAY()),0,IF(OR(INDEX($B221:$D221,L$5)="F",AND(L$6&gt;0,$A221&lt;L$6),AND(L$7&gt;0,$A221&gt;L$7)),0,MAX(0,ROUND((INDEX($E221:$G221,L$5)-SUMIFS(TF_Timer,TF_Tekniker,L$4,TF_Dato,$A221))*2,0)/2)))</f>
        <v/>
      </c>
      <c r="M221">
        <f>IF(OR(M$4="",$A221&gt;TODAY()),0,IF(OR(INDEX($B221:$D221,M$5)="F",AND(M$6&gt;0,$A221&lt;M$6),AND(M$7&gt;0,$A221&gt;M$7)),0,MAX(0,ROUND((INDEX($E221:$G221,M$5)-SUMIFS(TF_Timer,TF_Tekniker,M$4,TF_Dato,$A221))*2,0)/2)))</f>
        <v/>
      </c>
      <c r="N221">
        <f>IF(OR(N$4="",$A221&gt;TODAY()),0,IF(OR(INDEX($B221:$D221,N$5)="F",AND(N$6&gt;0,$A221&lt;N$6),AND(N$7&gt;0,$A221&gt;N$7)),0,MAX(0,ROUND((INDEX($E221:$G221,N$5)-SUMIFS(TF_Timer,TF_Tekniker,N$4,TF_Dato,$A221))*2,0)/2)))</f>
        <v/>
      </c>
      <c r="O221">
        <f>IF(OR(O$4="",$A221&gt;TODAY()),0,IF(OR(INDEX($B221:$D221,O$5)="F",AND(O$6&gt;0,$A221&lt;O$6),AND(O$7&gt;0,$A221&gt;O$7)),0,MAX(0,ROUND((INDEX($E221:$G221,O$5)-SUMIFS(TF_Timer,TF_Tekniker,O$4,TF_Dato,$A221))*2,0)/2)))</f>
        <v/>
      </c>
      <c r="P221">
        <f>IF(OR(P$4="",$A221&gt;TODAY()),0,IF(OR(INDEX($B221:$D221,P$5)="F",AND(P$6&gt;0,$A221&lt;P$6),AND(P$7&gt;0,$A221&gt;P$7)),0,MAX(0,ROUND((INDEX($E221:$G221,P$5)-SUMIFS(TF_Timer,TF_Tekniker,P$4,TF_Dato,$A221))*2,0)/2)))</f>
        <v/>
      </c>
      <c r="Q221">
        <f>IF(OR(Q$4="",$A221&gt;TODAY()),0,IF(OR(INDEX($B221:$D221,Q$5)="F",AND(Q$6&gt;0,$A221&lt;Q$6),AND(Q$7&gt;0,$A221&gt;Q$7)),0,MAX(0,ROUND((INDEX($E221:$G221,Q$5)-SUMIFS(TF_Timer,TF_Tekniker,Q$4,TF_Dato,$A221))*2,0)/2)))</f>
        <v/>
      </c>
      <c r="R221">
        <f>IF(OR(R$4="",$A221&gt;TODAY()),0,IF(OR(INDEX($B221:$D221,R$5)="F",AND(R$6&gt;0,$A221&lt;R$6),AND(R$7&gt;0,$A221&gt;R$7)),0,MAX(0,ROUND((INDEX($E221:$G221,R$5)-SUMIFS(TF_Timer,TF_Tekniker,R$4,TF_Dato,$A221))*2,0)/2)))</f>
        <v/>
      </c>
      <c r="S221">
        <f>IF(OR(S$4="",$A221&gt;TODAY()),0,IF(OR(INDEX($B221:$D221,S$5)="F",AND(S$6&gt;0,$A221&lt;S$6),AND(S$7&gt;0,$A221&gt;S$7)),0,MAX(0,ROUND((INDEX($E221:$G221,S$5)-SUMIFS(TF_Timer,TF_Tekniker,S$4,TF_Dato,$A221))*2,0)/2)))</f>
        <v/>
      </c>
      <c r="T221">
        <f>IF(OR(T$4="",$A221&gt;TODAY()),0,IF(OR(INDEX($B221:$D221,T$5)="F",AND(T$6&gt;0,$A221&lt;T$6),AND(T$7&gt;0,$A221&gt;T$7)),0,MAX(0,ROUND((INDEX($E221:$G221,T$5)-SUMIFS(TF_Timer,TF_Tekniker,T$4,TF_Dato,$A221))*2,0)/2)))</f>
        <v/>
      </c>
      <c r="U221">
        <f>IF(OR(U$4="",$A221&gt;TODAY()),0,IF(OR(INDEX($B221:$D221,U$5)="F",AND(U$6&gt;0,$A221&lt;U$6),AND(U$7&gt;0,$A221&gt;U$7)),0,MAX(0,ROUND((INDEX($E221:$G221,U$5)-SUMIFS(TF_Timer,TF_Tekniker,U$4,TF_Dato,$A221))*2,0)/2)))</f>
        <v/>
      </c>
      <c r="V221">
        <f>IF(OR(V$4="",$A221&gt;TODAY()),0,IF(OR(INDEX($B221:$D221,V$5)="F",AND(V$6&gt;0,$A221&lt;V$6),AND(V$7&gt;0,$A221&gt;V$7)),0,MAX(0,ROUND((INDEX($E221:$G221,V$5)-SUMIFS(TF_Timer,TF_Tekniker,V$4,TF_Dato,$A221))*2,0)/2)))</f>
        <v/>
      </c>
      <c r="W221">
        <f>IF(OR(W$4="",$A221&gt;TODAY()),0,IF(OR(INDEX($B221:$D221,W$5)="F",AND(W$6&gt;0,$A221&lt;W$6),AND(W$7&gt;0,$A221&gt;W$7)),0,MAX(0,ROUND((INDEX($E221:$G221,W$5)-SUMIFS(TF_Timer,TF_Tekniker,W$4,TF_Dato,$A221))*2,0)/2)))</f>
        <v/>
      </c>
      <c r="X221">
        <f>IF(OR(X$4="",$A221&gt;TODAY()),0,IF(OR(INDEX($B221:$D221,X$5)="F",AND(X$6&gt;0,$A221&lt;X$6),AND(X$7&gt;0,$A221&gt;X$7)),0,MAX(0,ROUND((INDEX($E221:$G221,X$5)-SUMIFS(TF_Timer,TF_Tekniker,X$4,TF_Dato,$A221))*2,0)/2)))</f>
        <v/>
      </c>
      <c r="Y221">
        <f>IF(OR(Y$4="",$A221&gt;TODAY()),0,IF(OR(INDEX($B221:$D221,Y$5)="F",AND(Y$6&gt;0,$A221&lt;Y$6),AND(Y$7&gt;0,$A221&gt;Y$7)),0,MAX(0,ROUND((INDEX($E221:$G221,Y$5)-SUMIFS(TF_Timer,TF_Tekniker,Y$4,TF_Dato,$A221))*2,0)/2)))</f>
        <v/>
      </c>
      <c r="Z221">
        <f>IF(OR(Z$4="",$A221&gt;TODAY()),0,IF(OR(INDEX($B221:$D221,Z$5)="F",AND(Z$6&gt;0,$A221&lt;Z$6),AND(Z$7&gt;0,$A221&gt;Z$7)),0,MAX(0,ROUND((INDEX($E221:$G221,Z$5)-SUMIFS(TF_Timer,TF_Tekniker,Z$4,TF_Dato,$A221))*2,0)/2)))</f>
        <v/>
      </c>
      <c r="AA221">
        <f>IF(OR(AA$4="",$A221&gt;TODAY()),0,IF(OR(INDEX($B221:$D221,AA$5)="F",AND(AA$6&gt;0,$A221&lt;AA$6),AND(AA$7&gt;0,$A221&gt;AA$7)),0,MAX(0,ROUND((INDEX($E221:$G221,AA$5)-SUMIFS(TF_Timer,TF_Tekniker,AA$4,TF_Dato,$A221))*2,0)/2)))</f>
        <v/>
      </c>
      <c r="AB221">
        <f>IF(OR(AB$4="",$A221&gt;TODAY()),0,IF(OR(INDEX($B221:$D221,AB$5)="F",AND(AB$6&gt;0,$A221&lt;AB$6),AND(AB$7&gt;0,$A221&gt;AB$7)),0,MAX(0,ROUND((INDEX($E221:$G221,AB$5)-SUMIFS(TF_Timer,TF_Tekniker,AB$4,TF_Dato,$A221))*2,0)/2)))</f>
        <v/>
      </c>
      <c r="AC221">
        <f>IF(OR(AC$4="",$A221&gt;TODAY()),0,IF(OR(INDEX($B221:$D221,AC$5)="F",AND(AC$6&gt;0,$A221&lt;AC$6),AND(AC$7&gt;0,$A221&gt;AC$7)),0,MAX(0,ROUND((INDEX($E221:$G221,AC$5)-SUMIFS(TF_Timer,TF_Tekniker,AC$4,TF_Dato,$A221))*2,0)/2)))</f>
        <v/>
      </c>
      <c r="AD221">
        <f>IF(OR(AD$4="",$A221&gt;TODAY()),0,IF(OR(INDEX($B221:$D221,AD$5)="F",AND(AD$6&gt;0,$A221&lt;AD$6),AND(AD$7&gt;0,$A221&gt;AD$7)),0,MAX(0,ROUND((INDEX($E221:$G221,AD$5)-SUMIFS(TF_Timer,TF_Tekniker,AD$4,TF_Dato,$A221))*2,0)/2)))</f>
        <v/>
      </c>
      <c r="AE221">
        <f>IF(OR(AE$4="",$A221&gt;TODAY()),0,IF(OR(INDEX($B221:$D221,AE$5)="F",AND(AE$6&gt;0,$A221&lt;AE$6),AND(AE$7&gt;0,$A221&gt;AE$7)),0,MAX(0,ROUND((INDEX($E221:$G221,AE$5)-SUMIFS(TF_Timer,TF_Tekniker,AE$4,TF_Dato,$A221))*2,0)/2)))</f>
        <v/>
      </c>
      <c r="AF221">
        <f>IF(OR(AF$4="",$A221&gt;TODAY()),0,IF(OR(INDEX($B221:$D221,AF$5)="F",AND(AF$6&gt;0,$A221&lt;AF$6),AND(AF$7&gt;0,$A221&gt;AF$7)),0,MAX(0,ROUND((INDEX($E221:$G221,AF$5)-SUMIFS(TF_Timer,TF_Tekniker,AF$4,TF_Dato,$A221))*2,0)/2)))</f>
        <v/>
      </c>
      <c r="AG221">
        <f>IF(OR(AG$4="",$A221&gt;TODAY()),0,IF(OR(INDEX($B221:$D221,AG$5)="F",AND(AG$6&gt;0,$A221&lt;AG$6),AND(AG$7&gt;0,$A221&gt;AG$7)),0,MAX(0,ROUND((INDEX($E221:$G221,AG$5)-SUMIFS(TF_Timer,TF_Tekniker,AG$4,TF_Dato,$A221))*2,0)/2)))</f>
        <v/>
      </c>
      <c r="AH221">
        <f>IF(OR(AH$4="",$A221&gt;TODAY()),0,IF(OR(INDEX($B221:$D221,AH$5)="F",AND(AH$6&gt;0,$A221&lt;AH$6),AND(AH$7&gt;0,$A221&gt;AH$7)),0,MAX(0,ROUND((INDEX($E221:$G221,AH$5)-SUMIFS(TF_Timer,TF_Tekniker,AH$4,TF_Dato,$A221))*2,0)/2)))</f>
        <v/>
      </c>
      <c r="AI221">
        <f>IF(OR(AI$4="",$A221&gt;TODAY()),0,IF(OR(INDEX($B221:$D221,AI$5)="F",AND(AI$6&gt;0,$A221&lt;AI$6),AND(AI$7&gt;0,$A221&gt;AI$7)),0,MAX(0,ROUND((INDEX($E221:$G221,AI$5)-SUMIFS(TF_Timer,TF_Tekniker,AI$4,TF_Dato,$A221))*2,0)/2)))</f>
        <v/>
      </c>
      <c r="AJ221">
        <f>IF(OR(AJ$4="",$A221&gt;TODAY()),0,IF(OR(INDEX($B221:$D221,AJ$5)="F",AND(AJ$6&gt;0,$A221&lt;AJ$6),AND(AJ$7&gt;0,$A221&gt;AJ$7)),0,MAX(0,ROUND((INDEX($E221:$G221,AJ$5)-SUMIFS(TF_Timer,TF_Tekniker,AJ$4,TF_Dato,$A221))*2,0)/2)))</f>
        <v/>
      </c>
      <c r="AK221">
        <f>IF(OR(AK$4="",$A221&gt;TODAY()),0,IF(OR(INDEX($B221:$D221,AK$5)="F",AND(AK$6&gt;0,$A221&lt;AK$6),AND(AK$7&gt;0,$A221&gt;AK$7)),0,MAX(0,ROUND((INDEX($E221:$G221,AK$5)-SUMIFS(TF_Timer,TF_Tekniker,AK$4,TF_Dato,$A221))*2,0)/2)))</f>
        <v/>
      </c>
      <c r="AL221">
        <f>IF(OR(AL$4="",$A221&gt;TODAY()),0,IF(OR(INDEX($B221:$D221,AL$5)="F",AND(AL$6&gt;0,$A221&lt;AL$6),AND(AL$7&gt;0,$A221&gt;AL$7)),0,MAX(0,ROUND((INDEX($E221:$G221,AL$5)-SUMIFS(TF_Timer,TF_Tekniker,AL$4,TF_Dato,$A221))*2,0)/2)))</f>
        <v/>
      </c>
      <c r="AM221">
        <f>IF(OR(AM$4="",$A221&gt;TODAY()),0,IF(OR(INDEX($B221:$D221,AM$5)="F",AND(AM$6&gt;0,$A221&lt;AM$6),AND(AM$7&gt;0,$A221&gt;AM$7)),0,MAX(0,ROUND((INDEX($E221:$G221,AM$5)-SUMIFS(TF_Timer,TF_Tekniker,AM$4,TF_Dato,$A221))*2,0)/2)))</f>
        <v/>
      </c>
      <c r="AN221">
        <f>IF(OR(AN$4="",$A221&gt;TODAY()),0,IF(OR(INDEX($B221:$D221,AN$5)="F",AND(AN$6&gt;0,$A221&lt;AN$6),AND(AN$7&gt;0,$A221&gt;AN$7)),0,MAX(0,ROUND((INDEX($E221:$G221,AN$5)-SUMIFS(TF_Timer,TF_Tekniker,AN$4,TF_Dato,$A221))*2,0)/2)))</f>
        <v/>
      </c>
      <c r="AO221">
        <f>IF(OR(AO$4="",$A221&gt;TODAY()),0,IF(OR(INDEX($B221:$D221,AO$5)="F",AND(AO$6&gt;0,$A221&lt;AO$6),AND(AO$7&gt;0,$A221&gt;AO$7)),0,MAX(0,ROUND((INDEX($E221:$G221,AO$5)-SUMIFS(TF_Timer,TF_Tekniker,AO$4,TF_Dato,$A221))*2,0)/2)))</f>
        <v/>
      </c>
      <c r="AP221">
        <f>IF(OR(AP$4="",$A221&gt;TODAY()),0,IF(OR(INDEX($B221:$D221,AP$5)="F",AND(AP$6&gt;0,$A221&lt;AP$6),AND(AP$7&gt;0,$A221&gt;AP$7)),0,MAX(0,ROUND((INDEX($E221:$G221,AP$5)-SUMIFS(TF_Timer,TF_Tekniker,AP$4,TF_Dato,$A221))*2,0)/2)))</f>
        <v/>
      </c>
      <c r="AQ221">
        <f>IF(OR(AQ$4="",$A221&gt;TODAY()),0,IF(OR(INDEX($B221:$D221,AQ$5)="F",AND(AQ$6&gt;0,$A221&lt;AQ$6),AND(AQ$7&gt;0,$A221&gt;AQ$7)),0,MAX(0,ROUND((INDEX($E221:$G221,AQ$5)-SUMIFS(TF_Timer,TF_Tekniker,AQ$4,TF_Dato,$A221))*2,0)/2)))</f>
        <v/>
      </c>
      <c r="AR221">
        <f>IF(OR(AR$4="",$A221&gt;TODAY()),0,IF(OR(INDEX($B221:$D221,AR$5)="F",AND(AR$6&gt;0,$A221&lt;AR$6),AND(AR$7&gt;0,$A221&gt;AR$7)),0,MAX(0,ROUND((INDEX($E221:$G221,AR$5)-SUMIFS(TF_Timer,TF_Tekniker,AR$4,TF_Dato,$A221))*2,0)/2)))</f>
        <v/>
      </c>
      <c r="AS221">
        <f>IF(OR(AS$4="",$A221&gt;TODAY()),0,IF(OR(INDEX($B221:$D221,AS$5)="F",AND(AS$6&gt;0,$A221&lt;AS$6),AND(AS$7&gt;0,$A221&gt;AS$7)),0,MAX(0,ROUND((INDEX($E221:$G221,AS$5)-SUMIFS(TF_Timer,TF_Tekniker,AS$4,TF_Dato,$A221))*2,0)/2)))</f>
        <v/>
      </c>
      <c r="AT221">
        <f>IF(OR(AT$4="",$A221&gt;TODAY()),0,IF(OR(INDEX($B221:$D221,AT$5)="F",AND(AT$6&gt;0,$A221&lt;AT$6),AND(AT$7&gt;0,$A221&gt;AT$7)),0,MAX(0,ROUND((INDEX($E221:$G221,AT$5)-SUMIFS(TF_Timer,TF_Tekniker,AT$4,TF_Dato,$A221))*2,0)/2)))</f>
        <v/>
      </c>
      <c r="AU221">
        <f>IF(OR(AU$4="",$A221&gt;TODAY()),0,IF(OR(INDEX($B221:$D221,AU$5)="F",AND(AU$6&gt;0,$A221&lt;AU$6),AND(AU$7&gt;0,$A221&gt;AU$7)),0,MAX(0,ROUND((INDEX($E221:$G221,AU$5)-SUMIFS(TF_Timer,TF_Tekniker,AU$4,TF_Dato,$A221))*2,0)/2)))</f>
        <v/>
      </c>
      <c r="AV221">
        <f>IF(OR(AV$4="",$A221&gt;TODAY()),0,IF(OR(INDEX($B221:$D221,AV$5)="F",AND(AV$6&gt;0,$A221&lt;AV$6),AND(AV$7&gt;0,$A221&gt;AV$7)),0,MAX(0,ROUND((INDEX($E221:$G221,AV$5)-SUMIFS(TF_Timer,TF_Tekniker,AV$4,TF_Dato,$A221))*2,0)/2)))</f>
        <v/>
      </c>
      <c r="AW221">
        <f>IF(OR(AW$4="",$A221&gt;TODAY()),0,IF(OR(INDEX($B221:$D221,AW$5)="F",AND(AW$6&gt;0,$A221&lt;AW$6),AND(AW$7&gt;0,$A221&gt;AW$7)),0,MAX(0,ROUND((INDEX($E221:$G221,AW$5)-SUMIFS(TF_Timer,TF_Tekniker,AW$4,TF_Dato,$A221))*2,0)/2)))</f>
        <v/>
      </c>
      <c r="AX221">
        <f>IF(OR(AX$4="",$A221&gt;TODAY()),0,IF(OR(INDEX($B221:$D221,AX$5)="F",AND(AX$6&gt;0,$A221&lt;AX$6),AND(AX$7&gt;0,$A221&gt;AX$7)),0,MAX(0,ROUND((INDEX($E221:$G221,AX$5)-SUMIFS(TF_Timer,TF_Tekniker,AX$4,TF_Dato,$A221))*2,0)/2)))</f>
        <v/>
      </c>
      <c r="AY221">
        <f>IF(OR(AY$4="",$A221&gt;TODAY()),0,IF(OR(INDEX($B221:$D221,AY$5)="F",AND(AY$6&gt;0,$A221&lt;AY$6),AND(AY$7&gt;0,$A221&gt;AY$7)),0,MAX(0,ROUND((INDEX($E221:$G221,AY$5)-SUMIFS(TF_Timer,TF_Tekniker,AY$4,TF_Dato,$A221))*2,0)/2)))</f>
        <v/>
      </c>
      <c r="AZ221">
        <f>IF(OR(AZ$4="",$A221&gt;TODAY()),0,IF(OR(INDEX($B221:$D221,AZ$5)="F",AND(AZ$6&gt;0,$A221&lt;AZ$6),AND(AZ$7&gt;0,$A221&gt;AZ$7)),0,MAX(0,ROUND((INDEX($E221:$G221,AZ$5)-SUMIFS(TF_Timer,TF_Tekniker,AZ$4,TF_Dato,$A221))*2,0)/2)))</f>
        <v/>
      </c>
      <c r="BA221">
        <f>IF(OR(BA$4="",$A221&gt;TODAY()),0,IF(OR(INDEX($B221:$D221,BA$5)="F",AND(BA$6&gt;0,$A221&lt;BA$6),AND(BA$7&gt;0,$A221&gt;BA$7)),0,MAX(0,ROUND((INDEX($E221:$G221,BA$5)-SUMIFS(TF_Timer,TF_Tekniker,BA$4,TF_Dato,$A221))*2,0)/2)))</f>
        <v/>
      </c>
      <c r="BB221">
        <f>IF(OR(BB$4="",$A221&gt;TODAY()),0,IF(OR(INDEX($B221:$D221,BB$5)="F",AND(BB$6&gt;0,$A221&lt;BB$6),AND(BB$7&gt;0,$A221&gt;BB$7)),0,MAX(0,ROUND((INDEX($E221:$G221,BB$5)-SUMIFS(TF_Timer,TF_Tekniker,BB$4,TF_Dato,$A221))*2,0)/2)))</f>
        <v/>
      </c>
      <c r="BC221">
        <f>IF(OR(BC$4="",$A221&gt;TODAY()),0,IF(OR(INDEX($B221:$D221,BC$5)="F",AND(BC$6&gt;0,$A221&lt;BC$6),AND(BC$7&gt;0,$A221&gt;BC$7)),0,MAX(0,ROUND((INDEX($E221:$G221,BC$5)-SUMIFS(TF_Timer,TF_Tekniker,BC$4,TF_Dato,$A221))*2,0)/2)))</f>
        <v/>
      </c>
      <c r="BD221">
        <f>IF(OR(BD$4="",$A221&gt;TODAY()),0,IF(OR(INDEX($B221:$D221,BD$5)="F",AND(BD$6&gt;0,$A221&lt;BD$6),AND(BD$7&gt;0,$A221&gt;BD$7)),0,MAX(0,ROUND((INDEX($E221:$G221,BD$5)-SUMIFS(TF_Timer,TF_Tekniker,BD$4,TF_Dato,$A221))*2,0)/2)))</f>
        <v/>
      </c>
      <c r="BE221">
        <f>IF(OR(BE$4="",$A221&gt;TODAY()),0,IF(OR(INDEX($B221:$D221,BE$5)="F",AND(BE$6&gt;0,$A221&lt;BE$6),AND(BE$7&gt;0,$A221&gt;BE$7)),0,MAX(0,ROUND((INDEX($E221:$G221,BE$5)-SUMIFS(TF_Timer,TF_Tekniker,BE$4,TF_Dato,$A221))*2,0)/2)))</f>
        <v/>
      </c>
      <c r="BF221">
        <f>IF(OR(BF$4="",$A221&gt;TODAY()),0,IF(OR(INDEX($B221:$D221,BF$5)="F",AND(BF$6&gt;0,$A221&lt;BF$6),AND(BF$7&gt;0,$A221&gt;BF$7)),0,MAX(0,ROUND((INDEX($E221:$G221,BF$5)-SUMIFS(TF_Timer,TF_Tekniker,BF$4,TF_Dato,$A221))*2,0)/2)))</f>
        <v/>
      </c>
      <c r="BG221">
        <f>IF(OR(BG$4="",$A221&gt;TODAY()),0,IF(OR(INDEX($B221:$D221,BG$5)="F",AND(BG$6&gt;0,$A221&lt;BG$6),AND(BG$7&gt;0,$A221&gt;BG$7)),0,MAX(0,ROUND((INDEX($E221:$G221,BG$5)-SUMIFS(TF_Timer,TF_Tekniker,BG$4,TF_Dato,$A221))*2,0)/2)))</f>
        <v/>
      </c>
      <c r="BH221">
        <f>IF(OR(BH$4="",$A221&gt;TODAY()),0,IF(OR(INDEX($B221:$D221,BH$5)="F",AND(BH$6&gt;0,$A221&lt;BH$6),AND(BH$7&gt;0,$A221&gt;BH$7)),0,MAX(0,ROUND((INDEX($E221:$G221,BH$5)-SUMIFS(TF_Timer,TF_Tekniker,BH$4,TF_Dato,$A221))*2,0)/2)))</f>
        <v/>
      </c>
      <c r="BI221">
        <f>IF(OR(BI$4="",$A221&gt;TODAY()),0,IF(OR(INDEX($B221:$D221,BI$5)="F",AND(BI$6&gt;0,$A221&lt;BI$6),AND(BI$7&gt;0,$A221&gt;BI$7)),0,MAX(0,ROUND((INDEX($E221:$G221,BI$5)-SUMIFS(TF_Timer,TF_Tekniker,BI$4,TF_Dato,$A221))*2,0)/2)))</f>
        <v/>
      </c>
    </row>
    <row r="222">
      <c r="A222" s="64">
        <f>A221+1</f>
        <v/>
      </c>
      <c r="B222">
        <f>IF(MOD($A222-INDEX(SkiftStart,1),Syklus)&lt;DagK,"K",IF(MOD($A222-INDEX(SkiftStart,1),Syklus)&lt;DagK+DagH,"H",IF(MOD($A222-INDEX(SkiftStart,1),Syklus)&lt;DagK+DagH+DagD,"D","F")))</f>
        <v/>
      </c>
      <c r="C222">
        <f>IF(MOD($A222-INDEX(SkiftStart,2),Syklus)&lt;DagK,"K",IF(MOD($A222-INDEX(SkiftStart,2),Syklus)&lt;DagK+DagH,"H",IF(MOD($A222-INDEX(SkiftStart,2),Syklus)&lt;DagK+DagH+DagD,"D","F")))</f>
        <v/>
      </c>
      <c r="D222">
        <f>IF(MOD($A222-INDEX(SkiftStart,3),Syklus)&lt;DagK,"K",IF(MOD($A222-INDEX(SkiftStart,3),Syklus)&lt;DagK+DagH,"H",IF(MOD($A222-INDEX(SkiftStart,3),Syklus)&lt;DagK+DagH+DagD,"D","F")))</f>
        <v/>
      </c>
      <c r="E222">
        <f>IF(B222="F",0,IF(WEEKDAY($A222,2)=5,INDEX(TimerFr,MATCH(B222,FaseKode,0)),INDEX(TimerMT,MATCH(B222,FaseKode,0))))</f>
        <v/>
      </c>
      <c r="F222">
        <f>IF(C222="F",0,IF(WEEKDAY($A222,2)=5,INDEX(TimerFr,MATCH(C222,FaseKode,0)),INDEX(TimerMT,MATCH(C222,FaseKode,0))))</f>
        <v/>
      </c>
      <c r="G222">
        <f>IF(D222="F",0,IF(WEEKDAY($A222,2)=5,INDEX(TimerFr,MATCH(D222,FaseKode,0)),INDEX(TimerMT,MATCH(D222,FaseKode,0))))</f>
        <v/>
      </c>
      <c r="H222">
        <f>IF(OR(H$4="",$A222&gt;TODAY()),0,IF(OR(INDEX($B222:$D222,H$5)="F",AND(H$6&gt;0,$A222&lt;H$6),AND(H$7&gt;0,$A222&gt;H$7)),0,MAX(0,ROUND((INDEX($E222:$G222,H$5)-SUMIFS(TF_Timer,TF_Tekniker,H$4,TF_Dato,$A222))*2,0)/2)))</f>
        <v/>
      </c>
      <c r="I222">
        <f>IF(OR(I$4="",$A222&gt;TODAY()),0,IF(OR(INDEX($B222:$D222,I$5)="F",AND(I$6&gt;0,$A222&lt;I$6),AND(I$7&gt;0,$A222&gt;I$7)),0,MAX(0,ROUND((INDEX($E222:$G222,I$5)-SUMIFS(TF_Timer,TF_Tekniker,I$4,TF_Dato,$A222))*2,0)/2)))</f>
        <v/>
      </c>
      <c r="J222">
        <f>IF(OR(J$4="",$A222&gt;TODAY()),0,IF(OR(INDEX($B222:$D222,J$5)="F",AND(J$6&gt;0,$A222&lt;J$6),AND(J$7&gt;0,$A222&gt;J$7)),0,MAX(0,ROUND((INDEX($E222:$G222,J$5)-SUMIFS(TF_Timer,TF_Tekniker,J$4,TF_Dato,$A222))*2,0)/2)))</f>
        <v/>
      </c>
      <c r="K222">
        <f>IF(OR(K$4="",$A222&gt;TODAY()),0,IF(OR(INDEX($B222:$D222,K$5)="F",AND(K$6&gt;0,$A222&lt;K$6),AND(K$7&gt;0,$A222&gt;K$7)),0,MAX(0,ROUND((INDEX($E222:$G222,K$5)-SUMIFS(TF_Timer,TF_Tekniker,K$4,TF_Dato,$A222))*2,0)/2)))</f>
        <v/>
      </c>
      <c r="L222">
        <f>IF(OR(L$4="",$A222&gt;TODAY()),0,IF(OR(INDEX($B222:$D222,L$5)="F",AND(L$6&gt;0,$A222&lt;L$6),AND(L$7&gt;0,$A222&gt;L$7)),0,MAX(0,ROUND((INDEX($E222:$G222,L$5)-SUMIFS(TF_Timer,TF_Tekniker,L$4,TF_Dato,$A222))*2,0)/2)))</f>
        <v/>
      </c>
      <c r="M222">
        <f>IF(OR(M$4="",$A222&gt;TODAY()),0,IF(OR(INDEX($B222:$D222,M$5)="F",AND(M$6&gt;0,$A222&lt;M$6),AND(M$7&gt;0,$A222&gt;M$7)),0,MAX(0,ROUND((INDEX($E222:$G222,M$5)-SUMIFS(TF_Timer,TF_Tekniker,M$4,TF_Dato,$A222))*2,0)/2)))</f>
        <v/>
      </c>
      <c r="N222">
        <f>IF(OR(N$4="",$A222&gt;TODAY()),0,IF(OR(INDEX($B222:$D222,N$5)="F",AND(N$6&gt;0,$A222&lt;N$6),AND(N$7&gt;0,$A222&gt;N$7)),0,MAX(0,ROUND((INDEX($E222:$G222,N$5)-SUMIFS(TF_Timer,TF_Tekniker,N$4,TF_Dato,$A222))*2,0)/2)))</f>
        <v/>
      </c>
      <c r="O222">
        <f>IF(OR(O$4="",$A222&gt;TODAY()),0,IF(OR(INDEX($B222:$D222,O$5)="F",AND(O$6&gt;0,$A222&lt;O$6),AND(O$7&gt;0,$A222&gt;O$7)),0,MAX(0,ROUND((INDEX($E222:$G222,O$5)-SUMIFS(TF_Timer,TF_Tekniker,O$4,TF_Dato,$A222))*2,0)/2)))</f>
        <v/>
      </c>
      <c r="P222">
        <f>IF(OR(P$4="",$A222&gt;TODAY()),0,IF(OR(INDEX($B222:$D222,P$5)="F",AND(P$6&gt;0,$A222&lt;P$6),AND(P$7&gt;0,$A222&gt;P$7)),0,MAX(0,ROUND((INDEX($E222:$G222,P$5)-SUMIFS(TF_Timer,TF_Tekniker,P$4,TF_Dato,$A222))*2,0)/2)))</f>
        <v/>
      </c>
      <c r="Q222">
        <f>IF(OR(Q$4="",$A222&gt;TODAY()),0,IF(OR(INDEX($B222:$D222,Q$5)="F",AND(Q$6&gt;0,$A222&lt;Q$6),AND(Q$7&gt;0,$A222&gt;Q$7)),0,MAX(0,ROUND((INDEX($E222:$G222,Q$5)-SUMIFS(TF_Timer,TF_Tekniker,Q$4,TF_Dato,$A222))*2,0)/2)))</f>
        <v/>
      </c>
      <c r="R222">
        <f>IF(OR(R$4="",$A222&gt;TODAY()),0,IF(OR(INDEX($B222:$D222,R$5)="F",AND(R$6&gt;0,$A222&lt;R$6),AND(R$7&gt;0,$A222&gt;R$7)),0,MAX(0,ROUND((INDEX($E222:$G222,R$5)-SUMIFS(TF_Timer,TF_Tekniker,R$4,TF_Dato,$A222))*2,0)/2)))</f>
        <v/>
      </c>
      <c r="S222">
        <f>IF(OR(S$4="",$A222&gt;TODAY()),0,IF(OR(INDEX($B222:$D222,S$5)="F",AND(S$6&gt;0,$A222&lt;S$6),AND(S$7&gt;0,$A222&gt;S$7)),0,MAX(0,ROUND((INDEX($E222:$G222,S$5)-SUMIFS(TF_Timer,TF_Tekniker,S$4,TF_Dato,$A222))*2,0)/2)))</f>
        <v/>
      </c>
      <c r="T222">
        <f>IF(OR(T$4="",$A222&gt;TODAY()),0,IF(OR(INDEX($B222:$D222,T$5)="F",AND(T$6&gt;0,$A222&lt;T$6),AND(T$7&gt;0,$A222&gt;T$7)),0,MAX(0,ROUND((INDEX($E222:$G222,T$5)-SUMIFS(TF_Timer,TF_Tekniker,T$4,TF_Dato,$A222))*2,0)/2)))</f>
        <v/>
      </c>
      <c r="U222">
        <f>IF(OR(U$4="",$A222&gt;TODAY()),0,IF(OR(INDEX($B222:$D222,U$5)="F",AND(U$6&gt;0,$A222&lt;U$6),AND(U$7&gt;0,$A222&gt;U$7)),0,MAX(0,ROUND((INDEX($E222:$G222,U$5)-SUMIFS(TF_Timer,TF_Tekniker,U$4,TF_Dato,$A222))*2,0)/2)))</f>
        <v/>
      </c>
      <c r="V222">
        <f>IF(OR(V$4="",$A222&gt;TODAY()),0,IF(OR(INDEX($B222:$D222,V$5)="F",AND(V$6&gt;0,$A222&lt;V$6),AND(V$7&gt;0,$A222&gt;V$7)),0,MAX(0,ROUND((INDEX($E222:$G222,V$5)-SUMIFS(TF_Timer,TF_Tekniker,V$4,TF_Dato,$A222))*2,0)/2)))</f>
        <v/>
      </c>
      <c r="W222">
        <f>IF(OR(W$4="",$A222&gt;TODAY()),0,IF(OR(INDEX($B222:$D222,W$5)="F",AND(W$6&gt;0,$A222&lt;W$6),AND(W$7&gt;0,$A222&gt;W$7)),0,MAX(0,ROUND((INDEX($E222:$G222,W$5)-SUMIFS(TF_Timer,TF_Tekniker,W$4,TF_Dato,$A222))*2,0)/2)))</f>
        <v/>
      </c>
      <c r="X222">
        <f>IF(OR(X$4="",$A222&gt;TODAY()),0,IF(OR(INDEX($B222:$D222,X$5)="F",AND(X$6&gt;0,$A222&lt;X$6),AND(X$7&gt;0,$A222&gt;X$7)),0,MAX(0,ROUND((INDEX($E222:$G222,X$5)-SUMIFS(TF_Timer,TF_Tekniker,X$4,TF_Dato,$A222))*2,0)/2)))</f>
        <v/>
      </c>
      <c r="Y222">
        <f>IF(OR(Y$4="",$A222&gt;TODAY()),0,IF(OR(INDEX($B222:$D222,Y$5)="F",AND(Y$6&gt;0,$A222&lt;Y$6),AND(Y$7&gt;0,$A222&gt;Y$7)),0,MAX(0,ROUND((INDEX($E222:$G222,Y$5)-SUMIFS(TF_Timer,TF_Tekniker,Y$4,TF_Dato,$A222))*2,0)/2)))</f>
        <v/>
      </c>
      <c r="Z222">
        <f>IF(OR(Z$4="",$A222&gt;TODAY()),0,IF(OR(INDEX($B222:$D222,Z$5)="F",AND(Z$6&gt;0,$A222&lt;Z$6),AND(Z$7&gt;0,$A222&gt;Z$7)),0,MAX(0,ROUND((INDEX($E222:$G222,Z$5)-SUMIFS(TF_Timer,TF_Tekniker,Z$4,TF_Dato,$A222))*2,0)/2)))</f>
        <v/>
      </c>
      <c r="AA222">
        <f>IF(OR(AA$4="",$A222&gt;TODAY()),0,IF(OR(INDEX($B222:$D222,AA$5)="F",AND(AA$6&gt;0,$A222&lt;AA$6),AND(AA$7&gt;0,$A222&gt;AA$7)),0,MAX(0,ROUND((INDEX($E222:$G222,AA$5)-SUMIFS(TF_Timer,TF_Tekniker,AA$4,TF_Dato,$A222))*2,0)/2)))</f>
        <v/>
      </c>
      <c r="AB222">
        <f>IF(OR(AB$4="",$A222&gt;TODAY()),0,IF(OR(INDEX($B222:$D222,AB$5)="F",AND(AB$6&gt;0,$A222&lt;AB$6),AND(AB$7&gt;0,$A222&gt;AB$7)),0,MAX(0,ROUND((INDEX($E222:$G222,AB$5)-SUMIFS(TF_Timer,TF_Tekniker,AB$4,TF_Dato,$A222))*2,0)/2)))</f>
        <v/>
      </c>
      <c r="AC222">
        <f>IF(OR(AC$4="",$A222&gt;TODAY()),0,IF(OR(INDEX($B222:$D222,AC$5)="F",AND(AC$6&gt;0,$A222&lt;AC$6),AND(AC$7&gt;0,$A222&gt;AC$7)),0,MAX(0,ROUND((INDEX($E222:$G222,AC$5)-SUMIFS(TF_Timer,TF_Tekniker,AC$4,TF_Dato,$A222))*2,0)/2)))</f>
        <v/>
      </c>
      <c r="AD222">
        <f>IF(OR(AD$4="",$A222&gt;TODAY()),0,IF(OR(INDEX($B222:$D222,AD$5)="F",AND(AD$6&gt;0,$A222&lt;AD$6),AND(AD$7&gt;0,$A222&gt;AD$7)),0,MAX(0,ROUND((INDEX($E222:$G222,AD$5)-SUMIFS(TF_Timer,TF_Tekniker,AD$4,TF_Dato,$A222))*2,0)/2)))</f>
        <v/>
      </c>
      <c r="AE222">
        <f>IF(OR(AE$4="",$A222&gt;TODAY()),0,IF(OR(INDEX($B222:$D222,AE$5)="F",AND(AE$6&gt;0,$A222&lt;AE$6),AND(AE$7&gt;0,$A222&gt;AE$7)),0,MAX(0,ROUND((INDEX($E222:$G222,AE$5)-SUMIFS(TF_Timer,TF_Tekniker,AE$4,TF_Dato,$A222))*2,0)/2)))</f>
        <v/>
      </c>
      <c r="AF222">
        <f>IF(OR(AF$4="",$A222&gt;TODAY()),0,IF(OR(INDEX($B222:$D222,AF$5)="F",AND(AF$6&gt;0,$A222&lt;AF$6),AND(AF$7&gt;0,$A222&gt;AF$7)),0,MAX(0,ROUND((INDEX($E222:$G222,AF$5)-SUMIFS(TF_Timer,TF_Tekniker,AF$4,TF_Dato,$A222))*2,0)/2)))</f>
        <v/>
      </c>
      <c r="AG222">
        <f>IF(OR(AG$4="",$A222&gt;TODAY()),0,IF(OR(INDEX($B222:$D222,AG$5)="F",AND(AG$6&gt;0,$A222&lt;AG$6),AND(AG$7&gt;0,$A222&gt;AG$7)),0,MAX(0,ROUND((INDEX($E222:$G222,AG$5)-SUMIFS(TF_Timer,TF_Tekniker,AG$4,TF_Dato,$A222))*2,0)/2)))</f>
        <v/>
      </c>
      <c r="AH222">
        <f>IF(OR(AH$4="",$A222&gt;TODAY()),0,IF(OR(INDEX($B222:$D222,AH$5)="F",AND(AH$6&gt;0,$A222&lt;AH$6),AND(AH$7&gt;0,$A222&gt;AH$7)),0,MAX(0,ROUND((INDEX($E222:$G222,AH$5)-SUMIFS(TF_Timer,TF_Tekniker,AH$4,TF_Dato,$A222))*2,0)/2)))</f>
        <v/>
      </c>
      <c r="AI222">
        <f>IF(OR(AI$4="",$A222&gt;TODAY()),0,IF(OR(INDEX($B222:$D222,AI$5)="F",AND(AI$6&gt;0,$A222&lt;AI$6),AND(AI$7&gt;0,$A222&gt;AI$7)),0,MAX(0,ROUND((INDEX($E222:$G222,AI$5)-SUMIFS(TF_Timer,TF_Tekniker,AI$4,TF_Dato,$A222))*2,0)/2)))</f>
        <v/>
      </c>
      <c r="AJ222">
        <f>IF(OR(AJ$4="",$A222&gt;TODAY()),0,IF(OR(INDEX($B222:$D222,AJ$5)="F",AND(AJ$6&gt;0,$A222&lt;AJ$6),AND(AJ$7&gt;0,$A222&gt;AJ$7)),0,MAX(0,ROUND((INDEX($E222:$G222,AJ$5)-SUMIFS(TF_Timer,TF_Tekniker,AJ$4,TF_Dato,$A222))*2,0)/2)))</f>
        <v/>
      </c>
      <c r="AK222">
        <f>IF(OR(AK$4="",$A222&gt;TODAY()),0,IF(OR(INDEX($B222:$D222,AK$5)="F",AND(AK$6&gt;0,$A222&lt;AK$6),AND(AK$7&gt;0,$A222&gt;AK$7)),0,MAX(0,ROUND((INDEX($E222:$G222,AK$5)-SUMIFS(TF_Timer,TF_Tekniker,AK$4,TF_Dato,$A222))*2,0)/2)))</f>
        <v/>
      </c>
      <c r="AL222">
        <f>IF(OR(AL$4="",$A222&gt;TODAY()),0,IF(OR(INDEX($B222:$D222,AL$5)="F",AND(AL$6&gt;0,$A222&lt;AL$6),AND(AL$7&gt;0,$A222&gt;AL$7)),0,MAX(0,ROUND((INDEX($E222:$G222,AL$5)-SUMIFS(TF_Timer,TF_Tekniker,AL$4,TF_Dato,$A222))*2,0)/2)))</f>
        <v/>
      </c>
      <c r="AM222">
        <f>IF(OR(AM$4="",$A222&gt;TODAY()),0,IF(OR(INDEX($B222:$D222,AM$5)="F",AND(AM$6&gt;0,$A222&lt;AM$6),AND(AM$7&gt;0,$A222&gt;AM$7)),0,MAX(0,ROUND((INDEX($E222:$G222,AM$5)-SUMIFS(TF_Timer,TF_Tekniker,AM$4,TF_Dato,$A222))*2,0)/2)))</f>
        <v/>
      </c>
      <c r="AN222">
        <f>IF(OR(AN$4="",$A222&gt;TODAY()),0,IF(OR(INDEX($B222:$D222,AN$5)="F",AND(AN$6&gt;0,$A222&lt;AN$6),AND(AN$7&gt;0,$A222&gt;AN$7)),0,MAX(0,ROUND((INDEX($E222:$G222,AN$5)-SUMIFS(TF_Timer,TF_Tekniker,AN$4,TF_Dato,$A222))*2,0)/2)))</f>
        <v/>
      </c>
      <c r="AO222">
        <f>IF(OR(AO$4="",$A222&gt;TODAY()),0,IF(OR(INDEX($B222:$D222,AO$5)="F",AND(AO$6&gt;0,$A222&lt;AO$6),AND(AO$7&gt;0,$A222&gt;AO$7)),0,MAX(0,ROUND((INDEX($E222:$G222,AO$5)-SUMIFS(TF_Timer,TF_Tekniker,AO$4,TF_Dato,$A222))*2,0)/2)))</f>
        <v/>
      </c>
      <c r="AP222">
        <f>IF(OR(AP$4="",$A222&gt;TODAY()),0,IF(OR(INDEX($B222:$D222,AP$5)="F",AND(AP$6&gt;0,$A222&lt;AP$6),AND(AP$7&gt;0,$A222&gt;AP$7)),0,MAX(0,ROUND((INDEX($E222:$G222,AP$5)-SUMIFS(TF_Timer,TF_Tekniker,AP$4,TF_Dato,$A222))*2,0)/2)))</f>
        <v/>
      </c>
      <c r="AQ222">
        <f>IF(OR(AQ$4="",$A222&gt;TODAY()),0,IF(OR(INDEX($B222:$D222,AQ$5)="F",AND(AQ$6&gt;0,$A222&lt;AQ$6),AND(AQ$7&gt;0,$A222&gt;AQ$7)),0,MAX(0,ROUND((INDEX($E222:$G222,AQ$5)-SUMIFS(TF_Timer,TF_Tekniker,AQ$4,TF_Dato,$A222))*2,0)/2)))</f>
        <v/>
      </c>
      <c r="AR222">
        <f>IF(OR(AR$4="",$A222&gt;TODAY()),0,IF(OR(INDEX($B222:$D222,AR$5)="F",AND(AR$6&gt;0,$A222&lt;AR$6),AND(AR$7&gt;0,$A222&gt;AR$7)),0,MAX(0,ROUND((INDEX($E222:$G222,AR$5)-SUMIFS(TF_Timer,TF_Tekniker,AR$4,TF_Dato,$A222))*2,0)/2)))</f>
        <v/>
      </c>
      <c r="AS222">
        <f>IF(OR(AS$4="",$A222&gt;TODAY()),0,IF(OR(INDEX($B222:$D222,AS$5)="F",AND(AS$6&gt;0,$A222&lt;AS$6),AND(AS$7&gt;0,$A222&gt;AS$7)),0,MAX(0,ROUND((INDEX($E222:$G222,AS$5)-SUMIFS(TF_Timer,TF_Tekniker,AS$4,TF_Dato,$A222))*2,0)/2)))</f>
        <v/>
      </c>
      <c r="AT222">
        <f>IF(OR(AT$4="",$A222&gt;TODAY()),0,IF(OR(INDEX($B222:$D222,AT$5)="F",AND(AT$6&gt;0,$A222&lt;AT$6),AND(AT$7&gt;0,$A222&gt;AT$7)),0,MAX(0,ROUND((INDEX($E222:$G222,AT$5)-SUMIFS(TF_Timer,TF_Tekniker,AT$4,TF_Dato,$A222))*2,0)/2)))</f>
        <v/>
      </c>
      <c r="AU222">
        <f>IF(OR(AU$4="",$A222&gt;TODAY()),0,IF(OR(INDEX($B222:$D222,AU$5)="F",AND(AU$6&gt;0,$A222&lt;AU$6),AND(AU$7&gt;0,$A222&gt;AU$7)),0,MAX(0,ROUND((INDEX($E222:$G222,AU$5)-SUMIFS(TF_Timer,TF_Tekniker,AU$4,TF_Dato,$A222))*2,0)/2)))</f>
        <v/>
      </c>
      <c r="AV222">
        <f>IF(OR(AV$4="",$A222&gt;TODAY()),0,IF(OR(INDEX($B222:$D222,AV$5)="F",AND(AV$6&gt;0,$A222&lt;AV$6),AND(AV$7&gt;0,$A222&gt;AV$7)),0,MAX(0,ROUND((INDEX($E222:$G222,AV$5)-SUMIFS(TF_Timer,TF_Tekniker,AV$4,TF_Dato,$A222))*2,0)/2)))</f>
        <v/>
      </c>
      <c r="AW222">
        <f>IF(OR(AW$4="",$A222&gt;TODAY()),0,IF(OR(INDEX($B222:$D222,AW$5)="F",AND(AW$6&gt;0,$A222&lt;AW$6),AND(AW$7&gt;0,$A222&gt;AW$7)),0,MAX(0,ROUND((INDEX($E222:$G222,AW$5)-SUMIFS(TF_Timer,TF_Tekniker,AW$4,TF_Dato,$A222))*2,0)/2)))</f>
        <v/>
      </c>
      <c r="AX222">
        <f>IF(OR(AX$4="",$A222&gt;TODAY()),0,IF(OR(INDEX($B222:$D222,AX$5)="F",AND(AX$6&gt;0,$A222&lt;AX$6),AND(AX$7&gt;0,$A222&gt;AX$7)),0,MAX(0,ROUND((INDEX($E222:$G222,AX$5)-SUMIFS(TF_Timer,TF_Tekniker,AX$4,TF_Dato,$A222))*2,0)/2)))</f>
        <v/>
      </c>
      <c r="AY222">
        <f>IF(OR(AY$4="",$A222&gt;TODAY()),0,IF(OR(INDEX($B222:$D222,AY$5)="F",AND(AY$6&gt;0,$A222&lt;AY$6),AND(AY$7&gt;0,$A222&gt;AY$7)),0,MAX(0,ROUND((INDEX($E222:$G222,AY$5)-SUMIFS(TF_Timer,TF_Tekniker,AY$4,TF_Dato,$A222))*2,0)/2)))</f>
        <v/>
      </c>
      <c r="AZ222">
        <f>IF(OR(AZ$4="",$A222&gt;TODAY()),0,IF(OR(INDEX($B222:$D222,AZ$5)="F",AND(AZ$6&gt;0,$A222&lt;AZ$6),AND(AZ$7&gt;0,$A222&gt;AZ$7)),0,MAX(0,ROUND((INDEX($E222:$G222,AZ$5)-SUMIFS(TF_Timer,TF_Tekniker,AZ$4,TF_Dato,$A222))*2,0)/2)))</f>
        <v/>
      </c>
      <c r="BA222">
        <f>IF(OR(BA$4="",$A222&gt;TODAY()),0,IF(OR(INDEX($B222:$D222,BA$5)="F",AND(BA$6&gt;0,$A222&lt;BA$6),AND(BA$7&gt;0,$A222&gt;BA$7)),0,MAX(0,ROUND((INDEX($E222:$G222,BA$5)-SUMIFS(TF_Timer,TF_Tekniker,BA$4,TF_Dato,$A222))*2,0)/2)))</f>
        <v/>
      </c>
      <c r="BB222">
        <f>IF(OR(BB$4="",$A222&gt;TODAY()),0,IF(OR(INDEX($B222:$D222,BB$5)="F",AND(BB$6&gt;0,$A222&lt;BB$6),AND(BB$7&gt;0,$A222&gt;BB$7)),0,MAX(0,ROUND((INDEX($E222:$G222,BB$5)-SUMIFS(TF_Timer,TF_Tekniker,BB$4,TF_Dato,$A222))*2,0)/2)))</f>
        <v/>
      </c>
      <c r="BC222">
        <f>IF(OR(BC$4="",$A222&gt;TODAY()),0,IF(OR(INDEX($B222:$D222,BC$5)="F",AND(BC$6&gt;0,$A222&lt;BC$6),AND(BC$7&gt;0,$A222&gt;BC$7)),0,MAX(0,ROUND((INDEX($E222:$G222,BC$5)-SUMIFS(TF_Timer,TF_Tekniker,BC$4,TF_Dato,$A222))*2,0)/2)))</f>
        <v/>
      </c>
      <c r="BD222">
        <f>IF(OR(BD$4="",$A222&gt;TODAY()),0,IF(OR(INDEX($B222:$D222,BD$5)="F",AND(BD$6&gt;0,$A222&lt;BD$6),AND(BD$7&gt;0,$A222&gt;BD$7)),0,MAX(0,ROUND((INDEX($E222:$G222,BD$5)-SUMIFS(TF_Timer,TF_Tekniker,BD$4,TF_Dato,$A222))*2,0)/2)))</f>
        <v/>
      </c>
      <c r="BE222">
        <f>IF(OR(BE$4="",$A222&gt;TODAY()),0,IF(OR(INDEX($B222:$D222,BE$5)="F",AND(BE$6&gt;0,$A222&lt;BE$6),AND(BE$7&gt;0,$A222&gt;BE$7)),0,MAX(0,ROUND((INDEX($E222:$G222,BE$5)-SUMIFS(TF_Timer,TF_Tekniker,BE$4,TF_Dato,$A222))*2,0)/2)))</f>
        <v/>
      </c>
      <c r="BF222">
        <f>IF(OR(BF$4="",$A222&gt;TODAY()),0,IF(OR(INDEX($B222:$D222,BF$5)="F",AND(BF$6&gt;0,$A222&lt;BF$6),AND(BF$7&gt;0,$A222&gt;BF$7)),0,MAX(0,ROUND((INDEX($E222:$G222,BF$5)-SUMIFS(TF_Timer,TF_Tekniker,BF$4,TF_Dato,$A222))*2,0)/2)))</f>
        <v/>
      </c>
      <c r="BG222">
        <f>IF(OR(BG$4="",$A222&gt;TODAY()),0,IF(OR(INDEX($B222:$D222,BG$5)="F",AND(BG$6&gt;0,$A222&lt;BG$6),AND(BG$7&gt;0,$A222&gt;BG$7)),0,MAX(0,ROUND((INDEX($E222:$G222,BG$5)-SUMIFS(TF_Timer,TF_Tekniker,BG$4,TF_Dato,$A222))*2,0)/2)))</f>
        <v/>
      </c>
      <c r="BH222">
        <f>IF(OR(BH$4="",$A222&gt;TODAY()),0,IF(OR(INDEX($B222:$D222,BH$5)="F",AND(BH$6&gt;0,$A222&lt;BH$6),AND(BH$7&gt;0,$A222&gt;BH$7)),0,MAX(0,ROUND((INDEX($E222:$G222,BH$5)-SUMIFS(TF_Timer,TF_Tekniker,BH$4,TF_Dato,$A222))*2,0)/2)))</f>
        <v/>
      </c>
      <c r="BI222">
        <f>IF(OR(BI$4="",$A222&gt;TODAY()),0,IF(OR(INDEX($B222:$D222,BI$5)="F",AND(BI$6&gt;0,$A222&lt;BI$6),AND(BI$7&gt;0,$A222&gt;BI$7)),0,MAX(0,ROUND((INDEX($E222:$G222,BI$5)-SUMIFS(TF_Timer,TF_Tekniker,BI$4,TF_Dato,$A222))*2,0)/2)))</f>
        <v/>
      </c>
    </row>
    <row r="223">
      <c r="A223" s="64">
        <f>A222+1</f>
        <v/>
      </c>
      <c r="B223">
        <f>IF(MOD($A223-INDEX(SkiftStart,1),Syklus)&lt;DagK,"K",IF(MOD($A223-INDEX(SkiftStart,1),Syklus)&lt;DagK+DagH,"H",IF(MOD($A223-INDEX(SkiftStart,1),Syklus)&lt;DagK+DagH+DagD,"D","F")))</f>
        <v/>
      </c>
      <c r="C223">
        <f>IF(MOD($A223-INDEX(SkiftStart,2),Syklus)&lt;DagK,"K",IF(MOD($A223-INDEX(SkiftStart,2),Syklus)&lt;DagK+DagH,"H",IF(MOD($A223-INDEX(SkiftStart,2),Syklus)&lt;DagK+DagH+DagD,"D","F")))</f>
        <v/>
      </c>
      <c r="D223">
        <f>IF(MOD($A223-INDEX(SkiftStart,3),Syklus)&lt;DagK,"K",IF(MOD($A223-INDEX(SkiftStart,3),Syklus)&lt;DagK+DagH,"H",IF(MOD($A223-INDEX(SkiftStart,3),Syklus)&lt;DagK+DagH+DagD,"D","F")))</f>
        <v/>
      </c>
      <c r="E223">
        <f>IF(B223="F",0,IF(WEEKDAY($A223,2)=5,INDEX(TimerFr,MATCH(B223,FaseKode,0)),INDEX(TimerMT,MATCH(B223,FaseKode,0))))</f>
        <v/>
      </c>
      <c r="F223">
        <f>IF(C223="F",0,IF(WEEKDAY($A223,2)=5,INDEX(TimerFr,MATCH(C223,FaseKode,0)),INDEX(TimerMT,MATCH(C223,FaseKode,0))))</f>
        <v/>
      </c>
      <c r="G223">
        <f>IF(D223="F",0,IF(WEEKDAY($A223,2)=5,INDEX(TimerFr,MATCH(D223,FaseKode,0)),INDEX(TimerMT,MATCH(D223,FaseKode,0))))</f>
        <v/>
      </c>
      <c r="H223">
        <f>IF(OR(H$4="",$A223&gt;TODAY()),0,IF(OR(INDEX($B223:$D223,H$5)="F",AND(H$6&gt;0,$A223&lt;H$6),AND(H$7&gt;0,$A223&gt;H$7)),0,MAX(0,ROUND((INDEX($E223:$G223,H$5)-SUMIFS(TF_Timer,TF_Tekniker,H$4,TF_Dato,$A223))*2,0)/2)))</f>
        <v/>
      </c>
      <c r="I223">
        <f>IF(OR(I$4="",$A223&gt;TODAY()),0,IF(OR(INDEX($B223:$D223,I$5)="F",AND(I$6&gt;0,$A223&lt;I$6),AND(I$7&gt;0,$A223&gt;I$7)),0,MAX(0,ROUND((INDEX($E223:$G223,I$5)-SUMIFS(TF_Timer,TF_Tekniker,I$4,TF_Dato,$A223))*2,0)/2)))</f>
        <v/>
      </c>
      <c r="J223">
        <f>IF(OR(J$4="",$A223&gt;TODAY()),0,IF(OR(INDEX($B223:$D223,J$5)="F",AND(J$6&gt;0,$A223&lt;J$6),AND(J$7&gt;0,$A223&gt;J$7)),0,MAX(0,ROUND((INDEX($E223:$G223,J$5)-SUMIFS(TF_Timer,TF_Tekniker,J$4,TF_Dato,$A223))*2,0)/2)))</f>
        <v/>
      </c>
      <c r="K223">
        <f>IF(OR(K$4="",$A223&gt;TODAY()),0,IF(OR(INDEX($B223:$D223,K$5)="F",AND(K$6&gt;0,$A223&lt;K$6),AND(K$7&gt;0,$A223&gt;K$7)),0,MAX(0,ROUND((INDEX($E223:$G223,K$5)-SUMIFS(TF_Timer,TF_Tekniker,K$4,TF_Dato,$A223))*2,0)/2)))</f>
        <v/>
      </c>
      <c r="L223">
        <f>IF(OR(L$4="",$A223&gt;TODAY()),0,IF(OR(INDEX($B223:$D223,L$5)="F",AND(L$6&gt;0,$A223&lt;L$6),AND(L$7&gt;0,$A223&gt;L$7)),0,MAX(0,ROUND((INDEX($E223:$G223,L$5)-SUMIFS(TF_Timer,TF_Tekniker,L$4,TF_Dato,$A223))*2,0)/2)))</f>
        <v/>
      </c>
      <c r="M223">
        <f>IF(OR(M$4="",$A223&gt;TODAY()),0,IF(OR(INDEX($B223:$D223,M$5)="F",AND(M$6&gt;0,$A223&lt;M$6),AND(M$7&gt;0,$A223&gt;M$7)),0,MAX(0,ROUND((INDEX($E223:$G223,M$5)-SUMIFS(TF_Timer,TF_Tekniker,M$4,TF_Dato,$A223))*2,0)/2)))</f>
        <v/>
      </c>
      <c r="N223">
        <f>IF(OR(N$4="",$A223&gt;TODAY()),0,IF(OR(INDEX($B223:$D223,N$5)="F",AND(N$6&gt;0,$A223&lt;N$6),AND(N$7&gt;0,$A223&gt;N$7)),0,MAX(0,ROUND((INDEX($E223:$G223,N$5)-SUMIFS(TF_Timer,TF_Tekniker,N$4,TF_Dato,$A223))*2,0)/2)))</f>
        <v/>
      </c>
      <c r="O223">
        <f>IF(OR(O$4="",$A223&gt;TODAY()),0,IF(OR(INDEX($B223:$D223,O$5)="F",AND(O$6&gt;0,$A223&lt;O$6),AND(O$7&gt;0,$A223&gt;O$7)),0,MAX(0,ROUND((INDEX($E223:$G223,O$5)-SUMIFS(TF_Timer,TF_Tekniker,O$4,TF_Dato,$A223))*2,0)/2)))</f>
        <v/>
      </c>
      <c r="P223">
        <f>IF(OR(P$4="",$A223&gt;TODAY()),0,IF(OR(INDEX($B223:$D223,P$5)="F",AND(P$6&gt;0,$A223&lt;P$6),AND(P$7&gt;0,$A223&gt;P$7)),0,MAX(0,ROUND((INDEX($E223:$G223,P$5)-SUMIFS(TF_Timer,TF_Tekniker,P$4,TF_Dato,$A223))*2,0)/2)))</f>
        <v/>
      </c>
      <c r="Q223">
        <f>IF(OR(Q$4="",$A223&gt;TODAY()),0,IF(OR(INDEX($B223:$D223,Q$5)="F",AND(Q$6&gt;0,$A223&lt;Q$6),AND(Q$7&gt;0,$A223&gt;Q$7)),0,MAX(0,ROUND((INDEX($E223:$G223,Q$5)-SUMIFS(TF_Timer,TF_Tekniker,Q$4,TF_Dato,$A223))*2,0)/2)))</f>
        <v/>
      </c>
      <c r="R223">
        <f>IF(OR(R$4="",$A223&gt;TODAY()),0,IF(OR(INDEX($B223:$D223,R$5)="F",AND(R$6&gt;0,$A223&lt;R$6),AND(R$7&gt;0,$A223&gt;R$7)),0,MAX(0,ROUND((INDEX($E223:$G223,R$5)-SUMIFS(TF_Timer,TF_Tekniker,R$4,TF_Dato,$A223))*2,0)/2)))</f>
        <v/>
      </c>
      <c r="S223">
        <f>IF(OR(S$4="",$A223&gt;TODAY()),0,IF(OR(INDEX($B223:$D223,S$5)="F",AND(S$6&gt;0,$A223&lt;S$6),AND(S$7&gt;0,$A223&gt;S$7)),0,MAX(0,ROUND((INDEX($E223:$G223,S$5)-SUMIFS(TF_Timer,TF_Tekniker,S$4,TF_Dato,$A223))*2,0)/2)))</f>
        <v/>
      </c>
      <c r="T223">
        <f>IF(OR(T$4="",$A223&gt;TODAY()),0,IF(OR(INDEX($B223:$D223,T$5)="F",AND(T$6&gt;0,$A223&lt;T$6),AND(T$7&gt;0,$A223&gt;T$7)),0,MAX(0,ROUND((INDEX($E223:$G223,T$5)-SUMIFS(TF_Timer,TF_Tekniker,T$4,TF_Dato,$A223))*2,0)/2)))</f>
        <v/>
      </c>
      <c r="U223">
        <f>IF(OR(U$4="",$A223&gt;TODAY()),0,IF(OR(INDEX($B223:$D223,U$5)="F",AND(U$6&gt;0,$A223&lt;U$6),AND(U$7&gt;0,$A223&gt;U$7)),0,MAX(0,ROUND((INDEX($E223:$G223,U$5)-SUMIFS(TF_Timer,TF_Tekniker,U$4,TF_Dato,$A223))*2,0)/2)))</f>
        <v/>
      </c>
      <c r="V223">
        <f>IF(OR(V$4="",$A223&gt;TODAY()),0,IF(OR(INDEX($B223:$D223,V$5)="F",AND(V$6&gt;0,$A223&lt;V$6),AND(V$7&gt;0,$A223&gt;V$7)),0,MAX(0,ROUND((INDEX($E223:$G223,V$5)-SUMIFS(TF_Timer,TF_Tekniker,V$4,TF_Dato,$A223))*2,0)/2)))</f>
        <v/>
      </c>
      <c r="W223">
        <f>IF(OR(W$4="",$A223&gt;TODAY()),0,IF(OR(INDEX($B223:$D223,W$5)="F",AND(W$6&gt;0,$A223&lt;W$6),AND(W$7&gt;0,$A223&gt;W$7)),0,MAX(0,ROUND((INDEX($E223:$G223,W$5)-SUMIFS(TF_Timer,TF_Tekniker,W$4,TF_Dato,$A223))*2,0)/2)))</f>
        <v/>
      </c>
      <c r="X223">
        <f>IF(OR(X$4="",$A223&gt;TODAY()),0,IF(OR(INDEX($B223:$D223,X$5)="F",AND(X$6&gt;0,$A223&lt;X$6),AND(X$7&gt;0,$A223&gt;X$7)),0,MAX(0,ROUND((INDEX($E223:$G223,X$5)-SUMIFS(TF_Timer,TF_Tekniker,X$4,TF_Dato,$A223))*2,0)/2)))</f>
        <v/>
      </c>
      <c r="Y223">
        <f>IF(OR(Y$4="",$A223&gt;TODAY()),0,IF(OR(INDEX($B223:$D223,Y$5)="F",AND(Y$6&gt;0,$A223&lt;Y$6),AND(Y$7&gt;0,$A223&gt;Y$7)),0,MAX(0,ROUND((INDEX($E223:$G223,Y$5)-SUMIFS(TF_Timer,TF_Tekniker,Y$4,TF_Dato,$A223))*2,0)/2)))</f>
        <v/>
      </c>
      <c r="Z223">
        <f>IF(OR(Z$4="",$A223&gt;TODAY()),0,IF(OR(INDEX($B223:$D223,Z$5)="F",AND(Z$6&gt;0,$A223&lt;Z$6),AND(Z$7&gt;0,$A223&gt;Z$7)),0,MAX(0,ROUND((INDEX($E223:$G223,Z$5)-SUMIFS(TF_Timer,TF_Tekniker,Z$4,TF_Dato,$A223))*2,0)/2)))</f>
        <v/>
      </c>
      <c r="AA223">
        <f>IF(OR(AA$4="",$A223&gt;TODAY()),0,IF(OR(INDEX($B223:$D223,AA$5)="F",AND(AA$6&gt;0,$A223&lt;AA$6),AND(AA$7&gt;0,$A223&gt;AA$7)),0,MAX(0,ROUND((INDEX($E223:$G223,AA$5)-SUMIFS(TF_Timer,TF_Tekniker,AA$4,TF_Dato,$A223))*2,0)/2)))</f>
        <v/>
      </c>
      <c r="AB223">
        <f>IF(OR(AB$4="",$A223&gt;TODAY()),0,IF(OR(INDEX($B223:$D223,AB$5)="F",AND(AB$6&gt;0,$A223&lt;AB$6),AND(AB$7&gt;0,$A223&gt;AB$7)),0,MAX(0,ROUND((INDEX($E223:$G223,AB$5)-SUMIFS(TF_Timer,TF_Tekniker,AB$4,TF_Dato,$A223))*2,0)/2)))</f>
        <v/>
      </c>
      <c r="AC223">
        <f>IF(OR(AC$4="",$A223&gt;TODAY()),0,IF(OR(INDEX($B223:$D223,AC$5)="F",AND(AC$6&gt;0,$A223&lt;AC$6),AND(AC$7&gt;0,$A223&gt;AC$7)),0,MAX(0,ROUND((INDEX($E223:$G223,AC$5)-SUMIFS(TF_Timer,TF_Tekniker,AC$4,TF_Dato,$A223))*2,0)/2)))</f>
        <v/>
      </c>
      <c r="AD223">
        <f>IF(OR(AD$4="",$A223&gt;TODAY()),0,IF(OR(INDEX($B223:$D223,AD$5)="F",AND(AD$6&gt;0,$A223&lt;AD$6),AND(AD$7&gt;0,$A223&gt;AD$7)),0,MAX(0,ROUND((INDEX($E223:$G223,AD$5)-SUMIFS(TF_Timer,TF_Tekniker,AD$4,TF_Dato,$A223))*2,0)/2)))</f>
        <v/>
      </c>
      <c r="AE223">
        <f>IF(OR(AE$4="",$A223&gt;TODAY()),0,IF(OR(INDEX($B223:$D223,AE$5)="F",AND(AE$6&gt;0,$A223&lt;AE$6),AND(AE$7&gt;0,$A223&gt;AE$7)),0,MAX(0,ROUND((INDEX($E223:$G223,AE$5)-SUMIFS(TF_Timer,TF_Tekniker,AE$4,TF_Dato,$A223))*2,0)/2)))</f>
        <v/>
      </c>
      <c r="AF223">
        <f>IF(OR(AF$4="",$A223&gt;TODAY()),0,IF(OR(INDEX($B223:$D223,AF$5)="F",AND(AF$6&gt;0,$A223&lt;AF$6),AND(AF$7&gt;0,$A223&gt;AF$7)),0,MAX(0,ROUND((INDEX($E223:$G223,AF$5)-SUMIFS(TF_Timer,TF_Tekniker,AF$4,TF_Dato,$A223))*2,0)/2)))</f>
        <v/>
      </c>
      <c r="AG223">
        <f>IF(OR(AG$4="",$A223&gt;TODAY()),0,IF(OR(INDEX($B223:$D223,AG$5)="F",AND(AG$6&gt;0,$A223&lt;AG$6),AND(AG$7&gt;0,$A223&gt;AG$7)),0,MAX(0,ROUND((INDEX($E223:$G223,AG$5)-SUMIFS(TF_Timer,TF_Tekniker,AG$4,TF_Dato,$A223))*2,0)/2)))</f>
        <v/>
      </c>
      <c r="AH223">
        <f>IF(OR(AH$4="",$A223&gt;TODAY()),0,IF(OR(INDEX($B223:$D223,AH$5)="F",AND(AH$6&gt;0,$A223&lt;AH$6),AND(AH$7&gt;0,$A223&gt;AH$7)),0,MAX(0,ROUND((INDEX($E223:$G223,AH$5)-SUMIFS(TF_Timer,TF_Tekniker,AH$4,TF_Dato,$A223))*2,0)/2)))</f>
        <v/>
      </c>
      <c r="AI223">
        <f>IF(OR(AI$4="",$A223&gt;TODAY()),0,IF(OR(INDEX($B223:$D223,AI$5)="F",AND(AI$6&gt;0,$A223&lt;AI$6),AND(AI$7&gt;0,$A223&gt;AI$7)),0,MAX(0,ROUND((INDEX($E223:$G223,AI$5)-SUMIFS(TF_Timer,TF_Tekniker,AI$4,TF_Dato,$A223))*2,0)/2)))</f>
        <v/>
      </c>
      <c r="AJ223">
        <f>IF(OR(AJ$4="",$A223&gt;TODAY()),0,IF(OR(INDEX($B223:$D223,AJ$5)="F",AND(AJ$6&gt;0,$A223&lt;AJ$6),AND(AJ$7&gt;0,$A223&gt;AJ$7)),0,MAX(0,ROUND((INDEX($E223:$G223,AJ$5)-SUMIFS(TF_Timer,TF_Tekniker,AJ$4,TF_Dato,$A223))*2,0)/2)))</f>
        <v/>
      </c>
      <c r="AK223">
        <f>IF(OR(AK$4="",$A223&gt;TODAY()),0,IF(OR(INDEX($B223:$D223,AK$5)="F",AND(AK$6&gt;0,$A223&lt;AK$6),AND(AK$7&gt;0,$A223&gt;AK$7)),0,MAX(0,ROUND((INDEX($E223:$G223,AK$5)-SUMIFS(TF_Timer,TF_Tekniker,AK$4,TF_Dato,$A223))*2,0)/2)))</f>
        <v/>
      </c>
      <c r="AL223">
        <f>IF(OR(AL$4="",$A223&gt;TODAY()),0,IF(OR(INDEX($B223:$D223,AL$5)="F",AND(AL$6&gt;0,$A223&lt;AL$6),AND(AL$7&gt;0,$A223&gt;AL$7)),0,MAX(0,ROUND((INDEX($E223:$G223,AL$5)-SUMIFS(TF_Timer,TF_Tekniker,AL$4,TF_Dato,$A223))*2,0)/2)))</f>
        <v/>
      </c>
      <c r="AM223">
        <f>IF(OR(AM$4="",$A223&gt;TODAY()),0,IF(OR(INDEX($B223:$D223,AM$5)="F",AND(AM$6&gt;0,$A223&lt;AM$6),AND(AM$7&gt;0,$A223&gt;AM$7)),0,MAX(0,ROUND((INDEX($E223:$G223,AM$5)-SUMIFS(TF_Timer,TF_Tekniker,AM$4,TF_Dato,$A223))*2,0)/2)))</f>
        <v/>
      </c>
      <c r="AN223">
        <f>IF(OR(AN$4="",$A223&gt;TODAY()),0,IF(OR(INDEX($B223:$D223,AN$5)="F",AND(AN$6&gt;0,$A223&lt;AN$6),AND(AN$7&gt;0,$A223&gt;AN$7)),0,MAX(0,ROUND((INDEX($E223:$G223,AN$5)-SUMIFS(TF_Timer,TF_Tekniker,AN$4,TF_Dato,$A223))*2,0)/2)))</f>
        <v/>
      </c>
      <c r="AO223">
        <f>IF(OR(AO$4="",$A223&gt;TODAY()),0,IF(OR(INDEX($B223:$D223,AO$5)="F",AND(AO$6&gt;0,$A223&lt;AO$6),AND(AO$7&gt;0,$A223&gt;AO$7)),0,MAX(0,ROUND((INDEX($E223:$G223,AO$5)-SUMIFS(TF_Timer,TF_Tekniker,AO$4,TF_Dato,$A223))*2,0)/2)))</f>
        <v/>
      </c>
      <c r="AP223">
        <f>IF(OR(AP$4="",$A223&gt;TODAY()),0,IF(OR(INDEX($B223:$D223,AP$5)="F",AND(AP$6&gt;0,$A223&lt;AP$6),AND(AP$7&gt;0,$A223&gt;AP$7)),0,MAX(0,ROUND((INDEX($E223:$G223,AP$5)-SUMIFS(TF_Timer,TF_Tekniker,AP$4,TF_Dato,$A223))*2,0)/2)))</f>
        <v/>
      </c>
      <c r="AQ223">
        <f>IF(OR(AQ$4="",$A223&gt;TODAY()),0,IF(OR(INDEX($B223:$D223,AQ$5)="F",AND(AQ$6&gt;0,$A223&lt;AQ$6),AND(AQ$7&gt;0,$A223&gt;AQ$7)),0,MAX(0,ROUND((INDEX($E223:$G223,AQ$5)-SUMIFS(TF_Timer,TF_Tekniker,AQ$4,TF_Dato,$A223))*2,0)/2)))</f>
        <v/>
      </c>
      <c r="AR223">
        <f>IF(OR(AR$4="",$A223&gt;TODAY()),0,IF(OR(INDEX($B223:$D223,AR$5)="F",AND(AR$6&gt;0,$A223&lt;AR$6),AND(AR$7&gt;0,$A223&gt;AR$7)),0,MAX(0,ROUND((INDEX($E223:$G223,AR$5)-SUMIFS(TF_Timer,TF_Tekniker,AR$4,TF_Dato,$A223))*2,0)/2)))</f>
        <v/>
      </c>
      <c r="AS223">
        <f>IF(OR(AS$4="",$A223&gt;TODAY()),0,IF(OR(INDEX($B223:$D223,AS$5)="F",AND(AS$6&gt;0,$A223&lt;AS$6),AND(AS$7&gt;0,$A223&gt;AS$7)),0,MAX(0,ROUND((INDEX($E223:$G223,AS$5)-SUMIFS(TF_Timer,TF_Tekniker,AS$4,TF_Dato,$A223))*2,0)/2)))</f>
        <v/>
      </c>
      <c r="AT223">
        <f>IF(OR(AT$4="",$A223&gt;TODAY()),0,IF(OR(INDEX($B223:$D223,AT$5)="F",AND(AT$6&gt;0,$A223&lt;AT$6),AND(AT$7&gt;0,$A223&gt;AT$7)),0,MAX(0,ROUND((INDEX($E223:$G223,AT$5)-SUMIFS(TF_Timer,TF_Tekniker,AT$4,TF_Dato,$A223))*2,0)/2)))</f>
        <v/>
      </c>
      <c r="AU223">
        <f>IF(OR(AU$4="",$A223&gt;TODAY()),0,IF(OR(INDEX($B223:$D223,AU$5)="F",AND(AU$6&gt;0,$A223&lt;AU$6),AND(AU$7&gt;0,$A223&gt;AU$7)),0,MAX(0,ROUND((INDEX($E223:$G223,AU$5)-SUMIFS(TF_Timer,TF_Tekniker,AU$4,TF_Dato,$A223))*2,0)/2)))</f>
        <v/>
      </c>
      <c r="AV223">
        <f>IF(OR(AV$4="",$A223&gt;TODAY()),0,IF(OR(INDEX($B223:$D223,AV$5)="F",AND(AV$6&gt;0,$A223&lt;AV$6),AND(AV$7&gt;0,$A223&gt;AV$7)),0,MAX(0,ROUND((INDEX($E223:$G223,AV$5)-SUMIFS(TF_Timer,TF_Tekniker,AV$4,TF_Dato,$A223))*2,0)/2)))</f>
        <v/>
      </c>
      <c r="AW223">
        <f>IF(OR(AW$4="",$A223&gt;TODAY()),0,IF(OR(INDEX($B223:$D223,AW$5)="F",AND(AW$6&gt;0,$A223&lt;AW$6),AND(AW$7&gt;0,$A223&gt;AW$7)),0,MAX(0,ROUND((INDEX($E223:$G223,AW$5)-SUMIFS(TF_Timer,TF_Tekniker,AW$4,TF_Dato,$A223))*2,0)/2)))</f>
        <v/>
      </c>
      <c r="AX223">
        <f>IF(OR(AX$4="",$A223&gt;TODAY()),0,IF(OR(INDEX($B223:$D223,AX$5)="F",AND(AX$6&gt;0,$A223&lt;AX$6),AND(AX$7&gt;0,$A223&gt;AX$7)),0,MAX(0,ROUND((INDEX($E223:$G223,AX$5)-SUMIFS(TF_Timer,TF_Tekniker,AX$4,TF_Dato,$A223))*2,0)/2)))</f>
        <v/>
      </c>
      <c r="AY223">
        <f>IF(OR(AY$4="",$A223&gt;TODAY()),0,IF(OR(INDEX($B223:$D223,AY$5)="F",AND(AY$6&gt;0,$A223&lt;AY$6),AND(AY$7&gt;0,$A223&gt;AY$7)),0,MAX(0,ROUND((INDEX($E223:$G223,AY$5)-SUMIFS(TF_Timer,TF_Tekniker,AY$4,TF_Dato,$A223))*2,0)/2)))</f>
        <v/>
      </c>
      <c r="AZ223">
        <f>IF(OR(AZ$4="",$A223&gt;TODAY()),0,IF(OR(INDEX($B223:$D223,AZ$5)="F",AND(AZ$6&gt;0,$A223&lt;AZ$6),AND(AZ$7&gt;0,$A223&gt;AZ$7)),0,MAX(0,ROUND((INDEX($E223:$G223,AZ$5)-SUMIFS(TF_Timer,TF_Tekniker,AZ$4,TF_Dato,$A223))*2,0)/2)))</f>
        <v/>
      </c>
      <c r="BA223">
        <f>IF(OR(BA$4="",$A223&gt;TODAY()),0,IF(OR(INDEX($B223:$D223,BA$5)="F",AND(BA$6&gt;0,$A223&lt;BA$6),AND(BA$7&gt;0,$A223&gt;BA$7)),0,MAX(0,ROUND((INDEX($E223:$G223,BA$5)-SUMIFS(TF_Timer,TF_Tekniker,BA$4,TF_Dato,$A223))*2,0)/2)))</f>
        <v/>
      </c>
      <c r="BB223">
        <f>IF(OR(BB$4="",$A223&gt;TODAY()),0,IF(OR(INDEX($B223:$D223,BB$5)="F",AND(BB$6&gt;0,$A223&lt;BB$6),AND(BB$7&gt;0,$A223&gt;BB$7)),0,MAX(0,ROUND((INDEX($E223:$G223,BB$5)-SUMIFS(TF_Timer,TF_Tekniker,BB$4,TF_Dato,$A223))*2,0)/2)))</f>
        <v/>
      </c>
      <c r="BC223">
        <f>IF(OR(BC$4="",$A223&gt;TODAY()),0,IF(OR(INDEX($B223:$D223,BC$5)="F",AND(BC$6&gt;0,$A223&lt;BC$6),AND(BC$7&gt;0,$A223&gt;BC$7)),0,MAX(0,ROUND((INDEX($E223:$G223,BC$5)-SUMIFS(TF_Timer,TF_Tekniker,BC$4,TF_Dato,$A223))*2,0)/2)))</f>
        <v/>
      </c>
      <c r="BD223">
        <f>IF(OR(BD$4="",$A223&gt;TODAY()),0,IF(OR(INDEX($B223:$D223,BD$5)="F",AND(BD$6&gt;0,$A223&lt;BD$6),AND(BD$7&gt;0,$A223&gt;BD$7)),0,MAX(0,ROUND((INDEX($E223:$G223,BD$5)-SUMIFS(TF_Timer,TF_Tekniker,BD$4,TF_Dato,$A223))*2,0)/2)))</f>
        <v/>
      </c>
      <c r="BE223">
        <f>IF(OR(BE$4="",$A223&gt;TODAY()),0,IF(OR(INDEX($B223:$D223,BE$5)="F",AND(BE$6&gt;0,$A223&lt;BE$6),AND(BE$7&gt;0,$A223&gt;BE$7)),0,MAX(0,ROUND((INDEX($E223:$G223,BE$5)-SUMIFS(TF_Timer,TF_Tekniker,BE$4,TF_Dato,$A223))*2,0)/2)))</f>
        <v/>
      </c>
      <c r="BF223">
        <f>IF(OR(BF$4="",$A223&gt;TODAY()),0,IF(OR(INDEX($B223:$D223,BF$5)="F",AND(BF$6&gt;0,$A223&lt;BF$6),AND(BF$7&gt;0,$A223&gt;BF$7)),0,MAX(0,ROUND((INDEX($E223:$G223,BF$5)-SUMIFS(TF_Timer,TF_Tekniker,BF$4,TF_Dato,$A223))*2,0)/2)))</f>
        <v/>
      </c>
      <c r="BG223">
        <f>IF(OR(BG$4="",$A223&gt;TODAY()),0,IF(OR(INDEX($B223:$D223,BG$5)="F",AND(BG$6&gt;0,$A223&lt;BG$6),AND(BG$7&gt;0,$A223&gt;BG$7)),0,MAX(0,ROUND((INDEX($E223:$G223,BG$5)-SUMIFS(TF_Timer,TF_Tekniker,BG$4,TF_Dato,$A223))*2,0)/2)))</f>
        <v/>
      </c>
      <c r="BH223">
        <f>IF(OR(BH$4="",$A223&gt;TODAY()),0,IF(OR(INDEX($B223:$D223,BH$5)="F",AND(BH$6&gt;0,$A223&lt;BH$6),AND(BH$7&gt;0,$A223&gt;BH$7)),0,MAX(0,ROUND((INDEX($E223:$G223,BH$5)-SUMIFS(TF_Timer,TF_Tekniker,BH$4,TF_Dato,$A223))*2,0)/2)))</f>
        <v/>
      </c>
      <c r="BI223">
        <f>IF(OR(BI$4="",$A223&gt;TODAY()),0,IF(OR(INDEX($B223:$D223,BI$5)="F",AND(BI$6&gt;0,$A223&lt;BI$6),AND(BI$7&gt;0,$A223&gt;BI$7)),0,MAX(0,ROUND((INDEX($E223:$G223,BI$5)-SUMIFS(TF_Timer,TF_Tekniker,BI$4,TF_Dato,$A223))*2,0)/2)))</f>
        <v/>
      </c>
    </row>
    <row r="224">
      <c r="A224" s="64">
        <f>A223+1</f>
        <v/>
      </c>
      <c r="B224">
        <f>IF(MOD($A224-INDEX(SkiftStart,1),Syklus)&lt;DagK,"K",IF(MOD($A224-INDEX(SkiftStart,1),Syklus)&lt;DagK+DagH,"H",IF(MOD($A224-INDEX(SkiftStart,1),Syklus)&lt;DagK+DagH+DagD,"D","F")))</f>
        <v/>
      </c>
      <c r="C224">
        <f>IF(MOD($A224-INDEX(SkiftStart,2),Syklus)&lt;DagK,"K",IF(MOD($A224-INDEX(SkiftStart,2),Syklus)&lt;DagK+DagH,"H",IF(MOD($A224-INDEX(SkiftStart,2),Syklus)&lt;DagK+DagH+DagD,"D","F")))</f>
        <v/>
      </c>
      <c r="D224">
        <f>IF(MOD($A224-INDEX(SkiftStart,3),Syklus)&lt;DagK,"K",IF(MOD($A224-INDEX(SkiftStart,3),Syklus)&lt;DagK+DagH,"H",IF(MOD($A224-INDEX(SkiftStart,3),Syklus)&lt;DagK+DagH+DagD,"D","F")))</f>
        <v/>
      </c>
      <c r="E224">
        <f>IF(B224="F",0,IF(WEEKDAY($A224,2)=5,INDEX(TimerFr,MATCH(B224,FaseKode,0)),INDEX(TimerMT,MATCH(B224,FaseKode,0))))</f>
        <v/>
      </c>
      <c r="F224">
        <f>IF(C224="F",0,IF(WEEKDAY($A224,2)=5,INDEX(TimerFr,MATCH(C224,FaseKode,0)),INDEX(TimerMT,MATCH(C224,FaseKode,0))))</f>
        <v/>
      </c>
      <c r="G224">
        <f>IF(D224="F",0,IF(WEEKDAY($A224,2)=5,INDEX(TimerFr,MATCH(D224,FaseKode,0)),INDEX(TimerMT,MATCH(D224,FaseKode,0))))</f>
        <v/>
      </c>
      <c r="H224">
        <f>IF(OR(H$4="",$A224&gt;TODAY()),0,IF(OR(INDEX($B224:$D224,H$5)="F",AND(H$6&gt;0,$A224&lt;H$6),AND(H$7&gt;0,$A224&gt;H$7)),0,MAX(0,ROUND((INDEX($E224:$G224,H$5)-SUMIFS(TF_Timer,TF_Tekniker,H$4,TF_Dato,$A224))*2,0)/2)))</f>
        <v/>
      </c>
      <c r="I224">
        <f>IF(OR(I$4="",$A224&gt;TODAY()),0,IF(OR(INDEX($B224:$D224,I$5)="F",AND(I$6&gt;0,$A224&lt;I$6),AND(I$7&gt;0,$A224&gt;I$7)),0,MAX(0,ROUND((INDEX($E224:$G224,I$5)-SUMIFS(TF_Timer,TF_Tekniker,I$4,TF_Dato,$A224))*2,0)/2)))</f>
        <v/>
      </c>
      <c r="J224">
        <f>IF(OR(J$4="",$A224&gt;TODAY()),0,IF(OR(INDEX($B224:$D224,J$5)="F",AND(J$6&gt;0,$A224&lt;J$6),AND(J$7&gt;0,$A224&gt;J$7)),0,MAX(0,ROUND((INDEX($E224:$G224,J$5)-SUMIFS(TF_Timer,TF_Tekniker,J$4,TF_Dato,$A224))*2,0)/2)))</f>
        <v/>
      </c>
      <c r="K224">
        <f>IF(OR(K$4="",$A224&gt;TODAY()),0,IF(OR(INDEX($B224:$D224,K$5)="F",AND(K$6&gt;0,$A224&lt;K$6),AND(K$7&gt;0,$A224&gt;K$7)),0,MAX(0,ROUND((INDEX($E224:$G224,K$5)-SUMIFS(TF_Timer,TF_Tekniker,K$4,TF_Dato,$A224))*2,0)/2)))</f>
        <v/>
      </c>
      <c r="L224">
        <f>IF(OR(L$4="",$A224&gt;TODAY()),0,IF(OR(INDEX($B224:$D224,L$5)="F",AND(L$6&gt;0,$A224&lt;L$6),AND(L$7&gt;0,$A224&gt;L$7)),0,MAX(0,ROUND((INDEX($E224:$G224,L$5)-SUMIFS(TF_Timer,TF_Tekniker,L$4,TF_Dato,$A224))*2,0)/2)))</f>
        <v/>
      </c>
      <c r="M224">
        <f>IF(OR(M$4="",$A224&gt;TODAY()),0,IF(OR(INDEX($B224:$D224,M$5)="F",AND(M$6&gt;0,$A224&lt;M$6),AND(M$7&gt;0,$A224&gt;M$7)),0,MAX(0,ROUND((INDEX($E224:$G224,M$5)-SUMIFS(TF_Timer,TF_Tekniker,M$4,TF_Dato,$A224))*2,0)/2)))</f>
        <v/>
      </c>
      <c r="N224">
        <f>IF(OR(N$4="",$A224&gt;TODAY()),0,IF(OR(INDEX($B224:$D224,N$5)="F",AND(N$6&gt;0,$A224&lt;N$6),AND(N$7&gt;0,$A224&gt;N$7)),0,MAX(0,ROUND((INDEX($E224:$G224,N$5)-SUMIFS(TF_Timer,TF_Tekniker,N$4,TF_Dato,$A224))*2,0)/2)))</f>
        <v/>
      </c>
      <c r="O224">
        <f>IF(OR(O$4="",$A224&gt;TODAY()),0,IF(OR(INDEX($B224:$D224,O$5)="F",AND(O$6&gt;0,$A224&lt;O$6),AND(O$7&gt;0,$A224&gt;O$7)),0,MAX(0,ROUND((INDEX($E224:$G224,O$5)-SUMIFS(TF_Timer,TF_Tekniker,O$4,TF_Dato,$A224))*2,0)/2)))</f>
        <v/>
      </c>
      <c r="P224">
        <f>IF(OR(P$4="",$A224&gt;TODAY()),0,IF(OR(INDEX($B224:$D224,P$5)="F",AND(P$6&gt;0,$A224&lt;P$6),AND(P$7&gt;0,$A224&gt;P$7)),0,MAX(0,ROUND((INDEX($E224:$G224,P$5)-SUMIFS(TF_Timer,TF_Tekniker,P$4,TF_Dato,$A224))*2,0)/2)))</f>
        <v/>
      </c>
      <c r="Q224">
        <f>IF(OR(Q$4="",$A224&gt;TODAY()),0,IF(OR(INDEX($B224:$D224,Q$5)="F",AND(Q$6&gt;0,$A224&lt;Q$6),AND(Q$7&gt;0,$A224&gt;Q$7)),0,MAX(0,ROUND((INDEX($E224:$G224,Q$5)-SUMIFS(TF_Timer,TF_Tekniker,Q$4,TF_Dato,$A224))*2,0)/2)))</f>
        <v/>
      </c>
      <c r="R224">
        <f>IF(OR(R$4="",$A224&gt;TODAY()),0,IF(OR(INDEX($B224:$D224,R$5)="F",AND(R$6&gt;0,$A224&lt;R$6),AND(R$7&gt;0,$A224&gt;R$7)),0,MAX(0,ROUND((INDEX($E224:$G224,R$5)-SUMIFS(TF_Timer,TF_Tekniker,R$4,TF_Dato,$A224))*2,0)/2)))</f>
        <v/>
      </c>
      <c r="S224">
        <f>IF(OR(S$4="",$A224&gt;TODAY()),0,IF(OR(INDEX($B224:$D224,S$5)="F",AND(S$6&gt;0,$A224&lt;S$6),AND(S$7&gt;0,$A224&gt;S$7)),0,MAX(0,ROUND((INDEX($E224:$G224,S$5)-SUMIFS(TF_Timer,TF_Tekniker,S$4,TF_Dato,$A224))*2,0)/2)))</f>
        <v/>
      </c>
      <c r="T224">
        <f>IF(OR(T$4="",$A224&gt;TODAY()),0,IF(OR(INDEX($B224:$D224,T$5)="F",AND(T$6&gt;0,$A224&lt;T$6),AND(T$7&gt;0,$A224&gt;T$7)),0,MAX(0,ROUND((INDEX($E224:$G224,T$5)-SUMIFS(TF_Timer,TF_Tekniker,T$4,TF_Dato,$A224))*2,0)/2)))</f>
        <v/>
      </c>
      <c r="U224">
        <f>IF(OR(U$4="",$A224&gt;TODAY()),0,IF(OR(INDEX($B224:$D224,U$5)="F",AND(U$6&gt;0,$A224&lt;U$6),AND(U$7&gt;0,$A224&gt;U$7)),0,MAX(0,ROUND((INDEX($E224:$G224,U$5)-SUMIFS(TF_Timer,TF_Tekniker,U$4,TF_Dato,$A224))*2,0)/2)))</f>
        <v/>
      </c>
      <c r="V224">
        <f>IF(OR(V$4="",$A224&gt;TODAY()),0,IF(OR(INDEX($B224:$D224,V$5)="F",AND(V$6&gt;0,$A224&lt;V$6),AND(V$7&gt;0,$A224&gt;V$7)),0,MAX(0,ROUND((INDEX($E224:$G224,V$5)-SUMIFS(TF_Timer,TF_Tekniker,V$4,TF_Dato,$A224))*2,0)/2)))</f>
        <v/>
      </c>
      <c r="W224">
        <f>IF(OR(W$4="",$A224&gt;TODAY()),0,IF(OR(INDEX($B224:$D224,W$5)="F",AND(W$6&gt;0,$A224&lt;W$6),AND(W$7&gt;0,$A224&gt;W$7)),0,MAX(0,ROUND((INDEX($E224:$G224,W$5)-SUMIFS(TF_Timer,TF_Tekniker,W$4,TF_Dato,$A224))*2,0)/2)))</f>
        <v/>
      </c>
      <c r="X224">
        <f>IF(OR(X$4="",$A224&gt;TODAY()),0,IF(OR(INDEX($B224:$D224,X$5)="F",AND(X$6&gt;0,$A224&lt;X$6),AND(X$7&gt;0,$A224&gt;X$7)),0,MAX(0,ROUND((INDEX($E224:$G224,X$5)-SUMIFS(TF_Timer,TF_Tekniker,X$4,TF_Dato,$A224))*2,0)/2)))</f>
        <v/>
      </c>
      <c r="Y224">
        <f>IF(OR(Y$4="",$A224&gt;TODAY()),0,IF(OR(INDEX($B224:$D224,Y$5)="F",AND(Y$6&gt;0,$A224&lt;Y$6),AND(Y$7&gt;0,$A224&gt;Y$7)),0,MAX(0,ROUND((INDEX($E224:$G224,Y$5)-SUMIFS(TF_Timer,TF_Tekniker,Y$4,TF_Dato,$A224))*2,0)/2)))</f>
        <v/>
      </c>
      <c r="Z224">
        <f>IF(OR(Z$4="",$A224&gt;TODAY()),0,IF(OR(INDEX($B224:$D224,Z$5)="F",AND(Z$6&gt;0,$A224&lt;Z$6),AND(Z$7&gt;0,$A224&gt;Z$7)),0,MAX(0,ROUND((INDEX($E224:$G224,Z$5)-SUMIFS(TF_Timer,TF_Tekniker,Z$4,TF_Dato,$A224))*2,0)/2)))</f>
        <v/>
      </c>
      <c r="AA224">
        <f>IF(OR(AA$4="",$A224&gt;TODAY()),0,IF(OR(INDEX($B224:$D224,AA$5)="F",AND(AA$6&gt;0,$A224&lt;AA$6),AND(AA$7&gt;0,$A224&gt;AA$7)),0,MAX(0,ROUND((INDEX($E224:$G224,AA$5)-SUMIFS(TF_Timer,TF_Tekniker,AA$4,TF_Dato,$A224))*2,0)/2)))</f>
        <v/>
      </c>
      <c r="AB224">
        <f>IF(OR(AB$4="",$A224&gt;TODAY()),0,IF(OR(INDEX($B224:$D224,AB$5)="F",AND(AB$6&gt;0,$A224&lt;AB$6),AND(AB$7&gt;0,$A224&gt;AB$7)),0,MAX(0,ROUND((INDEX($E224:$G224,AB$5)-SUMIFS(TF_Timer,TF_Tekniker,AB$4,TF_Dato,$A224))*2,0)/2)))</f>
        <v/>
      </c>
      <c r="AC224">
        <f>IF(OR(AC$4="",$A224&gt;TODAY()),0,IF(OR(INDEX($B224:$D224,AC$5)="F",AND(AC$6&gt;0,$A224&lt;AC$6),AND(AC$7&gt;0,$A224&gt;AC$7)),0,MAX(0,ROUND((INDEX($E224:$G224,AC$5)-SUMIFS(TF_Timer,TF_Tekniker,AC$4,TF_Dato,$A224))*2,0)/2)))</f>
        <v/>
      </c>
      <c r="AD224">
        <f>IF(OR(AD$4="",$A224&gt;TODAY()),0,IF(OR(INDEX($B224:$D224,AD$5)="F",AND(AD$6&gt;0,$A224&lt;AD$6),AND(AD$7&gt;0,$A224&gt;AD$7)),0,MAX(0,ROUND((INDEX($E224:$G224,AD$5)-SUMIFS(TF_Timer,TF_Tekniker,AD$4,TF_Dato,$A224))*2,0)/2)))</f>
        <v/>
      </c>
      <c r="AE224">
        <f>IF(OR(AE$4="",$A224&gt;TODAY()),0,IF(OR(INDEX($B224:$D224,AE$5)="F",AND(AE$6&gt;0,$A224&lt;AE$6),AND(AE$7&gt;0,$A224&gt;AE$7)),0,MAX(0,ROUND((INDEX($E224:$G224,AE$5)-SUMIFS(TF_Timer,TF_Tekniker,AE$4,TF_Dato,$A224))*2,0)/2)))</f>
        <v/>
      </c>
      <c r="AF224">
        <f>IF(OR(AF$4="",$A224&gt;TODAY()),0,IF(OR(INDEX($B224:$D224,AF$5)="F",AND(AF$6&gt;0,$A224&lt;AF$6),AND(AF$7&gt;0,$A224&gt;AF$7)),0,MAX(0,ROUND((INDEX($E224:$G224,AF$5)-SUMIFS(TF_Timer,TF_Tekniker,AF$4,TF_Dato,$A224))*2,0)/2)))</f>
        <v/>
      </c>
      <c r="AG224">
        <f>IF(OR(AG$4="",$A224&gt;TODAY()),0,IF(OR(INDEX($B224:$D224,AG$5)="F",AND(AG$6&gt;0,$A224&lt;AG$6),AND(AG$7&gt;0,$A224&gt;AG$7)),0,MAX(0,ROUND((INDEX($E224:$G224,AG$5)-SUMIFS(TF_Timer,TF_Tekniker,AG$4,TF_Dato,$A224))*2,0)/2)))</f>
        <v/>
      </c>
      <c r="AH224">
        <f>IF(OR(AH$4="",$A224&gt;TODAY()),0,IF(OR(INDEX($B224:$D224,AH$5)="F",AND(AH$6&gt;0,$A224&lt;AH$6),AND(AH$7&gt;0,$A224&gt;AH$7)),0,MAX(0,ROUND((INDEX($E224:$G224,AH$5)-SUMIFS(TF_Timer,TF_Tekniker,AH$4,TF_Dato,$A224))*2,0)/2)))</f>
        <v/>
      </c>
      <c r="AI224">
        <f>IF(OR(AI$4="",$A224&gt;TODAY()),0,IF(OR(INDEX($B224:$D224,AI$5)="F",AND(AI$6&gt;0,$A224&lt;AI$6),AND(AI$7&gt;0,$A224&gt;AI$7)),0,MAX(0,ROUND((INDEX($E224:$G224,AI$5)-SUMIFS(TF_Timer,TF_Tekniker,AI$4,TF_Dato,$A224))*2,0)/2)))</f>
        <v/>
      </c>
      <c r="AJ224">
        <f>IF(OR(AJ$4="",$A224&gt;TODAY()),0,IF(OR(INDEX($B224:$D224,AJ$5)="F",AND(AJ$6&gt;0,$A224&lt;AJ$6),AND(AJ$7&gt;0,$A224&gt;AJ$7)),0,MAX(0,ROUND((INDEX($E224:$G224,AJ$5)-SUMIFS(TF_Timer,TF_Tekniker,AJ$4,TF_Dato,$A224))*2,0)/2)))</f>
        <v/>
      </c>
      <c r="AK224">
        <f>IF(OR(AK$4="",$A224&gt;TODAY()),0,IF(OR(INDEX($B224:$D224,AK$5)="F",AND(AK$6&gt;0,$A224&lt;AK$6),AND(AK$7&gt;0,$A224&gt;AK$7)),0,MAX(0,ROUND((INDEX($E224:$G224,AK$5)-SUMIFS(TF_Timer,TF_Tekniker,AK$4,TF_Dato,$A224))*2,0)/2)))</f>
        <v/>
      </c>
      <c r="AL224">
        <f>IF(OR(AL$4="",$A224&gt;TODAY()),0,IF(OR(INDEX($B224:$D224,AL$5)="F",AND(AL$6&gt;0,$A224&lt;AL$6),AND(AL$7&gt;0,$A224&gt;AL$7)),0,MAX(0,ROUND((INDEX($E224:$G224,AL$5)-SUMIFS(TF_Timer,TF_Tekniker,AL$4,TF_Dato,$A224))*2,0)/2)))</f>
        <v/>
      </c>
      <c r="AM224">
        <f>IF(OR(AM$4="",$A224&gt;TODAY()),0,IF(OR(INDEX($B224:$D224,AM$5)="F",AND(AM$6&gt;0,$A224&lt;AM$6),AND(AM$7&gt;0,$A224&gt;AM$7)),0,MAX(0,ROUND((INDEX($E224:$G224,AM$5)-SUMIFS(TF_Timer,TF_Tekniker,AM$4,TF_Dato,$A224))*2,0)/2)))</f>
        <v/>
      </c>
      <c r="AN224">
        <f>IF(OR(AN$4="",$A224&gt;TODAY()),0,IF(OR(INDEX($B224:$D224,AN$5)="F",AND(AN$6&gt;0,$A224&lt;AN$6),AND(AN$7&gt;0,$A224&gt;AN$7)),0,MAX(0,ROUND((INDEX($E224:$G224,AN$5)-SUMIFS(TF_Timer,TF_Tekniker,AN$4,TF_Dato,$A224))*2,0)/2)))</f>
        <v/>
      </c>
      <c r="AO224">
        <f>IF(OR(AO$4="",$A224&gt;TODAY()),0,IF(OR(INDEX($B224:$D224,AO$5)="F",AND(AO$6&gt;0,$A224&lt;AO$6),AND(AO$7&gt;0,$A224&gt;AO$7)),0,MAX(0,ROUND((INDEX($E224:$G224,AO$5)-SUMIFS(TF_Timer,TF_Tekniker,AO$4,TF_Dato,$A224))*2,0)/2)))</f>
        <v/>
      </c>
      <c r="AP224">
        <f>IF(OR(AP$4="",$A224&gt;TODAY()),0,IF(OR(INDEX($B224:$D224,AP$5)="F",AND(AP$6&gt;0,$A224&lt;AP$6),AND(AP$7&gt;0,$A224&gt;AP$7)),0,MAX(0,ROUND((INDEX($E224:$G224,AP$5)-SUMIFS(TF_Timer,TF_Tekniker,AP$4,TF_Dato,$A224))*2,0)/2)))</f>
        <v/>
      </c>
      <c r="AQ224">
        <f>IF(OR(AQ$4="",$A224&gt;TODAY()),0,IF(OR(INDEX($B224:$D224,AQ$5)="F",AND(AQ$6&gt;0,$A224&lt;AQ$6),AND(AQ$7&gt;0,$A224&gt;AQ$7)),0,MAX(0,ROUND((INDEX($E224:$G224,AQ$5)-SUMIFS(TF_Timer,TF_Tekniker,AQ$4,TF_Dato,$A224))*2,0)/2)))</f>
        <v/>
      </c>
      <c r="AR224">
        <f>IF(OR(AR$4="",$A224&gt;TODAY()),0,IF(OR(INDEX($B224:$D224,AR$5)="F",AND(AR$6&gt;0,$A224&lt;AR$6),AND(AR$7&gt;0,$A224&gt;AR$7)),0,MAX(0,ROUND((INDEX($E224:$G224,AR$5)-SUMIFS(TF_Timer,TF_Tekniker,AR$4,TF_Dato,$A224))*2,0)/2)))</f>
        <v/>
      </c>
      <c r="AS224">
        <f>IF(OR(AS$4="",$A224&gt;TODAY()),0,IF(OR(INDEX($B224:$D224,AS$5)="F",AND(AS$6&gt;0,$A224&lt;AS$6),AND(AS$7&gt;0,$A224&gt;AS$7)),0,MAX(0,ROUND((INDEX($E224:$G224,AS$5)-SUMIFS(TF_Timer,TF_Tekniker,AS$4,TF_Dato,$A224))*2,0)/2)))</f>
        <v/>
      </c>
      <c r="AT224">
        <f>IF(OR(AT$4="",$A224&gt;TODAY()),0,IF(OR(INDEX($B224:$D224,AT$5)="F",AND(AT$6&gt;0,$A224&lt;AT$6),AND(AT$7&gt;0,$A224&gt;AT$7)),0,MAX(0,ROUND((INDEX($E224:$G224,AT$5)-SUMIFS(TF_Timer,TF_Tekniker,AT$4,TF_Dato,$A224))*2,0)/2)))</f>
        <v/>
      </c>
      <c r="AU224">
        <f>IF(OR(AU$4="",$A224&gt;TODAY()),0,IF(OR(INDEX($B224:$D224,AU$5)="F",AND(AU$6&gt;0,$A224&lt;AU$6),AND(AU$7&gt;0,$A224&gt;AU$7)),0,MAX(0,ROUND((INDEX($E224:$G224,AU$5)-SUMIFS(TF_Timer,TF_Tekniker,AU$4,TF_Dato,$A224))*2,0)/2)))</f>
        <v/>
      </c>
      <c r="AV224">
        <f>IF(OR(AV$4="",$A224&gt;TODAY()),0,IF(OR(INDEX($B224:$D224,AV$5)="F",AND(AV$6&gt;0,$A224&lt;AV$6),AND(AV$7&gt;0,$A224&gt;AV$7)),0,MAX(0,ROUND((INDEX($E224:$G224,AV$5)-SUMIFS(TF_Timer,TF_Tekniker,AV$4,TF_Dato,$A224))*2,0)/2)))</f>
        <v/>
      </c>
      <c r="AW224">
        <f>IF(OR(AW$4="",$A224&gt;TODAY()),0,IF(OR(INDEX($B224:$D224,AW$5)="F",AND(AW$6&gt;0,$A224&lt;AW$6),AND(AW$7&gt;0,$A224&gt;AW$7)),0,MAX(0,ROUND((INDEX($E224:$G224,AW$5)-SUMIFS(TF_Timer,TF_Tekniker,AW$4,TF_Dato,$A224))*2,0)/2)))</f>
        <v/>
      </c>
      <c r="AX224">
        <f>IF(OR(AX$4="",$A224&gt;TODAY()),0,IF(OR(INDEX($B224:$D224,AX$5)="F",AND(AX$6&gt;0,$A224&lt;AX$6),AND(AX$7&gt;0,$A224&gt;AX$7)),0,MAX(0,ROUND((INDEX($E224:$G224,AX$5)-SUMIFS(TF_Timer,TF_Tekniker,AX$4,TF_Dato,$A224))*2,0)/2)))</f>
        <v/>
      </c>
      <c r="AY224">
        <f>IF(OR(AY$4="",$A224&gt;TODAY()),0,IF(OR(INDEX($B224:$D224,AY$5)="F",AND(AY$6&gt;0,$A224&lt;AY$6),AND(AY$7&gt;0,$A224&gt;AY$7)),0,MAX(0,ROUND((INDEX($E224:$G224,AY$5)-SUMIFS(TF_Timer,TF_Tekniker,AY$4,TF_Dato,$A224))*2,0)/2)))</f>
        <v/>
      </c>
      <c r="AZ224">
        <f>IF(OR(AZ$4="",$A224&gt;TODAY()),0,IF(OR(INDEX($B224:$D224,AZ$5)="F",AND(AZ$6&gt;0,$A224&lt;AZ$6),AND(AZ$7&gt;0,$A224&gt;AZ$7)),0,MAX(0,ROUND((INDEX($E224:$G224,AZ$5)-SUMIFS(TF_Timer,TF_Tekniker,AZ$4,TF_Dato,$A224))*2,0)/2)))</f>
        <v/>
      </c>
      <c r="BA224">
        <f>IF(OR(BA$4="",$A224&gt;TODAY()),0,IF(OR(INDEX($B224:$D224,BA$5)="F",AND(BA$6&gt;0,$A224&lt;BA$6),AND(BA$7&gt;0,$A224&gt;BA$7)),0,MAX(0,ROUND((INDEX($E224:$G224,BA$5)-SUMIFS(TF_Timer,TF_Tekniker,BA$4,TF_Dato,$A224))*2,0)/2)))</f>
        <v/>
      </c>
      <c r="BB224">
        <f>IF(OR(BB$4="",$A224&gt;TODAY()),0,IF(OR(INDEX($B224:$D224,BB$5)="F",AND(BB$6&gt;0,$A224&lt;BB$6),AND(BB$7&gt;0,$A224&gt;BB$7)),0,MAX(0,ROUND((INDEX($E224:$G224,BB$5)-SUMIFS(TF_Timer,TF_Tekniker,BB$4,TF_Dato,$A224))*2,0)/2)))</f>
        <v/>
      </c>
      <c r="BC224">
        <f>IF(OR(BC$4="",$A224&gt;TODAY()),0,IF(OR(INDEX($B224:$D224,BC$5)="F",AND(BC$6&gt;0,$A224&lt;BC$6),AND(BC$7&gt;0,$A224&gt;BC$7)),0,MAX(0,ROUND((INDEX($E224:$G224,BC$5)-SUMIFS(TF_Timer,TF_Tekniker,BC$4,TF_Dato,$A224))*2,0)/2)))</f>
        <v/>
      </c>
      <c r="BD224">
        <f>IF(OR(BD$4="",$A224&gt;TODAY()),0,IF(OR(INDEX($B224:$D224,BD$5)="F",AND(BD$6&gt;0,$A224&lt;BD$6),AND(BD$7&gt;0,$A224&gt;BD$7)),0,MAX(0,ROUND((INDEX($E224:$G224,BD$5)-SUMIFS(TF_Timer,TF_Tekniker,BD$4,TF_Dato,$A224))*2,0)/2)))</f>
        <v/>
      </c>
      <c r="BE224">
        <f>IF(OR(BE$4="",$A224&gt;TODAY()),0,IF(OR(INDEX($B224:$D224,BE$5)="F",AND(BE$6&gt;0,$A224&lt;BE$6),AND(BE$7&gt;0,$A224&gt;BE$7)),0,MAX(0,ROUND((INDEX($E224:$G224,BE$5)-SUMIFS(TF_Timer,TF_Tekniker,BE$4,TF_Dato,$A224))*2,0)/2)))</f>
        <v/>
      </c>
      <c r="BF224">
        <f>IF(OR(BF$4="",$A224&gt;TODAY()),0,IF(OR(INDEX($B224:$D224,BF$5)="F",AND(BF$6&gt;0,$A224&lt;BF$6),AND(BF$7&gt;0,$A224&gt;BF$7)),0,MAX(0,ROUND((INDEX($E224:$G224,BF$5)-SUMIFS(TF_Timer,TF_Tekniker,BF$4,TF_Dato,$A224))*2,0)/2)))</f>
        <v/>
      </c>
      <c r="BG224">
        <f>IF(OR(BG$4="",$A224&gt;TODAY()),0,IF(OR(INDEX($B224:$D224,BG$5)="F",AND(BG$6&gt;0,$A224&lt;BG$6),AND(BG$7&gt;0,$A224&gt;BG$7)),0,MAX(0,ROUND((INDEX($E224:$G224,BG$5)-SUMIFS(TF_Timer,TF_Tekniker,BG$4,TF_Dato,$A224))*2,0)/2)))</f>
        <v/>
      </c>
      <c r="BH224">
        <f>IF(OR(BH$4="",$A224&gt;TODAY()),0,IF(OR(INDEX($B224:$D224,BH$5)="F",AND(BH$6&gt;0,$A224&lt;BH$6),AND(BH$7&gt;0,$A224&gt;BH$7)),0,MAX(0,ROUND((INDEX($E224:$G224,BH$5)-SUMIFS(TF_Timer,TF_Tekniker,BH$4,TF_Dato,$A224))*2,0)/2)))</f>
        <v/>
      </c>
      <c r="BI224">
        <f>IF(OR(BI$4="",$A224&gt;TODAY()),0,IF(OR(INDEX($B224:$D224,BI$5)="F",AND(BI$6&gt;0,$A224&lt;BI$6),AND(BI$7&gt;0,$A224&gt;BI$7)),0,MAX(0,ROUND((INDEX($E224:$G224,BI$5)-SUMIFS(TF_Timer,TF_Tekniker,BI$4,TF_Dato,$A224))*2,0)/2)))</f>
        <v/>
      </c>
    </row>
    <row r="225">
      <c r="A225" s="64">
        <f>A224+1</f>
        <v/>
      </c>
      <c r="B225">
        <f>IF(MOD($A225-INDEX(SkiftStart,1),Syklus)&lt;DagK,"K",IF(MOD($A225-INDEX(SkiftStart,1),Syklus)&lt;DagK+DagH,"H",IF(MOD($A225-INDEX(SkiftStart,1),Syklus)&lt;DagK+DagH+DagD,"D","F")))</f>
        <v/>
      </c>
      <c r="C225">
        <f>IF(MOD($A225-INDEX(SkiftStart,2),Syklus)&lt;DagK,"K",IF(MOD($A225-INDEX(SkiftStart,2),Syklus)&lt;DagK+DagH,"H",IF(MOD($A225-INDEX(SkiftStart,2),Syklus)&lt;DagK+DagH+DagD,"D","F")))</f>
        <v/>
      </c>
      <c r="D225">
        <f>IF(MOD($A225-INDEX(SkiftStart,3),Syklus)&lt;DagK,"K",IF(MOD($A225-INDEX(SkiftStart,3),Syklus)&lt;DagK+DagH,"H",IF(MOD($A225-INDEX(SkiftStart,3),Syklus)&lt;DagK+DagH+DagD,"D","F")))</f>
        <v/>
      </c>
      <c r="E225">
        <f>IF(B225="F",0,IF(WEEKDAY($A225,2)=5,INDEX(TimerFr,MATCH(B225,FaseKode,0)),INDEX(TimerMT,MATCH(B225,FaseKode,0))))</f>
        <v/>
      </c>
      <c r="F225">
        <f>IF(C225="F",0,IF(WEEKDAY($A225,2)=5,INDEX(TimerFr,MATCH(C225,FaseKode,0)),INDEX(TimerMT,MATCH(C225,FaseKode,0))))</f>
        <v/>
      </c>
      <c r="G225">
        <f>IF(D225="F",0,IF(WEEKDAY($A225,2)=5,INDEX(TimerFr,MATCH(D225,FaseKode,0)),INDEX(TimerMT,MATCH(D225,FaseKode,0))))</f>
        <v/>
      </c>
      <c r="H225">
        <f>IF(OR(H$4="",$A225&gt;TODAY()),0,IF(OR(INDEX($B225:$D225,H$5)="F",AND(H$6&gt;0,$A225&lt;H$6),AND(H$7&gt;0,$A225&gt;H$7)),0,MAX(0,ROUND((INDEX($E225:$G225,H$5)-SUMIFS(TF_Timer,TF_Tekniker,H$4,TF_Dato,$A225))*2,0)/2)))</f>
        <v/>
      </c>
      <c r="I225">
        <f>IF(OR(I$4="",$A225&gt;TODAY()),0,IF(OR(INDEX($B225:$D225,I$5)="F",AND(I$6&gt;0,$A225&lt;I$6),AND(I$7&gt;0,$A225&gt;I$7)),0,MAX(0,ROUND((INDEX($E225:$G225,I$5)-SUMIFS(TF_Timer,TF_Tekniker,I$4,TF_Dato,$A225))*2,0)/2)))</f>
        <v/>
      </c>
      <c r="J225">
        <f>IF(OR(J$4="",$A225&gt;TODAY()),0,IF(OR(INDEX($B225:$D225,J$5)="F",AND(J$6&gt;0,$A225&lt;J$6),AND(J$7&gt;0,$A225&gt;J$7)),0,MAX(0,ROUND((INDEX($E225:$G225,J$5)-SUMIFS(TF_Timer,TF_Tekniker,J$4,TF_Dato,$A225))*2,0)/2)))</f>
        <v/>
      </c>
      <c r="K225">
        <f>IF(OR(K$4="",$A225&gt;TODAY()),0,IF(OR(INDEX($B225:$D225,K$5)="F",AND(K$6&gt;0,$A225&lt;K$6),AND(K$7&gt;0,$A225&gt;K$7)),0,MAX(0,ROUND((INDEX($E225:$G225,K$5)-SUMIFS(TF_Timer,TF_Tekniker,K$4,TF_Dato,$A225))*2,0)/2)))</f>
        <v/>
      </c>
      <c r="L225">
        <f>IF(OR(L$4="",$A225&gt;TODAY()),0,IF(OR(INDEX($B225:$D225,L$5)="F",AND(L$6&gt;0,$A225&lt;L$6),AND(L$7&gt;0,$A225&gt;L$7)),0,MAX(0,ROUND((INDEX($E225:$G225,L$5)-SUMIFS(TF_Timer,TF_Tekniker,L$4,TF_Dato,$A225))*2,0)/2)))</f>
        <v/>
      </c>
      <c r="M225">
        <f>IF(OR(M$4="",$A225&gt;TODAY()),0,IF(OR(INDEX($B225:$D225,M$5)="F",AND(M$6&gt;0,$A225&lt;M$6),AND(M$7&gt;0,$A225&gt;M$7)),0,MAX(0,ROUND((INDEX($E225:$G225,M$5)-SUMIFS(TF_Timer,TF_Tekniker,M$4,TF_Dato,$A225))*2,0)/2)))</f>
        <v/>
      </c>
      <c r="N225">
        <f>IF(OR(N$4="",$A225&gt;TODAY()),0,IF(OR(INDEX($B225:$D225,N$5)="F",AND(N$6&gt;0,$A225&lt;N$6),AND(N$7&gt;0,$A225&gt;N$7)),0,MAX(0,ROUND((INDEX($E225:$G225,N$5)-SUMIFS(TF_Timer,TF_Tekniker,N$4,TF_Dato,$A225))*2,0)/2)))</f>
        <v/>
      </c>
      <c r="O225">
        <f>IF(OR(O$4="",$A225&gt;TODAY()),0,IF(OR(INDEX($B225:$D225,O$5)="F",AND(O$6&gt;0,$A225&lt;O$6),AND(O$7&gt;0,$A225&gt;O$7)),0,MAX(0,ROUND((INDEX($E225:$G225,O$5)-SUMIFS(TF_Timer,TF_Tekniker,O$4,TF_Dato,$A225))*2,0)/2)))</f>
        <v/>
      </c>
      <c r="P225">
        <f>IF(OR(P$4="",$A225&gt;TODAY()),0,IF(OR(INDEX($B225:$D225,P$5)="F",AND(P$6&gt;0,$A225&lt;P$6),AND(P$7&gt;0,$A225&gt;P$7)),0,MAX(0,ROUND((INDEX($E225:$G225,P$5)-SUMIFS(TF_Timer,TF_Tekniker,P$4,TF_Dato,$A225))*2,0)/2)))</f>
        <v/>
      </c>
      <c r="Q225">
        <f>IF(OR(Q$4="",$A225&gt;TODAY()),0,IF(OR(INDEX($B225:$D225,Q$5)="F",AND(Q$6&gt;0,$A225&lt;Q$6),AND(Q$7&gt;0,$A225&gt;Q$7)),0,MAX(0,ROUND((INDEX($E225:$G225,Q$5)-SUMIFS(TF_Timer,TF_Tekniker,Q$4,TF_Dato,$A225))*2,0)/2)))</f>
        <v/>
      </c>
      <c r="R225">
        <f>IF(OR(R$4="",$A225&gt;TODAY()),0,IF(OR(INDEX($B225:$D225,R$5)="F",AND(R$6&gt;0,$A225&lt;R$6),AND(R$7&gt;0,$A225&gt;R$7)),0,MAX(0,ROUND((INDEX($E225:$G225,R$5)-SUMIFS(TF_Timer,TF_Tekniker,R$4,TF_Dato,$A225))*2,0)/2)))</f>
        <v/>
      </c>
      <c r="S225">
        <f>IF(OR(S$4="",$A225&gt;TODAY()),0,IF(OR(INDEX($B225:$D225,S$5)="F",AND(S$6&gt;0,$A225&lt;S$6),AND(S$7&gt;0,$A225&gt;S$7)),0,MAX(0,ROUND((INDEX($E225:$G225,S$5)-SUMIFS(TF_Timer,TF_Tekniker,S$4,TF_Dato,$A225))*2,0)/2)))</f>
        <v/>
      </c>
      <c r="T225">
        <f>IF(OR(T$4="",$A225&gt;TODAY()),0,IF(OR(INDEX($B225:$D225,T$5)="F",AND(T$6&gt;0,$A225&lt;T$6),AND(T$7&gt;0,$A225&gt;T$7)),0,MAX(0,ROUND((INDEX($E225:$G225,T$5)-SUMIFS(TF_Timer,TF_Tekniker,T$4,TF_Dato,$A225))*2,0)/2)))</f>
        <v/>
      </c>
      <c r="U225">
        <f>IF(OR(U$4="",$A225&gt;TODAY()),0,IF(OR(INDEX($B225:$D225,U$5)="F",AND(U$6&gt;0,$A225&lt;U$6),AND(U$7&gt;0,$A225&gt;U$7)),0,MAX(0,ROUND((INDEX($E225:$G225,U$5)-SUMIFS(TF_Timer,TF_Tekniker,U$4,TF_Dato,$A225))*2,0)/2)))</f>
        <v/>
      </c>
      <c r="V225">
        <f>IF(OR(V$4="",$A225&gt;TODAY()),0,IF(OR(INDEX($B225:$D225,V$5)="F",AND(V$6&gt;0,$A225&lt;V$6),AND(V$7&gt;0,$A225&gt;V$7)),0,MAX(0,ROUND((INDEX($E225:$G225,V$5)-SUMIFS(TF_Timer,TF_Tekniker,V$4,TF_Dato,$A225))*2,0)/2)))</f>
        <v/>
      </c>
      <c r="W225">
        <f>IF(OR(W$4="",$A225&gt;TODAY()),0,IF(OR(INDEX($B225:$D225,W$5)="F",AND(W$6&gt;0,$A225&lt;W$6),AND(W$7&gt;0,$A225&gt;W$7)),0,MAX(0,ROUND((INDEX($E225:$G225,W$5)-SUMIFS(TF_Timer,TF_Tekniker,W$4,TF_Dato,$A225))*2,0)/2)))</f>
        <v/>
      </c>
      <c r="X225">
        <f>IF(OR(X$4="",$A225&gt;TODAY()),0,IF(OR(INDEX($B225:$D225,X$5)="F",AND(X$6&gt;0,$A225&lt;X$6),AND(X$7&gt;0,$A225&gt;X$7)),0,MAX(0,ROUND((INDEX($E225:$G225,X$5)-SUMIFS(TF_Timer,TF_Tekniker,X$4,TF_Dato,$A225))*2,0)/2)))</f>
        <v/>
      </c>
      <c r="Y225">
        <f>IF(OR(Y$4="",$A225&gt;TODAY()),0,IF(OR(INDEX($B225:$D225,Y$5)="F",AND(Y$6&gt;0,$A225&lt;Y$6),AND(Y$7&gt;0,$A225&gt;Y$7)),0,MAX(0,ROUND((INDEX($E225:$G225,Y$5)-SUMIFS(TF_Timer,TF_Tekniker,Y$4,TF_Dato,$A225))*2,0)/2)))</f>
        <v/>
      </c>
      <c r="Z225">
        <f>IF(OR(Z$4="",$A225&gt;TODAY()),0,IF(OR(INDEX($B225:$D225,Z$5)="F",AND(Z$6&gt;0,$A225&lt;Z$6),AND(Z$7&gt;0,$A225&gt;Z$7)),0,MAX(0,ROUND((INDEX($E225:$G225,Z$5)-SUMIFS(TF_Timer,TF_Tekniker,Z$4,TF_Dato,$A225))*2,0)/2)))</f>
        <v/>
      </c>
      <c r="AA225">
        <f>IF(OR(AA$4="",$A225&gt;TODAY()),0,IF(OR(INDEX($B225:$D225,AA$5)="F",AND(AA$6&gt;0,$A225&lt;AA$6),AND(AA$7&gt;0,$A225&gt;AA$7)),0,MAX(0,ROUND((INDEX($E225:$G225,AA$5)-SUMIFS(TF_Timer,TF_Tekniker,AA$4,TF_Dato,$A225))*2,0)/2)))</f>
        <v/>
      </c>
      <c r="AB225">
        <f>IF(OR(AB$4="",$A225&gt;TODAY()),0,IF(OR(INDEX($B225:$D225,AB$5)="F",AND(AB$6&gt;0,$A225&lt;AB$6),AND(AB$7&gt;0,$A225&gt;AB$7)),0,MAX(0,ROUND((INDEX($E225:$G225,AB$5)-SUMIFS(TF_Timer,TF_Tekniker,AB$4,TF_Dato,$A225))*2,0)/2)))</f>
        <v/>
      </c>
      <c r="AC225">
        <f>IF(OR(AC$4="",$A225&gt;TODAY()),0,IF(OR(INDEX($B225:$D225,AC$5)="F",AND(AC$6&gt;0,$A225&lt;AC$6),AND(AC$7&gt;0,$A225&gt;AC$7)),0,MAX(0,ROUND((INDEX($E225:$G225,AC$5)-SUMIFS(TF_Timer,TF_Tekniker,AC$4,TF_Dato,$A225))*2,0)/2)))</f>
        <v/>
      </c>
      <c r="AD225">
        <f>IF(OR(AD$4="",$A225&gt;TODAY()),0,IF(OR(INDEX($B225:$D225,AD$5)="F",AND(AD$6&gt;0,$A225&lt;AD$6),AND(AD$7&gt;0,$A225&gt;AD$7)),0,MAX(0,ROUND((INDEX($E225:$G225,AD$5)-SUMIFS(TF_Timer,TF_Tekniker,AD$4,TF_Dato,$A225))*2,0)/2)))</f>
        <v/>
      </c>
      <c r="AE225">
        <f>IF(OR(AE$4="",$A225&gt;TODAY()),0,IF(OR(INDEX($B225:$D225,AE$5)="F",AND(AE$6&gt;0,$A225&lt;AE$6),AND(AE$7&gt;0,$A225&gt;AE$7)),0,MAX(0,ROUND((INDEX($E225:$G225,AE$5)-SUMIFS(TF_Timer,TF_Tekniker,AE$4,TF_Dato,$A225))*2,0)/2)))</f>
        <v/>
      </c>
      <c r="AF225">
        <f>IF(OR(AF$4="",$A225&gt;TODAY()),0,IF(OR(INDEX($B225:$D225,AF$5)="F",AND(AF$6&gt;0,$A225&lt;AF$6),AND(AF$7&gt;0,$A225&gt;AF$7)),0,MAX(0,ROUND((INDEX($E225:$G225,AF$5)-SUMIFS(TF_Timer,TF_Tekniker,AF$4,TF_Dato,$A225))*2,0)/2)))</f>
        <v/>
      </c>
      <c r="AG225">
        <f>IF(OR(AG$4="",$A225&gt;TODAY()),0,IF(OR(INDEX($B225:$D225,AG$5)="F",AND(AG$6&gt;0,$A225&lt;AG$6),AND(AG$7&gt;0,$A225&gt;AG$7)),0,MAX(0,ROUND((INDEX($E225:$G225,AG$5)-SUMIFS(TF_Timer,TF_Tekniker,AG$4,TF_Dato,$A225))*2,0)/2)))</f>
        <v/>
      </c>
      <c r="AH225">
        <f>IF(OR(AH$4="",$A225&gt;TODAY()),0,IF(OR(INDEX($B225:$D225,AH$5)="F",AND(AH$6&gt;0,$A225&lt;AH$6),AND(AH$7&gt;0,$A225&gt;AH$7)),0,MAX(0,ROUND((INDEX($E225:$G225,AH$5)-SUMIFS(TF_Timer,TF_Tekniker,AH$4,TF_Dato,$A225))*2,0)/2)))</f>
        <v/>
      </c>
      <c r="AI225">
        <f>IF(OR(AI$4="",$A225&gt;TODAY()),0,IF(OR(INDEX($B225:$D225,AI$5)="F",AND(AI$6&gt;0,$A225&lt;AI$6),AND(AI$7&gt;0,$A225&gt;AI$7)),0,MAX(0,ROUND((INDEX($E225:$G225,AI$5)-SUMIFS(TF_Timer,TF_Tekniker,AI$4,TF_Dato,$A225))*2,0)/2)))</f>
        <v/>
      </c>
      <c r="AJ225">
        <f>IF(OR(AJ$4="",$A225&gt;TODAY()),0,IF(OR(INDEX($B225:$D225,AJ$5)="F",AND(AJ$6&gt;0,$A225&lt;AJ$6),AND(AJ$7&gt;0,$A225&gt;AJ$7)),0,MAX(0,ROUND((INDEX($E225:$G225,AJ$5)-SUMIFS(TF_Timer,TF_Tekniker,AJ$4,TF_Dato,$A225))*2,0)/2)))</f>
        <v/>
      </c>
      <c r="AK225">
        <f>IF(OR(AK$4="",$A225&gt;TODAY()),0,IF(OR(INDEX($B225:$D225,AK$5)="F",AND(AK$6&gt;0,$A225&lt;AK$6),AND(AK$7&gt;0,$A225&gt;AK$7)),0,MAX(0,ROUND((INDEX($E225:$G225,AK$5)-SUMIFS(TF_Timer,TF_Tekniker,AK$4,TF_Dato,$A225))*2,0)/2)))</f>
        <v/>
      </c>
      <c r="AL225">
        <f>IF(OR(AL$4="",$A225&gt;TODAY()),0,IF(OR(INDEX($B225:$D225,AL$5)="F",AND(AL$6&gt;0,$A225&lt;AL$6),AND(AL$7&gt;0,$A225&gt;AL$7)),0,MAX(0,ROUND((INDEX($E225:$G225,AL$5)-SUMIFS(TF_Timer,TF_Tekniker,AL$4,TF_Dato,$A225))*2,0)/2)))</f>
        <v/>
      </c>
      <c r="AM225">
        <f>IF(OR(AM$4="",$A225&gt;TODAY()),0,IF(OR(INDEX($B225:$D225,AM$5)="F",AND(AM$6&gt;0,$A225&lt;AM$6),AND(AM$7&gt;0,$A225&gt;AM$7)),0,MAX(0,ROUND((INDEX($E225:$G225,AM$5)-SUMIFS(TF_Timer,TF_Tekniker,AM$4,TF_Dato,$A225))*2,0)/2)))</f>
        <v/>
      </c>
      <c r="AN225">
        <f>IF(OR(AN$4="",$A225&gt;TODAY()),0,IF(OR(INDEX($B225:$D225,AN$5)="F",AND(AN$6&gt;0,$A225&lt;AN$6),AND(AN$7&gt;0,$A225&gt;AN$7)),0,MAX(0,ROUND((INDEX($E225:$G225,AN$5)-SUMIFS(TF_Timer,TF_Tekniker,AN$4,TF_Dato,$A225))*2,0)/2)))</f>
        <v/>
      </c>
      <c r="AO225">
        <f>IF(OR(AO$4="",$A225&gt;TODAY()),0,IF(OR(INDEX($B225:$D225,AO$5)="F",AND(AO$6&gt;0,$A225&lt;AO$6),AND(AO$7&gt;0,$A225&gt;AO$7)),0,MAX(0,ROUND((INDEX($E225:$G225,AO$5)-SUMIFS(TF_Timer,TF_Tekniker,AO$4,TF_Dato,$A225))*2,0)/2)))</f>
        <v/>
      </c>
      <c r="AP225">
        <f>IF(OR(AP$4="",$A225&gt;TODAY()),0,IF(OR(INDEX($B225:$D225,AP$5)="F",AND(AP$6&gt;0,$A225&lt;AP$6),AND(AP$7&gt;0,$A225&gt;AP$7)),0,MAX(0,ROUND((INDEX($E225:$G225,AP$5)-SUMIFS(TF_Timer,TF_Tekniker,AP$4,TF_Dato,$A225))*2,0)/2)))</f>
        <v/>
      </c>
      <c r="AQ225">
        <f>IF(OR(AQ$4="",$A225&gt;TODAY()),0,IF(OR(INDEX($B225:$D225,AQ$5)="F",AND(AQ$6&gt;0,$A225&lt;AQ$6),AND(AQ$7&gt;0,$A225&gt;AQ$7)),0,MAX(0,ROUND((INDEX($E225:$G225,AQ$5)-SUMIFS(TF_Timer,TF_Tekniker,AQ$4,TF_Dato,$A225))*2,0)/2)))</f>
        <v/>
      </c>
      <c r="AR225">
        <f>IF(OR(AR$4="",$A225&gt;TODAY()),0,IF(OR(INDEX($B225:$D225,AR$5)="F",AND(AR$6&gt;0,$A225&lt;AR$6),AND(AR$7&gt;0,$A225&gt;AR$7)),0,MAX(0,ROUND((INDEX($E225:$G225,AR$5)-SUMIFS(TF_Timer,TF_Tekniker,AR$4,TF_Dato,$A225))*2,0)/2)))</f>
        <v/>
      </c>
      <c r="AS225">
        <f>IF(OR(AS$4="",$A225&gt;TODAY()),0,IF(OR(INDEX($B225:$D225,AS$5)="F",AND(AS$6&gt;0,$A225&lt;AS$6),AND(AS$7&gt;0,$A225&gt;AS$7)),0,MAX(0,ROUND((INDEX($E225:$G225,AS$5)-SUMIFS(TF_Timer,TF_Tekniker,AS$4,TF_Dato,$A225))*2,0)/2)))</f>
        <v/>
      </c>
      <c r="AT225">
        <f>IF(OR(AT$4="",$A225&gt;TODAY()),0,IF(OR(INDEX($B225:$D225,AT$5)="F",AND(AT$6&gt;0,$A225&lt;AT$6),AND(AT$7&gt;0,$A225&gt;AT$7)),0,MAX(0,ROUND((INDEX($E225:$G225,AT$5)-SUMIFS(TF_Timer,TF_Tekniker,AT$4,TF_Dato,$A225))*2,0)/2)))</f>
        <v/>
      </c>
      <c r="AU225">
        <f>IF(OR(AU$4="",$A225&gt;TODAY()),0,IF(OR(INDEX($B225:$D225,AU$5)="F",AND(AU$6&gt;0,$A225&lt;AU$6),AND(AU$7&gt;0,$A225&gt;AU$7)),0,MAX(0,ROUND((INDEX($E225:$G225,AU$5)-SUMIFS(TF_Timer,TF_Tekniker,AU$4,TF_Dato,$A225))*2,0)/2)))</f>
        <v/>
      </c>
      <c r="AV225">
        <f>IF(OR(AV$4="",$A225&gt;TODAY()),0,IF(OR(INDEX($B225:$D225,AV$5)="F",AND(AV$6&gt;0,$A225&lt;AV$6),AND(AV$7&gt;0,$A225&gt;AV$7)),0,MAX(0,ROUND((INDEX($E225:$G225,AV$5)-SUMIFS(TF_Timer,TF_Tekniker,AV$4,TF_Dato,$A225))*2,0)/2)))</f>
        <v/>
      </c>
      <c r="AW225">
        <f>IF(OR(AW$4="",$A225&gt;TODAY()),0,IF(OR(INDEX($B225:$D225,AW$5)="F",AND(AW$6&gt;0,$A225&lt;AW$6),AND(AW$7&gt;0,$A225&gt;AW$7)),0,MAX(0,ROUND((INDEX($E225:$G225,AW$5)-SUMIFS(TF_Timer,TF_Tekniker,AW$4,TF_Dato,$A225))*2,0)/2)))</f>
        <v/>
      </c>
      <c r="AX225">
        <f>IF(OR(AX$4="",$A225&gt;TODAY()),0,IF(OR(INDEX($B225:$D225,AX$5)="F",AND(AX$6&gt;0,$A225&lt;AX$6),AND(AX$7&gt;0,$A225&gt;AX$7)),0,MAX(0,ROUND((INDEX($E225:$G225,AX$5)-SUMIFS(TF_Timer,TF_Tekniker,AX$4,TF_Dato,$A225))*2,0)/2)))</f>
        <v/>
      </c>
      <c r="AY225">
        <f>IF(OR(AY$4="",$A225&gt;TODAY()),0,IF(OR(INDEX($B225:$D225,AY$5)="F",AND(AY$6&gt;0,$A225&lt;AY$6),AND(AY$7&gt;0,$A225&gt;AY$7)),0,MAX(0,ROUND((INDEX($E225:$G225,AY$5)-SUMIFS(TF_Timer,TF_Tekniker,AY$4,TF_Dato,$A225))*2,0)/2)))</f>
        <v/>
      </c>
      <c r="AZ225">
        <f>IF(OR(AZ$4="",$A225&gt;TODAY()),0,IF(OR(INDEX($B225:$D225,AZ$5)="F",AND(AZ$6&gt;0,$A225&lt;AZ$6),AND(AZ$7&gt;0,$A225&gt;AZ$7)),0,MAX(0,ROUND((INDEX($E225:$G225,AZ$5)-SUMIFS(TF_Timer,TF_Tekniker,AZ$4,TF_Dato,$A225))*2,0)/2)))</f>
        <v/>
      </c>
      <c r="BA225">
        <f>IF(OR(BA$4="",$A225&gt;TODAY()),0,IF(OR(INDEX($B225:$D225,BA$5)="F",AND(BA$6&gt;0,$A225&lt;BA$6),AND(BA$7&gt;0,$A225&gt;BA$7)),0,MAX(0,ROUND((INDEX($E225:$G225,BA$5)-SUMIFS(TF_Timer,TF_Tekniker,BA$4,TF_Dato,$A225))*2,0)/2)))</f>
        <v/>
      </c>
      <c r="BB225">
        <f>IF(OR(BB$4="",$A225&gt;TODAY()),0,IF(OR(INDEX($B225:$D225,BB$5)="F",AND(BB$6&gt;0,$A225&lt;BB$6),AND(BB$7&gt;0,$A225&gt;BB$7)),0,MAX(0,ROUND((INDEX($E225:$G225,BB$5)-SUMIFS(TF_Timer,TF_Tekniker,BB$4,TF_Dato,$A225))*2,0)/2)))</f>
        <v/>
      </c>
      <c r="BC225">
        <f>IF(OR(BC$4="",$A225&gt;TODAY()),0,IF(OR(INDEX($B225:$D225,BC$5)="F",AND(BC$6&gt;0,$A225&lt;BC$6),AND(BC$7&gt;0,$A225&gt;BC$7)),0,MAX(0,ROUND((INDEX($E225:$G225,BC$5)-SUMIFS(TF_Timer,TF_Tekniker,BC$4,TF_Dato,$A225))*2,0)/2)))</f>
        <v/>
      </c>
      <c r="BD225">
        <f>IF(OR(BD$4="",$A225&gt;TODAY()),0,IF(OR(INDEX($B225:$D225,BD$5)="F",AND(BD$6&gt;0,$A225&lt;BD$6),AND(BD$7&gt;0,$A225&gt;BD$7)),0,MAX(0,ROUND((INDEX($E225:$G225,BD$5)-SUMIFS(TF_Timer,TF_Tekniker,BD$4,TF_Dato,$A225))*2,0)/2)))</f>
        <v/>
      </c>
      <c r="BE225">
        <f>IF(OR(BE$4="",$A225&gt;TODAY()),0,IF(OR(INDEX($B225:$D225,BE$5)="F",AND(BE$6&gt;0,$A225&lt;BE$6),AND(BE$7&gt;0,$A225&gt;BE$7)),0,MAX(0,ROUND((INDEX($E225:$G225,BE$5)-SUMIFS(TF_Timer,TF_Tekniker,BE$4,TF_Dato,$A225))*2,0)/2)))</f>
        <v/>
      </c>
      <c r="BF225">
        <f>IF(OR(BF$4="",$A225&gt;TODAY()),0,IF(OR(INDEX($B225:$D225,BF$5)="F",AND(BF$6&gt;0,$A225&lt;BF$6),AND(BF$7&gt;0,$A225&gt;BF$7)),0,MAX(0,ROUND((INDEX($E225:$G225,BF$5)-SUMIFS(TF_Timer,TF_Tekniker,BF$4,TF_Dato,$A225))*2,0)/2)))</f>
        <v/>
      </c>
      <c r="BG225">
        <f>IF(OR(BG$4="",$A225&gt;TODAY()),0,IF(OR(INDEX($B225:$D225,BG$5)="F",AND(BG$6&gt;0,$A225&lt;BG$6),AND(BG$7&gt;0,$A225&gt;BG$7)),0,MAX(0,ROUND((INDEX($E225:$G225,BG$5)-SUMIFS(TF_Timer,TF_Tekniker,BG$4,TF_Dato,$A225))*2,0)/2)))</f>
        <v/>
      </c>
      <c r="BH225">
        <f>IF(OR(BH$4="",$A225&gt;TODAY()),0,IF(OR(INDEX($B225:$D225,BH$5)="F",AND(BH$6&gt;0,$A225&lt;BH$6),AND(BH$7&gt;0,$A225&gt;BH$7)),0,MAX(0,ROUND((INDEX($E225:$G225,BH$5)-SUMIFS(TF_Timer,TF_Tekniker,BH$4,TF_Dato,$A225))*2,0)/2)))</f>
        <v/>
      </c>
      <c r="BI225">
        <f>IF(OR(BI$4="",$A225&gt;TODAY()),0,IF(OR(INDEX($B225:$D225,BI$5)="F",AND(BI$6&gt;0,$A225&lt;BI$6),AND(BI$7&gt;0,$A225&gt;BI$7)),0,MAX(0,ROUND((INDEX($E225:$G225,BI$5)-SUMIFS(TF_Timer,TF_Tekniker,BI$4,TF_Dato,$A225))*2,0)/2)))</f>
        <v/>
      </c>
    </row>
    <row r="226">
      <c r="A226" s="64">
        <f>A225+1</f>
        <v/>
      </c>
      <c r="B226">
        <f>IF(MOD($A226-INDEX(SkiftStart,1),Syklus)&lt;DagK,"K",IF(MOD($A226-INDEX(SkiftStart,1),Syklus)&lt;DagK+DagH,"H",IF(MOD($A226-INDEX(SkiftStart,1),Syklus)&lt;DagK+DagH+DagD,"D","F")))</f>
        <v/>
      </c>
      <c r="C226">
        <f>IF(MOD($A226-INDEX(SkiftStart,2),Syklus)&lt;DagK,"K",IF(MOD($A226-INDEX(SkiftStart,2),Syklus)&lt;DagK+DagH,"H",IF(MOD($A226-INDEX(SkiftStart,2),Syklus)&lt;DagK+DagH+DagD,"D","F")))</f>
        <v/>
      </c>
      <c r="D226">
        <f>IF(MOD($A226-INDEX(SkiftStart,3),Syklus)&lt;DagK,"K",IF(MOD($A226-INDEX(SkiftStart,3),Syklus)&lt;DagK+DagH,"H",IF(MOD($A226-INDEX(SkiftStart,3),Syklus)&lt;DagK+DagH+DagD,"D","F")))</f>
        <v/>
      </c>
      <c r="E226">
        <f>IF(B226="F",0,IF(WEEKDAY($A226,2)=5,INDEX(TimerFr,MATCH(B226,FaseKode,0)),INDEX(TimerMT,MATCH(B226,FaseKode,0))))</f>
        <v/>
      </c>
      <c r="F226">
        <f>IF(C226="F",0,IF(WEEKDAY($A226,2)=5,INDEX(TimerFr,MATCH(C226,FaseKode,0)),INDEX(TimerMT,MATCH(C226,FaseKode,0))))</f>
        <v/>
      </c>
      <c r="G226">
        <f>IF(D226="F",0,IF(WEEKDAY($A226,2)=5,INDEX(TimerFr,MATCH(D226,FaseKode,0)),INDEX(TimerMT,MATCH(D226,FaseKode,0))))</f>
        <v/>
      </c>
      <c r="H226">
        <f>IF(OR(H$4="",$A226&gt;TODAY()),0,IF(OR(INDEX($B226:$D226,H$5)="F",AND(H$6&gt;0,$A226&lt;H$6),AND(H$7&gt;0,$A226&gt;H$7)),0,MAX(0,ROUND((INDEX($E226:$G226,H$5)-SUMIFS(TF_Timer,TF_Tekniker,H$4,TF_Dato,$A226))*2,0)/2)))</f>
        <v/>
      </c>
      <c r="I226">
        <f>IF(OR(I$4="",$A226&gt;TODAY()),0,IF(OR(INDEX($B226:$D226,I$5)="F",AND(I$6&gt;0,$A226&lt;I$6),AND(I$7&gt;0,$A226&gt;I$7)),0,MAX(0,ROUND((INDEX($E226:$G226,I$5)-SUMIFS(TF_Timer,TF_Tekniker,I$4,TF_Dato,$A226))*2,0)/2)))</f>
        <v/>
      </c>
      <c r="J226">
        <f>IF(OR(J$4="",$A226&gt;TODAY()),0,IF(OR(INDEX($B226:$D226,J$5)="F",AND(J$6&gt;0,$A226&lt;J$6),AND(J$7&gt;0,$A226&gt;J$7)),0,MAX(0,ROUND((INDEX($E226:$G226,J$5)-SUMIFS(TF_Timer,TF_Tekniker,J$4,TF_Dato,$A226))*2,0)/2)))</f>
        <v/>
      </c>
      <c r="K226">
        <f>IF(OR(K$4="",$A226&gt;TODAY()),0,IF(OR(INDEX($B226:$D226,K$5)="F",AND(K$6&gt;0,$A226&lt;K$6),AND(K$7&gt;0,$A226&gt;K$7)),0,MAX(0,ROUND((INDEX($E226:$G226,K$5)-SUMIFS(TF_Timer,TF_Tekniker,K$4,TF_Dato,$A226))*2,0)/2)))</f>
        <v/>
      </c>
      <c r="L226">
        <f>IF(OR(L$4="",$A226&gt;TODAY()),0,IF(OR(INDEX($B226:$D226,L$5)="F",AND(L$6&gt;0,$A226&lt;L$6),AND(L$7&gt;0,$A226&gt;L$7)),0,MAX(0,ROUND((INDEX($E226:$G226,L$5)-SUMIFS(TF_Timer,TF_Tekniker,L$4,TF_Dato,$A226))*2,0)/2)))</f>
        <v/>
      </c>
      <c r="M226">
        <f>IF(OR(M$4="",$A226&gt;TODAY()),0,IF(OR(INDEX($B226:$D226,M$5)="F",AND(M$6&gt;0,$A226&lt;M$6),AND(M$7&gt;0,$A226&gt;M$7)),0,MAX(0,ROUND((INDEX($E226:$G226,M$5)-SUMIFS(TF_Timer,TF_Tekniker,M$4,TF_Dato,$A226))*2,0)/2)))</f>
        <v/>
      </c>
      <c r="N226">
        <f>IF(OR(N$4="",$A226&gt;TODAY()),0,IF(OR(INDEX($B226:$D226,N$5)="F",AND(N$6&gt;0,$A226&lt;N$6),AND(N$7&gt;0,$A226&gt;N$7)),0,MAX(0,ROUND((INDEX($E226:$G226,N$5)-SUMIFS(TF_Timer,TF_Tekniker,N$4,TF_Dato,$A226))*2,0)/2)))</f>
        <v/>
      </c>
      <c r="O226">
        <f>IF(OR(O$4="",$A226&gt;TODAY()),0,IF(OR(INDEX($B226:$D226,O$5)="F",AND(O$6&gt;0,$A226&lt;O$6),AND(O$7&gt;0,$A226&gt;O$7)),0,MAX(0,ROUND((INDEX($E226:$G226,O$5)-SUMIFS(TF_Timer,TF_Tekniker,O$4,TF_Dato,$A226))*2,0)/2)))</f>
        <v/>
      </c>
      <c r="P226">
        <f>IF(OR(P$4="",$A226&gt;TODAY()),0,IF(OR(INDEX($B226:$D226,P$5)="F",AND(P$6&gt;0,$A226&lt;P$6),AND(P$7&gt;0,$A226&gt;P$7)),0,MAX(0,ROUND((INDEX($E226:$G226,P$5)-SUMIFS(TF_Timer,TF_Tekniker,P$4,TF_Dato,$A226))*2,0)/2)))</f>
        <v/>
      </c>
      <c r="Q226">
        <f>IF(OR(Q$4="",$A226&gt;TODAY()),0,IF(OR(INDEX($B226:$D226,Q$5)="F",AND(Q$6&gt;0,$A226&lt;Q$6),AND(Q$7&gt;0,$A226&gt;Q$7)),0,MAX(0,ROUND((INDEX($E226:$G226,Q$5)-SUMIFS(TF_Timer,TF_Tekniker,Q$4,TF_Dato,$A226))*2,0)/2)))</f>
        <v/>
      </c>
      <c r="R226">
        <f>IF(OR(R$4="",$A226&gt;TODAY()),0,IF(OR(INDEX($B226:$D226,R$5)="F",AND(R$6&gt;0,$A226&lt;R$6),AND(R$7&gt;0,$A226&gt;R$7)),0,MAX(0,ROUND((INDEX($E226:$G226,R$5)-SUMIFS(TF_Timer,TF_Tekniker,R$4,TF_Dato,$A226))*2,0)/2)))</f>
        <v/>
      </c>
      <c r="S226">
        <f>IF(OR(S$4="",$A226&gt;TODAY()),0,IF(OR(INDEX($B226:$D226,S$5)="F",AND(S$6&gt;0,$A226&lt;S$6),AND(S$7&gt;0,$A226&gt;S$7)),0,MAX(0,ROUND((INDEX($E226:$G226,S$5)-SUMIFS(TF_Timer,TF_Tekniker,S$4,TF_Dato,$A226))*2,0)/2)))</f>
        <v/>
      </c>
      <c r="T226">
        <f>IF(OR(T$4="",$A226&gt;TODAY()),0,IF(OR(INDEX($B226:$D226,T$5)="F",AND(T$6&gt;0,$A226&lt;T$6),AND(T$7&gt;0,$A226&gt;T$7)),0,MAX(0,ROUND((INDEX($E226:$G226,T$5)-SUMIFS(TF_Timer,TF_Tekniker,T$4,TF_Dato,$A226))*2,0)/2)))</f>
        <v/>
      </c>
      <c r="U226">
        <f>IF(OR(U$4="",$A226&gt;TODAY()),0,IF(OR(INDEX($B226:$D226,U$5)="F",AND(U$6&gt;0,$A226&lt;U$6),AND(U$7&gt;0,$A226&gt;U$7)),0,MAX(0,ROUND((INDEX($E226:$G226,U$5)-SUMIFS(TF_Timer,TF_Tekniker,U$4,TF_Dato,$A226))*2,0)/2)))</f>
        <v/>
      </c>
      <c r="V226">
        <f>IF(OR(V$4="",$A226&gt;TODAY()),0,IF(OR(INDEX($B226:$D226,V$5)="F",AND(V$6&gt;0,$A226&lt;V$6),AND(V$7&gt;0,$A226&gt;V$7)),0,MAX(0,ROUND((INDEX($E226:$G226,V$5)-SUMIFS(TF_Timer,TF_Tekniker,V$4,TF_Dato,$A226))*2,0)/2)))</f>
        <v/>
      </c>
      <c r="W226">
        <f>IF(OR(W$4="",$A226&gt;TODAY()),0,IF(OR(INDEX($B226:$D226,W$5)="F",AND(W$6&gt;0,$A226&lt;W$6),AND(W$7&gt;0,$A226&gt;W$7)),0,MAX(0,ROUND((INDEX($E226:$G226,W$5)-SUMIFS(TF_Timer,TF_Tekniker,W$4,TF_Dato,$A226))*2,0)/2)))</f>
        <v/>
      </c>
      <c r="X226">
        <f>IF(OR(X$4="",$A226&gt;TODAY()),0,IF(OR(INDEX($B226:$D226,X$5)="F",AND(X$6&gt;0,$A226&lt;X$6),AND(X$7&gt;0,$A226&gt;X$7)),0,MAX(0,ROUND((INDEX($E226:$G226,X$5)-SUMIFS(TF_Timer,TF_Tekniker,X$4,TF_Dato,$A226))*2,0)/2)))</f>
        <v/>
      </c>
      <c r="Y226">
        <f>IF(OR(Y$4="",$A226&gt;TODAY()),0,IF(OR(INDEX($B226:$D226,Y$5)="F",AND(Y$6&gt;0,$A226&lt;Y$6),AND(Y$7&gt;0,$A226&gt;Y$7)),0,MAX(0,ROUND((INDEX($E226:$G226,Y$5)-SUMIFS(TF_Timer,TF_Tekniker,Y$4,TF_Dato,$A226))*2,0)/2)))</f>
        <v/>
      </c>
      <c r="Z226">
        <f>IF(OR(Z$4="",$A226&gt;TODAY()),0,IF(OR(INDEX($B226:$D226,Z$5)="F",AND(Z$6&gt;0,$A226&lt;Z$6),AND(Z$7&gt;0,$A226&gt;Z$7)),0,MAX(0,ROUND((INDEX($E226:$G226,Z$5)-SUMIFS(TF_Timer,TF_Tekniker,Z$4,TF_Dato,$A226))*2,0)/2)))</f>
        <v/>
      </c>
      <c r="AA226">
        <f>IF(OR(AA$4="",$A226&gt;TODAY()),0,IF(OR(INDEX($B226:$D226,AA$5)="F",AND(AA$6&gt;0,$A226&lt;AA$6),AND(AA$7&gt;0,$A226&gt;AA$7)),0,MAX(0,ROUND((INDEX($E226:$G226,AA$5)-SUMIFS(TF_Timer,TF_Tekniker,AA$4,TF_Dato,$A226))*2,0)/2)))</f>
        <v/>
      </c>
      <c r="AB226">
        <f>IF(OR(AB$4="",$A226&gt;TODAY()),0,IF(OR(INDEX($B226:$D226,AB$5)="F",AND(AB$6&gt;0,$A226&lt;AB$6),AND(AB$7&gt;0,$A226&gt;AB$7)),0,MAX(0,ROUND((INDEX($E226:$G226,AB$5)-SUMIFS(TF_Timer,TF_Tekniker,AB$4,TF_Dato,$A226))*2,0)/2)))</f>
        <v/>
      </c>
      <c r="AC226">
        <f>IF(OR(AC$4="",$A226&gt;TODAY()),0,IF(OR(INDEX($B226:$D226,AC$5)="F",AND(AC$6&gt;0,$A226&lt;AC$6),AND(AC$7&gt;0,$A226&gt;AC$7)),0,MAX(0,ROUND((INDEX($E226:$G226,AC$5)-SUMIFS(TF_Timer,TF_Tekniker,AC$4,TF_Dato,$A226))*2,0)/2)))</f>
        <v/>
      </c>
      <c r="AD226">
        <f>IF(OR(AD$4="",$A226&gt;TODAY()),0,IF(OR(INDEX($B226:$D226,AD$5)="F",AND(AD$6&gt;0,$A226&lt;AD$6),AND(AD$7&gt;0,$A226&gt;AD$7)),0,MAX(0,ROUND((INDEX($E226:$G226,AD$5)-SUMIFS(TF_Timer,TF_Tekniker,AD$4,TF_Dato,$A226))*2,0)/2)))</f>
        <v/>
      </c>
      <c r="AE226">
        <f>IF(OR(AE$4="",$A226&gt;TODAY()),0,IF(OR(INDEX($B226:$D226,AE$5)="F",AND(AE$6&gt;0,$A226&lt;AE$6),AND(AE$7&gt;0,$A226&gt;AE$7)),0,MAX(0,ROUND((INDEX($E226:$G226,AE$5)-SUMIFS(TF_Timer,TF_Tekniker,AE$4,TF_Dato,$A226))*2,0)/2)))</f>
        <v/>
      </c>
      <c r="AF226">
        <f>IF(OR(AF$4="",$A226&gt;TODAY()),0,IF(OR(INDEX($B226:$D226,AF$5)="F",AND(AF$6&gt;0,$A226&lt;AF$6),AND(AF$7&gt;0,$A226&gt;AF$7)),0,MAX(0,ROUND((INDEX($E226:$G226,AF$5)-SUMIFS(TF_Timer,TF_Tekniker,AF$4,TF_Dato,$A226))*2,0)/2)))</f>
        <v/>
      </c>
      <c r="AG226">
        <f>IF(OR(AG$4="",$A226&gt;TODAY()),0,IF(OR(INDEX($B226:$D226,AG$5)="F",AND(AG$6&gt;0,$A226&lt;AG$6),AND(AG$7&gt;0,$A226&gt;AG$7)),0,MAX(0,ROUND((INDEX($E226:$G226,AG$5)-SUMIFS(TF_Timer,TF_Tekniker,AG$4,TF_Dato,$A226))*2,0)/2)))</f>
        <v/>
      </c>
      <c r="AH226">
        <f>IF(OR(AH$4="",$A226&gt;TODAY()),0,IF(OR(INDEX($B226:$D226,AH$5)="F",AND(AH$6&gt;0,$A226&lt;AH$6),AND(AH$7&gt;0,$A226&gt;AH$7)),0,MAX(0,ROUND((INDEX($E226:$G226,AH$5)-SUMIFS(TF_Timer,TF_Tekniker,AH$4,TF_Dato,$A226))*2,0)/2)))</f>
        <v/>
      </c>
      <c r="AI226">
        <f>IF(OR(AI$4="",$A226&gt;TODAY()),0,IF(OR(INDEX($B226:$D226,AI$5)="F",AND(AI$6&gt;0,$A226&lt;AI$6),AND(AI$7&gt;0,$A226&gt;AI$7)),0,MAX(0,ROUND((INDEX($E226:$G226,AI$5)-SUMIFS(TF_Timer,TF_Tekniker,AI$4,TF_Dato,$A226))*2,0)/2)))</f>
        <v/>
      </c>
      <c r="AJ226">
        <f>IF(OR(AJ$4="",$A226&gt;TODAY()),0,IF(OR(INDEX($B226:$D226,AJ$5)="F",AND(AJ$6&gt;0,$A226&lt;AJ$6),AND(AJ$7&gt;0,$A226&gt;AJ$7)),0,MAX(0,ROUND((INDEX($E226:$G226,AJ$5)-SUMIFS(TF_Timer,TF_Tekniker,AJ$4,TF_Dato,$A226))*2,0)/2)))</f>
        <v/>
      </c>
      <c r="AK226">
        <f>IF(OR(AK$4="",$A226&gt;TODAY()),0,IF(OR(INDEX($B226:$D226,AK$5)="F",AND(AK$6&gt;0,$A226&lt;AK$6),AND(AK$7&gt;0,$A226&gt;AK$7)),0,MAX(0,ROUND((INDEX($E226:$G226,AK$5)-SUMIFS(TF_Timer,TF_Tekniker,AK$4,TF_Dato,$A226))*2,0)/2)))</f>
        <v/>
      </c>
      <c r="AL226">
        <f>IF(OR(AL$4="",$A226&gt;TODAY()),0,IF(OR(INDEX($B226:$D226,AL$5)="F",AND(AL$6&gt;0,$A226&lt;AL$6),AND(AL$7&gt;0,$A226&gt;AL$7)),0,MAX(0,ROUND((INDEX($E226:$G226,AL$5)-SUMIFS(TF_Timer,TF_Tekniker,AL$4,TF_Dato,$A226))*2,0)/2)))</f>
        <v/>
      </c>
      <c r="AM226">
        <f>IF(OR(AM$4="",$A226&gt;TODAY()),0,IF(OR(INDEX($B226:$D226,AM$5)="F",AND(AM$6&gt;0,$A226&lt;AM$6),AND(AM$7&gt;0,$A226&gt;AM$7)),0,MAX(0,ROUND((INDEX($E226:$G226,AM$5)-SUMIFS(TF_Timer,TF_Tekniker,AM$4,TF_Dato,$A226))*2,0)/2)))</f>
        <v/>
      </c>
      <c r="AN226">
        <f>IF(OR(AN$4="",$A226&gt;TODAY()),0,IF(OR(INDEX($B226:$D226,AN$5)="F",AND(AN$6&gt;0,$A226&lt;AN$6),AND(AN$7&gt;0,$A226&gt;AN$7)),0,MAX(0,ROUND((INDEX($E226:$G226,AN$5)-SUMIFS(TF_Timer,TF_Tekniker,AN$4,TF_Dato,$A226))*2,0)/2)))</f>
        <v/>
      </c>
      <c r="AO226">
        <f>IF(OR(AO$4="",$A226&gt;TODAY()),0,IF(OR(INDEX($B226:$D226,AO$5)="F",AND(AO$6&gt;0,$A226&lt;AO$6),AND(AO$7&gt;0,$A226&gt;AO$7)),0,MAX(0,ROUND((INDEX($E226:$G226,AO$5)-SUMIFS(TF_Timer,TF_Tekniker,AO$4,TF_Dato,$A226))*2,0)/2)))</f>
        <v/>
      </c>
      <c r="AP226">
        <f>IF(OR(AP$4="",$A226&gt;TODAY()),0,IF(OR(INDEX($B226:$D226,AP$5)="F",AND(AP$6&gt;0,$A226&lt;AP$6),AND(AP$7&gt;0,$A226&gt;AP$7)),0,MAX(0,ROUND((INDEX($E226:$G226,AP$5)-SUMIFS(TF_Timer,TF_Tekniker,AP$4,TF_Dato,$A226))*2,0)/2)))</f>
        <v/>
      </c>
      <c r="AQ226">
        <f>IF(OR(AQ$4="",$A226&gt;TODAY()),0,IF(OR(INDEX($B226:$D226,AQ$5)="F",AND(AQ$6&gt;0,$A226&lt;AQ$6),AND(AQ$7&gt;0,$A226&gt;AQ$7)),0,MAX(0,ROUND((INDEX($E226:$G226,AQ$5)-SUMIFS(TF_Timer,TF_Tekniker,AQ$4,TF_Dato,$A226))*2,0)/2)))</f>
        <v/>
      </c>
      <c r="AR226">
        <f>IF(OR(AR$4="",$A226&gt;TODAY()),0,IF(OR(INDEX($B226:$D226,AR$5)="F",AND(AR$6&gt;0,$A226&lt;AR$6),AND(AR$7&gt;0,$A226&gt;AR$7)),0,MAX(0,ROUND((INDEX($E226:$G226,AR$5)-SUMIFS(TF_Timer,TF_Tekniker,AR$4,TF_Dato,$A226))*2,0)/2)))</f>
        <v/>
      </c>
      <c r="AS226">
        <f>IF(OR(AS$4="",$A226&gt;TODAY()),0,IF(OR(INDEX($B226:$D226,AS$5)="F",AND(AS$6&gt;0,$A226&lt;AS$6),AND(AS$7&gt;0,$A226&gt;AS$7)),0,MAX(0,ROUND((INDEX($E226:$G226,AS$5)-SUMIFS(TF_Timer,TF_Tekniker,AS$4,TF_Dato,$A226))*2,0)/2)))</f>
        <v/>
      </c>
      <c r="AT226">
        <f>IF(OR(AT$4="",$A226&gt;TODAY()),0,IF(OR(INDEX($B226:$D226,AT$5)="F",AND(AT$6&gt;0,$A226&lt;AT$6),AND(AT$7&gt;0,$A226&gt;AT$7)),0,MAX(0,ROUND((INDEX($E226:$G226,AT$5)-SUMIFS(TF_Timer,TF_Tekniker,AT$4,TF_Dato,$A226))*2,0)/2)))</f>
        <v/>
      </c>
      <c r="AU226">
        <f>IF(OR(AU$4="",$A226&gt;TODAY()),0,IF(OR(INDEX($B226:$D226,AU$5)="F",AND(AU$6&gt;0,$A226&lt;AU$6),AND(AU$7&gt;0,$A226&gt;AU$7)),0,MAX(0,ROUND((INDEX($E226:$G226,AU$5)-SUMIFS(TF_Timer,TF_Tekniker,AU$4,TF_Dato,$A226))*2,0)/2)))</f>
        <v/>
      </c>
      <c r="AV226">
        <f>IF(OR(AV$4="",$A226&gt;TODAY()),0,IF(OR(INDEX($B226:$D226,AV$5)="F",AND(AV$6&gt;0,$A226&lt;AV$6),AND(AV$7&gt;0,$A226&gt;AV$7)),0,MAX(0,ROUND((INDEX($E226:$G226,AV$5)-SUMIFS(TF_Timer,TF_Tekniker,AV$4,TF_Dato,$A226))*2,0)/2)))</f>
        <v/>
      </c>
      <c r="AW226">
        <f>IF(OR(AW$4="",$A226&gt;TODAY()),0,IF(OR(INDEX($B226:$D226,AW$5)="F",AND(AW$6&gt;0,$A226&lt;AW$6),AND(AW$7&gt;0,$A226&gt;AW$7)),0,MAX(0,ROUND((INDEX($E226:$G226,AW$5)-SUMIFS(TF_Timer,TF_Tekniker,AW$4,TF_Dato,$A226))*2,0)/2)))</f>
        <v/>
      </c>
      <c r="AX226">
        <f>IF(OR(AX$4="",$A226&gt;TODAY()),0,IF(OR(INDEX($B226:$D226,AX$5)="F",AND(AX$6&gt;0,$A226&lt;AX$6),AND(AX$7&gt;0,$A226&gt;AX$7)),0,MAX(0,ROUND((INDEX($E226:$G226,AX$5)-SUMIFS(TF_Timer,TF_Tekniker,AX$4,TF_Dato,$A226))*2,0)/2)))</f>
        <v/>
      </c>
      <c r="AY226">
        <f>IF(OR(AY$4="",$A226&gt;TODAY()),0,IF(OR(INDEX($B226:$D226,AY$5)="F",AND(AY$6&gt;0,$A226&lt;AY$6),AND(AY$7&gt;0,$A226&gt;AY$7)),0,MAX(0,ROUND((INDEX($E226:$G226,AY$5)-SUMIFS(TF_Timer,TF_Tekniker,AY$4,TF_Dato,$A226))*2,0)/2)))</f>
        <v/>
      </c>
      <c r="AZ226">
        <f>IF(OR(AZ$4="",$A226&gt;TODAY()),0,IF(OR(INDEX($B226:$D226,AZ$5)="F",AND(AZ$6&gt;0,$A226&lt;AZ$6),AND(AZ$7&gt;0,$A226&gt;AZ$7)),0,MAX(0,ROUND((INDEX($E226:$G226,AZ$5)-SUMIFS(TF_Timer,TF_Tekniker,AZ$4,TF_Dato,$A226))*2,0)/2)))</f>
        <v/>
      </c>
      <c r="BA226">
        <f>IF(OR(BA$4="",$A226&gt;TODAY()),0,IF(OR(INDEX($B226:$D226,BA$5)="F",AND(BA$6&gt;0,$A226&lt;BA$6),AND(BA$7&gt;0,$A226&gt;BA$7)),0,MAX(0,ROUND((INDEX($E226:$G226,BA$5)-SUMIFS(TF_Timer,TF_Tekniker,BA$4,TF_Dato,$A226))*2,0)/2)))</f>
        <v/>
      </c>
      <c r="BB226">
        <f>IF(OR(BB$4="",$A226&gt;TODAY()),0,IF(OR(INDEX($B226:$D226,BB$5)="F",AND(BB$6&gt;0,$A226&lt;BB$6),AND(BB$7&gt;0,$A226&gt;BB$7)),0,MAX(0,ROUND((INDEX($E226:$G226,BB$5)-SUMIFS(TF_Timer,TF_Tekniker,BB$4,TF_Dato,$A226))*2,0)/2)))</f>
        <v/>
      </c>
      <c r="BC226">
        <f>IF(OR(BC$4="",$A226&gt;TODAY()),0,IF(OR(INDEX($B226:$D226,BC$5)="F",AND(BC$6&gt;0,$A226&lt;BC$6),AND(BC$7&gt;0,$A226&gt;BC$7)),0,MAX(0,ROUND((INDEX($E226:$G226,BC$5)-SUMIFS(TF_Timer,TF_Tekniker,BC$4,TF_Dato,$A226))*2,0)/2)))</f>
        <v/>
      </c>
      <c r="BD226">
        <f>IF(OR(BD$4="",$A226&gt;TODAY()),0,IF(OR(INDEX($B226:$D226,BD$5)="F",AND(BD$6&gt;0,$A226&lt;BD$6),AND(BD$7&gt;0,$A226&gt;BD$7)),0,MAX(0,ROUND((INDEX($E226:$G226,BD$5)-SUMIFS(TF_Timer,TF_Tekniker,BD$4,TF_Dato,$A226))*2,0)/2)))</f>
        <v/>
      </c>
      <c r="BE226">
        <f>IF(OR(BE$4="",$A226&gt;TODAY()),0,IF(OR(INDEX($B226:$D226,BE$5)="F",AND(BE$6&gt;0,$A226&lt;BE$6),AND(BE$7&gt;0,$A226&gt;BE$7)),0,MAX(0,ROUND((INDEX($E226:$G226,BE$5)-SUMIFS(TF_Timer,TF_Tekniker,BE$4,TF_Dato,$A226))*2,0)/2)))</f>
        <v/>
      </c>
      <c r="BF226">
        <f>IF(OR(BF$4="",$A226&gt;TODAY()),0,IF(OR(INDEX($B226:$D226,BF$5)="F",AND(BF$6&gt;0,$A226&lt;BF$6),AND(BF$7&gt;0,$A226&gt;BF$7)),0,MAX(0,ROUND((INDEX($E226:$G226,BF$5)-SUMIFS(TF_Timer,TF_Tekniker,BF$4,TF_Dato,$A226))*2,0)/2)))</f>
        <v/>
      </c>
      <c r="BG226">
        <f>IF(OR(BG$4="",$A226&gt;TODAY()),0,IF(OR(INDEX($B226:$D226,BG$5)="F",AND(BG$6&gt;0,$A226&lt;BG$6),AND(BG$7&gt;0,$A226&gt;BG$7)),0,MAX(0,ROUND((INDEX($E226:$G226,BG$5)-SUMIFS(TF_Timer,TF_Tekniker,BG$4,TF_Dato,$A226))*2,0)/2)))</f>
        <v/>
      </c>
      <c r="BH226">
        <f>IF(OR(BH$4="",$A226&gt;TODAY()),0,IF(OR(INDEX($B226:$D226,BH$5)="F",AND(BH$6&gt;0,$A226&lt;BH$6),AND(BH$7&gt;0,$A226&gt;BH$7)),0,MAX(0,ROUND((INDEX($E226:$G226,BH$5)-SUMIFS(TF_Timer,TF_Tekniker,BH$4,TF_Dato,$A226))*2,0)/2)))</f>
        <v/>
      </c>
      <c r="BI226">
        <f>IF(OR(BI$4="",$A226&gt;TODAY()),0,IF(OR(INDEX($B226:$D226,BI$5)="F",AND(BI$6&gt;0,$A226&lt;BI$6),AND(BI$7&gt;0,$A226&gt;BI$7)),0,MAX(0,ROUND((INDEX($E226:$G226,BI$5)-SUMIFS(TF_Timer,TF_Tekniker,BI$4,TF_Dato,$A226))*2,0)/2)))</f>
        <v/>
      </c>
    </row>
    <row r="227">
      <c r="A227" s="64">
        <f>A226+1</f>
        <v/>
      </c>
      <c r="B227">
        <f>IF(MOD($A227-INDEX(SkiftStart,1),Syklus)&lt;DagK,"K",IF(MOD($A227-INDEX(SkiftStart,1),Syklus)&lt;DagK+DagH,"H",IF(MOD($A227-INDEX(SkiftStart,1),Syklus)&lt;DagK+DagH+DagD,"D","F")))</f>
        <v/>
      </c>
      <c r="C227">
        <f>IF(MOD($A227-INDEX(SkiftStart,2),Syklus)&lt;DagK,"K",IF(MOD($A227-INDEX(SkiftStart,2),Syklus)&lt;DagK+DagH,"H",IF(MOD($A227-INDEX(SkiftStart,2),Syklus)&lt;DagK+DagH+DagD,"D","F")))</f>
        <v/>
      </c>
      <c r="D227">
        <f>IF(MOD($A227-INDEX(SkiftStart,3),Syklus)&lt;DagK,"K",IF(MOD($A227-INDEX(SkiftStart,3),Syklus)&lt;DagK+DagH,"H",IF(MOD($A227-INDEX(SkiftStart,3),Syklus)&lt;DagK+DagH+DagD,"D","F")))</f>
        <v/>
      </c>
      <c r="E227">
        <f>IF(B227="F",0,IF(WEEKDAY($A227,2)=5,INDEX(TimerFr,MATCH(B227,FaseKode,0)),INDEX(TimerMT,MATCH(B227,FaseKode,0))))</f>
        <v/>
      </c>
      <c r="F227">
        <f>IF(C227="F",0,IF(WEEKDAY($A227,2)=5,INDEX(TimerFr,MATCH(C227,FaseKode,0)),INDEX(TimerMT,MATCH(C227,FaseKode,0))))</f>
        <v/>
      </c>
      <c r="G227">
        <f>IF(D227="F",0,IF(WEEKDAY($A227,2)=5,INDEX(TimerFr,MATCH(D227,FaseKode,0)),INDEX(TimerMT,MATCH(D227,FaseKode,0))))</f>
        <v/>
      </c>
      <c r="H227">
        <f>IF(OR(H$4="",$A227&gt;TODAY()),0,IF(OR(INDEX($B227:$D227,H$5)="F",AND(H$6&gt;0,$A227&lt;H$6),AND(H$7&gt;0,$A227&gt;H$7)),0,MAX(0,ROUND((INDEX($E227:$G227,H$5)-SUMIFS(TF_Timer,TF_Tekniker,H$4,TF_Dato,$A227))*2,0)/2)))</f>
        <v/>
      </c>
      <c r="I227">
        <f>IF(OR(I$4="",$A227&gt;TODAY()),0,IF(OR(INDEX($B227:$D227,I$5)="F",AND(I$6&gt;0,$A227&lt;I$6),AND(I$7&gt;0,$A227&gt;I$7)),0,MAX(0,ROUND((INDEX($E227:$G227,I$5)-SUMIFS(TF_Timer,TF_Tekniker,I$4,TF_Dato,$A227))*2,0)/2)))</f>
        <v/>
      </c>
      <c r="J227">
        <f>IF(OR(J$4="",$A227&gt;TODAY()),0,IF(OR(INDEX($B227:$D227,J$5)="F",AND(J$6&gt;0,$A227&lt;J$6),AND(J$7&gt;0,$A227&gt;J$7)),0,MAX(0,ROUND((INDEX($E227:$G227,J$5)-SUMIFS(TF_Timer,TF_Tekniker,J$4,TF_Dato,$A227))*2,0)/2)))</f>
        <v/>
      </c>
      <c r="K227">
        <f>IF(OR(K$4="",$A227&gt;TODAY()),0,IF(OR(INDEX($B227:$D227,K$5)="F",AND(K$6&gt;0,$A227&lt;K$6),AND(K$7&gt;0,$A227&gt;K$7)),0,MAX(0,ROUND((INDEX($E227:$G227,K$5)-SUMIFS(TF_Timer,TF_Tekniker,K$4,TF_Dato,$A227))*2,0)/2)))</f>
        <v/>
      </c>
      <c r="L227">
        <f>IF(OR(L$4="",$A227&gt;TODAY()),0,IF(OR(INDEX($B227:$D227,L$5)="F",AND(L$6&gt;0,$A227&lt;L$6),AND(L$7&gt;0,$A227&gt;L$7)),0,MAX(0,ROUND((INDEX($E227:$G227,L$5)-SUMIFS(TF_Timer,TF_Tekniker,L$4,TF_Dato,$A227))*2,0)/2)))</f>
        <v/>
      </c>
      <c r="M227">
        <f>IF(OR(M$4="",$A227&gt;TODAY()),0,IF(OR(INDEX($B227:$D227,M$5)="F",AND(M$6&gt;0,$A227&lt;M$6),AND(M$7&gt;0,$A227&gt;M$7)),0,MAX(0,ROUND((INDEX($E227:$G227,M$5)-SUMIFS(TF_Timer,TF_Tekniker,M$4,TF_Dato,$A227))*2,0)/2)))</f>
        <v/>
      </c>
      <c r="N227">
        <f>IF(OR(N$4="",$A227&gt;TODAY()),0,IF(OR(INDEX($B227:$D227,N$5)="F",AND(N$6&gt;0,$A227&lt;N$6),AND(N$7&gt;0,$A227&gt;N$7)),0,MAX(0,ROUND((INDEX($E227:$G227,N$5)-SUMIFS(TF_Timer,TF_Tekniker,N$4,TF_Dato,$A227))*2,0)/2)))</f>
        <v/>
      </c>
      <c r="O227">
        <f>IF(OR(O$4="",$A227&gt;TODAY()),0,IF(OR(INDEX($B227:$D227,O$5)="F",AND(O$6&gt;0,$A227&lt;O$6),AND(O$7&gt;0,$A227&gt;O$7)),0,MAX(0,ROUND((INDEX($E227:$G227,O$5)-SUMIFS(TF_Timer,TF_Tekniker,O$4,TF_Dato,$A227))*2,0)/2)))</f>
        <v/>
      </c>
      <c r="P227">
        <f>IF(OR(P$4="",$A227&gt;TODAY()),0,IF(OR(INDEX($B227:$D227,P$5)="F",AND(P$6&gt;0,$A227&lt;P$6),AND(P$7&gt;0,$A227&gt;P$7)),0,MAX(0,ROUND((INDEX($E227:$G227,P$5)-SUMIFS(TF_Timer,TF_Tekniker,P$4,TF_Dato,$A227))*2,0)/2)))</f>
        <v/>
      </c>
      <c r="Q227">
        <f>IF(OR(Q$4="",$A227&gt;TODAY()),0,IF(OR(INDEX($B227:$D227,Q$5)="F",AND(Q$6&gt;0,$A227&lt;Q$6),AND(Q$7&gt;0,$A227&gt;Q$7)),0,MAX(0,ROUND((INDEX($E227:$G227,Q$5)-SUMIFS(TF_Timer,TF_Tekniker,Q$4,TF_Dato,$A227))*2,0)/2)))</f>
        <v/>
      </c>
      <c r="R227">
        <f>IF(OR(R$4="",$A227&gt;TODAY()),0,IF(OR(INDEX($B227:$D227,R$5)="F",AND(R$6&gt;0,$A227&lt;R$6),AND(R$7&gt;0,$A227&gt;R$7)),0,MAX(0,ROUND((INDEX($E227:$G227,R$5)-SUMIFS(TF_Timer,TF_Tekniker,R$4,TF_Dato,$A227))*2,0)/2)))</f>
        <v/>
      </c>
      <c r="S227">
        <f>IF(OR(S$4="",$A227&gt;TODAY()),0,IF(OR(INDEX($B227:$D227,S$5)="F",AND(S$6&gt;0,$A227&lt;S$6),AND(S$7&gt;0,$A227&gt;S$7)),0,MAX(0,ROUND((INDEX($E227:$G227,S$5)-SUMIFS(TF_Timer,TF_Tekniker,S$4,TF_Dato,$A227))*2,0)/2)))</f>
        <v/>
      </c>
      <c r="T227">
        <f>IF(OR(T$4="",$A227&gt;TODAY()),0,IF(OR(INDEX($B227:$D227,T$5)="F",AND(T$6&gt;0,$A227&lt;T$6),AND(T$7&gt;0,$A227&gt;T$7)),0,MAX(0,ROUND((INDEX($E227:$G227,T$5)-SUMIFS(TF_Timer,TF_Tekniker,T$4,TF_Dato,$A227))*2,0)/2)))</f>
        <v/>
      </c>
      <c r="U227">
        <f>IF(OR(U$4="",$A227&gt;TODAY()),0,IF(OR(INDEX($B227:$D227,U$5)="F",AND(U$6&gt;0,$A227&lt;U$6),AND(U$7&gt;0,$A227&gt;U$7)),0,MAX(0,ROUND((INDEX($E227:$G227,U$5)-SUMIFS(TF_Timer,TF_Tekniker,U$4,TF_Dato,$A227))*2,0)/2)))</f>
        <v/>
      </c>
      <c r="V227">
        <f>IF(OR(V$4="",$A227&gt;TODAY()),0,IF(OR(INDEX($B227:$D227,V$5)="F",AND(V$6&gt;0,$A227&lt;V$6),AND(V$7&gt;0,$A227&gt;V$7)),0,MAX(0,ROUND((INDEX($E227:$G227,V$5)-SUMIFS(TF_Timer,TF_Tekniker,V$4,TF_Dato,$A227))*2,0)/2)))</f>
        <v/>
      </c>
      <c r="W227">
        <f>IF(OR(W$4="",$A227&gt;TODAY()),0,IF(OR(INDEX($B227:$D227,W$5)="F",AND(W$6&gt;0,$A227&lt;W$6),AND(W$7&gt;0,$A227&gt;W$7)),0,MAX(0,ROUND((INDEX($E227:$G227,W$5)-SUMIFS(TF_Timer,TF_Tekniker,W$4,TF_Dato,$A227))*2,0)/2)))</f>
        <v/>
      </c>
      <c r="X227">
        <f>IF(OR(X$4="",$A227&gt;TODAY()),0,IF(OR(INDEX($B227:$D227,X$5)="F",AND(X$6&gt;0,$A227&lt;X$6),AND(X$7&gt;0,$A227&gt;X$7)),0,MAX(0,ROUND((INDEX($E227:$G227,X$5)-SUMIFS(TF_Timer,TF_Tekniker,X$4,TF_Dato,$A227))*2,0)/2)))</f>
        <v/>
      </c>
      <c r="Y227">
        <f>IF(OR(Y$4="",$A227&gt;TODAY()),0,IF(OR(INDEX($B227:$D227,Y$5)="F",AND(Y$6&gt;0,$A227&lt;Y$6),AND(Y$7&gt;0,$A227&gt;Y$7)),0,MAX(0,ROUND((INDEX($E227:$G227,Y$5)-SUMIFS(TF_Timer,TF_Tekniker,Y$4,TF_Dato,$A227))*2,0)/2)))</f>
        <v/>
      </c>
      <c r="Z227">
        <f>IF(OR(Z$4="",$A227&gt;TODAY()),0,IF(OR(INDEX($B227:$D227,Z$5)="F",AND(Z$6&gt;0,$A227&lt;Z$6),AND(Z$7&gt;0,$A227&gt;Z$7)),0,MAX(0,ROUND((INDEX($E227:$G227,Z$5)-SUMIFS(TF_Timer,TF_Tekniker,Z$4,TF_Dato,$A227))*2,0)/2)))</f>
        <v/>
      </c>
      <c r="AA227">
        <f>IF(OR(AA$4="",$A227&gt;TODAY()),0,IF(OR(INDEX($B227:$D227,AA$5)="F",AND(AA$6&gt;0,$A227&lt;AA$6),AND(AA$7&gt;0,$A227&gt;AA$7)),0,MAX(0,ROUND((INDEX($E227:$G227,AA$5)-SUMIFS(TF_Timer,TF_Tekniker,AA$4,TF_Dato,$A227))*2,0)/2)))</f>
        <v/>
      </c>
      <c r="AB227">
        <f>IF(OR(AB$4="",$A227&gt;TODAY()),0,IF(OR(INDEX($B227:$D227,AB$5)="F",AND(AB$6&gt;0,$A227&lt;AB$6),AND(AB$7&gt;0,$A227&gt;AB$7)),0,MAX(0,ROUND((INDEX($E227:$G227,AB$5)-SUMIFS(TF_Timer,TF_Tekniker,AB$4,TF_Dato,$A227))*2,0)/2)))</f>
        <v/>
      </c>
      <c r="AC227">
        <f>IF(OR(AC$4="",$A227&gt;TODAY()),0,IF(OR(INDEX($B227:$D227,AC$5)="F",AND(AC$6&gt;0,$A227&lt;AC$6),AND(AC$7&gt;0,$A227&gt;AC$7)),0,MAX(0,ROUND((INDEX($E227:$G227,AC$5)-SUMIFS(TF_Timer,TF_Tekniker,AC$4,TF_Dato,$A227))*2,0)/2)))</f>
        <v/>
      </c>
      <c r="AD227">
        <f>IF(OR(AD$4="",$A227&gt;TODAY()),0,IF(OR(INDEX($B227:$D227,AD$5)="F",AND(AD$6&gt;0,$A227&lt;AD$6),AND(AD$7&gt;0,$A227&gt;AD$7)),0,MAX(0,ROUND((INDEX($E227:$G227,AD$5)-SUMIFS(TF_Timer,TF_Tekniker,AD$4,TF_Dato,$A227))*2,0)/2)))</f>
        <v/>
      </c>
      <c r="AE227">
        <f>IF(OR(AE$4="",$A227&gt;TODAY()),0,IF(OR(INDEX($B227:$D227,AE$5)="F",AND(AE$6&gt;0,$A227&lt;AE$6),AND(AE$7&gt;0,$A227&gt;AE$7)),0,MAX(0,ROUND((INDEX($E227:$G227,AE$5)-SUMIFS(TF_Timer,TF_Tekniker,AE$4,TF_Dato,$A227))*2,0)/2)))</f>
        <v/>
      </c>
      <c r="AF227">
        <f>IF(OR(AF$4="",$A227&gt;TODAY()),0,IF(OR(INDEX($B227:$D227,AF$5)="F",AND(AF$6&gt;0,$A227&lt;AF$6),AND(AF$7&gt;0,$A227&gt;AF$7)),0,MAX(0,ROUND((INDEX($E227:$G227,AF$5)-SUMIFS(TF_Timer,TF_Tekniker,AF$4,TF_Dato,$A227))*2,0)/2)))</f>
        <v/>
      </c>
      <c r="AG227">
        <f>IF(OR(AG$4="",$A227&gt;TODAY()),0,IF(OR(INDEX($B227:$D227,AG$5)="F",AND(AG$6&gt;0,$A227&lt;AG$6),AND(AG$7&gt;0,$A227&gt;AG$7)),0,MAX(0,ROUND((INDEX($E227:$G227,AG$5)-SUMIFS(TF_Timer,TF_Tekniker,AG$4,TF_Dato,$A227))*2,0)/2)))</f>
        <v/>
      </c>
      <c r="AH227">
        <f>IF(OR(AH$4="",$A227&gt;TODAY()),0,IF(OR(INDEX($B227:$D227,AH$5)="F",AND(AH$6&gt;0,$A227&lt;AH$6),AND(AH$7&gt;0,$A227&gt;AH$7)),0,MAX(0,ROUND((INDEX($E227:$G227,AH$5)-SUMIFS(TF_Timer,TF_Tekniker,AH$4,TF_Dato,$A227))*2,0)/2)))</f>
        <v/>
      </c>
      <c r="AI227">
        <f>IF(OR(AI$4="",$A227&gt;TODAY()),0,IF(OR(INDEX($B227:$D227,AI$5)="F",AND(AI$6&gt;0,$A227&lt;AI$6),AND(AI$7&gt;0,$A227&gt;AI$7)),0,MAX(0,ROUND((INDEX($E227:$G227,AI$5)-SUMIFS(TF_Timer,TF_Tekniker,AI$4,TF_Dato,$A227))*2,0)/2)))</f>
        <v/>
      </c>
      <c r="AJ227">
        <f>IF(OR(AJ$4="",$A227&gt;TODAY()),0,IF(OR(INDEX($B227:$D227,AJ$5)="F",AND(AJ$6&gt;0,$A227&lt;AJ$6),AND(AJ$7&gt;0,$A227&gt;AJ$7)),0,MAX(0,ROUND((INDEX($E227:$G227,AJ$5)-SUMIFS(TF_Timer,TF_Tekniker,AJ$4,TF_Dato,$A227))*2,0)/2)))</f>
        <v/>
      </c>
      <c r="AK227">
        <f>IF(OR(AK$4="",$A227&gt;TODAY()),0,IF(OR(INDEX($B227:$D227,AK$5)="F",AND(AK$6&gt;0,$A227&lt;AK$6),AND(AK$7&gt;0,$A227&gt;AK$7)),0,MAX(0,ROUND((INDEX($E227:$G227,AK$5)-SUMIFS(TF_Timer,TF_Tekniker,AK$4,TF_Dato,$A227))*2,0)/2)))</f>
        <v/>
      </c>
      <c r="AL227">
        <f>IF(OR(AL$4="",$A227&gt;TODAY()),0,IF(OR(INDEX($B227:$D227,AL$5)="F",AND(AL$6&gt;0,$A227&lt;AL$6),AND(AL$7&gt;0,$A227&gt;AL$7)),0,MAX(0,ROUND((INDEX($E227:$G227,AL$5)-SUMIFS(TF_Timer,TF_Tekniker,AL$4,TF_Dato,$A227))*2,0)/2)))</f>
        <v/>
      </c>
      <c r="AM227">
        <f>IF(OR(AM$4="",$A227&gt;TODAY()),0,IF(OR(INDEX($B227:$D227,AM$5)="F",AND(AM$6&gt;0,$A227&lt;AM$6),AND(AM$7&gt;0,$A227&gt;AM$7)),0,MAX(0,ROUND((INDEX($E227:$G227,AM$5)-SUMIFS(TF_Timer,TF_Tekniker,AM$4,TF_Dato,$A227))*2,0)/2)))</f>
        <v/>
      </c>
      <c r="AN227">
        <f>IF(OR(AN$4="",$A227&gt;TODAY()),0,IF(OR(INDEX($B227:$D227,AN$5)="F",AND(AN$6&gt;0,$A227&lt;AN$6),AND(AN$7&gt;0,$A227&gt;AN$7)),0,MAX(0,ROUND((INDEX($E227:$G227,AN$5)-SUMIFS(TF_Timer,TF_Tekniker,AN$4,TF_Dato,$A227))*2,0)/2)))</f>
        <v/>
      </c>
      <c r="AO227">
        <f>IF(OR(AO$4="",$A227&gt;TODAY()),0,IF(OR(INDEX($B227:$D227,AO$5)="F",AND(AO$6&gt;0,$A227&lt;AO$6),AND(AO$7&gt;0,$A227&gt;AO$7)),0,MAX(0,ROUND((INDEX($E227:$G227,AO$5)-SUMIFS(TF_Timer,TF_Tekniker,AO$4,TF_Dato,$A227))*2,0)/2)))</f>
        <v/>
      </c>
      <c r="AP227">
        <f>IF(OR(AP$4="",$A227&gt;TODAY()),0,IF(OR(INDEX($B227:$D227,AP$5)="F",AND(AP$6&gt;0,$A227&lt;AP$6),AND(AP$7&gt;0,$A227&gt;AP$7)),0,MAX(0,ROUND((INDEX($E227:$G227,AP$5)-SUMIFS(TF_Timer,TF_Tekniker,AP$4,TF_Dato,$A227))*2,0)/2)))</f>
        <v/>
      </c>
      <c r="AQ227">
        <f>IF(OR(AQ$4="",$A227&gt;TODAY()),0,IF(OR(INDEX($B227:$D227,AQ$5)="F",AND(AQ$6&gt;0,$A227&lt;AQ$6),AND(AQ$7&gt;0,$A227&gt;AQ$7)),0,MAX(0,ROUND((INDEX($E227:$G227,AQ$5)-SUMIFS(TF_Timer,TF_Tekniker,AQ$4,TF_Dato,$A227))*2,0)/2)))</f>
        <v/>
      </c>
      <c r="AR227">
        <f>IF(OR(AR$4="",$A227&gt;TODAY()),0,IF(OR(INDEX($B227:$D227,AR$5)="F",AND(AR$6&gt;0,$A227&lt;AR$6),AND(AR$7&gt;0,$A227&gt;AR$7)),0,MAX(0,ROUND((INDEX($E227:$G227,AR$5)-SUMIFS(TF_Timer,TF_Tekniker,AR$4,TF_Dato,$A227))*2,0)/2)))</f>
        <v/>
      </c>
      <c r="AS227">
        <f>IF(OR(AS$4="",$A227&gt;TODAY()),0,IF(OR(INDEX($B227:$D227,AS$5)="F",AND(AS$6&gt;0,$A227&lt;AS$6),AND(AS$7&gt;0,$A227&gt;AS$7)),0,MAX(0,ROUND((INDEX($E227:$G227,AS$5)-SUMIFS(TF_Timer,TF_Tekniker,AS$4,TF_Dato,$A227))*2,0)/2)))</f>
        <v/>
      </c>
      <c r="AT227">
        <f>IF(OR(AT$4="",$A227&gt;TODAY()),0,IF(OR(INDEX($B227:$D227,AT$5)="F",AND(AT$6&gt;0,$A227&lt;AT$6),AND(AT$7&gt;0,$A227&gt;AT$7)),0,MAX(0,ROUND((INDEX($E227:$G227,AT$5)-SUMIFS(TF_Timer,TF_Tekniker,AT$4,TF_Dato,$A227))*2,0)/2)))</f>
        <v/>
      </c>
      <c r="AU227">
        <f>IF(OR(AU$4="",$A227&gt;TODAY()),0,IF(OR(INDEX($B227:$D227,AU$5)="F",AND(AU$6&gt;0,$A227&lt;AU$6),AND(AU$7&gt;0,$A227&gt;AU$7)),0,MAX(0,ROUND((INDEX($E227:$G227,AU$5)-SUMIFS(TF_Timer,TF_Tekniker,AU$4,TF_Dato,$A227))*2,0)/2)))</f>
        <v/>
      </c>
      <c r="AV227">
        <f>IF(OR(AV$4="",$A227&gt;TODAY()),0,IF(OR(INDEX($B227:$D227,AV$5)="F",AND(AV$6&gt;0,$A227&lt;AV$6),AND(AV$7&gt;0,$A227&gt;AV$7)),0,MAX(0,ROUND((INDEX($E227:$G227,AV$5)-SUMIFS(TF_Timer,TF_Tekniker,AV$4,TF_Dato,$A227))*2,0)/2)))</f>
        <v/>
      </c>
      <c r="AW227">
        <f>IF(OR(AW$4="",$A227&gt;TODAY()),0,IF(OR(INDEX($B227:$D227,AW$5)="F",AND(AW$6&gt;0,$A227&lt;AW$6),AND(AW$7&gt;0,$A227&gt;AW$7)),0,MAX(0,ROUND((INDEX($E227:$G227,AW$5)-SUMIFS(TF_Timer,TF_Tekniker,AW$4,TF_Dato,$A227))*2,0)/2)))</f>
        <v/>
      </c>
      <c r="AX227">
        <f>IF(OR(AX$4="",$A227&gt;TODAY()),0,IF(OR(INDEX($B227:$D227,AX$5)="F",AND(AX$6&gt;0,$A227&lt;AX$6),AND(AX$7&gt;0,$A227&gt;AX$7)),0,MAX(0,ROUND((INDEX($E227:$G227,AX$5)-SUMIFS(TF_Timer,TF_Tekniker,AX$4,TF_Dato,$A227))*2,0)/2)))</f>
        <v/>
      </c>
      <c r="AY227">
        <f>IF(OR(AY$4="",$A227&gt;TODAY()),0,IF(OR(INDEX($B227:$D227,AY$5)="F",AND(AY$6&gt;0,$A227&lt;AY$6),AND(AY$7&gt;0,$A227&gt;AY$7)),0,MAX(0,ROUND((INDEX($E227:$G227,AY$5)-SUMIFS(TF_Timer,TF_Tekniker,AY$4,TF_Dato,$A227))*2,0)/2)))</f>
        <v/>
      </c>
      <c r="AZ227">
        <f>IF(OR(AZ$4="",$A227&gt;TODAY()),0,IF(OR(INDEX($B227:$D227,AZ$5)="F",AND(AZ$6&gt;0,$A227&lt;AZ$6),AND(AZ$7&gt;0,$A227&gt;AZ$7)),0,MAX(0,ROUND((INDEX($E227:$G227,AZ$5)-SUMIFS(TF_Timer,TF_Tekniker,AZ$4,TF_Dato,$A227))*2,0)/2)))</f>
        <v/>
      </c>
      <c r="BA227">
        <f>IF(OR(BA$4="",$A227&gt;TODAY()),0,IF(OR(INDEX($B227:$D227,BA$5)="F",AND(BA$6&gt;0,$A227&lt;BA$6),AND(BA$7&gt;0,$A227&gt;BA$7)),0,MAX(0,ROUND((INDEX($E227:$G227,BA$5)-SUMIFS(TF_Timer,TF_Tekniker,BA$4,TF_Dato,$A227))*2,0)/2)))</f>
        <v/>
      </c>
      <c r="BB227">
        <f>IF(OR(BB$4="",$A227&gt;TODAY()),0,IF(OR(INDEX($B227:$D227,BB$5)="F",AND(BB$6&gt;0,$A227&lt;BB$6),AND(BB$7&gt;0,$A227&gt;BB$7)),0,MAX(0,ROUND((INDEX($E227:$G227,BB$5)-SUMIFS(TF_Timer,TF_Tekniker,BB$4,TF_Dato,$A227))*2,0)/2)))</f>
        <v/>
      </c>
      <c r="BC227">
        <f>IF(OR(BC$4="",$A227&gt;TODAY()),0,IF(OR(INDEX($B227:$D227,BC$5)="F",AND(BC$6&gt;0,$A227&lt;BC$6),AND(BC$7&gt;0,$A227&gt;BC$7)),0,MAX(0,ROUND((INDEX($E227:$G227,BC$5)-SUMIFS(TF_Timer,TF_Tekniker,BC$4,TF_Dato,$A227))*2,0)/2)))</f>
        <v/>
      </c>
      <c r="BD227">
        <f>IF(OR(BD$4="",$A227&gt;TODAY()),0,IF(OR(INDEX($B227:$D227,BD$5)="F",AND(BD$6&gt;0,$A227&lt;BD$6),AND(BD$7&gt;0,$A227&gt;BD$7)),0,MAX(0,ROUND((INDEX($E227:$G227,BD$5)-SUMIFS(TF_Timer,TF_Tekniker,BD$4,TF_Dato,$A227))*2,0)/2)))</f>
        <v/>
      </c>
      <c r="BE227">
        <f>IF(OR(BE$4="",$A227&gt;TODAY()),0,IF(OR(INDEX($B227:$D227,BE$5)="F",AND(BE$6&gt;0,$A227&lt;BE$6),AND(BE$7&gt;0,$A227&gt;BE$7)),0,MAX(0,ROUND((INDEX($E227:$G227,BE$5)-SUMIFS(TF_Timer,TF_Tekniker,BE$4,TF_Dato,$A227))*2,0)/2)))</f>
        <v/>
      </c>
      <c r="BF227">
        <f>IF(OR(BF$4="",$A227&gt;TODAY()),0,IF(OR(INDEX($B227:$D227,BF$5)="F",AND(BF$6&gt;0,$A227&lt;BF$6),AND(BF$7&gt;0,$A227&gt;BF$7)),0,MAX(0,ROUND((INDEX($E227:$G227,BF$5)-SUMIFS(TF_Timer,TF_Tekniker,BF$4,TF_Dato,$A227))*2,0)/2)))</f>
        <v/>
      </c>
      <c r="BG227">
        <f>IF(OR(BG$4="",$A227&gt;TODAY()),0,IF(OR(INDEX($B227:$D227,BG$5)="F",AND(BG$6&gt;0,$A227&lt;BG$6),AND(BG$7&gt;0,$A227&gt;BG$7)),0,MAX(0,ROUND((INDEX($E227:$G227,BG$5)-SUMIFS(TF_Timer,TF_Tekniker,BG$4,TF_Dato,$A227))*2,0)/2)))</f>
        <v/>
      </c>
      <c r="BH227">
        <f>IF(OR(BH$4="",$A227&gt;TODAY()),0,IF(OR(INDEX($B227:$D227,BH$5)="F",AND(BH$6&gt;0,$A227&lt;BH$6),AND(BH$7&gt;0,$A227&gt;BH$7)),0,MAX(0,ROUND((INDEX($E227:$G227,BH$5)-SUMIFS(TF_Timer,TF_Tekniker,BH$4,TF_Dato,$A227))*2,0)/2)))</f>
        <v/>
      </c>
      <c r="BI227">
        <f>IF(OR(BI$4="",$A227&gt;TODAY()),0,IF(OR(INDEX($B227:$D227,BI$5)="F",AND(BI$6&gt;0,$A227&lt;BI$6),AND(BI$7&gt;0,$A227&gt;BI$7)),0,MAX(0,ROUND((INDEX($E227:$G227,BI$5)-SUMIFS(TF_Timer,TF_Tekniker,BI$4,TF_Dato,$A227))*2,0)/2)))</f>
        <v/>
      </c>
    </row>
    <row r="228">
      <c r="A228" s="64">
        <f>A227+1</f>
        <v/>
      </c>
      <c r="B228">
        <f>IF(MOD($A228-INDEX(SkiftStart,1),Syklus)&lt;DagK,"K",IF(MOD($A228-INDEX(SkiftStart,1),Syklus)&lt;DagK+DagH,"H",IF(MOD($A228-INDEX(SkiftStart,1),Syklus)&lt;DagK+DagH+DagD,"D","F")))</f>
        <v/>
      </c>
      <c r="C228">
        <f>IF(MOD($A228-INDEX(SkiftStart,2),Syklus)&lt;DagK,"K",IF(MOD($A228-INDEX(SkiftStart,2),Syklus)&lt;DagK+DagH,"H",IF(MOD($A228-INDEX(SkiftStart,2),Syklus)&lt;DagK+DagH+DagD,"D","F")))</f>
        <v/>
      </c>
      <c r="D228">
        <f>IF(MOD($A228-INDEX(SkiftStart,3),Syklus)&lt;DagK,"K",IF(MOD($A228-INDEX(SkiftStart,3),Syklus)&lt;DagK+DagH,"H",IF(MOD($A228-INDEX(SkiftStart,3),Syklus)&lt;DagK+DagH+DagD,"D","F")))</f>
        <v/>
      </c>
      <c r="E228">
        <f>IF(B228="F",0,IF(WEEKDAY($A228,2)=5,INDEX(TimerFr,MATCH(B228,FaseKode,0)),INDEX(TimerMT,MATCH(B228,FaseKode,0))))</f>
        <v/>
      </c>
      <c r="F228">
        <f>IF(C228="F",0,IF(WEEKDAY($A228,2)=5,INDEX(TimerFr,MATCH(C228,FaseKode,0)),INDEX(TimerMT,MATCH(C228,FaseKode,0))))</f>
        <v/>
      </c>
      <c r="G228">
        <f>IF(D228="F",0,IF(WEEKDAY($A228,2)=5,INDEX(TimerFr,MATCH(D228,FaseKode,0)),INDEX(TimerMT,MATCH(D228,FaseKode,0))))</f>
        <v/>
      </c>
      <c r="H228">
        <f>IF(OR(H$4="",$A228&gt;TODAY()),0,IF(OR(INDEX($B228:$D228,H$5)="F",AND(H$6&gt;0,$A228&lt;H$6),AND(H$7&gt;0,$A228&gt;H$7)),0,MAX(0,ROUND((INDEX($E228:$G228,H$5)-SUMIFS(TF_Timer,TF_Tekniker,H$4,TF_Dato,$A228))*2,0)/2)))</f>
        <v/>
      </c>
      <c r="I228">
        <f>IF(OR(I$4="",$A228&gt;TODAY()),0,IF(OR(INDEX($B228:$D228,I$5)="F",AND(I$6&gt;0,$A228&lt;I$6),AND(I$7&gt;0,$A228&gt;I$7)),0,MAX(0,ROUND((INDEX($E228:$G228,I$5)-SUMIFS(TF_Timer,TF_Tekniker,I$4,TF_Dato,$A228))*2,0)/2)))</f>
        <v/>
      </c>
      <c r="J228">
        <f>IF(OR(J$4="",$A228&gt;TODAY()),0,IF(OR(INDEX($B228:$D228,J$5)="F",AND(J$6&gt;0,$A228&lt;J$6),AND(J$7&gt;0,$A228&gt;J$7)),0,MAX(0,ROUND((INDEX($E228:$G228,J$5)-SUMIFS(TF_Timer,TF_Tekniker,J$4,TF_Dato,$A228))*2,0)/2)))</f>
        <v/>
      </c>
      <c r="K228">
        <f>IF(OR(K$4="",$A228&gt;TODAY()),0,IF(OR(INDEX($B228:$D228,K$5)="F",AND(K$6&gt;0,$A228&lt;K$6),AND(K$7&gt;0,$A228&gt;K$7)),0,MAX(0,ROUND((INDEX($E228:$G228,K$5)-SUMIFS(TF_Timer,TF_Tekniker,K$4,TF_Dato,$A228))*2,0)/2)))</f>
        <v/>
      </c>
      <c r="L228">
        <f>IF(OR(L$4="",$A228&gt;TODAY()),0,IF(OR(INDEX($B228:$D228,L$5)="F",AND(L$6&gt;0,$A228&lt;L$6),AND(L$7&gt;0,$A228&gt;L$7)),0,MAX(0,ROUND((INDEX($E228:$G228,L$5)-SUMIFS(TF_Timer,TF_Tekniker,L$4,TF_Dato,$A228))*2,0)/2)))</f>
        <v/>
      </c>
      <c r="M228">
        <f>IF(OR(M$4="",$A228&gt;TODAY()),0,IF(OR(INDEX($B228:$D228,M$5)="F",AND(M$6&gt;0,$A228&lt;M$6),AND(M$7&gt;0,$A228&gt;M$7)),0,MAX(0,ROUND((INDEX($E228:$G228,M$5)-SUMIFS(TF_Timer,TF_Tekniker,M$4,TF_Dato,$A228))*2,0)/2)))</f>
        <v/>
      </c>
      <c r="N228">
        <f>IF(OR(N$4="",$A228&gt;TODAY()),0,IF(OR(INDEX($B228:$D228,N$5)="F",AND(N$6&gt;0,$A228&lt;N$6),AND(N$7&gt;0,$A228&gt;N$7)),0,MAX(0,ROUND((INDEX($E228:$G228,N$5)-SUMIFS(TF_Timer,TF_Tekniker,N$4,TF_Dato,$A228))*2,0)/2)))</f>
        <v/>
      </c>
      <c r="O228">
        <f>IF(OR(O$4="",$A228&gt;TODAY()),0,IF(OR(INDEX($B228:$D228,O$5)="F",AND(O$6&gt;0,$A228&lt;O$6),AND(O$7&gt;0,$A228&gt;O$7)),0,MAX(0,ROUND((INDEX($E228:$G228,O$5)-SUMIFS(TF_Timer,TF_Tekniker,O$4,TF_Dato,$A228))*2,0)/2)))</f>
        <v/>
      </c>
      <c r="P228">
        <f>IF(OR(P$4="",$A228&gt;TODAY()),0,IF(OR(INDEX($B228:$D228,P$5)="F",AND(P$6&gt;0,$A228&lt;P$6),AND(P$7&gt;0,$A228&gt;P$7)),0,MAX(0,ROUND((INDEX($E228:$G228,P$5)-SUMIFS(TF_Timer,TF_Tekniker,P$4,TF_Dato,$A228))*2,0)/2)))</f>
        <v/>
      </c>
      <c r="Q228">
        <f>IF(OR(Q$4="",$A228&gt;TODAY()),0,IF(OR(INDEX($B228:$D228,Q$5)="F",AND(Q$6&gt;0,$A228&lt;Q$6),AND(Q$7&gt;0,$A228&gt;Q$7)),0,MAX(0,ROUND((INDEX($E228:$G228,Q$5)-SUMIFS(TF_Timer,TF_Tekniker,Q$4,TF_Dato,$A228))*2,0)/2)))</f>
        <v/>
      </c>
      <c r="R228">
        <f>IF(OR(R$4="",$A228&gt;TODAY()),0,IF(OR(INDEX($B228:$D228,R$5)="F",AND(R$6&gt;0,$A228&lt;R$6),AND(R$7&gt;0,$A228&gt;R$7)),0,MAX(0,ROUND((INDEX($E228:$G228,R$5)-SUMIFS(TF_Timer,TF_Tekniker,R$4,TF_Dato,$A228))*2,0)/2)))</f>
        <v/>
      </c>
      <c r="S228">
        <f>IF(OR(S$4="",$A228&gt;TODAY()),0,IF(OR(INDEX($B228:$D228,S$5)="F",AND(S$6&gt;0,$A228&lt;S$6),AND(S$7&gt;0,$A228&gt;S$7)),0,MAX(0,ROUND((INDEX($E228:$G228,S$5)-SUMIFS(TF_Timer,TF_Tekniker,S$4,TF_Dato,$A228))*2,0)/2)))</f>
        <v/>
      </c>
      <c r="T228">
        <f>IF(OR(T$4="",$A228&gt;TODAY()),0,IF(OR(INDEX($B228:$D228,T$5)="F",AND(T$6&gt;0,$A228&lt;T$6),AND(T$7&gt;0,$A228&gt;T$7)),0,MAX(0,ROUND((INDEX($E228:$G228,T$5)-SUMIFS(TF_Timer,TF_Tekniker,T$4,TF_Dato,$A228))*2,0)/2)))</f>
        <v/>
      </c>
      <c r="U228">
        <f>IF(OR(U$4="",$A228&gt;TODAY()),0,IF(OR(INDEX($B228:$D228,U$5)="F",AND(U$6&gt;0,$A228&lt;U$6),AND(U$7&gt;0,$A228&gt;U$7)),0,MAX(0,ROUND((INDEX($E228:$G228,U$5)-SUMIFS(TF_Timer,TF_Tekniker,U$4,TF_Dato,$A228))*2,0)/2)))</f>
        <v/>
      </c>
      <c r="V228">
        <f>IF(OR(V$4="",$A228&gt;TODAY()),0,IF(OR(INDEX($B228:$D228,V$5)="F",AND(V$6&gt;0,$A228&lt;V$6),AND(V$7&gt;0,$A228&gt;V$7)),0,MAX(0,ROUND((INDEX($E228:$G228,V$5)-SUMIFS(TF_Timer,TF_Tekniker,V$4,TF_Dato,$A228))*2,0)/2)))</f>
        <v/>
      </c>
      <c r="W228">
        <f>IF(OR(W$4="",$A228&gt;TODAY()),0,IF(OR(INDEX($B228:$D228,W$5)="F",AND(W$6&gt;0,$A228&lt;W$6),AND(W$7&gt;0,$A228&gt;W$7)),0,MAX(0,ROUND((INDEX($E228:$G228,W$5)-SUMIFS(TF_Timer,TF_Tekniker,W$4,TF_Dato,$A228))*2,0)/2)))</f>
        <v/>
      </c>
      <c r="X228">
        <f>IF(OR(X$4="",$A228&gt;TODAY()),0,IF(OR(INDEX($B228:$D228,X$5)="F",AND(X$6&gt;0,$A228&lt;X$6),AND(X$7&gt;0,$A228&gt;X$7)),0,MAX(0,ROUND((INDEX($E228:$G228,X$5)-SUMIFS(TF_Timer,TF_Tekniker,X$4,TF_Dato,$A228))*2,0)/2)))</f>
        <v/>
      </c>
      <c r="Y228">
        <f>IF(OR(Y$4="",$A228&gt;TODAY()),0,IF(OR(INDEX($B228:$D228,Y$5)="F",AND(Y$6&gt;0,$A228&lt;Y$6),AND(Y$7&gt;0,$A228&gt;Y$7)),0,MAX(0,ROUND((INDEX($E228:$G228,Y$5)-SUMIFS(TF_Timer,TF_Tekniker,Y$4,TF_Dato,$A228))*2,0)/2)))</f>
        <v/>
      </c>
      <c r="Z228">
        <f>IF(OR(Z$4="",$A228&gt;TODAY()),0,IF(OR(INDEX($B228:$D228,Z$5)="F",AND(Z$6&gt;0,$A228&lt;Z$6),AND(Z$7&gt;0,$A228&gt;Z$7)),0,MAX(0,ROUND((INDEX($E228:$G228,Z$5)-SUMIFS(TF_Timer,TF_Tekniker,Z$4,TF_Dato,$A228))*2,0)/2)))</f>
        <v/>
      </c>
      <c r="AA228">
        <f>IF(OR(AA$4="",$A228&gt;TODAY()),0,IF(OR(INDEX($B228:$D228,AA$5)="F",AND(AA$6&gt;0,$A228&lt;AA$6),AND(AA$7&gt;0,$A228&gt;AA$7)),0,MAX(0,ROUND((INDEX($E228:$G228,AA$5)-SUMIFS(TF_Timer,TF_Tekniker,AA$4,TF_Dato,$A228))*2,0)/2)))</f>
        <v/>
      </c>
      <c r="AB228">
        <f>IF(OR(AB$4="",$A228&gt;TODAY()),0,IF(OR(INDEX($B228:$D228,AB$5)="F",AND(AB$6&gt;0,$A228&lt;AB$6),AND(AB$7&gt;0,$A228&gt;AB$7)),0,MAX(0,ROUND((INDEX($E228:$G228,AB$5)-SUMIFS(TF_Timer,TF_Tekniker,AB$4,TF_Dato,$A228))*2,0)/2)))</f>
        <v/>
      </c>
      <c r="AC228">
        <f>IF(OR(AC$4="",$A228&gt;TODAY()),0,IF(OR(INDEX($B228:$D228,AC$5)="F",AND(AC$6&gt;0,$A228&lt;AC$6),AND(AC$7&gt;0,$A228&gt;AC$7)),0,MAX(0,ROUND((INDEX($E228:$G228,AC$5)-SUMIFS(TF_Timer,TF_Tekniker,AC$4,TF_Dato,$A228))*2,0)/2)))</f>
        <v/>
      </c>
      <c r="AD228">
        <f>IF(OR(AD$4="",$A228&gt;TODAY()),0,IF(OR(INDEX($B228:$D228,AD$5)="F",AND(AD$6&gt;0,$A228&lt;AD$6),AND(AD$7&gt;0,$A228&gt;AD$7)),0,MAX(0,ROUND((INDEX($E228:$G228,AD$5)-SUMIFS(TF_Timer,TF_Tekniker,AD$4,TF_Dato,$A228))*2,0)/2)))</f>
        <v/>
      </c>
      <c r="AE228">
        <f>IF(OR(AE$4="",$A228&gt;TODAY()),0,IF(OR(INDEX($B228:$D228,AE$5)="F",AND(AE$6&gt;0,$A228&lt;AE$6),AND(AE$7&gt;0,$A228&gt;AE$7)),0,MAX(0,ROUND((INDEX($E228:$G228,AE$5)-SUMIFS(TF_Timer,TF_Tekniker,AE$4,TF_Dato,$A228))*2,0)/2)))</f>
        <v/>
      </c>
      <c r="AF228">
        <f>IF(OR(AF$4="",$A228&gt;TODAY()),0,IF(OR(INDEX($B228:$D228,AF$5)="F",AND(AF$6&gt;0,$A228&lt;AF$6),AND(AF$7&gt;0,$A228&gt;AF$7)),0,MAX(0,ROUND((INDEX($E228:$G228,AF$5)-SUMIFS(TF_Timer,TF_Tekniker,AF$4,TF_Dato,$A228))*2,0)/2)))</f>
        <v/>
      </c>
      <c r="AG228">
        <f>IF(OR(AG$4="",$A228&gt;TODAY()),0,IF(OR(INDEX($B228:$D228,AG$5)="F",AND(AG$6&gt;0,$A228&lt;AG$6),AND(AG$7&gt;0,$A228&gt;AG$7)),0,MAX(0,ROUND((INDEX($E228:$G228,AG$5)-SUMIFS(TF_Timer,TF_Tekniker,AG$4,TF_Dato,$A228))*2,0)/2)))</f>
        <v/>
      </c>
      <c r="AH228">
        <f>IF(OR(AH$4="",$A228&gt;TODAY()),0,IF(OR(INDEX($B228:$D228,AH$5)="F",AND(AH$6&gt;0,$A228&lt;AH$6),AND(AH$7&gt;0,$A228&gt;AH$7)),0,MAX(0,ROUND((INDEX($E228:$G228,AH$5)-SUMIFS(TF_Timer,TF_Tekniker,AH$4,TF_Dato,$A228))*2,0)/2)))</f>
        <v/>
      </c>
      <c r="AI228">
        <f>IF(OR(AI$4="",$A228&gt;TODAY()),0,IF(OR(INDEX($B228:$D228,AI$5)="F",AND(AI$6&gt;0,$A228&lt;AI$6),AND(AI$7&gt;0,$A228&gt;AI$7)),0,MAX(0,ROUND((INDEX($E228:$G228,AI$5)-SUMIFS(TF_Timer,TF_Tekniker,AI$4,TF_Dato,$A228))*2,0)/2)))</f>
        <v/>
      </c>
      <c r="AJ228">
        <f>IF(OR(AJ$4="",$A228&gt;TODAY()),0,IF(OR(INDEX($B228:$D228,AJ$5)="F",AND(AJ$6&gt;0,$A228&lt;AJ$6),AND(AJ$7&gt;0,$A228&gt;AJ$7)),0,MAX(0,ROUND((INDEX($E228:$G228,AJ$5)-SUMIFS(TF_Timer,TF_Tekniker,AJ$4,TF_Dato,$A228))*2,0)/2)))</f>
        <v/>
      </c>
      <c r="AK228">
        <f>IF(OR(AK$4="",$A228&gt;TODAY()),0,IF(OR(INDEX($B228:$D228,AK$5)="F",AND(AK$6&gt;0,$A228&lt;AK$6),AND(AK$7&gt;0,$A228&gt;AK$7)),0,MAX(0,ROUND((INDEX($E228:$G228,AK$5)-SUMIFS(TF_Timer,TF_Tekniker,AK$4,TF_Dato,$A228))*2,0)/2)))</f>
        <v/>
      </c>
      <c r="AL228">
        <f>IF(OR(AL$4="",$A228&gt;TODAY()),0,IF(OR(INDEX($B228:$D228,AL$5)="F",AND(AL$6&gt;0,$A228&lt;AL$6),AND(AL$7&gt;0,$A228&gt;AL$7)),0,MAX(0,ROUND((INDEX($E228:$G228,AL$5)-SUMIFS(TF_Timer,TF_Tekniker,AL$4,TF_Dato,$A228))*2,0)/2)))</f>
        <v/>
      </c>
      <c r="AM228">
        <f>IF(OR(AM$4="",$A228&gt;TODAY()),0,IF(OR(INDEX($B228:$D228,AM$5)="F",AND(AM$6&gt;0,$A228&lt;AM$6),AND(AM$7&gt;0,$A228&gt;AM$7)),0,MAX(0,ROUND((INDEX($E228:$G228,AM$5)-SUMIFS(TF_Timer,TF_Tekniker,AM$4,TF_Dato,$A228))*2,0)/2)))</f>
        <v/>
      </c>
      <c r="AN228">
        <f>IF(OR(AN$4="",$A228&gt;TODAY()),0,IF(OR(INDEX($B228:$D228,AN$5)="F",AND(AN$6&gt;0,$A228&lt;AN$6),AND(AN$7&gt;0,$A228&gt;AN$7)),0,MAX(0,ROUND((INDEX($E228:$G228,AN$5)-SUMIFS(TF_Timer,TF_Tekniker,AN$4,TF_Dato,$A228))*2,0)/2)))</f>
        <v/>
      </c>
      <c r="AO228">
        <f>IF(OR(AO$4="",$A228&gt;TODAY()),0,IF(OR(INDEX($B228:$D228,AO$5)="F",AND(AO$6&gt;0,$A228&lt;AO$6),AND(AO$7&gt;0,$A228&gt;AO$7)),0,MAX(0,ROUND((INDEX($E228:$G228,AO$5)-SUMIFS(TF_Timer,TF_Tekniker,AO$4,TF_Dato,$A228))*2,0)/2)))</f>
        <v/>
      </c>
      <c r="AP228">
        <f>IF(OR(AP$4="",$A228&gt;TODAY()),0,IF(OR(INDEX($B228:$D228,AP$5)="F",AND(AP$6&gt;0,$A228&lt;AP$6),AND(AP$7&gt;0,$A228&gt;AP$7)),0,MAX(0,ROUND((INDEX($E228:$G228,AP$5)-SUMIFS(TF_Timer,TF_Tekniker,AP$4,TF_Dato,$A228))*2,0)/2)))</f>
        <v/>
      </c>
      <c r="AQ228">
        <f>IF(OR(AQ$4="",$A228&gt;TODAY()),0,IF(OR(INDEX($B228:$D228,AQ$5)="F",AND(AQ$6&gt;0,$A228&lt;AQ$6),AND(AQ$7&gt;0,$A228&gt;AQ$7)),0,MAX(0,ROUND((INDEX($E228:$G228,AQ$5)-SUMIFS(TF_Timer,TF_Tekniker,AQ$4,TF_Dato,$A228))*2,0)/2)))</f>
        <v/>
      </c>
      <c r="AR228">
        <f>IF(OR(AR$4="",$A228&gt;TODAY()),0,IF(OR(INDEX($B228:$D228,AR$5)="F",AND(AR$6&gt;0,$A228&lt;AR$6),AND(AR$7&gt;0,$A228&gt;AR$7)),0,MAX(0,ROUND((INDEX($E228:$G228,AR$5)-SUMIFS(TF_Timer,TF_Tekniker,AR$4,TF_Dato,$A228))*2,0)/2)))</f>
        <v/>
      </c>
      <c r="AS228">
        <f>IF(OR(AS$4="",$A228&gt;TODAY()),0,IF(OR(INDEX($B228:$D228,AS$5)="F",AND(AS$6&gt;0,$A228&lt;AS$6),AND(AS$7&gt;0,$A228&gt;AS$7)),0,MAX(0,ROUND((INDEX($E228:$G228,AS$5)-SUMIFS(TF_Timer,TF_Tekniker,AS$4,TF_Dato,$A228))*2,0)/2)))</f>
        <v/>
      </c>
      <c r="AT228">
        <f>IF(OR(AT$4="",$A228&gt;TODAY()),0,IF(OR(INDEX($B228:$D228,AT$5)="F",AND(AT$6&gt;0,$A228&lt;AT$6),AND(AT$7&gt;0,$A228&gt;AT$7)),0,MAX(0,ROUND((INDEX($E228:$G228,AT$5)-SUMIFS(TF_Timer,TF_Tekniker,AT$4,TF_Dato,$A228))*2,0)/2)))</f>
        <v/>
      </c>
      <c r="AU228">
        <f>IF(OR(AU$4="",$A228&gt;TODAY()),0,IF(OR(INDEX($B228:$D228,AU$5)="F",AND(AU$6&gt;0,$A228&lt;AU$6),AND(AU$7&gt;0,$A228&gt;AU$7)),0,MAX(0,ROUND((INDEX($E228:$G228,AU$5)-SUMIFS(TF_Timer,TF_Tekniker,AU$4,TF_Dato,$A228))*2,0)/2)))</f>
        <v/>
      </c>
      <c r="AV228">
        <f>IF(OR(AV$4="",$A228&gt;TODAY()),0,IF(OR(INDEX($B228:$D228,AV$5)="F",AND(AV$6&gt;0,$A228&lt;AV$6),AND(AV$7&gt;0,$A228&gt;AV$7)),0,MAX(0,ROUND((INDEX($E228:$G228,AV$5)-SUMIFS(TF_Timer,TF_Tekniker,AV$4,TF_Dato,$A228))*2,0)/2)))</f>
        <v/>
      </c>
      <c r="AW228">
        <f>IF(OR(AW$4="",$A228&gt;TODAY()),0,IF(OR(INDEX($B228:$D228,AW$5)="F",AND(AW$6&gt;0,$A228&lt;AW$6),AND(AW$7&gt;0,$A228&gt;AW$7)),0,MAX(0,ROUND((INDEX($E228:$G228,AW$5)-SUMIFS(TF_Timer,TF_Tekniker,AW$4,TF_Dato,$A228))*2,0)/2)))</f>
        <v/>
      </c>
      <c r="AX228">
        <f>IF(OR(AX$4="",$A228&gt;TODAY()),0,IF(OR(INDEX($B228:$D228,AX$5)="F",AND(AX$6&gt;0,$A228&lt;AX$6),AND(AX$7&gt;0,$A228&gt;AX$7)),0,MAX(0,ROUND((INDEX($E228:$G228,AX$5)-SUMIFS(TF_Timer,TF_Tekniker,AX$4,TF_Dato,$A228))*2,0)/2)))</f>
        <v/>
      </c>
      <c r="AY228">
        <f>IF(OR(AY$4="",$A228&gt;TODAY()),0,IF(OR(INDEX($B228:$D228,AY$5)="F",AND(AY$6&gt;0,$A228&lt;AY$6),AND(AY$7&gt;0,$A228&gt;AY$7)),0,MAX(0,ROUND((INDEX($E228:$G228,AY$5)-SUMIFS(TF_Timer,TF_Tekniker,AY$4,TF_Dato,$A228))*2,0)/2)))</f>
        <v/>
      </c>
      <c r="AZ228">
        <f>IF(OR(AZ$4="",$A228&gt;TODAY()),0,IF(OR(INDEX($B228:$D228,AZ$5)="F",AND(AZ$6&gt;0,$A228&lt;AZ$6),AND(AZ$7&gt;0,$A228&gt;AZ$7)),0,MAX(0,ROUND((INDEX($E228:$G228,AZ$5)-SUMIFS(TF_Timer,TF_Tekniker,AZ$4,TF_Dato,$A228))*2,0)/2)))</f>
        <v/>
      </c>
      <c r="BA228">
        <f>IF(OR(BA$4="",$A228&gt;TODAY()),0,IF(OR(INDEX($B228:$D228,BA$5)="F",AND(BA$6&gt;0,$A228&lt;BA$6),AND(BA$7&gt;0,$A228&gt;BA$7)),0,MAX(0,ROUND((INDEX($E228:$G228,BA$5)-SUMIFS(TF_Timer,TF_Tekniker,BA$4,TF_Dato,$A228))*2,0)/2)))</f>
        <v/>
      </c>
      <c r="BB228">
        <f>IF(OR(BB$4="",$A228&gt;TODAY()),0,IF(OR(INDEX($B228:$D228,BB$5)="F",AND(BB$6&gt;0,$A228&lt;BB$6),AND(BB$7&gt;0,$A228&gt;BB$7)),0,MAX(0,ROUND((INDEX($E228:$G228,BB$5)-SUMIFS(TF_Timer,TF_Tekniker,BB$4,TF_Dato,$A228))*2,0)/2)))</f>
        <v/>
      </c>
      <c r="BC228">
        <f>IF(OR(BC$4="",$A228&gt;TODAY()),0,IF(OR(INDEX($B228:$D228,BC$5)="F",AND(BC$6&gt;0,$A228&lt;BC$6),AND(BC$7&gt;0,$A228&gt;BC$7)),0,MAX(0,ROUND((INDEX($E228:$G228,BC$5)-SUMIFS(TF_Timer,TF_Tekniker,BC$4,TF_Dato,$A228))*2,0)/2)))</f>
        <v/>
      </c>
      <c r="BD228">
        <f>IF(OR(BD$4="",$A228&gt;TODAY()),0,IF(OR(INDEX($B228:$D228,BD$5)="F",AND(BD$6&gt;0,$A228&lt;BD$6),AND(BD$7&gt;0,$A228&gt;BD$7)),0,MAX(0,ROUND((INDEX($E228:$G228,BD$5)-SUMIFS(TF_Timer,TF_Tekniker,BD$4,TF_Dato,$A228))*2,0)/2)))</f>
        <v/>
      </c>
      <c r="BE228">
        <f>IF(OR(BE$4="",$A228&gt;TODAY()),0,IF(OR(INDEX($B228:$D228,BE$5)="F",AND(BE$6&gt;0,$A228&lt;BE$6),AND(BE$7&gt;0,$A228&gt;BE$7)),0,MAX(0,ROUND((INDEX($E228:$G228,BE$5)-SUMIFS(TF_Timer,TF_Tekniker,BE$4,TF_Dato,$A228))*2,0)/2)))</f>
        <v/>
      </c>
      <c r="BF228">
        <f>IF(OR(BF$4="",$A228&gt;TODAY()),0,IF(OR(INDEX($B228:$D228,BF$5)="F",AND(BF$6&gt;0,$A228&lt;BF$6),AND(BF$7&gt;0,$A228&gt;BF$7)),0,MAX(0,ROUND((INDEX($E228:$G228,BF$5)-SUMIFS(TF_Timer,TF_Tekniker,BF$4,TF_Dato,$A228))*2,0)/2)))</f>
        <v/>
      </c>
      <c r="BG228">
        <f>IF(OR(BG$4="",$A228&gt;TODAY()),0,IF(OR(INDEX($B228:$D228,BG$5)="F",AND(BG$6&gt;0,$A228&lt;BG$6),AND(BG$7&gt;0,$A228&gt;BG$7)),0,MAX(0,ROUND((INDEX($E228:$G228,BG$5)-SUMIFS(TF_Timer,TF_Tekniker,BG$4,TF_Dato,$A228))*2,0)/2)))</f>
        <v/>
      </c>
      <c r="BH228">
        <f>IF(OR(BH$4="",$A228&gt;TODAY()),0,IF(OR(INDEX($B228:$D228,BH$5)="F",AND(BH$6&gt;0,$A228&lt;BH$6),AND(BH$7&gt;0,$A228&gt;BH$7)),0,MAX(0,ROUND((INDEX($E228:$G228,BH$5)-SUMIFS(TF_Timer,TF_Tekniker,BH$4,TF_Dato,$A228))*2,0)/2)))</f>
        <v/>
      </c>
      <c r="BI228">
        <f>IF(OR(BI$4="",$A228&gt;TODAY()),0,IF(OR(INDEX($B228:$D228,BI$5)="F",AND(BI$6&gt;0,$A228&lt;BI$6),AND(BI$7&gt;0,$A228&gt;BI$7)),0,MAX(0,ROUND((INDEX($E228:$G228,BI$5)-SUMIFS(TF_Timer,TF_Tekniker,BI$4,TF_Dato,$A228))*2,0)/2)))</f>
        <v/>
      </c>
    </row>
    <row r="229">
      <c r="A229" s="64">
        <f>A228+1</f>
        <v/>
      </c>
      <c r="B229">
        <f>IF(MOD($A229-INDEX(SkiftStart,1),Syklus)&lt;DagK,"K",IF(MOD($A229-INDEX(SkiftStart,1),Syklus)&lt;DagK+DagH,"H",IF(MOD($A229-INDEX(SkiftStart,1),Syklus)&lt;DagK+DagH+DagD,"D","F")))</f>
        <v/>
      </c>
      <c r="C229">
        <f>IF(MOD($A229-INDEX(SkiftStart,2),Syklus)&lt;DagK,"K",IF(MOD($A229-INDEX(SkiftStart,2),Syklus)&lt;DagK+DagH,"H",IF(MOD($A229-INDEX(SkiftStart,2),Syklus)&lt;DagK+DagH+DagD,"D","F")))</f>
        <v/>
      </c>
      <c r="D229">
        <f>IF(MOD($A229-INDEX(SkiftStart,3),Syklus)&lt;DagK,"K",IF(MOD($A229-INDEX(SkiftStart,3),Syklus)&lt;DagK+DagH,"H",IF(MOD($A229-INDEX(SkiftStart,3),Syklus)&lt;DagK+DagH+DagD,"D","F")))</f>
        <v/>
      </c>
      <c r="E229">
        <f>IF(B229="F",0,IF(WEEKDAY($A229,2)=5,INDEX(TimerFr,MATCH(B229,FaseKode,0)),INDEX(TimerMT,MATCH(B229,FaseKode,0))))</f>
        <v/>
      </c>
      <c r="F229">
        <f>IF(C229="F",0,IF(WEEKDAY($A229,2)=5,INDEX(TimerFr,MATCH(C229,FaseKode,0)),INDEX(TimerMT,MATCH(C229,FaseKode,0))))</f>
        <v/>
      </c>
      <c r="G229">
        <f>IF(D229="F",0,IF(WEEKDAY($A229,2)=5,INDEX(TimerFr,MATCH(D229,FaseKode,0)),INDEX(TimerMT,MATCH(D229,FaseKode,0))))</f>
        <v/>
      </c>
      <c r="H229">
        <f>IF(OR(H$4="",$A229&gt;TODAY()),0,IF(OR(INDEX($B229:$D229,H$5)="F",AND(H$6&gt;0,$A229&lt;H$6),AND(H$7&gt;0,$A229&gt;H$7)),0,MAX(0,ROUND((INDEX($E229:$G229,H$5)-SUMIFS(TF_Timer,TF_Tekniker,H$4,TF_Dato,$A229))*2,0)/2)))</f>
        <v/>
      </c>
      <c r="I229">
        <f>IF(OR(I$4="",$A229&gt;TODAY()),0,IF(OR(INDEX($B229:$D229,I$5)="F",AND(I$6&gt;0,$A229&lt;I$6),AND(I$7&gt;0,$A229&gt;I$7)),0,MAX(0,ROUND((INDEX($E229:$G229,I$5)-SUMIFS(TF_Timer,TF_Tekniker,I$4,TF_Dato,$A229))*2,0)/2)))</f>
        <v/>
      </c>
      <c r="J229">
        <f>IF(OR(J$4="",$A229&gt;TODAY()),0,IF(OR(INDEX($B229:$D229,J$5)="F",AND(J$6&gt;0,$A229&lt;J$6),AND(J$7&gt;0,$A229&gt;J$7)),0,MAX(0,ROUND((INDEX($E229:$G229,J$5)-SUMIFS(TF_Timer,TF_Tekniker,J$4,TF_Dato,$A229))*2,0)/2)))</f>
        <v/>
      </c>
      <c r="K229">
        <f>IF(OR(K$4="",$A229&gt;TODAY()),0,IF(OR(INDEX($B229:$D229,K$5)="F",AND(K$6&gt;0,$A229&lt;K$6),AND(K$7&gt;0,$A229&gt;K$7)),0,MAX(0,ROUND((INDEX($E229:$G229,K$5)-SUMIFS(TF_Timer,TF_Tekniker,K$4,TF_Dato,$A229))*2,0)/2)))</f>
        <v/>
      </c>
      <c r="L229">
        <f>IF(OR(L$4="",$A229&gt;TODAY()),0,IF(OR(INDEX($B229:$D229,L$5)="F",AND(L$6&gt;0,$A229&lt;L$6),AND(L$7&gt;0,$A229&gt;L$7)),0,MAX(0,ROUND((INDEX($E229:$G229,L$5)-SUMIFS(TF_Timer,TF_Tekniker,L$4,TF_Dato,$A229))*2,0)/2)))</f>
        <v/>
      </c>
      <c r="M229">
        <f>IF(OR(M$4="",$A229&gt;TODAY()),0,IF(OR(INDEX($B229:$D229,M$5)="F",AND(M$6&gt;0,$A229&lt;M$6),AND(M$7&gt;0,$A229&gt;M$7)),0,MAX(0,ROUND((INDEX($E229:$G229,M$5)-SUMIFS(TF_Timer,TF_Tekniker,M$4,TF_Dato,$A229))*2,0)/2)))</f>
        <v/>
      </c>
      <c r="N229">
        <f>IF(OR(N$4="",$A229&gt;TODAY()),0,IF(OR(INDEX($B229:$D229,N$5)="F",AND(N$6&gt;0,$A229&lt;N$6),AND(N$7&gt;0,$A229&gt;N$7)),0,MAX(0,ROUND((INDEX($E229:$G229,N$5)-SUMIFS(TF_Timer,TF_Tekniker,N$4,TF_Dato,$A229))*2,0)/2)))</f>
        <v/>
      </c>
      <c r="O229">
        <f>IF(OR(O$4="",$A229&gt;TODAY()),0,IF(OR(INDEX($B229:$D229,O$5)="F",AND(O$6&gt;0,$A229&lt;O$6),AND(O$7&gt;0,$A229&gt;O$7)),0,MAX(0,ROUND((INDEX($E229:$G229,O$5)-SUMIFS(TF_Timer,TF_Tekniker,O$4,TF_Dato,$A229))*2,0)/2)))</f>
        <v/>
      </c>
      <c r="P229">
        <f>IF(OR(P$4="",$A229&gt;TODAY()),0,IF(OR(INDEX($B229:$D229,P$5)="F",AND(P$6&gt;0,$A229&lt;P$6),AND(P$7&gt;0,$A229&gt;P$7)),0,MAX(0,ROUND((INDEX($E229:$G229,P$5)-SUMIFS(TF_Timer,TF_Tekniker,P$4,TF_Dato,$A229))*2,0)/2)))</f>
        <v/>
      </c>
      <c r="Q229">
        <f>IF(OR(Q$4="",$A229&gt;TODAY()),0,IF(OR(INDEX($B229:$D229,Q$5)="F",AND(Q$6&gt;0,$A229&lt;Q$6),AND(Q$7&gt;0,$A229&gt;Q$7)),0,MAX(0,ROUND((INDEX($E229:$G229,Q$5)-SUMIFS(TF_Timer,TF_Tekniker,Q$4,TF_Dato,$A229))*2,0)/2)))</f>
        <v/>
      </c>
      <c r="R229">
        <f>IF(OR(R$4="",$A229&gt;TODAY()),0,IF(OR(INDEX($B229:$D229,R$5)="F",AND(R$6&gt;0,$A229&lt;R$6),AND(R$7&gt;0,$A229&gt;R$7)),0,MAX(0,ROUND((INDEX($E229:$G229,R$5)-SUMIFS(TF_Timer,TF_Tekniker,R$4,TF_Dato,$A229))*2,0)/2)))</f>
        <v/>
      </c>
      <c r="S229">
        <f>IF(OR(S$4="",$A229&gt;TODAY()),0,IF(OR(INDEX($B229:$D229,S$5)="F",AND(S$6&gt;0,$A229&lt;S$6),AND(S$7&gt;0,$A229&gt;S$7)),0,MAX(0,ROUND((INDEX($E229:$G229,S$5)-SUMIFS(TF_Timer,TF_Tekniker,S$4,TF_Dato,$A229))*2,0)/2)))</f>
        <v/>
      </c>
      <c r="T229">
        <f>IF(OR(T$4="",$A229&gt;TODAY()),0,IF(OR(INDEX($B229:$D229,T$5)="F",AND(T$6&gt;0,$A229&lt;T$6),AND(T$7&gt;0,$A229&gt;T$7)),0,MAX(0,ROUND((INDEX($E229:$G229,T$5)-SUMIFS(TF_Timer,TF_Tekniker,T$4,TF_Dato,$A229))*2,0)/2)))</f>
        <v/>
      </c>
      <c r="U229">
        <f>IF(OR(U$4="",$A229&gt;TODAY()),0,IF(OR(INDEX($B229:$D229,U$5)="F",AND(U$6&gt;0,$A229&lt;U$6),AND(U$7&gt;0,$A229&gt;U$7)),0,MAX(0,ROUND((INDEX($E229:$G229,U$5)-SUMIFS(TF_Timer,TF_Tekniker,U$4,TF_Dato,$A229))*2,0)/2)))</f>
        <v/>
      </c>
      <c r="V229">
        <f>IF(OR(V$4="",$A229&gt;TODAY()),0,IF(OR(INDEX($B229:$D229,V$5)="F",AND(V$6&gt;0,$A229&lt;V$6),AND(V$7&gt;0,$A229&gt;V$7)),0,MAX(0,ROUND((INDEX($E229:$G229,V$5)-SUMIFS(TF_Timer,TF_Tekniker,V$4,TF_Dato,$A229))*2,0)/2)))</f>
        <v/>
      </c>
      <c r="W229">
        <f>IF(OR(W$4="",$A229&gt;TODAY()),0,IF(OR(INDEX($B229:$D229,W$5)="F",AND(W$6&gt;0,$A229&lt;W$6),AND(W$7&gt;0,$A229&gt;W$7)),0,MAX(0,ROUND((INDEX($E229:$G229,W$5)-SUMIFS(TF_Timer,TF_Tekniker,W$4,TF_Dato,$A229))*2,0)/2)))</f>
        <v/>
      </c>
      <c r="X229">
        <f>IF(OR(X$4="",$A229&gt;TODAY()),0,IF(OR(INDEX($B229:$D229,X$5)="F",AND(X$6&gt;0,$A229&lt;X$6),AND(X$7&gt;0,$A229&gt;X$7)),0,MAX(0,ROUND((INDEX($E229:$G229,X$5)-SUMIFS(TF_Timer,TF_Tekniker,X$4,TF_Dato,$A229))*2,0)/2)))</f>
        <v/>
      </c>
      <c r="Y229">
        <f>IF(OR(Y$4="",$A229&gt;TODAY()),0,IF(OR(INDEX($B229:$D229,Y$5)="F",AND(Y$6&gt;0,$A229&lt;Y$6),AND(Y$7&gt;0,$A229&gt;Y$7)),0,MAX(0,ROUND((INDEX($E229:$G229,Y$5)-SUMIFS(TF_Timer,TF_Tekniker,Y$4,TF_Dato,$A229))*2,0)/2)))</f>
        <v/>
      </c>
      <c r="Z229">
        <f>IF(OR(Z$4="",$A229&gt;TODAY()),0,IF(OR(INDEX($B229:$D229,Z$5)="F",AND(Z$6&gt;0,$A229&lt;Z$6),AND(Z$7&gt;0,$A229&gt;Z$7)),0,MAX(0,ROUND((INDEX($E229:$G229,Z$5)-SUMIFS(TF_Timer,TF_Tekniker,Z$4,TF_Dato,$A229))*2,0)/2)))</f>
        <v/>
      </c>
      <c r="AA229">
        <f>IF(OR(AA$4="",$A229&gt;TODAY()),0,IF(OR(INDEX($B229:$D229,AA$5)="F",AND(AA$6&gt;0,$A229&lt;AA$6),AND(AA$7&gt;0,$A229&gt;AA$7)),0,MAX(0,ROUND((INDEX($E229:$G229,AA$5)-SUMIFS(TF_Timer,TF_Tekniker,AA$4,TF_Dato,$A229))*2,0)/2)))</f>
        <v/>
      </c>
      <c r="AB229">
        <f>IF(OR(AB$4="",$A229&gt;TODAY()),0,IF(OR(INDEX($B229:$D229,AB$5)="F",AND(AB$6&gt;0,$A229&lt;AB$6),AND(AB$7&gt;0,$A229&gt;AB$7)),0,MAX(0,ROUND((INDEX($E229:$G229,AB$5)-SUMIFS(TF_Timer,TF_Tekniker,AB$4,TF_Dato,$A229))*2,0)/2)))</f>
        <v/>
      </c>
      <c r="AC229">
        <f>IF(OR(AC$4="",$A229&gt;TODAY()),0,IF(OR(INDEX($B229:$D229,AC$5)="F",AND(AC$6&gt;0,$A229&lt;AC$6),AND(AC$7&gt;0,$A229&gt;AC$7)),0,MAX(0,ROUND((INDEX($E229:$G229,AC$5)-SUMIFS(TF_Timer,TF_Tekniker,AC$4,TF_Dato,$A229))*2,0)/2)))</f>
        <v/>
      </c>
      <c r="AD229">
        <f>IF(OR(AD$4="",$A229&gt;TODAY()),0,IF(OR(INDEX($B229:$D229,AD$5)="F",AND(AD$6&gt;0,$A229&lt;AD$6),AND(AD$7&gt;0,$A229&gt;AD$7)),0,MAX(0,ROUND((INDEX($E229:$G229,AD$5)-SUMIFS(TF_Timer,TF_Tekniker,AD$4,TF_Dato,$A229))*2,0)/2)))</f>
        <v/>
      </c>
      <c r="AE229">
        <f>IF(OR(AE$4="",$A229&gt;TODAY()),0,IF(OR(INDEX($B229:$D229,AE$5)="F",AND(AE$6&gt;0,$A229&lt;AE$6),AND(AE$7&gt;0,$A229&gt;AE$7)),0,MAX(0,ROUND((INDEX($E229:$G229,AE$5)-SUMIFS(TF_Timer,TF_Tekniker,AE$4,TF_Dato,$A229))*2,0)/2)))</f>
        <v/>
      </c>
      <c r="AF229">
        <f>IF(OR(AF$4="",$A229&gt;TODAY()),0,IF(OR(INDEX($B229:$D229,AF$5)="F",AND(AF$6&gt;0,$A229&lt;AF$6),AND(AF$7&gt;0,$A229&gt;AF$7)),0,MAX(0,ROUND((INDEX($E229:$G229,AF$5)-SUMIFS(TF_Timer,TF_Tekniker,AF$4,TF_Dato,$A229))*2,0)/2)))</f>
        <v/>
      </c>
      <c r="AG229">
        <f>IF(OR(AG$4="",$A229&gt;TODAY()),0,IF(OR(INDEX($B229:$D229,AG$5)="F",AND(AG$6&gt;0,$A229&lt;AG$6),AND(AG$7&gt;0,$A229&gt;AG$7)),0,MAX(0,ROUND((INDEX($E229:$G229,AG$5)-SUMIFS(TF_Timer,TF_Tekniker,AG$4,TF_Dato,$A229))*2,0)/2)))</f>
        <v/>
      </c>
      <c r="AH229">
        <f>IF(OR(AH$4="",$A229&gt;TODAY()),0,IF(OR(INDEX($B229:$D229,AH$5)="F",AND(AH$6&gt;0,$A229&lt;AH$6),AND(AH$7&gt;0,$A229&gt;AH$7)),0,MAX(0,ROUND((INDEX($E229:$G229,AH$5)-SUMIFS(TF_Timer,TF_Tekniker,AH$4,TF_Dato,$A229))*2,0)/2)))</f>
        <v/>
      </c>
      <c r="AI229">
        <f>IF(OR(AI$4="",$A229&gt;TODAY()),0,IF(OR(INDEX($B229:$D229,AI$5)="F",AND(AI$6&gt;0,$A229&lt;AI$6),AND(AI$7&gt;0,$A229&gt;AI$7)),0,MAX(0,ROUND((INDEX($E229:$G229,AI$5)-SUMIFS(TF_Timer,TF_Tekniker,AI$4,TF_Dato,$A229))*2,0)/2)))</f>
        <v/>
      </c>
      <c r="AJ229">
        <f>IF(OR(AJ$4="",$A229&gt;TODAY()),0,IF(OR(INDEX($B229:$D229,AJ$5)="F",AND(AJ$6&gt;0,$A229&lt;AJ$6),AND(AJ$7&gt;0,$A229&gt;AJ$7)),0,MAX(0,ROUND((INDEX($E229:$G229,AJ$5)-SUMIFS(TF_Timer,TF_Tekniker,AJ$4,TF_Dato,$A229))*2,0)/2)))</f>
        <v/>
      </c>
      <c r="AK229">
        <f>IF(OR(AK$4="",$A229&gt;TODAY()),0,IF(OR(INDEX($B229:$D229,AK$5)="F",AND(AK$6&gt;0,$A229&lt;AK$6),AND(AK$7&gt;0,$A229&gt;AK$7)),0,MAX(0,ROUND((INDEX($E229:$G229,AK$5)-SUMIFS(TF_Timer,TF_Tekniker,AK$4,TF_Dato,$A229))*2,0)/2)))</f>
        <v/>
      </c>
      <c r="AL229">
        <f>IF(OR(AL$4="",$A229&gt;TODAY()),0,IF(OR(INDEX($B229:$D229,AL$5)="F",AND(AL$6&gt;0,$A229&lt;AL$6),AND(AL$7&gt;0,$A229&gt;AL$7)),0,MAX(0,ROUND((INDEX($E229:$G229,AL$5)-SUMIFS(TF_Timer,TF_Tekniker,AL$4,TF_Dato,$A229))*2,0)/2)))</f>
        <v/>
      </c>
      <c r="AM229">
        <f>IF(OR(AM$4="",$A229&gt;TODAY()),0,IF(OR(INDEX($B229:$D229,AM$5)="F",AND(AM$6&gt;0,$A229&lt;AM$6),AND(AM$7&gt;0,$A229&gt;AM$7)),0,MAX(0,ROUND((INDEX($E229:$G229,AM$5)-SUMIFS(TF_Timer,TF_Tekniker,AM$4,TF_Dato,$A229))*2,0)/2)))</f>
        <v/>
      </c>
      <c r="AN229">
        <f>IF(OR(AN$4="",$A229&gt;TODAY()),0,IF(OR(INDEX($B229:$D229,AN$5)="F",AND(AN$6&gt;0,$A229&lt;AN$6),AND(AN$7&gt;0,$A229&gt;AN$7)),0,MAX(0,ROUND((INDEX($E229:$G229,AN$5)-SUMIFS(TF_Timer,TF_Tekniker,AN$4,TF_Dato,$A229))*2,0)/2)))</f>
        <v/>
      </c>
      <c r="AO229">
        <f>IF(OR(AO$4="",$A229&gt;TODAY()),0,IF(OR(INDEX($B229:$D229,AO$5)="F",AND(AO$6&gt;0,$A229&lt;AO$6),AND(AO$7&gt;0,$A229&gt;AO$7)),0,MAX(0,ROUND((INDEX($E229:$G229,AO$5)-SUMIFS(TF_Timer,TF_Tekniker,AO$4,TF_Dato,$A229))*2,0)/2)))</f>
        <v/>
      </c>
      <c r="AP229">
        <f>IF(OR(AP$4="",$A229&gt;TODAY()),0,IF(OR(INDEX($B229:$D229,AP$5)="F",AND(AP$6&gt;0,$A229&lt;AP$6),AND(AP$7&gt;0,$A229&gt;AP$7)),0,MAX(0,ROUND((INDEX($E229:$G229,AP$5)-SUMIFS(TF_Timer,TF_Tekniker,AP$4,TF_Dato,$A229))*2,0)/2)))</f>
        <v/>
      </c>
      <c r="AQ229">
        <f>IF(OR(AQ$4="",$A229&gt;TODAY()),0,IF(OR(INDEX($B229:$D229,AQ$5)="F",AND(AQ$6&gt;0,$A229&lt;AQ$6),AND(AQ$7&gt;0,$A229&gt;AQ$7)),0,MAX(0,ROUND((INDEX($E229:$G229,AQ$5)-SUMIFS(TF_Timer,TF_Tekniker,AQ$4,TF_Dato,$A229))*2,0)/2)))</f>
        <v/>
      </c>
      <c r="AR229">
        <f>IF(OR(AR$4="",$A229&gt;TODAY()),0,IF(OR(INDEX($B229:$D229,AR$5)="F",AND(AR$6&gt;0,$A229&lt;AR$6),AND(AR$7&gt;0,$A229&gt;AR$7)),0,MAX(0,ROUND((INDEX($E229:$G229,AR$5)-SUMIFS(TF_Timer,TF_Tekniker,AR$4,TF_Dato,$A229))*2,0)/2)))</f>
        <v/>
      </c>
      <c r="AS229">
        <f>IF(OR(AS$4="",$A229&gt;TODAY()),0,IF(OR(INDEX($B229:$D229,AS$5)="F",AND(AS$6&gt;0,$A229&lt;AS$6),AND(AS$7&gt;0,$A229&gt;AS$7)),0,MAX(0,ROUND((INDEX($E229:$G229,AS$5)-SUMIFS(TF_Timer,TF_Tekniker,AS$4,TF_Dato,$A229))*2,0)/2)))</f>
        <v/>
      </c>
      <c r="AT229">
        <f>IF(OR(AT$4="",$A229&gt;TODAY()),0,IF(OR(INDEX($B229:$D229,AT$5)="F",AND(AT$6&gt;0,$A229&lt;AT$6),AND(AT$7&gt;0,$A229&gt;AT$7)),0,MAX(0,ROUND((INDEX($E229:$G229,AT$5)-SUMIFS(TF_Timer,TF_Tekniker,AT$4,TF_Dato,$A229))*2,0)/2)))</f>
        <v/>
      </c>
      <c r="AU229">
        <f>IF(OR(AU$4="",$A229&gt;TODAY()),0,IF(OR(INDEX($B229:$D229,AU$5)="F",AND(AU$6&gt;0,$A229&lt;AU$6),AND(AU$7&gt;0,$A229&gt;AU$7)),0,MAX(0,ROUND((INDEX($E229:$G229,AU$5)-SUMIFS(TF_Timer,TF_Tekniker,AU$4,TF_Dato,$A229))*2,0)/2)))</f>
        <v/>
      </c>
      <c r="AV229">
        <f>IF(OR(AV$4="",$A229&gt;TODAY()),0,IF(OR(INDEX($B229:$D229,AV$5)="F",AND(AV$6&gt;0,$A229&lt;AV$6),AND(AV$7&gt;0,$A229&gt;AV$7)),0,MAX(0,ROUND((INDEX($E229:$G229,AV$5)-SUMIFS(TF_Timer,TF_Tekniker,AV$4,TF_Dato,$A229))*2,0)/2)))</f>
        <v/>
      </c>
      <c r="AW229">
        <f>IF(OR(AW$4="",$A229&gt;TODAY()),0,IF(OR(INDEX($B229:$D229,AW$5)="F",AND(AW$6&gt;0,$A229&lt;AW$6),AND(AW$7&gt;0,$A229&gt;AW$7)),0,MAX(0,ROUND((INDEX($E229:$G229,AW$5)-SUMIFS(TF_Timer,TF_Tekniker,AW$4,TF_Dato,$A229))*2,0)/2)))</f>
        <v/>
      </c>
      <c r="AX229">
        <f>IF(OR(AX$4="",$A229&gt;TODAY()),0,IF(OR(INDEX($B229:$D229,AX$5)="F",AND(AX$6&gt;0,$A229&lt;AX$6),AND(AX$7&gt;0,$A229&gt;AX$7)),0,MAX(0,ROUND((INDEX($E229:$G229,AX$5)-SUMIFS(TF_Timer,TF_Tekniker,AX$4,TF_Dato,$A229))*2,0)/2)))</f>
        <v/>
      </c>
      <c r="AY229">
        <f>IF(OR(AY$4="",$A229&gt;TODAY()),0,IF(OR(INDEX($B229:$D229,AY$5)="F",AND(AY$6&gt;0,$A229&lt;AY$6),AND(AY$7&gt;0,$A229&gt;AY$7)),0,MAX(0,ROUND((INDEX($E229:$G229,AY$5)-SUMIFS(TF_Timer,TF_Tekniker,AY$4,TF_Dato,$A229))*2,0)/2)))</f>
        <v/>
      </c>
      <c r="AZ229">
        <f>IF(OR(AZ$4="",$A229&gt;TODAY()),0,IF(OR(INDEX($B229:$D229,AZ$5)="F",AND(AZ$6&gt;0,$A229&lt;AZ$6),AND(AZ$7&gt;0,$A229&gt;AZ$7)),0,MAX(0,ROUND((INDEX($E229:$G229,AZ$5)-SUMIFS(TF_Timer,TF_Tekniker,AZ$4,TF_Dato,$A229))*2,0)/2)))</f>
        <v/>
      </c>
      <c r="BA229">
        <f>IF(OR(BA$4="",$A229&gt;TODAY()),0,IF(OR(INDEX($B229:$D229,BA$5)="F",AND(BA$6&gt;0,$A229&lt;BA$6),AND(BA$7&gt;0,$A229&gt;BA$7)),0,MAX(0,ROUND((INDEX($E229:$G229,BA$5)-SUMIFS(TF_Timer,TF_Tekniker,BA$4,TF_Dato,$A229))*2,0)/2)))</f>
        <v/>
      </c>
      <c r="BB229">
        <f>IF(OR(BB$4="",$A229&gt;TODAY()),0,IF(OR(INDEX($B229:$D229,BB$5)="F",AND(BB$6&gt;0,$A229&lt;BB$6),AND(BB$7&gt;0,$A229&gt;BB$7)),0,MAX(0,ROUND((INDEX($E229:$G229,BB$5)-SUMIFS(TF_Timer,TF_Tekniker,BB$4,TF_Dato,$A229))*2,0)/2)))</f>
        <v/>
      </c>
      <c r="BC229">
        <f>IF(OR(BC$4="",$A229&gt;TODAY()),0,IF(OR(INDEX($B229:$D229,BC$5)="F",AND(BC$6&gt;0,$A229&lt;BC$6),AND(BC$7&gt;0,$A229&gt;BC$7)),0,MAX(0,ROUND((INDEX($E229:$G229,BC$5)-SUMIFS(TF_Timer,TF_Tekniker,BC$4,TF_Dato,$A229))*2,0)/2)))</f>
        <v/>
      </c>
      <c r="BD229">
        <f>IF(OR(BD$4="",$A229&gt;TODAY()),0,IF(OR(INDEX($B229:$D229,BD$5)="F",AND(BD$6&gt;0,$A229&lt;BD$6),AND(BD$7&gt;0,$A229&gt;BD$7)),0,MAX(0,ROUND((INDEX($E229:$G229,BD$5)-SUMIFS(TF_Timer,TF_Tekniker,BD$4,TF_Dato,$A229))*2,0)/2)))</f>
        <v/>
      </c>
      <c r="BE229">
        <f>IF(OR(BE$4="",$A229&gt;TODAY()),0,IF(OR(INDEX($B229:$D229,BE$5)="F",AND(BE$6&gt;0,$A229&lt;BE$6),AND(BE$7&gt;0,$A229&gt;BE$7)),0,MAX(0,ROUND((INDEX($E229:$G229,BE$5)-SUMIFS(TF_Timer,TF_Tekniker,BE$4,TF_Dato,$A229))*2,0)/2)))</f>
        <v/>
      </c>
      <c r="BF229">
        <f>IF(OR(BF$4="",$A229&gt;TODAY()),0,IF(OR(INDEX($B229:$D229,BF$5)="F",AND(BF$6&gt;0,$A229&lt;BF$6),AND(BF$7&gt;0,$A229&gt;BF$7)),0,MAX(0,ROUND((INDEX($E229:$G229,BF$5)-SUMIFS(TF_Timer,TF_Tekniker,BF$4,TF_Dato,$A229))*2,0)/2)))</f>
        <v/>
      </c>
      <c r="BG229">
        <f>IF(OR(BG$4="",$A229&gt;TODAY()),0,IF(OR(INDEX($B229:$D229,BG$5)="F",AND(BG$6&gt;0,$A229&lt;BG$6),AND(BG$7&gt;0,$A229&gt;BG$7)),0,MAX(0,ROUND((INDEX($E229:$G229,BG$5)-SUMIFS(TF_Timer,TF_Tekniker,BG$4,TF_Dato,$A229))*2,0)/2)))</f>
        <v/>
      </c>
      <c r="BH229">
        <f>IF(OR(BH$4="",$A229&gt;TODAY()),0,IF(OR(INDEX($B229:$D229,BH$5)="F",AND(BH$6&gt;0,$A229&lt;BH$6),AND(BH$7&gt;0,$A229&gt;BH$7)),0,MAX(0,ROUND((INDEX($E229:$G229,BH$5)-SUMIFS(TF_Timer,TF_Tekniker,BH$4,TF_Dato,$A229))*2,0)/2)))</f>
        <v/>
      </c>
      <c r="BI229">
        <f>IF(OR(BI$4="",$A229&gt;TODAY()),0,IF(OR(INDEX($B229:$D229,BI$5)="F",AND(BI$6&gt;0,$A229&lt;BI$6),AND(BI$7&gt;0,$A229&gt;BI$7)),0,MAX(0,ROUND((INDEX($E229:$G229,BI$5)-SUMIFS(TF_Timer,TF_Tekniker,BI$4,TF_Dato,$A229))*2,0)/2)))</f>
        <v/>
      </c>
    </row>
    <row r="230">
      <c r="A230" s="64">
        <f>A229+1</f>
        <v/>
      </c>
      <c r="B230">
        <f>IF(MOD($A230-INDEX(SkiftStart,1),Syklus)&lt;DagK,"K",IF(MOD($A230-INDEX(SkiftStart,1),Syklus)&lt;DagK+DagH,"H",IF(MOD($A230-INDEX(SkiftStart,1),Syklus)&lt;DagK+DagH+DagD,"D","F")))</f>
        <v/>
      </c>
      <c r="C230">
        <f>IF(MOD($A230-INDEX(SkiftStart,2),Syklus)&lt;DagK,"K",IF(MOD($A230-INDEX(SkiftStart,2),Syklus)&lt;DagK+DagH,"H",IF(MOD($A230-INDEX(SkiftStart,2),Syklus)&lt;DagK+DagH+DagD,"D","F")))</f>
        <v/>
      </c>
      <c r="D230">
        <f>IF(MOD($A230-INDEX(SkiftStart,3),Syklus)&lt;DagK,"K",IF(MOD($A230-INDEX(SkiftStart,3),Syklus)&lt;DagK+DagH,"H",IF(MOD($A230-INDEX(SkiftStart,3),Syklus)&lt;DagK+DagH+DagD,"D","F")))</f>
        <v/>
      </c>
      <c r="E230">
        <f>IF(B230="F",0,IF(WEEKDAY($A230,2)=5,INDEX(TimerFr,MATCH(B230,FaseKode,0)),INDEX(TimerMT,MATCH(B230,FaseKode,0))))</f>
        <v/>
      </c>
      <c r="F230">
        <f>IF(C230="F",0,IF(WEEKDAY($A230,2)=5,INDEX(TimerFr,MATCH(C230,FaseKode,0)),INDEX(TimerMT,MATCH(C230,FaseKode,0))))</f>
        <v/>
      </c>
      <c r="G230">
        <f>IF(D230="F",0,IF(WEEKDAY($A230,2)=5,INDEX(TimerFr,MATCH(D230,FaseKode,0)),INDEX(TimerMT,MATCH(D230,FaseKode,0))))</f>
        <v/>
      </c>
      <c r="H230">
        <f>IF(OR(H$4="",$A230&gt;TODAY()),0,IF(OR(INDEX($B230:$D230,H$5)="F",AND(H$6&gt;0,$A230&lt;H$6),AND(H$7&gt;0,$A230&gt;H$7)),0,MAX(0,ROUND((INDEX($E230:$G230,H$5)-SUMIFS(TF_Timer,TF_Tekniker,H$4,TF_Dato,$A230))*2,0)/2)))</f>
        <v/>
      </c>
      <c r="I230">
        <f>IF(OR(I$4="",$A230&gt;TODAY()),0,IF(OR(INDEX($B230:$D230,I$5)="F",AND(I$6&gt;0,$A230&lt;I$6),AND(I$7&gt;0,$A230&gt;I$7)),0,MAX(0,ROUND((INDEX($E230:$G230,I$5)-SUMIFS(TF_Timer,TF_Tekniker,I$4,TF_Dato,$A230))*2,0)/2)))</f>
        <v/>
      </c>
      <c r="J230">
        <f>IF(OR(J$4="",$A230&gt;TODAY()),0,IF(OR(INDEX($B230:$D230,J$5)="F",AND(J$6&gt;0,$A230&lt;J$6),AND(J$7&gt;0,$A230&gt;J$7)),0,MAX(0,ROUND((INDEX($E230:$G230,J$5)-SUMIFS(TF_Timer,TF_Tekniker,J$4,TF_Dato,$A230))*2,0)/2)))</f>
        <v/>
      </c>
      <c r="K230">
        <f>IF(OR(K$4="",$A230&gt;TODAY()),0,IF(OR(INDEX($B230:$D230,K$5)="F",AND(K$6&gt;0,$A230&lt;K$6),AND(K$7&gt;0,$A230&gt;K$7)),0,MAX(0,ROUND((INDEX($E230:$G230,K$5)-SUMIFS(TF_Timer,TF_Tekniker,K$4,TF_Dato,$A230))*2,0)/2)))</f>
        <v/>
      </c>
      <c r="L230">
        <f>IF(OR(L$4="",$A230&gt;TODAY()),0,IF(OR(INDEX($B230:$D230,L$5)="F",AND(L$6&gt;0,$A230&lt;L$6),AND(L$7&gt;0,$A230&gt;L$7)),0,MAX(0,ROUND((INDEX($E230:$G230,L$5)-SUMIFS(TF_Timer,TF_Tekniker,L$4,TF_Dato,$A230))*2,0)/2)))</f>
        <v/>
      </c>
      <c r="M230">
        <f>IF(OR(M$4="",$A230&gt;TODAY()),0,IF(OR(INDEX($B230:$D230,M$5)="F",AND(M$6&gt;0,$A230&lt;M$6),AND(M$7&gt;0,$A230&gt;M$7)),0,MAX(0,ROUND((INDEX($E230:$G230,M$5)-SUMIFS(TF_Timer,TF_Tekniker,M$4,TF_Dato,$A230))*2,0)/2)))</f>
        <v/>
      </c>
      <c r="N230">
        <f>IF(OR(N$4="",$A230&gt;TODAY()),0,IF(OR(INDEX($B230:$D230,N$5)="F",AND(N$6&gt;0,$A230&lt;N$6),AND(N$7&gt;0,$A230&gt;N$7)),0,MAX(0,ROUND((INDEX($E230:$G230,N$5)-SUMIFS(TF_Timer,TF_Tekniker,N$4,TF_Dato,$A230))*2,0)/2)))</f>
        <v/>
      </c>
      <c r="O230">
        <f>IF(OR(O$4="",$A230&gt;TODAY()),0,IF(OR(INDEX($B230:$D230,O$5)="F",AND(O$6&gt;0,$A230&lt;O$6),AND(O$7&gt;0,$A230&gt;O$7)),0,MAX(0,ROUND((INDEX($E230:$G230,O$5)-SUMIFS(TF_Timer,TF_Tekniker,O$4,TF_Dato,$A230))*2,0)/2)))</f>
        <v/>
      </c>
      <c r="P230">
        <f>IF(OR(P$4="",$A230&gt;TODAY()),0,IF(OR(INDEX($B230:$D230,P$5)="F",AND(P$6&gt;0,$A230&lt;P$6),AND(P$7&gt;0,$A230&gt;P$7)),0,MAX(0,ROUND((INDEX($E230:$G230,P$5)-SUMIFS(TF_Timer,TF_Tekniker,P$4,TF_Dato,$A230))*2,0)/2)))</f>
        <v/>
      </c>
      <c r="Q230">
        <f>IF(OR(Q$4="",$A230&gt;TODAY()),0,IF(OR(INDEX($B230:$D230,Q$5)="F",AND(Q$6&gt;0,$A230&lt;Q$6),AND(Q$7&gt;0,$A230&gt;Q$7)),0,MAX(0,ROUND((INDEX($E230:$G230,Q$5)-SUMIFS(TF_Timer,TF_Tekniker,Q$4,TF_Dato,$A230))*2,0)/2)))</f>
        <v/>
      </c>
      <c r="R230">
        <f>IF(OR(R$4="",$A230&gt;TODAY()),0,IF(OR(INDEX($B230:$D230,R$5)="F",AND(R$6&gt;0,$A230&lt;R$6),AND(R$7&gt;0,$A230&gt;R$7)),0,MAX(0,ROUND((INDEX($E230:$G230,R$5)-SUMIFS(TF_Timer,TF_Tekniker,R$4,TF_Dato,$A230))*2,0)/2)))</f>
        <v/>
      </c>
      <c r="S230">
        <f>IF(OR(S$4="",$A230&gt;TODAY()),0,IF(OR(INDEX($B230:$D230,S$5)="F",AND(S$6&gt;0,$A230&lt;S$6),AND(S$7&gt;0,$A230&gt;S$7)),0,MAX(0,ROUND((INDEX($E230:$G230,S$5)-SUMIFS(TF_Timer,TF_Tekniker,S$4,TF_Dato,$A230))*2,0)/2)))</f>
        <v/>
      </c>
      <c r="T230">
        <f>IF(OR(T$4="",$A230&gt;TODAY()),0,IF(OR(INDEX($B230:$D230,T$5)="F",AND(T$6&gt;0,$A230&lt;T$6),AND(T$7&gt;0,$A230&gt;T$7)),0,MAX(0,ROUND((INDEX($E230:$G230,T$5)-SUMIFS(TF_Timer,TF_Tekniker,T$4,TF_Dato,$A230))*2,0)/2)))</f>
        <v/>
      </c>
      <c r="U230">
        <f>IF(OR(U$4="",$A230&gt;TODAY()),0,IF(OR(INDEX($B230:$D230,U$5)="F",AND(U$6&gt;0,$A230&lt;U$6),AND(U$7&gt;0,$A230&gt;U$7)),0,MAX(0,ROUND((INDEX($E230:$G230,U$5)-SUMIFS(TF_Timer,TF_Tekniker,U$4,TF_Dato,$A230))*2,0)/2)))</f>
        <v/>
      </c>
      <c r="V230">
        <f>IF(OR(V$4="",$A230&gt;TODAY()),0,IF(OR(INDEX($B230:$D230,V$5)="F",AND(V$6&gt;0,$A230&lt;V$6),AND(V$7&gt;0,$A230&gt;V$7)),0,MAX(0,ROUND((INDEX($E230:$G230,V$5)-SUMIFS(TF_Timer,TF_Tekniker,V$4,TF_Dato,$A230))*2,0)/2)))</f>
        <v/>
      </c>
      <c r="W230">
        <f>IF(OR(W$4="",$A230&gt;TODAY()),0,IF(OR(INDEX($B230:$D230,W$5)="F",AND(W$6&gt;0,$A230&lt;W$6),AND(W$7&gt;0,$A230&gt;W$7)),0,MAX(0,ROUND((INDEX($E230:$G230,W$5)-SUMIFS(TF_Timer,TF_Tekniker,W$4,TF_Dato,$A230))*2,0)/2)))</f>
        <v/>
      </c>
      <c r="X230">
        <f>IF(OR(X$4="",$A230&gt;TODAY()),0,IF(OR(INDEX($B230:$D230,X$5)="F",AND(X$6&gt;0,$A230&lt;X$6),AND(X$7&gt;0,$A230&gt;X$7)),0,MAX(0,ROUND((INDEX($E230:$G230,X$5)-SUMIFS(TF_Timer,TF_Tekniker,X$4,TF_Dato,$A230))*2,0)/2)))</f>
        <v/>
      </c>
      <c r="Y230">
        <f>IF(OR(Y$4="",$A230&gt;TODAY()),0,IF(OR(INDEX($B230:$D230,Y$5)="F",AND(Y$6&gt;0,$A230&lt;Y$6),AND(Y$7&gt;0,$A230&gt;Y$7)),0,MAX(0,ROUND((INDEX($E230:$G230,Y$5)-SUMIFS(TF_Timer,TF_Tekniker,Y$4,TF_Dato,$A230))*2,0)/2)))</f>
        <v/>
      </c>
      <c r="Z230">
        <f>IF(OR(Z$4="",$A230&gt;TODAY()),0,IF(OR(INDEX($B230:$D230,Z$5)="F",AND(Z$6&gt;0,$A230&lt;Z$6),AND(Z$7&gt;0,$A230&gt;Z$7)),0,MAX(0,ROUND((INDEX($E230:$G230,Z$5)-SUMIFS(TF_Timer,TF_Tekniker,Z$4,TF_Dato,$A230))*2,0)/2)))</f>
        <v/>
      </c>
      <c r="AA230">
        <f>IF(OR(AA$4="",$A230&gt;TODAY()),0,IF(OR(INDEX($B230:$D230,AA$5)="F",AND(AA$6&gt;0,$A230&lt;AA$6),AND(AA$7&gt;0,$A230&gt;AA$7)),0,MAX(0,ROUND((INDEX($E230:$G230,AA$5)-SUMIFS(TF_Timer,TF_Tekniker,AA$4,TF_Dato,$A230))*2,0)/2)))</f>
        <v/>
      </c>
      <c r="AB230">
        <f>IF(OR(AB$4="",$A230&gt;TODAY()),0,IF(OR(INDEX($B230:$D230,AB$5)="F",AND(AB$6&gt;0,$A230&lt;AB$6),AND(AB$7&gt;0,$A230&gt;AB$7)),0,MAX(0,ROUND((INDEX($E230:$G230,AB$5)-SUMIFS(TF_Timer,TF_Tekniker,AB$4,TF_Dato,$A230))*2,0)/2)))</f>
        <v/>
      </c>
      <c r="AC230">
        <f>IF(OR(AC$4="",$A230&gt;TODAY()),0,IF(OR(INDEX($B230:$D230,AC$5)="F",AND(AC$6&gt;0,$A230&lt;AC$6),AND(AC$7&gt;0,$A230&gt;AC$7)),0,MAX(0,ROUND((INDEX($E230:$G230,AC$5)-SUMIFS(TF_Timer,TF_Tekniker,AC$4,TF_Dato,$A230))*2,0)/2)))</f>
        <v/>
      </c>
      <c r="AD230">
        <f>IF(OR(AD$4="",$A230&gt;TODAY()),0,IF(OR(INDEX($B230:$D230,AD$5)="F",AND(AD$6&gt;0,$A230&lt;AD$6),AND(AD$7&gt;0,$A230&gt;AD$7)),0,MAX(0,ROUND((INDEX($E230:$G230,AD$5)-SUMIFS(TF_Timer,TF_Tekniker,AD$4,TF_Dato,$A230))*2,0)/2)))</f>
        <v/>
      </c>
      <c r="AE230">
        <f>IF(OR(AE$4="",$A230&gt;TODAY()),0,IF(OR(INDEX($B230:$D230,AE$5)="F",AND(AE$6&gt;0,$A230&lt;AE$6),AND(AE$7&gt;0,$A230&gt;AE$7)),0,MAX(0,ROUND((INDEX($E230:$G230,AE$5)-SUMIFS(TF_Timer,TF_Tekniker,AE$4,TF_Dato,$A230))*2,0)/2)))</f>
        <v/>
      </c>
      <c r="AF230">
        <f>IF(OR(AF$4="",$A230&gt;TODAY()),0,IF(OR(INDEX($B230:$D230,AF$5)="F",AND(AF$6&gt;0,$A230&lt;AF$6),AND(AF$7&gt;0,$A230&gt;AF$7)),0,MAX(0,ROUND((INDEX($E230:$G230,AF$5)-SUMIFS(TF_Timer,TF_Tekniker,AF$4,TF_Dato,$A230))*2,0)/2)))</f>
        <v/>
      </c>
      <c r="AG230">
        <f>IF(OR(AG$4="",$A230&gt;TODAY()),0,IF(OR(INDEX($B230:$D230,AG$5)="F",AND(AG$6&gt;0,$A230&lt;AG$6),AND(AG$7&gt;0,$A230&gt;AG$7)),0,MAX(0,ROUND((INDEX($E230:$G230,AG$5)-SUMIFS(TF_Timer,TF_Tekniker,AG$4,TF_Dato,$A230))*2,0)/2)))</f>
        <v/>
      </c>
      <c r="AH230">
        <f>IF(OR(AH$4="",$A230&gt;TODAY()),0,IF(OR(INDEX($B230:$D230,AH$5)="F",AND(AH$6&gt;0,$A230&lt;AH$6),AND(AH$7&gt;0,$A230&gt;AH$7)),0,MAX(0,ROUND((INDEX($E230:$G230,AH$5)-SUMIFS(TF_Timer,TF_Tekniker,AH$4,TF_Dato,$A230))*2,0)/2)))</f>
        <v/>
      </c>
      <c r="AI230">
        <f>IF(OR(AI$4="",$A230&gt;TODAY()),0,IF(OR(INDEX($B230:$D230,AI$5)="F",AND(AI$6&gt;0,$A230&lt;AI$6),AND(AI$7&gt;0,$A230&gt;AI$7)),0,MAX(0,ROUND((INDEX($E230:$G230,AI$5)-SUMIFS(TF_Timer,TF_Tekniker,AI$4,TF_Dato,$A230))*2,0)/2)))</f>
        <v/>
      </c>
      <c r="AJ230">
        <f>IF(OR(AJ$4="",$A230&gt;TODAY()),0,IF(OR(INDEX($B230:$D230,AJ$5)="F",AND(AJ$6&gt;0,$A230&lt;AJ$6),AND(AJ$7&gt;0,$A230&gt;AJ$7)),0,MAX(0,ROUND((INDEX($E230:$G230,AJ$5)-SUMIFS(TF_Timer,TF_Tekniker,AJ$4,TF_Dato,$A230))*2,0)/2)))</f>
        <v/>
      </c>
      <c r="AK230">
        <f>IF(OR(AK$4="",$A230&gt;TODAY()),0,IF(OR(INDEX($B230:$D230,AK$5)="F",AND(AK$6&gt;0,$A230&lt;AK$6),AND(AK$7&gt;0,$A230&gt;AK$7)),0,MAX(0,ROUND((INDEX($E230:$G230,AK$5)-SUMIFS(TF_Timer,TF_Tekniker,AK$4,TF_Dato,$A230))*2,0)/2)))</f>
        <v/>
      </c>
      <c r="AL230">
        <f>IF(OR(AL$4="",$A230&gt;TODAY()),0,IF(OR(INDEX($B230:$D230,AL$5)="F",AND(AL$6&gt;0,$A230&lt;AL$6),AND(AL$7&gt;0,$A230&gt;AL$7)),0,MAX(0,ROUND((INDEX($E230:$G230,AL$5)-SUMIFS(TF_Timer,TF_Tekniker,AL$4,TF_Dato,$A230))*2,0)/2)))</f>
        <v/>
      </c>
      <c r="AM230">
        <f>IF(OR(AM$4="",$A230&gt;TODAY()),0,IF(OR(INDEX($B230:$D230,AM$5)="F",AND(AM$6&gt;0,$A230&lt;AM$6),AND(AM$7&gt;0,$A230&gt;AM$7)),0,MAX(0,ROUND((INDEX($E230:$G230,AM$5)-SUMIFS(TF_Timer,TF_Tekniker,AM$4,TF_Dato,$A230))*2,0)/2)))</f>
        <v/>
      </c>
      <c r="AN230">
        <f>IF(OR(AN$4="",$A230&gt;TODAY()),0,IF(OR(INDEX($B230:$D230,AN$5)="F",AND(AN$6&gt;0,$A230&lt;AN$6),AND(AN$7&gt;0,$A230&gt;AN$7)),0,MAX(0,ROUND((INDEX($E230:$G230,AN$5)-SUMIFS(TF_Timer,TF_Tekniker,AN$4,TF_Dato,$A230))*2,0)/2)))</f>
        <v/>
      </c>
      <c r="AO230">
        <f>IF(OR(AO$4="",$A230&gt;TODAY()),0,IF(OR(INDEX($B230:$D230,AO$5)="F",AND(AO$6&gt;0,$A230&lt;AO$6),AND(AO$7&gt;0,$A230&gt;AO$7)),0,MAX(0,ROUND((INDEX($E230:$G230,AO$5)-SUMIFS(TF_Timer,TF_Tekniker,AO$4,TF_Dato,$A230))*2,0)/2)))</f>
        <v/>
      </c>
      <c r="AP230">
        <f>IF(OR(AP$4="",$A230&gt;TODAY()),0,IF(OR(INDEX($B230:$D230,AP$5)="F",AND(AP$6&gt;0,$A230&lt;AP$6),AND(AP$7&gt;0,$A230&gt;AP$7)),0,MAX(0,ROUND((INDEX($E230:$G230,AP$5)-SUMIFS(TF_Timer,TF_Tekniker,AP$4,TF_Dato,$A230))*2,0)/2)))</f>
        <v/>
      </c>
      <c r="AQ230">
        <f>IF(OR(AQ$4="",$A230&gt;TODAY()),0,IF(OR(INDEX($B230:$D230,AQ$5)="F",AND(AQ$6&gt;0,$A230&lt;AQ$6),AND(AQ$7&gt;0,$A230&gt;AQ$7)),0,MAX(0,ROUND((INDEX($E230:$G230,AQ$5)-SUMIFS(TF_Timer,TF_Tekniker,AQ$4,TF_Dato,$A230))*2,0)/2)))</f>
        <v/>
      </c>
      <c r="AR230">
        <f>IF(OR(AR$4="",$A230&gt;TODAY()),0,IF(OR(INDEX($B230:$D230,AR$5)="F",AND(AR$6&gt;0,$A230&lt;AR$6),AND(AR$7&gt;0,$A230&gt;AR$7)),0,MAX(0,ROUND((INDEX($E230:$G230,AR$5)-SUMIFS(TF_Timer,TF_Tekniker,AR$4,TF_Dato,$A230))*2,0)/2)))</f>
        <v/>
      </c>
      <c r="AS230">
        <f>IF(OR(AS$4="",$A230&gt;TODAY()),0,IF(OR(INDEX($B230:$D230,AS$5)="F",AND(AS$6&gt;0,$A230&lt;AS$6),AND(AS$7&gt;0,$A230&gt;AS$7)),0,MAX(0,ROUND((INDEX($E230:$G230,AS$5)-SUMIFS(TF_Timer,TF_Tekniker,AS$4,TF_Dato,$A230))*2,0)/2)))</f>
        <v/>
      </c>
      <c r="AT230">
        <f>IF(OR(AT$4="",$A230&gt;TODAY()),0,IF(OR(INDEX($B230:$D230,AT$5)="F",AND(AT$6&gt;0,$A230&lt;AT$6),AND(AT$7&gt;0,$A230&gt;AT$7)),0,MAX(0,ROUND((INDEX($E230:$G230,AT$5)-SUMIFS(TF_Timer,TF_Tekniker,AT$4,TF_Dato,$A230))*2,0)/2)))</f>
        <v/>
      </c>
      <c r="AU230">
        <f>IF(OR(AU$4="",$A230&gt;TODAY()),0,IF(OR(INDEX($B230:$D230,AU$5)="F",AND(AU$6&gt;0,$A230&lt;AU$6),AND(AU$7&gt;0,$A230&gt;AU$7)),0,MAX(0,ROUND((INDEX($E230:$G230,AU$5)-SUMIFS(TF_Timer,TF_Tekniker,AU$4,TF_Dato,$A230))*2,0)/2)))</f>
        <v/>
      </c>
      <c r="AV230">
        <f>IF(OR(AV$4="",$A230&gt;TODAY()),0,IF(OR(INDEX($B230:$D230,AV$5)="F",AND(AV$6&gt;0,$A230&lt;AV$6),AND(AV$7&gt;0,$A230&gt;AV$7)),0,MAX(0,ROUND((INDEX($E230:$G230,AV$5)-SUMIFS(TF_Timer,TF_Tekniker,AV$4,TF_Dato,$A230))*2,0)/2)))</f>
        <v/>
      </c>
      <c r="AW230">
        <f>IF(OR(AW$4="",$A230&gt;TODAY()),0,IF(OR(INDEX($B230:$D230,AW$5)="F",AND(AW$6&gt;0,$A230&lt;AW$6),AND(AW$7&gt;0,$A230&gt;AW$7)),0,MAX(0,ROUND((INDEX($E230:$G230,AW$5)-SUMIFS(TF_Timer,TF_Tekniker,AW$4,TF_Dato,$A230))*2,0)/2)))</f>
        <v/>
      </c>
      <c r="AX230">
        <f>IF(OR(AX$4="",$A230&gt;TODAY()),0,IF(OR(INDEX($B230:$D230,AX$5)="F",AND(AX$6&gt;0,$A230&lt;AX$6),AND(AX$7&gt;0,$A230&gt;AX$7)),0,MAX(0,ROUND((INDEX($E230:$G230,AX$5)-SUMIFS(TF_Timer,TF_Tekniker,AX$4,TF_Dato,$A230))*2,0)/2)))</f>
        <v/>
      </c>
      <c r="AY230">
        <f>IF(OR(AY$4="",$A230&gt;TODAY()),0,IF(OR(INDEX($B230:$D230,AY$5)="F",AND(AY$6&gt;0,$A230&lt;AY$6),AND(AY$7&gt;0,$A230&gt;AY$7)),0,MAX(0,ROUND((INDEX($E230:$G230,AY$5)-SUMIFS(TF_Timer,TF_Tekniker,AY$4,TF_Dato,$A230))*2,0)/2)))</f>
        <v/>
      </c>
      <c r="AZ230">
        <f>IF(OR(AZ$4="",$A230&gt;TODAY()),0,IF(OR(INDEX($B230:$D230,AZ$5)="F",AND(AZ$6&gt;0,$A230&lt;AZ$6),AND(AZ$7&gt;0,$A230&gt;AZ$7)),0,MAX(0,ROUND((INDEX($E230:$G230,AZ$5)-SUMIFS(TF_Timer,TF_Tekniker,AZ$4,TF_Dato,$A230))*2,0)/2)))</f>
        <v/>
      </c>
      <c r="BA230">
        <f>IF(OR(BA$4="",$A230&gt;TODAY()),0,IF(OR(INDEX($B230:$D230,BA$5)="F",AND(BA$6&gt;0,$A230&lt;BA$6),AND(BA$7&gt;0,$A230&gt;BA$7)),0,MAX(0,ROUND((INDEX($E230:$G230,BA$5)-SUMIFS(TF_Timer,TF_Tekniker,BA$4,TF_Dato,$A230))*2,0)/2)))</f>
        <v/>
      </c>
      <c r="BB230">
        <f>IF(OR(BB$4="",$A230&gt;TODAY()),0,IF(OR(INDEX($B230:$D230,BB$5)="F",AND(BB$6&gt;0,$A230&lt;BB$6),AND(BB$7&gt;0,$A230&gt;BB$7)),0,MAX(0,ROUND((INDEX($E230:$G230,BB$5)-SUMIFS(TF_Timer,TF_Tekniker,BB$4,TF_Dato,$A230))*2,0)/2)))</f>
        <v/>
      </c>
      <c r="BC230">
        <f>IF(OR(BC$4="",$A230&gt;TODAY()),0,IF(OR(INDEX($B230:$D230,BC$5)="F",AND(BC$6&gt;0,$A230&lt;BC$6),AND(BC$7&gt;0,$A230&gt;BC$7)),0,MAX(0,ROUND((INDEX($E230:$G230,BC$5)-SUMIFS(TF_Timer,TF_Tekniker,BC$4,TF_Dato,$A230))*2,0)/2)))</f>
        <v/>
      </c>
      <c r="BD230">
        <f>IF(OR(BD$4="",$A230&gt;TODAY()),0,IF(OR(INDEX($B230:$D230,BD$5)="F",AND(BD$6&gt;0,$A230&lt;BD$6),AND(BD$7&gt;0,$A230&gt;BD$7)),0,MAX(0,ROUND((INDEX($E230:$G230,BD$5)-SUMIFS(TF_Timer,TF_Tekniker,BD$4,TF_Dato,$A230))*2,0)/2)))</f>
        <v/>
      </c>
      <c r="BE230">
        <f>IF(OR(BE$4="",$A230&gt;TODAY()),0,IF(OR(INDEX($B230:$D230,BE$5)="F",AND(BE$6&gt;0,$A230&lt;BE$6),AND(BE$7&gt;0,$A230&gt;BE$7)),0,MAX(0,ROUND((INDEX($E230:$G230,BE$5)-SUMIFS(TF_Timer,TF_Tekniker,BE$4,TF_Dato,$A230))*2,0)/2)))</f>
        <v/>
      </c>
      <c r="BF230">
        <f>IF(OR(BF$4="",$A230&gt;TODAY()),0,IF(OR(INDEX($B230:$D230,BF$5)="F",AND(BF$6&gt;0,$A230&lt;BF$6),AND(BF$7&gt;0,$A230&gt;BF$7)),0,MAX(0,ROUND((INDEX($E230:$G230,BF$5)-SUMIFS(TF_Timer,TF_Tekniker,BF$4,TF_Dato,$A230))*2,0)/2)))</f>
        <v/>
      </c>
      <c r="BG230">
        <f>IF(OR(BG$4="",$A230&gt;TODAY()),0,IF(OR(INDEX($B230:$D230,BG$5)="F",AND(BG$6&gt;0,$A230&lt;BG$6),AND(BG$7&gt;0,$A230&gt;BG$7)),0,MAX(0,ROUND((INDEX($E230:$G230,BG$5)-SUMIFS(TF_Timer,TF_Tekniker,BG$4,TF_Dato,$A230))*2,0)/2)))</f>
        <v/>
      </c>
      <c r="BH230">
        <f>IF(OR(BH$4="",$A230&gt;TODAY()),0,IF(OR(INDEX($B230:$D230,BH$5)="F",AND(BH$6&gt;0,$A230&lt;BH$6),AND(BH$7&gt;0,$A230&gt;BH$7)),0,MAX(0,ROUND((INDEX($E230:$G230,BH$5)-SUMIFS(TF_Timer,TF_Tekniker,BH$4,TF_Dato,$A230))*2,0)/2)))</f>
        <v/>
      </c>
      <c r="BI230">
        <f>IF(OR(BI$4="",$A230&gt;TODAY()),0,IF(OR(INDEX($B230:$D230,BI$5)="F",AND(BI$6&gt;0,$A230&lt;BI$6),AND(BI$7&gt;0,$A230&gt;BI$7)),0,MAX(0,ROUND((INDEX($E230:$G230,BI$5)-SUMIFS(TF_Timer,TF_Tekniker,BI$4,TF_Dato,$A230))*2,0)/2)))</f>
        <v/>
      </c>
    </row>
    <row r="231">
      <c r="A231" s="64">
        <f>A230+1</f>
        <v/>
      </c>
      <c r="B231">
        <f>IF(MOD($A231-INDEX(SkiftStart,1),Syklus)&lt;DagK,"K",IF(MOD($A231-INDEX(SkiftStart,1),Syklus)&lt;DagK+DagH,"H",IF(MOD($A231-INDEX(SkiftStart,1),Syklus)&lt;DagK+DagH+DagD,"D","F")))</f>
        <v/>
      </c>
      <c r="C231">
        <f>IF(MOD($A231-INDEX(SkiftStart,2),Syklus)&lt;DagK,"K",IF(MOD($A231-INDEX(SkiftStart,2),Syklus)&lt;DagK+DagH,"H",IF(MOD($A231-INDEX(SkiftStart,2),Syklus)&lt;DagK+DagH+DagD,"D","F")))</f>
        <v/>
      </c>
      <c r="D231">
        <f>IF(MOD($A231-INDEX(SkiftStart,3),Syklus)&lt;DagK,"K",IF(MOD($A231-INDEX(SkiftStart,3),Syklus)&lt;DagK+DagH,"H",IF(MOD($A231-INDEX(SkiftStart,3),Syklus)&lt;DagK+DagH+DagD,"D","F")))</f>
        <v/>
      </c>
      <c r="E231">
        <f>IF(B231="F",0,IF(WEEKDAY($A231,2)=5,INDEX(TimerFr,MATCH(B231,FaseKode,0)),INDEX(TimerMT,MATCH(B231,FaseKode,0))))</f>
        <v/>
      </c>
      <c r="F231">
        <f>IF(C231="F",0,IF(WEEKDAY($A231,2)=5,INDEX(TimerFr,MATCH(C231,FaseKode,0)),INDEX(TimerMT,MATCH(C231,FaseKode,0))))</f>
        <v/>
      </c>
      <c r="G231">
        <f>IF(D231="F",0,IF(WEEKDAY($A231,2)=5,INDEX(TimerFr,MATCH(D231,FaseKode,0)),INDEX(TimerMT,MATCH(D231,FaseKode,0))))</f>
        <v/>
      </c>
      <c r="H231">
        <f>IF(OR(H$4="",$A231&gt;TODAY()),0,IF(OR(INDEX($B231:$D231,H$5)="F",AND(H$6&gt;0,$A231&lt;H$6),AND(H$7&gt;0,$A231&gt;H$7)),0,MAX(0,ROUND((INDEX($E231:$G231,H$5)-SUMIFS(TF_Timer,TF_Tekniker,H$4,TF_Dato,$A231))*2,0)/2)))</f>
        <v/>
      </c>
      <c r="I231">
        <f>IF(OR(I$4="",$A231&gt;TODAY()),0,IF(OR(INDEX($B231:$D231,I$5)="F",AND(I$6&gt;0,$A231&lt;I$6),AND(I$7&gt;0,$A231&gt;I$7)),0,MAX(0,ROUND((INDEX($E231:$G231,I$5)-SUMIFS(TF_Timer,TF_Tekniker,I$4,TF_Dato,$A231))*2,0)/2)))</f>
        <v/>
      </c>
      <c r="J231">
        <f>IF(OR(J$4="",$A231&gt;TODAY()),0,IF(OR(INDEX($B231:$D231,J$5)="F",AND(J$6&gt;0,$A231&lt;J$6),AND(J$7&gt;0,$A231&gt;J$7)),0,MAX(0,ROUND((INDEX($E231:$G231,J$5)-SUMIFS(TF_Timer,TF_Tekniker,J$4,TF_Dato,$A231))*2,0)/2)))</f>
        <v/>
      </c>
      <c r="K231">
        <f>IF(OR(K$4="",$A231&gt;TODAY()),0,IF(OR(INDEX($B231:$D231,K$5)="F",AND(K$6&gt;0,$A231&lt;K$6),AND(K$7&gt;0,$A231&gt;K$7)),0,MAX(0,ROUND((INDEX($E231:$G231,K$5)-SUMIFS(TF_Timer,TF_Tekniker,K$4,TF_Dato,$A231))*2,0)/2)))</f>
        <v/>
      </c>
      <c r="L231">
        <f>IF(OR(L$4="",$A231&gt;TODAY()),0,IF(OR(INDEX($B231:$D231,L$5)="F",AND(L$6&gt;0,$A231&lt;L$6),AND(L$7&gt;0,$A231&gt;L$7)),0,MAX(0,ROUND((INDEX($E231:$G231,L$5)-SUMIFS(TF_Timer,TF_Tekniker,L$4,TF_Dato,$A231))*2,0)/2)))</f>
        <v/>
      </c>
      <c r="M231">
        <f>IF(OR(M$4="",$A231&gt;TODAY()),0,IF(OR(INDEX($B231:$D231,M$5)="F",AND(M$6&gt;0,$A231&lt;M$6),AND(M$7&gt;0,$A231&gt;M$7)),0,MAX(0,ROUND((INDEX($E231:$G231,M$5)-SUMIFS(TF_Timer,TF_Tekniker,M$4,TF_Dato,$A231))*2,0)/2)))</f>
        <v/>
      </c>
      <c r="N231">
        <f>IF(OR(N$4="",$A231&gt;TODAY()),0,IF(OR(INDEX($B231:$D231,N$5)="F",AND(N$6&gt;0,$A231&lt;N$6),AND(N$7&gt;0,$A231&gt;N$7)),0,MAX(0,ROUND((INDEX($E231:$G231,N$5)-SUMIFS(TF_Timer,TF_Tekniker,N$4,TF_Dato,$A231))*2,0)/2)))</f>
        <v/>
      </c>
      <c r="O231">
        <f>IF(OR(O$4="",$A231&gt;TODAY()),0,IF(OR(INDEX($B231:$D231,O$5)="F",AND(O$6&gt;0,$A231&lt;O$6),AND(O$7&gt;0,$A231&gt;O$7)),0,MAX(0,ROUND((INDEX($E231:$G231,O$5)-SUMIFS(TF_Timer,TF_Tekniker,O$4,TF_Dato,$A231))*2,0)/2)))</f>
        <v/>
      </c>
      <c r="P231">
        <f>IF(OR(P$4="",$A231&gt;TODAY()),0,IF(OR(INDEX($B231:$D231,P$5)="F",AND(P$6&gt;0,$A231&lt;P$6),AND(P$7&gt;0,$A231&gt;P$7)),0,MAX(0,ROUND((INDEX($E231:$G231,P$5)-SUMIFS(TF_Timer,TF_Tekniker,P$4,TF_Dato,$A231))*2,0)/2)))</f>
        <v/>
      </c>
      <c r="Q231">
        <f>IF(OR(Q$4="",$A231&gt;TODAY()),0,IF(OR(INDEX($B231:$D231,Q$5)="F",AND(Q$6&gt;0,$A231&lt;Q$6),AND(Q$7&gt;0,$A231&gt;Q$7)),0,MAX(0,ROUND((INDEX($E231:$G231,Q$5)-SUMIFS(TF_Timer,TF_Tekniker,Q$4,TF_Dato,$A231))*2,0)/2)))</f>
        <v/>
      </c>
      <c r="R231">
        <f>IF(OR(R$4="",$A231&gt;TODAY()),0,IF(OR(INDEX($B231:$D231,R$5)="F",AND(R$6&gt;0,$A231&lt;R$6),AND(R$7&gt;0,$A231&gt;R$7)),0,MAX(0,ROUND((INDEX($E231:$G231,R$5)-SUMIFS(TF_Timer,TF_Tekniker,R$4,TF_Dato,$A231))*2,0)/2)))</f>
        <v/>
      </c>
      <c r="S231">
        <f>IF(OR(S$4="",$A231&gt;TODAY()),0,IF(OR(INDEX($B231:$D231,S$5)="F",AND(S$6&gt;0,$A231&lt;S$6),AND(S$7&gt;0,$A231&gt;S$7)),0,MAX(0,ROUND((INDEX($E231:$G231,S$5)-SUMIFS(TF_Timer,TF_Tekniker,S$4,TF_Dato,$A231))*2,0)/2)))</f>
        <v/>
      </c>
      <c r="T231">
        <f>IF(OR(T$4="",$A231&gt;TODAY()),0,IF(OR(INDEX($B231:$D231,T$5)="F",AND(T$6&gt;0,$A231&lt;T$6),AND(T$7&gt;0,$A231&gt;T$7)),0,MAX(0,ROUND((INDEX($E231:$G231,T$5)-SUMIFS(TF_Timer,TF_Tekniker,T$4,TF_Dato,$A231))*2,0)/2)))</f>
        <v/>
      </c>
      <c r="U231">
        <f>IF(OR(U$4="",$A231&gt;TODAY()),0,IF(OR(INDEX($B231:$D231,U$5)="F",AND(U$6&gt;0,$A231&lt;U$6),AND(U$7&gt;0,$A231&gt;U$7)),0,MAX(0,ROUND((INDEX($E231:$G231,U$5)-SUMIFS(TF_Timer,TF_Tekniker,U$4,TF_Dato,$A231))*2,0)/2)))</f>
        <v/>
      </c>
      <c r="V231">
        <f>IF(OR(V$4="",$A231&gt;TODAY()),0,IF(OR(INDEX($B231:$D231,V$5)="F",AND(V$6&gt;0,$A231&lt;V$6),AND(V$7&gt;0,$A231&gt;V$7)),0,MAX(0,ROUND((INDEX($E231:$G231,V$5)-SUMIFS(TF_Timer,TF_Tekniker,V$4,TF_Dato,$A231))*2,0)/2)))</f>
        <v/>
      </c>
      <c r="W231">
        <f>IF(OR(W$4="",$A231&gt;TODAY()),0,IF(OR(INDEX($B231:$D231,W$5)="F",AND(W$6&gt;0,$A231&lt;W$6),AND(W$7&gt;0,$A231&gt;W$7)),0,MAX(0,ROUND((INDEX($E231:$G231,W$5)-SUMIFS(TF_Timer,TF_Tekniker,W$4,TF_Dato,$A231))*2,0)/2)))</f>
        <v/>
      </c>
      <c r="X231">
        <f>IF(OR(X$4="",$A231&gt;TODAY()),0,IF(OR(INDEX($B231:$D231,X$5)="F",AND(X$6&gt;0,$A231&lt;X$6),AND(X$7&gt;0,$A231&gt;X$7)),0,MAX(0,ROUND((INDEX($E231:$G231,X$5)-SUMIFS(TF_Timer,TF_Tekniker,X$4,TF_Dato,$A231))*2,0)/2)))</f>
        <v/>
      </c>
      <c r="Y231">
        <f>IF(OR(Y$4="",$A231&gt;TODAY()),0,IF(OR(INDEX($B231:$D231,Y$5)="F",AND(Y$6&gt;0,$A231&lt;Y$6),AND(Y$7&gt;0,$A231&gt;Y$7)),0,MAX(0,ROUND((INDEX($E231:$G231,Y$5)-SUMIFS(TF_Timer,TF_Tekniker,Y$4,TF_Dato,$A231))*2,0)/2)))</f>
        <v/>
      </c>
      <c r="Z231">
        <f>IF(OR(Z$4="",$A231&gt;TODAY()),0,IF(OR(INDEX($B231:$D231,Z$5)="F",AND(Z$6&gt;0,$A231&lt;Z$6),AND(Z$7&gt;0,$A231&gt;Z$7)),0,MAX(0,ROUND((INDEX($E231:$G231,Z$5)-SUMIFS(TF_Timer,TF_Tekniker,Z$4,TF_Dato,$A231))*2,0)/2)))</f>
        <v/>
      </c>
      <c r="AA231">
        <f>IF(OR(AA$4="",$A231&gt;TODAY()),0,IF(OR(INDEX($B231:$D231,AA$5)="F",AND(AA$6&gt;0,$A231&lt;AA$6),AND(AA$7&gt;0,$A231&gt;AA$7)),0,MAX(0,ROUND((INDEX($E231:$G231,AA$5)-SUMIFS(TF_Timer,TF_Tekniker,AA$4,TF_Dato,$A231))*2,0)/2)))</f>
        <v/>
      </c>
      <c r="AB231">
        <f>IF(OR(AB$4="",$A231&gt;TODAY()),0,IF(OR(INDEX($B231:$D231,AB$5)="F",AND(AB$6&gt;0,$A231&lt;AB$6),AND(AB$7&gt;0,$A231&gt;AB$7)),0,MAX(0,ROUND((INDEX($E231:$G231,AB$5)-SUMIFS(TF_Timer,TF_Tekniker,AB$4,TF_Dato,$A231))*2,0)/2)))</f>
        <v/>
      </c>
      <c r="AC231">
        <f>IF(OR(AC$4="",$A231&gt;TODAY()),0,IF(OR(INDEX($B231:$D231,AC$5)="F",AND(AC$6&gt;0,$A231&lt;AC$6),AND(AC$7&gt;0,$A231&gt;AC$7)),0,MAX(0,ROUND((INDEX($E231:$G231,AC$5)-SUMIFS(TF_Timer,TF_Tekniker,AC$4,TF_Dato,$A231))*2,0)/2)))</f>
        <v/>
      </c>
      <c r="AD231">
        <f>IF(OR(AD$4="",$A231&gt;TODAY()),0,IF(OR(INDEX($B231:$D231,AD$5)="F",AND(AD$6&gt;0,$A231&lt;AD$6),AND(AD$7&gt;0,$A231&gt;AD$7)),0,MAX(0,ROUND((INDEX($E231:$G231,AD$5)-SUMIFS(TF_Timer,TF_Tekniker,AD$4,TF_Dato,$A231))*2,0)/2)))</f>
        <v/>
      </c>
      <c r="AE231">
        <f>IF(OR(AE$4="",$A231&gt;TODAY()),0,IF(OR(INDEX($B231:$D231,AE$5)="F",AND(AE$6&gt;0,$A231&lt;AE$6),AND(AE$7&gt;0,$A231&gt;AE$7)),0,MAX(0,ROUND((INDEX($E231:$G231,AE$5)-SUMIFS(TF_Timer,TF_Tekniker,AE$4,TF_Dato,$A231))*2,0)/2)))</f>
        <v/>
      </c>
      <c r="AF231">
        <f>IF(OR(AF$4="",$A231&gt;TODAY()),0,IF(OR(INDEX($B231:$D231,AF$5)="F",AND(AF$6&gt;0,$A231&lt;AF$6),AND(AF$7&gt;0,$A231&gt;AF$7)),0,MAX(0,ROUND((INDEX($E231:$G231,AF$5)-SUMIFS(TF_Timer,TF_Tekniker,AF$4,TF_Dato,$A231))*2,0)/2)))</f>
        <v/>
      </c>
      <c r="AG231">
        <f>IF(OR(AG$4="",$A231&gt;TODAY()),0,IF(OR(INDEX($B231:$D231,AG$5)="F",AND(AG$6&gt;0,$A231&lt;AG$6),AND(AG$7&gt;0,$A231&gt;AG$7)),0,MAX(0,ROUND((INDEX($E231:$G231,AG$5)-SUMIFS(TF_Timer,TF_Tekniker,AG$4,TF_Dato,$A231))*2,0)/2)))</f>
        <v/>
      </c>
      <c r="AH231">
        <f>IF(OR(AH$4="",$A231&gt;TODAY()),0,IF(OR(INDEX($B231:$D231,AH$5)="F",AND(AH$6&gt;0,$A231&lt;AH$6),AND(AH$7&gt;0,$A231&gt;AH$7)),0,MAX(0,ROUND((INDEX($E231:$G231,AH$5)-SUMIFS(TF_Timer,TF_Tekniker,AH$4,TF_Dato,$A231))*2,0)/2)))</f>
        <v/>
      </c>
      <c r="AI231">
        <f>IF(OR(AI$4="",$A231&gt;TODAY()),0,IF(OR(INDEX($B231:$D231,AI$5)="F",AND(AI$6&gt;0,$A231&lt;AI$6),AND(AI$7&gt;0,$A231&gt;AI$7)),0,MAX(0,ROUND((INDEX($E231:$G231,AI$5)-SUMIFS(TF_Timer,TF_Tekniker,AI$4,TF_Dato,$A231))*2,0)/2)))</f>
        <v/>
      </c>
      <c r="AJ231">
        <f>IF(OR(AJ$4="",$A231&gt;TODAY()),0,IF(OR(INDEX($B231:$D231,AJ$5)="F",AND(AJ$6&gt;0,$A231&lt;AJ$6),AND(AJ$7&gt;0,$A231&gt;AJ$7)),0,MAX(0,ROUND((INDEX($E231:$G231,AJ$5)-SUMIFS(TF_Timer,TF_Tekniker,AJ$4,TF_Dato,$A231))*2,0)/2)))</f>
        <v/>
      </c>
      <c r="AK231">
        <f>IF(OR(AK$4="",$A231&gt;TODAY()),0,IF(OR(INDEX($B231:$D231,AK$5)="F",AND(AK$6&gt;0,$A231&lt;AK$6),AND(AK$7&gt;0,$A231&gt;AK$7)),0,MAX(0,ROUND((INDEX($E231:$G231,AK$5)-SUMIFS(TF_Timer,TF_Tekniker,AK$4,TF_Dato,$A231))*2,0)/2)))</f>
        <v/>
      </c>
      <c r="AL231">
        <f>IF(OR(AL$4="",$A231&gt;TODAY()),0,IF(OR(INDEX($B231:$D231,AL$5)="F",AND(AL$6&gt;0,$A231&lt;AL$6),AND(AL$7&gt;0,$A231&gt;AL$7)),0,MAX(0,ROUND((INDEX($E231:$G231,AL$5)-SUMIFS(TF_Timer,TF_Tekniker,AL$4,TF_Dato,$A231))*2,0)/2)))</f>
        <v/>
      </c>
      <c r="AM231">
        <f>IF(OR(AM$4="",$A231&gt;TODAY()),0,IF(OR(INDEX($B231:$D231,AM$5)="F",AND(AM$6&gt;0,$A231&lt;AM$6),AND(AM$7&gt;0,$A231&gt;AM$7)),0,MAX(0,ROUND((INDEX($E231:$G231,AM$5)-SUMIFS(TF_Timer,TF_Tekniker,AM$4,TF_Dato,$A231))*2,0)/2)))</f>
        <v/>
      </c>
      <c r="AN231">
        <f>IF(OR(AN$4="",$A231&gt;TODAY()),0,IF(OR(INDEX($B231:$D231,AN$5)="F",AND(AN$6&gt;0,$A231&lt;AN$6),AND(AN$7&gt;0,$A231&gt;AN$7)),0,MAX(0,ROUND((INDEX($E231:$G231,AN$5)-SUMIFS(TF_Timer,TF_Tekniker,AN$4,TF_Dato,$A231))*2,0)/2)))</f>
        <v/>
      </c>
      <c r="AO231">
        <f>IF(OR(AO$4="",$A231&gt;TODAY()),0,IF(OR(INDEX($B231:$D231,AO$5)="F",AND(AO$6&gt;0,$A231&lt;AO$6),AND(AO$7&gt;0,$A231&gt;AO$7)),0,MAX(0,ROUND((INDEX($E231:$G231,AO$5)-SUMIFS(TF_Timer,TF_Tekniker,AO$4,TF_Dato,$A231))*2,0)/2)))</f>
        <v/>
      </c>
      <c r="AP231">
        <f>IF(OR(AP$4="",$A231&gt;TODAY()),0,IF(OR(INDEX($B231:$D231,AP$5)="F",AND(AP$6&gt;0,$A231&lt;AP$6),AND(AP$7&gt;0,$A231&gt;AP$7)),0,MAX(0,ROUND((INDEX($E231:$G231,AP$5)-SUMIFS(TF_Timer,TF_Tekniker,AP$4,TF_Dato,$A231))*2,0)/2)))</f>
        <v/>
      </c>
      <c r="AQ231">
        <f>IF(OR(AQ$4="",$A231&gt;TODAY()),0,IF(OR(INDEX($B231:$D231,AQ$5)="F",AND(AQ$6&gt;0,$A231&lt;AQ$6),AND(AQ$7&gt;0,$A231&gt;AQ$7)),0,MAX(0,ROUND((INDEX($E231:$G231,AQ$5)-SUMIFS(TF_Timer,TF_Tekniker,AQ$4,TF_Dato,$A231))*2,0)/2)))</f>
        <v/>
      </c>
      <c r="AR231">
        <f>IF(OR(AR$4="",$A231&gt;TODAY()),0,IF(OR(INDEX($B231:$D231,AR$5)="F",AND(AR$6&gt;0,$A231&lt;AR$6),AND(AR$7&gt;0,$A231&gt;AR$7)),0,MAX(0,ROUND((INDEX($E231:$G231,AR$5)-SUMIFS(TF_Timer,TF_Tekniker,AR$4,TF_Dato,$A231))*2,0)/2)))</f>
        <v/>
      </c>
      <c r="AS231">
        <f>IF(OR(AS$4="",$A231&gt;TODAY()),0,IF(OR(INDEX($B231:$D231,AS$5)="F",AND(AS$6&gt;0,$A231&lt;AS$6),AND(AS$7&gt;0,$A231&gt;AS$7)),0,MAX(0,ROUND((INDEX($E231:$G231,AS$5)-SUMIFS(TF_Timer,TF_Tekniker,AS$4,TF_Dato,$A231))*2,0)/2)))</f>
        <v/>
      </c>
      <c r="AT231">
        <f>IF(OR(AT$4="",$A231&gt;TODAY()),0,IF(OR(INDEX($B231:$D231,AT$5)="F",AND(AT$6&gt;0,$A231&lt;AT$6),AND(AT$7&gt;0,$A231&gt;AT$7)),0,MAX(0,ROUND((INDEX($E231:$G231,AT$5)-SUMIFS(TF_Timer,TF_Tekniker,AT$4,TF_Dato,$A231))*2,0)/2)))</f>
        <v/>
      </c>
      <c r="AU231">
        <f>IF(OR(AU$4="",$A231&gt;TODAY()),0,IF(OR(INDEX($B231:$D231,AU$5)="F",AND(AU$6&gt;0,$A231&lt;AU$6),AND(AU$7&gt;0,$A231&gt;AU$7)),0,MAX(0,ROUND((INDEX($E231:$G231,AU$5)-SUMIFS(TF_Timer,TF_Tekniker,AU$4,TF_Dato,$A231))*2,0)/2)))</f>
        <v/>
      </c>
      <c r="AV231">
        <f>IF(OR(AV$4="",$A231&gt;TODAY()),0,IF(OR(INDEX($B231:$D231,AV$5)="F",AND(AV$6&gt;0,$A231&lt;AV$6),AND(AV$7&gt;0,$A231&gt;AV$7)),0,MAX(0,ROUND((INDEX($E231:$G231,AV$5)-SUMIFS(TF_Timer,TF_Tekniker,AV$4,TF_Dato,$A231))*2,0)/2)))</f>
        <v/>
      </c>
      <c r="AW231">
        <f>IF(OR(AW$4="",$A231&gt;TODAY()),0,IF(OR(INDEX($B231:$D231,AW$5)="F",AND(AW$6&gt;0,$A231&lt;AW$6),AND(AW$7&gt;0,$A231&gt;AW$7)),0,MAX(0,ROUND((INDEX($E231:$G231,AW$5)-SUMIFS(TF_Timer,TF_Tekniker,AW$4,TF_Dato,$A231))*2,0)/2)))</f>
        <v/>
      </c>
      <c r="AX231">
        <f>IF(OR(AX$4="",$A231&gt;TODAY()),0,IF(OR(INDEX($B231:$D231,AX$5)="F",AND(AX$6&gt;0,$A231&lt;AX$6),AND(AX$7&gt;0,$A231&gt;AX$7)),0,MAX(0,ROUND((INDEX($E231:$G231,AX$5)-SUMIFS(TF_Timer,TF_Tekniker,AX$4,TF_Dato,$A231))*2,0)/2)))</f>
        <v/>
      </c>
      <c r="AY231">
        <f>IF(OR(AY$4="",$A231&gt;TODAY()),0,IF(OR(INDEX($B231:$D231,AY$5)="F",AND(AY$6&gt;0,$A231&lt;AY$6),AND(AY$7&gt;0,$A231&gt;AY$7)),0,MAX(0,ROUND((INDEX($E231:$G231,AY$5)-SUMIFS(TF_Timer,TF_Tekniker,AY$4,TF_Dato,$A231))*2,0)/2)))</f>
        <v/>
      </c>
      <c r="AZ231">
        <f>IF(OR(AZ$4="",$A231&gt;TODAY()),0,IF(OR(INDEX($B231:$D231,AZ$5)="F",AND(AZ$6&gt;0,$A231&lt;AZ$6),AND(AZ$7&gt;0,$A231&gt;AZ$7)),0,MAX(0,ROUND((INDEX($E231:$G231,AZ$5)-SUMIFS(TF_Timer,TF_Tekniker,AZ$4,TF_Dato,$A231))*2,0)/2)))</f>
        <v/>
      </c>
      <c r="BA231">
        <f>IF(OR(BA$4="",$A231&gt;TODAY()),0,IF(OR(INDEX($B231:$D231,BA$5)="F",AND(BA$6&gt;0,$A231&lt;BA$6),AND(BA$7&gt;0,$A231&gt;BA$7)),0,MAX(0,ROUND((INDEX($E231:$G231,BA$5)-SUMIFS(TF_Timer,TF_Tekniker,BA$4,TF_Dato,$A231))*2,0)/2)))</f>
        <v/>
      </c>
      <c r="BB231">
        <f>IF(OR(BB$4="",$A231&gt;TODAY()),0,IF(OR(INDEX($B231:$D231,BB$5)="F",AND(BB$6&gt;0,$A231&lt;BB$6),AND(BB$7&gt;0,$A231&gt;BB$7)),0,MAX(0,ROUND((INDEX($E231:$G231,BB$5)-SUMIFS(TF_Timer,TF_Tekniker,BB$4,TF_Dato,$A231))*2,0)/2)))</f>
        <v/>
      </c>
      <c r="BC231">
        <f>IF(OR(BC$4="",$A231&gt;TODAY()),0,IF(OR(INDEX($B231:$D231,BC$5)="F",AND(BC$6&gt;0,$A231&lt;BC$6),AND(BC$7&gt;0,$A231&gt;BC$7)),0,MAX(0,ROUND((INDEX($E231:$G231,BC$5)-SUMIFS(TF_Timer,TF_Tekniker,BC$4,TF_Dato,$A231))*2,0)/2)))</f>
        <v/>
      </c>
      <c r="BD231">
        <f>IF(OR(BD$4="",$A231&gt;TODAY()),0,IF(OR(INDEX($B231:$D231,BD$5)="F",AND(BD$6&gt;0,$A231&lt;BD$6),AND(BD$7&gt;0,$A231&gt;BD$7)),0,MAX(0,ROUND((INDEX($E231:$G231,BD$5)-SUMIFS(TF_Timer,TF_Tekniker,BD$4,TF_Dato,$A231))*2,0)/2)))</f>
        <v/>
      </c>
      <c r="BE231">
        <f>IF(OR(BE$4="",$A231&gt;TODAY()),0,IF(OR(INDEX($B231:$D231,BE$5)="F",AND(BE$6&gt;0,$A231&lt;BE$6),AND(BE$7&gt;0,$A231&gt;BE$7)),0,MAX(0,ROUND((INDEX($E231:$G231,BE$5)-SUMIFS(TF_Timer,TF_Tekniker,BE$4,TF_Dato,$A231))*2,0)/2)))</f>
        <v/>
      </c>
      <c r="BF231">
        <f>IF(OR(BF$4="",$A231&gt;TODAY()),0,IF(OR(INDEX($B231:$D231,BF$5)="F",AND(BF$6&gt;0,$A231&lt;BF$6),AND(BF$7&gt;0,$A231&gt;BF$7)),0,MAX(0,ROUND((INDEX($E231:$G231,BF$5)-SUMIFS(TF_Timer,TF_Tekniker,BF$4,TF_Dato,$A231))*2,0)/2)))</f>
        <v/>
      </c>
      <c r="BG231">
        <f>IF(OR(BG$4="",$A231&gt;TODAY()),0,IF(OR(INDEX($B231:$D231,BG$5)="F",AND(BG$6&gt;0,$A231&lt;BG$6),AND(BG$7&gt;0,$A231&gt;BG$7)),0,MAX(0,ROUND((INDEX($E231:$G231,BG$5)-SUMIFS(TF_Timer,TF_Tekniker,BG$4,TF_Dato,$A231))*2,0)/2)))</f>
        <v/>
      </c>
      <c r="BH231">
        <f>IF(OR(BH$4="",$A231&gt;TODAY()),0,IF(OR(INDEX($B231:$D231,BH$5)="F",AND(BH$6&gt;0,$A231&lt;BH$6),AND(BH$7&gt;0,$A231&gt;BH$7)),0,MAX(0,ROUND((INDEX($E231:$G231,BH$5)-SUMIFS(TF_Timer,TF_Tekniker,BH$4,TF_Dato,$A231))*2,0)/2)))</f>
        <v/>
      </c>
      <c r="BI231">
        <f>IF(OR(BI$4="",$A231&gt;TODAY()),0,IF(OR(INDEX($B231:$D231,BI$5)="F",AND(BI$6&gt;0,$A231&lt;BI$6),AND(BI$7&gt;0,$A231&gt;BI$7)),0,MAX(0,ROUND((INDEX($E231:$G231,BI$5)-SUMIFS(TF_Timer,TF_Tekniker,BI$4,TF_Dato,$A231))*2,0)/2)))</f>
        <v/>
      </c>
    </row>
    <row r="232">
      <c r="A232" s="64">
        <f>A231+1</f>
        <v/>
      </c>
      <c r="B232">
        <f>IF(MOD($A232-INDEX(SkiftStart,1),Syklus)&lt;DagK,"K",IF(MOD($A232-INDEX(SkiftStart,1),Syklus)&lt;DagK+DagH,"H",IF(MOD($A232-INDEX(SkiftStart,1),Syklus)&lt;DagK+DagH+DagD,"D","F")))</f>
        <v/>
      </c>
      <c r="C232">
        <f>IF(MOD($A232-INDEX(SkiftStart,2),Syklus)&lt;DagK,"K",IF(MOD($A232-INDEX(SkiftStart,2),Syklus)&lt;DagK+DagH,"H",IF(MOD($A232-INDEX(SkiftStart,2),Syklus)&lt;DagK+DagH+DagD,"D","F")))</f>
        <v/>
      </c>
      <c r="D232">
        <f>IF(MOD($A232-INDEX(SkiftStart,3),Syklus)&lt;DagK,"K",IF(MOD($A232-INDEX(SkiftStart,3),Syklus)&lt;DagK+DagH,"H",IF(MOD($A232-INDEX(SkiftStart,3),Syklus)&lt;DagK+DagH+DagD,"D","F")))</f>
        <v/>
      </c>
      <c r="E232">
        <f>IF(B232="F",0,IF(WEEKDAY($A232,2)=5,INDEX(TimerFr,MATCH(B232,FaseKode,0)),INDEX(TimerMT,MATCH(B232,FaseKode,0))))</f>
        <v/>
      </c>
      <c r="F232">
        <f>IF(C232="F",0,IF(WEEKDAY($A232,2)=5,INDEX(TimerFr,MATCH(C232,FaseKode,0)),INDEX(TimerMT,MATCH(C232,FaseKode,0))))</f>
        <v/>
      </c>
      <c r="G232">
        <f>IF(D232="F",0,IF(WEEKDAY($A232,2)=5,INDEX(TimerFr,MATCH(D232,FaseKode,0)),INDEX(TimerMT,MATCH(D232,FaseKode,0))))</f>
        <v/>
      </c>
      <c r="H232">
        <f>IF(OR(H$4="",$A232&gt;TODAY()),0,IF(OR(INDEX($B232:$D232,H$5)="F",AND(H$6&gt;0,$A232&lt;H$6),AND(H$7&gt;0,$A232&gt;H$7)),0,MAX(0,ROUND((INDEX($E232:$G232,H$5)-SUMIFS(TF_Timer,TF_Tekniker,H$4,TF_Dato,$A232))*2,0)/2)))</f>
        <v/>
      </c>
      <c r="I232">
        <f>IF(OR(I$4="",$A232&gt;TODAY()),0,IF(OR(INDEX($B232:$D232,I$5)="F",AND(I$6&gt;0,$A232&lt;I$6),AND(I$7&gt;0,$A232&gt;I$7)),0,MAX(0,ROUND((INDEX($E232:$G232,I$5)-SUMIFS(TF_Timer,TF_Tekniker,I$4,TF_Dato,$A232))*2,0)/2)))</f>
        <v/>
      </c>
      <c r="J232">
        <f>IF(OR(J$4="",$A232&gt;TODAY()),0,IF(OR(INDEX($B232:$D232,J$5)="F",AND(J$6&gt;0,$A232&lt;J$6),AND(J$7&gt;0,$A232&gt;J$7)),0,MAX(0,ROUND((INDEX($E232:$G232,J$5)-SUMIFS(TF_Timer,TF_Tekniker,J$4,TF_Dato,$A232))*2,0)/2)))</f>
        <v/>
      </c>
      <c r="K232">
        <f>IF(OR(K$4="",$A232&gt;TODAY()),0,IF(OR(INDEX($B232:$D232,K$5)="F",AND(K$6&gt;0,$A232&lt;K$6),AND(K$7&gt;0,$A232&gt;K$7)),0,MAX(0,ROUND((INDEX($E232:$G232,K$5)-SUMIFS(TF_Timer,TF_Tekniker,K$4,TF_Dato,$A232))*2,0)/2)))</f>
        <v/>
      </c>
      <c r="L232">
        <f>IF(OR(L$4="",$A232&gt;TODAY()),0,IF(OR(INDEX($B232:$D232,L$5)="F",AND(L$6&gt;0,$A232&lt;L$6),AND(L$7&gt;0,$A232&gt;L$7)),0,MAX(0,ROUND((INDEX($E232:$G232,L$5)-SUMIFS(TF_Timer,TF_Tekniker,L$4,TF_Dato,$A232))*2,0)/2)))</f>
        <v/>
      </c>
      <c r="M232">
        <f>IF(OR(M$4="",$A232&gt;TODAY()),0,IF(OR(INDEX($B232:$D232,M$5)="F",AND(M$6&gt;0,$A232&lt;M$6),AND(M$7&gt;0,$A232&gt;M$7)),0,MAX(0,ROUND((INDEX($E232:$G232,M$5)-SUMIFS(TF_Timer,TF_Tekniker,M$4,TF_Dato,$A232))*2,0)/2)))</f>
        <v/>
      </c>
      <c r="N232">
        <f>IF(OR(N$4="",$A232&gt;TODAY()),0,IF(OR(INDEX($B232:$D232,N$5)="F",AND(N$6&gt;0,$A232&lt;N$6),AND(N$7&gt;0,$A232&gt;N$7)),0,MAX(0,ROUND((INDEX($E232:$G232,N$5)-SUMIFS(TF_Timer,TF_Tekniker,N$4,TF_Dato,$A232))*2,0)/2)))</f>
        <v/>
      </c>
      <c r="O232">
        <f>IF(OR(O$4="",$A232&gt;TODAY()),0,IF(OR(INDEX($B232:$D232,O$5)="F",AND(O$6&gt;0,$A232&lt;O$6),AND(O$7&gt;0,$A232&gt;O$7)),0,MAX(0,ROUND((INDEX($E232:$G232,O$5)-SUMIFS(TF_Timer,TF_Tekniker,O$4,TF_Dato,$A232))*2,0)/2)))</f>
        <v/>
      </c>
      <c r="P232">
        <f>IF(OR(P$4="",$A232&gt;TODAY()),0,IF(OR(INDEX($B232:$D232,P$5)="F",AND(P$6&gt;0,$A232&lt;P$6),AND(P$7&gt;0,$A232&gt;P$7)),0,MAX(0,ROUND((INDEX($E232:$G232,P$5)-SUMIFS(TF_Timer,TF_Tekniker,P$4,TF_Dato,$A232))*2,0)/2)))</f>
        <v/>
      </c>
      <c r="Q232">
        <f>IF(OR(Q$4="",$A232&gt;TODAY()),0,IF(OR(INDEX($B232:$D232,Q$5)="F",AND(Q$6&gt;0,$A232&lt;Q$6),AND(Q$7&gt;0,$A232&gt;Q$7)),0,MAX(0,ROUND((INDEX($E232:$G232,Q$5)-SUMIFS(TF_Timer,TF_Tekniker,Q$4,TF_Dato,$A232))*2,0)/2)))</f>
        <v/>
      </c>
      <c r="R232">
        <f>IF(OR(R$4="",$A232&gt;TODAY()),0,IF(OR(INDEX($B232:$D232,R$5)="F",AND(R$6&gt;0,$A232&lt;R$6),AND(R$7&gt;0,$A232&gt;R$7)),0,MAX(0,ROUND((INDEX($E232:$G232,R$5)-SUMIFS(TF_Timer,TF_Tekniker,R$4,TF_Dato,$A232))*2,0)/2)))</f>
        <v/>
      </c>
      <c r="S232">
        <f>IF(OR(S$4="",$A232&gt;TODAY()),0,IF(OR(INDEX($B232:$D232,S$5)="F",AND(S$6&gt;0,$A232&lt;S$6),AND(S$7&gt;0,$A232&gt;S$7)),0,MAX(0,ROUND((INDEX($E232:$G232,S$5)-SUMIFS(TF_Timer,TF_Tekniker,S$4,TF_Dato,$A232))*2,0)/2)))</f>
        <v/>
      </c>
      <c r="T232">
        <f>IF(OR(T$4="",$A232&gt;TODAY()),0,IF(OR(INDEX($B232:$D232,T$5)="F",AND(T$6&gt;0,$A232&lt;T$6),AND(T$7&gt;0,$A232&gt;T$7)),0,MAX(0,ROUND((INDEX($E232:$G232,T$5)-SUMIFS(TF_Timer,TF_Tekniker,T$4,TF_Dato,$A232))*2,0)/2)))</f>
        <v/>
      </c>
      <c r="U232">
        <f>IF(OR(U$4="",$A232&gt;TODAY()),0,IF(OR(INDEX($B232:$D232,U$5)="F",AND(U$6&gt;0,$A232&lt;U$6),AND(U$7&gt;0,$A232&gt;U$7)),0,MAX(0,ROUND((INDEX($E232:$G232,U$5)-SUMIFS(TF_Timer,TF_Tekniker,U$4,TF_Dato,$A232))*2,0)/2)))</f>
        <v/>
      </c>
      <c r="V232">
        <f>IF(OR(V$4="",$A232&gt;TODAY()),0,IF(OR(INDEX($B232:$D232,V$5)="F",AND(V$6&gt;0,$A232&lt;V$6),AND(V$7&gt;0,$A232&gt;V$7)),0,MAX(0,ROUND((INDEX($E232:$G232,V$5)-SUMIFS(TF_Timer,TF_Tekniker,V$4,TF_Dato,$A232))*2,0)/2)))</f>
        <v/>
      </c>
      <c r="W232">
        <f>IF(OR(W$4="",$A232&gt;TODAY()),0,IF(OR(INDEX($B232:$D232,W$5)="F",AND(W$6&gt;0,$A232&lt;W$6),AND(W$7&gt;0,$A232&gt;W$7)),0,MAX(0,ROUND((INDEX($E232:$G232,W$5)-SUMIFS(TF_Timer,TF_Tekniker,W$4,TF_Dato,$A232))*2,0)/2)))</f>
        <v/>
      </c>
      <c r="X232">
        <f>IF(OR(X$4="",$A232&gt;TODAY()),0,IF(OR(INDEX($B232:$D232,X$5)="F",AND(X$6&gt;0,$A232&lt;X$6),AND(X$7&gt;0,$A232&gt;X$7)),0,MAX(0,ROUND((INDEX($E232:$G232,X$5)-SUMIFS(TF_Timer,TF_Tekniker,X$4,TF_Dato,$A232))*2,0)/2)))</f>
        <v/>
      </c>
      <c r="Y232">
        <f>IF(OR(Y$4="",$A232&gt;TODAY()),0,IF(OR(INDEX($B232:$D232,Y$5)="F",AND(Y$6&gt;0,$A232&lt;Y$6),AND(Y$7&gt;0,$A232&gt;Y$7)),0,MAX(0,ROUND((INDEX($E232:$G232,Y$5)-SUMIFS(TF_Timer,TF_Tekniker,Y$4,TF_Dato,$A232))*2,0)/2)))</f>
        <v/>
      </c>
      <c r="Z232">
        <f>IF(OR(Z$4="",$A232&gt;TODAY()),0,IF(OR(INDEX($B232:$D232,Z$5)="F",AND(Z$6&gt;0,$A232&lt;Z$6),AND(Z$7&gt;0,$A232&gt;Z$7)),0,MAX(0,ROUND((INDEX($E232:$G232,Z$5)-SUMIFS(TF_Timer,TF_Tekniker,Z$4,TF_Dato,$A232))*2,0)/2)))</f>
        <v/>
      </c>
      <c r="AA232">
        <f>IF(OR(AA$4="",$A232&gt;TODAY()),0,IF(OR(INDEX($B232:$D232,AA$5)="F",AND(AA$6&gt;0,$A232&lt;AA$6),AND(AA$7&gt;0,$A232&gt;AA$7)),0,MAX(0,ROUND((INDEX($E232:$G232,AA$5)-SUMIFS(TF_Timer,TF_Tekniker,AA$4,TF_Dato,$A232))*2,0)/2)))</f>
        <v/>
      </c>
      <c r="AB232">
        <f>IF(OR(AB$4="",$A232&gt;TODAY()),0,IF(OR(INDEX($B232:$D232,AB$5)="F",AND(AB$6&gt;0,$A232&lt;AB$6),AND(AB$7&gt;0,$A232&gt;AB$7)),0,MAX(0,ROUND((INDEX($E232:$G232,AB$5)-SUMIFS(TF_Timer,TF_Tekniker,AB$4,TF_Dato,$A232))*2,0)/2)))</f>
        <v/>
      </c>
      <c r="AC232">
        <f>IF(OR(AC$4="",$A232&gt;TODAY()),0,IF(OR(INDEX($B232:$D232,AC$5)="F",AND(AC$6&gt;0,$A232&lt;AC$6),AND(AC$7&gt;0,$A232&gt;AC$7)),0,MAX(0,ROUND((INDEX($E232:$G232,AC$5)-SUMIFS(TF_Timer,TF_Tekniker,AC$4,TF_Dato,$A232))*2,0)/2)))</f>
        <v/>
      </c>
      <c r="AD232">
        <f>IF(OR(AD$4="",$A232&gt;TODAY()),0,IF(OR(INDEX($B232:$D232,AD$5)="F",AND(AD$6&gt;0,$A232&lt;AD$6),AND(AD$7&gt;0,$A232&gt;AD$7)),0,MAX(0,ROUND((INDEX($E232:$G232,AD$5)-SUMIFS(TF_Timer,TF_Tekniker,AD$4,TF_Dato,$A232))*2,0)/2)))</f>
        <v/>
      </c>
      <c r="AE232">
        <f>IF(OR(AE$4="",$A232&gt;TODAY()),0,IF(OR(INDEX($B232:$D232,AE$5)="F",AND(AE$6&gt;0,$A232&lt;AE$6),AND(AE$7&gt;0,$A232&gt;AE$7)),0,MAX(0,ROUND((INDEX($E232:$G232,AE$5)-SUMIFS(TF_Timer,TF_Tekniker,AE$4,TF_Dato,$A232))*2,0)/2)))</f>
        <v/>
      </c>
      <c r="AF232">
        <f>IF(OR(AF$4="",$A232&gt;TODAY()),0,IF(OR(INDEX($B232:$D232,AF$5)="F",AND(AF$6&gt;0,$A232&lt;AF$6),AND(AF$7&gt;0,$A232&gt;AF$7)),0,MAX(0,ROUND((INDEX($E232:$G232,AF$5)-SUMIFS(TF_Timer,TF_Tekniker,AF$4,TF_Dato,$A232))*2,0)/2)))</f>
        <v/>
      </c>
      <c r="AG232">
        <f>IF(OR(AG$4="",$A232&gt;TODAY()),0,IF(OR(INDEX($B232:$D232,AG$5)="F",AND(AG$6&gt;0,$A232&lt;AG$6),AND(AG$7&gt;0,$A232&gt;AG$7)),0,MAX(0,ROUND((INDEX($E232:$G232,AG$5)-SUMIFS(TF_Timer,TF_Tekniker,AG$4,TF_Dato,$A232))*2,0)/2)))</f>
        <v/>
      </c>
      <c r="AH232">
        <f>IF(OR(AH$4="",$A232&gt;TODAY()),0,IF(OR(INDEX($B232:$D232,AH$5)="F",AND(AH$6&gt;0,$A232&lt;AH$6),AND(AH$7&gt;0,$A232&gt;AH$7)),0,MAX(0,ROUND((INDEX($E232:$G232,AH$5)-SUMIFS(TF_Timer,TF_Tekniker,AH$4,TF_Dato,$A232))*2,0)/2)))</f>
        <v/>
      </c>
      <c r="AI232">
        <f>IF(OR(AI$4="",$A232&gt;TODAY()),0,IF(OR(INDEX($B232:$D232,AI$5)="F",AND(AI$6&gt;0,$A232&lt;AI$6),AND(AI$7&gt;0,$A232&gt;AI$7)),0,MAX(0,ROUND((INDEX($E232:$G232,AI$5)-SUMIFS(TF_Timer,TF_Tekniker,AI$4,TF_Dato,$A232))*2,0)/2)))</f>
        <v/>
      </c>
      <c r="AJ232">
        <f>IF(OR(AJ$4="",$A232&gt;TODAY()),0,IF(OR(INDEX($B232:$D232,AJ$5)="F",AND(AJ$6&gt;0,$A232&lt;AJ$6),AND(AJ$7&gt;0,$A232&gt;AJ$7)),0,MAX(0,ROUND((INDEX($E232:$G232,AJ$5)-SUMIFS(TF_Timer,TF_Tekniker,AJ$4,TF_Dato,$A232))*2,0)/2)))</f>
        <v/>
      </c>
      <c r="AK232">
        <f>IF(OR(AK$4="",$A232&gt;TODAY()),0,IF(OR(INDEX($B232:$D232,AK$5)="F",AND(AK$6&gt;0,$A232&lt;AK$6),AND(AK$7&gt;0,$A232&gt;AK$7)),0,MAX(0,ROUND((INDEX($E232:$G232,AK$5)-SUMIFS(TF_Timer,TF_Tekniker,AK$4,TF_Dato,$A232))*2,0)/2)))</f>
        <v/>
      </c>
      <c r="AL232">
        <f>IF(OR(AL$4="",$A232&gt;TODAY()),0,IF(OR(INDEX($B232:$D232,AL$5)="F",AND(AL$6&gt;0,$A232&lt;AL$6),AND(AL$7&gt;0,$A232&gt;AL$7)),0,MAX(0,ROUND((INDEX($E232:$G232,AL$5)-SUMIFS(TF_Timer,TF_Tekniker,AL$4,TF_Dato,$A232))*2,0)/2)))</f>
        <v/>
      </c>
      <c r="AM232">
        <f>IF(OR(AM$4="",$A232&gt;TODAY()),0,IF(OR(INDEX($B232:$D232,AM$5)="F",AND(AM$6&gt;0,$A232&lt;AM$6),AND(AM$7&gt;0,$A232&gt;AM$7)),0,MAX(0,ROUND((INDEX($E232:$G232,AM$5)-SUMIFS(TF_Timer,TF_Tekniker,AM$4,TF_Dato,$A232))*2,0)/2)))</f>
        <v/>
      </c>
      <c r="AN232">
        <f>IF(OR(AN$4="",$A232&gt;TODAY()),0,IF(OR(INDEX($B232:$D232,AN$5)="F",AND(AN$6&gt;0,$A232&lt;AN$6),AND(AN$7&gt;0,$A232&gt;AN$7)),0,MAX(0,ROUND((INDEX($E232:$G232,AN$5)-SUMIFS(TF_Timer,TF_Tekniker,AN$4,TF_Dato,$A232))*2,0)/2)))</f>
        <v/>
      </c>
      <c r="AO232">
        <f>IF(OR(AO$4="",$A232&gt;TODAY()),0,IF(OR(INDEX($B232:$D232,AO$5)="F",AND(AO$6&gt;0,$A232&lt;AO$6),AND(AO$7&gt;0,$A232&gt;AO$7)),0,MAX(0,ROUND((INDEX($E232:$G232,AO$5)-SUMIFS(TF_Timer,TF_Tekniker,AO$4,TF_Dato,$A232))*2,0)/2)))</f>
        <v/>
      </c>
      <c r="AP232">
        <f>IF(OR(AP$4="",$A232&gt;TODAY()),0,IF(OR(INDEX($B232:$D232,AP$5)="F",AND(AP$6&gt;0,$A232&lt;AP$6),AND(AP$7&gt;0,$A232&gt;AP$7)),0,MAX(0,ROUND((INDEX($E232:$G232,AP$5)-SUMIFS(TF_Timer,TF_Tekniker,AP$4,TF_Dato,$A232))*2,0)/2)))</f>
        <v/>
      </c>
      <c r="AQ232">
        <f>IF(OR(AQ$4="",$A232&gt;TODAY()),0,IF(OR(INDEX($B232:$D232,AQ$5)="F",AND(AQ$6&gt;0,$A232&lt;AQ$6),AND(AQ$7&gt;0,$A232&gt;AQ$7)),0,MAX(0,ROUND((INDEX($E232:$G232,AQ$5)-SUMIFS(TF_Timer,TF_Tekniker,AQ$4,TF_Dato,$A232))*2,0)/2)))</f>
        <v/>
      </c>
      <c r="AR232">
        <f>IF(OR(AR$4="",$A232&gt;TODAY()),0,IF(OR(INDEX($B232:$D232,AR$5)="F",AND(AR$6&gt;0,$A232&lt;AR$6),AND(AR$7&gt;0,$A232&gt;AR$7)),0,MAX(0,ROUND((INDEX($E232:$G232,AR$5)-SUMIFS(TF_Timer,TF_Tekniker,AR$4,TF_Dato,$A232))*2,0)/2)))</f>
        <v/>
      </c>
      <c r="AS232">
        <f>IF(OR(AS$4="",$A232&gt;TODAY()),0,IF(OR(INDEX($B232:$D232,AS$5)="F",AND(AS$6&gt;0,$A232&lt;AS$6),AND(AS$7&gt;0,$A232&gt;AS$7)),0,MAX(0,ROUND((INDEX($E232:$G232,AS$5)-SUMIFS(TF_Timer,TF_Tekniker,AS$4,TF_Dato,$A232))*2,0)/2)))</f>
        <v/>
      </c>
      <c r="AT232">
        <f>IF(OR(AT$4="",$A232&gt;TODAY()),0,IF(OR(INDEX($B232:$D232,AT$5)="F",AND(AT$6&gt;0,$A232&lt;AT$6),AND(AT$7&gt;0,$A232&gt;AT$7)),0,MAX(0,ROUND((INDEX($E232:$G232,AT$5)-SUMIFS(TF_Timer,TF_Tekniker,AT$4,TF_Dato,$A232))*2,0)/2)))</f>
        <v/>
      </c>
      <c r="AU232">
        <f>IF(OR(AU$4="",$A232&gt;TODAY()),0,IF(OR(INDEX($B232:$D232,AU$5)="F",AND(AU$6&gt;0,$A232&lt;AU$6),AND(AU$7&gt;0,$A232&gt;AU$7)),0,MAX(0,ROUND((INDEX($E232:$G232,AU$5)-SUMIFS(TF_Timer,TF_Tekniker,AU$4,TF_Dato,$A232))*2,0)/2)))</f>
        <v/>
      </c>
      <c r="AV232">
        <f>IF(OR(AV$4="",$A232&gt;TODAY()),0,IF(OR(INDEX($B232:$D232,AV$5)="F",AND(AV$6&gt;0,$A232&lt;AV$6),AND(AV$7&gt;0,$A232&gt;AV$7)),0,MAX(0,ROUND((INDEX($E232:$G232,AV$5)-SUMIFS(TF_Timer,TF_Tekniker,AV$4,TF_Dato,$A232))*2,0)/2)))</f>
        <v/>
      </c>
      <c r="AW232">
        <f>IF(OR(AW$4="",$A232&gt;TODAY()),0,IF(OR(INDEX($B232:$D232,AW$5)="F",AND(AW$6&gt;0,$A232&lt;AW$6),AND(AW$7&gt;0,$A232&gt;AW$7)),0,MAX(0,ROUND((INDEX($E232:$G232,AW$5)-SUMIFS(TF_Timer,TF_Tekniker,AW$4,TF_Dato,$A232))*2,0)/2)))</f>
        <v/>
      </c>
      <c r="AX232">
        <f>IF(OR(AX$4="",$A232&gt;TODAY()),0,IF(OR(INDEX($B232:$D232,AX$5)="F",AND(AX$6&gt;0,$A232&lt;AX$6),AND(AX$7&gt;0,$A232&gt;AX$7)),0,MAX(0,ROUND((INDEX($E232:$G232,AX$5)-SUMIFS(TF_Timer,TF_Tekniker,AX$4,TF_Dato,$A232))*2,0)/2)))</f>
        <v/>
      </c>
      <c r="AY232">
        <f>IF(OR(AY$4="",$A232&gt;TODAY()),0,IF(OR(INDEX($B232:$D232,AY$5)="F",AND(AY$6&gt;0,$A232&lt;AY$6),AND(AY$7&gt;0,$A232&gt;AY$7)),0,MAX(0,ROUND((INDEX($E232:$G232,AY$5)-SUMIFS(TF_Timer,TF_Tekniker,AY$4,TF_Dato,$A232))*2,0)/2)))</f>
        <v/>
      </c>
      <c r="AZ232">
        <f>IF(OR(AZ$4="",$A232&gt;TODAY()),0,IF(OR(INDEX($B232:$D232,AZ$5)="F",AND(AZ$6&gt;0,$A232&lt;AZ$6),AND(AZ$7&gt;0,$A232&gt;AZ$7)),0,MAX(0,ROUND((INDEX($E232:$G232,AZ$5)-SUMIFS(TF_Timer,TF_Tekniker,AZ$4,TF_Dato,$A232))*2,0)/2)))</f>
        <v/>
      </c>
      <c r="BA232">
        <f>IF(OR(BA$4="",$A232&gt;TODAY()),0,IF(OR(INDEX($B232:$D232,BA$5)="F",AND(BA$6&gt;0,$A232&lt;BA$6),AND(BA$7&gt;0,$A232&gt;BA$7)),0,MAX(0,ROUND((INDEX($E232:$G232,BA$5)-SUMIFS(TF_Timer,TF_Tekniker,BA$4,TF_Dato,$A232))*2,0)/2)))</f>
        <v/>
      </c>
      <c r="BB232">
        <f>IF(OR(BB$4="",$A232&gt;TODAY()),0,IF(OR(INDEX($B232:$D232,BB$5)="F",AND(BB$6&gt;0,$A232&lt;BB$6),AND(BB$7&gt;0,$A232&gt;BB$7)),0,MAX(0,ROUND((INDEX($E232:$G232,BB$5)-SUMIFS(TF_Timer,TF_Tekniker,BB$4,TF_Dato,$A232))*2,0)/2)))</f>
        <v/>
      </c>
      <c r="BC232">
        <f>IF(OR(BC$4="",$A232&gt;TODAY()),0,IF(OR(INDEX($B232:$D232,BC$5)="F",AND(BC$6&gt;0,$A232&lt;BC$6),AND(BC$7&gt;0,$A232&gt;BC$7)),0,MAX(0,ROUND((INDEX($E232:$G232,BC$5)-SUMIFS(TF_Timer,TF_Tekniker,BC$4,TF_Dato,$A232))*2,0)/2)))</f>
        <v/>
      </c>
      <c r="BD232">
        <f>IF(OR(BD$4="",$A232&gt;TODAY()),0,IF(OR(INDEX($B232:$D232,BD$5)="F",AND(BD$6&gt;0,$A232&lt;BD$6),AND(BD$7&gt;0,$A232&gt;BD$7)),0,MAX(0,ROUND((INDEX($E232:$G232,BD$5)-SUMIFS(TF_Timer,TF_Tekniker,BD$4,TF_Dato,$A232))*2,0)/2)))</f>
        <v/>
      </c>
      <c r="BE232">
        <f>IF(OR(BE$4="",$A232&gt;TODAY()),0,IF(OR(INDEX($B232:$D232,BE$5)="F",AND(BE$6&gt;0,$A232&lt;BE$6),AND(BE$7&gt;0,$A232&gt;BE$7)),0,MAX(0,ROUND((INDEX($E232:$G232,BE$5)-SUMIFS(TF_Timer,TF_Tekniker,BE$4,TF_Dato,$A232))*2,0)/2)))</f>
        <v/>
      </c>
      <c r="BF232">
        <f>IF(OR(BF$4="",$A232&gt;TODAY()),0,IF(OR(INDEX($B232:$D232,BF$5)="F",AND(BF$6&gt;0,$A232&lt;BF$6),AND(BF$7&gt;0,$A232&gt;BF$7)),0,MAX(0,ROUND((INDEX($E232:$G232,BF$5)-SUMIFS(TF_Timer,TF_Tekniker,BF$4,TF_Dato,$A232))*2,0)/2)))</f>
        <v/>
      </c>
      <c r="BG232">
        <f>IF(OR(BG$4="",$A232&gt;TODAY()),0,IF(OR(INDEX($B232:$D232,BG$5)="F",AND(BG$6&gt;0,$A232&lt;BG$6),AND(BG$7&gt;0,$A232&gt;BG$7)),0,MAX(0,ROUND((INDEX($E232:$G232,BG$5)-SUMIFS(TF_Timer,TF_Tekniker,BG$4,TF_Dato,$A232))*2,0)/2)))</f>
        <v/>
      </c>
      <c r="BH232">
        <f>IF(OR(BH$4="",$A232&gt;TODAY()),0,IF(OR(INDEX($B232:$D232,BH$5)="F",AND(BH$6&gt;0,$A232&lt;BH$6),AND(BH$7&gt;0,$A232&gt;BH$7)),0,MAX(0,ROUND((INDEX($E232:$G232,BH$5)-SUMIFS(TF_Timer,TF_Tekniker,BH$4,TF_Dato,$A232))*2,0)/2)))</f>
        <v/>
      </c>
      <c r="BI232">
        <f>IF(OR(BI$4="",$A232&gt;TODAY()),0,IF(OR(INDEX($B232:$D232,BI$5)="F",AND(BI$6&gt;0,$A232&lt;BI$6),AND(BI$7&gt;0,$A232&gt;BI$7)),0,MAX(0,ROUND((INDEX($E232:$G232,BI$5)-SUMIFS(TF_Timer,TF_Tekniker,BI$4,TF_Dato,$A232))*2,0)/2)))</f>
        <v/>
      </c>
    </row>
    <row r="233">
      <c r="A233" s="64">
        <f>A232+1</f>
        <v/>
      </c>
      <c r="B233">
        <f>IF(MOD($A233-INDEX(SkiftStart,1),Syklus)&lt;DagK,"K",IF(MOD($A233-INDEX(SkiftStart,1),Syklus)&lt;DagK+DagH,"H",IF(MOD($A233-INDEX(SkiftStart,1),Syklus)&lt;DagK+DagH+DagD,"D","F")))</f>
        <v/>
      </c>
      <c r="C233">
        <f>IF(MOD($A233-INDEX(SkiftStart,2),Syklus)&lt;DagK,"K",IF(MOD($A233-INDEX(SkiftStart,2),Syklus)&lt;DagK+DagH,"H",IF(MOD($A233-INDEX(SkiftStart,2),Syklus)&lt;DagK+DagH+DagD,"D","F")))</f>
        <v/>
      </c>
      <c r="D233">
        <f>IF(MOD($A233-INDEX(SkiftStart,3),Syklus)&lt;DagK,"K",IF(MOD($A233-INDEX(SkiftStart,3),Syklus)&lt;DagK+DagH,"H",IF(MOD($A233-INDEX(SkiftStart,3),Syklus)&lt;DagK+DagH+DagD,"D","F")))</f>
        <v/>
      </c>
      <c r="E233">
        <f>IF(B233="F",0,IF(WEEKDAY($A233,2)=5,INDEX(TimerFr,MATCH(B233,FaseKode,0)),INDEX(TimerMT,MATCH(B233,FaseKode,0))))</f>
        <v/>
      </c>
      <c r="F233">
        <f>IF(C233="F",0,IF(WEEKDAY($A233,2)=5,INDEX(TimerFr,MATCH(C233,FaseKode,0)),INDEX(TimerMT,MATCH(C233,FaseKode,0))))</f>
        <v/>
      </c>
      <c r="G233">
        <f>IF(D233="F",0,IF(WEEKDAY($A233,2)=5,INDEX(TimerFr,MATCH(D233,FaseKode,0)),INDEX(TimerMT,MATCH(D233,FaseKode,0))))</f>
        <v/>
      </c>
      <c r="H233">
        <f>IF(OR(H$4="",$A233&gt;TODAY()),0,IF(OR(INDEX($B233:$D233,H$5)="F",AND(H$6&gt;0,$A233&lt;H$6),AND(H$7&gt;0,$A233&gt;H$7)),0,MAX(0,ROUND((INDEX($E233:$G233,H$5)-SUMIFS(TF_Timer,TF_Tekniker,H$4,TF_Dato,$A233))*2,0)/2)))</f>
        <v/>
      </c>
      <c r="I233">
        <f>IF(OR(I$4="",$A233&gt;TODAY()),0,IF(OR(INDEX($B233:$D233,I$5)="F",AND(I$6&gt;0,$A233&lt;I$6),AND(I$7&gt;0,$A233&gt;I$7)),0,MAX(0,ROUND((INDEX($E233:$G233,I$5)-SUMIFS(TF_Timer,TF_Tekniker,I$4,TF_Dato,$A233))*2,0)/2)))</f>
        <v/>
      </c>
      <c r="J233">
        <f>IF(OR(J$4="",$A233&gt;TODAY()),0,IF(OR(INDEX($B233:$D233,J$5)="F",AND(J$6&gt;0,$A233&lt;J$6),AND(J$7&gt;0,$A233&gt;J$7)),0,MAX(0,ROUND((INDEX($E233:$G233,J$5)-SUMIFS(TF_Timer,TF_Tekniker,J$4,TF_Dato,$A233))*2,0)/2)))</f>
        <v/>
      </c>
      <c r="K233">
        <f>IF(OR(K$4="",$A233&gt;TODAY()),0,IF(OR(INDEX($B233:$D233,K$5)="F",AND(K$6&gt;0,$A233&lt;K$6),AND(K$7&gt;0,$A233&gt;K$7)),0,MAX(0,ROUND((INDEX($E233:$G233,K$5)-SUMIFS(TF_Timer,TF_Tekniker,K$4,TF_Dato,$A233))*2,0)/2)))</f>
        <v/>
      </c>
      <c r="L233">
        <f>IF(OR(L$4="",$A233&gt;TODAY()),0,IF(OR(INDEX($B233:$D233,L$5)="F",AND(L$6&gt;0,$A233&lt;L$6),AND(L$7&gt;0,$A233&gt;L$7)),0,MAX(0,ROUND((INDEX($E233:$G233,L$5)-SUMIFS(TF_Timer,TF_Tekniker,L$4,TF_Dato,$A233))*2,0)/2)))</f>
        <v/>
      </c>
      <c r="M233">
        <f>IF(OR(M$4="",$A233&gt;TODAY()),0,IF(OR(INDEX($B233:$D233,M$5)="F",AND(M$6&gt;0,$A233&lt;M$6),AND(M$7&gt;0,$A233&gt;M$7)),0,MAX(0,ROUND((INDEX($E233:$G233,M$5)-SUMIFS(TF_Timer,TF_Tekniker,M$4,TF_Dato,$A233))*2,0)/2)))</f>
        <v/>
      </c>
      <c r="N233">
        <f>IF(OR(N$4="",$A233&gt;TODAY()),0,IF(OR(INDEX($B233:$D233,N$5)="F",AND(N$6&gt;0,$A233&lt;N$6),AND(N$7&gt;0,$A233&gt;N$7)),0,MAX(0,ROUND((INDEX($E233:$G233,N$5)-SUMIFS(TF_Timer,TF_Tekniker,N$4,TF_Dato,$A233))*2,0)/2)))</f>
        <v/>
      </c>
      <c r="O233">
        <f>IF(OR(O$4="",$A233&gt;TODAY()),0,IF(OR(INDEX($B233:$D233,O$5)="F",AND(O$6&gt;0,$A233&lt;O$6),AND(O$7&gt;0,$A233&gt;O$7)),0,MAX(0,ROUND((INDEX($E233:$G233,O$5)-SUMIFS(TF_Timer,TF_Tekniker,O$4,TF_Dato,$A233))*2,0)/2)))</f>
        <v/>
      </c>
      <c r="P233">
        <f>IF(OR(P$4="",$A233&gt;TODAY()),0,IF(OR(INDEX($B233:$D233,P$5)="F",AND(P$6&gt;0,$A233&lt;P$6),AND(P$7&gt;0,$A233&gt;P$7)),0,MAX(0,ROUND((INDEX($E233:$G233,P$5)-SUMIFS(TF_Timer,TF_Tekniker,P$4,TF_Dato,$A233))*2,0)/2)))</f>
        <v/>
      </c>
      <c r="Q233">
        <f>IF(OR(Q$4="",$A233&gt;TODAY()),0,IF(OR(INDEX($B233:$D233,Q$5)="F",AND(Q$6&gt;0,$A233&lt;Q$6),AND(Q$7&gt;0,$A233&gt;Q$7)),0,MAX(0,ROUND((INDEX($E233:$G233,Q$5)-SUMIFS(TF_Timer,TF_Tekniker,Q$4,TF_Dato,$A233))*2,0)/2)))</f>
        <v/>
      </c>
      <c r="R233">
        <f>IF(OR(R$4="",$A233&gt;TODAY()),0,IF(OR(INDEX($B233:$D233,R$5)="F",AND(R$6&gt;0,$A233&lt;R$6),AND(R$7&gt;0,$A233&gt;R$7)),0,MAX(0,ROUND((INDEX($E233:$G233,R$5)-SUMIFS(TF_Timer,TF_Tekniker,R$4,TF_Dato,$A233))*2,0)/2)))</f>
        <v/>
      </c>
      <c r="S233">
        <f>IF(OR(S$4="",$A233&gt;TODAY()),0,IF(OR(INDEX($B233:$D233,S$5)="F",AND(S$6&gt;0,$A233&lt;S$6),AND(S$7&gt;0,$A233&gt;S$7)),0,MAX(0,ROUND((INDEX($E233:$G233,S$5)-SUMIFS(TF_Timer,TF_Tekniker,S$4,TF_Dato,$A233))*2,0)/2)))</f>
        <v/>
      </c>
      <c r="T233">
        <f>IF(OR(T$4="",$A233&gt;TODAY()),0,IF(OR(INDEX($B233:$D233,T$5)="F",AND(T$6&gt;0,$A233&lt;T$6),AND(T$7&gt;0,$A233&gt;T$7)),0,MAX(0,ROUND((INDEX($E233:$G233,T$5)-SUMIFS(TF_Timer,TF_Tekniker,T$4,TF_Dato,$A233))*2,0)/2)))</f>
        <v/>
      </c>
      <c r="U233">
        <f>IF(OR(U$4="",$A233&gt;TODAY()),0,IF(OR(INDEX($B233:$D233,U$5)="F",AND(U$6&gt;0,$A233&lt;U$6),AND(U$7&gt;0,$A233&gt;U$7)),0,MAX(0,ROUND((INDEX($E233:$G233,U$5)-SUMIFS(TF_Timer,TF_Tekniker,U$4,TF_Dato,$A233))*2,0)/2)))</f>
        <v/>
      </c>
      <c r="V233">
        <f>IF(OR(V$4="",$A233&gt;TODAY()),0,IF(OR(INDEX($B233:$D233,V$5)="F",AND(V$6&gt;0,$A233&lt;V$6),AND(V$7&gt;0,$A233&gt;V$7)),0,MAX(0,ROUND((INDEX($E233:$G233,V$5)-SUMIFS(TF_Timer,TF_Tekniker,V$4,TF_Dato,$A233))*2,0)/2)))</f>
        <v/>
      </c>
      <c r="W233">
        <f>IF(OR(W$4="",$A233&gt;TODAY()),0,IF(OR(INDEX($B233:$D233,W$5)="F",AND(W$6&gt;0,$A233&lt;W$6),AND(W$7&gt;0,$A233&gt;W$7)),0,MAX(0,ROUND((INDEX($E233:$G233,W$5)-SUMIFS(TF_Timer,TF_Tekniker,W$4,TF_Dato,$A233))*2,0)/2)))</f>
        <v/>
      </c>
      <c r="X233">
        <f>IF(OR(X$4="",$A233&gt;TODAY()),0,IF(OR(INDEX($B233:$D233,X$5)="F",AND(X$6&gt;0,$A233&lt;X$6),AND(X$7&gt;0,$A233&gt;X$7)),0,MAX(0,ROUND((INDEX($E233:$G233,X$5)-SUMIFS(TF_Timer,TF_Tekniker,X$4,TF_Dato,$A233))*2,0)/2)))</f>
        <v/>
      </c>
      <c r="Y233">
        <f>IF(OR(Y$4="",$A233&gt;TODAY()),0,IF(OR(INDEX($B233:$D233,Y$5)="F",AND(Y$6&gt;0,$A233&lt;Y$6),AND(Y$7&gt;0,$A233&gt;Y$7)),0,MAX(0,ROUND((INDEX($E233:$G233,Y$5)-SUMIFS(TF_Timer,TF_Tekniker,Y$4,TF_Dato,$A233))*2,0)/2)))</f>
        <v/>
      </c>
      <c r="Z233">
        <f>IF(OR(Z$4="",$A233&gt;TODAY()),0,IF(OR(INDEX($B233:$D233,Z$5)="F",AND(Z$6&gt;0,$A233&lt;Z$6),AND(Z$7&gt;0,$A233&gt;Z$7)),0,MAX(0,ROUND((INDEX($E233:$G233,Z$5)-SUMIFS(TF_Timer,TF_Tekniker,Z$4,TF_Dato,$A233))*2,0)/2)))</f>
        <v/>
      </c>
      <c r="AA233">
        <f>IF(OR(AA$4="",$A233&gt;TODAY()),0,IF(OR(INDEX($B233:$D233,AA$5)="F",AND(AA$6&gt;0,$A233&lt;AA$6),AND(AA$7&gt;0,$A233&gt;AA$7)),0,MAX(0,ROUND((INDEX($E233:$G233,AA$5)-SUMIFS(TF_Timer,TF_Tekniker,AA$4,TF_Dato,$A233))*2,0)/2)))</f>
        <v/>
      </c>
      <c r="AB233">
        <f>IF(OR(AB$4="",$A233&gt;TODAY()),0,IF(OR(INDEX($B233:$D233,AB$5)="F",AND(AB$6&gt;0,$A233&lt;AB$6),AND(AB$7&gt;0,$A233&gt;AB$7)),0,MAX(0,ROUND((INDEX($E233:$G233,AB$5)-SUMIFS(TF_Timer,TF_Tekniker,AB$4,TF_Dato,$A233))*2,0)/2)))</f>
        <v/>
      </c>
      <c r="AC233">
        <f>IF(OR(AC$4="",$A233&gt;TODAY()),0,IF(OR(INDEX($B233:$D233,AC$5)="F",AND(AC$6&gt;0,$A233&lt;AC$6),AND(AC$7&gt;0,$A233&gt;AC$7)),0,MAX(0,ROUND((INDEX($E233:$G233,AC$5)-SUMIFS(TF_Timer,TF_Tekniker,AC$4,TF_Dato,$A233))*2,0)/2)))</f>
        <v/>
      </c>
      <c r="AD233">
        <f>IF(OR(AD$4="",$A233&gt;TODAY()),0,IF(OR(INDEX($B233:$D233,AD$5)="F",AND(AD$6&gt;0,$A233&lt;AD$6),AND(AD$7&gt;0,$A233&gt;AD$7)),0,MAX(0,ROUND((INDEX($E233:$G233,AD$5)-SUMIFS(TF_Timer,TF_Tekniker,AD$4,TF_Dato,$A233))*2,0)/2)))</f>
        <v/>
      </c>
      <c r="AE233">
        <f>IF(OR(AE$4="",$A233&gt;TODAY()),0,IF(OR(INDEX($B233:$D233,AE$5)="F",AND(AE$6&gt;0,$A233&lt;AE$6),AND(AE$7&gt;0,$A233&gt;AE$7)),0,MAX(0,ROUND((INDEX($E233:$G233,AE$5)-SUMIFS(TF_Timer,TF_Tekniker,AE$4,TF_Dato,$A233))*2,0)/2)))</f>
        <v/>
      </c>
      <c r="AF233">
        <f>IF(OR(AF$4="",$A233&gt;TODAY()),0,IF(OR(INDEX($B233:$D233,AF$5)="F",AND(AF$6&gt;0,$A233&lt;AF$6),AND(AF$7&gt;0,$A233&gt;AF$7)),0,MAX(0,ROUND((INDEX($E233:$G233,AF$5)-SUMIFS(TF_Timer,TF_Tekniker,AF$4,TF_Dato,$A233))*2,0)/2)))</f>
        <v/>
      </c>
      <c r="AG233">
        <f>IF(OR(AG$4="",$A233&gt;TODAY()),0,IF(OR(INDEX($B233:$D233,AG$5)="F",AND(AG$6&gt;0,$A233&lt;AG$6),AND(AG$7&gt;0,$A233&gt;AG$7)),0,MAX(0,ROUND((INDEX($E233:$G233,AG$5)-SUMIFS(TF_Timer,TF_Tekniker,AG$4,TF_Dato,$A233))*2,0)/2)))</f>
        <v/>
      </c>
      <c r="AH233">
        <f>IF(OR(AH$4="",$A233&gt;TODAY()),0,IF(OR(INDEX($B233:$D233,AH$5)="F",AND(AH$6&gt;0,$A233&lt;AH$6),AND(AH$7&gt;0,$A233&gt;AH$7)),0,MAX(0,ROUND((INDEX($E233:$G233,AH$5)-SUMIFS(TF_Timer,TF_Tekniker,AH$4,TF_Dato,$A233))*2,0)/2)))</f>
        <v/>
      </c>
      <c r="AI233">
        <f>IF(OR(AI$4="",$A233&gt;TODAY()),0,IF(OR(INDEX($B233:$D233,AI$5)="F",AND(AI$6&gt;0,$A233&lt;AI$6),AND(AI$7&gt;0,$A233&gt;AI$7)),0,MAX(0,ROUND((INDEX($E233:$G233,AI$5)-SUMIFS(TF_Timer,TF_Tekniker,AI$4,TF_Dato,$A233))*2,0)/2)))</f>
        <v/>
      </c>
      <c r="AJ233">
        <f>IF(OR(AJ$4="",$A233&gt;TODAY()),0,IF(OR(INDEX($B233:$D233,AJ$5)="F",AND(AJ$6&gt;0,$A233&lt;AJ$6),AND(AJ$7&gt;0,$A233&gt;AJ$7)),0,MAX(0,ROUND((INDEX($E233:$G233,AJ$5)-SUMIFS(TF_Timer,TF_Tekniker,AJ$4,TF_Dato,$A233))*2,0)/2)))</f>
        <v/>
      </c>
      <c r="AK233">
        <f>IF(OR(AK$4="",$A233&gt;TODAY()),0,IF(OR(INDEX($B233:$D233,AK$5)="F",AND(AK$6&gt;0,$A233&lt;AK$6),AND(AK$7&gt;0,$A233&gt;AK$7)),0,MAX(0,ROUND((INDEX($E233:$G233,AK$5)-SUMIFS(TF_Timer,TF_Tekniker,AK$4,TF_Dato,$A233))*2,0)/2)))</f>
        <v/>
      </c>
      <c r="AL233">
        <f>IF(OR(AL$4="",$A233&gt;TODAY()),0,IF(OR(INDEX($B233:$D233,AL$5)="F",AND(AL$6&gt;0,$A233&lt;AL$6),AND(AL$7&gt;0,$A233&gt;AL$7)),0,MAX(0,ROUND((INDEX($E233:$G233,AL$5)-SUMIFS(TF_Timer,TF_Tekniker,AL$4,TF_Dato,$A233))*2,0)/2)))</f>
        <v/>
      </c>
      <c r="AM233">
        <f>IF(OR(AM$4="",$A233&gt;TODAY()),0,IF(OR(INDEX($B233:$D233,AM$5)="F",AND(AM$6&gt;0,$A233&lt;AM$6),AND(AM$7&gt;0,$A233&gt;AM$7)),0,MAX(0,ROUND((INDEX($E233:$G233,AM$5)-SUMIFS(TF_Timer,TF_Tekniker,AM$4,TF_Dato,$A233))*2,0)/2)))</f>
        <v/>
      </c>
      <c r="AN233">
        <f>IF(OR(AN$4="",$A233&gt;TODAY()),0,IF(OR(INDEX($B233:$D233,AN$5)="F",AND(AN$6&gt;0,$A233&lt;AN$6),AND(AN$7&gt;0,$A233&gt;AN$7)),0,MAX(0,ROUND((INDEX($E233:$G233,AN$5)-SUMIFS(TF_Timer,TF_Tekniker,AN$4,TF_Dato,$A233))*2,0)/2)))</f>
        <v/>
      </c>
      <c r="AO233">
        <f>IF(OR(AO$4="",$A233&gt;TODAY()),0,IF(OR(INDEX($B233:$D233,AO$5)="F",AND(AO$6&gt;0,$A233&lt;AO$6),AND(AO$7&gt;0,$A233&gt;AO$7)),0,MAX(0,ROUND((INDEX($E233:$G233,AO$5)-SUMIFS(TF_Timer,TF_Tekniker,AO$4,TF_Dato,$A233))*2,0)/2)))</f>
        <v/>
      </c>
      <c r="AP233">
        <f>IF(OR(AP$4="",$A233&gt;TODAY()),0,IF(OR(INDEX($B233:$D233,AP$5)="F",AND(AP$6&gt;0,$A233&lt;AP$6),AND(AP$7&gt;0,$A233&gt;AP$7)),0,MAX(0,ROUND((INDEX($E233:$G233,AP$5)-SUMIFS(TF_Timer,TF_Tekniker,AP$4,TF_Dato,$A233))*2,0)/2)))</f>
        <v/>
      </c>
      <c r="AQ233">
        <f>IF(OR(AQ$4="",$A233&gt;TODAY()),0,IF(OR(INDEX($B233:$D233,AQ$5)="F",AND(AQ$6&gt;0,$A233&lt;AQ$6),AND(AQ$7&gt;0,$A233&gt;AQ$7)),0,MAX(0,ROUND((INDEX($E233:$G233,AQ$5)-SUMIFS(TF_Timer,TF_Tekniker,AQ$4,TF_Dato,$A233))*2,0)/2)))</f>
        <v/>
      </c>
      <c r="AR233">
        <f>IF(OR(AR$4="",$A233&gt;TODAY()),0,IF(OR(INDEX($B233:$D233,AR$5)="F",AND(AR$6&gt;0,$A233&lt;AR$6),AND(AR$7&gt;0,$A233&gt;AR$7)),0,MAX(0,ROUND((INDEX($E233:$G233,AR$5)-SUMIFS(TF_Timer,TF_Tekniker,AR$4,TF_Dato,$A233))*2,0)/2)))</f>
        <v/>
      </c>
      <c r="AS233">
        <f>IF(OR(AS$4="",$A233&gt;TODAY()),0,IF(OR(INDEX($B233:$D233,AS$5)="F",AND(AS$6&gt;0,$A233&lt;AS$6),AND(AS$7&gt;0,$A233&gt;AS$7)),0,MAX(0,ROUND((INDEX($E233:$G233,AS$5)-SUMIFS(TF_Timer,TF_Tekniker,AS$4,TF_Dato,$A233))*2,0)/2)))</f>
        <v/>
      </c>
      <c r="AT233">
        <f>IF(OR(AT$4="",$A233&gt;TODAY()),0,IF(OR(INDEX($B233:$D233,AT$5)="F",AND(AT$6&gt;0,$A233&lt;AT$6),AND(AT$7&gt;0,$A233&gt;AT$7)),0,MAX(0,ROUND((INDEX($E233:$G233,AT$5)-SUMIFS(TF_Timer,TF_Tekniker,AT$4,TF_Dato,$A233))*2,0)/2)))</f>
        <v/>
      </c>
      <c r="AU233">
        <f>IF(OR(AU$4="",$A233&gt;TODAY()),0,IF(OR(INDEX($B233:$D233,AU$5)="F",AND(AU$6&gt;0,$A233&lt;AU$6),AND(AU$7&gt;0,$A233&gt;AU$7)),0,MAX(0,ROUND((INDEX($E233:$G233,AU$5)-SUMIFS(TF_Timer,TF_Tekniker,AU$4,TF_Dato,$A233))*2,0)/2)))</f>
        <v/>
      </c>
      <c r="AV233">
        <f>IF(OR(AV$4="",$A233&gt;TODAY()),0,IF(OR(INDEX($B233:$D233,AV$5)="F",AND(AV$6&gt;0,$A233&lt;AV$6),AND(AV$7&gt;0,$A233&gt;AV$7)),0,MAX(0,ROUND((INDEX($E233:$G233,AV$5)-SUMIFS(TF_Timer,TF_Tekniker,AV$4,TF_Dato,$A233))*2,0)/2)))</f>
        <v/>
      </c>
      <c r="AW233">
        <f>IF(OR(AW$4="",$A233&gt;TODAY()),0,IF(OR(INDEX($B233:$D233,AW$5)="F",AND(AW$6&gt;0,$A233&lt;AW$6),AND(AW$7&gt;0,$A233&gt;AW$7)),0,MAX(0,ROUND((INDEX($E233:$G233,AW$5)-SUMIFS(TF_Timer,TF_Tekniker,AW$4,TF_Dato,$A233))*2,0)/2)))</f>
        <v/>
      </c>
      <c r="AX233">
        <f>IF(OR(AX$4="",$A233&gt;TODAY()),0,IF(OR(INDEX($B233:$D233,AX$5)="F",AND(AX$6&gt;0,$A233&lt;AX$6),AND(AX$7&gt;0,$A233&gt;AX$7)),0,MAX(0,ROUND((INDEX($E233:$G233,AX$5)-SUMIFS(TF_Timer,TF_Tekniker,AX$4,TF_Dato,$A233))*2,0)/2)))</f>
        <v/>
      </c>
      <c r="AY233">
        <f>IF(OR(AY$4="",$A233&gt;TODAY()),0,IF(OR(INDEX($B233:$D233,AY$5)="F",AND(AY$6&gt;0,$A233&lt;AY$6),AND(AY$7&gt;0,$A233&gt;AY$7)),0,MAX(0,ROUND((INDEX($E233:$G233,AY$5)-SUMIFS(TF_Timer,TF_Tekniker,AY$4,TF_Dato,$A233))*2,0)/2)))</f>
        <v/>
      </c>
      <c r="AZ233">
        <f>IF(OR(AZ$4="",$A233&gt;TODAY()),0,IF(OR(INDEX($B233:$D233,AZ$5)="F",AND(AZ$6&gt;0,$A233&lt;AZ$6),AND(AZ$7&gt;0,$A233&gt;AZ$7)),0,MAX(0,ROUND((INDEX($E233:$G233,AZ$5)-SUMIFS(TF_Timer,TF_Tekniker,AZ$4,TF_Dato,$A233))*2,0)/2)))</f>
        <v/>
      </c>
      <c r="BA233">
        <f>IF(OR(BA$4="",$A233&gt;TODAY()),0,IF(OR(INDEX($B233:$D233,BA$5)="F",AND(BA$6&gt;0,$A233&lt;BA$6),AND(BA$7&gt;0,$A233&gt;BA$7)),0,MAX(0,ROUND((INDEX($E233:$G233,BA$5)-SUMIFS(TF_Timer,TF_Tekniker,BA$4,TF_Dato,$A233))*2,0)/2)))</f>
        <v/>
      </c>
      <c r="BB233">
        <f>IF(OR(BB$4="",$A233&gt;TODAY()),0,IF(OR(INDEX($B233:$D233,BB$5)="F",AND(BB$6&gt;0,$A233&lt;BB$6),AND(BB$7&gt;0,$A233&gt;BB$7)),0,MAX(0,ROUND((INDEX($E233:$G233,BB$5)-SUMIFS(TF_Timer,TF_Tekniker,BB$4,TF_Dato,$A233))*2,0)/2)))</f>
        <v/>
      </c>
      <c r="BC233">
        <f>IF(OR(BC$4="",$A233&gt;TODAY()),0,IF(OR(INDEX($B233:$D233,BC$5)="F",AND(BC$6&gt;0,$A233&lt;BC$6),AND(BC$7&gt;0,$A233&gt;BC$7)),0,MAX(0,ROUND((INDEX($E233:$G233,BC$5)-SUMIFS(TF_Timer,TF_Tekniker,BC$4,TF_Dato,$A233))*2,0)/2)))</f>
        <v/>
      </c>
      <c r="BD233">
        <f>IF(OR(BD$4="",$A233&gt;TODAY()),0,IF(OR(INDEX($B233:$D233,BD$5)="F",AND(BD$6&gt;0,$A233&lt;BD$6),AND(BD$7&gt;0,$A233&gt;BD$7)),0,MAX(0,ROUND((INDEX($E233:$G233,BD$5)-SUMIFS(TF_Timer,TF_Tekniker,BD$4,TF_Dato,$A233))*2,0)/2)))</f>
        <v/>
      </c>
      <c r="BE233">
        <f>IF(OR(BE$4="",$A233&gt;TODAY()),0,IF(OR(INDEX($B233:$D233,BE$5)="F",AND(BE$6&gt;0,$A233&lt;BE$6),AND(BE$7&gt;0,$A233&gt;BE$7)),0,MAX(0,ROUND((INDEX($E233:$G233,BE$5)-SUMIFS(TF_Timer,TF_Tekniker,BE$4,TF_Dato,$A233))*2,0)/2)))</f>
        <v/>
      </c>
      <c r="BF233">
        <f>IF(OR(BF$4="",$A233&gt;TODAY()),0,IF(OR(INDEX($B233:$D233,BF$5)="F",AND(BF$6&gt;0,$A233&lt;BF$6),AND(BF$7&gt;0,$A233&gt;BF$7)),0,MAX(0,ROUND((INDEX($E233:$G233,BF$5)-SUMIFS(TF_Timer,TF_Tekniker,BF$4,TF_Dato,$A233))*2,0)/2)))</f>
        <v/>
      </c>
      <c r="BG233">
        <f>IF(OR(BG$4="",$A233&gt;TODAY()),0,IF(OR(INDEX($B233:$D233,BG$5)="F",AND(BG$6&gt;0,$A233&lt;BG$6),AND(BG$7&gt;0,$A233&gt;BG$7)),0,MAX(0,ROUND((INDEX($E233:$G233,BG$5)-SUMIFS(TF_Timer,TF_Tekniker,BG$4,TF_Dato,$A233))*2,0)/2)))</f>
        <v/>
      </c>
      <c r="BH233">
        <f>IF(OR(BH$4="",$A233&gt;TODAY()),0,IF(OR(INDEX($B233:$D233,BH$5)="F",AND(BH$6&gt;0,$A233&lt;BH$6),AND(BH$7&gt;0,$A233&gt;BH$7)),0,MAX(0,ROUND((INDEX($E233:$G233,BH$5)-SUMIFS(TF_Timer,TF_Tekniker,BH$4,TF_Dato,$A233))*2,0)/2)))</f>
        <v/>
      </c>
      <c r="BI233">
        <f>IF(OR(BI$4="",$A233&gt;TODAY()),0,IF(OR(INDEX($B233:$D233,BI$5)="F",AND(BI$6&gt;0,$A233&lt;BI$6),AND(BI$7&gt;0,$A233&gt;BI$7)),0,MAX(0,ROUND((INDEX($E233:$G233,BI$5)-SUMIFS(TF_Timer,TF_Tekniker,BI$4,TF_Dato,$A233))*2,0)/2)))</f>
        <v/>
      </c>
    </row>
    <row r="234">
      <c r="A234" s="64">
        <f>A233+1</f>
        <v/>
      </c>
      <c r="B234">
        <f>IF(MOD($A234-INDEX(SkiftStart,1),Syklus)&lt;DagK,"K",IF(MOD($A234-INDEX(SkiftStart,1),Syklus)&lt;DagK+DagH,"H",IF(MOD($A234-INDEX(SkiftStart,1),Syklus)&lt;DagK+DagH+DagD,"D","F")))</f>
        <v/>
      </c>
      <c r="C234">
        <f>IF(MOD($A234-INDEX(SkiftStart,2),Syklus)&lt;DagK,"K",IF(MOD($A234-INDEX(SkiftStart,2),Syklus)&lt;DagK+DagH,"H",IF(MOD($A234-INDEX(SkiftStart,2),Syklus)&lt;DagK+DagH+DagD,"D","F")))</f>
        <v/>
      </c>
      <c r="D234">
        <f>IF(MOD($A234-INDEX(SkiftStart,3),Syklus)&lt;DagK,"K",IF(MOD($A234-INDEX(SkiftStart,3),Syklus)&lt;DagK+DagH,"H",IF(MOD($A234-INDEX(SkiftStart,3),Syklus)&lt;DagK+DagH+DagD,"D","F")))</f>
        <v/>
      </c>
      <c r="E234">
        <f>IF(B234="F",0,IF(WEEKDAY($A234,2)=5,INDEX(TimerFr,MATCH(B234,FaseKode,0)),INDEX(TimerMT,MATCH(B234,FaseKode,0))))</f>
        <v/>
      </c>
      <c r="F234">
        <f>IF(C234="F",0,IF(WEEKDAY($A234,2)=5,INDEX(TimerFr,MATCH(C234,FaseKode,0)),INDEX(TimerMT,MATCH(C234,FaseKode,0))))</f>
        <v/>
      </c>
      <c r="G234">
        <f>IF(D234="F",0,IF(WEEKDAY($A234,2)=5,INDEX(TimerFr,MATCH(D234,FaseKode,0)),INDEX(TimerMT,MATCH(D234,FaseKode,0))))</f>
        <v/>
      </c>
      <c r="H234">
        <f>IF(OR(H$4="",$A234&gt;TODAY()),0,IF(OR(INDEX($B234:$D234,H$5)="F",AND(H$6&gt;0,$A234&lt;H$6),AND(H$7&gt;0,$A234&gt;H$7)),0,MAX(0,ROUND((INDEX($E234:$G234,H$5)-SUMIFS(TF_Timer,TF_Tekniker,H$4,TF_Dato,$A234))*2,0)/2)))</f>
        <v/>
      </c>
      <c r="I234">
        <f>IF(OR(I$4="",$A234&gt;TODAY()),0,IF(OR(INDEX($B234:$D234,I$5)="F",AND(I$6&gt;0,$A234&lt;I$6),AND(I$7&gt;0,$A234&gt;I$7)),0,MAX(0,ROUND((INDEX($E234:$G234,I$5)-SUMIFS(TF_Timer,TF_Tekniker,I$4,TF_Dato,$A234))*2,0)/2)))</f>
        <v/>
      </c>
      <c r="J234">
        <f>IF(OR(J$4="",$A234&gt;TODAY()),0,IF(OR(INDEX($B234:$D234,J$5)="F",AND(J$6&gt;0,$A234&lt;J$6),AND(J$7&gt;0,$A234&gt;J$7)),0,MAX(0,ROUND((INDEX($E234:$G234,J$5)-SUMIFS(TF_Timer,TF_Tekniker,J$4,TF_Dato,$A234))*2,0)/2)))</f>
        <v/>
      </c>
      <c r="K234">
        <f>IF(OR(K$4="",$A234&gt;TODAY()),0,IF(OR(INDEX($B234:$D234,K$5)="F",AND(K$6&gt;0,$A234&lt;K$6),AND(K$7&gt;0,$A234&gt;K$7)),0,MAX(0,ROUND((INDEX($E234:$G234,K$5)-SUMIFS(TF_Timer,TF_Tekniker,K$4,TF_Dato,$A234))*2,0)/2)))</f>
        <v/>
      </c>
      <c r="L234">
        <f>IF(OR(L$4="",$A234&gt;TODAY()),0,IF(OR(INDEX($B234:$D234,L$5)="F",AND(L$6&gt;0,$A234&lt;L$6),AND(L$7&gt;0,$A234&gt;L$7)),0,MAX(0,ROUND((INDEX($E234:$G234,L$5)-SUMIFS(TF_Timer,TF_Tekniker,L$4,TF_Dato,$A234))*2,0)/2)))</f>
        <v/>
      </c>
      <c r="M234">
        <f>IF(OR(M$4="",$A234&gt;TODAY()),0,IF(OR(INDEX($B234:$D234,M$5)="F",AND(M$6&gt;0,$A234&lt;M$6),AND(M$7&gt;0,$A234&gt;M$7)),0,MAX(0,ROUND((INDEX($E234:$G234,M$5)-SUMIFS(TF_Timer,TF_Tekniker,M$4,TF_Dato,$A234))*2,0)/2)))</f>
        <v/>
      </c>
      <c r="N234">
        <f>IF(OR(N$4="",$A234&gt;TODAY()),0,IF(OR(INDEX($B234:$D234,N$5)="F",AND(N$6&gt;0,$A234&lt;N$6),AND(N$7&gt;0,$A234&gt;N$7)),0,MAX(0,ROUND((INDEX($E234:$G234,N$5)-SUMIFS(TF_Timer,TF_Tekniker,N$4,TF_Dato,$A234))*2,0)/2)))</f>
        <v/>
      </c>
      <c r="O234">
        <f>IF(OR(O$4="",$A234&gt;TODAY()),0,IF(OR(INDEX($B234:$D234,O$5)="F",AND(O$6&gt;0,$A234&lt;O$6),AND(O$7&gt;0,$A234&gt;O$7)),0,MAX(0,ROUND((INDEX($E234:$G234,O$5)-SUMIFS(TF_Timer,TF_Tekniker,O$4,TF_Dato,$A234))*2,0)/2)))</f>
        <v/>
      </c>
      <c r="P234">
        <f>IF(OR(P$4="",$A234&gt;TODAY()),0,IF(OR(INDEX($B234:$D234,P$5)="F",AND(P$6&gt;0,$A234&lt;P$6),AND(P$7&gt;0,$A234&gt;P$7)),0,MAX(0,ROUND((INDEX($E234:$G234,P$5)-SUMIFS(TF_Timer,TF_Tekniker,P$4,TF_Dato,$A234))*2,0)/2)))</f>
        <v/>
      </c>
      <c r="Q234">
        <f>IF(OR(Q$4="",$A234&gt;TODAY()),0,IF(OR(INDEX($B234:$D234,Q$5)="F",AND(Q$6&gt;0,$A234&lt;Q$6),AND(Q$7&gt;0,$A234&gt;Q$7)),0,MAX(0,ROUND((INDEX($E234:$G234,Q$5)-SUMIFS(TF_Timer,TF_Tekniker,Q$4,TF_Dato,$A234))*2,0)/2)))</f>
        <v/>
      </c>
      <c r="R234">
        <f>IF(OR(R$4="",$A234&gt;TODAY()),0,IF(OR(INDEX($B234:$D234,R$5)="F",AND(R$6&gt;0,$A234&lt;R$6),AND(R$7&gt;0,$A234&gt;R$7)),0,MAX(0,ROUND((INDEX($E234:$G234,R$5)-SUMIFS(TF_Timer,TF_Tekniker,R$4,TF_Dato,$A234))*2,0)/2)))</f>
        <v/>
      </c>
      <c r="S234">
        <f>IF(OR(S$4="",$A234&gt;TODAY()),0,IF(OR(INDEX($B234:$D234,S$5)="F",AND(S$6&gt;0,$A234&lt;S$6),AND(S$7&gt;0,$A234&gt;S$7)),0,MAX(0,ROUND((INDEX($E234:$G234,S$5)-SUMIFS(TF_Timer,TF_Tekniker,S$4,TF_Dato,$A234))*2,0)/2)))</f>
        <v/>
      </c>
      <c r="T234">
        <f>IF(OR(T$4="",$A234&gt;TODAY()),0,IF(OR(INDEX($B234:$D234,T$5)="F",AND(T$6&gt;0,$A234&lt;T$6),AND(T$7&gt;0,$A234&gt;T$7)),0,MAX(0,ROUND((INDEX($E234:$G234,T$5)-SUMIFS(TF_Timer,TF_Tekniker,T$4,TF_Dato,$A234))*2,0)/2)))</f>
        <v/>
      </c>
      <c r="U234">
        <f>IF(OR(U$4="",$A234&gt;TODAY()),0,IF(OR(INDEX($B234:$D234,U$5)="F",AND(U$6&gt;0,$A234&lt;U$6),AND(U$7&gt;0,$A234&gt;U$7)),0,MAX(0,ROUND((INDEX($E234:$G234,U$5)-SUMIFS(TF_Timer,TF_Tekniker,U$4,TF_Dato,$A234))*2,0)/2)))</f>
        <v/>
      </c>
      <c r="V234">
        <f>IF(OR(V$4="",$A234&gt;TODAY()),0,IF(OR(INDEX($B234:$D234,V$5)="F",AND(V$6&gt;0,$A234&lt;V$6),AND(V$7&gt;0,$A234&gt;V$7)),0,MAX(0,ROUND((INDEX($E234:$G234,V$5)-SUMIFS(TF_Timer,TF_Tekniker,V$4,TF_Dato,$A234))*2,0)/2)))</f>
        <v/>
      </c>
      <c r="W234">
        <f>IF(OR(W$4="",$A234&gt;TODAY()),0,IF(OR(INDEX($B234:$D234,W$5)="F",AND(W$6&gt;0,$A234&lt;W$6),AND(W$7&gt;0,$A234&gt;W$7)),0,MAX(0,ROUND((INDEX($E234:$G234,W$5)-SUMIFS(TF_Timer,TF_Tekniker,W$4,TF_Dato,$A234))*2,0)/2)))</f>
        <v/>
      </c>
      <c r="X234">
        <f>IF(OR(X$4="",$A234&gt;TODAY()),0,IF(OR(INDEX($B234:$D234,X$5)="F",AND(X$6&gt;0,$A234&lt;X$6),AND(X$7&gt;0,$A234&gt;X$7)),0,MAX(0,ROUND((INDEX($E234:$G234,X$5)-SUMIFS(TF_Timer,TF_Tekniker,X$4,TF_Dato,$A234))*2,0)/2)))</f>
        <v/>
      </c>
      <c r="Y234">
        <f>IF(OR(Y$4="",$A234&gt;TODAY()),0,IF(OR(INDEX($B234:$D234,Y$5)="F",AND(Y$6&gt;0,$A234&lt;Y$6),AND(Y$7&gt;0,$A234&gt;Y$7)),0,MAX(0,ROUND((INDEX($E234:$G234,Y$5)-SUMIFS(TF_Timer,TF_Tekniker,Y$4,TF_Dato,$A234))*2,0)/2)))</f>
        <v/>
      </c>
      <c r="Z234">
        <f>IF(OR(Z$4="",$A234&gt;TODAY()),0,IF(OR(INDEX($B234:$D234,Z$5)="F",AND(Z$6&gt;0,$A234&lt;Z$6),AND(Z$7&gt;0,$A234&gt;Z$7)),0,MAX(0,ROUND((INDEX($E234:$G234,Z$5)-SUMIFS(TF_Timer,TF_Tekniker,Z$4,TF_Dato,$A234))*2,0)/2)))</f>
        <v/>
      </c>
      <c r="AA234">
        <f>IF(OR(AA$4="",$A234&gt;TODAY()),0,IF(OR(INDEX($B234:$D234,AA$5)="F",AND(AA$6&gt;0,$A234&lt;AA$6),AND(AA$7&gt;0,$A234&gt;AA$7)),0,MAX(0,ROUND((INDEX($E234:$G234,AA$5)-SUMIFS(TF_Timer,TF_Tekniker,AA$4,TF_Dato,$A234))*2,0)/2)))</f>
        <v/>
      </c>
      <c r="AB234">
        <f>IF(OR(AB$4="",$A234&gt;TODAY()),0,IF(OR(INDEX($B234:$D234,AB$5)="F",AND(AB$6&gt;0,$A234&lt;AB$6),AND(AB$7&gt;0,$A234&gt;AB$7)),0,MAX(0,ROUND((INDEX($E234:$G234,AB$5)-SUMIFS(TF_Timer,TF_Tekniker,AB$4,TF_Dato,$A234))*2,0)/2)))</f>
        <v/>
      </c>
      <c r="AC234">
        <f>IF(OR(AC$4="",$A234&gt;TODAY()),0,IF(OR(INDEX($B234:$D234,AC$5)="F",AND(AC$6&gt;0,$A234&lt;AC$6),AND(AC$7&gt;0,$A234&gt;AC$7)),0,MAX(0,ROUND((INDEX($E234:$G234,AC$5)-SUMIFS(TF_Timer,TF_Tekniker,AC$4,TF_Dato,$A234))*2,0)/2)))</f>
        <v/>
      </c>
      <c r="AD234">
        <f>IF(OR(AD$4="",$A234&gt;TODAY()),0,IF(OR(INDEX($B234:$D234,AD$5)="F",AND(AD$6&gt;0,$A234&lt;AD$6),AND(AD$7&gt;0,$A234&gt;AD$7)),0,MAX(0,ROUND((INDEX($E234:$G234,AD$5)-SUMIFS(TF_Timer,TF_Tekniker,AD$4,TF_Dato,$A234))*2,0)/2)))</f>
        <v/>
      </c>
      <c r="AE234">
        <f>IF(OR(AE$4="",$A234&gt;TODAY()),0,IF(OR(INDEX($B234:$D234,AE$5)="F",AND(AE$6&gt;0,$A234&lt;AE$6),AND(AE$7&gt;0,$A234&gt;AE$7)),0,MAX(0,ROUND((INDEX($E234:$G234,AE$5)-SUMIFS(TF_Timer,TF_Tekniker,AE$4,TF_Dato,$A234))*2,0)/2)))</f>
        <v/>
      </c>
      <c r="AF234">
        <f>IF(OR(AF$4="",$A234&gt;TODAY()),0,IF(OR(INDEX($B234:$D234,AF$5)="F",AND(AF$6&gt;0,$A234&lt;AF$6),AND(AF$7&gt;0,$A234&gt;AF$7)),0,MAX(0,ROUND((INDEX($E234:$G234,AF$5)-SUMIFS(TF_Timer,TF_Tekniker,AF$4,TF_Dato,$A234))*2,0)/2)))</f>
        <v/>
      </c>
      <c r="AG234">
        <f>IF(OR(AG$4="",$A234&gt;TODAY()),0,IF(OR(INDEX($B234:$D234,AG$5)="F",AND(AG$6&gt;0,$A234&lt;AG$6),AND(AG$7&gt;0,$A234&gt;AG$7)),0,MAX(0,ROUND((INDEX($E234:$G234,AG$5)-SUMIFS(TF_Timer,TF_Tekniker,AG$4,TF_Dato,$A234))*2,0)/2)))</f>
        <v/>
      </c>
      <c r="AH234">
        <f>IF(OR(AH$4="",$A234&gt;TODAY()),0,IF(OR(INDEX($B234:$D234,AH$5)="F",AND(AH$6&gt;0,$A234&lt;AH$6),AND(AH$7&gt;0,$A234&gt;AH$7)),0,MAX(0,ROUND((INDEX($E234:$G234,AH$5)-SUMIFS(TF_Timer,TF_Tekniker,AH$4,TF_Dato,$A234))*2,0)/2)))</f>
        <v/>
      </c>
      <c r="AI234">
        <f>IF(OR(AI$4="",$A234&gt;TODAY()),0,IF(OR(INDEX($B234:$D234,AI$5)="F",AND(AI$6&gt;0,$A234&lt;AI$6),AND(AI$7&gt;0,$A234&gt;AI$7)),0,MAX(0,ROUND((INDEX($E234:$G234,AI$5)-SUMIFS(TF_Timer,TF_Tekniker,AI$4,TF_Dato,$A234))*2,0)/2)))</f>
        <v/>
      </c>
      <c r="AJ234">
        <f>IF(OR(AJ$4="",$A234&gt;TODAY()),0,IF(OR(INDEX($B234:$D234,AJ$5)="F",AND(AJ$6&gt;0,$A234&lt;AJ$6),AND(AJ$7&gt;0,$A234&gt;AJ$7)),0,MAX(0,ROUND((INDEX($E234:$G234,AJ$5)-SUMIFS(TF_Timer,TF_Tekniker,AJ$4,TF_Dato,$A234))*2,0)/2)))</f>
        <v/>
      </c>
      <c r="AK234">
        <f>IF(OR(AK$4="",$A234&gt;TODAY()),0,IF(OR(INDEX($B234:$D234,AK$5)="F",AND(AK$6&gt;0,$A234&lt;AK$6),AND(AK$7&gt;0,$A234&gt;AK$7)),0,MAX(0,ROUND((INDEX($E234:$G234,AK$5)-SUMIFS(TF_Timer,TF_Tekniker,AK$4,TF_Dato,$A234))*2,0)/2)))</f>
        <v/>
      </c>
      <c r="AL234">
        <f>IF(OR(AL$4="",$A234&gt;TODAY()),0,IF(OR(INDEX($B234:$D234,AL$5)="F",AND(AL$6&gt;0,$A234&lt;AL$6),AND(AL$7&gt;0,$A234&gt;AL$7)),0,MAX(0,ROUND((INDEX($E234:$G234,AL$5)-SUMIFS(TF_Timer,TF_Tekniker,AL$4,TF_Dato,$A234))*2,0)/2)))</f>
        <v/>
      </c>
      <c r="AM234">
        <f>IF(OR(AM$4="",$A234&gt;TODAY()),0,IF(OR(INDEX($B234:$D234,AM$5)="F",AND(AM$6&gt;0,$A234&lt;AM$6),AND(AM$7&gt;0,$A234&gt;AM$7)),0,MAX(0,ROUND((INDEX($E234:$G234,AM$5)-SUMIFS(TF_Timer,TF_Tekniker,AM$4,TF_Dato,$A234))*2,0)/2)))</f>
        <v/>
      </c>
      <c r="AN234">
        <f>IF(OR(AN$4="",$A234&gt;TODAY()),0,IF(OR(INDEX($B234:$D234,AN$5)="F",AND(AN$6&gt;0,$A234&lt;AN$6),AND(AN$7&gt;0,$A234&gt;AN$7)),0,MAX(0,ROUND((INDEX($E234:$G234,AN$5)-SUMIFS(TF_Timer,TF_Tekniker,AN$4,TF_Dato,$A234))*2,0)/2)))</f>
        <v/>
      </c>
      <c r="AO234">
        <f>IF(OR(AO$4="",$A234&gt;TODAY()),0,IF(OR(INDEX($B234:$D234,AO$5)="F",AND(AO$6&gt;0,$A234&lt;AO$6),AND(AO$7&gt;0,$A234&gt;AO$7)),0,MAX(0,ROUND((INDEX($E234:$G234,AO$5)-SUMIFS(TF_Timer,TF_Tekniker,AO$4,TF_Dato,$A234))*2,0)/2)))</f>
        <v/>
      </c>
      <c r="AP234">
        <f>IF(OR(AP$4="",$A234&gt;TODAY()),0,IF(OR(INDEX($B234:$D234,AP$5)="F",AND(AP$6&gt;0,$A234&lt;AP$6),AND(AP$7&gt;0,$A234&gt;AP$7)),0,MAX(0,ROUND((INDEX($E234:$G234,AP$5)-SUMIFS(TF_Timer,TF_Tekniker,AP$4,TF_Dato,$A234))*2,0)/2)))</f>
        <v/>
      </c>
      <c r="AQ234">
        <f>IF(OR(AQ$4="",$A234&gt;TODAY()),0,IF(OR(INDEX($B234:$D234,AQ$5)="F",AND(AQ$6&gt;0,$A234&lt;AQ$6),AND(AQ$7&gt;0,$A234&gt;AQ$7)),0,MAX(0,ROUND((INDEX($E234:$G234,AQ$5)-SUMIFS(TF_Timer,TF_Tekniker,AQ$4,TF_Dato,$A234))*2,0)/2)))</f>
        <v/>
      </c>
      <c r="AR234">
        <f>IF(OR(AR$4="",$A234&gt;TODAY()),0,IF(OR(INDEX($B234:$D234,AR$5)="F",AND(AR$6&gt;0,$A234&lt;AR$6),AND(AR$7&gt;0,$A234&gt;AR$7)),0,MAX(0,ROUND((INDEX($E234:$G234,AR$5)-SUMIFS(TF_Timer,TF_Tekniker,AR$4,TF_Dato,$A234))*2,0)/2)))</f>
        <v/>
      </c>
      <c r="AS234">
        <f>IF(OR(AS$4="",$A234&gt;TODAY()),0,IF(OR(INDEX($B234:$D234,AS$5)="F",AND(AS$6&gt;0,$A234&lt;AS$6),AND(AS$7&gt;0,$A234&gt;AS$7)),0,MAX(0,ROUND((INDEX($E234:$G234,AS$5)-SUMIFS(TF_Timer,TF_Tekniker,AS$4,TF_Dato,$A234))*2,0)/2)))</f>
        <v/>
      </c>
      <c r="AT234">
        <f>IF(OR(AT$4="",$A234&gt;TODAY()),0,IF(OR(INDEX($B234:$D234,AT$5)="F",AND(AT$6&gt;0,$A234&lt;AT$6),AND(AT$7&gt;0,$A234&gt;AT$7)),0,MAX(0,ROUND((INDEX($E234:$G234,AT$5)-SUMIFS(TF_Timer,TF_Tekniker,AT$4,TF_Dato,$A234))*2,0)/2)))</f>
        <v/>
      </c>
      <c r="AU234">
        <f>IF(OR(AU$4="",$A234&gt;TODAY()),0,IF(OR(INDEX($B234:$D234,AU$5)="F",AND(AU$6&gt;0,$A234&lt;AU$6),AND(AU$7&gt;0,$A234&gt;AU$7)),0,MAX(0,ROUND((INDEX($E234:$G234,AU$5)-SUMIFS(TF_Timer,TF_Tekniker,AU$4,TF_Dato,$A234))*2,0)/2)))</f>
        <v/>
      </c>
      <c r="AV234">
        <f>IF(OR(AV$4="",$A234&gt;TODAY()),0,IF(OR(INDEX($B234:$D234,AV$5)="F",AND(AV$6&gt;0,$A234&lt;AV$6),AND(AV$7&gt;0,$A234&gt;AV$7)),0,MAX(0,ROUND((INDEX($E234:$G234,AV$5)-SUMIFS(TF_Timer,TF_Tekniker,AV$4,TF_Dato,$A234))*2,0)/2)))</f>
        <v/>
      </c>
      <c r="AW234">
        <f>IF(OR(AW$4="",$A234&gt;TODAY()),0,IF(OR(INDEX($B234:$D234,AW$5)="F",AND(AW$6&gt;0,$A234&lt;AW$6),AND(AW$7&gt;0,$A234&gt;AW$7)),0,MAX(0,ROUND((INDEX($E234:$G234,AW$5)-SUMIFS(TF_Timer,TF_Tekniker,AW$4,TF_Dato,$A234))*2,0)/2)))</f>
        <v/>
      </c>
      <c r="AX234">
        <f>IF(OR(AX$4="",$A234&gt;TODAY()),0,IF(OR(INDEX($B234:$D234,AX$5)="F",AND(AX$6&gt;0,$A234&lt;AX$6),AND(AX$7&gt;0,$A234&gt;AX$7)),0,MAX(0,ROUND((INDEX($E234:$G234,AX$5)-SUMIFS(TF_Timer,TF_Tekniker,AX$4,TF_Dato,$A234))*2,0)/2)))</f>
        <v/>
      </c>
      <c r="AY234">
        <f>IF(OR(AY$4="",$A234&gt;TODAY()),0,IF(OR(INDEX($B234:$D234,AY$5)="F",AND(AY$6&gt;0,$A234&lt;AY$6),AND(AY$7&gt;0,$A234&gt;AY$7)),0,MAX(0,ROUND((INDEX($E234:$G234,AY$5)-SUMIFS(TF_Timer,TF_Tekniker,AY$4,TF_Dato,$A234))*2,0)/2)))</f>
        <v/>
      </c>
      <c r="AZ234">
        <f>IF(OR(AZ$4="",$A234&gt;TODAY()),0,IF(OR(INDEX($B234:$D234,AZ$5)="F",AND(AZ$6&gt;0,$A234&lt;AZ$6),AND(AZ$7&gt;0,$A234&gt;AZ$7)),0,MAX(0,ROUND((INDEX($E234:$G234,AZ$5)-SUMIFS(TF_Timer,TF_Tekniker,AZ$4,TF_Dato,$A234))*2,0)/2)))</f>
        <v/>
      </c>
      <c r="BA234">
        <f>IF(OR(BA$4="",$A234&gt;TODAY()),0,IF(OR(INDEX($B234:$D234,BA$5)="F",AND(BA$6&gt;0,$A234&lt;BA$6),AND(BA$7&gt;0,$A234&gt;BA$7)),0,MAX(0,ROUND((INDEX($E234:$G234,BA$5)-SUMIFS(TF_Timer,TF_Tekniker,BA$4,TF_Dato,$A234))*2,0)/2)))</f>
        <v/>
      </c>
      <c r="BB234">
        <f>IF(OR(BB$4="",$A234&gt;TODAY()),0,IF(OR(INDEX($B234:$D234,BB$5)="F",AND(BB$6&gt;0,$A234&lt;BB$6),AND(BB$7&gt;0,$A234&gt;BB$7)),0,MAX(0,ROUND((INDEX($E234:$G234,BB$5)-SUMIFS(TF_Timer,TF_Tekniker,BB$4,TF_Dato,$A234))*2,0)/2)))</f>
        <v/>
      </c>
      <c r="BC234">
        <f>IF(OR(BC$4="",$A234&gt;TODAY()),0,IF(OR(INDEX($B234:$D234,BC$5)="F",AND(BC$6&gt;0,$A234&lt;BC$6),AND(BC$7&gt;0,$A234&gt;BC$7)),0,MAX(0,ROUND((INDEX($E234:$G234,BC$5)-SUMIFS(TF_Timer,TF_Tekniker,BC$4,TF_Dato,$A234))*2,0)/2)))</f>
        <v/>
      </c>
      <c r="BD234">
        <f>IF(OR(BD$4="",$A234&gt;TODAY()),0,IF(OR(INDEX($B234:$D234,BD$5)="F",AND(BD$6&gt;0,$A234&lt;BD$6),AND(BD$7&gt;0,$A234&gt;BD$7)),0,MAX(0,ROUND((INDEX($E234:$G234,BD$5)-SUMIFS(TF_Timer,TF_Tekniker,BD$4,TF_Dato,$A234))*2,0)/2)))</f>
        <v/>
      </c>
      <c r="BE234">
        <f>IF(OR(BE$4="",$A234&gt;TODAY()),0,IF(OR(INDEX($B234:$D234,BE$5)="F",AND(BE$6&gt;0,$A234&lt;BE$6),AND(BE$7&gt;0,$A234&gt;BE$7)),0,MAX(0,ROUND((INDEX($E234:$G234,BE$5)-SUMIFS(TF_Timer,TF_Tekniker,BE$4,TF_Dato,$A234))*2,0)/2)))</f>
        <v/>
      </c>
      <c r="BF234">
        <f>IF(OR(BF$4="",$A234&gt;TODAY()),0,IF(OR(INDEX($B234:$D234,BF$5)="F",AND(BF$6&gt;0,$A234&lt;BF$6),AND(BF$7&gt;0,$A234&gt;BF$7)),0,MAX(0,ROUND((INDEX($E234:$G234,BF$5)-SUMIFS(TF_Timer,TF_Tekniker,BF$4,TF_Dato,$A234))*2,0)/2)))</f>
        <v/>
      </c>
      <c r="BG234">
        <f>IF(OR(BG$4="",$A234&gt;TODAY()),0,IF(OR(INDEX($B234:$D234,BG$5)="F",AND(BG$6&gt;0,$A234&lt;BG$6),AND(BG$7&gt;0,$A234&gt;BG$7)),0,MAX(0,ROUND((INDEX($E234:$G234,BG$5)-SUMIFS(TF_Timer,TF_Tekniker,BG$4,TF_Dato,$A234))*2,0)/2)))</f>
        <v/>
      </c>
      <c r="BH234">
        <f>IF(OR(BH$4="",$A234&gt;TODAY()),0,IF(OR(INDEX($B234:$D234,BH$5)="F",AND(BH$6&gt;0,$A234&lt;BH$6),AND(BH$7&gt;0,$A234&gt;BH$7)),0,MAX(0,ROUND((INDEX($E234:$G234,BH$5)-SUMIFS(TF_Timer,TF_Tekniker,BH$4,TF_Dato,$A234))*2,0)/2)))</f>
        <v/>
      </c>
      <c r="BI234">
        <f>IF(OR(BI$4="",$A234&gt;TODAY()),0,IF(OR(INDEX($B234:$D234,BI$5)="F",AND(BI$6&gt;0,$A234&lt;BI$6),AND(BI$7&gt;0,$A234&gt;BI$7)),0,MAX(0,ROUND((INDEX($E234:$G234,BI$5)-SUMIFS(TF_Timer,TF_Tekniker,BI$4,TF_Dato,$A234))*2,0)/2)))</f>
        <v/>
      </c>
    </row>
    <row r="235">
      <c r="A235" s="64">
        <f>A234+1</f>
        <v/>
      </c>
      <c r="B235">
        <f>IF(MOD($A235-INDEX(SkiftStart,1),Syklus)&lt;DagK,"K",IF(MOD($A235-INDEX(SkiftStart,1),Syklus)&lt;DagK+DagH,"H",IF(MOD($A235-INDEX(SkiftStart,1),Syklus)&lt;DagK+DagH+DagD,"D","F")))</f>
        <v/>
      </c>
      <c r="C235">
        <f>IF(MOD($A235-INDEX(SkiftStart,2),Syklus)&lt;DagK,"K",IF(MOD($A235-INDEX(SkiftStart,2),Syklus)&lt;DagK+DagH,"H",IF(MOD($A235-INDEX(SkiftStart,2),Syklus)&lt;DagK+DagH+DagD,"D","F")))</f>
        <v/>
      </c>
      <c r="D235">
        <f>IF(MOD($A235-INDEX(SkiftStart,3),Syklus)&lt;DagK,"K",IF(MOD($A235-INDEX(SkiftStart,3),Syklus)&lt;DagK+DagH,"H",IF(MOD($A235-INDEX(SkiftStart,3),Syklus)&lt;DagK+DagH+DagD,"D","F")))</f>
        <v/>
      </c>
      <c r="E235">
        <f>IF(B235="F",0,IF(WEEKDAY($A235,2)=5,INDEX(TimerFr,MATCH(B235,FaseKode,0)),INDEX(TimerMT,MATCH(B235,FaseKode,0))))</f>
        <v/>
      </c>
      <c r="F235">
        <f>IF(C235="F",0,IF(WEEKDAY($A235,2)=5,INDEX(TimerFr,MATCH(C235,FaseKode,0)),INDEX(TimerMT,MATCH(C235,FaseKode,0))))</f>
        <v/>
      </c>
      <c r="G235">
        <f>IF(D235="F",0,IF(WEEKDAY($A235,2)=5,INDEX(TimerFr,MATCH(D235,FaseKode,0)),INDEX(TimerMT,MATCH(D235,FaseKode,0))))</f>
        <v/>
      </c>
      <c r="H235">
        <f>IF(OR(H$4="",$A235&gt;TODAY()),0,IF(OR(INDEX($B235:$D235,H$5)="F",AND(H$6&gt;0,$A235&lt;H$6),AND(H$7&gt;0,$A235&gt;H$7)),0,MAX(0,ROUND((INDEX($E235:$G235,H$5)-SUMIFS(TF_Timer,TF_Tekniker,H$4,TF_Dato,$A235))*2,0)/2)))</f>
        <v/>
      </c>
      <c r="I235">
        <f>IF(OR(I$4="",$A235&gt;TODAY()),0,IF(OR(INDEX($B235:$D235,I$5)="F",AND(I$6&gt;0,$A235&lt;I$6),AND(I$7&gt;0,$A235&gt;I$7)),0,MAX(0,ROUND((INDEX($E235:$G235,I$5)-SUMIFS(TF_Timer,TF_Tekniker,I$4,TF_Dato,$A235))*2,0)/2)))</f>
        <v/>
      </c>
      <c r="J235">
        <f>IF(OR(J$4="",$A235&gt;TODAY()),0,IF(OR(INDEX($B235:$D235,J$5)="F",AND(J$6&gt;0,$A235&lt;J$6),AND(J$7&gt;0,$A235&gt;J$7)),0,MAX(0,ROUND((INDEX($E235:$G235,J$5)-SUMIFS(TF_Timer,TF_Tekniker,J$4,TF_Dato,$A235))*2,0)/2)))</f>
        <v/>
      </c>
      <c r="K235">
        <f>IF(OR(K$4="",$A235&gt;TODAY()),0,IF(OR(INDEX($B235:$D235,K$5)="F",AND(K$6&gt;0,$A235&lt;K$6),AND(K$7&gt;0,$A235&gt;K$7)),0,MAX(0,ROUND((INDEX($E235:$G235,K$5)-SUMIFS(TF_Timer,TF_Tekniker,K$4,TF_Dato,$A235))*2,0)/2)))</f>
        <v/>
      </c>
      <c r="L235">
        <f>IF(OR(L$4="",$A235&gt;TODAY()),0,IF(OR(INDEX($B235:$D235,L$5)="F",AND(L$6&gt;0,$A235&lt;L$6),AND(L$7&gt;0,$A235&gt;L$7)),0,MAX(0,ROUND((INDEX($E235:$G235,L$5)-SUMIFS(TF_Timer,TF_Tekniker,L$4,TF_Dato,$A235))*2,0)/2)))</f>
        <v/>
      </c>
      <c r="M235">
        <f>IF(OR(M$4="",$A235&gt;TODAY()),0,IF(OR(INDEX($B235:$D235,M$5)="F",AND(M$6&gt;0,$A235&lt;M$6),AND(M$7&gt;0,$A235&gt;M$7)),0,MAX(0,ROUND((INDEX($E235:$G235,M$5)-SUMIFS(TF_Timer,TF_Tekniker,M$4,TF_Dato,$A235))*2,0)/2)))</f>
        <v/>
      </c>
      <c r="N235">
        <f>IF(OR(N$4="",$A235&gt;TODAY()),0,IF(OR(INDEX($B235:$D235,N$5)="F",AND(N$6&gt;0,$A235&lt;N$6),AND(N$7&gt;0,$A235&gt;N$7)),0,MAX(0,ROUND((INDEX($E235:$G235,N$5)-SUMIFS(TF_Timer,TF_Tekniker,N$4,TF_Dato,$A235))*2,0)/2)))</f>
        <v/>
      </c>
      <c r="O235">
        <f>IF(OR(O$4="",$A235&gt;TODAY()),0,IF(OR(INDEX($B235:$D235,O$5)="F",AND(O$6&gt;0,$A235&lt;O$6),AND(O$7&gt;0,$A235&gt;O$7)),0,MAX(0,ROUND((INDEX($E235:$G235,O$5)-SUMIFS(TF_Timer,TF_Tekniker,O$4,TF_Dato,$A235))*2,0)/2)))</f>
        <v/>
      </c>
      <c r="P235">
        <f>IF(OR(P$4="",$A235&gt;TODAY()),0,IF(OR(INDEX($B235:$D235,P$5)="F",AND(P$6&gt;0,$A235&lt;P$6),AND(P$7&gt;0,$A235&gt;P$7)),0,MAX(0,ROUND((INDEX($E235:$G235,P$5)-SUMIFS(TF_Timer,TF_Tekniker,P$4,TF_Dato,$A235))*2,0)/2)))</f>
        <v/>
      </c>
      <c r="Q235">
        <f>IF(OR(Q$4="",$A235&gt;TODAY()),0,IF(OR(INDEX($B235:$D235,Q$5)="F",AND(Q$6&gt;0,$A235&lt;Q$6),AND(Q$7&gt;0,$A235&gt;Q$7)),0,MAX(0,ROUND((INDEX($E235:$G235,Q$5)-SUMIFS(TF_Timer,TF_Tekniker,Q$4,TF_Dato,$A235))*2,0)/2)))</f>
        <v/>
      </c>
      <c r="R235">
        <f>IF(OR(R$4="",$A235&gt;TODAY()),0,IF(OR(INDEX($B235:$D235,R$5)="F",AND(R$6&gt;0,$A235&lt;R$6),AND(R$7&gt;0,$A235&gt;R$7)),0,MAX(0,ROUND((INDEX($E235:$G235,R$5)-SUMIFS(TF_Timer,TF_Tekniker,R$4,TF_Dato,$A235))*2,0)/2)))</f>
        <v/>
      </c>
      <c r="S235">
        <f>IF(OR(S$4="",$A235&gt;TODAY()),0,IF(OR(INDEX($B235:$D235,S$5)="F",AND(S$6&gt;0,$A235&lt;S$6),AND(S$7&gt;0,$A235&gt;S$7)),0,MAX(0,ROUND((INDEX($E235:$G235,S$5)-SUMIFS(TF_Timer,TF_Tekniker,S$4,TF_Dato,$A235))*2,0)/2)))</f>
        <v/>
      </c>
      <c r="T235">
        <f>IF(OR(T$4="",$A235&gt;TODAY()),0,IF(OR(INDEX($B235:$D235,T$5)="F",AND(T$6&gt;0,$A235&lt;T$6),AND(T$7&gt;0,$A235&gt;T$7)),0,MAX(0,ROUND((INDEX($E235:$G235,T$5)-SUMIFS(TF_Timer,TF_Tekniker,T$4,TF_Dato,$A235))*2,0)/2)))</f>
        <v/>
      </c>
      <c r="U235">
        <f>IF(OR(U$4="",$A235&gt;TODAY()),0,IF(OR(INDEX($B235:$D235,U$5)="F",AND(U$6&gt;0,$A235&lt;U$6),AND(U$7&gt;0,$A235&gt;U$7)),0,MAX(0,ROUND((INDEX($E235:$G235,U$5)-SUMIFS(TF_Timer,TF_Tekniker,U$4,TF_Dato,$A235))*2,0)/2)))</f>
        <v/>
      </c>
      <c r="V235">
        <f>IF(OR(V$4="",$A235&gt;TODAY()),0,IF(OR(INDEX($B235:$D235,V$5)="F",AND(V$6&gt;0,$A235&lt;V$6),AND(V$7&gt;0,$A235&gt;V$7)),0,MAX(0,ROUND((INDEX($E235:$G235,V$5)-SUMIFS(TF_Timer,TF_Tekniker,V$4,TF_Dato,$A235))*2,0)/2)))</f>
        <v/>
      </c>
      <c r="W235">
        <f>IF(OR(W$4="",$A235&gt;TODAY()),0,IF(OR(INDEX($B235:$D235,W$5)="F",AND(W$6&gt;0,$A235&lt;W$6),AND(W$7&gt;0,$A235&gt;W$7)),0,MAX(0,ROUND((INDEX($E235:$G235,W$5)-SUMIFS(TF_Timer,TF_Tekniker,W$4,TF_Dato,$A235))*2,0)/2)))</f>
        <v/>
      </c>
      <c r="X235">
        <f>IF(OR(X$4="",$A235&gt;TODAY()),0,IF(OR(INDEX($B235:$D235,X$5)="F",AND(X$6&gt;0,$A235&lt;X$6),AND(X$7&gt;0,$A235&gt;X$7)),0,MAX(0,ROUND((INDEX($E235:$G235,X$5)-SUMIFS(TF_Timer,TF_Tekniker,X$4,TF_Dato,$A235))*2,0)/2)))</f>
        <v/>
      </c>
      <c r="Y235">
        <f>IF(OR(Y$4="",$A235&gt;TODAY()),0,IF(OR(INDEX($B235:$D235,Y$5)="F",AND(Y$6&gt;0,$A235&lt;Y$6),AND(Y$7&gt;0,$A235&gt;Y$7)),0,MAX(0,ROUND((INDEX($E235:$G235,Y$5)-SUMIFS(TF_Timer,TF_Tekniker,Y$4,TF_Dato,$A235))*2,0)/2)))</f>
        <v/>
      </c>
      <c r="Z235">
        <f>IF(OR(Z$4="",$A235&gt;TODAY()),0,IF(OR(INDEX($B235:$D235,Z$5)="F",AND(Z$6&gt;0,$A235&lt;Z$6),AND(Z$7&gt;0,$A235&gt;Z$7)),0,MAX(0,ROUND((INDEX($E235:$G235,Z$5)-SUMIFS(TF_Timer,TF_Tekniker,Z$4,TF_Dato,$A235))*2,0)/2)))</f>
        <v/>
      </c>
      <c r="AA235">
        <f>IF(OR(AA$4="",$A235&gt;TODAY()),0,IF(OR(INDEX($B235:$D235,AA$5)="F",AND(AA$6&gt;0,$A235&lt;AA$6),AND(AA$7&gt;0,$A235&gt;AA$7)),0,MAX(0,ROUND((INDEX($E235:$G235,AA$5)-SUMIFS(TF_Timer,TF_Tekniker,AA$4,TF_Dato,$A235))*2,0)/2)))</f>
        <v/>
      </c>
      <c r="AB235">
        <f>IF(OR(AB$4="",$A235&gt;TODAY()),0,IF(OR(INDEX($B235:$D235,AB$5)="F",AND(AB$6&gt;0,$A235&lt;AB$6),AND(AB$7&gt;0,$A235&gt;AB$7)),0,MAX(0,ROUND((INDEX($E235:$G235,AB$5)-SUMIFS(TF_Timer,TF_Tekniker,AB$4,TF_Dato,$A235))*2,0)/2)))</f>
        <v/>
      </c>
      <c r="AC235">
        <f>IF(OR(AC$4="",$A235&gt;TODAY()),0,IF(OR(INDEX($B235:$D235,AC$5)="F",AND(AC$6&gt;0,$A235&lt;AC$6),AND(AC$7&gt;0,$A235&gt;AC$7)),0,MAX(0,ROUND((INDEX($E235:$G235,AC$5)-SUMIFS(TF_Timer,TF_Tekniker,AC$4,TF_Dato,$A235))*2,0)/2)))</f>
        <v/>
      </c>
      <c r="AD235">
        <f>IF(OR(AD$4="",$A235&gt;TODAY()),0,IF(OR(INDEX($B235:$D235,AD$5)="F",AND(AD$6&gt;0,$A235&lt;AD$6),AND(AD$7&gt;0,$A235&gt;AD$7)),0,MAX(0,ROUND((INDEX($E235:$G235,AD$5)-SUMIFS(TF_Timer,TF_Tekniker,AD$4,TF_Dato,$A235))*2,0)/2)))</f>
        <v/>
      </c>
      <c r="AE235">
        <f>IF(OR(AE$4="",$A235&gt;TODAY()),0,IF(OR(INDEX($B235:$D235,AE$5)="F",AND(AE$6&gt;0,$A235&lt;AE$6),AND(AE$7&gt;0,$A235&gt;AE$7)),0,MAX(0,ROUND((INDEX($E235:$G235,AE$5)-SUMIFS(TF_Timer,TF_Tekniker,AE$4,TF_Dato,$A235))*2,0)/2)))</f>
        <v/>
      </c>
      <c r="AF235">
        <f>IF(OR(AF$4="",$A235&gt;TODAY()),0,IF(OR(INDEX($B235:$D235,AF$5)="F",AND(AF$6&gt;0,$A235&lt;AF$6),AND(AF$7&gt;0,$A235&gt;AF$7)),0,MAX(0,ROUND((INDEX($E235:$G235,AF$5)-SUMIFS(TF_Timer,TF_Tekniker,AF$4,TF_Dato,$A235))*2,0)/2)))</f>
        <v/>
      </c>
      <c r="AG235">
        <f>IF(OR(AG$4="",$A235&gt;TODAY()),0,IF(OR(INDEX($B235:$D235,AG$5)="F",AND(AG$6&gt;0,$A235&lt;AG$6),AND(AG$7&gt;0,$A235&gt;AG$7)),0,MAX(0,ROUND((INDEX($E235:$G235,AG$5)-SUMIFS(TF_Timer,TF_Tekniker,AG$4,TF_Dato,$A235))*2,0)/2)))</f>
        <v/>
      </c>
      <c r="AH235">
        <f>IF(OR(AH$4="",$A235&gt;TODAY()),0,IF(OR(INDEX($B235:$D235,AH$5)="F",AND(AH$6&gt;0,$A235&lt;AH$6),AND(AH$7&gt;0,$A235&gt;AH$7)),0,MAX(0,ROUND((INDEX($E235:$G235,AH$5)-SUMIFS(TF_Timer,TF_Tekniker,AH$4,TF_Dato,$A235))*2,0)/2)))</f>
        <v/>
      </c>
      <c r="AI235">
        <f>IF(OR(AI$4="",$A235&gt;TODAY()),0,IF(OR(INDEX($B235:$D235,AI$5)="F",AND(AI$6&gt;0,$A235&lt;AI$6),AND(AI$7&gt;0,$A235&gt;AI$7)),0,MAX(0,ROUND((INDEX($E235:$G235,AI$5)-SUMIFS(TF_Timer,TF_Tekniker,AI$4,TF_Dato,$A235))*2,0)/2)))</f>
        <v/>
      </c>
      <c r="AJ235">
        <f>IF(OR(AJ$4="",$A235&gt;TODAY()),0,IF(OR(INDEX($B235:$D235,AJ$5)="F",AND(AJ$6&gt;0,$A235&lt;AJ$6),AND(AJ$7&gt;0,$A235&gt;AJ$7)),0,MAX(0,ROUND((INDEX($E235:$G235,AJ$5)-SUMIFS(TF_Timer,TF_Tekniker,AJ$4,TF_Dato,$A235))*2,0)/2)))</f>
        <v/>
      </c>
      <c r="AK235">
        <f>IF(OR(AK$4="",$A235&gt;TODAY()),0,IF(OR(INDEX($B235:$D235,AK$5)="F",AND(AK$6&gt;0,$A235&lt;AK$6),AND(AK$7&gt;0,$A235&gt;AK$7)),0,MAX(0,ROUND((INDEX($E235:$G235,AK$5)-SUMIFS(TF_Timer,TF_Tekniker,AK$4,TF_Dato,$A235))*2,0)/2)))</f>
        <v/>
      </c>
      <c r="AL235">
        <f>IF(OR(AL$4="",$A235&gt;TODAY()),0,IF(OR(INDEX($B235:$D235,AL$5)="F",AND(AL$6&gt;0,$A235&lt;AL$6),AND(AL$7&gt;0,$A235&gt;AL$7)),0,MAX(0,ROUND((INDEX($E235:$G235,AL$5)-SUMIFS(TF_Timer,TF_Tekniker,AL$4,TF_Dato,$A235))*2,0)/2)))</f>
        <v/>
      </c>
      <c r="AM235">
        <f>IF(OR(AM$4="",$A235&gt;TODAY()),0,IF(OR(INDEX($B235:$D235,AM$5)="F",AND(AM$6&gt;0,$A235&lt;AM$6),AND(AM$7&gt;0,$A235&gt;AM$7)),0,MAX(0,ROUND((INDEX($E235:$G235,AM$5)-SUMIFS(TF_Timer,TF_Tekniker,AM$4,TF_Dato,$A235))*2,0)/2)))</f>
        <v/>
      </c>
      <c r="AN235">
        <f>IF(OR(AN$4="",$A235&gt;TODAY()),0,IF(OR(INDEX($B235:$D235,AN$5)="F",AND(AN$6&gt;0,$A235&lt;AN$6),AND(AN$7&gt;0,$A235&gt;AN$7)),0,MAX(0,ROUND((INDEX($E235:$G235,AN$5)-SUMIFS(TF_Timer,TF_Tekniker,AN$4,TF_Dato,$A235))*2,0)/2)))</f>
        <v/>
      </c>
      <c r="AO235">
        <f>IF(OR(AO$4="",$A235&gt;TODAY()),0,IF(OR(INDEX($B235:$D235,AO$5)="F",AND(AO$6&gt;0,$A235&lt;AO$6),AND(AO$7&gt;0,$A235&gt;AO$7)),0,MAX(0,ROUND((INDEX($E235:$G235,AO$5)-SUMIFS(TF_Timer,TF_Tekniker,AO$4,TF_Dato,$A235))*2,0)/2)))</f>
        <v/>
      </c>
      <c r="AP235">
        <f>IF(OR(AP$4="",$A235&gt;TODAY()),0,IF(OR(INDEX($B235:$D235,AP$5)="F",AND(AP$6&gt;0,$A235&lt;AP$6),AND(AP$7&gt;0,$A235&gt;AP$7)),0,MAX(0,ROUND((INDEX($E235:$G235,AP$5)-SUMIFS(TF_Timer,TF_Tekniker,AP$4,TF_Dato,$A235))*2,0)/2)))</f>
        <v/>
      </c>
      <c r="AQ235">
        <f>IF(OR(AQ$4="",$A235&gt;TODAY()),0,IF(OR(INDEX($B235:$D235,AQ$5)="F",AND(AQ$6&gt;0,$A235&lt;AQ$6),AND(AQ$7&gt;0,$A235&gt;AQ$7)),0,MAX(0,ROUND((INDEX($E235:$G235,AQ$5)-SUMIFS(TF_Timer,TF_Tekniker,AQ$4,TF_Dato,$A235))*2,0)/2)))</f>
        <v/>
      </c>
      <c r="AR235">
        <f>IF(OR(AR$4="",$A235&gt;TODAY()),0,IF(OR(INDEX($B235:$D235,AR$5)="F",AND(AR$6&gt;0,$A235&lt;AR$6),AND(AR$7&gt;0,$A235&gt;AR$7)),0,MAX(0,ROUND((INDEX($E235:$G235,AR$5)-SUMIFS(TF_Timer,TF_Tekniker,AR$4,TF_Dato,$A235))*2,0)/2)))</f>
        <v/>
      </c>
      <c r="AS235">
        <f>IF(OR(AS$4="",$A235&gt;TODAY()),0,IF(OR(INDEX($B235:$D235,AS$5)="F",AND(AS$6&gt;0,$A235&lt;AS$6),AND(AS$7&gt;0,$A235&gt;AS$7)),0,MAX(0,ROUND((INDEX($E235:$G235,AS$5)-SUMIFS(TF_Timer,TF_Tekniker,AS$4,TF_Dato,$A235))*2,0)/2)))</f>
        <v/>
      </c>
      <c r="AT235">
        <f>IF(OR(AT$4="",$A235&gt;TODAY()),0,IF(OR(INDEX($B235:$D235,AT$5)="F",AND(AT$6&gt;0,$A235&lt;AT$6),AND(AT$7&gt;0,$A235&gt;AT$7)),0,MAX(0,ROUND((INDEX($E235:$G235,AT$5)-SUMIFS(TF_Timer,TF_Tekniker,AT$4,TF_Dato,$A235))*2,0)/2)))</f>
        <v/>
      </c>
      <c r="AU235">
        <f>IF(OR(AU$4="",$A235&gt;TODAY()),0,IF(OR(INDEX($B235:$D235,AU$5)="F",AND(AU$6&gt;0,$A235&lt;AU$6),AND(AU$7&gt;0,$A235&gt;AU$7)),0,MAX(0,ROUND((INDEX($E235:$G235,AU$5)-SUMIFS(TF_Timer,TF_Tekniker,AU$4,TF_Dato,$A235))*2,0)/2)))</f>
        <v/>
      </c>
      <c r="AV235">
        <f>IF(OR(AV$4="",$A235&gt;TODAY()),0,IF(OR(INDEX($B235:$D235,AV$5)="F",AND(AV$6&gt;0,$A235&lt;AV$6),AND(AV$7&gt;0,$A235&gt;AV$7)),0,MAX(0,ROUND((INDEX($E235:$G235,AV$5)-SUMIFS(TF_Timer,TF_Tekniker,AV$4,TF_Dato,$A235))*2,0)/2)))</f>
        <v/>
      </c>
      <c r="AW235">
        <f>IF(OR(AW$4="",$A235&gt;TODAY()),0,IF(OR(INDEX($B235:$D235,AW$5)="F",AND(AW$6&gt;0,$A235&lt;AW$6),AND(AW$7&gt;0,$A235&gt;AW$7)),0,MAX(0,ROUND((INDEX($E235:$G235,AW$5)-SUMIFS(TF_Timer,TF_Tekniker,AW$4,TF_Dato,$A235))*2,0)/2)))</f>
        <v/>
      </c>
      <c r="AX235">
        <f>IF(OR(AX$4="",$A235&gt;TODAY()),0,IF(OR(INDEX($B235:$D235,AX$5)="F",AND(AX$6&gt;0,$A235&lt;AX$6),AND(AX$7&gt;0,$A235&gt;AX$7)),0,MAX(0,ROUND((INDEX($E235:$G235,AX$5)-SUMIFS(TF_Timer,TF_Tekniker,AX$4,TF_Dato,$A235))*2,0)/2)))</f>
        <v/>
      </c>
      <c r="AY235">
        <f>IF(OR(AY$4="",$A235&gt;TODAY()),0,IF(OR(INDEX($B235:$D235,AY$5)="F",AND(AY$6&gt;0,$A235&lt;AY$6),AND(AY$7&gt;0,$A235&gt;AY$7)),0,MAX(0,ROUND((INDEX($E235:$G235,AY$5)-SUMIFS(TF_Timer,TF_Tekniker,AY$4,TF_Dato,$A235))*2,0)/2)))</f>
        <v/>
      </c>
      <c r="AZ235">
        <f>IF(OR(AZ$4="",$A235&gt;TODAY()),0,IF(OR(INDEX($B235:$D235,AZ$5)="F",AND(AZ$6&gt;0,$A235&lt;AZ$6),AND(AZ$7&gt;0,$A235&gt;AZ$7)),0,MAX(0,ROUND((INDEX($E235:$G235,AZ$5)-SUMIFS(TF_Timer,TF_Tekniker,AZ$4,TF_Dato,$A235))*2,0)/2)))</f>
        <v/>
      </c>
      <c r="BA235">
        <f>IF(OR(BA$4="",$A235&gt;TODAY()),0,IF(OR(INDEX($B235:$D235,BA$5)="F",AND(BA$6&gt;0,$A235&lt;BA$6),AND(BA$7&gt;0,$A235&gt;BA$7)),0,MAX(0,ROUND((INDEX($E235:$G235,BA$5)-SUMIFS(TF_Timer,TF_Tekniker,BA$4,TF_Dato,$A235))*2,0)/2)))</f>
        <v/>
      </c>
      <c r="BB235">
        <f>IF(OR(BB$4="",$A235&gt;TODAY()),0,IF(OR(INDEX($B235:$D235,BB$5)="F",AND(BB$6&gt;0,$A235&lt;BB$6),AND(BB$7&gt;0,$A235&gt;BB$7)),0,MAX(0,ROUND((INDEX($E235:$G235,BB$5)-SUMIFS(TF_Timer,TF_Tekniker,BB$4,TF_Dato,$A235))*2,0)/2)))</f>
        <v/>
      </c>
      <c r="BC235">
        <f>IF(OR(BC$4="",$A235&gt;TODAY()),0,IF(OR(INDEX($B235:$D235,BC$5)="F",AND(BC$6&gt;0,$A235&lt;BC$6),AND(BC$7&gt;0,$A235&gt;BC$7)),0,MAX(0,ROUND((INDEX($E235:$G235,BC$5)-SUMIFS(TF_Timer,TF_Tekniker,BC$4,TF_Dato,$A235))*2,0)/2)))</f>
        <v/>
      </c>
      <c r="BD235">
        <f>IF(OR(BD$4="",$A235&gt;TODAY()),0,IF(OR(INDEX($B235:$D235,BD$5)="F",AND(BD$6&gt;0,$A235&lt;BD$6),AND(BD$7&gt;0,$A235&gt;BD$7)),0,MAX(0,ROUND((INDEX($E235:$G235,BD$5)-SUMIFS(TF_Timer,TF_Tekniker,BD$4,TF_Dato,$A235))*2,0)/2)))</f>
        <v/>
      </c>
      <c r="BE235">
        <f>IF(OR(BE$4="",$A235&gt;TODAY()),0,IF(OR(INDEX($B235:$D235,BE$5)="F",AND(BE$6&gt;0,$A235&lt;BE$6),AND(BE$7&gt;0,$A235&gt;BE$7)),0,MAX(0,ROUND((INDEX($E235:$G235,BE$5)-SUMIFS(TF_Timer,TF_Tekniker,BE$4,TF_Dato,$A235))*2,0)/2)))</f>
        <v/>
      </c>
      <c r="BF235">
        <f>IF(OR(BF$4="",$A235&gt;TODAY()),0,IF(OR(INDEX($B235:$D235,BF$5)="F",AND(BF$6&gt;0,$A235&lt;BF$6),AND(BF$7&gt;0,$A235&gt;BF$7)),0,MAX(0,ROUND((INDEX($E235:$G235,BF$5)-SUMIFS(TF_Timer,TF_Tekniker,BF$4,TF_Dato,$A235))*2,0)/2)))</f>
        <v/>
      </c>
      <c r="BG235">
        <f>IF(OR(BG$4="",$A235&gt;TODAY()),0,IF(OR(INDEX($B235:$D235,BG$5)="F",AND(BG$6&gt;0,$A235&lt;BG$6),AND(BG$7&gt;0,$A235&gt;BG$7)),0,MAX(0,ROUND((INDEX($E235:$G235,BG$5)-SUMIFS(TF_Timer,TF_Tekniker,BG$4,TF_Dato,$A235))*2,0)/2)))</f>
        <v/>
      </c>
      <c r="BH235">
        <f>IF(OR(BH$4="",$A235&gt;TODAY()),0,IF(OR(INDEX($B235:$D235,BH$5)="F",AND(BH$6&gt;0,$A235&lt;BH$6),AND(BH$7&gt;0,$A235&gt;BH$7)),0,MAX(0,ROUND((INDEX($E235:$G235,BH$5)-SUMIFS(TF_Timer,TF_Tekniker,BH$4,TF_Dato,$A235))*2,0)/2)))</f>
        <v/>
      </c>
      <c r="BI235">
        <f>IF(OR(BI$4="",$A235&gt;TODAY()),0,IF(OR(INDEX($B235:$D235,BI$5)="F",AND(BI$6&gt;0,$A235&lt;BI$6),AND(BI$7&gt;0,$A235&gt;BI$7)),0,MAX(0,ROUND((INDEX($E235:$G235,BI$5)-SUMIFS(TF_Timer,TF_Tekniker,BI$4,TF_Dato,$A235))*2,0)/2)))</f>
        <v/>
      </c>
    </row>
    <row r="236">
      <c r="A236" s="64">
        <f>A235+1</f>
        <v/>
      </c>
      <c r="B236">
        <f>IF(MOD($A236-INDEX(SkiftStart,1),Syklus)&lt;DagK,"K",IF(MOD($A236-INDEX(SkiftStart,1),Syklus)&lt;DagK+DagH,"H",IF(MOD($A236-INDEX(SkiftStart,1),Syklus)&lt;DagK+DagH+DagD,"D","F")))</f>
        <v/>
      </c>
      <c r="C236">
        <f>IF(MOD($A236-INDEX(SkiftStart,2),Syklus)&lt;DagK,"K",IF(MOD($A236-INDEX(SkiftStart,2),Syklus)&lt;DagK+DagH,"H",IF(MOD($A236-INDEX(SkiftStart,2),Syklus)&lt;DagK+DagH+DagD,"D","F")))</f>
        <v/>
      </c>
      <c r="D236">
        <f>IF(MOD($A236-INDEX(SkiftStart,3),Syklus)&lt;DagK,"K",IF(MOD($A236-INDEX(SkiftStart,3),Syklus)&lt;DagK+DagH,"H",IF(MOD($A236-INDEX(SkiftStart,3),Syklus)&lt;DagK+DagH+DagD,"D","F")))</f>
        <v/>
      </c>
      <c r="E236">
        <f>IF(B236="F",0,IF(WEEKDAY($A236,2)=5,INDEX(TimerFr,MATCH(B236,FaseKode,0)),INDEX(TimerMT,MATCH(B236,FaseKode,0))))</f>
        <v/>
      </c>
      <c r="F236">
        <f>IF(C236="F",0,IF(WEEKDAY($A236,2)=5,INDEX(TimerFr,MATCH(C236,FaseKode,0)),INDEX(TimerMT,MATCH(C236,FaseKode,0))))</f>
        <v/>
      </c>
      <c r="G236">
        <f>IF(D236="F",0,IF(WEEKDAY($A236,2)=5,INDEX(TimerFr,MATCH(D236,FaseKode,0)),INDEX(TimerMT,MATCH(D236,FaseKode,0))))</f>
        <v/>
      </c>
      <c r="H236">
        <f>IF(OR(H$4="",$A236&gt;TODAY()),0,IF(OR(INDEX($B236:$D236,H$5)="F",AND(H$6&gt;0,$A236&lt;H$6),AND(H$7&gt;0,$A236&gt;H$7)),0,MAX(0,ROUND((INDEX($E236:$G236,H$5)-SUMIFS(TF_Timer,TF_Tekniker,H$4,TF_Dato,$A236))*2,0)/2)))</f>
        <v/>
      </c>
      <c r="I236">
        <f>IF(OR(I$4="",$A236&gt;TODAY()),0,IF(OR(INDEX($B236:$D236,I$5)="F",AND(I$6&gt;0,$A236&lt;I$6),AND(I$7&gt;0,$A236&gt;I$7)),0,MAX(0,ROUND((INDEX($E236:$G236,I$5)-SUMIFS(TF_Timer,TF_Tekniker,I$4,TF_Dato,$A236))*2,0)/2)))</f>
        <v/>
      </c>
      <c r="J236">
        <f>IF(OR(J$4="",$A236&gt;TODAY()),0,IF(OR(INDEX($B236:$D236,J$5)="F",AND(J$6&gt;0,$A236&lt;J$6),AND(J$7&gt;0,$A236&gt;J$7)),0,MAX(0,ROUND((INDEX($E236:$G236,J$5)-SUMIFS(TF_Timer,TF_Tekniker,J$4,TF_Dato,$A236))*2,0)/2)))</f>
        <v/>
      </c>
      <c r="K236">
        <f>IF(OR(K$4="",$A236&gt;TODAY()),0,IF(OR(INDEX($B236:$D236,K$5)="F",AND(K$6&gt;0,$A236&lt;K$6),AND(K$7&gt;0,$A236&gt;K$7)),0,MAX(0,ROUND((INDEX($E236:$G236,K$5)-SUMIFS(TF_Timer,TF_Tekniker,K$4,TF_Dato,$A236))*2,0)/2)))</f>
        <v/>
      </c>
      <c r="L236">
        <f>IF(OR(L$4="",$A236&gt;TODAY()),0,IF(OR(INDEX($B236:$D236,L$5)="F",AND(L$6&gt;0,$A236&lt;L$6),AND(L$7&gt;0,$A236&gt;L$7)),0,MAX(0,ROUND((INDEX($E236:$G236,L$5)-SUMIFS(TF_Timer,TF_Tekniker,L$4,TF_Dato,$A236))*2,0)/2)))</f>
        <v/>
      </c>
      <c r="M236">
        <f>IF(OR(M$4="",$A236&gt;TODAY()),0,IF(OR(INDEX($B236:$D236,M$5)="F",AND(M$6&gt;0,$A236&lt;M$6),AND(M$7&gt;0,$A236&gt;M$7)),0,MAX(0,ROUND((INDEX($E236:$G236,M$5)-SUMIFS(TF_Timer,TF_Tekniker,M$4,TF_Dato,$A236))*2,0)/2)))</f>
        <v/>
      </c>
      <c r="N236">
        <f>IF(OR(N$4="",$A236&gt;TODAY()),0,IF(OR(INDEX($B236:$D236,N$5)="F",AND(N$6&gt;0,$A236&lt;N$6),AND(N$7&gt;0,$A236&gt;N$7)),0,MAX(0,ROUND((INDEX($E236:$G236,N$5)-SUMIFS(TF_Timer,TF_Tekniker,N$4,TF_Dato,$A236))*2,0)/2)))</f>
        <v/>
      </c>
      <c r="O236">
        <f>IF(OR(O$4="",$A236&gt;TODAY()),0,IF(OR(INDEX($B236:$D236,O$5)="F",AND(O$6&gt;0,$A236&lt;O$6),AND(O$7&gt;0,$A236&gt;O$7)),0,MAX(0,ROUND((INDEX($E236:$G236,O$5)-SUMIFS(TF_Timer,TF_Tekniker,O$4,TF_Dato,$A236))*2,0)/2)))</f>
        <v/>
      </c>
      <c r="P236">
        <f>IF(OR(P$4="",$A236&gt;TODAY()),0,IF(OR(INDEX($B236:$D236,P$5)="F",AND(P$6&gt;0,$A236&lt;P$6),AND(P$7&gt;0,$A236&gt;P$7)),0,MAX(0,ROUND((INDEX($E236:$G236,P$5)-SUMIFS(TF_Timer,TF_Tekniker,P$4,TF_Dato,$A236))*2,0)/2)))</f>
        <v/>
      </c>
      <c r="Q236">
        <f>IF(OR(Q$4="",$A236&gt;TODAY()),0,IF(OR(INDEX($B236:$D236,Q$5)="F",AND(Q$6&gt;0,$A236&lt;Q$6),AND(Q$7&gt;0,$A236&gt;Q$7)),0,MAX(0,ROUND((INDEX($E236:$G236,Q$5)-SUMIFS(TF_Timer,TF_Tekniker,Q$4,TF_Dato,$A236))*2,0)/2)))</f>
        <v/>
      </c>
      <c r="R236">
        <f>IF(OR(R$4="",$A236&gt;TODAY()),0,IF(OR(INDEX($B236:$D236,R$5)="F",AND(R$6&gt;0,$A236&lt;R$6),AND(R$7&gt;0,$A236&gt;R$7)),0,MAX(0,ROUND((INDEX($E236:$G236,R$5)-SUMIFS(TF_Timer,TF_Tekniker,R$4,TF_Dato,$A236))*2,0)/2)))</f>
        <v/>
      </c>
      <c r="S236">
        <f>IF(OR(S$4="",$A236&gt;TODAY()),0,IF(OR(INDEX($B236:$D236,S$5)="F",AND(S$6&gt;0,$A236&lt;S$6),AND(S$7&gt;0,$A236&gt;S$7)),0,MAX(0,ROUND((INDEX($E236:$G236,S$5)-SUMIFS(TF_Timer,TF_Tekniker,S$4,TF_Dato,$A236))*2,0)/2)))</f>
        <v/>
      </c>
      <c r="T236">
        <f>IF(OR(T$4="",$A236&gt;TODAY()),0,IF(OR(INDEX($B236:$D236,T$5)="F",AND(T$6&gt;0,$A236&lt;T$6),AND(T$7&gt;0,$A236&gt;T$7)),0,MAX(0,ROUND((INDEX($E236:$G236,T$5)-SUMIFS(TF_Timer,TF_Tekniker,T$4,TF_Dato,$A236))*2,0)/2)))</f>
        <v/>
      </c>
      <c r="U236">
        <f>IF(OR(U$4="",$A236&gt;TODAY()),0,IF(OR(INDEX($B236:$D236,U$5)="F",AND(U$6&gt;0,$A236&lt;U$6),AND(U$7&gt;0,$A236&gt;U$7)),0,MAX(0,ROUND((INDEX($E236:$G236,U$5)-SUMIFS(TF_Timer,TF_Tekniker,U$4,TF_Dato,$A236))*2,0)/2)))</f>
        <v/>
      </c>
      <c r="V236">
        <f>IF(OR(V$4="",$A236&gt;TODAY()),0,IF(OR(INDEX($B236:$D236,V$5)="F",AND(V$6&gt;0,$A236&lt;V$6),AND(V$7&gt;0,$A236&gt;V$7)),0,MAX(0,ROUND((INDEX($E236:$G236,V$5)-SUMIFS(TF_Timer,TF_Tekniker,V$4,TF_Dato,$A236))*2,0)/2)))</f>
        <v/>
      </c>
      <c r="W236">
        <f>IF(OR(W$4="",$A236&gt;TODAY()),0,IF(OR(INDEX($B236:$D236,W$5)="F",AND(W$6&gt;0,$A236&lt;W$6),AND(W$7&gt;0,$A236&gt;W$7)),0,MAX(0,ROUND((INDEX($E236:$G236,W$5)-SUMIFS(TF_Timer,TF_Tekniker,W$4,TF_Dato,$A236))*2,0)/2)))</f>
        <v/>
      </c>
      <c r="X236">
        <f>IF(OR(X$4="",$A236&gt;TODAY()),0,IF(OR(INDEX($B236:$D236,X$5)="F",AND(X$6&gt;0,$A236&lt;X$6),AND(X$7&gt;0,$A236&gt;X$7)),0,MAX(0,ROUND((INDEX($E236:$G236,X$5)-SUMIFS(TF_Timer,TF_Tekniker,X$4,TF_Dato,$A236))*2,0)/2)))</f>
        <v/>
      </c>
      <c r="Y236">
        <f>IF(OR(Y$4="",$A236&gt;TODAY()),0,IF(OR(INDEX($B236:$D236,Y$5)="F",AND(Y$6&gt;0,$A236&lt;Y$6),AND(Y$7&gt;0,$A236&gt;Y$7)),0,MAX(0,ROUND((INDEX($E236:$G236,Y$5)-SUMIFS(TF_Timer,TF_Tekniker,Y$4,TF_Dato,$A236))*2,0)/2)))</f>
        <v/>
      </c>
      <c r="Z236">
        <f>IF(OR(Z$4="",$A236&gt;TODAY()),0,IF(OR(INDEX($B236:$D236,Z$5)="F",AND(Z$6&gt;0,$A236&lt;Z$6),AND(Z$7&gt;0,$A236&gt;Z$7)),0,MAX(0,ROUND((INDEX($E236:$G236,Z$5)-SUMIFS(TF_Timer,TF_Tekniker,Z$4,TF_Dato,$A236))*2,0)/2)))</f>
        <v/>
      </c>
      <c r="AA236">
        <f>IF(OR(AA$4="",$A236&gt;TODAY()),0,IF(OR(INDEX($B236:$D236,AA$5)="F",AND(AA$6&gt;0,$A236&lt;AA$6),AND(AA$7&gt;0,$A236&gt;AA$7)),0,MAX(0,ROUND((INDEX($E236:$G236,AA$5)-SUMIFS(TF_Timer,TF_Tekniker,AA$4,TF_Dato,$A236))*2,0)/2)))</f>
        <v/>
      </c>
      <c r="AB236">
        <f>IF(OR(AB$4="",$A236&gt;TODAY()),0,IF(OR(INDEX($B236:$D236,AB$5)="F",AND(AB$6&gt;0,$A236&lt;AB$6),AND(AB$7&gt;0,$A236&gt;AB$7)),0,MAX(0,ROUND((INDEX($E236:$G236,AB$5)-SUMIFS(TF_Timer,TF_Tekniker,AB$4,TF_Dato,$A236))*2,0)/2)))</f>
        <v/>
      </c>
      <c r="AC236">
        <f>IF(OR(AC$4="",$A236&gt;TODAY()),0,IF(OR(INDEX($B236:$D236,AC$5)="F",AND(AC$6&gt;0,$A236&lt;AC$6),AND(AC$7&gt;0,$A236&gt;AC$7)),0,MAX(0,ROUND((INDEX($E236:$G236,AC$5)-SUMIFS(TF_Timer,TF_Tekniker,AC$4,TF_Dato,$A236))*2,0)/2)))</f>
        <v/>
      </c>
      <c r="AD236">
        <f>IF(OR(AD$4="",$A236&gt;TODAY()),0,IF(OR(INDEX($B236:$D236,AD$5)="F",AND(AD$6&gt;0,$A236&lt;AD$6),AND(AD$7&gt;0,$A236&gt;AD$7)),0,MAX(0,ROUND((INDEX($E236:$G236,AD$5)-SUMIFS(TF_Timer,TF_Tekniker,AD$4,TF_Dato,$A236))*2,0)/2)))</f>
        <v/>
      </c>
      <c r="AE236">
        <f>IF(OR(AE$4="",$A236&gt;TODAY()),0,IF(OR(INDEX($B236:$D236,AE$5)="F",AND(AE$6&gt;0,$A236&lt;AE$6),AND(AE$7&gt;0,$A236&gt;AE$7)),0,MAX(0,ROUND((INDEX($E236:$G236,AE$5)-SUMIFS(TF_Timer,TF_Tekniker,AE$4,TF_Dato,$A236))*2,0)/2)))</f>
        <v/>
      </c>
      <c r="AF236">
        <f>IF(OR(AF$4="",$A236&gt;TODAY()),0,IF(OR(INDEX($B236:$D236,AF$5)="F",AND(AF$6&gt;0,$A236&lt;AF$6),AND(AF$7&gt;0,$A236&gt;AF$7)),0,MAX(0,ROUND((INDEX($E236:$G236,AF$5)-SUMIFS(TF_Timer,TF_Tekniker,AF$4,TF_Dato,$A236))*2,0)/2)))</f>
        <v/>
      </c>
      <c r="AG236">
        <f>IF(OR(AG$4="",$A236&gt;TODAY()),0,IF(OR(INDEX($B236:$D236,AG$5)="F",AND(AG$6&gt;0,$A236&lt;AG$6),AND(AG$7&gt;0,$A236&gt;AG$7)),0,MAX(0,ROUND((INDEX($E236:$G236,AG$5)-SUMIFS(TF_Timer,TF_Tekniker,AG$4,TF_Dato,$A236))*2,0)/2)))</f>
        <v/>
      </c>
      <c r="AH236">
        <f>IF(OR(AH$4="",$A236&gt;TODAY()),0,IF(OR(INDEX($B236:$D236,AH$5)="F",AND(AH$6&gt;0,$A236&lt;AH$6),AND(AH$7&gt;0,$A236&gt;AH$7)),0,MAX(0,ROUND((INDEX($E236:$G236,AH$5)-SUMIFS(TF_Timer,TF_Tekniker,AH$4,TF_Dato,$A236))*2,0)/2)))</f>
        <v/>
      </c>
      <c r="AI236">
        <f>IF(OR(AI$4="",$A236&gt;TODAY()),0,IF(OR(INDEX($B236:$D236,AI$5)="F",AND(AI$6&gt;0,$A236&lt;AI$6),AND(AI$7&gt;0,$A236&gt;AI$7)),0,MAX(0,ROUND((INDEX($E236:$G236,AI$5)-SUMIFS(TF_Timer,TF_Tekniker,AI$4,TF_Dato,$A236))*2,0)/2)))</f>
        <v/>
      </c>
      <c r="AJ236">
        <f>IF(OR(AJ$4="",$A236&gt;TODAY()),0,IF(OR(INDEX($B236:$D236,AJ$5)="F",AND(AJ$6&gt;0,$A236&lt;AJ$6),AND(AJ$7&gt;0,$A236&gt;AJ$7)),0,MAX(0,ROUND((INDEX($E236:$G236,AJ$5)-SUMIFS(TF_Timer,TF_Tekniker,AJ$4,TF_Dato,$A236))*2,0)/2)))</f>
        <v/>
      </c>
      <c r="AK236">
        <f>IF(OR(AK$4="",$A236&gt;TODAY()),0,IF(OR(INDEX($B236:$D236,AK$5)="F",AND(AK$6&gt;0,$A236&lt;AK$6),AND(AK$7&gt;0,$A236&gt;AK$7)),0,MAX(0,ROUND((INDEX($E236:$G236,AK$5)-SUMIFS(TF_Timer,TF_Tekniker,AK$4,TF_Dato,$A236))*2,0)/2)))</f>
        <v/>
      </c>
      <c r="AL236">
        <f>IF(OR(AL$4="",$A236&gt;TODAY()),0,IF(OR(INDEX($B236:$D236,AL$5)="F",AND(AL$6&gt;0,$A236&lt;AL$6),AND(AL$7&gt;0,$A236&gt;AL$7)),0,MAX(0,ROUND((INDEX($E236:$G236,AL$5)-SUMIFS(TF_Timer,TF_Tekniker,AL$4,TF_Dato,$A236))*2,0)/2)))</f>
        <v/>
      </c>
      <c r="AM236">
        <f>IF(OR(AM$4="",$A236&gt;TODAY()),0,IF(OR(INDEX($B236:$D236,AM$5)="F",AND(AM$6&gt;0,$A236&lt;AM$6),AND(AM$7&gt;0,$A236&gt;AM$7)),0,MAX(0,ROUND((INDEX($E236:$G236,AM$5)-SUMIFS(TF_Timer,TF_Tekniker,AM$4,TF_Dato,$A236))*2,0)/2)))</f>
        <v/>
      </c>
      <c r="AN236">
        <f>IF(OR(AN$4="",$A236&gt;TODAY()),0,IF(OR(INDEX($B236:$D236,AN$5)="F",AND(AN$6&gt;0,$A236&lt;AN$6),AND(AN$7&gt;0,$A236&gt;AN$7)),0,MAX(0,ROUND((INDEX($E236:$G236,AN$5)-SUMIFS(TF_Timer,TF_Tekniker,AN$4,TF_Dato,$A236))*2,0)/2)))</f>
        <v/>
      </c>
      <c r="AO236">
        <f>IF(OR(AO$4="",$A236&gt;TODAY()),0,IF(OR(INDEX($B236:$D236,AO$5)="F",AND(AO$6&gt;0,$A236&lt;AO$6),AND(AO$7&gt;0,$A236&gt;AO$7)),0,MAX(0,ROUND((INDEX($E236:$G236,AO$5)-SUMIFS(TF_Timer,TF_Tekniker,AO$4,TF_Dato,$A236))*2,0)/2)))</f>
        <v/>
      </c>
      <c r="AP236">
        <f>IF(OR(AP$4="",$A236&gt;TODAY()),0,IF(OR(INDEX($B236:$D236,AP$5)="F",AND(AP$6&gt;0,$A236&lt;AP$6),AND(AP$7&gt;0,$A236&gt;AP$7)),0,MAX(0,ROUND((INDEX($E236:$G236,AP$5)-SUMIFS(TF_Timer,TF_Tekniker,AP$4,TF_Dato,$A236))*2,0)/2)))</f>
        <v/>
      </c>
      <c r="AQ236">
        <f>IF(OR(AQ$4="",$A236&gt;TODAY()),0,IF(OR(INDEX($B236:$D236,AQ$5)="F",AND(AQ$6&gt;0,$A236&lt;AQ$6),AND(AQ$7&gt;0,$A236&gt;AQ$7)),0,MAX(0,ROUND((INDEX($E236:$G236,AQ$5)-SUMIFS(TF_Timer,TF_Tekniker,AQ$4,TF_Dato,$A236))*2,0)/2)))</f>
        <v/>
      </c>
      <c r="AR236">
        <f>IF(OR(AR$4="",$A236&gt;TODAY()),0,IF(OR(INDEX($B236:$D236,AR$5)="F",AND(AR$6&gt;0,$A236&lt;AR$6),AND(AR$7&gt;0,$A236&gt;AR$7)),0,MAX(0,ROUND((INDEX($E236:$G236,AR$5)-SUMIFS(TF_Timer,TF_Tekniker,AR$4,TF_Dato,$A236))*2,0)/2)))</f>
        <v/>
      </c>
      <c r="AS236">
        <f>IF(OR(AS$4="",$A236&gt;TODAY()),0,IF(OR(INDEX($B236:$D236,AS$5)="F",AND(AS$6&gt;0,$A236&lt;AS$6),AND(AS$7&gt;0,$A236&gt;AS$7)),0,MAX(0,ROUND((INDEX($E236:$G236,AS$5)-SUMIFS(TF_Timer,TF_Tekniker,AS$4,TF_Dato,$A236))*2,0)/2)))</f>
        <v/>
      </c>
      <c r="AT236">
        <f>IF(OR(AT$4="",$A236&gt;TODAY()),0,IF(OR(INDEX($B236:$D236,AT$5)="F",AND(AT$6&gt;0,$A236&lt;AT$6),AND(AT$7&gt;0,$A236&gt;AT$7)),0,MAX(0,ROUND((INDEX($E236:$G236,AT$5)-SUMIFS(TF_Timer,TF_Tekniker,AT$4,TF_Dato,$A236))*2,0)/2)))</f>
        <v/>
      </c>
      <c r="AU236">
        <f>IF(OR(AU$4="",$A236&gt;TODAY()),0,IF(OR(INDEX($B236:$D236,AU$5)="F",AND(AU$6&gt;0,$A236&lt;AU$6),AND(AU$7&gt;0,$A236&gt;AU$7)),0,MAX(0,ROUND((INDEX($E236:$G236,AU$5)-SUMIFS(TF_Timer,TF_Tekniker,AU$4,TF_Dato,$A236))*2,0)/2)))</f>
        <v/>
      </c>
      <c r="AV236">
        <f>IF(OR(AV$4="",$A236&gt;TODAY()),0,IF(OR(INDEX($B236:$D236,AV$5)="F",AND(AV$6&gt;0,$A236&lt;AV$6),AND(AV$7&gt;0,$A236&gt;AV$7)),0,MAX(0,ROUND((INDEX($E236:$G236,AV$5)-SUMIFS(TF_Timer,TF_Tekniker,AV$4,TF_Dato,$A236))*2,0)/2)))</f>
        <v/>
      </c>
      <c r="AW236">
        <f>IF(OR(AW$4="",$A236&gt;TODAY()),0,IF(OR(INDEX($B236:$D236,AW$5)="F",AND(AW$6&gt;0,$A236&lt;AW$6),AND(AW$7&gt;0,$A236&gt;AW$7)),0,MAX(0,ROUND((INDEX($E236:$G236,AW$5)-SUMIFS(TF_Timer,TF_Tekniker,AW$4,TF_Dato,$A236))*2,0)/2)))</f>
        <v/>
      </c>
      <c r="AX236">
        <f>IF(OR(AX$4="",$A236&gt;TODAY()),0,IF(OR(INDEX($B236:$D236,AX$5)="F",AND(AX$6&gt;0,$A236&lt;AX$6),AND(AX$7&gt;0,$A236&gt;AX$7)),0,MAX(0,ROUND((INDEX($E236:$G236,AX$5)-SUMIFS(TF_Timer,TF_Tekniker,AX$4,TF_Dato,$A236))*2,0)/2)))</f>
        <v/>
      </c>
      <c r="AY236">
        <f>IF(OR(AY$4="",$A236&gt;TODAY()),0,IF(OR(INDEX($B236:$D236,AY$5)="F",AND(AY$6&gt;0,$A236&lt;AY$6),AND(AY$7&gt;0,$A236&gt;AY$7)),0,MAX(0,ROUND((INDEX($E236:$G236,AY$5)-SUMIFS(TF_Timer,TF_Tekniker,AY$4,TF_Dato,$A236))*2,0)/2)))</f>
        <v/>
      </c>
      <c r="AZ236">
        <f>IF(OR(AZ$4="",$A236&gt;TODAY()),0,IF(OR(INDEX($B236:$D236,AZ$5)="F",AND(AZ$6&gt;0,$A236&lt;AZ$6),AND(AZ$7&gt;0,$A236&gt;AZ$7)),0,MAX(0,ROUND((INDEX($E236:$G236,AZ$5)-SUMIFS(TF_Timer,TF_Tekniker,AZ$4,TF_Dato,$A236))*2,0)/2)))</f>
        <v/>
      </c>
      <c r="BA236">
        <f>IF(OR(BA$4="",$A236&gt;TODAY()),0,IF(OR(INDEX($B236:$D236,BA$5)="F",AND(BA$6&gt;0,$A236&lt;BA$6),AND(BA$7&gt;0,$A236&gt;BA$7)),0,MAX(0,ROUND((INDEX($E236:$G236,BA$5)-SUMIFS(TF_Timer,TF_Tekniker,BA$4,TF_Dato,$A236))*2,0)/2)))</f>
        <v/>
      </c>
      <c r="BB236">
        <f>IF(OR(BB$4="",$A236&gt;TODAY()),0,IF(OR(INDEX($B236:$D236,BB$5)="F",AND(BB$6&gt;0,$A236&lt;BB$6),AND(BB$7&gt;0,$A236&gt;BB$7)),0,MAX(0,ROUND((INDEX($E236:$G236,BB$5)-SUMIFS(TF_Timer,TF_Tekniker,BB$4,TF_Dato,$A236))*2,0)/2)))</f>
        <v/>
      </c>
      <c r="BC236">
        <f>IF(OR(BC$4="",$A236&gt;TODAY()),0,IF(OR(INDEX($B236:$D236,BC$5)="F",AND(BC$6&gt;0,$A236&lt;BC$6),AND(BC$7&gt;0,$A236&gt;BC$7)),0,MAX(0,ROUND((INDEX($E236:$G236,BC$5)-SUMIFS(TF_Timer,TF_Tekniker,BC$4,TF_Dato,$A236))*2,0)/2)))</f>
        <v/>
      </c>
      <c r="BD236">
        <f>IF(OR(BD$4="",$A236&gt;TODAY()),0,IF(OR(INDEX($B236:$D236,BD$5)="F",AND(BD$6&gt;0,$A236&lt;BD$6),AND(BD$7&gt;0,$A236&gt;BD$7)),0,MAX(0,ROUND((INDEX($E236:$G236,BD$5)-SUMIFS(TF_Timer,TF_Tekniker,BD$4,TF_Dato,$A236))*2,0)/2)))</f>
        <v/>
      </c>
      <c r="BE236">
        <f>IF(OR(BE$4="",$A236&gt;TODAY()),0,IF(OR(INDEX($B236:$D236,BE$5)="F",AND(BE$6&gt;0,$A236&lt;BE$6),AND(BE$7&gt;0,$A236&gt;BE$7)),0,MAX(0,ROUND((INDEX($E236:$G236,BE$5)-SUMIFS(TF_Timer,TF_Tekniker,BE$4,TF_Dato,$A236))*2,0)/2)))</f>
        <v/>
      </c>
      <c r="BF236">
        <f>IF(OR(BF$4="",$A236&gt;TODAY()),0,IF(OR(INDEX($B236:$D236,BF$5)="F",AND(BF$6&gt;0,$A236&lt;BF$6),AND(BF$7&gt;0,$A236&gt;BF$7)),0,MAX(0,ROUND((INDEX($E236:$G236,BF$5)-SUMIFS(TF_Timer,TF_Tekniker,BF$4,TF_Dato,$A236))*2,0)/2)))</f>
        <v/>
      </c>
      <c r="BG236">
        <f>IF(OR(BG$4="",$A236&gt;TODAY()),0,IF(OR(INDEX($B236:$D236,BG$5)="F",AND(BG$6&gt;0,$A236&lt;BG$6),AND(BG$7&gt;0,$A236&gt;BG$7)),0,MAX(0,ROUND((INDEX($E236:$G236,BG$5)-SUMIFS(TF_Timer,TF_Tekniker,BG$4,TF_Dato,$A236))*2,0)/2)))</f>
        <v/>
      </c>
      <c r="BH236">
        <f>IF(OR(BH$4="",$A236&gt;TODAY()),0,IF(OR(INDEX($B236:$D236,BH$5)="F",AND(BH$6&gt;0,$A236&lt;BH$6),AND(BH$7&gt;0,$A236&gt;BH$7)),0,MAX(0,ROUND((INDEX($E236:$G236,BH$5)-SUMIFS(TF_Timer,TF_Tekniker,BH$4,TF_Dato,$A236))*2,0)/2)))</f>
        <v/>
      </c>
      <c r="BI236">
        <f>IF(OR(BI$4="",$A236&gt;TODAY()),0,IF(OR(INDEX($B236:$D236,BI$5)="F",AND(BI$6&gt;0,$A236&lt;BI$6),AND(BI$7&gt;0,$A236&gt;BI$7)),0,MAX(0,ROUND((INDEX($E236:$G236,BI$5)-SUMIFS(TF_Timer,TF_Tekniker,BI$4,TF_Dato,$A236))*2,0)/2)))</f>
        <v/>
      </c>
    </row>
    <row r="237">
      <c r="A237" s="64">
        <f>A236+1</f>
        <v/>
      </c>
      <c r="B237">
        <f>IF(MOD($A237-INDEX(SkiftStart,1),Syklus)&lt;DagK,"K",IF(MOD($A237-INDEX(SkiftStart,1),Syklus)&lt;DagK+DagH,"H",IF(MOD($A237-INDEX(SkiftStart,1),Syklus)&lt;DagK+DagH+DagD,"D","F")))</f>
        <v/>
      </c>
      <c r="C237">
        <f>IF(MOD($A237-INDEX(SkiftStart,2),Syklus)&lt;DagK,"K",IF(MOD($A237-INDEX(SkiftStart,2),Syklus)&lt;DagK+DagH,"H",IF(MOD($A237-INDEX(SkiftStart,2),Syklus)&lt;DagK+DagH+DagD,"D","F")))</f>
        <v/>
      </c>
      <c r="D237">
        <f>IF(MOD($A237-INDEX(SkiftStart,3),Syklus)&lt;DagK,"K",IF(MOD($A237-INDEX(SkiftStart,3),Syklus)&lt;DagK+DagH,"H",IF(MOD($A237-INDEX(SkiftStart,3),Syklus)&lt;DagK+DagH+DagD,"D","F")))</f>
        <v/>
      </c>
      <c r="E237">
        <f>IF(B237="F",0,IF(WEEKDAY($A237,2)=5,INDEX(TimerFr,MATCH(B237,FaseKode,0)),INDEX(TimerMT,MATCH(B237,FaseKode,0))))</f>
        <v/>
      </c>
      <c r="F237">
        <f>IF(C237="F",0,IF(WEEKDAY($A237,2)=5,INDEX(TimerFr,MATCH(C237,FaseKode,0)),INDEX(TimerMT,MATCH(C237,FaseKode,0))))</f>
        <v/>
      </c>
      <c r="G237">
        <f>IF(D237="F",0,IF(WEEKDAY($A237,2)=5,INDEX(TimerFr,MATCH(D237,FaseKode,0)),INDEX(TimerMT,MATCH(D237,FaseKode,0))))</f>
        <v/>
      </c>
      <c r="H237">
        <f>IF(OR(H$4="",$A237&gt;TODAY()),0,IF(OR(INDEX($B237:$D237,H$5)="F",AND(H$6&gt;0,$A237&lt;H$6),AND(H$7&gt;0,$A237&gt;H$7)),0,MAX(0,ROUND((INDEX($E237:$G237,H$5)-SUMIFS(TF_Timer,TF_Tekniker,H$4,TF_Dato,$A237))*2,0)/2)))</f>
        <v/>
      </c>
      <c r="I237">
        <f>IF(OR(I$4="",$A237&gt;TODAY()),0,IF(OR(INDEX($B237:$D237,I$5)="F",AND(I$6&gt;0,$A237&lt;I$6),AND(I$7&gt;0,$A237&gt;I$7)),0,MAX(0,ROUND((INDEX($E237:$G237,I$5)-SUMIFS(TF_Timer,TF_Tekniker,I$4,TF_Dato,$A237))*2,0)/2)))</f>
        <v/>
      </c>
      <c r="J237">
        <f>IF(OR(J$4="",$A237&gt;TODAY()),0,IF(OR(INDEX($B237:$D237,J$5)="F",AND(J$6&gt;0,$A237&lt;J$6),AND(J$7&gt;0,$A237&gt;J$7)),0,MAX(0,ROUND((INDEX($E237:$G237,J$5)-SUMIFS(TF_Timer,TF_Tekniker,J$4,TF_Dato,$A237))*2,0)/2)))</f>
        <v/>
      </c>
      <c r="K237">
        <f>IF(OR(K$4="",$A237&gt;TODAY()),0,IF(OR(INDEX($B237:$D237,K$5)="F",AND(K$6&gt;0,$A237&lt;K$6),AND(K$7&gt;0,$A237&gt;K$7)),0,MAX(0,ROUND((INDEX($E237:$G237,K$5)-SUMIFS(TF_Timer,TF_Tekniker,K$4,TF_Dato,$A237))*2,0)/2)))</f>
        <v/>
      </c>
      <c r="L237">
        <f>IF(OR(L$4="",$A237&gt;TODAY()),0,IF(OR(INDEX($B237:$D237,L$5)="F",AND(L$6&gt;0,$A237&lt;L$6),AND(L$7&gt;0,$A237&gt;L$7)),0,MAX(0,ROUND((INDEX($E237:$G237,L$5)-SUMIFS(TF_Timer,TF_Tekniker,L$4,TF_Dato,$A237))*2,0)/2)))</f>
        <v/>
      </c>
      <c r="M237">
        <f>IF(OR(M$4="",$A237&gt;TODAY()),0,IF(OR(INDEX($B237:$D237,M$5)="F",AND(M$6&gt;0,$A237&lt;M$6),AND(M$7&gt;0,$A237&gt;M$7)),0,MAX(0,ROUND((INDEX($E237:$G237,M$5)-SUMIFS(TF_Timer,TF_Tekniker,M$4,TF_Dato,$A237))*2,0)/2)))</f>
        <v/>
      </c>
      <c r="N237">
        <f>IF(OR(N$4="",$A237&gt;TODAY()),0,IF(OR(INDEX($B237:$D237,N$5)="F",AND(N$6&gt;0,$A237&lt;N$6),AND(N$7&gt;0,$A237&gt;N$7)),0,MAX(0,ROUND((INDEX($E237:$G237,N$5)-SUMIFS(TF_Timer,TF_Tekniker,N$4,TF_Dato,$A237))*2,0)/2)))</f>
        <v/>
      </c>
      <c r="O237">
        <f>IF(OR(O$4="",$A237&gt;TODAY()),0,IF(OR(INDEX($B237:$D237,O$5)="F",AND(O$6&gt;0,$A237&lt;O$6),AND(O$7&gt;0,$A237&gt;O$7)),0,MAX(0,ROUND((INDEX($E237:$G237,O$5)-SUMIFS(TF_Timer,TF_Tekniker,O$4,TF_Dato,$A237))*2,0)/2)))</f>
        <v/>
      </c>
      <c r="P237">
        <f>IF(OR(P$4="",$A237&gt;TODAY()),0,IF(OR(INDEX($B237:$D237,P$5)="F",AND(P$6&gt;0,$A237&lt;P$6),AND(P$7&gt;0,$A237&gt;P$7)),0,MAX(0,ROUND((INDEX($E237:$G237,P$5)-SUMIFS(TF_Timer,TF_Tekniker,P$4,TF_Dato,$A237))*2,0)/2)))</f>
        <v/>
      </c>
      <c r="Q237">
        <f>IF(OR(Q$4="",$A237&gt;TODAY()),0,IF(OR(INDEX($B237:$D237,Q$5)="F",AND(Q$6&gt;0,$A237&lt;Q$6),AND(Q$7&gt;0,$A237&gt;Q$7)),0,MAX(0,ROUND((INDEX($E237:$G237,Q$5)-SUMIFS(TF_Timer,TF_Tekniker,Q$4,TF_Dato,$A237))*2,0)/2)))</f>
        <v/>
      </c>
      <c r="R237">
        <f>IF(OR(R$4="",$A237&gt;TODAY()),0,IF(OR(INDEX($B237:$D237,R$5)="F",AND(R$6&gt;0,$A237&lt;R$6),AND(R$7&gt;0,$A237&gt;R$7)),0,MAX(0,ROUND((INDEX($E237:$G237,R$5)-SUMIFS(TF_Timer,TF_Tekniker,R$4,TF_Dato,$A237))*2,0)/2)))</f>
        <v/>
      </c>
      <c r="S237">
        <f>IF(OR(S$4="",$A237&gt;TODAY()),0,IF(OR(INDEX($B237:$D237,S$5)="F",AND(S$6&gt;0,$A237&lt;S$6),AND(S$7&gt;0,$A237&gt;S$7)),0,MAX(0,ROUND((INDEX($E237:$G237,S$5)-SUMIFS(TF_Timer,TF_Tekniker,S$4,TF_Dato,$A237))*2,0)/2)))</f>
        <v/>
      </c>
      <c r="T237">
        <f>IF(OR(T$4="",$A237&gt;TODAY()),0,IF(OR(INDEX($B237:$D237,T$5)="F",AND(T$6&gt;0,$A237&lt;T$6),AND(T$7&gt;0,$A237&gt;T$7)),0,MAX(0,ROUND((INDEX($E237:$G237,T$5)-SUMIFS(TF_Timer,TF_Tekniker,T$4,TF_Dato,$A237))*2,0)/2)))</f>
        <v/>
      </c>
      <c r="U237">
        <f>IF(OR(U$4="",$A237&gt;TODAY()),0,IF(OR(INDEX($B237:$D237,U$5)="F",AND(U$6&gt;0,$A237&lt;U$6),AND(U$7&gt;0,$A237&gt;U$7)),0,MAX(0,ROUND((INDEX($E237:$G237,U$5)-SUMIFS(TF_Timer,TF_Tekniker,U$4,TF_Dato,$A237))*2,0)/2)))</f>
        <v/>
      </c>
      <c r="V237">
        <f>IF(OR(V$4="",$A237&gt;TODAY()),0,IF(OR(INDEX($B237:$D237,V$5)="F",AND(V$6&gt;0,$A237&lt;V$6),AND(V$7&gt;0,$A237&gt;V$7)),0,MAX(0,ROUND((INDEX($E237:$G237,V$5)-SUMIFS(TF_Timer,TF_Tekniker,V$4,TF_Dato,$A237))*2,0)/2)))</f>
        <v/>
      </c>
      <c r="W237">
        <f>IF(OR(W$4="",$A237&gt;TODAY()),0,IF(OR(INDEX($B237:$D237,W$5)="F",AND(W$6&gt;0,$A237&lt;W$6),AND(W$7&gt;0,$A237&gt;W$7)),0,MAX(0,ROUND((INDEX($E237:$G237,W$5)-SUMIFS(TF_Timer,TF_Tekniker,W$4,TF_Dato,$A237))*2,0)/2)))</f>
        <v/>
      </c>
      <c r="X237">
        <f>IF(OR(X$4="",$A237&gt;TODAY()),0,IF(OR(INDEX($B237:$D237,X$5)="F",AND(X$6&gt;0,$A237&lt;X$6),AND(X$7&gt;0,$A237&gt;X$7)),0,MAX(0,ROUND((INDEX($E237:$G237,X$5)-SUMIFS(TF_Timer,TF_Tekniker,X$4,TF_Dato,$A237))*2,0)/2)))</f>
        <v/>
      </c>
      <c r="Y237">
        <f>IF(OR(Y$4="",$A237&gt;TODAY()),0,IF(OR(INDEX($B237:$D237,Y$5)="F",AND(Y$6&gt;0,$A237&lt;Y$6),AND(Y$7&gt;0,$A237&gt;Y$7)),0,MAX(0,ROUND((INDEX($E237:$G237,Y$5)-SUMIFS(TF_Timer,TF_Tekniker,Y$4,TF_Dato,$A237))*2,0)/2)))</f>
        <v/>
      </c>
      <c r="Z237">
        <f>IF(OR(Z$4="",$A237&gt;TODAY()),0,IF(OR(INDEX($B237:$D237,Z$5)="F",AND(Z$6&gt;0,$A237&lt;Z$6),AND(Z$7&gt;0,$A237&gt;Z$7)),0,MAX(0,ROUND((INDEX($E237:$G237,Z$5)-SUMIFS(TF_Timer,TF_Tekniker,Z$4,TF_Dato,$A237))*2,0)/2)))</f>
        <v/>
      </c>
      <c r="AA237">
        <f>IF(OR(AA$4="",$A237&gt;TODAY()),0,IF(OR(INDEX($B237:$D237,AA$5)="F",AND(AA$6&gt;0,$A237&lt;AA$6),AND(AA$7&gt;0,$A237&gt;AA$7)),0,MAX(0,ROUND((INDEX($E237:$G237,AA$5)-SUMIFS(TF_Timer,TF_Tekniker,AA$4,TF_Dato,$A237))*2,0)/2)))</f>
        <v/>
      </c>
      <c r="AB237">
        <f>IF(OR(AB$4="",$A237&gt;TODAY()),0,IF(OR(INDEX($B237:$D237,AB$5)="F",AND(AB$6&gt;0,$A237&lt;AB$6),AND(AB$7&gt;0,$A237&gt;AB$7)),0,MAX(0,ROUND((INDEX($E237:$G237,AB$5)-SUMIFS(TF_Timer,TF_Tekniker,AB$4,TF_Dato,$A237))*2,0)/2)))</f>
        <v/>
      </c>
      <c r="AC237">
        <f>IF(OR(AC$4="",$A237&gt;TODAY()),0,IF(OR(INDEX($B237:$D237,AC$5)="F",AND(AC$6&gt;0,$A237&lt;AC$6),AND(AC$7&gt;0,$A237&gt;AC$7)),0,MAX(0,ROUND((INDEX($E237:$G237,AC$5)-SUMIFS(TF_Timer,TF_Tekniker,AC$4,TF_Dato,$A237))*2,0)/2)))</f>
        <v/>
      </c>
      <c r="AD237">
        <f>IF(OR(AD$4="",$A237&gt;TODAY()),0,IF(OR(INDEX($B237:$D237,AD$5)="F",AND(AD$6&gt;0,$A237&lt;AD$6),AND(AD$7&gt;0,$A237&gt;AD$7)),0,MAX(0,ROUND((INDEX($E237:$G237,AD$5)-SUMIFS(TF_Timer,TF_Tekniker,AD$4,TF_Dato,$A237))*2,0)/2)))</f>
        <v/>
      </c>
      <c r="AE237">
        <f>IF(OR(AE$4="",$A237&gt;TODAY()),0,IF(OR(INDEX($B237:$D237,AE$5)="F",AND(AE$6&gt;0,$A237&lt;AE$6),AND(AE$7&gt;0,$A237&gt;AE$7)),0,MAX(0,ROUND((INDEX($E237:$G237,AE$5)-SUMIFS(TF_Timer,TF_Tekniker,AE$4,TF_Dato,$A237))*2,0)/2)))</f>
        <v/>
      </c>
      <c r="AF237">
        <f>IF(OR(AF$4="",$A237&gt;TODAY()),0,IF(OR(INDEX($B237:$D237,AF$5)="F",AND(AF$6&gt;0,$A237&lt;AF$6),AND(AF$7&gt;0,$A237&gt;AF$7)),0,MAX(0,ROUND((INDEX($E237:$G237,AF$5)-SUMIFS(TF_Timer,TF_Tekniker,AF$4,TF_Dato,$A237))*2,0)/2)))</f>
        <v/>
      </c>
      <c r="AG237">
        <f>IF(OR(AG$4="",$A237&gt;TODAY()),0,IF(OR(INDEX($B237:$D237,AG$5)="F",AND(AG$6&gt;0,$A237&lt;AG$6),AND(AG$7&gt;0,$A237&gt;AG$7)),0,MAX(0,ROUND((INDEX($E237:$G237,AG$5)-SUMIFS(TF_Timer,TF_Tekniker,AG$4,TF_Dato,$A237))*2,0)/2)))</f>
        <v/>
      </c>
      <c r="AH237">
        <f>IF(OR(AH$4="",$A237&gt;TODAY()),0,IF(OR(INDEX($B237:$D237,AH$5)="F",AND(AH$6&gt;0,$A237&lt;AH$6),AND(AH$7&gt;0,$A237&gt;AH$7)),0,MAX(0,ROUND((INDEX($E237:$G237,AH$5)-SUMIFS(TF_Timer,TF_Tekniker,AH$4,TF_Dato,$A237))*2,0)/2)))</f>
        <v/>
      </c>
      <c r="AI237">
        <f>IF(OR(AI$4="",$A237&gt;TODAY()),0,IF(OR(INDEX($B237:$D237,AI$5)="F",AND(AI$6&gt;0,$A237&lt;AI$6),AND(AI$7&gt;0,$A237&gt;AI$7)),0,MAX(0,ROUND((INDEX($E237:$G237,AI$5)-SUMIFS(TF_Timer,TF_Tekniker,AI$4,TF_Dato,$A237))*2,0)/2)))</f>
        <v/>
      </c>
      <c r="AJ237">
        <f>IF(OR(AJ$4="",$A237&gt;TODAY()),0,IF(OR(INDEX($B237:$D237,AJ$5)="F",AND(AJ$6&gt;0,$A237&lt;AJ$6),AND(AJ$7&gt;0,$A237&gt;AJ$7)),0,MAX(0,ROUND((INDEX($E237:$G237,AJ$5)-SUMIFS(TF_Timer,TF_Tekniker,AJ$4,TF_Dato,$A237))*2,0)/2)))</f>
        <v/>
      </c>
      <c r="AK237">
        <f>IF(OR(AK$4="",$A237&gt;TODAY()),0,IF(OR(INDEX($B237:$D237,AK$5)="F",AND(AK$6&gt;0,$A237&lt;AK$6),AND(AK$7&gt;0,$A237&gt;AK$7)),0,MAX(0,ROUND((INDEX($E237:$G237,AK$5)-SUMIFS(TF_Timer,TF_Tekniker,AK$4,TF_Dato,$A237))*2,0)/2)))</f>
        <v/>
      </c>
      <c r="AL237">
        <f>IF(OR(AL$4="",$A237&gt;TODAY()),0,IF(OR(INDEX($B237:$D237,AL$5)="F",AND(AL$6&gt;0,$A237&lt;AL$6),AND(AL$7&gt;0,$A237&gt;AL$7)),0,MAX(0,ROUND((INDEX($E237:$G237,AL$5)-SUMIFS(TF_Timer,TF_Tekniker,AL$4,TF_Dato,$A237))*2,0)/2)))</f>
        <v/>
      </c>
      <c r="AM237">
        <f>IF(OR(AM$4="",$A237&gt;TODAY()),0,IF(OR(INDEX($B237:$D237,AM$5)="F",AND(AM$6&gt;0,$A237&lt;AM$6),AND(AM$7&gt;0,$A237&gt;AM$7)),0,MAX(0,ROUND((INDEX($E237:$G237,AM$5)-SUMIFS(TF_Timer,TF_Tekniker,AM$4,TF_Dato,$A237))*2,0)/2)))</f>
        <v/>
      </c>
      <c r="AN237">
        <f>IF(OR(AN$4="",$A237&gt;TODAY()),0,IF(OR(INDEX($B237:$D237,AN$5)="F",AND(AN$6&gt;0,$A237&lt;AN$6),AND(AN$7&gt;0,$A237&gt;AN$7)),0,MAX(0,ROUND((INDEX($E237:$G237,AN$5)-SUMIFS(TF_Timer,TF_Tekniker,AN$4,TF_Dato,$A237))*2,0)/2)))</f>
        <v/>
      </c>
      <c r="AO237">
        <f>IF(OR(AO$4="",$A237&gt;TODAY()),0,IF(OR(INDEX($B237:$D237,AO$5)="F",AND(AO$6&gt;0,$A237&lt;AO$6),AND(AO$7&gt;0,$A237&gt;AO$7)),0,MAX(0,ROUND((INDEX($E237:$G237,AO$5)-SUMIFS(TF_Timer,TF_Tekniker,AO$4,TF_Dato,$A237))*2,0)/2)))</f>
        <v/>
      </c>
      <c r="AP237">
        <f>IF(OR(AP$4="",$A237&gt;TODAY()),0,IF(OR(INDEX($B237:$D237,AP$5)="F",AND(AP$6&gt;0,$A237&lt;AP$6),AND(AP$7&gt;0,$A237&gt;AP$7)),0,MAX(0,ROUND((INDEX($E237:$G237,AP$5)-SUMIFS(TF_Timer,TF_Tekniker,AP$4,TF_Dato,$A237))*2,0)/2)))</f>
        <v/>
      </c>
      <c r="AQ237">
        <f>IF(OR(AQ$4="",$A237&gt;TODAY()),0,IF(OR(INDEX($B237:$D237,AQ$5)="F",AND(AQ$6&gt;0,$A237&lt;AQ$6),AND(AQ$7&gt;0,$A237&gt;AQ$7)),0,MAX(0,ROUND((INDEX($E237:$G237,AQ$5)-SUMIFS(TF_Timer,TF_Tekniker,AQ$4,TF_Dato,$A237))*2,0)/2)))</f>
        <v/>
      </c>
      <c r="AR237">
        <f>IF(OR(AR$4="",$A237&gt;TODAY()),0,IF(OR(INDEX($B237:$D237,AR$5)="F",AND(AR$6&gt;0,$A237&lt;AR$6),AND(AR$7&gt;0,$A237&gt;AR$7)),0,MAX(0,ROUND((INDEX($E237:$G237,AR$5)-SUMIFS(TF_Timer,TF_Tekniker,AR$4,TF_Dato,$A237))*2,0)/2)))</f>
        <v/>
      </c>
      <c r="AS237">
        <f>IF(OR(AS$4="",$A237&gt;TODAY()),0,IF(OR(INDEX($B237:$D237,AS$5)="F",AND(AS$6&gt;0,$A237&lt;AS$6),AND(AS$7&gt;0,$A237&gt;AS$7)),0,MAX(0,ROUND((INDEX($E237:$G237,AS$5)-SUMIFS(TF_Timer,TF_Tekniker,AS$4,TF_Dato,$A237))*2,0)/2)))</f>
        <v/>
      </c>
      <c r="AT237">
        <f>IF(OR(AT$4="",$A237&gt;TODAY()),0,IF(OR(INDEX($B237:$D237,AT$5)="F",AND(AT$6&gt;0,$A237&lt;AT$6),AND(AT$7&gt;0,$A237&gt;AT$7)),0,MAX(0,ROUND((INDEX($E237:$G237,AT$5)-SUMIFS(TF_Timer,TF_Tekniker,AT$4,TF_Dato,$A237))*2,0)/2)))</f>
        <v/>
      </c>
      <c r="AU237">
        <f>IF(OR(AU$4="",$A237&gt;TODAY()),0,IF(OR(INDEX($B237:$D237,AU$5)="F",AND(AU$6&gt;0,$A237&lt;AU$6),AND(AU$7&gt;0,$A237&gt;AU$7)),0,MAX(0,ROUND((INDEX($E237:$G237,AU$5)-SUMIFS(TF_Timer,TF_Tekniker,AU$4,TF_Dato,$A237))*2,0)/2)))</f>
        <v/>
      </c>
      <c r="AV237">
        <f>IF(OR(AV$4="",$A237&gt;TODAY()),0,IF(OR(INDEX($B237:$D237,AV$5)="F",AND(AV$6&gt;0,$A237&lt;AV$6),AND(AV$7&gt;0,$A237&gt;AV$7)),0,MAX(0,ROUND((INDEX($E237:$G237,AV$5)-SUMIFS(TF_Timer,TF_Tekniker,AV$4,TF_Dato,$A237))*2,0)/2)))</f>
        <v/>
      </c>
      <c r="AW237">
        <f>IF(OR(AW$4="",$A237&gt;TODAY()),0,IF(OR(INDEX($B237:$D237,AW$5)="F",AND(AW$6&gt;0,$A237&lt;AW$6),AND(AW$7&gt;0,$A237&gt;AW$7)),0,MAX(0,ROUND((INDEX($E237:$G237,AW$5)-SUMIFS(TF_Timer,TF_Tekniker,AW$4,TF_Dato,$A237))*2,0)/2)))</f>
        <v/>
      </c>
      <c r="AX237">
        <f>IF(OR(AX$4="",$A237&gt;TODAY()),0,IF(OR(INDEX($B237:$D237,AX$5)="F",AND(AX$6&gt;0,$A237&lt;AX$6),AND(AX$7&gt;0,$A237&gt;AX$7)),0,MAX(0,ROUND((INDEX($E237:$G237,AX$5)-SUMIFS(TF_Timer,TF_Tekniker,AX$4,TF_Dato,$A237))*2,0)/2)))</f>
        <v/>
      </c>
      <c r="AY237">
        <f>IF(OR(AY$4="",$A237&gt;TODAY()),0,IF(OR(INDEX($B237:$D237,AY$5)="F",AND(AY$6&gt;0,$A237&lt;AY$6),AND(AY$7&gt;0,$A237&gt;AY$7)),0,MAX(0,ROUND((INDEX($E237:$G237,AY$5)-SUMIFS(TF_Timer,TF_Tekniker,AY$4,TF_Dato,$A237))*2,0)/2)))</f>
        <v/>
      </c>
      <c r="AZ237">
        <f>IF(OR(AZ$4="",$A237&gt;TODAY()),0,IF(OR(INDEX($B237:$D237,AZ$5)="F",AND(AZ$6&gt;0,$A237&lt;AZ$6),AND(AZ$7&gt;0,$A237&gt;AZ$7)),0,MAX(0,ROUND((INDEX($E237:$G237,AZ$5)-SUMIFS(TF_Timer,TF_Tekniker,AZ$4,TF_Dato,$A237))*2,0)/2)))</f>
        <v/>
      </c>
      <c r="BA237">
        <f>IF(OR(BA$4="",$A237&gt;TODAY()),0,IF(OR(INDEX($B237:$D237,BA$5)="F",AND(BA$6&gt;0,$A237&lt;BA$6),AND(BA$7&gt;0,$A237&gt;BA$7)),0,MAX(0,ROUND((INDEX($E237:$G237,BA$5)-SUMIFS(TF_Timer,TF_Tekniker,BA$4,TF_Dato,$A237))*2,0)/2)))</f>
        <v/>
      </c>
      <c r="BB237">
        <f>IF(OR(BB$4="",$A237&gt;TODAY()),0,IF(OR(INDEX($B237:$D237,BB$5)="F",AND(BB$6&gt;0,$A237&lt;BB$6),AND(BB$7&gt;0,$A237&gt;BB$7)),0,MAX(0,ROUND((INDEX($E237:$G237,BB$5)-SUMIFS(TF_Timer,TF_Tekniker,BB$4,TF_Dato,$A237))*2,0)/2)))</f>
        <v/>
      </c>
      <c r="BC237">
        <f>IF(OR(BC$4="",$A237&gt;TODAY()),0,IF(OR(INDEX($B237:$D237,BC$5)="F",AND(BC$6&gt;0,$A237&lt;BC$6),AND(BC$7&gt;0,$A237&gt;BC$7)),0,MAX(0,ROUND((INDEX($E237:$G237,BC$5)-SUMIFS(TF_Timer,TF_Tekniker,BC$4,TF_Dato,$A237))*2,0)/2)))</f>
        <v/>
      </c>
      <c r="BD237">
        <f>IF(OR(BD$4="",$A237&gt;TODAY()),0,IF(OR(INDEX($B237:$D237,BD$5)="F",AND(BD$6&gt;0,$A237&lt;BD$6),AND(BD$7&gt;0,$A237&gt;BD$7)),0,MAX(0,ROUND((INDEX($E237:$G237,BD$5)-SUMIFS(TF_Timer,TF_Tekniker,BD$4,TF_Dato,$A237))*2,0)/2)))</f>
        <v/>
      </c>
      <c r="BE237">
        <f>IF(OR(BE$4="",$A237&gt;TODAY()),0,IF(OR(INDEX($B237:$D237,BE$5)="F",AND(BE$6&gt;0,$A237&lt;BE$6),AND(BE$7&gt;0,$A237&gt;BE$7)),0,MAX(0,ROUND((INDEX($E237:$G237,BE$5)-SUMIFS(TF_Timer,TF_Tekniker,BE$4,TF_Dato,$A237))*2,0)/2)))</f>
        <v/>
      </c>
      <c r="BF237">
        <f>IF(OR(BF$4="",$A237&gt;TODAY()),0,IF(OR(INDEX($B237:$D237,BF$5)="F",AND(BF$6&gt;0,$A237&lt;BF$6),AND(BF$7&gt;0,$A237&gt;BF$7)),0,MAX(0,ROUND((INDEX($E237:$G237,BF$5)-SUMIFS(TF_Timer,TF_Tekniker,BF$4,TF_Dato,$A237))*2,0)/2)))</f>
        <v/>
      </c>
      <c r="BG237">
        <f>IF(OR(BG$4="",$A237&gt;TODAY()),0,IF(OR(INDEX($B237:$D237,BG$5)="F",AND(BG$6&gt;0,$A237&lt;BG$6),AND(BG$7&gt;0,$A237&gt;BG$7)),0,MAX(0,ROUND((INDEX($E237:$G237,BG$5)-SUMIFS(TF_Timer,TF_Tekniker,BG$4,TF_Dato,$A237))*2,0)/2)))</f>
        <v/>
      </c>
      <c r="BH237">
        <f>IF(OR(BH$4="",$A237&gt;TODAY()),0,IF(OR(INDEX($B237:$D237,BH$5)="F",AND(BH$6&gt;0,$A237&lt;BH$6),AND(BH$7&gt;0,$A237&gt;BH$7)),0,MAX(0,ROUND((INDEX($E237:$G237,BH$5)-SUMIFS(TF_Timer,TF_Tekniker,BH$4,TF_Dato,$A237))*2,0)/2)))</f>
        <v/>
      </c>
      <c r="BI237">
        <f>IF(OR(BI$4="",$A237&gt;TODAY()),0,IF(OR(INDEX($B237:$D237,BI$5)="F",AND(BI$6&gt;0,$A237&lt;BI$6),AND(BI$7&gt;0,$A237&gt;BI$7)),0,MAX(0,ROUND((INDEX($E237:$G237,BI$5)-SUMIFS(TF_Timer,TF_Tekniker,BI$4,TF_Dato,$A237))*2,0)/2)))</f>
        <v/>
      </c>
    </row>
    <row r="238">
      <c r="A238" s="64">
        <f>A237+1</f>
        <v/>
      </c>
      <c r="B238">
        <f>IF(MOD($A238-INDEX(SkiftStart,1),Syklus)&lt;DagK,"K",IF(MOD($A238-INDEX(SkiftStart,1),Syklus)&lt;DagK+DagH,"H",IF(MOD($A238-INDEX(SkiftStart,1),Syklus)&lt;DagK+DagH+DagD,"D","F")))</f>
        <v/>
      </c>
      <c r="C238">
        <f>IF(MOD($A238-INDEX(SkiftStart,2),Syklus)&lt;DagK,"K",IF(MOD($A238-INDEX(SkiftStart,2),Syklus)&lt;DagK+DagH,"H",IF(MOD($A238-INDEX(SkiftStart,2),Syklus)&lt;DagK+DagH+DagD,"D","F")))</f>
        <v/>
      </c>
      <c r="D238">
        <f>IF(MOD($A238-INDEX(SkiftStart,3),Syklus)&lt;DagK,"K",IF(MOD($A238-INDEX(SkiftStart,3),Syklus)&lt;DagK+DagH,"H",IF(MOD($A238-INDEX(SkiftStart,3),Syklus)&lt;DagK+DagH+DagD,"D","F")))</f>
        <v/>
      </c>
      <c r="E238">
        <f>IF(B238="F",0,IF(WEEKDAY($A238,2)=5,INDEX(TimerFr,MATCH(B238,FaseKode,0)),INDEX(TimerMT,MATCH(B238,FaseKode,0))))</f>
        <v/>
      </c>
      <c r="F238">
        <f>IF(C238="F",0,IF(WEEKDAY($A238,2)=5,INDEX(TimerFr,MATCH(C238,FaseKode,0)),INDEX(TimerMT,MATCH(C238,FaseKode,0))))</f>
        <v/>
      </c>
      <c r="G238">
        <f>IF(D238="F",0,IF(WEEKDAY($A238,2)=5,INDEX(TimerFr,MATCH(D238,FaseKode,0)),INDEX(TimerMT,MATCH(D238,FaseKode,0))))</f>
        <v/>
      </c>
      <c r="H238">
        <f>IF(OR(H$4="",$A238&gt;TODAY()),0,IF(OR(INDEX($B238:$D238,H$5)="F",AND(H$6&gt;0,$A238&lt;H$6),AND(H$7&gt;0,$A238&gt;H$7)),0,MAX(0,ROUND((INDEX($E238:$G238,H$5)-SUMIFS(TF_Timer,TF_Tekniker,H$4,TF_Dato,$A238))*2,0)/2)))</f>
        <v/>
      </c>
      <c r="I238">
        <f>IF(OR(I$4="",$A238&gt;TODAY()),0,IF(OR(INDEX($B238:$D238,I$5)="F",AND(I$6&gt;0,$A238&lt;I$6),AND(I$7&gt;0,$A238&gt;I$7)),0,MAX(0,ROUND((INDEX($E238:$G238,I$5)-SUMIFS(TF_Timer,TF_Tekniker,I$4,TF_Dato,$A238))*2,0)/2)))</f>
        <v/>
      </c>
      <c r="J238">
        <f>IF(OR(J$4="",$A238&gt;TODAY()),0,IF(OR(INDEX($B238:$D238,J$5)="F",AND(J$6&gt;0,$A238&lt;J$6),AND(J$7&gt;0,$A238&gt;J$7)),0,MAX(0,ROUND((INDEX($E238:$G238,J$5)-SUMIFS(TF_Timer,TF_Tekniker,J$4,TF_Dato,$A238))*2,0)/2)))</f>
        <v/>
      </c>
      <c r="K238">
        <f>IF(OR(K$4="",$A238&gt;TODAY()),0,IF(OR(INDEX($B238:$D238,K$5)="F",AND(K$6&gt;0,$A238&lt;K$6),AND(K$7&gt;0,$A238&gt;K$7)),0,MAX(0,ROUND((INDEX($E238:$G238,K$5)-SUMIFS(TF_Timer,TF_Tekniker,K$4,TF_Dato,$A238))*2,0)/2)))</f>
        <v/>
      </c>
      <c r="L238">
        <f>IF(OR(L$4="",$A238&gt;TODAY()),0,IF(OR(INDEX($B238:$D238,L$5)="F",AND(L$6&gt;0,$A238&lt;L$6),AND(L$7&gt;0,$A238&gt;L$7)),0,MAX(0,ROUND((INDEX($E238:$G238,L$5)-SUMIFS(TF_Timer,TF_Tekniker,L$4,TF_Dato,$A238))*2,0)/2)))</f>
        <v/>
      </c>
      <c r="M238">
        <f>IF(OR(M$4="",$A238&gt;TODAY()),0,IF(OR(INDEX($B238:$D238,M$5)="F",AND(M$6&gt;0,$A238&lt;M$6),AND(M$7&gt;0,$A238&gt;M$7)),0,MAX(0,ROUND((INDEX($E238:$G238,M$5)-SUMIFS(TF_Timer,TF_Tekniker,M$4,TF_Dato,$A238))*2,0)/2)))</f>
        <v/>
      </c>
      <c r="N238">
        <f>IF(OR(N$4="",$A238&gt;TODAY()),0,IF(OR(INDEX($B238:$D238,N$5)="F",AND(N$6&gt;0,$A238&lt;N$6),AND(N$7&gt;0,$A238&gt;N$7)),0,MAX(0,ROUND((INDEX($E238:$G238,N$5)-SUMIFS(TF_Timer,TF_Tekniker,N$4,TF_Dato,$A238))*2,0)/2)))</f>
        <v/>
      </c>
      <c r="O238">
        <f>IF(OR(O$4="",$A238&gt;TODAY()),0,IF(OR(INDEX($B238:$D238,O$5)="F",AND(O$6&gt;0,$A238&lt;O$6),AND(O$7&gt;0,$A238&gt;O$7)),0,MAX(0,ROUND((INDEX($E238:$G238,O$5)-SUMIFS(TF_Timer,TF_Tekniker,O$4,TF_Dato,$A238))*2,0)/2)))</f>
        <v/>
      </c>
      <c r="P238">
        <f>IF(OR(P$4="",$A238&gt;TODAY()),0,IF(OR(INDEX($B238:$D238,P$5)="F",AND(P$6&gt;0,$A238&lt;P$6),AND(P$7&gt;0,$A238&gt;P$7)),0,MAX(0,ROUND((INDEX($E238:$G238,P$5)-SUMIFS(TF_Timer,TF_Tekniker,P$4,TF_Dato,$A238))*2,0)/2)))</f>
        <v/>
      </c>
      <c r="Q238">
        <f>IF(OR(Q$4="",$A238&gt;TODAY()),0,IF(OR(INDEX($B238:$D238,Q$5)="F",AND(Q$6&gt;0,$A238&lt;Q$6),AND(Q$7&gt;0,$A238&gt;Q$7)),0,MAX(0,ROUND((INDEX($E238:$G238,Q$5)-SUMIFS(TF_Timer,TF_Tekniker,Q$4,TF_Dato,$A238))*2,0)/2)))</f>
        <v/>
      </c>
      <c r="R238">
        <f>IF(OR(R$4="",$A238&gt;TODAY()),0,IF(OR(INDEX($B238:$D238,R$5)="F",AND(R$6&gt;0,$A238&lt;R$6),AND(R$7&gt;0,$A238&gt;R$7)),0,MAX(0,ROUND((INDEX($E238:$G238,R$5)-SUMIFS(TF_Timer,TF_Tekniker,R$4,TF_Dato,$A238))*2,0)/2)))</f>
        <v/>
      </c>
      <c r="S238">
        <f>IF(OR(S$4="",$A238&gt;TODAY()),0,IF(OR(INDEX($B238:$D238,S$5)="F",AND(S$6&gt;0,$A238&lt;S$6),AND(S$7&gt;0,$A238&gt;S$7)),0,MAX(0,ROUND((INDEX($E238:$G238,S$5)-SUMIFS(TF_Timer,TF_Tekniker,S$4,TF_Dato,$A238))*2,0)/2)))</f>
        <v/>
      </c>
      <c r="T238">
        <f>IF(OR(T$4="",$A238&gt;TODAY()),0,IF(OR(INDEX($B238:$D238,T$5)="F",AND(T$6&gt;0,$A238&lt;T$6),AND(T$7&gt;0,$A238&gt;T$7)),0,MAX(0,ROUND((INDEX($E238:$G238,T$5)-SUMIFS(TF_Timer,TF_Tekniker,T$4,TF_Dato,$A238))*2,0)/2)))</f>
        <v/>
      </c>
      <c r="U238">
        <f>IF(OR(U$4="",$A238&gt;TODAY()),0,IF(OR(INDEX($B238:$D238,U$5)="F",AND(U$6&gt;0,$A238&lt;U$6),AND(U$7&gt;0,$A238&gt;U$7)),0,MAX(0,ROUND((INDEX($E238:$G238,U$5)-SUMIFS(TF_Timer,TF_Tekniker,U$4,TF_Dato,$A238))*2,0)/2)))</f>
        <v/>
      </c>
      <c r="V238">
        <f>IF(OR(V$4="",$A238&gt;TODAY()),0,IF(OR(INDEX($B238:$D238,V$5)="F",AND(V$6&gt;0,$A238&lt;V$6),AND(V$7&gt;0,$A238&gt;V$7)),0,MAX(0,ROUND((INDEX($E238:$G238,V$5)-SUMIFS(TF_Timer,TF_Tekniker,V$4,TF_Dato,$A238))*2,0)/2)))</f>
        <v/>
      </c>
      <c r="W238">
        <f>IF(OR(W$4="",$A238&gt;TODAY()),0,IF(OR(INDEX($B238:$D238,W$5)="F",AND(W$6&gt;0,$A238&lt;W$6),AND(W$7&gt;0,$A238&gt;W$7)),0,MAX(0,ROUND((INDEX($E238:$G238,W$5)-SUMIFS(TF_Timer,TF_Tekniker,W$4,TF_Dato,$A238))*2,0)/2)))</f>
        <v/>
      </c>
      <c r="X238">
        <f>IF(OR(X$4="",$A238&gt;TODAY()),0,IF(OR(INDEX($B238:$D238,X$5)="F",AND(X$6&gt;0,$A238&lt;X$6),AND(X$7&gt;0,$A238&gt;X$7)),0,MAX(0,ROUND((INDEX($E238:$G238,X$5)-SUMIFS(TF_Timer,TF_Tekniker,X$4,TF_Dato,$A238))*2,0)/2)))</f>
        <v/>
      </c>
      <c r="Y238">
        <f>IF(OR(Y$4="",$A238&gt;TODAY()),0,IF(OR(INDEX($B238:$D238,Y$5)="F",AND(Y$6&gt;0,$A238&lt;Y$6),AND(Y$7&gt;0,$A238&gt;Y$7)),0,MAX(0,ROUND((INDEX($E238:$G238,Y$5)-SUMIFS(TF_Timer,TF_Tekniker,Y$4,TF_Dato,$A238))*2,0)/2)))</f>
        <v/>
      </c>
      <c r="Z238">
        <f>IF(OR(Z$4="",$A238&gt;TODAY()),0,IF(OR(INDEX($B238:$D238,Z$5)="F",AND(Z$6&gt;0,$A238&lt;Z$6),AND(Z$7&gt;0,$A238&gt;Z$7)),0,MAX(0,ROUND((INDEX($E238:$G238,Z$5)-SUMIFS(TF_Timer,TF_Tekniker,Z$4,TF_Dato,$A238))*2,0)/2)))</f>
        <v/>
      </c>
      <c r="AA238">
        <f>IF(OR(AA$4="",$A238&gt;TODAY()),0,IF(OR(INDEX($B238:$D238,AA$5)="F",AND(AA$6&gt;0,$A238&lt;AA$6),AND(AA$7&gt;0,$A238&gt;AA$7)),0,MAX(0,ROUND((INDEX($E238:$G238,AA$5)-SUMIFS(TF_Timer,TF_Tekniker,AA$4,TF_Dato,$A238))*2,0)/2)))</f>
        <v/>
      </c>
      <c r="AB238">
        <f>IF(OR(AB$4="",$A238&gt;TODAY()),0,IF(OR(INDEX($B238:$D238,AB$5)="F",AND(AB$6&gt;0,$A238&lt;AB$6),AND(AB$7&gt;0,$A238&gt;AB$7)),0,MAX(0,ROUND((INDEX($E238:$G238,AB$5)-SUMIFS(TF_Timer,TF_Tekniker,AB$4,TF_Dato,$A238))*2,0)/2)))</f>
        <v/>
      </c>
      <c r="AC238">
        <f>IF(OR(AC$4="",$A238&gt;TODAY()),0,IF(OR(INDEX($B238:$D238,AC$5)="F",AND(AC$6&gt;0,$A238&lt;AC$6),AND(AC$7&gt;0,$A238&gt;AC$7)),0,MAX(0,ROUND((INDEX($E238:$G238,AC$5)-SUMIFS(TF_Timer,TF_Tekniker,AC$4,TF_Dato,$A238))*2,0)/2)))</f>
        <v/>
      </c>
      <c r="AD238">
        <f>IF(OR(AD$4="",$A238&gt;TODAY()),0,IF(OR(INDEX($B238:$D238,AD$5)="F",AND(AD$6&gt;0,$A238&lt;AD$6),AND(AD$7&gt;0,$A238&gt;AD$7)),0,MAX(0,ROUND((INDEX($E238:$G238,AD$5)-SUMIFS(TF_Timer,TF_Tekniker,AD$4,TF_Dato,$A238))*2,0)/2)))</f>
        <v/>
      </c>
      <c r="AE238">
        <f>IF(OR(AE$4="",$A238&gt;TODAY()),0,IF(OR(INDEX($B238:$D238,AE$5)="F",AND(AE$6&gt;0,$A238&lt;AE$6),AND(AE$7&gt;0,$A238&gt;AE$7)),0,MAX(0,ROUND((INDEX($E238:$G238,AE$5)-SUMIFS(TF_Timer,TF_Tekniker,AE$4,TF_Dato,$A238))*2,0)/2)))</f>
        <v/>
      </c>
      <c r="AF238">
        <f>IF(OR(AF$4="",$A238&gt;TODAY()),0,IF(OR(INDEX($B238:$D238,AF$5)="F",AND(AF$6&gt;0,$A238&lt;AF$6),AND(AF$7&gt;0,$A238&gt;AF$7)),0,MAX(0,ROUND((INDEX($E238:$G238,AF$5)-SUMIFS(TF_Timer,TF_Tekniker,AF$4,TF_Dato,$A238))*2,0)/2)))</f>
        <v/>
      </c>
      <c r="AG238">
        <f>IF(OR(AG$4="",$A238&gt;TODAY()),0,IF(OR(INDEX($B238:$D238,AG$5)="F",AND(AG$6&gt;0,$A238&lt;AG$6),AND(AG$7&gt;0,$A238&gt;AG$7)),0,MAX(0,ROUND((INDEX($E238:$G238,AG$5)-SUMIFS(TF_Timer,TF_Tekniker,AG$4,TF_Dato,$A238))*2,0)/2)))</f>
        <v/>
      </c>
      <c r="AH238">
        <f>IF(OR(AH$4="",$A238&gt;TODAY()),0,IF(OR(INDEX($B238:$D238,AH$5)="F",AND(AH$6&gt;0,$A238&lt;AH$6),AND(AH$7&gt;0,$A238&gt;AH$7)),0,MAX(0,ROUND((INDEX($E238:$G238,AH$5)-SUMIFS(TF_Timer,TF_Tekniker,AH$4,TF_Dato,$A238))*2,0)/2)))</f>
        <v/>
      </c>
      <c r="AI238">
        <f>IF(OR(AI$4="",$A238&gt;TODAY()),0,IF(OR(INDEX($B238:$D238,AI$5)="F",AND(AI$6&gt;0,$A238&lt;AI$6),AND(AI$7&gt;0,$A238&gt;AI$7)),0,MAX(0,ROUND((INDEX($E238:$G238,AI$5)-SUMIFS(TF_Timer,TF_Tekniker,AI$4,TF_Dato,$A238))*2,0)/2)))</f>
        <v/>
      </c>
      <c r="AJ238">
        <f>IF(OR(AJ$4="",$A238&gt;TODAY()),0,IF(OR(INDEX($B238:$D238,AJ$5)="F",AND(AJ$6&gt;0,$A238&lt;AJ$6),AND(AJ$7&gt;0,$A238&gt;AJ$7)),0,MAX(0,ROUND((INDEX($E238:$G238,AJ$5)-SUMIFS(TF_Timer,TF_Tekniker,AJ$4,TF_Dato,$A238))*2,0)/2)))</f>
        <v/>
      </c>
      <c r="AK238">
        <f>IF(OR(AK$4="",$A238&gt;TODAY()),0,IF(OR(INDEX($B238:$D238,AK$5)="F",AND(AK$6&gt;0,$A238&lt;AK$6),AND(AK$7&gt;0,$A238&gt;AK$7)),0,MAX(0,ROUND((INDEX($E238:$G238,AK$5)-SUMIFS(TF_Timer,TF_Tekniker,AK$4,TF_Dato,$A238))*2,0)/2)))</f>
        <v/>
      </c>
      <c r="AL238">
        <f>IF(OR(AL$4="",$A238&gt;TODAY()),0,IF(OR(INDEX($B238:$D238,AL$5)="F",AND(AL$6&gt;0,$A238&lt;AL$6),AND(AL$7&gt;0,$A238&gt;AL$7)),0,MAX(0,ROUND((INDEX($E238:$G238,AL$5)-SUMIFS(TF_Timer,TF_Tekniker,AL$4,TF_Dato,$A238))*2,0)/2)))</f>
        <v/>
      </c>
      <c r="AM238">
        <f>IF(OR(AM$4="",$A238&gt;TODAY()),0,IF(OR(INDEX($B238:$D238,AM$5)="F",AND(AM$6&gt;0,$A238&lt;AM$6),AND(AM$7&gt;0,$A238&gt;AM$7)),0,MAX(0,ROUND((INDEX($E238:$G238,AM$5)-SUMIFS(TF_Timer,TF_Tekniker,AM$4,TF_Dato,$A238))*2,0)/2)))</f>
        <v/>
      </c>
      <c r="AN238">
        <f>IF(OR(AN$4="",$A238&gt;TODAY()),0,IF(OR(INDEX($B238:$D238,AN$5)="F",AND(AN$6&gt;0,$A238&lt;AN$6),AND(AN$7&gt;0,$A238&gt;AN$7)),0,MAX(0,ROUND((INDEX($E238:$G238,AN$5)-SUMIFS(TF_Timer,TF_Tekniker,AN$4,TF_Dato,$A238))*2,0)/2)))</f>
        <v/>
      </c>
      <c r="AO238">
        <f>IF(OR(AO$4="",$A238&gt;TODAY()),0,IF(OR(INDEX($B238:$D238,AO$5)="F",AND(AO$6&gt;0,$A238&lt;AO$6),AND(AO$7&gt;0,$A238&gt;AO$7)),0,MAX(0,ROUND((INDEX($E238:$G238,AO$5)-SUMIFS(TF_Timer,TF_Tekniker,AO$4,TF_Dato,$A238))*2,0)/2)))</f>
        <v/>
      </c>
      <c r="AP238">
        <f>IF(OR(AP$4="",$A238&gt;TODAY()),0,IF(OR(INDEX($B238:$D238,AP$5)="F",AND(AP$6&gt;0,$A238&lt;AP$6),AND(AP$7&gt;0,$A238&gt;AP$7)),0,MAX(0,ROUND((INDEX($E238:$G238,AP$5)-SUMIFS(TF_Timer,TF_Tekniker,AP$4,TF_Dato,$A238))*2,0)/2)))</f>
        <v/>
      </c>
      <c r="AQ238">
        <f>IF(OR(AQ$4="",$A238&gt;TODAY()),0,IF(OR(INDEX($B238:$D238,AQ$5)="F",AND(AQ$6&gt;0,$A238&lt;AQ$6),AND(AQ$7&gt;0,$A238&gt;AQ$7)),0,MAX(0,ROUND((INDEX($E238:$G238,AQ$5)-SUMIFS(TF_Timer,TF_Tekniker,AQ$4,TF_Dato,$A238))*2,0)/2)))</f>
        <v/>
      </c>
      <c r="AR238">
        <f>IF(OR(AR$4="",$A238&gt;TODAY()),0,IF(OR(INDEX($B238:$D238,AR$5)="F",AND(AR$6&gt;0,$A238&lt;AR$6),AND(AR$7&gt;0,$A238&gt;AR$7)),0,MAX(0,ROUND((INDEX($E238:$G238,AR$5)-SUMIFS(TF_Timer,TF_Tekniker,AR$4,TF_Dato,$A238))*2,0)/2)))</f>
        <v/>
      </c>
      <c r="AS238">
        <f>IF(OR(AS$4="",$A238&gt;TODAY()),0,IF(OR(INDEX($B238:$D238,AS$5)="F",AND(AS$6&gt;0,$A238&lt;AS$6),AND(AS$7&gt;0,$A238&gt;AS$7)),0,MAX(0,ROUND((INDEX($E238:$G238,AS$5)-SUMIFS(TF_Timer,TF_Tekniker,AS$4,TF_Dato,$A238))*2,0)/2)))</f>
        <v/>
      </c>
      <c r="AT238">
        <f>IF(OR(AT$4="",$A238&gt;TODAY()),0,IF(OR(INDEX($B238:$D238,AT$5)="F",AND(AT$6&gt;0,$A238&lt;AT$6),AND(AT$7&gt;0,$A238&gt;AT$7)),0,MAX(0,ROUND((INDEX($E238:$G238,AT$5)-SUMIFS(TF_Timer,TF_Tekniker,AT$4,TF_Dato,$A238))*2,0)/2)))</f>
        <v/>
      </c>
      <c r="AU238">
        <f>IF(OR(AU$4="",$A238&gt;TODAY()),0,IF(OR(INDEX($B238:$D238,AU$5)="F",AND(AU$6&gt;0,$A238&lt;AU$6),AND(AU$7&gt;0,$A238&gt;AU$7)),0,MAX(0,ROUND((INDEX($E238:$G238,AU$5)-SUMIFS(TF_Timer,TF_Tekniker,AU$4,TF_Dato,$A238))*2,0)/2)))</f>
        <v/>
      </c>
      <c r="AV238">
        <f>IF(OR(AV$4="",$A238&gt;TODAY()),0,IF(OR(INDEX($B238:$D238,AV$5)="F",AND(AV$6&gt;0,$A238&lt;AV$6),AND(AV$7&gt;0,$A238&gt;AV$7)),0,MAX(0,ROUND((INDEX($E238:$G238,AV$5)-SUMIFS(TF_Timer,TF_Tekniker,AV$4,TF_Dato,$A238))*2,0)/2)))</f>
        <v/>
      </c>
      <c r="AW238">
        <f>IF(OR(AW$4="",$A238&gt;TODAY()),0,IF(OR(INDEX($B238:$D238,AW$5)="F",AND(AW$6&gt;0,$A238&lt;AW$6),AND(AW$7&gt;0,$A238&gt;AW$7)),0,MAX(0,ROUND((INDEX($E238:$G238,AW$5)-SUMIFS(TF_Timer,TF_Tekniker,AW$4,TF_Dato,$A238))*2,0)/2)))</f>
        <v/>
      </c>
      <c r="AX238">
        <f>IF(OR(AX$4="",$A238&gt;TODAY()),0,IF(OR(INDEX($B238:$D238,AX$5)="F",AND(AX$6&gt;0,$A238&lt;AX$6),AND(AX$7&gt;0,$A238&gt;AX$7)),0,MAX(0,ROUND((INDEX($E238:$G238,AX$5)-SUMIFS(TF_Timer,TF_Tekniker,AX$4,TF_Dato,$A238))*2,0)/2)))</f>
        <v/>
      </c>
      <c r="AY238">
        <f>IF(OR(AY$4="",$A238&gt;TODAY()),0,IF(OR(INDEX($B238:$D238,AY$5)="F",AND(AY$6&gt;0,$A238&lt;AY$6),AND(AY$7&gt;0,$A238&gt;AY$7)),0,MAX(0,ROUND((INDEX($E238:$G238,AY$5)-SUMIFS(TF_Timer,TF_Tekniker,AY$4,TF_Dato,$A238))*2,0)/2)))</f>
        <v/>
      </c>
      <c r="AZ238">
        <f>IF(OR(AZ$4="",$A238&gt;TODAY()),0,IF(OR(INDEX($B238:$D238,AZ$5)="F",AND(AZ$6&gt;0,$A238&lt;AZ$6),AND(AZ$7&gt;0,$A238&gt;AZ$7)),0,MAX(0,ROUND((INDEX($E238:$G238,AZ$5)-SUMIFS(TF_Timer,TF_Tekniker,AZ$4,TF_Dato,$A238))*2,0)/2)))</f>
        <v/>
      </c>
      <c r="BA238">
        <f>IF(OR(BA$4="",$A238&gt;TODAY()),0,IF(OR(INDEX($B238:$D238,BA$5)="F",AND(BA$6&gt;0,$A238&lt;BA$6),AND(BA$7&gt;0,$A238&gt;BA$7)),0,MAX(0,ROUND((INDEX($E238:$G238,BA$5)-SUMIFS(TF_Timer,TF_Tekniker,BA$4,TF_Dato,$A238))*2,0)/2)))</f>
        <v/>
      </c>
      <c r="BB238">
        <f>IF(OR(BB$4="",$A238&gt;TODAY()),0,IF(OR(INDEX($B238:$D238,BB$5)="F",AND(BB$6&gt;0,$A238&lt;BB$6),AND(BB$7&gt;0,$A238&gt;BB$7)),0,MAX(0,ROUND((INDEX($E238:$G238,BB$5)-SUMIFS(TF_Timer,TF_Tekniker,BB$4,TF_Dato,$A238))*2,0)/2)))</f>
        <v/>
      </c>
      <c r="BC238">
        <f>IF(OR(BC$4="",$A238&gt;TODAY()),0,IF(OR(INDEX($B238:$D238,BC$5)="F",AND(BC$6&gt;0,$A238&lt;BC$6),AND(BC$7&gt;0,$A238&gt;BC$7)),0,MAX(0,ROUND((INDEX($E238:$G238,BC$5)-SUMIFS(TF_Timer,TF_Tekniker,BC$4,TF_Dato,$A238))*2,0)/2)))</f>
        <v/>
      </c>
      <c r="BD238">
        <f>IF(OR(BD$4="",$A238&gt;TODAY()),0,IF(OR(INDEX($B238:$D238,BD$5)="F",AND(BD$6&gt;0,$A238&lt;BD$6),AND(BD$7&gt;0,$A238&gt;BD$7)),0,MAX(0,ROUND((INDEX($E238:$G238,BD$5)-SUMIFS(TF_Timer,TF_Tekniker,BD$4,TF_Dato,$A238))*2,0)/2)))</f>
        <v/>
      </c>
      <c r="BE238">
        <f>IF(OR(BE$4="",$A238&gt;TODAY()),0,IF(OR(INDEX($B238:$D238,BE$5)="F",AND(BE$6&gt;0,$A238&lt;BE$6),AND(BE$7&gt;0,$A238&gt;BE$7)),0,MAX(0,ROUND((INDEX($E238:$G238,BE$5)-SUMIFS(TF_Timer,TF_Tekniker,BE$4,TF_Dato,$A238))*2,0)/2)))</f>
        <v/>
      </c>
      <c r="BF238">
        <f>IF(OR(BF$4="",$A238&gt;TODAY()),0,IF(OR(INDEX($B238:$D238,BF$5)="F",AND(BF$6&gt;0,$A238&lt;BF$6),AND(BF$7&gt;0,$A238&gt;BF$7)),0,MAX(0,ROUND((INDEX($E238:$G238,BF$5)-SUMIFS(TF_Timer,TF_Tekniker,BF$4,TF_Dato,$A238))*2,0)/2)))</f>
        <v/>
      </c>
      <c r="BG238">
        <f>IF(OR(BG$4="",$A238&gt;TODAY()),0,IF(OR(INDEX($B238:$D238,BG$5)="F",AND(BG$6&gt;0,$A238&lt;BG$6),AND(BG$7&gt;0,$A238&gt;BG$7)),0,MAX(0,ROUND((INDEX($E238:$G238,BG$5)-SUMIFS(TF_Timer,TF_Tekniker,BG$4,TF_Dato,$A238))*2,0)/2)))</f>
        <v/>
      </c>
      <c r="BH238">
        <f>IF(OR(BH$4="",$A238&gt;TODAY()),0,IF(OR(INDEX($B238:$D238,BH$5)="F",AND(BH$6&gt;0,$A238&lt;BH$6),AND(BH$7&gt;0,$A238&gt;BH$7)),0,MAX(0,ROUND((INDEX($E238:$G238,BH$5)-SUMIFS(TF_Timer,TF_Tekniker,BH$4,TF_Dato,$A238))*2,0)/2)))</f>
        <v/>
      </c>
      <c r="BI238">
        <f>IF(OR(BI$4="",$A238&gt;TODAY()),0,IF(OR(INDEX($B238:$D238,BI$5)="F",AND(BI$6&gt;0,$A238&lt;BI$6),AND(BI$7&gt;0,$A238&gt;BI$7)),0,MAX(0,ROUND((INDEX($E238:$G238,BI$5)-SUMIFS(TF_Timer,TF_Tekniker,BI$4,TF_Dato,$A238))*2,0)/2)))</f>
        <v/>
      </c>
    </row>
    <row r="239">
      <c r="A239" s="64">
        <f>A238+1</f>
        <v/>
      </c>
      <c r="B239">
        <f>IF(MOD($A239-INDEX(SkiftStart,1),Syklus)&lt;DagK,"K",IF(MOD($A239-INDEX(SkiftStart,1),Syklus)&lt;DagK+DagH,"H",IF(MOD($A239-INDEX(SkiftStart,1),Syklus)&lt;DagK+DagH+DagD,"D","F")))</f>
        <v/>
      </c>
      <c r="C239">
        <f>IF(MOD($A239-INDEX(SkiftStart,2),Syklus)&lt;DagK,"K",IF(MOD($A239-INDEX(SkiftStart,2),Syklus)&lt;DagK+DagH,"H",IF(MOD($A239-INDEX(SkiftStart,2),Syklus)&lt;DagK+DagH+DagD,"D","F")))</f>
        <v/>
      </c>
      <c r="D239">
        <f>IF(MOD($A239-INDEX(SkiftStart,3),Syklus)&lt;DagK,"K",IF(MOD($A239-INDEX(SkiftStart,3),Syklus)&lt;DagK+DagH,"H",IF(MOD($A239-INDEX(SkiftStart,3),Syklus)&lt;DagK+DagH+DagD,"D","F")))</f>
        <v/>
      </c>
      <c r="E239">
        <f>IF(B239="F",0,IF(WEEKDAY($A239,2)=5,INDEX(TimerFr,MATCH(B239,FaseKode,0)),INDEX(TimerMT,MATCH(B239,FaseKode,0))))</f>
        <v/>
      </c>
      <c r="F239">
        <f>IF(C239="F",0,IF(WEEKDAY($A239,2)=5,INDEX(TimerFr,MATCH(C239,FaseKode,0)),INDEX(TimerMT,MATCH(C239,FaseKode,0))))</f>
        <v/>
      </c>
      <c r="G239">
        <f>IF(D239="F",0,IF(WEEKDAY($A239,2)=5,INDEX(TimerFr,MATCH(D239,FaseKode,0)),INDEX(TimerMT,MATCH(D239,FaseKode,0))))</f>
        <v/>
      </c>
      <c r="H239">
        <f>IF(OR(H$4="",$A239&gt;TODAY()),0,IF(OR(INDEX($B239:$D239,H$5)="F",AND(H$6&gt;0,$A239&lt;H$6),AND(H$7&gt;0,$A239&gt;H$7)),0,MAX(0,ROUND((INDEX($E239:$G239,H$5)-SUMIFS(TF_Timer,TF_Tekniker,H$4,TF_Dato,$A239))*2,0)/2)))</f>
        <v/>
      </c>
      <c r="I239">
        <f>IF(OR(I$4="",$A239&gt;TODAY()),0,IF(OR(INDEX($B239:$D239,I$5)="F",AND(I$6&gt;0,$A239&lt;I$6),AND(I$7&gt;0,$A239&gt;I$7)),0,MAX(0,ROUND((INDEX($E239:$G239,I$5)-SUMIFS(TF_Timer,TF_Tekniker,I$4,TF_Dato,$A239))*2,0)/2)))</f>
        <v/>
      </c>
      <c r="J239">
        <f>IF(OR(J$4="",$A239&gt;TODAY()),0,IF(OR(INDEX($B239:$D239,J$5)="F",AND(J$6&gt;0,$A239&lt;J$6),AND(J$7&gt;0,$A239&gt;J$7)),0,MAX(0,ROUND((INDEX($E239:$G239,J$5)-SUMIFS(TF_Timer,TF_Tekniker,J$4,TF_Dato,$A239))*2,0)/2)))</f>
        <v/>
      </c>
      <c r="K239">
        <f>IF(OR(K$4="",$A239&gt;TODAY()),0,IF(OR(INDEX($B239:$D239,K$5)="F",AND(K$6&gt;0,$A239&lt;K$6),AND(K$7&gt;0,$A239&gt;K$7)),0,MAX(0,ROUND((INDEX($E239:$G239,K$5)-SUMIFS(TF_Timer,TF_Tekniker,K$4,TF_Dato,$A239))*2,0)/2)))</f>
        <v/>
      </c>
      <c r="L239">
        <f>IF(OR(L$4="",$A239&gt;TODAY()),0,IF(OR(INDEX($B239:$D239,L$5)="F",AND(L$6&gt;0,$A239&lt;L$6),AND(L$7&gt;0,$A239&gt;L$7)),0,MAX(0,ROUND((INDEX($E239:$G239,L$5)-SUMIFS(TF_Timer,TF_Tekniker,L$4,TF_Dato,$A239))*2,0)/2)))</f>
        <v/>
      </c>
      <c r="M239">
        <f>IF(OR(M$4="",$A239&gt;TODAY()),0,IF(OR(INDEX($B239:$D239,M$5)="F",AND(M$6&gt;0,$A239&lt;M$6),AND(M$7&gt;0,$A239&gt;M$7)),0,MAX(0,ROUND((INDEX($E239:$G239,M$5)-SUMIFS(TF_Timer,TF_Tekniker,M$4,TF_Dato,$A239))*2,0)/2)))</f>
        <v/>
      </c>
      <c r="N239">
        <f>IF(OR(N$4="",$A239&gt;TODAY()),0,IF(OR(INDEX($B239:$D239,N$5)="F",AND(N$6&gt;0,$A239&lt;N$6),AND(N$7&gt;0,$A239&gt;N$7)),0,MAX(0,ROUND((INDEX($E239:$G239,N$5)-SUMIFS(TF_Timer,TF_Tekniker,N$4,TF_Dato,$A239))*2,0)/2)))</f>
        <v/>
      </c>
      <c r="O239">
        <f>IF(OR(O$4="",$A239&gt;TODAY()),0,IF(OR(INDEX($B239:$D239,O$5)="F",AND(O$6&gt;0,$A239&lt;O$6),AND(O$7&gt;0,$A239&gt;O$7)),0,MAX(0,ROUND((INDEX($E239:$G239,O$5)-SUMIFS(TF_Timer,TF_Tekniker,O$4,TF_Dato,$A239))*2,0)/2)))</f>
        <v/>
      </c>
      <c r="P239">
        <f>IF(OR(P$4="",$A239&gt;TODAY()),0,IF(OR(INDEX($B239:$D239,P$5)="F",AND(P$6&gt;0,$A239&lt;P$6),AND(P$7&gt;0,$A239&gt;P$7)),0,MAX(0,ROUND((INDEX($E239:$G239,P$5)-SUMIFS(TF_Timer,TF_Tekniker,P$4,TF_Dato,$A239))*2,0)/2)))</f>
        <v/>
      </c>
      <c r="Q239">
        <f>IF(OR(Q$4="",$A239&gt;TODAY()),0,IF(OR(INDEX($B239:$D239,Q$5)="F",AND(Q$6&gt;0,$A239&lt;Q$6),AND(Q$7&gt;0,$A239&gt;Q$7)),0,MAX(0,ROUND((INDEX($E239:$G239,Q$5)-SUMIFS(TF_Timer,TF_Tekniker,Q$4,TF_Dato,$A239))*2,0)/2)))</f>
        <v/>
      </c>
      <c r="R239">
        <f>IF(OR(R$4="",$A239&gt;TODAY()),0,IF(OR(INDEX($B239:$D239,R$5)="F",AND(R$6&gt;0,$A239&lt;R$6),AND(R$7&gt;0,$A239&gt;R$7)),0,MAX(0,ROUND((INDEX($E239:$G239,R$5)-SUMIFS(TF_Timer,TF_Tekniker,R$4,TF_Dato,$A239))*2,0)/2)))</f>
        <v/>
      </c>
      <c r="S239">
        <f>IF(OR(S$4="",$A239&gt;TODAY()),0,IF(OR(INDEX($B239:$D239,S$5)="F",AND(S$6&gt;0,$A239&lt;S$6),AND(S$7&gt;0,$A239&gt;S$7)),0,MAX(0,ROUND((INDEX($E239:$G239,S$5)-SUMIFS(TF_Timer,TF_Tekniker,S$4,TF_Dato,$A239))*2,0)/2)))</f>
        <v/>
      </c>
      <c r="T239">
        <f>IF(OR(T$4="",$A239&gt;TODAY()),0,IF(OR(INDEX($B239:$D239,T$5)="F",AND(T$6&gt;0,$A239&lt;T$6),AND(T$7&gt;0,$A239&gt;T$7)),0,MAX(0,ROUND((INDEX($E239:$G239,T$5)-SUMIFS(TF_Timer,TF_Tekniker,T$4,TF_Dato,$A239))*2,0)/2)))</f>
        <v/>
      </c>
      <c r="U239">
        <f>IF(OR(U$4="",$A239&gt;TODAY()),0,IF(OR(INDEX($B239:$D239,U$5)="F",AND(U$6&gt;0,$A239&lt;U$6),AND(U$7&gt;0,$A239&gt;U$7)),0,MAX(0,ROUND((INDEX($E239:$G239,U$5)-SUMIFS(TF_Timer,TF_Tekniker,U$4,TF_Dato,$A239))*2,0)/2)))</f>
        <v/>
      </c>
      <c r="V239">
        <f>IF(OR(V$4="",$A239&gt;TODAY()),0,IF(OR(INDEX($B239:$D239,V$5)="F",AND(V$6&gt;0,$A239&lt;V$6),AND(V$7&gt;0,$A239&gt;V$7)),0,MAX(0,ROUND((INDEX($E239:$G239,V$5)-SUMIFS(TF_Timer,TF_Tekniker,V$4,TF_Dato,$A239))*2,0)/2)))</f>
        <v/>
      </c>
      <c r="W239">
        <f>IF(OR(W$4="",$A239&gt;TODAY()),0,IF(OR(INDEX($B239:$D239,W$5)="F",AND(W$6&gt;0,$A239&lt;W$6),AND(W$7&gt;0,$A239&gt;W$7)),0,MAX(0,ROUND((INDEX($E239:$G239,W$5)-SUMIFS(TF_Timer,TF_Tekniker,W$4,TF_Dato,$A239))*2,0)/2)))</f>
        <v/>
      </c>
      <c r="X239">
        <f>IF(OR(X$4="",$A239&gt;TODAY()),0,IF(OR(INDEX($B239:$D239,X$5)="F",AND(X$6&gt;0,$A239&lt;X$6),AND(X$7&gt;0,$A239&gt;X$7)),0,MAX(0,ROUND((INDEX($E239:$G239,X$5)-SUMIFS(TF_Timer,TF_Tekniker,X$4,TF_Dato,$A239))*2,0)/2)))</f>
        <v/>
      </c>
      <c r="Y239">
        <f>IF(OR(Y$4="",$A239&gt;TODAY()),0,IF(OR(INDEX($B239:$D239,Y$5)="F",AND(Y$6&gt;0,$A239&lt;Y$6),AND(Y$7&gt;0,$A239&gt;Y$7)),0,MAX(0,ROUND((INDEX($E239:$G239,Y$5)-SUMIFS(TF_Timer,TF_Tekniker,Y$4,TF_Dato,$A239))*2,0)/2)))</f>
        <v/>
      </c>
      <c r="Z239">
        <f>IF(OR(Z$4="",$A239&gt;TODAY()),0,IF(OR(INDEX($B239:$D239,Z$5)="F",AND(Z$6&gt;0,$A239&lt;Z$6),AND(Z$7&gt;0,$A239&gt;Z$7)),0,MAX(0,ROUND((INDEX($E239:$G239,Z$5)-SUMIFS(TF_Timer,TF_Tekniker,Z$4,TF_Dato,$A239))*2,0)/2)))</f>
        <v/>
      </c>
      <c r="AA239">
        <f>IF(OR(AA$4="",$A239&gt;TODAY()),0,IF(OR(INDEX($B239:$D239,AA$5)="F",AND(AA$6&gt;0,$A239&lt;AA$6),AND(AA$7&gt;0,$A239&gt;AA$7)),0,MAX(0,ROUND((INDEX($E239:$G239,AA$5)-SUMIFS(TF_Timer,TF_Tekniker,AA$4,TF_Dato,$A239))*2,0)/2)))</f>
        <v/>
      </c>
      <c r="AB239">
        <f>IF(OR(AB$4="",$A239&gt;TODAY()),0,IF(OR(INDEX($B239:$D239,AB$5)="F",AND(AB$6&gt;0,$A239&lt;AB$6),AND(AB$7&gt;0,$A239&gt;AB$7)),0,MAX(0,ROUND((INDEX($E239:$G239,AB$5)-SUMIFS(TF_Timer,TF_Tekniker,AB$4,TF_Dato,$A239))*2,0)/2)))</f>
        <v/>
      </c>
      <c r="AC239">
        <f>IF(OR(AC$4="",$A239&gt;TODAY()),0,IF(OR(INDEX($B239:$D239,AC$5)="F",AND(AC$6&gt;0,$A239&lt;AC$6),AND(AC$7&gt;0,$A239&gt;AC$7)),0,MAX(0,ROUND((INDEX($E239:$G239,AC$5)-SUMIFS(TF_Timer,TF_Tekniker,AC$4,TF_Dato,$A239))*2,0)/2)))</f>
        <v/>
      </c>
      <c r="AD239">
        <f>IF(OR(AD$4="",$A239&gt;TODAY()),0,IF(OR(INDEX($B239:$D239,AD$5)="F",AND(AD$6&gt;0,$A239&lt;AD$6),AND(AD$7&gt;0,$A239&gt;AD$7)),0,MAX(0,ROUND((INDEX($E239:$G239,AD$5)-SUMIFS(TF_Timer,TF_Tekniker,AD$4,TF_Dato,$A239))*2,0)/2)))</f>
        <v/>
      </c>
      <c r="AE239">
        <f>IF(OR(AE$4="",$A239&gt;TODAY()),0,IF(OR(INDEX($B239:$D239,AE$5)="F",AND(AE$6&gt;0,$A239&lt;AE$6),AND(AE$7&gt;0,$A239&gt;AE$7)),0,MAX(0,ROUND((INDEX($E239:$G239,AE$5)-SUMIFS(TF_Timer,TF_Tekniker,AE$4,TF_Dato,$A239))*2,0)/2)))</f>
        <v/>
      </c>
      <c r="AF239">
        <f>IF(OR(AF$4="",$A239&gt;TODAY()),0,IF(OR(INDEX($B239:$D239,AF$5)="F",AND(AF$6&gt;0,$A239&lt;AF$6),AND(AF$7&gt;0,$A239&gt;AF$7)),0,MAX(0,ROUND((INDEX($E239:$G239,AF$5)-SUMIFS(TF_Timer,TF_Tekniker,AF$4,TF_Dato,$A239))*2,0)/2)))</f>
        <v/>
      </c>
      <c r="AG239">
        <f>IF(OR(AG$4="",$A239&gt;TODAY()),0,IF(OR(INDEX($B239:$D239,AG$5)="F",AND(AG$6&gt;0,$A239&lt;AG$6),AND(AG$7&gt;0,$A239&gt;AG$7)),0,MAX(0,ROUND((INDEX($E239:$G239,AG$5)-SUMIFS(TF_Timer,TF_Tekniker,AG$4,TF_Dato,$A239))*2,0)/2)))</f>
        <v/>
      </c>
      <c r="AH239">
        <f>IF(OR(AH$4="",$A239&gt;TODAY()),0,IF(OR(INDEX($B239:$D239,AH$5)="F",AND(AH$6&gt;0,$A239&lt;AH$6),AND(AH$7&gt;0,$A239&gt;AH$7)),0,MAX(0,ROUND((INDEX($E239:$G239,AH$5)-SUMIFS(TF_Timer,TF_Tekniker,AH$4,TF_Dato,$A239))*2,0)/2)))</f>
        <v/>
      </c>
      <c r="AI239">
        <f>IF(OR(AI$4="",$A239&gt;TODAY()),0,IF(OR(INDEX($B239:$D239,AI$5)="F",AND(AI$6&gt;0,$A239&lt;AI$6),AND(AI$7&gt;0,$A239&gt;AI$7)),0,MAX(0,ROUND((INDEX($E239:$G239,AI$5)-SUMIFS(TF_Timer,TF_Tekniker,AI$4,TF_Dato,$A239))*2,0)/2)))</f>
        <v/>
      </c>
      <c r="AJ239">
        <f>IF(OR(AJ$4="",$A239&gt;TODAY()),0,IF(OR(INDEX($B239:$D239,AJ$5)="F",AND(AJ$6&gt;0,$A239&lt;AJ$6),AND(AJ$7&gt;0,$A239&gt;AJ$7)),0,MAX(0,ROUND((INDEX($E239:$G239,AJ$5)-SUMIFS(TF_Timer,TF_Tekniker,AJ$4,TF_Dato,$A239))*2,0)/2)))</f>
        <v/>
      </c>
      <c r="AK239">
        <f>IF(OR(AK$4="",$A239&gt;TODAY()),0,IF(OR(INDEX($B239:$D239,AK$5)="F",AND(AK$6&gt;0,$A239&lt;AK$6),AND(AK$7&gt;0,$A239&gt;AK$7)),0,MAX(0,ROUND((INDEX($E239:$G239,AK$5)-SUMIFS(TF_Timer,TF_Tekniker,AK$4,TF_Dato,$A239))*2,0)/2)))</f>
        <v/>
      </c>
      <c r="AL239">
        <f>IF(OR(AL$4="",$A239&gt;TODAY()),0,IF(OR(INDEX($B239:$D239,AL$5)="F",AND(AL$6&gt;0,$A239&lt;AL$6),AND(AL$7&gt;0,$A239&gt;AL$7)),0,MAX(0,ROUND((INDEX($E239:$G239,AL$5)-SUMIFS(TF_Timer,TF_Tekniker,AL$4,TF_Dato,$A239))*2,0)/2)))</f>
        <v/>
      </c>
      <c r="AM239">
        <f>IF(OR(AM$4="",$A239&gt;TODAY()),0,IF(OR(INDEX($B239:$D239,AM$5)="F",AND(AM$6&gt;0,$A239&lt;AM$6),AND(AM$7&gt;0,$A239&gt;AM$7)),0,MAX(0,ROUND((INDEX($E239:$G239,AM$5)-SUMIFS(TF_Timer,TF_Tekniker,AM$4,TF_Dato,$A239))*2,0)/2)))</f>
        <v/>
      </c>
      <c r="AN239">
        <f>IF(OR(AN$4="",$A239&gt;TODAY()),0,IF(OR(INDEX($B239:$D239,AN$5)="F",AND(AN$6&gt;0,$A239&lt;AN$6),AND(AN$7&gt;0,$A239&gt;AN$7)),0,MAX(0,ROUND((INDEX($E239:$G239,AN$5)-SUMIFS(TF_Timer,TF_Tekniker,AN$4,TF_Dato,$A239))*2,0)/2)))</f>
        <v/>
      </c>
      <c r="AO239">
        <f>IF(OR(AO$4="",$A239&gt;TODAY()),0,IF(OR(INDEX($B239:$D239,AO$5)="F",AND(AO$6&gt;0,$A239&lt;AO$6),AND(AO$7&gt;0,$A239&gt;AO$7)),0,MAX(0,ROUND((INDEX($E239:$G239,AO$5)-SUMIFS(TF_Timer,TF_Tekniker,AO$4,TF_Dato,$A239))*2,0)/2)))</f>
        <v/>
      </c>
      <c r="AP239">
        <f>IF(OR(AP$4="",$A239&gt;TODAY()),0,IF(OR(INDEX($B239:$D239,AP$5)="F",AND(AP$6&gt;0,$A239&lt;AP$6),AND(AP$7&gt;0,$A239&gt;AP$7)),0,MAX(0,ROUND((INDEX($E239:$G239,AP$5)-SUMIFS(TF_Timer,TF_Tekniker,AP$4,TF_Dato,$A239))*2,0)/2)))</f>
        <v/>
      </c>
      <c r="AQ239">
        <f>IF(OR(AQ$4="",$A239&gt;TODAY()),0,IF(OR(INDEX($B239:$D239,AQ$5)="F",AND(AQ$6&gt;0,$A239&lt;AQ$6),AND(AQ$7&gt;0,$A239&gt;AQ$7)),0,MAX(0,ROUND((INDEX($E239:$G239,AQ$5)-SUMIFS(TF_Timer,TF_Tekniker,AQ$4,TF_Dato,$A239))*2,0)/2)))</f>
        <v/>
      </c>
      <c r="AR239">
        <f>IF(OR(AR$4="",$A239&gt;TODAY()),0,IF(OR(INDEX($B239:$D239,AR$5)="F",AND(AR$6&gt;0,$A239&lt;AR$6),AND(AR$7&gt;0,$A239&gt;AR$7)),0,MAX(0,ROUND((INDEX($E239:$G239,AR$5)-SUMIFS(TF_Timer,TF_Tekniker,AR$4,TF_Dato,$A239))*2,0)/2)))</f>
        <v/>
      </c>
      <c r="AS239">
        <f>IF(OR(AS$4="",$A239&gt;TODAY()),0,IF(OR(INDEX($B239:$D239,AS$5)="F",AND(AS$6&gt;0,$A239&lt;AS$6),AND(AS$7&gt;0,$A239&gt;AS$7)),0,MAX(0,ROUND((INDEX($E239:$G239,AS$5)-SUMIFS(TF_Timer,TF_Tekniker,AS$4,TF_Dato,$A239))*2,0)/2)))</f>
        <v/>
      </c>
      <c r="AT239">
        <f>IF(OR(AT$4="",$A239&gt;TODAY()),0,IF(OR(INDEX($B239:$D239,AT$5)="F",AND(AT$6&gt;0,$A239&lt;AT$6),AND(AT$7&gt;0,$A239&gt;AT$7)),0,MAX(0,ROUND((INDEX($E239:$G239,AT$5)-SUMIFS(TF_Timer,TF_Tekniker,AT$4,TF_Dato,$A239))*2,0)/2)))</f>
        <v/>
      </c>
      <c r="AU239">
        <f>IF(OR(AU$4="",$A239&gt;TODAY()),0,IF(OR(INDEX($B239:$D239,AU$5)="F",AND(AU$6&gt;0,$A239&lt;AU$6),AND(AU$7&gt;0,$A239&gt;AU$7)),0,MAX(0,ROUND((INDEX($E239:$G239,AU$5)-SUMIFS(TF_Timer,TF_Tekniker,AU$4,TF_Dato,$A239))*2,0)/2)))</f>
        <v/>
      </c>
      <c r="AV239">
        <f>IF(OR(AV$4="",$A239&gt;TODAY()),0,IF(OR(INDEX($B239:$D239,AV$5)="F",AND(AV$6&gt;0,$A239&lt;AV$6),AND(AV$7&gt;0,$A239&gt;AV$7)),0,MAX(0,ROUND((INDEX($E239:$G239,AV$5)-SUMIFS(TF_Timer,TF_Tekniker,AV$4,TF_Dato,$A239))*2,0)/2)))</f>
        <v/>
      </c>
      <c r="AW239">
        <f>IF(OR(AW$4="",$A239&gt;TODAY()),0,IF(OR(INDEX($B239:$D239,AW$5)="F",AND(AW$6&gt;0,$A239&lt;AW$6),AND(AW$7&gt;0,$A239&gt;AW$7)),0,MAX(0,ROUND((INDEX($E239:$G239,AW$5)-SUMIFS(TF_Timer,TF_Tekniker,AW$4,TF_Dato,$A239))*2,0)/2)))</f>
        <v/>
      </c>
      <c r="AX239">
        <f>IF(OR(AX$4="",$A239&gt;TODAY()),0,IF(OR(INDEX($B239:$D239,AX$5)="F",AND(AX$6&gt;0,$A239&lt;AX$6),AND(AX$7&gt;0,$A239&gt;AX$7)),0,MAX(0,ROUND((INDEX($E239:$G239,AX$5)-SUMIFS(TF_Timer,TF_Tekniker,AX$4,TF_Dato,$A239))*2,0)/2)))</f>
        <v/>
      </c>
      <c r="AY239">
        <f>IF(OR(AY$4="",$A239&gt;TODAY()),0,IF(OR(INDEX($B239:$D239,AY$5)="F",AND(AY$6&gt;0,$A239&lt;AY$6),AND(AY$7&gt;0,$A239&gt;AY$7)),0,MAX(0,ROUND((INDEX($E239:$G239,AY$5)-SUMIFS(TF_Timer,TF_Tekniker,AY$4,TF_Dato,$A239))*2,0)/2)))</f>
        <v/>
      </c>
      <c r="AZ239">
        <f>IF(OR(AZ$4="",$A239&gt;TODAY()),0,IF(OR(INDEX($B239:$D239,AZ$5)="F",AND(AZ$6&gt;0,$A239&lt;AZ$6),AND(AZ$7&gt;0,$A239&gt;AZ$7)),0,MAX(0,ROUND((INDEX($E239:$G239,AZ$5)-SUMIFS(TF_Timer,TF_Tekniker,AZ$4,TF_Dato,$A239))*2,0)/2)))</f>
        <v/>
      </c>
      <c r="BA239">
        <f>IF(OR(BA$4="",$A239&gt;TODAY()),0,IF(OR(INDEX($B239:$D239,BA$5)="F",AND(BA$6&gt;0,$A239&lt;BA$6),AND(BA$7&gt;0,$A239&gt;BA$7)),0,MAX(0,ROUND((INDEX($E239:$G239,BA$5)-SUMIFS(TF_Timer,TF_Tekniker,BA$4,TF_Dato,$A239))*2,0)/2)))</f>
        <v/>
      </c>
      <c r="BB239">
        <f>IF(OR(BB$4="",$A239&gt;TODAY()),0,IF(OR(INDEX($B239:$D239,BB$5)="F",AND(BB$6&gt;0,$A239&lt;BB$6),AND(BB$7&gt;0,$A239&gt;BB$7)),0,MAX(0,ROUND((INDEX($E239:$G239,BB$5)-SUMIFS(TF_Timer,TF_Tekniker,BB$4,TF_Dato,$A239))*2,0)/2)))</f>
        <v/>
      </c>
      <c r="BC239">
        <f>IF(OR(BC$4="",$A239&gt;TODAY()),0,IF(OR(INDEX($B239:$D239,BC$5)="F",AND(BC$6&gt;0,$A239&lt;BC$6),AND(BC$7&gt;0,$A239&gt;BC$7)),0,MAX(0,ROUND((INDEX($E239:$G239,BC$5)-SUMIFS(TF_Timer,TF_Tekniker,BC$4,TF_Dato,$A239))*2,0)/2)))</f>
        <v/>
      </c>
      <c r="BD239">
        <f>IF(OR(BD$4="",$A239&gt;TODAY()),0,IF(OR(INDEX($B239:$D239,BD$5)="F",AND(BD$6&gt;0,$A239&lt;BD$6),AND(BD$7&gt;0,$A239&gt;BD$7)),0,MAX(0,ROUND((INDEX($E239:$G239,BD$5)-SUMIFS(TF_Timer,TF_Tekniker,BD$4,TF_Dato,$A239))*2,0)/2)))</f>
        <v/>
      </c>
      <c r="BE239">
        <f>IF(OR(BE$4="",$A239&gt;TODAY()),0,IF(OR(INDEX($B239:$D239,BE$5)="F",AND(BE$6&gt;0,$A239&lt;BE$6),AND(BE$7&gt;0,$A239&gt;BE$7)),0,MAX(0,ROUND((INDEX($E239:$G239,BE$5)-SUMIFS(TF_Timer,TF_Tekniker,BE$4,TF_Dato,$A239))*2,0)/2)))</f>
        <v/>
      </c>
      <c r="BF239">
        <f>IF(OR(BF$4="",$A239&gt;TODAY()),0,IF(OR(INDEX($B239:$D239,BF$5)="F",AND(BF$6&gt;0,$A239&lt;BF$6),AND(BF$7&gt;0,$A239&gt;BF$7)),0,MAX(0,ROUND((INDEX($E239:$G239,BF$5)-SUMIFS(TF_Timer,TF_Tekniker,BF$4,TF_Dato,$A239))*2,0)/2)))</f>
        <v/>
      </c>
      <c r="BG239">
        <f>IF(OR(BG$4="",$A239&gt;TODAY()),0,IF(OR(INDEX($B239:$D239,BG$5)="F",AND(BG$6&gt;0,$A239&lt;BG$6),AND(BG$7&gt;0,$A239&gt;BG$7)),0,MAX(0,ROUND((INDEX($E239:$G239,BG$5)-SUMIFS(TF_Timer,TF_Tekniker,BG$4,TF_Dato,$A239))*2,0)/2)))</f>
        <v/>
      </c>
      <c r="BH239">
        <f>IF(OR(BH$4="",$A239&gt;TODAY()),0,IF(OR(INDEX($B239:$D239,BH$5)="F",AND(BH$6&gt;0,$A239&lt;BH$6),AND(BH$7&gt;0,$A239&gt;BH$7)),0,MAX(0,ROUND((INDEX($E239:$G239,BH$5)-SUMIFS(TF_Timer,TF_Tekniker,BH$4,TF_Dato,$A239))*2,0)/2)))</f>
        <v/>
      </c>
      <c r="BI239">
        <f>IF(OR(BI$4="",$A239&gt;TODAY()),0,IF(OR(INDEX($B239:$D239,BI$5)="F",AND(BI$6&gt;0,$A239&lt;BI$6),AND(BI$7&gt;0,$A239&gt;BI$7)),0,MAX(0,ROUND((INDEX($E239:$G239,BI$5)-SUMIFS(TF_Timer,TF_Tekniker,BI$4,TF_Dato,$A239))*2,0)/2)))</f>
        <v/>
      </c>
    </row>
    <row r="240">
      <c r="A240" s="64">
        <f>A239+1</f>
        <v/>
      </c>
      <c r="B240">
        <f>IF(MOD($A240-INDEX(SkiftStart,1),Syklus)&lt;DagK,"K",IF(MOD($A240-INDEX(SkiftStart,1),Syklus)&lt;DagK+DagH,"H",IF(MOD($A240-INDEX(SkiftStart,1),Syklus)&lt;DagK+DagH+DagD,"D","F")))</f>
        <v/>
      </c>
      <c r="C240">
        <f>IF(MOD($A240-INDEX(SkiftStart,2),Syklus)&lt;DagK,"K",IF(MOD($A240-INDEX(SkiftStart,2),Syklus)&lt;DagK+DagH,"H",IF(MOD($A240-INDEX(SkiftStart,2),Syklus)&lt;DagK+DagH+DagD,"D","F")))</f>
        <v/>
      </c>
      <c r="D240">
        <f>IF(MOD($A240-INDEX(SkiftStart,3),Syklus)&lt;DagK,"K",IF(MOD($A240-INDEX(SkiftStart,3),Syklus)&lt;DagK+DagH,"H",IF(MOD($A240-INDEX(SkiftStart,3),Syklus)&lt;DagK+DagH+DagD,"D","F")))</f>
        <v/>
      </c>
      <c r="E240">
        <f>IF(B240="F",0,IF(WEEKDAY($A240,2)=5,INDEX(TimerFr,MATCH(B240,FaseKode,0)),INDEX(TimerMT,MATCH(B240,FaseKode,0))))</f>
        <v/>
      </c>
      <c r="F240">
        <f>IF(C240="F",0,IF(WEEKDAY($A240,2)=5,INDEX(TimerFr,MATCH(C240,FaseKode,0)),INDEX(TimerMT,MATCH(C240,FaseKode,0))))</f>
        <v/>
      </c>
      <c r="G240">
        <f>IF(D240="F",0,IF(WEEKDAY($A240,2)=5,INDEX(TimerFr,MATCH(D240,FaseKode,0)),INDEX(TimerMT,MATCH(D240,FaseKode,0))))</f>
        <v/>
      </c>
      <c r="H240">
        <f>IF(OR(H$4="",$A240&gt;TODAY()),0,IF(OR(INDEX($B240:$D240,H$5)="F",AND(H$6&gt;0,$A240&lt;H$6),AND(H$7&gt;0,$A240&gt;H$7)),0,MAX(0,ROUND((INDEX($E240:$G240,H$5)-SUMIFS(TF_Timer,TF_Tekniker,H$4,TF_Dato,$A240))*2,0)/2)))</f>
        <v/>
      </c>
      <c r="I240">
        <f>IF(OR(I$4="",$A240&gt;TODAY()),0,IF(OR(INDEX($B240:$D240,I$5)="F",AND(I$6&gt;0,$A240&lt;I$6),AND(I$7&gt;0,$A240&gt;I$7)),0,MAX(0,ROUND((INDEX($E240:$G240,I$5)-SUMIFS(TF_Timer,TF_Tekniker,I$4,TF_Dato,$A240))*2,0)/2)))</f>
        <v/>
      </c>
      <c r="J240">
        <f>IF(OR(J$4="",$A240&gt;TODAY()),0,IF(OR(INDEX($B240:$D240,J$5)="F",AND(J$6&gt;0,$A240&lt;J$6),AND(J$7&gt;0,$A240&gt;J$7)),0,MAX(0,ROUND((INDEX($E240:$G240,J$5)-SUMIFS(TF_Timer,TF_Tekniker,J$4,TF_Dato,$A240))*2,0)/2)))</f>
        <v/>
      </c>
      <c r="K240">
        <f>IF(OR(K$4="",$A240&gt;TODAY()),0,IF(OR(INDEX($B240:$D240,K$5)="F",AND(K$6&gt;0,$A240&lt;K$6),AND(K$7&gt;0,$A240&gt;K$7)),0,MAX(0,ROUND((INDEX($E240:$G240,K$5)-SUMIFS(TF_Timer,TF_Tekniker,K$4,TF_Dato,$A240))*2,0)/2)))</f>
        <v/>
      </c>
      <c r="L240">
        <f>IF(OR(L$4="",$A240&gt;TODAY()),0,IF(OR(INDEX($B240:$D240,L$5)="F",AND(L$6&gt;0,$A240&lt;L$6),AND(L$7&gt;0,$A240&gt;L$7)),0,MAX(0,ROUND((INDEX($E240:$G240,L$5)-SUMIFS(TF_Timer,TF_Tekniker,L$4,TF_Dato,$A240))*2,0)/2)))</f>
        <v/>
      </c>
      <c r="M240">
        <f>IF(OR(M$4="",$A240&gt;TODAY()),0,IF(OR(INDEX($B240:$D240,M$5)="F",AND(M$6&gt;0,$A240&lt;M$6),AND(M$7&gt;0,$A240&gt;M$7)),0,MAX(0,ROUND((INDEX($E240:$G240,M$5)-SUMIFS(TF_Timer,TF_Tekniker,M$4,TF_Dato,$A240))*2,0)/2)))</f>
        <v/>
      </c>
      <c r="N240">
        <f>IF(OR(N$4="",$A240&gt;TODAY()),0,IF(OR(INDEX($B240:$D240,N$5)="F",AND(N$6&gt;0,$A240&lt;N$6),AND(N$7&gt;0,$A240&gt;N$7)),0,MAX(0,ROUND((INDEX($E240:$G240,N$5)-SUMIFS(TF_Timer,TF_Tekniker,N$4,TF_Dato,$A240))*2,0)/2)))</f>
        <v/>
      </c>
      <c r="O240">
        <f>IF(OR(O$4="",$A240&gt;TODAY()),0,IF(OR(INDEX($B240:$D240,O$5)="F",AND(O$6&gt;0,$A240&lt;O$6),AND(O$7&gt;0,$A240&gt;O$7)),0,MAX(0,ROUND((INDEX($E240:$G240,O$5)-SUMIFS(TF_Timer,TF_Tekniker,O$4,TF_Dato,$A240))*2,0)/2)))</f>
        <v/>
      </c>
      <c r="P240">
        <f>IF(OR(P$4="",$A240&gt;TODAY()),0,IF(OR(INDEX($B240:$D240,P$5)="F",AND(P$6&gt;0,$A240&lt;P$6),AND(P$7&gt;0,$A240&gt;P$7)),0,MAX(0,ROUND((INDEX($E240:$G240,P$5)-SUMIFS(TF_Timer,TF_Tekniker,P$4,TF_Dato,$A240))*2,0)/2)))</f>
        <v/>
      </c>
      <c r="Q240">
        <f>IF(OR(Q$4="",$A240&gt;TODAY()),0,IF(OR(INDEX($B240:$D240,Q$5)="F",AND(Q$6&gt;0,$A240&lt;Q$6),AND(Q$7&gt;0,$A240&gt;Q$7)),0,MAX(0,ROUND((INDEX($E240:$G240,Q$5)-SUMIFS(TF_Timer,TF_Tekniker,Q$4,TF_Dato,$A240))*2,0)/2)))</f>
        <v/>
      </c>
      <c r="R240">
        <f>IF(OR(R$4="",$A240&gt;TODAY()),0,IF(OR(INDEX($B240:$D240,R$5)="F",AND(R$6&gt;0,$A240&lt;R$6),AND(R$7&gt;0,$A240&gt;R$7)),0,MAX(0,ROUND((INDEX($E240:$G240,R$5)-SUMIFS(TF_Timer,TF_Tekniker,R$4,TF_Dato,$A240))*2,0)/2)))</f>
        <v/>
      </c>
      <c r="S240">
        <f>IF(OR(S$4="",$A240&gt;TODAY()),0,IF(OR(INDEX($B240:$D240,S$5)="F",AND(S$6&gt;0,$A240&lt;S$6),AND(S$7&gt;0,$A240&gt;S$7)),0,MAX(0,ROUND((INDEX($E240:$G240,S$5)-SUMIFS(TF_Timer,TF_Tekniker,S$4,TF_Dato,$A240))*2,0)/2)))</f>
        <v/>
      </c>
      <c r="T240">
        <f>IF(OR(T$4="",$A240&gt;TODAY()),0,IF(OR(INDEX($B240:$D240,T$5)="F",AND(T$6&gt;0,$A240&lt;T$6),AND(T$7&gt;0,$A240&gt;T$7)),0,MAX(0,ROUND((INDEX($E240:$G240,T$5)-SUMIFS(TF_Timer,TF_Tekniker,T$4,TF_Dato,$A240))*2,0)/2)))</f>
        <v/>
      </c>
      <c r="U240">
        <f>IF(OR(U$4="",$A240&gt;TODAY()),0,IF(OR(INDEX($B240:$D240,U$5)="F",AND(U$6&gt;0,$A240&lt;U$6),AND(U$7&gt;0,$A240&gt;U$7)),0,MAX(0,ROUND((INDEX($E240:$G240,U$5)-SUMIFS(TF_Timer,TF_Tekniker,U$4,TF_Dato,$A240))*2,0)/2)))</f>
        <v/>
      </c>
      <c r="V240">
        <f>IF(OR(V$4="",$A240&gt;TODAY()),0,IF(OR(INDEX($B240:$D240,V$5)="F",AND(V$6&gt;0,$A240&lt;V$6),AND(V$7&gt;0,$A240&gt;V$7)),0,MAX(0,ROUND((INDEX($E240:$G240,V$5)-SUMIFS(TF_Timer,TF_Tekniker,V$4,TF_Dato,$A240))*2,0)/2)))</f>
        <v/>
      </c>
      <c r="W240">
        <f>IF(OR(W$4="",$A240&gt;TODAY()),0,IF(OR(INDEX($B240:$D240,W$5)="F",AND(W$6&gt;0,$A240&lt;W$6),AND(W$7&gt;0,$A240&gt;W$7)),0,MAX(0,ROUND((INDEX($E240:$G240,W$5)-SUMIFS(TF_Timer,TF_Tekniker,W$4,TF_Dato,$A240))*2,0)/2)))</f>
        <v/>
      </c>
      <c r="X240">
        <f>IF(OR(X$4="",$A240&gt;TODAY()),0,IF(OR(INDEX($B240:$D240,X$5)="F",AND(X$6&gt;0,$A240&lt;X$6),AND(X$7&gt;0,$A240&gt;X$7)),0,MAX(0,ROUND((INDEX($E240:$G240,X$5)-SUMIFS(TF_Timer,TF_Tekniker,X$4,TF_Dato,$A240))*2,0)/2)))</f>
        <v/>
      </c>
      <c r="Y240">
        <f>IF(OR(Y$4="",$A240&gt;TODAY()),0,IF(OR(INDEX($B240:$D240,Y$5)="F",AND(Y$6&gt;0,$A240&lt;Y$6),AND(Y$7&gt;0,$A240&gt;Y$7)),0,MAX(0,ROUND((INDEX($E240:$G240,Y$5)-SUMIFS(TF_Timer,TF_Tekniker,Y$4,TF_Dato,$A240))*2,0)/2)))</f>
        <v/>
      </c>
      <c r="Z240">
        <f>IF(OR(Z$4="",$A240&gt;TODAY()),0,IF(OR(INDEX($B240:$D240,Z$5)="F",AND(Z$6&gt;0,$A240&lt;Z$6),AND(Z$7&gt;0,$A240&gt;Z$7)),0,MAX(0,ROUND((INDEX($E240:$G240,Z$5)-SUMIFS(TF_Timer,TF_Tekniker,Z$4,TF_Dato,$A240))*2,0)/2)))</f>
        <v/>
      </c>
      <c r="AA240">
        <f>IF(OR(AA$4="",$A240&gt;TODAY()),0,IF(OR(INDEX($B240:$D240,AA$5)="F",AND(AA$6&gt;0,$A240&lt;AA$6),AND(AA$7&gt;0,$A240&gt;AA$7)),0,MAX(0,ROUND((INDEX($E240:$G240,AA$5)-SUMIFS(TF_Timer,TF_Tekniker,AA$4,TF_Dato,$A240))*2,0)/2)))</f>
        <v/>
      </c>
      <c r="AB240">
        <f>IF(OR(AB$4="",$A240&gt;TODAY()),0,IF(OR(INDEX($B240:$D240,AB$5)="F",AND(AB$6&gt;0,$A240&lt;AB$6),AND(AB$7&gt;0,$A240&gt;AB$7)),0,MAX(0,ROUND((INDEX($E240:$G240,AB$5)-SUMIFS(TF_Timer,TF_Tekniker,AB$4,TF_Dato,$A240))*2,0)/2)))</f>
        <v/>
      </c>
      <c r="AC240">
        <f>IF(OR(AC$4="",$A240&gt;TODAY()),0,IF(OR(INDEX($B240:$D240,AC$5)="F",AND(AC$6&gt;0,$A240&lt;AC$6),AND(AC$7&gt;0,$A240&gt;AC$7)),0,MAX(0,ROUND((INDEX($E240:$G240,AC$5)-SUMIFS(TF_Timer,TF_Tekniker,AC$4,TF_Dato,$A240))*2,0)/2)))</f>
        <v/>
      </c>
      <c r="AD240">
        <f>IF(OR(AD$4="",$A240&gt;TODAY()),0,IF(OR(INDEX($B240:$D240,AD$5)="F",AND(AD$6&gt;0,$A240&lt;AD$6),AND(AD$7&gt;0,$A240&gt;AD$7)),0,MAX(0,ROUND((INDEX($E240:$G240,AD$5)-SUMIFS(TF_Timer,TF_Tekniker,AD$4,TF_Dato,$A240))*2,0)/2)))</f>
        <v/>
      </c>
      <c r="AE240">
        <f>IF(OR(AE$4="",$A240&gt;TODAY()),0,IF(OR(INDEX($B240:$D240,AE$5)="F",AND(AE$6&gt;0,$A240&lt;AE$6),AND(AE$7&gt;0,$A240&gt;AE$7)),0,MAX(0,ROUND((INDEX($E240:$G240,AE$5)-SUMIFS(TF_Timer,TF_Tekniker,AE$4,TF_Dato,$A240))*2,0)/2)))</f>
        <v/>
      </c>
      <c r="AF240">
        <f>IF(OR(AF$4="",$A240&gt;TODAY()),0,IF(OR(INDEX($B240:$D240,AF$5)="F",AND(AF$6&gt;0,$A240&lt;AF$6),AND(AF$7&gt;0,$A240&gt;AF$7)),0,MAX(0,ROUND((INDEX($E240:$G240,AF$5)-SUMIFS(TF_Timer,TF_Tekniker,AF$4,TF_Dato,$A240))*2,0)/2)))</f>
        <v/>
      </c>
      <c r="AG240">
        <f>IF(OR(AG$4="",$A240&gt;TODAY()),0,IF(OR(INDEX($B240:$D240,AG$5)="F",AND(AG$6&gt;0,$A240&lt;AG$6),AND(AG$7&gt;0,$A240&gt;AG$7)),0,MAX(0,ROUND((INDEX($E240:$G240,AG$5)-SUMIFS(TF_Timer,TF_Tekniker,AG$4,TF_Dato,$A240))*2,0)/2)))</f>
        <v/>
      </c>
      <c r="AH240">
        <f>IF(OR(AH$4="",$A240&gt;TODAY()),0,IF(OR(INDEX($B240:$D240,AH$5)="F",AND(AH$6&gt;0,$A240&lt;AH$6),AND(AH$7&gt;0,$A240&gt;AH$7)),0,MAX(0,ROUND((INDEX($E240:$G240,AH$5)-SUMIFS(TF_Timer,TF_Tekniker,AH$4,TF_Dato,$A240))*2,0)/2)))</f>
        <v/>
      </c>
      <c r="AI240">
        <f>IF(OR(AI$4="",$A240&gt;TODAY()),0,IF(OR(INDEX($B240:$D240,AI$5)="F",AND(AI$6&gt;0,$A240&lt;AI$6),AND(AI$7&gt;0,$A240&gt;AI$7)),0,MAX(0,ROUND((INDEX($E240:$G240,AI$5)-SUMIFS(TF_Timer,TF_Tekniker,AI$4,TF_Dato,$A240))*2,0)/2)))</f>
        <v/>
      </c>
      <c r="AJ240">
        <f>IF(OR(AJ$4="",$A240&gt;TODAY()),0,IF(OR(INDEX($B240:$D240,AJ$5)="F",AND(AJ$6&gt;0,$A240&lt;AJ$6),AND(AJ$7&gt;0,$A240&gt;AJ$7)),0,MAX(0,ROUND((INDEX($E240:$G240,AJ$5)-SUMIFS(TF_Timer,TF_Tekniker,AJ$4,TF_Dato,$A240))*2,0)/2)))</f>
        <v/>
      </c>
      <c r="AK240">
        <f>IF(OR(AK$4="",$A240&gt;TODAY()),0,IF(OR(INDEX($B240:$D240,AK$5)="F",AND(AK$6&gt;0,$A240&lt;AK$6),AND(AK$7&gt;0,$A240&gt;AK$7)),0,MAX(0,ROUND((INDEX($E240:$G240,AK$5)-SUMIFS(TF_Timer,TF_Tekniker,AK$4,TF_Dato,$A240))*2,0)/2)))</f>
        <v/>
      </c>
      <c r="AL240">
        <f>IF(OR(AL$4="",$A240&gt;TODAY()),0,IF(OR(INDEX($B240:$D240,AL$5)="F",AND(AL$6&gt;0,$A240&lt;AL$6),AND(AL$7&gt;0,$A240&gt;AL$7)),0,MAX(0,ROUND((INDEX($E240:$G240,AL$5)-SUMIFS(TF_Timer,TF_Tekniker,AL$4,TF_Dato,$A240))*2,0)/2)))</f>
        <v/>
      </c>
      <c r="AM240">
        <f>IF(OR(AM$4="",$A240&gt;TODAY()),0,IF(OR(INDEX($B240:$D240,AM$5)="F",AND(AM$6&gt;0,$A240&lt;AM$6),AND(AM$7&gt;0,$A240&gt;AM$7)),0,MAX(0,ROUND((INDEX($E240:$G240,AM$5)-SUMIFS(TF_Timer,TF_Tekniker,AM$4,TF_Dato,$A240))*2,0)/2)))</f>
        <v/>
      </c>
      <c r="AN240">
        <f>IF(OR(AN$4="",$A240&gt;TODAY()),0,IF(OR(INDEX($B240:$D240,AN$5)="F",AND(AN$6&gt;0,$A240&lt;AN$6),AND(AN$7&gt;0,$A240&gt;AN$7)),0,MAX(0,ROUND((INDEX($E240:$G240,AN$5)-SUMIFS(TF_Timer,TF_Tekniker,AN$4,TF_Dato,$A240))*2,0)/2)))</f>
        <v/>
      </c>
      <c r="AO240">
        <f>IF(OR(AO$4="",$A240&gt;TODAY()),0,IF(OR(INDEX($B240:$D240,AO$5)="F",AND(AO$6&gt;0,$A240&lt;AO$6),AND(AO$7&gt;0,$A240&gt;AO$7)),0,MAX(0,ROUND((INDEX($E240:$G240,AO$5)-SUMIFS(TF_Timer,TF_Tekniker,AO$4,TF_Dato,$A240))*2,0)/2)))</f>
        <v/>
      </c>
      <c r="AP240">
        <f>IF(OR(AP$4="",$A240&gt;TODAY()),0,IF(OR(INDEX($B240:$D240,AP$5)="F",AND(AP$6&gt;0,$A240&lt;AP$6),AND(AP$7&gt;0,$A240&gt;AP$7)),0,MAX(0,ROUND((INDEX($E240:$G240,AP$5)-SUMIFS(TF_Timer,TF_Tekniker,AP$4,TF_Dato,$A240))*2,0)/2)))</f>
        <v/>
      </c>
      <c r="AQ240">
        <f>IF(OR(AQ$4="",$A240&gt;TODAY()),0,IF(OR(INDEX($B240:$D240,AQ$5)="F",AND(AQ$6&gt;0,$A240&lt;AQ$6),AND(AQ$7&gt;0,$A240&gt;AQ$7)),0,MAX(0,ROUND((INDEX($E240:$G240,AQ$5)-SUMIFS(TF_Timer,TF_Tekniker,AQ$4,TF_Dato,$A240))*2,0)/2)))</f>
        <v/>
      </c>
      <c r="AR240">
        <f>IF(OR(AR$4="",$A240&gt;TODAY()),0,IF(OR(INDEX($B240:$D240,AR$5)="F",AND(AR$6&gt;0,$A240&lt;AR$6),AND(AR$7&gt;0,$A240&gt;AR$7)),0,MAX(0,ROUND((INDEX($E240:$G240,AR$5)-SUMIFS(TF_Timer,TF_Tekniker,AR$4,TF_Dato,$A240))*2,0)/2)))</f>
        <v/>
      </c>
      <c r="AS240">
        <f>IF(OR(AS$4="",$A240&gt;TODAY()),0,IF(OR(INDEX($B240:$D240,AS$5)="F",AND(AS$6&gt;0,$A240&lt;AS$6),AND(AS$7&gt;0,$A240&gt;AS$7)),0,MAX(0,ROUND((INDEX($E240:$G240,AS$5)-SUMIFS(TF_Timer,TF_Tekniker,AS$4,TF_Dato,$A240))*2,0)/2)))</f>
        <v/>
      </c>
      <c r="AT240">
        <f>IF(OR(AT$4="",$A240&gt;TODAY()),0,IF(OR(INDEX($B240:$D240,AT$5)="F",AND(AT$6&gt;0,$A240&lt;AT$6),AND(AT$7&gt;0,$A240&gt;AT$7)),0,MAX(0,ROUND((INDEX($E240:$G240,AT$5)-SUMIFS(TF_Timer,TF_Tekniker,AT$4,TF_Dato,$A240))*2,0)/2)))</f>
        <v/>
      </c>
      <c r="AU240">
        <f>IF(OR(AU$4="",$A240&gt;TODAY()),0,IF(OR(INDEX($B240:$D240,AU$5)="F",AND(AU$6&gt;0,$A240&lt;AU$6),AND(AU$7&gt;0,$A240&gt;AU$7)),0,MAX(0,ROUND((INDEX($E240:$G240,AU$5)-SUMIFS(TF_Timer,TF_Tekniker,AU$4,TF_Dato,$A240))*2,0)/2)))</f>
        <v/>
      </c>
      <c r="AV240">
        <f>IF(OR(AV$4="",$A240&gt;TODAY()),0,IF(OR(INDEX($B240:$D240,AV$5)="F",AND(AV$6&gt;0,$A240&lt;AV$6),AND(AV$7&gt;0,$A240&gt;AV$7)),0,MAX(0,ROUND((INDEX($E240:$G240,AV$5)-SUMIFS(TF_Timer,TF_Tekniker,AV$4,TF_Dato,$A240))*2,0)/2)))</f>
        <v/>
      </c>
      <c r="AW240">
        <f>IF(OR(AW$4="",$A240&gt;TODAY()),0,IF(OR(INDEX($B240:$D240,AW$5)="F",AND(AW$6&gt;0,$A240&lt;AW$6),AND(AW$7&gt;0,$A240&gt;AW$7)),0,MAX(0,ROUND((INDEX($E240:$G240,AW$5)-SUMIFS(TF_Timer,TF_Tekniker,AW$4,TF_Dato,$A240))*2,0)/2)))</f>
        <v/>
      </c>
      <c r="AX240">
        <f>IF(OR(AX$4="",$A240&gt;TODAY()),0,IF(OR(INDEX($B240:$D240,AX$5)="F",AND(AX$6&gt;0,$A240&lt;AX$6),AND(AX$7&gt;0,$A240&gt;AX$7)),0,MAX(0,ROUND((INDEX($E240:$G240,AX$5)-SUMIFS(TF_Timer,TF_Tekniker,AX$4,TF_Dato,$A240))*2,0)/2)))</f>
        <v/>
      </c>
      <c r="AY240">
        <f>IF(OR(AY$4="",$A240&gt;TODAY()),0,IF(OR(INDEX($B240:$D240,AY$5)="F",AND(AY$6&gt;0,$A240&lt;AY$6),AND(AY$7&gt;0,$A240&gt;AY$7)),0,MAX(0,ROUND((INDEX($E240:$G240,AY$5)-SUMIFS(TF_Timer,TF_Tekniker,AY$4,TF_Dato,$A240))*2,0)/2)))</f>
        <v/>
      </c>
      <c r="AZ240">
        <f>IF(OR(AZ$4="",$A240&gt;TODAY()),0,IF(OR(INDEX($B240:$D240,AZ$5)="F",AND(AZ$6&gt;0,$A240&lt;AZ$6),AND(AZ$7&gt;0,$A240&gt;AZ$7)),0,MAX(0,ROUND((INDEX($E240:$G240,AZ$5)-SUMIFS(TF_Timer,TF_Tekniker,AZ$4,TF_Dato,$A240))*2,0)/2)))</f>
        <v/>
      </c>
      <c r="BA240">
        <f>IF(OR(BA$4="",$A240&gt;TODAY()),0,IF(OR(INDEX($B240:$D240,BA$5)="F",AND(BA$6&gt;0,$A240&lt;BA$6),AND(BA$7&gt;0,$A240&gt;BA$7)),0,MAX(0,ROUND((INDEX($E240:$G240,BA$5)-SUMIFS(TF_Timer,TF_Tekniker,BA$4,TF_Dato,$A240))*2,0)/2)))</f>
        <v/>
      </c>
      <c r="BB240">
        <f>IF(OR(BB$4="",$A240&gt;TODAY()),0,IF(OR(INDEX($B240:$D240,BB$5)="F",AND(BB$6&gt;0,$A240&lt;BB$6),AND(BB$7&gt;0,$A240&gt;BB$7)),0,MAX(0,ROUND((INDEX($E240:$G240,BB$5)-SUMIFS(TF_Timer,TF_Tekniker,BB$4,TF_Dato,$A240))*2,0)/2)))</f>
        <v/>
      </c>
      <c r="BC240">
        <f>IF(OR(BC$4="",$A240&gt;TODAY()),0,IF(OR(INDEX($B240:$D240,BC$5)="F",AND(BC$6&gt;0,$A240&lt;BC$6),AND(BC$7&gt;0,$A240&gt;BC$7)),0,MAX(0,ROUND((INDEX($E240:$G240,BC$5)-SUMIFS(TF_Timer,TF_Tekniker,BC$4,TF_Dato,$A240))*2,0)/2)))</f>
        <v/>
      </c>
      <c r="BD240">
        <f>IF(OR(BD$4="",$A240&gt;TODAY()),0,IF(OR(INDEX($B240:$D240,BD$5)="F",AND(BD$6&gt;0,$A240&lt;BD$6),AND(BD$7&gt;0,$A240&gt;BD$7)),0,MAX(0,ROUND((INDEX($E240:$G240,BD$5)-SUMIFS(TF_Timer,TF_Tekniker,BD$4,TF_Dato,$A240))*2,0)/2)))</f>
        <v/>
      </c>
      <c r="BE240">
        <f>IF(OR(BE$4="",$A240&gt;TODAY()),0,IF(OR(INDEX($B240:$D240,BE$5)="F",AND(BE$6&gt;0,$A240&lt;BE$6),AND(BE$7&gt;0,$A240&gt;BE$7)),0,MAX(0,ROUND((INDEX($E240:$G240,BE$5)-SUMIFS(TF_Timer,TF_Tekniker,BE$4,TF_Dato,$A240))*2,0)/2)))</f>
        <v/>
      </c>
      <c r="BF240">
        <f>IF(OR(BF$4="",$A240&gt;TODAY()),0,IF(OR(INDEX($B240:$D240,BF$5)="F",AND(BF$6&gt;0,$A240&lt;BF$6),AND(BF$7&gt;0,$A240&gt;BF$7)),0,MAX(0,ROUND((INDEX($E240:$G240,BF$5)-SUMIFS(TF_Timer,TF_Tekniker,BF$4,TF_Dato,$A240))*2,0)/2)))</f>
        <v/>
      </c>
      <c r="BG240">
        <f>IF(OR(BG$4="",$A240&gt;TODAY()),0,IF(OR(INDEX($B240:$D240,BG$5)="F",AND(BG$6&gt;0,$A240&lt;BG$6),AND(BG$7&gt;0,$A240&gt;BG$7)),0,MAX(0,ROUND((INDEX($E240:$G240,BG$5)-SUMIFS(TF_Timer,TF_Tekniker,BG$4,TF_Dato,$A240))*2,0)/2)))</f>
        <v/>
      </c>
      <c r="BH240">
        <f>IF(OR(BH$4="",$A240&gt;TODAY()),0,IF(OR(INDEX($B240:$D240,BH$5)="F",AND(BH$6&gt;0,$A240&lt;BH$6),AND(BH$7&gt;0,$A240&gt;BH$7)),0,MAX(0,ROUND((INDEX($E240:$G240,BH$5)-SUMIFS(TF_Timer,TF_Tekniker,BH$4,TF_Dato,$A240))*2,0)/2)))</f>
        <v/>
      </c>
      <c r="BI240">
        <f>IF(OR(BI$4="",$A240&gt;TODAY()),0,IF(OR(INDEX($B240:$D240,BI$5)="F",AND(BI$6&gt;0,$A240&lt;BI$6),AND(BI$7&gt;0,$A240&gt;BI$7)),0,MAX(0,ROUND((INDEX($E240:$G240,BI$5)-SUMIFS(TF_Timer,TF_Tekniker,BI$4,TF_Dato,$A240))*2,0)/2)))</f>
        <v/>
      </c>
    </row>
    <row r="241">
      <c r="A241" s="64">
        <f>A240+1</f>
        <v/>
      </c>
      <c r="B241">
        <f>IF(MOD($A241-INDEX(SkiftStart,1),Syklus)&lt;DagK,"K",IF(MOD($A241-INDEX(SkiftStart,1),Syklus)&lt;DagK+DagH,"H",IF(MOD($A241-INDEX(SkiftStart,1),Syklus)&lt;DagK+DagH+DagD,"D","F")))</f>
        <v/>
      </c>
      <c r="C241">
        <f>IF(MOD($A241-INDEX(SkiftStart,2),Syklus)&lt;DagK,"K",IF(MOD($A241-INDEX(SkiftStart,2),Syklus)&lt;DagK+DagH,"H",IF(MOD($A241-INDEX(SkiftStart,2),Syklus)&lt;DagK+DagH+DagD,"D","F")))</f>
        <v/>
      </c>
      <c r="D241">
        <f>IF(MOD($A241-INDEX(SkiftStart,3),Syklus)&lt;DagK,"K",IF(MOD($A241-INDEX(SkiftStart,3),Syklus)&lt;DagK+DagH,"H",IF(MOD($A241-INDEX(SkiftStart,3),Syklus)&lt;DagK+DagH+DagD,"D","F")))</f>
        <v/>
      </c>
      <c r="E241">
        <f>IF(B241="F",0,IF(WEEKDAY($A241,2)=5,INDEX(TimerFr,MATCH(B241,FaseKode,0)),INDEX(TimerMT,MATCH(B241,FaseKode,0))))</f>
        <v/>
      </c>
      <c r="F241">
        <f>IF(C241="F",0,IF(WEEKDAY($A241,2)=5,INDEX(TimerFr,MATCH(C241,FaseKode,0)),INDEX(TimerMT,MATCH(C241,FaseKode,0))))</f>
        <v/>
      </c>
      <c r="G241">
        <f>IF(D241="F",0,IF(WEEKDAY($A241,2)=5,INDEX(TimerFr,MATCH(D241,FaseKode,0)),INDEX(TimerMT,MATCH(D241,FaseKode,0))))</f>
        <v/>
      </c>
      <c r="H241">
        <f>IF(OR(H$4="",$A241&gt;TODAY()),0,IF(OR(INDEX($B241:$D241,H$5)="F",AND(H$6&gt;0,$A241&lt;H$6),AND(H$7&gt;0,$A241&gt;H$7)),0,MAX(0,ROUND((INDEX($E241:$G241,H$5)-SUMIFS(TF_Timer,TF_Tekniker,H$4,TF_Dato,$A241))*2,0)/2)))</f>
        <v/>
      </c>
      <c r="I241">
        <f>IF(OR(I$4="",$A241&gt;TODAY()),0,IF(OR(INDEX($B241:$D241,I$5)="F",AND(I$6&gt;0,$A241&lt;I$6),AND(I$7&gt;0,$A241&gt;I$7)),0,MAX(0,ROUND((INDEX($E241:$G241,I$5)-SUMIFS(TF_Timer,TF_Tekniker,I$4,TF_Dato,$A241))*2,0)/2)))</f>
        <v/>
      </c>
      <c r="J241">
        <f>IF(OR(J$4="",$A241&gt;TODAY()),0,IF(OR(INDEX($B241:$D241,J$5)="F",AND(J$6&gt;0,$A241&lt;J$6),AND(J$7&gt;0,$A241&gt;J$7)),0,MAX(0,ROUND((INDEX($E241:$G241,J$5)-SUMIFS(TF_Timer,TF_Tekniker,J$4,TF_Dato,$A241))*2,0)/2)))</f>
        <v/>
      </c>
      <c r="K241">
        <f>IF(OR(K$4="",$A241&gt;TODAY()),0,IF(OR(INDEX($B241:$D241,K$5)="F",AND(K$6&gt;0,$A241&lt;K$6),AND(K$7&gt;0,$A241&gt;K$7)),0,MAX(0,ROUND((INDEX($E241:$G241,K$5)-SUMIFS(TF_Timer,TF_Tekniker,K$4,TF_Dato,$A241))*2,0)/2)))</f>
        <v/>
      </c>
      <c r="L241">
        <f>IF(OR(L$4="",$A241&gt;TODAY()),0,IF(OR(INDEX($B241:$D241,L$5)="F",AND(L$6&gt;0,$A241&lt;L$6),AND(L$7&gt;0,$A241&gt;L$7)),0,MAX(0,ROUND((INDEX($E241:$G241,L$5)-SUMIFS(TF_Timer,TF_Tekniker,L$4,TF_Dato,$A241))*2,0)/2)))</f>
        <v/>
      </c>
      <c r="M241">
        <f>IF(OR(M$4="",$A241&gt;TODAY()),0,IF(OR(INDEX($B241:$D241,M$5)="F",AND(M$6&gt;0,$A241&lt;M$6),AND(M$7&gt;0,$A241&gt;M$7)),0,MAX(0,ROUND((INDEX($E241:$G241,M$5)-SUMIFS(TF_Timer,TF_Tekniker,M$4,TF_Dato,$A241))*2,0)/2)))</f>
        <v/>
      </c>
      <c r="N241">
        <f>IF(OR(N$4="",$A241&gt;TODAY()),0,IF(OR(INDEX($B241:$D241,N$5)="F",AND(N$6&gt;0,$A241&lt;N$6),AND(N$7&gt;0,$A241&gt;N$7)),0,MAX(0,ROUND((INDEX($E241:$G241,N$5)-SUMIFS(TF_Timer,TF_Tekniker,N$4,TF_Dato,$A241))*2,0)/2)))</f>
        <v/>
      </c>
      <c r="O241">
        <f>IF(OR(O$4="",$A241&gt;TODAY()),0,IF(OR(INDEX($B241:$D241,O$5)="F",AND(O$6&gt;0,$A241&lt;O$6),AND(O$7&gt;0,$A241&gt;O$7)),0,MAX(0,ROUND((INDEX($E241:$G241,O$5)-SUMIFS(TF_Timer,TF_Tekniker,O$4,TF_Dato,$A241))*2,0)/2)))</f>
        <v/>
      </c>
      <c r="P241">
        <f>IF(OR(P$4="",$A241&gt;TODAY()),0,IF(OR(INDEX($B241:$D241,P$5)="F",AND(P$6&gt;0,$A241&lt;P$6),AND(P$7&gt;0,$A241&gt;P$7)),0,MAX(0,ROUND((INDEX($E241:$G241,P$5)-SUMIFS(TF_Timer,TF_Tekniker,P$4,TF_Dato,$A241))*2,0)/2)))</f>
        <v/>
      </c>
      <c r="Q241">
        <f>IF(OR(Q$4="",$A241&gt;TODAY()),0,IF(OR(INDEX($B241:$D241,Q$5)="F",AND(Q$6&gt;0,$A241&lt;Q$6),AND(Q$7&gt;0,$A241&gt;Q$7)),0,MAX(0,ROUND((INDEX($E241:$G241,Q$5)-SUMIFS(TF_Timer,TF_Tekniker,Q$4,TF_Dato,$A241))*2,0)/2)))</f>
        <v/>
      </c>
      <c r="R241">
        <f>IF(OR(R$4="",$A241&gt;TODAY()),0,IF(OR(INDEX($B241:$D241,R$5)="F",AND(R$6&gt;0,$A241&lt;R$6),AND(R$7&gt;0,$A241&gt;R$7)),0,MAX(0,ROUND((INDEX($E241:$G241,R$5)-SUMIFS(TF_Timer,TF_Tekniker,R$4,TF_Dato,$A241))*2,0)/2)))</f>
        <v/>
      </c>
      <c r="S241">
        <f>IF(OR(S$4="",$A241&gt;TODAY()),0,IF(OR(INDEX($B241:$D241,S$5)="F",AND(S$6&gt;0,$A241&lt;S$6),AND(S$7&gt;0,$A241&gt;S$7)),0,MAX(0,ROUND((INDEX($E241:$G241,S$5)-SUMIFS(TF_Timer,TF_Tekniker,S$4,TF_Dato,$A241))*2,0)/2)))</f>
        <v/>
      </c>
      <c r="T241">
        <f>IF(OR(T$4="",$A241&gt;TODAY()),0,IF(OR(INDEX($B241:$D241,T$5)="F",AND(T$6&gt;0,$A241&lt;T$6),AND(T$7&gt;0,$A241&gt;T$7)),0,MAX(0,ROUND((INDEX($E241:$G241,T$5)-SUMIFS(TF_Timer,TF_Tekniker,T$4,TF_Dato,$A241))*2,0)/2)))</f>
        <v/>
      </c>
      <c r="U241">
        <f>IF(OR(U$4="",$A241&gt;TODAY()),0,IF(OR(INDEX($B241:$D241,U$5)="F",AND(U$6&gt;0,$A241&lt;U$6),AND(U$7&gt;0,$A241&gt;U$7)),0,MAX(0,ROUND((INDEX($E241:$G241,U$5)-SUMIFS(TF_Timer,TF_Tekniker,U$4,TF_Dato,$A241))*2,0)/2)))</f>
        <v/>
      </c>
      <c r="V241">
        <f>IF(OR(V$4="",$A241&gt;TODAY()),0,IF(OR(INDEX($B241:$D241,V$5)="F",AND(V$6&gt;0,$A241&lt;V$6),AND(V$7&gt;0,$A241&gt;V$7)),0,MAX(0,ROUND((INDEX($E241:$G241,V$5)-SUMIFS(TF_Timer,TF_Tekniker,V$4,TF_Dato,$A241))*2,0)/2)))</f>
        <v/>
      </c>
      <c r="W241">
        <f>IF(OR(W$4="",$A241&gt;TODAY()),0,IF(OR(INDEX($B241:$D241,W$5)="F",AND(W$6&gt;0,$A241&lt;W$6),AND(W$7&gt;0,$A241&gt;W$7)),0,MAX(0,ROUND((INDEX($E241:$G241,W$5)-SUMIFS(TF_Timer,TF_Tekniker,W$4,TF_Dato,$A241))*2,0)/2)))</f>
        <v/>
      </c>
      <c r="X241">
        <f>IF(OR(X$4="",$A241&gt;TODAY()),0,IF(OR(INDEX($B241:$D241,X$5)="F",AND(X$6&gt;0,$A241&lt;X$6),AND(X$7&gt;0,$A241&gt;X$7)),0,MAX(0,ROUND((INDEX($E241:$G241,X$5)-SUMIFS(TF_Timer,TF_Tekniker,X$4,TF_Dato,$A241))*2,0)/2)))</f>
        <v/>
      </c>
      <c r="Y241">
        <f>IF(OR(Y$4="",$A241&gt;TODAY()),0,IF(OR(INDEX($B241:$D241,Y$5)="F",AND(Y$6&gt;0,$A241&lt;Y$6),AND(Y$7&gt;0,$A241&gt;Y$7)),0,MAX(0,ROUND((INDEX($E241:$G241,Y$5)-SUMIFS(TF_Timer,TF_Tekniker,Y$4,TF_Dato,$A241))*2,0)/2)))</f>
        <v/>
      </c>
      <c r="Z241">
        <f>IF(OR(Z$4="",$A241&gt;TODAY()),0,IF(OR(INDEX($B241:$D241,Z$5)="F",AND(Z$6&gt;0,$A241&lt;Z$6),AND(Z$7&gt;0,$A241&gt;Z$7)),0,MAX(0,ROUND((INDEX($E241:$G241,Z$5)-SUMIFS(TF_Timer,TF_Tekniker,Z$4,TF_Dato,$A241))*2,0)/2)))</f>
        <v/>
      </c>
      <c r="AA241">
        <f>IF(OR(AA$4="",$A241&gt;TODAY()),0,IF(OR(INDEX($B241:$D241,AA$5)="F",AND(AA$6&gt;0,$A241&lt;AA$6),AND(AA$7&gt;0,$A241&gt;AA$7)),0,MAX(0,ROUND((INDEX($E241:$G241,AA$5)-SUMIFS(TF_Timer,TF_Tekniker,AA$4,TF_Dato,$A241))*2,0)/2)))</f>
        <v/>
      </c>
      <c r="AB241">
        <f>IF(OR(AB$4="",$A241&gt;TODAY()),0,IF(OR(INDEX($B241:$D241,AB$5)="F",AND(AB$6&gt;0,$A241&lt;AB$6),AND(AB$7&gt;0,$A241&gt;AB$7)),0,MAX(0,ROUND((INDEX($E241:$G241,AB$5)-SUMIFS(TF_Timer,TF_Tekniker,AB$4,TF_Dato,$A241))*2,0)/2)))</f>
        <v/>
      </c>
      <c r="AC241">
        <f>IF(OR(AC$4="",$A241&gt;TODAY()),0,IF(OR(INDEX($B241:$D241,AC$5)="F",AND(AC$6&gt;0,$A241&lt;AC$6),AND(AC$7&gt;0,$A241&gt;AC$7)),0,MAX(0,ROUND((INDEX($E241:$G241,AC$5)-SUMIFS(TF_Timer,TF_Tekniker,AC$4,TF_Dato,$A241))*2,0)/2)))</f>
        <v/>
      </c>
      <c r="AD241">
        <f>IF(OR(AD$4="",$A241&gt;TODAY()),0,IF(OR(INDEX($B241:$D241,AD$5)="F",AND(AD$6&gt;0,$A241&lt;AD$6),AND(AD$7&gt;0,$A241&gt;AD$7)),0,MAX(0,ROUND((INDEX($E241:$G241,AD$5)-SUMIFS(TF_Timer,TF_Tekniker,AD$4,TF_Dato,$A241))*2,0)/2)))</f>
        <v/>
      </c>
      <c r="AE241">
        <f>IF(OR(AE$4="",$A241&gt;TODAY()),0,IF(OR(INDEX($B241:$D241,AE$5)="F",AND(AE$6&gt;0,$A241&lt;AE$6),AND(AE$7&gt;0,$A241&gt;AE$7)),0,MAX(0,ROUND((INDEX($E241:$G241,AE$5)-SUMIFS(TF_Timer,TF_Tekniker,AE$4,TF_Dato,$A241))*2,0)/2)))</f>
        <v/>
      </c>
      <c r="AF241">
        <f>IF(OR(AF$4="",$A241&gt;TODAY()),0,IF(OR(INDEX($B241:$D241,AF$5)="F",AND(AF$6&gt;0,$A241&lt;AF$6),AND(AF$7&gt;0,$A241&gt;AF$7)),0,MAX(0,ROUND((INDEX($E241:$G241,AF$5)-SUMIFS(TF_Timer,TF_Tekniker,AF$4,TF_Dato,$A241))*2,0)/2)))</f>
        <v/>
      </c>
      <c r="AG241">
        <f>IF(OR(AG$4="",$A241&gt;TODAY()),0,IF(OR(INDEX($B241:$D241,AG$5)="F",AND(AG$6&gt;0,$A241&lt;AG$6),AND(AG$7&gt;0,$A241&gt;AG$7)),0,MAX(0,ROUND((INDEX($E241:$G241,AG$5)-SUMIFS(TF_Timer,TF_Tekniker,AG$4,TF_Dato,$A241))*2,0)/2)))</f>
        <v/>
      </c>
      <c r="AH241">
        <f>IF(OR(AH$4="",$A241&gt;TODAY()),0,IF(OR(INDEX($B241:$D241,AH$5)="F",AND(AH$6&gt;0,$A241&lt;AH$6),AND(AH$7&gt;0,$A241&gt;AH$7)),0,MAX(0,ROUND((INDEX($E241:$G241,AH$5)-SUMIFS(TF_Timer,TF_Tekniker,AH$4,TF_Dato,$A241))*2,0)/2)))</f>
        <v/>
      </c>
      <c r="AI241">
        <f>IF(OR(AI$4="",$A241&gt;TODAY()),0,IF(OR(INDEX($B241:$D241,AI$5)="F",AND(AI$6&gt;0,$A241&lt;AI$6),AND(AI$7&gt;0,$A241&gt;AI$7)),0,MAX(0,ROUND((INDEX($E241:$G241,AI$5)-SUMIFS(TF_Timer,TF_Tekniker,AI$4,TF_Dato,$A241))*2,0)/2)))</f>
        <v/>
      </c>
      <c r="AJ241">
        <f>IF(OR(AJ$4="",$A241&gt;TODAY()),0,IF(OR(INDEX($B241:$D241,AJ$5)="F",AND(AJ$6&gt;0,$A241&lt;AJ$6),AND(AJ$7&gt;0,$A241&gt;AJ$7)),0,MAX(0,ROUND((INDEX($E241:$G241,AJ$5)-SUMIFS(TF_Timer,TF_Tekniker,AJ$4,TF_Dato,$A241))*2,0)/2)))</f>
        <v/>
      </c>
      <c r="AK241">
        <f>IF(OR(AK$4="",$A241&gt;TODAY()),0,IF(OR(INDEX($B241:$D241,AK$5)="F",AND(AK$6&gt;0,$A241&lt;AK$6),AND(AK$7&gt;0,$A241&gt;AK$7)),0,MAX(0,ROUND((INDEX($E241:$G241,AK$5)-SUMIFS(TF_Timer,TF_Tekniker,AK$4,TF_Dato,$A241))*2,0)/2)))</f>
        <v/>
      </c>
      <c r="AL241">
        <f>IF(OR(AL$4="",$A241&gt;TODAY()),0,IF(OR(INDEX($B241:$D241,AL$5)="F",AND(AL$6&gt;0,$A241&lt;AL$6),AND(AL$7&gt;0,$A241&gt;AL$7)),0,MAX(0,ROUND((INDEX($E241:$G241,AL$5)-SUMIFS(TF_Timer,TF_Tekniker,AL$4,TF_Dato,$A241))*2,0)/2)))</f>
        <v/>
      </c>
      <c r="AM241">
        <f>IF(OR(AM$4="",$A241&gt;TODAY()),0,IF(OR(INDEX($B241:$D241,AM$5)="F",AND(AM$6&gt;0,$A241&lt;AM$6),AND(AM$7&gt;0,$A241&gt;AM$7)),0,MAX(0,ROUND((INDEX($E241:$G241,AM$5)-SUMIFS(TF_Timer,TF_Tekniker,AM$4,TF_Dato,$A241))*2,0)/2)))</f>
        <v/>
      </c>
      <c r="AN241">
        <f>IF(OR(AN$4="",$A241&gt;TODAY()),0,IF(OR(INDEX($B241:$D241,AN$5)="F",AND(AN$6&gt;0,$A241&lt;AN$6),AND(AN$7&gt;0,$A241&gt;AN$7)),0,MAX(0,ROUND((INDEX($E241:$G241,AN$5)-SUMIFS(TF_Timer,TF_Tekniker,AN$4,TF_Dato,$A241))*2,0)/2)))</f>
        <v/>
      </c>
      <c r="AO241">
        <f>IF(OR(AO$4="",$A241&gt;TODAY()),0,IF(OR(INDEX($B241:$D241,AO$5)="F",AND(AO$6&gt;0,$A241&lt;AO$6),AND(AO$7&gt;0,$A241&gt;AO$7)),0,MAX(0,ROUND((INDEX($E241:$G241,AO$5)-SUMIFS(TF_Timer,TF_Tekniker,AO$4,TF_Dato,$A241))*2,0)/2)))</f>
        <v/>
      </c>
      <c r="AP241">
        <f>IF(OR(AP$4="",$A241&gt;TODAY()),0,IF(OR(INDEX($B241:$D241,AP$5)="F",AND(AP$6&gt;0,$A241&lt;AP$6),AND(AP$7&gt;0,$A241&gt;AP$7)),0,MAX(0,ROUND((INDEX($E241:$G241,AP$5)-SUMIFS(TF_Timer,TF_Tekniker,AP$4,TF_Dato,$A241))*2,0)/2)))</f>
        <v/>
      </c>
      <c r="AQ241">
        <f>IF(OR(AQ$4="",$A241&gt;TODAY()),0,IF(OR(INDEX($B241:$D241,AQ$5)="F",AND(AQ$6&gt;0,$A241&lt;AQ$6),AND(AQ$7&gt;0,$A241&gt;AQ$7)),0,MAX(0,ROUND((INDEX($E241:$G241,AQ$5)-SUMIFS(TF_Timer,TF_Tekniker,AQ$4,TF_Dato,$A241))*2,0)/2)))</f>
        <v/>
      </c>
      <c r="AR241">
        <f>IF(OR(AR$4="",$A241&gt;TODAY()),0,IF(OR(INDEX($B241:$D241,AR$5)="F",AND(AR$6&gt;0,$A241&lt;AR$6),AND(AR$7&gt;0,$A241&gt;AR$7)),0,MAX(0,ROUND((INDEX($E241:$G241,AR$5)-SUMIFS(TF_Timer,TF_Tekniker,AR$4,TF_Dato,$A241))*2,0)/2)))</f>
        <v/>
      </c>
      <c r="AS241">
        <f>IF(OR(AS$4="",$A241&gt;TODAY()),0,IF(OR(INDEX($B241:$D241,AS$5)="F",AND(AS$6&gt;0,$A241&lt;AS$6),AND(AS$7&gt;0,$A241&gt;AS$7)),0,MAX(0,ROUND((INDEX($E241:$G241,AS$5)-SUMIFS(TF_Timer,TF_Tekniker,AS$4,TF_Dato,$A241))*2,0)/2)))</f>
        <v/>
      </c>
      <c r="AT241">
        <f>IF(OR(AT$4="",$A241&gt;TODAY()),0,IF(OR(INDEX($B241:$D241,AT$5)="F",AND(AT$6&gt;0,$A241&lt;AT$6),AND(AT$7&gt;0,$A241&gt;AT$7)),0,MAX(0,ROUND((INDEX($E241:$G241,AT$5)-SUMIFS(TF_Timer,TF_Tekniker,AT$4,TF_Dato,$A241))*2,0)/2)))</f>
        <v/>
      </c>
      <c r="AU241">
        <f>IF(OR(AU$4="",$A241&gt;TODAY()),0,IF(OR(INDEX($B241:$D241,AU$5)="F",AND(AU$6&gt;0,$A241&lt;AU$6),AND(AU$7&gt;0,$A241&gt;AU$7)),0,MAX(0,ROUND((INDEX($E241:$G241,AU$5)-SUMIFS(TF_Timer,TF_Tekniker,AU$4,TF_Dato,$A241))*2,0)/2)))</f>
        <v/>
      </c>
      <c r="AV241">
        <f>IF(OR(AV$4="",$A241&gt;TODAY()),0,IF(OR(INDEX($B241:$D241,AV$5)="F",AND(AV$6&gt;0,$A241&lt;AV$6),AND(AV$7&gt;0,$A241&gt;AV$7)),0,MAX(0,ROUND((INDEX($E241:$G241,AV$5)-SUMIFS(TF_Timer,TF_Tekniker,AV$4,TF_Dato,$A241))*2,0)/2)))</f>
        <v/>
      </c>
      <c r="AW241">
        <f>IF(OR(AW$4="",$A241&gt;TODAY()),0,IF(OR(INDEX($B241:$D241,AW$5)="F",AND(AW$6&gt;0,$A241&lt;AW$6),AND(AW$7&gt;0,$A241&gt;AW$7)),0,MAX(0,ROUND((INDEX($E241:$G241,AW$5)-SUMIFS(TF_Timer,TF_Tekniker,AW$4,TF_Dato,$A241))*2,0)/2)))</f>
        <v/>
      </c>
      <c r="AX241">
        <f>IF(OR(AX$4="",$A241&gt;TODAY()),0,IF(OR(INDEX($B241:$D241,AX$5)="F",AND(AX$6&gt;0,$A241&lt;AX$6),AND(AX$7&gt;0,$A241&gt;AX$7)),0,MAX(0,ROUND((INDEX($E241:$G241,AX$5)-SUMIFS(TF_Timer,TF_Tekniker,AX$4,TF_Dato,$A241))*2,0)/2)))</f>
        <v/>
      </c>
      <c r="AY241">
        <f>IF(OR(AY$4="",$A241&gt;TODAY()),0,IF(OR(INDEX($B241:$D241,AY$5)="F",AND(AY$6&gt;0,$A241&lt;AY$6),AND(AY$7&gt;0,$A241&gt;AY$7)),0,MAX(0,ROUND((INDEX($E241:$G241,AY$5)-SUMIFS(TF_Timer,TF_Tekniker,AY$4,TF_Dato,$A241))*2,0)/2)))</f>
        <v/>
      </c>
      <c r="AZ241">
        <f>IF(OR(AZ$4="",$A241&gt;TODAY()),0,IF(OR(INDEX($B241:$D241,AZ$5)="F",AND(AZ$6&gt;0,$A241&lt;AZ$6),AND(AZ$7&gt;0,$A241&gt;AZ$7)),0,MAX(0,ROUND((INDEX($E241:$G241,AZ$5)-SUMIFS(TF_Timer,TF_Tekniker,AZ$4,TF_Dato,$A241))*2,0)/2)))</f>
        <v/>
      </c>
      <c r="BA241">
        <f>IF(OR(BA$4="",$A241&gt;TODAY()),0,IF(OR(INDEX($B241:$D241,BA$5)="F",AND(BA$6&gt;0,$A241&lt;BA$6),AND(BA$7&gt;0,$A241&gt;BA$7)),0,MAX(0,ROUND((INDEX($E241:$G241,BA$5)-SUMIFS(TF_Timer,TF_Tekniker,BA$4,TF_Dato,$A241))*2,0)/2)))</f>
        <v/>
      </c>
      <c r="BB241">
        <f>IF(OR(BB$4="",$A241&gt;TODAY()),0,IF(OR(INDEX($B241:$D241,BB$5)="F",AND(BB$6&gt;0,$A241&lt;BB$6),AND(BB$7&gt;0,$A241&gt;BB$7)),0,MAX(0,ROUND((INDEX($E241:$G241,BB$5)-SUMIFS(TF_Timer,TF_Tekniker,BB$4,TF_Dato,$A241))*2,0)/2)))</f>
        <v/>
      </c>
      <c r="BC241">
        <f>IF(OR(BC$4="",$A241&gt;TODAY()),0,IF(OR(INDEX($B241:$D241,BC$5)="F",AND(BC$6&gt;0,$A241&lt;BC$6),AND(BC$7&gt;0,$A241&gt;BC$7)),0,MAX(0,ROUND((INDEX($E241:$G241,BC$5)-SUMIFS(TF_Timer,TF_Tekniker,BC$4,TF_Dato,$A241))*2,0)/2)))</f>
        <v/>
      </c>
      <c r="BD241">
        <f>IF(OR(BD$4="",$A241&gt;TODAY()),0,IF(OR(INDEX($B241:$D241,BD$5)="F",AND(BD$6&gt;0,$A241&lt;BD$6),AND(BD$7&gt;0,$A241&gt;BD$7)),0,MAX(0,ROUND((INDEX($E241:$G241,BD$5)-SUMIFS(TF_Timer,TF_Tekniker,BD$4,TF_Dato,$A241))*2,0)/2)))</f>
        <v/>
      </c>
      <c r="BE241">
        <f>IF(OR(BE$4="",$A241&gt;TODAY()),0,IF(OR(INDEX($B241:$D241,BE$5)="F",AND(BE$6&gt;0,$A241&lt;BE$6),AND(BE$7&gt;0,$A241&gt;BE$7)),0,MAX(0,ROUND((INDEX($E241:$G241,BE$5)-SUMIFS(TF_Timer,TF_Tekniker,BE$4,TF_Dato,$A241))*2,0)/2)))</f>
        <v/>
      </c>
      <c r="BF241">
        <f>IF(OR(BF$4="",$A241&gt;TODAY()),0,IF(OR(INDEX($B241:$D241,BF$5)="F",AND(BF$6&gt;0,$A241&lt;BF$6),AND(BF$7&gt;0,$A241&gt;BF$7)),0,MAX(0,ROUND((INDEX($E241:$G241,BF$5)-SUMIFS(TF_Timer,TF_Tekniker,BF$4,TF_Dato,$A241))*2,0)/2)))</f>
        <v/>
      </c>
      <c r="BG241">
        <f>IF(OR(BG$4="",$A241&gt;TODAY()),0,IF(OR(INDEX($B241:$D241,BG$5)="F",AND(BG$6&gt;0,$A241&lt;BG$6),AND(BG$7&gt;0,$A241&gt;BG$7)),0,MAX(0,ROUND((INDEX($E241:$G241,BG$5)-SUMIFS(TF_Timer,TF_Tekniker,BG$4,TF_Dato,$A241))*2,0)/2)))</f>
        <v/>
      </c>
      <c r="BH241">
        <f>IF(OR(BH$4="",$A241&gt;TODAY()),0,IF(OR(INDEX($B241:$D241,BH$5)="F",AND(BH$6&gt;0,$A241&lt;BH$6),AND(BH$7&gt;0,$A241&gt;BH$7)),0,MAX(0,ROUND((INDEX($E241:$G241,BH$5)-SUMIFS(TF_Timer,TF_Tekniker,BH$4,TF_Dato,$A241))*2,0)/2)))</f>
        <v/>
      </c>
      <c r="BI241">
        <f>IF(OR(BI$4="",$A241&gt;TODAY()),0,IF(OR(INDEX($B241:$D241,BI$5)="F",AND(BI$6&gt;0,$A241&lt;BI$6),AND(BI$7&gt;0,$A241&gt;BI$7)),0,MAX(0,ROUND((INDEX($E241:$G241,BI$5)-SUMIFS(TF_Timer,TF_Tekniker,BI$4,TF_Dato,$A241))*2,0)/2)))</f>
        <v/>
      </c>
    </row>
    <row r="242">
      <c r="A242" s="64">
        <f>A241+1</f>
        <v/>
      </c>
      <c r="B242">
        <f>IF(MOD($A242-INDEX(SkiftStart,1),Syklus)&lt;DagK,"K",IF(MOD($A242-INDEX(SkiftStart,1),Syklus)&lt;DagK+DagH,"H",IF(MOD($A242-INDEX(SkiftStart,1),Syklus)&lt;DagK+DagH+DagD,"D","F")))</f>
        <v/>
      </c>
      <c r="C242">
        <f>IF(MOD($A242-INDEX(SkiftStart,2),Syklus)&lt;DagK,"K",IF(MOD($A242-INDEX(SkiftStart,2),Syklus)&lt;DagK+DagH,"H",IF(MOD($A242-INDEX(SkiftStart,2),Syklus)&lt;DagK+DagH+DagD,"D","F")))</f>
        <v/>
      </c>
      <c r="D242">
        <f>IF(MOD($A242-INDEX(SkiftStart,3),Syklus)&lt;DagK,"K",IF(MOD($A242-INDEX(SkiftStart,3),Syklus)&lt;DagK+DagH,"H",IF(MOD($A242-INDEX(SkiftStart,3),Syklus)&lt;DagK+DagH+DagD,"D","F")))</f>
        <v/>
      </c>
      <c r="E242">
        <f>IF(B242="F",0,IF(WEEKDAY($A242,2)=5,INDEX(TimerFr,MATCH(B242,FaseKode,0)),INDEX(TimerMT,MATCH(B242,FaseKode,0))))</f>
        <v/>
      </c>
      <c r="F242">
        <f>IF(C242="F",0,IF(WEEKDAY($A242,2)=5,INDEX(TimerFr,MATCH(C242,FaseKode,0)),INDEX(TimerMT,MATCH(C242,FaseKode,0))))</f>
        <v/>
      </c>
      <c r="G242">
        <f>IF(D242="F",0,IF(WEEKDAY($A242,2)=5,INDEX(TimerFr,MATCH(D242,FaseKode,0)),INDEX(TimerMT,MATCH(D242,FaseKode,0))))</f>
        <v/>
      </c>
      <c r="H242">
        <f>IF(OR(H$4="",$A242&gt;TODAY()),0,IF(OR(INDEX($B242:$D242,H$5)="F",AND(H$6&gt;0,$A242&lt;H$6),AND(H$7&gt;0,$A242&gt;H$7)),0,MAX(0,ROUND((INDEX($E242:$G242,H$5)-SUMIFS(TF_Timer,TF_Tekniker,H$4,TF_Dato,$A242))*2,0)/2)))</f>
        <v/>
      </c>
      <c r="I242">
        <f>IF(OR(I$4="",$A242&gt;TODAY()),0,IF(OR(INDEX($B242:$D242,I$5)="F",AND(I$6&gt;0,$A242&lt;I$6),AND(I$7&gt;0,$A242&gt;I$7)),0,MAX(0,ROUND((INDEX($E242:$G242,I$5)-SUMIFS(TF_Timer,TF_Tekniker,I$4,TF_Dato,$A242))*2,0)/2)))</f>
        <v/>
      </c>
      <c r="J242">
        <f>IF(OR(J$4="",$A242&gt;TODAY()),0,IF(OR(INDEX($B242:$D242,J$5)="F",AND(J$6&gt;0,$A242&lt;J$6),AND(J$7&gt;0,$A242&gt;J$7)),0,MAX(0,ROUND((INDEX($E242:$G242,J$5)-SUMIFS(TF_Timer,TF_Tekniker,J$4,TF_Dato,$A242))*2,0)/2)))</f>
        <v/>
      </c>
      <c r="K242">
        <f>IF(OR(K$4="",$A242&gt;TODAY()),0,IF(OR(INDEX($B242:$D242,K$5)="F",AND(K$6&gt;0,$A242&lt;K$6),AND(K$7&gt;0,$A242&gt;K$7)),0,MAX(0,ROUND((INDEX($E242:$G242,K$5)-SUMIFS(TF_Timer,TF_Tekniker,K$4,TF_Dato,$A242))*2,0)/2)))</f>
        <v/>
      </c>
      <c r="L242">
        <f>IF(OR(L$4="",$A242&gt;TODAY()),0,IF(OR(INDEX($B242:$D242,L$5)="F",AND(L$6&gt;0,$A242&lt;L$6),AND(L$7&gt;0,$A242&gt;L$7)),0,MAX(0,ROUND((INDEX($E242:$G242,L$5)-SUMIFS(TF_Timer,TF_Tekniker,L$4,TF_Dato,$A242))*2,0)/2)))</f>
        <v/>
      </c>
      <c r="M242">
        <f>IF(OR(M$4="",$A242&gt;TODAY()),0,IF(OR(INDEX($B242:$D242,M$5)="F",AND(M$6&gt;0,$A242&lt;M$6),AND(M$7&gt;0,$A242&gt;M$7)),0,MAX(0,ROUND((INDEX($E242:$G242,M$5)-SUMIFS(TF_Timer,TF_Tekniker,M$4,TF_Dato,$A242))*2,0)/2)))</f>
        <v/>
      </c>
      <c r="N242">
        <f>IF(OR(N$4="",$A242&gt;TODAY()),0,IF(OR(INDEX($B242:$D242,N$5)="F",AND(N$6&gt;0,$A242&lt;N$6),AND(N$7&gt;0,$A242&gt;N$7)),0,MAX(0,ROUND((INDEX($E242:$G242,N$5)-SUMIFS(TF_Timer,TF_Tekniker,N$4,TF_Dato,$A242))*2,0)/2)))</f>
        <v/>
      </c>
      <c r="O242">
        <f>IF(OR(O$4="",$A242&gt;TODAY()),0,IF(OR(INDEX($B242:$D242,O$5)="F",AND(O$6&gt;0,$A242&lt;O$6),AND(O$7&gt;0,$A242&gt;O$7)),0,MAX(0,ROUND((INDEX($E242:$G242,O$5)-SUMIFS(TF_Timer,TF_Tekniker,O$4,TF_Dato,$A242))*2,0)/2)))</f>
        <v/>
      </c>
      <c r="P242">
        <f>IF(OR(P$4="",$A242&gt;TODAY()),0,IF(OR(INDEX($B242:$D242,P$5)="F",AND(P$6&gt;0,$A242&lt;P$6),AND(P$7&gt;0,$A242&gt;P$7)),0,MAX(0,ROUND((INDEX($E242:$G242,P$5)-SUMIFS(TF_Timer,TF_Tekniker,P$4,TF_Dato,$A242))*2,0)/2)))</f>
        <v/>
      </c>
      <c r="Q242">
        <f>IF(OR(Q$4="",$A242&gt;TODAY()),0,IF(OR(INDEX($B242:$D242,Q$5)="F",AND(Q$6&gt;0,$A242&lt;Q$6),AND(Q$7&gt;0,$A242&gt;Q$7)),0,MAX(0,ROUND((INDEX($E242:$G242,Q$5)-SUMIFS(TF_Timer,TF_Tekniker,Q$4,TF_Dato,$A242))*2,0)/2)))</f>
        <v/>
      </c>
      <c r="R242">
        <f>IF(OR(R$4="",$A242&gt;TODAY()),0,IF(OR(INDEX($B242:$D242,R$5)="F",AND(R$6&gt;0,$A242&lt;R$6),AND(R$7&gt;0,$A242&gt;R$7)),0,MAX(0,ROUND((INDEX($E242:$G242,R$5)-SUMIFS(TF_Timer,TF_Tekniker,R$4,TF_Dato,$A242))*2,0)/2)))</f>
        <v/>
      </c>
      <c r="S242">
        <f>IF(OR(S$4="",$A242&gt;TODAY()),0,IF(OR(INDEX($B242:$D242,S$5)="F",AND(S$6&gt;0,$A242&lt;S$6),AND(S$7&gt;0,$A242&gt;S$7)),0,MAX(0,ROUND((INDEX($E242:$G242,S$5)-SUMIFS(TF_Timer,TF_Tekniker,S$4,TF_Dato,$A242))*2,0)/2)))</f>
        <v/>
      </c>
      <c r="T242">
        <f>IF(OR(T$4="",$A242&gt;TODAY()),0,IF(OR(INDEX($B242:$D242,T$5)="F",AND(T$6&gt;0,$A242&lt;T$6),AND(T$7&gt;0,$A242&gt;T$7)),0,MAX(0,ROUND((INDEX($E242:$G242,T$5)-SUMIFS(TF_Timer,TF_Tekniker,T$4,TF_Dato,$A242))*2,0)/2)))</f>
        <v/>
      </c>
      <c r="U242">
        <f>IF(OR(U$4="",$A242&gt;TODAY()),0,IF(OR(INDEX($B242:$D242,U$5)="F",AND(U$6&gt;0,$A242&lt;U$6),AND(U$7&gt;0,$A242&gt;U$7)),0,MAX(0,ROUND((INDEX($E242:$G242,U$5)-SUMIFS(TF_Timer,TF_Tekniker,U$4,TF_Dato,$A242))*2,0)/2)))</f>
        <v/>
      </c>
      <c r="V242">
        <f>IF(OR(V$4="",$A242&gt;TODAY()),0,IF(OR(INDEX($B242:$D242,V$5)="F",AND(V$6&gt;0,$A242&lt;V$6),AND(V$7&gt;0,$A242&gt;V$7)),0,MAX(0,ROUND((INDEX($E242:$G242,V$5)-SUMIFS(TF_Timer,TF_Tekniker,V$4,TF_Dato,$A242))*2,0)/2)))</f>
        <v/>
      </c>
      <c r="W242">
        <f>IF(OR(W$4="",$A242&gt;TODAY()),0,IF(OR(INDEX($B242:$D242,W$5)="F",AND(W$6&gt;0,$A242&lt;W$6),AND(W$7&gt;0,$A242&gt;W$7)),0,MAX(0,ROUND((INDEX($E242:$G242,W$5)-SUMIFS(TF_Timer,TF_Tekniker,W$4,TF_Dato,$A242))*2,0)/2)))</f>
        <v/>
      </c>
      <c r="X242">
        <f>IF(OR(X$4="",$A242&gt;TODAY()),0,IF(OR(INDEX($B242:$D242,X$5)="F",AND(X$6&gt;0,$A242&lt;X$6),AND(X$7&gt;0,$A242&gt;X$7)),0,MAX(0,ROUND((INDEX($E242:$G242,X$5)-SUMIFS(TF_Timer,TF_Tekniker,X$4,TF_Dato,$A242))*2,0)/2)))</f>
        <v/>
      </c>
      <c r="Y242">
        <f>IF(OR(Y$4="",$A242&gt;TODAY()),0,IF(OR(INDEX($B242:$D242,Y$5)="F",AND(Y$6&gt;0,$A242&lt;Y$6),AND(Y$7&gt;0,$A242&gt;Y$7)),0,MAX(0,ROUND((INDEX($E242:$G242,Y$5)-SUMIFS(TF_Timer,TF_Tekniker,Y$4,TF_Dato,$A242))*2,0)/2)))</f>
        <v/>
      </c>
      <c r="Z242">
        <f>IF(OR(Z$4="",$A242&gt;TODAY()),0,IF(OR(INDEX($B242:$D242,Z$5)="F",AND(Z$6&gt;0,$A242&lt;Z$6),AND(Z$7&gt;0,$A242&gt;Z$7)),0,MAX(0,ROUND((INDEX($E242:$G242,Z$5)-SUMIFS(TF_Timer,TF_Tekniker,Z$4,TF_Dato,$A242))*2,0)/2)))</f>
        <v/>
      </c>
      <c r="AA242">
        <f>IF(OR(AA$4="",$A242&gt;TODAY()),0,IF(OR(INDEX($B242:$D242,AA$5)="F",AND(AA$6&gt;0,$A242&lt;AA$6),AND(AA$7&gt;0,$A242&gt;AA$7)),0,MAX(0,ROUND((INDEX($E242:$G242,AA$5)-SUMIFS(TF_Timer,TF_Tekniker,AA$4,TF_Dato,$A242))*2,0)/2)))</f>
        <v/>
      </c>
      <c r="AB242">
        <f>IF(OR(AB$4="",$A242&gt;TODAY()),0,IF(OR(INDEX($B242:$D242,AB$5)="F",AND(AB$6&gt;0,$A242&lt;AB$6),AND(AB$7&gt;0,$A242&gt;AB$7)),0,MAX(0,ROUND((INDEX($E242:$G242,AB$5)-SUMIFS(TF_Timer,TF_Tekniker,AB$4,TF_Dato,$A242))*2,0)/2)))</f>
        <v/>
      </c>
      <c r="AC242">
        <f>IF(OR(AC$4="",$A242&gt;TODAY()),0,IF(OR(INDEX($B242:$D242,AC$5)="F",AND(AC$6&gt;0,$A242&lt;AC$6),AND(AC$7&gt;0,$A242&gt;AC$7)),0,MAX(0,ROUND((INDEX($E242:$G242,AC$5)-SUMIFS(TF_Timer,TF_Tekniker,AC$4,TF_Dato,$A242))*2,0)/2)))</f>
        <v/>
      </c>
      <c r="AD242">
        <f>IF(OR(AD$4="",$A242&gt;TODAY()),0,IF(OR(INDEX($B242:$D242,AD$5)="F",AND(AD$6&gt;0,$A242&lt;AD$6),AND(AD$7&gt;0,$A242&gt;AD$7)),0,MAX(0,ROUND((INDEX($E242:$G242,AD$5)-SUMIFS(TF_Timer,TF_Tekniker,AD$4,TF_Dato,$A242))*2,0)/2)))</f>
        <v/>
      </c>
      <c r="AE242">
        <f>IF(OR(AE$4="",$A242&gt;TODAY()),0,IF(OR(INDEX($B242:$D242,AE$5)="F",AND(AE$6&gt;0,$A242&lt;AE$6),AND(AE$7&gt;0,$A242&gt;AE$7)),0,MAX(0,ROUND((INDEX($E242:$G242,AE$5)-SUMIFS(TF_Timer,TF_Tekniker,AE$4,TF_Dato,$A242))*2,0)/2)))</f>
        <v/>
      </c>
      <c r="AF242">
        <f>IF(OR(AF$4="",$A242&gt;TODAY()),0,IF(OR(INDEX($B242:$D242,AF$5)="F",AND(AF$6&gt;0,$A242&lt;AF$6),AND(AF$7&gt;0,$A242&gt;AF$7)),0,MAX(0,ROUND((INDEX($E242:$G242,AF$5)-SUMIFS(TF_Timer,TF_Tekniker,AF$4,TF_Dato,$A242))*2,0)/2)))</f>
        <v/>
      </c>
      <c r="AG242">
        <f>IF(OR(AG$4="",$A242&gt;TODAY()),0,IF(OR(INDEX($B242:$D242,AG$5)="F",AND(AG$6&gt;0,$A242&lt;AG$6),AND(AG$7&gt;0,$A242&gt;AG$7)),0,MAX(0,ROUND((INDEX($E242:$G242,AG$5)-SUMIFS(TF_Timer,TF_Tekniker,AG$4,TF_Dato,$A242))*2,0)/2)))</f>
        <v/>
      </c>
      <c r="AH242">
        <f>IF(OR(AH$4="",$A242&gt;TODAY()),0,IF(OR(INDEX($B242:$D242,AH$5)="F",AND(AH$6&gt;0,$A242&lt;AH$6),AND(AH$7&gt;0,$A242&gt;AH$7)),0,MAX(0,ROUND((INDEX($E242:$G242,AH$5)-SUMIFS(TF_Timer,TF_Tekniker,AH$4,TF_Dato,$A242))*2,0)/2)))</f>
        <v/>
      </c>
      <c r="AI242">
        <f>IF(OR(AI$4="",$A242&gt;TODAY()),0,IF(OR(INDEX($B242:$D242,AI$5)="F",AND(AI$6&gt;0,$A242&lt;AI$6),AND(AI$7&gt;0,$A242&gt;AI$7)),0,MAX(0,ROUND((INDEX($E242:$G242,AI$5)-SUMIFS(TF_Timer,TF_Tekniker,AI$4,TF_Dato,$A242))*2,0)/2)))</f>
        <v/>
      </c>
      <c r="AJ242">
        <f>IF(OR(AJ$4="",$A242&gt;TODAY()),0,IF(OR(INDEX($B242:$D242,AJ$5)="F",AND(AJ$6&gt;0,$A242&lt;AJ$6),AND(AJ$7&gt;0,$A242&gt;AJ$7)),0,MAX(0,ROUND((INDEX($E242:$G242,AJ$5)-SUMIFS(TF_Timer,TF_Tekniker,AJ$4,TF_Dato,$A242))*2,0)/2)))</f>
        <v/>
      </c>
      <c r="AK242">
        <f>IF(OR(AK$4="",$A242&gt;TODAY()),0,IF(OR(INDEX($B242:$D242,AK$5)="F",AND(AK$6&gt;0,$A242&lt;AK$6),AND(AK$7&gt;0,$A242&gt;AK$7)),0,MAX(0,ROUND((INDEX($E242:$G242,AK$5)-SUMIFS(TF_Timer,TF_Tekniker,AK$4,TF_Dato,$A242))*2,0)/2)))</f>
        <v/>
      </c>
      <c r="AL242">
        <f>IF(OR(AL$4="",$A242&gt;TODAY()),0,IF(OR(INDEX($B242:$D242,AL$5)="F",AND(AL$6&gt;0,$A242&lt;AL$6),AND(AL$7&gt;0,$A242&gt;AL$7)),0,MAX(0,ROUND((INDEX($E242:$G242,AL$5)-SUMIFS(TF_Timer,TF_Tekniker,AL$4,TF_Dato,$A242))*2,0)/2)))</f>
        <v/>
      </c>
      <c r="AM242">
        <f>IF(OR(AM$4="",$A242&gt;TODAY()),0,IF(OR(INDEX($B242:$D242,AM$5)="F",AND(AM$6&gt;0,$A242&lt;AM$6),AND(AM$7&gt;0,$A242&gt;AM$7)),0,MAX(0,ROUND((INDEX($E242:$G242,AM$5)-SUMIFS(TF_Timer,TF_Tekniker,AM$4,TF_Dato,$A242))*2,0)/2)))</f>
        <v/>
      </c>
      <c r="AN242">
        <f>IF(OR(AN$4="",$A242&gt;TODAY()),0,IF(OR(INDEX($B242:$D242,AN$5)="F",AND(AN$6&gt;0,$A242&lt;AN$6),AND(AN$7&gt;0,$A242&gt;AN$7)),0,MAX(0,ROUND((INDEX($E242:$G242,AN$5)-SUMIFS(TF_Timer,TF_Tekniker,AN$4,TF_Dato,$A242))*2,0)/2)))</f>
        <v/>
      </c>
      <c r="AO242">
        <f>IF(OR(AO$4="",$A242&gt;TODAY()),0,IF(OR(INDEX($B242:$D242,AO$5)="F",AND(AO$6&gt;0,$A242&lt;AO$6),AND(AO$7&gt;0,$A242&gt;AO$7)),0,MAX(0,ROUND((INDEX($E242:$G242,AO$5)-SUMIFS(TF_Timer,TF_Tekniker,AO$4,TF_Dato,$A242))*2,0)/2)))</f>
        <v/>
      </c>
      <c r="AP242">
        <f>IF(OR(AP$4="",$A242&gt;TODAY()),0,IF(OR(INDEX($B242:$D242,AP$5)="F",AND(AP$6&gt;0,$A242&lt;AP$6),AND(AP$7&gt;0,$A242&gt;AP$7)),0,MAX(0,ROUND((INDEX($E242:$G242,AP$5)-SUMIFS(TF_Timer,TF_Tekniker,AP$4,TF_Dato,$A242))*2,0)/2)))</f>
        <v/>
      </c>
      <c r="AQ242">
        <f>IF(OR(AQ$4="",$A242&gt;TODAY()),0,IF(OR(INDEX($B242:$D242,AQ$5)="F",AND(AQ$6&gt;0,$A242&lt;AQ$6),AND(AQ$7&gt;0,$A242&gt;AQ$7)),0,MAX(0,ROUND((INDEX($E242:$G242,AQ$5)-SUMIFS(TF_Timer,TF_Tekniker,AQ$4,TF_Dato,$A242))*2,0)/2)))</f>
        <v/>
      </c>
      <c r="AR242">
        <f>IF(OR(AR$4="",$A242&gt;TODAY()),0,IF(OR(INDEX($B242:$D242,AR$5)="F",AND(AR$6&gt;0,$A242&lt;AR$6),AND(AR$7&gt;0,$A242&gt;AR$7)),0,MAX(0,ROUND((INDEX($E242:$G242,AR$5)-SUMIFS(TF_Timer,TF_Tekniker,AR$4,TF_Dato,$A242))*2,0)/2)))</f>
        <v/>
      </c>
      <c r="AS242">
        <f>IF(OR(AS$4="",$A242&gt;TODAY()),0,IF(OR(INDEX($B242:$D242,AS$5)="F",AND(AS$6&gt;0,$A242&lt;AS$6),AND(AS$7&gt;0,$A242&gt;AS$7)),0,MAX(0,ROUND((INDEX($E242:$G242,AS$5)-SUMIFS(TF_Timer,TF_Tekniker,AS$4,TF_Dato,$A242))*2,0)/2)))</f>
        <v/>
      </c>
      <c r="AT242">
        <f>IF(OR(AT$4="",$A242&gt;TODAY()),0,IF(OR(INDEX($B242:$D242,AT$5)="F",AND(AT$6&gt;0,$A242&lt;AT$6),AND(AT$7&gt;0,$A242&gt;AT$7)),0,MAX(0,ROUND((INDEX($E242:$G242,AT$5)-SUMIFS(TF_Timer,TF_Tekniker,AT$4,TF_Dato,$A242))*2,0)/2)))</f>
        <v/>
      </c>
      <c r="AU242">
        <f>IF(OR(AU$4="",$A242&gt;TODAY()),0,IF(OR(INDEX($B242:$D242,AU$5)="F",AND(AU$6&gt;0,$A242&lt;AU$6),AND(AU$7&gt;0,$A242&gt;AU$7)),0,MAX(0,ROUND((INDEX($E242:$G242,AU$5)-SUMIFS(TF_Timer,TF_Tekniker,AU$4,TF_Dato,$A242))*2,0)/2)))</f>
        <v/>
      </c>
      <c r="AV242">
        <f>IF(OR(AV$4="",$A242&gt;TODAY()),0,IF(OR(INDEX($B242:$D242,AV$5)="F",AND(AV$6&gt;0,$A242&lt;AV$6),AND(AV$7&gt;0,$A242&gt;AV$7)),0,MAX(0,ROUND((INDEX($E242:$G242,AV$5)-SUMIFS(TF_Timer,TF_Tekniker,AV$4,TF_Dato,$A242))*2,0)/2)))</f>
        <v/>
      </c>
      <c r="AW242">
        <f>IF(OR(AW$4="",$A242&gt;TODAY()),0,IF(OR(INDEX($B242:$D242,AW$5)="F",AND(AW$6&gt;0,$A242&lt;AW$6),AND(AW$7&gt;0,$A242&gt;AW$7)),0,MAX(0,ROUND((INDEX($E242:$G242,AW$5)-SUMIFS(TF_Timer,TF_Tekniker,AW$4,TF_Dato,$A242))*2,0)/2)))</f>
        <v/>
      </c>
      <c r="AX242">
        <f>IF(OR(AX$4="",$A242&gt;TODAY()),0,IF(OR(INDEX($B242:$D242,AX$5)="F",AND(AX$6&gt;0,$A242&lt;AX$6),AND(AX$7&gt;0,$A242&gt;AX$7)),0,MAX(0,ROUND((INDEX($E242:$G242,AX$5)-SUMIFS(TF_Timer,TF_Tekniker,AX$4,TF_Dato,$A242))*2,0)/2)))</f>
        <v/>
      </c>
      <c r="AY242">
        <f>IF(OR(AY$4="",$A242&gt;TODAY()),0,IF(OR(INDEX($B242:$D242,AY$5)="F",AND(AY$6&gt;0,$A242&lt;AY$6),AND(AY$7&gt;0,$A242&gt;AY$7)),0,MAX(0,ROUND((INDEX($E242:$G242,AY$5)-SUMIFS(TF_Timer,TF_Tekniker,AY$4,TF_Dato,$A242))*2,0)/2)))</f>
        <v/>
      </c>
      <c r="AZ242">
        <f>IF(OR(AZ$4="",$A242&gt;TODAY()),0,IF(OR(INDEX($B242:$D242,AZ$5)="F",AND(AZ$6&gt;0,$A242&lt;AZ$6),AND(AZ$7&gt;0,$A242&gt;AZ$7)),0,MAX(0,ROUND((INDEX($E242:$G242,AZ$5)-SUMIFS(TF_Timer,TF_Tekniker,AZ$4,TF_Dato,$A242))*2,0)/2)))</f>
        <v/>
      </c>
      <c r="BA242">
        <f>IF(OR(BA$4="",$A242&gt;TODAY()),0,IF(OR(INDEX($B242:$D242,BA$5)="F",AND(BA$6&gt;0,$A242&lt;BA$6),AND(BA$7&gt;0,$A242&gt;BA$7)),0,MAX(0,ROUND((INDEX($E242:$G242,BA$5)-SUMIFS(TF_Timer,TF_Tekniker,BA$4,TF_Dato,$A242))*2,0)/2)))</f>
        <v/>
      </c>
      <c r="BB242">
        <f>IF(OR(BB$4="",$A242&gt;TODAY()),0,IF(OR(INDEX($B242:$D242,BB$5)="F",AND(BB$6&gt;0,$A242&lt;BB$6),AND(BB$7&gt;0,$A242&gt;BB$7)),0,MAX(0,ROUND((INDEX($E242:$G242,BB$5)-SUMIFS(TF_Timer,TF_Tekniker,BB$4,TF_Dato,$A242))*2,0)/2)))</f>
        <v/>
      </c>
      <c r="BC242">
        <f>IF(OR(BC$4="",$A242&gt;TODAY()),0,IF(OR(INDEX($B242:$D242,BC$5)="F",AND(BC$6&gt;0,$A242&lt;BC$6),AND(BC$7&gt;0,$A242&gt;BC$7)),0,MAX(0,ROUND((INDEX($E242:$G242,BC$5)-SUMIFS(TF_Timer,TF_Tekniker,BC$4,TF_Dato,$A242))*2,0)/2)))</f>
        <v/>
      </c>
      <c r="BD242">
        <f>IF(OR(BD$4="",$A242&gt;TODAY()),0,IF(OR(INDEX($B242:$D242,BD$5)="F",AND(BD$6&gt;0,$A242&lt;BD$6),AND(BD$7&gt;0,$A242&gt;BD$7)),0,MAX(0,ROUND((INDEX($E242:$G242,BD$5)-SUMIFS(TF_Timer,TF_Tekniker,BD$4,TF_Dato,$A242))*2,0)/2)))</f>
        <v/>
      </c>
      <c r="BE242">
        <f>IF(OR(BE$4="",$A242&gt;TODAY()),0,IF(OR(INDEX($B242:$D242,BE$5)="F",AND(BE$6&gt;0,$A242&lt;BE$6),AND(BE$7&gt;0,$A242&gt;BE$7)),0,MAX(0,ROUND((INDEX($E242:$G242,BE$5)-SUMIFS(TF_Timer,TF_Tekniker,BE$4,TF_Dato,$A242))*2,0)/2)))</f>
        <v/>
      </c>
      <c r="BF242">
        <f>IF(OR(BF$4="",$A242&gt;TODAY()),0,IF(OR(INDEX($B242:$D242,BF$5)="F",AND(BF$6&gt;0,$A242&lt;BF$6),AND(BF$7&gt;0,$A242&gt;BF$7)),0,MAX(0,ROUND((INDEX($E242:$G242,BF$5)-SUMIFS(TF_Timer,TF_Tekniker,BF$4,TF_Dato,$A242))*2,0)/2)))</f>
        <v/>
      </c>
      <c r="BG242">
        <f>IF(OR(BG$4="",$A242&gt;TODAY()),0,IF(OR(INDEX($B242:$D242,BG$5)="F",AND(BG$6&gt;0,$A242&lt;BG$6),AND(BG$7&gt;0,$A242&gt;BG$7)),0,MAX(0,ROUND((INDEX($E242:$G242,BG$5)-SUMIFS(TF_Timer,TF_Tekniker,BG$4,TF_Dato,$A242))*2,0)/2)))</f>
        <v/>
      </c>
      <c r="BH242">
        <f>IF(OR(BH$4="",$A242&gt;TODAY()),0,IF(OR(INDEX($B242:$D242,BH$5)="F",AND(BH$6&gt;0,$A242&lt;BH$6),AND(BH$7&gt;0,$A242&gt;BH$7)),0,MAX(0,ROUND((INDEX($E242:$G242,BH$5)-SUMIFS(TF_Timer,TF_Tekniker,BH$4,TF_Dato,$A242))*2,0)/2)))</f>
        <v/>
      </c>
      <c r="BI242">
        <f>IF(OR(BI$4="",$A242&gt;TODAY()),0,IF(OR(INDEX($B242:$D242,BI$5)="F",AND(BI$6&gt;0,$A242&lt;BI$6),AND(BI$7&gt;0,$A242&gt;BI$7)),0,MAX(0,ROUND((INDEX($E242:$G242,BI$5)-SUMIFS(TF_Timer,TF_Tekniker,BI$4,TF_Dato,$A242))*2,0)/2)))</f>
        <v/>
      </c>
    </row>
    <row r="243">
      <c r="A243" s="64">
        <f>A242+1</f>
        <v/>
      </c>
      <c r="B243">
        <f>IF(MOD($A243-INDEX(SkiftStart,1),Syklus)&lt;DagK,"K",IF(MOD($A243-INDEX(SkiftStart,1),Syklus)&lt;DagK+DagH,"H",IF(MOD($A243-INDEX(SkiftStart,1),Syklus)&lt;DagK+DagH+DagD,"D","F")))</f>
        <v/>
      </c>
      <c r="C243">
        <f>IF(MOD($A243-INDEX(SkiftStart,2),Syklus)&lt;DagK,"K",IF(MOD($A243-INDEX(SkiftStart,2),Syklus)&lt;DagK+DagH,"H",IF(MOD($A243-INDEX(SkiftStart,2),Syklus)&lt;DagK+DagH+DagD,"D","F")))</f>
        <v/>
      </c>
      <c r="D243">
        <f>IF(MOD($A243-INDEX(SkiftStart,3),Syklus)&lt;DagK,"K",IF(MOD($A243-INDEX(SkiftStart,3),Syklus)&lt;DagK+DagH,"H",IF(MOD($A243-INDEX(SkiftStart,3),Syklus)&lt;DagK+DagH+DagD,"D","F")))</f>
        <v/>
      </c>
      <c r="E243">
        <f>IF(B243="F",0,IF(WEEKDAY($A243,2)=5,INDEX(TimerFr,MATCH(B243,FaseKode,0)),INDEX(TimerMT,MATCH(B243,FaseKode,0))))</f>
        <v/>
      </c>
      <c r="F243">
        <f>IF(C243="F",0,IF(WEEKDAY($A243,2)=5,INDEX(TimerFr,MATCH(C243,FaseKode,0)),INDEX(TimerMT,MATCH(C243,FaseKode,0))))</f>
        <v/>
      </c>
      <c r="G243">
        <f>IF(D243="F",0,IF(WEEKDAY($A243,2)=5,INDEX(TimerFr,MATCH(D243,FaseKode,0)),INDEX(TimerMT,MATCH(D243,FaseKode,0))))</f>
        <v/>
      </c>
      <c r="H243">
        <f>IF(OR(H$4="",$A243&gt;TODAY()),0,IF(OR(INDEX($B243:$D243,H$5)="F",AND(H$6&gt;0,$A243&lt;H$6),AND(H$7&gt;0,$A243&gt;H$7)),0,MAX(0,ROUND((INDEX($E243:$G243,H$5)-SUMIFS(TF_Timer,TF_Tekniker,H$4,TF_Dato,$A243))*2,0)/2)))</f>
        <v/>
      </c>
      <c r="I243">
        <f>IF(OR(I$4="",$A243&gt;TODAY()),0,IF(OR(INDEX($B243:$D243,I$5)="F",AND(I$6&gt;0,$A243&lt;I$6),AND(I$7&gt;0,$A243&gt;I$7)),0,MAX(0,ROUND((INDEX($E243:$G243,I$5)-SUMIFS(TF_Timer,TF_Tekniker,I$4,TF_Dato,$A243))*2,0)/2)))</f>
        <v/>
      </c>
      <c r="J243">
        <f>IF(OR(J$4="",$A243&gt;TODAY()),0,IF(OR(INDEX($B243:$D243,J$5)="F",AND(J$6&gt;0,$A243&lt;J$6),AND(J$7&gt;0,$A243&gt;J$7)),0,MAX(0,ROUND((INDEX($E243:$G243,J$5)-SUMIFS(TF_Timer,TF_Tekniker,J$4,TF_Dato,$A243))*2,0)/2)))</f>
        <v/>
      </c>
      <c r="K243">
        <f>IF(OR(K$4="",$A243&gt;TODAY()),0,IF(OR(INDEX($B243:$D243,K$5)="F",AND(K$6&gt;0,$A243&lt;K$6),AND(K$7&gt;0,$A243&gt;K$7)),0,MAX(0,ROUND((INDEX($E243:$G243,K$5)-SUMIFS(TF_Timer,TF_Tekniker,K$4,TF_Dato,$A243))*2,0)/2)))</f>
        <v/>
      </c>
      <c r="L243">
        <f>IF(OR(L$4="",$A243&gt;TODAY()),0,IF(OR(INDEX($B243:$D243,L$5)="F",AND(L$6&gt;0,$A243&lt;L$6),AND(L$7&gt;0,$A243&gt;L$7)),0,MAX(0,ROUND((INDEX($E243:$G243,L$5)-SUMIFS(TF_Timer,TF_Tekniker,L$4,TF_Dato,$A243))*2,0)/2)))</f>
        <v/>
      </c>
      <c r="M243">
        <f>IF(OR(M$4="",$A243&gt;TODAY()),0,IF(OR(INDEX($B243:$D243,M$5)="F",AND(M$6&gt;0,$A243&lt;M$6),AND(M$7&gt;0,$A243&gt;M$7)),0,MAX(0,ROUND((INDEX($E243:$G243,M$5)-SUMIFS(TF_Timer,TF_Tekniker,M$4,TF_Dato,$A243))*2,0)/2)))</f>
        <v/>
      </c>
      <c r="N243">
        <f>IF(OR(N$4="",$A243&gt;TODAY()),0,IF(OR(INDEX($B243:$D243,N$5)="F",AND(N$6&gt;0,$A243&lt;N$6),AND(N$7&gt;0,$A243&gt;N$7)),0,MAX(0,ROUND((INDEX($E243:$G243,N$5)-SUMIFS(TF_Timer,TF_Tekniker,N$4,TF_Dato,$A243))*2,0)/2)))</f>
        <v/>
      </c>
      <c r="O243">
        <f>IF(OR(O$4="",$A243&gt;TODAY()),0,IF(OR(INDEX($B243:$D243,O$5)="F",AND(O$6&gt;0,$A243&lt;O$6),AND(O$7&gt;0,$A243&gt;O$7)),0,MAX(0,ROUND((INDEX($E243:$G243,O$5)-SUMIFS(TF_Timer,TF_Tekniker,O$4,TF_Dato,$A243))*2,0)/2)))</f>
        <v/>
      </c>
      <c r="P243">
        <f>IF(OR(P$4="",$A243&gt;TODAY()),0,IF(OR(INDEX($B243:$D243,P$5)="F",AND(P$6&gt;0,$A243&lt;P$6),AND(P$7&gt;0,$A243&gt;P$7)),0,MAX(0,ROUND((INDEX($E243:$G243,P$5)-SUMIFS(TF_Timer,TF_Tekniker,P$4,TF_Dato,$A243))*2,0)/2)))</f>
        <v/>
      </c>
      <c r="Q243">
        <f>IF(OR(Q$4="",$A243&gt;TODAY()),0,IF(OR(INDEX($B243:$D243,Q$5)="F",AND(Q$6&gt;0,$A243&lt;Q$6),AND(Q$7&gt;0,$A243&gt;Q$7)),0,MAX(0,ROUND((INDEX($E243:$G243,Q$5)-SUMIFS(TF_Timer,TF_Tekniker,Q$4,TF_Dato,$A243))*2,0)/2)))</f>
        <v/>
      </c>
      <c r="R243">
        <f>IF(OR(R$4="",$A243&gt;TODAY()),0,IF(OR(INDEX($B243:$D243,R$5)="F",AND(R$6&gt;0,$A243&lt;R$6),AND(R$7&gt;0,$A243&gt;R$7)),0,MAX(0,ROUND((INDEX($E243:$G243,R$5)-SUMIFS(TF_Timer,TF_Tekniker,R$4,TF_Dato,$A243))*2,0)/2)))</f>
        <v/>
      </c>
      <c r="S243">
        <f>IF(OR(S$4="",$A243&gt;TODAY()),0,IF(OR(INDEX($B243:$D243,S$5)="F",AND(S$6&gt;0,$A243&lt;S$6),AND(S$7&gt;0,$A243&gt;S$7)),0,MAX(0,ROUND((INDEX($E243:$G243,S$5)-SUMIFS(TF_Timer,TF_Tekniker,S$4,TF_Dato,$A243))*2,0)/2)))</f>
        <v/>
      </c>
      <c r="T243">
        <f>IF(OR(T$4="",$A243&gt;TODAY()),0,IF(OR(INDEX($B243:$D243,T$5)="F",AND(T$6&gt;0,$A243&lt;T$6),AND(T$7&gt;0,$A243&gt;T$7)),0,MAX(0,ROUND((INDEX($E243:$G243,T$5)-SUMIFS(TF_Timer,TF_Tekniker,T$4,TF_Dato,$A243))*2,0)/2)))</f>
        <v/>
      </c>
      <c r="U243">
        <f>IF(OR(U$4="",$A243&gt;TODAY()),0,IF(OR(INDEX($B243:$D243,U$5)="F",AND(U$6&gt;0,$A243&lt;U$6),AND(U$7&gt;0,$A243&gt;U$7)),0,MAX(0,ROUND((INDEX($E243:$G243,U$5)-SUMIFS(TF_Timer,TF_Tekniker,U$4,TF_Dato,$A243))*2,0)/2)))</f>
        <v/>
      </c>
      <c r="V243">
        <f>IF(OR(V$4="",$A243&gt;TODAY()),0,IF(OR(INDEX($B243:$D243,V$5)="F",AND(V$6&gt;0,$A243&lt;V$6),AND(V$7&gt;0,$A243&gt;V$7)),0,MAX(0,ROUND((INDEX($E243:$G243,V$5)-SUMIFS(TF_Timer,TF_Tekniker,V$4,TF_Dato,$A243))*2,0)/2)))</f>
        <v/>
      </c>
      <c r="W243">
        <f>IF(OR(W$4="",$A243&gt;TODAY()),0,IF(OR(INDEX($B243:$D243,W$5)="F",AND(W$6&gt;0,$A243&lt;W$6),AND(W$7&gt;0,$A243&gt;W$7)),0,MAX(0,ROUND((INDEX($E243:$G243,W$5)-SUMIFS(TF_Timer,TF_Tekniker,W$4,TF_Dato,$A243))*2,0)/2)))</f>
        <v/>
      </c>
      <c r="X243">
        <f>IF(OR(X$4="",$A243&gt;TODAY()),0,IF(OR(INDEX($B243:$D243,X$5)="F",AND(X$6&gt;0,$A243&lt;X$6),AND(X$7&gt;0,$A243&gt;X$7)),0,MAX(0,ROUND((INDEX($E243:$G243,X$5)-SUMIFS(TF_Timer,TF_Tekniker,X$4,TF_Dato,$A243))*2,0)/2)))</f>
        <v/>
      </c>
      <c r="Y243">
        <f>IF(OR(Y$4="",$A243&gt;TODAY()),0,IF(OR(INDEX($B243:$D243,Y$5)="F",AND(Y$6&gt;0,$A243&lt;Y$6),AND(Y$7&gt;0,$A243&gt;Y$7)),0,MAX(0,ROUND((INDEX($E243:$G243,Y$5)-SUMIFS(TF_Timer,TF_Tekniker,Y$4,TF_Dato,$A243))*2,0)/2)))</f>
        <v/>
      </c>
      <c r="Z243">
        <f>IF(OR(Z$4="",$A243&gt;TODAY()),0,IF(OR(INDEX($B243:$D243,Z$5)="F",AND(Z$6&gt;0,$A243&lt;Z$6),AND(Z$7&gt;0,$A243&gt;Z$7)),0,MAX(0,ROUND((INDEX($E243:$G243,Z$5)-SUMIFS(TF_Timer,TF_Tekniker,Z$4,TF_Dato,$A243))*2,0)/2)))</f>
        <v/>
      </c>
      <c r="AA243">
        <f>IF(OR(AA$4="",$A243&gt;TODAY()),0,IF(OR(INDEX($B243:$D243,AA$5)="F",AND(AA$6&gt;0,$A243&lt;AA$6),AND(AA$7&gt;0,$A243&gt;AA$7)),0,MAX(0,ROUND((INDEX($E243:$G243,AA$5)-SUMIFS(TF_Timer,TF_Tekniker,AA$4,TF_Dato,$A243))*2,0)/2)))</f>
        <v/>
      </c>
      <c r="AB243">
        <f>IF(OR(AB$4="",$A243&gt;TODAY()),0,IF(OR(INDEX($B243:$D243,AB$5)="F",AND(AB$6&gt;0,$A243&lt;AB$6),AND(AB$7&gt;0,$A243&gt;AB$7)),0,MAX(0,ROUND((INDEX($E243:$G243,AB$5)-SUMIFS(TF_Timer,TF_Tekniker,AB$4,TF_Dato,$A243))*2,0)/2)))</f>
        <v/>
      </c>
      <c r="AC243">
        <f>IF(OR(AC$4="",$A243&gt;TODAY()),0,IF(OR(INDEX($B243:$D243,AC$5)="F",AND(AC$6&gt;0,$A243&lt;AC$6),AND(AC$7&gt;0,$A243&gt;AC$7)),0,MAX(0,ROUND((INDEX($E243:$G243,AC$5)-SUMIFS(TF_Timer,TF_Tekniker,AC$4,TF_Dato,$A243))*2,0)/2)))</f>
        <v/>
      </c>
      <c r="AD243">
        <f>IF(OR(AD$4="",$A243&gt;TODAY()),0,IF(OR(INDEX($B243:$D243,AD$5)="F",AND(AD$6&gt;0,$A243&lt;AD$6),AND(AD$7&gt;0,$A243&gt;AD$7)),0,MAX(0,ROUND((INDEX($E243:$G243,AD$5)-SUMIFS(TF_Timer,TF_Tekniker,AD$4,TF_Dato,$A243))*2,0)/2)))</f>
        <v/>
      </c>
      <c r="AE243">
        <f>IF(OR(AE$4="",$A243&gt;TODAY()),0,IF(OR(INDEX($B243:$D243,AE$5)="F",AND(AE$6&gt;0,$A243&lt;AE$6),AND(AE$7&gt;0,$A243&gt;AE$7)),0,MAX(0,ROUND((INDEX($E243:$G243,AE$5)-SUMIFS(TF_Timer,TF_Tekniker,AE$4,TF_Dato,$A243))*2,0)/2)))</f>
        <v/>
      </c>
      <c r="AF243">
        <f>IF(OR(AF$4="",$A243&gt;TODAY()),0,IF(OR(INDEX($B243:$D243,AF$5)="F",AND(AF$6&gt;0,$A243&lt;AF$6),AND(AF$7&gt;0,$A243&gt;AF$7)),0,MAX(0,ROUND((INDEX($E243:$G243,AF$5)-SUMIFS(TF_Timer,TF_Tekniker,AF$4,TF_Dato,$A243))*2,0)/2)))</f>
        <v/>
      </c>
      <c r="AG243">
        <f>IF(OR(AG$4="",$A243&gt;TODAY()),0,IF(OR(INDEX($B243:$D243,AG$5)="F",AND(AG$6&gt;0,$A243&lt;AG$6),AND(AG$7&gt;0,$A243&gt;AG$7)),0,MAX(0,ROUND((INDEX($E243:$G243,AG$5)-SUMIFS(TF_Timer,TF_Tekniker,AG$4,TF_Dato,$A243))*2,0)/2)))</f>
        <v/>
      </c>
      <c r="AH243">
        <f>IF(OR(AH$4="",$A243&gt;TODAY()),0,IF(OR(INDEX($B243:$D243,AH$5)="F",AND(AH$6&gt;0,$A243&lt;AH$6),AND(AH$7&gt;0,$A243&gt;AH$7)),0,MAX(0,ROUND((INDEX($E243:$G243,AH$5)-SUMIFS(TF_Timer,TF_Tekniker,AH$4,TF_Dato,$A243))*2,0)/2)))</f>
        <v/>
      </c>
      <c r="AI243">
        <f>IF(OR(AI$4="",$A243&gt;TODAY()),0,IF(OR(INDEX($B243:$D243,AI$5)="F",AND(AI$6&gt;0,$A243&lt;AI$6),AND(AI$7&gt;0,$A243&gt;AI$7)),0,MAX(0,ROUND((INDEX($E243:$G243,AI$5)-SUMIFS(TF_Timer,TF_Tekniker,AI$4,TF_Dato,$A243))*2,0)/2)))</f>
        <v/>
      </c>
      <c r="AJ243">
        <f>IF(OR(AJ$4="",$A243&gt;TODAY()),0,IF(OR(INDEX($B243:$D243,AJ$5)="F",AND(AJ$6&gt;0,$A243&lt;AJ$6),AND(AJ$7&gt;0,$A243&gt;AJ$7)),0,MAX(0,ROUND((INDEX($E243:$G243,AJ$5)-SUMIFS(TF_Timer,TF_Tekniker,AJ$4,TF_Dato,$A243))*2,0)/2)))</f>
        <v/>
      </c>
      <c r="AK243">
        <f>IF(OR(AK$4="",$A243&gt;TODAY()),0,IF(OR(INDEX($B243:$D243,AK$5)="F",AND(AK$6&gt;0,$A243&lt;AK$6),AND(AK$7&gt;0,$A243&gt;AK$7)),0,MAX(0,ROUND((INDEX($E243:$G243,AK$5)-SUMIFS(TF_Timer,TF_Tekniker,AK$4,TF_Dato,$A243))*2,0)/2)))</f>
        <v/>
      </c>
      <c r="AL243">
        <f>IF(OR(AL$4="",$A243&gt;TODAY()),0,IF(OR(INDEX($B243:$D243,AL$5)="F",AND(AL$6&gt;0,$A243&lt;AL$6),AND(AL$7&gt;0,$A243&gt;AL$7)),0,MAX(0,ROUND((INDEX($E243:$G243,AL$5)-SUMIFS(TF_Timer,TF_Tekniker,AL$4,TF_Dato,$A243))*2,0)/2)))</f>
        <v/>
      </c>
      <c r="AM243">
        <f>IF(OR(AM$4="",$A243&gt;TODAY()),0,IF(OR(INDEX($B243:$D243,AM$5)="F",AND(AM$6&gt;0,$A243&lt;AM$6),AND(AM$7&gt;0,$A243&gt;AM$7)),0,MAX(0,ROUND((INDEX($E243:$G243,AM$5)-SUMIFS(TF_Timer,TF_Tekniker,AM$4,TF_Dato,$A243))*2,0)/2)))</f>
        <v/>
      </c>
      <c r="AN243">
        <f>IF(OR(AN$4="",$A243&gt;TODAY()),0,IF(OR(INDEX($B243:$D243,AN$5)="F",AND(AN$6&gt;0,$A243&lt;AN$6),AND(AN$7&gt;0,$A243&gt;AN$7)),0,MAX(0,ROUND((INDEX($E243:$G243,AN$5)-SUMIFS(TF_Timer,TF_Tekniker,AN$4,TF_Dato,$A243))*2,0)/2)))</f>
        <v/>
      </c>
      <c r="AO243">
        <f>IF(OR(AO$4="",$A243&gt;TODAY()),0,IF(OR(INDEX($B243:$D243,AO$5)="F",AND(AO$6&gt;0,$A243&lt;AO$6),AND(AO$7&gt;0,$A243&gt;AO$7)),0,MAX(0,ROUND((INDEX($E243:$G243,AO$5)-SUMIFS(TF_Timer,TF_Tekniker,AO$4,TF_Dato,$A243))*2,0)/2)))</f>
        <v/>
      </c>
      <c r="AP243">
        <f>IF(OR(AP$4="",$A243&gt;TODAY()),0,IF(OR(INDEX($B243:$D243,AP$5)="F",AND(AP$6&gt;0,$A243&lt;AP$6),AND(AP$7&gt;0,$A243&gt;AP$7)),0,MAX(0,ROUND((INDEX($E243:$G243,AP$5)-SUMIFS(TF_Timer,TF_Tekniker,AP$4,TF_Dato,$A243))*2,0)/2)))</f>
        <v/>
      </c>
      <c r="AQ243">
        <f>IF(OR(AQ$4="",$A243&gt;TODAY()),0,IF(OR(INDEX($B243:$D243,AQ$5)="F",AND(AQ$6&gt;0,$A243&lt;AQ$6),AND(AQ$7&gt;0,$A243&gt;AQ$7)),0,MAX(0,ROUND((INDEX($E243:$G243,AQ$5)-SUMIFS(TF_Timer,TF_Tekniker,AQ$4,TF_Dato,$A243))*2,0)/2)))</f>
        <v/>
      </c>
      <c r="AR243">
        <f>IF(OR(AR$4="",$A243&gt;TODAY()),0,IF(OR(INDEX($B243:$D243,AR$5)="F",AND(AR$6&gt;0,$A243&lt;AR$6),AND(AR$7&gt;0,$A243&gt;AR$7)),0,MAX(0,ROUND((INDEX($E243:$G243,AR$5)-SUMIFS(TF_Timer,TF_Tekniker,AR$4,TF_Dato,$A243))*2,0)/2)))</f>
        <v/>
      </c>
      <c r="AS243">
        <f>IF(OR(AS$4="",$A243&gt;TODAY()),0,IF(OR(INDEX($B243:$D243,AS$5)="F",AND(AS$6&gt;0,$A243&lt;AS$6),AND(AS$7&gt;0,$A243&gt;AS$7)),0,MAX(0,ROUND((INDEX($E243:$G243,AS$5)-SUMIFS(TF_Timer,TF_Tekniker,AS$4,TF_Dato,$A243))*2,0)/2)))</f>
        <v/>
      </c>
      <c r="AT243">
        <f>IF(OR(AT$4="",$A243&gt;TODAY()),0,IF(OR(INDEX($B243:$D243,AT$5)="F",AND(AT$6&gt;0,$A243&lt;AT$6),AND(AT$7&gt;0,$A243&gt;AT$7)),0,MAX(0,ROUND((INDEX($E243:$G243,AT$5)-SUMIFS(TF_Timer,TF_Tekniker,AT$4,TF_Dato,$A243))*2,0)/2)))</f>
        <v/>
      </c>
      <c r="AU243">
        <f>IF(OR(AU$4="",$A243&gt;TODAY()),0,IF(OR(INDEX($B243:$D243,AU$5)="F",AND(AU$6&gt;0,$A243&lt;AU$6),AND(AU$7&gt;0,$A243&gt;AU$7)),0,MAX(0,ROUND((INDEX($E243:$G243,AU$5)-SUMIFS(TF_Timer,TF_Tekniker,AU$4,TF_Dato,$A243))*2,0)/2)))</f>
        <v/>
      </c>
      <c r="AV243">
        <f>IF(OR(AV$4="",$A243&gt;TODAY()),0,IF(OR(INDEX($B243:$D243,AV$5)="F",AND(AV$6&gt;0,$A243&lt;AV$6),AND(AV$7&gt;0,$A243&gt;AV$7)),0,MAX(0,ROUND((INDEX($E243:$G243,AV$5)-SUMIFS(TF_Timer,TF_Tekniker,AV$4,TF_Dato,$A243))*2,0)/2)))</f>
        <v/>
      </c>
      <c r="AW243">
        <f>IF(OR(AW$4="",$A243&gt;TODAY()),0,IF(OR(INDEX($B243:$D243,AW$5)="F",AND(AW$6&gt;0,$A243&lt;AW$6),AND(AW$7&gt;0,$A243&gt;AW$7)),0,MAX(0,ROUND((INDEX($E243:$G243,AW$5)-SUMIFS(TF_Timer,TF_Tekniker,AW$4,TF_Dato,$A243))*2,0)/2)))</f>
        <v/>
      </c>
      <c r="AX243">
        <f>IF(OR(AX$4="",$A243&gt;TODAY()),0,IF(OR(INDEX($B243:$D243,AX$5)="F",AND(AX$6&gt;0,$A243&lt;AX$6),AND(AX$7&gt;0,$A243&gt;AX$7)),0,MAX(0,ROUND((INDEX($E243:$G243,AX$5)-SUMIFS(TF_Timer,TF_Tekniker,AX$4,TF_Dato,$A243))*2,0)/2)))</f>
        <v/>
      </c>
      <c r="AY243">
        <f>IF(OR(AY$4="",$A243&gt;TODAY()),0,IF(OR(INDEX($B243:$D243,AY$5)="F",AND(AY$6&gt;0,$A243&lt;AY$6),AND(AY$7&gt;0,$A243&gt;AY$7)),0,MAX(0,ROUND((INDEX($E243:$G243,AY$5)-SUMIFS(TF_Timer,TF_Tekniker,AY$4,TF_Dato,$A243))*2,0)/2)))</f>
        <v/>
      </c>
      <c r="AZ243">
        <f>IF(OR(AZ$4="",$A243&gt;TODAY()),0,IF(OR(INDEX($B243:$D243,AZ$5)="F",AND(AZ$6&gt;0,$A243&lt;AZ$6),AND(AZ$7&gt;0,$A243&gt;AZ$7)),0,MAX(0,ROUND((INDEX($E243:$G243,AZ$5)-SUMIFS(TF_Timer,TF_Tekniker,AZ$4,TF_Dato,$A243))*2,0)/2)))</f>
        <v/>
      </c>
      <c r="BA243">
        <f>IF(OR(BA$4="",$A243&gt;TODAY()),0,IF(OR(INDEX($B243:$D243,BA$5)="F",AND(BA$6&gt;0,$A243&lt;BA$6),AND(BA$7&gt;0,$A243&gt;BA$7)),0,MAX(0,ROUND((INDEX($E243:$G243,BA$5)-SUMIFS(TF_Timer,TF_Tekniker,BA$4,TF_Dato,$A243))*2,0)/2)))</f>
        <v/>
      </c>
      <c r="BB243">
        <f>IF(OR(BB$4="",$A243&gt;TODAY()),0,IF(OR(INDEX($B243:$D243,BB$5)="F",AND(BB$6&gt;0,$A243&lt;BB$6),AND(BB$7&gt;0,$A243&gt;BB$7)),0,MAX(0,ROUND((INDEX($E243:$G243,BB$5)-SUMIFS(TF_Timer,TF_Tekniker,BB$4,TF_Dato,$A243))*2,0)/2)))</f>
        <v/>
      </c>
      <c r="BC243">
        <f>IF(OR(BC$4="",$A243&gt;TODAY()),0,IF(OR(INDEX($B243:$D243,BC$5)="F",AND(BC$6&gt;0,$A243&lt;BC$6),AND(BC$7&gt;0,$A243&gt;BC$7)),0,MAX(0,ROUND((INDEX($E243:$G243,BC$5)-SUMIFS(TF_Timer,TF_Tekniker,BC$4,TF_Dato,$A243))*2,0)/2)))</f>
        <v/>
      </c>
      <c r="BD243">
        <f>IF(OR(BD$4="",$A243&gt;TODAY()),0,IF(OR(INDEX($B243:$D243,BD$5)="F",AND(BD$6&gt;0,$A243&lt;BD$6),AND(BD$7&gt;0,$A243&gt;BD$7)),0,MAX(0,ROUND((INDEX($E243:$G243,BD$5)-SUMIFS(TF_Timer,TF_Tekniker,BD$4,TF_Dato,$A243))*2,0)/2)))</f>
        <v/>
      </c>
      <c r="BE243">
        <f>IF(OR(BE$4="",$A243&gt;TODAY()),0,IF(OR(INDEX($B243:$D243,BE$5)="F",AND(BE$6&gt;0,$A243&lt;BE$6),AND(BE$7&gt;0,$A243&gt;BE$7)),0,MAX(0,ROUND((INDEX($E243:$G243,BE$5)-SUMIFS(TF_Timer,TF_Tekniker,BE$4,TF_Dato,$A243))*2,0)/2)))</f>
        <v/>
      </c>
      <c r="BF243">
        <f>IF(OR(BF$4="",$A243&gt;TODAY()),0,IF(OR(INDEX($B243:$D243,BF$5)="F",AND(BF$6&gt;0,$A243&lt;BF$6),AND(BF$7&gt;0,$A243&gt;BF$7)),0,MAX(0,ROUND((INDEX($E243:$G243,BF$5)-SUMIFS(TF_Timer,TF_Tekniker,BF$4,TF_Dato,$A243))*2,0)/2)))</f>
        <v/>
      </c>
      <c r="BG243">
        <f>IF(OR(BG$4="",$A243&gt;TODAY()),0,IF(OR(INDEX($B243:$D243,BG$5)="F",AND(BG$6&gt;0,$A243&lt;BG$6),AND(BG$7&gt;0,$A243&gt;BG$7)),0,MAX(0,ROUND((INDEX($E243:$G243,BG$5)-SUMIFS(TF_Timer,TF_Tekniker,BG$4,TF_Dato,$A243))*2,0)/2)))</f>
        <v/>
      </c>
      <c r="BH243">
        <f>IF(OR(BH$4="",$A243&gt;TODAY()),0,IF(OR(INDEX($B243:$D243,BH$5)="F",AND(BH$6&gt;0,$A243&lt;BH$6),AND(BH$7&gt;0,$A243&gt;BH$7)),0,MAX(0,ROUND((INDEX($E243:$G243,BH$5)-SUMIFS(TF_Timer,TF_Tekniker,BH$4,TF_Dato,$A243))*2,0)/2)))</f>
        <v/>
      </c>
      <c r="BI243">
        <f>IF(OR(BI$4="",$A243&gt;TODAY()),0,IF(OR(INDEX($B243:$D243,BI$5)="F",AND(BI$6&gt;0,$A243&lt;BI$6),AND(BI$7&gt;0,$A243&gt;BI$7)),0,MAX(0,ROUND((INDEX($E243:$G243,BI$5)-SUMIFS(TF_Timer,TF_Tekniker,BI$4,TF_Dato,$A243))*2,0)/2)))</f>
        <v/>
      </c>
    </row>
    <row r="244">
      <c r="A244" s="64">
        <f>A243+1</f>
        <v/>
      </c>
      <c r="B244">
        <f>IF(MOD($A244-INDEX(SkiftStart,1),Syklus)&lt;DagK,"K",IF(MOD($A244-INDEX(SkiftStart,1),Syklus)&lt;DagK+DagH,"H",IF(MOD($A244-INDEX(SkiftStart,1),Syklus)&lt;DagK+DagH+DagD,"D","F")))</f>
        <v/>
      </c>
      <c r="C244">
        <f>IF(MOD($A244-INDEX(SkiftStart,2),Syklus)&lt;DagK,"K",IF(MOD($A244-INDEX(SkiftStart,2),Syklus)&lt;DagK+DagH,"H",IF(MOD($A244-INDEX(SkiftStart,2),Syklus)&lt;DagK+DagH+DagD,"D","F")))</f>
        <v/>
      </c>
      <c r="D244">
        <f>IF(MOD($A244-INDEX(SkiftStart,3),Syklus)&lt;DagK,"K",IF(MOD($A244-INDEX(SkiftStart,3),Syklus)&lt;DagK+DagH,"H",IF(MOD($A244-INDEX(SkiftStart,3),Syklus)&lt;DagK+DagH+DagD,"D","F")))</f>
        <v/>
      </c>
      <c r="E244">
        <f>IF(B244="F",0,IF(WEEKDAY($A244,2)=5,INDEX(TimerFr,MATCH(B244,FaseKode,0)),INDEX(TimerMT,MATCH(B244,FaseKode,0))))</f>
        <v/>
      </c>
      <c r="F244">
        <f>IF(C244="F",0,IF(WEEKDAY($A244,2)=5,INDEX(TimerFr,MATCH(C244,FaseKode,0)),INDEX(TimerMT,MATCH(C244,FaseKode,0))))</f>
        <v/>
      </c>
      <c r="G244">
        <f>IF(D244="F",0,IF(WEEKDAY($A244,2)=5,INDEX(TimerFr,MATCH(D244,FaseKode,0)),INDEX(TimerMT,MATCH(D244,FaseKode,0))))</f>
        <v/>
      </c>
      <c r="H244">
        <f>IF(OR(H$4="",$A244&gt;TODAY()),0,IF(OR(INDEX($B244:$D244,H$5)="F",AND(H$6&gt;0,$A244&lt;H$6),AND(H$7&gt;0,$A244&gt;H$7)),0,MAX(0,ROUND((INDEX($E244:$G244,H$5)-SUMIFS(TF_Timer,TF_Tekniker,H$4,TF_Dato,$A244))*2,0)/2)))</f>
        <v/>
      </c>
      <c r="I244">
        <f>IF(OR(I$4="",$A244&gt;TODAY()),0,IF(OR(INDEX($B244:$D244,I$5)="F",AND(I$6&gt;0,$A244&lt;I$6),AND(I$7&gt;0,$A244&gt;I$7)),0,MAX(0,ROUND((INDEX($E244:$G244,I$5)-SUMIFS(TF_Timer,TF_Tekniker,I$4,TF_Dato,$A244))*2,0)/2)))</f>
        <v/>
      </c>
      <c r="J244">
        <f>IF(OR(J$4="",$A244&gt;TODAY()),0,IF(OR(INDEX($B244:$D244,J$5)="F",AND(J$6&gt;0,$A244&lt;J$6),AND(J$7&gt;0,$A244&gt;J$7)),0,MAX(0,ROUND((INDEX($E244:$G244,J$5)-SUMIFS(TF_Timer,TF_Tekniker,J$4,TF_Dato,$A244))*2,0)/2)))</f>
        <v/>
      </c>
      <c r="K244">
        <f>IF(OR(K$4="",$A244&gt;TODAY()),0,IF(OR(INDEX($B244:$D244,K$5)="F",AND(K$6&gt;0,$A244&lt;K$6),AND(K$7&gt;0,$A244&gt;K$7)),0,MAX(0,ROUND((INDEX($E244:$G244,K$5)-SUMIFS(TF_Timer,TF_Tekniker,K$4,TF_Dato,$A244))*2,0)/2)))</f>
        <v/>
      </c>
      <c r="L244">
        <f>IF(OR(L$4="",$A244&gt;TODAY()),0,IF(OR(INDEX($B244:$D244,L$5)="F",AND(L$6&gt;0,$A244&lt;L$6),AND(L$7&gt;0,$A244&gt;L$7)),0,MAX(0,ROUND((INDEX($E244:$G244,L$5)-SUMIFS(TF_Timer,TF_Tekniker,L$4,TF_Dato,$A244))*2,0)/2)))</f>
        <v/>
      </c>
      <c r="M244">
        <f>IF(OR(M$4="",$A244&gt;TODAY()),0,IF(OR(INDEX($B244:$D244,M$5)="F",AND(M$6&gt;0,$A244&lt;M$6),AND(M$7&gt;0,$A244&gt;M$7)),0,MAX(0,ROUND((INDEX($E244:$G244,M$5)-SUMIFS(TF_Timer,TF_Tekniker,M$4,TF_Dato,$A244))*2,0)/2)))</f>
        <v/>
      </c>
      <c r="N244">
        <f>IF(OR(N$4="",$A244&gt;TODAY()),0,IF(OR(INDEX($B244:$D244,N$5)="F",AND(N$6&gt;0,$A244&lt;N$6),AND(N$7&gt;0,$A244&gt;N$7)),0,MAX(0,ROUND((INDEX($E244:$G244,N$5)-SUMIFS(TF_Timer,TF_Tekniker,N$4,TF_Dato,$A244))*2,0)/2)))</f>
        <v/>
      </c>
      <c r="O244">
        <f>IF(OR(O$4="",$A244&gt;TODAY()),0,IF(OR(INDEX($B244:$D244,O$5)="F",AND(O$6&gt;0,$A244&lt;O$6),AND(O$7&gt;0,$A244&gt;O$7)),0,MAX(0,ROUND((INDEX($E244:$G244,O$5)-SUMIFS(TF_Timer,TF_Tekniker,O$4,TF_Dato,$A244))*2,0)/2)))</f>
        <v/>
      </c>
      <c r="P244">
        <f>IF(OR(P$4="",$A244&gt;TODAY()),0,IF(OR(INDEX($B244:$D244,P$5)="F",AND(P$6&gt;0,$A244&lt;P$6),AND(P$7&gt;0,$A244&gt;P$7)),0,MAX(0,ROUND((INDEX($E244:$G244,P$5)-SUMIFS(TF_Timer,TF_Tekniker,P$4,TF_Dato,$A244))*2,0)/2)))</f>
        <v/>
      </c>
      <c r="Q244">
        <f>IF(OR(Q$4="",$A244&gt;TODAY()),0,IF(OR(INDEX($B244:$D244,Q$5)="F",AND(Q$6&gt;0,$A244&lt;Q$6),AND(Q$7&gt;0,$A244&gt;Q$7)),0,MAX(0,ROUND((INDEX($E244:$G244,Q$5)-SUMIFS(TF_Timer,TF_Tekniker,Q$4,TF_Dato,$A244))*2,0)/2)))</f>
        <v/>
      </c>
      <c r="R244">
        <f>IF(OR(R$4="",$A244&gt;TODAY()),0,IF(OR(INDEX($B244:$D244,R$5)="F",AND(R$6&gt;0,$A244&lt;R$6),AND(R$7&gt;0,$A244&gt;R$7)),0,MAX(0,ROUND((INDEX($E244:$G244,R$5)-SUMIFS(TF_Timer,TF_Tekniker,R$4,TF_Dato,$A244))*2,0)/2)))</f>
        <v/>
      </c>
      <c r="S244">
        <f>IF(OR(S$4="",$A244&gt;TODAY()),0,IF(OR(INDEX($B244:$D244,S$5)="F",AND(S$6&gt;0,$A244&lt;S$6),AND(S$7&gt;0,$A244&gt;S$7)),0,MAX(0,ROUND((INDEX($E244:$G244,S$5)-SUMIFS(TF_Timer,TF_Tekniker,S$4,TF_Dato,$A244))*2,0)/2)))</f>
        <v/>
      </c>
      <c r="T244">
        <f>IF(OR(T$4="",$A244&gt;TODAY()),0,IF(OR(INDEX($B244:$D244,T$5)="F",AND(T$6&gt;0,$A244&lt;T$6),AND(T$7&gt;0,$A244&gt;T$7)),0,MAX(0,ROUND((INDEX($E244:$G244,T$5)-SUMIFS(TF_Timer,TF_Tekniker,T$4,TF_Dato,$A244))*2,0)/2)))</f>
        <v/>
      </c>
      <c r="U244">
        <f>IF(OR(U$4="",$A244&gt;TODAY()),0,IF(OR(INDEX($B244:$D244,U$5)="F",AND(U$6&gt;0,$A244&lt;U$6),AND(U$7&gt;0,$A244&gt;U$7)),0,MAX(0,ROUND((INDEX($E244:$G244,U$5)-SUMIFS(TF_Timer,TF_Tekniker,U$4,TF_Dato,$A244))*2,0)/2)))</f>
        <v/>
      </c>
      <c r="V244">
        <f>IF(OR(V$4="",$A244&gt;TODAY()),0,IF(OR(INDEX($B244:$D244,V$5)="F",AND(V$6&gt;0,$A244&lt;V$6),AND(V$7&gt;0,$A244&gt;V$7)),0,MAX(0,ROUND((INDEX($E244:$G244,V$5)-SUMIFS(TF_Timer,TF_Tekniker,V$4,TF_Dato,$A244))*2,0)/2)))</f>
        <v/>
      </c>
      <c r="W244">
        <f>IF(OR(W$4="",$A244&gt;TODAY()),0,IF(OR(INDEX($B244:$D244,W$5)="F",AND(W$6&gt;0,$A244&lt;W$6),AND(W$7&gt;0,$A244&gt;W$7)),0,MAX(0,ROUND((INDEX($E244:$G244,W$5)-SUMIFS(TF_Timer,TF_Tekniker,W$4,TF_Dato,$A244))*2,0)/2)))</f>
        <v/>
      </c>
      <c r="X244">
        <f>IF(OR(X$4="",$A244&gt;TODAY()),0,IF(OR(INDEX($B244:$D244,X$5)="F",AND(X$6&gt;0,$A244&lt;X$6),AND(X$7&gt;0,$A244&gt;X$7)),0,MAX(0,ROUND((INDEX($E244:$G244,X$5)-SUMIFS(TF_Timer,TF_Tekniker,X$4,TF_Dato,$A244))*2,0)/2)))</f>
        <v/>
      </c>
      <c r="Y244">
        <f>IF(OR(Y$4="",$A244&gt;TODAY()),0,IF(OR(INDEX($B244:$D244,Y$5)="F",AND(Y$6&gt;0,$A244&lt;Y$6),AND(Y$7&gt;0,$A244&gt;Y$7)),0,MAX(0,ROUND((INDEX($E244:$G244,Y$5)-SUMIFS(TF_Timer,TF_Tekniker,Y$4,TF_Dato,$A244))*2,0)/2)))</f>
        <v/>
      </c>
      <c r="Z244">
        <f>IF(OR(Z$4="",$A244&gt;TODAY()),0,IF(OR(INDEX($B244:$D244,Z$5)="F",AND(Z$6&gt;0,$A244&lt;Z$6),AND(Z$7&gt;0,$A244&gt;Z$7)),0,MAX(0,ROUND((INDEX($E244:$G244,Z$5)-SUMIFS(TF_Timer,TF_Tekniker,Z$4,TF_Dato,$A244))*2,0)/2)))</f>
        <v/>
      </c>
      <c r="AA244">
        <f>IF(OR(AA$4="",$A244&gt;TODAY()),0,IF(OR(INDEX($B244:$D244,AA$5)="F",AND(AA$6&gt;0,$A244&lt;AA$6),AND(AA$7&gt;0,$A244&gt;AA$7)),0,MAX(0,ROUND((INDEX($E244:$G244,AA$5)-SUMIFS(TF_Timer,TF_Tekniker,AA$4,TF_Dato,$A244))*2,0)/2)))</f>
        <v/>
      </c>
      <c r="AB244">
        <f>IF(OR(AB$4="",$A244&gt;TODAY()),0,IF(OR(INDEX($B244:$D244,AB$5)="F",AND(AB$6&gt;0,$A244&lt;AB$6),AND(AB$7&gt;0,$A244&gt;AB$7)),0,MAX(0,ROUND((INDEX($E244:$G244,AB$5)-SUMIFS(TF_Timer,TF_Tekniker,AB$4,TF_Dato,$A244))*2,0)/2)))</f>
        <v/>
      </c>
      <c r="AC244">
        <f>IF(OR(AC$4="",$A244&gt;TODAY()),0,IF(OR(INDEX($B244:$D244,AC$5)="F",AND(AC$6&gt;0,$A244&lt;AC$6),AND(AC$7&gt;0,$A244&gt;AC$7)),0,MAX(0,ROUND((INDEX($E244:$G244,AC$5)-SUMIFS(TF_Timer,TF_Tekniker,AC$4,TF_Dato,$A244))*2,0)/2)))</f>
        <v/>
      </c>
      <c r="AD244">
        <f>IF(OR(AD$4="",$A244&gt;TODAY()),0,IF(OR(INDEX($B244:$D244,AD$5)="F",AND(AD$6&gt;0,$A244&lt;AD$6),AND(AD$7&gt;0,$A244&gt;AD$7)),0,MAX(0,ROUND((INDEX($E244:$G244,AD$5)-SUMIFS(TF_Timer,TF_Tekniker,AD$4,TF_Dato,$A244))*2,0)/2)))</f>
        <v/>
      </c>
      <c r="AE244">
        <f>IF(OR(AE$4="",$A244&gt;TODAY()),0,IF(OR(INDEX($B244:$D244,AE$5)="F",AND(AE$6&gt;0,$A244&lt;AE$6),AND(AE$7&gt;0,$A244&gt;AE$7)),0,MAX(0,ROUND((INDEX($E244:$G244,AE$5)-SUMIFS(TF_Timer,TF_Tekniker,AE$4,TF_Dato,$A244))*2,0)/2)))</f>
        <v/>
      </c>
      <c r="AF244">
        <f>IF(OR(AF$4="",$A244&gt;TODAY()),0,IF(OR(INDEX($B244:$D244,AF$5)="F",AND(AF$6&gt;0,$A244&lt;AF$6),AND(AF$7&gt;0,$A244&gt;AF$7)),0,MAX(0,ROUND((INDEX($E244:$G244,AF$5)-SUMIFS(TF_Timer,TF_Tekniker,AF$4,TF_Dato,$A244))*2,0)/2)))</f>
        <v/>
      </c>
      <c r="AG244">
        <f>IF(OR(AG$4="",$A244&gt;TODAY()),0,IF(OR(INDEX($B244:$D244,AG$5)="F",AND(AG$6&gt;0,$A244&lt;AG$6),AND(AG$7&gt;0,$A244&gt;AG$7)),0,MAX(0,ROUND((INDEX($E244:$G244,AG$5)-SUMIFS(TF_Timer,TF_Tekniker,AG$4,TF_Dato,$A244))*2,0)/2)))</f>
        <v/>
      </c>
      <c r="AH244">
        <f>IF(OR(AH$4="",$A244&gt;TODAY()),0,IF(OR(INDEX($B244:$D244,AH$5)="F",AND(AH$6&gt;0,$A244&lt;AH$6),AND(AH$7&gt;0,$A244&gt;AH$7)),0,MAX(0,ROUND((INDEX($E244:$G244,AH$5)-SUMIFS(TF_Timer,TF_Tekniker,AH$4,TF_Dato,$A244))*2,0)/2)))</f>
        <v/>
      </c>
      <c r="AI244">
        <f>IF(OR(AI$4="",$A244&gt;TODAY()),0,IF(OR(INDEX($B244:$D244,AI$5)="F",AND(AI$6&gt;0,$A244&lt;AI$6),AND(AI$7&gt;0,$A244&gt;AI$7)),0,MAX(0,ROUND((INDEX($E244:$G244,AI$5)-SUMIFS(TF_Timer,TF_Tekniker,AI$4,TF_Dato,$A244))*2,0)/2)))</f>
        <v/>
      </c>
      <c r="AJ244">
        <f>IF(OR(AJ$4="",$A244&gt;TODAY()),0,IF(OR(INDEX($B244:$D244,AJ$5)="F",AND(AJ$6&gt;0,$A244&lt;AJ$6),AND(AJ$7&gt;0,$A244&gt;AJ$7)),0,MAX(0,ROUND((INDEX($E244:$G244,AJ$5)-SUMIFS(TF_Timer,TF_Tekniker,AJ$4,TF_Dato,$A244))*2,0)/2)))</f>
        <v/>
      </c>
      <c r="AK244">
        <f>IF(OR(AK$4="",$A244&gt;TODAY()),0,IF(OR(INDEX($B244:$D244,AK$5)="F",AND(AK$6&gt;0,$A244&lt;AK$6),AND(AK$7&gt;0,$A244&gt;AK$7)),0,MAX(0,ROUND((INDEX($E244:$G244,AK$5)-SUMIFS(TF_Timer,TF_Tekniker,AK$4,TF_Dato,$A244))*2,0)/2)))</f>
        <v/>
      </c>
      <c r="AL244">
        <f>IF(OR(AL$4="",$A244&gt;TODAY()),0,IF(OR(INDEX($B244:$D244,AL$5)="F",AND(AL$6&gt;0,$A244&lt;AL$6),AND(AL$7&gt;0,$A244&gt;AL$7)),0,MAX(0,ROUND((INDEX($E244:$G244,AL$5)-SUMIFS(TF_Timer,TF_Tekniker,AL$4,TF_Dato,$A244))*2,0)/2)))</f>
        <v/>
      </c>
      <c r="AM244">
        <f>IF(OR(AM$4="",$A244&gt;TODAY()),0,IF(OR(INDEX($B244:$D244,AM$5)="F",AND(AM$6&gt;0,$A244&lt;AM$6),AND(AM$7&gt;0,$A244&gt;AM$7)),0,MAX(0,ROUND((INDEX($E244:$G244,AM$5)-SUMIFS(TF_Timer,TF_Tekniker,AM$4,TF_Dato,$A244))*2,0)/2)))</f>
        <v/>
      </c>
      <c r="AN244">
        <f>IF(OR(AN$4="",$A244&gt;TODAY()),0,IF(OR(INDEX($B244:$D244,AN$5)="F",AND(AN$6&gt;0,$A244&lt;AN$6),AND(AN$7&gt;0,$A244&gt;AN$7)),0,MAX(0,ROUND((INDEX($E244:$G244,AN$5)-SUMIFS(TF_Timer,TF_Tekniker,AN$4,TF_Dato,$A244))*2,0)/2)))</f>
        <v/>
      </c>
      <c r="AO244">
        <f>IF(OR(AO$4="",$A244&gt;TODAY()),0,IF(OR(INDEX($B244:$D244,AO$5)="F",AND(AO$6&gt;0,$A244&lt;AO$6),AND(AO$7&gt;0,$A244&gt;AO$7)),0,MAX(0,ROUND((INDEX($E244:$G244,AO$5)-SUMIFS(TF_Timer,TF_Tekniker,AO$4,TF_Dato,$A244))*2,0)/2)))</f>
        <v/>
      </c>
      <c r="AP244">
        <f>IF(OR(AP$4="",$A244&gt;TODAY()),0,IF(OR(INDEX($B244:$D244,AP$5)="F",AND(AP$6&gt;0,$A244&lt;AP$6),AND(AP$7&gt;0,$A244&gt;AP$7)),0,MAX(0,ROUND((INDEX($E244:$G244,AP$5)-SUMIFS(TF_Timer,TF_Tekniker,AP$4,TF_Dato,$A244))*2,0)/2)))</f>
        <v/>
      </c>
      <c r="AQ244">
        <f>IF(OR(AQ$4="",$A244&gt;TODAY()),0,IF(OR(INDEX($B244:$D244,AQ$5)="F",AND(AQ$6&gt;0,$A244&lt;AQ$6),AND(AQ$7&gt;0,$A244&gt;AQ$7)),0,MAX(0,ROUND((INDEX($E244:$G244,AQ$5)-SUMIFS(TF_Timer,TF_Tekniker,AQ$4,TF_Dato,$A244))*2,0)/2)))</f>
        <v/>
      </c>
      <c r="AR244">
        <f>IF(OR(AR$4="",$A244&gt;TODAY()),0,IF(OR(INDEX($B244:$D244,AR$5)="F",AND(AR$6&gt;0,$A244&lt;AR$6),AND(AR$7&gt;0,$A244&gt;AR$7)),0,MAX(0,ROUND((INDEX($E244:$G244,AR$5)-SUMIFS(TF_Timer,TF_Tekniker,AR$4,TF_Dato,$A244))*2,0)/2)))</f>
        <v/>
      </c>
      <c r="AS244">
        <f>IF(OR(AS$4="",$A244&gt;TODAY()),0,IF(OR(INDEX($B244:$D244,AS$5)="F",AND(AS$6&gt;0,$A244&lt;AS$6),AND(AS$7&gt;0,$A244&gt;AS$7)),0,MAX(0,ROUND((INDEX($E244:$G244,AS$5)-SUMIFS(TF_Timer,TF_Tekniker,AS$4,TF_Dato,$A244))*2,0)/2)))</f>
        <v/>
      </c>
      <c r="AT244">
        <f>IF(OR(AT$4="",$A244&gt;TODAY()),0,IF(OR(INDEX($B244:$D244,AT$5)="F",AND(AT$6&gt;0,$A244&lt;AT$6),AND(AT$7&gt;0,$A244&gt;AT$7)),0,MAX(0,ROUND((INDEX($E244:$G244,AT$5)-SUMIFS(TF_Timer,TF_Tekniker,AT$4,TF_Dato,$A244))*2,0)/2)))</f>
        <v/>
      </c>
      <c r="AU244">
        <f>IF(OR(AU$4="",$A244&gt;TODAY()),0,IF(OR(INDEX($B244:$D244,AU$5)="F",AND(AU$6&gt;0,$A244&lt;AU$6),AND(AU$7&gt;0,$A244&gt;AU$7)),0,MAX(0,ROUND((INDEX($E244:$G244,AU$5)-SUMIFS(TF_Timer,TF_Tekniker,AU$4,TF_Dato,$A244))*2,0)/2)))</f>
        <v/>
      </c>
      <c r="AV244">
        <f>IF(OR(AV$4="",$A244&gt;TODAY()),0,IF(OR(INDEX($B244:$D244,AV$5)="F",AND(AV$6&gt;0,$A244&lt;AV$6),AND(AV$7&gt;0,$A244&gt;AV$7)),0,MAX(0,ROUND((INDEX($E244:$G244,AV$5)-SUMIFS(TF_Timer,TF_Tekniker,AV$4,TF_Dato,$A244))*2,0)/2)))</f>
        <v/>
      </c>
      <c r="AW244">
        <f>IF(OR(AW$4="",$A244&gt;TODAY()),0,IF(OR(INDEX($B244:$D244,AW$5)="F",AND(AW$6&gt;0,$A244&lt;AW$6),AND(AW$7&gt;0,$A244&gt;AW$7)),0,MAX(0,ROUND((INDEX($E244:$G244,AW$5)-SUMIFS(TF_Timer,TF_Tekniker,AW$4,TF_Dato,$A244))*2,0)/2)))</f>
        <v/>
      </c>
      <c r="AX244">
        <f>IF(OR(AX$4="",$A244&gt;TODAY()),0,IF(OR(INDEX($B244:$D244,AX$5)="F",AND(AX$6&gt;0,$A244&lt;AX$6),AND(AX$7&gt;0,$A244&gt;AX$7)),0,MAX(0,ROUND((INDEX($E244:$G244,AX$5)-SUMIFS(TF_Timer,TF_Tekniker,AX$4,TF_Dato,$A244))*2,0)/2)))</f>
        <v/>
      </c>
      <c r="AY244">
        <f>IF(OR(AY$4="",$A244&gt;TODAY()),0,IF(OR(INDEX($B244:$D244,AY$5)="F",AND(AY$6&gt;0,$A244&lt;AY$6),AND(AY$7&gt;0,$A244&gt;AY$7)),0,MAX(0,ROUND((INDEX($E244:$G244,AY$5)-SUMIFS(TF_Timer,TF_Tekniker,AY$4,TF_Dato,$A244))*2,0)/2)))</f>
        <v/>
      </c>
      <c r="AZ244">
        <f>IF(OR(AZ$4="",$A244&gt;TODAY()),0,IF(OR(INDEX($B244:$D244,AZ$5)="F",AND(AZ$6&gt;0,$A244&lt;AZ$6),AND(AZ$7&gt;0,$A244&gt;AZ$7)),0,MAX(0,ROUND((INDEX($E244:$G244,AZ$5)-SUMIFS(TF_Timer,TF_Tekniker,AZ$4,TF_Dato,$A244))*2,0)/2)))</f>
        <v/>
      </c>
      <c r="BA244">
        <f>IF(OR(BA$4="",$A244&gt;TODAY()),0,IF(OR(INDEX($B244:$D244,BA$5)="F",AND(BA$6&gt;0,$A244&lt;BA$6),AND(BA$7&gt;0,$A244&gt;BA$7)),0,MAX(0,ROUND((INDEX($E244:$G244,BA$5)-SUMIFS(TF_Timer,TF_Tekniker,BA$4,TF_Dato,$A244))*2,0)/2)))</f>
        <v/>
      </c>
      <c r="BB244">
        <f>IF(OR(BB$4="",$A244&gt;TODAY()),0,IF(OR(INDEX($B244:$D244,BB$5)="F",AND(BB$6&gt;0,$A244&lt;BB$6),AND(BB$7&gt;0,$A244&gt;BB$7)),0,MAX(0,ROUND((INDEX($E244:$G244,BB$5)-SUMIFS(TF_Timer,TF_Tekniker,BB$4,TF_Dato,$A244))*2,0)/2)))</f>
        <v/>
      </c>
      <c r="BC244">
        <f>IF(OR(BC$4="",$A244&gt;TODAY()),0,IF(OR(INDEX($B244:$D244,BC$5)="F",AND(BC$6&gt;0,$A244&lt;BC$6),AND(BC$7&gt;0,$A244&gt;BC$7)),0,MAX(0,ROUND((INDEX($E244:$G244,BC$5)-SUMIFS(TF_Timer,TF_Tekniker,BC$4,TF_Dato,$A244))*2,0)/2)))</f>
        <v/>
      </c>
      <c r="BD244">
        <f>IF(OR(BD$4="",$A244&gt;TODAY()),0,IF(OR(INDEX($B244:$D244,BD$5)="F",AND(BD$6&gt;0,$A244&lt;BD$6),AND(BD$7&gt;0,$A244&gt;BD$7)),0,MAX(0,ROUND((INDEX($E244:$G244,BD$5)-SUMIFS(TF_Timer,TF_Tekniker,BD$4,TF_Dato,$A244))*2,0)/2)))</f>
        <v/>
      </c>
      <c r="BE244">
        <f>IF(OR(BE$4="",$A244&gt;TODAY()),0,IF(OR(INDEX($B244:$D244,BE$5)="F",AND(BE$6&gt;0,$A244&lt;BE$6),AND(BE$7&gt;0,$A244&gt;BE$7)),0,MAX(0,ROUND((INDEX($E244:$G244,BE$5)-SUMIFS(TF_Timer,TF_Tekniker,BE$4,TF_Dato,$A244))*2,0)/2)))</f>
        <v/>
      </c>
      <c r="BF244">
        <f>IF(OR(BF$4="",$A244&gt;TODAY()),0,IF(OR(INDEX($B244:$D244,BF$5)="F",AND(BF$6&gt;0,$A244&lt;BF$6),AND(BF$7&gt;0,$A244&gt;BF$7)),0,MAX(0,ROUND((INDEX($E244:$G244,BF$5)-SUMIFS(TF_Timer,TF_Tekniker,BF$4,TF_Dato,$A244))*2,0)/2)))</f>
        <v/>
      </c>
      <c r="BG244">
        <f>IF(OR(BG$4="",$A244&gt;TODAY()),0,IF(OR(INDEX($B244:$D244,BG$5)="F",AND(BG$6&gt;0,$A244&lt;BG$6),AND(BG$7&gt;0,$A244&gt;BG$7)),0,MAX(0,ROUND((INDEX($E244:$G244,BG$5)-SUMIFS(TF_Timer,TF_Tekniker,BG$4,TF_Dato,$A244))*2,0)/2)))</f>
        <v/>
      </c>
      <c r="BH244">
        <f>IF(OR(BH$4="",$A244&gt;TODAY()),0,IF(OR(INDEX($B244:$D244,BH$5)="F",AND(BH$6&gt;0,$A244&lt;BH$6),AND(BH$7&gt;0,$A244&gt;BH$7)),0,MAX(0,ROUND((INDEX($E244:$G244,BH$5)-SUMIFS(TF_Timer,TF_Tekniker,BH$4,TF_Dato,$A244))*2,0)/2)))</f>
        <v/>
      </c>
      <c r="BI244">
        <f>IF(OR(BI$4="",$A244&gt;TODAY()),0,IF(OR(INDEX($B244:$D244,BI$5)="F",AND(BI$6&gt;0,$A244&lt;BI$6),AND(BI$7&gt;0,$A244&gt;BI$7)),0,MAX(0,ROUND((INDEX($E244:$G244,BI$5)-SUMIFS(TF_Timer,TF_Tekniker,BI$4,TF_Dato,$A244))*2,0)/2)))</f>
        <v/>
      </c>
    </row>
    <row r="245">
      <c r="A245" s="64">
        <f>A244+1</f>
        <v/>
      </c>
      <c r="B245">
        <f>IF(MOD($A245-INDEX(SkiftStart,1),Syklus)&lt;DagK,"K",IF(MOD($A245-INDEX(SkiftStart,1),Syklus)&lt;DagK+DagH,"H",IF(MOD($A245-INDEX(SkiftStart,1),Syklus)&lt;DagK+DagH+DagD,"D","F")))</f>
        <v/>
      </c>
      <c r="C245">
        <f>IF(MOD($A245-INDEX(SkiftStart,2),Syklus)&lt;DagK,"K",IF(MOD($A245-INDEX(SkiftStart,2),Syklus)&lt;DagK+DagH,"H",IF(MOD($A245-INDEX(SkiftStart,2),Syklus)&lt;DagK+DagH+DagD,"D","F")))</f>
        <v/>
      </c>
      <c r="D245">
        <f>IF(MOD($A245-INDEX(SkiftStart,3),Syklus)&lt;DagK,"K",IF(MOD($A245-INDEX(SkiftStart,3),Syklus)&lt;DagK+DagH,"H",IF(MOD($A245-INDEX(SkiftStart,3),Syklus)&lt;DagK+DagH+DagD,"D","F")))</f>
        <v/>
      </c>
      <c r="E245">
        <f>IF(B245="F",0,IF(WEEKDAY($A245,2)=5,INDEX(TimerFr,MATCH(B245,FaseKode,0)),INDEX(TimerMT,MATCH(B245,FaseKode,0))))</f>
        <v/>
      </c>
      <c r="F245">
        <f>IF(C245="F",0,IF(WEEKDAY($A245,2)=5,INDEX(TimerFr,MATCH(C245,FaseKode,0)),INDEX(TimerMT,MATCH(C245,FaseKode,0))))</f>
        <v/>
      </c>
      <c r="G245">
        <f>IF(D245="F",0,IF(WEEKDAY($A245,2)=5,INDEX(TimerFr,MATCH(D245,FaseKode,0)),INDEX(TimerMT,MATCH(D245,FaseKode,0))))</f>
        <v/>
      </c>
      <c r="H245">
        <f>IF(OR(H$4="",$A245&gt;TODAY()),0,IF(OR(INDEX($B245:$D245,H$5)="F",AND(H$6&gt;0,$A245&lt;H$6),AND(H$7&gt;0,$A245&gt;H$7)),0,MAX(0,ROUND((INDEX($E245:$G245,H$5)-SUMIFS(TF_Timer,TF_Tekniker,H$4,TF_Dato,$A245))*2,0)/2)))</f>
        <v/>
      </c>
      <c r="I245">
        <f>IF(OR(I$4="",$A245&gt;TODAY()),0,IF(OR(INDEX($B245:$D245,I$5)="F",AND(I$6&gt;0,$A245&lt;I$6),AND(I$7&gt;0,$A245&gt;I$7)),0,MAX(0,ROUND((INDEX($E245:$G245,I$5)-SUMIFS(TF_Timer,TF_Tekniker,I$4,TF_Dato,$A245))*2,0)/2)))</f>
        <v/>
      </c>
      <c r="J245">
        <f>IF(OR(J$4="",$A245&gt;TODAY()),0,IF(OR(INDEX($B245:$D245,J$5)="F",AND(J$6&gt;0,$A245&lt;J$6),AND(J$7&gt;0,$A245&gt;J$7)),0,MAX(0,ROUND((INDEX($E245:$G245,J$5)-SUMIFS(TF_Timer,TF_Tekniker,J$4,TF_Dato,$A245))*2,0)/2)))</f>
        <v/>
      </c>
      <c r="K245">
        <f>IF(OR(K$4="",$A245&gt;TODAY()),0,IF(OR(INDEX($B245:$D245,K$5)="F",AND(K$6&gt;0,$A245&lt;K$6),AND(K$7&gt;0,$A245&gt;K$7)),0,MAX(0,ROUND((INDEX($E245:$G245,K$5)-SUMIFS(TF_Timer,TF_Tekniker,K$4,TF_Dato,$A245))*2,0)/2)))</f>
        <v/>
      </c>
      <c r="L245">
        <f>IF(OR(L$4="",$A245&gt;TODAY()),0,IF(OR(INDEX($B245:$D245,L$5)="F",AND(L$6&gt;0,$A245&lt;L$6),AND(L$7&gt;0,$A245&gt;L$7)),0,MAX(0,ROUND((INDEX($E245:$G245,L$5)-SUMIFS(TF_Timer,TF_Tekniker,L$4,TF_Dato,$A245))*2,0)/2)))</f>
        <v/>
      </c>
      <c r="M245">
        <f>IF(OR(M$4="",$A245&gt;TODAY()),0,IF(OR(INDEX($B245:$D245,M$5)="F",AND(M$6&gt;0,$A245&lt;M$6),AND(M$7&gt;0,$A245&gt;M$7)),0,MAX(0,ROUND((INDEX($E245:$G245,M$5)-SUMIFS(TF_Timer,TF_Tekniker,M$4,TF_Dato,$A245))*2,0)/2)))</f>
        <v/>
      </c>
      <c r="N245">
        <f>IF(OR(N$4="",$A245&gt;TODAY()),0,IF(OR(INDEX($B245:$D245,N$5)="F",AND(N$6&gt;0,$A245&lt;N$6),AND(N$7&gt;0,$A245&gt;N$7)),0,MAX(0,ROUND((INDEX($E245:$G245,N$5)-SUMIFS(TF_Timer,TF_Tekniker,N$4,TF_Dato,$A245))*2,0)/2)))</f>
        <v/>
      </c>
      <c r="O245">
        <f>IF(OR(O$4="",$A245&gt;TODAY()),0,IF(OR(INDEX($B245:$D245,O$5)="F",AND(O$6&gt;0,$A245&lt;O$6),AND(O$7&gt;0,$A245&gt;O$7)),0,MAX(0,ROUND((INDEX($E245:$G245,O$5)-SUMIFS(TF_Timer,TF_Tekniker,O$4,TF_Dato,$A245))*2,0)/2)))</f>
        <v/>
      </c>
      <c r="P245">
        <f>IF(OR(P$4="",$A245&gt;TODAY()),0,IF(OR(INDEX($B245:$D245,P$5)="F",AND(P$6&gt;0,$A245&lt;P$6),AND(P$7&gt;0,$A245&gt;P$7)),0,MAX(0,ROUND((INDEX($E245:$G245,P$5)-SUMIFS(TF_Timer,TF_Tekniker,P$4,TF_Dato,$A245))*2,0)/2)))</f>
        <v/>
      </c>
      <c r="Q245">
        <f>IF(OR(Q$4="",$A245&gt;TODAY()),0,IF(OR(INDEX($B245:$D245,Q$5)="F",AND(Q$6&gt;0,$A245&lt;Q$6),AND(Q$7&gt;0,$A245&gt;Q$7)),0,MAX(0,ROUND((INDEX($E245:$G245,Q$5)-SUMIFS(TF_Timer,TF_Tekniker,Q$4,TF_Dato,$A245))*2,0)/2)))</f>
        <v/>
      </c>
      <c r="R245">
        <f>IF(OR(R$4="",$A245&gt;TODAY()),0,IF(OR(INDEX($B245:$D245,R$5)="F",AND(R$6&gt;0,$A245&lt;R$6),AND(R$7&gt;0,$A245&gt;R$7)),0,MAX(0,ROUND((INDEX($E245:$G245,R$5)-SUMIFS(TF_Timer,TF_Tekniker,R$4,TF_Dato,$A245))*2,0)/2)))</f>
        <v/>
      </c>
      <c r="S245">
        <f>IF(OR(S$4="",$A245&gt;TODAY()),0,IF(OR(INDEX($B245:$D245,S$5)="F",AND(S$6&gt;0,$A245&lt;S$6),AND(S$7&gt;0,$A245&gt;S$7)),0,MAX(0,ROUND((INDEX($E245:$G245,S$5)-SUMIFS(TF_Timer,TF_Tekniker,S$4,TF_Dato,$A245))*2,0)/2)))</f>
        <v/>
      </c>
      <c r="T245">
        <f>IF(OR(T$4="",$A245&gt;TODAY()),0,IF(OR(INDEX($B245:$D245,T$5)="F",AND(T$6&gt;0,$A245&lt;T$6),AND(T$7&gt;0,$A245&gt;T$7)),0,MAX(0,ROUND((INDEX($E245:$G245,T$5)-SUMIFS(TF_Timer,TF_Tekniker,T$4,TF_Dato,$A245))*2,0)/2)))</f>
        <v/>
      </c>
      <c r="U245">
        <f>IF(OR(U$4="",$A245&gt;TODAY()),0,IF(OR(INDEX($B245:$D245,U$5)="F",AND(U$6&gt;0,$A245&lt;U$6),AND(U$7&gt;0,$A245&gt;U$7)),0,MAX(0,ROUND((INDEX($E245:$G245,U$5)-SUMIFS(TF_Timer,TF_Tekniker,U$4,TF_Dato,$A245))*2,0)/2)))</f>
        <v/>
      </c>
      <c r="V245">
        <f>IF(OR(V$4="",$A245&gt;TODAY()),0,IF(OR(INDEX($B245:$D245,V$5)="F",AND(V$6&gt;0,$A245&lt;V$6),AND(V$7&gt;0,$A245&gt;V$7)),0,MAX(0,ROUND((INDEX($E245:$G245,V$5)-SUMIFS(TF_Timer,TF_Tekniker,V$4,TF_Dato,$A245))*2,0)/2)))</f>
        <v/>
      </c>
      <c r="W245">
        <f>IF(OR(W$4="",$A245&gt;TODAY()),0,IF(OR(INDEX($B245:$D245,W$5)="F",AND(W$6&gt;0,$A245&lt;W$6),AND(W$7&gt;0,$A245&gt;W$7)),0,MAX(0,ROUND((INDEX($E245:$G245,W$5)-SUMIFS(TF_Timer,TF_Tekniker,W$4,TF_Dato,$A245))*2,0)/2)))</f>
        <v/>
      </c>
      <c r="X245">
        <f>IF(OR(X$4="",$A245&gt;TODAY()),0,IF(OR(INDEX($B245:$D245,X$5)="F",AND(X$6&gt;0,$A245&lt;X$6),AND(X$7&gt;0,$A245&gt;X$7)),0,MAX(0,ROUND((INDEX($E245:$G245,X$5)-SUMIFS(TF_Timer,TF_Tekniker,X$4,TF_Dato,$A245))*2,0)/2)))</f>
        <v/>
      </c>
      <c r="Y245">
        <f>IF(OR(Y$4="",$A245&gt;TODAY()),0,IF(OR(INDEX($B245:$D245,Y$5)="F",AND(Y$6&gt;0,$A245&lt;Y$6),AND(Y$7&gt;0,$A245&gt;Y$7)),0,MAX(0,ROUND((INDEX($E245:$G245,Y$5)-SUMIFS(TF_Timer,TF_Tekniker,Y$4,TF_Dato,$A245))*2,0)/2)))</f>
        <v/>
      </c>
      <c r="Z245">
        <f>IF(OR(Z$4="",$A245&gt;TODAY()),0,IF(OR(INDEX($B245:$D245,Z$5)="F",AND(Z$6&gt;0,$A245&lt;Z$6),AND(Z$7&gt;0,$A245&gt;Z$7)),0,MAX(0,ROUND((INDEX($E245:$G245,Z$5)-SUMIFS(TF_Timer,TF_Tekniker,Z$4,TF_Dato,$A245))*2,0)/2)))</f>
        <v/>
      </c>
      <c r="AA245">
        <f>IF(OR(AA$4="",$A245&gt;TODAY()),0,IF(OR(INDEX($B245:$D245,AA$5)="F",AND(AA$6&gt;0,$A245&lt;AA$6),AND(AA$7&gt;0,$A245&gt;AA$7)),0,MAX(0,ROUND((INDEX($E245:$G245,AA$5)-SUMIFS(TF_Timer,TF_Tekniker,AA$4,TF_Dato,$A245))*2,0)/2)))</f>
        <v/>
      </c>
      <c r="AB245">
        <f>IF(OR(AB$4="",$A245&gt;TODAY()),0,IF(OR(INDEX($B245:$D245,AB$5)="F",AND(AB$6&gt;0,$A245&lt;AB$6),AND(AB$7&gt;0,$A245&gt;AB$7)),0,MAX(0,ROUND((INDEX($E245:$G245,AB$5)-SUMIFS(TF_Timer,TF_Tekniker,AB$4,TF_Dato,$A245))*2,0)/2)))</f>
        <v/>
      </c>
      <c r="AC245">
        <f>IF(OR(AC$4="",$A245&gt;TODAY()),0,IF(OR(INDEX($B245:$D245,AC$5)="F",AND(AC$6&gt;0,$A245&lt;AC$6),AND(AC$7&gt;0,$A245&gt;AC$7)),0,MAX(0,ROUND((INDEX($E245:$G245,AC$5)-SUMIFS(TF_Timer,TF_Tekniker,AC$4,TF_Dato,$A245))*2,0)/2)))</f>
        <v/>
      </c>
      <c r="AD245">
        <f>IF(OR(AD$4="",$A245&gt;TODAY()),0,IF(OR(INDEX($B245:$D245,AD$5)="F",AND(AD$6&gt;0,$A245&lt;AD$6),AND(AD$7&gt;0,$A245&gt;AD$7)),0,MAX(0,ROUND((INDEX($E245:$G245,AD$5)-SUMIFS(TF_Timer,TF_Tekniker,AD$4,TF_Dato,$A245))*2,0)/2)))</f>
        <v/>
      </c>
      <c r="AE245">
        <f>IF(OR(AE$4="",$A245&gt;TODAY()),0,IF(OR(INDEX($B245:$D245,AE$5)="F",AND(AE$6&gt;0,$A245&lt;AE$6),AND(AE$7&gt;0,$A245&gt;AE$7)),0,MAX(0,ROUND((INDEX($E245:$G245,AE$5)-SUMIFS(TF_Timer,TF_Tekniker,AE$4,TF_Dato,$A245))*2,0)/2)))</f>
        <v/>
      </c>
      <c r="AF245">
        <f>IF(OR(AF$4="",$A245&gt;TODAY()),0,IF(OR(INDEX($B245:$D245,AF$5)="F",AND(AF$6&gt;0,$A245&lt;AF$6),AND(AF$7&gt;0,$A245&gt;AF$7)),0,MAX(0,ROUND((INDEX($E245:$G245,AF$5)-SUMIFS(TF_Timer,TF_Tekniker,AF$4,TF_Dato,$A245))*2,0)/2)))</f>
        <v/>
      </c>
      <c r="AG245">
        <f>IF(OR(AG$4="",$A245&gt;TODAY()),0,IF(OR(INDEX($B245:$D245,AG$5)="F",AND(AG$6&gt;0,$A245&lt;AG$6),AND(AG$7&gt;0,$A245&gt;AG$7)),0,MAX(0,ROUND((INDEX($E245:$G245,AG$5)-SUMIFS(TF_Timer,TF_Tekniker,AG$4,TF_Dato,$A245))*2,0)/2)))</f>
        <v/>
      </c>
      <c r="AH245">
        <f>IF(OR(AH$4="",$A245&gt;TODAY()),0,IF(OR(INDEX($B245:$D245,AH$5)="F",AND(AH$6&gt;0,$A245&lt;AH$6),AND(AH$7&gt;0,$A245&gt;AH$7)),0,MAX(0,ROUND((INDEX($E245:$G245,AH$5)-SUMIFS(TF_Timer,TF_Tekniker,AH$4,TF_Dato,$A245))*2,0)/2)))</f>
        <v/>
      </c>
      <c r="AI245">
        <f>IF(OR(AI$4="",$A245&gt;TODAY()),0,IF(OR(INDEX($B245:$D245,AI$5)="F",AND(AI$6&gt;0,$A245&lt;AI$6),AND(AI$7&gt;0,$A245&gt;AI$7)),0,MAX(0,ROUND((INDEX($E245:$G245,AI$5)-SUMIFS(TF_Timer,TF_Tekniker,AI$4,TF_Dato,$A245))*2,0)/2)))</f>
        <v/>
      </c>
      <c r="AJ245">
        <f>IF(OR(AJ$4="",$A245&gt;TODAY()),0,IF(OR(INDEX($B245:$D245,AJ$5)="F",AND(AJ$6&gt;0,$A245&lt;AJ$6),AND(AJ$7&gt;0,$A245&gt;AJ$7)),0,MAX(0,ROUND((INDEX($E245:$G245,AJ$5)-SUMIFS(TF_Timer,TF_Tekniker,AJ$4,TF_Dato,$A245))*2,0)/2)))</f>
        <v/>
      </c>
      <c r="AK245">
        <f>IF(OR(AK$4="",$A245&gt;TODAY()),0,IF(OR(INDEX($B245:$D245,AK$5)="F",AND(AK$6&gt;0,$A245&lt;AK$6),AND(AK$7&gt;0,$A245&gt;AK$7)),0,MAX(0,ROUND((INDEX($E245:$G245,AK$5)-SUMIFS(TF_Timer,TF_Tekniker,AK$4,TF_Dato,$A245))*2,0)/2)))</f>
        <v/>
      </c>
      <c r="AL245">
        <f>IF(OR(AL$4="",$A245&gt;TODAY()),0,IF(OR(INDEX($B245:$D245,AL$5)="F",AND(AL$6&gt;0,$A245&lt;AL$6),AND(AL$7&gt;0,$A245&gt;AL$7)),0,MAX(0,ROUND((INDEX($E245:$G245,AL$5)-SUMIFS(TF_Timer,TF_Tekniker,AL$4,TF_Dato,$A245))*2,0)/2)))</f>
        <v/>
      </c>
      <c r="AM245">
        <f>IF(OR(AM$4="",$A245&gt;TODAY()),0,IF(OR(INDEX($B245:$D245,AM$5)="F",AND(AM$6&gt;0,$A245&lt;AM$6),AND(AM$7&gt;0,$A245&gt;AM$7)),0,MAX(0,ROUND((INDEX($E245:$G245,AM$5)-SUMIFS(TF_Timer,TF_Tekniker,AM$4,TF_Dato,$A245))*2,0)/2)))</f>
        <v/>
      </c>
      <c r="AN245">
        <f>IF(OR(AN$4="",$A245&gt;TODAY()),0,IF(OR(INDEX($B245:$D245,AN$5)="F",AND(AN$6&gt;0,$A245&lt;AN$6),AND(AN$7&gt;0,$A245&gt;AN$7)),0,MAX(0,ROUND((INDEX($E245:$G245,AN$5)-SUMIFS(TF_Timer,TF_Tekniker,AN$4,TF_Dato,$A245))*2,0)/2)))</f>
        <v/>
      </c>
      <c r="AO245">
        <f>IF(OR(AO$4="",$A245&gt;TODAY()),0,IF(OR(INDEX($B245:$D245,AO$5)="F",AND(AO$6&gt;0,$A245&lt;AO$6),AND(AO$7&gt;0,$A245&gt;AO$7)),0,MAX(0,ROUND((INDEX($E245:$G245,AO$5)-SUMIFS(TF_Timer,TF_Tekniker,AO$4,TF_Dato,$A245))*2,0)/2)))</f>
        <v/>
      </c>
      <c r="AP245">
        <f>IF(OR(AP$4="",$A245&gt;TODAY()),0,IF(OR(INDEX($B245:$D245,AP$5)="F",AND(AP$6&gt;0,$A245&lt;AP$6),AND(AP$7&gt;0,$A245&gt;AP$7)),0,MAX(0,ROUND((INDEX($E245:$G245,AP$5)-SUMIFS(TF_Timer,TF_Tekniker,AP$4,TF_Dato,$A245))*2,0)/2)))</f>
        <v/>
      </c>
      <c r="AQ245">
        <f>IF(OR(AQ$4="",$A245&gt;TODAY()),0,IF(OR(INDEX($B245:$D245,AQ$5)="F",AND(AQ$6&gt;0,$A245&lt;AQ$6),AND(AQ$7&gt;0,$A245&gt;AQ$7)),0,MAX(0,ROUND((INDEX($E245:$G245,AQ$5)-SUMIFS(TF_Timer,TF_Tekniker,AQ$4,TF_Dato,$A245))*2,0)/2)))</f>
        <v/>
      </c>
      <c r="AR245">
        <f>IF(OR(AR$4="",$A245&gt;TODAY()),0,IF(OR(INDEX($B245:$D245,AR$5)="F",AND(AR$6&gt;0,$A245&lt;AR$6),AND(AR$7&gt;0,$A245&gt;AR$7)),0,MAX(0,ROUND((INDEX($E245:$G245,AR$5)-SUMIFS(TF_Timer,TF_Tekniker,AR$4,TF_Dato,$A245))*2,0)/2)))</f>
        <v/>
      </c>
      <c r="AS245">
        <f>IF(OR(AS$4="",$A245&gt;TODAY()),0,IF(OR(INDEX($B245:$D245,AS$5)="F",AND(AS$6&gt;0,$A245&lt;AS$6),AND(AS$7&gt;0,$A245&gt;AS$7)),0,MAX(0,ROUND((INDEX($E245:$G245,AS$5)-SUMIFS(TF_Timer,TF_Tekniker,AS$4,TF_Dato,$A245))*2,0)/2)))</f>
        <v/>
      </c>
      <c r="AT245">
        <f>IF(OR(AT$4="",$A245&gt;TODAY()),0,IF(OR(INDEX($B245:$D245,AT$5)="F",AND(AT$6&gt;0,$A245&lt;AT$6),AND(AT$7&gt;0,$A245&gt;AT$7)),0,MAX(0,ROUND((INDEX($E245:$G245,AT$5)-SUMIFS(TF_Timer,TF_Tekniker,AT$4,TF_Dato,$A245))*2,0)/2)))</f>
        <v/>
      </c>
      <c r="AU245">
        <f>IF(OR(AU$4="",$A245&gt;TODAY()),0,IF(OR(INDEX($B245:$D245,AU$5)="F",AND(AU$6&gt;0,$A245&lt;AU$6),AND(AU$7&gt;0,$A245&gt;AU$7)),0,MAX(0,ROUND((INDEX($E245:$G245,AU$5)-SUMIFS(TF_Timer,TF_Tekniker,AU$4,TF_Dato,$A245))*2,0)/2)))</f>
        <v/>
      </c>
      <c r="AV245">
        <f>IF(OR(AV$4="",$A245&gt;TODAY()),0,IF(OR(INDEX($B245:$D245,AV$5)="F",AND(AV$6&gt;0,$A245&lt;AV$6),AND(AV$7&gt;0,$A245&gt;AV$7)),0,MAX(0,ROUND((INDEX($E245:$G245,AV$5)-SUMIFS(TF_Timer,TF_Tekniker,AV$4,TF_Dato,$A245))*2,0)/2)))</f>
        <v/>
      </c>
      <c r="AW245">
        <f>IF(OR(AW$4="",$A245&gt;TODAY()),0,IF(OR(INDEX($B245:$D245,AW$5)="F",AND(AW$6&gt;0,$A245&lt;AW$6),AND(AW$7&gt;0,$A245&gt;AW$7)),0,MAX(0,ROUND((INDEX($E245:$G245,AW$5)-SUMIFS(TF_Timer,TF_Tekniker,AW$4,TF_Dato,$A245))*2,0)/2)))</f>
        <v/>
      </c>
      <c r="AX245">
        <f>IF(OR(AX$4="",$A245&gt;TODAY()),0,IF(OR(INDEX($B245:$D245,AX$5)="F",AND(AX$6&gt;0,$A245&lt;AX$6),AND(AX$7&gt;0,$A245&gt;AX$7)),0,MAX(0,ROUND((INDEX($E245:$G245,AX$5)-SUMIFS(TF_Timer,TF_Tekniker,AX$4,TF_Dato,$A245))*2,0)/2)))</f>
        <v/>
      </c>
      <c r="AY245">
        <f>IF(OR(AY$4="",$A245&gt;TODAY()),0,IF(OR(INDEX($B245:$D245,AY$5)="F",AND(AY$6&gt;0,$A245&lt;AY$6),AND(AY$7&gt;0,$A245&gt;AY$7)),0,MAX(0,ROUND((INDEX($E245:$G245,AY$5)-SUMIFS(TF_Timer,TF_Tekniker,AY$4,TF_Dato,$A245))*2,0)/2)))</f>
        <v/>
      </c>
      <c r="AZ245">
        <f>IF(OR(AZ$4="",$A245&gt;TODAY()),0,IF(OR(INDEX($B245:$D245,AZ$5)="F",AND(AZ$6&gt;0,$A245&lt;AZ$6),AND(AZ$7&gt;0,$A245&gt;AZ$7)),0,MAX(0,ROUND((INDEX($E245:$G245,AZ$5)-SUMIFS(TF_Timer,TF_Tekniker,AZ$4,TF_Dato,$A245))*2,0)/2)))</f>
        <v/>
      </c>
      <c r="BA245">
        <f>IF(OR(BA$4="",$A245&gt;TODAY()),0,IF(OR(INDEX($B245:$D245,BA$5)="F",AND(BA$6&gt;0,$A245&lt;BA$6),AND(BA$7&gt;0,$A245&gt;BA$7)),0,MAX(0,ROUND((INDEX($E245:$G245,BA$5)-SUMIFS(TF_Timer,TF_Tekniker,BA$4,TF_Dato,$A245))*2,0)/2)))</f>
        <v/>
      </c>
      <c r="BB245">
        <f>IF(OR(BB$4="",$A245&gt;TODAY()),0,IF(OR(INDEX($B245:$D245,BB$5)="F",AND(BB$6&gt;0,$A245&lt;BB$6),AND(BB$7&gt;0,$A245&gt;BB$7)),0,MAX(0,ROUND((INDEX($E245:$G245,BB$5)-SUMIFS(TF_Timer,TF_Tekniker,BB$4,TF_Dato,$A245))*2,0)/2)))</f>
        <v/>
      </c>
      <c r="BC245">
        <f>IF(OR(BC$4="",$A245&gt;TODAY()),0,IF(OR(INDEX($B245:$D245,BC$5)="F",AND(BC$6&gt;0,$A245&lt;BC$6),AND(BC$7&gt;0,$A245&gt;BC$7)),0,MAX(0,ROUND((INDEX($E245:$G245,BC$5)-SUMIFS(TF_Timer,TF_Tekniker,BC$4,TF_Dato,$A245))*2,0)/2)))</f>
        <v/>
      </c>
      <c r="BD245">
        <f>IF(OR(BD$4="",$A245&gt;TODAY()),0,IF(OR(INDEX($B245:$D245,BD$5)="F",AND(BD$6&gt;0,$A245&lt;BD$6),AND(BD$7&gt;0,$A245&gt;BD$7)),0,MAX(0,ROUND((INDEX($E245:$G245,BD$5)-SUMIFS(TF_Timer,TF_Tekniker,BD$4,TF_Dato,$A245))*2,0)/2)))</f>
        <v/>
      </c>
      <c r="BE245">
        <f>IF(OR(BE$4="",$A245&gt;TODAY()),0,IF(OR(INDEX($B245:$D245,BE$5)="F",AND(BE$6&gt;0,$A245&lt;BE$6),AND(BE$7&gt;0,$A245&gt;BE$7)),0,MAX(0,ROUND((INDEX($E245:$G245,BE$5)-SUMIFS(TF_Timer,TF_Tekniker,BE$4,TF_Dato,$A245))*2,0)/2)))</f>
        <v/>
      </c>
      <c r="BF245">
        <f>IF(OR(BF$4="",$A245&gt;TODAY()),0,IF(OR(INDEX($B245:$D245,BF$5)="F",AND(BF$6&gt;0,$A245&lt;BF$6),AND(BF$7&gt;0,$A245&gt;BF$7)),0,MAX(0,ROUND((INDEX($E245:$G245,BF$5)-SUMIFS(TF_Timer,TF_Tekniker,BF$4,TF_Dato,$A245))*2,0)/2)))</f>
        <v/>
      </c>
      <c r="BG245">
        <f>IF(OR(BG$4="",$A245&gt;TODAY()),0,IF(OR(INDEX($B245:$D245,BG$5)="F",AND(BG$6&gt;0,$A245&lt;BG$6),AND(BG$7&gt;0,$A245&gt;BG$7)),0,MAX(0,ROUND((INDEX($E245:$G245,BG$5)-SUMIFS(TF_Timer,TF_Tekniker,BG$4,TF_Dato,$A245))*2,0)/2)))</f>
        <v/>
      </c>
      <c r="BH245">
        <f>IF(OR(BH$4="",$A245&gt;TODAY()),0,IF(OR(INDEX($B245:$D245,BH$5)="F",AND(BH$6&gt;0,$A245&lt;BH$6),AND(BH$7&gt;0,$A245&gt;BH$7)),0,MAX(0,ROUND((INDEX($E245:$G245,BH$5)-SUMIFS(TF_Timer,TF_Tekniker,BH$4,TF_Dato,$A245))*2,0)/2)))</f>
        <v/>
      </c>
      <c r="BI245">
        <f>IF(OR(BI$4="",$A245&gt;TODAY()),0,IF(OR(INDEX($B245:$D245,BI$5)="F",AND(BI$6&gt;0,$A245&lt;BI$6),AND(BI$7&gt;0,$A245&gt;BI$7)),0,MAX(0,ROUND((INDEX($E245:$G245,BI$5)-SUMIFS(TF_Timer,TF_Tekniker,BI$4,TF_Dato,$A245))*2,0)/2)))</f>
        <v/>
      </c>
    </row>
    <row r="246">
      <c r="A246" s="64">
        <f>A245+1</f>
        <v/>
      </c>
      <c r="B246">
        <f>IF(MOD($A246-INDEX(SkiftStart,1),Syklus)&lt;DagK,"K",IF(MOD($A246-INDEX(SkiftStart,1),Syklus)&lt;DagK+DagH,"H",IF(MOD($A246-INDEX(SkiftStart,1),Syklus)&lt;DagK+DagH+DagD,"D","F")))</f>
        <v/>
      </c>
      <c r="C246">
        <f>IF(MOD($A246-INDEX(SkiftStart,2),Syklus)&lt;DagK,"K",IF(MOD($A246-INDEX(SkiftStart,2),Syklus)&lt;DagK+DagH,"H",IF(MOD($A246-INDEX(SkiftStart,2),Syklus)&lt;DagK+DagH+DagD,"D","F")))</f>
        <v/>
      </c>
      <c r="D246">
        <f>IF(MOD($A246-INDEX(SkiftStart,3),Syklus)&lt;DagK,"K",IF(MOD($A246-INDEX(SkiftStart,3),Syklus)&lt;DagK+DagH,"H",IF(MOD($A246-INDEX(SkiftStart,3),Syklus)&lt;DagK+DagH+DagD,"D","F")))</f>
        <v/>
      </c>
      <c r="E246">
        <f>IF(B246="F",0,IF(WEEKDAY($A246,2)=5,INDEX(TimerFr,MATCH(B246,FaseKode,0)),INDEX(TimerMT,MATCH(B246,FaseKode,0))))</f>
        <v/>
      </c>
      <c r="F246">
        <f>IF(C246="F",0,IF(WEEKDAY($A246,2)=5,INDEX(TimerFr,MATCH(C246,FaseKode,0)),INDEX(TimerMT,MATCH(C246,FaseKode,0))))</f>
        <v/>
      </c>
      <c r="G246">
        <f>IF(D246="F",0,IF(WEEKDAY($A246,2)=5,INDEX(TimerFr,MATCH(D246,FaseKode,0)),INDEX(TimerMT,MATCH(D246,FaseKode,0))))</f>
        <v/>
      </c>
      <c r="H246">
        <f>IF(OR(H$4="",$A246&gt;TODAY()),0,IF(OR(INDEX($B246:$D246,H$5)="F",AND(H$6&gt;0,$A246&lt;H$6),AND(H$7&gt;0,$A246&gt;H$7)),0,MAX(0,ROUND((INDEX($E246:$G246,H$5)-SUMIFS(TF_Timer,TF_Tekniker,H$4,TF_Dato,$A246))*2,0)/2)))</f>
        <v/>
      </c>
      <c r="I246">
        <f>IF(OR(I$4="",$A246&gt;TODAY()),0,IF(OR(INDEX($B246:$D246,I$5)="F",AND(I$6&gt;0,$A246&lt;I$6),AND(I$7&gt;0,$A246&gt;I$7)),0,MAX(0,ROUND((INDEX($E246:$G246,I$5)-SUMIFS(TF_Timer,TF_Tekniker,I$4,TF_Dato,$A246))*2,0)/2)))</f>
        <v/>
      </c>
      <c r="J246">
        <f>IF(OR(J$4="",$A246&gt;TODAY()),0,IF(OR(INDEX($B246:$D246,J$5)="F",AND(J$6&gt;0,$A246&lt;J$6),AND(J$7&gt;0,$A246&gt;J$7)),0,MAX(0,ROUND((INDEX($E246:$G246,J$5)-SUMIFS(TF_Timer,TF_Tekniker,J$4,TF_Dato,$A246))*2,0)/2)))</f>
        <v/>
      </c>
      <c r="K246">
        <f>IF(OR(K$4="",$A246&gt;TODAY()),0,IF(OR(INDEX($B246:$D246,K$5)="F",AND(K$6&gt;0,$A246&lt;K$6),AND(K$7&gt;0,$A246&gt;K$7)),0,MAX(0,ROUND((INDEX($E246:$G246,K$5)-SUMIFS(TF_Timer,TF_Tekniker,K$4,TF_Dato,$A246))*2,0)/2)))</f>
        <v/>
      </c>
      <c r="L246">
        <f>IF(OR(L$4="",$A246&gt;TODAY()),0,IF(OR(INDEX($B246:$D246,L$5)="F",AND(L$6&gt;0,$A246&lt;L$6),AND(L$7&gt;0,$A246&gt;L$7)),0,MAX(0,ROUND((INDEX($E246:$G246,L$5)-SUMIFS(TF_Timer,TF_Tekniker,L$4,TF_Dato,$A246))*2,0)/2)))</f>
        <v/>
      </c>
      <c r="M246">
        <f>IF(OR(M$4="",$A246&gt;TODAY()),0,IF(OR(INDEX($B246:$D246,M$5)="F",AND(M$6&gt;0,$A246&lt;M$6),AND(M$7&gt;0,$A246&gt;M$7)),0,MAX(0,ROUND((INDEX($E246:$G246,M$5)-SUMIFS(TF_Timer,TF_Tekniker,M$4,TF_Dato,$A246))*2,0)/2)))</f>
        <v/>
      </c>
      <c r="N246">
        <f>IF(OR(N$4="",$A246&gt;TODAY()),0,IF(OR(INDEX($B246:$D246,N$5)="F",AND(N$6&gt;0,$A246&lt;N$6),AND(N$7&gt;0,$A246&gt;N$7)),0,MAX(0,ROUND((INDEX($E246:$G246,N$5)-SUMIFS(TF_Timer,TF_Tekniker,N$4,TF_Dato,$A246))*2,0)/2)))</f>
        <v/>
      </c>
      <c r="O246">
        <f>IF(OR(O$4="",$A246&gt;TODAY()),0,IF(OR(INDEX($B246:$D246,O$5)="F",AND(O$6&gt;0,$A246&lt;O$6),AND(O$7&gt;0,$A246&gt;O$7)),0,MAX(0,ROUND((INDEX($E246:$G246,O$5)-SUMIFS(TF_Timer,TF_Tekniker,O$4,TF_Dato,$A246))*2,0)/2)))</f>
        <v/>
      </c>
      <c r="P246">
        <f>IF(OR(P$4="",$A246&gt;TODAY()),0,IF(OR(INDEX($B246:$D246,P$5)="F",AND(P$6&gt;0,$A246&lt;P$6),AND(P$7&gt;0,$A246&gt;P$7)),0,MAX(0,ROUND((INDEX($E246:$G246,P$5)-SUMIFS(TF_Timer,TF_Tekniker,P$4,TF_Dato,$A246))*2,0)/2)))</f>
        <v/>
      </c>
      <c r="Q246">
        <f>IF(OR(Q$4="",$A246&gt;TODAY()),0,IF(OR(INDEX($B246:$D246,Q$5)="F",AND(Q$6&gt;0,$A246&lt;Q$6),AND(Q$7&gt;0,$A246&gt;Q$7)),0,MAX(0,ROUND((INDEX($E246:$G246,Q$5)-SUMIFS(TF_Timer,TF_Tekniker,Q$4,TF_Dato,$A246))*2,0)/2)))</f>
        <v/>
      </c>
      <c r="R246">
        <f>IF(OR(R$4="",$A246&gt;TODAY()),0,IF(OR(INDEX($B246:$D246,R$5)="F",AND(R$6&gt;0,$A246&lt;R$6),AND(R$7&gt;0,$A246&gt;R$7)),0,MAX(0,ROUND((INDEX($E246:$G246,R$5)-SUMIFS(TF_Timer,TF_Tekniker,R$4,TF_Dato,$A246))*2,0)/2)))</f>
        <v/>
      </c>
      <c r="S246">
        <f>IF(OR(S$4="",$A246&gt;TODAY()),0,IF(OR(INDEX($B246:$D246,S$5)="F",AND(S$6&gt;0,$A246&lt;S$6),AND(S$7&gt;0,$A246&gt;S$7)),0,MAX(0,ROUND((INDEX($E246:$G246,S$5)-SUMIFS(TF_Timer,TF_Tekniker,S$4,TF_Dato,$A246))*2,0)/2)))</f>
        <v/>
      </c>
      <c r="T246">
        <f>IF(OR(T$4="",$A246&gt;TODAY()),0,IF(OR(INDEX($B246:$D246,T$5)="F",AND(T$6&gt;0,$A246&lt;T$6),AND(T$7&gt;0,$A246&gt;T$7)),0,MAX(0,ROUND((INDEX($E246:$G246,T$5)-SUMIFS(TF_Timer,TF_Tekniker,T$4,TF_Dato,$A246))*2,0)/2)))</f>
        <v/>
      </c>
      <c r="U246">
        <f>IF(OR(U$4="",$A246&gt;TODAY()),0,IF(OR(INDEX($B246:$D246,U$5)="F",AND(U$6&gt;0,$A246&lt;U$6),AND(U$7&gt;0,$A246&gt;U$7)),0,MAX(0,ROUND((INDEX($E246:$G246,U$5)-SUMIFS(TF_Timer,TF_Tekniker,U$4,TF_Dato,$A246))*2,0)/2)))</f>
        <v/>
      </c>
      <c r="V246">
        <f>IF(OR(V$4="",$A246&gt;TODAY()),0,IF(OR(INDEX($B246:$D246,V$5)="F",AND(V$6&gt;0,$A246&lt;V$6),AND(V$7&gt;0,$A246&gt;V$7)),0,MAX(0,ROUND((INDEX($E246:$G246,V$5)-SUMIFS(TF_Timer,TF_Tekniker,V$4,TF_Dato,$A246))*2,0)/2)))</f>
        <v/>
      </c>
      <c r="W246">
        <f>IF(OR(W$4="",$A246&gt;TODAY()),0,IF(OR(INDEX($B246:$D246,W$5)="F",AND(W$6&gt;0,$A246&lt;W$6),AND(W$7&gt;0,$A246&gt;W$7)),0,MAX(0,ROUND((INDEX($E246:$G246,W$5)-SUMIFS(TF_Timer,TF_Tekniker,W$4,TF_Dato,$A246))*2,0)/2)))</f>
        <v/>
      </c>
      <c r="X246">
        <f>IF(OR(X$4="",$A246&gt;TODAY()),0,IF(OR(INDEX($B246:$D246,X$5)="F",AND(X$6&gt;0,$A246&lt;X$6),AND(X$7&gt;0,$A246&gt;X$7)),0,MAX(0,ROUND((INDEX($E246:$G246,X$5)-SUMIFS(TF_Timer,TF_Tekniker,X$4,TF_Dato,$A246))*2,0)/2)))</f>
        <v/>
      </c>
      <c r="Y246">
        <f>IF(OR(Y$4="",$A246&gt;TODAY()),0,IF(OR(INDEX($B246:$D246,Y$5)="F",AND(Y$6&gt;0,$A246&lt;Y$6),AND(Y$7&gt;0,$A246&gt;Y$7)),0,MAX(0,ROUND((INDEX($E246:$G246,Y$5)-SUMIFS(TF_Timer,TF_Tekniker,Y$4,TF_Dato,$A246))*2,0)/2)))</f>
        <v/>
      </c>
      <c r="Z246">
        <f>IF(OR(Z$4="",$A246&gt;TODAY()),0,IF(OR(INDEX($B246:$D246,Z$5)="F",AND(Z$6&gt;0,$A246&lt;Z$6),AND(Z$7&gt;0,$A246&gt;Z$7)),0,MAX(0,ROUND((INDEX($E246:$G246,Z$5)-SUMIFS(TF_Timer,TF_Tekniker,Z$4,TF_Dato,$A246))*2,0)/2)))</f>
        <v/>
      </c>
      <c r="AA246">
        <f>IF(OR(AA$4="",$A246&gt;TODAY()),0,IF(OR(INDEX($B246:$D246,AA$5)="F",AND(AA$6&gt;0,$A246&lt;AA$6),AND(AA$7&gt;0,$A246&gt;AA$7)),0,MAX(0,ROUND((INDEX($E246:$G246,AA$5)-SUMIFS(TF_Timer,TF_Tekniker,AA$4,TF_Dato,$A246))*2,0)/2)))</f>
        <v/>
      </c>
      <c r="AB246">
        <f>IF(OR(AB$4="",$A246&gt;TODAY()),0,IF(OR(INDEX($B246:$D246,AB$5)="F",AND(AB$6&gt;0,$A246&lt;AB$6),AND(AB$7&gt;0,$A246&gt;AB$7)),0,MAX(0,ROUND((INDEX($E246:$G246,AB$5)-SUMIFS(TF_Timer,TF_Tekniker,AB$4,TF_Dato,$A246))*2,0)/2)))</f>
        <v/>
      </c>
      <c r="AC246">
        <f>IF(OR(AC$4="",$A246&gt;TODAY()),0,IF(OR(INDEX($B246:$D246,AC$5)="F",AND(AC$6&gt;0,$A246&lt;AC$6),AND(AC$7&gt;0,$A246&gt;AC$7)),0,MAX(0,ROUND((INDEX($E246:$G246,AC$5)-SUMIFS(TF_Timer,TF_Tekniker,AC$4,TF_Dato,$A246))*2,0)/2)))</f>
        <v/>
      </c>
      <c r="AD246">
        <f>IF(OR(AD$4="",$A246&gt;TODAY()),0,IF(OR(INDEX($B246:$D246,AD$5)="F",AND(AD$6&gt;0,$A246&lt;AD$6),AND(AD$7&gt;0,$A246&gt;AD$7)),0,MAX(0,ROUND((INDEX($E246:$G246,AD$5)-SUMIFS(TF_Timer,TF_Tekniker,AD$4,TF_Dato,$A246))*2,0)/2)))</f>
        <v/>
      </c>
      <c r="AE246">
        <f>IF(OR(AE$4="",$A246&gt;TODAY()),0,IF(OR(INDEX($B246:$D246,AE$5)="F",AND(AE$6&gt;0,$A246&lt;AE$6),AND(AE$7&gt;0,$A246&gt;AE$7)),0,MAX(0,ROUND((INDEX($E246:$G246,AE$5)-SUMIFS(TF_Timer,TF_Tekniker,AE$4,TF_Dato,$A246))*2,0)/2)))</f>
        <v/>
      </c>
      <c r="AF246">
        <f>IF(OR(AF$4="",$A246&gt;TODAY()),0,IF(OR(INDEX($B246:$D246,AF$5)="F",AND(AF$6&gt;0,$A246&lt;AF$6),AND(AF$7&gt;0,$A246&gt;AF$7)),0,MAX(0,ROUND((INDEX($E246:$G246,AF$5)-SUMIFS(TF_Timer,TF_Tekniker,AF$4,TF_Dato,$A246))*2,0)/2)))</f>
        <v/>
      </c>
      <c r="AG246">
        <f>IF(OR(AG$4="",$A246&gt;TODAY()),0,IF(OR(INDEX($B246:$D246,AG$5)="F",AND(AG$6&gt;0,$A246&lt;AG$6),AND(AG$7&gt;0,$A246&gt;AG$7)),0,MAX(0,ROUND((INDEX($E246:$G246,AG$5)-SUMIFS(TF_Timer,TF_Tekniker,AG$4,TF_Dato,$A246))*2,0)/2)))</f>
        <v/>
      </c>
      <c r="AH246">
        <f>IF(OR(AH$4="",$A246&gt;TODAY()),0,IF(OR(INDEX($B246:$D246,AH$5)="F",AND(AH$6&gt;0,$A246&lt;AH$6),AND(AH$7&gt;0,$A246&gt;AH$7)),0,MAX(0,ROUND((INDEX($E246:$G246,AH$5)-SUMIFS(TF_Timer,TF_Tekniker,AH$4,TF_Dato,$A246))*2,0)/2)))</f>
        <v/>
      </c>
      <c r="AI246">
        <f>IF(OR(AI$4="",$A246&gt;TODAY()),0,IF(OR(INDEX($B246:$D246,AI$5)="F",AND(AI$6&gt;0,$A246&lt;AI$6),AND(AI$7&gt;0,$A246&gt;AI$7)),0,MAX(0,ROUND((INDEX($E246:$G246,AI$5)-SUMIFS(TF_Timer,TF_Tekniker,AI$4,TF_Dato,$A246))*2,0)/2)))</f>
        <v/>
      </c>
      <c r="AJ246">
        <f>IF(OR(AJ$4="",$A246&gt;TODAY()),0,IF(OR(INDEX($B246:$D246,AJ$5)="F",AND(AJ$6&gt;0,$A246&lt;AJ$6),AND(AJ$7&gt;0,$A246&gt;AJ$7)),0,MAX(0,ROUND((INDEX($E246:$G246,AJ$5)-SUMIFS(TF_Timer,TF_Tekniker,AJ$4,TF_Dato,$A246))*2,0)/2)))</f>
        <v/>
      </c>
      <c r="AK246">
        <f>IF(OR(AK$4="",$A246&gt;TODAY()),0,IF(OR(INDEX($B246:$D246,AK$5)="F",AND(AK$6&gt;0,$A246&lt;AK$6),AND(AK$7&gt;0,$A246&gt;AK$7)),0,MAX(0,ROUND((INDEX($E246:$G246,AK$5)-SUMIFS(TF_Timer,TF_Tekniker,AK$4,TF_Dato,$A246))*2,0)/2)))</f>
        <v/>
      </c>
      <c r="AL246">
        <f>IF(OR(AL$4="",$A246&gt;TODAY()),0,IF(OR(INDEX($B246:$D246,AL$5)="F",AND(AL$6&gt;0,$A246&lt;AL$6),AND(AL$7&gt;0,$A246&gt;AL$7)),0,MAX(0,ROUND((INDEX($E246:$G246,AL$5)-SUMIFS(TF_Timer,TF_Tekniker,AL$4,TF_Dato,$A246))*2,0)/2)))</f>
        <v/>
      </c>
      <c r="AM246">
        <f>IF(OR(AM$4="",$A246&gt;TODAY()),0,IF(OR(INDEX($B246:$D246,AM$5)="F",AND(AM$6&gt;0,$A246&lt;AM$6),AND(AM$7&gt;0,$A246&gt;AM$7)),0,MAX(0,ROUND((INDEX($E246:$G246,AM$5)-SUMIFS(TF_Timer,TF_Tekniker,AM$4,TF_Dato,$A246))*2,0)/2)))</f>
        <v/>
      </c>
      <c r="AN246">
        <f>IF(OR(AN$4="",$A246&gt;TODAY()),0,IF(OR(INDEX($B246:$D246,AN$5)="F",AND(AN$6&gt;0,$A246&lt;AN$6),AND(AN$7&gt;0,$A246&gt;AN$7)),0,MAX(0,ROUND((INDEX($E246:$G246,AN$5)-SUMIFS(TF_Timer,TF_Tekniker,AN$4,TF_Dato,$A246))*2,0)/2)))</f>
        <v/>
      </c>
      <c r="AO246">
        <f>IF(OR(AO$4="",$A246&gt;TODAY()),0,IF(OR(INDEX($B246:$D246,AO$5)="F",AND(AO$6&gt;0,$A246&lt;AO$6),AND(AO$7&gt;0,$A246&gt;AO$7)),0,MAX(0,ROUND((INDEX($E246:$G246,AO$5)-SUMIFS(TF_Timer,TF_Tekniker,AO$4,TF_Dato,$A246))*2,0)/2)))</f>
        <v/>
      </c>
      <c r="AP246">
        <f>IF(OR(AP$4="",$A246&gt;TODAY()),0,IF(OR(INDEX($B246:$D246,AP$5)="F",AND(AP$6&gt;0,$A246&lt;AP$6),AND(AP$7&gt;0,$A246&gt;AP$7)),0,MAX(0,ROUND((INDEX($E246:$G246,AP$5)-SUMIFS(TF_Timer,TF_Tekniker,AP$4,TF_Dato,$A246))*2,0)/2)))</f>
        <v/>
      </c>
      <c r="AQ246">
        <f>IF(OR(AQ$4="",$A246&gt;TODAY()),0,IF(OR(INDEX($B246:$D246,AQ$5)="F",AND(AQ$6&gt;0,$A246&lt;AQ$6),AND(AQ$7&gt;0,$A246&gt;AQ$7)),0,MAX(0,ROUND((INDEX($E246:$G246,AQ$5)-SUMIFS(TF_Timer,TF_Tekniker,AQ$4,TF_Dato,$A246))*2,0)/2)))</f>
        <v/>
      </c>
      <c r="AR246">
        <f>IF(OR(AR$4="",$A246&gt;TODAY()),0,IF(OR(INDEX($B246:$D246,AR$5)="F",AND(AR$6&gt;0,$A246&lt;AR$6),AND(AR$7&gt;0,$A246&gt;AR$7)),0,MAX(0,ROUND((INDEX($E246:$G246,AR$5)-SUMIFS(TF_Timer,TF_Tekniker,AR$4,TF_Dato,$A246))*2,0)/2)))</f>
        <v/>
      </c>
      <c r="AS246">
        <f>IF(OR(AS$4="",$A246&gt;TODAY()),0,IF(OR(INDEX($B246:$D246,AS$5)="F",AND(AS$6&gt;0,$A246&lt;AS$6),AND(AS$7&gt;0,$A246&gt;AS$7)),0,MAX(0,ROUND((INDEX($E246:$G246,AS$5)-SUMIFS(TF_Timer,TF_Tekniker,AS$4,TF_Dato,$A246))*2,0)/2)))</f>
        <v/>
      </c>
      <c r="AT246">
        <f>IF(OR(AT$4="",$A246&gt;TODAY()),0,IF(OR(INDEX($B246:$D246,AT$5)="F",AND(AT$6&gt;0,$A246&lt;AT$6),AND(AT$7&gt;0,$A246&gt;AT$7)),0,MAX(0,ROUND((INDEX($E246:$G246,AT$5)-SUMIFS(TF_Timer,TF_Tekniker,AT$4,TF_Dato,$A246))*2,0)/2)))</f>
        <v/>
      </c>
      <c r="AU246">
        <f>IF(OR(AU$4="",$A246&gt;TODAY()),0,IF(OR(INDEX($B246:$D246,AU$5)="F",AND(AU$6&gt;0,$A246&lt;AU$6),AND(AU$7&gt;0,$A246&gt;AU$7)),0,MAX(0,ROUND((INDEX($E246:$G246,AU$5)-SUMIFS(TF_Timer,TF_Tekniker,AU$4,TF_Dato,$A246))*2,0)/2)))</f>
        <v/>
      </c>
      <c r="AV246">
        <f>IF(OR(AV$4="",$A246&gt;TODAY()),0,IF(OR(INDEX($B246:$D246,AV$5)="F",AND(AV$6&gt;0,$A246&lt;AV$6),AND(AV$7&gt;0,$A246&gt;AV$7)),0,MAX(0,ROUND((INDEX($E246:$G246,AV$5)-SUMIFS(TF_Timer,TF_Tekniker,AV$4,TF_Dato,$A246))*2,0)/2)))</f>
        <v/>
      </c>
      <c r="AW246">
        <f>IF(OR(AW$4="",$A246&gt;TODAY()),0,IF(OR(INDEX($B246:$D246,AW$5)="F",AND(AW$6&gt;0,$A246&lt;AW$6),AND(AW$7&gt;0,$A246&gt;AW$7)),0,MAX(0,ROUND((INDEX($E246:$G246,AW$5)-SUMIFS(TF_Timer,TF_Tekniker,AW$4,TF_Dato,$A246))*2,0)/2)))</f>
        <v/>
      </c>
      <c r="AX246">
        <f>IF(OR(AX$4="",$A246&gt;TODAY()),0,IF(OR(INDEX($B246:$D246,AX$5)="F",AND(AX$6&gt;0,$A246&lt;AX$6),AND(AX$7&gt;0,$A246&gt;AX$7)),0,MAX(0,ROUND((INDEX($E246:$G246,AX$5)-SUMIFS(TF_Timer,TF_Tekniker,AX$4,TF_Dato,$A246))*2,0)/2)))</f>
        <v/>
      </c>
      <c r="AY246">
        <f>IF(OR(AY$4="",$A246&gt;TODAY()),0,IF(OR(INDEX($B246:$D246,AY$5)="F",AND(AY$6&gt;0,$A246&lt;AY$6),AND(AY$7&gt;0,$A246&gt;AY$7)),0,MAX(0,ROUND((INDEX($E246:$G246,AY$5)-SUMIFS(TF_Timer,TF_Tekniker,AY$4,TF_Dato,$A246))*2,0)/2)))</f>
        <v/>
      </c>
      <c r="AZ246">
        <f>IF(OR(AZ$4="",$A246&gt;TODAY()),0,IF(OR(INDEX($B246:$D246,AZ$5)="F",AND(AZ$6&gt;0,$A246&lt;AZ$6),AND(AZ$7&gt;0,$A246&gt;AZ$7)),0,MAX(0,ROUND((INDEX($E246:$G246,AZ$5)-SUMIFS(TF_Timer,TF_Tekniker,AZ$4,TF_Dato,$A246))*2,0)/2)))</f>
        <v/>
      </c>
      <c r="BA246">
        <f>IF(OR(BA$4="",$A246&gt;TODAY()),0,IF(OR(INDEX($B246:$D246,BA$5)="F",AND(BA$6&gt;0,$A246&lt;BA$6),AND(BA$7&gt;0,$A246&gt;BA$7)),0,MAX(0,ROUND((INDEX($E246:$G246,BA$5)-SUMIFS(TF_Timer,TF_Tekniker,BA$4,TF_Dato,$A246))*2,0)/2)))</f>
        <v/>
      </c>
      <c r="BB246">
        <f>IF(OR(BB$4="",$A246&gt;TODAY()),0,IF(OR(INDEX($B246:$D246,BB$5)="F",AND(BB$6&gt;0,$A246&lt;BB$6),AND(BB$7&gt;0,$A246&gt;BB$7)),0,MAX(0,ROUND((INDEX($E246:$G246,BB$5)-SUMIFS(TF_Timer,TF_Tekniker,BB$4,TF_Dato,$A246))*2,0)/2)))</f>
        <v/>
      </c>
      <c r="BC246">
        <f>IF(OR(BC$4="",$A246&gt;TODAY()),0,IF(OR(INDEX($B246:$D246,BC$5)="F",AND(BC$6&gt;0,$A246&lt;BC$6),AND(BC$7&gt;0,$A246&gt;BC$7)),0,MAX(0,ROUND((INDEX($E246:$G246,BC$5)-SUMIFS(TF_Timer,TF_Tekniker,BC$4,TF_Dato,$A246))*2,0)/2)))</f>
        <v/>
      </c>
      <c r="BD246">
        <f>IF(OR(BD$4="",$A246&gt;TODAY()),0,IF(OR(INDEX($B246:$D246,BD$5)="F",AND(BD$6&gt;0,$A246&lt;BD$6),AND(BD$7&gt;0,$A246&gt;BD$7)),0,MAX(0,ROUND((INDEX($E246:$G246,BD$5)-SUMIFS(TF_Timer,TF_Tekniker,BD$4,TF_Dato,$A246))*2,0)/2)))</f>
        <v/>
      </c>
      <c r="BE246">
        <f>IF(OR(BE$4="",$A246&gt;TODAY()),0,IF(OR(INDEX($B246:$D246,BE$5)="F",AND(BE$6&gt;0,$A246&lt;BE$6),AND(BE$7&gt;0,$A246&gt;BE$7)),0,MAX(0,ROUND((INDEX($E246:$G246,BE$5)-SUMIFS(TF_Timer,TF_Tekniker,BE$4,TF_Dato,$A246))*2,0)/2)))</f>
        <v/>
      </c>
      <c r="BF246">
        <f>IF(OR(BF$4="",$A246&gt;TODAY()),0,IF(OR(INDEX($B246:$D246,BF$5)="F",AND(BF$6&gt;0,$A246&lt;BF$6),AND(BF$7&gt;0,$A246&gt;BF$7)),0,MAX(0,ROUND((INDEX($E246:$G246,BF$5)-SUMIFS(TF_Timer,TF_Tekniker,BF$4,TF_Dato,$A246))*2,0)/2)))</f>
        <v/>
      </c>
      <c r="BG246">
        <f>IF(OR(BG$4="",$A246&gt;TODAY()),0,IF(OR(INDEX($B246:$D246,BG$5)="F",AND(BG$6&gt;0,$A246&lt;BG$6),AND(BG$7&gt;0,$A246&gt;BG$7)),0,MAX(0,ROUND((INDEX($E246:$G246,BG$5)-SUMIFS(TF_Timer,TF_Tekniker,BG$4,TF_Dato,$A246))*2,0)/2)))</f>
        <v/>
      </c>
      <c r="BH246">
        <f>IF(OR(BH$4="",$A246&gt;TODAY()),0,IF(OR(INDEX($B246:$D246,BH$5)="F",AND(BH$6&gt;0,$A246&lt;BH$6),AND(BH$7&gt;0,$A246&gt;BH$7)),0,MAX(0,ROUND((INDEX($E246:$G246,BH$5)-SUMIFS(TF_Timer,TF_Tekniker,BH$4,TF_Dato,$A246))*2,0)/2)))</f>
        <v/>
      </c>
      <c r="BI246">
        <f>IF(OR(BI$4="",$A246&gt;TODAY()),0,IF(OR(INDEX($B246:$D246,BI$5)="F",AND(BI$6&gt;0,$A246&lt;BI$6),AND(BI$7&gt;0,$A246&gt;BI$7)),0,MAX(0,ROUND((INDEX($E246:$G246,BI$5)-SUMIFS(TF_Timer,TF_Tekniker,BI$4,TF_Dato,$A246))*2,0)/2)))</f>
        <v/>
      </c>
    </row>
    <row r="247">
      <c r="A247" s="64">
        <f>A246+1</f>
        <v/>
      </c>
      <c r="B247">
        <f>IF(MOD($A247-INDEX(SkiftStart,1),Syklus)&lt;DagK,"K",IF(MOD($A247-INDEX(SkiftStart,1),Syklus)&lt;DagK+DagH,"H",IF(MOD($A247-INDEX(SkiftStart,1),Syklus)&lt;DagK+DagH+DagD,"D","F")))</f>
        <v/>
      </c>
      <c r="C247">
        <f>IF(MOD($A247-INDEX(SkiftStart,2),Syklus)&lt;DagK,"K",IF(MOD($A247-INDEX(SkiftStart,2),Syklus)&lt;DagK+DagH,"H",IF(MOD($A247-INDEX(SkiftStart,2),Syklus)&lt;DagK+DagH+DagD,"D","F")))</f>
        <v/>
      </c>
      <c r="D247">
        <f>IF(MOD($A247-INDEX(SkiftStart,3),Syklus)&lt;DagK,"K",IF(MOD($A247-INDEX(SkiftStart,3),Syklus)&lt;DagK+DagH,"H",IF(MOD($A247-INDEX(SkiftStart,3),Syklus)&lt;DagK+DagH+DagD,"D","F")))</f>
        <v/>
      </c>
      <c r="E247">
        <f>IF(B247="F",0,IF(WEEKDAY($A247,2)=5,INDEX(TimerFr,MATCH(B247,FaseKode,0)),INDEX(TimerMT,MATCH(B247,FaseKode,0))))</f>
        <v/>
      </c>
      <c r="F247">
        <f>IF(C247="F",0,IF(WEEKDAY($A247,2)=5,INDEX(TimerFr,MATCH(C247,FaseKode,0)),INDEX(TimerMT,MATCH(C247,FaseKode,0))))</f>
        <v/>
      </c>
      <c r="G247">
        <f>IF(D247="F",0,IF(WEEKDAY($A247,2)=5,INDEX(TimerFr,MATCH(D247,FaseKode,0)),INDEX(TimerMT,MATCH(D247,FaseKode,0))))</f>
        <v/>
      </c>
      <c r="H247">
        <f>IF(OR(H$4="",$A247&gt;TODAY()),0,IF(OR(INDEX($B247:$D247,H$5)="F",AND(H$6&gt;0,$A247&lt;H$6),AND(H$7&gt;0,$A247&gt;H$7)),0,MAX(0,ROUND((INDEX($E247:$G247,H$5)-SUMIFS(TF_Timer,TF_Tekniker,H$4,TF_Dato,$A247))*2,0)/2)))</f>
        <v/>
      </c>
      <c r="I247">
        <f>IF(OR(I$4="",$A247&gt;TODAY()),0,IF(OR(INDEX($B247:$D247,I$5)="F",AND(I$6&gt;0,$A247&lt;I$6),AND(I$7&gt;0,$A247&gt;I$7)),0,MAX(0,ROUND((INDEX($E247:$G247,I$5)-SUMIFS(TF_Timer,TF_Tekniker,I$4,TF_Dato,$A247))*2,0)/2)))</f>
        <v/>
      </c>
      <c r="J247">
        <f>IF(OR(J$4="",$A247&gt;TODAY()),0,IF(OR(INDEX($B247:$D247,J$5)="F",AND(J$6&gt;0,$A247&lt;J$6),AND(J$7&gt;0,$A247&gt;J$7)),0,MAX(0,ROUND((INDEX($E247:$G247,J$5)-SUMIFS(TF_Timer,TF_Tekniker,J$4,TF_Dato,$A247))*2,0)/2)))</f>
        <v/>
      </c>
      <c r="K247">
        <f>IF(OR(K$4="",$A247&gt;TODAY()),0,IF(OR(INDEX($B247:$D247,K$5)="F",AND(K$6&gt;0,$A247&lt;K$6),AND(K$7&gt;0,$A247&gt;K$7)),0,MAX(0,ROUND((INDEX($E247:$G247,K$5)-SUMIFS(TF_Timer,TF_Tekniker,K$4,TF_Dato,$A247))*2,0)/2)))</f>
        <v/>
      </c>
      <c r="L247">
        <f>IF(OR(L$4="",$A247&gt;TODAY()),0,IF(OR(INDEX($B247:$D247,L$5)="F",AND(L$6&gt;0,$A247&lt;L$6),AND(L$7&gt;0,$A247&gt;L$7)),0,MAX(0,ROUND((INDEX($E247:$G247,L$5)-SUMIFS(TF_Timer,TF_Tekniker,L$4,TF_Dato,$A247))*2,0)/2)))</f>
        <v/>
      </c>
      <c r="M247">
        <f>IF(OR(M$4="",$A247&gt;TODAY()),0,IF(OR(INDEX($B247:$D247,M$5)="F",AND(M$6&gt;0,$A247&lt;M$6),AND(M$7&gt;0,$A247&gt;M$7)),0,MAX(0,ROUND((INDEX($E247:$G247,M$5)-SUMIFS(TF_Timer,TF_Tekniker,M$4,TF_Dato,$A247))*2,0)/2)))</f>
        <v/>
      </c>
      <c r="N247">
        <f>IF(OR(N$4="",$A247&gt;TODAY()),0,IF(OR(INDEX($B247:$D247,N$5)="F",AND(N$6&gt;0,$A247&lt;N$6),AND(N$7&gt;0,$A247&gt;N$7)),0,MAX(0,ROUND((INDEX($E247:$G247,N$5)-SUMIFS(TF_Timer,TF_Tekniker,N$4,TF_Dato,$A247))*2,0)/2)))</f>
        <v/>
      </c>
      <c r="O247">
        <f>IF(OR(O$4="",$A247&gt;TODAY()),0,IF(OR(INDEX($B247:$D247,O$5)="F",AND(O$6&gt;0,$A247&lt;O$6),AND(O$7&gt;0,$A247&gt;O$7)),0,MAX(0,ROUND((INDEX($E247:$G247,O$5)-SUMIFS(TF_Timer,TF_Tekniker,O$4,TF_Dato,$A247))*2,0)/2)))</f>
        <v/>
      </c>
      <c r="P247">
        <f>IF(OR(P$4="",$A247&gt;TODAY()),0,IF(OR(INDEX($B247:$D247,P$5)="F",AND(P$6&gt;0,$A247&lt;P$6),AND(P$7&gt;0,$A247&gt;P$7)),0,MAX(0,ROUND((INDEX($E247:$G247,P$5)-SUMIFS(TF_Timer,TF_Tekniker,P$4,TF_Dato,$A247))*2,0)/2)))</f>
        <v/>
      </c>
      <c r="Q247">
        <f>IF(OR(Q$4="",$A247&gt;TODAY()),0,IF(OR(INDEX($B247:$D247,Q$5)="F",AND(Q$6&gt;0,$A247&lt;Q$6),AND(Q$7&gt;0,$A247&gt;Q$7)),0,MAX(0,ROUND((INDEX($E247:$G247,Q$5)-SUMIFS(TF_Timer,TF_Tekniker,Q$4,TF_Dato,$A247))*2,0)/2)))</f>
        <v/>
      </c>
      <c r="R247">
        <f>IF(OR(R$4="",$A247&gt;TODAY()),0,IF(OR(INDEX($B247:$D247,R$5)="F",AND(R$6&gt;0,$A247&lt;R$6),AND(R$7&gt;0,$A247&gt;R$7)),0,MAX(0,ROUND((INDEX($E247:$G247,R$5)-SUMIFS(TF_Timer,TF_Tekniker,R$4,TF_Dato,$A247))*2,0)/2)))</f>
        <v/>
      </c>
      <c r="S247">
        <f>IF(OR(S$4="",$A247&gt;TODAY()),0,IF(OR(INDEX($B247:$D247,S$5)="F",AND(S$6&gt;0,$A247&lt;S$6),AND(S$7&gt;0,$A247&gt;S$7)),0,MAX(0,ROUND((INDEX($E247:$G247,S$5)-SUMIFS(TF_Timer,TF_Tekniker,S$4,TF_Dato,$A247))*2,0)/2)))</f>
        <v/>
      </c>
      <c r="T247">
        <f>IF(OR(T$4="",$A247&gt;TODAY()),0,IF(OR(INDEX($B247:$D247,T$5)="F",AND(T$6&gt;0,$A247&lt;T$6),AND(T$7&gt;0,$A247&gt;T$7)),0,MAX(0,ROUND((INDEX($E247:$G247,T$5)-SUMIFS(TF_Timer,TF_Tekniker,T$4,TF_Dato,$A247))*2,0)/2)))</f>
        <v/>
      </c>
      <c r="U247">
        <f>IF(OR(U$4="",$A247&gt;TODAY()),0,IF(OR(INDEX($B247:$D247,U$5)="F",AND(U$6&gt;0,$A247&lt;U$6),AND(U$7&gt;0,$A247&gt;U$7)),0,MAX(0,ROUND((INDEX($E247:$G247,U$5)-SUMIFS(TF_Timer,TF_Tekniker,U$4,TF_Dato,$A247))*2,0)/2)))</f>
        <v/>
      </c>
      <c r="V247">
        <f>IF(OR(V$4="",$A247&gt;TODAY()),0,IF(OR(INDEX($B247:$D247,V$5)="F",AND(V$6&gt;0,$A247&lt;V$6),AND(V$7&gt;0,$A247&gt;V$7)),0,MAX(0,ROUND((INDEX($E247:$G247,V$5)-SUMIFS(TF_Timer,TF_Tekniker,V$4,TF_Dato,$A247))*2,0)/2)))</f>
        <v/>
      </c>
      <c r="W247">
        <f>IF(OR(W$4="",$A247&gt;TODAY()),0,IF(OR(INDEX($B247:$D247,W$5)="F",AND(W$6&gt;0,$A247&lt;W$6),AND(W$7&gt;0,$A247&gt;W$7)),0,MAX(0,ROUND((INDEX($E247:$G247,W$5)-SUMIFS(TF_Timer,TF_Tekniker,W$4,TF_Dato,$A247))*2,0)/2)))</f>
        <v/>
      </c>
      <c r="X247">
        <f>IF(OR(X$4="",$A247&gt;TODAY()),0,IF(OR(INDEX($B247:$D247,X$5)="F",AND(X$6&gt;0,$A247&lt;X$6),AND(X$7&gt;0,$A247&gt;X$7)),0,MAX(0,ROUND((INDEX($E247:$G247,X$5)-SUMIFS(TF_Timer,TF_Tekniker,X$4,TF_Dato,$A247))*2,0)/2)))</f>
        <v/>
      </c>
      <c r="Y247">
        <f>IF(OR(Y$4="",$A247&gt;TODAY()),0,IF(OR(INDEX($B247:$D247,Y$5)="F",AND(Y$6&gt;0,$A247&lt;Y$6),AND(Y$7&gt;0,$A247&gt;Y$7)),0,MAX(0,ROUND((INDEX($E247:$G247,Y$5)-SUMIFS(TF_Timer,TF_Tekniker,Y$4,TF_Dato,$A247))*2,0)/2)))</f>
        <v/>
      </c>
      <c r="Z247">
        <f>IF(OR(Z$4="",$A247&gt;TODAY()),0,IF(OR(INDEX($B247:$D247,Z$5)="F",AND(Z$6&gt;0,$A247&lt;Z$6),AND(Z$7&gt;0,$A247&gt;Z$7)),0,MAX(0,ROUND((INDEX($E247:$G247,Z$5)-SUMIFS(TF_Timer,TF_Tekniker,Z$4,TF_Dato,$A247))*2,0)/2)))</f>
        <v/>
      </c>
      <c r="AA247">
        <f>IF(OR(AA$4="",$A247&gt;TODAY()),0,IF(OR(INDEX($B247:$D247,AA$5)="F",AND(AA$6&gt;0,$A247&lt;AA$6),AND(AA$7&gt;0,$A247&gt;AA$7)),0,MAX(0,ROUND((INDEX($E247:$G247,AA$5)-SUMIFS(TF_Timer,TF_Tekniker,AA$4,TF_Dato,$A247))*2,0)/2)))</f>
        <v/>
      </c>
      <c r="AB247">
        <f>IF(OR(AB$4="",$A247&gt;TODAY()),0,IF(OR(INDEX($B247:$D247,AB$5)="F",AND(AB$6&gt;0,$A247&lt;AB$6),AND(AB$7&gt;0,$A247&gt;AB$7)),0,MAX(0,ROUND((INDEX($E247:$G247,AB$5)-SUMIFS(TF_Timer,TF_Tekniker,AB$4,TF_Dato,$A247))*2,0)/2)))</f>
        <v/>
      </c>
      <c r="AC247">
        <f>IF(OR(AC$4="",$A247&gt;TODAY()),0,IF(OR(INDEX($B247:$D247,AC$5)="F",AND(AC$6&gt;0,$A247&lt;AC$6),AND(AC$7&gt;0,$A247&gt;AC$7)),0,MAX(0,ROUND((INDEX($E247:$G247,AC$5)-SUMIFS(TF_Timer,TF_Tekniker,AC$4,TF_Dato,$A247))*2,0)/2)))</f>
        <v/>
      </c>
      <c r="AD247">
        <f>IF(OR(AD$4="",$A247&gt;TODAY()),0,IF(OR(INDEX($B247:$D247,AD$5)="F",AND(AD$6&gt;0,$A247&lt;AD$6),AND(AD$7&gt;0,$A247&gt;AD$7)),0,MAX(0,ROUND((INDEX($E247:$G247,AD$5)-SUMIFS(TF_Timer,TF_Tekniker,AD$4,TF_Dato,$A247))*2,0)/2)))</f>
        <v/>
      </c>
      <c r="AE247">
        <f>IF(OR(AE$4="",$A247&gt;TODAY()),0,IF(OR(INDEX($B247:$D247,AE$5)="F",AND(AE$6&gt;0,$A247&lt;AE$6),AND(AE$7&gt;0,$A247&gt;AE$7)),0,MAX(0,ROUND((INDEX($E247:$G247,AE$5)-SUMIFS(TF_Timer,TF_Tekniker,AE$4,TF_Dato,$A247))*2,0)/2)))</f>
        <v/>
      </c>
      <c r="AF247">
        <f>IF(OR(AF$4="",$A247&gt;TODAY()),0,IF(OR(INDEX($B247:$D247,AF$5)="F",AND(AF$6&gt;0,$A247&lt;AF$6),AND(AF$7&gt;0,$A247&gt;AF$7)),0,MAX(0,ROUND((INDEX($E247:$G247,AF$5)-SUMIFS(TF_Timer,TF_Tekniker,AF$4,TF_Dato,$A247))*2,0)/2)))</f>
        <v/>
      </c>
      <c r="AG247">
        <f>IF(OR(AG$4="",$A247&gt;TODAY()),0,IF(OR(INDEX($B247:$D247,AG$5)="F",AND(AG$6&gt;0,$A247&lt;AG$6),AND(AG$7&gt;0,$A247&gt;AG$7)),0,MAX(0,ROUND((INDEX($E247:$G247,AG$5)-SUMIFS(TF_Timer,TF_Tekniker,AG$4,TF_Dato,$A247))*2,0)/2)))</f>
        <v/>
      </c>
      <c r="AH247">
        <f>IF(OR(AH$4="",$A247&gt;TODAY()),0,IF(OR(INDEX($B247:$D247,AH$5)="F",AND(AH$6&gt;0,$A247&lt;AH$6),AND(AH$7&gt;0,$A247&gt;AH$7)),0,MAX(0,ROUND((INDEX($E247:$G247,AH$5)-SUMIFS(TF_Timer,TF_Tekniker,AH$4,TF_Dato,$A247))*2,0)/2)))</f>
        <v/>
      </c>
      <c r="AI247">
        <f>IF(OR(AI$4="",$A247&gt;TODAY()),0,IF(OR(INDEX($B247:$D247,AI$5)="F",AND(AI$6&gt;0,$A247&lt;AI$6),AND(AI$7&gt;0,$A247&gt;AI$7)),0,MAX(0,ROUND((INDEX($E247:$G247,AI$5)-SUMIFS(TF_Timer,TF_Tekniker,AI$4,TF_Dato,$A247))*2,0)/2)))</f>
        <v/>
      </c>
      <c r="AJ247">
        <f>IF(OR(AJ$4="",$A247&gt;TODAY()),0,IF(OR(INDEX($B247:$D247,AJ$5)="F",AND(AJ$6&gt;0,$A247&lt;AJ$6),AND(AJ$7&gt;0,$A247&gt;AJ$7)),0,MAX(0,ROUND((INDEX($E247:$G247,AJ$5)-SUMIFS(TF_Timer,TF_Tekniker,AJ$4,TF_Dato,$A247))*2,0)/2)))</f>
        <v/>
      </c>
      <c r="AK247">
        <f>IF(OR(AK$4="",$A247&gt;TODAY()),0,IF(OR(INDEX($B247:$D247,AK$5)="F",AND(AK$6&gt;0,$A247&lt;AK$6),AND(AK$7&gt;0,$A247&gt;AK$7)),0,MAX(0,ROUND((INDEX($E247:$G247,AK$5)-SUMIFS(TF_Timer,TF_Tekniker,AK$4,TF_Dato,$A247))*2,0)/2)))</f>
        <v/>
      </c>
      <c r="AL247">
        <f>IF(OR(AL$4="",$A247&gt;TODAY()),0,IF(OR(INDEX($B247:$D247,AL$5)="F",AND(AL$6&gt;0,$A247&lt;AL$6),AND(AL$7&gt;0,$A247&gt;AL$7)),0,MAX(0,ROUND((INDEX($E247:$G247,AL$5)-SUMIFS(TF_Timer,TF_Tekniker,AL$4,TF_Dato,$A247))*2,0)/2)))</f>
        <v/>
      </c>
      <c r="AM247">
        <f>IF(OR(AM$4="",$A247&gt;TODAY()),0,IF(OR(INDEX($B247:$D247,AM$5)="F",AND(AM$6&gt;0,$A247&lt;AM$6),AND(AM$7&gt;0,$A247&gt;AM$7)),0,MAX(0,ROUND((INDEX($E247:$G247,AM$5)-SUMIFS(TF_Timer,TF_Tekniker,AM$4,TF_Dato,$A247))*2,0)/2)))</f>
        <v/>
      </c>
      <c r="AN247">
        <f>IF(OR(AN$4="",$A247&gt;TODAY()),0,IF(OR(INDEX($B247:$D247,AN$5)="F",AND(AN$6&gt;0,$A247&lt;AN$6),AND(AN$7&gt;0,$A247&gt;AN$7)),0,MAX(0,ROUND((INDEX($E247:$G247,AN$5)-SUMIFS(TF_Timer,TF_Tekniker,AN$4,TF_Dato,$A247))*2,0)/2)))</f>
        <v/>
      </c>
      <c r="AO247">
        <f>IF(OR(AO$4="",$A247&gt;TODAY()),0,IF(OR(INDEX($B247:$D247,AO$5)="F",AND(AO$6&gt;0,$A247&lt;AO$6),AND(AO$7&gt;0,$A247&gt;AO$7)),0,MAX(0,ROUND((INDEX($E247:$G247,AO$5)-SUMIFS(TF_Timer,TF_Tekniker,AO$4,TF_Dato,$A247))*2,0)/2)))</f>
        <v/>
      </c>
      <c r="AP247">
        <f>IF(OR(AP$4="",$A247&gt;TODAY()),0,IF(OR(INDEX($B247:$D247,AP$5)="F",AND(AP$6&gt;0,$A247&lt;AP$6),AND(AP$7&gt;0,$A247&gt;AP$7)),0,MAX(0,ROUND((INDEX($E247:$G247,AP$5)-SUMIFS(TF_Timer,TF_Tekniker,AP$4,TF_Dato,$A247))*2,0)/2)))</f>
        <v/>
      </c>
      <c r="AQ247">
        <f>IF(OR(AQ$4="",$A247&gt;TODAY()),0,IF(OR(INDEX($B247:$D247,AQ$5)="F",AND(AQ$6&gt;0,$A247&lt;AQ$6),AND(AQ$7&gt;0,$A247&gt;AQ$7)),0,MAX(0,ROUND((INDEX($E247:$G247,AQ$5)-SUMIFS(TF_Timer,TF_Tekniker,AQ$4,TF_Dato,$A247))*2,0)/2)))</f>
        <v/>
      </c>
      <c r="AR247">
        <f>IF(OR(AR$4="",$A247&gt;TODAY()),0,IF(OR(INDEX($B247:$D247,AR$5)="F",AND(AR$6&gt;0,$A247&lt;AR$6),AND(AR$7&gt;0,$A247&gt;AR$7)),0,MAX(0,ROUND((INDEX($E247:$G247,AR$5)-SUMIFS(TF_Timer,TF_Tekniker,AR$4,TF_Dato,$A247))*2,0)/2)))</f>
        <v/>
      </c>
      <c r="AS247">
        <f>IF(OR(AS$4="",$A247&gt;TODAY()),0,IF(OR(INDEX($B247:$D247,AS$5)="F",AND(AS$6&gt;0,$A247&lt;AS$6),AND(AS$7&gt;0,$A247&gt;AS$7)),0,MAX(0,ROUND((INDEX($E247:$G247,AS$5)-SUMIFS(TF_Timer,TF_Tekniker,AS$4,TF_Dato,$A247))*2,0)/2)))</f>
        <v/>
      </c>
      <c r="AT247">
        <f>IF(OR(AT$4="",$A247&gt;TODAY()),0,IF(OR(INDEX($B247:$D247,AT$5)="F",AND(AT$6&gt;0,$A247&lt;AT$6),AND(AT$7&gt;0,$A247&gt;AT$7)),0,MAX(0,ROUND((INDEX($E247:$G247,AT$5)-SUMIFS(TF_Timer,TF_Tekniker,AT$4,TF_Dato,$A247))*2,0)/2)))</f>
        <v/>
      </c>
      <c r="AU247">
        <f>IF(OR(AU$4="",$A247&gt;TODAY()),0,IF(OR(INDEX($B247:$D247,AU$5)="F",AND(AU$6&gt;0,$A247&lt;AU$6),AND(AU$7&gt;0,$A247&gt;AU$7)),0,MAX(0,ROUND((INDEX($E247:$G247,AU$5)-SUMIFS(TF_Timer,TF_Tekniker,AU$4,TF_Dato,$A247))*2,0)/2)))</f>
        <v/>
      </c>
      <c r="AV247">
        <f>IF(OR(AV$4="",$A247&gt;TODAY()),0,IF(OR(INDEX($B247:$D247,AV$5)="F",AND(AV$6&gt;0,$A247&lt;AV$6),AND(AV$7&gt;0,$A247&gt;AV$7)),0,MAX(0,ROUND((INDEX($E247:$G247,AV$5)-SUMIFS(TF_Timer,TF_Tekniker,AV$4,TF_Dato,$A247))*2,0)/2)))</f>
        <v/>
      </c>
      <c r="AW247">
        <f>IF(OR(AW$4="",$A247&gt;TODAY()),0,IF(OR(INDEX($B247:$D247,AW$5)="F",AND(AW$6&gt;0,$A247&lt;AW$6),AND(AW$7&gt;0,$A247&gt;AW$7)),0,MAX(0,ROUND((INDEX($E247:$G247,AW$5)-SUMIFS(TF_Timer,TF_Tekniker,AW$4,TF_Dato,$A247))*2,0)/2)))</f>
        <v/>
      </c>
      <c r="AX247">
        <f>IF(OR(AX$4="",$A247&gt;TODAY()),0,IF(OR(INDEX($B247:$D247,AX$5)="F",AND(AX$6&gt;0,$A247&lt;AX$6),AND(AX$7&gt;0,$A247&gt;AX$7)),0,MAX(0,ROUND((INDEX($E247:$G247,AX$5)-SUMIFS(TF_Timer,TF_Tekniker,AX$4,TF_Dato,$A247))*2,0)/2)))</f>
        <v/>
      </c>
      <c r="AY247">
        <f>IF(OR(AY$4="",$A247&gt;TODAY()),0,IF(OR(INDEX($B247:$D247,AY$5)="F",AND(AY$6&gt;0,$A247&lt;AY$6),AND(AY$7&gt;0,$A247&gt;AY$7)),0,MAX(0,ROUND((INDEX($E247:$G247,AY$5)-SUMIFS(TF_Timer,TF_Tekniker,AY$4,TF_Dato,$A247))*2,0)/2)))</f>
        <v/>
      </c>
      <c r="AZ247">
        <f>IF(OR(AZ$4="",$A247&gt;TODAY()),0,IF(OR(INDEX($B247:$D247,AZ$5)="F",AND(AZ$6&gt;0,$A247&lt;AZ$6),AND(AZ$7&gt;0,$A247&gt;AZ$7)),0,MAX(0,ROUND((INDEX($E247:$G247,AZ$5)-SUMIFS(TF_Timer,TF_Tekniker,AZ$4,TF_Dato,$A247))*2,0)/2)))</f>
        <v/>
      </c>
      <c r="BA247">
        <f>IF(OR(BA$4="",$A247&gt;TODAY()),0,IF(OR(INDEX($B247:$D247,BA$5)="F",AND(BA$6&gt;0,$A247&lt;BA$6),AND(BA$7&gt;0,$A247&gt;BA$7)),0,MAX(0,ROUND((INDEX($E247:$G247,BA$5)-SUMIFS(TF_Timer,TF_Tekniker,BA$4,TF_Dato,$A247))*2,0)/2)))</f>
        <v/>
      </c>
      <c r="BB247">
        <f>IF(OR(BB$4="",$A247&gt;TODAY()),0,IF(OR(INDEX($B247:$D247,BB$5)="F",AND(BB$6&gt;0,$A247&lt;BB$6),AND(BB$7&gt;0,$A247&gt;BB$7)),0,MAX(0,ROUND((INDEX($E247:$G247,BB$5)-SUMIFS(TF_Timer,TF_Tekniker,BB$4,TF_Dato,$A247))*2,0)/2)))</f>
        <v/>
      </c>
      <c r="BC247">
        <f>IF(OR(BC$4="",$A247&gt;TODAY()),0,IF(OR(INDEX($B247:$D247,BC$5)="F",AND(BC$6&gt;0,$A247&lt;BC$6),AND(BC$7&gt;0,$A247&gt;BC$7)),0,MAX(0,ROUND((INDEX($E247:$G247,BC$5)-SUMIFS(TF_Timer,TF_Tekniker,BC$4,TF_Dato,$A247))*2,0)/2)))</f>
        <v/>
      </c>
      <c r="BD247">
        <f>IF(OR(BD$4="",$A247&gt;TODAY()),0,IF(OR(INDEX($B247:$D247,BD$5)="F",AND(BD$6&gt;0,$A247&lt;BD$6),AND(BD$7&gt;0,$A247&gt;BD$7)),0,MAX(0,ROUND((INDEX($E247:$G247,BD$5)-SUMIFS(TF_Timer,TF_Tekniker,BD$4,TF_Dato,$A247))*2,0)/2)))</f>
        <v/>
      </c>
      <c r="BE247">
        <f>IF(OR(BE$4="",$A247&gt;TODAY()),0,IF(OR(INDEX($B247:$D247,BE$5)="F",AND(BE$6&gt;0,$A247&lt;BE$6),AND(BE$7&gt;0,$A247&gt;BE$7)),0,MAX(0,ROUND((INDEX($E247:$G247,BE$5)-SUMIFS(TF_Timer,TF_Tekniker,BE$4,TF_Dato,$A247))*2,0)/2)))</f>
        <v/>
      </c>
      <c r="BF247">
        <f>IF(OR(BF$4="",$A247&gt;TODAY()),0,IF(OR(INDEX($B247:$D247,BF$5)="F",AND(BF$6&gt;0,$A247&lt;BF$6),AND(BF$7&gt;0,$A247&gt;BF$7)),0,MAX(0,ROUND((INDEX($E247:$G247,BF$5)-SUMIFS(TF_Timer,TF_Tekniker,BF$4,TF_Dato,$A247))*2,0)/2)))</f>
        <v/>
      </c>
      <c r="BG247">
        <f>IF(OR(BG$4="",$A247&gt;TODAY()),0,IF(OR(INDEX($B247:$D247,BG$5)="F",AND(BG$6&gt;0,$A247&lt;BG$6),AND(BG$7&gt;0,$A247&gt;BG$7)),0,MAX(0,ROUND((INDEX($E247:$G247,BG$5)-SUMIFS(TF_Timer,TF_Tekniker,BG$4,TF_Dato,$A247))*2,0)/2)))</f>
        <v/>
      </c>
      <c r="BH247">
        <f>IF(OR(BH$4="",$A247&gt;TODAY()),0,IF(OR(INDEX($B247:$D247,BH$5)="F",AND(BH$6&gt;0,$A247&lt;BH$6),AND(BH$7&gt;0,$A247&gt;BH$7)),0,MAX(0,ROUND((INDEX($E247:$G247,BH$5)-SUMIFS(TF_Timer,TF_Tekniker,BH$4,TF_Dato,$A247))*2,0)/2)))</f>
        <v/>
      </c>
      <c r="BI247">
        <f>IF(OR(BI$4="",$A247&gt;TODAY()),0,IF(OR(INDEX($B247:$D247,BI$5)="F",AND(BI$6&gt;0,$A247&lt;BI$6),AND(BI$7&gt;0,$A247&gt;BI$7)),0,MAX(0,ROUND((INDEX($E247:$G247,BI$5)-SUMIFS(TF_Timer,TF_Tekniker,BI$4,TF_Dato,$A247))*2,0)/2)))</f>
        <v/>
      </c>
    </row>
    <row r="248">
      <c r="A248" s="64">
        <f>A247+1</f>
        <v/>
      </c>
      <c r="B248">
        <f>IF(MOD($A248-INDEX(SkiftStart,1),Syklus)&lt;DagK,"K",IF(MOD($A248-INDEX(SkiftStart,1),Syklus)&lt;DagK+DagH,"H",IF(MOD($A248-INDEX(SkiftStart,1),Syklus)&lt;DagK+DagH+DagD,"D","F")))</f>
        <v/>
      </c>
      <c r="C248">
        <f>IF(MOD($A248-INDEX(SkiftStart,2),Syklus)&lt;DagK,"K",IF(MOD($A248-INDEX(SkiftStart,2),Syklus)&lt;DagK+DagH,"H",IF(MOD($A248-INDEX(SkiftStart,2),Syklus)&lt;DagK+DagH+DagD,"D","F")))</f>
        <v/>
      </c>
      <c r="D248">
        <f>IF(MOD($A248-INDEX(SkiftStart,3),Syklus)&lt;DagK,"K",IF(MOD($A248-INDEX(SkiftStart,3),Syklus)&lt;DagK+DagH,"H",IF(MOD($A248-INDEX(SkiftStart,3),Syklus)&lt;DagK+DagH+DagD,"D","F")))</f>
        <v/>
      </c>
      <c r="E248">
        <f>IF(B248="F",0,IF(WEEKDAY($A248,2)=5,INDEX(TimerFr,MATCH(B248,FaseKode,0)),INDEX(TimerMT,MATCH(B248,FaseKode,0))))</f>
        <v/>
      </c>
      <c r="F248">
        <f>IF(C248="F",0,IF(WEEKDAY($A248,2)=5,INDEX(TimerFr,MATCH(C248,FaseKode,0)),INDEX(TimerMT,MATCH(C248,FaseKode,0))))</f>
        <v/>
      </c>
      <c r="G248">
        <f>IF(D248="F",0,IF(WEEKDAY($A248,2)=5,INDEX(TimerFr,MATCH(D248,FaseKode,0)),INDEX(TimerMT,MATCH(D248,FaseKode,0))))</f>
        <v/>
      </c>
      <c r="H248">
        <f>IF(OR(H$4="",$A248&gt;TODAY()),0,IF(OR(INDEX($B248:$D248,H$5)="F",AND(H$6&gt;0,$A248&lt;H$6),AND(H$7&gt;0,$A248&gt;H$7)),0,MAX(0,ROUND((INDEX($E248:$G248,H$5)-SUMIFS(TF_Timer,TF_Tekniker,H$4,TF_Dato,$A248))*2,0)/2)))</f>
        <v/>
      </c>
      <c r="I248">
        <f>IF(OR(I$4="",$A248&gt;TODAY()),0,IF(OR(INDEX($B248:$D248,I$5)="F",AND(I$6&gt;0,$A248&lt;I$6),AND(I$7&gt;0,$A248&gt;I$7)),0,MAX(0,ROUND((INDEX($E248:$G248,I$5)-SUMIFS(TF_Timer,TF_Tekniker,I$4,TF_Dato,$A248))*2,0)/2)))</f>
        <v/>
      </c>
      <c r="J248">
        <f>IF(OR(J$4="",$A248&gt;TODAY()),0,IF(OR(INDEX($B248:$D248,J$5)="F",AND(J$6&gt;0,$A248&lt;J$6),AND(J$7&gt;0,$A248&gt;J$7)),0,MAX(0,ROUND((INDEX($E248:$G248,J$5)-SUMIFS(TF_Timer,TF_Tekniker,J$4,TF_Dato,$A248))*2,0)/2)))</f>
        <v/>
      </c>
      <c r="K248">
        <f>IF(OR(K$4="",$A248&gt;TODAY()),0,IF(OR(INDEX($B248:$D248,K$5)="F",AND(K$6&gt;0,$A248&lt;K$6),AND(K$7&gt;0,$A248&gt;K$7)),0,MAX(0,ROUND((INDEX($E248:$G248,K$5)-SUMIFS(TF_Timer,TF_Tekniker,K$4,TF_Dato,$A248))*2,0)/2)))</f>
        <v/>
      </c>
      <c r="L248">
        <f>IF(OR(L$4="",$A248&gt;TODAY()),0,IF(OR(INDEX($B248:$D248,L$5)="F",AND(L$6&gt;0,$A248&lt;L$6),AND(L$7&gt;0,$A248&gt;L$7)),0,MAX(0,ROUND((INDEX($E248:$G248,L$5)-SUMIFS(TF_Timer,TF_Tekniker,L$4,TF_Dato,$A248))*2,0)/2)))</f>
        <v/>
      </c>
      <c r="M248">
        <f>IF(OR(M$4="",$A248&gt;TODAY()),0,IF(OR(INDEX($B248:$D248,M$5)="F",AND(M$6&gt;0,$A248&lt;M$6),AND(M$7&gt;0,$A248&gt;M$7)),0,MAX(0,ROUND((INDEX($E248:$G248,M$5)-SUMIFS(TF_Timer,TF_Tekniker,M$4,TF_Dato,$A248))*2,0)/2)))</f>
        <v/>
      </c>
      <c r="N248">
        <f>IF(OR(N$4="",$A248&gt;TODAY()),0,IF(OR(INDEX($B248:$D248,N$5)="F",AND(N$6&gt;0,$A248&lt;N$6),AND(N$7&gt;0,$A248&gt;N$7)),0,MAX(0,ROUND((INDEX($E248:$G248,N$5)-SUMIFS(TF_Timer,TF_Tekniker,N$4,TF_Dato,$A248))*2,0)/2)))</f>
        <v/>
      </c>
      <c r="O248">
        <f>IF(OR(O$4="",$A248&gt;TODAY()),0,IF(OR(INDEX($B248:$D248,O$5)="F",AND(O$6&gt;0,$A248&lt;O$6),AND(O$7&gt;0,$A248&gt;O$7)),0,MAX(0,ROUND((INDEX($E248:$G248,O$5)-SUMIFS(TF_Timer,TF_Tekniker,O$4,TF_Dato,$A248))*2,0)/2)))</f>
        <v/>
      </c>
      <c r="P248">
        <f>IF(OR(P$4="",$A248&gt;TODAY()),0,IF(OR(INDEX($B248:$D248,P$5)="F",AND(P$6&gt;0,$A248&lt;P$6),AND(P$7&gt;0,$A248&gt;P$7)),0,MAX(0,ROUND((INDEX($E248:$G248,P$5)-SUMIFS(TF_Timer,TF_Tekniker,P$4,TF_Dato,$A248))*2,0)/2)))</f>
        <v/>
      </c>
      <c r="Q248">
        <f>IF(OR(Q$4="",$A248&gt;TODAY()),0,IF(OR(INDEX($B248:$D248,Q$5)="F",AND(Q$6&gt;0,$A248&lt;Q$6),AND(Q$7&gt;0,$A248&gt;Q$7)),0,MAX(0,ROUND((INDEX($E248:$G248,Q$5)-SUMIFS(TF_Timer,TF_Tekniker,Q$4,TF_Dato,$A248))*2,0)/2)))</f>
        <v/>
      </c>
      <c r="R248">
        <f>IF(OR(R$4="",$A248&gt;TODAY()),0,IF(OR(INDEX($B248:$D248,R$5)="F",AND(R$6&gt;0,$A248&lt;R$6),AND(R$7&gt;0,$A248&gt;R$7)),0,MAX(0,ROUND((INDEX($E248:$G248,R$5)-SUMIFS(TF_Timer,TF_Tekniker,R$4,TF_Dato,$A248))*2,0)/2)))</f>
        <v/>
      </c>
      <c r="S248">
        <f>IF(OR(S$4="",$A248&gt;TODAY()),0,IF(OR(INDEX($B248:$D248,S$5)="F",AND(S$6&gt;0,$A248&lt;S$6),AND(S$7&gt;0,$A248&gt;S$7)),0,MAX(0,ROUND((INDEX($E248:$G248,S$5)-SUMIFS(TF_Timer,TF_Tekniker,S$4,TF_Dato,$A248))*2,0)/2)))</f>
        <v/>
      </c>
      <c r="T248">
        <f>IF(OR(T$4="",$A248&gt;TODAY()),0,IF(OR(INDEX($B248:$D248,T$5)="F",AND(T$6&gt;0,$A248&lt;T$6),AND(T$7&gt;0,$A248&gt;T$7)),0,MAX(0,ROUND((INDEX($E248:$G248,T$5)-SUMIFS(TF_Timer,TF_Tekniker,T$4,TF_Dato,$A248))*2,0)/2)))</f>
        <v/>
      </c>
      <c r="U248">
        <f>IF(OR(U$4="",$A248&gt;TODAY()),0,IF(OR(INDEX($B248:$D248,U$5)="F",AND(U$6&gt;0,$A248&lt;U$6),AND(U$7&gt;0,$A248&gt;U$7)),0,MAX(0,ROUND((INDEX($E248:$G248,U$5)-SUMIFS(TF_Timer,TF_Tekniker,U$4,TF_Dato,$A248))*2,0)/2)))</f>
        <v/>
      </c>
      <c r="V248">
        <f>IF(OR(V$4="",$A248&gt;TODAY()),0,IF(OR(INDEX($B248:$D248,V$5)="F",AND(V$6&gt;0,$A248&lt;V$6),AND(V$7&gt;0,$A248&gt;V$7)),0,MAX(0,ROUND((INDEX($E248:$G248,V$5)-SUMIFS(TF_Timer,TF_Tekniker,V$4,TF_Dato,$A248))*2,0)/2)))</f>
        <v/>
      </c>
      <c r="W248">
        <f>IF(OR(W$4="",$A248&gt;TODAY()),0,IF(OR(INDEX($B248:$D248,W$5)="F",AND(W$6&gt;0,$A248&lt;W$6),AND(W$7&gt;0,$A248&gt;W$7)),0,MAX(0,ROUND((INDEX($E248:$G248,W$5)-SUMIFS(TF_Timer,TF_Tekniker,W$4,TF_Dato,$A248))*2,0)/2)))</f>
        <v/>
      </c>
      <c r="X248">
        <f>IF(OR(X$4="",$A248&gt;TODAY()),0,IF(OR(INDEX($B248:$D248,X$5)="F",AND(X$6&gt;0,$A248&lt;X$6),AND(X$7&gt;0,$A248&gt;X$7)),0,MAX(0,ROUND((INDEX($E248:$G248,X$5)-SUMIFS(TF_Timer,TF_Tekniker,X$4,TF_Dato,$A248))*2,0)/2)))</f>
        <v/>
      </c>
      <c r="Y248">
        <f>IF(OR(Y$4="",$A248&gt;TODAY()),0,IF(OR(INDEX($B248:$D248,Y$5)="F",AND(Y$6&gt;0,$A248&lt;Y$6),AND(Y$7&gt;0,$A248&gt;Y$7)),0,MAX(0,ROUND((INDEX($E248:$G248,Y$5)-SUMIFS(TF_Timer,TF_Tekniker,Y$4,TF_Dato,$A248))*2,0)/2)))</f>
        <v/>
      </c>
      <c r="Z248">
        <f>IF(OR(Z$4="",$A248&gt;TODAY()),0,IF(OR(INDEX($B248:$D248,Z$5)="F",AND(Z$6&gt;0,$A248&lt;Z$6),AND(Z$7&gt;0,$A248&gt;Z$7)),0,MAX(0,ROUND((INDEX($E248:$G248,Z$5)-SUMIFS(TF_Timer,TF_Tekniker,Z$4,TF_Dato,$A248))*2,0)/2)))</f>
        <v/>
      </c>
      <c r="AA248">
        <f>IF(OR(AA$4="",$A248&gt;TODAY()),0,IF(OR(INDEX($B248:$D248,AA$5)="F",AND(AA$6&gt;0,$A248&lt;AA$6),AND(AA$7&gt;0,$A248&gt;AA$7)),0,MAX(0,ROUND((INDEX($E248:$G248,AA$5)-SUMIFS(TF_Timer,TF_Tekniker,AA$4,TF_Dato,$A248))*2,0)/2)))</f>
        <v/>
      </c>
      <c r="AB248">
        <f>IF(OR(AB$4="",$A248&gt;TODAY()),0,IF(OR(INDEX($B248:$D248,AB$5)="F",AND(AB$6&gt;0,$A248&lt;AB$6),AND(AB$7&gt;0,$A248&gt;AB$7)),0,MAX(0,ROUND((INDEX($E248:$G248,AB$5)-SUMIFS(TF_Timer,TF_Tekniker,AB$4,TF_Dato,$A248))*2,0)/2)))</f>
        <v/>
      </c>
      <c r="AC248">
        <f>IF(OR(AC$4="",$A248&gt;TODAY()),0,IF(OR(INDEX($B248:$D248,AC$5)="F",AND(AC$6&gt;0,$A248&lt;AC$6),AND(AC$7&gt;0,$A248&gt;AC$7)),0,MAX(0,ROUND((INDEX($E248:$G248,AC$5)-SUMIFS(TF_Timer,TF_Tekniker,AC$4,TF_Dato,$A248))*2,0)/2)))</f>
        <v/>
      </c>
      <c r="AD248">
        <f>IF(OR(AD$4="",$A248&gt;TODAY()),0,IF(OR(INDEX($B248:$D248,AD$5)="F",AND(AD$6&gt;0,$A248&lt;AD$6),AND(AD$7&gt;0,$A248&gt;AD$7)),0,MAX(0,ROUND((INDEX($E248:$G248,AD$5)-SUMIFS(TF_Timer,TF_Tekniker,AD$4,TF_Dato,$A248))*2,0)/2)))</f>
        <v/>
      </c>
      <c r="AE248">
        <f>IF(OR(AE$4="",$A248&gt;TODAY()),0,IF(OR(INDEX($B248:$D248,AE$5)="F",AND(AE$6&gt;0,$A248&lt;AE$6),AND(AE$7&gt;0,$A248&gt;AE$7)),0,MAX(0,ROUND((INDEX($E248:$G248,AE$5)-SUMIFS(TF_Timer,TF_Tekniker,AE$4,TF_Dato,$A248))*2,0)/2)))</f>
        <v/>
      </c>
      <c r="AF248">
        <f>IF(OR(AF$4="",$A248&gt;TODAY()),0,IF(OR(INDEX($B248:$D248,AF$5)="F",AND(AF$6&gt;0,$A248&lt;AF$6),AND(AF$7&gt;0,$A248&gt;AF$7)),0,MAX(0,ROUND((INDEX($E248:$G248,AF$5)-SUMIFS(TF_Timer,TF_Tekniker,AF$4,TF_Dato,$A248))*2,0)/2)))</f>
        <v/>
      </c>
      <c r="AG248">
        <f>IF(OR(AG$4="",$A248&gt;TODAY()),0,IF(OR(INDEX($B248:$D248,AG$5)="F",AND(AG$6&gt;0,$A248&lt;AG$6),AND(AG$7&gt;0,$A248&gt;AG$7)),0,MAX(0,ROUND((INDEX($E248:$G248,AG$5)-SUMIFS(TF_Timer,TF_Tekniker,AG$4,TF_Dato,$A248))*2,0)/2)))</f>
        <v/>
      </c>
      <c r="AH248">
        <f>IF(OR(AH$4="",$A248&gt;TODAY()),0,IF(OR(INDEX($B248:$D248,AH$5)="F",AND(AH$6&gt;0,$A248&lt;AH$6),AND(AH$7&gt;0,$A248&gt;AH$7)),0,MAX(0,ROUND((INDEX($E248:$G248,AH$5)-SUMIFS(TF_Timer,TF_Tekniker,AH$4,TF_Dato,$A248))*2,0)/2)))</f>
        <v/>
      </c>
      <c r="AI248">
        <f>IF(OR(AI$4="",$A248&gt;TODAY()),0,IF(OR(INDEX($B248:$D248,AI$5)="F",AND(AI$6&gt;0,$A248&lt;AI$6),AND(AI$7&gt;0,$A248&gt;AI$7)),0,MAX(0,ROUND((INDEX($E248:$G248,AI$5)-SUMIFS(TF_Timer,TF_Tekniker,AI$4,TF_Dato,$A248))*2,0)/2)))</f>
        <v/>
      </c>
      <c r="AJ248">
        <f>IF(OR(AJ$4="",$A248&gt;TODAY()),0,IF(OR(INDEX($B248:$D248,AJ$5)="F",AND(AJ$6&gt;0,$A248&lt;AJ$6),AND(AJ$7&gt;0,$A248&gt;AJ$7)),0,MAX(0,ROUND((INDEX($E248:$G248,AJ$5)-SUMIFS(TF_Timer,TF_Tekniker,AJ$4,TF_Dato,$A248))*2,0)/2)))</f>
        <v/>
      </c>
      <c r="AK248">
        <f>IF(OR(AK$4="",$A248&gt;TODAY()),0,IF(OR(INDEX($B248:$D248,AK$5)="F",AND(AK$6&gt;0,$A248&lt;AK$6),AND(AK$7&gt;0,$A248&gt;AK$7)),0,MAX(0,ROUND((INDEX($E248:$G248,AK$5)-SUMIFS(TF_Timer,TF_Tekniker,AK$4,TF_Dato,$A248))*2,0)/2)))</f>
        <v/>
      </c>
      <c r="AL248">
        <f>IF(OR(AL$4="",$A248&gt;TODAY()),0,IF(OR(INDEX($B248:$D248,AL$5)="F",AND(AL$6&gt;0,$A248&lt;AL$6),AND(AL$7&gt;0,$A248&gt;AL$7)),0,MAX(0,ROUND((INDEX($E248:$G248,AL$5)-SUMIFS(TF_Timer,TF_Tekniker,AL$4,TF_Dato,$A248))*2,0)/2)))</f>
        <v/>
      </c>
      <c r="AM248">
        <f>IF(OR(AM$4="",$A248&gt;TODAY()),0,IF(OR(INDEX($B248:$D248,AM$5)="F",AND(AM$6&gt;0,$A248&lt;AM$6),AND(AM$7&gt;0,$A248&gt;AM$7)),0,MAX(0,ROUND((INDEX($E248:$G248,AM$5)-SUMIFS(TF_Timer,TF_Tekniker,AM$4,TF_Dato,$A248))*2,0)/2)))</f>
        <v/>
      </c>
      <c r="AN248">
        <f>IF(OR(AN$4="",$A248&gt;TODAY()),0,IF(OR(INDEX($B248:$D248,AN$5)="F",AND(AN$6&gt;0,$A248&lt;AN$6),AND(AN$7&gt;0,$A248&gt;AN$7)),0,MAX(0,ROUND((INDEX($E248:$G248,AN$5)-SUMIFS(TF_Timer,TF_Tekniker,AN$4,TF_Dato,$A248))*2,0)/2)))</f>
        <v/>
      </c>
      <c r="AO248">
        <f>IF(OR(AO$4="",$A248&gt;TODAY()),0,IF(OR(INDEX($B248:$D248,AO$5)="F",AND(AO$6&gt;0,$A248&lt;AO$6),AND(AO$7&gt;0,$A248&gt;AO$7)),0,MAX(0,ROUND((INDEX($E248:$G248,AO$5)-SUMIFS(TF_Timer,TF_Tekniker,AO$4,TF_Dato,$A248))*2,0)/2)))</f>
        <v/>
      </c>
      <c r="AP248">
        <f>IF(OR(AP$4="",$A248&gt;TODAY()),0,IF(OR(INDEX($B248:$D248,AP$5)="F",AND(AP$6&gt;0,$A248&lt;AP$6),AND(AP$7&gt;0,$A248&gt;AP$7)),0,MAX(0,ROUND((INDEX($E248:$G248,AP$5)-SUMIFS(TF_Timer,TF_Tekniker,AP$4,TF_Dato,$A248))*2,0)/2)))</f>
        <v/>
      </c>
      <c r="AQ248">
        <f>IF(OR(AQ$4="",$A248&gt;TODAY()),0,IF(OR(INDEX($B248:$D248,AQ$5)="F",AND(AQ$6&gt;0,$A248&lt;AQ$6),AND(AQ$7&gt;0,$A248&gt;AQ$7)),0,MAX(0,ROUND((INDEX($E248:$G248,AQ$5)-SUMIFS(TF_Timer,TF_Tekniker,AQ$4,TF_Dato,$A248))*2,0)/2)))</f>
        <v/>
      </c>
      <c r="AR248">
        <f>IF(OR(AR$4="",$A248&gt;TODAY()),0,IF(OR(INDEX($B248:$D248,AR$5)="F",AND(AR$6&gt;0,$A248&lt;AR$6),AND(AR$7&gt;0,$A248&gt;AR$7)),0,MAX(0,ROUND((INDEX($E248:$G248,AR$5)-SUMIFS(TF_Timer,TF_Tekniker,AR$4,TF_Dato,$A248))*2,0)/2)))</f>
        <v/>
      </c>
      <c r="AS248">
        <f>IF(OR(AS$4="",$A248&gt;TODAY()),0,IF(OR(INDEX($B248:$D248,AS$5)="F",AND(AS$6&gt;0,$A248&lt;AS$6),AND(AS$7&gt;0,$A248&gt;AS$7)),0,MAX(0,ROUND((INDEX($E248:$G248,AS$5)-SUMIFS(TF_Timer,TF_Tekniker,AS$4,TF_Dato,$A248))*2,0)/2)))</f>
        <v/>
      </c>
      <c r="AT248">
        <f>IF(OR(AT$4="",$A248&gt;TODAY()),0,IF(OR(INDEX($B248:$D248,AT$5)="F",AND(AT$6&gt;0,$A248&lt;AT$6),AND(AT$7&gt;0,$A248&gt;AT$7)),0,MAX(0,ROUND((INDEX($E248:$G248,AT$5)-SUMIFS(TF_Timer,TF_Tekniker,AT$4,TF_Dato,$A248))*2,0)/2)))</f>
        <v/>
      </c>
      <c r="AU248">
        <f>IF(OR(AU$4="",$A248&gt;TODAY()),0,IF(OR(INDEX($B248:$D248,AU$5)="F",AND(AU$6&gt;0,$A248&lt;AU$6),AND(AU$7&gt;0,$A248&gt;AU$7)),0,MAX(0,ROUND((INDEX($E248:$G248,AU$5)-SUMIFS(TF_Timer,TF_Tekniker,AU$4,TF_Dato,$A248))*2,0)/2)))</f>
        <v/>
      </c>
      <c r="AV248">
        <f>IF(OR(AV$4="",$A248&gt;TODAY()),0,IF(OR(INDEX($B248:$D248,AV$5)="F",AND(AV$6&gt;0,$A248&lt;AV$6),AND(AV$7&gt;0,$A248&gt;AV$7)),0,MAX(0,ROUND((INDEX($E248:$G248,AV$5)-SUMIFS(TF_Timer,TF_Tekniker,AV$4,TF_Dato,$A248))*2,0)/2)))</f>
        <v/>
      </c>
      <c r="AW248">
        <f>IF(OR(AW$4="",$A248&gt;TODAY()),0,IF(OR(INDEX($B248:$D248,AW$5)="F",AND(AW$6&gt;0,$A248&lt;AW$6),AND(AW$7&gt;0,$A248&gt;AW$7)),0,MAX(0,ROUND((INDEX($E248:$G248,AW$5)-SUMIFS(TF_Timer,TF_Tekniker,AW$4,TF_Dato,$A248))*2,0)/2)))</f>
        <v/>
      </c>
      <c r="AX248">
        <f>IF(OR(AX$4="",$A248&gt;TODAY()),0,IF(OR(INDEX($B248:$D248,AX$5)="F",AND(AX$6&gt;0,$A248&lt;AX$6),AND(AX$7&gt;0,$A248&gt;AX$7)),0,MAX(0,ROUND((INDEX($E248:$G248,AX$5)-SUMIFS(TF_Timer,TF_Tekniker,AX$4,TF_Dato,$A248))*2,0)/2)))</f>
        <v/>
      </c>
      <c r="AY248">
        <f>IF(OR(AY$4="",$A248&gt;TODAY()),0,IF(OR(INDEX($B248:$D248,AY$5)="F",AND(AY$6&gt;0,$A248&lt;AY$6),AND(AY$7&gt;0,$A248&gt;AY$7)),0,MAX(0,ROUND((INDEX($E248:$G248,AY$5)-SUMIFS(TF_Timer,TF_Tekniker,AY$4,TF_Dato,$A248))*2,0)/2)))</f>
        <v/>
      </c>
      <c r="AZ248">
        <f>IF(OR(AZ$4="",$A248&gt;TODAY()),0,IF(OR(INDEX($B248:$D248,AZ$5)="F",AND(AZ$6&gt;0,$A248&lt;AZ$6),AND(AZ$7&gt;0,$A248&gt;AZ$7)),0,MAX(0,ROUND((INDEX($E248:$G248,AZ$5)-SUMIFS(TF_Timer,TF_Tekniker,AZ$4,TF_Dato,$A248))*2,0)/2)))</f>
        <v/>
      </c>
      <c r="BA248">
        <f>IF(OR(BA$4="",$A248&gt;TODAY()),0,IF(OR(INDEX($B248:$D248,BA$5)="F",AND(BA$6&gt;0,$A248&lt;BA$6),AND(BA$7&gt;0,$A248&gt;BA$7)),0,MAX(0,ROUND((INDEX($E248:$G248,BA$5)-SUMIFS(TF_Timer,TF_Tekniker,BA$4,TF_Dato,$A248))*2,0)/2)))</f>
        <v/>
      </c>
      <c r="BB248">
        <f>IF(OR(BB$4="",$A248&gt;TODAY()),0,IF(OR(INDEX($B248:$D248,BB$5)="F",AND(BB$6&gt;0,$A248&lt;BB$6),AND(BB$7&gt;0,$A248&gt;BB$7)),0,MAX(0,ROUND((INDEX($E248:$G248,BB$5)-SUMIFS(TF_Timer,TF_Tekniker,BB$4,TF_Dato,$A248))*2,0)/2)))</f>
        <v/>
      </c>
      <c r="BC248">
        <f>IF(OR(BC$4="",$A248&gt;TODAY()),0,IF(OR(INDEX($B248:$D248,BC$5)="F",AND(BC$6&gt;0,$A248&lt;BC$6),AND(BC$7&gt;0,$A248&gt;BC$7)),0,MAX(0,ROUND((INDEX($E248:$G248,BC$5)-SUMIFS(TF_Timer,TF_Tekniker,BC$4,TF_Dato,$A248))*2,0)/2)))</f>
        <v/>
      </c>
      <c r="BD248">
        <f>IF(OR(BD$4="",$A248&gt;TODAY()),0,IF(OR(INDEX($B248:$D248,BD$5)="F",AND(BD$6&gt;0,$A248&lt;BD$6),AND(BD$7&gt;0,$A248&gt;BD$7)),0,MAX(0,ROUND((INDEX($E248:$G248,BD$5)-SUMIFS(TF_Timer,TF_Tekniker,BD$4,TF_Dato,$A248))*2,0)/2)))</f>
        <v/>
      </c>
      <c r="BE248">
        <f>IF(OR(BE$4="",$A248&gt;TODAY()),0,IF(OR(INDEX($B248:$D248,BE$5)="F",AND(BE$6&gt;0,$A248&lt;BE$6),AND(BE$7&gt;0,$A248&gt;BE$7)),0,MAX(0,ROUND((INDEX($E248:$G248,BE$5)-SUMIFS(TF_Timer,TF_Tekniker,BE$4,TF_Dato,$A248))*2,0)/2)))</f>
        <v/>
      </c>
      <c r="BF248">
        <f>IF(OR(BF$4="",$A248&gt;TODAY()),0,IF(OR(INDEX($B248:$D248,BF$5)="F",AND(BF$6&gt;0,$A248&lt;BF$6),AND(BF$7&gt;0,$A248&gt;BF$7)),0,MAX(0,ROUND((INDEX($E248:$G248,BF$5)-SUMIFS(TF_Timer,TF_Tekniker,BF$4,TF_Dato,$A248))*2,0)/2)))</f>
        <v/>
      </c>
      <c r="BG248">
        <f>IF(OR(BG$4="",$A248&gt;TODAY()),0,IF(OR(INDEX($B248:$D248,BG$5)="F",AND(BG$6&gt;0,$A248&lt;BG$6),AND(BG$7&gt;0,$A248&gt;BG$7)),0,MAX(0,ROUND((INDEX($E248:$G248,BG$5)-SUMIFS(TF_Timer,TF_Tekniker,BG$4,TF_Dato,$A248))*2,0)/2)))</f>
        <v/>
      </c>
      <c r="BH248">
        <f>IF(OR(BH$4="",$A248&gt;TODAY()),0,IF(OR(INDEX($B248:$D248,BH$5)="F",AND(BH$6&gt;0,$A248&lt;BH$6),AND(BH$7&gt;0,$A248&gt;BH$7)),0,MAX(0,ROUND((INDEX($E248:$G248,BH$5)-SUMIFS(TF_Timer,TF_Tekniker,BH$4,TF_Dato,$A248))*2,0)/2)))</f>
        <v/>
      </c>
      <c r="BI248">
        <f>IF(OR(BI$4="",$A248&gt;TODAY()),0,IF(OR(INDEX($B248:$D248,BI$5)="F",AND(BI$6&gt;0,$A248&lt;BI$6),AND(BI$7&gt;0,$A248&gt;BI$7)),0,MAX(0,ROUND((INDEX($E248:$G248,BI$5)-SUMIFS(TF_Timer,TF_Tekniker,BI$4,TF_Dato,$A248))*2,0)/2)))</f>
        <v/>
      </c>
    </row>
    <row r="249">
      <c r="A249" s="64">
        <f>A248+1</f>
        <v/>
      </c>
      <c r="B249">
        <f>IF(MOD($A249-INDEX(SkiftStart,1),Syklus)&lt;DagK,"K",IF(MOD($A249-INDEX(SkiftStart,1),Syklus)&lt;DagK+DagH,"H",IF(MOD($A249-INDEX(SkiftStart,1),Syklus)&lt;DagK+DagH+DagD,"D","F")))</f>
        <v/>
      </c>
      <c r="C249">
        <f>IF(MOD($A249-INDEX(SkiftStart,2),Syklus)&lt;DagK,"K",IF(MOD($A249-INDEX(SkiftStart,2),Syklus)&lt;DagK+DagH,"H",IF(MOD($A249-INDEX(SkiftStart,2),Syklus)&lt;DagK+DagH+DagD,"D","F")))</f>
        <v/>
      </c>
      <c r="D249">
        <f>IF(MOD($A249-INDEX(SkiftStart,3),Syklus)&lt;DagK,"K",IF(MOD($A249-INDEX(SkiftStart,3),Syklus)&lt;DagK+DagH,"H",IF(MOD($A249-INDEX(SkiftStart,3),Syklus)&lt;DagK+DagH+DagD,"D","F")))</f>
        <v/>
      </c>
      <c r="E249">
        <f>IF(B249="F",0,IF(WEEKDAY($A249,2)=5,INDEX(TimerFr,MATCH(B249,FaseKode,0)),INDEX(TimerMT,MATCH(B249,FaseKode,0))))</f>
        <v/>
      </c>
      <c r="F249">
        <f>IF(C249="F",0,IF(WEEKDAY($A249,2)=5,INDEX(TimerFr,MATCH(C249,FaseKode,0)),INDEX(TimerMT,MATCH(C249,FaseKode,0))))</f>
        <v/>
      </c>
      <c r="G249">
        <f>IF(D249="F",0,IF(WEEKDAY($A249,2)=5,INDEX(TimerFr,MATCH(D249,FaseKode,0)),INDEX(TimerMT,MATCH(D249,FaseKode,0))))</f>
        <v/>
      </c>
      <c r="H249">
        <f>IF(OR(H$4="",$A249&gt;TODAY()),0,IF(OR(INDEX($B249:$D249,H$5)="F",AND(H$6&gt;0,$A249&lt;H$6),AND(H$7&gt;0,$A249&gt;H$7)),0,MAX(0,ROUND((INDEX($E249:$G249,H$5)-SUMIFS(TF_Timer,TF_Tekniker,H$4,TF_Dato,$A249))*2,0)/2)))</f>
        <v/>
      </c>
      <c r="I249">
        <f>IF(OR(I$4="",$A249&gt;TODAY()),0,IF(OR(INDEX($B249:$D249,I$5)="F",AND(I$6&gt;0,$A249&lt;I$6),AND(I$7&gt;0,$A249&gt;I$7)),0,MAX(0,ROUND((INDEX($E249:$G249,I$5)-SUMIFS(TF_Timer,TF_Tekniker,I$4,TF_Dato,$A249))*2,0)/2)))</f>
        <v/>
      </c>
      <c r="J249">
        <f>IF(OR(J$4="",$A249&gt;TODAY()),0,IF(OR(INDEX($B249:$D249,J$5)="F",AND(J$6&gt;0,$A249&lt;J$6),AND(J$7&gt;0,$A249&gt;J$7)),0,MAX(0,ROUND((INDEX($E249:$G249,J$5)-SUMIFS(TF_Timer,TF_Tekniker,J$4,TF_Dato,$A249))*2,0)/2)))</f>
        <v/>
      </c>
      <c r="K249">
        <f>IF(OR(K$4="",$A249&gt;TODAY()),0,IF(OR(INDEX($B249:$D249,K$5)="F",AND(K$6&gt;0,$A249&lt;K$6),AND(K$7&gt;0,$A249&gt;K$7)),0,MAX(0,ROUND((INDEX($E249:$G249,K$5)-SUMIFS(TF_Timer,TF_Tekniker,K$4,TF_Dato,$A249))*2,0)/2)))</f>
        <v/>
      </c>
      <c r="L249">
        <f>IF(OR(L$4="",$A249&gt;TODAY()),0,IF(OR(INDEX($B249:$D249,L$5)="F",AND(L$6&gt;0,$A249&lt;L$6),AND(L$7&gt;0,$A249&gt;L$7)),0,MAX(0,ROUND((INDEX($E249:$G249,L$5)-SUMIFS(TF_Timer,TF_Tekniker,L$4,TF_Dato,$A249))*2,0)/2)))</f>
        <v/>
      </c>
      <c r="M249">
        <f>IF(OR(M$4="",$A249&gt;TODAY()),0,IF(OR(INDEX($B249:$D249,M$5)="F",AND(M$6&gt;0,$A249&lt;M$6),AND(M$7&gt;0,$A249&gt;M$7)),0,MAX(0,ROUND((INDEX($E249:$G249,M$5)-SUMIFS(TF_Timer,TF_Tekniker,M$4,TF_Dato,$A249))*2,0)/2)))</f>
        <v/>
      </c>
      <c r="N249">
        <f>IF(OR(N$4="",$A249&gt;TODAY()),0,IF(OR(INDEX($B249:$D249,N$5)="F",AND(N$6&gt;0,$A249&lt;N$6),AND(N$7&gt;0,$A249&gt;N$7)),0,MAX(0,ROUND((INDEX($E249:$G249,N$5)-SUMIFS(TF_Timer,TF_Tekniker,N$4,TF_Dato,$A249))*2,0)/2)))</f>
        <v/>
      </c>
      <c r="O249">
        <f>IF(OR(O$4="",$A249&gt;TODAY()),0,IF(OR(INDEX($B249:$D249,O$5)="F",AND(O$6&gt;0,$A249&lt;O$6),AND(O$7&gt;0,$A249&gt;O$7)),0,MAX(0,ROUND((INDEX($E249:$G249,O$5)-SUMIFS(TF_Timer,TF_Tekniker,O$4,TF_Dato,$A249))*2,0)/2)))</f>
        <v/>
      </c>
      <c r="P249">
        <f>IF(OR(P$4="",$A249&gt;TODAY()),0,IF(OR(INDEX($B249:$D249,P$5)="F",AND(P$6&gt;0,$A249&lt;P$6),AND(P$7&gt;0,$A249&gt;P$7)),0,MAX(0,ROUND((INDEX($E249:$G249,P$5)-SUMIFS(TF_Timer,TF_Tekniker,P$4,TF_Dato,$A249))*2,0)/2)))</f>
        <v/>
      </c>
      <c r="Q249">
        <f>IF(OR(Q$4="",$A249&gt;TODAY()),0,IF(OR(INDEX($B249:$D249,Q$5)="F",AND(Q$6&gt;0,$A249&lt;Q$6),AND(Q$7&gt;0,$A249&gt;Q$7)),0,MAX(0,ROUND((INDEX($E249:$G249,Q$5)-SUMIFS(TF_Timer,TF_Tekniker,Q$4,TF_Dato,$A249))*2,0)/2)))</f>
        <v/>
      </c>
      <c r="R249">
        <f>IF(OR(R$4="",$A249&gt;TODAY()),0,IF(OR(INDEX($B249:$D249,R$5)="F",AND(R$6&gt;0,$A249&lt;R$6),AND(R$7&gt;0,$A249&gt;R$7)),0,MAX(0,ROUND((INDEX($E249:$G249,R$5)-SUMIFS(TF_Timer,TF_Tekniker,R$4,TF_Dato,$A249))*2,0)/2)))</f>
        <v/>
      </c>
      <c r="S249">
        <f>IF(OR(S$4="",$A249&gt;TODAY()),0,IF(OR(INDEX($B249:$D249,S$5)="F",AND(S$6&gt;0,$A249&lt;S$6),AND(S$7&gt;0,$A249&gt;S$7)),0,MAX(0,ROUND((INDEX($E249:$G249,S$5)-SUMIFS(TF_Timer,TF_Tekniker,S$4,TF_Dato,$A249))*2,0)/2)))</f>
        <v/>
      </c>
      <c r="T249">
        <f>IF(OR(T$4="",$A249&gt;TODAY()),0,IF(OR(INDEX($B249:$D249,T$5)="F",AND(T$6&gt;0,$A249&lt;T$6),AND(T$7&gt;0,$A249&gt;T$7)),0,MAX(0,ROUND((INDEX($E249:$G249,T$5)-SUMIFS(TF_Timer,TF_Tekniker,T$4,TF_Dato,$A249))*2,0)/2)))</f>
        <v/>
      </c>
      <c r="U249">
        <f>IF(OR(U$4="",$A249&gt;TODAY()),0,IF(OR(INDEX($B249:$D249,U$5)="F",AND(U$6&gt;0,$A249&lt;U$6),AND(U$7&gt;0,$A249&gt;U$7)),0,MAX(0,ROUND((INDEX($E249:$G249,U$5)-SUMIFS(TF_Timer,TF_Tekniker,U$4,TF_Dato,$A249))*2,0)/2)))</f>
        <v/>
      </c>
      <c r="V249">
        <f>IF(OR(V$4="",$A249&gt;TODAY()),0,IF(OR(INDEX($B249:$D249,V$5)="F",AND(V$6&gt;0,$A249&lt;V$6),AND(V$7&gt;0,$A249&gt;V$7)),0,MAX(0,ROUND((INDEX($E249:$G249,V$5)-SUMIFS(TF_Timer,TF_Tekniker,V$4,TF_Dato,$A249))*2,0)/2)))</f>
        <v/>
      </c>
      <c r="W249">
        <f>IF(OR(W$4="",$A249&gt;TODAY()),0,IF(OR(INDEX($B249:$D249,W$5)="F",AND(W$6&gt;0,$A249&lt;W$6),AND(W$7&gt;0,$A249&gt;W$7)),0,MAX(0,ROUND((INDEX($E249:$G249,W$5)-SUMIFS(TF_Timer,TF_Tekniker,W$4,TF_Dato,$A249))*2,0)/2)))</f>
        <v/>
      </c>
      <c r="X249">
        <f>IF(OR(X$4="",$A249&gt;TODAY()),0,IF(OR(INDEX($B249:$D249,X$5)="F",AND(X$6&gt;0,$A249&lt;X$6),AND(X$7&gt;0,$A249&gt;X$7)),0,MAX(0,ROUND((INDEX($E249:$G249,X$5)-SUMIFS(TF_Timer,TF_Tekniker,X$4,TF_Dato,$A249))*2,0)/2)))</f>
        <v/>
      </c>
      <c r="Y249">
        <f>IF(OR(Y$4="",$A249&gt;TODAY()),0,IF(OR(INDEX($B249:$D249,Y$5)="F",AND(Y$6&gt;0,$A249&lt;Y$6),AND(Y$7&gt;0,$A249&gt;Y$7)),0,MAX(0,ROUND((INDEX($E249:$G249,Y$5)-SUMIFS(TF_Timer,TF_Tekniker,Y$4,TF_Dato,$A249))*2,0)/2)))</f>
        <v/>
      </c>
      <c r="Z249">
        <f>IF(OR(Z$4="",$A249&gt;TODAY()),0,IF(OR(INDEX($B249:$D249,Z$5)="F",AND(Z$6&gt;0,$A249&lt;Z$6),AND(Z$7&gt;0,$A249&gt;Z$7)),0,MAX(0,ROUND((INDEX($E249:$G249,Z$5)-SUMIFS(TF_Timer,TF_Tekniker,Z$4,TF_Dato,$A249))*2,0)/2)))</f>
        <v/>
      </c>
      <c r="AA249">
        <f>IF(OR(AA$4="",$A249&gt;TODAY()),0,IF(OR(INDEX($B249:$D249,AA$5)="F",AND(AA$6&gt;0,$A249&lt;AA$6),AND(AA$7&gt;0,$A249&gt;AA$7)),0,MAX(0,ROUND((INDEX($E249:$G249,AA$5)-SUMIFS(TF_Timer,TF_Tekniker,AA$4,TF_Dato,$A249))*2,0)/2)))</f>
        <v/>
      </c>
      <c r="AB249">
        <f>IF(OR(AB$4="",$A249&gt;TODAY()),0,IF(OR(INDEX($B249:$D249,AB$5)="F",AND(AB$6&gt;0,$A249&lt;AB$6),AND(AB$7&gt;0,$A249&gt;AB$7)),0,MAX(0,ROUND((INDEX($E249:$G249,AB$5)-SUMIFS(TF_Timer,TF_Tekniker,AB$4,TF_Dato,$A249))*2,0)/2)))</f>
        <v/>
      </c>
      <c r="AC249">
        <f>IF(OR(AC$4="",$A249&gt;TODAY()),0,IF(OR(INDEX($B249:$D249,AC$5)="F",AND(AC$6&gt;0,$A249&lt;AC$6),AND(AC$7&gt;0,$A249&gt;AC$7)),0,MAX(0,ROUND((INDEX($E249:$G249,AC$5)-SUMIFS(TF_Timer,TF_Tekniker,AC$4,TF_Dato,$A249))*2,0)/2)))</f>
        <v/>
      </c>
      <c r="AD249">
        <f>IF(OR(AD$4="",$A249&gt;TODAY()),0,IF(OR(INDEX($B249:$D249,AD$5)="F",AND(AD$6&gt;0,$A249&lt;AD$6),AND(AD$7&gt;0,$A249&gt;AD$7)),0,MAX(0,ROUND((INDEX($E249:$G249,AD$5)-SUMIFS(TF_Timer,TF_Tekniker,AD$4,TF_Dato,$A249))*2,0)/2)))</f>
        <v/>
      </c>
      <c r="AE249">
        <f>IF(OR(AE$4="",$A249&gt;TODAY()),0,IF(OR(INDEX($B249:$D249,AE$5)="F",AND(AE$6&gt;0,$A249&lt;AE$6),AND(AE$7&gt;0,$A249&gt;AE$7)),0,MAX(0,ROUND((INDEX($E249:$G249,AE$5)-SUMIFS(TF_Timer,TF_Tekniker,AE$4,TF_Dato,$A249))*2,0)/2)))</f>
        <v/>
      </c>
      <c r="AF249">
        <f>IF(OR(AF$4="",$A249&gt;TODAY()),0,IF(OR(INDEX($B249:$D249,AF$5)="F",AND(AF$6&gt;0,$A249&lt;AF$6),AND(AF$7&gt;0,$A249&gt;AF$7)),0,MAX(0,ROUND((INDEX($E249:$G249,AF$5)-SUMIFS(TF_Timer,TF_Tekniker,AF$4,TF_Dato,$A249))*2,0)/2)))</f>
        <v/>
      </c>
      <c r="AG249">
        <f>IF(OR(AG$4="",$A249&gt;TODAY()),0,IF(OR(INDEX($B249:$D249,AG$5)="F",AND(AG$6&gt;0,$A249&lt;AG$6),AND(AG$7&gt;0,$A249&gt;AG$7)),0,MAX(0,ROUND((INDEX($E249:$G249,AG$5)-SUMIFS(TF_Timer,TF_Tekniker,AG$4,TF_Dato,$A249))*2,0)/2)))</f>
        <v/>
      </c>
      <c r="AH249">
        <f>IF(OR(AH$4="",$A249&gt;TODAY()),0,IF(OR(INDEX($B249:$D249,AH$5)="F",AND(AH$6&gt;0,$A249&lt;AH$6),AND(AH$7&gt;0,$A249&gt;AH$7)),0,MAX(0,ROUND((INDEX($E249:$G249,AH$5)-SUMIFS(TF_Timer,TF_Tekniker,AH$4,TF_Dato,$A249))*2,0)/2)))</f>
        <v/>
      </c>
      <c r="AI249">
        <f>IF(OR(AI$4="",$A249&gt;TODAY()),0,IF(OR(INDEX($B249:$D249,AI$5)="F",AND(AI$6&gt;0,$A249&lt;AI$6),AND(AI$7&gt;0,$A249&gt;AI$7)),0,MAX(0,ROUND((INDEX($E249:$G249,AI$5)-SUMIFS(TF_Timer,TF_Tekniker,AI$4,TF_Dato,$A249))*2,0)/2)))</f>
        <v/>
      </c>
      <c r="AJ249">
        <f>IF(OR(AJ$4="",$A249&gt;TODAY()),0,IF(OR(INDEX($B249:$D249,AJ$5)="F",AND(AJ$6&gt;0,$A249&lt;AJ$6),AND(AJ$7&gt;0,$A249&gt;AJ$7)),0,MAX(0,ROUND((INDEX($E249:$G249,AJ$5)-SUMIFS(TF_Timer,TF_Tekniker,AJ$4,TF_Dato,$A249))*2,0)/2)))</f>
        <v/>
      </c>
      <c r="AK249">
        <f>IF(OR(AK$4="",$A249&gt;TODAY()),0,IF(OR(INDEX($B249:$D249,AK$5)="F",AND(AK$6&gt;0,$A249&lt;AK$6),AND(AK$7&gt;0,$A249&gt;AK$7)),0,MAX(0,ROUND((INDEX($E249:$G249,AK$5)-SUMIFS(TF_Timer,TF_Tekniker,AK$4,TF_Dato,$A249))*2,0)/2)))</f>
        <v/>
      </c>
      <c r="AL249">
        <f>IF(OR(AL$4="",$A249&gt;TODAY()),0,IF(OR(INDEX($B249:$D249,AL$5)="F",AND(AL$6&gt;0,$A249&lt;AL$6),AND(AL$7&gt;0,$A249&gt;AL$7)),0,MAX(0,ROUND((INDEX($E249:$G249,AL$5)-SUMIFS(TF_Timer,TF_Tekniker,AL$4,TF_Dato,$A249))*2,0)/2)))</f>
        <v/>
      </c>
      <c r="AM249">
        <f>IF(OR(AM$4="",$A249&gt;TODAY()),0,IF(OR(INDEX($B249:$D249,AM$5)="F",AND(AM$6&gt;0,$A249&lt;AM$6),AND(AM$7&gt;0,$A249&gt;AM$7)),0,MAX(0,ROUND((INDEX($E249:$G249,AM$5)-SUMIFS(TF_Timer,TF_Tekniker,AM$4,TF_Dato,$A249))*2,0)/2)))</f>
        <v/>
      </c>
      <c r="AN249">
        <f>IF(OR(AN$4="",$A249&gt;TODAY()),0,IF(OR(INDEX($B249:$D249,AN$5)="F",AND(AN$6&gt;0,$A249&lt;AN$6),AND(AN$7&gt;0,$A249&gt;AN$7)),0,MAX(0,ROUND((INDEX($E249:$G249,AN$5)-SUMIFS(TF_Timer,TF_Tekniker,AN$4,TF_Dato,$A249))*2,0)/2)))</f>
        <v/>
      </c>
      <c r="AO249">
        <f>IF(OR(AO$4="",$A249&gt;TODAY()),0,IF(OR(INDEX($B249:$D249,AO$5)="F",AND(AO$6&gt;0,$A249&lt;AO$6),AND(AO$7&gt;0,$A249&gt;AO$7)),0,MAX(0,ROUND((INDEX($E249:$G249,AO$5)-SUMIFS(TF_Timer,TF_Tekniker,AO$4,TF_Dato,$A249))*2,0)/2)))</f>
        <v/>
      </c>
      <c r="AP249">
        <f>IF(OR(AP$4="",$A249&gt;TODAY()),0,IF(OR(INDEX($B249:$D249,AP$5)="F",AND(AP$6&gt;0,$A249&lt;AP$6),AND(AP$7&gt;0,$A249&gt;AP$7)),0,MAX(0,ROUND((INDEX($E249:$G249,AP$5)-SUMIFS(TF_Timer,TF_Tekniker,AP$4,TF_Dato,$A249))*2,0)/2)))</f>
        <v/>
      </c>
      <c r="AQ249">
        <f>IF(OR(AQ$4="",$A249&gt;TODAY()),0,IF(OR(INDEX($B249:$D249,AQ$5)="F",AND(AQ$6&gt;0,$A249&lt;AQ$6),AND(AQ$7&gt;0,$A249&gt;AQ$7)),0,MAX(0,ROUND((INDEX($E249:$G249,AQ$5)-SUMIFS(TF_Timer,TF_Tekniker,AQ$4,TF_Dato,$A249))*2,0)/2)))</f>
        <v/>
      </c>
      <c r="AR249">
        <f>IF(OR(AR$4="",$A249&gt;TODAY()),0,IF(OR(INDEX($B249:$D249,AR$5)="F",AND(AR$6&gt;0,$A249&lt;AR$6),AND(AR$7&gt;0,$A249&gt;AR$7)),0,MAX(0,ROUND((INDEX($E249:$G249,AR$5)-SUMIFS(TF_Timer,TF_Tekniker,AR$4,TF_Dato,$A249))*2,0)/2)))</f>
        <v/>
      </c>
      <c r="AS249">
        <f>IF(OR(AS$4="",$A249&gt;TODAY()),0,IF(OR(INDEX($B249:$D249,AS$5)="F",AND(AS$6&gt;0,$A249&lt;AS$6),AND(AS$7&gt;0,$A249&gt;AS$7)),0,MAX(0,ROUND((INDEX($E249:$G249,AS$5)-SUMIFS(TF_Timer,TF_Tekniker,AS$4,TF_Dato,$A249))*2,0)/2)))</f>
        <v/>
      </c>
      <c r="AT249">
        <f>IF(OR(AT$4="",$A249&gt;TODAY()),0,IF(OR(INDEX($B249:$D249,AT$5)="F",AND(AT$6&gt;0,$A249&lt;AT$6),AND(AT$7&gt;0,$A249&gt;AT$7)),0,MAX(0,ROUND((INDEX($E249:$G249,AT$5)-SUMIFS(TF_Timer,TF_Tekniker,AT$4,TF_Dato,$A249))*2,0)/2)))</f>
        <v/>
      </c>
      <c r="AU249">
        <f>IF(OR(AU$4="",$A249&gt;TODAY()),0,IF(OR(INDEX($B249:$D249,AU$5)="F",AND(AU$6&gt;0,$A249&lt;AU$6),AND(AU$7&gt;0,$A249&gt;AU$7)),0,MAX(0,ROUND((INDEX($E249:$G249,AU$5)-SUMIFS(TF_Timer,TF_Tekniker,AU$4,TF_Dato,$A249))*2,0)/2)))</f>
        <v/>
      </c>
      <c r="AV249">
        <f>IF(OR(AV$4="",$A249&gt;TODAY()),0,IF(OR(INDEX($B249:$D249,AV$5)="F",AND(AV$6&gt;0,$A249&lt;AV$6),AND(AV$7&gt;0,$A249&gt;AV$7)),0,MAX(0,ROUND((INDEX($E249:$G249,AV$5)-SUMIFS(TF_Timer,TF_Tekniker,AV$4,TF_Dato,$A249))*2,0)/2)))</f>
        <v/>
      </c>
      <c r="AW249">
        <f>IF(OR(AW$4="",$A249&gt;TODAY()),0,IF(OR(INDEX($B249:$D249,AW$5)="F",AND(AW$6&gt;0,$A249&lt;AW$6),AND(AW$7&gt;0,$A249&gt;AW$7)),0,MAX(0,ROUND((INDEX($E249:$G249,AW$5)-SUMIFS(TF_Timer,TF_Tekniker,AW$4,TF_Dato,$A249))*2,0)/2)))</f>
        <v/>
      </c>
      <c r="AX249">
        <f>IF(OR(AX$4="",$A249&gt;TODAY()),0,IF(OR(INDEX($B249:$D249,AX$5)="F",AND(AX$6&gt;0,$A249&lt;AX$6),AND(AX$7&gt;0,$A249&gt;AX$7)),0,MAX(0,ROUND((INDEX($E249:$G249,AX$5)-SUMIFS(TF_Timer,TF_Tekniker,AX$4,TF_Dato,$A249))*2,0)/2)))</f>
        <v/>
      </c>
      <c r="AY249">
        <f>IF(OR(AY$4="",$A249&gt;TODAY()),0,IF(OR(INDEX($B249:$D249,AY$5)="F",AND(AY$6&gt;0,$A249&lt;AY$6),AND(AY$7&gt;0,$A249&gt;AY$7)),0,MAX(0,ROUND((INDEX($E249:$G249,AY$5)-SUMIFS(TF_Timer,TF_Tekniker,AY$4,TF_Dato,$A249))*2,0)/2)))</f>
        <v/>
      </c>
      <c r="AZ249">
        <f>IF(OR(AZ$4="",$A249&gt;TODAY()),0,IF(OR(INDEX($B249:$D249,AZ$5)="F",AND(AZ$6&gt;0,$A249&lt;AZ$6),AND(AZ$7&gt;0,$A249&gt;AZ$7)),0,MAX(0,ROUND((INDEX($E249:$G249,AZ$5)-SUMIFS(TF_Timer,TF_Tekniker,AZ$4,TF_Dato,$A249))*2,0)/2)))</f>
        <v/>
      </c>
      <c r="BA249">
        <f>IF(OR(BA$4="",$A249&gt;TODAY()),0,IF(OR(INDEX($B249:$D249,BA$5)="F",AND(BA$6&gt;0,$A249&lt;BA$6),AND(BA$7&gt;0,$A249&gt;BA$7)),0,MAX(0,ROUND((INDEX($E249:$G249,BA$5)-SUMIFS(TF_Timer,TF_Tekniker,BA$4,TF_Dato,$A249))*2,0)/2)))</f>
        <v/>
      </c>
      <c r="BB249">
        <f>IF(OR(BB$4="",$A249&gt;TODAY()),0,IF(OR(INDEX($B249:$D249,BB$5)="F",AND(BB$6&gt;0,$A249&lt;BB$6),AND(BB$7&gt;0,$A249&gt;BB$7)),0,MAX(0,ROUND((INDEX($E249:$G249,BB$5)-SUMIFS(TF_Timer,TF_Tekniker,BB$4,TF_Dato,$A249))*2,0)/2)))</f>
        <v/>
      </c>
      <c r="BC249">
        <f>IF(OR(BC$4="",$A249&gt;TODAY()),0,IF(OR(INDEX($B249:$D249,BC$5)="F",AND(BC$6&gt;0,$A249&lt;BC$6),AND(BC$7&gt;0,$A249&gt;BC$7)),0,MAX(0,ROUND((INDEX($E249:$G249,BC$5)-SUMIFS(TF_Timer,TF_Tekniker,BC$4,TF_Dato,$A249))*2,0)/2)))</f>
        <v/>
      </c>
      <c r="BD249">
        <f>IF(OR(BD$4="",$A249&gt;TODAY()),0,IF(OR(INDEX($B249:$D249,BD$5)="F",AND(BD$6&gt;0,$A249&lt;BD$6),AND(BD$7&gt;0,$A249&gt;BD$7)),0,MAX(0,ROUND((INDEX($E249:$G249,BD$5)-SUMIFS(TF_Timer,TF_Tekniker,BD$4,TF_Dato,$A249))*2,0)/2)))</f>
        <v/>
      </c>
      <c r="BE249">
        <f>IF(OR(BE$4="",$A249&gt;TODAY()),0,IF(OR(INDEX($B249:$D249,BE$5)="F",AND(BE$6&gt;0,$A249&lt;BE$6),AND(BE$7&gt;0,$A249&gt;BE$7)),0,MAX(0,ROUND((INDEX($E249:$G249,BE$5)-SUMIFS(TF_Timer,TF_Tekniker,BE$4,TF_Dato,$A249))*2,0)/2)))</f>
        <v/>
      </c>
      <c r="BF249">
        <f>IF(OR(BF$4="",$A249&gt;TODAY()),0,IF(OR(INDEX($B249:$D249,BF$5)="F",AND(BF$6&gt;0,$A249&lt;BF$6),AND(BF$7&gt;0,$A249&gt;BF$7)),0,MAX(0,ROUND((INDEX($E249:$G249,BF$5)-SUMIFS(TF_Timer,TF_Tekniker,BF$4,TF_Dato,$A249))*2,0)/2)))</f>
        <v/>
      </c>
      <c r="BG249">
        <f>IF(OR(BG$4="",$A249&gt;TODAY()),0,IF(OR(INDEX($B249:$D249,BG$5)="F",AND(BG$6&gt;0,$A249&lt;BG$6),AND(BG$7&gt;0,$A249&gt;BG$7)),0,MAX(0,ROUND((INDEX($E249:$G249,BG$5)-SUMIFS(TF_Timer,TF_Tekniker,BG$4,TF_Dato,$A249))*2,0)/2)))</f>
        <v/>
      </c>
      <c r="BH249">
        <f>IF(OR(BH$4="",$A249&gt;TODAY()),0,IF(OR(INDEX($B249:$D249,BH$5)="F",AND(BH$6&gt;0,$A249&lt;BH$6),AND(BH$7&gt;0,$A249&gt;BH$7)),0,MAX(0,ROUND((INDEX($E249:$G249,BH$5)-SUMIFS(TF_Timer,TF_Tekniker,BH$4,TF_Dato,$A249))*2,0)/2)))</f>
        <v/>
      </c>
      <c r="BI249">
        <f>IF(OR(BI$4="",$A249&gt;TODAY()),0,IF(OR(INDEX($B249:$D249,BI$5)="F",AND(BI$6&gt;0,$A249&lt;BI$6),AND(BI$7&gt;0,$A249&gt;BI$7)),0,MAX(0,ROUND((INDEX($E249:$G249,BI$5)-SUMIFS(TF_Timer,TF_Tekniker,BI$4,TF_Dato,$A249))*2,0)/2)))</f>
        <v/>
      </c>
    </row>
    <row r="250">
      <c r="A250" s="64">
        <f>A249+1</f>
        <v/>
      </c>
      <c r="B250">
        <f>IF(MOD($A250-INDEX(SkiftStart,1),Syklus)&lt;DagK,"K",IF(MOD($A250-INDEX(SkiftStart,1),Syklus)&lt;DagK+DagH,"H",IF(MOD($A250-INDEX(SkiftStart,1),Syklus)&lt;DagK+DagH+DagD,"D","F")))</f>
        <v/>
      </c>
      <c r="C250">
        <f>IF(MOD($A250-INDEX(SkiftStart,2),Syklus)&lt;DagK,"K",IF(MOD($A250-INDEX(SkiftStart,2),Syklus)&lt;DagK+DagH,"H",IF(MOD($A250-INDEX(SkiftStart,2),Syklus)&lt;DagK+DagH+DagD,"D","F")))</f>
        <v/>
      </c>
      <c r="D250">
        <f>IF(MOD($A250-INDEX(SkiftStart,3),Syklus)&lt;DagK,"K",IF(MOD($A250-INDEX(SkiftStart,3),Syklus)&lt;DagK+DagH,"H",IF(MOD($A250-INDEX(SkiftStart,3),Syklus)&lt;DagK+DagH+DagD,"D","F")))</f>
        <v/>
      </c>
      <c r="E250">
        <f>IF(B250="F",0,IF(WEEKDAY($A250,2)=5,INDEX(TimerFr,MATCH(B250,FaseKode,0)),INDEX(TimerMT,MATCH(B250,FaseKode,0))))</f>
        <v/>
      </c>
      <c r="F250">
        <f>IF(C250="F",0,IF(WEEKDAY($A250,2)=5,INDEX(TimerFr,MATCH(C250,FaseKode,0)),INDEX(TimerMT,MATCH(C250,FaseKode,0))))</f>
        <v/>
      </c>
      <c r="G250">
        <f>IF(D250="F",0,IF(WEEKDAY($A250,2)=5,INDEX(TimerFr,MATCH(D250,FaseKode,0)),INDEX(TimerMT,MATCH(D250,FaseKode,0))))</f>
        <v/>
      </c>
      <c r="H250">
        <f>IF(OR(H$4="",$A250&gt;TODAY()),0,IF(OR(INDEX($B250:$D250,H$5)="F",AND(H$6&gt;0,$A250&lt;H$6),AND(H$7&gt;0,$A250&gt;H$7)),0,MAX(0,ROUND((INDEX($E250:$G250,H$5)-SUMIFS(TF_Timer,TF_Tekniker,H$4,TF_Dato,$A250))*2,0)/2)))</f>
        <v/>
      </c>
      <c r="I250">
        <f>IF(OR(I$4="",$A250&gt;TODAY()),0,IF(OR(INDEX($B250:$D250,I$5)="F",AND(I$6&gt;0,$A250&lt;I$6),AND(I$7&gt;0,$A250&gt;I$7)),0,MAX(0,ROUND((INDEX($E250:$G250,I$5)-SUMIFS(TF_Timer,TF_Tekniker,I$4,TF_Dato,$A250))*2,0)/2)))</f>
        <v/>
      </c>
      <c r="J250">
        <f>IF(OR(J$4="",$A250&gt;TODAY()),0,IF(OR(INDEX($B250:$D250,J$5)="F",AND(J$6&gt;0,$A250&lt;J$6),AND(J$7&gt;0,$A250&gt;J$7)),0,MAX(0,ROUND((INDEX($E250:$G250,J$5)-SUMIFS(TF_Timer,TF_Tekniker,J$4,TF_Dato,$A250))*2,0)/2)))</f>
        <v/>
      </c>
      <c r="K250">
        <f>IF(OR(K$4="",$A250&gt;TODAY()),0,IF(OR(INDEX($B250:$D250,K$5)="F",AND(K$6&gt;0,$A250&lt;K$6),AND(K$7&gt;0,$A250&gt;K$7)),0,MAX(0,ROUND((INDEX($E250:$G250,K$5)-SUMIFS(TF_Timer,TF_Tekniker,K$4,TF_Dato,$A250))*2,0)/2)))</f>
        <v/>
      </c>
      <c r="L250">
        <f>IF(OR(L$4="",$A250&gt;TODAY()),0,IF(OR(INDEX($B250:$D250,L$5)="F",AND(L$6&gt;0,$A250&lt;L$6),AND(L$7&gt;0,$A250&gt;L$7)),0,MAX(0,ROUND((INDEX($E250:$G250,L$5)-SUMIFS(TF_Timer,TF_Tekniker,L$4,TF_Dato,$A250))*2,0)/2)))</f>
        <v/>
      </c>
      <c r="M250">
        <f>IF(OR(M$4="",$A250&gt;TODAY()),0,IF(OR(INDEX($B250:$D250,M$5)="F",AND(M$6&gt;0,$A250&lt;M$6),AND(M$7&gt;0,$A250&gt;M$7)),0,MAX(0,ROUND((INDEX($E250:$G250,M$5)-SUMIFS(TF_Timer,TF_Tekniker,M$4,TF_Dato,$A250))*2,0)/2)))</f>
        <v/>
      </c>
      <c r="N250">
        <f>IF(OR(N$4="",$A250&gt;TODAY()),0,IF(OR(INDEX($B250:$D250,N$5)="F",AND(N$6&gt;0,$A250&lt;N$6),AND(N$7&gt;0,$A250&gt;N$7)),0,MAX(0,ROUND((INDEX($E250:$G250,N$5)-SUMIFS(TF_Timer,TF_Tekniker,N$4,TF_Dato,$A250))*2,0)/2)))</f>
        <v/>
      </c>
      <c r="O250">
        <f>IF(OR(O$4="",$A250&gt;TODAY()),0,IF(OR(INDEX($B250:$D250,O$5)="F",AND(O$6&gt;0,$A250&lt;O$6),AND(O$7&gt;0,$A250&gt;O$7)),0,MAX(0,ROUND((INDEX($E250:$G250,O$5)-SUMIFS(TF_Timer,TF_Tekniker,O$4,TF_Dato,$A250))*2,0)/2)))</f>
        <v/>
      </c>
      <c r="P250">
        <f>IF(OR(P$4="",$A250&gt;TODAY()),0,IF(OR(INDEX($B250:$D250,P$5)="F",AND(P$6&gt;0,$A250&lt;P$6),AND(P$7&gt;0,$A250&gt;P$7)),0,MAX(0,ROUND((INDEX($E250:$G250,P$5)-SUMIFS(TF_Timer,TF_Tekniker,P$4,TF_Dato,$A250))*2,0)/2)))</f>
        <v/>
      </c>
      <c r="Q250">
        <f>IF(OR(Q$4="",$A250&gt;TODAY()),0,IF(OR(INDEX($B250:$D250,Q$5)="F",AND(Q$6&gt;0,$A250&lt;Q$6),AND(Q$7&gt;0,$A250&gt;Q$7)),0,MAX(0,ROUND((INDEX($E250:$G250,Q$5)-SUMIFS(TF_Timer,TF_Tekniker,Q$4,TF_Dato,$A250))*2,0)/2)))</f>
        <v/>
      </c>
      <c r="R250">
        <f>IF(OR(R$4="",$A250&gt;TODAY()),0,IF(OR(INDEX($B250:$D250,R$5)="F",AND(R$6&gt;0,$A250&lt;R$6),AND(R$7&gt;0,$A250&gt;R$7)),0,MAX(0,ROUND((INDEX($E250:$G250,R$5)-SUMIFS(TF_Timer,TF_Tekniker,R$4,TF_Dato,$A250))*2,0)/2)))</f>
        <v/>
      </c>
      <c r="S250">
        <f>IF(OR(S$4="",$A250&gt;TODAY()),0,IF(OR(INDEX($B250:$D250,S$5)="F",AND(S$6&gt;0,$A250&lt;S$6),AND(S$7&gt;0,$A250&gt;S$7)),0,MAX(0,ROUND((INDEX($E250:$G250,S$5)-SUMIFS(TF_Timer,TF_Tekniker,S$4,TF_Dato,$A250))*2,0)/2)))</f>
        <v/>
      </c>
      <c r="T250">
        <f>IF(OR(T$4="",$A250&gt;TODAY()),0,IF(OR(INDEX($B250:$D250,T$5)="F",AND(T$6&gt;0,$A250&lt;T$6),AND(T$7&gt;0,$A250&gt;T$7)),0,MAX(0,ROUND((INDEX($E250:$G250,T$5)-SUMIFS(TF_Timer,TF_Tekniker,T$4,TF_Dato,$A250))*2,0)/2)))</f>
        <v/>
      </c>
      <c r="U250">
        <f>IF(OR(U$4="",$A250&gt;TODAY()),0,IF(OR(INDEX($B250:$D250,U$5)="F",AND(U$6&gt;0,$A250&lt;U$6),AND(U$7&gt;0,$A250&gt;U$7)),0,MAX(0,ROUND((INDEX($E250:$G250,U$5)-SUMIFS(TF_Timer,TF_Tekniker,U$4,TF_Dato,$A250))*2,0)/2)))</f>
        <v/>
      </c>
      <c r="V250">
        <f>IF(OR(V$4="",$A250&gt;TODAY()),0,IF(OR(INDEX($B250:$D250,V$5)="F",AND(V$6&gt;0,$A250&lt;V$6),AND(V$7&gt;0,$A250&gt;V$7)),0,MAX(0,ROUND((INDEX($E250:$G250,V$5)-SUMIFS(TF_Timer,TF_Tekniker,V$4,TF_Dato,$A250))*2,0)/2)))</f>
        <v/>
      </c>
      <c r="W250">
        <f>IF(OR(W$4="",$A250&gt;TODAY()),0,IF(OR(INDEX($B250:$D250,W$5)="F",AND(W$6&gt;0,$A250&lt;W$6),AND(W$7&gt;0,$A250&gt;W$7)),0,MAX(0,ROUND((INDEX($E250:$G250,W$5)-SUMIFS(TF_Timer,TF_Tekniker,W$4,TF_Dato,$A250))*2,0)/2)))</f>
        <v/>
      </c>
      <c r="X250">
        <f>IF(OR(X$4="",$A250&gt;TODAY()),0,IF(OR(INDEX($B250:$D250,X$5)="F",AND(X$6&gt;0,$A250&lt;X$6),AND(X$7&gt;0,$A250&gt;X$7)),0,MAX(0,ROUND((INDEX($E250:$G250,X$5)-SUMIFS(TF_Timer,TF_Tekniker,X$4,TF_Dato,$A250))*2,0)/2)))</f>
        <v/>
      </c>
      <c r="Y250">
        <f>IF(OR(Y$4="",$A250&gt;TODAY()),0,IF(OR(INDEX($B250:$D250,Y$5)="F",AND(Y$6&gt;0,$A250&lt;Y$6),AND(Y$7&gt;0,$A250&gt;Y$7)),0,MAX(0,ROUND((INDEX($E250:$G250,Y$5)-SUMIFS(TF_Timer,TF_Tekniker,Y$4,TF_Dato,$A250))*2,0)/2)))</f>
        <v/>
      </c>
      <c r="Z250">
        <f>IF(OR(Z$4="",$A250&gt;TODAY()),0,IF(OR(INDEX($B250:$D250,Z$5)="F",AND(Z$6&gt;0,$A250&lt;Z$6),AND(Z$7&gt;0,$A250&gt;Z$7)),0,MAX(0,ROUND((INDEX($E250:$G250,Z$5)-SUMIFS(TF_Timer,TF_Tekniker,Z$4,TF_Dato,$A250))*2,0)/2)))</f>
        <v/>
      </c>
      <c r="AA250">
        <f>IF(OR(AA$4="",$A250&gt;TODAY()),0,IF(OR(INDEX($B250:$D250,AA$5)="F",AND(AA$6&gt;0,$A250&lt;AA$6),AND(AA$7&gt;0,$A250&gt;AA$7)),0,MAX(0,ROUND((INDEX($E250:$G250,AA$5)-SUMIFS(TF_Timer,TF_Tekniker,AA$4,TF_Dato,$A250))*2,0)/2)))</f>
        <v/>
      </c>
      <c r="AB250">
        <f>IF(OR(AB$4="",$A250&gt;TODAY()),0,IF(OR(INDEX($B250:$D250,AB$5)="F",AND(AB$6&gt;0,$A250&lt;AB$6),AND(AB$7&gt;0,$A250&gt;AB$7)),0,MAX(0,ROUND((INDEX($E250:$G250,AB$5)-SUMIFS(TF_Timer,TF_Tekniker,AB$4,TF_Dato,$A250))*2,0)/2)))</f>
        <v/>
      </c>
      <c r="AC250">
        <f>IF(OR(AC$4="",$A250&gt;TODAY()),0,IF(OR(INDEX($B250:$D250,AC$5)="F",AND(AC$6&gt;0,$A250&lt;AC$6),AND(AC$7&gt;0,$A250&gt;AC$7)),0,MAX(0,ROUND((INDEX($E250:$G250,AC$5)-SUMIFS(TF_Timer,TF_Tekniker,AC$4,TF_Dato,$A250))*2,0)/2)))</f>
        <v/>
      </c>
      <c r="AD250">
        <f>IF(OR(AD$4="",$A250&gt;TODAY()),0,IF(OR(INDEX($B250:$D250,AD$5)="F",AND(AD$6&gt;0,$A250&lt;AD$6),AND(AD$7&gt;0,$A250&gt;AD$7)),0,MAX(0,ROUND((INDEX($E250:$G250,AD$5)-SUMIFS(TF_Timer,TF_Tekniker,AD$4,TF_Dato,$A250))*2,0)/2)))</f>
        <v/>
      </c>
      <c r="AE250">
        <f>IF(OR(AE$4="",$A250&gt;TODAY()),0,IF(OR(INDEX($B250:$D250,AE$5)="F",AND(AE$6&gt;0,$A250&lt;AE$6),AND(AE$7&gt;0,$A250&gt;AE$7)),0,MAX(0,ROUND((INDEX($E250:$G250,AE$5)-SUMIFS(TF_Timer,TF_Tekniker,AE$4,TF_Dato,$A250))*2,0)/2)))</f>
        <v/>
      </c>
      <c r="AF250">
        <f>IF(OR(AF$4="",$A250&gt;TODAY()),0,IF(OR(INDEX($B250:$D250,AF$5)="F",AND(AF$6&gt;0,$A250&lt;AF$6),AND(AF$7&gt;0,$A250&gt;AF$7)),0,MAX(0,ROUND((INDEX($E250:$G250,AF$5)-SUMIFS(TF_Timer,TF_Tekniker,AF$4,TF_Dato,$A250))*2,0)/2)))</f>
        <v/>
      </c>
      <c r="AG250">
        <f>IF(OR(AG$4="",$A250&gt;TODAY()),0,IF(OR(INDEX($B250:$D250,AG$5)="F",AND(AG$6&gt;0,$A250&lt;AG$6),AND(AG$7&gt;0,$A250&gt;AG$7)),0,MAX(0,ROUND((INDEX($E250:$G250,AG$5)-SUMIFS(TF_Timer,TF_Tekniker,AG$4,TF_Dato,$A250))*2,0)/2)))</f>
        <v/>
      </c>
      <c r="AH250">
        <f>IF(OR(AH$4="",$A250&gt;TODAY()),0,IF(OR(INDEX($B250:$D250,AH$5)="F",AND(AH$6&gt;0,$A250&lt;AH$6),AND(AH$7&gt;0,$A250&gt;AH$7)),0,MAX(0,ROUND((INDEX($E250:$G250,AH$5)-SUMIFS(TF_Timer,TF_Tekniker,AH$4,TF_Dato,$A250))*2,0)/2)))</f>
        <v/>
      </c>
      <c r="AI250">
        <f>IF(OR(AI$4="",$A250&gt;TODAY()),0,IF(OR(INDEX($B250:$D250,AI$5)="F",AND(AI$6&gt;0,$A250&lt;AI$6),AND(AI$7&gt;0,$A250&gt;AI$7)),0,MAX(0,ROUND((INDEX($E250:$G250,AI$5)-SUMIFS(TF_Timer,TF_Tekniker,AI$4,TF_Dato,$A250))*2,0)/2)))</f>
        <v/>
      </c>
      <c r="AJ250">
        <f>IF(OR(AJ$4="",$A250&gt;TODAY()),0,IF(OR(INDEX($B250:$D250,AJ$5)="F",AND(AJ$6&gt;0,$A250&lt;AJ$6),AND(AJ$7&gt;0,$A250&gt;AJ$7)),0,MAX(0,ROUND((INDEX($E250:$G250,AJ$5)-SUMIFS(TF_Timer,TF_Tekniker,AJ$4,TF_Dato,$A250))*2,0)/2)))</f>
        <v/>
      </c>
      <c r="AK250">
        <f>IF(OR(AK$4="",$A250&gt;TODAY()),0,IF(OR(INDEX($B250:$D250,AK$5)="F",AND(AK$6&gt;0,$A250&lt;AK$6),AND(AK$7&gt;0,$A250&gt;AK$7)),0,MAX(0,ROUND((INDEX($E250:$G250,AK$5)-SUMIFS(TF_Timer,TF_Tekniker,AK$4,TF_Dato,$A250))*2,0)/2)))</f>
        <v/>
      </c>
      <c r="AL250">
        <f>IF(OR(AL$4="",$A250&gt;TODAY()),0,IF(OR(INDEX($B250:$D250,AL$5)="F",AND(AL$6&gt;0,$A250&lt;AL$6),AND(AL$7&gt;0,$A250&gt;AL$7)),0,MAX(0,ROUND((INDEX($E250:$G250,AL$5)-SUMIFS(TF_Timer,TF_Tekniker,AL$4,TF_Dato,$A250))*2,0)/2)))</f>
        <v/>
      </c>
      <c r="AM250">
        <f>IF(OR(AM$4="",$A250&gt;TODAY()),0,IF(OR(INDEX($B250:$D250,AM$5)="F",AND(AM$6&gt;0,$A250&lt;AM$6),AND(AM$7&gt;0,$A250&gt;AM$7)),0,MAX(0,ROUND((INDEX($E250:$G250,AM$5)-SUMIFS(TF_Timer,TF_Tekniker,AM$4,TF_Dato,$A250))*2,0)/2)))</f>
        <v/>
      </c>
      <c r="AN250">
        <f>IF(OR(AN$4="",$A250&gt;TODAY()),0,IF(OR(INDEX($B250:$D250,AN$5)="F",AND(AN$6&gt;0,$A250&lt;AN$6),AND(AN$7&gt;0,$A250&gt;AN$7)),0,MAX(0,ROUND((INDEX($E250:$G250,AN$5)-SUMIFS(TF_Timer,TF_Tekniker,AN$4,TF_Dato,$A250))*2,0)/2)))</f>
        <v/>
      </c>
      <c r="AO250">
        <f>IF(OR(AO$4="",$A250&gt;TODAY()),0,IF(OR(INDEX($B250:$D250,AO$5)="F",AND(AO$6&gt;0,$A250&lt;AO$6),AND(AO$7&gt;0,$A250&gt;AO$7)),0,MAX(0,ROUND((INDEX($E250:$G250,AO$5)-SUMIFS(TF_Timer,TF_Tekniker,AO$4,TF_Dato,$A250))*2,0)/2)))</f>
        <v/>
      </c>
      <c r="AP250">
        <f>IF(OR(AP$4="",$A250&gt;TODAY()),0,IF(OR(INDEX($B250:$D250,AP$5)="F",AND(AP$6&gt;0,$A250&lt;AP$6),AND(AP$7&gt;0,$A250&gt;AP$7)),0,MAX(0,ROUND((INDEX($E250:$G250,AP$5)-SUMIFS(TF_Timer,TF_Tekniker,AP$4,TF_Dato,$A250))*2,0)/2)))</f>
        <v/>
      </c>
      <c r="AQ250">
        <f>IF(OR(AQ$4="",$A250&gt;TODAY()),0,IF(OR(INDEX($B250:$D250,AQ$5)="F",AND(AQ$6&gt;0,$A250&lt;AQ$6),AND(AQ$7&gt;0,$A250&gt;AQ$7)),0,MAX(0,ROUND((INDEX($E250:$G250,AQ$5)-SUMIFS(TF_Timer,TF_Tekniker,AQ$4,TF_Dato,$A250))*2,0)/2)))</f>
        <v/>
      </c>
      <c r="AR250">
        <f>IF(OR(AR$4="",$A250&gt;TODAY()),0,IF(OR(INDEX($B250:$D250,AR$5)="F",AND(AR$6&gt;0,$A250&lt;AR$6),AND(AR$7&gt;0,$A250&gt;AR$7)),0,MAX(0,ROUND((INDEX($E250:$G250,AR$5)-SUMIFS(TF_Timer,TF_Tekniker,AR$4,TF_Dato,$A250))*2,0)/2)))</f>
        <v/>
      </c>
      <c r="AS250">
        <f>IF(OR(AS$4="",$A250&gt;TODAY()),0,IF(OR(INDEX($B250:$D250,AS$5)="F",AND(AS$6&gt;0,$A250&lt;AS$6),AND(AS$7&gt;0,$A250&gt;AS$7)),0,MAX(0,ROUND((INDEX($E250:$G250,AS$5)-SUMIFS(TF_Timer,TF_Tekniker,AS$4,TF_Dato,$A250))*2,0)/2)))</f>
        <v/>
      </c>
      <c r="AT250">
        <f>IF(OR(AT$4="",$A250&gt;TODAY()),0,IF(OR(INDEX($B250:$D250,AT$5)="F",AND(AT$6&gt;0,$A250&lt;AT$6),AND(AT$7&gt;0,$A250&gt;AT$7)),0,MAX(0,ROUND((INDEX($E250:$G250,AT$5)-SUMIFS(TF_Timer,TF_Tekniker,AT$4,TF_Dato,$A250))*2,0)/2)))</f>
        <v/>
      </c>
      <c r="AU250">
        <f>IF(OR(AU$4="",$A250&gt;TODAY()),0,IF(OR(INDEX($B250:$D250,AU$5)="F",AND(AU$6&gt;0,$A250&lt;AU$6),AND(AU$7&gt;0,$A250&gt;AU$7)),0,MAX(0,ROUND((INDEX($E250:$G250,AU$5)-SUMIFS(TF_Timer,TF_Tekniker,AU$4,TF_Dato,$A250))*2,0)/2)))</f>
        <v/>
      </c>
      <c r="AV250">
        <f>IF(OR(AV$4="",$A250&gt;TODAY()),0,IF(OR(INDEX($B250:$D250,AV$5)="F",AND(AV$6&gt;0,$A250&lt;AV$6),AND(AV$7&gt;0,$A250&gt;AV$7)),0,MAX(0,ROUND((INDEX($E250:$G250,AV$5)-SUMIFS(TF_Timer,TF_Tekniker,AV$4,TF_Dato,$A250))*2,0)/2)))</f>
        <v/>
      </c>
      <c r="AW250">
        <f>IF(OR(AW$4="",$A250&gt;TODAY()),0,IF(OR(INDEX($B250:$D250,AW$5)="F",AND(AW$6&gt;0,$A250&lt;AW$6),AND(AW$7&gt;0,$A250&gt;AW$7)),0,MAX(0,ROUND((INDEX($E250:$G250,AW$5)-SUMIFS(TF_Timer,TF_Tekniker,AW$4,TF_Dato,$A250))*2,0)/2)))</f>
        <v/>
      </c>
      <c r="AX250">
        <f>IF(OR(AX$4="",$A250&gt;TODAY()),0,IF(OR(INDEX($B250:$D250,AX$5)="F",AND(AX$6&gt;0,$A250&lt;AX$6),AND(AX$7&gt;0,$A250&gt;AX$7)),0,MAX(0,ROUND((INDEX($E250:$G250,AX$5)-SUMIFS(TF_Timer,TF_Tekniker,AX$4,TF_Dato,$A250))*2,0)/2)))</f>
        <v/>
      </c>
      <c r="AY250">
        <f>IF(OR(AY$4="",$A250&gt;TODAY()),0,IF(OR(INDEX($B250:$D250,AY$5)="F",AND(AY$6&gt;0,$A250&lt;AY$6),AND(AY$7&gt;0,$A250&gt;AY$7)),0,MAX(0,ROUND((INDEX($E250:$G250,AY$5)-SUMIFS(TF_Timer,TF_Tekniker,AY$4,TF_Dato,$A250))*2,0)/2)))</f>
        <v/>
      </c>
      <c r="AZ250">
        <f>IF(OR(AZ$4="",$A250&gt;TODAY()),0,IF(OR(INDEX($B250:$D250,AZ$5)="F",AND(AZ$6&gt;0,$A250&lt;AZ$6),AND(AZ$7&gt;0,$A250&gt;AZ$7)),0,MAX(0,ROUND((INDEX($E250:$G250,AZ$5)-SUMIFS(TF_Timer,TF_Tekniker,AZ$4,TF_Dato,$A250))*2,0)/2)))</f>
        <v/>
      </c>
      <c r="BA250">
        <f>IF(OR(BA$4="",$A250&gt;TODAY()),0,IF(OR(INDEX($B250:$D250,BA$5)="F",AND(BA$6&gt;0,$A250&lt;BA$6),AND(BA$7&gt;0,$A250&gt;BA$7)),0,MAX(0,ROUND((INDEX($E250:$G250,BA$5)-SUMIFS(TF_Timer,TF_Tekniker,BA$4,TF_Dato,$A250))*2,0)/2)))</f>
        <v/>
      </c>
      <c r="BB250">
        <f>IF(OR(BB$4="",$A250&gt;TODAY()),0,IF(OR(INDEX($B250:$D250,BB$5)="F",AND(BB$6&gt;0,$A250&lt;BB$6),AND(BB$7&gt;0,$A250&gt;BB$7)),0,MAX(0,ROUND((INDEX($E250:$G250,BB$5)-SUMIFS(TF_Timer,TF_Tekniker,BB$4,TF_Dato,$A250))*2,0)/2)))</f>
        <v/>
      </c>
      <c r="BC250">
        <f>IF(OR(BC$4="",$A250&gt;TODAY()),0,IF(OR(INDEX($B250:$D250,BC$5)="F",AND(BC$6&gt;0,$A250&lt;BC$6),AND(BC$7&gt;0,$A250&gt;BC$7)),0,MAX(0,ROUND((INDEX($E250:$G250,BC$5)-SUMIFS(TF_Timer,TF_Tekniker,BC$4,TF_Dato,$A250))*2,0)/2)))</f>
        <v/>
      </c>
      <c r="BD250">
        <f>IF(OR(BD$4="",$A250&gt;TODAY()),0,IF(OR(INDEX($B250:$D250,BD$5)="F",AND(BD$6&gt;0,$A250&lt;BD$6),AND(BD$7&gt;0,$A250&gt;BD$7)),0,MAX(0,ROUND((INDEX($E250:$G250,BD$5)-SUMIFS(TF_Timer,TF_Tekniker,BD$4,TF_Dato,$A250))*2,0)/2)))</f>
        <v/>
      </c>
      <c r="BE250">
        <f>IF(OR(BE$4="",$A250&gt;TODAY()),0,IF(OR(INDEX($B250:$D250,BE$5)="F",AND(BE$6&gt;0,$A250&lt;BE$6),AND(BE$7&gt;0,$A250&gt;BE$7)),0,MAX(0,ROUND((INDEX($E250:$G250,BE$5)-SUMIFS(TF_Timer,TF_Tekniker,BE$4,TF_Dato,$A250))*2,0)/2)))</f>
        <v/>
      </c>
      <c r="BF250">
        <f>IF(OR(BF$4="",$A250&gt;TODAY()),0,IF(OR(INDEX($B250:$D250,BF$5)="F",AND(BF$6&gt;0,$A250&lt;BF$6),AND(BF$7&gt;0,$A250&gt;BF$7)),0,MAX(0,ROUND((INDEX($E250:$G250,BF$5)-SUMIFS(TF_Timer,TF_Tekniker,BF$4,TF_Dato,$A250))*2,0)/2)))</f>
        <v/>
      </c>
      <c r="BG250">
        <f>IF(OR(BG$4="",$A250&gt;TODAY()),0,IF(OR(INDEX($B250:$D250,BG$5)="F",AND(BG$6&gt;0,$A250&lt;BG$6),AND(BG$7&gt;0,$A250&gt;BG$7)),0,MAX(0,ROUND((INDEX($E250:$G250,BG$5)-SUMIFS(TF_Timer,TF_Tekniker,BG$4,TF_Dato,$A250))*2,0)/2)))</f>
        <v/>
      </c>
      <c r="BH250">
        <f>IF(OR(BH$4="",$A250&gt;TODAY()),0,IF(OR(INDEX($B250:$D250,BH$5)="F",AND(BH$6&gt;0,$A250&lt;BH$6),AND(BH$7&gt;0,$A250&gt;BH$7)),0,MAX(0,ROUND((INDEX($E250:$G250,BH$5)-SUMIFS(TF_Timer,TF_Tekniker,BH$4,TF_Dato,$A250))*2,0)/2)))</f>
        <v/>
      </c>
      <c r="BI250">
        <f>IF(OR(BI$4="",$A250&gt;TODAY()),0,IF(OR(INDEX($B250:$D250,BI$5)="F",AND(BI$6&gt;0,$A250&lt;BI$6),AND(BI$7&gt;0,$A250&gt;BI$7)),0,MAX(0,ROUND((INDEX($E250:$G250,BI$5)-SUMIFS(TF_Timer,TF_Tekniker,BI$4,TF_Dato,$A250))*2,0)/2)))</f>
        <v/>
      </c>
    </row>
    <row r="251">
      <c r="A251" s="64">
        <f>A250+1</f>
        <v/>
      </c>
      <c r="B251">
        <f>IF(MOD($A251-INDEX(SkiftStart,1),Syklus)&lt;DagK,"K",IF(MOD($A251-INDEX(SkiftStart,1),Syklus)&lt;DagK+DagH,"H",IF(MOD($A251-INDEX(SkiftStart,1),Syklus)&lt;DagK+DagH+DagD,"D","F")))</f>
        <v/>
      </c>
      <c r="C251">
        <f>IF(MOD($A251-INDEX(SkiftStart,2),Syklus)&lt;DagK,"K",IF(MOD($A251-INDEX(SkiftStart,2),Syklus)&lt;DagK+DagH,"H",IF(MOD($A251-INDEX(SkiftStart,2),Syklus)&lt;DagK+DagH+DagD,"D","F")))</f>
        <v/>
      </c>
      <c r="D251">
        <f>IF(MOD($A251-INDEX(SkiftStart,3),Syklus)&lt;DagK,"K",IF(MOD($A251-INDEX(SkiftStart,3),Syklus)&lt;DagK+DagH,"H",IF(MOD($A251-INDEX(SkiftStart,3),Syklus)&lt;DagK+DagH+DagD,"D","F")))</f>
        <v/>
      </c>
      <c r="E251">
        <f>IF(B251="F",0,IF(WEEKDAY($A251,2)=5,INDEX(TimerFr,MATCH(B251,FaseKode,0)),INDEX(TimerMT,MATCH(B251,FaseKode,0))))</f>
        <v/>
      </c>
      <c r="F251">
        <f>IF(C251="F",0,IF(WEEKDAY($A251,2)=5,INDEX(TimerFr,MATCH(C251,FaseKode,0)),INDEX(TimerMT,MATCH(C251,FaseKode,0))))</f>
        <v/>
      </c>
      <c r="G251">
        <f>IF(D251="F",0,IF(WEEKDAY($A251,2)=5,INDEX(TimerFr,MATCH(D251,FaseKode,0)),INDEX(TimerMT,MATCH(D251,FaseKode,0))))</f>
        <v/>
      </c>
      <c r="H251">
        <f>IF(OR(H$4="",$A251&gt;TODAY()),0,IF(OR(INDEX($B251:$D251,H$5)="F",AND(H$6&gt;0,$A251&lt;H$6),AND(H$7&gt;0,$A251&gt;H$7)),0,MAX(0,ROUND((INDEX($E251:$G251,H$5)-SUMIFS(TF_Timer,TF_Tekniker,H$4,TF_Dato,$A251))*2,0)/2)))</f>
        <v/>
      </c>
      <c r="I251">
        <f>IF(OR(I$4="",$A251&gt;TODAY()),0,IF(OR(INDEX($B251:$D251,I$5)="F",AND(I$6&gt;0,$A251&lt;I$6),AND(I$7&gt;0,$A251&gt;I$7)),0,MAX(0,ROUND((INDEX($E251:$G251,I$5)-SUMIFS(TF_Timer,TF_Tekniker,I$4,TF_Dato,$A251))*2,0)/2)))</f>
        <v/>
      </c>
      <c r="J251">
        <f>IF(OR(J$4="",$A251&gt;TODAY()),0,IF(OR(INDEX($B251:$D251,J$5)="F",AND(J$6&gt;0,$A251&lt;J$6),AND(J$7&gt;0,$A251&gt;J$7)),0,MAX(0,ROUND((INDEX($E251:$G251,J$5)-SUMIFS(TF_Timer,TF_Tekniker,J$4,TF_Dato,$A251))*2,0)/2)))</f>
        <v/>
      </c>
      <c r="K251">
        <f>IF(OR(K$4="",$A251&gt;TODAY()),0,IF(OR(INDEX($B251:$D251,K$5)="F",AND(K$6&gt;0,$A251&lt;K$6),AND(K$7&gt;0,$A251&gt;K$7)),0,MAX(0,ROUND((INDEX($E251:$G251,K$5)-SUMIFS(TF_Timer,TF_Tekniker,K$4,TF_Dato,$A251))*2,0)/2)))</f>
        <v/>
      </c>
      <c r="L251">
        <f>IF(OR(L$4="",$A251&gt;TODAY()),0,IF(OR(INDEX($B251:$D251,L$5)="F",AND(L$6&gt;0,$A251&lt;L$6),AND(L$7&gt;0,$A251&gt;L$7)),0,MAX(0,ROUND((INDEX($E251:$G251,L$5)-SUMIFS(TF_Timer,TF_Tekniker,L$4,TF_Dato,$A251))*2,0)/2)))</f>
        <v/>
      </c>
      <c r="M251">
        <f>IF(OR(M$4="",$A251&gt;TODAY()),0,IF(OR(INDEX($B251:$D251,M$5)="F",AND(M$6&gt;0,$A251&lt;M$6),AND(M$7&gt;0,$A251&gt;M$7)),0,MAX(0,ROUND((INDEX($E251:$G251,M$5)-SUMIFS(TF_Timer,TF_Tekniker,M$4,TF_Dato,$A251))*2,0)/2)))</f>
        <v/>
      </c>
      <c r="N251">
        <f>IF(OR(N$4="",$A251&gt;TODAY()),0,IF(OR(INDEX($B251:$D251,N$5)="F",AND(N$6&gt;0,$A251&lt;N$6),AND(N$7&gt;0,$A251&gt;N$7)),0,MAX(0,ROUND((INDEX($E251:$G251,N$5)-SUMIFS(TF_Timer,TF_Tekniker,N$4,TF_Dato,$A251))*2,0)/2)))</f>
        <v/>
      </c>
      <c r="O251">
        <f>IF(OR(O$4="",$A251&gt;TODAY()),0,IF(OR(INDEX($B251:$D251,O$5)="F",AND(O$6&gt;0,$A251&lt;O$6),AND(O$7&gt;0,$A251&gt;O$7)),0,MAX(0,ROUND((INDEX($E251:$G251,O$5)-SUMIFS(TF_Timer,TF_Tekniker,O$4,TF_Dato,$A251))*2,0)/2)))</f>
        <v/>
      </c>
      <c r="P251">
        <f>IF(OR(P$4="",$A251&gt;TODAY()),0,IF(OR(INDEX($B251:$D251,P$5)="F",AND(P$6&gt;0,$A251&lt;P$6),AND(P$7&gt;0,$A251&gt;P$7)),0,MAX(0,ROUND((INDEX($E251:$G251,P$5)-SUMIFS(TF_Timer,TF_Tekniker,P$4,TF_Dato,$A251))*2,0)/2)))</f>
        <v/>
      </c>
      <c r="Q251">
        <f>IF(OR(Q$4="",$A251&gt;TODAY()),0,IF(OR(INDEX($B251:$D251,Q$5)="F",AND(Q$6&gt;0,$A251&lt;Q$6),AND(Q$7&gt;0,$A251&gt;Q$7)),0,MAX(0,ROUND((INDEX($E251:$G251,Q$5)-SUMIFS(TF_Timer,TF_Tekniker,Q$4,TF_Dato,$A251))*2,0)/2)))</f>
        <v/>
      </c>
      <c r="R251">
        <f>IF(OR(R$4="",$A251&gt;TODAY()),0,IF(OR(INDEX($B251:$D251,R$5)="F",AND(R$6&gt;0,$A251&lt;R$6),AND(R$7&gt;0,$A251&gt;R$7)),0,MAX(0,ROUND((INDEX($E251:$G251,R$5)-SUMIFS(TF_Timer,TF_Tekniker,R$4,TF_Dato,$A251))*2,0)/2)))</f>
        <v/>
      </c>
      <c r="S251">
        <f>IF(OR(S$4="",$A251&gt;TODAY()),0,IF(OR(INDEX($B251:$D251,S$5)="F",AND(S$6&gt;0,$A251&lt;S$6),AND(S$7&gt;0,$A251&gt;S$7)),0,MAX(0,ROUND((INDEX($E251:$G251,S$5)-SUMIFS(TF_Timer,TF_Tekniker,S$4,TF_Dato,$A251))*2,0)/2)))</f>
        <v/>
      </c>
      <c r="T251">
        <f>IF(OR(T$4="",$A251&gt;TODAY()),0,IF(OR(INDEX($B251:$D251,T$5)="F",AND(T$6&gt;0,$A251&lt;T$6),AND(T$7&gt;0,$A251&gt;T$7)),0,MAX(0,ROUND((INDEX($E251:$G251,T$5)-SUMIFS(TF_Timer,TF_Tekniker,T$4,TF_Dato,$A251))*2,0)/2)))</f>
        <v/>
      </c>
      <c r="U251">
        <f>IF(OR(U$4="",$A251&gt;TODAY()),0,IF(OR(INDEX($B251:$D251,U$5)="F",AND(U$6&gt;0,$A251&lt;U$6),AND(U$7&gt;0,$A251&gt;U$7)),0,MAX(0,ROUND((INDEX($E251:$G251,U$5)-SUMIFS(TF_Timer,TF_Tekniker,U$4,TF_Dato,$A251))*2,0)/2)))</f>
        <v/>
      </c>
      <c r="V251">
        <f>IF(OR(V$4="",$A251&gt;TODAY()),0,IF(OR(INDEX($B251:$D251,V$5)="F",AND(V$6&gt;0,$A251&lt;V$6),AND(V$7&gt;0,$A251&gt;V$7)),0,MAX(0,ROUND((INDEX($E251:$G251,V$5)-SUMIFS(TF_Timer,TF_Tekniker,V$4,TF_Dato,$A251))*2,0)/2)))</f>
        <v/>
      </c>
      <c r="W251">
        <f>IF(OR(W$4="",$A251&gt;TODAY()),0,IF(OR(INDEX($B251:$D251,W$5)="F",AND(W$6&gt;0,$A251&lt;W$6),AND(W$7&gt;0,$A251&gt;W$7)),0,MAX(0,ROUND((INDEX($E251:$G251,W$5)-SUMIFS(TF_Timer,TF_Tekniker,W$4,TF_Dato,$A251))*2,0)/2)))</f>
        <v/>
      </c>
      <c r="X251">
        <f>IF(OR(X$4="",$A251&gt;TODAY()),0,IF(OR(INDEX($B251:$D251,X$5)="F",AND(X$6&gt;0,$A251&lt;X$6),AND(X$7&gt;0,$A251&gt;X$7)),0,MAX(0,ROUND((INDEX($E251:$G251,X$5)-SUMIFS(TF_Timer,TF_Tekniker,X$4,TF_Dato,$A251))*2,0)/2)))</f>
        <v/>
      </c>
      <c r="Y251">
        <f>IF(OR(Y$4="",$A251&gt;TODAY()),0,IF(OR(INDEX($B251:$D251,Y$5)="F",AND(Y$6&gt;0,$A251&lt;Y$6),AND(Y$7&gt;0,$A251&gt;Y$7)),0,MAX(0,ROUND((INDEX($E251:$G251,Y$5)-SUMIFS(TF_Timer,TF_Tekniker,Y$4,TF_Dato,$A251))*2,0)/2)))</f>
        <v/>
      </c>
      <c r="Z251">
        <f>IF(OR(Z$4="",$A251&gt;TODAY()),0,IF(OR(INDEX($B251:$D251,Z$5)="F",AND(Z$6&gt;0,$A251&lt;Z$6),AND(Z$7&gt;0,$A251&gt;Z$7)),0,MAX(0,ROUND((INDEX($E251:$G251,Z$5)-SUMIFS(TF_Timer,TF_Tekniker,Z$4,TF_Dato,$A251))*2,0)/2)))</f>
        <v/>
      </c>
      <c r="AA251">
        <f>IF(OR(AA$4="",$A251&gt;TODAY()),0,IF(OR(INDEX($B251:$D251,AA$5)="F",AND(AA$6&gt;0,$A251&lt;AA$6),AND(AA$7&gt;0,$A251&gt;AA$7)),0,MAX(0,ROUND((INDEX($E251:$G251,AA$5)-SUMIFS(TF_Timer,TF_Tekniker,AA$4,TF_Dato,$A251))*2,0)/2)))</f>
        <v/>
      </c>
      <c r="AB251">
        <f>IF(OR(AB$4="",$A251&gt;TODAY()),0,IF(OR(INDEX($B251:$D251,AB$5)="F",AND(AB$6&gt;0,$A251&lt;AB$6),AND(AB$7&gt;0,$A251&gt;AB$7)),0,MAX(0,ROUND((INDEX($E251:$G251,AB$5)-SUMIFS(TF_Timer,TF_Tekniker,AB$4,TF_Dato,$A251))*2,0)/2)))</f>
        <v/>
      </c>
      <c r="AC251">
        <f>IF(OR(AC$4="",$A251&gt;TODAY()),0,IF(OR(INDEX($B251:$D251,AC$5)="F",AND(AC$6&gt;0,$A251&lt;AC$6),AND(AC$7&gt;0,$A251&gt;AC$7)),0,MAX(0,ROUND((INDEX($E251:$G251,AC$5)-SUMIFS(TF_Timer,TF_Tekniker,AC$4,TF_Dato,$A251))*2,0)/2)))</f>
        <v/>
      </c>
      <c r="AD251">
        <f>IF(OR(AD$4="",$A251&gt;TODAY()),0,IF(OR(INDEX($B251:$D251,AD$5)="F",AND(AD$6&gt;0,$A251&lt;AD$6),AND(AD$7&gt;0,$A251&gt;AD$7)),0,MAX(0,ROUND((INDEX($E251:$G251,AD$5)-SUMIFS(TF_Timer,TF_Tekniker,AD$4,TF_Dato,$A251))*2,0)/2)))</f>
        <v/>
      </c>
      <c r="AE251">
        <f>IF(OR(AE$4="",$A251&gt;TODAY()),0,IF(OR(INDEX($B251:$D251,AE$5)="F",AND(AE$6&gt;0,$A251&lt;AE$6),AND(AE$7&gt;0,$A251&gt;AE$7)),0,MAX(0,ROUND((INDEX($E251:$G251,AE$5)-SUMIFS(TF_Timer,TF_Tekniker,AE$4,TF_Dato,$A251))*2,0)/2)))</f>
        <v/>
      </c>
      <c r="AF251">
        <f>IF(OR(AF$4="",$A251&gt;TODAY()),0,IF(OR(INDEX($B251:$D251,AF$5)="F",AND(AF$6&gt;0,$A251&lt;AF$6),AND(AF$7&gt;0,$A251&gt;AF$7)),0,MAX(0,ROUND((INDEX($E251:$G251,AF$5)-SUMIFS(TF_Timer,TF_Tekniker,AF$4,TF_Dato,$A251))*2,0)/2)))</f>
        <v/>
      </c>
      <c r="AG251">
        <f>IF(OR(AG$4="",$A251&gt;TODAY()),0,IF(OR(INDEX($B251:$D251,AG$5)="F",AND(AG$6&gt;0,$A251&lt;AG$6),AND(AG$7&gt;0,$A251&gt;AG$7)),0,MAX(0,ROUND((INDEX($E251:$G251,AG$5)-SUMIFS(TF_Timer,TF_Tekniker,AG$4,TF_Dato,$A251))*2,0)/2)))</f>
        <v/>
      </c>
      <c r="AH251">
        <f>IF(OR(AH$4="",$A251&gt;TODAY()),0,IF(OR(INDEX($B251:$D251,AH$5)="F",AND(AH$6&gt;0,$A251&lt;AH$6),AND(AH$7&gt;0,$A251&gt;AH$7)),0,MAX(0,ROUND((INDEX($E251:$G251,AH$5)-SUMIFS(TF_Timer,TF_Tekniker,AH$4,TF_Dato,$A251))*2,0)/2)))</f>
        <v/>
      </c>
      <c r="AI251">
        <f>IF(OR(AI$4="",$A251&gt;TODAY()),0,IF(OR(INDEX($B251:$D251,AI$5)="F",AND(AI$6&gt;0,$A251&lt;AI$6),AND(AI$7&gt;0,$A251&gt;AI$7)),0,MAX(0,ROUND((INDEX($E251:$G251,AI$5)-SUMIFS(TF_Timer,TF_Tekniker,AI$4,TF_Dato,$A251))*2,0)/2)))</f>
        <v/>
      </c>
      <c r="AJ251">
        <f>IF(OR(AJ$4="",$A251&gt;TODAY()),0,IF(OR(INDEX($B251:$D251,AJ$5)="F",AND(AJ$6&gt;0,$A251&lt;AJ$6),AND(AJ$7&gt;0,$A251&gt;AJ$7)),0,MAX(0,ROUND((INDEX($E251:$G251,AJ$5)-SUMIFS(TF_Timer,TF_Tekniker,AJ$4,TF_Dato,$A251))*2,0)/2)))</f>
        <v/>
      </c>
      <c r="AK251">
        <f>IF(OR(AK$4="",$A251&gt;TODAY()),0,IF(OR(INDEX($B251:$D251,AK$5)="F",AND(AK$6&gt;0,$A251&lt;AK$6),AND(AK$7&gt;0,$A251&gt;AK$7)),0,MAX(0,ROUND((INDEX($E251:$G251,AK$5)-SUMIFS(TF_Timer,TF_Tekniker,AK$4,TF_Dato,$A251))*2,0)/2)))</f>
        <v/>
      </c>
      <c r="AL251">
        <f>IF(OR(AL$4="",$A251&gt;TODAY()),0,IF(OR(INDEX($B251:$D251,AL$5)="F",AND(AL$6&gt;0,$A251&lt;AL$6),AND(AL$7&gt;0,$A251&gt;AL$7)),0,MAX(0,ROUND((INDEX($E251:$G251,AL$5)-SUMIFS(TF_Timer,TF_Tekniker,AL$4,TF_Dato,$A251))*2,0)/2)))</f>
        <v/>
      </c>
      <c r="AM251">
        <f>IF(OR(AM$4="",$A251&gt;TODAY()),0,IF(OR(INDEX($B251:$D251,AM$5)="F",AND(AM$6&gt;0,$A251&lt;AM$6),AND(AM$7&gt;0,$A251&gt;AM$7)),0,MAX(0,ROUND((INDEX($E251:$G251,AM$5)-SUMIFS(TF_Timer,TF_Tekniker,AM$4,TF_Dato,$A251))*2,0)/2)))</f>
        <v/>
      </c>
      <c r="AN251">
        <f>IF(OR(AN$4="",$A251&gt;TODAY()),0,IF(OR(INDEX($B251:$D251,AN$5)="F",AND(AN$6&gt;0,$A251&lt;AN$6),AND(AN$7&gt;0,$A251&gt;AN$7)),0,MAX(0,ROUND((INDEX($E251:$G251,AN$5)-SUMIFS(TF_Timer,TF_Tekniker,AN$4,TF_Dato,$A251))*2,0)/2)))</f>
        <v/>
      </c>
      <c r="AO251">
        <f>IF(OR(AO$4="",$A251&gt;TODAY()),0,IF(OR(INDEX($B251:$D251,AO$5)="F",AND(AO$6&gt;0,$A251&lt;AO$6),AND(AO$7&gt;0,$A251&gt;AO$7)),0,MAX(0,ROUND((INDEX($E251:$G251,AO$5)-SUMIFS(TF_Timer,TF_Tekniker,AO$4,TF_Dato,$A251))*2,0)/2)))</f>
        <v/>
      </c>
      <c r="AP251">
        <f>IF(OR(AP$4="",$A251&gt;TODAY()),0,IF(OR(INDEX($B251:$D251,AP$5)="F",AND(AP$6&gt;0,$A251&lt;AP$6),AND(AP$7&gt;0,$A251&gt;AP$7)),0,MAX(0,ROUND((INDEX($E251:$G251,AP$5)-SUMIFS(TF_Timer,TF_Tekniker,AP$4,TF_Dato,$A251))*2,0)/2)))</f>
        <v/>
      </c>
      <c r="AQ251">
        <f>IF(OR(AQ$4="",$A251&gt;TODAY()),0,IF(OR(INDEX($B251:$D251,AQ$5)="F",AND(AQ$6&gt;0,$A251&lt;AQ$6),AND(AQ$7&gt;0,$A251&gt;AQ$7)),0,MAX(0,ROUND((INDEX($E251:$G251,AQ$5)-SUMIFS(TF_Timer,TF_Tekniker,AQ$4,TF_Dato,$A251))*2,0)/2)))</f>
        <v/>
      </c>
      <c r="AR251">
        <f>IF(OR(AR$4="",$A251&gt;TODAY()),0,IF(OR(INDEX($B251:$D251,AR$5)="F",AND(AR$6&gt;0,$A251&lt;AR$6),AND(AR$7&gt;0,$A251&gt;AR$7)),0,MAX(0,ROUND((INDEX($E251:$G251,AR$5)-SUMIFS(TF_Timer,TF_Tekniker,AR$4,TF_Dato,$A251))*2,0)/2)))</f>
        <v/>
      </c>
      <c r="AS251">
        <f>IF(OR(AS$4="",$A251&gt;TODAY()),0,IF(OR(INDEX($B251:$D251,AS$5)="F",AND(AS$6&gt;0,$A251&lt;AS$6),AND(AS$7&gt;0,$A251&gt;AS$7)),0,MAX(0,ROUND((INDEX($E251:$G251,AS$5)-SUMIFS(TF_Timer,TF_Tekniker,AS$4,TF_Dato,$A251))*2,0)/2)))</f>
        <v/>
      </c>
      <c r="AT251">
        <f>IF(OR(AT$4="",$A251&gt;TODAY()),0,IF(OR(INDEX($B251:$D251,AT$5)="F",AND(AT$6&gt;0,$A251&lt;AT$6),AND(AT$7&gt;0,$A251&gt;AT$7)),0,MAX(0,ROUND((INDEX($E251:$G251,AT$5)-SUMIFS(TF_Timer,TF_Tekniker,AT$4,TF_Dato,$A251))*2,0)/2)))</f>
        <v/>
      </c>
      <c r="AU251">
        <f>IF(OR(AU$4="",$A251&gt;TODAY()),0,IF(OR(INDEX($B251:$D251,AU$5)="F",AND(AU$6&gt;0,$A251&lt;AU$6),AND(AU$7&gt;0,$A251&gt;AU$7)),0,MAX(0,ROUND((INDEX($E251:$G251,AU$5)-SUMIFS(TF_Timer,TF_Tekniker,AU$4,TF_Dato,$A251))*2,0)/2)))</f>
        <v/>
      </c>
      <c r="AV251">
        <f>IF(OR(AV$4="",$A251&gt;TODAY()),0,IF(OR(INDEX($B251:$D251,AV$5)="F",AND(AV$6&gt;0,$A251&lt;AV$6),AND(AV$7&gt;0,$A251&gt;AV$7)),0,MAX(0,ROUND((INDEX($E251:$G251,AV$5)-SUMIFS(TF_Timer,TF_Tekniker,AV$4,TF_Dato,$A251))*2,0)/2)))</f>
        <v/>
      </c>
      <c r="AW251">
        <f>IF(OR(AW$4="",$A251&gt;TODAY()),0,IF(OR(INDEX($B251:$D251,AW$5)="F",AND(AW$6&gt;0,$A251&lt;AW$6),AND(AW$7&gt;0,$A251&gt;AW$7)),0,MAX(0,ROUND((INDEX($E251:$G251,AW$5)-SUMIFS(TF_Timer,TF_Tekniker,AW$4,TF_Dato,$A251))*2,0)/2)))</f>
        <v/>
      </c>
      <c r="AX251">
        <f>IF(OR(AX$4="",$A251&gt;TODAY()),0,IF(OR(INDEX($B251:$D251,AX$5)="F",AND(AX$6&gt;0,$A251&lt;AX$6),AND(AX$7&gt;0,$A251&gt;AX$7)),0,MAX(0,ROUND((INDEX($E251:$G251,AX$5)-SUMIFS(TF_Timer,TF_Tekniker,AX$4,TF_Dato,$A251))*2,0)/2)))</f>
        <v/>
      </c>
      <c r="AY251">
        <f>IF(OR(AY$4="",$A251&gt;TODAY()),0,IF(OR(INDEX($B251:$D251,AY$5)="F",AND(AY$6&gt;0,$A251&lt;AY$6),AND(AY$7&gt;0,$A251&gt;AY$7)),0,MAX(0,ROUND((INDEX($E251:$G251,AY$5)-SUMIFS(TF_Timer,TF_Tekniker,AY$4,TF_Dato,$A251))*2,0)/2)))</f>
        <v/>
      </c>
      <c r="AZ251">
        <f>IF(OR(AZ$4="",$A251&gt;TODAY()),0,IF(OR(INDEX($B251:$D251,AZ$5)="F",AND(AZ$6&gt;0,$A251&lt;AZ$6),AND(AZ$7&gt;0,$A251&gt;AZ$7)),0,MAX(0,ROUND((INDEX($E251:$G251,AZ$5)-SUMIFS(TF_Timer,TF_Tekniker,AZ$4,TF_Dato,$A251))*2,0)/2)))</f>
        <v/>
      </c>
      <c r="BA251">
        <f>IF(OR(BA$4="",$A251&gt;TODAY()),0,IF(OR(INDEX($B251:$D251,BA$5)="F",AND(BA$6&gt;0,$A251&lt;BA$6),AND(BA$7&gt;0,$A251&gt;BA$7)),0,MAX(0,ROUND((INDEX($E251:$G251,BA$5)-SUMIFS(TF_Timer,TF_Tekniker,BA$4,TF_Dato,$A251))*2,0)/2)))</f>
        <v/>
      </c>
      <c r="BB251">
        <f>IF(OR(BB$4="",$A251&gt;TODAY()),0,IF(OR(INDEX($B251:$D251,BB$5)="F",AND(BB$6&gt;0,$A251&lt;BB$6),AND(BB$7&gt;0,$A251&gt;BB$7)),0,MAX(0,ROUND((INDEX($E251:$G251,BB$5)-SUMIFS(TF_Timer,TF_Tekniker,BB$4,TF_Dato,$A251))*2,0)/2)))</f>
        <v/>
      </c>
      <c r="BC251">
        <f>IF(OR(BC$4="",$A251&gt;TODAY()),0,IF(OR(INDEX($B251:$D251,BC$5)="F",AND(BC$6&gt;0,$A251&lt;BC$6),AND(BC$7&gt;0,$A251&gt;BC$7)),0,MAX(0,ROUND((INDEX($E251:$G251,BC$5)-SUMIFS(TF_Timer,TF_Tekniker,BC$4,TF_Dato,$A251))*2,0)/2)))</f>
        <v/>
      </c>
      <c r="BD251">
        <f>IF(OR(BD$4="",$A251&gt;TODAY()),0,IF(OR(INDEX($B251:$D251,BD$5)="F",AND(BD$6&gt;0,$A251&lt;BD$6),AND(BD$7&gt;0,$A251&gt;BD$7)),0,MAX(0,ROUND((INDEX($E251:$G251,BD$5)-SUMIFS(TF_Timer,TF_Tekniker,BD$4,TF_Dato,$A251))*2,0)/2)))</f>
        <v/>
      </c>
      <c r="BE251">
        <f>IF(OR(BE$4="",$A251&gt;TODAY()),0,IF(OR(INDEX($B251:$D251,BE$5)="F",AND(BE$6&gt;0,$A251&lt;BE$6),AND(BE$7&gt;0,$A251&gt;BE$7)),0,MAX(0,ROUND((INDEX($E251:$G251,BE$5)-SUMIFS(TF_Timer,TF_Tekniker,BE$4,TF_Dato,$A251))*2,0)/2)))</f>
        <v/>
      </c>
      <c r="BF251">
        <f>IF(OR(BF$4="",$A251&gt;TODAY()),0,IF(OR(INDEX($B251:$D251,BF$5)="F",AND(BF$6&gt;0,$A251&lt;BF$6),AND(BF$7&gt;0,$A251&gt;BF$7)),0,MAX(0,ROUND((INDEX($E251:$G251,BF$5)-SUMIFS(TF_Timer,TF_Tekniker,BF$4,TF_Dato,$A251))*2,0)/2)))</f>
        <v/>
      </c>
      <c r="BG251">
        <f>IF(OR(BG$4="",$A251&gt;TODAY()),0,IF(OR(INDEX($B251:$D251,BG$5)="F",AND(BG$6&gt;0,$A251&lt;BG$6),AND(BG$7&gt;0,$A251&gt;BG$7)),0,MAX(0,ROUND((INDEX($E251:$G251,BG$5)-SUMIFS(TF_Timer,TF_Tekniker,BG$4,TF_Dato,$A251))*2,0)/2)))</f>
        <v/>
      </c>
      <c r="BH251">
        <f>IF(OR(BH$4="",$A251&gt;TODAY()),0,IF(OR(INDEX($B251:$D251,BH$5)="F",AND(BH$6&gt;0,$A251&lt;BH$6),AND(BH$7&gt;0,$A251&gt;BH$7)),0,MAX(0,ROUND((INDEX($E251:$G251,BH$5)-SUMIFS(TF_Timer,TF_Tekniker,BH$4,TF_Dato,$A251))*2,0)/2)))</f>
        <v/>
      </c>
      <c r="BI251">
        <f>IF(OR(BI$4="",$A251&gt;TODAY()),0,IF(OR(INDEX($B251:$D251,BI$5)="F",AND(BI$6&gt;0,$A251&lt;BI$6),AND(BI$7&gt;0,$A251&gt;BI$7)),0,MAX(0,ROUND((INDEX($E251:$G251,BI$5)-SUMIFS(TF_Timer,TF_Tekniker,BI$4,TF_Dato,$A251))*2,0)/2)))</f>
        <v/>
      </c>
    </row>
    <row r="252">
      <c r="A252" s="64">
        <f>A251+1</f>
        <v/>
      </c>
      <c r="B252">
        <f>IF(MOD($A252-INDEX(SkiftStart,1),Syklus)&lt;DagK,"K",IF(MOD($A252-INDEX(SkiftStart,1),Syklus)&lt;DagK+DagH,"H",IF(MOD($A252-INDEX(SkiftStart,1),Syklus)&lt;DagK+DagH+DagD,"D","F")))</f>
        <v/>
      </c>
      <c r="C252">
        <f>IF(MOD($A252-INDEX(SkiftStart,2),Syklus)&lt;DagK,"K",IF(MOD($A252-INDEX(SkiftStart,2),Syklus)&lt;DagK+DagH,"H",IF(MOD($A252-INDEX(SkiftStart,2),Syklus)&lt;DagK+DagH+DagD,"D","F")))</f>
        <v/>
      </c>
      <c r="D252">
        <f>IF(MOD($A252-INDEX(SkiftStart,3),Syklus)&lt;DagK,"K",IF(MOD($A252-INDEX(SkiftStart,3),Syklus)&lt;DagK+DagH,"H",IF(MOD($A252-INDEX(SkiftStart,3),Syklus)&lt;DagK+DagH+DagD,"D","F")))</f>
        <v/>
      </c>
      <c r="E252">
        <f>IF(B252="F",0,IF(WEEKDAY($A252,2)=5,INDEX(TimerFr,MATCH(B252,FaseKode,0)),INDEX(TimerMT,MATCH(B252,FaseKode,0))))</f>
        <v/>
      </c>
      <c r="F252">
        <f>IF(C252="F",0,IF(WEEKDAY($A252,2)=5,INDEX(TimerFr,MATCH(C252,FaseKode,0)),INDEX(TimerMT,MATCH(C252,FaseKode,0))))</f>
        <v/>
      </c>
      <c r="G252">
        <f>IF(D252="F",0,IF(WEEKDAY($A252,2)=5,INDEX(TimerFr,MATCH(D252,FaseKode,0)),INDEX(TimerMT,MATCH(D252,FaseKode,0))))</f>
        <v/>
      </c>
      <c r="H252">
        <f>IF(OR(H$4="",$A252&gt;TODAY()),0,IF(OR(INDEX($B252:$D252,H$5)="F",AND(H$6&gt;0,$A252&lt;H$6),AND(H$7&gt;0,$A252&gt;H$7)),0,MAX(0,ROUND((INDEX($E252:$G252,H$5)-SUMIFS(TF_Timer,TF_Tekniker,H$4,TF_Dato,$A252))*2,0)/2)))</f>
        <v/>
      </c>
      <c r="I252">
        <f>IF(OR(I$4="",$A252&gt;TODAY()),0,IF(OR(INDEX($B252:$D252,I$5)="F",AND(I$6&gt;0,$A252&lt;I$6),AND(I$7&gt;0,$A252&gt;I$7)),0,MAX(0,ROUND((INDEX($E252:$G252,I$5)-SUMIFS(TF_Timer,TF_Tekniker,I$4,TF_Dato,$A252))*2,0)/2)))</f>
        <v/>
      </c>
      <c r="J252">
        <f>IF(OR(J$4="",$A252&gt;TODAY()),0,IF(OR(INDEX($B252:$D252,J$5)="F",AND(J$6&gt;0,$A252&lt;J$6),AND(J$7&gt;0,$A252&gt;J$7)),0,MAX(0,ROUND((INDEX($E252:$G252,J$5)-SUMIFS(TF_Timer,TF_Tekniker,J$4,TF_Dato,$A252))*2,0)/2)))</f>
        <v/>
      </c>
      <c r="K252">
        <f>IF(OR(K$4="",$A252&gt;TODAY()),0,IF(OR(INDEX($B252:$D252,K$5)="F",AND(K$6&gt;0,$A252&lt;K$6),AND(K$7&gt;0,$A252&gt;K$7)),0,MAX(0,ROUND((INDEX($E252:$G252,K$5)-SUMIFS(TF_Timer,TF_Tekniker,K$4,TF_Dato,$A252))*2,0)/2)))</f>
        <v/>
      </c>
      <c r="L252">
        <f>IF(OR(L$4="",$A252&gt;TODAY()),0,IF(OR(INDEX($B252:$D252,L$5)="F",AND(L$6&gt;0,$A252&lt;L$6),AND(L$7&gt;0,$A252&gt;L$7)),0,MAX(0,ROUND((INDEX($E252:$G252,L$5)-SUMIFS(TF_Timer,TF_Tekniker,L$4,TF_Dato,$A252))*2,0)/2)))</f>
        <v/>
      </c>
      <c r="M252">
        <f>IF(OR(M$4="",$A252&gt;TODAY()),0,IF(OR(INDEX($B252:$D252,M$5)="F",AND(M$6&gt;0,$A252&lt;M$6),AND(M$7&gt;0,$A252&gt;M$7)),0,MAX(0,ROUND((INDEX($E252:$G252,M$5)-SUMIFS(TF_Timer,TF_Tekniker,M$4,TF_Dato,$A252))*2,0)/2)))</f>
        <v/>
      </c>
      <c r="N252">
        <f>IF(OR(N$4="",$A252&gt;TODAY()),0,IF(OR(INDEX($B252:$D252,N$5)="F",AND(N$6&gt;0,$A252&lt;N$6),AND(N$7&gt;0,$A252&gt;N$7)),0,MAX(0,ROUND((INDEX($E252:$G252,N$5)-SUMIFS(TF_Timer,TF_Tekniker,N$4,TF_Dato,$A252))*2,0)/2)))</f>
        <v/>
      </c>
      <c r="O252">
        <f>IF(OR(O$4="",$A252&gt;TODAY()),0,IF(OR(INDEX($B252:$D252,O$5)="F",AND(O$6&gt;0,$A252&lt;O$6),AND(O$7&gt;0,$A252&gt;O$7)),0,MAX(0,ROUND((INDEX($E252:$G252,O$5)-SUMIFS(TF_Timer,TF_Tekniker,O$4,TF_Dato,$A252))*2,0)/2)))</f>
        <v/>
      </c>
      <c r="P252">
        <f>IF(OR(P$4="",$A252&gt;TODAY()),0,IF(OR(INDEX($B252:$D252,P$5)="F",AND(P$6&gt;0,$A252&lt;P$6),AND(P$7&gt;0,$A252&gt;P$7)),0,MAX(0,ROUND((INDEX($E252:$G252,P$5)-SUMIFS(TF_Timer,TF_Tekniker,P$4,TF_Dato,$A252))*2,0)/2)))</f>
        <v/>
      </c>
      <c r="Q252">
        <f>IF(OR(Q$4="",$A252&gt;TODAY()),0,IF(OR(INDEX($B252:$D252,Q$5)="F",AND(Q$6&gt;0,$A252&lt;Q$6),AND(Q$7&gt;0,$A252&gt;Q$7)),0,MAX(0,ROUND((INDEX($E252:$G252,Q$5)-SUMIFS(TF_Timer,TF_Tekniker,Q$4,TF_Dato,$A252))*2,0)/2)))</f>
        <v/>
      </c>
      <c r="R252">
        <f>IF(OR(R$4="",$A252&gt;TODAY()),0,IF(OR(INDEX($B252:$D252,R$5)="F",AND(R$6&gt;0,$A252&lt;R$6),AND(R$7&gt;0,$A252&gt;R$7)),0,MAX(0,ROUND((INDEX($E252:$G252,R$5)-SUMIFS(TF_Timer,TF_Tekniker,R$4,TF_Dato,$A252))*2,0)/2)))</f>
        <v/>
      </c>
      <c r="S252">
        <f>IF(OR(S$4="",$A252&gt;TODAY()),0,IF(OR(INDEX($B252:$D252,S$5)="F",AND(S$6&gt;0,$A252&lt;S$6),AND(S$7&gt;0,$A252&gt;S$7)),0,MAX(0,ROUND((INDEX($E252:$G252,S$5)-SUMIFS(TF_Timer,TF_Tekniker,S$4,TF_Dato,$A252))*2,0)/2)))</f>
        <v/>
      </c>
      <c r="T252">
        <f>IF(OR(T$4="",$A252&gt;TODAY()),0,IF(OR(INDEX($B252:$D252,T$5)="F",AND(T$6&gt;0,$A252&lt;T$6),AND(T$7&gt;0,$A252&gt;T$7)),0,MAX(0,ROUND((INDEX($E252:$G252,T$5)-SUMIFS(TF_Timer,TF_Tekniker,T$4,TF_Dato,$A252))*2,0)/2)))</f>
        <v/>
      </c>
      <c r="U252">
        <f>IF(OR(U$4="",$A252&gt;TODAY()),0,IF(OR(INDEX($B252:$D252,U$5)="F",AND(U$6&gt;0,$A252&lt;U$6),AND(U$7&gt;0,$A252&gt;U$7)),0,MAX(0,ROUND((INDEX($E252:$G252,U$5)-SUMIFS(TF_Timer,TF_Tekniker,U$4,TF_Dato,$A252))*2,0)/2)))</f>
        <v/>
      </c>
      <c r="V252">
        <f>IF(OR(V$4="",$A252&gt;TODAY()),0,IF(OR(INDEX($B252:$D252,V$5)="F",AND(V$6&gt;0,$A252&lt;V$6),AND(V$7&gt;0,$A252&gt;V$7)),0,MAX(0,ROUND((INDEX($E252:$G252,V$5)-SUMIFS(TF_Timer,TF_Tekniker,V$4,TF_Dato,$A252))*2,0)/2)))</f>
        <v/>
      </c>
      <c r="W252">
        <f>IF(OR(W$4="",$A252&gt;TODAY()),0,IF(OR(INDEX($B252:$D252,W$5)="F",AND(W$6&gt;0,$A252&lt;W$6),AND(W$7&gt;0,$A252&gt;W$7)),0,MAX(0,ROUND((INDEX($E252:$G252,W$5)-SUMIFS(TF_Timer,TF_Tekniker,W$4,TF_Dato,$A252))*2,0)/2)))</f>
        <v/>
      </c>
      <c r="X252">
        <f>IF(OR(X$4="",$A252&gt;TODAY()),0,IF(OR(INDEX($B252:$D252,X$5)="F",AND(X$6&gt;0,$A252&lt;X$6),AND(X$7&gt;0,$A252&gt;X$7)),0,MAX(0,ROUND((INDEX($E252:$G252,X$5)-SUMIFS(TF_Timer,TF_Tekniker,X$4,TF_Dato,$A252))*2,0)/2)))</f>
        <v/>
      </c>
      <c r="Y252">
        <f>IF(OR(Y$4="",$A252&gt;TODAY()),0,IF(OR(INDEX($B252:$D252,Y$5)="F",AND(Y$6&gt;0,$A252&lt;Y$6),AND(Y$7&gt;0,$A252&gt;Y$7)),0,MAX(0,ROUND((INDEX($E252:$G252,Y$5)-SUMIFS(TF_Timer,TF_Tekniker,Y$4,TF_Dato,$A252))*2,0)/2)))</f>
        <v/>
      </c>
      <c r="Z252">
        <f>IF(OR(Z$4="",$A252&gt;TODAY()),0,IF(OR(INDEX($B252:$D252,Z$5)="F",AND(Z$6&gt;0,$A252&lt;Z$6),AND(Z$7&gt;0,$A252&gt;Z$7)),0,MAX(0,ROUND((INDEX($E252:$G252,Z$5)-SUMIFS(TF_Timer,TF_Tekniker,Z$4,TF_Dato,$A252))*2,0)/2)))</f>
        <v/>
      </c>
      <c r="AA252">
        <f>IF(OR(AA$4="",$A252&gt;TODAY()),0,IF(OR(INDEX($B252:$D252,AA$5)="F",AND(AA$6&gt;0,$A252&lt;AA$6),AND(AA$7&gt;0,$A252&gt;AA$7)),0,MAX(0,ROUND((INDEX($E252:$G252,AA$5)-SUMIFS(TF_Timer,TF_Tekniker,AA$4,TF_Dato,$A252))*2,0)/2)))</f>
        <v/>
      </c>
      <c r="AB252">
        <f>IF(OR(AB$4="",$A252&gt;TODAY()),0,IF(OR(INDEX($B252:$D252,AB$5)="F",AND(AB$6&gt;0,$A252&lt;AB$6),AND(AB$7&gt;0,$A252&gt;AB$7)),0,MAX(0,ROUND((INDEX($E252:$G252,AB$5)-SUMIFS(TF_Timer,TF_Tekniker,AB$4,TF_Dato,$A252))*2,0)/2)))</f>
        <v/>
      </c>
      <c r="AC252">
        <f>IF(OR(AC$4="",$A252&gt;TODAY()),0,IF(OR(INDEX($B252:$D252,AC$5)="F",AND(AC$6&gt;0,$A252&lt;AC$6),AND(AC$7&gt;0,$A252&gt;AC$7)),0,MAX(0,ROUND((INDEX($E252:$G252,AC$5)-SUMIFS(TF_Timer,TF_Tekniker,AC$4,TF_Dato,$A252))*2,0)/2)))</f>
        <v/>
      </c>
      <c r="AD252">
        <f>IF(OR(AD$4="",$A252&gt;TODAY()),0,IF(OR(INDEX($B252:$D252,AD$5)="F",AND(AD$6&gt;0,$A252&lt;AD$6),AND(AD$7&gt;0,$A252&gt;AD$7)),0,MAX(0,ROUND((INDEX($E252:$G252,AD$5)-SUMIFS(TF_Timer,TF_Tekniker,AD$4,TF_Dato,$A252))*2,0)/2)))</f>
        <v/>
      </c>
      <c r="AE252">
        <f>IF(OR(AE$4="",$A252&gt;TODAY()),0,IF(OR(INDEX($B252:$D252,AE$5)="F",AND(AE$6&gt;0,$A252&lt;AE$6),AND(AE$7&gt;0,$A252&gt;AE$7)),0,MAX(0,ROUND((INDEX($E252:$G252,AE$5)-SUMIFS(TF_Timer,TF_Tekniker,AE$4,TF_Dato,$A252))*2,0)/2)))</f>
        <v/>
      </c>
      <c r="AF252">
        <f>IF(OR(AF$4="",$A252&gt;TODAY()),0,IF(OR(INDEX($B252:$D252,AF$5)="F",AND(AF$6&gt;0,$A252&lt;AF$6),AND(AF$7&gt;0,$A252&gt;AF$7)),0,MAX(0,ROUND((INDEX($E252:$G252,AF$5)-SUMIFS(TF_Timer,TF_Tekniker,AF$4,TF_Dato,$A252))*2,0)/2)))</f>
        <v/>
      </c>
      <c r="AG252">
        <f>IF(OR(AG$4="",$A252&gt;TODAY()),0,IF(OR(INDEX($B252:$D252,AG$5)="F",AND(AG$6&gt;0,$A252&lt;AG$6),AND(AG$7&gt;0,$A252&gt;AG$7)),0,MAX(0,ROUND((INDEX($E252:$G252,AG$5)-SUMIFS(TF_Timer,TF_Tekniker,AG$4,TF_Dato,$A252))*2,0)/2)))</f>
        <v/>
      </c>
      <c r="AH252">
        <f>IF(OR(AH$4="",$A252&gt;TODAY()),0,IF(OR(INDEX($B252:$D252,AH$5)="F",AND(AH$6&gt;0,$A252&lt;AH$6),AND(AH$7&gt;0,$A252&gt;AH$7)),0,MAX(0,ROUND((INDEX($E252:$G252,AH$5)-SUMIFS(TF_Timer,TF_Tekniker,AH$4,TF_Dato,$A252))*2,0)/2)))</f>
        <v/>
      </c>
      <c r="AI252">
        <f>IF(OR(AI$4="",$A252&gt;TODAY()),0,IF(OR(INDEX($B252:$D252,AI$5)="F",AND(AI$6&gt;0,$A252&lt;AI$6),AND(AI$7&gt;0,$A252&gt;AI$7)),0,MAX(0,ROUND((INDEX($E252:$G252,AI$5)-SUMIFS(TF_Timer,TF_Tekniker,AI$4,TF_Dato,$A252))*2,0)/2)))</f>
        <v/>
      </c>
      <c r="AJ252">
        <f>IF(OR(AJ$4="",$A252&gt;TODAY()),0,IF(OR(INDEX($B252:$D252,AJ$5)="F",AND(AJ$6&gt;0,$A252&lt;AJ$6),AND(AJ$7&gt;0,$A252&gt;AJ$7)),0,MAX(0,ROUND((INDEX($E252:$G252,AJ$5)-SUMIFS(TF_Timer,TF_Tekniker,AJ$4,TF_Dato,$A252))*2,0)/2)))</f>
        <v/>
      </c>
      <c r="AK252">
        <f>IF(OR(AK$4="",$A252&gt;TODAY()),0,IF(OR(INDEX($B252:$D252,AK$5)="F",AND(AK$6&gt;0,$A252&lt;AK$6),AND(AK$7&gt;0,$A252&gt;AK$7)),0,MAX(0,ROUND((INDEX($E252:$G252,AK$5)-SUMIFS(TF_Timer,TF_Tekniker,AK$4,TF_Dato,$A252))*2,0)/2)))</f>
        <v/>
      </c>
      <c r="AL252">
        <f>IF(OR(AL$4="",$A252&gt;TODAY()),0,IF(OR(INDEX($B252:$D252,AL$5)="F",AND(AL$6&gt;0,$A252&lt;AL$6),AND(AL$7&gt;0,$A252&gt;AL$7)),0,MAX(0,ROUND((INDEX($E252:$G252,AL$5)-SUMIFS(TF_Timer,TF_Tekniker,AL$4,TF_Dato,$A252))*2,0)/2)))</f>
        <v/>
      </c>
      <c r="AM252">
        <f>IF(OR(AM$4="",$A252&gt;TODAY()),0,IF(OR(INDEX($B252:$D252,AM$5)="F",AND(AM$6&gt;0,$A252&lt;AM$6),AND(AM$7&gt;0,$A252&gt;AM$7)),0,MAX(0,ROUND((INDEX($E252:$G252,AM$5)-SUMIFS(TF_Timer,TF_Tekniker,AM$4,TF_Dato,$A252))*2,0)/2)))</f>
        <v/>
      </c>
      <c r="AN252">
        <f>IF(OR(AN$4="",$A252&gt;TODAY()),0,IF(OR(INDEX($B252:$D252,AN$5)="F",AND(AN$6&gt;0,$A252&lt;AN$6),AND(AN$7&gt;0,$A252&gt;AN$7)),0,MAX(0,ROUND((INDEX($E252:$G252,AN$5)-SUMIFS(TF_Timer,TF_Tekniker,AN$4,TF_Dato,$A252))*2,0)/2)))</f>
        <v/>
      </c>
      <c r="AO252">
        <f>IF(OR(AO$4="",$A252&gt;TODAY()),0,IF(OR(INDEX($B252:$D252,AO$5)="F",AND(AO$6&gt;0,$A252&lt;AO$6),AND(AO$7&gt;0,$A252&gt;AO$7)),0,MAX(0,ROUND((INDEX($E252:$G252,AO$5)-SUMIFS(TF_Timer,TF_Tekniker,AO$4,TF_Dato,$A252))*2,0)/2)))</f>
        <v/>
      </c>
      <c r="AP252">
        <f>IF(OR(AP$4="",$A252&gt;TODAY()),0,IF(OR(INDEX($B252:$D252,AP$5)="F",AND(AP$6&gt;0,$A252&lt;AP$6),AND(AP$7&gt;0,$A252&gt;AP$7)),0,MAX(0,ROUND((INDEX($E252:$G252,AP$5)-SUMIFS(TF_Timer,TF_Tekniker,AP$4,TF_Dato,$A252))*2,0)/2)))</f>
        <v/>
      </c>
      <c r="AQ252">
        <f>IF(OR(AQ$4="",$A252&gt;TODAY()),0,IF(OR(INDEX($B252:$D252,AQ$5)="F",AND(AQ$6&gt;0,$A252&lt;AQ$6),AND(AQ$7&gt;0,$A252&gt;AQ$7)),0,MAX(0,ROUND((INDEX($E252:$G252,AQ$5)-SUMIFS(TF_Timer,TF_Tekniker,AQ$4,TF_Dato,$A252))*2,0)/2)))</f>
        <v/>
      </c>
      <c r="AR252">
        <f>IF(OR(AR$4="",$A252&gt;TODAY()),0,IF(OR(INDEX($B252:$D252,AR$5)="F",AND(AR$6&gt;0,$A252&lt;AR$6),AND(AR$7&gt;0,$A252&gt;AR$7)),0,MAX(0,ROUND((INDEX($E252:$G252,AR$5)-SUMIFS(TF_Timer,TF_Tekniker,AR$4,TF_Dato,$A252))*2,0)/2)))</f>
        <v/>
      </c>
      <c r="AS252">
        <f>IF(OR(AS$4="",$A252&gt;TODAY()),0,IF(OR(INDEX($B252:$D252,AS$5)="F",AND(AS$6&gt;0,$A252&lt;AS$6),AND(AS$7&gt;0,$A252&gt;AS$7)),0,MAX(0,ROUND((INDEX($E252:$G252,AS$5)-SUMIFS(TF_Timer,TF_Tekniker,AS$4,TF_Dato,$A252))*2,0)/2)))</f>
        <v/>
      </c>
      <c r="AT252">
        <f>IF(OR(AT$4="",$A252&gt;TODAY()),0,IF(OR(INDEX($B252:$D252,AT$5)="F",AND(AT$6&gt;0,$A252&lt;AT$6),AND(AT$7&gt;0,$A252&gt;AT$7)),0,MAX(0,ROUND((INDEX($E252:$G252,AT$5)-SUMIFS(TF_Timer,TF_Tekniker,AT$4,TF_Dato,$A252))*2,0)/2)))</f>
        <v/>
      </c>
      <c r="AU252">
        <f>IF(OR(AU$4="",$A252&gt;TODAY()),0,IF(OR(INDEX($B252:$D252,AU$5)="F",AND(AU$6&gt;0,$A252&lt;AU$6),AND(AU$7&gt;0,$A252&gt;AU$7)),0,MAX(0,ROUND((INDEX($E252:$G252,AU$5)-SUMIFS(TF_Timer,TF_Tekniker,AU$4,TF_Dato,$A252))*2,0)/2)))</f>
        <v/>
      </c>
      <c r="AV252">
        <f>IF(OR(AV$4="",$A252&gt;TODAY()),0,IF(OR(INDEX($B252:$D252,AV$5)="F",AND(AV$6&gt;0,$A252&lt;AV$6),AND(AV$7&gt;0,$A252&gt;AV$7)),0,MAX(0,ROUND((INDEX($E252:$G252,AV$5)-SUMIFS(TF_Timer,TF_Tekniker,AV$4,TF_Dato,$A252))*2,0)/2)))</f>
        <v/>
      </c>
      <c r="AW252">
        <f>IF(OR(AW$4="",$A252&gt;TODAY()),0,IF(OR(INDEX($B252:$D252,AW$5)="F",AND(AW$6&gt;0,$A252&lt;AW$6),AND(AW$7&gt;0,$A252&gt;AW$7)),0,MAX(0,ROUND((INDEX($E252:$G252,AW$5)-SUMIFS(TF_Timer,TF_Tekniker,AW$4,TF_Dato,$A252))*2,0)/2)))</f>
        <v/>
      </c>
      <c r="AX252">
        <f>IF(OR(AX$4="",$A252&gt;TODAY()),0,IF(OR(INDEX($B252:$D252,AX$5)="F",AND(AX$6&gt;0,$A252&lt;AX$6),AND(AX$7&gt;0,$A252&gt;AX$7)),0,MAX(0,ROUND((INDEX($E252:$G252,AX$5)-SUMIFS(TF_Timer,TF_Tekniker,AX$4,TF_Dato,$A252))*2,0)/2)))</f>
        <v/>
      </c>
      <c r="AY252">
        <f>IF(OR(AY$4="",$A252&gt;TODAY()),0,IF(OR(INDEX($B252:$D252,AY$5)="F",AND(AY$6&gt;0,$A252&lt;AY$6),AND(AY$7&gt;0,$A252&gt;AY$7)),0,MAX(0,ROUND((INDEX($E252:$G252,AY$5)-SUMIFS(TF_Timer,TF_Tekniker,AY$4,TF_Dato,$A252))*2,0)/2)))</f>
        <v/>
      </c>
      <c r="AZ252">
        <f>IF(OR(AZ$4="",$A252&gt;TODAY()),0,IF(OR(INDEX($B252:$D252,AZ$5)="F",AND(AZ$6&gt;0,$A252&lt;AZ$6),AND(AZ$7&gt;0,$A252&gt;AZ$7)),0,MAX(0,ROUND((INDEX($E252:$G252,AZ$5)-SUMIFS(TF_Timer,TF_Tekniker,AZ$4,TF_Dato,$A252))*2,0)/2)))</f>
        <v/>
      </c>
      <c r="BA252">
        <f>IF(OR(BA$4="",$A252&gt;TODAY()),0,IF(OR(INDEX($B252:$D252,BA$5)="F",AND(BA$6&gt;0,$A252&lt;BA$6),AND(BA$7&gt;0,$A252&gt;BA$7)),0,MAX(0,ROUND((INDEX($E252:$G252,BA$5)-SUMIFS(TF_Timer,TF_Tekniker,BA$4,TF_Dato,$A252))*2,0)/2)))</f>
        <v/>
      </c>
      <c r="BB252">
        <f>IF(OR(BB$4="",$A252&gt;TODAY()),0,IF(OR(INDEX($B252:$D252,BB$5)="F",AND(BB$6&gt;0,$A252&lt;BB$6),AND(BB$7&gt;0,$A252&gt;BB$7)),0,MAX(0,ROUND((INDEX($E252:$G252,BB$5)-SUMIFS(TF_Timer,TF_Tekniker,BB$4,TF_Dato,$A252))*2,0)/2)))</f>
        <v/>
      </c>
      <c r="BC252">
        <f>IF(OR(BC$4="",$A252&gt;TODAY()),0,IF(OR(INDEX($B252:$D252,BC$5)="F",AND(BC$6&gt;0,$A252&lt;BC$6),AND(BC$7&gt;0,$A252&gt;BC$7)),0,MAX(0,ROUND((INDEX($E252:$G252,BC$5)-SUMIFS(TF_Timer,TF_Tekniker,BC$4,TF_Dato,$A252))*2,0)/2)))</f>
        <v/>
      </c>
      <c r="BD252">
        <f>IF(OR(BD$4="",$A252&gt;TODAY()),0,IF(OR(INDEX($B252:$D252,BD$5)="F",AND(BD$6&gt;0,$A252&lt;BD$6),AND(BD$7&gt;0,$A252&gt;BD$7)),0,MAX(0,ROUND((INDEX($E252:$G252,BD$5)-SUMIFS(TF_Timer,TF_Tekniker,BD$4,TF_Dato,$A252))*2,0)/2)))</f>
        <v/>
      </c>
      <c r="BE252">
        <f>IF(OR(BE$4="",$A252&gt;TODAY()),0,IF(OR(INDEX($B252:$D252,BE$5)="F",AND(BE$6&gt;0,$A252&lt;BE$6),AND(BE$7&gt;0,$A252&gt;BE$7)),0,MAX(0,ROUND((INDEX($E252:$G252,BE$5)-SUMIFS(TF_Timer,TF_Tekniker,BE$4,TF_Dato,$A252))*2,0)/2)))</f>
        <v/>
      </c>
      <c r="BF252">
        <f>IF(OR(BF$4="",$A252&gt;TODAY()),0,IF(OR(INDEX($B252:$D252,BF$5)="F",AND(BF$6&gt;0,$A252&lt;BF$6),AND(BF$7&gt;0,$A252&gt;BF$7)),0,MAX(0,ROUND((INDEX($E252:$G252,BF$5)-SUMIFS(TF_Timer,TF_Tekniker,BF$4,TF_Dato,$A252))*2,0)/2)))</f>
        <v/>
      </c>
      <c r="BG252">
        <f>IF(OR(BG$4="",$A252&gt;TODAY()),0,IF(OR(INDEX($B252:$D252,BG$5)="F",AND(BG$6&gt;0,$A252&lt;BG$6),AND(BG$7&gt;0,$A252&gt;BG$7)),0,MAX(0,ROUND((INDEX($E252:$G252,BG$5)-SUMIFS(TF_Timer,TF_Tekniker,BG$4,TF_Dato,$A252))*2,0)/2)))</f>
        <v/>
      </c>
      <c r="BH252">
        <f>IF(OR(BH$4="",$A252&gt;TODAY()),0,IF(OR(INDEX($B252:$D252,BH$5)="F",AND(BH$6&gt;0,$A252&lt;BH$6),AND(BH$7&gt;0,$A252&gt;BH$7)),0,MAX(0,ROUND((INDEX($E252:$G252,BH$5)-SUMIFS(TF_Timer,TF_Tekniker,BH$4,TF_Dato,$A252))*2,0)/2)))</f>
        <v/>
      </c>
      <c r="BI252">
        <f>IF(OR(BI$4="",$A252&gt;TODAY()),0,IF(OR(INDEX($B252:$D252,BI$5)="F",AND(BI$6&gt;0,$A252&lt;BI$6),AND(BI$7&gt;0,$A252&gt;BI$7)),0,MAX(0,ROUND((INDEX($E252:$G252,BI$5)-SUMIFS(TF_Timer,TF_Tekniker,BI$4,TF_Dato,$A252))*2,0)/2)))</f>
        <v/>
      </c>
    </row>
    <row r="253">
      <c r="A253" s="64">
        <f>A252+1</f>
        <v/>
      </c>
      <c r="B253">
        <f>IF(MOD($A253-INDEX(SkiftStart,1),Syklus)&lt;DagK,"K",IF(MOD($A253-INDEX(SkiftStart,1),Syklus)&lt;DagK+DagH,"H",IF(MOD($A253-INDEX(SkiftStart,1),Syklus)&lt;DagK+DagH+DagD,"D","F")))</f>
        <v/>
      </c>
      <c r="C253">
        <f>IF(MOD($A253-INDEX(SkiftStart,2),Syklus)&lt;DagK,"K",IF(MOD($A253-INDEX(SkiftStart,2),Syklus)&lt;DagK+DagH,"H",IF(MOD($A253-INDEX(SkiftStart,2),Syklus)&lt;DagK+DagH+DagD,"D","F")))</f>
        <v/>
      </c>
      <c r="D253">
        <f>IF(MOD($A253-INDEX(SkiftStart,3),Syklus)&lt;DagK,"K",IF(MOD($A253-INDEX(SkiftStart,3),Syklus)&lt;DagK+DagH,"H",IF(MOD($A253-INDEX(SkiftStart,3),Syklus)&lt;DagK+DagH+DagD,"D","F")))</f>
        <v/>
      </c>
      <c r="E253">
        <f>IF(B253="F",0,IF(WEEKDAY($A253,2)=5,INDEX(TimerFr,MATCH(B253,FaseKode,0)),INDEX(TimerMT,MATCH(B253,FaseKode,0))))</f>
        <v/>
      </c>
      <c r="F253">
        <f>IF(C253="F",0,IF(WEEKDAY($A253,2)=5,INDEX(TimerFr,MATCH(C253,FaseKode,0)),INDEX(TimerMT,MATCH(C253,FaseKode,0))))</f>
        <v/>
      </c>
      <c r="G253">
        <f>IF(D253="F",0,IF(WEEKDAY($A253,2)=5,INDEX(TimerFr,MATCH(D253,FaseKode,0)),INDEX(TimerMT,MATCH(D253,FaseKode,0))))</f>
        <v/>
      </c>
      <c r="H253">
        <f>IF(OR(H$4="",$A253&gt;TODAY()),0,IF(OR(INDEX($B253:$D253,H$5)="F",AND(H$6&gt;0,$A253&lt;H$6),AND(H$7&gt;0,$A253&gt;H$7)),0,MAX(0,ROUND((INDEX($E253:$G253,H$5)-SUMIFS(TF_Timer,TF_Tekniker,H$4,TF_Dato,$A253))*2,0)/2)))</f>
        <v/>
      </c>
      <c r="I253">
        <f>IF(OR(I$4="",$A253&gt;TODAY()),0,IF(OR(INDEX($B253:$D253,I$5)="F",AND(I$6&gt;0,$A253&lt;I$6),AND(I$7&gt;0,$A253&gt;I$7)),0,MAX(0,ROUND((INDEX($E253:$G253,I$5)-SUMIFS(TF_Timer,TF_Tekniker,I$4,TF_Dato,$A253))*2,0)/2)))</f>
        <v/>
      </c>
      <c r="J253">
        <f>IF(OR(J$4="",$A253&gt;TODAY()),0,IF(OR(INDEX($B253:$D253,J$5)="F",AND(J$6&gt;0,$A253&lt;J$6),AND(J$7&gt;0,$A253&gt;J$7)),0,MAX(0,ROUND((INDEX($E253:$G253,J$5)-SUMIFS(TF_Timer,TF_Tekniker,J$4,TF_Dato,$A253))*2,0)/2)))</f>
        <v/>
      </c>
      <c r="K253">
        <f>IF(OR(K$4="",$A253&gt;TODAY()),0,IF(OR(INDEX($B253:$D253,K$5)="F",AND(K$6&gt;0,$A253&lt;K$6),AND(K$7&gt;0,$A253&gt;K$7)),0,MAX(0,ROUND((INDEX($E253:$G253,K$5)-SUMIFS(TF_Timer,TF_Tekniker,K$4,TF_Dato,$A253))*2,0)/2)))</f>
        <v/>
      </c>
      <c r="L253">
        <f>IF(OR(L$4="",$A253&gt;TODAY()),0,IF(OR(INDEX($B253:$D253,L$5)="F",AND(L$6&gt;0,$A253&lt;L$6),AND(L$7&gt;0,$A253&gt;L$7)),0,MAX(0,ROUND((INDEX($E253:$G253,L$5)-SUMIFS(TF_Timer,TF_Tekniker,L$4,TF_Dato,$A253))*2,0)/2)))</f>
        <v/>
      </c>
      <c r="M253">
        <f>IF(OR(M$4="",$A253&gt;TODAY()),0,IF(OR(INDEX($B253:$D253,M$5)="F",AND(M$6&gt;0,$A253&lt;M$6),AND(M$7&gt;0,$A253&gt;M$7)),0,MAX(0,ROUND((INDEX($E253:$G253,M$5)-SUMIFS(TF_Timer,TF_Tekniker,M$4,TF_Dato,$A253))*2,0)/2)))</f>
        <v/>
      </c>
      <c r="N253">
        <f>IF(OR(N$4="",$A253&gt;TODAY()),0,IF(OR(INDEX($B253:$D253,N$5)="F",AND(N$6&gt;0,$A253&lt;N$6),AND(N$7&gt;0,$A253&gt;N$7)),0,MAX(0,ROUND((INDEX($E253:$G253,N$5)-SUMIFS(TF_Timer,TF_Tekniker,N$4,TF_Dato,$A253))*2,0)/2)))</f>
        <v/>
      </c>
      <c r="O253">
        <f>IF(OR(O$4="",$A253&gt;TODAY()),0,IF(OR(INDEX($B253:$D253,O$5)="F",AND(O$6&gt;0,$A253&lt;O$6),AND(O$7&gt;0,$A253&gt;O$7)),0,MAX(0,ROUND((INDEX($E253:$G253,O$5)-SUMIFS(TF_Timer,TF_Tekniker,O$4,TF_Dato,$A253))*2,0)/2)))</f>
        <v/>
      </c>
      <c r="P253">
        <f>IF(OR(P$4="",$A253&gt;TODAY()),0,IF(OR(INDEX($B253:$D253,P$5)="F",AND(P$6&gt;0,$A253&lt;P$6),AND(P$7&gt;0,$A253&gt;P$7)),0,MAX(0,ROUND((INDEX($E253:$G253,P$5)-SUMIFS(TF_Timer,TF_Tekniker,P$4,TF_Dato,$A253))*2,0)/2)))</f>
        <v/>
      </c>
      <c r="Q253">
        <f>IF(OR(Q$4="",$A253&gt;TODAY()),0,IF(OR(INDEX($B253:$D253,Q$5)="F",AND(Q$6&gt;0,$A253&lt;Q$6),AND(Q$7&gt;0,$A253&gt;Q$7)),0,MAX(0,ROUND((INDEX($E253:$G253,Q$5)-SUMIFS(TF_Timer,TF_Tekniker,Q$4,TF_Dato,$A253))*2,0)/2)))</f>
        <v/>
      </c>
      <c r="R253">
        <f>IF(OR(R$4="",$A253&gt;TODAY()),0,IF(OR(INDEX($B253:$D253,R$5)="F",AND(R$6&gt;0,$A253&lt;R$6),AND(R$7&gt;0,$A253&gt;R$7)),0,MAX(0,ROUND((INDEX($E253:$G253,R$5)-SUMIFS(TF_Timer,TF_Tekniker,R$4,TF_Dato,$A253))*2,0)/2)))</f>
        <v/>
      </c>
      <c r="S253">
        <f>IF(OR(S$4="",$A253&gt;TODAY()),0,IF(OR(INDEX($B253:$D253,S$5)="F",AND(S$6&gt;0,$A253&lt;S$6),AND(S$7&gt;0,$A253&gt;S$7)),0,MAX(0,ROUND((INDEX($E253:$G253,S$5)-SUMIFS(TF_Timer,TF_Tekniker,S$4,TF_Dato,$A253))*2,0)/2)))</f>
        <v/>
      </c>
      <c r="T253">
        <f>IF(OR(T$4="",$A253&gt;TODAY()),0,IF(OR(INDEX($B253:$D253,T$5)="F",AND(T$6&gt;0,$A253&lt;T$6),AND(T$7&gt;0,$A253&gt;T$7)),0,MAX(0,ROUND((INDEX($E253:$G253,T$5)-SUMIFS(TF_Timer,TF_Tekniker,T$4,TF_Dato,$A253))*2,0)/2)))</f>
        <v/>
      </c>
      <c r="U253">
        <f>IF(OR(U$4="",$A253&gt;TODAY()),0,IF(OR(INDEX($B253:$D253,U$5)="F",AND(U$6&gt;0,$A253&lt;U$6),AND(U$7&gt;0,$A253&gt;U$7)),0,MAX(0,ROUND((INDEX($E253:$G253,U$5)-SUMIFS(TF_Timer,TF_Tekniker,U$4,TF_Dato,$A253))*2,0)/2)))</f>
        <v/>
      </c>
      <c r="V253">
        <f>IF(OR(V$4="",$A253&gt;TODAY()),0,IF(OR(INDEX($B253:$D253,V$5)="F",AND(V$6&gt;0,$A253&lt;V$6),AND(V$7&gt;0,$A253&gt;V$7)),0,MAX(0,ROUND((INDEX($E253:$G253,V$5)-SUMIFS(TF_Timer,TF_Tekniker,V$4,TF_Dato,$A253))*2,0)/2)))</f>
        <v/>
      </c>
      <c r="W253">
        <f>IF(OR(W$4="",$A253&gt;TODAY()),0,IF(OR(INDEX($B253:$D253,W$5)="F",AND(W$6&gt;0,$A253&lt;W$6),AND(W$7&gt;0,$A253&gt;W$7)),0,MAX(0,ROUND((INDEX($E253:$G253,W$5)-SUMIFS(TF_Timer,TF_Tekniker,W$4,TF_Dato,$A253))*2,0)/2)))</f>
        <v/>
      </c>
      <c r="X253">
        <f>IF(OR(X$4="",$A253&gt;TODAY()),0,IF(OR(INDEX($B253:$D253,X$5)="F",AND(X$6&gt;0,$A253&lt;X$6),AND(X$7&gt;0,$A253&gt;X$7)),0,MAX(0,ROUND((INDEX($E253:$G253,X$5)-SUMIFS(TF_Timer,TF_Tekniker,X$4,TF_Dato,$A253))*2,0)/2)))</f>
        <v/>
      </c>
      <c r="Y253">
        <f>IF(OR(Y$4="",$A253&gt;TODAY()),0,IF(OR(INDEX($B253:$D253,Y$5)="F",AND(Y$6&gt;0,$A253&lt;Y$6),AND(Y$7&gt;0,$A253&gt;Y$7)),0,MAX(0,ROUND((INDEX($E253:$G253,Y$5)-SUMIFS(TF_Timer,TF_Tekniker,Y$4,TF_Dato,$A253))*2,0)/2)))</f>
        <v/>
      </c>
      <c r="Z253">
        <f>IF(OR(Z$4="",$A253&gt;TODAY()),0,IF(OR(INDEX($B253:$D253,Z$5)="F",AND(Z$6&gt;0,$A253&lt;Z$6),AND(Z$7&gt;0,$A253&gt;Z$7)),0,MAX(0,ROUND((INDEX($E253:$G253,Z$5)-SUMIFS(TF_Timer,TF_Tekniker,Z$4,TF_Dato,$A253))*2,0)/2)))</f>
        <v/>
      </c>
      <c r="AA253">
        <f>IF(OR(AA$4="",$A253&gt;TODAY()),0,IF(OR(INDEX($B253:$D253,AA$5)="F",AND(AA$6&gt;0,$A253&lt;AA$6),AND(AA$7&gt;0,$A253&gt;AA$7)),0,MAX(0,ROUND((INDEX($E253:$G253,AA$5)-SUMIFS(TF_Timer,TF_Tekniker,AA$4,TF_Dato,$A253))*2,0)/2)))</f>
        <v/>
      </c>
      <c r="AB253">
        <f>IF(OR(AB$4="",$A253&gt;TODAY()),0,IF(OR(INDEX($B253:$D253,AB$5)="F",AND(AB$6&gt;0,$A253&lt;AB$6),AND(AB$7&gt;0,$A253&gt;AB$7)),0,MAX(0,ROUND((INDEX($E253:$G253,AB$5)-SUMIFS(TF_Timer,TF_Tekniker,AB$4,TF_Dato,$A253))*2,0)/2)))</f>
        <v/>
      </c>
      <c r="AC253">
        <f>IF(OR(AC$4="",$A253&gt;TODAY()),0,IF(OR(INDEX($B253:$D253,AC$5)="F",AND(AC$6&gt;0,$A253&lt;AC$6),AND(AC$7&gt;0,$A253&gt;AC$7)),0,MAX(0,ROUND((INDEX($E253:$G253,AC$5)-SUMIFS(TF_Timer,TF_Tekniker,AC$4,TF_Dato,$A253))*2,0)/2)))</f>
        <v/>
      </c>
      <c r="AD253">
        <f>IF(OR(AD$4="",$A253&gt;TODAY()),0,IF(OR(INDEX($B253:$D253,AD$5)="F",AND(AD$6&gt;0,$A253&lt;AD$6),AND(AD$7&gt;0,$A253&gt;AD$7)),0,MAX(0,ROUND((INDEX($E253:$G253,AD$5)-SUMIFS(TF_Timer,TF_Tekniker,AD$4,TF_Dato,$A253))*2,0)/2)))</f>
        <v/>
      </c>
      <c r="AE253">
        <f>IF(OR(AE$4="",$A253&gt;TODAY()),0,IF(OR(INDEX($B253:$D253,AE$5)="F",AND(AE$6&gt;0,$A253&lt;AE$6),AND(AE$7&gt;0,$A253&gt;AE$7)),0,MAX(0,ROUND((INDEX($E253:$G253,AE$5)-SUMIFS(TF_Timer,TF_Tekniker,AE$4,TF_Dato,$A253))*2,0)/2)))</f>
        <v/>
      </c>
      <c r="AF253">
        <f>IF(OR(AF$4="",$A253&gt;TODAY()),0,IF(OR(INDEX($B253:$D253,AF$5)="F",AND(AF$6&gt;0,$A253&lt;AF$6),AND(AF$7&gt;0,$A253&gt;AF$7)),0,MAX(0,ROUND((INDEX($E253:$G253,AF$5)-SUMIFS(TF_Timer,TF_Tekniker,AF$4,TF_Dato,$A253))*2,0)/2)))</f>
        <v/>
      </c>
      <c r="AG253">
        <f>IF(OR(AG$4="",$A253&gt;TODAY()),0,IF(OR(INDEX($B253:$D253,AG$5)="F",AND(AG$6&gt;0,$A253&lt;AG$6),AND(AG$7&gt;0,$A253&gt;AG$7)),0,MAX(0,ROUND((INDEX($E253:$G253,AG$5)-SUMIFS(TF_Timer,TF_Tekniker,AG$4,TF_Dato,$A253))*2,0)/2)))</f>
        <v/>
      </c>
      <c r="AH253">
        <f>IF(OR(AH$4="",$A253&gt;TODAY()),0,IF(OR(INDEX($B253:$D253,AH$5)="F",AND(AH$6&gt;0,$A253&lt;AH$6),AND(AH$7&gt;0,$A253&gt;AH$7)),0,MAX(0,ROUND((INDEX($E253:$G253,AH$5)-SUMIFS(TF_Timer,TF_Tekniker,AH$4,TF_Dato,$A253))*2,0)/2)))</f>
        <v/>
      </c>
      <c r="AI253">
        <f>IF(OR(AI$4="",$A253&gt;TODAY()),0,IF(OR(INDEX($B253:$D253,AI$5)="F",AND(AI$6&gt;0,$A253&lt;AI$6),AND(AI$7&gt;0,$A253&gt;AI$7)),0,MAX(0,ROUND((INDEX($E253:$G253,AI$5)-SUMIFS(TF_Timer,TF_Tekniker,AI$4,TF_Dato,$A253))*2,0)/2)))</f>
        <v/>
      </c>
      <c r="AJ253">
        <f>IF(OR(AJ$4="",$A253&gt;TODAY()),0,IF(OR(INDEX($B253:$D253,AJ$5)="F",AND(AJ$6&gt;0,$A253&lt;AJ$6),AND(AJ$7&gt;0,$A253&gt;AJ$7)),0,MAX(0,ROUND((INDEX($E253:$G253,AJ$5)-SUMIFS(TF_Timer,TF_Tekniker,AJ$4,TF_Dato,$A253))*2,0)/2)))</f>
        <v/>
      </c>
      <c r="AK253">
        <f>IF(OR(AK$4="",$A253&gt;TODAY()),0,IF(OR(INDEX($B253:$D253,AK$5)="F",AND(AK$6&gt;0,$A253&lt;AK$6),AND(AK$7&gt;0,$A253&gt;AK$7)),0,MAX(0,ROUND((INDEX($E253:$G253,AK$5)-SUMIFS(TF_Timer,TF_Tekniker,AK$4,TF_Dato,$A253))*2,0)/2)))</f>
        <v/>
      </c>
      <c r="AL253">
        <f>IF(OR(AL$4="",$A253&gt;TODAY()),0,IF(OR(INDEX($B253:$D253,AL$5)="F",AND(AL$6&gt;0,$A253&lt;AL$6),AND(AL$7&gt;0,$A253&gt;AL$7)),0,MAX(0,ROUND((INDEX($E253:$G253,AL$5)-SUMIFS(TF_Timer,TF_Tekniker,AL$4,TF_Dato,$A253))*2,0)/2)))</f>
        <v/>
      </c>
      <c r="AM253">
        <f>IF(OR(AM$4="",$A253&gt;TODAY()),0,IF(OR(INDEX($B253:$D253,AM$5)="F",AND(AM$6&gt;0,$A253&lt;AM$6),AND(AM$7&gt;0,$A253&gt;AM$7)),0,MAX(0,ROUND((INDEX($E253:$G253,AM$5)-SUMIFS(TF_Timer,TF_Tekniker,AM$4,TF_Dato,$A253))*2,0)/2)))</f>
        <v/>
      </c>
      <c r="AN253">
        <f>IF(OR(AN$4="",$A253&gt;TODAY()),0,IF(OR(INDEX($B253:$D253,AN$5)="F",AND(AN$6&gt;0,$A253&lt;AN$6),AND(AN$7&gt;0,$A253&gt;AN$7)),0,MAX(0,ROUND((INDEX($E253:$G253,AN$5)-SUMIFS(TF_Timer,TF_Tekniker,AN$4,TF_Dato,$A253))*2,0)/2)))</f>
        <v/>
      </c>
      <c r="AO253">
        <f>IF(OR(AO$4="",$A253&gt;TODAY()),0,IF(OR(INDEX($B253:$D253,AO$5)="F",AND(AO$6&gt;0,$A253&lt;AO$6),AND(AO$7&gt;0,$A253&gt;AO$7)),0,MAX(0,ROUND((INDEX($E253:$G253,AO$5)-SUMIFS(TF_Timer,TF_Tekniker,AO$4,TF_Dato,$A253))*2,0)/2)))</f>
        <v/>
      </c>
      <c r="AP253">
        <f>IF(OR(AP$4="",$A253&gt;TODAY()),0,IF(OR(INDEX($B253:$D253,AP$5)="F",AND(AP$6&gt;0,$A253&lt;AP$6),AND(AP$7&gt;0,$A253&gt;AP$7)),0,MAX(0,ROUND((INDEX($E253:$G253,AP$5)-SUMIFS(TF_Timer,TF_Tekniker,AP$4,TF_Dato,$A253))*2,0)/2)))</f>
        <v/>
      </c>
      <c r="AQ253">
        <f>IF(OR(AQ$4="",$A253&gt;TODAY()),0,IF(OR(INDEX($B253:$D253,AQ$5)="F",AND(AQ$6&gt;0,$A253&lt;AQ$6),AND(AQ$7&gt;0,$A253&gt;AQ$7)),0,MAX(0,ROUND((INDEX($E253:$G253,AQ$5)-SUMIFS(TF_Timer,TF_Tekniker,AQ$4,TF_Dato,$A253))*2,0)/2)))</f>
        <v/>
      </c>
      <c r="AR253">
        <f>IF(OR(AR$4="",$A253&gt;TODAY()),0,IF(OR(INDEX($B253:$D253,AR$5)="F",AND(AR$6&gt;0,$A253&lt;AR$6),AND(AR$7&gt;0,$A253&gt;AR$7)),0,MAX(0,ROUND((INDEX($E253:$G253,AR$5)-SUMIFS(TF_Timer,TF_Tekniker,AR$4,TF_Dato,$A253))*2,0)/2)))</f>
        <v/>
      </c>
      <c r="AS253">
        <f>IF(OR(AS$4="",$A253&gt;TODAY()),0,IF(OR(INDEX($B253:$D253,AS$5)="F",AND(AS$6&gt;0,$A253&lt;AS$6),AND(AS$7&gt;0,$A253&gt;AS$7)),0,MAX(0,ROUND((INDEX($E253:$G253,AS$5)-SUMIFS(TF_Timer,TF_Tekniker,AS$4,TF_Dato,$A253))*2,0)/2)))</f>
        <v/>
      </c>
      <c r="AT253">
        <f>IF(OR(AT$4="",$A253&gt;TODAY()),0,IF(OR(INDEX($B253:$D253,AT$5)="F",AND(AT$6&gt;0,$A253&lt;AT$6),AND(AT$7&gt;0,$A253&gt;AT$7)),0,MAX(0,ROUND((INDEX($E253:$G253,AT$5)-SUMIFS(TF_Timer,TF_Tekniker,AT$4,TF_Dato,$A253))*2,0)/2)))</f>
        <v/>
      </c>
      <c r="AU253">
        <f>IF(OR(AU$4="",$A253&gt;TODAY()),0,IF(OR(INDEX($B253:$D253,AU$5)="F",AND(AU$6&gt;0,$A253&lt;AU$6),AND(AU$7&gt;0,$A253&gt;AU$7)),0,MAX(0,ROUND((INDEX($E253:$G253,AU$5)-SUMIFS(TF_Timer,TF_Tekniker,AU$4,TF_Dato,$A253))*2,0)/2)))</f>
        <v/>
      </c>
      <c r="AV253">
        <f>IF(OR(AV$4="",$A253&gt;TODAY()),0,IF(OR(INDEX($B253:$D253,AV$5)="F",AND(AV$6&gt;0,$A253&lt;AV$6),AND(AV$7&gt;0,$A253&gt;AV$7)),0,MAX(0,ROUND((INDEX($E253:$G253,AV$5)-SUMIFS(TF_Timer,TF_Tekniker,AV$4,TF_Dato,$A253))*2,0)/2)))</f>
        <v/>
      </c>
      <c r="AW253">
        <f>IF(OR(AW$4="",$A253&gt;TODAY()),0,IF(OR(INDEX($B253:$D253,AW$5)="F",AND(AW$6&gt;0,$A253&lt;AW$6),AND(AW$7&gt;0,$A253&gt;AW$7)),0,MAX(0,ROUND((INDEX($E253:$G253,AW$5)-SUMIFS(TF_Timer,TF_Tekniker,AW$4,TF_Dato,$A253))*2,0)/2)))</f>
        <v/>
      </c>
      <c r="AX253">
        <f>IF(OR(AX$4="",$A253&gt;TODAY()),0,IF(OR(INDEX($B253:$D253,AX$5)="F",AND(AX$6&gt;0,$A253&lt;AX$6),AND(AX$7&gt;0,$A253&gt;AX$7)),0,MAX(0,ROUND((INDEX($E253:$G253,AX$5)-SUMIFS(TF_Timer,TF_Tekniker,AX$4,TF_Dato,$A253))*2,0)/2)))</f>
        <v/>
      </c>
      <c r="AY253">
        <f>IF(OR(AY$4="",$A253&gt;TODAY()),0,IF(OR(INDEX($B253:$D253,AY$5)="F",AND(AY$6&gt;0,$A253&lt;AY$6),AND(AY$7&gt;0,$A253&gt;AY$7)),0,MAX(0,ROUND((INDEX($E253:$G253,AY$5)-SUMIFS(TF_Timer,TF_Tekniker,AY$4,TF_Dato,$A253))*2,0)/2)))</f>
        <v/>
      </c>
      <c r="AZ253">
        <f>IF(OR(AZ$4="",$A253&gt;TODAY()),0,IF(OR(INDEX($B253:$D253,AZ$5)="F",AND(AZ$6&gt;0,$A253&lt;AZ$6),AND(AZ$7&gt;0,$A253&gt;AZ$7)),0,MAX(0,ROUND((INDEX($E253:$G253,AZ$5)-SUMIFS(TF_Timer,TF_Tekniker,AZ$4,TF_Dato,$A253))*2,0)/2)))</f>
        <v/>
      </c>
      <c r="BA253">
        <f>IF(OR(BA$4="",$A253&gt;TODAY()),0,IF(OR(INDEX($B253:$D253,BA$5)="F",AND(BA$6&gt;0,$A253&lt;BA$6),AND(BA$7&gt;0,$A253&gt;BA$7)),0,MAX(0,ROUND((INDEX($E253:$G253,BA$5)-SUMIFS(TF_Timer,TF_Tekniker,BA$4,TF_Dato,$A253))*2,0)/2)))</f>
        <v/>
      </c>
      <c r="BB253">
        <f>IF(OR(BB$4="",$A253&gt;TODAY()),0,IF(OR(INDEX($B253:$D253,BB$5)="F",AND(BB$6&gt;0,$A253&lt;BB$6),AND(BB$7&gt;0,$A253&gt;BB$7)),0,MAX(0,ROUND((INDEX($E253:$G253,BB$5)-SUMIFS(TF_Timer,TF_Tekniker,BB$4,TF_Dato,$A253))*2,0)/2)))</f>
        <v/>
      </c>
      <c r="BC253">
        <f>IF(OR(BC$4="",$A253&gt;TODAY()),0,IF(OR(INDEX($B253:$D253,BC$5)="F",AND(BC$6&gt;0,$A253&lt;BC$6),AND(BC$7&gt;0,$A253&gt;BC$7)),0,MAX(0,ROUND((INDEX($E253:$G253,BC$5)-SUMIFS(TF_Timer,TF_Tekniker,BC$4,TF_Dato,$A253))*2,0)/2)))</f>
        <v/>
      </c>
      <c r="BD253">
        <f>IF(OR(BD$4="",$A253&gt;TODAY()),0,IF(OR(INDEX($B253:$D253,BD$5)="F",AND(BD$6&gt;0,$A253&lt;BD$6),AND(BD$7&gt;0,$A253&gt;BD$7)),0,MAX(0,ROUND((INDEX($E253:$G253,BD$5)-SUMIFS(TF_Timer,TF_Tekniker,BD$4,TF_Dato,$A253))*2,0)/2)))</f>
        <v/>
      </c>
      <c r="BE253">
        <f>IF(OR(BE$4="",$A253&gt;TODAY()),0,IF(OR(INDEX($B253:$D253,BE$5)="F",AND(BE$6&gt;0,$A253&lt;BE$6),AND(BE$7&gt;0,$A253&gt;BE$7)),0,MAX(0,ROUND((INDEX($E253:$G253,BE$5)-SUMIFS(TF_Timer,TF_Tekniker,BE$4,TF_Dato,$A253))*2,0)/2)))</f>
        <v/>
      </c>
      <c r="BF253">
        <f>IF(OR(BF$4="",$A253&gt;TODAY()),0,IF(OR(INDEX($B253:$D253,BF$5)="F",AND(BF$6&gt;0,$A253&lt;BF$6),AND(BF$7&gt;0,$A253&gt;BF$7)),0,MAX(0,ROUND((INDEX($E253:$G253,BF$5)-SUMIFS(TF_Timer,TF_Tekniker,BF$4,TF_Dato,$A253))*2,0)/2)))</f>
        <v/>
      </c>
      <c r="BG253">
        <f>IF(OR(BG$4="",$A253&gt;TODAY()),0,IF(OR(INDEX($B253:$D253,BG$5)="F",AND(BG$6&gt;0,$A253&lt;BG$6),AND(BG$7&gt;0,$A253&gt;BG$7)),0,MAX(0,ROUND((INDEX($E253:$G253,BG$5)-SUMIFS(TF_Timer,TF_Tekniker,BG$4,TF_Dato,$A253))*2,0)/2)))</f>
        <v/>
      </c>
      <c r="BH253">
        <f>IF(OR(BH$4="",$A253&gt;TODAY()),0,IF(OR(INDEX($B253:$D253,BH$5)="F",AND(BH$6&gt;0,$A253&lt;BH$6),AND(BH$7&gt;0,$A253&gt;BH$7)),0,MAX(0,ROUND((INDEX($E253:$G253,BH$5)-SUMIFS(TF_Timer,TF_Tekniker,BH$4,TF_Dato,$A253))*2,0)/2)))</f>
        <v/>
      </c>
      <c r="BI253">
        <f>IF(OR(BI$4="",$A253&gt;TODAY()),0,IF(OR(INDEX($B253:$D253,BI$5)="F",AND(BI$6&gt;0,$A253&lt;BI$6),AND(BI$7&gt;0,$A253&gt;BI$7)),0,MAX(0,ROUND((INDEX($E253:$G253,BI$5)-SUMIFS(TF_Timer,TF_Tekniker,BI$4,TF_Dato,$A253))*2,0)/2)))</f>
        <v/>
      </c>
    </row>
    <row r="254">
      <c r="A254" s="64">
        <f>A253+1</f>
        <v/>
      </c>
      <c r="B254">
        <f>IF(MOD($A254-INDEX(SkiftStart,1),Syklus)&lt;DagK,"K",IF(MOD($A254-INDEX(SkiftStart,1),Syklus)&lt;DagK+DagH,"H",IF(MOD($A254-INDEX(SkiftStart,1),Syklus)&lt;DagK+DagH+DagD,"D","F")))</f>
        <v/>
      </c>
      <c r="C254">
        <f>IF(MOD($A254-INDEX(SkiftStart,2),Syklus)&lt;DagK,"K",IF(MOD($A254-INDEX(SkiftStart,2),Syklus)&lt;DagK+DagH,"H",IF(MOD($A254-INDEX(SkiftStart,2),Syklus)&lt;DagK+DagH+DagD,"D","F")))</f>
        <v/>
      </c>
      <c r="D254">
        <f>IF(MOD($A254-INDEX(SkiftStart,3),Syklus)&lt;DagK,"K",IF(MOD($A254-INDEX(SkiftStart,3),Syklus)&lt;DagK+DagH,"H",IF(MOD($A254-INDEX(SkiftStart,3),Syklus)&lt;DagK+DagH+DagD,"D","F")))</f>
        <v/>
      </c>
      <c r="E254">
        <f>IF(B254="F",0,IF(WEEKDAY($A254,2)=5,INDEX(TimerFr,MATCH(B254,FaseKode,0)),INDEX(TimerMT,MATCH(B254,FaseKode,0))))</f>
        <v/>
      </c>
      <c r="F254">
        <f>IF(C254="F",0,IF(WEEKDAY($A254,2)=5,INDEX(TimerFr,MATCH(C254,FaseKode,0)),INDEX(TimerMT,MATCH(C254,FaseKode,0))))</f>
        <v/>
      </c>
      <c r="G254">
        <f>IF(D254="F",0,IF(WEEKDAY($A254,2)=5,INDEX(TimerFr,MATCH(D254,FaseKode,0)),INDEX(TimerMT,MATCH(D254,FaseKode,0))))</f>
        <v/>
      </c>
      <c r="H254">
        <f>IF(OR(H$4="",$A254&gt;TODAY()),0,IF(OR(INDEX($B254:$D254,H$5)="F",AND(H$6&gt;0,$A254&lt;H$6),AND(H$7&gt;0,$A254&gt;H$7)),0,MAX(0,ROUND((INDEX($E254:$G254,H$5)-SUMIFS(TF_Timer,TF_Tekniker,H$4,TF_Dato,$A254))*2,0)/2)))</f>
        <v/>
      </c>
      <c r="I254">
        <f>IF(OR(I$4="",$A254&gt;TODAY()),0,IF(OR(INDEX($B254:$D254,I$5)="F",AND(I$6&gt;0,$A254&lt;I$6),AND(I$7&gt;0,$A254&gt;I$7)),0,MAX(0,ROUND((INDEX($E254:$G254,I$5)-SUMIFS(TF_Timer,TF_Tekniker,I$4,TF_Dato,$A254))*2,0)/2)))</f>
        <v/>
      </c>
      <c r="J254">
        <f>IF(OR(J$4="",$A254&gt;TODAY()),0,IF(OR(INDEX($B254:$D254,J$5)="F",AND(J$6&gt;0,$A254&lt;J$6),AND(J$7&gt;0,$A254&gt;J$7)),0,MAX(0,ROUND((INDEX($E254:$G254,J$5)-SUMIFS(TF_Timer,TF_Tekniker,J$4,TF_Dato,$A254))*2,0)/2)))</f>
        <v/>
      </c>
      <c r="K254">
        <f>IF(OR(K$4="",$A254&gt;TODAY()),0,IF(OR(INDEX($B254:$D254,K$5)="F",AND(K$6&gt;0,$A254&lt;K$6),AND(K$7&gt;0,$A254&gt;K$7)),0,MAX(0,ROUND((INDEX($E254:$G254,K$5)-SUMIFS(TF_Timer,TF_Tekniker,K$4,TF_Dato,$A254))*2,0)/2)))</f>
        <v/>
      </c>
      <c r="L254">
        <f>IF(OR(L$4="",$A254&gt;TODAY()),0,IF(OR(INDEX($B254:$D254,L$5)="F",AND(L$6&gt;0,$A254&lt;L$6),AND(L$7&gt;0,$A254&gt;L$7)),0,MAX(0,ROUND((INDEX($E254:$G254,L$5)-SUMIFS(TF_Timer,TF_Tekniker,L$4,TF_Dato,$A254))*2,0)/2)))</f>
        <v/>
      </c>
      <c r="M254">
        <f>IF(OR(M$4="",$A254&gt;TODAY()),0,IF(OR(INDEX($B254:$D254,M$5)="F",AND(M$6&gt;0,$A254&lt;M$6),AND(M$7&gt;0,$A254&gt;M$7)),0,MAX(0,ROUND((INDEX($E254:$G254,M$5)-SUMIFS(TF_Timer,TF_Tekniker,M$4,TF_Dato,$A254))*2,0)/2)))</f>
        <v/>
      </c>
      <c r="N254">
        <f>IF(OR(N$4="",$A254&gt;TODAY()),0,IF(OR(INDEX($B254:$D254,N$5)="F",AND(N$6&gt;0,$A254&lt;N$6),AND(N$7&gt;0,$A254&gt;N$7)),0,MAX(0,ROUND((INDEX($E254:$G254,N$5)-SUMIFS(TF_Timer,TF_Tekniker,N$4,TF_Dato,$A254))*2,0)/2)))</f>
        <v/>
      </c>
      <c r="O254">
        <f>IF(OR(O$4="",$A254&gt;TODAY()),0,IF(OR(INDEX($B254:$D254,O$5)="F",AND(O$6&gt;0,$A254&lt;O$6),AND(O$7&gt;0,$A254&gt;O$7)),0,MAX(0,ROUND((INDEX($E254:$G254,O$5)-SUMIFS(TF_Timer,TF_Tekniker,O$4,TF_Dato,$A254))*2,0)/2)))</f>
        <v/>
      </c>
      <c r="P254">
        <f>IF(OR(P$4="",$A254&gt;TODAY()),0,IF(OR(INDEX($B254:$D254,P$5)="F",AND(P$6&gt;0,$A254&lt;P$6),AND(P$7&gt;0,$A254&gt;P$7)),0,MAX(0,ROUND((INDEX($E254:$G254,P$5)-SUMIFS(TF_Timer,TF_Tekniker,P$4,TF_Dato,$A254))*2,0)/2)))</f>
        <v/>
      </c>
      <c r="Q254">
        <f>IF(OR(Q$4="",$A254&gt;TODAY()),0,IF(OR(INDEX($B254:$D254,Q$5)="F",AND(Q$6&gt;0,$A254&lt;Q$6),AND(Q$7&gt;0,$A254&gt;Q$7)),0,MAX(0,ROUND((INDEX($E254:$G254,Q$5)-SUMIFS(TF_Timer,TF_Tekniker,Q$4,TF_Dato,$A254))*2,0)/2)))</f>
        <v/>
      </c>
      <c r="R254">
        <f>IF(OR(R$4="",$A254&gt;TODAY()),0,IF(OR(INDEX($B254:$D254,R$5)="F",AND(R$6&gt;0,$A254&lt;R$6),AND(R$7&gt;0,$A254&gt;R$7)),0,MAX(0,ROUND((INDEX($E254:$G254,R$5)-SUMIFS(TF_Timer,TF_Tekniker,R$4,TF_Dato,$A254))*2,0)/2)))</f>
        <v/>
      </c>
      <c r="S254">
        <f>IF(OR(S$4="",$A254&gt;TODAY()),0,IF(OR(INDEX($B254:$D254,S$5)="F",AND(S$6&gt;0,$A254&lt;S$6),AND(S$7&gt;0,$A254&gt;S$7)),0,MAX(0,ROUND((INDEX($E254:$G254,S$5)-SUMIFS(TF_Timer,TF_Tekniker,S$4,TF_Dato,$A254))*2,0)/2)))</f>
        <v/>
      </c>
      <c r="T254">
        <f>IF(OR(T$4="",$A254&gt;TODAY()),0,IF(OR(INDEX($B254:$D254,T$5)="F",AND(T$6&gt;0,$A254&lt;T$6),AND(T$7&gt;0,$A254&gt;T$7)),0,MAX(0,ROUND((INDEX($E254:$G254,T$5)-SUMIFS(TF_Timer,TF_Tekniker,T$4,TF_Dato,$A254))*2,0)/2)))</f>
        <v/>
      </c>
      <c r="U254">
        <f>IF(OR(U$4="",$A254&gt;TODAY()),0,IF(OR(INDEX($B254:$D254,U$5)="F",AND(U$6&gt;0,$A254&lt;U$6),AND(U$7&gt;0,$A254&gt;U$7)),0,MAX(0,ROUND((INDEX($E254:$G254,U$5)-SUMIFS(TF_Timer,TF_Tekniker,U$4,TF_Dato,$A254))*2,0)/2)))</f>
        <v/>
      </c>
      <c r="V254">
        <f>IF(OR(V$4="",$A254&gt;TODAY()),0,IF(OR(INDEX($B254:$D254,V$5)="F",AND(V$6&gt;0,$A254&lt;V$6),AND(V$7&gt;0,$A254&gt;V$7)),0,MAX(0,ROUND((INDEX($E254:$G254,V$5)-SUMIFS(TF_Timer,TF_Tekniker,V$4,TF_Dato,$A254))*2,0)/2)))</f>
        <v/>
      </c>
      <c r="W254">
        <f>IF(OR(W$4="",$A254&gt;TODAY()),0,IF(OR(INDEX($B254:$D254,W$5)="F",AND(W$6&gt;0,$A254&lt;W$6),AND(W$7&gt;0,$A254&gt;W$7)),0,MAX(0,ROUND((INDEX($E254:$G254,W$5)-SUMIFS(TF_Timer,TF_Tekniker,W$4,TF_Dato,$A254))*2,0)/2)))</f>
        <v/>
      </c>
      <c r="X254">
        <f>IF(OR(X$4="",$A254&gt;TODAY()),0,IF(OR(INDEX($B254:$D254,X$5)="F",AND(X$6&gt;0,$A254&lt;X$6),AND(X$7&gt;0,$A254&gt;X$7)),0,MAX(0,ROUND((INDEX($E254:$G254,X$5)-SUMIFS(TF_Timer,TF_Tekniker,X$4,TF_Dato,$A254))*2,0)/2)))</f>
        <v/>
      </c>
      <c r="Y254">
        <f>IF(OR(Y$4="",$A254&gt;TODAY()),0,IF(OR(INDEX($B254:$D254,Y$5)="F",AND(Y$6&gt;0,$A254&lt;Y$6),AND(Y$7&gt;0,$A254&gt;Y$7)),0,MAX(0,ROUND((INDEX($E254:$G254,Y$5)-SUMIFS(TF_Timer,TF_Tekniker,Y$4,TF_Dato,$A254))*2,0)/2)))</f>
        <v/>
      </c>
      <c r="Z254">
        <f>IF(OR(Z$4="",$A254&gt;TODAY()),0,IF(OR(INDEX($B254:$D254,Z$5)="F",AND(Z$6&gt;0,$A254&lt;Z$6),AND(Z$7&gt;0,$A254&gt;Z$7)),0,MAX(0,ROUND((INDEX($E254:$G254,Z$5)-SUMIFS(TF_Timer,TF_Tekniker,Z$4,TF_Dato,$A254))*2,0)/2)))</f>
        <v/>
      </c>
      <c r="AA254">
        <f>IF(OR(AA$4="",$A254&gt;TODAY()),0,IF(OR(INDEX($B254:$D254,AA$5)="F",AND(AA$6&gt;0,$A254&lt;AA$6),AND(AA$7&gt;0,$A254&gt;AA$7)),0,MAX(0,ROUND((INDEX($E254:$G254,AA$5)-SUMIFS(TF_Timer,TF_Tekniker,AA$4,TF_Dato,$A254))*2,0)/2)))</f>
        <v/>
      </c>
      <c r="AB254">
        <f>IF(OR(AB$4="",$A254&gt;TODAY()),0,IF(OR(INDEX($B254:$D254,AB$5)="F",AND(AB$6&gt;0,$A254&lt;AB$6),AND(AB$7&gt;0,$A254&gt;AB$7)),0,MAX(0,ROUND((INDEX($E254:$G254,AB$5)-SUMIFS(TF_Timer,TF_Tekniker,AB$4,TF_Dato,$A254))*2,0)/2)))</f>
        <v/>
      </c>
      <c r="AC254">
        <f>IF(OR(AC$4="",$A254&gt;TODAY()),0,IF(OR(INDEX($B254:$D254,AC$5)="F",AND(AC$6&gt;0,$A254&lt;AC$6),AND(AC$7&gt;0,$A254&gt;AC$7)),0,MAX(0,ROUND((INDEX($E254:$G254,AC$5)-SUMIFS(TF_Timer,TF_Tekniker,AC$4,TF_Dato,$A254))*2,0)/2)))</f>
        <v/>
      </c>
      <c r="AD254">
        <f>IF(OR(AD$4="",$A254&gt;TODAY()),0,IF(OR(INDEX($B254:$D254,AD$5)="F",AND(AD$6&gt;0,$A254&lt;AD$6),AND(AD$7&gt;0,$A254&gt;AD$7)),0,MAX(0,ROUND((INDEX($E254:$G254,AD$5)-SUMIFS(TF_Timer,TF_Tekniker,AD$4,TF_Dato,$A254))*2,0)/2)))</f>
        <v/>
      </c>
      <c r="AE254">
        <f>IF(OR(AE$4="",$A254&gt;TODAY()),0,IF(OR(INDEX($B254:$D254,AE$5)="F",AND(AE$6&gt;0,$A254&lt;AE$6),AND(AE$7&gt;0,$A254&gt;AE$7)),0,MAX(0,ROUND((INDEX($E254:$G254,AE$5)-SUMIFS(TF_Timer,TF_Tekniker,AE$4,TF_Dato,$A254))*2,0)/2)))</f>
        <v/>
      </c>
      <c r="AF254">
        <f>IF(OR(AF$4="",$A254&gt;TODAY()),0,IF(OR(INDEX($B254:$D254,AF$5)="F",AND(AF$6&gt;0,$A254&lt;AF$6),AND(AF$7&gt;0,$A254&gt;AF$7)),0,MAX(0,ROUND((INDEX($E254:$G254,AF$5)-SUMIFS(TF_Timer,TF_Tekniker,AF$4,TF_Dato,$A254))*2,0)/2)))</f>
        <v/>
      </c>
      <c r="AG254">
        <f>IF(OR(AG$4="",$A254&gt;TODAY()),0,IF(OR(INDEX($B254:$D254,AG$5)="F",AND(AG$6&gt;0,$A254&lt;AG$6),AND(AG$7&gt;0,$A254&gt;AG$7)),0,MAX(0,ROUND((INDEX($E254:$G254,AG$5)-SUMIFS(TF_Timer,TF_Tekniker,AG$4,TF_Dato,$A254))*2,0)/2)))</f>
        <v/>
      </c>
      <c r="AH254">
        <f>IF(OR(AH$4="",$A254&gt;TODAY()),0,IF(OR(INDEX($B254:$D254,AH$5)="F",AND(AH$6&gt;0,$A254&lt;AH$6),AND(AH$7&gt;0,$A254&gt;AH$7)),0,MAX(0,ROUND((INDEX($E254:$G254,AH$5)-SUMIFS(TF_Timer,TF_Tekniker,AH$4,TF_Dato,$A254))*2,0)/2)))</f>
        <v/>
      </c>
      <c r="AI254">
        <f>IF(OR(AI$4="",$A254&gt;TODAY()),0,IF(OR(INDEX($B254:$D254,AI$5)="F",AND(AI$6&gt;0,$A254&lt;AI$6),AND(AI$7&gt;0,$A254&gt;AI$7)),0,MAX(0,ROUND((INDEX($E254:$G254,AI$5)-SUMIFS(TF_Timer,TF_Tekniker,AI$4,TF_Dato,$A254))*2,0)/2)))</f>
        <v/>
      </c>
      <c r="AJ254">
        <f>IF(OR(AJ$4="",$A254&gt;TODAY()),0,IF(OR(INDEX($B254:$D254,AJ$5)="F",AND(AJ$6&gt;0,$A254&lt;AJ$6),AND(AJ$7&gt;0,$A254&gt;AJ$7)),0,MAX(0,ROUND((INDEX($E254:$G254,AJ$5)-SUMIFS(TF_Timer,TF_Tekniker,AJ$4,TF_Dato,$A254))*2,0)/2)))</f>
        <v/>
      </c>
      <c r="AK254">
        <f>IF(OR(AK$4="",$A254&gt;TODAY()),0,IF(OR(INDEX($B254:$D254,AK$5)="F",AND(AK$6&gt;0,$A254&lt;AK$6),AND(AK$7&gt;0,$A254&gt;AK$7)),0,MAX(0,ROUND((INDEX($E254:$G254,AK$5)-SUMIFS(TF_Timer,TF_Tekniker,AK$4,TF_Dato,$A254))*2,0)/2)))</f>
        <v/>
      </c>
      <c r="AL254">
        <f>IF(OR(AL$4="",$A254&gt;TODAY()),0,IF(OR(INDEX($B254:$D254,AL$5)="F",AND(AL$6&gt;0,$A254&lt;AL$6),AND(AL$7&gt;0,$A254&gt;AL$7)),0,MAX(0,ROUND((INDEX($E254:$G254,AL$5)-SUMIFS(TF_Timer,TF_Tekniker,AL$4,TF_Dato,$A254))*2,0)/2)))</f>
        <v/>
      </c>
      <c r="AM254">
        <f>IF(OR(AM$4="",$A254&gt;TODAY()),0,IF(OR(INDEX($B254:$D254,AM$5)="F",AND(AM$6&gt;0,$A254&lt;AM$6),AND(AM$7&gt;0,$A254&gt;AM$7)),0,MAX(0,ROUND((INDEX($E254:$G254,AM$5)-SUMIFS(TF_Timer,TF_Tekniker,AM$4,TF_Dato,$A254))*2,0)/2)))</f>
        <v/>
      </c>
      <c r="AN254">
        <f>IF(OR(AN$4="",$A254&gt;TODAY()),0,IF(OR(INDEX($B254:$D254,AN$5)="F",AND(AN$6&gt;0,$A254&lt;AN$6),AND(AN$7&gt;0,$A254&gt;AN$7)),0,MAX(0,ROUND((INDEX($E254:$G254,AN$5)-SUMIFS(TF_Timer,TF_Tekniker,AN$4,TF_Dato,$A254))*2,0)/2)))</f>
        <v/>
      </c>
      <c r="AO254">
        <f>IF(OR(AO$4="",$A254&gt;TODAY()),0,IF(OR(INDEX($B254:$D254,AO$5)="F",AND(AO$6&gt;0,$A254&lt;AO$6),AND(AO$7&gt;0,$A254&gt;AO$7)),0,MAX(0,ROUND((INDEX($E254:$G254,AO$5)-SUMIFS(TF_Timer,TF_Tekniker,AO$4,TF_Dato,$A254))*2,0)/2)))</f>
        <v/>
      </c>
      <c r="AP254">
        <f>IF(OR(AP$4="",$A254&gt;TODAY()),0,IF(OR(INDEX($B254:$D254,AP$5)="F",AND(AP$6&gt;0,$A254&lt;AP$6),AND(AP$7&gt;0,$A254&gt;AP$7)),0,MAX(0,ROUND((INDEX($E254:$G254,AP$5)-SUMIFS(TF_Timer,TF_Tekniker,AP$4,TF_Dato,$A254))*2,0)/2)))</f>
        <v/>
      </c>
      <c r="AQ254">
        <f>IF(OR(AQ$4="",$A254&gt;TODAY()),0,IF(OR(INDEX($B254:$D254,AQ$5)="F",AND(AQ$6&gt;0,$A254&lt;AQ$6),AND(AQ$7&gt;0,$A254&gt;AQ$7)),0,MAX(0,ROUND((INDEX($E254:$G254,AQ$5)-SUMIFS(TF_Timer,TF_Tekniker,AQ$4,TF_Dato,$A254))*2,0)/2)))</f>
        <v/>
      </c>
      <c r="AR254">
        <f>IF(OR(AR$4="",$A254&gt;TODAY()),0,IF(OR(INDEX($B254:$D254,AR$5)="F",AND(AR$6&gt;0,$A254&lt;AR$6),AND(AR$7&gt;0,$A254&gt;AR$7)),0,MAX(0,ROUND((INDEX($E254:$G254,AR$5)-SUMIFS(TF_Timer,TF_Tekniker,AR$4,TF_Dato,$A254))*2,0)/2)))</f>
        <v/>
      </c>
      <c r="AS254">
        <f>IF(OR(AS$4="",$A254&gt;TODAY()),0,IF(OR(INDEX($B254:$D254,AS$5)="F",AND(AS$6&gt;0,$A254&lt;AS$6),AND(AS$7&gt;0,$A254&gt;AS$7)),0,MAX(0,ROUND((INDEX($E254:$G254,AS$5)-SUMIFS(TF_Timer,TF_Tekniker,AS$4,TF_Dato,$A254))*2,0)/2)))</f>
        <v/>
      </c>
      <c r="AT254">
        <f>IF(OR(AT$4="",$A254&gt;TODAY()),0,IF(OR(INDEX($B254:$D254,AT$5)="F",AND(AT$6&gt;0,$A254&lt;AT$6),AND(AT$7&gt;0,$A254&gt;AT$7)),0,MAX(0,ROUND((INDEX($E254:$G254,AT$5)-SUMIFS(TF_Timer,TF_Tekniker,AT$4,TF_Dato,$A254))*2,0)/2)))</f>
        <v/>
      </c>
      <c r="AU254">
        <f>IF(OR(AU$4="",$A254&gt;TODAY()),0,IF(OR(INDEX($B254:$D254,AU$5)="F",AND(AU$6&gt;0,$A254&lt;AU$6),AND(AU$7&gt;0,$A254&gt;AU$7)),0,MAX(0,ROUND((INDEX($E254:$G254,AU$5)-SUMIFS(TF_Timer,TF_Tekniker,AU$4,TF_Dato,$A254))*2,0)/2)))</f>
        <v/>
      </c>
      <c r="AV254">
        <f>IF(OR(AV$4="",$A254&gt;TODAY()),0,IF(OR(INDEX($B254:$D254,AV$5)="F",AND(AV$6&gt;0,$A254&lt;AV$6),AND(AV$7&gt;0,$A254&gt;AV$7)),0,MAX(0,ROUND((INDEX($E254:$G254,AV$5)-SUMIFS(TF_Timer,TF_Tekniker,AV$4,TF_Dato,$A254))*2,0)/2)))</f>
        <v/>
      </c>
      <c r="AW254">
        <f>IF(OR(AW$4="",$A254&gt;TODAY()),0,IF(OR(INDEX($B254:$D254,AW$5)="F",AND(AW$6&gt;0,$A254&lt;AW$6),AND(AW$7&gt;0,$A254&gt;AW$7)),0,MAX(0,ROUND((INDEX($E254:$G254,AW$5)-SUMIFS(TF_Timer,TF_Tekniker,AW$4,TF_Dato,$A254))*2,0)/2)))</f>
        <v/>
      </c>
      <c r="AX254">
        <f>IF(OR(AX$4="",$A254&gt;TODAY()),0,IF(OR(INDEX($B254:$D254,AX$5)="F",AND(AX$6&gt;0,$A254&lt;AX$6),AND(AX$7&gt;0,$A254&gt;AX$7)),0,MAX(0,ROUND((INDEX($E254:$G254,AX$5)-SUMIFS(TF_Timer,TF_Tekniker,AX$4,TF_Dato,$A254))*2,0)/2)))</f>
        <v/>
      </c>
      <c r="AY254">
        <f>IF(OR(AY$4="",$A254&gt;TODAY()),0,IF(OR(INDEX($B254:$D254,AY$5)="F",AND(AY$6&gt;0,$A254&lt;AY$6),AND(AY$7&gt;0,$A254&gt;AY$7)),0,MAX(0,ROUND((INDEX($E254:$G254,AY$5)-SUMIFS(TF_Timer,TF_Tekniker,AY$4,TF_Dato,$A254))*2,0)/2)))</f>
        <v/>
      </c>
      <c r="AZ254">
        <f>IF(OR(AZ$4="",$A254&gt;TODAY()),0,IF(OR(INDEX($B254:$D254,AZ$5)="F",AND(AZ$6&gt;0,$A254&lt;AZ$6),AND(AZ$7&gt;0,$A254&gt;AZ$7)),0,MAX(0,ROUND((INDEX($E254:$G254,AZ$5)-SUMIFS(TF_Timer,TF_Tekniker,AZ$4,TF_Dato,$A254))*2,0)/2)))</f>
        <v/>
      </c>
      <c r="BA254">
        <f>IF(OR(BA$4="",$A254&gt;TODAY()),0,IF(OR(INDEX($B254:$D254,BA$5)="F",AND(BA$6&gt;0,$A254&lt;BA$6),AND(BA$7&gt;0,$A254&gt;BA$7)),0,MAX(0,ROUND((INDEX($E254:$G254,BA$5)-SUMIFS(TF_Timer,TF_Tekniker,BA$4,TF_Dato,$A254))*2,0)/2)))</f>
        <v/>
      </c>
      <c r="BB254">
        <f>IF(OR(BB$4="",$A254&gt;TODAY()),0,IF(OR(INDEX($B254:$D254,BB$5)="F",AND(BB$6&gt;0,$A254&lt;BB$6),AND(BB$7&gt;0,$A254&gt;BB$7)),0,MAX(0,ROUND((INDEX($E254:$G254,BB$5)-SUMIFS(TF_Timer,TF_Tekniker,BB$4,TF_Dato,$A254))*2,0)/2)))</f>
        <v/>
      </c>
      <c r="BC254">
        <f>IF(OR(BC$4="",$A254&gt;TODAY()),0,IF(OR(INDEX($B254:$D254,BC$5)="F",AND(BC$6&gt;0,$A254&lt;BC$6),AND(BC$7&gt;0,$A254&gt;BC$7)),0,MAX(0,ROUND((INDEX($E254:$G254,BC$5)-SUMIFS(TF_Timer,TF_Tekniker,BC$4,TF_Dato,$A254))*2,0)/2)))</f>
        <v/>
      </c>
      <c r="BD254">
        <f>IF(OR(BD$4="",$A254&gt;TODAY()),0,IF(OR(INDEX($B254:$D254,BD$5)="F",AND(BD$6&gt;0,$A254&lt;BD$6),AND(BD$7&gt;0,$A254&gt;BD$7)),0,MAX(0,ROUND((INDEX($E254:$G254,BD$5)-SUMIFS(TF_Timer,TF_Tekniker,BD$4,TF_Dato,$A254))*2,0)/2)))</f>
        <v/>
      </c>
      <c r="BE254">
        <f>IF(OR(BE$4="",$A254&gt;TODAY()),0,IF(OR(INDEX($B254:$D254,BE$5)="F",AND(BE$6&gt;0,$A254&lt;BE$6),AND(BE$7&gt;0,$A254&gt;BE$7)),0,MAX(0,ROUND((INDEX($E254:$G254,BE$5)-SUMIFS(TF_Timer,TF_Tekniker,BE$4,TF_Dato,$A254))*2,0)/2)))</f>
        <v/>
      </c>
      <c r="BF254">
        <f>IF(OR(BF$4="",$A254&gt;TODAY()),0,IF(OR(INDEX($B254:$D254,BF$5)="F",AND(BF$6&gt;0,$A254&lt;BF$6),AND(BF$7&gt;0,$A254&gt;BF$7)),0,MAX(0,ROUND((INDEX($E254:$G254,BF$5)-SUMIFS(TF_Timer,TF_Tekniker,BF$4,TF_Dato,$A254))*2,0)/2)))</f>
        <v/>
      </c>
      <c r="BG254">
        <f>IF(OR(BG$4="",$A254&gt;TODAY()),0,IF(OR(INDEX($B254:$D254,BG$5)="F",AND(BG$6&gt;0,$A254&lt;BG$6),AND(BG$7&gt;0,$A254&gt;BG$7)),0,MAX(0,ROUND((INDEX($E254:$G254,BG$5)-SUMIFS(TF_Timer,TF_Tekniker,BG$4,TF_Dato,$A254))*2,0)/2)))</f>
        <v/>
      </c>
      <c r="BH254">
        <f>IF(OR(BH$4="",$A254&gt;TODAY()),0,IF(OR(INDEX($B254:$D254,BH$5)="F",AND(BH$6&gt;0,$A254&lt;BH$6),AND(BH$7&gt;0,$A254&gt;BH$7)),0,MAX(0,ROUND((INDEX($E254:$G254,BH$5)-SUMIFS(TF_Timer,TF_Tekniker,BH$4,TF_Dato,$A254))*2,0)/2)))</f>
        <v/>
      </c>
      <c r="BI254">
        <f>IF(OR(BI$4="",$A254&gt;TODAY()),0,IF(OR(INDEX($B254:$D254,BI$5)="F",AND(BI$6&gt;0,$A254&lt;BI$6),AND(BI$7&gt;0,$A254&gt;BI$7)),0,MAX(0,ROUND((INDEX($E254:$G254,BI$5)-SUMIFS(TF_Timer,TF_Tekniker,BI$4,TF_Dato,$A254))*2,0)/2)))</f>
        <v/>
      </c>
    </row>
    <row r="255">
      <c r="A255" s="64">
        <f>A254+1</f>
        <v/>
      </c>
      <c r="B255">
        <f>IF(MOD($A255-INDEX(SkiftStart,1),Syklus)&lt;DagK,"K",IF(MOD($A255-INDEX(SkiftStart,1),Syklus)&lt;DagK+DagH,"H",IF(MOD($A255-INDEX(SkiftStart,1),Syklus)&lt;DagK+DagH+DagD,"D","F")))</f>
        <v/>
      </c>
      <c r="C255">
        <f>IF(MOD($A255-INDEX(SkiftStart,2),Syklus)&lt;DagK,"K",IF(MOD($A255-INDEX(SkiftStart,2),Syklus)&lt;DagK+DagH,"H",IF(MOD($A255-INDEX(SkiftStart,2),Syklus)&lt;DagK+DagH+DagD,"D","F")))</f>
        <v/>
      </c>
      <c r="D255">
        <f>IF(MOD($A255-INDEX(SkiftStart,3),Syklus)&lt;DagK,"K",IF(MOD($A255-INDEX(SkiftStart,3),Syklus)&lt;DagK+DagH,"H",IF(MOD($A255-INDEX(SkiftStart,3),Syklus)&lt;DagK+DagH+DagD,"D","F")))</f>
        <v/>
      </c>
      <c r="E255">
        <f>IF(B255="F",0,IF(WEEKDAY($A255,2)=5,INDEX(TimerFr,MATCH(B255,FaseKode,0)),INDEX(TimerMT,MATCH(B255,FaseKode,0))))</f>
        <v/>
      </c>
      <c r="F255">
        <f>IF(C255="F",0,IF(WEEKDAY($A255,2)=5,INDEX(TimerFr,MATCH(C255,FaseKode,0)),INDEX(TimerMT,MATCH(C255,FaseKode,0))))</f>
        <v/>
      </c>
      <c r="G255">
        <f>IF(D255="F",0,IF(WEEKDAY($A255,2)=5,INDEX(TimerFr,MATCH(D255,FaseKode,0)),INDEX(TimerMT,MATCH(D255,FaseKode,0))))</f>
        <v/>
      </c>
      <c r="H255">
        <f>IF(OR(H$4="",$A255&gt;TODAY()),0,IF(OR(INDEX($B255:$D255,H$5)="F",AND(H$6&gt;0,$A255&lt;H$6),AND(H$7&gt;0,$A255&gt;H$7)),0,MAX(0,ROUND((INDEX($E255:$G255,H$5)-SUMIFS(TF_Timer,TF_Tekniker,H$4,TF_Dato,$A255))*2,0)/2)))</f>
        <v/>
      </c>
      <c r="I255">
        <f>IF(OR(I$4="",$A255&gt;TODAY()),0,IF(OR(INDEX($B255:$D255,I$5)="F",AND(I$6&gt;0,$A255&lt;I$6),AND(I$7&gt;0,$A255&gt;I$7)),0,MAX(0,ROUND((INDEX($E255:$G255,I$5)-SUMIFS(TF_Timer,TF_Tekniker,I$4,TF_Dato,$A255))*2,0)/2)))</f>
        <v/>
      </c>
      <c r="J255">
        <f>IF(OR(J$4="",$A255&gt;TODAY()),0,IF(OR(INDEX($B255:$D255,J$5)="F",AND(J$6&gt;0,$A255&lt;J$6),AND(J$7&gt;0,$A255&gt;J$7)),0,MAX(0,ROUND((INDEX($E255:$G255,J$5)-SUMIFS(TF_Timer,TF_Tekniker,J$4,TF_Dato,$A255))*2,0)/2)))</f>
        <v/>
      </c>
      <c r="K255">
        <f>IF(OR(K$4="",$A255&gt;TODAY()),0,IF(OR(INDEX($B255:$D255,K$5)="F",AND(K$6&gt;0,$A255&lt;K$6),AND(K$7&gt;0,$A255&gt;K$7)),0,MAX(0,ROUND((INDEX($E255:$G255,K$5)-SUMIFS(TF_Timer,TF_Tekniker,K$4,TF_Dato,$A255))*2,0)/2)))</f>
        <v/>
      </c>
      <c r="L255">
        <f>IF(OR(L$4="",$A255&gt;TODAY()),0,IF(OR(INDEX($B255:$D255,L$5)="F",AND(L$6&gt;0,$A255&lt;L$6),AND(L$7&gt;0,$A255&gt;L$7)),0,MAX(0,ROUND((INDEX($E255:$G255,L$5)-SUMIFS(TF_Timer,TF_Tekniker,L$4,TF_Dato,$A255))*2,0)/2)))</f>
        <v/>
      </c>
      <c r="M255">
        <f>IF(OR(M$4="",$A255&gt;TODAY()),0,IF(OR(INDEX($B255:$D255,M$5)="F",AND(M$6&gt;0,$A255&lt;M$6),AND(M$7&gt;0,$A255&gt;M$7)),0,MAX(0,ROUND((INDEX($E255:$G255,M$5)-SUMIFS(TF_Timer,TF_Tekniker,M$4,TF_Dato,$A255))*2,0)/2)))</f>
        <v/>
      </c>
      <c r="N255">
        <f>IF(OR(N$4="",$A255&gt;TODAY()),0,IF(OR(INDEX($B255:$D255,N$5)="F",AND(N$6&gt;0,$A255&lt;N$6),AND(N$7&gt;0,$A255&gt;N$7)),0,MAX(0,ROUND((INDEX($E255:$G255,N$5)-SUMIFS(TF_Timer,TF_Tekniker,N$4,TF_Dato,$A255))*2,0)/2)))</f>
        <v/>
      </c>
      <c r="O255">
        <f>IF(OR(O$4="",$A255&gt;TODAY()),0,IF(OR(INDEX($B255:$D255,O$5)="F",AND(O$6&gt;0,$A255&lt;O$6),AND(O$7&gt;0,$A255&gt;O$7)),0,MAX(0,ROUND((INDEX($E255:$G255,O$5)-SUMIFS(TF_Timer,TF_Tekniker,O$4,TF_Dato,$A255))*2,0)/2)))</f>
        <v/>
      </c>
      <c r="P255">
        <f>IF(OR(P$4="",$A255&gt;TODAY()),0,IF(OR(INDEX($B255:$D255,P$5)="F",AND(P$6&gt;0,$A255&lt;P$6),AND(P$7&gt;0,$A255&gt;P$7)),0,MAX(0,ROUND((INDEX($E255:$G255,P$5)-SUMIFS(TF_Timer,TF_Tekniker,P$4,TF_Dato,$A255))*2,0)/2)))</f>
        <v/>
      </c>
      <c r="Q255">
        <f>IF(OR(Q$4="",$A255&gt;TODAY()),0,IF(OR(INDEX($B255:$D255,Q$5)="F",AND(Q$6&gt;0,$A255&lt;Q$6),AND(Q$7&gt;0,$A255&gt;Q$7)),0,MAX(0,ROUND((INDEX($E255:$G255,Q$5)-SUMIFS(TF_Timer,TF_Tekniker,Q$4,TF_Dato,$A255))*2,0)/2)))</f>
        <v/>
      </c>
      <c r="R255">
        <f>IF(OR(R$4="",$A255&gt;TODAY()),0,IF(OR(INDEX($B255:$D255,R$5)="F",AND(R$6&gt;0,$A255&lt;R$6),AND(R$7&gt;0,$A255&gt;R$7)),0,MAX(0,ROUND((INDEX($E255:$G255,R$5)-SUMIFS(TF_Timer,TF_Tekniker,R$4,TF_Dato,$A255))*2,0)/2)))</f>
        <v/>
      </c>
      <c r="S255">
        <f>IF(OR(S$4="",$A255&gt;TODAY()),0,IF(OR(INDEX($B255:$D255,S$5)="F",AND(S$6&gt;0,$A255&lt;S$6),AND(S$7&gt;0,$A255&gt;S$7)),0,MAX(0,ROUND((INDEX($E255:$G255,S$5)-SUMIFS(TF_Timer,TF_Tekniker,S$4,TF_Dato,$A255))*2,0)/2)))</f>
        <v/>
      </c>
      <c r="T255">
        <f>IF(OR(T$4="",$A255&gt;TODAY()),0,IF(OR(INDEX($B255:$D255,T$5)="F",AND(T$6&gt;0,$A255&lt;T$6),AND(T$7&gt;0,$A255&gt;T$7)),0,MAX(0,ROUND((INDEX($E255:$G255,T$5)-SUMIFS(TF_Timer,TF_Tekniker,T$4,TF_Dato,$A255))*2,0)/2)))</f>
        <v/>
      </c>
      <c r="U255">
        <f>IF(OR(U$4="",$A255&gt;TODAY()),0,IF(OR(INDEX($B255:$D255,U$5)="F",AND(U$6&gt;0,$A255&lt;U$6),AND(U$7&gt;0,$A255&gt;U$7)),0,MAX(0,ROUND((INDEX($E255:$G255,U$5)-SUMIFS(TF_Timer,TF_Tekniker,U$4,TF_Dato,$A255))*2,0)/2)))</f>
        <v/>
      </c>
      <c r="V255">
        <f>IF(OR(V$4="",$A255&gt;TODAY()),0,IF(OR(INDEX($B255:$D255,V$5)="F",AND(V$6&gt;0,$A255&lt;V$6),AND(V$7&gt;0,$A255&gt;V$7)),0,MAX(0,ROUND((INDEX($E255:$G255,V$5)-SUMIFS(TF_Timer,TF_Tekniker,V$4,TF_Dato,$A255))*2,0)/2)))</f>
        <v/>
      </c>
      <c r="W255">
        <f>IF(OR(W$4="",$A255&gt;TODAY()),0,IF(OR(INDEX($B255:$D255,W$5)="F",AND(W$6&gt;0,$A255&lt;W$6),AND(W$7&gt;0,$A255&gt;W$7)),0,MAX(0,ROUND((INDEX($E255:$G255,W$5)-SUMIFS(TF_Timer,TF_Tekniker,W$4,TF_Dato,$A255))*2,0)/2)))</f>
        <v/>
      </c>
      <c r="X255">
        <f>IF(OR(X$4="",$A255&gt;TODAY()),0,IF(OR(INDEX($B255:$D255,X$5)="F",AND(X$6&gt;0,$A255&lt;X$6),AND(X$7&gt;0,$A255&gt;X$7)),0,MAX(0,ROUND((INDEX($E255:$G255,X$5)-SUMIFS(TF_Timer,TF_Tekniker,X$4,TF_Dato,$A255))*2,0)/2)))</f>
        <v/>
      </c>
      <c r="Y255">
        <f>IF(OR(Y$4="",$A255&gt;TODAY()),0,IF(OR(INDEX($B255:$D255,Y$5)="F",AND(Y$6&gt;0,$A255&lt;Y$6),AND(Y$7&gt;0,$A255&gt;Y$7)),0,MAX(0,ROUND((INDEX($E255:$G255,Y$5)-SUMIFS(TF_Timer,TF_Tekniker,Y$4,TF_Dato,$A255))*2,0)/2)))</f>
        <v/>
      </c>
      <c r="Z255">
        <f>IF(OR(Z$4="",$A255&gt;TODAY()),0,IF(OR(INDEX($B255:$D255,Z$5)="F",AND(Z$6&gt;0,$A255&lt;Z$6),AND(Z$7&gt;0,$A255&gt;Z$7)),0,MAX(0,ROUND((INDEX($E255:$G255,Z$5)-SUMIFS(TF_Timer,TF_Tekniker,Z$4,TF_Dato,$A255))*2,0)/2)))</f>
        <v/>
      </c>
      <c r="AA255">
        <f>IF(OR(AA$4="",$A255&gt;TODAY()),0,IF(OR(INDEX($B255:$D255,AA$5)="F",AND(AA$6&gt;0,$A255&lt;AA$6),AND(AA$7&gt;0,$A255&gt;AA$7)),0,MAX(0,ROUND((INDEX($E255:$G255,AA$5)-SUMIFS(TF_Timer,TF_Tekniker,AA$4,TF_Dato,$A255))*2,0)/2)))</f>
        <v/>
      </c>
      <c r="AB255">
        <f>IF(OR(AB$4="",$A255&gt;TODAY()),0,IF(OR(INDEX($B255:$D255,AB$5)="F",AND(AB$6&gt;0,$A255&lt;AB$6),AND(AB$7&gt;0,$A255&gt;AB$7)),0,MAX(0,ROUND((INDEX($E255:$G255,AB$5)-SUMIFS(TF_Timer,TF_Tekniker,AB$4,TF_Dato,$A255))*2,0)/2)))</f>
        <v/>
      </c>
      <c r="AC255">
        <f>IF(OR(AC$4="",$A255&gt;TODAY()),0,IF(OR(INDEX($B255:$D255,AC$5)="F",AND(AC$6&gt;0,$A255&lt;AC$6),AND(AC$7&gt;0,$A255&gt;AC$7)),0,MAX(0,ROUND((INDEX($E255:$G255,AC$5)-SUMIFS(TF_Timer,TF_Tekniker,AC$4,TF_Dato,$A255))*2,0)/2)))</f>
        <v/>
      </c>
      <c r="AD255">
        <f>IF(OR(AD$4="",$A255&gt;TODAY()),0,IF(OR(INDEX($B255:$D255,AD$5)="F",AND(AD$6&gt;0,$A255&lt;AD$6),AND(AD$7&gt;0,$A255&gt;AD$7)),0,MAX(0,ROUND((INDEX($E255:$G255,AD$5)-SUMIFS(TF_Timer,TF_Tekniker,AD$4,TF_Dato,$A255))*2,0)/2)))</f>
        <v/>
      </c>
      <c r="AE255">
        <f>IF(OR(AE$4="",$A255&gt;TODAY()),0,IF(OR(INDEX($B255:$D255,AE$5)="F",AND(AE$6&gt;0,$A255&lt;AE$6),AND(AE$7&gt;0,$A255&gt;AE$7)),0,MAX(0,ROUND((INDEX($E255:$G255,AE$5)-SUMIFS(TF_Timer,TF_Tekniker,AE$4,TF_Dato,$A255))*2,0)/2)))</f>
        <v/>
      </c>
      <c r="AF255">
        <f>IF(OR(AF$4="",$A255&gt;TODAY()),0,IF(OR(INDEX($B255:$D255,AF$5)="F",AND(AF$6&gt;0,$A255&lt;AF$6),AND(AF$7&gt;0,$A255&gt;AF$7)),0,MAX(0,ROUND((INDEX($E255:$G255,AF$5)-SUMIFS(TF_Timer,TF_Tekniker,AF$4,TF_Dato,$A255))*2,0)/2)))</f>
        <v/>
      </c>
      <c r="AG255">
        <f>IF(OR(AG$4="",$A255&gt;TODAY()),0,IF(OR(INDEX($B255:$D255,AG$5)="F",AND(AG$6&gt;0,$A255&lt;AG$6),AND(AG$7&gt;0,$A255&gt;AG$7)),0,MAX(0,ROUND((INDEX($E255:$G255,AG$5)-SUMIFS(TF_Timer,TF_Tekniker,AG$4,TF_Dato,$A255))*2,0)/2)))</f>
        <v/>
      </c>
      <c r="AH255">
        <f>IF(OR(AH$4="",$A255&gt;TODAY()),0,IF(OR(INDEX($B255:$D255,AH$5)="F",AND(AH$6&gt;0,$A255&lt;AH$6),AND(AH$7&gt;0,$A255&gt;AH$7)),0,MAX(0,ROUND((INDEX($E255:$G255,AH$5)-SUMIFS(TF_Timer,TF_Tekniker,AH$4,TF_Dato,$A255))*2,0)/2)))</f>
        <v/>
      </c>
      <c r="AI255">
        <f>IF(OR(AI$4="",$A255&gt;TODAY()),0,IF(OR(INDEX($B255:$D255,AI$5)="F",AND(AI$6&gt;0,$A255&lt;AI$6),AND(AI$7&gt;0,$A255&gt;AI$7)),0,MAX(0,ROUND((INDEX($E255:$G255,AI$5)-SUMIFS(TF_Timer,TF_Tekniker,AI$4,TF_Dato,$A255))*2,0)/2)))</f>
        <v/>
      </c>
      <c r="AJ255">
        <f>IF(OR(AJ$4="",$A255&gt;TODAY()),0,IF(OR(INDEX($B255:$D255,AJ$5)="F",AND(AJ$6&gt;0,$A255&lt;AJ$6),AND(AJ$7&gt;0,$A255&gt;AJ$7)),0,MAX(0,ROUND((INDEX($E255:$G255,AJ$5)-SUMIFS(TF_Timer,TF_Tekniker,AJ$4,TF_Dato,$A255))*2,0)/2)))</f>
        <v/>
      </c>
      <c r="AK255">
        <f>IF(OR(AK$4="",$A255&gt;TODAY()),0,IF(OR(INDEX($B255:$D255,AK$5)="F",AND(AK$6&gt;0,$A255&lt;AK$6),AND(AK$7&gt;0,$A255&gt;AK$7)),0,MAX(0,ROUND((INDEX($E255:$G255,AK$5)-SUMIFS(TF_Timer,TF_Tekniker,AK$4,TF_Dato,$A255))*2,0)/2)))</f>
        <v/>
      </c>
      <c r="AL255">
        <f>IF(OR(AL$4="",$A255&gt;TODAY()),0,IF(OR(INDEX($B255:$D255,AL$5)="F",AND(AL$6&gt;0,$A255&lt;AL$6),AND(AL$7&gt;0,$A255&gt;AL$7)),0,MAX(0,ROUND((INDEX($E255:$G255,AL$5)-SUMIFS(TF_Timer,TF_Tekniker,AL$4,TF_Dato,$A255))*2,0)/2)))</f>
        <v/>
      </c>
      <c r="AM255">
        <f>IF(OR(AM$4="",$A255&gt;TODAY()),0,IF(OR(INDEX($B255:$D255,AM$5)="F",AND(AM$6&gt;0,$A255&lt;AM$6),AND(AM$7&gt;0,$A255&gt;AM$7)),0,MAX(0,ROUND((INDEX($E255:$G255,AM$5)-SUMIFS(TF_Timer,TF_Tekniker,AM$4,TF_Dato,$A255))*2,0)/2)))</f>
        <v/>
      </c>
      <c r="AN255">
        <f>IF(OR(AN$4="",$A255&gt;TODAY()),0,IF(OR(INDEX($B255:$D255,AN$5)="F",AND(AN$6&gt;0,$A255&lt;AN$6),AND(AN$7&gt;0,$A255&gt;AN$7)),0,MAX(0,ROUND((INDEX($E255:$G255,AN$5)-SUMIFS(TF_Timer,TF_Tekniker,AN$4,TF_Dato,$A255))*2,0)/2)))</f>
        <v/>
      </c>
      <c r="AO255">
        <f>IF(OR(AO$4="",$A255&gt;TODAY()),0,IF(OR(INDEX($B255:$D255,AO$5)="F",AND(AO$6&gt;0,$A255&lt;AO$6),AND(AO$7&gt;0,$A255&gt;AO$7)),0,MAX(0,ROUND((INDEX($E255:$G255,AO$5)-SUMIFS(TF_Timer,TF_Tekniker,AO$4,TF_Dato,$A255))*2,0)/2)))</f>
        <v/>
      </c>
      <c r="AP255">
        <f>IF(OR(AP$4="",$A255&gt;TODAY()),0,IF(OR(INDEX($B255:$D255,AP$5)="F",AND(AP$6&gt;0,$A255&lt;AP$6),AND(AP$7&gt;0,$A255&gt;AP$7)),0,MAX(0,ROUND((INDEX($E255:$G255,AP$5)-SUMIFS(TF_Timer,TF_Tekniker,AP$4,TF_Dato,$A255))*2,0)/2)))</f>
        <v/>
      </c>
      <c r="AQ255">
        <f>IF(OR(AQ$4="",$A255&gt;TODAY()),0,IF(OR(INDEX($B255:$D255,AQ$5)="F",AND(AQ$6&gt;0,$A255&lt;AQ$6),AND(AQ$7&gt;0,$A255&gt;AQ$7)),0,MAX(0,ROUND((INDEX($E255:$G255,AQ$5)-SUMIFS(TF_Timer,TF_Tekniker,AQ$4,TF_Dato,$A255))*2,0)/2)))</f>
        <v/>
      </c>
      <c r="AR255">
        <f>IF(OR(AR$4="",$A255&gt;TODAY()),0,IF(OR(INDEX($B255:$D255,AR$5)="F",AND(AR$6&gt;0,$A255&lt;AR$6),AND(AR$7&gt;0,$A255&gt;AR$7)),0,MAX(0,ROUND((INDEX($E255:$G255,AR$5)-SUMIFS(TF_Timer,TF_Tekniker,AR$4,TF_Dato,$A255))*2,0)/2)))</f>
        <v/>
      </c>
      <c r="AS255">
        <f>IF(OR(AS$4="",$A255&gt;TODAY()),0,IF(OR(INDEX($B255:$D255,AS$5)="F",AND(AS$6&gt;0,$A255&lt;AS$6),AND(AS$7&gt;0,$A255&gt;AS$7)),0,MAX(0,ROUND((INDEX($E255:$G255,AS$5)-SUMIFS(TF_Timer,TF_Tekniker,AS$4,TF_Dato,$A255))*2,0)/2)))</f>
        <v/>
      </c>
      <c r="AT255">
        <f>IF(OR(AT$4="",$A255&gt;TODAY()),0,IF(OR(INDEX($B255:$D255,AT$5)="F",AND(AT$6&gt;0,$A255&lt;AT$6),AND(AT$7&gt;0,$A255&gt;AT$7)),0,MAX(0,ROUND((INDEX($E255:$G255,AT$5)-SUMIFS(TF_Timer,TF_Tekniker,AT$4,TF_Dato,$A255))*2,0)/2)))</f>
        <v/>
      </c>
      <c r="AU255">
        <f>IF(OR(AU$4="",$A255&gt;TODAY()),0,IF(OR(INDEX($B255:$D255,AU$5)="F",AND(AU$6&gt;0,$A255&lt;AU$6),AND(AU$7&gt;0,$A255&gt;AU$7)),0,MAX(0,ROUND((INDEX($E255:$G255,AU$5)-SUMIFS(TF_Timer,TF_Tekniker,AU$4,TF_Dato,$A255))*2,0)/2)))</f>
        <v/>
      </c>
      <c r="AV255">
        <f>IF(OR(AV$4="",$A255&gt;TODAY()),0,IF(OR(INDEX($B255:$D255,AV$5)="F",AND(AV$6&gt;0,$A255&lt;AV$6),AND(AV$7&gt;0,$A255&gt;AV$7)),0,MAX(0,ROUND((INDEX($E255:$G255,AV$5)-SUMIFS(TF_Timer,TF_Tekniker,AV$4,TF_Dato,$A255))*2,0)/2)))</f>
        <v/>
      </c>
      <c r="AW255">
        <f>IF(OR(AW$4="",$A255&gt;TODAY()),0,IF(OR(INDEX($B255:$D255,AW$5)="F",AND(AW$6&gt;0,$A255&lt;AW$6),AND(AW$7&gt;0,$A255&gt;AW$7)),0,MAX(0,ROUND((INDEX($E255:$G255,AW$5)-SUMIFS(TF_Timer,TF_Tekniker,AW$4,TF_Dato,$A255))*2,0)/2)))</f>
        <v/>
      </c>
      <c r="AX255">
        <f>IF(OR(AX$4="",$A255&gt;TODAY()),0,IF(OR(INDEX($B255:$D255,AX$5)="F",AND(AX$6&gt;0,$A255&lt;AX$6),AND(AX$7&gt;0,$A255&gt;AX$7)),0,MAX(0,ROUND((INDEX($E255:$G255,AX$5)-SUMIFS(TF_Timer,TF_Tekniker,AX$4,TF_Dato,$A255))*2,0)/2)))</f>
        <v/>
      </c>
      <c r="AY255">
        <f>IF(OR(AY$4="",$A255&gt;TODAY()),0,IF(OR(INDEX($B255:$D255,AY$5)="F",AND(AY$6&gt;0,$A255&lt;AY$6),AND(AY$7&gt;0,$A255&gt;AY$7)),0,MAX(0,ROUND((INDEX($E255:$G255,AY$5)-SUMIFS(TF_Timer,TF_Tekniker,AY$4,TF_Dato,$A255))*2,0)/2)))</f>
        <v/>
      </c>
      <c r="AZ255">
        <f>IF(OR(AZ$4="",$A255&gt;TODAY()),0,IF(OR(INDEX($B255:$D255,AZ$5)="F",AND(AZ$6&gt;0,$A255&lt;AZ$6),AND(AZ$7&gt;0,$A255&gt;AZ$7)),0,MAX(0,ROUND((INDEX($E255:$G255,AZ$5)-SUMIFS(TF_Timer,TF_Tekniker,AZ$4,TF_Dato,$A255))*2,0)/2)))</f>
        <v/>
      </c>
      <c r="BA255">
        <f>IF(OR(BA$4="",$A255&gt;TODAY()),0,IF(OR(INDEX($B255:$D255,BA$5)="F",AND(BA$6&gt;0,$A255&lt;BA$6),AND(BA$7&gt;0,$A255&gt;BA$7)),0,MAX(0,ROUND((INDEX($E255:$G255,BA$5)-SUMIFS(TF_Timer,TF_Tekniker,BA$4,TF_Dato,$A255))*2,0)/2)))</f>
        <v/>
      </c>
      <c r="BB255">
        <f>IF(OR(BB$4="",$A255&gt;TODAY()),0,IF(OR(INDEX($B255:$D255,BB$5)="F",AND(BB$6&gt;0,$A255&lt;BB$6),AND(BB$7&gt;0,$A255&gt;BB$7)),0,MAX(0,ROUND((INDEX($E255:$G255,BB$5)-SUMIFS(TF_Timer,TF_Tekniker,BB$4,TF_Dato,$A255))*2,0)/2)))</f>
        <v/>
      </c>
      <c r="BC255">
        <f>IF(OR(BC$4="",$A255&gt;TODAY()),0,IF(OR(INDEX($B255:$D255,BC$5)="F",AND(BC$6&gt;0,$A255&lt;BC$6),AND(BC$7&gt;0,$A255&gt;BC$7)),0,MAX(0,ROUND((INDEX($E255:$G255,BC$5)-SUMIFS(TF_Timer,TF_Tekniker,BC$4,TF_Dato,$A255))*2,0)/2)))</f>
        <v/>
      </c>
      <c r="BD255">
        <f>IF(OR(BD$4="",$A255&gt;TODAY()),0,IF(OR(INDEX($B255:$D255,BD$5)="F",AND(BD$6&gt;0,$A255&lt;BD$6),AND(BD$7&gt;0,$A255&gt;BD$7)),0,MAX(0,ROUND((INDEX($E255:$G255,BD$5)-SUMIFS(TF_Timer,TF_Tekniker,BD$4,TF_Dato,$A255))*2,0)/2)))</f>
        <v/>
      </c>
      <c r="BE255">
        <f>IF(OR(BE$4="",$A255&gt;TODAY()),0,IF(OR(INDEX($B255:$D255,BE$5)="F",AND(BE$6&gt;0,$A255&lt;BE$6),AND(BE$7&gt;0,$A255&gt;BE$7)),0,MAX(0,ROUND((INDEX($E255:$G255,BE$5)-SUMIFS(TF_Timer,TF_Tekniker,BE$4,TF_Dato,$A255))*2,0)/2)))</f>
        <v/>
      </c>
      <c r="BF255">
        <f>IF(OR(BF$4="",$A255&gt;TODAY()),0,IF(OR(INDEX($B255:$D255,BF$5)="F",AND(BF$6&gt;0,$A255&lt;BF$6),AND(BF$7&gt;0,$A255&gt;BF$7)),0,MAX(0,ROUND((INDEX($E255:$G255,BF$5)-SUMIFS(TF_Timer,TF_Tekniker,BF$4,TF_Dato,$A255))*2,0)/2)))</f>
        <v/>
      </c>
      <c r="BG255">
        <f>IF(OR(BG$4="",$A255&gt;TODAY()),0,IF(OR(INDEX($B255:$D255,BG$5)="F",AND(BG$6&gt;0,$A255&lt;BG$6),AND(BG$7&gt;0,$A255&gt;BG$7)),0,MAX(0,ROUND((INDEX($E255:$G255,BG$5)-SUMIFS(TF_Timer,TF_Tekniker,BG$4,TF_Dato,$A255))*2,0)/2)))</f>
        <v/>
      </c>
      <c r="BH255">
        <f>IF(OR(BH$4="",$A255&gt;TODAY()),0,IF(OR(INDEX($B255:$D255,BH$5)="F",AND(BH$6&gt;0,$A255&lt;BH$6),AND(BH$7&gt;0,$A255&gt;BH$7)),0,MAX(0,ROUND((INDEX($E255:$G255,BH$5)-SUMIFS(TF_Timer,TF_Tekniker,BH$4,TF_Dato,$A255))*2,0)/2)))</f>
        <v/>
      </c>
      <c r="BI255">
        <f>IF(OR(BI$4="",$A255&gt;TODAY()),0,IF(OR(INDEX($B255:$D255,BI$5)="F",AND(BI$6&gt;0,$A255&lt;BI$6),AND(BI$7&gt;0,$A255&gt;BI$7)),0,MAX(0,ROUND((INDEX($E255:$G255,BI$5)-SUMIFS(TF_Timer,TF_Tekniker,BI$4,TF_Dato,$A255))*2,0)/2)))</f>
        <v/>
      </c>
    </row>
    <row r="256">
      <c r="A256" s="64">
        <f>A255+1</f>
        <v/>
      </c>
      <c r="B256">
        <f>IF(MOD($A256-INDEX(SkiftStart,1),Syklus)&lt;DagK,"K",IF(MOD($A256-INDEX(SkiftStart,1),Syklus)&lt;DagK+DagH,"H",IF(MOD($A256-INDEX(SkiftStart,1),Syklus)&lt;DagK+DagH+DagD,"D","F")))</f>
        <v/>
      </c>
      <c r="C256">
        <f>IF(MOD($A256-INDEX(SkiftStart,2),Syklus)&lt;DagK,"K",IF(MOD($A256-INDEX(SkiftStart,2),Syklus)&lt;DagK+DagH,"H",IF(MOD($A256-INDEX(SkiftStart,2),Syklus)&lt;DagK+DagH+DagD,"D","F")))</f>
        <v/>
      </c>
      <c r="D256">
        <f>IF(MOD($A256-INDEX(SkiftStart,3),Syklus)&lt;DagK,"K",IF(MOD($A256-INDEX(SkiftStart,3),Syklus)&lt;DagK+DagH,"H",IF(MOD($A256-INDEX(SkiftStart,3),Syklus)&lt;DagK+DagH+DagD,"D","F")))</f>
        <v/>
      </c>
      <c r="E256">
        <f>IF(B256="F",0,IF(WEEKDAY($A256,2)=5,INDEX(TimerFr,MATCH(B256,FaseKode,0)),INDEX(TimerMT,MATCH(B256,FaseKode,0))))</f>
        <v/>
      </c>
      <c r="F256">
        <f>IF(C256="F",0,IF(WEEKDAY($A256,2)=5,INDEX(TimerFr,MATCH(C256,FaseKode,0)),INDEX(TimerMT,MATCH(C256,FaseKode,0))))</f>
        <v/>
      </c>
      <c r="G256">
        <f>IF(D256="F",0,IF(WEEKDAY($A256,2)=5,INDEX(TimerFr,MATCH(D256,FaseKode,0)),INDEX(TimerMT,MATCH(D256,FaseKode,0))))</f>
        <v/>
      </c>
      <c r="H256">
        <f>IF(OR(H$4="",$A256&gt;TODAY()),0,IF(OR(INDEX($B256:$D256,H$5)="F",AND(H$6&gt;0,$A256&lt;H$6),AND(H$7&gt;0,$A256&gt;H$7)),0,MAX(0,ROUND((INDEX($E256:$G256,H$5)-SUMIFS(TF_Timer,TF_Tekniker,H$4,TF_Dato,$A256))*2,0)/2)))</f>
        <v/>
      </c>
      <c r="I256">
        <f>IF(OR(I$4="",$A256&gt;TODAY()),0,IF(OR(INDEX($B256:$D256,I$5)="F",AND(I$6&gt;0,$A256&lt;I$6),AND(I$7&gt;0,$A256&gt;I$7)),0,MAX(0,ROUND((INDEX($E256:$G256,I$5)-SUMIFS(TF_Timer,TF_Tekniker,I$4,TF_Dato,$A256))*2,0)/2)))</f>
        <v/>
      </c>
      <c r="J256">
        <f>IF(OR(J$4="",$A256&gt;TODAY()),0,IF(OR(INDEX($B256:$D256,J$5)="F",AND(J$6&gt;0,$A256&lt;J$6),AND(J$7&gt;0,$A256&gt;J$7)),0,MAX(0,ROUND((INDEX($E256:$G256,J$5)-SUMIFS(TF_Timer,TF_Tekniker,J$4,TF_Dato,$A256))*2,0)/2)))</f>
        <v/>
      </c>
      <c r="K256">
        <f>IF(OR(K$4="",$A256&gt;TODAY()),0,IF(OR(INDEX($B256:$D256,K$5)="F",AND(K$6&gt;0,$A256&lt;K$6),AND(K$7&gt;0,$A256&gt;K$7)),0,MAX(0,ROUND((INDEX($E256:$G256,K$5)-SUMIFS(TF_Timer,TF_Tekniker,K$4,TF_Dato,$A256))*2,0)/2)))</f>
        <v/>
      </c>
      <c r="L256">
        <f>IF(OR(L$4="",$A256&gt;TODAY()),0,IF(OR(INDEX($B256:$D256,L$5)="F",AND(L$6&gt;0,$A256&lt;L$6),AND(L$7&gt;0,$A256&gt;L$7)),0,MAX(0,ROUND((INDEX($E256:$G256,L$5)-SUMIFS(TF_Timer,TF_Tekniker,L$4,TF_Dato,$A256))*2,0)/2)))</f>
        <v/>
      </c>
      <c r="M256">
        <f>IF(OR(M$4="",$A256&gt;TODAY()),0,IF(OR(INDEX($B256:$D256,M$5)="F",AND(M$6&gt;0,$A256&lt;M$6),AND(M$7&gt;0,$A256&gt;M$7)),0,MAX(0,ROUND((INDEX($E256:$G256,M$5)-SUMIFS(TF_Timer,TF_Tekniker,M$4,TF_Dato,$A256))*2,0)/2)))</f>
        <v/>
      </c>
      <c r="N256">
        <f>IF(OR(N$4="",$A256&gt;TODAY()),0,IF(OR(INDEX($B256:$D256,N$5)="F",AND(N$6&gt;0,$A256&lt;N$6),AND(N$7&gt;0,$A256&gt;N$7)),0,MAX(0,ROUND((INDEX($E256:$G256,N$5)-SUMIFS(TF_Timer,TF_Tekniker,N$4,TF_Dato,$A256))*2,0)/2)))</f>
        <v/>
      </c>
      <c r="O256">
        <f>IF(OR(O$4="",$A256&gt;TODAY()),0,IF(OR(INDEX($B256:$D256,O$5)="F",AND(O$6&gt;0,$A256&lt;O$6),AND(O$7&gt;0,$A256&gt;O$7)),0,MAX(0,ROUND((INDEX($E256:$G256,O$5)-SUMIFS(TF_Timer,TF_Tekniker,O$4,TF_Dato,$A256))*2,0)/2)))</f>
        <v/>
      </c>
      <c r="P256">
        <f>IF(OR(P$4="",$A256&gt;TODAY()),0,IF(OR(INDEX($B256:$D256,P$5)="F",AND(P$6&gt;0,$A256&lt;P$6),AND(P$7&gt;0,$A256&gt;P$7)),0,MAX(0,ROUND((INDEX($E256:$G256,P$5)-SUMIFS(TF_Timer,TF_Tekniker,P$4,TF_Dato,$A256))*2,0)/2)))</f>
        <v/>
      </c>
      <c r="Q256">
        <f>IF(OR(Q$4="",$A256&gt;TODAY()),0,IF(OR(INDEX($B256:$D256,Q$5)="F",AND(Q$6&gt;0,$A256&lt;Q$6),AND(Q$7&gt;0,$A256&gt;Q$7)),0,MAX(0,ROUND((INDEX($E256:$G256,Q$5)-SUMIFS(TF_Timer,TF_Tekniker,Q$4,TF_Dato,$A256))*2,0)/2)))</f>
        <v/>
      </c>
      <c r="R256">
        <f>IF(OR(R$4="",$A256&gt;TODAY()),0,IF(OR(INDEX($B256:$D256,R$5)="F",AND(R$6&gt;0,$A256&lt;R$6),AND(R$7&gt;0,$A256&gt;R$7)),0,MAX(0,ROUND((INDEX($E256:$G256,R$5)-SUMIFS(TF_Timer,TF_Tekniker,R$4,TF_Dato,$A256))*2,0)/2)))</f>
        <v/>
      </c>
      <c r="S256">
        <f>IF(OR(S$4="",$A256&gt;TODAY()),0,IF(OR(INDEX($B256:$D256,S$5)="F",AND(S$6&gt;0,$A256&lt;S$6),AND(S$7&gt;0,$A256&gt;S$7)),0,MAX(0,ROUND((INDEX($E256:$G256,S$5)-SUMIFS(TF_Timer,TF_Tekniker,S$4,TF_Dato,$A256))*2,0)/2)))</f>
        <v/>
      </c>
      <c r="T256">
        <f>IF(OR(T$4="",$A256&gt;TODAY()),0,IF(OR(INDEX($B256:$D256,T$5)="F",AND(T$6&gt;0,$A256&lt;T$6),AND(T$7&gt;0,$A256&gt;T$7)),0,MAX(0,ROUND((INDEX($E256:$G256,T$5)-SUMIFS(TF_Timer,TF_Tekniker,T$4,TF_Dato,$A256))*2,0)/2)))</f>
        <v/>
      </c>
      <c r="U256">
        <f>IF(OR(U$4="",$A256&gt;TODAY()),0,IF(OR(INDEX($B256:$D256,U$5)="F",AND(U$6&gt;0,$A256&lt;U$6),AND(U$7&gt;0,$A256&gt;U$7)),0,MAX(0,ROUND((INDEX($E256:$G256,U$5)-SUMIFS(TF_Timer,TF_Tekniker,U$4,TF_Dato,$A256))*2,0)/2)))</f>
        <v/>
      </c>
      <c r="V256">
        <f>IF(OR(V$4="",$A256&gt;TODAY()),0,IF(OR(INDEX($B256:$D256,V$5)="F",AND(V$6&gt;0,$A256&lt;V$6),AND(V$7&gt;0,$A256&gt;V$7)),0,MAX(0,ROUND((INDEX($E256:$G256,V$5)-SUMIFS(TF_Timer,TF_Tekniker,V$4,TF_Dato,$A256))*2,0)/2)))</f>
        <v/>
      </c>
      <c r="W256">
        <f>IF(OR(W$4="",$A256&gt;TODAY()),0,IF(OR(INDEX($B256:$D256,W$5)="F",AND(W$6&gt;0,$A256&lt;W$6),AND(W$7&gt;0,$A256&gt;W$7)),0,MAX(0,ROUND((INDEX($E256:$G256,W$5)-SUMIFS(TF_Timer,TF_Tekniker,W$4,TF_Dato,$A256))*2,0)/2)))</f>
        <v/>
      </c>
      <c r="X256">
        <f>IF(OR(X$4="",$A256&gt;TODAY()),0,IF(OR(INDEX($B256:$D256,X$5)="F",AND(X$6&gt;0,$A256&lt;X$6),AND(X$7&gt;0,$A256&gt;X$7)),0,MAX(0,ROUND((INDEX($E256:$G256,X$5)-SUMIFS(TF_Timer,TF_Tekniker,X$4,TF_Dato,$A256))*2,0)/2)))</f>
        <v/>
      </c>
      <c r="Y256">
        <f>IF(OR(Y$4="",$A256&gt;TODAY()),0,IF(OR(INDEX($B256:$D256,Y$5)="F",AND(Y$6&gt;0,$A256&lt;Y$6),AND(Y$7&gt;0,$A256&gt;Y$7)),0,MAX(0,ROUND((INDEX($E256:$G256,Y$5)-SUMIFS(TF_Timer,TF_Tekniker,Y$4,TF_Dato,$A256))*2,0)/2)))</f>
        <v/>
      </c>
      <c r="Z256">
        <f>IF(OR(Z$4="",$A256&gt;TODAY()),0,IF(OR(INDEX($B256:$D256,Z$5)="F",AND(Z$6&gt;0,$A256&lt;Z$6),AND(Z$7&gt;0,$A256&gt;Z$7)),0,MAX(0,ROUND((INDEX($E256:$G256,Z$5)-SUMIFS(TF_Timer,TF_Tekniker,Z$4,TF_Dato,$A256))*2,0)/2)))</f>
        <v/>
      </c>
      <c r="AA256">
        <f>IF(OR(AA$4="",$A256&gt;TODAY()),0,IF(OR(INDEX($B256:$D256,AA$5)="F",AND(AA$6&gt;0,$A256&lt;AA$6),AND(AA$7&gt;0,$A256&gt;AA$7)),0,MAX(0,ROUND((INDEX($E256:$G256,AA$5)-SUMIFS(TF_Timer,TF_Tekniker,AA$4,TF_Dato,$A256))*2,0)/2)))</f>
        <v/>
      </c>
      <c r="AB256">
        <f>IF(OR(AB$4="",$A256&gt;TODAY()),0,IF(OR(INDEX($B256:$D256,AB$5)="F",AND(AB$6&gt;0,$A256&lt;AB$6),AND(AB$7&gt;0,$A256&gt;AB$7)),0,MAX(0,ROUND((INDEX($E256:$G256,AB$5)-SUMIFS(TF_Timer,TF_Tekniker,AB$4,TF_Dato,$A256))*2,0)/2)))</f>
        <v/>
      </c>
      <c r="AC256">
        <f>IF(OR(AC$4="",$A256&gt;TODAY()),0,IF(OR(INDEX($B256:$D256,AC$5)="F",AND(AC$6&gt;0,$A256&lt;AC$6),AND(AC$7&gt;0,$A256&gt;AC$7)),0,MAX(0,ROUND((INDEX($E256:$G256,AC$5)-SUMIFS(TF_Timer,TF_Tekniker,AC$4,TF_Dato,$A256))*2,0)/2)))</f>
        <v/>
      </c>
      <c r="AD256">
        <f>IF(OR(AD$4="",$A256&gt;TODAY()),0,IF(OR(INDEX($B256:$D256,AD$5)="F",AND(AD$6&gt;0,$A256&lt;AD$6),AND(AD$7&gt;0,$A256&gt;AD$7)),0,MAX(0,ROUND((INDEX($E256:$G256,AD$5)-SUMIFS(TF_Timer,TF_Tekniker,AD$4,TF_Dato,$A256))*2,0)/2)))</f>
        <v/>
      </c>
      <c r="AE256">
        <f>IF(OR(AE$4="",$A256&gt;TODAY()),0,IF(OR(INDEX($B256:$D256,AE$5)="F",AND(AE$6&gt;0,$A256&lt;AE$6),AND(AE$7&gt;0,$A256&gt;AE$7)),0,MAX(0,ROUND((INDEX($E256:$G256,AE$5)-SUMIFS(TF_Timer,TF_Tekniker,AE$4,TF_Dato,$A256))*2,0)/2)))</f>
        <v/>
      </c>
      <c r="AF256">
        <f>IF(OR(AF$4="",$A256&gt;TODAY()),0,IF(OR(INDEX($B256:$D256,AF$5)="F",AND(AF$6&gt;0,$A256&lt;AF$6),AND(AF$7&gt;0,$A256&gt;AF$7)),0,MAX(0,ROUND((INDEX($E256:$G256,AF$5)-SUMIFS(TF_Timer,TF_Tekniker,AF$4,TF_Dato,$A256))*2,0)/2)))</f>
        <v/>
      </c>
      <c r="AG256">
        <f>IF(OR(AG$4="",$A256&gt;TODAY()),0,IF(OR(INDEX($B256:$D256,AG$5)="F",AND(AG$6&gt;0,$A256&lt;AG$6),AND(AG$7&gt;0,$A256&gt;AG$7)),0,MAX(0,ROUND((INDEX($E256:$G256,AG$5)-SUMIFS(TF_Timer,TF_Tekniker,AG$4,TF_Dato,$A256))*2,0)/2)))</f>
        <v/>
      </c>
      <c r="AH256">
        <f>IF(OR(AH$4="",$A256&gt;TODAY()),0,IF(OR(INDEX($B256:$D256,AH$5)="F",AND(AH$6&gt;0,$A256&lt;AH$6),AND(AH$7&gt;0,$A256&gt;AH$7)),0,MAX(0,ROUND((INDEX($E256:$G256,AH$5)-SUMIFS(TF_Timer,TF_Tekniker,AH$4,TF_Dato,$A256))*2,0)/2)))</f>
        <v/>
      </c>
      <c r="AI256">
        <f>IF(OR(AI$4="",$A256&gt;TODAY()),0,IF(OR(INDEX($B256:$D256,AI$5)="F",AND(AI$6&gt;0,$A256&lt;AI$6),AND(AI$7&gt;0,$A256&gt;AI$7)),0,MAX(0,ROUND((INDEX($E256:$G256,AI$5)-SUMIFS(TF_Timer,TF_Tekniker,AI$4,TF_Dato,$A256))*2,0)/2)))</f>
        <v/>
      </c>
      <c r="AJ256">
        <f>IF(OR(AJ$4="",$A256&gt;TODAY()),0,IF(OR(INDEX($B256:$D256,AJ$5)="F",AND(AJ$6&gt;0,$A256&lt;AJ$6),AND(AJ$7&gt;0,$A256&gt;AJ$7)),0,MAX(0,ROUND((INDEX($E256:$G256,AJ$5)-SUMIFS(TF_Timer,TF_Tekniker,AJ$4,TF_Dato,$A256))*2,0)/2)))</f>
        <v/>
      </c>
      <c r="AK256">
        <f>IF(OR(AK$4="",$A256&gt;TODAY()),0,IF(OR(INDEX($B256:$D256,AK$5)="F",AND(AK$6&gt;0,$A256&lt;AK$6),AND(AK$7&gt;0,$A256&gt;AK$7)),0,MAX(0,ROUND((INDEX($E256:$G256,AK$5)-SUMIFS(TF_Timer,TF_Tekniker,AK$4,TF_Dato,$A256))*2,0)/2)))</f>
        <v/>
      </c>
      <c r="AL256">
        <f>IF(OR(AL$4="",$A256&gt;TODAY()),0,IF(OR(INDEX($B256:$D256,AL$5)="F",AND(AL$6&gt;0,$A256&lt;AL$6),AND(AL$7&gt;0,$A256&gt;AL$7)),0,MAX(0,ROUND((INDEX($E256:$G256,AL$5)-SUMIFS(TF_Timer,TF_Tekniker,AL$4,TF_Dato,$A256))*2,0)/2)))</f>
        <v/>
      </c>
      <c r="AM256">
        <f>IF(OR(AM$4="",$A256&gt;TODAY()),0,IF(OR(INDEX($B256:$D256,AM$5)="F",AND(AM$6&gt;0,$A256&lt;AM$6),AND(AM$7&gt;0,$A256&gt;AM$7)),0,MAX(0,ROUND((INDEX($E256:$G256,AM$5)-SUMIFS(TF_Timer,TF_Tekniker,AM$4,TF_Dato,$A256))*2,0)/2)))</f>
        <v/>
      </c>
      <c r="AN256">
        <f>IF(OR(AN$4="",$A256&gt;TODAY()),0,IF(OR(INDEX($B256:$D256,AN$5)="F",AND(AN$6&gt;0,$A256&lt;AN$6),AND(AN$7&gt;0,$A256&gt;AN$7)),0,MAX(0,ROUND((INDEX($E256:$G256,AN$5)-SUMIFS(TF_Timer,TF_Tekniker,AN$4,TF_Dato,$A256))*2,0)/2)))</f>
        <v/>
      </c>
      <c r="AO256">
        <f>IF(OR(AO$4="",$A256&gt;TODAY()),0,IF(OR(INDEX($B256:$D256,AO$5)="F",AND(AO$6&gt;0,$A256&lt;AO$6),AND(AO$7&gt;0,$A256&gt;AO$7)),0,MAX(0,ROUND((INDEX($E256:$G256,AO$5)-SUMIFS(TF_Timer,TF_Tekniker,AO$4,TF_Dato,$A256))*2,0)/2)))</f>
        <v/>
      </c>
      <c r="AP256">
        <f>IF(OR(AP$4="",$A256&gt;TODAY()),0,IF(OR(INDEX($B256:$D256,AP$5)="F",AND(AP$6&gt;0,$A256&lt;AP$6),AND(AP$7&gt;0,$A256&gt;AP$7)),0,MAX(0,ROUND((INDEX($E256:$G256,AP$5)-SUMIFS(TF_Timer,TF_Tekniker,AP$4,TF_Dato,$A256))*2,0)/2)))</f>
        <v/>
      </c>
      <c r="AQ256">
        <f>IF(OR(AQ$4="",$A256&gt;TODAY()),0,IF(OR(INDEX($B256:$D256,AQ$5)="F",AND(AQ$6&gt;0,$A256&lt;AQ$6),AND(AQ$7&gt;0,$A256&gt;AQ$7)),0,MAX(0,ROUND((INDEX($E256:$G256,AQ$5)-SUMIFS(TF_Timer,TF_Tekniker,AQ$4,TF_Dato,$A256))*2,0)/2)))</f>
        <v/>
      </c>
      <c r="AR256">
        <f>IF(OR(AR$4="",$A256&gt;TODAY()),0,IF(OR(INDEX($B256:$D256,AR$5)="F",AND(AR$6&gt;0,$A256&lt;AR$6),AND(AR$7&gt;0,$A256&gt;AR$7)),0,MAX(0,ROUND((INDEX($E256:$G256,AR$5)-SUMIFS(TF_Timer,TF_Tekniker,AR$4,TF_Dato,$A256))*2,0)/2)))</f>
        <v/>
      </c>
      <c r="AS256">
        <f>IF(OR(AS$4="",$A256&gt;TODAY()),0,IF(OR(INDEX($B256:$D256,AS$5)="F",AND(AS$6&gt;0,$A256&lt;AS$6),AND(AS$7&gt;0,$A256&gt;AS$7)),0,MAX(0,ROUND((INDEX($E256:$G256,AS$5)-SUMIFS(TF_Timer,TF_Tekniker,AS$4,TF_Dato,$A256))*2,0)/2)))</f>
        <v/>
      </c>
      <c r="AT256">
        <f>IF(OR(AT$4="",$A256&gt;TODAY()),0,IF(OR(INDEX($B256:$D256,AT$5)="F",AND(AT$6&gt;0,$A256&lt;AT$6),AND(AT$7&gt;0,$A256&gt;AT$7)),0,MAX(0,ROUND((INDEX($E256:$G256,AT$5)-SUMIFS(TF_Timer,TF_Tekniker,AT$4,TF_Dato,$A256))*2,0)/2)))</f>
        <v/>
      </c>
      <c r="AU256">
        <f>IF(OR(AU$4="",$A256&gt;TODAY()),0,IF(OR(INDEX($B256:$D256,AU$5)="F",AND(AU$6&gt;0,$A256&lt;AU$6),AND(AU$7&gt;0,$A256&gt;AU$7)),0,MAX(0,ROUND((INDEX($E256:$G256,AU$5)-SUMIFS(TF_Timer,TF_Tekniker,AU$4,TF_Dato,$A256))*2,0)/2)))</f>
        <v/>
      </c>
      <c r="AV256">
        <f>IF(OR(AV$4="",$A256&gt;TODAY()),0,IF(OR(INDEX($B256:$D256,AV$5)="F",AND(AV$6&gt;0,$A256&lt;AV$6),AND(AV$7&gt;0,$A256&gt;AV$7)),0,MAX(0,ROUND((INDEX($E256:$G256,AV$5)-SUMIFS(TF_Timer,TF_Tekniker,AV$4,TF_Dato,$A256))*2,0)/2)))</f>
        <v/>
      </c>
      <c r="AW256">
        <f>IF(OR(AW$4="",$A256&gt;TODAY()),0,IF(OR(INDEX($B256:$D256,AW$5)="F",AND(AW$6&gt;0,$A256&lt;AW$6),AND(AW$7&gt;0,$A256&gt;AW$7)),0,MAX(0,ROUND((INDEX($E256:$G256,AW$5)-SUMIFS(TF_Timer,TF_Tekniker,AW$4,TF_Dato,$A256))*2,0)/2)))</f>
        <v/>
      </c>
      <c r="AX256">
        <f>IF(OR(AX$4="",$A256&gt;TODAY()),0,IF(OR(INDEX($B256:$D256,AX$5)="F",AND(AX$6&gt;0,$A256&lt;AX$6),AND(AX$7&gt;0,$A256&gt;AX$7)),0,MAX(0,ROUND((INDEX($E256:$G256,AX$5)-SUMIFS(TF_Timer,TF_Tekniker,AX$4,TF_Dato,$A256))*2,0)/2)))</f>
        <v/>
      </c>
      <c r="AY256">
        <f>IF(OR(AY$4="",$A256&gt;TODAY()),0,IF(OR(INDEX($B256:$D256,AY$5)="F",AND(AY$6&gt;0,$A256&lt;AY$6),AND(AY$7&gt;0,$A256&gt;AY$7)),0,MAX(0,ROUND((INDEX($E256:$G256,AY$5)-SUMIFS(TF_Timer,TF_Tekniker,AY$4,TF_Dato,$A256))*2,0)/2)))</f>
        <v/>
      </c>
      <c r="AZ256">
        <f>IF(OR(AZ$4="",$A256&gt;TODAY()),0,IF(OR(INDEX($B256:$D256,AZ$5)="F",AND(AZ$6&gt;0,$A256&lt;AZ$6),AND(AZ$7&gt;0,$A256&gt;AZ$7)),0,MAX(0,ROUND((INDEX($E256:$G256,AZ$5)-SUMIFS(TF_Timer,TF_Tekniker,AZ$4,TF_Dato,$A256))*2,0)/2)))</f>
        <v/>
      </c>
      <c r="BA256">
        <f>IF(OR(BA$4="",$A256&gt;TODAY()),0,IF(OR(INDEX($B256:$D256,BA$5)="F",AND(BA$6&gt;0,$A256&lt;BA$6),AND(BA$7&gt;0,$A256&gt;BA$7)),0,MAX(0,ROUND((INDEX($E256:$G256,BA$5)-SUMIFS(TF_Timer,TF_Tekniker,BA$4,TF_Dato,$A256))*2,0)/2)))</f>
        <v/>
      </c>
      <c r="BB256">
        <f>IF(OR(BB$4="",$A256&gt;TODAY()),0,IF(OR(INDEX($B256:$D256,BB$5)="F",AND(BB$6&gt;0,$A256&lt;BB$6),AND(BB$7&gt;0,$A256&gt;BB$7)),0,MAX(0,ROUND((INDEX($E256:$G256,BB$5)-SUMIFS(TF_Timer,TF_Tekniker,BB$4,TF_Dato,$A256))*2,0)/2)))</f>
        <v/>
      </c>
      <c r="BC256">
        <f>IF(OR(BC$4="",$A256&gt;TODAY()),0,IF(OR(INDEX($B256:$D256,BC$5)="F",AND(BC$6&gt;0,$A256&lt;BC$6),AND(BC$7&gt;0,$A256&gt;BC$7)),0,MAX(0,ROUND((INDEX($E256:$G256,BC$5)-SUMIFS(TF_Timer,TF_Tekniker,BC$4,TF_Dato,$A256))*2,0)/2)))</f>
        <v/>
      </c>
      <c r="BD256">
        <f>IF(OR(BD$4="",$A256&gt;TODAY()),0,IF(OR(INDEX($B256:$D256,BD$5)="F",AND(BD$6&gt;0,$A256&lt;BD$6),AND(BD$7&gt;0,$A256&gt;BD$7)),0,MAX(0,ROUND((INDEX($E256:$G256,BD$5)-SUMIFS(TF_Timer,TF_Tekniker,BD$4,TF_Dato,$A256))*2,0)/2)))</f>
        <v/>
      </c>
      <c r="BE256">
        <f>IF(OR(BE$4="",$A256&gt;TODAY()),0,IF(OR(INDEX($B256:$D256,BE$5)="F",AND(BE$6&gt;0,$A256&lt;BE$6),AND(BE$7&gt;0,$A256&gt;BE$7)),0,MAX(0,ROUND((INDEX($E256:$G256,BE$5)-SUMIFS(TF_Timer,TF_Tekniker,BE$4,TF_Dato,$A256))*2,0)/2)))</f>
        <v/>
      </c>
      <c r="BF256">
        <f>IF(OR(BF$4="",$A256&gt;TODAY()),0,IF(OR(INDEX($B256:$D256,BF$5)="F",AND(BF$6&gt;0,$A256&lt;BF$6),AND(BF$7&gt;0,$A256&gt;BF$7)),0,MAX(0,ROUND((INDEX($E256:$G256,BF$5)-SUMIFS(TF_Timer,TF_Tekniker,BF$4,TF_Dato,$A256))*2,0)/2)))</f>
        <v/>
      </c>
      <c r="BG256">
        <f>IF(OR(BG$4="",$A256&gt;TODAY()),0,IF(OR(INDEX($B256:$D256,BG$5)="F",AND(BG$6&gt;0,$A256&lt;BG$6),AND(BG$7&gt;0,$A256&gt;BG$7)),0,MAX(0,ROUND((INDEX($E256:$G256,BG$5)-SUMIFS(TF_Timer,TF_Tekniker,BG$4,TF_Dato,$A256))*2,0)/2)))</f>
        <v/>
      </c>
      <c r="BH256">
        <f>IF(OR(BH$4="",$A256&gt;TODAY()),0,IF(OR(INDEX($B256:$D256,BH$5)="F",AND(BH$6&gt;0,$A256&lt;BH$6),AND(BH$7&gt;0,$A256&gt;BH$7)),0,MAX(0,ROUND((INDEX($E256:$G256,BH$5)-SUMIFS(TF_Timer,TF_Tekniker,BH$4,TF_Dato,$A256))*2,0)/2)))</f>
        <v/>
      </c>
      <c r="BI256">
        <f>IF(OR(BI$4="",$A256&gt;TODAY()),0,IF(OR(INDEX($B256:$D256,BI$5)="F",AND(BI$6&gt;0,$A256&lt;BI$6),AND(BI$7&gt;0,$A256&gt;BI$7)),0,MAX(0,ROUND((INDEX($E256:$G256,BI$5)-SUMIFS(TF_Timer,TF_Tekniker,BI$4,TF_Dato,$A256))*2,0)/2)))</f>
        <v/>
      </c>
    </row>
    <row r="257">
      <c r="A257" s="64">
        <f>A256+1</f>
        <v/>
      </c>
      <c r="B257">
        <f>IF(MOD($A257-INDEX(SkiftStart,1),Syklus)&lt;DagK,"K",IF(MOD($A257-INDEX(SkiftStart,1),Syklus)&lt;DagK+DagH,"H",IF(MOD($A257-INDEX(SkiftStart,1),Syklus)&lt;DagK+DagH+DagD,"D","F")))</f>
        <v/>
      </c>
      <c r="C257">
        <f>IF(MOD($A257-INDEX(SkiftStart,2),Syklus)&lt;DagK,"K",IF(MOD($A257-INDEX(SkiftStart,2),Syklus)&lt;DagK+DagH,"H",IF(MOD($A257-INDEX(SkiftStart,2),Syklus)&lt;DagK+DagH+DagD,"D","F")))</f>
        <v/>
      </c>
      <c r="D257">
        <f>IF(MOD($A257-INDEX(SkiftStart,3),Syklus)&lt;DagK,"K",IF(MOD($A257-INDEX(SkiftStart,3),Syklus)&lt;DagK+DagH,"H",IF(MOD($A257-INDEX(SkiftStart,3),Syklus)&lt;DagK+DagH+DagD,"D","F")))</f>
        <v/>
      </c>
      <c r="E257">
        <f>IF(B257="F",0,IF(WEEKDAY($A257,2)=5,INDEX(TimerFr,MATCH(B257,FaseKode,0)),INDEX(TimerMT,MATCH(B257,FaseKode,0))))</f>
        <v/>
      </c>
      <c r="F257">
        <f>IF(C257="F",0,IF(WEEKDAY($A257,2)=5,INDEX(TimerFr,MATCH(C257,FaseKode,0)),INDEX(TimerMT,MATCH(C257,FaseKode,0))))</f>
        <v/>
      </c>
      <c r="G257">
        <f>IF(D257="F",0,IF(WEEKDAY($A257,2)=5,INDEX(TimerFr,MATCH(D257,FaseKode,0)),INDEX(TimerMT,MATCH(D257,FaseKode,0))))</f>
        <v/>
      </c>
      <c r="H257">
        <f>IF(OR(H$4="",$A257&gt;TODAY()),0,IF(OR(INDEX($B257:$D257,H$5)="F",AND(H$6&gt;0,$A257&lt;H$6),AND(H$7&gt;0,$A257&gt;H$7)),0,MAX(0,ROUND((INDEX($E257:$G257,H$5)-SUMIFS(TF_Timer,TF_Tekniker,H$4,TF_Dato,$A257))*2,0)/2)))</f>
        <v/>
      </c>
      <c r="I257">
        <f>IF(OR(I$4="",$A257&gt;TODAY()),0,IF(OR(INDEX($B257:$D257,I$5)="F",AND(I$6&gt;0,$A257&lt;I$6),AND(I$7&gt;0,$A257&gt;I$7)),0,MAX(0,ROUND((INDEX($E257:$G257,I$5)-SUMIFS(TF_Timer,TF_Tekniker,I$4,TF_Dato,$A257))*2,0)/2)))</f>
        <v/>
      </c>
      <c r="J257">
        <f>IF(OR(J$4="",$A257&gt;TODAY()),0,IF(OR(INDEX($B257:$D257,J$5)="F",AND(J$6&gt;0,$A257&lt;J$6),AND(J$7&gt;0,$A257&gt;J$7)),0,MAX(0,ROUND((INDEX($E257:$G257,J$5)-SUMIFS(TF_Timer,TF_Tekniker,J$4,TF_Dato,$A257))*2,0)/2)))</f>
        <v/>
      </c>
      <c r="K257">
        <f>IF(OR(K$4="",$A257&gt;TODAY()),0,IF(OR(INDEX($B257:$D257,K$5)="F",AND(K$6&gt;0,$A257&lt;K$6),AND(K$7&gt;0,$A257&gt;K$7)),0,MAX(0,ROUND((INDEX($E257:$G257,K$5)-SUMIFS(TF_Timer,TF_Tekniker,K$4,TF_Dato,$A257))*2,0)/2)))</f>
        <v/>
      </c>
      <c r="L257">
        <f>IF(OR(L$4="",$A257&gt;TODAY()),0,IF(OR(INDEX($B257:$D257,L$5)="F",AND(L$6&gt;0,$A257&lt;L$6),AND(L$7&gt;0,$A257&gt;L$7)),0,MAX(0,ROUND((INDEX($E257:$G257,L$5)-SUMIFS(TF_Timer,TF_Tekniker,L$4,TF_Dato,$A257))*2,0)/2)))</f>
        <v/>
      </c>
      <c r="M257">
        <f>IF(OR(M$4="",$A257&gt;TODAY()),0,IF(OR(INDEX($B257:$D257,M$5)="F",AND(M$6&gt;0,$A257&lt;M$6),AND(M$7&gt;0,$A257&gt;M$7)),0,MAX(0,ROUND((INDEX($E257:$G257,M$5)-SUMIFS(TF_Timer,TF_Tekniker,M$4,TF_Dato,$A257))*2,0)/2)))</f>
        <v/>
      </c>
      <c r="N257">
        <f>IF(OR(N$4="",$A257&gt;TODAY()),0,IF(OR(INDEX($B257:$D257,N$5)="F",AND(N$6&gt;0,$A257&lt;N$6),AND(N$7&gt;0,$A257&gt;N$7)),0,MAX(0,ROUND((INDEX($E257:$G257,N$5)-SUMIFS(TF_Timer,TF_Tekniker,N$4,TF_Dato,$A257))*2,0)/2)))</f>
        <v/>
      </c>
      <c r="O257">
        <f>IF(OR(O$4="",$A257&gt;TODAY()),0,IF(OR(INDEX($B257:$D257,O$5)="F",AND(O$6&gt;0,$A257&lt;O$6),AND(O$7&gt;0,$A257&gt;O$7)),0,MAX(0,ROUND((INDEX($E257:$G257,O$5)-SUMIFS(TF_Timer,TF_Tekniker,O$4,TF_Dato,$A257))*2,0)/2)))</f>
        <v/>
      </c>
      <c r="P257">
        <f>IF(OR(P$4="",$A257&gt;TODAY()),0,IF(OR(INDEX($B257:$D257,P$5)="F",AND(P$6&gt;0,$A257&lt;P$6),AND(P$7&gt;0,$A257&gt;P$7)),0,MAX(0,ROUND((INDEX($E257:$G257,P$5)-SUMIFS(TF_Timer,TF_Tekniker,P$4,TF_Dato,$A257))*2,0)/2)))</f>
        <v/>
      </c>
      <c r="Q257">
        <f>IF(OR(Q$4="",$A257&gt;TODAY()),0,IF(OR(INDEX($B257:$D257,Q$5)="F",AND(Q$6&gt;0,$A257&lt;Q$6),AND(Q$7&gt;0,$A257&gt;Q$7)),0,MAX(0,ROUND((INDEX($E257:$G257,Q$5)-SUMIFS(TF_Timer,TF_Tekniker,Q$4,TF_Dato,$A257))*2,0)/2)))</f>
        <v/>
      </c>
      <c r="R257">
        <f>IF(OR(R$4="",$A257&gt;TODAY()),0,IF(OR(INDEX($B257:$D257,R$5)="F",AND(R$6&gt;0,$A257&lt;R$6),AND(R$7&gt;0,$A257&gt;R$7)),0,MAX(0,ROUND((INDEX($E257:$G257,R$5)-SUMIFS(TF_Timer,TF_Tekniker,R$4,TF_Dato,$A257))*2,0)/2)))</f>
        <v/>
      </c>
      <c r="S257">
        <f>IF(OR(S$4="",$A257&gt;TODAY()),0,IF(OR(INDEX($B257:$D257,S$5)="F",AND(S$6&gt;0,$A257&lt;S$6),AND(S$7&gt;0,$A257&gt;S$7)),0,MAX(0,ROUND((INDEX($E257:$G257,S$5)-SUMIFS(TF_Timer,TF_Tekniker,S$4,TF_Dato,$A257))*2,0)/2)))</f>
        <v/>
      </c>
      <c r="T257">
        <f>IF(OR(T$4="",$A257&gt;TODAY()),0,IF(OR(INDEX($B257:$D257,T$5)="F",AND(T$6&gt;0,$A257&lt;T$6),AND(T$7&gt;0,$A257&gt;T$7)),0,MAX(0,ROUND((INDEX($E257:$G257,T$5)-SUMIFS(TF_Timer,TF_Tekniker,T$4,TF_Dato,$A257))*2,0)/2)))</f>
        <v/>
      </c>
      <c r="U257">
        <f>IF(OR(U$4="",$A257&gt;TODAY()),0,IF(OR(INDEX($B257:$D257,U$5)="F",AND(U$6&gt;0,$A257&lt;U$6),AND(U$7&gt;0,$A257&gt;U$7)),0,MAX(0,ROUND((INDEX($E257:$G257,U$5)-SUMIFS(TF_Timer,TF_Tekniker,U$4,TF_Dato,$A257))*2,0)/2)))</f>
        <v/>
      </c>
      <c r="V257">
        <f>IF(OR(V$4="",$A257&gt;TODAY()),0,IF(OR(INDEX($B257:$D257,V$5)="F",AND(V$6&gt;0,$A257&lt;V$6),AND(V$7&gt;0,$A257&gt;V$7)),0,MAX(0,ROUND((INDEX($E257:$G257,V$5)-SUMIFS(TF_Timer,TF_Tekniker,V$4,TF_Dato,$A257))*2,0)/2)))</f>
        <v/>
      </c>
      <c r="W257">
        <f>IF(OR(W$4="",$A257&gt;TODAY()),0,IF(OR(INDEX($B257:$D257,W$5)="F",AND(W$6&gt;0,$A257&lt;W$6),AND(W$7&gt;0,$A257&gt;W$7)),0,MAX(0,ROUND((INDEX($E257:$G257,W$5)-SUMIFS(TF_Timer,TF_Tekniker,W$4,TF_Dato,$A257))*2,0)/2)))</f>
        <v/>
      </c>
      <c r="X257">
        <f>IF(OR(X$4="",$A257&gt;TODAY()),0,IF(OR(INDEX($B257:$D257,X$5)="F",AND(X$6&gt;0,$A257&lt;X$6),AND(X$7&gt;0,$A257&gt;X$7)),0,MAX(0,ROUND((INDEX($E257:$G257,X$5)-SUMIFS(TF_Timer,TF_Tekniker,X$4,TF_Dato,$A257))*2,0)/2)))</f>
        <v/>
      </c>
      <c r="Y257">
        <f>IF(OR(Y$4="",$A257&gt;TODAY()),0,IF(OR(INDEX($B257:$D257,Y$5)="F",AND(Y$6&gt;0,$A257&lt;Y$6),AND(Y$7&gt;0,$A257&gt;Y$7)),0,MAX(0,ROUND((INDEX($E257:$G257,Y$5)-SUMIFS(TF_Timer,TF_Tekniker,Y$4,TF_Dato,$A257))*2,0)/2)))</f>
        <v/>
      </c>
      <c r="Z257">
        <f>IF(OR(Z$4="",$A257&gt;TODAY()),0,IF(OR(INDEX($B257:$D257,Z$5)="F",AND(Z$6&gt;0,$A257&lt;Z$6),AND(Z$7&gt;0,$A257&gt;Z$7)),0,MAX(0,ROUND((INDEX($E257:$G257,Z$5)-SUMIFS(TF_Timer,TF_Tekniker,Z$4,TF_Dato,$A257))*2,0)/2)))</f>
        <v/>
      </c>
      <c r="AA257">
        <f>IF(OR(AA$4="",$A257&gt;TODAY()),0,IF(OR(INDEX($B257:$D257,AA$5)="F",AND(AA$6&gt;0,$A257&lt;AA$6),AND(AA$7&gt;0,$A257&gt;AA$7)),0,MAX(0,ROUND((INDEX($E257:$G257,AA$5)-SUMIFS(TF_Timer,TF_Tekniker,AA$4,TF_Dato,$A257))*2,0)/2)))</f>
        <v/>
      </c>
      <c r="AB257">
        <f>IF(OR(AB$4="",$A257&gt;TODAY()),0,IF(OR(INDEX($B257:$D257,AB$5)="F",AND(AB$6&gt;0,$A257&lt;AB$6),AND(AB$7&gt;0,$A257&gt;AB$7)),0,MAX(0,ROUND((INDEX($E257:$G257,AB$5)-SUMIFS(TF_Timer,TF_Tekniker,AB$4,TF_Dato,$A257))*2,0)/2)))</f>
        <v/>
      </c>
      <c r="AC257">
        <f>IF(OR(AC$4="",$A257&gt;TODAY()),0,IF(OR(INDEX($B257:$D257,AC$5)="F",AND(AC$6&gt;0,$A257&lt;AC$6),AND(AC$7&gt;0,$A257&gt;AC$7)),0,MAX(0,ROUND((INDEX($E257:$G257,AC$5)-SUMIFS(TF_Timer,TF_Tekniker,AC$4,TF_Dato,$A257))*2,0)/2)))</f>
        <v/>
      </c>
      <c r="AD257">
        <f>IF(OR(AD$4="",$A257&gt;TODAY()),0,IF(OR(INDEX($B257:$D257,AD$5)="F",AND(AD$6&gt;0,$A257&lt;AD$6),AND(AD$7&gt;0,$A257&gt;AD$7)),0,MAX(0,ROUND((INDEX($E257:$G257,AD$5)-SUMIFS(TF_Timer,TF_Tekniker,AD$4,TF_Dato,$A257))*2,0)/2)))</f>
        <v/>
      </c>
      <c r="AE257">
        <f>IF(OR(AE$4="",$A257&gt;TODAY()),0,IF(OR(INDEX($B257:$D257,AE$5)="F",AND(AE$6&gt;0,$A257&lt;AE$6),AND(AE$7&gt;0,$A257&gt;AE$7)),0,MAX(0,ROUND((INDEX($E257:$G257,AE$5)-SUMIFS(TF_Timer,TF_Tekniker,AE$4,TF_Dato,$A257))*2,0)/2)))</f>
        <v/>
      </c>
      <c r="AF257">
        <f>IF(OR(AF$4="",$A257&gt;TODAY()),0,IF(OR(INDEX($B257:$D257,AF$5)="F",AND(AF$6&gt;0,$A257&lt;AF$6),AND(AF$7&gt;0,$A257&gt;AF$7)),0,MAX(0,ROUND((INDEX($E257:$G257,AF$5)-SUMIFS(TF_Timer,TF_Tekniker,AF$4,TF_Dato,$A257))*2,0)/2)))</f>
        <v/>
      </c>
      <c r="AG257">
        <f>IF(OR(AG$4="",$A257&gt;TODAY()),0,IF(OR(INDEX($B257:$D257,AG$5)="F",AND(AG$6&gt;0,$A257&lt;AG$6),AND(AG$7&gt;0,$A257&gt;AG$7)),0,MAX(0,ROUND((INDEX($E257:$G257,AG$5)-SUMIFS(TF_Timer,TF_Tekniker,AG$4,TF_Dato,$A257))*2,0)/2)))</f>
        <v/>
      </c>
      <c r="AH257">
        <f>IF(OR(AH$4="",$A257&gt;TODAY()),0,IF(OR(INDEX($B257:$D257,AH$5)="F",AND(AH$6&gt;0,$A257&lt;AH$6),AND(AH$7&gt;0,$A257&gt;AH$7)),0,MAX(0,ROUND((INDEX($E257:$G257,AH$5)-SUMIFS(TF_Timer,TF_Tekniker,AH$4,TF_Dato,$A257))*2,0)/2)))</f>
        <v/>
      </c>
      <c r="AI257">
        <f>IF(OR(AI$4="",$A257&gt;TODAY()),0,IF(OR(INDEX($B257:$D257,AI$5)="F",AND(AI$6&gt;0,$A257&lt;AI$6),AND(AI$7&gt;0,$A257&gt;AI$7)),0,MAX(0,ROUND((INDEX($E257:$G257,AI$5)-SUMIFS(TF_Timer,TF_Tekniker,AI$4,TF_Dato,$A257))*2,0)/2)))</f>
        <v/>
      </c>
      <c r="AJ257">
        <f>IF(OR(AJ$4="",$A257&gt;TODAY()),0,IF(OR(INDEX($B257:$D257,AJ$5)="F",AND(AJ$6&gt;0,$A257&lt;AJ$6),AND(AJ$7&gt;0,$A257&gt;AJ$7)),0,MAX(0,ROUND((INDEX($E257:$G257,AJ$5)-SUMIFS(TF_Timer,TF_Tekniker,AJ$4,TF_Dato,$A257))*2,0)/2)))</f>
        <v/>
      </c>
      <c r="AK257">
        <f>IF(OR(AK$4="",$A257&gt;TODAY()),0,IF(OR(INDEX($B257:$D257,AK$5)="F",AND(AK$6&gt;0,$A257&lt;AK$6),AND(AK$7&gt;0,$A257&gt;AK$7)),0,MAX(0,ROUND((INDEX($E257:$G257,AK$5)-SUMIFS(TF_Timer,TF_Tekniker,AK$4,TF_Dato,$A257))*2,0)/2)))</f>
        <v/>
      </c>
      <c r="AL257">
        <f>IF(OR(AL$4="",$A257&gt;TODAY()),0,IF(OR(INDEX($B257:$D257,AL$5)="F",AND(AL$6&gt;0,$A257&lt;AL$6),AND(AL$7&gt;0,$A257&gt;AL$7)),0,MAX(0,ROUND((INDEX($E257:$G257,AL$5)-SUMIFS(TF_Timer,TF_Tekniker,AL$4,TF_Dato,$A257))*2,0)/2)))</f>
        <v/>
      </c>
      <c r="AM257">
        <f>IF(OR(AM$4="",$A257&gt;TODAY()),0,IF(OR(INDEX($B257:$D257,AM$5)="F",AND(AM$6&gt;0,$A257&lt;AM$6),AND(AM$7&gt;0,$A257&gt;AM$7)),0,MAX(0,ROUND((INDEX($E257:$G257,AM$5)-SUMIFS(TF_Timer,TF_Tekniker,AM$4,TF_Dato,$A257))*2,0)/2)))</f>
        <v/>
      </c>
      <c r="AN257">
        <f>IF(OR(AN$4="",$A257&gt;TODAY()),0,IF(OR(INDEX($B257:$D257,AN$5)="F",AND(AN$6&gt;0,$A257&lt;AN$6),AND(AN$7&gt;0,$A257&gt;AN$7)),0,MAX(0,ROUND((INDEX($E257:$G257,AN$5)-SUMIFS(TF_Timer,TF_Tekniker,AN$4,TF_Dato,$A257))*2,0)/2)))</f>
        <v/>
      </c>
      <c r="AO257">
        <f>IF(OR(AO$4="",$A257&gt;TODAY()),0,IF(OR(INDEX($B257:$D257,AO$5)="F",AND(AO$6&gt;0,$A257&lt;AO$6),AND(AO$7&gt;0,$A257&gt;AO$7)),0,MAX(0,ROUND((INDEX($E257:$G257,AO$5)-SUMIFS(TF_Timer,TF_Tekniker,AO$4,TF_Dato,$A257))*2,0)/2)))</f>
        <v/>
      </c>
      <c r="AP257">
        <f>IF(OR(AP$4="",$A257&gt;TODAY()),0,IF(OR(INDEX($B257:$D257,AP$5)="F",AND(AP$6&gt;0,$A257&lt;AP$6),AND(AP$7&gt;0,$A257&gt;AP$7)),0,MAX(0,ROUND((INDEX($E257:$G257,AP$5)-SUMIFS(TF_Timer,TF_Tekniker,AP$4,TF_Dato,$A257))*2,0)/2)))</f>
        <v/>
      </c>
      <c r="AQ257">
        <f>IF(OR(AQ$4="",$A257&gt;TODAY()),0,IF(OR(INDEX($B257:$D257,AQ$5)="F",AND(AQ$6&gt;0,$A257&lt;AQ$6),AND(AQ$7&gt;0,$A257&gt;AQ$7)),0,MAX(0,ROUND((INDEX($E257:$G257,AQ$5)-SUMIFS(TF_Timer,TF_Tekniker,AQ$4,TF_Dato,$A257))*2,0)/2)))</f>
        <v/>
      </c>
      <c r="AR257">
        <f>IF(OR(AR$4="",$A257&gt;TODAY()),0,IF(OR(INDEX($B257:$D257,AR$5)="F",AND(AR$6&gt;0,$A257&lt;AR$6),AND(AR$7&gt;0,$A257&gt;AR$7)),0,MAX(0,ROUND((INDEX($E257:$G257,AR$5)-SUMIFS(TF_Timer,TF_Tekniker,AR$4,TF_Dato,$A257))*2,0)/2)))</f>
        <v/>
      </c>
      <c r="AS257">
        <f>IF(OR(AS$4="",$A257&gt;TODAY()),0,IF(OR(INDEX($B257:$D257,AS$5)="F",AND(AS$6&gt;0,$A257&lt;AS$6),AND(AS$7&gt;0,$A257&gt;AS$7)),0,MAX(0,ROUND((INDEX($E257:$G257,AS$5)-SUMIFS(TF_Timer,TF_Tekniker,AS$4,TF_Dato,$A257))*2,0)/2)))</f>
        <v/>
      </c>
      <c r="AT257">
        <f>IF(OR(AT$4="",$A257&gt;TODAY()),0,IF(OR(INDEX($B257:$D257,AT$5)="F",AND(AT$6&gt;0,$A257&lt;AT$6),AND(AT$7&gt;0,$A257&gt;AT$7)),0,MAX(0,ROUND((INDEX($E257:$G257,AT$5)-SUMIFS(TF_Timer,TF_Tekniker,AT$4,TF_Dato,$A257))*2,0)/2)))</f>
        <v/>
      </c>
      <c r="AU257">
        <f>IF(OR(AU$4="",$A257&gt;TODAY()),0,IF(OR(INDEX($B257:$D257,AU$5)="F",AND(AU$6&gt;0,$A257&lt;AU$6),AND(AU$7&gt;0,$A257&gt;AU$7)),0,MAX(0,ROUND((INDEX($E257:$G257,AU$5)-SUMIFS(TF_Timer,TF_Tekniker,AU$4,TF_Dato,$A257))*2,0)/2)))</f>
        <v/>
      </c>
      <c r="AV257">
        <f>IF(OR(AV$4="",$A257&gt;TODAY()),0,IF(OR(INDEX($B257:$D257,AV$5)="F",AND(AV$6&gt;0,$A257&lt;AV$6),AND(AV$7&gt;0,$A257&gt;AV$7)),0,MAX(0,ROUND((INDEX($E257:$G257,AV$5)-SUMIFS(TF_Timer,TF_Tekniker,AV$4,TF_Dato,$A257))*2,0)/2)))</f>
        <v/>
      </c>
      <c r="AW257">
        <f>IF(OR(AW$4="",$A257&gt;TODAY()),0,IF(OR(INDEX($B257:$D257,AW$5)="F",AND(AW$6&gt;0,$A257&lt;AW$6),AND(AW$7&gt;0,$A257&gt;AW$7)),0,MAX(0,ROUND((INDEX($E257:$G257,AW$5)-SUMIFS(TF_Timer,TF_Tekniker,AW$4,TF_Dato,$A257))*2,0)/2)))</f>
        <v/>
      </c>
      <c r="AX257">
        <f>IF(OR(AX$4="",$A257&gt;TODAY()),0,IF(OR(INDEX($B257:$D257,AX$5)="F",AND(AX$6&gt;0,$A257&lt;AX$6),AND(AX$7&gt;0,$A257&gt;AX$7)),0,MAX(0,ROUND((INDEX($E257:$G257,AX$5)-SUMIFS(TF_Timer,TF_Tekniker,AX$4,TF_Dato,$A257))*2,0)/2)))</f>
        <v/>
      </c>
      <c r="AY257">
        <f>IF(OR(AY$4="",$A257&gt;TODAY()),0,IF(OR(INDEX($B257:$D257,AY$5)="F",AND(AY$6&gt;0,$A257&lt;AY$6),AND(AY$7&gt;0,$A257&gt;AY$7)),0,MAX(0,ROUND((INDEX($E257:$G257,AY$5)-SUMIFS(TF_Timer,TF_Tekniker,AY$4,TF_Dato,$A257))*2,0)/2)))</f>
        <v/>
      </c>
      <c r="AZ257">
        <f>IF(OR(AZ$4="",$A257&gt;TODAY()),0,IF(OR(INDEX($B257:$D257,AZ$5)="F",AND(AZ$6&gt;0,$A257&lt;AZ$6),AND(AZ$7&gt;0,$A257&gt;AZ$7)),0,MAX(0,ROUND((INDEX($E257:$G257,AZ$5)-SUMIFS(TF_Timer,TF_Tekniker,AZ$4,TF_Dato,$A257))*2,0)/2)))</f>
        <v/>
      </c>
      <c r="BA257">
        <f>IF(OR(BA$4="",$A257&gt;TODAY()),0,IF(OR(INDEX($B257:$D257,BA$5)="F",AND(BA$6&gt;0,$A257&lt;BA$6),AND(BA$7&gt;0,$A257&gt;BA$7)),0,MAX(0,ROUND((INDEX($E257:$G257,BA$5)-SUMIFS(TF_Timer,TF_Tekniker,BA$4,TF_Dato,$A257))*2,0)/2)))</f>
        <v/>
      </c>
      <c r="BB257">
        <f>IF(OR(BB$4="",$A257&gt;TODAY()),0,IF(OR(INDEX($B257:$D257,BB$5)="F",AND(BB$6&gt;0,$A257&lt;BB$6),AND(BB$7&gt;0,$A257&gt;BB$7)),0,MAX(0,ROUND((INDEX($E257:$G257,BB$5)-SUMIFS(TF_Timer,TF_Tekniker,BB$4,TF_Dato,$A257))*2,0)/2)))</f>
        <v/>
      </c>
      <c r="BC257">
        <f>IF(OR(BC$4="",$A257&gt;TODAY()),0,IF(OR(INDEX($B257:$D257,BC$5)="F",AND(BC$6&gt;0,$A257&lt;BC$6),AND(BC$7&gt;0,$A257&gt;BC$7)),0,MAX(0,ROUND((INDEX($E257:$G257,BC$5)-SUMIFS(TF_Timer,TF_Tekniker,BC$4,TF_Dato,$A257))*2,0)/2)))</f>
        <v/>
      </c>
      <c r="BD257">
        <f>IF(OR(BD$4="",$A257&gt;TODAY()),0,IF(OR(INDEX($B257:$D257,BD$5)="F",AND(BD$6&gt;0,$A257&lt;BD$6),AND(BD$7&gt;0,$A257&gt;BD$7)),0,MAX(0,ROUND((INDEX($E257:$G257,BD$5)-SUMIFS(TF_Timer,TF_Tekniker,BD$4,TF_Dato,$A257))*2,0)/2)))</f>
        <v/>
      </c>
      <c r="BE257">
        <f>IF(OR(BE$4="",$A257&gt;TODAY()),0,IF(OR(INDEX($B257:$D257,BE$5)="F",AND(BE$6&gt;0,$A257&lt;BE$6),AND(BE$7&gt;0,$A257&gt;BE$7)),0,MAX(0,ROUND((INDEX($E257:$G257,BE$5)-SUMIFS(TF_Timer,TF_Tekniker,BE$4,TF_Dato,$A257))*2,0)/2)))</f>
        <v/>
      </c>
      <c r="BF257">
        <f>IF(OR(BF$4="",$A257&gt;TODAY()),0,IF(OR(INDEX($B257:$D257,BF$5)="F",AND(BF$6&gt;0,$A257&lt;BF$6),AND(BF$7&gt;0,$A257&gt;BF$7)),0,MAX(0,ROUND((INDEX($E257:$G257,BF$5)-SUMIFS(TF_Timer,TF_Tekniker,BF$4,TF_Dato,$A257))*2,0)/2)))</f>
        <v/>
      </c>
      <c r="BG257">
        <f>IF(OR(BG$4="",$A257&gt;TODAY()),0,IF(OR(INDEX($B257:$D257,BG$5)="F",AND(BG$6&gt;0,$A257&lt;BG$6),AND(BG$7&gt;0,$A257&gt;BG$7)),0,MAX(0,ROUND((INDEX($E257:$G257,BG$5)-SUMIFS(TF_Timer,TF_Tekniker,BG$4,TF_Dato,$A257))*2,0)/2)))</f>
        <v/>
      </c>
      <c r="BH257">
        <f>IF(OR(BH$4="",$A257&gt;TODAY()),0,IF(OR(INDEX($B257:$D257,BH$5)="F",AND(BH$6&gt;0,$A257&lt;BH$6),AND(BH$7&gt;0,$A257&gt;BH$7)),0,MAX(0,ROUND((INDEX($E257:$G257,BH$5)-SUMIFS(TF_Timer,TF_Tekniker,BH$4,TF_Dato,$A257))*2,0)/2)))</f>
        <v/>
      </c>
      <c r="BI257">
        <f>IF(OR(BI$4="",$A257&gt;TODAY()),0,IF(OR(INDEX($B257:$D257,BI$5)="F",AND(BI$6&gt;0,$A257&lt;BI$6),AND(BI$7&gt;0,$A257&gt;BI$7)),0,MAX(0,ROUND((INDEX($E257:$G257,BI$5)-SUMIFS(TF_Timer,TF_Tekniker,BI$4,TF_Dato,$A257))*2,0)/2)))</f>
        <v/>
      </c>
    </row>
    <row r="258">
      <c r="A258" s="64">
        <f>A257+1</f>
        <v/>
      </c>
      <c r="B258">
        <f>IF(MOD($A258-INDEX(SkiftStart,1),Syklus)&lt;DagK,"K",IF(MOD($A258-INDEX(SkiftStart,1),Syklus)&lt;DagK+DagH,"H",IF(MOD($A258-INDEX(SkiftStart,1),Syklus)&lt;DagK+DagH+DagD,"D","F")))</f>
        <v/>
      </c>
      <c r="C258">
        <f>IF(MOD($A258-INDEX(SkiftStart,2),Syklus)&lt;DagK,"K",IF(MOD($A258-INDEX(SkiftStart,2),Syklus)&lt;DagK+DagH,"H",IF(MOD($A258-INDEX(SkiftStart,2),Syklus)&lt;DagK+DagH+DagD,"D","F")))</f>
        <v/>
      </c>
      <c r="D258">
        <f>IF(MOD($A258-INDEX(SkiftStart,3),Syklus)&lt;DagK,"K",IF(MOD($A258-INDEX(SkiftStart,3),Syklus)&lt;DagK+DagH,"H",IF(MOD($A258-INDEX(SkiftStart,3),Syklus)&lt;DagK+DagH+DagD,"D","F")))</f>
        <v/>
      </c>
      <c r="E258">
        <f>IF(B258="F",0,IF(WEEKDAY($A258,2)=5,INDEX(TimerFr,MATCH(B258,FaseKode,0)),INDEX(TimerMT,MATCH(B258,FaseKode,0))))</f>
        <v/>
      </c>
      <c r="F258">
        <f>IF(C258="F",0,IF(WEEKDAY($A258,2)=5,INDEX(TimerFr,MATCH(C258,FaseKode,0)),INDEX(TimerMT,MATCH(C258,FaseKode,0))))</f>
        <v/>
      </c>
      <c r="G258">
        <f>IF(D258="F",0,IF(WEEKDAY($A258,2)=5,INDEX(TimerFr,MATCH(D258,FaseKode,0)),INDEX(TimerMT,MATCH(D258,FaseKode,0))))</f>
        <v/>
      </c>
      <c r="H258">
        <f>IF(OR(H$4="",$A258&gt;TODAY()),0,IF(OR(INDEX($B258:$D258,H$5)="F",AND(H$6&gt;0,$A258&lt;H$6),AND(H$7&gt;0,$A258&gt;H$7)),0,MAX(0,ROUND((INDEX($E258:$G258,H$5)-SUMIFS(TF_Timer,TF_Tekniker,H$4,TF_Dato,$A258))*2,0)/2)))</f>
        <v/>
      </c>
      <c r="I258">
        <f>IF(OR(I$4="",$A258&gt;TODAY()),0,IF(OR(INDEX($B258:$D258,I$5)="F",AND(I$6&gt;0,$A258&lt;I$6),AND(I$7&gt;0,$A258&gt;I$7)),0,MAX(0,ROUND((INDEX($E258:$G258,I$5)-SUMIFS(TF_Timer,TF_Tekniker,I$4,TF_Dato,$A258))*2,0)/2)))</f>
        <v/>
      </c>
      <c r="J258">
        <f>IF(OR(J$4="",$A258&gt;TODAY()),0,IF(OR(INDEX($B258:$D258,J$5)="F",AND(J$6&gt;0,$A258&lt;J$6),AND(J$7&gt;0,$A258&gt;J$7)),0,MAX(0,ROUND((INDEX($E258:$G258,J$5)-SUMIFS(TF_Timer,TF_Tekniker,J$4,TF_Dato,$A258))*2,0)/2)))</f>
        <v/>
      </c>
      <c r="K258">
        <f>IF(OR(K$4="",$A258&gt;TODAY()),0,IF(OR(INDEX($B258:$D258,K$5)="F",AND(K$6&gt;0,$A258&lt;K$6),AND(K$7&gt;0,$A258&gt;K$7)),0,MAX(0,ROUND((INDEX($E258:$G258,K$5)-SUMIFS(TF_Timer,TF_Tekniker,K$4,TF_Dato,$A258))*2,0)/2)))</f>
        <v/>
      </c>
      <c r="L258">
        <f>IF(OR(L$4="",$A258&gt;TODAY()),0,IF(OR(INDEX($B258:$D258,L$5)="F",AND(L$6&gt;0,$A258&lt;L$6),AND(L$7&gt;0,$A258&gt;L$7)),0,MAX(0,ROUND((INDEX($E258:$G258,L$5)-SUMIFS(TF_Timer,TF_Tekniker,L$4,TF_Dato,$A258))*2,0)/2)))</f>
        <v/>
      </c>
      <c r="M258">
        <f>IF(OR(M$4="",$A258&gt;TODAY()),0,IF(OR(INDEX($B258:$D258,M$5)="F",AND(M$6&gt;0,$A258&lt;M$6),AND(M$7&gt;0,$A258&gt;M$7)),0,MAX(0,ROUND((INDEX($E258:$G258,M$5)-SUMIFS(TF_Timer,TF_Tekniker,M$4,TF_Dato,$A258))*2,0)/2)))</f>
        <v/>
      </c>
      <c r="N258">
        <f>IF(OR(N$4="",$A258&gt;TODAY()),0,IF(OR(INDEX($B258:$D258,N$5)="F",AND(N$6&gt;0,$A258&lt;N$6),AND(N$7&gt;0,$A258&gt;N$7)),0,MAX(0,ROUND((INDEX($E258:$G258,N$5)-SUMIFS(TF_Timer,TF_Tekniker,N$4,TF_Dato,$A258))*2,0)/2)))</f>
        <v/>
      </c>
      <c r="O258">
        <f>IF(OR(O$4="",$A258&gt;TODAY()),0,IF(OR(INDEX($B258:$D258,O$5)="F",AND(O$6&gt;0,$A258&lt;O$6),AND(O$7&gt;0,$A258&gt;O$7)),0,MAX(0,ROUND((INDEX($E258:$G258,O$5)-SUMIFS(TF_Timer,TF_Tekniker,O$4,TF_Dato,$A258))*2,0)/2)))</f>
        <v/>
      </c>
      <c r="P258">
        <f>IF(OR(P$4="",$A258&gt;TODAY()),0,IF(OR(INDEX($B258:$D258,P$5)="F",AND(P$6&gt;0,$A258&lt;P$6),AND(P$7&gt;0,$A258&gt;P$7)),0,MAX(0,ROUND((INDEX($E258:$G258,P$5)-SUMIFS(TF_Timer,TF_Tekniker,P$4,TF_Dato,$A258))*2,0)/2)))</f>
        <v/>
      </c>
      <c r="Q258">
        <f>IF(OR(Q$4="",$A258&gt;TODAY()),0,IF(OR(INDEX($B258:$D258,Q$5)="F",AND(Q$6&gt;0,$A258&lt;Q$6),AND(Q$7&gt;0,$A258&gt;Q$7)),0,MAX(0,ROUND((INDEX($E258:$G258,Q$5)-SUMIFS(TF_Timer,TF_Tekniker,Q$4,TF_Dato,$A258))*2,0)/2)))</f>
        <v/>
      </c>
      <c r="R258">
        <f>IF(OR(R$4="",$A258&gt;TODAY()),0,IF(OR(INDEX($B258:$D258,R$5)="F",AND(R$6&gt;0,$A258&lt;R$6),AND(R$7&gt;0,$A258&gt;R$7)),0,MAX(0,ROUND((INDEX($E258:$G258,R$5)-SUMIFS(TF_Timer,TF_Tekniker,R$4,TF_Dato,$A258))*2,0)/2)))</f>
        <v/>
      </c>
      <c r="S258">
        <f>IF(OR(S$4="",$A258&gt;TODAY()),0,IF(OR(INDEX($B258:$D258,S$5)="F",AND(S$6&gt;0,$A258&lt;S$6),AND(S$7&gt;0,$A258&gt;S$7)),0,MAX(0,ROUND((INDEX($E258:$G258,S$5)-SUMIFS(TF_Timer,TF_Tekniker,S$4,TF_Dato,$A258))*2,0)/2)))</f>
        <v/>
      </c>
      <c r="T258">
        <f>IF(OR(T$4="",$A258&gt;TODAY()),0,IF(OR(INDEX($B258:$D258,T$5)="F",AND(T$6&gt;0,$A258&lt;T$6),AND(T$7&gt;0,$A258&gt;T$7)),0,MAX(0,ROUND((INDEX($E258:$G258,T$5)-SUMIFS(TF_Timer,TF_Tekniker,T$4,TF_Dato,$A258))*2,0)/2)))</f>
        <v/>
      </c>
      <c r="U258">
        <f>IF(OR(U$4="",$A258&gt;TODAY()),0,IF(OR(INDEX($B258:$D258,U$5)="F",AND(U$6&gt;0,$A258&lt;U$6),AND(U$7&gt;0,$A258&gt;U$7)),0,MAX(0,ROUND((INDEX($E258:$G258,U$5)-SUMIFS(TF_Timer,TF_Tekniker,U$4,TF_Dato,$A258))*2,0)/2)))</f>
        <v/>
      </c>
      <c r="V258">
        <f>IF(OR(V$4="",$A258&gt;TODAY()),0,IF(OR(INDEX($B258:$D258,V$5)="F",AND(V$6&gt;0,$A258&lt;V$6),AND(V$7&gt;0,$A258&gt;V$7)),0,MAX(0,ROUND((INDEX($E258:$G258,V$5)-SUMIFS(TF_Timer,TF_Tekniker,V$4,TF_Dato,$A258))*2,0)/2)))</f>
        <v/>
      </c>
      <c r="W258">
        <f>IF(OR(W$4="",$A258&gt;TODAY()),0,IF(OR(INDEX($B258:$D258,W$5)="F",AND(W$6&gt;0,$A258&lt;W$6),AND(W$7&gt;0,$A258&gt;W$7)),0,MAX(0,ROUND((INDEX($E258:$G258,W$5)-SUMIFS(TF_Timer,TF_Tekniker,W$4,TF_Dato,$A258))*2,0)/2)))</f>
        <v/>
      </c>
      <c r="X258">
        <f>IF(OR(X$4="",$A258&gt;TODAY()),0,IF(OR(INDEX($B258:$D258,X$5)="F",AND(X$6&gt;0,$A258&lt;X$6),AND(X$7&gt;0,$A258&gt;X$7)),0,MAX(0,ROUND((INDEX($E258:$G258,X$5)-SUMIFS(TF_Timer,TF_Tekniker,X$4,TF_Dato,$A258))*2,0)/2)))</f>
        <v/>
      </c>
      <c r="Y258">
        <f>IF(OR(Y$4="",$A258&gt;TODAY()),0,IF(OR(INDEX($B258:$D258,Y$5)="F",AND(Y$6&gt;0,$A258&lt;Y$6),AND(Y$7&gt;0,$A258&gt;Y$7)),0,MAX(0,ROUND((INDEX($E258:$G258,Y$5)-SUMIFS(TF_Timer,TF_Tekniker,Y$4,TF_Dato,$A258))*2,0)/2)))</f>
        <v/>
      </c>
      <c r="Z258">
        <f>IF(OR(Z$4="",$A258&gt;TODAY()),0,IF(OR(INDEX($B258:$D258,Z$5)="F",AND(Z$6&gt;0,$A258&lt;Z$6),AND(Z$7&gt;0,$A258&gt;Z$7)),0,MAX(0,ROUND((INDEX($E258:$G258,Z$5)-SUMIFS(TF_Timer,TF_Tekniker,Z$4,TF_Dato,$A258))*2,0)/2)))</f>
        <v/>
      </c>
      <c r="AA258">
        <f>IF(OR(AA$4="",$A258&gt;TODAY()),0,IF(OR(INDEX($B258:$D258,AA$5)="F",AND(AA$6&gt;0,$A258&lt;AA$6),AND(AA$7&gt;0,$A258&gt;AA$7)),0,MAX(0,ROUND((INDEX($E258:$G258,AA$5)-SUMIFS(TF_Timer,TF_Tekniker,AA$4,TF_Dato,$A258))*2,0)/2)))</f>
        <v/>
      </c>
      <c r="AB258">
        <f>IF(OR(AB$4="",$A258&gt;TODAY()),0,IF(OR(INDEX($B258:$D258,AB$5)="F",AND(AB$6&gt;0,$A258&lt;AB$6),AND(AB$7&gt;0,$A258&gt;AB$7)),0,MAX(0,ROUND((INDEX($E258:$G258,AB$5)-SUMIFS(TF_Timer,TF_Tekniker,AB$4,TF_Dato,$A258))*2,0)/2)))</f>
        <v/>
      </c>
      <c r="AC258">
        <f>IF(OR(AC$4="",$A258&gt;TODAY()),0,IF(OR(INDEX($B258:$D258,AC$5)="F",AND(AC$6&gt;0,$A258&lt;AC$6),AND(AC$7&gt;0,$A258&gt;AC$7)),0,MAX(0,ROUND((INDEX($E258:$G258,AC$5)-SUMIFS(TF_Timer,TF_Tekniker,AC$4,TF_Dato,$A258))*2,0)/2)))</f>
        <v/>
      </c>
      <c r="AD258">
        <f>IF(OR(AD$4="",$A258&gt;TODAY()),0,IF(OR(INDEX($B258:$D258,AD$5)="F",AND(AD$6&gt;0,$A258&lt;AD$6),AND(AD$7&gt;0,$A258&gt;AD$7)),0,MAX(0,ROUND((INDEX($E258:$G258,AD$5)-SUMIFS(TF_Timer,TF_Tekniker,AD$4,TF_Dato,$A258))*2,0)/2)))</f>
        <v/>
      </c>
      <c r="AE258">
        <f>IF(OR(AE$4="",$A258&gt;TODAY()),0,IF(OR(INDEX($B258:$D258,AE$5)="F",AND(AE$6&gt;0,$A258&lt;AE$6),AND(AE$7&gt;0,$A258&gt;AE$7)),0,MAX(0,ROUND((INDEX($E258:$G258,AE$5)-SUMIFS(TF_Timer,TF_Tekniker,AE$4,TF_Dato,$A258))*2,0)/2)))</f>
        <v/>
      </c>
      <c r="AF258">
        <f>IF(OR(AF$4="",$A258&gt;TODAY()),0,IF(OR(INDEX($B258:$D258,AF$5)="F",AND(AF$6&gt;0,$A258&lt;AF$6),AND(AF$7&gt;0,$A258&gt;AF$7)),0,MAX(0,ROUND((INDEX($E258:$G258,AF$5)-SUMIFS(TF_Timer,TF_Tekniker,AF$4,TF_Dato,$A258))*2,0)/2)))</f>
        <v/>
      </c>
      <c r="AG258">
        <f>IF(OR(AG$4="",$A258&gt;TODAY()),0,IF(OR(INDEX($B258:$D258,AG$5)="F",AND(AG$6&gt;0,$A258&lt;AG$6),AND(AG$7&gt;0,$A258&gt;AG$7)),0,MAX(0,ROUND((INDEX($E258:$G258,AG$5)-SUMIFS(TF_Timer,TF_Tekniker,AG$4,TF_Dato,$A258))*2,0)/2)))</f>
        <v/>
      </c>
      <c r="AH258">
        <f>IF(OR(AH$4="",$A258&gt;TODAY()),0,IF(OR(INDEX($B258:$D258,AH$5)="F",AND(AH$6&gt;0,$A258&lt;AH$6),AND(AH$7&gt;0,$A258&gt;AH$7)),0,MAX(0,ROUND((INDEX($E258:$G258,AH$5)-SUMIFS(TF_Timer,TF_Tekniker,AH$4,TF_Dato,$A258))*2,0)/2)))</f>
        <v/>
      </c>
      <c r="AI258">
        <f>IF(OR(AI$4="",$A258&gt;TODAY()),0,IF(OR(INDEX($B258:$D258,AI$5)="F",AND(AI$6&gt;0,$A258&lt;AI$6),AND(AI$7&gt;0,$A258&gt;AI$7)),0,MAX(0,ROUND((INDEX($E258:$G258,AI$5)-SUMIFS(TF_Timer,TF_Tekniker,AI$4,TF_Dato,$A258))*2,0)/2)))</f>
        <v/>
      </c>
      <c r="AJ258">
        <f>IF(OR(AJ$4="",$A258&gt;TODAY()),0,IF(OR(INDEX($B258:$D258,AJ$5)="F",AND(AJ$6&gt;0,$A258&lt;AJ$6),AND(AJ$7&gt;0,$A258&gt;AJ$7)),0,MAX(0,ROUND((INDEX($E258:$G258,AJ$5)-SUMIFS(TF_Timer,TF_Tekniker,AJ$4,TF_Dato,$A258))*2,0)/2)))</f>
        <v/>
      </c>
      <c r="AK258">
        <f>IF(OR(AK$4="",$A258&gt;TODAY()),0,IF(OR(INDEX($B258:$D258,AK$5)="F",AND(AK$6&gt;0,$A258&lt;AK$6),AND(AK$7&gt;0,$A258&gt;AK$7)),0,MAX(0,ROUND((INDEX($E258:$G258,AK$5)-SUMIFS(TF_Timer,TF_Tekniker,AK$4,TF_Dato,$A258))*2,0)/2)))</f>
        <v/>
      </c>
      <c r="AL258">
        <f>IF(OR(AL$4="",$A258&gt;TODAY()),0,IF(OR(INDEX($B258:$D258,AL$5)="F",AND(AL$6&gt;0,$A258&lt;AL$6),AND(AL$7&gt;0,$A258&gt;AL$7)),0,MAX(0,ROUND((INDEX($E258:$G258,AL$5)-SUMIFS(TF_Timer,TF_Tekniker,AL$4,TF_Dato,$A258))*2,0)/2)))</f>
        <v/>
      </c>
      <c r="AM258">
        <f>IF(OR(AM$4="",$A258&gt;TODAY()),0,IF(OR(INDEX($B258:$D258,AM$5)="F",AND(AM$6&gt;0,$A258&lt;AM$6),AND(AM$7&gt;0,$A258&gt;AM$7)),0,MAX(0,ROUND((INDEX($E258:$G258,AM$5)-SUMIFS(TF_Timer,TF_Tekniker,AM$4,TF_Dato,$A258))*2,0)/2)))</f>
        <v/>
      </c>
      <c r="AN258">
        <f>IF(OR(AN$4="",$A258&gt;TODAY()),0,IF(OR(INDEX($B258:$D258,AN$5)="F",AND(AN$6&gt;0,$A258&lt;AN$6),AND(AN$7&gt;0,$A258&gt;AN$7)),0,MAX(0,ROUND((INDEX($E258:$G258,AN$5)-SUMIFS(TF_Timer,TF_Tekniker,AN$4,TF_Dato,$A258))*2,0)/2)))</f>
        <v/>
      </c>
      <c r="AO258">
        <f>IF(OR(AO$4="",$A258&gt;TODAY()),0,IF(OR(INDEX($B258:$D258,AO$5)="F",AND(AO$6&gt;0,$A258&lt;AO$6),AND(AO$7&gt;0,$A258&gt;AO$7)),0,MAX(0,ROUND((INDEX($E258:$G258,AO$5)-SUMIFS(TF_Timer,TF_Tekniker,AO$4,TF_Dato,$A258))*2,0)/2)))</f>
        <v/>
      </c>
      <c r="AP258">
        <f>IF(OR(AP$4="",$A258&gt;TODAY()),0,IF(OR(INDEX($B258:$D258,AP$5)="F",AND(AP$6&gt;0,$A258&lt;AP$6),AND(AP$7&gt;0,$A258&gt;AP$7)),0,MAX(0,ROUND((INDEX($E258:$G258,AP$5)-SUMIFS(TF_Timer,TF_Tekniker,AP$4,TF_Dato,$A258))*2,0)/2)))</f>
        <v/>
      </c>
      <c r="AQ258">
        <f>IF(OR(AQ$4="",$A258&gt;TODAY()),0,IF(OR(INDEX($B258:$D258,AQ$5)="F",AND(AQ$6&gt;0,$A258&lt;AQ$6),AND(AQ$7&gt;0,$A258&gt;AQ$7)),0,MAX(0,ROUND((INDEX($E258:$G258,AQ$5)-SUMIFS(TF_Timer,TF_Tekniker,AQ$4,TF_Dato,$A258))*2,0)/2)))</f>
        <v/>
      </c>
      <c r="AR258">
        <f>IF(OR(AR$4="",$A258&gt;TODAY()),0,IF(OR(INDEX($B258:$D258,AR$5)="F",AND(AR$6&gt;0,$A258&lt;AR$6),AND(AR$7&gt;0,$A258&gt;AR$7)),0,MAX(0,ROUND((INDEX($E258:$G258,AR$5)-SUMIFS(TF_Timer,TF_Tekniker,AR$4,TF_Dato,$A258))*2,0)/2)))</f>
        <v/>
      </c>
      <c r="AS258">
        <f>IF(OR(AS$4="",$A258&gt;TODAY()),0,IF(OR(INDEX($B258:$D258,AS$5)="F",AND(AS$6&gt;0,$A258&lt;AS$6),AND(AS$7&gt;0,$A258&gt;AS$7)),0,MAX(0,ROUND((INDEX($E258:$G258,AS$5)-SUMIFS(TF_Timer,TF_Tekniker,AS$4,TF_Dato,$A258))*2,0)/2)))</f>
        <v/>
      </c>
      <c r="AT258">
        <f>IF(OR(AT$4="",$A258&gt;TODAY()),0,IF(OR(INDEX($B258:$D258,AT$5)="F",AND(AT$6&gt;0,$A258&lt;AT$6),AND(AT$7&gt;0,$A258&gt;AT$7)),0,MAX(0,ROUND((INDEX($E258:$G258,AT$5)-SUMIFS(TF_Timer,TF_Tekniker,AT$4,TF_Dato,$A258))*2,0)/2)))</f>
        <v/>
      </c>
      <c r="AU258">
        <f>IF(OR(AU$4="",$A258&gt;TODAY()),0,IF(OR(INDEX($B258:$D258,AU$5)="F",AND(AU$6&gt;0,$A258&lt;AU$6),AND(AU$7&gt;0,$A258&gt;AU$7)),0,MAX(0,ROUND((INDEX($E258:$G258,AU$5)-SUMIFS(TF_Timer,TF_Tekniker,AU$4,TF_Dato,$A258))*2,0)/2)))</f>
        <v/>
      </c>
      <c r="AV258">
        <f>IF(OR(AV$4="",$A258&gt;TODAY()),0,IF(OR(INDEX($B258:$D258,AV$5)="F",AND(AV$6&gt;0,$A258&lt;AV$6),AND(AV$7&gt;0,$A258&gt;AV$7)),0,MAX(0,ROUND((INDEX($E258:$G258,AV$5)-SUMIFS(TF_Timer,TF_Tekniker,AV$4,TF_Dato,$A258))*2,0)/2)))</f>
        <v/>
      </c>
      <c r="AW258">
        <f>IF(OR(AW$4="",$A258&gt;TODAY()),0,IF(OR(INDEX($B258:$D258,AW$5)="F",AND(AW$6&gt;0,$A258&lt;AW$6),AND(AW$7&gt;0,$A258&gt;AW$7)),0,MAX(0,ROUND((INDEX($E258:$G258,AW$5)-SUMIFS(TF_Timer,TF_Tekniker,AW$4,TF_Dato,$A258))*2,0)/2)))</f>
        <v/>
      </c>
      <c r="AX258">
        <f>IF(OR(AX$4="",$A258&gt;TODAY()),0,IF(OR(INDEX($B258:$D258,AX$5)="F",AND(AX$6&gt;0,$A258&lt;AX$6),AND(AX$7&gt;0,$A258&gt;AX$7)),0,MAX(0,ROUND((INDEX($E258:$G258,AX$5)-SUMIFS(TF_Timer,TF_Tekniker,AX$4,TF_Dato,$A258))*2,0)/2)))</f>
        <v/>
      </c>
      <c r="AY258">
        <f>IF(OR(AY$4="",$A258&gt;TODAY()),0,IF(OR(INDEX($B258:$D258,AY$5)="F",AND(AY$6&gt;0,$A258&lt;AY$6),AND(AY$7&gt;0,$A258&gt;AY$7)),0,MAX(0,ROUND((INDEX($E258:$G258,AY$5)-SUMIFS(TF_Timer,TF_Tekniker,AY$4,TF_Dato,$A258))*2,0)/2)))</f>
        <v/>
      </c>
      <c r="AZ258">
        <f>IF(OR(AZ$4="",$A258&gt;TODAY()),0,IF(OR(INDEX($B258:$D258,AZ$5)="F",AND(AZ$6&gt;0,$A258&lt;AZ$6),AND(AZ$7&gt;0,$A258&gt;AZ$7)),0,MAX(0,ROUND((INDEX($E258:$G258,AZ$5)-SUMIFS(TF_Timer,TF_Tekniker,AZ$4,TF_Dato,$A258))*2,0)/2)))</f>
        <v/>
      </c>
      <c r="BA258">
        <f>IF(OR(BA$4="",$A258&gt;TODAY()),0,IF(OR(INDEX($B258:$D258,BA$5)="F",AND(BA$6&gt;0,$A258&lt;BA$6),AND(BA$7&gt;0,$A258&gt;BA$7)),0,MAX(0,ROUND((INDEX($E258:$G258,BA$5)-SUMIFS(TF_Timer,TF_Tekniker,BA$4,TF_Dato,$A258))*2,0)/2)))</f>
        <v/>
      </c>
      <c r="BB258">
        <f>IF(OR(BB$4="",$A258&gt;TODAY()),0,IF(OR(INDEX($B258:$D258,BB$5)="F",AND(BB$6&gt;0,$A258&lt;BB$6),AND(BB$7&gt;0,$A258&gt;BB$7)),0,MAX(0,ROUND((INDEX($E258:$G258,BB$5)-SUMIFS(TF_Timer,TF_Tekniker,BB$4,TF_Dato,$A258))*2,0)/2)))</f>
        <v/>
      </c>
      <c r="BC258">
        <f>IF(OR(BC$4="",$A258&gt;TODAY()),0,IF(OR(INDEX($B258:$D258,BC$5)="F",AND(BC$6&gt;0,$A258&lt;BC$6),AND(BC$7&gt;0,$A258&gt;BC$7)),0,MAX(0,ROUND((INDEX($E258:$G258,BC$5)-SUMIFS(TF_Timer,TF_Tekniker,BC$4,TF_Dato,$A258))*2,0)/2)))</f>
        <v/>
      </c>
      <c r="BD258">
        <f>IF(OR(BD$4="",$A258&gt;TODAY()),0,IF(OR(INDEX($B258:$D258,BD$5)="F",AND(BD$6&gt;0,$A258&lt;BD$6),AND(BD$7&gt;0,$A258&gt;BD$7)),0,MAX(0,ROUND((INDEX($E258:$G258,BD$5)-SUMIFS(TF_Timer,TF_Tekniker,BD$4,TF_Dato,$A258))*2,0)/2)))</f>
        <v/>
      </c>
      <c r="BE258">
        <f>IF(OR(BE$4="",$A258&gt;TODAY()),0,IF(OR(INDEX($B258:$D258,BE$5)="F",AND(BE$6&gt;0,$A258&lt;BE$6),AND(BE$7&gt;0,$A258&gt;BE$7)),0,MAX(0,ROUND((INDEX($E258:$G258,BE$5)-SUMIFS(TF_Timer,TF_Tekniker,BE$4,TF_Dato,$A258))*2,0)/2)))</f>
        <v/>
      </c>
      <c r="BF258">
        <f>IF(OR(BF$4="",$A258&gt;TODAY()),0,IF(OR(INDEX($B258:$D258,BF$5)="F",AND(BF$6&gt;0,$A258&lt;BF$6),AND(BF$7&gt;0,$A258&gt;BF$7)),0,MAX(0,ROUND((INDEX($E258:$G258,BF$5)-SUMIFS(TF_Timer,TF_Tekniker,BF$4,TF_Dato,$A258))*2,0)/2)))</f>
        <v/>
      </c>
      <c r="BG258">
        <f>IF(OR(BG$4="",$A258&gt;TODAY()),0,IF(OR(INDEX($B258:$D258,BG$5)="F",AND(BG$6&gt;0,$A258&lt;BG$6),AND(BG$7&gt;0,$A258&gt;BG$7)),0,MAX(0,ROUND((INDEX($E258:$G258,BG$5)-SUMIFS(TF_Timer,TF_Tekniker,BG$4,TF_Dato,$A258))*2,0)/2)))</f>
        <v/>
      </c>
      <c r="BH258">
        <f>IF(OR(BH$4="",$A258&gt;TODAY()),0,IF(OR(INDEX($B258:$D258,BH$5)="F",AND(BH$6&gt;0,$A258&lt;BH$6),AND(BH$7&gt;0,$A258&gt;BH$7)),0,MAX(0,ROUND((INDEX($E258:$G258,BH$5)-SUMIFS(TF_Timer,TF_Tekniker,BH$4,TF_Dato,$A258))*2,0)/2)))</f>
        <v/>
      </c>
      <c r="BI258">
        <f>IF(OR(BI$4="",$A258&gt;TODAY()),0,IF(OR(INDEX($B258:$D258,BI$5)="F",AND(BI$6&gt;0,$A258&lt;BI$6),AND(BI$7&gt;0,$A258&gt;BI$7)),0,MAX(0,ROUND((INDEX($E258:$G258,BI$5)-SUMIFS(TF_Timer,TF_Tekniker,BI$4,TF_Dato,$A258))*2,0)/2)))</f>
        <v/>
      </c>
    </row>
    <row r="259">
      <c r="A259" s="64">
        <f>A258+1</f>
        <v/>
      </c>
      <c r="B259">
        <f>IF(MOD($A259-INDEX(SkiftStart,1),Syklus)&lt;DagK,"K",IF(MOD($A259-INDEX(SkiftStart,1),Syklus)&lt;DagK+DagH,"H",IF(MOD($A259-INDEX(SkiftStart,1),Syklus)&lt;DagK+DagH+DagD,"D","F")))</f>
        <v/>
      </c>
      <c r="C259">
        <f>IF(MOD($A259-INDEX(SkiftStart,2),Syklus)&lt;DagK,"K",IF(MOD($A259-INDEX(SkiftStart,2),Syklus)&lt;DagK+DagH,"H",IF(MOD($A259-INDEX(SkiftStart,2),Syklus)&lt;DagK+DagH+DagD,"D","F")))</f>
        <v/>
      </c>
      <c r="D259">
        <f>IF(MOD($A259-INDEX(SkiftStart,3),Syklus)&lt;DagK,"K",IF(MOD($A259-INDEX(SkiftStart,3),Syklus)&lt;DagK+DagH,"H",IF(MOD($A259-INDEX(SkiftStart,3),Syklus)&lt;DagK+DagH+DagD,"D","F")))</f>
        <v/>
      </c>
      <c r="E259">
        <f>IF(B259="F",0,IF(WEEKDAY($A259,2)=5,INDEX(TimerFr,MATCH(B259,FaseKode,0)),INDEX(TimerMT,MATCH(B259,FaseKode,0))))</f>
        <v/>
      </c>
      <c r="F259">
        <f>IF(C259="F",0,IF(WEEKDAY($A259,2)=5,INDEX(TimerFr,MATCH(C259,FaseKode,0)),INDEX(TimerMT,MATCH(C259,FaseKode,0))))</f>
        <v/>
      </c>
      <c r="G259">
        <f>IF(D259="F",0,IF(WEEKDAY($A259,2)=5,INDEX(TimerFr,MATCH(D259,FaseKode,0)),INDEX(TimerMT,MATCH(D259,FaseKode,0))))</f>
        <v/>
      </c>
      <c r="H259">
        <f>IF(OR(H$4="",$A259&gt;TODAY()),0,IF(OR(INDEX($B259:$D259,H$5)="F",AND(H$6&gt;0,$A259&lt;H$6),AND(H$7&gt;0,$A259&gt;H$7)),0,MAX(0,ROUND((INDEX($E259:$G259,H$5)-SUMIFS(TF_Timer,TF_Tekniker,H$4,TF_Dato,$A259))*2,0)/2)))</f>
        <v/>
      </c>
      <c r="I259">
        <f>IF(OR(I$4="",$A259&gt;TODAY()),0,IF(OR(INDEX($B259:$D259,I$5)="F",AND(I$6&gt;0,$A259&lt;I$6),AND(I$7&gt;0,$A259&gt;I$7)),0,MAX(0,ROUND((INDEX($E259:$G259,I$5)-SUMIFS(TF_Timer,TF_Tekniker,I$4,TF_Dato,$A259))*2,0)/2)))</f>
        <v/>
      </c>
      <c r="J259">
        <f>IF(OR(J$4="",$A259&gt;TODAY()),0,IF(OR(INDEX($B259:$D259,J$5)="F",AND(J$6&gt;0,$A259&lt;J$6),AND(J$7&gt;0,$A259&gt;J$7)),0,MAX(0,ROUND((INDEX($E259:$G259,J$5)-SUMIFS(TF_Timer,TF_Tekniker,J$4,TF_Dato,$A259))*2,0)/2)))</f>
        <v/>
      </c>
      <c r="K259">
        <f>IF(OR(K$4="",$A259&gt;TODAY()),0,IF(OR(INDEX($B259:$D259,K$5)="F",AND(K$6&gt;0,$A259&lt;K$6),AND(K$7&gt;0,$A259&gt;K$7)),0,MAX(0,ROUND((INDEX($E259:$G259,K$5)-SUMIFS(TF_Timer,TF_Tekniker,K$4,TF_Dato,$A259))*2,0)/2)))</f>
        <v/>
      </c>
      <c r="L259">
        <f>IF(OR(L$4="",$A259&gt;TODAY()),0,IF(OR(INDEX($B259:$D259,L$5)="F",AND(L$6&gt;0,$A259&lt;L$6),AND(L$7&gt;0,$A259&gt;L$7)),0,MAX(0,ROUND((INDEX($E259:$G259,L$5)-SUMIFS(TF_Timer,TF_Tekniker,L$4,TF_Dato,$A259))*2,0)/2)))</f>
        <v/>
      </c>
      <c r="M259">
        <f>IF(OR(M$4="",$A259&gt;TODAY()),0,IF(OR(INDEX($B259:$D259,M$5)="F",AND(M$6&gt;0,$A259&lt;M$6),AND(M$7&gt;0,$A259&gt;M$7)),0,MAX(0,ROUND((INDEX($E259:$G259,M$5)-SUMIFS(TF_Timer,TF_Tekniker,M$4,TF_Dato,$A259))*2,0)/2)))</f>
        <v/>
      </c>
      <c r="N259">
        <f>IF(OR(N$4="",$A259&gt;TODAY()),0,IF(OR(INDEX($B259:$D259,N$5)="F",AND(N$6&gt;0,$A259&lt;N$6),AND(N$7&gt;0,$A259&gt;N$7)),0,MAX(0,ROUND((INDEX($E259:$G259,N$5)-SUMIFS(TF_Timer,TF_Tekniker,N$4,TF_Dato,$A259))*2,0)/2)))</f>
        <v/>
      </c>
      <c r="O259">
        <f>IF(OR(O$4="",$A259&gt;TODAY()),0,IF(OR(INDEX($B259:$D259,O$5)="F",AND(O$6&gt;0,$A259&lt;O$6),AND(O$7&gt;0,$A259&gt;O$7)),0,MAX(0,ROUND((INDEX($E259:$G259,O$5)-SUMIFS(TF_Timer,TF_Tekniker,O$4,TF_Dato,$A259))*2,0)/2)))</f>
        <v/>
      </c>
      <c r="P259">
        <f>IF(OR(P$4="",$A259&gt;TODAY()),0,IF(OR(INDEX($B259:$D259,P$5)="F",AND(P$6&gt;0,$A259&lt;P$6),AND(P$7&gt;0,$A259&gt;P$7)),0,MAX(0,ROUND((INDEX($E259:$G259,P$5)-SUMIFS(TF_Timer,TF_Tekniker,P$4,TF_Dato,$A259))*2,0)/2)))</f>
        <v/>
      </c>
      <c r="Q259">
        <f>IF(OR(Q$4="",$A259&gt;TODAY()),0,IF(OR(INDEX($B259:$D259,Q$5)="F",AND(Q$6&gt;0,$A259&lt;Q$6),AND(Q$7&gt;0,$A259&gt;Q$7)),0,MAX(0,ROUND((INDEX($E259:$G259,Q$5)-SUMIFS(TF_Timer,TF_Tekniker,Q$4,TF_Dato,$A259))*2,0)/2)))</f>
        <v/>
      </c>
      <c r="R259">
        <f>IF(OR(R$4="",$A259&gt;TODAY()),0,IF(OR(INDEX($B259:$D259,R$5)="F",AND(R$6&gt;0,$A259&lt;R$6),AND(R$7&gt;0,$A259&gt;R$7)),0,MAX(0,ROUND((INDEX($E259:$G259,R$5)-SUMIFS(TF_Timer,TF_Tekniker,R$4,TF_Dato,$A259))*2,0)/2)))</f>
        <v/>
      </c>
      <c r="S259">
        <f>IF(OR(S$4="",$A259&gt;TODAY()),0,IF(OR(INDEX($B259:$D259,S$5)="F",AND(S$6&gt;0,$A259&lt;S$6),AND(S$7&gt;0,$A259&gt;S$7)),0,MAX(0,ROUND((INDEX($E259:$G259,S$5)-SUMIFS(TF_Timer,TF_Tekniker,S$4,TF_Dato,$A259))*2,0)/2)))</f>
        <v/>
      </c>
      <c r="T259">
        <f>IF(OR(T$4="",$A259&gt;TODAY()),0,IF(OR(INDEX($B259:$D259,T$5)="F",AND(T$6&gt;0,$A259&lt;T$6),AND(T$7&gt;0,$A259&gt;T$7)),0,MAX(0,ROUND((INDEX($E259:$G259,T$5)-SUMIFS(TF_Timer,TF_Tekniker,T$4,TF_Dato,$A259))*2,0)/2)))</f>
        <v/>
      </c>
      <c r="U259">
        <f>IF(OR(U$4="",$A259&gt;TODAY()),0,IF(OR(INDEX($B259:$D259,U$5)="F",AND(U$6&gt;0,$A259&lt;U$6),AND(U$7&gt;0,$A259&gt;U$7)),0,MAX(0,ROUND((INDEX($E259:$G259,U$5)-SUMIFS(TF_Timer,TF_Tekniker,U$4,TF_Dato,$A259))*2,0)/2)))</f>
        <v/>
      </c>
      <c r="V259">
        <f>IF(OR(V$4="",$A259&gt;TODAY()),0,IF(OR(INDEX($B259:$D259,V$5)="F",AND(V$6&gt;0,$A259&lt;V$6),AND(V$7&gt;0,$A259&gt;V$7)),0,MAX(0,ROUND((INDEX($E259:$G259,V$5)-SUMIFS(TF_Timer,TF_Tekniker,V$4,TF_Dato,$A259))*2,0)/2)))</f>
        <v/>
      </c>
      <c r="W259">
        <f>IF(OR(W$4="",$A259&gt;TODAY()),0,IF(OR(INDEX($B259:$D259,W$5)="F",AND(W$6&gt;0,$A259&lt;W$6),AND(W$7&gt;0,$A259&gt;W$7)),0,MAX(0,ROUND((INDEX($E259:$G259,W$5)-SUMIFS(TF_Timer,TF_Tekniker,W$4,TF_Dato,$A259))*2,0)/2)))</f>
        <v/>
      </c>
      <c r="X259">
        <f>IF(OR(X$4="",$A259&gt;TODAY()),0,IF(OR(INDEX($B259:$D259,X$5)="F",AND(X$6&gt;0,$A259&lt;X$6),AND(X$7&gt;0,$A259&gt;X$7)),0,MAX(0,ROUND((INDEX($E259:$G259,X$5)-SUMIFS(TF_Timer,TF_Tekniker,X$4,TF_Dato,$A259))*2,0)/2)))</f>
        <v/>
      </c>
      <c r="Y259">
        <f>IF(OR(Y$4="",$A259&gt;TODAY()),0,IF(OR(INDEX($B259:$D259,Y$5)="F",AND(Y$6&gt;0,$A259&lt;Y$6),AND(Y$7&gt;0,$A259&gt;Y$7)),0,MAX(0,ROUND((INDEX($E259:$G259,Y$5)-SUMIFS(TF_Timer,TF_Tekniker,Y$4,TF_Dato,$A259))*2,0)/2)))</f>
        <v/>
      </c>
      <c r="Z259">
        <f>IF(OR(Z$4="",$A259&gt;TODAY()),0,IF(OR(INDEX($B259:$D259,Z$5)="F",AND(Z$6&gt;0,$A259&lt;Z$6),AND(Z$7&gt;0,$A259&gt;Z$7)),0,MAX(0,ROUND((INDEX($E259:$G259,Z$5)-SUMIFS(TF_Timer,TF_Tekniker,Z$4,TF_Dato,$A259))*2,0)/2)))</f>
        <v/>
      </c>
      <c r="AA259">
        <f>IF(OR(AA$4="",$A259&gt;TODAY()),0,IF(OR(INDEX($B259:$D259,AA$5)="F",AND(AA$6&gt;0,$A259&lt;AA$6),AND(AA$7&gt;0,$A259&gt;AA$7)),0,MAX(0,ROUND((INDEX($E259:$G259,AA$5)-SUMIFS(TF_Timer,TF_Tekniker,AA$4,TF_Dato,$A259))*2,0)/2)))</f>
        <v/>
      </c>
      <c r="AB259">
        <f>IF(OR(AB$4="",$A259&gt;TODAY()),0,IF(OR(INDEX($B259:$D259,AB$5)="F",AND(AB$6&gt;0,$A259&lt;AB$6),AND(AB$7&gt;0,$A259&gt;AB$7)),0,MAX(0,ROUND((INDEX($E259:$G259,AB$5)-SUMIFS(TF_Timer,TF_Tekniker,AB$4,TF_Dato,$A259))*2,0)/2)))</f>
        <v/>
      </c>
      <c r="AC259">
        <f>IF(OR(AC$4="",$A259&gt;TODAY()),0,IF(OR(INDEX($B259:$D259,AC$5)="F",AND(AC$6&gt;0,$A259&lt;AC$6),AND(AC$7&gt;0,$A259&gt;AC$7)),0,MAX(0,ROUND((INDEX($E259:$G259,AC$5)-SUMIFS(TF_Timer,TF_Tekniker,AC$4,TF_Dato,$A259))*2,0)/2)))</f>
        <v/>
      </c>
      <c r="AD259">
        <f>IF(OR(AD$4="",$A259&gt;TODAY()),0,IF(OR(INDEX($B259:$D259,AD$5)="F",AND(AD$6&gt;0,$A259&lt;AD$6),AND(AD$7&gt;0,$A259&gt;AD$7)),0,MAX(0,ROUND((INDEX($E259:$G259,AD$5)-SUMIFS(TF_Timer,TF_Tekniker,AD$4,TF_Dato,$A259))*2,0)/2)))</f>
        <v/>
      </c>
      <c r="AE259">
        <f>IF(OR(AE$4="",$A259&gt;TODAY()),0,IF(OR(INDEX($B259:$D259,AE$5)="F",AND(AE$6&gt;0,$A259&lt;AE$6),AND(AE$7&gt;0,$A259&gt;AE$7)),0,MAX(0,ROUND((INDEX($E259:$G259,AE$5)-SUMIFS(TF_Timer,TF_Tekniker,AE$4,TF_Dato,$A259))*2,0)/2)))</f>
        <v/>
      </c>
      <c r="AF259">
        <f>IF(OR(AF$4="",$A259&gt;TODAY()),0,IF(OR(INDEX($B259:$D259,AF$5)="F",AND(AF$6&gt;0,$A259&lt;AF$6),AND(AF$7&gt;0,$A259&gt;AF$7)),0,MAX(0,ROUND((INDEX($E259:$G259,AF$5)-SUMIFS(TF_Timer,TF_Tekniker,AF$4,TF_Dato,$A259))*2,0)/2)))</f>
        <v/>
      </c>
      <c r="AG259">
        <f>IF(OR(AG$4="",$A259&gt;TODAY()),0,IF(OR(INDEX($B259:$D259,AG$5)="F",AND(AG$6&gt;0,$A259&lt;AG$6),AND(AG$7&gt;0,$A259&gt;AG$7)),0,MAX(0,ROUND((INDEX($E259:$G259,AG$5)-SUMIFS(TF_Timer,TF_Tekniker,AG$4,TF_Dato,$A259))*2,0)/2)))</f>
        <v/>
      </c>
      <c r="AH259">
        <f>IF(OR(AH$4="",$A259&gt;TODAY()),0,IF(OR(INDEX($B259:$D259,AH$5)="F",AND(AH$6&gt;0,$A259&lt;AH$6),AND(AH$7&gt;0,$A259&gt;AH$7)),0,MAX(0,ROUND((INDEX($E259:$G259,AH$5)-SUMIFS(TF_Timer,TF_Tekniker,AH$4,TF_Dato,$A259))*2,0)/2)))</f>
        <v/>
      </c>
      <c r="AI259">
        <f>IF(OR(AI$4="",$A259&gt;TODAY()),0,IF(OR(INDEX($B259:$D259,AI$5)="F",AND(AI$6&gt;0,$A259&lt;AI$6),AND(AI$7&gt;0,$A259&gt;AI$7)),0,MAX(0,ROUND((INDEX($E259:$G259,AI$5)-SUMIFS(TF_Timer,TF_Tekniker,AI$4,TF_Dato,$A259))*2,0)/2)))</f>
        <v/>
      </c>
      <c r="AJ259">
        <f>IF(OR(AJ$4="",$A259&gt;TODAY()),0,IF(OR(INDEX($B259:$D259,AJ$5)="F",AND(AJ$6&gt;0,$A259&lt;AJ$6),AND(AJ$7&gt;0,$A259&gt;AJ$7)),0,MAX(0,ROUND((INDEX($E259:$G259,AJ$5)-SUMIFS(TF_Timer,TF_Tekniker,AJ$4,TF_Dato,$A259))*2,0)/2)))</f>
        <v/>
      </c>
      <c r="AK259">
        <f>IF(OR(AK$4="",$A259&gt;TODAY()),0,IF(OR(INDEX($B259:$D259,AK$5)="F",AND(AK$6&gt;0,$A259&lt;AK$6),AND(AK$7&gt;0,$A259&gt;AK$7)),0,MAX(0,ROUND((INDEX($E259:$G259,AK$5)-SUMIFS(TF_Timer,TF_Tekniker,AK$4,TF_Dato,$A259))*2,0)/2)))</f>
        <v/>
      </c>
      <c r="AL259">
        <f>IF(OR(AL$4="",$A259&gt;TODAY()),0,IF(OR(INDEX($B259:$D259,AL$5)="F",AND(AL$6&gt;0,$A259&lt;AL$6),AND(AL$7&gt;0,$A259&gt;AL$7)),0,MAX(0,ROUND((INDEX($E259:$G259,AL$5)-SUMIFS(TF_Timer,TF_Tekniker,AL$4,TF_Dato,$A259))*2,0)/2)))</f>
        <v/>
      </c>
      <c r="AM259">
        <f>IF(OR(AM$4="",$A259&gt;TODAY()),0,IF(OR(INDEX($B259:$D259,AM$5)="F",AND(AM$6&gt;0,$A259&lt;AM$6),AND(AM$7&gt;0,$A259&gt;AM$7)),0,MAX(0,ROUND((INDEX($E259:$G259,AM$5)-SUMIFS(TF_Timer,TF_Tekniker,AM$4,TF_Dato,$A259))*2,0)/2)))</f>
        <v/>
      </c>
      <c r="AN259">
        <f>IF(OR(AN$4="",$A259&gt;TODAY()),0,IF(OR(INDEX($B259:$D259,AN$5)="F",AND(AN$6&gt;0,$A259&lt;AN$6),AND(AN$7&gt;0,$A259&gt;AN$7)),0,MAX(0,ROUND((INDEX($E259:$G259,AN$5)-SUMIFS(TF_Timer,TF_Tekniker,AN$4,TF_Dato,$A259))*2,0)/2)))</f>
        <v/>
      </c>
      <c r="AO259">
        <f>IF(OR(AO$4="",$A259&gt;TODAY()),0,IF(OR(INDEX($B259:$D259,AO$5)="F",AND(AO$6&gt;0,$A259&lt;AO$6),AND(AO$7&gt;0,$A259&gt;AO$7)),0,MAX(0,ROUND((INDEX($E259:$G259,AO$5)-SUMIFS(TF_Timer,TF_Tekniker,AO$4,TF_Dato,$A259))*2,0)/2)))</f>
        <v/>
      </c>
      <c r="AP259">
        <f>IF(OR(AP$4="",$A259&gt;TODAY()),0,IF(OR(INDEX($B259:$D259,AP$5)="F",AND(AP$6&gt;0,$A259&lt;AP$6),AND(AP$7&gt;0,$A259&gt;AP$7)),0,MAX(0,ROUND((INDEX($E259:$G259,AP$5)-SUMIFS(TF_Timer,TF_Tekniker,AP$4,TF_Dato,$A259))*2,0)/2)))</f>
        <v/>
      </c>
      <c r="AQ259">
        <f>IF(OR(AQ$4="",$A259&gt;TODAY()),0,IF(OR(INDEX($B259:$D259,AQ$5)="F",AND(AQ$6&gt;0,$A259&lt;AQ$6),AND(AQ$7&gt;0,$A259&gt;AQ$7)),0,MAX(0,ROUND((INDEX($E259:$G259,AQ$5)-SUMIFS(TF_Timer,TF_Tekniker,AQ$4,TF_Dato,$A259))*2,0)/2)))</f>
        <v/>
      </c>
      <c r="AR259">
        <f>IF(OR(AR$4="",$A259&gt;TODAY()),0,IF(OR(INDEX($B259:$D259,AR$5)="F",AND(AR$6&gt;0,$A259&lt;AR$6),AND(AR$7&gt;0,$A259&gt;AR$7)),0,MAX(0,ROUND((INDEX($E259:$G259,AR$5)-SUMIFS(TF_Timer,TF_Tekniker,AR$4,TF_Dato,$A259))*2,0)/2)))</f>
        <v/>
      </c>
      <c r="AS259">
        <f>IF(OR(AS$4="",$A259&gt;TODAY()),0,IF(OR(INDEX($B259:$D259,AS$5)="F",AND(AS$6&gt;0,$A259&lt;AS$6),AND(AS$7&gt;0,$A259&gt;AS$7)),0,MAX(0,ROUND((INDEX($E259:$G259,AS$5)-SUMIFS(TF_Timer,TF_Tekniker,AS$4,TF_Dato,$A259))*2,0)/2)))</f>
        <v/>
      </c>
      <c r="AT259">
        <f>IF(OR(AT$4="",$A259&gt;TODAY()),0,IF(OR(INDEX($B259:$D259,AT$5)="F",AND(AT$6&gt;0,$A259&lt;AT$6),AND(AT$7&gt;0,$A259&gt;AT$7)),0,MAX(0,ROUND((INDEX($E259:$G259,AT$5)-SUMIFS(TF_Timer,TF_Tekniker,AT$4,TF_Dato,$A259))*2,0)/2)))</f>
        <v/>
      </c>
      <c r="AU259">
        <f>IF(OR(AU$4="",$A259&gt;TODAY()),0,IF(OR(INDEX($B259:$D259,AU$5)="F",AND(AU$6&gt;0,$A259&lt;AU$6),AND(AU$7&gt;0,$A259&gt;AU$7)),0,MAX(0,ROUND((INDEX($E259:$G259,AU$5)-SUMIFS(TF_Timer,TF_Tekniker,AU$4,TF_Dato,$A259))*2,0)/2)))</f>
        <v/>
      </c>
      <c r="AV259">
        <f>IF(OR(AV$4="",$A259&gt;TODAY()),0,IF(OR(INDEX($B259:$D259,AV$5)="F",AND(AV$6&gt;0,$A259&lt;AV$6),AND(AV$7&gt;0,$A259&gt;AV$7)),0,MAX(0,ROUND((INDEX($E259:$G259,AV$5)-SUMIFS(TF_Timer,TF_Tekniker,AV$4,TF_Dato,$A259))*2,0)/2)))</f>
        <v/>
      </c>
      <c r="AW259">
        <f>IF(OR(AW$4="",$A259&gt;TODAY()),0,IF(OR(INDEX($B259:$D259,AW$5)="F",AND(AW$6&gt;0,$A259&lt;AW$6),AND(AW$7&gt;0,$A259&gt;AW$7)),0,MAX(0,ROUND((INDEX($E259:$G259,AW$5)-SUMIFS(TF_Timer,TF_Tekniker,AW$4,TF_Dato,$A259))*2,0)/2)))</f>
        <v/>
      </c>
      <c r="AX259">
        <f>IF(OR(AX$4="",$A259&gt;TODAY()),0,IF(OR(INDEX($B259:$D259,AX$5)="F",AND(AX$6&gt;0,$A259&lt;AX$6),AND(AX$7&gt;0,$A259&gt;AX$7)),0,MAX(0,ROUND((INDEX($E259:$G259,AX$5)-SUMIFS(TF_Timer,TF_Tekniker,AX$4,TF_Dato,$A259))*2,0)/2)))</f>
        <v/>
      </c>
      <c r="AY259">
        <f>IF(OR(AY$4="",$A259&gt;TODAY()),0,IF(OR(INDEX($B259:$D259,AY$5)="F",AND(AY$6&gt;0,$A259&lt;AY$6),AND(AY$7&gt;0,$A259&gt;AY$7)),0,MAX(0,ROUND((INDEX($E259:$G259,AY$5)-SUMIFS(TF_Timer,TF_Tekniker,AY$4,TF_Dato,$A259))*2,0)/2)))</f>
        <v/>
      </c>
      <c r="AZ259">
        <f>IF(OR(AZ$4="",$A259&gt;TODAY()),0,IF(OR(INDEX($B259:$D259,AZ$5)="F",AND(AZ$6&gt;0,$A259&lt;AZ$6),AND(AZ$7&gt;0,$A259&gt;AZ$7)),0,MAX(0,ROUND((INDEX($E259:$G259,AZ$5)-SUMIFS(TF_Timer,TF_Tekniker,AZ$4,TF_Dato,$A259))*2,0)/2)))</f>
        <v/>
      </c>
      <c r="BA259">
        <f>IF(OR(BA$4="",$A259&gt;TODAY()),0,IF(OR(INDEX($B259:$D259,BA$5)="F",AND(BA$6&gt;0,$A259&lt;BA$6),AND(BA$7&gt;0,$A259&gt;BA$7)),0,MAX(0,ROUND((INDEX($E259:$G259,BA$5)-SUMIFS(TF_Timer,TF_Tekniker,BA$4,TF_Dato,$A259))*2,0)/2)))</f>
        <v/>
      </c>
      <c r="BB259">
        <f>IF(OR(BB$4="",$A259&gt;TODAY()),0,IF(OR(INDEX($B259:$D259,BB$5)="F",AND(BB$6&gt;0,$A259&lt;BB$6),AND(BB$7&gt;0,$A259&gt;BB$7)),0,MAX(0,ROUND((INDEX($E259:$G259,BB$5)-SUMIFS(TF_Timer,TF_Tekniker,BB$4,TF_Dato,$A259))*2,0)/2)))</f>
        <v/>
      </c>
      <c r="BC259">
        <f>IF(OR(BC$4="",$A259&gt;TODAY()),0,IF(OR(INDEX($B259:$D259,BC$5)="F",AND(BC$6&gt;0,$A259&lt;BC$6),AND(BC$7&gt;0,$A259&gt;BC$7)),0,MAX(0,ROUND((INDEX($E259:$G259,BC$5)-SUMIFS(TF_Timer,TF_Tekniker,BC$4,TF_Dato,$A259))*2,0)/2)))</f>
        <v/>
      </c>
      <c r="BD259">
        <f>IF(OR(BD$4="",$A259&gt;TODAY()),0,IF(OR(INDEX($B259:$D259,BD$5)="F",AND(BD$6&gt;0,$A259&lt;BD$6),AND(BD$7&gt;0,$A259&gt;BD$7)),0,MAX(0,ROUND((INDEX($E259:$G259,BD$5)-SUMIFS(TF_Timer,TF_Tekniker,BD$4,TF_Dato,$A259))*2,0)/2)))</f>
        <v/>
      </c>
      <c r="BE259">
        <f>IF(OR(BE$4="",$A259&gt;TODAY()),0,IF(OR(INDEX($B259:$D259,BE$5)="F",AND(BE$6&gt;0,$A259&lt;BE$6),AND(BE$7&gt;0,$A259&gt;BE$7)),0,MAX(0,ROUND((INDEX($E259:$G259,BE$5)-SUMIFS(TF_Timer,TF_Tekniker,BE$4,TF_Dato,$A259))*2,0)/2)))</f>
        <v/>
      </c>
      <c r="BF259">
        <f>IF(OR(BF$4="",$A259&gt;TODAY()),0,IF(OR(INDEX($B259:$D259,BF$5)="F",AND(BF$6&gt;0,$A259&lt;BF$6),AND(BF$7&gt;0,$A259&gt;BF$7)),0,MAX(0,ROUND((INDEX($E259:$G259,BF$5)-SUMIFS(TF_Timer,TF_Tekniker,BF$4,TF_Dato,$A259))*2,0)/2)))</f>
        <v/>
      </c>
      <c r="BG259">
        <f>IF(OR(BG$4="",$A259&gt;TODAY()),0,IF(OR(INDEX($B259:$D259,BG$5)="F",AND(BG$6&gt;0,$A259&lt;BG$6),AND(BG$7&gt;0,$A259&gt;BG$7)),0,MAX(0,ROUND((INDEX($E259:$G259,BG$5)-SUMIFS(TF_Timer,TF_Tekniker,BG$4,TF_Dato,$A259))*2,0)/2)))</f>
        <v/>
      </c>
      <c r="BH259">
        <f>IF(OR(BH$4="",$A259&gt;TODAY()),0,IF(OR(INDEX($B259:$D259,BH$5)="F",AND(BH$6&gt;0,$A259&lt;BH$6),AND(BH$7&gt;0,$A259&gt;BH$7)),0,MAX(0,ROUND((INDEX($E259:$G259,BH$5)-SUMIFS(TF_Timer,TF_Tekniker,BH$4,TF_Dato,$A259))*2,0)/2)))</f>
        <v/>
      </c>
      <c r="BI259">
        <f>IF(OR(BI$4="",$A259&gt;TODAY()),0,IF(OR(INDEX($B259:$D259,BI$5)="F",AND(BI$6&gt;0,$A259&lt;BI$6),AND(BI$7&gt;0,$A259&gt;BI$7)),0,MAX(0,ROUND((INDEX($E259:$G259,BI$5)-SUMIFS(TF_Timer,TF_Tekniker,BI$4,TF_Dato,$A259))*2,0)/2)))</f>
        <v/>
      </c>
    </row>
    <row r="260">
      <c r="A260" s="64">
        <f>A259+1</f>
        <v/>
      </c>
      <c r="B260">
        <f>IF(MOD($A260-INDEX(SkiftStart,1),Syklus)&lt;DagK,"K",IF(MOD($A260-INDEX(SkiftStart,1),Syklus)&lt;DagK+DagH,"H",IF(MOD($A260-INDEX(SkiftStart,1),Syklus)&lt;DagK+DagH+DagD,"D","F")))</f>
        <v/>
      </c>
      <c r="C260">
        <f>IF(MOD($A260-INDEX(SkiftStart,2),Syklus)&lt;DagK,"K",IF(MOD($A260-INDEX(SkiftStart,2),Syklus)&lt;DagK+DagH,"H",IF(MOD($A260-INDEX(SkiftStart,2),Syklus)&lt;DagK+DagH+DagD,"D","F")))</f>
        <v/>
      </c>
      <c r="D260">
        <f>IF(MOD($A260-INDEX(SkiftStart,3),Syklus)&lt;DagK,"K",IF(MOD($A260-INDEX(SkiftStart,3),Syklus)&lt;DagK+DagH,"H",IF(MOD($A260-INDEX(SkiftStart,3),Syklus)&lt;DagK+DagH+DagD,"D","F")))</f>
        <v/>
      </c>
      <c r="E260">
        <f>IF(B260="F",0,IF(WEEKDAY($A260,2)=5,INDEX(TimerFr,MATCH(B260,FaseKode,0)),INDEX(TimerMT,MATCH(B260,FaseKode,0))))</f>
        <v/>
      </c>
      <c r="F260">
        <f>IF(C260="F",0,IF(WEEKDAY($A260,2)=5,INDEX(TimerFr,MATCH(C260,FaseKode,0)),INDEX(TimerMT,MATCH(C260,FaseKode,0))))</f>
        <v/>
      </c>
      <c r="G260">
        <f>IF(D260="F",0,IF(WEEKDAY($A260,2)=5,INDEX(TimerFr,MATCH(D260,FaseKode,0)),INDEX(TimerMT,MATCH(D260,FaseKode,0))))</f>
        <v/>
      </c>
      <c r="H260">
        <f>IF(OR(H$4="",$A260&gt;TODAY()),0,IF(OR(INDEX($B260:$D260,H$5)="F",AND(H$6&gt;0,$A260&lt;H$6),AND(H$7&gt;0,$A260&gt;H$7)),0,MAX(0,ROUND((INDEX($E260:$G260,H$5)-SUMIFS(TF_Timer,TF_Tekniker,H$4,TF_Dato,$A260))*2,0)/2)))</f>
        <v/>
      </c>
      <c r="I260">
        <f>IF(OR(I$4="",$A260&gt;TODAY()),0,IF(OR(INDEX($B260:$D260,I$5)="F",AND(I$6&gt;0,$A260&lt;I$6),AND(I$7&gt;0,$A260&gt;I$7)),0,MAX(0,ROUND((INDEX($E260:$G260,I$5)-SUMIFS(TF_Timer,TF_Tekniker,I$4,TF_Dato,$A260))*2,0)/2)))</f>
        <v/>
      </c>
      <c r="J260">
        <f>IF(OR(J$4="",$A260&gt;TODAY()),0,IF(OR(INDEX($B260:$D260,J$5)="F",AND(J$6&gt;0,$A260&lt;J$6),AND(J$7&gt;0,$A260&gt;J$7)),0,MAX(0,ROUND((INDEX($E260:$G260,J$5)-SUMIFS(TF_Timer,TF_Tekniker,J$4,TF_Dato,$A260))*2,0)/2)))</f>
        <v/>
      </c>
      <c r="K260">
        <f>IF(OR(K$4="",$A260&gt;TODAY()),0,IF(OR(INDEX($B260:$D260,K$5)="F",AND(K$6&gt;0,$A260&lt;K$6),AND(K$7&gt;0,$A260&gt;K$7)),0,MAX(0,ROUND((INDEX($E260:$G260,K$5)-SUMIFS(TF_Timer,TF_Tekniker,K$4,TF_Dato,$A260))*2,0)/2)))</f>
        <v/>
      </c>
      <c r="L260">
        <f>IF(OR(L$4="",$A260&gt;TODAY()),0,IF(OR(INDEX($B260:$D260,L$5)="F",AND(L$6&gt;0,$A260&lt;L$6),AND(L$7&gt;0,$A260&gt;L$7)),0,MAX(0,ROUND((INDEX($E260:$G260,L$5)-SUMIFS(TF_Timer,TF_Tekniker,L$4,TF_Dato,$A260))*2,0)/2)))</f>
        <v/>
      </c>
      <c r="M260">
        <f>IF(OR(M$4="",$A260&gt;TODAY()),0,IF(OR(INDEX($B260:$D260,M$5)="F",AND(M$6&gt;0,$A260&lt;M$6),AND(M$7&gt;0,$A260&gt;M$7)),0,MAX(0,ROUND((INDEX($E260:$G260,M$5)-SUMIFS(TF_Timer,TF_Tekniker,M$4,TF_Dato,$A260))*2,0)/2)))</f>
        <v/>
      </c>
      <c r="N260">
        <f>IF(OR(N$4="",$A260&gt;TODAY()),0,IF(OR(INDEX($B260:$D260,N$5)="F",AND(N$6&gt;0,$A260&lt;N$6),AND(N$7&gt;0,$A260&gt;N$7)),0,MAX(0,ROUND((INDEX($E260:$G260,N$5)-SUMIFS(TF_Timer,TF_Tekniker,N$4,TF_Dato,$A260))*2,0)/2)))</f>
        <v/>
      </c>
      <c r="O260">
        <f>IF(OR(O$4="",$A260&gt;TODAY()),0,IF(OR(INDEX($B260:$D260,O$5)="F",AND(O$6&gt;0,$A260&lt;O$6),AND(O$7&gt;0,$A260&gt;O$7)),0,MAX(0,ROUND((INDEX($E260:$G260,O$5)-SUMIFS(TF_Timer,TF_Tekniker,O$4,TF_Dato,$A260))*2,0)/2)))</f>
        <v/>
      </c>
      <c r="P260">
        <f>IF(OR(P$4="",$A260&gt;TODAY()),0,IF(OR(INDEX($B260:$D260,P$5)="F",AND(P$6&gt;0,$A260&lt;P$6),AND(P$7&gt;0,$A260&gt;P$7)),0,MAX(0,ROUND((INDEX($E260:$G260,P$5)-SUMIFS(TF_Timer,TF_Tekniker,P$4,TF_Dato,$A260))*2,0)/2)))</f>
        <v/>
      </c>
      <c r="Q260">
        <f>IF(OR(Q$4="",$A260&gt;TODAY()),0,IF(OR(INDEX($B260:$D260,Q$5)="F",AND(Q$6&gt;0,$A260&lt;Q$6),AND(Q$7&gt;0,$A260&gt;Q$7)),0,MAX(0,ROUND((INDEX($E260:$G260,Q$5)-SUMIFS(TF_Timer,TF_Tekniker,Q$4,TF_Dato,$A260))*2,0)/2)))</f>
        <v/>
      </c>
      <c r="R260">
        <f>IF(OR(R$4="",$A260&gt;TODAY()),0,IF(OR(INDEX($B260:$D260,R$5)="F",AND(R$6&gt;0,$A260&lt;R$6),AND(R$7&gt;0,$A260&gt;R$7)),0,MAX(0,ROUND((INDEX($E260:$G260,R$5)-SUMIFS(TF_Timer,TF_Tekniker,R$4,TF_Dato,$A260))*2,0)/2)))</f>
        <v/>
      </c>
      <c r="S260">
        <f>IF(OR(S$4="",$A260&gt;TODAY()),0,IF(OR(INDEX($B260:$D260,S$5)="F",AND(S$6&gt;0,$A260&lt;S$6),AND(S$7&gt;0,$A260&gt;S$7)),0,MAX(0,ROUND((INDEX($E260:$G260,S$5)-SUMIFS(TF_Timer,TF_Tekniker,S$4,TF_Dato,$A260))*2,0)/2)))</f>
        <v/>
      </c>
      <c r="T260">
        <f>IF(OR(T$4="",$A260&gt;TODAY()),0,IF(OR(INDEX($B260:$D260,T$5)="F",AND(T$6&gt;0,$A260&lt;T$6),AND(T$7&gt;0,$A260&gt;T$7)),0,MAX(0,ROUND((INDEX($E260:$G260,T$5)-SUMIFS(TF_Timer,TF_Tekniker,T$4,TF_Dato,$A260))*2,0)/2)))</f>
        <v/>
      </c>
      <c r="U260">
        <f>IF(OR(U$4="",$A260&gt;TODAY()),0,IF(OR(INDEX($B260:$D260,U$5)="F",AND(U$6&gt;0,$A260&lt;U$6),AND(U$7&gt;0,$A260&gt;U$7)),0,MAX(0,ROUND((INDEX($E260:$G260,U$5)-SUMIFS(TF_Timer,TF_Tekniker,U$4,TF_Dato,$A260))*2,0)/2)))</f>
        <v/>
      </c>
      <c r="V260">
        <f>IF(OR(V$4="",$A260&gt;TODAY()),0,IF(OR(INDEX($B260:$D260,V$5)="F",AND(V$6&gt;0,$A260&lt;V$6),AND(V$7&gt;0,$A260&gt;V$7)),0,MAX(0,ROUND((INDEX($E260:$G260,V$5)-SUMIFS(TF_Timer,TF_Tekniker,V$4,TF_Dato,$A260))*2,0)/2)))</f>
        <v/>
      </c>
      <c r="W260">
        <f>IF(OR(W$4="",$A260&gt;TODAY()),0,IF(OR(INDEX($B260:$D260,W$5)="F",AND(W$6&gt;0,$A260&lt;W$6),AND(W$7&gt;0,$A260&gt;W$7)),0,MAX(0,ROUND((INDEX($E260:$G260,W$5)-SUMIFS(TF_Timer,TF_Tekniker,W$4,TF_Dato,$A260))*2,0)/2)))</f>
        <v/>
      </c>
      <c r="X260">
        <f>IF(OR(X$4="",$A260&gt;TODAY()),0,IF(OR(INDEX($B260:$D260,X$5)="F",AND(X$6&gt;0,$A260&lt;X$6),AND(X$7&gt;0,$A260&gt;X$7)),0,MAX(0,ROUND((INDEX($E260:$G260,X$5)-SUMIFS(TF_Timer,TF_Tekniker,X$4,TF_Dato,$A260))*2,0)/2)))</f>
        <v/>
      </c>
      <c r="Y260">
        <f>IF(OR(Y$4="",$A260&gt;TODAY()),0,IF(OR(INDEX($B260:$D260,Y$5)="F",AND(Y$6&gt;0,$A260&lt;Y$6),AND(Y$7&gt;0,$A260&gt;Y$7)),0,MAX(0,ROUND((INDEX($E260:$G260,Y$5)-SUMIFS(TF_Timer,TF_Tekniker,Y$4,TF_Dato,$A260))*2,0)/2)))</f>
        <v/>
      </c>
      <c r="Z260">
        <f>IF(OR(Z$4="",$A260&gt;TODAY()),0,IF(OR(INDEX($B260:$D260,Z$5)="F",AND(Z$6&gt;0,$A260&lt;Z$6),AND(Z$7&gt;0,$A260&gt;Z$7)),0,MAX(0,ROUND((INDEX($E260:$G260,Z$5)-SUMIFS(TF_Timer,TF_Tekniker,Z$4,TF_Dato,$A260))*2,0)/2)))</f>
        <v/>
      </c>
      <c r="AA260">
        <f>IF(OR(AA$4="",$A260&gt;TODAY()),0,IF(OR(INDEX($B260:$D260,AA$5)="F",AND(AA$6&gt;0,$A260&lt;AA$6),AND(AA$7&gt;0,$A260&gt;AA$7)),0,MAX(0,ROUND((INDEX($E260:$G260,AA$5)-SUMIFS(TF_Timer,TF_Tekniker,AA$4,TF_Dato,$A260))*2,0)/2)))</f>
        <v/>
      </c>
      <c r="AB260">
        <f>IF(OR(AB$4="",$A260&gt;TODAY()),0,IF(OR(INDEX($B260:$D260,AB$5)="F",AND(AB$6&gt;0,$A260&lt;AB$6),AND(AB$7&gt;0,$A260&gt;AB$7)),0,MAX(0,ROUND((INDEX($E260:$G260,AB$5)-SUMIFS(TF_Timer,TF_Tekniker,AB$4,TF_Dato,$A260))*2,0)/2)))</f>
        <v/>
      </c>
      <c r="AC260">
        <f>IF(OR(AC$4="",$A260&gt;TODAY()),0,IF(OR(INDEX($B260:$D260,AC$5)="F",AND(AC$6&gt;0,$A260&lt;AC$6),AND(AC$7&gt;0,$A260&gt;AC$7)),0,MAX(0,ROUND((INDEX($E260:$G260,AC$5)-SUMIFS(TF_Timer,TF_Tekniker,AC$4,TF_Dato,$A260))*2,0)/2)))</f>
        <v/>
      </c>
      <c r="AD260">
        <f>IF(OR(AD$4="",$A260&gt;TODAY()),0,IF(OR(INDEX($B260:$D260,AD$5)="F",AND(AD$6&gt;0,$A260&lt;AD$6),AND(AD$7&gt;0,$A260&gt;AD$7)),0,MAX(0,ROUND((INDEX($E260:$G260,AD$5)-SUMIFS(TF_Timer,TF_Tekniker,AD$4,TF_Dato,$A260))*2,0)/2)))</f>
        <v/>
      </c>
      <c r="AE260">
        <f>IF(OR(AE$4="",$A260&gt;TODAY()),0,IF(OR(INDEX($B260:$D260,AE$5)="F",AND(AE$6&gt;0,$A260&lt;AE$6),AND(AE$7&gt;0,$A260&gt;AE$7)),0,MAX(0,ROUND((INDEX($E260:$G260,AE$5)-SUMIFS(TF_Timer,TF_Tekniker,AE$4,TF_Dato,$A260))*2,0)/2)))</f>
        <v/>
      </c>
      <c r="AF260">
        <f>IF(OR(AF$4="",$A260&gt;TODAY()),0,IF(OR(INDEX($B260:$D260,AF$5)="F",AND(AF$6&gt;0,$A260&lt;AF$6),AND(AF$7&gt;0,$A260&gt;AF$7)),0,MAX(0,ROUND((INDEX($E260:$G260,AF$5)-SUMIFS(TF_Timer,TF_Tekniker,AF$4,TF_Dato,$A260))*2,0)/2)))</f>
        <v/>
      </c>
      <c r="AG260">
        <f>IF(OR(AG$4="",$A260&gt;TODAY()),0,IF(OR(INDEX($B260:$D260,AG$5)="F",AND(AG$6&gt;0,$A260&lt;AG$6),AND(AG$7&gt;0,$A260&gt;AG$7)),0,MAX(0,ROUND((INDEX($E260:$G260,AG$5)-SUMIFS(TF_Timer,TF_Tekniker,AG$4,TF_Dato,$A260))*2,0)/2)))</f>
        <v/>
      </c>
      <c r="AH260">
        <f>IF(OR(AH$4="",$A260&gt;TODAY()),0,IF(OR(INDEX($B260:$D260,AH$5)="F",AND(AH$6&gt;0,$A260&lt;AH$6),AND(AH$7&gt;0,$A260&gt;AH$7)),0,MAX(0,ROUND((INDEX($E260:$G260,AH$5)-SUMIFS(TF_Timer,TF_Tekniker,AH$4,TF_Dato,$A260))*2,0)/2)))</f>
        <v/>
      </c>
      <c r="AI260">
        <f>IF(OR(AI$4="",$A260&gt;TODAY()),0,IF(OR(INDEX($B260:$D260,AI$5)="F",AND(AI$6&gt;0,$A260&lt;AI$6),AND(AI$7&gt;0,$A260&gt;AI$7)),0,MAX(0,ROUND((INDEX($E260:$G260,AI$5)-SUMIFS(TF_Timer,TF_Tekniker,AI$4,TF_Dato,$A260))*2,0)/2)))</f>
        <v/>
      </c>
      <c r="AJ260">
        <f>IF(OR(AJ$4="",$A260&gt;TODAY()),0,IF(OR(INDEX($B260:$D260,AJ$5)="F",AND(AJ$6&gt;0,$A260&lt;AJ$6),AND(AJ$7&gt;0,$A260&gt;AJ$7)),0,MAX(0,ROUND((INDEX($E260:$G260,AJ$5)-SUMIFS(TF_Timer,TF_Tekniker,AJ$4,TF_Dato,$A260))*2,0)/2)))</f>
        <v/>
      </c>
      <c r="AK260">
        <f>IF(OR(AK$4="",$A260&gt;TODAY()),0,IF(OR(INDEX($B260:$D260,AK$5)="F",AND(AK$6&gt;0,$A260&lt;AK$6),AND(AK$7&gt;0,$A260&gt;AK$7)),0,MAX(0,ROUND((INDEX($E260:$G260,AK$5)-SUMIFS(TF_Timer,TF_Tekniker,AK$4,TF_Dato,$A260))*2,0)/2)))</f>
        <v/>
      </c>
      <c r="AL260">
        <f>IF(OR(AL$4="",$A260&gt;TODAY()),0,IF(OR(INDEX($B260:$D260,AL$5)="F",AND(AL$6&gt;0,$A260&lt;AL$6),AND(AL$7&gt;0,$A260&gt;AL$7)),0,MAX(0,ROUND((INDEX($E260:$G260,AL$5)-SUMIFS(TF_Timer,TF_Tekniker,AL$4,TF_Dato,$A260))*2,0)/2)))</f>
        <v/>
      </c>
      <c r="AM260">
        <f>IF(OR(AM$4="",$A260&gt;TODAY()),0,IF(OR(INDEX($B260:$D260,AM$5)="F",AND(AM$6&gt;0,$A260&lt;AM$6),AND(AM$7&gt;0,$A260&gt;AM$7)),0,MAX(0,ROUND((INDEX($E260:$G260,AM$5)-SUMIFS(TF_Timer,TF_Tekniker,AM$4,TF_Dato,$A260))*2,0)/2)))</f>
        <v/>
      </c>
      <c r="AN260">
        <f>IF(OR(AN$4="",$A260&gt;TODAY()),0,IF(OR(INDEX($B260:$D260,AN$5)="F",AND(AN$6&gt;0,$A260&lt;AN$6),AND(AN$7&gt;0,$A260&gt;AN$7)),0,MAX(0,ROUND((INDEX($E260:$G260,AN$5)-SUMIFS(TF_Timer,TF_Tekniker,AN$4,TF_Dato,$A260))*2,0)/2)))</f>
        <v/>
      </c>
      <c r="AO260">
        <f>IF(OR(AO$4="",$A260&gt;TODAY()),0,IF(OR(INDEX($B260:$D260,AO$5)="F",AND(AO$6&gt;0,$A260&lt;AO$6),AND(AO$7&gt;0,$A260&gt;AO$7)),0,MAX(0,ROUND((INDEX($E260:$G260,AO$5)-SUMIFS(TF_Timer,TF_Tekniker,AO$4,TF_Dato,$A260))*2,0)/2)))</f>
        <v/>
      </c>
      <c r="AP260">
        <f>IF(OR(AP$4="",$A260&gt;TODAY()),0,IF(OR(INDEX($B260:$D260,AP$5)="F",AND(AP$6&gt;0,$A260&lt;AP$6),AND(AP$7&gt;0,$A260&gt;AP$7)),0,MAX(0,ROUND((INDEX($E260:$G260,AP$5)-SUMIFS(TF_Timer,TF_Tekniker,AP$4,TF_Dato,$A260))*2,0)/2)))</f>
        <v/>
      </c>
      <c r="AQ260">
        <f>IF(OR(AQ$4="",$A260&gt;TODAY()),0,IF(OR(INDEX($B260:$D260,AQ$5)="F",AND(AQ$6&gt;0,$A260&lt;AQ$6),AND(AQ$7&gt;0,$A260&gt;AQ$7)),0,MAX(0,ROUND((INDEX($E260:$G260,AQ$5)-SUMIFS(TF_Timer,TF_Tekniker,AQ$4,TF_Dato,$A260))*2,0)/2)))</f>
        <v/>
      </c>
      <c r="AR260">
        <f>IF(OR(AR$4="",$A260&gt;TODAY()),0,IF(OR(INDEX($B260:$D260,AR$5)="F",AND(AR$6&gt;0,$A260&lt;AR$6),AND(AR$7&gt;0,$A260&gt;AR$7)),0,MAX(0,ROUND((INDEX($E260:$G260,AR$5)-SUMIFS(TF_Timer,TF_Tekniker,AR$4,TF_Dato,$A260))*2,0)/2)))</f>
        <v/>
      </c>
      <c r="AS260">
        <f>IF(OR(AS$4="",$A260&gt;TODAY()),0,IF(OR(INDEX($B260:$D260,AS$5)="F",AND(AS$6&gt;0,$A260&lt;AS$6),AND(AS$7&gt;0,$A260&gt;AS$7)),0,MAX(0,ROUND((INDEX($E260:$G260,AS$5)-SUMIFS(TF_Timer,TF_Tekniker,AS$4,TF_Dato,$A260))*2,0)/2)))</f>
        <v/>
      </c>
      <c r="AT260">
        <f>IF(OR(AT$4="",$A260&gt;TODAY()),0,IF(OR(INDEX($B260:$D260,AT$5)="F",AND(AT$6&gt;0,$A260&lt;AT$6),AND(AT$7&gt;0,$A260&gt;AT$7)),0,MAX(0,ROUND((INDEX($E260:$G260,AT$5)-SUMIFS(TF_Timer,TF_Tekniker,AT$4,TF_Dato,$A260))*2,0)/2)))</f>
        <v/>
      </c>
      <c r="AU260">
        <f>IF(OR(AU$4="",$A260&gt;TODAY()),0,IF(OR(INDEX($B260:$D260,AU$5)="F",AND(AU$6&gt;0,$A260&lt;AU$6),AND(AU$7&gt;0,$A260&gt;AU$7)),0,MAX(0,ROUND((INDEX($E260:$G260,AU$5)-SUMIFS(TF_Timer,TF_Tekniker,AU$4,TF_Dato,$A260))*2,0)/2)))</f>
        <v/>
      </c>
      <c r="AV260">
        <f>IF(OR(AV$4="",$A260&gt;TODAY()),0,IF(OR(INDEX($B260:$D260,AV$5)="F",AND(AV$6&gt;0,$A260&lt;AV$6),AND(AV$7&gt;0,$A260&gt;AV$7)),0,MAX(0,ROUND((INDEX($E260:$G260,AV$5)-SUMIFS(TF_Timer,TF_Tekniker,AV$4,TF_Dato,$A260))*2,0)/2)))</f>
        <v/>
      </c>
      <c r="AW260">
        <f>IF(OR(AW$4="",$A260&gt;TODAY()),0,IF(OR(INDEX($B260:$D260,AW$5)="F",AND(AW$6&gt;0,$A260&lt;AW$6),AND(AW$7&gt;0,$A260&gt;AW$7)),0,MAX(0,ROUND((INDEX($E260:$G260,AW$5)-SUMIFS(TF_Timer,TF_Tekniker,AW$4,TF_Dato,$A260))*2,0)/2)))</f>
        <v/>
      </c>
      <c r="AX260">
        <f>IF(OR(AX$4="",$A260&gt;TODAY()),0,IF(OR(INDEX($B260:$D260,AX$5)="F",AND(AX$6&gt;0,$A260&lt;AX$6),AND(AX$7&gt;0,$A260&gt;AX$7)),0,MAX(0,ROUND((INDEX($E260:$G260,AX$5)-SUMIFS(TF_Timer,TF_Tekniker,AX$4,TF_Dato,$A260))*2,0)/2)))</f>
        <v/>
      </c>
      <c r="AY260">
        <f>IF(OR(AY$4="",$A260&gt;TODAY()),0,IF(OR(INDEX($B260:$D260,AY$5)="F",AND(AY$6&gt;0,$A260&lt;AY$6),AND(AY$7&gt;0,$A260&gt;AY$7)),0,MAX(0,ROUND((INDEX($E260:$G260,AY$5)-SUMIFS(TF_Timer,TF_Tekniker,AY$4,TF_Dato,$A260))*2,0)/2)))</f>
        <v/>
      </c>
      <c r="AZ260">
        <f>IF(OR(AZ$4="",$A260&gt;TODAY()),0,IF(OR(INDEX($B260:$D260,AZ$5)="F",AND(AZ$6&gt;0,$A260&lt;AZ$6),AND(AZ$7&gt;0,$A260&gt;AZ$7)),0,MAX(0,ROUND((INDEX($E260:$G260,AZ$5)-SUMIFS(TF_Timer,TF_Tekniker,AZ$4,TF_Dato,$A260))*2,0)/2)))</f>
        <v/>
      </c>
      <c r="BA260">
        <f>IF(OR(BA$4="",$A260&gt;TODAY()),0,IF(OR(INDEX($B260:$D260,BA$5)="F",AND(BA$6&gt;0,$A260&lt;BA$6),AND(BA$7&gt;0,$A260&gt;BA$7)),0,MAX(0,ROUND((INDEX($E260:$G260,BA$5)-SUMIFS(TF_Timer,TF_Tekniker,BA$4,TF_Dato,$A260))*2,0)/2)))</f>
        <v/>
      </c>
      <c r="BB260">
        <f>IF(OR(BB$4="",$A260&gt;TODAY()),0,IF(OR(INDEX($B260:$D260,BB$5)="F",AND(BB$6&gt;0,$A260&lt;BB$6),AND(BB$7&gt;0,$A260&gt;BB$7)),0,MAX(0,ROUND((INDEX($E260:$G260,BB$5)-SUMIFS(TF_Timer,TF_Tekniker,BB$4,TF_Dato,$A260))*2,0)/2)))</f>
        <v/>
      </c>
      <c r="BC260">
        <f>IF(OR(BC$4="",$A260&gt;TODAY()),0,IF(OR(INDEX($B260:$D260,BC$5)="F",AND(BC$6&gt;0,$A260&lt;BC$6),AND(BC$7&gt;0,$A260&gt;BC$7)),0,MAX(0,ROUND((INDEX($E260:$G260,BC$5)-SUMIFS(TF_Timer,TF_Tekniker,BC$4,TF_Dato,$A260))*2,0)/2)))</f>
        <v/>
      </c>
      <c r="BD260">
        <f>IF(OR(BD$4="",$A260&gt;TODAY()),0,IF(OR(INDEX($B260:$D260,BD$5)="F",AND(BD$6&gt;0,$A260&lt;BD$6),AND(BD$7&gt;0,$A260&gt;BD$7)),0,MAX(0,ROUND((INDEX($E260:$G260,BD$5)-SUMIFS(TF_Timer,TF_Tekniker,BD$4,TF_Dato,$A260))*2,0)/2)))</f>
        <v/>
      </c>
      <c r="BE260">
        <f>IF(OR(BE$4="",$A260&gt;TODAY()),0,IF(OR(INDEX($B260:$D260,BE$5)="F",AND(BE$6&gt;0,$A260&lt;BE$6),AND(BE$7&gt;0,$A260&gt;BE$7)),0,MAX(0,ROUND((INDEX($E260:$G260,BE$5)-SUMIFS(TF_Timer,TF_Tekniker,BE$4,TF_Dato,$A260))*2,0)/2)))</f>
        <v/>
      </c>
      <c r="BF260">
        <f>IF(OR(BF$4="",$A260&gt;TODAY()),0,IF(OR(INDEX($B260:$D260,BF$5)="F",AND(BF$6&gt;0,$A260&lt;BF$6),AND(BF$7&gt;0,$A260&gt;BF$7)),0,MAX(0,ROUND((INDEX($E260:$G260,BF$5)-SUMIFS(TF_Timer,TF_Tekniker,BF$4,TF_Dato,$A260))*2,0)/2)))</f>
        <v/>
      </c>
      <c r="BG260">
        <f>IF(OR(BG$4="",$A260&gt;TODAY()),0,IF(OR(INDEX($B260:$D260,BG$5)="F",AND(BG$6&gt;0,$A260&lt;BG$6),AND(BG$7&gt;0,$A260&gt;BG$7)),0,MAX(0,ROUND((INDEX($E260:$G260,BG$5)-SUMIFS(TF_Timer,TF_Tekniker,BG$4,TF_Dato,$A260))*2,0)/2)))</f>
        <v/>
      </c>
      <c r="BH260">
        <f>IF(OR(BH$4="",$A260&gt;TODAY()),0,IF(OR(INDEX($B260:$D260,BH$5)="F",AND(BH$6&gt;0,$A260&lt;BH$6),AND(BH$7&gt;0,$A260&gt;BH$7)),0,MAX(0,ROUND((INDEX($E260:$G260,BH$5)-SUMIFS(TF_Timer,TF_Tekniker,BH$4,TF_Dato,$A260))*2,0)/2)))</f>
        <v/>
      </c>
      <c r="BI260">
        <f>IF(OR(BI$4="",$A260&gt;TODAY()),0,IF(OR(INDEX($B260:$D260,BI$5)="F",AND(BI$6&gt;0,$A260&lt;BI$6),AND(BI$7&gt;0,$A260&gt;BI$7)),0,MAX(0,ROUND((INDEX($E260:$G260,BI$5)-SUMIFS(TF_Timer,TF_Tekniker,BI$4,TF_Dato,$A260))*2,0)/2)))</f>
        <v/>
      </c>
    </row>
    <row r="261">
      <c r="A261" s="64">
        <f>A260+1</f>
        <v/>
      </c>
      <c r="B261">
        <f>IF(MOD($A261-INDEX(SkiftStart,1),Syklus)&lt;DagK,"K",IF(MOD($A261-INDEX(SkiftStart,1),Syklus)&lt;DagK+DagH,"H",IF(MOD($A261-INDEX(SkiftStart,1),Syklus)&lt;DagK+DagH+DagD,"D","F")))</f>
        <v/>
      </c>
      <c r="C261">
        <f>IF(MOD($A261-INDEX(SkiftStart,2),Syklus)&lt;DagK,"K",IF(MOD($A261-INDEX(SkiftStart,2),Syklus)&lt;DagK+DagH,"H",IF(MOD($A261-INDEX(SkiftStart,2),Syklus)&lt;DagK+DagH+DagD,"D","F")))</f>
        <v/>
      </c>
      <c r="D261">
        <f>IF(MOD($A261-INDEX(SkiftStart,3),Syklus)&lt;DagK,"K",IF(MOD($A261-INDEX(SkiftStart,3),Syklus)&lt;DagK+DagH,"H",IF(MOD($A261-INDEX(SkiftStart,3),Syklus)&lt;DagK+DagH+DagD,"D","F")))</f>
        <v/>
      </c>
      <c r="E261">
        <f>IF(B261="F",0,IF(WEEKDAY($A261,2)=5,INDEX(TimerFr,MATCH(B261,FaseKode,0)),INDEX(TimerMT,MATCH(B261,FaseKode,0))))</f>
        <v/>
      </c>
      <c r="F261">
        <f>IF(C261="F",0,IF(WEEKDAY($A261,2)=5,INDEX(TimerFr,MATCH(C261,FaseKode,0)),INDEX(TimerMT,MATCH(C261,FaseKode,0))))</f>
        <v/>
      </c>
      <c r="G261">
        <f>IF(D261="F",0,IF(WEEKDAY($A261,2)=5,INDEX(TimerFr,MATCH(D261,FaseKode,0)),INDEX(TimerMT,MATCH(D261,FaseKode,0))))</f>
        <v/>
      </c>
      <c r="H261">
        <f>IF(OR(H$4="",$A261&gt;TODAY()),0,IF(OR(INDEX($B261:$D261,H$5)="F",AND(H$6&gt;0,$A261&lt;H$6),AND(H$7&gt;0,$A261&gt;H$7)),0,MAX(0,ROUND((INDEX($E261:$G261,H$5)-SUMIFS(TF_Timer,TF_Tekniker,H$4,TF_Dato,$A261))*2,0)/2)))</f>
        <v/>
      </c>
      <c r="I261">
        <f>IF(OR(I$4="",$A261&gt;TODAY()),0,IF(OR(INDEX($B261:$D261,I$5)="F",AND(I$6&gt;0,$A261&lt;I$6),AND(I$7&gt;0,$A261&gt;I$7)),0,MAX(0,ROUND((INDEX($E261:$G261,I$5)-SUMIFS(TF_Timer,TF_Tekniker,I$4,TF_Dato,$A261))*2,0)/2)))</f>
        <v/>
      </c>
      <c r="J261">
        <f>IF(OR(J$4="",$A261&gt;TODAY()),0,IF(OR(INDEX($B261:$D261,J$5)="F",AND(J$6&gt;0,$A261&lt;J$6),AND(J$7&gt;0,$A261&gt;J$7)),0,MAX(0,ROUND((INDEX($E261:$G261,J$5)-SUMIFS(TF_Timer,TF_Tekniker,J$4,TF_Dato,$A261))*2,0)/2)))</f>
        <v/>
      </c>
      <c r="K261">
        <f>IF(OR(K$4="",$A261&gt;TODAY()),0,IF(OR(INDEX($B261:$D261,K$5)="F",AND(K$6&gt;0,$A261&lt;K$6),AND(K$7&gt;0,$A261&gt;K$7)),0,MAX(0,ROUND((INDEX($E261:$G261,K$5)-SUMIFS(TF_Timer,TF_Tekniker,K$4,TF_Dato,$A261))*2,0)/2)))</f>
        <v/>
      </c>
      <c r="L261">
        <f>IF(OR(L$4="",$A261&gt;TODAY()),0,IF(OR(INDEX($B261:$D261,L$5)="F",AND(L$6&gt;0,$A261&lt;L$6),AND(L$7&gt;0,$A261&gt;L$7)),0,MAX(0,ROUND((INDEX($E261:$G261,L$5)-SUMIFS(TF_Timer,TF_Tekniker,L$4,TF_Dato,$A261))*2,0)/2)))</f>
        <v/>
      </c>
      <c r="M261">
        <f>IF(OR(M$4="",$A261&gt;TODAY()),0,IF(OR(INDEX($B261:$D261,M$5)="F",AND(M$6&gt;0,$A261&lt;M$6),AND(M$7&gt;0,$A261&gt;M$7)),0,MAX(0,ROUND((INDEX($E261:$G261,M$5)-SUMIFS(TF_Timer,TF_Tekniker,M$4,TF_Dato,$A261))*2,0)/2)))</f>
        <v/>
      </c>
      <c r="N261">
        <f>IF(OR(N$4="",$A261&gt;TODAY()),0,IF(OR(INDEX($B261:$D261,N$5)="F",AND(N$6&gt;0,$A261&lt;N$6),AND(N$7&gt;0,$A261&gt;N$7)),0,MAX(0,ROUND((INDEX($E261:$G261,N$5)-SUMIFS(TF_Timer,TF_Tekniker,N$4,TF_Dato,$A261))*2,0)/2)))</f>
        <v/>
      </c>
      <c r="O261">
        <f>IF(OR(O$4="",$A261&gt;TODAY()),0,IF(OR(INDEX($B261:$D261,O$5)="F",AND(O$6&gt;0,$A261&lt;O$6),AND(O$7&gt;0,$A261&gt;O$7)),0,MAX(0,ROUND((INDEX($E261:$G261,O$5)-SUMIFS(TF_Timer,TF_Tekniker,O$4,TF_Dato,$A261))*2,0)/2)))</f>
        <v/>
      </c>
      <c r="P261">
        <f>IF(OR(P$4="",$A261&gt;TODAY()),0,IF(OR(INDEX($B261:$D261,P$5)="F",AND(P$6&gt;0,$A261&lt;P$6),AND(P$7&gt;0,$A261&gt;P$7)),0,MAX(0,ROUND((INDEX($E261:$G261,P$5)-SUMIFS(TF_Timer,TF_Tekniker,P$4,TF_Dato,$A261))*2,0)/2)))</f>
        <v/>
      </c>
      <c r="Q261">
        <f>IF(OR(Q$4="",$A261&gt;TODAY()),0,IF(OR(INDEX($B261:$D261,Q$5)="F",AND(Q$6&gt;0,$A261&lt;Q$6),AND(Q$7&gt;0,$A261&gt;Q$7)),0,MAX(0,ROUND((INDEX($E261:$G261,Q$5)-SUMIFS(TF_Timer,TF_Tekniker,Q$4,TF_Dato,$A261))*2,0)/2)))</f>
        <v/>
      </c>
      <c r="R261">
        <f>IF(OR(R$4="",$A261&gt;TODAY()),0,IF(OR(INDEX($B261:$D261,R$5)="F",AND(R$6&gt;0,$A261&lt;R$6),AND(R$7&gt;0,$A261&gt;R$7)),0,MAX(0,ROUND((INDEX($E261:$G261,R$5)-SUMIFS(TF_Timer,TF_Tekniker,R$4,TF_Dato,$A261))*2,0)/2)))</f>
        <v/>
      </c>
      <c r="S261">
        <f>IF(OR(S$4="",$A261&gt;TODAY()),0,IF(OR(INDEX($B261:$D261,S$5)="F",AND(S$6&gt;0,$A261&lt;S$6),AND(S$7&gt;0,$A261&gt;S$7)),0,MAX(0,ROUND((INDEX($E261:$G261,S$5)-SUMIFS(TF_Timer,TF_Tekniker,S$4,TF_Dato,$A261))*2,0)/2)))</f>
        <v/>
      </c>
      <c r="T261">
        <f>IF(OR(T$4="",$A261&gt;TODAY()),0,IF(OR(INDEX($B261:$D261,T$5)="F",AND(T$6&gt;0,$A261&lt;T$6),AND(T$7&gt;0,$A261&gt;T$7)),0,MAX(0,ROUND((INDEX($E261:$G261,T$5)-SUMIFS(TF_Timer,TF_Tekniker,T$4,TF_Dato,$A261))*2,0)/2)))</f>
        <v/>
      </c>
      <c r="U261">
        <f>IF(OR(U$4="",$A261&gt;TODAY()),0,IF(OR(INDEX($B261:$D261,U$5)="F",AND(U$6&gt;0,$A261&lt;U$6),AND(U$7&gt;0,$A261&gt;U$7)),0,MAX(0,ROUND((INDEX($E261:$G261,U$5)-SUMIFS(TF_Timer,TF_Tekniker,U$4,TF_Dato,$A261))*2,0)/2)))</f>
        <v/>
      </c>
      <c r="V261">
        <f>IF(OR(V$4="",$A261&gt;TODAY()),0,IF(OR(INDEX($B261:$D261,V$5)="F",AND(V$6&gt;0,$A261&lt;V$6),AND(V$7&gt;0,$A261&gt;V$7)),0,MAX(0,ROUND((INDEX($E261:$G261,V$5)-SUMIFS(TF_Timer,TF_Tekniker,V$4,TF_Dato,$A261))*2,0)/2)))</f>
        <v/>
      </c>
      <c r="W261">
        <f>IF(OR(W$4="",$A261&gt;TODAY()),0,IF(OR(INDEX($B261:$D261,W$5)="F",AND(W$6&gt;0,$A261&lt;W$6),AND(W$7&gt;0,$A261&gt;W$7)),0,MAX(0,ROUND((INDEX($E261:$G261,W$5)-SUMIFS(TF_Timer,TF_Tekniker,W$4,TF_Dato,$A261))*2,0)/2)))</f>
        <v/>
      </c>
      <c r="X261">
        <f>IF(OR(X$4="",$A261&gt;TODAY()),0,IF(OR(INDEX($B261:$D261,X$5)="F",AND(X$6&gt;0,$A261&lt;X$6),AND(X$7&gt;0,$A261&gt;X$7)),0,MAX(0,ROUND((INDEX($E261:$G261,X$5)-SUMIFS(TF_Timer,TF_Tekniker,X$4,TF_Dato,$A261))*2,0)/2)))</f>
        <v/>
      </c>
      <c r="Y261">
        <f>IF(OR(Y$4="",$A261&gt;TODAY()),0,IF(OR(INDEX($B261:$D261,Y$5)="F",AND(Y$6&gt;0,$A261&lt;Y$6),AND(Y$7&gt;0,$A261&gt;Y$7)),0,MAX(0,ROUND((INDEX($E261:$G261,Y$5)-SUMIFS(TF_Timer,TF_Tekniker,Y$4,TF_Dato,$A261))*2,0)/2)))</f>
        <v/>
      </c>
      <c r="Z261">
        <f>IF(OR(Z$4="",$A261&gt;TODAY()),0,IF(OR(INDEX($B261:$D261,Z$5)="F",AND(Z$6&gt;0,$A261&lt;Z$6),AND(Z$7&gt;0,$A261&gt;Z$7)),0,MAX(0,ROUND((INDEX($E261:$G261,Z$5)-SUMIFS(TF_Timer,TF_Tekniker,Z$4,TF_Dato,$A261))*2,0)/2)))</f>
        <v/>
      </c>
      <c r="AA261">
        <f>IF(OR(AA$4="",$A261&gt;TODAY()),0,IF(OR(INDEX($B261:$D261,AA$5)="F",AND(AA$6&gt;0,$A261&lt;AA$6),AND(AA$7&gt;0,$A261&gt;AA$7)),0,MAX(0,ROUND((INDEX($E261:$G261,AA$5)-SUMIFS(TF_Timer,TF_Tekniker,AA$4,TF_Dato,$A261))*2,0)/2)))</f>
        <v/>
      </c>
      <c r="AB261">
        <f>IF(OR(AB$4="",$A261&gt;TODAY()),0,IF(OR(INDEX($B261:$D261,AB$5)="F",AND(AB$6&gt;0,$A261&lt;AB$6),AND(AB$7&gt;0,$A261&gt;AB$7)),0,MAX(0,ROUND((INDEX($E261:$G261,AB$5)-SUMIFS(TF_Timer,TF_Tekniker,AB$4,TF_Dato,$A261))*2,0)/2)))</f>
        <v/>
      </c>
      <c r="AC261">
        <f>IF(OR(AC$4="",$A261&gt;TODAY()),0,IF(OR(INDEX($B261:$D261,AC$5)="F",AND(AC$6&gt;0,$A261&lt;AC$6),AND(AC$7&gt;0,$A261&gt;AC$7)),0,MAX(0,ROUND((INDEX($E261:$G261,AC$5)-SUMIFS(TF_Timer,TF_Tekniker,AC$4,TF_Dato,$A261))*2,0)/2)))</f>
        <v/>
      </c>
      <c r="AD261">
        <f>IF(OR(AD$4="",$A261&gt;TODAY()),0,IF(OR(INDEX($B261:$D261,AD$5)="F",AND(AD$6&gt;0,$A261&lt;AD$6),AND(AD$7&gt;0,$A261&gt;AD$7)),0,MAX(0,ROUND((INDEX($E261:$G261,AD$5)-SUMIFS(TF_Timer,TF_Tekniker,AD$4,TF_Dato,$A261))*2,0)/2)))</f>
        <v/>
      </c>
      <c r="AE261">
        <f>IF(OR(AE$4="",$A261&gt;TODAY()),0,IF(OR(INDEX($B261:$D261,AE$5)="F",AND(AE$6&gt;0,$A261&lt;AE$6),AND(AE$7&gt;0,$A261&gt;AE$7)),0,MAX(0,ROUND((INDEX($E261:$G261,AE$5)-SUMIFS(TF_Timer,TF_Tekniker,AE$4,TF_Dato,$A261))*2,0)/2)))</f>
        <v/>
      </c>
      <c r="AF261">
        <f>IF(OR(AF$4="",$A261&gt;TODAY()),0,IF(OR(INDEX($B261:$D261,AF$5)="F",AND(AF$6&gt;0,$A261&lt;AF$6),AND(AF$7&gt;0,$A261&gt;AF$7)),0,MAX(0,ROUND((INDEX($E261:$G261,AF$5)-SUMIFS(TF_Timer,TF_Tekniker,AF$4,TF_Dato,$A261))*2,0)/2)))</f>
        <v/>
      </c>
      <c r="AG261">
        <f>IF(OR(AG$4="",$A261&gt;TODAY()),0,IF(OR(INDEX($B261:$D261,AG$5)="F",AND(AG$6&gt;0,$A261&lt;AG$6),AND(AG$7&gt;0,$A261&gt;AG$7)),0,MAX(0,ROUND((INDEX($E261:$G261,AG$5)-SUMIFS(TF_Timer,TF_Tekniker,AG$4,TF_Dato,$A261))*2,0)/2)))</f>
        <v/>
      </c>
      <c r="AH261">
        <f>IF(OR(AH$4="",$A261&gt;TODAY()),0,IF(OR(INDEX($B261:$D261,AH$5)="F",AND(AH$6&gt;0,$A261&lt;AH$6),AND(AH$7&gt;0,$A261&gt;AH$7)),0,MAX(0,ROUND((INDEX($E261:$G261,AH$5)-SUMIFS(TF_Timer,TF_Tekniker,AH$4,TF_Dato,$A261))*2,0)/2)))</f>
        <v/>
      </c>
      <c r="AI261">
        <f>IF(OR(AI$4="",$A261&gt;TODAY()),0,IF(OR(INDEX($B261:$D261,AI$5)="F",AND(AI$6&gt;0,$A261&lt;AI$6),AND(AI$7&gt;0,$A261&gt;AI$7)),0,MAX(0,ROUND((INDEX($E261:$G261,AI$5)-SUMIFS(TF_Timer,TF_Tekniker,AI$4,TF_Dato,$A261))*2,0)/2)))</f>
        <v/>
      </c>
      <c r="AJ261">
        <f>IF(OR(AJ$4="",$A261&gt;TODAY()),0,IF(OR(INDEX($B261:$D261,AJ$5)="F",AND(AJ$6&gt;0,$A261&lt;AJ$6),AND(AJ$7&gt;0,$A261&gt;AJ$7)),0,MAX(0,ROUND((INDEX($E261:$G261,AJ$5)-SUMIFS(TF_Timer,TF_Tekniker,AJ$4,TF_Dato,$A261))*2,0)/2)))</f>
        <v/>
      </c>
      <c r="AK261">
        <f>IF(OR(AK$4="",$A261&gt;TODAY()),0,IF(OR(INDEX($B261:$D261,AK$5)="F",AND(AK$6&gt;0,$A261&lt;AK$6),AND(AK$7&gt;0,$A261&gt;AK$7)),0,MAX(0,ROUND((INDEX($E261:$G261,AK$5)-SUMIFS(TF_Timer,TF_Tekniker,AK$4,TF_Dato,$A261))*2,0)/2)))</f>
        <v/>
      </c>
      <c r="AL261">
        <f>IF(OR(AL$4="",$A261&gt;TODAY()),0,IF(OR(INDEX($B261:$D261,AL$5)="F",AND(AL$6&gt;0,$A261&lt;AL$6),AND(AL$7&gt;0,$A261&gt;AL$7)),0,MAX(0,ROUND((INDEX($E261:$G261,AL$5)-SUMIFS(TF_Timer,TF_Tekniker,AL$4,TF_Dato,$A261))*2,0)/2)))</f>
        <v/>
      </c>
      <c r="AM261">
        <f>IF(OR(AM$4="",$A261&gt;TODAY()),0,IF(OR(INDEX($B261:$D261,AM$5)="F",AND(AM$6&gt;0,$A261&lt;AM$6),AND(AM$7&gt;0,$A261&gt;AM$7)),0,MAX(0,ROUND((INDEX($E261:$G261,AM$5)-SUMIFS(TF_Timer,TF_Tekniker,AM$4,TF_Dato,$A261))*2,0)/2)))</f>
        <v/>
      </c>
      <c r="AN261">
        <f>IF(OR(AN$4="",$A261&gt;TODAY()),0,IF(OR(INDEX($B261:$D261,AN$5)="F",AND(AN$6&gt;0,$A261&lt;AN$6),AND(AN$7&gt;0,$A261&gt;AN$7)),0,MAX(0,ROUND((INDEX($E261:$G261,AN$5)-SUMIFS(TF_Timer,TF_Tekniker,AN$4,TF_Dato,$A261))*2,0)/2)))</f>
        <v/>
      </c>
      <c r="AO261">
        <f>IF(OR(AO$4="",$A261&gt;TODAY()),0,IF(OR(INDEX($B261:$D261,AO$5)="F",AND(AO$6&gt;0,$A261&lt;AO$6),AND(AO$7&gt;0,$A261&gt;AO$7)),0,MAX(0,ROUND((INDEX($E261:$G261,AO$5)-SUMIFS(TF_Timer,TF_Tekniker,AO$4,TF_Dato,$A261))*2,0)/2)))</f>
        <v/>
      </c>
      <c r="AP261">
        <f>IF(OR(AP$4="",$A261&gt;TODAY()),0,IF(OR(INDEX($B261:$D261,AP$5)="F",AND(AP$6&gt;0,$A261&lt;AP$6),AND(AP$7&gt;0,$A261&gt;AP$7)),0,MAX(0,ROUND((INDEX($E261:$G261,AP$5)-SUMIFS(TF_Timer,TF_Tekniker,AP$4,TF_Dato,$A261))*2,0)/2)))</f>
        <v/>
      </c>
      <c r="AQ261">
        <f>IF(OR(AQ$4="",$A261&gt;TODAY()),0,IF(OR(INDEX($B261:$D261,AQ$5)="F",AND(AQ$6&gt;0,$A261&lt;AQ$6),AND(AQ$7&gt;0,$A261&gt;AQ$7)),0,MAX(0,ROUND((INDEX($E261:$G261,AQ$5)-SUMIFS(TF_Timer,TF_Tekniker,AQ$4,TF_Dato,$A261))*2,0)/2)))</f>
        <v/>
      </c>
      <c r="AR261">
        <f>IF(OR(AR$4="",$A261&gt;TODAY()),0,IF(OR(INDEX($B261:$D261,AR$5)="F",AND(AR$6&gt;0,$A261&lt;AR$6),AND(AR$7&gt;0,$A261&gt;AR$7)),0,MAX(0,ROUND((INDEX($E261:$G261,AR$5)-SUMIFS(TF_Timer,TF_Tekniker,AR$4,TF_Dato,$A261))*2,0)/2)))</f>
        <v/>
      </c>
      <c r="AS261">
        <f>IF(OR(AS$4="",$A261&gt;TODAY()),0,IF(OR(INDEX($B261:$D261,AS$5)="F",AND(AS$6&gt;0,$A261&lt;AS$6),AND(AS$7&gt;0,$A261&gt;AS$7)),0,MAX(0,ROUND((INDEX($E261:$G261,AS$5)-SUMIFS(TF_Timer,TF_Tekniker,AS$4,TF_Dato,$A261))*2,0)/2)))</f>
        <v/>
      </c>
      <c r="AT261">
        <f>IF(OR(AT$4="",$A261&gt;TODAY()),0,IF(OR(INDEX($B261:$D261,AT$5)="F",AND(AT$6&gt;0,$A261&lt;AT$6),AND(AT$7&gt;0,$A261&gt;AT$7)),0,MAX(0,ROUND((INDEX($E261:$G261,AT$5)-SUMIFS(TF_Timer,TF_Tekniker,AT$4,TF_Dato,$A261))*2,0)/2)))</f>
        <v/>
      </c>
      <c r="AU261">
        <f>IF(OR(AU$4="",$A261&gt;TODAY()),0,IF(OR(INDEX($B261:$D261,AU$5)="F",AND(AU$6&gt;0,$A261&lt;AU$6),AND(AU$7&gt;0,$A261&gt;AU$7)),0,MAX(0,ROUND((INDEX($E261:$G261,AU$5)-SUMIFS(TF_Timer,TF_Tekniker,AU$4,TF_Dato,$A261))*2,0)/2)))</f>
        <v/>
      </c>
      <c r="AV261">
        <f>IF(OR(AV$4="",$A261&gt;TODAY()),0,IF(OR(INDEX($B261:$D261,AV$5)="F",AND(AV$6&gt;0,$A261&lt;AV$6),AND(AV$7&gt;0,$A261&gt;AV$7)),0,MAX(0,ROUND((INDEX($E261:$G261,AV$5)-SUMIFS(TF_Timer,TF_Tekniker,AV$4,TF_Dato,$A261))*2,0)/2)))</f>
        <v/>
      </c>
      <c r="AW261">
        <f>IF(OR(AW$4="",$A261&gt;TODAY()),0,IF(OR(INDEX($B261:$D261,AW$5)="F",AND(AW$6&gt;0,$A261&lt;AW$6),AND(AW$7&gt;0,$A261&gt;AW$7)),0,MAX(0,ROUND((INDEX($E261:$G261,AW$5)-SUMIFS(TF_Timer,TF_Tekniker,AW$4,TF_Dato,$A261))*2,0)/2)))</f>
        <v/>
      </c>
      <c r="AX261">
        <f>IF(OR(AX$4="",$A261&gt;TODAY()),0,IF(OR(INDEX($B261:$D261,AX$5)="F",AND(AX$6&gt;0,$A261&lt;AX$6),AND(AX$7&gt;0,$A261&gt;AX$7)),0,MAX(0,ROUND((INDEX($E261:$G261,AX$5)-SUMIFS(TF_Timer,TF_Tekniker,AX$4,TF_Dato,$A261))*2,0)/2)))</f>
        <v/>
      </c>
      <c r="AY261">
        <f>IF(OR(AY$4="",$A261&gt;TODAY()),0,IF(OR(INDEX($B261:$D261,AY$5)="F",AND(AY$6&gt;0,$A261&lt;AY$6),AND(AY$7&gt;0,$A261&gt;AY$7)),0,MAX(0,ROUND((INDEX($E261:$G261,AY$5)-SUMIFS(TF_Timer,TF_Tekniker,AY$4,TF_Dato,$A261))*2,0)/2)))</f>
        <v/>
      </c>
      <c r="AZ261">
        <f>IF(OR(AZ$4="",$A261&gt;TODAY()),0,IF(OR(INDEX($B261:$D261,AZ$5)="F",AND(AZ$6&gt;0,$A261&lt;AZ$6),AND(AZ$7&gt;0,$A261&gt;AZ$7)),0,MAX(0,ROUND((INDEX($E261:$G261,AZ$5)-SUMIFS(TF_Timer,TF_Tekniker,AZ$4,TF_Dato,$A261))*2,0)/2)))</f>
        <v/>
      </c>
      <c r="BA261">
        <f>IF(OR(BA$4="",$A261&gt;TODAY()),0,IF(OR(INDEX($B261:$D261,BA$5)="F",AND(BA$6&gt;0,$A261&lt;BA$6),AND(BA$7&gt;0,$A261&gt;BA$7)),0,MAX(0,ROUND((INDEX($E261:$G261,BA$5)-SUMIFS(TF_Timer,TF_Tekniker,BA$4,TF_Dato,$A261))*2,0)/2)))</f>
        <v/>
      </c>
      <c r="BB261">
        <f>IF(OR(BB$4="",$A261&gt;TODAY()),0,IF(OR(INDEX($B261:$D261,BB$5)="F",AND(BB$6&gt;0,$A261&lt;BB$6),AND(BB$7&gt;0,$A261&gt;BB$7)),0,MAX(0,ROUND((INDEX($E261:$G261,BB$5)-SUMIFS(TF_Timer,TF_Tekniker,BB$4,TF_Dato,$A261))*2,0)/2)))</f>
        <v/>
      </c>
      <c r="BC261">
        <f>IF(OR(BC$4="",$A261&gt;TODAY()),0,IF(OR(INDEX($B261:$D261,BC$5)="F",AND(BC$6&gt;0,$A261&lt;BC$6),AND(BC$7&gt;0,$A261&gt;BC$7)),0,MAX(0,ROUND((INDEX($E261:$G261,BC$5)-SUMIFS(TF_Timer,TF_Tekniker,BC$4,TF_Dato,$A261))*2,0)/2)))</f>
        <v/>
      </c>
      <c r="BD261">
        <f>IF(OR(BD$4="",$A261&gt;TODAY()),0,IF(OR(INDEX($B261:$D261,BD$5)="F",AND(BD$6&gt;0,$A261&lt;BD$6),AND(BD$7&gt;0,$A261&gt;BD$7)),0,MAX(0,ROUND((INDEX($E261:$G261,BD$5)-SUMIFS(TF_Timer,TF_Tekniker,BD$4,TF_Dato,$A261))*2,0)/2)))</f>
        <v/>
      </c>
      <c r="BE261">
        <f>IF(OR(BE$4="",$A261&gt;TODAY()),0,IF(OR(INDEX($B261:$D261,BE$5)="F",AND(BE$6&gt;0,$A261&lt;BE$6),AND(BE$7&gt;0,$A261&gt;BE$7)),0,MAX(0,ROUND((INDEX($E261:$G261,BE$5)-SUMIFS(TF_Timer,TF_Tekniker,BE$4,TF_Dato,$A261))*2,0)/2)))</f>
        <v/>
      </c>
      <c r="BF261">
        <f>IF(OR(BF$4="",$A261&gt;TODAY()),0,IF(OR(INDEX($B261:$D261,BF$5)="F",AND(BF$6&gt;0,$A261&lt;BF$6),AND(BF$7&gt;0,$A261&gt;BF$7)),0,MAX(0,ROUND((INDEX($E261:$G261,BF$5)-SUMIFS(TF_Timer,TF_Tekniker,BF$4,TF_Dato,$A261))*2,0)/2)))</f>
        <v/>
      </c>
      <c r="BG261">
        <f>IF(OR(BG$4="",$A261&gt;TODAY()),0,IF(OR(INDEX($B261:$D261,BG$5)="F",AND(BG$6&gt;0,$A261&lt;BG$6),AND(BG$7&gt;0,$A261&gt;BG$7)),0,MAX(0,ROUND((INDEX($E261:$G261,BG$5)-SUMIFS(TF_Timer,TF_Tekniker,BG$4,TF_Dato,$A261))*2,0)/2)))</f>
        <v/>
      </c>
      <c r="BH261">
        <f>IF(OR(BH$4="",$A261&gt;TODAY()),0,IF(OR(INDEX($B261:$D261,BH$5)="F",AND(BH$6&gt;0,$A261&lt;BH$6),AND(BH$7&gt;0,$A261&gt;BH$7)),0,MAX(0,ROUND((INDEX($E261:$G261,BH$5)-SUMIFS(TF_Timer,TF_Tekniker,BH$4,TF_Dato,$A261))*2,0)/2)))</f>
        <v/>
      </c>
      <c r="BI261">
        <f>IF(OR(BI$4="",$A261&gt;TODAY()),0,IF(OR(INDEX($B261:$D261,BI$5)="F",AND(BI$6&gt;0,$A261&lt;BI$6),AND(BI$7&gt;0,$A261&gt;BI$7)),0,MAX(0,ROUND((INDEX($E261:$G261,BI$5)-SUMIFS(TF_Timer,TF_Tekniker,BI$4,TF_Dato,$A261))*2,0)/2)))</f>
        <v/>
      </c>
    </row>
    <row r="262">
      <c r="A262" s="64">
        <f>A261+1</f>
        <v/>
      </c>
      <c r="B262">
        <f>IF(MOD($A262-INDEX(SkiftStart,1),Syklus)&lt;DagK,"K",IF(MOD($A262-INDEX(SkiftStart,1),Syklus)&lt;DagK+DagH,"H",IF(MOD($A262-INDEX(SkiftStart,1),Syklus)&lt;DagK+DagH+DagD,"D","F")))</f>
        <v/>
      </c>
      <c r="C262">
        <f>IF(MOD($A262-INDEX(SkiftStart,2),Syklus)&lt;DagK,"K",IF(MOD($A262-INDEX(SkiftStart,2),Syklus)&lt;DagK+DagH,"H",IF(MOD($A262-INDEX(SkiftStart,2),Syklus)&lt;DagK+DagH+DagD,"D","F")))</f>
        <v/>
      </c>
      <c r="D262">
        <f>IF(MOD($A262-INDEX(SkiftStart,3),Syklus)&lt;DagK,"K",IF(MOD($A262-INDEX(SkiftStart,3),Syklus)&lt;DagK+DagH,"H",IF(MOD($A262-INDEX(SkiftStart,3),Syklus)&lt;DagK+DagH+DagD,"D","F")))</f>
        <v/>
      </c>
      <c r="E262">
        <f>IF(B262="F",0,IF(WEEKDAY($A262,2)=5,INDEX(TimerFr,MATCH(B262,FaseKode,0)),INDEX(TimerMT,MATCH(B262,FaseKode,0))))</f>
        <v/>
      </c>
      <c r="F262">
        <f>IF(C262="F",0,IF(WEEKDAY($A262,2)=5,INDEX(TimerFr,MATCH(C262,FaseKode,0)),INDEX(TimerMT,MATCH(C262,FaseKode,0))))</f>
        <v/>
      </c>
      <c r="G262">
        <f>IF(D262="F",0,IF(WEEKDAY($A262,2)=5,INDEX(TimerFr,MATCH(D262,FaseKode,0)),INDEX(TimerMT,MATCH(D262,FaseKode,0))))</f>
        <v/>
      </c>
      <c r="H262">
        <f>IF(OR(H$4="",$A262&gt;TODAY()),0,IF(OR(INDEX($B262:$D262,H$5)="F",AND(H$6&gt;0,$A262&lt;H$6),AND(H$7&gt;0,$A262&gt;H$7)),0,MAX(0,ROUND((INDEX($E262:$G262,H$5)-SUMIFS(TF_Timer,TF_Tekniker,H$4,TF_Dato,$A262))*2,0)/2)))</f>
        <v/>
      </c>
      <c r="I262">
        <f>IF(OR(I$4="",$A262&gt;TODAY()),0,IF(OR(INDEX($B262:$D262,I$5)="F",AND(I$6&gt;0,$A262&lt;I$6),AND(I$7&gt;0,$A262&gt;I$7)),0,MAX(0,ROUND((INDEX($E262:$G262,I$5)-SUMIFS(TF_Timer,TF_Tekniker,I$4,TF_Dato,$A262))*2,0)/2)))</f>
        <v/>
      </c>
      <c r="J262">
        <f>IF(OR(J$4="",$A262&gt;TODAY()),0,IF(OR(INDEX($B262:$D262,J$5)="F",AND(J$6&gt;0,$A262&lt;J$6),AND(J$7&gt;0,$A262&gt;J$7)),0,MAX(0,ROUND((INDEX($E262:$G262,J$5)-SUMIFS(TF_Timer,TF_Tekniker,J$4,TF_Dato,$A262))*2,0)/2)))</f>
        <v/>
      </c>
      <c r="K262">
        <f>IF(OR(K$4="",$A262&gt;TODAY()),0,IF(OR(INDEX($B262:$D262,K$5)="F",AND(K$6&gt;0,$A262&lt;K$6),AND(K$7&gt;0,$A262&gt;K$7)),0,MAX(0,ROUND((INDEX($E262:$G262,K$5)-SUMIFS(TF_Timer,TF_Tekniker,K$4,TF_Dato,$A262))*2,0)/2)))</f>
        <v/>
      </c>
      <c r="L262">
        <f>IF(OR(L$4="",$A262&gt;TODAY()),0,IF(OR(INDEX($B262:$D262,L$5)="F",AND(L$6&gt;0,$A262&lt;L$6),AND(L$7&gt;0,$A262&gt;L$7)),0,MAX(0,ROUND((INDEX($E262:$G262,L$5)-SUMIFS(TF_Timer,TF_Tekniker,L$4,TF_Dato,$A262))*2,0)/2)))</f>
        <v/>
      </c>
      <c r="M262">
        <f>IF(OR(M$4="",$A262&gt;TODAY()),0,IF(OR(INDEX($B262:$D262,M$5)="F",AND(M$6&gt;0,$A262&lt;M$6),AND(M$7&gt;0,$A262&gt;M$7)),0,MAX(0,ROUND((INDEX($E262:$G262,M$5)-SUMIFS(TF_Timer,TF_Tekniker,M$4,TF_Dato,$A262))*2,0)/2)))</f>
        <v/>
      </c>
      <c r="N262">
        <f>IF(OR(N$4="",$A262&gt;TODAY()),0,IF(OR(INDEX($B262:$D262,N$5)="F",AND(N$6&gt;0,$A262&lt;N$6),AND(N$7&gt;0,$A262&gt;N$7)),0,MAX(0,ROUND((INDEX($E262:$G262,N$5)-SUMIFS(TF_Timer,TF_Tekniker,N$4,TF_Dato,$A262))*2,0)/2)))</f>
        <v/>
      </c>
      <c r="O262">
        <f>IF(OR(O$4="",$A262&gt;TODAY()),0,IF(OR(INDEX($B262:$D262,O$5)="F",AND(O$6&gt;0,$A262&lt;O$6),AND(O$7&gt;0,$A262&gt;O$7)),0,MAX(0,ROUND((INDEX($E262:$G262,O$5)-SUMIFS(TF_Timer,TF_Tekniker,O$4,TF_Dato,$A262))*2,0)/2)))</f>
        <v/>
      </c>
      <c r="P262">
        <f>IF(OR(P$4="",$A262&gt;TODAY()),0,IF(OR(INDEX($B262:$D262,P$5)="F",AND(P$6&gt;0,$A262&lt;P$6),AND(P$7&gt;0,$A262&gt;P$7)),0,MAX(0,ROUND((INDEX($E262:$G262,P$5)-SUMIFS(TF_Timer,TF_Tekniker,P$4,TF_Dato,$A262))*2,0)/2)))</f>
        <v/>
      </c>
      <c r="Q262">
        <f>IF(OR(Q$4="",$A262&gt;TODAY()),0,IF(OR(INDEX($B262:$D262,Q$5)="F",AND(Q$6&gt;0,$A262&lt;Q$6),AND(Q$7&gt;0,$A262&gt;Q$7)),0,MAX(0,ROUND((INDEX($E262:$G262,Q$5)-SUMIFS(TF_Timer,TF_Tekniker,Q$4,TF_Dato,$A262))*2,0)/2)))</f>
        <v/>
      </c>
      <c r="R262">
        <f>IF(OR(R$4="",$A262&gt;TODAY()),0,IF(OR(INDEX($B262:$D262,R$5)="F",AND(R$6&gt;0,$A262&lt;R$6),AND(R$7&gt;0,$A262&gt;R$7)),0,MAX(0,ROUND((INDEX($E262:$G262,R$5)-SUMIFS(TF_Timer,TF_Tekniker,R$4,TF_Dato,$A262))*2,0)/2)))</f>
        <v/>
      </c>
      <c r="S262">
        <f>IF(OR(S$4="",$A262&gt;TODAY()),0,IF(OR(INDEX($B262:$D262,S$5)="F",AND(S$6&gt;0,$A262&lt;S$6),AND(S$7&gt;0,$A262&gt;S$7)),0,MAX(0,ROUND((INDEX($E262:$G262,S$5)-SUMIFS(TF_Timer,TF_Tekniker,S$4,TF_Dato,$A262))*2,0)/2)))</f>
        <v/>
      </c>
      <c r="T262">
        <f>IF(OR(T$4="",$A262&gt;TODAY()),0,IF(OR(INDEX($B262:$D262,T$5)="F",AND(T$6&gt;0,$A262&lt;T$6),AND(T$7&gt;0,$A262&gt;T$7)),0,MAX(0,ROUND((INDEX($E262:$G262,T$5)-SUMIFS(TF_Timer,TF_Tekniker,T$4,TF_Dato,$A262))*2,0)/2)))</f>
        <v/>
      </c>
      <c r="U262">
        <f>IF(OR(U$4="",$A262&gt;TODAY()),0,IF(OR(INDEX($B262:$D262,U$5)="F",AND(U$6&gt;0,$A262&lt;U$6),AND(U$7&gt;0,$A262&gt;U$7)),0,MAX(0,ROUND((INDEX($E262:$G262,U$5)-SUMIFS(TF_Timer,TF_Tekniker,U$4,TF_Dato,$A262))*2,0)/2)))</f>
        <v/>
      </c>
      <c r="V262">
        <f>IF(OR(V$4="",$A262&gt;TODAY()),0,IF(OR(INDEX($B262:$D262,V$5)="F",AND(V$6&gt;0,$A262&lt;V$6),AND(V$7&gt;0,$A262&gt;V$7)),0,MAX(0,ROUND((INDEX($E262:$G262,V$5)-SUMIFS(TF_Timer,TF_Tekniker,V$4,TF_Dato,$A262))*2,0)/2)))</f>
        <v/>
      </c>
      <c r="W262">
        <f>IF(OR(W$4="",$A262&gt;TODAY()),0,IF(OR(INDEX($B262:$D262,W$5)="F",AND(W$6&gt;0,$A262&lt;W$6),AND(W$7&gt;0,$A262&gt;W$7)),0,MAX(0,ROUND((INDEX($E262:$G262,W$5)-SUMIFS(TF_Timer,TF_Tekniker,W$4,TF_Dato,$A262))*2,0)/2)))</f>
        <v/>
      </c>
      <c r="X262">
        <f>IF(OR(X$4="",$A262&gt;TODAY()),0,IF(OR(INDEX($B262:$D262,X$5)="F",AND(X$6&gt;0,$A262&lt;X$6),AND(X$7&gt;0,$A262&gt;X$7)),0,MAX(0,ROUND((INDEX($E262:$G262,X$5)-SUMIFS(TF_Timer,TF_Tekniker,X$4,TF_Dato,$A262))*2,0)/2)))</f>
        <v/>
      </c>
      <c r="Y262">
        <f>IF(OR(Y$4="",$A262&gt;TODAY()),0,IF(OR(INDEX($B262:$D262,Y$5)="F",AND(Y$6&gt;0,$A262&lt;Y$6),AND(Y$7&gt;0,$A262&gt;Y$7)),0,MAX(0,ROUND((INDEX($E262:$G262,Y$5)-SUMIFS(TF_Timer,TF_Tekniker,Y$4,TF_Dato,$A262))*2,0)/2)))</f>
        <v/>
      </c>
      <c r="Z262">
        <f>IF(OR(Z$4="",$A262&gt;TODAY()),0,IF(OR(INDEX($B262:$D262,Z$5)="F",AND(Z$6&gt;0,$A262&lt;Z$6),AND(Z$7&gt;0,$A262&gt;Z$7)),0,MAX(0,ROUND((INDEX($E262:$G262,Z$5)-SUMIFS(TF_Timer,TF_Tekniker,Z$4,TF_Dato,$A262))*2,0)/2)))</f>
        <v/>
      </c>
      <c r="AA262">
        <f>IF(OR(AA$4="",$A262&gt;TODAY()),0,IF(OR(INDEX($B262:$D262,AA$5)="F",AND(AA$6&gt;0,$A262&lt;AA$6),AND(AA$7&gt;0,$A262&gt;AA$7)),0,MAX(0,ROUND((INDEX($E262:$G262,AA$5)-SUMIFS(TF_Timer,TF_Tekniker,AA$4,TF_Dato,$A262))*2,0)/2)))</f>
        <v/>
      </c>
      <c r="AB262">
        <f>IF(OR(AB$4="",$A262&gt;TODAY()),0,IF(OR(INDEX($B262:$D262,AB$5)="F",AND(AB$6&gt;0,$A262&lt;AB$6),AND(AB$7&gt;0,$A262&gt;AB$7)),0,MAX(0,ROUND((INDEX($E262:$G262,AB$5)-SUMIFS(TF_Timer,TF_Tekniker,AB$4,TF_Dato,$A262))*2,0)/2)))</f>
        <v/>
      </c>
      <c r="AC262">
        <f>IF(OR(AC$4="",$A262&gt;TODAY()),0,IF(OR(INDEX($B262:$D262,AC$5)="F",AND(AC$6&gt;0,$A262&lt;AC$6),AND(AC$7&gt;0,$A262&gt;AC$7)),0,MAX(0,ROUND((INDEX($E262:$G262,AC$5)-SUMIFS(TF_Timer,TF_Tekniker,AC$4,TF_Dato,$A262))*2,0)/2)))</f>
        <v/>
      </c>
      <c r="AD262">
        <f>IF(OR(AD$4="",$A262&gt;TODAY()),0,IF(OR(INDEX($B262:$D262,AD$5)="F",AND(AD$6&gt;0,$A262&lt;AD$6),AND(AD$7&gt;0,$A262&gt;AD$7)),0,MAX(0,ROUND((INDEX($E262:$G262,AD$5)-SUMIFS(TF_Timer,TF_Tekniker,AD$4,TF_Dato,$A262))*2,0)/2)))</f>
        <v/>
      </c>
      <c r="AE262">
        <f>IF(OR(AE$4="",$A262&gt;TODAY()),0,IF(OR(INDEX($B262:$D262,AE$5)="F",AND(AE$6&gt;0,$A262&lt;AE$6),AND(AE$7&gt;0,$A262&gt;AE$7)),0,MAX(0,ROUND((INDEX($E262:$G262,AE$5)-SUMIFS(TF_Timer,TF_Tekniker,AE$4,TF_Dato,$A262))*2,0)/2)))</f>
        <v/>
      </c>
      <c r="AF262">
        <f>IF(OR(AF$4="",$A262&gt;TODAY()),0,IF(OR(INDEX($B262:$D262,AF$5)="F",AND(AF$6&gt;0,$A262&lt;AF$6),AND(AF$7&gt;0,$A262&gt;AF$7)),0,MAX(0,ROUND((INDEX($E262:$G262,AF$5)-SUMIFS(TF_Timer,TF_Tekniker,AF$4,TF_Dato,$A262))*2,0)/2)))</f>
        <v/>
      </c>
      <c r="AG262">
        <f>IF(OR(AG$4="",$A262&gt;TODAY()),0,IF(OR(INDEX($B262:$D262,AG$5)="F",AND(AG$6&gt;0,$A262&lt;AG$6),AND(AG$7&gt;0,$A262&gt;AG$7)),0,MAX(0,ROUND((INDEX($E262:$G262,AG$5)-SUMIFS(TF_Timer,TF_Tekniker,AG$4,TF_Dato,$A262))*2,0)/2)))</f>
        <v/>
      </c>
      <c r="AH262">
        <f>IF(OR(AH$4="",$A262&gt;TODAY()),0,IF(OR(INDEX($B262:$D262,AH$5)="F",AND(AH$6&gt;0,$A262&lt;AH$6),AND(AH$7&gt;0,$A262&gt;AH$7)),0,MAX(0,ROUND((INDEX($E262:$G262,AH$5)-SUMIFS(TF_Timer,TF_Tekniker,AH$4,TF_Dato,$A262))*2,0)/2)))</f>
        <v/>
      </c>
      <c r="AI262">
        <f>IF(OR(AI$4="",$A262&gt;TODAY()),0,IF(OR(INDEX($B262:$D262,AI$5)="F",AND(AI$6&gt;0,$A262&lt;AI$6),AND(AI$7&gt;0,$A262&gt;AI$7)),0,MAX(0,ROUND((INDEX($E262:$G262,AI$5)-SUMIFS(TF_Timer,TF_Tekniker,AI$4,TF_Dato,$A262))*2,0)/2)))</f>
        <v/>
      </c>
      <c r="AJ262">
        <f>IF(OR(AJ$4="",$A262&gt;TODAY()),0,IF(OR(INDEX($B262:$D262,AJ$5)="F",AND(AJ$6&gt;0,$A262&lt;AJ$6),AND(AJ$7&gt;0,$A262&gt;AJ$7)),0,MAX(0,ROUND((INDEX($E262:$G262,AJ$5)-SUMIFS(TF_Timer,TF_Tekniker,AJ$4,TF_Dato,$A262))*2,0)/2)))</f>
        <v/>
      </c>
      <c r="AK262">
        <f>IF(OR(AK$4="",$A262&gt;TODAY()),0,IF(OR(INDEX($B262:$D262,AK$5)="F",AND(AK$6&gt;0,$A262&lt;AK$6),AND(AK$7&gt;0,$A262&gt;AK$7)),0,MAX(0,ROUND((INDEX($E262:$G262,AK$5)-SUMIFS(TF_Timer,TF_Tekniker,AK$4,TF_Dato,$A262))*2,0)/2)))</f>
        <v/>
      </c>
      <c r="AL262">
        <f>IF(OR(AL$4="",$A262&gt;TODAY()),0,IF(OR(INDEX($B262:$D262,AL$5)="F",AND(AL$6&gt;0,$A262&lt;AL$6),AND(AL$7&gt;0,$A262&gt;AL$7)),0,MAX(0,ROUND((INDEX($E262:$G262,AL$5)-SUMIFS(TF_Timer,TF_Tekniker,AL$4,TF_Dato,$A262))*2,0)/2)))</f>
        <v/>
      </c>
      <c r="AM262">
        <f>IF(OR(AM$4="",$A262&gt;TODAY()),0,IF(OR(INDEX($B262:$D262,AM$5)="F",AND(AM$6&gt;0,$A262&lt;AM$6),AND(AM$7&gt;0,$A262&gt;AM$7)),0,MAX(0,ROUND((INDEX($E262:$G262,AM$5)-SUMIFS(TF_Timer,TF_Tekniker,AM$4,TF_Dato,$A262))*2,0)/2)))</f>
        <v/>
      </c>
      <c r="AN262">
        <f>IF(OR(AN$4="",$A262&gt;TODAY()),0,IF(OR(INDEX($B262:$D262,AN$5)="F",AND(AN$6&gt;0,$A262&lt;AN$6),AND(AN$7&gt;0,$A262&gt;AN$7)),0,MAX(0,ROUND((INDEX($E262:$G262,AN$5)-SUMIFS(TF_Timer,TF_Tekniker,AN$4,TF_Dato,$A262))*2,0)/2)))</f>
        <v/>
      </c>
      <c r="AO262">
        <f>IF(OR(AO$4="",$A262&gt;TODAY()),0,IF(OR(INDEX($B262:$D262,AO$5)="F",AND(AO$6&gt;0,$A262&lt;AO$6),AND(AO$7&gt;0,$A262&gt;AO$7)),0,MAX(0,ROUND((INDEX($E262:$G262,AO$5)-SUMIFS(TF_Timer,TF_Tekniker,AO$4,TF_Dato,$A262))*2,0)/2)))</f>
        <v/>
      </c>
      <c r="AP262">
        <f>IF(OR(AP$4="",$A262&gt;TODAY()),0,IF(OR(INDEX($B262:$D262,AP$5)="F",AND(AP$6&gt;0,$A262&lt;AP$6),AND(AP$7&gt;0,$A262&gt;AP$7)),0,MAX(0,ROUND((INDEX($E262:$G262,AP$5)-SUMIFS(TF_Timer,TF_Tekniker,AP$4,TF_Dato,$A262))*2,0)/2)))</f>
        <v/>
      </c>
      <c r="AQ262">
        <f>IF(OR(AQ$4="",$A262&gt;TODAY()),0,IF(OR(INDEX($B262:$D262,AQ$5)="F",AND(AQ$6&gt;0,$A262&lt;AQ$6),AND(AQ$7&gt;0,$A262&gt;AQ$7)),0,MAX(0,ROUND((INDEX($E262:$G262,AQ$5)-SUMIFS(TF_Timer,TF_Tekniker,AQ$4,TF_Dato,$A262))*2,0)/2)))</f>
        <v/>
      </c>
      <c r="AR262">
        <f>IF(OR(AR$4="",$A262&gt;TODAY()),0,IF(OR(INDEX($B262:$D262,AR$5)="F",AND(AR$6&gt;0,$A262&lt;AR$6),AND(AR$7&gt;0,$A262&gt;AR$7)),0,MAX(0,ROUND((INDEX($E262:$G262,AR$5)-SUMIFS(TF_Timer,TF_Tekniker,AR$4,TF_Dato,$A262))*2,0)/2)))</f>
        <v/>
      </c>
      <c r="AS262">
        <f>IF(OR(AS$4="",$A262&gt;TODAY()),0,IF(OR(INDEX($B262:$D262,AS$5)="F",AND(AS$6&gt;0,$A262&lt;AS$6),AND(AS$7&gt;0,$A262&gt;AS$7)),0,MAX(0,ROUND((INDEX($E262:$G262,AS$5)-SUMIFS(TF_Timer,TF_Tekniker,AS$4,TF_Dato,$A262))*2,0)/2)))</f>
        <v/>
      </c>
      <c r="AT262">
        <f>IF(OR(AT$4="",$A262&gt;TODAY()),0,IF(OR(INDEX($B262:$D262,AT$5)="F",AND(AT$6&gt;0,$A262&lt;AT$6),AND(AT$7&gt;0,$A262&gt;AT$7)),0,MAX(0,ROUND((INDEX($E262:$G262,AT$5)-SUMIFS(TF_Timer,TF_Tekniker,AT$4,TF_Dato,$A262))*2,0)/2)))</f>
        <v/>
      </c>
      <c r="AU262">
        <f>IF(OR(AU$4="",$A262&gt;TODAY()),0,IF(OR(INDEX($B262:$D262,AU$5)="F",AND(AU$6&gt;0,$A262&lt;AU$6),AND(AU$7&gt;0,$A262&gt;AU$7)),0,MAX(0,ROUND((INDEX($E262:$G262,AU$5)-SUMIFS(TF_Timer,TF_Tekniker,AU$4,TF_Dato,$A262))*2,0)/2)))</f>
        <v/>
      </c>
      <c r="AV262">
        <f>IF(OR(AV$4="",$A262&gt;TODAY()),0,IF(OR(INDEX($B262:$D262,AV$5)="F",AND(AV$6&gt;0,$A262&lt;AV$6),AND(AV$7&gt;0,$A262&gt;AV$7)),0,MAX(0,ROUND((INDEX($E262:$G262,AV$5)-SUMIFS(TF_Timer,TF_Tekniker,AV$4,TF_Dato,$A262))*2,0)/2)))</f>
        <v/>
      </c>
      <c r="AW262">
        <f>IF(OR(AW$4="",$A262&gt;TODAY()),0,IF(OR(INDEX($B262:$D262,AW$5)="F",AND(AW$6&gt;0,$A262&lt;AW$6),AND(AW$7&gt;0,$A262&gt;AW$7)),0,MAX(0,ROUND((INDEX($E262:$G262,AW$5)-SUMIFS(TF_Timer,TF_Tekniker,AW$4,TF_Dato,$A262))*2,0)/2)))</f>
        <v/>
      </c>
      <c r="AX262">
        <f>IF(OR(AX$4="",$A262&gt;TODAY()),0,IF(OR(INDEX($B262:$D262,AX$5)="F",AND(AX$6&gt;0,$A262&lt;AX$6),AND(AX$7&gt;0,$A262&gt;AX$7)),0,MAX(0,ROUND((INDEX($E262:$G262,AX$5)-SUMIFS(TF_Timer,TF_Tekniker,AX$4,TF_Dato,$A262))*2,0)/2)))</f>
        <v/>
      </c>
      <c r="AY262">
        <f>IF(OR(AY$4="",$A262&gt;TODAY()),0,IF(OR(INDEX($B262:$D262,AY$5)="F",AND(AY$6&gt;0,$A262&lt;AY$6),AND(AY$7&gt;0,$A262&gt;AY$7)),0,MAX(0,ROUND((INDEX($E262:$G262,AY$5)-SUMIFS(TF_Timer,TF_Tekniker,AY$4,TF_Dato,$A262))*2,0)/2)))</f>
        <v/>
      </c>
      <c r="AZ262">
        <f>IF(OR(AZ$4="",$A262&gt;TODAY()),0,IF(OR(INDEX($B262:$D262,AZ$5)="F",AND(AZ$6&gt;0,$A262&lt;AZ$6),AND(AZ$7&gt;0,$A262&gt;AZ$7)),0,MAX(0,ROUND((INDEX($E262:$G262,AZ$5)-SUMIFS(TF_Timer,TF_Tekniker,AZ$4,TF_Dato,$A262))*2,0)/2)))</f>
        <v/>
      </c>
      <c r="BA262">
        <f>IF(OR(BA$4="",$A262&gt;TODAY()),0,IF(OR(INDEX($B262:$D262,BA$5)="F",AND(BA$6&gt;0,$A262&lt;BA$6),AND(BA$7&gt;0,$A262&gt;BA$7)),0,MAX(0,ROUND((INDEX($E262:$G262,BA$5)-SUMIFS(TF_Timer,TF_Tekniker,BA$4,TF_Dato,$A262))*2,0)/2)))</f>
        <v/>
      </c>
      <c r="BB262">
        <f>IF(OR(BB$4="",$A262&gt;TODAY()),0,IF(OR(INDEX($B262:$D262,BB$5)="F",AND(BB$6&gt;0,$A262&lt;BB$6),AND(BB$7&gt;0,$A262&gt;BB$7)),0,MAX(0,ROUND((INDEX($E262:$G262,BB$5)-SUMIFS(TF_Timer,TF_Tekniker,BB$4,TF_Dato,$A262))*2,0)/2)))</f>
        <v/>
      </c>
      <c r="BC262">
        <f>IF(OR(BC$4="",$A262&gt;TODAY()),0,IF(OR(INDEX($B262:$D262,BC$5)="F",AND(BC$6&gt;0,$A262&lt;BC$6),AND(BC$7&gt;0,$A262&gt;BC$7)),0,MAX(0,ROUND((INDEX($E262:$G262,BC$5)-SUMIFS(TF_Timer,TF_Tekniker,BC$4,TF_Dato,$A262))*2,0)/2)))</f>
        <v/>
      </c>
      <c r="BD262">
        <f>IF(OR(BD$4="",$A262&gt;TODAY()),0,IF(OR(INDEX($B262:$D262,BD$5)="F",AND(BD$6&gt;0,$A262&lt;BD$6),AND(BD$7&gt;0,$A262&gt;BD$7)),0,MAX(0,ROUND((INDEX($E262:$G262,BD$5)-SUMIFS(TF_Timer,TF_Tekniker,BD$4,TF_Dato,$A262))*2,0)/2)))</f>
        <v/>
      </c>
      <c r="BE262">
        <f>IF(OR(BE$4="",$A262&gt;TODAY()),0,IF(OR(INDEX($B262:$D262,BE$5)="F",AND(BE$6&gt;0,$A262&lt;BE$6),AND(BE$7&gt;0,$A262&gt;BE$7)),0,MAX(0,ROUND((INDEX($E262:$G262,BE$5)-SUMIFS(TF_Timer,TF_Tekniker,BE$4,TF_Dato,$A262))*2,0)/2)))</f>
        <v/>
      </c>
      <c r="BF262">
        <f>IF(OR(BF$4="",$A262&gt;TODAY()),0,IF(OR(INDEX($B262:$D262,BF$5)="F",AND(BF$6&gt;0,$A262&lt;BF$6),AND(BF$7&gt;0,$A262&gt;BF$7)),0,MAX(0,ROUND((INDEX($E262:$G262,BF$5)-SUMIFS(TF_Timer,TF_Tekniker,BF$4,TF_Dato,$A262))*2,0)/2)))</f>
        <v/>
      </c>
      <c r="BG262">
        <f>IF(OR(BG$4="",$A262&gt;TODAY()),0,IF(OR(INDEX($B262:$D262,BG$5)="F",AND(BG$6&gt;0,$A262&lt;BG$6),AND(BG$7&gt;0,$A262&gt;BG$7)),0,MAX(0,ROUND((INDEX($E262:$G262,BG$5)-SUMIFS(TF_Timer,TF_Tekniker,BG$4,TF_Dato,$A262))*2,0)/2)))</f>
        <v/>
      </c>
      <c r="BH262">
        <f>IF(OR(BH$4="",$A262&gt;TODAY()),0,IF(OR(INDEX($B262:$D262,BH$5)="F",AND(BH$6&gt;0,$A262&lt;BH$6),AND(BH$7&gt;0,$A262&gt;BH$7)),0,MAX(0,ROUND((INDEX($E262:$G262,BH$5)-SUMIFS(TF_Timer,TF_Tekniker,BH$4,TF_Dato,$A262))*2,0)/2)))</f>
        <v/>
      </c>
      <c r="BI262">
        <f>IF(OR(BI$4="",$A262&gt;TODAY()),0,IF(OR(INDEX($B262:$D262,BI$5)="F",AND(BI$6&gt;0,$A262&lt;BI$6),AND(BI$7&gt;0,$A262&gt;BI$7)),0,MAX(0,ROUND((INDEX($E262:$G262,BI$5)-SUMIFS(TF_Timer,TF_Tekniker,BI$4,TF_Dato,$A262))*2,0)/2)))</f>
        <v/>
      </c>
    </row>
    <row r="263">
      <c r="A263" s="64">
        <f>A262+1</f>
        <v/>
      </c>
      <c r="B263">
        <f>IF(MOD($A263-INDEX(SkiftStart,1),Syklus)&lt;DagK,"K",IF(MOD($A263-INDEX(SkiftStart,1),Syklus)&lt;DagK+DagH,"H",IF(MOD($A263-INDEX(SkiftStart,1),Syklus)&lt;DagK+DagH+DagD,"D","F")))</f>
        <v/>
      </c>
      <c r="C263">
        <f>IF(MOD($A263-INDEX(SkiftStart,2),Syklus)&lt;DagK,"K",IF(MOD($A263-INDEX(SkiftStart,2),Syklus)&lt;DagK+DagH,"H",IF(MOD($A263-INDEX(SkiftStart,2),Syklus)&lt;DagK+DagH+DagD,"D","F")))</f>
        <v/>
      </c>
      <c r="D263">
        <f>IF(MOD($A263-INDEX(SkiftStart,3),Syklus)&lt;DagK,"K",IF(MOD($A263-INDEX(SkiftStart,3),Syklus)&lt;DagK+DagH,"H",IF(MOD($A263-INDEX(SkiftStart,3),Syklus)&lt;DagK+DagH+DagD,"D","F")))</f>
        <v/>
      </c>
      <c r="E263">
        <f>IF(B263="F",0,IF(WEEKDAY($A263,2)=5,INDEX(TimerFr,MATCH(B263,FaseKode,0)),INDEX(TimerMT,MATCH(B263,FaseKode,0))))</f>
        <v/>
      </c>
      <c r="F263">
        <f>IF(C263="F",0,IF(WEEKDAY($A263,2)=5,INDEX(TimerFr,MATCH(C263,FaseKode,0)),INDEX(TimerMT,MATCH(C263,FaseKode,0))))</f>
        <v/>
      </c>
      <c r="G263">
        <f>IF(D263="F",0,IF(WEEKDAY($A263,2)=5,INDEX(TimerFr,MATCH(D263,FaseKode,0)),INDEX(TimerMT,MATCH(D263,FaseKode,0))))</f>
        <v/>
      </c>
      <c r="H263">
        <f>IF(OR(H$4="",$A263&gt;TODAY()),0,IF(OR(INDEX($B263:$D263,H$5)="F",AND(H$6&gt;0,$A263&lt;H$6),AND(H$7&gt;0,$A263&gt;H$7)),0,MAX(0,ROUND((INDEX($E263:$G263,H$5)-SUMIFS(TF_Timer,TF_Tekniker,H$4,TF_Dato,$A263))*2,0)/2)))</f>
        <v/>
      </c>
      <c r="I263">
        <f>IF(OR(I$4="",$A263&gt;TODAY()),0,IF(OR(INDEX($B263:$D263,I$5)="F",AND(I$6&gt;0,$A263&lt;I$6),AND(I$7&gt;0,$A263&gt;I$7)),0,MAX(0,ROUND((INDEX($E263:$G263,I$5)-SUMIFS(TF_Timer,TF_Tekniker,I$4,TF_Dato,$A263))*2,0)/2)))</f>
        <v/>
      </c>
      <c r="J263">
        <f>IF(OR(J$4="",$A263&gt;TODAY()),0,IF(OR(INDEX($B263:$D263,J$5)="F",AND(J$6&gt;0,$A263&lt;J$6),AND(J$7&gt;0,$A263&gt;J$7)),0,MAX(0,ROUND((INDEX($E263:$G263,J$5)-SUMIFS(TF_Timer,TF_Tekniker,J$4,TF_Dato,$A263))*2,0)/2)))</f>
        <v/>
      </c>
      <c r="K263">
        <f>IF(OR(K$4="",$A263&gt;TODAY()),0,IF(OR(INDEX($B263:$D263,K$5)="F",AND(K$6&gt;0,$A263&lt;K$6),AND(K$7&gt;0,$A263&gt;K$7)),0,MAX(0,ROUND((INDEX($E263:$G263,K$5)-SUMIFS(TF_Timer,TF_Tekniker,K$4,TF_Dato,$A263))*2,0)/2)))</f>
        <v/>
      </c>
      <c r="L263">
        <f>IF(OR(L$4="",$A263&gt;TODAY()),0,IF(OR(INDEX($B263:$D263,L$5)="F",AND(L$6&gt;0,$A263&lt;L$6),AND(L$7&gt;0,$A263&gt;L$7)),0,MAX(0,ROUND((INDEX($E263:$G263,L$5)-SUMIFS(TF_Timer,TF_Tekniker,L$4,TF_Dato,$A263))*2,0)/2)))</f>
        <v/>
      </c>
      <c r="M263">
        <f>IF(OR(M$4="",$A263&gt;TODAY()),0,IF(OR(INDEX($B263:$D263,M$5)="F",AND(M$6&gt;0,$A263&lt;M$6),AND(M$7&gt;0,$A263&gt;M$7)),0,MAX(0,ROUND((INDEX($E263:$G263,M$5)-SUMIFS(TF_Timer,TF_Tekniker,M$4,TF_Dato,$A263))*2,0)/2)))</f>
        <v/>
      </c>
      <c r="N263">
        <f>IF(OR(N$4="",$A263&gt;TODAY()),0,IF(OR(INDEX($B263:$D263,N$5)="F",AND(N$6&gt;0,$A263&lt;N$6),AND(N$7&gt;0,$A263&gt;N$7)),0,MAX(0,ROUND((INDEX($E263:$G263,N$5)-SUMIFS(TF_Timer,TF_Tekniker,N$4,TF_Dato,$A263))*2,0)/2)))</f>
        <v/>
      </c>
      <c r="O263">
        <f>IF(OR(O$4="",$A263&gt;TODAY()),0,IF(OR(INDEX($B263:$D263,O$5)="F",AND(O$6&gt;0,$A263&lt;O$6),AND(O$7&gt;0,$A263&gt;O$7)),0,MAX(0,ROUND((INDEX($E263:$G263,O$5)-SUMIFS(TF_Timer,TF_Tekniker,O$4,TF_Dato,$A263))*2,0)/2)))</f>
        <v/>
      </c>
      <c r="P263">
        <f>IF(OR(P$4="",$A263&gt;TODAY()),0,IF(OR(INDEX($B263:$D263,P$5)="F",AND(P$6&gt;0,$A263&lt;P$6),AND(P$7&gt;0,$A263&gt;P$7)),0,MAX(0,ROUND((INDEX($E263:$G263,P$5)-SUMIFS(TF_Timer,TF_Tekniker,P$4,TF_Dato,$A263))*2,0)/2)))</f>
        <v/>
      </c>
      <c r="Q263">
        <f>IF(OR(Q$4="",$A263&gt;TODAY()),0,IF(OR(INDEX($B263:$D263,Q$5)="F",AND(Q$6&gt;0,$A263&lt;Q$6),AND(Q$7&gt;0,$A263&gt;Q$7)),0,MAX(0,ROUND((INDEX($E263:$G263,Q$5)-SUMIFS(TF_Timer,TF_Tekniker,Q$4,TF_Dato,$A263))*2,0)/2)))</f>
        <v/>
      </c>
      <c r="R263">
        <f>IF(OR(R$4="",$A263&gt;TODAY()),0,IF(OR(INDEX($B263:$D263,R$5)="F",AND(R$6&gt;0,$A263&lt;R$6),AND(R$7&gt;0,$A263&gt;R$7)),0,MAX(0,ROUND((INDEX($E263:$G263,R$5)-SUMIFS(TF_Timer,TF_Tekniker,R$4,TF_Dato,$A263))*2,0)/2)))</f>
        <v/>
      </c>
      <c r="S263">
        <f>IF(OR(S$4="",$A263&gt;TODAY()),0,IF(OR(INDEX($B263:$D263,S$5)="F",AND(S$6&gt;0,$A263&lt;S$6),AND(S$7&gt;0,$A263&gt;S$7)),0,MAX(0,ROUND((INDEX($E263:$G263,S$5)-SUMIFS(TF_Timer,TF_Tekniker,S$4,TF_Dato,$A263))*2,0)/2)))</f>
        <v/>
      </c>
      <c r="T263">
        <f>IF(OR(T$4="",$A263&gt;TODAY()),0,IF(OR(INDEX($B263:$D263,T$5)="F",AND(T$6&gt;0,$A263&lt;T$6),AND(T$7&gt;0,$A263&gt;T$7)),0,MAX(0,ROUND((INDEX($E263:$G263,T$5)-SUMIFS(TF_Timer,TF_Tekniker,T$4,TF_Dato,$A263))*2,0)/2)))</f>
        <v/>
      </c>
      <c r="U263">
        <f>IF(OR(U$4="",$A263&gt;TODAY()),0,IF(OR(INDEX($B263:$D263,U$5)="F",AND(U$6&gt;0,$A263&lt;U$6),AND(U$7&gt;0,$A263&gt;U$7)),0,MAX(0,ROUND((INDEX($E263:$G263,U$5)-SUMIFS(TF_Timer,TF_Tekniker,U$4,TF_Dato,$A263))*2,0)/2)))</f>
        <v/>
      </c>
      <c r="V263">
        <f>IF(OR(V$4="",$A263&gt;TODAY()),0,IF(OR(INDEX($B263:$D263,V$5)="F",AND(V$6&gt;0,$A263&lt;V$6),AND(V$7&gt;0,$A263&gt;V$7)),0,MAX(0,ROUND((INDEX($E263:$G263,V$5)-SUMIFS(TF_Timer,TF_Tekniker,V$4,TF_Dato,$A263))*2,0)/2)))</f>
        <v/>
      </c>
      <c r="W263">
        <f>IF(OR(W$4="",$A263&gt;TODAY()),0,IF(OR(INDEX($B263:$D263,W$5)="F",AND(W$6&gt;0,$A263&lt;W$6),AND(W$7&gt;0,$A263&gt;W$7)),0,MAX(0,ROUND((INDEX($E263:$G263,W$5)-SUMIFS(TF_Timer,TF_Tekniker,W$4,TF_Dato,$A263))*2,0)/2)))</f>
        <v/>
      </c>
      <c r="X263">
        <f>IF(OR(X$4="",$A263&gt;TODAY()),0,IF(OR(INDEX($B263:$D263,X$5)="F",AND(X$6&gt;0,$A263&lt;X$6),AND(X$7&gt;0,$A263&gt;X$7)),0,MAX(0,ROUND((INDEX($E263:$G263,X$5)-SUMIFS(TF_Timer,TF_Tekniker,X$4,TF_Dato,$A263))*2,0)/2)))</f>
        <v/>
      </c>
      <c r="Y263">
        <f>IF(OR(Y$4="",$A263&gt;TODAY()),0,IF(OR(INDEX($B263:$D263,Y$5)="F",AND(Y$6&gt;0,$A263&lt;Y$6),AND(Y$7&gt;0,$A263&gt;Y$7)),0,MAX(0,ROUND((INDEX($E263:$G263,Y$5)-SUMIFS(TF_Timer,TF_Tekniker,Y$4,TF_Dato,$A263))*2,0)/2)))</f>
        <v/>
      </c>
      <c r="Z263">
        <f>IF(OR(Z$4="",$A263&gt;TODAY()),0,IF(OR(INDEX($B263:$D263,Z$5)="F",AND(Z$6&gt;0,$A263&lt;Z$6),AND(Z$7&gt;0,$A263&gt;Z$7)),0,MAX(0,ROUND((INDEX($E263:$G263,Z$5)-SUMIFS(TF_Timer,TF_Tekniker,Z$4,TF_Dato,$A263))*2,0)/2)))</f>
        <v/>
      </c>
      <c r="AA263">
        <f>IF(OR(AA$4="",$A263&gt;TODAY()),0,IF(OR(INDEX($B263:$D263,AA$5)="F",AND(AA$6&gt;0,$A263&lt;AA$6),AND(AA$7&gt;0,$A263&gt;AA$7)),0,MAX(0,ROUND((INDEX($E263:$G263,AA$5)-SUMIFS(TF_Timer,TF_Tekniker,AA$4,TF_Dato,$A263))*2,0)/2)))</f>
        <v/>
      </c>
      <c r="AB263">
        <f>IF(OR(AB$4="",$A263&gt;TODAY()),0,IF(OR(INDEX($B263:$D263,AB$5)="F",AND(AB$6&gt;0,$A263&lt;AB$6),AND(AB$7&gt;0,$A263&gt;AB$7)),0,MAX(0,ROUND((INDEX($E263:$G263,AB$5)-SUMIFS(TF_Timer,TF_Tekniker,AB$4,TF_Dato,$A263))*2,0)/2)))</f>
        <v/>
      </c>
      <c r="AC263">
        <f>IF(OR(AC$4="",$A263&gt;TODAY()),0,IF(OR(INDEX($B263:$D263,AC$5)="F",AND(AC$6&gt;0,$A263&lt;AC$6),AND(AC$7&gt;0,$A263&gt;AC$7)),0,MAX(0,ROUND((INDEX($E263:$G263,AC$5)-SUMIFS(TF_Timer,TF_Tekniker,AC$4,TF_Dato,$A263))*2,0)/2)))</f>
        <v/>
      </c>
      <c r="AD263">
        <f>IF(OR(AD$4="",$A263&gt;TODAY()),0,IF(OR(INDEX($B263:$D263,AD$5)="F",AND(AD$6&gt;0,$A263&lt;AD$6),AND(AD$7&gt;0,$A263&gt;AD$7)),0,MAX(0,ROUND((INDEX($E263:$G263,AD$5)-SUMIFS(TF_Timer,TF_Tekniker,AD$4,TF_Dato,$A263))*2,0)/2)))</f>
        <v/>
      </c>
      <c r="AE263">
        <f>IF(OR(AE$4="",$A263&gt;TODAY()),0,IF(OR(INDEX($B263:$D263,AE$5)="F",AND(AE$6&gt;0,$A263&lt;AE$6),AND(AE$7&gt;0,$A263&gt;AE$7)),0,MAX(0,ROUND((INDEX($E263:$G263,AE$5)-SUMIFS(TF_Timer,TF_Tekniker,AE$4,TF_Dato,$A263))*2,0)/2)))</f>
        <v/>
      </c>
      <c r="AF263">
        <f>IF(OR(AF$4="",$A263&gt;TODAY()),0,IF(OR(INDEX($B263:$D263,AF$5)="F",AND(AF$6&gt;0,$A263&lt;AF$6),AND(AF$7&gt;0,$A263&gt;AF$7)),0,MAX(0,ROUND((INDEX($E263:$G263,AF$5)-SUMIFS(TF_Timer,TF_Tekniker,AF$4,TF_Dato,$A263))*2,0)/2)))</f>
        <v/>
      </c>
      <c r="AG263">
        <f>IF(OR(AG$4="",$A263&gt;TODAY()),0,IF(OR(INDEX($B263:$D263,AG$5)="F",AND(AG$6&gt;0,$A263&lt;AG$6),AND(AG$7&gt;0,$A263&gt;AG$7)),0,MAX(0,ROUND((INDEX($E263:$G263,AG$5)-SUMIFS(TF_Timer,TF_Tekniker,AG$4,TF_Dato,$A263))*2,0)/2)))</f>
        <v/>
      </c>
      <c r="AH263">
        <f>IF(OR(AH$4="",$A263&gt;TODAY()),0,IF(OR(INDEX($B263:$D263,AH$5)="F",AND(AH$6&gt;0,$A263&lt;AH$6),AND(AH$7&gt;0,$A263&gt;AH$7)),0,MAX(0,ROUND((INDEX($E263:$G263,AH$5)-SUMIFS(TF_Timer,TF_Tekniker,AH$4,TF_Dato,$A263))*2,0)/2)))</f>
        <v/>
      </c>
      <c r="AI263">
        <f>IF(OR(AI$4="",$A263&gt;TODAY()),0,IF(OR(INDEX($B263:$D263,AI$5)="F",AND(AI$6&gt;0,$A263&lt;AI$6),AND(AI$7&gt;0,$A263&gt;AI$7)),0,MAX(0,ROUND((INDEX($E263:$G263,AI$5)-SUMIFS(TF_Timer,TF_Tekniker,AI$4,TF_Dato,$A263))*2,0)/2)))</f>
        <v/>
      </c>
      <c r="AJ263">
        <f>IF(OR(AJ$4="",$A263&gt;TODAY()),0,IF(OR(INDEX($B263:$D263,AJ$5)="F",AND(AJ$6&gt;0,$A263&lt;AJ$6),AND(AJ$7&gt;0,$A263&gt;AJ$7)),0,MAX(0,ROUND((INDEX($E263:$G263,AJ$5)-SUMIFS(TF_Timer,TF_Tekniker,AJ$4,TF_Dato,$A263))*2,0)/2)))</f>
        <v/>
      </c>
      <c r="AK263">
        <f>IF(OR(AK$4="",$A263&gt;TODAY()),0,IF(OR(INDEX($B263:$D263,AK$5)="F",AND(AK$6&gt;0,$A263&lt;AK$6),AND(AK$7&gt;0,$A263&gt;AK$7)),0,MAX(0,ROUND((INDEX($E263:$G263,AK$5)-SUMIFS(TF_Timer,TF_Tekniker,AK$4,TF_Dato,$A263))*2,0)/2)))</f>
        <v/>
      </c>
      <c r="AL263">
        <f>IF(OR(AL$4="",$A263&gt;TODAY()),0,IF(OR(INDEX($B263:$D263,AL$5)="F",AND(AL$6&gt;0,$A263&lt;AL$6),AND(AL$7&gt;0,$A263&gt;AL$7)),0,MAX(0,ROUND((INDEX($E263:$G263,AL$5)-SUMIFS(TF_Timer,TF_Tekniker,AL$4,TF_Dato,$A263))*2,0)/2)))</f>
        <v/>
      </c>
      <c r="AM263">
        <f>IF(OR(AM$4="",$A263&gt;TODAY()),0,IF(OR(INDEX($B263:$D263,AM$5)="F",AND(AM$6&gt;0,$A263&lt;AM$6),AND(AM$7&gt;0,$A263&gt;AM$7)),0,MAX(0,ROUND((INDEX($E263:$G263,AM$5)-SUMIFS(TF_Timer,TF_Tekniker,AM$4,TF_Dato,$A263))*2,0)/2)))</f>
        <v/>
      </c>
      <c r="AN263">
        <f>IF(OR(AN$4="",$A263&gt;TODAY()),0,IF(OR(INDEX($B263:$D263,AN$5)="F",AND(AN$6&gt;0,$A263&lt;AN$6),AND(AN$7&gt;0,$A263&gt;AN$7)),0,MAX(0,ROUND((INDEX($E263:$G263,AN$5)-SUMIFS(TF_Timer,TF_Tekniker,AN$4,TF_Dato,$A263))*2,0)/2)))</f>
        <v/>
      </c>
      <c r="AO263">
        <f>IF(OR(AO$4="",$A263&gt;TODAY()),0,IF(OR(INDEX($B263:$D263,AO$5)="F",AND(AO$6&gt;0,$A263&lt;AO$6),AND(AO$7&gt;0,$A263&gt;AO$7)),0,MAX(0,ROUND((INDEX($E263:$G263,AO$5)-SUMIFS(TF_Timer,TF_Tekniker,AO$4,TF_Dato,$A263))*2,0)/2)))</f>
        <v/>
      </c>
      <c r="AP263">
        <f>IF(OR(AP$4="",$A263&gt;TODAY()),0,IF(OR(INDEX($B263:$D263,AP$5)="F",AND(AP$6&gt;0,$A263&lt;AP$6),AND(AP$7&gt;0,$A263&gt;AP$7)),0,MAX(0,ROUND((INDEX($E263:$G263,AP$5)-SUMIFS(TF_Timer,TF_Tekniker,AP$4,TF_Dato,$A263))*2,0)/2)))</f>
        <v/>
      </c>
      <c r="AQ263">
        <f>IF(OR(AQ$4="",$A263&gt;TODAY()),0,IF(OR(INDEX($B263:$D263,AQ$5)="F",AND(AQ$6&gt;0,$A263&lt;AQ$6),AND(AQ$7&gt;0,$A263&gt;AQ$7)),0,MAX(0,ROUND((INDEX($E263:$G263,AQ$5)-SUMIFS(TF_Timer,TF_Tekniker,AQ$4,TF_Dato,$A263))*2,0)/2)))</f>
        <v/>
      </c>
      <c r="AR263">
        <f>IF(OR(AR$4="",$A263&gt;TODAY()),0,IF(OR(INDEX($B263:$D263,AR$5)="F",AND(AR$6&gt;0,$A263&lt;AR$6),AND(AR$7&gt;0,$A263&gt;AR$7)),0,MAX(0,ROUND((INDEX($E263:$G263,AR$5)-SUMIFS(TF_Timer,TF_Tekniker,AR$4,TF_Dato,$A263))*2,0)/2)))</f>
        <v/>
      </c>
      <c r="AS263">
        <f>IF(OR(AS$4="",$A263&gt;TODAY()),0,IF(OR(INDEX($B263:$D263,AS$5)="F",AND(AS$6&gt;0,$A263&lt;AS$6),AND(AS$7&gt;0,$A263&gt;AS$7)),0,MAX(0,ROUND((INDEX($E263:$G263,AS$5)-SUMIFS(TF_Timer,TF_Tekniker,AS$4,TF_Dato,$A263))*2,0)/2)))</f>
        <v/>
      </c>
      <c r="AT263">
        <f>IF(OR(AT$4="",$A263&gt;TODAY()),0,IF(OR(INDEX($B263:$D263,AT$5)="F",AND(AT$6&gt;0,$A263&lt;AT$6),AND(AT$7&gt;0,$A263&gt;AT$7)),0,MAX(0,ROUND((INDEX($E263:$G263,AT$5)-SUMIFS(TF_Timer,TF_Tekniker,AT$4,TF_Dato,$A263))*2,0)/2)))</f>
        <v/>
      </c>
      <c r="AU263">
        <f>IF(OR(AU$4="",$A263&gt;TODAY()),0,IF(OR(INDEX($B263:$D263,AU$5)="F",AND(AU$6&gt;0,$A263&lt;AU$6),AND(AU$7&gt;0,$A263&gt;AU$7)),0,MAX(0,ROUND((INDEX($E263:$G263,AU$5)-SUMIFS(TF_Timer,TF_Tekniker,AU$4,TF_Dato,$A263))*2,0)/2)))</f>
        <v/>
      </c>
      <c r="AV263">
        <f>IF(OR(AV$4="",$A263&gt;TODAY()),0,IF(OR(INDEX($B263:$D263,AV$5)="F",AND(AV$6&gt;0,$A263&lt;AV$6),AND(AV$7&gt;0,$A263&gt;AV$7)),0,MAX(0,ROUND((INDEX($E263:$G263,AV$5)-SUMIFS(TF_Timer,TF_Tekniker,AV$4,TF_Dato,$A263))*2,0)/2)))</f>
        <v/>
      </c>
      <c r="AW263">
        <f>IF(OR(AW$4="",$A263&gt;TODAY()),0,IF(OR(INDEX($B263:$D263,AW$5)="F",AND(AW$6&gt;0,$A263&lt;AW$6),AND(AW$7&gt;0,$A263&gt;AW$7)),0,MAX(0,ROUND((INDEX($E263:$G263,AW$5)-SUMIFS(TF_Timer,TF_Tekniker,AW$4,TF_Dato,$A263))*2,0)/2)))</f>
        <v/>
      </c>
      <c r="AX263">
        <f>IF(OR(AX$4="",$A263&gt;TODAY()),0,IF(OR(INDEX($B263:$D263,AX$5)="F",AND(AX$6&gt;0,$A263&lt;AX$6),AND(AX$7&gt;0,$A263&gt;AX$7)),0,MAX(0,ROUND((INDEX($E263:$G263,AX$5)-SUMIFS(TF_Timer,TF_Tekniker,AX$4,TF_Dato,$A263))*2,0)/2)))</f>
        <v/>
      </c>
      <c r="AY263">
        <f>IF(OR(AY$4="",$A263&gt;TODAY()),0,IF(OR(INDEX($B263:$D263,AY$5)="F",AND(AY$6&gt;0,$A263&lt;AY$6),AND(AY$7&gt;0,$A263&gt;AY$7)),0,MAX(0,ROUND((INDEX($E263:$G263,AY$5)-SUMIFS(TF_Timer,TF_Tekniker,AY$4,TF_Dato,$A263))*2,0)/2)))</f>
        <v/>
      </c>
      <c r="AZ263">
        <f>IF(OR(AZ$4="",$A263&gt;TODAY()),0,IF(OR(INDEX($B263:$D263,AZ$5)="F",AND(AZ$6&gt;0,$A263&lt;AZ$6),AND(AZ$7&gt;0,$A263&gt;AZ$7)),0,MAX(0,ROUND((INDEX($E263:$G263,AZ$5)-SUMIFS(TF_Timer,TF_Tekniker,AZ$4,TF_Dato,$A263))*2,0)/2)))</f>
        <v/>
      </c>
      <c r="BA263">
        <f>IF(OR(BA$4="",$A263&gt;TODAY()),0,IF(OR(INDEX($B263:$D263,BA$5)="F",AND(BA$6&gt;0,$A263&lt;BA$6),AND(BA$7&gt;0,$A263&gt;BA$7)),0,MAX(0,ROUND((INDEX($E263:$G263,BA$5)-SUMIFS(TF_Timer,TF_Tekniker,BA$4,TF_Dato,$A263))*2,0)/2)))</f>
        <v/>
      </c>
      <c r="BB263">
        <f>IF(OR(BB$4="",$A263&gt;TODAY()),0,IF(OR(INDEX($B263:$D263,BB$5)="F",AND(BB$6&gt;0,$A263&lt;BB$6),AND(BB$7&gt;0,$A263&gt;BB$7)),0,MAX(0,ROUND((INDEX($E263:$G263,BB$5)-SUMIFS(TF_Timer,TF_Tekniker,BB$4,TF_Dato,$A263))*2,0)/2)))</f>
        <v/>
      </c>
      <c r="BC263">
        <f>IF(OR(BC$4="",$A263&gt;TODAY()),0,IF(OR(INDEX($B263:$D263,BC$5)="F",AND(BC$6&gt;0,$A263&lt;BC$6),AND(BC$7&gt;0,$A263&gt;BC$7)),0,MAX(0,ROUND((INDEX($E263:$G263,BC$5)-SUMIFS(TF_Timer,TF_Tekniker,BC$4,TF_Dato,$A263))*2,0)/2)))</f>
        <v/>
      </c>
      <c r="BD263">
        <f>IF(OR(BD$4="",$A263&gt;TODAY()),0,IF(OR(INDEX($B263:$D263,BD$5)="F",AND(BD$6&gt;0,$A263&lt;BD$6),AND(BD$7&gt;0,$A263&gt;BD$7)),0,MAX(0,ROUND((INDEX($E263:$G263,BD$5)-SUMIFS(TF_Timer,TF_Tekniker,BD$4,TF_Dato,$A263))*2,0)/2)))</f>
        <v/>
      </c>
      <c r="BE263">
        <f>IF(OR(BE$4="",$A263&gt;TODAY()),0,IF(OR(INDEX($B263:$D263,BE$5)="F",AND(BE$6&gt;0,$A263&lt;BE$6),AND(BE$7&gt;0,$A263&gt;BE$7)),0,MAX(0,ROUND((INDEX($E263:$G263,BE$5)-SUMIFS(TF_Timer,TF_Tekniker,BE$4,TF_Dato,$A263))*2,0)/2)))</f>
        <v/>
      </c>
      <c r="BF263">
        <f>IF(OR(BF$4="",$A263&gt;TODAY()),0,IF(OR(INDEX($B263:$D263,BF$5)="F",AND(BF$6&gt;0,$A263&lt;BF$6),AND(BF$7&gt;0,$A263&gt;BF$7)),0,MAX(0,ROUND((INDEX($E263:$G263,BF$5)-SUMIFS(TF_Timer,TF_Tekniker,BF$4,TF_Dato,$A263))*2,0)/2)))</f>
        <v/>
      </c>
      <c r="BG263">
        <f>IF(OR(BG$4="",$A263&gt;TODAY()),0,IF(OR(INDEX($B263:$D263,BG$5)="F",AND(BG$6&gt;0,$A263&lt;BG$6),AND(BG$7&gt;0,$A263&gt;BG$7)),0,MAX(0,ROUND((INDEX($E263:$G263,BG$5)-SUMIFS(TF_Timer,TF_Tekniker,BG$4,TF_Dato,$A263))*2,0)/2)))</f>
        <v/>
      </c>
      <c r="BH263">
        <f>IF(OR(BH$4="",$A263&gt;TODAY()),0,IF(OR(INDEX($B263:$D263,BH$5)="F",AND(BH$6&gt;0,$A263&lt;BH$6),AND(BH$7&gt;0,$A263&gt;BH$7)),0,MAX(0,ROUND((INDEX($E263:$G263,BH$5)-SUMIFS(TF_Timer,TF_Tekniker,BH$4,TF_Dato,$A263))*2,0)/2)))</f>
        <v/>
      </c>
      <c r="BI263">
        <f>IF(OR(BI$4="",$A263&gt;TODAY()),0,IF(OR(INDEX($B263:$D263,BI$5)="F",AND(BI$6&gt;0,$A263&lt;BI$6),AND(BI$7&gt;0,$A263&gt;BI$7)),0,MAX(0,ROUND((INDEX($E263:$G263,BI$5)-SUMIFS(TF_Timer,TF_Tekniker,BI$4,TF_Dato,$A263))*2,0)/2)))</f>
        <v/>
      </c>
    </row>
    <row r="264">
      <c r="A264" s="64">
        <f>A263+1</f>
        <v/>
      </c>
      <c r="B264">
        <f>IF(MOD($A264-INDEX(SkiftStart,1),Syklus)&lt;DagK,"K",IF(MOD($A264-INDEX(SkiftStart,1),Syklus)&lt;DagK+DagH,"H",IF(MOD($A264-INDEX(SkiftStart,1),Syklus)&lt;DagK+DagH+DagD,"D","F")))</f>
        <v/>
      </c>
      <c r="C264">
        <f>IF(MOD($A264-INDEX(SkiftStart,2),Syklus)&lt;DagK,"K",IF(MOD($A264-INDEX(SkiftStart,2),Syklus)&lt;DagK+DagH,"H",IF(MOD($A264-INDEX(SkiftStart,2),Syklus)&lt;DagK+DagH+DagD,"D","F")))</f>
        <v/>
      </c>
      <c r="D264">
        <f>IF(MOD($A264-INDEX(SkiftStart,3),Syklus)&lt;DagK,"K",IF(MOD($A264-INDEX(SkiftStart,3),Syklus)&lt;DagK+DagH,"H",IF(MOD($A264-INDEX(SkiftStart,3),Syklus)&lt;DagK+DagH+DagD,"D","F")))</f>
        <v/>
      </c>
      <c r="E264">
        <f>IF(B264="F",0,IF(WEEKDAY($A264,2)=5,INDEX(TimerFr,MATCH(B264,FaseKode,0)),INDEX(TimerMT,MATCH(B264,FaseKode,0))))</f>
        <v/>
      </c>
      <c r="F264">
        <f>IF(C264="F",0,IF(WEEKDAY($A264,2)=5,INDEX(TimerFr,MATCH(C264,FaseKode,0)),INDEX(TimerMT,MATCH(C264,FaseKode,0))))</f>
        <v/>
      </c>
      <c r="G264">
        <f>IF(D264="F",0,IF(WEEKDAY($A264,2)=5,INDEX(TimerFr,MATCH(D264,FaseKode,0)),INDEX(TimerMT,MATCH(D264,FaseKode,0))))</f>
        <v/>
      </c>
      <c r="H264">
        <f>IF(OR(H$4="",$A264&gt;TODAY()),0,IF(OR(INDEX($B264:$D264,H$5)="F",AND(H$6&gt;0,$A264&lt;H$6),AND(H$7&gt;0,$A264&gt;H$7)),0,MAX(0,ROUND((INDEX($E264:$G264,H$5)-SUMIFS(TF_Timer,TF_Tekniker,H$4,TF_Dato,$A264))*2,0)/2)))</f>
        <v/>
      </c>
      <c r="I264">
        <f>IF(OR(I$4="",$A264&gt;TODAY()),0,IF(OR(INDEX($B264:$D264,I$5)="F",AND(I$6&gt;0,$A264&lt;I$6),AND(I$7&gt;0,$A264&gt;I$7)),0,MAX(0,ROUND((INDEX($E264:$G264,I$5)-SUMIFS(TF_Timer,TF_Tekniker,I$4,TF_Dato,$A264))*2,0)/2)))</f>
        <v/>
      </c>
      <c r="J264">
        <f>IF(OR(J$4="",$A264&gt;TODAY()),0,IF(OR(INDEX($B264:$D264,J$5)="F",AND(J$6&gt;0,$A264&lt;J$6),AND(J$7&gt;0,$A264&gt;J$7)),0,MAX(0,ROUND((INDEX($E264:$G264,J$5)-SUMIFS(TF_Timer,TF_Tekniker,J$4,TF_Dato,$A264))*2,0)/2)))</f>
        <v/>
      </c>
      <c r="K264">
        <f>IF(OR(K$4="",$A264&gt;TODAY()),0,IF(OR(INDEX($B264:$D264,K$5)="F",AND(K$6&gt;0,$A264&lt;K$6),AND(K$7&gt;0,$A264&gt;K$7)),0,MAX(0,ROUND((INDEX($E264:$G264,K$5)-SUMIFS(TF_Timer,TF_Tekniker,K$4,TF_Dato,$A264))*2,0)/2)))</f>
        <v/>
      </c>
      <c r="L264">
        <f>IF(OR(L$4="",$A264&gt;TODAY()),0,IF(OR(INDEX($B264:$D264,L$5)="F",AND(L$6&gt;0,$A264&lt;L$6),AND(L$7&gt;0,$A264&gt;L$7)),0,MAX(0,ROUND((INDEX($E264:$G264,L$5)-SUMIFS(TF_Timer,TF_Tekniker,L$4,TF_Dato,$A264))*2,0)/2)))</f>
        <v/>
      </c>
      <c r="M264">
        <f>IF(OR(M$4="",$A264&gt;TODAY()),0,IF(OR(INDEX($B264:$D264,M$5)="F",AND(M$6&gt;0,$A264&lt;M$6),AND(M$7&gt;0,$A264&gt;M$7)),0,MAX(0,ROUND((INDEX($E264:$G264,M$5)-SUMIFS(TF_Timer,TF_Tekniker,M$4,TF_Dato,$A264))*2,0)/2)))</f>
        <v/>
      </c>
      <c r="N264">
        <f>IF(OR(N$4="",$A264&gt;TODAY()),0,IF(OR(INDEX($B264:$D264,N$5)="F",AND(N$6&gt;0,$A264&lt;N$6),AND(N$7&gt;0,$A264&gt;N$7)),0,MAX(0,ROUND((INDEX($E264:$G264,N$5)-SUMIFS(TF_Timer,TF_Tekniker,N$4,TF_Dato,$A264))*2,0)/2)))</f>
        <v/>
      </c>
      <c r="O264">
        <f>IF(OR(O$4="",$A264&gt;TODAY()),0,IF(OR(INDEX($B264:$D264,O$5)="F",AND(O$6&gt;0,$A264&lt;O$6),AND(O$7&gt;0,$A264&gt;O$7)),0,MAX(0,ROUND((INDEX($E264:$G264,O$5)-SUMIFS(TF_Timer,TF_Tekniker,O$4,TF_Dato,$A264))*2,0)/2)))</f>
        <v/>
      </c>
      <c r="P264">
        <f>IF(OR(P$4="",$A264&gt;TODAY()),0,IF(OR(INDEX($B264:$D264,P$5)="F",AND(P$6&gt;0,$A264&lt;P$6),AND(P$7&gt;0,$A264&gt;P$7)),0,MAX(0,ROUND((INDEX($E264:$G264,P$5)-SUMIFS(TF_Timer,TF_Tekniker,P$4,TF_Dato,$A264))*2,0)/2)))</f>
        <v/>
      </c>
      <c r="Q264">
        <f>IF(OR(Q$4="",$A264&gt;TODAY()),0,IF(OR(INDEX($B264:$D264,Q$5)="F",AND(Q$6&gt;0,$A264&lt;Q$6),AND(Q$7&gt;0,$A264&gt;Q$7)),0,MAX(0,ROUND((INDEX($E264:$G264,Q$5)-SUMIFS(TF_Timer,TF_Tekniker,Q$4,TF_Dato,$A264))*2,0)/2)))</f>
        <v/>
      </c>
      <c r="R264">
        <f>IF(OR(R$4="",$A264&gt;TODAY()),0,IF(OR(INDEX($B264:$D264,R$5)="F",AND(R$6&gt;0,$A264&lt;R$6),AND(R$7&gt;0,$A264&gt;R$7)),0,MAX(0,ROUND((INDEX($E264:$G264,R$5)-SUMIFS(TF_Timer,TF_Tekniker,R$4,TF_Dato,$A264))*2,0)/2)))</f>
        <v/>
      </c>
      <c r="S264">
        <f>IF(OR(S$4="",$A264&gt;TODAY()),0,IF(OR(INDEX($B264:$D264,S$5)="F",AND(S$6&gt;0,$A264&lt;S$6),AND(S$7&gt;0,$A264&gt;S$7)),0,MAX(0,ROUND((INDEX($E264:$G264,S$5)-SUMIFS(TF_Timer,TF_Tekniker,S$4,TF_Dato,$A264))*2,0)/2)))</f>
        <v/>
      </c>
      <c r="T264">
        <f>IF(OR(T$4="",$A264&gt;TODAY()),0,IF(OR(INDEX($B264:$D264,T$5)="F",AND(T$6&gt;0,$A264&lt;T$6),AND(T$7&gt;0,$A264&gt;T$7)),0,MAX(0,ROUND((INDEX($E264:$G264,T$5)-SUMIFS(TF_Timer,TF_Tekniker,T$4,TF_Dato,$A264))*2,0)/2)))</f>
        <v/>
      </c>
      <c r="U264">
        <f>IF(OR(U$4="",$A264&gt;TODAY()),0,IF(OR(INDEX($B264:$D264,U$5)="F",AND(U$6&gt;0,$A264&lt;U$6),AND(U$7&gt;0,$A264&gt;U$7)),0,MAX(0,ROUND((INDEX($E264:$G264,U$5)-SUMIFS(TF_Timer,TF_Tekniker,U$4,TF_Dato,$A264))*2,0)/2)))</f>
        <v/>
      </c>
      <c r="V264">
        <f>IF(OR(V$4="",$A264&gt;TODAY()),0,IF(OR(INDEX($B264:$D264,V$5)="F",AND(V$6&gt;0,$A264&lt;V$6),AND(V$7&gt;0,$A264&gt;V$7)),0,MAX(0,ROUND((INDEX($E264:$G264,V$5)-SUMIFS(TF_Timer,TF_Tekniker,V$4,TF_Dato,$A264))*2,0)/2)))</f>
        <v/>
      </c>
      <c r="W264">
        <f>IF(OR(W$4="",$A264&gt;TODAY()),0,IF(OR(INDEX($B264:$D264,W$5)="F",AND(W$6&gt;0,$A264&lt;W$6),AND(W$7&gt;0,$A264&gt;W$7)),0,MAX(0,ROUND((INDEX($E264:$G264,W$5)-SUMIFS(TF_Timer,TF_Tekniker,W$4,TF_Dato,$A264))*2,0)/2)))</f>
        <v/>
      </c>
      <c r="X264">
        <f>IF(OR(X$4="",$A264&gt;TODAY()),0,IF(OR(INDEX($B264:$D264,X$5)="F",AND(X$6&gt;0,$A264&lt;X$6),AND(X$7&gt;0,$A264&gt;X$7)),0,MAX(0,ROUND((INDEX($E264:$G264,X$5)-SUMIFS(TF_Timer,TF_Tekniker,X$4,TF_Dato,$A264))*2,0)/2)))</f>
        <v/>
      </c>
      <c r="Y264">
        <f>IF(OR(Y$4="",$A264&gt;TODAY()),0,IF(OR(INDEX($B264:$D264,Y$5)="F",AND(Y$6&gt;0,$A264&lt;Y$6),AND(Y$7&gt;0,$A264&gt;Y$7)),0,MAX(0,ROUND((INDEX($E264:$G264,Y$5)-SUMIFS(TF_Timer,TF_Tekniker,Y$4,TF_Dato,$A264))*2,0)/2)))</f>
        <v/>
      </c>
      <c r="Z264">
        <f>IF(OR(Z$4="",$A264&gt;TODAY()),0,IF(OR(INDEX($B264:$D264,Z$5)="F",AND(Z$6&gt;0,$A264&lt;Z$6),AND(Z$7&gt;0,$A264&gt;Z$7)),0,MAX(0,ROUND((INDEX($E264:$G264,Z$5)-SUMIFS(TF_Timer,TF_Tekniker,Z$4,TF_Dato,$A264))*2,0)/2)))</f>
        <v/>
      </c>
      <c r="AA264">
        <f>IF(OR(AA$4="",$A264&gt;TODAY()),0,IF(OR(INDEX($B264:$D264,AA$5)="F",AND(AA$6&gt;0,$A264&lt;AA$6),AND(AA$7&gt;0,$A264&gt;AA$7)),0,MAX(0,ROUND((INDEX($E264:$G264,AA$5)-SUMIFS(TF_Timer,TF_Tekniker,AA$4,TF_Dato,$A264))*2,0)/2)))</f>
        <v/>
      </c>
      <c r="AB264">
        <f>IF(OR(AB$4="",$A264&gt;TODAY()),0,IF(OR(INDEX($B264:$D264,AB$5)="F",AND(AB$6&gt;0,$A264&lt;AB$6),AND(AB$7&gt;0,$A264&gt;AB$7)),0,MAX(0,ROUND((INDEX($E264:$G264,AB$5)-SUMIFS(TF_Timer,TF_Tekniker,AB$4,TF_Dato,$A264))*2,0)/2)))</f>
        <v/>
      </c>
      <c r="AC264">
        <f>IF(OR(AC$4="",$A264&gt;TODAY()),0,IF(OR(INDEX($B264:$D264,AC$5)="F",AND(AC$6&gt;0,$A264&lt;AC$6),AND(AC$7&gt;0,$A264&gt;AC$7)),0,MAX(0,ROUND((INDEX($E264:$G264,AC$5)-SUMIFS(TF_Timer,TF_Tekniker,AC$4,TF_Dato,$A264))*2,0)/2)))</f>
        <v/>
      </c>
      <c r="AD264">
        <f>IF(OR(AD$4="",$A264&gt;TODAY()),0,IF(OR(INDEX($B264:$D264,AD$5)="F",AND(AD$6&gt;0,$A264&lt;AD$6),AND(AD$7&gt;0,$A264&gt;AD$7)),0,MAX(0,ROUND((INDEX($E264:$G264,AD$5)-SUMIFS(TF_Timer,TF_Tekniker,AD$4,TF_Dato,$A264))*2,0)/2)))</f>
        <v/>
      </c>
      <c r="AE264">
        <f>IF(OR(AE$4="",$A264&gt;TODAY()),0,IF(OR(INDEX($B264:$D264,AE$5)="F",AND(AE$6&gt;0,$A264&lt;AE$6),AND(AE$7&gt;0,$A264&gt;AE$7)),0,MAX(0,ROUND((INDEX($E264:$G264,AE$5)-SUMIFS(TF_Timer,TF_Tekniker,AE$4,TF_Dato,$A264))*2,0)/2)))</f>
        <v/>
      </c>
      <c r="AF264">
        <f>IF(OR(AF$4="",$A264&gt;TODAY()),0,IF(OR(INDEX($B264:$D264,AF$5)="F",AND(AF$6&gt;0,$A264&lt;AF$6),AND(AF$7&gt;0,$A264&gt;AF$7)),0,MAX(0,ROUND((INDEX($E264:$G264,AF$5)-SUMIFS(TF_Timer,TF_Tekniker,AF$4,TF_Dato,$A264))*2,0)/2)))</f>
        <v/>
      </c>
      <c r="AG264">
        <f>IF(OR(AG$4="",$A264&gt;TODAY()),0,IF(OR(INDEX($B264:$D264,AG$5)="F",AND(AG$6&gt;0,$A264&lt;AG$6),AND(AG$7&gt;0,$A264&gt;AG$7)),0,MAX(0,ROUND((INDEX($E264:$G264,AG$5)-SUMIFS(TF_Timer,TF_Tekniker,AG$4,TF_Dato,$A264))*2,0)/2)))</f>
        <v/>
      </c>
      <c r="AH264">
        <f>IF(OR(AH$4="",$A264&gt;TODAY()),0,IF(OR(INDEX($B264:$D264,AH$5)="F",AND(AH$6&gt;0,$A264&lt;AH$6),AND(AH$7&gt;0,$A264&gt;AH$7)),0,MAX(0,ROUND((INDEX($E264:$G264,AH$5)-SUMIFS(TF_Timer,TF_Tekniker,AH$4,TF_Dato,$A264))*2,0)/2)))</f>
        <v/>
      </c>
      <c r="AI264">
        <f>IF(OR(AI$4="",$A264&gt;TODAY()),0,IF(OR(INDEX($B264:$D264,AI$5)="F",AND(AI$6&gt;0,$A264&lt;AI$6),AND(AI$7&gt;0,$A264&gt;AI$7)),0,MAX(0,ROUND((INDEX($E264:$G264,AI$5)-SUMIFS(TF_Timer,TF_Tekniker,AI$4,TF_Dato,$A264))*2,0)/2)))</f>
        <v/>
      </c>
      <c r="AJ264">
        <f>IF(OR(AJ$4="",$A264&gt;TODAY()),0,IF(OR(INDEX($B264:$D264,AJ$5)="F",AND(AJ$6&gt;0,$A264&lt;AJ$6),AND(AJ$7&gt;0,$A264&gt;AJ$7)),0,MAX(0,ROUND((INDEX($E264:$G264,AJ$5)-SUMIFS(TF_Timer,TF_Tekniker,AJ$4,TF_Dato,$A264))*2,0)/2)))</f>
        <v/>
      </c>
      <c r="AK264">
        <f>IF(OR(AK$4="",$A264&gt;TODAY()),0,IF(OR(INDEX($B264:$D264,AK$5)="F",AND(AK$6&gt;0,$A264&lt;AK$6),AND(AK$7&gt;0,$A264&gt;AK$7)),0,MAX(0,ROUND((INDEX($E264:$G264,AK$5)-SUMIFS(TF_Timer,TF_Tekniker,AK$4,TF_Dato,$A264))*2,0)/2)))</f>
        <v/>
      </c>
      <c r="AL264">
        <f>IF(OR(AL$4="",$A264&gt;TODAY()),0,IF(OR(INDEX($B264:$D264,AL$5)="F",AND(AL$6&gt;0,$A264&lt;AL$6),AND(AL$7&gt;0,$A264&gt;AL$7)),0,MAX(0,ROUND((INDEX($E264:$G264,AL$5)-SUMIFS(TF_Timer,TF_Tekniker,AL$4,TF_Dato,$A264))*2,0)/2)))</f>
        <v/>
      </c>
      <c r="AM264">
        <f>IF(OR(AM$4="",$A264&gt;TODAY()),0,IF(OR(INDEX($B264:$D264,AM$5)="F",AND(AM$6&gt;0,$A264&lt;AM$6),AND(AM$7&gt;0,$A264&gt;AM$7)),0,MAX(0,ROUND((INDEX($E264:$G264,AM$5)-SUMIFS(TF_Timer,TF_Tekniker,AM$4,TF_Dato,$A264))*2,0)/2)))</f>
        <v/>
      </c>
      <c r="AN264">
        <f>IF(OR(AN$4="",$A264&gt;TODAY()),0,IF(OR(INDEX($B264:$D264,AN$5)="F",AND(AN$6&gt;0,$A264&lt;AN$6),AND(AN$7&gt;0,$A264&gt;AN$7)),0,MAX(0,ROUND((INDEX($E264:$G264,AN$5)-SUMIFS(TF_Timer,TF_Tekniker,AN$4,TF_Dato,$A264))*2,0)/2)))</f>
        <v/>
      </c>
      <c r="AO264">
        <f>IF(OR(AO$4="",$A264&gt;TODAY()),0,IF(OR(INDEX($B264:$D264,AO$5)="F",AND(AO$6&gt;0,$A264&lt;AO$6),AND(AO$7&gt;0,$A264&gt;AO$7)),0,MAX(0,ROUND((INDEX($E264:$G264,AO$5)-SUMIFS(TF_Timer,TF_Tekniker,AO$4,TF_Dato,$A264))*2,0)/2)))</f>
        <v/>
      </c>
      <c r="AP264">
        <f>IF(OR(AP$4="",$A264&gt;TODAY()),0,IF(OR(INDEX($B264:$D264,AP$5)="F",AND(AP$6&gt;0,$A264&lt;AP$6),AND(AP$7&gt;0,$A264&gt;AP$7)),0,MAX(0,ROUND((INDEX($E264:$G264,AP$5)-SUMIFS(TF_Timer,TF_Tekniker,AP$4,TF_Dato,$A264))*2,0)/2)))</f>
        <v/>
      </c>
      <c r="AQ264">
        <f>IF(OR(AQ$4="",$A264&gt;TODAY()),0,IF(OR(INDEX($B264:$D264,AQ$5)="F",AND(AQ$6&gt;0,$A264&lt;AQ$6),AND(AQ$7&gt;0,$A264&gt;AQ$7)),0,MAX(0,ROUND((INDEX($E264:$G264,AQ$5)-SUMIFS(TF_Timer,TF_Tekniker,AQ$4,TF_Dato,$A264))*2,0)/2)))</f>
        <v/>
      </c>
      <c r="AR264">
        <f>IF(OR(AR$4="",$A264&gt;TODAY()),0,IF(OR(INDEX($B264:$D264,AR$5)="F",AND(AR$6&gt;0,$A264&lt;AR$6),AND(AR$7&gt;0,$A264&gt;AR$7)),0,MAX(0,ROUND((INDEX($E264:$G264,AR$5)-SUMIFS(TF_Timer,TF_Tekniker,AR$4,TF_Dato,$A264))*2,0)/2)))</f>
        <v/>
      </c>
      <c r="AS264">
        <f>IF(OR(AS$4="",$A264&gt;TODAY()),0,IF(OR(INDEX($B264:$D264,AS$5)="F",AND(AS$6&gt;0,$A264&lt;AS$6),AND(AS$7&gt;0,$A264&gt;AS$7)),0,MAX(0,ROUND((INDEX($E264:$G264,AS$5)-SUMIFS(TF_Timer,TF_Tekniker,AS$4,TF_Dato,$A264))*2,0)/2)))</f>
        <v/>
      </c>
      <c r="AT264">
        <f>IF(OR(AT$4="",$A264&gt;TODAY()),0,IF(OR(INDEX($B264:$D264,AT$5)="F",AND(AT$6&gt;0,$A264&lt;AT$6),AND(AT$7&gt;0,$A264&gt;AT$7)),0,MAX(0,ROUND((INDEX($E264:$G264,AT$5)-SUMIFS(TF_Timer,TF_Tekniker,AT$4,TF_Dato,$A264))*2,0)/2)))</f>
        <v/>
      </c>
      <c r="AU264">
        <f>IF(OR(AU$4="",$A264&gt;TODAY()),0,IF(OR(INDEX($B264:$D264,AU$5)="F",AND(AU$6&gt;0,$A264&lt;AU$6),AND(AU$7&gt;0,$A264&gt;AU$7)),0,MAX(0,ROUND((INDEX($E264:$G264,AU$5)-SUMIFS(TF_Timer,TF_Tekniker,AU$4,TF_Dato,$A264))*2,0)/2)))</f>
        <v/>
      </c>
      <c r="AV264">
        <f>IF(OR(AV$4="",$A264&gt;TODAY()),0,IF(OR(INDEX($B264:$D264,AV$5)="F",AND(AV$6&gt;0,$A264&lt;AV$6),AND(AV$7&gt;0,$A264&gt;AV$7)),0,MAX(0,ROUND((INDEX($E264:$G264,AV$5)-SUMIFS(TF_Timer,TF_Tekniker,AV$4,TF_Dato,$A264))*2,0)/2)))</f>
        <v/>
      </c>
      <c r="AW264">
        <f>IF(OR(AW$4="",$A264&gt;TODAY()),0,IF(OR(INDEX($B264:$D264,AW$5)="F",AND(AW$6&gt;0,$A264&lt;AW$6),AND(AW$7&gt;0,$A264&gt;AW$7)),0,MAX(0,ROUND((INDEX($E264:$G264,AW$5)-SUMIFS(TF_Timer,TF_Tekniker,AW$4,TF_Dato,$A264))*2,0)/2)))</f>
        <v/>
      </c>
      <c r="AX264">
        <f>IF(OR(AX$4="",$A264&gt;TODAY()),0,IF(OR(INDEX($B264:$D264,AX$5)="F",AND(AX$6&gt;0,$A264&lt;AX$6),AND(AX$7&gt;0,$A264&gt;AX$7)),0,MAX(0,ROUND((INDEX($E264:$G264,AX$5)-SUMIFS(TF_Timer,TF_Tekniker,AX$4,TF_Dato,$A264))*2,0)/2)))</f>
        <v/>
      </c>
      <c r="AY264">
        <f>IF(OR(AY$4="",$A264&gt;TODAY()),0,IF(OR(INDEX($B264:$D264,AY$5)="F",AND(AY$6&gt;0,$A264&lt;AY$6),AND(AY$7&gt;0,$A264&gt;AY$7)),0,MAX(0,ROUND((INDEX($E264:$G264,AY$5)-SUMIFS(TF_Timer,TF_Tekniker,AY$4,TF_Dato,$A264))*2,0)/2)))</f>
        <v/>
      </c>
      <c r="AZ264">
        <f>IF(OR(AZ$4="",$A264&gt;TODAY()),0,IF(OR(INDEX($B264:$D264,AZ$5)="F",AND(AZ$6&gt;0,$A264&lt;AZ$6),AND(AZ$7&gt;0,$A264&gt;AZ$7)),0,MAX(0,ROUND((INDEX($E264:$G264,AZ$5)-SUMIFS(TF_Timer,TF_Tekniker,AZ$4,TF_Dato,$A264))*2,0)/2)))</f>
        <v/>
      </c>
      <c r="BA264">
        <f>IF(OR(BA$4="",$A264&gt;TODAY()),0,IF(OR(INDEX($B264:$D264,BA$5)="F",AND(BA$6&gt;0,$A264&lt;BA$6),AND(BA$7&gt;0,$A264&gt;BA$7)),0,MAX(0,ROUND((INDEX($E264:$G264,BA$5)-SUMIFS(TF_Timer,TF_Tekniker,BA$4,TF_Dato,$A264))*2,0)/2)))</f>
        <v/>
      </c>
      <c r="BB264">
        <f>IF(OR(BB$4="",$A264&gt;TODAY()),0,IF(OR(INDEX($B264:$D264,BB$5)="F",AND(BB$6&gt;0,$A264&lt;BB$6),AND(BB$7&gt;0,$A264&gt;BB$7)),0,MAX(0,ROUND((INDEX($E264:$G264,BB$5)-SUMIFS(TF_Timer,TF_Tekniker,BB$4,TF_Dato,$A264))*2,0)/2)))</f>
        <v/>
      </c>
      <c r="BC264">
        <f>IF(OR(BC$4="",$A264&gt;TODAY()),0,IF(OR(INDEX($B264:$D264,BC$5)="F",AND(BC$6&gt;0,$A264&lt;BC$6),AND(BC$7&gt;0,$A264&gt;BC$7)),0,MAX(0,ROUND((INDEX($E264:$G264,BC$5)-SUMIFS(TF_Timer,TF_Tekniker,BC$4,TF_Dato,$A264))*2,0)/2)))</f>
        <v/>
      </c>
      <c r="BD264">
        <f>IF(OR(BD$4="",$A264&gt;TODAY()),0,IF(OR(INDEX($B264:$D264,BD$5)="F",AND(BD$6&gt;0,$A264&lt;BD$6),AND(BD$7&gt;0,$A264&gt;BD$7)),0,MAX(0,ROUND((INDEX($E264:$G264,BD$5)-SUMIFS(TF_Timer,TF_Tekniker,BD$4,TF_Dato,$A264))*2,0)/2)))</f>
        <v/>
      </c>
      <c r="BE264">
        <f>IF(OR(BE$4="",$A264&gt;TODAY()),0,IF(OR(INDEX($B264:$D264,BE$5)="F",AND(BE$6&gt;0,$A264&lt;BE$6),AND(BE$7&gt;0,$A264&gt;BE$7)),0,MAX(0,ROUND((INDEX($E264:$G264,BE$5)-SUMIFS(TF_Timer,TF_Tekniker,BE$4,TF_Dato,$A264))*2,0)/2)))</f>
        <v/>
      </c>
      <c r="BF264">
        <f>IF(OR(BF$4="",$A264&gt;TODAY()),0,IF(OR(INDEX($B264:$D264,BF$5)="F",AND(BF$6&gt;0,$A264&lt;BF$6),AND(BF$7&gt;0,$A264&gt;BF$7)),0,MAX(0,ROUND((INDEX($E264:$G264,BF$5)-SUMIFS(TF_Timer,TF_Tekniker,BF$4,TF_Dato,$A264))*2,0)/2)))</f>
        <v/>
      </c>
      <c r="BG264">
        <f>IF(OR(BG$4="",$A264&gt;TODAY()),0,IF(OR(INDEX($B264:$D264,BG$5)="F",AND(BG$6&gt;0,$A264&lt;BG$6),AND(BG$7&gt;0,$A264&gt;BG$7)),0,MAX(0,ROUND((INDEX($E264:$G264,BG$5)-SUMIFS(TF_Timer,TF_Tekniker,BG$4,TF_Dato,$A264))*2,0)/2)))</f>
        <v/>
      </c>
      <c r="BH264">
        <f>IF(OR(BH$4="",$A264&gt;TODAY()),0,IF(OR(INDEX($B264:$D264,BH$5)="F",AND(BH$6&gt;0,$A264&lt;BH$6),AND(BH$7&gt;0,$A264&gt;BH$7)),0,MAX(0,ROUND((INDEX($E264:$G264,BH$5)-SUMIFS(TF_Timer,TF_Tekniker,BH$4,TF_Dato,$A264))*2,0)/2)))</f>
        <v/>
      </c>
      <c r="BI264">
        <f>IF(OR(BI$4="",$A264&gt;TODAY()),0,IF(OR(INDEX($B264:$D264,BI$5)="F",AND(BI$6&gt;0,$A264&lt;BI$6),AND(BI$7&gt;0,$A264&gt;BI$7)),0,MAX(0,ROUND((INDEX($E264:$G264,BI$5)-SUMIFS(TF_Timer,TF_Tekniker,BI$4,TF_Dato,$A264))*2,0)/2)))</f>
        <v/>
      </c>
    </row>
    <row r="265">
      <c r="A265" s="64">
        <f>A264+1</f>
        <v/>
      </c>
      <c r="B265">
        <f>IF(MOD($A265-INDEX(SkiftStart,1),Syklus)&lt;DagK,"K",IF(MOD($A265-INDEX(SkiftStart,1),Syklus)&lt;DagK+DagH,"H",IF(MOD($A265-INDEX(SkiftStart,1),Syklus)&lt;DagK+DagH+DagD,"D","F")))</f>
        <v/>
      </c>
      <c r="C265">
        <f>IF(MOD($A265-INDEX(SkiftStart,2),Syklus)&lt;DagK,"K",IF(MOD($A265-INDEX(SkiftStart,2),Syklus)&lt;DagK+DagH,"H",IF(MOD($A265-INDEX(SkiftStart,2),Syklus)&lt;DagK+DagH+DagD,"D","F")))</f>
        <v/>
      </c>
      <c r="D265">
        <f>IF(MOD($A265-INDEX(SkiftStart,3),Syklus)&lt;DagK,"K",IF(MOD($A265-INDEX(SkiftStart,3),Syklus)&lt;DagK+DagH,"H",IF(MOD($A265-INDEX(SkiftStart,3),Syklus)&lt;DagK+DagH+DagD,"D","F")))</f>
        <v/>
      </c>
      <c r="E265">
        <f>IF(B265="F",0,IF(WEEKDAY($A265,2)=5,INDEX(TimerFr,MATCH(B265,FaseKode,0)),INDEX(TimerMT,MATCH(B265,FaseKode,0))))</f>
        <v/>
      </c>
      <c r="F265">
        <f>IF(C265="F",0,IF(WEEKDAY($A265,2)=5,INDEX(TimerFr,MATCH(C265,FaseKode,0)),INDEX(TimerMT,MATCH(C265,FaseKode,0))))</f>
        <v/>
      </c>
      <c r="G265">
        <f>IF(D265="F",0,IF(WEEKDAY($A265,2)=5,INDEX(TimerFr,MATCH(D265,FaseKode,0)),INDEX(TimerMT,MATCH(D265,FaseKode,0))))</f>
        <v/>
      </c>
      <c r="H265">
        <f>IF(OR(H$4="",$A265&gt;TODAY()),0,IF(OR(INDEX($B265:$D265,H$5)="F",AND(H$6&gt;0,$A265&lt;H$6),AND(H$7&gt;0,$A265&gt;H$7)),0,MAX(0,ROUND((INDEX($E265:$G265,H$5)-SUMIFS(TF_Timer,TF_Tekniker,H$4,TF_Dato,$A265))*2,0)/2)))</f>
        <v/>
      </c>
      <c r="I265">
        <f>IF(OR(I$4="",$A265&gt;TODAY()),0,IF(OR(INDEX($B265:$D265,I$5)="F",AND(I$6&gt;0,$A265&lt;I$6),AND(I$7&gt;0,$A265&gt;I$7)),0,MAX(0,ROUND((INDEX($E265:$G265,I$5)-SUMIFS(TF_Timer,TF_Tekniker,I$4,TF_Dato,$A265))*2,0)/2)))</f>
        <v/>
      </c>
      <c r="J265">
        <f>IF(OR(J$4="",$A265&gt;TODAY()),0,IF(OR(INDEX($B265:$D265,J$5)="F",AND(J$6&gt;0,$A265&lt;J$6),AND(J$7&gt;0,$A265&gt;J$7)),0,MAX(0,ROUND((INDEX($E265:$G265,J$5)-SUMIFS(TF_Timer,TF_Tekniker,J$4,TF_Dato,$A265))*2,0)/2)))</f>
        <v/>
      </c>
      <c r="K265">
        <f>IF(OR(K$4="",$A265&gt;TODAY()),0,IF(OR(INDEX($B265:$D265,K$5)="F",AND(K$6&gt;0,$A265&lt;K$6),AND(K$7&gt;0,$A265&gt;K$7)),0,MAX(0,ROUND((INDEX($E265:$G265,K$5)-SUMIFS(TF_Timer,TF_Tekniker,K$4,TF_Dato,$A265))*2,0)/2)))</f>
        <v/>
      </c>
      <c r="L265">
        <f>IF(OR(L$4="",$A265&gt;TODAY()),0,IF(OR(INDEX($B265:$D265,L$5)="F",AND(L$6&gt;0,$A265&lt;L$6),AND(L$7&gt;0,$A265&gt;L$7)),0,MAX(0,ROUND((INDEX($E265:$G265,L$5)-SUMIFS(TF_Timer,TF_Tekniker,L$4,TF_Dato,$A265))*2,0)/2)))</f>
        <v/>
      </c>
      <c r="M265">
        <f>IF(OR(M$4="",$A265&gt;TODAY()),0,IF(OR(INDEX($B265:$D265,M$5)="F",AND(M$6&gt;0,$A265&lt;M$6),AND(M$7&gt;0,$A265&gt;M$7)),0,MAX(0,ROUND((INDEX($E265:$G265,M$5)-SUMIFS(TF_Timer,TF_Tekniker,M$4,TF_Dato,$A265))*2,0)/2)))</f>
        <v/>
      </c>
      <c r="N265">
        <f>IF(OR(N$4="",$A265&gt;TODAY()),0,IF(OR(INDEX($B265:$D265,N$5)="F",AND(N$6&gt;0,$A265&lt;N$6),AND(N$7&gt;0,$A265&gt;N$7)),0,MAX(0,ROUND((INDEX($E265:$G265,N$5)-SUMIFS(TF_Timer,TF_Tekniker,N$4,TF_Dato,$A265))*2,0)/2)))</f>
        <v/>
      </c>
      <c r="O265">
        <f>IF(OR(O$4="",$A265&gt;TODAY()),0,IF(OR(INDEX($B265:$D265,O$5)="F",AND(O$6&gt;0,$A265&lt;O$6),AND(O$7&gt;0,$A265&gt;O$7)),0,MAX(0,ROUND((INDEX($E265:$G265,O$5)-SUMIFS(TF_Timer,TF_Tekniker,O$4,TF_Dato,$A265))*2,0)/2)))</f>
        <v/>
      </c>
      <c r="P265">
        <f>IF(OR(P$4="",$A265&gt;TODAY()),0,IF(OR(INDEX($B265:$D265,P$5)="F",AND(P$6&gt;0,$A265&lt;P$6),AND(P$7&gt;0,$A265&gt;P$7)),0,MAX(0,ROUND((INDEX($E265:$G265,P$5)-SUMIFS(TF_Timer,TF_Tekniker,P$4,TF_Dato,$A265))*2,0)/2)))</f>
        <v/>
      </c>
      <c r="Q265">
        <f>IF(OR(Q$4="",$A265&gt;TODAY()),0,IF(OR(INDEX($B265:$D265,Q$5)="F",AND(Q$6&gt;0,$A265&lt;Q$6),AND(Q$7&gt;0,$A265&gt;Q$7)),0,MAX(0,ROUND((INDEX($E265:$G265,Q$5)-SUMIFS(TF_Timer,TF_Tekniker,Q$4,TF_Dato,$A265))*2,0)/2)))</f>
        <v/>
      </c>
      <c r="R265">
        <f>IF(OR(R$4="",$A265&gt;TODAY()),0,IF(OR(INDEX($B265:$D265,R$5)="F",AND(R$6&gt;0,$A265&lt;R$6),AND(R$7&gt;0,$A265&gt;R$7)),0,MAX(0,ROUND((INDEX($E265:$G265,R$5)-SUMIFS(TF_Timer,TF_Tekniker,R$4,TF_Dato,$A265))*2,0)/2)))</f>
        <v/>
      </c>
      <c r="S265">
        <f>IF(OR(S$4="",$A265&gt;TODAY()),0,IF(OR(INDEX($B265:$D265,S$5)="F",AND(S$6&gt;0,$A265&lt;S$6),AND(S$7&gt;0,$A265&gt;S$7)),0,MAX(0,ROUND((INDEX($E265:$G265,S$5)-SUMIFS(TF_Timer,TF_Tekniker,S$4,TF_Dato,$A265))*2,0)/2)))</f>
        <v/>
      </c>
      <c r="T265">
        <f>IF(OR(T$4="",$A265&gt;TODAY()),0,IF(OR(INDEX($B265:$D265,T$5)="F",AND(T$6&gt;0,$A265&lt;T$6),AND(T$7&gt;0,$A265&gt;T$7)),0,MAX(0,ROUND((INDEX($E265:$G265,T$5)-SUMIFS(TF_Timer,TF_Tekniker,T$4,TF_Dato,$A265))*2,0)/2)))</f>
        <v/>
      </c>
      <c r="U265">
        <f>IF(OR(U$4="",$A265&gt;TODAY()),0,IF(OR(INDEX($B265:$D265,U$5)="F",AND(U$6&gt;0,$A265&lt;U$6),AND(U$7&gt;0,$A265&gt;U$7)),0,MAX(0,ROUND((INDEX($E265:$G265,U$5)-SUMIFS(TF_Timer,TF_Tekniker,U$4,TF_Dato,$A265))*2,0)/2)))</f>
        <v/>
      </c>
      <c r="V265">
        <f>IF(OR(V$4="",$A265&gt;TODAY()),0,IF(OR(INDEX($B265:$D265,V$5)="F",AND(V$6&gt;0,$A265&lt;V$6),AND(V$7&gt;0,$A265&gt;V$7)),0,MAX(0,ROUND((INDEX($E265:$G265,V$5)-SUMIFS(TF_Timer,TF_Tekniker,V$4,TF_Dato,$A265))*2,0)/2)))</f>
        <v/>
      </c>
      <c r="W265">
        <f>IF(OR(W$4="",$A265&gt;TODAY()),0,IF(OR(INDEX($B265:$D265,W$5)="F",AND(W$6&gt;0,$A265&lt;W$6),AND(W$7&gt;0,$A265&gt;W$7)),0,MAX(0,ROUND((INDEX($E265:$G265,W$5)-SUMIFS(TF_Timer,TF_Tekniker,W$4,TF_Dato,$A265))*2,0)/2)))</f>
        <v/>
      </c>
      <c r="X265">
        <f>IF(OR(X$4="",$A265&gt;TODAY()),0,IF(OR(INDEX($B265:$D265,X$5)="F",AND(X$6&gt;0,$A265&lt;X$6),AND(X$7&gt;0,$A265&gt;X$7)),0,MAX(0,ROUND((INDEX($E265:$G265,X$5)-SUMIFS(TF_Timer,TF_Tekniker,X$4,TF_Dato,$A265))*2,0)/2)))</f>
        <v/>
      </c>
      <c r="Y265">
        <f>IF(OR(Y$4="",$A265&gt;TODAY()),0,IF(OR(INDEX($B265:$D265,Y$5)="F",AND(Y$6&gt;0,$A265&lt;Y$6),AND(Y$7&gt;0,$A265&gt;Y$7)),0,MAX(0,ROUND((INDEX($E265:$G265,Y$5)-SUMIFS(TF_Timer,TF_Tekniker,Y$4,TF_Dato,$A265))*2,0)/2)))</f>
        <v/>
      </c>
      <c r="Z265">
        <f>IF(OR(Z$4="",$A265&gt;TODAY()),0,IF(OR(INDEX($B265:$D265,Z$5)="F",AND(Z$6&gt;0,$A265&lt;Z$6),AND(Z$7&gt;0,$A265&gt;Z$7)),0,MAX(0,ROUND((INDEX($E265:$G265,Z$5)-SUMIFS(TF_Timer,TF_Tekniker,Z$4,TF_Dato,$A265))*2,0)/2)))</f>
        <v/>
      </c>
      <c r="AA265">
        <f>IF(OR(AA$4="",$A265&gt;TODAY()),0,IF(OR(INDEX($B265:$D265,AA$5)="F",AND(AA$6&gt;0,$A265&lt;AA$6),AND(AA$7&gt;0,$A265&gt;AA$7)),0,MAX(0,ROUND((INDEX($E265:$G265,AA$5)-SUMIFS(TF_Timer,TF_Tekniker,AA$4,TF_Dato,$A265))*2,0)/2)))</f>
        <v/>
      </c>
      <c r="AB265">
        <f>IF(OR(AB$4="",$A265&gt;TODAY()),0,IF(OR(INDEX($B265:$D265,AB$5)="F",AND(AB$6&gt;0,$A265&lt;AB$6),AND(AB$7&gt;0,$A265&gt;AB$7)),0,MAX(0,ROUND((INDEX($E265:$G265,AB$5)-SUMIFS(TF_Timer,TF_Tekniker,AB$4,TF_Dato,$A265))*2,0)/2)))</f>
        <v/>
      </c>
      <c r="AC265">
        <f>IF(OR(AC$4="",$A265&gt;TODAY()),0,IF(OR(INDEX($B265:$D265,AC$5)="F",AND(AC$6&gt;0,$A265&lt;AC$6),AND(AC$7&gt;0,$A265&gt;AC$7)),0,MAX(0,ROUND((INDEX($E265:$G265,AC$5)-SUMIFS(TF_Timer,TF_Tekniker,AC$4,TF_Dato,$A265))*2,0)/2)))</f>
        <v/>
      </c>
      <c r="AD265">
        <f>IF(OR(AD$4="",$A265&gt;TODAY()),0,IF(OR(INDEX($B265:$D265,AD$5)="F",AND(AD$6&gt;0,$A265&lt;AD$6),AND(AD$7&gt;0,$A265&gt;AD$7)),0,MAX(0,ROUND((INDEX($E265:$G265,AD$5)-SUMIFS(TF_Timer,TF_Tekniker,AD$4,TF_Dato,$A265))*2,0)/2)))</f>
        <v/>
      </c>
      <c r="AE265">
        <f>IF(OR(AE$4="",$A265&gt;TODAY()),0,IF(OR(INDEX($B265:$D265,AE$5)="F",AND(AE$6&gt;0,$A265&lt;AE$6),AND(AE$7&gt;0,$A265&gt;AE$7)),0,MAX(0,ROUND((INDEX($E265:$G265,AE$5)-SUMIFS(TF_Timer,TF_Tekniker,AE$4,TF_Dato,$A265))*2,0)/2)))</f>
        <v/>
      </c>
      <c r="AF265">
        <f>IF(OR(AF$4="",$A265&gt;TODAY()),0,IF(OR(INDEX($B265:$D265,AF$5)="F",AND(AF$6&gt;0,$A265&lt;AF$6),AND(AF$7&gt;0,$A265&gt;AF$7)),0,MAX(0,ROUND((INDEX($E265:$G265,AF$5)-SUMIFS(TF_Timer,TF_Tekniker,AF$4,TF_Dato,$A265))*2,0)/2)))</f>
        <v/>
      </c>
      <c r="AG265">
        <f>IF(OR(AG$4="",$A265&gt;TODAY()),0,IF(OR(INDEX($B265:$D265,AG$5)="F",AND(AG$6&gt;0,$A265&lt;AG$6),AND(AG$7&gt;0,$A265&gt;AG$7)),0,MAX(0,ROUND((INDEX($E265:$G265,AG$5)-SUMIFS(TF_Timer,TF_Tekniker,AG$4,TF_Dato,$A265))*2,0)/2)))</f>
        <v/>
      </c>
      <c r="AH265">
        <f>IF(OR(AH$4="",$A265&gt;TODAY()),0,IF(OR(INDEX($B265:$D265,AH$5)="F",AND(AH$6&gt;0,$A265&lt;AH$6),AND(AH$7&gt;0,$A265&gt;AH$7)),0,MAX(0,ROUND((INDEX($E265:$G265,AH$5)-SUMIFS(TF_Timer,TF_Tekniker,AH$4,TF_Dato,$A265))*2,0)/2)))</f>
        <v/>
      </c>
      <c r="AI265">
        <f>IF(OR(AI$4="",$A265&gt;TODAY()),0,IF(OR(INDEX($B265:$D265,AI$5)="F",AND(AI$6&gt;0,$A265&lt;AI$6),AND(AI$7&gt;0,$A265&gt;AI$7)),0,MAX(0,ROUND((INDEX($E265:$G265,AI$5)-SUMIFS(TF_Timer,TF_Tekniker,AI$4,TF_Dato,$A265))*2,0)/2)))</f>
        <v/>
      </c>
      <c r="AJ265">
        <f>IF(OR(AJ$4="",$A265&gt;TODAY()),0,IF(OR(INDEX($B265:$D265,AJ$5)="F",AND(AJ$6&gt;0,$A265&lt;AJ$6),AND(AJ$7&gt;0,$A265&gt;AJ$7)),0,MAX(0,ROUND((INDEX($E265:$G265,AJ$5)-SUMIFS(TF_Timer,TF_Tekniker,AJ$4,TF_Dato,$A265))*2,0)/2)))</f>
        <v/>
      </c>
      <c r="AK265">
        <f>IF(OR(AK$4="",$A265&gt;TODAY()),0,IF(OR(INDEX($B265:$D265,AK$5)="F",AND(AK$6&gt;0,$A265&lt;AK$6),AND(AK$7&gt;0,$A265&gt;AK$7)),0,MAX(0,ROUND((INDEX($E265:$G265,AK$5)-SUMIFS(TF_Timer,TF_Tekniker,AK$4,TF_Dato,$A265))*2,0)/2)))</f>
        <v/>
      </c>
      <c r="AL265">
        <f>IF(OR(AL$4="",$A265&gt;TODAY()),0,IF(OR(INDEX($B265:$D265,AL$5)="F",AND(AL$6&gt;0,$A265&lt;AL$6),AND(AL$7&gt;0,$A265&gt;AL$7)),0,MAX(0,ROUND((INDEX($E265:$G265,AL$5)-SUMIFS(TF_Timer,TF_Tekniker,AL$4,TF_Dato,$A265))*2,0)/2)))</f>
        <v/>
      </c>
      <c r="AM265">
        <f>IF(OR(AM$4="",$A265&gt;TODAY()),0,IF(OR(INDEX($B265:$D265,AM$5)="F",AND(AM$6&gt;0,$A265&lt;AM$6),AND(AM$7&gt;0,$A265&gt;AM$7)),0,MAX(0,ROUND((INDEX($E265:$G265,AM$5)-SUMIFS(TF_Timer,TF_Tekniker,AM$4,TF_Dato,$A265))*2,0)/2)))</f>
        <v/>
      </c>
      <c r="AN265">
        <f>IF(OR(AN$4="",$A265&gt;TODAY()),0,IF(OR(INDEX($B265:$D265,AN$5)="F",AND(AN$6&gt;0,$A265&lt;AN$6),AND(AN$7&gt;0,$A265&gt;AN$7)),0,MAX(0,ROUND((INDEX($E265:$G265,AN$5)-SUMIFS(TF_Timer,TF_Tekniker,AN$4,TF_Dato,$A265))*2,0)/2)))</f>
        <v/>
      </c>
      <c r="AO265">
        <f>IF(OR(AO$4="",$A265&gt;TODAY()),0,IF(OR(INDEX($B265:$D265,AO$5)="F",AND(AO$6&gt;0,$A265&lt;AO$6),AND(AO$7&gt;0,$A265&gt;AO$7)),0,MAX(0,ROUND((INDEX($E265:$G265,AO$5)-SUMIFS(TF_Timer,TF_Tekniker,AO$4,TF_Dato,$A265))*2,0)/2)))</f>
        <v/>
      </c>
      <c r="AP265">
        <f>IF(OR(AP$4="",$A265&gt;TODAY()),0,IF(OR(INDEX($B265:$D265,AP$5)="F",AND(AP$6&gt;0,$A265&lt;AP$6),AND(AP$7&gt;0,$A265&gt;AP$7)),0,MAX(0,ROUND((INDEX($E265:$G265,AP$5)-SUMIFS(TF_Timer,TF_Tekniker,AP$4,TF_Dato,$A265))*2,0)/2)))</f>
        <v/>
      </c>
      <c r="AQ265">
        <f>IF(OR(AQ$4="",$A265&gt;TODAY()),0,IF(OR(INDEX($B265:$D265,AQ$5)="F",AND(AQ$6&gt;0,$A265&lt;AQ$6),AND(AQ$7&gt;0,$A265&gt;AQ$7)),0,MAX(0,ROUND((INDEX($E265:$G265,AQ$5)-SUMIFS(TF_Timer,TF_Tekniker,AQ$4,TF_Dato,$A265))*2,0)/2)))</f>
        <v/>
      </c>
      <c r="AR265">
        <f>IF(OR(AR$4="",$A265&gt;TODAY()),0,IF(OR(INDEX($B265:$D265,AR$5)="F",AND(AR$6&gt;0,$A265&lt;AR$6),AND(AR$7&gt;0,$A265&gt;AR$7)),0,MAX(0,ROUND((INDEX($E265:$G265,AR$5)-SUMIFS(TF_Timer,TF_Tekniker,AR$4,TF_Dato,$A265))*2,0)/2)))</f>
        <v/>
      </c>
      <c r="AS265">
        <f>IF(OR(AS$4="",$A265&gt;TODAY()),0,IF(OR(INDEX($B265:$D265,AS$5)="F",AND(AS$6&gt;0,$A265&lt;AS$6),AND(AS$7&gt;0,$A265&gt;AS$7)),0,MAX(0,ROUND((INDEX($E265:$G265,AS$5)-SUMIFS(TF_Timer,TF_Tekniker,AS$4,TF_Dato,$A265))*2,0)/2)))</f>
        <v/>
      </c>
      <c r="AT265">
        <f>IF(OR(AT$4="",$A265&gt;TODAY()),0,IF(OR(INDEX($B265:$D265,AT$5)="F",AND(AT$6&gt;0,$A265&lt;AT$6),AND(AT$7&gt;0,$A265&gt;AT$7)),0,MAX(0,ROUND((INDEX($E265:$G265,AT$5)-SUMIFS(TF_Timer,TF_Tekniker,AT$4,TF_Dato,$A265))*2,0)/2)))</f>
        <v/>
      </c>
      <c r="AU265">
        <f>IF(OR(AU$4="",$A265&gt;TODAY()),0,IF(OR(INDEX($B265:$D265,AU$5)="F",AND(AU$6&gt;0,$A265&lt;AU$6),AND(AU$7&gt;0,$A265&gt;AU$7)),0,MAX(0,ROUND((INDEX($E265:$G265,AU$5)-SUMIFS(TF_Timer,TF_Tekniker,AU$4,TF_Dato,$A265))*2,0)/2)))</f>
        <v/>
      </c>
      <c r="AV265">
        <f>IF(OR(AV$4="",$A265&gt;TODAY()),0,IF(OR(INDEX($B265:$D265,AV$5)="F",AND(AV$6&gt;0,$A265&lt;AV$6),AND(AV$7&gt;0,$A265&gt;AV$7)),0,MAX(0,ROUND((INDEX($E265:$G265,AV$5)-SUMIFS(TF_Timer,TF_Tekniker,AV$4,TF_Dato,$A265))*2,0)/2)))</f>
        <v/>
      </c>
      <c r="AW265">
        <f>IF(OR(AW$4="",$A265&gt;TODAY()),0,IF(OR(INDEX($B265:$D265,AW$5)="F",AND(AW$6&gt;0,$A265&lt;AW$6),AND(AW$7&gt;0,$A265&gt;AW$7)),0,MAX(0,ROUND((INDEX($E265:$G265,AW$5)-SUMIFS(TF_Timer,TF_Tekniker,AW$4,TF_Dato,$A265))*2,0)/2)))</f>
        <v/>
      </c>
      <c r="AX265">
        <f>IF(OR(AX$4="",$A265&gt;TODAY()),0,IF(OR(INDEX($B265:$D265,AX$5)="F",AND(AX$6&gt;0,$A265&lt;AX$6),AND(AX$7&gt;0,$A265&gt;AX$7)),0,MAX(0,ROUND((INDEX($E265:$G265,AX$5)-SUMIFS(TF_Timer,TF_Tekniker,AX$4,TF_Dato,$A265))*2,0)/2)))</f>
        <v/>
      </c>
      <c r="AY265">
        <f>IF(OR(AY$4="",$A265&gt;TODAY()),0,IF(OR(INDEX($B265:$D265,AY$5)="F",AND(AY$6&gt;0,$A265&lt;AY$6),AND(AY$7&gt;0,$A265&gt;AY$7)),0,MAX(0,ROUND((INDEX($E265:$G265,AY$5)-SUMIFS(TF_Timer,TF_Tekniker,AY$4,TF_Dato,$A265))*2,0)/2)))</f>
        <v/>
      </c>
      <c r="AZ265">
        <f>IF(OR(AZ$4="",$A265&gt;TODAY()),0,IF(OR(INDEX($B265:$D265,AZ$5)="F",AND(AZ$6&gt;0,$A265&lt;AZ$6),AND(AZ$7&gt;0,$A265&gt;AZ$7)),0,MAX(0,ROUND((INDEX($E265:$G265,AZ$5)-SUMIFS(TF_Timer,TF_Tekniker,AZ$4,TF_Dato,$A265))*2,0)/2)))</f>
        <v/>
      </c>
      <c r="BA265">
        <f>IF(OR(BA$4="",$A265&gt;TODAY()),0,IF(OR(INDEX($B265:$D265,BA$5)="F",AND(BA$6&gt;0,$A265&lt;BA$6),AND(BA$7&gt;0,$A265&gt;BA$7)),0,MAX(0,ROUND((INDEX($E265:$G265,BA$5)-SUMIFS(TF_Timer,TF_Tekniker,BA$4,TF_Dato,$A265))*2,0)/2)))</f>
        <v/>
      </c>
      <c r="BB265">
        <f>IF(OR(BB$4="",$A265&gt;TODAY()),0,IF(OR(INDEX($B265:$D265,BB$5)="F",AND(BB$6&gt;0,$A265&lt;BB$6),AND(BB$7&gt;0,$A265&gt;BB$7)),0,MAX(0,ROUND((INDEX($E265:$G265,BB$5)-SUMIFS(TF_Timer,TF_Tekniker,BB$4,TF_Dato,$A265))*2,0)/2)))</f>
        <v/>
      </c>
      <c r="BC265">
        <f>IF(OR(BC$4="",$A265&gt;TODAY()),0,IF(OR(INDEX($B265:$D265,BC$5)="F",AND(BC$6&gt;0,$A265&lt;BC$6),AND(BC$7&gt;0,$A265&gt;BC$7)),0,MAX(0,ROUND((INDEX($E265:$G265,BC$5)-SUMIFS(TF_Timer,TF_Tekniker,BC$4,TF_Dato,$A265))*2,0)/2)))</f>
        <v/>
      </c>
      <c r="BD265">
        <f>IF(OR(BD$4="",$A265&gt;TODAY()),0,IF(OR(INDEX($B265:$D265,BD$5)="F",AND(BD$6&gt;0,$A265&lt;BD$6),AND(BD$7&gt;0,$A265&gt;BD$7)),0,MAX(0,ROUND((INDEX($E265:$G265,BD$5)-SUMIFS(TF_Timer,TF_Tekniker,BD$4,TF_Dato,$A265))*2,0)/2)))</f>
        <v/>
      </c>
      <c r="BE265">
        <f>IF(OR(BE$4="",$A265&gt;TODAY()),0,IF(OR(INDEX($B265:$D265,BE$5)="F",AND(BE$6&gt;0,$A265&lt;BE$6),AND(BE$7&gt;0,$A265&gt;BE$7)),0,MAX(0,ROUND((INDEX($E265:$G265,BE$5)-SUMIFS(TF_Timer,TF_Tekniker,BE$4,TF_Dato,$A265))*2,0)/2)))</f>
        <v/>
      </c>
      <c r="BF265">
        <f>IF(OR(BF$4="",$A265&gt;TODAY()),0,IF(OR(INDEX($B265:$D265,BF$5)="F",AND(BF$6&gt;0,$A265&lt;BF$6),AND(BF$7&gt;0,$A265&gt;BF$7)),0,MAX(0,ROUND((INDEX($E265:$G265,BF$5)-SUMIFS(TF_Timer,TF_Tekniker,BF$4,TF_Dato,$A265))*2,0)/2)))</f>
        <v/>
      </c>
      <c r="BG265">
        <f>IF(OR(BG$4="",$A265&gt;TODAY()),0,IF(OR(INDEX($B265:$D265,BG$5)="F",AND(BG$6&gt;0,$A265&lt;BG$6),AND(BG$7&gt;0,$A265&gt;BG$7)),0,MAX(0,ROUND((INDEX($E265:$G265,BG$5)-SUMIFS(TF_Timer,TF_Tekniker,BG$4,TF_Dato,$A265))*2,0)/2)))</f>
        <v/>
      </c>
      <c r="BH265">
        <f>IF(OR(BH$4="",$A265&gt;TODAY()),0,IF(OR(INDEX($B265:$D265,BH$5)="F",AND(BH$6&gt;0,$A265&lt;BH$6),AND(BH$7&gt;0,$A265&gt;BH$7)),0,MAX(0,ROUND((INDEX($E265:$G265,BH$5)-SUMIFS(TF_Timer,TF_Tekniker,BH$4,TF_Dato,$A265))*2,0)/2)))</f>
        <v/>
      </c>
      <c r="BI265">
        <f>IF(OR(BI$4="",$A265&gt;TODAY()),0,IF(OR(INDEX($B265:$D265,BI$5)="F",AND(BI$6&gt;0,$A265&lt;BI$6),AND(BI$7&gt;0,$A265&gt;BI$7)),0,MAX(0,ROUND((INDEX($E265:$G265,BI$5)-SUMIFS(TF_Timer,TF_Tekniker,BI$4,TF_Dato,$A265))*2,0)/2)))</f>
        <v/>
      </c>
    </row>
    <row r="266">
      <c r="A266" s="64">
        <f>A265+1</f>
        <v/>
      </c>
      <c r="B266">
        <f>IF(MOD($A266-INDEX(SkiftStart,1),Syklus)&lt;DagK,"K",IF(MOD($A266-INDEX(SkiftStart,1),Syklus)&lt;DagK+DagH,"H",IF(MOD($A266-INDEX(SkiftStart,1),Syklus)&lt;DagK+DagH+DagD,"D","F")))</f>
        <v/>
      </c>
      <c r="C266">
        <f>IF(MOD($A266-INDEX(SkiftStart,2),Syklus)&lt;DagK,"K",IF(MOD($A266-INDEX(SkiftStart,2),Syklus)&lt;DagK+DagH,"H",IF(MOD($A266-INDEX(SkiftStart,2),Syklus)&lt;DagK+DagH+DagD,"D","F")))</f>
        <v/>
      </c>
      <c r="D266">
        <f>IF(MOD($A266-INDEX(SkiftStart,3),Syklus)&lt;DagK,"K",IF(MOD($A266-INDEX(SkiftStart,3),Syklus)&lt;DagK+DagH,"H",IF(MOD($A266-INDEX(SkiftStart,3),Syklus)&lt;DagK+DagH+DagD,"D","F")))</f>
        <v/>
      </c>
      <c r="E266">
        <f>IF(B266="F",0,IF(WEEKDAY($A266,2)=5,INDEX(TimerFr,MATCH(B266,FaseKode,0)),INDEX(TimerMT,MATCH(B266,FaseKode,0))))</f>
        <v/>
      </c>
      <c r="F266">
        <f>IF(C266="F",0,IF(WEEKDAY($A266,2)=5,INDEX(TimerFr,MATCH(C266,FaseKode,0)),INDEX(TimerMT,MATCH(C266,FaseKode,0))))</f>
        <v/>
      </c>
      <c r="G266">
        <f>IF(D266="F",0,IF(WEEKDAY($A266,2)=5,INDEX(TimerFr,MATCH(D266,FaseKode,0)),INDEX(TimerMT,MATCH(D266,FaseKode,0))))</f>
        <v/>
      </c>
      <c r="H266">
        <f>IF(OR(H$4="",$A266&gt;TODAY()),0,IF(OR(INDEX($B266:$D266,H$5)="F",AND(H$6&gt;0,$A266&lt;H$6),AND(H$7&gt;0,$A266&gt;H$7)),0,MAX(0,ROUND((INDEX($E266:$G266,H$5)-SUMIFS(TF_Timer,TF_Tekniker,H$4,TF_Dato,$A266))*2,0)/2)))</f>
        <v/>
      </c>
      <c r="I266">
        <f>IF(OR(I$4="",$A266&gt;TODAY()),0,IF(OR(INDEX($B266:$D266,I$5)="F",AND(I$6&gt;0,$A266&lt;I$6),AND(I$7&gt;0,$A266&gt;I$7)),0,MAX(0,ROUND((INDEX($E266:$G266,I$5)-SUMIFS(TF_Timer,TF_Tekniker,I$4,TF_Dato,$A266))*2,0)/2)))</f>
        <v/>
      </c>
      <c r="J266">
        <f>IF(OR(J$4="",$A266&gt;TODAY()),0,IF(OR(INDEX($B266:$D266,J$5)="F",AND(J$6&gt;0,$A266&lt;J$6),AND(J$7&gt;0,$A266&gt;J$7)),0,MAX(0,ROUND((INDEX($E266:$G266,J$5)-SUMIFS(TF_Timer,TF_Tekniker,J$4,TF_Dato,$A266))*2,0)/2)))</f>
        <v/>
      </c>
      <c r="K266">
        <f>IF(OR(K$4="",$A266&gt;TODAY()),0,IF(OR(INDEX($B266:$D266,K$5)="F",AND(K$6&gt;0,$A266&lt;K$6),AND(K$7&gt;0,$A266&gt;K$7)),0,MAX(0,ROUND((INDEX($E266:$G266,K$5)-SUMIFS(TF_Timer,TF_Tekniker,K$4,TF_Dato,$A266))*2,0)/2)))</f>
        <v/>
      </c>
      <c r="L266">
        <f>IF(OR(L$4="",$A266&gt;TODAY()),0,IF(OR(INDEX($B266:$D266,L$5)="F",AND(L$6&gt;0,$A266&lt;L$6),AND(L$7&gt;0,$A266&gt;L$7)),0,MAX(0,ROUND((INDEX($E266:$G266,L$5)-SUMIFS(TF_Timer,TF_Tekniker,L$4,TF_Dato,$A266))*2,0)/2)))</f>
        <v/>
      </c>
      <c r="M266">
        <f>IF(OR(M$4="",$A266&gt;TODAY()),0,IF(OR(INDEX($B266:$D266,M$5)="F",AND(M$6&gt;0,$A266&lt;M$6),AND(M$7&gt;0,$A266&gt;M$7)),0,MAX(0,ROUND((INDEX($E266:$G266,M$5)-SUMIFS(TF_Timer,TF_Tekniker,M$4,TF_Dato,$A266))*2,0)/2)))</f>
        <v/>
      </c>
      <c r="N266">
        <f>IF(OR(N$4="",$A266&gt;TODAY()),0,IF(OR(INDEX($B266:$D266,N$5)="F",AND(N$6&gt;0,$A266&lt;N$6),AND(N$7&gt;0,$A266&gt;N$7)),0,MAX(0,ROUND((INDEX($E266:$G266,N$5)-SUMIFS(TF_Timer,TF_Tekniker,N$4,TF_Dato,$A266))*2,0)/2)))</f>
        <v/>
      </c>
      <c r="O266">
        <f>IF(OR(O$4="",$A266&gt;TODAY()),0,IF(OR(INDEX($B266:$D266,O$5)="F",AND(O$6&gt;0,$A266&lt;O$6),AND(O$7&gt;0,$A266&gt;O$7)),0,MAX(0,ROUND((INDEX($E266:$G266,O$5)-SUMIFS(TF_Timer,TF_Tekniker,O$4,TF_Dato,$A266))*2,0)/2)))</f>
        <v/>
      </c>
      <c r="P266">
        <f>IF(OR(P$4="",$A266&gt;TODAY()),0,IF(OR(INDEX($B266:$D266,P$5)="F",AND(P$6&gt;0,$A266&lt;P$6),AND(P$7&gt;0,$A266&gt;P$7)),0,MAX(0,ROUND((INDEX($E266:$G266,P$5)-SUMIFS(TF_Timer,TF_Tekniker,P$4,TF_Dato,$A266))*2,0)/2)))</f>
        <v/>
      </c>
      <c r="Q266">
        <f>IF(OR(Q$4="",$A266&gt;TODAY()),0,IF(OR(INDEX($B266:$D266,Q$5)="F",AND(Q$6&gt;0,$A266&lt;Q$6),AND(Q$7&gt;0,$A266&gt;Q$7)),0,MAX(0,ROUND((INDEX($E266:$G266,Q$5)-SUMIFS(TF_Timer,TF_Tekniker,Q$4,TF_Dato,$A266))*2,0)/2)))</f>
        <v/>
      </c>
      <c r="R266">
        <f>IF(OR(R$4="",$A266&gt;TODAY()),0,IF(OR(INDEX($B266:$D266,R$5)="F",AND(R$6&gt;0,$A266&lt;R$6),AND(R$7&gt;0,$A266&gt;R$7)),0,MAX(0,ROUND((INDEX($E266:$G266,R$5)-SUMIFS(TF_Timer,TF_Tekniker,R$4,TF_Dato,$A266))*2,0)/2)))</f>
        <v/>
      </c>
      <c r="S266">
        <f>IF(OR(S$4="",$A266&gt;TODAY()),0,IF(OR(INDEX($B266:$D266,S$5)="F",AND(S$6&gt;0,$A266&lt;S$6),AND(S$7&gt;0,$A266&gt;S$7)),0,MAX(0,ROUND((INDEX($E266:$G266,S$5)-SUMIFS(TF_Timer,TF_Tekniker,S$4,TF_Dato,$A266))*2,0)/2)))</f>
        <v/>
      </c>
      <c r="T266">
        <f>IF(OR(T$4="",$A266&gt;TODAY()),0,IF(OR(INDEX($B266:$D266,T$5)="F",AND(T$6&gt;0,$A266&lt;T$6),AND(T$7&gt;0,$A266&gt;T$7)),0,MAX(0,ROUND((INDEX($E266:$G266,T$5)-SUMIFS(TF_Timer,TF_Tekniker,T$4,TF_Dato,$A266))*2,0)/2)))</f>
        <v/>
      </c>
      <c r="U266">
        <f>IF(OR(U$4="",$A266&gt;TODAY()),0,IF(OR(INDEX($B266:$D266,U$5)="F",AND(U$6&gt;0,$A266&lt;U$6),AND(U$7&gt;0,$A266&gt;U$7)),0,MAX(0,ROUND((INDEX($E266:$G266,U$5)-SUMIFS(TF_Timer,TF_Tekniker,U$4,TF_Dato,$A266))*2,0)/2)))</f>
        <v/>
      </c>
      <c r="V266">
        <f>IF(OR(V$4="",$A266&gt;TODAY()),0,IF(OR(INDEX($B266:$D266,V$5)="F",AND(V$6&gt;0,$A266&lt;V$6),AND(V$7&gt;0,$A266&gt;V$7)),0,MAX(0,ROUND((INDEX($E266:$G266,V$5)-SUMIFS(TF_Timer,TF_Tekniker,V$4,TF_Dato,$A266))*2,0)/2)))</f>
        <v/>
      </c>
      <c r="W266">
        <f>IF(OR(W$4="",$A266&gt;TODAY()),0,IF(OR(INDEX($B266:$D266,W$5)="F",AND(W$6&gt;0,$A266&lt;W$6),AND(W$7&gt;0,$A266&gt;W$7)),0,MAX(0,ROUND((INDEX($E266:$G266,W$5)-SUMIFS(TF_Timer,TF_Tekniker,W$4,TF_Dato,$A266))*2,0)/2)))</f>
        <v/>
      </c>
      <c r="X266">
        <f>IF(OR(X$4="",$A266&gt;TODAY()),0,IF(OR(INDEX($B266:$D266,X$5)="F",AND(X$6&gt;0,$A266&lt;X$6),AND(X$7&gt;0,$A266&gt;X$7)),0,MAX(0,ROUND((INDEX($E266:$G266,X$5)-SUMIFS(TF_Timer,TF_Tekniker,X$4,TF_Dato,$A266))*2,0)/2)))</f>
        <v/>
      </c>
      <c r="Y266">
        <f>IF(OR(Y$4="",$A266&gt;TODAY()),0,IF(OR(INDEX($B266:$D266,Y$5)="F",AND(Y$6&gt;0,$A266&lt;Y$6),AND(Y$7&gt;0,$A266&gt;Y$7)),0,MAX(0,ROUND((INDEX($E266:$G266,Y$5)-SUMIFS(TF_Timer,TF_Tekniker,Y$4,TF_Dato,$A266))*2,0)/2)))</f>
        <v/>
      </c>
      <c r="Z266">
        <f>IF(OR(Z$4="",$A266&gt;TODAY()),0,IF(OR(INDEX($B266:$D266,Z$5)="F",AND(Z$6&gt;0,$A266&lt;Z$6),AND(Z$7&gt;0,$A266&gt;Z$7)),0,MAX(0,ROUND((INDEX($E266:$G266,Z$5)-SUMIFS(TF_Timer,TF_Tekniker,Z$4,TF_Dato,$A266))*2,0)/2)))</f>
        <v/>
      </c>
      <c r="AA266">
        <f>IF(OR(AA$4="",$A266&gt;TODAY()),0,IF(OR(INDEX($B266:$D266,AA$5)="F",AND(AA$6&gt;0,$A266&lt;AA$6),AND(AA$7&gt;0,$A266&gt;AA$7)),0,MAX(0,ROUND((INDEX($E266:$G266,AA$5)-SUMIFS(TF_Timer,TF_Tekniker,AA$4,TF_Dato,$A266))*2,0)/2)))</f>
        <v/>
      </c>
      <c r="AB266">
        <f>IF(OR(AB$4="",$A266&gt;TODAY()),0,IF(OR(INDEX($B266:$D266,AB$5)="F",AND(AB$6&gt;0,$A266&lt;AB$6),AND(AB$7&gt;0,$A266&gt;AB$7)),0,MAX(0,ROUND((INDEX($E266:$G266,AB$5)-SUMIFS(TF_Timer,TF_Tekniker,AB$4,TF_Dato,$A266))*2,0)/2)))</f>
        <v/>
      </c>
      <c r="AC266">
        <f>IF(OR(AC$4="",$A266&gt;TODAY()),0,IF(OR(INDEX($B266:$D266,AC$5)="F",AND(AC$6&gt;0,$A266&lt;AC$6),AND(AC$7&gt;0,$A266&gt;AC$7)),0,MAX(0,ROUND((INDEX($E266:$G266,AC$5)-SUMIFS(TF_Timer,TF_Tekniker,AC$4,TF_Dato,$A266))*2,0)/2)))</f>
        <v/>
      </c>
      <c r="AD266">
        <f>IF(OR(AD$4="",$A266&gt;TODAY()),0,IF(OR(INDEX($B266:$D266,AD$5)="F",AND(AD$6&gt;0,$A266&lt;AD$6),AND(AD$7&gt;0,$A266&gt;AD$7)),0,MAX(0,ROUND((INDEX($E266:$G266,AD$5)-SUMIFS(TF_Timer,TF_Tekniker,AD$4,TF_Dato,$A266))*2,0)/2)))</f>
        <v/>
      </c>
      <c r="AE266">
        <f>IF(OR(AE$4="",$A266&gt;TODAY()),0,IF(OR(INDEX($B266:$D266,AE$5)="F",AND(AE$6&gt;0,$A266&lt;AE$6),AND(AE$7&gt;0,$A266&gt;AE$7)),0,MAX(0,ROUND((INDEX($E266:$G266,AE$5)-SUMIFS(TF_Timer,TF_Tekniker,AE$4,TF_Dato,$A266))*2,0)/2)))</f>
        <v/>
      </c>
      <c r="AF266">
        <f>IF(OR(AF$4="",$A266&gt;TODAY()),0,IF(OR(INDEX($B266:$D266,AF$5)="F",AND(AF$6&gt;0,$A266&lt;AF$6),AND(AF$7&gt;0,$A266&gt;AF$7)),0,MAX(0,ROUND((INDEX($E266:$G266,AF$5)-SUMIFS(TF_Timer,TF_Tekniker,AF$4,TF_Dato,$A266))*2,0)/2)))</f>
        <v/>
      </c>
      <c r="AG266">
        <f>IF(OR(AG$4="",$A266&gt;TODAY()),0,IF(OR(INDEX($B266:$D266,AG$5)="F",AND(AG$6&gt;0,$A266&lt;AG$6),AND(AG$7&gt;0,$A266&gt;AG$7)),0,MAX(0,ROUND((INDEX($E266:$G266,AG$5)-SUMIFS(TF_Timer,TF_Tekniker,AG$4,TF_Dato,$A266))*2,0)/2)))</f>
        <v/>
      </c>
      <c r="AH266">
        <f>IF(OR(AH$4="",$A266&gt;TODAY()),0,IF(OR(INDEX($B266:$D266,AH$5)="F",AND(AH$6&gt;0,$A266&lt;AH$6),AND(AH$7&gt;0,$A266&gt;AH$7)),0,MAX(0,ROUND((INDEX($E266:$G266,AH$5)-SUMIFS(TF_Timer,TF_Tekniker,AH$4,TF_Dato,$A266))*2,0)/2)))</f>
        <v/>
      </c>
      <c r="AI266">
        <f>IF(OR(AI$4="",$A266&gt;TODAY()),0,IF(OR(INDEX($B266:$D266,AI$5)="F",AND(AI$6&gt;0,$A266&lt;AI$6),AND(AI$7&gt;0,$A266&gt;AI$7)),0,MAX(0,ROUND((INDEX($E266:$G266,AI$5)-SUMIFS(TF_Timer,TF_Tekniker,AI$4,TF_Dato,$A266))*2,0)/2)))</f>
        <v/>
      </c>
      <c r="AJ266">
        <f>IF(OR(AJ$4="",$A266&gt;TODAY()),0,IF(OR(INDEX($B266:$D266,AJ$5)="F",AND(AJ$6&gt;0,$A266&lt;AJ$6),AND(AJ$7&gt;0,$A266&gt;AJ$7)),0,MAX(0,ROUND((INDEX($E266:$G266,AJ$5)-SUMIFS(TF_Timer,TF_Tekniker,AJ$4,TF_Dato,$A266))*2,0)/2)))</f>
        <v/>
      </c>
      <c r="AK266">
        <f>IF(OR(AK$4="",$A266&gt;TODAY()),0,IF(OR(INDEX($B266:$D266,AK$5)="F",AND(AK$6&gt;0,$A266&lt;AK$6),AND(AK$7&gt;0,$A266&gt;AK$7)),0,MAX(0,ROUND((INDEX($E266:$G266,AK$5)-SUMIFS(TF_Timer,TF_Tekniker,AK$4,TF_Dato,$A266))*2,0)/2)))</f>
        <v/>
      </c>
      <c r="AL266">
        <f>IF(OR(AL$4="",$A266&gt;TODAY()),0,IF(OR(INDEX($B266:$D266,AL$5)="F",AND(AL$6&gt;0,$A266&lt;AL$6),AND(AL$7&gt;0,$A266&gt;AL$7)),0,MAX(0,ROUND((INDEX($E266:$G266,AL$5)-SUMIFS(TF_Timer,TF_Tekniker,AL$4,TF_Dato,$A266))*2,0)/2)))</f>
        <v/>
      </c>
      <c r="AM266">
        <f>IF(OR(AM$4="",$A266&gt;TODAY()),0,IF(OR(INDEX($B266:$D266,AM$5)="F",AND(AM$6&gt;0,$A266&lt;AM$6),AND(AM$7&gt;0,$A266&gt;AM$7)),0,MAX(0,ROUND((INDEX($E266:$G266,AM$5)-SUMIFS(TF_Timer,TF_Tekniker,AM$4,TF_Dato,$A266))*2,0)/2)))</f>
        <v/>
      </c>
      <c r="AN266">
        <f>IF(OR(AN$4="",$A266&gt;TODAY()),0,IF(OR(INDEX($B266:$D266,AN$5)="F",AND(AN$6&gt;0,$A266&lt;AN$6),AND(AN$7&gt;0,$A266&gt;AN$7)),0,MAX(0,ROUND((INDEX($E266:$G266,AN$5)-SUMIFS(TF_Timer,TF_Tekniker,AN$4,TF_Dato,$A266))*2,0)/2)))</f>
        <v/>
      </c>
      <c r="AO266">
        <f>IF(OR(AO$4="",$A266&gt;TODAY()),0,IF(OR(INDEX($B266:$D266,AO$5)="F",AND(AO$6&gt;0,$A266&lt;AO$6),AND(AO$7&gt;0,$A266&gt;AO$7)),0,MAX(0,ROUND((INDEX($E266:$G266,AO$5)-SUMIFS(TF_Timer,TF_Tekniker,AO$4,TF_Dato,$A266))*2,0)/2)))</f>
        <v/>
      </c>
      <c r="AP266">
        <f>IF(OR(AP$4="",$A266&gt;TODAY()),0,IF(OR(INDEX($B266:$D266,AP$5)="F",AND(AP$6&gt;0,$A266&lt;AP$6),AND(AP$7&gt;0,$A266&gt;AP$7)),0,MAX(0,ROUND((INDEX($E266:$G266,AP$5)-SUMIFS(TF_Timer,TF_Tekniker,AP$4,TF_Dato,$A266))*2,0)/2)))</f>
        <v/>
      </c>
      <c r="AQ266">
        <f>IF(OR(AQ$4="",$A266&gt;TODAY()),0,IF(OR(INDEX($B266:$D266,AQ$5)="F",AND(AQ$6&gt;0,$A266&lt;AQ$6),AND(AQ$7&gt;0,$A266&gt;AQ$7)),0,MAX(0,ROUND((INDEX($E266:$G266,AQ$5)-SUMIFS(TF_Timer,TF_Tekniker,AQ$4,TF_Dato,$A266))*2,0)/2)))</f>
        <v/>
      </c>
      <c r="AR266">
        <f>IF(OR(AR$4="",$A266&gt;TODAY()),0,IF(OR(INDEX($B266:$D266,AR$5)="F",AND(AR$6&gt;0,$A266&lt;AR$6),AND(AR$7&gt;0,$A266&gt;AR$7)),0,MAX(0,ROUND((INDEX($E266:$G266,AR$5)-SUMIFS(TF_Timer,TF_Tekniker,AR$4,TF_Dato,$A266))*2,0)/2)))</f>
        <v/>
      </c>
      <c r="AS266">
        <f>IF(OR(AS$4="",$A266&gt;TODAY()),0,IF(OR(INDEX($B266:$D266,AS$5)="F",AND(AS$6&gt;0,$A266&lt;AS$6),AND(AS$7&gt;0,$A266&gt;AS$7)),0,MAX(0,ROUND((INDEX($E266:$G266,AS$5)-SUMIFS(TF_Timer,TF_Tekniker,AS$4,TF_Dato,$A266))*2,0)/2)))</f>
        <v/>
      </c>
      <c r="AT266">
        <f>IF(OR(AT$4="",$A266&gt;TODAY()),0,IF(OR(INDEX($B266:$D266,AT$5)="F",AND(AT$6&gt;0,$A266&lt;AT$6),AND(AT$7&gt;0,$A266&gt;AT$7)),0,MAX(0,ROUND((INDEX($E266:$G266,AT$5)-SUMIFS(TF_Timer,TF_Tekniker,AT$4,TF_Dato,$A266))*2,0)/2)))</f>
        <v/>
      </c>
      <c r="AU266">
        <f>IF(OR(AU$4="",$A266&gt;TODAY()),0,IF(OR(INDEX($B266:$D266,AU$5)="F",AND(AU$6&gt;0,$A266&lt;AU$6),AND(AU$7&gt;0,$A266&gt;AU$7)),0,MAX(0,ROUND((INDEX($E266:$G266,AU$5)-SUMIFS(TF_Timer,TF_Tekniker,AU$4,TF_Dato,$A266))*2,0)/2)))</f>
        <v/>
      </c>
      <c r="AV266">
        <f>IF(OR(AV$4="",$A266&gt;TODAY()),0,IF(OR(INDEX($B266:$D266,AV$5)="F",AND(AV$6&gt;0,$A266&lt;AV$6),AND(AV$7&gt;0,$A266&gt;AV$7)),0,MAX(0,ROUND((INDEX($E266:$G266,AV$5)-SUMIFS(TF_Timer,TF_Tekniker,AV$4,TF_Dato,$A266))*2,0)/2)))</f>
        <v/>
      </c>
      <c r="AW266">
        <f>IF(OR(AW$4="",$A266&gt;TODAY()),0,IF(OR(INDEX($B266:$D266,AW$5)="F",AND(AW$6&gt;0,$A266&lt;AW$6),AND(AW$7&gt;0,$A266&gt;AW$7)),0,MAX(0,ROUND((INDEX($E266:$G266,AW$5)-SUMIFS(TF_Timer,TF_Tekniker,AW$4,TF_Dato,$A266))*2,0)/2)))</f>
        <v/>
      </c>
      <c r="AX266">
        <f>IF(OR(AX$4="",$A266&gt;TODAY()),0,IF(OR(INDEX($B266:$D266,AX$5)="F",AND(AX$6&gt;0,$A266&lt;AX$6),AND(AX$7&gt;0,$A266&gt;AX$7)),0,MAX(0,ROUND((INDEX($E266:$G266,AX$5)-SUMIFS(TF_Timer,TF_Tekniker,AX$4,TF_Dato,$A266))*2,0)/2)))</f>
        <v/>
      </c>
      <c r="AY266">
        <f>IF(OR(AY$4="",$A266&gt;TODAY()),0,IF(OR(INDEX($B266:$D266,AY$5)="F",AND(AY$6&gt;0,$A266&lt;AY$6),AND(AY$7&gt;0,$A266&gt;AY$7)),0,MAX(0,ROUND((INDEX($E266:$G266,AY$5)-SUMIFS(TF_Timer,TF_Tekniker,AY$4,TF_Dato,$A266))*2,0)/2)))</f>
        <v/>
      </c>
      <c r="AZ266">
        <f>IF(OR(AZ$4="",$A266&gt;TODAY()),0,IF(OR(INDEX($B266:$D266,AZ$5)="F",AND(AZ$6&gt;0,$A266&lt;AZ$6),AND(AZ$7&gt;0,$A266&gt;AZ$7)),0,MAX(0,ROUND((INDEX($E266:$G266,AZ$5)-SUMIFS(TF_Timer,TF_Tekniker,AZ$4,TF_Dato,$A266))*2,0)/2)))</f>
        <v/>
      </c>
      <c r="BA266">
        <f>IF(OR(BA$4="",$A266&gt;TODAY()),0,IF(OR(INDEX($B266:$D266,BA$5)="F",AND(BA$6&gt;0,$A266&lt;BA$6),AND(BA$7&gt;0,$A266&gt;BA$7)),0,MAX(0,ROUND((INDEX($E266:$G266,BA$5)-SUMIFS(TF_Timer,TF_Tekniker,BA$4,TF_Dato,$A266))*2,0)/2)))</f>
        <v/>
      </c>
      <c r="BB266">
        <f>IF(OR(BB$4="",$A266&gt;TODAY()),0,IF(OR(INDEX($B266:$D266,BB$5)="F",AND(BB$6&gt;0,$A266&lt;BB$6),AND(BB$7&gt;0,$A266&gt;BB$7)),0,MAX(0,ROUND((INDEX($E266:$G266,BB$5)-SUMIFS(TF_Timer,TF_Tekniker,BB$4,TF_Dato,$A266))*2,0)/2)))</f>
        <v/>
      </c>
      <c r="BC266">
        <f>IF(OR(BC$4="",$A266&gt;TODAY()),0,IF(OR(INDEX($B266:$D266,BC$5)="F",AND(BC$6&gt;0,$A266&lt;BC$6),AND(BC$7&gt;0,$A266&gt;BC$7)),0,MAX(0,ROUND((INDEX($E266:$G266,BC$5)-SUMIFS(TF_Timer,TF_Tekniker,BC$4,TF_Dato,$A266))*2,0)/2)))</f>
        <v/>
      </c>
      <c r="BD266">
        <f>IF(OR(BD$4="",$A266&gt;TODAY()),0,IF(OR(INDEX($B266:$D266,BD$5)="F",AND(BD$6&gt;0,$A266&lt;BD$6),AND(BD$7&gt;0,$A266&gt;BD$7)),0,MAX(0,ROUND((INDEX($E266:$G266,BD$5)-SUMIFS(TF_Timer,TF_Tekniker,BD$4,TF_Dato,$A266))*2,0)/2)))</f>
        <v/>
      </c>
      <c r="BE266">
        <f>IF(OR(BE$4="",$A266&gt;TODAY()),0,IF(OR(INDEX($B266:$D266,BE$5)="F",AND(BE$6&gt;0,$A266&lt;BE$6),AND(BE$7&gt;0,$A266&gt;BE$7)),0,MAX(0,ROUND((INDEX($E266:$G266,BE$5)-SUMIFS(TF_Timer,TF_Tekniker,BE$4,TF_Dato,$A266))*2,0)/2)))</f>
        <v/>
      </c>
      <c r="BF266">
        <f>IF(OR(BF$4="",$A266&gt;TODAY()),0,IF(OR(INDEX($B266:$D266,BF$5)="F",AND(BF$6&gt;0,$A266&lt;BF$6),AND(BF$7&gt;0,$A266&gt;BF$7)),0,MAX(0,ROUND((INDEX($E266:$G266,BF$5)-SUMIFS(TF_Timer,TF_Tekniker,BF$4,TF_Dato,$A266))*2,0)/2)))</f>
        <v/>
      </c>
      <c r="BG266">
        <f>IF(OR(BG$4="",$A266&gt;TODAY()),0,IF(OR(INDEX($B266:$D266,BG$5)="F",AND(BG$6&gt;0,$A266&lt;BG$6),AND(BG$7&gt;0,$A266&gt;BG$7)),0,MAX(0,ROUND((INDEX($E266:$G266,BG$5)-SUMIFS(TF_Timer,TF_Tekniker,BG$4,TF_Dato,$A266))*2,0)/2)))</f>
        <v/>
      </c>
      <c r="BH266">
        <f>IF(OR(BH$4="",$A266&gt;TODAY()),0,IF(OR(INDEX($B266:$D266,BH$5)="F",AND(BH$6&gt;0,$A266&lt;BH$6),AND(BH$7&gt;0,$A266&gt;BH$7)),0,MAX(0,ROUND((INDEX($E266:$G266,BH$5)-SUMIFS(TF_Timer,TF_Tekniker,BH$4,TF_Dato,$A266))*2,0)/2)))</f>
        <v/>
      </c>
      <c r="BI266">
        <f>IF(OR(BI$4="",$A266&gt;TODAY()),0,IF(OR(INDEX($B266:$D266,BI$5)="F",AND(BI$6&gt;0,$A266&lt;BI$6),AND(BI$7&gt;0,$A266&gt;BI$7)),0,MAX(0,ROUND((INDEX($E266:$G266,BI$5)-SUMIFS(TF_Timer,TF_Tekniker,BI$4,TF_Dato,$A266))*2,0)/2)))</f>
        <v/>
      </c>
    </row>
    <row r="267">
      <c r="A267" s="64">
        <f>A266+1</f>
        <v/>
      </c>
      <c r="B267">
        <f>IF(MOD($A267-INDEX(SkiftStart,1),Syklus)&lt;DagK,"K",IF(MOD($A267-INDEX(SkiftStart,1),Syklus)&lt;DagK+DagH,"H",IF(MOD($A267-INDEX(SkiftStart,1),Syklus)&lt;DagK+DagH+DagD,"D","F")))</f>
        <v/>
      </c>
      <c r="C267">
        <f>IF(MOD($A267-INDEX(SkiftStart,2),Syklus)&lt;DagK,"K",IF(MOD($A267-INDEX(SkiftStart,2),Syklus)&lt;DagK+DagH,"H",IF(MOD($A267-INDEX(SkiftStart,2),Syklus)&lt;DagK+DagH+DagD,"D","F")))</f>
        <v/>
      </c>
      <c r="D267">
        <f>IF(MOD($A267-INDEX(SkiftStart,3),Syklus)&lt;DagK,"K",IF(MOD($A267-INDEX(SkiftStart,3),Syklus)&lt;DagK+DagH,"H",IF(MOD($A267-INDEX(SkiftStart,3),Syklus)&lt;DagK+DagH+DagD,"D","F")))</f>
        <v/>
      </c>
      <c r="E267">
        <f>IF(B267="F",0,IF(WEEKDAY($A267,2)=5,INDEX(TimerFr,MATCH(B267,FaseKode,0)),INDEX(TimerMT,MATCH(B267,FaseKode,0))))</f>
        <v/>
      </c>
      <c r="F267">
        <f>IF(C267="F",0,IF(WEEKDAY($A267,2)=5,INDEX(TimerFr,MATCH(C267,FaseKode,0)),INDEX(TimerMT,MATCH(C267,FaseKode,0))))</f>
        <v/>
      </c>
      <c r="G267">
        <f>IF(D267="F",0,IF(WEEKDAY($A267,2)=5,INDEX(TimerFr,MATCH(D267,FaseKode,0)),INDEX(TimerMT,MATCH(D267,FaseKode,0))))</f>
        <v/>
      </c>
      <c r="H267">
        <f>IF(OR(H$4="",$A267&gt;TODAY()),0,IF(OR(INDEX($B267:$D267,H$5)="F",AND(H$6&gt;0,$A267&lt;H$6),AND(H$7&gt;0,$A267&gt;H$7)),0,MAX(0,ROUND((INDEX($E267:$G267,H$5)-SUMIFS(TF_Timer,TF_Tekniker,H$4,TF_Dato,$A267))*2,0)/2)))</f>
        <v/>
      </c>
      <c r="I267">
        <f>IF(OR(I$4="",$A267&gt;TODAY()),0,IF(OR(INDEX($B267:$D267,I$5)="F",AND(I$6&gt;0,$A267&lt;I$6),AND(I$7&gt;0,$A267&gt;I$7)),0,MAX(0,ROUND((INDEX($E267:$G267,I$5)-SUMIFS(TF_Timer,TF_Tekniker,I$4,TF_Dato,$A267))*2,0)/2)))</f>
        <v/>
      </c>
      <c r="J267">
        <f>IF(OR(J$4="",$A267&gt;TODAY()),0,IF(OR(INDEX($B267:$D267,J$5)="F",AND(J$6&gt;0,$A267&lt;J$6),AND(J$7&gt;0,$A267&gt;J$7)),0,MAX(0,ROUND((INDEX($E267:$G267,J$5)-SUMIFS(TF_Timer,TF_Tekniker,J$4,TF_Dato,$A267))*2,0)/2)))</f>
        <v/>
      </c>
      <c r="K267">
        <f>IF(OR(K$4="",$A267&gt;TODAY()),0,IF(OR(INDEX($B267:$D267,K$5)="F",AND(K$6&gt;0,$A267&lt;K$6),AND(K$7&gt;0,$A267&gt;K$7)),0,MAX(0,ROUND((INDEX($E267:$G267,K$5)-SUMIFS(TF_Timer,TF_Tekniker,K$4,TF_Dato,$A267))*2,0)/2)))</f>
        <v/>
      </c>
      <c r="L267">
        <f>IF(OR(L$4="",$A267&gt;TODAY()),0,IF(OR(INDEX($B267:$D267,L$5)="F",AND(L$6&gt;0,$A267&lt;L$6),AND(L$7&gt;0,$A267&gt;L$7)),0,MAX(0,ROUND((INDEX($E267:$G267,L$5)-SUMIFS(TF_Timer,TF_Tekniker,L$4,TF_Dato,$A267))*2,0)/2)))</f>
        <v/>
      </c>
      <c r="M267">
        <f>IF(OR(M$4="",$A267&gt;TODAY()),0,IF(OR(INDEX($B267:$D267,M$5)="F",AND(M$6&gt;0,$A267&lt;M$6),AND(M$7&gt;0,$A267&gt;M$7)),0,MAX(0,ROUND((INDEX($E267:$G267,M$5)-SUMIFS(TF_Timer,TF_Tekniker,M$4,TF_Dato,$A267))*2,0)/2)))</f>
        <v/>
      </c>
      <c r="N267">
        <f>IF(OR(N$4="",$A267&gt;TODAY()),0,IF(OR(INDEX($B267:$D267,N$5)="F",AND(N$6&gt;0,$A267&lt;N$6),AND(N$7&gt;0,$A267&gt;N$7)),0,MAX(0,ROUND((INDEX($E267:$G267,N$5)-SUMIFS(TF_Timer,TF_Tekniker,N$4,TF_Dato,$A267))*2,0)/2)))</f>
        <v/>
      </c>
      <c r="O267">
        <f>IF(OR(O$4="",$A267&gt;TODAY()),0,IF(OR(INDEX($B267:$D267,O$5)="F",AND(O$6&gt;0,$A267&lt;O$6),AND(O$7&gt;0,$A267&gt;O$7)),0,MAX(0,ROUND((INDEX($E267:$G267,O$5)-SUMIFS(TF_Timer,TF_Tekniker,O$4,TF_Dato,$A267))*2,0)/2)))</f>
        <v/>
      </c>
      <c r="P267">
        <f>IF(OR(P$4="",$A267&gt;TODAY()),0,IF(OR(INDEX($B267:$D267,P$5)="F",AND(P$6&gt;0,$A267&lt;P$6),AND(P$7&gt;0,$A267&gt;P$7)),0,MAX(0,ROUND((INDEX($E267:$G267,P$5)-SUMIFS(TF_Timer,TF_Tekniker,P$4,TF_Dato,$A267))*2,0)/2)))</f>
        <v/>
      </c>
      <c r="Q267">
        <f>IF(OR(Q$4="",$A267&gt;TODAY()),0,IF(OR(INDEX($B267:$D267,Q$5)="F",AND(Q$6&gt;0,$A267&lt;Q$6),AND(Q$7&gt;0,$A267&gt;Q$7)),0,MAX(0,ROUND((INDEX($E267:$G267,Q$5)-SUMIFS(TF_Timer,TF_Tekniker,Q$4,TF_Dato,$A267))*2,0)/2)))</f>
        <v/>
      </c>
      <c r="R267">
        <f>IF(OR(R$4="",$A267&gt;TODAY()),0,IF(OR(INDEX($B267:$D267,R$5)="F",AND(R$6&gt;0,$A267&lt;R$6),AND(R$7&gt;0,$A267&gt;R$7)),0,MAX(0,ROUND((INDEX($E267:$G267,R$5)-SUMIFS(TF_Timer,TF_Tekniker,R$4,TF_Dato,$A267))*2,0)/2)))</f>
        <v/>
      </c>
      <c r="S267">
        <f>IF(OR(S$4="",$A267&gt;TODAY()),0,IF(OR(INDEX($B267:$D267,S$5)="F",AND(S$6&gt;0,$A267&lt;S$6),AND(S$7&gt;0,$A267&gt;S$7)),0,MAX(0,ROUND((INDEX($E267:$G267,S$5)-SUMIFS(TF_Timer,TF_Tekniker,S$4,TF_Dato,$A267))*2,0)/2)))</f>
        <v/>
      </c>
      <c r="T267">
        <f>IF(OR(T$4="",$A267&gt;TODAY()),0,IF(OR(INDEX($B267:$D267,T$5)="F",AND(T$6&gt;0,$A267&lt;T$6),AND(T$7&gt;0,$A267&gt;T$7)),0,MAX(0,ROUND((INDEX($E267:$G267,T$5)-SUMIFS(TF_Timer,TF_Tekniker,T$4,TF_Dato,$A267))*2,0)/2)))</f>
        <v/>
      </c>
      <c r="U267">
        <f>IF(OR(U$4="",$A267&gt;TODAY()),0,IF(OR(INDEX($B267:$D267,U$5)="F",AND(U$6&gt;0,$A267&lt;U$6),AND(U$7&gt;0,$A267&gt;U$7)),0,MAX(0,ROUND((INDEX($E267:$G267,U$5)-SUMIFS(TF_Timer,TF_Tekniker,U$4,TF_Dato,$A267))*2,0)/2)))</f>
        <v/>
      </c>
      <c r="V267">
        <f>IF(OR(V$4="",$A267&gt;TODAY()),0,IF(OR(INDEX($B267:$D267,V$5)="F",AND(V$6&gt;0,$A267&lt;V$6),AND(V$7&gt;0,$A267&gt;V$7)),0,MAX(0,ROUND((INDEX($E267:$G267,V$5)-SUMIFS(TF_Timer,TF_Tekniker,V$4,TF_Dato,$A267))*2,0)/2)))</f>
        <v/>
      </c>
      <c r="W267">
        <f>IF(OR(W$4="",$A267&gt;TODAY()),0,IF(OR(INDEX($B267:$D267,W$5)="F",AND(W$6&gt;0,$A267&lt;W$6),AND(W$7&gt;0,$A267&gt;W$7)),0,MAX(0,ROUND((INDEX($E267:$G267,W$5)-SUMIFS(TF_Timer,TF_Tekniker,W$4,TF_Dato,$A267))*2,0)/2)))</f>
        <v/>
      </c>
      <c r="X267">
        <f>IF(OR(X$4="",$A267&gt;TODAY()),0,IF(OR(INDEX($B267:$D267,X$5)="F",AND(X$6&gt;0,$A267&lt;X$6),AND(X$7&gt;0,$A267&gt;X$7)),0,MAX(0,ROUND((INDEX($E267:$G267,X$5)-SUMIFS(TF_Timer,TF_Tekniker,X$4,TF_Dato,$A267))*2,0)/2)))</f>
        <v/>
      </c>
      <c r="Y267">
        <f>IF(OR(Y$4="",$A267&gt;TODAY()),0,IF(OR(INDEX($B267:$D267,Y$5)="F",AND(Y$6&gt;0,$A267&lt;Y$6),AND(Y$7&gt;0,$A267&gt;Y$7)),0,MAX(0,ROUND((INDEX($E267:$G267,Y$5)-SUMIFS(TF_Timer,TF_Tekniker,Y$4,TF_Dato,$A267))*2,0)/2)))</f>
        <v/>
      </c>
      <c r="Z267">
        <f>IF(OR(Z$4="",$A267&gt;TODAY()),0,IF(OR(INDEX($B267:$D267,Z$5)="F",AND(Z$6&gt;0,$A267&lt;Z$6),AND(Z$7&gt;0,$A267&gt;Z$7)),0,MAX(0,ROUND((INDEX($E267:$G267,Z$5)-SUMIFS(TF_Timer,TF_Tekniker,Z$4,TF_Dato,$A267))*2,0)/2)))</f>
        <v/>
      </c>
      <c r="AA267">
        <f>IF(OR(AA$4="",$A267&gt;TODAY()),0,IF(OR(INDEX($B267:$D267,AA$5)="F",AND(AA$6&gt;0,$A267&lt;AA$6),AND(AA$7&gt;0,$A267&gt;AA$7)),0,MAX(0,ROUND((INDEX($E267:$G267,AA$5)-SUMIFS(TF_Timer,TF_Tekniker,AA$4,TF_Dato,$A267))*2,0)/2)))</f>
        <v/>
      </c>
      <c r="AB267">
        <f>IF(OR(AB$4="",$A267&gt;TODAY()),0,IF(OR(INDEX($B267:$D267,AB$5)="F",AND(AB$6&gt;0,$A267&lt;AB$6),AND(AB$7&gt;0,$A267&gt;AB$7)),0,MAX(0,ROUND((INDEX($E267:$G267,AB$5)-SUMIFS(TF_Timer,TF_Tekniker,AB$4,TF_Dato,$A267))*2,0)/2)))</f>
        <v/>
      </c>
      <c r="AC267">
        <f>IF(OR(AC$4="",$A267&gt;TODAY()),0,IF(OR(INDEX($B267:$D267,AC$5)="F",AND(AC$6&gt;0,$A267&lt;AC$6),AND(AC$7&gt;0,$A267&gt;AC$7)),0,MAX(0,ROUND((INDEX($E267:$G267,AC$5)-SUMIFS(TF_Timer,TF_Tekniker,AC$4,TF_Dato,$A267))*2,0)/2)))</f>
        <v/>
      </c>
      <c r="AD267">
        <f>IF(OR(AD$4="",$A267&gt;TODAY()),0,IF(OR(INDEX($B267:$D267,AD$5)="F",AND(AD$6&gt;0,$A267&lt;AD$6),AND(AD$7&gt;0,$A267&gt;AD$7)),0,MAX(0,ROUND((INDEX($E267:$G267,AD$5)-SUMIFS(TF_Timer,TF_Tekniker,AD$4,TF_Dato,$A267))*2,0)/2)))</f>
        <v/>
      </c>
      <c r="AE267">
        <f>IF(OR(AE$4="",$A267&gt;TODAY()),0,IF(OR(INDEX($B267:$D267,AE$5)="F",AND(AE$6&gt;0,$A267&lt;AE$6),AND(AE$7&gt;0,$A267&gt;AE$7)),0,MAX(0,ROUND((INDEX($E267:$G267,AE$5)-SUMIFS(TF_Timer,TF_Tekniker,AE$4,TF_Dato,$A267))*2,0)/2)))</f>
        <v/>
      </c>
      <c r="AF267">
        <f>IF(OR(AF$4="",$A267&gt;TODAY()),0,IF(OR(INDEX($B267:$D267,AF$5)="F",AND(AF$6&gt;0,$A267&lt;AF$6),AND(AF$7&gt;0,$A267&gt;AF$7)),0,MAX(0,ROUND((INDEX($E267:$G267,AF$5)-SUMIFS(TF_Timer,TF_Tekniker,AF$4,TF_Dato,$A267))*2,0)/2)))</f>
        <v/>
      </c>
      <c r="AG267">
        <f>IF(OR(AG$4="",$A267&gt;TODAY()),0,IF(OR(INDEX($B267:$D267,AG$5)="F",AND(AG$6&gt;0,$A267&lt;AG$6),AND(AG$7&gt;0,$A267&gt;AG$7)),0,MAX(0,ROUND((INDEX($E267:$G267,AG$5)-SUMIFS(TF_Timer,TF_Tekniker,AG$4,TF_Dato,$A267))*2,0)/2)))</f>
        <v/>
      </c>
      <c r="AH267">
        <f>IF(OR(AH$4="",$A267&gt;TODAY()),0,IF(OR(INDEX($B267:$D267,AH$5)="F",AND(AH$6&gt;0,$A267&lt;AH$6),AND(AH$7&gt;0,$A267&gt;AH$7)),0,MAX(0,ROUND((INDEX($E267:$G267,AH$5)-SUMIFS(TF_Timer,TF_Tekniker,AH$4,TF_Dato,$A267))*2,0)/2)))</f>
        <v/>
      </c>
      <c r="AI267">
        <f>IF(OR(AI$4="",$A267&gt;TODAY()),0,IF(OR(INDEX($B267:$D267,AI$5)="F",AND(AI$6&gt;0,$A267&lt;AI$6),AND(AI$7&gt;0,$A267&gt;AI$7)),0,MAX(0,ROUND((INDEX($E267:$G267,AI$5)-SUMIFS(TF_Timer,TF_Tekniker,AI$4,TF_Dato,$A267))*2,0)/2)))</f>
        <v/>
      </c>
      <c r="AJ267">
        <f>IF(OR(AJ$4="",$A267&gt;TODAY()),0,IF(OR(INDEX($B267:$D267,AJ$5)="F",AND(AJ$6&gt;0,$A267&lt;AJ$6),AND(AJ$7&gt;0,$A267&gt;AJ$7)),0,MAX(0,ROUND((INDEX($E267:$G267,AJ$5)-SUMIFS(TF_Timer,TF_Tekniker,AJ$4,TF_Dato,$A267))*2,0)/2)))</f>
        <v/>
      </c>
      <c r="AK267">
        <f>IF(OR(AK$4="",$A267&gt;TODAY()),0,IF(OR(INDEX($B267:$D267,AK$5)="F",AND(AK$6&gt;0,$A267&lt;AK$6),AND(AK$7&gt;0,$A267&gt;AK$7)),0,MAX(0,ROUND((INDEX($E267:$G267,AK$5)-SUMIFS(TF_Timer,TF_Tekniker,AK$4,TF_Dato,$A267))*2,0)/2)))</f>
        <v/>
      </c>
      <c r="AL267">
        <f>IF(OR(AL$4="",$A267&gt;TODAY()),0,IF(OR(INDEX($B267:$D267,AL$5)="F",AND(AL$6&gt;0,$A267&lt;AL$6),AND(AL$7&gt;0,$A267&gt;AL$7)),0,MAX(0,ROUND((INDEX($E267:$G267,AL$5)-SUMIFS(TF_Timer,TF_Tekniker,AL$4,TF_Dato,$A267))*2,0)/2)))</f>
        <v/>
      </c>
      <c r="AM267">
        <f>IF(OR(AM$4="",$A267&gt;TODAY()),0,IF(OR(INDEX($B267:$D267,AM$5)="F",AND(AM$6&gt;0,$A267&lt;AM$6),AND(AM$7&gt;0,$A267&gt;AM$7)),0,MAX(0,ROUND((INDEX($E267:$G267,AM$5)-SUMIFS(TF_Timer,TF_Tekniker,AM$4,TF_Dato,$A267))*2,0)/2)))</f>
        <v/>
      </c>
      <c r="AN267">
        <f>IF(OR(AN$4="",$A267&gt;TODAY()),0,IF(OR(INDEX($B267:$D267,AN$5)="F",AND(AN$6&gt;0,$A267&lt;AN$6),AND(AN$7&gt;0,$A267&gt;AN$7)),0,MAX(0,ROUND((INDEX($E267:$G267,AN$5)-SUMIFS(TF_Timer,TF_Tekniker,AN$4,TF_Dato,$A267))*2,0)/2)))</f>
        <v/>
      </c>
      <c r="AO267">
        <f>IF(OR(AO$4="",$A267&gt;TODAY()),0,IF(OR(INDEX($B267:$D267,AO$5)="F",AND(AO$6&gt;0,$A267&lt;AO$6),AND(AO$7&gt;0,$A267&gt;AO$7)),0,MAX(0,ROUND((INDEX($E267:$G267,AO$5)-SUMIFS(TF_Timer,TF_Tekniker,AO$4,TF_Dato,$A267))*2,0)/2)))</f>
        <v/>
      </c>
      <c r="AP267">
        <f>IF(OR(AP$4="",$A267&gt;TODAY()),0,IF(OR(INDEX($B267:$D267,AP$5)="F",AND(AP$6&gt;0,$A267&lt;AP$6),AND(AP$7&gt;0,$A267&gt;AP$7)),0,MAX(0,ROUND((INDEX($E267:$G267,AP$5)-SUMIFS(TF_Timer,TF_Tekniker,AP$4,TF_Dato,$A267))*2,0)/2)))</f>
        <v/>
      </c>
      <c r="AQ267">
        <f>IF(OR(AQ$4="",$A267&gt;TODAY()),0,IF(OR(INDEX($B267:$D267,AQ$5)="F",AND(AQ$6&gt;0,$A267&lt;AQ$6),AND(AQ$7&gt;0,$A267&gt;AQ$7)),0,MAX(0,ROUND((INDEX($E267:$G267,AQ$5)-SUMIFS(TF_Timer,TF_Tekniker,AQ$4,TF_Dato,$A267))*2,0)/2)))</f>
        <v/>
      </c>
      <c r="AR267">
        <f>IF(OR(AR$4="",$A267&gt;TODAY()),0,IF(OR(INDEX($B267:$D267,AR$5)="F",AND(AR$6&gt;0,$A267&lt;AR$6),AND(AR$7&gt;0,$A267&gt;AR$7)),0,MAX(0,ROUND((INDEX($E267:$G267,AR$5)-SUMIFS(TF_Timer,TF_Tekniker,AR$4,TF_Dato,$A267))*2,0)/2)))</f>
        <v/>
      </c>
      <c r="AS267">
        <f>IF(OR(AS$4="",$A267&gt;TODAY()),0,IF(OR(INDEX($B267:$D267,AS$5)="F",AND(AS$6&gt;0,$A267&lt;AS$6),AND(AS$7&gt;0,$A267&gt;AS$7)),0,MAX(0,ROUND((INDEX($E267:$G267,AS$5)-SUMIFS(TF_Timer,TF_Tekniker,AS$4,TF_Dato,$A267))*2,0)/2)))</f>
        <v/>
      </c>
      <c r="AT267">
        <f>IF(OR(AT$4="",$A267&gt;TODAY()),0,IF(OR(INDEX($B267:$D267,AT$5)="F",AND(AT$6&gt;0,$A267&lt;AT$6),AND(AT$7&gt;0,$A267&gt;AT$7)),0,MAX(0,ROUND((INDEX($E267:$G267,AT$5)-SUMIFS(TF_Timer,TF_Tekniker,AT$4,TF_Dato,$A267))*2,0)/2)))</f>
        <v/>
      </c>
      <c r="AU267">
        <f>IF(OR(AU$4="",$A267&gt;TODAY()),0,IF(OR(INDEX($B267:$D267,AU$5)="F",AND(AU$6&gt;0,$A267&lt;AU$6),AND(AU$7&gt;0,$A267&gt;AU$7)),0,MAX(0,ROUND((INDEX($E267:$G267,AU$5)-SUMIFS(TF_Timer,TF_Tekniker,AU$4,TF_Dato,$A267))*2,0)/2)))</f>
        <v/>
      </c>
      <c r="AV267">
        <f>IF(OR(AV$4="",$A267&gt;TODAY()),0,IF(OR(INDEX($B267:$D267,AV$5)="F",AND(AV$6&gt;0,$A267&lt;AV$6),AND(AV$7&gt;0,$A267&gt;AV$7)),0,MAX(0,ROUND((INDEX($E267:$G267,AV$5)-SUMIFS(TF_Timer,TF_Tekniker,AV$4,TF_Dato,$A267))*2,0)/2)))</f>
        <v/>
      </c>
      <c r="AW267">
        <f>IF(OR(AW$4="",$A267&gt;TODAY()),0,IF(OR(INDEX($B267:$D267,AW$5)="F",AND(AW$6&gt;0,$A267&lt;AW$6),AND(AW$7&gt;0,$A267&gt;AW$7)),0,MAX(0,ROUND((INDEX($E267:$G267,AW$5)-SUMIFS(TF_Timer,TF_Tekniker,AW$4,TF_Dato,$A267))*2,0)/2)))</f>
        <v/>
      </c>
      <c r="AX267">
        <f>IF(OR(AX$4="",$A267&gt;TODAY()),0,IF(OR(INDEX($B267:$D267,AX$5)="F",AND(AX$6&gt;0,$A267&lt;AX$6),AND(AX$7&gt;0,$A267&gt;AX$7)),0,MAX(0,ROUND((INDEX($E267:$G267,AX$5)-SUMIFS(TF_Timer,TF_Tekniker,AX$4,TF_Dato,$A267))*2,0)/2)))</f>
        <v/>
      </c>
      <c r="AY267">
        <f>IF(OR(AY$4="",$A267&gt;TODAY()),0,IF(OR(INDEX($B267:$D267,AY$5)="F",AND(AY$6&gt;0,$A267&lt;AY$6),AND(AY$7&gt;0,$A267&gt;AY$7)),0,MAX(0,ROUND((INDEX($E267:$G267,AY$5)-SUMIFS(TF_Timer,TF_Tekniker,AY$4,TF_Dato,$A267))*2,0)/2)))</f>
        <v/>
      </c>
      <c r="AZ267">
        <f>IF(OR(AZ$4="",$A267&gt;TODAY()),0,IF(OR(INDEX($B267:$D267,AZ$5)="F",AND(AZ$6&gt;0,$A267&lt;AZ$6),AND(AZ$7&gt;0,$A267&gt;AZ$7)),0,MAX(0,ROUND((INDEX($E267:$G267,AZ$5)-SUMIFS(TF_Timer,TF_Tekniker,AZ$4,TF_Dato,$A267))*2,0)/2)))</f>
        <v/>
      </c>
      <c r="BA267">
        <f>IF(OR(BA$4="",$A267&gt;TODAY()),0,IF(OR(INDEX($B267:$D267,BA$5)="F",AND(BA$6&gt;0,$A267&lt;BA$6),AND(BA$7&gt;0,$A267&gt;BA$7)),0,MAX(0,ROUND((INDEX($E267:$G267,BA$5)-SUMIFS(TF_Timer,TF_Tekniker,BA$4,TF_Dato,$A267))*2,0)/2)))</f>
        <v/>
      </c>
      <c r="BB267">
        <f>IF(OR(BB$4="",$A267&gt;TODAY()),0,IF(OR(INDEX($B267:$D267,BB$5)="F",AND(BB$6&gt;0,$A267&lt;BB$6),AND(BB$7&gt;0,$A267&gt;BB$7)),0,MAX(0,ROUND((INDEX($E267:$G267,BB$5)-SUMIFS(TF_Timer,TF_Tekniker,BB$4,TF_Dato,$A267))*2,0)/2)))</f>
        <v/>
      </c>
      <c r="BC267">
        <f>IF(OR(BC$4="",$A267&gt;TODAY()),0,IF(OR(INDEX($B267:$D267,BC$5)="F",AND(BC$6&gt;0,$A267&lt;BC$6),AND(BC$7&gt;0,$A267&gt;BC$7)),0,MAX(0,ROUND((INDEX($E267:$G267,BC$5)-SUMIFS(TF_Timer,TF_Tekniker,BC$4,TF_Dato,$A267))*2,0)/2)))</f>
        <v/>
      </c>
      <c r="BD267">
        <f>IF(OR(BD$4="",$A267&gt;TODAY()),0,IF(OR(INDEX($B267:$D267,BD$5)="F",AND(BD$6&gt;0,$A267&lt;BD$6),AND(BD$7&gt;0,$A267&gt;BD$7)),0,MAX(0,ROUND((INDEX($E267:$G267,BD$5)-SUMIFS(TF_Timer,TF_Tekniker,BD$4,TF_Dato,$A267))*2,0)/2)))</f>
        <v/>
      </c>
      <c r="BE267">
        <f>IF(OR(BE$4="",$A267&gt;TODAY()),0,IF(OR(INDEX($B267:$D267,BE$5)="F",AND(BE$6&gt;0,$A267&lt;BE$6),AND(BE$7&gt;0,$A267&gt;BE$7)),0,MAX(0,ROUND((INDEX($E267:$G267,BE$5)-SUMIFS(TF_Timer,TF_Tekniker,BE$4,TF_Dato,$A267))*2,0)/2)))</f>
        <v/>
      </c>
      <c r="BF267">
        <f>IF(OR(BF$4="",$A267&gt;TODAY()),0,IF(OR(INDEX($B267:$D267,BF$5)="F",AND(BF$6&gt;0,$A267&lt;BF$6),AND(BF$7&gt;0,$A267&gt;BF$7)),0,MAX(0,ROUND((INDEX($E267:$G267,BF$5)-SUMIFS(TF_Timer,TF_Tekniker,BF$4,TF_Dato,$A267))*2,0)/2)))</f>
        <v/>
      </c>
      <c r="BG267">
        <f>IF(OR(BG$4="",$A267&gt;TODAY()),0,IF(OR(INDEX($B267:$D267,BG$5)="F",AND(BG$6&gt;0,$A267&lt;BG$6),AND(BG$7&gt;0,$A267&gt;BG$7)),0,MAX(0,ROUND((INDEX($E267:$G267,BG$5)-SUMIFS(TF_Timer,TF_Tekniker,BG$4,TF_Dato,$A267))*2,0)/2)))</f>
        <v/>
      </c>
      <c r="BH267">
        <f>IF(OR(BH$4="",$A267&gt;TODAY()),0,IF(OR(INDEX($B267:$D267,BH$5)="F",AND(BH$6&gt;0,$A267&lt;BH$6),AND(BH$7&gt;0,$A267&gt;BH$7)),0,MAX(0,ROUND((INDEX($E267:$G267,BH$5)-SUMIFS(TF_Timer,TF_Tekniker,BH$4,TF_Dato,$A267))*2,0)/2)))</f>
        <v/>
      </c>
      <c r="BI267">
        <f>IF(OR(BI$4="",$A267&gt;TODAY()),0,IF(OR(INDEX($B267:$D267,BI$5)="F",AND(BI$6&gt;0,$A267&lt;BI$6),AND(BI$7&gt;0,$A267&gt;BI$7)),0,MAX(0,ROUND((INDEX($E267:$G267,BI$5)-SUMIFS(TF_Timer,TF_Tekniker,BI$4,TF_Dato,$A267))*2,0)/2)))</f>
        <v/>
      </c>
    </row>
    <row r="268">
      <c r="A268" s="64">
        <f>A267+1</f>
        <v/>
      </c>
      <c r="B268">
        <f>IF(MOD($A268-INDEX(SkiftStart,1),Syklus)&lt;DagK,"K",IF(MOD($A268-INDEX(SkiftStart,1),Syklus)&lt;DagK+DagH,"H",IF(MOD($A268-INDEX(SkiftStart,1),Syklus)&lt;DagK+DagH+DagD,"D","F")))</f>
        <v/>
      </c>
      <c r="C268">
        <f>IF(MOD($A268-INDEX(SkiftStart,2),Syklus)&lt;DagK,"K",IF(MOD($A268-INDEX(SkiftStart,2),Syklus)&lt;DagK+DagH,"H",IF(MOD($A268-INDEX(SkiftStart,2),Syklus)&lt;DagK+DagH+DagD,"D","F")))</f>
        <v/>
      </c>
      <c r="D268">
        <f>IF(MOD($A268-INDEX(SkiftStart,3),Syklus)&lt;DagK,"K",IF(MOD($A268-INDEX(SkiftStart,3),Syklus)&lt;DagK+DagH,"H",IF(MOD($A268-INDEX(SkiftStart,3),Syklus)&lt;DagK+DagH+DagD,"D","F")))</f>
        <v/>
      </c>
      <c r="E268">
        <f>IF(B268="F",0,IF(WEEKDAY($A268,2)=5,INDEX(TimerFr,MATCH(B268,FaseKode,0)),INDEX(TimerMT,MATCH(B268,FaseKode,0))))</f>
        <v/>
      </c>
      <c r="F268">
        <f>IF(C268="F",0,IF(WEEKDAY($A268,2)=5,INDEX(TimerFr,MATCH(C268,FaseKode,0)),INDEX(TimerMT,MATCH(C268,FaseKode,0))))</f>
        <v/>
      </c>
      <c r="G268">
        <f>IF(D268="F",0,IF(WEEKDAY($A268,2)=5,INDEX(TimerFr,MATCH(D268,FaseKode,0)),INDEX(TimerMT,MATCH(D268,FaseKode,0))))</f>
        <v/>
      </c>
      <c r="H268">
        <f>IF(OR(H$4="",$A268&gt;TODAY()),0,IF(OR(INDEX($B268:$D268,H$5)="F",AND(H$6&gt;0,$A268&lt;H$6),AND(H$7&gt;0,$A268&gt;H$7)),0,MAX(0,ROUND((INDEX($E268:$G268,H$5)-SUMIFS(TF_Timer,TF_Tekniker,H$4,TF_Dato,$A268))*2,0)/2)))</f>
        <v/>
      </c>
      <c r="I268">
        <f>IF(OR(I$4="",$A268&gt;TODAY()),0,IF(OR(INDEX($B268:$D268,I$5)="F",AND(I$6&gt;0,$A268&lt;I$6),AND(I$7&gt;0,$A268&gt;I$7)),0,MAX(0,ROUND((INDEX($E268:$G268,I$5)-SUMIFS(TF_Timer,TF_Tekniker,I$4,TF_Dato,$A268))*2,0)/2)))</f>
        <v/>
      </c>
      <c r="J268">
        <f>IF(OR(J$4="",$A268&gt;TODAY()),0,IF(OR(INDEX($B268:$D268,J$5)="F",AND(J$6&gt;0,$A268&lt;J$6),AND(J$7&gt;0,$A268&gt;J$7)),0,MAX(0,ROUND((INDEX($E268:$G268,J$5)-SUMIFS(TF_Timer,TF_Tekniker,J$4,TF_Dato,$A268))*2,0)/2)))</f>
        <v/>
      </c>
      <c r="K268">
        <f>IF(OR(K$4="",$A268&gt;TODAY()),0,IF(OR(INDEX($B268:$D268,K$5)="F",AND(K$6&gt;0,$A268&lt;K$6),AND(K$7&gt;0,$A268&gt;K$7)),0,MAX(0,ROUND((INDEX($E268:$G268,K$5)-SUMIFS(TF_Timer,TF_Tekniker,K$4,TF_Dato,$A268))*2,0)/2)))</f>
        <v/>
      </c>
      <c r="L268">
        <f>IF(OR(L$4="",$A268&gt;TODAY()),0,IF(OR(INDEX($B268:$D268,L$5)="F",AND(L$6&gt;0,$A268&lt;L$6),AND(L$7&gt;0,$A268&gt;L$7)),0,MAX(0,ROUND((INDEX($E268:$G268,L$5)-SUMIFS(TF_Timer,TF_Tekniker,L$4,TF_Dato,$A268))*2,0)/2)))</f>
        <v/>
      </c>
      <c r="M268">
        <f>IF(OR(M$4="",$A268&gt;TODAY()),0,IF(OR(INDEX($B268:$D268,M$5)="F",AND(M$6&gt;0,$A268&lt;M$6),AND(M$7&gt;0,$A268&gt;M$7)),0,MAX(0,ROUND((INDEX($E268:$G268,M$5)-SUMIFS(TF_Timer,TF_Tekniker,M$4,TF_Dato,$A268))*2,0)/2)))</f>
        <v/>
      </c>
      <c r="N268">
        <f>IF(OR(N$4="",$A268&gt;TODAY()),0,IF(OR(INDEX($B268:$D268,N$5)="F",AND(N$6&gt;0,$A268&lt;N$6),AND(N$7&gt;0,$A268&gt;N$7)),0,MAX(0,ROUND((INDEX($E268:$G268,N$5)-SUMIFS(TF_Timer,TF_Tekniker,N$4,TF_Dato,$A268))*2,0)/2)))</f>
        <v/>
      </c>
      <c r="O268">
        <f>IF(OR(O$4="",$A268&gt;TODAY()),0,IF(OR(INDEX($B268:$D268,O$5)="F",AND(O$6&gt;0,$A268&lt;O$6),AND(O$7&gt;0,$A268&gt;O$7)),0,MAX(0,ROUND((INDEX($E268:$G268,O$5)-SUMIFS(TF_Timer,TF_Tekniker,O$4,TF_Dato,$A268))*2,0)/2)))</f>
        <v/>
      </c>
      <c r="P268">
        <f>IF(OR(P$4="",$A268&gt;TODAY()),0,IF(OR(INDEX($B268:$D268,P$5)="F",AND(P$6&gt;0,$A268&lt;P$6),AND(P$7&gt;0,$A268&gt;P$7)),0,MAX(0,ROUND((INDEX($E268:$G268,P$5)-SUMIFS(TF_Timer,TF_Tekniker,P$4,TF_Dato,$A268))*2,0)/2)))</f>
        <v/>
      </c>
      <c r="Q268">
        <f>IF(OR(Q$4="",$A268&gt;TODAY()),0,IF(OR(INDEX($B268:$D268,Q$5)="F",AND(Q$6&gt;0,$A268&lt;Q$6),AND(Q$7&gt;0,$A268&gt;Q$7)),0,MAX(0,ROUND((INDEX($E268:$G268,Q$5)-SUMIFS(TF_Timer,TF_Tekniker,Q$4,TF_Dato,$A268))*2,0)/2)))</f>
        <v/>
      </c>
      <c r="R268">
        <f>IF(OR(R$4="",$A268&gt;TODAY()),0,IF(OR(INDEX($B268:$D268,R$5)="F",AND(R$6&gt;0,$A268&lt;R$6),AND(R$7&gt;0,$A268&gt;R$7)),0,MAX(0,ROUND((INDEX($E268:$G268,R$5)-SUMIFS(TF_Timer,TF_Tekniker,R$4,TF_Dato,$A268))*2,0)/2)))</f>
        <v/>
      </c>
      <c r="S268">
        <f>IF(OR(S$4="",$A268&gt;TODAY()),0,IF(OR(INDEX($B268:$D268,S$5)="F",AND(S$6&gt;0,$A268&lt;S$6),AND(S$7&gt;0,$A268&gt;S$7)),0,MAX(0,ROUND((INDEX($E268:$G268,S$5)-SUMIFS(TF_Timer,TF_Tekniker,S$4,TF_Dato,$A268))*2,0)/2)))</f>
        <v/>
      </c>
      <c r="T268">
        <f>IF(OR(T$4="",$A268&gt;TODAY()),0,IF(OR(INDEX($B268:$D268,T$5)="F",AND(T$6&gt;0,$A268&lt;T$6),AND(T$7&gt;0,$A268&gt;T$7)),0,MAX(0,ROUND((INDEX($E268:$G268,T$5)-SUMIFS(TF_Timer,TF_Tekniker,T$4,TF_Dato,$A268))*2,0)/2)))</f>
        <v/>
      </c>
      <c r="U268">
        <f>IF(OR(U$4="",$A268&gt;TODAY()),0,IF(OR(INDEX($B268:$D268,U$5)="F",AND(U$6&gt;0,$A268&lt;U$6),AND(U$7&gt;0,$A268&gt;U$7)),0,MAX(0,ROUND((INDEX($E268:$G268,U$5)-SUMIFS(TF_Timer,TF_Tekniker,U$4,TF_Dato,$A268))*2,0)/2)))</f>
        <v/>
      </c>
      <c r="V268">
        <f>IF(OR(V$4="",$A268&gt;TODAY()),0,IF(OR(INDEX($B268:$D268,V$5)="F",AND(V$6&gt;0,$A268&lt;V$6),AND(V$7&gt;0,$A268&gt;V$7)),0,MAX(0,ROUND((INDEX($E268:$G268,V$5)-SUMIFS(TF_Timer,TF_Tekniker,V$4,TF_Dato,$A268))*2,0)/2)))</f>
        <v/>
      </c>
      <c r="W268">
        <f>IF(OR(W$4="",$A268&gt;TODAY()),0,IF(OR(INDEX($B268:$D268,W$5)="F",AND(W$6&gt;0,$A268&lt;W$6),AND(W$7&gt;0,$A268&gt;W$7)),0,MAX(0,ROUND((INDEX($E268:$G268,W$5)-SUMIFS(TF_Timer,TF_Tekniker,W$4,TF_Dato,$A268))*2,0)/2)))</f>
        <v/>
      </c>
      <c r="X268">
        <f>IF(OR(X$4="",$A268&gt;TODAY()),0,IF(OR(INDEX($B268:$D268,X$5)="F",AND(X$6&gt;0,$A268&lt;X$6),AND(X$7&gt;0,$A268&gt;X$7)),0,MAX(0,ROUND((INDEX($E268:$G268,X$5)-SUMIFS(TF_Timer,TF_Tekniker,X$4,TF_Dato,$A268))*2,0)/2)))</f>
        <v/>
      </c>
      <c r="Y268">
        <f>IF(OR(Y$4="",$A268&gt;TODAY()),0,IF(OR(INDEX($B268:$D268,Y$5)="F",AND(Y$6&gt;0,$A268&lt;Y$6),AND(Y$7&gt;0,$A268&gt;Y$7)),0,MAX(0,ROUND((INDEX($E268:$G268,Y$5)-SUMIFS(TF_Timer,TF_Tekniker,Y$4,TF_Dato,$A268))*2,0)/2)))</f>
        <v/>
      </c>
      <c r="Z268">
        <f>IF(OR(Z$4="",$A268&gt;TODAY()),0,IF(OR(INDEX($B268:$D268,Z$5)="F",AND(Z$6&gt;0,$A268&lt;Z$6),AND(Z$7&gt;0,$A268&gt;Z$7)),0,MAX(0,ROUND((INDEX($E268:$G268,Z$5)-SUMIFS(TF_Timer,TF_Tekniker,Z$4,TF_Dato,$A268))*2,0)/2)))</f>
        <v/>
      </c>
      <c r="AA268">
        <f>IF(OR(AA$4="",$A268&gt;TODAY()),0,IF(OR(INDEX($B268:$D268,AA$5)="F",AND(AA$6&gt;0,$A268&lt;AA$6),AND(AA$7&gt;0,$A268&gt;AA$7)),0,MAX(0,ROUND((INDEX($E268:$G268,AA$5)-SUMIFS(TF_Timer,TF_Tekniker,AA$4,TF_Dato,$A268))*2,0)/2)))</f>
        <v/>
      </c>
      <c r="AB268">
        <f>IF(OR(AB$4="",$A268&gt;TODAY()),0,IF(OR(INDEX($B268:$D268,AB$5)="F",AND(AB$6&gt;0,$A268&lt;AB$6),AND(AB$7&gt;0,$A268&gt;AB$7)),0,MAX(0,ROUND((INDEX($E268:$G268,AB$5)-SUMIFS(TF_Timer,TF_Tekniker,AB$4,TF_Dato,$A268))*2,0)/2)))</f>
        <v/>
      </c>
      <c r="AC268">
        <f>IF(OR(AC$4="",$A268&gt;TODAY()),0,IF(OR(INDEX($B268:$D268,AC$5)="F",AND(AC$6&gt;0,$A268&lt;AC$6),AND(AC$7&gt;0,$A268&gt;AC$7)),0,MAX(0,ROUND((INDEX($E268:$G268,AC$5)-SUMIFS(TF_Timer,TF_Tekniker,AC$4,TF_Dato,$A268))*2,0)/2)))</f>
        <v/>
      </c>
      <c r="AD268">
        <f>IF(OR(AD$4="",$A268&gt;TODAY()),0,IF(OR(INDEX($B268:$D268,AD$5)="F",AND(AD$6&gt;0,$A268&lt;AD$6),AND(AD$7&gt;0,$A268&gt;AD$7)),0,MAX(0,ROUND((INDEX($E268:$G268,AD$5)-SUMIFS(TF_Timer,TF_Tekniker,AD$4,TF_Dato,$A268))*2,0)/2)))</f>
        <v/>
      </c>
      <c r="AE268">
        <f>IF(OR(AE$4="",$A268&gt;TODAY()),0,IF(OR(INDEX($B268:$D268,AE$5)="F",AND(AE$6&gt;0,$A268&lt;AE$6),AND(AE$7&gt;0,$A268&gt;AE$7)),0,MAX(0,ROUND((INDEX($E268:$G268,AE$5)-SUMIFS(TF_Timer,TF_Tekniker,AE$4,TF_Dato,$A268))*2,0)/2)))</f>
        <v/>
      </c>
      <c r="AF268">
        <f>IF(OR(AF$4="",$A268&gt;TODAY()),0,IF(OR(INDEX($B268:$D268,AF$5)="F",AND(AF$6&gt;0,$A268&lt;AF$6),AND(AF$7&gt;0,$A268&gt;AF$7)),0,MAX(0,ROUND((INDEX($E268:$G268,AF$5)-SUMIFS(TF_Timer,TF_Tekniker,AF$4,TF_Dato,$A268))*2,0)/2)))</f>
        <v/>
      </c>
      <c r="AG268">
        <f>IF(OR(AG$4="",$A268&gt;TODAY()),0,IF(OR(INDEX($B268:$D268,AG$5)="F",AND(AG$6&gt;0,$A268&lt;AG$6),AND(AG$7&gt;0,$A268&gt;AG$7)),0,MAX(0,ROUND((INDEX($E268:$G268,AG$5)-SUMIFS(TF_Timer,TF_Tekniker,AG$4,TF_Dato,$A268))*2,0)/2)))</f>
        <v/>
      </c>
      <c r="AH268">
        <f>IF(OR(AH$4="",$A268&gt;TODAY()),0,IF(OR(INDEX($B268:$D268,AH$5)="F",AND(AH$6&gt;0,$A268&lt;AH$6),AND(AH$7&gt;0,$A268&gt;AH$7)),0,MAX(0,ROUND((INDEX($E268:$G268,AH$5)-SUMIFS(TF_Timer,TF_Tekniker,AH$4,TF_Dato,$A268))*2,0)/2)))</f>
        <v/>
      </c>
      <c r="AI268">
        <f>IF(OR(AI$4="",$A268&gt;TODAY()),0,IF(OR(INDEX($B268:$D268,AI$5)="F",AND(AI$6&gt;0,$A268&lt;AI$6),AND(AI$7&gt;0,$A268&gt;AI$7)),0,MAX(0,ROUND((INDEX($E268:$G268,AI$5)-SUMIFS(TF_Timer,TF_Tekniker,AI$4,TF_Dato,$A268))*2,0)/2)))</f>
        <v/>
      </c>
      <c r="AJ268">
        <f>IF(OR(AJ$4="",$A268&gt;TODAY()),0,IF(OR(INDEX($B268:$D268,AJ$5)="F",AND(AJ$6&gt;0,$A268&lt;AJ$6),AND(AJ$7&gt;0,$A268&gt;AJ$7)),0,MAX(0,ROUND((INDEX($E268:$G268,AJ$5)-SUMIFS(TF_Timer,TF_Tekniker,AJ$4,TF_Dato,$A268))*2,0)/2)))</f>
        <v/>
      </c>
      <c r="AK268">
        <f>IF(OR(AK$4="",$A268&gt;TODAY()),0,IF(OR(INDEX($B268:$D268,AK$5)="F",AND(AK$6&gt;0,$A268&lt;AK$6),AND(AK$7&gt;0,$A268&gt;AK$7)),0,MAX(0,ROUND((INDEX($E268:$G268,AK$5)-SUMIFS(TF_Timer,TF_Tekniker,AK$4,TF_Dato,$A268))*2,0)/2)))</f>
        <v/>
      </c>
      <c r="AL268">
        <f>IF(OR(AL$4="",$A268&gt;TODAY()),0,IF(OR(INDEX($B268:$D268,AL$5)="F",AND(AL$6&gt;0,$A268&lt;AL$6),AND(AL$7&gt;0,$A268&gt;AL$7)),0,MAX(0,ROUND((INDEX($E268:$G268,AL$5)-SUMIFS(TF_Timer,TF_Tekniker,AL$4,TF_Dato,$A268))*2,0)/2)))</f>
        <v/>
      </c>
      <c r="AM268">
        <f>IF(OR(AM$4="",$A268&gt;TODAY()),0,IF(OR(INDEX($B268:$D268,AM$5)="F",AND(AM$6&gt;0,$A268&lt;AM$6),AND(AM$7&gt;0,$A268&gt;AM$7)),0,MAX(0,ROUND((INDEX($E268:$G268,AM$5)-SUMIFS(TF_Timer,TF_Tekniker,AM$4,TF_Dato,$A268))*2,0)/2)))</f>
        <v/>
      </c>
      <c r="AN268">
        <f>IF(OR(AN$4="",$A268&gt;TODAY()),0,IF(OR(INDEX($B268:$D268,AN$5)="F",AND(AN$6&gt;0,$A268&lt;AN$6),AND(AN$7&gt;0,$A268&gt;AN$7)),0,MAX(0,ROUND((INDEX($E268:$G268,AN$5)-SUMIFS(TF_Timer,TF_Tekniker,AN$4,TF_Dato,$A268))*2,0)/2)))</f>
        <v/>
      </c>
      <c r="AO268">
        <f>IF(OR(AO$4="",$A268&gt;TODAY()),0,IF(OR(INDEX($B268:$D268,AO$5)="F",AND(AO$6&gt;0,$A268&lt;AO$6),AND(AO$7&gt;0,$A268&gt;AO$7)),0,MAX(0,ROUND((INDEX($E268:$G268,AO$5)-SUMIFS(TF_Timer,TF_Tekniker,AO$4,TF_Dato,$A268))*2,0)/2)))</f>
        <v/>
      </c>
      <c r="AP268">
        <f>IF(OR(AP$4="",$A268&gt;TODAY()),0,IF(OR(INDEX($B268:$D268,AP$5)="F",AND(AP$6&gt;0,$A268&lt;AP$6),AND(AP$7&gt;0,$A268&gt;AP$7)),0,MAX(0,ROUND((INDEX($E268:$G268,AP$5)-SUMIFS(TF_Timer,TF_Tekniker,AP$4,TF_Dato,$A268))*2,0)/2)))</f>
        <v/>
      </c>
      <c r="AQ268">
        <f>IF(OR(AQ$4="",$A268&gt;TODAY()),0,IF(OR(INDEX($B268:$D268,AQ$5)="F",AND(AQ$6&gt;0,$A268&lt;AQ$6),AND(AQ$7&gt;0,$A268&gt;AQ$7)),0,MAX(0,ROUND((INDEX($E268:$G268,AQ$5)-SUMIFS(TF_Timer,TF_Tekniker,AQ$4,TF_Dato,$A268))*2,0)/2)))</f>
        <v/>
      </c>
      <c r="AR268">
        <f>IF(OR(AR$4="",$A268&gt;TODAY()),0,IF(OR(INDEX($B268:$D268,AR$5)="F",AND(AR$6&gt;0,$A268&lt;AR$6),AND(AR$7&gt;0,$A268&gt;AR$7)),0,MAX(0,ROUND((INDEX($E268:$G268,AR$5)-SUMIFS(TF_Timer,TF_Tekniker,AR$4,TF_Dato,$A268))*2,0)/2)))</f>
        <v/>
      </c>
      <c r="AS268">
        <f>IF(OR(AS$4="",$A268&gt;TODAY()),0,IF(OR(INDEX($B268:$D268,AS$5)="F",AND(AS$6&gt;0,$A268&lt;AS$6),AND(AS$7&gt;0,$A268&gt;AS$7)),0,MAX(0,ROUND((INDEX($E268:$G268,AS$5)-SUMIFS(TF_Timer,TF_Tekniker,AS$4,TF_Dato,$A268))*2,0)/2)))</f>
        <v/>
      </c>
      <c r="AT268">
        <f>IF(OR(AT$4="",$A268&gt;TODAY()),0,IF(OR(INDEX($B268:$D268,AT$5)="F",AND(AT$6&gt;0,$A268&lt;AT$6),AND(AT$7&gt;0,$A268&gt;AT$7)),0,MAX(0,ROUND((INDEX($E268:$G268,AT$5)-SUMIFS(TF_Timer,TF_Tekniker,AT$4,TF_Dato,$A268))*2,0)/2)))</f>
        <v/>
      </c>
      <c r="AU268">
        <f>IF(OR(AU$4="",$A268&gt;TODAY()),0,IF(OR(INDEX($B268:$D268,AU$5)="F",AND(AU$6&gt;0,$A268&lt;AU$6),AND(AU$7&gt;0,$A268&gt;AU$7)),0,MAX(0,ROUND((INDEX($E268:$G268,AU$5)-SUMIFS(TF_Timer,TF_Tekniker,AU$4,TF_Dato,$A268))*2,0)/2)))</f>
        <v/>
      </c>
      <c r="AV268">
        <f>IF(OR(AV$4="",$A268&gt;TODAY()),0,IF(OR(INDEX($B268:$D268,AV$5)="F",AND(AV$6&gt;0,$A268&lt;AV$6),AND(AV$7&gt;0,$A268&gt;AV$7)),0,MAX(0,ROUND((INDEX($E268:$G268,AV$5)-SUMIFS(TF_Timer,TF_Tekniker,AV$4,TF_Dato,$A268))*2,0)/2)))</f>
        <v/>
      </c>
      <c r="AW268">
        <f>IF(OR(AW$4="",$A268&gt;TODAY()),0,IF(OR(INDEX($B268:$D268,AW$5)="F",AND(AW$6&gt;0,$A268&lt;AW$6),AND(AW$7&gt;0,$A268&gt;AW$7)),0,MAX(0,ROUND((INDEX($E268:$G268,AW$5)-SUMIFS(TF_Timer,TF_Tekniker,AW$4,TF_Dato,$A268))*2,0)/2)))</f>
        <v/>
      </c>
      <c r="AX268">
        <f>IF(OR(AX$4="",$A268&gt;TODAY()),0,IF(OR(INDEX($B268:$D268,AX$5)="F",AND(AX$6&gt;0,$A268&lt;AX$6),AND(AX$7&gt;0,$A268&gt;AX$7)),0,MAX(0,ROUND((INDEX($E268:$G268,AX$5)-SUMIFS(TF_Timer,TF_Tekniker,AX$4,TF_Dato,$A268))*2,0)/2)))</f>
        <v/>
      </c>
      <c r="AY268">
        <f>IF(OR(AY$4="",$A268&gt;TODAY()),0,IF(OR(INDEX($B268:$D268,AY$5)="F",AND(AY$6&gt;0,$A268&lt;AY$6),AND(AY$7&gt;0,$A268&gt;AY$7)),0,MAX(0,ROUND((INDEX($E268:$G268,AY$5)-SUMIFS(TF_Timer,TF_Tekniker,AY$4,TF_Dato,$A268))*2,0)/2)))</f>
        <v/>
      </c>
      <c r="AZ268">
        <f>IF(OR(AZ$4="",$A268&gt;TODAY()),0,IF(OR(INDEX($B268:$D268,AZ$5)="F",AND(AZ$6&gt;0,$A268&lt;AZ$6),AND(AZ$7&gt;0,$A268&gt;AZ$7)),0,MAX(0,ROUND((INDEX($E268:$G268,AZ$5)-SUMIFS(TF_Timer,TF_Tekniker,AZ$4,TF_Dato,$A268))*2,0)/2)))</f>
        <v/>
      </c>
      <c r="BA268">
        <f>IF(OR(BA$4="",$A268&gt;TODAY()),0,IF(OR(INDEX($B268:$D268,BA$5)="F",AND(BA$6&gt;0,$A268&lt;BA$6),AND(BA$7&gt;0,$A268&gt;BA$7)),0,MAX(0,ROUND((INDEX($E268:$G268,BA$5)-SUMIFS(TF_Timer,TF_Tekniker,BA$4,TF_Dato,$A268))*2,0)/2)))</f>
        <v/>
      </c>
      <c r="BB268">
        <f>IF(OR(BB$4="",$A268&gt;TODAY()),0,IF(OR(INDEX($B268:$D268,BB$5)="F",AND(BB$6&gt;0,$A268&lt;BB$6),AND(BB$7&gt;0,$A268&gt;BB$7)),0,MAX(0,ROUND((INDEX($E268:$G268,BB$5)-SUMIFS(TF_Timer,TF_Tekniker,BB$4,TF_Dato,$A268))*2,0)/2)))</f>
        <v/>
      </c>
      <c r="BC268">
        <f>IF(OR(BC$4="",$A268&gt;TODAY()),0,IF(OR(INDEX($B268:$D268,BC$5)="F",AND(BC$6&gt;0,$A268&lt;BC$6),AND(BC$7&gt;0,$A268&gt;BC$7)),0,MAX(0,ROUND((INDEX($E268:$G268,BC$5)-SUMIFS(TF_Timer,TF_Tekniker,BC$4,TF_Dato,$A268))*2,0)/2)))</f>
        <v/>
      </c>
      <c r="BD268">
        <f>IF(OR(BD$4="",$A268&gt;TODAY()),0,IF(OR(INDEX($B268:$D268,BD$5)="F",AND(BD$6&gt;0,$A268&lt;BD$6),AND(BD$7&gt;0,$A268&gt;BD$7)),0,MAX(0,ROUND((INDEX($E268:$G268,BD$5)-SUMIFS(TF_Timer,TF_Tekniker,BD$4,TF_Dato,$A268))*2,0)/2)))</f>
        <v/>
      </c>
      <c r="BE268">
        <f>IF(OR(BE$4="",$A268&gt;TODAY()),0,IF(OR(INDEX($B268:$D268,BE$5)="F",AND(BE$6&gt;0,$A268&lt;BE$6),AND(BE$7&gt;0,$A268&gt;BE$7)),0,MAX(0,ROUND((INDEX($E268:$G268,BE$5)-SUMIFS(TF_Timer,TF_Tekniker,BE$4,TF_Dato,$A268))*2,0)/2)))</f>
        <v/>
      </c>
      <c r="BF268">
        <f>IF(OR(BF$4="",$A268&gt;TODAY()),0,IF(OR(INDEX($B268:$D268,BF$5)="F",AND(BF$6&gt;0,$A268&lt;BF$6),AND(BF$7&gt;0,$A268&gt;BF$7)),0,MAX(0,ROUND((INDEX($E268:$G268,BF$5)-SUMIFS(TF_Timer,TF_Tekniker,BF$4,TF_Dato,$A268))*2,0)/2)))</f>
        <v/>
      </c>
      <c r="BG268">
        <f>IF(OR(BG$4="",$A268&gt;TODAY()),0,IF(OR(INDEX($B268:$D268,BG$5)="F",AND(BG$6&gt;0,$A268&lt;BG$6),AND(BG$7&gt;0,$A268&gt;BG$7)),0,MAX(0,ROUND((INDEX($E268:$G268,BG$5)-SUMIFS(TF_Timer,TF_Tekniker,BG$4,TF_Dato,$A268))*2,0)/2)))</f>
        <v/>
      </c>
      <c r="BH268">
        <f>IF(OR(BH$4="",$A268&gt;TODAY()),0,IF(OR(INDEX($B268:$D268,BH$5)="F",AND(BH$6&gt;0,$A268&lt;BH$6),AND(BH$7&gt;0,$A268&gt;BH$7)),0,MAX(0,ROUND((INDEX($E268:$G268,BH$5)-SUMIFS(TF_Timer,TF_Tekniker,BH$4,TF_Dato,$A268))*2,0)/2)))</f>
        <v/>
      </c>
      <c r="BI268">
        <f>IF(OR(BI$4="",$A268&gt;TODAY()),0,IF(OR(INDEX($B268:$D268,BI$5)="F",AND(BI$6&gt;0,$A268&lt;BI$6),AND(BI$7&gt;0,$A268&gt;BI$7)),0,MAX(0,ROUND((INDEX($E268:$G268,BI$5)-SUMIFS(TF_Timer,TF_Tekniker,BI$4,TF_Dato,$A268))*2,0)/2)))</f>
        <v/>
      </c>
    </row>
    <row r="269">
      <c r="A269" s="64">
        <f>A268+1</f>
        <v/>
      </c>
      <c r="B269">
        <f>IF(MOD($A269-INDEX(SkiftStart,1),Syklus)&lt;DagK,"K",IF(MOD($A269-INDEX(SkiftStart,1),Syklus)&lt;DagK+DagH,"H",IF(MOD($A269-INDEX(SkiftStart,1),Syklus)&lt;DagK+DagH+DagD,"D","F")))</f>
        <v/>
      </c>
      <c r="C269">
        <f>IF(MOD($A269-INDEX(SkiftStart,2),Syklus)&lt;DagK,"K",IF(MOD($A269-INDEX(SkiftStart,2),Syklus)&lt;DagK+DagH,"H",IF(MOD($A269-INDEX(SkiftStart,2),Syklus)&lt;DagK+DagH+DagD,"D","F")))</f>
        <v/>
      </c>
      <c r="D269">
        <f>IF(MOD($A269-INDEX(SkiftStart,3),Syklus)&lt;DagK,"K",IF(MOD($A269-INDEX(SkiftStart,3),Syklus)&lt;DagK+DagH,"H",IF(MOD($A269-INDEX(SkiftStart,3),Syklus)&lt;DagK+DagH+DagD,"D","F")))</f>
        <v/>
      </c>
      <c r="E269">
        <f>IF(B269="F",0,IF(WEEKDAY($A269,2)=5,INDEX(TimerFr,MATCH(B269,FaseKode,0)),INDEX(TimerMT,MATCH(B269,FaseKode,0))))</f>
        <v/>
      </c>
      <c r="F269">
        <f>IF(C269="F",0,IF(WEEKDAY($A269,2)=5,INDEX(TimerFr,MATCH(C269,FaseKode,0)),INDEX(TimerMT,MATCH(C269,FaseKode,0))))</f>
        <v/>
      </c>
      <c r="G269">
        <f>IF(D269="F",0,IF(WEEKDAY($A269,2)=5,INDEX(TimerFr,MATCH(D269,FaseKode,0)),INDEX(TimerMT,MATCH(D269,FaseKode,0))))</f>
        <v/>
      </c>
      <c r="H269">
        <f>IF(OR(H$4="",$A269&gt;TODAY()),0,IF(OR(INDEX($B269:$D269,H$5)="F",AND(H$6&gt;0,$A269&lt;H$6),AND(H$7&gt;0,$A269&gt;H$7)),0,MAX(0,ROUND((INDEX($E269:$G269,H$5)-SUMIFS(TF_Timer,TF_Tekniker,H$4,TF_Dato,$A269))*2,0)/2)))</f>
        <v/>
      </c>
      <c r="I269">
        <f>IF(OR(I$4="",$A269&gt;TODAY()),0,IF(OR(INDEX($B269:$D269,I$5)="F",AND(I$6&gt;0,$A269&lt;I$6),AND(I$7&gt;0,$A269&gt;I$7)),0,MAX(0,ROUND((INDEX($E269:$G269,I$5)-SUMIFS(TF_Timer,TF_Tekniker,I$4,TF_Dato,$A269))*2,0)/2)))</f>
        <v/>
      </c>
      <c r="J269">
        <f>IF(OR(J$4="",$A269&gt;TODAY()),0,IF(OR(INDEX($B269:$D269,J$5)="F",AND(J$6&gt;0,$A269&lt;J$6),AND(J$7&gt;0,$A269&gt;J$7)),0,MAX(0,ROUND((INDEX($E269:$G269,J$5)-SUMIFS(TF_Timer,TF_Tekniker,J$4,TF_Dato,$A269))*2,0)/2)))</f>
        <v/>
      </c>
      <c r="K269">
        <f>IF(OR(K$4="",$A269&gt;TODAY()),0,IF(OR(INDEX($B269:$D269,K$5)="F",AND(K$6&gt;0,$A269&lt;K$6),AND(K$7&gt;0,$A269&gt;K$7)),0,MAX(0,ROUND((INDEX($E269:$G269,K$5)-SUMIFS(TF_Timer,TF_Tekniker,K$4,TF_Dato,$A269))*2,0)/2)))</f>
        <v/>
      </c>
      <c r="L269">
        <f>IF(OR(L$4="",$A269&gt;TODAY()),0,IF(OR(INDEX($B269:$D269,L$5)="F",AND(L$6&gt;0,$A269&lt;L$6),AND(L$7&gt;0,$A269&gt;L$7)),0,MAX(0,ROUND((INDEX($E269:$G269,L$5)-SUMIFS(TF_Timer,TF_Tekniker,L$4,TF_Dato,$A269))*2,0)/2)))</f>
        <v/>
      </c>
      <c r="M269">
        <f>IF(OR(M$4="",$A269&gt;TODAY()),0,IF(OR(INDEX($B269:$D269,M$5)="F",AND(M$6&gt;0,$A269&lt;M$6),AND(M$7&gt;0,$A269&gt;M$7)),0,MAX(0,ROUND((INDEX($E269:$G269,M$5)-SUMIFS(TF_Timer,TF_Tekniker,M$4,TF_Dato,$A269))*2,0)/2)))</f>
        <v/>
      </c>
      <c r="N269">
        <f>IF(OR(N$4="",$A269&gt;TODAY()),0,IF(OR(INDEX($B269:$D269,N$5)="F",AND(N$6&gt;0,$A269&lt;N$6),AND(N$7&gt;0,$A269&gt;N$7)),0,MAX(0,ROUND((INDEX($E269:$G269,N$5)-SUMIFS(TF_Timer,TF_Tekniker,N$4,TF_Dato,$A269))*2,0)/2)))</f>
        <v/>
      </c>
      <c r="O269">
        <f>IF(OR(O$4="",$A269&gt;TODAY()),0,IF(OR(INDEX($B269:$D269,O$5)="F",AND(O$6&gt;0,$A269&lt;O$6),AND(O$7&gt;0,$A269&gt;O$7)),0,MAX(0,ROUND((INDEX($E269:$G269,O$5)-SUMIFS(TF_Timer,TF_Tekniker,O$4,TF_Dato,$A269))*2,0)/2)))</f>
        <v/>
      </c>
      <c r="P269">
        <f>IF(OR(P$4="",$A269&gt;TODAY()),0,IF(OR(INDEX($B269:$D269,P$5)="F",AND(P$6&gt;0,$A269&lt;P$6),AND(P$7&gt;0,$A269&gt;P$7)),0,MAX(0,ROUND((INDEX($E269:$G269,P$5)-SUMIFS(TF_Timer,TF_Tekniker,P$4,TF_Dato,$A269))*2,0)/2)))</f>
        <v/>
      </c>
      <c r="Q269">
        <f>IF(OR(Q$4="",$A269&gt;TODAY()),0,IF(OR(INDEX($B269:$D269,Q$5)="F",AND(Q$6&gt;0,$A269&lt;Q$6),AND(Q$7&gt;0,$A269&gt;Q$7)),0,MAX(0,ROUND((INDEX($E269:$G269,Q$5)-SUMIFS(TF_Timer,TF_Tekniker,Q$4,TF_Dato,$A269))*2,0)/2)))</f>
        <v/>
      </c>
      <c r="R269">
        <f>IF(OR(R$4="",$A269&gt;TODAY()),0,IF(OR(INDEX($B269:$D269,R$5)="F",AND(R$6&gt;0,$A269&lt;R$6),AND(R$7&gt;0,$A269&gt;R$7)),0,MAX(0,ROUND((INDEX($E269:$G269,R$5)-SUMIFS(TF_Timer,TF_Tekniker,R$4,TF_Dato,$A269))*2,0)/2)))</f>
        <v/>
      </c>
      <c r="S269">
        <f>IF(OR(S$4="",$A269&gt;TODAY()),0,IF(OR(INDEX($B269:$D269,S$5)="F",AND(S$6&gt;0,$A269&lt;S$6),AND(S$7&gt;0,$A269&gt;S$7)),0,MAX(0,ROUND((INDEX($E269:$G269,S$5)-SUMIFS(TF_Timer,TF_Tekniker,S$4,TF_Dato,$A269))*2,0)/2)))</f>
        <v/>
      </c>
      <c r="T269">
        <f>IF(OR(T$4="",$A269&gt;TODAY()),0,IF(OR(INDEX($B269:$D269,T$5)="F",AND(T$6&gt;0,$A269&lt;T$6),AND(T$7&gt;0,$A269&gt;T$7)),0,MAX(0,ROUND((INDEX($E269:$G269,T$5)-SUMIFS(TF_Timer,TF_Tekniker,T$4,TF_Dato,$A269))*2,0)/2)))</f>
        <v/>
      </c>
      <c r="U269">
        <f>IF(OR(U$4="",$A269&gt;TODAY()),0,IF(OR(INDEX($B269:$D269,U$5)="F",AND(U$6&gt;0,$A269&lt;U$6),AND(U$7&gt;0,$A269&gt;U$7)),0,MAX(0,ROUND((INDEX($E269:$G269,U$5)-SUMIFS(TF_Timer,TF_Tekniker,U$4,TF_Dato,$A269))*2,0)/2)))</f>
        <v/>
      </c>
      <c r="V269">
        <f>IF(OR(V$4="",$A269&gt;TODAY()),0,IF(OR(INDEX($B269:$D269,V$5)="F",AND(V$6&gt;0,$A269&lt;V$6),AND(V$7&gt;0,$A269&gt;V$7)),0,MAX(0,ROUND((INDEX($E269:$G269,V$5)-SUMIFS(TF_Timer,TF_Tekniker,V$4,TF_Dato,$A269))*2,0)/2)))</f>
        <v/>
      </c>
      <c r="W269">
        <f>IF(OR(W$4="",$A269&gt;TODAY()),0,IF(OR(INDEX($B269:$D269,W$5)="F",AND(W$6&gt;0,$A269&lt;W$6),AND(W$7&gt;0,$A269&gt;W$7)),0,MAX(0,ROUND((INDEX($E269:$G269,W$5)-SUMIFS(TF_Timer,TF_Tekniker,W$4,TF_Dato,$A269))*2,0)/2)))</f>
        <v/>
      </c>
      <c r="X269">
        <f>IF(OR(X$4="",$A269&gt;TODAY()),0,IF(OR(INDEX($B269:$D269,X$5)="F",AND(X$6&gt;0,$A269&lt;X$6),AND(X$7&gt;0,$A269&gt;X$7)),0,MAX(0,ROUND((INDEX($E269:$G269,X$5)-SUMIFS(TF_Timer,TF_Tekniker,X$4,TF_Dato,$A269))*2,0)/2)))</f>
        <v/>
      </c>
      <c r="Y269">
        <f>IF(OR(Y$4="",$A269&gt;TODAY()),0,IF(OR(INDEX($B269:$D269,Y$5)="F",AND(Y$6&gt;0,$A269&lt;Y$6),AND(Y$7&gt;0,$A269&gt;Y$7)),0,MAX(0,ROUND((INDEX($E269:$G269,Y$5)-SUMIFS(TF_Timer,TF_Tekniker,Y$4,TF_Dato,$A269))*2,0)/2)))</f>
        <v/>
      </c>
      <c r="Z269">
        <f>IF(OR(Z$4="",$A269&gt;TODAY()),0,IF(OR(INDEX($B269:$D269,Z$5)="F",AND(Z$6&gt;0,$A269&lt;Z$6),AND(Z$7&gt;0,$A269&gt;Z$7)),0,MAX(0,ROUND((INDEX($E269:$G269,Z$5)-SUMIFS(TF_Timer,TF_Tekniker,Z$4,TF_Dato,$A269))*2,0)/2)))</f>
        <v/>
      </c>
      <c r="AA269">
        <f>IF(OR(AA$4="",$A269&gt;TODAY()),0,IF(OR(INDEX($B269:$D269,AA$5)="F",AND(AA$6&gt;0,$A269&lt;AA$6),AND(AA$7&gt;0,$A269&gt;AA$7)),0,MAX(0,ROUND((INDEX($E269:$G269,AA$5)-SUMIFS(TF_Timer,TF_Tekniker,AA$4,TF_Dato,$A269))*2,0)/2)))</f>
        <v/>
      </c>
      <c r="AB269">
        <f>IF(OR(AB$4="",$A269&gt;TODAY()),0,IF(OR(INDEX($B269:$D269,AB$5)="F",AND(AB$6&gt;0,$A269&lt;AB$6),AND(AB$7&gt;0,$A269&gt;AB$7)),0,MAX(0,ROUND((INDEX($E269:$G269,AB$5)-SUMIFS(TF_Timer,TF_Tekniker,AB$4,TF_Dato,$A269))*2,0)/2)))</f>
        <v/>
      </c>
      <c r="AC269">
        <f>IF(OR(AC$4="",$A269&gt;TODAY()),0,IF(OR(INDEX($B269:$D269,AC$5)="F",AND(AC$6&gt;0,$A269&lt;AC$6),AND(AC$7&gt;0,$A269&gt;AC$7)),0,MAX(0,ROUND((INDEX($E269:$G269,AC$5)-SUMIFS(TF_Timer,TF_Tekniker,AC$4,TF_Dato,$A269))*2,0)/2)))</f>
        <v/>
      </c>
      <c r="AD269">
        <f>IF(OR(AD$4="",$A269&gt;TODAY()),0,IF(OR(INDEX($B269:$D269,AD$5)="F",AND(AD$6&gt;0,$A269&lt;AD$6),AND(AD$7&gt;0,$A269&gt;AD$7)),0,MAX(0,ROUND((INDEX($E269:$G269,AD$5)-SUMIFS(TF_Timer,TF_Tekniker,AD$4,TF_Dato,$A269))*2,0)/2)))</f>
        <v/>
      </c>
      <c r="AE269">
        <f>IF(OR(AE$4="",$A269&gt;TODAY()),0,IF(OR(INDEX($B269:$D269,AE$5)="F",AND(AE$6&gt;0,$A269&lt;AE$6),AND(AE$7&gt;0,$A269&gt;AE$7)),0,MAX(0,ROUND((INDEX($E269:$G269,AE$5)-SUMIFS(TF_Timer,TF_Tekniker,AE$4,TF_Dato,$A269))*2,0)/2)))</f>
        <v/>
      </c>
      <c r="AF269">
        <f>IF(OR(AF$4="",$A269&gt;TODAY()),0,IF(OR(INDEX($B269:$D269,AF$5)="F",AND(AF$6&gt;0,$A269&lt;AF$6),AND(AF$7&gt;0,$A269&gt;AF$7)),0,MAX(0,ROUND((INDEX($E269:$G269,AF$5)-SUMIFS(TF_Timer,TF_Tekniker,AF$4,TF_Dato,$A269))*2,0)/2)))</f>
        <v/>
      </c>
      <c r="AG269">
        <f>IF(OR(AG$4="",$A269&gt;TODAY()),0,IF(OR(INDEX($B269:$D269,AG$5)="F",AND(AG$6&gt;0,$A269&lt;AG$6),AND(AG$7&gt;0,$A269&gt;AG$7)),0,MAX(0,ROUND((INDEX($E269:$G269,AG$5)-SUMIFS(TF_Timer,TF_Tekniker,AG$4,TF_Dato,$A269))*2,0)/2)))</f>
        <v/>
      </c>
      <c r="AH269">
        <f>IF(OR(AH$4="",$A269&gt;TODAY()),0,IF(OR(INDEX($B269:$D269,AH$5)="F",AND(AH$6&gt;0,$A269&lt;AH$6),AND(AH$7&gt;0,$A269&gt;AH$7)),0,MAX(0,ROUND((INDEX($E269:$G269,AH$5)-SUMIFS(TF_Timer,TF_Tekniker,AH$4,TF_Dato,$A269))*2,0)/2)))</f>
        <v/>
      </c>
      <c r="AI269">
        <f>IF(OR(AI$4="",$A269&gt;TODAY()),0,IF(OR(INDEX($B269:$D269,AI$5)="F",AND(AI$6&gt;0,$A269&lt;AI$6),AND(AI$7&gt;0,$A269&gt;AI$7)),0,MAX(0,ROUND((INDEX($E269:$G269,AI$5)-SUMIFS(TF_Timer,TF_Tekniker,AI$4,TF_Dato,$A269))*2,0)/2)))</f>
        <v/>
      </c>
      <c r="AJ269">
        <f>IF(OR(AJ$4="",$A269&gt;TODAY()),0,IF(OR(INDEX($B269:$D269,AJ$5)="F",AND(AJ$6&gt;0,$A269&lt;AJ$6),AND(AJ$7&gt;0,$A269&gt;AJ$7)),0,MAX(0,ROUND((INDEX($E269:$G269,AJ$5)-SUMIFS(TF_Timer,TF_Tekniker,AJ$4,TF_Dato,$A269))*2,0)/2)))</f>
        <v/>
      </c>
      <c r="AK269">
        <f>IF(OR(AK$4="",$A269&gt;TODAY()),0,IF(OR(INDEX($B269:$D269,AK$5)="F",AND(AK$6&gt;0,$A269&lt;AK$6),AND(AK$7&gt;0,$A269&gt;AK$7)),0,MAX(0,ROUND((INDEX($E269:$G269,AK$5)-SUMIFS(TF_Timer,TF_Tekniker,AK$4,TF_Dato,$A269))*2,0)/2)))</f>
        <v/>
      </c>
      <c r="AL269">
        <f>IF(OR(AL$4="",$A269&gt;TODAY()),0,IF(OR(INDEX($B269:$D269,AL$5)="F",AND(AL$6&gt;0,$A269&lt;AL$6),AND(AL$7&gt;0,$A269&gt;AL$7)),0,MAX(0,ROUND((INDEX($E269:$G269,AL$5)-SUMIFS(TF_Timer,TF_Tekniker,AL$4,TF_Dato,$A269))*2,0)/2)))</f>
        <v/>
      </c>
      <c r="AM269">
        <f>IF(OR(AM$4="",$A269&gt;TODAY()),0,IF(OR(INDEX($B269:$D269,AM$5)="F",AND(AM$6&gt;0,$A269&lt;AM$6),AND(AM$7&gt;0,$A269&gt;AM$7)),0,MAX(0,ROUND((INDEX($E269:$G269,AM$5)-SUMIFS(TF_Timer,TF_Tekniker,AM$4,TF_Dato,$A269))*2,0)/2)))</f>
        <v/>
      </c>
      <c r="AN269">
        <f>IF(OR(AN$4="",$A269&gt;TODAY()),0,IF(OR(INDEX($B269:$D269,AN$5)="F",AND(AN$6&gt;0,$A269&lt;AN$6),AND(AN$7&gt;0,$A269&gt;AN$7)),0,MAX(0,ROUND((INDEX($E269:$G269,AN$5)-SUMIFS(TF_Timer,TF_Tekniker,AN$4,TF_Dato,$A269))*2,0)/2)))</f>
        <v/>
      </c>
      <c r="AO269">
        <f>IF(OR(AO$4="",$A269&gt;TODAY()),0,IF(OR(INDEX($B269:$D269,AO$5)="F",AND(AO$6&gt;0,$A269&lt;AO$6),AND(AO$7&gt;0,$A269&gt;AO$7)),0,MAX(0,ROUND((INDEX($E269:$G269,AO$5)-SUMIFS(TF_Timer,TF_Tekniker,AO$4,TF_Dato,$A269))*2,0)/2)))</f>
        <v/>
      </c>
      <c r="AP269">
        <f>IF(OR(AP$4="",$A269&gt;TODAY()),0,IF(OR(INDEX($B269:$D269,AP$5)="F",AND(AP$6&gt;0,$A269&lt;AP$6),AND(AP$7&gt;0,$A269&gt;AP$7)),0,MAX(0,ROUND((INDEX($E269:$G269,AP$5)-SUMIFS(TF_Timer,TF_Tekniker,AP$4,TF_Dato,$A269))*2,0)/2)))</f>
        <v/>
      </c>
      <c r="AQ269">
        <f>IF(OR(AQ$4="",$A269&gt;TODAY()),0,IF(OR(INDEX($B269:$D269,AQ$5)="F",AND(AQ$6&gt;0,$A269&lt;AQ$6),AND(AQ$7&gt;0,$A269&gt;AQ$7)),0,MAX(0,ROUND((INDEX($E269:$G269,AQ$5)-SUMIFS(TF_Timer,TF_Tekniker,AQ$4,TF_Dato,$A269))*2,0)/2)))</f>
        <v/>
      </c>
      <c r="AR269">
        <f>IF(OR(AR$4="",$A269&gt;TODAY()),0,IF(OR(INDEX($B269:$D269,AR$5)="F",AND(AR$6&gt;0,$A269&lt;AR$6),AND(AR$7&gt;0,$A269&gt;AR$7)),0,MAX(0,ROUND((INDEX($E269:$G269,AR$5)-SUMIFS(TF_Timer,TF_Tekniker,AR$4,TF_Dato,$A269))*2,0)/2)))</f>
        <v/>
      </c>
      <c r="AS269">
        <f>IF(OR(AS$4="",$A269&gt;TODAY()),0,IF(OR(INDEX($B269:$D269,AS$5)="F",AND(AS$6&gt;0,$A269&lt;AS$6),AND(AS$7&gt;0,$A269&gt;AS$7)),0,MAX(0,ROUND((INDEX($E269:$G269,AS$5)-SUMIFS(TF_Timer,TF_Tekniker,AS$4,TF_Dato,$A269))*2,0)/2)))</f>
        <v/>
      </c>
      <c r="AT269">
        <f>IF(OR(AT$4="",$A269&gt;TODAY()),0,IF(OR(INDEX($B269:$D269,AT$5)="F",AND(AT$6&gt;0,$A269&lt;AT$6),AND(AT$7&gt;0,$A269&gt;AT$7)),0,MAX(0,ROUND((INDEX($E269:$G269,AT$5)-SUMIFS(TF_Timer,TF_Tekniker,AT$4,TF_Dato,$A269))*2,0)/2)))</f>
        <v/>
      </c>
      <c r="AU269">
        <f>IF(OR(AU$4="",$A269&gt;TODAY()),0,IF(OR(INDEX($B269:$D269,AU$5)="F",AND(AU$6&gt;0,$A269&lt;AU$6),AND(AU$7&gt;0,$A269&gt;AU$7)),0,MAX(0,ROUND((INDEX($E269:$G269,AU$5)-SUMIFS(TF_Timer,TF_Tekniker,AU$4,TF_Dato,$A269))*2,0)/2)))</f>
        <v/>
      </c>
      <c r="AV269">
        <f>IF(OR(AV$4="",$A269&gt;TODAY()),0,IF(OR(INDEX($B269:$D269,AV$5)="F",AND(AV$6&gt;0,$A269&lt;AV$6),AND(AV$7&gt;0,$A269&gt;AV$7)),0,MAX(0,ROUND((INDEX($E269:$G269,AV$5)-SUMIFS(TF_Timer,TF_Tekniker,AV$4,TF_Dato,$A269))*2,0)/2)))</f>
        <v/>
      </c>
      <c r="AW269">
        <f>IF(OR(AW$4="",$A269&gt;TODAY()),0,IF(OR(INDEX($B269:$D269,AW$5)="F",AND(AW$6&gt;0,$A269&lt;AW$6),AND(AW$7&gt;0,$A269&gt;AW$7)),0,MAX(0,ROUND((INDEX($E269:$G269,AW$5)-SUMIFS(TF_Timer,TF_Tekniker,AW$4,TF_Dato,$A269))*2,0)/2)))</f>
        <v/>
      </c>
      <c r="AX269">
        <f>IF(OR(AX$4="",$A269&gt;TODAY()),0,IF(OR(INDEX($B269:$D269,AX$5)="F",AND(AX$6&gt;0,$A269&lt;AX$6),AND(AX$7&gt;0,$A269&gt;AX$7)),0,MAX(0,ROUND((INDEX($E269:$G269,AX$5)-SUMIFS(TF_Timer,TF_Tekniker,AX$4,TF_Dato,$A269))*2,0)/2)))</f>
        <v/>
      </c>
      <c r="AY269">
        <f>IF(OR(AY$4="",$A269&gt;TODAY()),0,IF(OR(INDEX($B269:$D269,AY$5)="F",AND(AY$6&gt;0,$A269&lt;AY$6),AND(AY$7&gt;0,$A269&gt;AY$7)),0,MAX(0,ROUND((INDEX($E269:$G269,AY$5)-SUMIFS(TF_Timer,TF_Tekniker,AY$4,TF_Dato,$A269))*2,0)/2)))</f>
        <v/>
      </c>
      <c r="AZ269">
        <f>IF(OR(AZ$4="",$A269&gt;TODAY()),0,IF(OR(INDEX($B269:$D269,AZ$5)="F",AND(AZ$6&gt;0,$A269&lt;AZ$6),AND(AZ$7&gt;0,$A269&gt;AZ$7)),0,MAX(0,ROUND((INDEX($E269:$G269,AZ$5)-SUMIFS(TF_Timer,TF_Tekniker,AZ$4,TF_Dato,$A269))*2,0)/2)))</f>
        <v/>
      </c>
      <c r="BA269">
        <f>IF(OR(BA$4="",$A269&gt;TODAY()),0,IF(OR(INDEX($B269:$D269,BA$5)="F",AND(BA$6&gt;0,$A269&lt;BA$6),AND(BA$7&gt;0,$A269&gt;BA$7)),0,MAX(0,ROUND((INDEX($E269:$G269,BA$5)-SUMIFS(TF_Timer,TF_Tekniker,BA$4,TF_Dato,$A269))*2,0)/2)))</f>
        <v/>
      </c>
      <c r="BB269">
        <f>IF(OR(BB$4="",$A269&gt;TODAY()),0,IF(OR(INDEX($B269:$D269,BB$5)="F",AND(BB$6&gt;0,$A269&lt;BB$6),AND(BB$7&gt;0,$A269&gt;BB$7)),0,MAX(0,ROUND((INDEX($E269:$G269,BB$5)-SUMIFS(TF_Timer,TF_Tekniker,BB$4,TF_Dato,$A269))*2,0)/2)))</f>
        <v/>
      </c>
      <c r="BC269">
        <f>IF(OR(BC$4="",$A269&gt;TODAY()),0,IF(OR(INDEX($B269:$D269,BC$5)="F",AND(BC$6&gt;0,$A269&lt;BC$6),AND(BC$7&gt;0,$A269&gt;BC$7)),0,MAX(0,ROUND((INDEX($E269:$G269,BC$5)-SUMIFS(TF_Timer,TF_Tekniker,BC$4,TF_Dato,$A269))*2,0)/2)))</f>
        <v/>
      </c>
      <c r="BD269">
        <f>IF(OR(BD$4="",$A269&gt;TODAY()),0,IF(OR(INDEX($B269:$D269,BD$5)="F",AND(BD$6&gt;0,$A269&lt;BD$6),AND(BD$7&gt;0,$A269&gt;BD$7)),0,MAX(0,ROUND((INDEX($E269:$G269,BD$5)-SUMIFS(TF_Timer,TF_Tekniker,BD$4,TF_Dato,$A269))*2,0)/2)))</f>
        <v/>
      </c>
      <c r="BE269">
        <f>IF(OR(BE$4="",$A269&gt;TODAY()),0,IF(OR(INDEX($B269:$D269,BE$5)="F",AND(BE$6&gt;0,$A269&lt;BE$6),AND(BE$7&gt;0,$A269&gt;BE$7)),0,MAX(0,ROUND((INDEX($E269:$G269,BE$5)-SUMIFS(TF_Timer,TF_Tekniker,BE$4,TF_Dato,$A269))*2,0)/2)))</f>
        <v/>
      </c>
      <c r="BF269">
        <f>IF(OR(BF$4="",$A269&gt;TODAY()),0,IF(OR(INDEX($B269:$D269,BF$5)="F",AND(BF$6&gt;0,$A269&lt;BF$6),AND(BF$7&gt;0,$A269&gt;BF$7)),0,MAX(0,ROUND((INDEX($E269:$G269,BF$5)-SUMIFS(TF_Timer,TF_Tekniker,BF$4,TF_Dato,$A269))*2,0)/2)))</f>
        <v/>
      </c>
      <c r="BG269">
        <f>IF(OR(BG$4="",$A269&gt;TODAY()),0,IF(OR(INDEX($B269:$D269,BG$5)="F",AND(BG$6&gt;0,$A269&lt;BG$6),AND(BG$7&gt;0,$A269&gt;BG$7)),0,MAX(0,ROUND((INDEX($E269:$G269,BG$5)-SUMIFS(TF_Timer,TF_Tekniker,BG$4,TF_Dato,$A269))*2,0)/2)))</f>
        <v/>
      </c>
      <c r="BH269">
        <f>IF(OR(BH$4="",$A269&gt;TODAY()),0,IF(OR(INDEX($B269:$D269,BH$5)="F",AND(BH$6&gt;0,$A269&lt;BH$6),AND(BH$7&gt;0,$A269&gt;BH$7)),0,MAX(0,ROUND((INDEX($E269:$G269,BH$5)-SUMIFS(TF_Timer,TF_Tekniker,BH$4,TF_Dato,$A269))*2,0)/2)))</f>
        <v/>
      </c>
      <c r="BI269">
        <f>IF(OR(BI$4="",$A269&gt;TODAY()),0,IF(OR(INDEX($B269:$D269,BI$5)="F",AND(BI$6&gt;0,$A269&lt;BI$6),AND(BI$7&gt;0,$A269&gt;BI$7)),0,MAX(0,ROUND((INDEX($E269:$G269,BI$5)-SUMIFS(TF_Timer,TF_Tekniker,BI$4,TF_Dato,$A269))*2,0)/2)))</f>
        <v/>
      </c>
    </row>
    <row r="270">
      <c r="A270" s="64">
        <f>A269+1</f>
        <v/>
      </c>
      <c r="B270">
        <f>IF(MOD($A270-INDEX(SkiftStart,1),Syklus)&lt;DagK,"K",IF(MOD($A270-INDEX(SkiftStart,1),Syklus)&lt;DagK+DagH,"H",IF(MOD($A270-INDEX(SkiftStart,1),Syklus)&lt;DagK+DagH+DagD,"D","F")))</f>
        <v/>
      </c>
      <c r="C270">
        <f>IF(MOD($A270-INDEX(SkiftStart,2),Syklus)&lt;DagK,"K",IF(MOD($A270-INDEX(SkiftStart,2),Syklus)&lt;DagK+DagH,"H",IF(MOD($A270-INDEX(SkiftStart,2),Syklus)&lt;DagK+DagH+DagD,"D","F")))</f>
        <v/>
      </c>
      <c r="D270">
        <f>IF(MOD($A270-INDEX(SkiftStart,3),Syklus)&lt;DagK,"K",IF(MOD($A270-INDEX(SkiftStart,3),Syklus)&lt;DagK+DagH,"H",IF(MOD($A270-INDEX(SkiftStart,3),Syklus)&lt;DagK+DagH+DagD,"D","F")))</f>
        <v/>
      </c>
      <c r="E270">
        <f>IF(B270="F",0,IF(WEEKDAY($A270,2)=5,INDEX(TimerFr,MATCH(B270,FaseKode,0)),INDEX(TimerMT,MATCH(B270,FaseKode,0))))</f>
        <v/>
      </c>
      <c r="F270">
        <f>IF(C270="F",0,IF(WEEKDAY($A270,2)=5,INDEX(TimerFr,MATCH(C270,FaseKode,0)),INDEX(TimerMT,MATCH(C270,FaseKode,0))))</f>
        <v/>
      </c>
      <c r="G270">
        <f>IF(D270="F",0,IF(WEEKDAY($A270,2)=5,INDEX(TimerFr,MATCH(D270,FaseKode,0)),INDEX(TimerMT,MATCH(D270,FaseKode,0))))</f>
        <v/>
      </c>
      <c r="H270">
        <f>IF(OR(H$4="",$A270&gt;TODAY()),0,IF(OR(INDEX($B270:$D270,H$5)="F",AND(H$6&gt;0,$A270&lt;H$6),AND(H$7&gt;0,$A270&gt;H$7)),0,MAX(0,ROUND((INDEX($E270:$G270,H$5)-SUMIFS(TF_Timer,TF_Tekniker,H$4,TF_Dato,$A270))*2,0)/2)))</f>
        <v/>
      </c>
      <c r="I270">
        <f>IF(OR(I$4="",$A270&gt;TODAY()),0,IF(OR(INDEX($B270:$D270,I$5)="F",AND(I$6&gt;0,$A270&lt;I$6),AND(I$7&gt;0,$A270&gt;I$7)),0,MAX(0,ROUND((INDEX($E270:$G270,I$5)-SUMIFS(TF_Timer,TF_Tekniker,I$4,TF_Dato,$A270))*2,0)/2)))</f>
        <v/>
      </c>
      <c r="J270">
        <f>IF(OR(J$4="",$A270&gt;TODAY()),0,IF(OR(INDEX($B270:$D270,J$5)="F",AND(J$6&gt;0,$A270&lt;J$6),AND(J$7&gt;0,$A270&gt;J$7)),0,MAX(0,ROUND((INDEX($E270:$G270,J$5)-SUMIFS(TF_Timer,TF_Tekniker,J$4,TF_Dato,$A270))*2,0)/2)))</f>
        <v/>
      </c>
      <c r="K270">
        <f>IF(OR(K$4="",$A270&gt;TODAY()),0,IF(OR(INDEX($B270:$D270,K$5)="F",AND(K$6&gt;0,$A270&lt;K$6),AND(K$7&gt;0,$A270&gt;K$7)),0,MAX(0,ROUND((INDEX($E270:$G270,K$5)-SUMIFS(TF_Timer,TF_Tekniker,K$4,TF_Dato,$A270))*2,0)/2)))</f>
        <v/>
      </c>
      <c r="L270">
        <f>IF(OR(L$4="",$A270&gt;TODAY()),0,IF(OR(INDEX($B270:$D270,L$5)="F",AND(L$6&gt;0,$A270&lt;L$6),AND(L$7&gt;0,$A270&gt;L$7)),0,MAX(0,ROUND((INDEX($E270:$G270,L$5)-SUMIFS(TF_Timer,TF_Tekniker,L$4,TF_Dato,$A270))*2,0)/2)))</f>
        <v/>
      </c>
      <c r="M270">
        <f>IF(OR(M$4="",$A270&gt;TODAY()),0,IF(OR(INDEX($B270:$D270,M$5)="F",AND(M$6&gt;0,$A270&lt;M$6),AND(M$7&gt;0,$A270&gt;M$7)),0,MAX(0,ROUND((INDEX($E270:$G270,M$5)-SUMIFS(TF_Timer,TF_Tekniker,M$4,TF_Dato,$A270))*2,0)/2)))</f>
        <v/>
      </c>
      <c r="N270">
        <f>IF(OR(N$4="",$A270&gt;TODAY()),0,IF(OR(INDEX($B270:$D270,N$5)="F",AND(N$6&gt;0,$A270&lt;N$6),AND(N$7&gt;0,$A270&gt;N$7)),0,MAX(0,ROUND((INDEX($E270:$G270,N$5)-SUMIFS(TF_Timer,TF_Tekniker,N$4,TF_Dato,$A270))*2,0)/2)))</f>
        <v/>
      </c>
      <c r="O270">
        <f>IF(OR(O$4="",$A270&gt;TODAY()),0,IF(OR(INDEX($B270:$D270,O$5)="F",AND(O$6&gt;0,$A270&lt;O$6),AND(O$7&gt;0,$A270&gt;O$7)),0,MAX(0,ROUND((INDEX($E270:$G270,O$5)-SUMIFS(TF_Timer,TF_Tekniker,O$4,TF_Dato,$A270))*2,0)/2)))</f>
        <v/>
      </c>
      <c r="P270">
        <f>IF(OR(P$4="",$A270&gt;TODAY()),0,IF(OR(INDEX($B270:$D270,P$5)="F",AND(P$6&gt;0,$A270&lt;P$6),AND(P$7&gt;0,$A270&gt;P$7)),0,MAX(0,ROUND((INDEX($E270:$G270,P$5)-SUMIFS(TF_Timer,TF_Tekniker,P$4,TF_Dato,$A270))*2,0)/2)))</f>
        <v/>
      </c>
      <c r="Q270">
        <f>IF(OR(Q$4="",$A270&gt;TODAY()),0,IF(OR(INDEX($B270:$D270,Q$5)="F",AND(Q$6&gt;0,$A270&lt;Q$6),AND(Q$7&gt;0,$A270&gt;Q$7)),0,MAX(0,ROUND((INDEX($E270:$G270,Q$5)-SUMIFS(TF_Timer,TF_Tekniker,Q$4,TF_Dato,$A270))*2,0)/2)))</f>
        <v/>
      </c>
      <c r="R270">
        <f>IF(OR(R$4="",$A270&gt;TODAY()),0,IF(OR(INDEX($B270:$D270,R$5)="F",AND(R$6&gt;0,$A270&lt;R$6),AND(R$7&gt;0,$A270&gt;R$7)),0,MAX(0,ROUND((INDEX($E270:$G270,R$5)-SUMIFS(TF_Timer,TF_Tekniker,R$4,TF_Dato,$A270))*2,0)/2)))</f>
        <v/>
      </c>
      <c r="S270">
        <f>IF(OR(S$4="",$A270&gt;TODAY()),0,IF(OR(INDEX($B270:$D270,S$5)="F",AND(S$6&gt;0,$A270&lt;S$6),AND(S$7&gt;0,$A270&gt;S$7)),0,MAX(0,ROUND((INDEX($E270:$G270,S$5)-SUMIFS(TF_Timer,TF_Tekniker,S$4,TF_Dato,$A270))*2,0)/2)))</f>
        <v/>
      </c>
      <c r="T270">
        <f>IF(OR(T$4="",$A270&gt;TODAY()),0,IF(OR(INDEX($B270:$D270,T$5)="F",AND(T$6&gt;0,$A270&lt;T$6),AND(T$7&gt;0,$A270&gt;T$7)),0,MAX(0,ROUND((INDEX($E270:$G270,T$5)-SUMIFS(TF_Timer,TF_Tekniker,T$4,TF_Dato,$A270))*2,0)/2)))</f>
        <v/>
      </c>
      <c r="U270">
        <f>IF(OR(U$4="",$A270&gt;TODAY()),0,IF(OR(INDEX($B270:$D270,U$5)="F",AND(U$6&gt;0,$A270&lt;U$6),AND(U$7&gt;0,$A270&gt;U$7)),0,MAX(0,ROUND((INDEX($E270:$G270,U$5)-SUMIFS(TF_Timer,TF_Tekniker,U$4,TF_Dato,$A270))*2,0)/2)))</f>
        <v/>
      </c>
      <c r="V270">
        <f>IF(OR(V$4="",$A270&gt;TODAY()),0,IF(OR(INDEX($B270:$D270,V$5)="F",AND(V$6&gt;0,$A270&lt;V$6),AND(V$7&gt;0,$A270&gt;V$7)),0,MAX(0,ROUND((INDEX($E270:$G270,V$5)-SUMIFS(TF_Timer,TF_Tekniker,V$4,TF_Dato,$A270))*2,0)/2)))</f>
        <v/>
      </c>
      <c r="W270">
        <f>IF(OR(W$4="",$A270&gt;TODAY()),0,IF(OR(INDEX($B270:$D270,W$5)="F",AND(W$6&gt;0,$A270&lt;W$6),AND(W$7&gt;0,$A270&gt;W$7)),0,MAX(0,ROUND((INDEX($E270:$G270,W$5)-SUMIFS(TF_Timer,TF_Tekniker,W$4,TF_Dato,$A270))*2,0)/2)))</f>
        <v/>
      </c>
      <c r="X270">
        <f>IF(OR(X$4="",$A270&gt;TODAY()),0,IF(OR(INDEX($B270:$D270,X$5)="F",AND(X$6&gt;0,$A270&lt;X$6),AND(X$7&gt;0,$A270&gt;X$7)),0,MAX(0,ROUND((INDEX($E270:$G270,X$5)-SUMIFS(TF_Timer,TF_Tekniker,X$4,TF_Dato,$A270))*2,0)/2)))</f>
        <v/>
      </c>
      <c r="Y270">
        <f>IF(OR(Y$4="",$A270&gt;TODAY()),0,IF(OR(INDEX($B270:$D270,Y$5)="F",AND(Y$6&gt;0,$A270&lt;Y$6),AND(Y$7&gt;0,$A270&gt;Y$7)),0,MAX(0,ROUND((INDEX($E270:$G270,Y$5)-SUMIFS(TF_Timer,TF_Tekniker,Y$4,TF_Dato,$A270))*2,0)/2)))</f>
        <v/>
      </c>
      <c r="Z270">
        <f>IF(OR(Z$4="",$A270&gt;TODAY()),0,IF(OR(INDEX($B270:$D270,Z$5)="F",AND(Z$6&gt;0,$A270&lt;Z$6),AND(Z$7&gt;0,$A270&gt;Z$7)),0,MAX(0,ROUND((INDEX($E270:$G270,Z$5)-SUMIFS(TF_Timer,TF_Tekniker,Z$4,TF_Dato,$A270))*2,0)/2)))</f>
        <v/>
      </c>
      <c r="AA270">
        <f>IF(OR(AA$4="",$A270&gt;TODAY()),0,IF(OR(INDEX($B270:$D270,AA$5)="F",AND(AA$6&gt;0,$A270&lt;AA$6),AND(AA$7&gt;0,$A270&gt;AA$7)),0,MAX(0,ROUND((INDEX($E270:$G270,AA$5)-SUMIFS(TF_Timer,TF_Tekniker,AA$4,TF_Dato,$A270))*2,0)/2)))</f>
        <v/>
      </c>
      <c r="AB270">
        <f>IF(OR(AB$4="",$A270&gt;TODAY()),0,IF(OR(INDEX($B270:$D270,AB$5)="F",AND(AB$6&gt;0,$A270&lt;AB$6),AND(AB$7&gt;0,$A270&gt;AB$7)),0,MAX(0,ROUND((INDEX($E270:$G270,AB$5)-SUMIFS(TF_Timer,TF_Tekniker,AB$4,TF_Dato,$A270))*2,0)/2)))</f>
        <v/>
      </c>
      <c r="AC270">
        <f>IF(OR(AC$4="",$A270&gt;TODAY()),0,IF(OR(INDEX($B270:$D270,AC$5)="F",AND(AC$6&gt;0,$A270&lt;AC$6),AND(AC$7&gt;0,$A270&gt;AC$7)),0,MAX(0,ROUND((INDEX($E270:$G270,AC$5)-SUMIFS(TF_Timer,TF_Tekniker,AC$4,TF_Dato,$A270))*2,0)/2)))</f>
        <v/>
      </c>
      <c r="AD270">
        <f>IF(OR(AD$4="",$A270&gt;TODAY()),0,IF(OR(INDEX($B270:$D270,AD$5)="F",AND(AD$6&gt;0,$A270&lt;AD$6),AND(AD$7&gt;0,$A270&gt;AD$7)),0,MAX(0,ROUND((INDEX($E270:$G270,AD$5)-SUMIFS(TF_Timer,TF_Tekniker,AD$4,TF_Dato,$A270))*2,0)/2)))</f>
        <v/>
      </c>
      <c r="AE270">
        <f>IF(OR(AE$4="",$A270&gt;TODAY()),0,IF(OR(INDEX($B270:$D270,AE$5)="F",AND(AE$6&gt;0,$A270&lt;AE$6),AND(AE$7&gt;0,$A270&gt;AE$7)),0,MAX(0,ROUND((INDEX($E270:$G270,AE$5)-SUMIFS(TF_Timer,TF_Tekniker,AE$4,TF_Dato,$A270))*2,0)/2)))</f>
        <v/>
      </c>
      <c r="AF270">
        <f>IF(OR(AF$4="",$A270&gt;TODAY()),0,IF(OR(INDEX($B270:$D270,AF$5)="F",AND(AF$6&gt;0,$A270&lt;AF$6),AND(AF$7&gt;0,$A270&gt;AF$7)),0,MAX(0,ROUND((INDEX($E270:$G270,AF$5)-SUMIFS(TF_Timer,TF_Tekniker,AF$4,TF_Dato,$A270))*2,0)/2)))</f>
        <v/>
      </c>
      <c r="AG270">
        <f>IF(OR(AG$4="",$A270&gt;TODAY()),0,IF(OR(INDEX($B270:$D270,AG$5)="F",AND(AG$6&gt;0,$A270&lt;AG$6),AND(AG$7&gt;0,$A270&gt;AG$7)),0,MAX(0,ROUND((INDEX($E270:$G270,AG$5)-SUMIFS(TF_Timer,TF_Tekniker,AG$4,TF_Dato,$A270))*2,0)/2)))</f>
        <v/>
      </c>
      <c r="AH270">
        <f>IF(OR(AH$4="",$A270&gt;TODAY()),0,IF(OR(INDEX($B270:$D270,AH$5)="F",AND(AH$6&gt;0,$A270&lt;AH$6),AND(AH$7&gt;0,$A270&gt;AH$7)),0,MAX(0,ROUND((INDEX($E270:$G270,AH$5)-SUMIFS(TF_Timer,TF_Tekniker,AH$4,TF_Dato,$A270))*2,0)/2)))</f>
        <v/>
      </c>
      <c r="AI270">
        <f>IF(OR(AI$4="",$A270&gt;TODAY()),0,IF(OR(INDEX($B270:$D270,AI$5)="F",AND(AI$6&gt;0,$A270&lt;AI$6),AND(AI$7&gt;0,$A270&gt;AI$7)),0,MAX(0,ROUND((INDEX($E270:$G270,AI$5)-SUMIFS(TF_Timer,TF_Tekniker,AI$4,TF_Dato,$A270))*2,0)/2)))</f>
        <v/>
      </c>
      <c r="AJ270">
        <f>IF(OR(AJ$4="",$A270&gt;TODAY()),0,IF(OR(INDEX($B270:$D270,AJ$5)="F",AND(AJ$6&gt;0,$A270&lt;AJ$6),AND(AJ$7&gt;0,$A270&gt;AJ$7)),0,MAX(0,ROUND((INDEX($E270:$G270,AJ$5)-SUMIFS(TF_Timer,TF_Tekniker,AJ$4,TF_Dato,$A270))*2,0)/2)))</f>
        <v/>
      </c>
      <c r="AK270">
        <f>IF(OR(AK$4="",$A270&gt;TODAY()),0,IF(OR(INDEX($B270:$D270,AK$5)="F",AND(AK$6&gt;0,$A270&lt;AK$6),AND(AK$7&gt;0,$A270&gt;AK$7)),0,MAX(0,ROUND((INDEX($E270:$G270,AK$5)-SUMIFS(TF_Timer,TF_Tekniker,AK$4,TF_Dato,$A270))*2,0)/2)))</f>
        <v/>
      </c>
      <c r="AL270">
        <f>IF(OR(AL$4="",$A270&gt;TODAY()),0,IF(OR(INDEX($B270:$D270,AL$5)="F",AND(AL$6&gt;0,$A270&lt;AL$6),AND(AL$7&gt;0,$A270&gt;AL$7)),0,MAX(0,ROUND((INDEX($E270:$G270,AL$5)-SUMIFS(TF_Timer,TF_Tekniker,AL$4,TF_Dato,$A270))*2,0)/2)))</f>
        <v/>
      </c>
      <c r="AM270">
        <f>IF(OR(AM$4="",$A270&gt;TODAY()),0,IF(OR(INDEX($B270:$D270,AM$5)="F",AND(AM$6&gt;0,$A270&lt;AM$6),AND(AM$7&gt;0,$A270&gt;AM$7)),0,MAX(0,ROUND((INDEX($E270:$G270,AM$5)-SUMIFS(TF_Timer,TF_Tekniker,AM$4,TF_Dato,$A270))*2,0)/2)))</f>
        <v/>
      </c>
      <c r="AN270">
        <f>IF(OR(AN$4="",$A270&gt;TODAY()),0,IF(OR(INDEX($B270:$D270,AN$5)="F",AND(AN$6&gt;0,$A270&lt;AN$6),AND(AN$7&gt;0,$A270&gt;AN$7)),0,MAX(0,ROUND((INDEX($E270:$G270,AN$5)-SUMIFS(TF_Timer,TF_Tekniker,AN$4,TF_Dato,$A270))*2,0)/2)))</f>
        <v/>
      </c>
      <c r="AO270">
        <f>IF(OR(AO$4="",$A270&gt;TODAY()),0,IF(OR(INDEX($B270:$D270,AO$5)="F",AND(AO$6&gt;0,$A270&lt;AO$6),AND(AO$7&gt;0,$A270&gt;AO$7)),0,MAX(0,ROUND((INDEX($E270:$G270,AO$5)-SUMIFS(TF_Timer,TF_Tekniker,AO$4,TF_Dato,$A270))*2,0)/2)))</f>
        <v/>
      </c>
      <c r="AP270">
        <f>IF(OR(AP$4="",$A270&gt;TODAY()),0,IF(OR(INDEX($B270:$D270,AP$5)="F",AND(AP$6&gt;0,$A270&lt;AP$6),AND(AP$7&gt;0,$A270&gt;AP$7)),0,MAX(0,ROUND((INDEX($E270:$G270,AP$5)-SUMIFS(TF_Timer,TF_Tekniker,AP$4,TF_Dato,$A270))*2,0)/2)))</f>
        <v/>
      </c>
      <c r="AQ270">
        <f>IF(OR(AQ$4="",$A270&gt;TODAY()),0,IF(OR(INDEX($B270:$D270,AQ$5)="F",AND(AQ$6&gt;0,$A270&lt;AQ$6),AND(AQ$7&gt;0,$A270&gt;AQ$7)),0,MAX(0,ROUND((INDEX($E270:$G270,AQ$5)-SUMIFS(TF_Timer,TF_Tekniker,AQ$4,TF_Dato,$A270))*2,0)/2)))</f>
        <v/>
      </c>
      <c r="AR270">
        <f>IF(OR(AR$4="",$A270&gt;TODAY()),0,IF(OR(INDEX($B270:$D270,AR$5)="F",AND(AR$6&gt;0,$A270&lt;AR$6),AND(AR$7&gt;0,$A270&gt;AR$7)),0,MAX(0,ROUND((INDEX($E270:$G270,AR$5)-SUMIFS(TF_Timer,TF_Tekniker,AR$4,TF_Dato,$A270))*2,0)/2)))</f>
        <v/>
      </c>
      <c r="AS270">
        <f>IF(OR(AS$4="",$A270&gt;TODAY()),0,IF(OR(INDEX($B270:$D270,AS$5)="F",AND(AS$6&gt;0,$A270&lt;AS$6),AND(AS$7&gt;0,$A270&gt;AS$7)),0,MAX(0,ROUND((INDEX($E270:$G270,AS$5)-SUMIFS(TF_Timer,TF_Tekniker,AS$4,TF_Dato,$A270))*2,0)/2)))</f>
        <v/>
      </c>
      <c r="AT270">
        <f>IF(OR(AT$4="",$A270&gt;TODAY()),0,IF(OR(INDEX($B270:$D270,AT$5)="F",AND(AT$6&gt;0,$A270&lt;AT$6),AND(AT$7&gt;0,$A270&gt;AT$7)),0,MAX(0,ROUND((INDEX($E270:$G270,AT$5)-SUMIFS(TF_Timer,TF_Tekniker,AT$4,TF_Dato,$A270))*2,0)/2)))</f>
        <v/>
      </c>
      <c r="AU270">
        <f>IF(OR(AU$4="",$A270&gt;TODAY()),0,IF(OR(INDEX($B270:$D270,AU$5)="F",AND(AU$6&gt;0,$A270&lt;AU$6),AND(AU$7&gt;0,$A270&gt;AU$7)),0,MAX(0,ROUND((INDEX($E270:$G270,AU$5)-SUMIFS(TF_Timer,TF_Tekniker,AU$4,TF_Dato,$A270))*2,0)/2)))</f>
        <v/>
      </c>
      <c r="AV270">
        <f>IF(OR(AV$4="",$A270&gt;TODAY()),0,IF(OR(INDEX($B270:$D270,AV$5)="F",AND(AV$6&gt;0,$A270&lt;AV$6),AND(AV$7&gt;0,$A270&gt;AV$7)),0,MAX(0,ROUND((INDEX($E270:$G270,AV$5)-SUMIFS(TF_Timer,TF_Tekniker,AV$4,TF_Dato,$A270))*2,0)/2)))</f>
        <v/>
      </c>
      <c r="AW270">
        <f>IF(OR(AW$4="",$A270&gt;TODAY()),0,IF(OR(INDEX($B270:$D270,AW$5)="F",AND(AW$6&gt;0,$A270&lt;AW$6),AND(AW$7&gt;0,$A270&gt;AW$7)),0,MAX(0,ROUND((INDEX($E270:$G270,AW$5)-SUMIFS(TF_Timer,TF_Tekniker,AW$4,TF_Dato,$A270))*2,0)/2)))</f>
        <v/>
      </c>
      <c r="AX270">
        <f>IF(OR(AX$4="",$A270&gt;TODAY()),0,IF(OR(INDEX($B270:$D270,AX$5)="F",AND(AX$6&gt;0,$A270&lt;AX$6),AND(AX$7&gt;0,$A270&gt;AX$7)),0,MAX(0,ROUND((INDEX($E270:$G270,AX$5)-SUMIFS(TF_Timer,TF_Tekniker,AX$4,TF_Dato,$A270))*2,0)/2)))</f>
        <v/>
      </c>
      <c r="AY270">
        <f>IF(OR(AY$4="",$A270&gt;TODAY()),0,IF(OR(INDEX($B270:$D270,AY$5)="F",AND(AY$6&gt;0,$A270&lt;AY$6),AND(AY$7&gt;0,$A270&gt;AY$7)),0,MAX(0,ROUND((INDEX($E270:$G270,AY$5)-SUMIFS(TF_Timer,TF_Tekniker,AY$4,TF_Dato,$A270))*2,0)/2)))</f>
        <v/>
      </c>
      <c r="AZ270">
        <f>IF(OR(AZ$4="",$A270&gt;TODAY()),0,IF(OR(INDEX($B270:$D270,AZ$5)="F",AND(AZ$6&gt;0,$A270&lt;AZ$6),AND(AZ$7&gt;0,$A270&gt;AZ$7)),0,MAX(0,ROUND((INDEX($E270:$G270,AZ$5)-SUMIFS(TF_Timer,TF_Tekniker,AZ$4,TF_Dato,$A270))*2,0)/2)))</f>
        <v/>
      </c>
      <c r="BA270">
        <f>IF(OR(BA$4="",$A270&gt;TODAY()),0,IF(OR(INDEX($B270:$D270,BA$5)="F",AND(BA$6&gt;0,$A270&lt;BA$6),AND(BA$7&gt;0,$A270&gt;BA$7)),0,MAX(0,ROUND((INDEX($E270:$G270,BA$5)-SUMIFS(TF_Timer,TF_Tekniker,BA$4,TF_Dato,$A270))*2,0)/2)))</f>
        <v/>
      </c>
      <c r="BB270">
        <f>IF(OR(BB$4="",$A270&gt;TODAY()),0,IF(OR(INDEX($B270:$D270,BB$5)="F",AND(BB$6&gt;0,$A270&lt;BB$6),AND(BB$7&gt;0,$A270&gt;BB$7)),0,MAX(0,ROUND((INDEX($E270:$G270,BB$5)-SUMIFS(TF_Timer,TF_Tekniker,BB$4,TF_Dato,$A270))*2,0)/2)))</f>
        <v/>
      </c>
      <c r="BC270">
        <f>IF(OR(BC$4="",$A270&gt;TODAY()),0,IF(OR(INDEX($B270:$D270,BC$5)="F",AND(BC$6&gt;0,$A270&lt;BC$6),AND(BC$7&gt;0,$A270&gt;BC$7)),0,MAX(0,ROUND((INDEX($E270:$G270,BC$5)-SUMIFS(TF_Timer,TF_Tekniker,BC$4,TF_Dato,$A270))*2,0)/2)))</f>
        <v/>
      </c>
      <c r="BD270">
        <f>IF(OR(BD$4="",$A270&gt;TODAY()),0,IF(OR(INDEX($B270:$D270,BD$5)="F",AND(BD$6&gt;0,$A270&lt;BD$6),AND(BD$7&gt;0,$A270&gt;BD$7)),0,MAX(0,ROUND((INDEX($E270:$G270,BD$5)-SUMIFS(TF_Timer,TF_Tekniker,BD$4,TF_Dato,$A270))*2,0)/2)))</f>
        <v/>
      </c>
      <c r="BE270">
        <f>IF(OR(BE$4="",$A270&gt;TODAY()),0,IF(OR(INDEX($B270:$D270,BE$5)="F",AND(BE$6&gt;0,$A270&lt;BE$6),AND(BE$7&gt;0,$A270&gt;BE$7)),0,MAX(0,ROUND((INDEX($E270:$G270,BE$5)-SUMIFS(TF_Timer,TF_Tekniker,BE$4,TF_Dato,$A270))*2,0)/2)))</f>
        <v/>
      </c>
      <c r="BF270">
        <f>IF(OR(BF$4="",$A270&gt;TODAY()),0,IF(OR(INDEX($B270:$D270,BF$5)="F",AND(BF$6&gt;0,$A270&lt;BF$6),AND(BF$7&gt;0,$A270&gt;BF$7)),0,MAX(0,ROUND((INDEX($E270:$G270,BF$5)-SUMIFS(TF_Timer,TF_Tekniker,BF$4,TF_Dato,$A270))*2,0)/2)))</f>
        <v/>
      </c>
      <c r="BG270">
        <f>IF(OR(BG$4="",$A270&gt;TODAY()),0,IF(OR(INDEX($B270:$D270,BG$5)="F",AND(BG$6&gt;0,$A270&lt;BG$6),AND(BG$7&gt;0,$A270&gt;BG$7)),0,MAX(0,ROUND((INDEX($E270:$G270,BG$5)-SUMIFS(TF_Timer,TF_Tekniker,BG$4,TF_Dato,$A270))*2,0)/2)))</f>
        <v/>
      </c>
      <c r="BH270">
        <f>IF(OR(BH$4="",$A270&gt;TODAY()),0,IF(OR(INDEX($B270:$D270,BH$5)="F",AND(BH$6&gt;0,$A270&lt;BH$6),AND(BH$7&gt;0,$A270&gt;BH$7)),0,MAX(0,ROUND((INDEX($E270:$G270,BH$5)-SUMIFS(TF_Timer,TF_Tekniker,BH$4,TF_Dato,$A270))*2,0)/2)))</f>
        <v/>
      </c>
      <c r="BI270">
        <f>IF(OR(BI$4="",$A270&gt;TODAY()),0,IF(OR(INDEX($B270:$D270,BI$5)="F",AND(BI$6&gt;0,$A270&lt;BI$6),AND(BI$7&gt;0,$A270&gt;BI$7)),0,MAX(0,ROUND((INDEX($E270:$G270,BI$5)-SUMIFS(TF_Timer,TF_Tekniker,BI$4,TF_Dato,$A270))*2,0)/2)))</f>
        <v/>
      </c>
    </row>
    <row r="271">
      <c r="A271" s="64">
        <f>A270+1</f>
        <v/>
      </c>
      <c r="B271">
        <f>IF(MOD($A271-INDEX(SkiftStart,1),Syklus)&lt;DagK,"K",IF(MOD($A271-INDEX(SkiftStart,1),Syklus)&lt;DagK+DagH,"H",IF(MOD($A271-INDEX(SkiftStart,1),Syklus)&lt;DagK+DagH+DagD,"D","F")))</f>
        <v/>
      </c>
      <c r="C271">
        <f>IF(MOD($A271-INDEX(SkiftStart,2),Syklus)&lt;DagK,"K",IF(MOD($A271-INDEX(SkiftStart,2),Syklus)&lt;DagK+DagH,"H",IF(MOD($A271-INDEX(SkiftStart,2),Syklus)&lt;DagK+DagH+DagD,"D","F")))</f>
        <v/>
      </c>
      <c r="D271">
        <f>IF(MOD($A271-INDEX(SkiftStart,3),Syklus)&lt;DagK,"K",IF(MOD($A271-INDEX(SkiftStart,3),Syklus)&lt;DagK+DagH,"H",IF(MOD($A271-INDEX(SkiftStart,3),Syklus)&lt;DagK+DagH+DagD,"D","F")))</f>
        <v/>
      </c>
      <c r="E271">
        <f>IF(B271="F",0,IF(WEEKDAY($A271,2)=5,INDEX(TimerFr,MATCH(B271,FaseKode,0)),INDEX(TimerMT,MATCH(B271,FaseKode,0))))</f>
        <v/>
      </c>
      <c r="F271">
        <f>IF(C271="F",0,IF(WEEKDAY($A271,2)=5,INDEX(TimerFr,MATCH(C271,FaseKode,0)),INDEX(TimerMT,MATCH(C271,FaseKode,0))))</f>
        <v/>
      </c>
      <c r="G271">
        <f>IF(D271="F",0,IF(WEEKDAY($A271,2)=5,INDEX(TimerFr,MATCH(D271,FaseKode,0)),INDEX(TimerMT,MATCH(D271,FaseKode,0))))</f>
        <v/>
      </c>
      <c r="H271">
        <f>IF(OR(H$4="",$A271&gt;TODAY()),0,IF(OR(INDEX($B271:$D271,H$5)="F",AND(H$6&gt;0,$A271&lt;H$6),AND(H$7&gt;0,$A271&gt;H$7)),0,MAX(0,ROUND((INDEX($E271:$G271,H$5)-SUMIFS(TF_Timer,TF_Tekniker,H$4,TF_Dato,$A271))*2,0)/2)))</f>
        <v/>
      </c>
      <c r="I271">
        <f>IF(OR(I$4="",$A271&gt;TODAY()),0,IF(OR(INDEX($B271:$D271,I$5)="F",AND(I$6&gt;0,$A271&lt;I$6),AND(I$7&gt;0,$A271&gt;I$7)),0,MAX(0,ROUND((INDEX($E271:$G271,I$5)-SUMIFS(TF_Timer,TF_Tekniker,I$4,TF_Dato,$A271))*2,0)/2)))</f>
        <v/>
      </c>
      <c r="J271">
        <f>IF(OR(J$4="",$A271&gt;TODAY()),0,IF(OR(INDEX($B271:$D271,J$5)="F",AND(J$6&gt;0,$A271&lt;J$6),AND(J$7&gt;0,$A271&gt;J$7)),0,MAX(0,ROUND((INDEX($E271:$G271,J$5)-SUMIFS(TF_Timer,TF_Tekniker,J$4,TF_Dato,$A271))*2,0)/2)))</f>
        <v/>
      </c>
      <c r="K271">
        <f>IF(OR(K$4="",$A271&gt;TODAY()),0,IF(OR(INDEX($B271:$D271,K$5)="F",AND(K$6&gt;0,$A271&lt;K$6),AND(K$7&gt;0,$A271&gt;K$7)),0,MAX(0,ROUND((INDEX($E271:$G271,K$5)-SUMIFS(TF_Timer,TF_Tekniker,K$4,TF_Dato,$A271))*2,0)/2)))</f>
        <v/>
      </c>
      <c r="L271">
        <f>IF(OR(L$4="",$A271&gt;TODAY()),0,IF(OR(INDEX($B271:$D271,L$5)="F",AND(L$6&gt;0,$A271&lt;L$6),AND(L$7&gt;0,$A271&gt;L$7)),0,MAX(0,ROUND((INDEX($E271:$G271,L$5)-SUMIFS(TF_Timer,TF_Tekniker,L$4,TF_Dato,$A271))*2,0)/2)))</f>
        <v/>
      </c>
      <c r="M271">
        <f>IF(OR(M$4="",$A271&gt;TODAY()),0,IF(OR(INDEX($B271:$D271,M$5)="F",AND(M$6&gt;0,$A271&lt;M$6),AND(M$7&gt;0,$A271&gt;M$7)),0,MAX(0,ROUND((INDEX($E271:$G271,M$5)-SUMIFS(TF_Timer,TF_Tekniker,M$4,TF_Dato,$A271))*2,0)/2)))</f>
        <v/>
      </c>
      <c r="N271">
        <f>IF(OR(N$4="",$A271&gt;TODAY()),0,IF(OR(INDEX($B271:$D271,N$5)="F",AND(N$6&gt;0,$A271&lt;N$6),AND(N$7&gt;0,$A271&gt;N$7)),0,MAX(0,ROUND((INDEX($E271:$G271,N$5)-SUMIFS(TF_Timer,TF_Tekniker,N$4,TF_Dato,$A271))*2,0)/2)))</f>
        <v/>
      </c>
      <c r="O271">
        <f>IF(OR(O$4="",$A271&gt;TODAY()),0,IF(OR(INDEX($B271:$D271,O$5)="F",AND(O$6&gt;0,$A271&lt;O$6),AND(O$7&gt;0,$A271&gt;O$7)),0,MAX(0,ROUND((INDEX($E271:$G271,O$5)-SUMIFS(TF_Timer,TF_Tekniker,O$4,TF_Dato,$A271))*2,0)/2)))</f>
        <v/>
      </c>
      <c r="P271">
        <f>IF(OR(P$4="",$A271&gt;TODAY()),0,IF(OR(INDEX($B271:$D271,P$5)="F",AND(P$6&gt;0,$A271&lt;P$6),AND(P$7&gt;0,$A271&gt;P$7)),0,MAX(0,ROUND((INDEX($E271:$G271,P$5)-SUMIFS(TF_Timer,TF_Tekniker,P$4,TF_Dato,$A271))*2,0)/2)))</f>
        <v/>
      </c>
      <c r="Q271">
        <f>IF(OR(Q$4="",$A271&gt;TODAY()),0,IF(OR(INDEX($B271:$D271,Q$5)="F",AND(Q$6&gt;0,$A271&lt;Q$6),AND(Q$7&gt;0,$A271&gt;Q$7)),0,MAX(0,ROUND((INDEX($E271:$G271,Q$5)-SUMIFS(TF_Timer,TF_Tekniker,Q$4,TF_Dato,$A271))*2,0)/2)))</f>
        <v/>
      </c>
      <c r="R271">
        <f>IF(OR(R$4="",$A271&gt;TODAY()),0,IF(OR(INDEX($B271:$D271,R$5)="F",AND(R$6&gt;0,$A271&lt;R$6),AND(R$7&gt;0,$A271&gt;R$7)),0,MAX(0,ROUND((INDEX($E271:$G271,R$5)-SUMIFS(TF_Timer,TF_Tekniker,R$4,TF_Dato,$A271))*2,0)/2)))</f>
        <v/>
      </c>
      <c r="S271">
        <f>IF(OR(S$4="",$A271&gt;TODAY()),0,IF(OR(INDEX($B271:$D271,S$5)="F",AND(S$6&gt;0,$A271&lt;S$6),AND(S$7&gt;0,$A271&gt;S$7)),0,MAX(0,ROUND((INDEX($E271:$G271,S$5)-SUMIFS(TF_Timer,TF_Tekniker,S$4,TF_Dato,$A271))*2,0)/2)))</f>
        <v/>
      </c>
      <c r="T271">
        <f>IF(OR(T$4="",$A271&gt;TODAY()),0,IF(OR(INDEX($B271:$D271,T$5)="F",AND(T$6&gt;0,$A271&lt;T$6),AND(T$7&gt;0,$A271&gt;T$7)),0,MAX(0,ROUND((INDEX($E271:$G271,T$5)-SUMIFS(TF_Timer,TF_Tekniker,T$4,TF_Dato,$A271))*2,0)/2)))</f>
        <v/>
      </c>
      <c r="U271">
        <f>IF(OR(U$4="",$A271&gt;TODAY()),0,IF(OR(INDEX($B271:$D271,U$5)="F",AND(U$6&gt;0,$A271&lt;U$6),AND(U$7&gt;0,$A271&gt;U$7)),0,MAX(0,ROUND((INDEX($E271:$G271,U$5)-SUMIFS(TF_Timer,TF_Tekniker,U$4,TF_Dato,$A271))*2,0)/2)))</f>
        <v/>
      </c>
      <c r="V271">
        <f>IF(OR(V$4="",$A271&gt;TODAY()),0,IF(OR(INDEX($B271:$D271,V$5)="F",AND(V$6&gt;0,$A271&lt;V$6),AND(V$7&gt;0,$A271&gt;V$7)),0,MAX(0,ROUND((INDEX($E271:$G271,V$5)-SUMIFS(TF_Timer,TF_Tekniker,V$4,TF_Dato,$A271))*2,0)/2)))</f>
        <v/>
      </c>
      <c r="W271">
        <f>IF(OR(W$4="",$A271&gt;TODAY()),0,IF(OR(INDEX($B271:$D271,W$5)="F",AND(W$6&gt;0,$A271&lt;W$6),AND(W$7&gt;0,$A271&gt;W$7)),0,MAX(0,ROUND((INDEX($E271:$G271,W$5)-SUMIFS(TF_Timer,TF_Tekniker,W$4,TF_Dato,$A271))*2,0)/2)))</f>
        <v/>
      </c>
      <c r="X271">
        <f>IF(OR(X$4="",$A271&gt;TODAY()),0,IF(OR(INDEX($B271:$D271,X$5)="F",AND(X$6&gt;0,$A271&lt;X$6),AND(X$7&gt;0,$A271&gt;X$7)),0,MAX(0,ROUND((INDEX($E271:$G271,X$5)-SUMIFS(TF_Timer,TF_Tekniker,X$4,TF_Dato,$A271))*2,0)/2)))</f>
        <v/>
      </c>
      <c r="Y271">
        <f>IF(OR(Y$4="",$A271&gt;TODAY()),0,IF(OR(INDEX($B271:$D271,Y$5)="F",AND(Y$6&gt;0,$A271&lt;Y$6),AND(Y$7&gt;0,$A271&gt;Y$7)),0,MAX(0,ROUND((INDEX($E271:$G271,Y$5)-SUMIFS(TF_Timer,TF_Tekniker,Y$4,TF_Dato,$A271))*2,0)/2)))</f>
        <v/>
      </c>
      <c r="Z271">
        <f>IF(OR(Z$4="",$A271&gt;TODAY()),0,IF(OR(INDEX($B271:$D271,Z$5)="F",AND(Z$6&gt;0,$A271&lt;Z$6),AND(Z$7&gt;0,$A271&gt;Z$7)),0,MAX(0,ROUND((INDEX($E271:$G271,Z$5)-SUMIFS(TF_Timer,TF_Tekniker,Z$4,TF_Dato,$A271))*2,0)/2)))</f>
        <v/>
      </c>
      <c r="AA271">
        <f>IF(OR(AA$4="",$A271&gt;TODAY()),0,IF(OR(INDEX($B271:$D271,AA$5)="F",AND(AA$6&gt;0,$A271&lt;AA$6),AND(AA$7&gt;0,$A271&gt;AA$7)),0,MAX(0,ROUND((INDEX($E271:$G271,AA$5)-SUMIFS(TF_Timer,TF_Tekniker,AA$4,TF_Dato,$A271))*2,0)/2)))</f>
        <v/>
      </c>
      <c r="AB271">
        <f>IF(OR(AB$4="",$A271&gt;TODAY()),0,IF(OR(INDEX($B271:$D271,AB$5)="F",AND(AB$6&gt;0,$A271&lt;AB$6),AND(AB$7&gt;0,$A271&gt;AB$7)),0,MAX(0,ROUND((INDEX($E271:$G271,AB$5)-SUMIFS(TF_Timer,TF_Tekniker,AB$4,TF_Dato,$A271))*2,0)/2)))</f>
        <v/>
      </c>
      <c r="AC271">
        <f>IF(OR(AC$4="",$A271&gt;TODAY()),0,IF(OR(INDEX($B271:$D271,AC$5)="F",AND(AC$6&gt;0,$A271&lt;AC$6),AND(AC$7&gt;0,$A271&gt;AC$7)),0,MAX(0,ROUND((INDEX($E271:$G271,AC$5)-SUMIFS(TF_Timer,TF_Tekniker,AC$4,TF_Dato,$A271))*2,0)/2)))</f>
        <v/>
      </c>
      <c r="AD271">
        <f>IF(OR(AD$4="",$A271&gt;TODAY()),0,IF(OR(INDEX($B271:$D271,AD$5)="F",AND(AD$6&gt;0,$A271&lt;AD$6),AND(AD$7&gt;0,$A271&gt;AD$7)),0,MAX(0,ROUND((INDEX($E271:$G271,AD$5)-SUMIFS(TF_Timer,TF_Tekniker,AD$4,TF_Dato,$A271))*2,0)/2)))</f>
        <v/>
      </c>
      <c r="AE271">
        <f>IF(OR(AE$4="",$A271&gt;TODAY()),0,IF(OR(INDEX($B271:$D271,AE$5)="F",AND(AE$6&gt;0,$A271&lt;AE$6),AND(AE$7&gt;0,$A271&gt;AE$7)),0,MAX(0,ROUND((INDEX($E271:$G271,AE$5)-SUMIFS(TF_Timer,TF_Tekniker,AE$4,TF_Dato,$A271))*2,0)/2)))</f>
        <v/>
      </c>
      <c r="AF271">
        <f>IF(OR(AF$4="",$A271&gt;TODAY()),0,IF(OR(INDEX($B271:$D271,AF$5)="F",AND(AF$6&gt;0,$A271&lt;AF$6),AND(AF$7&gt;0,$A271&gt;AF$7)),0,MAX(0,ROUND((INDEX($E271:$G271,AF$5)-SUMIFS(TF_Timer,TF_Tekniker,AF$4,TF_Dato,$A271))*2,0)/2)))</f>
        <v/>
      </c>
      <c r="AG271">
        <f>IF(OR(AG$4="",$A271&gt;TODAY()),0,IF(OR(INDEX($B271:$D271,AG$5)="F",AND(AG$6&gt;0,$A271&lt;AG$6),AND(AG$7&gt;0,$A271&gt;AG$7)),0,MAX(0,ROUND((INDEX($E271:$G271,AG$5)-SUMIFS(TF_Timer,TF_Tekniker,AG$4,TF_Dato,$A271))*2,0)/2)))</f>
        <v/>
      </c>
      <c r="AH271">
        <f>IF(OR(AH$4="",$A271&gt;TODAY()),0,IF(OR(INDEX($B271:$D271,AH$5)="F",AND(AH$6&gt;0,$A271&lt;AH$6),AND(AH$7&gt;0,$A271&gt;AH$7)),0,MAX(0,ROUND((INDEX($E271:$G271,AH$5)-SUMIFS(TF_Timer,TF_Tekniker,AH$4,TF_Dato,$A271))*2,0)/2)))</f>
        <v/>
      </c>
      <c r="AI271">
        <f>IF(OR(AI$4="",$A271&gt;TODAY()),0,IF(OR(INDEX($B271:$D271,AI$5)="F",AND(AI$6&gt;0,$A271&lt;AI$6),AND(AI$7&gt;0,$A271&gt;AI$7)),0,MAX(0,ROUND((INDEX($E271:$G271,AI$5)-SUMIFS(TF_Timer,TF_Tekniker,AI$4,TF_Dato,$A271))*2,0)/2)))</f>
        <v/>
      </c>
      <c r="AJ271">
        <f>IF(OR(AJ$4="",$A271&gt;TODAY()),0,IF(OR(INDEX($B271:$D271,AJ$5)="F",AND(AJ$6&gt;0,$A271&lt;AJ$6),AND(AJ$7&gt;0,$A271&gt;AJ$7)),0,MAX(0,ROUND((INDEX($E271:$G271,AJ$5)-SUMIFS(TF_Timer,TF_Tekniker,AJ$4,TF_Dato,$A271))*2,0)/2)))</f>
        <v/>
      </c>
      <c r="AK271">
        <f>IF(OR(AK$4="",$A271&gt;TODAY()),0,IF(OR(INDEX($B271:$D271,AK$5)="F",AND(AK$6&gt;0,$A271&lt;AK$6),AND(AK$7&gt;0,$A271&gt;AK$7)),0,MAX(0,ROUND((INDEX($E271:$G271,AK$5)-SUMIFS(TF_Timer,TF_Tekniker,AK$4,TF_Dato,$A271))*2,0)/2)))</f>
        <v/>
      </c>
      <c r="AL271">
        <f>IF(OR(AL$4="",$A271&gt;TODAY()),0,IF(OR(INDEX($B271:$D271,AL$5)="F",AND(AL$6&gt;0,$A271&lt;AL$6),AND(AL$7&gt;0,$A271&gt;AL$7)),0,MAX(0,ROUND((INDEX($E271:$G271,AL$5)-SUMIFS(TF_Timer,TF_Tekniker,AL$4,TF_Dato,$A271))*2,0)/2)))</f>
        <v/>
      </c>
      <c r="AM271">
        <f>IF(OR(AM$4="",$A271&gt;TODAY()),0,IF(OR(INDEX($B271:$D271,AM$5)="F",AND(AM$6&gt;0,$A271&lt;AM$6),AND(AM$7&gt;0,$A271&gt;AM$7)),0,MAX(0,ROUND((INDEX($E271:$G271,AM$5)-SUMIFS(TF_Timer,TF_Tekniker,AM$4,TF_Dato,$A271))*2,0)/2)))</f>
        <v/>
      </c>
      <c r="AN271">
        <f>IF(OR(AN$4="",$A271&gt;TODAY()),0,IF(OR(INDEX($B271:$D271,AN$5)="F",AND(AN$6&gt;0,$A271&lt;AN$6),AND(AN$7&gt;0,$A271&gt;AN$7)),0,MAX(0,ROUND((INDEX($E271:$G271,AN$5)-SUMIFS(TF_Timer,TF_Tekniker,AN$4,TF_Dato,$A271))*2,0)/2)))</f>
        <v/>
      </c>
      <c r="AO271">
        <f>IF(OR(AO$4="",$A271&gt;TODAY()),0,IF(OR(INDEX($B271:$D271,AO$5)="F",AND(AO$6&gt;0,$A271&lt;AO$6),AND(AO$7&gt;0,$A271&gt;AO$7)),0,MAX(0,ROUND((INDEX($E271:$G271,AO$5)-SUMIFS(TF_Timer,TF_Tekniker,AO$4,TF_Dato,$A271))*2,0)/2)))</f>
        <v/>
      </c>
      <c r="AP271">
        <f>IF(OR(AP$4="",$A271&gt;TODAY()),0,IF(OR(INDEX($B271:$D271,AP$5)="F",AND(AP$6&gt;0,$A271&lt;AP$6),AND(AP$7&gt;0,$A271&gt;AP$7)),0,MAX(0,ROUND((INDEX($E271:$G271,AP$5)-SUMIFS(TF_Timer,TF_Tekniker,AP$4,TF_Dato,$A271))*2,0)/2)))</f>
        <v/>
      </c>
      <c r="AQ271">
        <f>IF(OR(AQ$4="",$A271&gt;TODAY()),0,IF(OR(INDEX($B271:$D271,AQ$5)="F",AND(AQ$6&gt;0,$A271&lt;AQ$6),AND(AQ$7&gt;0,$A271&gt;AQ$7)),0,MAX(0,ROUND((INDEX($E271:$G271,AQ$5)-SUMIFS(TF_Timer,TF_Tekniker,AQ$4,TF_Dato,$A271))*2,0)/2)))</f>
        <v/>
      </c>
      <c r="AR271">
        <f>IF(OR(AR$4="",$A271&gt;TODAY()),0,IF(OR(INDEX($B271:$D271,AR$5)="F",AND(AR$6&gt;0,$A271&lt;AR$6),AND(AR$7&gt;0,$A271&gt;AR$7)),0,MAX(0,ROUND((INDEX($E271:$G271,AR$5)-SUMIFS(TF_Timer,TF_Tekniker,AR$4,TF_Dato,$A271))*2,0)/2)))</f>
        <v/>
      </c>
      <c r="AS271">
        <f>IF(OR(AS$4="",$A271&gt;TODAY()),0,IF(OR(INDEX($B271:$D271,AS$5)="F",AND(AS$6&gt;0,$A271&lt;AS$6),AND(AS$7&gt;0,$A271&gt;AS$7)),0,MAX(0,ROUND((INDEX($E271:$G271,AS$5)-SUMIFS(TF_Timer,TF_Tekniker,AS$4,TF_Dato,$A271))*2,0)/2)))</f>
        <v/>
      </c>
      <c r="AT271">
        <f>IF(OR(AT$4="",$A271&gt;TODAY()),0,IF(OR(INDEX($B271:$D271,AT$5)="F",AND(AT$6&gt;0,$A271&lt;AT$6),AND(AT$7&gt;0,$A271&gt;AT$7)),0,MAX(0,ROUND((INDEX($E271:$G271,AT$5)-SUMIFS(TF_Timer,TF_Tekniker,AT$4,TF_Dato,$A271))*2,0)/2)))</f>
        <v/>
      </c>
      <c r="AU271">
        <f>IF(OR(AU$4="",$A271&gt;TODAY()),0,IF(OR(INDEX($B271:$D271,AU$5)="F",AND(AU$6&gt;0,$A271&lt;AU$6),AND(AU$7&gt;0,$A271&gt;AU$7)),0,MAX(0,ROUND((INDEX($E271:$G271,AU$5)-SUMIFS(TF_Timer,TF_Tekniker,AU$4,TF_Dato,$A271))*2,0)/2)))</f>
        <v/>
      </c>
      <c r="AV271">
        <f>IF(OR(AV$4="",$A271&gt;TODAY()),0,IF(OR(INDEX($B271:$D271,AV$5)="F",AND(AV$6&gt;0,$A271&lt;AV$6),AND(AV$7&gt;0,$A271&gt;AV$7)),0,MAX(0,ROUND((INDEX($E271:$G271,AV$5)-SUMIFS(TF_Timer,TF_Tekniker,AV$4,TF_Dato,$A271))*2,0)/2)))</f>
        <v/>
      </c>
      <c r="AW271">
        <f>IF(OR(AW$4="",$A271&gt;TODAY()),0,IF(OR(INDEX($B271:$D271,AW$5)="F",AND(AW$6&gt;0,$A271&lt;AW$6),AND(AW$7&gt;0,$A271&gt;AW$7)),0,MAX(0,ROUND((INDEX($E271:$G271,AW$5)-SUMIFS(TF_Timer,TF_Tekniker,AW$4,TF_Dato,$A271))*2,0)/2)))</f>
        <v/>
      </c>
      <c r="AX271">
        <f>IF(OR(AX$4="",$A271&gt;TODAY()),0,IF(OR(INDEX($B271:$D271,AX$5)="F",AND(AX$6&gt;0,$A271&lt;AX$6),AND(AX$7&gt;0,$A271&gt;AX$7)),0,MAX(0,ROUND((INDEX($E271:$G271,AX$5)-SUMIFS(TF_Timer,TF_Tekniker,AX$4,TF_Dato,$A271))*2,0)/2)))</f>
        <v/>
      </c>
      <c r="AY271">
        <f>IF(OR(AY$4="",$A271&gt;TODAY()),0,IF(OR(INDEX($B271:$D271,AY$5)="F",AND(AY$6&gt;0,$A271&lt;AY$6),AND(AY$7&gt;0,$A271&gt;AY$7)),0,MAX(0,ROUND((INDEX($E271:$G271,AY$5)-SUMIFS(TF_Timer,TF_Tekniker,AY$4,TF_Dato,$A271))*2,0)/2)))</f>
        <v/>
      </c>
      <c r="AZ271">
        <f>IF(OR(AZ$4="",$A271&gt;TODAY()),0,IF(OR(INDEX($B271:$D271,AZ$5)="F",AND(AZ$6&gt;0,$A271&lt;AZ$6),AND(AZ$7&gt;0,$A271&gt;AZ$7)),0,MAX(0,ROUND((INDEX($E271:$G271,AZ$5)-SUMIFS(TF_Timer,TF_Tekniker,AZ$4,TF_Dato,$A271))*2,0)/2)))</f>
        <v/>
      </c>
      <c r="BA271">
        <f>IF(OR(BA$4="",$A271&gt;TODAY()),0,IF(OR(INDEX($B271:$D271,BA$5)="F",AND(BA$6&gt;0,$A271&lt;BA$6),AND(BA$7&gt;0,$A271&gt;BA$7)),0,MAX(0,ROUND((INDEX($E271:$G271,BA$5)-SUMIFS(TF_Timer,TF_Tekniker,BA$4,TF_Dato,$A271))*2,0)/2)))</f>
        <v/>
      </c>
      <c r="BB271">
        <f>IF(OR(BB$4="",$A271&gt;TODAY()),0,IF(OR(INDEX($B271:$D271,BB$5)="F",AND(BB$6&gt;0,$A271&lt;BB$6),AND(BB$7&gt;0,$A271&gt;BB$7)),0,MAX(0,ROUND((INDEX($E271:$G271,BB$5)-SUMIFS(TF_Timer,TF_Tekniker,BB$4,TF_Dato,$A271))*2,0)/2)))</f>
        <v/>
      </c>
      <c r="BC271">
        <f>IF(OR(BC$4="",$A271&gt;TODAY()),0,IF(OR(INDEX($B271:$D271,BC$5)="F",AND(BC$6&gt;0,$A271&lt;BC$6),AND(BC$7&gt;0,$A271&gt;BC$7)),0,MAX(0,ROUND((INDEX($E271:$G271,BC$5)-SUMIFS(TF_Timer,TF_Tekniker,BC$4,TF_Dato,$A271))*2,0)/2)))</f>
        <v/>
      </c>
      <c r="BD271">
        <f>IF(OR(BD$4="",$A271&gt;TODAY()),0,IF(OR(INDEX($B271:$D271,BD$5)="F",AND(BD$6&gt;0,$A271&lt;BD$6),AND(BD$7&gt;0,$A271&gt;BD$7)),0,MAX(0,ROUND((INDEX($E271:$G271,BD$5)-SUMIFS(TF_Timer,TF_Tekniker,BD$4,TF_Dato,$A271))*2,0)/2)))</f>
        <v/>
      </c>
      <c r="BE271">
        <f>IF(OR(BE$4="",$A271&gt;TODAY()),0,IF(OR(INDEX($B271:$D271,BE$5)="F",AND(BE$6&gt;0,$A271&lt;BE$6),AND(BE$7&gt;0,$A271&gt;BE$7)),0,MAX(0,ROUND((INDEX($E271:$G271,BE$5)-SUMIFS(TF_Timer,TF_Tekniker,BE$4,TF_Dato,$A271))*2,0)/2)))</f>
        <v/>
      </c>
      <c r="BF271">
        <f>IF(OR(BF$4="",$A271&gt;TODAY()),0,IF(OR(INDEX($B271:$D271,BF$5)="F",AND(BF$6&gt;0,$A271&lt;BF$6),AND(BF$7&gt;0,$A271&gt;BF$7)),0,MAX(0,ROUND((INDEX($E271:$G271,BF$5)-SUMIFS(TF_Timer,TF_Tekniker,BF$4,TF_Dato,$A271))*2,0)/2)))</f>
        <v/>
      </c>
      <c r="BG271">
        <f>IF(OR(BG$4="",$A271&gt;TODAY()),0,IF(OR(INDEX($B271:$D271,BG$5)="F",AND(BG$6&gt;0,$A271&lt;BG$6),AND(BG$7&gt;0,$A271&gt;BG$7)),0,MAX(0,ROUND((INDEX($E271:$G271,BG$5)-SUMIFS(TF_Timer,TF_Tekniker,BG$4,TF_Dato,$A271))*2,0)/2)))</f>
        <v/>
      </c>
      <c r="BH271">
        <f>IF(OR(BH$4="",$A271&gt;TODAY()),0,IF(OR(INDEX($B271:$D271,BH$5)="F",AND(BH$6&gt;0,$A271&lt;BH$6),AND(BH$7&gt;0,$A271&gt;BH$7)),0,MAX(0,ROUND((INDEX($E271:$G271,BH$5)-SUMIFS(TF_Timer,TF_Tekniker,BH$4,TF_Dato,$A271))*2,0)/2)))</f>
        <v/>
      </c>
      <c r="BI271">
        <f>IF(OR(BI$4="",$A271&gt;TODAY()),0,IF(OR(INDEX($B271:$D271,BI$5)="F",AND(BI$6&gt;0,$A271&lt;BI$6),AND(BI$7&gt;0,$A271&gt;BI$7)),0,MAX(0,ROUND((INDEX($E271:$G271,BI$5)-SUMIFS(TF_Timer,TF_Tekniker,BI$4,TF_Dato,$A271))*2,0)/2)))</f>
        <v/>
      </c>
    </row>
    <row r="272">
      <c r="A272" s="64">
        <f>A271+1</f>
        <v/>
      </c>
      <c r="B272">
        <f>IF(MOD($A272-INDEX(SkiftStart,1),Syklus)&lt;DagK,"K",IF(MOD($A272-INDEX(SkiftStart,1),Syklus)&lt;DagK+DagH,"H",IF(MOD($A272-INDEX(SkiftStart,1),Syklus)&lt;DagK+DagH+DagD,"D","F")))</f>
        <v/>
      </c>
      <c r="C272">
        <f>IF(MOD($A272-INDEX(SkiftStart,2),Syklus)&lt;DagK,"K",IF(MOD($A272-INDEX(SkiftStart,2),Syklus)&lt;DagK+DagH,"H",IF(MOD($A272-INDEX(SkiftStart,2),Syklus)&lt;DagK+DagH+DagD,"D","F")))</f>
        <v/>
      </c>
      <c r="D272">
        <f>IF(MOD($A272-INDEX(SkiftStart,3),Syklus)&lt;DagK,"K",IF(MOD($A272-INDEX(SkiftStart,3),Syklus)&lt;DagK+DagH,"H",IF(MOD($A272-INDEX(SkiftStart,3),Syklus)&lt;DagK+DagH+DagD,"D","F")))</f>
        <v/>
      </c>
      <c r="E272">
        <f>IF(B272="F",0,IF(WEEKDAY($A272,2)=5,INDEX(TimerFr,MATCH(B272,FaseKode,0)),INDEX(TimerMT,MATCH(B272,FaseKode,0))))</f>
        <v/>
      </c>
      <c r="F272">
        <f>IF(C272="F",0,IF(WEEKDAY($A272,2)=5,INDEX(TimerFr,MATCH(C272,FaseKode,0)),INDEX(TimerMT,MATCH(C272,FaseKode,0))))</f>
        <v/>
      </c>
      <c r="G272">
        <f>IF(D272="F",0,IF(WEEKDAY($A272,2)=5,INDEX(TimerFr,MATCH(D272,FaseKode,0)),INDEX(TimerMT,MATCH(D272,FaseKode,0))))</f>
        <v/>
      </c>
      <c r="H272">
        <f>IF(OR(H$4="",$A272&gt;TODAY()),0,IF(OR(INDEX($B272:$D272,H$5)="F",AND(H$6&gt;0,$A272&lt;H$6),AND(H$7&gt;0,$A272&gt;H$7)),0,MAX(0,ROUND((INDEX($E272:$G272,H$5)-SUMIFS(TF_Timer,TF_Tekniker,H$4,TF_Dato,$A272))*2,0)/2)))</f>
        <v/>
      </c>
      <c r="I272">
        <f>IF(OR(I$4="",$A272&gt;TODAY()),0,IF(OR(INDEX($B272:$D272,I$5)="F",AND(I$6&gt;0,$A272&lt;I$6),AND(I$7&gt;0,$A272&gt;I$7)),0,MAX(0,ROUND((INDEX($E272:$G272,I$5)-SUMIFS(TF_Timer,TF_Tekniker,I$4,TF_Dato,$A272))*2,0)/2)))</f>
        <v/>
      </c>
      <c r="J272">
        <f>IF(OR(J$4="",$A272&gt;TODAY()),0,IF(OR(INDEX($B272:$D272,J$5)="F",AND(J$6&gt;0,$A272&lt;J$6),AND(J$7&gt;0,$A272&gt;J$7)),0,MAX(0,ROUND((INDEX($E272:$G272,J$5)-SUMIFS(TF_Timer,TF_Tekniker,J$4,TF_Dato,$A272))*2,0)/2)))</f>
        <v/>
      </c>
      <c r="K272">
        <f>IF(OR(K$4="",$A272&gt;TODAY()),0,IF(OR(INDEX($B272:$D272,K$5)="F",AND(K$6&gt;0,$A272&lt;K$6),AND(K$7&gt;0,$A272&gt;K$7)),0,MAX(0,ROUND((INDEX($E272:$G272,K$5)-SUMIFS(TF_Timer,TF_Tekniker,K$4,TF_Dato,$A272))*2,0)/2)))</f>
        <v/>
      </c>
      <c r="L272">
        <f>IF(OR(L$4="",$A272&gt;TODAY()),0,IF(OR(INDEX($B272:$D272,L$5)="F",AND(L$6&gt;0,$A272&lt;L$6),AND(L$7&gt;0,$A272&gt;L$7)),0,MAX(0,ROUND((INDEX($E272:$G272,L$5)-SUMIFS(TF_Timer,TF_Tekniker,L$4,TF_Dato,$A272))*2,0)/2)))</f>
        <v/>
      </c>
      <c r="M272">
        <f>IF(OR(M$4="",$A272&gt;TODAY()),0,IF(OR(INDEX($B272:$D272,M$5)="F",AND(M$6&gt;0,$A272&lt;M$6),AND(M$7&gt;0,$A272&gt;M$7)),0,MAX(0,ROUND((INDEX($E272:$G272,M$5)-SUMIFS(TF_Timer,TF_Tekniker,M$4,TF_Dato,$A272))*2,0)/2)))</f>
        <v/>
      </c>
      <c r="N272">
        <f>IF(OR(N$4="",$A272&gt;TODAY()),0,IF(OR(INDEX($B272:$D272,N$5)="F",AND(N$6&gt;0,$A272&lt;N$6),AND(N$7&gt;0,$A272&gt;N$7)),0,MAX(0,ROUND((INDEX($E272:$G272,N$5)-SUMIFS(TF_Timer,TF_Tekniker,N$4,TF_Dato,$A272))*2,0)/2)))</f>
        <v/>
      </c>
      <c r="O272">
        <f>IF(OR(O$4="",$A272&gt;TODAY()),0,IF(OR(INDEX($B272:$D272,O$5)="F",AND(O$6&gt;0,$A272&lt;O$6),AND(O$7&gt;0,$A272&gt;O$7)),0,MAX(0,ROUND((INDEX($E272:$G272,O$5)-SUMIFS(TF_Timer,TF_Tekniker,O$4,TF_Dato,$A272))*2,0)/2)))</f>
        <v/>
      </c>
      <c r="P272">
        <f>IF(OR(P$4="",$A272&gt;TODAY()),0,IF(OR(INDEX($B272:$D272,P$5)="F",AND(P$6&gt;0,$A272&lt;P$6),AND(P$7&gt;0,$A272&gt;P$7)),0,MAX(0,ROUND((INDEX($E272:$G272,P$5)-SUMIFS(TF_Timer,TF_Tekniker,P$4,TF_Dato,$A272))*2,0)/2)))</f>
        <v/>
      </c>
      <c r="Q272">
        <f>IF(OR(Q$4="",$A272&gt;TODAY()),0,IF(OR(INDEX($B272:$D272,Q$5)="F",AND(Q$6&gt;0,$A272&lt;Q$6),AND(Q$7&gt;0,$A272&gt;Q$7)),0,MAX(0,ROUND((INDEX($E272:$G272,Q$5)-SUMIFS(TF_Timer,TF_Tekniker,Q$4,TF_Dato,$A272))*2,0)/2)))</f>
        <v/>
      </c>
      <c r="R272">
        <f>IF(OR(R$4="",$A272&gt;TODAY()),0,IF(OR(INDEX($B272:$D272,R$5)="F",AND(R$6&gt;0,$A272&lt;R$6),AND(R$7&gt;0,$A272&gt;R$7)),0,MAX(0,ROUND((INDEX($E272:$G272,R$5)-SUMIFS(TF_Timer,TF_Tekniker,R$4,TF_Dato,$A272))*2,0)/2)))</f>
        <v/>
      </c>
      <c r="S272">
        <f>IF(OR(S$4="",$A272&gt;TODAY()),0,IF(OR(INDEX($B272:$D272,S$5)="F",AND(S$6&gt;0,$A272&lt;S$6),AND(S$7&gt;0,$A272&gt;S$7)),0,MAX(0,ROUND((INDEX($E272:$G272,S$5)-SUMIFS(TF_Timer,TF_Tekniker,S$4,TF_Dato,$A272))*2,0)/2)))</f>
        <v/>
      </c>
      <c r="T272">
        <f>IF(OR(T$4="",$A272&gt;TODAY()),0,IF(OR(INDEX($B272:$D272,T$5)="F",AND(T$6&gt;0,$A272&lt;T$6),AND(T$7&gt;0,$A272&gt;T$7)),0,MAX(0,ROUND((INDEX($E272:$G272,T$5)-SUMIFS(TF_Timer,TF_Tekniker,T$4,TF_Dato,$A272))*2,0)/2)))</f>
        <v/>
      </c>
      <c r="U272">
        <f>IF(OR(U$4="",$A272&gt;TODAY()),0,IF(OR(INDEX($B272:$D272,U$5)="F",AND(U$6&gt;0,$A272&lt;U$6),AND(U$7&gt;0,$A272&gt;U$7)),0,MAX(0,ROUND((INDEX($E272:$G272,U$5)-SUMIFS(TF_Timer,TF_Tekniker,U$4,TF_Dato,$A272))*2,0)/2)))</f>
        <v/>
      </c>
      <c r="V272">
        <f>IF(OR(V$4="",$A272&gt;TODAY()),0,IF(OR(INDEX($B272:$D272,V$5)="F",AND(V$6&gt;0,$A272&lt;V$6),AND(V$7&gt;0,$A272&gt;V$7)),0,MAX(0,ROUND((INDEX($E272:$G272,V$5)-SUMIFS(TF_Timer,TF_Tekniker,V$4,TF_Dato,$A272))*2,0)/2)))</f>
        <v/>
      </c>
      <c r="W272">
        <f>IF(OR(W$4="",$A272&gt;TODAY()),0,IF(OR(INDEX($B272:$D272,W$5)="F",AND(W$6&gt;0,$A272&lt;W$6),AND(W$7&gt;0,$A272&gt;W$7)),0,MAX(0,ROUND((INDEX($E272:$G272,W$5)-SUMIFS(TF_Timer,TF_Tekniker,W$4,TF_Dato,$A272))*2,0)/2)))</f>
        <v/>
      </c>
      <c r="X272">
        <f>IF(OR(X$4="",$A272&gt;TODAY()),0,IF(OR(INDEX($B272:$D272,X$5)="F",AND(X$6&gt;0,$A272&lt;X$6),AND(X$7&gt;0,$A272&gt;X$7)),0,MAX(0,ROUND((INDEX($E272:$G272,X$5)-SUMIFS(TF_Timer,TF_Tekniker,X$4,TF_Dato,$A272))*2,0)/2)))</f>
        <v/>
      </c>
      <c r="Y272">
        <f>IF(OR(Y$4="",$A272&gt;TODAY()),0,IF(OR(INDEX($B272:$D272,Y$5)="F",AND(Y$6&gt;0,$A272&lt;Y$6),AND(Y$7&gt;0,$A272&gt;Y$7)),0,MAX(0,ROUND((INDEX($E272:$G272,Y$5)-SUMIFS(TF_Timer,TF_Tekniker,Y$4,TF_Dato,$A272))*2,0)/2)))</f>
        <v/>
      </c>
      <c r="Z272">
        <f>IF(OR(Z$4="",$A272&gt;TODAY()),0,IF(OR(INDEX($B272:$D272,Z$5)="F",AND(Z$6&gt;0,$A272&lt;Z$6),AND(Z$7&gt;0,$A272&gt;Z$7)),0,MAX(0,ROUND((INDEX($E272:$G272,Z$5)-SUMIFS(TF_Timer,TF_Tekniker,Z$4,TF_Dato,$A272))*2,0)/2)))</f>
        <v/>
      </c>
      <c r="AA272">
        <f>IF(OR(AA$4="",$A272&gt;TODAY()),0,IF(OR(INDEX($B272:$D272,AA$5)="F",AND(AA$6&gt;0,$A272&lt;AA$6),AND(AA$7&gt;0,$A272&gt;AA$7)),0,MAX(0,ROUND((INDEX($E272:$G272,AA$5)-SUMIFS(TF_Timer,TF_Tekniker,AA$4,TF_Dato,$A272))*2,0)/2)))</f>
        <v/>
      </c>
      <c r="AB272">
        <f>IF(OR(AB$4="",$A272&gt;TODAY()),0,IF(OR(INDEX($B272:$D272,AB$5)="F",AND(AB$6&gt;0,$A272&lt;AB$6),AND(AB$7&gt;0,$A272&gt;AB$7)),0,MAX(0,ROUND((INDEX($E272:$G272,AB$5)-SUMIFS(TF_Timer,TF_Tekniker,AB$4,TF_Dato,$A272))*2,0)/2)))</f>
        <v/>
      </c>
      <c r="AC272">
        <f>IF(OR(AC$4="",$A272&gt;TODAY()),0,IF(OR(INDEX($B272:$D272,AC$5)="F",AND(AC$6&gt;0,$A272&lt;AC$6),AND(AC$7&gt;0,$A272&gt;AC$7)),0,MAX(0,ROUND((INDEX($E272:$G272,AC$5)-SUMIFS(TF_Timer,TF_Tekniker,AC$4,TF_Dato,$A272))*2,0)/2)))</f>
        <v/>
      </c>
      <c r="AD272">
        <f>IF(OR(AD$4="",$A272&gt;TODAY()),0,IF(OR(INDEX($B272:$D272,AD$5)="F",AND(AD$6&gt;0,$A272&lt;AD$6),AND(AD$7&gt;0,$A272&gt;AD$7)),0,MAX(0,ROUND((INDEX($E272:$G272,AD$5)-SUMIFS(TF_Timer,TF_Tekniker,AD$4,TF_Dato,$A272))*2,0)/2)))</f>
        <v/>
      </c>
      <c r="AE272">
        <f>IF(OR(AE$4="",$A272&gt;TODAY()),0,IF(OR(INDEX($B272:$D272,AE$5)="F",AND(AE$6&gt;0,$A272&lt;AE$6),AND(AE$7&gt;0,$A272&gt;AE$7)),0,MAX(0,ROUND((INDEX($E272:$G272,AE$5)-SUMIFS(TF_Timer,TF_Tekniker,AE$4,TF_Dato,$A272))*2,0)/2)))</f>
        <v/>
      </c>
      <c r="AF272">
        <f>IF(OR(AF$4="",$A272&gt;TODAY()),0,IF(OR(INDEX($B272:$D272,AF$5)="F",AND(AF$6&gt;0,$A272&lt;AF$6),AND(AF$7&gt;0,$A272&gt;AF$7)),0,MAX(0,ROUND((INDEX($E272:$G272,AF$5)-SUMIFS(TF_Timer,TF_Tekniker,AF$4,TF_Dato,$A272))*2,0)/2)))</f>
        <v/>
      </c>
      <c r="AG272">
        <f>IF(OR(AG$4="",$A272&gt;TODAY()),0,IF(OR(INDEX($B272:$D272,AG$5)="F",AND(AG$6&gt;0,$A272&lt;AG$6),AND(AG$7&gt;0,$A272&gt;AG$7)),0,MAX(0,ROUND((INDEX($E272:$G272,AG$5)-SUMIFS(TF_Timer,TF_Tekniker,AG$4,TF_Dato,$A272))*2,0)/2)))</f>
        <v/>
      </c>
      <c r="AH272">
        <f>IF(OR(AH$4="",$A272&gt;TODAY()),0,IF(OR(INDEX($B272:$D272,AH$5)="F",AND(AH$6&gt;0,$A272&lt;AH$6),AND(AH$7&gt;0,$A272&gt;AH$7)),0,MAX(0,ROUND((INDEX($E272:$G272,AH$5)-SUMIFS(TF_Timer,TF_Tekniker,AH$4,TF_Dato,$A272))*2,0)/2)))</f>
        <v/>
      </c>
      <c r="AI272">
        <f>IF(OR(AI$4="",$A272&gt;TODAY()),0,IF(OR(INDEX($B272:$D272,AI$5)="F",AND(AI$6&gt;0,$A272&lt;AI$6),AND(AI$7&gt;0,$A272&gt;AI$7)),0,MAX(0,ROUND((INDEX($E272:$G272,AI$5)-SUMIFS(TF_Timer,TF_Tekniker,AI$4,TF_Dato,$A272))*2,0)/2)))</f>
        <v/>
      </c>
      <c r="AJ272">
        <f>IF(OR(AJ$4="",$A272&gt;TODAY()),0,IF(OR(INDEX($B272:$D272,AJ$5)="F",AND(AJ$6&gt;0,$A272&lt;AJ$6),AND(AJ$7&gt;0,$A272&gt;AJ$7)),0,MAX(0,ROUND((INDEX($E272:$G272,AJ$5)-SUMIFS(TF_Timer,TF_Tekniker,AJ$4,TF_Dato,$A272))*2,0)/2)))</f>
        <v/>
      </c>
      <c r="AK272">
        <f>IF(OR(AK$4="",$A272&gt;TODAY()),0,IF(OR(INDEX($B272:$D272,AK$5)="F",AND(AK$6&gt;0,$A272&lt;AK$6),AND(AK$7&gt;0,$A272&gt;AK$7)),0,MAX(0,ROUND((INDEX($E272:$G272,AK$5)-SUMIFS(TF_Timer,TF_Tekniker,AK$4,TF_Dato,$A272))*2,0)/2)))</f>
        <v/>
      </c>
      <c r="AL272">
        <f>IF(OR(AL$4="",$A272&gt;TODAY()),0,IF(OR(INDEX($B272:$D272,AL$5)="F",AND(AL$6&gt;0,$A272&lt;AL$6),AND(AL$7&gt;0,$A272&gt;AL$7)),0,MAX(0,ROUND((INDEX($E272:$G272,AL$5)-SUMIFS(TF_Timer,TF_Tekniker,AL$4,TF_Dato,$A272))*2,0)/2)))</f>
        <v/>
      </c>
      <c r="AM272">
        <f>IF(OR(AM$4="",$A272&gt;TODAY()),0,IF(OR(INDEX($B272:$D272,AM$5)="F",AND(AM$6&gt;0,$A272&lt;AM$6),AND(AM$7&gt;0,$A272&gt;AM$7)),0,MAX(0,ROUND((INDEX($E272:$G272,AM$5)-SUMIFS(TF_Timer,TF_Tekniker,AM$4,TF_Dato,$A272))*2,0)/2)))</f>
        <v/>
      </c>
      <c r="AN272">
        <f>IF(OR(AN$4="",$A272&gt;TODAY()),0,IF(OR(INDEX($B272:$D272,AN$5)="F",AND(AN$6&gt;0,$A272&lt;AN$6),AND(AN$7&gt;0,$A272&gt;AN$7)),0,MAX(0,ROUND((INDEX($E272:$G272,AN$5)-SUMIFS(TF_Timer,TF_Tekniker,AN$4,TF_Dato,$A272))*2,0)/2)))</f>
        <v/>
      </c>
      <c r="AO272">
        <f>IF(OR(AO$4="",$A272&gt;TODAY()),0,IF(OR(INDEX($B272:$D272,AO$5)="F",AND(AO$6&gt;0,$A272&lt;AO$6),AND(AO$7&gt;0,$A272&gt;AO$7)),0,MAX(0,ROUND((INDEX($E272:$G272,AO$5)-SUMIFS(TF_Timer,TF_Tekniker,AO$4,TF_Dato,$A272))*2,0)/2)))</f>
        <v/>
      </c>
      <c r="AP272">
        <f>IF(OR(AP$4="",$A272&gt;TODAY()),0,IF(OR(INDEX($B272:$D272,AP$5)="F",AND(AP$6&gt;0,$A272&lt;AP$6),AND(AP$7&gt;0,$A272&gt;AP$7)),0,MAX(0,ROUND((INDEX($E272:$G272,AP$5)-SUMIFS(TF_Timer,TF_Tekniker,AP$4,TF_Dato,$A272))*2,0)/2)))</f>
        <v/>
      </c>
      <c r="AQ272">
        <f>IF(OR(AQ$4="",$A272&gt;TODAY()),0,IF(OR(INDEX($B272:$D272,AQ$5)="F",AND(AQ$6&gt;0,$A272&lt;AQ$6),AND(AQ$7&gt;0,$A272&gt;AQ$7)),0,MAX(0,ROUND((INDEX($E272:$G272,AQ$5)-SUMIFS(TF_Timer,TF_Tekniker,AQ$4,TF_Dato,$A272))*2,0)/2)))</f>
        <v/>
      </c>
      <c r="AR272">
        <f>IF(OR(AR$4="",$A272&gt;TODAY()),0,IF(OR(INDEX($B272:$D272,AR$5)="F",AND(AR$6&gt;0,$A272&lt;AR$6),AND(AR$7&gt;0,$A272&gt;AR$7)),0,MAX(0,ROUND((INDEX($E272:$G272,AR$5)-SUMIFS(TF_Timer,TF_Tekniker,AR$4,TF_Dato,$A272))*2,0)/2)))</f>
        <v/>
      </c>
      <c r="AS272">
        <f>IF(OR(AS$4="",$A272&gt;TODAY()),0,IF(OR(INDEX($B272:$D272,AS$5)="F",AND(AS$6&gt;0,$A272&lt;AS$6),AND(AS$7&gt;0,$A272&gt;AS$7)),0,MAX(0,ROUND((INDEX($E272:$G272,AS$5)-SUMIFS(TF_Timer,TF_Tekniker,AS$4,TF_Dato,$A272))*2,0)/2)))</f>
        <v/>
      </c>
      <c r="AT272">
        <f>IF(OR(AT$4="",$A272&gt;TODAY()),0,IF(OR(INDEX($B272:$D272,AT$5)="F",AND(AT$6&gt;0,$A272&lt;AT$6),AND(AT$7&gt;0,$A272&gt;AT$7)),0,MAX(0,ROUND((INDEX($E272:$G272,AT$5)-SUMIFS(TF_Timer,TF_Tekniker,AT$4,TF_Dato,$A272))*2,0)/2)))</f>
        <v/>
      </c>
      <c r="AU272">
        <f>IF(OR(AU$4="",$A272&gt;TODAY()),0,IF(OR(INDEX($B272:$D272,AU$5)="F",AND(AU$6&gt;0,$A272&lt;AU$6),AND(AU$7&gt;0,$A272&gt;AU$7)),0,MAX(0,ROUND((INDEX($E272:$G272,AU$5)-SUMIFS(TF_Timer,TF_Tekniker,AU$4,TF_Dato,$A272))*2,0)/2)))</f>
        <v/>
      </c>
      <c r="AV272">
        <f>IF(OR(AV$4="",$A272&gt;TODAY()),0,IF(OR(INDEX($B272:$D272,AV$5)="F",AND(AV$6&gt;0,$A272&lt;AV$6),AND(AV$7&gt;0,$A272&gt;AV$7)),0,MAX(0,ROUND((INDEX($E272:$G272,AV$5)-SUMIFS(TF_Timer,TF_Tekniker,AV$4,TF_Dato,$A272))*2,0)/2)))</f>
        <v/>
      </c>
      <c r="AW272">
        <f>IF(OR(AW$4="",$A272&gt;TODAY()),0,IF(OR(INDEX($B272:$D272,AW$5)="F",AND(AW$6&gt;0,$A272&lt;AW$6),AND(AW$7&gt;0,$A272&gt;AW$7)),0,MAX(0,ROUND((INDEX($E272:$G272,AW$5)-SUMIFS(TF_Timer,TF_Tekniker,AW$4,TF_Dato,$A272))*2,0)/2)))</f>
        <v/>
      </c>
      <c r="AX272">
        <f>IF(OR(AX$4="",$A272&gt;TODAY()),0,IF(OR(INDEX($B272:$D272,AX$5)="F",AND(AX$6&gt;0,$A272&lt;AX$6),AND(AX$7&gt;0,$A272&gt;AX$7)),0,MAX(0,ROUND((INDEX($E272:$G272,AX$5)-SUMIFS(TF_Timer,TF_Tekniker,AX$4,TF_Dato,$A272))*2,0)/2)))</f>
        <v/>
      </c>
      <c r="AY272">
        <f>IF(OR(AY$4="",$A272&gt;TODAY()),0,IF(OR(INDEX($B272:$D272,AY$5)="F",AND(AY$6&gt;0,$A272&lt;AY$6),AND(AY$7&gt;0,$A272&gt;AY$7)),0,MAX(0,ROUND((INDEX($E272:$G272,AY$5)-SUMIFS(TF_Timer,TF_Tekniker,AY$4,TF_Dato,$A272))*2,0)/2)))</f>
        <v/>
      </c>
      <c r="AZ272">
        <f>IF(OR(AZ$4="",$A272&gt;TODAY()),0,IF(OR(INDEX($B272:$D272,AZ$5)="F",AND(AZ$6&gt;0,$A272&lt;AZ$6),AND(AZ$7&gt;0,$A272&gt;AZ$7)),0,MAX(0,ROUND((INDEX($E272:$G272,AZ$5)-SUMIFS(TF_Timer,TF_Tekniker,AZ$4,TF_Dato,$A272))*2,0)/2)))</f>
        <v/>
      </c>
      <c r="BA272">
        <f>IF(OR(BA$4="",$A272&gt;TODAY()),0,IF(OR(INDEX($B272:$D272,BA$5)="F",AND(BA$6&gt;0,$A272&lt;BA$6),AND(BA$7&gt;0,$A272&gt;BA$7)),0,MAX(0,ROUND((INDEX($E272:$G272,BA$5)-SUMIFS(TF_Timer,TF_Tekniker,BA$4,TF_Dato,$A272))*2,0)/2)))</f>
        <v/>
      </c>
      <c r="BB272">
        <f>IF(OR(BB$4="",$A272&gt;TODAY()),0,IF(OR(INDEX($B272:$D272,BB$5)="F",AND(BB$6&gt;0,$A272&lt;BB$6),AND(BB$7&gt;0,$A272&gt;BB$7)),0,MAX(0,ROUND((INDEX($E272:$G272,BB$5)-SUMIFS(TF_Timer,TF_Tekniker,BB$4,TF_Dato,$A272))*2,0)/2)))</f>
        <v/>
      </c>
      <c r="BC272">
        <f>IF(OR(BC$4="",$A272&gt;TODAY()),0,IF(OR(INDEX($B272:$D272,BC$5)="F",AND(BC$6&gt;0,$A272&lt;BC$6),AND(BC$7&gt;0,$A272&gt;BC$7)),0,MAX(0,ROUND((INDEX($E272:$G272,BC$5)-SUMIFS(TF_Timer,TF_Tekniker,BC$4,TF_Dato,$A272))*2,0)/2)))</f>
        <v/>
      </c>
      <c r="BD272">
        <f>IF(OR(BD$4="",$A272&gt;TODAY()),0,IF(OR(INDEX($B272:$D272,BD$5)="F",AND(BD$6&gt;0,$A272&lt;BD$6),AND(BD$7&gt;0,$A272&gt;BD$7)),0,MAX(0,ROUND((INDEX($E272:$G272,BD$5)-SUMIFS(TF_Timer,TF_Tekniker,BD$4,TF_Dato,$A272))*2,0)/2)))</f>
        <v/>
      </c>
      <c r="BE272">
        <f>IF(OR(BE$4="",$A272&gt;TODAY()),0,IF(OR(INDEX($B272:$D272,BE$5)="F",AND(BE$6&gt;0,$A272&lt;BE$6),AND(BE$7&gt;0,$A272&gt;BE$7)),0,MAX(0,ROUND((INDEX($E272:$G272,BE$5)-SUMIFS(TF_Timer,TF_Tekniker,BE$4,TF_Dato,$A272))*2,0)/2)))</f>
        <v/>
      </c>
      <c r="BF272">
        <f>IF(OR(BF$4="",$A272&gt;TODAY()),0,IF(OR(INDEX($B272:$D272,BF$5)="F",AND(BF$6&gt;0,$A272&lt;BF$6),AND(BF$7&gt;0,$A272&gt;BF$7)),0,MAX(0,ROUND((INDEX($E272:$G272,BF$5)-SUMIFS(TF_Timer,TF_Tekniker,BF$4,TF_Dato,$A272))*2,0)/2)))</f>
        <v/>
      </c>
      <c r="BG272">
        <f>IF(OR(BG$4="",$A272&gt;TODAY()),0,IF(OR(INDEX($B272:$D272,BG$5)="F",AND(BG$6&gt;0,$A272&lt;BG$6),AND(BG$7&gt;0,$A272&gt;BG$7)),0,MAX(0,ROUND((INDEX($E272:$G272,BG$5)-SUMIFS(TF_Timer,TF_Tekniker,BG$4,TF_Dato,$A272))*2,0)/2)))</f>
        <v/>
      </c>
      <c r="BH272">
        <f>IF(OR(BH$4="",$A272&gt;TODAY()),0,IF(OR(INDEX($B272:$D272,BH$5)="F",AND(BH$6&gt;0,$A272&lt;BH$6),AND(BH$7&gt;0,$A272&gt;BH$7)),0,MAX(0,ROUND((INDEX($E272:$G272,BH$5)-SUMIFS(TF_Timer,TF_Tekniker,BH$4,TF_Dato,$A272))*2,0)/2)))</f>
        <v/>
      </c>
      <c r="BI272">
        <f>IF(OR(BI$4="",$A272&gt;TODAY()),0,IF(OR(INDEX($B272:$D272,BI$5)="F",AND(BI$6&gt;0,$A272&lt;BI$6),AND(BI$7&gt;0,$A272&gt;BI$7)),0,MAX(0,ROUND((INDEX($E272:$G272,BI$5)-SUMIFS(TF_Timer,TF_Tekniker,BI$4,TF_Dato,$A272))*2,0)/2)))</f>
        <v/>
      </c>
    </row>
    <row r="273">
      <c r="A273" s="64">
        <f>A272+1</f>
        <v/>
      </c>
      <c r="B273">
        <f>IF(MOD($A273-INDEX(SkiftStart,1),Syklus)&lt;DagK,"K",IF(MOD($A273-INDEX(SkiftStart,1),Syklus)&lt;DagK+DagH,"H",IF(MOD($A273-INDEX(SkiftStart,1),Syklus)&lt;DagK+DagH+DagD,"D","F")))</f>
        <v/>
      </c>
      <c r="C273">
        <f>IF(MOD($A273-INDEX(SkiftStart,2),Syklus)&lt;DagK,"K",IF(MOD($A273-INDEX(SkiftStart,2),Syklus)&lt;DagK+DagH,"H",IF(MOD($A273-INDEX(SkiftStart,2),Syklus)&lt;DagK+DagH+DagD,"D","F")))</f>
        <v/>
      </c>
      <c r="D273">
        <f>IF(MOD($A273-INDEX(SkiftStart,3),Syklus)&lt;DagK,"K",IF(MOD($A273-INDEX(SkiftStart,3),Syklus)&lt;DagK+DagH,"H",IF(MOD($A273-INDEX(SkiftStart,3),Syklus)&lt;DagK+DagH+DagD,"D","F")))</f>
        <v/>
      </c>
      <c r="E273">
        <f>IF(B273="F",0,IF(WEEKDAY($A273,2)=5,INDEX(TimerFr,MATCH(B273,FaseKode,0)),INDEX(TimerMT,MATCH(B273,FaseKode,0))))</f>
        <v/>
      </c>
      <c r="F273">
        <f>IF(C273="F",0,IF(WEEKDAY($A273,2)=5,INDEX(TimerFr,MATCH(C273,FaseKode,0)),INDEX(TimerMT,MATCH(C273,FaseKode,0))))</f>
        <v/>
      </c>
      <c r="G273">
        <f>IF(D273="F",0,IF(WEEKDAY($A273,2)=5,INDEX(TimerFr,MATCH(D273,FaseKode,0)),INDEX(TimerMT,MATCH(D273,FaseKode,0))))</f>
        <v/>
      </c>
      <c r="H273">
        <f>IF(OR(H$4="",$A273&gt;TODAY()),0,IF(OR(INDEX($B273:$D273,H$5)="F",AND(H$6&gt;0,$A273&lt;H$6),AND(H$7&gt;0,$A273&gt;H$7)),0,MAX(0,ROUND((INDEX($E273:$G273,H$5)-SUMIFS(TF_Timer,TF_Tekniker,H$4,TF_Dato,$A273))*2,0)/2)))</f>
        <v/>
      </c>
      <c r="I273">
        <f>IF(OR(I$4="",$A273&gt;TODAY()),0,IF(OR(INDEX($B273:$D273,I$5)="F",AND(I$6&gt;0,$A273&lt;I$6),AND(I$7&gt;0,$A273&gt;I$7)),0,MAX(0,ROUND((INDEX($E273:$G273,I$5)-SUMIFS(TF_Timer,TF_Tekniker,I$4,TF_Dato,$A273))*2,0)/2)))</f>
        <v/>
      </c>
      <c r="J273">
        <f>IF(OR(J$4="",$A273&gt;TODAY()),0,IF(OR(INDEX($B273:$D273,J$5)="F",AND(J$6&gt;0,$A273&lt;J$6),AND(J$7&gt;0,$A273&gt;J$7)),0,MAX(0,ROUND((INDEX($E273:$G273,J$5)-SUMIFS(TF_Timer,TF_Tekniker,J$4,TF_Dato,$A273))*2,0)/2)))</f>
        <v/>
      </c>
      <c r="K273">
        <f>IF(OR(K$4="",$A273&gt;TODAY()),0,IF(OR(INDEX($B273:$D273,K$5)="F",AND(K$6&gt;0,$A273&lt;K$6),AND(K$7&gt;0,$A273&gt;K$7)),0,MAX(0,ROUND((INDEX($E273:$G273,K$5)-SUMIFS(TF_Timer,TF_Tekniker,K$4,TF_Dato,$A273))*2,0)/2)))</f>
        <v/>
      </c>
      <c r="L273">
        <f>IF(OR(L$4="",$A273&gt;TODAY()),0,IF(OR(INDEX($B273:$D273,L$5)="F",AND(L$6&gt;0,$A273&lt;L$6),AND(L$7&gt;0,$A273&gt;L$7)),0,MAX(0,ROUND((INDEX($E273:$G273,L$5)-SUMIFS(TF_Timer,TF_Tekniker,L$4,TF_Dato,$A273))*2,0)/2)))</f>
        <v/>
      </c>
      <c r="M273">
        <f>IF(OR(M$4="",$A273&gt;TODAY()),0,IF(OR(INDEX($B273:$D273,M$5)="F",AND(M$6&gt;0,$A273&lt;M$6),AND(M$7&gt;0,$A273&gt;M$7)),0,MAX(0,ROUND((INDEX($E273:$G273,M$5)-SUMIFS(TF_Timer,TF_Tekniker,M$4,TF_Dato,$A273))*2,0)/2)))</f>
        <v/>
      </c>
      <c r="N273">
        <f>IF(OR(N$4="",$A273&gt;TODAY()),0,IF(OR(INDEX($B273:$D273,N$5)="F",AND(N$6&gt;0,$A273&lt;N$6),AND(N$7&gt;0,$A273&gt;N$7)),0,MAX(0,ROUND((INDEX($E273:$G273,N$5)-SUMIFS(TF_Timer,TF_Tekniker,N$4,TF_Dato,$A273))*2,0)/2)))</f>
        <v/>
      </c>
      <c r="O273">
        <f>IF(OR(O$4="",$A273&gt;TODAY()),0,IF(OR(INDEX($B273:$D273,O$5)="F",AND(O$6&gt;0,$A273&lt;O$6),AND(O$7&gt;0,$A273&gt;O$7)),0,MAX(0,ROUND((INDEX($E273:$G273,O$5)-SUMIFS(TF_Timer,TF_Tekniker,O$4,TF_Dato,$A273))*2,0)/2)))</f>
        <v/>
      </c>
      <c r="P273">
        <f>IF(OR(P$4="",$A273&gt;TODAY()),0,IF(OR(INDEX($B273:$D273,P$5)="F",AND(P$6&gt;0,$A273&lt;P$6),AND(P$7&gt;0,$A273&gt;P$7)),0,MAX(0,ROUND((INDEX($E273:$G273,P$5)-SUMIFS(TF_Timer,TF_Tekniker,P$4,TF_Dato,$A273))*2,0)/2)))</f>
        <v/>
      </c>
      <c r="Q273">
        <f>IF(OR(Q$4="",$A273&gt;TODAY()),0,IF(OR(INDEX($B273:$D273,Q$5)="F",AND(Q$6&gt;0,$A273&lt;Q$6),AND(Q$7&gt;0,$A273&gt;Q$7)),0,MAX(0,ROUND((INDEX($E273:$G273,Q$5)-SUMIFS(TF_Timer,TF_Tekniker,Q$4,TF_Dato,$A273))*2,0)/2)))</f>
        <v/>
      </c>
      <c r="R273">
        <f>IF(OR(R$4="",$A273&gt;TODAY()),0,IF(OR(INDEX($B273:$D273,R$5)="F",AND(R$6&gt;0,$A273&lt;R$6),AND(R$7&gt;0,$A273&gt;R$7)),0,MAX(0,ROUND((INDEX($E273:$G273,R$5)-SUMIFS(TF_Timer,TF_Tekniker,R$4,TF_Dato,$A273))*2,0)/2)))</f>
        <v/>
      </c>
      <c r="S273">
        <f>IF(OR(S$4="",$A273&gt;TODAY()),0,IF(OR(INDEX($B273:$D273,S$5)="F",AND(S$6&gt;0,$A273&lt;S$6),AND(S$7&gt;0,$A273&gt;S$7)),0,MAX(0,ROUND((INDEX($E273:$G273,S$5)-SUMIFS(TF_Timer,TF_Tekniker,S$4,TF_Dato,$A273))*2,0)/2)))</f>
        <v/>
      </c>
      <c r="T273">
        <f>IF(OR(T$4="",$A273&gt;TODAY()),0,IF(OR(INDEX($B273:$D273,T$5)="F",AND(T$6&gt;0,$A273&lt;T$6),AND(T$7&gt;0,$A273&gt;T$7)),0,MAX(0,ROUND((INDEX($E273:$G273,T$5)-SUMIFS(TF_Timer,TF_Tekniker,T$4,TF_Dato,$A273))*2,0)/2)))</f>
        <v/>
      </c>
      <c r="U273">
        <f>IF(OR(U$4="",$A273&gt;TODAY()),0,IF(OR(INDEX($B273:$D273,U$5)="F",AND(U$6&gt;0,$A273&lt;U$6),AND(U$7&gt;0,$A273&gt;U$7)),0,MAX(0,ROUND((INDEX($E273:$G273,U$5)-SUMIFS(TF_Timer,TF_Tekniker,U$4,TF_Dato,$A273))*2,0)/2)))</f>
        <v/>
      </c>
      <c r="V273">
        <f>IF(OR(V$4="",$A273&gt;TODAY()),0,IF(OR(INDEX($B273:$D273,V$5)="F",AND(V$6&gt;0,$A273&lt;V$6),AND(V$7&gt;0,$A273&gt;V$7)),0,MAX(0,ROUND((INDEX($E273:$G273,V$5)-SUMIFS(TF_Timer,TF_Tekniker,V$4,TF_Dato,$A273))*2,0)/2)))</f>
        <v/>
      </c>
      <c r="W273">
        <f>IF(OR(W$4="",$A273&gt;TODAY()),0,IF(OR(INDEX($B273:$D273,W$5)="F",AND(W$6&gt;0,$A273&lt;W$6),AND(W$7&gt;0,$A273&gt;W$7)),0,MAX(0,ROUND((INDEX($E273:$G273,W$5)-SUMIFS(TF_Timer,TF_Tekniker,W$4,TF_Dato,$A273))*2,0)/2)))</f>
        <v/>
      </c>
      <c r="X273">
        <f>IF(OR(X$4="",$A273&gt;TODAY()),0,IF(OR(INDEX($B273:$D273,X$5)="F",AND(X$6&gt;0,$A273&lt;X$6),AND(X$7&gt;0,$A273&gt;X$7)),0,MAX(0,ROUND((INDEX($E273:$G273,X$5)-SUMIFS(TF_Timer,TF_Tekniker,X$4,TF_Dato,$A273))*2,0)/2)))</f>
        <v/>
      </c>
      <c r="Y273">
        <f>IF(OR(Y$4="",$A273&gt;TODAY()),0,IF(OR(INDEX($B273:$D273,Y$5)="F",AND(Y$6&gt;0,$A273&lt;Y$6),AND(Y$7&gt;0,$A273&gt;Y$7)),0,MAX(0,ROUND((INDEX($E273:$G273,Y$5)-SUMIFS(TF_Timer,TF_Tekniker,Y$4,TF_Dato,$A273))*2,0)/2)))</f>
        <v/>
      </c>
      <c r="Z273">
        <f>IF(OR(Z$4="",$A273&gt;TODAY()),0,IF(OR(INDEX($B273:$D273,Z$5)="F",AND(Z$6&gt;0,$A273&lt;Z$6),AND(Z$7&gt;0,$A273&gt;Z$7)),0,MAX(0,ROUND((INDEX($E273:$G273,Z$5)-SUMIFS(TF_Timer,TF_Tekniker,Z$4,TF_Dato,$A273))*2,0)/2)))</f>
        <v/>
      </c>
      <c r="AA273">
        <f>IF(OR(AA$4="",$A273&gt;TODAY()),0,IF(OR(INDEX($B273:$D273,AA$5)="F",AND(AA$6&gt;0,$A273&lt;AA$6),AND(AA$7&gt;0,$A273&gt;AA$7)),0,MAX(0,ROUND((INDEX($E273:$G273,AA$5)-SUMIFS(TF_Timer,TF_Tekniker,AA$4,TF_Dato,$A273))*2,0)/2)))</f>
        <v/>
      </c>
      <c r="AB273">
        <f>IF(OR(AB$4="",$A273&gt;TODAY()),0,IF(OR(INDEX($B273:$D273,AB$5)="F",AND(AB$6&gt;0,$A273&lt;AB$6),AND(AB$7&gt;0,$A273&gt;AB$7)),0,MAX(0,ROUND((INDEX($E273:$G273,AB$5)-SUMIFS(TF_Timer,TF_Tekniker,AB$4,TF_Dato,$A273))*2,0)/2)))</f>
        <v/>
      </c>
      <c r="AC273">
        <f>IF(OR(AC$4="",$A273&gt;TODAY()),0,IF(OR(INDEX($B273:$D273,AC$5)="F",AND(AC$6&gt;0,$A273&lt;AC$6),AND(AC$7&gt;0,$A273&gt;AC$7)),0,MAX(0,ROUND((INDEX($E273:$G273,AC$5)-SUMIFS(TF_Timer,TF_Tekniker,AC$4,TF_Dato,$A273))*2,0)/2)))</f>
        <v/>
      </c>
      <c r="AD273">
        <f>IF(OR(AD$4="",$A273&gt;TODAY()),0,IF(OR(INDEX($B273:$D273,AD$5)="F",AND(AD$6&gt;0,$A273&lt;AD$6),AND(AD$7&gt;0,$A273&gt;AD$7)),0,MAX(0,ROUND((INDEX($E273:$G273,AD$5)-SUMIFS(TF_Timer,TF_Tekniker,AD$4,TF_Dato,$A273))*2,0)/2)))</f>
        <v/>
      </c>
      <c r="AE273">
        <f>IF(OR(AE$4="",$A273&gt;TODAY()),0,IF(OR(INDEX($B273:$D273,AE$5)="F",AND(AE$6&gt;0,$A273&lt;AE$6),AND(AE$7&gt;0,$A273&gt;AE$7)),0,MAX(0,ROUND((INDEX($E273:$G273,AE$5)-SUMIFS(TF_Timer,TF_Tekniker,AE$4,TF_Dato,$A273))*2,0)/2)))</f>
        <v/>
      </c>
      <c r="AF273">
        <f>IF(OR(AF$4="",$A273&gt;TODAY()),0,IF(OR(INDEX($B273:$D273,AF$5)="F",AND(AF$6&gt;0,$A273&lt;AF$6),AND(AF$7&gt;0,$A273&gt;AF$7)),0,MAX(0,ROUND((INDEX($E273:$G273,AF$5)-SUMIFS(TF_Timer,TF_Tekniker,AF$4,TF_Dato,$A273))*2,0)/2)))</f>
        <v/>
      </c>
      <c r="AG273">
        <f>IF(OR(AG$4="",$A273&gt;TODAY()),0,IF(OR(INDEX($B273:$D273,AG$5)="F",AND(AG$6&gt;0,$A273&lt;AG$6),AND(AG$7&gt;0,$A273&gt;AG$7)),0,MAX(0,ROUND((INDEX($E273:$G273,AG$5)-SUMIFS(TF_Timer,TF_Tekniker,AG$4,TF_Dato,$A273))*2,0)/2)))</f>
        <v/>
      </c>
      <c r="AH273">
        <f>IF(OR(AH$4="",$A273&gt;TODAY()),0,IF(OR(INDEX($B273:$D273,AH$5)="F",AND(AH$6&gt;0,$A273&lt;AH$6),AND(AH$7&gt;0,$A273&gt;AH$7)),0,MAX(0,ROUND((INDEX($E273:$G273,AH$5)-SUMIFS(TF_Timer,TF_Tekniker,AH$4,TF_Dato,$A273))*2,0)/2)))</f>
        <v/>
      </c>
      <c r="AI273">
        <f>IF(OR(AI$4="",$A273&gt;TODAY()),0,IF(OR(INDEX($B273:$D273,AI$5)="F",AND(AI$6&gt;0,$A273&lt;AI$6),AND(AI$7&gt;0,$A273&gt;AI$7)),0,MAX(0,ROUND((INDEX($E273:$G273,AI$5)-SUMIFS(TF_Timer,TF_Tekniker,AI$4,TF_Dato,$A273))*2,0)/2)))</f>
        <v/>
      </c>
      <c r="AJ273">
        <f>IF(OR(AJ$4="",$A273&gt;TODAY()),0,IF(OR(INDEX($B273:$D273,AJ$5)="F",AND(AJ$6&gt;0,$A273&lt;AJ$6),AND(AJ$7&gt;0,$A273&gt;AJ$7)),0,MAX(0,ROUND((INDEX($E273:$G273,AJ$5)-SUMIFS(TF_Timer,TF_Tekniker,AJ$4,TF_Dato,$A273))*2,0)/2)))</f>
        <v/>
      </c>
      <c r="AK273">
        <f>IF(OR(AK$4="",$A273&gt;TODAY()),0,IF(OR(INDEX($B273:$D273,AK$5)="F",AND(AK$6&gt;0,$A273&lt;AK$6),AND(AK$7&gt;0,$A273&gt;AK$7)),0,MAX(0,ROUND((INDEX($E273:$G273,AK$5)-SUMIFS(TF_Timer,TF_Tekniker,AK$4,TF_Dato,$A273))*2,0)/2)))</f>
        <v/>
      </c>
      <c r="AL273">
        <f>IF(OR(AL$4="",$A273&gt;TODAY()),0,IF(OR(INDEX($B273:$D273,AL$5)="F",AND(AL$6&gt;0,$A273&lt;AL$6),AND(AL$7&gt;0,$A273&gt;AL$7)),0,MAX(0,ROUND((INDEX($E273:$G273,AL$5)-SUMIFS(TF_Timer,TF_Tekniker,AL$4,TF_Dato,$A273))*2,0)/2)))</f>
        <v/>
      </c>
      <c r="AM273">
        <f>IF(OR(AM$4="",$A273&gt;TODAY()),0,IF(OR(INDEX($B273:$D273,AM$5)="F",AND(AM$6&gt;0,$A273&lt;AM$6),AND(AM$7&gt;0,$A273&gt;AM$7)),0,MAX(0,ROUND((INDEX($E273:$G273,AM$5)-SUMIFS(TF_Timer,TF_Tekniker,AM$4,TF_Dato,$A273))*2,0)/2)))</f>
        <v/>
      </c>
      <c r="AN273">
        <f>IF(OR(AN$4="",$A273&gt;TODAY()),0,IF(OR(INDEX($B273:$D273,AN$5)="F",AND(AN$6&gt;0,$A273&lt;AN$6),AND(AN$7&gt;0,$A273&gt;AN$7)),0,MAX(0,ROUND((INDEX($E273:$G273,AN$5)-SUMIFS(TF_Timer,TF_Tekniker,AN$4,TF_Dato,$A273))*2,0)/2)))</f>
        <v/>
      </c>
      <c r="AO273">
        <f>IF(OR(AO$4="",$A273&gt;TODAY()),0,IF(OR(INDEX($B273:$D273,AO$5)="F",AND(AO$6&gt;0,$A273&lt;AO$6),AND(AO$7&gt;0,$A273&gt;AO$7)),0,MAX(0,ROUND((INDEX($E273:$G273,AO$5)-SUMIFS(TF_Timer,TF_Tekniker,AO$4,TF_Dato,$A273))*2,0)/2)))</f>
        <v/>
      </c>
      <c r="AP273">
        <f>IF(OR(AP$4="",$A273&gt;TODAY()),0,IF(OR(INDEX($B273:$D273,AP$5)="F",AND(AP$6&gt;0,$A273&lt;AP$6),AND(AP$7&gt;0,$A273&gt;AP$7)),0,MAX(0,ROUND((INDEX($E273:$G273,AP$5)-SUMIFS(TF_Timer,TF_Tekniker,AP$4,TF_Dato,$A273))*2,0)/2)))</f>
        <v/>
      </c>
      <c r="AQ273">
        <f>IF(OR(AQ$4="",$A273&gt;TODAY()),0,IF(OR(INDEX($B273:$D273,AQ$5)="F",AND(AQ$6&gt;0,$A273&lt;AQ$6),AND(AQ$7&gt;0,$A273&gt;AQ$7)),0,MAX(0,ROUND((INDEX($E273:$G273,AQ$5)-SUMIFS(TF_Timer,TF_Tekniker,AQ$4,TF_Dato,$A273))*2,0)/2)))</f>
        <v/>
      </c>
      <c r="AR273">
        <f>IF(OR(AR$4="",$A273&gt;TODAY()),0,IF(OR(INDEX($B273:$D273,AR$5)="F",AND(AR$6&gt;0,$A273&lt;AR$6),AND(AR$7&gt;0,$A273&gt;AR$7)),0,MAX(0,ROUND((INDEX($E273:$G273,AR$5)-SUMIFS(TF_Timer,TF_Tekniker,AR$4,TF_Dato,$A273))*2,0)/2)))</f>
        <v/>
      </c>
      <c r="AS273">
        <f>IF(OR(AS$4="",$A273&gt;TODAY()),0,IF(OR(INDEX($B273:$D273,AS$5)="F",AND(AS$6&gt;0,$A273&lt;AS$6),AND(AS$7&gt;0,$A273&gt;AS$7)),0,MAX(0,ROUND((INDEX($E273:$G273,AS$5)-SUMIFS(TF_Timer,TF_Tekniker,AS$4,TF_Dato,$A273))*2,0)/2)))</f>
        <v/>
      </c>
      <c r="AT273">
        <f>IF(OR(AT$4="",$A273&gt;TODAY()),0,IF(OR(INDEX($B273:$D273,AT$5)="F",AND(AT$6&gt;0,$A273&lt;AT$6),AND(AT$7&gt;0,$A273&gt;AT$7)),0,MAX(0,ROUND((INDEX($E273:$G273,AT$5)-SUMIFS(TF_Timer,TF_Tekniker,AT$4,TF_Dato,$A273))*2,0)/2)))</f>
        <v/>
      </c>
      <c r="AU273">
        <f>IF(OR(AU$4="",$A273&gt;TODAY()),0,IF(OR(INDEX($B273:$D273,AU$5)="F",AND(AU$6&gt;0,$A273&lt;AU$6),AND(AU$7&gt;0,$A273&gt;AU$7)),0,MAX(0,ROUND((INDEX($E273:$G273,AU$5)-SUMIFS(TF_Timer,TF_Tekniker,AU$4,TF_Dato,$A273))*2,0)/2)))</f>
        <v/>
      </c>
      <c r="AV273">
        <f>IF(OR(AV$4="",$A273&gt;TODAY()),0,IF(OR(INDEX($B273:$D273,AV$5)="F",AND(AV$6&gt;0,$A273&lt;AV$6),AND(AV$7&gt;0,$A273&gt;AV$7)),0,MAX(0,ROUND((INDEX($E273:$G273,AV$5)-SUMIFS(TF_Timer,TF_Tekniker,AV$4,TF_Dato,$A273))*2,0)/2)))</f>
        <v/>
      </c>
      <c r="AW273">
        <f>IF(OR(AW$4="",$A273&gt;TODAY()),0,IF(OR(INDEX($B273:$D273,AW$5)="F",AND(AW$6&gt;0,$A273&lt;AW$6),AND(AW$7&gt;0,$A273&gt;AW$7)),0,MAX(0,ROUND((INDEX($E273:$G273,AW$5)-SUMIFS(TF_Timer,TF_Tekniker,AW$4,TF_Dato,$A273))*2,0)/2)))</f>
        <v/>
      </c>
      <c r="AX273">
        <f>IF(OR(AX$4="",$A273&gt;TODAY()),0,IF(OR(INDEX($B273:$D273,AX$5)="F",AND(AX$6&gt;0,$A273&lt;AX$6),AND(AX$7&gt;0,$A273&gt;AX$7)),0,MAX(0,ROUND((INDEX($E273:$G273,AX$5)-SUMIFS(TF_Timer,TF_Tekniker,AX$4,TF_Dato,$A273))*2,0)/2)))</f>
        <v/>
      </c>
      <c r="AY273">
        <f>IF(OR(AY$4="",$A273&gt;TODAY()),0,IF(OR(INDEX($B273:$D273,AY$5)="F",AND(AY$6&gt;0,$A273&lt;AY$6),AND(AY$7&gt;0,$A273&gt;AY$7)),0,MAX(0,ROUND((INDEX($E273:$G273,AY$5)-SUMIFS(TF_Timer,TF_Tekniker,AY$4,TF_Dato,$A273))*2,0)/2)))</f>
        <v/>
      </c>
      <c r="AZ273">
        <f>IF(OR(AZ$4="",$A273&gt;TODAY()),0,IF(OR(INDEX($B273:$D273,AZ$5)="F",AND(AZ$6&gt;0,$A273&lt;AZ$6),AND(AZ$7&gt;0,$A273&gt;AZ$7)),0,MAX(0,ROUND((INDEX($E273:$G273,AZ$5)-SUMIFS(TF_Timer,TF_Tekniker,AZ$4,TF_Dato,$A273))*2,0)/2)))</f>
        <v/>
      </c>
      <c r="BA273">
        <f>IF(OR(BA$4="",$A273&gt;TODAY()),0,IF(OR(INDEX($B273:$D273,BA$5)="F",AND(BA$6&gt;0,$A273&lt;BA$6),AND(BA$7&gt;0,$A273&gt;BA$7)),0,MAX(0,ROUND((INDEX($E273:$G273,BA$5)-SUMIFS(TF_Timer,TF_Tekniker,BA$4,TF_Dato,$A273))*2,0)/2)))</f>
        <v/>
      </c>
      <c r="BB273">
        <f>IF(OR(BB$4="",$A273&gt;TODAY()),0,IF(OR(INDEX($B273:$D273,BB$5)="F",AND(BB$6&gt;0,$A273&lt;BB$6),AND(BB$7&gt;0,$A273&gt;BB$7)),0,MAX(0,ROUND((INDEX($E273:$G273,BB$5)-SUMIFS(TF_Timer,TF_Tekniker,BB$4,TF_Dato,$A273))*2,0)/2)))</f>
        <v/>
      </c>
      <c r="BC273">
        <f>IF(OR(BC$4="",$A273&gt;TODAY()),0,IF(OR(INDEX($B273:$D273,BC$5)="F",AND(BC$6&gt;0,$A273&lt;BC$6),AND(BC$7&gt;0,$A273&gt;BC$7)),0,MAX(0,ROUND((INDEX($E273:$G273,BC$5)-SUMIFS(TF_Timer,TF_Tekniker,BC$4,TF_Dato,$A273))*2,0)/2)))</f>
        <v/>
      </c>
      <c r="BD273">
        <f>IF(OR(BD$4="",$A273&gt;TODAY()),0,IF(OR(INDEX($B273:$D273,BD$5)="F",AND(BD$6&gt;0,$A273&lt;BD$6),AND(BD$7&gt;0,$A273&gt;BD$7)),0,MAX(0,ROUND((INDEX($E273:$G273,BD$5)-SUMIFS(TF_Timer,TF_Tekniker,BD$4,TF_Dato,$A273))*2,0)/2)))</f>
        <v/>
      </c>
      <c r="BE273">
        <f>IF(OR(BE$4="",$A273&gt;TODAY()),0,IF(OR(INDEX($B273:$D273,BE$5)="F",AND(BE$6&gt;0,$A273&lt;BE$6),AND(BE$7&gt;0,$A273&gt;BE$7)),0,MAX(0,ROUND((INDEX($E273:$G273,BE$5)-SUMIFS(TF_Timer,TF_Tekniker,BE$4,TF_Dato,$A273))*2,0)/2)))</f>
        <v/>
      </c>
      <c r="BF273">
        <f>IF(OR(BF$4="",$A273&gt;TODAY()),0,IF(OR(INDEX($B273:$D273,BF$5)="F",AND(BF$6&gt;0,$A273&lt;BF$6),AND(BF$7&gt;0,$A273&gt;BF$7)),0,MAX(0,ROUND((INDEX($E273:$G273,BF$5)-SUMIFS(TF_Timer,TF_Tekniker,BF$4,TF_Dato,$A273))*2,0)/2)))</f>
        <v/>
      </c>
      <c r="BG273">
        <f>IF(OR(BG$4="",$A273&gt;TODAY()),0,IF(OR(INDEX($B273:$D273,BG$5)="F",AND(BG$6&gt;0,$A273&lt;BG$6),AND(BG$7&gt;0,$A273&gt;BG$7)),0,MAX(0,ROUND((INDEX($E273:$G273,BG$5)-SUMIFS(TF_Timer,TF_Tekniker,BG$4,TF_Dato,$A273))*2,0)/2)))</f>
        <v/>
      </c>
      <c r="BH273">
        <f>IF(OR(BH$4="",$A273&gt;TODAY()),0,IF(OR(INDEX($B273:$D273,BH$5)="F",AND(BH$6&gt;0,$A273&lt;BH$6),AND(BH$7&gt;0,$A273&gt;BH$7)),0,MAX(0,ROUND((INDEX($E273:$G273,BH$5)-SUMIFS(TF_Timer,TF_Tekniker,BH$4,TF_Dato,$A273))*2,0)/2)))</f>
        <v/>
      </c>
      <c r="BI273">
        <f>IF(OR(BI$4="",$A273&gt;TODAY()),0,IF(OR(INDEX($B273:$D273,BI$5)="F",AND(BI$6&gt;0,$A273&lt;BI$6),AND(BI$7&gt;0,$A273&gt;BI$7)),0,MAX(0,ROUND((INDEX($E273:$G273,BI$5)-SUMIFS(TF_Timer,TF_Tekniker,BI$4,TF_Dato,$A273))*2,0)/2)))</f>
        <v/>
      </c>
    </row>
    <row r="274">
      <c r="A274" s="64">
        <f>A273+1</f>
        <v/>
      </c>
      <c r="B274">
        <f>IF(MOD($A274-INDEX(SkiftStart,1),Syklus)&lt;DagK,"K",IF(MOD($A274-INDEX(SkiftStart,1),Syklus)&lt;DagK+DagH,"H",IF(MOD($A274-INDEX(SkiftStart,1),Syklus)&lt;DagK+DagH+DagD,"D","F")))</f>
        <v/>
      </c>
      <c r="C274">
        <f>IF(MOD($A274-INDEX(SkiftStart,2),Syklus)&lt;DagK,"K",IF(MOD($A274-INDEX(SkiftStart,2),Syklus)&lt;DagK+DagH,"H",IF(MOD($A274-INDEX(SkiftStart,2),Syklus)&lt;DagK+DagH+DagD,"D","F")))</f>
        <v/>
      </c>
      <c r="D274">
        <f>IF(MOD($A274-INDEX(SkiftStart,3),Syklus)&lt;DagK,"K",IF(MOD($A274-INDEX(SkiftStart,3),Syklus)&lt;DagK+DagH,"H",IF(MOD($A274-INDEX(SkiftStart,3),Syklus)&lt;DagK+DagH+DagD,"D","F")))</f>
        <v/>
      </c>
      <c r="E274">
        <f>IF(B274="F",0,IF(WEEKDAY($A274,2)=5,INDEX(TimerFr,MATCH(B274,FaseKode,0)),INDEX(TimerMT,MATCH(B274,FaseKode,0))))</f>
        <v/>
      </c>
      <c r="F274">
        <f>IF(C274="F",0,IF(WEEKDAY($A274,2)=5,INDEX(TimerFr,MATCH(C274,FaseKode,0)),INDEX(TimerMT,MATCH(C274,FaseKode,0))))</f>
        <v/>
      </c>
      <c r="G274">
        <f>IF(D274="F",0,IF(WEEKDAY($A274,2)=5,INDEX(TimerFr,MATCH(D274,FaseKode,0)),INDEX(TimerMT,MATCH(D274,FaseKode,0))))</f>
        <v/>
      </c>
      <c r="H274">
        <f>IF(OR(H$4="",$A274&gt;TODAY()),0,IF(OR(INDEX($B274:$D274,H$5)="F",AND(H$6&gt;0,$A274&lt;H$6),AND(H$7&gt;0,$A274&gt;H$7)),0,MAX(0,ROUND((INDEX($E274:$G274,H$5)-SUMIFS(TF_Timer,TF_Tekniker,H$4,TF_Dato,$A274))*2,0)/2)))</f>
        <v/>
      </c>
      <c r="I274">
        <f>IF(OR(I$4="",$A274&gt;TODAY()),0,IF(OR(INDEX($B274:$D274,I$5)="F",AND(I$6&gt;0,$A274&lt;I$6),AND(I$7&gt;0,$A274&gt;I$7)),0,MAX(0,ROUND((INDEX($E274:$G274,I$5)-SUMIFS(TF_Timer,TF_Tekniker,I$4,TF_Dato,$A274))*2,0)/2)))</f>
        <v/>
      </c>
      <c r="J274">
        <f>IF(OR(J$4="",$A274&gt;TODAY()),0,IF(OR(INDEX($B274:$D274,J$5)="F",AND(J$6&gt;0,$A274&lt;J$6),AND(J$7&gt;0,$A274&gt;J$7)),0,MAX(0,ROUND((INDEX($E274:$G274,J$5)-SUMIFS(TF_Timer,TF_Tekniker,J$4,TF_Dato,$A274))*2,0)/2)))</f>
        <v/>
      </c>
      <c r="K274">
        <f>IF(OR(K$4="",$A274&gt;TODAY()),0,IF(OR(INDEX($B274:$D274,K$5)="F",AND(K$6&gt;0,$A274&lt;K$6),AND(K$7&gt;0,$A274&gt;K$7)),0,MAX(0,ROUND((INDEX($E274:$G274,K$5)-SUMIFS(TF_Timer,TF_Tekniker,K$4,TF_Dato,$A274))*2,0)/2)))</f>
        <v/>
      </c>
      <c r="L274">
        <f>IF(OR(L$4="",$A274&gt;TODAY()),0,IF(OR(INDEX($B274:$D274,L$5)="F",AND(L$6&gt;0,$A274&lt;L$6),AND(L$7&gt;0,$A274&gt;L$7)),0,MAX(0,ROUND((INDEX($E274:$G274,L$5)-SUMIFS(TF_Timer,TF_Tekniker,L$4,TF_Dato,$A274))*2,0)/2)))</f>
        <v/>
      </c>
      <c r="M274">
        <f>IF(OR(M$4="",$A274&gt;TODAY()),0,IF(OR(INDEX($B274:$D274,M$5)="F",AND(M$6&gt;0,$A274&lt;M$6),AND(M$7&gt;0,$A274&gt;M$7)),0,MAX(0,ROUND((INDEX($E274:$G274,M$5)-SUMIFS(TF_Timer,TF_Tekniker,M$4,TF_Dato,$A274))*2,0)/2)))</f>
        <v/>
      </c>
      <c r="N274">
        <f>IF(OR(N$4="",$A274&gt;TODAY()),0,IF(OR(INDEX($B274:$D274,N$5)="F",AND(N$6&gt;0,$A274&lt;N$6),AND(N$7&gt;0,$A274&gt;N$7)),0,MAX(0,ROUND((INDEX($E274:$G274,N$5)-SUMIFS(TF_Timer,TF_Tekniker,N$4,TF_Dato,$A274))*2,0)/2)))</f>
        <v/>
      </c>
      <c r="O274">
        <f>IF(OR(O$4="",$A274&gt;TODAY()),0,IF(OR(INDEX($B274:$D274,O$5)="F",AND(O$6&gt;0,$A274&lt;O$6),AND(O$7&gt;0,$A274&gt;O$7)),0,MAX(0,ROUND((INDEX($E274:$G274,O$5)-SUMIFS(TF_Timer,TF_Tekniker,O$4,TF_Dato,$A274))*2,0)/2)))</f>
        <v/>
      </c>
      <c r="P274">
        <f>IF(OR(P$4="",$A274&gt;TODAY()),0,IF(OR(INDEX($B274:$D274,P$5)="F",AND(P$6&gt;0,$A274&lt;P$6),AND(P$7&gt;0,$A274&gt;P$7)),0,MAX(0,ROUND((INDEX($E274:$G274,P$5)-SUMIFS(TF_Timer,TF_Tekniker,P$4,TF_Dato,$A274))*2,0)/2)))</f>
        <v/>
      </c>
      <c r="Q274">
        <f>IF(OR(Q$4="",$A274&gt;TODAY()),0,IF(OR(INDEX($B274:$D274,Q$5)="F",AND(Q$6&gt;0,$A274&lt;Q$6),AND(Q$7&gt;0,$A274&gt;Q$7)),0,MAX(0,ROUND((INDEX($E274:$G274,Q$5)-SUMIFS(TF_Timer,TF_Tekniker,Q$4,TF_Dato,$A274))*2,0)/2)))</f>
        <v/>
      </c>
      <c r="R274">
        <f>IF(OR(R$4="",$A274&gt;TODAY()),0,IF(OR(INDEX($B274:$D274,R$5)="F",AND(R$6&gt;0,$A274&lt;R$6),AND(R$7&gt;0,$A274&gt;R$7)),0,MAX(0,ROUND((INDEX($E274:$G274,R$5)-SUMIFS(TF_Timer,TF_Tekniker,R$4,TF_Dato,$A274))*2,0)/2)))</f>
        <v/>
      </c>
      <c r="S274">
        <f>IF(OR(S$4="",$A274&gt;TODAY()),0,IF(OR(INDEX($B274:$D274,S$5)="F",AND(S$6&gt;0,$A274&lt;S$6),AND(S$7&gt;0,$A274&gt;S$7)),0,MAX(0,ROUND((INDEX($E274:$G274,S$5)-SUMIFS(TF_Timer,TF_Tekniker,S$4,TF_Dato,$A274))*2,0)/2)))</f>
        <v/>
      </c>
      <c r="T274">
        <f>IF(OR(T$4="",$A274&gt;TODAY()),0,IF(OR(INDEX($B274:$D274,T$5)="F",AND(T$6&gt;0,$A274&lt;T$6),AND(T$7&gt;0,$A274&gt;T$7)),0,MAX(0,ROUND((INDEX($E274:$G274,T$5)-SUMIFS(TF_Timer,TF_Tekniker,T$4,TF_Dato,$A274))*2,0)/2)))</f>
        <v/>
      </c>
      <c r="U274">
        <f>IF(OR(U$4="",$A274&gt;TODAY()),0,IF(OR(INDEX($B274:$D274,U$5)="F",AND(U$6&gt;0,$A274&lt;U$6),AND(U$7&gt;0,$A274&gt;U$7)),0,MAX(0,ROUND((INDEX($E274:$G274,U$5)-SUMIFS(TF_Timer,TF_Tekniker,U$4,TF_Dato,$A274))*2,0)/2)))</f>
        <v/>
      </c>
      <c r="V274">
        <f>IF(OR(V$4="",$A274&gt;TODAY()),0,IF(OR(INDEX($B274:$D274,V$5)="F",AND(V$6&gt;0,$A274&lt;V$6),AND(V$7&gt;0,$A274&gt;V$7)),0,MAX(0,ROUND((INDEX($E274:$G274,V$5)-SUMIFS(TF_Timer,TF_Tekniker,V$4,TF_Dato,$A274))*2,0)/2)))</f>
        <v/>
      </c>
      <c r="W274">
        <f>IF(OR(W$4="",$A274&gt;TODAY()),0,IF(OR(INDEX($B274:$D274,W$5)="F",AND(W$6&gt;0,$A274&lt;W$6),AND(W$7&gt;0,$A274&gt;W$7)),0,MAX(0,ROUND((INDEX($E274:$G274,W$5)-SUMIFS(TF_Timer,TF_Tekniker,W$4,TF_Dato,$A274))*2,0)/2)))</f>
        <v/>
      </c>
      <c r="X274">
        <f>IF(OR(X$4="",$A274&gt;TODAY()),0,IF(OR(INDEX($B274:$D274,X$5)="F",AND(X$6&gt;0,$A274&lt;X$6),AND(X$7&gt;0,$A274&gt;X$7)),0,MAX(0,ROUND((INDEX($E274:$G274,X$5)-SUMIFS(TF_Timer,TF_Tekniker,X$4,TF_Dato,$A274))*2,0)/2)))</f>
        <v/>
      </c>
      <c r="Y274">
        <f>IF(OR(Y$4="",$A274&gt;TODAY()),0,IF(OR(INDEX($B274:$D274,Y$5)="F",AND(Y$6&gt;0,$A274&lt;Y$6),AND(Y$7&gt;0,$A274&gt;Y$7)),0,MAX(0,ROUND((INDEX($E274:$G274,Y$5)-SUMIFS(TF_Timer,TF_Tekniker,Y$4,TF_Dato,$A274))*2,0)/2)))</f>
        <v/>
      </c>
      <c r="Z274">
        <f>IF(OR(Z$4="",$A274&gt;TODAY()),0,IF(OR(INDEX($B274:$D274,Z$5)="F",AND(Z$6&gt;0,$A274&lt;Z$6),AND(Z$7&gt;0,$A274&gt;Z$7)),0,MAX(0,ROUND((INDEX($E274:$G274,Z$5)-SUMIFS(TF_Timer,TF_Tekniker,Z$4,TF_Dato,$A274))*2,0)/2)))</f>
        <v/>
      </c>
      <c r="AA274">
        <f>IF(OR(AA$4="",$A274&gt;TODAY()),0,IF(OR(INDEX($B274:$D274,AA$5)="F",AND(AA$6&gt;0,$A274&lt;AA$6),AND(AA$7&gt;0,$A274&gt;AA$7)),0,MAX(0,ROUND((INDEX($E274:$G274,AA$5)-SUMIFS(TF_Timer,TF_Tekniker,AA$4,TF_Dato,$A274))*2,0)/2)))</f>
        <v/>
      </c>
      <c r="AB274">
        <f>IF(OR(AB$4="",$A274&gt;TODAY()),0,IF(OR(INDEX($B274:$D274,AB$5)="F",AND(AB$6&gt;0,$A274&lt;AB$6),AND(AB$7&gt;0,$A274&gt;AB$7)),0,MAX(0,ROUND((INDEX($E274:$G274,AB$5)-SUMIFS(TF_Timer,TF_Tekniker,AB$4,TF_Dato,$A274))*2,0)/2)))</f>
        <v/>
      </c>
      <c r="AC274">
        <f>IF(OR(AC$4="",$A274&gt;TODAY()),0,IF(OR(INDEX($B274:$D274,AC$5)="F",AND(AC$6&gt;0,$A274&lt;AC$6),AND(AC$7&gt;0,$A274&gt;AC$7)),0,MAX(0,ROUND((INDEX($E274:$G274,AC$5)-SUMIFS(TF_Timer,TF_Tekniker,AC$4,TF_Dato,$A274))*2,0)/2)))</f>
        <v/>
      </c>
      <c r="AD274">
        <f>IF(OR(AD$4="",$A274&gt;TODAY()),0,IF(OR(INDEX($B274:$D274,AD$5)="F",AND(AD$6&gt;0,$A274&lt;AD$6),AND(AD$7&gt;0,$A274&gt;AD$7)),0,MAX(0,ROUND((INDEX($E274:$G274,AD$5)-SUMIFS(TF_Timer,TF_Tekniker,AD$4,TF_Dato,$A274))*2,0)/2)))</f>
        <v/>
      </c>
      <c r="AE274">
        <f>IF(OR(AE$4="",$A274&gt;TODAY()),0,IF(OR(INDEX($B274:$D274,AE$5)="F",AND(AE$6&gt;0,$A274&lt;AE$6),AND(AE$7&gt;0,$A274&gt;AE$7)),0,MAX(0,ROUND((INDEX($E274:$G274,AE$5)-SUMIFS(TF_Timer,TF_Tekniker,AE$4,TF_Dato,$A274))*2,0)/2)))</f>
        <v/>
      </c>
      <c r="AF274">
        <f>IF(OR(AF$4="",$A274&gt;TODAY()),0,IF(OR(INDEX($B274:$D274,AF$5)="F",AND(AF$6&gt;0,$A274&lt;AF$6),AND(AF$7&gt;0,$A274&gt;AF$7)),0,MAX(0,ROUND((INDEX($E274:$G274,AF$5)-SUMIFS(TF_Timer,TF_Tekniker,AF$4,TF_Dato,$A274))*2,0)/2)))</f>
        <v/>
      </c>
      <c r="AG274">
        <f>IF(OR(AG$4="",$A274&gt;TODAY()),0,IF(OR(INDEX($B274:$D274,AG$5)="F",AND(AG$6&gt;0,$A274&lt;AG$6),AND(AG$7&gt;0,$A274&gt;AG$7)),0,MAX(0,ROUND((INDEX($E274:$G274,AG$5)-SUMIFS(TF_Timer,TF_Tekniker,AG$4,TF_Dato,$A274))*2,0)/2)))</f>
        <v/>
      </c>
      <c r="AH274">
        <f>IF(OR(AH$4="",$A274&gt;TODAY()),0,IF(OR(INDEX($B274:$D274,AH$5)="F",AND(AH$6&gt;0,$A274&lt;AH$6),AND(AH$7&gt;0,$A274&gt;AH$7)),0,MAX(0,ROUND((INDEX($E274:$G274,AH$5)-SUMIFS(TF_Timer,TF_Tekniker,AH$4,TF_Dato,$A274))*2,0)/2)))</f>
        <v/>
      </c>
      <c r="AI274">
        <f>IF(OR(AI$4="",$A274&gt;TODAY()),0,IF(OR(INDEX($B274:$D274,AI$5)="F",AND(AI$6&gt;0,$A274&lt;AI$6),AND(AI$7&gt;0,$A274&gt;AI$7)),0,MAX(0,ROUND((INDEX($E274:$G274,AI$5)-SUMIFS(TF_Timer,TF_Tekniker,AI$4,TF_Dato,$A274))*2,0)/2)))</f>
        <v/>
      </c>
      <c r="AJ274">
        <f>IF(OR(AJ$4="",$A274&gt;TODAY()),0,IF(OR(INDEX($B274:$D274,AJ$5)="F",AND(AJ$6&gt;0,$A274&lt;AJ$6),AND(AJ$7&gt;0,$A274&gt;AJ$7)),0,MAX(0,ROUND((INDEX($E274:$G274,AJ$5)-SUMIFS(TF_Timer,TF_Tekniker,AJ$4,TF_Dato,$A274))*2,0)/2)))</f>
        <v/>
      </c>
      <c r="AK274">
        <f>IF(OR(AK$4="",$A274&gt;TODAY()),0,IF(OR(INDEX($B274:$D274,AK$5)="F",AND(AK$6&gt;0,$A274&lt;AK$6),AND(AK$7&gt;0,$A274&gt;AK$7)),0,MAX(0,ROUND((INDEX($E274:$G274,AK$5)-SUMIFS(TF_Timer,TF_Tekniker,AK$4,TF_Dato,$A274))*2,0)/2)))</f>
        <v/>
      </c>
      <c r="AL274">
        <f>IF(OR(AL$4="",$A274&gt;TODAY()),0,IF(OR(INDEX($B274:$D274,AL$5)="F",AND(AL$6&gt;0,$A274&lt;AL$6),AND(AL$7&gt;0,$A274&gt;AL$7)),0,MAX(0,ROUND((INDEX($E274:$G274,AL$5)-SUMIFS(TF_Timer,TF_Tekniker,AL$4,TF_Dato,$A274))*2,0)/2)))</f>
        <v/>
      </c>
      <c r="AM274">
        <f>IF(OR(AM$4="",$A274&gt;TODAY()),0,IF(OR(INDEX($B274:$D274,AM$5)="F",AND(AM$6&gt;0,$A274&lt;AM$6),AND(AM$7&gt;0,$A274&gt;AM$7)),0,MAX(0,ROUND((INDEX($E274:$G274,AM$5)-SUMIFS(TF_Timer,TF_Tekniker,AM$4,TF_Dato,$A274))*2,0)/2)))</f>
        <v/>
      </c>
      <c r="AN274">
        <f>IF(OR(AN$4="",$A274&gt;TODAY()),0,IF(OR(INDEX($B274:$D274,AN$5)="F",AND(AN$6&gt;0,$A274&lt;AN$6),AND(AN$7&gt;0,$A274&gt;AN$7)),0,MAX(0,ROUND((INDEX($E274:$G274,AN$5)-SUMIFS(TF_Timer,TF_Tekniker,AN$4,TF_Dato,$A274))*2,0)/2)))</f>
        <v/>
      </c>
      <c r="AO274">
        <f>IF(OR(AO$4="",$A274&gt;TODAY()),0,IF(OR(INDEX($B274:$D274,AO$5)="F",AND(AO$6&gt;0,$A274&lt;AO$6),AND(AO$7&gt;0,$A274&gt;AO$7)),0,MAX(0,ROUND((INDEX($E274:$G274,AO$5)-SUMIFS(TF_Timer,TF_Tekniker,AO$4,TF_Dato,$A274))*2,0)/2)))</f>
        <v/>
      </c>
      <c r="AP274">
        <f>IF(OR(AP$4="",$A274&gt;TODAY()),0,IF(OR(INDEX($B274:$D274,AP$5)="F",AND(AP$6&gt;0,$A274&lt;AP$6),AND(AP$7&gt;0,$A274&gt;AP$7)),0,MAX(0,ROUND((INDEX($E274:$G274,AP$5)-SUMIFS(TF_Timer,TF_Tekniker,AP$4,TF_Dato,$A274))*2,0)/2)))</f>
        <v/>
      </c>
      <c r="AQ274">
        <f>IF(OR(AQ$4="",$A274&gt;TODAY()),0,IF(OR(INDEX($B274:$D274,AQ$5)="F",AND(AQ$6&gt;0,$A274&lt;AQ$6),AND(AQ$7&gt;0,$A274&gt;AQ$7)),0,MAX(0,ROUND((INDEX($E274:$G274,AQ$5)-SUMIFS(TF_Timer,TF_Tekniker,AQ$4,TF_Dato,$A274))*2,0)/2)))</f>
        <v/>
      </c>
      <c r="AR274">
        <f>IF(OR(AR$4="",$A274&gt;TODAY()),0,IF(OR(INDEX($B274:$D274,AR$5)="F",AND(AR$6&gt;0,$A274&lt;AR$6),AND(AR$7&gt;0,$A274&gt;AR$7)),0,MAX(0,ROUND((INDEX($E274:$G274,AR$5)-SUMIFS(TF_Timer,TF_Tekniker,AR$4,TF_Dato,$A274))*2,0)/2)))</f>
        <v/>
      </c>
      <c r="AS274">
        <f>IF(OR(AS$4="",$A274&gt;TODAY()),0,IF(OR(INDEX($B274:$D274,AS$5)="F",AND(AS$6&gt;0,$A274&lt;AS$6),AND(AS$7&gt;0,$A274&gt;AS$7)),0,MAX(0,ROUND((INDEX($E274:$G274,AS$5)-SUMIFS(TF_Timer,TF_Tekniker,AS$4,TF_Dato,$A274))*2,0)/2)))</f>
        <v/>
      </c>
      <c r="AT274">
        <f>IF(OR(AT$4="",$A274&gt;TODAY()),0,IF(OR(INDEX($B274:$D274,AT$5)="F",AND(AT$6&gt;0,$A274&lt;AT$6),AND(AT$7&gt;0,$A274&gt;AT$7)),0,MAX(0,ROUND((INDEX($E274:$G274,AT$5)-SUMIFS(TF_Timer,TF_Tekniker,AT$4,TF_Dato,$A274))*2,0)/2)))</f>
        <v/>
      </c>
      <c r="AU274">
        <f>IF(OR(AU$4="",$A274&gt;TODAY()),0,IF(OR(INDEX($B274:$D274,AU$5)="F",AND(AU$6&gt;0,$A274&lt;AU$6),AND(AU$7&gt;0,$A274&gt;AU$7)),0,MAX(0,ROUND((INDEX($E274:$G274,AU$5)-SUMIFS(TF_Timer,TF_Tekniker,AU$4,TF_Dato,$A274))*2,0)/2)))</f>
        <v/>
      </c>
      <c r="AV274">
        <f>IF(OR(AV$4="",$A274&gt;TODAY()),0,IF(OR(INDEX($B274:$D274,AV$5)="F",AND(AV$6&gt;0,$A274&lt;AV$6),AND(AV$7&gt;0,$A274&gt;AV$7)),0,MAX(0,ROUND((INDEX($E274:$G274,AV$5)-SUMIFS(TF_Timer,TF_Tekniker,AV$4,TF_Dato,$A274))*2,0)/2)))</f>
        <v/>
      </c>
      <c r="AW274">
        <f>IF(OR(AW$4="",$A274&gt;TODAY()),0,IF(OR(INDEX($B274:$D274,AW$5)="F",AND(AW$6&gt;0,$A274&lt;AW$6),AND(AW$7&gt;0,$A274&gt;AW$7)),0,MAX(0,ROUND((INDEX($E274:$G274,AW$5)-SUMIFS(TF_Timer,TF_Tekniker,AW$4,TF_Dato,$A274))*2,0)/2)))</f>
        <v/>
      </c>
      <c r="AX274">
        <f>IF(OR(AX$4="",$A274&gt;TODAY()),0,IF(OR(INDEX($B274:$D274,AX$5)="F",AND(AX$6&gt;0,$A274&lt;AX$6),AND(AX$7&gt;0,$A274&gt;AX$7)),0,MAX(0,ROUND((INDEX($E274:$G274,AX$5)-SUMIFS(TF_Timer,TF_Tekniker,AX$4,TF_Dato,$A274))*2,0)/2)))</f>
        <v/>
      </c>
      <c r="AY274">
        <f>IF(OR(AY$4="",$A274&gt;TODAY()),0,IF(OR(INDEX($B274:$D274,AY$5)="F",AND(AY$6&gt;0,$A274&lt;AY$6),AND(AY$7&gt;0,$A274&gt;AY$7)),0,MAX(0,ROUND((INDEX($E274:$G274,AY$5)-SUMIFS(TF_Timer,TF_Tekniker,AY$4,TF_Dato,$A274))*2,0)/2)))</f>
        <v/>
      </c>
      <c r="AZ274">
        <f>IF(OR(AZ$4="",$A274&gt;TODAY()),0,IF(OR(INDEX($B274:$D274,AZ$5)="F",AND(AZ$6&gt;0,$A274&lt;AZ$6),AND(AZ$7&gt;0,$A274&gt;AZ$7)),0,MAX(0,ROUND((INDEX($E274:$G274,AZ$5)-SUMIFS(TF_Timer,TF_Tekniker,AZ$4,TF_Dato,$A274))*2,0)/2)))</f>
        <v/>
      </c>
      <c r="BA274">
        <f>IF(OR(BA$4="",$A274&gt;TODAY()),0,IF(OR(INDEX($B274:$D274,BA$5)="F",AND(BA$6&gt;0,$A274&lt;BA$6),AND(BA$7&gt;0,$A274&gt;BA$7)),0,MAX(0,ROUND((INDEX($E274:$G274,BA$5)-SUMIFS(TF_Timer,TF_Tekniker,BA$4,TF_Dato,$A274))*2,0)/2)))</f>
        <v/>
      </c>
      <c r="BB274">
        <f>IF(OR(BB$4="",$A274&gt;TODAY()),0,IF(OR(INDEX($B274:$D274,BB$5)="F",AND(BB$6&gt;0,$A274&lt;BB$6),AND(BB$7&gt;0,$A274&gt;BB$7)),0,MAX(0,ROUND((INDEX($E274:$G274,BB$5)-SUMIFS(TF_Timer,TF_Tekniker,BB$4,TF_Dato,$A274))*2,0)/2)))</f>
        <v/>
      </c>
      <c r="BC274">
        <f>IF(OR(BC$4="",$A274&gt;TODAY()),0,IF(OR(INDEX($B274:$D274,BC$5)="F",AND(BC$6&gt;0,$A274&lt;BC$6),AND(BC$7&gt;0,$A274&gt;BC$7)),0,MAX(0,ROUND((INDEX($E274:$G274,BC$5)-SUMIFS(TF_Timer,TF_Tekniker,BC$4,TF_Dato,$A274))*2,0)/2)))</f>
        <v/>
      </c>
      <c r="BD274">
        <f>IF(OR(BD$4="",$A274&gt;TODAY()),0,IF(OR(INDEX($B274:$D274,BD$5)="F",AND(BD$6&gt;0,$A274&lt;BD$6),AND(BD$7&gt;0,$A274&gt;BD$7)),0,MAX(0,ROUND((INDEX($E274:$G274,BD$5)-SUMIFS(TF_Timer,TF_Tekniker,BD$4,TF_Dato,$A274))*2,0)/2)))</f>
        <v/>
      </c>
      <c r="BE274">
        <f>IF(OR(BE$4="",$A274&gt;TODAY()),0,IF(OR(INDEX($B274:$D274,BE$5)="F",AND(BE$6&gt;0,$A274&lt;BE$6),AND(BE$7&gt;0,$A274&gt;BE$7)),0,MAX(0,ROUND((INDEX($E274:$G274,BE$5)-SUMIFS(TF_Timer,TF_Tekniker,BE$4,TF_Dato,$A274))*2,0)/2)))</f>
        <v/>
      </c>
      <c r="BF274">
        <f>IF(OR(BF$4="",$A274&gt;TODAY()),0,IF(OR(INDEX($B274:$D274,BF$5)="F",AND(BF$6&gt;0,$A274&lt;BF$6),AND(BF$7&gt;0,$A274&gt;BF$7)),0,MAX(0,ROUND((INDEX($E274:$G274,BF$5)-SUMIFS(TF_Timer,TF_Tekniker,BF$4,TF_Dato,$A274))*2,0)/2)))</f>
        <v/>
      </c>
      <c r="BG274">
        <f>IF(OR(BG$4="",$A274&gt;TODAY()),0,IF(OR(INDEX($B274:$D274,BG$5)="F",AND(BG$6&gt;0,$A274&lt;BG$6),AND(BG$7&gt;0,$A274&gt;BG$7)),0,MAX(0,ROUND((INDEX($E274:$G274,BG$5)-SUMIFS(TF_Timer,TF_Tekniker,BG$4,TF_Dato,$A274))*2,0)/2)))</f>
        <v/>
      </c>
      <c r="BH274">
        <f>IF(OR(BH$4="",$A274&gt;TODAY()),0,IF(OR(INDEX($B274:$D274,BH$5)="F",AND(BH$6&gt;0,$A274&lt;BH$6),AND(BH$7&gt;0,$A274&gt;BH$7)),0,MAX(0,ROUND((INDEX($E274:$G274,BH$5)-SUMIFS(TF_Timer,TF_Tekniker,BH$4,TF_Dato,$A274))*2,0)/2)))</f>
        <v/>
      </c>
      <c r="BI274">
        <f>IF(OR(BI$4="",$A274&gt;TODAY()),0,IF(OR(INDEX($B274:$D274,BI$5)="F",AND(BI$6&gt;0,$A274&lt;BI$6),AND(BI$7&gt;0,$A274&gt;BI$7)),0,MAX(0,ROUND((INDEX($E274:$G274,BI$5)-SUMIFS(TF_Timer,TF_Tekniker,BI$4,TF_Dato,$A274))*2,0)/2)))</f>
        <v/>
      </c>
    </row>
    <row r="275">
      <c r="A275" s="64">
        <f>A274+1</f>
        <v/>
      </c>
      <c r="B275">
        <f>IF(MOD($A275-INDEX(SkiftStart,1),Syklus)&lt;DagK,"K",IF(MOD($A275-INDEX(SkiftStart,1),Syklus)&lt;DagK+DagH,"H",IF(MOD($A275-INDEX(SkiftStart,1),Syklus)&lt;DagK+DagH+DagD,"D","F")))</f>
        <v/>
      </c>
      <c r="C275">
        <f>IF(MOD($A275-INDEX(SkiftStart,2),Syklus)&lt;DagK,"K",IF(MOD($A275-INDEX(SkiftStart,2),Syklus)&lt;DagK+DagH,"H",IF(MOD($A275-INDEX(SkiftStart,2),Syklus)&lt;DagK+DagH+DagD,"D","F")))</f>
        <v/>
      </c>
      <c r="D275">
        <f>IF(MOD($A275-INDEX(SkiftStart,3),Syklus)&lt;DagK,"K",IF(MOD($A275-INDEX(SkiftStart,3),Syklus)&lt;DagK+DagH,"H",IF(MOD($A275-INDEX(SkiftStart,3),Syklus)&lt;DagK+DagH+DagD,"D","F")))</f>
        <v/>
      </c>
      <c r="E275">
        <f>IF(B275="F",0,IF(WEEKDAY($A275,2)=5,INDEX(TimerFr,MATCH(B275,FaseKode,0)),INDEX(TimerMT,MATCH(B275,FaseKode,0))))</f>
        <v/>
      </c>
      <c r="F275">
        <f>IF(C275="F",0,IF(WEEKDAY($A275,2)=5,INDEX(TimerFr,MATCH(C275,FaseKode,0)),INDEX(TimerMT,MATCH(C275,FaseKode,0))))</f>
        <v/>
      </c>
      <c r="G275">
        <f>IF(D275="F",0,IF(WEEKDAY($A275,2)=5,INDEX(TimerFr,MATCH(D275,FaseKode,0)),INDEX(TimerMT,MATCH(D275,FaseKode,0))))</f>
        <v/>
      </c>
      <c r="H275">
        <f>IF(OR(H$4="",$A275&gt;TODAY()),0,IF(OR(INDEX($B275:$D275,H$5)="F",AND(H$6&gt;0,$A275&lt;H$6),AND(H$7&gt;0,$A275&gt;H$7)),0,MAX(0,ROUND((INDEX($E275:$G275,H$5)-SUMIFS(TF_Timer,TF_Tekniker,H$4,TF_Dato,$A275))*2,0)/2)))</f>
        <v/>
      </c>
      <c r="I275">
        <f>IF(OR(I$4="",$A275&gt;TODAY()),0,IF(OR(INDEX($B275:$D275,I$5)="F",AND(I$6&gt;0,$A275&lt;I$6),AND(I$7&gt;0,$A275&gt;I$7)),0,MAX(0,ROUND((INDEX($E275:$G275,I$5)-SUMIFS(TF_Timer,TF_Tekniker,I$4,TF_Dato,$A275))*2,0)/2)))</f>
        <v/>
      </c>
      <c r="J275">
        <f>IF(OR(J$4="",$A275&gt;TODAY()),0,IF(OR(INDEX($B275:$D275,J$5)="F",AND(J$6&gt;0,$A275&lt;J$6),AND(J$7&gt;0,$A275&gt;J$7)),0,MAX(0,ROUND((INDEX($E275:$G275,J$5)-SUMIFS(TF_Timer,TF_Tekniker,J$4,TF_Dato,$A275))*2,0)/2)))</f>
        <v/>
      </c>
      <c r="K275">
        <f>IF(OR(K$4="",$A275&gt;TODAY()),0,IF(OR(INDEX($B275:$D275,K$5)="F",AND(K$6&gt;0,$A275&lt;K$6),AND(K$7&gt;0,$A275&gt;K$7)),0,MAX(0,ROUND((INDEX($E275:$G275,K$5)-SUMIFS(TF_Timer,TF_Tekniker,K$4,TF_Dato,$A275))*2,0)/2)))</f>
        <v/>
      </c>
      <c r="L275">
        <f>IF(OR(L$4="",$A275&gt;TODAY()),0,IF(OR(INDEX($B275:$D275,L$5)="F",AND(L$6&gt;0,$A275&lt;L$6),AND(L$7&gt;0,$A275&gt;L$7)),0,MAX(0,ROUND((INDEX($E275:$G275,L$5)-SUMIFS(TF_Timer,TF_Tekniker,L$4,TF_Dato,$A275))*2,0)/2)))</f>
        <v/>
      </c>
      <c r="M275">
        <f>IF(OR(M$4="",$A275&gt;TODAY()),0,IF(OR(INDEX($B275:$D275,M$5)="F",AND(M$6&gt;0,$A275&lt;M$6),AND(M$7&gt;0,$A275&gt;M$7)),0,MAX(0,ROUND((INDEX($E275:$G275,M$5)-SUMIFS(TF_Timer,TF_Tekniker,M$4,TF_Dato,$A275))*2,0)/2)))</f>
        <v/>
      </c>
      <c r="N275">
        <f>IF(OR(N$4="",$A275&gt;TODAY()),0,IF(OR(INDEX($B275:$D275,N$5)="F",AND(N$6&gt;0,$A275&lt;N$6),AND(N$7&gt;0,$A275&gt;N$7)),0,MAX(0,ROUND((INDEX($E275:$G275,N$5)-SUMIFS(TF_Timer,TF_Tekniker,N$4,TF_Dato,$A275))*2,0)/2)))</f>
        <v/>
      </c>
      <c r="O275">
        <f>IF(OR(O$4="",$A275&gt;TODAY()),0,IF(OR(INDEX($B275:$D275,O$5)="F",AND(O$6&gt;0,$A275&lt;O$6),AND(O$7&gt;0,$A275&gt;O$7)),0,MAX(0,ROUND((INDEX($E275:$G275,O$5)-SUMIFS(TF_Timer,TF_Tekniker,O$4,TF_Dato,$A275))*2,0)/2)))</f>
        <v/>
      </c>
      <c r="P275">
        <f>IF(OR(P$4="",$A275&gt;TODAY()),0,IF(OR(INDEX($B275:$D275,P$5)="F",AND(P$6&gt;0,$A275&lt;P$6),AND(P$7&gt;0,$A275&gt;P$7)),0,MAX(0,ROUND((INDEX($E275:$G275,P$5)-SUMIFS(TF_Timer,TF_Tekniker,P$4,TF_Dato,$A275))*2,0)/2)))</f>
        <v/>
      </c>
      <c r="Q275">
        <f>IF(OR(Q$4="",$A275&gt;TODAY()),0,IF(OR(INDEX($B275:$D275,Q$5)="F",AND(Q$6&gt;0,$A275&lt;Q$6),AND(Q$7&gt;0,$A275&gt;Q$7)),0,MAX(0,ROUND((INDEX($E275:$G275,Q$5)-SUMIFS(TF_Timer,TF_Tekniker,Q$4,TF_Dato,$A275))*2,0)/2)))</f>
        <v/>
      </c>
      <c r="R275">
        <f>IF(OR(R$4="",$A275&gt;TODAY()),0,IF(OR(INDEX($B275:$D275,R$5)="F",AND(R$6&gt;0,$A275&lt;R$6),AND(R$7&gt;0,$A275&gt;R$7)),0,MAX(0,ROUND((INDEX($E275:$G275,R$5)-SUMIFS(TF_Timer,TF_Tekniker,R$4,TF_Dato,$A275))*2,0)/2)))</f>
        <v/>
      </c>
      <c r="S275">
        <f>IF(OR(S$4="",$A275&gt;TODAY()),0,IF(OR(INDEX($B275:$D275,S$5)="F",AND(S$6&gt;0,$A275&lt;S$6),AND(S$7&gt;0,$A275&gt;S$7)),0,MAX(0,ROUND((INDEX($E275:$G275,S$5)-SUMIFS(TF_Timer,TF_Tekniker,S$4,TF_Dato,$A275))*2,0)/2)))</f>
        <v/>
      </c>
      <c r="T275">
        <f>IF(OR(T$4="",$A275&gt;TODAY()),0,IF(OR(INDEX($B275:$D275,T$5)="F",AND(T$6&gt;0,$A275&lt;T$6),AND(T$7&gt;0,$A275&gt;T$7)),0,MAX(0,ROUND((INDEX($E275:$G275,T$5)-SUMIFS(TF_Timer,TF_Tekniker,T$4,TF_Dato,$A275))*2,0)/2)))</f>
        <v/>
      </c>
      <c r="U275">
        <f>IF(OR(U$4="",$A275&gt;TODAY()),0,IF(OR(INDEX($B275:$D275,U$5)="F",AND(U$6&gt;0,$A275&lt;U$6),AND(U$7&gt;0,$A275&gt;U$7)),0,MAX(0,ROUND((INDEX($E275:$G275,U$5)-SUMIFS(TF_Timer,TF_Tekniker,U$4,TF_Dato,$A275))*2,0)/2)))</f>
        <v/>
      </c>
      <c r="V275">
        <f>IF(OR(V$4="",$A275&gt;TODAY()),0,IF(OR(INDEX($B275:$D275,V$5)="F",AND(V$6&gt;0,$A275&lt;V$6),AND(V$7&gt;0,$A275&gt;V$7)),0,MAX(0,ROUND((INDEX($E275:$G275,V$5)-SUMIFS(TF_Timer,TF_Tekniker,V$4,TF_Dato,$A275))*2,0)/2)))</f>
        <v/>
      </c>
      <c r="W275">
        <f>IF(OR(W$4="",$A275&gt;TODAY()),0,IF(OR(INDEX($B275:$D275,W$5)="F",AND(W$6&gt;0,$A275&lt;W$6),AND(W$7&gt;0,$A275&gt;W$7)),0,MAX(0,ROUND((INDEX($E275:$G275,W$5)-SUMIFS(TF_Timer,TF_Tekniker,W$4,TF_Dato,$A275))*2,0)/2)))</f>
        <v/>
      </c>
      <c r="X275">
        <f>IF(OR(X$4="",$A275&gt;TODAY()),0,IF(OR(INDEX($B275:$D275,X$5)="F",AND(X$6&gt;0,$A275&lt;X$6),AND(X$7&gt;0,$A275&gt;X$7)),0,MAX(0,ROUND((INDEX($E275:$G275,X$5)-SUMIFS(TF_Timer,TF_Tekniker,X$4,TF_Dato,$A275))*2,0)/2)))</f>
        <v/>
      </c>
      <c r="Y275">
        <f>IF(OR(Y$4="",$A275&gt;TODAY()),0,IF(OR(INDEX($B275:$D275,Y$5)="F",AND(Y$6&gt;0,$A275&lt;Y$6),AND(Y$7&gt;0,$A275&gt;Y$7)),0,MAX(0,ROUND((INDEX($E275:$G275,Y$5)-SUMIFS(TF_Timer,TF_Tekniker,Y$4,TF_Dato,$A275))*2,0)/2)))</f>
        <v/>
      </c>
      <c r="Z275">
        <f>IF(OR(Z$4="",$A275&gt;TODAY()),0,IF(OR(INDEX($B275:$D275,Z$5)="F",AND(Z$6&gt;0,$A275&lt;Z$6),AND(Z$7&gt;0,$A275&gt;Z$7)),0,MAX(0,ROUND((INDEX($E275:$G275,Z$5)-SUMIFS(TF_Timer,TF_Tekniker,Z$4,TF_Dato,$A275))*2,0)/2)))</f>
        <v/>
      </c>
      <c r="AA275">
        <f>IF(OR(AA$4="",$A275&gt;TODAY()),0,IF(OR(INDEX($B275:$D275,AA$5)="F",AND(AA$6&gt;0,$A275&lt;AA$6),AND(AA$7&gt;0,$A275&gt;AA$7)),0,MAX(0,ROUND((INDEX($E275:$G275,AA$5)-SUMIFS(TF_Timer,TF_Tekniker,AA$4,TF_Dato,$A275))*2,0)/2)))</f>
        <v/>
      </c>
      <c r="AB275">
        <f>IF(OR(AB$4="",$A275&gt;TODAY()),0,IF(OR(INDEX($B275:$D275,AB$5)="F",AND(AB$6&gt;0,$A275&lt;AB$6),AND(AB$7&gt;0,$A275&gt;AB$7)),0,MAX(0,ROUND((INDEX($E275:$G275,AB$5)-SUMIFS(TF_Timer,TF_Tekniker,AB$4,TF_Dato,$A275))*2,0)/2)))</f>
        <v/>
      </c>
      <c r="AC275">
        <f>IF(OR(AC$4="",$A275&gt;TODAY()),0,IF(OR(INDEX($B275:$D275,AC$5)="F",AND(AC$6&gt;0,$A275&lt;AC$6),AND(AC$7&gt;0,$A275&gt;AC$7)),0,MAX(0,ROUND((INDEX($E275:$G275,AC$5)-SUMIFS(TF_Timer,TF_Tekniker,AC$4,TF_Dato,$A275))*2,0)/2)))</f>
        <v/>
      </c>
      <c r="AD275">
        <f>IF(OR(AD$4="",$A275&gt;TODAY()),0,IF(OR(INDEX($B275:$D275,AD$5)="F",AND(AD$6&gt;0,$A275&lt;AD$6),AND(AD$7&gt;0,$A275&gt;AD$7)),0,MAX(0,ROUND((INDEX($E275:$G275,AD$5)-SUMIFS(TF_Timer,TF_Tekniker,AD$4,TF_Dato,$A275))*2,0)/2)))</f>
        <v/>
      </c>
      <c r="AE275">
        <f>IF(OR(AE$4="",$A275&gt;TODAY()),0,IF(OR(INDEX($B275:$D275,AE$5)="F",AND(AE$6&gt;0,$A275&lt;AE$6),AND(AE$7&gt;0,$A275&gt;AE$7)),0,MAX(0,ROUND((INDEX($E275:$G275,AE$5)-SUMIFS(TF_Timer,TF_Tekniker,AE$4,TF_Dato,$A275))*2,0)/2)))</f>
        <v/>
      </c>
      <c r="AF275">
        <f>IF(OR(AF$4="",$A275&gt;TODAY()),0,IF(OR(INDEX($B275:$D275,AF$5)="F",AND(AF$6&gt;0,$A275&lt;AF$6),AND(AF$7&gt;0,$A275&gt;AF$7)),0,MAX(0,ROUND((INDEX($E275:$G275,AF$5)-SUMIFS(TF_Timer,TF_Tekniker,AF$4,TF_Dato,$A275))*2,0)/2)))</f>
        <v/>
      </c>
      <c r="AG275">
        <f>IF(OR(AG$4="",$A275&gt;TODAY()),0,IF(OR(INDEX($B275:$D275,AG$5)="F",AND(AG$6&gt;0,$A275&lt;AG$6),AND(AG$7&gt;0,$A275&gt;AG$7)),0,MAX(0,ROUND((INDEX($E275:$G275,AG$5)-SUMIFS(TF_Timer,TF_Tekniker,AG$4,TF_Dato,$A275))*2,0)/2)))</f>
        <v/>
      </c>
      <c r="AH275">
        <f>IF(OR(AH$4="",$A275&gt;TODAY()),0,IF(OR(INDEX($B275:$D275,AH$5)="F",AND(AH$6&gt;0,$A275&lt;AH$6),AND(AH$7&gt;0,$A275&gt;AH$7)),0,MAX(0,ROUND((INDEX($E275:$G275,AH$5)-SUMIFS(TF_Timer,TF_Tekniker,AH$4,TF_Dato,$A275))*2,0)/2)))</f>
        <v/>
      </c>
      <c r="AI275">
        <f>IF(OR(AI$4="",$A275&gt;TODAY()),0,IF(OR(INDEX($B275:$D275,AI$5)="F",AND(AI$6&gt;0,$A275&lt;AI$6),AND(AI$7&gt;0,$A275&gt;AI$7)),0,MAX(0,ROUND((INDEX($E275:$G275,AI$5)-SUMIFS(TF_Timer,TF_Tekniker,AI$4,TF_Dato,$A275))*2,0)/2)))</f>
        <v/>
      </c>
      <c r="AJ275">
        <f>IF(OR(AJ$4="",$A275&gt;TODAY()),0,IF(OR(INDEX($B275:$D275,AJ$5)="F",AND(AJ$6&gt;0,$A275&lt;AJ$6),AND(AJ$7&gt;0,$A275&gt;AJ$7)),0,MAX(0,ROUND((INDEX($E275:$G275,AJ$5)-SUMIFS(TF_Timer,TF_Tekniker,AJ$4,TF_Dato,$A275))*2,0)/2)))</f>
        <v/>
      </c>
      <c r="AK275">
        <f>IF(OR(AK$4="",$A275&gt;TODAY()),0,IF(OR(INDEX($B275:$D275,AK$5)="F",AND(AK$6&gt;0,$A275&lt;AK$6),AND(AK$7&gt;0,$A275&gt;AK$7)),0,MAX(0,ROUND((INDEX($E275:$G275,AK$5)-SUMIFS(TF_Timer,TF_Tekniker,AK$4,TF_Dato,$A275))*2,0)/2)))</f>
        <v/>
      </c>
      <c r="AL275">
        <f>IF(OR(AL$4="",$A275&gt;TODAY()),0,IF(OR(INDEX($B275:$D275,AL$5)="F",AND(AL$6&gt;0,$A275&lt;AL$6),AND(AL$7&gt;0,$A275&gt;AL$7)),0,MAX(0,ROUND((INDEX($E275:$G275,AL$5)-SUMIFS(TF_Timer,TF_Tekniker,AL$4,TF_Dato,$A275))*2,0)/2)))</f>
        <v/>
      </c>
      <c r="AM275">
        <f>IF(OR(AM$4="",$A275&gt;TODAY()),0,IF(OR(INDEX($B275:$D275,AM$5)="F",AND(AM$6&gt;0,$A275&lt;AM$6),AND(AM$7&gt;0,$A275&gt;AM$7)),0,MAX(0,ROUND((INDEX($E275:$G275,AM$5)-SUMIFS(TF_Timer,TF_Tekniker,AM$4,TF_Dato,$A275))*2,0)/2)))</f>
        <v/>
      </c>
      <c r="AN275">
        <f>IF(OR(AN$4="",$A275&gt;TODAY()),0,IF(OR(INDEX($B275:$D275,AN$5)="F",AND(AN$6&gt;0,$A275&lt;AN$6),AND(AN$7&gt;0,$A275&gt;AN$7)),0,MAX(0,ROUND((INDEX($E275:$G275,AN$5)-SUMIFS(TF_Timer,TF_Tekniker,AN$4,TF_Dato,$A275))*2,0)/2)))</f>
        <v/>
      </c>
      <c r="AO275">
        <f>IF(OR(AO$4="",$A275&gt;TODAY()),0,IF(OR(INDEX($B275:$D275,AO$5)="F",AND(AO$6&gt;0,$A275&lt;AO$6),AND(AO$7&gt;0,$A275&gt;AO$7)),0,MAX(0,ROUND((INDEX($E275:$G275,AO$5)-SUMIFS(TF_Timer,TF_Tekniker,AO$4,TF_Dato,$A275))*2,0)/2)))</f>
        <v/>
      </c>
      <c r="AP275">
        <f>IF(OR(AP$4="",$A275&gt;TODAY()),0,IF(OR(INDEX($B275:$D275,AP$5)="F",AND(AP$6&gt;0,$A275&lt;AP$6),AND(AP$7&gt;0,$A275&gt;AP$7)),0,MAX(0,ROUND((INDEX($E275:$G275,AP$5)-SUMIFS(TF_Timer,TF_Tekniker,AP$4,TF_Dato,$A275))*2,0)/2)))</f>
        <v/>
      </c>
      <c r="AQ275">
        <f>IF(OR(AQ$4="",$A275&gt;TODAY()),0,IF(OR(INDEX($B275:$D275,AQ$5)="F",AND(AQ$6&gt;0,$A275&lt;AQ$6),AND(AQ$7&gt;0,$A275&gt;AQ$7)),0,MAX(0,ROUND((INDEX($E275:$G275,AQ$5)-SUMIFS(TF_Timer,TF_Tekniker,AQ$4,TF_Dato,$A275))*2,0)/2)))</f>
        <v/>
      </c>
      <c r="AR275">
        <f>IF(OR(AR$4="",$A275&gt;TODAY()),0,IF(OR(INDEX($B275:$D275,AR$5)="F",AND(AR$6&gt;0,$A275&lt;AR$6),AND(AR$7&gt;0,$A275&gt;AR$7)),0,MAX(0,ROUND((INDEX($E275:$G275,AR$5)-SUMIFS(TF_Timer,TF_Tekniker,AR$4,TF_Dato,$A275))*2,0)/2)))</f>
        <v/>
      </c>
      <c r="AS275">
        <f>IF(OR(AS$4="",$A275&gt;TODAY()),0,IF(OR(INDEX($B275:$D275,AS$5)="F",AND(AS$6&gt;0,$A275&lt;AS$6),AND(AS$7&gt;0,$A275&gt;AS$7)),0,MAX(0,ROUND((INDEX($E275:$G275,AS$5)-SUMIFS(TF_Timer,TF_Tekniker,AS$4,TF_Dato,$A275))*2,0)/2)))</f>
        <v/>
      </c>
      <c r="AT275">
        <f>IF(OR(AT$4="",$A275&gt;TODAY()),0,IF(OR(INDEX($B275:$D275,AT$5)="F",AND(AT$6&gt;0,$A275&lt;AT$6),AND(AT$7&gt;0,$A275&gt;AT$7)),0,MAX(0,ROUND((INDEX($E275:$G275,AT$5)-SUMIFS(TF_Timer,TF_Tekniker,AT$4,TF_Dato,$A275))*2,0)/2)))</f>
        <v/>
      </c>
      <c r="AU275">
        <f>IF(OR(AU$4="",$A275&gt;TODAY()),0,IF(OR(INDEX($B275:$D275,AU$5)="F",AND(AU$6&gt;0,$A275&lt;AU$6),AND(AU$7&gt;0,$A275&gt;AU$7)),0,MAX(0,ROUND((INDEX($E275:$G275,AU$5)-SUMIFS(TF_Timer,TF_Tekniker,AU$4,TF_Dato,$A275))*2,0)/2)))</f>
        <v/>
      </c>
      <c r="AV275">
        <f>IF(OR(AV$4="",$A275&gt;TODAY()),0,IF(OR(INDEX($B275:$D275,AV$5)="F",AND(AV$6&gt;0,$A275&lt;AV$6),AND(AV$7&gt;0,$A275&gt;AV$7)),0,MAX(0,ROUND((INDEX($E275:$G275,AV$5)-SUMIFS(TF_Timer,TF_Tekniker,AV$4,TF_Dato,$A275))*2,0)/2)))</f>
        <v/>
      </c>
      <c r="AW275">
        <f>IF(OR(AW$4="",$A275&gt;TODAY()),0,IF(OR(INDEX($B275:$D275,AW$5)="F",AND(AW$6&gt;0,$A275&lt;AW$6),AND(AW$7&gt;0,$A275&gt;AW$7)),0,MAX(0,ROUND((INDEX($E275:$G275,AW$5)-SUMIFS(TF_Timer,TF_Tekniker,AW$4,TF_Dato,$A275))*2,0)/2)))</f>
        <v/>
      </c>
      <c r="AX275">
        <f>IF(OR(AX$4="",$A275&gt;TODAY()),0,IF(OR(INDEX($B275:$D275,AX$5)="F",AND(AX$6&gt;0,$A275&lt;AX$6),AND(AX$7&gt;0,$A275&gt;AX$7)),0,MAX(0,ROUND((INDEX($E275:$G275,AX$5)-SUMIFS(TF_Timer,TF_Tekniker,AX$4,TF_Dato,$A275))*2,0)/2)))</f>
        <v/>
      </c>
      <c r="AY275">
        <f>IF(OR(AY$4="",$A275&gt;TODAY()),0,IF(OR(INDEX($B275:$D275,AY$5)="F",AND(AY$6&gt;0,$A275&lt;AY$6),AND(AY$7&gt;0,$A275&gt;AY$7)),0,MAX(0,ROUND((INDEX($E275:$G275,AY$5)-SUMIFS(TF_Timer,TF_Tekniker,AY$4,TF_Dato,$A275))*2,0)/2)))</f>
        <v/>
      </c>
      <c r="AZ275">
        <f>IF(OR(AZ$4="",$A275&gt;TODAY()),0,IF(OR(INDEX($B275:$D275,AZ$5)="F",AND(AZ$6&gt;0,$A275&lt;AZ$6),AND(AZ$7&gt;0,$A275&gt;AZ$7)),0,MAX(0,ROUND((INDEX($E275:$G275,AZ$5)-SUMIFS(TF_Timer,TF_Tekniker,AZ$4,TF_Dato,$A275))*2,0)/2)))</f>
        <v/>
      </c>
      <c r="BA275">
        <f>IF(OR(BA$4="",$A275&gt;TODAY()),0,IF(OR(INDEX($B275:$D275,BA$5)="F",AND(BA$6&gt;0,$A275&lt;BA$6),AND(BA$7&gt;0,$A275&gt;BA$7)),0,MAX(0,ROUND((INDEX($E275:$G275,BA$5)-SUMIFS(TF_Timer,TF_Tekniker,BA$4,TF_Dato,$A275))*2,0)/2)))</f>
        <v/>
      </c>
      <c r="BB275">
        <f>IF(OR(BB$4="",$A275&gt;TODAY()),0,IF(OR(INDEX($B275:$D275,BB$5)="F",AND(BB$6&gt;0,$A275&lt;BB$6),AND(BB$7&gt;0,$A275&gt;BB$7)),0,MAX(0,ROUND((INDEX($E275:$G275,BB$5)-SUMIFS(TF_Timer,TF_Tekniker,BB$4,TF_Dato,$A275))*2,0)/2)))</f>
        <v/>
      </c>
      <c r="BC275">
        <f>IF(OR(BC$4="",$A275&gt;TODAY()),0,IF(OR(INDEX($B275:$D275,BC$5)="F",AND(BC$6&gt;0,$A275&lt;BC$6),AND(BC$7&gt;0,$A275&gt;BC$7)),0,MAX(0,ROUND((INDEX($E275:$G275,BC$5)-SUMIFS(TF_Timer,TF_Tekniker,BC$4,TF_Dato,$A275))*2,0)/2)))</f>
        <v/>
      </c>
      <c r="BD275">
        <f>IF(OR(BD$4="",$A275&gt;TODAY()),0,IF(OR(INDEX($B275:$D275,BD$5)="F",AND(BD$6&gt;0,$A275&lt;BD$6),AND(BD$7&gt;0,$A275&gt;BD$7)),0,MAX(0,ROUND((INDEX($E275:$G275,BD$5)-SUMIFS(TF_Timer,TF_Tekniker,BD$4,TF_Dato,$A275))*2,0)/2)))</f>
        <v/>
      </c>
      <c r="BE275">
        <f>IF(OR(BE$4="",$A275&gt;TODAY()),0,IF(OR(INDEX($B275:$D275,BE$5)="F",AND(BE$6&gt;0,$A275&lt;BE$6),AND(BE$7&gt;0,$A275&gt;BE$7)),0,MAX(0,ROUND((INDEX($E275:$G275,BE$5)-SUMIFS(TF_Timer,TF_Tekniker,BE$4,TF_Dato,$A275))*2,0)/2)))</f>
        <v/>
      </c>
      <c r="BF275">
        <f>IF(OR(BF$4="",$A275&gt;TODAY()),0,IF(OR(INDEX($B275:$D275,BF$5)="F",AND(BF$6&gt;0,$A275&lt;BF$6),AND(BF$7&gt;0,$A275&gt;BF$7)),0,MAX(0,ROUND((INDEX($E275:$G275,BF$5)-SUMIFS(TF_Timer,TF_Tekniker,BF$4,TF_Dato,$A275))*2,0)/2)))</f>
        <v/>
      </c>
      <c r="BG275">
        <f>IF(OR(BG$4="",$A275&gt;TODAY()),0,IF(OR(INDEX($B275:$D275,BG$5)="F",AND(BG$6&gt;0,$A275&lt;BG$6),AND(BG$7&gt;0,$A275&gt;BG$7)),0,MAX(0,ROUND((INDEX($E275:$G275,BG$5)-SUMIFS(TF_Timer,TF_Tekniker,BG$4,TF_Dato,$A275))*2,0)/2)))</f>
        <v/>
      </c>
      <c r="BH275">
        <f>IF(OR(BH$4="",$A275&gt;TODAY()),0,IF(OR(INDEX($B275:$D275,BH$5)="F",AND(BH$6&gt;0,$A275&lt;BH$6),AND(BH$7&gt;0,$A275&gt;BH$7)),0,MAX(0,ROUND((INDEX($E275:$G275,BH$5)-SUMIFS(TF_Timer,TF_Tekniker,BH$4,TF_Dato,$A275))*2,0)/2)))</f>
        <v/>
      </c>
      <c r="BI275">
        <f>IF(OR(BI$4="",$A275&gt;TODAY()),0,IF(OR(INDEX($B275:$D275,BI$5)="F",AND(BI$6&gt;0,$A275&lt;BI$6),AND(BI$7&gt;0,$A275&gt;BI$7)),0,MAX(0,ROUND((INDEX($E275:$G275,BI$5)-SUMIFS(TF_Timer,TF_Tekniker,BI$4,TF_Dato,$A275))*2,0)/2)))</f>
        <v/>
      </c>
    </row>
    <row r="276">
      <c r="A276" s="64">
        <f>A275+1</f>
        <v/>
      </c>
      <c r="B276">
        <f>IF(MOD($A276-INDEX(SkiftStart,1),Syklus)&lt;DagK,"K",IF(MOD($A276-INDEX(SkiftStart,1),Syklus)&lt;DagK+DagH,"H",IF(MOD($A276-INDEX(SkiftStart,1),Syklus)&lt;DagK+DagH+DagD,"D","F")))</f>
        <v/>
      </c>
      <c r="C276">
        <f>IF(MOD($A276-INDEX(SkiftStart,2),Syklus)&lt;DagK,"K",IF(MOD($A276-INDEX(SkiftStart,2),Syklus)&lt;DagK+DagH,"H",IF(MOD($A276-INDEX(SkiftStart,2),Syklus)&lt;DagK+DagH+DagD,"D","F")))</f>
        <v/>
      </c>
      <c r="D276">
        <f>IF(MOD($A276-INDEX(SkiftStart,3),Syklus)&lt;DagK,"K",IF(MOD($A276-INDEX(SkiftStart,3),Syklus)&lt;DagK+DagH,"H",IF(MOD($A276-INDEX(SkiftStart,3),Syklus)&lt;DagK+DagH+DagD,"D","F")))</f>
        <v/>
      </c>
      <c r="E276">
        <f>IF(B276="F",0,IF(WEEKDAY($A276,2)=5,INDEX(TimerFr,MATCH(B276,FaseKode,0)),INDEX(TimerMT,MATCH(B276,FaseKode,0))))</f>
        <v/>
      </c>
      <c r="F276">
        <f>IF(C276="F",0,IF(WEEKDAY($A276,2)=5,INDEX(TimerFr,MATCH(C276,FaseKode,0)),INDEX(TimerMT,MATCH(C276,FaseKode,0))))</f>
        <v/>
      </c>
      <c r="G276">
        <f>IF(D276="F",0,IF(WEEKDAY($A276,2)=5,INDEX(TimerFr,MATCH(D276,FaseKode,0)),INDEX(TimerMT,MATCH(D276,FaseKode,0))))</f>
        <v/>
      </c>
      <c r="H276">
        <f>IF(OR(H$4="",$A276&gt;TODAY()),0,IF(OR(INDEX($B276:$D276,H$5)="F",AND(H$6&gt;0,$A276&lt;H$6),AND(H$7&gt;0,$A276&gt;H$7)),0,MAX(0,ROUND((INDEX($E276:$G276,H$5)-SUMIFS(TF_Timer,TF_Tekniker,H$4,TF_Dato,$A276))*2,0)/2)))</f>
        <v/>
      </c>
      <c r="I276">
        <f>IF(OR(I$4="",$A276&gt;TODAY()),0,IF(OR(INDEX($B276:$D276,I$5)="F",AND(I$6&gt;0,$A276&lt;I$6),AND(I$7&gt;0,$A276&gt;I$7)),0,MAX(0,ROUND((INDEX($E276:$G276,I$5)-SUMIFS(TF_Timer,TF_Tekniker,I$4,TF_Dato,$A276))*2,0)/2)))</f>
        <v/>
      </c>
      <c r="J276">
        <f>IF(OR(J$4="",$A276&gt;TODAY()),0,IF(OR(INDEX($B276:$D276,J$5)="F",AND(J$6&gt;0,$A276&lt;J$6),AND(J$7&gt;0,$A276&gt;J$7)),0,MAX(0,ROUND((INDEX($E276:$G276,J$5)-SUMIFS(TF_Timer,TF_Tekniker,J$4,TF_Dato,$A276))*2,0)/2)))</f>
        <v/>
      </c>
      <c r="K276">
        <f>IF(OR(K$4="",$A276&gt;TODAY()),0,IF(OR(INDEX($B276:$D276,K$5)="F",AND(K$6&gt;0,$A276&lt;K$6),AND(K$7&gt;0,$A276&gt;K$7)),0,MAX(0,ROUND((INDEX($E276:$G276,K$5)-SUMIFS(TF_Timer,TF_Tekniker,K$4,TF_Dato,$A276))*2,0)/2)))</f>
        <v/>
      </c>
      <c r="L276">
        <f>IF(OR(L$4="",$A276&gt;TODAY()),0,IF(OR(INDEX($B276:$D276,L$5)="F",AND(L$6&gt;0,$A276&lt;L$6),AND(L$7&gt;0,$A276&gt;L$7)),0,MAX(0,ROUND((INDEX($E276:$G276,L$5)-SUMIFS(TF_Timer,TF_Tekniker,L$4,TF_Dato,$A276))*2,0)/2)))</f>
        <v/>
      </c>
      <c r="M276">
        <f>IF(OR(M$4="",$A276&gt;TODAY()),0,IF(OR(INDEX($B276:$D276,M$5)="F",AND(M$6&gt;0,$A276&lt;M$6),AND(M$7&gt;0,$A276&gt;M$7)),0,MAX(0,ROUND((INDEX($E276:$G276,M$5)-SUMIFS(TF_Timer,TF_Tekniker,M$4,TF_Dato,$A276))*2,0)/2)))</f>
        <v/>
      </c>
      <c r="N276">
        <f>IF(OR(N$4="",$A276&gt;TODAY()),0,IF(OR(INDEX($B276:$D276,N$5)="F",AND(N$6&gt;0,$A276&lt;N$6),AND(N$7&gt;0,$A276&gt;N$7)),0,MAX(0,ROUND((INDEX($E276:$G276,N$5)-SUMIFS(TF_Timer,TF_Tekniker,N$4,TF_Dato,$A276))*2,0)/2)))</f>
        <v/>
      </c>
      <c r="O276">
        <f>IF(OR(O$4="",$A276&gt;TODAY()),0,IF(OR(INDEX($B276:$D276,O$5)="F",AND(O$6&gt;0,$A276&lt;O$6),AND(O$7&gt;0,$A276&gt;O$7)),0,MAX(0,ROUND((INDEX($E276:$G276,O$5)-SUMIFS(TF_Timer,TF_Tekniker,O$4,TF_Dato,$A276))*2,0)/2)))</f>
        <v/>
      </c>
      <c r="P276">
        <f>IF(OR(P$4="",$A276&gt;TODAY()),0,IF(OR(INDEX($B276:$D276,P$5)="F",AND(P$6&gt;0,$A276&lt;P$6),AND(P$7&gt;0,$A276&gt;P$7)),0,MAX(0,ROUND((INDEX($E276:$G276,P$5)-SUMIFS(TF_Timer,TF_Tekniker,P$4,TF_Dato,$A276))*2,0)/2)))</f>
        <v/>
      </c>
      <c r="Q276">
        <f>IF(OR(Q$4="",$A276&gt;TODAY()),0,IF(OR(INDEX($B276:$D276,Q$5)="F",AND(Q$6&gt;0,$A276&lt;Q$6),AND(Q$7&gt;0,$A276&gt;Q$7)),0,MAX(0,ROUND((INDEX($E276:$G276,Q$5)-SUMIFS(TF_Timer,TF_Tekniker,Q$4,TF_Dato,$A276))*2,0)/2)))</f>
        <v/>
      </c>
      <c r="R276">
        <f>IF(OR(R$4="",$A276&gt;TODAY()),0,IF(OR(INDEX($B276:$D276,R$5)="F",AND(R$6&gt;0,$A276&lt;R$6),AND(R$7&gt;0,$A276&gt;R$7)),0,MAX(0,ROUND((INDEX($E276:$G276,R$5)-SUMIFS(TF_Timer,TF_Tekniker,R$4,TF_Dato,$A276))*2,0)/2)))</f>
        <v/>
      </c>
      <c r="S276">
        <f>IF(OR(S$4="",$A276&gt;TODAY()),0,IF(OR(INDEX($B276:$D276,S$5)="F",AND(S$6&gt;0,$A276&lt;S$6),AND(S$7&gt;0,$A276&gt;S$7)),0,MAX(0,ROUND((INDEX($E276:$G276,S$5)-SUMIFS(TF_Timer,TF_Tekniker,S$4,TF_Dato,$A276))*2,0)/2)))</f>
        <v/>
      </c>
      <c r="T276">
        <f>IF(OR(T$4="",$A276&gt;TODAY()),0,IF(OR(INDEX($B276:$D276,T$5)="F",AND(T$6&gt;0,$A276&lt;T$6),AND(T$7&gt;0,$A276&gt;T$7)),0,MAX(0,ROUND((INDEX($E276:$G276,T$5)-SUMIFS(TF_Timer,TF_Tekniker,T$4,TF_Dato,$A276))*2,0)/2)))</f>
        <v/>
      </c>
      <c r="U276">
        <f>IF(OR(U$4="",$A276&gt;TODAY()),0,IF(OR(INDEX($B276:$D276,U$5)="F",AND(U$6&gt;0,$A276&lt;U$6),AND(U$7&gt;0,$A276&gt;U$7)),0,MAX(0,ROUND((INDEX($E276:$G276,U$5)-SUMIFS(TF_Timer,TF_Tekniker,U$4,TF_Dato,$A276))*2,0)/2)))</f>
        <v/>
      </c>
      <c r="V276">
        <f>IF(OR(V$4="",$A276&gt;TODAY()),0,IF(OR(INDEX($B276:$D276,V$5)="F",AND(V$6&gt;0,$A276&lt;V$6),AND(V$7&gt;0,$A276&gt;V$7)),0,MAX(0,ROUND((INDEX($E276:$G276,V$5)-SUMIFS(TF_Timer,TF_Tekniker,V$4,TF_Dato,$A276))*2,0)/2)))</f>
        <v/>
      </c>
      <c r="W276">
        <f>IF(OR(W$4="",$A276&gt;TODAY()),0,IF(OR(INDEX($B276:$D276,W$5)="F",AND(W$6&gt;0,$A276&lt;W$6),AND(W$7&gt;0,$A276&gt;W$7)),0,MAX(0,ROUND((INDEX($E276:$G276,W$5)-SUMIFS(TF_Timer,TF_Tekniker,W$4,TF_Dato,$A276))*2,0)/2)))</f>
        <v/>
      </c>
      <c r="X276">
        <f>IF(OR(X$4="",$A276&gt;TODAY()),0,IF(OR(INDEX($B276:$D276,X$5)="F",AND(X$6&gt;0,$A276&lt;X$6),AND(X$7&gt;0,$A276&gt;X$7)),0,MAX(0,ROUND((INDEX($E276:$G276,X$5)-SUMIFS(TF_Timer,TF_Tekniker,X$4,TF_Dato,$A276))*2,0)/2)))</f>
        <v/>
      </c>
      <c r="Y276">
        <f>IF(OR(Y$4="",$A276&gt;TODAY()),0,IF(OR(INDEX($B276:$D276,Y$5)="F",AND(Y$6&gt;0,$A276&lt;Y$6),AND(Y$7&gt;0,$A276&gt;Y$7)),0,MAX(0,ROUND((INDEX($E276:$G276,Y$5)-SUMIFS(TF_Timer,TF_Tekniker,Y$4,TF_Dato,$A276))*2,0)/2)))</f>
        <v/>
      </c>
      <c r="Z276">
        <f>IF(OR(Z$4="",$A276&gt;TODAY()),0,IF(OR(INDEX($B276:$D276,Z$5)="F",AND(Z$6&gt;0,$A276&lt;Z$6),AND(Z$7&gt;0,$A276&gt;Z$7)),0,MAX(0,ROUND((INDEX($E276:$G276,Z$5)-SUMIFS(TF_Timer,TF_Tekniker,Z$4,TF_Dato,$A276))*2,0)/2)))</f>
        <v/>
      </c>
      <c r="AA276">
        <f>IF(OR(AA$4="",$A276&gt;TODAY()),0,IF(OR(INDEX($B276:$D276,AA$5)="F",AND(AA$6&gt;0,$A276&lt;AA$6),AND(AA$7&gt;0,$A276&gt;AA$7)),0,MAX(0,ROUND((INDEX($E276:$G276,AA$5)-SUMIFS(TF_Timer,TF_Tekniker,AA$4,TF_Dato,$A276))*2,0)/2)))</f>
        <v/>
      </c>
      <c r="AB276">
        <f>IF(OR(AB$4="",$A276&gt;TODAY()),0,IF(OR(INDEX($B276:$D276,AB$5)="F",AND(AB$6&gt;0,$A276&lt;AB$6),AND(AB$7&gt;0,$A276&gt;AB$7)),0,MAX(0,ROUND((INDEX($E276:$G276,AB$5)-SUMIFS(TF_Timer,TF_Tekniker,AB$4,TF_Dato,$A276))*2,0)/2)))</f>
        <v/>
      </c>
      <c r="AC276">
        <f>IF(OR(AC$4="",$A276&gt;TODAY()),0,IF(OR(INDEX($B276:$D276,AC$5)="F",AND(AC$6&gt;0,$A276&lt;AC$6),AND(AC$7&gt;0,$A276&gt;AC$7)),0,MAX(0,ROUND((INDEX($E276:$G276,AC$5)-SUMIFS(TF_Timer,TF_Tekniker,AC$4,TF_Dato,$A276))*2,0)/2)))</f>
        <v/>
      </c>
      <c r="AD276">
        <f>IF(OR(AD$4="",$A276&gt;TODAY()),0,IF(OR(INDEX($B276:$D276,AD$5)="F",AND(AD$6&gt;0,$A276&lt;AD$6),AND(AD$7&gt;0,$A276&gt;AD$7)),0,MAX(0,ROUND((INDEX($E276:$G276,AD$5)-SUMIFS(TF_Timer,TF_Tekniker,AD$4,TF_Dato,$A276))*2,0)/2)))</f>
        <v/>
      </c>
      <c r="AE276">
        <f>IF(OR(AE$4="",$A276&gt;TODAY()),0,IF(OR(INDEX($B276:$D276,AE$5)="F",AND(AE$6&gt;0,$A276&lt;AE$6),AND(AE$7&gt;0,$A276&gt;AE$7)),0,MAX(0,ROUND((INDEX($E276:$G276,AE$5)-SUMIFS(TF_Timer,TF_Tekniker,AE$4,TF_Dato,$A276))*2,0)/2)))</f>
        <v/>
      </c>
      <c r="AF276">
        <f>IF(OR(AF$4="",$A276&gt;TODAY()),0,IF(OR(INDEX($B276:$D276,AF$5)="F",AND(AF$6&gt;0,$A276&lt;AF$6),AND(AF$7&gt;0,$A276&gt;AF$7)),0,MAX(0,ROUND((INDEX($E276:$G276,AF$5)-SUMIFS(TF_Timer,TF_Tekniker,AF$4,TF_Dato,$A276))*2,0)/2)))</f>
        <v/>
      </c>
      <c r="AG276">
        <f>IF(OR(AG$4="",$A276&gt;TODAY()),0,IF(OR(INDEX($B276:$D276,AG$5)="F",AND(AG$6&gt;0,$A276&lt;AG$6),AND(AG$7&gt;0,$A276&gt;AG$7)),0,MAX(0,ROUND((INDEX($E276:$G276,AG$5)-SUMIFS(TF_Timer,TF_Tekniker,AG$4,TF_Dato,$A276))*2,0)/2)))</f>
        <v/>
      </c>
      <c r="AH276">
        <f>IF(OR(AH$4="",$A276&gt;TODAY()),0,IF(OR(INDEX($B276:$D276,AH$5)="F",AND(AH$6&gt;0,$A276&lt;AH$6),AND(AH$7&gt;0,$A276&gt;AH$7)),0,MAX(0,ROUND((INDEX($E276:$G276,AH$5)-SUMIFS(TF_Timer,TF_Tekniker,AH$4,TF_Dato,$A276))*2,0)/2)))</f>
        <v/>
      </c>
      <c r="AI276">
        <f>IF(OR(AI$4="",$A276&gt;TODAY()),0,IF(OR(INDEX($B276:$D276,AI$5)="F",AND(AI$6&gt;0,$A276&lt;AI$6),AND(AI$7&gt;0,$A276&gt;AI$7)),0,MAX(0,ROUND((INDEX($E276:$G276,AI$5)-SUMIFS(TF_Timer,TF_Tekniker,AI$4,TF_Dato,$A276))*2,0)/2)))</f>
        <v/>
      </c>
      <c r="AJ276">
        <f>IF(OR(AJ$4="",$A276&gt;TODAY()),0,IF(OR(INDEX($B276:$D276,AJ$5)="F",AND(AJ$6&gt;0,$A276&lt;AJ$6),AND(AJ$7&gt;0,$A276&gt;AJ$7)),0,MAX(0,ROUND((INDEX($E276:$G276,AJ$5)-SUMIFS(TF_Timer,TF_Tekniker,AJ$4,TF_Dato,$A276))*2,0)/2)))</f>
        <v/>
      </c>
      <c r="AK276">
        <f>IF(OR(AK$4="",$A276&gt;TODAY()),0,IF(OR(INDEX($B276:$D276,AK$5)="F",AND(AK$6&gt;0,$A276&lt;AK$6),AND(AK$7&gt;0,$A276&gt;AK$7)),0,MAX(0,ROUND((INDEX($E276:$G276,AK$5)-SUMIFS(TF_Timer,TF_Tekniker,AK$4,TF_Dato,$A276))*2,0)/2)))</f>
        <v/>
      </c>
      <c r="AL276">
        <f>IF(OR(AL$4="",$A276&gt;TODAY()),0,IF(OR(INDEX($B276:$D276,AL$5)="F",AND(AL$6&gt;0,$A276&lt;AL$6),AND(AL$7&gt;0,$A276&gt;AL$7)),0,MAX(0,ROUND((INDEX($E276:$G276,AL$5)-SUMIFS(TF_Timer,TF_Tekniker,AL$4,TF_Dato,$A276))*2,0)/2)))</f>
        <v/>
      </c>
      <c r="AM276">
        <f>IF(OR(AM$4="",$A276&gt;TODAY()),0,IF(OR(INDEX($B276:$D276,AM$5)="F",AND(AM$6&gt;0,$A276&lt;AM$6),AND(AM$7&gt;0,$A276&gt;AM$7)),0,MAX(0,ROUND((INDEX($E276:$G276,AM$5)-SUMIFS(TF_Timer,TF_Tekniker,AM$4,TF_Dato,$A276))*2,0)/2)))</f>
        <v/>
      </c>
      <c r="AN276">
        <f>IF(OR(AN$4="",$A276&gt;TODAY()),0,IF(OR(INDEX($B276:$D276,AN$5)="F",AND(AN$6&gt;0,$A276&lt;AN$6),AND(AN$7&gt;0,$A276&gt;AN$7)),0,MAX(0,ROUND((INDEX($E276:$G276,AN$5)-SUMIFS(TF_Timer,TF_Tekniker,AN$4,TF_Dato,$A276))*2,0)/2)))</f>
        <v/>
      </c>
      <c r="AO276">
        <f>IF(OR(AO$4="",$A276&gt;TODAY()),0,IF(OR(INDEX($B276:$D276,AO$5)="F",AND(AO$6&gt;0,$A276&lt;AO$6),AND(AO$7&gt;0,$A276&gt;AO$7)),0,MAX(0,ROUND((INDEX($E276:$G276,AO$5)-SUMIFS(TF_Timer,TF_Tekniker,AO$4,TF_Dato,$A276))*2,0)/2)))</f>
        <v/>
      </c>
      <c r="AP276">
        <f>IF(OR(AP$4="",$A276&gt;TODAY()),0,IF(OR(INDEX($B276:$D276,AP$5)="F",AND(AP$6&gt;0,$A276&lt;AP$6),AND(AP$7&gt;0,$A276&gt;AP$7)),0,MAX(0,ROUND((INDEX($E276:$G276,AP$5)-SUMIFS(TF_Timer,TF_Tekniker,AP$4,TF_Dato,$A276))*2,0)/2)))</f>
        <v/>
      </c>
      <c r="AQ276">
        <f>IF(OR(AQ$4="",$A276&gt;TODAY()),0,IF(OR(INDEX($B276:$D276,AQ$5)="F",AND(AQ$6&gt;0,$A276&lt;AQ$6),AND(AQ$7&gt;0,$A276&gt;AQ$7)),0,MAX(0,ROUND((INDEX($E276:$G276,AQ$5)-SUMIFS(TF_Timer,TF_Tekniker,AQ$4,TF_Dato,$A276))*2,0)/2)))</f>
        <v/>
      </c>
      <c r="AR276">
        <f>IF(OR(AR$4="",$A276&gt;TODAY()),0,IF(OR(INDEX($B276:$D276,AR$5)="F",AND(AR$6&gt;0,$A276&lt;AR$6),AND(AR$7&gt;0,$A276&gt;AR$7)),0,MAX(0,ROUND((INDEX($E276:$G276,AR$5)-SUMIFS(TF_Timer,TF_Tekniker,AR$4,TF_Dato,$A276))*2,0)/2)))</f>
        <v/>
      </c>
      <c r="AS276">
        <f>IF(OR(AS$4="",$A276&gt;TODAY()),0,IF(OR(INDEX($B276:$D276,AS$5)="F",AND(AS$6&gt;0,$A276&lt;AS$6),AND(AS$7&gt;0,$A276&gt;AS$7)),0,MAX(0,ROUND((INDEX($E276:$G276,AS$5)-SUMIFS(TF_Timer,TF_Tekniker,AS$4,TF_Dato,$A276))*2,0)/2)))</f>
        <v/>
      </c>
      <c r="AT276">
        <f>IF(OR(AT$4="",$A276&gt;TODAY()),0,IF(OR(INDEX($B276:$D276,AT$5)="F",AND(AT$6&gt;0,$A276&lt;AT$6),AND(AT$7&gt;0,$A276&gt;AT$7)),0,MAX(0,ROUND((INDEX($E276:$G276,AT$5)-SUMIFS(TF_Timer,TF_Tekniker,AT$4,TF_Dato,$A276))*2,0)/2)))</f>
        <v/>
      </c>
      <c r="AU276">
        <f>IF(OR(AU$4="",$A276&gt;TODAY()),0,IF(OR(INDEX($B276:$D276,AU$5)="F",AND(AU$6&gt;0,$A276&lt;AU$6),AND(AU$7&gt;0,$A276&gt;AU$7)),0,MAX(0,ROUND((INDEX($E276:$G276,AU$5)-SUMIFS(TF_Timer,TF_Tekniker,AU$4,TF_Dato,$A276))*2,0)/2)))</f>
        <v/>
      </c>
      <c r="AV276">
        <f>IF(OR(AV$4="",$A276&gt;TODAY()),0,IF(OR(INDEX($B276:$D276,AV$5)="F",AND(AV$6&gt;0,$A276&lt;AV$6),AND(AV$7&gt;0,$A276&gt;AV$7)),0,MAX(0,ROUND((INDEX($E276:$G276,AV$5)-SUMIFS(TF_Timer,TF_Tekniker,AV$4,TF_Dato,$A276))*2,0)/2)))</f>
        <v/>
      </c>
      <c r="AW276">
        <f>IF(OR(AW$4="",$A276&gt;TODAY()),0,IF(OR(INDEX($B276:$D276,AW$5)="F",AND(AW$6&gt;0,$A276&lt;AW$6),AND(AW$7&gt;0,$A276&gt;AW$7)),0,MAX(0,ROUND((INDEX($E276:$G276,AW$5)-SUMIFS(TF_Timer,TF_Tekniker,AW$4,TF_Dato,$A276))*2,0)/2)))</f>
        <v/>
      </c>
      <c r="AX276">
        <f>IF(OR(AX$4="",$A276&gt;TODAY()),0,IF(OR(INDEX($B276:$D276,AX$5)="F",AND(AX$6&gt;0,$A276&lt;AX$6),AND(AX$7&gt;0,$A276&gt;AX$7)),0,MAX(0,ROUND((INDEX($E276:$G276,AX$5)-SUMIFS(TF_Timer,TF_Tekniker,AX$4,TF_Dato,$A276))*2,0)/2)))</f>
        <v/>
      </c>
      <c r="AY276">
        <f>IF(OR(AY$4="",$A276&gt;TODAY()),0,IF(OR(INDEX($B276:$D276,AY$5)="F",AND(AY$6&gt;0,$A276&lt;AY$6),AND(AY$7&gt;0,$A276&gt;AY$7)),0,MAX(0,ROUND((INDEX($E276:$G276,AY$5)-SUMIFS(TF_Timer,TF_Tekniker,AY$4,TF_Dato,$A276))*2,0)/2)))</f>
        <v/>
      </c>
      <c r="AZ276">
        <f>IF(OR(AZ$4="",$A276&gt;TODAY()),0,IF(OR(INDEX($B276:$D276,AZ$5)="F",AND(AZ$6&gt;0,$A276&lt;AZ$6),AND(AZ$7&gt;0,$A276&gt;AZ$7)),0,MAX(0,ROUND((INDEX($E276:$G276,AZ$5)-SUMIFS(TF_Timer,TF_Tekniker,AZ$4,TF_Dato,$A276))*2,0)/2)))</f>
        <v/>
      </c>
      <c r="BA276">
        <f>IF(OR(BA$4="",$A276&gt;TODAY()),0,IF(OR(INDEX($B276:$D276,BA$5)="F",AND(BA$6&gt;0,$A276&lt;BA$6),AND(BA$7&gt;0,$A276&gt;BA$7)),0,MAX(0,ROUND((INDEX($E276:$G276,BA$5)-SUMIFS(TF_Timer,TF_Tekniker,BA$4,TF_Dato,$A276))*2,0)/2)))</f>
        <v/>
      </c>
      <c r="BB276">
        <f>IF(OR(BB$4="",$A276&gt;TODAY()),0,IF(OR(INDEX($B276:$D276,BB$5)="F",AND(BB$6&gt;0,$A276&lt;BB$6),AND(BB$7&gt;0,$A276&gt;BB$7)),0,MAX(0,ROUND((INDEX($E276:$G276,BB$5)-SUMIFS(TF_Timer,TF_Tekniker,BB$4,TF_Dato,$A276))*2,0)/2)))</f>
        <v/>
      </c>
      <c r="BC276">
        <f>IF(OR(BC$4="",$A276&gt;TODAY()),0,IF(OR(INDEX($B276:$D276,BC$5)="F",AND(BC$6&gt;0,$A276&lt;BC$6),AND(BC$7&gt;0,$A276&gt;BC$7)),0,MAX(0,ROUND((INDEX($E276:$G276,BC$5)-SUMIFS(TF_Timer,TF_Tekniker,BC$4,TF_Dato,$A276))*2,0)/2)))</f>
        <v/>
      </c>
      <c r="BD276">
        <f>IF(OR(BD$4="",$A276&gt;TODAY()),0,IF(OR(INDEX($B276:$D276,BD$5)="F",AND(BD$6&gt;0,$A276&lt;BD$6),AND(BD$7&gt;0,$A276&gt;BD$7)),0,MAX(0,ROUND((INDEX($E276:$G276,BD$5)-SUMIFS(TF_Timer,TF_Tekniker,BD$4,TF_Dato,$A276))*2,0)/2)))</f>
        <v/>
      </c>
      <c r="BE276">
        <f>IF(OR(BE$4="",$A276&gt;TODAY()),0,IF(OR(INDEX($B276:$D276,BE$5)="F",AND(BE$6&gt;0,$A276&lt;BE$6),AND(BE$7&gt;0,$A276&gt;BE$7)),0,MAX(0,ROUND((INDEX($E276:$G276,BE$5)-SUMIFS(TF_Timer,TF_Tekniker,BE$4,TF_Dato,$A276))*2,0)/2)))</f>
        <v/>
      </c>
      <c r="BF276">
        <f>IF(OR(BF$4="",$A276&gt;TODAY()),0,IF(OR(INDEX($B276:$D276,BF$5)="F",AND(BF$6&gt;0,$A276&lt;BF$6),AND(BF$7&gt;0,$A276&gt;BF$7)),0,MAX(0,ROUND((INDEX($E276:$G276,BF$5)-SUMIFS(TF_Timer,TF_Tekniker,BF$4,TF_Dato,$A276))*2,0)/2)))</f>
        <v/>
      </c>
      <c r="BG276">
        <f>IF(OR(BG$4="",$A276&gt;TODAY()),0,IF(OR(INDEX($B276:$D276,BG$5)="F",AND(BG$6&gt;0,$A276&lt;BG$6),AND(BG$7&gt;0,$A276&gt;BG$7)),0,MAX(0,ROUND((INDEX($E276:$G276,BG$5)-SUMIFS(TF_Timer,TF_Tekniker,BG$4,TF_Dato,$A276))*2,0)/2)))</f>
        <v/>
      </c>
      <c r="BH276">
        <f>IF(OR(BH$4="",$A276&gt;TODAY()),0,IF(OR(INDEX($B276:$D276,BH$5)="F",AND(BH$6&gt;0,$A276&lt;BH$6),AND(BH$7&gt;0,$A276&gt;BH$7)),0,MAX(0,ROUND((INDEX($E276:$G276,BH$5)-SUMIFS(TF_Timer,TF_Tekniker,BH$4,TF_Dato,$A276))*2,0)/2)))</f>
        <v/>
      </c>
      <c r="BI276">
        <f>IF(OR(BI$4="",$A276&gt;TODAY()),0,IF(OR(INDEX($B276:$D276,BI$5)="F",AND(BI$6&gt;0,$A276&lt;BI$6),AND(BI$7&gt;0,$A276&gt;BI$7)),0,MAX(0,ROUND((INDEX($E276:$G276,BI$5)-SUMIFS(TF_Timer,TF_Tekniker,BI$4,TF_Dato,$A276))*2,0)/2)))</f>
        <v/>
      </c>
    </row>
    <row r="277">
      <c r="A277" s="64">
        <f>A276+1</f>
        <v/>
      </c>
      <c r="B277">
        <f>IF(MOD($A277-INDEX(SkiftStart,1),Syklus)&lt;DagK,"K",IF(MOD($A277-INDEX(SkiftStart,1),Syklus)&lt;DagK+DagH,"H",IF(MOD($A277-INDEX(SkiftStart,1),Syklus)&lt;DagK+DagH+DagD,"D","F")))</f>
        <v/>
      </c>
      <c r="C277">
        <f>IF(MOD($A277-INDEX(SkiftStart,2),Syklus)&lt;DagK,"K",IF(MOD($A277-INDEX(SkiftStart,2),Syklus)&lt;DagK+DagH,"H",IF(MOD($A277-INDEX(SkiftStart,2),Syklus)&lt;DagK+DagH+DagD,"D","F")))</f>
        <v/>
      </c>
      <c r="D277">
        <f>IF(MOD($A277-INDEX(SkiftStart,3),Syklus)&lt;DagK,"K",IF(MOD($A277-INDEX(SkiftStart,3),Syklus)&lt;DagK+DagH,"H",IF(MOD($A277-INDEX(SkiftStart,3),Syklus)&lt;DagK+DagH+DagD,"D","F")))</f>
        <v/>
      </c>
      <c r="E277">
        <f>IF(B277="F",0,IF(WEEKDAY($A277,2)=5,INDEX(TimerFr,MATCH(B277,FaseKode,0)),INDEX(TimerMT,MATCH(B277,FaseKode,0))))</f>
        <v/>
      </c>
      <c r="F277">
        <f>IF(C277="F",0,IF(WEEKDAY($A277,2)=5,INDEX(TimerFr,MATCH(C277,FaseKode,0)),INDEX(TimerMT,MATCH(C277,FaseKode,0))))</f>
        <v/>
      </c>
      <c r="G277">
        <f>IF(D277="F",0,IF(WEEKDAY($A277,2)=5,INDEX(TimerFr,MATCH(D277,FaseKode,0)),INDEX(TimerMT,MATCH(D277,FaseKode,0))))</f>
        <v/>
      </c>
      <c r="H277">
        <f>IF(OR(H$4="",$A277&gt;TODAY()),0,IF(OR(INDEX($B277:$D277,H$5)="F",AND(H$6&gt;0,$A277&lt;H$6),AND(H$7&gt;0,$A277&gt;H$7)),0,MAX(0,ROUND((INDEX($E277:$G277,H$5)-SUMIFS(TF_Timer,TF_Tekniker,H$4,TF_Dato,$A277))*2,0)/2)))</f>
        <v/>
      </c>
      <c r="I277">
        <f>IF(OR(I$4="",$A277&gt;TODAY()),0,IF(OR(INDEX($B277:$D277,I$5)="F",AND(I$6&gt;0,$A277&lt;I$6),AND(I$7&gt;0,$A277&gt;I$7)),0,MAX(0,ROUND((INDEX($E277:$G277,I$5)-SUMIFS(TF_Timer,TF_Tekniker,I$4,TF_Dato,$A277))*2,0)/2)))</f>
        <v/>
      </c>
      <c r="J277">
        <f>IF(OR(J$4="",$A277&gt;TODAY()),0,IF(OR(INDEX($B277:$D277,J$5)="F",AND(J$6&gt;0,$A277&lt;J$6),AND(J$7&gt;0,$A277&gt;J$7)),0,MAX(0,ROUND((INDEX($E277:$G277,J$5)-SUMIFS(TF_Timer,TF_Tekniker,J$4,TF_Dato,$A277))*2,0)/2)))</f>
        <v/>
      </c>
      <c r="K277">
        <f>IF(OR(K$4="",$A277&gt;TODAY()),0,IF(OR(INDEX($B277:$D277,K$5)="F",AND(K$6&gt;0,$A277&lt;K$6),AND(K$7&gt;0,$A277&gt;K$7)),0,MAX(0,ROUND((INDEX($E277:$G277,K$5)-SUMIFS(TF_Timer,TF_Tekniker,K$4,TF_Dato,$A277))*2,0)/2)))</f>
        <v/>
      </c>
      <c r="L277">
        <f>IF(OR(L$4="",$A277&gt;TODAY()),0,IF(OR(INDEX($B277:$D277,L$5)="F",AND(L$6&gt;0,$A277&lt;L$6),AND(L$7&gt;0,$A277&gt;L$7)),0,MAX(0,ROUND((INDEX($E277:$G277,L$5)-SUMIFS(TF_Timer,TF_Tekniker,L$4,TF_Dato,$A277))*2,0)/2)))</f>
        <v/>
      </c>
      <c r="M277">
        <f>IF(OR(M$4="",$A277&gt;TODAY()),0,IF(OR(INDEX($B277:$D277,M$5)="F",AND(M$6&gt;0,$A277&lt;M$6),AND(M$7&gt;0,$A277&gt;M$7)),0,MAX(0,ROUND((INDEX($E277:$G277,M$5)-SUMIFS(TF_Timer,TF_Tekniker,M$4,TF_Dato,$A277))*2,0)/2)))</f>
        <v/>
      </c>
      <c r="N277">
        <f>IF(OR(N$4="",$A277&gt;TODAY()),0,IF(OR(INDEX($B277:$D277,N$5)="F",AND(N$6&gt;0,$A277&lt;N$6),AND(N$7&gt;0,$A277&gt;N$7)),0,MAX(0,ROUND((INDEX($E277:$G277,N$5)-SUMIFS(TF_Timer,TF_Tekniker,N$4,TF_Dato,$A277))*2,0)/2)))</f>
        <v/>
      </c>
      <c r="O277">
        <f>IF(OR(O$4="",$A277&gt;TODAY()),0,IF(OR(INDEX($B277:$D277,O$5)="F",AND(O$6&gt;0,$A277&lt;O$6),AND(O$7&gt;0,$A277&gt;O$7)),0,MAX(0,ROUND((INDEX($E277:$G277,O$5)-SUMIFS(TF_Timer,TF_Tekniker,O$4,TF_Dato,$A277))*2,0)/2)))</f>
        <v/>
      </c>
      <c r="P277">
        <f>IF(OR(P$4="",$A277&gt;TODAY()),0,IF(OR(INDEX($B277:$D277,P$5)="F",AND(P$6&gt;0,$A277&lt;P$6),AND(P$7&gt;0,$A277&gt;P$7)),0,MAX(0,ROUND((INDEX($E277:$G277,P$5)-SUMIFS(TF_Timer,TF_Tekniker,P$4,TF_Dato,$A277))*2,0)/2)))</f>
        <v/>
      </c>
      <c r="Q277">
        <f>IF(OR(Q$4="",$A277&gt;TODAY()),0,IF(OR(INDEX($B277:$D277,Q$5)="F",AND(Q$6&gt;0,$A277&lt;Q$6),AND(Q$7&gt;0,$A277&gt;Q$7)),0,MAX(0,ROUND((INDEX($E277:$G277,Q$5)-SUMIFS(TF_Timer,TF_Tekniker,Q$4,TF_Dato,$A277))*2,0)/2)))</f>
        <v/>
      </c>
      <c r="R277">
        <f>IF(OR(R$4="",$A277&gt;TODAY()),0,IF(OR(INDEX($B277:$D277,R$5)="F",AND(R$6&gt;0,$A277&lt;R$6),AND(R$7&gt;0,$A277&gt;R$7)),0,MAX(0,ROUND((INDEX($E277:$G277,R$5)-SUMIFS(TF_Timer,TF_Tekniker,R$4,TF_Dato,$A277))*2,0)/2)))</f>
        <v/>
      </c>
      <c r="S277">
        <f>IF(OR(S$4="",$A277&gt;TODAY()),0,IF(OR(INDEX($B277:$D277,S$5)="F",AND(S$6&gt;0,$A277&lt;S$6),AND(S$7&gt;0,$A277&gt;S$7)),0,MAX(0,ROUND((INDEX($E277:$G277,S$5)-SUMIFS(TF_Timer,TF_Tekniker,S$4,TF_Dato,$A277))*2,0)/2)))</f>
        <v/>
      </c>
      <c r="T277">
        <f>IF(OR(T$4="",$A277&gt;TODAY()),0,IF(OR(INDEX($B277:$D277,T$5)="F",AND(T$6&gt;0,$A277&lt;T$6),AND(T$7&gt;0,$A277&gt;T$7)),0,MAX(0,ROUND((INDEX($E277:$G277,T$5)-SUMIFS(TF_Timer,TF_Tekniker,T$4,TF_Dato,$A277))*2,0)/2)))</f>
        <v/>
      </c>
      <c r="U277">
        <f>IF(OR(U$4="",$A277&gt;TODAY()),0,IF(OR(INDEX($B277:$D277,U$5)="F",AND(U$6&gt;0,$A277&lt;U$6),AND(U$7&gt;0,$A277&gt;U$7)),0,MAX(0,ROUND((INDEX($E277:$G277,U$5)-SUMIFS(TF_Timer,TF_Tekniker,U$4,TF_Dato,$A277))*2,0)/2)))</f>
        <v/>
      </c>
      <c r="V277">
        <f>IF(OR(V$4="",$A277&gt;TODAY()),0,IF(OR(INDEX($B277:$D277,V$5)="F",AND(V$6&gt;0,$A277&lt;V$6),AND(V$7&gt;0,$A277&gt;V$7)),0,MAX(0,ROUND((INDEX($E277:$G277,V$5)-SUMIFS(TF_Timer,TF_Tekniker,V$4,TF_Dato,$A277))*2,0)/2)))</f>
        <v/>
      </c>
      <c r="W277">
        <f>IF(OR(W$4="",$A277&gt;TODAY()),0,IF(OR(INDEX($B277:$D277,W$5)="F",AND(W$6&gt;0,$A277&lt;W$6),AND(W$7&gt;0,$A277&gt;W$7)),0,MAX(0,ROUND((INDEX($E277:$G277,W$5)-SUMIFS(TF_Timer,TF_Tekniker,W$4,TF_Dato,$A277))*2,0)/2)))</f>
        <v/>
      </c>
      <c r="X277">
        <f>IF(OR(X$4="",$A277&gt;TODAY()),0,IF(OR(INDEX($B277:$D277,X$5)="F",AND(X$6&gt;0,$A277&lt;X$6),AND(X$7&gt;0,$A277&gt;X$7)),0,MAX(0,ROUND((INDEX($E277:$G277,X$5)-SUMIFS(TF_Timer,TF_Tekniker,X$4,TF_Dato,$A277))*2,0)/2)))</f>
        <v/>
      </c>
      <c r="Y277">
        <f>IF(OR(Y$4="",$A277&gt;TODAY()),0,IF(OR(INDEX($B277:$D277,Y$5)="F",AND(Y$6&gt;0,$A277&lt;Y$6),AND(Y$7&gt;0,$A277&gt;Y$7)),0,MAX(0,ROUND((INDEX($E277:$G277,Y$5)-SUMIFS(TF_Timer,TF_Tekniker,Y$4,TF_Dato,$A277))*2,0)/2)))</f>
        <v/>
      </c>
      <c r="Z277">
        <f>IF(OR(Z$4="",$A277&gt;TODAY()),0,IF(OR(INDEX($B277:$D277,Z$5)="F",AND(Z$6&gt;0,$A277&lt;Z$6),AND(Z$7&gt;0,$A277&gt;Z$7)),0,MAX(0,ROUND((INDEX($E277:$G277,Z$5)-SUMIFS(TF_Timer,TF_Tekniker,Z$4,TF_Dato,$A277))*2,0)/2)))</f>
        <v/>
      </c>
      <c r="AA277">
        <f>IF(OR(AA$4="",$A277&gt;TODAY()),0,IF(OR(INDEX($B277:$D277,AA$5)="F",AND(AA$6&gt;0,$A277&lt;AA$6),AND(AA$7&gt;0,$A277&gt;AA$7)),0,MAX(0,ROUND((INDEX($E277:$G277,AA$5)-SUMIFS(TF_Timer,TF_Tekniker,AA$4,TF_Dato,$A277))*2,0)/2)))</f>
        <v/>
      </c>
      <c r="AB277">
        <f>IF(OR(AB$4="",$A277&gt;TODAY()),0,IF(OR(INDEX($B277:$D277,AB$5)="F",AND(AB$6&gt;0,$A277&lt;AB$6),AND(AB$7&gt;0,$A277&gt;AB$7)),0,MAX(0,ROUND((INDEX($E277:$G277,AB$5)-SUMIFS(TF_Timer,TF_Tekniker,AB$4,TF_Dato,$A277))*2,0)/2)))</f>
        <v/>
      </c>
      <c r="AC277">
        <f>IF(OR(AC$4="",$A277&gt;TODAY()),0,IF(OR(INDEX($B277:$D277,AC$5)="F",AND(AC$6&gt;0,$A277&lt;AC$6),AND(AC$7&gt;0,$A277&gt;AC$7)),0,MAX(0,ROUND((INDEX($E277:$G277,AC$5)-SUMIFS(TF_Timer,TF_Tekniker,AC$4,TF_Dato,$A277))*2,0)/2)))</f>
        <v/>
      </c>
      <c r="AD277">
        <f>IF(OR(AD$4="",$A277&gt;TODAY()),0,IF(OR(INDEX($B277:$D277,AD$5)="F",AND(AD$6&gt;0,$A277&lt;AD$6),AND(AD$7&gt;0,$A277&gt;AD$7)),0,MAX(0,ROUND((INDEX($E277:$G277,AD$5)-SUMIFS(TF_Timer,TF_Tekniker,AD$4,TF_Dato,$A277))*2,0)/2)))</f>
        <v/>
      </c>
      <c r="AE277">
        <f>IF(OR(AE$4="",$A277&gt;TODAY()),0,IF(OR(INDEX($B277:$D277,AE$5)="F",AND(AE$6&gt;0,$A277&lt;AE$6),AND(AE$7&gt;0,$A277&gt;AE$7)),0,MAX(0,ROUND((INDEX($E277:$G277,AE$5)-SUMIFS(TF_Timer,TF_Tekniker,AE$4,TF_Dato,$A277))*2,0)/2)))</f>
        <v/>
      </c>
      <c r="AF277">
        <f>IF(OR(AF$4="",$A277&gt;TODAY()),0,IF(OR(INDEX($B277:$D277,AF$5)="F",AND(AF$6&gt;0,$A277&lt;AF$6),AND(AF$7&gt;0,$A277&gt;AF$7)),0,MAX(0,ROUND((INDEX($E277:$G277,AF$5)-SUMIFS(TF_Timer,TF_Tekniker,AF$4,TF_Dato,$A277))*2,0)/2)))</f>
        <v/>
      </c>
      <c r="AG277">
        <f>IF(OR(AG$4="",$A277&gt;TODAY()),0,IF(OR(INDEX($B277:$D277,AG$5)="F",AND(AG$6&gt;0,$A277&lt;AG$6),AND(AG$7&gt;0,$A277&gt;AG$7)),0,MAX(0,ROUND((INDEX($E277:$G277,AG$5)-SUMIFS(TF_Timer,TF_Tekniker,AG$4,TF_Dato,$A277))*2,0)/2)))</f>
        <v/>
      </c>
      <c r="AH277">
        <f>IF(OR(AH$4="",$A277&gt;TODAY()),0,IF(OR(INDEX($B277:$D277,AH$5)="F",AND(AH$6&gt;0,$A277&lt;AH$6),AND(AH$7&gt;0,$A277&gt;AH$7)),0,MAX(0,ROUND((INDEX($E277:$G277,AH$5)-SUMIFS(TF_Timer,TF_Tekniker,AH$4,TF_Dato,$A277))*2,0)/2)))</f>
        <v/>
      </c>
      <c r="AI277">
        <f>IF(OR(AI$4="",$A277&gt;TODAY()),0,IF(OR(INDEX($B277:$D277,AI$5)="F",AND(AI$6&gt;0,$A277&lt;AI$6),AND(AI$7&gt;0,$A277&gt;AI$7)),0,MAX(0,ROUND((INDEX($E277:$G277,AI$5)-SUMIFS(TF_Timer,TF_Tekniker,AI$4,TF_Dato,$A277))*2,0)/2)))</f>
        <v/>
      </c>
      <c r="AJ277">
        <f>IF(OR(AJ$4="",$A277&gt;TODAY()),0,IF(OR(INDEX($B277:$D277,AJ$5)="F",AND(AJ$6&gt;0,$A277&lt;AJ$6),AND(AJ$7&gt;0,$A277&gt;AJ$7)),0,MAX(0,ROUND((INDEX($E277:$G277,AJ$5)-SUMIFS(TF_Timer,TF_Tekniker,AJ$4,TF_Dato,$A277))*2,0)/2)))</f>
        <v/>
      </c>
      <c r="AK277">
        <f>IF(OR(AK$4="",$A277&gt;TODAY()),0,IF(OR(INDEX($B277:$D277,AK$5)="F",AND(AK$6&gt;0,$A277&lt;AK$6),AND(AK$7&gt;0,$A277&gt;AK$7)),0,MAX(0,ROUND((INDEX($E277:$G277,AK$5)-SUMIFS(TF_Timer,TF_Tekniker,AK$4,TF_Dato,$A277))*2,0)/2)))</f>
        <v/>
      </c>
      <c r="AL277">
        <f>IF(OR(AL$4="",$A277&gt;TODAY()),0,IF(OR(INDEX($B277:$D277,AL$5)="F",AND(AL$6&gt;0,$A277&lt;AL$6),AND(AL$7&gt;0,$A277&gt;AL$7)),0,MAX(0,ROUND((INDEX($E277:$G277,AL$5)-SUMIFS(TF_Timer,TF_Tekniker,AL$4,TF_Dato,$A277))*2,0)/2)))</f>
        <v/>
      </c>
      <c r="AM277">
        <f>IF(OR(AM$4="",$A277&gt;TODAY()),0,IF(OR(INDEX($B277:$D277,AM$5)="F",AND(AM$6&gt;0,$A277&lt;AM$6),AND(AM$7&gt;0,$A277&gt;AM$7)),0,MAX(0,ROUND((INDEX($E277:$G277,AM$5)-SUMIFS(TF_Timer,TF_Tekniker,AM$4,TF_Dato,$A277))*2,0)/2)))</f>
        <v/>
      </c>
      <c r="AN277">
        <f>IF(OR(AN$4="",$A277&gt;TODAY()),0,IF(OR(INDEX($B277:$D277,AN$5)="F",AND(AN$6&gt;0,$A277&lt;AN$6),AND(AN$7&gt;0,$A277&gt;AN$7)),0,MAX(0,ROUND((INDEX($E277:$G277,AN$5)-SUMIFS(TF_Timer,TF_Tekniker,AN$4,TF_Dato,$A277))*2,0)/2)))</f>
        <v/>
      </c>
      <c r="AO277">
        <f>IF(OR(AO$4="",$A277&gt;TODAY()),0,IF(OR(INDEX($B277:$D277,AO$5)="F",AND(AO$6&gt;0,$A277&lt;AO$6),AND(AO$7&gt;0,$A277&gt;AO$7)),0,MAX(0,ROUND((INDEX($E277:$G277,AO$5)-SUMIFS(TF_Timer,TF_Tekniker,AO$4,TF_Dato,$A277))*2,0)/2)))</f>
        <v/>
      </c>
      <c r="AP277">
        <f>IF(OR(AP$4="",$A277&gt;TODAY()),0,IF(OR(INDEX($B277:$D277,AP$5)="F",AND(AP$6&gt;0,$A277&lt;AP$6),AND(AP$7&gt;0,$A277&gt;AP$7)),0,MAX(0,ROUND((INDEX($E277:$G277,AP$5)-SUMIFS(TF_Timer,TF_Tekniker,AP$4,TF_Dato,$A277))*2,0)/2)))</f>
        <v/>
      </c>
      <c r="AQ277">
        <f>IF(OR(AQ$4="",$A277&gt;TODAY()),0,IF(OR(INDEX($B277:$D277,AQ$5)="F",AND(AQ$6&gt;0,$A277&lt;AQ$6),AND(AQ$7&gt;0,$A277&gt;AQ$7)),0,MAX(0,ROUND((INDEX($E277:$G277,AQ$5)-SUMIFS(TF_Timer,TF_Tekniker,AQ$4,TF_Dato,$A277))*2,0)/2)))</f>
        <v/>
      </c>
      <c r="AR277">
        <f>IF(OR(AR$4="",$A277&gt;TODAY()),0,IF(OR(INDEX($B277:$D277,AR$5)="F",AND(AR$6&gt;0,$A277&lt;AR$6),AND(AR$7&gt;0,$A277&gt;AR$7)),0,MAX(0,ROUND((INDEX($E277:$G277,AR$5)-SUMIFS(TF_Timer,TF_Tekniker,AR$4,TF_Dato,$A277))*2,0)/2)))</f>
        <v/>
      </c>
      <c r="AS277">
        <f>IF(OR(AS$4="",$A277&gt;TODAY()),0,IF(OR(INDEX($B277:$D277,AS$5)="F",AND(AS$6&gt;0,$A277&lt;AS$6),AND(AS$7&gt;0,$A277&gt;AS$7)),0,MAX(0,ROUND((INDEX($E277:$G277,AS$5)-SUMIFS(TF_Timer,TF_Tekniker,AS$4,TF_Dato,$A277))*2,0)/2)))</f>
        <v/>
      </c>
      <c r="AT277">
        <f>IF(OR(AT$4="",$A277&gt;TODAY()),0,IF(OR(INDEX($B277:$D277,AT$5)="F",AND(AT$6&gt;0,$A277&lt;AT$6),AND(AT$7&gt;0,$A277&gt;AT$7)),0,MAX(0,ROUND((INDEX($E277:$G277,AT$5)-SUMIFS(TF_Timer,TF_Tekniker,AT$4,TF_Dato,$A277))*2,0)/2)))</f>
        <v/>
      </c>
      <c r="AU277">
        <f>IF(OR(AU$4="",$A277&gt;TODAY()),0,IF(OR(INDEX($B277:$D277,AU$5)="F",AND(AU$6&gt;0,$A277&lt;AU$6),AND(AU$7&gt;0,$A277&gt;AU$7)),0,MAX(0,ROUND((INDEX($E277:$G277,AU$5)-SUMIFS(TF_Timer,TF_Tekniker,AU$4,TF_Dato,$A277))*2,0)/2)))</f>
        <v/>
      </c>
      <c r="AV277">
        <f>IF(OR(AV$4="",$A277&gt;TODAY()),0,IF(OR(INDEX($B277:$D277,AV$5)="F",AND(AV$6&gt;0,$A277&lt;AV$6),AND(AV$7&gt;0,$A277&gt;AV$7)),0,MAX(0,ROUND((INDEX($E277:$G277,AV$5)-SUMIFS(TF_Timer,TF_Tekniker,AV$4,TF_Dato,$A277))*2,0)/2)))</f>
        <v/>
      </c>
      <c r="AW277">
        <f>IF(OR(AW$4="",$A277&gt;TODAY()),0,IF(OR(INDEX($B277:$D277,AW$5)="F",AND(AW$6&gt;0,$A277&lt;AW$6),AND(AW$7&gt;0,$A277&gt;AW$7)),0,MAX(0,ROUND((INDEX($E277:$G277,AW$5)-SUMIFS(TF_Timer,TF_Tekniker,AW$4,TF_Dato,$A277))*2,0)/2)))</f>
        <v/>
      </c>
      <c r="AX277">
        <f>IF(OR(AX$4="",$A277&gt;TODAY()),0,IF(OR(INDEX($B277:$D277,AX$5)="F",AND(AX$6&gt;0,$A277&lt;AX$6),AND(AX$7&gt;0,$A277&gt;AX$7)),0,MAX(0,ROUND((INDEX($E277:$G277,AX$5)-SUMIFS(TF_Timer,TF_Tekniker,AX$4,TF_Dato,$A277))*2,0)/2)))</f>
        <v/>
      </c>
      <c r="AY277">
        <f>IF(OR(AY$4="",$A277&gt;TODAY()),0,IF(OR(INDEX($B277:$D277,AY$5)="F",AND(AY$6&gt;0,$A277&lt;AY$6),AND(AY$7&gt;0,$A277&gt;AY$7)),0,MAX(0,ROUND((INDEX($E277:$G277,AY$5)-SUMIFS(TF_Timer,TF_Tekniker,AY$4,TF_Dato,$A277))*2,0)/2)))</f>
        <v/>
      </c>
      <c r="AZ277">
        <f>IF(OR(AZ$4="",$A277&gt;TODAY()),0,IF(OR(INDEX($B277:$D277,AZ$5)="F",AND(AZ$6&gt;0,$A277&lt;AZ$6),AND(AZ$7&gt;0,$A277&gt;AZ$7)),0,MAX(0,ROUND((INDEX($E277:$G277,AZ$5)-SUMIFS(TF_Timer,TF_Tekniker,AZ$4,TF_Dato,$A277))*2,0)/2)))</f>
        <v/>
      </c>
      <c r="BA277">
        <f>IF(OR(BA$4="",$A277&gt;TODAY()),0,IF(OR(INDEX($B277:$D277,BA$5)="F",AND(BA$6&gt;0,$A277&lt;BA$6),AND(BA$7&gt;0,$A277&gt;BA$7)),0,MAX(0,ROUND((INDEX($E277:$G277,BA$5)-SUMIFS(TF_Timer,TF_Tekniker,BA$4,TF_Dato,$A277))*2,0)/2)))</f>
        <v/>
      </c>
      <c r="BB277">
        <f>IF(OR(BB$4="",$A277&gt;TODAY()),0,IF(OR(INDEX($B277:$D277,BB$5)="F",AND(BB$6&gt;0,$A277&lt;BB$6),AND(BB$7&gt;0,$A277&gt;BB$7)),0,MAX(0,ROUND((INDEX($E277:$G277,BB$5)-SUMIFS(TF_Timer,TF_Tekniker,BB$4,TF_Dato,$A277))*2,0)/2)))</f>
        <v/>
      </c>
      <c r="BC277">
        <f>IF(OR(BC$4="",$A277&gt;TODAY()),0,IF(OR(INDEX($B277:$D277,BC$5)="F",AND(BC$6&gt;0,$A277&lt;BC$6),AND(BC$7&gt;0,$A277&gt;BC$7)),0,MAX(0,ROUND((INDEX($E277:$G277,BC$5)-SUMIFS(TF_Timer,TF_Tekniker,BC$4,TF_Dato,$A277))*2,0)/2)))</f>
        <v/>
      </c>
      <c r="BD277">
        <f>IF(OR(BD$4="",$A277&gt;TODAY()),0,IF(OR(INDEX($B277:$D277,BD$5)="F",AND(BD$6&gt;0,$A277&lt;BD$6),AND(BD$7&gt;0,$A277&gt;BD$7)),0,MAX(0,ROUND((INDEX($E277:$G277,BD$5)-SUMIFS(TF_Timer,TF_Tekniker,BD$4,TF_Dato,$A277))*2,0)/2)))</f>
        <v/>
      </c>
      <c r="BE277">
        <f>IF(OR(BE$4="",$A277&gt;TODAY()),0,IF(OR(INDEX($B277:$D277,BE$5)="F",AND(BE$6&gt;0,$A277&lt;BE$6),AND(BE$7&gt;0,$A277&gt;BE$7)),0,MAX(0,ROUND((INDEX($E277:$G277,BE$5)-SUMIFS(TF_Timer,TF_Tekniker,BE$4,TF_Dato,$A277))*2,0)/2)))</f>
        <v/>
      </c>
      <c r="BF277">
        <f>IF(OR(BF$4="",$A277&gt;TODAY()),0,IF(OR(INDEX($B277:$D277,BF$5)="F",AND(BF$6&gt;0,$A277&lt;BF$6),AND(BF$7&gt;0,$A277&gt;BF$7)),0,MAX(0,ROUND((INDEX($E277:$G277,BF$5)-SUMIFS(TF_Timer,TF_Tekniker,BF$4,TF_Dato,$A277))*2,0)/2)))</f>
        <v/>
      </c>
      <c r="BG277">
        <f>IF(OR(BG$4="",$A277&gt;TODAY()),0,IF(OR(INDEX($B277:$D277,BG$5)="F",AND(BG$6&gt;0,$A277&lt;BG$6),AND(BG$7&gt;0,$A277&gt;BG$7)),0,MAX(0,ROUND((INDEX($E277:$G277,BG$5)-SUMIFS(TF_Timer,TF_Tekniker,BG$4,TF_Dato,$A277))*2,0)/2)))</f>
        <v/>
      </c>
      <c r="BH277">
        <f>IF(OR(BH$4="",$A277&gt;TODAY()),0,IF(OR(INDEX($B277:$D277,BH$5)="F",AND(BH$6&gt;0,$A277&lt;BH$6),AND(BH$7&gt;0,$A277&gt;BH$7)),0,MAX(0,ROUND((INDEX($E277:$G277,BH$5)-SUMIFS(TF_Timer,TF_Tekniker,BH$4,TF_Dato,$A277))*2,0)/2)))</f>
        <v/>
      </c>
      <c r="BI277">
        <f>IF(OR(BI$4="",$A277&gt;TODAY()),0,IF(OR(INDEX($B277:$D277,BI$5)="F",AND(BI$6&gt;0,$A277&lt;BI$6),AND(BI$7&gt;0,$A277&gt;BI$7)),0,MAX(0,ROUND((INDEX($E277:$G277,BI$5)-SUMIFS(TF_Timer,TF_Tekniker,BI$4,TF_Dato,$A277))*2,0)/2)))</f>
        <v/>
      </c>
    </row>
    <row r="278">
      <c r="A278" s="64">
        <f>A277+1</f>
        <v/>
      </c>
      <c r="B278">
        <f>IF(MOD($A278-INDEX(SkiftStart,1),Syklus)&lt;DagK,"K",IF(MOD($A278-INDEX(SkiftStart,1),Syklus)&lt;DagK+DagH,"H",IF(MOD($A278-INDEX(SkiftStart,1),Syklus)&lt;DagK+DagH+DagD,"D","F")))</f>
        <v/>
      </c>
      <c r="C278">
        <f>IF(MOD($A278-INDEX(SkiftStart,2),Syklus)&lt;DagK,"K",IF(MOD($A278-INDEX(SkiftStart,2),Syklus)&lt;DagK+DagH,"H",IF(MOD($A278-INDEX(SkiftStart,2),Syklus)&lt;DagK+DagH+DagD,"D","F")))</f>
        <v/>
      </c>
      <c r="D278">
        <f>IF(MOD($A278-INDEX(SkiftStart,3),Syklus)&lt;DagK,"K",IF(MOD($A278-INDEX(SkiftStart,3),Syklus)&lt;DagK+DagH,"H",IF(MOD($A278-INDEX(SkiftStart,3),Syklus)&lt;DagK+DagH+DagD,"D","F")))</f>
        <v/>
      </c>
      <c r="E278">
        <f>IF(B278="F",0,IF(WEEKDAY($A278,2)=5,INDEX(TimerFr,MATCH(B278,FaseKode,0)),INDEX(TimerMT,MATCH(B278,FaseKode,0))))</f>
        <v/>
      </c>
      <c r="F278">
        <f>IF(C278="F",0,IF(WEEKDAY($A278,2)=5,INDEX(TimerFr,MATCH(C278,FaseKode,0)),INDEX(TimerMT,MATCH(C278,FaseKode,0))))</f>
        <v/>
      </c>
      <c r="G278">
        <f>IF(D278="F",0,IF(WEEKDAY($A278,2)=5,INDEX(TimerFr,MATCH(D278,FaseKode,0)),INDEX(TimerMT,MATCH(D278,FaseKode,0))))</f>
        <v/>
      </c>
      <c r="H278">
        <f>IF(OR(H$4="",$A278&gt;TODAY()),0,IF(OR(INDEX($B278:$D278,H$5)="F",AND(H$6&gt;0,$A278&lt;H$6),AND(H$7&gt;0,$A278&gt;H$7)),0,MAX(0,ROUND((INDEX($E278:$G278,H$5)-SUMIFS(TF_Timer,TF_Tekniker,H$4,TF_Dato,$A278))*2,0)/2)))</f>
        <v/>
      </c>
      <c r="I278">
        <f>IF(OR(I$4="",$A278&gt;TODAY()),0,IF(OR(INDEX($B278:$D278,I$5)="F",AND(I$6&gt;0,$A278&lt;I$6),AND(I$7&gt;0,$A278&gt;I$7)),0,MAX(0,ROUND((INDEX($E278:$G278,I$5)-SUMIFS(TF_Timer,TF_Tekniker,I$4,TF_Dato,$A278))*2,0)/2)))</f>
        <v/>
      </c>
      <c r="J278">
        <f>IF(OR(J$4="",$A278&gt;TODAY()),0,IF(OR(INDEX($B278:$D278,J$5)="F",AND(J$6&gt;0,$A278&lt;J$6),AND(J$7&gt;0,$A278&gt;J$7)),0,MAX(0,ROUND((INDEX($E278:$G278,J$5)-SUMIFS(TF_Timer,TF_Tekniker,J$4,TF_Dato,$A278))*2,0)/2)))</f>
        <v/>
      </c>
      <c r="K278">
        <f>IF(OR(K$4="",$A278&gt;TODAY()),0,IF(OR(INDEX($B278:$D278,K$5)="F",AND(K$6&gt;0,$A278&lt;K$6),AND(K$7&gt;0,$A278&gt;K$7)),0,MAX(0,ROUND((INDEX($E278:$G278,K$5)-SUMIFS(TF_Timer,TF_Tekniker,K$4,TF_Dato,$A278))*2,0)/2)))</f>
        <v/>
      </c>
      <c r="L278">
        <f>IF(OR(L$4="",$A278&gt;TODAY()),0,IF(OR(INDEX($B278:$D278,L$5)="F",AND(L$6&gt;0,$A278&lt;L$6),AND(L$7&gt;0,$A278&gt;L$7)),0,MAX(0,ROUND((INDEX($E278:$G278,L$5)-SUMIFS(TF_Timer,TF_Tekniker,L$4,TF_Dato,$A278))*2,0)/2)))</f>
        <v/>
      </c>
      <c r="M278">
        <f>IF(OR(M$4="",$A278&gt;TODAY()),0,IF(OR(INDEX($B278:$D278,M$5)="F",AND(M$6&gt;0,$A278&lt;M$6),AND(M$7&gt;0,$A278&gt;M$7)),0,MAX(0,ROUND((INDEX($E278:$G278,M$5)-SUMIFS(TF_Timer,TF_Tekniker,M$4,TF_Dato,$A278))*2,0)/2)))</f>
        <v/>
      </c>
      <c r="N278">
        <f>IF(OR(N$4="",$A278&gt;TODAY()),0,IF(OR(INDEX($B278:$D278,N$5)="F",AND(N$6&gt;0,$A278&lt;N$6),AND(N$7&gt;0,$A278&gt;N$7)),0,MAX(0,ROUND((INDEX($E278:$G278,N$5)-SUMIFS(TF_Timer,TF_Tekniker,N$4,TF_Dato,$A278))*2,0)/2)))</f>
        <v/>
      </c>
      <c r="O278">
        <f>IF(OR(O$4="",$A278&gt;TODAY()),0,IF(OR(INDEX($B278:$D278,O$5)="F",AND(O$6&gt;0,$A278&lt;O$6),AND(O$7&gt;0,$A278&gt;O$7)),0,MAX(0,ROUND((INDEX($E278:$G278,O$5)-SUMIFS(TF_Timer,TF_Tekniker,O$4,TF_Dato,$A278))*2,0)/2)))</f>
        <v/>
      </c>
      <c r="P278">
        <f>IF(OR(P$4="",$A278&gt;TODAY()),0,IF(OR(INDEX($B278:$D278,P$5)="F",AND(P$6&gt;0,$A278&lt;P$6),AND(P$7&gt;0,$A278&gt;P$7)),0,MAX(0,ROUND((INDEX($E278:$G278,P$5)-SUMIFS(TF_Timer,TF_Tekniker,P$4,TF_Dato,$A278))*2,0)/2)))</f>
        <v/>
      </c>
      <c r="Q278">
        <f>IF(OR(Q$4="",$A278&gt;TODAY()),0,IF(OR(INDEX($B278:$D278,Q$5)="F",AND(Q$6&gt;0,$A278&lt;Q$6),AND(Q$7&gt;0,$A278&gt;Q$7)),0,MAX(0,ROUND((INDEX($E278:$G278,Q$5)-SUMIFS(TF_Timer,TF_Tekniker,Q$4,TF_Dato,$A278))*2,0)/2)))</f>
        <v/>
      </c>
      <c r="R278">
        <f>IF(OR(R$4="",$A278&gt;TODAY()),0,IF(OR(INDEX($B278:$D278,R$5)="F",AND(R$6&gt;0,$A278&lt;R$6),AND(R$7&gt;0,$A278&gt;R$7)),0,MAX(0,ROUND((INDEX($E278:$G278,R$5)-SUMIFS(TF_Timer,TF_Tekniker,R$4,TF_Dato,$A278))*2,0)/2)))</f>
        <v/>
      </c>
      <c r="S278">
        <f>IF(OR(S$4="",$A278&gt;TODAY()),0,IF(OR(INDEX($B278:$D278,S$5)="F",AND(S$6&gt;0,$A278&lt;S$6),AND(S$7&gt;0,$A278&gt;S$7)),0,MAX(0,ROUND((INDEX($E278:$G278,S$5)-SUMIFS(TF_Timer,TF_Tekniker,S$4,TF_Dato,$A278))*2,0)/2)))</f>
        <v/>
      </c>
      <c r="T278">
        <f>IF(OR(T$4="",$A278&gt;TODAY()),0,IF(OR(INDEX($B278:$D278,T$5)="F",AND(T$6&gt;0,$A278&lt;T$6),AND(T$7&gt;0,$A278&gt;T$7)),0,MAX(0,ROUND((INDEX($E278:$G278,T$5)-SUMIFS(TF_Timer,TF_Tekniker,T$4,TF_Dato,$A278))*2,0)/2)))</f>
        <v/>
      </c>
      <c r="U278">
        <f>IF(OR(U$4="",$A278&gt;TODAY()),0,IF(OR(INDEX($B278:$D278,U$5)="F",AND(U$6&gt;0,$A278&lt;U$6),AND(U$7&gt;0,$A278&gt;U$7)),0,MAX(0,ROUND((INDEX($E278:$G278,U$5)-SUMIFS(TF_Timer,TF_Tekniker,U$4,TF_Dato,$A278))*2,0)/2)))</f>
        <v/>
      </c>
      <c r="V278">
        <f>IF(OR(V$4="",$A278&gt;TODAY()),0,IF(OR(INDEX($B278:$D278,V$5)="F",AND(V$6&gt;0,$A278&lt;V$6),AND(V$7&gt;0,$A278&gt;V$7)),0,MAX(0,ROUND((INDEX($E278:$G278,V$5)-SUMIFS(TF_Timer,TF_Tekniker,V$4,TF_Dato,$A278))*2,0)/2)))</f>
        <v/>
      </c>
      <c r="W278">
        <f>IF(OR(W$4="",$A278&gt;TODAY()),0,IF(OR(INDEX($B278:$D278,W$5)="F",AND(W$6&gt;0,$A278&lt;W$6),AND(W$7&gt;0,$A278&gt;W$7)),0,MAX(0,ROUND((INDEX($E278:$G278,W$5)-SUMIFS(TF_Timer,TF_Tekniker,W$4,TF_Dato,$A278))*2,0)/2)))</f>
        <v/>
      </c>
      <c r="X278">
        <f>IF(OR(X$4="",$A278&gt;TODAY()),0,IF(OR(INDEX($B278:$D278,X$5)="F",AND(X$6&gt;0,$A278&lt;X$6),AND(X$7&gt;0,$A278&gt;X$7)),0,MAX(0,ROUND((INDEX($E278:$G278,X$5)-SUMIFS(TF_Timer,TF_Tekniker,X$4,TF_Dato,$A278))*2,0)/2)))</f>
        <v/>
      </c>
      <c r="Y278">
        <f>IF(OR(Y$4="",$A278&gt;TODAY()),0,IF(OR(INDEX($B278:$D278,Y$5)="F",AND(Y$6&gt;0,$A278&lt;Y$6),AND(Y$7&gt;0,$A278&gt;Y$7)),0,MAX(0,ROUND((INDEX($E278:$G278,Y$5)-SUMIFS(TF_Timer,TF_Tekniker,Y$4,TF_Dato,$A278))*2,0)/2)))</f>
        <v/>
      </c>
      <c r="Z278">
        <f>IF(OR(Z$4="",$A278&gt;TODAY()),0,IF(OR(INDEX($B278:$D278,Z$5)="F",AND(Z$6&gt;0,$A278&lt;Z$6),AND(Z$7&gt;0,$A278&gt;Z$7)),0,MAX(0,ROUND((INDEX($E278:$G278,Z$5)-SUMIFS(TF_Timer,TF_Tekniker,Z$4,TF_Dato,$A278))*2,0)/2)))</f>
        <v/>
      </c>
      <c r="AA278">
        <f>IF(OR(AA$4="",$A278&gt;TODAY()),0,IF(OR(INDEX($B278:$D278,AA$5)="F",AND(AA$6&gt;0,$A278&lt;AA$6),AND(AA$7&gt;0,$A278&gt;AA$7)),0,MAX(0,ROUND((INDEX($E278:$G278,AA$5)-SUMIFS(TF_Timer,TF_Tekniker,AA$4,TF_Dato,$A278))*2,0)/2)))</f>
        <v/>
      </c>
      <c r="AB278">
        <f>IF(OR(AB$4="",$A278&gt;TODAY()),0,IF(OR(INDEX($B278:$D278,AB$5)="F",AND(AB$6&gt;0,$A278&lt;AB$6),AND(AB$7&gt;0,$A278&gt;AB$7)),0,MAX(0,ROUND((INDEX($E278:$G278,AB$5)-SUMIFS(TF_Timer,TF_Tekniker,AB$4,TF_Dato,$A278))*2,0)/2)))</f>
        <v/>
      </c>
      <c r="AC278">
        <f>IF(OR(AC$4="",$A278&gt;TODAY()),0,IF(OR(INDEX($B278:$D278,AC$5)="F",AND(AC$6&gt;0,$A278&lt;AC$6),AND(AC$7&gt;0,$A278&gt;AC$7)),0,MAX(0,ROUND((INDEX($E278:$G278,AC$5)-SUMIFS(TF_Timer,TF_Tekniker,AC$4,TF_Dato,$A278))*2,0)/2)))</f>
        <v/>
      </c>
      <c r="AD278">
        <f>IF(OR(AD$4="",$A278&gt;TODAY()),0,IF(OR(INDEX($B278:$D278,AD$5)="F",AND(AD$6&gt;0,$A278&lt;AD$6),AND(AD$7&gt;0,$A278&gt;AD$7)),0,MAX(0,ROUND((INDEX($E278:$G278,AD$5)-SUMIFS(TF_Timer,TF_Tekniker,AD$4,TF_Dato,$A278))*2,0)/2)))</f>
        <v/>
      </c>
      <c r="AE278">
        <f>IF(OR(AE$4="",$A278&gt;TODAY()),0,IF(OR(INDEX($B278:$D278,AE$5)="F",AND(AE$6&gt;0,$A278&lt;AE$6),AND(AE$7&gt;0,$A278&gt;AE$7)),0,MAX(0,ROUND((INDEX($E278:$G278,AE$5)-SUMIFS(TF_Timer,TF_Tekniker,AE$4,TF_Dato,$A278))*2,0)/2)))</f>
        <v/>
      </c>
      <c r="AF278">
        <f>IF(OR(AF$4="",$A278&gt;TODAY()),0,IF(OR(INDEX($B278:$D278,AF$5)="F",AND(AF$6&gt;0,$A278&lt;AF$6),AND(AF$7&gt;0,$A278&gt;AF$7)),0,MAX(0,ROUND((INDEX($E278:$G278,AF$5)-SUMIFS(TF_Timer,TF_Tekniker,AF$4,TF_Dato,$A278))*2,0)/2)))</f>
        <v/>
      </c>
      <c r="AG278">
        <f>IF(OR(AG$4="",$A278&gt;TODAY()),0,IF(OR(INDEX($B278:$D278,AG$5)="F",AND(AG$6&gt;0,$A278&lt;AG$6),AND(AG$7&gt;0,$A278&gt;AG$7)),0,MAX(0,ROUND((INDEX($E278:$G278,AG$5)-SUMIFS(TF_Timer,TF_Tekniker,AG$4,TF_Dato,$A278))*2,0)/2)))</f>
        <v/>
      </c>
      <c r="AH278">
        <f>IF(OR(AH$4="",$A278&gt;TODAY()),0,IF(OR(INDEX($B278:$D278,AH$5)="F",AND(AH$6&gt;0,$A278&lt;AH$6),AND(AH$7&gt;0,$A278&gt;AH$7)),0,MAX(0,ROUND((INDEX($E278:$G278,AH$5)-SUMIFS(TF_Timer,TF_Tekniker,AH$4,TF_Dato,$A278))*2,0)/2)))</f>
        <v/>
      </c>
      <c r="AI278">
        <f>IF(OR(AI$4="",$A278&gt;TODAY()),0,IF(OR(INDEX($B278:$D278,AI$5)="F",AND(AI$6&gt;0,$A278&lt;AI$6),AND(AI$7&gt;0,$A278&gt;AI$7)),0,MAX(0,ROUND((INDEX($E278:$G278,AI$5)-SUMIFS(TF_Timer,TF_Tekniker,AI$4,TF_Dato,$A278))*2,0)/2)))</f>
        <v/>
      </c>
      <c r="AJ278">
        <f>IF(OR(AJ$4="",$A278&gt;TODAY()),0,IF(OR(INDEX($B278:$D278,AJ$5)="F",AND(AJ$6&gt;0,$A278&lt;AJ$6),AND(AJ$7&gt;0,$A278&gt;AJ$7)),0,MAX(0,ROUND((INDEX($E278:$G278,AJ$5)-SUMIFS(TF_Timer,TF_Tekniker,AJ$4,TF_Dato,$A278))*2,0)/2)))</f>
        <v/>
      </c>
      <c r="AK278">
        <f>IF(OR(AK$4="",$A278&gt;TODAY()),0,IF(OR(INDEX($B278:$D278,AK$5)="F",AND(AK$6&gt;0,$A278&lt;AK$6),AND(AK$7&gt;0,$A278&gt;AK$7)),0,MAX(0,ROUND((INDEX($E278:$G278,AK$5)-SUMIFS(TF_Timer,TF_Tekniker,AK$4,TF_Dato,$A278))*2,0)/2)))</f>
        <v/>
      </c>
      <c r="AL278">
        <f>IF(OR(AL$4="",$A278&gt;TODAY()),0,IF(OR(INDEX($B278:$D278,AL$5)="F",AND(AL$6&gt;0,$A278&lt;AL$6),AND(AL$7&gt;0,$A278&gt;AL$7)),0,MAX(0,ROUND((INDEX($E278:$G278,AL$5)-SUMIFS(TF_Timer,TF_Tekniker,AL$4,TF_Dato,$A278))*2,0)/2)))</f>
        <v/>
      </c>
      <c r="AM278">
        <f>IF(OR(AM$4="",$A278&gt;TODAY()),0,IF(OR(INDEX($B278:$D278,AM$5)="F",AND(AM$6&gt;0,$A278&lt;AM$6),AND(AM$7&gt;0,$A278&gt;AM$7)),0,MAX(0,ROUND((INDEX($E278:$G278,AM$5)-SUMIFS(TF_Timer,TF_Tekniker,AM$4,TF_Dato,$A278))*2,0)/2)))</f>
        <v/>
      </c>
      <c r="AN278">
        <f>IF(OR(AN$4="",$A278&gt;TODAY()),0,IF(OR(INDEX($B278:$D278,AN$5)="F",AND(AN$6&gt;0,$A278&lt;AN$6),AND(AN$7&gt;0,$A278&gt;AN$7)),0,MAX(0,ROUND((INDEX($E278:$G278,AN$5)-SUMIFS(TF_Timer,TF_Tekniker,AN$4,TF_Dato,$A278))*2,0)/2)))</f>
        <v/>
      </c>
      <c r="AO278">
        <f>IF(OR(AO$4="",$A278&gt;TODAY()),0,IF(OR(INDEX($B278:$D278,AO$5)="F",AND(AO$6&gt;0,$A278&lt;AO$6),AND(AO$7&gt;0,$A278&gt;AO$7)),0,MAX(0,ROUND((INDEX($E278:$G278,AO$5)-SUMIFS(TF_Timer,TF_Tekniker,AO$4,TF_Dato,$A278))*2,0)/2)))</f>
        <v/>
      </c>
      <c r="AP278">
        <f>IF(OR(AP$4="",$A278&gt;TODAY()),0,IF(OR(INDEX($B278:$D278,AP$5)="F",AND(AP$6&gt;0,$A278&lt;AP$6),AND(AP$7&gt;0,$A278&gt;AP$7)),0,MAX(0,ROUND((INDEX($E278:$G278,AP$5)-SUMIFS(TF_Timer,TF_Tekniker,AP$4,TF_Dato,$A278))*2,0)/2)))</f>
        <v/>
      </c>
      <c r="AQ278">
        <f>IF(OR(AQ$4="",$A278&gt;TODAY()),0,IF(OR(INDEX($B278:$D278,AQ$5)="F",AND(AQ$6&gt;0,$A278&lt;AQ$6),AND(AQ$7&gt;0,$A278&gt;AQ$7)),0,MAX(0,ROUND((INDEX($E278:$G278,AQ$5)-SUMIFS(TF_Timer,TF_Tekniker,AQ$4,TF_Dato,$A278))*2,0)/2)))</f>
        <v/>
      </c>
      <c r="AR278">
        <f>IF(OR(AR$4="",$A278&gt;TODAY()),0,IF(OR(INDEX($B278:$D278,AR$5)="F",AND(AR$6&gt;0,$A278&lt;AR$6),AND(AR$7&gt;0,$A278&gt;AR$7)),0,MAX(0,ROUND((INDEX($E278:$G278,AR$5)-SUMIFS(TF_Timer,TF_Tekniker,AR$4,TF_Dato,$A278))*2,0)/2)))</f>
        <v/>
      </c>
      <c r="AS278">
        <f>IF(OR(AS$4="",$A278&gt;TODAY()),0,IF(OR(INDEX($B278:$D278,AS$5)="F",AND(AS$6&gt;0,$A278&lt;AS$6),AND(AS$7&gt;0,$A278&gt;AS$7)),0,MAX(0,ROUND((INDEX($E278:$G278,AS$5)-SUMIFS(TF_Timer,TF_Tekniker,AS$4,TF_Dato,$A278))*2,0)/2)))</f>
        <v/>
      </c>
      <c r="AT278">
        <f>IF(OR(AT$4="",$A278&gt;TODAY()),0,IF(OR(INDEX($B278:$D278,AT$5)="F",AND(AT$6&gt;0,$A278&lt;AT$6),AND(AT$7&gt;0,$A278&gt;AT$7)),0,MAX(0,ROUND((INDEX($E278:$G278,AT$5)-SUMIFS(TF_Timer,TF_Tekniker,AT$4,TF_Dato,$A278))*2,0)/2)))</f>
        <v/>
      </c>
      <c r="AU278">
        <f>IF(OR(AU$4="",$A278&gt;TODAY()),0,IF(OR(INDEX($B278:$D278,AU$5)="F",AND(AU$6&gt;0,$A278&lt;AU$6),AND(AU$7&gt;0,$A278&gt;AU$7)),0,MAX(0,ROUND((INDEX($E278:$G278,AU$5)-SUMIFS(TF_Timer,TF_Tekniker,AU$4,TF_Dato,$A278))*2,0)/2)))</f>
        <v/>
      </c>
      <c r="AV278">
        <f>IF(OR(AV$4="",$A278&gt;TODAY()),0,IF(OR(INDEX($B278:$D278,AV$5)="F",AND(AV$6&gt;0,$A278&lt;AV$6),AND(AV$7&gt;0,$A278&gt;AV$7)),0,MAX(0,ROUND((INDEX($E278:$G278,AV$5)-SUMIFS(TF_Timer,TF_Tekniker,AV$4,TF_Dato,$A278))*2,0)/2)))</f>
        <v/>
      </c>
      <c r="AW278">
        <f>IF(OR(AW$4="",$A278&gt;TODAY()),0,IF(OR(INDEX($B278:$D278,AW$5)="F",AND(AW$6&gt;0,$A278&lt;AW$6),AND(AW$7&gt;0,$A278&gt;AW$7)),0,MAX(0,ROUND((INDEX($E278:$G278,AW$5)-SUMIFS(TF_Timer,TF_Tekniker,AW$4,TF_Dato,$A278))*2,0)/2)))</f>
        <v/>
      </c>
      <c r="AX278">
        <f>IF(OR(AX$4="",$A278&gt;TODAY()),0,IF(OR(INDEX($B278:$D278,AX$5)="F",AND(AX$6&gt;0,$A278&lt;AX$6),AND(AX$7&gt;0,$A278&gt;AX$7)),0,MAX(0,ROUND((INDEX($E278:$G278,AX$5)-SUMIFS(TF_Timer,TF_Tekniker,AX$4,TF_Dato,$A278))*2,0)/2)))</f>
        <v/>
      </c>
      <c r="AY278">
        <f>IF(OR(AY$4="",$A278&gt;TODAY()),0,IF(OR(INDEX($B278:$D278,AY$5)="F",AND(AY$6&gt;0,$A278&lt;AY$6),AND(AY$7&gt;0,$A278&gt;AY$7)),0,MAX(0,ROUND((INDEX($E278:$G278,AY$5)-SUMIFS(TF_Timer,TF_Tekniker,AY$4,TF_Dato,$A278))*2,0)/2)))</f>
        <v/>
      </c>
      <c r="AZ278">
        <f>IF(OR(AZ$4="",$A278&gt;TODAY()),0,IF(OR(INDEX($B278:$D278,AZ$5)="F",AND(AZ$6&gt;0,$A278&lt;AZ$6),AND(AZ$7&gt;0,$A278&gt;AZ$7)),0,MAX(0,ROUND((INDEX($E278:$G278,AZ$5)-SUMIFS(TF_Timer,TF_Tekniker,AZ$4,TF_Dato,$A278))*2,0)/2)))</f>
        <v/>
      </c>
      <c r="BA278">
        <f>IF(OR(BA$4="",$A278&gt;TODAY()),0,IF(OR(INDEX($B278:$D278,BA$5)="F",AND(BA$6&gt;0,$A278&lt;BA$6),AND(BA$7&gt;0,$A278&gt;BA$7)),0,MAX(0,ROUND((INDEX($E278:$G278,BA$5)-SUMIFS(TF_Timer,TF_Tekniker,BA$4,TF_Dato,$A278))*2,0)/2)))</f>
        <v/>
      </c>
      <c r="BB278">
        <f>IF(OR(BB$4="",$A278&gt;TODAY()),0,IF(OR(INDEX($B278:$D278,BB$5)="F",AND(BB$6&gt;0,$A278&lt;BB$6),AND(BB$7&gt;0,$A278&gt;BB$7)),0,MAX(0,ROUND((INDEX($E278:$G278,BB$5)-SUMIFS(TF_Timer,TF_Tekniker,BB$4,TF_Dato,$A278))*2,0)/2)))</f>
        <v/>
      </c>
      <c r="BC278">
        <f>IF(OR(BC$4="",$A278&gt;TODAY()),0,IF(OR(INDEX($B278:$D278,BC$5)="F",AND(BC$6&gt;0,$A278&lt;BC$6),AND(BC$7&gt;0,$A278&gt;BC$7)),0,MAX(0,ROUND((INDEX($E278:$G278,BC$5)-SUMIFS(TF_Timer,TF_Tekniker,BC$4,TF_Dato,$A278))*2,0)/2)))</f>
        <v/>
      </c>
      <c r="BD278">
        <f>IF(OR(BD$4="",$A278&gt;TODAY()),0,IF(OR(INDEX($B278:$D278,BD$5)="F",AND(BD$6&gt;0,$A278&lt;BD$6),AND(BD$7&gt;0,$A278&gt;BD$7)),0,MAX(0,ROUND((INDEX($E278:$G278,BD$5)-SUMIFS(TF_Timer,TF_Tekniker,BD$4,TF_Dato,$A278))*2,0)/2)))</f>
        <v/>
      </c>
      <c r="BE278">
        <f>IF(OR(BE$4="",$A278&gt;TODAY()),0,IF(OR(INDEX($B278:$D278,BE$5)="F",AND(BE$6&gt;0,$A278&lt;BE$6),AND(BE$7&gt;0,$A278&gt;BE$7)),0,MAX(0,ROUND((INDEX($E278:$G278,BE$5)-SUMIFS(TF_Timer,TF_Tekniker,BE$4,TF_Dato,$A278))*2,0)/2)))</f>
        <v/>
      </c>
      <c r="BF278">
        <f>IF(OR(BF$4="",$A278&gt;TODAY()),0,IF(OR(INDEX($B278:$D278,BF$5)="F",AND(BF$6&gt;0,$A278&lt;BF$6),AND(BF$7&gt;0,$A278&gt;BF$7)),0,MAX(0,ROUND((INDEX($E278:$G278,BF$5)-SUMIFS(TF_Timer,TF_Tekniker,BF$4,TF_Dato,$A278))*2,0)/2)))</f>
        <v/>
      </c>
      <c r="BG278">
        <f>IF(OR(BG$4="",$A278&gt;TODAY()),0,IF(OR(INDEX($B278:$D278,BG$5)="F",AND(BG$6&gt;0,$A278&lt;BG$6),AND(BG$7&gt;0,$A278&gt;BG$7)),0,MAX(0,ROUND((INDEX($E278:$G278,BG$5)-SUMIFS(TF_Timer,TF_Tekniker,BG$4,TF_Dato,$A278))*2,0)/2)))</f>
        <v/>
      </c>
      <c r="BH278">
        <f>IF(OR(BH$4="",$A278&gt;TODAY()),0,IF(OR(INDEX($B278:$D278,BH$5)="F",AND(BH$6&gt;0,$A278&lt;BH$6),AND(BH$7&gt;0,$A278&gt;BH$7)),0,MAX(0,ROUND((INDEX($E278:$G278,BH$5)-SUMIFS(TF_Timer,TF_Tekniker,BH$4,TF_Dato,$A278))*2,0)/2)))</f>
        <v/>
      </c>
      <c r="BI278">
        <f>IF(OR(BI$4="",$A278&gt;TODAY()),0,IF(OR(INDEX($B278:$D278,BI$5)="F",AND(BI$6&gt;0,$A278&lt;BI$6),AND(BI$7&gt;0,$A278&gt;BI$7)),0,MAX(0,ROUND((INDEX($E278:$G278,BI$5)-SUMIFS(TF_Timer,TF_Tekniker,BI$4,TF_Dato,$A278))*2,0)/2)))</f>
        <v/>
      </c>
    </row>
    <row r="279">
      <c r="A279" s="64">
        <f>A278+1</f>
        <v/>
      </c>
      <c r="B279">
        <f>IF(MOD($A279-INDEX(SkiftStart,1),Syklus)&lt;DagK,"K",IF(MOD($A279-INDEX(SkiftStart,1),Syklus)&lt;DagK+DagH,"H",IF(MOD($A279-INDEX(SkiftStart,1),Syklus)&lt;DagK+DagH+DagD,"D","F")))</f>
        <v/>
      </c>
      <c r="C279">
        <f>IF(MOD($A279-INDEX(SkiftStart,2),Syklus)&lt;DagK,"K",IF(MOD($A279-INDEX(SkiftStart,2),Syklus)&lt;DagK+DagH,"H",IF(MOD($A279-INDEX(SkiftStart,2),Syklus)&lt;DagK+DagH+DagD,"D","F")))</f>
        <v/>
      </c>
      <c r="D279">
        <f>IF(MOD($A279-INDEX(SkiftStart,3),Syklus)&lt;DagK,"K",IF(MOD($A279-INDEX(SkiftStart,3),Syklus)&lt;DagK+DagH,"H",IF(MOD($A279-INDEX(SkiftStart,3),Syklus)&lt;DagK+DagH+DagD,"D","F")))</f>
        <v/>
      </c>
      <c r="E279">
        <f>IF(B279="F",0,IF(WEEKDAY($A279,2)=5,INDEX(TimerFr,MATCH(B279,FaseKode,0)),INDEX(TimerMT,MATCH(B279,FaseKode,0))))</f>
        <v/>
      </c>
      <c r="F279">
        <f>IF(C279="F",0,IF(WEEKDAY($A279,2)=5,INDEX(TimerFr,MATCH(C279,FaseKode,0)),INDEX(TimerMT,MATCH(C279,FaseKode,0))))</f>
        <v/>
      </c>
      <c r="G279">
        <f>IF(D279="F",0,IF(WEEKDAY($A279,2)=5,INDEX(TimerFr,MATCH(D279,FaseKode,0)),INDEX(TimerMT,MATCH(D279,FaseKode,0))))</f>
        <v/>
      </c>
      <c r="H279">
        <f>IF(OR(H$4="",$A279&gt;TODAY()),0,IF(OR(INDEX($B279:$D279,H$5)="F",AND(H$6&gt;0,$A279&lt;H$6),AND(H$7&gt;0,$A279&gt;H$7)),0,MAX(0,ROUND((INDEX($E279:$G279,H$5)-SUMIFS(TF_Timer,TF_Tekniker,H$4,TF_Dato,$A279))*2,0)/2)))</f>
        <v/>
      </c>
      <c r="I279">
        <f>IF(OR(I$4="",$A279&gt;TODAY()),0,IF(OR(INDEX($B279:$D279,I$5)="F",AND(I$6&gt;0,$A279&lt;I$6),AND(I$7&gt;0,$A279&gt;I$7)),0,MAX(0,ROUND((INDEX($E279:$G279,I$5)-SUMIFS(TF_Timer,TF_Tekniker,I$4,TF_Dato,$A279))*2,0)/2)))</f>
        <v/>
      </c>
      <c r="J279">
        <f>IF(OR(J$4="",$A279&gt;TODAY()),0,IF(OR(INDEX($B279:$D279,J$5)="F",AND(J$6&gt;0,$A279&lt;J$6),AND(J$7&gt;0,$A279&gt;J$7)),0,MAX(0,ROUND((INDEX($E279:$G279,J$5)-SUMIFS(TF_Timer,TF_Tekniker,J$4,TF_Dato,$A279))*2,0)/2)))</f>
        <v/>
      </c>
      <c r="K279">
        <f>IF(OR(K$4="",$A279&gt;TODAY()),0,IF(OR(INDEX($B279:$D279,K$5)="F",AND(K$6&gt;0,$A279&lt;K$6),AND(K$7&gt;0,$A279&gt;K$7)),0,MAX(0,ROUND((INDEX($E279:$G279,K$5)-SUMIFS(TF_Timer,TF_Tekniker,K$4,TF_Dato,$A279))*2,0)/2)))</f>
        <v/>
      </c>
      <c r="L279">
        <f>IF(OR(L$4="",$A279&gt;TODAY()),0,IF(OR(INDEX($B279:$D279,L$5)="F",AND(L$6&gt;0,$A279&lt;L$6),AND(L$7&gt;0,$A279&gt;L$7)),0,MAX(0,ROUND((INDEX($E279:$G279,L$5)-SUMIFS(TF_Timer,TF_Tekniker,L$4,TF_Dato,$A279))*2,0)/2)))</f>
        <v/>
      </c>
      <c r="M279">
        <f>IF(OR(M$4="",$A279&gt;TODAY()),0,IF(OR(INDEX($B279:$D279,M$5)="F",AND(M$6&gt;0,$A279&lt;M$6),AND(M$7&gt;0,$A279&gt;M$7)),0,MAX(0,ROUND((INDEX($E279:$G279,M$5)-SUMIFS(TF_Timer,TF_Tekniker,M$4,TF_Dato,$A279))*2,0)/2)))</f>
        <v/>
      </c>
      <c r="N279">
        <f>IF(OR(N$4="",$A279&gt;TODAY()),0,IF(OR(INDEX($B279:$D279,N$5)="F",AND(N$6&gt;0,$A279&lt;N$6),AND(N$7&gt;0,$A279&gt;N$7)),0,MAX(0,ROUND((INDEX($E279:$G279,N$5)-SUMIFS(TF_Timer,TF_Tekniker,N$4,TF_Dato,$A279))*2,0)/2)))</f>
        <v/>
      </c>
      <c r="O279">
        <f>IF(OR(O$4="",$A279&gt;TODAY()),0,IF(OR(INDEX($B279:$D279,O$5)="F",AND(O$6&gt;0,$A279&lt;O$6),AND(O$7&gt;0,$A279&gt;O$7)),0,MAX(0,ROUND((INDEX($E279:$G279,O$5)-SUMIFS(TF_Timer,TF_Tekniker,O$4,TF_Dato,$A279))*2,0)/2)))</f>
        <v/>
      </c>
      <c r="P279">
        <f>IF(OR(P$4="",$A279&gt;TODAY()),0,IF(OR(INDEX($B279:$D279,P$5)="F",AND(P$6&gt;0,$A279&lt;P$6),AND(P$7&gt;0,$A279&gt;P$7)),0,MAX(0,ROUND((INDEX($E279:$G279,P$5)-SUMIFS(TF_Timer,TF_Tekniker,P$4,TF_Dato,$A279))*2,0)/2)))</f>
        <v/>
      </c>
      <c r="Q279">
        <f>IF(OR(Q$4="",$A279&gt;TODAY()),0,IF(OR(INDEX($B279:$D279,Q$5)="F",AND(Q$6&gt;0,$A279&lt;Q$6),AND(Q$7&gt;0,$A279&gt;Q$7)),0,MAX(0,ROUND((INDEX($E279:$G279,Q$5)-SUMIFS(TF_Timer,TF_Tekniker,Q$4,TF_Dato,$A279))*2,0)/2)))</f>
        <v/>
      </c>
      <c r="R279">
        <f>IF(OR(R$4="",$A279&gt;TODAY()),0,IF(OR(INDEX($B279:$D279,R$5)="F",AND(R$6&gt;0,$A279&lt;R$6),AND(R$7&gt;0,$A279&gt;R$7)),0,MAX(0,ROUND((INDEX($E279:$G279,R$5)-SUMIFS(TF_Timer,TF_Tekniker,R$4,TF_Dato,$A279))*2,0)/2)))</f>
        <v/>
      </c>
      <c r="S279">
        <f>IF(OR(S$4="",$A279&gt;TODAY()),0,IF(OR(INDEX($B279:$D279,S$5)="F",AND(S$6&gt;0,$A279&lt;S$6),AND(S$7&gt;0,$A279&gt;S$7)),0,MAX(0,ROUND((INDEX($E279:$G279,S$5)-SUMIFS(TF_Timer,TF_Tekniker,S$4,TF_Dato,$A279))*2,0)/2)))</f>
        <v/>
      </c>
      <c r="T279">
        <f>IF(OR(T$4="",$A279&gt;TODAY()),0,IF(OR(INDEX($B279:$D279,T$5)="F",AND(T$6&gt;0,$A279&lt;T$6),AND(T$7&gt;0,$A279&gt;T$7)),0,MAX(0,ROUND((INDEX($E279:$G279,T$5)-SUMIFS(TF_Timer,TF_Tekniker,T$4,TF_Dato,$A279))*2,0)/2)))</f>
        <v/>
      </c>
      <c r="U279">
        <f>IF(OR(U$4="",$A279&gt;TODAY()),0,IF(OR(INDEX($B279:$D279,U$5)="F",AND(U$6&gt;0,$A279&lt;U$6),AND(U$7&gt;0,$A279&gt;U$7)),0,MAX(0,ROUND((INDEX($E279:$G279,U$5)-SUMIFS(TF_Timer,TF_Tekniker,U$4,TF_Dato,$A279))*2,0)/2)))</f>
        <v/>
      </c>
      <c r="V279">
        <f>IF(OR(V$4="",$A279&gt;TODAY()),0,IF(OR(INDEX($B279:$D279,V$5)="F",AND(V$6&gt;0,$A279&lt;V$6),AND(V$7&gt;0,$A279&gt;V$7)),0,MAX(0,ROUND((INDEX($E279:$G279,V$5)-SUMIFS(TF_Timer,TF_Tekniker,V$4,TF_Dato,$A279))*2,0)/2)))</f>
        <v/>
      </c>
      <c r="W279">
        <f>IF(OR(W$4="",$A279&gt;TODAY()),0,IF(OR(INDEX($B279:$D279,W$5)="F",AND(W$6&gt;0,$A279&lt;W$6),AND(W$7&gt;0,$A279&gt;W$7)),0,MAX(0,ROUND((INDEX($E279:$G279,W$5)-SUMIFS(TF_Timer,TF_Tekniker,W$4,TF_Dato,$A279))*2,0)/2)))</f>
        <v/>
      </c>
      <c r="X279">
        <f>IF(OR(X$4="",$A279&gt;TODAY()),0,IF(OR(INDEX($B279:$D279,X$5)="F",AND(X$6&gt;0,$A279&lt;X$6),AND(X$7&gt;0,$A279&gt;X$7)),0,MAX(0,ROUND((INDEX($E279:$G279,X$5)-SUMIFS(TF_Timer,TF_Tekniker,X$4,TF_Dato,$A279))*2,0)/2)))</f>
        <v/>
      </c>
      <c r="Y279">
        <f>IF(OR(Y$4="",$A279&gt;TODAY()),0,IF(OR(INDEX($B279:$D279,Y$5)="F",AND(Y$6&gt;0,$A279&lt;Y$6),AND(Y$7&gt;0,$A279&gt;Y$7)),0,MAX(0,ROUND((INDEX($E279:$G279,Y$5)-SUMIFS(TF_Timer,TF_Tekniker,Y$4,TF_Dato,$A279))*2,0)/2)))</f>
        <v/>
      </c>
      <c r="Z279">
        <f>IF(OR(Z$4="",$A279&gt;TODAY()),0,IF(OR(INDEX($B279:$D279,Z$5)="F",AND(Z$6&gt;0,$A279&lt;Z$6),AND(Z$7&gt;0,$A279&gt;Z$7)),0,MAX(0,ROUND((INDEX($E279:$G279,Z$5)-SUMIFS(TF_Timer,TF_Tekniker,Z$4,TF_Dato,$A279))*2,0)/2)))</f>
        <v/>
      </c>
      <c r="AA279">
        <f>IF(OR(AA$4="",$A279&gt;TODAY()),0,IF(OR(INDEX($B279:$D279,AA$5)="F",AND(AA$6&gt;0,$A279&lt;AA$6),AND(AA$7&gt;0,$A279&gt;AA$7)),0,MAX(0,ROUND((INDEX($E279:$G279,AA$5)-SUMIFS(TF_Timer,TF_Tekniker,AA$4,TF_Dato,$A279))*2,0)/2)))</f>
        <v/>
      </c>
      <c r="AB279">
        <f>IF(OR(AB$4="",$A279&gt;TODAY()),0,IF(OR(INDEX($B279:$D279,AB$5)="F",AND(AB$6&gt;0,$A279&lt;AB$6),AND(AB$7&gt;0,$A279&gt;AB$7)),0,MAX(0,ROUND((INDEX($E279:$G279,AB$5)-SUMIFS(TF_Timer,TF_Tekniker,AB$4,TF_Dato,$A279))*2,0)/2)))</f>
        <v/>
      </c>
      <c r="AC279">
        <f>IF(OR(AC$4="",$A279&gt;TODAY()),0,IF(OR(INDEX($B279:$D279,AC$5)="F",AND(AC$6&gt;0,$A279&lt;AC$6),AND(AC$7&gt;0,$A279&gt;AC$7)),0,MAX(0,ROUND((INDEX($E279:$G279,AC$5)-SUMIFS(TF_Timer,TF_Tekniker,AC$4,TF_Dato,$A279))*2,0)/2)))</f>
        <v/>
      </c>
      <c r="AD279">
        <f>IF(OR(AD$4="",$A279&gt;TODAY()),0,IF(OR(INDEX($B279:$D279,AD$5)="F",AND(AD$6&gt;0,$A279&lt;AD$6),AND(AD$7&gt;0,$A279&gt;AD$7)),0,MAX(0,ROUND((INDEX($E279:$G279,AD$5)-SUMIFS(TF_Timer,TF_Tekniker,AD$4,TF_Dato,$A279))*2,0)/2)))</f>
        <v/>
      </c>
      <c r="AE279">
        <f>IF(OR(AE$4="",$A279&gt;TODAY()),0,IF(OR(INDEX($B279:$D279,AE$5)="F",AND(AE$6&gt;0,$A279&lt;AE$6),AND(AE$7&gt;0,$A279&gt;AE$7)),0,MAX(0,ROUND((INDEX($E279:$G279,AE$5)-SUMIFS(TF_Timer,TF_Tekniker,AE$4,TF_Dato,$A279))*2,0)/2)))</f>
        <v/>
      </c>
      <c r="AF279">
        <f>IF(OR(AF$4="",$A279&gt;TODAY()),0,IF(OR(INDEX($B279:$D279,AF$5)="F",AND(AF$6&gt;0,$A279&lt;AF$6),AND(AF$7&gt;0,$A279&gt;AF$7)),0,MAX(0,ROUND((INDEX($E279:$G279,AF$5)-SUMIFS(TF_Timer,TF_Tekniker,AF$4,TF_Dato,$A279))*2,0)/2)))</f>
        <v/>
      </c>
      <c r="AG279">
        <f>IF(OR(AG$4="",$A279&gt;TODAY()),0,IF(OR(INDEX($B279:$D279,AG$5)="F",AND(AG$6&gt;0,$A279&lt;AG$6),AND(AG$7&gt;0,$A279&gt;AG$7)),0,MAX(0,ROUND((INDEX($E279:$G279,AG$5)-SUMIFS(TF_Timer,TF_Tekniker,AG$4,TF_Dato,$A279))*2,0)/2)))</f>
        <v/>
      </c>
      <c r="AH279">
        <f>IF(OR(AH$4="",$A279&gt;TODAY()),0,IF(OR(INDEX($B279:$D279,AH$5)="F",AND(AH$6&gt;0,$A279&lt;AH$6),AND(AH$7&gt;0,$A279&gt;AH$7)),0,MAX(0,ROUND((INDEX($E279:$G279,AH$5)-SUMIFS(TF_Timer,TF_Tekniker,AH$4,TF_Dato,$A279))*2,0)/2)))</f>
        <v/>
      </c>
      <c r="AI279">
        <f>IF(OR(AI$4="",$A279&gt;TODAY()),0,IF(OR(INDEX($B279:$D279,AI$5)="F",AND(AI$6&gt;0,$A279&lt;AI$6),AND(AI$7&gt;0,$A279&gt;AI$7)),0,MAX(0,ROUND((INDEX($E279:$G279,AI$5)-SUMIFS(TF_Timer,TF_Tekniker,AI$4,TF_Dato,$A279))*2,0)/2)))</f>
        <v/>
      </c>
      <c r="AJ279">
        <f>IF(OR(AJ$4="",$A279&gt;TODAY()),0,IF(OR(INDEX($B279:$D279,AJ$5)="F",AND(AJ$6&gt;0,$A279&lt;AJ$6),AND(AJ$7&gt;0,$A279&gt;AJ$7)),0,MAX(0,ROUND((INDEX($E279:$G279,AJ$5)-SUMIFS(TF_Timer,TF_Tekniker,AJ$4,TF_Dato,$A279))*2,0)/2)))</f>
        <v/>
      </c>
      <c r="AK279">
        <f>IF(OR(AK$4="",$A279&gt;TODAY()),0,IF(OR(INDEX($B279:$D279,AK$5)="F",AND(AK$6&gt;0,$A279&lt;AK$6),AND(AK$7&gt;0,$A279&gt;AK$7)),0,MAX(0,ROUND((INDEX($E279:$G279,AK$5)-SUMIFS(TF_Timer,TF_Tekniker,AK$4,TF_Dato,$A279))*2,0)/2)))</f>
        <v/>
      </c>
      <c r="AL279">
        <f>IF(OR(AL$4="",$A279&gt;TODAY()),0,IF(OR(INDEX($B279:$D279,AL$5)="F",AND(AL$6&gt;0,$A279&lt;AL$6),AND(AL$7&gt;0,$A279&gt;AL$7)),0,MAX(0,ROUND((INDEX($E279:$G279,AL$5)-SUMIFS(TF_Timer,TF_Tekniker,AL$4,TF_Dato,$A279))*2,0)/2)))</f>
        <v/>
      </c>
      <c r="AM279">
        <f>IF(OR(AM$4="",$A279&gt;TODAY()),0,IF(OR(INDEX($B279:$D279,AM$5)="F",AND(AM$6&gt;0,$A279&lt;AM$6),AND(AM$7&gt;0,$A279&gt;AM$7)),0,MAX(0,ROUND((INDEX($E279:$G279,AM$5)-SUMIFS(TF_Timer,TF_Tekniker,AM$4,TF_Dato,$A279))*2,0)/2)))</f>
        <v/>
      </c>
      <c r="AN279">
        <f>IF(OR(AN$4="",$A279&gt;TODAY()),0,IF(OR(INDEX($B279:$D279,AN$5)="F",AND(AN$6&gt;0,$A279&lt;AN$6),AND(AN$7&gt;0,$A279&gt;AN$7)),0,MAX(0,ROUND((INDEX($E279:$G279,AN$5)-SUMIFS(TF_Timer,TF_Tekniker,AN$4,TF_Dato,$A279))*2,0)/2)))</f>
        <v/>
      </c>
      <c r="AO279">
        <f>IF(OR(AO$4="",$A279&gt;TODAY()),0,IF(OR(INDEX($B279:$D279,AO$5)="F",AND(AO$6&gt;0,$A279&lt;AO$6),AND(AO$7&gt;0,$A279&gt;AO$7)),0,MAX(0,ROUND((INDEX($E279:$G279,AO$5)-SUMIFS(TF_Timer,TF_Tekniker,AO$4,TF_Dato,$A279))*2,0)/2)))</f>
        <v/>
      </c>
      <c r="AP279">
        <f>IF(OR(AP$4="",$A279&gt;TODAY()),0,IF(OR(INDEX($B279:$D279,AP$5)="F",AND(AP$6&gt;0,$A279&lt;AP$6),AND(AP$7&gt;0,$A279&gt;AP$7)),0,MAX(0,ROUND((INDEX($E279:$G279,AP$5)-SUMIFS(TF_Timer,TF_Tekniker,AP$4,TF_Dato,$A279))*2,0)/2)))</f>
        <v/>
      </c>
      <c r="AQ279">
        <f>IF(OR(AQ$4="",$A279&gt;TODAY()),0,IF(OR(INDEX($B279:$D279,AQ$5)="F",AND(AQ$6&gt;0,$A279&lt;AQ$6),AND(AQ$7&gt;0,$A279&gt;AQ$7)),0,MAX(0,ROUND((INDEX($E279:$G279,AQ$5)-SUMIFS(TF_Timer,TF_Tekniker,AQ$4,TF_Dato,$A279))*2,0)/2)))</f>
        <v/>
      </c>
      <c r="AR279">
        <f>IF(OR(AR$4="",$A279&gt;TODAY()),0,IF(OR(INDEX($B279:$D279,AR$5)="F",AND(AR$6&gt;0,$A279&lt;AR$6),AND(AR$7&gt;0,$A279&gt;AR$7)),0,MAX(0,ROUND((INDEX($E279:$G279,AR$5)-SUMIFS(TF_Timer,TF_Tekniker,AR$4,TF_Dato,$A279))*2,0)/2)))</f>
        <v/>
      </c>
      <c r="AS279">
        <f>IF(OR(AS$4="",$A279&gt;TODAY()),0,IF(OR(INDEX($B279:$D279,AS$5)="F",AND(AS$6&gt;0,$A279&lt;AS$6),AND(AS$7&gt;0,$A279&gt;AS$7)),0,MAX(0,ROUND((INDEX($E279:$G279,AS$5)-SUMIFS(TF_Timer,TF_Tekniker,AS$4,TF_Dato,$A279))*2,0)/2)))</f>
        <v/>
      </c>
      <c r="AT279">
        <f>IF(OR(AT$4="",$A279&gt;TODAY()),0,IF(OR(INDEX($B279:$D279,AT$5)="F",AND(AT$6&gt;0,$A279&lt;AT$6),AND(AT$7&gt;0,$A279&gt;AT$7)),0,MAX(0,ROUND((INDEX($E279:$G279,AT$5)-SUMIFS(TF_Timer,TF_Tekniker,AT$4,TF_Dato,$A279))*2,0)/2)))</f>
        <v/>
      </c>
      <c r="AU279">
        <f>IF(OR(AU$4="",$A279&gt;TODAY()),0,IF(OR(INDEX($B279:$D279,AU$5)="F",AND(AU$6&gt;0,$A279&lt;AU$6),AND(AU$7&gt;0,$A279&gt;AU$7)),0,MAX(0,ROUND((INDEX($E279:$G279,AU$5)-SUMIFS(TF_Timer,TF_Tekniker,AU$4,TF_Dato,$A279))*2,0)/2)))</f>
        <v/>
      </c>
      <c r="AV279">
        <f>IF(OR(AV$4="",$A279&gt;TODAY()),0,IF(OR(INDEX($B279:$D279,AV$5)="F",AND(AV$6&gt;0,$A279&lt;AV$6),AND(AV$7&gt;0,$A279&gt;AV$7)),0,MAX(0,ROUND((INDEX($E279:$G279,AV$5)-SUMIFS(TF_Timer,TF_Tekniker,AV$4,TF_Dato,$A279))*2,0)/2)))</f>
        <v/>
      </c>
      <c r="AW279">
        <f>IF(OR(AW$4="",$A279&gt;TODAY()),0,IF(OR(INDEX($B279:$D279,AW$5)="F",AND(AW$6&gt;0,$A279&lt;AW$6),AND(AW$7&gt;0,$A279&gt;AW$7)),0,MAX(0,ROUND((INDEX($E279:$G279,AW$5)-SUMIFS(TF_Timer,TF_Tekniker,AW$4,TF_Dato,$A279))*2,0)/2)))</f>
        <v/>
      </c>
      <c r="AX279">
        <f>IF(OR(AX$4="",$A279&gt;TODAY()),0,IF(OR(INDEX($B279:$D279,AX$5)="F",AND(AX$6&gt;0,$A279&lt;AX$6),AND(AX$7&gt;0,$A279&gt;AX$7)),0,MAX(0,ROUND((INDEX($E279:$G279,AX$5)-SUMIFS(TF_Timer,TF_Tekniker,AX$4,TF_Dato,$A279))*2,0)/2)))</f>
        <v/>
      </c>
      <c r="AY279">
        <f>IF(OR(AY$4="",$A279&gt;TODAY()),0,IF(OR(INDEX($B279:$D279,AY$5)="F",AND(AY$6&gt;0,$A279&lt;AY$6),AND(AY$7&gt;0,$A279&gt;AY$7)),0,MAX(0,ROUND((INDEX($E279:$G279,AY$5)-SUMIFS(TF_Timer,TF_Tekniker,AY$4,TF_Dato,$A279))*2,0)/2)))</f>
        <v/>
      </c>
      <c r="AZ279">
        <f>IF(OR(AZ$4="",$A279&gt;TODAY()),0,IF(OR(INDEX($B279:$D279,AZ$5)="F",AND(AZ$6&gt;0,$A279&lt;AZ$6),AND(AZ$7&gt;0,$A279&gt;AZ$7)),0,MAX(0,ROUND((INDEX($E279:$G279,AZ$5)-SUMIFS(TF_Timer,TF_Tekniker,AZ$4,TF_Dato,$A279))*2,0)/2)))</f>
        <v/>
      </c>
      <c r="BA279">
        <f>IF(OR(BA$4="",$A279&gt;TODAY()),0,IF(OR(INDEX($B279:$D279,BA$5)="F",AND(BA$6&gt;0,$A279&lt;BA$6),AND(BA$7&gt;0,$A279&gt;BA$7)),0,MAX(0,ROUND((INDEX($E279:$G279,BA$5)-SUMIFS(TF_Timer,TF_Tekniker,BA$4,TF_Dato,$A279))*2,0)/2)))</f>
        <v/>
      </c>
      <c r="BB279">
        <f>IF(OR(BB$4="",$A279&gt;TODAY()),0,IF(OR(INDEX($B279:$D279,BB$5)="F",AND(BB$6&gt;0,$A279&lt;BB$6),AND(BB$7&gt;0,$A279&gt;BB$7)),0,MAX(0,ROUND((INDEX($E279:$G279,BB$5)-SUMIFS(TF_Timer,TF_Tekniker,BB$4,TF_Dato,$A279))*2,0)/2)))</f>
        <v/>
      </c>
      <c r="BC279">
        <f>IF(OR(BC$4="",$A279&gt;TODAY()),0,IF(OR(INDEX($B279:$D279,BC$5)="F",AND(BC$6&gt;0,$A279&lt;BC$6),AND(BC$7&gt;0,$A279&gt;BC$7)),0,MAX(0,ROUND((INDEX($E279:$G279,BC$5)-SUMIFS(TF_Timer,TF_Tekniker,BC$4,TF_Dato,$A279))*2,0)/2)))</f>
        <v/>
      </c>
      <c r="BD279">
        <f>IF(OR(BD$4="",$A279&gt;TODAY()),0,IF(OR(INDEX($B279:$D279,BD$5)="F",AND(BD$6&gt;0,$A279&lt;BD$6),AND(BD$7&gt;0,$A279&gt;BD$7)),0,MAX(0,ROUND((INDEX($E279:$G279,BD$5)-SUMIFS(TF_Timer,TF_Tekniker,BD$4,TF_Dato,$A279))*2,0)/2)))</f>
        <v/>
      </c>
      <c r="BE279">
        <f>IF(OR(BE$4="",$A279&gt;TODAY()),0,IF(OR(INDEX($B279:$D279,BE$5)="F",AND(BE$6&gt;0,$A279&lt;BE$6),AND(BE$7&gt;0,$A279&gt;BE$7)),0,MAX(0,ROUND((INDEX($E279:$G279,BE$5)-SUMIFS(TF_Timer,TF_Tekniker,BE$4,TF_Dato,$A279))*2,0)/2)))</f>
        <v/>
      </c>
      <c r="BF279">
        <f>IF(OR(BF$4="",$A279&gt;TODAY()),0,IF(OR(INDEX($B279:$D279,BF$5)="F",AND(BF$6&gt;0,$A279&lt;BF$6),AND(BF$7&gt;0,$A279&gt;BF$7)),0,MAX(0,ROUND((INDEX($E279:$G279,BF$5)-SUMIFS(TF_Timer,TF_Tekniker,BF$4,TF_Dato,$A279))*2,0)/2)))</f>
        <v/>
      </c>
      <c r="BG279">
        <f>IF(OR(BG$4="",$A279&gt;TODAY()),0,IF(OR(INDEX($B279:$D279,BG$5)="F",AND(BG$6&gt;0,$A279&lt;BG$6),AND(BG$7&gt;0,$A279&gt;BG$7)),0,MAX(0,ROUND((INDEX($E279:$G279,BG$5)-SUMIFS(TF_Timer,TF_Tekniker,BG$4,TF_Dato,$A279))*2,0)/2)))</f>
        <v/>
      </c>
      <c r="BH279">
        <f>IF(OR(BH$4="",$A279&gt;TODAY()),0,IF(OR(INDEX($B279:$D279,BH$5)="F",AND(BH$6&gt;0,$A279&lt;BH$6),AND(BH$7&gt;0,$A279&gt;BH$7)),0,MAX(0,ROUND((INDEX($E279:$G279,BH$5)-SUMIFS(TF_Timer,TF_Tekniker,BH$4,TF_Dato,$A279))*2,0)/2)))</f>
        <v/>
      </c>
      <c r="BI279">
        <f>IF(OR(BI$4="",$A279&gt;TODAY()),0,IF(OR(INDEX($B279:$D279,BI$5)="F",AND(BI$6&gt;0,$A279&lt;BI$6),AND(BI$7&gt;0,$A279&gt;BI$7)),0,MAX(0,ROUND((INDEX($E279:$G279,BI$5)-SUMIFS(TF_Timer,TF_Tekniker,BI$4,TF_Dato,$A279))*2,0)/2)))</f>
        <v/>
      </c>
    </row>
    <row r="280">
      <c r="A280" s="64">
        <f>A279+1</f>
        <v/>
      </c>
      <c r="B280">
        <f>IF(MOD($A280-INDEX(SkiftStart,1),Syklus)&lt;DagK,"K",IF(MOD($A280-INDEX(SkiftStart,1),Syklus)&lt;DagK+DagH,"H",IF(MOD($A280-INDEX(SkiftStart,1),Syklus)&lt;DagK+DagH+DagD,"D","F")))</f>
        <v/>
      </c>
      <c r="C280">
        <f>IF(MOD($A280-INDEX(SkiftStart,2),Syklus)&lt;DagK,"K",IF(MOD($A280-INDEX(SkiftStart,2),Syklus)&lt;DagK+DagH,"H",IF(MOD($A280-INDEX(SkiftStart,2),Syklus)&lt;DagK+DagH+DagD,"D","F")))</f>
        <v/>
      </c>
      <c r="D280">
        <f>IF(MOD($A280-INDEX(SkiftStart,3),Syklus)&lt;DagK,"K",IF(MOD($A280-INDEX(SkiftStart,3),Syklus)&lt;DagK+DagH,"H",IF(MOD($A280-INDEX(SkiftStart,3),Syklus)&lt;DagK+DagH+DagD,"D","F")))</f>
        <v/>
      </c>
      <c r="E280">
        <f>IF(B280="F",0,IF(WEEKDAY($A280,2)=5,INDEX(TimerFr,MATCH(B280,FaseKode,0)),INDEX(TimerMT,MATCH(B280,FaseKode,0))))</f>
        <v/>
      </c>
      <c r="F280">
        <f>IF(C280="F",0,IF(WEEKDAY($A280,2)=5,INDEX(TimerFr,MATCH(C280,FaseKode,0)),INDEX(TimerMT,MATCH(C280,FaseKode,0))))</f>
        <v/>
      </c>
      <c r="G280">
        <f>IF(D280="F",0,IF(WEEKDAY($A280,2)=5,INDEX(TimerFr,MATCH(D280,FaseKode,0)),INDEX(TimerMT,MATCH(D280,FaseKode,0))))</f>
        <v/>
      </c>
      <c r="H280">
        <f>IF(OR(H$4="",$A280&gt;TODAY()),0,IF(OR(INDEX($B280:$D280,H$5)="F",AND(H$6&gt;0,$A280&lt;H$6),AND(H$7&gt;0,$A280&gt;H$7)),0,MAX(0,ROUND((INDEX($E280:$G280,H$5)-SUMIFS(TF_Timer,TF_Tekniker,H$4,TF_Dato,$A280))*2,0)/2)))</f>
        <v/>
      </c>
      <c r="I280">
        <f>IF(OR(I$4="",$A280&gt;TODAY()),0,IF(OR(INDEX($B280:$D280,I$5)="F",AND(I$6&gt;0,$A280&lt;I$6),AND(I$7&gt;0,$A280&gt;I$7)),0,MAX(0,ROUND((INDEX($E280:$G280,I$5)-SUMIFS(TF_Timer,TF_Tekniker,I$4,TF_Dato,$A280))*2,0)/2)))</f>
        <v/>
      </c>
      <c r="J280">
        <f>IF(OR(J$4="",$A280&gt;TODAY()),0,IF(OR(INDEX($B280:$D280,J$5)="F",AND(J$6&gt;0,$A280&lt;J$6),AND(J$7&gt;0,$A280&gt;J$7)),0,MAX(0,ROUND((INDEX($E280:$G280,J$5)-SUMIFS(TF_Timer,TF_Tekniker,J$4,TF_Dato,$A280))*2,0)/2)))</f>
        <v/>
      </c>
      <c r="K280">
        <f>IF(OR(K$4="",$A280&gt;TODAY()),0,IF(OR(INDEX($B280:$D280,K$5)="F",AND(K$6&gt;0,$A280&lt;K$6),AND(K$7&gt;0,$A280&gt;K$7)),0,MAX(0,ROUND((INDEX($E280:$G280,K$5)-SUMIFS(TF_Timer,TF_Tekniker,K$4,TF_Dato,$A280))*2,0)/2)))</f>
        <v/>
      </c>
      <c r="L280">
        <f>IF(OR(L$4="",$A280&gt;TODAY()),0,IF(OR(INDEX($B280:$D280,L$5)="F",AND(L$6&gt;0,$A280&lt;L$6),AND(L$7&gt;0,$A280&gt;L$7)),0,MAX(0,ROUND((INDEX($E280:$G280,L$5)-SUMIFS(TF_Timer,TF_Tekniker,L$4,TF_Dato,$A280))*2,0)/2)))</f>
        <v/>
      </c>
      <c r="M280">
        <f>IF(OR(M$4="",$A280&gt;TODAY()),0,IF(OR(INDEX($B280:$D280,M$5)="F",AND(M$6&gt;0,$A280&lt;M$6),AND(M$7&gt;0,$A280&gt;M$7)),0,MAX(0,ROUND((INDEX($E280:$G280,M$5)-SUMIFS(TF_Timer,TF_Tekniker,M$4,TF_Dato,$A280))*2,0)/2)))</f>
        <v/>
      </c>
      <c r="N280">
        <f>IF(OR(N$4="",$A280&gt;TODAY()),0,IF(OR(INDEX($B280:$D280,N$5)="F",AND(N$6&gt;0,$A280&lt;N$6),AND(N$7&gt;0,$A280&gt;N$7)),0,MAX(0,ROUND((INDEX($E280:$G280,N$5)-SUMIFS(TF_Timer,TF_Tekniker,N$4,TF_Dato,$A280))*2,0)/2)))</f>
        <v/>
      </c>
      <c r="O280">
        <f>IF(OR(O$4="",$A280&gt;TODAY()),0,IF(OR(INDEX($B280:$D280,O$5)="F",AND(O$6&gt;0,$A280&lt;O$6),AND(O$7&gt;0,$A280&gt;O$7)),0,MAX(0,ROUND((INDEX($E280:$G280,O$5)-SUMIFS(TF_Timer,TF_Tekniker,O$4,TF_Dato,$A280))*2,0)/2)))</f>
        <v/>
      </c>
      <c r="P280">
        <f>IF(OR(P$4="",$A280&gt;TODAY()),0,IF(OR(INDEX($B280:$D280,P$5)="F",AND(P$6&gt;0,$A280&lt;P$6),AND(P$7&gt;0,$A280&gt;P$7)),0,MAX(0,ROUND((INDEX($E280:$G280,P$5)-SUMIFS(TF_Timer,TF_Tekniker,P$4,TF_Dato,$A280))*2,0)/2)))</f>
        <v/>
      </c>
      <c r="Q280">
        <f>IF(OR(Q$4="",$A280&gt;TODAY()),0,IF(OR(INDEX($B280:$D280,Q$5)="F",AND(Q$6&gt;0,$A280&lt;Q$6),AND(Q$7&gt;0,$A280&gt;Q$7)),0,MAX(0,ROUND((INDEX($E280:$G280,Q$5)-SUMIFS(TF_Timer,TF_Tekniker,Q$4,TF_Dato,$A280))*2,0)/2)))</f>
        <v/>
      </c>
      <c r="R280">
        <f>IF(OR(R$4="",$A280&gt;TODAY()),0,IF(OR(INDEX($B280:$D280,R$5)="F",AND(R$6&gt;0,$A280&lt;R$6),AND(R$7&gt;0,$A280&gt;R$7)),0,MAX(0,ROUND((INDEX($E280:$G280,R$5)-SUMIFS(TF_Timer,TF_Tekniker,R$4,TF_Dato,$A280))*2,0)/2)))</f>
        <v/>
      </c>
      <c r="S280">
        <f>IF(OR(S$4="",$A280&gt;TODAY()),0,IF(OR(INDEX($B280:$D280,S$5)="F",AND(S$6&gt;0,$A280&lt;S$6),AND(S$7&gt;0,$A280&gt;S$7)),0,MAX(0,ROUND((INDEX($E280:$G280,S$5)-SUMIFS(TF_Timer,TF_Tekniker,S$4,TF_Dato,$A280))*2,0)/2)))</f>
        <v/>
      </c>
      <c r="T280">
        <f>IF(OR(T$4="",$A280&gt;TODAY()),0,IF(OR(INDEX($B280:$D280,T$5)="F",AND(T$6&gt;0,$A280&lt;T$6),AND(T$7&gt;0,$A280&gt;T$7)),0,MAX(0,ROUND((INDEX($E280:$G280,T$5)-SUMIFS(TF_Timer,TF_Tekniker,T$4,TF_Dato,$A280))*2,0)/2)))</f>
        <v/>
      </c>
      <c r="U280">
        <f>IF(OR(U$4="",$A280&gt;TODAY()),0,IF(OR(INDEX($B280:$D280,U$5)="F",AND(U$6&gt;0,$A280&lt;U$6),AND(U$7&gt;0,$A280&gt;U$7)),0,MAX(0,ROUND((INDEX($E280:$G280,U$5)-SUMIFS(TF_Timer,TF_Tekniker,U$4,TF_Dato,$A280))*2,0)/2)))</f>
        <v/>
      </c>
      <c r="V280">
        <f>IF(OR(V$4="",$A280&gt;TODAY()),0,IF(OR(INDEX($B280:$D280,V$5)="F",AND(V$6&gt;0,$A280&lt;V$6),AND(V$7&gt;0,$A280&gt;V$7)),0,MAX(0,ROUND((INDEX($E280:$G280,V$5)-SUMIFS(TF_Timer,TF_Tekniker,V$4,TF_Dato,$A280))*2,0)/2)))</f>
        <v/>
      </c>
      <c r="W280">
        <f>IF(OR(W$4="",$A280&gt;TODAY()),0,IF(OR(INDEX($B280:$D280,W$5)="F",AND(W$6&gt;0,$A280&lt;W$6),AND(W$7&gt;0,$A280&gt;W$7)),0,MAX(0,ROUND((INDEX($E280:$G280,W$5)-SUMIFS(TF_Timer,TF_Tekniker,W$4,TF_Dato,$A280))*2,0)/2)))</f>
        <v/>
      </c>
      <c r="X280">
        <f>IF(OR(X$4="",$A280&gt;TODAY()),0,IF(OR(INDEX($B280:$D280,X$5)="F",AND(X$6&gt;0,$A280&lt;X$6),AND(X$7&gt;0,$A280&gt;X$7)),0,MAX(0,ROUND((INDEX($E280:$G280,X$5)-SUMIFS(TF_Timer,TF_Tekniker,X$4,TF_Dato,$A280))*2,0)/2)))</f>
        <v/>
      </c>
      <c r="Y280">
        <f>IF(OR(Y$4="",$A280&gt;TODAY()),0,IF(OR(INDEX($B280:$D280,Y$5)="F",AND(Y$6&gt;0,$A280&lt;Y$6),AND(Y$7&gt;0,$A280&gt;Y$7)),0,MAX(0,ROUND((INDEX($E280:$G280,Y$5)-SUMIFS(TF_Timer,TF_Tekniker,Y$4,TF_Dato,$A280))*2,0)/2)))</f>
        <v/>
      </c>
      <c r="Z280">
        <f>IF(OR(Z$4="",$A280&gt;TODAY()),0,IF(OR(INDEX($B280:$D280,Z$5)="F",AND(Z$6&gt;0,$A280&lt;Z$6),AND(Z$7&gt;0,$A280&gt;Z$7)),0,MAX(0,ROUND((INDEX($E280:$G280,Z$5)-SUMIFS(TF_Timer,TF_Tekniker,Z$4,TF_Dato,$A280))*2,0)/2)))</f>
        <v/>
      </c>
      <c r="AA280">
        <f>IF(OR(AA$4="",$A280&gt;TODAY()),0,IF(OR(INDEX($B280:$D280,AA$5)="F",AND(AA$6&gt;0,$A280&lt;AA$6),AND(AA$7&gt;0,$A280&gt;AA$7)),0,MAX(0,ROUND((INDEX($E280:$G280,AA$5)-SUMIFS(TF_Timer,TF_Tekniker,AA$4,TF_Dato,$A280))*2,0)/2)))</f>
        <v/>
      </c>
      <c r="AB280">
        <f>IF(OR(AB$4="",$A280&gt;TODAY()),0,IF(OR(INDEX($B280:$D280,AB$5)="F",AND(AB$6&gt;0,$A280&lt;AB$6),AND(AB$7&gt;0,$A280&gt;AB$7)),0,MAX(0,ROUND((INDEX($E280:$G280,AB$5)-SUMIFS(TF_Timer,TF_Tekniker,AB$4,TF_Dato,$A280))*2,0)/2)))</f>
        <v/>
      </c>
      <c r="AC280">
        <f>IF(OR(AC$4="",$A280&gt;TODAY()),0,IF(OR(INDEX($B280:$D280,AC$5)="F",AND(AC$6&gt;0,$A280&lt;AC$6),AND(AC$7&gt;0,$A280&gt;AC$7)),0,MAX(0,ROUND((INDEX($E280:$G280,AC$5)-SUMIFS(TF_Timer,TF_Tekniker,AC$4,TF_Dato,$A280))*2,0)/2)))</f>
        <v/>
      </c>
      <c r="AD280">
        <f>IF(OR(AD$4="",$A280&gt;TODAY()),0,IF(OR(INDEX($B280:$D280,AD$5)="F",AND(AD$6&gt;0,$A280&lt;AD$6),AND(AD$7&gt;0,$A280&gt;AD$7)),0,MAX(0,ROUND((INDEX($E280:$G280,AD$5)-SUMIFS(TF_Timer,TF_Tekniker,AD$4,TF_Dato,$A280))*2,0)/2)))</f>
        <v/>
      </c>
      <c r="AE280">
        <f>IF(OR(AE$4="",$A280&gt;TODAY()),0,IF(OR(INDEX($B280:$D280,AE$5)="F",AND(AE$6&gt;0,$A280&lt;AE$6),AND(AE$7&gt;0,$A280&gt;AE$7)),0,MAX(0,ROUND((INDEX($E280:$G280,AE$5)-SUMIFS(TF_Timer,TF_Tekniker,AE$4,TF_Dato,$A280))*2,0)/2)))</f>
        <v/>
      </c>
      <c r="AF280">
        <f>IF(OR(AF$4="",$A280&gt;TODAY()),0,IF(OR(INDEX($B280:$D280,AF$5)="F",AND(AF$6&gt;0,$A280&lt;AF$6),AND(AF$7&gt;0,$A280&gt;AF$7)),0,MAX(0,ROUND((INDEX($E280:$G280,AF$5)-SUMIFS(TF_Timer,TF_Tekniker,AF$4,TF_Dato,$A280))*2,0)/2)))</f>
        <v/>
      </c>
      <c r="AG280">
        <f>IF(OR(AG$4="",$A280&gt;TODAY()),0,IF(OR(INDEX($B280:$D280,AG$5)="F",AND(AG$6&gt;0,$A280&lt;AG$6),AND(AG$7&gt;0,$A280&gt;AG$7)),0,MAX(0,ROUND((INDEX($E280:$G280,AG$5)-SUMIFS(TF_Timer,TF_Tekniker,AG$4,TF_Dato,$A280))*2,0)/2)))</f>
        <v/>
      </c>
      <c r="AH280">
        <f>IF(OR(AH$4="",$A280&gt;TODAY()),0,IF(OR(INDEX($B280:$D280,AH$5)="F",AND(AH$6&gt;0,$A280&lt;AH$6),AND(AH$7&gt;0,$A280&gt;AH$7)),0,MAX(0,ROUND((INDEX($E280:$G280,AH$5)-SUMIFS(TF_Timer,TF_Tekniker,AH$4,TF_Dato,$A280))*2,0)/2)))</f>
        <v/>
      </c>
      <c r="AI280">
        <f>IF(OR(AI$4="",$A280&gt;TODAY()),0,IF(OR(INDEX($B280:$D280,AI$5)="F",AND(AI$6&gt;0,$A280&lt;AI$6),AND(AI$7&gt;0,$A280&gt;AI$7)),0,MAX(0,ROUND((INDEX($E280:$G280,AI$5)-SUMIFS(TF_Timer,TF_Tekniker,AI$4,TF_Dato,$A280))*2,0)/2)))</f>
        <v/>
      </c>
      <c r="AJ280">
        <f>IF(OR(AJ$4="",$A280&gt;TODAY()),0,IF(OR(INDEX($B280:$D280,AJ$5)="F",AND(AJ$6&gt;0,$A280&lt;AJ$6),AND(AJ$7&gt;0,$A280&gt;AJ$7)),0,MAX(0,ROUND((INDEX($E280:$G280,AJ$5)-SUMIFS(TF_Timer,TF_Tekniker,AJ$4,TF_Dato,$A280))*2,0)/2)))</f>
        <v/>
      </c>
      <c r="AK280">
        <f>IF(OR(AK$4="",$A280&gt;TODAY()),0,IF(OR(INDEX($B280:$D280,AK$5)="F",AND(AK$6&gt;0,$A280&lt;AK$6),AND(AK$7&gt;0,$A280&gt;AK$7)),0,MAX(0,ROUND((INDEX($E280:$G280,AK$5)-SUMIFS(TF_Timer,TF_Tekniker,AK$4,TF_Dato,$A280))*2,0)/2)))</f>
        <v/>
      </c>
      <c r="AL280">
        <f>IF(OR(AL$4="",$A280&gt;TODAY()),0,IF(OR(INDEX($B280:$D280,AL$5)="F",AND(AL$6&gt;0,$A280&lt;AL$6),AND(AL$7&gt;0,$A280&gt;AL$7)),0,MAX(0,ROUND((INDEX($E280:$G280,AL$5)-SUMIFS(TF_Timer,TF_Tekniker,AL$4,TF_Dato,$A280))*2,0)/2)))</f>
        <v/>
      </c>
      <c r="AM280">
        <f>IF(OR(AM$4="",$A280&gt;TODAY()),0,IF(OR(INDEX($B280:$D280,AM$5)="F",AND(AM$6&gt;0,$A280&lt;AM$6),AND(AM$7&gt;0,$A280&gt;AM$7)),0,MAX(0,ROUND((INDEX($E280:$G280,AM$5)-SUMIFS(TF_Timer,TF_Tekniker,AM$4,TF_Dato,$A280))*2,0)/2)))</f>
        <v/>
      </c>
      <c r="AN280">
        <f>IF(OR(AN$4="",$A280&gt;TODAY()),0,IF(OR(INDEX($B280:$D280,AN$5)="F",AND(AN$6&gt;0,$A280&lt;AN$6),AND(AN$7&gt;0,$A280&gt;AN$7)),0,MAX(0,ROUND((INDEX($E280:$G280,AN$5)-SUMIFS(TF_Timer,TF_Tekniker,AN$4,TF_Dato,$A280))*2,0)/2)))</f>
        <v/>
      </c>
      <c r="AO280">
        <f>IF(OR(AO$4="",$A280&gt;TODAY()),0,IF(OR(INDEX($B280:$D280,AO$5)="F",AND(AO$6&gt;0,$A280&lt;AO$6),AND(AO$7&gt;0,$A280&gt;AO$7)),0,MAX(0,ROUND((INDEX($E280:$G280,AO$5)-SUMIFS(TF_Timer,TF_Tekniker,AO$4,TF_Dato,$A280))*2,0)/2)))</f>
        <v/>
      </c>
      <c r="AP280">
        <f>IF(OR(AP$4="",$A280&gt;TODAY()),0,IF(OR(INDEX($B280:$D280,AP$5)="F",AND(AP$6&gt;0,$A280&lt;AP$6),AND(AP$7&gt;0,$A280&gt;AP$7)),0,MAX(0,ROUND((INDEX($E280:$G280,AP$5)-SUMIFS(TF_Timer,TF_Tekniker,AP$4,TF_Dato,$A280))*2,0)/2)))</f>
        <v/>
      </c>
      <c r="AQ280">
        <f>IF(OR(AQ$4="",$A280&gt;TODAY()),0,IF(OR(INDEX($B280:$D280,AQ$5)="F",AND(AQ$6&gt;0,$A280&lt;AQ$6),AND(AQ$7&gt;0,$A280&gt;AQ$7)),0,MAX(0,ROUND((INDEX($E280:$G280,AQ$5)-SUMIFS(TF_Timer,TF_Tekniker,AQ$4,TF_Dato,$A280))*2,0)/2)))</f>
        <v/>
      </c>
      <c r="AR280">
        <f>IF(OR(AR$4="",$A280&gt;TODAY()),0,IF(OR(INDEX($B280:$D280,AR$5)="F",AND(AR$6&gt;0,$A280&lt;AR$6),AND(AR$7&gt;0,$A280&gt;AR$7)),0,MAX(0,ROUND((INDEX($E280:$G280,AR$5)-SUMIFS(TF_Timer,TF_Tekniker,AR$4,TF_Dato,$A280))*2,0)/2)))</f>
        <v/>
      </c>
      <c r="AS280">
        <f>IF(OR(AS$4="",$A280&gt;TODAY()),0,IF(OR(INDEX($B280:$D280,AS$5)="F",AND(AS$6&gt;0,$A280&lt;AS$6),AND(AS$7&gt;0,$A280&gt;AS$7)),0,MAX(0,ROUND((INDEX($E280:$G280,AS$5)-SUMIFS(TF_Timer,TF_Tekniker,AS$4,TF_Dato,$A280))*2,0)/2)))</f>
        <v/>
      </c>
      <c r="AT280">
        <f>IF(OR(AT$4="",$A280&gt;TODAY()),0,IF(OR(INDEX($B280:$D280,AT$5)="F",AND(AT$6&gt;0,$A280&lt;AT$6),AND(AT$7&gt;0,$A280&gt;AT$7)),0,MAX(0,ROUND((INDEX($E280:$G280,AT$5)-SUMIFS(TF_Timer,TF_Tekniker,AT$4,TF_Dato,$A280))*2,0)/2)))</f>
        <v/>
      </c>
      <c r="AU280">
        <f>IF(OR(AU$4="",$A280&gt;TODAY()),0,IF(OR(INDEX($B280:$D280,AU$5)="F",AND(AU$6&gt;0,$A280&lt;AU$6),AND(AU$7&gt;0,$A280&gt;AU$7)),0,MAX(0,ROUND((INDEX($E280:$G280,AU$5)-SUMIFS(TF_Timer,TF_Tekniker,AU$4,TF_Dato,$A280))*2,0)/2)))</f>
        <v/>
      </c>
      <c r="AV280">
        <f>IF(OR(AV$4="",$A280&gt;TODAY()),0,IF(OR(INDEX($B280:$D280,AV$5)="F",AND(AV$6&gt;0,$A280&lt;AV$6),AND(AV$7&gt;0,$A280&gt;AV$7)),0,MAX(0,ROUND((INDEX($E280:$G280,AV$5)-SUMIFS(TF_Timer,TF_Tekniker,AV$4,TF_Dato,$A280))*2,0)/2)))</f>
        <v/>
      </c>
      <c r="AW280">
        <f>IF(OR(AW$4="",$A280&gt;TODAY()),0,IF(OR(INDEX($B280:$D280,AW$5)="F",AND(AW$6&gt;0,$A280&lt;AW$6),AND(AW$7&gt;0,$A280&gt;AW$7)),0,MAX(0,ROUND((INDEX($E280:$G280,AW$5)-SUMIFS(TF_Timer,TF_Tekniker,AW$4,TF_Dato,$A280))*2,0)/2)))</f>
        <v/>
      </c>
      <c r="AX280">
        <f>IF(OR(AX$4="",$A280&gt;TODAY()),0,IF(OR(INDEX($B280:$D280,AX$5)="F",AND(AX$6&gt;0,$A280&lt;AX$6),AND(AX$7&gt;0,$A280&gt;AX$7)),0,MAX(0,ROUND((INDEX($E280:$G280,AX$5)-SUMIFS(TF_Timer,TF_Tekniker,AX$4,TF_Dato,$A280))*2,0)/2)))</f>
        <v/>
      </c>
      <c r="AY280">
        <f>IF(OR(AY$4="",$A280&gt;TODAY()),0,IF(OR(INDEX($B280:$D280,AY$5)="F",AND(AY$6&gt;0,$A280&lt;AY$6),AND(AY$7&gt;0,$A280&gt;AY$7)),0,MAX(0,ROUND((INDEX($E280:$G280,AY$5)-SUMIFS(TF_Timer,TF_Tekniker,AY$4,TF_Dato,$A280))*2,0)/2)))</f>
        <v/>
      </c>
      <c r="AZ280">
        <f>IF(OR(AZ$4="",$A280&gt;TODAY()),0,IF(OR(INDEX($B280:$D280,AZ$5)="F",AND(AZ$6&gt;0,$A280&lt;AZ$6),AND(AZ$7&gt;0,$A280&gt;AZ$7)),0,MAX(0,ROUND((INDEX($E280:$G280,AZ$5)-SUMIFS(TF_Timer,TF_Tekniker,AZ$4,TF_Dato,$A280))*2,0)/2)))</f>
        <v/>
      </c>
      <c r="BA280">
        <f>IF(OR(BA$4="",$A280&gt;TODAY()),0,IF(OR(INDEX($B280:$D280,BA$5)="F",AND(BA$6&gt;0,$A280&lt;BA$6),AND(BA$7&gt;0,$A280&gt;BA$7)),0,MAX(0,ROUND((INDEX($E280:$G280,BA$5)-SUMIFS(TF_Timer,TF_Tekniker,BA$4,TF_Dato,$A280))*2,0)/2)))</f>
        <v/>
      </c>
      <c r="BB280">
        <f>IF(OR(BB$4="",$A280&gt;TODAY()),0,IF(OR(INDEX($B280:$D280,BB$5)="F",AND(BB$6&gt;0,$A280&lt;BB$6),AND(BB$7&gt;0,$A280&gt;BB$7)),0,MAX(0,ROUND((INDEX($E280:$G280,BB$5)-SUMIFS(TF_Timer,TF_Tekniker,BB$4,TF_Dato,$A280))*2,0)/2)))</f>
        <v/>
      </c>
      <c r="BC280">
        <f>IF(OR(BC$4="",$A280&gt;TODAY()),0,IF(OR(INDEX($B280:$D280,BC$5)="F",AND(BC$6&gt;0,$A280&lt;BC$6),AND(BC$7&gt;0,$A280&gt;BC$7)),0,MAX(0,ROUND((INDEX($E280:$G280,BC$5)-SUMIFS(TF_Timer,TF_Tekniker,BC$4,TF_Dato,$A280))*2,0)/2)))</f>
        <v/>
      </c>
      <c r="BD280">
        <f>IF(OR(BD$4="",$A280&gt;TODAY()),0,IF(OR(INDEX($B280:$D280,BD$5)="F",AND(BD$6&gt;0,$A280&lt;BD$6),AND(BD$7&gt;0,$A280&gt;BD$7)),0,MAX(0,ROUND((INDEX($E280:$G280,BD$5)-SUMIFS(TF_Timer,TF_Tekniker,BD$4,TF_Dato,$A280))*2,0)/2)))</f>
        <v/>
      </c>
      <c r="BE280">
        <f>IF(OR(BE$4="",$A280&gt;TODAY()),0,IF(OR(INDEX($B280:$D280,BE$5)="F",AND(BE$6&gt;0,$A280&lt;BE$6),AND(BE$7&gt;0,$A280&gt;BE$7)),0,MAX(0,ROUND((INDEX($E280:$G280,BE$5)-SUMIFS(TF_Timer,TF_Tekniker,BE$4,TF_Dato,$A280))*2,0)/2)))</f>
        <v/>
      </c>
      <c r="BF280">
        <f>IF(OR(BF$4="",$A280&gt;TODAY()),0,IF(OR(INDEX($B280:$D280,BF$5)="F",AND(BF$6&gt;0,$A280&lt;BF$6),AND(BF$7&gt;0,$A280&gt;BF$7)),0,MAX(0,ROUND((INDEX($E280:$G280,BF$5)-SUMIFS(TF_Timer,TF_Tekniker,BF$4,TF_Dato,$A280))*2,0)/2)))</f>
        <v/>
      </c>
      <c r="BG280">
        <f>IF(OR(BG$4="",$A280&gt;TODAY()),0,IF(OR(INDEX($B280:$D280,BG$5)="F",AND(BG$6&gt;0,$A280&lt;BG$6),AND(BG$7&gt;0,$A280&gt;BG$7)),0,MAX(0,ROUND((INDEX($E280:$G280,BG$5)-SUMIFS(TF_Timer,TF_Tekniker,BG$4,TF_Dato,$A280))*2,0)/2)))</f>
        <v/>
      </c>
      <c r="BH280">
        <f>IF(OR(BH$4="",$A280&gt;TODAY()),0,IF(OR(INDEX($B280:$D280,BH$5)="F",AND(BH$6&gt;0,$A280&lt;BH$6),AND(BH$7&gt;0,$A280&gt;BH$7)),0,MAX(0,ROUND((INDEX($E280:$G280,BH$5)-SUMIFS(TF_Timer,TF_Tekniker,BH$4,TF_Dato,$A280))*2,0)/2)))</f>
        <v/>
      </c>
      <c r="BI280">
        <f>IF(OR(BI$4="",$A280&gt;TODAY()),0,IF(OR(INDEX($B280:$D280,BI$5)="F",AND(BI$6&gt;0,$A280&lt;BI$6),AND(BI$7&gt;0,$A280&gt;BI$7)),0,MAX(0,ROUND((INDEX($E280:$G280,BI$5)-SUMIFS(TF_Timer,TF_Tekniker,BI$4,TF_Dato,$A280))*2,0)/2)))</f>
        <v/>
      </c>
    </row>
    <row r="281">
      <c r="A281" s="64">
        <f>A280+1</f>
        <v/>
      </c>
      <c r="B281">
        <f>IF(MOD($A281-INDEX(SkiftStart,1),Syklus)&lt;DagK,"K",IF(MOD($A281-INDEX(SkiftStart,1),Syklus)&lt;DagK+DagH,"H",IF(MOD($A281-INDEX(SkiftStart,1),Syklus)&lt;DagK+DagH+DagD,"D","F")))</f>
        <v/>
      </c>
      <c r="C281">
        <f>IF(MOD($A281-INDEX(SkiftStart,2),Syklus)&lt;DagK,"K",IF(MOD($A281-INDEX(SkiftStart,2),Syklus)&lt;DagK+DagH,"H",IF(MOD($A281-INDEX(SkiftStart,2),Syklus)&lt;DagK+DagH+DagD,"D","F")))</f>
        <v/>
      </c>
      <c r="D281">
        <f>IF(MOD($A281-INDEX(SkiftStart,3),Syklus)&lt;DagK,"K",IF(MOD($A281-INDEX(SkiftStart,3),Syklus)&lt;DagK+DagH,"H",IF(MOD($A281-INDEX(SkiftStart,3),Syklus)&lt;DagK+DagH+DagD,"D","F")))</f>
        <v/>
      </c>
      <c r="E281">
        <f>IF(B281="F",0,IF(WEEKDAY($A281,2)=5,INDEX(TimerFr,MATCH(B281,FaseKode,0)),INDEX(TimerMT,MATCH(B281,FaseKode,0))))</f>
        <v/>
      </c>
      <c r="F281">
        <f>IF(C281="F",0,IF(WEEKDAY($A281,2)=5,INDEX(TimerFr,MATCH(C281,FaseKode,0)),INDEX(TimerMT,MATCH(C281,FaseKode,0))))</f>
        <v/>
      </c>
      <c r="G281">
        <f>IF(D281="F",0,IF(WEEKDAY($A281,2)=5,INDEX(TimerFr,MATCH(D281,FaseKode,0)),INDEX(TimerMT,MATCH(D281,FaseKode,0))))</f>
        <v/>
      </c>
      <c r="H281">
        <f>IF(OR(H$4="",$A281&gt;TODAY()),0,IF(OR(INDEX($B281:$D281,H$5)="F",AND(H$6&gt;0,$A281&lt;H$6),AND(H$7&gt;0,$A281&gt;H$7)),0,MAX(0,ROUND((INDEX($E281:$G281,H$5)-SUMIFS(TF_Timer,TF_Tekniker,H$4,TF_Dato,$A281))*2,0)/2)))</f>
        <v/>
      </c>
      <c r="I281">
        <f>IF(OR(I$4="",$A281&gt;TODAY()),0,IF(OR(INDEX($B281:$D281,I$5)="F",AND(I$6&gt;0,$A281&lt;I$6),AND(I$7&gt;0,$A281&gt;I$7)),0,MAX(0,ROUND((INDEX($E281:$G281,I$5)-SUMIFS(TF_Timer,TF_Tekniker,I$4,TF_Dato,$A281))*2,0)/2)))</f>
        <v/>
      </c>
      <c r="J281">
        <f>IF(OR(J$4="",$A281&gt;TODAY()),0,IF(OR(INDEX($B281:$D281,J$5)="F",AND(J$6&gt;0,$A281&lt;J$6),AND(J$7&gt;0,$A281&gt;J$7)),0,MAX(0,ROUND((INDEX($E281:$G281,J$5)-SUMIFS(TF_Timer,TF_Tekniker,J$4,TF_Dato,$A281))*2,0)/2)))</f>
        <v/>
      </c>
      <c r="K281">
        <f>IF(OR(K$4="",$A281&gt;TODAY()),0,IF(OR(INDEX($B281:$D281,K$5)="F",AND(K$6&gt;0,$A281&lt;K$6),AND(K$7&gt;0,$A281&gt;K$7)),0,MAX(0,ROUND((INDEX($E281:$G281,K$5)-SUMIFS(TF_Timer,TF_Tekniker,K$4,TF_Dato,$A281))*2,0)/2)))</f>
        <v/>
      </c>
      <c r="L281">
        <f>IF(OR(L$4="",$A281&gt;TODAY()),0,IF(OR(INDEX($B281:$D281,L$5)="F",AND(L$6&gt;0,$A281&lt;L$6),AND(L$7&gt;0,$A281&gt;L$7)),0,MAX(0,ROUND((INDEX($E281:$G281,L$5)-SUMIFS(TF_Timer,TF_Tekniker,L$4,TF_Dato,$A281))*2,0)/2)))</f>
        <v/>
      </c>
      <c r="M281">
        <f>IF(OR(M$4="",$A281&gt;TODAY()),0,IF(OR(INDEX($B281:$D281,M$5)="F",AND(M$6&gt;0,$A281&lt;M$6),AND(M$7&gt;0,$A281&gt;M$7)),0,MAX(0,ROUND((INDEX($E281:$G281,M$5)-SUMIFS(TF_Timer,TF_Tekniker,M$4,TF_Dato,$A281))*2,0)/2)))</f>
        <v/>
      </c>
      <c r="N281">
        <f>IF(OR(N$4="",$A281&gt;TODAY()),0,IF(OR(INDEX($B281:$D281,N$5)="F",AND(N$6&gt;0,$A281&lt;N$6),AND(N$7&gt;0,$A281&gt;N$7)),0,MAX(0,ROUND((INDEX($E281:$G281,N$5)-SUMIFS(TF_Timer,TF_Tekniker,N$4,TF_Dato,$A281))*2,0)/2)))</f>
        <v/>
      </c>
      <c r="O281">
        <f>IF(OR(O$4="",$A281&gt;TODAY()),0,IF(OR(INDEX($B281:$D281,O$5)="F",AND(O$6&gt;0,$A281&lt;O$6),AND(O$7&gt;0,$A281&gt;O$7)),0,MAX(0,ROUND((INDEX($E281:$G281,O$5)-SUMIFS(TF_Timer,TF_Tekniker,O$4,TF_Dato,$A281))*2,0)/2)))</f>
        <v/>
      </c>
      <c r="P281">
        <f>IF(OR(P$4="",$A281&gt;TODAY()),0,IF(OR(INDEX($B281:$D281,P$5)="F",AND(P$6&gt;0,$A281&lt;P$6),AND(P$7&gt;0,$A281&gt;P$7)),0,MAX(0,ROUND((INDEX($E281:$G281,P$5)-SUMIFS(TF_Timer,TF_Tekniker,P$4,TF_Dato,$A281))*2,0)/2)))</f>
        <v/>
      </c>
      <c r="Q281">
        <f>IF(OR(Q$4="",$A281&gt;TODAY()),0,IF(OR(INDEX($B281:$D281,Q$5)="F",AND(Q$6&gt;0,$A281&lt;Q$6),AND(Q$7&gt;0,$A281&gt;Q$7)),0,MAX(0,ROUND((INDEX($E281:$G281,Q$5)-SUMIFS(TF_Timer,TF_Tekniker,Q$4,TF_Dato,$A281))*2,0)/2)))</f>
        <v/>
      </c>
      <c r="R281">
        <f>IF(OR(R$4="",$A281&gt;TODAY()),0,IF(OR(INDEX($B281:$D281,R$5)="F",AND(R$6&gt;0,$A281&lt;R$6),AND(R$7&gt;0,$A281&gt;R$7)),0,MAX(0,ROUND((INDEX($E281:$G281,R$5)-SUMIFS(TF_Timer,TF_Tekniker,R$4,TF_Dato,$A281))*2,0)/2)))</f>
        <v/>
      </c>
      <c r="S281">
        <f>IF(OR(S$4="",$A281&gt;TODAY()),0,IF(OR(INDEX($B281:$D281,S$5)="F",AND(S$6&gt;0,$A281&lt;S$6),AND(S$7&gt;0,$A281&gt;S$7)),0,MAX(0,ROUND((INDEX($E281:$G281,S$5)-SUMIFS(TF_Timer,TF_Tekniker,S$4,TF_Dato,$A281))*2,0)/2)))</f>
        <v/>
      </c>
      <c r="T281">
        <f>IF(OR(T$4="",$A281&gt;TODAY()),0,IF(OR(INDEX($B281:$D281,T$5)="F",AND(T$6&gt;0,$A281&lt;T$6),AND(T$7&gt;0,$A281&gt;T$7)),0,MAX(0,ROUND((INDEX($E281:$G281,T$5)-SUMIFS(TF_Timer,TF_Tekniker,T$4,TF_Dato,$A281))*2,0)/2)))</f>
        <v/>
      </c>
      <c r="U281">
        <f>IF(OR(U$4="",$A281&gt;TODAY()),0,IF(OR(INDEX($B281:$D281,U$5)="F",AND(U$6&gt;0,$A281&lt;U$6),AND(U$7&gt;0,$A281&gt;U$7)),0,MAX(0,ROUND((INDEX($E281:$G281,U$5)-SUMIFS(TF_Timer,TF_Tekniker,U$4,TF_Dato,$A281))*2,0)/2)))</f>
        <v/>
      </c>
      <c r="V281">
        <f>IF(OR(V$4="",$A281&gt;TODAY()),0,IF(OR(INDEX($B281:$D281,V$5)="F",AND(V$6&gt;0,$A281&lt;V$6),AND(V$7&gt;0,$A281&gt;V$7)),0,MAX(0,ROUND((INDEX($E281:$G281,V$5)-SUMIFS(TF_Timer,TF_Tekniker,V$4,TF_Dato,$A281))*2,0)/2)))</f>
        <v/>
      </c>
      <c r="W281">
        <f>IF(OR(W$4="",$A281&gt;TODAY()),0,IF(OR(INDEX($B281:$D281,W$5)="F",AND(W$6&gt;0,$A281&lt;W$6),AND(W$7&gt;0,$A281&gt;W$7)),0,MAX(0,ROUND((INDEX($E281:$G281,W$5)-SUMIFS(TF_Timer,TF_Tekniker,W$4,TF_Dato,$A281))*2,0)/2)))</f>
        <v/>
      </c>
      <c r="X281">
        <f>IF(OR(X$4="",$A281&gt;TODAY()),0,IF(OR(INDEX($B281:$D281,X$5)="F",AND(X$6&gt;0,$A281&lt;X$6),AND(X$7&gt;0,$A281&gt;X$7)),0,MAX(0,ROUND((INDEX($E281:$G281,X$5)-SUMIFS(TF_Timer,TF_Tekniker,X$4,TF_Dato,$A281))*2,0)/2)))</f>
        <v/>
      </c>
      <c r="Y281">
        <f>IF(OR(Y$4="",$A281&gt;TODAY()),0,IF(OR(INDEX($B281:$D281,Y$5)="F",AND(Y$6&gt;0,$A281&lt;Y$6),AND(Y$7&gt;0,$A281&gt;Y$7)),0,MAX(0,ROUND((INDEX($E281:$G281,Y$5)-SUMIFS(TF_Timer,TF_Tekniker,Y$4,TF_Dato,$A281))*2,0)/2)))</f>
        <v/>
      </c>
      <c r="Z281">
        <f>IF(OR(Z$4="",$A281&gt;TODAY()),0,IF(OR(INDEX($B281:$D281,Z$5)="F",AND(Z$6&gt;0,$A281&lt;Z$6),AND(Z$7&gt;0,$A281&gt;Z$7)),0,MAX(0,ROUND((INDEX($E281:$G281,Z$5)-SUMIFS(TF_Timer,TF_Tekniker,Z$4,TF_Dato,$A281))*2,0)/2)))</f>
        <v/>
      </c>
      <c r="AA281">
        <f>IF(OR(AA$4="",$A281&gt;TODAY()),0,IF(OR(INDEX($B281:$D281,AA$5)="F",AND(AA$6&gt;0,$A281&lt;AA$6),AND(AA$7&gt;0,$A281&gt;AA$7)),0,MAX(0,ROUND((INDEX($E281:$G281,AA$5)-SUMIFS(TF_Timer,TF_Tekniker,AA$4,TF_Dato,$A281))*2,0)/2)))</f>
        <v/>
      </c>
      <c r="AB281">
        <f>IF(OR(AB$4="",$A281&gt;TODAY()),0,IF(OR(INDEX($B281:$D281,AB$5)="F",AND(AB$6&gt;0,$A281&lt;AB$6),AND(AB$7&gt;0,$A281&gt;AB$7)),0,MAX(0,ROUND((INDEX($E281:$G281,AB$5)-SUMIFS(TF_Timer,TF_Tekniker,AB$4,TF_Dato,$A281))*2,0)/2)))</f>
        <v/>
      </c>
      <c r="AC281">
        <f>IF(OR(AC$4="",$A281&gt;TODAY()),0,IF(OR(INDEX($B281:$D281,AC$5)="F",AND(AC$6&gt;0,$A281&lt;AC$6),AND(AC$7&gt;0,$A281&gt;AC$7)),0,MAX(0,ROUND((INDEX($E281:$G281,AC$5)-SUMIFS(TF_Timer,TF_Tekniker,AC$4,TF_Dato,$A281))*2,0)/2)))</f>
        <v/>
      </c>
      <c r="AD281">
        <f>IF(OR(AD$4="",$A281&gt;TODAY()),0,IF(OR(INDEX($B281:$D281,AD$5)="F",AND(AD$6&gt;0,$A281&lt;AD$6),AND(AD$7&gt;0,$A281&gt;AD$7)),0,MAX(0,ROUND((INDEX($E281:$G281,AD$5)-SUMIFS(TF_Timer,TF_Tekniker,AD$4,TF_Dato,$A281))*2,0)/2)))</f>
        <v/>
      </c>
      <c r="AE281">
        <f>IF(OR(AE$4="",$A281&gt;TODAY()),0,IF(OR(INDEX($B281:$D281,AE$5)="F",AND(AE$6&gt;0,$A281&lt;AE$6),AND(AE$7&gt;0,$A281&gt;AE$7)),0,MAX(0,ROUND((INDEX($E281:$G281,AE$5)-SUMIFS(TF_Timer,TF_Tekniker,AE$4,TF_Dato,$A281))*2,0)/2)))</f>
        <v/>
      </c>
      <c r="AF281">
        <f>IF(OR(AF$4="",$A281&gt;TODAY()),0,IF(OR(INDEX($B281:$D281,AF$5)="F",AND(AF$6&gt;0,$A281&lt;AF$6),AND(AF$7&gt;0,$A281&gt;AF$7)),0,MAX(0,ROUND((INDEX($E281:$G281,AF$5)-SUMIFS(TF_Timer,TF_Tekniker,AF$4,TF_Dato,$A281))*2,0)/2)))</f>
        <v/>
      </c>
      <c r="AG281">
        <f>IF(OR(AG$4="",$A281&gt;TODAY()),0,IF(OR(INDEX($B281:$D281,AG$5)="F",AND(AG$6&gt;0,$A281&lt;AG$6),AND(AG$7&gt;0,$A281&gt;AG$7)),0,MAX(0,ROUND((INDEX($E281:$G281,AG$5)-SUMIFS(TF_Timer,TF_Tekniker,AG$4,TF_Dato,$A281))*2,0)/2)))</f>
        <v/>
      </c>
      <c r="AH281">
        <f>IF(OR(AH$4="",$A281&gt;TODAY()),0,IF(OR(INDEX($B281:$D281,AH$5)="F",AND(AH$6&gt;0,$A281&lt;AH$6),AND(AH$7&gt;0,$A281&gt;AH$7)),0,MAX(0,ROUND((INDEX($E281:$G281,AH$5)-SUMIFS(TF_Timer,TF_Tekniker,AH$4,TF_Dato,$A281))*2,0)/2)))</f>
        <v/>
      </c>
      <c r="AI281">
        <f>IF(OR(AI$4="",$A281&gt;TODAY()),0,IF(OR(INDEX($B281:$D281,AI$5)="F",AND(AI$6&gt;0,$A281&lt;AI$6),AND(AI$7&gt;0,$A281&gt;AI$7)),0,MAX(0,ROUND((INDEX($E281:$G281,AI$5)-SUMIFS(TF_Timer,TF_Tekniker,AI$4,TF_Dato,$A281))*2,0)/2)))</f>
        <v/>
      </c>
      <c r="AJ281">
        <f>IF(OR(AJ$4="",$A281&gt;TODAY()),0,IF(OR(INDEX($B281:$D281,AJ$5)="F",AND(AJ$6&gt;0,$A281&lt;AJ$6),AND(AJ$7&gt;0,$A281&gt;AJ$7)),0,MAX(0,ROUND((INDEX($E281:$G281,AJ$5)-SUMIFS(TF_Timer,TF_Tekniker,AJ$4,TF_Dato,$A281))*2,0)/2)))</f>
        <v/>
      </c>
      <c r="AK281">
        <f>IF(OR(AK$4="",$A281&gt;TODAY()),0,IF(OR(INDEX($B281:$D281,AK$5)="F",AND(AK$6&gt;0,$A281&lt;AK$6),AND(AK$7&gt;0,$A281&gt;AK$7)),0,MAX(0,ROUND((INDEX($E281:$G281,AK$5)-SUMIFS(TF_Timer,TF_Tekniker,AK$4,TF_Dato,$A281))*2,0)/2)))</f>
        <v/>
      </c>
      <c r="AL281">
        <f>IF(OR(AL$4="",$A281&gt;TODAY()),0,IF(OR(INDEX($B281:$D281,AL$5)="F",AND(AL$6&gt;0,$A281&lt;AL$6),AND(AL$7&gt;0,$A281&gt;AL$7)),0,MAX(0,ROUND((INDEX($E281:$G281,AL$5)-SUMIFS(TF_Timer,TF_Tekniker,AL$4,TF_Dato,$A281))*2,0)/2)))</f>
        <v/>
      </c>
      <c r="AM281">
        <f>IF(OR(AM$4="",$A281&gt;TODAY()),0,IF(OR(INDEX($B281:$D281,AM$5)="F",AND(AM$6&gt;0,$A281&lt;AM$6),AND(AM$7&gt;0,$A281&gt;AM$7)),0,MAX(0,ROUND((INDEX($E281:$G281,AM$5)-SUMIFS(TF_Timer,TF_Tekniker,AM$4,TF_Dato,$A281))*2,0)/2)))</f>
        <v/>
      </c>
      <c r="AN281">
        <f>IF(OR(AN$4="",$A281&gt;TODAY()),0,IF(OR(INDEX($B281:$D281,AN$5)="F",AND(AN$6&gt;0,$A281&lt;AN$6),AND(AN$7&gt;0,$A281&gt;AN$7)),0,MAX(0,ROUND((INDEX($E281:$G281,AN$5)-SUMIFS(TF_Timer,TF_Tekniker,AN$4,TF_Dato,$A281))*2,0)/2)))</f>
        <v/>
      </c>
      <c r="AO281">
        <f>IF(OR(AO$4="",$A281&gt;TODAY()),0,IF(OR(INDEX($B281:$D281,AO$5)="F",AND(AO$6&gt;0,$A281&lt;AO$6),AND(AO$7&gt;0,$A281&gt;AO$7)),0,MAX(0,ROUND((INDEX($E281:$G281,AO$5)-SUMIFS(TF_Timer,TF_Tekniker,AO$4,TF_Dato,$A281))*2,0)/2)))</f>
        <v/>
      </c>
      <c r="AP281">
        <f>IF(OR(AP$4="",$A281&gt;TODAY()),0,IF(OR(INDEX($B281:$D281,AP$5)="F",AND(AP$6&gt;0,$A281&lt;AP$6),AND(AP$7&gt;0,$A281&gt;AP$7)),0,MAX(0,ROUND((INDEX($E281:$G281,AP$5)-SUMIFS(TF_Timer,TF_Tekniker,AP$4,TF_Dato,$A281))*2,0)/2)))</f>
        <v/>
      </c>
      <c r="AQ281">
        <f>IF(OR(AQ$4="",$A281&gt;TODAY()),0,IF(OR(INDEX($B281:$D281,AQ$5)="F",AND(AQ$6&gt;0,$A281&lt;AQ$6),AND(AQ$7&gt;0,$A281&gt;AQ$7)),0,MAX(0,ROUND((INDEX($E281:$G281,AQ$5)-SUMIFS(TF_Timer,TF_Tekniker,AQ$4,TF_Dato,$A281))*2,0)/2)))</f>
        <v/>
      </c>
      <c r="AR281">
        <f>IF(OR(AR$4="",$A281&gt;TODAY()),0,IF(OR(INDEX($B281:$D281,AR$5)="F",AND(AR$6&gt;0,$A281&lt;AR$6),AND(AR$7&gt;0,$A281&gt;AR$7)),0,MAX(0,ROUND((INDEX($E281:$G281,AR$5)-SUMIFS(TF_Timer,TF_Tekniker,AR$4,TF_Dato,$A281))*2,0)/2)))</f>
        <v/>
      </c>
      <c r="AS281">
        <f>IF(OR(AS$4="",$A281&gt;TODAY()),0,IF(OR(INDEX($B281:$D281,AS$5)="F",AND(AS$6&gt;0,$A281&lt;AS$6),AND(AS$7&gt;0,$A281&gt;AS$7)),0,MAX(0,ROUND((INDEX($E281:$G281,AS$5)-SUMIFS(TF_Timer,TF_Tekniker,AS$4,TF_Dato,$A281))*2,0)/2)))</f>
        <v/>
      </c>
      <c r="AT281">
        <f>IF(OR(AT$4="",$A281&gt;TODAY()),0,IF(OR(INDEX($B281:$D281,AT$5)="F",AND(AT$6&gt;0,$A281&lt;AT$6),AND(AT$7&gt;0,$A281&gt;AT$7)),0,MAX(0,ROUND((INDEX($E281:$G281,AT$5)-SUMIFS(TF_Timer,TF_Tekniker,AT$4,TF_Dato,$A281))*2,0)/2)))</f>
        <v/>
      </c>
      <c r="AU281">
        <f>IF(OR(AU$4="",$A281&gt;TODAY()),0,IF(OR(INDEX($B281:$D281,AU$5)="F",AND(AU$6&gt;0,$A281&lt;AU$6),AND(AU$7&gt;0,$A281&gt;AU$7)),0,MAX(0,ROUND((INDEX($E281:$G281,AU$5)-SUMIFS(TF_Timer,TF_Tekniker,AU$4,TF_Dato,$A281))*2,0)/2)))</f>
        <v/>
      </c>
      <c r="AV281">
        <f>IF(OR(AV$4="",$A281&gt;TODAY()),0,IF(OR(INDEX($B281:$D281,AV$5)="F",AND(AV$6&gt;0,$A281&lt;AV$6),AND(AV$7&gt;0,$A281&gt;AV$7)),0,MAX(0,ROUND((INDEX($E281:$G281,AV$5)-SUMIFS(TF_Timer,TF_Tekniker,AV$4,TF_Dato,$A281))*2,0)/2)))</f>
        <v/>
      </c>
      <c r="AW281">
        <f>IF(OR(AW$4="",$A281&gt;TODAY()),0,IF(OR(INDEX($B281:$D281,AW$5)="F",AND(AW$6&gt;0,$A281&lt;AW$6),AND(AW$7&gt;0,$A281&gt;AW$7)),0,MAX(0,ROUND((INDEX($E281:$G281,AW$5)-SUMIFS(TF_Timer,TF_Tekniker,AW$4,TF_Dato,$A281))*2,0)/2)))</f>
        <v/>
      </c>
      <c r="AX281">
        <f>IF(OR(AX$4="",$A281&gt;TODAY()),0,IF(OR(INDEX($B281:$D281,AX$5)="F",AND(AX$6&gt;0,$A281&lt;AX$6),AND(AX$7&gt;0,$A281&gt;AX$7)),0,MAX(0,ROUND((INDEX($E281:$G281,AX$5)-SUMIFS(TF_Timer,TF_Tekniker,AX$4,TF_Dato,$A281))*2,0)/2)))</f>
        <v/>
      </c>
      <c r="AY281">
        <f>IF(OR(AY$4="",$A281&gt;TODAY()),0,IF(OR(INDEX($B281:$D281,AY$5)="F",AND(AY$6&gt;0,$A281&lt;AY$6),AND(AY$7&gt;0,$A281&gt;AY$7)),0,MAX(0,ROUND((INDEX($E281:$G281,AY$5)-SUMIFS(TF_Timer,TF_Tekniker,AY$4,TF_Dato,$A281))*2,0)/2)))</f>
        <v/>
      </c>
      <c r="AZ281">
        <f>IF(OR(AZ$4="",$A281&gt;TODAY()),0,IF(OR(INDEX($B281:$D281,AZ$5)="F",AND(AZ$6&gt;0,$A281&lt;AZ$6),AND(AZ$7&gt;0,$A281&gt;AZ$7)),0,MAX(0,ROUND((INDEX($E281:$G281,AZ$5)-SUMIFS(TF_Timer,TF_Tekniker,AZ$4,TF_Dato,$A281))*2,0)/2)))</f>
        <v/>
      </c>
      <c r="BA281">
        <f>IF(OR(BA$4="",$A281&gt;TODAY()),0,IF(OR(INDEX($B281:$D281,BA$5)="F",AND(BA$6&gt;0,$A281&lt;BA$6),AND(BA$7&gt;0,$A281&gt;BA$7)),0,MAX(0,ROUND((INDEX($E281:$G281,BA$5)-SUMIFS(TF_Timer,TF_Tekniker,BA$4,TF_Dato,$A281))*2,0)/2)))</f>
        <v/>
      </c>
      <c r="BB281">
        <f>IF(OR(BB$4="",$A281&gt;TODAY()),0,IF(OR(INDEX($B281:$D281,BB$5)="F",AND(BB$6&gt;0,$A281&lt;BB$6),AND(BB$7&gt;0,$A281&gt;BB$7)),0,MAX(0,ROUND((INDEX($E281:$G281,BB$5)-SUMIFS(TF_Timer,TF_Tekniker,BB$4,TF_Dato,$A281))*2,0)/2)))</f>
        <v/>
      </c>
      <c r="BC281">
        <f>IF(OR(BC$4="",$A281&gt;TODAY()),0,IF(OR(INDEX($B281:$D281,BC$5)="F",AND(BC$6&gt;0,$A281&lt;BC$6),AND(BC$7&gt;0,$A281&gt;BC$7)),0,MAX(0,ROUND((INDEX($E281:$G281,BC$5)-SUMIFS(TF_Timer,TF_Tekniker,BC$4,TF_Dato,$A281))*2,0)/2)))</f>
        <v/>
      </c>
      <c r="BD281">
        <f>IF(OR(BD$4="",$A281&gt;TODAY()),0,IF(OR(INDEX($B281:$D281,BD$5)="F",AND(BD$6&gt;0,$A281&lt;BD$6),AND(BD$7&gt;0,$A281&gt;BD$7)),0,MAX(0,ROUND((INDEX($E281:$G281,BD$5)-SUMIFS(TF_Timer,TF_Tekniker,BD$4,TF_Dato,$A281))*2,0)/2)))</f>
        <v/>
      </c>
      <c r="BE281">
        <f>IF(OR(BE$4="",$A281&gt;TODAY()),0,IF(OR(INDEX($B281:$D281,BE$5)="F",AND(BE$6&gt;0,$A281&lt;BE$6),AND(BE$7&gt;0,$A281&gt;BE$7)),0,MAX(0,ROUND((INDEX($E281:$G281,BE$5)-SUMIFS(TF_Timer,TF_Tekniker,BE$4,TF_Dato,$A281))*2,0)/2)))</f>
        <v/>
      </c>
      <c r="BF281">
        <f>IF(OR(BF$4="",$A281&gt;TODAY()),0,IF(OR(INDEX($B281:$D281,BF$5)="F",AND(BF$6&gt;0,$A281&lt;BF$6),AND(BF$7&gt;0,$A281&gt;BF$7)),0,MAX(0,ROUND((INDEX($E281:$G281,BF$5)-SUMIFS(TF_Timer,TF_Tekniker,BF$4,TF_Dato,$A281))*2,0)/2)))</f>
        <v/>
      </c>
      <c r="BG281">
        <f>IF(OR(BG$4="",$A281&gt;TODAY()),0,IF(OR(INDEX($B281:$D281,BG$5)="F",AND(BG$6&gt;0,$A281&lt;BG$6),AND(BG$7&gt;0,$A281&gt;BG$7)),0,MAX(0,ROUND((INDEX($E281:$G281,BG$5)-SUMIFS(TF_Timer,TF_Tekniker,BG$4,TF_Dato,$A281))*2,0)/2)))</f>
        <v/>
      </c>
      <c r="BH281">
        <f>IF(OR(BH$4="",$A281&gt;TODAY()),0,IF(OR(INDEX($B281:$D281,BH$5)="F",AND(BH$6&gt;0,$A281&lt;BH$6),AND(BH$7&gt;0,$A281&gt;BH$7)),0,MAX(0,ROUND((INDEX($E281:$G281,BH$5)-SUMIFS(TF_Timer,TF_Tekniker,BH$4,TF_Dato,$A281))*2,0)/2)))</f>
        <v/>
      </c>
      <c r="BI281">
        <f>IF(OR(BI$4="",$A281&gt;TODAY()),0,IF(OR(INDEX($B281:$D281,BI$5)="F",AND(BI$6&gt;0,$A281&lt;BI$6),AND(BI$7&gt;0,$A281&gt;BI$7)),0,MAX(0,ROUND((INDEX($E281:$G281,BI$5)-SUMIFS(TF_Timer,TF_Tekniker,BI$4,TF_Dato,$A281))*2,0)/2)))</f>
        <v/>
      </c>
    </row>
    <row r="282">
      <c r="A282" s="64">
        <f>A281+1</f>
        <v/>
      </c>
      <c r="B282">
        <f>IF(MOD($A282-INDEX(SkiftStart,1),Syklus)&lt;DagK,"K",IF(MOD($A282-INDEX(SkiftStart,1),Syklus)&lt;DagK+DagH,"H",IF(MOD($A282-INDEX(SkiftStart,1),Syklus)&lt;DagK+DagH+DagD,"D","F")))</f>
        <v/>
      </c>
      <c r="C282">
        <f>IF(MOD($A282-INDEX(SkiftStart,2),Syklus)&lt;DagK,"K",IF(MOD($A282-INDEX(SkiftStart,2),Syklus)&lt;DagK+DagH,"H",IF(MOD($A282-INDEX(SkiftStart,2),Syklus)&lt;DagK+DagH+DagD,"D","F")))</f>
        <v/>
      </c>
      <c r="D282">
        <f>IF(MOD($A282-INDEX(SkiftStart,3),Syklus)&lt;DagK,"K",IF(MOD($A282-INDEX(SkiftStart,3),Syklus)&lt;DagK+DagH,"H",IF(MOD($A282-INDEX(SkiftStart,3),Syklus)&lt;DagK+DagH+DagD,"D","F")))</f>
        <v/>
      </c>
      <c r="E282">
        <f>IF(B282="F",0,IF(WEEKDAY($A282,2)=5,INDEX(TimerFr,MATCH(B282,FaseKode,0)),INDEX(TimerMT,MATCH(B282,FaseKode,0))))</f>
        <v/>
      </c>
      <c r="F282">
        <f>IF(C282="F",0,IF(WEEKDAY($A282,2)=5,INDEX(TimerFr,MATCH(C282,FaseKode,0)),INDEX(TimerMT,MATCH(C282,FaseKode,0))))</f>
        <v/>
      </c>
      <c r="G282">
        <f>IF(D282="F",0,IF(WEEKDAY($A282,2)=5,INDEX(TimerFr,MATCH(D282,FaseKode,0)),INDEX(TimerMT,MATCH(D282,FaseKode,0))))</f>
        <v/>
      </c>
      <c r="H282">
        <f>IF(OR(H$4="",$A282&gt;TODAY()),0,IF(OR(INDEX($B282:$D282,H$5)="F",AND(H$6&gt;0,$A282&lt;H$6),AND(H$7&gt;0,$A282&gt;H$7)),0,MAX(0,ROUND((INDEX($E282:$G282,H$5)-SUMIFS(TF_Timer,TF_Tekniker,H$4,TF_Dato,$A282))*2,0)/2)))</f>
        <v/>
      </c>
      <c r="I282">
        <f>IF(OR(I$4="",$A282&gt;TODAY()),0,IF(OR(INDEX($B282:$D282,I$5)="F",AND(I$6&gt;0,$A282&lt;I$6),AND(I$7&gt;0,$A282&gt;I$7)),0,MAX(0,ROUND((INDEX($E282:$G282,I$5)-SUMIFS(TF_Timer,TF_Tekniker,I$4,TF_Dato,$A282))*2,0)/2)))</f>
        <v/>
      </c>
      <c r="J282">
        <f>IF(OR(J$4="",$A282&gt;TODAY()),0,IF(OR(INDEX($B282:$D282,J$5)="F",AND(J$6&gt;0,$A282&lt;J$6),AND(J$7&gt;0,$A282&gt;J$7)),0,MAX(0,ROUND((INDEX($E282:$G282,J$5)-SUMIFS(TF_Timer,TF_Tekniker,J$4,TF_Dato,$A282))*2,0)/2)))</f>
        <v/>
      </c>
      <c r="K282">
        <f>IF(OR(K$4="",$A282&gt;TODAY()),0,IF(OR(INDEX($B282:$D282,K$5)="F",AND(K$6&gt;0,$A282&lt;K$6),AND(K$7&gt;0,$A282&gt;K$7)),0,MAX(0,ROUND((INDEX($E282:$G282,K$5)-SUMIFS(TF_Timer,TF_Tekniker,K$4,TF_Dato,$A282))*2,0)/2)))</f>
        <v/>
      </c>
      <c r="L282">
        <f>IF(OR(L$4="",$A282&gt;TODAY()),0,IF(OR(INDEX($B282:$D282,L$5)="F",AND(L$6&gt;0,$A282&lt;L$6),AND(L$7&gt;0,$A282&gt;L$7)),0,MAX(0,ROUND((INDEX($E282:$G282,L$5)-SUMIFS(TF_Timer,TF_Tekniker,L$4,TF_Dato,$A282))*2,0)/2)))</f>
        <v/>
      </c>
      <c r="M282">
        <f>IF(OR(M$4="",$A282&gt;TODAY()),0,IF(OR(INDEX($B282:$D282,M$5)="F",AND(M$6&gt;0,$A282&lt;M$6),AND(M$7&gt;0,$A282&gt;M$7)),0,MAX(0,ROUND((INDEX($E282:$G282,M$5)-SUMIFS(TF_Timer,TF_Tekniker,M$4,TF_Dato,$A282))*2,0)/2)))</f>
        <v/>
      </c>
      <c r="N282">
        <f>IF(OR(N$4="",$A282&gt;TODAY()),0,IF(OR(INDEX($B282:$D282,N$5)="F",AND(N$6&gt;0,$A282&lt;N$6),AND(N$7&gt;0,$A282&gt;N$7)),0,MAX(0,ROUND((INDEX($E282:$G282,N$5)-SUMIFS(TF_Timer,TF_Tekniker,N$4,TF_Dato,$A282))*2,0)/2)))</f>
        <v/>
      </c>
      <c r="O282">
        <f>IF(OR(O$4="",$A282&gt;TODAY()),0,IF(OR(INDEX($B282:$D282,O$5)="F",AND(O$6&gt;0,$A282&lt;O$6),AND(O$7&gt;0,$A282&gt;O$7)),0,MAX(0,ROUND((INDEX($E282:$G282,O$5)-SUMIFS(TF_Timer,TF_Tekniker,O$4,TF_Dato,$A282))*2,0)/2)))</f>
        <v/>
      </c>
      <c r="P282">
        <f>IF(OR(P$4="",$A282&gt;TODAY()),0,IF(OR(INDEX($B282:$D282,P$5)="F",AND(P$6&gt;0,$A282&lt;P$6),AND(P$7&gt;0,$A282&gt;P$7)),0,MAX(0,ROUND((INDEX($E282:$G282,P$5)-SUMIFS(TF_Timer,TF_Tekniker,P$4,TF_Dato,$A282))*2,0)/2)))</f>
        <v/>
      </c>
      <c r="Q282">
        <f>IF(OR(Q$4="",$A282&gt;TODAY()),0,IF(OR(INDEX($B282:$D282,Q$5)="F",AND(Q$6&gt;0,$A282&lt;Q$6),AND(Q$7&gt;0,$A282&gt;Q$7)),0,MAX(0,ROUND((INDEX($E282:$G282,Q$5)-SUMIFS(TF_Timer,TF_Tekniker,Q$4,TF_Dato,$A282))*2,0)/2)))</f>
        <v/>
      </c>
      <c r="R282">
        <f>IF(OR(R$4="",$A282&gt;TODAY()),0,IF(OR(INDEX($B282:$D282,R$5)="F",AND(R$6&gt;0,$A282&lt;R$6),AND(R$7&gt;0,$A282&gt;R$7)),0,MAX(0,ROUND((INDEX($E282:$G282,R$5)-SUMIFS(TF_Timer,TF_Tekniker,R$4,TF_Dato,$A282))*2,0)/2)))</f>
        <v/>
      </c>
      <c r="S282">
        <f>IF(OR(S$4="",$A282&gt;TODAY()),0,IF(OR(INDEX($B282:$D282,S$5)="F",AND(S$6&gt;0,$A282&lt;S$6),AND(S$7&gt;0,$A282&gt;S$7)),0,MAX(0,ROUND((INDEX($E282:$G282,S$5)-SUMIFS(TF_Timer,TF_Tekniker,S$4,TF_Dato,$A282))*2,0)/2)))</f>
        <v/>
      </c>
      <c r="T282">
        <f>IF(OR(T$4="",$A282&gt;TODAY()),0,IF(OR(INDEX($B282:$D282,T$5)="F",AND(T$6&gt;0,$A282&lt;T$6),AND(T$7&gt;0,$A282&gt;T$7)),0,MAX(0,ROUND((INDEX($E282:$G282,T$5)-SUMIFS(TF_Timer,TF_Tekniker,T$4,TF_Dato,$A282))*2,0)/2)))</f>
        <v/>
      </c>
      <c r="U282">
        <f>IF(OR(U$4="",$A282&gt;TODAY()),0,IF(OR(INDEX($B282:$D282,U$5)="F",AND(U$6&gt;0,$A282&lt;U$6),AND(U$7&gt;0,$A282&gt;U$7)),0,MAX(0,ROUND((INDEX($E282:$G282,U$5)-SUMIFS(TF_Timer,TF_Tekniker,U$4,TF_Dato,$A282))*2,0)/2)))</f>
        <v/>
      </c>
      <c r="V282">
        <f>IF(OR(V$4="",$A282&gt;TODAY()),0,IF(OR(INDEX($B282:$D282,V$5)="F",AND(V$6&gt;0,$A282&lt;V$6),AND(V$7&gt;0,$A282&gt;V$7)),0,MAX(0,ROUND((INDEX($E282:$G282,V$5)-SUMIFS(TF_Timer,TF_Tekniker,V$4,TF_Dato,$A282))*2,0)/2)))</f>
        <v/>
      </c>
      <c r="W282">
        <f>IF(OR(W$4="",$A282&gt;TODAY()),0,IF(OR(INDEX($B282:$D282,W$5)="F",AND(W$6&gt;0,$A282&lt;W$6),AND(W$7&gt;0,$A282&gt;W$7)),0,MAX(0,ROUND((INDEX($E282:$G282,W$5)-SUMIFS(TF_Timer,TF_Tekniker,W$4,TF_Dato,$A282))*2,0)/2)))</f>
        <v/>
      </c>
      <c r="X282">
        <f>IF(OR(X$4="",$A282&gt;TODAY()),0,IF(OR(INDEX($B282:$D282,X$5)="F",AND(X$6&gt;0,$A282&lt;X$6),AND(X$7&gt;0,$A282&gt;X$7)),0,MAX(0,ROUND((INDEX($E282:$G282,X$5)-SUMIFS(TF_Timer,TF_Tekniker,X$4,TF_Dato,$A282))*2,0)/2)))</f>
        <v/>
      </c>
      <c r="Y282">
        <f>IF(OR(Y$4="",$A282&gt;TODAY()),0,IF(OR(INDEX($B282:$D282,Y$5)="F",AND(Y$6&gt;0,$A282&lt;Y$6),AND(Y$7&gt;0,$A282&gt;Y$7)),0,MAX(0,ROUND((INDEX($E282:$G282,Y$5)-SUMIFS(TF_Timer,TF_Tekniker,Y$4,TF_Dato,$A282))*2,0)/2)))</f>
        <v/>
      </c>
      <c r="Z282">
        <f>IF(OR(Z$4="",$A282&gt;TODAY()),0,IF(OR(INDEX($B282:$D282,Z$5)="F",AND(Z$6&gt;0,$A282&lt;Z$6),AND(Z$7&gt;0,$A282&gt;Z$7)),0,MAX(0,ROUND((INDEX($E282:$G282,Z$5)-SUMIFS(TF_Timer,TF_Tekniker,Z$4,TF_Dato,$A282))*2,0)/2)))</f>
        <v/>
      </c>
      <c r="AA282">
        <f>IF(OR(AA$4="",$A282&gt;TODAY()),0,IF(OR(INDEX($B282:$D282,AA$5)="F",AND(AA$6&gt;0,$A282&lt;AA$6),AND(AA$7&gt;0,$A282&gt;AA$7)),0,MAX(0,ROUND((INDEX($E282:$G282,AA$5)-SUMIFS(TF_Timer,TF_Tekniker,AA$4,TF_Dato,$A282))*2,0)/2)))</f>
        <v/>
      </c>
      <c r="AB282">
        <f>IF(OR(AB$4="",$A282&gt;TODAY()),0,IF(OR(INDEX($B282:$D282,AB$5)="F",AND(AB$6&gt;0,$A282&lt;AB$6),AND(AB$7&gt;0,$A282&gt;AB$7)),0,MAX(0,ROUND((INDEX($E282:$G282,AB$5)-SUMIFS(TF_Timer,TF_Tekniker,AB$4,TF_Dato,$A282))*2,0)/2)))</f>
        <v/>
      </c>
      <c r="AC282">
        <f>IF(OR(AC$4="",$A282&gt;TODAY()),0,IF(OR(INDEX($B282:$D282,AC$5)="F",AND(AC$6&gt;0,$A282&lt;AC$6),AND(AC$7&gt;0,$A282&gt;AC$7)),0,MAX(0,ROUND((INDEX($E282:$G282,AC$5)-SUMIFS(TF_Timer,TF_Tekniker,AC$4,TF_Dato,$A282))*2,0)/2)))</f>
        <v/>
      </c>
      <c r="AD282">
        <f>IF(OR(AD$4="",$A282&gt;TODAY()),0,IF(OR(INDEX($B282:$D282,AD$5)="F",AND(AD$6&gt;0,$A282&lt;AD$6),AND(AD$7&gt;0,$A282&gt;AD$7)),0,MAX(0,ROUND((INDEX($E282:$G282,AD$5)-SUMIFS(TF_Timer,TF_Tekniker,AD$4,TF_Dato,$A282))*2,0)/2)))</f>
        <v/>
      </c>
      <c r="AE282">
        <f>IF(OR(AE$4="",$A282&gt;TODAY()),0,IF(OR(INDEX($B282:$D282,AE$5)="F",AND(AE$6&gt;0,$A282&lt;AE$6),AND(AE$7&gt;0,$A282&gt;AE$7)),0,MAX(0,ROUND((INDEX($E282:$G282,AE$5)-SUMIFS(TF_Timer,TF_Tekniker,AE$4,TF_Dato,$A282))*2,0)/2)))</f>
        <v/>
      </c>
      <c r="AF282">
        <f>IF(OR(AF$4="",$A282&gt;TODAY()),0,IF(OR(INDEX($B282:$D282,AF$5)="F",AND(AF$6&gt;0,$A282&lt;AF$6),AND(AF$7&gt;0,$A282&gt;AF$7)),0,MAX(0,ROUND((INDEX($E282:$G282,AF$5)-SUMIFS(TF_Timer,TF_Tekniker,AF$4,TF_Dato,$A282))*2,0)/2)))</f>
        <v/>
      </c>
      <c r="AG282">
        <f>IF(OR(AG$4="",$A282&gt;TODAY()),0,IF(OR(INDEX($B282:$D282,AG$5)="F",AND(AG$6&gt;0,$A282&lt;AG$6),AND(AG$7&gt;0,$A282&gt;AG$7)),0,MAX(0,ROUND((INDEX($E282:$G282,AG$5)-SUMIFS(TF_Timer,TF_Tekniker,AG$4,TF_Dato,$A282))*2,0)/2)))</f>
        <v/>
      </c>
      <c r="AH282">
        <f>IF(OR(AH$4="",$A282&gt;TODAY()),0,IF(OR(INDEX($B282:$D282,AH$5)="F",AND(AH$6&gt;0,$A282&lt;AH$6),AND(AH$7&gt;0,$A282&gt;AH$7)),0,MAX(0,ROUND((INDEX($E282:$G282,AH$5)-SUMIFS(TF_Timer,TF_Tekniker,AH$4,TF_Dato,$A282))*2,0)/2)))</f>
        <v/>
      </c>
      <c r="AI282">
        <f>IF(OR(AI$4="",$A282&gt;TODAY()),0,IF(OR(INDEX($B282:$D282,AI$5)="F",AND(AI$6&gt;0,$A282&lt;AI$6),AND(AI$7&gt;0,$A282&gt;AI$7)),0,MAX(0,ROUND((INDEX($E282:$G282,AI$5)-SUMIFS(TF_Timer,TF_Tekniker,AI$4,TF_Dato,$A282))*2,0)/2)))</f>
        <v/>
      </c>
      <c r="AJ282">
        <f>IF(OR(AJ$4="",$A282&gt;TODAY()),0,IF(OR(INDEX($B282:$D282,AJ$5)="F",AND(AJ$6&gt;0,$A282&lt;AJ$6),AND(AJ$7&gt;0,$A282&gt;AJ$7)),0,MAX(0,ROUND((INDEX($E282:$G282,AJ$5)-SUMIFS(TF_Timer,TF_Tekniker,AJ$4,TF_Dato,$A282))*2,0)/2)))</f>
        <v/>
      </c>
      <c r="AK282">
        <f>IF(OR(AK$4="",$A282&gt;TODAY()),0,IF(OR(INDEX($B282:$D282,AK$5)="F",AND(AK$6&gt;0,$A282&lt;AK$6),AND(AK$7&gt;0,$A282&gt;AK$7)),0,MAX(0,ROUND((INDEX($E282:$G282,AK$5)-SUMIFS(TF_Timer,TF_Tekniker,AK$4,TF_Dato,$A282))*2,0)/2)))</f>
        <v/>
      </c>
      <c r="AL282">
        <f>IF(OR(AL$4="",$A282&gt;TODAY()),0,IF(OR(INDEX($B282:$D282,AL$5)="F",AND(AL$6&gt;0,$A282&lt;AL$6),AND(AL$7&gt;0,$A282&gt;AL$7)),0,MAX(0,ROUND((INDEX($E282:$G282,AL$5)-SUMIFS(TF_Timer,TF_Tekniker,AL$4,TF_Dato,$A282))*2,0)/2)))</f>
        <v/>
      </c>
      <c r="AM282">
        <f>IF(OR(AM$4="",$A282&gt;TODAY()),0,IF(OR(INDEX($B282:$D282,AM$5)="F",AND(AM$6&gt;0,$A282&lt;AM$6),AND(AM$7&gt;0,$A282&gt;AM$7)),0,MAX(0,ROUND((INDEX($E282:$G282,AM$5)-SUMIFS(TF_Timer,TF_Tekniker,AM$4,TF_Dato,$A282))*2,0)/2)))</f>
        <v/>
      </c>
      <c r="AN282">
        <f>IF(OR(AN$4="",$A282&gt;TODAY()),0,IF(OR(INDEX($B282:$D282,AN$5)="F",AND(AN$6&gt;0,$A282&lt;AN$6),AND(AN$7&gt;0,$A282&gt;AN$7)),0,MAX(0,ROUND((INDEX($E282:$G282,AN$5)-SUMIFS(TF_Timer,TF_Tekniker,AN$4,TF_Dato,$A282))*2,0)/2)))</f>
        <v/>
      </c>
      <c r="AO282">
        <f>IF(OR(AO$4="",$A282&gt;TODAY()),0,IF(OR(INDEX($B282:$D282,AO$5)="F",AND(AO$6&gt;0,$A282&lt;AO$6),AND(AO$7&gt;0,$A282&gt;AO$7)),0,MAX(0,ROUND((INDEX($E282:$G282,AO$5)-SUMIFS(TF_Timer,TF_Tekniker,AO$4,TF_Dato,$A282))*2,0)/2)))</f>
        <v/>
      </c>
      <c r="AP282">
        <f>IF(OR(AP$4="",$A282&gt;TODAY()),0,IF(OR(INDEX($B282:$D282,AP$5)="F",AND(AP$6&gt;0,$A282&lt;AP$6),AND(AP$7&gt;0,$A282&gt;AP$7)),0,MAX(0,ROUND((INDEX($E282:$G282,AP$5)-SUMIFS(TF_Timer,TF_Tekniker,AP$4,TF_Dato,$A282))*2,0)/2)))</f>
        <v/>
      </c>
      <c r="AQ282">
        <f>IF(OR(AQ$4="",$A282&gt;TODAY()),0,IF(OR(INDEX($B282:$D282,AQ$5)="F",AND(AQ$6&gt;0,$A282&lt;AQ$6),AND(AQ$7&gt;0,$A282&gt;AQ$7)),0,MAX(0,ROUND((INDEX($E282:$G282,AQ$5)-SUMIFS(TF_Timer,TF_Tekniker,AQ$4,TF_Dato,$A282))*2,0)/2)))</f>
        <v/>
      </c>
      <c r="AR282">
        <f>IF(OR(AR$4="",$A282&gt;TODAY()),0,IF(OR(INDEX($B282:$D282,AR$5)="F",AND(AR$6&gt;0,$A282&lt;AR$6),AND(AR$7&gt;0,$A282&gt;AR$7)),0,MAX(0,ROUND((INDEX($E282:$G282,AR$5)-SUMIFS(TF_Timer,TF_Tekniker,AR$4,TF_Dato,$A282))*2,0)/2)))</f>
        <v/>
      </c>
      <c r="AS282">
        <f>IF(OR(AS$4="",$A282&gt;TODAY()),0,IF(OR(INDEX($B282:$D282,AS$5)="F",AND(AS$6&gt;0,$A282&lt;AS$6),AND(AS$7&gt;0,$A282&gt;AS$7)),0,MAX(0,ROUND((INDEX($E282:$G282,AS$5)-SUMIFS(TF_Timer,TF_Tekniker,AS$4,TF_Dato,$A282))*2,0)/2)))</f>
        <v/>
      </c>
      <c r="AT282">
        <f>IF(OR(AT$4="",$A282&gt;TODAY()),0,IF(OR(INDEX($B282:$D282,AT$5)="F",AND(AT$6&gt;0,$A282&lt;AT$6),AND(AT$7&gt;0,$A282&gt;AT$7)),0,MAX(0,ROUND((INDEX($E282:$G282,AT$5)-SUMIFS(TF_Timer,TF_Tekniker,AT$4,TF_Dato,$A282))*2,0)/2)))</f>
        <v/>
      </c>
      <c r="AU282">
        <f>IF(OR(AU$4="",$A282&gt;TODAY()),0,IF(OR(INDEX($B282:$D282,AU$5)="F",AND(AU$6&gt;0,$A282&lt;AU$6),AND(AU$7&gt;0,$A282&gt;AU$7)),0,MAX(0,ROUND((INDEX($E282:$G282,AU$5)-SUMIFS(TF_Timer,TF_Tekniker,AU$4,TF_Dato,$A282))*2,0)/2)))</f>
        <v/>
      </c>
      <c r="AV282">
        <f>IF(OR(AV$4="",$A282&gt;TODAY()),0,IF(OR(INDEX($B282:$D282,AV$5)="F",AND(AV$6&gt;0,$A282&lt;AV$6),AND(AV$7&gt;0,$A282&gt;AV$7)),0,MAX(0,ROUND((INDEX($E282:$G282,AV$5)-SUMIFS(TF_Timer,TF_Tekniker,AV$4,TF_Dato,$A282))*2,0)/2)))</f>
        <v/>
      </c>
      <c r="AW282">
        <f>IF(OR(AW$4="",$A282&gt;TODAY()),0,IF(OR(INDEX($B282:$D282,AW$5)="F",AND(AW$6&gt;0,$A282&lt;AW$6),AND(AW$7&gt;0,$A282&gt;AW$7)),0,MAX(0,ROUND((INDEX($E282:$G282,AW$5)-SUMIFS(TF_Timer,TF_Tekniker,AW$4,TF_Dato,$A282))*2,0)/2)))</f>
        <v/>
      </c>
      <c r="AX282">
        <f>IF(OR(AX$4="",$A282&gt;TODAY()),0,IF(OR(INDEX($B282:$D282,AX$5)="F",AND(AX$6&gt;0,$A282&lt;AX$6),AND(AX$7&gt;0,$A282&gt;AX$7)),0,MAX(0,ROUND((INDEX($E282:$G282,AX$5)-SUMIFS(TF_Timer,TF_Tekniker,AX$4,TF_Dato,$A282))*2,0)/2)))</f>
        <v/>
      </c>
      <c r="AY282">
        <f>IF(OR(AY$4="",$A282&gt;TODAY()),0,IF(OR(INDEX($B282:$D282,AY$5)="F",AND(AY$6&gt;0,$A282&lt;AY$6),AND(AY$7&gt;0,$A282&gt;AY$7)),0,MAX(0,ROUND((INDEX($E282:$G282,AY$5)-SUMIFS(TF_Timer,TF_Tekniker,AY$4,TF_Dato,$A282))*2,0)/2)))</f>
        <v/>
      </c>
      <c r="AZ282">
        <f>IF(OR(AZ$4="",$A282&gt;TODAY()),0,IF(OR(INDEX($B282:$D282,AZ$5)="F",AND(AZ$6&gt;0,$A282&lt;AZ$6),AND(AZ$7&gt;0,$A282&gt;AZ$7)),0,MAX(0,ROUND((INDEX($E282:$G282,AZ$5)-SUMIFS(TF_Timer,TF_Tekniker,AZ$4,TF_Dato,$A282))*2,0)/2)))</f>
        <v/>
      </c>
      <c r="BA282">
        <f>IF(OR(BA$4="",$A282&gt;TODAY()),0,IF(OR(INDEX($B282:$D282,BA$5)="F",AND(BA$6&gt;0,$A282&lt;BA$6),AND(BA$7&gt;0,$A282&gt;BA$7)),0,MAX(0,ROUND((INDEX($E282:$G282,BA$5)-SUMIFS(TF_Timer,TF_Tekniker,BA$4,TF_Dato,$A282))*2,0)/2)))</f>
        <v/>
      </c>
      <c r="BB282">
        <f>IF(OR(BB$4="",$A282&gt;TODAY()),0,IF(OR(INDEX($B282:$D282,BB$5)="F",AND(BB$6&gt;0,$A282&lt;BB$6),AND(BB$7&gt;0,$A282&gt;BB$7)),0,MAX(0,ROUND((INDEX($E282:$G282,BB$5)-SUMIFS(TF_Timer,TF_Tekniker,BB$4,TF_Dato,$A282))*2,0)/2)))</f>
        <v/>
      </c>
      <c r="BC282">
        <f>IF(OR(BC$4="",$A282&gt;TODAY()),0,IF(OR(INDEX($B282:$D282,BC$5)="F",AND(BC$6&gt;0,$A282&lt;BC$6),AND(BC$7&gt;0,$A282&gt;BC$7)),0,MAX(0,ROUND((INDEX($E282:$G282,BC$5)-SUMIFS(TF_Timer,TF_Tekniker,BC$4,TF_Dato,$A282))*2,0)/2)))</f>
        <v/>
      </c>
      <c r="BD282">
        <f>IF(OR(BD$4="",$A282&gt;TODAY()),0,IF(OR(INDEX($B282:$D282,BD$5)="F",AND(BD$6&gt;0,$A282&lt;BD$6),AND(BD$7&gt;0,$A282&gt;BD$7)),0,MAX(0,ROUND((INDEX($E282:$G282,BD$5)-SUMIFS(TF_Timer,TF_Tekniker,BD$4,TF_Dato,$A282))*2,0)/2)))</f>
        <v/>
      </c>
      <c r="BE282">
        <f>IF(OR(BE$4="",$A282&gt;TODAY()),0,IF(OR(INDEX($B282:$D282,BE$5)="F",AND(BE$6&gt;0,$A282&lt;BE$6),AND(BE$7&gt;0,$A282&gt;BE$7)),0,MAX(0,ROUND((INDEX($E282:$G282,BE$5)-SUMIFS(TF_Timer,TF_Tekniker,BE$4,TF_Dato,$A282))*2,0)/2)))</f>
        <v/>
      </c>
      <c r="BF282">
        <f>IF(OR(BF$4="",$A282&gt;TODAY()),0,IF(OR(INDEX($B282:$D282,BF$5)="F",AND(BF$6&gt;0,$A282&lt;BF$6),AND(BF$7&gt;0,$A282&gt;BF$7)),0,MAX(0,ROUND((INDEX($E282:$G282,BF$5)-SUMIFS(TF_Timer,TF_Tekniker,BF$4,TF_Dato,$A282))*2,0)/2)))</f>
        <v/>
      </c>
      <c r="BG282">
        <f>IF(OR(BG$4="",$A282&gt;TODAY()),0,IF(OR(INDEX($B282:$D282,BG$5)="F",AND(BG$6&gt;0,$A282&lt;BG$6),AND(BG$7&gt;0,$A282&gt;BG$7)),0,MAX(0,ROUND((INDEX($E282:$G282,BG$5)-SUMIFS(TF_Timer,TF_Tekniker,BG$4,TF_Dato,$A282))*2,0)/2)))</f>
        <v/>
      </c>
      <c r="BH282">
        <f>IF(OR(BH$4="",$A282&gt;TODAY()),0,IF(OR(INDEX($B282:$D282,BH$5)="F",AND(BH$6&gt;0,$A282&lt;BH$6),AND(BH$7&gt;0,$A282&gt;BH$7)),0,MAX(0,ROUND((INDEX($E282:$G282,BH$5)-SUMIFS(TF_Timer,TF_Tekniker,BH$4,TF_Dato,$A282))*2,0)/2)))</f>
        <v/>
      </c>
      <c r="BI282">
        <f>IF(OR(BI$4="",$A282&gt;TODAY()),0,IF(OR(INDEX($B282:$D282,BI$5)="F",AND(BI$6&gt;0,$A282&lt;BI$6),AND(BI$7&gt;0,$A282&gt;BI$7)),0,MAX(0,ROUND((INDEX($E282:$G282,BI$5)-SUMIFS(TF_Timer,TF_Tekniker,BI$4,TF_Dato,$A282))*2,0)/2)))</f>
        <v/>
      </c>
    </row>
    <row r="283">
      <c r="A283" s="64">
        <f>A282+1</f>
        <v/>
      </c>
      <c r="B283">
        <f>IF(MOD($A283-INDEX(SkiftStart,1),Syklus)&lt;DagK,"K",IF(MOD($A283-INDEX(SkiftStart,1),Syklus)&lt;DagK+DagH,"H",IF(MOD($A283-INDEX(SkiftStart,1),Syklus)&lt;DagK+DagH+DagD,"D","F")))</f>
        <v/>
      </c>
      <c r="C283">
        <f>IF(MOD($A283-INDEX(SkiftStart,2),Syklus)&lt;DagK,"K",IF(MOD($A283-INDEX(SkiftStart,2),Syklus)&lt;DagK+DagH,"H",IF(MOD($A283-INDEX(SkiftStart,2),Syklus)&lt;DagK+DagH+DagD,"D","F")))</f>
        <v/>
      </c>
      <c r="D283">
        <f>IF(MOD($A283-INDEX(SkiftStart,3),Syklus)&lt;DagK,"K",IF(MOD($A283-INDEX(SkiftStart,3),Syklus)&lt;DagK+DagH,"H",IF(MOD($A283-INDEX(SkiftStart,3),Syklus)&lt;DagK+DagH+DagD,"D","F")))</f>
        <v/>
      </c>
      <c r="E283">
        <f>IF(B283="F",0,IF(WEEKDAY($A283,2)=5,INDEX(TimerFr,MATCH(B283,FaseKode,0)),INDEX(TimerMT,MATCH(B283,FaseKode,0))))</f>
        <v/>
      </c>
      <c r="F283">
        <f>IF(C283="F",0,IF(WEEKDAY($A283,2)=5,INDEX(TimerFr,MATCH(C283,FaseKode,0)),INDEX(TimerMT,MATCH(C283,FaseKode,0))))</f>
        <v/>
      </c>
      <c r="G283">
        <f>IF(D283="F",0,IF(WEEKDAY($A283,2)=5,INDEX(TimerFr,MATCH(D283,FaseKode,0)),INDEX(TimerMT,MATCH(D283,FaseKode,0))))</f>
        <v/>
      </c>
      <c r="H283">
        <f>IF(OR(H$4="",$A283&gt;TODAY()),0,IF(OR(INDEX($B283:$D283,H$5)="F",AND(H$6&gt;0,$A283&lt;H$6),AND(H$7&gt;0,$A283&gt;H$7)),0,MAX(0,ROUND((INDEX($E283:$G283,H$5)-SUMIFS(TF_Timer,TF_Tekniker,H$4,TF_Dato,$A283))*2,0)/2)))</f>
        <v/>
      </c>
      <c r="I283">
        <f>IF(OR(I$4="",$A283&gt;TODAY()),0,IF(OR(INDEX($B283:$D283,I$5)="F",AND(I$6&gt;0,$A283&lt;I$6),AND(I$7&gt;0,$A283&gt;I$7)),0,MAX(0,ROUND((INDEX($E283:$G283,I$5)-SUMIFS(TF_Timer,TF_Tekniker,I$4,TF_Dato,$A283))*2,0)/2)))</f>
        <v/>
      </c>
      <c r="J283">
        <f>IF(OR(J$4="",$A283&gt;TODAY()),0,IF(OR(INDEX($B283:$D283,J$5)="F",AND(J$6&gt;0,$A283&lt;J$6),AND(J$7&gt;0,$A283&gt;J$7)),0,MAX(0,ROUND((INDEX($E283:$G283,J$5)-SUMIFS(TF_Timer,TF_Tekniker,J$4,TF_Dato,$A283))*2,0)/2)))</f>
        <v/>
      </c>
      <c r="K283">
        <f>IF(OR(K$4="",$A283&gt;TODAY()),0,IF(OR(INDEX($B283:$D283,K$5)="F",AND(K$6&gt;0,$A283&lt;K$6),AND(K$7&gt;0,$A283&gt;K$7)),0,MAX(0,ROUND((INDEX($E283:$G283,K$5)-SUMIFS(TF_Timer,TF_Tekniker,K$4,TF_Dato,$A283))*2,0)/2)))</f>
        <v/>
      </c>
      <c r="L283">
        <f>IF(OR(L$4="",$A283&gt;TODAY()),0,IF(OR(INDEX($B283:$D283,L$5)="F",AND(L$6&gt;0,$A283&lt;L$6),AND(L$7&gt;0,$A283&gt;L$7)),0,MAX(0,ROUND((INDEX($E283:$G283,L$5)-SUMIFS(TF_Timer,TF_Tekniker,L$4,TF_Dato,$A283))*2,0)/2)))</f>
        <v/>
      </c>
      <c r="M283">
        <f>IF(OR(M$4="",$A283&gt;TODAY()),0,IF(OR(INDEX($B283:$D283,M$5)="F",AND(M$6&gt;0,$A283&lt;M$6),AND(M$7&gt;0,$A283&gt;M$7)),0,MAX(0,ROUND((INDEX($E283:$G283,M$5)-SUMIFS(TF_Timer,TF_Tekniker,M$4,TF_Dato,$A283))*2,0)/2)))</f>
        <v/>
      </c>
      <c r="N283">
        <f>IF(OR(N$4="",$A283&gt;TODAY()),0,IF(OR(INDEX($B283:$D283,N$5)="F",AND(N$6&gt;0,$A283&lt;N$6),AND(N$7&gt;0,$A283&gt;N$7)),0,MAX(0,ROUND((INDEX($E283:$G283,N$5)-SUMIFS(TF_Timer,TF_Tekniker,N$4,TF_Dato,$A283))*2,0)/2)))</f>
        <v/>
      </c>
      <c r="O283">
        <f>IF(OR(O$4="",$A283&gt;TODAY()),0,IF(OR(INDEX($B283:$D283,O$5)="F",AND(O$6&gt;0,$A283&lt;O$6),AND(O$7&gt;0,$A283&gt;O$7)),0,MAX(0,ROUND((INDEX($E283:$G283,O$5)-SUMIFS(TF_Timer,TF_Tekniker,O$4,TF_Dato,$A283))*2,0)/2)))</f>
        <v/>
      </c>
      <c r="P283">
        <f>IF(OR(P$4="",$A283&gt;TODAY()),0,IF(OR(INDEX($B283:$D283,P$5)="F",AND(P$6&gt;0,$A283&lt;P$6),AND(P$7&gt;0,$A283&gt;P$7)),0,MAX(0,ROUND((INDEX($E283:$G283,P$5)-SUMIFS(TF_Timer,TF_Tekniker,P$4,TF_Dato,$A283))*2,0)/2)))</f>
        <v/>
      </c>
      <c r="Q283">
        <f>IF(OR(Q$4="",$A283&gt;TODAY()),0,IF(OR(INDEX($B283:$D283,Q$5)="F",AND(Q$6&gt;0,$A283&lt;Q$6),AND(Q$7&gt;0,$A283&gt;Q$7)),0,MAX(0,ROUND((INDEX($E283:$G283,Q$5)-SUMIFS(TF_Timer,TF_Tekniker,Q$4,TF_Dato,$A283))*2,0)/2)))</f>
        <v/>
      </c>
      <c r="R283">
        <f>IF(OR(R$4="",$A283&gt;TODAY()),0,IF(OR(INDEX($B283:$D283,R$5)="F",AND(R$6&gt;0,$A283&lt;R$6),AND(R$7&gt;0,$A283&gt;R$7)),0,MAX(0,ROUND((INDEX($E283:$G283,R$5)-SUMIFS(TF_Timer,TF_Tekniker,R$4,TF_Dato,$A283))*2,0)/2)))</f>
        <v/>
      </c>
      <c r="S283">
        <f>IF(OR(S$4="",$A283&gt;TODAY()),0,IF(OR(INDEX($B283:$D283,S$5)="F",AND(S$6&gt;0,$A283&lt;S$6),AND(S$7&gt;0,$A283&gt;S$7)),0,MAX(0,ROUND((INDEX($E283:$G283,S$5)-SUMIFS(TF_Timer,TF_Tekniker,S$4,TF_Dato,$A283))*2,0)/2)))</f>
        <v/>
      </c>
      <c r="T283">
        <f>IF(OR(T$4="",$A283&gt;TODAY()),0,IF(OR(INDEX($B283:$D283,T$5)="F",AND(T$6&gt;0,$A283&lt;T$6),AND(T$7&gt;0,$A283&gt;T$7)),0,MAX(0,ROUND((INDEX($E283:$G283,T$5)-SUMIFS(TF_Timer,TF_Tekniker,T$4,TF_Dato,$A283))*2,0)/2)))</f>
        <v/>
      </c>
      <c r="U283">
        <f>IF(OR(U$4="",$A283&gt;TODAY()),0,IF(OR(INDEX($B283:$D283,U$5)="F",AND(U$6&gt;0,$A283&lt;U$6),AND(U$7&gt;0,$A283&gt;U$7)),0,MAX(0,ROUND((INDEX($E283:$G283,U$5)-SUMIFS(TF_Timer,TF_Tekniker,U$4,TF_Dato,$A283))*2,0)/2)))</f>
        <v/>
      </c>
      <c r="V283">
        <f>IF(OR(V$4="",$A283&gt;TODAY()),0,IF(OR(INDEX($B283:$D283,V$5)="F",AND(V$6&gt;0,$A283&lt;V$6),AND(V$7&gt;0,$A283&gt;V$7)),0,MAX(0,ROUND((INDEX($E283:$G283,V$5)-SUMIFS(TF_Timer,TF_Tekniker,V$4,TF_Dato,$A283))*2,0)/2)))</f>
        <v/>
      </c>
      <c r="W283">
        <f>IF(OR(W$4="",$A283&gt;TODAY()),0,IF(OR(INDEX($B283:$D283,W$5)="F",AND(W$6&gt;0,$A283&lt;W$6),AND(W$7&gt;0,$A283&gt;W$7)),0,MAX(0,ROUND((INDEX($E283:$G283,W$5)-SUMIFS(TF_Timer,TF_Tekniker,W$4,TF_Dato,$A283))*2,0)/2)))</f>
        <v/>
      </c>
      <c r="X283">
        <f>IF(OR(X$4="",$A283&gt;TODAY()),0,IF(OR(INDEX($B283:$D283,X$5)="F",AND(X$6&gt;0,$A283&lt;X$6),AND(X$7&gt;0,$A283&gt;X$7)),0,MAX(0,ROUND((INDEX($E283:$G283,X$5)-SUMIFS(TF_Timer,TF_Tekniker,X$4,TF_Dato,$A283))*2,0)/2)))</f>
        <v/>
      </c>
      <c r="Y283">
        <f>IF(OR(Y$4="",$A283&gt;TODAY()),0,IF(OR(INDEX($B283:$D283,Y$5)="F",AND(Y$6&gt;0,$A283&lt;Y$6),AND(Y$7&gt;0,$A283&gt;Y$7)),0,MAX(0,ROUND((INDEX($E283:$G283,Y$5)-SUMIFS(TF_Timer,TF_Tekniker,Y$4,TF_Dato,$A283))*2,0)/2)))</f>
        <v/>
      </c>
      <c r="Z283">
        <f>IF(OR(Z$4="",$A283&gt;TODAY()),0,IF(OR(INDEX($B283:$D283,Z$5)="F",AND(Z$6&gt;0,$A283&lt;Z$6),AND(Z$7&gt;0,$A283&gt;Z$7)),0,MAX(0,ROUND((INDEX($E283:$G283,Z$5)-SUMIFS(TF_Timer,TF_Tekniker,Z$4,TF_Dato,$A283))*2,0)/2)))</f>
        <v/>
      </c>
      <c r="AA283">
        <f>IF(OR(AA$4="",$A283&gt;TODAY()),0,IF(OR(INDEX($B283:$D283,AA$5)="F",AND(AA$6&gt;0,$A283&lt;AA$6),AND(AA$7&gt;0,$A283&gt;AA$7)),0,MAX(0,ROUND((INDEX($E283:$G283,AA$5)-SUMIFS(TF_Timer,TF_Tekniker,AA$4,TF_Dato,$A283))*2,0)/2)))</f>
        <v/>
      </c>
      <c r="AB283">
        <f>IF(OR(AB$4="",$A283&gt;TODAY()),0,IF(OR(INDEX($B283:$D283,AB$5)="F",AND(AB$6&gt;0,$A283&lt;AB$6),AND(AB$7&gt;0,$A283&gt;AB$7)),0,MAX(0,ROUND((INDEX($E283:$G283,AB$5)-SUMIFS(TF_Timer,TF_Tekniker,AB$4,TF_Dato,$A283))*2,0)/2)))</f>
        <v/>
      </c>
      <c r="AC283">
        <f>IF(OR(AC$4="",$A283&gt;TODAY()),0,IF(OR(INDEX($B283:$D283,AC$5)="F",AND(AC$6&gt;0,$A283&lt;AC$6),AND(AC$7&gt;0,$A283&gt;AC$7)),0,MAX(0,ROUND((INDEX($E283:$G283,AC$5)-SUMIFS(TF_Timer,TF_Tekniker,AC$4,TF_Dato,$A283))*2,0)/2)))</f>
        <v/>
      </c>
      <c r="AD283">
        <f>IF(OR(AD$4="",$A283&gt;TODAY()),0,IF(OR(INDEX($B283:$D283,AD$5)="F",AND(AD$6&gt;0,$A283&lt;AD$6),AND(AD$7&gt;0,$A283&gt;AD$7)),0,MAX(0,ROUND((INDEX($E283:$G283,AD$5)-SUMIFS(TF_Timer,TF_Tekniker,AD$4,TF_Dato,$A283))*2,0)/2)))</f>
        <v/>
      </c>
      <c r="AE283">
        <f>IF(OR(AE$4="",$A283&gt;TODAY()),0,IF(OR(INDEX($B283:$D283,AE$5)="F",AND(AE$6&gt;0,$A283&lt;AE$6),AND(AE$7&gt;0,$A283&gt;AE$7)),0,MAX(0,ROUND((INDEX($E283:$G283,AE$5)-SUMIFS(TF_Timer,TF_Tekniker,AE$4,TF_Dato,$A283))*2,0)/2)))</f>
        <v/>
      </c>
      <c r="AF283">
        <f>IF(OR(AF$4="",$A283&gt;TODAY()),0,IF(OR(INDEX($B283:$D283,AF$5)="F",AND(AF$6&gt;0,$A283&lt;AF$6),AND(AF$7&gt;0,$A283&gt;AF$7)),0,MAX(0,ROUND((INDEX($E283:$G283,AF$5)-SUMIFS(TF_Timer,TF_Tekniker,AF$4,TF_Dato,$A283))*2,0)/2)))</f>
        <v/>
      </c>
      <c r="AG283">
        <f>IF(OR(AG$4="",$A283&gt;TODAY()),0,IF(OR(INDEX($B283:$D283,AG$5)="F",AND(AG$6&gt;0,$A283&lt;AG$6),AND(AG$7&gt;0,$A283&gt;AG$7)),0,MAX(0,ROUND((INDEX($E283:$G283,AG$5)-SUMIFS(TF_Timer,TF_Tekniker,AG$4,TF_Dato,$A283))*2,0)/2)))</f>
        <v/>
      </c>
      <c r="AH283">
        <f>IF(OR(AH$4="",$A283&gt;TODAY()),0,IF(OR(INDEX($B283:$D283,AH$5)="F",AND(AH$6&gt;0,$A283&lt;AH$6),AND(AH$7&gt;0,$A283&gt;AH$7)),0,MAX(0,ROUND((INDEX($E283:$G283,AH$5)-SUMIFS(TF_Timer,TF_Tekniker,AH$4,TF_Dato,$A283))*2,0)/2)))</f>
        <v/>
      </c>
      <c r="AI283">
        <f>IF(OR(AI$4="",$A283&gt;TODAY()),0,IF(OR(INDEX($B283:$D283,AI$5)="F",AND(AI$6&gt;0,$A283&lt;AI$6),AND(AI$7&gt;0,$A283&gt;AI$7)),0,MAX(0,ROUND((INDEX($E283:$G283,AI$5)-SUMIFS(TF_Timer,TF_Tekniker,AI$4,TF_Dato,$A283))*2,0)/2)))</f>
        <v/>
      </c>
      <c r="AJ283">
        <f>IF(OR(AJ$4="",$A283&gt;TODAY()),0,IF(OR(INDEX($B283:$D283,AJ$5)="F",AND(AJ$6&gt;0,$A283&lt;AJ$6),AND(AJ$7&gt;0,$A283&gt;AJ$7)),0,MAX(0,ROUND((INDEX($E283:$G283,AJ$5)-SUMIFS(TF_Timer,TF_Tekniker,AJ$4,TF_Dato,$A283))*2,0)/2)))</f>
        <v/>
      </c>
      <c r="AK283">
        <f>IF(OR(AK$4="",$A283&gt;TODAY()),0,IF(OR(INDEX($B283:$D283,AK$5)="F",AND(AK$6&gt;0,$A283&lt;AK$6),AND(AK$7&gt;0,$A283&gt;AK$7)),0,MAX(0,ROUND((INDEX($E283:$G283,AK$5)-SUMIFS(TF_Timer,TF_Tekniker,AK$4,TF_Dato,$A283))*2,0)/2)))</f>
        <v/>
      </c>
      <c r="AL283">
        <f>IF(OR(AL$4="",$A283&gt;TODAY()),0,IF(OR(INDEX($B283:$D283,AL$5)="F",AND(AL$6&gt;0,$A283&lt;AL$6),AND(AL$7&gt;0,$A283&gt;AL$7)),0,MAX(0,ROUND((INDEX($E283:$G283,AL$5)-SUMIFS(TF_Timer,TF_Tekniker,AL$4,TF_Dato,$A283))*2,0)/2)))</f>
        <v/>
      </c>
      <c r="AM283">
        <f>IF(OR(AM$4="",$A283&gt;TODAY()),0,IF(OR(INDEX($B283:$D283,AM$5)="F",AND(AM$6&gt;0,$A283&lt;AM$6),AND(AM$7&gt;0,$A283&gt;AM$7)),0,MAX(0,ROUND((INDEX($E283:$G283,AM$5)-SUMIFS(TF_Timer,TF_Tekniker,AM$4,TF_Dato,$A283))*2,0)/2)))</f>
        <v/>
      </c>
      <c r="AN283">
        <f>IF(OR(AN$4="",$A283&gt;TODAY()),0,IF(OR(INDEX($B283:$D283,AN$5)="F",AND(AN$6&gt;0,$A283&lt;AN$6),AND(AN$7&gt;0,$A283&gt;AN$7)),0,MAX(0,ROUND((INDEX($E283:$G283,AN$5)-SUMIFS(TF_Timer,TF_Tekniker,AN$4,TF_Dato,$A283))*2,0)/2)))</f>
        <v/>
      </c>
      <c r="AO283">
        <f>IF(OR(AO$4="",$A283&gt;TODAY()),0,IF(OR(INDEX($B283:$D283,AO$5)="F",AND(AO$6&gt;0,$A283&lt;AO$6),AND(AO$7&gt;0,$A283&gt;AO$7)),0,MAX(0,ROUND((INDEX($E283:$G283,AO$5)-SUMIFS(TF_Timer,TF_Tekniker,AO$4,TF_Dato,$A283))*2,0)/2)))</f>
        <v/>
      </c>
      <c r="AP283">
        <f>IF(OR(AP$4="",$A283&gt;TODAY()),0,IF(OR(INDEX($B283:$D283,AP$5)="F",AND(AP$6&gt;0,$A283&lt;AP$6),AND(AP$7&gt;0,$A283&gt;AP$7)),0,MAX(0,ROUND((INDEX($E283:$G283,AP$5)-SUMIFS(TF_Timer,TF_Tekniker,AP$4,TF_Dato,$A283))*2,0)/2)))</f>
        <v/>
      </c>
      <c r="AQ283">
        <f>IF(OR(AQ$4="",$A283&gt;TODAY()),0,IF(OR(INDEX($B283:$D283,AQ$5)="F",AND(AQ$6&gt;0,$A283&lt;AQ$6),AND(AQ$7&gt;0,$A283&gt;AQ$7)),0,MAX(0,ROUND((INDEX($E283:$G283,AQ$5)-SUMIFS(TF_Timer,TF_Tekniker,AQ$4,TF_Dato,$A283))*2,0)/2)))</f>
        <v/>
      </c>
      <c r="AR283">
        <f>IF(OR(AR$4="",$A283&gt;TODAY()),0,IF(OR(INDEX($B283:$D283,AR$5)="F",AND(AR$6&gt;0,$A283&lt;AR$6),AND(AR$7&gt;0,$A283&gt;AR$7)),0,MAX(0,ROUND((INDEX($E283:$G283,AR$5)-SUMIFS(TF_Timer,TF_Tekniker,AR$4,TF_Dato,$A283))*2,0)/2)))</f>
        <v/>
      </c>
      <c r="AS283">
        <f>IF(OR(AS$4="",$A283&gt;TODAY()),0,IF(OR(INDEX($B283:$D283,AS$5)="F",AND(AS$6&gt;0,$A283&lt;AS$6),AND(AS$7&gt;0,$A283&gt;AS$7)),0,MAX(0,ROUND((INDEX($E283:$G283,AS$5)-SUMIFS(TF_Timer,TF_Tekniker,AS$4,TF_Dato,$A283))*2,0)/2)))</f>
        <v/>
      </c>
      <c r="AT283">
        <f>IF(OR(AT$4="",$A283&gt;TODAY()),0,IF(OR(INDEX($B283:$D283,AT$5)="F",AND(AT$6&gt;0,$A283&lt;AT$6),AND(AT$7&gt;0,$A283&gt;AT$7)),0,MAX(0,ROUND((INDEX($E283:$G283,AT$5)-SUMIFS(TF_Timer,TF_Tekniker,AT$4,TF_Dato,$A283))*2,0)/2)))</f>
        <v/>
      </c>
      <c r="AU283">
        <f>IF(OR(AU$4="",$A283&gt;TODAY()),0,IF(OR(INDEX($B283:$D283,AU$5)="F",AND(AU$6&gt;0,$A283&lt;AU$6),AND(AU$7&gt;0,$A283&gt;AU$7)),0,MAX(0,ROUND((INDEX($E283:$G283,AU$5)-SUMIFS(TF_Timer,TF_Tekniker,AU$4,TF_Dato,$A283))*2,0)/2)))</f>
        <v/>
      </c>
      <c r="AV283">
        <f>IF(OR(AV$4="",$A283&gt;TODAY()),0,IF(OR(INDEX($B283:$D283,AV$5)="F",AND(AV$6&gt;0,$A283&lt;AV$6),AND(AV$7&gt;0,$A283&gt;AV$7)),0,MAX(0,ROUND((INDEX($E283:$G283,AV$5)-SUMIFS(TF_Timer,TF_Tekniker,AV$4,TF_Dato,$A283))*2,0)/2)))</f>
        <v/>
      </c>
      <c r="AW283">
        <f>IF(OR(AW$4="",$A283&gt;TODAY()),0,IF(OR(INDEX($B283:$D283,AW$5)="F",AND(AW$6&gt;0,$A283&lt;AW$6),AND(AW$7&gt;0,$A283&gt;AW$7)),0,MAX(0,ROUND((INDEX($E283:$G283,AW$5)-SUMIFS(TF_Timer,TF_Tekniker,AW$4,TF_Dato,$A283))*2,0)/2)))</f>
        <v/>
      </c>
      <c r="AX283">
        <f>IF(OR(AX$4="",$A283&gt;TODAY()),0,IF(OR(INDEX($B283:$D283,AX$5)="F",AND(AX$6&gt;0,$A283&lt;AX$6),AND(AX$7&gt;0,$A283&gt;AX$7)),0,MAX(0,ROUND((INDEX($E283:$G283,AX$5)-SUMIFS(TF_Timer,TF_Tekniker,AX$4,TF_Dato,$A283))*2,0)/2)))</f>
        <v/>
      </c>
      <c r="AY283">
        <f>IF(OR(AY$4="",$A283&gt;TODAY()),0,IF(OR(INDEX($B283:$D283,AY$5)="F",AND(AY$6&gt;0,$A283&lt;AY$6),AND(AY$7&gt;0,$A283&gt;AY$7)),0,MAX(0,ROUND((INDEX($E283:$G283,AY$5)-SUMIFS(TF_Timer,TF_Tekniker,AY$4,TF_Dato,$A283))*2,0)/2)))</f>
        <v/>
      </c>
      <c r="AZ283">
        <f>IF(OR(AZ$4="",$A283&gt;TODAY()),0,IF(OR(INDEX($B283:$D283,AZ$5)="F",AND(AZ$6&gt;0,$A283&lt;AZ$6),AND(AZ$7&gt;0,$A283&gt;AZ$7)),0,MAX(0,ROUND((INDEX($E283:$G283,AZ$5)-SUMIFS(TF_Timer,TF_Tekniker,AZ$4,TF_Dato,$A283))*2,0)/2)))</f>
        <v/>
      </c>
      <c r="BA283">
        <f>IF(OR(BA$4="",$A283&gt;TODAY()),0,IF(OR(INDEX($B283:$D283,BA$5)="F",AND(BA$6&gt;0,$A283&lt;BA$6),AND(BA$7&gt;0,$A283&gt;BA$7)),0,MAX(0,ROUND((INDEX($E283:$G283,BA$5)-SUMIFS(TF_Timer,TF_Tekniker,BA$4,TF_Dato,$A283))*2,0)/2)))</f>
        <v/>
      </c>
      <c r="BB283">
        <f>IF(OR(BB$4="",$A283&gt;TODAY()),0,IF(OR(INDEX($B283:$D283,BB$5)="F",AND(BB$6&gt;0,$A283&lt;BB$6),AND(BB$7&gt;0,$A283&gt;BB$7)),0,MAX(0,ROUND((INDEX($E283:$G283,BB$5)-SUMIFS(TF_Timer,TF_Tekniker,BB$4,TF_Dato,$A283))*2,0)/2)))</f>
        <v/>
      </c>
      <c r="BC283">
        <f>IF(OR(BC$4="",$A283&gt;TODAY()),0,IF(OR(INDEX($B283:$D283,BC$5)="F",AND(BC$6&gt;0,$A283&lt;BC$6),AND(BC$7&gt;0,$A283&gt;BC$7)),0,MAX(0,ROUND((INDEX($E283:$G283,BC$5)-SUMIFS(TF_Timer,TF_Tekniker,BC$4,TF_Dato,$A283))*2,0)/2)))</f>
        <v/>
      </c>
      <c r="BD283">
        <f>IF(OR(BD$4="",$A283&gt;TODAY()),0,IF(OR(INDEX($B283:$D283,BD$5)="F",AND(BD$6&gt;0,$A283&lt;BD$6),AND(BD$7&gt;0,$A283&gt;BD$7)),0,MAX(0,ROUND((INDEX($E283:$G283,BD$5)-SUMIFS(TF_Timer,TF_Tekniker,BD$4,TF_Dato,$A283))*2,0)/2)))</f>
        <v/>
      </c>
      <c r="BE283">
        <f>IF(OR(BE$4="",$A283&gt;TODAY()),0,IF(OR(INDEX($B283:$D283,BE$5)="F",AND(BE$6&gt;0,$A283&lt;BE$6),AND(BE$7&gt;0,$A283&gt;BE$7)),0,MAX(0,ROUND((INDEX($E283:$G283,BE$5)-SUMIFS(TF_Timer,TF_Tekniker,BE$4,TF_Dato,$A283))*2,0)/2)))</f>
        <v/>
      </c>
      <c r="BF283">
        <f>IF(OR(BF$4="",$A283&gt;TODAY()),0,IF(OR(INDEX($B283:$D283,BF$5)="F",AND(BF$6&gt;0,$A283&lt;BF$6),AND(BF$7&gt;0,$A283&gt;BF$7)),0,MAX(0,ROUND((INDEX($E283:$G283,BF$5)-SUMIFS(TF_Timer,TF_Tekniker,BF$4,TF_Dato,$A283))*2,0)/2)))</f>
        <v/>
      </c>
      <c r="BG283">
        <f>IF(OR(BG$4="",$A283&gt;TODAY()),0,IF(OR(INDEX($B283:$D283,BG$5)="F",AND(BG$6&gt;0,$A283&lt;BG$6),AND(BG$7&gt;0,$A283&gt;BG$7)),0,MAX(0,ROUND((INDEX($E283:$G283,BG$5)-SUMIFS(TF_Timer,TF_Tekniker,BG$4,TF_Dato,$A283))*2,0)/2)))</f>
        <v/>
      </c>
      <c r="BH283">
        <f>IF(OR(BH$4="",$A283&gt;TODAY()),0,IF(OR(INDEX($B283:$D283,BH$5)="F",AND(BH$6&gt;0,$A283&lt;BH$6),AND(BH$7&gt;0,$A283&gt;BH$7)),0,MAX(0,ROUND((INDEX($E283:$G283,BH$5)-SUMIFS(TF_Timer,TF_Tekniker,BH$4,TF_Dato,$A283))*2,0)/2)))</f>
        <v/>
      </c>
      <c r="BI283">
        <f>IF(OR(BI$4="",$A283&gt;TODAY()),0,IF(OR(INDEX($B283:$D283,BI$5)="F",AND(BI$6&gt;0,$A283&lt;BI$6),AND(BI$7&gt;0,$A283&gt;BI$7)),0,MAX(0,ROUND((INDEX($E283:$G283,BI$5)-SUMIFS(TF_Timer,TF_Tekniker,BI$4,TF_Dato,$A283))*2,0)/2)))</f>
        <v/>
      </c>
    </row>
    <row r="284">
      <c r="A284" s="64">
        <f>A283+1</f>
        <v/>
      </c>
      <c r="B284">
        <f>IF(MOD($A284-INDEX(SkiftStart,1),Syklus)&lt;DagK,"K",IF(MOD($A284-INDEX(SkiftStart,1),Syklus)&lt;DagK+DagH,"H",IF(MOD($A284-INDEX(SkiftStart,1),Syklus)&lt;DagK+DagH+DagD,"D","F")))</f>
        <v/>
      </c>
      <c r="C284">
        <f>IF(MOD($A284-INDEX(SkiftStart,2),Syklus)&lt;DagK,"K",IF(MOD($A284-INDEX(SkiftStart,2),Syklus)&lt;DagK+DagH,"H",IF(MOD($A284-INDEX(SkiftStart,2),Syklus)&lt;DagK+DagH+DagD,"D","F")))</f>
        <v/>
      </c>
      <c r="D284">
        <f>IF(MOD($A284-INDEX(SkiftStart,3),Syklus)&lt;DagK,"K",IF(MOD($A284-INDEX(SkiftStart,3),Syklus)&lt;DagK+DagH,"H",IF(MOD($A284-INDEX(SkiftStart,3),Syklus)&lt;DagK+DagH+DagD,"D","F")))</f>
        <v/>
      </c>
      <c r="E284">
        <f>IF(B284="F",0,IF(WEEKDAY($A284,2)=5,INDEX(TimerFr,MATCH(B284,FaseKode,0)),INDEX(TimerMT,MATCH(B284,FaseKode,0))))</f>
        <v/>
      </c>
      <c r="F284">
        <f>IF(C284="F",0,IF(WEEKDAY($A284,2)=5,INDEX(TimerFr,MATCH(C284,FaseKode,0)),INDEX(TimerMT,MATCH(C284,FaseKode,0))))</f>
        <v/>
      </c>
      <c r="G284">
        <f>IF(D284="F",0,IF(WEEKDAY($A284,2)=5,INDEX(TimerFr,MATCH(D284,FaseKode,0)),INDEX(TimerMT,MATCH(D284,FaseKode,0))))</f>
        <v/>
      </c>
      <c r="H284">
        <f>IF(OR(H$4="",$A284&gt;TODAY()),0,IF(OR(INDEX($B284:$D284,H$5)="F",AND(H$6&gt;0,$A284&lt;H$6),AND(H$7&gt;0,$A284&gt;H$7)),0,MAX(0,ROUND((INDEX($E284:$G284,H$5)-SUMIFS(TF_Timer,TF_Tekniker,H$4,TF_Dato,$A284))*2,0)/2)))</f>
        <v/>
      </c>
      <c r="I284">
        <f>IF(OR(I$4="",$A284&gt;TODAY()),0,IF(OR(INDEX($B284:$D284,I$5)="F",AND(I$6&gt;0,$A284&lt;I$6),AND(I$7&gt;0,$A284&gt;I$7)),0,MAX(0,ROUND((INDEX($E284:$G284,I$5)-SUMIFS(TF_Timer,TF_Tekniker,I$4,TF_Dato,$A284))*2,0)/2)))</f>
        <v/>
      </c>
      <c r="J284">
        <f>IF(OR(J$4="",$A284&gt;TODAY()),0,IF(OR(INDEX($B284:$D284,J$5)="F",AND(J$6&gt;0,$A284&lt;J$6),AND(J$7&gt;0,$A284&gt;J$7)),0,MAX(0,ROUND((INDEX($E284:$G284,J$5)-SUMIFS(TF_Timer,TF_Tekniker,J$4,TF_Dato,$A284))*2,0)/2)))</f>
        <v/>
      </c>
      <c r="K284">
        <f>IF(OR(K$4="",$A284&gt;TODAY()),0,IF(OR(INDEX($B284:$D284,K$5)="F",AND(K$6&gt;0,$A284&lt;K$6),AND(K$7&gt;0,$A284&gt;K$7)),0,MAX(0,ROUND((INDEX($E284:$G284,K$5)-SUMIFS(TF_Timer,TF_Tekniker,K$4,TF_Dato,$A284))*2,0)/2)))</f>
        <v/>
      </c>
      <c r="L284">
        <f>IF(OR(L$4="",$A284&gt;TODAY()),0,IF(OR(INDEX($B284:$D284,L$5)="F",AND(L$6&gt;0,$A284&lt;L$6),AND(L$7&gt;0,$A284&gt;L$7)),0,MAX(0,ROUND((INDEX($E284:$G284,L$5)-SUMIFS(TF_Timer,TF_Tekniker,L$4,TF_Dato,$A284))*2,0)/2)))</f>
        <v/>
      </c>
      <c r="M284">
        <f>IF(OR(M$4="",$A284&gt;TODAY()),0,IF(OR(INDEX($B284:$D284,M$5)="F",AND(M$6&gt;0,$A284&lt;M$6),AND(M$7&gt;0,$A284&gt;M$7)),0,MAX(0,ROUND((INDEX($E284:$G284,M$5)-SUMIFS(TF_Timer,TF_Tekniker,M$4,TF_Dato,$A284))*2,0)/2)))</f>
        <v/>
      </c>
      <c r="N284">
        <f>IF(OR(N$4="",$A284&gt;TODAY()),0,IF(OR(INDEX($B284:$D284,N$5)="F",AND(N$6&gt;0,$A284&lt;N$6),AND(N$7&gt;0,$A284&gt;N$7)),0,MAX(0,ROUND((INDEX($E284:$G284,N$5)-SUMIFS(TF_Timer,TF_Tekniker,N$4,TF_Dato,$A284))*2,0)/2)))</f>
        <v/>
      </c>
      <c r="O284">
        <f>IF(OR(O$4="",$A284&gt;TODAY()),0,IF(OR(INDEX($B284:$D284,O$5)="F",AND(O$6&gt;0,$A284&lt;O$6),AND(O$7&gt;0,$A284&gt;O$7)),0,MAX(0,ROUND((INDEX($E284:$G284,O$5)-SUMIFS(TF_Timer,TF_Tekniker,O$4,TF_Dato,$A284))*2,0)/2)))</f>
        <v/>
      </c>
      <c r="P284">
        <f>IF(OR(P$4="",$A284&gt;TODAY()),0,IF(OR(INDEX($B284:$D284,P$5)="F",AND(P$6&gt;0,$A284&lt;P$6),AND(P$7&gt;0,$A284&gt;P$7)),0,MAX(0,ROUND((INDEX($E284:$G284,P$5)-SUMIFS(TF_Timer,TF_Tekniker,P$4,TF_Dato,$A284))*2,0)/2)))</f>
        <v/>
      </c>
      <c r="Q284">
        <f>IF(OR(Q$4="",$A284&gt;TODAY()),0,IF(OR(INDEX($B284:$D284,Q$5)="F",AND(Q$6&gt;0,$A284&lt;Q$6),AND(Q$7&gt;0,$A284&gt;Q$7)),0,MAX(0,ROUND((INDEX($E284:$G284,Q$5)-SUMIFS(TF_Timer,TF_Tekniker,Q$4,TF_Dato,$A284))*2,0)/2)))</f>
        <v/>
      </c>
      <c r="R284">
        <f>IF(OR(R$4="",$A284&gt;TODAY()),0,IF(OR(INDEX($B284:$D284,R$5)="F",AND(R$6&gt;0,$A284&lt;R$6),AND(R$7&gt;0,$A284&gt;R$7)),0,MAX(0,ROUND((INDEX($E284:$G284,R$5)-SUMIFS(TF_Timer,TF_Tekniker,R$4,TF_Dato,$A284))*2,0)/2)))</f>
        <v/>
      </c>
      <c r="S284">
        <f>IF(OR(S$4="",$A284&gt;TODAY()),0,IF(OR(INDEX($B284:$D284,S$5)="F",AND(S$6&gt;0,$A284&lt;S$6),AND(S$7&gt;0,$A284&gt;S$7)),0,MAX(0,ROUND((INDEX($E284:$G284,S$5)-SUMIFS(TF_Timer,TF_Tekniker,S$4,TF_Dato,$A284))*2,0)/2)))</f>
        <v/>
      </c>
      <c r="T284">
        <f>IF(OR(T$4="",$A284&gt;TODAY()),0,IF(OR(INDEX($B284:$D284,T$5)="F",AND(T$6&gt;0,$A284&lt;T$6),AND(T$7&gt;0,$A284&gt;T$7)),0,MAX(0,ROUND((INDEX($E284:$G284,T$5)-SUMIFS(TF_Timer,TF_Tekniker,T$4,TF_Dato,$A284))*2,0)/2)))</f>
        <v/>
      </c>
      <c r="U284">
        <f>IF(OR(U$4="",$A284&gt;TODAY()),0,IF(OR(INDEX($B284:$D284,U$5)="F",AND(U$6&gt;0,$A284&lt;U$6),AND(U$7&gt;0,$A284&gt;U$7)),0,MAX(0,ROUND((INDEX($E284:$G284,U$5)-SUMIFS(TF_Timer,TF_Tekniker,U$4,TF_Dato,$A284))*2,0)/2)))</f>
        <v/>
      </c>
      <c r="V284">
        <f>IF(OR(V$4="",$A284&gt;TODAY()),0,IF(OR(INDEX($B284:$D284,V$5)="F",AND(V$6&gt;0,$A284&lt;V$6),AND(V$7&gt;0,$A284&gt;V$7)),0,MAX(0,ROUND((INDEX($E284:$G284,V$5)-SUMIFS(TF_Timer,TF_Tekniker,V$4,TF_Dato,$A284))*2,0)/2)))</f>
        <v/>
      </c>
      <c r="W284">
        <f>IF(OR(W$4="",$A284&gt;TODAY()),0,IF(OR(INDEX($B284:$D284,W$5)="F",AND(W$6&gt;0,$A284&lt;W$6),AND(W$7&gt;0,$A284&gt;W$7)),0,MAX(0,ROUND((INDEX($E284:$G284,W$5)-SUMIFS(TF_Timer,TF_Tekniker,W$4,TF_Dato,$A284))*2,0)/2)))</f>
        <v/>
      </c>
      <c r="X284">
        <f>IF(OR(X$4="",$A284&gt;TODAY()),0,IF(OR(INDEX($B284:$D284,X$5)="F",AND(X$6&gt;0,$A284&lt;X$6),AND(X$7&gt;0,$A284&gt;X$7)),0,MAX(0,ROUND((INDEX($E284:$G284,X$5)-SUMIFS(TF_Timer,TF_Tekniker,X$4,TF_Dato,$A284))*2,0)/2)))</f>
        <v/>
      </c>
      <c r="Y284">
        <f>IF(OR(Y$4="",$A284&gt;TODAY()),0,IF(OR(INDEX($B284:$D284,Y$5)="F",AND(Y$6&gt;0,$A284&lt;Y$6),AND(Y$7&gt;0,$A284&gt;Y$7)),0,MAX(0,ROUND((INDEX($E284:$G284,Y$5)-SUMIFS(TF_Timer,TF_Tekniker,Y$4,TF_Dato,$A284))*2,0)/2)))</f>
        <v/>
      </c>
      <c r="Z284">
        <f>IF(OR(Z$4="",$A284&gt;TODAY()),0,IF(OR(INDEX($B284:$D284,Z$5)="F",AND(Z$6&gt;0,$A284&lt;Z$6),AND(Z$7&gt;0,$A284&gt;Z$7)),0,MAX(0,ROUND((INDEX($E284:$G284,Z$5)-SUMIFS(TF_Timer,TF_Tekniker,Z$4,TF_Dato,$A284))*2,0)/2)))</f>
        <v/>
      </c>
      <c r="AA284">
        <f>IF(OR(AA$4="",$A284&gt;TODAY()),0,IF(OR(INDEX($B284:$D284,AA$5)="F",AND(AA$6&gt;0,$A284&lt;AA$6),AND(AA$7&gt;0,$A284&gt;AA$7)),0,MAX(0,ROUND((INDEX($E284:$G284,AA$5)-SUMIFS(TF_Timer,TF_Tekniker,AA$4,TF_Dato,$A284))*2,0)/2)))</f>
        <v/>
      </c>
      <c r="AB284">
        <f>IF(OR(AB$4="",$A284&gt;TODAY()),0,IF(OR(INDEX($B284:$D284,AB$5)="F",AND(AB$6&gt;0,$A284&lt;AB$6),AND(AB$7&gt;0,$A284&gt;AB$7)),0,MAX(0,ROUND((INDEX($E284:$G284,AB$5)-SUMIFS(TF_Timer,TF_Tekniker,AB$4,TF_Dato,$A284))*2,0)/2)))</f>
        <v/>
      </c>
      <c r="AC284">
        <f>IF(OR(AC$4="",$A284&gt;TODAY()),0,IF(OR(INDEX($B284:$D284,AC$5)="F",AND(AC$6&gt;0,$A284&lt;AC$6),AND(AC$7&gt;0,$A284&gt;AC$7)),0,MAX(0,ROUND((INDEX($E284:$G284,AC$5)-SUMIFS(TF_Timer,TF_Tekniker,AC$4,TF_Dato,$A284))*2,0)/2)))</f>
        <v/>
      </c>
      <c r="AD284">
        <f>IF(OR(AD$4="",$A284&gt;TODAY()),0,IF(OR(INDEX($B284:$D284,AD$5)="F",AND(AD$6&gt;0,$A284&lt;AD$6),AND(AD$7&gt;0,$A284&gt;AD$7)),0,MAX(0,ROUND((INDEX($E284:$G284,AD$5)-SUMIFS(TF_Timer,TF_Tekniker,AD$4,TF_Dato,$A284))*2,0)/2)))</f>
        <v/>
      </c>
      <c r="AE284">
        <f>IF(OR(AE$4="",$A284&gt;TODAY()),0,IF(OR(INDEX($B284:$D284,AE$5)="F",AND(AE$6&gt;0,$A284&lt;AE$6),AND(AE$7&gt;0,$A284&gt;AE$7)),0,MAX(0,ROUND((INDEX($E284:$G284,AE$5)-SUMIFS(TF_Timer,TF_Tekniker,AE$4,TF_Dato,$A284))*2,0)/2)))</f>
        <v/>
      </c>
      <c r="AF284">
        <f>IF(OR(AF$4="",$A284&gt;TODAY()),0,IF(OR(INDEX($B284:$D284,AF$5)="F",AND(AF$6&gt;0,$A284&lt;AF$6),AND(AF$7&gt;0,$A284&gt;AF$7)),0,MAX(0,ROUND((INDEX($E284:$G284,AF$5)-SUMIFS(TF_Timer,TF_Tekniker,AF$4,TF_Dato,$A284))*2,0)/2)))</f>
        <v/>
      </c>
      <c r="AG284">
        <f>IF(OR(AG$4="",$A284&gt;TODAY()),0,IF(OR(INDEX($B284:$D284,AG$5)="F",AND(AG$6&gt;0,$A284&lt;AG$6),AND(AG$7&gt;0,$A284&gt;AG$7)),0,MAX(0,ROUND((INDEX($E284:$G284,AG$5)-SUMIFS(TF_Timer,TF_Tekniker,AG$4,TF_Dato,$A284))*2,0)/2)))</f>
        <v/>
      </c>
      <c r="AH284">
        <f>IF(OR(AH$4="",$A284&gt;TODAY()),0,IF(OR(INDEX($B284:$D284,AH$5)="F",AND(AH$6&gt;0,$A284&lt;AH$6),AND(AH$7&gt;0,$A284&gt;AH$7)),0,MAX(0,ROUND((INDEX($E284:$G284,AH$5)-SUMIFS(TF_Timer,TF_Tekniker,AH$4,TF_Dato,$A284))*2,0)/2)))</f>
        <v/>
      </c>
      <c r="AI284">
        <f>IF(OR(AI$4="",$A284&gt;TODAY()),0,IF(OR(INDEX($B284:$D284,AI$5)="F",AND(AI$6&gt;0,$A284&lt;AI$6),AND(AI$7&gt;0,$A284&gt;AI$7)),0,MAX(0,ROUND((INDEX($E284:$G284,AI$5)-SUMIFS(TF_Timer,TF_Tekniker,AI$4,TF_Dato,$A284))*2,0)/2)))</f>
        <v/>
      </c>
      <c r="AJ284">
        <f>IF(OR(AJ$4="",$A284&gt;TODAY()),0,IF(OR(INDEX($B284:$D284,AJ$5)="F",AND(AJ$6&gt;0,$A284&lt;AJ$6),AND(AJ$7&gt;0,$A284&gt;AJ$7)),0,MAX(0,ROUND((INDEX($E284:$G284,AJ$5)-SUMIFS(TF_Timer,TF_Tekniker,AJ$4,TF_Dato,$A284))*2,0)/2)))</f>
        <v/>
      </c>
      <c r="AK284">
        <f>IF(OR(AK$4="",$A284&gt;TODAY()),0,IF(OR(INDEX($B284:$D284,AK$5)="F",AND(AK$6&gt;0,$A284&lt;AK$6),AND(AK$7&gt;0,$A284&gt;AK$7)),0,MAX(0,ROUND((INDEX($E284:$G284,AK$5)-SUMIFS(TF_Timer,TF_Tekniker,AK$4,TF_Dato,$A284))*2,0)/2)))</f>
        <v/>
      </c>
      <c r="AL284">
        <f>IF(OR(AL$4="",$A284&gt;TODAY()),0,IF(OR(INDEX($B284:$D284,AL$5)="F",AND(AL$6&gt;0,$A284&lt;AL$6),AND(AL$7&gt;0,$A284&gt;AL$7)),0,MAX(0,ROUND((INDEX($E284:$G284,AL$5)-SUMIFS(TF_Timer,TF_Tekniker,AL$4,TF_Dato,$A284))*2,0)/2)))</f>
        <v/>
      </c>
      <c r="AM284">
        <f>IF(OR(AM$4="",$A284&gt;TODAY()),0,IF(OR(INDEX($B284:$D284,AM$5)="F",AND(AM$6&gt;0,$A284&lt;AM$6),AND(AM$7&gt;0,$A284&gt;AM$7)),0,MAX(0,ROUND((INDEX($E284:$G284,AM$5)-SUMIFS(TF_Timer,TF_Tekniker,AM$4,TF_Dato,$A284))*2,0)/2)))</f>
        <v/>
      </c>
      <c r="AN284">
        <f>IF(OR(AN$4="",$A284&gt;TODAY()),0,IF(OR(INDEX($B284:$D284,AN$5)="F",AND(AN$6&gt;0,$A284&lt;AN$6),AND(AN$7&gt;0,$A284&gt;AN$7)),0,MAX(0,ROUND((INDEX($E284:$G284,AN$5)-SUMIFS(TF_Timer,TF_Tekniker,AN$4,TF_Dato,$A284))*2,0)/2)))</f>
        <v/>
      </c>
      <c r="AO284">
        <f>IF(OR(AO$4="",$A284&gt;TODAY()),0,IF(OR(INDEX($B284:$D284,AO$5)="F",AND(AO$6&gt;0,$A284&lt;AO$6),AND(AO$7&gt;0,$A284&gt;AO$7)),0,MAX(0,ROUND((INDEX($E284:$G284,AO$5)-SUMIFS(TF_Timer,TF_Tekniker,AO$4,TF_Dato,$A284))*2,0)/2)))</f>
        <v/>
      </c>
      <c r="AP284">
        <f>IF(OR(AP$4="",$A284&gt;TODAY()),0,IF(OR(INDEX($B284:$D284,AP$5)="F",AND(AP$6&gt;0,$A284&lt;AP$6),AND(AP$7&gt;0,$A284&gt;AP$7)),0,MAX(0,ROUND((INDEX($E284:$G284,AP$5)-SUMIFS(TF_Timer,TF_Tekniker,AP$4,TF_Dato,$A284))*2,0)/2)))</f>
        <v/>
      </c>
      <c r="AQ284">
        <f>IF(OR(AQ$4="",$A284&gt;TODAY()),0,IF(OR(INDEX($B284:$D284,AQ$5)="F",AND(AQ$6&gt;0,$A284&lt;AQ$6),AND(AQ$7&gt;0,$A284&gt;AQ$7)),0,MAX(0,ROUND((INDEX($E284:$G284,AQ$5)-SUMIFS(TF_Timer,TF_Tekniker,AQ$4,TF_Dato,$A284))*2,0)/2)))</f>
        <v/>
      </c>
      <c r="AR284">
        <f>IF(OR(AR$4="",$A284&gt;TODAY()),0,IF(OR(INDEX($B284:$D284,AR$5)="F",AND(AR$6&gt;0,$A284&lt;AR$6),AND(AR$7&gt;0,$A284&gt;AR$7)),0,MAX(0,ROUND((INDEX($E284:$G284,AR$5)-SUMIFS(TF_Timer,TF_Tekniker,AR$4,TF_Dato,$A284))*2,0)/2)))</f>
        <v/>
      </c>
      <c r="AS284">
        <f>IF(OR(AS$4="",$A284&gt;TODAY()),0,IF(OR(INDEX($B284:$D284,AS$5)="F",AND(AS$6&gt;0,$A284&lt;AS$6),AND(AS$7&gt;0,$A284&gt;AS$7)),0,MAX(0,ROUND((INDEX($E284:$G284,AS$5)-SUMIFS(TF_Timer,TF_Tekniker,AS$4,TF_Dato,$A284))*2,0)/2)))</f>
        <v/>
      </c>
      <c r="AT284">
        <f>IF(OR(AT$4="",$A284&gt;TODAY()),0,IF(OR(INDEX($B284:$D284,AT$5)="F",AND(AT$6&gt;0,$A284&lt;AT$6),AND(AT$7&gt;0,$A284&gt;AT$7)),0,MAX(0,ROUND((INDEX($E284:$G284,AT$5)-SUMIFS(TF_Timer,TF_Tekniker,AT$4,TF_Dato,$A284))*2,0)/2)))</f>
        <v/>
      </c>
      <c r="AU284">
        <f>IF(OR(AU$4="",$A284&gt;TODAY()),0,IF(OR(INDEX($B284:$D284,AU$5)="F",AND(AU$6&gt;0,$A284&lt;AU$6),AND(AU$7&gt;0,$A284&gt;AU$7)),0,MAX(0,ROUND((INDEX($E284:$G284,AU$5)-SUMIFS(TF_Timer,TF_Tekniker,AU$4,TF_Dato,$A284))*2,0)/2)))</f>
        <v/>
      </c>
      <c r="AV284">
        <f>IF(OR(AV$4="",$A284&gt;TODAY()),0,IF(OR(INDEX($B284:$D284,AV$5)="F",AND(AV$6&gt;0,$A284&lt;AV$6),AND(AV$7&gt;0,$A284&gt;AV$7)),0,MAX(0,ROUND((INDEX($E284:$G284,AV$5)-SUMIFS(TF_Timer,TF_Tekniker,AV$4,TF_Dato,$A284))*2,0)/2)))</f>
        <v/>
      </c>
      <c r="AW284">
        <f>IF(OR(AW$4="",$A284&gt;TODAY()),0,IF(OR(INDEX($B284:$D284,AW$5)="F",AND(AW$6&gt;0,$A284&lt;AW$6),AND(AW$7&gt;0,$A284&gt;AW$7)),0,MAX(0,ROUND((INDEX($E284:$G284,AW$5)-SUMIFS(TF_Timer,TF_Tekniker,AW$4,TF_Dato,$A284))*2,0)/2)))</f>
        <v/>
      </c>
      <c r="AX284">
        <f>IF(OR(AX$4="",$A284&gt;TODAY()),0,IF(OR(INDEX($B284:$D284,AX$5)="F",AND(AX$6&gt;0,$A284&lt;AX$6),AND(AX$7&gt;0,$A284&gt;AX$7)),0,MAX(0,ROUND((INDEX($E284:$G284,AX$5)-SUMIFS(TF_Timer,TF_Tekniker,AX$4,TF_Dato,$A284))*2,0)/2)))</f>
        <v/>
      </c>
      <c r="AY284">
        <f>IF(OR(AY$4="",$A284&gt;TODAY()),0,IF(OR(INDEX($B284:$D284,AY$5)="F",AND(AY$6&gt;0,$A284&lt;AY$6),AND(AY$7&gt;0,$A284&gt;AY$7)),0,MAX(0,ROUND((INDEX($E284:$G284,AY$5)-SUMIFS(TF_Timer,TF_Tekniker,AY$4,TF_Dato,$A284))*2,0)/2)))</f>
        <v/>
      </c>
      <c r="AZ284">
        <f>IF(OR(AZ$4="",$A284&gt;TODAY()),0,IF(OR(INDEX($B284:$D284,AZ$5)="F",AND(AZ$6&gt;0,$A284&lt;AZ$6),AND(AZ$7&gt;0,$A284&gt;AZ$7)),0,MAX(0,ROUND((INDEX($E284:$G284,AZ$5)-SUMIFS(TF_Timer,TF_Tekniker,AZ$4,TF_Dato,$A284))*2,0)/2)))</f>
        <v/>
      </c>
      <c r="BA284">
        <f>IF(OR(BA$4="",$A284&gt;TODAY()),0,IF(OR(INDEX($B284:$D284,BA$5)="F",AND(BA$6&gt;0,$A284&lt;BA$6),AND(BA$7&gt;0,$A284&gt;BA$7)),0,MAX(0,ROUND((INDEX($E284:$G284,BA$5)-SUMIFS(TF_Timer,TF_Tekniker,BA$4,TF_Dato,$A284))*2,0)/2)))</f>
        <v/>
      </c>
      <c r="BB284">
        <f>IF(OR(BB$4="",$A284&gt;TODAY()),0,IF(OR(INDEX($B284:$D284,BB$5)="F",AND(BB$6&gt;0,$A284&lt;BB$6),AND(BB$7&gt;0,$A284&gt;BB$7)),0,MAX(0,ROUND((INDEX($E284:$G284,BB$5)-SUMIFS(TF_Timer,TF_Tekniker,BB$4,TF_Dato,$A284))*2,0)/2)))</f>
        <v/>
      </c>
      <c r="BC284">
        <f>IF(OR(BC$4="",$A284&gt;TODAY()),0,IF(OR(INDEX($B284:$D284,BC$5)="F",AND(BC$6&gt;0,$A284&lt;BC$6),AND(BC$7&gt;0,$A284&gt;BC$7)),0,MAX(0,ROUND((INDEX($E284:$G284,BC$5)-SUMIFS(TF_Timer,TF_Tekniker,BC$4,TF_Dato,$A284))*2,0)/2)))</f>
        <v/>
      </c>
      <c r="BD284">
        <f>IF(OR(BD$4="",$A284&gt;TODAY()),0,IF(OR(INDEX($B284:$D284,BD$5)="F",AND(BD$6&gt;0,$A284&lt;BD$6),AND(BD$7&gt;0,$A284&gt;BD$7)),0,MAX(0,ROUND((INDEX($E284:$G284,BD$5)-SUMIFS(TF_Timer,TF_Tekniker,BD$4,TF_Dato,$A284))*2,0)/2)))</f>
        <v/>
      </c>
      <c r="BE284">
        <f>IF(OR(BE$4="",$A284&gt;TODAY()),0,IF(OR(INDEX($B284:$D284,BE$5)="F",AND(BE$6&gt;0,$A284&lt;BE$6),AND(BE$7&gt;0,$A284&gt;BE$7)),0,MAX(0,ROUND((INDEX($E284:$G284,BE$5)-SUMIFS(TF_Timer,TF_Tekniker,BE$4,TF_Dato,$A284))*2,0)/2)))</f>
        <v/>
      </c>
      <c r="BF284">
        <f>IF(OR(BF$4="",$A284&gt;TODAY()),0,IF(OR(INDEX($B284:$D284,BF$5)="F",AND(BF$6&gt;0,$A284&lt;BF$6),AND(BF$7&gt;0,$A284&gt;BF$7)),0,MAX(0,ROUND((INDEX($E284:$G284,BF$5)-SUMIFS(TF_Timer,TF_Tekniker,BF$4,TF_Dato,$A284))*2,0)/2)))</f>
        <v/>
      </c>
      <c r="BG284">
        <f>IF(OR(BG$4="",$A284&gt;TODAY()),0,IF(OR(INDEX($B284:$D284,BG$5)="F",AND(BG$6&gt;0,$A284&lt;BG$6),AND(BG$7&gt;0,$A284&gt;BG$7)),0,MAX(0,ROUND((INDEX($E284:$G284,BG$5)-SUMIFS(TF_Timer,TF_Tekniker,BG$4,TF_Dato,$A284))*2,0)/2)))</f>
        <v/>
      </c>
      <c r="BH284">
        <f>IF(OR(BH$4="",$A284&gt;TODAY()),0,IF(OR(INDEX($B284:$D284,BH$5)="F",AND(BH$6&gt;0,$A284&lt;BH$6),AND(BH$7&gt;0,$A284&gt;BH$7)),0,MAX(0,ROUND((INDEX($E284:$G284,BH$5)-SUMIFS(TF_Timer,TF_Tekniker,BH$4,TF_Dato,$A284))*2,0)/2)))</f>
        <v/>
      </c>
      <c r="BI284">
        <f>IF(OR(BI$4="",$A284&gt;TODAY()),0,IF(OR(INDEX($B284:$D284,BI$5)="F",AND(BI$6&gt;0,$A284&lt;BI$6),AND(BI$7&gt;0,$A284&gt;BI$7)),0,MAX(0,ROUND((INDEX($E284:$G284,BI$5)-SUMIFS(TF_Timer,TF_Tekniker,BI$4,TF_Dato,$A284))*2,0)/2)))</f>
        <v/>
      </c>
    </row>
    <row r="285">
      <c r="A285" s="64">
        <f>A284+1</f>
        <v/>
      </c>
      <c r="B285">
        <f>IF(MOD($A285-INDEX(SkiftStart,1),Syklus)&lt;DagK,"K",IF(MOD($A285-INDEX(SkiftStart,1),Syklus)&lt;DagK+DagH,"H",IF(MOD($A285-INDEX(SkiftStart,1),Syklus)&lt;DagK+DagH+DagD,"D","F")))</f>
        <v/>
      </c>
      <c r="C285">
        <f>IF(MOD($A285-INDEX(SkiftStart,2),Syklus)&lt;DagK,"K",IF(MOD($A285-INDEX(SkiftStart,2),Syklus)&lt;DagK+DagH,"H",IF(MOD($A285-INDEX(SkiftStart,2),Syklus)&lt;DagK+DagH+DagD,"D","F")))</f>
        <v/>
      </c>
      <c r="D285">
        <f>IF(MOD($A285-INDEX(SkiftStart,3),Syklus)&lt;DagK,"K",IF(MOD($A285-INDEX(SkiftStart,3),Syklus)&lt;DagK+DagH,"H",IF(MOD($A285-INDEX(SkiftStart,3),Syklus)&lt;DagK+DagH+DagD,"D","F")))</f>
        <v/>
      </c>
      <c r="E285">
        <f>IF(B285="F",0,IF(WEEKDAY($A285,2)=5,INDEX(TimerFr,MATCH(B285,FaseKode,0)),INDEX(TimerMT,MATCH(B285,FaseKode,0))))</f>
        <v/>
      </c>
      <c r="F285">
        <f>IF(C285="F",0,IF(WEEKDAY($A285,2)=5,INDEX(TimerFr,MATCH(C285,FaseKode,0)),INDEX(TimerMT,MATCH(C285,FaseKode,0))))</f>
        <v/>
      </c>
      <c r="G285">
        <f>IF(D285="F",0,IF(WEEKDAY($A285,2)=5,INDEX(TimerFr,MATCH(D285,FaseKode,0)),INDEX(TimerMT,MATCH(D285,FaseKode,0))))</f>
        <v/>
      </c>
      <c r="H285">
        <f>IF(OR(H$4="",$A285&gt;TODAY()),0,IF(OR(INDEX($B285:$D285,H$5)="F",AND(H$6&gt;0,$A285&lt;H$6),AND(H$7&gt;0,$A285&gt;H$7)),0,MAX(0,ROUND((INDEX($E285:$G285,H$5)-SUMIFS(TF_Timer,TF_Tekniker,H$4,TF_Dato,$A285))*2,0)/2)))</f>
        <v/>
      </c>
      <c r="I285">
        <f>IF(OR(I$4="",$A285&gt;TODAY()),0,IF(OR(INDEX($B285:$D285,I$5)="F",AND(I$6&gt;0,$A285&lt;I$6),AND(I$7&gt;0,$A285&gt;I$7)),0,MAX(0,ROUND((INDEX($E285:$G285,I$5)-SUMIFS(TF_Timer,TF_Tekniker,I$4,TF_Dato,$A285))*2,0)/2)))</f>
        <v/>
      </c>
      <c r="J285">
        <f>IF(OR(J$4="",$A285&gt;TODAY()),0,IF(OR(INDEX($B285:$D285,J$5)="F",AND(J$6&gt;0,$A285&lt;J$6),AND(J$7&gt;0,$A285&gt;J$7)),0,MAX(0,ROUND((INDEX($E285:$G285,J$5)-SUMIFS(TF_Timer,TF_Tekniker,J$4,TF_Dato,$A285))*2,0)/2)))</f>
        <v/>
      </c>
      <c r="K285">
        <f>IF(OR(K$4="",$A285&gt;TODAY()),0,IF(OR(INDEX($B285:$D285,K$5)="F",AND(K$6&gt;0,$A285&lt;K$6),AND(K$7&gt;0,$A285&gt;K$7)),0,MAX(0,ROUND((INDEX($E285:$G285,K$5)-SUMIFS(TF_Timer,TF_Tekniker,K$4,TF_Dato,$A285))*2,0)/2)))</f>
        <v/>
      </c>
      <c r="L285">
        <f>IF(OR(L$4="",$A285&gt;TODAY()),0,IF(OR(INDEX($B285:$D285,L$5)="F",AND(L$6&gt;0,$A285&lt;L$6),AND(L$7&gt;0,$A285&gt;L$7)),0,MAX(0,ROUND((INDEX($E285:$G285,L$5)-SUMIFS(TF_Timer,TF_Tekniker,L$4,TF_Dato,$A285))*2,0)/2)))</f>
        <v/>
      </c>
      <c r="M285">
        <f>IF(OR(M$4="",$A285&gt;TODAY()),0,IF(OR(INDEX($B285:$D285,M$5)="F",AND(M$6&gt;0,$A285&lt;M$6),AND(M$7&gt;0,$A285&gt;M$7)),0,MAX(0,ROUND((INDEX($E285:$G285,M$5)-SUMIFS(TF_Timer,TF_Tekniker,M$4,TF_Dato,$A285))*2,0)/2)))</f>
        <v/>
      </c>
      <c r="N285">
        <f>IF(OR(N$4="",$A285&gt;TODAY()),0,IF(OR(INDEX($B285:$D285,N$5)="F",AND(N$6&gt;0,$A285&lt;N$6),AND(N$7&gt;0,$A285&gt;N$7)),0,MAX(0,ROUND((INDEX($E285:$G285,N$5)-SUMIFS(TF_Timer,TF_Tekniker,N$4,TF_Dato,$A285))*2,0)/2)))</f>
        <v/>
      </c>
      <c r="O285">
        <f>IF(OR(O$4="",$A285&gt;TODAY()),0,IF(OR(INDEX($B285:$D285,O$5)="F",AND(O$6&gt;0,$A285&lt;O$6),AND(O$7&gt;0,$A285&gt;O$7)),0,MAX(0,ROUND((INDEX($E285:$G285,O$5)-SUMIFS(TF_Timer,TF_Tekniker,O$4,TF_Dato,$A285))*2,0)/2)))</f>
        <v/>
      </c>
      <c r="P285">
        <f>IF(OR(P$4="",$A285&gt;TODAY()),0,IF(OR(INDEX($B285:$D285,P$5)="F",AND(P$6&gt;0,$A285&lt;P$6),AND(P$7&gt;0,$A285&gt;P$7)),0,MAX(0,ROUND((INDEX($E285:$G285,P$5)-SUMIFS(TF_Timer,TF_Tekniker,P$4,TF_Dato,$A285))*2,0)/2)))</f>
        <v/>
      </c>
      <c r="Q285">
        <f>IF(OR(Q$4="",$A285&gt;TODAY()),0,IF(OR(INDEX($B285:$D285,Q$5)="F",AND(Q$6&gt;0,$A285&lt;Q$6),AND(Q$7&gt;0,$A285&gt;Q$7)),0,MAX(0,ROUND((INDEX($E285:$G285,Q$5)-SUMIFS(TF_Timer,TF_Tekniker,Q$4,TF_Dato,$A285))*2,0)/2)))</f>
        <v/>
      </c>
      <c r="R285">
        <f>IF(OR(R$4="",$A285&gt;TODAY()),0,IF(OR(INDEX($B285:$D285,R$5)="F",AND(R$6&gt;0,$A285&lt;R$6),AND(R$7&gt;0,$A285&gt;R$7)),0,MAX(0,ROUND((INDEX($E285:$G285,R$5)-SUMIFS(TF_Timer,TF_Tekniker,R$4,TF_Dato,$A285))*2,0)/2)))</f>
        <v/>
      </c>
      <c r="S285">
        <f>IF(OR(S$4="",$A285&gt;TODAY()),0,IF(OR(INDEX($B285:$D285,S$5)="F",AND(S$6&gt;0,$A285&lt;S$6),AND(S$7&gt;0,$A285&gt;S$7)),0,MAX(0,ROUND((INDEX($E285:$G285,S$5)-SUMIFS(TF_Timer,TF_Tekniker,S$4,TF_Dato,$A285))*2,0)/2)))</f>
        <v/>
      </c>
      <c r="T285">
        <f>IF(OR(T$4="",$A285&gt;TODAY()),0,IF(OR(INDEX($B285:$D285,T$5)="F",AND(T$6&gt;0,$A285&lt;T$6),AND(T$7&gt;0,$A285&gt;T$7)),0,MAX(0,ROUND((INDEX($E285:$G285,T$5)-SUMIFS(TF_Timer,TF_Tekniker,T$4,TF_Dato,$A285))*2,0)/2)))</f>
        <v/>
      </c>
      <c r="U285">
        <f>IF(OR(U$4="",$A285&gt;TODAY()),0,IF(OR(INDEX($B285:$D285,U$5)="F",AND(U$6&gt;0,$A285&lt;U$6),AND(U$7&gt;0,$A285&gt;U$7)),0,MAX(0,ROUND((INDEX($E285:$G285,U$5)-SUMIFS(TF_Timer,TF_Tekniker,U$4,TF_Dato,$A285))*2,0)/2)))</f>
        <v/>
      </c>
      <c r="V285">
        <f>IF(OR(V$4="",$A285&gt;TODAY()),0,IF(OR(INDEX($B285:$D285,V$5)="F",AND(V$6&gt;0,$A285&lt;V$6),AND(V$7&gt;0,$A285&gt;V$7)),0,MAX(0,ROUND((INDEX($E285:$G285,V$5)-SUMIFS(TF_Timer,TF_Tekniker,V$4,TF_Dato,$A285))*2,0)/2)))</f>
        <v/>
      </c>
      <c r="W285">
        <f>IF(OR(W$4="",$A285&gt;TODAY()),0,IF(OR(INDEX($B285:$D285,W$5)="F",AND(W$6&gt;0,$A285&lt;W$6),AND(W$7&gt;0,$A285&gt;W$7)),0,MAX(0,ROUND((INDEX($E285:$G285,W$5)-SUMIFS(TF_Timer,TF_Tekniker,W$4,TF_Dato,$A285))*2,0)/2)))</f>
        <v/>
      </c>
      <c r="X285">
        <f>IF(OR(X$4="",$A285&gt;TODAY()),0,IF(OR(INDEX($B285:$D285,X$5)="F",AND(X$6&gt;0,$A285&lt;X$6),AND(X$7&gt;0,$A285&gt;X$7)),0,MAX(0,ROUND((INDEX($E285:$G285,X$5)-SUMIFS(TF_Timer,TF_Tekniker,X$4,TF_Dato,$A285))*2,0)/2)))</f>
        <v/>
      </c>
      <c r="Y285">
        <f>IF(OR(Y$4="",$A285&gt;TODAY()),0,IF(OR(INDEX($B285:$D285,Y$5)="F",AND(Y$6&gt;0,$A285&lt;Y$6),AND(Y$7&gt;0,$A285&gt;Y$7)),0,MAX(0,ROUND((INDEX($E285:$G285,Y$5)-SUMIFS(TF_Timer,TF_Tekniker,Y$4,TF_Dato,$A285))*2,0)/2)))</f>
        <v/>
      </c>
      <c r="Z285">
        <f>IF(OR(Z$4="",$A285&gt;TODAY()),0,IF(OR(INDEX($B285:$D285,Z$5)="F",AND(Z$6&gt;0,$A285&lt;Z$6),AND(Z$7&gt;0,$A285&gt;Z$7)),0,MAX(0,ROUND((INDEX($E285:$G285,Z$5)-SUMIFS(TF_Timer,TF_Tekniker,Z$4,TF_Dato,$A285))*2,0)/2)))</f>
        <v/>
      </c>
      <c r="AA285">
        <f>IF(OR(AA$4="",$A285&gt;TODAY()),0,IF(OR(INDEX($B285:$D285,AA$5)="F",AND(AA$6&gt;0,$A285&lt;AA$6),AND(AA$7&gt;0,$A285&gt;AA$7)),0,MAX(0,ROUND((INDEX($E285:$G285,AA$5)-SUMIFS(TF_Timer,TF_Tekniker,AA$4,TF_Dato,$A285))*2,0)/2)))</f>
        <v/>
      </c>
      <c r="AB285">
        <f>IF(OR(AB$4="",$A285&gt;TODAY()),0,IF(OR(INDEX($B285:$D285,AB$5)="F",AND(AB$6&gt;0,$A285&lt;AB$6),AND(AB$7&gt;0,$A285&gt;AB$7)),0,MAX(0,ROUND((INDEX($E285:$G285,AB$5)-SUMIFS(TF_Timer,TF_Tekniker,AB$4,TF_Dato,$A285))*2,0)/2)))</f>
        <v/>
      </c>
      <c r="AC285">
        <f>IF(OR(AC$4="",$A285&gt;TODAY()),0,IF(OR(INDEX($B285:$D285,AC$5)="F",AND(AC$6&gt;0,$A285&lt;AC$6),AND(AC$7&gt;0,$A285&gt;AC$7)),0,MAX(0,ROUND((INDEX($E285:$G285,AC$5)-SUMIFS(TF_Timer,TF_Tekniker,AC$4,TF_Dato,$A285))*2,0)/2)))</f>
        <v/>
      </c>
      <c r="AD285">
        <f>IF(OR(AD$4="",$A285&gt;TODAY()),0,IF(OR(INDEX($B285:$D285,AD$5)="F",AND(AD$6&gt;0,$A285&lt;AD$6),AND(AD$7&gt;0,$A285&gt;AD$7)),0,MAX(0,ROUND((INDEX($E285:$G285,AD$5)-SUMIFS(TF_Timer,TF_Tekniker,AD$4,TF_Dato,$A285))*2,0)/2)))</f>
        <v/>
      </c>
      <c r="AE285">
        <f>IF(OR(AE$4="",$A285&gt;TODAY()),0,IF(OR(INDEX($B285:$D285,AE$5)="F",AND(AE$6&gt;0,$A285&lt;AE$6),AND(AE$7&gt;0,$A285&gt;AE$7)),0,MAX(0,ROUND((INDEX($E285:$G285,AE$5)-SUMIFS(TF_Timer,TF_Tekniker,AE$4,TF_Dato,$A285))*2,0)/2)))</f>
        <v/>
      </c>
      <c r="AF285">
        <f>IF(OR(AF$4="",$A285&gt;TODAY()),0,IF(OR(INDEX($B285:$D285,AF$5)="F",AND(AF$6&gt;0,$A285&lt;AF$6),AND(AF$7&gt;0,$A285&gt;AF$7)),0,MAX(0,ROUND((INDEX($E285:$G285,AF$5)-SUMIFS(TF_Timer,TF_Tekniker,AF$4,TF_Dato,$A285))*2,0)/2)))</f>
        <v/>
      </c>
      <c r="AG285">
        <f>IF(OR(AG$4="",$A285&gt;TODAY()),0,IF(OR(INDEX($B285:$D285,AG$5)="F",AND(AG$6&gt;0,$A285&lt;AG$6),AND(AG$7&gt;0,$A285&gt;AG$7)),0,MAX(0,ROUND((INDEX($E285:$G285,AG$5)-SUMIFS(TF_Timer,TF_Tekniker,AG$4,TF_Dato,$A285))*2,0)/2)))</f>
        <v/>
      </c>
      <c r="AH285">
        <f>IF(OR(AH$4="",$A285&gt;TODAY()),0,IF(OR(INDEX($B285:$D285,AH$5)="F",AND(AH$6&gt;0,$A285&lt;AH$6),AND(AH$7&gt;0,$A285&gt;AH$7)),0,MAX(0,ROUND((INDEX($E285:$G285,AH$5)-SUMIFS(TF_Timer,TF_Tekniker,AH$4,TF_Dato,$A285))*2,0)/2)))</f>
        <v/>
      </c>
      <c r="AI285">
        <f>IF(OR(AI$4="",$A285&gt;TODAY()),0,IF(OR(INDEX($B285:$D285,AI$5)="F",AND(AI$6&gt;0,$A285&lt;AI$6),AND(AI$7&gt;0,$A285&gt;AI$7)),0,MAX(0,ROUND((INDEX($E285:$G285,AI$5)-SUMIFS(TF_Timer,TF_Tekniker,AI$4,TF_Dato,$A285))*2,0)/2)))</f>
        <v/>
      </c>
      <c r="AJ285">
        <f>IF(OR(AJ$4="",$A285&gt;TODAY()),0,IF(OR(INDEX($B285:$D285,AJ$5)="F",AND(AJ$6&gt;0,$A285&lt;AJ$6),AND(AJ$7&gt;0,$A285&gt;AJ$7)),0,MAX(0,ROUND((INDEX($E285:$G285,AJ$5)-SUMIFS(TF_Timer,TF_Tekniker,AJ$4,TF_Dato,$A285))*2,0)/2)))</f>
        <v/>
      </c>
      <c r="AK285">
        <f>IF(OR(AK$4="",$A285&gt;TODAY()),0,IF(OR(INDEX($B285:$D285,AK$5)="F",AND(AK$6&gt;0,$A285&lt;AK$6),AND(AK$7&gt;0,$A285&gt;AK$7)),0,MAX(0,ROUND((INDEX($E285:$G285,AK$5)-SUMIFS(TF_Timer,TF_Tekniker,AK$4,TF_Dato,$A285))*2,0)/2)))</f>
        <v/>
      </c>
      <c r="AL285">
        <f>IF(OR(AL$4="",$A285&gt;TODAY()),0,IF(OR(INDEX($B285:$D285,AL$5)="F",AND(AL$6&gt;0,$A285&lt;AL$6),AND(AL$7&gt;0,$A285&gt;AL$7)),0,MAX(0,ROUND((INDEX($E285:$G285,AL$5)-SUMIFS(TF_Timer,TF_Tekniker,AL$4,TF_Dato,$A285))*2,0)/2)))</f>
        <v/>
      </c>
      <c r="AM285">
        <f>IF(OR(AM$4="",$A285&gt;TODAY()),0,IF(OR(INDEX($B285:$D285,AM$5)="F",AND(AM$6&gt;0,$A285&lt;AM$6),AND(AM$7&gt;0,$A285&gt;AM$7)),0,MAX(0,ROUND((INDEX($E285:$G285,AM$5)-SUMIFS(TF_Timer,TF_Tekniker,AM$4,TF_Dato,$A285))*2,0)/2)))</f>
        <v/>
      </c>
      <c r="AN285">
        <f>IF(OR(AN$4="",$A285&gt;TODAY()),0,IF(OR(INDEX($B285:$D285,AN$5)="F",AND(AN$6&gt;0,$A285&lt;AN$6),AND(AN$7&gt;0,$A285&gt;AN$7)),0,MAX(0,ROUND((INDEX($E285:$G285,AN$5)-SUMIFS(TF_Timer,TF_Tekniker,AN$4,TF_Dato,$A285))*2,0)/2)))</f>
        <v/>
      </c>
      <c r="AO285">
        <f>IF(OR(AO$4="",$A285&gt;TODAY()),0,IF(OR(INDEX($B285:$D285,AO$5)="F",AND(AO$6&gt;0,$A285&lt;AO$6),AND(AO$7&gt;0,$A285&gt;AO$7)),0,MAX(0,ROUND((INDEX($E285:$G285,AO$5)-SUMIFS(TF_Timer,TF_Tekniker,AO$4,TF_Dato,$A285))*2,0)/2)))</f>
        <v/>
      </c>
      <c r="AP285">
        <f>IF(OR(AP$4="",$A285&gt;TODAY()),0,IF(OR(INDEX($B285:$D285,AP$5)="F",AND(AP$6&gt;0,$A285&lt;AP$6),AND(AP$7&gt;0,$A285&gt;AP$7)),0,MAX(0,ROUND((INDEX($E285:$G285,AP$5)-SUMIFS(TF_Timer,TF_Tekniker,AP$4,TF_Dato,$A285))*2,0)/2)))</f>
        <v/>
      </c>
      <c r="AQ285">
        <f>IF(OR(AQ$4="",$A285&gt;TODAY()),0,IF(OR(INDEX($B285:$D285,AQ$5)="F",AND(AQ$6&gt;0,$A285&lt;AQ$6),AND(AQ$7&gt;0,$A285&gt;AQ$7)),0,MAX(0,ROUND((INDEX($E285:$G285,AQ$5)-SUMIFS(TF_Timer,TF_Tekniker,AQ$4,TF_Dato,$A285))*2,0)/2)))</f>
        <v/>
      </c>
      <c r="AR285">
        <f>IF(OR(AR$4="",$A285&gt;TODAY()),0,IF(OR(INDEX($B285:$D285,AR$5)="F",AND(AR$6&gt;0,$A285&lt;AR$6),AND(AR$7&gt;0,$A285&gt;AR$7)),0,MAX(0,ROUND((INDEX($E285:$G285,AR$5)-SUMIFS(TF_Timer,TF_Tekniker,AR$4,TF_Dato,$A285))*2,0)/2)))</f>
        <v/>
      </c>
      <c r="AS285">
        <f>IF(OR(AS$4="",$A285&gt;TODAY()),0,IF(OR(INDEX($B285:$D285,AS$5)="F",AND(AS$6&gt;0,$A285&lt;AS$6),AND(AS$7&gt;0,$A285&gt;AS$7)),0,MAX(0,ROUND((INDEX($E285:$G285,AS$5)-SUMIFS(TF_Timer,TF_Tekniker,AS$4,TF_Dato,$A285))*2,0)/2)))</f>
        <v/>
      </c>
      <c r="AT285">
        <f>IF(OR(AT$4="",$A285&gt;TODAY()),0,IF(OR(INDEX($B285:$D285,AT$5)="F",AND(AT$6&gt;0,$A285&lt;AT$6),AND(AT$7&gt;0,$A285&gt;AT$7)),0,MAX(0,ROUND((INDEX($E285:$G285,AT$5)-SUMIFS(TF_Timer,TF_Tekniker,AT$4,TF_Dato,$A285))*2,0)/2)))</f>
        <v/>
      </c>
      <c r="AU285">
        <f>IF(OR(AU$4="",$A285&gt;TODAY()),0,IF(OR(INDEX($B285:$D285,AU$5)="F",AND(AU$6&gt;0,$A285&lt;AU$6),AND(AU$7&gt;0,$A285&gt;AU$7)),0,MAX(0,ROUND((INDEX($E285:$G285,AU$5)-SUMIFS(TF_Timer,TF_Tekniker,AU$4,TF_Dato,$A285))*2,0)/2)))</f>
        <v/>
      </c>
      <c r="AV285">
        <f>IF(OR(AV$4="",$A285&gt;TODAY()),0,IF(OR(INDEX($B285:$D285,AV$5)="F",AND(AV$6&gt;0,$A285&lt;AV$6),AND(AV$7&gt;0,$A285&gt;AV$7)),0,MAX(0,ROUND((INDEX($E285:$G285,AV$5)-SUMIFS(TF_Timer,TF_Tekniker,AV$4,TF_Dato,$A285))*2,0)/2)))</f>
        <v/>
      </c>
      <c r="AW285">
        <f>IF(OR(AW$4="",$A285&gt;TODAY()),0,IF(OR(INDEX($B285:$D285,AW$5)="F",AND(AW$6&gt;0,$A285&lt;AW$6),AND(AW$7&gt;0,$A285&gt;AW$7)),0,MAX(0,ROUND((INDEX($E285:$G285,AW$5)-SUMIFS(TF_Timer,TF_Tekniker,AW$4,TF_Dato,$A285))*2,0)/2)))</f>
        <v/>
      </c>
      <c r="AX285">
        <f>IF(OR(AX$4="",$A285&gt;TODAY()),0,IF(OR(INDEX($B285:$D285,AX$5)="F",AND(AX$6&gt;0,$A285&lt;AX$6),AND(AX$7&gt;0,$A285&gt;AX$7)),0,MAX(0,ROUND((INDEX($E285:$G285,AX$5)-SUMIFS(TF_Timer,TF_Tekniker,AX$4,TF_Dato,$A285))*2,0)/2)))</f>
        <v/>
      </c>
      <c r="AY285">
        <f>IF(OR(AY$4="",$A285&gt;TODAY()),0,IF(OR(INDEX($B285:$D285,AY$5)="F",AND(AY$6&gt;0,$A285&lt;AY$6),AND(AY$7&gt;0,$A285&gt;AY$7)),0,MAX(0,ROUND((INDEX($E285:$G285,AY$5)-SUMIFS(TF_Timer,TF_Tekniker,AY$4,TF_Dato,$A285))*2,0)/2)))</f>
        <v/>
      </c>
      <c r="AZ285">
        <f>IF(OR(AZ$4="",$A285&gt;TODAY()),0,IF(OR(INDEX($B285:$D285,AZ$5)="F",AND(AZ$6&gt;0,$A285&lt;AZ$6),AND(AZ$7&gt;0,$A285&gt;AZ$7)),0,MAX(0,ROUND((INDEX($E285:$G285,AZ$5)-SUMIFS(TF_Timer,TF_Tekniker,AZ$4,TF_Dato,$A285))*2,0)/2)))</f>
        <v/>
      </c>
      <c r="BA285">
        <f>IF(OR(BA$4="",$A285&gt;TODAY()),0,IF(OR(INDEX($B285:$D285,BA$5)="F",AND(BA$6&gt;0,$A285&lt;BA$6),AND(BA$7&gt;0,$A285&gt;BA$7)),0,MAX(0,ROUND((INDEX($E285:$G285,BA$5)-SUMIFS(TF_Timer,TF_Tekniker,BA$4,TF_Dato,$A285))*2,0)/2)))</f>
        <v/>
      </c>
      <c r="BB285">
        <f>IF(OR(BB$4="",$A285&gt;TODAY()),0,IF(OR(INDEX($B285:$D285,BB$5)="F",AND(BB$6&gt;0,$A285&lt;BB$6),AND(BB$7&gt;0,$A285&gt;BB$7)),0,MAX(0,ROUND((INDEX($E285:$G285,BB$5)-SUMIFS(TF_Timer,TF_Tekniker,BB$4,TF_Dato,$A285))*2,0)/2)))</f>
        <v/>
      </c>
      <c r="BC285">
        <f>IF(OR(BC$4="",$A285&gt;TODAY()),0,IF(OR(INDEX($B285:$D285,BC$5)="F",AND(BC$6&gt;0,$A285&lt;BC$6),AND(BC$7&gt;0,$A285&gt;BC$7)),0,MAX(0,ROUND((INDEX($E285:$G285,BC$5)-SUMIFS(TF_Timer,TF_Tekniker,BC$4,TF_Dato,$A285))*2,0)/2)))</f>
        <v/>
      </c>
      <c r="BD285">
        <f>IF(OR(BD$4="",$A285&gt;TODAY()),0,IF(OR(INDEX($B285:$D285,BD$5)="F",AND(BD$6&gt;0,$A285&lt;BD$6),AND(BD$7&gt;0,$A285&gt;BD$7)),0,MAX(0,ROUND((INDEX($E285:$G285,BD$5)-SUMIFS(TF_Timer,TF_Tekniker,BD$4,TF_Dato,$A285))*2,0)/2)))</f>
        <v/>
      </c>
      <c r="BE285">
        <f>IF(OR(BE$4="",$A285&gt;TODAY()),0,IF(OR(INDEX($B285:$D285,BE$5)="F",AND(BE$6&gt;0,$A285&lt;BE$6),AND(BE$7&gt;0,$A285&gt;BE$7)),0,MAX(0,ROUND((INDEX($E285:$G285,BE$5)-SUMIFS(TF_Timer,TF_Tekniker,BE$4,TF_Dato,$A285))*2,0)/2)))</f>
        <v/>
      </c>
      <c r="BF285">
        <f>IF(OR(BF$4="",$A285&gt;TODAY()),0,IF(OR(INDEX($B285:$D285,BF$5)="F",AND(BF$6&gt;0,$A285&lt;BF$6),AND(BF$7&gt;0,$A285&gt;BF$7)),0,MAX(0,ROUND((INDEX($E285:$G285,BF$5)-SUMIFS(TF_Timer,TF_Tekniker,BF$4,TF_Dato,$A285))*2,0)/2)))</f>
        <v/>
      </c>
      <c r="BG285">
        <f>IF(OR(BG$4="",$A285&gt;TODAY()),0,IF(OR(INDEX($B285:$D285,BG$5)="F",AND(BG$6&gt;0,$A285&lt;BG$6),AND(BG$7&gt;0,$A285&gt;BG$7)),0,MAX(0,ROUND((INDEX($E285:$G285,BG$5)-SUMIFS(TF_Timer,TF_Tekniker,BG$4,TF_Dato,$A285))*2,0)/2)))</f>
        <v/>
      </c>
      <c r="BH285">
        <f>IF(OR(BH$4="",$A285&gt;TODAY()),0,IF(OR(INDEX($B285:$D285,BH$5)="F",AND(BH$6&gt;0,$A285&lt;BH$6),AND(BH$7&gt;0,$A285&gt;BH$7)),0,MAX(0,ROUND((INDEX($E285:$G285,BH$5)-SUMIFS(TF_Timer,TF_Tekniker,BH$4,TF_Dato,$A285))*2,0)/2)))</f>
        <v/>
      </c>
      <c r="BI285">
        <f>IF(OR(BI$4="",$A285&gt;TODAY()),0,IF(OR(INDEX($B285:$D285,BI$5)="F",AND(BI$6&gt;0,$A285&lt;BI$6),AND(BI$7&gt;0,$A285&gt;BI$7)),0,MAX(0,ROUND((INDEX($E285:$G285,BI$5)-SUMIFS(TF_Timer,TF_Tekniker,BI$4,TF_Dato,$A285))*2,0)/2)))</f>
        <v/>
      </c>
    </row>
    <row r="286">
      <c r="A286" s="64">
        <f>A285+1</f>
        <v/>
      </c>
      <c r="B286">
        <f>IF(MOD($A286-INDEX(SkiftStart,1),Syklus)&lt;DagK,"K",IF(MOD($A286-INDEX(SkiftStart,1),Syklus)&lt;DagK+DagH,"H",IF(MOD($A286-INDEX(SkiftStart,1),Syklus)&lt;DagK+DagH+DagD,"D","F")))</f>
        <v/>
      </c>
      <c r="C286">
        <f>IF(MOD($A286-INDEX(SkiftStart,2),Syklus)&lt;DagK,"K",IF(MOD($A286-INDEX(SkiftStart,2),Syklus)&lt;DagK+DagH,"H",IF(MOD($A286-INDEX(SkiftStart,2),Syklus)&lt;DagK+DagH+DagD,"D","F")))</f>
        <v/>
      </c>
      <c r="D286">
        <f>IF(MOD($A286-INDEX(SkiftStart,3),Syklus)&lt;DagK,"K",IF(MOD($A286-INDEX(SkiftStart,3),Syklus)&lt;DagK+DagH,"H",IF(MOD($A286-INDEX(SkiftStart,3),Syklus)&lt;DagK+DagH+DagD,"D","F")))</f>
        <v/>
      </c>
      <c r="E286">
        <f>IF(B286="F",0,IF(WEEKDAY($A286,2)=5,INDEX(TimerFr,MATCH(B286,FaseKode,0)),INDEX(TimerMT,MATCH(B286,FaseKode,0))))</f>
        <v/>
      </c>
      <c r="F286">
        <f>IF(C286="F",0,IF(WEEKDAY($A286,2)=5,INDEX(TimerFr,MATCH(C286,FaseKode,0)),INDEX(TimerMT,MATCH(C286,FaseKode,0))))</f>
        <v/>
      </c>
      <c r="G286">
        <f>IF(D286="F",0,IF(WEEKDAY($A286,2)=5,INDEX(TimerFr,MATCH(D286,FaseKode,0)),INDEX(TimerMT,MATCH(D286,FaseKode,0))))</f>
        <v/>
      </c>
      <c r="H286">
        <f>IF(OR(H$4="",$A286&gt;TODAY()),0,IF(OR(INDEX($B286:$D286,H$5)="F",AND(H$6&gt;0,$A286&lt;H$6),AND(H$7&gt;0,$A286&gt;H$7)),0,MAX(0,ROUND((INDEX($E286:$G286,H$5)-SUMIFS(TF_Timer,TF_Tekniker,H$4,TF_Dato,$A286))*2,0)/2)))</f>
        <v/>
      </c>
      <c r="I286">
        <f>IF(OR(I$4="",$A286&gt;TODAY()),0,IF(OR(INDEX($B286:$D286,I$5)="F",AND(I$6&gt;0,$A286&lt;I$6),AND(I$7&gt;0,$A286&gt;I$7)),0,MAX(0,ROUND((INDEX($E286:$G286,I$5)-SUMIFS(TF_Timer,TF_Tekniker,I$4,TF_Dato,$A286))*2,0)/2)))</f>
        <v/>
      </c>
      <c r="J286">
        <f>IF(OR(J$4="",$A286&gt;TODAY()),0,IF(OR(INDEX($B286:$D286,J$5)="F",AND(J$6&gt;0,$A286&lt;J$6),AND(J$7&gt;0,$A286&gt;J$7)),0,MAX(0,ROUND((INDEX($E286:$G286,J$5)-SUMIFS(TF_Timer,TF_Tekniker,J$4,TF_Dato,$A286))*2,0)/2)))</f>
        <v/>
      </c>
      <c r="K286">
        <f>IF(OR(K$4="",$A286&gt;TODAY()),0,IF(OR(INDEX($B286:$D286,K$5)="F",AND(K$6&gt;0,$A286&lt;K$6),AND(K$7&gt;0,$A286&gt;K$7)),0,MAX(0,ROUND((INDEX($E286:$G286,K$5)-SUMIFS(TF_Timer,TF_Tekniker,K$4,TF_Dato,$A286))*2,0)/2)))</f>
        <v/>
      </c>
      <c r="L286">
        <f>IF(OR(L$4="",$A286&gt;TODAY()),0,IF(OR(INDEX($B286:$D286,L$5)="F",AND(L$6&gt;0,$A286&lt;L$6),AND(L$7&gt;0,$A286&gt;L$7)),0,MAX(0,ROUND((INDEX($E286:$G286,L$5)-SUMIFS(TF_Timer,TF_Tekniker,L$4,TF_Dato,$A286))*2,0)/2)))</f>
        <v/>
      </c>
      <c r="M286">
        <f>IF(OR(M$4="",$A286&gt;TODAY()),0,IF(OR(INDEX($B286:$D286,M$5)="F",AND(M$6&gt;0,$A286&lt;M$6),AND(M$7&gt;0,$A286&gt;M$7)),0,MAX(0,ROUND((INDEX($E286:$G286,M$5)-SUMIFS(TF_Timer,TF_Tekniker,M$4,TF_Dato,$A286))*2,0)/2)))</f>
        <v/>
      </c>
      <c r="N286">
        <f>IF(OR(N$4="",$A286&gt;TODAY()),0,IF(OR(INDEX($B286:$D286,N$5)="F",AND(N$6&gt;0,$A286&lt;N$6),AND(N$7&gt;0,$A286&gt;N$7)),0,MAX(0,ROUND((INDEX($E286:$G286,N$5)-SUMIFS(TF_Timer,TF_Tekniker,N$4,TF_Dato,$A286))*2,0)/2)))</f>
        <v/>
      </c>
      <c r="O286">
        <f>IF(OR(O$4="",$A286&gt;TODAY()),0,IF(OR(INDEX($B286:$D286,O$5)="F",AND(O$6&gt;0,$A286&lt;O$6),AND(O$7&gt;0,$A286&gt;O$7)),0,MAX(0,ROUND((INDEX($E286:$G286,O$5)-SUMIFS(TF_Timer,TF_Tekniker,O$4,TF_Dato,$A286))*2,0)/2)))</f>
        <v/>
      </c>
      <c r="P286">
        <f>IF(OR(P$4="",$A286&gt;TODAY()),0,IF(OR(INDEX($B286:$D286,P$5)="F",AND(P$6&gt;0,$A286&lt;P$6),AND(P$7&gt;0,$A286&gt;P$7)),0,MAX(0,ROUND((INDEX($E286:$G286,P$5)-SUMIFS(TF_Timer,TF_Tekniker,P$4,TF_Dato,$A286))*2,0)/2)))</f>
        <v/>
      </c>
      <c r="Q286">
        <f>IF(OR(Q$4="",$A286&gt;TODAY()),0,IF(OR(INDEX($B286:$D286,Q$5)="F",AND(Q$6&gt;0,$A286&lt;Q$6),AND(Q$7&gt;0,$A286&gt;Q$7)),0,MAX(0,ROUND((INDEX($E286:$G286,Q$5)-SUMIFS(TF_Timer,TF_Tekniker,Q$4,TF_Dato,$A286))*2,0)/2)))</f>
        <v/>
      </c>
      <c r="R286">
        <f>IF(OR(R$4="",$A286&gt;TODAY()),0,IF(OR(INDEX($B286:$D286,R$5)="F",AND(R$6&gt;0,$A286&lt;R$6),AND(R$7&gt;0,$A286&gt;R$7)),0,MAX(0,ROUND((INDEX($E286:$G286,R$5)-SUMIFS(TF_Timer,TF_Tekniker,R$4,TF_Dato,$A286))*2,0)/2)))</f>
        <v/>
      </c>
      <c r="S286">
        <f>IF(OR(S$4="",$A286&gt;TODAY()),0,IF(OR(INDEX($B286:$D286,S$5)="F",AND(S$6&gt;0,$A286&lt;S$6),AND(S$7&gt;0,$A286&gt;S$7)),0,MAX(0,ROUND((INDEX($E286:$G286,S$5)-SUMIFS(TF_Timer,TF_Tekniker,S$4,TF_Dato,$A286))*2,0)/2)))</f>
        <v/>
      </c>
      <c r="T286">
        <f>IF(OR(T$4="",$A286&gt;TODAY()),0,IF(OR(INDEX($B286:$D286,T$5)="F",AND(T$6&gt;0,$A286&lt;T$6),AND(T$7&gt;0,$A286&gt;T$7)),0,MAX(0,ROUND((INDEX($E286:$G286,T$5)-SUMIFS(TF_Timer,TF_Tekniker,T$4,TF_Dato,$A286))*2,0)/2)))</f>
        <v/>
      </c>
      <c r="U286">
        <f>IF(OR(U$4="",$A286&gt;TODAY()),0,IF(OR(INDEX($B286:$D286,U$5)="F",AND(U$6&gt;0,$A286&lt;U$6),AND(U$7&gt;0,$A286&gt;U$7)),0,MAX(0,ROUND((INDEX($E286:$G286,U$5)-SUMIFS(TF_Timer,TF_Tekniker,U$4,TF_Dato,$A286))*2,0)/2)))</f>
        <v/>
      </c>
      <c r="V286">
        <f>IF(OR(V$4="",$A286&gt;TODAY()),0,IF(OR(INDEX($B286:$D286,V$5)="F",AND(V$6&gt;0,$A286&lt;V$6),AND(V$7&gt;0,$A286&gt;V$7)),0,MAX(0,ROUND((INDEX($E286:$G286,V$5)-SUMIFS(TF_Timer,TF_Tekniker,V$4,TF_Dato,$A286))*2,0)/2)))</f>
        <v/>
      </c>
      <c r="W286">
        <f>IF(OR(W$4="",$A286&gt;TODAY()),0,IF(OR(INDEX($B286:$D286,W$5)="F",AND(W$6&gt;0,$A286&lt;W$6),AND(W$7&gt;0,$A286&gt;W$7)),0,MAX(0,ROUND((INDEX($E286:$G286,W$5)-SUMIFS(TF_Timer,TF_Tekniker,W$4,TF_Dato,$A286))*2,0)/2)))</f>
        <v/>
      </c>
      <c r="X286">
        <f>IF(OR(X$4="",$A286&gt;TODAY()),0,IF(OR(INDEX($B286:$D286,X$5)="F",AND(X$6&gt;0,$A286&lt;X$6),AND(X$7&gt;0,$A286&gt;X$7)),0,MAX(0,ROUND((INDEX($E286:$G286,X$5)-SUMIFS(TF_Timer,TF_Tekniker,X$4,TF_Dato,$A286))*2,0)/2)))</f>
        <v/>
      </c>
      <c r="Y286">
        <f>IF(OR(Y$4="",$A286&gt;TODAY()),0,IF(OR(INDEX($B286:$D286,Y$5)="F",AND(Y$6&gt;0,$A286&lt;Y$6),AND(Y$7&gt;0,$A286&gt;Y$7)),0,MAX(0,ROUND((INDEX($E286:$G286,Y$5)-SUMIFS(TF_Timer,TF_Tekniker,Y$4,TF_Dato,$A286))*2,0)/2)))</f>
        <v/>
      </c>
      <c r="Z286">
        <f>IF(OR(Z$4="",$A286&gt;TODAY()),0,IF(OR(INDEX($B286:$D286,Z$5)="F",AND(Z$6&gt;0,$A286&lt;Z$6),AND(Z$7&gt;0,$A286&gt;Z$7)),0,MAX(0,ROUND((INDEX($E286:$G286,Z$5)-SUMIFS(TF_Timer,TF_Tekniker,Z$4,TF_Dato,$A286))*2,0)/2)))</f>
        <v/>
      </c>
      <c r="AA286">
        <f>IF(OR(AA$4="",$A286&gt;TODAY()),0,IF(OR(INDEX($B286:$D286,AA$5)="F",AND(AA$6&gt;0,$A286&lt;AA$6),AND(AA$7&gt;0,$A286&gt;AA$7)),0,MAX(0,ROUND((INDEX($E286:$G286,AA$5)-SUMIFS(TF_Timer,TF_Tekniker,AA$4,TF_Dato,$A286))*2,0)/2)))</f>
        <v/>
      </c>
      <c r="AB286">
        <f>IF(OR(AB$4="",$A286&gt;TODAY()),0,IF(OR(INDEX($B286:$D286,AB$5)="F",AND(AB$6&gt;0,$A286&lt;AB$6),AND(AB$7&gt;0,$A286&gt;AB$7)),0,MAX(0,ROUND((INDEX($E286:$G286,AB$5)-SUMIFS(TF_Timer,TF_Tekniker,AB$4,TF_Dato,$A286))*2,0)/2)))</f>
        <v/>
      </c>
      <c r="AC286">
        <f>IF(OR(AC$4="",$A286&gt;TODAY()),0,IF(OR(INDEX($B286:$D286,AC$5)="F",AND(AC$6&gt;0,$A286&lt;AC$6),AND(AC$7&gt;0,$A286&gt;AC$7)),0,MAX(0,ROUND((INDEX($E286:$G286,AC$5)-SUMIFS(TF_Timer,TF_Tekniker,AC$4,TF_Dato,$A286))*2,0)/2)))</f>
        <v/>
      </c>
      <c r="AD286">
        <f>IF(OR(AD$4="",$A286&gt;TODAY()),0,IF(OR(INDEX($B286:$D286,AD$5)="F",AND(AD$6&gt;0,$A286&lt;AD$6),AND(AD$7&gt;0,$A286&gt;AD$7)),0,MAX(0,ROUND((INDEX($E286:$G286,AD$5)-SUMIFS(TF_Timer,TF_Tekniker,AD$4,TF_Dato,$A286))*2,0)/2)))</f>
        <v/>
      </c>
      <c r="AE286">
        <f>IF(OR(AE$4="",$A286&gt;TODAY()),0,IF(OR(INDEX($B286:$D286,AE$5)="F",AND(AE$6&gt;0,$A286&lt;AE$6),AND(AE$7&gt;0,$A286&gt;AE$7)),0,MAX(0,ROUND((INDEX($E286:$G286,AE$5)-SUMIFS(TF_Timer,TF_Tekniker,AE$4,TF_Dato,$A286))*2,0)/2)))</f>
        <v/>
      </c>
      <c r="AF286">
        <f>IF(OR(AF$4="",$A286&gt;TODAY()),0,IF(OR(INDEX($B286:$D286,AF$5)="F",AND(AF$6&gt;0,$A286&lt;AF$6),AND(AF$7&gt;0,$A286&gt;AF$7)),0,MAX(0,ROUND((INDEX($E286:$G286,AF$5)-SUMIFS(TF_Timer,TF_Tekniker,AF$4,TF_Dato,$A286))*2,0)/2)))</f>
        <v/>
      </c>
      <c r="AG286">
        <f>IF(OR(AG$4="",$A286&gt;TODAY()),0,IF(OR(INDEX($B286:$D286,AG$5)="F",AND(AG$6&gt;0,$A286&lt;AG$6),AND(AG$7&gt;0,$A286&gt;AG$7)),0,MAX(0,ROUND((INDEX($E286:$G286,AG$5)-SUMIFS(TF_Timer,TF_Tekniker,AG$4,TF_Dato,$A286))*2,0)/2)))</f>
        <v/>
      </c>
      <c r="AH286">
        <f>IF(OR(AH$4="",$A286&gt;TODAY()),0,IF(OR(INDEX($B286:$D286,AH$5)="F",AND(AH$6&gt;0,$A286&lt;AH$6),AND(AH$7&gt;0,$A286&gt;AH$7)),0,MAX(0,ROUND((INDEX($E286:$G286,AH$5)-SUMIFS(TF_Timer,TF_Tekniker,AH$4,TF_Dato,$A286))*2,0)/2)))</f>
        <v/>
      </c>
      <c r="AI286">
        <f>IF(OR(AI$4="",$A286&gt;TODAY()),0,IF(OR(INDEX($B286:$D286,AI$5)="F",AND(AI$6&gt;0,$A286&lt;AI$6),AND(AI$7&gt;0,$A286&gt;AI$7)),0,MAX(0,ROUND((INDEX($E286:$G286,AI$5)-SUMIFS(TF_Timer,TF_Tekniker,AI$4,TF_Dato,$A286))*2,0)/2)))</f>
        <v/>
      </c>
      <c r="AJ286">
        <f>IF(OR(AJ$4="",$A286&gt;TODAY()),0,IF(OR(INDEX($B286:$D286,AJ$5)="F",AND(AJ$6&gt;0,$A286&lt;AJ$6),AND(AJ$7&gt;0,$A286&gt;AJ$7)),0,MAX(0,ROUND((INDEX($E286:$G286,AJ$5)-SUMIFS(TF_Timer,TF_Tekniker,AJ$4,TF_Dato,$A286))*2,0)/2)))</f>
        <v/>
      </c>
      <c r="AK286">
        <f>IF(OR(AK$4="",$A286&gt;TODAY()),0,IF(OR(INDEX($B286:$D286,AK$5)="F",AND(AK$6&gt;0,$A286&lt;AK$6),AND(AK$7&gt;0,$A286&gt;AK$7)),0,MAX(0,ROUND((INDEX($E286:$G286,AK$5)-SUMIFS(TF_Timer,TF_Tekniker,AK$4,TF_Dato,$A286))*2,0)/2)))</f>
        <v/>
      </c>
      <c r="AL286">
        <f>IF(OR(AL$4="",$A286&gt;TODAY()),0,IF(OR(INDEX($B286:$D286,AL$5)="F",AND(AL$6&gt;0,$A286&lt;AL$6),AND(AL$7&gt;0,$A286&gt;AL$7)),0,MAX(0,ROUND((INDEX($E286:$G286,AL$5)-SUMIFS(TF_Timer,TF_Tekniker,AL$4,TF_Dato,$A286))*2,0)/2)))</f>
        <v/>
      </c>
      <c r="AM286">
        <f>IF(OR(AM$4="",$A286&gt;TODAY()),0,IF(OR(INDEX($B286:$D286,AM$5)="F",AND(AM$6&gt;0,$A286&lt;AM$6),AND(AM$7&gt;0,$A286&gt;AM$7)),0,MAX(0,ROUND((INDEX($E286:$G286,AM$5)-SUMIFS(TF_Timer,TF_Tekniker,AM$4,TF_Dato,$A286))*2,0)/2)))</f>
        <v/>
      </c>
      <c r="AN286">
        <f>IF(OR(AN$4="",$A286&gt;TODAY()),0,IF(OR(INDEX($B286:$D286,AN$5)="F",AND(AN$6&gt;0,$A286&lt;AN$6),AND(AN$7&gt;0,$A286&gt;AN$7)),0,MAX(0,ROUND((INDEX($E286:$G286,AN$5)-SUMIFS(TF_Timer,TF_Tekniker,AN$4,TF_Dato,$A286))*2,0)/2)))</f>
        <v/>
      </c>
      <c r="AO286">
        <f>IF(OR(AO$4="",$A286&gt;TODAY()),0,IF(OR(INDEX($B286:$D286,AO$5)="F",AND(AO$6&gt;0,$A286&lt;AO$6),AND(AO$7&gt;0,$A286&gt;AO$7)),0,MAX(0,ROUND((INDEX($E286:$G286,AO$5)-SUMIFS(TF_Timer,TF_Tekniker,AO$4,TF_Dato,$A286))*2,0)/2)))</f>
        <v/>
      </c>
      <c r="AP286">
        <f>IF(OR(AP$4="",$A286&gt;TODAY()),0,IF(OR(INDEX($B286:$D286,AP$5)="F",AND(AP$6&gt;0,$A286&lt;AP$6),AND(AP$7&gt;0,$A286&gt;AP$7)),0,MAX(0,ROUND((INDEX($E286:$G286,AP$5)-SUMIFS(TF_Timer,TF_Tekniker,AP$4,TF_Dato,$A286))*2,0)/2)))</f>
        <v/>
      </c>
      <c r="AQ286">
        <f>IF(OR(AQ$4="",$A286&gt;TODAY()),0,IF(OR(INDEX($B286:$D286,AQ$5)="F",AND(AQ$6&gt;0,$A286&lt;AQ$6),AND(AQ$7&gt;0,$A286&gt;AQ$7)),0,MAX(0,ROUND((INDEX($E286:$G286,AQ$5)-SUMIFS(TF_Timer,TF_Tekniker,AQ$4,TF_Dato,$A286))*2,0)/2)))</f>
        <v/>
      </c>
      <c r="AR286">
        <f>IF(OR(AR$4="",$A286&gt;TODAY()),0,IF(OR(INDEX($B286:$D286,AR$5)="F",AND(AR$6&gt;0,$A286&lt;AR$6),AND(AR$7&gt;0,$A286&gt;AR$7)),0,MAX(0,ROUND((INDEX($E286:$G286,AR$5)-SUMIFS(TF_Timer,TF_Tekniker,AR$4,TF_Dato,$A286))*2,0)/2)))</f>
        <v/>
      </c>
      <c r="AS286">
        <f>IF(OR(AS$4="",$A286&gt;TODAY()),0,IF(OR(INDEX($B286:$D286,AS$5)="F",AND(AS$6&gt;0,$A286&lt;AS$6),AND(AS$7&gt;0,$A286&gt;AS$7)),0,MAX(0,ROUND((INDEX($E286:$G286,AS$5)-SUMIFS(TF_Timer,TF_Tekniker,AS$4,TF_Dato,$A286))*2,0)/2)))</f>
        <v/>
      </c>
      <c r="AT286">
        <f>IF(OR(AT$4="",$A286&gt;TODAY()),0,IF(OR(INDEX($B286:$D286,AT$5)="F",AND(AT$6&gt;0,$A286&lt;AT$6),AND(AT$7&gt;0,$A286&gt;AT$7)),0,MAX(0,ROUND((INDEX($E286:$G286,AT$5)-SUMIFS(TF_Timer,TF_Tekniker,AT$4,TF_Dato,$A286))*2,0)/2)))</f>
        <v/>
      </c>
      <c r="AU286">
        <f>IF(OR(AU$4="",$A286&gt;TODAY()),0,IF(OR(INDEX($B286:$D286,AU$5)="F",AND(AU$6&gt;0,$A286&lt;AU$6),AND(AU$7&gt;0,$A286&gt;AU$7)),0,MAX(0,ROUND((INDEX($E286:$G286,AU$5)-SUMIFS(TF_Timer,TF_Tekniker,AU$4,TF_Dato,$A286))*2,0)/2)))</f>
        <v/>
      </c>
      <c r="AV286">
        <f>IF(OR(AV$4="",$A286&gt;TODAY()),0,IF(OR(INDEX($B286:$D286,AV$5)="F",AND(AV$6&gt;0,$A286&lt;AV$6),AND(AV$7&gt;0,$A286&gt;AV$7)),0,MAX(0,ROUND((INDEX($E286:$G286,AV$5)-SUMIFS(TF_Timer,TF_Tekniker,AV$4,TF_Dato,$A286))*2,0)/2)))</f>
        <v/>
      </c>
      <c r="AW286">
        <f>IF(OR(AW$4="",$A286&gt;TODAY()),0,IF(OR(INDEX($B286:$D286,AW$5)="F",AND(AW$6&gt;0,$A286&lt;AW$6),AND(AW$7&gt;0,$A286&gt;AW$7)),0,MAX(0,ROUND((INDEX($E286:$G286,AW$5)-SUMIFS(TF_Timer,TF_Tekniker,AW$4,TF_Dato,$A286))*2,0)/2)))</f>
        <v/>
      </c>
      <c r="AX286">
        <f>IF(OR(AX$4="",$A286&gt;TODAY()),0,IF(OR(INDEX($B286:$D286,AX$5)="F",AND(AX$6&gt;0,$A286&lt;AX$6),AND(AX$7&gt;0,$A286&gt;AX$7)),0,MAX(0,ROUND((INDEX($E286:$G286,AX$5)-SUMIFS(TF_Timer,TF_Tekniker,AX$4,TF_Dato,$A286))*2,0)/2)))</f>
        <v/>
      </c>
      <c r="AY286">
        <f>IF(OR(AY$4="",$A286&gt;TODAY()),0,IF(OR(INDEX($B286:$D286,AY$5)="F",AND(AY$6&gt;0,$A286&lt;AY$6),AND(AY$7&gt;0,$A286&gt;AY$7)),0,MAX(0,ROUND((INDEX($E286:$G286,AY$5)-SUMIFS(TF_Timer,TF_Tekniker,AY$4,TF_Dato,$A286))*2,0)/2)))</f>
        <v/>
      </c>
      <c r="AZ286">
        <f>IF(OR(AZ$4="",$A286&gt;TODAY()),0,IF(OR(INDEX($B286:$D286,AZ$5)="F",AND(AZ$6&gt;0,$A286&lt;AZ$6),AND(AZ$7&gt;0,$A286&gt;AZ$7)),0,MAX(0,ROUND((INDEX($E286:$G286,AZ$5)-SUMIFS(TF_Timer,TF_Tekniker,AZ$4,TF_Dato,$A286))*2,0)/2)))</f>
        <v/>
      </c>
      <c r="BA286">
        <f>IF(OR(BA$4="",$A286&gt;TODAY()),0,IF(OR(INDEX($B286:$D286,BA$5)="F",AND(BA$6&gt;0,$A286&lt;BA$6),AND(BA$7&gt;0,$A286&gt;BA$7)),0,MAX(0,ROUND((INDEX($E286:$G286,BA$5)-SUMIFS(TF_Timer,TF_Tekniker,BA$4,TF_Dato,$A286))*2,0)/2)))</f>
        <v/>
      </c>
      <c r="BB286">
        <f>IF(OR(BB$4="",$A286&gt;TODAY()),0,IF(OR(INDEX($B286:$D286,BB$5)="F",AND(BB$6&gt;0,$A286&lt;BB$6),AND(BB$7&gt;0,$A286&gt;BB$7)),0,MAX(0,ROUND((INDEX($E286:$G286,BB$5)-SUMIFS(TF_Timer,TF_Tekniker,BB$4,TF_Dato,$A286))*2,0)/2)))</f>
        <v/>
      </c>
      <c r="BC286">
        <f>IF(OR(BC$4="",$A286&gt;TODAY()),0,IF(OR(INDEX($B286:$D286,BC$5)="F",AND(BC$6&gt;0,$A286&lt;BC$6),AND(BC$7&gt;0,$A286&gt;BC$7)),0,MAX(0,ROUND((INDEX($E286:$G286,BC$5)-SUMIFS(TF_Timer,TF_Tekniker,BC$4,TF_Dato,$A286))*2,0)/2)))</f>
        <v/>
      </c>
      <c r="BD286">
        <f>IF(OR(BD$4="",$A286&gt;TODAY()),0,IF(OR(INDEX($B286:$D286,BD$5)="F",AND(BD$6&gt;0,$A286&lt;BD$6),AND(BD$7&gt;0,$A286&gt;BD$7)),0,MAX(0,ROUND((INDEX($E286:$G286,BD$5)-SUMIFS(TF_Timer,TF_Tekniker,BD$4,TF_Dato,$A286))*2,0)/2)))</f>
        <v/>
      </c>
      <c r="BE286">
        <f>IF(OR(BE$4="",$A286&gt;TODAY()),0,IF(OR(INDEX($B286:$D286,BE$5)="F",AND(BE$6&gt;0,$A286&lt;BE$6),AND(BE$7&gt;0,$A286&gt;BE$7)),0,MAX(0,ROUND((INDEX($E286:$G286,BE$5)-SUMIFS(TF_Timer,TF_Tekniker,BE$4,TF_Dato,$A286))*2,0)/2)))</f>
        <v/>
      </c>
      <c r="BF286">
        <f>IF(OR(BF$4="",$A286&gt;TODAY()),0,IF(OR(INDEX($B286:$D286,BF$5)="F",AND(BF$6&gt;0,$A286&lt;BF$6),AND(BF$7&gt;0,$A286&gt;BF$7)),0,MAX(0,ROUND((INDEX($E286:$G286,BF$5)-SUMIFS(TF_Timer,TF_Tekniker,BF$4,TF_Dato,$A286))*2,0)/2)))</f>
        <v/>
      </c>
      <c r="BG286">
        <f>IF(OR(BG$4="",$A286&gt;TODAY()),0,IF(OR(INDEX($B286:$D286,BG$5)="F",AND(BG$6&gt;0,$A286&lt;BG$6),AND(BG$7&gt;0,$A286&gt;BG$7)),0,MAX(0,ROUND((INDEX($E286:$G286,BG$5)-SUMIFS(TF_Timer,TF_Tekniker,BG$4,TF_Dato,$A286))*2,0)/2)))</f>
        <v/>
      </c>
      <c r="BH286">
        <f>IF(OR(BH$4="",$A286&gt;TODAY()),0,IF(OR(INDEX($B286:$D286,BH$5)="F",AND(BH$6&gt;0,$A286&lt;BH$6),AND(BH$7&gt;0,$A286&gt;BH$7)),0,MAX(0,ROUND((INDEX($E286:$G286,BH$5)-SUMIFS(TF_Timer,TF_Tekniker,BH$4,TF_Dato,$A286))*2,0)/2)))</f>
        <v/>
      </c>
      <c r="BI286">
        <f>IF(OR(BI$4="",$A286&gt;TODAY()),0,IF(OR(INDEX($B286:$D286,BI$5)="F",AND(BI$6&gt;0,$A286&lt;BI$6),AND(BI$7&gt;0,$A286&gt;BI$7)),0,MAX(0,ROUND((INDEX($E286:$G286,BI$5)-SUMIFS(TF_Timer,TF_Tekniker,BI$4,TF_Dato,$A286))*2,0)/2)))</f>
        <v/>
      </c>
    </row>
    <row r="287">
      <c r="A287" s="64">
        <f>A286+1</f>
        <v/>
      </c>
      <c r="B287">
        <f>IF(MOD($A287-INDEX(SkiftStart,1),Syklus)&lt;DagK,"K",IF(MOD($A287-INDEX(SkiftStart,1),Syklus)&lt;DagK+DagH,"H",IF(MOD($A287-INDEX(SkiftStart,1),Syklus)&lt;DagK+DagH+DagD,"D","F")))</f>
        <v/>
      </c>
      <c r="C287">
        <f>IF(MOD($A287-INDEX(SkiftStart,2),Syklus)&lt;DagK,"K",IF(MOD($A287-INDEX(SkiftStart,2),Syklus)&lt;DagK+DagH,"H",IF(MOD($A287-INDEX(SkiftStart,2),Syklus)&lt;DagK+DagH+DagD,"D","F")))</f>
        <v/>
      </c>
      <c r="D287">
        <f>IF(MOD($A287-INDEX(SkiftStart,3),Syklus)&lt;DagK,"K",IF(MOD($A287-INDEX(SkiftStart,3),Syklus)&lt;DagK+DagH,"H",IF(MOD($A287-INDEX(SkiftStart,3),Syklus)&lt;DagK+DagH+DagD,"D","F")))</f>
        <v/>
      </c>
      <c r="E287">
        <f>IF(B287="F",0,IF(WEEKDAY($A287,2)=5,INDEX(TimerFr,MATCH(B287,FaseKode,0)),INDEX(TimerMT,MATCH(B287,FaseKode,0))))</f>
        <v/>
      </c>
      <c r="F287">
        <f>IF(C287="F",0,IF(WEEKDAY($A287,2)=5,INDEX(TimerFr,MATCH(C287,FaseKode,0)),INDEX(TimerMT,MATCH(C287,FaseKode,0))))</f>
        <v/>
      </c>
      <c r="G287">
        <f>IF(D287="F",0,IF(WEEKDAY($A287,2)=5,INDEX(TimerFr,MATCH(D287,FaseKode,0)),INDEX(TimerMT,MATCH(D287,FaseKode,0))))</f>
        <v/>
      </c>
      <c r="H287">
        <f>IF(OR(H$4="",$A287&gt;TODAY()),0,IF(OR(INDEX($B287:$D287,H$5)="F",AND(H$6&gt;0,$A287&lt;H$6),AND(H$7&gt;0,$A287&gt;H$7)),0,MAX(0,ROUND((INDEX($E287:$G287,H$5)-SUMIFS(TF_Timer,TF_Tekniker,H$4,TF_Dato,$A287))*2,0)/2)))</f>
        <v/>
      </c>
      <c r="I287">
        <f>IF(OR(I$4="",$A287&gt;TODAY()),0,IF(OR(INDEX($B287:$D287,I$5)="F",AND(I$6&gt;0,$A287&lt;I$6),AND(I$7&gt;0,$A287&gt;I$7)),0,MAX(0,ROUND((INDEX($E287:$G287,I$5)-SUMIFS(TF_Timer,TF_Tekniker,I$4,TF_Dato,$A287))*2,0)/2)))</f>
        <v/>
      </c>
      <c r="J287">
        <f>IF(OR(J$4="",$A287&gt;TODAY()),0,IF(OR(INDEX($B287:$D287,J$5)="F",AND(J$6&gt;0,$A287&lt;J$6),AND(J$7&gt;0,$A287&gt;J$7)),0,MAX(0,ROUND((INDEX($E287:$G287,J$5)-SUMIFS(TF_Timer,TF_Tekniker,J$4,TF_Dato,$A287))*2,0)/2)))</f>
        <v/>
      </c>
      <c r="K287">
        <f>IF(OR(K$4="",$A287&gt;TODAY()),0,IF(OR(INDEX($B287:$D287,K$5)="F",AND(K$6&gt;0,$A287&lt;K$6),AND(K$7&gt;0,$A287&gt;K$7)),0,MAX(0,ROUND((INDEX($E287:$G287,K$5)-SUMIFS(TF_Timer,TF_Tekniker,K$4,TF_Dato,$A287))*2,0)/2)))</f>
        <v/>
      </c>
      <c r="L287">
        <f>IF(OR(L$4="",$A287&gt;TODAY()),0,IF(OR(INDEX($B287:$D287,L$5)="F",AND(L$6&gt;0,$A287&lt;L$6),AND(L$7&gt;0,$A287&gt;L$7)),0,MAX(0,ROUND((INDEX($E287:$G287,L$5)-SUMIFS(TF_Timer,TF_Tekniker,L$4,TF_Dato,$A287))*2,0)/2)))</f>
        <v/>
      </c>
      <c r="M287">
        <f>IF(OR(M$4="",$A287&gt;TODAY()),0,IF(OR(INDEX($B287:$D287,M$5)="F",AND(M$6&gt;0,$A287&lt;M$6),AND(M$7&gt;0,$A287&gt;M$7)),0,MAX(0,ROUND((INDEX($E287:$G287,M$5)-SUMIFS(TF_Timer,TF_Tekniker,M$4,TF_Dato,$A287))*2,0)/2)))</f>
        <v/>
      </c>
      <c r="N287">
        <f>IF(OR(N$4="",$A287&gt;TODAY()),0,IF(OR(INDEX($B287:$D287,N$5)="F",AND(N$6&gt;0,$A287&lt;N$6),AND(N$7&gt;0,$A287&gt;N$7)),0,MAX(0,ROUND((INDEX($E287:$G287,N$5)-SUMIFS(TF_Timer,TF_Tekniker,N$4,TF_Dato,$A287))*2,0)/2)))</f>
        <v/>
      </c>
      <c r="O287">
        <f>IF(OR(O$4="",$A287&gt;TODAY()),0,IF(OR(INDEX($B287:$D287,O$5)="F",AND(O$6&gt;0,$A287&lt;O$6),AND(O$7&gt;0,$A287&gt;O$7)),0,MAX(0,ROUND((INDEX($E287:$G287,O$5)-SUMIFS(TF_Timer,TF_Tekniker,O$4,TF_Dato,$A287))*2,0)/2)))</f>
        <v/>
      </c>
      <c r="P287">
        <f>IF(OR(P$4="",$A287&gt;TODAY()),0,IF(OR(INDEX($B287:$D287,P$5)="F",AND(P$6&gt;0,$A287&lt;P$6),AND(P$7&gt;0,$A287&gt;P$7)),0,MAX(0,ROUND((INDEX($E287:$G287,P$5)-SUMIFS(TF_Timer,TF_Tekniker,P$4,TF_Dato,$A287))*2,0)/2)))</f>
        <v/>
      </c>
      <c r="Q287">
        <f>IF(OR(Q$4="",$A287&gt;TODAY()),0,IF(OR(INDEX($B287:$D287,Q$5)="F",AND(Q$6&gt;0,$A287&lt;Q$6),AND(Q$7&gt;0,$A287&gt;Q$7)),0,MAX(0,ROUND((INDEX($E287:$G287,Q$5)-SUMIFS(TF_Timer,TF_Tekniker,Q$4,TF_Dato,$A287))*2,0)/2)))</f>
        <v/>
      </c>
      <c r="R287">
        <f>IF(OR(R$4="",$A287&gt;TODAY()),0,IF(OR(INDEX($B287:$D287,R$5)="F",AND(R$6&gt;0,$A287&lt;R$6),AND(R$7&gt;0,$A287&gt;R$7)),0,MAX(0,ROUND((INDEX($E287:$G287,R$5)-SUMIFS(TF_Timer,TF_Tekniker,R$4,TF_Dato,$A287))*2,0)/2)))</f>
        <v/>
      </c>
      <c r="S287">
        <f>IF(OR(S$4="",$A287&gt;TODAY()),0,IF(OR(INDEX($B287:$D287,S$5)="F",AND(S$6&gt;0,$A287&lt;S$6),AND(S$7&gt;0,$A287&gt;S$7)),0,MAX(0,ROUND((INDEX($E287:$G287,S$5)-SUMIFS(TF_Timer,TF_Tekniker,S$4,TF_Dato,$A287))*2,0)/2)))</f>
        <v/>
      </c>
      <c r="T287">
        <f>IF(OR(T$4="",$A287&gt;TODAY()),0,IF(OR(INDEX($B287:$D287,T$5)="F",AND(T$6&gt;0,$A287&lt;T$6),AND(T$7&gt;0,$A287&gt;T$7)),0,MAX(0,ROUND((INDEX($E287:$G287,T$5)-SUMIFS(TF_Timer,TF_Tekniker,T$4,TF_Dato,$A287))*2,0)/2)))</f>
        <v/>
      </c>
      <c r="U287">
        <f>IF(OR(U$4="",$A287&gt;TODAY()),0,IF(OR(INDEX($B287:$D287,U$5)="F",AND(U$6&gt;0,$A287&lt;U$6),AND(U$7&gt;0,$A287&gt;U$7)),0,MAX(0,ROUND((INDEX($E287:$G287,U$5)-SUMIFS(TF_Timer,TF_Tekniker,U$4,TF_Dato,$A287))*2,0)/2)))</f>
        <v/>
      </c>
      <c r="V287">
        <f>IF(OR(V$4="",$A287&gt;TODAY()),0,IF(OR(INDEX($B287:$D287,V$5)="F",AND(V$6&gt;0,$A287&lt;V$6),AND(V$7&gt;0,$A287&gt;V$7)),0,MAX(0,ROUND((INDEX($E287:$G287,V$5)-SUMIFS(TF_Timer,TF_Tekniker,V$4,TF_Dato,$A287))*2,0)/2)))</f>
        <v/>
      </c>
      <c r="W287">
        <f>IF(OR(W$4="",$A287&gt;TODAY()),0,IF(OR(INDEX($B287:$D287,W$5)="F",AND(W$6&gt;0,$A287&lt;W$6),AND(W$7&gt;0,$A287&gt;W$7)),0,MAX(0,ROUND((INDEX($E287:$G287,W$5)-SUMIFS(TF_Timer,TF_Tekniker,W$4,TF_Dato,$A287))*2,0)/2)))</f>
        <v/>
      </c>
      <c r="X287">
        <f>IF(OR(X$4="",$A287&gt;TODAY()),0,IF(OR(INDEX($B287:$D287,X$5)="F",AND(X$6&gt;0,$A287&lt;X$6),AND(X$7&gt;0,$A287&gt;X$7)),0,MAX(0,ROUND((INDEX($E287:$G287,X$5)-SUMIFS(TF_Timer,TF_Tekniker,X$4,TF_Dato,$A287))*2,0)/2)))</f>
        <v/>
      </c>
      <c r="Y287">
        <f>IF(OR(Y$4="",$A287&gt;TODAY()),0,IF(OR(INDEX($B287:$D287,Y$5)="F",AND(Y$6&gt;0,$A287&lt;Y$6),AND(Y$7&gt;0,$A287&gt;Y$7)),0,MAX(0,ROUND((INDEX($E287:$G287,Y$5)-SUMIFS(TF_Timer,TF_Tekniker,Y$4,TF_Dato,$A287))*2,0)/2)))</f>
        <v/>
      </c>
      <c r="Z287">
        <f>IF(OR(Z$4="",$A287&gt;TODAY()),0,IF(OR(INDEX($B287:$D287,Z$5)="F",AND(Z$6&gt;0,$A287&lt;Z$6),AND(Z$7&gt;0,$A287&gt;Z$7)),0,MAX(0,ROUND((INDEX($E287:$G287,Z$5)-SUMIFS(TF_Timer,TF_Tekniker,Z$4,TF_Dato,$A287))*2,0)/2)))</f>
        <v/>
      </c>
      <c r="AA287">
        <f>IF(OR(AA$4="",$A287&gt;TODAY()),0,IF(OR(INDEX($B287:$D287,AA$5)="F",AND(AA$6&gt;0,$A287&lt;AA$6),AND(AA$7&gt;0,$A287&gt;AA$7)),0,MAX(0,ROUND((INDEX($E287:$G287,AA$5)-SUMIFS(TF_Timer,TF_Tekniker,AA$4,TF_Dato,$A287))*2,0)/2)))</f>
        <v/>
      </c>
      <c r="AB287">
        <f>IF(OR(AB$4="",$A287&gt;TODAY()),0,IF(OR(INDEX($B287:$D287,AB$5)="F",AND(AB$6&gt;0,$A287&lt;AB$6),AND(AB$7&gt;0,$A287&gt;AB$7)),0,MAX(0,ROUND((INDEX($E287:$G287,AB$5)-SUMIFS(TF_Timer,TF_Tekniker,AB$4,TF_Dato,$A287))*2,0)/2)))</f>
        <v/>
      </c>
      <c r="AC287">
        <f>IF(OR(AC$4="",$A287&gt;TODAY()),0,IF(OR(INDEX($B287:$D287,AC$5)="F",AND(AC$6&gt;0,$A287&lt;AC$6),AND(AC$7&gt;0,$A287&gt;AC$7)),0,MAX(0,ROUND((INDEX($E287:$G287,AC$5)-SUMIFS(TF_Timer,TF_Tekniker,AC$4,TF_Dato,$A287))*2,0)/2)))</f>
        <v/>
      </c>
      <c r="AD287">
        <f>IF(OR(AD$4="",$A287&gt;TODAY()),0,IF(OR(INDEX($B287:$D287,AD$5)="F",AND(AD$6&gt;0,$A287&lt;AD$6),AND(AD$7&gt;0,$A287&gt;AD$7)),0,MAX(0,ROUND((INDEX($E287:$G287,AD$5)-SUMIFS(TF_Timer,TF_Tekniker,AD$4,TF_Dato,$A287))*2,0)/2)))</f>
        <v/>
      </c>
      <c r="AE287">
        <f>IF(OR(AE$4="",$A287&gt;TODAY()),0,IF(OR(INDEX($B287:$D287,AE$5)="F",AND(AE$6&gt;0,$A287&lt;AE$6),AND(AE$7&gt;0,$A287&gt;AE$7)),0,MAX(0,ROUND((INDEX($E287:$G287,AE$5)-SUMIFS(TF_Timer,TF_Tekniker,AE$4,TF_Dato,$A287))*2,0)/2)))</f>
        <v/>
      </c>
      <c r="AF287">
        <f>IF(OR(AF$4="",$A287&gt;TODAY()),0,IF(OR(INDEX($B287:$D287,AF$5)="F",AND(AF$6&gt;0,$A287&lt;AF$6),AND(AF$7&gt;0,$A287&gt;AF$7)),0,MAX(0,ROUND((INDEX($E287:$G287,AF$5)-SUMIFS(TF_Timer,TF_Tekniker,AF$4,TF_Dato,$A287))*2,0)/2)))</f>
        <v/>
      </c>
      <c r="AG287">
        <f>IF(OR(AG$4="",$A287&gt;TODAY()),0,IF(OR(INDEX($B287:$D287,AG$5)="F",AND(AG$6&gt;0,$A287&lt;AG$6),AND(AG$7&gt;0,$A287&gt;AG$7)),0,MAX(0,ROUND((INDEX($E287:$G287,AG$5)-SUMIFS(TF_Timer,TF_Tekniker,AG$4,TF_Dato,$A287))*2,0)/2)))</f>
        <v/>
      </c>
      <c r="AH287">
        <f>IF(OR(AH$4="",$A287&gt;TODAY()),0,IF(OR(INDEX($B287:$D287,AH$5)="F",AND(AH$6&gt;0,$A287&lt;AH$6),AND(AH$7&gt;0,$A287&gt;AH$7)),0,MAX(0,ROUND((INDEX($E287:$G287,AH$5)-SUMIFS(TF_Timer,TF_Tekniker,AH$4,TF_Dato,$A287))*2,0)/2)))</f>
        <v/>
      </c>
      <c r="AI287">
        <f>IF(OR(AI$4="",$A287&gt;TODAY()),0,IF(OR(INDEX($B287:$D287,AI$5)="F",AND(AI$6&gt;0,$A287&lt;AI$6),AND(AI$7&gt;0,$A287&gt;AI$7)),0,MAX(0,ROUND((INDEX($E287:$G287,AI$5)-SUMIFS(TF_Timer,TF_Tekniker,AI$4,TF_Dato,$A287))*2,0)/2)))</f>
        <v/>
      </c>
      <c r="AJ287">
        <f>IF(OR(AJ$4="",$A287&gt;TODAY()),0,IF(OR(INDEX($B287:$D287,AJ$5)="F",AND(AJ$6&gt;0,$A287&lt;AJ$6),AND(AJ$7&gt;0,$A287&gt;AJ$7)),0,MAX(0,ROUND((INDEX($E287:$G287,AJ$5)-SUMIFS(TF_Timer,TF_Tekniker,AJ$4,TF_Dato,$A287))*2,0)/2)))</f>
        <v/>
      </c>
      <c r="AK287">
        <f>IF(OR(AK$4="",$A287&gt;TODAY()),0,IF(OR(INDEX($B287:$D287,AK$5)="F",AND(AK$6&gt;0,$A287&lt;AK$6),AND(AK$7&gt;0,$A287&gt;AK$7)),0,MAX(0,ROUND((INDEX($E287:$G287,AK$5)-SUMIFS(TF_Timer,TF_Tekniker,AK$4,TF_Dato,$A287))*2,0)/2)))</f>
        <v/>
      </c>
      <c r="AL287">
        <f>IF(OR(AL$4="",$A287&gt;TODAY()),0,IF(OR(INDEX($B287:$D287,AL$5)="F",AND(AL$6&gt;0,$A287&lt;AL$6),AND(AL$7&gt;0,$A287&gt;AL$7)),0,MAX(0,ROUND((INDEX($E287:$G287,AL$5)-SUMIFS(TF_Timer,TF_Tekniker,AL$4,TF_Dato,$A287))*2,0)/2)))</f>
        <v/>
      </c>
      <c r="AM287">
        <f>IF(OR(AM$4="",$A287&gt;TODAY()),0,IF(OR(INDEX($B287:$D287,AM$5)="F",AND(AM$6&gt;0,$A287&lt;AM$6),AND(AM$7&gt;0,$A287&gt;AM$7)),0,MAX(0,ROUND((INDEX($E287:$G287,AM$5)-SUMIFS(TF_Timer,TF_Tekniker,AM$4,TF_Dato,$A287))*2,0)/2)))</f>
        <v/>
      </c>
      <c r="AN287">
        <f>IF(OR(AN$4="",$A287&gt;TODAY()),0,IF(OR(INDEX($B287:$D287,AN$5)="F",AND(AN$6&gt;0,$A287&lt;AN$6),AND(AN$7&gt;0,$A287&gt;AN$7)),0,MAX(0,ROUND((INDEX($E287:$G287,AN$5)-SUMIFS(TF_Timer,TF_Tekniker,AN$4,TF_Dato,$A287))*2,0)/2)))</f>
        <v/>
      </c>
      <c r="AO287">
        <f>IF(OR(AO$4="",$A287&gt;TODAY()),0,IF(OR(INDEX($B287:$D287,AO$5)="F",AND(AO$6&gt;0,$A287&lt;AO$6),AND(AO$7&gt;0,$A287&gt;AO$7)),0,MAX(0,ROUND((INDEX($E287:$G287,AO$5)-SUMIFS(TF_Timer,TF_Tekniker,AO$4,TF_Dato,$A287))*2,0)/2)))</f>
        <v/>
      </c>
      <c r="AP287">
        <f>IF(OR(AP$4="",$A287&gt;TODAY()),0,IF(OR(INDEX($B287:$D287,AP$5)="F",AND(AP$6&gt;0,$A287&lt;AP$6),AND(AP$7&gt;0,$A287&gt;AP$7)),0,MAX(0,ROUND((INDEX($E287:$G287,AP$5)-SUMIFS(TF_Timer,TF_Tekniker,AP$4,TF_Dato,$A287))*2,0)/2)))</f>
        <v/>
      </c>
      <c r="AQ287">
        <f>IF(OR(AQ$4="",$A287&gt;TODAY()),0,IF(OR(INDEX($B287:$D287,AQ$5)="F",AND(AQ$6&gt;0,$A287&lt;AQ$6),AND(AQ$7&gt;0,$A287&gt;AQ$7)),0,MAX(0,ROUND((INDEX($E287:$G287,AQ$5)-SUMIFS(TF_Timer,TF_Tekniker,AQ$4,TF_Dato,$A287))*2,0)/2)))</f>
        <v/>
      </c>
      <c r="AR287">
        <f>IF(OR(AR$4="",$A287&gt;TODAY()),0,IF(OR(INDEX($B287:$D287,AR$5)="F",AND(AR$6&gt;0,$A287&lt;AR$6),AND(AR$7&gt;0,$A287&gt;AR$7)),0,MAX(0,ROUND((INDEX($E287:$G287,AR$5)-SUMIFS(TF_Timer,TF_Tekniker,AR$4,TF_Dato,$A287))*2,0)/2)))</f>
        <v/>
      </c>
      <c r="AS287">
        <f>IF(OR(AS$4="",$A287&gt;TODAY()),0,IF(OR(INDEX($B287:$D287,AS$5)="F",AND(AS$6&gt;0,$A287&lt;AS$6),AND(AS$7&gt;0,$A287&gt;AS$7)),0,MAX(0,ROUND((INDEX($E287:$G287,AS$5)-SUMIFS(TF_Timer,TF_Tekniker,AS$4,TF_Dato,$A287))*2,0)/2)))</f>
        <v/>
      </c>
      <c r="AT287">
        <f>IF(OR(AT$4="",$A287&gt;TODAY()),0,IF(OR(INDEX($B287:$D287,AT$5)="F",AND(AT$6&gt;0,$A287&lt;AT$6),AND(AT$7&gt;0,$A287&gt;AT$7)),0,MAX(0,ROUND((INDEX($E287:$G287,AT$5)-SUMIFS(TF_Timer,TF_Tekniker,AT$4,TF_Dato,$A287))*2,0)/2)))</f>
        <v/>
      </c>
      <c r="AU287">
        <f>IF(OR(AU$4="",$A287&gt;TODAY()),0,IF(OR(INDEX($B287:$D287,AU$5)="F",AND(AU$6&gt;0,$A287&lt;AU$6),AND(AU$7&gt;0,$A287&gt;AU$7)),0,MAX(0,ROUND((INDEX($E287:$G287,AU$5)-SUMIFS(TF_Timer,TF_Tekniker,AU$4,TF_Dato,$A287))*2,0)/2)))</f>
        <v/>
      </c>
      <c r="AV287">
        <f>IF(OR(AV$4="",$A287&gt;TODAY()),0,IF(OR(INDEX($B287:$D287,AV$5)="F",AND(AV$6&gt;0,$A287&lt;AV$6),AND(AV$7&gt;0,$A287&gt;AV$7)),0,MAX(0,ROUND((INDEX($E287:$G287,AV$5)-SUMIFS(TF_Timer,TF_Tekniker,AV$4,TF_Dato,$A287))*2,0)/2)))</f>
        <v/>
      </c>
      <c r="AW287">
        <f>IF(OR(AW$4="",$A287&gt;TODAY()),0,IF(OR(INDEX($B287:$D287,AW$5)="F",AND(AW$6&gt;0,$A287&lt;AW$6),AND(AW$7&gt;0,$A287&gt;AW$7)),0,MAX(0,ROUND((INDEX($E287:$G287,AW$5)-SUMIFS(TF_Timer,TF_Tekniker,AW$4,TF_Dato,$A287))*2,0)/2)))</f>
        <v/>
      </c>
      <c r="AX287">
        <f>IF(OR(AX$4="",$A287&gt;TODAY()),0,IF(OR(INDEX($B287:$D287,AX$5)="F",AND(AX$6&gt;0,$A287&lt;AX$6),AND(AX$7&gt;0,$A287&gt;AX$7)),0,MAX(0,ROUND((INDEX($E287:$G287,AX$5)-SUMIFS(TF_Timer,TF_Tekniker,AX$4,TF_Dato,$A287))*2,0)/2)))</f>
        <v/>
      </c>
      <c r="AY287">
        <f>IF(OR(AY$4="",$A287&gt;TODAY()),0,IF(OR(INDEX($B287:$D287,AY$5)="F",AND(AY$6&gt;0,$A287&lt;AY$6),AND(AY$7&gt;0,$A287&gt;AY$7)),0,MAX(0,ROUND((INDEX($E287:$G287,AY$5)-SUMIFS(TF_Timer,TF_Tekniker,AY$4,TF_Dato,$A287))*2,0)/2)))</f>
        <v/>
      </c>
      <c r="AZ287">
        <f>IF(OR(AZ$4="",$A287&gt;TODAY()),0,IF(OR(INDEX($B287:$D287,AZ$5)="F",AND(AZ$6&gt;0,$A287&lt;AZ$6),AND(AZ$7&gt;0,$A287&gt;AZ$7)),0,MAX(0,ROUND((INDEX($E287:$G287,AZ$5)-SUMIFS(TF_Timer,TF_Tekniker,AZ$4,TF_Dato,$A287))*2,0)/2)))</f>
        <v/>
      </c>
      <c r="BA287">
        <f>IF(OR(BA$4="",$A287&gt;TODAY()),0,IF(OR(INDEX($B287:$D287,BA$5)="F",AND(BA$6&gt;0,$A287&lt;BA$6),AND(BA$7&gt;0,$A287&gt;BA$7)),0,MAX(0,ROUND((INDEX($E287:$G287,BA$5)-SUMIFS(TF_Timer,TF_Tekniker,BA$4,TF_Dato,$A287))*2,0)/2)))</f>
        <v/>
      </c>
      <c r="BB287">
        <f>IF(OR(BB$4="",$A287&gt;TODAY()),0,IF(OR(INDEX($B287:$D287,BB$5)="F",AND(BB$6&gt;0,$A287&lt;BB$6),AND(BB$7&gt;0,$A287&gt;BB$7)),0,MAX(0,ROUND((INDEX($E287:$G287,BB$5)-SUMIFS(TF_Timer,TF_Tekniker,BB$4,TF_Dato,$A287))*2,0)/2)))</f>
        <v/>
      </c>
      <c r="BC287">
        <f>IF(OR(BC$4="",$A287&gt;TODAY()),0,IF(OR(INDEX($B287:$D287,BC$5)="F",AND(BC$6&gt;0,$A287&lt;BC$6),AND(BC$7&gt;0,$A287&gt;BC$7)),0,MAX(0,ROUND((INDEX($E287:$G287,BC$5)-SUMIFS(TF_Timer,TF_Tekniker,BC$4,TF_Dato,$A287))*2,0)/2)))</f>
        <v/>
      </c>
      <c r="BD287">
        <f>IF(OR(BD$4="",$A287&gt;TODAY()),0,IF(OR(INDEX($B287:$D287,BD$5)="F",AND(BD$6&gt;0,$A287&lt;BD$6),AND(BD$7&gt;0,$A287&gt;BD$7)),0,MAX(0,ROUND((INDEX($E287:$G287,BD$5)-SUMIFS(TF_Timer,TF_Tekniker,BD$4,TF_Dato,$A287))*2,0)/2)))</f>
        <v/>
      </c>
      <c r="BE287">
        <f>IF(OR(BE$4="",$A287&gt;TODAY()),0,IF(OR(INDEX($B287:$D287,BE$5)="F",AND(BE$6&gt;0,$A287&lt;BE$6),AND(BE$7&gt;0,$A287&gt;BE$7)),0,MAX(0,ROUND((INDEX($E287:$G287,BE$5)-SUMIFS(TF_Timer,TF_Tekniker,BE$4,TF_Dato,$A287))*2,0)/2)))</f>
        <v/>
      </c>
      <c r="BF287">
        <f>IF(OR(BF$4="",$A287&gt;TODAY()),0,IF(OR(INDEX($B287:$D287,BF$5)="F",AND(BF$6&gt;0,$A287&lt;BF$6),AND(BF$7&gt;0,$A287&gt;BF$7)),0,MAX(0,ROUND((INDEX($E287:$G287,BF$5)-SUMIFS(TF_Timer,TF_Tekniker,BF$4,TF_Dato,$A287))*2,0)/2)))</f>
        <v/>
      </c>
      <c r="BG287">
        <f>IF(OR(BG$4="",$A287&gt;TODAY()),0,IF(OR(INDEX($B287:$D287,BG$5)="F",AND(BG$6&gt;0,$A287&lt;BG$6),AND(BG$7&gt;0,$A287&gt;BG$7)),0,MAX(0,ROUND((INDEX($E287:$G287,BG$5)-SUMIFS(TF_Timer,TF_Tekniker,BG$4,TF_Dato,$A287))*2,0)/2)))</f>
        <v/>
      </c>
      <c r="BH287">
        <f>IF(OR(BH$4="",$A287&gt;TODAY()),0,IF(OR(INDEX($B287:$D287,BH$5)="F",AND(BH$6&gt;0,$A287&lt;BH$6),AND(BH$7&gt;0,$A287&gt;BH$7)),0,MAX(0,ROUND((INDEX($E287:$G287,BH$5)-SUMIFS(TF_Timer,TF_Tekniker,BH$4,TF_Dato,$A287))*2,0)/2)))</f>
        <v/>
      </c>
      <c r="BI287">
        <f>IF(OR(BI$4="",$A287&gt;TODAY()),0,IF(OR(INDEX($B287:$D287,BI$5)="F",AND(BI$6&gt;0,$A287&lt;BI$6),AND(BI$7&gt;0,$A287&gt;BI$7)),0,MAX(0,ROUND((INDEX($E287:$G287,BI$5)-SUMIFS(TF_Timer,TF_Tekniker,BI$4,TF_Dato,$A287))*2,0)/2)))</f>
        <v/>
      </c>
    </row>
    <row r="288">
      <c r="A288" s="64">
        <f>A287+1</f>
        <v/>
      </c>
      <c r="B288">
        <f>IF(MOD($A288-INDEX(SkiftStart,1),Syklus)&lt;DagK,"K",IF(MOD($A288-INDEX(SkiftStart,1),Syklus)&lt;DagK+DagH,"H",IF(MOD($A288-INDEX(SkiftStart,1),Syklus)&lt;DagK+DagH+DagD,"D","F")))</f>
        <v/>
      </c>
      <c r="C288">
        <f>IF(MOD($A288-INDEX(SkiftStart,2),Syklus)&lt;DagK,"K",IF(MOD($A288-INDEX(SkiftStart,2),Syklus)&lt;DagK+DagH,"H",IF(MOD($A288-INDEX(SkiftStart,2),Syklus)&lt;DagK+DagH+DagD,"D","F")))</f>
        <v/>
      </c>
      <c r="D288">
        <f>IF(MOD($A288-INDEX(SkiftStart,3),Syklus)&lt;DagK,"K",IF(MOD($A288-INDEX(SkiftStart,3),Syklus)&lt;DagK+DagH,"H",IF(MOD($A288-INDEX(SkiftStart,3),Syklus)&lt;DagK+DagH+DagD,"D","F")))</f>
        <v/>
      </c>
      <c r="E288">
        <f>IF(B288="F",0,IF(WEEKDAY($A288,2)=5,INDEX(TimerFr,MATCH(B288,FaseKode,0)),INDEX(TimerMT,MATCH(B288,FaseKode,0))))</f>
        <v/>
      </c>
      <c r="F288">
        <f>IF(C288="F",0,IF(WEEKDAY($A288,2)=5,INDEX(TimerFr,MATCH(C288,FaseKode,0)),INDEX(TimerMT,MATCH(C288,FaseKode,0))))</f>
        <v/>
      </c>
      <c r="G288">
        <f>IF(D288="F",0,IF(WEEKDAY($A288,2)=5,INDEX(TimerFr,MATCH(D288,FaseKode,0)),INDEX(TimerMT,MATCH(D288,FaseKode,0))))</f>
        <v/>
      </c>
      <c r="H288">
        <f>IF(OR(H$4="",$A288&gt;TODAY()),0,IF(OR(INDEX($B288:$D288,H$5)="F",AND(H$6&gt;0,$A288&lt;H$6),AND(H$7&gt;0,$A288&gt;H$7)),0,MAX(0,ROUND((INDEX($E288:$G288,H$5)-SUMIFS(TF_Timer,TF_Tekniker,H$4,TF_Dato,$A288))*2,0)/2)))</f>
        <v/>
      </c>
      <c r="I288">
        <f>IF(OR(I$4="",$A288&gt;TODAY()),0,IF(OR(INDEX($B288:$D288,I$5)="F",AND(I$6&gt;0,$A288&lt;I$6),AND(I$7&gt;0,$A288&gt;I$7)),0,MAX(0,ROUND((INDEX($E288:$G288,I$5)-SUMIFS(TF_Timer,TF_Tekniker,I$4,TF_Dato,$A288))*2,0)/2)))</f>
        <v/>
      </c>
      <c r="J288">
        <f>IF(OR(J$4="",$A288&gt;TODAY()),0,IF(OR(INDEX($B288:$D288,J$5)="F",AND(J$6&gt;0,$A288&lt;J$6),AND(J$7&gt;0,$A288&gt;J$7)),0,MAX(0,ROUND((INDEX($E288:$G288,J$5)-SUMIFS(TF_Timer,TF_Tekniker,J$4,TF_Dato,$A288))*2,0)/2)))</f>
        <v/>
      </c>
      <c r="K288">
        <f>IF(OR(K$4="",$A288&gt;TODAY()),0,IF(OR(INDEX($B288:$D288,K$5)="F",AND(K$6&gt;0,$A288&lt;K$6),AND(K$7&gt;0,$A288&gt;K$7)),0,MAX(0,ROUND((INDEX($E288:$G288,K$5)-SUMIFS(TF_Timer,TF_Tekniker,K$4,TF_Dato,$A288))*2,0)/2)))</f>
        <v/>
      </c>
      <c r="L288">
        <f>IF(OR(L$4="",$A288&gt;TODAY()),0,IF(OR(INDEX($B288:$D288,L$5)="F",AND(L$6&gt;0,$A288&lt;L$6),AND(L$7&gt;0,$A288&gt;L$7)),0,MAX(0,ROUND((INDEX($E288:$G288,L$5)-SUMIFS(TF_Timer,TF_Tekniker,L$4,TF_Dato,$A288))*2,0)/2)))</f>
        <v/>
      </c>
      <c r="M288">
        <f>IF(OR(M$4="",$A288&gt;TODAY()),0,IF(OR(INDEX($B288:$D288,M$5)="F",AND(M$6&gt;0,$A288&lt;M$6),AND(M$7&gt;0,$A288&gt;M$7)),0,MAX(0,ROUND((INDEX($E288:$G288,M$5)-SUMIFS(TF_Timer,TF_Tekniker,M$4,TF_Dato,$A288))*2,0)/2)))</f>
        <v/>
      </c>
      <c r="N288">
        <f>IF(OR(N$4="",$A288&gt;TODAY()),0,IF(OR(INDEX($B288:$D288,N$5)="F",AND(N$6&gt;0,$A288&lt;N$6),AND(N$7&gt;0,$A288&gt;N$7)),0,MAX(0,ROUND((INDEX($E288:$G288,N$5)-SUMIFS(TF_Timer,TF_Tekniker,N$4,TF_Dato,$A288))*2,0)/2)))</f>
        <v/>
      </c>
      <c r="O288">
        <f>IF(OR(O$4="",$A288&gt;TODAY()),0,IF(OR(INDEX($B288:$D288,O$5)="F",AND(O$6&gt;0,$A288&lt;O$6),AND(O$7&gt;0,$A288&gt;O$7)),0,MAX(0,ROUND((INDEX($E288:$G288,O$5)-SUMIFS(TF_Timer,TF_Tekniker,O$4,TF_Dato,$A288))*2,0)/2)))</f>
        <v/>
      </c>
      <c r="P288">
        <f>IF(OR(P$4="",$A288&gt;TODAY()),0,IF(OR(INDEX($B288:$D288,P$5)="F",AND(P$6&gt;0,$A288&lt;P$6),AND(P$7&gt;0,$A288&gt;P$7)),0,MAX(0,ROUND((INDEX($E288:$G288,P$5)-SUMIFS(TF_Timer,TF_Tekniker,P$4,TF_Dato,$A288))*2,0)/2)))</f>
        <v/>
      </c>
      <c r="Q288">
        <f>IF(OR(Q$4="",$A288&gt;TODAY()),0,IF(OR(INDEX($B288:$D288,Q$5)="F",AND(Q$6&gt;0,$A288&lt;Q$6),AND(Q$7&gt;0,$A288&gt;Q$7)),0,MAX(0,ROUND((INDEX($E288:$G288,Q$5)-SUMIFS(TF_Timer,TF_Tekniker,Q$4,TF_Dato,$A288))*2,0)/2)))</f>
        <v/>
      </c>
      <c r="R288">
        <f>IF(OR(R$4="",$A288&gt;TODAY()),0,IF(OR(INDEX($B288:$D288,R$5)="F",AND(R$6&gt;0,$A288&lt;R$6),AND(R$7&gt;0,$A288&gt;R$7)),0,MAX(0,ROUND((INDEX($E288:$G288,R$5)-SUMIFS(TF_Timer,TF_Tekniker,R$4,TF_Dato,$A288))*2,0)/2)))</f>
        <v/>
      </c>
      <c r="S288">
        <f>IF(OR(S$4="",$A288&gt;TODAY()),0,IF(OR(INDEX($B288:$D288,S$5)="F",AND(S$6&gt;0,$A288&lt;S$6),AND(S$7&gt;0,$A288&gt;S$7)),0,MAX(0,ROUND((INDEX($E288:$G288,S$5)-SUMIFS(TF_Timer,TF_Tekniker,S$4,TF_Dato,$A288))*2,0)/2)))</f>
        <v/>
      </c>
      <c r="T288">
        <f>IF(OR(T$4="",$A288&gt;TODAY()),0,IF(OR(INDEX($B288:$D288,T$5)="F",AND(T$6&gt;0,$A288&lt;T$6),AND(T$7&gt;0,$A288&gt;T$7)),0,MAX(0,ROUND((INDEX($E288:$G288,T$5)-SUMIFS(TF_Timer,TF_Tekniker,T$4,TF_Dato,$A288))*2,0)/2)))</f>
        <v/>
      </c>
      <c r="U288">
        <f>IF(OR(U$4="",$A288&gt;TODAY()),0,IF(OR(INDEX($B288:$D288,U$5)="F",AND(U$6&gt;0,$A288&lt;U$6),AND(U$7&gt;0,$A288&gt;U$7)),0,MAX(0,ROUND((INDEX($E288:$G288,U$5)-SUMIFS(TF_Timer,TF_Tekniker,U$4,TF_Dato,$A288))*2,0)/2)))</f>
        <v/>
      </c>
      <c r="V288">
        <f>IF(OR(V$4="",$A288&gt;TODAY()),0,IF(OR(INDEX($B288:$D288,V$5)="F",AND(V$6&gt;0,$A288&lt;V$6),AND(V$7&gt;0,$A288&gt;V$7)),0,MAX(0,ROUND((INDEX($E288:$G288,V$5)-SUMIFS(TF_Timer,TF_Tekniker,V$4,TF_Dato,$A288))*2,0)/2)))</f>
        <v/>
      </c>
      <c r="W288">
        <f>IF(OR(W$4="",$A288&gt;TODAY()),0,IF(OR(INDEX($B288:$D288,W$5)="F",AND(W$6&gt;0,$A288&lt;W$6),AND(W$7&gt;0,$A288&gt;W$7)),0,MAX(0,ROUND((INDEX($E288:$G288,W$5)-SUMIFS(TF_Timer,TF_Tekniker,W$4,TF_Dato,$A288))*2,0)/2)))</f>
        <v/>
      </c>
      <c r="X288">
        <f>IF(OR(X$4="",$A288&gt;TODAY()),0,IF(OR(INDEX($B288:$D288,X$5)="F",AND(X$6&gt;0,$A288&lt;X$6),AND(X$7&gt;0,$A288&gt;X$7)),0,MAX(0,ROUND((INDEX($E288:$G288,X$5)-SUMIFS(TF_Timer,TF_Tekniker,X$4,TF_Dato,$A288))*2,0)/2)))</f>
        <v/>
      </c>
      <c r="Y288">
        <f>IF(OR(Y$4="",$A288&gt;TODAY()),0,IF(OR(INDEX($B288:$D288,Y$5)="F",AND(Y$6&gt;0,$A288&lt;Y$6),AND(Y$7&gt;0,$A288&gt;Y$7)),0,MAX(0,ROUND((INDEX($E288:$G288,Y$5)-SUMIFS(TF_Timer,TF_Tekniker,Y$4,TF_Dato,$A288))*2,0)/2)))</f>
        <v/>
      </c>
      <c r="Z288">
        <f>IF(OR(Z$4="",$A288&gt;TODAY()),0,IF(OR(INDEX($B288:$D288,Z$5)="F",AND(Z$6&gt;0,$A288&lt;Z$6),AND(Z$7&gt;0,$A288&gt;Z$7)),0,MAX(0,ROUND((INDEX($E288:$G288,Z$5)-SUMIFS(TF_Timer,TF_Tekniker,Z$4,TF_Dato,$A288))*2,0)/2)))</f>
        <v/>
      </c>
      <c r="AA288">
        <f>IF(OR(AA$4="",$A288&gt;TODAY()),0,IF(OR(INDEX($B288:$D288,AA$5)="F",AND(AA$6&gt;0,$A288&lt;AA$6),AND(AA$7&gt;0,$A288&gt;AA$7)),0,MAX(0,ROUND((INDEX($E288:$G288,AA$5)-SUMIFS(TF_Timer,TF_Tekniker,AA$4,TF_Dato,$A288))*2,0)/2)))</f>
        <v/>
      </c>
      <c r="AB288">
        <f>IF(OR(AB$4="",$A288&gt;TODAY()),0,IF(OR(INDEX($B288:$D288,AB$5)="F",AND(AB$6&gt;0,$A288&lt;AB$6),AND(AB$7&gt;0,$A288&gt;AB$7)),0,MAX(0,ROUND((INDEX($E288:$G288,AB$5)-SUMIFS(TF_Timer,TF_Tekniker,AB$4,TF_Dato,$A288))*2,0)/2)))</f>
        <v/>
      </c>
      <c r="AC288">
        <f>IF(OR(AC$4="",$A288&gt;TODAY()),0,IF(OR(INDEX($B288:$D288,AC$5)="F",AND(AC$6&gt;0,$A288&lt;AC$6),AND(AC$7&gt;0,$A288&gt;AC$7)),0,MAX(0,ROUND((INDEX($E288:$G288,AC$5)-SUMIFS(TF_Timer,TF_Tekniker,AC$4,TF_Dato,$A288))*2,0)/2)))</f>
        <v/>
      </c>
      <c r="AD288">
        <f>IF(OR(AD$4="",$A288&gt;TODAY()),0,IF(OR(INDEX($B288:$D288,AD$5)="F",AND(AD$6&gt;0,$A288&lt;AD$6),AND(AD$7&gt;0,$A288&gt;AD$7)),0,MAX(0,ROUND((INDEX($E288:$G288,AD$5)-SUMIFS(TF_Timer,TF_Tekniker,AD$4,TF_Dato,$A288))*2,0)/2)))</f>
        <v/>
      </c>
      <c r="AE288">
        <f>IF(OR(AE$4="",$A288&gt;TODAY()),0,IF(OR(INDEX($B288:$D288,AE$5)="F",AND(AE$6&gt;0,$A288&lt;AE$6),AND(AE$7&gt;0,$A288&gt;AE$7)),0,MAX(0,ROUND((INDEX($E288:$G288,AE$5)-SUMIFS(TF_Timer,TF_Tekniker,AE$4,TF_Dato,$A288))*2,0)/2)))</f>
        <v/>
      </c>
      <c r="AF288">
        <f>IF(OR(AF$4="",$A288&gt;TODAY()),0,IF(OR(INDEX($B288:$D288,AF$5)="F",AND(AF$6&gt;0,$A288&lt;AF$6),AND(AF$7&gt;0,$A288&gt;AF$7)),0,MAX(0,ROUND((INDEX($E288:$G288,AF$5)-SUMIFS(TF_Timer,TF_Tekniker,AF$4,TF_Dato,$A288))*2,0)/2)))</f>
        <v/>
      </c>
      <c r="AG288">
        <f>IF(OR(AG$4="",$A288&gt;TODAY()),0,IF(OR(INDEX($B288:$D288,AG$5)="F",AND(AG$6&gt;0,$A288&lt;AG$6),AND(AG$7&gt;0,$A288&gt;AG$7)),0,MAX(0,ROUND((INDEX($E288:$G288,AG$5)-SUMIFS(TF_Timer,TF_Tekniker,AG$4,TF_Dato,$A288))*2,0)/2)))</f>
        <v/>
      </c>
      <c r="AH288">
        <f>IF(OR(AH$4="",$A288&gt;TODAY()),0,IF(OR(INDEX($B288:$D288,AH$5)="F",AND(AH$6&gt;0,$A288&lt;AH$6),AND(AH$7&gt;0,$A288&gt;AH$7)),0,MAX(0,ROUND((INDEX($E288:$G288,AH$5)-SUMIFS(TF_Timer,TF_Tekniker,AH$4,TF_Dato,$A288))*2,0)/2)))</f>
        <v/>
      </c>
      <c r="AI288">
        <f>IF(OR(AI$4="",$A288&gt;TODAY()),0,IF(OR(INDEX($B288:$D288,AI$5)="F",AND(AI$6&gt;0,$A288&lt;AI$6),AND(AI$7&gt;0,$A288&gt;AI$7)),0,MAX(0,ROUND((INDEX($E288:$G288,AI$5)-SUMIFS(TF_Timer,TF_Tekniker,AI$4,TF_Dato,$A288))*2,0)/2)))</f>
        <v/>
      </c>
      <c r="AJ288">
        <f>IF(OR(AJ$4="",$A288&gt;TODAY()),0,IF(OR(INDEX($B288:$D288,AJ$5)="F",AND(AJ$6&gt;0,$A288&lt;AJ$6),AND(AJ$7&gt;0,$A288&gt;AJ$7)),0,MAX(0,ROUND((INDEX($E288:$G288,AJ$5)-SUMIFS(TF_Timer,TF_Tekniker,AJ$4,TF_Dato,$A288))*2,0)/2)))</f>
        <v/>
      </c>
      <c r="AK288">
        <f>IF(OR(AK$4="",$A288&gt;TODAY()),0,IF(OR(INDEX($B288:$D288,AK$5)="F",AND(AK$6&gt;0,$A288&lt;AK$6),AND(AK$7&gt;0,$A288&gt;AK$7)),0,MAX(0,ROUND((INDEX($E288:$G288,AK$5)-SUMIFS(TF_Timer,TF_Tekniker,AK$4,TF_Dato,$A288))*2,0)/2)))</f>
        <v/>
      </c>
      <c r="AL288">
        <f>IF(OR(AL$4="",$A288&gt;TODAY()),0,IF(OR(INDEX($B288:$D288,AL$5)="F",AND(AL$6&gt;0,$A288&lt;AL$6),AND(AL$7&gt;0,$A288&gt;AL$7)),0,MAX(0,ROUND((INDEX($E288:$G288,AL$5)-SUMIFS(TF_Timer,TF_Tekniker,AL$4,TF_Dato,$A288))*2,0)/2)))</f>
        <v/>
      </c>
      <c r="AM288">
        <f>IF(OR(AM$4="",$A288&gt;TODAY()),0,IF(OR(INDEX($B288:$D288,AM$5)="F",AND(AM$6&gt;0,$A288&lt;AM$6),AND(AM$7&gt;0,$A288&gt;AM$7)),0,MAX(0,ROUND((INDEX($E288:$G288,AM$5)-SUMIFS(TF_Timer,TF_Tekniker,AM$4,TF_Dato,$A288))*2,0)/2)))</f>
        <v/>
      </c>
      <c r="AN288">
        <f>IF(OR(AN$4="",$A288&gt;TODAY()),0,IF(OR(INDEX($B288:$D288,AN$5)="F",AND(AN$6&gt;0,$A288&lt;AN$6),AND(AN$7&gt;0,$A288&gt;AN$7)),0,MAX(0,ROUND((INDEX($E288:$G288,AN$5)-SUMIFS(TF_Timer,TF_Tekniker,AN$4,TF_Dato,$A288))*2,0)/2)))</f>
        <v/>
      </c>
      <c r="AO288">
        <f>IF(OR(AO$4="",$A288&gt;TODAY()),0,IF(OR(INDEX($B288:$D288,AO$5)="F",AND(AO$6&gt;0,$A288&lt;AO$6),AND(AO$7&gt;0,$A288&gt;AO$7)),0,MAX(0,ROUND((INDEX($E288:$G288,AO$5)-SUMIFS(TF_Timer,TF_Tekniker,AO$4,TF_Dato,$A288))*2,0)/2)))</f>
        <v/>
      </c>
      <c r="AP288">
        <f>IF(OR(AP$4="",$A288&gt;TODAY()),0,IF(OR(INDEX($B288:$D288,AP$5)="F",AND(AP$6&gt;0,$A288&lt;AP$6),AND(AP$7&gt;0,$A288&gt;AP$7)),0,MAX(0,ROUND((INDEX($E288:$G288,AP$5)-SUMIFS(TF_Timer,TF_Tekniker,AP$4,TF_Dato,$A288))*2,0)/2)))</f>
        <v/>
      </c>
      <c r="AQ288">
        <f>IF(OR(AQ$4="",$A288&gt;TODAY()),0,IF(OR(INDEX($B288:$D288,AQ$5)="F",AND(AQ$6&gt;0,$A288&lt;AQ$6),AND(AQ$7&gt;0,$A288&gt;AQ$7)),0,MAX(0,ROUND((INDEX($E288:$G288,AQ$5)-SUMIFS(TF_Timer,TF_Tekniker,AQ$4,TF_Dato,$A288))*2,0)/2)))</f>
        <v/>
      </c>
      <c r="AR288">
        <f>IF(OR(AR$4="",$A288&gt;TODAY()),0,IF(OR(INDEX($B288:$D288,AR$5)="F",AND(AR$6&gt;0,$A288&lt;AR$6),AND(AR$7&gt;0,$A288&gt;AR$7)),0,MAX(0,ROUND((INDEX($E288:$G288,AR$5)-SUMIFS(TF_Timer,TF_Tekniker,AR$4,TF_Dato,$A288))*2,0)/2)))</f>
        <v/>
      </c>
      <c r="AS288">
        <f>IF(OR(AS$4="",$A288&gt;TODAY()),0,IF(OR(INDEX($B288:$D288,AS$5)="F",AND(AS$6&gt;0,$A288&lt;AS$6),AND(AS$7&gt;0,$A288&gt;AS$7)),0,MAX(0,ROUND((INDEX($E288:$G288,AS$5)-SUMIFS(TF_Timer,TF_Tekniker,AS$4,TF_Dato,$A288))*2,0)/2)))</f>
        <v/>
      </c>
      <c r="AT288">
        <f>IF(OR(AT$4="",$A288&gt;TODAY()),0,IF(OR(INDEX($B288:$D288,AT$5)="F",AND(AT$6&gt;0,$A288&lt;AT$6),AND(AT$7&gt;0,$A288&gt;AT$7)),0,MAX(0,ROUND((INDEX($E288:$G288,AT$5)-SUMIFS(TF_Timer,TF_Tekniker,AT$4,TF_Dato,$A288))*2,0)/2)))</f>
        <v/>
      </c>
      <c r="AU288">
        <f>IF(OR(AU$4="",$A288&gt;TODAY()),0,IF(OR(INDEX($B288:$D288,AU$5)="F",AND(AU$6&gt;0,$A288&lt;AU$6),AND(AU$7&gt;0,$A288&gt;AU$7)),0,MAX(0,ROUND((INDEX($E288:$G288,AU$5)-SUMIFS(TF_Timer,TF_Tekniker,AU$4,TF_Dato,$A288))*2,0)/2)))</f>
        <v/>
      </c>
      <c r="AV288">
        <f>IF(OR(AV$4="",$A288&gt;TODAY()),0,IF(OR(INDEX($B288:$D288,AV$5)="F",AND(AV$6&gt;0,$A288&lt;AV$6),AND(AV$7&gt;0,$A288&gt;AV$7)),0,MAX(0,ROUND((INDEX($E288:$G288,AV$5)-SUMIFS(TF_Timer,TF_Tekniker,AV$4,TF_Dato,$A288))*2,0)/2)))</f>
        <v/>
      </c>
      <c r="AW288">
        <f>IF(OR(AW$4="",$A288&gt;TODAY()),0,IF(OR(INDEX($B288:$D288,AW$5)="F",AND(AW$6&gt;0,$A288&lt;AW$6),AND(AW$7&gt;0,$A288&gt;AW$7)),0,MAX(0,ROUND((INDEX($E288:$G288,AW$5)-SUMIFS(TF_Timer,TF_Tekniker,AW$4,TF_Dato,$A288))*2,0)/2)))</f>
        <v/>
      </c>
      <c r="AX288">
        <f>IF(OR(AX$4="",$A288&gt;TODAY()),0,IF(OR(INDEX($B288:$D288,AX$5)="F",AND(AX$6&gt;0,$A288&lt;AX$6),AND(AX$7&gt;0,$A288&gt;AX$7)),0,MAX(0,ROUND((INDEX($E288:$G288,AX$5)-SUMIFS(TF_Timer,TF_Tekniker,AX$4,TF_Dato,$A288))*2,0)/2)))</f>
        <v/>
      </c>
      <c r="AY288">
        <f>IF(OR(AY$4="",$A288&gt;TODAY()),0,IF(OR(INDEX($B288:$D288,AY$5)="F",AND(AY$6&gt;0,$A288&lt;AY$6),AND(AY$7&gt;0,$A288&gt;AY$7)),0,MAX(0,ROUND((INDEX($E288:$G288,AY$5)-SUMIFS(TF_Timer,TF_Tekniker,AY$4,TF_Dato,$A288))*2,0)/2)))</f>
        <v/>
      </c>
      <c r="AZ288">
        <f>IF(OR(AZ$4="",$A288&gt;TODAY()),0,IF(OR(INDEX($B288:$D288,AZ$5)="F",AND(AZ$6&gt;0,$A288&lt;AZ$6),AND(AZ$7&gt;0,$A288&gt;AZ$7)),0,MAX(0,ROUND((INDEX($E288:$G288,AZ$5)-SUMIFS(TF_Timer,TF_Tekniker,AZ$4,TF_Dato,$A288))*2,0)/2)))</f>
        <v/>
      </c>
      <c r="BA288">
        <f>IF(OR(BA$4="",$A288&gt;TODAY()),0,IF(OR(INDEX($B288:$D288,BA$5)="F",AND(BA$6&gt;0,$A288&lt;BA$6),AND(BA$7&gt;0,$A288&gt;BA$7)),0,MAX(0,ROUND((INDEX($E288:$G288,BA$5)-SUMIFS(TF_Timer,TF_Tekniker,BA$4,TF_Dato,$A288))*2,0)/2)))</f>
        <v/>
      </c>
      <c r="BB288">
        <f>IF(OR(BB$4="",$A288&gt;TODAY()),0,IF(OR(INDEX($B288:$D288,BB$5)="F",AND(BB$6&gt;0,$A288&lt;BB$6),AND(BB$7&gt;0,$A288&gt;BB$7)),0,MAX(0,ROUND((INDEX($E288:$G288,BB$5)-SUMIFS(TF_Timer,TF_Tekniker,BB$4,TF_Dato,$A288))*2,0)/2)))</f>
        <v/>
      </c>
      <c r="BC288">
        <f>IF(OR(BC$4="",$A288&gt;TODAY()),0,IF(OR(INDEX($B288:$D288,BC$5)="F",AND(BC$6&gt;0,$A288&lt;BC$6),AND(BC$7&gt;0,$A288&gt;BC$7)),0,MAX(0,ROUND((INDEX($E288:$G288,BC$5)-SUMIFS(TF_Timer,TF_Tekniker,BC$4,TF_Dato,$A288))*2,0)/2)))</f>
        <v/>
      </c>
      <c r="BD288">
        <f>IF(OR(BD$4="",$A288&gt;TODAY()),0,IF(OR(INDEX($B288:$D288,BD$5)="F",AND(BD$6&gt;0,$A288&lt;BD$6),AND(BD$7&gt;0,$A288&gt;BD$7)),0,MAX(0,ROUND((INDEX($E288:$G288,BD$5)-SUMIFS(TF_Timer,TF_Tekniker,BD$4,TF_Dato,$A288))*2,0)/2)))</f>
        <v/>
      </c>
      <c r="BE288">
        <f>IF(OR(BE$4="",$A288&gt;TODAY()),0,IF(OR(INDEX($B288:$D288,BE$5)="F",AND(BE$6&gt;0,$A288&lt;BE$6),AND(BE$7&gt;0,$A288&gt;BE$7)),0,MAX(0,ROUND((INDEX($E288:$G288,BE$5)-SUMIFS(TF_Timer,TF_Tekniker,BE$4,TF_Dato,$A288))*2,0)/2)))</f>
        <v/>
      </c>
      <c r="BF288">
        <f>IF(OR(BF$4="",$A288&gt;TODAY()),0,IF(OR(INDEX($B288:$D288,BF$5)="F",AND(BF$6&gt;0,$A288&lt;BF$6),AND(BF$7&gt;0,$A288&gt;BF$7)),0,MAX(0,ROUND((INDEX($E288:$G288,BF$5)-SUMIFS(TF_Timer,TF_Tekniker,BF$4,TF_Dato,$A288))*2,0)/2)))</f>
        <v/>
      </c>
      <c r="BG288">
        <f>IF(OR(BG$4="",$A288&gt;TODAY()),0,IF(OR(INDEX($B288:$D288,BG$5)="F",AND(BG$6&gt;0,$A288&lt;BG$6),AND(BG$7&gt;0,$A288&gt;BG$7)),0,MAX(0,ROUND((INDEX($E288:$G288,BG$5)-SUMIFS(TF_Timer,TF_Tekniker,BG$4,TF_Dato,$A288))*2,0)/2)))</f>
        <v/>
      </c>
      <c r="BH288">
        <f>IF(OR(BH$4="",$A288&gt;TODAY()),0,IF(OR(INDEX($B288:$D288,BH$5)="F",AND(BH$6&gt;0,$A288&lt;BH$6),AND(BH$7&gt;0,$A288&gt;BH$7)),0,MAX(0,ROUND((INDEX($E288:$G288,BH$5)-SUMIFS(TF_Timer,TF_Tekniker,BH$4,TF_Dato,$A288))*2,0)/2)))</f>
        <v/>
      </c>
      <c r="BI288">
        <f>IF(OR(BI$4="",$A288&gt;TODAY()),0,IF(OR(INDEX($B288:$D288,BI$5)="F",AND(BI$6&gt;0,$A288&lt;BI$6),AND(BI$7&gt;0,$A288&gt;BI$7)),0,MAX(0,ROUND((INDEX($E288:$G288,BI$5)-SUMIFS(TF_Timer,TF_Tekniker,BI$4,TF_Dato,$A288))*2,0)/2)))</f>
        <v/>
      </c>
    </row>
    <row r="289">
      <c r="A289" s="64">
        <f>A288+1</f>
        <v/>
      </c>
      <c r="B289">
        <f>IF(MOD($A289-INDEX(SkiftStart,1),Syklus)&lt;DagK,"K",IF(MOD($A289-INDEX(SkiftStart,1),Syklus)&lt;DagK+DagH,"H",IF(MOD($A289-INDEX(SkiftStart,1),Syklus)&lt;DagK+DagH+DagD,"D","F")))</f>
        <v/>
      </c>
      <c r="C289">
        <f>IF(MOD($A289-INDEX(SkiftStart,2),Syklus)&lt;DagK,"K",IF(MOD($A289-INDEX(SkiftStart,2),Syklus)&lt;DagK+DagH,"H",IF(MOD($A289-INDEX(SkiftStart,2),Syklus)&lt;DagK+DagH+DagD,"D","F")))</f>
        <v/>
      </c>
      <c r="D289">
        <f>IF(MOD($A289-INDEX(SkiftStart,3),Syklus)&lt;DagK,"K",IF(MOD($A289-INDEX(SkiftStart,3),Syklus)&lt;DagK+DagH,"H",IF(MOD($A289-INDEX(SkiftStart,3),Syklus)&lt;DagK+DagH+DagD,"D","F")))</f>
        <v/>
      </c>
      <c r="E289">
        <f>IF(B289="F",0,IF(WEEKDAY($A289,2)=5,INDEX(TimerFr,MATCH(B289,FaseKode,0)),INDEX(TimerMT,MATCH(B289,FaseKode,0))))</f>
        <v/>
      </c>
      <c r="F289">
        <f>IF(C289="F",0,IF(WEEKDAY($A289,2)=5,INDEX(TimerFr,MATCH(C289,FaseKode,0)),INDEX(TimerMT,MATCH(C289,FaseKode,0))))</f>
        <v/>
      </c>
      <c r="G289">
        <f>IF(D289="F",0,IF(WEEKDAY($A289,2)=5,INDEX(TimerFr,MATCH(D289,FaseKode,0)),INDEX(TimerMT,MATCH(D289,FaseKode,0))))</f>
        <v/>
      </c>
      <c r="H289">
        <f>IF(OR(H$4="",$A289&gt;TODAY()),0,IF(OR(INDEX($B289:$D289,H$5)="F",AND(H$6&gt;0,$A289&lt;H$6),AND(H$7&gt;0,$A289&gt;H$7)),0,MAX(0,ROUND((INDEX($E289:$G289,H$5)-SUMIFS(TF_Timer,TF_Tekniker,H$4,TF_Dato,$A289))*2,0)/2)))</f>
        <v/>
      </c>
      <c r="I289">
        <f>IF(OR(I$4="",$A289&gt;TODAY()),0,IF(OR(INDEX($B289:$D289,I$5)="F",AND(I$6&gt;0,$A289&lt;I$6),AND(I$7&gt;0,$A289&gt;I$7)),0,MAX(0,ROUND((INDEX($E289:$G289,I$5)-SUMIFS(TF_Timer,TF_Tekniker,I$4,TF_Dato,$A289))*2,0)/2)))</f>
        <v/>
      </c>
      <c r="J289">
        <f>IF(OR(J$4="",$A289&gt;TODAY()),0,IF(OR(INDEX($B289:$D289,J$5)="F",AND(J$6&gt;0,$A289&lt;J$6),AND(J$7&gt;0,$A289&gt;J$7)),0,MAX(0,ROUND((INDEX($E289:$G289,J$5)-SUMIFS(TF_Timer,TF_Tekniker,J$4,TF_Dato,$A289))*2,0)/2)))</f>
        <v/>
      </c>
      <c r="K289">
        <f>IF(OR(K$4="",$A289&gt;TODAY()),0,IF(OR(INDEX($B289:$D289,K$5)="F",AND(K$6&gt;0,$A289&lt;K$6),AND(K$7&gt;0,$A289&gt;K$7)),0,MAX(0,ROUND((INDEX($E289:$G289,K$5)-SUMIFS(TF_Timer,TF_Tekniker,K$4,TF_Dato,$A289))*2,0)/2)))</f>
        <v/>
      </c>
      <c r="L289">
        <f>IF(OR(L$4="",$A289&gt;TODAY()),0,IF(OR(INDEX($B289:$D289,L$5)="F",AND(L$6&gt;0,$A289&lt;L$6),AND(L$7&gt;0,$A289&gt;L$7)),0,MAX(0,ROUND((INDEX($E289:$G289,L$5)-SUMIFS(TF_Timer,TF_Tekniker,L$4,TF_Dato,$A289))*2,0)/2)))</f>
        <v/>
      </c>
      <c r="M289">
        <f>IF(OR(M$4="",$A289&gt;TODAY()),0,IF(OR(INDEX($B289:$D289,M$5)="F",AND(M$6&gt;0,$A289&lt;M$6),AND(M$7&gt;0,$A289&gt;M$7)),0,MAX(0,ROUND((INDEX($E289:$G289,M$5)-SUMIFS(TF_Timer,TF_Tekniker,M$4,TF_Dato,$A289))*2,0)/2)))</f>
        <v/>
      </c>
      <c r="N289">
        <f>IF(OR(N$4="",$A289&gt;TODAY()),0,IF(OR(INDEX($B289:$D289,N$5)="F",AND(N$6&gt;0,$A289&lt;N$6),AND(N$7&gt;0,$A289&gt;N$7)),0,MAX(0,ROUND((INDEX($E289:$G289,N$5)-SUMIFS(TF_Timer,TF_Tekniker,N$4,TF_Dato,$A289))*2,0)/2)))</f>
        <v/>
      </c>
      <c r="O289">
        <f>IF(OR(O$4="",$A289&gt;TODAY()),0,IF(OR(INDEX($B289:$D289,O$5)="F",AND(O$6&gt;0,$A289&lt;O$6),AND(O$7&gt;0,$A289&gt;O$7)),0,MAX(0,ROUND((INDEX($E289:$G289,O$5)-SUMIFS(TF_Timer,TF_Tekniker,O$4,TF_Dato,$A289))*2,0)/2)))</f>
        <v/>
      </c>
      <c r="P289">
        <f>IF(OR(P$4="",$A289&gt;TODAY()),0,IF(OR(INDEX($B289:$D289,P$5)="F",AND(P$6&gt;0,$A289&lt;P$6),AND(P$7&gt;0,$A289&gt;P$7)),0,MAX(0,ROUND((INDEX($E289:$G289,P$5)-SUMIFS(TF_Timer,TF_Tekniker,P$4,TF_Dato,$A289))*2,0)/2)))</f>
        <v/>
      </c>
      <c r="Q289">
        <f>IF(OR(Q$4="",$A289&gt;TODAY()),0,IF(OR(INDEX($B289:$D289,Q$5)="F",AND(Q$6&gt;0,$A289&lt;Q$6),AND(Q$7&gt;0,$A289&gt;Q$7)),0,MAX(0,ROUND((INDEX($E289:$G289,Q$5)-SUMIFS(TF_Timer,TF_Tekniker,Q$4,TF_Dato,$A289))*2,0)/2)))</f>
        <v/>
      </c>
      <c r="R289">
        <f>IF(OR(R$4="",$A289&gt;TODAY()),0,IF(OR(INDEX($B289:$D289,R$5)="F",AND(R$6&gt;0,$A289&lt;R$6),AND(R$7&gt;0,$A289&gt;R$7)),0,MAX(0,ROUND((INDEX($E289:$G289,R$5)-SUMIFS(TF_Timer,TF_Tekniker,R$4,TF_Dato,$A289))*2,0)/2)))</f>
        <v/>
      </c>
      <c r="S289">
        <f>IF(OR(S$4="",$A289&gt;TODAY()),0,IF(OR(INDEX($B289:$D289,S$5)="F",AND(S$6&gt;0,$A289&lt;S$6),AND(S$7&gt;0,$A289&gt;S$7)),0,MAX(0,ROUND((INDEX($E289:$G289,S$5)-SUMIFS(TF_Timer,TF_Tekniker,S$4,TF_Dato,$A289))*2,0)/2)))</f>
        <v/>
      </c>
      <c r="T289">
        <f>IF(OR(T$4="",$A289&gt;TODAY()),0,IF(OR(INDEX($B289:$D289,T$5)="F",AND(T$6&gt;0,$A289&lt;T$6),AND(T$7&gt;0,$A289&gt;T$7)),0,MAX(0,ROUND((INDEX($E289:$G289,T$5)-SUMIFS(TF_Timer,TF_Tekniker,T$4,TF_Dato,$A289))*2,0)/2)))</f>
        <v/>
      </c>
      <c r="U289">
        <f>IF(OR(U$4="",$A289&gt;TODAY()),0,IF(OR(INDEX($B289:$D289,U$5)="F",AND(U$6&gt;0,$A289&lt;U$6),AND(U$7&gt;0,$A289&gt;U$7)),0,MAX(0,ROUND((INDEX($E289:$G289,U$5)-SUMIFS(TF_Timer,TF_Tekniker,U$4,TF_Dato,$A289))*2,0)/2)))</f>
        <v/>
      </c>
      <c r="V289">
        <f>IF(OR(V$4="",$A289&gt;TODAY()),0,IF(OR(INDEX($B289:$D289,V$5)="F",AND(V$6&gt;0,$A289&lt;V$6),AND(V$7&gt;0,$A289&gt;V$7)),0,MAX(0,ROUND((INDEX($E289:$G289,V$5)-SUMIFS(TF_Timer,TF_Tekniker,V$4,TF_Dato,$A289))*2,0)/2)))</f>
        <v/>
      </c>
      <c r="W289">
        <f>IF(OR(W$4="",$A289&gt;TODAY()),0,IF(OR(INDEX($B289:$D289,W$5)="F",AND(W$6&gt;0,$A289&lt;W$6),AND(W$7&gt;0,$A289&gt;W$7)),0,MAX(0,ROUND((INDEX($E289:$G289,W$5)-SUMIFS(TF_Timer,TF_Tekniker,W$4,TF_Dato,$A289))*2,0)/2)))</f>
        <v/>
      </c>
      <c r="X289">
        <f>IF(OR(X$4="",$A289&gt;TODAY()),0,IF(OR(INDEX($B289:$D289,X$5)="F",AND(X$6&gt;0,$A289&lt;X$6),AND(X$7&gt;0,$A289&gt;X$7)),0,MAX(0,ROUND((INDEX($E289:$G289,X$5)-SUMIFS(TF_Timer,TF_Tekniker,X$4,TF_Dato,$A289))*2,0)/2)))</f>
        <v/>
      </c>
      <c r="Y289">
        <f>IF(OR(Y$4="",$A289&gt;TODAY()),0,IF(OR(INDEX($B289:$D289,Y$5)="F",AND(Y$6&gt;0,$A289&lt;Y$6),AND(Y$7&gt;0,$A289&gt;Y$7)),0,MAX(0,ROUND((INDEX($E289:$G289,Y$5)-SUMIFS(TF_Timer,TF_Tekniker,Y$4,TF_Dato,$A289))*2,0)/2)))</f>
        <v/>
      </c>
      <c r="Z289">
        <f>IF(OR(Z$4="",$A289&gt;TODAY()),0,IF(OR(INDEX($B289:$D289,Z$5)="F",AND(Z$6&gt;0,$A289&lt;Z$6),AND(Z$7&gt;0,$A289&gt;Z$7)),0,MAX(0,ROUND((INDEX($E289:$G289,Z$5)-SUMIFS(TF_Timer,TF_Tekniker,Z$4,TF_Dato,$A289))*2,0)/2)))</f>
        <v/>
      </c>
      <c r="AA289">
        <f>IF(OR(AA$4="",$A289&gt;TODAY()),0,IF(OR(INDEX($B289:$D289,AA$5)="F",AND(AA$6&gt;0,$A289&lt;AA$6),AND(AA$7&gt;0,$A289&gt;AA$7)),0,MAX(0,ROUND((INDEX($E289:$G289,AA$5)-SUMIFS(TF_Timer,TF_Tekniker,AA$4,TF_Dato,$A289))*2,0)/2)))</f>
        <v/>
      </c>
      <c r="AB289">
        <f>IF(OR(AB$4="",$A289&gt;TODAY()),0,IF(OR(INDEX($B289:$D289,AB$5)="F",AND(AB$6&gt;0,$A289&lt;AB$6),AND(AB$7&gt;0,$A289&gt;AB$7)),0,MAX(0,ROUND((INDEX($E289:$G289,AB$5)-SUMIFS(TF_Timer,TF_Tekniker,AB$4,TF_Dato,$A289))*2,0)/2)))</f>
        <v/>
      </c>
      <c r="AC289">
        <f>IF(OR(AC$4="",$A289&gt;TODAY()),0,IF(OR(INDEX($B289:$D289,AC$5)="F",AND(AC$6&gt;0,$A289&lt;AC$6),AND(AC$7&gt;0,$A289&gt;AC$7)),0,MAX(0,ROUND((INDEX($E289:$G289,AC$5)-SUMIFS(TF_Timer,TF_Tekniker,AC$4,TF_Dato,$A289))*2,0)/2)))</f>
        <v/>
      </c>
      <c r="AD289">
        <f>IF(OR(AD$4="",$A289&gt;TODAY()),0,IF(OR(INDEX($B289:$D289,AD$5)="F",AND(AD$6&gt;0,$A289&lt;AD$6),AND(AD$7&gt;0,$A289&gt;AD$7)),0,MAX(0,ROUND((INDEX($E289:$G289,AD$5)-SUMIFS(TF_Timer,TF_Tekniker,AD$4,TF_Dato,$A289))*2,0)/2)))</f>
        <v/>
      </c>
      <c r="AE289">
        <f>IF(OR(AE$4="",$A289&gt;TODAY()),0,IF(OR(INDEX($B289:$D289,AE$5)="F",AND(AE$6&gt;0,$A289&lt;AE$6),AND(AE$7&gt;0,$A289&gt;AE$7)),0,MAX(0,ROUND((INDEX($E289:$G289,AE$5)-SUMIFS(TF_Timer,TF_Tekniker,AE$4,TF_Dato,$A289))*2,0)/2)))</f>
        <v/>
      </c>
      <c r="AF289">
        <f>IF(OR(AF$4="",$A289&gt;TODAY()),0,IF(OR(INDEX($B289:$D289,AF$5)="F",AND(AF$6&gt;0,$A289&lt;AF$6),AND(AF$7&gt;0,$A289&gt;AF$7)),0,MAX(0,ROUND((INDEX($E289:$G289,AF$5)-SUMIFS(TF_Timer,TF_Tekniker,AF$4,TF_Dato,$A289))*2,0)/2)))</f>
        <v/>
      </c>
      <c r="AG289">
        <f>IF(OR(AG$4="",$A289&gt;TODAY()),0,IF(OR(INDEX($B289:$D289,AG$5)="F",AND(AG$6&gt;0,$A289&lt;AG$6),AND(AG$7&gt;0,$A289&gt;AG$7)),0,MAX(0,ROUND((INDEX($E289:$G289,AG$5)-SUMIFS(TF_Timer,TF_Tekniker,AG$4,TF_Dato,$A289))*2,0)/2)))</f>
        <v/>
      </c>
      <c r="AH289">
        <f>IF(OR(AH$4="",$A289&gt;TODAY()),0,IF(OR(INDEX($B289:$D289,AH$5)="F",AND(AH$6&gt;0,$A289&lt;AH$6),AND(AH$7&gt;0,$A289&gt;AH$7)),0,MAX(0,ROUND((INDEX($E289:$G289,AH$5)-SUMIFS(TF_Timer,TF_Tekniker,AH$4,TF_Dato,$A289))*2,0)/2)))</f>
        <v/>
      </c>
      <c r="AI289">
        <f>IF(OR(AI$4="",$A289&gt;TODAY()),0,IF(OR(INDEX($B289:$D289,AI$5)="F",AND(AI$6&gt;0,$A289&lt;AI$6),AND(AI$7&gt;0,$A289&gt;AI$7)),0,MAX(0,ROUND((INDEX($E289:$G289,AI$5)-SUMIFS(TF_Timer,TF_Tekniker,AI$4,TF_Dato,$A289))*2,0)/2)))</f>
        <v/>
      </c>
      <c r="AJ289">
        <f>IF(OR(AJ$4="",$A289&gt;TODAY()),0,IF(OR(INDEX($B289:$D289,AJ$5)="F",AND(AJ$6&gt;0,$A289&lt;AJ$6),AND(AJ$7&gt;0,$A289&gt;AJ$7)),0,MAX(0,ROUND((INDEX($E289:$G289,AJ$5)-SUMIFS(TF_Timer,TF_Tekniker,AJ$4,TF_Dato,$A289))*2,0)/2)))</f>
        <v/>
      </c>
      <c r="AK289">
        <f>IF(OR(AK$4="",$A289&gt;TODAY()),0,IF(OR(INDEX($B289:$D289,AK$5)="F",AND(AK$6&gt;0,$A289&lt;AK$6),AND(AK$7&gt;0,$A289&gt;AK$7)),0,MAX(0,ROUND((INDEX($E289:$G289,AK$5)-SUMIFS(TF_Timer,TF_Tekniker,AK$4,TF_Dato,$A289))*2,0)/2)))</f>
        <v/>
      </c>
      <c r="AL289">
        <f>IF(OR(AL$4="",$A289&gt;TODAY()),0,IF(OR(INDEX($B289:$D289,AL$5)="F",AND(AL$6&gt;0,$A289&lt;AL$6),AND(AL$7&gt;0,$A289&gt;AL$7)),0,MAX(0,ROUND((INDEX($E289:$G289,AL$5)-SUMIFS(TF_Timer,TF_Tekniker,AL$4,TF_Dato,$A289))*2,0)/2)))</f>
        <v/>
      </c>
      <c r="AM289">
        <f>IF(OR(AM$4="",$A289&gt;TODAY()),0,IF(OR(INDEX($B289:$D289,AM$5)="F",AND(AM$6&gt;0,$A289&lt;AM$6),AND(AM$7&gt;0,$A289&gt;AM$7)),0,MAX(0,ROUND((INDEX($E289:$G289,AM$5)-SUMIFS(TF_Timer,TF_Tekniker,AM$4,TF_Dato,$A289))*2,0)/2)))</f>
        <v/>
      </c>
      <c r="AN289">
        <f>IF(OR(AN$4="",$A289&gt;TODAY()),0,IF(OR(INDEX($B289:$D289,AN$5)="F",AND(AN$6&gt;0,$A289&lt;AN$6),AND(AN$7&gt;0,$A289&gt;AN$7)),0,MAX(0,ROUND((INDEX($E289:$G289,AN$5)-SUMIFS(TF_Timer,TF_Tekniker,AN$4,TF_Dato,$A289))*2,0)/2)))</f>
        <v/>
      </c>
      <c r="AO289">
        <f>IF(OR(AO$4="",$A289&gt;TODAY()),0,IF(OR(INDEX($B289:$D289,AO$5)="F",AND(AO$6&gt;0,$A289&lt;AO$6),AND(AO$7&gt;0,$A289&gt;AO$7)),0,MAX(0,ROUND((INDEX($E289:$G289,AO$5)-SUMIFS(TF_Timer,TF_Tekniker,AO$4,TF_Dato,$A289))*2,0)/2)))</f>
        <v/>
      </c>
      <c r="AP289">
        <f>IF(OR(AP$4="",$A289&gt;TODAY()),0,IF(OR(INDEX($B289:$D289,AP$5)="F",AND(AP$6&gt;0,$A289&lt;AP$6),AND(AP$7&gt;0,$A289&gt;AP$7)),0,MAX(0,ROUND((INDEX($E289:$G289,AP$5)-SUMIFS(TF_Timer,TF_Tekniker,AP$4,TF_Dato,$A289))*2,0)/2)))</f>
        <v/>
      </c>
      <c r="AQ289">
        <f>IF(OR(AQ$4="",$A289&gt;TODAY()),0,IF(OR(INDEX($B289:$D289,AQ$5)="F",AND(AQ$6&gt;0,$A289&lt;AQ$6),AND(AQ$7&gt;0,$A289&gt;AQ$7)),0,MAX(0,ROUND((INDEX($E289:$G289,AQ$5)-SUMIFS(TF_Timer,TF_Tekniker,AQ$4,TF_Dato,$A289))*2,0)/2)))</f>
        <v/>
      </c>
      <c r="AR289">
        <f>IF(OR(AR$4="",$A289&gt;TODAY()),0,IF(OR(INDEX($B289:$D289,AR$5)="F",AND(AR$6&gt;0,$A289&lt;AR$6),AND(AR$7&gt;0,$A289&gt;AR$7)),0,MAX(0,ROUND((INDEX($E289:$G289,AR$5)-SUMIFS(TF_Timer,TF_Tekniker,AR$4,TF_Dato,$A289))*2,0)/2)))</f>
        <v/>
      </c>
      <c r="AS289">
        <f>IF(OR(AS$4="",$A289&gt;TODAY()),0,IF(OR(INDEX($B289:$D289,AS$5)="F",AND(AS$6&gt;0,$A289&lt;AS$6),AND(AS$7&gt;0,$A289&gt;AS$7)),0,MAX(0,ROUND((INDEX($E289:$G289,AS$5)-SUMIFS(TF_Timer,TF_Tekniker,AS$4,TF_Dato,$A289))*2,0)/2)))</f>
        <v/>
      </c>
      <c r="AT289">
        <f>IF(OR(AT$4="",$A289&gt;TODAY()),0,IF(OR(INDEX($B289:$D289,AT$5)="F",AND(AT$6&gt;0,$A289&lt;AT$6),AND(AT$7&gt;0,$A289&gt;AT$7)),0,MAX(0,ROUND((INDEX($E289:$G289,AT$5)-SUMIFS(TF_Timer,TF_Tekniker,AT$4,TF_Dato,$A289))*2,0)/2)))</f>
        <v/>
      </c>
      <c r="AU289">
        <f>IF(OR(AU$4="",$A289&gt;TODAY()),0,IF(OR(INDEX($B289:$D289,AU$5)="F",AND(AU$6&gt;0,$A289&lt;AU$6),AND(AU$7&gt;0,$A289&gt;AU$7)),0,MAX(0,ROUND((INDEX($E289:$G289,AU$5)-SUMIFS(TF_Timer,TF_Tekniker,AU$4,TF_Dato,$A289))*2,0)/2)))</f>
        <v/>
      </c>
      <c r="AV289">
        <f>IF(OR(AV$4="",$A289&gt;TODAY()),0,IF(OR(INDEX($B289:$D289,AV$5)="F",AND(AV$6&gt;0,$A289&lt;AV$6),AND(AV$7&gt;0,$A289&gt;AV$7)),0,MAX(0,ROUND((INDEX($E289:$G289,AV$5)-SUMIFS(TF_Timer,TF_Tekniker,AV$4,TF_Dato,$A289))*2,0)/2)))</f>
        <v/>
      </c>
      <c r="AW289">
        <f>IF(OR(AW$4="",$A289&gt;TODAY()),0,IF(OR(INDEX($B289:$D289,AW$5)="F",AND(AW$6&gt;0,$A289&lt;AW$6),AND(AW$7&gt;0,$A289&gt;AW$7)),0,MAX(0,ROUND((INDEX($E289:$G289,AW$5)-SUMIFS(TF_Timer,TF_Tekniker,AW$4,TF_Dato,$A289))*2,0)/2)))</f>
        <v/>
      </c>
      <c r="AX289">
        <f>IF(OR(AX$4="",$A289&gt;TODAY()),0,IF(OR(INDEX($B289:$D289,AX$5)="F",AND(AX$6&gt;0,$A289&lt;AX$6),AND(AX$7&gt;0,$A289&gt;AX$7)),0,MAX(0,ROUND((INDEX($E289:$G289,AX$5)-SUMIFS(TF_Timer,TF_Tekniker,AX$4,TF_Dato,$A289))*2,0)/2)))</f>
        <v/>
      </c>
      <c r="AY289">
        <f>IF(OR(AY$4="",$A289&gt;TODAY()),0,IF(OR(INDEX($B289:$D289,AY$5)="F",AND(AY$6&gt;0,$A289&lt;AY$6),AND(AY$7&gt;0,$A289&gt;AY$7)),0,MAX(0,ROUND((INDEX($E289:$G289,AY$5)-SUMIFS(TF_Timer,TF_Tekniker,AY$4,TF_Dato,$A289))*2,0)/2)))</f>
        <v/>
      </c>
      <c r="AZ289">
        <f>IF(OR(AZ$4="",$A289&gt;TODAY()),0,IF(OR(INDEX($B289:$D289,AZ$5)="F",AND(AZ$6&gt;0,$A289&lt;AZ$6),AND(AZ$7&gt;0,$A289&gt;AZ$7)),0,MAX(0,ROUND((INDEX($E289:$G289,AZ$5)-SUMIFS(TF_Timer,TF_Tekniker,AZ$4,TF_Dato,$A289))*2,0)/2)))</f>
        <v/>
      </c>
      <c r="BA289">
        <f>IF(OR(BA$4="",$A289&gt;TODAY()),0,IF(OR(INDEX($B289:$D289,BA$5)="F",AND(BA$6&gt;0,$A289&lt;BA$6),AND(BA$7&gt;0,$A289&gt;BA$7)),0,MAX(0,ROUND((INDEX($E289:$G289,BA$5)-SUMIFS(TF_Timer,TF_Tekniker,BA$4,TF_Dato,$A289))*2,0)/2)))</f>
        <v/>
      </c>
      <c r="BB289">
        <f>IF(OR(BB$4="",$A289&gt;TODAY()),0,IF(OR(INDEX($B289:$D289,BB$5)="F",AND(BB$6&gt;0,$A289&lt;BB$6),AND(BB$7&gt;0,$A289&gt;BB$7)),0,MAX(0,ROUND((INDEX($E289:$G289,BB$5)-SUMIFS(TF_Timer,TF_Tekniker,BB$4,TF_Dato,$A289))*2,0)/2)))</f>
        <v/>
      </c>
      <c r="BC289">
        <f>IF(OR(BC$4="",$A289&gt;TODAY()),0,IF(OR(INDEX($B289:$D289,BC$5)="F",AND(BC$6&gt;0,$A289&lt;BC$6),AND(BC$7&gt;0,$A289&gt;BC$7)),0,MAX(0,ROUND((INDEX($E289:$G289,BC$5)-SUMIFS(TF_Timer,TF_Tekniker,BC$4,TF_Dato,$A289))*2,0)/2)))</f>
        <v/>
      </c>
      <c r="BD289">
        <f>IF(OR(BD$4="",$A289&gt;TODAY()),0,IF(OR(INDEX($B289:$D289,BD$5)="F",AND(BD$6&gt;0,$A289&lt;BD$6),AND(BD$7&gt;0,$A289&gt;BD$7)),0,MAX(0,ROUND((INDEX($E289:$G289,BD$5)-SUMIFS(TF_Timer,TF_Tekniker,BD$4,TF_Dato,$A289))*2,0)/2)))</f>
        <v/>
      </c>
      <c r="BE289">
        <f>IF(OR(BE$4="",$A289&gt;TODAY()),0,IF(OR(INDEX($B289:$D289,BE$5)="F",AND(BE$6&gt;0,$A289&lt;BE$6),AND(BE$7&gt;0,$A289&gt;BE$7)),0,MAX(0,ROUND((INDEX($E289:$G289,BE$5)-SUMIFS(TF_Timer,TF_Tekniker,BE$4,TF_Dato,$A289))*2,0)/2)))</f>
        <v/>
      </c>
      <c r="BF289">
        <f>IF(OR(BF$4="",$A289&gt;TODAY()),0,IF(OR(INDEX($B289:$D289,BF$5)="F",AND(BF$6&gt;0,$A289&lt;BF$6),AND(BF$7&gt;0,$A289&gt;BF$7)),0,MAX(0,ROUND((INDEX($E289:$G289,BF$5)-SUMIFS(TF_Timer,TF_Tekniker,BF$4,TF_Dato,$A289))*2,0)/2)))</f>
        <v/>
      </c>
      <c r="BG289">
        <f>IF(OR(BG$4="",$A289&gt;TODAY()),0,IF(OR(INDEX($B289:$D289,BG$5)="F",AND(BG$6&gt;0,$A289&lt;BG$6),AND(BG$7&gt;0,$A289&gt;BG$7)),0,MAX(0,ROUND((INDEX($E289:$G289,BG$5)-SUMIFS(TF_Timer,TF_Tekniker,BG$4,TF_Dato,$A289))*2,0)/2)))</f>
        <v/>
      </c>
      <c r="BH289">
        <f>IF(OR(BH$4="",$A289&gt;TODAY()),0,IF(OR(INDEX($B289:$D289,BH$5)="F",AND(BH$6&gt;0,$A289&lt;BH$6),AND(BH$7&gt;0,$A289&gt;BH$7)),0,MAX(0,ROUND((INDEX($E289:$G289,BH$5)-SUMIFS(TF_Timer,TF_Tekniker,BH$4,TF_Dato,$A289))*2,0)/2)))</f>
        <v/>
      </c>
      <c r="BI289">
        <f>IF(OR(BI$4="",$A289&gt;TODAY()),0,IF(OR(INDEX($B289:$D289,BI$5)="F",AND(BI$6&gt;0,$A289&lt;BI$6),AND(BI$7&gt;0,$A289&gt;BI$7)),0,MAX(0,ROUND((INDEX($E289:$G289,BI$5)-SUMIFS(TF_Timer,TF_Tekniker,BI$4,TF_Dato,$A289))*2,0)/2)))</f>
        <v/>
      </c>
    </row>
    <row r="290">
      <c r="A290" s="64">
        <f>A289+1</f>
        <v/>
      </c>
      <c r="B290">
        <f>IF(MOD($A290-INDEX(SkiftStart,1),Syklus)&lt;DagK,"K",IF(MOD($A290-INDEX(SkiftStart,1),Syklus)&lt;DagK+DagH,"H",IF(MOD($A290-INDEX(SkiftStart,1),Syklus)&lt;DagK+DagH+DagD,"D","F")))</f>
        <v/>
      </c>
      <c r="C290">
        <f>IF(MOD($A290-INDEX(SkiftStart,2),Syklus)&lt;DagK,"K",IF(MOD($A290-INDEX(SkiftStart,2),Syklus)&lt;DagK+DagH,"H",IF(MOD($A290-INDEX(SkiftStart,2),Syklus)&lt;DagK+DagH+DagD,"D","F")))</f>
        <v/>
      </c>
      <c r="D290">
        <f>IF(MOD($A290-INDEX(SkiftStart,3),Syklus)&lt;DagK,"K",IF(MOD($A290-INDEX(SkiftStart,3),Syklus)&lt;DagK+DagH,"H",IF(MOD($A290-INDEX(SkiftStart,3),Syklus)&lt;DagK+DagH+DagD,"D","F")))</f>
        <v/>
      </c>
      <c r="E290">
        <f>IF(B290="F",0,IF(WEEKDAY($A290,2)=5,INDEX(TimerFr,MATCH(B290,FaseKode,0)),INDEX(TimerMT,MATCH(B290,FaseKode,0))))</f>
        <v/>
      </c>
      <c r="F290">
        <f>IF(C290="F",0,IF(WEEKDAY($A290,2)=5,INDEX(TimerFr,MATCH(C290,FaseKode,0)),INDEX(TimerMT,MATCH(C290,FaseKode,0))))</f>
        <v/>
      </c>
      <c r="G290">
        <f>IF(D290="F",0,IF(WEEKDAY($A290,2)=5,INDEX(TimerFr,MATCH(D290,FaseKode,0)),INDEX(TimerMT,MATCH(D290,FaseKode,0))))</f>
        <v/>
      </c>
      <c r="H290">
        <f>IF(OR(H$4="",$A290&gt;TODAY()),0,IF(OR(INDEX($B290:$D290,H$5)="F",AND(H$6&gt;0,$A290&lt;H$6),AND(H$7&gt;0,$A290&gt;H$7)),0,MAX(0,ROUND((INDEX($E290:$G290,H$5)-SUMIFS(TF_Timer,TF_Tekniker,H$4,TF_Dato,$A290))*2,0)/2)))</f>
        <v/>
      </c>
      <c r="I290">
        <f>IF(OR(I$4="",$A290&gt;TODAY()),0,IF(OR(INDEX($B290:$D290,I$5)="F",AND(I$6&gt;0,$A290&lt;I$6),AND(I$7&gt;0,$A290&gt;I$7)),0,MAX(0,ROUND((INDEX($E290:$G290,I$5)-SUMIFS(TF_Timer,TF_Tekniker,I$4,TF_Dato,$A290))*2,0)/2)))</f>
        <v/>
      </c>
      <c r="J290">
        <f>IF(OR(J$4="",$A290&gt;TODAY()),0,IF(OR(INDEX($B290:$D290,J$5)="F",AND(J$6&gt;0,$A290&lt;J$6),AND(J$7&gt;0,$A290&gt;J$7)),0,MAX(0,ROUND((INDEX($E290:$G290,J$5)-SUMIFS(TF_Timer,TF_Tekniker,J$4,TF_Dato,$A290))*2,0)/2)))</f>
        <v/>
      </c>
      <c r="K290">
        <f>IF(OR(K$4="",$A290&gt;TODAY()),0,IF(OR(INDEX($B290:$D290,K$5)="F",AND(K$6&gt;0,$A290&lt;K$6),AND(K$7&gt;0,$A290&gt;K$7)),0,MAX(0,ROUND((INDEX($E290:$G290,K$5)-SUMIFS(TF_Timer,TF_Tekniker,K$4,TF_Dato,$A290))*2,0)/2)))</f>
        <v/>
      </c>
      <c r="L290">
        <f>IF(OR(L$4="",$A290&gt;TODAY()),0,IF(OR(INDEX($B290:$D290,L$5)="F",AND(L$6&gt;0,$A290&lt;L$6),AND(L$7&gt;0,$A290&gt;L$7)),0,MAX(0,ROUND((INDEX($E290:$G290,L$5)-SUMIFS(TF_Timer,TF_Tekniker,L$4,TF_Dato,$A290))*2,0)/2)))</f>
        <v/>
      </c>
      <c r="M290">
        <f>IF(OR(M$4="",$A290&gt;TODAY()),0,IF(OR(INDEX($B290:$D290,M$5)="F",AND(M$6&gt;0,$A290&lt;M$6),AND(M$7&gt;0,$A290&gt;M$7)),0,MAX(0,ROUND((INDEX($E290:$G290,M$5)-SUMIFS(TF_Timer,TF_Tekniker,M$4,TF_Dato,$A290))*2,0)/2)))</f>
        <v/>
      </c>
      <c r="N290">
        <f>IF(OR(N$4="",$A290&gt;TODAY()),0,IF(OR(INDEX($B290:$D290,N$5)="F",AND(N$6&gt;0,$A290&lt;N$6),AND(N$7&gt;0,$A290&gt;N$7)),0,MAX(0,ROUND((INDEX($E290:$G290,N$5)-SUMIFS(TF_Timer,TF_Tekniker,N$4,TF_Dato,$A290))*2,0)/2)))</f>
        <v/>
      </c>
      <c r="O290">
        <f>IF(OR(O$4="",$A290&gt;TODAY()),0,IF(OR(INDEX($B290:$D290,O$5)="F",AND(O$6&gt;0,$A290&lt;O$6),AND(O$7&gt;0,$A290&gt;O$7)),0,MAX(0,ROUND((INDEX($E290:$G290,O$5)-SUMIFS(TF_Timer,TF_Tekniker,O$4,TF_Dato,$A290))*2,0)/2)))</f>
        <v/>
      </c>
      <c r="P290">
        <f>IF(OR(P$4="",$A290&gt;TODAY()),0,IF(OR(INDEX($B290:$D290,P$5)="F",AND(P$6&gt;0,$A290&lt;P$6),AND(P$7&gt;0,$A290&gt;P$7)),0,MAX(0,ROUND((INDEX($E290:$G290,P$5)-SUMIFS(TF_Timer,TF_Tekniker,P$4,TF_Dato,$A290))*2,0)/2)))</f>
        <v/>
      </c>
      <c r="Q290">
        <f>IF(OR(Q$4="",$A290&gt;TODAY()),0,IF(OR(INDEX($B290:$D290,Q$5)="F",AND(Q$6&gt;0,$A290&lt;Q$6),AND(Q$7&gt;0,$A290&gt;Q$7)),0,MAX(0,ROUND((INDEX($E290:$G290,Q$5)-SUMIFS(TF_Timer,TF_Tekniker,Q$4,TF_Dato,$A290))*2,0)/2)))</f>
        <v/>
      </c>
      <c r="R290">
        <f>IF(OR(R$4="",$A290&gt;TODAY()),0,IF(OR(INDEX($B290:$D290,R$5)="F",AND(R$6&gt;0,$A290&lt;R$6),AND(R$7&gt;0,$A290&gt;R$7)),0,MAX(0,ROUND((INDEX($E290:$G290,R$5)-SUMIFS(TF_Timer,TF_Tekniker,R$4,TF_Dato,$A290))*2,0)/2)))</f>
        <v/>
      </c>
      <c r="S290">
        <f>IF(OR(S$4="",$A290&gt;TODAY()),0,IF(OR(INDEX($B290:$D290,S$5)="F",AND(S$6&gt;0,$A290&lt;S$6),AND(S$7&gt;0,$A290&gt;S$7)),0,MAX(0,ROUND((INDEX($E290:$G290,S$5)-SUMIFS(TF_Timer,TF_Tekniker,S$4,TF_Dato,$A290))*2,0)/2)))</f>
        <v/>
      </c>
      <c r="T290">
        <f>IF(OR(T$4="",$A290&gt;TODAY()),0,IF(OR(INDEX($B290:$D290,T$5)="F",AND(T$6&gt;0,$A290&lt;T$6),AND(T$7&gt;0,$A290&gt;T$7)),0,MAX(0,ROUND((INDEX($E290:$G290,T$5)-SUMIFS(TF_Timer,TF_Tekniker,T$4,TF_Dato,$A290))*2,0)/2)))</f>
        <v/>
      </c>
      <c r="U290">
        <f>IF(OR(U$4="",$A290&gt;TODAY()),0,IF(OR(INDEX($B290:$D290,U$5)="F",AND(U$6&gt;0,$A290&lt;U$6),AND(U$7&gt;0,$A290&gt;U$7)),0,MAX(0,ROUND((INDEX($E290:$G290,U$5)-SUMIFS(TF_Timer,TF_Tekniker,U$4,TF_Dato,$A290))*2,0)/2)))</f>
        <v/>
      </c>
      <c r="V290">
        <f>IF(OR(V$4="",$A290&gt;TODAY()),0,IF(OR(INDEX($B290:$D290,V$5)="F",AND(V$6&gt;0,$A290&lt;V$6),AND(V$7&gt;0,$A290&gt;V$7)),0,MAX(0,ROUND((INDEX($E290:$G290,V$5)-SUMIFS(TF_Timer,TF_Tekniker,V$4,TF_Dato,$A290))*2,0)/2)))</f>
        <v/>
      </c>
      <c r="W290">
        <f>IF(OR(W$4="",$A290&gt;TODAY()),0,IF(OR(INDEX($B290:$D290,W$5)="F",AND(W$6&gt;0,$A290&lt;W$6),AND(W$7&gt;0,$A290&gt;W$7)),0,MAX(0,ROUND((INDEX($E290:$G290,W$5)-SUMIFS(TF_Timer,TF_Tekniker,W$4,TF_Dato,$A290))*2,0)/2)))</f>
        <v/>
      </c>
      <c r="X290">
        <f>IF(OR(X$4="",$A290&gt;TODAY()),0,IF(OR(INDEX($B290:$D290,X$5)="F",AND(X$6&gt;0,$A290&lt;X$6),AND(X$7&gt;0,$A290&gt;X$7)),0,MAX(0,ROUND((INDEX($E290:$G290,X$5)-SUMIFS(TF_Timer,TF_Tekniker,X$4,TF_Dato,$A290))*2,0)/2)))</f>
        <v/>
      </c>
      <c r="Y290">
        <f>IF(OR(Y$4="",$A290&gt;TODAY()),0,IF(OR(INDEX($B290:$D290,Y$5)="F",AND(Y$6&gt;0,$A290&lt;Y$6),AND(Y$7&gt;0,$A290&gt;Y$7)),0,MAX(0,ROUND((INDEX($E290:$G290,Y$5)-SUMIFS(TF_Timer,TF_Tekniker,Y$4,TF_Dato,$A290))*2,0)/2)))</f>
        <v/>
      </c>
      <c r="Z290">
        <f>IF(OR(Z$4="",$A290&gt;TODAY()),0,IF(OR(INDEX($B290:$D290,Z$5)="F",AND(Z$6&gt;0,$A290&lt;Z$6),AND(Z$7&gt;0,$A290&gt;Z$7)),0,MAX(0,ROUND((INDEX($E290:$G290,Z$5)-SUMIFS(TF_Timer,TF_Tekniker,Z$4,TF_Dato,$A290))*2,0)/2)))</f>
        <v/>
      </c>
      <c r="AA290">
        <f>IF(OR(AA$4="",$A290&gt;TODAY()),0,IF(OR(INDEX($B290:$D290,AA$5)="F",AND(AA$6&gt;0,$A290&lt;AA$6),AND(AA$7&gt;0,$A290&gt;AA$7)),0,MAX(0,ROUND((INDEX($E290:$G290,AA$5)-SUMIFS(TF_Timer,TF_Tekniker,AA$4,TF_Dato,$A290))*2,0)/2)))</f>
        <v/>
      </c>
      <c r="AB290">
        <f>IF(OR(AB$4="",$A290&gt;TODAY()),0,IF(OR(INDEX($B290:$D290,AB$5)="F",AND(AB$6&gt;0,$A290&lt;AB$6),AND(AB$7&gt;0,$A290&gt;AB$7)),0,MAX(0,ROUND((INDEX($E290:$G290,AB$5)-SUMIFS(TF_Timer,TF_Tekniker,AB$4,TF_Dato,$A290))*2,0)/2)))</f>
        <v/>
      </c>
      <c r="AC290">
        <f>IF(OR(AC$4="",$A290&gt;TODAY()),0,IF(OR(INDEX($B290:$D290,AC$5)="F",AND(AC$6&gt;0,$A290&lt;AC$6),AND(AC$7&gt;0,$A290&gt;AC$7)),0,MAX(0,ROUND((INDEX($E290:$G290,AC$5)-SUMIFS(TF_Timer,TF_Tekniker,AC$4,TF_Dato,$A290))*2,0)/2)))</f>
        <v/>
      </c>
      <c r="AD290">
        <f>IF(OR(AD$4="",$A290&gt;TODAY()),0,IF(OR(INDEX($B290:$D290,AD$5)="F",AND(AD$6&gt;0,$A290&lt;AD$6),AND(AD$7&gt;0,$A290&gt;AD$7)),0,MAX(0,ROUND((INDEX($E290:$G290,AD$5)-SUMIFS(TF_Timer,TF_Tekniker,AD$4,TF_Dato,$A290))*2,0)/2)))</f>
        <v/>
      </c>
      <c r="AE290">
        <f>IF(OR(AE$4="",$A290&gt;TODAY()),0,IF(OR(INDEX($B290:$D290,AE$5)="F",AND(AE$6&gt;0,$A290&lt;AE$6),AND(AE$7&gt;0,$A290&gt;AE$7)),0,MAX(0,ROUND((INDEX($E290:$G290,AE$5)-SUMIFS(TF_Timer,TF_Tekniker,AE$4,TF_Dato,$A290))*2,0)/2)))</f>
        <v/>
      </c>
      <c r="AF290">
        <f>IF(OR(AF$4="",$A290&gt;TODAY()),0,IF(OR(INDEX($B290:$D290,AF$5)="F",AND(AF$6&gt;0,$A290&lt;AF$6),AND(AF$7&gt;0,$A290&gt;AF$7)),0,MAX(0,ROUND((INDEX($E290:$G290,AF$5)-SUMIFS(TF_Timer,TF_Tekniker,AF$4,TF_Dato,$A290))*2,0)/2)))</f>
        <v/>
      </c>
      <c r="AG290">
        <f>IF(OR(AG$4="",$A290&gt;TODAY()),0,IF(OR(INDEX($B290:$D290,AG$5)="F",AND(AG$6&gt;0,$A290&lt;AG$6),AND(AG$7&gt;0,$A290&gt;AG$7)),0,MAX(0,ROUND((INDEX($E290:$G290,AG$5)-SUMIFS(TF_Timer,TF_Tekniker,AG$4,TF_Dato,$A290))*2,0)/2)))</f>
        <v/>
      </c>
      <c r="AH290">
        <f>IF(OR(AH$4="",$A290&gt;TODAY()),0,IF(OR(INDEX($B290:$D290,AH$5)="F",AND(AH$6&gt;0,$A290&lt;AH$6),AND(AH$7&gt;0,$A290&gt;AH$7)),0,MAX(0,ROUND((INDEX($E290:$G290,AH$5)-SUMIFS(TF_Timer,TF_Tekniker,AH$4,TF_Dato,$A290))*2,0)/2)))</f>
        <v/>
      </c>
      <c r="AI290">
        <f>IF(OR(AI$4="",$A290&gt;TODAY()),0,IF(OR(INDEX($B290:$D290,AI$5)="F",AND(AI$6&gt;0,$A290&lt;AI$6),AND(AI$7&gt;0,$A290&gt;AI$7)),0,MAX(0,ROUND((INDEX($E290:$G290,AI$5)-SUMIFS(TF_Timer,TF_Tekniker,AI$4,TF_Dato,$A290))*2,0)/2)))</f>
        <v/>
      </c>
      <c r="AJ290">
        <f>IF(OR(AJ$4="",$A290&gt;TODAY()),0,IF(OR(INDEX($B290:$D290,AJ$5)="F",AND(AJ$6&gt;0,$A290&lt;AJ$6),AND(AJ$7&gt;0,$A290&gt;AJ$7)),0,MAX(0,ROUND((INDEX($E290:$G290,AJ$5)-SUMIFS(TF_Timer,TF_Tekniker,AJ$4,TF_Dato,$A290))*2,0)/2)))</f>
        <v/>
      </c>
      <c r="AK290">
        <f>IF(OR(AK$4="",$A290&gt;TODAY()),0,IF(OR(INDEX($B290:$D290,AK$5)="F",AND(AK$6&gt;0,$A290&lt;AK$6),AND(AK$7&gt;0,$A290&gt;AK$7)),0,MAX(0,ROUND((INDEX($E290:$G290,AK$5)-SUMIFS(TF_Timer,TF_Tekniker,AK$4,TF_Dato,$A290))*2,0)/2)))</f>
        <v/>
      </c>
      <c r="AL290">
        <f>IF(OR(AL$4="",$A290&gt;TODAY()),0,IF(OR(INDEX($B290:$D290,AL$5)="F",AND(AL$6&gt;0,$A290&lt;AL$6),AND(AL$7&gt;0,$A290&gt;AL$7)),0,MAX(0,ROUND((INDEX($E290:$G290,AL$5)-SUMIFS(TF_Timer,TF_Tekniker,AL$4,TF_Dato,$A290))*2,0)/2)))</f>
        <v/>
      </c>
      <c r="AM290">
        <f>IF(OR(AM$4="",$A290&gt;TODAY()),0,IF(OR(INDEX($B290:$D290,AM$5)="F",AND(AM$6&gt;0,$A290&lt;AM$6),AND(AM$7&gt;0,$A290&gt;AM$7)),0,MAX(0,ROUND((INDEX($E290:$G290,AM$5)-SUMIFS(TF_Timer,TF_Tekniker,AM$4,TF_Dato,$A290))*2,0)/2)))</f>
        <v/>
      </c>
      <c r="AN290">
        <f>IF(OR(AN$4="",$A290&gt;TODAY()),0,IF(OR(INDEX($B290:$D290,AN$5)="F",AND(AN$6&gt;0,$A290&lt;AN$6),AND(AN$7&gt;0,$A290&gt;AN$7)),0,MAX(0,ROUND((INDEX($E290:$G290,AN$5)-SUMIFS(TF_Timer,TF_Tekniker,AN$4,TF_Dato,$A290))*2,0)/2)))</f>
        <v/>
      </c>
      <c r="AO290">
        <f>IF(OR(AO$4="",$A290&gt;TODAY()),0,IF(OR(INDEX($B290:$D290,AO$5)="F",AND(AO$6&gt;0,$A290&lt;AO$6),AND(AO$7&gt;0,$A290&gt;AO$7)),0,MAX(0,ROUND((INDEX($E290:$G290,AO$5)-SUMIFS(TF_Timer,TF_Tekniker,AO$4,TF_Dato,$A290))*2,0)/2)))</f>
        <v/>
      </c>
      <c r="AP290">
        <f>IF(OR(AP$4="",$A290&gt;TODAY()),0,IF(OR(INDEX($B290:$D290,AP$5)="F",AND(AP$6&gt;0,$A290&lt;AP$6),AND(AP$7&gt;0,$A290&gt;AP$7)),0,MAX(0,ROUND((INDEX($E290:$G290,AP$5)-SUMIFS(TF_Timer,TF_Tekniker,AP$4,TF_Dato,$A290))*2,0)/2)))</f>
        <v/>
      </c>
      <c r="AQ290">
        <f>IF(OR(AQ$4="",$A290&gt;TODAY()),0,IF(OR(INDEX($B290:$D290,AQ$5)="F",AND(AQ$6&gt;0,$A290&lt;AQ$6),AND(AQ$7&gt;0,$A290&gt;AQ$7)),0,MAX(0,ROUND((INDEX($E290:$G290,AQ$5)-SUMIFS(TF_Timer,TF_Tekniker,AQ$4,TF_Dato,$A290))*2,0)/2)))</f>
        <v/>
      </c>
      <c r="AR290">
        <f>IF(OR(AR$4="",$A290&gt;TODAY()),0,IF(OR(INDEX($B290:$D290,AR$5)="F",AND(AR$6&gt;0,$A290&lt;AR$6),AND(AR$7&gt;0,$A290&gt;AR$7)),0,MAX(0,ROUND((INDEX($E290:$G290,AR$5)-SUMIFS(TF_Timer,TF_Tekniker,AR$4,TF_Dato,$A290))*2,0)/2)))</f>
        <v/>
      </c>
      <c r="AS290">
        <f>IF(OR(AS$4="",$A290&gt;TODAY()),0,IF(OR(INDEX($B290:$D290,AS$5)="F",AND(AS$6&gt;0,$A290&lt;AS$6),AND(AS$7&gt;0,$A290&gt;AS$7)),0,MAX(0,ROUND((INDEX($E290:$G290,AS$5)-SUMIFS(TF_Timer,TF_Tekniker,AS$4,TF_Dato,$A290))*2,0)/2)))</f>
        <v/>
      </c>
      <c r="AT290">
        <f>IF(OR(AT$4="",$A290&gt;TODAY()),0,IF(OR(INDEX($B290:$D290,AT$5)="F",AND(AT$6&gt;0,$A290&lt;AT$6),AND(AT$7&gt;0,$A290&gt;AT$7)),0,MAX(0,ROUND((INDEX($E290:$G290,AT$5)-SUMIFS(TF_Timer,TF_Tekniker,AT$4,TF_Dato,$A290))*2,0)/2)))</f>
        <v/>
      </c>
      <c r="AU290">
        <f>IF(OR(AU$4="",$A290&gt;TODAY()),0,IF(OR(INDEX($B290:$D290,AU$5)="F",AND(AU$6&gt;0,$A290&lt;AU$6),AND(AU$7&gt;0,$A290&gt;AU$7)),0,MAX(0,ROUND((INDEX($E290:$G290,AU$5)-SUMIFS(TF_Timer,TF_Tekniker,AU$4,TF_Dato,$A290))*2,0)/2)))</f>
        <v/>
      </c>
      <c r="AV290">
        <f>IF(OR(AV$4="",$A290&gt;TODAY()),0,IF(OR(INDEX($B290:$D290,AV$5)="F",AND(AV$6&gt;0,$A290&lt;AV$6),AND(AV$7&gt;0,$A290&gt;AV$7)),0,MAX(0,ROUND((INDEX($E290:$G290,AV$5)-SUMIFS(TF_Timer,TF_Tekniker,AV$4,TF_Dato,$A290))*2,0)/2)))</f>
        <v/>
      </c>
      <c r="AW290">
        <f>IF(OR(AW$4="",$A290&gt;TODAY()),0,IF(OR(INDEX($B290:$D290,AW$5)="F",AND(AW$6&gt;0,$A290&lt;AW$6),AND(AW$7&gt;0,$A290&gt;AW$7)),0,MAX(0,ROUND((INDEX($E290:$G290,AW$5)-SUMIFS(TF_Timer,TF_Tekniker,AW$4,TF_Dato,$A290))*2,0)/2)))</f>
        <v/>
      </c>
      <c r="AX290">
        <f>IF(OR(AX$4="",$A290&gt;TODAY()),0,IF(OR(INDEX($B290:$D290,AX$5)="F",AND(AX$6&gt;0,$A290&lt;AX$6),AND(AX$7&gt;0,$A290&gt;AX$7)),0,MAX(0,ROUND((INDEX($E290:$G290,AX$5)-SUMIFS(TF_Timer,TF_Tekniker,AX$4,TF_Dato,$A290))*2,0)/2)))</f>
        <v/>
      </c>
      <c r="AY290">
        <f>IF(OR(AY$4="",$A290&gt;TODAY()),0,IF(OR(INDEX($B290:$D290,AY$5)="F",AND(AY$6&gt;0,$A290&lt;AY$6),AND(AY$7&gt;0,$A290&gt;AY$7)),0,MAX(0,ROUND((INDEX($E290:$G290,AY$5)-SUMIFS(TF_Timer,TF_Tekniker,AY$4,TF_Dato,$A290))*2,0)/2)))</f>
        <v/>
      </c>
      <c r="AZ290">
        <f>IF(OR(AZ$4="",$A290&gt;TODAY()),0,IF(OR(INDEX($B290:$D290,AZ$5)="F",AND(AZ$6&gt;0,$A290&lt;AZ$6),AND(AZ$7&gt;0,$A290&gt;AZ$7)),0,MAX(0,ROUND((INDEX($E290:$G290,AZ$5)-SUMIFS(TF_Timer,TF_Tekniker,AZ$4,TF_Dato,$A290))*2,0)/2)))</f>
        <v/>
      </c>
      <c r="BA290">
        <f>IF(OR(BA$4="",$A290&gt;TODAY()),0,IF(OR(INDEX($B290:$D290,BA$5)="F",AND(BA$6&gt;0,$A290&lt;BA$6),AND(BA$7&gt;0,$A290&gt;BA$7)),0,MAX(0,ROUND((INDEX($E290:$G290,BA$5)-SUMIFS(TF_Timer,TF_Tekniker,BA$4,TF_Dato,$A290))*2,0)/2)))</f>
        <v/>
      </c>
      <c r="BB290">
        <f>IF(OR(BB$4="",$A290&gt;TODAY()),0,IF(OR(INDEX($B290:$D290,BB$5)="F",AND(BB$6&gt;0,$A290&lt;BB$6),AND(BB$7&gt;0,$A290&gt;BB$7)),0,MAX(0,ROUND((INDEX($E290:$G290,BB$5)-SUMIFS(TF_Timer,TF_Tekniker,BB$4,TF_Dato,$A290))*2,0)/2)))</f>
        <v/>
      </c>
      <c r="BC290">
        <f>IF(OR(BC$4="",$A290&gt;TODAY()),0,IF(OR(INDEX($B290:$D290,BC$5)="F",AND(BC$6&gt;0,$A290&lt;BC$6),AND(BC$7&gt;0,$A290&gt;BC$7)),0,MAX(0,ROUND((INDEX($E290:$G290,BC$5)-SUMIFS(TF_Timer,TF_Tekniker,BC$4,TF_Dato,$A290))*2,0)/2)))</f>
        <v/>
      </c>
      <c r="BD290">
        <f>IF(OR(BD$4="",$A290&gt;TODAY()),0,IF(OR(INDEX($B290:$D290,BD$5)="F",AND(BD$6&gt;0,$A290&lt;BD$6),AND(BD$7&gt;0,$A290&gt;BD$7)),0,MAX(0,ROUND((INDEX($E290:$G290,BD$5)-SUMIFS(TF_Timer,TF_Tekniker,BD$4,TF_Dato,$A290))*2,0)/2)))</f>
        <v/>
      </c>
      <c r="BE290">
        <f>IF(OR(BE$4="",$A290&gt;TODAY()),0,IF(OR(INDEX($B290:$D290,BE$5)="F",AND(BE$6&gt;0,$A290&lt;BE$6),AND(BE$7&gt;0,$A290&gt;BE$7)),0,MAX(0,ROUND((INDEX($E290:$G290,BE$5)-SUMIFS(TF_Timer,TF_Tekniker,BE$4,TF_Dato,$A290))*2,0)/2)))</f>
        <v/>
      </c>
      <c r="BF290">
        <f>IF(OR(BF$4="",$A290&gt;TODAY()),0,IF(OR(INDEX($B290:$D290,BF$5)="F",AND(BF$6&gt;0,$A290&lt;BF$6),AND(BF$7&gt;0,$A290&gt;BF$7)),0,MAX(0,ROUND((INDEX($E290:$G290,BF$5)-SUMIFS(TF_Timer,TF_Tekniker,BF$4,TF_Dato,$A290))*2,0)/2)))</f>
        <v/>
      </c>
      <c r="BG290">
        <f>IF(OR(BG$4="",$A290&gt;TODAY()),0,IF(OR(INDEX($B290:$D290,BG$5)="F",AND(BG$6&gt;0,$A290&lt;BG$6),AND(BG$7&gt;0,$A290&gt;BG$7)),0,MAX(0,ROUND((INDEX($E290:$G290,BG$5)-SUMIFS(TF_Timer,TF_Tekniker,BG$4,TF_Dato,$A290))*2,0)/2)))</f>
        <v/>
      </c>
      <c r="BH290">
        <f>IF(OR(BH$4="",$A290&gt;TODAY()),0,IF(OR(INDEX($B290:$D290,BH$5)="F",AND(BH$6&gt;0,$A290&lt;BH$6),AND(BH$7&gt;0,$A290&gt;BH$7)),0,MAX(0,ROUND((INDEX($E290:$G290,BH$5)-SUMIFS(TF_Timer,TF_Tekniker,BH$4,TF_Dato,$A290))*2,0)/2)))</f>
        <v/>
      </c>
      <c r="BI290">
        <f>IF(OR(BI$4="",$A290&gt;TODAY()),0,IF(OR(INDEX($B290:$D290,BI$5)="F",AND(BI$6&gt;0,$A290&lt;BI$6),AND(BI$7&gt;0,$A290&gt;BI$7)),0,MAX(0,ROUND((INDEX($E290:$G290,BI$5)-SUMIFS(TF_Timer,TF_Tekniker,BI$4,TF_Dato,$A290))*2,0)/2)))</f>
        <v/>
      </c>
    </row>
    <row r="291">
      <c r="A291" s="64">
        <f>A290+1</f>
        <v/>
      </c>
      <c r="B291">
        <f>IF(MOD($A291-INDEX(SkiftStart,1),Syklus)&lt;DagK,"K",IF(MOD($A291-INDEX(SkiftStart,1),Syklus)&lt;DagK+DagH,"H",IF(MOD($A291-INDEX(SkiftStart,1),Syklus)&lt;DagK+DagH+DagD,"D","F")))</f>
        <v/>
      </c>
      <c r="C291">
        <f>IF(MOD($A291-INDEX(SkiftStart,2),Syklus)&lt;DagK,"K",IF(MOD($A291-INDEX(SkiftStart,2),Syklus)&lt;DagK+DagH,"H",IF(MOD($A291-INDEX(SkiftStart,2),Syklus)&lt;DagK+DagH+DagD,"D","F")))</f>
        <v/>
      </c>
      <c r="D291">
        <f>IF(MOD($A291-INDEX(SkiftStart,3),Syklus)&lt;DagK,"K",IF(MOD($A291-INDEX(SkiftStart,3),Syklus)&lt;DagK+DagH,"H",IF(MOD($A291-INDEX(SkiftStart,3),Syklus)&lt;DagK+DagH+DagD,"D","F")))</f>
        <v/>
      </c>
      <c r="E291">
        <f>IF(B291="F",0,IF(WEEKDAY($A291,2)=5,INDEX(TimerFr,MATCH(B291,FaseKode,0)),INDEX(TimerMT,MATCH(B291,FaseKode,0))))</f>
        <v/>
      </c>
      <c r="F291">
        <f>IF(C291="F",0,IF(WEEKDAY($A291,2)=5,INDEX(TimerFr,MATCH(C291,FaseKode,0)),INDEX(TimerMT,MATCH(C291,FaseKode,0))))</f>
        <v/>
      </c>
      <c r="G291">
        <f>IF(D291="F",0,IF(WEEKDAY($A291,2)=5,INDEX(TimerFr,MATCH(D291,FaseKode,0)),INDEX(TimerMT,MATCH(D291,FaseKode,0))))</f>
        <v/>
      </c>
      <c r="H291">
        <f>IF(OR(H$4="",$A291&gt;TODAY()),0,IF(OR(INDEX($B291:$D291,H$5)="F",AND(H$6&gt;0,$A291&lt;H$6),AND(H$7&gt;0,$A291&gt;H$7)),0,MAX(0,ROUND((INDEX($E291:$G291,H$5)-SUMIFS(TF_Timer,TF_Tekniker,H$4,TF_Dato,$A291))*2,0)/2)))</f>
        <v/>
      </c>
      <c r="I291">
        <f>IF(OR(I$4="",$A291&gt;TODAY()),0,IF(OR(INDEX($B291:$D291,I$5)="F",AND(I$6&gt;0,$A291&lt;I$6),AND(I$7&gt;0,$A291&gt;I$7)),0,MAX(0,ROUND((INDEX($E291:$G291,I$5)-SUMIFS(TF_Timer,TF_Tekniker,I$4,TF_Dato,$A291))*2,0)/2)))</f>
        <v/>
      </c>
      <c r="J291">
        <f>IF(OR(J$4="",$A291&gt;TODAY()),0,IF(OR(INDEX($B291:$D291,J$5)="F",AND(J$6&gt;0,$A291&lt;J$6),AND(J$7&gt;0,$A291&gt;J$7)),0,MAX(0,ROUND((INDEX($E291:$G291,J$5)-SUMIFS(TF_Timer,TF_Tekniker,J$4,TF_Dato,$A291))*2,0)/2)))</f>
        <v/>
      </c>
      <c r="K291">
        <f>IF(OR(K$4="",$A291&gt;TODAY()),0,IF(OR(INDEX($B291:$D291,K$5)="F",AND(K$6&gt;0,$A291&lt;K$6),AND(K$7&gt;0,$A291&gt;K$7)),0,MAX(0,ROUND((INDEX($E291:$G291,K$5)-SUMIFS(TF_Timer,TF_Tekniker,K$4,TF_Dato,$A291))*2,0)/2)))</f>
        <v/>
      </c>
      <c r="L291">
        <f>IF(OR(L$4="",$A291&gt;TODAY()),0,IF(OR(INDEX($B291:$D291,L$5)="F",AND(L$6&gt;0,$A291&lt;L$6),AND(L$7&gt;0,$A291&gt;L$7)),0,MAX(0,ROUND((INDEX($E291:$G291,L$5)-SUMIFS(TF_Timer,TF_Tekniker,L$4,TF_Dato,$A291))*2,0)/2)))</f>
        <v/>
      </c>
      <c r="M291">
        <f>IF(OR(M$4="",$A291&gt;TODAY()),0,IF(OR(INDEX($B291:$D291,M$5)="F",AND(M$6&gt;0,$A291&lt;M$6),AND(M$7&gt;0,$A291&gt;M$7)),0,MAX(0,ROUND((INDEX($E291:$G291,M$5)-SUMIFS(TF_Timer,TF_Tekniker,M$4,TF_Dato,$A291))*2,0)/2)))</f>
        <v/>
      </c>
      <c r="N291">
        <f>IF(OR(N$4="",$A291&gt;TODAY()),0,IF(OR(INDEX($B291:$D291,N$5)="F",AND(N$6&gt;0,$A291&lt;N$6),AND(N$7&gt;0,$A291&gt;N$7)),0,MAX(0,ROUND((INDEX($E291:$G291,N$5)-SUMIFS(TF_Timer,TF_Tekniker,N$4,TF_Dato,$A291))*2,0)/2)))</f>
        <v/>
      </c>
      <c r="O291">
        <f>IF(OR(O$4="",$A291&gt;TODAY()),0,IF(OR(INDEX($B291:$D291,O$5)="F",AND(O$6&gt;0,$A291&lt;O$6),AND(O$7&gt;0,$A291&gt;O$7)),0,MAX(0,ROUND((INDEX($E291:$G291,O$5)-SUMIFS(TF_Timer,TF_Tekniker,O$4,TF_Dato,$A291))*2,0)/2)))</f>
        <v/>
      </c>
      <c r="P291">
        <f>IF(OR(P$4="",$A291&gt;TODAY()),0,IF(OR(INDEX($B291:$D291,P$5)="F",AND(P$6&gt;0,$A291&lt;P$6),AND(P$7&gt;0,$A291&gt;P$7)),0,MAX(0,ROUND((INDEX($E291:$G291,P$5)-SUMIFS(TF_Timer,TF_Tekniker,P$4,TF_Dato,$A291))*2,0)/2)))</f>
        <v/>
      </c>
      <c r="Q291">
        <f>IF(OR(Q$4="",$A291&gt;TODAY()),0,IF(OR(INDEX($B291:$D291,Q$5)="F",AND(Q$6&gt;0,$A291&lt;Q$6),AND(Q$7&gt;0,$A291&gt;Q$7)),0,MAX(0,ROUND((INDEX($E291:$G291,Q$5)-SUMIFS(TF_Timer,TF_Tekniker,Q$4,TF_Dato,$A291))*2,0)/2)))</f>
        <v/>
      </c>
      <c r="R291">
        <f>IF(OR(R$4="",$A291&gt;TODAY()),0,IF(OR(INDEX($B291:$D291,R$5)="F",AND(R$6&gt;0,$A291&lt;R$6),AND(R$7&gt;0,$A291&gt;R$7)),0,MAX(0,ROUND((INDEX($E291:$G291,R$5)-SUMIFS(TF_Timer,TF_Tekniker,R$4,TF_Dato,$A291))*2,0)/2)))</f>
        <v/>
      </c>
      <c r="S291">
        <f>IF(OR(S$4="",$A291&gt;TODAY()),0,IF(OR(INDEX($B291:$D291,S$5)="F",AND(S$6&gt;0,$A291&lt;S$6),AND(S$7&gt;0,$A291&gt;S$7)),0,MAX(0,ROUND((INDEX($E291:$G291,S$5)-SUMIFS(TF_Timer,TF_Tekniker,S$4,TF_Dato,$A291))*2,0)/2)))</f>
        <v/>
      </c>
      <c r="T291">
        <f>IF(OR(T$4="",$A291&gt;TODAY()),0,IF(OR(INDEX($B291:$D291,T$5)="F",AND(T$6&gt;0,$A291&lt;T$6),AND(T$7&gt;0,$A291&gt;T$7)),0,MAX(0,ROUND((INDEX($E291:$G291,T$5)-SUMIFS(TF_Timer,TF_Tekniker,T$4,TF_Dato,$A291))*2,0)/2)))</f>
        <v/>
      </c>
      <c r="U291">
        <f>IF(OR(U$4="",$A291&gt;TODAY()),0,IF(OR(INDEX($B291:$D291,U$5)="F",AND(U$6&gt;0,$A291&lt;U$6),AND(U$7&gt;0,$A291&gt;U$7)),0,MAX(0,ROUND((INDEX($E291:$G291,U$5)-SUMIFS(TF_Timer,TF_Tekniker,U$4,TF_Dato,$A291))*2,0)/2)))</f>
        <v/>
      </c>
      <c r="V291">
        <f>IF(OR(V$4="",$A291&gt;TODAY()),0,IF(OR(INDEX($B291:$D291,V$5)="F",AND(V$6&gt;0,$A291&lt;V$6),AND(V$7&gt;0,$A291&gt;V$7)),0,MAX(0,ROUND((INDEX($E291:$G291,V$5)-SUMIFS(TF_Timer,TF_Tekniker,V$4,TF_Dato,$A291))*2,0)/2)))</f>
        <v/>
      </c>
      <c r="W291">
        <f>IF(OR(W$4="",$A291&gt;TODAY()),0,IF(OR(INDEX($B291:$D291,W$5)="F",AND(W$6&gt;0,$A291&lt;W$6),AND(W$7&gt;0,$A291&gt;W$7)),0,MAX(0,ROUND((INDEX($E291:$G291,W$5)-SUMIFS(TF_Timer,TF_Tekniker,W$4,TF_Dato,$A291))*2,0)/2)))</f>
        <v/>
      </c>
      <c r="X291">
        <f>IF(OR(X$4="",$A291&gt;TODAY()),0,IF(OR(INDEX($B291:$D291,X$5)="F",AND(X$6&gt;0,$A291&lt;X$6),AND(X$7&gt;0,$A291&gt;X$7)),0,MAX(0,ROUND((INDEX($E291:$G291,X$5)-SUMIFS(TF_Timer,TF_Tekniker,X$4,TF_Dato,$A291))*2,0)/2)))</f>
        <v/>
      </c>
      <c r="Y291">
        <f>IF(OR(Y$4="",$A291&gt;TODAY()),0,IF(OR(INDEX($B291:$D291,Y$5)="F",AND(Y$6&gt;0,$A291&lt;Y$6),AND(Y$7&gt;0,$A291&gt;Y$7)),0,MAX(0,ROUND((INDEX($E291:$G291,Y$5)-SUMIFS(TF_Timer,TF_Tekniker,Y$4,TF_Dato,$A291))*2,0)/2)))</f>
        <v/>
      </c>
      <c r="Z291">
        <f>IF(OR(Z$4="",$A291&gt;TODAY()),0,IF(OR(INDEX($B291:$D291,Z$5)="F",AND(Z$6&gt;0,$A291&lt;Z$6),AND(Z$7&gt;0,$A291&gt;Z$7)),0,MAX(0,ROUND((INDEX($E291:$G291,Z$5)-SUMIFS(TF_Timer,TF_Tekniker,Z$4,TF_Dato,$A291))*2,0)/2)))</f>
        <v/>
      </c>
      <c r="AA291">
        <f>IF(OR(AA$4="",$A291&gt;TODAY()),0,IF(OR(INDEX($B291:$D291,AA$5)="F",AND(AA$6&gt;0,$A291&lt;AA$6),AND(AA$7&gt;0,$A291&gt;AA$7)),0,MAX(0,ROUND((INDEX($E291:$G291,AA$5)-SUMIFS(TF_Timer,TF_Tekniker,AA$4,TF_Dato,$A291))*2,0)/2)))</f>
        <v/>
      </c>
      <c r="AB291">
        <f>IF(OR(AB$4="",$A291&gt;TODAY()),0,IF(OR(INDEX($B291:$D291,AB$5)="F",AND(AB$6&gt;0,$A291&lt;AB$6),AND(AB$7&gt;0,$A291&gt;AB$7)),0,MAX(0,ROUND((INDEX($E291:$G291,AB$5)-SUMIFS(TF_Timer,TF_Tekniker,AB$4,TF_Dato,$A291))*2,0)/2)))</f>
        <v/>
      </c>
      <c r="AC291">
        <f>IF(OR(AC$4="",$A291&gt;TODAY()),0,IF(OR(INDEX($B291:$D291,AC$5)="F",AND(AC$6&gt;0,$A291&lt;AC$6),AND(AC$7&gt;0,$A291&gt;AC$7)),0,MAX(0,ROUND((INDEX($E291:$G291,AC$5)-SUMIFS(TF_Timer,TF_Tekniker,AC$4,TF_Dato,$A291))*2,0)/2)))</f>
        <v/>
      </c>
      <c r="AD291">
        <f>IF(OR(AD$4="",$A291&gt;TODAY()),0,IF(OR(INDEX($B291:$D291,AD$5)="F",AND(AD$6&gt;0,$A291&lt;AD$6),AND(AD$7&gt;0,$A291&gt;AD$7)),0,MAX(0,ROUND((INDEX($E291:$G291,AD$5)-SUMIFS(TF_Timer,TF_Tekniker,AD$4,TF_Dato,$A291))*2,0)/2)))</f>
        <v/>
      </c>
      <c r="AE291">
        <f>IF(OR(AE$4="",$A291&gt;TODAY()),0,IF(OR(INDEX($B291:$D291,AE$5)="F",AND(AE$6&gt;0,$A291&lt;AE$6),AND(AE$7&gt;0,$A291&gt;AE$7)),0,MAX(0,ROUND((INDEX($E291:$G291,AE$5)-SUMIFS(TF_Timer,TF_Tekniker,AE$4,TF_Dato,$A291))*2,0)/2)))</f>
        <v/>
      </c>
      <c r="AF291">
        <f>IF(OR(AF$4="",$A291&gt;TODAY()),0,IF(OR(INDEX($B291:$D291,AF$5)="F",AND(AF$6&gt;0,$A291&lt;AF$6),AND(AF$7&gt;0,$A291&gt;AF$7)),0,MAX(0,ROUND((INDEX($E291:$G291,AF$5)-SUMIFS(TF_Timer,TF_Tekniker,AF$4,TF_Dato,$A291))*2,0)/2)))</f>
        <v/>
      </c>
      <c r="AG291">
        <f>IF(OR(AG$4="",$A291&gt;TODAY()),0,IF(OR(INDEX($B291:$D291,AG$5)="F",AND(AG$6&gt;0,$A291&lt;AG$6),AND(AG$7&gt;0,$A291&gt;AG$7)),0,MAX(0,ROUND((INDEX($E291:$G291,AG$5)-SUMIFS(TF_Timer,TF_Tekniker,AG$4,TF_Dato,$A291))*2,0)/2)))</f>
        <v/>
      </c>
      <c r="AH291">
        <f>IF(OR(AH$4="",$A291&gt;TODAY()),0,IF(OR(INDEX($B291:$D291,AH$5)="F",AND(AH$6&gt;0,$A291&lt;AH$6),AND(AH$7&gt;0,$A291&gt;AH$7)),0,MAX(0,ROUND((INDEX($E291:$G291,AH$5)-SUMIFS(TF_Timer,TF_Tekniker,AH$4,TF_Dato,$A291))*2,0)/2)))</f>
        <v/>
      </c>
      <c r="AI291">
        <f>IF(OR(AI$4="",$A291&gt;TODAY()),0,IF(OR(INDEX($B291:$D291,AI$5)="F",AND(AI$6&gt;0,$A291&lt;AI$6),AND(AI$7&gt;0,$A291&gt;AI$7)),0,MAX(0,ROUND((INDEX($E291:$G291,AI$5)-SUMIFS(TF_Timer,TF_Tekniker,AI$4,TF_Dato,$A291))*2,0)/2)))</f>
        <v/>
      </c>
      <c r="AJ291">
        <f>IF(OR(AJ$4="",$A291&gt;TODAY()),0,IF(OR(INDEX($B291:$D291,AJ$5)="F",AND(AJ$6&gt;0,$A291&lt;AJ$6),AND(AJ$7&gt;0,$A291&gt;AJ$7)),0,MAX(0,ROUND((INDEX($E291:$G291,AJ$5)-SUMIFS(TF_Timer,TF_Tekniker,AJ$4,TF_Dato,$A291))*2,0)/2)))</f>
        <v/>
      </c>
      <c r="AK291">
        <f>IF(OR(AK$4="",$A291&gt;TODAY()),0,IF(OR(INDEX($B291:$D291,AK$5)="F",AND(AK$6&gt;0,$A291&lt;AK$6),AND(AK$7&gt;0,$A291&gt;AK$7)),0,MAX(0,ROUND((INDEX($E291:$G291,AK$5)-SUMIFS(TF_Timer,TF_Tekniker,AK$4,TF_Dato,$A291))*2,0)/2)))</f>
        <v/>
      </c>
      <c r="AL291">
        <f>IF(OR(AL$4="",$A291&gt;TODAY()),0,IF(OR(INDEX($B291:$D291,AL$5)="F",AND(AL$6&gt;0,$A291&lt;AL$6),AND(AL$7&gt;0,$A291&gt;AL$7)),0,MAX(0,ROUND((INDEX($E291:$G291,AL$5)-SUMIFS(TF_Timer,TF_Tekniker,AL$4,TF_Dato,$A291))*2,0)/2)))</f>
        <v/>
      </c>
      <c r="AM291">
        <f>IF(OR(AM$4="",$A291&gt;TODAY()),0,IF(OR(INDEX($B291:$D291,AM$5)="F",AND(AM$6&gt;0,$A291&lt;AM$6),AND(AM$7&gt;0,$A291&gt;AM$7)),0,MAX(0,ROUND((INDEX($E291:$G291,AM$5)-SUMIFS(TF_Timer,TF_Tekniker,AM$4,TF_Dato,$A291))*2,0)/2)))</f>
        <v/>
      </c>
      <c r="AN291">
        <f>IF(OR(AN$4="",$A291&gt;TODAY()),0,IF(OR(INDEX($B291:$D291,AN$5)="F",AND(AN$6&gt;0,$A291&lt;AN$6),AND(AN$7&gt;0,$A291&gt;AN$7)),0,MAX(0,ROUND((INDEX($E291:$G291,AN$5)-SUMIFS(TF_Timer,TF_Tekniker,AN$4,TF_Dato,$A291))*2,0)/2)))</f>
        <v/>
      </c>
      <c r="AO291">
        <f>IF(OR(AO$4="",$A291&gt;TODAY()),0,IF(OR(INDEX($B291:$D291,AO$5)="F",AND(AO$6&gt;0,$A291&lt;AO$6),AND(AO$7&gt;0,$A291&gt;AO$7)),0,MAX(0,ROUND((INDEX($E291:$G291,AO$5)-SUMIFS(TF_Timer,TF_Tekniker,AO$4,TF_Dato,$A291))*2,0)/2)))</f>
        <v/>
      </c>
      <c r="AP291">
        <f>IF(OR(AP$4="",$A291&gt;TODAY()),0,IF(OR(INDEX($B291:$D291,AP$5)="F",AND(AP$6&gt;0,$A291&lt;AP$6),AND(AP$7&gt;0,$A291&gt;AP$7)),0,MAX(0,ROUND((INDEX($E291:$G291,AP$5)-SUMIFS(TF_Timer,TF_Tekniker,AP$4,TF_Dato,$A291))*2,0)/2)))</f>
        <v/>
      </c>
      <c r="AQ291">
        <f>IF(OR(AQ$4="",$A291&gt;TODAY()),0,IF(OR(INDEX($B291:$D291,AQ$5)="F",AND(AQ$6&gt;0,$A291&lt;AQ$6),AND(AQ$7&gt;0,$A291&gt;AQ$7)),0,MAX(0,ROUND((INDEX($E291:$G291,AQ$5)-SUMIFS(TF_Timer,TF_Tekniker,AQ$4,TF_Dato,$A291))*2,0)/2)))</f>
        <v/>
      </c>
      <c r="AR291">
        <f>IF(OR(AR$4="",$A291&gt;TODAY()),0,IF(OR(INDEX($B291:$D291,AR$5)="F",AND(AR$6&gt;0,$A291&lt;AR$6),AND(AR$7&gt;0,$A291&gt;AR$7)),0,MAX(0,ROUND((INDEX($E291:$G291,AR$5)-SUMIFS(TF_Timer,TF_Tekniker,AR$4,TF_Dato,$A291))*2,0)/2)))</f>
        <v/>
      </c>
      <c r="AS291">
        <f>IF(OR(AS$4="",$A291&gt;TODAY()),0,IF(OR(INDEX($B291:$D291,AS$5)="F",AND(AS$6&gt;0,$A291&lt;AS$6),AND(AS$7&gt;0,$A291&gt;AS$7)),0,MAX(0,ROUND((INDEX($E291:$G291,AS$5)-SUMIFS(TF_Timer,TF_Tekniker,AS$4,TF_Dato,$A291))*2,0)/2)))</f>
        <v/>
      </c>
      <c r="AT291">
        <f>IF(OR(AT$4="",$A291&gt;TODAY()),0,IF(OR(INDEX($B291:$D291,AT$5)="F",AND(AT$6&gt;0,$A291&lt;AT$6),AND(AT$7&gt;0,$A291&gt;AT$7)),0,MAX(0,ROUND((INDEX($E291:$G291,AT$5)-SUMIFS(TF_Timer,TF_Tekniker,AT$4,TF_Dato,$A291))*2,0)/2)))</f>
        <v/>
      </c>
      <c r="AU291">
        <f>IF(OR(AU$4="",$A291&gt;TODAY()),0,IF(OR(INDEX($B291:$D291,AU$5)="F",AND(AU$6&gt;0,$A291&lt;AU$6),AND(AU$7&gt;0,$A291&gt;AU$7)),0,MAX(0,ROUND((INDEX($E291:$G291,AU$5)-SUMIFS(TF_Timer,TF_Tekniker,AU$4,TF_Dato,$A291))*2,0)/2)))</f>
        <v/>
      </c>
      <c r="AV291">
        <f>IF(OR(AV$4="",$A291&gt;TODAY()),0,IF(OR(INDEX($B291:$D291,AV$5)="F",AND(AV$6&gt;0,$A291&lt;AV$6),AND(AV$7&gt;0,$A291&gt;AV$7)),0,MAX(0,ROUND((INDEX($E291:$G291,AV$5)-SUMIFS(TF_Timer,TF_Tekniker,AV$4,TF_Dato,$A291))*2,0)/2)))</f>
        <v/>
      </c>
      <c r="AW291">
        <f>IF(OR(AW$4="",$A291&gt;TODAY()),0,IF(OR(INDEX($B291:$D291,AW$5)="F",AND(AW$6&gt;0,$A291&lt;AW$6),AND(AW$7&gt;0,$A291&gt;AW$7)),0,MAX(0,ROUND((INDEX($E291:$G291,AW$5)-SUMIFS(TF_Timer,TF_Tekniker,AW$4,TF_Dato,$A291))*2,0)/2)))</f>
        <v/>
      </c>
      <c r="AX291">
        <f>IF(OR(AX$4="",$A291&gt;TODAY()),0,IF(OR(INDEX($B291:$D291,AX$5)="F",AND(AX$6&gt;0,$A291&lt;AX$6),AND(AX$7&gt;0,$A291&gt;AX$7)),0,MAX(0,ROUND((INDEX($E291:$G291,AX$5)-SUMIFS(TF_Timer,TF_Tekniker,AX$4,TF_Dato,$A291))*2,0)/2)))</f>
        <v/>
      </c>
      <c r="AY291">
        <f>IF(OR(AY$4="",$A291&gt;TODAY()),0,IF(OR(INDEX($B291:$D291,AY$5)="F",AND(AY$6&gt;0,$A291&lt;AY$6),AND(AY$7&gt;0,$A291&gt;AY$7)),0,MAX(0,ROUND((INDEX($E291:$G291,AY$5)-SUMIFS(TF_Timer,TF_Tekniker,AY$4,TF_Dato,$A291))*2,0)/2)))</f>
        <v/>
      </c>
      <c r="AZ291">
        <f>IF(OR(AZ$4="",$A291&gt;TODAY()),0,IF(OR(INDEX($B291:$D291,AZ$5)="F",AND(AZ$6&gt;0,$A291&lt;AZ$6),AND(AZ$7&gt;0,$A291&gt;AZ$7)),0,MAX(0,ROUND((INDEX($E291:$G291,AZ$5)-SUMIFS(TF_Timer,TF_Tekniker,AZ$4,TF_Dato,$A291))*2,0)/2)))</f>
        <v/>
      </c>
      <c r="BA291">
        <f>IF(OR(BA$4="",$A291&gt;TODAY()),0,IF(OR(INDEX($B291:$D291,BA$5)="F",AND(BA$6&gt;0,$A291&lt;BA$6),AND(BA$7&gt;0,$A291&gt;BA$7)),0,MAX(0,ROUND((INDEX($E291:$G291,BA$5)-SUMIFS(TF_Timer,TF_Tekniker,BA$4,TF_Dato,$A291))*2,0)/2)))</f>
        <v/>
      </c>
      <c r="BB291">
        <f>IF(OR(BB$4="",$A291&gt;TODAY()),0,IF(OR(INDEX($B291:$D291,BB$5)="F",AND(BB$6&gt;0,$A291&lt;BB$6),AND(BB$7&gt;0,$A291&gt;BB$7)),0,MAX(0,ROUND((INDEX($E291:$G291,BB$5)-SUMIFS(TF_Timer,TF_Tekniker,BB$4,TF_Dato,$A291))*2,0)/2)))</f>
        <v/>
      </c>
      <c r="BC291">
        <f>IF(OR(BC$4="",$A291&gt;TODAY()),0,IF(OR(INDEX($B291:$D291,BC$5)="F",AND(BC$6&gt;0,$A291&lt;BC$6),AND(BC$7&gt;0,$A291&gt;BC$7)),0,MAX(0,ROUND((INDEX($E291:$G291,BC$5)-SUMIFS(TF_Timer,TF_Tekniker,BC$4,TF_Dato,$A291))*2,0)/2)))</f>
        <v/>
      </c>
      <c r="BD291">
        <f>IF(OR(BD$4="",$A291&gt;TODAY()),0,IF(OR(INDEX($B291:$D291,BD$5)="F",AND(BD$6&gt;0,$A291&lt;BD$6),AND(BD$7&gt;0,$A291&gt;BD$7)),0,MAX(0,ROUND((INDEX($E291:$G291,BD$5)-SUMIFS(TF_Timer,TF_Tekniker,BD$4,TF_Dato,$A291))*2,0)/2)))</f>
        <v/>
      </c>
      <c r="BE291">
        <f>IF(OR(BE$4="",$A291&gt;TODAY()),0,IF(OR(INDEX($B291:$D291,BE$5)="F",AND(BE$6&gt;0,$A291&lt;BE$6),AND(BE$7&gt;0,$A291&gt;BE$7)),0,MAX(0,ROUND((INDEX($E291:$G291,BE$5)-SUMIFS(TF_Timer,TF_Tekniker,BE$4,TF_Dato,$A291))*2,0)/2)))</f>
        <v/>
      </c>
      <c r="BF291">
        <f>IF(OR(BF$4="",$A291&gt;TODAY()),0,IF(OR(INDEX($B291:$D291,BF$5)="F",AND(BF$6&gt;0,$A291&lt;BF$6),AND(BF$7&gt;0,$A291&gt;BF$7)),0,MAX(0,ROUND((INDEX($E291:$G291,BF$5)-SUMIFS(TF_Timer,TF_Tekniker,BF$4,TF_Dato,$A291))*2,0)/2)))</f>
        <v/>
      </c>
      <c r="BG291">
        <f>IF(OR(BG$4="",$A291&gt;TODAY()),0,IF(OR(INDEX($B291:$D291,BG$5)="F",AND(BG$6&gt;0,$A291&lt;BG$6),AND(BG$7&gt;0,$A291&gt;BG$7)),0,MAX(0,ROUND((INDEX($E291:$G291,BG$5)-SUMIFS(TF_Timer,TF_Tekniker,BG$4,TF_Dato,$A291))*2,0)/2)))</f>
        <v/>
      </c>
      <c r="BH291">
        <f>IF(OR(BH$4="",$A291&gt;TODAY()),0,IF(OR(INDEX($B291:$D291,BH$5)="F",AND(BH$6&gt;0,$A291&lt;BH$6),AND(BH$7&gt;0,$A291&gt;BH$7)),0,MAX(0,ROUND((INDEX($E291:$G291,BH$5)-SUMIFS(TF_Timer,TF_Tekniker,BH$4,TF_Dato,$A291))*2,0)/2)))</f>
        <v/>
      </c>
      <c r="BI291">
        <f>IF(OR(BI$4="",$A291&gt;TODAY()),0,IF(OR(INDEX($B291:$D291,BI$5)="F",AND(BI$6&gt;0,$A291&lt;BI$6),AND(BI$7&gt;0,$A291&gt;BI$7)),0,MAX(0,ROUND((INDEX($E291:$G291,BI$5)-SUMIFS(TF_Timer,TF_Tekniker,BI$4,TF_Dato,$A291))*2,0)/2)))</f>
        <v/>
      </c>
    </row>
    <row r="292">
      <c r="A292" s="64">
        <f>A291+1</f>
        <v/>
      </c>
      <c r="B292">
        <f>IF(MOD($A292-INDEX(SkiftStart,1),Syklus)&lt;DagK,"K",IF(MOD($A292-INDEX(SkiftStart,1),Syklus)&lt;DagK+DagH,"H",IF(MOD($A292-INDEX(SkiftStart,1),Syklus)&lt;DagK+DagH+DagD,"D","F")))</f>
        <v/>
      </c>
      <c r="C292">
        <f>IF(MOD($A292-INDEX(SkiftStart,2),Syklus)&lt;DagK,"K",IF(MOD($A292-INDEX(SkiftStart,2),Syklus)&lt;DagK+DagH,"H",IF(MOD($A292-INDEX(SkiftStart,2),Syklus)&lt;DagK+DagH+DagD,"D","F")))</f>
        <v/>
      </c>
      <c r="D292">
        <f>IF(MOD($A292-INDEX(SkiftStart,3),Syklus)&lt;DagK,"K",IF(MOD($A292-INDEX(SkiftStart,3),Syklus)&lt;DagK+DagH,"H",IF(MOD($A292-INDEX(SkiftStart,3),Syklus)&lt;DagK+DagH+DagD,"D","F")))</f>
        <v/>
      </c>
      <c r="E292">
        <f>IF(B292="F",0,IF(WEEKDAY($A292,2)=5,INDEX(TimerFr,MATCH(B292,FaseKode,0)),INDEX(TimerMT,MATCH(B292,FaseKode,0))))</f>
        <v/>
      </c>
      <c r="F292">
        <f>IF(C292="F",0,IF(WEEKDAY($A292,2)=5,INDEX(TimerFr,MATCH(C292,FaseKode,0)),INDEX(TimerMT,MATCH(C292,FaseKode,0))))</f>
        <v/>
      </c>
      <c r="G292">
        <f>IF(D292="F",0,IF(WEEKDAY($A292,2)=5,INDEX(TimerFr,MATCH(D292,FaseKode,0)),INDEX(TimerMT,MATCH(D292,FaseKode,0))))</f>
        <v/>
      </c>
      <c r="H292">
        <f>IF(OR(H$4="",$A292&gt;TODAY()),0,IF(OR(INDEX($B292:$D292,H$5)="F",AND(H$6&gt;0,$A292&lt;H$6),AND(H$7&gt;0,$A292&gt;H$7)),0,MAX(0,ROUND((INDEX($E292:$G292,H$5)-SUMIFS(TF_Timer,TF_Tekniker,H$4,TF_Dato,$A292))*2,0)/2)))</f>
        <v/>
      </c>
      <c r="I292">
        <f>IF(OR(I$4="",$A292&gt;TODAY()),0,IF(OR(INDEX($B292:$D292,I$5)="F",AND(I$6&gt;0,$A292&lt;I$6),AND(I$7&gt;0,$A292&gt;I$7)),0,MAX(0,ROUND((INDEX($E292:$G292,I$5)-SUMIFS(TF_Timer,TF_Tekniker,I$4,TF_Dato,$A292))*2,0)/2)))</f>
        <v/>
      </c>
      <c r="J292">
        <f>IF(OR(J$4="",$A292&gt;TODAY()),0,IF(OR(INDEX($B292:$D292,J$5)="F",AND(J$6&gt;0,$A292&lt;J$6),AND(J$7&gt;0,$A292&gt;J$7)),0,MAX(0,ROUND((INDEX($E292:$G292,J$5)-SUMIFS(TF_Timer,TF_Tekniker,J$4,TF_Dato,$A292))*2,0)/2)))</f>
        <v/>
      </c>
      <c r="K292">
        <f>IF(OR(K$4="",$A292&gt;TODAY()),0,IF(OR(INDEX($B292:$D292,K$5)="F",AND(K$6&gt;0,$A292&lt;K$6),AND(K$7&gt;0,$A292&gt;K$7)),0,MAX(0,ROUND((INDEX($E292:$G292,K$5)-SUMIFS(TF_Timer,TF_Tekniker,K$4,TF_Dato,$A292))*2,0)/2)))</f>
        <v/>
      </c>
      <c r="L292">
        <f>IF(OR(L$4="",$A292&gt;TODAY()),0,IF(OR(INDEX($B292:$D292,L$5)="F",AND(L$6&gt;0,$A292&lt;L$6),AND(L$7&gt;0,$A292&gt;L$7)),0,MAX(0,ROUND((INDEX($E292:$G292,L$5)-SUMIFS(TF_Timer,TF_Tekniker,L$4,TF_Dato,$A292))*2,0)/2)))</f>
        <v/>
      </c>
      <c r="M292">
        <f>IF(OR(M$4="",$A292&gt;TODAY()),0,IF(OR(INDEX($B292:$D292,M$5)="F",AND(M$6&gt;0,$A292&lt;M$6),AND(M$7&gt;0,$A292&gt;M$7)),0,MAX(0,ROUND((INDEX($E292:$G292,M$5)-SUMIFS(TF_Timer,TF_Tekniker,M$4,TF_Dato,$A292))*2,0)/2)))</f>
        <v/>
      </c>
      <c r="N292">
        <f>IF(OR(N$4="",$A292&gt;TODAY()),0,IF(OR(INDEX($B292:$D292,N$5)="F",AND(N$6&gt;0,$A292&lt;N$6),AND(N$7&gt;0,$A292&gt;N$7)),0,MAX(0,ROUND((INDEX($E292:$G292,N$5)-SUMIFS(TF_Timer,TF_Tekniker,N$4,TF_Dato,$A292))*2,0)/2)))</f>
        <v/>
      </c>
      <c r="O292">
        <f>IF(OR(O$4="",$A292&gt;TODAY()),0,IF(OR(INDEX($B292:$D292,O$5)="F",AND(O$6&gt;0,$A292&lt;O$6),AND(O$7&gt;0,$A292&gt;O$7)),0,MAX(0,ROUND((INDEX($E292:$G292,O$5)-SUMIFS(TF_Timer,TF_Tekniker,O$4,TF_Dato,$A292))*2,0)/2)))</f>
        <v/>
      </c>
      <c r="P292">
        <f>IF(OR(P$4="",$A292&gt;TODAY()),0,IF(OR(INDEX($B292:$D292,P$5)="F",AND(P$6&gt;0,$A292&lt;P$6),AND(P$7&gt;0,$A292&gt;P$7)),0,MAX(0,ROUND((INDEX($E292:$G292,P$5)-SUMIFS(TF_Timer,TF_Tekniker,P$4,TF_Dato,$A292))*2,0)/2)))</f>
        <v/>
      </c>
      <c r="Q292">
        <f>IF(OR(Q$4="",$A292&gt;TODAY()),0,IF(OR(INDEX($B292:$D292,Q$5)="F",AND(Q$6&gt;0,$A292&lt;Q$6),AND(Q$7&gt;0,$A292&gt;Q$7)),0,MAX(0,ROUND((INDEX($E292:$G292,Q$5)-SUMIFS(TF_Timer,TF_Tekniker,Q$4,TF_Dato,$A292))*2,0)/2)))</f>
        <v/>
      </c>
      <c r="R292">
        <f>IF(OR(R$4="",$A292&gt;TODAY()),0,IF(OR(INDEX($B292:$D292,R$5)="F",AND(R$6&gt;0,$A292&lt;R$6),AND(R$7&gt;0,$A292&gt;R$7)),0,MAX(0,ROUND((INDEX($E292:$G292,R$5)-SUMIFS(TF_Timer,TF_Tekniker,R$4,TF_Dato,$A292))*2,0)/2)))</f>
        <v/>
      </c>
      <c r="S292">
        <f>IF(OR(S$4="",$A292&gt;TODAY()),0,IF(OR(INDEX($B292:$D292,S$5)="F",AND(S$6&gt;0,$A292&lt;S$6),AND(S$7&gt;0,$A292&gt;S$7)),0,MAX(0,ROUND((INDEX($E292:$G292,S$5)-SUMIFS(TF_Timer,TF_Tekniker,S$4,TF_Dato,$A292))*2,0)/2)))</f>
        <v/>
      </c>
      <c r="T292">
        <f>IF(OR(T$4="",$A292&gt;TODAY()),0,IF(OR(INDEX($B292:$D292,T$5)="F",AND(T$6&gt;0,$A292&lt;T$6),AND(T$7&gt;0,$A292&gt;T$7)),0,MAX(0,ROUND((INDEX($E292:$G292,T$5)-SUMIFS(TF_Timer,TF_Tekniker,T$4,TF_Dato,$A292))*2,0)/2)))</f>
        <v/>
      </c>
      <c r="U292">
        <f>IF(OR(U$4="",$A292&gt;TODAY()),0,IF(OR(INDEX($B292:$D292,U$5)="F",AND(U$6&gt;0,$A292&lt;U$6),AND(U$7&gt;0,$A292&gt;U$7)),0,MAX(0,ROUND((INDEX($E292:$G292,U$5)-SUMIFS(TF_Timer,TF_Tekniker,U$4,TF_Dato,$A292))*2,0)/2)))</f>
        <v/>
      </c>
      <c r="V292">
        <f>IF(OR(V$4="",$A292&gt;TODAY()),0,IF(OR(INDEX($B292:$D292,V$5)="F",AND(V$6&gt;0,$A292&lt;V$6),AND(V$7&gt;0,$A292&gt;V$7)),0,MAX(0,ROUND((INDEX($E292:$G292,V$5)-SUMIFS(TF_Timer,TF_Tekniker,V$4,TF_Dato,$A292))*2,0)/2)))</f>
        <v/>
      </c>
      <c r="W292">
        <f>IF(OR(W$4="",$A292&gt;TODAY()),0,IF(OR(INDEX($B292:$D292,W$5)="F",AND(W$6&gt;0,$A292&lt;W$6),AND(W$7&gt;0,$A292&gt;W$7)),0,MAX(0,ROUND((INDEX($E292:$G292,W$5)-SUMIFS(TF_Timer,TF_Tekniker,W$4,TF_Dato,$A292))*2,0)/2)))</f>
        <v/>
      </c>
      <c r="X292">
        <f>IF(OR(X$4="",$A292&gt;TODAY()),0,IF(OR(INDEX($B292:$D292,X$5)="F",AND(X$6&gt;0,$A292&lt;X$6),AND(X$7&gt;0,$A292&gt;X$7)),0,MAX(0,ROUND((INDEX($E292:$G292,X$5)-SUMIFS(TF_Timer,TF_Tekniker,X$4,TF_Dato,$A292))*2,0)/2)))</f>
        <v/>
      </c>
      <c r="Y292">
        <f>IF(OR(Y$4="",$A292&gt;TODAY()),0,IF(OR(INDEX($B292:$D292,Y$5)="F",AND(Y$6&gt;0,$A292&lt;Y$6),AND(Y$7&gt;0,$A292&gt;Y$7)),0,MAX(0,ROUND((INDEX($E292:$G292,Y$5)-SUMIFS(TF_Timer,TF_Tekniker,Y$4,TF_Dato,$A292))*2,0)/2)))</f>
        <v/>
      </c>
      <c r="Z292">
        <f>IF(OR(Z$4="",$A292&gt;TODAY()),0,IF(OR(INDEX($B292:$D292,Z$5)="F",AND(Z$6&gt;0,$A292&lt;Z$6),AND(Z$7&gt;0,$A292&gt;Z$7)),0,MAX(0,ROUND((INDEX($E292:$G292,Z$5)-SUMIFS(TF_Timer,TF_Tekniker,Z$4,TF_Dato,$A292))*2,0)/2)))</f>
        <v/>
      </c>
      <c r="AA292">
        <f>IF(OR(AA$4="",$A292&gt;TODAY()),0,IF(OR(INDEX($B292:$D292,AA$5)="F",AND(AA$6&gt;0,$A292&lt;AA$6),AND(AA$7&gt;0,$A292&gt;AA$7)),0,MAX(0,ROUND((INDEX($E292:$G292,AA$5)-SUMIFS(TF_Timer,TF_Tekniker,AA$4,TF_Dato,$A292))*2,0)/2)))</f>
        <v/>
      </c>
      <c r="AB292">
        <f>IF(OR(AB$4="",$A292&gt;TODAY()),0,IF(OR(INDEX($B292:$D292,AB$5)="F",AND(AB$6&gt;0,$A292&lt;AB$6),AND(AB$7&gt;0,$A292&gt;AB$7)),0,MAX(0,ROUND((INDEX($E292:$G292,AB$5)-SUMIFS(TF_Timer,TF_Tekniker,AB$4,TF_Dato,$A292))*2,0)/2)))</f>
        <v/>
      </c>
      <c r="AC292">
        <f>IF(OR(AC$4="",$A292&gt;TODAY()),0,IF(OR(INDEX($B292:$D292,AC$5)="F",AND(AC$6&gt;0,$A292&lt;AC$6),AND(AC$7&gt;0,$A292&gt;AC$7)),0,MAX(0,ROUND((INDEX($E292:$G292,AC$5)-SUMIFS(TF_Timer,TF_Tekniker,AC$4,TF_Dato,$A292))*2,0)/2)))</f>
        <v/>
      </c>
      <c r="AD292">
        <f>IF(OR(AD$4="",$A292&gt;TODAY()),0,IF(OR(INDEX($B292:$D292,AD$5)="F",AND(AD$6&gt;0,$A292&lt;AD$6),AND(AD$7&gt;0,$A292&gt;AD$7)),0,MAX(0,ROUND((INDEX($E292:$G292,AD$5)-SUMIFS(TF_Timer,TF_Tekniker,AD$4,TF_Dato,$A292))*2,0)/2)))</f>
        <v/>
      </c>
      <c r="AE292">
        <f>IF(OR(AE$4="",$A292&gt;TODAY()),0,IF(OR(INDEX($B292:$D292,AE$5)="F",AND(AE$6&gt;0,$A292&lt;AE$6),AND(AE$7&gt;0,$A292&gt;AE$7)),0,MAX(0,ROUND((INDEX($E292:$G292,AE$5)-SUMIFS(TF_Timer,TF_Tekniker,AE$4,TF_Dato,$A292))*2,0)/2)))</f>
        <v/>
      </c>
      <c r="AF292">
        <f>IF(OR(AF$4="",$A292&gt;TODAY()),0,IF(OR(INDEX($B292:$D292,AF$5)="F",AND(AF$6&gt;0,$A292&lt;AF$6),AND(AF$7&gt;0,$A292&gt;AF$7)),0,MAX(0,ROUND((INDEX($E292:$G292,AF$5)-SUMIFS(TF_Timer,TF_Tekniker,AF$4,TF_Dato,$A292))*2,0)/2)))</f>
        <v/>
      </c>
      <c r="AG292">
        <f>IF(OR(AG$4="",$A292&gt;TODAY()),0,IF(OR(INDEX($B292:$D292,AG$5)="F",AND(AG$6&gt;0,$A292&lt;AG$6),AND(AG$7&gt;0,$A292&gt;AG$7)),0,MAX(0,ROUND((INDEX($E292:$G292,AG$5)-SUMIFS(TF_Timer,TF_Tekniker,AG$4,TF_Dato,$A292))*2,0)/2)))</f>
        <v/>
      </c>
      <c r="AH292">
        <f>IF(OR(AH$4="",$A292&gt;TODAY()),0,IF(OR(INDEX($B292:$D292,AH$5)="F",AND(AH$6&gt;0,$A292&lt;AH$6),AND(AH$7&gt;0,$A292&gt;AH$7)),0,MAX(0,ROUND((INDEX($E292:$G292,AH$5)-SUMIFS(TF_Timer,TF_Tekniker,AH$4,TF_Dato,$A292))*2,0)/2)))</f>
        <v/>
      </c>
      <c r="AI292">
        <f>IF(OR(AI$4="",$A292&gt;TODAY()),0,IF(OR(INDEX($B292:$D292,AI$5)="F",AND(AI$6&gt;0,$A292&lt;AI$6),AND(AI$7&gt;0,$A292&gt;AI$7)),0,MAX(0,ROUND((INDEX($E292:$G292,AI$5)-SUMIFS(TF_Timer,TF_Tekniker,AI$4,TF_Dato,$A292))*2,0)/2)))</f>
        <v/>
      </c>
      <c r="AJ292">
        <f>IF(OR(AJ$4="",$A292&gt;TODAY()),0,IF(OR(INDEX($B292:$D292,AJ$5)="F",AND(AJ$6&gt;0,$A292&lt;AJ$6),AND(AJ$7&gt;0,$A292&gt;AJ$7)),0,MAX(0,ROUND((INDEX($E292:$G292,AJ$5)-SUMIFS(TF_Timer,TF_Tekniker,AJ$4,TF_Dato,$A292))*2,0)/2)))</f>
        <v/>
      </c>
      <c r="AK292">
        <f>IF(OR(AK$4="",$A292&gt;TODAY()),0,IF(OR(INDEX($B292:$D292,AK$5)="F",AND(AK$6&gt;0,$A292&lt;AK$6),AND(AK$7&gt;0,$A292&gt;AK$7)),0,MAX(0,ROUND((INDEX($E292:$G292,AK$5)-SUMIFS(TF_Timer,TF_Tekniker,AK$4,TF_Dato,$A292))*2,0)/2)))</f>
        <v/>
      </c>
      <c r="AL292">
        <f>IF(OR(AL$4="",$A292&gt;TODAY()),0,IF(OR(INDEX($B292:$D292,AL$5)="F",AND(AL$6&gt;0,$A292&lt;AL$6),AND(AL$7&gt;0,$A292&gt;AL$7)),0,MAX(0,ROUND((INDEX($E292:$G292,AL$5)-SUMIFS(TF_Timer,TF_Tekniker,AL$4,TF_Dato,$A292))*2,0)/2)))</f>
        <v/>
      </c>
      <c r="AM292">
        <f>IF(OR(AM$4="",$A292&gt;TODAY()),0,IF(OR(INDEX($B292:$D292,AM$5)="F",AND(AM$6&gt;0,$A292&lt;AM$6),AND(AM$7&gt;0,$A292&gt;AM$7)),0,MAX(0,ROUND((INDEX($E292:$G292,AM$5)-SUMIFS(TF_Timer,TF_Tekniker,AM$4,TF_Dato,$A292))*2,0)/2)))</f>
        <v/>
      </c>
      <c r="AN292">
        <f>IF(OR(AN$4="",$A292&gt;TODAY()),0,IF(OR(INDEX($B292:$D292,AN$5)="F",AND(AN$6&gt;0,$A292&lt;AN$6),AND(AN$7&gt;0,$A292&gt;AN$7)),0,MAX(0,ROUND((INDEX($E292:$G292,AN$5)-SUMIFS(TF_Timer,TF_Tekniker,AN$4,TF_Dato,$A292))*2,0)/2)))</f>
        <v/>
      </c>
      <c r="AO292">
        <f>IF(OR(AO$4="",$A292&gt;TODAY()),0,IF(OR(INDEX($B292:$D292,AO$5)="F",AND(AO$6&gt;0,$A292&lt;AO$6),AND(AO$7&gt;0,$A292&gt;AO$7)),0,MAX(0,ROUND((INDEX($E292:$G292,AO$5)-SUMIFS(TF_Timer,TF_Tekniker,AO$4,TF_Dato,$A292))*2,0)/2)))</f>
        <v/>
      </c>
      <c r="AP292">
        <f>IF(OR(AP$4="",$A292&gt;TODAY()),0,IF(OR(INDEX($B292:$D292,AP$5)="F",AND(AP$6&gt;0,$A292&lt;AP$6),AND(AP$7&gt;0,$A292&gt;AP$7)),0,MAX(0,ROUND((INDEX($E292:$G292,AP$5)-SUMIFS(TF_Timer,TF_Tekniker,AP$4,TF_Dato,$A292))*2,0)/2)))</f>
        <v/>
      </c>
      <c r="AQ292">
        <f>IF(OR(AQ$4="",$A292&gt;TODAY()),0,IF(OR(INDEX($B292:$D292,AQ$5)="F",AND(AQ$6&gt;0,$A292&lt;AQ$6),AND(AQ$7&gt;0,$A292&gt;AQ$7)),0,MAX(0,ROUND((INDEX($E292:$G292,AQ$5)-SUMIFS(TF_Timer,TF_Tekniker,AQ$4,TF_Dato,$A292))*2,0)/2)))</f>
        <v/>
      </c>
      <c r="AR292">
        <f>IF(OR(AR$4="",$A292&gt;TODAY()),0,IF(OR(INDEX($B292:$D292,AR$5)="F",AND(AR$6&gt;0,$A292&lt;AR$6),AND(AR$7&gt;0,$A292&gt;AR$7)),0,MAX(0,ROUND((INDEX($E292:$G292,AR$5)-SUMIFS(TF_Timer,TF_Tekniker,AR$4,TF_Dato,$A292))*2,0)/2)))</f>
        <v/>
      </c>
      <c r="AS292">
        <f>IF(OR(AS$4="",$A292&gt;TODAY()),0,IF(OR(INDEX($B292:$D292,AS$5)="F",AND(AS$6&gt;0,$A292&lt;AS$6),AND(AS$7&gt;0,$A292&gt;AS$7)),0,MAX(0,ROUND((INDEX($E292:$G292,AS$5)-SUMIFS(TF_Timer,TF_Tekniker,AS$4,TF_Dato,$A292))*2,0)/2)))</f>
        <v/>
      </c>
      <c r="AT292">
        <f>IF(OR(AT$4="",$A292&gt;TODAY()),0,IF(OR(INDEX($B292:$D292,AT$5)="F",AND(AT$6&gt;0,$A292&lt;AT$6),AND(AT$7&gt;0,$A292&gt;AT$7)),0,MAX(0,ROUND((INDEX($E292:$G292,AT$5)-SUMIFS(TF_Timer,TF_Tekniker,AT$4,TF_Dato,$A292))*2,0)/2)))</f>
        <v/>
      </c>
      <c r="AU292">
        <f>IF(OR(AU$4="",$A292&gt;TODAY()),0,IF(OR(INDEX($B292:$D292,AU$5)="F",AND(AU$6&gt;0,$A292&lt;AU$6),AND(AU$7&gt;0,$A292&gt;AU$7)),0,MAX(0,ROUND((INDEX($E292:$G292,AU$5)-SUMIFS(TF_Timer,TF_Tekniker,AU$4,TF_Dato,$A292))*2,0)/2)))</f>
        <v/>
      </c>
      <c r="AV292">
        <f>IF(OR(AV$4="",$A292&gt;TODAY()),0,IF(OR(INDEX($B292:$D292,AV$5)="F",AND(AV$6&gt;0,$A292&lt;AV$6),AND(AV$7&gt;0,$A292&gt;AV$7)),0,MAX(0,ROUND((INDEX($E292:$G292,AV$5)-SUMIFS(TF_Timer,TF_Tekniker,AV$4,TF_Dato,$A292))*2,0)/2)))</f>
        <v/>
      </c>
      <c r="AW292">
        <f>IF(OR(AW$4="",$A292&gt;TODAY()),0,IF(OR(INDEX($B292:$D292,AW$5)="F",AND(AW$6&gt;0,$A292&lt;AW$6),AND(AW$7&gt;0,$A292&gt;AW$7)),0,MAX(0,ROUND((INDEX($E292:$G292,AW$5)-SUMIFS(TF_Timer,TF_Tekniker,AW$4,TF_Dato,$A292))*2,0)/2)))</f>
        <v/>
      </c>
      <c r="AX292">
        <f>IF(OR(AX$4="",$A292&gt;TODAY()),0,IF(OR(INDEX($B292:$D292,AX$5)="F",AND(AX$6&gt;0,$A292&lt;AX$6),AND(AX$7&gt;0,$A292&gt;AX$7)),0,MAX(0,ROUND((INDEX($E292:$G292,AX$5)-SUMIFS(TF_Timer,TF_Tekniker,AX$4,TF_Dato,$A292))*2,0)/2)))</f>
        <v/>
      </c>
      <c r="AY292">
        <f>IF(OR(AY$4="",$A292&gt;TODAY()),0,IF(OR(INDEX($B292:$D292,AY$5)="F",AND(AY$6&gt;0,$A292&lt;AY$6),AND(AY$7&gt;0,$A292&gt;AY$7)),0,MAX(0,ROUND((INDEX($E292:$G292,AY$5)-SUMIFS(TF_Timer,TF_Tekniker,AY$4,TF_Dato,$A292))*2,0)/2)))</f>
        <v/>
      </c>
      <c r="AZ292">
        <f>IF(OR(AZ$4="",$A292&gt;TODAY()),0,IF(OR(INDEX($B292:$D292,AZ$5)="F",AND(AZ$6&gt;0,$A292&lt;AZ$6),AND(AZ$7&gt;0,$A292&gt;AZ$7)),0,MAX(0,ROUND((INDEX($E292:$G292,AZ$5)-SUMIFS(TF_Timer,TF_Tekniker,AZ$4,TF_Dato,$A292))*2,0)/2)))</f>
        <v/>
      </c>
      <c r="BA292">
        <f>IF(OR(BA$4="",$A292&gt;TODAY()),0,IF(OR(INDEX($B292:$D292,BA$5)="F",AND(BA$6&gt;0,$A292&lt;BA$6),AND(BA$7&gt;0,$A292&gt;BA$7)),0,MAX(0,ROUND((INDEX($E292:$G292,BA$5)-SUMIFS(TF_Timer,TF_Tekniker,BA$4,TF_Dato,$A292))*2,0)/2)))</f>
        <v/>
      </c>
      <c r="BB292">
        <f>IF(OR(BB$4="",$A292&gt;TODAY()),0,IF(OR(INDEX($B292:$D292,BB$5)="F",AND(BB$6&gt;0,$A292&lt;BB$6),AND(BB$7&gt;0,$A292&gt;BB$7)),0,MAX(0,ROUND((INDEX($E292:$G292,BB$5)-SUMIFS(TF_Timer,TF_Tekniker,BB$4,TF_Dato,$A292))*2,0)/2)))</f>
        <v/>
      </c>
      <c r="BC292">
        <f>IF(OR(BC$4="",$A292&gt;TODAY()),0,IF(OR(INDEX($B292:$D292,BC$5)="F",AND(BC$6&gt;0,$A292&lt;BC$6),AND(BC$7&gt;0,$A292&gt;BC$7)),0,MAX(0,ROUND((INDEX($E292:$G292,BC$5)-SUMIFS(TF_Timer,TF_Tekniker,BC$4,TF_Dato,$A292))*2,0)/2)))</f>
        <v/>
      </c>
      <c r="BD292">
        <f>IF(OR(BD$4="",$A292&gt;TODAY()),0,IF(OR(INDEX($B292:$D292,BD$5)="F",AND(BD$6&gt;0,$A292&lt;BD$6),AND(BD$7&gt;0,$A292&gt;BD$7)),0,MAX(0,ROUND((INDEX($E292:$G292,BD$5)-SUMIFS(TF_Timer,TF_Tekniker,BD$4,TF_Dato,$A292))*2,0)/2)))</f>
        <v/>
      </c>
      <c r="BE292">
        <f>IF(OR(BE$4="",$A292&gt;TODAY()),0,IF(OR(INDEX($B292:$D292,BE$5)="F",AND(BE$6&gt;0,$A292&lt;BE$6),AND(BE$7&gt;0,$A292&gt;BE$7)),0,MAX(0,ROUND((INDEX($E292:$G292,BE$5)-SUMIFS(TF_Timer,TF_Tekniker,BE$4,TF_Dato,$A292))*2,0)/2)))</f>
        <v/>
      </c>
      <c r="BF292">
        <f>IF(OR(BF$4="",$A292&gt;TODAY()),0,IF(OR(INDEX($B292:$D292,BF$5)="F",AND(BF$6&gt;0,$A292&lt;BF$6),AND(BF$7&gt;0,$A292&gt;BF$7)),0,MAX(0,ROUND((INDEX($E292:$G292,BF$5)-SUMIFS(TF_Timer,TF_Tekniker,BF$4,TF_Dato,$A292))*2,0)/2)))</f>
        <v/>
      </c>
      <c r="BG292">
        <f>IF(OR(BG$4="",$A292&gt;TODAY()),0,IF(OR(INDEX($B292:$D292,BG$5)="F",AND(BG$6&gt;0,$A292&lt;BG$6),AND(BG$7&gt;0,$A292&gt;BG$7)),0,MAX(0,ROUND((INDEX($E292:$G292,BG$5)-SUMIFS(TF_Timer,TF_Tekniker,BG$4,TF_Dato,$A292))*2,0)/2)))</f>
        <v/>
      </c>
      <c r="BH292">
        <f>IF(OR(BH$4="",$A292&gt;TODAY()),0,IF(OR(INDEX($B292:$D292,BH$5)="F",AND(BH$6&gt;0,$A292&lt;BH$6),AND(BH$7&gt;0,$A292&gt;BH$7)),0,MAX(0,ROUND((INDEX($E292:$G292,BH$5)-SUMIFS(TF_Timer,TF_Tekniker,BH$4,TF_Dato,$A292))*2,0)/2)))</f>
        <v/>
      </c>
      <c r="BI292">
        <f>IF(OR(BI$4="",$A292&gt;TODAY()),0,IF(OR(INDEX($B292:$D292,BI$5)="F",AND(BI$6&gt;0,$A292&lt;BI$6),AND(BI$7&gt;0,$A292&gt;BI$7)),0,MAX(0,ROUND((INDEX($E292:$G292,BI$5)-SUMIFS(TF_Timer,TF_Tekniker,BI$4,TF_Dato,$A292))*2,0)/2)))</f>
        <v/>
      </c>
    </row>
    <row r="293">
      <c r="A293" s="64">
        <f>A292+1</f>
        <v/>
      </c>
      <c r="B293">
        <f>IF(MOD($A293-INDEX(SkiftStart,1),Syklus)&lt;DagK,"K",IF(MOD($A293-INDEX(SkiftStart,1),Syklus)&lt;DagK+DagH,"H",IF(MOD($A293-INDEX(SkiftStart,1),Syklus)&lt;DagK+DagH+DagD,"D","F")))</f>
        <v/>
      </c>
      <c r="C293">
        <f>IF(MOD($A293-INDEX(SkiftStart,2),Syklus)&lt;DagK,"K",IF(MOD($A293-INDEX(SkiftStart,2),Syklus)&lt;DagK+DagH,"H",IF(MOD($A293-INDEX(SkiftStart,2),Syklus)&lt;DagK+DagH+DagD,"D","F")))</f>
        <v/>
      </c>
      <c r="D293">
        <f>IF(MOD($A293-INDEX(SkiftStart,3),Syklus)&lt;DagK,"K",IF(MOD($A293-INDEX(SkiftStart,3),Syklus)&lt;DagK+DagH,"H",IF(MOD($A293-INDEX(SkiftStart,3),Syklus)&lt;DagK+DagH+DagD,"D","F")))</f>
        <v/>
      </c>
      <c r="E293">
        <f>IF(B293="F",0,IF(WEEKDAY($A293,2)=5,INDEX(TimerFr,MATCH(B293,FaseKode,0)),INDEX(TimerMT,MATCH(B293,FaseKode,0))))</f>
        <v/>
      </c>
      <c r="F293">
        <f>IF(C293="F",0,IF(WEEKDAY($A293,2)=5,INDEX(TimerFr,MATCH(C293,FaseKode,0)),INDEX(TimerMT,MATCH(C293,FaseKode,0))))</f>
        <v/>
      </c>
      <c r="G293">
        <f>IF(D293="F",0,IF(WEEKDAY($A293,2)=5,INDEX(TimerFr,MATCH(D293,FaseKode,0)),INDEX(TimerMT,MATCH(D293,FaseKode,0))))</f>
        <v/>
      </c>
      <c r="H293">
        <f>IF(OR(H$4="",$A293&gt;TODAY()),0,IF(OR(INDEX($B293:$D293,H$5)="F",AND(H$6&gt;0,$A293&lt;H$6),AND(H$7&gt;0,$A293&gt;H$7)),0,MAX(0,ROUND((INDEX($E293:$G293,H$5)-SUMIFS(TF_Timer,TF_Tekniker,H$4,TF_Dato,$A293))*2,0)/2)))</f>
        <v/>
      </c>
      <c r="I293">
        <f>IF(OR(I$4="",$A293&gt;TODAY()),0,IF(OR(INDEX($B293:$D293,I$5)="F",AND(I$6&gt;0,$A293&lt;I$6),AND(I$7&gt;0,$A293&gt;I$7)),0,MAX(0,ROUND((INDEX($E293:$G293,I$5)-SUMIFS(TF_Timer,TF_Tekniker,I$4,TF_Dato,$A293))*2,0)/2)))</f>
        <v/>
      </c>
      <c r="J293">
        <f>IF(OR(J$4="",$A293&gt;TODAY()),0,IF(OR(INDEX($B293:$D293,J$5)="F",AND(J$6&gt;0,$A293&lt;J$6),AND(J$7&gt;0,$A293&gt;J$7)),0,MAX(0,ROUND((INDEX($E293:$G293,J$5)-SUMIFS(TF_Timer,TF_Tekniker,J$4,TF_Dato,$A293))*2,0)/2)))</f>
        <v/>
      </c>
      <c r="K293">
        <f>IF(OR(K$4="",$A293&gt;TODAY()),0,IF(OR(INDEX($B293:$D293,K$5)="F",AND(K$6&gt;0,$A293&lt;K$6),AND(K$7&gt;0,$A293&gt;K$7)),0,MAX(0,ROUND((INDEX($E293:$G293,K$5)-SUMIFS(TF_Timer,TF_Tekniker,K$4,TF_Dato,$A293))*2,0)/2)))</f>
        <v/>
      </c>
      <c r="L293">
        <f>IF(OR(L$4="",$A293&gt;TODAY()),0,IF(OR(INDEX($B293:$D293,L$5)="F",AND(L$6&gt;0,$A293&lt;L$6),AND(L$7&gt;0,$A293&gt;L$7)),0,MAX(0,ROUND((INDEX($E293:$G293,L$5)-SUMIFS(TF_Timer,TF_Tekniker,L$4,TF_Dato,$A293))*2,0)/2)))</f>
        <v/>
      </c>
      <c r="M293">
        <f>IF(OR(M$4="",$A293&gt;TODAY()),0,IF(OR(INDEX($B293:$D293,M$5)="F",AND(M$6&gt;0,$A293&lt;M$6),AND(M$7&gt;0,$A293&gt;M$7)),0,MAX(0,ROUND((INDEX($E293:$G293,M$5)-SUMIFS(TF_Timer,TF_Tekniker,M$4,TF_Dato,$A293))*2,0)/2)))</f>
        <v/>
      </c>
      <c r="N293">
        <f>IF(OR(N$4="",$A293&gt;TODAY()),0,IF(OR(INDEX($B293:$D293,N$5)="F",AND(N$6&gt;0,$A293&lt;N$6),AND(N$7&gt;0,$A293&gt;N$7)),0,MAX(0,ROUND((INDEX($E293:$G293,N$5)-SUMIFS(TF_Timer,TF_Tekniker,N$4,TF_Dato,$A293))*2,0)/2)))</f>
        <v/>
      </c>
      <c r="O293">
        <f>IF(OR(O$4="",$A293&gt;TODAY()),0,IF(OR(INDEX($B293:$D293,O$5)="F",AND(O$6&gt;0,$A293&lt;O$6),AND(O$7&gt;0,$A293&gt;O$7)),0,MAX(0,ROUND((INDEX($E293:$G293,O$5)-SUMIFS(TF_Timer,TF_Tekniker,O$4,TF_Dato,$A293))*2,0)/2)))</f>
        <v/>
      </c>
      <c r="P293">
        <f>IF(OR(P$4="",$A293&gt;TODAY()),0,IF(OR(INDEX($B293:$D293,P$5)="F",AND(P$6&gt;0,$A293&lt;P$6),AND(P$7&gt;0,$A293&gt;P$7)),0,MAX(0,ROUND((INDEX($E293:$G293,P$5)-SUMIFS(TF_Timer,TF_Tekniker,P$4,TF_Dato,$A293))*2,0)/2)))</f>
        <v/>
      </c>
      <c r="Q293">
        <f>IF(OR(Q$4="",$A293&gt;TODAY()),0,IF(OR(INDEX($B293:$D293,Q$5)="F",AND(Q$6&gt;0,$A293&lt;Q$6),AND(Q$7&gt;0,$A293&gt;Q$7)),0,MAX(0,ROUND((INDEX($E293:$G293,Q$5)-SUMIFS(TF_Timer,TF_Tekniker,Q$4,TF_Dato,$A293))*2,0)/2)))</f>
        <v/>
      </c>
      <c r="R293">
        <f>IF(OR(R$4="",$A293&gt;TODAY()),0,IF(OR(INDEX($B293:$D293,R$5)="F",AND(R$6&gt;0,$A293&lt;R$6),AND(R$7&gt;0,$A293&gt;R$7)),0,MAX(0,ROUND((INDEX($E293:$G293,R$5)-SUMIFS(TF_Timer,TF_Tekniker,R$4,TF_Dato,$A293))*2,0)/2)))</f>
        <v/>
      </c>
      <c r="S293">
        <f>IF(OR(S$4="",$A293&gt;TODAY()),0,IF(OR(INDEX($B293:$D293,S$5)="F",AND(S$6&gt;0,$A293&lt;S$6),AND(S$7&gt;0,$A293&gt;S$7)),0,MAX(0,ROUND((INDEX($E293:$G293,S$5)-SUMIFS(TF_Timer,TF_Tekniker,S$4,TF_Dato,$A293))*2,0)/2)))</f>
        <v/>
      </c>
      <c r="T293">
        <f>IF(OR(T$4="",$A293&gt;TODAY()),0,IF(OR(INDEX($B293:$D293,T$5)="F",AND(T$6&gt;0,$A293&lt;T$6),AND(T$7&gt;0,$A293&gt;T$7)),0,MAX(0,ROUND((INDEX($E293:$G293,T$5)-SUMIFS(TF_Timer,TF_Tekniker,T$4,TF_Dato,$A293))*2,0)/2)))</f>
        <v/>
      </c>
      <c r="U293">
        <f>IF(OR(U$4="",$A293&gt;TODAY()),0,IF(OR(INDEX($B293:$D293,U$5)="F",AND(U$6&gt;0,$A293&lt;U$6),AND(U$7&gt;0,$A293&gt;U$7)),0,MAX(0,ROUND((INDEX($E293:$G293,U$5)-SUMIFS(TF_Timer,TF_Tekniker,U$4,TF_Dato,$A293))*2,0)/2)))</f>
        <v/>
      </c>
      <c r="V293">
        <f>IF(OR(V$4="",$A293&gt;TODAY()),0,IF(OR(INDEX($B293:$D293,V$5)="F",AND(V$6&gt;0,$A293&lt;V$6),AND(V$7&gt;0,$A293&gt;V$7)),0,MAX(0,ROUND((INDEX($E293:$G293,V$5)-SUMIFS(TF_Timer,TF_Tekniker,V$4,TF_Dato,$A293))*2,0)/2)))</f>
        <v/>
      </c>
      <c r="W293">
        <f>IF(OR(W$4="",$A293&gt;TODAY()),0,IF(OR(INDEX($B293:$D293,W$5)="F",AND(W$6&gt;0,$A293&lt;W$6),AND(W$7&gt;0,$A293&gt;W$7)),0,MAX(0,ROUND((INDEX($E293:$G293,W$5)-SUMIFS(TF_Timer,TF_Tekniker,W$4,TF_Dato,$A293))*2,0)/2)))</f>
        <v/>
      </c>
      <c r="X293">
        <f>IF(OR(X$4="",$A293&gt;TODAY()),0,IF(OR(INDEX($B293:$D293,X$5)="F",AND(X$6&gt;0,$A293&lt;X$6),AND(X$7&gt;0,$A293&gt;X$7)),0,MAX(0,ROUND((INDEX($E293:$G293,X$5)-SUMIFS(TF_Timer,TF_Tekniker,X$4,TF_Dato,$A293))*2,0)/2)))</f>
        <v/>
      </c>
      <c r="Y293">
        <f>IF(OR(Y$4="",$A293&gt;TODAY()),0,IF(OR(INDEX($B293:$D293,Y$5)="F",AND(Y$6&gt;0,$A293&lt;Y$6),AND(Y$7&gt;0,$A293&gt;Y$7)),0,MAX(0,ROUND((INDEX($E293:$G293,Y$5)-SUMIFS(TF_Timer,TF_Tekniker,Y$4,TF_Dato,$A293))*2,0)/2)))</f>
        <v/>
      </c>
      <c r="Z293">
        <f>IF(OR(Z$4="",$A293&gt;TODAY()),0,IF(OR(INDEX($B293:$D293,Z$5)="F",AND(Z$6&gt;0,$A293&lt;Z$6),AND(Z$7&gt;0,$A293&gt;Z$7)),0,MAX(0,ROUND((INDEX($E293:$G293,Z$5)-SUMIFS(TF_Timer,TF_Tekniker,Z$4,TF_Dato,$A293))*2,0)/2)))</f>
        <v/>
      </c>
      <c r="AA293">
        <f>IF(OR(AA$4="",$A293&gt;TODAY()),0,IF(OR(INDEX($B293:$D293,AA$5)="F",AND(AA$6&gt;0,$A293&lt;AA$6),AND(AA$7&gt;0,$A293&gt;AA$7)),0,MAX(0,ROUND((INDEX($E293:$G293,AA$5)-SUMIFS(TF_Timer,TF_Tekniker,AA$4,TF_Dato,$A293))*2,0)/2)))</f>
        <v/>
      </c>
      <c r="AB293">
        <f>IF(OR(AB$4="",$A293&gt;TODAY()),0,IF(OR(INDEX($B293:$D293,AB$5)="F",AND(AB$6&gt;0,$A293&lt;AB$6),AND(AB$7&gt;0,$A293&gt;AB$7)),0,MAX(0,ROUND((INDEX($E293:$G293,AB$5)-SUMIFS(TF_Timer,TF_Tekniker,AB$4,TF_Dato,$A293))*2,0)/2)))</f>
        <v/>
      </c>
      <c r="AC293">
        <f>IF(OR(AC$4="",$A293&gt;TODAY()),0,IF(OR(INDEX($B293:$D293,AC$5)="F",AND(AC$6&gt;0,$A293&lt;AC$6),AND(AC$7&gt;0,$A293&gt;AC$7)),0,MAX(0,ROUND((INDEX($E293:$G293,AC$5)-SUMIFS(TF_Timer,TF_Tekniker,AC$4,TF_Dato,$A293))*2,0)/2)))</f>
        <v/>
      </c>
      <c r="AD293">
        <f>IF(OR(AD$4="",$A293&gt;TODAY()),0,IF(OR(INDEX($B293:$D293,AD$5)="F",AND(AD$6&gt;0,$A293&lt;AD$6),AND(AD$7&gt;0,$A293&gt;AD$7)),0,MAX(0,ROUND((INDEX($E293:$G293,AD$5)-SUMIFS(TF_Timer,TF_Tekniker,AD$4,TF_Dato,$A293))*2,0)/2)))</f>
        <v/>
      </c>
      <c r="AE293">
        <f>IF(OR(AE$4="",$A293&gt;TODAY()),0,IF(OR(INDEX($B293:$D293,AE$5)="F",AND(AE$6&gt;0,$A293&lt;AE$6),AND(AE$7&gt;0,$A293&gt;AE$7)),0,MAX(0,ROUND((INDEX($E293:$G293,AE$5)-SUMIFS(TF_Timer,TF_Tekniker,AE$4,TF_Dato,$A293))*2,0)/2)))</f>
        <v/>
      </c>
      <c r="AF293">
        <f>IF(OR(AF$4="",$A293&gt;TODAY()),0,IF(OR(INDEX($B293:$D293,AF$5)="F",AND(AF$6&gt;0,$A293&lt;AF$6),AND(AF$7&gt;0,$A293&gt;AF$7)),0,MAX(0,ROUND((INDEX($E293:$G293,AF$5)-SUMIFS(TF_Timer,TF_Tekniker,AF$4,TF_Dato,$A293))*2,0)/2)))</f>
        <v/>
      </c>
      <c r="AG293">
        <f>IF(OR(AG$4="",$A293&gt;TODAY()),0,IF(OR(INDEX($B293:$D293,AG$5)="F",AND(AG$6&gt;0,$A293&lt;AG$6),AND(AG$7&gt;0,$A293&gt;AG$7)),0,MAX(0,ROUND((INDEX($E293:$G293,AG$5)-SUMIFS(TF_Timer,TF_Tekniker,AG$4,TF_Dato,$A293))*2,0)/2)))</f>
        <v/>
      </c>
      <c r="AH293">
        <f>IF(OR(AH$4="",$A293&gt;TODAY()),0,IF(OR(INDEX($B293:$D293,AH$5)="F",AND(AH$6&gt;0,$A293&lt;AH$6),AND(AH$7&gt;0,$A293&gt;AH$7)),0,MAX(0,ROUND((INDEX($E293:$G293,AH$5)-SUMIFS(TF_Timer,TF_Tekniker,AH$4,TF_Dato,$A293))*2,0)/2)))</f>
        <v/>
      </c>
      <c r="AI293">
        <f>IF(OR(AI$4="",$A293&gt;TODAY()),0,IF(OR(INDEX($B293:$D293,AI$5)="F",AND(AI$6&gt;0,$A293&lt;AI$6),AND(AI$7&gt;0,$A293&gt;AI$7)),0,MAX(0,ROUND((INDEX($E293:$G293,AI$5)-SUMIFS(TF_Timer,TF_Tekniker,AI$4,TF_Dato,$A293))*2,0)/2)))</f>
        <v/>
      </c>
      <c r="AJ293">
        <f>IF(OR(AJ$4="",$A293&gt;TODAY()),0,IF(OR(INDEX($B293:$D293,AJ$5)="F",AND(AJ$6&gt;0,$A293&lt;AJ$6),AND(AJ$7&gt;0,$A293&gt;AJ$7)),0,MAX(0,ROUND((INDEX($E293:$G293,AJ$5)-SUMIFS(TF_Timer,TF_Tekniker,AJ$4,TF_Dato,$A293))*2,0)/2)))</f>
        <v/>
      </c>
      <c r="AK293">
        <f>IF(OR(AK$4="",$A293&gt;TODAY()),0,IF(OR(INDEX($B293:$D293,AK$5)="F",AND(AK$6&gt;0,$A293&lt;AK$6),AND(AK$7&gt;0,$A293&gt;AK$7)),0,MAX(0,ROUND((INDEX($E293:$G293,AK$5)-SUMIFS(TF_Timer,TF_Tekniker,AK$4,TF_Dato,$A293))*2,0)/2)))</f>
        <v/>
      </c>
      <c r="AL293">
        <f>IF(OR(AL$4="",$A293&gt;TODAY()),0,IF(OR(INDEX($B293:$D293,AL$5)="F",AND(AL$6&gt;0,$A293&lt;AL$6),AND(AL$7&gt;0,$A293&gt;AL$7)),0,MAX(0,ROUND((INDEX($E293:$G293,AL$5)-SUMIFS(TF_Timer,TF_Tekniker,AL$4,TF_Dato,$A293))*2,0)/2)))</f>
        <v/>
      </c>
      <c r="AM293">
        <f>IF(OR(AM$4="",$A293&gt;TODAY()),0,IF(OR(INDEX($B293:$D293,AM$5)="F",AND(AM$6&gt;0,$A293&lt;AM$6),AND(AM$7&gt;0,$A293&gt;AM$7)),0,MAX(0,ROUND((INDEX($E293:$G293,AM$5)-SUMIFS(TF_Timer,TF_Tekniker,AM$4,TF_Dato,$A293))*2,0)/2)))</f>
        <v/>
      </c>
      <c r="AN293">
        <f>IF(OR(AN$4="",$A293&gt;TODAY()),0,IF(OR(INDEX($B293:$D293,AN$5)="F",AND(AN$6&gt;0,$A293&lt;AN$6),AND(AN$7&gt;0,$A293&gt;AN$7)),0,MAX(0,ROUND((INDEX($E293:$G293,AN$5)-SUMIFS(TF_Timer,TF_Tekniker,AN$4,TF_Dato,$A293))*2,0)/2)))</f>
        <v/>
      </c>
      <c r="AO293">
        <f>IF(OR(AO$4="",$A293&gt;TODAY()),0,IF(OR(INDEX($B293:$D293,AO$5)="F",AND(AO$6&gt;0,$A293&lt;AO$6),AND(AO$7&gt;0,$A293&gt;AO$7)),0,MAX(0,ROUND((INDEX($E293:$G293,AO$5)-SUMIFS(TF_Timer,TF_Tekniker,AO$4,TF_Dato,$A293))*2,0)/2)))</f>
        <v/>
      </c>
      <c r="AP293">
        <f>IF(OR(AP$4="",$A293&gt;TODAY()),0,IF(OR(INDEX($B293:$D293,AP$5)="F",AND(AP$6&gt;0,$A293&lt;AP$6),AND(AP$7&gt;0,$A293&gt;AP$7)),0,MAX(0,ROUND((INDEX($E293:$G293,AP$5)-SUMIFS(TF_Timer,TF_Tekniker,AP$4,TF_Dato,$A293))*2,0)/2)))</f>
        <v/>
      </c>
      <c r="AQ293">
        <f>IF(OR(AQ$4="",$A293&gt;TODAY()),0,IF(OR(INDEX($B293:$D293,AQ$5)="F",AND(AQ$6&gt;0,$A293&lt;AQ$6),AND(AQ$7&gt;0,$A293&gt;AQ$7)),0,MAX(0,ROUND((INDEX($E293:$G293,AQ$5)-SUMIFS(TF_Timer,TF_Tekniker,AQ$4,TF_Dato,$A293))*2,0)/2)))</f>
        <v/>
      </c>
      <c r="AR293">
        <f>IF(OR(AR$4="",$A293&gt;TODAY()),0,IF(OR(INDEX($B293:$D293,AR$5)="F",AND(AR$6&gt;0,$A293&lt;AR$6),AND(AR$7&gt;0,$A293&gt;AR$7)),0,MAX(0,ROUND((INDEX($E293:$G293,AR$5)-SUMIFS(TF_Timer,TF_Tekniker,AR$4,TF_Dato,$A293))*2,0)/2)))</f>
        <v/>
      </c>
      <c r="AS293">
        <f>IF(OR(AS$4="",$A293&gt;TODAY()),0,IF(OR(INDEX($B293:$D293,AS$5)="F",AND(AS$6&gt;0,$A293&lt;AS$6),AND(AS$7&gt;0,$A293&gt;AS$7)),0,MAX(0,ROUND((INDEX($E293:$G293,AS$5)-SUMIFS(TF_Timer,TF_Tekniker,AS$4,TF_Dato,$A293))*2,0)/2)))</f>
        <v/>
      </c>
      <c r="AT293">
        <f>IF(OR(AT$4="",$A293&gt;TODAY()),0,IF(OR(INDEX($B293:$D293,AT$5)="F",AND(AT$6&gt;0,$A293&lt;AT$6),AND(AT$7&gt;0,$A293&gt;AT$7)),0,MAX(0,ROUND((INDEX($E293:$G293,AT$5)-SUMIFS(TF_Timer,TF_Tekniker,AT$4,TF_Dato,$A293))*2,0)/2)))</f>
        <v/>
      </c>
      <c r="AU293">
        <f>IF(OR(AU$4="",$A293&gt;TODAY()),0,IF(OR(INDEX($B293:$D293,AU$5)="F",AND(AU$6&gt;0,$A293&lt;AU$6),AND(AU$7&gt;0,$A293&gt;AU$7)),0,MAX(0,ROUND((INDEX($E293:$G293,AU$5)-SUMIFS(TF_Timer,TF_Tekniker,AU$4,TF_Dato,$A293))*2,0)/2)))</f>
        <v/>
      </c>
      <c r="AV293">
        <f>IF(OR(AV$4="",$A293&gt;TODAY()),0,IF(OR(INDEX($B293:$D293,AV$5)="F",AND(AV$6&gt;0,$A293&lt;AV$6),AND(AV$7&gt;0,$A293&gt;AV$7)),0,MAX(0,ROUND((INDEX($E293:$G293,AV$5)-SUMIFS(TF_Timer,TF_Tekniker,AV$4,TF_Dato,$A293))*2,0)/2)))</f>
        <v/>
      </c>
      <c r="AW293">
        <f>IF(OR(AW$4="",$A293&gt;TODAY()),0,IF(OR(INDEX($B293:$D293,AW$5)="F",AND(AW$6&gt;0,$A293&lt;AW$6),AND(AW$7&gt;0,$A293&gt;AW$7)),0,MAX(0,ROUND((INDEX($E293:$G293,AW$5)-SUMIFS(TF_Timer,TF_Tekniker,AW$4,TF_Dato,$A293))*2,0)/2)))</f>
        <v/>
      </c>
      <c r="AX293">
        <f>IF(OR(AX$4="",$A293&gt;TODAY()),0,IF(OR(INDEX($B293:$D293,AX$5)="F",AND(AX$6&gt;0,$A293&lt;AX$6),AND(AX$7&gt;0,$A293&gt;AX$7)),0,MAX(0,ROUND((INDEX($E293:$G293,AX$5)-SUMIFS(TF_Timer,TF_Tekniker,AX$4,TF_Dato,$A293))*2,0)/2)))</f>
        <v/>
      </c>
      <c r="AY293">
        <f>IF(OR(AY$4="",$A293&gt;TODAY()),0,IF(OR(INDEX($B293:$D293,AY$5)="F",AND(AY$6&gt;0,$A293&lt;AY$6),AND(AY$7&gt;0,$A293&gt;AY$7)),0,MAX(0,ROUND((INDEX($E293:$G293,AY$5)-SUMIFS(TF_Timer,TF_Tekniker,AY$4,TF_Dato,$A293))*2,0)/2)))</f>
        <v/>
      </c>
      <c r="AZ293">
        <f>IF(OR(AZ$4="",$A293&gt;TODAY()),0,IF(OR(INDEX($B293:$D293,AZ$5)="F",AND(AZ$6&gt;0,$A293&lt;AZ$6),AND(AZ$7&gt;0,$A293&gt;AZ$7)),0,MAX(0,ROUND((INDEX($E293:$G293,AZ$5)-SUMIFS(TF_Timer,TF_Tekniker,AZ$4,TF_Dato,$A293))*2,0)/2)))</f>
        <v/>
      </c>
      <c r="BA293">
        <f>IF(OR(BA$4="",$A293&gt;TODAY()),0,IF(OR(INDEX($B293:$D293,BA$5)="F",AND(BA$6&gt;0,$A293&lt;BA$6),AND(BA$7&gt;0,$A293&gt;BA$7)),0,MAX(0,ROUND((INDEX($E293:$G293,BA$5)-SUMIFS(TF_Timer,TF_Tekniker,BA$4,TF_Dato,$A293))*2,0)/2)))</f>
        <v/>
      </c>
      <c r="BB293">
        <f>IF(OR(BB$4="",$A293&gt;TODAY()),0,IF(OR(INDEX($B293:$D293,BB$5)="F",AND(BB$6&gt;0,$A293&lt;BB$6),AND(BB$7&gt;0,$A293&gt;BB$7)),0,MAX(0,ROUND((INDEX($E293:$G293,BB$5)-SUMIFS(TF_Timer,TF_Tekniker,BB$4,TF_Dato,$A293))*2,0)/2)))</f>
        <v/>
      </c>
      <c r="BC293">
        <f>IF(OR(BC$4="",$A293&gt;TODAY()),0,IF(OR(INDEX($B293:$D293,BC$5)="F",AND(BC$6&gt;0,$A293&lt;BC$6),AND(BC$7&gt;0,$A293&gt;BC$7)),0,MAX(0,ROUND((INDEX($E293:$G293,BC$5)-SUMIFS(TF_Timer,TF_Tekniker,BC$4,TF_Dato,$A293))*2,0)/2)))</f>
        <v/>
      </c>
      <c r="BD293">
        <f>IF(OR(BD$4="",$A293&gt;TODAY()),0,IF(OR(INDEX($B293:$D293,BD$5)="F",AND(BD$6&gt;0,$A293&lt;BD$6),AND(BD$7&gt;0,$A293&gt;BD$7)),0,MAX(0,ROUND((INDEX($E293:$G293,BD$5)-SUMIFS(TF_Timer,TF_Tekniker,BD$4,TF_Dato,$A293))*2,0)/2)))</f>
        <v/>
      </c>
      <c r="BE293">
        <f>IF(OR(BE$4="",$A293&gt;TODAY()),0,IF(OR(INDEX($B293:$D293,BE$5)="F",AND(BE$6&gt;0,$A293&lt;BE$6),AND(BE$7&gt;0,$A293&gt;BE$7)),0,MAX(0,ROUND((INDEX($E293:$G293,BE$5)-SUMIFS(TF_Timer,TF_Tekniker,BE$4,TF_Dato,$A293))*2,0)/2)))</f>
        <v/>
      </c>
      <c r="BF293">
        <f>IF(OR(BF$4="",$A293&gt;TODAY()),0,IF(OR(INDEX($B293:$D293,BF$5)="F",AND(BF$6&gt;0,$A293&lt;BF$6),AND(BF$7&gt;0,$A293&gt;BF$7)),0,MAX(0,ROUND((INDEX($E293:$G293,BF$5)-SUMIFS(TF_Timer,TF_Tekniker,BF$4,TF_Dato,$A293))*2,0)/2)))</f>
        <v/>
      </c>
      <c r="BG293">
        <f>IF(OR(BG$4="",$A293&gt;TODAY()),0,IF(OR(INDEX($B293:$D293,BG$5)="F",AND(BG$6&gt;0,$A293&lt;BG$6),AND(BG$7&gt;0,$A293&gt;BG$7)),0,MAX(0,ROUND((INDEX($E293:$G293,BG$5)-SUMIFS(TF_Timer,TF_Tekniker,BG$4,TF_Dato,$A293))*2,0)/2)))</f>
        <v/>
      </c>
      <c r="BH293">
        <f>IF(OR(BH$4="",$A293&gt;TODAY()),0,IF(OR(INDEX($B293:$D293,BH$5)="F",AND(BH$6&gt;0,$A293&lt;BH$6),AND(BH$7&gt;0,$A293&gt;BH$7)),0,MAX(0,ROUND((INDEX($E293:$G293,BH$5)-SUMIFS(TF_Timer,TF_Tekniker,BH$4,TF_Dato,$A293))*2,0)/2)))</f>
        <v/>
      </c>
      <c r="BI293">
        <f>IF(OR(BI$4="",$A293&gt;TODAY()),0,IF(OR(INDEX($B293:$D293,BI$5)="F",AND(BI$6&gt;0,$A293&lt;BI$6),AND(BI$7&gt;0,$A293&gt;BI$7)),0,MAX(0,ROUND((INDEX($E293:$G293,BI$5)-SUMIFS(TF_Timer,TF_Tekniker,BI$4,TF_Dato,$A293))*2,0)/2)))</f>
        <v/>
      </c>
    </row>
    <row r="294">
      <c r="A294" s="64">
        <f>A293+1</f>
        <v/>
      </c>
      <c r="B294">
        <f>IF(MOD($A294-INDEX(SkiftStart,1),Syklus)&lt;DagK,"K",IF(MOD($A294-INDEX(SkiftStart,1),Syklus)&lt;DagK+DagH,"H",IF(MOD($A294-INDEX(SkiftStart,1),Syklus)&lt;DagK+DagH+DagD,"D","F")))</f>
        <v/>
      </c>
      <c r="C294">
        <f>IF(MOD($A294-INDEX(SkiftStart,2),Syklus)&lt;DagK,"K",IF(MOD($A294-INDEX(SkiftStart,2),Syklus)&lt;DagK+DagH,"H",IF(MOD($A294-INDEX(SkiftStart,2),Syklus)&lt;DagK+DagH+DagD,"D","F")))</f>
        <v/>
      </c>
      <c r="D294">
        <f>IF(MOD($A294-INDEX(SkiftStart,3),Syklus)&lt;DagK,"K",IF(MOD($A294-INDEX(SkiftStart,3),Syklus)&lt;DagK+DagH,"H",IF(MOD($A294-INDEX(SkiftStart,3),Syklus)&lt;DagK+DagH+DagD,"D","F")))</f>
        <v/>
      </c>
      <c r="E294">
        <f>IF(B294="F",0,IF(WEEKDAY($A294,2)=5,INDEX(TimerFr,MATCH(B294,FaseKode,0)),INDEX(TimerMT,MATCH(B294,FaseKode,0))))</f>
        <v/>
      </c>
      <c r="F294">
        <f>IF(C294="F",0,IF(WEEKDAY($A294,2)=5,INDEX(TimerFr,MATCH(C294,FaseKode,0)),INDEX(TimerMT,MATCH(C294,FaseKode,0))))</f>
        <v/>
      </c>
      <c r="G294">
        <f>IF(D294="F",0,IF(WEEKDAY($A294,2)=5,INDEX(TimerFr,MATCH(D294,FaseKode,0)),INDEX(TimerMT,MATCH(D294,FaseKode,0))))</f>
        <v/>
      </c>
      <c r="H294">
        <f>IF(OR(H$4="",$A294&gt;TODAY()),0,IF(OR(INDEX($B294:$D294,H$5)="F",AND(H$6&gt;0,$A294&lt;H$6),AND(H$7&gt;0,$A294&gt;H$7)),0,MAX(0,ROUND((INDEX($E294:$G294,H$5)-SUMIFS(TF_Timer,TF_Tekniker,H$4,TF_Dato,$A294))*2,0)/2)))</f>
        <v/>
      </c>
      <c r="I294">
        <f>IF(OR(I$4="",$A294&gt;TODAY()),0,IF(OR(INDEX($B294:$D294,I$5)="F",AND(I$6&gt;0,$A294&lt;I$6),AND(I$7&gt;0,$A294&gt;I$7)),0,MAX(0,ROUND((INDEX($E294:$G294,I$5)-SUMIFS(TF_Timer,TF_Tekniker,I$4,TF_Dato,$A294))*2,0)/2)))</f>
        <v/>
      </c>
      <c r="J294">
        <f>IF(OR(J$4="",$A294&gt;TODAY()),0,IF(OR(INDEX($B294:$D294,J$5)="F",AND(J$6&gt;0,$A294&lt;J$6),AND(J$7&gt;0,$A294&gt;J$7)),0,MAX(0,ROUND((INDEX($E294:$G294,J$5)-SUMIFS(TF_Timer,TF_Tekniker,J$4,TF_Dato,$A294))*2,0)/2)))</f>
        <v/>
      </c>
      <c r="K294">
        <f>IF(OR(K$4="",$A294&gt;TODAY()),0,IF(OR(INDEX($B294:$D294,K$5)="F",AND(K$6&gt;0,$A294&lt;K$6),AND(K$7&gt;0,$A294&gt;K$7)),0,MAX(0,ROUND((INDEX($E294:$G294,K$5)-SUMIFS(TF_Timer,TF_Tekniker,K$4,TF_Dato,$A294))*2,0)/2)))</f>
        <v/>
      </c>
      <c r="L294">
        <f>IF(OR(L$4="",$A294&gt;TODAY()),0,IF(OR(INDEX($B294:$D294,L$5)="F",AND(L$6&gt;0,$A294&lt;L$6),AND(L$7&gt;0,$A294&gt;L$7)),0,MAX(0,ROUND((INDEX($E294:$G294,L$5)-SUMIFS(TF_Timer,TF_Tekniker,L$4,TF_Dato,$A294))*2,0)/2)))</f>
        <v/>
      </c>
      <c r="M294">
        <f>IF(OR(M$4="",$A294&gt;TODAY()),0,IF(OR(INDEX($B294:$D294,M$5)="F",AND(M$6&gt;0,$A294&lt;M$6),AND(M$7&gt;0,$A294&gt;M$7)),0,MAX(0,ROUND((INDEX($E294:$G294,M$5)-SUMIFS(TF_Timer,TF_Tekniker,M$4,TF_Dato,$A294))*2,0)/2)))</f>
        <v/>
      </c>
      <c r="N294">
        <f>IF(OR(N$4="",$A294&gt;TODAY()),0,IF(OR(INDEX($B294:$D294,N$5)="F",AND(N$6&gt;0,$A294&lt;N$6),AND(N$7&gt;0,$A294&gt;N$7)),0,MAX(0,ROUND((INDEX($E294:$G294,N$5)-SUMIFS(TF_Timer,TF_Tekniker,N$4,TF_Dato,$A294))*2,0)/2)))</f>
        <v/>
      </c>
      <c r="O294">
        <f>IF(OR(O$4="",$A294&gt;TODAY()),0,IF(OR(INDEX($B294:$D294,O$5)="F",AND(O$6&gt;0,$A294&lt;O$6),AND(O$7&gt;0,$A294&gt;O$7)),0,MAX(0,ROUND((INDEX($E294:$G294,O$5)-SUMIFS(TF_Timer,TF_Tekniker,O$4,TF_Dato,$A294))*2,0)/2)))</f>
        <v/>
      </c>
      <c r="P294">
        <f>IF(OR(P$4="",$A294&gt;TODAY()),0,IF(OR(INDEX($B294:$D294,P$5)="F",AND(P$6&gt;0,$A294&lt;P$6),AND(P$7&gt;0,$A294&gt;P$7)),0,MAX(0,ROUND((INDEX($E294:$G294,P$5)-SUMIFS(TF_Timer,TF_Tekniker,P$4,TF_Dato,$A294))*2,0)/2)))</f>
        <v/>
      </c>
      <c r="Q294">
        <f>IF(OR(Q$4="",$A294&gt;TODAY()),0,IF(OR(INDEX($B294:$D294,Q$5)="F",AND(Q$6&gt;0,$A294&lt;Q$6),AND(Q$7&gt;0,$A294&gt;Q$7)),0,MAX(0,ROUND((INDEX($E294:$G294,Q$5)-SUMIFS(TF_Timer,TF_Tekniker,Q$4,TF_Dato,$A294))*2,0)/2)))</f>
        <v/>
      </c>
      <c r="R294">
        <f>IF(OR(R$4="",$A294&gt;TODAY()),0,IF(OR(INDEX($B294:$D294,R$5)="F",AND(R$6&gt;0,$A294&lt;R$6),AND(R$7&gt;0,$A294&gt;R$7)),0,MAX(0,ROUND((INDEX($E294:$G294,R$5)-SUMIFS(TF_Timer,TF_Tekniker,R$4,TF_Dato,$A294))*2,0)/2)))</f>
        <v/>
      </c>
      <c r="S294">
        <f>IF(OR(S$4="",$A294&gt;TODAY()),0,IF(OR(INDEX($B294:$D294,S$5)="F",AND(S$6&gt;0,$A294&lt;S$6),AND(S$7&gt;0,$A294&gt;S$7)),0,MAX(0,ROUND((INDEX($E294:$G294,S$5)-SUMIFS(TF_Timer,TF_Tekniker,S$4,TF_Dato,$A294))*2,0)/2)))</f>
        <v/>
      </c>
      <c r="T294">
        <f>IF(OR(T$4="",$A294&gt;TODAY()),0,IF(OR(INDEX($B294:$D294,T$5)="F",AND(T$6&gt;0,$A294&lt;T$6),AND(T$7&gt;0,$A294&gt;T$7)),0,MAX(0,ROUND((INDEX($E294:$G294,T$5)-SUMIFS(TF_Timer,TF_Tekniker,T$4,TF_Dato,$A294))*2,0)/2)))</f>
        <v/>
      </c>
      <c r="U294">
        <f>IF(OR(U$4="",$A294&gt;TODAY()),0,IF(OR(INDEX($B294:$D294,U$5)="F",AND(U$6&gt;0,$A294&lt;U$6),AND(U$7&gt;0,$A294&gt;U$7)),0,MAX(0,ROUND((INDEX($E294:$G294,U$5)-SUMIFS(TF_Timer,TF_Tekniker,U$4,TF_Dato,$A294))*2,0)/2)))</f>
        <v/>
      </c>
      <c r="V294">
        <f>IF(OR(V$4="",$A294&gt;TODAY()),0,IF(OR(INDEX($B294:$D294,V$5)="F",AND(V$6&gt;0,$A294&lt;V$6),AND(V$7&gt;0,$A294&gt;V$7)),0,MAX(0,ROUND((INDEX($E294:$G294,V$5)-SUMIFS(TF_Timer,TF_Tekniker,V$4,TF_Dato,$A294))*2,0)/2)))</f>
        <v/>
      </c>
      <c r="W294">
        <f>IF(OR(W$4="",$A294&gt;TODAY()),0,IF(OR(INDEX($B294:$D294,W$5)="F",AND(W$6&gt;0,$A294&lt;W$6),AND(W$7&gt;0,$A294&gt;W$7)),0,MAX(0,ROUND((INDEX($E294:$G294,W$5)-SUMIFS(TF_Timer,TF_Tekniker,W$4,TF_Dato,$A294))*2,0)/2)))</f>
        <v/>
      </c>
      <c r="X294">
        <f>IF(OR(X$4="",$A294&gt;TODAY()),0,IF(OR(INDEX($B294:$D294,X$5)="F",AND(X$6&gt;0,$A294&lt;X$6),AND(X$7&gt;0,$A294&gt;X$7)),0,MAX(0,ROUND((INDEX($E294:$G294,X$5)-SUMIFS(TF_Timer,TF_Tekniker,X$4,TF_Dato,$A294))*2,0)/2)))</f>
        <v/>
      </c>
      <c r="Y294">
        <f>IF(OR(Y$4="",$A294&gt;TODAY()),0,IF(OR(INDEX($B294:$D294,Y$5)="F",AND(Y$6&gt;0,$A294&lt;Y$6),AND(Y$7&gt;0,$A294&gt;Y$7)),0,MAX(0,ROUND((INDEX($E294:$G294,Y$5)-SUMIFS(TF_Timer,TF_Tekniker,Y$4,TF_Dato,$A294))*2,0)/2)))</f>
        <v/>
      </c>
      <c r="Z294">
        <f>IF(OR(Z$4="",$A294&gt;TODAY()),0,IF(OR(INDEX($B294:$D294,Z$5)="F",AND(Z$6&gt;0,$A294&lt;Z$6),AND(Z$7&gt;0,$A294&gt;Z$7)),0,MAX(0,ROUND((INDEX($E294:$G294,Z$5)-SUMIFS(TF_Timer,TF_Tekniker,Z$4,TF_Dato,$A294))*2,0)/2)))</f>
        <v/>
      </c>
      <c r="AA294">
        <f>IF(OR(AA$4="",$A294&gt;TODAY()),0,IF(OR(INDEX($B294:$D294,AA$5)="F",AND(AA$6&gt;0,$A294&lt;AA$6),AND(AA$7&gt;0,$A294&gt;AA$7)),0,MAX(0,ROUND((INDEX($E294:$G294,AA$5)-SUMIFS(TF_Timer,TF_Tekniker,AA$4,TF_Dato,$A294))*2,0)/2)))</f>
        <v/>
      </c>
      <c r="AB294">
        <f>IF(OR(AB$4="",$A294&gt;TODAY()),0,IF(OR(INDEX($B294:$D294,AB$5)="F",AND(AB$6&gt;0,$A294&lt;AB$6),AND(AB$7&gt;0,$A294&gt;AB$7)),0,MAX(0,ROUND((INDEX($E294:$G294,AB$5)-SUMIFS(TF_Timer,TF_Tekniker,AB$4,TF_Dato,$A294))*2,0)/2)))</f>
        <v/>
      </c>
      <c r="AC294">
        <f>IF(OR(AC$4="",$A294&gt;TODAY()),0,IF(OR(INDEX($B294:$D294,AC$5)="F",AND(AC$6&gt;0,$A294&lt;AC$6),AND(AC$7&gt;0,$A294&gt;AC$7)),0,MAX(0,ROUND((INDEX($E294:$G294,AC$5)-SUMIFS(TF_Timer,TF_Tekniker,AC$4,TF_Dato,$A294))*2,0)/2)))</f>
        <v/>
      </c>
      <c r="AD294">
        <f>IF(OR(AD$4="",$A294&gt;TODAY()),0,IF(OR(INDEX($B294:$D294,AD$5)="F",AND(AD$6&gt;0,$A294&lt;AD$6),AND(AD$7&gt;0,$A294&gt;AD$7)),0,MAX(0,ROUND((INDEX($E294:$G294,AD$5)-SUMIFS(TF_Timer,TF_Tekniker,AD$4,TF_Dato,$A294))*2,0)/2)))</f>
        <v/>
      </c>
      <c r="AE294">
        <f>IF(OR(AE$4="",$A294&gt;TODAY()),0,IF(OR(INDEX($B294:$D294,AE$5)="F",AND(AE$6&gt;0,$A294&lt;AE$6),AND(AE$7&gt;0,$A294&gt;AE$7)),0,MAX(0,ROUND((INDEX($E294:$G294,AE$5)-SUMIFS(TF_Timer,TF_Tekniker,AE$4,TF_Dato,$A294))*2,0)/2)))</f>
        <v/>
      </c>
      <c r="AF294">
        <f>IF(OR(AF$4="",$A294&gt;TODAY()),0,IF(OR(INDEX($B294:$D294,AF$5)="F",AND(AF$6&gt;0,$A294&lt;AF$6),AND(AF$7&gt;0,$A294&gt;AF$7)),0,MAX(0,ROUND((INDEX($E294:$G294,AF$5)-SUMIFS(TF_Timer,TF_Tekniker,AF$4,TF_Dato,$A294))*2,0)/2)))</f>
        <v/>
      </c>
      <c r="AG294">
        <f>IF(OR(AG$4="",$A294&gt;TODAY()),0,IF(OR(INDEX($B294:$D294,AG$5)="F",AND(AG$6&gt;0,$A294&lt;AG$6),AND(AG$7&gt;0,$A294&gt;AG$7)),0,MAX(0,ROUND((INDEX($E294:$G294,AG$5)-SUMIFS(TF_Timer,TF_Tekniker,AG$4,TF_Dato,$A294))*2,0)/2)))</f>
        <v/>
      </c>
      <c r="AH294">
        <f>IF(OR(AH$4="",$A294&gt;TODAY()),0,IF(OR(INDEX($B294:$D294,AH$5)="F",AND(AH$6&gt;0,$A294&lt;AH$6),AND(AH$7&gt;0,$A294&gt;AH$7)),0,MAX(0,ROUND((INDEX($E294:$G294,AH$5)-SUMIFS(TF_Timer,TF_Tekniker,AH$4,TF_Dato,$A294))*2,0)/2)))</f>
        <v/>
      </c>
      <c r="AI294">
        <f>IF(OR(AI$4="",$A294&gt;TODAY()),0,IF(OR(INDEX($B294:$D294,AI$5)="F",AND(AI$6&gt;0,$A294&lt;AI$6),AND(AI$7&gt;0,$A294&gt;AI$7)),0,MAX(0,ROUND((INDEX($E294:$G294,AI$5)-SUMIFS(TF_Timer,TF_Tekniker,AI$4,TF_Dato,$A294))*2,0)/2)))</f>
        <v/>
      </c>
      <c r="AJ294">
        <f>IF(OR(AJ$4="",$A294&gt;TODAY()),0,IF(OR(INDEX($B294:$D294,AJ$5)="F",AND(AJ$6&gt;0,$A294&lt;AJ$6),AND(AJ$7&gt;0,$A294&gt;AJ$7)),0,MAX(0,ROUND((INDEX($E294:$G294,AJ$5)-SUMIFS(TF_Timer,TF_Tekniker,AJ$4,TF_Dato,$A294))*2,0)/2)))</f>
        <v/>
      </c>
      <c r="AK294">
        <f>IF(OR(AK$4="",$A294&gt;TODAY()),0,IF(OR(INDEX($B294:$D294,AK$5)="F",AND(AK$6&gt;0,$A294&lt;AK$6),AND(AK$7&gt;0,$A294&gt;AK$7)),0,MAX(0,ROUND((INDEX($E294:$G294,AK$5)-SUMIFS(TF_Timer,TF_Tekniker,AK$4,TF_Dato,$A294))*2,0)/2)))</f>
        <v/>
      </c>
      <c r="AL294">
        <f>IF(OR(AL$4="",$A294&gt;TODAY()),0,IF(OR(INDEX($B294:$D294,AL$5)="F",AND(AL$6&gt;0,$A294&lt;AL$6),AND(AL$7&gt;0,$A294&gt;AL$7)),0,MAX(0,ROUND((INDEX($E294:$G294,AL$5)-SUMIFS(TF_Timer,TF_Tekniker,AL$4,TF_Dato,$A294))*2,0)/2)))</f>
        <v/>
      </c>
      <c r="AM294">
        <f>IF(OR(AM$4="",$A294&gt;TODAY()),0,IF(OR(INDEX($B294:$D294,AM$5)="F",AND(AM$6&gt;0,$A294&lt;AM$6),AND(AM$7&gt;0,$A294&gt;AM$7)),0,MAX(0,ROUND((INDEX($E294:$G294,AM$5)-SUMIFS(TF_Timer,TF_Tekniker,AM$4,TF_Dato,$A294))*2,0)/2)))</f>
        <v/>
      </c>
      <c r="AN294">
        <f>IF(OR(AN$4="",$A294&gt;TODAY()),0,IF(OR(INDEX($B294:$D294,AN$5)="F",AND(AN$6&gt;0,$A294&lt;AN$6),AND(AN$7&gt;0,$A294&gt;AN$7)),0,MAX(0,ROUND((INDEX($E294:$G294,AN$5)-SUMIFS(TF_Timer,TF_Tekniker,AN$4,TF_Dato,$A294))*2,0)/2)))</f>
        <v/>
      </c>
      <c r="AO294">
        <f>IF(OR(AO$4="",$A294&gt;TODAY()),0,IF(OR(INDEX($B294:$D294,AO$5)="F",AND(AO$6&gt;0,$A294&lt;AO$6),AND(AO$7&gt;0,$A294&gt;AO$7)),0,MAX(0,ROUND((INDEX($E294:$G294,AO$5)-SUMIFS(TF_Timer,TF_Tekniker,AO$4,TF_Dato,$A294))*2,0)/2)))</f>
        <v/>
      </c>
      <c r="AP294">
        <f>IF(OR(AP$4="",$A294&gt;TODAY()),0,IF(OR(INDEX($B294:$D294,AP$5)="F",AND(AP$6&gt;0,$A294&lt;AP$6),AND(AP$7&gt;0,$A294&gt;AP$7)),0,MAX(0,ROUND((INDEX($E294:$G294,AP$5)-SUMIFS(TF_Timer,TF_Tekniker,AP$4,TF_Dato,$A294))*2,0)/2)))</f>
        <v/>
      </c>
      <c r="AQ294">
        <f>IF(OR(AQ$4="",$A294&gt;TODAY()),0,IF(OR(INDEX($B294:$D294,AQ$5)="F",AND(AQ$6&gt;0,$A294&lt;AQ$6),AND(AQ$7&gt;0,$A294&gt;AQ$7)),0,MAX(0,ROUND((INDEX($E294:$G294,AQ$5)-SUMIFS(TF_Timer,TF_Tekniker,AQ$4,TF_Dato,$A294))*2,0)/2)))</f>
        <v/>
      </c>
      <c r="AR294">
        <f>IF(OR(AR$4="",$A294&gt;TODAY()),0,IF(OR(INDEX($B294:$D294,AR$5)="F",AND(AR$6&gt;0,$A294&lt;AR$6),AND(AR$7&gt;0,$A294&gt;AR$7)),0,MAX(0,ROUND((INDEX($E294:$G294,AR$5)-SUMIFS(TF_Timer,TF_Tekniker,AR$4,TF_Dato,$A294))*2,0)/2)))</f>
        <v/>
      </c>
      <c r="AS294">
        <f>IF(OR(AS$4="",$A294&gt;TODAY()),0,IF(OR(INDEX($B294:$D294,AS$5)="F",AND(AS$6&gt;0,$A294&lt;AS$6),AND(AS$7&gt;0,$A294&gt;AS$7)),0,MAX(0,ROUND((INDEX($E294:$G294,AS$5)-SUMIFS(TF_Timer,TF_Tekniker,AS$4,TF_Dato,$A294))*2,0)/2)))</f>
        <v/>
      </c>
      <c r="AT294">
        <f>IF(OR(AT$4="",$A294&gt;TODAY()),0,IF(OR(INDEX($B294:$D294,AT$5)="F",AND(AT$6&gt;0,$A294&lt;AT$6),AND(AT$7&gt;0,$A294&gt;AT$7)),0,MAX(0,ROUND((INDEX($E294:$G294,AT$5)-SUMIFS(TF_Timer,TF_Tekniker,AT$4,TF_Dato,$A294))*2,0)/2)))</f>
        <v/>
      </c>
      <c r="AU294">
        <f>IF(OR(AU$4="",$A294&gt;TODAY()),0,IF(OR(INDEX($B294:$D294,AU$5)="F",AND(AU$6&gt;0,$A294&lt;AU$6),AND(AU$7&gt;0,$A294&gt;AU$7)),0,MAX(0,ROUND((INDEX($E294:$G294,AU$5)-SUMIFS(TF_Timer,TF_Tekniker,AU$4,TF_Dato,$A294))*2,0)/2)))</f>
        <v/>
      </c>
      <c r="AV294">
        <f>IF(OR(AV$4="",$A294&gt;TODAY()),0,IF(OR(INDEX($B294:$D294,AV$5)="F",AND(AV$6&gt;0,$A294&lt;AV$6),AND(AV$7&gt;0,$A294&gt;AV$7)),0,MAX(0,ROUND((INDEX($E294:$G294,AV$5)-SUMIFS(TF_Timer,TF_Tekniker,AV$4,TF_Dato,$A294))*2,0)/2)))</f>
        <v/>
      </c>
      <c r="AW294">
        <f>IF(OR(AW$4="",$A294&gt;TODAY()),0,IF(OR(INDEX($B294:$D294,AW$5)="F",AND(AW$6&gt;0,$A294&lt;AW$6),AND(AW$7&gt;0,$A294&gt;AW$7)),0,MAX(0,ROUND((INDEX($E294:$G294,AW$5)-SUMIFS(TF_Timer,TF_Tekniker,AW$4,TF_Dato,$A294))*2,0)/2)))</f>
        <v/>
      </c>
      <c r="AX294">
        <f>IF(OR(AX$4="",$A294&gt;TODAY()),0,IF(OR(INDEX($B294:$D294,AX$5)="F",AND(AX$6&gt;0,$A294&lt;AX$6),AND(AX$7&gt;0,$A294&gt;AX$7)),0,MAX(0,ROUND((INDEX($E294:$G294,AX$5)-SUMIFS(TF_Timer,TF_Tekniker,AX$4,TF_Dato,$A294))*2,0)/2)))</f>
        <v/>
      </c>
      <c r="AY294">
        <f>IF(OR(AY$4="",$A294&gt;TODAY()),0,IF(OR(INDEX($B294:$D294,AY$5)="F",AND(AY$6&gt;0,$A294&lt;AY$6),AND(AY$7&gt;0,$A294&gt;AY$7)),0,MAX(0,ROUND((INDEX($E294:$G294,AY$5)-SUMIFS(TF_Timer,TF_Tekniker,AY$4,TF_Dato,$A294))*2,0)/2)))</f>
        <v/>
      </c>
      <c r="AZ294">
        <f>IF(OR(AZ$4="",$A294&gt;TODAY()),0,IF(OR(INDEX($B294:$D294,AZ$5)="F",AND(AZ$6&gt;0,$A294&lt;AZ$6),AND(AZ$7&gt;0,$A294&gt;AZ$7)),0,MAX(0,ROUND((INDEX($E294:$G294,AZ$5)-SUMIFS(TF_Timer,TF_Tekniker,AZ$4,TF_Dato,$A294))*2,0)/2)))</f>
        <v/>
      </c>
      <c r="BA294">
        <f>IF(OR(BA$4="",$A294&gt;TODAY()),0,IF(OR(INDEX($B294:$D294,BA$5)="F",AND(BA$6&gt;0,$A294&lt;BA$6),AND(BA$7&gt;0,$A294&gt;BA$7)),0,MAX(0,ROUND((INDEX($E294:$G294,BA$5)-SUMIFS(TF_Timer,TF_Tekniker,BA$4,TF_Dato,$A294))*2,0)/2)))</f>
        <v/>
      </c>
      <c r="BB294">
        <f>IF(OR(BB$4="",$A294&gt;TODAY()),0,IF(OR(INDEX($B294:$D294,BB$5)="F",AND(BB$6&gt;0,$A294&lt;BB$6),AND(BB$7&gt;0,$A294&gt;BB$7)),0,MAX(0,ROUND((INDEX($E294:$G294,BB$5)-SUMIFS(TF_Timer,TF_Tekniker,BB$4,TF_Dato,$A294))*2,0)/2)))</f>
        <v/>
      </c>
      <c r="BC294">
        <f>IF(OR(BC$4="",$A294&gt;TODAY()),0,IF(OR(INDEX($B294:$D294,BC$5)="F",AND(BC$6&gt;0,$A294&lt;BC$6),AND(BC$7&gt;0,$A294&gt;BC$7)),0,MAX(0,ROUND((INDEX($E294:$G294,BC$5)-SUMIFS(TF_Timer,TF_Tekniker,BC$4,TF_Dato,$A294))*2,0)/2)))</f>
        <v/>
      </c>
      <c r="BD294">
        <f>IF(OR(BD$4="",$A294&gt;TODAY()),0,IF(OR(INDEX($B294:$D294,BD$5)="F",AND(BD$6&gt;0,$A294&lt;BD$6),AND(BD$7&gt;0,$A294&gt;BD$7)),0,MAX(0,ROUND((INDEX($E294:$G294,BD$5)-SUMIFS(TF_Timer,TF_Tekniker,BD$4,TF_Dato,$A294))*2,0)/2)))</f>
        <v/>
      </c>
      <c r="BE294">
        <f>IF(OR(BE$4="",$A294&gt;TODAY()),0,IF(OR(INDEX($B294:$D294,BE$5)="F",AND(BE$6&gt;0,$A294&lt;BE$6),AND(BE$7&gt;0,$A294&gt;BE$7)),0,MAX(0,ROUND((INDEX($E294:$G294,BE$5)-SUMIFS(TF_Timer,TF_Tekniker,BE$4,TF_Dato,$A294))*2,0)/2)))</f>
        <v/>
      </c>
      <c r="BF294">
        <f>IF(OR(BF$4="",$A294&gt;TODAY()),0,IF(OR(INDEX($B294:$D294,BF$5)="F",AND(BF$6&gt;0,$A294&lt;BF$6),AND(BF$7&gt;0,$A294&gt;BF$7)),0,MAX(0,ROUND((INDEX($E294:$G294,BF$5)-SUMIFS(TF_Timer,TF_Tekniker,BF$4,TF_Dato,$A294))*2,0)/2)))</f>
        <v/>
      </c>
      <c r="BG294">
        <f>IF(OR(BG$4="",$A294&gt;TODAY()),0,IF(OR(INDEX($B294:$D294,BG$5)="F",AND(BG$6&gt;0,$A294&lt;BG$6),AND(BG$7&gt;0,$A294&gt;BG$7)),0,MAX(0,ROUND((INDEX($E294:$G294,BG$5)-SUMIFS(TF_Timer,TF_Tekniker,BG$4,TF_Dato,$A294))*2,0)/2)))</f>
        <v/>
      </c>
      <c r="BH294">
        <f>IF(OR(BH$4="",$A294&gt;TODAY()),0,IF(OR(INDEX($B294:$D294,BH$5)="F",AND(BH$6&gt;0,$A294&lt;BH$6),AND(BH$7&gt;0,$A294&gt;BH$7)),0,MAX(0,ROUND((INDEX($E294:$G294,BH$5)-SUMIFS(TF_Timer,TF_Tekniker,BH$4,TF_Dato,$A294))*2,0)/2)))</f>
        <v/>
      </c>
      <c r="BI294">
        <f>IF(OR(BI$4="",$A294&gt;TODAY()),0,IF(OR(INDEX($B294:$D294,BI$5)="F",AND(BI$6&gt;0,$A294&lt;BI$6),AND(BI$7&gt;0,$A294&gt;BI$7)),0,MAX(0,ROUND((INDEX($E294:$G294,BI$5)-SUMIFS(TF_Timer,TF_Tekniker,BI$4,TF_Dato,$A294))*2,0)/2)))</f>
        <v/>
      </c>
    </row>
    <row r="295">
      <c r="A295" s="64">
        <f>A294+1</f>
        <v/>
      </c>
      <c r="B295">
        <f>IF(MOD($A295-INDEX(SkiftStart,1),Syklus)&lt;DagK,"K",IF(MOD($A295-INDEX(SkiftStart,1),Syklus)&lt;DagK+DagH,"H",IF(MOD($A295-INDEX(SkiftStart,1),Syklus)&lt;DagK+DagH+DagD,"D","F")))</f>
        <v/>
      </c>
      <c r="C295">
        <f>IF(MOD($A295-INDEX(SkiftStart,2),Syklus)&lt;DagK,"K",IF(MOD($A295-INDEX(SkiftStart,2),Syklus)&lt;DagK+DagH,"H",IF(MOD($A295-INDEX(SkiftStart,2),Syklus)&lt;DagK+DagH+DagD,"D","F")))</f>
        <v/>
      </c>
      <c r="D295">
        <f>IF(MOD($A295-INDEX(SkiftStart,3),Syklus)&lt;DagK,"K",IF(MOD($A295-INDEX(SkiftStart,3),Syklus)&lt;DagK+DagH,"H",IF(MOD($A295-INDEX(SkiftStart,3),Syklus)&lt;DagK+DagH+DagD,"D","F")))</f>
        <v/>
      </c>
      <c r="E295">
        <f>IF(B295="F",0,IF(WEEKDAY($A295,2)=5,INDEX(TimerFr,MATCH(B295,FaseKode,0)),INDEX(TimerMT,MATCH(B295,FaseKode,0))))</f>
        <v/>
      </c>
      <c r="F295">
        <f>IF(C295="F",0,IF(WEEKDAY($A295,2)=5,INDEX(TimerFr,MATCH(C295,FaseKode,0)),INDEX(TimerMT,MATCH(C295,FaseKode,0))))</f>
        <v/>
      </c>
      <c r="G295">
        <f>IF(D295="F",0,IF(WEEKDAY($A295,2)=5,INDEX(TimerFr,MATCH(D295,FaseKode,0)),INDEX(TimerMT,MATCH(D295,FaseKode,0))))</f>
        <v/>
      </c>
      <c r="H295">
        <f>IF(OR(H$4="",$A295&gt;TODAY()),0,IF(OR(INDEX($B295:$D295,H$5)="F",AND(H$6&gt;0,$A295&lt;H$6),AND(H$7&gt;0,$A295&gt;H$7)),0,MAX(0,ROUND((INDEX($E295:$G295,H$5)-SUMIFS(TF_Timer,TF_Tekniker,H$4,TF_Dato,$A295))*2,0)/2)))</f>
        <v/>
      </c>
      <c r="I295">
        <f>IF(OR(I$4="",$A295&gt;TODAY()),0,IF(OR(INDEX($B295:$D295,I$5)="F",AND(I$6&gt;0,$A295&lt;I$6),AND(I$7&gt;0,$A295&gt;I$7)),0,MAX(0,ROUND((INDEX($E295:$G295,I$5)-SUMIFS(TF_Timer,TF_Tekniker,I$4,TF_Dato,$A295))*2,0)/2)))</f>
        <v/>
      </c>
      <c r="J295">
        <f>IF(OR(J$4="",$A295&gt;TODAY()),0,IF(OR(INDEX($B295:$D295,J$5)="F",AND(J$6&gt;0,$A295&lt;J$6),AND(J$7&gt;0,$A295&gt;J$7)),0,MAX(0,ROUND((INDEX($E295:$G295,J$5)-SUMIFS(TF_Timer,TF_Tekniker,J$4,TF_Dato,$A295))*2,0)/2)))</f>
        <v/>
      </c>
      <c r="K295">
        <f>IF(OR(K$4="",$A295&gt;TODAY()),0,IF(OR(INDEX($B295:$D295,K$5)="F",AND(K$6&gt;0,$A295&lt;K$6),AND(K$7&gt;0,$A295&gt;K$7)),0,MAX(0,ROUND((INDEX($E295:$G295,K$5)-SUMIFS(TF_Timer,TF_Tekniker,K$4,TF_Dato,$A295))*2,0)/2)))</f>
        <v/>
      </c>
      <c r="L295">
        <f>IF(OR(L$4="",$A295&gt;TODAY()),0,IF(OR(INDEX($B295:$D295,L$5)="F",AND(L$6&gt;0,$A295&lt;L$6),AND(L$7&gt;0,$A295&gt;L$7)),0,MAX(0,ROUND((INDEX($E295:$G295,L$5)-SUMIFS(TF_Timer,TF_Tekniker,L$4,TF_Dato,$A295))*2,0)/2)))</f>
        <v/>
      </c>
      <c r="M295">
        <f>IF(OR(M$4="",$A295&gt;TODAY()),0,IF(OR(INDEX($B295:$D295,M$5)="F",AND(M$6&gt;0,$A295&lt;M$6),AND(M$7&gt;0,$A295&gt;M$7)),0,MAX(0,ROUND((INDEX($E295:$G295,M$5)-SUMIFS(TF_Timer,TF_Tekniker,M$4,TF_Dato,$A295))*2,0)/2)))</f>
        <v/>
      </c>
      <c r="N295">
        <f>IF(OR(N$4="",$A295&gt;TODAY()),0,IF(OR(INDEX($B295:$D295,N$5)="F",AND(N$6&gt;0,$A295&lt;N$6),AND(N$7&gt;0,$A295&gt;N$7)),0,MAX(0,ROUND((INDEX($E295:$G295,N$5)-SUMIFS(TF_Timer,TF_Tekniker,N$4,TF_Dato,$A295))*2,0)/2)))</f>
        <v/>
      </c>
      <c r="O295">
        <f>IF(OR(O$4="",$A295&gt;TODAY()),0,IF(OR(INDEX($B295:$D295,O$5)="F",AND(O$6&gt;0,$A295&lt;O$6),AND(O$7&gt;0,$A295&gt;O$7)),0,MAX(0,ROUND((INDEX($E295:$G295,O$5)-SUMIFS(TF_Timer,TF_Tekniker,O$4,TF_Dato,$A295))*2,0)/2)))</f>
        <v/>
      </c>
      <c r="P295">
        <f>IF(OR(P$4="",$A295&gt;TODAY()),0,IF(OR(INDEX($B295:$D295,P$5)="F",AND(P$6&gt;0,$A295&lt;P$6),AND(P$7&gt;0,$A295&gt;P$7)),0,MAX(0,ROUND((INDEX($E295:$G295,P$5)-SUMIFS(TF_Timer,TF_Tekniker,P$4,TF_Dato,$A295))*2,0)/2)))</f>
        <v/>
      </c>
      <c r="Q295">
        <f>IF(OR(Q$4="",$A295&gt;TODAY()),0,IF(OR(INDEX($B295:$D295,Q$5)="F",AND(Q$6&gt;0,$A295&lt;Q$6),AND(Q$7&gt;0,$A295&gt;Q$7)),0,MAX(0,ROUND((INDEX($E295:$G295,Q$5)-SUMIFS(TF_Timer,TF_Tekniker,Q$4,TF_Dato,$A295))*2,0)/2)))</f>
        <v/>
      </c>
      <c r="R295">
        <f>IF(OR(R$4="",$A295&gt;TODAY()),0,IF(OR(INDEX($B295:$D295,R$5)="F",AND(R$6&gt;0,$A295&lt;R$6),AND(R$7&gt;0,$A295&gt;R$7)),0,MAX(0,ROUND((INDEX($E295:$G295,R$5)-SUMIFS(TF_Timer,TF_Tekniker,R$4,TF_Dato,$A295))*2,0)/2)))</f>
        <v/>
      </c>
      <c r="S295">
        <f>IF(OR(S$4="",$A295&gt;TODAY()),0,IF(OR(INDEX($B295:$D295,S$5)="F",AND(S$6&gt;0,$A295&lt;S$6),AND(S$7&gt;0,$A295&gt;S$7)),0,MAX(0,ROUND((INDEX($E295:$G295,S$5)-SUMIFS(TF_Timer,TF_Tekniker,S$4,TF_Dato,$A295))*2,0)/2)))</f>
        <v/>
      </c>
      <c r="T295">
        <f>IF(OR(T$4="",$A295&gt;TODAY()),0,IF(OR(INDEX($B295:$D295,T$5)="F",AND(T$6&gt;0,$A295&lt;T$6),AND(T$7&gt;0,$A295&gt;T$7)),0,MAX(0,ROUND((INDEX($E295:$G295,T$5)-SUMIFS(TF_Timer,TF_Tekniker,T$4,TF_Dato,$A295))*2,0)/2)))</f>
        <v/>
      </c>
      <c r="U295">
        <f>IF(OR(U$4="",$A295&gt;TODAY()),0,IF(OR(INDEX($B295:$D295,U$5)="F",AND(U$6&gt;0,$A295&lt;U$6),AND(U$7&gt;0,$A295&gt;U$7)),0,MAX(0,ROUND((INDEX($E295:$G295,U$5)-SUMIFS(TF_Timer,TF_Tekniker,U$4,TF_Dato,$A295))*2,0)/2)))</f>
        <v/>
      </c>
      <c r="V295">
        <f>IF(OR(V$4="",$A295&gt;TODAY()),0,IF(OR(INDEX($B295:$D295,V$5)="F",AND(V$6&gt;0,$A295&lt;V$6),AND(V$7&gt;0,$A295&gt;V$7)),0,MAX(0,ROUND((INDEX($E295:$G295,V$5)-SUMIFS(TF_Timer,TF_Tekniker,V$4,TF_Dato,$A295))*2,0)/2)))</f>
        <v/>
      </c>
      <c r="W295">
        <f>IF(OR(W$4="",$A295&gt;TODAY()),0,IF(OR(INDEX($B295:$D295,W$5)="F",AND(W$6&gt;0,$A295&lt;W$6),AND(W$7&gt;0,$A295&gt;W$7)),0,MAX(0,ROUND((INDEX($E295:$G295,W$5)-SUMIFS(TF_Timer,TF_Tekniker,W$4,TF_Dato,$A295))*2,0)/2)))</f>
        <v/>
      </c>
      <c r="X295">
        <f>IF(OR(X$4="",$A295&gt;TODAY()),0,IF(OR(INDEX($B295:$D295,X$5)="F",AND(X$6&gt;0,$A295&lt;X$6),AND(X$7&gt;0,$A295&gt;X$7)),0,MAX(0,ROUND((INDEX($E295:$G295,X$5)-SUMIFS(TF_Timer,TF_Tekniker,X$4,TF_Dato,$A295))*2,0)/2)))</f>
        <v/>
      </c>
      <c r="Y295">
        <f>IF(OR(Y$4="",$A295&gt;TODAY()),0,IF(OR(INDEX($B295:$D295,Y$5)="F",AND(Y$6&gt;0,$A295&lt;Y$6),AND(Y$7&gt;0,$A295&gt;Y$7)),0,MAX(0,ROUND((INDEX($E295:$G295,Y$5)-SUMIFS(TF_Timer,TF_Tekniker,Y$4,TF_Dato,$A295))*2,0)/2)))</f>
        <v/>
      </c>
      <c r="Z295">
        <f>IF(OR(Z$4="",$A295&gt;TODAY()),0,IF(OR(INDEX($B295:$D295,Z$5)="F",AND(Z$6&gt;0,$A295&lt;Z$6),AND(Z$7&gt;0,$A295&gt;Z$7)),0,MAX(0,ROUND((INDEX($E295:$G295,Z$5)-SUMIFS(TF_Timer,TF_Tekniker,Z$4,TF_Dato,$A295))*2,0)/2)))</f>
        <v/>
      </c>
      <c r="AA295">
        <f>IF(OR(AA$4="",$A295&gt;TODAY()),0,IF(OR(INDEX($B295:$D295,AA$5)="F",AND(AA$6&gt;0,$A295&lt;AA$6),AND(AA$7&gt;0,$A295&gt;AA$7)),0,MAX(0,ROUND((INDEX($E295:$G295,AA$5)-SUMIFS(TF_Timer,TF_Tekniker,AA$4,TF_Dato,$A295))*2,0)/2)))</f>
        <v/>
      </c>
      <c r="AB295">
        <f>IF(OR(AB$4="",$A295&gt;TODAY()),0,IF(OR(INDEX($B295:$D295,AB$5)="F",AND(AB$6&gt;0,$A295&lt;AB$6),AND(AB$7&gt;0,$A295&gt;AB$7)),0,MAX(0,ROUND((INDEX($E295:$G295,AB$5)-SUMIFS(TF_Timer,TF_Tekniker,AB$4,TF_Dato,$A295))*2,0)/2)))</f>
        <v/>
      </c>
      <c r="AC295">
        <f>IF(OR(AC$4="",$A295&gt;TODAY()),0,IF(OR(INDEX($B295:$D295,AC$5)="F",AND(AC$6&gt;0,$A295&lt;AC$6),AND(AC$7&gt;0,$A295&gt;AC$7)),0,MAX(0,ROUND((INDEX($E295:$G295,AC$5)-SUMIFS(TF_Timer,TF_Tekniker,AC$4,TF_Dato,$A295))*2,0)/2)))</f>
        <v/>
      </c>
      <c r="AD295">
        <f>IF(OR(AD$4="",$A295&gt;TODAY()),0,IF(OR(INDEX($B295:$D295,AD$5)="F",AND(AD$6&gt;0,$A295&lt;AD$6),AND(AD$7&gt;0,$A295&gt;AD$7)),0,MAX(0,ROUND((INDEX($E295:$G295,AD$5)-SUMIFS(TF_Timer,TF_Tekniker,AD$4,TF_Dato,$A295))*2,0)/2)))</f>
        <v/>
      </c>
      <c r="AE295">
        <f>IF(OR(AE$4="",$A295&gt;TODAY()),0,IF(OR(INDEX($B295:$D295,AE$5)="F",AND(AE$6&gt;0,$A295&lt;AE$6),AND(AE$7&gt;0,$A295&gt;AE$7)),0,MAX(0,ROUND((INDEX($E295:$G295,AE$5)-SUMIFS(TF_Timer,TF_Tekniker,AE$4,TF_Dato,$A295))*2,0)/2)))</f>
        <v/>
      </c>
      <c r="AF295">
        <f>IF(OR(AF$4="",$A295&gt;TODAY()),0,IF(OR(INDEX($B295:$D295,AF$5)="F",AND(AF$6&gt;0,$A295&lt;AF$6),AND(AF$7&gt;0,$A295&gt;AF$7)),0,MAX(0,ROUND((INDEX($E295:$G295,AF$5)-SUMIFS(TF_Timer,TF_Tekniker,AF$4,TF_Dato,$A295))*2,0)/2)))</f>
        <v/>
      </c>
      <c r="AG295">
        <f>IF(OR(AG$4="",$A295&gt;TODAY()),0,IF(OR(INDEX($B295:$D295,AG$5)="F",AND(AG$6&gt;0,$A295&lt;AG$6),AND(AG$7&gt;0,$A295&gt;AG$7)),0,MAX(0,ROUND((INDEX($E295:$G295,AG$5)-SUMIFS(TF_Timer,TF_Tekniker,AG$4,TF_Dato,$A295))*2,0)/2)))</f>
        <v/>
      </c>
      <c r="AH295">
        <f>IF(OR(AH$4="",$A295&gt;TODAY()),0,IF(OR(INDEX($B295:$D295,AH$5)="F",AND(AH$6&gt;0,$A295&lt;AH$6),AND(AH$7&gt;0,$A295&gt;AH$7)),0,MAX(0,ROUND((INDEX($E295:$G295,AH$5)-SUMIFS(TF_Timer,TF_Tekniker,AH$4,TF_Dato,$A295))*2,0)/2)))</f>
        <v/>
      </c>
      <c r="AI295">
        <f>IF(OR(AI$4="",$A295&gt;TODAY()),0,IF(OR(INDEX($B295:$D295,AI$5)="F",AND(AI$6&gt;0,$A295&lt;AI$6),AND(AI$7&gt;0,$A295&gt;AI$7)),0,MAX(0,ROUND((INDEX($E295:$G295,AI$5)-SUMIFS(TF_Timer,TF_Tekniker,AI$4,TF_Dato,$A295))*2,0)/2)))</f>
        <v/>
      </c>
      <c r="AJ295">
        <f>IF(OR(AJ$4="",$A295&gt;TODAY()),0,IF(OR(INDEX($B295:$D295,AJ$5)="F",AND(AJ$6&gt;0,$A295&lt;AJ$6),AND(AJ$7&gt;0,$A295&gt;AJ$7)),0,MAX(0,ROUND((INDEX($E295:$G295,AJ$5)-SUMIFS(TF_Timer,TF_Tekniker,AJ$4,TF_Dato,$A295))*2,0)/2)))</f>
        <v/>
      </c>
      <c r="AK295">
        <f>IF(OR(AK$4="",$A295&gt;TODAY()),0,IF(OR(INDEX($B295:$D295,AK$5)="F",AND(AK$6&gt;0,$A295&lt;AK$6),AND(AK$7&gt;0,$A295&gt;AK$7)),0,MAX(0,ROUND((INDEX($E295:$G295,AK$5)-SUMIFS(TF_Timer,TF_Tekniker,AK$4,TF_Dato,$A295))*2,0)/2)))</f>
        <v/>
      </c>
      <c r="AL295">
        <f>IF(OR(AL$4="",$A295&gt;TODAY()),0,IF(OR(INDEX($B295:$D295,AL$5)="F",AND(AL$6&gt;0,$A295&lt;AL$6),AND(AL$7&gt;0,$A295&gt;AL$7)),0,MAX(0,ROUND((INDEX($E295:$G295,AL$5)-SUMIFS(TF_Timer,TF_Tekniker,AL$4,TF_Dato,$A295))*2,0)/2)))</f>
        <v/>
      </c>
      <c r="AM295">
        <f>IF(OR(AM$4="",$A295&gt;TODAY()),0,IF(OR(INDEX($B295:$D295,AM$5)="F",AND(AM$6&gt;0,$A295&lt;AM$6),AND(AM$7&gt;0,$A295&gt;AM$7)),0,MAX(0,ROUND((INDEX($E295:$G295,AM$5)-SUMIFS(TF_Timer,TF_Tekniker,AM$4,TF_Dato,$A295))*2,0)/2)))</f>
        <v/>
      </c>
      <c r="AN295">
        <f>IF(OR(AN$4="",$A295&gt;TODAY()),0,IF(OR(INDEX($B295:$D295,AN$5)="F",AND(AN$6&gt;0,$A295&lt;AN$6),AND(AN$7&gt;0,$A295&gt;AN$7)),0,MAX(0,ROUND((INDEX($E295:$G295,AN$5)-SUMIFS(TF_Timer,TF_Tekniker,AN$4,TF_Dato,$A295))*2,0)/2)))</f>
        <v/>
      </c>
      <c r="AO295">
        <f>IF(OR(AO$4="",$A295&gt;TODAY()),0,IF(OR(INDEX($B295:$D295,AO$5)="F",AND(AO$6&gt;0,$A295&lt;AO$6),AND(AO$7&gt;0,$A295&gt;AO$7)),0,MAX(0,ROUND((INDEX($E295:$G295,AO$5)-SUMIFS(TF_Timer,TF_Tekniker,AO$4,TF_Dato,$A295))*2,0)/2)))</f>
        <v/>
      </c>
      <c r="AP295">
        <f>IF(OR(AP$4="",$A295&gt;TODAY()),0,IF(OR(INDEX($B295:$D295,AP$5)="F",AND(AP$6&gt;0,$A295&lt;AP$6),AND(AP$7&gt;0,$A295&gt;AP$7)),0,MAX(0,ROUND((INDEX($E295:$G295,AP$5)-SUMIFS(TF_Timer,TF_Tekniker,AP$4,TF_Dato,$A295))*2,0)/2)))</f>
        <v/>
      </c>
      <c r="AQ295">
        <f>IF(OR(AQ$4="",$A295&gt;TODAY()),0,IF(OR(INDEX($B295:$D295,AQ$5)="F",AND(AQ$6&gt;0,$A295&lt;AQ$6),AND(AQ$7&gt;0,$A295&gt;AQ$7)),0,MAX(0,ROUND((INDEX($E295:$G295,AQ$5)-SUMIFS(TF_Timer,TF_Tekniker,AQ$4,TF_Dato,$A295))*2,0)/2)))</f>
        <v/>
      </c>
      <c r="AR295">
        <f>IF(OR(AR$4="",$A295&gt;TODAY()),0,IF(OR(INDEX($B295:$D295,AR$5)="F",AND(AR$6&gt;0,$A295&lt;AR$6),AND(AR$7&gt;0,$A295&gt;AR$7)),0,MAX(0,ROUND((INDEX($E295:$G295,AR$5)-SUMIFS(TF_Timer,TF_Tekniker,AR$4,TF_Dato,$A295))*2,0)/2)))</f>
        <v/>
      </c>
      <c r="AS295">
        <f>IF(OR(AS$4="",$A295&gt;TODAY()),0,IF(OR(INDEX($B295:$D295,AS$5)="F",AND(AS$6&gt;0,$A295&lt;AS$6),AND(AS$7&gt;0,$A295&gt;AS$7)),0,MAX(0,ROUND((INDEX($E295:$G295,AS$5)-SUMIFS(TF_Timer,TF_Tekniker,AS$4,TF_Dato,$A295))*2,0)/2)))</f>
        <v/>
      </c>
      <c r="AT295">
        <f>IF(OR(AT$4="",$A295&gt;TODAY()),0,IF(OR(INDEX($B295:$D295,AT$5)="F",AND(AT$6&gt;0,$A295&lt;AT$6),AND(AT$7&gt;0,$A295&gt;AT$7)),0,MAX(0,ROUND((INDEX($E295:$G295,AT$5)-SUMIFS(TF_Timer,TF_Tekniker,AT$4,TF_Dato,$A295))*2,0)/2)))</f>
        <v/>
      </c>
      <c r="AU295">
        <f>IF(OR(AU$4="",$A295&gt;TODAY()),0,IF(OR(INDEX($B295:$D295,AU$5)="F",AND(AU$6&gt;0,$A295&lt;AU$6),AND(AU$7&gt;0,$A295&gt;AU$7)),0,MAX(0,ROUND((INDEX($E295:$G295,AU$5)-SUMIFS(TF_Timer,TF_Tekniker,AU$4,TF_Dato,$A295))*2,0)/2)))</f>
        <v/>
      </c>
      <c r="AV295">
        <f>IF(OR(AV$4="",$A295&gt;TODAY()),0,IF(OR(INDEX($B295:$D295,AV$5)="F",AND(AV$6&gt;0,$A295&lt;AV$6),AND(AV$7&gt;0,$A295&gt;AV$7)),0,MAX(0,ROUND((INDEX($E295:$G295,AV$5)-SUMIFS(TF_Timer,TF_Tekniker,AV$4,TF_Dato,$A295))*2,0)/2)))</f>
        <v/>
      </c>
      <c r="AW295">
        <f>IF(OR(AW$4="",$A295&gt;TODAY()),0,IF(OR(INDEX($B295:$D295,AW$5)="F",AND(AW$6&gt;0,$A295&lt;AW$6),AND(AW$7&gt;0,$A295&gt;AW$7)),0,MAX(0,ROUND((INDEX($E295:$G295,AW$5)-SUMIFS(TF_Timer,TF_Tekniker,AW$4,TF_Dato,$A295))*2,0)/2)))</f>
        <v/>
      </c>
      <c r="AX295">
        <f>IF(OR(AX$4="",$A295&gt;TODAY()),0,IF(OR(INDEX($B295:$D295,AX$5)="F",AND(AX$6&gt;0,$A295&lt;AX$6),AND(AX$7&gt;0,$A295&gt;AX$7)),0,MAX(0,ROUND((INDEX($E295:$G295,AX$5)-SUMIFS(TF_Timer,TF_Tekniker,AX$4,TF_Dato,$A295))*2,0)/2)))</f>
        <v/>
      </c>
      <c r="AY295">
        <f>IF(OR(AY$4="",$A295&gt;TODAY()),0,IF(OR(INDEX($B295:$D295,AY$5)="F",AND(AY$6&gt;0,$A295&lt;AY$6),AND(AY$7&gt;0,$A295&gt;AY$7)),0,MAX(0,ROUND((INDEX($E295:$G295,AY$5)-SUMIFS(TF_Timer,TF_Tekniker,AY$4,TF_Dato,$A295))*2,0)/2)))</f>
        <v/>
      </c>
      <c r="AZ295">
        <f>IF(OR(AZ$4="",$A295&gt;TODAY()),0,IF(OR(INDEX($B295:$D295,AZ$5)="F",AND(AZ$6&gt;0,$A295&lt;AZ$6),AND(AZ$7&gt;0,$A295&gt;AZ$7)),0,MAX(0,ROUND((INDEX($E295:$G295,AZ$5)-SUMIFS(TF_Timer,TF_Tekniker,AZ$4,TF_Dato,$A295))*2,0)/2)))</f>
        <v/>
      </c>
      <c r="BA295">
        <f>IF(OR(BA$4="",$A295&gt;TODAY()),0,IF(OR(INDEX($B295:$D295,BA$5)="F",AND(BA$6&gt;0,$A295&lt;BA$6),AND(BA$7&gt;0,$A295&gt;BA$7)),0,MAX(0,ROUND((INDEX($E295:$G295,BA$5)-SUMIFS(TF_Timer,TF_Tekniker,BA$4,TF_Dato,$A295))*2,0)/2)))</f>
        <v/>
      </c>
      <c r="BB295">
        <f>IF(OR(BB$4="",$A295&gt;TODAY()),0,IF(OR(INDEX($B295:$D295,BB$5)="F",AND(BB$6&gt;0,$A295&lt;BB$6),AND(BB$7&gt;0,$A295&gt;BB$7)),0,MAX(0,ROUND((INDEX($E295:$G295,BB$5)-SUMIFS(TF_Timer,TF_Tekniker,BB$4,TF_Dato,$A295))*2,0)/2)))</f>
        <v/>
      </c>
      <c r="BC295">
        <f>IF(OR(BC$4="",$A295&gt;TODAY()),0,IF(OR(INDEX($B295:$D295,BC$5)="F",AND(BC$6&gt;0,$A295&lt;BC$6),AND(BC$7&gt;0,$A295&gt;BC$7)),0,MAX(0,ROUND((INDEX($E295:$G295,BC$5)-SUMIFS(TF_Timer,TF_Tekniker,BC$4,TF_Dato,$A295))*2,0)/2)))</f>
        <v/>
      </c>
      <c r="BD295">
        <f>IF(OR(BD$4="",$A295&gt;TODAY()),0,IF(OR(INDEX($B295:$D295,BD$5)="F",AND(BD$6&gt;0,$A295&lt;BD$6),AND(BD$7&gt;0,$A295&gt;BD$7)),0,MAX(0,ROUND((INDEX($E295:$G295,BD$5)-SUMIFS(TF_Timer,TF_Tekniker,BD$4,TF_Dato,$A295))*2,0)/2)))</f>
        <v/>
      </c>
      <c r="BE295">
        <f>IF(OR(BE$4="",$A295&gt;TODAY()),0,IF(OR(INDEX($B295:$D295,BE$5)="F",AND(BE$6&gt;0,$A295&lt;BE$6),AND(BE$7&gt;0,$A295&gt;BE$7)),0,MAX(0,ROUND((INDEX($E295:$G295,BE$5)-SUMIFS(TF_Timer,TF_Tekniker,BE$4,TF_Dato,$A295))*2,0)/2)))</f>
        <v/>
      </c>
      <c r="BF295">
        <f>IF(OR(BF$4="",$A295&gt;TODAY()),0,IF(OR(INDEX($B295:$D295,BF$5)="F",AND(BF$6&gt;0,$A295&lt;BF$6),AND(BF$7&gt;0,$A295&gt;BF$7)),0,MAX(0,ROUND((INDEX($E295:$G295,BF$5)-SUMIFS(TF_Timer,TF_Tekniker,BF$4,TF_Dato,$A295))*2,0)/2)))</f>
        <v/>
      </c>
      <c r="BG295">
        <f>IF(OR(BG$4="",$A295&gt;TODAY()),0,IF(OR(INDEX($B295:$D295,BG$5)="F",AND(BG$6&gt;0,$A295&lt;BG$6),AND(BG$7&gt;0,$A295&gt;BG$7)),0,MAX(0,ROUND((INDEX($E295:$G295,BG$5)-SUMIFS(TF_Timer,TF_Tekniker,BG$4,TF_Dato,$A295))*2,0)/2)))</f>
        <v/>
      </c>
      <c r="BH295">
        <f>IF(OR(BH$4="",$A295&gt;TODAY()),0,IF(OR(INDEX($B295:$D295,BH$5)="F",AND(BH$6&gt;0,$A295&lt;BH$6),AND(BH$7&gt;0,$A295&gt;BH$7)),0,MAX(0,ROUND((INDEX($E295:$G295,BH$5)-SUMIFS(TF_Timer,TF_Tekniker,BH$4,TF_Dato,$A295))*2,0)/2)))</f>
        <v/>
      </c>
      <c r="BI295">
        <f>IF(OR(BI$4="",$A295&gt;TODAY()),0,IF(OR(INDEX($B295:$D295,BI$5)="F",AND(BI$6&gt;0,$A295&lt;BI$6),AND(BI$7&gt;0,$A295&gt;BI$7)),0,MAX(0,ROUND((INDEX($E295:$G295,BI$5)-SUMIFS(TF_Timer,TF_Tekniker,BI$4,TF_Dato,$A295))*2,0)/2)))</f>
        <v/>
      </c>
    </row>
    <row r="296">
      <c r="A296" s="64">
        <f>A295+1</f>
        <v/>
      </c>
      <c r="B296">
        <f>IF(MOD($A296-INDEX(SkiftStart,1),Syklus)&lt;DagK,"K",IF(MOD($A296-INDEX(SkiftStart,1),Syklus)&lt;DagK+DagH,"H",IF(MOD($A296-INDEX(SkiftStart,1),Syklus)&lt;DagK+DagH+DagD,"D","F")))</f>
        <v/>
      </c>
      <c r="C296">
        <f>IF(MOD($A296-INDEX(SkiftStart,2),Syklus)&lt;DagK,"K",IF(MOD($A296-INDEX(SkiftStart,2),Syklus)&lt;DagK+DagH,"H",IF(MOD($A296-INDEX(SkiftStart,2),Syklus)&lt;DagK+DagH+DagD,"D","F")))</f>
        <v/>
      </c>
      <c r="D296">
        <f>IF(MOD($A296-INDEX(SkiftStart,3),Syklus)&lt;DagK,"K",IF(MOD($A296-INDEX(SkiftStart,3),Syklus)&lt;DagK+DagH,"H",IF(MOD($A296-INDEX(SkiftStart,3),Syklus)&lt;DagK+DagH+DagD,"D","F")))</f>
        <v/>
      </c>
      <c r="E296">
        <f>IF(B296="F",0,IF(WEEKDAY($A296,2)=5,INDEX(TimerFr,MATCH(B296,FaseKode,0)),INDEX(TimerMT,MATCH(B296,FaseKode,0))))</f>
        <v/>
      </c>
      <c r="F296">
        <f>IF(C296="F",0,IF(WEEKDAY($A296,2)=5,INDEX(TimerFr,MATCH(C296,FaseKode,0)),INDEX(TimerMT,MATCH(C296,FaseKode,0))))</f>
        <v/>
      </c>
      <c r="G296">
        <f>IF(D296="F",0,IF(WEEKDAY($A296,2)=5,INDEX(TimerFr,MATCH(D296,FaseKode,0)),INDEX(TimerMT,MATCH(D296,FaseKode,0))))</f>
        <v/>
      </c>
      <c r="H296">
        <f>IF(OR(H$4="",$A296&gt;TODAY()),0,IF(OR(INDEX($B296:$D296,H$5)="F",AND(H$6&gt;0,$A296&lt;H$6),AND(H$7&gt;0,$A296&gt;H$7)),0,MAX(0,ROUND((INDEX($E296:$G296,H$5)-SUMIFS(TF_Timer,TF_Tekniker,H$4,TF_Dato,$A296))*2,0)/2)))</f>
        <v/>
      </c>
      <c r="I296">
        <f>IF(OR(I$4="",$A296&gt;TODAY()),0,IF(OR(INDEX($B296:$D296,I$5)="F",AND(I$6&gt;0,$A296&lt;I$6),AND(I$7&gt;0,$A296&gt;I$7)),0,MAX(0,ROUND((INDEX($E296:$G296,I$5)-SUMIFS(TF_Timer,TF_Tekniker,I$4,TF_Dato,$A296))*2,0)/2)))</f>
        <v/>
      </c>
      <c r="J296">
        <f>IF(OR(J$4="",$A296&gt;TODAY()),0,IF(OR(INDEX($B296:$D296,J$5)="F",AND(J$6&gt;0,$A296&lt;J$6),AND(J$7&gt;0,$A296&gt;J$7)),0,MAX(0,ROUND((INDEX($E296:$G296,J$5)-SUMIFS(TF_Timer,TF_Tekniker,J$4,TF_Dato,$A296))*2,0)/2)))</f>
        <v/>
      </c>
      <c r="K296">
        <f>IF(OR(K$4="",$A296&gt;TODAY()),0,IF(OR(INDEX($B296:$D296,K$5)="F",AND(K$6&gt;0,$A296&lt;K$6),AND(K$7&gt;0,$A296&gt;K$7)),0,MAX(0,ROUND((INDEX($E296:$G296,K$5)-SUMIFS(TF_Timer,TF_Tekniker,K$4,TF_Dato,$A296))*2,0)/2)))</f>
        <v/>
      </c>
      <c r="L296">
        <f>IF(OR(L$4="",$A296&gt;TODAY()),0,IF(OR(INDEX($B296:$D296,L$5)="F",AND(L$6&gt;0,$A296&lt;L$6),AND(L$7&gt;0,$A296&gt;L$7)),0,MAX(0,ROUND((INDEX($E296:$G296,L$5)-SUMIFS(TF_Timer,TF_Tekniker,L$4,TF_Dato,$A296))*2,0)/2)))</f>
        <v/>
      </c>
      <c r="M296">
        <f>IF(OR(M$4="",$A296&gt;TODAY()),0,IF(OR(INDEX($B296:$D296,M$5)="F",AND(M$6&gt;0,$A296&lt;M$6),AND(M$7&gt;0,$A296&gt;M$7)),0,MAX(0,ROUND((INDEX($E296:$G296,M$5)-SUMIFS(TF_Timer,TF_Tekniker,M$4,TF_Dato,$A296))*2,0)/2)))</f>
        <v/>
      </c>
      <c r="N296">
        <f>IF(OR(N$4="",$A296&gt;TODAY()),0,IF(OR(INDEX($B296:$D296,N$5)="F",AND(N$6&gt;0,$A296&lt;N$6),AND(N$7&gt;0,$A296&gt;N$7)),0,MAX(0,ROUND((INDEX($E296:$G296,N$5)-SUMIFS(TF_Timer,TF_Tekniker,N$4,TF_Dato,$A296))*2,0)/2)))</f>
        <v/>
      </c>
      <c r="O296">
        <f>IF(OR(O$4="",$A296&gt;TODAY()),0,IF(OR(INDEX($B296:$D296,O$5)="F",AND(O$6&gt;0,$A296&lt;O$6),AND(O$7&gt;0,$A296&gt;O$7)),0,MAX(0,ROUND((INDEX($E296:$G296,O$5)-SUMIFS(TF_Timer,TF_Tekniker,O$4,TF_Dato,$A296))*2,0)/2)))</f>
        <v/>
      </c>
      <c r="P296">
        <f>IF(OR(P$4="",$A296&gt;TODAY()),0,IF(OR(INDEX($B296:$D296,P$5)="F",AND(P$6&gt;0,$A296&lt;P$6),AND(P$7&gt;0,$A296&gt;P$7)),0,MAX(0,ROUND((INDEX($E296:$G296,P$5)-SUMIFS(TF_Timer,TF_Tekniker,P$4,TF_Dato,$A296))*2,0)/2)))</f>
        <v/>
      </c>
      <c r="Q296">
        <f>IF(OR(Q$4="",$A296&gt;TODAY()),0,IF(OR(INDEX($B296:$D296,Q$5)="F",AND(Q$6&gt;0,$A296&lt;Q$6),AND(Q$7&gt;0,$A296&gt;Q$7)),0,MAX(0,ROUND((INDEX($E296:$G296,Q$5)-SUMIFS(TF_Timer,TF_Tekniker,Q$4,TF_Dato,$A296))*2,0)/2)))</f>
        <v/>
      </c>
      <c r="R296">
        <f>IF(OR(R$4="",$A296&gt;TODAY()),0,IF(OR(INDEX($B296:$D296,R$5)="F",AND(R$6&gt;0,$A296&lt;R$6),AND(R$7&gt;0,$A296&gt;R$7)),0,MAX(0,ROUND((INDEX($E296:$G296,R$5)-SUMIFS(TF_Timer,TF_Tekniker,R$4,TF_Dato,$A296))*2,0)/2)))</f>
        <v/>
      </c>
      <c r="S296">
        <f>IF(OR(S$4="",$A296&gt;TODAY()),0,IF(OR(INDEX($B296:$D296,S$5)="F",AND(S$6&gt;0,$A296&lt;S$6),AND(S$7&gt;0,$A296&gt;S$7)),0,MAX(0,ROUND((INDEX($E296:$G296,S$5)-SUMIFS(TF_Timer,TF_Tekniker,S$4,TF_Dato,$A296))*2,0)/2)))</f>
        <v/>
      </c>
      <c r="T296">
        <f>IF(OR(T$4="",$A296&gt;TODAY()),0,IF(OR(INDEX($B296:$D296,T$5)="F",AND(T$6&gt;0,$A296&lt;T$6),AND(T$7&gt;0,$A296&gt;T$7)),0,MAX(0,ROUND((INDEX($E296:$G296,T$5)-SUMIFS(TF_Timer,TF_Tekniker,T$4,TF_Dato,$A296))*2,0)/2)))</f>
        <v/>
      </c>
      <c r="U296">
        <f>IF(OR(U$4="",$A296&gt;TODAY()),0,IF(OR(INDEX($B296:$D296,U$5)="F",AND(U$6&gt;0,$A296&lt;U$6),AND(U$7&gt;0,$A296&gt;U$7)),0,MAX(0,ROUND((INDEX($E296:$G296,U$5)-SUMIFS(TF_Timer,TF_Tekniker,U$4,TF_Dato,$A296))*2,0)/2)))</f>
        <v/>
      </c>
      <c r="V296">
        <f>IF(OR(V$4="",$A296&gt;TODAY()),0,IF(OR(INDEX($B296:$D296,V$5)="F",AND(V$6&gt;0,$A296&lt;V$6),AND(V$7&gt;0,$A296&gt;V$7)),0,MAX(0,ROUND((INDEX($E296:$G296,V$5)-SUMIFS(TF_Timer,TF_Tekniker,V$4,TF_Dato,$A296))*2,0)/2)))</f>
        <v/>
      </c>
      <c r="W296">
        <f>IF(OR(W$4="",$A296&gt;TODAY()),0,IF(OR(INDEX($B296:$D296,W$5)="F",AND(W$6&gt;0,$A296&lt;W$6),AND(W$7&gt;0,$A296&gt;W$7)),0,MAX(0,ROUND((INDEX($E296:$G296,W$5)-SUMIFS(TF_Timer,TF_Tekniker,W$4,TF_Dato,$A296))*2,0)/2)))</f>
        <v/>
      </c>
      <c r="X296">
        <f>IF(OR(X$4="",$A296&gt;TODAY()),0,IF(OR(INDEX($B296:$D296,X$5)="F",AND(X$6&gt;0,$A296&lt;X$6),AND(X$7&gt;0,$A296&gt;X$7)),0,MAX(0,ROUND((INDEX($E296:$G296,X$5)-SUMIFS(TF_Timer,TF_Tekniker,X$4,TF_Dato,$A296))*2,0)/2)))</f>
        <v/>
      </c>
      <c r="Y296">
        <f>IF(OR(Y$4="",$A296&gt;TODAY()),0,IF(OR(INDEX($B296:$D296,Y$5)="F",AND(Y$6&gt;0,$A296&lt;Y$6),AND(Y$7&gt;0,$A296&gt;Y$7)),0,MAX(0,ROUND((INDEX($E296:$G296,Y$5)-SUMIFS(TF_Timer,TF_Tekniker,Y$4,TF_Dato,$A296))*2,0)/2)))</f>
        <v/>
      </c>
      <c r="Z296">
        <f>IF(OR(Z$4="",$A296&gt;TODAY()),0,IF(OR(INDEX($B296:$D296,Z$5)="F",AND(Z$6&gt;0,$A296&lt;Z$6),AND(Z$7&gt;0,$A296&gt;Z$7)),0,MAX(0,ROUND((INDEX($E296:$G296,Z$5)-SUMIFS(TF_Timer,TF_Tekniker,Z$4,TF_Dato,$A296))*2,0)/2)))</f>
        <v/>
      </c>
      <c r="AA296">
        <f>IF(OR(AA$4="",$A296&gt;TODAY()),0,IF(OR(INDEX($B296:$D296,AA$5)="F",AND(AA$6&gt;0,$A296&lt;AA$6),AND(AA$7&gt;0,$A296&gt;AA$7)),0,MAX(0,ROUND((INDEX($E296:$G296,AA$5)-SUMIFS(TF_Timer,TF_Tekniker,AA$4,TF_Dato,$A296))*2,0)/2)))</f>
        <v/>
      </c>
      <c r="AB296">
        <f>IF(OR(AB$4="",$A296&gt;TODAY()),0,IF(OR(INDEX($B296:$D296,AB$5)="F",AND(AB$6&gt;0,$A296&lt;AB$6),AND(AB$7&gt;0,$A296&gt;AB$7)),0,MAX(0,ROUND((INDEX($E296:$G296,AB$5)-SUMIFS(TF_Timer,TF_Tekniker,AB$4,TF_Dato,$A296))*2,0)/2)))</f>
        <v/>
      </c>
      <c r="AC296">
        <f>IF(OR(AC$4="",$A296&gt;TODAY()),0,IF(OR(INDEX($B296:$D296,AC$5)="F",AND(AC$6&gt;0,$A296&lt;AC$6),AND(AC$7&gt;0,$A296&gt;AC$7)),0,MAX(0,ROUND((INDEX($E296:$G296,AC$5)-SUMIFS(TF_Timer,TF_Tekniker,AC$4,TF_Dato,$A296))*2,0)/2)))</f>
        <v/>
      </c>
      <c r="AD296">
        <f>IF(OR(AD$4="",$A296&gt;TODAY()),0,IF(OR(INDEX($B296:$D296,AD$5)="F",AND(AD$6&gt;0,$A296&lt;AD$6),AND(AD$7&gt;0,$A296&gt;AD$7)),0,MAX(0,ROUND((INDEX($E296:$G296,AD$5)-SUMIFS(TF_Timer,TF_Tekniker,AD$4,TF_Dato,$A296))*2,0)/2)))</f>
        <v/>
      </c>
      <c r="AE296">
        <f>IF(OR(AE$4="",$A296&gt;TODAY()),0,IF(OR(INDEX($B296:$D296,AE$5)="F",AND(AE$6&gt;0,$A296&lt;AE$6),AND(AE$7&gt;0,$A296&gt;AE$7)),0,MAX(0,ROUND((INDEX($E296:$G296,AE$5)-SUMIFS(TF_Timer,TF_Tekniker,AE$4,TF_Dato,$A296))*2,0)/2)))</f>
        <v/>
      </c>
      <c r="AF296">
        <f>IF(OR(AF$4="",$A296&gt;TODAY()),0,IF(OR(INDEX($B296:$D296,AF$5)="F",AND(AF$6&gt;0,$A296&lt;AF$6),AND(AF$7&gt;0,$A296&gt;AF$7)),0,MAX(0,ROUND((INDEX($E296:$G296,AF$5)-SUMIFS(TF_Timer,TF_Tekniker,AF$4,TF_Dato,$A296))*2,0)/2)))</f>
        <v/>
      </c>
      <c r="AG296">
        <f>IF(OR(AG$4="",$A296&gt;TODAY()),0,IF(OR(INDEX($B296:$D296,AG$5)="F",AND(AG$6&gt;0,$A296&lt;AG$6),AND(AG$7&gt;0,$A296&gt;AG$7)),0,MAX(0,ROUND((INDEX($E296:$G296,AG$5)-SUMIFS(TF_Timer,TF_Tekniker,AG$4,TF_Dato,$A296))*2,0)/2)))</f>
        <v/>
      </c>
      <c r="AH296">
        <f>IF(OR(AH$4="",$A296&gt;TODAY()),0,IF(OR(INDEX($B296:$D296,AH$5)="F",AND(AH$6&gt;0,$A296&lt;AH$6),AND(AH$7&gt;0,$A296&gt;AH$7)),0,MAX(0,ROUND((INDEX($E296:$G296,AH$5)-SUMIFS(TF_Timer,TF_Tekniker,AH$4,TF_Dato,$A296))*2,0)/2)))</f>
        <v/>
      </c>
      <c r="AI296">
        <f>IF(OR(AI$4="",$A296&gt;TODAY()),0,IF(OR(INDEX($B296:$D296,AI$5)="F",AND(AI$6&gt;0,$A296&lt;AI$6),AND(AI$7&gt;0,$A296&gt;AI$7)),0,MAX(0,ROUND((INDEX($E296:$G296,AI$5)-SUMIFS(TF_Timer,TF_Tekniker,AI$4,TF_Dato,$A296))*2,0)/2)))</f>
        <v/>
      </c>
      <c r="AJ296">
        <f>IF(OR(AJ$4="",$A296&gt;TODAY()),0,IF(OR(INDEX($B296:$D296,AJ$5)="F",AND(AJ$6&gt;0,$A296&lt;AJ$6),AND(AJ$7&gt;0,$A296&gt;AJ$7)),0,MAX(0,ROUND((INDEX($E296:$G296,AJ$5)-SUMIFS(TF_Timer,TF_Tekniker,AJ$4,TF_Dato,$A296))*2,0)/2)))</f>
        <v/>
      </c>
      <c r="AK296">
        <f>IF(OR(AK$4="",$A296&gt;TODAY()),0,IF(OR(INDEX($B296:$D296,AK$5)="F",AND(AK$6&gt;0,$A296&lt;AK$6),AND(AK$7&gt;0,$A296&gt;AK$7)),0,MAX(0,ROUND((INDEX($E296:$G296,AK$5)-SUMIFS(TF_Timer,TF_Tekniker,AK$4,TF_Dato,$A296))*2,0)/2)))</f>
        <v/>
      </c>
      <c r="AL296">
        <f>IF(OR(AL$4="",$A296&gt;TODAY()),0,IF(OR(INDEX($B296:$D296,AL$5)="F",AND(AL$6&gt;0,$A296&lt;AL$6),AND(AL$7&gt;0,$A296&gt;AL$7)),0,MAX(0,ROUND((INDEX($E296:$G296,AL$5)-SUMIFS(TF_Timer,TF_Tekniker,AL$4,TF_Dato,$A296))*2,0)/2)))</f>
        <v/>
      </c>
      <c r="AM296">
        <f>IF(OR(AM$4="",$A296&gt;TODAY()),0,IF(OR(INDEX($B296:$D296,AM$5)="F",AND(AM$6&gt;0,$A296&lt;AM$6),AND(AM$7&gt;0,$A296&gt;AM$7)),0,MAX(0,ROUND((INDEX($E296:$G296,AM$5)-SUMIFS(TF_Timer,TF_Tekniker,AM$4,TF_Dato,$A296))*2,0)/2)))</f>
        <v/>
      </c>
      <c r="AN296">
        <f>IF(OR(AN$4="",$A296&gt;TODAY()),0,IF(OR(INDEX($B296:$D296,AN$5)="F",AND(AN$6&gt;0,$A296&lt;AN$6),AND(AN$7&gt;0,$A296&gt;AN$7)),0,MAX(0,ROUND((INDEX($E296:$G296,AN$5)-SUMIFS(TF_Timer,TF_Tekniker,AN$4,TF_Dato,$A296))*2,0)/2)))</f>
        <v/>
      </c>
      <c r="AO296">
        <f>IF(OR(AO$4="",$A296&gt;TODAY()),0,IF(OR(INDEX($B296:$D296,AO$5)="F",AND(AO$6&gt;0,$A296&lt;AO$6),AND(AO$7&gt;0,$A296&gt;AO$7)),0,MAX(0,ROUND((INDEX($E296:$G296,AO$5)-SUMIFS(TF_Timer,TF_Tekniker,AO$4,TF_Dato,$A296))*2,0)/2)))</f>
        <v/>
      </c>
      <c r="AP296">
        <f>IF(OR(AP$4="",$A296&gt;TODAY()),0,IF(OR(INDEX($B296:$D296,AP$5)="F",AND(AP$6&gt;0,$A296&lt;AP$6),AND(AP$7&gt;0,$A296&gt;AP$7)),0,MAX(0,ROUND((INDEX($E296:$G296,AP$5)-SUMIFS(TF_Timer,TF_Tekniker,AP$4,TF_Dato,$A296))*2,0)/2)))</f>
        <v/>
      </c>
      <c r="AQ296">
        <f>IF(OR(AQ$4="",$A296&gt;TODAY()),0,IF(OR(INDEX($B296:$D296,AQ$5)="F",AND(AQ$6&gt;0,$A296&lt;AQ$6),AND(AQ$7&gt;0,$A296&gt;AQ$7)),0,MAX(0,ROUND((INDEX($E296:$G296,AQ$5)-SUMIFS(TF_Timer,TF_Tekniker,AQ$4,TF_Dato,$A296))*2,0)/2)))</f>
        <v/>
      </c>
      <c r="AR296">
        <f>IF(OR(AR$4="",$A296&gt;TODAY()),0,IF(OR(INDEX($B296:$D296,AR$5)="F",AND(AR$6&gt;0,$A296&lt;AR$6),AND(AR$7&gt;0,$A296&gt;AR$7)),0,MAX(0,ROUND((INDEX($E296:$G296,AR$5)-SUMIFS(TF_Timer,TF_Tekniker,AR$4,TF_Dato,$A296))*2,0)/2)))</f>
        <v/>
      </c>
      <c r="AS296">
        <f>IF(OR(AS$4="",$A296&gt;TODAY()),0,IF(OR(INDEX($B296:$D296,AS$5)="F",AND(AS$6&gt;0,$A296&lt;AS$6),AND(AS$7&gt;0,$A296&gt;AS$7)),0,MAX(0,ROUND((INDEX($E296:$G296,AS$5)-SUMIFS(TF_Timer,TF_Tekniker,AS$4,TF_Dato,$A296))*2,0)/2)))</f>
        <v/>
      </c>
      <c r="AT296">
        <f>IF(OR(AT$4="",$A296&gt;TODAY()),0,IF(OR(INDEX($B296:$D296,AT$5)="F",AND(AT$6&gt;0,$A296&lt;AT$6),AND(AT$7&gt;0,$A296&gt;AT$7)),0,MAX(0,ROUND((INDEX($E296:$G296,AT$5)-SUMIFS(TF_Timer,TF_Tekniker,AT$4,TF_Dato,$A296))*2,0)/2)))</f>
        <v/>
      </c>
      <c r="AU296">
        <f>IF(OR(AU$4="",$A296&gt;TODAY()),0,IF(OR(INDEX($B296:$D296,AU$5)="F",AND(AU$6&gt;0,$A296&lt;AU$6),AND(AU$7&gt;0,$A296&gt;AU$7)),0,MAX(0,ROUND((INDEX($E296:$G296,AU$5)-SUMIFS(TF_Timer,TF_Tekniker,AU$4,TF_Dato,$A296))*2,0)/2)))</f>
        <v/>
      </c>
      <c r="AV296">
        <f>IF(OR(AV$4="",$A296&gt;TODAY()),0,IF(OR(INDEX($B296:$D296,AV$5)="F",AND(AV$6&gt;0,$A296&lt;AV$6),AND(AV$7&gt;0,$A296&gt;AV$7)),0,MAX(0,ROUND((INDEX($E296:$G296,AV$5)-SUMIFS(TF_Timer,TF_Tekniker,AV$4,TF_Dato,$A296))*2,0)/2)))</f>
        <v/>
      </c>
      <c r="AW296">
        <f>IF(OR(AW$4="",$A296&gt;TODAY()),0,IF(OR(INDEX($B296:$D296,AW$5)="F",AND(AW$6&gt;0,$A296&lt;AW$6),AND(AW$7&gt;0,$A296&gt;AW$7)),0,MAX(0,ROUND((INDEX($E296:$G296,AW$5)-SUMIFS(TF_Timer,TF_Tekniker,AW$4,TF_Dato,$A296))*2,0)/2)))</f>
        <v/>
      </c>
      <c r="AX296">
        <f>IF(OR(AX$4="",$A296&gt;TODAY()),0,IF(OR(INDEX($B296:$D296,AX$5)="F",AND(AX$6&gt;0,$A296&lt;AX$6),AND(AX$7&gt;0,$A296&gt;AX$7)),0,MAX(0,ROUND((INDEX($E296:$G296,AX$5)-SUMIFS(TF_Timer,TF_Tekniker,AX$4,TF_Dato,$A296))*2,0)/2)))</f>
        <v/>
      </c>
      <c r="AY296">
        <f>IF(OR(AY$4="",$A296&gt;TODAY()),0,IF(OR(INDEX($B296:$D296,AY$5)="F",AND(AY$6&gt;0,$A296&lt;AY$6),AND(AY$7&gt;0,$A296&gt;AY$7)),0,MAX(0,ROUND((INDEX($E296:$G296,AY$5)-SUMIFS(TF_Timer,TF_Tekniker,AY$4,TF_Dato,$A296))*2,0)/2)))</f>
        <v/>
      </c>
      <c r="AZ296">
        <f>IF(OR(AZ$4="",$A296&gt;TODAY()),0,IF(OR(INDEX($B296:$D296,AZ$5)="F",AND(AZ$6&gt;0,$A296&lt;AZ$6),AND(AZ$7&gt;0,$A296&gt;AZ$7)),0,MAX(0,ROUND((INDEX($E296:$G296,AZ$5)-SUMIFS(TF_Timer,TF_Tekniker,AZ$4,TF_Dato,$A296))*2,0)/2)))</f>
        <v/>
      </c>
      <c r="BA296">
        <f>IF(OR(BA$4="",$A296&gt;TODAY()),0,IF(OR(INDEX($B296:$D296,BA$5)="F",AND(BA$6&gt;0,$A296&lt;BA$6),AND(BA$7&gt;0,$A296&gt;BA$7)),0,MAX(0,ROUND((INDEX($E296:$G296,BA$5)-SUMIFS(TF_Timer,TF_Tekniker,BA$4,TF_Dato,$A296))*2,0)/2)))</f>
        <v/>
      </c>
      <c r="BB296">
        <f>IF(OR(BB$4="",$A296&gt;TODAY()),0,IF(OR(INDEX($B296:$D296,BB$5)="F",AND(BB$6&gt;0,$A296&lt;BB$6),AND(BB$7&gt;0,$A296&gt;BB$7)),0,MAX(0,ROUND((INDEX($E296:$G296,BB$5)-SUMIFS(TF_Timer,TF_Tekniker,BB$4,TF_Dato,$A296))*2,0)/2)))</f>
        <v/>
      </c>
      <c r="BC296">
        <f>IF(OR(BC$4="",$A296&gt;TODAY()),0,IF(OR(INDEX($B296:$D296,BC$5)="F",AND(BC$6&gt;0,$A296&lt;BC$6),AND(BC$7&gt;0,$A296&gt;BC$7)),0,MAX(0,ROUND((INDEX($E296:$G296,BC$5)-SUMIFS(TF_Timer,TF_Tekniker,BC$4,TF_Dato,$A296))*2,0)/2)))</f>
        <v/>
      </c>
      <c r="BD296">
        <f>IF(OR(BD$4="",$A296&gt;TODAY()),0,IF(OR(INDEX($B296:$D296,BD$5)="F",AND(BD$6&gt;0,$A296&lt;BD$6),AND(BD$7&gt;0,$A296&gt;BD$7)),0,MAX(0,ROUND((INDEX($E296:$G296,BD$5)-SUMIFS(TF_Timer,TF_Tekniker,BD$4,TF_Dato,$A296))*2,0)/2)))</f>
        <v/>
      </c>
      <c r="BE296">
        <f>IF(OR(BE$4="",$A296&gt;TODAY()),0,IF(OR(INDEX($B296:$D296,BE$5)="F",AND(BE$6&gt;0,$A296&lt;BE$6),AND(BE$7&gt;0,$A296&gt;BE$7)),0,MAX(0,ROUND((INDEX($E296:$G296,BE$5)-SUMIFS(TF_Timer,TF_Tekniker,BE$4,TF_Dato,$A296))*2,0)/2)))</f>
        <v/>
      </c>
      <c r="BF296">
        <f>IF(OR(BF$4="",$A296&gt;TODAY()),0,IF(OR(INDEX($B296:$D296,BF$5)="F",AND(BF$6&gt;0,$A296&lt;BF$6),AND(BF$7&gt;0,$A296&gt;BF$7)),0,MAX(0,ROUND((INDEX($E296:$G296,BF$5)-SUMIFS(TF_Timer,TF_Tekniker,BF$4,TF_Dato,$A296))*2,0)/2)))</f>
        <v/>
      </c>
      <c r="BG296">
        <f>IF(OR(BG$4="",$A296&gt;TODAY()),0,IF(OR(INDEX($B296:$D296,BG$5)="F",AND(BG$6&gt;0,$A296&lt;BG$6),AND(BG$7&gt;0,$A296&gt;BG$7)),0,MAX(0,ROUND((INDEX($E296:$G296,BG$5)-SUMIFS(TF_Timer,TF_Tekniker,BG$4,TF_Dato,$A296))*2,0)/2)))</f>
        <v/>
      </c>
      <c r="BH296">
        <f>IF(OR(BH$4="",$A296&gt;TODAY()),0,IF(OR(INDEX($B296:$D296,BH$5)="F",AND(BH$6&gt;0,$A296&lt;BH$6),AND(BH$7&gt;0,$A296&gt;BH$7)),0,MAX(0,ROUND((INDEX($E296:$G296,BH$5)-SUMIFS(TF_Timer,TF_Tekniker,BH$4,TF_Dato,$A296))*2,0)/2)))</f>
        <v/>
      </c>
      <c r="BI296">
        <f>IF(OR(BI$4="",$A296&gt;TODAY()),0,IF(OR(INDEX($B296:$D296,BI$5)="F",AND(BI$6&gt;0,$A296&lt;BI$6),AND(BI$7&gt;0,$A296&gt;BI$7)),0,MAX(0,ROUND((INDEX($E296:$G296,BI$5)-SUMIFS(TF_Timer,TF_Tekniker,BI$4,TF_Dato,$A296))*2,0)/2)))</f>
        <v/>
      </c>
    </row>
    <row r="297">
      <c r="A297" s="64">
        <f>A296+1</f>
        <v/>
      </c>
      <c r="B297">
        <f>IF(MOD($A297-INDEX(SkiftStart,1),Syklus)&lt;DagK,"K",IF(MOD($A297-INDEX(SkiftStart,1),Syklus)&lt;DagK+DagH,"H",IF(MOD($A297-INDEX(SkiftStart,1),Syklus)&lt;DagK+DagH+DagD,"D","F")))</f>
        <v/>
      </c>
      <c r="C297">
        <f>IF(MOD($A297-INDEX(SkiftStart,2),Syklus)&lt;DagK,"K",IF(MOD($A297-INDEX(SkiftStart,2),Syklus)&lt;DagK+DagH,"H",IF(MOD($A297-INDEX(SkiftStart,2),Syklus)&lt;DagK+DagH+DagD,"D","F")))</f>
        <v/>
      </c>
      <c r="D297">
        <f>IF(MOD($A297-INDEX(SkiftStart,3),Syklus)&lt;DagK,"K",IF(MOD($A297-INDEX(SkiftStart,3),Syklus)&lt;DagK+DagH,"H",IF(MOD($A297-INDEX(SkiftStart,3),Syklus)&lt;DagK+DagH+DagD,"D","F")))</f>
        <v/>
      </c>
      <c r="E297">
        <f>IF(B297="F",0,IF(WEEKDAY($A297,2)=5,INDEX(TimerFr,MATCH(B297,FaseKode,0)),INDEX(TimerMT,MATCH(B297,FaseKode,0))))</f>
        <v/>
      </c>
      <c r="F297">
        <f>IF(C297="F",0,IF(WEEKDAY($A297,2)=5,INDEX(TimerFr,MATCH(C297,FaseKode,0)),INDEX(TimerMT,MATCH(C297,FaseKode,0))))</f>
        <v/>
      </c>
      <c r="G297">
        <f>IF(D297="F",0,IF(WEEKDAY($A297,2)=5,INDEX(TimerFr,MATCH(D297,FaseKode,0)),INDEX(TimerMT,MATCH(D297,FaseKode,0))))</f>
        <v/>
      </c>
      <c r="H297">
        <f>IF(OR(H$4="",$A297&gt;TODAY()),0,IF(OR(INDEX($B297:$D297,H$5)="F",AND(H$6&gt;0,$A297&lt;H$6),AND(H$7&gt;0,$A297&gt;H$7)),0,MAX(0,ROUND((INDEX($E297:$G297,H$5)-SUMIFS(TF_Timer,TF_Tekniker,H$4,TF_Dato,$A297))*2,0)/2)))</f>
        <v/>
      </c>
      <c r="I297">
        <f>IF(OR(I$4="",$A297&gt;TODAY()),0,IF(OR(INDEX($B297:$D297,I$5)="F",AND(I$6&gt;0,$A297&lt;I$6),AND(I$7&gt;0,$A297&gt;I$7)),0,MAX(0,ROUND((INDEX($E297:$G297,I$5)-SUMIFS(TF_Timer,TF_Tekniker,I$4,TF_Dato,$A297))*2,0)/2)))</f>
        <v/>
      </c>
      <c r="J297">
        <f>IF(OR(J$4="",$A297&gt;TODAY()),0,IF(OR(INDEX($B297:$D297,J$5)="F",AND(J$6&gt;0,$A297&lt;J$6),AND(J$7&gt;0,$A297&gt;J$7)),0,MAX(0,ROUND((INDEX($E297:$G297,J$5)-SUMIFS(TF_Timer,TF_Tekniker,J$4,TF_Dato,$A297))*2,0)/2)))</f>
        <v/>
      </c>
      <c r="K297">
        <f>IF(OR(K$4="",$A297&gt;TODAY()),0,IF(OR(INDEX($B297:$D297,K$5)="F",AND(K$6&gt;0,$A297&lt;K$6),AND(K$7&gt;0,$A297&gt;K$7)),0,MAX(0,ROUND((INDEX($E297:$G297,K$5)-SUMIFS(TF_Timer,TF_Tekniker,K$4,TF_Dato,$A297))*2,0)/2)))</f>
        <v/>
      </c>
      <c r="L297">
        <f>IF(OR(L$4="",$A297&gt;TODAY()),0,IF(OR(INDEX($B297:$D297,L$5)="F",AND(L$6&gt;0,$A297&lt;L$6),AND(L$7&gt;0,$A297&gt;L$7)),0,MAX(0,ROUND((INDEX($E297:$G297,L$5)-SUMIFS(TF_Timer,TF_Tekniker,L$4,TF_Dato,$A297))*2,0)/2)))</f>
        <v/>
      </c>
      <c r="M297">
        <f>IF(OR(M$4="",$A297&gt;TODAY()),0,IF(OR(INDEX($B297:$D297,M$5)="F",AND(M$6&gt;0,$A297&lt;M$6),AND(M$7&gt;0,$A297&gt;M$7)),0,MAX(0,ROUND((INDEX($E297:$G297,M$5)-SUMIFS(TF_Timer,TF_Tekniker,M$4,TF_Dato,$A297))*2,0)/2)))</f>
        <v/>
      </c>
      <c r="N297">
        <f>IF(OR(N$4="",$A297&gt;TODAY()),0,IF(OR(INDEX($B297:$D297,N$5)="F",AND(N$6&gt;0,$A297&lt;N$6),AND(N$7&gt;0,$A297&gt;N$7)),0,MAX(0,ROUND((INDEX($E297:$G297,N$5)-SUMIFS(TF_Timer,TF_Tekniker,N$4,TF_Dato,$A297))*2,0)/2)))</f>
        <v/>
      </c>
      <c r="O297">
        <f>IF(OR(O$4="",$A297&gt;TODAY()),0,IF(OR(INDEX($B297:$D297,O$5)="F",AND(O$6&gt;0,$A297&lt;O$6),AND(O$7&gt;0,$A297&gt;O$7)),0,MAX(0,ROUND((INDEX($E297:$G297,O$5)-SUMIFS(TF_Timer,TF_Tekniker,O$4,TF_Dato,$A297))*2,0)/2)))</f>
        <v/>
      </c>
      <c r="P297">
        <f>IF(OR(P$4="",$A297&gt;TODAY()),0,IF(OR(INDEX($B297:$D297,P$5)="F",AND(P$6&gt;0,$A297&lt;P$6),AND(P$7&gt;0,$A297&gt;P$7)),0,MAX(0,ROUND((INDEX($E297:$G297,P$5)-SUMIFS(TF_Timer,TF_Tekniker,P$4,TF_Dato,$A297))*2,0)/2)))</f>
        <v/>
      </c>
      <c r="Q297">
        <f>IF(OR(Q$4="",$A297&gt;TODAY()),0,IF(OR(INDEX($B297:$D297,Q$5)="F",AND(Q$6&gt;0,$A297&lt;Q$6),AND(Q$7&gt;0,$A297&gt;Q$7)),0,MAX(0,ROUND((INDEX($E297:$G297,Q$5)-SUMIFS(TF_Timer,TF_Tekniker,Q$4,TF_Dato,$A297))*2,0)/2)))</f>
        <v/>
      </c>
      <c r="R297">
        <f>IF(OR(R$4="",$A297&gt;TODAY()),0,IF(OR(INDEX($B297:$D297,R$5)="F",AND(R$6&gt;0,$A297&lt;R$6),AND(R$7&gt;0,$A297&gt;R$7)),0,MAX(0,ROUND((INDEX($E297:$G297,R$5)-SUMIFS(TF_Timer,TF_Tekniker,R$4,TF_Dato,$A297))*2,0)/2)))</f>
        <v/>
      </c>
      <c r="S297">
        <f>IF(OR(S$4="",$A297&gt;TODAY()),0,IF(OR(INDEX($B297:$D297,S$5)="F",AND(S$6&gt;0,$A297&lt;S$6),AND(S$7&gt;0,$A297&gt;S$7)),0,MAX(0,ROUND((INDEX($E297:$G297,S$5)-SUMIFS(TF_Timer,TF_Tekniker,S$4,TF_Dato,$A297))*2,0)/2)))</f>
        <v/>
      </c>
      <c r="T297">
        <f>IF(OR(T$4="",$A297&gt;TODAY()),0,IF(OR(INDEX($B297:$D297,T$5)="F",AND(T$6&gt;0,$A297&lt;T$6),AND(T$7&gt;0,$A297&gt;T$7)),0,MAX(0,ROUND((INDEX($E297:$G297,T$5)-SUMIFS(TF_Timer,TF_Tekniker,T$4,TF_Dato,$A297))*2,0)/2)))</f>
        <v/>
      </c>
      <c r="U297">
        <f>IF(OR(U$4="",$A297&gt;TODAY()),0,IF(OR(INDEX($B297:$D297,U$5)="F",AND(U$6&gt;0,$A297&lt;U$6),AND(U$7&gt;0,$A297&gt;U$7)),0,MAX(0,ROUND((INDEX($E297:$G297,U$5)-SUMIFS(TF_Timer,TF_Tekniker,U$4,TF_Dato,$A297))*2,0)/2)))</f>
        <v/>
      </c>
      <c r="V297">
        <f>IF(OR(V$4="",$A297&gt;TODAY()),0,IF(OR(INDEX($B297:$D297,V$5)="F",AND(V$6&gt;0,$A297&lt;V$6),AND(V$7&gt;0,$A297&gt;V$7)),0,MAX(0,ROUND((INDEX($E297:$G297,V$5)-SUMIFS(TF_Timer,TF_Tekniker,V$4,TF_Dato,$A297))*2,0)/2)))</f>
        <v/>
      </c>
      <c r="W297">
        <f>IF(OR(W$4="",$A297&gt;TODAY()),0,IF(OR(INDEX($B297:$D297,W$5)="F",AND(W$6&gt;0,$A297&lt;W$6),AND(W$7&gt;0,$A297&gt;W$7)),0,MAX(0,ROUND((INDEX($E297:$G297,W$5)-SUMIFS(TF_Timer,TF_Tekniker,W$4,TF_Dato,$A297))*2,0)/2)))</f>
        <v/>
      </c>
      <c r="X297">
        <f>IF(OR(X$4="",$A297&gt;TODAY()),0,IF(OR(INDEX($B297:$D297,X$5)="F",AND(X$6&gt;0,$A297&lt;X$6),AND(X$7&gt;0,$A297&gt;X$7)),0,MAX(0,ROUND((INDEX($E297:$G297,X$5)-SUMIFS(TF_Timer,TF_Tekniker,X$4,TF_Dato,$A297))*2,0)/2)))</f>
        <v/>
      </c>
      <c r="Y297">
        <f>IF(OR(Y$4="",$A297&gt;TODAY()),0,IF(OR(INDEX($B297:$D297,Y$5)="F",AND(Y$6&gt;0,$A297&lt;Y$6),AND(Y$7&gt;0,$A297&gt;Y$7)),0,MAX(0,ROUND((INDEX($E297:$G297,Y$5)-SUMIFS(TF_Timer,TF_Tekniker,Y$4,TF_Dato,$A297))*2,0)/2)))</f>
        <v/>
      </c>
      <c r="Z297">
        <f>IF(OR(Z$4="",$A297&gt;TODAY()),0,IF(OR(INDEX($B297:$D297,Z$5)="F",AND(Z$6&gt;0,$A297&lt;Z$6),AND(Z$7&gt;0,$A297&gt;Z$7)),0,MAX(0,ROUND((INDEX($E297:$G297,Z$5)-SUMIFS(TF_Timer,TF_Tekniker,Z$4,TF_Dato,$A297))*2,0)/2)))</f>
        <v/>
      </c>
      <c r="AA297">
        <f>IF(OR(AA$4="",$A297&gt;TODAY()),0,IF(OR(INDEX($B297:$D297,AA$5)="F",AND(AA$6&gt;0,$A297&lt;AA$6),AND(AA$7&gt;0,$A297&gt;AA$7)),0,MAX(0,ROUND((INDEX($E297:$G297,AA$5)-SUMIFS(TF_Timer,TF_Tekniker,AA$4,TF_Dato,$A297))*2,0)/2)))</f>
        <v/>
      </c>
      <c r="AB297">
        <f>IF(OR(AB$4="",$A297&gt;TODAY()),0,IF(OR(INDEX($B297:$D297,AB$5)="F",AND(AB$6&gt;0,$A297&lt;AB$6),AND(AB$7&gt;0,$A297&gt;AB$7)),0,MAX(0,ROUND((INDEX($E297:$G297,AB$5)-SUMIFS(TF_Timer,TF_Tekniker,AB$4,TF_Dato,$A297))*2,0)/2)))</f>
        <v/>
      </c>
      <c r="AC297">
        <f>IF(OR(AC$4="",$A297&gt;TODAY()),0,IF(OR(INDEX($B297:$D297,AC$5)="F",AND(AC$6&gt;0,$A297&lt;AC$6),AND(AC$7&gt;0,$A297&gt;AC$7)),0,MAX(0,ROUND((INDEX($E297:$G297,AC$5)-SUMIFS(TF_Timer,TF_Tekniker,AC$4,TF_Dato,$A297))*2,0)/2)))</f>
        <v/>
      </c>
      <c r="AD297">
        <f>IF(OR(AD$4="",$A297&gt;TODAY()),0,IF(OR(INDEX($B297:$D297,AD$5)="F",AND(AD$6&gt;0,$A297&lt;AD$6),AND(AD$7&gt;0,$A297&gt;AD$7)),0,MAX(0,ROUND((INDEX($E297:$G297,AD$5)-SUMIFS(TF_Timer,TF_Tekniker,AD$4,TF_Dato,$A297))*2,0)/2)))</f>
        <v/>
      </c>
      <c r="AE297">
        <f>IF(OR(AE$4="",$A297&gt;TODAY()),0,IF(OR(INDEX($B297:$D297,AE$5)="F",AND(AE$6&gt;0,$A297&lt;AE$6),AND(AE$7&gt;0,$A297&gt;AE$7)),0,MAX(0,ROUND((INDEX($E297:$G297,AE$5)-SUMIFS(TF_Timer,TF_Tekniker,AE$4,TF_Dato,$A297))*2,0)/2)))</f>
        <v/>
      </c>
      <c r="AF297">
        <f>IF(OR(AF$4="",$A297&gt;TODAY()),0,IF(OR(INDEX($B297:$D297,AF$5)="F",AND(AF$6&gt;0,$A297&lt;AF$6),AND(AF$7&gt;0,$A297&gt;AF$7)),0,MAX(0,ROUND((INDEX($E297:$G297,AF$5)-SUMIFS(TF_Timer,TF_Tekniker,AF$4,TF_Dato,$A297))*2,0)/2)))</f>
        <v/>
      </c>
      <c r="AG297">
        <f>IF(OR(AG$4="",$A297&gt;TODAY()),0,IF(OR(INDEX($B297:$D297,AG$5)="F",AND(AG$6&gt;0,$A297&lt;AG$6),AND(AG$7&gt;0,$A297&gt;AG$7)),0,MAX(0,ROUND((INDEX($E297:$G297,AG$5)-SUMIFS(TF_Timer,TF_Tekniker,AG$4,TF_Dato,$A297))*2,0)/2)))</f>
        <v/>
      </c>
      <c r="AH297">
        <f>IF(OR(AH$4="",$A297&gt;TODAY()),0,IF(OR(INDEX($B297:$D297,AH$5)="F",AND(AH$6&gt;0,$A297&lt;AH$6),AND(AH$7&gt;0,$A297&gt;AH$7)),0,MAX(0,ROUND((INDEX($E297:$G297,AH$5)-SUMIFS(TF_Timer,TF_Tekniker,AH$4,TF_Dato,$A297))*2,0)/2)))</f>
        <v/>
      </c>
      <c r="AI297">
        <f>IF(OR(AI$4="",$A297&gt;TODAY()),0,IF(OR(INDEX($B297:$D297,AI$5)="F",AND(AI$6&gt;0,$A297&lt;AI$6),AND(AI$7&gt;0,$A297&gt;AI$7)),0,MAX(0,ROUND((INDEX($E297:$G297,AI$5)-SUMIFS(TF_Timer,TF_Tekniker,AI$4,TF_Dato,$A297))*2,0)/2)))</f>
        <v/>
      </c>
      <c r="AJ297">
        <f>IF(OR(AJ$4="",$A297&gt;TODAY()),0,IF(OR(INDEX($B297:$D297,AJ$5)="F",AND(AJ$6&gt;0,$A297&lt;AJ$6),AND(AJ$7&gt;0,$A297&gt;AJ$7)),0,MAX(0,ROUND((INDEX($E297:$G297,AJ$5)-SUMIFS(TF_Timer,TF_Tekniker,AJ$4,TF_Dato,$A297))*2,0)/2)))</f>
        <v/>
      </c>
      <c r="AK297">
        <f>IF(OR(AK$4="",$A297&gt;TODAY()),0,IF(OR(INDEX($B297:$D297,AK$5)="F",AND(AK$6&gt;0,$A297&lt;AK$6),AND(AK$7&gt;0,$A297&gt;AK$7)),0,MAX(0,ROUND((INDEX($E297:$G297,AK$5)-SUMIFS(TF_Timer,TF_Tekniker,AK$4,TF_Dato,$A297))*2,0)/2)))</f>
        <v/>
      </c>
      <c r="AL297">
        <f>IF(OR(AL$4="",$A297&gt;TODAY()),0,IF(OR(INDEX($B297:$D297,AL$5)="F",AND(AL$6&gt;0,$A297&lt;AL$6),AND(AL$7&gt;0,$A297&gt;AL$7)),0,MAX(0,ROUND((INDEX($E297:$G297,AL$5)-SUMIFS(TF_Timer,TF_Tekniker,AL$4,TF_Dato,$A297))*2,0)/2)))</f>
        <v/>
      </c>
      <c r="AM297">
        <f>IF(OR(AM$4="",$A297&gt;TODAY()),0,IF(OR(INDEX($B297:$D297,AM$5)="F",AND(AM$6&gt;0,$A297&lt;AM$6),AND(AM$7&gt;0,$A297&gt;AM$7)),0,MAX(0,ROUND((INDEX($E297:$G297,AM$5)-SUMIFS(TF_Timer,TF_Tekniker,AM$4,TF_Dato,$A297))*2,0)/2)))</f>
        <v/>
      </c>
      <c r="AN297">
        <f>IF(OR(AN$4="",$A297&gt;TODAY()),0,IF(OR(INDEX($B297:$D297,AN$5)="F",AND(AN$6&gt;0,$A297&lt;AN$6),AND(AN$7&gt;0,$A297&gt;AN$7)),0,MAX(0,ROUND((INDEX($E297:$G297,AN$5)-SUMIFS(TF_Timer,TF_Tekniker,AN$4,TF_Dato,$A297))*2,0)/2)))</f>
        <v/>
      </c>
      <c r="AO297">
        <f>IF(OR(AO$4="",$A297&gt;TODAY()),0,IF(OR(INDEX($B297:$D297,AO$5)="F",AND(AO$6&gt;0,$A297&lt;AO$6),AND(AO$7&gt;0,$A297&gt;AO$7)),0,MAX(0,ROUND((INDEX($E297:$G297,AO$5)-SUMIFS(TF_Timer,TF_Tekniker,AO$4,TF_Dato,$A297))*2,0)/2)))</f>
        <v/>
      </c>
      <c r="AP297">
        <f>IF(OR(AP$4="",$A297&gt;TODAY()),0,IF(OR(INDEX($B297:$D297,AP$5)="F",AND(AP$6&gt;0,$A297&lt;AP$6),AND(AP$7&gt;0,$A297&gt;AP$7)),0,MAX(0,ROUND((INDEX($E297:$G297,AP$5)-SUMIFS(TF_Timer,TF_Tekniker,AP$4,TF_Dato,$A297))*2,0)/2)))</f>
        <v/>
      </c>
      <c r="AQ297">
        <f>IF(OR(AQ$4="",$A297&gt;TODAY()),0,IF(OR(INDEX($B297:$D297,AQ$5)="F",AND(AQ$6&gt;0,$A297&lt;AQ$6),AND(AQ$7&gt;0,$A297&gt;AQ$7)),0,MAX(0,ROUND((INDEX($E297:$G297,AQ$5)-SUMIFS(TF_Timer,TF_Tekniker,AQ$4,TF_Dato,$A297))*2,0)/2)))</f>
        <v/>
      </c>
      <c r="AR297">
        <f>IF(OR(AR$4="",$A297&gt;TODAY()),0,IF(OR(INDEX($B297:$D297,AR$5)="F",AND(AR$6&gt;0,$A297&lt;AR$6),AND(AR$7&gt;0,$A297&gt;AR$7)),0,MAX(0,ROUND((INDEX($E297:$G297,AR$5)-SUMIFS(TF_Timer,TF_Tekniker,AR$4,TF_Dato,$A297))*2,0)/2)))</f>
        <v/>
      </c>
      <c r="AS297">
        <f>IF(OR(AS$4="",$A297&gt;TODAY()),0,IF(OR(INDEX($B297:$D297,AS$5)="F",AND(AS$6&gt;0,$A297&lt;AS$6),AND(AS$7&gt;0,$A297&gt;AS$7)),0,MAX(0,ROUND((INDEX($E297:$G297,AS$5)-SUMIFS(TF_Timer,TF_Tekniker,AS$4,TF_Dato,$A297))*2,0)/2)))</f>
        <v/>
      </c>
      <c r="AT297">
        <f>IF(OR(AT$4="",$A297&gt;TODAY()),0,IF(OR(INDEX($B297:$D297,AT$5)="F",AND(AT$6&gt;0,$A297&lt;AT$6),AND(AT$7&gt;0,$A297&gt;AT$7)),0,MAX(0,ROUND((INDEX($E297:$G297,AT$5)-SUMIFS(TF_Timer,TF_Tekniker,AT$4,TF_Dato,$A297))*2,0)/2)))</f>
        <v/>
      </c>
      <c r="AU297">
        <f>IF(OR(AU$4="",$A297&gt;TODAY()),0,IF(OR(INDEX($B297:$D297,AU$5)="F",AND(AU$6&gt;0,$A297&lt;AU$6),AND(AU$7&gt;0,$A297&gt;AU$7)),0,MAX(0,ROUND((INDEX($E297:$G297,AU$5)-SUMIFS(TF_Timer,TF_Tekniker,AU$4,TF_Dato,$A297))*2,0)/2)))</f>
        <v/>
      </c>
      <c r="AV297">
        <f>IF(OR(AV$4="",$A297&gt;TODAY()),0,IF(OR(INDEX($B297:$D297,AV$5)="F",AND(AV$6&gt;0,$A297&lt;AV$6),AND(AV$7&gt;0,$A297&gt;AV$7)),0,MAX(0,ROUND((INDEX($E297:$G297,AV$5)-SUMIFS(TF_Timer,TF_Tekniker,AV$4,TF_Dato,$A297))*2,0)/2)))</f>
        <v/>
      </c>
      <c r="AW297">
        <f>IF(OR(AW$4="",$A297&gt;TODAY()),0,IF(OR(INDEX($B297:$D297,AW$5)="F",AND(AW$6&gt;0,$A297&lt;AW$6),AND(AW$7&gt;0,$A297&gt;AW$7)),0,MAX(0,ROUND((INDEX($E297:$G297,AW$5)-SUMIFS(TF_Timer,TF_Tekniker,AW$4,TF_Dato,$A297))*2,0)/2)))</f>
        <v/>
      </c>
      <c r="AX297">
        <f>IF(OR(AX$4="",$A297&gt;TODAY()),0,IF(OR(INDEX($B297:$D297,AX$5)="F",AND(AX$6&gt;0,$A297&lt;AX$6),AND(AX$7&gt;0,$A297&gt;AX$7)),0,MAX(0,ROUND((INDEX($E297:$G297,AX$5)-SUMIFS(TF_Timer,TF_Tekniker,AX$4,TF_Dato,$A297))*2,0)/2)))</f>
        <v/>
      </c>
      <c r="AY297">
        <f>IF(OR(AY$4="",$A297&gt;TODAY()),0,IF(OR(INDEX($B297:$D297,AY$5)="F",AND(AY$6&gt;0,$A297&lt;AY$6),AND(AY$7&gt;0,$A297&gt;AY$7)),0,MAX(0,ROUND((INDEX($E297:$G297,AY$5)-SUMIFS(TF_Timer,TF_Tekniker,AY$4,TF_Dato,$A297))*2,0)/2)))</f>
        <v/>
      </c>
      <c r="AZ297">
        <f>IF(OR(AZ$4="",$A297&gt;TODAY()),0,IF(OR(INDEX($B297:$D297,AZ$5)="F",AND(AZ$6&gt;0,$A297&lt;AZ$6),AND(AZ$7&gt;0,$A297&gt;AZ$7)),0,MAX(0,ROUND((INDEX($E297:$G297,AZ$5)-SUMIFS(TF_Timer,TF_Tekniker,AZ$4,TF_Dato,$A297))*2,0)/2)))</f>
        <v/>
      </c>
      <c r="BA297">
        <f>IF(OR(BA$4="",$A297&gt;TODAY()),0,IF(OR(INDEX($B297:$D297,BA$5)="F",AND(BA$6&gt;0,$A297&lt;BA$6),AND(BA$7&gt;0,$A297&gt;BA$7)),0,MAX(0,ROUND((INDEX($E297:$G297,BA$5)-SUMIFS(TF_Timer,TF_Tekniker,BA$4,TF_Dato,$A297))*2,0)/2)))</f>
        <v/>
      </c>
      <c r="BB297">
        <f>IF(OR(BB$4="",$A297&gt;TODAY()),0,IF(OR(INDEX($B297:$D297,BB$5)="F",AND(BB$6&gt;0,$A297&lt;BB$6),AND(BB$7&gt;0,$A297&gt;BB$7)),0,MAX(0,ROUND((INDEX($E297:$G297,BB$5)-SUMIFS(TF_Timer,TF_Tekniker,BB$4,TF_Dato,$A297))*2,0)/2)))</f>
        <v/>
      </c>
      <c r="BC297">
        <f>IF(OR(BC$4="",$A297&gt;TODAY()),0,IF(OR(INDEX($B297:$D297,BC$5)="F",AND(BC$6&gt;0,$A297&lt;BC$6),AND(BC$7&gt;0,$A297&gt;BC$7)),0,MAX(0,ROUND((INDEX($E297:$G297,BC$5)-SUMIFS(TF_Timer,TF_Tekniker,BC$4,TF_Dato,$A297))*2,0)/2)))</f>
        <v/>
      </c>
      <c r="BD297">
        <f>IF(OR(BD$4="",$A297&gt;TODAY()),0,IF(OR(INDEX($B297:$D297,BD$5)="F",AND(BD$6&gt;0,$A297&lt;BD$6),AND(BD$7&gt;0,$A297&gt;BD$7)),0,MAX(0,ROUND((INDEX($E297:$G297,BD$5)-SUMIFS(TF_Timer,TF_Tekniker,BD$4,TF_Dato,$A297))*2,0)/2)))</f>
        <v/>
      </c>
      <c r="BE297">
        <f>IF(OR(BE$4="",$A297&gt;TODAY()),0,IF(OR(INDEX($B297:$D297,BE$5)="F",AND(BE$6&gt;0,$A297&lt;BE$6),AND(BE$7&gt;0,$A297&gt;BE$7)),0,MAX(0,ROUND((INDEX($E297:$G297,BE$5)-SUMIFS(TF_Timer,TF_Tekniker,BE$4,TF_Dato,$A297))*2,0)/2)))</f>
        <v/>
      </c>
      <c r="BF297">
        <f>IF(OR(BF$4="",$A297&gt;TODAY()),0,IF(OR(INDEX($B297:$D297,BF$5)="F",AND(BF$6&gt;0,$A297&lt;BF$6),AND(BF$7&gt;0,$A297&gt;BF$7)),0,MAX(0,ROUND((INDEX($E297:$G297,BF$5)-SUMIFS(TF_Timer,TF_Tekniker,BF$4,TF_Dato,$A297))*2,0)/2)))</f>
        <v/>
      </c>
      <c r="BG297">
        <f>IF(OR(BG$4="",$A297&gt;TODAY()),0,IF(OR(INDEX($B297:$D297,BG$5)="F",AND(BG$6&gt;0,$A297&lt;BG$6),AND(BG$7&gt;0,$A297&gt;BG$7)),0,MAX(0,ROUND((INDEX($E297:$G297,BG$5)-SUMIFS(TF_Timer,TF_Tekniker,BG$4,TF_Dato,$A297))*2,0)/2)))</f>
        <v/>
      </c>
      <c r="BH297">
        <f>IF(OR(BH$4="",$A297&gt;TODAY()),0,IF(OR(INDEX($B297:$D297,BH$5)="F",AND(BH$6&gt;0,$A297&lt;BH$6),AND(BH$7&gt;0,$A297&gt;BH$7)),0,MAX(0,ROUND((INDEX($E297:$G297,BH$5)-SUMIFS(TF_Timer,TF_Tekniker,BH$4,TF_Dato,$A297))*2,0)/2)))</f>
        <v/>
      </c>
      <c r="BI297">
        <f>IF(OR(BI$4="",$A297&gt;TODAY()),0,IF(OR(INDEX($B297:$D297,BI$5)="F",AND(BI$6&gt;0,$A297&lt;BI$6),AND(BI$7&gt;0,$A297&gt;BI$7)),0,MAX(0,ROUND((INDEX($E297:$G297,BI$5)-SUMIFS(TF_Timer,TF_Tekniker,BI$4,TF_Dato,$A297))*2,0)/2)))</f>
        <v/>
      </c>
    </row>
    <row r="298">
      <c r="A298" s="64">
        <f>A297+1</f>
        <v/>
      </c>
      <c r="B298">
        <f>IF(MOD($A298-INDEX(SkiftStart,1),Syklus)&lt;DagK,"K",IF(MOD($A298-INDEX(SkiftStart,1),Syklus)&lt;DagK+DagH,"H",IF(MOD($A298-INDEX(SkiftStart,1),Syklus)&lt;DagK+DagH+DagD,"D","F")))</f>
        <v/>
      </c>
      <c r="C298">
        <f>IF(MOD($A298-INDEX(SkiftStart,2),Syklus)&lt;DagK,"K",IF(MOD($A298-INDEX(SkiftStart,2),Syklus)&lt;DagK+DagH,"H",IF(MOD($A298-INDEX(SkiftStart,2),Syklus)&lt;DagK+DagH+DagD,"D","F")))</f>
        <v/>
      </c>
      <c r="D298">
        <f>IF(MOD($A298-INDEX(SkiftStart,3),Syklus)&lt;DagK,"K",IF(MOD($A298-INDEX(SkiftStart,3),Syklus)&lt;DagK+DagH,"H",IF(MOD($A298-INDEX(SkiftStart,3),Syklus)&lt;DagK+DagH+DagD,"D","F")))</f>
        <v/>
      </c>
      <c r="E298">
        <f>IF(B298="F",0,IF(WEEKDAY($A298,2)=5,INDEX(TimerFr,MATCH(B298,FaseKode,0)),INDEX(TimerMT,MATCH(B298,FaseKode,0))))</f>
        <v/>
      </c>
      <c r="F298">
        <f>IF(C298="F",0,IF(WEEKDAY($A298,2)=5,INDEX(TimerFr,MATCH(C298,FaseKode,0)),INDEX(TimerMT,MATCH(C298,FaseKode,0))))</f>
        <v/>
      </c>
      <c r="G298">
        <f>IF(D298="F",0,IF(WEEKDAY($A298,2)=5,INDEX(TimerFr,MATCH(D298,FaseKode,0)),INDEX(TimerMT,MATCH(D298,FaseKode,0))))</f>
        <v/>
      </c>
      <c r="H298">
        <f>IF(OR(H$4="",$A298&gt;TODAY()),0,IF(OR(INDEX($B298:$D298,H$5)="F",AND(H$6&gt;0,$A298&lt;H$6),AND(H$7&gt;0,$A298&gt;H$7)),0,MAX(0,ROUND((INDEX($E298:$G298,H$5)-SUMIFS(TF_Timer,TF_Tekniker,H$4,TF_Dato,$A298))*2,0)/2)))</f>
        <v/>
      </c>
      <c r="I298">
        <f>IF(OR(I$4="",$A298&gt;TODAY()),0,IF(OR(INDEX($B298:$D298,I$5)="F",AND(I$6&gt;0,$A298&lt;I$6),AND(I$7&gt;0,$A298&gt;I$7)),0,MAX(0,ROUND((INDEX($E298:$G298,I$5)-SUMIFS(TF_Timer,TF_Tekniker,I$4,TF_Dato,$A298))*2,0)/2)))</f>
        <v/>
      </c>
      <c r="J298">
        <f>IF(OR(J$4="",$A298&gt;TODAY()),0,IF(OR(INDEX($B298:$D298,J$5)="F",AND(J$6&gt;0,$A298&lt;J$6),AND(J$7&gt;0,$A298&gt;J$7)),0,MAX(0,ROUND((INDEX($E298:$G298,J$5)-SUMIFS(TF_Timer,TF_Tekniker,J$4,TF_Dato,$A298))*2,0)/2)))</f>
        <v/>
      </c>
      <c r="K298">
        <f>IF(OR(K$4="",$A298&gt;TODAY()),0,IF(OR(INDEX($B298:$D298,K$5)="F",AND(K$6&gt;0,$A298&lt;K$6),AND(K$7&gt;0,$A298&gt;K$7)),0,MAX(0,ROUND((INDEX($E298:$G298,K$5)-SUMIFS(TF_Timer,TF_Tekniker,K$4,TF_Dato,$A298))*2,0)/2)))</f>
        <v/>
      </c>
      <c r="L298">
        <f>IF(OR(L$4="",$A298&gt;TODAY()),0,IF(OR(INDEX($B298:$D298,L$5)="F",AND(L$6&gt;0,$A298&lt;L$6),AND(L$7&gt;0,$A298&gt;L$7)),0,MAX(0,ROUND((INDEX($E298:$G298,L$5)-SUMIFS(TF_Timer,TF_Tekniker,L$4,TF_Dato,$A298))*2,0)/2)))</f>
        <v/>
      </c>
      <c r="M298">
        <f>IF(OR(M$4="",$A298&gt;TODAY()),0,IF(OR(INDEX($B298:$D298,M$5)="F",AND(M$6&gt;0,$A298&lt;M$6),AND(M$7&gt;0,$A298&gt;M$7)),0,MAX(0,ROUND((INDEX($E298:$G298,M$5)-SUMIFS(TF_Timer,TF_Tekniker,M$4,TF_Dato,$A298))*2,0)/2)))</f>
        <v/>
      </c>
      <c r="N298">
        <f>IF(OR(N$4="",$A298&gt;TODAY()),0,IF(OR(INDEX($B298:$D298,N$5)="F",AND(N$6&gt;0,$A298&lt;N$6),AND(N$7&gt;0,$A298&gt;N$7)),0,MAX(0,ROUND((INDEX($E298:$G298,N$5)-SUMIFS(TF_Timer,TF_Tekniker,N$4,TF_Dato,$A298))*2,0)/2)))</f>
        <v/>
      </c>
      <c r="O298">
        <f>IF(OR(O$4="",$A298&gt;TODAY()),0,IF(OR(INDEX($B298:$D298,O$5)="F",AND(O$6&gt;0,$A298&lt;O$6),AND(O$7&gt;0,$A298&gt;O$7)),0,MAX(0,ROUND((INDEX($E298:$G298,O$5)-SUMIFS(TF_Timer,TF_Tekniker,O$4,TF_Dato,$A298))*2,0)/2)))</f>
        <v/>
      </c>
      <c r="P298">
        <f>IF(OR(P$4="",$A298&gt;TODAY()),0,IF(OR(INDEX($B298:$D298,P$5)="F",AND(P$6&gt;0,$A298&lt;P$6),AND(P$7&gt;0,$A298&gt;P$7)),0,MAX(0,ROUND((INDEX($E298:$G298,P$5)-SUMIFS(TF_Timer,TF_Tekniker,P$4,TF_Dato,$A298))*2,0)/2)))</f>
        <v/>
      </c>
      <c r="Q298">
        <f>IF(OR(Q$4="",$A298&gt;TODAY()),0,IF(OR(INDEX($B298:$D298,Q$5)="F",AND(Q$6&gt;0,$A298&lt;Q$6),AND(Q$7&gt;0,$A298&gt;Q$7)),0,MAX(0,ROUND((INDEX($E298:$G298,Q$5)-SUMIFS(TF_Timer,TF_Tekniker,Q$4,TF_Dato,$A298))*2,0)/2)))</f>
        <v/>
      </c>
      <c r="R298">
        <f>IF(OR(R$4="",$A298&gt;TODAY()),0,IF(OR(INDEX($B298:$D298,R$5)="F",AND(R$6&gt;0,$A298&lt;R$6),AND(R$7&gt;0,$A298&gt;R$7)),0,MAX(0,ROUND((INDEX($E298:$G298,R$5)-SUMIFS(TF_Timer,TF_Tekniker,R$4,TF_Dato,$A298))*2,0)/2)))</f>
        <v/>
      </c>
      <c r="S298">
        <f>IF(OR(S$4="",$A298&gt;TODAY()),0,IF(OR(INDEX($B298:$D298,S$5)="F",AND(S$6&gt;0,$A298&lt;S$6),AND(S$7&gt;0,$A298&gt;S$7)),0,MAX(0,ROUND((INDEX($E298:$G298,S$5)-SUMIFS(TF_Timer,TF_Tekniker,S$4,TF_Dato,$A298))*2,0)/2)))</f>
        <v/>
      </c>
      <c r="T298">
        <f>IF(OR(T$4="",$A298&gt;TODAY()),0,IF(OR(INDEX($B298:$D298,T$5)="F",AND(T$6&gt;0,$A298&lt;T$6),AND(T$7&gt;0,$A298&gt;T$7)),0,MAX(0,ROUND((INDEX($E298:$G298,T$5)-SUMIFS(TF_Timer,TF_Tekniker,T$4,TF_Dato,$A298))*2,0)/2)))</f>
        <v/>
      </c>
      <c r="U298">
        <f>IF(OR(U$4="",$A298&gt;TODAY()),0,IF(OR(INDEX($B298:$D298,U$5)="F",AND(U$6&gt;0,$A298&lt;U$6),AND(U$7&gt;0,$A298&gt;U$7)),0,MAX(0,ROUND((INDEX($E298:$G298,U$5)-SUMIFS(TF_Timer,TF_Tekniker,U$4,TF_Dato,$A298))*2,0)/2)))</f>
        <v/>
      </c>
      <c r="V298">
        <f>IF(OR(V$4="",$A298&gt;TODAY()),0,IF(OR(INDEX($B298:$D298,V$5)="F",AND(V$6&gt;0,$A298&lt;V$6),AND(V$7&gt;0,$A298&gt;V$7)),0,MAX(0,ROUND((INDEX($E298:$G298,V$5)-SUMIFS(TF_Timer,TF_Tekniker,V$4,TF_Dato,$A298))*2,0)/2)))</f>
        <v/>
      </c>
      <c r="W298">
        <f>IF(OR(W$4="",$A298&gt;TODAY()),0,IF(OR(INDEX($B298:$D298,W$5)="F",AND(W$6&gt;0,$A298&lt;W$6),AND(W$7&gt;0,$A298&gt;W$7)),0,MAX(0,ROUND((INDEX($E298:$G298,W$5)-SUMIFS(TF_Timer,TF_Tekniker,W$4,TF_Dato,$A298))*2,0)/2)))</f>
        <v/>
      </c>
      <c r="X298">
        <f>IF(OR(X$4="",$A298&gt;TODAY()),0,IF(OR(INDEX($B298:$D298,X$5)="F",AND(X$6&gt;0,$A298&lt;X$6),AND(X$7&gt;0,$A298&gt;X$7)),0,MAX(0,ROUND((INDEX($E298:$G298,X$5)-SUMIFS(TF_Timer,TF_Tekniker,X$4,TF_Dato,$A298))*2,0)/2)))</f>
        <v/>
      </c>
      <c r="Y298">
        <f>IF(OR(Y$4="",$A298&gt;TODAY()),0,IF(OR(INDEX($B298:$D298,Y$5)="F",AND(Y$6&gt;0,$A298&lt;Y$6),AND(Y$7&gt;0,$A298&gt;Y$7)),0,MAX(0,ROUND((INDEX($E298:$G298,Y$5)-SUMIFS(TF_Timer,TF_Tekniker,Y$4,TF_Dato,$A298))*2,0)/2)))</f>
        <v/>
      </c>
      <c r="Z298">
        <f>IF(OR(Z$4="",$A298&gt;TODAY()),0,IF(OR(INDEX($B298:$D298,Z$5)="F",AND(Z$6&gt;0,$A298&lt;Z$6),AND(Z$7&gt;0,$A298&gt;Z$7)),0,MAX(0,ROUND((INDEX($E298:$G298,Z$5)-SUMIFS(TF_Timer,TF_Tekniker,Z$4,TF_Dato,$A298))*2,0)/2)))</f>
        <v/>
      </c>
      <c r="AA298">
        <f>IF(OR(AA$4="",$A298&gt;TODAY()),0,IF(OR(INDEX($B298:$D298,AA$5)="F",AND(AA$6&gt;0,$A298&lt;AA$6),AND(AA$7&gt;0,$A298&gt;AA$7)),0,MAX(0,ROUND((INDEX($E298:$G298,AA$5)-SUMIFS(TF_Timer,TF_Tekniker,AA$4,TF_Dato,$A298))*2,0)/2)))</f>
        <v/>
      </c>
      <c r="AB298">
        <f>IF(OR(AB$4="",$A298&gt;TODAY()),0,IF(OR(INDEX($B298:$D298,AB$5)="F",AND(AB$6&gt;0,$A298&lt;AB$6),AND(AB$7&gt;0,$A298&gt;AB$7)),0,MAX(0,ROUND((INDEX($E298:$G298,AB$5)-SUMIFS(TF_Timer,TF_Tekniker,AB$4,TF_Dato,$A298))*2,0)/2)))</f>
        <v/>
      </c>
      <c r="AC298">
        <f>IF(OR(AC$4="",$A298&gt;TODAY()),0,IF(OR(INDEX($B298:$D298,AC$5)="F",AND(AC$6&gt;0,$A298&lt;AC$6),AND(AC$7&gt;0,$A298&gt;AC$7)),0,MAX(0,ROUND((INDEX($E298:$G298,AC$5)-SUMIFS(TF_Timer,TF_Tekniker,AC$4,TF_Dato,$A298))*2,0)/2)))</f>
        <v/>
      </c>
      <c r="AD298">
        <f>IF(OR(AD$4="",$A298&gt;TODAY()),0,IF(OR(INDEX($B298:$D298,AD$5)="F",AND(AD$6&gt;0,$A298&lt;AD$6),AND(AD$7&gt;0,$A298&gt;AD$7)),0,MAX(0,ROUND((INDEX($E298:$G298,AD$5)-SUMIFS(TF_Timer,TF_Tekniker,AD$4,TF_Dato,$A298))*2,0)/2)))</f>
        <v/>
      </c>
      <c r="AE298">
        <f>IF(OR(AE$4="",$A298&gt;TODAY()),0,IF(OR(INDEX($B298:$D298,AE$5)="F",AND(AE$6&gt;0,$A298&lt;AE$6),AND(AE$7&gt;0,$A298&gt;AE$7)),0,MAX(0,ROUND((INDEX($E298:$G298,AE$5)-SUMIFS(TF_Timer,TF_Tekniker,AE$4,TF_Dato,$A298))*2,0)/2)))</f>
        <v/>
      </c>
      <c r="AF298">
        <f>IF(OR(AF$4="",$A298&gt;TODAY()),0,IF(OR(INDEX($B298:$D298,AF$5)="F",AND(AF$6&gt;0,$A298&lt;AF$6),AND(AF$7&gt;0,$A298&gt;AF$7)),0,MAX(0,ROUND((INDEX($E298:$G298,AF$5)-SUMIFS(TF_Timer,TF_Tekniker,AF$4,TF_Dato,$A298))*2,0)/2)))</f>
        <v/>
      </c>
      <c r="AG298">
        <f>IF(OR(AG$4="",$A298&gt;TODAY()),0,IF(OR(INDEX($B298:$D298,AG$5)="F",AND(AG$6&gt;0,$A298&lt;AG$6),AND(AG$7&gt;0,$A298&gt;AG$7)),0,MAX(0,ROUND((INDEX($E298:$G298,AG$5)-SUMIFS(TF_Timer,TF_Tekniker,AG$4,TF_Dato,$A298))*2,0)/2)))</f>
        <v/>
      </c>
      <c r="AH298">
        <f>IF(OR(AH$4="",$A298&gt;TODAY()),0,IF(OR(INDEX($B298:$D298,AH$5)="F",AND(AH$6&gt;0,$A298&lt;AH$6),AND(AH$7&gt;0,$A298&gt;AH$7)),0,MAX(0,ROUND((INDEX($E298:$G298,AH$5)-SUMIFS(TF_Timer,TF_Tekniker,AH$4,TF_Dato,$A298))*2,0)/2)))</f>
        <v/>
      </c>
      <c r="AI298">
        <f>IF(OR(AI$4="",$A298&gt;TODAY()),0,IF(OR(INDEX($B298:$D298,AI$5)="F",AND(AI$6&gt;0,$A298&lt;AI$6),AND(AI$7&gt;0,$A298&gt;AI$7)),0,MAX(0,ROUND((INDEX($E298:$G298,AI$5)-SUMIFS(TF_Timer,TF_Tekniker,AI$4,TF_Dato,$A298))*2,0)/2)))</f>
        <v/>
      </c>
      <c r="AJ298">
        <f>IF(OR(AJ$4="",$A298&gt;TODAY()),0,IF(OR(INDEX($B298:$D298,AJ$5)="F",AND(AJ$6&gt;0,$A298&lt;AJ$6),AND(AJ$7&gt;0,$A298&gt;AJ$7)),0,MAX(0,ROUND((INDEX($E298:$G298,AJ$5)-SUMIFS(TF_Timer,TF_Tekniker,AJ$4,TF_Dato,$A298))*2,0)/2)))</f>
        <v/>
      </c>
      <c r="AK298">
        <f>IF(OR(AK$4="",$A298&gt;TODAY()),0,IF(OR(INDEX($B298:$D298,AK$5)="F",AND(AK$6&gt;0,$A298&lt;AK$6),AND(AK$7&gt;0,$A298&gt;AK$7)),0,MAX(0,ROUND((INDEX($E298:$G298,AK$5)-SUMIFS(TF_Timer,TF_Tekniker,AK$4,TF_Dato,$A298))*2,0)/2)))</f>
        <v/>
      </c>
      <c r="AL298">
        <f>IF(OR(AL$4="",$A298&gt;TODAY()),0,IF(OR(INDEX($B298:$D298,AL$5)="F",AND(AL$6&gt;0,$A298&lt;AL$6),AND(AL$7&gt;0,$A298&gt;AL$7)),0,MAX(0,ROUND((INDEX($E298:$G298,AL$5)-SUMIFS(TF_Timer,TF_Tekniker,AL$4,TF_Dato,$A298))*2,0)/2)))</f>
        <v/>
      </c>
      <c r="AM298">
        <f>IF(OR(AM$4="",$A298&gt;TODAY()),0,IF(OR(INDEX($B298:$D298,AM$5)="F",AND(AM$6&gt;0,$A298&lt;AM$6),AND(AM$7&gt;0,$A298&gt;AM$7)),0,MAX(0,ROUND((INDEX($E298:$G298,AM$5)-SUMIFS(TF_Timer,TF_Tekniker,AM$4,TF_Dato,$A298))*2,0)/2)))</f>
        <v/>
      </c>
      <c r="AN298">
        <f>IF(OR(AN$4="",$A298&gt;TODAY()),0,IF(OR(INDEX($B298:$D298,AN$5)="F",AND(AN$6&gt;0,$A298&lt;AN$6),AND(AN$7&gt;0,$A298&gt;AN$7)),0,MAX(0,ROUND((INDEX($E298:$G298,AN$5)-SUMIFS(TF_Timer,TF_Tekniker,AN$4,TF_Dato,$A298))*2,0)/2)))</f>
        <v/>
      </c>
      <c r="AO298">
        <f>IF(OR(AO$4="",$A298&gt;TODAY()),0,IF(OR(INDEX($B298:$D298,AO$5)="F",AND(AO$6&gt;0,$A298&lt;AO$6),AND(AO$7&gt;0,$A298&gt;AO$7)),0,MAX(0,ROUND((INDEX($E298:$G298,AO$5)-SUMIFS(TF_Timer,TF_Tekniker,AO$4,TF_Dato,$A298))*2,0)/2)))</f>
        <v/>
      </c>
      <c r="AP298">
        <f>IF(OR(AP$4="",$A298&gt;TODAY()),0,IF(OR(INDEX($B298:$D298,AP$5)="F",AND(AP$6&gt;0,$A298&lt;AP$6),AND(AP$7&gt;0,$A298&gt;AP$7)),0,MAX(0,ROUND((INDEX($E298:$G298,AP$5)-SUMIFS(TF_Timer,TF_Tekniker,AP$4,TF_Dato,$A298))*2,0)/2)))</f>
        <v/>
      </c>
      <c r="AQ298">
        <f>IF(OR(AQ$4="",$A298&gt;TODAY()),0,IF(OR(INDEX($B298:$D298,AQ$5)="F",AND(AQ$6&gt;0,$A298&lt;AQ$6),AND(AQ$7&gt;0,$A298&gt;AQ$7)),0,MAX(0,ROUND((INDEX($E298:$G298,AQ$5)-SUMIFS(TF_Timer,TF_Tekniker,AQ$4,TF_Dato,$A298))*2,0)/2)))</f>
        <v/>
      </c>
      <c r="AR298">
        <f>IF(OR(AR$4="",$A298&gt;TODAY()),0,IF(OR(INDEX($B298:$D298,AR$5)="F",AND(AR$6&gt;0,$A298&lt;AR$6),AND(AR$7&gt;0,$A298&gt;AR$7)),0,MAX(0,ROUND((INDEX($E298:$G298,AR$5)-SUMIFS(TF_Timer,TF_Tekniker,AR$4,TF_Dato,$A298))*2,0)/2)))</f>
        <v/>
      </c>
      <c r="AS298">
        <f>IF(OR(AS$4="",$A298&gt;TODAY()),0,IF(OR(INDEX($B298:$D298,AS$5)="F",AND(AS$6&gt;0,$A298&lt;AS$6),AND(AS$7&gt;0,$A298&gt;AS$7)),0,MAX(0,ROUND((INDEX($E298:$G298,AS$5)-SUMIFS(TF_Timer,TF_Tekniker,AS$4,TF_Dato,$A298))*2,0)/2)))</f>
        <v/>
      </c>
      <c r="AT298">
        <f>IF(OR(AT$4="",$A298&gt;TODAY()),0,IF(OR(INDEX($B298:$D298,AT$5)="F",AND(AT$6&gt;0,$A298&lt;AT$6),AND(AT$7&gt;0,$A298&gt;AT$7)),0,MAX(0,ROUND((INDEX($E298:$G298,AT$5)-SUMIFS(TF_Timer,TF_Tekniker,AT$4,TF_Dato,$A298))*2,0)/2)))</f>
        <v/>
      </c>
      <c r="AU298">
        <f>IF(OR(AU$4="",$A298&gt;TODAY()),0,IF(OR(INDEX($B298:$D298,AU$5)="F",AND(AU$6&gt;0,$A298&lt;AU$6),AND(AU$7&gt;0,$A298&gt;AU$7)),0,MAX(0,ROUND((INDEX($E298:$G298,AU$5)-SUMIFS(TF_Timer,TF_Tekniker,AU$4,TF_Dato,$A298))*2,0)/2)))</f>
        <v/>
      </c>
      <c r="AV298">
        <f>IF(OR(AV$4="",$A298&gt;TODAY()),0,IF(OR(INDEX($B298:$D298,AV$5)="F",AND(AV$6&gt;0,$A298&lt;AV$6),AND(AV$7&gt;0,$A298&gt;AV$7)),0,MAX(0,ROUND((INDEX($E298:$G298,AV$5)-SUMIFS(TF_Timer,TF_Tekniker,AV$4,TF_Dato,$A298))*2,0)/2)))</f>
        <v/>
      </c>
      <c r="AW298">
        <f>IF(OR(AW$4="",$A298&gt;TODAY()),0,IF(OR(INDEX($B298:$D298,AW$5)="F",AND(AW$6&gt;0,$A298&lt;AW$6),AND(AW$7&gt;0,$A298&gt;AW$7)),0,MAX(0,ROUND((INDEX($E298:$G298,AW$5)-SUMIFS(TF_Timer,TF_Tekniker,AW$4,TF_Dato,$A298))*2,0)/2)))</f>
        <v/>
      </c>
      <c r="AX298">
        <f>IF(OR(AX$4="",$A298&gt;TODAY()),0,IF(OR(INDEX($B298:$D298,AX$5)="F",AND(AX$6&gt;0,$A298&lt;AX$6),AND(AX$7&gt;0,$A298&gt;AX$7)),0,MAX(0,ROUND((INDEX($E298:$G298,AX$5)-SUMIFS(TF_Timer,TF_Tekniker,AX$4,TF_Dato,$A298))*2,0)/2)))</f>
        <v/>
      </c>
      <c r="AY298">
        <f>IF(OR(AY$4="",$A298&gt;TODAY()),0,IF(OR(INDEX($B298:$D298,AY$5)="F",AND(AY$6&gt;0,$A298&lt;AY$6),AND(AY$7&gt;0,$A298&gt;AY$7)),0,MAX(0,ROUND((INDEX($E298:$G298,AY$5)-SUMIFS(TF_Timer,TF_Tekniker,AY$4,TF_Dato,$A298))*2,0)/2)))</f>
        <v/>
      </c>
      <c r="AZ298">
        <f>IF(OR(AZ$4="",$A298&gt;TODAY()),0,IF(OR(INDEX($B298:$D298,AZ$5)="F",AND(AZ$6&gt;0,$A298&lt;AZ$6),AND(AZ$7&gt;0,$A298&gt;AZ$7)),0,MAX(0,ROUND((INDEX($E298:$G298,AZ$5)-SUMIFS(TF_Timer,TF_Tekniker,AZ$4,TF_Dato,$A298))*2,0)/2)))</f>
        <v/>
      </c>
      <c r="BA298">
        <f>IF(OR(BA$4="",$A298&gt;TODAY()),0,IF(OR(INDEX($B298:$D298,BA$5)="F",AND(BA$6&gt;0,$A298&lt;BA$6),AND(BA$7&gt;0,$A298&gt;BA$7)),0,MAX(0,ROUND((INDEX($E298:$G298,BA$5)-SUMIFS(TF_Timer,TF_Tekniker,BA$4,TF_Dato,$A298))*2,0)/2)))</f>
        <v/>
      </c>
      <c r="BB298">
        <f>IF(OR(BB$4="",$A298&gt;TODAY()),0,IF(OR(INDEX($B298:$D298,BB$5)="F",AND(BB$6&gt;0,$A298&lt;BB$6),AND(BB$7&gt;0,$A298&gt;BB$7)),0,MAX(0,ROUND((INDEX($E298:$G298,BB$5)-SUMIFS(TF_Timer,TF_Tekniker,BB$4,TF_Dato,$A298))*2,0)/2)))</f>
        <v/>
      </c>
      <c r="BC298">
        <f>IF(OR(BC$4="",$A298&gt;TODAY()),0,IF(OR(INDEX($B298:$D298,BC$5)="F",AND(BC$6&gt;0,$A298&lt;BC$6),AND(BC$7&gt;0,$A298&gt;BC$7)),0,MAX(0,ROUND((INDEX($E298:$G298,BC$5)-SUMIFS(TF_Timer,TF_Tekniker,BC$4,TF_Dato,$A298))*2,0)/2)))</f>
        <v/>
      </c>
      <c r="BD298">
        <f>IF(OR(BD$4="",$A298&gt;TODAY()),0,IF(OR(INDEX($B298:$D298,BD$5)="F",AND(BD$6&gt;0,$A298&lt;BD$6),AND(BD$7&gt;0,$A298&gt;BD$7)),0,MAX(0,ROUND((INDEX($E298:$G298,BD$5)-SUMIFS(TF_Timer,TF_Tekniker,BD$4,TF_Dato,$A298))*2,0)/2)))</f>
        <v/>
      </c>
      <c r="BE298">
        <f>IF(OR(BE$4="",$A298&gt;TODAY()),0,IF(OR(INDEX($B298:$D298,BE$5)="F",AND(BE$6&gt;0,$A298&lt;BE$6),AND(BE$7&gt;0,$A298&gt;BE$7)),0,MAX(0,ROUND((INDEX($E298:$G298,BE$5)-SUMIFS(TF_Timer,TF_Tekniker,BE$4,TF_Dato,$A298))*2,0)/2)))</f>
        <v/>
      </c>
      <c r="BF298">
        <f>IF(OR(BF$4="",$A298&gt;TODAY()),0,IF(OR(INDEX($B298:$D298,BF$5)="F",AND(BF$6&gt;0,$A298&lt;BF$6),AND(BF$7&gt;0,$A298&gt;BF$7)),0,MAX(0,ROUND((INDEX($E298:$G298,BF$5)-SUMIFS(TF_Timer,TF_Tekniker,BF$4,TF_Dato,$A298))*2,0)/2)))</f>
        <v/>
      </c>
      <c r="BG298">
        <f>IF(OR(BG$4="",$A298&gt;TODAY()),0,IF(OR(INDEX($B298:$D298,BG$5)="F",AND(BG$6&gt;0,$A298&lt;BG$6),AND(BG$7&gt;0,$A298&gt;BG$7)),0,MAX(0,ROUND((INDEX($E298:$G298,BG$5)-SUMIFS(TF_Timer,TF_Tekniker,BG$4,TF_Dato,$A298))*2,0)/2)))</f>
        <v/>
      </c>
      <c r="BH298">
        <f>IF(OR(BH$4="",$A298&gt;TODAY()),0,IF(OR(INDEX($B298:$D298,BH$5)="F",AND(BH$6&gt;0,$A298&lt;BH$6),AND(BH$7&gt;0,$A298&gt;BH$7)),0,MAX(0,ROUND((INDEX($E298:$G298,BH$5)-SUMIFS(TF_Timer,TF_Tekniker,BH$4,TF_Dato,$A298))*2,0)/2)))</f>
        <v/>
      </c>
      <c r="BI298">
        <f>IF(OR(BI$4="",$A298&gt;TODAY()),0,IF(OR(INDEX($B298:$D298,BI$5)="F",AND(BI$6&gt;0,$A298&lt;BI$6),AND(BI$7&gt;0,$A298&gt;BI$7)),0,MAX(0,ROUND((INDEX($E298:$G298,BI$5)-SUMIFS(TF_Timer,TF_Tekniker,BI$4,TF_Dato,$A298))*2,0)/2)))</f>
        <v/>
      </c>
    </row>
    <row r="299">
      <c r="A299" s="64">
        <f>A298+1</f>
        <v/>
      </c>
      <c r="B299">
        <f>IF(MOD($A299-INDEX(SkiftStart,1),Syklus)&lt;DagK,"K",IF(MOD($A299-INDEX(SkiftStart,1),Syklus)&lt;DagK+DagH,"H",IF(MOD($A299-INDEX(SkiftStart,1),Syklus)&lt;DagK+DagH+DagD,"D","F")))</f>
        <v/>
      </c>
      <c r="C299">
        <f>IF(MOD($A299-INDEX(SkiftStart,2),Syklus)&lt;DagK,"K",IF(MOD($A299-INDEX(SkiftStart,2),Syklus)&lt;DagK+DagH,"H",IF(MOD($A299-INDEX(SkiftStart,2),Syklus)&lt;DagK+DagH+DagD,"D","F")))</f>
        <v/>
      </c>
      <c r="D299">
        <f>IF(MOD($A299-INDEX(SkiftStart,3),Syklus)&lt;DagK,"K",IF(MOD($A299-INDEX(SkiftStart,3),Syklus)&lt;DagK+DagH,"H",IF(MOD($A299-INDEX(SkiftStart,3),Syklus)&lt;DagK+DagH+DagD,"D","F")))</f>
        <v/>
      </c>
      <c r="E299">
        <f>IF(B299="F",0,IF(WEEKDAY($A299,2)=5,INDEX(TimerFr,MATCH(B299,FaseKode,0)),INDEX(TimerMT,MATCH(B299,FaseKode,0))))</f>
        <v/>
      </c>
      <c r="F299">
        <f>IF(C299="F",0,IF(WEEKDAY($A299,2)=5,INDEX(TimerFr,MATCH(C299,FaseKode,0)),INDEX(TimerMT,MATCH(C299,FaseKode,0))))</f>
        <v/>
      </c>
      <c r="G299">
        <f>IF(D299="F",0,IF(WEEKDAY($A299,2)=5,INDEX(TimerFr,MATCH(D299,FaseKode,0)),INDEX(TimerMT,MATCH(D299,FaseKode,0))))</f>
        <v/>
      </c>
      <c r="H299">
        <f>IF(OR(H$4="",$A299&gt;TODAY()),0,IF(OR(INDEX($B299:$D299,H$5)="F",AND(H$6&gt;0,$A299&lt;H$6),AND(H$7&gt;0,$A299&gt;H$7)),0,MAX(0,ROUND((INDEX($E299:$G299,H$5)-SUMIFS(TF_Timer,TF_Tekniker,H$4,TF_Dato,$A299))*2,0)/2)))</f>
        <v/>
      </c>
      <c r="I299">
        <f>IF(OR(I$4="",$A299&gt;TODAY()),0,IF(OR(INDEX($B299:$D299,I$5)="F",AND(I$6&gt;0,$A299&lt;I$6),AND(I$7&gt;0,$A299&gt;I$7)),0,MAX(0,ROUND((INDEX($E299:$G299,I$5)-SUMIFS(TF_Timer,TF_Tekniker,I$4,TF_Dato,$A299))*2,0)/2)))</f>
        <v/>
      </c>
      <c r="J299">
        <f>IF(OR(J$4="",$A299&gt;TODAY()),0,IF(OR(INDEX($B299:$D299,J$5)="F",AND(J$6&gt;0,$A299&lt;J$6),AND(J$7&gt;0,$A299&gt;J$7)),0,MAX(0,ROUND((INDEX($E299:$G299,J$5)-SUMIFS(TF_Timer,TF_Tekniker,J$4,TF_Dato,$A299))*2,0)/2)))</f>
        <v/>
      </c>
      <c r="K299">
        <f>IF(OR(K$4="",$A299&gt;TODAY()),0,IF(OR(INDEX($B299:$D299,K$5)="F",AND(K$6&gt;0,$A299&lt;K$6),AND(K$7&gt;0,$A299&gt;K$7)),0,MAX(0,ROUND((INDEX($E299:$G299,K$5)-SUMIFS(TF_Timer,TF_Tekniker,K$4,TF_Dato,$A299))*2,0)/2)))</f>
        <v/>
      </c>
      <c r="L299">
        <f>IF(OR(L$4="",$A299&gt;TODAY()),0,IF(OR(INDEX($B299:$D299,L$5)="F",AND(L$6&gt;0,$A299&lt;L$6),AND(L$7&gt;0,$A299&gt;L$7)),0,MAX(0,ROUND((INDEX($E299:$G299,L$5)-SUMIFS(TF_Timer,TF_Tekniker,L$4,TF_Dato,$A299))*2,0)/2)))</f>
        <v/>
      </c>
      <c r="M299">
        <f>IF(OR(M$4="",$A299&gt;TODAY()),0,IF(OR(INDEX($B299:$D299,M$5)="F",AND(M$6&gt;0,$A299&lt;M$6),AND(M$7&gt;0,$A299&gt;M$7)),0,MAX(0,ROUND((INDEX($E299:$G299,M$5)-SUMIFS(TF_Timer,TF_Tekniker,M$4,TF_Dato,$A299))*2,0)/2)))</f>
        <v/>
      </c>
      <c r="N299">
        <f>IF(OR(N$4="",$A299&gt;TODAY()),0,IF(OR(INDEX($B299:$D299,N$5)="F",AND(N$6&gt;0,$A299&lt;N$6),AND(N$7&gt;0,$A299&gt;N$7)),0,MAX(0,ROUND((INDEX($E299:$G299,N$5)-SUMIFS(TF_Timer,TF_Tekniker,N$4,TF_Dato,$A299))*2,0)/2)))</f>
        <v/>
      </c>
      <c r="O299">
        <f>IF(OR(O$4="",$A299&gt;TODAY()),0,IF(OR(INDEX($B299:$D299,O$5)="F",AND(O$6&gt;0,$A299&lt;O$6),AND(O$7&gt;0,$A299&gt;O$7)),0,MAX(0,ROUND((INDEX($E299:$G299,O$5)-SUMIFS(TF_Timer,TF_Tekniker,O$4,TF_Dato,$A299))*2,0)/2)))</f>
        <v/>
      </c>
      <c r="P299">
        <f>IF(OR(P$4="",$A299&gt;TODAY()),0,IF(OR(INDEX($B299:$D299,P$5)="F",AND(P$6&gt;0,$A299&lt;P$6),AND(P$7&gt;0,$A299&gt;P$7)),0,MAX(0,ROUND((INDEX($E299:$G299,P$5)-SUMIFS(TF_Timer,TF_Tekniker,P$4,TF_Dato,$A299))*2,0)/2)))</f>
        <v/>
      </c>
      <c r="Q299">
        <f>IF(OR(Q$4="",$A299&gt;TODAY()),0,IF(OR(INDEX($B299:$D299,Q$5)="F",AND(Q$6&gt;0,$A299&lt;Q$6),AND(Q$7&gt;0,$A299&gt;Q$7)),0,MAX(0,ROUND((INDEX($E299:$G299,Q$5)-SUMIFS(TF_Timer,TF_Tekniker,Q$4,TF_Dato,$A299))*2,0)/2)))</f>
        <v/>
      </c>
      <c r="R299">
        <f>IF(OR(R$4="",$A299&gt;TODAY()),0,IF(OR(INDEX($B299:$D299,R$5)="F",AND(R$6&gt;0,$A299&lt;R$6),AND(R$7&gt;0,$A299&gt;R$7)),0,MAX(0,ROUND((INDEX($E299:$G299,R$5)-SUMIFS(TF_Timer,TF_Tekniker,R$4,TF_Dato,$A299))*2,0)/2)))</f>
        <v/>
      </c>
      <c r="S299">
        <f>IF(OR(S$4="",$A299&gt;TODAY()),0,IF(OR(INDEX($B299:$D299,S$5)="F",AND(S$6&gt;0,$A299&lt;S$6),AND(S$7&gt;0,$A299&gt;S$7)),0,MAX(0,ROUND((INDEX($E299:$G299,S$5)-SUMIFS(TF_Timer,TF_Tekniker,S$4,TF_Dato,$A299))*2,0)/2)))</f>
        <v/>
      </c>
      <c r="T299">
        <f>IF(OR(T$4="",$A299&gt;TODAY()),0,IF(OR(INDEX($B299:$D299,T$5)="F",AND(T$6&gt;0,$A299&lt;T$6),AND(T$7&gt;0,$A299&gt;T$7)),0,MAX(0,ROUND((INDEX($E299:$G299,T$5)-SUMIFS(TF_Timer,TF_Tekniker,T$4,TF_Dato,$A299))*2,0)/2)))</f>
        <v/>
      </c>
      <c r="U299">
        <f>IF(OR(U$4="",$A299&gt;TODAY()),0,IF(OR(INDEX($B299:$D299,U$5)="F",AND(U$6&gt;0,$A299&lt;U$6),AND(U$7&gt;0,$A299&gt;U$7)),0,MAX(0,ROUND((INDEX($E299:$G299,U$5)-SUMIFS(TF_Timer,TF_Tekniker,U$4,TF_Dato,$A299))*2,0)/2)))</f>
        <v/>
      </c>
      <c r="V299">
        <f>IF(OR(V$4="",$A299&gt;TODAY()),0,IF(OR(INDEX($B299:$D299,V$5)="F",AND(V$6&gt;0,$A299&lt;V$6),AND(V$7&gt;0,$A299&gt;V$7)),0,MAX(0,ROUND((INDEX($E299:$G299,V$5)-SUMIFS(TF_Timer,TF_Tekniker,V$4,TF_Dato,$A299))*2,0)/2)))</f>
        <v/>
      </c>
      <c r="W299">
        <f>IF(OR(W$4="",$A299&gt;TODAY()),0,IF(OR(INDEX($B299:$D299,W$5)="F",AND(W$6&gt;0,$A299&lt;W$6),AND(W$7&gt;0,$A299&gt;W$7)),0,MAX(0,ROUND((INDEX($E299:$G299,W$5)-SUMIFS(TF_Timer,TF_Tekniker,W$4,TF_Dato,$A299))*2,0)/2)))</f>
        <v/>
      </c>
      <c r="X299">
        <f>IF(OR(X$4="",$A299&gt;TODAY()),0,IF(OR(INDEX($B299:$D299,X$5)="F",AND(X$6&gt;0,$A299&lt;X$6),AND(X$7&gt;0,$A299&gt;X$7)),0,MAX(0,ROUND((INDEX($E299:$G299,X$5)-SUMIFS(TF_Timer,TF_Tekniker,X$4,TF_Dato,$A299))*2,0)/2)))</f>
        <v/>
      </c>
      <c r="Y299">
        <f>IF(OR(Y$4="",$A299&gt;TODAY()),0,IF(OR(INDEX($B299:$D299,Y$5)="F",AND(Y$6&gt;0,$A299&lt;Y$6),AND(Y$7&gt;0,$A299&gt;Y$7)),0,MAX(0,ROUND((INDEX($E299:$G299,Y$5)-SUMIFS(TF_Timer,TF_Tekniker,Y$4,TF_Dato,$A299))*2,0)/2)))</f>
        <v/>
      </c>
      <c r="Z299">
        <f>IF(OR(Z$4="",$A299&gt;TODAY()),0,IF(OR(INDEX($B299:$D299,Z$5)="F",AND(Z$6&gt;0,$A299&lt;Z$6),AND(Z$7&gt;0,$A299&gt;Z$7)),0,MAX(0,ROUND((INDEX($E299:$G299,Z$5)-SUMIFS(TF_Timer,TF_Tekniker,Z$4,TF_Dato,$A299))*2,0)/2)))</f>
        <v/>
      </c>
      <c r="AA299">
        <f>IF(OR(AA$4="",$A299&gt;TODAY()),0,IF(OR(INDEX($B299:$D299,AA$5)="F",AND(AA$6&gt;0,$A299&lt;AA$6),AND(AA$7&gt;0,$A299&gt;AA$7)),0,MAX(0,ROUND((INDEX($E299:$G299,AA$5)-SUMIFS(TF_Timer,TF_Tekniker,AA$4,TF_Dato,$A299))*2,0)/2)))</f>
        <v/>
      </c>
      <c r="AB299">
        <f>IF(OR(AB$4="",$A299&gt;TODAY()),0,IF(OR(INDEX($B299:$D299,AB$5)="F",AND(AB$6&gt;0,$A299&lt;AB$6),AND(AB$7&gt;0,$A299&gt;AB$7)),0,MAX(0,ROUND((INDEX($E299:$G299,AB$5)-SUMIFS(TF_Timer,TF_Tekniker,AB$4,TF_Dato,$A299))*2,0)/2)))</f>
        <v/>
      </c>
      <c r="AC299">
        <f>IF(OR(AC$4="",$A299&gt;TODAY()),0,IF(OR(INDEX($B299:$D299,AC$5)="F",AND(AC$6&gt;0,$A299&lt;AC$6),AND(AC$7&gt;0,$A299&gt;AC$7)),0,MAX(0,ROUND((INDEX($E299:$G299,AC$5)-SUMIFS(TF_Timer,TF_Tekniker,AC$4,TF_Dato,$A299))*2,0)/2)))</f>
        <v/>
      </c>
      <c r="AD299">
        <f>IF(OR(AD$4="",$A299&gt;TODAY()),0,IF(OR(INDEX($B299:$D299,AD$5)="F",AND(AD$6&gt;0,$A299&lt;AD$6),AND(AD$7&gt;0,$A299&gt;AD$7)),0,MAX(0,ROUND((INDEX($E299:$G299,AD$5)-SUMIFS(TF_Timer,TF_Tekniker,AD$4,TF_Dato,$A299))*2,0)/2)))</f>
        <v/>
      </c>
      <c r="AE299">
        <f>IF(OR(AE$4="",$A299&gt;TODAY()),0,IF(OR(INDEX($B299:$D299,AE$5)="F",AND(AE$6&gt;0,$A299&lt;AE$6),AND(AE$7&gt;0,$A299&gt;AE$7)),0,MAX(0,ROUND((INDEX($E299:$G299,AE$5)-SUMIFS(TF_Timer,TF_Tekniker,AE$4,TF_Dato,$A299))*2,0)/2)))</f>
        <v/>
      </c>
      <c r="AF299">
        <f>IF(OR(AF$4="",$A299&gt;TODAY()),0,IF(OR(INDEX($B299:$D299,AF$5)="F",AND(AF$6&gt;0,$A299&lt;AF$6),AND(AF$7&gt;0,$A299&gt;AF$7)),0,MAX(0,ROUND((INDEX($E299:$G299,AF$5)-SUMIFS(TF_Timer,TF_Tekniker,AF$4,TF_Dato,$A299))*2,0)/2)))</f>
        <v/>
      </c>
      <c r="AG299">
        <f>IF(OR(AG$4="",$A299&gt;TODAY()),0,IF(OR(INDEX($B299:$D299,AG$5)="F",AND(AG$6&gt;0,$A299&lt;AG$6),AND(AG$7&gt;0,$A299&gt;AG$7)),0,MAX(0,ROUND((INDEX($E299:$G299,AG$5)-SUMIFS(TF_Timer,TF_Tekniker,AG$4,TF_Dato,$A299))*2,0)/2)))</f>
        <v/>
      </c>
      <c r="AH299">
        <f>IF(OR(AH$4="",$A299&gt;TODAY()),0,IF(OR(INDEX($B299:$D299,AH$5)="F",AND(AH$6&gt;0,$A299&lt;AH$6),AND(AH$7&gt;0,$A299&gt;AH$7)),0,MAX(0,ROUND((INDEX($E299:$G299,AH$5)-SUMIFS(TF_Timer,TF_Tekniker,AH$4,TF_Dato,$A299))*2,0)/2)))</f>
        <v/>
      </c>
      <c r="AI299">
        <f>IF(OR(AI$4="",$A299&gt;TODAY()),0,IF(OR(INDEX($B299:$D299,AI$5)="F",AND(AI$6&gt;0,$A299&lt;AI$6),AND(AI$7&gt;0,$A299&gt;AI$7)),0,MAX(0,ROUND((INDEX($E299:$G299,AI$5)-SUMIFS(TF_Timer,TF_Tekniker,AI$4,TF_Dato,$A299))*2,0)/2)))</f>
        <v/>
      </c>
      <c r="AJ299">
        <f>IF(OR(AJ$4="",$A299&gt;TODAY()),0,IF(OR(INDEX($B299:$D299,AJ$5)="F",AND(AJ$6&gt;0,$A299&lt;AJ$6),AND(AJ$7&gt;0,$A299&gt;AJ$7)),0,MAX(0,ROUND((INDEX($E299:$G299,AJ$5)-SUMIFS(TF_Timer,TF_Tekniker,AJ$4,TF_Dato,$A299))*2,0)/2)))</f>
        <v/>
      </c>
      <c r="AK299">
        <f>IF(OR(AK$4="",$A299&gt;TODAY()),0,IF(OR(INDEX($B299:$D299,AK$5)="F",AND(AK$6&gt;0,$A299&lt;AK$6),AND(AK$7&gt;0,$A299&gt;AK$7)),0,MAX(0,ROUND((INDEX($E299:$G299,AK$5)-SUMIFS(TF_Timer,TF_Tekniker,AK$4,TF_Dato,$A299))*2,0)/2)))</f>
        <v/>
      </c>
      <c r="AL299">
        <f>IF(OR(AL$4="",$A299&gt;TODAY()),0,IF(OR(INDEX($B299:$D299,AL$5)="F",AND(AL$6&gt;0,$A299&lt;AL$6),AND(AL$7&gt;0,$A299&gt;AL$7)),0,MAX(0,ROUND((INDEX($E299:$G299,AL$5)-SUMIFS(TF_Timer,TF_Tekniker,AL$4,TF_Dato,$A299))*2,0)/2)))</f>
        <v/>
      </c>
      <c r="AM299">
        <f>IF(OR(AM$4="",$A299&gt;TODAY()),0,IF(OR(INDEX($B299:$D299,AM$5)="F",AND(AM$6&gt;0,$A299&lt;AM$6),AND(AM$7&gt;0,$A299&gt;AM$7)),0,MAX(0,ROUND((INDEX($E299:$G299,AM$5)-SUMIFS(TF_Timer,TF_Tekniker,AM$4,TF_Dato,$A299))*2,0)/2)))</f>
        <v/>
      </c>
      <c r="AN299">
        <f>IF(OR(AN$4="",$A299&gt;TODAY()),0,IF(OR(INDEX($B299:$D299,AN$5)="F",AND(AN$6&gt;0,$A299&lt;AN$6),AND(AN$7&gt;0,$A299&gt;AN$7)),0,MAX(0,ROUND((INDEX($E299:$G299,AN$5)-SUMIFS(TF_Timer,TF_Tekniker,AN$4,TF_Dato,$A299))*2,0)/2)))</f>
        <v/>
      </c>
      <c r="AO299">
        <f>IF(OR(AO$4="",$A299&gt;TODAY()),0,IF(OR(INDEX($B299:$D299,AO$5)="F",AND(AO$6&gt;0,$A299&lt;AO$6),AND(AO$7&gt;0,$A299&gt;AO$7)),0,MAX(0,ROUND((INDEX($E299:$G299,AO$5)-SUMIFS(TF_Timer,TF_Tekniker,AO$4,TF_Dato,$A299))*2,0)/2)))</f>
        <v/>
      </c>
      <c r="AP299">
        <f>IF(OR(AP$4="",$A299&gt;TODAY()),0,IF(OR(INDEX($B299:$D299,AP$5)="F",AND(AP$6&gt;0,$A299&lt;AP$6),AND(AP$7&gt;0,$A299&gt;AP$7)),0,MAX(0,ROUND((INDEX($E299:$G299,AP$5)-SUMIFS(TF_Timer,TF_Tekniker,AP$4,TF_Dato,$A299))*2,0)/2)))</f>
        <v/>
      </c>
      <c r="AQ299">
        <f>IF(OR(AQ$4="",$A299&gt;TODAY()),0,IF(OR(INDEX($B299:$D299,AQ$5)="F",AND(AQ$6&gt;0,$A299&lt;AQ$6),AND(AQ$7&gt;0,$A299&gt;AQ$7)),0,MAX(0,ROUND((INDEX($E299:$G299,AQ$5)-SUMIFS(TF_Timer,TF_Tekniker,AQ$4,TF_Dato,$A299))*2,0)/2)))</f>
        <v/>
      </c>
      <c r="AR299">
        <f>IF(OR(AR$4="",$A299&gt;TODAY()),0,IF(OR(INDEX($B299:$D299,AR$5)="F",AND(AR$6&gt;0,$A299&lt;AR$6),AND(AR$7&gt;0,$A299&gt;AR$7)),0,MAX(0,ROUND((INDEX($E299:$G299,AR$5)-SUMIFS(TF_Timer,TF_Tekniker,AR$4,TF_Dato,$A299))*2,0)/2)))</f>
        <v/>
      </c>
      <c r="AS299">
        <f>IF(OR(AS$4="",$A299&gt;TODAY()),0,IF(OR(INDEX($B299:$D299,AS$5)="F",AND(AS$6&gt;0,$A299&lt;AS$6),AND(AS$7&gt;0,$A299&gt;AS$7)),0,MAX(0,ROUND((INDEX($E299:$G299,AS$5)-SUMIFS(TF_Timer,TF_Tekniker,AS$4,TF_Dato,$A299))*2,0)/2)))</f>
        <v/>
      </c>
      <c r="AT299">
        <f>IF(OR(AT$4="",$A299&gt;TODAY()),0,IF(OR(INDEX($B299:$D299,AT$5)="F",AND(AT$6&gt;0,$A299&lt;AT$6),AND(AT$7&gt;0,$A299&gt;AT$7)),0,MAX(0,ROUND((INDEX($E299:$G299,AT$5)-SUMIFS(TF_Timer,TF_Tekniker,AT$4,TF_Dato,$A299))*2,0)/2)))</f>
        <v/>
      </c>
      <c r="AU299">
        <f>IF(OR(AU$4="",$A299&gt;TODAY()),0,IF(OR(INDEX($B299:$D299,AU$5)="F",AND(AU$6&gt;0,$A299&lt;AU$6),AND(AU$7&gt;0,$A299&gt;AU$7)),0,MAX(0,ROUND((INDEX($E299:$G299,AU$5)-SUMIFS(TF_Timer,TF_Tekniker,AU$4,TF_Dato,$A299))*2,0)/2)))</f>
        <v/>
      </c>
      <c r="AV299">
        <f>IF(OR(AV$4="",$A299&gt;TODAY()),0,IF(OR(INDEX($B299:$D299,AV$5)="F",AND(AV$6&gt;0,$A299&lt;AV$6),AND(AV$7&gt;0,$A299&gt;AV$7)),0,MAX(0,ROUND((INDEX($E299:$G299,AV$5)-SUMIFS(TF_Timer,TF_Tekniker,AV$4,TF_Dato,$A299))*2,0)/2)))</f>
        <v/>
      </c>
      <c r="AW299">
        <f>IF(OR(AW$4="",$A299&gt;TODAY()),0,IF(OR(INDEX($B299:$D299,AW$5)="F",AND(AW$6&gt;0,$A299&lt;AW$6),AND(AW$7&gt;0,$A299&gt;AW$7)),0,MAX(0,ROUND((INDEX($E299:$G299,AW$5)-SUMIFS(TF_Timer,TF_Tekniker,AW$4,TF_Dato,$A299))*2,0)/2)))</f>
        <v/>
      </c>
      <c r="AX299">
        <f>IF(OR(AX$4="",$A299&gt;TODAY()),0,IF(OR(INDEX($B299:$D299,AX$5)="F",AND(AX$6&gt;0,$A299&lt;AX$6),AND(AX$7&gt;0,$A299&gt;AX$7)),0,MAX(0,ROUND((INDEX($E299:$G299,AX$5)-SUMIFS(TF_Timer,TF_Tekniker,AX$4,TF_Dato,$A299))*2,0)/2)))</f>
        <v/>
      </c>
      <c r="AY299">
        <f>IF(OR(AY$4="",$A299&gt;TODAY()),0,IF(OR(INDEX($B299:$D299,AY$5)="F",AND(AY$6&gt;0,$A299&lt;AY$6),AND(AY$7&gt;0,$A299&gt;AY$7)),0,MAX(0,ROUND((INDEX($E299:$G299,AY$5)-SUMIFS(TF_Timer,TF_Tekniker,AY$4,TF_Dato,$A299))*2,0)/2)))</f>
        <v/>
      </c>
      <c r="AZ299">
        <f>IF(OR(AZ$4="",$A299&gt;TODAY()),0,IF(OR(INDEX($B299:$D299,AZ$5)="F",AND(AZ$6&gt;0,$A299&lt;AZ$6),AND(AZ$7&gt;0,$A299&gt;AZ$7)),0,MAX(0,ROUND((INDEX($E299:$G299,AZ$5)-SUMIFS(TF_Timer,TF_Tekniker,AZ$4,TF_Dato,$A299))*2,0)/2)))</f>
        <v/>
      </c>
      <c r="BA299">
        <f>IF(OR(BA$4="",$A299&gt;TODAY()),0,IF(OR(INDEX($B299:$D299,BA$5)="F",AND(BA$6&gt;0,$A299&lt;BA$6),AND(BA$7&gt;0,$A299&gt;BA$7)),0,MAX(0,ROUND((INDEX($E299:$G299,BA$5)-SUMIFS(TF_Timer,TF_Tekniker,BA$4,TF_Dato,$A299))*2,0)/2)))</f>
        <v/>
      </c>
      <c r="BB299">
        <f>IF(OR(BB$4="",$A299&gt;TODAY()),0,IF(OR(INDEX($B299:$D299,BB$5)="F",AND(BB$6&gt;0,$A299&lt;BB$6),AND(BB$7&gt;0,$A299&gt;BB$7)),0,MAX(0,ROUND((INDEX($E299:$G299,BB$5)-SUMIFS(TF_Timer,TF_Tekniker,BB$4,TF_Dato,$A299))*2,0)/2)))</f>
        <v/>
      </c>
      <c r="BC299">
        <f>IF(OR(BC$4="",$A299&gt;TODAY()),0,IF(OR(INDEX($B299:$D299,BC$5)="F",AND(BC$6&gt;0,$A299&lt;BC$6),AND(BC$7&gt;0,$A299&gt;BC$7)),0,MAX(0,ROUND((INDEX($E299:$G299,BC$5)-SUMIFS(TF_Timer,TF_Tekniker,BC$4,TF_Dato,$A299))*2,0)/2)))</f>
        <v/>
      </c>
      <c r="BD299">
        <f>IF(OR(BD$4="",$A299&gt;TODAY()),0,IF(OR(INDEX($B299:$D299,BD$5)="F",AND(BD$6&gt;0,$A299&lt;BD$6),AND(BD$7&gt;0,$A299&gt;BD$7)),0,MAX(0,ROUND((INDEX($E299:$G299,BD$5)-SUMIFS(TF_Timer,TF_Tekniker,BD$4,TF_Dato,$A299))*2,0)/2)))</f>
        <v/>
      </c>
      <c r="BE299">
        <f>IF(OR(BE$4="",$A299&gt;TODAY()),0,IF(OR(INDEX($B299:$D299,BE$5)="F",AND(BE$6&gt;0,$A299&lt;BE$6),AND(BE$7&gt;0,$A299&gt;BE$7)),0,MAX(0,ROUND((INDEX($E299:$G299,BE$5)-SUMIFS(TF_Timer,TF_Tekniker,BE$4,TF_Dato,$A299))*2,0)/2)))</f>
        <v/>
      </c>
      <c r="BF299">
        <f>IF(OR(BF$4="",$A299&gt;TODAY()),0,IF(OR(INDEX($B299:$D299,BF$5)="F",AND(BF$6&gt;0,$A299&lt;BF$6),AND(BF$7&gt;0,$A299&gt;BF$7)),0,MAX(0,ROUND((INDEX($E299:$G299,BF$5)-SUMIFS(TF_Timer,TF_Tekniker,BF$4,TF_Dato,$A299))*2,0)/2)))</f>
        <v/>
      </c>
      <c r="BG299">
        <f>IF(OR(BG$4="",$A299&gt;TODAY()),0,IF(OR(INDEX($B299:$D299,BG$5)="F",AND(BG$6&gt;0,$A299&lt;BG$6),AND(BG$7&gt;0,$A299&gt;BG$7)),0,MAX(0,ROUND((INDEX($E299:$G299,BG$5)-SUMIFS(TF_Timer,TF_Tekniker,BG$4,TF_Dato,$A299))*2,0)/2)))</f>
        <v/>
      </c>
      <c r="BH299">
        <f>IF(OR(BH$4="",$A299&gt;TODAY()),0,IF(OR(INDEX($B299:$D299,BH$5)="F",AND(BH$6&gt;0,$A299&lt;BH$6),AND(BH$7&gt;0,$A299&gt;BH$7)),0,MAX(0,ROUND((INDEX($E299:$G299,BH$5)-SUMIFS(TF_Timer,TF_Tekniker,BH$4,TF_Dato,$A299))*2,0)/2)))</f>
        <v/>
      </c>
      <c r="BI299">
        <f>IF(OR(BI$4="",$A299&gt;TODAY()),0,IF(OR(INDEX($B299:$D299,BI$5)="F",AND(BI$6&gt;0,$A299&lt;BI$6),AND(BI$7&gt;0,$A299&gt;BI$7)),0,MAX(0,ROUND((INDEX($E299:$G299,BI$5)-SUMIFS(TF_Timer,TF_Tekniker,BI$4,TF_Dato,$A299))*2,0)/2)))</f>
        <v/>
      </c>
    </row>
    <row r="300">
      <c r="A300" s="64">
        <f>A299+1</f>
        <v/>
      </c>
      <c r="B300">
        <f>IF(MOD($A300-INDEX(SkiftStart,1),Syklus)&lt;DagK,"K",IF(MOD($A300-INDEX(SkiftStart,1),Syklus)&lt;DagK+DagH,"H",IF(MOD($A300-INDEX(SkiftStart,1),Syklus)&lt;DagK+DagH+DagD,"D","F")))</f>
        <v/>
      </c>
      <c r="C300">
        <f>IF(MOD($A300-INDEX(SkiftStart,2),Syklus)&lt;DagK,"K",IF(MOD($A300-INDEX(SkiftStart,2),Syklus)&lt;DagK+DagH,"H",IF(MOD($A300-INDEX(SkiftStart,2),Syklus)&lt;DagK+DagH+DagD,"D","F")))</f>
        <v/>
      </c>
      <c r="D300">
        <f>IF(MOD($A300-INDEX(SkiftStart,3),Syklus)&lt;DagK,"K",IF(MOD($A300-INDEX(SkiftStart,3),Syklus)&lt;DagK+DagH,"H",IF(MOD($A300-INDEX(SkiftStart,3),Syklus)&lt;DagK+DagH+DagD,"D","F")))</f>
        <v/>
      </c>
      <c r="E300">
        <f>IF(B300="F",0,IF(WEEKDAY($A300,2)=5,INDEX(TimerFr,MATCH(B300,FaseKode,0)),INDEX(TimerMT,MATCH(B300,FaseKode,0))))</f>
        <v/>
      </c>
      <c r="F300">
        <f>IF(C300="F",0,IF(WEEKDAY($A300,2)=5,INDEX(TimerFr,MATCH(C300,FaseKode,0)),INDEX(TimerMT,MATCH(C300,FaseKode,0))))</f>
        <v/>
      </c>
      <c r="G300">
        <f>IF(D300="F",0,IF(WEEKDAY($A300,2)=5,INDEX(TimerFr,MATCH(D300,FaseKode,0)),INDEX(TimerMT,MATCH(D300,FaseKode,0))))</f>
        <v/>
      </c>
      <c r="H300">
        <f>IF(OR(H$4="",$A300&gt;TODAY()),0,IF(OR(INDEX($B300:$D300,H$5)="F",AND(H$6&gt;0,$A300&lt;H$6),AND(H$7&gt;0,$A300&gt;H$7)),0,MAX(0,ROUND((INDEX($E300:$G300,H$5)-SUMIFS(TF_Timer,TF_Tekniker,H$4,TF_Dato,$A300))*2,0)/2)))</f>
        <v/>
      </c>
      <c r="I300">
        <f>IF(OR(I$4="",$A300&gt;TODAY()),0,IF(OR(INDEX($B300:$D300,I$5)="F",AND(I$6&gt;0,$A300&lt;I$6),AND(I$7&gt;0,$A300&gt;I$7)),0,MAX(0,ROUND((INDEX($E300:$G300,I$5)-SUMIFS(TF_Timer,TF_Tekniker,I$4,TF_Dato,$A300))*2,0)/2)))</f>
        <v/>
      </c>
      <c r="J300">
        <f>IF(OR(J$4="",$A300&gt;TODAY()),0,IF(OR(INDEX($B300:$D300,J$5)="F",AND(J$6&gt;0,$A300&lt;J$6),AND(J$7&gt;0,$A300&gt;J$7)),0,MAX(0,ROUND((INDEX($E300:$G300,J$5)-SUMIFS(TF_Timer,TF_Tekniker,J$4,TF_Dato,$A300))*2,0)/2)))</f>
        <v/>
      </c>
      <c r="K300">
        <f>IF(OR(K$4="",$A300&gt;TODAY()),0,IF(OR(INDEX($B300:$D300,K$5)="F",AND(K$6&gt;0,$A300&lt;K$6),AND(K$7&gt;0,$A300&gt;K$7)),0,MAX(0,ROUND((INDEX($E300:$G300,K$5)-SUMIFS(TF_Timer,TF_Tekniker,K$4,TF_Dato,$A300))*2,0)/2)))</f>
        <v/>
      </c>
      <c r="L300">
        <f>IF(OR(L$4="",$A300&gt;TODAY()),0,IF(OR(INDEX($B300:$D300,L$5)="F",AND(L$6&gt;0,$A300&lt;L$6),AND(L$7&gt;0,$A300&gt;L$7)),0,MAX(0,ROUND((INDEX($E300:$G300,L$5)-SUMIFS(TF_Timer,TF_Tekniker,L$4,TF_Dato,$A300))*2,0)/2)))</f>
        <v/>
      </c>
      <c r="M300">
        <f>IF(OR(M$4="",$A300&gt;TODAY()),0,IF(OR(INDEX($B300:$D300,M$5)="F",AND(M$6&gt;0,$A300&lt;M$6),AND(M$7&gt;0,$A300&gt;M$7)),0,MAX(0,ROUND((INDEX($E300:$G300,M$5)-SUMIFS(TF_Timer,TF_Tekniker,M$4,TF_Dato,$A300))*2,0)/2)))</f>
        <v/>
      </c>
      <c r="N300">
        <f>IF(OR(N$4="",$A300&gt;TODAY()),0,IF(OR(INDEX($B300:$D300,N$5)="F",AND(N$6&gt;0,$A300&lt;N$6),AND(N$7&gt;0,$A300&gt;N$7)),0,MAX(0,ROUND((INDEX($E300:$G300,N$5)-SUMIFS(TF_Timer,TF_Tekniker,N$4,TF_Dato,$A300))*2,0)/2)))</f>
        <v/>
      </c>
      <c r="O300">
        <f>IF(OR(O$4="",$A300&gt;TODAY()),0,IF(OR(INDEX($B300:$D300,O$5)="F",AND(O$6&gt;0,$A300&lt;O$6),AND(O$7&gt;0,$A300&gt;O$7)),0,MAX(0,ROUND((INDEX($E300:$G300,O$5)-SUMIFS(TF_Timer,TF_Tekniker,O$4,TF_Dato,$A300))*2,0)/2)))</f>
        <v/>
      </c>
      <c r="P300">
        <f>IF(OR(P$4="",$A300&gt;TODAY()),0,IF(OR(INDEX($B300:$D300,P$5)="F",AND(P$6&gt;0,$A300&lt;P$6),AND(P$7&gt;0,$A300&gt;P$7)),0,MAX(0,ROUND((INDEX($E300:$G300,P$5)-SUMIFS(TF_Timer,TF_Tekniker,P$4,TF_Dato,$A300))*2,0)/2)))</f>
        <v/>
      </c>
      <c r="Q300">
        <f>IF(OR(Q$4="",$A300&gt;TODAY()),0,IF(OR(INDEX($B300:$D300,Q$5)="F",AND(Q$6&gt;0,$A300&lt;Q$6),AND(Q$7&gt;0,$A300&gt;Q$7)),0,MAX(0,ROUND((INDEX($E300:$G300,Q$5)-SUMIFS(TF_Timer,TF_Tekniker,Q$4,TF_Dato,$A300))*2,0)/2)))</f>
        <v/>
      </c>
      <c r="R300">
        <f>IF(OR(R$4="",$A300&gt;TODAY()),0,IF(OR(INDEX($B300:$D300,R$5)="F",AND(R$6&gt;0,$A300&lt;R$6),AND(R$7&gt;0,$A300&gt;R$7)),0,MAX(0,ROUND((INDEX($E300:$G300,R$5)-SUMIFS(TF_Timer,TF_Tekniker,R$4,TF_Dato,$A300))*2,0)/2)))</f>
        <v/>
      </c>
      <c r="S300">
        <f>IF(OR(S$4="",$A300&gt;TODAY()),0,IF(OR(INDEX($B300:$D300,S$5)="F",AND(S$6&gt;0,$A300&lt;S$6),AND(S$7&gt;0,$A300&gt;S$7)),0,MAX(0,ROUND((INDEX($E300:$G300,S$5)-SUMIFS(TF_Timer,TF_Tekniker,S$4,TF_Dato,$A300))*2,0)/2)))</f>
        <v/>
      </c>
      <c r="T300">
        <f>IF(OR(T$4="",$A300&gt;TODAY()),0,IF(OR(INDEX($B300:$D300,T$5)="F",AND(T$6&gt;0,$A300&lt;T$6),AND(T$7&gt;0,$A300&gt;T$7)),0,MAX(0,ROUND((INDEX($E300:$G300,T$5)-SUMIFS(TF_Timer,TF_Tekniker,T$4,TF_Dato,$A300))*2,0)/2)))</f>
        <v/>
      </c>
      <c r="U300">
        <f>IF(OR(U$4="",$A300&gt;TODAY()),0,IF(OR(INDEX($B300:$D300,U$5)="F",AND(U$6&gt;0,$A300&lt;U$6),AND(U$7&gt;0,$A300&gt;U$7)),0,MAX(0,ROUND((INDEX($E300:$G300,U$5)-SUMIFS(TF_Timer,TF_Tekniker,U$4,TF_Dato,$A300))*2,0)/2)))</f>
        <v/>
      </c>
      <c r="V300">
        <f>IF(OR(V$4="",$A300&gt;TODAY()),0,IF(OR(INDEX($B300:$D300,V$5)="F",AND(V$6&gt;0,$A300&lt;V$6),AND(V$7&gt;0,$A300&gt;V$7)),0,MAX(0,ROUND((INDEX($E300:$G300,V$5)-SUMIFS(TF_Timer,TF_Tekniker,V$4,TF_Dato,$A300))*2,0)/2)))</f>
        <v/>
      </c>
      <c r="W300">
        <f>IF(OR(W$4="",$A300&gt;TODAY()),0,IF(OR(INDEX($B300:$D300,W$5)="F",AND(W$6&gt;0,$A300&lt;W$6),AND(W$7&gt;0,$A300&gt;W$7)),0,MAX(0,ROUND((INDEX($E300:$G300,W$5)-SUMIFS(TF_Timer,TF_Tekniker,W$4,TF_Dato,$A300))*2,0)/2)))</f>
        <v/>
      </c>
      <c r="X300">
        <f>IF(OR(X$4="",$A300&gt;TODAY()),0,IF(OR(INDEX($B300:$D300,X$5)="F",AND(X$6&gt;0,$A300&lt;X$6),AND(X$7&gt;0,$A300&gt;X$7)),0,MAX(0,ROUND((INDEX($E300:$G300,X$5)-SUMIFS(TF_Timer,TF_Tekniker,X$4,TF_Dato,$A300))*2,0)/2)))</f>
        <v/>
      </c>
      <c r="Y300">
        <f>IF(OR(Y$4="",$A300&gt;TODAY()),0,IF(OR(INDEX($B300:$D300,Y$5)="F",AND(Y$6&gt;0,$A300&lt;Y$6),AND(Y$7&gt;0,$A300&gt;Y$7)),0,MAX(0,ROUND((INDEX($E300:$G300,Y$5)-SUMIFS(TF_Timer,TF_Tekniker,Y$4,TF_Dato,$A300))*2,0)/2)))</f>
        <v/>
      </c>
      <c r="Z300">
        <f>IF(OR(Z$4="",$A300&gt;TODAY()),0,IF(OR(INDEX($B300:$D300,Z$5)="F",AND(Z$6&gt;0,$A300&lt;Z$6),AND(Z$7&gt;0,$A300&gt;Z$7)),0,MAX(0,ROUND((INDEX($E300:$G300,Z$5)-SUMIFS(TF_Timer,TF_Tekniker,Z$4,TF_Dato,$A300))*2,0)/2)))</f>
        <v/>
      </c>
      <c r="AA300">
        <f>IF(OR(AA$4="",$A300&gt;TODAY()),0,IF(OR(INDEX($B300:$D300,AA$5)="F",AND(AA$6&gt;0,$A300&lt;AA$6),AND(AA$7&gt;0,$A300&gt;AA$7)),0,MAX(0,ROUND((INDEX($E300:$G300,AA$5)-SUMIFS(TF_Timer,TF_Tekniker,AA$4,TF_Dato,$A300))*2,0)/2)))</f>
        <v/>
      </c>
      <c r="AB300">
        <f>IF(OR(AB$4="",$A300&gt;TODAY()),0,IF(OR(INDEX($B300:$D300,AB$5)="F",AND(AB$6&gt;0,$A300&lt;AB$6),AND(AB$7&gt;0,$A300&gt;AB$7)),0,MAX(0,ROUND((INDEX($E300:$G300,AB$5)-SUMIFS(TF_Timer,TF_Tekniker,AB$4,TF_Dato,$A300))*2,0)/2)))</f>
        <v/>
      </c>
      <c r="AC300">
        <f>IF(OR(AC$4="",$A300&gt;TODAY()),0,IF(OR(INDEX($B300:$D300,AC$5)="F",AND(AC$6&gt;0,$A300&lt;AC$6),AND(AC$7&gt;0,$A300&gt;AC$7)),0,MAX(0,ROUND((INDEX($E300:$G300,AC$5)-SUMIFS(TF_Timer,TF_Tekniker,AC$4,TF_Dato,$A300))*2,0)/2)))</f>
        <v/>
      </c>
      <c r="AD300">
        <f>IF(OR(AD$4="",$A300&gt;TODAY()),0,IF(OR(INDEX($B300:$D300,AD$5)="F",AND(AD$6&gt;0,$A300&lt;AD$6),AND(AD$7&gt;0,$A300&gt;AD$7)),0,MAX(0,ROUND((INDEX($E300:$G300,AD$5)-SUMIFS(TF_Timer,TF_Tekniker,AD$4,TF_Dato,$A300))*2,0)/2)))</f>
        <v/>
      </c>
      <c r="AE300">
        <f>IF(OR(AE$4="",$A300&gt;TODAY()),0,IF(OR(INDEX($B300:$D300,AE$5)="F",AND(AE$6&gt;0,$A300&lt;AE$6),AND(AE$7&gt;0,$A300&gt;AE$7)),0,MAX(0,ROUND((INDEX($E300:$G300,AE$5)-SUMIFS(TF_Timer,TF_Tekniker,AE$4,TF_Dato,$A300))*2,0)/2)))</f>
        <v/>
      </c>
      <c r="AF300">
        <f>IF(OR(AF$4="",$A300&gt;TODAY()),0,IF(OR(INDEX($B300:$D300,AF$5)="F",AND(AF$6&gt;0,$A300&lt;AF$6),AND(AF$7&gt;0,$A300&gt;AF$7)),0,MAX(0,ROUND((INDEX($E300:$G300,AF$5)-SUMIFS(TF_Timer,TF_Tekniker,AF$4,TF_Dato,$A300))*2,0)/2)))</f>
        <v/>
      </c>
      <c r="AG300">
        <f>IF(OR(AG$4="",$A300&gt;TODAY()),0,IF(OR(INDEX($B300:$D300,AG$5)="F",AND(AG$6&gt;0,$A300&lt;AG$6),AND(AG$7&gt;0,$A300&gt;AG$7)),0,MAX(0,ROUND((INDEX($E300:$G300,AG$5)-SUMIFS(TF_Timer,TF_Tekniker,AG$4,TF_Dato,$A300))*2,0)/2)))</f>
        <v/>
      </c>
      <c r="AH300">
        <f>IF(OR(AH$4="",$A300&gt;TODAY()),0,IF(OR(INDEX($B300:$D300,AH$5)="F",AND(AH$6&gt;0,$A300&lt;AH$6),AND(AH$7&gt;0,$A300&gt;AH$7)),0,MAX(0,ROUND((INDEX($E300:$G300,AH$5)-SUMIFS(TF_Timer,TF_Tekniker,AH$4,TF_Dato,$A300))*2,0)/2)))</f>
        <v/>
      </c>
      <c r="AI300">
        <f>IF(OR(AI$4="",$A300&gt;TODAY()),0,IF(OR(INDEX($B300:$D300,AI$5)="F",AND(AI$6&gt;0,$A300&lt;AI$6),AND(AI$7&gt;0,$A300&gt;AI$7)),0,MAX(0,ROUND((INDEX($E300:$G300,AI$5)-SUMIFS(TF_Timer,TF_Tekniker,AI$4,TF_Dato,$A300))*2,0)/2)))</f>
        <v/>
      </c>
      <c r="AJ300">
        <f>IF(OR(AJ$4="",$A300&gt;TODAY()),0,IF(OR(INDEX($B300:$D300,AJ$5)="F",AND(AJ$6&gt;0,$A300&lt;AJ$6),AND(AJ$7&gt;0,$A300&gt;AJ$7)),0,MAX(0,ROUND((INDEX($E300:$G300,AJ$5)-SUMIFS(TF_Timer,TF_Tekniker,AJ$4,TF_Dato,$A300))*2,0)/2)))</f>
        <v/>
      </c>
      <c r="AK300">
        <f>IF(OR(AK$4="",$A300&gt;TODAY()),0,IF(OR(INDEX($B300:$D300,AK$5)="F",AND(AK$6&gt;0,$A300&lt;AK$6),AND(AK$7&gt;0,$A300&gt;AK$7)),0,MAX(0,ROUND((INDEX($E300:$G300,AK$5)-SUMIFS(TF_Timer,TF_Tekniker,AK$4,TF_Dato,$A300))*2,0)/2)))</f>
        <v/>
      </c>
      <c r="AL300">
        <f>IF(OR(AL$4="",$A300&gt;TODAY()),0,IF(OR(INDEX($B300:$D300,AL$5)="F",AND(AL$6&gt;0,$A300&lt;AL$6),AND(AL$7&gt;0,$A300&gt;AL$7)),0,MAX(0,ROUND((INDEX($E300:$G300,AL$5)-SUMIFS(TF_Timer,TF_Tekniker,AL$4,TF_Dato,$A300))*2,0)/2)))</f>
        <v/>
      </c>
      <c r="AM300">
        <f>IF(OR(AM$4="",$A300&gt;TODAY()),0,IF(OR(INDEX($B300:$D300,AM$5)="F",AND(AM$6&gt;0,$A300&lt;AM$6),AND(AM$7&gt;0,$A300&gt;AM$7)),0,MAX(0,ROUND((INDEX($E300:$G300,AM$5)-SUMIFS(TF_Timer,TF_Tekniker,AM$4,TF_Dato,$A300))*2,0)/2)))</f>
        <v/>
      </c>
      <c r="AN300">
        <f>IF(OR(AN$4="",$A300&gt;TODAY()),0,IF(OR(INDEX($B300:$D300,AN$5)="F",AND(AN$6&gt;0,$A300&lt;AN$6),AND(AN$7&gt;0,$A300&gt;AN$7)),0,MAX(0,ROUND((INDEX($E300:$G300,AN$5)-SUMIFS(TF_Timer,TF_Tekniker,AN$4,TF_Dato,$A300))*2,0)/2)))</f>
        <v/>
      </c>
      <c r="AO300">
        <f>IF(OR(AO$4="",$A300&gt;TODAY()),0,IF(OR(INDEX($B300:$D300,AO$5)="F",AND(AO$6&gt;0,$A300&lt;AO$6),AND(AO$7&gt;0,$A300&gt;AO$7)),0,MAX(0,ROUND((INDEX($E300:$G300,AO$5)-SUMIFS(TF_Timer,TF_Tekniker,AO$4,TF_Dato,$A300))*2,0)/2)))</f>
        <v/>
      </c>
      <c r="AP300">
        <f>IF(OR(AP$4="",$A300&gt;TODAY()),0,IF(OR(INDEX($B300:$D300,AP$5)="F",AND(AP$6&gt;0,$A300&lt;AP$6),AND(AP$7&gt;0,$A300&gt;AP$7)),0,MAX(0,ROUND((INDEX($E300:$G300,AP$5)-SUMIFS(TF_Timer,TF_Tekniker,AP$4,TF_Dato,$A300))*2,0)/2)))</f>
        <v/>
      </c>
      <c r="AQ300">
        <f>IF(OR(AQ$4="",$A300&gt;TODAY()),0,IF(OR(INDEX($B300:$D300,AQ$5)="F",AND(AQ$6&gt;0,$A300&lt;AQ$6),AND(AQ$7&gt;0,$A300&gt;AQ$7)),0,MAX(0,ROUND((INDEX($E300:$G300,AQ$5)-SUMIFS(TF_Timer,TF_Tekniker,AQ$4,TF_Dato,$A300))*2,0)/2)))</f>
        <v/>
      </c>
      <c r="AR300">
        <f>IF(OR(AR$4="",$A300&gt;TODAY()),0,IF(OR(INDEX($B300:$D300,AR$5)="F",AND(AR$6&gt;0,$A300&lt;AR$6),AND(AR$7&gt;0,$A300&gt;AR$7)),0,MAX(0,ROUND((INDEX($E300:$G300,AR$5)-SUMIFS(TF_Timer,TF_Tekniker,AR$4,TF_Dato,$A300))*2,0)/2)))</f>
        <v/>
      </c>
      <c r="AS300">
        <f>IF(OR(AS$4="",$A300&gt;TODAY()),0,IF(OR(INDEX($B300:$D300,AS$5)="F",AND(AS$6&gt;0,$A300&lt;AS$6),AND(AS$7&gt;0,$A300&gt;AS$7)),0,MAX(0,ROUND((INDEX($E300:$G300,AS$5)-SUMIFS(TF_Timer,TF_Tekniker,AS$4,TF_Dato,$A300))*2,0)/2)))</f>
        <v/>
      </c>
      <c r="AT300">
        <f>IF(OR(AT$4="",$A300&gt;TODAY()),0,IF(OR(INDEX($B300:$D300,AT$5)="F",AND(AT$6&gt;0,$A300&lt;AT$6),AND(AT$7&gt;0,$A300&gt;AT$7)),0,MAX(0,ROUND((INDEX($E300:$G300,AT$5)-SUMIFS(TF_Timer,TF_Tekniker,AT$4,TF_Dato,$A300))*2,0)/2)))</f>
        <v/>
      </c>
      <c r="AU300">
        <f>IF(OR(AU$4="",$A300&gt;TODAY()),0,IF(OR(INDEX($B300:$D300,AU$5)="F",AND(AU$6&gt;0,$A300&lt;AU$6),AND(AU$7&gt;0,$A300&gt;AU$7)),0,MAX(0,ROUND((INDEX($E300:$G300,AU$5)-SUMIFS(TF_Timer,TF_Tekniker,AU$4,TF_Dato,$A300))*2,0)/2)))</f>
        <v/>
      </c>
      <c r="AV300">
        <f>IF(OR(AV$4="",$A300&gt;TODAY()),0,IF(OR(INDEX($B300:$D300,AV$5)="F",AND(AV$6&gt;0,$A300&lt;AV$6),AND(AV$7&gt;0,$A300&gt;AV$7)),0,MAX(0,ROUND((INDEX($E300:$G300,AV$5)-SUMIFS(TF_Timer,TF_Tekniker,AV$4,TF_Dato,$A300))*2,0)/2)))</f>
        <v/>
      </c>
      <c r="AW300">
        <f>IF(OR(AW$4="",$A300&gt;TODAY()),0,IF(OR(INDEX($B300:$D300,AW$5)="F",AND(AW$6&gt;0,$A300&lt;AW$6),AND(AW$7&gt;0,$A300&gt;AW$7)),0,MAX(0,ROUND((INDEX($E300:$G300,AW$5)-SUMIFS(TF_Timer,TF_Tekniker,AW$4,TF_Dato,$A300))*2,0)/2)))</f>
        <v/>
      </c>
      <c r="AX300">
        <f>IF(OR(AX$4="",$A300&gt;TODAY()),0,IF(OR(INDEX($B300:$D300,AX$5)="F",AND(AX$6&gt;0,$A300&lt;AX$6),AND(AX$7&gt;0,$A300&gt;AX$7)),0,MAX(0,ROUND((INDEX($E300:$G300,AX$5)-SUMIFS(TF_Timer,TF_Tekniker,AX$4,TF_Dato,$A300))*2,0)/2)))</f>
        <v/>
      </c>
      <c r="AY300">
        <f>IF(OR(AY$4="",$A300&gt;TODAY()),0,IF(OR(INDEX($B300:$D300,AY$5)="F",AND(AY$6&gt;0,$A300&lt;AY$6),AND(AY$7&gt;0,$A300&gt;AY$7)),0,MAX(0,ROUND((INDEX($E300:$G300,AY$5)-SUMIFS(TF_Timer,TF_Tekniker,AY$4,TF_Dato,$A300))*2,0)/2)))</f>
        <v/>
      </c>
      <c r="AZ300">
        <f>IF(OR(AZ$4="",$A300&gt;TODAY()),0,IF(OR(INDEX($B300:$D300,AZ$5)="F",AND(AZ$6&gt;0,$A300&lt;AZ$6),AND(AZ$7&gt;0,$A300&gt;AZ$7)),0,MAX(0,ROUND((INDEX($E300:$G300,AZ$5)-SUMIFS(TF_Timer,TF_Tekniker,AZ$4,TF_Dato,$A300))*2,0)/2)))</f>
        <v/>
      </c>
      <c r="BA300">
        <f>IF(OR(BA$4="",$A300&gt;TODAY()),0,IF(OR(INDEX($B300:$D300,BA$5)="F",AND(BA$6&gt;0,$A300&lt;BA$6),AND(BA$7&gt;0,$A300&gt;BA$7)),0,MAX(0,ROUND((INDEX($E300:$G300,BA$5)-SUMIFS(TF_Timer,TF_Tekniker,BA$4,TF_Dato,$A300))*2,0)/2)))</f>
        <v/>
      </c>
      <c r="BB300">
        <f>IF(OR(BB$4="",$A300&gt;TODAY()),0,IF(OR(INDEX($B300:$D300,BB$5)="F",AND(BB$6&gt;0,$A300&lt;BB$6),AND(BB$7&gt;0,$A300&gt;BB$7)),0,MAX(0,ROUND((INDEX($E300:$G300,BB$5)-SUMIFS(TF_Timer,TF_Tekniker,BB$4,TF_Dato,$A300))*2,0)/2)))</f>
        <v/>
      </c>
      <c r="BC300">
        <f>IF(OR(BC$4="",$A300&gt;TODAY()),0,IF(OR(INDEX($B300:$D300,BC$5)="F",AND(BC$6&gt;0,$A300&lt;BC$6),AND(BC$7&gt;0,$A300&gt;BC$7)),0,MAX(0,ROUND((INDEX($E300:$G300,BC$5)-SUMIFS(TF_Timer,TF_Tekniker,BC$4,TF_Dato,$A300))*2,0)/2)))</f>
        <v/>
      </c>
      <c r="BD300">
        <f>IF(OR(BD$4="",$A300&gt;TODAY()),0,IF(OR(INDEX($B300:$D300,BD$5)="F",AND(BD$6&gt;0,$A300&lt;BD$6),AND(BD$7&gt;0,$A300&gt;BD$7)),0,MAX(0,ROUND((INDEX($E300:$G300,BD$5)-SUMIFS(TF_Timer,TF_Tekniker,BD$4,TF_Dato,$A300))*2,0)/2)))</f>
        <v/>
      </c>
      <c r="BE300">
        <f>IF(OR(BE$4="",$A300&gt;TODAY()),0,IF(OR(INDEX($B300:$D300,BE$5)="F",AND(BE$6&gt;0,$A300&lt;BE$6),AND(BE$7&gt;0,$A300&gt;BE$7)),0,MAX(0,ROUND((INDEX($E300:$G300,BE$5)-SUMIFS(TF_Timer,TF_Tekniker,BE$4,TF_Dato,$A300))*2,0)/2)))</f>
        <v/>
      </c>
      <c r="BF300">
        <f>IF(OR(BF$4="",$A300&gt;TODAY()),0,IF(OR(INDEX($B300:$D300,BF$5)="F",AND(BF$6&gt;0,$A300&lt;BF$6),AND(BF$7&gt;0,$A300&gt;BF$7)),0,MAX(0,ROUND((INDEX($E300:$G300,BF$5)-SUMIFS(TF_Timer,TF_Tekniker,BF$4,TF_Dato,$A300))*2,0)/2)))</f>
        <v/>
      </c>
      <c r="BG300">
        <f>IF(OR(BG$4="",$A300&gt;TODAY()),0,IF(OR(INDEX($B300:$D300,BG$5)="F",AND(BG$6&gt;0,$A300&lt;BG$6),AND(BG$7&gt;0,$A300&gt;BG$7)),0,MAX(0,ROUND((INDEX($E300:$G300,BG$5)-SUMIFS(TF_Timer,TF_Tekniker,BG$4,TF_Dato,$A300))*2,0)/2)))</f>
        <v/>
      </c>
      <c r="BH300">
        <f>IF(OR(BH$4="",$A300&gt;TODAY()),0,IF(OR(INDEX($B300:$D300,BH$5)="F",AND(BH$6&gt;0,$A300&lt;BH$6),AND(BH$7&gt;0,$A300&gt;BH$7)),0,MAX(0,ROUND((INDEX($E300:$G300,BH$5)-SUMIFS(TF_Timer,TF_Tekniker,BH$4,TF_Dato,$A300))*2,0)/2)))</f>
        <v/>
      </c>
      <c r="BI300">
        <f>IF(OR(BI$4="",$A300&gt;TODAY()),0,IF(OR(INDEX($B300:$D300,BI$5)="F",AND(BI$6&gt;0,$A300&lt;BI$6),AND(BI$7&gt;0,$A300&gt;BI$7)),0,MAX(0,ROUND((INDEX($E300:$G300,BI$5)-SUMIFS(TF_Timer,TF_Tekniker,BI$4,TF_Dato,$A300))*2,0)/2)))</f>
        <v/>
      </c>
    </row>
    <row r="301">
      <c r="A301" s="64">
        <f>A300+1</f>
        <v/>
      </c>
      <c r="B301">
        <f>IF(MOD($A301-INDEX(SkiftStart,1),Syklus)&lt;DagK,"K",IF(MOD($A301-INDEX(SkiftStart,1),Syklus)&lt;DagK+DagH,"H",IF(MOD($A301-INDEX(SkiftStart,1),Syklus)&lt;DagK+DagH+DagD,"D","F")))</f>
        <v/>
      </c>
      <c r="C301">
        <f>IF(MOD($A301-INDEX(SkiftStart,2),Syklus)&lt;DagK,"K",IF(MOD($A301-INDEX(SkiftStart,2),Syklus)&lt;DagK+DagH,"H",IF(MOD($A301-INDEX(SkiftStart,2),Syklus)&lt;DagK+DagH+DagD,"D","F")))</f>
        <v/>
      </c>
      <c r="D301">
        <f>IF(MOD($A301-INDEX(SkiftStart,3),Syklus)&lt;DagK,"K",IF(MOD($A301-INDEX(SkiftStart,3),Syklus)&lt;DagK+DagH,"H",IF(MOD($A301-INDEX(SkiftStart,3),Syklus)&lt;DagK+DagH+DagD,"D","F")))</f>
        <v/>
      </c>
      <c r="E301">
        <f>IF(B301="F",0,IF(WEEKDAY($A301,2)=5,INDEX(TimerFr,MATCH(B301,FaseKode,0)),INDEX(TimerMT,MATCH(B301,FaseKode,0))))</f>
        <v/>
      </c>
      <c r="F301">
        <f>IF(C301="F",0,IF(WEEKDAY($A301,2)=5,INDEX(TimerFr,MATCH(C301,FaseKode,0)),INDEX(TimerMT,MATCH(C301,FaseKode,0))))</f>
        <v/>
      </c>
      <c r="G301">
        <f>IF(D301="F",0,IF(WEEKDAY($A301,2)=5,INDEX(TimerFr,MATCH(D301,FaseKode,0)),INDEX(TimerMT,MATCH(D301,FaseKode,0))))</f>
        <v/>
      </c>
      <c r="H301">
        <f>IF(OR(H$4="",$A301&gt;TODAY()),0,IF(OR(INDEX($B301:$D301,H$5)="F",AND(H$6&gt;0,$A301&lt;H$6),AND(H$7&gt;0,$A301&gt;H$7)),0,MAX(0,ROUND((INDEX($E301:$G301,H$5)-SUMIFS(TF_Timer,TF_Tekniker,H$4,TF_Dato,$A301))*2,0)/2)))</f>
        <v/>
      </c>
      <c r="I301">
        <f>IF(OR(I$4="",$A301&gt;TODAY()),0,IF(OR(INDEX($B301:$D301,I$5)="F",AND(I$6&gt;0,$A301&lt;I$6),AND(I$7&gt;0,$A301&gt;I$7)),0,MAX(0,ROUND((INDEX($E301:$G301,I$5)-SUMIFS(TF_Timer,TF_Tekniker,I$4,TF_Dato,$A301))*2,0)/2)))</f>
        <v/>
      </c>
      <c r="J301">
        <f>IF(OR(J$4="",$A301&gt;TODAY()),0,IF(OR(INDEX($B301:$D301,J$5)="F",AND(J$6&gt;0,$A301&lt;J$6),AND(J$7&gt;0,$A301&gt;J$7)),0,MAX(0,ROUND((INDEX($E301:$G301,J$5)-SUMIFS(TF_Timer,TF_Tekniker,J$4,TF_Dato,$A301))*2,0)/2)))</f>
        <v/>
      </c>
      <c r="K301">
        <f>IF(OR(K$4="",$A301&gt;TODAY()),0,IF(OR(INDEX($B301:$D301,K$5)="F",AND(K$6&gt;0,$A301&lt;K$6),AND(K$7&gt;0,$A301&gt;K$7)),0,MAX(0,ROUND((INDEX($E301:$G301,K$5)-SUMIFS(TF_Timer,TF_Tekniker,K$4,TF_Dato,$A301))*2,0)/2)))</f>
        <v/>
      </c>
      <c r="L301">
        <f>IF(OR(L$4="",$A301&gt;TODAY()),0,IF(OR(INDEX($B301:$D301,L$5)="F",AND(L$6&gt;0,$A301&lt;L$6),AND(L$7&gt;0,$A301&gt;L$7)),0,MAX(0,ROUND((INDEX($E301:$G301,L$5)-SUMIFS(TF_Timer,TF_Tekniker,L$4,TF_Dato,$A301))*2,0)/2)))</f>
        <v/>
      </c>
      <c r="M301">
        <f>IF(OR(M$4="",$A301&gt;TODAY()),0,IF(OR(INDEX($B301:$D301,M$5)="F",AND(M$6&gt;0,$A301&lt;M$6),AND(M$7&gt;0,$A301&gt;M$7)),0,MAX(0,ROUND((INDEX($E301:$G301,M$5)-SUMIFS(TF_Timer,TF_Tekniker,M$4,TF_Dato,$A301))*2,0)/2)))</f>
        <v/>
      </c>
      <c r="N301">
        <f>IF(OR(N$4="",$A301&gt;TODAY()),0,IF(OR(INDEX($B301:$D301,N$5)="F",AND(N$6&gt;0,$A301&lt;N$6),AND(N$7&gt;0,$A301&gt;N$7)),0,MAX(0,ROUND((INDEX($E301:$G301,N$5)-SUMIFS(TF_Timer,TF_Tekniker,N$4,TF_Dato,$A301))*2,0)/2)))</f>
        <v/>
      </c>
      <c r="O301">
        <f>IF(OR(O$4="",$A301&gt;TODAY()),0,IF(OR(INDEX($B301:$D301,O$5)="F",AND(O$6&gt;0,$A301&lt;O$6),AND(O$7&gt;0,$A301&gt;O$7)),0,MAX(0,ROUND((INDEX($E301:$G301,O$5)-SUMIFS(TF_Timer,TF_Tekniker,O$4,TF_Dato,$A301))*2,0)/2)))</f>
        <v/>
      </c>
      <c r="P301">
        <f>IF(OR(P$4="",$A301&gt;TODAY()),0,IF(OR(INDEX($B301:$D301,P$5)="F",AND(P$6&gt;0,$A301&lt;P$6),AND(P$7&gt;0,$A301&gt;P$7)),0,MAX(0,ROUND((INDEX($E301:$G301,P$5)-SUMIFS(TF_Timer,TF_Tekniker,P$4,TF_Dato,$A301))*2,0)/2)))</f>
        <v/>
      </c>
      <c r="Q301">
        <f>IF(OR(Q$4="",$A301&gt;TODAY()),0,IF(OR(INDEX($B301:$D301,Q$5)="F",AND(Q$6&gt;0,$A301&lt;Q$6),AND(Q$7&gt;0,$A301&gt;Q$7)),0,MAX(0,ROUND((INDEX($E301:$G301,Q$5)-SUMIFS(TF_Timer,TF_Tekniker,Q$4,TF_Dato,$A301))*2,0)/2)))</f>
        <v/>
      </c>
      <c r="R301">
        <f>IF(OR(R$4="",$A301&gt;TODAY()),0,IF(OR(INDEX($B301:$D301,R$5)="F",AND(R$6&gt;0,$A301&lt;R$6),AND(R$7&gt;0,$A301&gt;R$7)),0,MAX(0,ROUND((INDEX($E301:$G301,R$5)-SUMIFS(TF_Timer,TF_Tekniker,R$4,TF_Dato,$A301))*2,0)/2)))</f>
        <v/>
      </c>
      <c r="S301">
        <f>IF(OR(S$4="",$A301&gt;TODAY()),0,IF(OR(INDEX($B301:$D301,S$5)="F",AND(S$6&gt;0,$A301&lt;S$6),AND(S$7&gt;0,$A301&gt;S$7)),0,MAX(0,ROUND((INDEX($E301:$G301,S$5)-SUMIFS(TF_Timer,TF_Tekniker,S$4,TF_Dato,$A301))*2,0)/2)))</f>
        <v/>
      </c>
      <c r="T301">
        <f>IF(OR(T$4="",$A301&gt;TODAY()),0,IF(OR(INDEX($B301:$D301,T$5)="F",AND(T$6&gt;0,$A301&lt;T$6),AND(T$7&gt;0,$A301&gt;T$7)),0,MAX(0,ROUND((INDEX($E301:$G301,T$5)-SUMIFS(TF_Timer,TF_Tekniker,T$4,TF_Dato,$A301))*2,0)/2)))</f>
        <v/>
      </c>
      <c r="U301">
        <f>IF(OR(U$4="",$A301&gt;TODAY()),0,IF(OR(INDEX($B301:$D301,U$5)="F",AND(U$6&gt;0,$A301&lt;U$6),AND(U$7&gt;0,$A301&gt;U$7)),0,MAX(0,ROUND((INDEX($E301:$G301,U$5)-SUMIFS(TF_Timer,TF_Tekniker,U$4,TF_Dato,$A301))*2,0)/2)))</f>
        <v/>
      </c>
      <c r="V301">
        <f>IF(OR(V$4="",$A301&gt;TODAY()),0,IF(OR(INDEX($B301:$D301,V$5)="F",AND(V$6&gt;0,$A301&lt;V$6),AND(V$7&gt;0,$A301&gt;V$7)),0,MAX(0,ROUND((INDEX($E301:$G301,V$5)-SUMIFS(TF_Timer,TF_Tekniker,V$4,TF_Dato,$A301))*2,0)/2)))</f>
        <v/>
      </c>
      <c r="W301">
        <f>IF(OR(W$4="",$A301&gt;TODAY()),0,IF(OR(INDEX($B301:$D301,W$5)="F",AND(W$6&gt;0,$A301&lt;W$6),AND(W$7&gt;0,$A301&gt;W$7)),0,MAX(0,ROUND((INDEX($E301:$G301,W$5)-SUMIFS(TF_Timer,TF_Tekniker,W$4,TF_Dato,$A301))*2,0)/2)))</f>
        <v/>
      </c>
      <c r="X301">
        <f>IF(OR(X$4="",$A301&gt;TODAY()),0,IF(OR(INDEX($B301:$D301,X$5)="F",AND(X$6&gt;0,$A301&lt;X$6),AND(X$7&gt;0,$A301&gt;X$7)),0,MAX(0,ROUND((INDEX($E301:$G301,X$5)-SUMIFS(TF_Timer,TF_Tekniker,X$4,TF_Dato,$A301))*2,0)/2)))</f>
        <v/>
      </c>
      <c r="Y301">
        <f>IF(OR(Y$4="",$A301&gt;TODAY()),0,IF(OR(INDEX($B301:$D301,Y$5)="F",AND(Y$6&gt;0,$A301&lt;Y$6),AND(Y$7&gt;0,$A301&gt;Y$7)),0,MAX(0,ROUND((INDEX($E301:$G301,Y$5)-SUMIFS(TF_Timer,TF_Tekniker,Y$4,TF_Dato,$A301))*2,0)/2)))</f>
        <v/>
      </c>
      <c r="Z301">
        <f>IF(OR(Z$4="",$A301&gt;TODAY()),0,IF(OR(INDEX($B301:$D301,Z$5)="F",AND(Z$6&gt;0,$A301&lt;Z$6),AND(Z$7&gt;0,$A301&gt;Z$7)),0,MAX(0,ROUND((INDEX($E301:$G301,Z$5)-SUMIFS(TF_Timer,TF_Tekniker,Z$4,TF_Dato,$A301))*2,0)/2)))</f>
        <v/>
      </c>
      <c r="AA301">
        <f>IF(OR(AA$4="",$A301&gt;TODAY()),0,IF(OR(INDEX($B301:$D301,AA$5)="F",AND(AA$6&gt;0,$A301&lt;AA$6),AND(AA$7&gt;0,$A301&gt;AA$7)),0,MAX(0,ROUND((INDEX($E301:$G301,AA$5)-SUMIFS(TF_Timer,TF_Tekniker,AA$4,TF_Dato,$A301))*2,0)/2)))</f>
        <v/>
      </c>
      <c r="AB301">
        <f>IF(OR(AB$4="",$A301&gt;TODAY()),0,IF(OR(INDEX($B301:$D301,AB$5)="F",AND(AB$6&gt;0,$A301&lt;AB$6),AND(AB$7&gt;0,$A301&gt;AB$7)),0,MAX(0,ROUND((INDEX($E301:$G301,AB$5)-SUMIFS(TF_Timer,TF_Tekniker,AB$4,TF_Dato,$A301))*2,0)/2)))</f>
        <v/>
      </c>
      <c r="AC301">
        <f>IF(OR(AC$4="",$A301&gt;TODAY()),0,IF(OR(INDEX($B301:$D301,AC$5)="F",AND(AC$6&gt;0,$A301&lt;AC$6),AND(AC$7&gt;0,$A301&gt;AC$7)),0,MAX(0,ROUND((INDEX($E301:$G301,AC$5)-SUMIFS(TF_Timer,TF_Tekniker,AC$4,TF_Dato,$A301))*2,0)/2)))</f>
        <v/>
      </c>
      <c r="AD301">
        <f>IF(OR(AD$4="",$A301&gt;TODAY()),0,IF(OR(INDEX($B301:$D301,AD$5)="F",AND(AD$6&gt;0,$A301&lt;AD$6),AND(AD$7&gt;0,$A301&gt;AD$7)),0,MAX(0,ROUND((INDEX($E301:$G301,AD$5)-SUMIFS(TF_Timer,TF_Tekniker,AD$4,TF_Dato,$A301))*2,0)/2)))</f>
        <v/>
      </c>
      <c r="AE301">
        <f>IF(OR(AE$4="",$A301&gt;TODAY()),0,IF(OR(INDEX($B301:$D301,AE$5)="F",AND(AE$6&gt;0,$A301&lt;AE$6),AND(AE$7&gt;0,$A301&gt;AE$7)),0,MAX(0,ROUND((INDEX($E301:$G301,AE$5)-SUMIFS(TF_Timer,TF_Tekniker,AE$4,TF_Dato,$A301))*2,0)/2)))</f>
        <v/>
      </c>
      <c r="AF301">
        <f>IF(OR(AF$4="",$A301&gt;TODAY()),0,IF(OR(INDEX($B301:$D301,AF$5)="F",AND(AF$6&gt;0,$A301&lt;AF$6),AND(AF$7&gt;0,$A301&gt;AF$7)),0,MAX(0,ROUND((INDEX($E301:$G301,AF$5)-SUMIFS(TF_Timer,TF_Tekniker,AF$4,TF_Dato,$A301))*2,0)/2)))</f>
        <v/>
      </c>
      <c r="AG301">
        <f>IF(OR(AG$4="",$A301&gt;TODAY()),0,IF(OR(INDEX($B301:$D301,AG$5)="F",AND(AG$6&gt;0,$A301&lt;AG$6),AND(AG$7&gt;0,$A301&gt;AG$7)),0,MAX(0,ROUND((INDEX($E301:$G301,AG$5)-SUMIFS(TF_Timer,TF_Tekniker,AG$4,TF_Dato,$A301))*2,0)/2)))</f>
        <v/>
      </c>
      <c r="AH301">
        <f>IF(OR(AH$4="",$A301&gt;TODAY()),0,IF(OR(INDEX($B301:$D301,AH$5)="F",AND(AH$6&gt;0,$A301&lt;AH$6),AND(AH$7&gt;0,$A301&gt;AH$7)),0,MAX(0,ROUND((INDEX($E301:$G301,AH$5)-SUMIFS(TF_Timer,TF_Tekniker,AH$4,TF_Dato,$A301))*2,0)/2)))</f>
        <v/>
      </c>
      <c r="AI301">
        <f>IF(OR(AI$4="",$A301&gt;TODAY()),0,IF(OR(INDEX($B301:$D301,AI$5)="F",AND(AI$6&gt;0,$A301&lt;AI$6),AND(AI$7&gt;0,$A301&gt;AI$7)),0,MAX(0,ROUND((INDEX($E301:$G301,AI$5)-SUMIFS(TF_Timer,TF_Tekniker,AI$4,TF_Dato,$A301))*2,0)/2)))</f>
        <v/>
      </c>
      <c r="AJ301">
        <f>IF(OR(AJ$4="",$A301&gt;TODAY()),0,IF(OR(INDEX($B301:$D301,AJ$5)="F",AND(AJ$6&gt;0,$A301&lt;AJ$6),AND(AJ$7&gt;0,$A301&gt;AJ$7)),0,MAX(0,ROUND((INDEX($E301:$G301,AJ$5)-SUMIFS(TF_Timer,TF_Tekniker,AJ$4,TF_Dato,$A301))*2,0)/2)))</f>
        <v/>
      </c>
      <c r="AK301">
        <f>IF(OR(AK$4="",$A301&gt;TODAY()),0,IF(OR(INDEX($B301:$D301,AK$5)="F",AND(AK$6&gt;0,$A301&lt;AK$6),AND(AK$7&gt;0,$A301&gt;AK$7)),0,MAX(0,ROUND((INDEX($E301:$G301,AK$5)-SUMIFS(TF_Timer,TF_Tekniker,AK$4,TF_Dato,$A301))*2,0)/2)))</f>
        <v/>
      </c>
      <c r="AL301">
        <f>IF(OR(AL$4="",$A301&gt;TODAY()),0,IF(OR(INDEX($B301:$D301,AL$5)="F",AND(AL$6&gt;0,$A301&lt;AL$6),AND(AL$7&gt;0,$A301&gt;AL$7)),0,MAX(0,ROUND((INDEX($E301:$G301,AL$5)-SUMIFS(TF_Timer,TF_Tekniker,AL$4,TF_Dato,$A301))*2,0)/2)))</f>
        <v/>
      </c>
      <c r="AM301">
        <f>IF(OR(AM$4="",$A301&gt;TODAY()),0,IF(OR(INDEX($B301:$D301,AM$5)="F",AND(AM$6&gt;0,$A301&lt;AM$6),AND(AM$7&gt;0,$A301&gt;AM$7)),0,MAX(0,ROUND((INDEX($E301:$G301,AM$5)-SUMIFS(TF_Timer,TF_Tekniker,AM$4,TF_Dato,$A301))*2,0)/2)))</f>
        <v/>
      </c>
      <c r="AN301">
        <f>IF(OR(AN$4="",$A301&gt;TODAY()),0,IF(OR(INDEX($B301:$D301,AN$5)="F",AND(AN$6&gt;0,$A301&lt;AN$6),AND(AN$7&gt;0,$A301&gt;AN$7)),0,MAX(0,ROUND((INDEX($E301:$G301,AN$5)-SUMIFS(TF_Timer,TF_Tekniker,AN$4,TF_Dato,$A301))*2,0)/2)))</f>
        <v/>
      </c>
      <c r="AO301">
        <f>IF(OR(AO$4="",$A301&gt;TODAY()),0,IF(OR(INDEX($B301:$D301,AO$5)="F",AND(AO$6&gt;0,$A301&lt;AO$6),AND(AO$7&gt;0,$A301&gt;AO$7)),0,MAX(0,ROUND((INDEX($E301:$G301,AO$5)-SUMIFS(TF_Timer,TF_Tekniker,AO$4,TF_Dato,$A301))*2,0)/2)))</f>
        <v/>
      </c>
      <c r="AP301">
        <f>IF(OR(AP$4="",$A301&gt;TODAY()),0,IF(OR(INDEX($B301:$D301,AP$5)="F",AND(AP$6&gt;0,$A301&lt;AP$6),AND(AP$7&gt;0,$A301&gt;AP$7)),0,MAX(0,ROUND((INDEX($E301:$G301,AP$5)-SUMIFS(TF_Timer,TF_Tekniker,AP$4,TF_Dato,$A301))*2,0)/2)))</f>
        <v/>
      </c>
      <c r="AQ301">
        <f>IF(OR(AQ$4="",$A301&gt;TODAY()),0,IF(OR(INDEX($B301:$D301,AQ$5)="F",AND(AQ$6&gt;0,$A301&lt;AQ$6),AND(AQ$7&gt;0,$A301&gt;AQ$7)),0,MAX(0,ROUND((INDEX($E301:$G301,AQ$5)-SUMIFS(TF_Timer,TF_Tekniker,AQ$4,TF_Dato,$A301))*2,0)/2)))</f>
        <v/>
      </c>
      <c r="AR301">
        <f>IF(OR(AR$4="",$A301&gt;TODAY()),0,IF(OR(INDEX($B301:$D301,AR$5)="F",AND(AR$6&gt;0,$A301&lt;AR$6),AND(AR$7&gt;0,$A301&gt;AR$7)),0,MAX(0,ROUND((INDEX($E301:$G301,AR$5)-SUMIFS(TF_Timer,TF_Tekniker,AR$4,TF_Dato,$A301))*2,0)/2)))</f>
        <v/>
      </c>
      <c r="AS301">
        <f>IF(OR(AS$4="",$A301&gt;TODAY()),0,IF(OR(INDEX($B301:$D301,AS$5)="F",AND(AS$6&gt;0,$A301&lt;AS$6),AND(AS$7&gt;0,$A301&gt;AS$7)),0,MAX(0,ROUND((INDEX($E301:$G301,AS$5)-SUMIFS(TF_Timer,TF_Tekniker,AS$4,TF_Dato,$A301))*2,0)/2)))</f>
        <v/>
      </c>
      <c r="AT301">
        <f>IF(OR(AT$4="",$A301&gt;TODAY()),0,IF(OR(INDEX($B301:$D301,AT$5)="F",AND(AT$6&gt;0,$A301&lt;AT$6),AND(AT$7&gt;0,$A301&gt;AT$7)),0,MAX(0,ROUND((INDEX($E301:$G301,AT$5)-SUMIFS(TF_Timer,TF_Tekniker,AT$4,TF_Dato,$A301))*2,0)/2)))</f>
        <v/>
      </c>
      <c r="AU301">
        <f>IF(OR(AU$4="",$A301&gt;TODAY()),0,IF(OR(INDEX($B301:$D301,AU$5)="F",AND(AU$6&gt;0,$A301&lt;AU$6),AND(AU$7&gt;0,$A301&gt;AU$7)),0,MAX(0,ROUND((INDEX($E301:$G301,AU$5)-SUMIFS(TF_Timer,TF_Tekniker,AU$4,TF_Dato,$A301))*2,0)/2)))</f>
        <v/>
      </c>
      <c r="AV301">
        <f>IF(OR(AV$4="",$A301&gt;TODAY()),0,IF(OR(INDEX($B301:$D301,AV$5)="F",AND(AV$6&gt;0,$A301&lt;AV$6),AND(AV$7&gt;0,$A301&gt;AV$7)),0,MAX(0,ROUND((INDEX($E301:$G301,AV$5)-SUMIFS(TF_Timer,TF_Tekniker,AV$4,TF_Dato,$A301))*2,0)/2)))</f>
        <v/>
      </c>
      <c r="AW301">
        <f>IF(OR(AW$4="",$A301&gt;TODAY()),0,IF(OR(INDEX($B301:$D301,AW$5)="F",AND(AW$6&gt;0,$A301&lt;AW$6),AND(AW$7&gt;0,$A301&gt;AW$7)),0,MAX(0,ROUND((INDEX($E301:$G301,AW$5)-SUMIFS(TF_Timer,TF_Tekniker,AW$4,TF_Dato,$A301))*2,0)/2)))</f>
        <v/>
      </c>
      <c r="AX301">
        <f>IF(OR(AX$4="",$A301&gt;TODAY()),0,IF(OR(INDEX($B301:$D301,AX$5)="F",AND(AX$6&gt;0,$A301&lt;AX$6),AND(AX$7&gt;0,$A301&gt;AX$7)),0,MAX(0,ROUND((INDEX($E301:$G301,AX$5)-SUMIFS(TF_Timer,TF_Tekniker,AX$4,TF_Dato,$A301))*2,0)/2)))</f>
        <v/>
      </c>
      <c r="AY301">
        <f>IF(OR(AY$4="",$A301&gt;TODAY()),0,IF(OR(INDEX($B301:$D301,AY$5)="F",AND(AY$6&gt;0,$A301&lt;AY$6),AND(AY$7&gt;0,$A301&gt;AY$7)),0,MAX(0,ROUND((INDEX($E301:$G301,AY$5)-SUMIFS(TF_Timer,TF_Tekniker,AY$4,TF_Dato,$A301))*2,0)/2)))</f>
        <v/>
      </c>
      <c r="AZ301">
        <f>IF(OR(AZ$4="",$A301&gt;TODAY()),0,IF(OR(INDEX($B301:$D301,AZ$5)="F",AND(AZ$6&gt;0,$A301&lt;AZ$6),AND(AZ$7&gt;0,$A301&gt;AZ$7)),0,MAX(0,ROUND((INDEX($E301:$G301,AZ$5)-SUMIFS(TF_Timer,TF_Tekniker,AZ$4,TF_Dato,$A301))*2,0)/2)))</f>
        <v/>
      </c>
      <c r="BA301">
        <f>IF(OR(BA$4="",$A301&gt;TODAY()),0,IF(OR(INDEX($B301:$D301,BA$5)="F",AND(BA$6&gt;0,$A301&lt;BA$6),AND(BA$7&gt;0,$A301&gt;BA$7)),0,MAX(0,ROUND((INDEX($E301:$G301,BA$5)-SUMIFS(TF_Timer,TF_Tekniker,BA$4,TF_Dato,$A301))*2,0)/2)))</f>
        <v/>
      </c>
      <c r="BB301">
        <f>IF(OR(BB$4="",$A301&gt;TODAY()),0,IF(OR(INDEX($B301:$D301,BB$5)="F",AND(BB$6&gt;0,$A301&lt;BB$6),AND(BB$7&gt;0,$A301&gt;BB$7)),0,MAX(0,ROUND((INDEX($E301:$G301,BB$5)-SUMIFS(TF_Timer,TF_Tekniker,BB$4,TF_Dato,$A301))*2,0)/2)))</f>
        <v/>
      </c>
      <c r="BC301">
        <f>IF(OR(BC$4="",$A301&gt;TODAY()),0,IF(OR(INDEX($B301:$D301,BC$5)="F",AND(BC$6&gt;0,$A301&lt;BC$6),AND(BC$7&gt;0,$A301&gt;BC$7)),0,MAX(0,ROUND((INDEX($E301:$G301,BC$5)-SUMIFS(TF_Timer,TF_Tekniker,BC$4,TF_Dato,$A301))*2,0)/2)))</f>
        <v/>
      </c>
      <c r="BD301">
        <f>IF(OR(BD$4="",$A301&gt;TODAY()),0,IF(OR(INDEX($B301:$D301,BD$5)="F",AND(BD$6&gt;0,$A301&lt;BD$6),AND(BD$7&gt;0,$A301&gt;BD$7)),0,MAX(0,ROUND((INDEX($E301:$G301,BD$5)-SUMIFS(TF_Timer,TF_Tekniker,BD$4,TF_Dato,$A301))*2,0)/2)))</f>
        <v/>
      </c>
      <c r="BE301">
        <f>IF(OR(BE$4="",$A301&gt;TODAY()),0,IF(OR(INDEX($B301:$D301,BE$5)="F",AND(BE$6&gt;0,$A301&lt;BE$6),AND(BE$7&gt;0,$A301&gt;BE$7)),0,MAX(0,ROUND((INDEX($E301:$G301,BE$5)-SUMIFS(TF_Timer,TF_Tekniker,BE$4,TF_Dato,$A301))*2,0)/2)))</f>
        <v/>
      </c>
      <c r="BF301">
        <f>IF(OR(BF$4="",$A301&gt;TODAY()),0,IF(OR(INDEX($B301:$D301,BF$5)="F",AND(BF$6&gt;0,$A301&lt;BF$6),AND(BF$7&gt;0,$A301&gt;BF$7)),0,MAX(0,ROUND((INDEX($E301:$G301,BF$5)-SUMIFS(TF_Timer,TF_Tekniker,BF$4,TF_Dato,$A301))*2,0)/2)))</f>
        <v/>
      </c>
      <c r="BG301">
        <f>IF(OR(BG$4="",$A301&gt;TODAY()),0,IF(OR(INDEX($B301:$D301,BG$5)="F",AND(BG$6&gt;0,$A301&lt;BG$6),AND(BG$7&gt;0,$A301&gt;BG$7)),0,MAX(0,ROUND((INDEX($E301:$G301,BG$5)-SUMIFS(TF_Timer,TF_Tekniker,BG$4,TF_Dato,$A301))*2,0)/2)))</f>
        <v/>
      </c>
      <c r="BH301">
        <f>IF(OR(BH$4="",$A301&gt;TODAY()),0,IF(OR(INDEX($B301:$D301,BH$5)="F",AND(BH$6&gt;0,$A301&lt;BH$6),AND(BH$7&gt;0,$A301&gt;BH$7)),0,MAX(0,ROUND((INDEX($E301:$G301,BH$5)-SUMIFS(TF_Timer,TF_Tekniker,BH$4,TF_Dato,$A301))*2,0)/2)))</f>
        <v/>
      </c>
      <c r="BI301">
        <f>IF(OR(BI$4="",$A301&gt;TODAY()),0,IF(OR(INDEX($B301:$D301,BI$5)="F",AND(BI$6&gt;0,$A301&lt;BI$6),AND(BI$7&gt;0,$A301&gt;BI$7)),0,MAX(0,ROUND((INDEX($E301:$G301,BI$5)-SUMIFS(TF_Timer,TF_Tekniker,BI$4,TF_Dato,$A301))*2,0)/2)))</f>
        <v/>
      </c>
    </row>
    <row r="302">
      <c r="A302" s="64">
        <f>A301+1</f>
        <v/>
      </c>
      <c r="B302">
        <f>IF(MOD($A302-INDEX(SkiftStart,1),Syklus)&lt;DagK,"K",IF(MOD($A302-INDEX(SkiftStart,1),Syklus)&lt;DagK+DagH,"H",IF(MOD($A302-INDEX(SkiftStart,1),Syklus)&lt;DagK+DagH+DagD,"D","F")))</f>
        <v/>
      </c>
      <c r="C302">
        <f>IF(MOD($A302-INDEX(SkiftStart,2),Syklus)&lt;DagK,"K",IF(MOD($A302-INDEX(SkiftStart,2),Syklus)&lt;DagK+DagH,"H",IF(MOD($A302-INDEX(SkiftStart,2),Syklus)&lt;DagK+DagH+DagD,"D","F")))</f>
        <v/>
      </c>
      <c r="D302">
        <f>IF(MOD($A302-INDEX(SkiftStart,3),Syklus)&lt;DagK,"K",IF(MOD($A302-INDEX(SkiftStart,3),Syklus)&lt;DagK+DagH,"H",IF(MOD($A302-INDEX(SkiftStart,3),Syklus)&lt;DagK+DagH+DagD,"D","F")))</f>
        <v/>
      </c>
      <c r="E302">
        <f>IF(B302="F",0,IF(WEEKDAY($A302,2)=5,INDEX(TimerFr,MATCH(B302,FaseKode,0)),INDEX(TimerMT,MATCH(B302,FaseKode,0))))</f>
        <v/>
      </c>
      <c r="F302">
        <f>IF(C302="F",0,IF(WEEKDAY($A302,2)=5,INDEX(TimerFr,MATCH(C302,FaseKode,0)),INDEX(TimerMT,MATCH(C302,FaseKode,0))))</f>
        <v/>
      </c>
      <c r="G302">
        <f>IF(D302="F",0,IF(WEEKDAY($A302,2)=5,INDEX(TimerFr,MATCH(D302,FaseKode,0)),INDEX(TimerMT,MATCH(D302,FaseKode,0))))</f>
        <v/>
      </c>
      <c r="H302">
        <f>IF(OR(H$4="",$A302&gt;TODAY()),0,IF(OR(INDEX($B302:$D302,H$5)="F",AND(H$6&gt;0,$A302&lt;H$6),AND(H$7&gt;0,$A302&gt;H$7)),0,MAX(0,ROUND((INDEX($E302:$G302,H$5)-SUMIFS(TF_Timer,TF_Tekniker,H$4,TF_Dato,$A302))*2,0)/2)))</f>
        <v/>
      </c>
      <c r="I302">
        <f>IF(OR(I$4="",$A302&gt;TODAY()),0,IF(OR(INDEX($B302:$D302,I$5)="F",AND(I$6&gt;0,$A302&lt;I$6),AND(I$7&gt;0,$A302&gt;I$7)),0,MAX(0,ROUND((INDEX($E302:$G302,I$5)-SUMIFS(TF_Timer,TF_Tekniker,I$4,TF_Dato,$A302))*2,0)/2)))</f>
        <v/>
      </c>
      <c r="J302">
        <f>IF(OR(J$4="",$A302&gt;TODAY()),0,IF(OR(INDEX($B302:$D302,J$5)="F",AND(J$6&gt;0,$A302&lt;J$6),AND(J$7&gt;0,$A302&gt;J$7)),0,MAX(0,ROUND((INDEX($E302:$G302,J$5)-SUMIFS(TF_Timer,TF_Tekniker,J$4,TF_Dato,$A302))*2,0)/2)))</f>
        <v/>
      </c>
      <c r="K302">
        <f>IF(OR(K$4="",$A302&gt;TODAY()),0,IF(OR(INDEX($B302:$D302,K$5)="F",AND(K$6&gt;0,$A302&lt;K$6),AND(K$7&gt;0,$A302&gt;K$7)),0,MAX(0,ROUND((INDEX($E302:$G302,K$5)-SUMIFS(TF_Timer,TF_Tekniker,K$4,TF_Dato,$A302))*2,0)/2)))</f>
        <v/>
      </c>
      <c r="L302">
        <f>IF(OR(L$4="",$A302&gt;TODAY()),0,IF(OR(INDEX($B302:$D302,L$5)="F",AND(L$6&gt;0,$A302&lt;L$6),AND(L$7&gt;0,$A302&gt;L$7)),0,MAX(0,ROUND((INDEX($E302:$G302,L$5)-SUMIFS(TF_Timer,TF_Tekniker,L$4,TF_Dato,$A302))*2,0)/2)))</f>
        <v/>
      </c>
      <c r="M302">
        <f>IF(OR(M$4="",$A302&gt;TODAY()),0,IF(OR(INDEX($B302:$D302,M$5)="F",AND(M$6&gt;0,$A302&lt;M$6),AND(M$7&gt;0,$A302&gt;M$7)),0,MAX(0,ROUND((INDEX($E302:$G302,M$5)-SUMIFS(TF_Timer,TF_Tekniker,M$4,TF_Dato,$A302))*2,0)/2)))</f>
        <v/>
      </c>
      <c r="N302">
        <f>IF(OR(N$4="",$A302&gt;TODAY()),0,IF(OR(INDEX($B302:$D302,N$5)="F",AND(N$6&gt;0,$A302&lt;N$6),AND(N$7&gt;0,$A302&gt;N$7)),0,MAX(0,ROUND((INDEX($E302:$G302,N$5)-SUMIFS(TF_Timer,TF_Tekniker,N$4,TF_Dato,$A302))*2,0)/2)))</f>
        <v/>
      </c>
      <c r="O302">
        <f>IF(OR(O$4="",$A302&gt;TODAY()),0,IF(OR(INDEX($B302:$D302,O$5)="F",AND(O$6&gt;0,$A302&lt;O$6),AND(O$7&gt;0,$A302&gt;O$7)),0,MAX(0,ROUND((INDEX($E302:$G302,O$5)-SUMIFS(TF_Timer,TF_Tekniker,O$4,TF_Dato,$A302))*2,0)/2)))</f>
        <v/>
      </c>
      <c r="P302">
        <f>IF(OR(P$4="",$A302&gt;TODAY()),0,IF(OR(INDEX($B302:$D302,P$5)="F",AND(P$6&gt;0,$A302&lt;P$6),AND(P$7&gt;0,$A302&gt;P$7)),0,MAX(0,ROUND((INDEX($E302:$G302,P$5)-SUMIFS(TF_Timer,TF_Tekniker,P$4,TF_Dato,$A302))*2,0)/2)))</f>
        <v/>
      </c>
      <c r="Q302">
        <f>IF(OR(Q$4="",$A302&gt;TODAY()),0,IF(OR(INDEX($B302:$D302,Q$5)="F",AND(Q$6&gt;0,$A302&lt;Q$6),AND(Q$7&gt;0,$A302&gt;Q$7)),0,MAX(0,ROUND((INDEX($E302:$G302,Q$5)-SUMIFS(TF_Timer,TF_Tekniker,Q$4,TF_Dato,$A302))*2,0)/2)))</f>
        <v/>
      </c>
      <c r="R302">
        <f>IF(OR(R$4="",$A302&gt;TODAY()),0,IF(OR(INDEX($B302:$D302,R$5)="F",AND(R$6&gt;0,$A302&lt;R$6),AND(R$7&gt;0,$A302&gt;R$7)),0,MAX(0,ROUND((INDEX($E302:$G302,R$5)-SUMIFS(TF_Timer,TF_Tekniker,R$4,TF_Dato,$A302))*2,0)/2)))</f>
        <v/>
      </c>
      <c r="S302">
        <f>IF(OR(S$4="",$A302&gt;TODAY()),0,IF(OR(INDEX($B302:$D302,S$5)="F",AND(S$6&gt;0,$A302&lt;S$6),AND(S$7&gt;0,$A302&gt;S$7)),0,MAX(0,ROUND((INDEX($E302:$G302,S$5)-SUMIFS(TF_Timer,TF_Tekniker,S$4,TF_Dato,$A302))*2,0)/2)))</f>
        <v/>
      </c>
      <c r="T302">
        <f>IF(OR(T$4="",$A302&gt;TODAY()),0,IF(OR(INDEX($B302:$D302,T$5)="F",AND(T$6&gt;0,$A302&lt;T$6),AND(T$7&gt;0,$A302&gt;T$7)),0,MAX(0,ROUND((INDEX($E302:$G302,T$5)-SUMIFS(TF_Timer,TF_Tekniker,T$4,TF_Dato,$A302))*2,0)/2)))</f>
        <v/>
      </c>
      <c r="U302">
        <f>IF(OR(U$4="",$A302&gt;TODAY()),0,IF(OR(INDEX($B302:$D302,U$5)="F",AND(U$6&gt;0,$A302&lt;U$6),AND(U$7&gt;0,$A302&gt;U$7)),0,MAX(0,ROUND((INDEX($E302:$G302,U$5)-SUMIFS(TF_Timer,TF_Tekniker,U$4,TF_Dato,$A302))*2,0)/2)))</f>
        <v/>
      </c>
      <c r="V302">
        <f>IF(OR(V$4="",$A302&gt;TODAY()),0,IF(OR(INDEX($B302:$D302,V$5)="F",AND(V$6&gt;0,$A302&lt;V$6),AND(V$7&gt;0,$A302&gt;V$7)),0,MAX(0,ROUND((INDEX($E302:$G302,V$5)-SUMIFS(TF_Timer,TF_Tekniker,V$4,TF_Dato,$A302))*2,0)/2)))</f>
        <v/>
      </c>
      <c r="W302">
        <f>IF(OR(W$4="",$A302&gt;TODAY()),0,IF(OR(INDEX($B302:$D302,W$5)="F",AND(W$6&gt;0,$A302&lt;W$6),AND(W$7&gt;0,$A302&gt;W$7)),0,MAX(0,ROUND((INDEX($E302:$G302,W$5)-SUMIFS(TF_Timer,TF_Tekniker,W$4,TF_Dato,$A302))*2,0)/2)))</f>
        <v/>
      </c>
      <c r="X302">
        <f>IF(OR(X$4="",$A302&gt;TODAY()),0,IF(OR(INDEX($B302:$D302,X$5)="F",AND(X$6&gt;0,$A302&lt;X$6),AND(X$7&gt;0,$A302&gt;X$7)),0,MAX(0,ROUND((INDEX($E302:$G302,X$5)-SUMIFS(TF_Timer,TF_Tekniker,X$4,TF_Dato,$A302))*2,0)/2)))</f>
        <v/>
      </c>
      <c r="Y302">
        <f>IF(OR(Y$4="",$A302&gt;TODAY()),0,IF(OR(INDEX($B302:$D302,Y$5)="F",AND(Y$6&gt;0,$A302&lt;Y$6),AND(Y$7&gt;0,$A302&gt;Y$7)),0,MAX(0,ROUND((INDEX($E302:$G302,Y$5)-SUMIFS(TF_Timer,TF_Tekniker,Y$4,TF_Dato,$A302))*2,0)/2)))</f>
        <v/>
      </c>
      <c r="Z302">
        <f>IF(OR(Z$4="",$A302&gt;TODAY()),0,IF(OR(INDEX($B302:$D302,Z$5)="F",AND(Z$6&gt;0,$A302&lt;Z$6),AND(Z$7&gt;0,$A302&gt;Z$7)),0,MAX(0,ROUND((INDEX($E302:$G302,Z$5)-SUMIFS(TF_Timer,TF_Tekniker,Z$4,TF_Dato,$A302))*2,0)/2)))</f>
        <v/>
      </c>
      <c r="AA302">
        <f>IF(OR(AA$4="",$A302&gt;TODAY()),0,IF(OR(INDEX($B302:$D302,AA$5)="F",AND(AA$6&gt;0,$A302&lt;AA$6),AND(AA$7&gt;0,$A302&gt;AA$7)),0,MAX(0,ROUND((INDEX($E302:$G302,AA$5)-SUMIFS(TF_Timer,TF_Tekniker,AA$4,TF_Dato,$A302))*2,0)/2)))</f>
        <v/>
      </c>
      <c r="AB302">
        <f>IF(OR(AB$4="",$A302&gt;TODAY()),0,IF(OR(INDEX($B302:$D302,AB$5)="F",AND(AB$6&gt;0,$A302&lt;AB$6),AND(AB$7&gt;0,$A302&gt;AB$7)),0,MAX(0,ROUND((INDEX($E302:$G302,AB$5)-SUMIFS(TF_Timer,TF_Tekniker,AB$4,TF_Dato,$A302))*2,0)/2)))</f>
        <v/>
      </c>
      <c r="AC302">
        <f>IF(OR(AC$4="",$A302&gt;TODAY()),0,IF(OR(INDEX($B302:$D302,AC$5)="F",AND(AC$6&gt;0,$A302&lt;AC$6),AND(AC$7&gt;0,$A302&gt;AC$7)),0,MAX(0,ROUND((INDEX($E302:$G302,AC$5)-SUMIFS(TF_Timer,TF_Tekniker,AC$4,TF_Dato,$A302))*2,0)/2)))</f>
        <v/>
      </c>
      <c r="AD302">
        <f>IF(OR(AD$4="",$A302&gt;TODAY()),0,IF(OR(INDEX($B302:$D302,AD$5)="F",AND(AD$6&gt;0,$A302&lt;AD$6),AND(AD$7&gt;0,$A302&gt;AD$7)),0,MAX(0,ROUND((INDEX($E302:$G302,AD$5)-SUMIFS(TF_Timer,TF_Tekniker,AD$4,TF_Dato,$A302))*2,0)/2)))</f>
        <v/>
      </c>
      <c r="AE302">
        <f>IF(OR(AE$4="",$A302&gt;TODAY()),0,IF(OR(INDEX($B302:$D302,AE$5)="F",AND(AE$6&gt;0,$A302&lt;AE$6),AND(AE$7&gt;0,$A302&gt;AE$7)),0,MAX(0,ROUND((INDEX($E302:$G302,AE$5)-SUMIFS(TF_Timer,TF_Tekniker,AE$4,TF_Dato,$A302))*2,0)/2)))</f>
        <v/>
      </c>
      <c r="AF302">
        <f>IF(OR(AF$4="",$A302&gt;TODAY()),0,IF(OR(INDEX($B302:$D302,AF$5)="F",AND(AF$6&gt;0,$A302&lt;AF$6),AND(AF$7&gt;0,$A302&gt;AF$7)),0,MAX(0,ROUND((INDEX($E302:$G302,AF$5)-SUMIFS(TF_Timer,TF_Tekniker,AF$4,TF_Dato,$A302))*2,0)/2)))</f>
        <v/>
      </c>
      <c r="AG302">
        <f>IF(OR(AG$4="",$A302&gt;TODAY()),0,IF(OR(INDEX($B302:$D302,AG$5)="F",AND(AG$6&gt;0,$A302&lt;AG$6),AND(AG$7&gt;0,$A302&gt;AG$7)),0,MAX(0,ROUND((INDEX($E302:$G302,AG$5)-SUMIFS(TF_Timer,TF_Tekniker,AG$4,TF_Dato,$A302))*2,0)/2)))</f>
        <v/>
      </c>
      <c r="AH302">
        <f>IF(OR(AH$4="",$A302&gt;TODAY()),0,IF(OR(INDEX($B302:$D302,AH$5)="F",AND(AH$6&gt;0,$A302&lt;AH$6),AND(AH$7&gt;0,$A302&gt;AH$7)),0,MAX(0,ROUND((INDEX($E302:$G302,AH$5)-SUMIFS(TF_Timer,TF_Tekniker,AH$4,TF_Dato,$A302))*2,0)/2)))</f>
        <v/>
      </c>
      <c r="AI302">
        <f>IF(OR(AI$4="",$A302&gt;TODAY()),0,IF(OR(INDEX($B302:$D302,AI$5)="F",AND(AI$6&gt;0,$A302&lt;AI$6),AND(AI$7&gt;0,$A302&gt;AI$7)),0,MAX(0,ROUND((INDEX($E302:$G302,AI$5)-SUMIFS(TF_Timer,TF_Tekniker,AI$4,TF_Dato,$A302))*2,0)/2)))</f>
        <v/>
      </c>
      <c r="AJ302">
        <f>IF(OR(AJ$4="",$A302&gt;TODAY()),0,IF(OR(INDEX($B302:$D302,AJ$5)="F",AND(AJ$6&gt;0,$A302&lt;AJ$6),AND(AJ$7&gt;0,$A302&gt;AJ$7)),0,MAX(0,ROUND((INDEX($E302:$G302,AJ$5)-SUMIFS(TF_Timer,TF_Tekniker,AJ$4,TF_Dato,$A302))*2,0)/2)))</f>
        <v/>
      </c>
      <c r="AK302">
        <f>IF(OR(AK$4="",$A302&gt;TODAY()),0,IF(OR(INDEX($B302:$D302,AK$5)="F",AND(AK$6&gt;0,$A302&lt;AK$6),AND(AK$7&gt;0,$A302&gt;AK$7)),0,MAX(0,ROUND((INDEX($E302:$G302,AK$5)-SUMIFS(TF_Timer,TF_Tekniker,AK$4,TF_Dato,$A302))*2,0)/2)))</f>
        <v/>
      </c>
      <c r="AL302">
        <f>IF(OR(AL$4="",$A302&gt;TODAY()),0,IF(OR(INDEX($B302:$D302,AL$5)="F",AND(AL$6&gt;0,$A302&lt;AL$6),AND(AL$7&gt;0,$A302&gt;AL$7)),0,MAX(0,ROUND((INDEX($E302:$G302,AL$5)-SUMIFS(TF_Timer,TF_Tekniker,AL$4,TF_Dato,$A302))*2,0)/2)))</f>
        <v/>
      </c>
      <c r="AM302">
        <f>IF(OR(AM$4="",$A302&gt;TODAY()),0,IF(OR(INDEX($B302:$D302,AM$5)="F",AND(AM$6&gt;0,$A302&lt;AM$6),AND(AM$7&gt;0,$A302&gt;AM$7)),0,MAX(0,ROUND((INDEX($E302:$G302,AM$5)-SUMIFS(TF_Timer,TF_Tekniker,AM$4,TF_Dato,$A302))*2,0)/2)))</f>
        <v/>
      </c>
      <c r="AN302">
        <f>IF(OR(AN$4="",$A302&gt;TODAY()),0,IF(OR(INDEX($B302:$D302,AN$5)="F",AND(AN$6&gt;0,$A302&lt;AN$6),AND(AN$7&gt;0,$A302&gt;AN$7)),0,MAX(0,ROUND((INDEX($E302:$G302,AN$5)-SUMIFS(TF_Timer,TF_Tekniker,AN$4,TF_Dato,$A302))*2,0)/2)))</f>
        <v/>
      </c>
      <c r="AO302">
        <f>IF(OR(AO$4="",$A302&gt;TODAY()),0,IF(OR(INDEX($B302:$D302,AO$5)="F",AND(AO$6&gt;0,$A302&lt;AO$6),AND(AO$7&gt;0,$A302&gt;AO$7)),0,MAX(0,ROUND((INDEX($E302:$G302,AO$5)-SUMIFS(TF_Timer,TF_Tekniker,AO$4,TF_Dato,$A302))*2,0)/2)))</f>
        <v/>
      </c>
      <c r="AP302">
        <f>IF(OR(AP$4="",$A302&gt;TODAY()),0,IF(OR(INDEX($B302:$D302,AP$5)="F",AND(AP$6&gt;0,$A302&lt;AP$6),AND(AP$7&gt;0,$A302&gt;AP$7)),0,MAX(0,ROUND((INDEX($E302:$G302,AP$5)-SUMIFS(TF_Timer,TF_Tekniker,AP$4,TF_Dato,$A302))*2,0)/2)))</f>
        <v/>
      </c>
      <c r="AQ302">
        <f>IF(OR(AQ$4="",$A302&gt;TODAY()),0,IF(OR(INDEX($B302:$D302,AQ$5)="F",AND(AQ$6&gt;0,$A302&lt;AQ$6),AND(AQ$7&gt;0,$A302&gt;AQ$7)),0,MAX(0,ROUND((INDEX($E302:$G302,AQ$5)-SUMIFS(TF_Timer,TF_Tekniker,AQ$4,TF_Dato,$A302))*2,0)/2)))</f>
        <v/>
      </c>
      <c r="AR302">
        <f>IF(OR(AR$4="",$A302&gt;TODAY()),0,IF(OR(INDEX($B302:$D302,AR$5)="F",AND(AR$6&gt;0,$A302&lt;AR$6),AND(AR$7&gt;0,$A302&gt;AR$7)),0,MAX(0,ROUND((INDEX($E302:$G302,AR$5)-SUMIFS(TF_Timer,TF_Tekniker,AR$4,TF_Dato,$A302))*2,0)/2)))</f>
        <v/>
      </c>
      <c r="AS302">
        <f>IF(OR(AS$4="",$A302&gt;TODAY()),0,IF(OR(INDEX($B302:$D302,AS$5)="F",AND(AS$6&gt;0,$A302&lt;AS$6),AND(AS$7&gt;0,$A302&gt;AS$7)),0,MAX(0,ROUND((INDEX($E302:$G302,AS$5)-SUMIFS(TF_Timer,TF_Tekniker,AS$4,TF_Dato,$A302))*2,0)/2)))</f>
        <v/>
      </c>
      <c r="AT302">
        <f>IF(OR(AT$4="",$A302&gt;TODAY()),0,IF(OR(INDEX($B302:$D302,AT$5)="F",AND(AT$6&gt;0,$A302&lt;AT$6),AND(AT$7&gt;0,$A302&gt;AT$7)),0,MAX(0,ROUND((INDEX($E302:$G302,AT$5)-SUMIFS(TF_Timer,TF_Tekniker,AT$4,TF_Dato,$A302))*2,0)/2)))</f>
        <v/>
      </c>
      <c r="AU302">
        <f>IF(OR(AU$4="",$A302&gt;TODAY()),0,IF(OR(INDEX($B302:$D302,AU$5)="F",AND(AU$6&gt;0,$A302&lt;AU$6),AND(AU$7&gt;0,$A302&gt;AU$7)),0,MAX(0,ROUND((INDEX($E302:$G302,AU$5)-SUMIFS(TF_Timer,TF_Tekniker,AU$4,TF_Dato,$A302))*2,0)/2)))</f>
        <v/>
      </c>
      <c r="AV302">
        <f>IF(OR(AV$4="",$A302&gt;TODAY()),0,IF(OR(INDEX($B302:$D302,AV$5)="F",AND(AV$6&gt;0,$A302&lt;AV$6),AND(AV$7&gt;0,$A302&gt;AV$7)),0,MAX(0,ROUND((INDEX($E302:$G302,AV$5)-SUMIFS(TF_Timer,TF_Tekniker,AV$4,TF_Dato,$A302))*2,0)/2)))</f>
        <v/>
      </c>
      <c r="AW302">
        <f>IF(OR(AW$4="",$A302&gt;TODAY()),0,IF(OR(INDEX($B302:$D302,AW$5)="F",AND(AW$6&gt;0,$A302&lt;AW$6),AND(AW$7&gt;0,$A302&gt;AW$7)),0,MAX(0,ROUND((INDEX($E302:$G302,AW$5)-SUMIFS(TF_Timer,TF_Tekniker,AW$4,TF_Dato,$A302))*2,0)/2)))</f>
        <v/>
      </c>
      <c r="AX302">
        <f>IF(OR(AX$4="",$A302&gt;TODAY()),0,IF(OR(INDEX($B302:$D302,AX$5)="F",AND(AX$6&gt;0,$A302&lt;AX$6),AND(AX$7&gt;0,$A302&gt;AX$7)),0,MAX(0,ROUND((INDEX($E302:$G302,AX$5)-SUMIFS(TF_Timer,TF_Tekniker,AX$4,TF_Dato,$A302))*2,0)/2)))</f>
        <v/>
      </c>
      <c r="AY302">
        <f>IF(OR(AY$4="",$A302&gt;TODAY()),0,IF(OR(INDEX($B302:$D302,AY$5)="F",AND(AY$6&gt;0,$A302&lt;AY$6),AND(AY$7&gt;0,$A302&gt;AY$7)),0,MAX(0,ROUND((INDEX($E302:$G302,AY$5)-SUMIFS(TF_Timer,TF_Tekniker,AY$4,TF_Dato,$A302))*2,0)/2)))</f>
        <v/>
      </c>
      <c r="AZ302">
        <f>IF(OR(AZ$4="",$A302&gt;TODAY()),0,IF(OR(INDEX($B302:$D302,AZ$5)="F",AND(AZ$6&gt;0,$A302&lt;AZ$6),AND(AZ$7&gt;0,$A302&gt;AZ$7)),0,MAX(0,ROUND((INDEX($E302:$G302,AZ$5)-SUMIFS(TF_Timer,TF_Tekniker,AZ$4,TF_Dato,$A302))*2,0)/2)))</f>
        <v/>
      </c>
      <c r="BA302">
        <f>IF(OR(BA$4="",$A302&gt;TODAY()),0,IF(OR(INDEX($B302:$D302,BA$5)="F",AND(BA$6&gt;0,$A302&lt;BA$6),AND(BA$7&gt;0,$A302&gt;BA$7)),0,MAX(0,ROUND((INDEX($E302:$G302,BA$5)-SUMIFS(TF_Timer,TF_Tekniker,BA$4,TF_Dato,$A302))*2,0)/2)))</f>
        <v/>
      </c>
      <c r="BB302">
        <f>IF(OR(BB$4="",$A302&gt;TODAY()),0,IF(OR(INDEX($B302:$D302,BB$5)="F",AND(BB$6&gt;0,$A302&lt;BB$6),AND(BB$7&gt;0,$A302&gt;BB$7)),0,MAX(0,ROUND((INDEX($E302:$G302,BB$5)-SUMIFS(TF_Timer,TF_Tekniker,BB$4,TF_Dato,$A302))*2,0)/2)))</f>
        <v/>
      </c>
      <c r="BC302">
        <f>IF(OR(BC$4="",$A302&gt;TODAY()),0,IF(OR(INDEX($B302:$D302,BC$5)="F",AND(BC$6&gt;0,$A302&lt;BC$6),AND(BC$7&gt;0,$A302&gt;BC$7)),0,MAX(0,ROUND((INDEX($E302:$G302,BC$5)-SUMIFS(TF_Timer,TF_Tekniker,BC$4,TF_Dato,$A302))*2,0)/2)))</f>
        <v/>
      </c>
      <c r="BD302">
        <f>IF(OR(BD$4="",$A302&gt;TODAY()),0,IF(OR(INDEX($B302:$D302,BD$5)="F",AND(BD$6&gt;0,$A302&lt;BD$6),AND(BD$7&gt;0,$A302&gt;BD$7)),0,MAX(0,ROUND((INDEX($E302:$G302,BD$5)-SUMIFS(TF_Timer,TF_Tekniker,BD$4,TF_Dato,$A302))*2,0)/2)))</f>
        <v/>
      </c>
      <c r="BE302">
        <f>IF(OR(BE$4="",$A302&gt;TODAY()),0,IF(OR(INDEX($B302:$D302,BE$5)="F",AND(BE$6&gt;0,$A302&lt;BE$6),AND(BE$7&gt;0,$A302&gt;BE$7)),0,MAX(0,ROUND((INDEX($E302:$G302,BE$5)-SUMIFS(TF_Timer,TF_Tekniker,BE$4,TF_Dato,$A302))*2,0)/2)))</f>
        <v/>
      </c>
      <c r="BF302">
        <f>IF(OR(BF$4="",$A302&gt;TODAY()),0,IF(OR(INDEX($B302:$D302,BF$5)="F",AND(BF$6&gt;0,$A302&lt;BF$6),AND(BF$7&gt;0,$A302&gt;BF$7)),0,MAX(0,ROUND((INDEX($E302:$G302,BF$5)-SUMIFS(TF_Timer,TF_Tekniker,BF$4,TF_Dato,$A302))*2,0)/2)))</f>
        <v/>
      </c>
      <c r="BG302">
        <f>IF(OR(BG$4="",$A302&gt;TODAY()),0,IF(OR(INDEX($B302:$D302,BG$5)="F",AND(BG$6&gt;0,$A302&lt;BG$6),AND(BG$7&gt;0,$A302&gt;BG$7)),0,MAX(0,ROUND((INDEX($E302:$G302,BG$5)-SUMIFS(TF_Timer,TF_Tekniker,BG$4,TF_Dato,$A302))*2,0)/2)))</f>
        <v/>
      </c>
      <c r="BH302">
        <f>IF(OR(BH$4="",$A302&gt;TODAY()),0,IF(OR(INDEX($B302:$D302,BH$5)="F",AND(BH$6&gt;0,$A302&lt;BH$6),AND(BH$7&gt;0,$A302&gt;BH$7)),0,MAX(0,ROUND((INDEX($E302:$G302,BH$5)-SUMIFS(TF_Timer,TF_Tekniker,BH$4,TF_Dato,$A302))*2,0)/2)))</f>
        <v/>
      </c>
      <c r="BI302">
        <f>IF(OR(BI$4="",$A302&gt;TODAY()),0,IF(OR(INDEX($B302:$D302,BI$5)="F",AND(BI$6&gt;0,$A302&lt;BI$6),AND(BI$7&gt;0,$A302&gt;BI$7)),0,MAX(0,ROUND((INDEX($E302:$G302,BI$5)-SUMIFS(TF_Timer,TF_Tekniker,BI$4,TF_Dato,$A302))*2,0)/2)))</f>
        <v/>
      </c>
    </row>
    <row r="303">
      <c r="A303" s="64">
        <f>A302+1</f>
        <v/>
      </c>
      <c r="B303">
        <f>IF(MOD($A303-INDEX(SkiftStart,1),Syklus)&lt;DagK,"K",IF(MOD($A303-INDEX(SkiftStart,1),Syklus)&lt;DagK+DagH,"H",IF(MOD($A303-INDEX(SkiftStart,1),Syklus)&lt;DagK+DagH+DagD,"D","F")))</f>
        <v/>
      </c>
      <c r="C303">
        <f>IF(MOD($A303-INDEX(SkiftStart,2),Syklus)&lt;DagK,"K",IF(MOD($A303-INDEX(SkiftStart,2),Syklus)&lt;DagK+DagH,"H",IF(MOD($A303-INDEX(SkiftStart,2),Syklus)&lt;DagK+DagH+DagD,"D","F")))</f>
        <v/>
      </c>
      <c r="D303">
        <f>IF(MOD($A303-INDEX(SkiftStart,3),Syklus)&lt;DagK,"K",IF(MOD($A303-INDEX(SkiftStart,3),Syklus)&lt;DagK+DagH,"H",IF(MOD($A303-INDEX(SkiftStart,3),Syklus)&lt;DagK+DagH+DagD,"D","F")))</f>
        <v/>
      </c>
      <c r="E303">
        <f>IF(B303="F",0,IF(WEEKDAY($A303,2)=5,INDEX(TimerFr,MATCH(B303,FaseKode,0)),INDEX(TimerMT,MATCH(B303,FaseKode,0))))</f>
        <v/>
      </c>
      <c r="F303">
        <f>IF(C303="F",0,IF(WEEKDAY($A303,2)=5,INDEX(TimerFr,MATCH(C303,FaseKode,0)),INDEX(TimerMT,MATCH(C303,FaseKode,0))))</f>
        <v/>
      </c>
      <c r="G303">
        <f>IF(D303="F",0,IF(WEEKDAY($A303,2)=5,INDEX(TimerFr,MATCH(D303,FaseKode,0)),INDEX(TimerMT,MATCH(D303,FaseKode,0))))</f>
        <v/>
      </c>
      <c r="H303">
        <f>IF(OR(H$4="",$A303&gt;TODAY()),0,IF(OR(INDEX($B303:$D303,H$5)="F",AND(H$6&gt;0,$A303&lt;H$6),AND(H$7&gt;0,$A303&gt;H$7)),0,MAX(0,ROUND((INDEX($E303:$G303,H$5)-SUMIFS(TF_Timer,TF_Tekniker,H$4,TF_Dato,$A303))*2,0)/2)))</f>
        <v/>
      </c>
      <c r="I303">
        <f>IF(OR(I$4="",$A303&gt;TODAY()),0,IF(OR(INDEX($B303:$D303,I$5)="F",AND(I$6&gt;0,$A303&lt;I$6),AND(I$7&gt;0,$A303&gt;I$7)),0,MAX(0,ROUND((INDEX($E303:$G303,I$5)-SUMIFS(TF_Timer,TF_Tekniker,I$4,TF_Dato,$A303))*2,0)/2)))</f>
        <v/>
      </c>
      <c r="J303">
        <f>IF(OR(J$4="",$A303&gt;TODAY()),0,IF(OR(INDEX($B303:$D303,J$5)="F",AND(J$6&gt;0,$A303&lt;J$6),AND(J$7&gt;0,$A303&gt;J$7)),0,MAX(0,ROUND((INDEX($E303:$G303,J$5)-SUMIFS(TF_Timer,TF_Tekniker,J$4,TF_Dato,$A303))*2,0)/2)))</f>
        <v/>
      </c>
      <c r="K303">
        <f>IF(OR(K$4="",$A303&gt;TODAY()),0,IF(OR(INDEX($B303:$D303,K$5)="F",AND(K$6&gt;0,$A303&lt;K$6),AND(K$7&gt;0,$A303&gt;K$7)),0,MAX(0,ROUND((INDEX($E303:$G303,K$5)-SUMIFS(TF_Timer,TF_Tekniker,K$4,TF_Dato,$A303))*2,0)/2)))</f>
        <v/>
      </c>
      <c r="L303">
        <f>IF(OR(L$4="",$A303&gt;TODAY()),0,IF(OR(INDEX($B303:$D303,L$5)="F",AND(L$6&gt;0,$A303&lt;L$6),AND(L$7&gt;0,$A303&gt;L$7)),0,MAX(0,ROUND((INDEX($E303:$G303,L$5)-SUMIFS(TF_Timer,TF_Tekniker,L$4,TF_Dato,$A303))*2,0)/2)))</f>
        <v/>
      </c>
      <c r="M303">
        <f>IF(OR(M$4="",$A303&gt;TODAY()),0,IF(OR(INDEX($B303:$D303,M$5)="F",AND(M$6&gt;0,$A303&lt;M$6),AND(M$7&gt;0,$A303&gt;M$7)),0,MAX(0,ROUND((INDEX($E303:$G303,M$5)-SUMIFS(TF_Timer,TF_Tekniker,M$4,TF_Dato,$A303))*2,0)/2)))</f>
        <v/>
      </c>
      <c r="N303">
        <f>IF(OR(N$4="",$A303&gt;TODAY()),0,IF(OR(INDEX($B303:$D303,N$5)="F",AND(N$6&gt;0,$A303&lt;N$6),AND(N$7&gt;0,$A303&gt;N$7)),0,MAX(0,ROUND((INDEX($E303:$G303,N$5)-SUMIFS(TF_Timer,TF_Tekniker,N$4,TF_Dato,$A303))*2,0)/2)))</f>
        <v/>
      </c>
      <c r="O303">
        <f>IF(OR(O$4="",$A303&gt;TODAY()),0,IF(OR(INDEX($B303:$D303,O$5)="F",AND(O$6&gt;0,$A303&lt;O$6),AND(O$7&gt;0,$A303&gt;O$7)),0,MAX(0,ROUND((INDEX($E303:$G303,O$5)-SUMIFS(TF_Timer,TF_Tekniker,O$4,TF_Dato,$A303))*2,0)/2)))</f>
        <v/>
      </c>
      <c r="P303">
        <f>IF(OR(P$4="",$A303&gt;TODAY()),0,IF(OR(INDEX($B303:$D303,P$5)="F",AND(P$6&gt;0,$A303&lt;P$6),AND(P$7&gt;0,$A303&gt;P$7)),0,MAX(0,ROUND((INDEX($E303:$G303,P$5)-SUMIFS(TF_Timer,TF_Tekniker,P$4,TF_Dato,$A303))*2,0)/2)))</f>
        <v/>
      </c>
      <c r="Q303">
        <f>IF(OR(Q$4="",$A303&gt;TODAY()),0,IF(OR(INDEX($B303:$D303,Q$5)="F",AND(Q$6&gt;0,$A303&lt;Q$6),AND(Q$7&gt;0,$A303&gt;Q$7)),0,MAX(0,ROUND((INDEX($E303:$G303,Q$5)-SUMIFS(TF_Timer,TF_Tekniker,Q$4,TF_Dato,$A303))*2,0)/2)))</f>
        <v/>
      </c>
      <c r="R303">
        <f>IF(OR(R$4="",$A303&gt;TODAY()),0,IF(OR(INDEX($B303:$D303,R$5)="F",AND(R$6&gt;0,$A303&lt;R$6),AND(R$7&gt;0,$A303&gt;R$7)),0,MAX(0,ROUND((INDEX($E303:$G303,R$5)-SUMIFS(TF_Timer,TF_Tekniker,R$4,TF_Dato,$A303))*2,0)/2)))</f>
        <v/>
      </c>
      <c r="S303">
        <f>IF(OR(S$4="",$A303&gt;TODAY()),0,IF(OR(INDEX($B303:$D303,S$5)="F",AND(S$6&gt;0,$A303&lt;S$6),AND(S$7&gt;0,$A303&gt;S$7)),0,MAX(0,ROUND((INDEX($E303:$G303,S$5)-SUMIFS(TF_Timer,TF_Tekniker,S$4,TF_Dato,$A303))*2,0)/2)))</f>
        <v/>
      </c>
      <c r="T303">
        <f>IF(OR(T$4="",$A303&gt;TODAY()),0,IF(OR(INDEX($B303:$D303,T$5)="F",AND(T$6&gt;0,$A303&lt;T$6),AND(T$7&gt;0,$A303&gt;T$7)),0,MAX(0,ROUND((INDEX($E303:$G303,T$5)-SUMIFS(TF_Timer,TF_Tekniker,T$4,TF_Dato,$A303))*2,0)/2)))</f>
        <v/>
      </c>
      <c r="U303">
        <f>IF(OR(U$4="",$A303&gt;TODAY()),0,IF(OR(INDEX($B303:$D303,U$5)="F",AND(U$6&gt;0,$A303&lt;U$6),AND(U$7&gt;0,$A303&gt;U$7)),0,MAX(0,ROUND((INDEX($E303:$G303,U$5)-SUMIFS(TF_Timer,TF_Tekniker,U$4,TF_Dato,$A303))*2,0)/2)))</f>
        <v/>
      </c>
      <c r="V303">
        <f>IF(OR(V$4="",$A303&gt;TODAY()),0,IF(OR(INDEX($B303:$D303,V$5)="F",AND(V$6&gt;0,$A303&lt;V$6),AND(V$7&gt;0,$A303&gt;V$7)),0,MAX(0,ROUND((INDEX($E303:$G303,V$5)-SUMIFS(TF_Timer,TF_Tekniker,V$4,TF_Dato,$A303))*2,0)/2)))</f>
        <v/>
      </c>
      <c r="W303">
        <f>IF(OR(W$4="",$A303&gt;TODAY()),0,IF(OR(INDEX($B303:$D303,W$5)="F",AND(W$6&gt;0,$A303&lt;W$6),AND(W$7&gt;0,$A303&gt;W$7)),0,MAX(0,ROUND((INDEX($E303:$G303,W$5)-SUMIFS(TF_Timer,TF_Tekniker,W$4,TF_Dato,$A303))*2,0)/2)))</f>
        <v/>
      </c>
      <c r="X303">
        <f>IF(OR(X$4="",$A303&gt;TODAY()),0,IF(OR(INDEX($B303:$D303,X$5)="F",AND(X$6&gt;0,$A303&lt;X$6),AND(X$7&gt;0,$A303&gt;X$7)),0,MAX(0,ROUND((INDEX($E303:$G303,X$5)-SUMIFS(TF_Timer,TF_Tekniker,X$4,TF_Dato,$A303))*2,0)/2)))</f>
        <v/>
      </c>
      <c r="Y303">
        <f>IF(OR(Y$4="",$A303&gt;TODAY()),0,IF(OR(INDEX($B303:$D303,Y$5)="F",AND(Y$6&gt;0,$A303&lt;Y$6),AND(Y$7&gt;0,$A303&gt;Y$7)),0,MAX(0,ROUND((INDEX($E303:$G303,Y$5)-SUMIFS(TF_Timer,TF_Tekniker,Y$4,TF_Dato,$A303))*2,0)/2)))</f>
        <v/>
      </c>
      <c r="Z303">
        <f>IF(OR(Z$4="",$A303&gt;TODAY()),0,IF(OR(INDEX($B303:$D303,Z$5)="F",AND(Z$6&gt;0,$A303&lt;Z$6),AND(Z$7&gt;0,$A303&gt;Z$7)),0,MAX(0,ROUND((INDEX($E303:$G303,Z$5)-SUMIFS(TF_Timer,TF_Tekniker,Z$4,TF_Dato,$A303))*2,0)/2)))</f>
        <v/>
      </c>
      <c r="AA303">
        <f>IF(OR(AA$4="",$A303&gt;TODAY()),0,IF(OR(INDEX($B303:$D303,AA$5)="F",AND(AA$6&gt;0,$A303&lt;AA$6),AND(AA$7&gt;0,$A303&gt;AA$7)),0,MAX(0,ROUND((INDEX($E303:$G303,AA$5)-SUMIFS(TF_Timer,TF_Tekniker,AA$4,TF_Dato,$A303))*2,0)/2)))</f>
        <v/>
      </c>
      <c r="AB303">
        <f>IF(OR(AB$4="",$A303&gt;TODAY()),0,IF(OR(INDEX($B303:$D303,AB$5)="F",AND(AB$6&gt;0,$A303&lt;AB$6),AND(AB$7&gt;0,$A303&gt;AB$7)),0,MAX(0,ROUND((INDEX($E303:$G303,AB$5)-SUMIFS(TF_Timer,TF_Tekniker,AB$4,TF_Dato,$A303))*2,0)/2)))</f>
        <v/>
      </c>
      <c r="AC303">
        <f>IF(OR(AC$4="",$A303&gt;TODAY()),0,IF(OR(INDEX($B303:$D303,AC$5)="F",AND(AC$6&gt;0,$A303&lt;AC$6),AND(AC$7&gt;0,$A303&gt;AC$7)),0,MAX(0,ROUND((INDEX($E303:$G303,AC$5)-SUMIFS(TF_Timer,TF_Tekniker,AC$4,TF_Dato,$A303))*2,0)/2)))</f>
        <v/>
      </c>
      <c r="AD303">
        <f>IF(OR(AD$4="",$A303&gt;TODAY()),0,IF(OR(INDEX($B303:$D303,AD$5)="F",AND(AD$6&gt;0,$A303&lt;AD$6),AND(AD$7&gt;0,$A303&gt;AD$7)),0,MAX(0,ROUND((INDEX($E303:$G303,AD$5)-SUMIFS(TF_Timer,TF_Tekniker,AD$4,TF_Dato,$A303))*2,0)/2)))</f>
        <v/>
      </c>
      <c r="AE303">
        <f>IF(OR(AE$4="",$A303&gt;TODAY()),0,IF(OR(INDEX($B303:$D303,AE$5)="F",AND(AE$6&gt;0,$A303&lt;AE$6),AND(AE$7&gt;0,$A303&gt;AE$7)),0,MAX(0,ROUND((INDEX($E303:$G303,AE$5)-SUMIFS(TF_Timer,TF_Tekniker,AE$4,TF_Dato,$A303))*2,0)/2)))</f>
        <v/>
      </c>
      <c r="AF303">
        <f>IF(OR(AF$4="",$A303&gt;TODAY()),0,IF(OR(INDEX($B303:$D303,AF$5)="F",AND(AF$6&gt;0,$A303&lt;AF$6),AND(AF$7&gt;0,$A303&gt;AF$7)),0,MAX(0,ROUND((INDEX($E303:$G303,AF$5)-SUMIFS(TF_Timer,TF_Tekniker,AF$4,TF_Dato,$A303))*2,0)/2)))</f>
        <v/>
      </c>
      <c r="AG303">
        <f>IF(OR(AG$4="",$A303&gt;TODAY()),0,IF(OR(INDEX($B303:$D303,AG$5)="F",AND(AG$6&gt;0,$A303&lt;AG$6),AND(AG$7&gt;0,$A303&gt;AG$7)),0,MAX(0,ROUND((INDEX($E303:$G303,AG$5)-SUMIFS(TF_Timer,TF_Tekniker,AG$4,TF_Dato,$A303))*2,0)/2)))</f>
        <v/>
      </c>
      <c r="AH303">
        <f>IF(OR(AH$4="",$A303&gt;TODAY()),0,IF(OR(INDEX($B303:$D303,AH$5)="F",AND(AH$6&gt;0,$A303&lt;AH$6),AND(AH$7&gt;0,$A303&gt;AH$7)),0,MAX(0,ROUND((INDEX($E303:$G303,AH$5)-SUMIFS(TF_Timer,TF_Tekniker,AH$4,TF_Dato,$A303))*2,0)/2)))</f>
        <v/>
      </c>
      <c r="AI303">
        <f>IF(OR(AI$4="",$A303&gt;TODAY()),0,IF(OR(INDEX($B303:$D303,AI$5)="F",AND(AI$6&gt;0,$A303&lt;AI$6),AND(AI$7&gt;0,$A303&gt;AI$7)),0,MAX(0,ROUND((INDEX($E303:$G303,AI$5)-SUMIFS(TF_Timer,TF_Tekniker,AI$4,TF_Dato,$A303))*2,0)/2)))</f>
        <v/>
      </c>
      <c r="AJ303">
        <f>IF(OR(AJ$4="",$A303&gt;TODAY()),0,IF(OR(INDEX($B303:$D303,AJ$5)="F",AND(AJ$6&gt;0,$A303&lt;AJ$6),AND(AJ$7&gt;0,$A303&gt;AJ$7)),0,MAX(0,ROUND((INDEX($E303:$G303,AJ$5)-SUMIFS(TF_Timer,TF_Tekniker,AJ$4,TF_Dato,$A303))*2,0)/2)))</f>
        <v/>
      </c>
      <c r="AK303">
        <f>IF(OR(AK$4="",$A303&gt;TODAY()),0,IF(OR(INDEX($B303:$D303,AK$5)="F",AND(AK$6&gt;0,$A303&lt;AK$6),AND(AK$7&gt;0,$A303&gt;AK$7)),0,MAX(0,ROUND((INDEX($E303:$G303,AK$5)-SUMIFS(TF_Timer,TF_Tekniker,AK$4,TF_Dato,$A303))*2,0)/2)))</f>
        <v/>
      </c>
      <c r="AL303">
        <f>IF(OR(AL$4="",$A303&gt;TODAY()),0,IF(OR(INDEX($B303:$D303,AL$5)="F",AND(AL$6&gt;0,$A303&lt;AL$6),AND(AL$7&gt;0,$A303&gt;AL$7)),0,MAX(0,ROUND((INDEX($E303:$G303,AL$5)-SUMIFS(TF_Timer,TF_Tekniker,AL$4,TF_Dato,$A303))*2,0)/2)))</f>
        <v/>
      </c>
      <c r="AM303">
        <f>IF(OR(AM$4="",$A303&gt;TODAY()),0,IF(OR(INDEX($B303:$D303,AM$5)="F",AND(AM$6&gt;0,$A303&lt;AM$6),AND(AM$7&gt;0,$A303&gt;AM$7)),0,MAX(0,ROUND((INDEX($E303:$G303,AM$5)-SUMIFS(TF_Timer,TF_Tekniker,AM$4,TF_Dato,$A303))*2,0)/2)))</f>
        <v/>
      </c>
      <c r="AN303">
        <f>IF(OR(AN$4="",$A303&gt;TODAY()),0,IF(OR(INDEX($B303:$D303,AN$5)="F",AND(AN$6&gt;0,$A303&lt;AN$6),AND(AN$7&gt;0,$A303&gt;AN$7)),0,MAX(0,ROUND((INDEX($E303:$G303,AN$5)-SUMIFS(TF_Timer,TF_Tekniker,AN$4,TF_Dato,$A303))*2,0)/2)))</f>
        <v/>
      </c>
      <c r="AO303">
        <f>IF(OR(AO$4="",$A303&gt;TODAY()),0,IF(OR(INDEX($B303:$D303,AO$5)="F",AND(AO$6&gt;0,$A303&lt;AO$6),AND(AO$7&gt;0,$A303&gt;AO$7)),0,MAX(0,ROUND((INDEX($E303:$G303,AO$5)-SUMIFS(TF_Timer,TF_Tekniker,AO$4,TF_Dato,$A303))*2,0)/2)))</f>
        <v/>
      </c>
      <c r="AP303">
        <f>IF(OR(AP$4="",$A303&gt;TODAY()),0,IF(OR(INDEX($B303:$D303,AP$5)="F",AND(AP$6&gt;0,$A303&lt;AP$6),AND(AP$7&gt;0,$A303&gt;AP$7)),0,MAX(0,ROUND((INDEX($E303:$G303,AP$5)-SUMIFS(TF_Timer,TF_Tekniker,AP$4,TF_Dato,$A303))*2,0)/2)))</f>
        <v/>
      </c>
      <c r="AQ303">
        <f>IF(OR(AQ$4="",$A303&gt;TODAY()),0,IF(OR(INDEX($B303:$D303,AQ$5)="F",AND(AQ$6&gt;0,$A303&lt;AQ$6),AND(AQ$7&gt;0,$A303&gt;AQ$7)),0,MAX(0,ROUND((INDEX($E303:$G303,AQ$5)-SUMIFS(TF_Timer,TF_Tekniker,AQ$4,TF_Dato,$A303))*2,0)/2)))</f>
        <v/>
      </c>
      <c r="AR303">
        <f>IF(OR(AR$4="",$A303&gt;TODAY()),0,IF(OR(INDEX($B303:$D303,AR$5)="F",AND(AR$6&gt;0,$A303&lt;AR$6),AND(AR$7&gt;0,$A303&gt;AR$7)),0,MAX(0,ROUND((INDEX($E303:$G303,AR$5)-SUMIFS(TF_Timer,TF_Tekniker,AR$4,TF_Dato,$A303))*2,0)/2)))</f>
        <v/>
      </c>
      <c r="AS303">
        <f>IF(OR(AS$4="",$A303&gt;TODAY()),0,IF(OR(INDEX($B303:$D303,AS$5)="F",AND(AS$6&gt;0,$A303&lt;AS$6),AND(AS$7&gt;0,$A303&gt;AS$7)),0,MAX(0,ROUND((INDEX($E303:$G303,AS$5)-SUMIFS(TF_Timer,TF_Tekniker,AS$4,TF_Dato,$A303))*2,0)/2)))</f>
        <v/>
      </c>
      <c r="AT303">
        <f>IF(OR(AT$4="",$A303&gt;TODAY()),0,IF(OR(INDEX($B303:$D303,AT$5)="F",AND(AT$6&gt;0,$A303&lt;AT$6),AND(AT$7&gt;0,$A303&gt;AT$7)),0,MAX(0,ROUND((INDEX($E303:$G303,AT$5)-SUMIFS(TF_Timer,TF_Tekniker,AT$4,TF_Dato,$A303))*2,0)/2)))</f>
        <v/>
      </c>
      <c r="AU303">
        <f>IF(OR(AU$4="",$A303&gt;TODAY()),0,IF(OR(INDEX($B303:$D303,AU$5)="F",AND(AU$6&gt;0,$A303&lt;AU$6),AND(AU$7&gt;0,$A303&gt;AU$7)),0,MAX(0,ROUND((INDEX($E303:$G303,AU$5)-SUMIFS(TF_Timer,TF_Tekniker,AU$4,TF_Dato,$A303))*2,0)/2)))</f>
        <v/>
      </c>
      <c r="AV303">
        <f>IF(OR(AV$4="",$A303&gt;TODAY()),0,IF(OR(INDEX($B303:$D303,AV$5)="F",AND(AV$6&gt;0,$A303&lt;AV$6),AND(AV$7&gt;0,$A303&gt;AV$7)),0,MAX(0,ROUND((INDEX($E303:$G303,AV$5)-SUMIFS(TF_Timer,TF_Tekniker,AV$4,TF_Dato,$A303))*2,0)/2)))</f>
        <v/>
      </c>
      <c r="AW303">
        <f>IF(OR(AW$4="",$A303&gt;TODAY()),0,IF(OR(INDEX($B303:$D303,AW$5)="F",AND(AW$6&gt;0,$A303&lt;AW$6),AND(AW$7&gt;0,$A303&gt;AW$7)),0,MAX(0,ROUND((INDEX($E303:$G303,AW$5)-SUMIFS(TF_Timer,TF_Tekniker,AW$4,TF_Dato,$A303))*2,0)/2)))</f>
        <v/>
      </c>
      <c r="AX303">
        <f>IF(OR(AX$4="",$A303&gt;TODAY()),0,IF(OR(INDEX($B303:$D303,AX$5)="F",AND(AX$6&gt;0,$A303&lt;AX$6),AND(AX$7&gt;0,$A303&gt;AX$7)),0,MAX(0,ROUND((INDEX($E303:$G303,AX$5)-SUMIFS(TF_Timer,TF_Tekniker,AX$4,TF_Dato,$A303))*2,0)/2)))</f>
        <v/>
      </c>
      <c r="AY303">
        <f>IF(OR(AY$4="",$A303&gt;TODAY()),0,IF(OR(INDEX($B303:$D303,AY$5)="F",AND(AY$6&gt;0,$A303&lt;AY$6),AND(AY$7&gt;0,$A303&gt;AY$7)),0,MAX(0,ROUND((INDEX($E303:$G303,AY$5)-SUMIFS(TF_Timer,TF_Tekniker,AY$4,TF_Dato,$A303))*2,0)/2)))</f>
        <v/>
      </c>
      <c r="AZ303">
        <f>IF(OR(AZ$4="",$A303&gt;TODAY()),0,IF(OR(INDEX($B303:$D303,AZ$5)="F",AND(AZ$6&gt;0,$A303&lt;AZ$6),AND(AZ$7&gt;0,$A303&gt;AZ$7)),0,MAX(0,ROUND((INDEX($E303:$G303,AZ$5)-SUMIFS(TF_Timer,TF_Tekniker,AZ$4,TF_Dato,$A303))*2,0)/2)))</f>
        <v/>
      </c>
      <c r="BA303">
        <f>IF(OR(BA$4="",$A303&gt;TODAY()),0,IF(OR(INDEX($B303:$D303,BA$5)="F",AND(BA$6&gt;0,$A303&lt;BA$6),AND(BA$7&gt;0,$A303&gt;BA$7)),0,MAX(0,ROUND((INDEX($E303:$G303,BA$5)-SUMIFS(TF_Timer,TF_Tekniker,BA$4,TF_Dato,$A303))*2,0)/2)))</f>
        <v/>
      </c>
      <c r="BB303">
        <f>IF(OR(BB$4="",$A303&gt;TODAY()),0,IF(OR(INDEX($B303:$D303,BB$5)="F",AND(BB$6&gt;0,$A303&lt;BB$6),AND(BB$7&gt;0,$A303&gt;BB$7)),0,MAX(0,ROUND((INDEX($E303:$G303,BB$5)-SUMIFS(TF_Timer,TF_Tekniker,BB$4,TF_Dato,$A303))*2,0)/2)))</f>
        <v/>
      </c>
      <c r="BC303">
        <f>IF(OR(BC$4="",$A303&gt;TODAY()),0,IF(OR(INDEX($B303:$D303,BC$5)="F",AND(BC$6&gt;0,$A303&lt;BC$6),AND(BC$7&gt;0,$A303&gt;BC$7)),0,MAX(0,ROUND((INDEX($E303:$G303,BC$5)-SUMIFS(TF_Timer,TF_Tekniker,BC$4,TF_Dato,$A303))*2,0)/2)))</f>
        <v/>
      </c>
      <c r="BD303">
        <f>IF(OR(BD$4="",$A303&gt;TODAY()),0,IF(OR(INDEX($B303:$D303,BD$5)="F",AND(BD$6&gt;0,$A303&lt;BD$6),AND(BD$7&gt;0,$A303&gt;BD$7)),0,MAX(0,ROUND((INDEX($E303:$G303,BD$5)-SUMIFS(TF_Timer,TF_Tekniker,BD$4,TF_Dato,$A303))*2,0)/2)))</f>
        <v/>
      </c>
      <c r="BE303">
        <f>IF(OR(BE$4="",$A303&gt;TODAY()),0,IF(OR(INDEX($B303:$D303,BE$5)="F",AND(BE$6&gt;0,$A303&lt;BE$6),AND(BE$7&gt;0,$A303&gt;BE$7)),0,MAX(0,ROUND((INDEX($E303:$G303,BE$5)-SUMIFS(TF_Timer,TF_Tekniker,BE$4,TF_Dato,$A303))*2,0)/2)))</f>
        <v/>
      </c>
      <c r="BF303">
        <f>IF(OR(BF$4="",$A303&gt;TODAY()),0,IF(OR(INDEX($B303:$D303,BF$5)="F",AND(BF$6&gt;0,$A303&lt;BF$6),AND(BF$7&gt;0,$A303&gt;BF$7)),0,MAX(0,ROUND((INDEX($E303:$G303,BF$5)-SUMIFS(TF_Timer,TF_Tekniker,BF$4,TF_Dato,$A303))*2,0)/2)))</f>
        <v/>
      </c>
      <c r="BG303">
        <f>IF(OR(BG$4="",$A303&gt;TODAY()),0,IF(OR(INDEX($B303:$D303,BG$5)="F",AND(BG$6&gt;0,$A303&lt;BG$6),AND(BG$7&gt;0,$A303&gt;BG$7)),0,MAX(0,ROUND((INDEX($E303:$G303,BG$5)-SUMIFS(TF_Timer,TF_Tekniker,BG$4,TF_Dato,$A303))*2,0)/2)))</f>
        <v/>
      </c>
      <c r="BH303">
        <f>IF(OR(BH$4="",$A303&gt;TODAY()),0,IF(OR(INDEX($B303:$D303,BH$5)="F",AND(BH$6&gt;0,$A303&lt;BH$6),AND(BH$7&gt;0,$A303&gt;BH$7)),0,MAX(0,ROUND((INDEX($E303:$G303,BH$5)-SUMIFS(TF_Timer,TF_Tekniker,BH$4,TF_Dato,$A303))*2,0)/2)))</f>
        <v/>
      </c>
      <c r="BI303">
        <f>IF(OR(BI$4="",$A303&gt;TODAY()),0,IF(OR(INDEX($B303:$D303,BI$5)="F",AND(BI$6&gt;0,$A303&lt;BI$6),AND(BI$7&gt;0,$A303&gt;BI$7)),0,MAX(0,ROUND((INDEX($E303:$G303,BI$5)-SUMIFS(TF_Timer,TF_Tekniker,BI$4,TF_Dato,$A303))*2,0)/2)))</f>
        <v/>
      </c>
    </row>
    <row r="304">
      <c r="A304" s="64">
        <f>A303+1</f>
        <v/>
      </c>
      <c r="B304">
        <f>IF(MOD($A304-INDEX(SkiftStart,1),Syklus)&lt;DagK,"K",IF(MOD($A304-INDEX(SkiftStart,1),Syklus)&lt;DagK+DagH,"H",IF(MOD($A304-INDEX(SkiftStart,1),Syklus)&lt;DagK+DagH+DagD,"D","F")))</f>
        <v/>
      </c>
      <c r="C304">
        <f>IF(MOD($A304-INDEX(SkiftStart,2),Syklus)&lt;DagK,"K",IF(MOD($A304-INDEX(SkiftStart,2),Syklus)&lt;DagK+DagH,"H",IF(MOD($A304-INDEX(SkiftStart,2),Syklus)&lt;DagK+DagH+DagD,"D","F")))</f>
        <v/>
      </c>
      <c r="D304">
        <f>IF(MOD($A304-INDEX(SkiftStart,3),Syklus)&lt;DagK,"K",IF(MOD($A304-INDEX(SkiftStart,3),Syklus)&lt;DagK+DagH,"H",IF(MOD($A304-INDEX(SkiftStart,3),Syklus)&lt;DagK+DagH+DagD,"D","F")))</f>
        <v/>
      </c>
      <c r="E304">
        <f>IF(B304="F",0,IF(WEEKDAY($A304,2)=5,INDEX(TimerFr,MATCH(B304,FaseKode,0)),INDEX(TimerMT,MATCH(B304,FaseKode,0))))</f>
        <v/>
      </c>
      <c r="F304">
        <f>IF(C304="F",0,IF(WEEKDAY($A304,2)=5,INDEX(TimerFr,MATCH(C304,FaseKode,0)),INDEX(TimerMT,MATCH(C304,FaseKode,0))))</f>
        <v/>
      </c>
      <c r="G304">
        <f>IF(D304="F",0,IF(WEEKDAY($A304,2)=5,INDEX(TimerFr,MATCH(D304,FaseKode,0)),INDEX(TimerMT,MATCH(D304,FaseKode,0))))</f>
        <v/>
      </c>
      <c r="H304">
        <f>IF(OR(H$4="",$A304&gt;TODAY()),0,IF(OR(INDEX($B304:$D304,H$5)="F",AND(H$6&gt;0,$A304&lt;H$6),AND(H$7&gt;0,$A304&gt;H$7)),0,MAX(0,ROUND((INDEX($E304:$G304,H$5)-SUMIFS(TF_Timer,TF_Tekniker,H$4,TF_Dato,$A304))*2,0)/2)))</f>
        <v/>
      </c>
      <c r="I304">
        <f>IF(OR(I$4="",$A304&gt;TODAY()),0,IF(OR(INDEX($B304:$D304,I$5)="F",AND(I$6&gt;0,$A304&lt;I$6),AND(I$7&gt;0,$A304&gt;I$7)),0,MAX(0,ROUND((INDEX($E304:$G304,I$5)-SUMIFS(TF_Timer,TF_Tekniker,I$4,TF_Dato,$A304))*2,0)/2)))</f>
        <v/>
      </c>
      <c r="J304">
        <f>IF(OR(J$4="",$A304&gt;TODAY()),0,IF(OR(INDEX($B304:$D304,J$5)="F",AND(J$6&gt;0,$A304&lt;J$6),AND(J$7&gt;0,$A304&gt;J$7)),0,MAX(0,ROUND((INDEX($E304:$G304,J$5)-SUMIFS(TF_Timer,TF_Tekniker,J$4,TF_Dato,$A304))*2,0)/2)))</f>
        <v/>
      </c>
      <c r="K304">
        <f>IF(OR(K$4="",$A304&gt;TODAY()),0,IF(OR(INDEX($B304:$D304,K$5)="F",AND(K$6&gt;0,$A304&lt;K$6),AND(K$7&gt;0,$A304&gt;K$7)),0,MAX(0,ROUND((INDEX($E304:$G304,K$5)-SUMIFS(TF_Timer,TF_Tekniker,K$4,TF_Dato,$A304))*2,0)/2)))</f>
        <v/>
      </c>
      <c r="L304">
        <f>IF(OR(L$4="",$A304&gt;TODAY()),0,IF(OR(INDEX($B304:$D304,L$5)="F",AND(L$6&gt;0,$A304&lt;L$6),AND(L$7&gt;0,$A304&gt;L$7)),0,MAX(0,ROUND((INDEX($E304:$G304,L$5)-SUMIFS(TF_Timer,TF_Tekniker,L$4,TF_Dato,$A304))*2,0)/2)))</f>
        <v/>
      </c>
      <c r="M304">
        <f>IF(OR(M$4="",$A304&gt;TODAY()),0,IF(OR(INDEX($B304:$D304,M$5)="F",AND(M$6&gt;0,$A304&lt;M$6),AND(M$7&gt;0,$A304&gt;M$7)),0,MAX(0,ROUND((INDEX($E304:$G304,M$5)-SUMIFS(TF_Timer,TF_Tekniker,M$4,TF_Dato,$A304))*2,0)/2)))</f>
        <v/>
      </c>
      <c r="N304">
        <f>IF(OR(N$4="",$A304&gt;TODAY()),0,IF(OR(INDEX($B304:$D304,N$5)="F",AND(N$6&gt;0,$A304&lt;N$6),AND(N$7&gt;0,$A304&gt;N$7)),0,MAX(0,ROUND((INDEX($E304:$G304,N$5)-SUMIFS(TF_Timer,TF_Tekniker,N$4,TF_Dato,$A304))*2,0)/2)))</f>
        <v/>
      </c>
      <c r="O304">
        <f>IF(OR(O$4="",$A304&gt;TODAY()),0,IF(OR(INDEX($B304:$D304,O$5)="F",AND(O$6&gt;0,$A304&lt;O$6),AND(O$7&gt;0,$A304&gt;O$7)),0,MAX(0,ROUND((INDEX($E304:$G304,O$5)-SUMIFS(TF_Timer,TF_Tekniker,O$4,TF_Dato,$A304))*2,0)/2)))</f>
        <v/>
      </c>
      <c r="P304">
        <f>IF(OR(P$4="",$A304&gt;TODAY()),0,IF(OR(INDEX($B304:$D304,P$5)="F",AND(P$6&gt;0,$A304&lt;P$6),AND(P$7&gt;0,$A304&gt;P$7)),0,MAX(0,ROUND((INDEX($E304:$G304,P$5)-SUMIFS(TF_Timer,TF_Tekniker,P$4,TF_Dato,$A304))*2,0)/2)))</f>
        <v/>
      </c>
      <c r="Q304">
        <f>IF(OR(Q$4="",$A304&gt;TODAY()),0,IF(OR(INDEX($B304:$D304,Q$5)="F",AND(Q$6&gt;0,$A304&lt;Q$6),AND(Q$7&gt;0,$A304&gt;Q$7)),0,MAX(0,ROUND((INDEX($E304:$G304,Q$5)-SUMIFS(TF_Timer,TF_Tekniker,Q$4,TF_Dato,$A304))*2,0)/2)))</f>
        <v/>
      </c>
      <c r="R304">
        <f>IF(OR(R$4="",$A304&gt;TODAY()),0,IF(OR(INDEX($B304:$D304,R$5)="F",AND(R$6&gt;0,$A304&lt;R$6),AND(R$7&gt;0,$A304&gt;R$7)),0,MAX(0,ROUND((INDEX($E304:$G304,R$5)-SUMIFS(TF_Timer,TF_Tekniker,R$4,TF_Dato,$A304))*2,0)/2)))</f>
        <v/>
      </c>
      <c r="S304">
        <f>IF(OR(S$4="",$A304&gt;TODAY()),0,IF(OR(INDEX($B304:$D304,S$5)="F",AND(S$6&gt;0,$A304&lt;S$6),AND(S$7&gt;0,$A304&gt;S$7)),0,MAX(0,ROUND((INDEX($E304:$G304,S$5)-SUMIFS(TF_Timer,TF_Tekniker,S$4,TF_Dato,$A304))*2,0)/2)))</f>
        <v/>
      </c>
      <c r="T304">
        <f>IF(OR(T$4="",$A304&gt;TODAY()),0,IF(OR(INDEX($B304:$D304,T$5)="F",AND(T$6&gt;0,$A304&lt;T$6),AND(T$7&gt;0,$A304&gt;T$7)),0,MAX(0,ROUND((INDEX($E304:$G304,T$5)-SUMIFS(TF_Timer,TF_Tekniker,T$4,TF_Dato,$A304))*2,0)/2)))</f>
        <v/>
      </c>
      <c r="U304">
        <f>IF(OR(U$4="",$A304&gt;TODAY()),0,IF(OR(INDEX($B304:$D304,U$5)="F",AND(U$6&gt;0,$A304&lt;U$6),AND(U$7&gt;0,$A304&gt;U$7)),0,MAX(0,ROUND((INDEX($E304:$G304,U$5)-SUMIFS(TF_Timer,TF_Tekniker,U$4,TF_Dato,$A304))*2,0)/2)))</f>
        <v/>
      </c>
      <c r="V304">
        <f>IF(OR(V$4="",$A304&gt;TODAY()),0,IF(OR(INDEX($B304:$D304,V$5)="F",AND(V$6&gt;0,$A304&lt;V$6),AND(V$7&gt;0,$A304&gt;V$7)),0,MAX(0,ROUND((INDEX($E304:$G304,V$5)-SUMIFS(TF_Timer,TF_Tekniker,V$4,TF_Dato,$A304))*2,0)/2)))</f>
        <v/>
      </c>
      <c r="W304">
        <f>IF(OR(W$4="",$A304&gt;TODAY()),0,IF(OR(INDEX($B304:$D304,W$5)="F",AND(W$6&gt;0,$A304&lt;W$6),AND(W$7&gt;0,$A304&gt;W$7)),0,MAX(0,ROUND((INDEX($E304:$G304,W$5)-SUMIFS(TF_Timer,TF_Tekniker,W$4,TF_Dato,$A304))*2,0)/2)))</f>
        <v/>
      </c>
      <c r="X304">
        <f>IF(OR(X$4="",$A304&gt;TODAY()),0,IF(OR(INDEX($B304:$D304,X$5)="F",AND(X$6&gt;0,$A304&lt;X$6),AND(X$7&gt;0,$A304&gt;X$7)),0,MAX(0,ROUND((INDEX($E304:$G304,X$5)-SUMIFS(TF_Timer,TF_Tekniker,X$4,TF_Dato,$A304))*2,0)/2)))</f>
        <v/>
      </c>
      <c r="Y304">
        <f>IF(OR(Y$4="",$A304&gt;TODAY()),0,IF(OR(INDEX($B304:$D304,Y$5)="F",AND(Y$6&gt;0,$A304&lt;Y$6),AND(Y$7&gt;0,$A304&gt;Y$7)),0,MAX(0,ROUND((INDEX($E304:$G304,Y$5)-SUMIFS(TF_Timer,TF_Tekniker,Y$4,TF_Dato,$A304))*2,0)/2)))</f>
        <v/>
      </c>
      <c r="Z304">
        <f>IF(OR(Z$4="",$A304&gt;TODAY()),0,IF(OR(INDEX($B304:$D304,Z$5)="F",AND(Z$6&gt;0,$A304&lt;Z$6),AND(Z$7&gt;0,$A304&gt;Z$7)),0,MAX(0,ROUND((INDEX($E304:$G304,Z$5)-SUMIFS(TF_Timer,TF_Tekniker,Z$4,TF_Dato,$A304))*2,0)/2)))</f>
        <v/>
      </c>
      <c r="AA304">
        <f>IF(OR(AA$4="",$A304&gt;TODAY()),0,IF(OR(INDEX($B304:$D304,AA$5)="F",AND(AA$6&gt;0,$A304&lt;AA$6),AND(AA$7&gt;0,$A304&gt;AA$7)),0,MAX(0,ROUND((INDEX($E304:$G304,AA$5)-SUMIFS(TF_Timer,TF_Tekniker,AA$4,TF_Dato,$A304))*2,0)/2)))</f>
        <v/>
      </c>
      <c r="AB304">
        <f>IF(OR(AB$4="",$A304&gt;TODAY()),0,IF(OR(INDEX($B304:$D304,AB$5)="F",AND(AB$6&gt;0,$A304&lt;AB$6),AND(AB$7&gt;0,$A304&gt;AB$7)),0,MAX(0,ROUND((INDEX($E304:$G304,AB$5)-SUMIFS(TF_Timer,TF_Tekniker,AB$4,TF_Dato,$A304))*2,0)/2)))</f>
        <v/>
      </c>
      <c r="AC304">
        <f>IF(OR(AC$4="",$A304&gt;TODAY()),0,IF(OR(INDEX($B304:$D304,AC$5)="F",AND(AC$6&gt;0,$A304&lt;AC$6),AND(AC$7&gt;0,$A304&gt;AC$7)),0,MAX(0,ROUND((INDEX($E304:$G304,AC$5)-SUMIFS(TF_Timer,TF_Tekniker,AC$4,TF_Dato,$A304))*2,0)/2)))</f>
        <v/>
      </c>
      <c r="AD304">
        <f>IF(OR(AD$4="",$A304&gt;TODAY()),0,IF(OR(INDEX($B304:$D304,AD$5)="F",AND(AD$6&gt;0,$A304&lt;AD$6),AND(AD$7&gt;0,$A304&gt;AD$7)),0,MAX(0,ROUND((INDEX($E304:$G304,AD$5)-SUMIFS(TF_Timer,TF_Tekniker,AD$4,TF_Dato,$A304))*2,0)/2)))</f>
        <v/>
      </c>
      <c r="AE304">
        <f>IF(OR(AE$4="",$A304&gt;TODAY()),0,IF(OR(INDEX($B304:$D304,AE$5)="F",AND(AE$6&gt;0,$A304&lt;AE$6),AND(AE$7&gt;0,$A304&gt;AE$7)),0,MAX(0,ROUND((INDEX($E304:$G304,AE$5)-SUMIFS(TF_Timer,TF_Tekniker,AE$4,TF_Dato,$A304))*2,0)/2)))</f>
        <v/>
      </c>
      <c r="AF304">
        <f>IF(OR(AF$4="",$A304&gt;TODAY()),0,IF(OR(INDEX($B304:$D304,AF$5)="F",AND(AF$6&gt;0,$A304&lt;AF$6),AND(AF$7&gt;0,$A304&gt;AF$7)),0,MAX(0,ROUND((INDEX($E304:$G304,AF$5)-SUMIFS(TF_Timer,TF_Tekniker,AF$4,TF_Dato,$A304))*2,0)/2)))</f>
        <v/>
      </c>
      <c r="AG304">
        <f>IF(OR(AG$4="",$A304&gt;TODAY()),0,IF(OR(INDEX($B304:$D304,AG$5)="F",AND(AG$6&gt;0,$A304&lt;AG$6),AND(AG$7&gt;0,$A304&gt;AG$7)),0,MAX(0,ROUND((INDEX($E304:$G304,AG$5)-SUMIFS(TF_Timer,TF_Tekniker,AG$4,TF_Dato,$A304))*2,0)/2)))</f>
        <v/>
      </c>
      <c r="AH304">
        <f>IF(OR(AH$4="",$A304&gt;TODAY()),0,IF(OR(INDEX($B304:$D304,AH$5)="F",AND(AH$6&gt;0,$A304&lt;AH$6),AND(AH$7&gt;0,$A304&gt;AH$7)),0,MAX(0,ROUND((INDEX($E304:$G304,AH$5)-SUMIFS(TF_Timer,TF_Tekniker,AH$4,TF_Dato,$A304))*2,0)/2)))</f>
        <v/>
      </c>
      <c r="AI304">
        <f>IF(OR(AI$4="",$A304&gt;TODAY()),0,IF(OR(INDEX($B304:$D304,AI$5)="F",AND(AI$6&gt;0,$A304&lt;AI$6),AND(AI$7&gt;0,$A304&gt;AI$7)),0,MAX(0,ROUND((INDEX($E304:$G304,AI$5)-SUMIFS(TF_Timer,TF_Tekniker,AI$4,TF_Dato,$A304))*2,0)/2)))</f>
        <v/>
      </c>
      <c r="AJ304">
        <f>IF(OR(AJ$4="",$A304&gt;TODAY()),0,IF(OR(INDEX($B304:$D304,AJ$5)="F",AND(AJ$6&gt;0,$A304&lt;AJ$6),AND(AJ$7&gt;0,$A304&gt;AJ$7)),0,MAX(0,ROUND((INDEX($E304:$G304,AJ$5)-SUMIFS(TF_Timer,TF_Tekniker,AJ$4,TF_Dato,$A304))*2,0)/2)))</f>
        <v/>
      </c>
      <c r="AK304">
        <f>IF(OR(AK$4="",$A304&gt;TODAY()),0,IF(OR(INDEX($B304:$D304,AK$5)="F",AND(AK$6&gt;0,$A304&lt;AK$6),AND(AK$7&gt;0,$A304&gt;AK$7)),0,MAX(0,ROUND((INDEX($E304:$G304,AK$5)-SUMIFS(TF_Timer,TF_Tekniker,AK$4,TF_Dato,$A304))*2,0)/2)))</f>
        <v/>
      </c>
      <c r="AL304">
        <f>IF(OR(AL$4="",$A304&gt;TODAY()),0,IF(OR(INDEX($B304:$D304,AL$5)="F",AND(AL$6&gt;0,$A304&lt;AL$6),AND(AL$7&gt;0,$A304&gt;AL$7)),0,MAX(0,ROUND((INDEX($E304:$G304,AL$5)-SUMIFS(TF_Timer,TF_Tekniker,AL$4,TF_Dato,$A304))*2,0)/2)))</f>
        <v/>
      </c>
      <c r="AM304">
        <f>IF(OR(AM$4="",$A304&gt;TODAY()),0,IF(OR(INDEX($B304:$D304,AM$5)="F",AND(AM$6&gt;0,$A304&lt;AM$6),AND(AM$7&gt;0,$A304&gt;AM$7)),0,MAX(0,ROUND((INDEX($E304:$G304,AM$5)-SUMIFS(TF_Timer,TF_Tekniker,AM$4,TF_Dato,$A304))*2,0)/2)))</f>
        <v/>
      </c>
      <c r="AN304">
        <f>IF(OR(AN$4="",$A304&gt;TODAY()),0,IF(OR(INDEX($B304:$D304,AN$5)="F",AND(AN$6&gt;0,$A304&lt;AN$6),AND(AN$7&gt;0,$A304&gt;AN$7)),0,MAX(0,ROUND((INDEX($E304:$G304,AN$5)-SUMIFS(TF_Timer,TF_Tekniker,AN$4,TF_Dato,$A304))*2,0)/2)))</f>
        <v/>
      </c>
      <c r="AO304">
        <f>IF(OR(AO$4="",$A304&gt;TODAY()),0,IF(OR(INDEX($B304:$D304,AO$5)="F",AND(AO$6&gt;0,$A304&lt;AO$6),AND(AO$7&gt;0,$A304&gt;AO$7)),0,MAX(0,ROUND((INDEX($E304:$G304,AO$5)-SUMIFS(TF_Timer,TF_Tekniker,AO$4,TF_Dato,$A304))*2,0)/2)))</f>
        <v/>
      </c>
      <c r="AP304">
        <f>IF(OR(AP$4="",$A304&gt;TODAY()),0,IF(OR(INDEX($B304:$D304,AP$5)="F",AND(AP$6&gt;0,$A304&lt;AP$6),AND(AP$7&gt;0,$A304&gt;AP$7)),0,MAX(0,ROUND((INDEX($E304:$G304,AP$5)-SUMIFS(TF_Timer,TF_Tekniker,AP$4,TF_Dato,$A304))*2,0)/2)))</f>
        <v/>
      </c>
      <c r="AQ304">
        <f>IF(OR(AQ$4="",$A304&gt;TODAY()),0,IF(OR(INDEX($B304:$D304,AQ$5)="F",AND(AQ$6&gt;0,$A304&lt;AQ$6),AND(AQ$7&gt;0,$A304&gt;AQ$7)),0,MAX(0,ROUND((INDEX($E304:$G304,AQ$5)-SUMIFS(TF_Timer,TF_Tekniker,AQ$4,TF_Dato,$A304))*2,0)/2)))</f>
        <v/>
      </c>
      <c r="AR304">
        <f>IF(OR(AR$4="",$A304&gt;TODAY()),0,IF(OR(INDEX($B304:$D304,AR$5)="F",AND(AR$6&gt;0,$A304&lt;AR$6),AND(AR$7&gt;0,$A304&gt;AR$7)),0,MAX(0,ROUND((INDEX($E304:$G304,AR$5)-SUMIFS(TF_Timer,TF_Tekniker,AR$4,TF_Dato,$A304))*2,0)/2)))</f>
        <v/>
      </c>
      <c r="AS304">
        <f>IF(OR(AS$4="",$A304&gt;TODAY()),0,IF(OR(INDEX($B304:$D304,AS$5)="F",AND(AS$6&gt;0,$A304&lt;AS$6),AND(AS$7&gt;0,$A304&gt;AS$7)),0,MAX(0,ROUND((INDEX($E304:$G304,AS$5)-SUMIFS(TF_Timer,TF_Tekniker,AS$4,TF_Dato,$A304))*2,0)/2)))</f>
        <v/>
      </c>
      <c r="AT304">
        <f>IF(OR(AT$4="",$A304&gt;TODAY()),0,IF(OR(INDEX($B304:$D304,AT$5)="F",AND(AT$6&gt;0,$A304&lt;AT$6),AND(AT$7&gt;0,$A304&gt;AT$7)),0,MAX(0,ROUND((INDEX($E304:$G304,AT$5)-SUMIFS(TF_Timer,TF_Tekniker,AT$4,TF_Dato,$A304))*2,0)/2)))</f>
        <v/>
      </c>
      <c r="AU304">
        <f>IF(OR(AU$4="",$A304&gt;TODAY()),0,IF(OR(INDEX($B304:$D304,AU$5)="F",AND(AU$6&gt;0,$A304&lt;AU$6),AND(AU$7&gt;0,$A304&gt;AU$7)),0,MAX(0,ROUND((INDEX($E304:$G304,AU$5)-SUMIFS(TF_Timer,TF_Tekniker,AU$4,TF_Dato,$A304))*2,0)/2)))</f>
        <v/>
      </c>
      <c r="AV304">
        <f>IF(OR(AV$4="",$A304&gt;TODAY()),0,IF(OR(INDEX($B304:$D304,AV$5)="F",AND(AV$6&gt;0,$A304&lt;AV$6),AND(AV$7&gt;0,$A304&gt;AV$7)),0,MAX(0,ROUND((INDEX($E304:$G304,AV$5)-SUMIFS(TF_Timer,TF_Tekniker,AV$4,TF_Dato,$A304))*2,0)/2)))</f>
        <v/>
      </c>
      <c r="AW304">
        <f>IF(OR(AW$4="",$A304&gt;TODAY()),0,IF(OR(INDEX($B304:$D304,AW$5)="F",AND(AW$6&gt;0,$A304&lt;AW$6),AND(AW$7&gt;0,$A304&gt;AW$7)),0,MAX(0,ROUND((INDEX($E304:$G304,AW$5)-SUMIFS(TF_Timer,TF_Tekniker,AW$4,TF_Dato,$A304))*2,0)/2)))</f>
        <v/>
      </c>
      <c r="AX304">
        <f>IF(OR(AX$4="",$A304&gt;TODAY()),0,IF(OR(INDEX($B304:$D304,AX$5)="F",AND(AX$6&gt;0,$A304&lt;AX$6),AND(AX$7&gt;0,$A304&gt;AX$7)),0,MAX(0,ROUND((INDEX($E304:$G304,AX$5)-SUMIFS(TF_Timer,TF_Tekniker,AX$4,TF_Dato,$A304))*2,0)/2)))</f>
        <v/>
      </c>
      <c r="AY304">
        <f>IF(OR(AY$4="",$A304&gt;TODAY()),0,IF(OR(INDEX($B304:$D304,AY$5)="F",AND(AY$6&gt;0,$A304&lt;AY$6),AND(AY$7&gt;0,$A304&gt;AY$7)),0,MAX(0,ROUND((INDEX($E304:$G304,AY$5)-SUMIFS(TF_Timer,TF_Tekniker,AY$4,TF_Dato,$A304))*2,0)/2)))</f>
        <v/>
      </c>
      <c r="AZ304">
        <f>IF(OR(AZ$4="",$A304&gt;TODAY()),0,IF(OR(INDEX($B304:$D304,AZ$5)="F",AND(AZ$6&gt;0,$A304&lt;AZ$6),AND(AZ$7&gt;0,$A304&gt;AZ$7)),0,MAX(0,ROUND((INDEX($E304:$G304,AZ$5)-SUMIFS(TF_Timer,TF_Tekniker,AZ$4,TF_Dato,$A304))*2,0)/2)))</f>
        <v/>
      </c>
      <c r="BA304">
        <f>IF(OR(BA$4="",$A304&gt;TODAY()),0,IF(OR(INDEX($B304:$D304,BA$5)="F",AND(BA$6&gt;0,$A304&lt;BA$6),AND(BA$7&gt;0,$A304&gt;BA$7)),0,MAX(0,ROUND((INDEX($E304:$G304,BA$5)-SUMIFS(TF_Timer,TF_Tekniker,BA$4,TF_Dato,$A304))*2,0)/2)))</f>
        <v/>
      </c>
      <c r="BB304">
        <f>IF(OR(BB$4="",$A304&gt;TODAY()),0,IF(OR(INDEX($B304:$D304,BB$5)="F",AND(BB$6&gt;0,$A304&lt;BB$6),AND(BB$7&gt;0,$A304&gt;BB$7)),0,MAX(0,ROUND((INDEX($E304:$G304,BB$5)-SUMIFS(TF_Timer,TF_Tekniker,BB$4,TF_Dato,$A304))*2,0)/2)))</f>
        <v/>
      </c>
      <c r="BC304">
        <f>IF(OR(BC$4="",$A304&gt;TODAY()),0,IF(OR(INDEX($B304:$D304,BC$5)="F",AND(BC$6&gt;0,$A304&lt;BC$6),AND(BC$7&gt;0,$A304&gt;BC$7)),0,MAX(0,ROUND((INDEX($E304:$G304,BC$5)-SUMIFS(TF_Timer,TF_Tekniker,BC$4,TF_Dato,$A304))*2,0)/2)))</f>
        <v/>
      </c>
      <c r="BD304">
        <f>IF(OR(BD$4="",$A304&gt;TODAY()),0,IF(OR(INDEX($B304:$D304,BD$5)="F",AND(BD$6&gt;0,$A304&lt;BD$6),AND(BD$7&gt;0,$A304&gt;BD$7)),0,MAX(0,ROUND((INDEX($E304:$G304,BD$5)-SUMIFS(TF_Timer,TF_Tekniker,BD$4,TF_Dato,$A304))*2,0)/2)))</f>
        <v/>
      </c>
      <c r="BE304">
        <f>IF(OR(BE$4="",$A304&gt;TODAY()),0,IF(OR(INDEX($B304:$D304,BE$5)="F",AND(BE$6&gt;0,$A304&lt;BE$6),AND(BE$7&gt;0,$A304&gt;BE$7)),0,MAX(0,ROUND((INDEX($E304:$G304,BE$5)-SUMIFS(TF_Timer,TF_Tekniker,BE$4,TF_Dato,$A304))*2,0)/2)))</f>
        <v/>
      </c>
      <c r="BF304">
        <f>IF(OR(BF$4="",$A304&gt;TODAY()),0,IF(OR(INDEX($B304:$D304,BF$5)="F",AND(BF$6&gt;0,$A304&lt;BF$6),AND(BF$7&gt;0,$A304&gt;BF$7)),0,MAX(0,ROUND((INDEX($E304:$G304,BF$5)-SUMIFS(TF_Timer,TF_Tekniker,BF$4,TF_Dato,$A304))*2,0)/2)))</f>
        <v/>
      </c>
      <c r="BG304">
        <f>IF(OR(BG$4="",$A304&gt;TODAY()),0,IF(OR(INDEX($B304:$D304,BG$5)="F",AND(BG$6&gt;0,$A304&lt;BG$6),AND(BG$7&gt;0,$A304&gt;BG$7)),0,MAX(0,ROUND((INDEX($E304:$G304,BG$5)-SUMIFS(TF_Timer,TF_Tekniker,BG$4,TF_Dato,$A304))*2,0)/2)))</f>
        <v/>
      </c>
      <c r="BH304">
        <f>IF(OR(BH$4="",$A304&gt;TODAY()),0,IF(OR(INDEX($B304:$D304,BH$5)="F",AND(BH$6&gt;0,$A304&lt;BH$6),AND(BH$7&gt;0,$A304&gt;BH$7)),0,MAX(0,ROUND((INDEX($E304:$G304,BH$5)-SUMIFS(TF_Timer,TF_Tekniker,BH$4,TF_Dato,$A304))*2,0)/2)))</f>
        <v/>
      </c>
      <c r="BI304">
        <f>IF(OR(BI$4="",$A304&gt;TODAY()),0,IF(OR(INDEX($B304:$D304,BI$5)="F",AND(BI$6&gt;0,$A304&lt;BI$6),AND(BI$7&gt;0,$A304&gt;BI$7)),0,MAX(0,ROUND((INDEX($E304:$G304,BI$5)-SUMIFS(TF_Timer,TF_Tekniker,BI$4,TF_Dato,$A304))*2,0)/2)))</f>
        <v/>
      </c>
    </row>
    <row r="305">
      <c r="A305" s="64">
        <f>A304+1</f>
        <v/>
      </c>
      <c r="B305">
        <f>IF(MOD($A305-INDEX(SkiftStart,1),Syklus)&lt;DagK,"K",IF(MOD($A305-INDEX(SkiftStart,1),Syklus)&lt;DagK+DagH,"H",IF(MOD($A305-INDEX(SkiftStart,1),Syklus)&lt;DagK+DagH+DagD,"D","F")))</f>
        <v/>
      </c>
      <c r="C305">
        <f>IF(MOD($A305-INDEX(SkiftStart,2),Syklus)&lt;DagK,"K",IF(MOD($A305-INDEX(SkiftStart,2),Syklus)&lt;DagK+DagH,"H",IF(MOD($A305-INDEX(SkiftStart,2),Syklus)&lt;DagK+DagH+DagD,"D","F")))</f>
        <v/>
      </c>
      <c r="D305">
        <f>IF(MOD($A305-INDEX(SkiftStart,3),Syklus)&lt;DagK,"K",IF(MOD($A305-INDEX(SkiftStart,3),Syklus)&lt;DagK+DagH,"H",IF(MOD($A305-INDEX(SkiftStart,3),Syklus)&lt;DagK+DagH+DagD,"D","F")))</f>
        <v/>
      </c>
      <c r="E305">
        <f>IF(B305="F",0,IF(WEEKDAY($A305,2)=5,INDEX(TimerFr,MATCH(B305,FaseKode,0)),INDEX(TimerMT,MATCH(B305,FaseKode,0))))</f>
        <v/>
      </c>
      <c r="F305">
        <f>IF(C305="F",0,IF(WEEKDAY($A305,2)=5,INDEX(TimerFr,MATCH(C305,FaseKode,0)),INDEX(TimerMT,MATCH(C305,FaseKode,0))))</f>
        <v/>
      </c>
      <c r="G305">
        <f>IF(D305="F",0,IF(WEEKDAY($A305,2)=5,INDEX(TimerFr,MATCH(D305,FaseKode,0)),INDEX(TimerMT,MATCH(D305,FaseKode,0))))</f>
        <v/>
      </c>
      <c r="H305">
        <f>IF(OR(H$4="",$A305&gt;TODAY()),0,IF(OR(INDEX($B305:$D305,H$5)="F",AND(H$6&gt;0,$A305&lt;H$6),AND(H$7&gt;0,$A305&gt;H$7)),0,MAX(0,ROUND((INDEX($E305:$G305,H$5)-SUMIFS(TF_Timer,TF_Tekniker,H$4,TF_Dato,$A305))*2,0)/2)))</f>
        <v/>
      </c>
      <c r="I305">
        <f>IF(OR(I$4="",$A305&gt;TODAY()),0,IF(OR(INDEX($B305:$D305,I$5)="F",AND(I$6&gt;0,$A305&lt;I$6),AND(I$7&gt;0,$A305&gt;I$7)),0,MAX(0,ROUND((INDEX($E305:$G305,I$5)-SUMIFS(TF_Timer,TF_Tekniker,I$4,TF_Dato,$A305))*2,0)/2)))</f>
        <v/>
      </c>
      <c r="J305">
        <f>IF(OR(J$4="",$A305&gt;TODAY()),0,IF(OR(INDEX($B305:$D305,J$5)="F",AND(J$6&gt;0,$A305&lt;J$6),AND(J$7&gt;0,$A305&gt;J$7)),0,MAX(0,ROUND((INDEX($E305:$G305,J$5)-SUMIFS(TF_Timer,TF_Tekniker,J$4,TF_Dato,$A305))*2,0)/2)))</f>
        <v/>
      </c>
      <c r="K305">
        <f>IF(OR(K$4="",$A305&gt;TODAY()),0,IF(OR(INDEX($B305:$D305,K$5)="F",AND(K$6&gt;0,$A305&lt;K$6),AND(K$7&gt;0,$A305&gt;K$7)),0,MAX(0,ROUND((INDEX($E305:$G305,K$5)-SUMIFS(TF_Timer,TF_Tekniker,K$4,TF_Dato,$A305))*2,0)/2)))</f>
        <v/>
      </c>
      <c r="L305">
        <f>IF(OR(L$4="",$A305&gt;TODAY()),0,IF(OR(INDEX($B305:$D305,L$5)="F",AND(L$6&gt;0,$A305&lt;L$6),AND(L$7&gt;0,$A305&gt;L$7)),0,MAX(0,ROUND((INDEX($E305:$G305,L$5)-SUMIFS(TF_Timer,TF_Tekniker,L$4,TF_Dato,$A305))*2,0)/2)))</f>
        <v/>
      </c>
      <c r="M305">
        <f>IF(OR(M$4="",$A305&gt;TODAY()),0,IF(OR(INDEX($B305:$D305,M$5)="F",AND(M$6&gt;0,$A305&lt;M$6),AND(M$7&gt;0,$A305&gt;M$7)),0,MAX(0,ROUND((INDEX($E305:$G305,M$5)-SUMIFS(TF_Timer,TF_Tekniker,M$4,TF_Dato,$A305))*2,0)/2)))</f>
        <v/>
      </c>
      <c r="N305">
        <f>IF(OR(N$4="",$A305&gt;TODAY()),0,IF(OR(INDEX($B305:$D305,N$5)="F",AND(N$6&gt;0,$A305&lt;N$6),AND(N$7&gt;0,$A305&gt;N$7)),0,MAX(0,ROUND((INDEX($E305:$G305,N$5)-SUMIFS(TF_Timer,TF_Tekniker,N$4,TF_Dato,$A305))*2,0)/2)))</f>
        <v/>
      </c>
      <c r="O305">
        <f>IF(OR(O$4="",$A305&gt;TODAY()),0,IF(OR(INDEX($B305:$D305,O$5)="F",AND(O$6&gt;0,$A305&lt;O$6),AND(O$7&gt;0,$A305&gt;O$7)),0,MAX(0,ROUND((INDEX($E305:$G305,O$5)-SUMIFS(TF_Timer,TF_Tekniker,O$4,TF_Dato,$A305))*2,0)/2)))</f>
        <v/>
      </c>
      <c r="P305">
        <f>IF(OR(P$4="",$A305&gt;TODAY()),0,IF(OR(INDEX($B305:$D305,P$5)="F",AND(P$6&gt;0,$A305&lt;P$6),AND(P$7&gt;0,$A305&gt;P$7)),0,MAX(0,ROUND((INDEX($E305:$G305,P$5)-SUMIFS(TF_Timer,TF_Tekniker,P$4,TF_Dato,$A305))*2,0)/2)))</f>
        <v/>
      </c>
      <c r="Q305">
        <f>IF(OR(Q$4="",$A305&gt;TODAY()),0,IF(OR(INDEX($B305:$D305,Q$5)="F",AND(Q$6&gt;0,$A305&lt;Q$6),AND(Q$7&gt;0,$A305&gt;Q$7)),0,MAX(0,ROUND((INDEX($E305:$G305,Q$5)-SUMIFS(TF_Timer,TF_Tekniker,Q$4,TF_Dato,$A305))*2,0)/2)))</f>
        <v/>
      </c>
      <c r="R305">
        <f>IF(OR(R$4="",$A305&gt;TODAY()),0,IF(OR(INDEX($B305:$D305,R$5)="F",AND(R$6&gt;0,$A305&lt;R$6),AND(R$7&gt;0,$A305&gt;R$7)),0,MAX(0,ROUND((INDEX($E305:$G305,R$5)-SUMIFS(TF_Timer,TF_Tekniker,R$4,TF_Dato,$A305))*2,0)/2)))</f>
        <v/>
      </c>
      <c r="S305">
        <f>IF(OR(S$4="",$A305&gt;TODAY()),0,IF(OR(INDEX($B305:$D305,S$5)="F",AND(S$6&gt;0,$A305&lt;S$6),AND(S$7&gt;0,$A305&gt;S$7)),0,MAX(0,ROUND((INDEX($E305:$G305,S$5)-SUMIFS(TF_Timer,TF_Tekniker,S$4,TF_Dato,$A305))*2,0)/2)))</f>
        <v/>
      </c>
      <c r="T305">
        <f>IF(OR(T$4="",$A305&gt;TODAY()),0,IF(OR(INDEX($B305:$D305,T$5)="F",AND(T$6&gt;0,$A305&lt;T$6),AND(T$7&gt;0,$A305&gt;T$7)),0,MAX(0,ROUND((INDEX($E305:$G305,T$5)-SUMIFS(TF_Timer,TF_Tekniker,T$4,TF_Dato,$A305))*2,0)/2)))</f>
        <v/>
      </c>
      <c r="U305">
        <f>IF(OR(U$4="",$A305&gt;TODAY()),0,IF(OR(INDEX($B305:$D305,U$5)="F",AND(U$6&gt;0,$A305&lt;U$6),AND(U$7&gt;0,$A305&gt;U$7)),0,MAX(0,ROUND((INDEX($E305:$G305,U$5)-SUMIFS(TF_Timer,TF_Tekniker,U$4,TF_Dato,$A305))*2,0)/2)))</f>
        <v/>
      </c>
      <c r="V305">
        <f>IF(OR(V$4="",$A305&gt;TODAY()),0,IF(OR(INDEX($B305:$D305,V$5)="F",AND(V$6&gt;0,$A305&lt;V$6),AND(V$7&gt;0,$A305&gt;V$7)),0,MAX(0,ROUND((INDEX($E305:$G305,V$5)-SUMIFS(TF_Timer,TF_Tekniker,V$4,TF_Dato,$A305))*2,0)/2)))</f>
        <v/>
      </c>
      <c r="W305">
        <f>IF(OR(W$4="",$A305&gt;TODAY()),0,IF(OR(INDEX($B305:$D305,W$5)="F",AND(W$6&gt;0,$A305&lt;W$6),AND(W$7&gt;0,$A305&gt;W$7)),0,MAX(0,ROUND((INDEX($E305:$G305,W$5)-SUMIFS(TF_Timer,TF_Tekniker,W$4,TF_Dato,$A305))*2,0)/2)))</f>
        <v/>
      </c>
      <c r="X305">
        <f>IF(OR(X$4="",$A305&gt;TODAY()),0,IF(OR(INDEX($B305:$D305,X$5)="F",AND(X$6&gt;0,$A305&lt;X$6),AND(X$7&gt;0,$A305&gt;X$7)),0,MAX(0,ROUND((INDEX($E305:$G305,X$5)-SUMIFS(TF_Timer,TF_Tekniker,X$4,TF_Dato,$A305))*2,0)/2)))</f>
        <v/>
      </c>
      <c r="Y305">
        <f>IF(OR(Y$4="",$A305&gt;TODAY()),0,IF(OR(INDEX($B305:$D305,Y$5)="F",AND(Y$6&gt;0,$A305&lt;Y$6),AND(Y$7&gt;0,$A305&gt;Y$7)),0,MAX(0,ROUND((INDEX($E305:$G305,Y$5)-SUMIFS(TF_Timer,TF_Tekniker,Y$4,TF_Dato,$A305))*2,0)/2)))</f>
        <v/>
      </c>
      <c r="Z305">
        <f>IF(OR(Z$4="",$A305&gt;TODAY()),0,IF(OR(INDEX($B305:$D305,Z$5)="F",AND(Z$6&gt;0,$A305&lt;Z$6),AND(Z$7&gt;0,$A305&gt;Z$7)),0,MAX(0,ROUND((INDEX($E305:$G305,Z$5)-SUMIFS(TF_Timer,TF_Tekniker,Z$4,TF_Dato,$A305))*2,0)/2)))</f>
        <v/>
      </c>
      <c r="AA305">
        <f>IF(OR(AA$4="",$A305&gt;TODAY()),0,IF(OR(INDEX($B305:$D305,AA$5)="F",AND(AA$6&gt;0,$A305&lt;AA$6),AND(AA$7&gt;0,$A305&gt;AA$7)),0,MAX(0,ROUND((INDEX($E305:$G305,AA$5)-SUMIFS(TF_Timer,TF_Tekniker,AA$4,TF_Dato,$A305))*2,0)/2)))</f>
        <v/>
      </c>
      <c r="AB305">
        <f>IF(OR(AB$4="",$A305&gt;TODAY()),0,IF(OR(INDEX($B305:$D305,AB$5)="F",AND(AB$6&gt;0,$A305&lt;AB$6),AND(AB$7&gt;0,$A305&gt;AB$7)),0,MAX(0,ROUND((INDEX($E305:$G305,AB$5)-SUMIFS(TF_Timer,TF_Tekniker,AB$4,TF_Dato,$A305))*2,0)/2)))</f>
        <v/>
      </c>
      <c r="AC305">
        <f>IF(OR(AC$4="",$A305&gt;TODAY()),0,IF(OR(INDEX($B305:$D305,AC$5)="F",AND(AC$6&gt;0,$A305&lt;AC$6),AND(AC$7&gt;0,$A305&gt;AC$7)),0,MAX(0,ROUND((INDEX($E305:$G305,AC$5)-SUMIFS(TF_Timer,TF_Tekniker,AC$4,TF_Dato,$A305))*2,0)/2)))</f>
        <v/>
      </c>
      <c r="AD305">
        <f>IF(OR(AD$4="",$A305&gt;TODAY()),0,IF(OR(INDEX($B305:$D305,AD$5)="F",AND(AD$6&gt;0,$A305&lt;AD$6),AND(AD$7&gt;0,$A305&gt;AD$7)),0,MAX(0,ROUND((INDEX($E305:$G305,AD$5)-SUMIFS(TF_Timer,TF_Tekniker,AD$4,TF_Dato,$A305))*2,0)/2)))</f>
        <v/>
      </c>
      <c r="AE305">
        <f>IF(OR(AE$4="",$A305&gt;TODAY()),0,IF(OR(INDEX($B305:$D305,AE$5)="F",AND(AE$6&gt;0,$A305&lt;AE$6),AND(AE$7&gt;0,$A305&gt;AE$7)),0,MAX(0,ROUND((INDEX($E305:$G305,AE$5)-SUMIFS(TF_Timer,TF_Tekniker,AE$4,TF_Dato,$A305))*2,0)/2)))</f>
        <v/>
      </c>
      <c r="AF305">
        <f>IF(OR(AF$4="",$A305&gt;TODAY()),0,IF(OR(INDEX($B305:$D305,AF$5)="F",AND(AF$6&gt;0,$A305&lt;AF$6),AND(AF$7&gt;0,$A305&gt;AF$7)),0,MAX(0,ROUND((INDEX($E305:$G305,AF$5)-SUMIFS(TF_Timer,TF_Tekniker,AF$4,TF_Dato,$A305))*2,0)/2)))</f>
        <v/>
      </c>
      <c r="AG305">
        <f>IF(OR(AG$4="",$A305&gt;TODAY()),0,IF(OR(INDEX($B305:$D305,AG$5)="F",AND(AG$6&gt;0,$A305&lt;AG$6),AND(AG$7&gt;0,$A305&gt;AG$7)),0,MAX(0,ROUND((INDEX($E305:$G305,AG$5)-SUMIFS(TF_Timer,TF_Tekniker,AG$4,TF_Dato,$A305))*2,0)/2)))</f>
        <v/>
      </c>
      <c r="AH305">
        <f>IF(OR(AH$4="",$A305&gt;TODAY()),0,IF(OR(INDEX($B305:$D305,AH$5)="F",AND(AH$6&gt;0,$A305&lt;AH$6),AND(AH$7&gt;0,$A305&gt;AH$7)),0,MAX(0,ROUND((INDEX($E305:$G305,AH$5)-SUMIFS(TF_Timer,TF_Tekniker,AH$4,TF_Dato,$A305))*2,0)/2)))</f>
        <v/>
      </c>
      <c r="AI305">
        <f>IF(OR(AI$4="",$A305&gt;TODAY()),0,IF(OR(INDEX($B305:$D305,AI$5)="F",AND(AI$6&gt;0,$A305&lt;AI$6),AND(AI$7&gt;0,$A305&gt;AI$7)),0,MAX(0,ROUND((INDEX($E305:$G305,AI$5)-SUMIFS(TF_Timer,TF_Tekniker,AI$4,TF_Dato,$A305))*2,0)/2)))</f>
        <v/>
      </c>
      <c r="AJ305">
        <f>IF(OR(AJ$4="",$A305&gt;TODAY()),0,IF(OR(INDEX($B305:$D305,AJ$5)="F",AND(AJ$6&gt;0,$A305&lt;AJ$6),AND(AJ$7&gt;0,$A305&gt;AJ$7)),0,MAX(0,ROUND((INDEX($E305:$G305,AJ$5)-SUMIFS(TF_Timer,TF_Tekniker,AJ$4,TF_Dato,$A305))*2,0)/2)))</f>
        <v/>
      </c>
      <c r="AK305">
        <f>IF(OR(AK$4="",$A305&gt;TODAY()),0,IF(OR(INDEX($B305:$D305,AK$5)="F",AND(AK$6&gt;0,$A305&lt;AK$6),AND(AK$7&gt;0,$A305&gt;AK$7)),0,MAX(0,ROUND((INDEX($E305:$G305,AK$5)-SUMIFS(TF_Timer,TF_Tekniker,AK$4,TF_Dato,$A305))*2,0)/2)))</f>
        <v/>
      </c>
      <c r="AL305">
        <f>IF(OR(AL$4="",$A305&gt;TODAY()),0,IF(OR(INDEX($B305:$D305,AL$5)="F",AND(AL$6&gt;0,$A305&lt;AL$6),AND(AL$7&gt;0,$A305&gt;AL$7)),0,MAX(0,ROUND((INDEX($E305:$G305,AL$5)-SUMIFS(TF_Timer,TF_Tekniker,AL$4,TF_Dato,$A305))*2,0)/2)))</f>
        <v/>
      </c>
      <c r="AM305">
        <f>IF(OR(AM$4="",$A305&gt;TODAY()),0,IF(OR(INDEX($B305:$D305,AM$5)="F",AND(AM$6&gt;0,$A305&lt;AM$6),AND(AM$7&gt;0,$A305&gt;AM$7)),0,MAX(0,ROUND((INDEX($E305:$G305,AM$5)-SUMIFS(TF_Timer,TF_Tekniker,AM$4,TF_Dato,$A305))*2,0)/2)))</f>
        <v/>
      </c>
      <c r="AN305">
        <f>IF(OR(AN$4="",$A305&gt;TODAY()),0,IF(OR(INDEX($B305:$D305,AN$5)="F",AND(AN$6&gt;0,$A305&lt;AN$6),AND(AN$7&gt;0,$A305&gt;AN$7)),0,MAX(0,ROUND((INDEX($E305:$G305,AN$5)-SUMIFS(TF_Timer,TF_Tekniker,AN$4,TF_Dato,$A305))*2,0)/2)))</f>
        <v/>
      </c>
      <c r="AO305">
        <f>IF(OR(AO$4="",$A305&gt;TODAY()),0,IF(OR(INDEX($B305:$D305,AO$5)="F",AND(AO$6&gt;0,$A305&lt;AO$6),AND(AO$7&gt;0,$A305&gt;AO$7)),0,MAX(0,ROUND((INDEX($E305:$G305,AO$5)-SUMIFS(TF_Timer,TF_Tekniker,AO$4,TF_Dato,$A305))*2,0)/2)))</f>
        <v/>
      </c>
      <c r="AP305">
        <f>IF(OR(AP$4="",$A305&gt;TODAY()),0,IF(OR(INDEX($B305:$D305,AP$5)="F",AND(AP$6&gt;0,$A305&lt;AP$6),AND(AP$7&gt;0,$A305&gt;AP$7)),0,MAX(0,ROUND((INDEX($E305:$G305,AP$5)-SUMIFS(TF_Timer,TF_Tekniker,AP$4,TF_Dato,$A305))*2,0)/2)))</f>
        <v/>
      </c>
      <c r="AQ305">
        <f>IF(OR(AQ$4="",$A305&gt;TODAY()),0,IF(OR(INDEX($B305:$D305,AQ$5)="F",AND(AQ$6&gt;0,$A305&lt;AQ$6),AND(AQ$7&gt;0,$A305&gt;AQ$7)),0,MAX(0,ROUND((INDEX($E305:$G305,AQ$5)-SUMIFS(TF_Timer,TF_Tekniker,AQ$4,TF_Dato,$A305))*2,0)/2)))</f>
        <v/>
      </c>
      <c r="AR305">
        <f>IF(OR(AR$4="",$A305&gt;TODAY()),0,IF(OR(INDEX($B305:$D305,AR$5)="F",AND(AR$6&gt;0,$A305&lt;AR$6),AND(AR$7&gt;0,$A305&gt;AR$7)),0,MAX(0,ROUND((INDEX($E305:$G305,AR$5)-SUMIFS(TF_Timer,TF_Tekniker,AR$4,TF_Dato,$A305))*2,0)/2)))</f>
        <v/>
      </c>
      <c r="AS305">
        <f>IF(OR(AS$4="",$A305&gt;TODAY()),0,IF(OR(INDEX($B305:$D305,AS$5)="F",AND(AS$6&gt;0,$A305&lt;AS$6),AND(AS$7&gt;0,$A305&gt;AS$7)),0,MAX(0,ROUND((INDEX($E305:$G305,AS$5)-SUMIFS(TF_Timer,TF_Tekniker,AS$4,TF_Dato,$A305))*2,0)/2)))</f>
        <v/>
      </c>
      <c r="AT305">
        <f>IF(OR(AT$4="",$A305&gt;TODAY()),0,IF(OR(INDEX($B305:$D305,AT$5)="F",AND(AT$6&gt;0,$A305&lt;AT$6),AND(AT$7&gt;0,$A305&gt;AT$7)),0,MAX(0,ROUND((INDEX($E305:$G305,AT$5)-SUMIFS(TF_Timer,TF_Tekniker,AT$4,TF_Dato,$A305))*2,0)/2)))</f>
        <v/>
      </c>
      <c r="AU305">
        <f>IF(OR(AU$4="",$A305&gt;TODAY()),0,IF(OR(INDEX($B305:$D305,AU$5)="F",AND(AU$6&gt;0,$A305&lt;AU$6),AND(AU$7&gt;0,$A305&gt;AU$7)),0,MAX(0,ROUND((INDEX($E305:$G305,AU$5)-SUMIFS(TF_Timer,TF_Tekniker,AU$4,TF_Dato,$A305))*2,0)/2)))</f>
        <v/>
      </c>
      <c r="AV305">
        <f>IF(OR(AV$4="",$A305&gt;TODAY()),0,IF(OR(INDEX($B305:$D305,AV$5)="F",AND(AV$6&gt;0,$A305&lt;AV$6),AND(AV$7&gt;0,$A305&gt;AV$7)),0,MAX(0,ROUND((INDEX($E305:$G305,AV$5)-SUMIFS(TF_Timer,TF_Tekniker,AV$4,TF_Dato,$A305))*2,0)/2)))</f>
        <v/>
      </c>
      <c r="AW305">
        <f>IF(OR(AW$4="",$A305&gt;TODAY()),0,IF(OR(INDEX($B305:$D305,AW$5)="F",AND(AW$6&gt;0,$A305&lt;AW$6),AND(AW$7&gt;0,$A305&gt;AW$7)),0,MAX(0,ROUND((INDEX($E305:$G305,AW$5)-SUMIFS(TF_Timer,TF_Tekniker,AW$4,TF_Dato,$A305))*2,0)/2)))</f>
        <v/>
      </c>
      <c r="AX305">
        <f>IF(OR(AX$4="",$A305&gt;TODAY()),0,IF(OR(INDEX($B305:$D305,AX$5)="F",AND(AX$6&gt;0,$A305&lt;AX$6),AND(AX$7&gt;0,$A305&gt;AX$7)),0,MAX(0,ROUND((INDEX($E305:$G305,AX$5)-SUMIFS(TF_Timer,TF_Tekniker,AX$4,TF_Dato,$A305))*2,0)/2)))</f>
        <v/>
      </c>
      <c r="AY305">
        <f>IF(OR(AY$4="",$A305&gt;TODAY()),0,IF(OR(INDEX($B305:$D305,AY$5)="F",AND(AY$6&gt;0,$A305&lt;AY$6),AND(AY$7&gt;0,$A305&gt;AY$7)),0,MAX(0,ROUND((INDEX($E305:$G305,AY$5)-SUMIFS(TF_Timer,TF_Tekniker,AY$4,TF_Dato,$A305))*2,0)/2)))</f>
        <v/>
      </c>
      <c r="AZ305">
        <f>IF(OR(AZ$4="",$A305&gt;TODAY()),0,IF(OR(INDEX($B305:$D305,AZ$5)="F",AND(AZ$6&gt;0,$A305&lt;AZ$6),AND(AZ$7&gt;0,$A305&gt;AZ$7)),0,MAX(0,ROUND((INDEX($E305:$G305,AZ$5)-SUMIFS(TF_Timer,TF_Tekniker,AZ$4,TF_Dato,$A305))*2,0)/2)))</f>
        <v/>
      </c>
      <c r="BA305">
        <f>IF(OR(BA$4="",$A305&gt;TODAY()),0,IF(OR(INDEX($B305:$D305,BA$5)="F",AND(BA$6&gt;0,$A305&lt;BA$6),AND(BA$7&gt;0,$A305&gt;BA$7)),0,MAX(0,ROUND((INDEX($E305:$G305,BA$5)-SUMIFS(TF_Timer,TF_Tekniker,BA$4,TF_Dato,$A305))*2,0)/2)))</f>
        <v/>
      </c>
      <c r="BB305">
        <f>IF(OR(BB$4="",$A305&gt;TODAY()),0,IF(OR(INDEX($B305:$D305,BB$5)="F",AND(BB$6&gt;0,$A305&lt;BB$6),AND(BB$7&gt;0,$A305&gt;BB$7)),0,MAX(0,ROUND((INDEX($E305:$G305,BB$5)-SUMIFS(TF_Timer,TF_Tekniker,BB$4,TF_Dato,$A305))*2,0)/2)))</f>
        <v/>
      </c>
      <c r="BC305">
        <f>IF(OR(BC$4="",$A305&gt;TODAY()),0,IF(OR(INDEX($B305:$D305,BC$5)="F",AND(BC$6&gt;0,$A305&lt;BC$6),AND(BC$7&gt;0,$A305&gt;BC$7)),0,MAX(0,ROUND((INDEX($E305:$G305,BC$5)-SUMIFS(TF_Timer,TF_Tekniker,BC$4,TF_Dato,$A305))*2,0)/2)))</f>
        <v/>
      </c>
      <c r="BD305">
        <f>IF(OR(BD$4="",$A305&gt;TODAY()),0,IF(OR(INDEX($B305:$D305,BD$5)="F",AND(BD$6&gt;0,$A305&lt;BD$6),AND(BD$7&gt;0,$A305&gt;BD$7)),0,MAX(0,ROUND((INDEX($E305:$G305,BD$5)-SUMIFS(TF_Timer,TF_Tekniker,BD$4,TF_Dato,$A305))*2,0)/2)))</f>
        <v/>
      </c>
      <c r="BE305">
        <f>IF(OR(BE$4="",$A305&gt;TODAY()),0,IF(OR(INDEX($B305:$D305,BE$5)="F",AND(BE$6&gt;0,$A305&lt;BE$6),AND(BE$7&gt;0,$A305&gt;BE$7)),0,MAX(0,ROUND((INDEX($E305:$G305,BE$5)-SUMIFS(TF_Timer,TF_Tekniker,BE$4,TF_Dato,$A305))*2,0)/2)))</f>
        <v/>
      </c>
      <c r="BF305">
        <f>IF(OR(BF$4="",$A305&gt;TODAY()),0,IF(OR(INDEX($B305:$D305,BF$5)="F",AND(BF$6&gt;0,$A305&lt;BF$6),AND(BF$7&gt;0,$A305&gt;BF$7)),0,MAX(0,ROUND((INDEX($E305:$G305,BF$5)-SUMIFS(TF_Timer,TF_Tekniker,BF$4,TF_Dato,$A305))*2,0)/2)))</f>
        <v/>
      </c>
      <c r="BG305">
        <f>IF(OR(BG$4="",$A305&gt;TODAY()),0,IF(OR(INDEX($B305:$D305,BG$5)="F",AND(BG$6&gt;0,$A305&lt;BG$6),AND(BG$7&gt;0,$A305&gt;BG$7)),0,MAX(0,ROUND((INDEX($E305:$G305,BG$5)-SUMIFS(TF_Timer,TF_Tekniker,BG$4,TF_Dato,$A305))*2,0)/2)))</f>
        <v/>
      </c>
      <c r="BH305">
        <f>IF(OR(BH$4="",$A305&gt;TODAY()),0,IF(OR(INDEX($B305:$D305,BH$5)="F",AND(BH$6&gt;0,$A305&lt;BH$6),AND(BH$7&gt;0,$A305&gt;BH$7)),0,MAX(0,ROUND((INDEX($E305:$G305,BH$5)-SUMIFS(TF_Timer,TF_Tekniker,BH$4,TF_Dato,$A305))*2,0)/2)))</f>
        <v/>
      </c>
      <c r="BI305">
        <f>IF(OR(BI$4="",$A305&gt;TODAY()),0,IF(OR(INDEX($B305:$D305,BI$5)="F",AND(BI$6&gt;0,$A305&lt;BI$6),AND(BI$7&gt;0,$A305&gt;BI$7)),0,MAX(0,ROUND((INDEX($E305:$G305,BI$5)-SUMIFS(TF_Timer,TF_Tekniker,BI$4,TF_Dato,$A305))*2,0)/2)))</f>
        <v/>
      </c>
    </row>
    <row r="306">
      <c r="A306" s="64">
        <f>A305+1</f>
        <v/>
      </c>
      <c r="B306">
        <f>IF(MOD($A306-INDEX(SkiftStart,1),Syklus)&lt;DagK,"K",IF(MOD($A306-INDEX(SkiftStart,1),Syklus)&lt;DagK+DagH,"H",IF(MOD($A306-INDEX(SkiftStart,1),Syklus)&lt;DagK+DagH+DagD,"D","F")))</f>
        <v/>
      </c>
      <c r="C306">
        <f>IF(MOD($A306-INDEX(SkiftStart,2),Syklus)&lt;DagK,"K",IF(MOD($A306-INDEX(SkiftStart,2),Syklus)&lt;DagK+DagH,"H",IF(MOD($A306-INDEX(SkiftStart,2),Syklus)&lt;DagK+DagH+DagD,"D","F")))</f>
        <v/>
      </c>
      <c r="D306">
        <f>IF(MOD($A306-INDEX(SkiftStart,3),Syklus)&lt;DagK,"K",IF(MOD($A306-INDEX(SkiftStart,3),Syklus)&lt;DagK+DagH,"H",IF(MOD($A306-INDEX(SkiftStart,3),Syklus)&lt;DagK+DagH+DagD,"D","F")))</f>
        <v/>
      </c>
      <c r="E306">
        <f>IF(B306="F",0,IF(WEEKDAY($A306,2)=5,INDEX(TimerFr,MATCH(B306,FaseKode,0)),INDEX(TimerMT,MATCH(B306,FaseKode,0))))</f>
        <v/>
      </c>
      <c r="F306">
        <f>IF(C306="F",0,IF(WEEKDAY($A306,2)=5,INDEX(TimerFr,MATCH(C306,FaseKode,0)),INDEX(TimerMT,MATCH(C306,FaseKode,0))))</f>
        <v/>
      </c>
      <c r="G306">
        <f>IF(D306="F",0,IF(WEEKDAY($A306,2)=5,INDEX(TimerFr,MATCH(D306,FaseKode,0)),INDEX(TimerMT,MATCH(D306,FaseKode,0))))</f>
        <v/>
      </c>
      <c r="H306">
        <f>IF(OR(H$4="",$A306&gt;TODAY()),0,IF(OR(INDEX($B306:$D306,H$5)="F",AND(H$6&gt;0,$A306&lt;H$6),AND(H$7&gt;0,$A306&gt;H$7)),0,MAX(0,ROUND((INDEX($E306:$G306,H$5)-SUMIFS(TF_Timer,TF_Tekniker,H$4,TF_Dato,$A306))*2,0)/2)))</f>
        <v/>
      </c>
      <c r="I306">
        <f>IF(OR(I$4="",$A306&gt;TODAY()),0,IF(OR(INDEX($B306:$D306,I$5)="F",AND(I$6&gt;0,$A306&lt;I$6),AND(I$7&gt;0,$A306&gt;I$7)),0,MAX(0,ROUND((INDEX($E306:$G306,I$5)-SUMIFS(TF_Timer,TF_Tekniker,I$4,TF_Dato,$A306))*2,0)/2)))</f>
        <v/>
      </c>
      <c r="J306">
        <f>IF(OR(J$4="",$A306&gt;TODAY()),0,IF(OR(INDEX($B306:$D306,J$5)="F",AND(J$6&gt;0,$A306&lt;J$6),AND(J$7&gt;0,$A306&gt;J$7)),0,MAX(0,ROUND((INDEX($E306:$G306,J$5)-SUMIFS(TF_Timer,TF_Tekniker,J$4,TF_Dato,$A306))*2,0)/2)))</f>
        <v/>
      </c>
      <c r="K306">
        <f>IF(OR(K$4="",$A306&gt;TODAY()),0,IF(OR(INDEX($B306:$D306,K$5)="F",AND(K$6&gt;0,$A306&lt;K$6),AND(K$7&gt;0,$A306&gt;K$7)),0,MAX(0,ROUND((INDEX($E306:$G306,K$5)-SUMIFS(TF_Timer,TF_Tekniker,K$4,TF_Dato,$A306))*2,0)/2)))</f>
        <v/>
      </c>
      <c r="L306">
        <f>IF(OR(L$4="",$A306&gt;TODAY()),0,IF(OR(INDEX($B306:$D306,L$5)="F",AND(L$6&gt;0,$A306&lt;L$6),AND(L$7&gt;0,$A306&gt;L$7)),0,MAX(0,ROUND((INDEX($E306:$G306,L$5)-SUMIFS(TF_Timer,TF_Tekniker,L$4,TF_Dato,$A306))*2,0)/2)))</f>
        <v/>
      </c>
      <c r="M306">
        <f>IF(OR(M$4="",$A306&gt;TODAY()),0,IF(OR(INDEX($B306:$D306,M$5)="F",AND(M$6&gt;0,$A306&lt;M$6),AND(M$7&gt;0,$A306&gt;M$7)),0,MAX(0,ROUND((INDEX($E306:$G306,M$5)-SUMIFS(TF_Timer,TF_Tekniker,M$4,TF_Dato,$A306))*2,0)/2)))</f>
        <v/>
      </c>
      <c r="N306">
        <f>IF(OR(N$4="",$A306&gt;TODAY()),0,IF(OR(INDEX($B306:$D306,N$5)="F",AND(N$6&gt;0,$A306&lt;N$6),AND(N$7&gt;0,$A306&gt;N$7)),0,MAX(0,ROUND((INDEX($E306:$G306,N$5)-SUMIFS(TF_Timer,TF_Tekniker,N$4,TF_Dato,$A306))*2,0)/2)))</f>
        <v/>
      </c>
      <c r="O306">
        <f>IF(OR(O$4="",$A306&gt;TODAY()),0,IF(OR(INDEX($B306:$D306,O$5)="F",AND(O$6&gt;0,$A306&lt;O$6),AND(O$7&gt;0,$A306&gt;O$7)),0,MAX(0,ROUND((INDEX($E306:$G306,O$5)-SUMIFS(TF_Timer,TF_Tekniker,O$4,TF_Dato,$A306))*2,0)/2)))</f>
        <v/>
      </c>
      <c r="P306">
        <f>IF(OR(P$4="",$A306&gt;TODAY()),0,IF(OR(INDEX($B306:$D306,P$5)="F",AND(P$6&gt;0,$A306&lt;P$6),AND(P$7&gt;0,$A306&gt;P$7)),0,MAX(0,ROUND((INDEX($E306:$G306,P$5)-SUMIFS(TF_Timer,TF_Tekniker,P$4,TF_Dato,$A306))*2,0)/2)))</f>
        <v/>
      </c>
      <c r="Q306">
        <f>IF(OR(Q$4="",$A306&gt;TODAY()),0,IF(OR(INDEX($B306:$D306,Q$5)="F",AND(Q$6&gt;0,$A306&lt;Q$6),AND(Q$7&gt;0,$A306&gt;Q$7)),0,MAX(0,ROUND((INDEX($E306:$G306,Q$5)-SUMIFS(TF_Timer,TF_Tekniker,Q$4,TF_Dato,$A306))*2,0)/2)))</f>
        <v/>
      </c>
      <c r="R306">
        <f>IF(OR(R$4="",$A306&gt;TODAY()),0,IF(OR(INDEX($B306:$D306,R$5)="F",AND(R$6&gt;0,$A306&lt;R$6),AND(R$7&gt;0,$A306&gt;R$7)),0,MAX(0,ROUND((INDEX($E306:$G306,R$5)-SUMIFS(TF_Timer,TF_Tekniker,R$4,TF_Dato,$A306))*2,0)/2)))</f>
        <v/>
      </c>
      <c r="S306">
        <f>IF(OR(S$4="",$A306&gt;TODAY()),0,IF(OR(INDEX($B306:$D306,S$5)="F",AND(S$6&gt;0,$A306&lt;S$6),AND(S$7&gt;0,$A306&gt;S$7)),0,MAX(0,ROUND((INDEX($E306:$G306,S$5)-SUMIFS(TF_Timer,TF_Tekniker,S$4,TF_Dato,$A306))*2,0)/2)))</f>
        <v/>
      </c>
      <c r="T306">
        <f>IF(OR(T$4="",$A306&gt;TODAY()),0,IF(OR(INDEX($B306:$D306,T$5)="F",AND(T$6&gt;0,$A306&lt;T$6),AND(T$7&gt;0,$A306&gt;T$7)),0,MAX(0,ROUND((INDEX($E306:$G306,T$5)-SUMIFS(TF_Timer,TF_Tekniker,T$4,TF_Dato,$A306))*2,0)/2)))</f>
        <v/>
      </c>
      <c r="U306">
        <f>IF(OR(U$4="",$A306&gt;TODAY()),0,IF(OR(INDEX($B306:$D306,U$5)="F",AND(U$6&gt;0,$A306&lt;U$6),AND(U$7&gt;0,$A306&gt;U$7)),0,MAX(0,ROUND((INDEX($E306:$G306,U$5)-SUMIFS(TF_Timer,TF_Tekniker,U$4,TF_Dato,$A306))*2,0)/2)))</f>
        <v/>
      </c>
      <c r="V306">
        <f>IF(OR(V$4="",$A306&gt;TODAY()),0,IF(OR(INDEX($B306:$D306,V$5)="F",AND(V$6&gt;0,$A306&lt;V$6),AND(V$7&gt;0,$A306&gt;V$7)),0,MAX(0,ROUND((INDEX($E306:$G306,V$5)-SUMIFS(TF_Timer,TF_Tekniker,V$4,TF_Dato,$A306))*2,0)/2)))</f>
        <v/>
      </c>
      <c r="W306">
        <f>IF(OR(W$4="",$A306&gt;TODAY()),0,IF(OR(INDEX($B306:$D306,W$5)="F",AND(W$6&gt;0,$A306&lt;W$6),AND(W$7&gt;0,$A306&gt;W$7)),0,MAX(0,ROUND((INDEX($E306:$G306,W$5)-SUMIFS(TF_Timer,TF_Tekniker,W$4,TF_Dato,$A306))*2,0)/2)))</f>
        <v/>
      </c>
      <c r="X306">
        <f>IF(OR(X$4="",$A306&gt;TODAY()),0,IF(OR(INDEX($B306:$D306,X$5)="F",AND(X$6&gt;0,$A306&lt;X$6),AND(X$7&gt;0,$A306&gt;X$7)),0,MAX(0,ROUND((INDEX($E306:$G306,X$5)-SUMIFS(TF_Timer,TF_Tekniker,X$4,TF_Dato,$A306))*2,0)/2)))</f>
        <v/>
      </c>
      <c r="Y306">
        <f>IF(OR(Y$4="",$A306&gt;TODAY()),0,IF(OR(INDEX($B306:$D306,Y$5)="F",AND(Y$6&gt;0,$A306&lt;Y$6),AND(Y$7&gt;0,$A306&gt;Y$7)),0,MAX(0,ROUND((INDEX($E306:$G306,Y$5)-SUMIFS(TF_Timer,TF_Tekniker,Y$4,TF_Dato,$A306))*2,0)/2)))</f>
        <v/>
      </c>
      <c r="Z306">
        <f>IF(OR(Z$4="",$A306&gt;TODAY()),0,IF(OR(INDEX($B306:$D306,Z$5)="F",AND(Z$6&gt;0,$A306&lt;Z$6),AND(Z$7&gt;0,$A306&gt;Z$7)),0,MAX(0,ROUND((INDEX($E306:$G306,Z$5)-SUMIFS(TF_Timer,TF_Tekniker,Z$4,TF_Dato,$A306))*2,0)/2)))</f>
        <v/>
      </c>
      <c r="AA306">
        <f>IF(OR(AA$4="",$A306&gt;TODAY()),0,IF(OR(INDEX($B306:$D306,AA$5)="F",AND(AA$6&gt;0,$A306&lt;AA$6),AND(AA$7&gt;0,$A306&gt;AA$7)),0,MAX(0,ROUND((INDEX($E306:$G306,AA$5)-SUMIFS(TF_Timer,TF_Tekniker,AA$4,TF_Dato,$A306))*2,0)/2)))</f>
        <v/>
      </c>
      <c r="AB306">
        <f>IF(OR(AB$4="",$A306&gt;TODAY()),0,IF(OR(INDEX($B306:$D306,AB$5)="F",AND(AB$6&gt;0,$A306&lt;AB$6),AND(AB$7&gt;0,$A306&gt;AB$7)),0,MAX(0,ROUND((INDEX($E306:$G306,AB$5)-SUMIFS(TF_Timer,TF_Tekniker,AB$4,TF_Dato,$A306))*2,0)/2)))</f>
        <v/>
      </c>
      <c r="AC306">
        <f>IF(OR(AC$4="",$A306&gt;TODAY()),0,IF(OR(INDEX($B306:$D306,AC$5)="F",AND(AC$6&gt;0,$A306&lt;AC$6),AND(AC$7&gt;0,$A306&gt;AC$7)),0,MAX(0,ROUND((INDEX($E306:$G306,AC$5)-SUMIFS(TF_Timer,TF_Tekniker,AC$4,TF_Dato,$A306))*2,0)/2)))</f>
        <v/>
      </c>
      <c r="AD306">
        <f>IF(OR(AD$4="",$A306&gt;TODAY()),0,IF(OR(INDEX($B306:$D306,AD$5)="F",AND(AD$6&gt;0,$A306&lt;AD$6),AND(AD$7&gt;0,$A306&gt;AD$7)),0,MAX(0,ROUND((INDEX($E306:$G306,AD$5)-SUMIFS(TF_Timer,TF_Tekniker,AD$4,TF_Dato,$A306))*2,0)/2)))</f>
        <v/>
      </c>
      <c r="AE306">
        <f>IF(OR(AE$4="",$A306&gt;TODAY()),0,IF(OR(INDEX($B306:$D306,AE$5)="F",AND(AE$6&gt;0,$A306&lt;AE$6),AND(AE$7&gt;0,$A306&gt;AE$7)),0,MAX(0,ROUND((INDEX($E306:$G306,AE$5)-SUMIFS(TF_Timer,TF_Tekniker,AE$4,TF_Dato,$A306))*2,0)/2)))</f>
        <v/>
      </c>
      <c r="AF306">
        <f>IF(OR(AF$4="",$A306&gt;TODAY()),0,IF(OR(INDEX($B306:$D306,AF$5)="F",AND(AF$6&gt;0,$A306&lt;AF$6),AND(AF$7&gt;0,$A306&gt;AF$7)),0,MAX(0,ROUND((INDEX($E306:$G306,AF$5)-SUMIFS(TF_Timer,TF_Tekniker,AF$4,TF_Dato,$A306))*2,0)/2)))</f>
        <v/>
      </c>
      <c r="AG306">
        <f>IF(OR(AG$4="",$A306&gt;TODAY()),0,IF(OR(INDEX($B306:$D306,AG$5)="F",AND(AG$6&gt;0,$A306&lt;AG$6),AND(AG$7&gt;0,$A306&gt;AG$7)),0,MAX(0,ROUND((INDEX($E306:$G306,AG$5)-SUMIFS(TF_Timer,TF_Tekniker,AG$4,TF_Dato,$A306))*2,0)/2)))</f>
        <v/>
      </c>
      <c r="AH306">
        <f>IF(OR(AH$4="",$A306&gt;TODAY()),0,IF(OR(INDEX($B306:$D306,AH$5)="F",AND(AH$6&gt;0,$A306&lt;AH$6),AND(AH$7&gt;0,$A306&gt;AH$7)),0,MAX(0,ROUND((INDEX($E306:$G306,AH$5)-SUMIFS(TF_Timer,TF_Tekniker,AH$4,TF_Dato,$A306))*2,0)/2)))</f>
        <v/>
      </c>
      <c r="AI306">
        <f>IF(OR(AI$4="",$A306&gt;TODAY()),0,IF(OR(INDEX($B306:$D306,AI$5)="F",AND(AI$6&gt;0,$A306&lt;AI$6),AND(AI$7&gt;0,$A306&gt;AI$7)),0,MAX(0,ROUND((INDEX($E306:$G306,AI$5)-SUMIFS(TF_Timer,TF_Tekniker,AI$4,TF_Dato,$A306))*2,0)/2)))</f>
        <v/>
      </c>
      <c r="AJ306">
        <f>IF(OR(AJ$4="",$A306&gt;TODAY()),0,IF(OR(INDEX($B306:$D306,AJ$5)="F",AND(AJ$6&gt;0,$A306&lt;AJ$6),AND(AJ$7&gt;0,$A306&gt;AJ$7)),0,MAX(0,ROUND((INDEX($E306:$G306,AJ$5)-SUMIFS(TF_Timer,TF_Tekniker,AJ$4,TF_Dato,$A306))*2,0)/2)))</f>
        <v/>
      </c>
      <c r="AK306">
        <f>IF(OR(AK$4="",$A306&gt;TODAY()),0,IF(OR(INDEX($B306:$D306,AK$5)="F",AND(AK$6&gt;0,$A306&lt;AK$6),AND(AK$7&gt;0,$A306&gt;AK$7)),0,MAX(0,ROUND((INDEX($E306:$G306,AK$5)-SUMIFS(TF_Timer,TF_Tekniker,AK$4,TF_Dato,$A306))*2,0)/2)))</f>
        <v/>
      </c>
      <c r="AL306">
        <f>IF(OR(AL$4="",$A306&gt;TODAY()),0,IF(OR(INDEX($B306:$D306,AL$5)="F",AND(AL$6&gt;0,$A306&lt;AL$6),AND(AL$7&gt;0,$A306&gt;AL$7)),0,MAX(0,ROUND((INDEX($E306:$G306,AL$5)-SUMIFS(TF_Timer,TF_Tekniker,AL$4,TF_Dato,$A306))*2,0)/2)))</f>
        <v/>
      </c>
      <c r="AM306">
        <f>IF(OR(AM$4="",$A306&gt;TODAY()),0,IF(OR(INDEX($B306:$D306,AM$5)="F",AND(AM$6&gt;0,$A306&lt;AM$6),AND(AM$7&gt;0,$A306&gt;AM$7)),0,MAX(0,ROUND((INDEX($E306:$G306,AM$5)-SUMIFS(TF_Timer,TF_Tekniker,AM$4,TF_Dato,$A306))*2,0)/2)))</f>
        <v/>
      </c>
      <c r="AN306">
        <f>IF(OR(AN$4="",$A306&gt;TODAY()),0,IF(OR(INDEX($B306:$D306,AN$5)="F",AND(AN$6&gt;0,$A306&lt;AN$6),AND(AN$7&gt;0,$A306&gt;AN$7)),0,MAX(0,ROUND((INDEX($E306:$G306,AN$5)-SUMIFS(TF_Timer,TF_Tekniker,AN$4,TF_Dato,$A306))*2,0)/2)))</f>
        <v/>
      </c>
      <c r="AO306">
        <f>IF(OR(AO$4="",$A306&gt;TODAY()),0,IF(OR(INDEX($B306:$D306,AO$5)="F",AND(AO$6&gt;0,$A306&lt;AO$6),AND(AO$7&gt;0,$A306&gt;AO$7)),0,MAX(0,ROUND((INDEX($E306:$G306,AO$5)-SUMIFS(TF_Timer,TF_Tekniker,AO$4,TF_Dato,$A306))*2,0)/2)))</f>
        <v/>
      </c>
      <c r="AP306">
        <f>IF(OR(AP$4="",$A306&gt;TODAY()),0,IF(OR(INDEX($B306:$D306,AP$5)="F",AND(AP$6&gt;0,$A306&lt;AP$6),AND(AP$7&gt;0,$A306&gt;AP$7)),0,MAX(0,ROUND((INDEX($E306:$G306,AP$5)-SUMIFS(TF_Timer,TF_Tekniker,AP$4,TF_Dato,$A306))*2,0)/2)))</f>
        <v/>
      </c>
      <c r="AQ306">
        <f>IF(OR(AQ$4="",$A306&gt;TODAY()),0,IF(OR(INDEX($B306:$D306,AQ$5)="F",AND(AQ$6&gt;0,$A306&lt;AQ$6),AND(AQ$7&gt;0,$A306&gt;AQ$7)),0,MAX(0,ROUND((INDEX($E306:$G306,AQ$5)-SUMIFS(TF_Timer,TF_Tekniker,AQ$4,TF_Dato,$A306))*2,0)/2)))</f>
        <v/>
      </c>
      <c r="AR306">
        <f>IF(OR(AR$4="",$A306&gt;TODAY()),0,IF(OR(INDEX($B306:$D306,AR$5)="F",AND(AR$6&gt;0,$A306&lt;AR$6),AND(AR$7&gt;0,$A306&gt;AR$7)),0,MAX(0,ROUND((INDEX($E306:$G306,AR$5)-SUMIFS(TF_Timer,TF_Tekniker,AR$4,TF_Dato,$A306))*2,0)/2)))</f>
        <v/>
      </c>
      <c r="AS306">
        <f>IF(OR(AS$4="",$A306&gt;TODAY()),0,IF(OR(INDEX($B306:$D306,AS$5)="F",AND(AS$6&gt;0,$A306&lt;AS$6),AND(AS$7&gt;0,$A306&gt;AS$7)),0,MAX(0,ROUND((INDEX($E306:$G306,AS$5)-SUMIFS(TF_Timer,TF_Tekniker,AS$4,TF_Dato,$A306))*2,0)/2)))</f>
        <v/>
      </c>
      <c r="AT306">
        <f>IF(OR(AT$4="",$A306&gt;TODAY()),0,IF(OR(INDEX($B306:$D306,AT$5)="F",AND(AT$6&gt;0,$A306&lt;AT$6),AND(AT$7&gt;0,$A306&gt;AT$7)),0,MAX(0,ROUND((INDEX($E306:$G306,AT$5)-SUMIFS(TF_Timer,TF_Tekniker,AT$4,TF_Dato,$A306))*2,0)/2)))</f>
        <v/>
      </c>
      <c r="AU306">
        <f>IF(OR(AU$4="",$A306&gt;TODAY()),0,IF(OR(INDEX($B306:$D306,AU$5)="F",AND(AU$6&gt;0,$A306&lt;AU$6),AND(AU$7&gt;0,$A306&gt;AU$7)),0,MAX(0,ROUND((INDEX($E306:$G306,AU$5)-SUMIFS(TF_Timer,TF_Tekniker,AU$4,TF_Dato,$A306))*2,0)/2)))</f>
        <v/>
      </c>
      <c r="AV306">
        <f>IF(OR(AV$4="",$A306&gt;TODAY()),0,IF(OR(INDEX($B306:$D306,AV$5)="F",AND(AV$6&gt;0,$A306&lt;AV$6),AND(AV$7&gt;0,$A306&gt;AV$7)),0,MAX(0,ROUND((INDEX($E306:$G306,AV$5)-SUMIFS(TF_Timer,TF_Tekniker,AV$4,TF_Dato,$A306))*2,0)/2)))</f>
        <v/>
      </c>
      <c r="AW306">
        <f>IF(OR(AW$4="",$A306&gt;TODAY()),0,IF(OR(INDEX($B306:$D306,AW$5)="F",AND(AW$6&gt;0,$A306&lt;AW$6),AND(AW$7&gt;0,$A306&gt;AW$7)),0,MAX(0,ROUND((INDEX($E306:$G306,AW$5)-SUMIFS(TF_Timer,TF_Tekniker,AW$4,TF_Dato,$A306))*2,0)/2)))</f>
        <v/>
      </c>
      <c r="AX306">
        <f>IF(OR(AX$4="",$A306&gt;TODAY()),0,IF(OR(INDEX($B306:$D306,AX$5)="F",AND(AX$6&gt;0,$A306&lt;AX$6),AND(AX$7&gt;0,$A306&gt;AX$7)),0,MAX(0,ROUND((INDEX($E306:$G306,AX$5)-SUMIFS(TF_Timer,TF_Tekniker,AX$4,TF_Dato,$A306))*2,0)/2)))</f>
        <v/>
      </c>
      <c r="AY306">
        <f>IF(OR(AY$4="",$A306&gt;TODAY()),0,IF(OR(INDEX($B306:$D306,AY$5)="F",AND(AY$6&gt;0,$A306&lt;AY$6),AND(AY$7&gt;0,$A306&gt;AY$7)),0,MAX(0,ROUND((INDEX($E306:$G306,AY$5)-SUMIFS(TF_Timer,TF_Tekniker,AY$4,TF_Dato,$A306))*2,0)/2)))</f>
        <v/>
      </c>
      <c r="AZ306">
        <f>IF(OR(AZ$4="",$A306&gt;TODAY()),0,IF(OR(INDEX($B306:$D306,AZ$5)="F",AND(AZ$6&gt;0,$A306&lt;AZ$6),AND(AZ$7&gt;0,$A306&gt;AZ$7)),0,MAX(0,ROUND((INDEX($E306:$G306,AZ$5)-SUMIFS(TF_Timer,TF_Tekniker,AZ$4,TF_Dato,$A306))*2,0)/2)))</f>
        <v/>
      </c>
      <c r="BA306">
        <f>IF(OR(BA$4="",$A306&gt;TODAY()),0,IF(OR(INDEX($B306:$D306,BA$5)="F",AND(BA$6&gt;0,$A306&lt;BA$6),AND(BA$7&gt;0,$A306&gt;BA$7)),0,MAX(0,ROUND((INDEX($E306:$G306,BA$5)-SUMIFS(TF_Timer,TF_Tekniker,BA$4,TF_Dato,$A306))*2,0)/2)))</f>
        <v/>
      </c>
      <c r="BB306">
        <f>IF(OR(BB$4="",$A306&gt;TODAY()),0,IF(OR(INDEX($B306:$D306,BB$5)="F",AND(BB$6&gt;0,$A306&lt;BB$6),AND(BB$7&gt;0,$A306&gt;BB$7)),0,MAX(0,ROUND((INDEX($E306:$G306,BB$5)-SUMIFS(TF_Timer,TF_Tekniker,BB$4,TF_Dato,$A306))*2,0)/2)))</f>
        <v/>
      </c>
      <c r="BC306">
        <f>IF(OR(BC$4="",$A306&gt;TODAY()),0,IF(OR(INDEX($B306:$D306,BC$5)="F",AND(BC$6&gt;0,$A306&lt;BC$6),AND(BC$7&gt;0,$A306&gt;BC$7)),0,MAX(0,ROUND((INDEX($E306:$G306,BC$5)-SUMIFS(TF_Timer,TF_Tekniker,BC$4,TF_Dato,$A306))*2,0)/2)))</f>
        <v/>
      </c>
      <c r="BD306">
        <f>IF(OR(BD$4="",$A306&gt;TODAY()),0,IF(OR(INDEX($B306:$D306,BD$5)="F",AND(BD$6&gt;0,$A306&lt;BD$6),AND(BD$7&gt;0,$A306&gt;BD$7)),0,MAX(0,ROUND((INDEX($E306:$G306,BD$5)-SUMIFS(TF_Timer,TF_Tekniker,BD$4,TF_Dato,$A306))*2,0)/2)))</f>
        <v/>
      </c>
      <c r="BE306">
        <f>IF(OR(BE$4="",$A306&gt;TODAY()),0,IF(OR(INDEX($B306:$D306,BE$5)="F",AND(BE$6&gt;0,$A306&lt;BE$6),AND(BE$7&gt;0,$A306&gt;BE$7)),0,MAX(0,ROUND((INDEX($E306:$G306,BE$5)-SUMIFS(TF_Timer,TF_Tekniker,BE$4,TF_Dato,$A306))*2,0)/2)))</f>
        <v/>
      </c>
      <c r="BF306">
        <f>IF(OR(BF$4="",$A306&gt;TODAY()),0,IF(OR(INDEX($B306:$D306,BF$5)="F",AND(BF$6&gt;0,$A306&lt;BF$6),AND(BF$7&gt;0,$A306&gt;BF$7)),0,MAX(0,ROUND((INDEX($E306:$G306,BF$5)-SUMIFS(TF_Timer,TF_Tekniker,BF$4,TF_Dato,$A306))*2,0)/2)))</f>
        <v/>
      </c>
      <c r="BG306">
        <f>IF(OR(BG$4="",$A306&gt;TODAY()),0,IF(OR(INDEX($B306:$D306,BG$5)="F",AND(BG$6&gt;0,$A306&lt;BG$6),AND(BG$7&gt;0,$A306&gt;BG$7)),0,MAX(0,ROUND((INDEX($E306:$G306,BG$5)-SUMIFS(TF_Timer,TF_Tekniker,BG$4,TF_Dato,$A306))*2,0)/2)))</f>
        <v/>
      </c>
      <c r="BH306">
        <f>IF(OR(BH$4="",$A306&gt;TODAY()),0,IF(OR(INDEX($B306:$D306,BH$5)="F",AND(BH$6&gt;0,$A306&lt;BH$6),AND(BH$7&gt;0,$A306&gt;BH$7)),0,MAX(0,ROUND((INDEX($E306:$G306,BH$5)-SUMIFS(TF_Timer,TF_Tekniker,BH$4,TF_Dato,$A306))*2,0)/2)))</f>
        <v/>
      </c>
      <c r="BI306">
        <f>IF(OR(BI$4="",$A306&gt;TODAY()),0,IF(OR(INDEX($B306:$D306,BI$5)="F",AND(BI$6&gt;0,$A306&lt;BI$6),AND(BI$7&gt;0,$A306&gt;BI$7)),0,MAX(0,ROUND((INDEX($E306:$G306,BI$5)-SUMIFS(TF_Timer,TF_Tekniker,BI$4,TF_Dato,$A306))*2,0)/2)))</f>
        <v/>
      </c>
    </row>
    <row r="307">
      <c r="A307" s="64">
        <f>A306+1</f>
        <v/>
      </c>
      <c r="B307">
        <f>IF(MOD($A307-INDEX(SkiftStart,1),Syklus)&lt;DagK,"K",IF(MOD($A307-INDEX(SkiftStart,1),Syklus)&lt;DagK+DagH,"H",IF(MOD($A307-INDEX(SkiftStart,1),Syklus)&lt;DagK+DagH+DagD,"D","F")))</f>
        <v/>
      </c>
      <c r="C307">
        <f>IF(MOD($A307-INDEX(SkiftStart,2),Syklus)&lt;DagK,"K",IF(MOD($A307-INDEX(SkiftStart,2),Syklus)&lt;DagK+DagH,"H",IF(MOD($A307-INDEX(SkiftStart,2),Syklus)&lt;DagK+DagH+DagD,"D","F")))</f>
        <v/>
      </c>
      <c r="D307">
        <f>IF(MOD($A307-INDEX(SkiftStart,3),Syklus)&lt;DagK,"K",IF(MOD($A307-INDEX(SkiftStart,3),Syklus)&lt;DagK+DagH,"H",IF(MOD($A307-INDEX(SkiftStart,3),Syklus)&lt;DagK+DagH+DagD,"D","F")))</f>
        <v/>
      </c>
      <c r="E307">
        <f>IF(B307="F",0,IF(WEEKDAY($A307,2)=5,INDEX(TimerFr,MATCH(B307,FaseKode,0)),INDEX(TimerMT,MATCH(B307,FaseKode,0))))</f>
        <v/>
      </c>
      <c r="F307">
        <f>IF(C307="F",0,IF(WEEKDAY($A307,2)=5,INDEX(TimerFr,MATCH(C307,FaseKode,0)),INDEX(TimerMT,MATCH(C307,FaseKode,0))))</f>
        <v/>
      </c>
      <c r="G307">
        <f>IF(D307="F",0,IF(WEEKDAY($A307,2)=5,INDEX(TimerFr,MATCH(D307,FaseKode,0)),INDEX(TimerMT,MATCH(D307,FaseKode,0))))</f>
        <v/>
      </c>
      <c r="H307">
        <f>IF(OR(H$4="",$A307&gt;TODAY()),0,IF(OR(INDEX($B307:$D307,H$5)="F",AND(H$6&gt;0,$A307&lt;H$6),AND(H$7&gt;0,$A307&gt;H$7)),0,MAX(0,ROUND((INDEX($E307:$G307,H$5)-SUMIFS(TF_Timer,TF_Tekniker,H$4,TF_Dato,$A307))*2,0)/2)))</f>
        <v/>
      </c>
      <c r="I307">
        <f>IF(OR(I$4="",$A307&gt;TODAY()),0,IF(OR(INDEX($B307:$D307,I$5)="F",AND(I$6&gt;0,$A307&lt;I$6),AND(I$7&gt;0,$A307&gt;I$7)),0,MAX(0,ROUND((INDEX($E307:$G307,I$5)-SUMIFS(TF_Timer,TF_Tekniker,I$4,TF_Dato,$A307))*2,0)/2)))</f>
        <v/>
      </c>
      <c r="J307">
        <f>IF(OR(J$4="",$A307&gt;TODAY()),0,IF(OR(INDEX($B307:$D307,J$5)="F",AND(J$6&gt;0,$A307&lt;J$6),AND(J$7&gt;0,$A307&gt;J$7)),0,MAX(0,ROUND((INDEX($E307:$G307,J$5)-SUMIFS(TF_Timer,TF_Tekniker,J$4,TF_Dato,$A307))*2,0)/2)))</f>
        <v/>
      </c>
      <c r="K307">
        <f>IF(OR(K$4="",$A307&gt;TODAY()),0,IF(OR(INDEX($B307:$D307,K$5)="F",AND(K$6&gt;0,$A307&lt;K$6),AND(K$7&gt;0,$A307&gt;K$7)),0,MAX(0,ROUND((INDEX($E307:$G307,K$5)-SUMIFS(TF_Timer,TF_Tekniker,K$4,TF_Dato,$A307))*2,0)/2)))</f>
        <v/>
      </c>
      <c r="L307">
        <f>IF(OR(L$4="",$A307&gt;TODAY()),0,IF(OR(INDEX($B307:$D307,L$5)="F",AND(L$6&gt;0,$A307&lt;L$6),AND(L$7&gt;0,$A307&gt;L$7)),0,MAX(0,ROUND((INDEX($E307:$G307,L$5)-SUMIFS(TF_Timer,TF_Tekniker,L$4,TF_Dato,$A307))*2,0)/2)))</f>
        <v/>
      </c>
      <c r="M307">
        <f>IF(OR(M$4="",$A307&gt;TODAY()),0,IF(OR(INDEX($B307:$D307,M$5)="F",AND(M$6&gt;0,$A307&lt;M$6),AND(M$7&gt;0,$A307&gt;M$7)),0,MAX(0,ROUND((INDEX($E307:$G307,M$5)-SUMIFS(TF_Timer,TF_Tekniker,M$4,TF_Dato,$A307))*2,0)/2)))</f>
        <v/>
      </c>
      <c r="N307">
        <f>IF(OR(N$4="",$A307&gt;TODAY()),0,IF(OR(INDEX($B307:$D307,N$5)="F",AND(N$6&gt;0,$A307&lt;N$6),AND(N$7&gt;0,$A307&gt;N$7)),0,MAX(0,ROUND((INDEX($E307:$G307,N$5)-SUMIFS(TF_Timer,TF_Tekniker,N$4,TF_Dato,$A307))*2,0)/2)))</f>
        <v/>
      </c>
      <c r="O307">
        <f>IF(OR(O$4="",$A307&gt;TODAY()),0,IF(OR(INDEX($B307:$D307,O$5)="F",AND(O$6&gt;0,$A307&lt;O$6),AND(O$7&gt;0,$A307&gt;O$7)),0,MAX(0,ROUND((INDEX($E307:$G307,O$5)-SUMIFS(TF_Timer,TF_Tekniker,O$4,TF_Dato,$A307))*2,0)/2)))</f>
        <v/>
      </c>
      <c r="P307">
        <f>IF(OR(P$4="",$A307&gt;TODAY()),0,IF(OR(INDEX($B307:$D307,P$5)="F",AND(P$6&gt;0,$A307&lt;P$6),AND(P$7&gt;0,$A307&gt;P$7)),0,MAX(0,ROUND((INDEX($E307:$G307,P$5)-SUMIFS(TF_Timer,TF_Tekniker,P$4,TF_Dato,$A307))*2,0)/2)))</f>
        <v/>
      </c>
      <c r="Q307">
        <f>IF(OR(Q$4="",$A307&gt;TODAY()),0,IF(OR(INDEX($B307:$D307,Q$5)="F",AND(Q$6&gt;0,$A307&lt;Q$6),AND(Q$7&gt;0,$A307&gt;Q$7)),0,MAX(0,ROUND((INDEX($E307:$G307,Q$5)-SUMIFS(TF_Timer,TF_Tekniker,Q$4,TF_Dato,$A307))*2,0)/2)))</f>
        <v/>
      </c>
      <c r="R307">
        <f>IF(OR(R$4="",$A307&gt;TODAY()),0,IF(OR(INDEX($B307:$D307,R$5)="F",AND(R$6&gt;0,$A307&lt;R$6),AND(R$7&gt;0,$A307&gt;R$7)),0,MAX(0,ROUND((INDEX($E307:$G307,R$5)-SUMIFS(TF_Timer,TF_Tekniker,R$4,TF_Dato,$A307))*2,0)/2)))</f>
        <v/>
      </c>
      <c r="S307">
        <f>IF(OR(S$4="",$A307&gt;TODAY()),0,IF(OR(INDEX($B307:$D307,S$5)="F",AND(S$6&gt;0,$A307&lt;S$6),AND(S$7&gt;0,$A307&gt;S$7)),0,MAX(0,ROUND((INDEX($E307:$G307,S$5)-SUMIFS(TF_Timer,TF_Tekniker,S$4,TF_Dato,$A307))*2,0)/2)))</f>
        <v/>
      </c>
      <c r="T307">
        <f>IF(OR(T$4="",$A307&gt;TODAY()),0,IF(OR(INDEX($B307:$D307,T$5)="F",AND(T$6&gt;0,$A307&lt;T$6),AND(T$7&gt;0,$A307&gt;T$7)),0,MAX(0,ROUND((INDEX($E307:$G307,T$5)-SUMIFS(TF_Timer,TF_Tekniker,T$4,TF_Dato,$A307))*2,0)/2)))</f>
        <v/>
      </c>
      <c r="U307">
        <f>IF(OR(U$4="",$A307&gt;TODAY()),0,IF(OR(INDEX($B307:$D307,U$5)="F",AND(U$6&gt;0,$A307&lt;U$6),AND(U$7&gt;0,$A307&gt;U$7)),0,MAX(0,ROUND((INDEX($E307:$G307,U$5)-SUMIFS(TF_Timer,TF_Tekniker,U$4,TF_Dato,$A307))*2,0)/2)))</f>
        <v/>
      </c>
      <c r="V307">
        <f>IF(OR(V$4="",$A307&gt;TODAY()),0,IF(OR(INDEX($B307:$D307,V$5)="F",AND(V$6&gt;0,$A307&lt;V$6),AND(V$7&gt;0,$A307&gt;V$7)),0,MAX(0,ROUND((INDEX($E307:$G307,V$5)-SUMIFS(TF_Timer,TF_Tekniker,V$4,TF_Dato,$A307))*2,0)/2)))</f>
        <v/>
      </c>
      <c r="W307">
        <f>IF(OR(W$4="",$A307&gt;TODAY()),0,IF(OR(INDEX($B307:$D307,W$5)="F",AND(W$6&gt;0,$A307&lt;W$6),AND(W$7&gt;0,$A307&gt;W$7)),0,MAX(0,ROUND((INDEX($E307:$G307,W$5)-SUMIFS(TF_Timer,TF_Tekniker,W$4,TF_Dato,$A307))*2,0)/2)))</f>
        <v/>
      </c>
      <c r="X307">
        <f>IF(OR(X$4="",$A307&gt;TODAY()),0,IF(OR(INDEX($B307:$D307,X$5)="F",AND(X$6&gt;0,$A307&lt;X$6),AND(X$7&gt;0,$A307&gt;X$7)),0,MAX(0,ROUND((INDEX($E307:$G307,X$5)-SUMIFS(TF_Timer,TF_Tekniker,X$4,TF_Dato,$A307))*2,0)/2)))</f>
        <v/>
      </c>
      <c r="Y307">
        <f>IF(OR(Y$4="",$A307&gt;TODAY()),0,IF(OR(INDEX($B307:$D307,Y$5)="F",AND(Y$6&gt;0,$A307&lt;Y$6),AND(Y$7&gt;0,$A307&gt;Y$7)),0,MAX(0,ROUND((INDEX($E307:$G307,Y$5)-SUMIFS(TF_Timer,TF_Tekniker,Y$4,TF_Dato,$A307))*2,0)/2)))</f>
        <v/>
      </c>
      <c r="Z307">
        <f>IF(OR(Z$4="",$A307&gt;TODAY()),0,IF(OR(INDEX($B307:$D307,Z$5)="F",AND(Z$6&gt;0,$A307&lt;Z$6),AND(Z$7&gt;0,$A307&gt;Z$7)),0,MAX(0,ROUND((INDEX($E307:$G307,Z$5)-SUMIFS(TF_Timer,TF_Tekniker,Z$4,TF_Dato,$A307))*2,0)/2)))</f>
        <v/>
      </c>
      <c r="AA307">
        <f>IF(OR(AA$4="",$A307&gt;TODAY()),0,IF(OR(INDEX($B307:$D307,AA$5)="F",AND(AA$6&gt;0,$A307&lt;AA$6),AND(AA$7&gt;0,$A307&gt;AA$7)),0,MAX(0,ROUND((INDEX($E307:$G307,AA$5)-SUMIFS(TF_Timer,TF_Tekniker,AA$4,TF_Dato,$A307))*2,0)/2)))</f>
        <v/>
      </c>
      <c r="AB307">
        <f>IF(OR(AB$4="",$A307&gt;TODAY()),0,IF(OR(INDEX($B307:$D307,AB$5)="F",AND(AB$6&gt;0,$A307&lt;AB$6),AND(AB$7&gt;0,$A307&gt;AB$7)),0,MAX(0,ROUND((INDEX($E307:$G307,AB$5)-SUMIFS(TF_Timer,TF_Tekniker,AB$4,TF_Dato,$A307))*2,0)/2)))</f>
        <v/>
      </c>
      <c r="AC307">
        <f>IF(OR(AC$4="",$A307&gt;TODAY()),0,IF(OR(INDEX($B307:$D307,AC$5)="F",AND(AC$6&gt;0,$A307&lt;AC$6),AND(AC$7&gt;0,$A307&gt;AC$7)),0,MAX(0,ROUND((INDEX($E307:$G307,AC$5)-SUMIFS(TF_Timer,TF_Tekniker,AC$4,TF_Dato,$A307))*2,0)/2)))</f>
        <v/>
      </c>
      <c r="AD307">
        <f>IF(OR(AD$4="",$A307&gt;TODAY()),0,IF(OR(INDEX($B307:$D307,AD$5)="F",AND(AD$6&gt;0,$A307&lt;AD$6),AND(AD$7&gt;0,$A307&gt;AD$7)),0,MAX(0,ROUND((INDEX($E307:$G307,AD$5)-SUMIFS(TF_Timer,TF_Tekniker,AD$4,TF_Dato,$A307))*2,0)/2)))</f>
        <v/>
      </c>
      <c r="AE307">
        <f>IF(OR(AE$4="",$A307&gt;TODAY()),0,IF(OR(INDEX($B307:$D307,AE$5)="F",AND(AE$6&gt;0,$A307&lt;AE$6),AND(AE$7&gt;0,$A307&gt;AE$7)),0,MAX(0,ROUND((INDEX($E307:$G307,AE$5)-SUMIFS(TF_Timer,TF_Tekniker,AE$4,TF_Dato,$A307))*2,0)/2)))</f>
        <v/>
      </c>
      <c r="AF307">
        <f>IF(OR(AF$4="",$A307&gt;TODAY()),0,IF(OR(INDEX($B307:$D307,AF$5)="F",AND(AF$6&gt;0,$A307&lt;AF$6),AND(AF$7&gt;0,$A307&gt;AF$7)),0,MAX(0,ROUND((INDEX($E307:$G307,AF$5)-SUMIFS(TF_Timer,TF_Tekniker,AF$4,TF_Dato,$A307))*2,0)/2)))</f>
        <v/>
      </c>
      <c r="AG307">
        <f>IF(OR(AG$4="",$A307&gt;TODAY()),0,IF(OR(INDEX($B307:$D307,AG$5)="F",AND(AG$6&gt;0,$A307&lt;AG$6),AND(AG$7&gt;0,$A307&gt;AG$7)),0,MAX(0,ROUND((INDEX($E307:$G307,AG$5)-SUMIFS(TF_Timer,TF_Tekniker,AG$4,TF_Dato,$A307))*2,0)/2)))</f>
        <v/>
      </c>
      <c r="AH307">
        <f>IF(OR(AH$4="",$A307&gt;TODAY()),0,IF(OR(INDEX($B307:$D307,AH$5)="F",AND(AH$6&gt;0,$A307&lt;AH$6),AND(AH$7&gt;0,$A307&gt;AH$7)),0,MAX(0,ROUND((INDEX($E307:$G307,AH$5)-SUMIFS(TF_Timer,TF_Tekniker,AH$4,TF_Dato,$A307))*2,0)/2)))</f>
        <v/>
      </c>
      <c r="AI307">
        <f>IF(OR(AI$4="",$A307&gt;TODAY()),0,IF(OR(INDEX($B307:$D307,AI$5)="F",AND(AI$6&gt;0,$A307&lt;AI$6),AND(AI$7&gt;0,$A307&gt;AI$7)),0,MAX(0,ROUND((INDEX($E307:$G307,AI$5)-SUMIFS(TF_Timer,TF_Tekniker,AI$4,TF_Dato,$A307))*2,0)/2)))</f>
        <v/>
      </c>
      <c r="AJ307">
        <f>IF(OR(AJ$4="",$A307&gt;TODAY()),0,IF(OR(INDEX($B307:$D307,AJ$5)="F",AND(AJ$6&gt;0,$A307&lt;AJ$6),AND(AJ$7&gt;0,$A307&gt;AJ$7)),0,MAX(0,ROUND((INDEX($E307:$G307,AJ$5)-SUMIFS(TF_Timer,TF_Tekniker,AJ$4,TF_Dato,$A307))*2,0)/2)))</f>
        <v/>
      </c>
      <c r="AK307">
        <f>IF(OR(AK$4="",$A307&gt;TODAY()),0,IF(OR(INDEX($B307:$D307,AK$5)="F",AND(AK$6&gt;0,$A307&lt;AK$6),AND(AK$7&gt;0,$A307&gt;AK$7)),0,MAX(0,ROUND((INDEX($E307:$G307,AK$5)-SUMIFS(TF_Timer,TF_Tekniker,AK$4,TF_Dato,$A307))*2,0)/2)))</f>
        <v/>
      </c>
      <c r="AL307">
        <f>IF(OR(AL$4="",$A307&gt;TODAY()),0,IF(OR(INDEX($B307:$D307,AL$5)="F",AND(AL$6&gt;0,$A307&lt;AL$6),AND(AL$7&gt;0,$A307&gt;AL$7)),0,MAX(0,ROUND((INDEX($E307:$G307,AL$5)-SUMIFS(TF_Timer,TF_Tekniker,AL$4,TF_Dato,$A307))*2,0)/2)))</f>
        <v/>
      </c>
      <c r="AM307">
        <f>IF(OR(AM$4="",$A307&gt;TODAY()),0,IF(OR(INDEX($B307:$D307,AM$5)="F",AND(AM$6&gt;0,$A307&lt;AM$6),AND(AM$7&gt;0,$A307&gt;AM$7)),0,MAX(0,ROUND((INDEX($E307:$G307,AM$5)-SUMIFS(TF_Timer,TF_Tekniker,AM$4,TF_Dato,$A307))*2,0)/2)))</f>
        <v/>
      </c>
      <c r="AN307">
        <f>IF(OR(AN$4="",$A307&gt;TODAY()),0,IF(OR(INDEX($B307:$D307,AN$5)="F",AND(AN$6&gt;0,$A307&lt;AN$6),AND(AN$7&gt;0,$A307&gt;AN$7)),0,MAX(0,ROUND((INDEX($E307:$G307,AN$5)-SUMIFS(TF_Timer,TF_Tekniker,AN$4,TF_Dato,$A307))*2,0)/2)))</f>
        <v/>
      </c>
      <c r="AO307">
        <f>IF(OR(AO$4="",$A307&gt;TODAY()),0,IF(OR(INDEX($B307:$D307,AO$5)="F",AND(AO$6&gt;0,$A307&lt;AO$6),AND(AO$7&gt;0,$A307&gt;AO$7)),0,MAX(0,ROUND((INDEX($E307:$G307,AO$5)-SUMIFS(TF_Timer,TF_Tekniker,AO$4,TF_Dato,$A307))*2,0)/2)))</f>
        <v/>
      </c>
      <c r="AP307">
        <f>IF(OR(AP$4="",$A307&gt;TODAY()),0,IF(OR(INDEX($B307:$D307,AP$5)="F",AND(AP$6&gt;0,$A307&lt;AP$6),AND(AP$7&gt;0,$A307&gt;AP$7)),0,MAX(0,ROUND((INDEX($E307:$G307,AP$5)-SUMIFS(TF_Timer,TF_Tekniker,AP$4,TF_Dato,$A307))*2,0)/2)))</f>
        <v/>
      </c>
      <c r="AQ307">
        <f>IF(OR(AQ$4="",$A307&gt;TODAY()),0,IF(OR(INDEX($B307:$D307,AQ$5)="F",AND(AQ$6&gt;0,$A307&lt;AQ$6),AND(AQ$7&gt;0,$A307&gt;AQ$7)),0,MAX(0,ROUND((INDEX($E307:$G307,AQ$5)-SUMIFS(TF_Timer,TF_Tekniker,AQ$4,TF_Dato,$A307))*2,0)/2)))</f>
        <v/>
      </c>
      <c r="AR307">
        <f>IF(OR(AR$4="",$A307&gt;TODAY()),0,IF(OR(INDEX($B307:$D307,AR$5)="F",AND(AR$6&gt;0,$A307&lt;AR$6),AND(AR$7&gt;0,$A307&gt;AR$7)),0,MAX(0,ROUND((INDEX($E307:$G307,AR$5)-SUMIFS(TF_Timer,TF_Tekniker,AR$4,TF_Dato,$A307))*2,0)/2)))</f>
        <v/>
      </c>
      <c r="AS307">
        <f>IF(OR(AS$4="",$A307&gt;TODAY()),0,IF(OR(INDEX($B307:$D307,AS$5)="F",AND(AS$6&gt;0,$A307&lt;AS$6),AND(AS$7&gt;0,$A307&gt;AS$7)),0,MAX(0,ROUND((INDEX($E307:$G307,AS$5)-SUMIFS(TF_Timer,TF_Tekniker,AS$4,TF_Dato,$A307))*2,0)/2)))</f>
        <v/>
      </c>
      <c r="AT307">
        <f>IF(OR(AT$4="",$A307&gt;TODAY()),0,IF(OR(INDEX($B307:$D307,AT$5)="F",AND(AT$6&gt;0,$A307&lt;AT$6),AND(AT$7&gt;0,$A307&gt;AT$7)),0,MAX(0,ROUND((INDEX($E307:$G307,AT$5)-SUMIFS(TF_Timer,TF_Tekniker,AT$4,TF_Dato,$A307))*2,0)/2)))</f>
        <v/>
      </c>
      <c r="AU307">
        <f>IF(OR(AU$4="",$A307&gt;TODAY()),0,IF(OR(INDEX($B307:$D307,AU$5)="F",AND(AU$6&gt;0,$A307&lt;AU$6),AND(AU$7&gt;0,$A307&gt;AU$7)),0,MAX(0,ROUND((INDEX($E307:$G307,AU$5)-SUMIFS(TF_Timer,TF_Tekniker,AU$4,TF_Dato,$A307))*2,0)/2)))</f>
        <v/>
      </c>
      <c r="AV307">
        <f>IF(OR(AV$4="",$A307&gt;TODAY()),0,IF(OR(INDEX($B307:$D307,AV$5)="F",AND(AV$6&gt;0,$A307&lt;AV$6),AND(AV$7&gt;0,$A307&gt;AV$7)),0,MAX(0,ROUND((INDEX($E307:$G307,AV$5)-SUMIFS(TF_Timer,TF_Tekniker,AV$4,TF_Dato,$A307))*2,0)/2)))</f>
        <v/>
      </c>
      <c r="AW307">
        <f>IF(OR(AW$4="",$A307&gt;TODAY()),0,IF(OR(INDEX($B307:$D307,AW$5)="F",AND(AW$6&gt;0,$A307&lt;AW$6),AND(AW$7&gt;0,$A307&gt;AW$7)),0,MAX(0,ROUND((INDEX($E307:$G307,AW$5)-SUMIFS(TF_Timer,TF_Tekniker,AW$4,TF_Dato,$A307))*2,0)/2)))</f>
        <v/>
      </c>
      <c r="AX307">
        <f>IF(OR(AX$4="",$A307&gt;TODAY()),0,IF(OR(INDEX($B307:$D307,AX$5)="F",AND(AX$6&gt;0,$A307&lt;AX$6),AND(AX$7&gt;0,$A307&gt;AX$7)),0,MAX(0,ROUND((INDEX($E307:$G307,AX$5)-SUMIFS(TF_Timer,TF_Tekniker,AX$4,TF_Dato,$A307))*2,0)/2)))</f>
        <v/>
      </c>
      <c r="AY307">
        <f>IF(OR(AY$4="",$A307&gt;TODAY()),0,IF(OR(INDEX($B307:$D307,AY$5)="F",AND(AY$6&gt;0,$A307&lt;AY$6),AND(AY$7&gt;0,$A307&gt;AY$7)),0,MAX(0,ROUND((INDEX($E307:$G307,AY$5)-SUMIFS(TF_Timer,TF_Tekniker,AY$4,TF_Dato,$A307))*2,0)/2)))</f>
        <v/>
      </c>
      <c r="AZ307">
        <f>IF(OR(AZ$4="",$A307&gt;TODAY()),0,IF(OR(INDEX($B307:$D307,AZ$5)="F",AND(AZ$6&gt;0,$A307&lt;AZ$6),AND(AZ$7&gt;0,$A307&gt;AZ$7)),0,MAX(0,ROUND((INDEX($E307:$G307,AZ$5)-SUMIFS(TF_Timer,TF_Tekniker,AZ$4,TF_Dato,$A307))*2,0)/2)))</f>
        <v/>
      </c>
      <c r="BA307">
        <f>IF(OR(BA$4="",$A307&gt;TODAY()),0,IF(OR(INDEX($B307:$D307,BA$5)="F",AND(BA$6&gt;0,$A307&lt;BA$6),AND(BA$7&gt;0,$A307&gt;BA$7)),0,MAX(0,ROUND((INDEX($E307:$G307,BA$5)-SUMIFS(TF_Timer,TF_Tekniker,BA$4,TF_Dato,$A307))*2,0)/2)))</f>
        <v/>
      </c>
      <c r="BB307">
        <f>IF(OR(BB$4="",$A307&gt;TODAY()),0,IF(OR(INDEX($B307:$D307,BB$5)="F",AND(BB$6&gt;0,$A307&lt;BB$6),AND(BB$7&gt;0,$A307&gt;BB$7)),0,MAX(0,ROUND((INDEX($E307:$G307,BB$5)-SUMIFS(TF_Timer,TF_Tekniker,BB$4,TF_Dato,$A307))*2,0)/2)))</f>
        <v/>
      </c>
      <c r="BC307">
        <f>IF(OR(BC$4="",$A307&gt;TODAY()),0,IF(OR(INDEX($B307:$D307,BC$5)="F",AND(BC$6&gt;0,$A307&lt;BC$6),AND(BC$7&gt;0,$A307&gt;BC$7)),0,MAX(0,ROUND((INDEX($E307:$G307,BC$5)-SUMIFS(TF_Timer,TF_Tekniker,BC$4,TF_Dato,$A307))*2,0)/2)))</f>
        <v/>
      </c>
      <c r="BD307">
        <f>IF(OR(BD$4="",$A307&gt;TODAY()),0,IF(OR(INDEX($B307:$D307,BD$5)="F",AND(BD$6&gt;0,$A307&lt;BD$6),AND(BD$7&gt;0,$A307&gt;BD$7)),0,MAX(0,ROUND((INDEX($E307:$G307,BD$5)-SUMIFS(TF_Timer,TF_Tekniker,BD$4,TF_Dato,$A307))*2,0)/2)))</f>
        <v/>
      </c>
      <c r="BE307">
        <f>IF(OR(BE$4="",$A307&gt;TODAY()),0,IF(OR(INDEX($B307:$D307,BE$5)="F",AND(BE$6&gt;0,$A307&lt;BE$6),AND(BE$7&gt;0,$A307&gt;BE$7)),0,MAX(0,ROUND((INDEX($E307:$G307,BE$5)-SUMIFS(TF_Timer,TF_Tekniker,BE$4,TF_Dato,$A307))*2,0)/2)))</f>
        <v/>
      </c>
      <c r="BF307">
        <f>IF(OR(BF$4="",$A307&gt;TODAY()),0,IF(OR(INDEX($B307:$D307,BF$5)="F",AND(BF$6&gt;0,$A307&lt;BF$6),AND(BF$7&gt;0,$A307&gt;BF$7)),0,MAX(0,ROUND((INDEX($E307:$G307,BF$5)-SUMIFS(TF_Timer,TF_Tekniker,BF$4,TF_Dato,$A307))*2,0)/2)))</f>
        <v/>
      </c>
      <c r="BG307">
        <f>IF(OR(BG$4="",$A307&gt;TODAY()),0,IF(OR(INDEX($B307:$D307,BG$5)="F",AND(BG$6&gt;0,$A307&lt;BG$6),AND(BG$7&gt;0,$A307&gt;BG$7)),0,MAX(0,ROUND((INDEX($E307:$G307,BG$5)-SUMIFS(TF_Timer,TF_Tekniker,BG$4,TF_Dato,$A307))*2,0)/2)))</f>
        <v/>
      </c>
      <c r="BH307">
        <f>IF(OR(BH$4="",$A307&gt;TODAY()),0,IF(OR(INDEX($B307:$D307,BH$5)="F",AND(BH$6&gt;0,$A307&lt;BH$6),AND(BH$7&gt;0,$A307&gt;BH$7)),0,MAX(0,ROUND((INDEX($E307:$G307,BH$5)-SUMIFS(TF_Timer,TF_Tekniker,BH$4,TF_Dato,$A307))*2,0)/2)))</f>
        <v/>
      </c>
      <c r="BI307">
        <f>IF(OR(BI$4="",$A307&gt;TODAY()),0,IF(OR(INDEX($B307:$D307,BI$5)="F",AND(BI$6&gt;0,$A307&lt;BI$6),AND(BI$7&gt;0,$A307&gt;BI$7)),0,MAX(0,ROUND((INDEX($E307:$G307,BI$5)-SUMIFS(TF_Timer,TF_Tekniker,BI$4,TF_Dato,$A307))*2,0)/2)))</f>
        <v/>
      </c>
    </row>
    <row r="308">
      <c r="A308" s="64">
        <f>A307+1</f>
        <v/>
      </c>
      <c r="B308">
        <f>IF(MOD($A308-INDEX(SkiftStart,1),Syklus)&lt;DagK,"K",IF(MOD($A308-INDEX(SkiftStart,1),Syklus)&lt;DagK+DagH,"H",IF(MOD($A308-INDEX(SkiftStart,1),Syklus)&lt;DagK+DagH+DagD,"D","F")))</f>
        <v/>
      </c>
      <c r="C308">
        <f>IF(MOD($A308-INDEX(SkiftStart,2),Syklus)&lt;DagK,"K",IF(MOD($A308-INDEX(SkiftStart,2),Syklus)&lt;DagK+DagH,"H",IF(MOD($A308-INDEX(SkiftStart,2),Syklus)&lt;DagK+DagH+DagD,"D","F")))</f>
        <v/>
      </c>
      <c r="D308">
        <f>IF(MOD($A308-INDEX(SkiftStart,3),Syklus)&lt;DagK,"K",IF(MOD($A308-INDEX(SkiftStart,3),Syklus)&lt;DagK+DagH,"H",IF(MOD($A308-INDEX(SkiftStart,3),Syklus)&lt;DagK+DagH+DagD,"D","F")))</f>
        <v/>
      </c>
      <c r="E308">
        <f>IF(B308="F",0,IF(WEEKDAY($A308,2)=5,INDEX(TimerFr,MATCH(B308,FaseKode,0)),INDEX(TimerMT,MATCH(B308,FaseKode,0))))</f>
        <v/>
      </c>
      <c r="F308">
        <f>IF(C308="F",0,IF(WEEKDAY($A308,2)=5,INDEX(TimerFr,MATCH(C308,FaseKode,0)),INDEX(TimerMT,MATCH(C308,FaseKode,0))))</f>
        <v/>
      </c>
      <c r="G308">
        <f>IF(D308="F",0,IF(WEEKDAY($A308,2)=5,INDEX(TimerFr,MATCH(D308,FaseKode,0)),INDEX(TimerMT,MATCH(D308,FaseKode,0))))</f>
        <v/>
      </c>
      <c r="H308">
        <f>IF(OR(H$4="",$A308&gt;TODAY()),0,IF(OR(INDEX($B308:$D308,H$5)="F",AND(H$6&gt;0,$A308&lt;H$6),AND(H$7&gt;0,$A308&gt;H$7)),0,MAX(0,ROUND((INDEX($E308:$G308,H$5)-SUMIFS(TF_Timer,TF_Tekniker,H$4,TF_Dato,$A308))*2,0)/2)))</f>
        <v/>
      </c>
      <c r="I308">
        <f>IF(OR(I$4="",$A308&gt;TODAY()),0,IF(OR(INDEX($B308:$D308,I$5)="F",AND(I$6&gt;0,$A308&lt;I$6),AND(I$7&gt;0,$A308&gt;I$7)),0,MAX(0,ROUND((INDEX($E308:$G308,I$5)-SUMIFS(TF_Timer,TF_Tekniker,I$4,TF_Dato,$A308))*2,0)/2)))</f>
        <v/>
      </c>
      <c r="J308">
        <f>IF(OR(J$4="",$A308&gt;TODAY()),0,IF(OR(INDEX($B308:$D308,J$5)="F",AND(J$6&gt;0,$A308&lt;J$6),AND(J$7&gt;0,$A308&gt;J$7)),0,MAX(0,ROUND((INDEX($E308:$G308,J$5)-SUMIFS(TF_Timer,TF_Tekniker,J$4,TF_Dato,$A308))*2,0)/2)))</f>
        <v/>
      </c>
      <c r="K308">
        <f>IF(OR(K$4="",$A308&gt;TODAY()),0,IF(OR(INDEX($B308:$D308,K$5)="F",AND(K$6&gt;0,$A308&lt;K$6),AND(K$7&gt;0,$A308&gt;K$7)),0,MAX(0,ROUND((INDEX($E308:$G308,K$5)-SUMIFS(TF_Timer,TF_Tekniker,K$4,TF_Dato,$A308))*2,0)/2)))</f>
        <v/>
      </c>
      <c r="L308">
        <f>IF(OR(L$4="",$A308&gt;TODAY()),0,IF(OR(INDEX($B308:$D308,L$5)="F",AND(L$6&gt;0,$A308&lt;L$6),AND(L$7&gt;0,$A308&gt;L$7)),0,MAX(0,ROUND((INDEX($E308:$G308,L$5)-SUMIFS(TF_Timer,TF_Tekniker,L$4,TF_Dato,$A308))*2,0)/2)))</f>
        <v/>
      </c>
      <c r="M308">
        <f>IF(OR(M$4="",$A308&gt;TODAY()),0,IF(OR(INDEX($B308:$D308,M$5)="F",AND(M$6&gt;0,$A308&lt;M$6),AND(M$7&gt;0,$A308&gt;M$7)),0,MAX(0,ROUND((INDEX($E308:$G308,M$5)-SUMIFS(TF_Timer,TF_Tekniker,M$4,TF_Dato,$A308))*2,0)/2)))</f>
        <v/>
      </c>
      <c r="N308">
        <f>IF(OR(N$4="",$A308&gt;TODAY()),0,IF(OR(INDEX($B308:$D308,N$5)="F",AND(N$6&gt;0,$A308&lt;N$6),AND(N$7&gt;0,$A308&gt;N$7)),0,MAX(0,ROUND((INDEX($E308:$G308,N$5)-SUMIFS(TF_Timer,TF_Tekniker,N$4,TF_Dato,$A308))*2,0)/2)))</f>
        <v/>
      </c>
      <c r="O308">
        <f>IF(OR(O$4="",$A308&gt;TODAY()),0,IF(OR(INDEX($B308:$D308,O$5)="F",AND(O$6&gt;0,$A308&lt;O$6),AND(O$7&gt;0,$A308&gt;O$7)),0,MAX(0,ROUND((INDEX($E308:$G308,O$5)-SUMIFS(TF_Timer,TF_Tekniker,O$4,TF_Dato,$A308))*2,0)/2)))</f>
        <v/>
      </c>
      <c r="P308">
        <f>IF(OR(P$4="",$A308&gt;TODAY()),0,IF(OR(INDEX($B308:$D308,P$5)="F",AND(P$6&gt;0,$A308&lt;P$6),AND(P$7&gt;0,$A308&gt;P$7)),0,MAX(0,ROUND((INDEX($E308:$G308,P$5)-SUMIFS(TF_Timer,TF_Tekniker,P$4,TF_Dato,$A308))*2,0)/2)))</f>
        <v/>
      </c>
      <c r="Q308">
        <f>IF(OR(Q$4="",$A308&gt;TODAY()),0,IF(OR(INDEX($B308:$D308,Q$5)="F",AND(Q$6&gt;0,$A308&lt;Q$6),AND(Q$7&gt;0,$A308&gt;Q$7)),0,MAX(0,ROUND((INDEX($E308:$G308,Q$5)-SUMIFS(TF_Timer,TF_Tekniker,Q$4,TF_Dato,$A308))*2,0)/2)))</f>
        <v/>
      </c>
      <c r="R308">
        <f>IF(OR(R$4="",$A308&gt;TODAY()),0,IF(OR(INDEX($B308:$D308,R$5)="F",AND(R$6&gt;0,$A308&lt;R$6),AND(R$7&gt;0,$A308&gt;R$7)),0,MAX(0,ROUND((INDEX($E308:$G308,R$5)-SUMIFS(TF_Timer,TF_Tekniker,R$4,TF_Dato,$A308))*2,0)/2)))</f>
        <v/>
      </c>
      <c r="S308">
        <f>IF(OR(S$4="",$A308&gt;TODAY()),0,IF(OR(INDEX($B308:$D308,S$5)="F",AND(S$6&gt;0,$A308&lt;S$6),AND(S$7&gt;0,$A308&gt;S$7)),0,MAX(0,ROUND((INDEX($E308:$G308,S$5)-SUMIFS(TF_Timer,TF_Tekniker,S$4,TF_Dato,$A308))*2,0)/2)))</f>
        <v/>
      </c>
      <c r="T308">
        <f>IF(OR(T$4="",$A308&gt;TODAY()),0,IF(OR(INDEX($B308:$D308,T$5)="F",AND(T$6&gt;0,$A308&lt;T$6),AND(T$7&gt;0,$A308&gt;T$7)),0,MAX(0,ROUND((INDEX($E308:$G308,T$5)-SUMIFS(TF_Timer,TF_Tekniker,T$4,TF_Dato,$A308))*2,0)/2)))</f>
        <v/>
      </c>
      <c r="U308">
        <f>IF(OR(U$4="",$A308&gt;TODAY()),0,IF(OR(INDEX($B308:$D308,U$5)="F",AND(U$6&gt;0,$A308&lt;U$6),AND(U$7&gt;0,$A308&gt;U$7)),0,MAX(0,ROUND((INDEX($E308:$G308,U$5)-SUMIFS(TF_Timer,TF_Tekniker,U$4,TF_Dato,$A308))*2,0)/2)))</f>
        <v/>
      </c>
      <c r="V308">
        <f>IF(OR(V$4="",$A308&gt;TODAY()),0,IF(OR(INDEX($B308:$D308,V$5)="F",AND(V$6&gt;0,$A308&lt;V$6),AND(V$7&gt;0,$A308&gt;V$7)),0,MAX(0,ROUND((INDEX($E308:$G308,V$5)-SUMIFS(TF_Timer,TF_Tekniker,V$4,TF_Dato,$A308))*2,0)/2)))</f>
        <v/>
      </c>
      <c r="W308">
        <f>IF(OR(W$4="",$A308&gt;TODAY()),0,IF(OR(INDEX($B308:$D308,W$5)="F",AND(W$6&gt;0,$A308&lt;W$6),AND(W$7&gt;0,$A308&gt;W$7)),0,MAX(0,ROUND((INDEX($E308:$G308,W$5)-SUMIFS(TF_Timer,TF_Tekniker,W$4,TF_Dato,$A308))*2,0)/2)))</f>
        <v/>
      </c>
      <c r="X308">
        <f>IF(OR(X$4="",$A308&gt;TODAY()),0,IF(OR(INDEX($B308:$D308,X$5)="F",AND(X$6&gt;0,$A308&lt;X$6),AND(X$7&gt;0,$A308&gt;X$7)),0,MAX(0,ROUND((INDEX($E308:$G308,X$5)-SUMIFS(TF_Timer,TF_Tekniker,X$4,TF_Dato,$A308))*2,0)/2)))</f>
        <v/>
      </c>
      <c r="Y308">
        <f>IF(OR(Y$4="",$A308&gt;TODAY()),0,IF(OR(INDEX($B308:$D308,Y$5)="F",AND(Y$6&gt;0,$A308&lt;Y$6),AND(Y$7&gt;0,$A308&gt;Y$7)),0,MAX(0,ROUND((INDEX($E308:$G308,Y$5)-SUMIFS(TF_Timer,TF_Tekniker,Y$4,TF_Dato,$A308))*2,0)/2)))</f>
        <v/>
      </c>
      <c r="Z308">
        <f>IF(OR(Z$4="",$A308&gt;TODAY()),0,IF(OR(INDEX($B308:$D308,Z$5)="F",AND(Z$6&gt;0,$A308&lt;Z$6),AND(Z$7&gt;0,$A308&gt;Z$7)),0,MAX(0,ROUND((INDEX($E308:$G308,Z$5)-SUMIFS(TF_Timer,TF_Tekniker,Z$4,TF_Dato,$A308))*2,0)/2)))</f>
        <v/>
      </c>
      <c r="AA308">
        <f>IF(OR(AA$4="",$A308&gt;TODAY()),0,IF(OR(INDEX($B308:$D308,AA$5)="F",AND(AA$6&gt;0,$A308&lt;AA$6),AND(AA$7&gt;0,$A308&gt;AA$7)),0,MAX(0,ROUND((INDEX($E308:$G308,AA$5)-SUMIFS(TF_Timer,TF_Tekniker,AA$4,TF_Dato,$A308))*2,0)/2)))</f>
        <v/>
      </c>
      <c r="AB308">
        <f>IF(OR(AB$4="",$A308&gt;TODAY()),0,IF(OR(INDEX($B308:$D308,AB$5)="F",AND(AB$6&gt;0,$A308&lt;AB$6),AND(AB$7&gt;0,$A308&gt;AB$7)),0,MAX(0,ROUND((INDEX($E308:$G308,AB$5)-SUMIFS(TF_Timer,TF_Tekniker,AB$4,TF_Dato,$A308))*2,0)/2)))</f>
        <v/>
      </c>
      <c r="AC308">
        <f>IF(OR(AC$4="",$A308&gt;TODAY()),0,IF(OR(INDEX($B308:$D308,AC$5)="F",AND(AC$6&gt;0,$A308&lt;AC$6),AND(AC$7&gt;0,$A308&gt;AC$7)),0,MAX(0,ROUND((INDEX($E308:$G308,AC$5)-SUMIFS(TF_Timer,TF_Tekniker,AC$4,TF_Dato,$A308))*2,0)/2)))</f>
        <v/>
      </c>
      <c r="AD308">
        <f>IF(OR(AD$4="",$A308&gt;TODAY()),0,IF(OR(INDEX($B308:$D308,AD$5)="F",AND(AD$6&gt;0,$A308&lt;AD$6),AND(AD$7&gt;0,$A308&gt;AD$7)),0,MAX(0,ROUND((INDEX($E308:$G308,AD$5)-SUMIFS(TF_Timer,TF_Tekniker,AD$4,TF_Dato,$A308))*2,0)/2)))</f>
        <v/>
      </c>
      <c r="AE308">
        <f>IF(OR(AE$4="",$A308&gt;TODAY()),0,IF(OR(INDEX($B308:$D308,AE$5)="F",AND(AE$6&gt;0,$A308&lt;AE$6),AND(AE$7&gt;0,$A308&gt;AE$7)),0,MAX(0,ROUND((INDEX($E308:$G308,AE$5)-SUMIFS(TF_Timer,TF_Tekniker,AE$4,TF_Dato,$A308))*2,0)/2)))</f>
        <v/>
      </c>
      <c r="AF308">
        <f>IF(OR(AF$4="",$A308&gt;TODAY()),0,IF(OR(INDEX($B308:$D308,AF$5)="F",AND(AF$6&gt;0,$A308&lt;AF$6),AND(AF$7&gt;0,$A308&gt;AF$7)),0,MAX(0,ROUND((INDEX($E308:$G308,AF$5)-SUMIFS(TF_Timer,TF_Tekniker,AF$4,TF_Dato,$A308))*2,0)/2)))</f>
        <v/>
      </c>
      <c r="AG308">
        <f>IF(OR(AG$4="",$A308&gt;TODAY()),0,IF(OR(INDEX($B308:$D308,AG$5)="F",AND(AG$6&gt;0,$A308&lt;AG$6),AND(AG$7&gt;0,$A308&gt;AG$7)),0,MAX(0,ROUND((INDEX($E308:$G308,AG$5)-SUMIFS(TF_Timer,TF_Tekniker,AG$4,TF_Dato,$A308))*2,0)/2)))</f>
        <v/>
      </c>
      <c r="AH308">
        <f>IF(OR(AH$4="",$A308&gt;TODAY()),0,IF(OR(INDEX($B308:$D308,AH$5)="F",AND(AH$6&gt;0,$A308&lt;AH$6),AND(AH$7&gt;0,$A308&gt;AH$7)),0,MAX(0,ROUND((INDEX($E308:$G308,AH$5)-SUMIFS(TF_Timer,TF_Tekniker,AH$4,TF_Dato,$A308))*2,0)/2)))</f>
        <v/>
      </c>
      <c r="AI308">
        <f>IF(OR(AI$4="",$A308&gt;TODAY()),0,IF(OR(INDEX($B308:$D308,AI$5)="F",AND(AI$6&gt;0,$A308&lt;AI$6),AND(AI$7&gt;0,$A308&gt;AI$7)),0,MAX(0,ROUND((INDEX($E308:$G308,AI$5)-SUMIFS(TF_Timer,TF_Tekniker,AI$4,TF_Dato,$A308))*2,0)/2)))</f>
        <v/>
      </c>
      <c r="AJ308">
        <f>IF(OR(AJ$4="",$A308&gt;TODAY()),0,IF(OR(INDEX($B308:$D308,AJ$5)="F",AND(AJ$6&gt;0,$A308&lt;AJ$6),AND(AJ$7&gt;0,$A308&gt;AJ$7)),0,MAX(0,ROUND((INDEX($E308:$G308,AJ$5)-SUMIFS(TF_Timer,TF_Tekniker,AJ$4,TF_Dato,$A308))*2,0)/2)))</f>
        <v/>
      </c>
      <c r="AK308">
        <f>IF(OR(AK$4="",$A308&gt;TODAY()),0,IF(OR(INDEX($B308:$D308,AK$5)="F",AND(AK$6&gt;0,$A308&lt;AK$6),AND(AK$7&gt;0,$A308&gt;AK$7)),0,MAX(0,ROUND((INDEX($E308:$G308,AK$5)-SUMIFS(TF_Timer,TF_Tekniker,AK$4,TF_Dato,$A308))*2,0)/2)))</f>
        <v/>
      </c>
      <c r="AL308">
        <f>IF(OR(AL$4="",$A308&gt;TODAY()),0,IF(OR(INDEX($B308:$D308,AL$5)="F",AND(AL$6&gt;0,$A308&lt;AL$6),AND(AL$7&gt;0,$A308&gt;AL$7)),0,MAX(0,ROUND((INDEX($E308:$G308,AL$5)-SUMIFS(TF_Timer,TF_Tekniker,AL$4,TF_Dato,$A308))*2,0)/2)))</f>
        <v/>
      </c>
      <c r="AM308">
        <f>IF(OR(AM$4="",$A308&gt;TODAY()),0,IF(OR(INDEX($B308:$D308,AM$5)="F",AND(AM$6&gt;0,$A308&lt;AM$6),AND(AM$7&gt;0,$A308&gt;AM$7)),0,MAX(0,ROUND((INDEX($E308:$G308,AM$5)-SUMIFS(TF_Timer,TF_Tekniker,AM$4,TF_Dato,$A308))*2,0)/2)))</f>
        <v/>
      </c>
      <c r="AN308">
        <f>IF(OR(AN$4="",$A308&gt;TODAY()),0,IF(OR(INDEX($B308:$D308,AN$5)="F",AND(AN$6&gt;0,$A308&lt;AN$6),AND(AN$7&gt;0,$A308&gt;AN$7)),0,MAX(0,ROUND((INDEX($E308:$G308,AN$5)-SUMIFS(TF_Timer,TF_Tekniker,AN$4,TF_Dato,$A308))*2,0)/2)))</f>
        <v/>
      </c>
      <c r="AO308">
        <f>IF(OR(AO$4="",$A308&gt;TODAY()),0,IF(OR(INDEX($B308:$D308,AO$5)="F",AND(AO$6&gt;0,$A308&lt;AO$6),AND(AO$7&gt;0,$A308&gt;AO$7)),0,MAX(0,ROUND((INDEX($E308:$G308,AO$5)-SUMIFS(TF_Timer,TF_Tekniker,AO$4,TF_Dato,$A308))*2,0)/2)))</f>
        <v/>
      </c>
      <c r="AP308">
        <f>IF(OR(AP$4="",$A308&gt;TODAY()),0,IF(OR(INDEX($B308:$D308,AP$5)="F",AND(AP$6&gt;0,$A308&lt;AP$6),AND(AP$7&gt;0,$A308&gt;AP$7)),0,MAX(0,ROUND((INDEX($E308:$G308,AP$5)-SUMIFS(TF_Timer,TF_Tekniker,AP$4,TF_Dato,$A308))*2,0)/2)))</f>
        <v/>
      </c>
      <c r="AQ308">
        <f>IF(OR(AQ$4="",$A308&gt;TODAY()),0,IF(OR(INDEX($B308:$D308,AQ$5)="F",AND(AQ$6&gt;0,$A308&lt;AQ$6),AND(AQ$7&gt;0,$A308&gt;AQ$7)),0,MAX(0,ROUND((INDEX($E308:$G308,AQ$5)-SUMIFS(TF_Timer,TF_Tekniker,AQ$4,TF_Dato,$A308))*2,0)/2)))</f>
        <v/>
      </c>
      <c r="AR308">
        <f>IF(OR(AR$4="",$A308&gt;TODAY()),0,IF(OR(INDEX($B308:$D308,AR$5)="F",AND(AR$6&gt;0,$A308&lt;AR$6),AND(AR$7&gt;0,$A308&gt;AR$7)),0,MAX(0,ROUND((INDEX($E308:$G308,AR$5)-SUMIFS(TF_Timer,TF_Tekniker,AR$4,TF_Dato,$A308))*2,0)/2)))</f>
        <v/>
      </c>
      <c r="AS308">
        <f>IF(OR(AS$4="",$A308&gt;TODAY()),0,IF(OR(INDEX($B308:$D308,AS$5)="F",AND(AS$6&gt;0,$A308&lt;AS$6),AND(AS$7&gt;0,$A308&gt;AS$7)),0,MAX(0,ROUND((INDEX($E308:$G308,AS$5)-SUMIFS(TF_Timer,TF_Tekniker,AS$4,TF_Dato,$A308))*2,0)/2)))</f>
        <v/>
      </c>
      <c r="AT308">
        <f>IF(OR(AT$4="",$A308&gt;TODAY()),0,IF(OR(INDEX($B308:$D308,AT$5)="F",AND(AT$6&gt;0,$A308&lt;AT$6),AND(AT$7&gt;0,$A308&gt;AT$7)),0,MAX(0,ROUND((INDEX($E308:$G308,AT$5)-SUMIFS(TF_Timer,TF_Tekniker,AT$4,TF_Dato,$A308))*2,0)/2)))</f>
        <v/>
      </c>
      <c r="AU308">
        <f>IF(OR(AU$4="",$A308&gt;TODAY()),0,IF(OR(INDEX($B308:$D308,AU$5)="F",AND(AU$6&gt;0,$A308&lt;AU$6),AND(AU$7&gt;0,$A308&gt;AU$7)),0,MAX(0,ROUND((INDEX($E308:$G308,AU$5)-SUMIFS(TF_Timer,TF_Tekniker,AU$4,TF_Dato,$A308))*2,0)/2)))</f>
        <v/>
      </c>
      <c r="AV308">
        <f>IF(OR(AV$4="",$A308&gt;TODAY()),0,IF(OR(INDEX($B308:$D308,AV$5)="F",AND(AV$6&gt;0,$A308&lt;AV$6),AND(AV$7&gt;0,$A308&gt;AV$7)),0,MAX(0,ROUND((INDEX($E308:$G308,AV$5)-SUMIFS(TF_Timer,TF_Tekniker,AV$4,TF_Dato,$A308))*2,0)/2)))</f>
        <v/>
      </c>
      <c r="AW308">
        <f>IF(OR(AW$4="",$A308&gt;TODAY()),0,IF(OR(INDEX($B308:$D308,AW$5)="F",AND(AW$6&gt;0,$A308&lt;AW$6),AND(AW$7&gt;0,$A308&gt;AW$7)),0,MAX(0,ROUND((INDEX($E308:$G308,AW$5)-SUMIFS(TF_Timer,TF_Tekniker,AW$4,TF_Dato,$A308))*2,0)/2)))</f>
        <v/>
      </c>
      <c r="AX308">
        <f>IF(OR(AX$4="",$A308&gt;TODAY()),0,IF(OR(INDEX($B308:$D308,AX$5)="F",AND(AX$6&gt;0,$A308&lt;AX$6),AND(AX$7&gt;0,$A308&gt;AX$7)),0,MAX(0,ROUND((INDEX($E308:$G308,AX$5)-SUMIFS(TF_Timer,TF_Tekniker,AX$4,TF_Dato,$A308))*2,0)/2)))</f>
        <v/>
      </c>
      <c r="AY308">
        <f>IF(OR(AY$4="",$A308&gt;TODAY()),0,IF(OR(INDEX($B308:$D308,AY$5)="F",AND(AY$6&gt;0,$A308&lt;AY$6),AND(AY$7&gt;0,$A308&gt;AY$7)),0,MAX(0,ROUND((INDEX($E308:$G308,AY$5)-SUMIFS(TF_Timer,TF_Tekniker,AY$4,TF_Dato,$A308))*2,0)/2)))</f>
        <v/>
      </c>
      <c r="AZ308">
        <f>IF(OR(AZ$4="",$A308&gt;TODAY()),0,IF(OR(INDEX($B308:$D308,AZ$5)="F",AND(AZ$6&gt;0,$A308&lt;AZ$6),AND(AZ$7&gt;0,$A308&gt;AZ$7)),0,MAX(0,ROUND((INDEX($E308:$G308,AZ$5)-SUMIFS(TF_Timer,TF_Tekniker,AZ$4,TF_Dato,$A308))*2,0)/2)))</f>
        <v/>
      </c>
      <c r="BA308">
        <f>IF(OR(BA$4="",$A308&gt;TODAY()),0,IF(OR(INDEX($B308:$D308,BA$5)="F",AND(BA$6&gt;0,$A308&lt;BA$6),AND(BA$7&gt;0,$A308&gt;BA$7)),0,MAX(0,ROUND((INDEX($E308:$G308,BA$5)-SUMIFS(TF_Timer,TF_Tekniker,BA$4,TF_Dato,$A308))*2,0)/2)))</f>
        <v/>
      </c>
      <c r="BB308">
        <f>IF(OR(BB$4="",$A308&gt;TODAY()),0,IF(OR(INDEX($B308:$D308,BB$5)="F",AND(BB$6&gt;0,$A308&lt;BB$6),AND(BB$7&gt;0,$A308&gt;BB$7)),0,MAX(0,ROUND((INDEX($E308:$G308,BB$5)-SUMIFS(TF_Timer,TF_Tekniker,BB$4,TF_Dato,$A308))*2,0)/2)))</f>
        <v/>
      </c>
      <c r="BC308">
        <f>IF(OR(BC$4="",$A308&gt;TODAY()),0,IF(OR(INDEX($B308:$D308,BC$5)="F",AND(BC$6&gt;0,$A308&lt;BC$6),AND(BC$7&gt;0,$A308&gt;BC$7)),0,MAX(0,ROUND((INDEX($E308:$G308,BC$5)-SUMIFS(TF_Timer,TF_Tekniker,BC$4,TF_Dato,$A308))*2,0)/2)))</f>
        <v/>
      </c>
      <c r="BD308">
        <f>IF(OR(BD$4="",$A308&gt;TODAY()),0,IF(OR(INDEX($B308:$D308,BD$5)="F",AND(BD$6&gt;0,$A308&lt;BD$6),AND(BD$7&gt;0,$A308&gt;BD$7)),0,MAX(0,ROUND((INDEX($E308:$G308,BD$5)-SUMIFS(TF_Timer,TF_Tekniker,BD$4,TF_Dato,$A308))*2,0)/2)))</f>
        <v/>
      </c>
      <c r="BE308">
        <f>IF(OR(BE$4="",$A308&gt;TODAY()),0,IF(OR(INDEX($B308:$D308,BE$5)="F",AND(BE$6&gt;0,$A308&lt;BE$6),AND(BE$7&gt;0,$A308&gt;BE$7)),0,MAX(0,ROUND((INDEX($E308:$G308,BE$5)-SUMIFS(TF_Timer,TF_Tekniker,BE$4,TF_Dato,$A308))*2,0)/2)))</f>
        <v/>
      </c>
      <c r="BF308">
        <f>IF(OR(BF$4="",$A308&gt;TODAY()),0,IF(OR(INDEX($B308:$D308,BF$5)="F",AND(BF$6&gt;0,$A308&lt;BF$6),AND(BF$7&gt;0,$A308&gt;BF$7)),0,MAX(0,ROUND((INDEX($E308:$G308,BF$5)-SUMIFS(TF_Timer,TF_Tekniker,BF$4,TF_Dato,$A308))*2,0)/2)))</f>
        <v/>
      </c>
      <c r="BG308">
        <f>IF(OR(BG$4="",$A308&gt;TODAY()),0,IF(OR(INDEX($B308:$D308,BG$5)="F",AND(BG$6&gt;0,$A308&lt;BG$6),AND(BG$7&gt;0,$A308&gt;BG$7)),0,MAX(0,ROUND((INDEX($E308:$G308,BG$5)-SUMIFS(TF_Timer,TF_Tekniker,BG$4,TF_Dato,$A308))*2,0)/2)))</f>
        <v/>
      </c>
      <c r="BH308">
        <f>IF(OR(BH$4="",$A308&gt;TODAY()),0,IF(OR(INDEX($B308:$D308,BH$5)="F",AND(BH$6&gt;0,$A308&lt;BH$6),AND(BH$7&gt;0,$A308&gt;BH$7)),0,MAX(0,ROUND((INDEX($E308:$G308,BH$5)-SUMIFS(TF_Timer,TF_Tekniker,BH$4,TF_Dato,$A308))*2,0)/2)))</f>
        <v/>
      </c>
      <c r="BI308">
        <f>IF(OR(BI$4="",$A308&gt;TODAY()),0,IF(OR(INDEX($B308:$D308,BI$5)="F",AND(BI$6&gt;0,$A308&lt;BI$6),AND(BI$7&gt;0,$A308&gt;BI$7)),0,MAX(0,ROUND((INDEX($E308:$G308,BI$5)-SUMIFS(TF_Timer,TF_Tekniker,BI$4,TF_Dato,$A308))*2,0)/2)))</f>
        <v/>
      </c>
    </row>
    <row r="309">
      <c r="A309" s="64">
        <f>A308+1</f>
        <v/>
      </c>
      <c r="B309">
        <f>IF(MOD($A309-INDEX(SkiftStart,1),Syklus)&lt;DagK,"K",IF(MOD($A309-INDEX(SkiftStart,1),Syklus)&lt;DagK+DagH,"H",IF(MOD($A309-INDEX(SkiftStart,1),Syklus)&lt;DagK+DagH+DagD,"D","F")))</f>
        <v/>
      </c>
      <c r="C309">
        <f>IF(MOD($A309-INDEX(SkiftStart,2),Syklus)&lt;DagK,"K",IF(MOD($A309-INDEX(SkiftStart,2),Syklus)&lt;DagK+DagH,"H",IF(MOD($A309-INDEX(SkiftStart,2),Syklus)&lt;DagK+DagH+DagD,"D","F")))</f>
        <v/>
      </c>
      <c r="D309">
        <f>IF(MOD($A309-INDEX(SkiftStart,3),Syklus)&lt;DagK,"K",IF(MOD($A309-INDEX(SkiftStart,3),Syklus)&lt;DagK+DagH,"H",IF(MOD($A309-INDEX(SkiftStart,3),Syklus)&lt;DagK+DagH+DagD,"D","F")))</f>
        <v/>
      </c>
      <c r="E309">
        <f>IF(B309="F",0,IF(WEEKDAY($A309,2)=5,INDEX(TimerFr,MATCH(B309,FaseKode,0)),INDEX(TimerMT,MATCH(B309,FaseKode,0))))</f>
        <v/>
      </c>
      <c r="F309">
        <f>IF(C309="F",0,IF(WEEKDAY($A309,2)=5,INDEX(TimerFr,MATCH(C309,FaseKode,0)),INDEX(TimerMT,MATCH(C309,FaseKode,0))))</f>
        <v/>
      </c>
      <c r="G309">
        <f>IF(D309="F",0,IF(WEEKDAY($A309,2)=5,INDEX(TimerFr,MATCH(D309,FaseKode,0)),INDEX(TimerMT,MATCH(D309,FaseKode,0))))</f>
        <v/>
      </c>
      <c r="H309">
        <f>IF(OR(H$4="",$A309&gt;TODAY()),0,IF(OR(INDEX($B309:$D309,H$5)="F",AND(H$6&gt;0,$A309&lt;H$6),AND(H$7&gt;0,$A309&gt;H$7)),0,MAX(0,ROUND((INDEX($E309:$G309,H$5)-SUMIFS(TF_Timer,TF_Tekniker,H$4,TF_Dato,$A309))*2,0)/2)))</f>
        <v/>
      </c>
      <c r="I309">
        <f>IF(OR(I$4="",$A309&gt;TODAY()),0,IF(OR(INDEX($B309:$D309,I$5)="F",AND(I$6&gt;0,$A309&lt;I$6),AND(I$7&gt;0,$A309&gt;I$7)),0,MAX(0,ROUND((INDEX($E309:$G309,I$5)-SUMIFS(TF_Timer,TF_Tekniker,I$4,TF_Dato,$A309))*2,0)/2)))</f>
        <v/>
      </c>
      <c r="J309">
        <f>IF(OR(J$4="",$A309&gt;TODAY()),0,IF(OR(INDEX($B309:$D309,J$5)="F",AND(J$6&gt;0,$A309&lt;J$6),AND(J$7&gt;0,$A309&gt;J$7)),0,MAX(0,ROUND((INDEX($E309:$G309,J$5)-SUMIFS(TF_Timer,TF_Tekniker,J$4,TF_Dato,$A309))*2,0)/2)))</f>
        <v/>
      </c>
      <c r="K309">
        <f>IF(OR(K$4="",$A309&gt;TODAY()),0,IF(OR(INDEX($B309:$D309,K$5)="F",AND(K$6&gt;0,$A309&lt;K$6),AND(K$7&gt;0,$A309&gt;K$7)),0,MAX(0,ROUND((INDEX($E309:$G309,K$5)-SUMIFS(TF_Timer,TF_Tekniker,K$4,TF_Dato,$A309))*2,0)/2)))</f>
        <v/>
      </c>
      <c r="L309">
        <f>IF(OR(L$4="",$A309&gt;TODAY()),0,IF(OR(INDEX($B309:$D309,L$5)="F",AND(L$6&gt;0,$A309&lt;L$6),AND(L$7&gt;0,$A309&gt;L$7)),0,MAX(0,ROUND((INDEX($E309:$G309,L$5)-SUMIFS(TF_Timer,TF_Tekniker,L$4,TF_Dato,$A309))*2,0)/2)))</f>
        <v/>
      </c>
      <c r="M309">
        <f>IF(OR(M$4="",$A309&gt;TODAY()),0,IF(OR(INDEX($B309:$D309,M$5)="F",AND(M$6&gt;0,$A309&lt;M$6),AND(M$7&gt;0,$A309&gt;M$7)),0,MAX(0,ROUND((INDEX($E309:$G309,M$5)-SUMIFS(TF_Timer,TF_Tekniker,M$4,TF_Dato,$A309))*2,0)/2)))</f>
        <v/>
      </c>
      <c r="N309">
        <f>IF(OR(N$4="",$A309&gt;TODAY()),0,IF(OR(INDEX($B309:$D309,N$5)="F",AND(N$6&gt;0,$A309&lt;N$6),AND(N$7&gt;0,$A309&gt;N$7)),0,MAX(0,ROUND((INDEX($E309:$G309,N$5)-SUMIFS(TF_Timer,TF_Tekniker,N$4,TF_Dato,$A309))*2,0)/2)))</f>
        <v/>
      </c>
      <c r="O309">
        <f>IF(OR(O$4="",$A309&gt;TODAY()),0,IF(OR(INDEX($B309:$D309,O$5)="F",AND(O$6&gt;0,$A309&lt;O$6),AND(O$7&gt;0,$A309&gt;O$7)),0,MAX(0,ROUND((INDEX($E309:$G309,O$5)-SUMIFS(TF_Timer,TF_Tekniker,O$4,TF_Dato,$A309))*2,0)/2)))</f>
        <v/>
      </c>
      <c r="P309">
        <f>IF(OR(P$4="",$A309&gt;TODAY()),0,IF(OR(INDEX($B309:$D309,P$5)="F",AND(P$6&gt;0,$A309&lt;P$6),AND(P$7&gt;0,$A309&gt;P$7)),0,MAX(0,ROUND((INDEX($E309:$G309,P$5)-SUMIFS(TF_Timer,TF_Tekniker,P$4,TF_Dato,$A309))*2,0)/2)))</f>
        <v/>
      </c>
      <c r="Q309">
        <f>IF(OR(Q$4="",$A309&gt;TODAY()),0,IF(OR(INDEX($B309:$D309,Q$5)="F",AND(Q$6&gt;0,$A309&lt;Q$6),AND(Q$7&gt;0,$A309&gt;Q$7)),0,MAX(0,ROUND((INDEX($E309:$G309,Q$5)-SUMIFS(TF_Timer,TF_Tekniker,Q$4,TF_Dato,$A309))*2,0)/2)))</f>
        <v/>
      </c>
      <c r="R309">
        <f>IF(OR(R$4="",$A309&gt;TODAY()),0,IF(OR(INDEX($B309:$D309,R$5)="F",AND(R$6&gt;0,$A309&lt;R$6),AND(R$7&gt;0,$A309&gt;R$7)),0,MAX(0,ROUND((INDEX($E309:$G309,R$5)-SUMIFS(TF_Timer,TF_Tekniker,R$4,TF_Dato,$A309))*2,0)/2)))</f>
        <v/>
      </c>
      <c r="S309">
        <f>IF(OR(S$4="",$A309&gt;TODAY()),0,IF(OR(INDEX($B309:$D309,S$5)="F",AND(S$6&gt;0,$A309&lt;S$6),AND(S$7&gt;0,$A309&gt;S$7)),0,MAX(0,ROUND((INDEX($E309:$G309,S$5)-SUMIFS(TF_Timer,TF_Tekniker,S$4,TF_Dato,$A309))*2,0)/2)))</f>
        <v/>
      </c>
      <c r="T309">
        <f>IF(OR(T$4="",$A309&gt;TODAY()),0,IF(OR(INDEX($B309:$D309,T$5)="F",AND(T$6&gt;0,$A309&lt;T$6),AND(T$7&gt;0,$A309&gt;T$7)),0,MAX(0,ROUND((INDEX($E309:$G309,T$5)-SUMIFS(TF_Timer,TF_Tekniker,T$4,TF_Dato,$A309))*2,0)/2)))</f>
        <v/>
      </c>
      <c r="U309">
        <f>IF(OR(U$4="",$A309&gt;TODAY()),0,IF(OR(INDEX($B309:$D309,U$5)="F",AND(U$6&gt;0,$A309&lt;U$6),AND(U$7&gt;0,$A309&gt;U$7)),0,MAX(0,ROUND((INDEX($E309:$G309,U$5)-SUMIFS(TF_Timer,TF_Tekniker,U$4,TF_Dato,$A309))*2,0)/2)))</f>
        <v/>
      </c>
      <c r="V309">
        <f>IF(OR(V$4="",$A309&gt;TODAY()),0,IF(OR(INDEX($B309:$D309,V$5)="F",AND(V$6&gt;0,$A309&lt;V$6),AND(V$7&gt;0,$A309&gt;V$7)),0,MAX(0,ROUND((INDEX($E309:$G309,V$5)-SUMIFS(TF_Timer,TF_Tekniker,V$4,TF_Dato,$A309))*2,0)/2)))</f>
        <v/>
      </c>
      <c r="W309">
        <f>IF(OR(W$4="",$A309&gt;TODAY()),0,IF(OR(INDEX($B309:$D309,W$5)="F",AND(W$6&gt;0,$A309&lt;W$6),AND(W$7&gt;0,$A309&gt;W$7)),0,MAX(0,ROUND((INDEX($E309:$G309,W$5)-SUMIFS(TF_Timer,TF_Tekniker,W$4,TF_Dato,$A309))*2,0)/2)))</f>
        <v/>
      </c>
      <c r="X309">
        <f>IF(OR(X$4="",$A309&gt;TODAY()),0,IF(OR(INDEX($B309:$D309,X$5)="F",AND(X$6&gt;0,$A309&lt;X$6),AND(X$7&gt;0,$A309&gt;X$7)),0,MAX(0,ROUND((INDEX($E309:$G309,X$5)-SUMIFS(TF_Timer,TF_Tekniker,X$4,TF_Dato,$A309))*2,0)/2)))</f>
        <v/>
      </c>
      <c r="Y309">
        <f>IF(OR(Y$4="",$A309&gt;TODAY()),0,IF(OR(INDEX($B309:$D309,Y$5)="F",AND(Y$6&gt;0,$A309&lt;Y$6),AND(Y$7&gt;0,$A309&gt;Y$7)),0,MAX(0,ROUND((INDEX($E309:$G309,Y$5)-SUMIFS(TF_Timer,TF_Tekniker,Y$4,TF_Dato,$A309))*2,0)/2)))</f>
        <v/>
      </c>
      <c r="Z309">
        <f>IF(OR(Z$4="",$A309&gt;TODAY()),0,IF(OR(INDEX($B309:$D309,Z$5)="F",AND(Z$6&gt;0,$A309&lt;Z$6),AND(Z$7&gt;0,$A309&gt;Z$7)),0,MAX(0,ROUND((INDEX($E309:$G309,Z$5)-SUMIFS(TF_Timer,TF_Tekniker,Z$4,TF_Dato,$A309))*2,0)/2)))</f>
        <v/>
      </c>
      <c r="AA309">
        <f>IF(OR(AA$4="",$A309&gt;TODAY()),0,IF(OR(INDEX($B309:$D309,AA$5)="F",AND(AA$6&gt;0,$A309&lt;AA$6),AND(AA$7&gt;0,$A309&gt;AA$7)),0,MAX(0,ROUND((INDEX($E309:$G309,AA$5)-SUMIFS(TF_Timer,TF_Tekniker,AA$4,TF_Dato,$A309))*2,0)/2)))</f>
        <v/>
      </c>
      <c r="AB309">
        <f>IF(OR(AB$4="",$A309&gt;TODAY()),0,IF(OR(INDEX($B309:$D309,AB$5)="F",AND(AB$6&gt;0,$A309&lt;AB$6),AND(AB$7&gt;0,$A309&gt;AB$7)),0,MAX(0,ROUND((INDEX($E309:$G309,AB$5)-SUMIFS(TF_Timer,TF_Tekniker,AB$4,TF_Dato,$A309))*2,0)/2)))</f>
        <v/>
      </c>
      <c r="AC309">
        <f>IF(OR(AC$4="",$A309&gt;TODAY()),0,IF(OR(INDEX($B309:$D309,AC$5)="F",AND(AC$6&gt;0,$A309&lt;AC$6),AND(AC$7&gt;0,$A309&gt;AC$7)),0,MAX(0,ROUND((INDEX($E309:$G309,AC$5)-SUMIFS(TF_Timer,TF_Tekniker,AC$4,TF_Dato,$A309))*2,0)/2)))</f>
        <v/>
      </c>
      <c r="AD309">
        <f>IF(OR(AD$4="",$A309&gt;TODAY()),0,IF(OR(INDEX($B309:$D309,AD$5)="F",AND(AD$6&gt;0,$A309&lt;AD$6),AND(AD$7&gt;0,$A309&gt;AD$7)),0,MAX(0,ROUND((INDEX($E309:$G309,AD$5)-SUMIFS(TF_Timer,TF_Tekniker,AD$4,TF_Dato,$A309))*2,0)/2)))</f>
        <v/>
      </c>
      <c r="AE309">
        <f>IF(OR(AE$4="",$A309&gt;TODAY()),0,IF(OR(INDEX($B309:$D309,AE$5)="F",AND(AE$6&gt;0,$A309&lt;AE$6),AND(AE$7&gt;0,$A309&gt;AE$7)),0,MAX(0,ROUND((INDEX($E309:$G309,AE$5)-SUMIFS(TF_Timer,TF_Tekniker,AE$4,TF_Dato,$A309))*2,0)/2)))</f>
        <v/>
      </c>
      <c r="AF309">
        <f>IF(OR(AF$4="",$A309&gt;TODAY()),0,IF(OR(INDEX($B309:$D309,AF$5)="F",AND(AF$6&gt;0,$A309&lt;AF$6),AND(AF$7&gt;0,$A309&gt;AF$7)),0,MAX(0,ROUND((INDEX($E309:$G309,AF$5)-SUMIFS(TF_Timer,TF_Tekniker,AF$4,TF_Dato,$A309))*2,0)/2)))</f>
        <v/>
      </c>
      <c r="AG309">
        <f>IF(OR(AG$4="",$A309&gt;TODAY()),0,IF(OR(INDEX($B309:$D309,AG$5)="F",AND(AG$6&gt;0,$A309&lt;AG$6),AND(AG$7&gt;0,$A309&gt;AG$7)),0,MAX(0,ROUND((INDEX($E309:$G309,AG$5)-SUMIFS(TF_Timer,TF_Tekniker,AG$4,TF_Dato,$A309))*2,0)/2)))</f>
        <v/>
      </c>
      <c r="AH309">
        <f>IF(OR(AH$4="",$A309&gt;TODAY()),0,IF(OR(INDEX($B309:$D309,AH$5)="F",AND(AH$6&gt;0,$A309&lt;AH$6),AND(AH$7&gt;0,$A309&gt;AH$7)),0,MAX(0,ROUND((INDEX($E309:$G309,AH$5)-SUMIFS(TF_Timer,TF_Tekniker,AH$4,TF_Dato,$A309))*2,0)/2)))</f>
        <v/>
      </c>
      <c r="AI309">
        <f>IF(OR(AI$4="",$A309&gt;TODAY()),0,IF(OR(INDEX($B309:$D309,AI$5)="F",AND(AI$6&gt;0,$A309&lt;AI$6),AND(AI$7&gt;0,$A309&gt;AI$7)),0,MAX(0,ROUND((INDEX($E309:$G309,AI$5)-SUMIFS(TF_Timer,TF_Tekniker,AI$4,TF_Dato,$A309))*2,0)/2)))</f>
        <v/>
      </c>
      <c r="AJ309">
        <f>IF(OR(AJ$4="",$A309&gt;TODAY()),0,IF(OR(INDEX($B309:$D309,AJ$5)="F",AND(AJ$6&gt;0,$A309&lt;AJ$6),AND(AJ$7&gt;0,$A309&gt;AJ$7)),0,MAX(0,ROUND((INDEX($E309:$G309,AJ$5)-SUMIFS(TF_Timer,TF_Tekniker,AJ$4,TF_Dato,$A309))*2,0)/2)))</f>
        <v/>
      </c>
      <c r="AK309">
        <f>IF(OR(AK$4="",$A309&gt;TODAY()),0,IF(OR(INDEX($B309:$D309,AK$5)="F",AND(AK$6&gt;0,$A309&lt;AK$6),AND(AK$7&gt;0,$A309&gt;AK$7)),0,MAX(0,ROUND((INDEX($E309:$G309,AK$5)-SUMIFS(TF_Timer,TF_Tekniker,AK$4,TF_Dato,$A309))*2,0)/2)))</f>
        <v/>
      </c>
      <c r="AL309">
        <f>IF(OR(AL$4="",$A309&gt;TODAY()),0,IF(OR(INDEX($B309:$D309,AL$5)="F",AND(AL$6&gt;0,$A309&lt;AL$6),AND(AL$7&gt;0,$A309&gt;AL$7)),0,MAX(0,ROUND((INDEX($E309:$G309,AL$5)-SUMIFS(TF_Timer,TF_Tekniker,AL$4,TF_Dato,$A309))*2,0)/2)))</f>
        <v/>
      </c>
      <c r="AM309">
        <f>IF(OR(AM$4="",$A309&gt;TODAY()),0,IF(OR(INDEX($B309:$D309,AM$5)="F",AND(AM$6&gt;0,$A309&lt;AM$6),AND(AM$7&gt;0,$A309&gt;AM$7)),0,MAX(0,ROUND((INDEX($E309:$G309,AM$5)-SUMIFS(TF_Timer,TF_Tekniker,AM$4,TF_Dato,$A309))*2,0)/2)))</f>
        <v/>
      </c>
      <c r="AN309">
        <f>IF(OR(AN$4="",$A309&gt;TODAY()),0,IF(OR(INDEX($B309:$D309,AN$5)="F",AND(AN$6&gt;0,$A309&lt;AN$6),AND(AN$7&gt;0,$A309&gt;AN$7)),0,MAX(0,ROUND((INDEX($E309:$G309,AN$5)-SUMIFS(TF_Timer,TF_Tekniker,AN$4,TF_Dato,$A309))*2,0)/2)))</f>
        <v/>
      </c>
      <c r="AO309">
        <f>IF(OR(AO$4="",$A309&gt;TODAY()),0,IF(OR(INDEX($B309:$D309,AO$5)="F",AND(AO$6&gt;0,$A309&lt;AO$6),AND(AO$7&gt;0,$A309&gt;AO$7)),0,MAX(0,ROUND((INDEX($E309:$G309,AO$5)-SUMIFS(TF_Timer,TF_Tekniker,AO$4,TF_Dato,$A309))*2,0)/2)))</f>
        <v/>
      </c>
      <c r="AP309">
        <f>IF(OR(AP$4="",$A309&gt;TODAY()),0,IF(OR(INDEX($B309:$D309,AP$5)="F",AND(AP$6&gt;0,$A309&lt;AP$6),AND(AP$7&gt;0,$A309&gt;AP$7)),0,MAX(0,ROUND((INDEX($E309:$G309,AP$5)-SUMIFS(TF_Timer,TF_Tekniker,AP$4,TF_Dato,$A309))*2,0)/2)))</f>
        <v/>
      </c>
      <c r="AQ309">
        <f>IF(OR(AQ$4="",$A309&gt;TODAY()),0,IF(OR(INDEX($B309:$D309,AQ$5)="F",AND(AQ$6&gt;0,$A309&lt;AQ$6),AND(AQ$7&gt;0,$A309&gt;AQ$7)),0,MAX(0,ROUND((INDEX($E309:$G309,AQ$5)-SUMIFS(TF_Timer,TF_Tekniker,AQ$4,TF_Dato,$A309))*2,0)/2)))</f>
        <v/>
      </c>
      <c r="AR309">
        <f>IF(OR(AR$4="",$A309&gt;TODAY()),0,IF(OR(INDEX($B309:$D309,AR$5)="F",AND(AR$6&gt;0,$A309&lt;AR$6),AND(AR$7&gt;0,$A309&gt;AR$7)),0,MAX(0,ROUND((INDEX($E309:$G309,AR$5)-SUMIFS(TF_Timer,TF_Tekniker,AR$4,TF_Dato,$A309))*2,0)/2)))</f>
        <v/>
      </c>
      <c r="AS309">
        <f>IF(OR(AS$4="",$A309&gt;TODAY()),0,IF(OR(INDEX($B309:$D309,AS$5)="F",AND(AS$6&gt;0,$A309&lt;AS$6),AND(AS$7&gt;0,$A309&gt;AS$7)),0,MAX(0,ROUND((INDEX($E309:$G309,AS$5)-SUMIFS(TF_Timer,TF_Tekniker,AS$4,TF_Dato,$A309))*2,0)/2)))</f>
        <v/>
      </c>
      <c r="AT309">
        <f>IF(OR(AT$4="",$A309&gt;TODAY()),0,IF(OR(INDEX($B309:$D309,AT$5)="F",AND(AT$6&gt;0,$A309&lt;AT$6),AND(AT$7&gt;0,$A309&gt;AT$7)),0,MAX(0,ROUND((INDEX($E309:$G309,AT$5)-SUMIFS(TF_Timer,TF_Tekniker,AT$4,TF_Dato,$A309))*2,0)/2)))</f>
        <v/>
      </c>
      <c r="AU309">
        <f>IF(OR(AU$4="",$A309&gt;TODAY()),0,IF(OR(INDEX($B309:$D309,AU$5)="F",AND(AU$6&gt;0,$A309&lt;AU$6),AND(AU$7&gt;0,$A309&gt;AU$7)),0,MAX(0,ROUND((INDEX($E309:$G309,AU$5)-SUMIFS(TF_Timer,TF_Tekniker,AU$4,TF_Dato,$A309))*2,0)/2)))</f>
        <v/>
      </c>
      <c r="AV309">
        <f>IF(OR(AV$4="",$A309&gt;TODAY()),0,IF(OR(INDEX($B309:$D309,AV$5)="F",AND(AV$6&gt;0,$A309&lt;AV$6),AND(AV$7&gt;0,$A309&gt;AV$7)),0,MAX(0,ROUND((INDEX($E309:$G309,AV$5)-SUMIFS(TF_Timer,TF_Tekniker,AV$4,TF_Dato,$A309))*2,0)/2)))</f>
        <v/>
      </c>
      <c r="AW309">
        <f>IF(OR(AW$4="",$A309&gt;TODAY()),0,IF(OR(INDEX($B309:$D309,AW$5)="F",AND(AW$6&gt;0,$A309&lt;AW$6),AND(AW$7&gt;0,$A309&gt;AW$7)),0,MAX(0,ROUND((INDEX($E309:$G309,AW$5)-SUMIFS(TF_Timer,TF_Tekniker,AW$4,TF_Dato,$A309))*2,0)/2)))</f>
        <v/>
      </c>
      <c r="AX309">
        <f>IF(OR(AX$4="",$A309&gt;TODAY()),0,IF(OR(INDEX($B309:$D309,AX$5)="F",AND(AX$6&gt;0,$A309&lt;AX$6),AND(AX$7&gt;0,$A309&gt;AX$7)),0,MAX(0,ROUND((INDEX($E309:$G309,AX$5)-SUMIFS(TF_Timer,TF_Tekniker,AX$4,TF_Dato,$A309))*2,0)/2)))</f>
        <v/>
      </c>
      <c r="AY309">
        <f>IF(OR(AY$4="",$A309&gt;TODAY()),0,IF(OR(INDEX($B309:$D309,AY$5)="F",AND(AY$6&gt;0,$A309&lt;AY$6),AND(AY$7&gt;0,$A309&gt;AY$7)),0,MAX(0,ROUND((INDEX($E309:$G309,AY$5)-SUMIFS(TF_Timer,TF_Tekniker,AY$4,TF_Dato,$A309))*2,0)/2)))</f>
        <v/>
      </c>
      <c r="AZ309">
        <f>IF(OR(AZ$4="",$A309&gt;TODAY()),0,IF(OR(INDEX($B309:$D309,AZ$5)="F",AND(AZ$6&gt;0,$A309&lt;AZ$6),AND(AZ$7&gt;0,$A309&gt;AZ$7)),0,MAX(0,ROUND((INDEX($E309:$G309,AZ$5)-SUMIFS(TF_Timer,TF_Tekniker,AZ$4,TF_Dato,$A309))*2,0)/2)))</f>
        <v/>
      </c>
      <c r="BA309">
        <f>IF(OR(BA$4="",$A309&gt;TODAY()),0,IF(OR(INDEX($B309:$D309,BA$5)="F",AND(BA$6&gt;0,$A309&lt;BA$6),AND(BA$7&gt;0,$A309&gt;BA$7)),0,MAX(0,ROUND((INDEX($E309:$G309,BA$5)-SUMIFS(TF_Timer,TF_Tekniker,BA$4,TF_Dato,$A309))*2,0)/2)))</f>
        <v/>
      </c>
      <c r="BB309">
        <f>IF(OR(BB$4="",$A309&gt;TODAY()),0,IF(OR(INDEX($B309:$D309,BB$5)="F",AND(BB$6&gt;0,$A309&lt;BB$6),AND(BB$7&gt;0,$A309&gt;BB$7)),0,MAX(0,ROUND((INDEX($E309:$G309,BB$5)-SUMIFS(TF_Timer,TF_Tekniker,BB$4,TF_Dato,$A309))*2,0)/2)))</f>
        <v/>
      </c>
      <c r="BC309">
        <f>IF(OR(BC$4="",$A309&gt;TODAY()),0,IF(OR(INDEX($B309:$D309,BC$5)="F",AND(BC$6&gt;0,$A309&lt;BC$6),AND(BC$7&gt;0,$A309&gt;BC$7)),0,MAX(0,ROUND((INDEX($E309:$G309,BC$5)-SUMIFS(TF_Timer,TF_Tekniker,BC$4,TF_Dato,$A309))*2,0)/2)))</f>
        <v/>
      </c>
      <c r="BD309">
        <f>IF(OR(BD$4="",$A309&gt;TODAY()),0,IF(OR(INDEX($B309:$D309,BD$5)="F",AND(BD$6&gt;0,$A309&lt;BD$6),AND(BD$7&gt;0,$A309&gt;BD$7)),0,MAX(0,ROUND((INDEX($E309:$G309,BD$5)-SUMIFS(TF_Timer,TF_Tekniker,BD$4,TF_Dato,$A309))*2,0)/2)))</f>
        <v/>
      </c>
      <c r="BE309">
        <f>IF(OR(BE$4="",$A309&gt;TODAY()),0,IF(OR(INDEX($B309:$D309,BE$5)="F",AND(BE$6&gt;0,$A309&lt;BE$6),AND(BE$7&gt;0,$A309&gt;BE$7)),0,MAX(0,ROUND((INDEX($E309:$G309,BE$5)-SUMIFS(TF_Timer,TF_Tekniker,BE$4,TF_Dato,$A309))*2,0)/2)))</f>
        <v/>
      </c>
      <c r="BF309">
        <f>IF(OR(BF$4="",$A309&gt;TODAY()),0,IF(OR(INDEX($B309:$D309,BF$5)="F",AND(BF$6&gt;0,$A309&lt;BF$6),AND(BF$7&gt;0,$A309&gt;BF$7)),0,MAX(0,ROUND((INDEX($E309:$G309,BF$5)-SUMIFS(TF_Timer,TF_Tekniker,BF$4,TF_Dato,$A309))*2,0)/2)))</f>
        <v/>
      </c>
      <c r="BG309">
        <f>IF(OR(BG$4="",$A309&gt;TODAY()),0,IF(OR(INDEX($B309:$D309,BG$5)="F",AND(BG$6&gt;0,$A309&lt;BG$6),AND(BG$7&gt;0,$A309&gt;BG$7)),0,MAX(0,ROUND((INDEX($E309:$G309,BG$5)-SUMIFS(TF_Timer,TF_Tekniker,BG$4,TF_Dato,$A309))*2,0)/2)))</f>
        <v/>
      </c>
      <c r="BH309">
        <f>IF(OR(BH$4="",$A309&gt;TODAY()),0,IF(OR(INDEX($B309:$D309,BH$5)="F",AND(BH$6&gt;0,$A309&lt;BH$6),AND(BH$7&gt;0,$A309&gt;BH$7)),0,MAX(0,ROUND((INDEX($E309:$G309,BH$5)-SUMIFS(TF_Timer,TF_Tekniker,BH$4,TF_Dato,$A309))*2,0)/2)))</f>
        <v/>
      </c>
      <c r="BI309">
        <f>IF(OR(BI$4="",$A309&gt;TODAY()),0,IF(OR(INDEX($B309:$D309,BI$5)="F",AND(BI$6&gt;0,$A309&lt;BI$6),AND(BI$7&gt;0,$A309&gt;BI$7)),0,MAX(0,ROUND((INDEX($E309:$G309,BI$5)-SUMIFS(TF_Timer,TF_Tekniker,BI$4,TF_Dato,$A309))*2,0)/2)))</f>
        <v/>
      </c>
    </row>
    <row r="310">
      <c r="A310" s="64">
        <f>A309+1</f>
        <v/>
      </c>
      <c r="B310">
        <f>IF(MOD($A310-INDEX(SkiftStart,1),Syklus)&lt;DagK,"K",IF(MOD($A310-INDEX(SkiftStart,1),Syklus)&lt;DagK+DagH,"H",IF(MOD($A310-INDEX(SkiftStart,1),Syklus)&lt;DagK+DagH+DagD,"D","F")))</f>
        <v/>
      </c>
      <c r="C310">
        <f>IF(MOD($A310-INDEX(SkiftStart,2),Syklus)&lt;DagK,"K",IF(MOD($A310-INDEX(SkiftStart,2),Syklus)&lt;DagK+DagH,"H",IF(MOD($A310-INDEX(SkiftStart,2),Syklus)&lt;DagK+DagH+DagD,"D","F")))</f>
        <v/>
      </c>
      <c r="D310">
        <f>IF(MOD($A310-INDEX(SkiftStart,3),Syklus)&lt;DagK,"K",IF(MOD($A310-INDEX(SkiftStart,3),Syklus)&lt;DagK+DagH,"H",IF(MOD($A310-INDEX(SkiftStart,3),Syklus)&lt;DagK+DagH+DagD,"D","F")))</f>
        <v/>
      </c>
      <c r="E310">
        <f>IF(B310="F",0,IF(WEEKDAY($A310,2)=5,INDEX(TimerFr,MATCH(B310,FaseKode,0)),INDEX(TimerMT,MATCH(B310,FaseKode,0))))</f>
        <v/>
      </c>
      <c r="F310">
        <f>IF(C310="F",0,IF(WEEKDAY($A310,2)=5,INDEX(TimerFr,MATCH(C310,FaseKode,0)),INDEX(TimerMT,MATCH(C310,FaseKode,0))))</f>
        <v/>
      </c>
      <c r="G310">
        <f>IF(D310="F",0,IF(WEEKDAY($A310,2)=5,INDEX(TimerFr,MATCH(D310,FaseKode,0)),INDEX(TimerMT,MATCH(D310,FaseKode,0))))</f>
        <v/>
      </c>
      <c r="H310">
        <f>IF(OR(H$4="",$A310&gt;TODAY()),0,IF(OR(INDEX($B310:$D310,H$5)="F",AND(H$6&gt;0,$A310&lt;H$6),AND(H$7&gt;0,$A310&gt;H$7)),0,MAX(0,ROUND((INDEX($E310:$G310,H$5)-SUMIFS(TF_Timer,TF_Tekniker,H$4,TF_Dato,$A310))*2,0)/2)))</f>
        <v/>
      </c>
      <c r="I310">
        <f>IF(OR(I$4="",$A310&gt;TODAY()),0,IF(OR(INDEX($B310:$D310,I$5)="F",AND(I$6&gt;0,$A310&lt;I$6),AND(I$7&gt;0,$A310&gt;I$7)),0,MAX(0,ROUND((INDEX($E310:$G310,I$5)-SUMIFS(TF_Timer,TF_Tekniker,I$4,TF_Dato,$A310))*2,0)/2)))</f>
        <v/>
      </c>
      <c r="J310">
        <f>IF(OR(J$4="",$A310&gt;TODAY()),0,IF(OR(INDEX($B310:$D310,J$5)="F",AND(J$6&gt;0,$A310&lt;J$6),AND(J$7&gt;0,$A310&gt;J$7)),0,MAX(0,ROUND((INDEX($E310:$G310,J$5)-SUMIFS(TF_Timer,TF_Tekniker,J$4,TF_Dato,$A310))*2,0)/2)))</f>
        <v/>
      </c>
      <c r="K310">
        <f>IF(OR(K$4="",$A310&gt;TODAY()),0,IF(OR(INDEX($B310:$D310,K$5)="F",AND(K$6&gt;0,$A310&lt;K$6),AND(K$7&gt;0,$A310&gt;K$7)),0,MAX(0,ROUND((INDEX($E310:$G310,K$5)-SUMIFS(TF_Timer,TF_Tekniker,K$4,TF_Dato,$A310))*2,0)/2)))</f>
        <v/>
      </c>
      <c r="L310">
        <f>IF(OR(L$4="",$A310&gt;TODAY()),0,IF(OR(INDEX($B310:$D310,L$5)="F",AND(L$6&gt;0,$A310&lt;L$6),AND(L$7&gt;0,$A310&gt;L$7)),0,MAX(0,ROUND((INDEX($E310:$G310,L$5)-SUMIFS(TF_Timer,TF_Tekniker,L$4,TF_Dato,$A310))*2,0)/2)))</f>
        <v/>
      </c>
      <c r="M310">
        <f>IF(OR(M$4="",$A310&gt;TODAY()),0,IF(OR(INDEX($B310:$D310,M$5)="F",AND(M$6&gt;0,$A310&lt;M$6),AND(M$7&gt;0,$A310&gt;M$7)),0,MAX(0,ROUND((INDEX($E310:$G310,M$5)-SUMIFS(TF_Timer,TF_Tekniker,M$4,TF_Dato,$A310))*2,0)/2)))</f>
        <v/>
      </c>
      <c r="N310">
        <f>IF(OR(N$4="",$A310&gt;TODAY()),0,IF(OR(INDEX($B310:$D310,N$5)="F",AND(N$6&gt;0,$A310&lt;N$6),AND(N$7&gt;0,$A310&gt;N$7)),0,MAX(0,ROUND((INDEX($E310:$G310,N$5)-SUMIFS(TF_Timer,TF_Tekniker,N$4,TF_Dato,$A310))*2,0)/2)))</f>
        <v/>
      </c>
      <c r="O310">
        <f>IF(OR(O$4="",$A310&gt;TODAY()),0,IF(OR(INDEX($B310:$D310,O$5)="F",AND(O$6&gt;0,$A310&lt;O$6),AND(O$7&gt;0,$A310&gt;O$7)),0,MAX(0,ROUND((INDEX($E310:$G310,O$5)-SUMIFS(TF_Timer,TF_Tekniker,O$4,TF_Dato,$A310))*2,0)/2)))</f>
        <v/>
      </c>
      <c r="P310">
        <f>IF(OR(P$4="",$A310&gt;TODAY()),0,IF(OR(INDEX($B310:$D310,P$5)="F",AND(P$6&gt;0,$A310&lt;P$6),AND(P$7&gt;0,$A310&gt;P$7)),0,MAX(0,ROUND((INDEX($E310:$G310,P$5)-SUMIFS(TF_Timer,TF_Tekniker,P$4,TF_Dato,$A310))*2,0)/2)))</f>
        <v/>
      </c>
      <c r="Q310">
        <f>IF(OR(Q$4="",$A310&gt;TODAY()),0,IF(OR(INDEX($B310:$D310,Q$5)="F",AND(Q$6&gt;0,$A310&lt;Q$6),AND(Q$7&gt;0,$A310&gt;Q$7)),0,MAX(0,ROUND((INDEX($E310:$G310,Q$5)-SUMIFS(TF_Timer,TF_Tekniker,Q$4,TF_Dato,$A310))*2,0)/2)))</f>
        <v/>
      </c>
      <c r="R310">
        <f>IF(OR(R$4="",$A310&gt;TODAY()),0,IF(OR(INDEX($B310:$D310,R$5)="F",AND(R$6&gt;0,$A310&lt;R$6),AND(R$7&gt;0,$A310&gt;R$7)),0,MAX(0,ROUND((INDEX($E310:$G310,R$5)-SUMIFS(TF_Timer,TF_Tekniker,R$4,TF_Dato,$A310))*2,0)/2)))</f>
        <v/>
      </c>
      <c r="S310">
        <f>IF(OR(S$4="",$A310&gt;TODAY()),0,IF(OR(INDEX($B310:$D310,S$5)="F",AND(S$6&gt;0,$A310&lt;S$6),AND(S$7&gt;0,$A310&gt;S$7)),0,MAX(0,ROUND((INDEX($E310:$G310,S$5)-SUMIFS(TF_Timer,TF_Tekniker,S$4,TF_Dato,$A310))*2,0)/2)))</f>
        <v/>
      </c>
      <c r="T310">
        <f>IF(OR(T$4="",$A310&gt;TODAY()),0,IF(OR(INDEX($B310:$D310,T$5)="F",AND(T$6&gt;0,$A310&lt;T$6),AND(T$7&gt;0,$A310&gt;T$7)),0,MAX(0,ROUND((INDEX($E310:$G310,T$5)-SUMIFS(TF_Timer,TF_Tekniker,T$4,TF_Dato,$A310))*2,0)/2)))</f>
        <v/>
      </c>
      <c r="U310">
        <f>IF(OR(U$4="",$A310&gt;TODAY()),0,IF(OR(INDEX($B310:$D310,U$5)="F",AND(U$6&gt;0,$A310&lt;U$6),AND(U$7&gt;0,$A310&gt;U$7)),0,MAX(0,ROUND((INDEX($E310:$G310,U$5)-SUMIFS(TF_Timer,TF_Tekniker,U$4,TF_Dato,$A310))*2,0)/2)))</f>
        <v/>
      </c>
      <c r="V310">
        <f>IF(OR(V$4="",$A310&gt;TODAY()),0,IF(OR(INDEX($B310:$D310,V$5)="F",AND(V$6&gt;0,$A310&lt;V$6),AND(V$7&gt;0,$A310&gt;V$7)),0,MAX(0,ROUND((INDEX($E310:$G310,V$5)-SUMIFS(TF_Timer,TF_Tekniker,V$4,TF_Dato,$A310))*2,0)/2)))</f>
        <v/>
      </c>
      <c r="W310">
        <f>IF(OR(W$4="",$A310&gt;TODAY()),0,IF(OR(INDEX($B310:$D310,W$5)="F",AND(W$6&gt;0,$A310&lt;W$6),AND(W$7&gt;0,$A310&gt;W$7)),0,MAX(0,ROUND((INDEX($E310:$G310,W$5)-SUMIFS(TF_Timer,TF_Tekniker,W$4,TF_Dato,$A310))*2,0)/2)))</f>
        <v/>
      </c>
      <c r="X310">
        <f>IF(OR(X$4="",$A310&gt;TODAY()),0,IF(OR(INDEX($B310:$D310,X$5)="F",AND(X$6&gt;0,$A310&lt;X$6),AND(X$7&gt;0,$A310&gt;X$7)),0,MAX(0,ROUND((INDEX($E310:$G310,X$5)-SUMIFS(TF_Timer,TF_Tekniker,X$4,TF_Dato,$A310))*2,0)/2)))</f>
        <v/>
      </c>
      <c r="Y310">
        <f>IF(OR(Y$4="",$A310&gt;TODAY()),0,IF(OR(INDEX($B310:$D310,Y$5)="F",AND(Y$6&gt;0,$A310&lt;Y$6),AND(Y$7&gt;0,$A310&gt;Y$7)),0,MAX(0,ROUND((INDEX($E310:$G310,Y$5)-SUMIFS(TF_Timer,TF_Tekniker,Y$4,TF_Dato,$A310))*2,0)/2)))</f>
        <v/>
      </c>
      <c r="Z310">
        <f>IF(OR(Z$4="",$A310&gt;TODAY()),0,IF(OR(INDEX($B310:$D310,Z$5)="F",AND(Z$6&gt;0,$A310&lt;Z$6),AND(Z$7&gt;0,$A310&gt;Z$7)),0,MAX(0,ROUND((INDEX($E310:$G310,Z$5)-SUMIFS(TF_Timer,TF_Tekniker,Z$4,TF_Dato,$A310))*2,0)/2)))</f>
        <v/>
      </c>
      <c r="AA310">
        <f>IF(OR(AA$4="",$A310&gt;TODAY()),0,IF(OR(INDEX($B310:$D310,AA$5)="F",AND(AA$6&gt;0,$A310&lt;AA$6),AND(AA$7&gt;0,$A310&gt;AA$7)),0,MAX(0,ROUND((INDEX($E310:$G310,AA$5)-SUMIFS(TF_Timer,TF_Tekniker,AA$4,TF_Dato,$A310))*2,0)/2)))</f>
        <v/>
      </c>
      <c r="AB310">
        <f>IF(OR(AB$4="",$A310&gt;TODAY()),0,IF(OR(INDEX($B310:$D310,AB$5)="F",AND(AB$6&gt;0,$A310&lt;AB$6),AND(AB$7&gt;0,$A310&gt;AB$7)),0,MAX(0,ROUND((INDEX($E310:$G310,AB$5)-SUMIFS(TF_Timer,TF_Tekniker,AB$4,TF_Dato,$A310))*2,0)/2)))</f>
        <v/>
      </c>
      <c r="AC310">
        <f>IF(OR(AC$4="",$A310&gt;TODAY()),0,IF(OR(INDEX($B310:$D310,AC$5)="F",AND(AC$6&gt;0,$A310&lt;AC$6),AND(AC$7&gt;0,$A310&gt;AC$7)),0,MAX(0,ROUND((INDEX($E310:$G310,AC$5)-SUMIFS(TF_Timer,TF_Tekniker,AC$4,TF_Dato,$A310))*2,0)/2)))</f>
        <v/>
      </c>
      <c r="AD310">
        <f>IF(OR(AD$4="",$A310&gt;TODAY()),0,IF(OR(INDEX($B310:$D310,AD$5)="F",AND(AD$6&gt;0,$A310&lt;AD$6),AND(AD$7&gt;0,$A310&gt;AD$7)),0,MAX(0,ROUND((INDEX($E310:$G310,AD$5)-SUMIFS(TF_Timer,TF_Tekniker,AD$4,TF_Dato,$A310))*2,0)/2)))</f>
        <v/>
      </c>
      <c r="AE310">
        <f>IF(OR(AE$4="",$A310&gt;TODAY()),0,IF(OR(INDEX($B310:$D310,AE$5)="F",AND(AE$6&gt;0,$A310&lt;AE$6),AND(AE$7&gt;0,$A310&gt;AE$7)),0,MAX(0,ROUND((INDEX($E310:$G310,AE$5)-SUMIFS(TF_Timer,TF_Tekniker,AE$4,TF_Dato,$A310))*2,0)/2)))</f>
        <v/>
      </c>
      <c r="AF310">
        <f>IF(OR(AF$4="",$A310&gt;TODAY()),0,IF(OR(INDEX($B310:$D310,AF$5)="F",AND(AF$6&gt;0,$A310&lt;AF$6),AND(AF$7&gt;0,$A310&gt;AF$7)),0,MAX(0,ROUND((INDEX($E310:$G310,AF$5)-SUMIFS(TF_Timer,TF_Tekniker,AF$4,TF_Dato,$A310))*2,0)/2)))</f>
        <v/>
      </c>
      <c r="AG310">
        <f>IF(OR(AG$4="",$A310&gt;TODAY()),0,IF(OR(INDEX($B310:$D310,AG$5)="F",AND(AG$6&gt;0,$A310&lt;AG$6),AND(AG$7&gt;0,$A310&gt;AG$7)),0,MAX(0,ROUND((INDEX($E310:$G310,AG$5)-SUMIFS(TF_Timer,TF_Tekniker,AG$4,TF_Dato,$A310))*2,0)/2)))</f>
        <v/>
      </c>
      <c r="AH310">
        <f>IF(OR(AH$4="",$A310&gt;TODAY()),0,IF(OR(INDEX($B310:$D310,AH$5)="F",AND(AH$6&gt;0,$A310&lt;AH$6),AND(AH$7&gt;0,$A310&gt;AH$7)),0,MAX(0,ROUND((INDEX($E310:$G310,AH$5)-SUMIFS(TF_Timer,TF_Tekniker,AH$4,TF_Dato,$A310))*2,0)/2)))</f>
        <v/>
      </c>
      <c r="AI310">
        <f>IF(OR(AI$4="",$A310&gt;TODAY()),0,IF(OR(INDEX($B310:$D310,AI$5)="F",AND(AI$6&gt;0,$A310&lt;AI$6),AND(AI$7&gt;0,$A310&gt;AI$7)),0,MAX(0,ROUND((INDEX($E310:$G310,AI$5)-SUMIFS(TF_Timer,TF_Tekniker,AI$4,TF_Dato,$A310))*2,0)/2)))</f>
        <v/>
      </c>
      <c r="AJ310">
        <f>IF(OR(AJ$4="",$A310&gt;TODAY()),0,IF(OR(INDEX($B310:$D310,AJ$5)="F",AND(AJ$6&gt;0,$A310&lt;AJ$6),AND(AJ$7&gt;0,$A310&gt;AJ$7)),0,MAX(0,ROUND((INDEX($E310:$G310,AJ$5)-SUMIFS(TF_Timer,TF_Tekniker,AJ$4,TF_Dato,$A310))*2,0)/2)))</f>
        <v/>
      </c>
      <c r="AK310">
        <f>IF(OR(AK$4="",$A310&gt;TODAY()),0,IF(OR(INDEX($B310:$D310,AK$5)="F",AND(AK$6&gt;0,$A310&lt;AK$6),AND(AK$7&gt;0,$A310&gt;AK$7)),0,MAX(0,ROUND((INDEX($E310:$G310,AK$5)-SUMIFS(TF_Timer,TF_Tekniker,AK$4,TF_Dato,$A310))*2,0)/2)))</f>
        <v/>
      </c>
      <c r="AL310">
        <f>IF(OR(AL$4="",$A310&gt;TODAY()),0,IF(OR(INDEX($B310:$D310,AL$5)="F",AND(AL$6&gt;0,$A310&lt;AL$6),AND(AL$7&gt;0,$A310&gt;AL$7)),0,MAX(0,ROUND((INDEX($E310:$G310,AL$5)-SUMIFS(TF_Timer,TF_Tekniker,AL$4,TF_Dato,$A310))*2,0)/2)))</f>
        <v/>
      </c>
      <c r="AM310">
        <f>IF(OR(AM$4="",$A310&gt;TODAY()),0,IF(OR(INDEX($B310:$D310,AM$5)="F",AND(AM$6&gt;0,$A310&lt;AM$6),AND(AM$7&gt;0,$A310&gt;AM$7)),0,MAX(0,ROUND((INDEX($E310:$G310,AM$5)-SUMIFS(TF_Timer,TF_Tekniker,AM$4,TF_Dato,$A310))*2,0)/2)))</f>
        <v/>
      </c>
      <c r="AN310">
        <f>IF(OR(AN$4="",$A310&gt;TODAY()),0,IF(OR(INDEX($B310:$D310,AN$5)="F",AND(AN$6&gt;0,$A310&lt;AN$6),AND(AN$7&gt;0,$A310&gt;AN$7)),0,MAX(0,ROUND((INDEX($E310:$G310,AN$5)-SUMIFS(TF_Timer,TF_Tekniker,AN$4,TF_Dato,$A310))*2,0)/2)))</f>
        <v/>
      </c>
      <c r="AO310">
        <f>IF(OR(AO$4="",$A310&gt;TODAY()),0,IF(OR(INDEX($B310:$D310,AO$5)="F",AND(AO$6&gt;0,$A310&lt;AO$6),AND(AO$7&gt;0,$A310&gt;AO$7)),0,MAX(0,ROUND((INDEX($E310:$G310,AO$5)-SUMIFS(TF_Timer,TF_Tekniker,AO$4,TF_Dato,$A310))*2,0)/2)))</f>
        <v/>
      </c>
      <c r="AP310">
        <f>IF(OR(AP$4="",$A310&gt;TODAY()),0,IF(OR(INDEX($B310:$D310,AP$5)="F",AND(AP$6&gt;0,$A310&lt;AP$6),AND(AP$7&gt;0,$A310&gt;AP$7)),0,MAX(0,ROUND((INDEX($E310:$G310,AP$5)-SUMIFS(TF_Timer,TF_Tekniker,AP$4,TF_Dato,$A310))*2,0)/2)))</f>
        <v/>
      </c>
      <c r="AQ310">
        <f>IF(OR(AQ$4="",$A310&gt;TODAY()),0,IF(OR(INDEX($B310:$D310,AQ$5)="F",AND(AQ$6&gt;0,$A310&lt;AQ$6),AND(AQ$7&gt;0,$A310&gt;AQ$7)),0,MAX(0,ROUND((INDEX($E310:$G310,AQ$5)-SUMIFS(TF_Timer,TF_Tekniker,AQ$4,TF_Dato,$A310))*2,0)/2)))</f>
        <v/>
      </c>
      <c r="AR310">
        <f>IF(OR(AR$4="",$A310&gt;TODAY()),0,IF(OR(INDEX($B310:$D310,AR$5)="F",AND(AR$6&gt;0,$A310&lt;AR$6),AND(AR$7&gt;0,$A310&gt;AR$7)),0,MAX(0,ROUND((INDEX($E310:$G310,AR$5)-SUMIFS(TF_Timer,TF_Tekniker,AR$4,TF_Dato,$A310))*2,0)/2)))</f>
        <v/>
      </c>
      <c r="AS310">
        <f>IF(OR(AS$4="",$A310&gt;TODAY()),0,IF(OR(INDEX($B310:$D310,AS$5)="F",AND(AS$6&gt;0,$A310&lt;AS$6),AND(AS$7&gt;0,$A310&gt;AS$7)),0,MAX(0,ROUND((INDEX($E310:$G310,AS$5)-SUMIFS(TF_Timer,TF_Tekniker,AS$4,TF_Dato,$A310))*2,0)/2)))</f>
        <v/>
      </c>
      <c r="AT310">
        <f>IF(OR(AT$4="",$A310&gt;TODAY()),0,IF(OR(INDEX($B310:$D310,AT$5)="F",AND(AT$6&gt;0,$A310&lt;AT$6),AND(AT$7&gt;0,$A310&gt;AT$7)),0,MAX(0,ROUND((INDEX($E310:$G310,AT$5)-SUMIFS(TF_Timer,TF_Tekniker,AT$4,TF_Dato,$A310))*2,0)/2)))</f>
        <v/>
      </c>
      <c r="AU310">
        <f>IF(OR(AU$4="",$A310&gt;TODAY()),0,IF(OR(INDEX($B310:$D310,AU$5)="F",AND(AU$6&gt;0,$A310&lt;AU$6),AND(AU$7&gt;0,$A310&gt;AU$7)),0,MAX(0,ROUND((INDEX($E310:$G310,AU$5)-SUMIFS(TF_Timer,TF_Tekniker,AU$4,TF_Dato,$A310))*2,0)/2)))</f>
        <v/>
      </c>
      <c r="AV310">
        <f>IF(OR(AV$4="",$A310&gt;TODAY()),0,IF(OR(INDEX($B310:$D310,AV$5)="F",AND(AV$6&gt;0,$A310&lt;AV$6),AND(AV$7&gt;0,$A310&gt;AV$7)),0,MAX(0,ROUND((INDEX($E310:$G310,AV$5)-SUMIFS(TF_Timer,TF_Tekniker,AV$4,TF_Dato,$A310))*2,0)/2)))</f>
        <v/>
      </c>
      <c r="AW310">
        <f>IF(OR(AW$4="",$A310&gt;TODAY()),0,IF(OR(INDEX($B310:$D310,AW$5)="F",AND(AW$6&gt;0,$A310&lt;AW$6),AND(AW$7&gt;0,$A310&gt;AW$7)),0,MAX(0,ROUND((INDEX($E310:$G310,AW$5)-SUMIFS(TF_Timer,TF_Tekniker,AW$4,TF_Dato,$A310))*2,0)/2)))</f>
        <v/>
      </c>
      <c r="AX310">
        <f>IF(OR(AX$4="",$A310&gt;TODAY()),0,IF(OR(INDEX($B310:$D310,AX$5)="F",AND(AX$6&gt;0,$A310&lt;AX$6),AND(AX$7&gt;0,$A310&gt;AX$7)),0,MAX(0,ROUND((INDEX($E310:$G310,AX$5)-SUMIFS(TF_Timer,TF_Tekniker,AX$4,TF_Dato,$A310))*2,0)/2)))</f>
        <v/>
      </c>
      <c r="AY310">
        <f>IF(OR(AY$4="",$A310&gt;TODAY()),0,IF(OR(INDEX($B310:$D310,AY$5)="F",AND(AY$6&gt;0,$A310&lt;AY$6),AND(AY$7&gt;0,$A310&gt;AY$7)),0,MAX(0,ROUND((INDEX($E310:$G310,AY$5)-SUMIFS(TF_Timer,TF_Tekniker,AY$4,TF_Dato,$A310))*2,0)/2)))</f>
        <v/>
      </c>
      <c r="AZ310">
        <f>IF(OR(AZ$4="",$A310&gt;TODAY()),0,IF(OR(INDEX($B310:$D310,AZ$5)="F",AND(AZ$6&gt;0,$A310&lt;AZ$6),AND(AZ$7&gt;0,$A310&gt;AZ$7)),0,MAX(0,ROUND((INDEX($E310:$G310,AZ$5)-SUMIFS(TF_Timer,TF_Tekniker,AZ$4,TF_Dato,$A310))*2,0)/2)))</f>
        <v/>
      </c>
      <c r="BA310">
        <f>IF(OR(BA$4="",$A310&gt;TODAY()),0,IF(OR(INDEX($B310:$D310,BA$5)="F",AND(BA$6&gt;0,$A310&lt;BA$6),AND(BA$7&gt;0,$A310&gt;BA$7)),0,MAX(0,ROUND((INDEX($E310:$G310,BA$5)-SUMIFS(TF_Timer,TF_Tekniker,BA$4,TF_Dato,$A310))*2,0)/2)))</f>
        <v/>
      </c>
      <c r="BB310">
        <f>IF(OR(BB$4="",$A310&gt;TODAY()),0,IF(OR(INDEX($B310:$D310,BB$5)="F",AND(BB$6&gt;0,$A310&lt;BB$6),AND(BB$7&gt;0,$A310&gt;BB$7)),0,MAX(0,ROUND((INDEX($E310:$G310,BB$5)-SUMIFS(TF_Timer,TF_Tekniker,BB$4,TF_Dato,$A310))*2,0)/2)))</f>
        <v/>
      </c>
      <c r="BC310">
        <f>IF(OR(BC$4="",$A310&gt;TODAY()),0,IF(OR(INDEX($B310:$D310,BC$5)="F",AND(BC$6&gt;0,$A310&lt;BC$6),AND(BC$7&gt;0,$A310&gt;BC$7)),0,MAX(0,ROUND((INDEX($E310:$G310,BC$5)-SUMIFS(TF_Timer,TF_Tekniker,BC$4,TF_Dato,$A310))*2,0)/2)))</f>
        <v/>
      </c>
      <c r="BD310">
        <f>IF(OR(BD$4="",$A310&gt;TODAY()),0,IF(OR(INDEX($B310:$D310,BD$5)="F",AND(BD$6&gt;0,$A310&lt;BD$6),AND(BD$7&gt;0,$A310&gt;BD$7)),0,MAX(0,ROUND((INDEX($E310:$G310,BD$5)-SUMIFS(TF_Timer,TF_Tekniker,BD$4,TF_Dato,$A310))*2,0)/2)))</f>
        <v/>
      </c>
      <c r="BE310">
        <f>IF(OR(BE$4="",$A310&gt;TODAY()),0,IF(OR(INDEX($B310:$D310,BE$5)="F",AND(BE$6&gt;0,$A310&lt;BE$6),AND(BE$7&gt;0,$A310&gt;BE$7)),0,MAX(0,ROUND((INDEX($E310:$G310,BE$5)-SUMIFS(TF_Timer,TF_Tekniker,BE$4,TF_Dato,$A310))*2,0)/2)))</f>
        <v/>
      </c>
      <c r="BF310">
        <f>IF(OR(BF$4="",$A310&gt;TODAY()),0,IF(OR(INDEX($B310:$D310,BF$5)="F",AND(BF$6&gt;0,$A310&lt;BF$6),AND(BF$7&gt;0,$A310&gt;BF$7)),0,MAX(0,ROUND((INDEX($E310:$G310,BF$5)-SUMIFS(TF_Timer,TF_Tekniker,BF$4,TF_Dato,$A310))*2,0)/2)))</f>
        <v/>
      </c>
      <c r="BG310">
        <f>IF(OR(BG$4="",$A310&gt;TODAY()),0,IF(OR(INDEX($B310:$D310,BG$5)="F",AND(BG$6&gt;0,$A310&lt;BG$6),AND(BG$7&gt;0,$A310&gt;BG$7)),0,MAX(0,ROUND((INDEX($E310:$G310,BG$5)-SUMIFS(TF_Timer,TF_Tekniker,BG$4,TF_Dato,$A310))*2,0)/2)))</f>
        <v/>
      </c>
      <c r="BH310">
        <f>IF(OR(BH$4="",$A310&gt;TODAY()),0,IF(OR(INDEX($B310:$D310,BH$5)="F",AND(BH$6&gt;0,$A310&lt;BH$6),AND(BH$7&gt;0,$A310&gt;BH$7)),0,MAX(0,ROUND((INDEX($E310:$G310,BH$5)-SUMIFS(TF_Timer,TF_Tekniker,BH$4,TF_Dato,$A310))*2,0)/2)))</f>
        <v/>
      </c>
      <c r="BI310">
        <f>IF(OR(BI$4="",$A310&gt;TODAY()),0,IF(OR(INDEX($B310:$D310,BI$5)="F",AND(BI$6&gt;0,$A310&lt;BI$6),AND(BI$7&gt;0,$A310&gt;BI$7)),0,MAX(0,ROUND((INDEX($E310:$G310,BI$5)-SUMIFS(TF_Timer,TF_Tekniker,BI$4,TF_Dato,$A310))*2,0)/2)))</f>
        <v/>
      </c>
    </row>
    <row r="311">
      <c r="A311" s="64">
        <f>A310+1</f>
        <v/>
      </c>
      <c r="B311">
        <f>IF(MOD($A311-INDEX(SkiftStart,1),Syklus)&lt;DagK,"K",IF(MOD($A311-INDEX(SkiftStart,1),Syklus)&lt;DagK+DagH,"H",IF(MOD($A311-INDEX(SkiftStart,1),Syklus)&lt;DagK+DagH+DagD,"D","F")))</f>
        <v/>
      </c>
      <c r="C311">
        <f>IF(MOD($A311-INDEX(SkiftStart,2),Syklus)&lt;DagK,"K",IF(MOD($A311-INDEX(SkiftStart,2),Syklus)&lt;DagK+DagH,"H",IF(MOD($A311-INDEX(SkiftStart,2),Syklus)&lt;DagK+DagH+DagD,"D","F")))</f>
        <v/>
      </c>
      <c r="D311">
        <f>IF(MOD($A311-INDEX(SkiftStart,3),Syklus)&lt;DagK,"K",IF(MOD($A311-INDEX(SkiftStart,3),Syklus)&lt;DagK+DagH,"H",IF(MOD($A311-INDEX(SkiftStart,3),Syklus)&lt;DagK+DagH+DagD,"D","F")))</f>
        <v/>
      </c>
      <c r="E311">
        <f>IF(B311="F",0,IF(WEEKDAY($A311,2)=5,INDEX(TimerFr,MATCH(B311,FaseKode,0)),INDEX(TimerMT,MATCH(B311,FaseKode,0))))</f>
        <v/>
      </c>
      <c r="F311">
        <f>IF(C311="F",0,IF(WEEKDAY($A311,2)=5,INDEX(TimerFr,MATCH(C311,FaseKode,0)),INDEX(TimerMT,MATCH(C311,FaseKode,0))))</f>
        <v/>
      </c>
      <c r="G311">
        <f>IF(D311="F",0,IF(WEEKDAY($A311,2)=5,INDEX(TimerFr,MATCH(D311,FaseKode,0)),INDEX(TimerMT,MATCH(D311,FaseKode,0))))</f>
        <v/>
      </c>
      <c r="H311">
        <f>IF(OR(H$4="",$A311&gt;TODAY()),0,IF(OR(INDEX($B311:$D311,H$5)="F",AND(H$6&gt;0,$A311&lt;H$6),AND(H$7&gt;0,$A311&gt;H$7)),0,MAX(0,ROUND((INDEX($E311:$G311,H$5)-SUMIFS(TF_Timer,TF_Tekniker,H$4,TF_Dato,$A311))*2,0)/2)))</f>
        <v/>
      </c>
      <c r="I311">
        <f>IF(OR(I$4="",$A311&gt;TODAY()),0,IF(OR(INDEX($B311:$D311,I$5)="F",AND(I$6&gt;0,$A311&lt;I$6),AND(I$7&gt;0,$A311&gt;I$7)),0,MAX(0,ROUND((INDEX($E311:$G311,I$5)-SUMIFS(TF_Timer,TF_Tekniker,I$4,TF_Dato,$A311))*2,0)/2)))</f>
        <v/>
      </c>
      <c r="J311">
        <f>IF(OR(J$4="",$A311&gt;TODAY()),0,IF(OR(INDEX($B311:$D311,J$5)="F",AND(J$6&gt;0,$A311&lt;J$6),AND(J$7&gt;0,$A311&gt;J$7)),0,MAX(0,ROUND((INDEX($E311:$G311,J$5)-SUMIFS(TF_Timer,TF_Tekniker,J$4,TF_Dato,$A311))*2,0)/2)))</f>
        <v/>
      </c>
      <c r="K311">
        <f>IF(OR(K$4="",$A311&gt;TODAY()),0,IF(OR(INDEX($B311:$D311,K$5)="F",AND(K$6&gt;0,$A311&lt;K$6),AND(K$7&gt;0,$A311&gt;K$7)),0,MAX(0,ROUND((INDEX($E311:$G311,K$5)-SUMIFS(TF_Timer,TF_Tekniker,K$4,TF_Dato,$A311))*2,0)/2)))</f>
        <v/>
      </c>
      <c r="L311">
        <f>IF(OR(L$4="",$A311&gt;TODAY()),0,IF(OR(INDEX($B311:$D311,L$5)="F",AND(L$6&gt;0,$A311&lt;L$6),AND(L$7&gt;0,$A311&gt;L$7)),0,MAX(0,ROUND((INDEX($E311:$G311,L$5)-SUMIFS(TF_Timer,TF_Tekniker,L$4,TF_Dato,$A311))*2,0)/2)))</f>
        <v/>
      </c>
      <c r="M311">
        <f>IF(OR(M$4="",$A311&gt;TODAY()),0,IF(OR(INDEX($B311:$D311,M$5)="F",AND(M$6&gt;0,$A311&lt;M$6),AND(M$7&gt;0,$A311&gt;M$7)),0,MAX(0,ROUND((INDEX($E311:$G311,M$5)-SUMIFS(TF_Timer,TF_Tekniker,M$4,TF_Dato,$A311))*2,0)/2)))</f>
        <v/>
      </c>
      <c r="N311">
        <f>IF(OR(N$4="",$A311&gt;TODAY()),0,IF(OR(INDEX($B311:$D311,N$5)="F",AND(N$6&gt;0,$A311&lt;N$6),AND(N$7&gt;0,$A311&gt;N$7)),0,MAX(0,ROUND((INDEX($E311:$G311,N$5)-SUMIFS(TF_Timer,TF_Tekniker,N$4,TF_Dato,$A311))*2,0)/2)))</f>
        <v/>
      </c>
      <c r="O311">
        <f>IF(OR(O$4="",$A311&gt;TODAY()),0,IF(OR(INDEX($B311:$D311,O$5)="F",AND(O$6&gt;0,$A311&lt;O$6),AND(O$7&gt;0,$A311&gt;O$7)),0,MAX(0,ROUND((INDEX($E311:$G311,O$5)-SUMIFS(TF_Timer,TF_Tekniker,O$4,TF_Dato,$A311))*2,0)/2)))</f>
        <v/>
      </c>
      <c r="P311">
        <f>IF(OR(P$4="",$A311&gt;TODAY()),0,IF(OR(INDEX($B311:$D311,P$5)="F",AND(P$6&gt;0,$A311&lt;P$6),AND(P$7&gt;0,$A311&gt;P$7)),0,MAX(0,ROUND((INDEX($E311:$G311,P$5)-SUMIFS(TF_Timer,TF_Tekniker,P$4,TF_Dato,$A311))*2,0)/2)))</f>
        <v/>
      </c>
      <c r="Q311">
        <f>IF(OR(Q$4="",$A311&gt;TODAY()),0,IF(OR(INDEX($B311:$D311,Q$5)="F",AND(Q$6&gt;0,$A311&lt;Q$6),AND(Q$7&gt;0,$A311&gt;Q$7)),0,MAX(0,ROUND((INDEX($E311:$G311,Q$5)-SUMIFS(TF_Timer,TF_Tekniker,Q$4,TF_Dato,$A311))*2,0)/2)))</f>
        <v/>
      </c>
      <c r="R311">
        <f>IF(OR(R$4="",$A311&gt;TODAY()),0,IF(OR(INDEX($B311:$D311,R$5)="F",AND(R$6&gt;0,$A311&lt;R$6),AND(R$7&gt;0,$A311&gt;R$7)),0,MAX(0,ROUND((INDEX($E311:$G311,R$5)-SUMIFS(TF_Timer,TF_Tekniker,R$4,TF_Dato,$A311))*2,0)/2)))</f>
        <v/>
      </c>
      <c r="S311">
        <f>IF(OR(S$4="",$A311&gt;TODAY()),0,IF(OR(INDEX($B311:$D311,S$5)="F",AND(S$6&gt;0,$A311&lt;S$6),AND(S$7&gt;0,$A311&gt;S$7)),0,MAX(0,ROUND((INDEX($E311:$G311,S$5)-SUMIFS(TF_Timer,TF_Tekniker,S$4,TF_Dato,$A311))*2,0)/2)))</f>
        <v/>
      </c>
      <c r="T311">
        <f>IF(OR(T$4="",$A311&gt;TODAY()),0,IF(OR(INDEX($B311:$D311,T$5)="F",AND(T$6&gt;0,$A311&lt;T$6),AND(T$7&gt;0,$A311&gt;T$7)),0,MAX(0,ROUND((INDEX($E311:$G311,T$5)-SUMIFS(TF_Timer,TF_Tekniker,T$4,TF_Dato,$A311))*2,0)/2)))</f>
        <v/>
      </c>
      <c r="U311">
        <f>IF(OR(U$4="",$A311&gt;TODAY()),0,IF(OR(INDEX($B311:$D311,U$5)="F",AND(U$6&gt;0,$A311&lt;U$6),AND(U$7&gt;0,$A311&gt;U$7)),0,MAX(0,ROUND((INDEX($E311:$G311,U$5)-SUMIFS(TF_Timer,TF_Tekniker,U$4,TF_Dato,$A311))*2,0)/2)))</f>
        <v/>
      </c>
      <c r="V311">
        <f>IF(OR(V$4="",$A311&gt;TODAY()),0,IF(OR(INDEX($B311:$D311,V$5)="F",AND(V$6&gt;0,$A311&lt;V$6),AND(V$7&gt;0,$A311&gt;V$7)),0,MAX(0,ROUND((INDEX($E311:$G311,V$5)-SUMIFS(TF_Timer,TF_Tekniker,V$4,TF_Dato,$A311))*2,0)/2)))</f>
        <v/>
      </c>
      <c r="W311">
        <f>IF(OR(W$4="",$A311&gt;TODAY()),0,IF(OR(INDEX($B311:$D311,W$5)="F",AND(W$6&gt;0,$A311&lt;W$6),AND(W$7&gt;0,$A311&gt;W$7)),0,MAX(0,ROUND((INDEX($E311:$G311,W$5)-SUMIFS(TF_Timer,TF_Tekniker,W$4,TF_Dato,$A311))*2,0)/2)))</f>
        <v/>
      </c>
      <c r="X311">
        <f>IF(OR(X$4="",$A311&gt;TODAY()),0,IF(OR(INDEX($B311:$D311,X$5)="F",AND(X$6&gt;0,$A311&lt;X$6),AND(X$7&gt;0,$A311&gt;X$7)),0,MAX(0,ROUND((INDEX($E311:$G311,X$5)-SUMIFS(TF_Timer,TF_Tekniker,X$4,TF_Dato,$A311))*2,0)/2)))</f>
        <v/>
      </c>
      <c r="Y311">
        <f>IF(OR(Y$4="",$A311&gt;TODAY()),0,IF(OR(INDEX($B311:$D311,Y$5)="F",AND(Y$6&gt;0,$A311&lt;Y$6),AND(Y$7&gt;0,$A311&gt;Y$7)),0,MAX(0,ROUND((INDEX($E311:$G311,Y$5)-SUMIFS(TF_Timer,TF_Tekniker,Y$4,TF_Dato,$A311))*2,0)/2)))</f>
        <v/>
      </c>
      <c r="Z311">
        <f>IF(OR(Z$4="",$A311&gt;TODAY()),0,IF(OR(INDEX($B311:$D311,Z$5)="F",AND(Z$6&gt;0,$A311&lt;Z$6),AND(Z$7&gt;0,$A311&gt;Z$7)),0,MAX(0,ROUND((INDEX($E311:$G311,Z$5)-SUMIFS(TF_Timer,TF_Tekniker,Z$4,TF_Dato,$A311))*2,0)/2)))</f>
        <v/>
      </c>
      <c r="AA311">
        <f>IF(OR(AA$4="",$A311&gt;TODAY()),0,IF(OR(INDEX($B311:$D311,AA$5)="F",AND(AA$6&gt;0,$A311&lt;AA$6),AND(AA$7&gt;0,$A311&gt;AA$7)),0,MAX(0,ROUND((INDEX($E311:$G311,AA$5)-SUMIFS(TF_Timer,TF_Tekniker,AA$4,TF_Dato,$A311))*2,0)/2)))</f>
        <v/>
      </c>
      <c r="AB311">
        <f>IF(OR(AB$4="",$A311&gt;TODAY()),0,IF(OR(INDEX($B311:$D311,AB$5)="F",AND(AB$6&gt;0,$A311&lt;AB$6),AND(AB$7&gt;0,$A311&gt;AB$7)),0,MAX(0,ROUND((INDEX($E311:$G311,AB$5)-SUMIFS(TF_Timer,TF_Tekniker,AB$4,TF_Dato,$A311))*2,0)/2)))</f>
        <v/>
      </c>
      <c r="AC311">
        <f>IF(OR(AC$4="",$A311&gt;TODAY()),0,IF(OR(INDEX($B311:$D311,AC$5)="F",AND(AC$6&gt;0,$A311&lt;AC$6),AND(AC$7&gt;0,$A311&gt;AC$7)),0,MAX(0,ROUND((INDEX($E311:$G311,AC$5)-SUMIFS(TF_Timer,TF_Tekniker,AC$4,TF_Dato,$A311))*2,0)/2)))</f>
        <v/>
      </c>
      <c r="AD311">
        <f>IF(OR(AD$4="",$A311&gt;TODAY()),0,IF(OR(INDEX($B311:$D311,AD$5)="F",AND(AD$6&gt;0,$A311&lt;AD$6),AND(AD$7&gt;0,$A311&gt;AD$7)),0,MAX(0,ROUND((INDEX($E311:$G311,AD$5)-SUMIFS(TF_Timer,TF_Tekniker,AD$4,TF_Dato,$A311))*2,0)/2)))</f>
        <v/>
      </c>
      <c r="AE311">
        <f>IF(OR(AE$4="",$A311&gt;TODAY()),0,IF(OR(INDEX($B311:$D311,AE$5)="F",AND(AE$6&gt;0,$A311&lt;AE$6),AND(AE$7&gt;0,$A311&gt;AE$7)),0,MAX(0,ROUND((INDEX($E311:$G311,AE$5)-SUMIFS(TF_Timer,TF_Tekniker,AE$4,TF_Dato,$A311))*2,0)/2)))</f>
        <v/>
      </c>
      <c r="AF311">
        <f>IF(OR(AF$4="",$A311&gt;TODAY()),0,IF(OR(INDEX($B311:$D311,AF$5)="F",AND(AF$6&gt;0,$A311&lt;AF$6),AND(AF$7&gt;0,$A311&gt;AF$7)),0,MAX(0,ROUND((INDEX($E311:$G311,AF$5)-SUMIFS(TF_Timer,TF_Tekniker,AF$4,TF_Dato,$A311))*2,0)/2)))</f>
        <v/>
      </c>
      <c r="AG311">
        <f>IF(OR(AG$4="",$A311&gt;TODAY()),0,IF(OR(INDEX($B311:$D311,AG$5)="F",AND(AG$6&gt;0,$A311&lt;AG$6),AND(AG$7&gt;0,$A311&gt;AG$7)),0,MAX(0,ROUND((INDEX($E311:$G311,AG$5)-SUMIFS(TF_Timer,TF_Tekniker,AG$4,TF_Dato,$A311))*2,0)/2)))</f>
        <v/>
      </c>
      <c r="AH311">
        <f>IF(OR(AH$4="",$A311&gt;TODAY()),0,IF(OR(INDEX($B311:$D311,AH$5)="F",AND(AH$6&gt;0,$A311&lt;AH$6),AND(AH$7&gt;0,$A311&gt;AH$7)),0,MAX(0,ROUND((INDEX($E311:$G311,AH$5)-SUMIFS(TF_Timer,TF_Tekniker,AH$4,TF_Dato,$A311))*2,0)/2)))</f>
        <v/>
      </c>
      <c r="AI311">
        <f>IF(OR(AI$4="",$A311&gt;TODAY()),0,IF(OR(INDEX($B311:$D311,AI$5)="F",AND(AI$6&gt;0,$A311&lt;AI$6),AND(AI$7&gt;0,$A311&gt;AI$7)),0,MAX(0,ROUND((INDEX($E311:$G311,AI$5)-SUMIFS(TF_Timer,TF_Tekniker,AI$4,TF_Dato,$A311))*2,0)/2)))</f>
        <v/>
      </c>
      <c r="AJ311">
        <f>IF(OR(AJ$4="",$A311&gt;TODAY()),0,IF(OR(INDEX($B311:$D311,AJ$5)="F",AND(AJ$6&gt;0,$A311&lt;AJ$6),AND(AJ$7&gt;0,$A311&gt;AJ$7)),0,MAX(0,ROUND((INDEX($E311:$G311,AJ$5)-SUMIFS(TF_Timer,TF_Tekniker,AJ$4,TF_Dato,$A311))*2,0)/2)))</f>
        <v/>
      </c>
      <c r="AK311">
        <f>IF(OR(AK$4="",$A311&gt;TODAY()),0,IF(OR(INDEX($B311:$D311,AK$5)="F",AND(AK$6&gt;0,$A311&lt;AK$6),AND(AK$7&gt;0,$A311&gt;AK$7)),0,MAX(0,ROUND((INDEX($E311:$G311,AK$5)-SUMIFS(TF_Timer,TF_Tekniker,AK$4,TF_Dato,$A311))*2,0)/2)))</f>
        <v/>
      </c>
      <c r="AL311">
        <f>IF(OR(AL$4="",$A311&gt;TODAY()),0,IF(OR(INDEX($B311:$D311,AL$5)="F",AND(AL$6&gt;0,$A311&lt;AL$6),AND(AL$7&gt;0,$A311&gt;AL$7)),0,MAX(0,ROUND((INDEX($E311:$G311,AL$5)-SUMIFS(TF_Timer,TF_Tekniker,AL$4,TF_Dato,$A311))*2,0)/2)))</f>
        <v/>
      </c>
      <c r="AM311">
        <f>IF(OR(AM$4="",$A311&gt;TODAY()),0,IF(OR(INDEX($B311:$D311,AM$5)="F",AND(AM$6&gt;0,$A311&lt;AM$6),AND(AM$7&gt;0,$A311&gt;AM$7)),0,MAX(0,ROUND((INDEX($E311:$G311,AM$5)-SUMIFS(TF_Timer,TF_Tekniker,AM$4,TF_Dato,$A311))*2,0)/2)))</f>
        <v/>
      </c>
      <c r="AN311">
        <f>IF(OR(AN$4="",$A311&gt;TODAY()),0,IF(OR(INDEX($B311:$D311,AN$5)="F",AND(AN$6&gt;0,$A311&lt;AN$6),AND(AN$7&gt;0,$A311&gt;AN$7)),0,MAX(0,ROUND((INDEX($E311:$G311,AN$5)-SUMIFS(TF_Timer,TF_Tekniker,AN$4,TF_Dato,$A311))*2,0)/2)))</f>
        <v/>
      </c>
      <c r="AO311">
        <f>IF(OR(AO$4="",$A311&gt;TODAY()),0,IF(OR(INDEX($B311:$D311,AO$5)="F",AND(AO$6&gt;0,$A311&lt;AO$6),AND(AO$7&gt;0,$A311&gt;AO$7)),0,MAX(0,ROUND((INDEX($E311:$G311,AO$5)-SUMIFS(TF_Timer,TF_Tekniker,AO$4,TF_Dato,$A311))*2,0)/2)))</f>
        <v/>
      </c>
      <c r="AP311">
        <f>IF(OR(AP$4="",$A311&gt;TODAY()),0,IF(OR(INDEX($B311:$D311,AP$5)="F",AND(AP$6&gt;0,$A311&lt;AP$6),AND(AP$7&gt;0,$A311&gt;AP$7)),0,MAX(0,ROUND((INDEX($E311:$G311,AP$5)-SUMIFS(TF_Timer,TF_Tekniker,AP$4,TF_Dato,$A311))*2,0)/2)))</f>
        <v/>
      </c>
      <c r="AQ311">
        <f>IF(OR(AQ$4="",$A311&gt;TODAY()),0,IF(OR(INDEX($B311:$D311,AQ$5)="F",AND(AQ$6&gt;0,$A311&lt;AQ$6),AND(AQ$7&gt;0,$A311&gt;AQ$7)),0,MAX(0,ROUND((INDEX($E311:$G311,AQ$5)-SUMIFS(TF_Timer,TF_Tekniker,AQ$4,TF_Dato,$A311))*2,0)/2)))</f>
        <v/>
      </c>
      <c r="AR311">
        <f>IF(OR(AR$4="",$A311&gt;TODAY()),0,IF(OR(INDEX($B311:$D311,AR$5)="F",AND(AR$6&gt;0,$A311&lt;AR$6),AND(AR$7&gt;0,$A311&gt;AR$7)),0,MAX(0,ROUND((INDEX($E311:$G311,AR$5)-SUMIFS(TF_Timer,TF_Tekniker,AR$4,TF_Dato,$A311))*2,0)/2)))</f>
        <v/>
      </c>
      <c r="AS311">
        <f>IF(OR(AS$4="",$A311&gt;TODAY()),0,IF(OR(INDEX($B311:$D311,AS$5)="F",AND(AS$6&gt;0,$A311&lt;AS$6),AND(AS$7&gt;0,$A311&gt;AS$7)),0,MAX(0,ROUND((INDEX($E311:$G311,AS$5)-SUMIFS(TF_Timer,TF_Tekniker,AS$4,TF_Dato,$A311))*2,0)/2)))</f>
        <v/>
      </c>
      <c r="AT311">
        <f>IF(OR(AT$4="",$A311&gt;TODAY()),0,IF(OR(INDEX($B311:$D311,AT$5)="F",AND(AT$6&gt;0,$A311&lt;AT$6),AND(AT$7&gt;0,$A311&gt;AT$7)),0,MAX(0,ROUND((INDEX($E311:$G311,AT$5)-SUMIFS(TF_Timer,TF_Tekniker,AT$4,TF_Dato,$A311))*2,0)/2)))</f>
        <v/>
      </c>
      <c r="AU311">
        <f>IF(OR(AU$4="",$A311&gt;TODAY()),0,IF(OR(INDEX($B311:$D311,AU$5)="F",AND(AU$6&gt;0,$A311&lt;AU$6),AND(AU$7&gt;0,$A311&gt;AU$7)),0,MAX(0,ROUND((INDEX($E311:$G311,AU$5)-SUMIFS(TF_Timer,TF_Tekniker,AU$4,TF_Dato,$A311))*2,0)/2)))</f>
        <v/>
      </c>
      <c r="AV311">
        <f>IF(OR(AV$4="",$A311&gt;TODAY()),0,IF(OR(INDEX($B311:$D311,AV$5)="F",AND(AV$6&gt;0,$A311&lt;AV$6),AND(AV$7&gt;0,$A311&gt;AV$7)),0,MAX(0,ROUND((INDEX($E311:$G311,AV$5)-SUMIFS(TF_Timer,TF_Tekniker,AV$4,TF_Dato,$A311))*2,0)/2)))</f>
        <v/>
      </c>
      <c r="AW311">
        <f>IF(OR(AW$4="",$A311&gt;TODAY()),0,IF(OR(INDEX($B311:$D311,AW$5)="F",AND(AW$6&gt;0,$A311&lt;AW$6),AND(AW$7&gt;0,$A311&gt;AW$7)),0,MAX(0,ROUND((INDEX($E311:$G311,AW$5)-SUMIFS(TF_Timer,TF_Tekniker,AW$4,TF_Dato,$A311))*2,0)/2)))</f>
        <v/>
      </c>
      <c r="AX311">
        <f>IF(OR(AX$4="",$A311&gt;TODAY()),0,IF(OR(INDEX($B311:$D311,AX$5)="F",AND(AX$6&gt;0,$A311&lt;AX$6),AND(AX$7&gt;0,$A311&gt;AX$7)),0,MAX(0,ROUND((INDEX($E311:$G311,AX$5)-SUMIFS(TF_Timer,TF_Tekniker,AX$4,TF_Dato,$A311))*2,0)/2)))</f>
        <v/>
      </c>
      <c r="AY311">
        <f>IF(OR(AY$4="",$A311&gt;TODAY()),0,IF(OR(INDEX($B311:$D311,AY$5)="F",AND(AY$6&gt;0,$A311&lt;AY$6),AND(AY$7&gt;0,$A311&gt;AY$7)),0,MAX(0,ROUND((INDEX($E311:$G311,AY$5)-SUMIFS(TF_Timer,TF_Tekniker,AY$4,TF_Dato,$A311))*2,0)/2)))</f>
        <v/>
      </c>
      <c r="AZ311">
        <f>IF(OR(AZ$4="",$A311&gt;TODAY()),0,IF(OR(INDEX($B311:$D311,AZ$5)="F",AND(AZ$6&gt;0,$A311&lt;AZ$6),AND(AZ$7&gt;0,$A311&gt;AZ$7)),0,MAX(0,ROUND((INDEX($E311:$G311,AZ$5)-SUMIFS(TF_Timer,TF_Tekniker,AZ$4,TF_Dato,$A311))*2,0)/2)))</f>
        <v/>
      </c>
      <c r="BA311">
        <f>IF(OR(BA$4="",$A311&gt;TODAY()),0,IF(OR(INDEX($B311:$D311,BA$5)="F",AND(BA$6&gt;0,$A311&lt;BA$6),AND(BA$7&gt;0,$A311&gt;BA$7)),0,MAX(0,ROUND((INDEX($E311:$G311,BA$5)-SUMIFS(TF_Timer,TF_Tekniker,BA$4,TF_Dato,$A311))*2,0)/2)))</f>
        <v/>
      </c>
      <c r="BB311">
        <f>IF(OR(BB$4="",$A311&gt;TODAY()),0,IF(OR(INDEX($B311:$D311,BB$5)="F",AND(BB$6&gt;0,$A311&lt;BB$6),AND(BB$7&gt;0,$A311&gt;BB$7)),0,MAX(0,ROUND((INDEX($E311:$G311,BB$5)-SUMIFS(TF_Timer,TF_Tekniker,BB$4,TF_Dato,$A311))*2,0)/2)))</f>
        <v/>
      </c>
      <c r="BC311">
        <f>IF(OR(BC$4="",$A311&gt;TODAY()),0,IF(OR(INDEX($B311:$D311,BC$5)="F",AND(BC$6&gt;0,$A311&lt;BC$6),AND(BC$7&gt;0,$A311&gt;BC$7)),0,MAX(0,ROUND((INDEX($E311:$G311,BC$5)-SUMIFS(TF_Timer,TF_Tekniker,BC$4,TF_Dato,$A311))*2,0)/2)))</f>
        <v/>
      </c>
      <c r="BD311">
        <f>IF(OR(BD$4="",$A311&gt;TODAY()),0,IF(OR(INDEX($B311:$D311,BD$5)="F",AND(BD$6&gt;0,$A311&lt;BD$6),AND(BD$7&gt;0,$A311&gt;BD$7)),0,MAX(0,ROUND((INDEX($E311:$G311,BD$5)-SUMIFS(TF_Timer,TF_Tekniker,BD$4,TF_Dato,$A311))*2,0)/2)))</f>
        <v/>
      </c>
      <c r="BE311">
        <f>IF(OR(BE$4="",$A311&gt;TODAY()),0,IF(OR(INDEX($B311:$D311,BE$5)="F",AND(BE$6&gt;0,$A311&lt;BE$6),AND(BE$7&gt;0,$A311&gt;BE$7)),0,MAX(0,ROUND((INDEX($E311:$G311,BE$5)-SUMIFS(TF_Timer,TF_Tekniker,BE$4,TF_Dato,$A311))*2,0)/2)))</f>
        <v/>
      </c>
      <c r="BF311">
        <f>IF(OR(BF$4="",$A311&gt;TODAY()),0,IF(OR(INDEX($B311:$D311,BF$5)="F",AND(BF$6&gt;0,$A311&lt;BF$6),AND(BF$7&gt;0,$A311&gt;BF$7)),0,MAX(0,ROUND((INDEX($E311:$G311,BF$5)-SUMIFS(TF_Timer,TF_Tekniker,BF$4,TF_Dato,$A311))*2,0)/2)))</f>
        <v/>
      </c>
      <c r="BG311">
        <f>IF(OR(BG$4="",$A311&gt;TODAY()),0,IF(OR(INDEX($B311:$D311,BG$5)="F",AND(BG$6&gt;0,$A311&lt;BG$6),AND(BG$7&gt;0,$A311&gt;BG$7)),0,MAX(0,ROUND((INDEX($E311:$G311,BG$5)-SUMIFS(TF_Timer,TF_Tekniker,BG$4,TF_Dato,$A311))*2,0)/2)))</f>
        <v/>
      </c>
      <c r="BH311">
        <f>IF(OR(BH$4="",$A311&gt;TODAY()),0,IF(OR(INDEX($B311:$D311,BH$5)="F",AND(BH$6&gt;0,$A311&lt;BH$6),AND(BH$7&gt;0,$A311&gt;BH$7)),0,MAX(0,ROUND((INDEX($E311:$G311,BH$5)-SUMIFS(TF_Timer,TF_Tekniker,BH$4,TF_Dato,$A311))*2,0)/2)))</f>
        <v/>
      </c>
      <c r="BI311">
        <f>IF(OR(BI$4="",$A311&gt;TODAY()),0,IF(OR(INDEX($B311:$D311,BI$5)="F",AND(BI$6&gt;0,$A311&lt;BI$6),AND(BI$7&gt;0,$A311&gt;BI$7)),0,MAX(0,ROUND((INDEX($E311:$G311,BI$5)-SUMIFS(TF_Timer,TF_Tekniker,BI$4,TF_Dato,$A311))*2,0)/2)))</f>
        <v/>
      </c>
    </row>
    <row r="312">
      <c r="A312" s="64">
        <f>A311+1</f>
        <v/>
      </c>
      <c r="B312">
        <f>IF(MOD($A312-INDEX(SkiftStart,1),Syklus)&lt;DagK,"K",IF(MOD($A312-INDEX(SkiftStart,1),Syklus)&lt;DagK+DagH,"H",IF(MOD($A312-INDEX(SkiftStart,1),Syklus)&lt;DagK+DagH+DagD,"D","F")))</f>
        <v/>
      </c>
      <c r="C312">
        <f>IF(MOD($A312-INDEX(SkiftStart,2),Syklus)&lt;DagK,"K",IF(MOD($A312-INDEX(SkiftStart,2),Syklus)&lt;DagK+DagH,"H",IF(MOD($A312-INDEX(SkiftStart,2),Syklus)&lt;DagK+DagH+DagD,"D","F")))</f>
        <v/>
      </c>
      <c r="D312">
        <f>IF(MOD($A312-INDEX(SkiftStart,3),Syklus)&lt;DagK,"K",IF(MOD($A312-INDEX(SkiftStart,3),Syklus)&lt;DagK+DagH,"H",IF(MOD($A312-INDEX(SkiftStart,3),Syklus)&lt;DagK+DagH+DagD,"D","F")))</f>
        <v/>
      </c>
      <c r="E312">
        <f>IF(B312="F",0,IF(WEEKDAY($A312,2)=5,INDEX(TimerFr,MATCH(B312,FaseKode,0)),INDEX(TimerMT,MATCH(B312,FaseKode,0))))</f>
        <v/>
      </c>
      <c r="F312">
        <f>IF(C312="F",0,IF(WEEKDAY($A312,2)=5,INDEX(TimerFr,MATCH(C312,FaseKode,0)),INDEX(TimerMT,MATCH(C312,FaseKode,0))))</f>
        <v/>
      </c>
      <c r="G312">
        <f>IF(D312="F",0,IF(WEEKDAY($A312,2)=5,INDEX(TimerFr,MATCH(D312,FaseKode,0)),INDEX(TimerMT,MATCH(D312,FaseKode,0))))</f>
        <v/>
      </c>
      <c r="H312">
        <f>IF(OR(H$4="",$A312&gt;TODAY()),0,IF(OR(INDEX($B312:$D312,H$5)="F",AND(H$6&gt;0,$A312&lt;H$6),AND(H$7&gt;0,$A312&gt;H$7)),0,MAX(0,ROUND((INDEX($E312:$G312,H$5)-SUMIFS(TF_Timer,TF_Tekniker,H$4,TF_Dato,$A312))*2,0)/2)))</f>
        <v/>
      </c>
      <c r="I312">
        <f>IF(OR(I$4="",$A312&gt;TODAY()),0,IF(OR(INDEX($B312:$D312,I$5)="F",AND(I$6&gt;0,$A312&lt;I$6),AND(I$7&gt;0,$A312&gt;I$7)),0,MAX(0,ROUND((INDEX($E312:$G312,I$5)-SUMIFS(TF_Timer,TF_Tekniker,I$4,TF_Dato,$A312))*2,0)/2)))</f>
        <v/>
      </c>
      <c r="J312">
        <f>IF(OR(J$4="",$A312&gt;TODAY()),0,IF(OR(INDEX($B312:$D312,J$5)="F",AND(J$6&gt;0,$A312&lt;J$6),AND(J$7&gt;0,$A312&gt;J$7)),0,MAX(0,ROUND((INDEX($E312:$G312,J$5)-SUMIFS(TF_Timer,TF_Tekniker,J$4,TF_Dato,$A312))*2,0)/2)))</f>
        <v/>
      </c>
      <c r="K312">
        <f>IF(OR(K$4="",$A312&gt;TODAY()),0,IF(OR(INDEX($B312:$D312,K$5)="F",AND(K$6&gt;0,$A312&lt;K$6),AND(K$7&gt;0,$A312&gt;K$7)),0,MAX(0,ROUND((INDEX($E312:$G312,K$5)-SUMIFS(TF_Timer,TF_Tekniker,K$4,TF_Dato,$A312))*2,0)/2)))</f>
        <v/>
      </c>
      <c r="L312">
        <f>IF(OR(L$4="",$A312&gt;TODAY()),0,IF(OR(INDEX($B312:$D312,L$5)="F",AND(L$6&gt;0,$A312&lt;L$6),AND(L$7&gt;0,$A312&gt;L$7)),0,MAX(0,ROUND((INDEX($E312:$G312,L$5)-SUMIFS(TF_Timer,TF_Tekniker,L$4,TF_Dato,$A312))*2,0)/2)))</f>
        <v/>
      </c>
      <c r="M312">
        <f>IF(OR(M$4="",$A312&gt;TODAY()),0,IF(OR(INDEX($B312:$D312,M$5)="F",AND(M$6&gt;0,$A312&lt;M$6),AND(M$7&gt;0,$A312&gt;M$7)),0,MAX(0,ROUND((INDEX($E312:$G312,M$5)-SUMIFS(TF_Timer,TF_Tekniker,M$4,TF_Dato,$A312))*2,0)/2)))</f>
        <v/>
      </c>
      <c r="N312">
        <f>IF(OR(N$4="",$A312&gt;TODAY()),0,IF(OR(INDEX($B312:$D312,N$5)="F",AND(N$6&gt;0,$A312&lt;N$6),AND(N$7&gt;0,$A312&gt;N$7)),0,MAX(0,ROUND((INDEX($E312:$G312,N$5)-SUMIFS(TF_Timer,TF_Tekniker,N$4,TF_Dato,$A312))*2,0)/2)))</f>
        <v/>
      </c>
      <c r="O312">
        <f>IF(OR(O$4="",$A312&gt;TODAY()),0,IF(OR(INDEX($B312:$D312,O$5)="F",AND(O$6&gt;0,$A312&lt;O$6),AND(O$7&gt;0,$A312&gt;O$7)),0,MAX(0,ROUND((INDEX($E312:$G312,O$5)-SUMIFS(TF_Timer,TF_Tekniker,O$4,TF_Dato,$A312))*2,0)/2)))</f>
        <v/>
      </c>
      <c r="P312">
        <f>IF(OR(P$4="",$A312&gt;TODAY()),0,IF(OR(INDEX($B312:$D312,P$5)="F",AND(P$6&gt;0,$A312&lt;P$6),AND(P$7&gt;0,$A312&gt;P$7)),0,MAX(0,ROUND((INDEX($E312:$G312,P$5)-SUMIFS(TF_Timer,TF_Tekniker,P$4,TF_Dato,$A312))*2,0)/2)))</f>
        <v/>
      </c>
      <c r="Q312">
        <f>IF(OR(Q$4="",$A312&gt;TODAY()),0,IF(OR(INDEX($B312:$D312,Q$5)="F",AND(Q$6&gt;0,$A312&lt;Q$6),AND(Q$7&gt;0,$A312&gt;Q$7)),0,MAX(0,ROUND((INDEX($E312:$G312,Q$5)-SUMIFS(TF_Timer,TF_Tekniker,Q$4,TF_Dato,$A312))*2,0)/2)))</f>
        <v/>
      </c>
      <c r="R312">
        <f>IF(OR(R$4="",$A312&gt;TODAY()),0,IF(OR(INDEX($B312:$D312,R$5)="F",AND(R$6&gt;0,$A312&lt;R$6),AND(R$7&gt;0,$A312&gt;R$7)),0,MAX(0,ROUND((INDEX($E312:$G312,R$5)-SUMIFS(TF_Timer,TF_Tekniker,R$4,TF_Dato,$A312))*2,0)/2)))</f>
        <v/>
      </c>
      <c r="S312">
        <f>IF(OR(S$4="",$A312&gt;TODAY()),0,IF(OR(INDEX($B312:$D312,S$5)="F",AND(S$6&gt;0,$A312&lt;S$6),AND(S$7&gt;0,$A312&gt;S$7)),0,MAX(0,ROUND((INDEX($E312:$G312,S$5)-SUMIFS(TF_Timer,TF_Tekniker,S$4,TF_Dato,$A312))*2,0)/2)))</f>
        <v/>
      </c>
      <c r="T312">
        <f>IF(OR(T$4="",$A312&gt;TODAY()),0,IF(OR(INDEX($B312:$D312,T$5)="F",AND(T$6&gt;0,$A312&lt;T$6),AND(T$7&gt;0,$A312&gt;T$7)),0,MAX(0,ROUND((INDEX($E312:$G312,T$5)-SUMIFS(TF_Timer,TF_Tekniker,T$4,TF_Dato,$A312))*2,0)/2)))</f>
        <v/>
      </c>
      <c r="U312">
        <f>IF(OR(U$4="",$A312&gt;TODAY()),0,IF(OR(INDEX($B312:$D312,U$5)="F",AND(U$6&gt;0,$A312&lt;U$6),AND(U$7&gt;0,$A312&gt;U$7)),0,MAX(0,ROUND((INDEX($E312:$G312,U$5)-SUMIFS(TF_Timer,TF_Tekniker,U$4,TF_Dato,$A312))*2,0)/2)))</f>
        <v/>
      </c>
      <c r="V312">
        <f>IF(OR(V$4="",$A312&gt;TODAY()),0,IF(OR(INDEX($B312:$D312,V$5)="F",AND(V$6&gt;0,$A312&lt;V$6),AND(V$7&gt;0,$A312&gt;V$7)),0,MAX(0,ROUND((INDEX($E312:$G312,V$5)-SUMIFS(TF_Timer,TF_Tekniker,V$4,TF_Dato,$A312))*2,0)/2)))</f>
        <v/>
      </c>
      <c r="W312">
        <f>IF(OR(W$4="",$A312&gt;TODAY()),0,IF(OR(INDEX($B312:$D312,W$5)="F",AND(W$6&gt;0,$A312&lt;W$6),AND(W$7&gt;0,$A312&gt;W$7)),0,MAX(0,ROUND((INDEX($E312:$G312,W$5)-SUMIFS(TF_Timer,TF_Tekniker,W$4,TF_Dato,$A312))*2,0)/2)))</f>
        <v/>
      </c>
      <c r="X312">
        <f>IF(OR(X$4="",$A312&gt;TODAY()),0,IF(OR(INDEX($B312:$D312,X$5)="F",AND(X$6&gt;0,$A312&lt;X$6),AND(X$7&gt;0,$A312&gt;X$7)),0,MAX(0,ROUND((INDEX($E312:$G312,X$5)-SUMIFS(TF_Timer,TF_Tekniker,X$4,TF_Dato,$A312))*2,0)/2)))</f>
        <v/>
      </c>
      <c r="Y312">
        <f>IF(OR(Y$4="",$A312&gt;TODAY()),0,IF(OR(INDEX($B312:$D312,Y$5)="F",AND(Y$6&gt;0,$A312&lt;Y$6),AND(Y$7&gt;0,$A312&gt;Y$7)),0,MAX(0,ROUND((INDEX($E312:$G312,Y$5)-SUMIFS(TF_Timer,TF_Tekniker,Y$4,TF_Dato,$A312))*2,0)/2)))</f>
        <v/>
      </c>
      <c r="Z312">
        <f>IF(OR(Z$4="",$A312&gt;TODAY()),0,IF(OR(INDEX($B312:$D312,Z$5)="F",AND(Z$6&gt;0,$A312&lt;Z$6),AND(Z$7&gt;0,$A312&gt;Z$7)),0,MAX(0,ROUND((INDEX($E312:$G312,Z$5)-SUMIFS(TF_Timer,TF_Tekniker,Z$4,TF_Dato,$A312))*2,0)/2)))</f>
        <v/>
      </c>
      <c r="AA312">
        <f>IF(OR(AA$4="",$A312&gt;TODAY()),0,IF(OR(INDEX($B312:$D312,AA$5)="F",AND(AA$6&gt;0,$A312&lt;AA$6),AND(AA$7&gt;0,$A312&gt;AA$7)),0,MAX(0,ROUND((INDEX($E312:$G312,AA$5)-SUMIFS(TF_Timer,TF_Tekniker,AA$4,TF_Dato,$A312))*2,0)/2)))</f>
        <v/>
      </c>
      <c r="AB312">
        <f>IF(OR(AB$4="",$A312&gt;TODAY()),0,IF(OR(INDEX($B312:$D312,AB$5)="F",AND(AB$6&gt;0,$A312&lt;AB$6),AND(AB$7&gt;0,$A312&gt;AB$7)),0,MAX(0,ROUND((INDEX($E312:$G312,AB$5)-SUMIFS(TF_Timer,TF_Tekniker,AB$4,TF_Dato,$A312))*2,0)/2)))</f>
        <v/>
      </c>
      <c r="AC312">
        <f>IF(OR(AC$4="",$A312&gt;TODAY()),0,IF(OR(INDEX($B312:$D312,AC$5)="F",AND(AC$6&gt;0,$A312&lt;AC$6),AND(AC$7&gt;0,$A312&gt;AC$7)),0,MAX(0,ROUND((INDEX($E312:$G312,AC$5)-SUMIFS(TF_Timer,TF_Tekniker,AC$4,TF_Dato,$A312))*2,0)/2)))</f>
        <v/>
      </c>
      <c r="AD312">
        <f>IF(OR(AD$4="",$A312&gt;TODAY()),0,IF(OR(INDEX($B312:$D312,AD$5)="F",AND(AD$6&gt;0,$A312&lt;AD$6),AND(AD$7&gt;0,$A312&gt;AD$7)),0,MAX(0,ROUND((INDEX($E312:$G312,AD$5)-SUMIFS(TF_Timer,TF_Tekniker,AD$4,TF_Dato,$A312))*2,0)/2)))</f>
        <v/>
      </c>
      <c r="AE312">
        <f>IF(OR(AE$4="",$A312&gt;TODAY()),0,IF(OR(INDEX($B312:$D312,AE$5)="F",AND(AE$6&gt;0,$A312&lt;AE$6),AND(AE$7&gt;0,$A312&gt;AE$7)),0,MAX(0,ROUND((INDEX($E312:$G312,AE$5)-SUMIFS(TF_Timer,TF_Tekniker,AE$4,TF_Dato,$A312))*2,0)/2)))</f>
        <v/>
      </c>
      <c r="AF312">
        <f>IF(OR(AF$4="",$A312&gt;TODAY()),0,IF(OR(INDEX($B312:$D312,AF$5)="F",AND(AF$6&gt;0,$A312&lt;AF$6),AND(AF$7&gt;0,$A312&gt;AF$7)),0,MAX(0,ROUND((INDEX($E312:$G312,AF$5)-SUMIFS(TF_Timer,TF_Tekniker,AF$4,TF_Dato,$A312))*2,0)/2)))</f>
        <v/>
      </c>
      <c r="AG312">
        <f>IF(OR(AG$4="",$A312&gt;TODAY()),0,IF(OR(INDEX($B312:$D312,AG$5)="F",AND(AG$6&gt;0,$A312&lt;AG$6),AND(AG$7&gt;0,$A312&gt;AG$7)),0,MAX(0,ROUND((INDEX($E312:$G312,AG$5)-SUMIFS(TF_Timer,TF_Tekniker,AG$4,TF_Dato,$A312))*2,0)/2)))</f>
        <v/>
      </c>
      <c r="AH312">
        <f>IF(OR(AH$4="",$A312&gt;TODAY()),0,IF(OR(INDEX($B312:$D312,AH$5)="F",AND(AH$6&gt;0,$A312&lt;AH$6),AND(AH$7&gt;0,$A312&gt;AH$7)),0,MAX(0,ROUND((INDEX($E312:$G312,AH$5)-SUMIFS(TF_Timer,TF_Tekniker,AH$4,TF_Dato,$A312))*2,0)/2)))</f>
        <v/>
      </c>
      <c r="AI312">
        <f>IF(OR(AI$4="",$A312&gt;TODAY()),0,IF(OR(INDEX($B312:$D312,AI$5)="F",AND(AI$6&gt;0,$A312&lt;AI$6),AND(AI$7&gt;0,$A312&gt;AI$7)),0,MAX(0,ROUND((INDEX($E312:$G312,AI$5)-SUMIFS(TF_Timer,TF_Tekniker,AI$4,TF_Dato,$A312))*2,0)/2)))</f>
        <v/>
      </c>
      <c r="AJ312">
        <f>IF(OR(AJ$4="",$A312&gt;TODAY()),0,IF(OR(INDEX($B312:$D312,AJ$5)="F",AND(AJ$6&gt;0,$A312&lt;AJ$6),AND(AJ$7&gt;0,$A312&gt;AJ$7)),0,MAX(0,ROUND((INDEX($E312:$G312,AJ$5)-SUMIFS(TF_Timer,TF_Tekniker,AJ$4,TF_Dato,$A312))*2,0)/2)))</f>
        <v/>
      </c>
      <c r="AK312">
        <f>IF(OR(AK$4="",$A312&gt;TODAY()),0,IF(OR(INDEX($B312:$D312,AK$5)="F",AND(AK$6&gt;0,$A312&lt;AK$6),AND(AK$7&gt;0,$A312&gt;AK$7)),0,MAX(0,ROUND((INDEX($E312:$G312,AK$5)-SUMIFS(TF_Timer,TF_Tekniker,AK$4,TF_Dato,$A312))*2,0)/2)))</f>
        <v/>
      </c>
      <c r="AL312">
        <f>IF(OR(AL$4="",$A312&gt;TODAY()),0,IF(OR(INDEX($B312:$D312,AL$5)="F",AND(AL$6&gt;0,$A312&lt;AL$6),AND(AL$7&gt;0,$A312&gt;AL$7)),0,MAX(0,ROUND((INDEX($E312:$G312,AL$5)-SUMIFS(TF_Timer,TF_Tekniker,AL$4,TF_Dato,$A312))*2,0)/2)))</f>
        <v/>
      </c>
      <c r="AM312">
        <f>IF(OR(AM$4="",$A312&gt;TODAY()),0,IF(OR(INDEX($B312:$D312,AM$5)="F",AND(AM$6&gt;0,$A312&lt;AM$6),AND(AM$7&gt;0,$A312&gt;AM$7)),0,MAX(0,ROUND((INDEX($E312:$G312,AM$5)-SUMIFS(TF_Timer,TF_Tekniker,AM$4,TF_Dato,$A312))*2,0)/2)))</f>
        <v/>
      </c>
      <c r="AN312">
        <f>IF(OR(AN$4="",$A312&gt;TODAY()),0,IF(OR(INDEX($B312:$D312,AN$5)="F",AND(AN$6&gt;0,$A312&lt;AN$6),AND(AN$7&gt;0,$A312&gt;AN$7)),0,MAX(0,ROUND((INDEX($E312:$G312,AN$5)-SUMIFS(TF_Timer,TF_Tekniker,AN$4,TF_Dato,$A312))*2,0)/2)))</f>
        <v/>
      </c>
      <c r="AO312">
        <f>IF(OR(AO$4="",$A312&gt;TODAY()),0,IF(OR(INDEX($B312:$D312,AO$5)="F",AND(AO$6&gt;0,$A312&lt;AO$6),AND(AO$7&gt;0,$A312&gt;AO$7)),0,MAX(0,ROUND((INDEX($E312:$G312,AO$5)-SUMIFS(TF_Timer,TF_Tekniker,AO$4,TF_Dato,$A312))*2,0)/2)))</f>
        <v/>
      </c>
      <c r="AP312">
        <f>IF(OR(AP$4="",$A312&gt;TODAY()),0,IF(OR(INDEX($B312:$D312,AP$5)="F",AND(AP$6&gt;0,$A312&lt;AP$6),AND(AP$7&gt;0,$A312&gt;AP$7)),0,MAX(0,ROUND((INDEX($E312:$G312,AP$5)-SUMIFS(TF_Timer,TF_Tekniker,AP$4,TF_Dato,$A312))*2,0)/2)))</f>
        <v/>
      </c>
      <c r="AQ312">
        <f>IF(OR(AQ$4="",$A312&gt;TODAY()),0,IF(OR(INDEX($B312:$D312,AQ$5)="F",AND(AQ$6&gt;0,$A312&lt;AQ$6),AND(AQ$7&gt;0,$A312&gt;AQ$7)),0,MAX(0,ROUND((INDEX($E312:$G312,AQ$5)-SUMIFS(TF_Timer,TF_Tekniker,AQ$4,TF_Dato,$A312))*2,0)/2)))</f>
        <v/>
      </c>
      <c r="AR312">
        <f>IF(OR(AR$4="",$A312&gt;TODAY()),0,IF(OR(INDEX($B312:$D312,AR$5)="F",AND(AR$6&gt;0,$A312&lt;AR$6),AND(AR$7&gt;0,$A312&gt;AR$7)),0,MAX(0,ROUND((INDEX($E312:$G312,AR$5)-SUMIFS(TF_Timer,TF_Tekniker,AR$4,TF_Dato,$A312))*2,0)/2)))</f>
        <v/>
      </c>
      <c r="AS312">
        <f>IF(OR(AS$4="",$A312&gt;TODAY()),0,IF(OR(INDEX($B312:$D312,AS$5)="F",AND(AS$6&gt;0,$A312&lt;AS$6),AND(AS$7&gt;0,$A312&gt;AS$7)),0,MAX(0,ROUND((INDEX($E312:$G312,AS$5)-SUMIFS(TF_Timer,TF_Tekniker,AS$4,TF_Dato,$A312))*2,0)/2)))</f>
        <v/>
      </c>
      <c r="AT312">
        <f>IF(OR(AT$4="",$A312&gt;TODAY()),0,IF(OR(INDEX($B312:$D312,AT$5)="F",AND(AT$6&gt;0,$A312&lt;AT$6),AND(AT$7&gt;0,$A312&gt;AT$7)),0,MAX(0,ROUND((INDEX($E312:$G312,AT$5)-SUMIFS(TF_Timer,TF_Tekniker,AT$4,TF_Dato,$A312))*2,0)/2)))</f>
        <v/>
      </c>
      <c r="AU312">
        <f>IF(OR(AU$4="",$A312&gt;TODAY()),0,IF(OR(INDEX($B312:$D312,AU$5)="F",AND(AU$6&gt;0,$A312&lt;AU$6),AND(AU$7&gt;0,$A312&gt;AU$7)),0,MAX(0,ROUND((INDEX($E312:$G312,AU$5)-SUMIFS(TF_Timer,TF_Tekniker,AU$4,TF_Dato,$A312))*2,0)/2)))</f>
        <v/>
      </c>
      <c r="AV312">
        <f>IF(OR(AV$4="",$A312&gt;TODAY()),0,IF(OR(INDEX($B312:$D312,AV$5)="F",AND(AV$6&gt;0,$A312&lt;AV$6),AND(AV$7&gt;0,$A312&gt;AV$7)),0,MAX(0,ROUND((INDEX($E312:$G312,AV$5)-SUMIFS(TF_Timer,TF_Tekniker,AV$4,TF_Dato,$A312))*2,0)/2)))</f>
        <v/>
      </c>
      <c r="AW312">
        <f>IF(OR(AW$4="",$A312&gt;TODAY()),0,IF(OR(INDEX($B312:$D312,AW$5)="F",AND(AW$6&gt;0,$A312&lt;AW$6),AND(AW$7&gt;0,$A312&gt;AW$7)),0,MAX(0,ROUND((INDEX($E312:$G312,AW$5)-SUMIFS(TF_Timer,TF_Tekniker,AW$4,TF_Dato,$A312))*2,0)/2)))</f>
        <v/>
      </c>
      <c r="AX312">
        <f>IF(OR(AX$4="",$A312&gt;TODAY()),0,IF(OR(INDEX($B312:$D312,AX$5)="F",AND(AX$6&gt;0,$A312&lt;AX$6),AND(AX$7&gt;0,$A312&gt;AX$7)),0,MAX(0,ROUND((INDEX($E312:$G312,AX$5)-SUMIFS(TF_Timer,TF_Tekniker,AX$4,TF_Dato,$A312))*2,0)/2)))</f>
        <v/>
      </c>
      <c r="AY312">
        <f>IF(OR(AY$4="",$A312&gt;TODAY()),0,IF(OR(INDEX($B312:$D312,AY$5)="F",AND(AY$6&gt;0,$A312&lt;AY$6),AND(AY$7&gt;0,$A312&gt;AY$7)),0,MAX(0,ROUND((INDEX($E312:$G312,AY$5)-SUMIFS(TF_Timer,TF_Tekniker,AY$4,TF_Dato,$A312))*2,0)/2)))</f>
        <v/>
      </c>
      <c r="AZ312">
        <f>IF(OR(AZ$4="",$A312&gt;TODAY()),0,IF(OR(INDEX($B312:$D312,AZ$5)="F",AND(AZ$6&gt;0,$A312&lt;AZ$6),AND(AZ$7&gt;0,$A312&gt;AZ$7)),0,MAX(0,ROUND((INDEX($E312:$G312,AZ$5)-SUMIFS(TF_Timer,TF_Tekniker,AZ$4,TF_Dato,$A312))*2,0)/2)))</f>
        <v/>
      </c>
      <c r="BA312">
        <f>IF(OR(BA$4="",$A312&gt;TODAY()),0,IF(OR(INDEX($B312:$D312,BA$5)="F",AND(BA$6&gt;0,$A312&lt;BA$6),AND(BA$7&gt;0,$A312&gt;BA$7)),0,MAX(0,ROUND((INDEX($E312:$G312,BA$5)-SUMIFS(TF_Timer,TF_Tekniker,BA$4,TF_Dato,$A312))*2,0)/2)))</f>
        <v/>
      </c>
      <c r="BB312">
        <f>IF(OR(BB$4="",$A312&gt;TODAY()),0,IF(OR(INDEX($B312:$D312,BB$5)="F",AND(BB$6&gt;0,$A312&lt;BB$6),AND(BB$7&gt;0,$A312&gt;BB$7)),0,MAX(0,ROUND((INDEX($E312:$G312,BB$5)-SUMIFS(TF_Timer,TF_Tekniker,BB$4,TF_Dato,$A312))*2,0)/2)))</f>
        <v/>
      </c>
      <c r="BC312">
        <f>IF(OR(BC$4="",$A312&gt;TODAY()),0,IF(OR(INDEX($B312:$D312,BC$5)="F",AND(BC$6&gt;0,$A312&lt;BC$6),AND(BC$7&gt;0,$A312&gt;BC$7)),0,MAX(0,ROUND((INDEX($E312:$G312,BC$5)-SUMIFS(TF_Timer,TF_Tekniker,BC$4,TF_Dato,$A312))*2,0)/2)))</f>
        <v/>
      </c>
      <c r="BD312">
        <f>IF(OR(BD$4="",$A312&gt;TODAY()),0,IF(OR(INDEX($B312:$D312,BD$5)="F",AND(BD$6&gt;0,$A312&lt;BD$6),AND(BD$7&gt;0,$A312&gt;BD$7)),0,MAX(0,ROUND((INDEX($E312:$G312,BD$5)-SUMIFS(TF_Timer,TF_Tekniker,BD$4,TF_Dato,$A312))*2,0)/2)))</f>
        <v/>
      </c>
      <c r="BE312">
        <f>IF(OR(BE$4="",$A312&gt;TODAY()),0,IF(OR(INDEX($B312:$D312,BE$5)="F",AND(BE$6&gt;0,$A312&lt;BE$6),AND(BE$7&gt;0,$A312&gt;BE$7)),0,MAX(0,ROUND((INDEX($E312:$G312,BE$5)-SUMIFS(TF_Timer,TF_Tekniker,BE$4,TF_Dato,$A312))*2,0)/2)))</f>
        <v/>
      </c>
      <c r="BF312">
        <f>IF(OR(BF$4="",$A312&gt;TODAY()),0,IF(OR(INDEX($B312:$D312,BF$5)="F",AND(BF$6&gt;0,$A312&lt;BF$6),AND(BF$7&gt;0,$A312&gt;BF$7)),0,MAX(0,ROUND((INDEX($E312:$G312,BF$5)-SUMIFS(TF_Timer,TF_Tekniker,BF$4,TF_Dato,$A312))*2,0)/2)))</f>
        <v/>
      </c>
      <c r="BG312">
        <f>IF(OR(BG$4="",$A312&gt;TODAY()),0,IF(OR(INDEX($B312:$D312,BG$5)="F",AND(BG$6&gt;0,$A312&lt;BG$6),AND(BG$7&gt;0,$A312&gt;BG$7)),0,MAX(0,ROUND((INDEX($E312:$G312,BG$5)-SUMIFS(TF_Timer,TF_Tekniker,BG$4,TF_Dato,$A312))*2,0)/2)))</f>
        <v/>
      </c>
      <c r="BH312">
        <f>IF(OR(BH$4="",$A312&gt;TODAY()),0,IF(OR(INDEX($B312:$D312,BH$5)="F",AND(BH$6&gt;0,$A312&lt;BH$6),AND(BH$7&gt;0,$A312&gt;BH$7)),0,MAX(0,ROUND((INDEX($E312:$G312,BH$5)-SUMIFS(TF_Timer,TF_Tekniker,BH$4,TF_Dato,$A312))*2,0)/2)))</f>
        <v/>
      </c>
      <c r="BI312">
        <f>IF(OR(BI$4="",$A312&gt;TODAY()),0,IF(OR(INDEX($B312:$D312,BI$5)="F",AND(BI$6&gt;0,$A312&lt;BI$6),AND(BI$7&gt;0,$A312&gt;BI$7)),0,MAX(0,ROUND((INDEX($E312:$G312,BI$5)-SUMIFS(TF_Timer,TF_Tekniker,BI$4,TF_Dato,$A312))*2,0)/2)))</f>
        <v/>
      </c>
    </row>
    <row r="313">
      <c r="A313" s="64">
        <f>A312+1</f>
        <v/>
      </c>
      <c r="B313">
        <f>IF(MOD($A313-INDEX(SkiftStart,1),Syklus)&lt;DagK,"K",IF(MOD($A313-INDEX(SkiftStart,1),Syklus)&lt;DagK+DagH,"H",IF(MOD($A313-INDEX(SkiftStart,1),Syklus)&lt;DagK+DagH+DagD,"D","F")))</f>
        <v/>
      </c>
      <c r="C313">
        <f>IF(MOD($A313-INDEX(SkiftStart,2),Syklus)&lt;DagK,"K",IF(MOD($A313-INDEX(SkiftStart,2),Syklus)&lt;DagK+DagH,"H",IF(MOD($A313-INDEX(SkiftStart,2),Syklus)&lt;DagK+DagH+DagD,"D","F")))</f>
        <v/>
      </c>
      <c r="D313">
        <f>IF(MOD($A313-INDEX(SkiftStart,3),Syklus)&lt;DagK,"K",IF(MOD($A313-INDEX(SkiftStart,3),Syklus)&lt;DagK+DagH,"H",IF(MOD($A313-INDEX(SkiftStart,3),Syklus)&lt;DagK+DagH+DagD,"D","F")))</f>
        <v/>
      </c>
      <c r="E313">
        <f>IF(B313="F",0,IF(WEEKDAY($A313,2)=5,INDEX(TimerFr,MATCH(B313,FaseKode,0)),INDEX(TimerMT,MATCH(B313,FaseKode,0))))</f>
        <v/>
      </c>
      <c r="F313">
        <f>IF(C313="F",0,IF(WEEKDAY($A313,2)=5,INDEX(TimerFr,MATCH(C313,FaseKode,0)),INDEX(TimerMT,MATCH(C313,FaseKode,0))))</f>
        <v/>
      </c>
      <c r="G313">
        <f>IF(D313="F",0,IF(WEEKDAY($A313,2)=5,INDEX(TimerFr,MATCH(D313,FaseKode,0)),INDEX(TimerMT,MATCH(D313,FaseKode,0))))</f>
        <v/>
      </c>
      <c r="H313">
        <f>IF(OR(H$4="",$A313&gt;TODAY()),0,IF(OR(INDEX($B313:$D313,H$5)="F",AND(H$6&gt;0,$A313&lt;H$6),AND(H$7&gt;0,$A313&gt;H$7)),0,MAX(0,ROUND((INDEX($E313:$G313,H$5)-SUMIFS(TF_Timer,TF_Tekniker,H$4,TF_Dato,$A313))*2,0)/2)))</f>
        <v/>
      </c>
      <c r="I313">
        <f>IF(OR(I$4="",$A313&gt;TODAY()),0,IF(OR(INDEX($B313:$D313,I$5)="F",AND(I$6&gt;0,$A313&lt;I$6),AND(I$7&gt;0,$A313&gt;I$7)),0,MAX(0,ROUND((INDEX($E313:$G313,I$5)-SUMIFS(TF_Timer,TF_Tekniker,I$4,TF_Dato,$A313))*2,0)/2)))</f>
        <v/>
      </c>
      <c r="J313">
        <f>IF(OR(J$4="",$A313&gt;TODAY()),0,IF(OR(INDEX($B313:$D313,J$5)="F",AND(J$6&gt;0,$A313&lt;J$6),AND(J$7&gt;0,$A313&gt;J$7)),0,MAX(0,ROUND((INDEX($E313:$G313,J$5)-SUMIFS(TF_Timer,TF_Tekniker,J$4,TF_Dato,$A313))*2,0)/2)))</f>
        <v/>
      </c>
      <c r="K313">
        <f>IF(OR(K$4="",$A313&gt;TODAY()),0,IF(OR(INDEX($B313:$D313,K$5)="F",AND(K$6&gt;0,$A313&lt;K$6),AND(K$7&gt;0,$A313&gt;K$7)),0,MAX(0,ROUND((INDEX($E313:$G313,K$5)-SUMIFS(TF_Timer,TF_Tekniker,K$4,TF_Dato,$A313))*2,0)/2)))</f>
        <v/>
      </c>
      <c r="L313">
        <f>IF(OR(L$4="",$A313&gt;TODAY()),0,IF(OR(INDEX($B313:$D313,L$5)="F",AND(L$6&gt;0,$A313&lt;L$6),AND(L$7&gt;0,$A313&gt;L$7)),0,MAX(0,ROUND((INDEX($E313:$G313,L$5)-SUMIFS(TF_Timer,TF_Tekniker,L$4,TF_Dato,$A313))*2,0)/2)))</f>
        <v/>
      </c>
      <c r="M313">
        <f>IF(OR(M$4="",$A313&gt;TODAY()),0,IF(OR(INDEX($B313:$D313,M$5)="F",AND(M$6&gt;0,$A313&lt;M$6),AND(M$7&gt;0,$A313&gt;M$7)),0,MAX(0,ROUND((INDEX($E313:$G313,M$5)-SUMIFS(TF_Timer,TF_Tekniker,M$4,TF_Dato,$A313))*2,0)/2)))</f>
        <v/>
      </c>
      <c r="N313">
        <f>IF(OR(N$4="",$A313&gt;TODAY()),0,IF(OR(INDEX($B313:$D313,N$5)="F",AND(N$6&gt;0,$A313&lt;N$6),AND(N$7&gt;0,$A313&gt;N$7)),0,MAX(0,ROUND((INDEX($E313:$G313,N$5)-SUMIFS(TF_Timer,TF_Tekniker,N$4,TF_Dato,$A313))*2,0)/2)))</f>
        <v/>
      </c>
      <c r="O313">
        <f>IF(OR(O$4="",$A313&gt;TODAY()),0,IF(OR(INDEX($B313:$D313,O$5)="F",AND(O$6&gt;0,$A313&lt;O$6),AND(O$7&gt;0,$A313&gt;O$7)),0,MAX(0,ROUND((INDEX($E313:$G313,O$5)-SUMIFS(TF_Timer,TF_Tekniker,O$4,TF_Dato,$A313))*2,0)/2)))</f>
        <v/>
      </c>
      <c r="P313">
        <f>IF(OR(P$4="",$A313&gt;TODAY()),0,IF(OR(INDEX($B313:$D313,P$5)="F",AND(P$6&gt;0,$A313&lt;P$6),AND(P$7&gt;0,$A313&gt;P$7)),0,MAX(0,ROUND((INDEX($E313:$G313,P$5)-SUMIFS(TF_Timer,TF_Tekniker,P$4,TF_Dato,$A313))*2,0)/2)))</f>
        <v/>
      </c>
      <c r="Q313">
        <f>IF(OR(Q$4="",$A313&gt;TODAY()),0,IF(OR(INDEX($B313:$D313,Q$5)="F",AND(Q$6&gt;0,$A313&lt;Q$6),AND(Q$7&gt;0,$A313&gt;Q$7)),0,MAX(0,ROUND((INDEX($E313:$G313,Q$5)-SUMIFS(TF_Timer,TF_Tekniker,Q$4,TF_Dato,$A313))*2,0)/2)))</f>
        <v/>
      </c>
      <c r="R313">
        <f>IF(OR(R$4="",$A313&gt;TODAY()),0,IF(OR(INDEX($B313:$D313,R$5)="F",AND(R$6&gt;0,$A313&lt;R$6),AND(R$7&gt;0,$A313&gt;R$7)),0,MAX(0,ROUND((INDEX($E313:$G313,R$5)-SUMIFS(TF_Timer,TF_Tekniker,R$4,TF_Dato,$A313))*2,0)/2)))</f>
        <v/>
      </c>
      <c r="S313">
        <f>IF(OR(S$4="",$A313&gt;TODAY()),0,IF(OR(INDEX($B313:$D313,S$5)="F",AND(S$6&gt;0,$A313&lt;S$6),AND(S$7&gt;0,$A313&gt;S$7)),0,MAX(0,ROUND((INDEX($E313:$G313,S$5)-SUMIFS(TF_Timer,TF_Tekniker,S$4,TF_Dato,$A313))*2,0)/2)))</f>
        <v/>
      </c>
      <c r="T313">
        <f>IF(OR(T$4="",$A313&gt;TODAY()),0,IF(OR(INDEX($B313:$D313,T$5)="F",AND(T$6&gt;0,$A313&lt;T$6),AND(T$7&gt;0,$A313&gt;T$7)),0,MAX(0,ROUND((INDEX($E313:$G313,T$5)-SUMIFS(TF_Timer,TF_Tekniker,T$4,TF_Dato,$A313))*2,0)/2)))</f>
        <v/>
      </c>
      <c r="U313">
        <f>IF(OR(U$4="",$A313&gt;TODAY()),0,IF(OR(INDEX($B313:$D313,U$5)="F",AND(U$6&gt;0,$A313&lt;U$6),AND(U$7&gt;0,$A313&gt;U$7)),0,MAX(0,ROUND((INDEX($E313:$G313,U$5)-SUMIFS(TF_Timer,TF_Tekniker,U$4,TF_Dato,$A313))*2,0)/2)))</f>
        <v/>
      </c>
      <c r="V313">
        <f>IF(OR(V$4="",$A313&gt;TODAY()),0,IF(OR(INDEX($B313:$D313,V$5)="F",AND(V$6&gt;0,$A313&lt;V$6),AND(V$7&gt;0,$A313&gt;V$7)),0,MAX(0,ROUND((INDEX($E313:$G313,V$5)-SUMIFS(TF_Timer,TF_Tekniker,V$4,TF_Dato,$A313))*2,0)/2)))</f>
        <v/>
      </c>
      <c r="W313">
        <f>IF(OR(W$4="",$A313&gt;TODAY()),0,IF(OR(INDEX($B313:$D313,W$5)="F",AND(W$6&gt;0,$A313&lt;W$6),AND(W$7&gt;0,$A313&gt;W$7)),0,MAX(0,ROUND((INDEX($E313:$G313,W$5)-SUMIFS(TF_Timer,TF_Tekniker,W$4,TF_Dato,$A313))*2,0)/2)))</f>
        <v/>
      </c>
      <c r="X313">
        <f>IF(OR(X$4="",$A313&gt;TODAY()),0,IF(OR(INDEX($B313:$D313,X$5)="F",AND(X$6&gt;0,$A313&lt;X$6),AND(X$7&gt;0,$A313&gt;X$7)),0,MAX(0,ROUND((INDEX($E313:$G313,X$5)-SUMIFS(TF_Timer,TF_Tekniker,X$4,TF_Dato,$A313))*2,0)/2)))</f>
        <v/>
      </c>
      <c r="Y313">
        <f>IF(OR(Y$4="",$A313&gt;TODAY()),0,IF(OR(INDEX($B313:$D313,Y$5)="F",AND(Y$6&gt;0,$A313&lt;Y$6),AND(Y$7&gt;0,$A313&gt;Y$7)),0,MAX(0,ROUND((INDEX($E313:$G313,Y$5)-SUMIFS(TF_Timer,TF_Tekniker,Y$4,TF_Dato,$A313))*2,0)/2)))</f>
        <v/>
      </c>
      <c r="Z313">
        <f>IF(OR(Z$4="",$A313&gt;TODAY()),0,IF(OR(INDEX($B313:$D313,Z$5)="F",AND(Z$6&gt;0,$A313&lt;Z$6),AND(Z$7&gt;0,$A313&gt;Z$7)),0,MAX(0,ROUND((INDEX($E313:$G313,Z$5)-SUMIFS(TF_Timer,TF_Tekniker,Z$4,TF_Dato,$A313))*2,0)/2)))</f>
        <v/>
      </c>
      <c r="AA313">
        <f>IF(OR(AA$4="",$A313&gt;TODAY()),0,IF(OR(INDEX($B313:$D313,AA$5)="F",AND(AA$6&gt;0,$A313&lt;AA$6),AND(AA$7&gt;0,$A313&gt;AA$7)),0,MAX(0,ROUND((INDEX($E313:$G313,AA$5)-SUMIFS(TF_Timer,TF_Tekniker,AA$4,TF_Dato,$A313))*2,0)/2)))</f>
        <v/>
      </c>
      <c r="AB313">
        <f>IF(OR(AB$4="",$A313&gt;TODAY()),0,IF(OR(INDEX($B313:$D313,AB$5)="F",AND(AB$6&gt;0,$A313&lt;AB$6),AND(AB$7&gt;0,$A313&gt;AB$7)),0,MAX(0,ROUND((INDEX($E313:$G313,AB$5)-SUMIFS(TF_Timer,TF_Tekniker,AB$4,TF_Dato,$A313))*2,0)/2)))</f>
        <v/>
      </c>
      <c r="AC313">
        <f>IF(OR(AC$4="",$A313&gt;TODAY()),0,IF(OR(INDEX($B313:$D313,AC$5)="F",AND(AC$6&gt;0,$A313&lt;AC$6),AND(AC$7&gt;0,$A313&gt;AC$7)),0,MAX(0,ROUND((INDEX($E313:$G313,AC$5)-SUMIFS(TF_Timer,TF_Tekniker,AC$4,TF_Dato,$A313))*2,0)/2)))</f>
        <v/>
      </c>
      <c r="AD313">
        <f>IF(OR(AD$4="",$A313&gt;TODAY()),0,IF(OR(INDEX($B313:$D313,AD$5)="F",AND(AD$6&gt;0,$A313&lt;AD$6),AND(AD$7&gt;0,$A313&gt;AD$7)),0,MAX(0,ROUND((INDEX($E313:$G313,AD$5)-SUMIFS(TF_Timer,TF_Tekniker,AD$4,TF_Dato,$A313))*2,0)/2)))</f>
        <v/>
      </c>
      <c r="AE313">
        <f>IF(OR(AE$4="",$A313&gt;TODAY()),0,IF(OR(INDEX($B313:$D313,AE$5)="F",AND(AE$6&gt;0,$A313&lt;AE$6),AND(AE$7&gt;0,$A313&gt;AE$7)),0,MAX(0,ROUND((INDEX($E313:$G313,AE$5)-SUMIFS(TF_Timer,TF_Tekniker,AE$4,TF_Dato,$A313))*2,0)/2)))</f>
        <v/>
      </c>
      <c r="AF313">
        <f>IF(OR(AF$4="",$A313&gt;TODAY()),0,IF(OR(INDEX($B313:$D313,AF$5)="F",AND(AF$6&gt;0,$A313&lt;AF$6),AND(AF$7&gt;0,$A313&gt;AF$7)),0,MAX(0,ROUND((INDEX($E313:$G313,AF$5)-SUMIFS(TF_Timer,TF_Tekniker,AF$4,TF_Dato,$A313))*2,0)/2)))</f>
        <v/>
      </c>
      <c r="AG313">
        <f>IF(OR(AG$4="",$A313&gt;TODAY()),0,IF(OR(INDEX($B313:$D313,AG$5)="F",AND(AG$6&gt;0,$A313&lt;AG$6),AND(AG$7&gt;0,$A313&gt;AG$7)),0,MAX(0,ROUND((INDEX($E313:$G313,AG$5)-SUMIFS(TF_Timer,TF_Tekniker,AG$4,TF_Dato,$A313))*2,0)/2)))</f>
        <v/>
      </c>
      <c r="AH313">
        <f>IF(OR(AH$4="",$A313&gt;TODAY()),0,IF(OR(INDEX($B313:$D313,AH$5)="F",AND(AH$6&gt;0,$A313&lt;AH$6),AND(AH$7&gt;0,$A313&gt;AH$7)),0,MAX(0,ROUND((INDEX($E313:$G313,AH$5)-SUMIFS(TF_Timer,TF_Tekniker,AH$4,TF_Dato,$A313))*2,0)/2)))</f>
        <v/>
      </c>
      <c r="AI313">
        <f>IF(OR(AI$4="",$A313&gt;TODAY()),0,IF(OR(INDEX($B313:$D313,AI$5)="F",AND(AI$6&gt;0,$A313&lt;AI$6),AND(AI$7&gt;0,$A313&gt;AI$7)),0,MAX(0,ROUND((INDEX($E313:$G313,AI$5)-SUMIFS(TF_Timer,TF_Tekniker,AI$4,TF_Dato,$A313))*2,0)/2)))</f>
        <v/>
      </c>
      <c r="AJ313">
        <f>IF(OR(AJ$4="",$A313&gt;TODAY()),0,IF(OR(INDEX($B313:$D313,AJ$5)="F",AND(AJ$6&gt;0,$A313&lt;AJ$6),AND(AJ$7&gt;0,$A313&gt;AJ$7)),0,MAX(0,ROUND((INDEX($E313:$G313,AJ$5)-SUMIFS(TF_Timer,TF_Tekniker,AJ$4,TF_Dato,$A313))*2,0)/2)))</f>
        <v/>
      </c>
      <c r="AK313">
        <f>IF(OR(AK$4="",$A313&gt;TODAY()),0,IF(OR(INDEX($B313:$D313,AK$5)="F",AND(AK$6&gt;0,$A313&lt;AK$6),AND(AK$7&gt;0,$A313&gt;AK$7)),0,MAX(0,ROUND((INDEX($E313:$G313,AK$5)-SUMIFS(TF_Timer,TF_Tekniker,AK$4,TF_Dato,$A313))*2,0)/2)))</f>
        <v/>
      </c>
      <c r="AL313">
        <f>IF(OR(AL$4="",$A313&gt;TODAY()),0,IF(OR(INDEX($B313:$D313,AL$5)="F",AND(AL$6&gt;0,$A313&lt;AL$6),AND(AL$7&gt;0,$A313&gt;AL$7)),0,MAX(0,ROUND((INDEX($E313:$G313,AL$5)-SUMIFS(TF_Timer,TF_Tekniker,AL$4,TF_Dato,$A313))*2,0)/2)))</f>
        <v/>
      </c>
      <c r="AM313">
        <f>IF(OR(AM$4="",$A313&gt;TODAY()),0,IF(OR(INDEX($B313:$D313,AM$5)="F",AND(AM$6&gt;0,$A313&lt;AM$6),AND(AM$7&gt;0,$A313&gt;AM$7)),0,MAX(0,ROUND((INDEX($E313:$G313,AM$5)-SUMIFS(TF_Timer,TF_Tekniker,AM$4,TF_Dato,$A313))*2,0)/2)))</f>
        <v/>
      </c>
      <c r="AN313">
        <f>IF(OR(AN$4="",$A313&gt;TODAY()),0,IF(OR(INDEX($B313:$D313,AN$5)="F",AND(AN$6&gt;0,$A313&lt;AN$6),AND(AN$7&gt;0,$A313&gt;AN$7)),0,MAX(0,ROUND((INDEX($E313:$G313,AN$5)-SUMIFS(TF_Timer,TF_Tekniker,AN$4,TF_Dato,$A313))*2,0)/2)))</f>
        <v/>
      </c>
      <c r="AO313">
        <f>IF(OR(AO$4="",$A313&gt;TODAY()),0,IF(OR(INDEX($B313:$D313,AO$5)="F",AND(AO$6&gt;0,$A313&lt;AO$6),AND(AO$7&gt;0,$A313&gt;AO$7)),0,MAX(0,ROUND((INDEX($E313:$G313,AO$5)-SUMIFS(TF_Timer,TF_Tekniker,AO$4,TF_Dato,$A313))*2,0)/2)))</f>
        <v/>
      </c>
      <c r="AP313">
        <f>IF(OR(AP$4="",$A313&gt;TODAY()),0,IF(OR(INDEX($B313:$D313,AP$5)="F",AND(AP$6&gt;0,$A313&lt;AP$6),AND(AP$7&gt;0,$A313&gt;AP$7)),0,MAX(0,ROUND((INDEX($E313:$G313,AP$5)-SUMIFS(TF_Timer,TF_Tekniker,AP$4,TF_Dato,$A313))*2,0)/2)))</f>
        <v/>
      </c>
      <c r="AQ313">
        <f>IF(OR(AQ$4="",$A313&gt;TODAY()),0,IF(OR(INDEX($B313:$D313,AQ$5)="F",AND(AQ$6&gt;0,$A313&lt;AQ$6),AND(AQ$7&gt;0,$A313&gt;AQ$7)),0,MAX(0,ROUND((INDEX($E313:$G313,AQ$5)-SUMIFS(TF_Timer,TF_Tekniker,AQ$4,TF_Dato,$A313))*2,0)/2)))</f>
        <v/>
      </c>
      <c r="AR313">
        <f>IF(OR(AR$4="",$A313&gt;TODAY()),0,IF(OR(INDEX($B313:$D313,AR$5)="F",AND(AR$6&gt;0,$A313&lt;AR$6),AND(AR$7&gt;0,$A313&gt;AR$7)),0,MAX(0,ROUND((INDEX($E313:$G313,AR$5)-SUMIFS(TF_Timer,TF_Tekniker,AR$4,TF_Dato,$A313))*2,0)/2)))</f>
        <v/>
      </c>
      <c r="AS313">
        <f>IF(OR(AS$4="",$A313&gt;TODAY()),0,IF(OR(INDEX($B313:$D313,AS$5)="F",AND(AS$6&gt;0,$A313&lt;AS$6),AND(AS$7&gt;0,$A313&gt;AS$7)),0,MAX(0,ROUND((INDEX($E313:$G313,AS$5)-SUMIFS(TF_Timer,TF_Tekniker,AS$4,TF_Dato,$A313))*2,0)/2)))</f>
        <v/>
      </c>
      <c r="AT313">
        <f>IF(OR(AT$4="",$A313&gt;TODAY()),0,IF(OR(INDEX($B313:$D313,AT$5)="F",AND(AT$6&gt;0,$A313&lt;AT$6),AND(AT$7&gt;0,$A313&gt;AT$7)),0,MAX(0,ROUND((INDEX($E313:$G313,AT$5)-SUMIFS(TF_Timer,TF_Tekniker,AT$4,TF_Dato,$A313))*2,0)/2)))</f>
        <v/>
      </c>
      <c r="AU313">
        <f>IF(OR(AU$4="",$A313&gt;TODAY()),0,IF(OR(INDEX($B313:$D313,AU$5)="F",AND(AU$6&gt;0,$A313&lt;AU$6),AND(AU$7&gt;0,$A313&gt;AU$7)),0,MAX(0,ROUND((INDEX($E313:$G313,AU$5)-SUMIFS(TF_Timer,TF_Tekniker,AU$4,TF_Dato,$A313))*2,0)/2)))</f>
        <v/>
      </c>
      <c r="AV313">
        <f>IF(OR(AV$4="",$A313&gt;TODAY()),0,IF(OR(INDEX($B313:$D313,AV$5)="F",AND(AV$6&gt;0,$A313&lt;AV$6),AND(AV$7&gt;0,$A313&gt;AV$7)),0,MAX(0,ROUND((INDEX($E313:$G313,AV$5)-SUMIFS(TF_Timer,TF_Tekniker,AV$4,TF_Dato,$A313))*2,0)/2)))</f>
        <v/>
      </c>
      <c r="AW313">
        <f>IF(OR(AW$4="",$A313&gt;TODAY()),0,IF(OR(INDEX($B313:$D313,AW$5)="F",AND(AW$6&gt;0,$A313&lt;AW$6),AND(AW$7&gt;0,$A313&gt;AW$7)),0,MAX(0,ROUND((INDEX($E313:$G313,AW$5)-SUMIFS(TF_Timer,TF_Tekniker,AW$4,TF_Dato,$A313))*2,0)/2)))</f>
        <v/>
      </c>
      <c r="AX313">
        <f>IF(OR(AX$4="",$A313&gt;TODAY()),0,IF(OR(INDEX($B313:$D313,AX$5)="F",AND(AX$6&gt;0,$A313&lt;AX$6),AND(AX$7&gt;0,$A313&gt;AX$7)),0,MAX(0,ROUND((INDEX($E313:$G313,AX$5)-SUMIFS(TF_Timer,TF_Tekniker,AX$4,TF_Dato,$A313))*2,0)/2)))</f>
        <v/>
      </c>
      <c r="AY313">
        <f>IF(OR(AY$4="",$A313&gt;TODAY()),0,IF(OR(INDEX($B313:$D313,AY$5)="F",AND(AY$6&gt;0,$A313&lt;AY$6),AND(AY$7&gt;0,$A313&gt;AY$7)),0,MAX(0,ROUND((INDEX($E313:$G313,AY$5)-SUMIFS(TF_Timer,TF_Tekniker,AY$4,TF_Dato,$A313))*2,0)/2)))</f>
        <v/>
      </c>
      <c r="AZ313">
        <f>IF(OR(AZ$4="",$A313&gt;TODAY()),0,IF(OR(INDEX($B313:$D313,AZ$5)="F",AND(AZ$6&gt;0,$A313&lt;AZ$6),AND(AZ$7&gt;0,$A313&gt;AZ$7)),0,MAX(0,ROUND((INDEX($E313:$G313,AZ$5)-SUMIFS(TF_Timer,TF_Tekniker,AZ$4,TF_Dato,$A313))*2,0)/2)))</f>
        <v/>
      </c>
      <c r="BA313">
        <f>IF(OR(BA$4="",$A313&gt;TODAY()),0,IF(OR(INDEX($B313:$D313,BA$5)="F",AND(BA$6&gt;0,$A313&lt;BA$6),AND(BA$7&gt;0,$A313&gt;BA$7)),0,MAX(0,ROUND((INDEX($E313:$G313,BA$5)-SUMIFS(TF_Timer,TF_Tekniker,BA$4,TF_Dato,$A313))*2,0)/2)))</f>
        <v/>
      </c>
      <c r="BB313">
        <f>IF(OR(BB$4="",$A313&gt;TODAY()),0,IF(OR(INDEX($B313:$D313,BB$5)="F",AND(BB$6&gt;0,$A313&lt;BB$6),AND(BB$7&gt;0,$A313&gt;BB$7)),0,MAX(0,ROUND((INDEX($E313:$G313,BB$5)-SUMIFS(TF_Timer,TF_Tekniker,BB$4,TF_Dato,$A313))*2,0)/2)))</f>
        <v/>
      </c>
      <c r="BC313">
        <f>IF(OR(BC$4="",$A313&gt;TODAY()),0,IF(OR(INDEX($B313:$D313,BC$5)="F",AND(BC$6&gt;0,$A313&lt;BC$6),AND(BC$7&gt;0,$A313&gt;BC$7)),0,MAX(0,ROUND((INDEX($E313:$G313,BC$5)-SUMIFS(TF_Timer,TF_Tekniker,BC$4,TF_Dato,$A313))*2,0)/2)))</f>
        <v/>
      </c>
      <c r="BD313">
        <f>IF(OR(BD$4="",$A313&gt;TODAY()),0,IF(OR(INDEX($B313:$D313,BD$5)="F",AND(BD$6&gt;0,$A313&lt;BD$6),AND(BD$7&gt;0,$A313&gt;BD$7)),0,MAX(0,ROUND((INDEX($E313:$G313,BD$5)-SUMIFS(TF_Timer,TF_Tekniker,BD$4,TF_Dato,$A313))*2,0)/2)))</f>
        <v/>
      </c>
      <c r="BE313">
        <f>IF(OR(BE$4="",$A313&gt;TODAY()),0,IF(OR(INDEX($B313:$D313,BE$5)="F",AND(BE$6&gt;0,$A313&lt;BE$6),AND(BE$7&gt;0,$A313&gt;BE$7)),0,MAX(0,ROUND((INDEX($E313:$G313,BE$5)-SUMIFS(TF_Timer,TF_Tekniker,BE$4,TF_Dato,$A313))*2,0)/2)))</f>
        <v/>
      </c>
      <c r="BF313">
        <f>IF(OR(BF$4="",$A313&gt;TODAY()),0,IF(OR(INDEX($B313:$D313,BF$5)="F",AND(BF$6&gt;0,$A313&lt;BF$6),AND(BF$7&gt;0,$A313&gt;BF$7)),0,MAX(0,ROUND((INDEX($E313:$G313,BF$5)-SUMIFS(TF_Timer,TF_Tekniker,BF$4,TF_Dato,$A313))*2,0)/2)))</f>
        <v/>
      </c>
      <c r="BG313">
        <f>IF(OR(BG$4="",$A313&gt;TODAY()),0,IF(OR(INDEX($B313:$D313,BG$5)="F",AND(BG$6&gt;0,$A313&lt;BG$6),AND(BG$7&gt;0,$A313&gt;BG$7)),0,MAX(0,ROUND((INDEX($E313:$G313,BG$5)-SUMIFS(TF_Timer,TF_Tekniker,BG$4,TF_Dato,$A313))*2,0)/2)))</f>
        <v/>
      </c>
      <c r="BH313">
        <f>IF(OR(BH$4="",$A313&gt;TODAY()),0,IF(OR(INDEX($B313:$D313,BH$5)="F",AND(BH$6&gt;0,$A313&lt;BH$6),AND(BH$7&gt;0,$A313&gt;BH$7)),0,MAX(0,ROUND((INDEX($E313:$G313,BH$5)-SUMIFS(TF_Timer,TF_Tekniker,BH$4,TF_Dato,$A313))*2,0)/2)))</f>
        <v/>
      </c>
      <c r="BI313">
        <f>IF(OR(BI$4="",$A313&gt;TODAY()),0,IF(OR(INDEX($B313:$D313,BI$5)="F",AND(BI$6&gt;0,$A313&lt;BI$6),AND(BI$7&gt;0,$A313&gt;BI$7)),0,MAX(0,ROUND((INDEX($E313:$G313,BI$5)-SUMIFS(TF_Timer,TF_Tekniker,BI$4,TF_Dato,$A313))*2,0)/2)))</f>
        <v/>
      </c>
    </row>
    <row r="314">
      <c r="A314" s="64">
        <f>A313+1</f>
        <v/>
      </c>
      <c r="B314">
        <f>IF(MOD($A314-INDEX(SkiftStart,1),Syklus)&lt;DagK,"K",IF(MOD($A314-INDEX(SkiftStart,1),Syklus)&lt;DagK+DagH,"H",IF(MOD($A314-INDEX(SkiftStart,1),Syklus)&lt;DagK+DagH+DagD,"D","F")))</f>
        <v/>
      </c>
      <c r="C314">
        <f>IF(MOD($A314-INDEX(SkiftStart,2),Syklus)&lt;DagK,"K",IF(MOD($A314-INDEX(SkiftStart,2),Syklus)&lt;DagK+DagH,"H",IF(MOD($A314-INDEX(SkiftStart,2),Syklus)&lt;DagK+DagH+DagD,"D","F")))</f>
        <v/>
      </c>
      <c r="D314">
        <f>IF(MOD($A314-INDEX(SkiftStart,3),Syklus)&lt;DagK,"K",IF(MOD($A314-INDEX(SkiftStart,3),Syklus)&lt;DagK+DagH,"H",IF(MOD($A314-INDEX(SkiftStart,3),Syklus)&lt;DagK+DagH+DagD,"D","F")))</f>
        <v/>
      </c>
      <c r="E314">
        <f>IF(B314="F",0,IF(WEEKDAY($A314,2)=5,INDEX(TimerFr,MATCH(B314,FaseKode,0)),INDEX(TimerMT,MATCH(B314,FaseKode,0))))</f>
        <v/>
      </c>
      <c r="F314">
        <f>IF(C314="F",0,IF(WEEKDAY($A314,2)=5,INDEX(TimerFr,MATCH(C314,FaseKode,0)),INDEX(TimerMT,MATCH(C314,FaseKode,0))))</f>
        <v/>
      </c>
      <c r="G314">
        <f>IF(D314="F",0,IF(WEEKDAY($A314,2)=5,INDEX(TimerFr,MATCH(D314,FaseKode,0)),INDEX(TimerMT,MATCH(D314,FaseKode,0))))</f>
        <v/>
      </c>
      <c r="H314">
        <f>IF(OR(H$4="",$A314&gt;TODAY()),0,IF(OR(INDEX($B314:$D314,H$5)="F",AND(H$6&gt;0,$A314&lt;H$6),AND(H$7&gt;0,$A314&gt;H$7)),0,MAX(0,ROUND((INDEX($E314:$G314,H$5)-SUMIFS(TF_Timer,TF_Tekniker,H$4,TF_Dato,$A314))*2,0)/2)))</f>
        <v/>
      </c>
      <c r="I314">
        <f>IF(OR(I$4="",$A314&gt;TODAY()),0,IF(OR(INDEX($B314:$D314,I$5)="F",AND(I$6&gt;0,$A314&lt;I$6),AND(I$7&gt;0,$A314&gt;I$7)),0,MAX(0,ROUND((INDEX($E314:$G314,I$5)-SUMIFS(TF_Timer,TF_Tekniker,I$4,TF_Dato,$A314))*2,0)/2)))</f>
        <v/>
      </c>
      <c r="J314">
        <f>IF(OR(J$4="",$A314&gt;TODAY()),0,IF(OR(INDEX($B314:$D314,J$5)="F",AND(J$6&gt;0,$A314&lt;J$6),AND(J$7&gt;0,$A314&gt;J$7)),0,MAX(0,ROUND((INDEX($E314:$G314,J$5)-SUMIFS(TF_Timer,TF_Tekniker,J$4,TF_Dato,$A314))*2,0)/2)))</f>
        <v/>
      </c>
      <c r="K314">
        <f>IF(OR(K$4="",$A314&gt;TODAY()),0,IF(OR(INDEX($B314:$D314,K$5)="F",AND(K$6&gt;0,$A314&lt;K$6),AND(K$7&gt;0,$A314&gt;K$7)),0,MAX(0,ROUND((INDEX($E314:$G314,K$5)-SUMIFS(TF_Timer,TF_Tekniker,K$4,TF_Dato,$A314))*2,0)/2)))</f>
        <v/>
      </c>
      <c r="L314">
        <f>IF(OR(L$4="",$A314&gt;TODAY()),0,IF(OR(INDEX($B314:$D314,L$5)="F",AND(L$6&gt;0,$A314&lt;L$6),AND(L$7&gt;0,$A314&gt;L$7)),0,MAX(0,ROUND((INDEX($E314:$G314,L$5)-SUMIFS(TF_Timer,TF_Tekniker,L$4,TF_Dato,$A314))*2,0)/2)))</f>
        <v/>
      </c>
      <c r="M314">
        <f>IF(OR(M$4="",$A314&gt;TODAY()),0,IF(OR(INDEX($B314:$D314,M$5)="F",AND(M$6&gt;0,$A314&lt;M$6),AND(M$7&gt;0,$A314&gt;M$7)),0,MAX(0,ROUND((INDEX($E314:$G314,M$5)-SUMIFS(TF_Timer,TF_Tekniker,M$4,TF_Dato,$A314))*2,0)/2)))</f>
        <v/>
      </c>
      <c r="N314">
        <f>IF(OR(N$4="",$A314&gt;TODAY()),0,IF(OR(INDEX($B314:$D314,N$5)="F",AND(N$6&gt;0,$A314&lt;N$6),AND(N$7&gt;0,$A314&gt;N$7)),0,MAX(0,ROUND((INDEX($E314:$G314,N$5)-SUMIFS(TF_Timer,TF_Tekniker,N$4,TF_Dato,$A314))*2,0)/2)))</f>
        <v/>
      </c>
      <c r="O314">
        <f>IF(OR(O$4="",$A314&gt;TODAY()),0,IF(OR(INDEX($B314:$D314,O$5)="F",AND(O$6&gt;0,$A314&lt;O$6),AND(O$7&gt;0,$A314&gt;O$7)),0,MAX(0,ROUND((INDEX($E314:$G314,O$5)-SUMIFS(TF_Timer,TF_Tekniker,O$4,TF_Dato,$A314))*2,0)/2)))</f>
        <v/>
      </c>
      <c r="P314">
        <f>IF(OR(P$4="",$A314&gt;TODAY()),0,IF(OR(INDEX($B314:$D314,P$5)="F",AND(P$6&gt;0,$A314&lt;P$6),AND(P$7&gt;0,$A314&gt;P$7)),0,MAX(0,ROUND((INDEX($E314:$G314,P$5)-SUMIFS(TF_Timer,TF_Tekniker,P$4,TF_Dato,$A314))*2,0)/2)))</f>
        <v/>
      </c>
      <c r="Q314">
        <f>IF(OR(Q$4="",$A314&gt;TODAY()),0,IF(OR(INDEX($B314:$D314,Q$5)="F",AND(Q$6&gt;0,$A314&lt;Q$6),AND(Q$7&gt;0,$A314&gt;Q$7)),0,MAX(0,ROUND((INDEX($E314:$G314,Q$5)-SUMIFS(TF_Timer,TF_Tekniker,Q$4,TF_Dato,$A314))*2,0)/2)))</f>
        <v/>
      </c>
      <c r="R314">
        <f>IF(OR(R$4="",$A314&gt;TODAY()),0,IF(OR(INDEX($B314:$D314,R$5)="F",AND(R$6&gt;0,$A314&lt;R$6),AND(R$7&gt;0,$A314&gt;R$7)),0,MAX(0,ROUND((INDEX($E314:$G314,R$5)-SUMIFS(TF_Timer,TF_Tekniker,R$4,TF_Dato,$A314))*2,0)/2)))</f>
        <v/>
      </c>
      <c r="S314">
        <f>IF(OR(S$4="",$A314&gt;TODAY()),0,IF(OR(INDEX($B314:$D314,S$5)="F",AND(S$6&gt;0,$A314&lt;S$6),AND(S$7&gt;0,$A314&gt;S$7)),0,MAX(0,ROUND((INDEX($E314:$G314,S$5)-SUMIFS(TF_Timer,TF_Tekniker,S$4,TF_Dato,$A314))*2,0)/2)))</f>
        <v/>
      </c>
      <c r="T314">
        <f>IF(OR(T$4="",$A314&gt;TODAY()),0,IF(OR(INDEX($B314:$D314,T$5)="F",AND(T$6&gt;0,$A314&lt;T$6),AND(T$7&gt;0,$A314&gt;T$7)),0,MAX(0,ROUND((INDEX($E314:$G314,T$5)-SUMIFS(TF_Timer,TF_Tekniker,T$4,TF_Dato,$A314))*2,0)/2)))</f>
        <v/>
      </c>
      <c r="U314">
        <f>IF(OR(U$4="",$A314&gt;TODAY()),0,IF(OR(INDEX($B314:$D314,U$5)="F",AND(U$6&gt;0,$A314&lt;U$6),AND(U$7&gt;0,$A314&gt;U$7)),0,MAX(0,ROUND((INDEX($E314:$G314,U$5)-SUMIFS(TF_Timer,TF_Tekniker,U$4,TF_Dato,$A314))*2,0)/2)))</f>
        <v/>
      </c>
      <c r="V314">
        <f>IF(OR(V$4="",$A314&gt;TODAY()),0,IF(OR(INDEX($B314:$D314,V$5)="F",AND(V$6&gt;0,$A314&lt;V$6),AND(V$7&gt;0,$A314&gt;V$7)),0,MAX(0,ROUND((INDEX($E314:$G314,V$5)-SUMIFS(TF_Timer,TF_Tekniker,V$4,TF_Dato,$A314))*2,0)/2)))</f>
        <v/>
      </c>
      <c r="W314">
        <f>IF(OR(W$4="",$A314&gt;TODAY()),0,IF(OR(INDEX($B314:$D314,W$5)="F",AND(W$6&gt;0,$A314&lt;W$6),AND(W$7&gt;0,$A314&gt;W$7)),0,MAX(0,ROUND((INDEX($E314:$G314,W$5)-SUMIFS(TF_Timer,TF_Tekniker,W$4,TF_Dato,$A314))*2,0)/2)))</f>
        <v/>
      </c>
      <c r="X314">
        <f>IF(OR(X$4="",$A314&gt;TODAY()),0,IF(OR(INDEX($B314:$D314,X$5)="F",AND(X$6&gt;0,$A314&lt;X$6),AND(X$7&gt;0,$A314&gt;X$7)),0,MAX(0,ROUND((INDEX($E314:$G314,X$5)-SUMIFS(TF_Timer,TF_Tekniker,X$4,TF_Dato,$A314))*2,0)/2)))</f>
        <v/>
      </c>
      <c r="Y314">
        <f>IF(OR(Y$4="",$A314&gt;TODAY()),0,IF(OR(INDEX($B314:$D314,Y$5)="F",AND(Y$6&gt;0,$A314&lt;Y$6),AND(Y$7&gt;0,$A314&gt;Y$7)),0,MAX(0,ROUND((INDEX($E314:$G314,Y$5)-SUMIFS(TF_Timer,TF_Tekniker,Y$4,TF_Dato,$A314))*2,0)/2)))</f>
        <v/>
      </c>
      <c r="Z314">
        <f>IF(OR(Z$4="",$A314&gt;TODAY()),0,IF(OR(INDEX($B314:$D314,Z$5)="F",AND(Z$6&gt;0,$A314&lt;Z$6),AND(Z$7&gt;0,$A314&gt;Z$7)),0,MAX(0,ROUND((INDEX($E314:$G314,Z$5)-SUMIFS(TF_Timer,TF_Tekniker,Z$4,TF_Dato,$A314))*2,0)/2)))</f>
        <v/>
      </c>
      <c r="AA314">
        <f>IF(OR(AA$4="",$A314&gt;TODAY()),0,IF(OR(INDEX($B314:$D314,AA$5)="F",AND(AA$6&gt;0,$A314&lt;AA$6),AND(AA$7&gt;0,$A314&gt;AA$7)),0,MAX(0,ROUND((INDEX($E314:$G314,AA$5)-SUMIFS(TF_Timer,TF_Tekniker,AA$4,TF_Dato,$A314))*2,0)/2)))</f>
        <v/>
      </c>
      <c r="AB314">
        <f>IF(OR(AB$4="",$A314&gt;TODAY()),0,IF(OR(INDEX($B314:$D314,AB$5)="F",AND(AB$6&gt;0,$A314&lt;AB$6),AND(AB$7&gt;0,$A314&gt;AB$7)),0,MAX(0,ROUND((INDEX($E314:$G314,AB$5)-SUMIFS(TF_Timer,TF_Tekniker,AB$4,TF_Dato,$A314))*2,0)/2)))</f>
        <v/>
      </c>
      <c r="AC314">
        <f>IF(OR(AC$4="",$A314&gt;TODAY()),0,IF(OR(INDEX($B314:$D314,AC$5)="F",AND(AC$6&gt;0,$A314&lt;AC$6),AND(AC$7&gt;0,$A314&gt;AC$7)),0,MAX(0,ROUND((INDEX($E314:$G314,AC$5)-SUMIFS(TF_Timer,TF_Tekniker,AC$4,TF_Dato,$A314))*2,0)/2)))</f>
        <v/>
      </c>
      <c r="AD314">
        <f>IF(OR(AD$4="",$A314&gt;TODAY()),0,IF(OR(INDEX($B314:$D314,AD$5)="F",AND(AD$6&gt;0,$A314&lt;AD$6),AND(AD$7&gt;0,$A314&gt;AD$7)),0,MAX(0,ROUND((INDEX($E314:$G314,AD$5)-SUMIFS(TF_Timer,TF_Tekniker,AD$4,TF_Dato,$A314))*2,0)/2)))</f>
        <v/>
      </c>
      <c r="AE314">
        <f>IF(OR(AE$4="",$A314&gt;TODAY()),0,IF(OR(INDEX($B314:$D314,AE$5)="F",AND(AE$6&gt;0,$A314&lt;AE$6),AND(AE$7&gt;0,$A314&gt;AE$7)),0,MAX(0,ROUND((INDEX($E314:$G314,AE$5)-SUMIFS(TF_Timer,TF_Tekniker,AE$4,TF_Dato,$A314))*2,0)/2)))</f>
        <v/>
      </c>
      <c r="AF314">
        <f>IF(OR(AF$4="",$A314&gt;TODAY()),0,IF(OR(INDEX($B314:$D314,AF$5)="F",AND(AF$6&gt;0,$A314&lt;AF$6),AND(AF$7&gt;0,$A314&gt;AF$7)),0,MAX(0,ROUND((INDEX($E314:$G314,AF$5)-SUMIFS(TF_Timer,TF_Tekniker,AF$4,TF_Dato,$A314))*2,0)/2)))</f>
        <v/>
      </c>
      <c r="AG314">
        <f>IF(OR(AG$4="",$A314&gt;TODAY()),0,IF(OR(INDEX($B314:$D314,AG$5)="F",AND(AG$6&gt;0,$A314&lt;AG$6),AND(AG$7&gt;0,$A314&gt;AG$7)),0,MAX(0,ROUND((INDEX($E314:$G314,AG$5)-SUMIFS(TF_Timer,TF_Tekniker,AG$4,TF_Dato,$A314))*2,0)/2)))</f>
        <v/>
      </c>
      <c r="AH314">
        <f>IF(OR(AH$4="",$A314&gt;TODAY()),0,IF(OR(INDEX($B314:$D314,AH$5)="F",AND(AH$6&gt;0,$A314&lt;AH$6),AND(AH$7&gt;0,$A314&gt;AH$7)),0,MAX(0,ROUND((INDEX($E314:$G314,AH$5)-SUMIFS(TF_Timer,TF_Tekniker,AH$4,TF_Dato,$A314))*2,0)/2)))</f>
        <v/>
      </c>
      <c r="AI314">
        <f>IF(OR(AI$4="",$A314&gt;TODAY()),0,IF(OR(INDEX($B314:$D314,AI$5)="F",AND(AI$6&gt;0,$A314&lt;AI$6),AND(AI$7&gt;0,$A314&gt;AI$7)),0,MAX(0,ROUND((INDEX($E314:$G314,AI$5)-SUMIFS(TF_Timer,TF_Tekniker,AI$4,TF_Dato,$A314))*2,0)/2)))</f>
        <v/>
      </c>
      <c r="AJ314">
        <f>IF(OR(AJ$4="",$A314&gt;TODAY()),0,IF(OR(INDEX($B314:$D314,AJ$5)="F",AND(AJ$6&gt;0,$A314&lt;AJ$6),AND(AJ$7&gt;0,$A314&gt;AJ$7)),0,MAX(0,ROUND((INDEX($E314:$G314,AJ$5)-SUMIFS(TF_Timer,TF_Tekniker,AJ$4,TF_Dato,$A314))*2,0)/2)))</f>
        <v/>
      </c>
      <c r="AK314">
        <f>IF(OR(AK$4="",$A314&gt;TODAY()),0,IF(OR(INDEX($B314:$D314,AK$5)="F",AND(AK$6&gt;0,$A314&lt;AK$6),AND(AK$7&gt;0,$A314&gt;AK$7)),0,MAX(0,ROUND((INDEX($E314:$G314,AK$5)-SUMIFS(TF_Timer,TF_Tekniker,AK$4,TF_Dato,$A314))*2,0)/2)))</f>
        <v/>
      </c>
      <c r="AL314">
        <f>IF(OR(AL$4="",$A314&gt;TODAY()),0,IF(OR(INDEX($B314:$D314,AL$5)="F",AND(AL$6&gt;0,$A314&lt;AL$6),AND(AL$7&gt;0,$A314&gt;AL$7)),0,MAX(0,ROUND((INDEX($E314:$G314,AL$5)-SUMIFS(TF_Timer,TF_Tekniker,AL$4,TF_Dato,$A314))*2,0)/2)))</f>
        <v/>
      </c>
      <c r="AM314">
        <f>IF(OR(AM$4="",$A314&gt;TODAY()),0,IF(OR(INDEX($B314:$D314,AM$5)="F",AND(AM$6&gt;0,$A314&lt;AM$6),AND(AM$7&gt;0,$A314&gt;AM$7)),0,MAX(0,ROUND((INDEX($E314:$G314,AM$5)-SUMIFS(TF_Timer,TF_Tekniker,AM$4,TF_Dato,$A314))*2,0)/2)))</f>
        <v/>
      </c>
      <c r="AN314">
        <f>IF(OR(AN$4="",$A314&gt;TODAY()),0,IF(OR(INDEX($B314:$D314,AN$5)="F",AND(AN$6&gt;0,$A314&lt;AN$6),AND(AN$7&gt;0,$A314&gt;AN$7)),0,MAX(0,ROUND((INDEX($E314:$G314,AN$5)-SUMIFS(TF_Timer,TF_Tekniker,AN$4,TF_Dato,$A314))*2,0)/2)))</f>
        <v/>
      </c>
      <c r="AO314">
        <f>IF(OR(AO$4="",$A314&gt;TODAY()),0,IF(OR(INDEX($B314:$D314,AO$5)="F",AND(AO$6&gt;0,$A314&lt;AO$6),AND(AO$7&gt;0,$A314&gt;AO$7)),0,MAX(0,ROUND((INDEX($E314:$G314,AO$5)-SUMIFS(TF_Timer,TF_Tekniker,AO$4,TF_Dato,$A314))*2,0)/2)))</f>
        <v/>
      </c>
      <c r="AP314">
        <f>IF(OR(AP$4="",$A314&gt;TODAY()),0,IF(OR(INDEX($B314:$D314,AP$5)="F",AND(AP$6&gt;0,$A314&lt;AP$6),AND(AP$7&gt;0,$A314&gt;AP$7)),0,MAX(0,ROUND((INDEX($E314:$G314,AP$5)-SUMIFS(TF_Timer,TF_Tekniker,AP$4,TF_Dato,$A314))*2,0)/2)))</f>
        <v/>
      </c>
      <c r="AQ314">
        <f>IF(OR(AQ$4="",$A314&gt;TODAY()),0,IF(OR(INDEX($B314:$D314,AQ$5)="F",AND(AQ$6&gt;0,$A314&lt;AQ$6),AND(AQ$7&gt;0,$A314&gt;AQ$7)),0,MAX(0,ROUND((INDEX($E314:$G314,AQ$5)-SUMIFS(TF_Timer,TF_Tekniker,AQ$4,TF_Dato,$A314))*2,0)/2)))</f>
        <v/>
      </c>
      <c r="AR314">
        <f>IF(OR(AR$4="",$A314&gt;TODAY()),0,IF(OR(INDEX($B314:$D314,AR$5)="F",AND(AR$6&gt;0,$A314&lt;AR$6),AND(AR$7&gt;0,$A314&gt;AR$7)),0,MAX(0,ROUND((INDEX($E314:$G314,AR$5)-SUMIFS(TF_Timer,TF_Tekniker,AR$4,TF_Dato,$A314))*2,0)/2)))</f>
        <v/>
      </c>
      <c r="AS314">
        <f>IF(OR(AS$4="",$A314&gt;TODAY()),0,IF(OR(INDEX($B314:$D314,AS$5)="F",AND(AS$6&gt;0,$A314&lt;AS$6),AND(AS$7&gt;0,$A314&gt;AS$7)),0,MAX(0,ROUND((INDEX($E314:$G314,AS$5)-SUMIFS(TF_Timer,TF_Tekniker,AS$4,TF_Dato,$A314))*2,0)/2)))</f>
        <v/>
      </c>
      <c r="AT314">
        <f>IF(OR(AT$4="",$A314&gt;TODAY()),0,IF(OR(INDEX($B314:$D314,AT$5)="F",AND(AT$6&gt;0,$A314&lt;AT$6),AND(AT$7&gt;0,$A314&gt;AT$7)),0,MAX(0,ROUND((INDEX($E314:$G314,AT$5)-SUMIFS(TF_Timer,TF_Tekniker,AT$4,TF_Dato,$A314))*2,0)/2)))</f>
        <v/>
      </c>
      <c r="AU314">
        <f>IF(OR(AU$4="",$A314&gt;TODAY()),0,IF(OR(INDEX($B314:$D314,AU$5)="F",AND(AU$6&gt;0,$A314&lt;AU$6),AND(AU$7&gt;0,$A314&gt;AU$7)),0,MAX(0,ROUND((INDEX($E314:$G314,AU$5)-SUMIFS(TF_Timer,TF_Tekniker,AU$4,TF_Dato,$A314))*2,0)/2)))</f>
        <v/>
      </c>
      <c r="AV314">
        <f>IF(OR(AV$4="",$A314&gt;TODAY()),0,IF(OR(INDEX($B314:$D314,AV$5)="F",AND(AV$6&gt;0,$A314&lt;AV$6),AND(AV$7&gt;0,$A314&gt;AV$7)),0,MAX(0,ROUND((INDEX($E314:$G314,AV$5)-SUMIFS(TF_Timer,TF_Tekniker,AV$4,TF_Dato,$A314))*2,0)/2)))</f>
        <v/>
      </c>
      <c r="AW314">
        <f>IF(OR(AW$4="",$A314&gt;TODAY()),0,IF(OR(INDEX($B314:$D314,AW$5)="F",AND(AW$6&gt;0,$A314&lt;AW$6),AND(AW$7&gt;0,$A314&gt;AW$7)),0,MAX(0,ROUND((INDEX($E314:$G314,AW$5)-SUMIFS(TF_Timer,TF_Tekniker,AW$4,TF_Dato,$A314))*2,0)/2)))</f>
        <v/>
      </c>
      <c r="AX314">
        <f>IF(OR(AX$4="",$A314&gt;TODAY()),0,IF(OR(INDEX($B314:$D314,AX$5)="F",AND(AX$6&gt;0,$A314&lt;AX$6),AND(AX$7&gt;0,$A314&gt;AX$7)),0,MAX(0,ROUND((INDEX($E314:$G314,AX$5)-SUMIFS(TF_Timer,TF_Tekniker,AX$4,TF_Dato,$A314))*2,0)/2)))</f>
        <v/>
      </c>
      <c r="AY314">
        <f>IF(OR(AY$4="",$A314&gt;TODAY()),0,IF(OR(INDEX($B314:$D314,AY$5)="F",AND(AY$6&gt;0,$A314&lt;AY$6),AND(AY$7&gt;0,$A314&gt;AY$7)),0,MAX(0,ROUND((INDEX($E314:$G314,AY$5)-SUMIFS(TF_Timer,TF_Tekniker,AY$4,TF_Dato,$A314))*2,0)/2)))</f>
        <v/>
      </c>
      <c r="AZ314">
        <f>IF(OR(AZ$4="",$A314&gt;TODAY()),0,IF(OR(INDEX($B314:$D314,AZ$5)="F",AND(AZ$6&gt;0,$A314&lt;AZ$6),AND(AZ$7&gt;0,$A314&gt;AZ$7)),0,MAX(0,ROUND((INDEX($E314:$G314,AZ$5)-SUMIFS(TF_Timer,TF_Tekniker,AZ$4,TF_Dato,$A314))*2,0)/2)))</f>
        <v/>
      </c>
      <c r="BA314">
        <f>IF(OR(BA$4="",$A314&gt;TODAY()),0,IF(OR(INDEX($B314:$D314,BA$5)="F",AND(BA$6&gt;0,$A314&lt;BA$6),AND(BA$7&gt;0,$A314&gt;BA$7)),0,MAX(0,ROUND((INDEX($E314:$G314,BA$5)-SUMIFS(TF_Timer,TF_Tekniker,BA$4,TF_Dato,$A314))*2,0)/2)))</f>
        <v/>
      </c>
      <c r="BB314">
        <f>IF(OR(BB$4="",$A314&gt;TODAY()),0,IF(OR(INDEX($B314:$D314,BB$5)="F",AND(BB$6&gt;0,$A314&lt;BB$6),AND(BB$7&gt;0,$A314&gt;BB$7)),0,MAX(0,ROUND((INDEX($E314:$G314,BB$5)-SUMIFS(TF_Timer,TF_Tekniker,BB$4,TF_Dato,$A314))*2,0)/2)))</f>
        <v/>
      </c>
      <c r="BC314">
        <f>IF(OR(BC$4="",$A314&gt;TODAY()),0,IF(OR(INDEX($B314:$D314,BC$5)="F",AND(BC$6&gt;0,$A314&lt;BC$6),AND(BC$7&gt;0,$A314&gt;BC$7)),0,MAX(0,ROUND((INDEX($E314:$G314,BC$5)-SUMIFS(TF_Timer,TF_Tekniker,BC$4,TF_Dato,$A314))*2,0)/2)))</f>
        <v/>
      </c>
      <c r="BD314">
        <f>IF(OR(BD$4="",$A314&gt;TODAY()),0,IF(OR(INDEX($B314:$D314,BD$5)="F",AND(BD$6&gt;0,$A314&lt;BD$6),AND(BD$7&gt;0,$A314&gt;BD$7)),0,MAX(0,ROUND((INDEX($E314:$G314,BD$5)-SUMIFS(TF_Timer,TF_Tekniker,BD$4,TF_Dato,$A314))*2,0)/2)))</f>
        <v/>
      </c>
      <c r="BE314">
        <f>IF(OR(BE$4="",$A314&gt;TODAY()),0,IF(OR(INDEX($B314:$D314,BE$5)="F",AND(BE$6&gt;0,$A314&lt;BE$6),AND(BE$7&gt;0,$A314&gt;BE$7)),0,MAX(0,ROUND((INDEX($E314:$G314,BE$5)-SUMIFS(TF_Timer,TF_Tekniker,BE$4,TF_Dato,$A314))*2,0)/2)))</f>
        <v/>
      </c>
      <c r="BF314">
        <f>IF(OR(BF$4="",$A314&gt;TODAY()),0,IF(OR(INDEX($B314:$D314,BF$5)="F",AND(BF$6&gt;0,$A314&lt;BF$6),AND(BF$7&gt;0,$A314&gt;BF$7)),0,MAX(0,ROUND((INDEX($E314:$G314,BF$5)-SUMIFS(TF_Timer,TF_Tekniker,BF$4,TF_Dato,$A314))*2,0)/2)))</f>
        <v/>
      </c>
      <c r="BG314">
        <f>IF(OR(BG$4="",$A314&gt;TODAY()),0,IF(OR(INDEX($B314:$D314,BG$5)="F",AND(BG$6&gt;0,$A314&lt;BG$6),AND(BG$7&gt;0,$A314&gt;BG$7)),0,MAX(0,ROUND((INDEX($E314:$G314,BG$5)-SUMIFS(TF_Timer,TF_Tekniker,BG$4,TF_Dato,$A314))*2,0)/2)))</f>
        <v/>
      </c>
      <c r="BH314">
        <f>IF(OR(BH$4="",$A314&gt;TODAY()),0,IF(OR(INDEX($B314:$D314,BH$5)="F",AND(BH$6&gt;0,$A314&lt;BH$6),AND(BH$7&gt;0,$A314&gt;BH$7)),0,MAX(0,ROUND((INDEX($E314:$G314,BH$5)-SUMIFS(TF_Timer,TF_Tekniker,BH$4,TF_Dato,$A314))*2,0)/2)))</f>
        <v/>
      </c>
      <c r="BI314">
        <f>IF(OR(BI$4="",$A314&gt;TODAY()),0,IF(OR(INDEX($B314:$D314,BI$5)="F",AND(BI$6&gt;0,$A314&lt;BI$6),AND(BI$7&gt;0,$A314&gt;BI$7)),0,MAX(0,ROUND((INDEX($E314:$G314,BI$5)-SUMIFS(TF_Timer,TF_Tekniker,BI$4,TF_Dato,$A314))*2,0)/2)))</f>
        <v/>
      </c>
    </row>
    <row r="315">
      <c r="A315" s="64">
        <f>A314+1</f>
        <v/>
      </c>
      <c r="B315">
        <f>IF(MOD($A315-INDEX(SkiftStart,1),Syklus)&lt;DagK,"K",IF(MOD($A315-INDEX(SkiftStart,1),Syklus)&lt;DagK+DagH,"H",IF(MOD($A315-INDEX(SkiftStart,1),Syklus)&lt;DagK+DagH+DagD,"D","F")))</f>
        <v/>
      </c>
      <c r="C315">
        <f>IF(MOD($A315-INDEX(SkiftStart,2),Syklus)&lt;DagK,"K",IF(MOD($A315-INDEX(SkiftStart,2),Syklus)&lt;DagK+DagH,"H",IF(MOD($A315-INDEX(SkiftStart,2),Syklus)&lt;DagK+DagH+DagD,"D","F")))</f>
        <v/>
      </c>
      <c r="D315">
        <f>IF(MOD($A315-INDEX(SkiftStart,3),Syklus)&lt;DagK,"K",IF(MOD($A315-INDEX(SkiftStart,3),Syklus)&lt;DagK+DagH,"H",IF(MOD($A315-INDEX(SkiftStart,3),Syklus)&lt;DagK+DagH+DagD,"D","F")))</f>
        <v/>
      </c>
      <c r="E315">
        <f>IF(B315="F",0,IF(WEEKDAY($A315,2)=5,INDEX(TimerFr,MATCH(B315,FaseKode,0)),INDEX(TimerMT,MATCH(B315,FaseKode,0))))</f>
        <v/>
      </c>
      <c r="F315">
        <f>IF(C315="F",0,IF(WEEKDAY($A315,2)=5,INDEX(TimerFr,MATCH(C315,FaseKode,0)),INDEX(TimerMT,MATCH(C315,FaseKode,0))))</f>
        <v/>
      </c>
      <c r="G315">
        <f>IF(D315="F",0,IF(WEEKDAY($A315,2)=5,INDEX(TimerFr,MATCH(D315,FaseKode,0)),INDEX(TimerMT,MATCH(D315,FaseKode,0))))</f>
        <v/>
      </c>
      <c r="H315">
        <f>IF(OR(H$4="",$A315&gt;TODAY()),0,IF(OR(INDEX($B315:$D315,H$5)="F",AND(H$6&gt;0,$A315&lt;H$6),AND(H$7&gt;0,$A315&gt;H$7)),0,MAX(0,ROUND((INDEX($E315:$G315,H$5)-SUMIFS(TF_Timer,TF_Tekniker,H$4,TF_Dato,$A315))*2,0)/2)))</f>
        <v/>
      </c>
      <c r="I315">
        <f>IF(OR(I$4="",$A315&gt;TODAY()),0,IF(OR(INDEX($B315:$D315,I$5)="F",AND(I$6&gt;0,$A315&lt;I$6),AND(I$7&gt;0,$A315&gt;I$7)),0,MAX(0,ROUND((INDEX($E315:$G315,I$5)-SUMIFS(TF_Timer,TF_Tekniker,I$4,TF_Dato,$A315))*2,0)/2)))</f>
        <v/>
      </c>
      <c r="J315">
        <f>IF(OR(J$4="",$A315&gt;TODAY()),0,IF(OR(INDEX($B315:$D315,J$5)="F",AND(J$6&gt;0,$A315&lt;J$6),AND(J$7&gt;0,$A315&gt;J$7)),0,MAX(0,ROUND((INDEX($E315:$G315,J$5)-SUMIFS(TF_Timer,TF_Tekniker,J$4,TF_Dato,$A315))*2,0)/2)))</f>
        <v/>
      </c>
      <c r="K315">
        <f>IF(OR(K$4="",$A315&gt;TODAY()),0,IF(OR(INDEX($B315:$D315,K$5)="F",AND(K$6&gt;0,$A315&lt;K$6),AND(K$7&gt;0,$A315&gt;K$7)),0,MAX(0,ROUND((INDEX($E315:$G315,K$5)-SUMIFS(TF_Timer,TF_Tekniker,K$4,TF_Dato,$A315))*2,0)/2)))</f>
        <v/>
      </c>
      <c r="L315">
        <f>IF(OR(L$4="",$A315&gt;TODAY()),0,IF(OR(INDEX($B315:$D315,L$5)="F",AND(L$6&gt;0,$A315&lt;L$6),AND(L$7&gt;0,$A315&gt;L$7)),0,MAX(0,ROUND((INDEX($E315:$G315,L$5)-SUMIFS(TF_Timer,TF_Tekniker,L$4,TF_Dato,$A315))*2,0)/2)))</f>
        <v/>
      </c>
      <c r="M315">
        <f>IF(OR(M$4="",$A315&gt;TODAY()),0,IF(OR(INDEX($B315:$D315,M$5)="F",AND(M$6&gt;0,$A315&lt;M$6),AND(M$7&gt;0,$A315&gt;M$7)),0,MAX(0,ROUND((INDEX($E315:$G315,M$5)-SUMIFS(TF_Timer,TF_Tekniker,M$4,TF_Dato,$A315))*2,0)/2)))</f>
        <v/>
      </c>
      <c r="N315">
        <f>IF(OR(N$4="",$A315&gt;TODAY()),0,IF(OR(INDEX($B315:$D315,N$5)="F",AND(N$6&gt;0,$A315&lt;N$6),AND(N$7&gt;0,$A315&gt;N$7)),0,MAX(0,ROUND((INDEX($E315:$G315,N$5)-SUMIFS(TF_Timer,TF_Tekniker,N$4,TF_Dato,$A315))*2,0)/2)))</f>
        <v/>
      </c>
      <c r="O315">
        <f>IF(OR(O$4="",$A315&gt;TODAY()),0,IF(OR(INDEX($B315:$D315,O$5)="F",AND(O$6&gt;0,$A315&lt;O$6),AND(O$7&gt;0,$A315&gt;O$7)),0,MAX(0,ROUND((INDEX($E315:$G315,O$5)-SUMIFS(TF_Timer,TF_Tekniker,O$4,TF_Dato,$A315))*2,0)/2)))</f>
        <v/>
      </c>
      <c r="P315">
        <f>IF(OR(P$4="",$A315&gt;TODAY()),0,IF(OR(INDEX($B315:$D315,P$5)="F",AND(P$6&gt;0,$A315&lt;P$6),AND(P$7&gt;0,$A315&gt;P$7)),0,MAX(0,ROUND((INDEX($E315:$G315,P$5)-SUMIFS(TF_Timer,TF_Tekniker,P$4,TF_Dato,$A315))*2,0)/2)))</f>
        <v/>
      </c>
      <c r="Q315">
        <f>IF(OR(Q$4="",$A315&gt;TODAY()),0,IF(OR(INDEX($B315:$D315,Q$5)="F",AND(Q$6&gt;0,$A315&lt;Q$6),AND(Q$7&gt;0,$A315&gt;Q$7)),0,MAX(0,ROUND((INDEX($E315:$G315,Q$5)-SUMIFS(TF_Timer,TF_Tekniker,Q$4,TF_Dato,$A315))*2,0)/2)))</f>
        <v/>
      </c>
      <c r="R315">
        <f>IF(OR(R$4="",$A315&gt;TODAY()),0,IF(OR(INDEX($B315:$D315,R$5)="F",AND(R$6&gt;0,$A315&lt;R$6),AND(R$7&gt;0,$A315&gt;R$7)),0,MAX(0,ROUND((INDEX($E315:$G315,R$5)-SUMIFS(TF_Timer,TF_Tekniker,R$4,TF_Dato,$A315))*2,0)/2)))</f>
        <v/>
      </c>
      <c r="S315">
        <f>IF(OR(S$4="",$A315&gt;TODAY()),0,IF(OR(INDEX($B315:$D315,S$5)="F",AND(S$6&gt;0,$A315&lt;S$6),AND(S$7&gt;0,$A315&gt;S$7)),0,MAX(0,ROUND((INDEX($E315:$G315,S$5)-SUMIFS(TF_Timer,TF_Tekniker,S$4,TF_Dato,$A315))*2,0)/2)))</f>
        <v/>
      </c>
      <c r="T315">
        <f>IF(OR(T$4="",$A315&gt;TODAY()),0,IF(OR(INDEX($B315:$D315,T$5)="F",AND(T$6&gt;0,$A315&lt;T$6),AND(T$7&gt;0,$A315&gt;T$7)),0,MAX(0,ROUND((INDEX($E315:$G315,T$5)-SUMIFS(TF_Timer,TF_Tekniker,T$4,TF_Dato,$A315))*2,0)/2)))</f>
        <v/>
      </c>
      <c r="U315">
        <f>IF(OR(U$4="",$A315&gt;TODAY()),0,IF(OR(INDEX($B315:$D315,U$5)="F",AND(U$6&gt;0,$A315&lt;U$6),AND(U$7&gt;0,$A315&gt;U$7)),0,MAX(0,ROUND((INDEX($E315:$G315,U$5)-SUMIFS(TF_Timer,TF_Tekniker,U$4,TF_Dato,$A315))*2,0)/2)))</f>
        <v/>
      </c>
      <c r="V315">
        <f>IF(OR(V$4="",$A315&gt;TODAY()),0,IF(OR(INDEX($B315:$D315,V$5)="F",AND(V$6&gt;0,$A315&lt;V$6),AND(V$7&gt;0,$A315&gt;V$7)),0,MAX(0,ROUND((INDEX($E315:$G315,V$5)-SUMIFS(TF_Timer,TF_Tekniker,V$4,TF_Dato,$A315))*2,0)/2)))</f>
        <v/>
      </c>
      <c r="W315">
        <f>IF(OR(W$4="",$A315&gt;TODAY()),0,IF(OR(INDEX($B315:$D315,W$5)="F",AND(W$6&gt;0,$A315&lt;W$6),AND(W$7&gt;0,$A315&gt;W$7)),0,MAX(0,ROUND((INDEX($E315:$G315,W$5)-SUMIFS(TF_Timer,TF_Tekniker,W$4,TF_Dato,$A315))*2,0)/2)))</f>
        <v/>
      </c>
      <c r="X315">
        <f>IF(OR(X$4="",$A315&gt;TODAY()),0,IF(OR(INDEX($B315:$D315,X$5)="F",AND(X$6&gt;0,$A315&lt;X$6),AND(X$7&gt;0,$A315&gt;X$7)),0,MAX(0,ROUND((INDEX($E315:$G315,X$5)-SUMIFS(TF_Timer,TF_Tekniker,X$4,TF_Dato,$A315))*2,0)/2)))</f>
        <v/>
      </c>
      <c r="Y315">
        <f>IF(OR(Y$4="",$A315&gt;TODAY()),0,IF(OR(INDEX($B315:$D315,Y$5)="F",AND(Y$6&gt;0,$A315&lt;Y$6),AND(Y$7&gt;0,$A315&gt;Y$7)),0,MAX(0,ROUND((INDEX($E315:$G315,Y$5)-SUMIFS(TF_Timer,TF_Tekniker,Y$4,TF_Dato,$A315))*2,0)/2)))</f>
        <v/>
      </c>
      <c r="Z315">
        <f>IF(OR(Z$4="",$A315&gt;TODAY()),0,IF(OR(INDEX($B315:$D315,Z$5)="F",AND(Z$6&gt;0,$A315&lt;Z$6),AND(Z$7&gt;0,$A315&gt;Z$7)),0,MAX(0,ROUND((INDEX($E315:$G315,Z$5)-SUMIFS(TF_Timer,TF_Tekniker,Z$4,TF_Dato,$A315))*2,0)/2)))</f>
        <v/>
      </c>
      <c r="AA315">
        <f>IF(OR(AA$4="",$A315&gt;TODAY()),0,IF(OR(INDEX($B315:$D315,AA$5)="F",AND(AA$6&gt;0,$A315&lt;AA$6),AND(AA$7&gt;0,$A315&gt;AA$7)),0,MAX(0,ROUND((INDEX($E315:$G315,AA$5)-SUMIFS(TF_Timer,TF_Tekniker,AA$4,TF_Dato,$A315))*2,0)/2)))</f>
        <v/>
      </c>
      <c r="AB315">
        <f>IF(OR(AB$4="",$A315&gt;TODAY()),0,IF(OR(INDEX($B315:$D315,AB$5)="F",AND(AB$6&gt;0,$A315&lt;AB$6),AND(AB$7&gt;0,$A315&gt;AB$7)),0,MAX(0,ROUND((INDEX($E315:$G315,AB$5)-SUMIFS(TF_Timer,TF_Tekniker,AB$4,TF_Dato,$A315))*2,0)/2)))</f>
        <v/>
      </c>
      <c r="AC315">
        <f>IF(OR(AC$4="",$A315&gt;TODAY()),0,IF(OR(INDEX($B315:$D315,AC$5)="F",AND(AC$6&gt;0,$A315&lt;AC$6),AND(AC$7&gt;0,$A315&gt;AC$7)),0,MAX(0,ROUND((INDEX($E315:$G315,AC$5)-SUMIFS(TF_Timer,TF_Tekniker,AC$4,TF_Dato,$A315))*2,0)/2)))</f>
        <v/>
      </c>
      <c r="AD315">
        <f>IF(OR(AD$4="",$A315&gt;TODAY()),0,IF(OR(INDEX($B315:$D315,AD$5)="F",AND(AD$6&gt;0,$A315&lt;AD$6),AND(AD$7&gt;0,$A315&gt;AD$7)),0,MAX(0,ROUND((INDEX($E315:$G315,AD$5)-SUMIFS(TF_Timer,TF_Tekniker,AD$4,TF_Dato,$A315))*2,0)/2)))</f>
        <v/>
      </c>
      <c r="AE315">
        <f>IF(OR(AE$4="",$A315&gt;TODAY()),0,IF(OR(INDEX($B315:$D315,AE$5)="F",AND(AE$6&gt;0,$A315&lt;AE$6),AND(AE$7&gt;0,$A315&gt;AE$7)),0,MAX(0,ROUND((INDEX($E315:$G315,AE$5)-SUMIFS(TF_Timer,TF_Tekniker,AE$4,TF_Dato,$A315))*2,0)/2)))</f>
        <v/>
      </c>
      <c r="AF315">
        <f>IF(OR(AF$4="",$A315&gt;TODAY()),0,IF(OR(INDEX($B315:$D315,AF$5)="F",AND(AF$6&gt;0,$A315&lt;AF$6),AND(AF$7&gt;0,$A315&gt;AF$7)),0,MAX(0,ROUND((INDEX($E315:$G315,AF$5)-SUMIFS(TF_Timer,TF_Tekniker,AF$4,TF_Dato,$A315))*2,0)/2)))</f>
        <v/>
      </c>
      <c r="AG315">
        <f>IF(OR(AG$4="",$A315&gt;TODAY()),0,IF(OR(INDEX($B315:$D315,AG$5)="F",AND(AG$6&gt;0,$A315&lt;AG$6),AND(AG$7&gt;0,$A315&gt;AG$7)),0,MAX(0,ROUND((INDEX($E315:$G315,AG$5)-SUMIFS(TF_Timer,TF_Tekniker,AG$4,TF_Dato,$A315))*2,0)/2)))</f>
        <v/>
      </c>
      <c r="AH315">
        <f>IF(OR(AH$4="",$A315&gt;TODAY()),0,IF(OR(INDEX($B315:$D315,AH$5)="F",AND(AH$6&gt;0,$A315&lt;AH$6),AND(AH$7&gt;0,$A315&gt;AH$7)),0,MAX(0,ROUND((INDEX($E315:$G315,AH$5)-SUMIFS(TF_Timer,TF_Tekniker,AH$4,TF_Dato,$A315))*2,0)/2)))</f>
        <v/>
      </c>
      <c r="AI315">
        <f>IF(OR(AI$4="",$A315&gt;TODAY()),0,IF(OR(INDEX($B315:$D315,AI$5)="F",AND(AI$6&gt;0,$A315&lt;AI$6),AND(AI$7&gt;0,$A315&gt;AI$7)),0,MAX(0,ROUND((INDEX($E315:$G315,AI$5)-SUMIFS(TF_Timer,TF_Tekniker,AI$4,TF_Dato,$A315))*2,0)/2)))</f>
        <v/>
      </c>
      <c r="AJ315">
        <f>IF(OR(AJ$4="",$A315&gt;TODAY()),0,IF(OR(INDEX($B315:$D315,AJ$5)="F",AND(AJ$6&gt;0,$A315&lt;AJ$6),AND(AJ$7&gt;0,$A315&gt;AJ$7)),0,MAX(0,ROUND((INDEX($E315:$G315,AJ$5)-SUMIFS(TF_Timer,TF_Tekniker,AJ$4,TF_Dato,$A315))*2,0)/2)))</f>
        <v/>
      </c>
      <c r="AK315">
        <f>IF(OR(AK$4="",$A315&gt;TODAY()),0,IF(OR(INDEX($B315:$D315,AK$5)="F",AND(AK$6&gt;0,$A315&lt;AK$6),AND(AK$7&gt;0,$A315&gt;AK$7)),0,MAX(0,ROUND((INDEX($E315:$G315,AK$5)-SUMIFS(TF_Timer,TF_Tekniker,AK$4,TF_Dato,$A315))*2,0)/2)))</f>
        <v/>
      </c>
      <c r="AL315">
        <f>IF(OR(AL$4="",$A315&gt;TODAY()),0,IF(OR(INDEX($B315:$D315,AL$5)="F",AND(AL$6&gt;0,$A315&lt;AL$6),AND(AL$7&gt;0,$A315&gt;AL$7)),0,MAX(0,ROUND((INDEX($E315:$G315,AL$5)-SUMIFS(TF_Timer,TF_Tekniker,AL$4,TF_Dato,$A315))*2,0)/2)))</f>
        <v/>
      </c>
      <c r="AM315">
        <f>IF(OR(AM$4="",$A315&gt;TODAY()),0,IF(OR(INDEX($B315:$D315,AM$5)="F",AND(AM$6&gt;0,$A315&lt;AM$6),AND(AM$7&gt;0,$A315&gt;AM$7)),0,MAX(0,ROUND((INDEX($E315:$G315,AM$5)-SUMIFS(TF_Timer,TF_Tekniker,AM$4,TF_Dato,$A315))*2,0)/2)))</f>
        <v/>
      </c>
      <c r="AN315">
        <f>IF(OR(AN$4="",$A315&gt;TODAY()),0,IF(OR(INDEX($B315:$D315,AN$5)="F",AND(AN$6&gt;0,$A315&lt;AN$6),AND(AN$7&gt;0,$A315&gt;AN$7)),0,MAX(0,ROUND((INDEX($E315:$G315,AN$5)-SUMIFS(TF_Timer,TF_Tekniker,AN$4,TF_Dato,$A315))*2,0)/2)))</f>
        <v/>
      </c>
      <c r="AO315">
        <f>IF(OR(AO$4="",$A315&gt;TODAY()),0,IF(OR(INDEX($B315:$D315,AO$5)="F",AND(AO$6&gt;0,$A315&lt;AO$6),AND(AO$7&gt;0,$A315&gt;AO$7)),0,MAX(0,ROUND((INDEX($E315:$G315,AO$5)-SUMIFS(TF_Timer,TF_Tekniker,AO$4,TF_Dato,$A315))*2,0)/2)))</f>
        <v/>
      </c>
      <c r="AP315">
        <f>IF(OR(AP$4="",$A315&gt;TODAY()),0,IF(OR(INDEX($B315:$D315,AP$5)="F",AND(AP$6&gt;0,$A315&lt;AP$6),AND(AP$7&gt;0,$A315&gt;AP$7)),0,MAX(0,ROUND((INDEX($E315:$G315,AP$5)-SUMIFS(TF_Timer,TF_Tekniker,AP$4,TF_Dato,$A315))*2,0)/2)))</f>
        <v/>
      </c>
      <c r="AQ315">
        <f>IF(OR(AQ$4="",$A315&gt;TODAY()),0,IF(OR(INDEX($B315:$D315,AQ$5)="F",AND(AQ$6&gt;0,$A315&lt;AQ$6),AND(AQ$7&gt;0,$A315&gt;AQ$7)),0,MAX(0,ROUND((INDEX($E315:$G315,AQ$5)-SUMIFS(TF_Timer,TF_Tekniker,AQ$4,TF_Dato,$A315))*2,0)/2)))</f>
        <v/>
      </c>
      <c r="AR315">
        <f>IF(OR(AR$4="",$A315&gt;TODAY()),0,IF(OR(INDEX($B315:$D315,AR$5)="F",AND(AR$6&gt;0,$A315&lt;AR$6),AND(AR$7&gt;0,$A315&gt;AR$7)),0,MAX(0,ROUND((INDEX($E315:$G315,AR$5)-SUMIFS(TF_Timer,TF_Tekniker,AR$4,TF_Dato,$A315))*2,0)/2)))</f>
        <v/>
      </c>
      <c r="AS315">
        <f>IF(OR(AS$4="",$A315&gt;TODAY()),0,IF(OR(INDEX($B315:$D315,AS$5)="F",AND(AS$6&gt;0,$A315&lt;AS$6),AND(AS$7&gt;0,$A315&gt;AS$7)),0,MAX(0,ROUND((INDEX($E315:$G315,AS$5)-SUMIFS(TF_Timer,TF_Tekniker,AS$4,TF_Dato,$A315))*2,0)/2)))</f>
        <v/>
      </c>
      <c r="AT315">
        <f>IF(OR(AT$4="",$A315&gt;TODAY()),0,IF(OR(INDEX($B315:$D315,AT$5)="F",AND(AT$6&gt;0,$A315&lt;AT$6),AND(AT$7&gt;0,$A315&gt;AT$7)),0,MAX(0,ROUND((INDEX($E315:$G315,AT$5)-SUMIFS(TF_Timer,TF_Tekniker,AT$4,TF_Dato,$A315))*2,0)/2)))</f>
        <v/>
      </c>
      <c r="AU315">
        <f>IF(OR(AU$4="",$A315&gt;TODAY()),0,IF(OR(INDEX($B315:$D315,AU$5)="F",AND(AU$6&gt;0,$A315&lt;AU$6),AND(AU$7&gt;0,$A315&gt;AU$7)),0,MAX(0,ROUND((INDEX($E315:$G315,AU$5)-SUMIFS(TF_Timer,TF_Tekniker,AU$4,TF_Dato,$A315))*2,0)/2)))</f>
        <v/>
      </c>
      <c r="AV315">
        <f>IF(OR(AV$4="",$A315&gt;TODAY()),0,IF(OR(INDEX($B315:$D315,AV$5)="F",AND(AV$6&gt;0,$A315&lt;AV$6),AND(AV$7&gt;0,$A315&gt;AV$7)),0,MAX(0,ROUND((INDEX($E315:$G315,AV$5)-SUMIFS(TF_Timer,TF_Tekniker,AV$4,TF_Dato,$A315))*2,0)/2)))</f>
        <v/>
      </c>
      <c r="AW315">
        <f>IF(OR(AW$4="",$A315&gt;TODAY()),0,IF(OR(INDEX($B315:$D315,AW$5)="F",AND(AW$6&gt;0,$A315&lt;AW$6),AND(AW$7&gt;0,$A315&gt;AW$7)),0,MAX(0,ROUND((INDEX($E315:$G315,AW$5)-SUMIFS(TF_Timer,TF_Tekniker,AW$4,TF_Dato,$A315))*2,0)/2)))</f>
        <v/>
      </c>
      <c r="AX315">
        <f>IF(OR(AX$4="",$A315&gt;TODAY()),0,IF(OR(INDEX($B315:$D315,AX$5)="F",AND(AX$6&gt;0,$A315&lt;AX$6),AND(AX$7&gt;0,$A315&gt;AX$7)),0,MAX(0,ROUND((INDEX($E315:$G315,AX$5)-SUMIFS(TF_Timer,TF_Tekniker,AX$4,TF_Dato,$A315))*2,0)/2)))</f>
        <v/>
      </c>
      <c r="AY315">
        <f>IF(OR(AY$4="",$A315&gt;TODAY()),0,IF(OR(INDEX($B315:$D315,AY$5)="F",AND(AY$6&gt;0,$A315&lt;AY$6),AND(AY$7&gt;0,$A315&gt;AY$7)),0,MAX(0,ROUND((INDEX($E315:$G315,AY$5)-SUMIFS(TF_Timer,TF_Tekniker,AY$4,TF_Dato,$A315))*2,0)/2)))</f>
        <v/>
      </c>
      <c r="AZ315">
        <f>IF(OR(AZ$4="",$A315&gt;TODAY()),0,IF(OR(INDEX($B315:$D315,AZ$5)="F",AND(AZ$6&gt;0,$A315&lt;AZ$6),AND(AZ$7&gt;0,$A315&gt;AZ$7)),0,MAX(0,ROUND((INDEX($E315:$G315,AZ$5)-SUMIFS(TF_Timer,TF_Tekniker,AZ$4,TF_Dato,$A315))*2,0)/2)))</f>
        <v/>
      </c>
      <c r="BA315">
        <f>IF(OR(BA$4="",$A315&gt;TODAY()),0,IF(OR(INDEX($B315:$D315,BA$5)="F",AND(BA$6&gt;0,$A315&lt;BA$6),AND(BA$7&gt;0,$A315&gt;BA$7)),0,MAX(0,ROUND((INDEX($E315:$G315,BA$5)-SUMIFS(TF_Timer,TF_Tekniker,BA$4,TF_Dato,$A315))*2,0)/2)))</f>
        <v/>
      </c>
      <c r="BB315">
        <f>IF(OR(BB$4="",$A315&gt;TODAY()),0,IF(OR(INDEX($B315:$D315,BB$5)="F",AND(BB$6&gt;0,$A315&lt;BB$6),AND(BB$7&gt;0,$A315&gt;BB$7)),0,MAX(0,ROUND((INDEX($E315:$G315,BB$5)-SUMIFS(TF_Timer,TF_Tekniker,BB$4,TF_Dato,$A315))*2,0)/2)))</f>
        <v/>
      </c>
      <c r="BC315">
        <f>IF(OR(BC$4="",$A315&gt;TODAY()),0,IF(OR(INDEX($B315:$D315,BC$5)="F",AND(BC$6&gt;0,$A315&lt;BC$6),AND(BC$7&gt;0,$A315&gt;BC$7)),0,MAX(0,ROUND((INDEX($E315:$G315,BC$5)-SUMIFS(TF_Timer,TF_Tekniker,BC$4,TF_Dato,$A315))*2,0)/2)))</f>
        <v/>
      </c>
      <c r="BD315">
        <f>IF(OR(BD$4="",$A315&gt;TODAY()),0,IF(OR(INDEX($B315:$D315,BD$5)="F",AND(BD$6&gt;0,$A315&lt;BD$6),AND(BD$7&gt;0,$A315&gt;BD$7)),0,MAX(0,ROUND((INDEX($E315:$G315,BD$5)-SUMIFS(TF_Timer,TF_Tekniker,BD$4,TF_Dato,$A315))*2,0)/2)))</f>
        <v/>
      </c>
      <c r="BE315">
        <f>IF(OR(BE$4="",$A315&gt;TODAY()),0,IF(OR(INDEX($B315:$D315,BE$5)="F",AND(BE$6&gt;0,$A315&lt;BE$6),AND(BE$7&gt;0,$A315&gt;BE$7)),0,MAX(0,ROUND((INDEX($E315:$G315,BE$5)-SUMIFS(TF_Timer,TF_Tekniker,BE$4,TF_Dato,$A315))*2,0)/2)))</f>
        <v/>
      </c>
      <c r="BF315">
        <f>IF(OR(BF$4="",$A315&gt;TODAY()),0,IF(OR(INDEX($B315:$D315,BF$5)="F",AND(BF$6&gt;0,$A315&lt;BF$6),AND(BF$7&gt;0,$A315&gt;BF$7)),0,MAX(0,ROUND((INDEX($E315:$G315,BF$5)-SUMIFS(TF_Timer,TF_Tekniker,BF$4,TF_Dato,$A315))*2,0)/2)))</f>
        <v/>
      </c>
      <c r="BG315">
        <f>IF(OR(BG$4="",$A315&gt;TODAY()),0,IF(OR(INDEX($B315:$D315,BG$5)="F",AND(BG$6&gt;0,$A315&lt;BG$6),AND(BG$7&gt;0,$A315&gt;BG$7)),0,MAX(0,ROUND((INDEX($E315:$G315,BG$5)-SUMIFS(TF_Timer,TF_Tekniker,BG$4,TF_Dato,$A315))*2,0)/2)))</f>
        <v/>
      </c>
      <c r="BH315">
        <f>IF(OR(BH$4="",$A315&gt;TODAY()),0,IF(OR(INDEX($B315:$D315,BH$5)="F",AND(BH$6&gt;0,$A315&lt;BH$6),AND(BH$7&gt;0,$A315&gt;BH$7)),0,MAX(0,ROUND((INDEX($E315:$G315,BH$5)-SUMIFS(TF_Timer,TF_Tekniker,BH$4,TF_Dato,$A315))*2,0)/2)))</f>
        <v/>
      </c>
      <c r="BI315">
        <f>IF(OR(BI$4="",$A315&gt;TODAY()),0,IF(OR(INDEX($B315:$D315,BI$5)="F",AND(BI$6&gt;0,$A315&lt;BI$6),AND(BI$7&gt;0,$A315&gt;BI$7)),0,MAX(0,ROUND((INDEX($E315:$G315,BI$5)-SUMIFS(TF_Timer,TF_Tekniker,BI$4,TF_Dato,$A315))*2,0)/2)))</f>
        <v/>
      </c>
    </row>
    <row r="316">
      <c r="A316" s="64">
        <f>A315+1</f>
        <v/>
      </c>
      <c r="B316">
        <f>IF(MOD($A316-INDEX(SkiftStart,1),Syklus)&lt;DagK,"K",IF(MOD($A316-INDEX(SkiftStart,1),Syklus)&lt;DagK+DagH,"H",IF(MOD($A316-INDEX(SkiftStart,1),Syklus)&lt;DagK+DagH+DagD,"D","F")))</f>
        <v/>
      </c>
      <c r="C316">
        <f>IF(MOD($A316-INDEX(SkiftStart,2),Syklus)&lt;DagK,"K",IF(MOD($A316-INDEX(SkiftStart,2),Syklus)&lt;DagK+DagH,"H",IF(MOD($A316-INDEX(SkiftStart,2),Syklus)&lt;DagK+DagH+DagD,"D","F")))</f>
        <v/>
      </c>
      <c r="D316">
        <f>IF(MOD($A316-INDEX(SkiftStart,3),Syklus)&lt;DagK,"K",IF(MOD($A316-INDEX(SkiftStart,3),Syklus)&lt;DagK+DagH,"H",IF(MOD($A316-INDEX(SkiftStart,3),Syklus)&lt;DagK+DagH+DagD,"D","F")))</f>
        <v/>
      </c>
      <c r="E316">
        <f>IF(B316="F",0,IF(WEEKDAY($A316,2)=5,INDEX(TimerFr,MATCH(B316,FaseKode,0)),INDEX(TimerMT,MATCH(B316,FaseKode,0))))</f>
        <v/>
      </c>
      <c r="F316">
        <f>IF(C316="F",0,IF(WEEKDAY($A316,2)=5,INDEX(TimerFr,MATCH(C316,FaseKode,0)),INDEX(TimerMT,MATCH(C316,FaseKode,0))))</f>
        <v/>
      </c>
      <c r="G316">
        <f>IF(D316="F",0,IF(WEEKDAY($A316,2)=5,INDEX(TimerFr,MATCH(D316,FaseKode,0)),INDEX(TimerMT,MATCH(D316,FaseKode,0))))</f>
        <v/>
      </c>
      <c r="H316">
        <f>IF(OR(H$4="",$A316&gt;TODAY()),0,IF(OR(INDEX($B316:$D316,H$5)="F",AND(H$6&gt;0,$A316&lt;H$6),AND(H$7&gt;0,$A316&gt;H$7)),0,MAX(0,ROUND((INDEX($E316:$G316,H$5)-SUMIFS(TF_Timer,TF_Tekniker,H$4,TF_Dato,$A316))*2,0)/2)))</f>
        <v/>
      </c>
      <c r="I316">
        <f>IF(OR(I$4="",$A316&gt;TODAY()),0,IF(OR(INDEX($B316:$D316,I$5)="F",AND(I$6&gt;0,$A316&lt;I$6),AND(I$7&gt;0,$A316&gt;I$7)),0,MAX(0,ROUND((INDEX($E316:$G316,I$5)-SUMIFS(TF_Timer,TF_Tekniker,I$4,TF_Dato,$A316))*2,0)/2)))</f>
        <v/>
      </c>
      <c r="J316">
        <f>IF(OR(J$4="",$A316&gt;TODAY()),0,IF(OR(INDEX($B316:$D316,J$5)="F",AND(J$6&gt;0,$A316&lt;J$6),AND(J$7&gt;0,$A316&gt;J$7)),0,MAX(0,ROUND((INDEX($E316:$G316,J$5)-SUMIFS(TF_Timer,TF_Tekniker,J$4,TF_Dato,$A316))*2,0)/2)))</f>
        <v/>
      </c>
      <c r="K316">
        <f>IF(OR(K$4="",$A316&gt;TODAY()),0,IF(OR(INDEX($B316:$D316,K$5)="F",AND(K$6&gt;0,$A316&lt;K$6),AND(K$7&gt;0,$A316&gt;K$7)),0,MAX(0,ROUND((INDEX($E316:$G316,K$5)-SUMIFS(TF_Timer,TF_Tekniker,K$4,TF_Dato,$A316))*2,0)/2)))</f>
        <v/>
      </c>
      <c r="L316">
        <f>IF(OR(L$4="",$A316&gt;TODAY()),0,IF(OR(INDEX($B316:$D316,L$5)="F",AND(L$6&gt;0,$A316&lt;L$6),AND(L$7&gt;0,$A316&gt;L$7)),0,MAX(0,ROUND((INDEX($E316:$G316,L$5)-SUMIFS(TF_Timer,TF_Tekniker,L$4,TF_Dato,$A316))*2,0)/2)))</f>
        <v/>
      </c>
      <c r="M316">
        <f>IF(OR(M$4="",$A316&gt;TODAY()),0,IF(OR(INDEX($B316:$D316,M$5)="F",AND(M$6&gt;0,$A316&lt;M$6),AND(M$7&gt;0,$A316&gt;M$7)),0,MAX(0,ROUND((INDEX($E316:$G316,M$5)-SUMIFS(TF_Timer,TF_Tekniker,M$4,TF_Dato,$A316))*2,0)/2)))</f>
        <v/>
      </c>
      <c r="N316">
        <f>IF(OR(N$4="",$A316&gt;TODAY()),0,IF(OR(INDEX($B316:$D316,N$5)="F",AND(N$6&gt;0,$A316&lt;N$6),AND(N$7&gt;0,$A316&gt;N$7)),0,MAX(0,ROUND((INDEX($E316:$G316,N$5)-SUMIFS(TF_Timer,TF_Tekniker,N$4,TF_Dato,$A316))*2,0)/2)))</f>
        <v/>
      </c>
      <c r="O316">
        <f>IF(OR(O$4="",$A316&gt;TODAY()),0,IF(OR(INDEX($B316:$D316,O$5)="F",AND(O$6&gt;0,$A316&lt;O$6),AND(O$7&gt;0,$A316&gt;O$7)),0,MAX(0,ROUND((INDEX($E316:$G316,O$5)-SUMIFS(TF_Timer,TF_Tekniker,O$4,TF_Dato,$A316))*2,0)/2)))</f>
        <v/>
      </c>
      <c r="P316">
        <f>IF(OR(P$4="",$A316&gt;TODAY()),0,IF(OR(INDEX($B316:$D316,P$5)="F",AND(P$6&gt;0,$A316&lt;P$6),AND(P$7&gt;0,$A316&gt;P$7)),0,MAX(0,ROUND((INDEX($E316:$G316,P$5)-SUMIFS(TF_Timer,TF_Tekniker,P$4,TF_Dato,$A316))*2,0)/2)))</f>
        <v/>
      </c>
      <c r="Q316">
        <f>IF(OR(Q$4="",$A316&gt;TODAY()),0,IF(OR(INDEX($B316:$D316,Q$5)="F",AND(Q$6&gt;0,$A316&lt;Q$6),AND(Q$7&gt;0,$A316&gt;Q$7)),0,MAX(0,ROUND((INDEX($E316:$G316,Q$5)-SUMIFS(TF_Timer,TF_Tekniker,Q$4,TF_Dato,$A316))*2,0)/2)))</f>
        <v/>
      </c>
      <c r="R316">
        <f>IF(OR(R$4="",$A316&gt;TODAY()),0,IF(OR(INDEX($B316:$D316,R$5)="F",AND(R$6&gt;0,$A316&lt;R$6),AND(R$7&gt;0,$A316&gt;R$7)),0,MAX(0,ROUND((INDEX($E316:$G316,R$5)-SUMIFS(TF_Timer,TF_Tekniker,R$4,TF_Dato,$A316))*2,0)/2)))</f>
        <v/>
      </c>
      <c r="S316">
        <f>IF(OR(S$4="",$A316&gt;TODAY()),0,IF(OR(INDEX($B316:$D316,S$5)="F",AND(S$6&gt;0,$A316&lt;S$6),AND(S$7&gt;0,$A316&gt;S$7)),0,MAX(0,ROUND((INDEX($E316:$G316,S$5)-SUMIFS(TF_Timer,TF_Tekniker,S$4,TF_Dato,$A316))*2,0)/2)))</f>
        <v/>
      </c>
      <c r="T316">
        <f>IF(OR(T$4="",$A316&gt;TODAY()),0,IF(OR(INDEX($B316:$D316,T$5)="F",AND(T$6&gt;0,$A316&lt;T$6),AND(T$7&gt;0,$A316&gt;T$7)),0,MAX(0,ROUND((INDEX($E316:$G316,T$5)-SUMIFS(TF_Timer,TF_Tekniker,T$4,TF_Dato,$A316))*2,0)/2)))</f>
        <v/>
      </c>
      <c r="U316">
        <f>IF(OR(U$4="",$A316&gt;TODAY()),0,IF(OR(INDEX($B316:$D316,U$5)="F",AND(U$6&gt;0,$A316&lt;U$6),AND(U$7&gt;0,$A316&gt;U$7)),0,MAX(0,ROUND((INDEX($E316:$G316,U$5)-SUMIFS(TF_Timer,TF_Tekniker,U$4,TF_Dato,$A316))*2,0)/2)))</f>
        <v/>
      </c>
      <c r="V316">
        <f>IF(OR(V$4="",$A316&gt;TODAY()),0,IF(OR(INDEX($B316:$D316,V$5)="F",AND(V$6&gt;0,$A316&lt;V$6),AND(V$7&gt;0,$A316&gt;V$7)),0,MAX(0,ROUND((INDEX($E316:$G316,V$5)-SUMIFS(TF_Timer,TF_Tekniker,V$4,TF_Dato,$A316))*2,0)/2)))</f>
        <v/>
      </c>
      <c r="W316">
        <f>IF(OR(W$4="",$A316&gt;TODAY()),0,IF(OR(INDEX($B316:$D316,W$5)="F",AND(W$6&gt;0,$A316&lt;W$6),AND(W$7&gt;0,$A316&gt;W$7)),0,MAX(0,ROUND((INDEX($E316:$G316,W$5)-SUMIFS(TF_Timer,TF_Tekniker,W$4,TF_Dato,$A316))*2,0)/2)))</f>
        <v/>
      </c>
      <c r="X316">
        <f>IF(OR(X$4="",$A316&gt;TODAY()),0,IF(OR(INDEX($B316:$D316,X$5)="F",AND(X$6&gt;0,$A316&lt;X$6),AND(X$7&gt;0,$A316&gt;X$7)),0,MAX(0,ROUND((INDEX($E316:$G316,X$5)-SUMIFS(TF_Timer,TF_Tekniker,X$4,TF_Dato,$A316))*2,0)/2)))</f>
        <v/>
      </c>
      <c r="Y316">
        <f>IF(OR(Y$4="",$A316&gt;TODAY()),0,IF(OR(INDEX($B316:$D316,Y$5)="F",AND(Y$6&gt;0,$A316&lt;Y$6),AND(Y$7&gt;0,$A316&gt;Y$7)),0,MAX(0,ROUND((INDEX($E316:$G316,Y$5)-SUMIFS(TF_Timer,TF_Tekniker,Y$4,TF_Dato,$A316))*2,0)/2)))</f>
        <v/>
      </c>
      <c r="Z316">
        <f>IF(OR(Z$4="",$A316&gt;TODAY()),0,IF(OR(INDEX($B316:$D316,Z$5)="F",AND(Z$6&gt;0,$A316&lt;Z$6),AND(Z$7&gt;0,$A316&gt;Z$7)),0,MAX(0,ROUND((INDEX($E316:$G316,Z$5)-SUMIFS(TF_Timer,TF_Tekniker,Z$4,TF_Dato,$A316))*2,0)/2)))</f>
        <v/>
      </c>
      <c r="AA316">
        <f>IF(OR(AA$4="",$A316&gt;TODAY()),0,IF(OR(INDEX($B316:$D316,AA$5)="F",AND(AA$6&gt;0,$A316&lt;AA$6),AND(AA$7&gt;0,$A316&gt;AA$7)),0,MAX(0,ROUND((INDEX($E316:$G316,AA$5)-SUMIFS(TF_Timer,TF_Tekniker,AA$4,TF_Dato,$A316))*2,0)/2)))</f>
        <v/>
      </c>
      <c r="AB316">
        <f>IF(OR(AB$4="",$A316&gt;TODAY()),0,IF(OR(INDEX($B316:$D316,AB$5)="F",AND(AB$6&gt;0,$A316&lt;AB$6),AND(AB$7&gt;0,$A316&gt;AB$7)),0,MAX(0,ROUND((INDEX($E316:$G316,AB$5)-SUMIFS(TF_Timer,TF_Tekniker,AB$4,TF_Dato,$A316))*2,0)/2)))</f>
        <v/>
      </c>
      <c r="AC316">
        <f>IF(OR(AC$4="",$A316&gt;TODAY()),0,IF(OR(INDEX($B316:$D316,AC$5)="F",AND(AC$6&gt;0,$A316&lt;AC$6),AND(AC$7&gt;0,$A316&gt;AC$7)),0,MAX(0,ROUND((INDEX($E316:$G316,AC$5)-SUMIFS(TF_Timer,TF_Tekniker,AC$4,TF_Dato,$A316))*2,0)/2)))</f>
        <v/>
      </c>
      <c r="AD316">
        <f>IF(OR(AD$4="",$A316&gt;TODAY()),0,IF(OR(INDEX($B316:$D316,AD$5)="F",AND(AD$6&gt;0,$A316&lt;AD$6),AND(AD$7&gt;0,$A316&gt;AD$7)),0,MAX(0,ROUND((INDEX($E316:$G316,AD$5)-SUMIFS(TF_Timer,TF_Tekniker,AD$4,TF_Dato,$A316))*2,0)/2)))</f>
        <v/>
      </c>
      <c r="AE316">
        <f>IF(OR(AE$4="",$A316&gt;TODAY()),0,IF(OR(INDEX($B316:$D316,AE$5)="F",AND(AE$6&gt;0,$A316&lt;AE$6),AND(AE$7&gt;0,$A316&gt;AE$7)),0,MAX(0,ROUND((INDEX($E316:$G316,AE$5)-SUMIFS(TF_Timer,TF_Tekniker,AE$4,TF_Dato,$A316))*2,0)/2)))</f>
        <v/>
      </c>
      <c r="AF316">
        <f>IF(OR(AF$4="",$A316&gt;TODAY()),0,IF(OR(INDEX($B316:$D316,AF$5)="F",AND(AF$6&gt;0,$A316&lt;AF$6),AND(AF$7&gt;0,$A316&gt;AF$7)),0,MAX(0,ROUND((INDEX($E316:$G316,AF$5)-SUMIFS(TF_Timer,TF_Tekniker,AF$4,TF_Dato,$A316))*2,0)/2)))</f>
        <v/>
      </c>
      <c r="AG316">
        <f>IF(OR(AG$4="",$A316&gt;TODAY()),0,IF(OR(INDEX($B316:$D316,AG$5)="F",AND(AG$6&gt;0,$A316&lt;AG$6),AND(AG$7&gt;0,$A316&gt;AG$7)),0,MAX(0,ROUND((INDEX($E316:$G316,AG$5)-SUMIFS(TF_Timer,TF_Tekniker,AG$4,TF_Dato,$A316))*2,0)/2)))</f>
        <v/>
      </c>
      <c r="AH316">
        <f>IF(OR(AH$4="",$A316&gt;TODAY()),0,IF(OR(INDEX($B316:$D316,AH$5)="F",AND(AH$6&gt;0,$A316&lt;AH$6),AND(AH$7&gt;0,$A316&gt;AH$7)),0,MAX(0,ROUND((INDEX($E316:$G316,AH$5)-SUMIFS(TF_Timer,TF_Tekniker,AH$4,TF_Dato,$A316))*2,0)/2)))</f>
        <v/>
      </c>
      <c r="AI316">
        <f>IF(OR(AI$4="",$A316&gt;TODAY()),0,IF(OR(INDEX($B316:$D316,AI$5)="F",AND(AI$6&gt;0,$A316&lt;AI$6),AND(AI$7&gt;0,$A316&gt;AI$7)),0,MAX(0,ROUND((INDEX($E316:$G316,AI$5)-SUMIFS(TF_Timer,TF_Tekniker,AI$4,TF_Dato,$A316))*2,0)/2)))</f>
        <v/>
      </c>
      <c r="AJ316">
        <f>IF(OR(AJ$4="",$A316&gt;TODAY()),0,IF(OR(INDEX($B316:$D316,AJ$5)="F",AND(AJ$6&gt;0,$A316&lt;AJ$6),AND(AJ$7&gt;0,$A316&gt;AJ$7)),0,MAX(0,ROUND((INDEX($E316:$G316,AJ$5)-SUMIFS(TF_Timer,TF_Tekniker,AJ$4,TF_Dato,$A316))*2,0)/2)))</f>
        <v/>
      </c>
      <c r="AK316">
        <f>IF(OR(AK$4="",$A316&gt;TODAY()),0,IF(OR(INDEX($B316:$D316,AK$5)="F",AND(AK$6&gt;0,$A316&lt;AK$6),AND(AK$7&gt;0,$A316&gt;AK$7)),0,MAX(0,ROUND((INDEX($E316:$G316,AK$5)-SUMIFS(TF_Timer,TF_Tekniker,AK$4,TF_Dato,$A316))*2,0)/2)))</f>
        <v/>
      </c>
      <c r="AL316">
        <f>IF(OR(AL$4="",$A316&gt;TODAY()),0,IF(OR(INDEX($B316:$D316,AL$5)="F",AND(AL$6&gt;0,$A316&lt;AL$6),AND(AL$7&gt;0,$A316&gt;AL$7)),0,MAX(0,ROUND((INDEX($E316:$G316,AL$5)-SUMIFS(TF_Timer,TF_Tekniker,AL$4,TF_Dato,$A316))*2,0)/2)))</f>
        <v/>
      </c>
      <c r="AM316">
        <f>IF(OR(AM$4="",$A316&gt;TODAY()),0,IF(OR(INDEX($B316:$D316,AM$5)="F",AND(AM$6&gt;0,$A316&lt;AM$6),AND(AM$7&gt;0,$A316&gt;AM$7)),0,MAX(0,ROUND((INDEX($E316:$G316,AM$5)-SUMIFS(TF_Timer,TF_Tekniker,AM$4,TF_Dato,$A316))*2,0)/2)))</f>
        <v/>
      </c>
      <c r="AN316">
        <f>IF(OR(AN$4="",$A316&gt;TODAY()),0,IF(OR(INDEX($B316:$D316,AN$5)="F",AND(AN$6&gt;0,$A316&lt;AN$6),AND(AN$7&gt;0,$A316&gt;AN$7)),0,MAX(0,ROUND((INDEX($E316:$G316,AN$5)-SUMIFS(TF_Timer,TF_Tekniker,AN$4,TF_Dato,$A316))*2,0)/2)))</f>
        <v/>
      </c>
      <c r="AO316">
        <f>IF(OR(AO$4="",$A316&gt;TODAY()),0,IF(OR(INDEX($B316:$D316,AO$5)="F",AND(AO$6&gt;0,$A316&lt;AO$6),AND(AO$7&gt;0,$A316&gt;AO$7)),0,MAX(0,ROUND((INDEX($E316:$G316,AO$5)-SUMIFS(TF_Timer,TF_Tekniker,AO$4,TF_Dato,$A316))*2,0)/2)))</f>
        <v/>
      </c>
      <c r="AP316">
        <f>IF(OR(AP$4="",$A316&gt;TODAY()),0,IF(OR(INDEX($B316:$D316,AP$5)="F",AND(AP$6&gt;0,$A316&lt;AP$6),AND(AP$7&gt;0,$A316&gt;AP$7)),0,MAX(0,ROUND((INDEX($E316:$G316,AP$5)-SUMIFS(TF_Timer,TF_Tekniker,AP$4,TF_Dato,$A316))*2,0)/2)))</f>
        <v/>
      </c>
      <c r="AQ316">
        <f>IF(OR(AQ$4="",$A316&gt;TODAY()),0,IF(OR(INDEX($B316:$D316,AQ$5)="F",AND(AQ$6&gt;0,$A316&lt;AQ$6),AND(AQ$7&gt;0,$A316&gt;AQ$7)),0,MAX(0,ROUND((INDEX($E316:$G316,AQ$5)-SUMIFS(TF_Timer,TF_Tekniker,AQ$4,TF_Dato,$A316))*2,0)/2)))</f>
        <v/>
      </c>
      <c r="AR316">
        <f>IF(OR(AR$4="",$A316&gt;TODAY()),0,IF(OR(INDEX($B316:$D316,AR$5)="F",AND(AR$6&gt;0,$A316&lt;AR$6),AND(AR$7&gt;0,$A316&gt;AR$7)),0,MAX(0,ROUND((INDEX($E316:$G316,AR$5)-SUMIFS(TF_Timer,TF_Tekniker,AR$4,TF_Dato,$A316))*2,0)/2)))</f>
        <v/>
      </c>
      <c r="AS316">
        <f>IF(OR(AS$4="",$A316&gt;TODAY()),0,IF(OR(INDEX($B316:$D316,AS$5)="F",AND(AS$6&gt;0,$A316&lt;AS$6),AND(AS$7&gt;0,$A316&gt;AS$7)),0,MAX(0,ROUND((INDEX($E316:$G316,AS$5)-SUMIFS(TF_Timer,TF_Tekniker,AS$4,TF_Dato,$A316))*2,0)/2)))</f>
        <v/>
      </c>
      <c r="AT316">
        <f>IF(OR(AT$4="",$A316&gt;TODAY()),0,IF(OR(INDEX($B316:$D316,AT$5)="F",AND(AT$6&gt;0,$A316&lt;AT$6),AND(AT$7&gt;0,$A316&gt;AT$7)),0,MAX(0,ROUND((INDEX($E316:$G316,AT$5)-SUMIFS(TF_Timer,TF_Tekniker,AT$4,TF_Dato,$A316))*2,0)/2)))</f>
        <v/>
      </c>
      <c r="AU316">
        <f>IF(OR(AU$4="",$A316&gt;TODAY()),0,IF(OR(INDEX($B316:$D316,AU$5)="F",AND(AU$6&gt;0,$A316&lt;AU$6),AND(AU$7&gt;0,$A316&gt;AU$7)),0,MAX(0,ROUND((INDEX($E316:$G316,AU$5)-SUMIFS(TF_Timer,TF_Tekniker,AU$4,TF_Dato,$A316))*2,0)/2)))</f>
        <v/>
      </c>
      <c r="AV316">
        <f>IF(OR(AV$4="",$A316&gt;TODAY()),0,IF(OR(INDEX($B316:$D316,AV$5)="F",AND(AV$6&gt;0,$A316&lt;AV$6),AND(AV$7&gt;0,$A316&gt;AV$7)),0,MAX(0,ROUND((INDEX($E316:$G316,AV$5)-SUMIFS(TF_Timer,TF_Tekniker,AV$4,TF_Dato,$A316))*2,0)/2)))</f>
        <v/>
      </c>
      <c r="AW316">
        <f>IF(OR(AW$4="",$A316&gt;TODAY()),0,IF(OR(INDEX($B316:$D316,AW$5)="F",AND(AW$6&gt;0,$A316&lt;AW$6),AND(AW$7&gt;0,$A316&gt;AW$7)),0,MAX(0,ROUND((INDEX($E316:$G316,AW$5)-SUMIFS(TF_Timer,TF_Tekniker,AW$4,TF_Dato,$A316))*2,0)/2)))</f>
        <v/>
      </c>
      <c r="AX316">
        <f>IF(OR(AX$4="",$A316&gt;TODAY()),0,IF(OR(INDEX($B316:$D316,AX$5)="F",AND(AX$6&gt;0,$A316&lt;AX$6),AND(AX$7&gt;0,$A316&gt;AX$7)),0,MAX(0,ROUND((INDEX($E316:$G316,AX$5)-SUMIFS(TF_Timer,TF_Tekniker,AX$4,TF_Dato,$A316))*2,0)/2)))</f>
        <v/>
      </c>
      <c r="AY316">
        <f>IF(OR(AY$4="",$A316&gt;TODAY()),0,IF(OR(INDEX($B316:$D316,AY$5)="F",AND(AY$6&gt;0,$A316&lt;AY$6),AND(AY$7&gt;0,$A316&gt;AY$7)),0,MAX(0,ROUND((INDEX($E316:$G316,AY$5)-SUMIFS(TF_Timer,TF_Tekniker,AY$4,TF_Dato,$A316))*2,0)/2)))</f>
        <v/>
      </c>
      <c r="AZ316">
        <f>IF(OR(AZ$4="",$A316&gt;TODAY()),0,IF(OR(INDEX($B316:$D316,AZ$5)="F",AND(AZ$6&gt;0,$A316&lt;AZ$6),AND(AZ$7&gt;0,$A316&gt;AZ$7)),0,MAX(0,ROUND((INDEX($E316:$G316,AZ$5)-SUMIFS(TF_Timer,TF_Tekniker,AZ$4,TF_Dato,$A316))*2,0)/2)))</f>
        <v/>
      </c>
      <c r="BA316">
        <f>IF(OR(BA$4="",$A316&gt;TODAY()),0,IF(OR(INDEX($B316:$D316,BA$5)="F",AND(BA$6&gt;0,$A316&lt;BA$6),AND(BA$7&gt;0,$A316&gt;BA$7)),0,MAX(0,ROUND((INDEX($E316:$G316,BA$5)-SUMIFS(TF_Timer,TF_Tekniker,BA$4,TF_Dato,$A316))*2,0)/2)))</f>
        <v/>
      </c>
      <c r="BB316">
        <f>IF(OR(BB$4="",$A316&gt;TODAY()),0,IF(OR(INDEX($B316:$D316,BB$5)="F",AND(BB$6&gt;0,$A316&lt;BB$6),AND(BB$7&gt;0,$A316&gt;BB$7)),0,MAX(0,ROUND((INDEX($E316:$G316,BB$5)-SUMIFS(TF_Timer,TF_Tekniker,BB$4,TF_Dato,$A316))*2,0)/2)))</f>
        <v/>
      </c>
      <c r="BC316">
        <f>IF(OR(BC$4="",$A316&gt;TODAY()),0,IF(OR(INDEX($B316:$D316,BC$5)="F",AND(BC$6&gt;0,$A316&lt;BC$6),AND(BC$7&gt;0,$A316&gt;BC$7)),0,MAX(0,ROUND((INDEX($E316:$G316,BC$5)-SUMIFS(TF_Timer,TF_Tekniker,BC$4,TF_Dato,$A316))*2,0)/2)))</f>
        <v/>
      </c>
      <c r="BD316">
        <f>IF(OR(BD$4="",$A316&gt;TODAY()),0,IF(OR(INDEX($B316:$D316,BD$5)="F",AND(BD$6&gt;0,$A316&lt;BD$6),AND(BD$7&gt;0,$A316&gt;BD$7)),0,MAX(0,ROUND((INDEX($E316:$G316,BD$5)-SUMIFS(TF_Timer,TF_Tekniker,BD$4,TF_Dato,$A316))*2,0)/2)))</f>
        <v/>
      </c>
      <c r="BE316">
        <f>IF(OR(BE$4="",$A316&gt;TODAY()),0,IF(OR(INDEX($B316:$D316,BE$5)="F",AND(BE$6&gt;0,$A316&lt;BE$6),AND(BE$7&gt;0,$A316&gt;BE$7)),0,MAX(0,ROUND((INDEX($E316:$G316,BE$5)-SUMIFS(TF_Timer,TF_Tekniker,BE$4,TF_Dato,$A316))*2,0)/2)))</f>
        <v/>
      </c>
      <c r="BF316">
        <f>IF(OR(BF$4="",$A316&gt;TODAY()),0,IF(OR(INDEX($B316:$D316,BF$5)="F",AND(BF$6&gt;0,$A316&lt;BF$6),AND(BF$7&gt;0,$A316&gt;BF$7)),0,MAX(0,ROUND((INDEX($E316:$G316,BF$5)-SUMIFS(TF_Timer,TF_Tekniker,BF$4,TF_Dato,$A316))*2,0)/2)))</f>
        <v/>
      </c>
      <c r="BG316">
        <f>IF(OR(BG$4="",$A316&gt;TODAY()),0,IF(OR(INDEX($B316:$D316,BG$5)="F",AND(BG$6&gt;0,$A316&lt;BG$6),AND(BG$7&gt;0,$A316&gt;BG$7)),0,MAX(0,ROUND((INDEX($E316:$G316,BG$5)-SUMIFS(TF_Timer,TF_Tekniker,BG$4,TF_Dato,$A316))*2,0)/2)))</f>
        <v/>
      </c>
      <c r="BH316">
        <f>IF(OR(BH$4="",$A316&gt;TODAY()),0,IF(OR(INDEX($B316:$D316,BH$5)="F",AND(BH$6&gt;0,$A316&lt;BH$6),AND(BH$7&gt;0,$A316&gt;BH$7)),0,MAX(0,ROUND((INDEX($E316:$G316,BH$5)-SUMIFS(TF_Timer,TF_Tekniker,BH$4,TF_Dato,$A316))*2,0)/2)))</f>
        <v/>
      </c>
      <c r="BI316">
        <f>IF(OR(BI$4="",$A316&gt;TODAY()),0,IF(OR(INDEX($B316:$D316,BI$5)="F",AND(BI$6&gt;0,$A316&lt;BI$6),AND(BI$7&gt;0,$A316&gt;BI$7)),0,MAX(0,ROUND((INDEX($E316:$G316,BI$5)-SUMIFS(TF_Timer,TF_Tekniker,BI$4,TF_Dato,$A316))*2,0)/2)))</f>
        <v/>
      </c>
    </row>
    <row r="317">
      <c r="A317" s="64">
        <f>A316+1</f>
        <v/>
      </c>
      <c r="B317">
        <f>IF(MOD($A317-INDEX(SkiftStart,1),Syklus)&lt;DagK,"K",IF(MOD($A317-INDEX(SkiftStart,1),Syklus)&lt;DagK+DagH,"H",IF(MOD($A317-INDEX(SkiftStart,1),Syklus)&lt;DagK+DagH+DagD,"D","F")))</f>
        <v/>
      </c>
      <c r="C317">
        <f>IF(MOD($A317-INDEX(SkiftStart,2),Syklus)&lt;DagK,"K",IF(MOD($A317-INDEX(SkiftStart,2),Syklus)&lt;DagK+DagH,"H",IF(MOD($A317-INDEX(SkiftStart,2),Syklus)&lt;DagK+DagH+DagD,"D","F")))</f>
        <v/>
      </c>
      <c r="D317">
        <f>IF(MOD($A317-INDEX(SkiftStart,3),Syklus)&lt;DagK,"K",IF(MOD($A317-INDEX(SkiftStart,3),Syklus)&lt;DagK+DagH,"H",IF(MOD($A317-INDEX(SkiftStart,3),Syklus)&lt;DagK+DagH+DagD,"D","F")))</f>
        <v/>
      </c>
      <c r="E317">
        <f>IF(B317="F",0,IF(WEEKDAY($A317,2)=5,INDEX(TimerFr,MATCH(B317,FaseKode,0)),INDEX(TimerMT,MATCH(B317,FaseKode,0))))</f>
        <v/>
      </c>
      <c r="F317">
        <f>IF(C317="F",0,IF(WEEKDAY($A317,2)=5,INDEX(TimerFr,MATCH(C317,FaseKode,0)),INDEX(TimerMT,MATCH(C317,FaseKode,0))))</f>
        <v/>
      </c>
      <c r="G317">
        <f>IF(D317="F",0,IF(WEEKDAY($A317,2)=5,INDEX(TimerFr,MATCH(D317,FaseKode,0)),INDEX(TimerMT,MATCH(D317,FaseKode,0))))</f>
        <v/>
      </c>
      <c r="H317">
        <f>IF(OR(H$4="",$A317&gt;TODAY()),0,IF(OR(INDEX($B317:$D317,H$5)="F",AND(H$6&gt;0,$A317&lt;H$6),AND(H$7&gt;0,$A317&gt;H$7)),0,MAX(0,ROUND((INDEX($E317:$G317,H$5)-SUMIFS(TF_Timer,TF_Tekniker,H$4,TF_Dato,$A317))*2,0)/2)))</f>
        <v/>
      </c>
      <c r="I317">
        <f>IF(OR(I$4="",$A317&gt;TODAY()),0,IF(OR(INDEX($B317:$D317,I$5)="F",AND(I$6&gt;0,$A317&lt;I$6),AND(I$7&gt;0,$A317&gt;I$7)),0,MAX(0,ROUND((INDEX($E317:$G317,I$5)-SUMIFS(TF_Timer,TF_Tekniker,I$4,TF_Dato,$A317))*2,0)/2)))</f>
        <v/>
      </c>
      <c r="J317">
        <f>IF(OR(J$4="",$A317&gt;TODAY()),0,IF(OR(INDEX($B317:$D317,J$5)="F",AND(J$6&gt;0,$A317&lt;J$6),AND(J$7&gt;0,$A317&gt;J$7)),0,MAX(0,ROUND((INDEX($E317:$G317,J$5)-SUMIFS(TF_Timer,TF_Tekniker,J$4,TF_Dato,$A317))*2,0)/2)))</f>
        <v/>
      </c>
      <c r="K317">
        <f>IF(OR(K$4="",$A317&gt;TODAY()),0,IF(OR(INDEX($B317:$D317,K$5)="F",AND(K$6&gt;0,$A317&lt;K$6),AND(K$7&gt;0,$A317&gt;K$7)),0,MAX(0,ROUND((INDEX($E317:$G317,K$5)-SUMIFS(TF_Timer,TF_Tekniker,K$4,TF_Dato,$A317))*2,0)/2)))</f>
        <v/>
      </c>
      <c r="L317">
        <f>IF(OR(L$4="",$A317&gt;TODAY()),0,IF(OR(INDEX($B317:$D317,L$5)="F",AND(L$6&gt;0,$A317&lt;L$6),AND(L$7&gt;0,$A317&gt;L$7)),0,MAX(0,ROUND((INDEX($E317:$G317,L$5)-SUMIFS(TF_Timer,TF_Tekniker,L$4,TF_Dato,$A317))*2,0)/2)))</f>
        <v/>
      </c>
      <c r="M317">
        <f>IF(OR(M$4="",$A317&gt;TODAY()),0,IF(OR(INDEX($B317:$D317,M$5)="F",AND(M$6&gt;0,$A317&lt;M$6),AND(M$7&gt;0,$A317&gt;M$7)),0,MAX(0,ROUND((INDEX($E317:$G317,M$5)-SUMIFS(TF_Timer,TF_Tekniker,M$4,TF_Dato,$A317))*2,0)/2)))</f>
        <v/>
      </c>
      <c r="N317">
        <f>IF(OR(N$4="",$A317&gt;TODAY()),0,IF(OR(INDEX($B317:$D317,N$5)="F",AND(N$6&gt;0,$A317&lt;N$6),AND(N$7&gt;0,$A317&gt;N$7)),0,MAX(0,ROUND((INDEX($E317:$G317,N$5)-SUMIFS(TF_Timer,TF_Tekniker,N$4,TF_Dato,$A317))*2,0)/2)))</f>
        <v/>
      </c>
      <c r="O317">
        <f>IF(OR(O$4="",$A317&gt;TODAY()),0,IF(OR(INDEX($B317:$D317,O$5)="F",AND(O$6&gt;0,$A317&lt;O$6),AND(O$7&gt;0,$A317&gt;O$7)),0,MAX(0,ROUND((INDEX($E317:$G317,O$5)-SUMIFS(TF_Timer,TF_Tekniker,O$4,TF_Dato,$A317))*2,0)/2)))</f>
        <v/>
      </c>
      <c r="P317">
        <f>IF(OR(P$4="",$A317&gt;TODAY()),0,IF(OR(INDEX($B317:$D317,P$5)="F",AND(P$6&gt;0,$A317&lt;P$6),AND(P$7&gt;0,$A317&gt;P$7)),0,MAX(0,ROUND((INDEX($E317:$G317,P$5)-SUMIFS(TF_Timer,TF_Tekniker,P$4,TF_Dato,$A317))*2,0)/2)))</f>
        <v/>
      </c>
      <c r="Q317">
        <f>IF(OR(Q$4="",$A317&gt;TODAY()),0,IF(OR(INDEX($B317:$D317,Q$5)="F",AND(Q$6&gt;0,$A317&lt;Q$6),AND(Q$7&gt;0,$A317&gt;Q$7)),0,MAX(0,ROUND((INDEX($E317:$G317,Q$5)-SUMIFS(TF_Timer,TF_Tekniker,Q$4,TF_Dato,$A317))*2,0)/2)))</f>
        <v/>
      </c>
      <c r="R317">
        <f>IF(OR(R$4="",$A317&gt;TODAY()),0,IF(OR(INDEX($B317:$D317,R$5)="F",AND(R$6&gt;0,$A317&lt;R$6),AND(R$7&gt;0,$A317&gt;R$7)),0,MAX(0,ROUND((INDEX($E317:$G317,R$5)-SUMIFS(TF_Timer,TF_Tekniker,R$4,TF_Dato,$A317))*2,0)/2)))</f>
        <v/>
      </c>
      <c r="S317">
        <f>IF(OR(S$4="",$A317&gt;TODAY()),0,IF(OR(INDEX($B317:$D317,S$5)="F",AND(S$6&gt;0,$A317&lt;S$6),AND(S$7&gt;0,$A317&gt;S$7)),0,MAX(0,ROUND((INDEX($E317:$G317,S$5)-SUMIFS(TF_Timer,TF_Tekniker,S$4,TF_Dato,$A317))*2,0)/2)))</f>
        <v/>
      </c>
      <c r="T317">
        <f>IF(OR(T$4="",$A317&gt;TODAY()),0,IF(OR(INDEX($B317:$D317,T$5)="F",AND(T$6&gt;0,$A317&lt;T$6),AND(T$7&gt;0,$A317&gt;T$7)),0,MAX(0,ROUND((INDEX($E317:$G317,T$5)-SUMIFS(TF_Timer,TF_Tekniker,T$4,TF_Dato,$A317))*2,0)/2)))</f>
        <v/>
      </c>
      <c r="U317">
        <f>IF(OR(U$4="",$A317&gt;TODAY()),0,IF(OR(INDEX($B317:$D317,U$5)="F",AND(U$6&gt;0,$A317&lt;U$6),AND(U$7&gt;0,$A317&gt;U$7)),0,MAX(0,ROUND((INDEX($E317:$G317,U$5)-SUMIFS(TF_Timer,TF_Tekniker,U$4,TF_Dato,$A317))*2,0)/2)))</f>
        <v/>
      </c>
      <c r="V317">
        <f>IF(OR(V$4="",$A317&gt;TODAY()),0,IF(OR(INDEX($B317:$D317,V$5)="F",AND(V$6&gt;0,$A317&lt;V$6),AND(V$7&gt;0,$A317&gt;V$7)),0,MAX(0,ROUND((INDEX($E317:$G317,V$5)-SUMIFS(TF_Timer,TF_Tekniker,V$4,TF_Dato,$A317))*2,0)/2)))</f>
        <v/>
      </c>
      <c r="W317">
        <f>IF(OR(W$4="",$A317&gt;TODAY()),0,IF(OR(INDEX($B317:$D317,W$5)="F",AND(W$6&gt;0,$A317&lt;W$6),AND(W$7&gt;0,$A317&gt;W$7)),0,MAX(0,ROUND((INDEX($E317:$G317,W$5)-SUMIFS(TF_Timer,TF_Tekniker,W$4,TF_Dato,$A317))*2,0)/2)))</f>
        <v/>
      </c>
      <c r="X317">
        <f>IF(OR(X$4="",$A317&gt;TODAY()),0,IF(OR(INDEX($B317:$D317,X$5)="F",AND(X$6&gt;0,$A317&lt;X$6),AND(X$7&gt;0,$A317&gt;X$7)),0,MAX(0,ROUND((INDEX($E317:$G317,X$5)-SUMIFS(TF_Timer,TF_Tekniker,X$4,TF_Dato,$A317))*2,0)/2)))</f>
        <v/>
      </c>
      <c r="Y317">
        <f>IF(OR(Y$4="",$A317&gt;TODAY()),0,IF(OR(INDEX($B317:$D317,Y$5)="F",AND(Y$6&gt;0,$A317&lt;Y$6),AND(Y$7&gt;0,$A317&gt;Y$7)),0,MAX(0,ROUND((INDEX($E317:$G317,Y$5)-SUMIFS(TF_Timer,TF_Tekniker,Y$4,TF_Dato,$A317))*2,0)/2)))</f>
        <v/>
      </c>
      <c r="Z317">
        <f>IF(OR(Z$4="",$A317&gt;TODAY()),0,IF(OR(INDEX($B317:$D317,Z$5)="F",AND(Z$6&gt;0,$A317&lt;Z$6),AND(Z$7&gt;0,$A317&gt;Z$7)),0,MAX(0,ROUND((INDEX($E317:$G317,Z$5)-SUMIFS(TF_Timer,TF_Tekniker,Z$4,TF_Dato,$A317))*2,0)/2)))</f>
        <v/>
      </c>
      <c r="AA317">
        <f>IF(OR(AA$4="",$A317&gt;TODAY()),0,IF(OR(INDEX($B317:$D317,AA$5)="F",AND(AA$6&gt;0,$A317&lt;AA$6),AND(AA$7&gt;0,$A317&gt;AA$7)),0,MAX(0,ROUND((INDEX($E317:$G317,AA$5)-SUMIFS(TF_Timer,TF_Tekniker,AA$4,TF_Dato,$A317))*2,0)/2)))</f>
        <v/>
      </c>
      <c r="AB317">
        <f>IF(OR(AB$4="",$A317&gt;TODAY()),0,IF(OR(INDEX($B317:$D317,AB$5)="F",AND(AB$6&gt;0,$A317&lt;AB$6),AND(AB$7&gt;0,$A317&gt;AB$7)),0,MAX(0,ROUND((INDEX($E317:$G317,AB$5)-SUMIFS(TF_Timer,TF_Tekniker,AB$4,TF_Dato,$A317))*2,0)/2)))</f>
        <v/>
      </c>
      <c r="AC317">
        <f>IF(OR(AC$4="",$A317&gt;TODAY()),0,IF(OR(INDEX($B317:$D317,AC$5)="F",AND(AC$6&gt;0,$A317&lt;AC$6),AND(AC$7&gt;0,$A317&gt;AC$7)),0,MAX(0,ROUND((INDEX($E317:$G317,AC$5)-SUMIFS(TF_Timer,TF_Tekniker,AC$4,TF_Dato,$A317))*2,0)/2)))</f>
        <v/>
      </c>
      <c r="AD317">
        <f>IF(OR(AD$4="",$A317&gt;TODAY()),0,IF(OR(INDEX($B317:$D317,AD$5)="F",AND(AD$6&gt;0,$A317&lt;AD$6),AND(AD$7&gt;0,$A317&gt;AD$7)),0,MAX(0,ROUND((INDEX($E317:$G317,AD$5)-SUMIFS(TF_Timer,TF_Tekniker,AD$4,TF_Dato,$A317))*2,0)/2)))</f>
        <v/>
      </c>
      <c r="AE317">
        <f>IF(OR(AE$4="",$A317&gt;TODAY()),0,IF(OR(INDEX($B317:$D317,AE$5)="F",AND(AE$6&gt;0,$A317&lt;AE$6),AND(AE$7&gt;0,$A317&gt;AE$7)),0,MAX(0,ROUND((INDEX($E317:$G317,AE$5)-SUMIFS(TF_Timer,TF_Tekniker,AE$4,TF_Dato,$A317))*2,0)/2)))</f>
        <v/>
      </c>
      <c r="AF317">
        <f>IF(OR(AF$4="",$A317&gt;TODAY()),0,IF(OR(INDEX($B317:$D317,AF$5)="F",AND(AF$6&gt;0,$A317&lt;AF$6),AND(AF$7&gt;0,$A317&gt;AF$7)),0,MAX(0,ROUND((INDEX($E317:$G317,AF$5)-SUMIFS(TF_Timer,TF_Tekniker,AF$4,TF_Dato,$A317))*2,0)/2)))</f>
        <v/>
      </c>
      <c r="AG317">
        <f>IF(OR(AG$4="",$A317&gt;TODAY()),0,IF(OR(INDEX($B317:$D317,AG$5)="F",AND(AG$6&gt;0,$A317&lt;AG$6),AND(AG$7&gt;0,$A317&gt;AG$7)),0,MAX(0,ROUND((INDEX($E317:$G317,AG$5)-SUMIFS(TF_Timer,TF_Tekniker,AG$4,TF_Dato,$A317))*2,0)/2)))</f>
        <v/>
      </c>
      <c r="AH317">
        <f>IF(OR(AH$4="",$A317&gt;TODAY()),0,IF(OR(INDEX($B317:$D317,AH$5)="F",AND(AH$6&gt;0,$A317&lt;AH$6),AND(AH$7&gt;0,$A317&gt;AH$7)),0,MAX(0,ROUND((INDEX($E317:$G317,AH$5)-SUMIFS(TF_Timer,TF_Tekniker,AH$4,TF_Dato,$A317))*2,0)/2)))</f>
        <v/>
      </c>
      <c r="AI317">
        <f>IF(OR(AI$4="",$A317&gt;TODAY()),0,IF(OR(INDEX($B317:$D317,AI$5)="F",AND(AI$6&gt;0,$A317&lt;AI$6),AND(AI$7&gt;0,$A317&gt;AI$7)),0,MAX(0,ROUND((INDEX($E317:$G317,AI$5)-SUMIFS(TF_Timer,TF_Tekniker,AI$4,TF_Dato,$A317))*2,0)/2)))</f>
        <v/>
      </c>
      <c r="AJ317">
        <f>IF(OR(AJ$4="",$A317&gt;TODAY()),0,IF(OR(INDEX($B317:$D317,AJ$5)="F",AND(AJ$6&gt;0,$A317&lt;AJ$6),AND(AJ$7&gt;0,$A317&gt;AJ$7)),0,MAX(0,ROUND((INDEX($E317:$G317,AJ$5)-SUMIFS(TF_Timer,TF_Tekniker,AJ$4,TF_Dato,$A317))*2,0)/2)))</f>
        <v/>
      </c>
      <c r="AK317">
        <f>IF(OR(AK$4="",$A317&gt;TODAY()),0,IF(OR(INDEX($B317:$D317,AK$5)="F",AND(AK$6&gt;0,$A317&lt;AK$6),AND(AK$7&gt;0,$A317&gt;AK$7)),0,MAX(0,ROUND((INDEX($E317:$G317,AK$5)-SUMIFS(TF_Timer,TF_Tekniker,AK$4,TF_Dato,$A317))*2,0)/2)))</f>
        <v/>
      </c>
      <c r="AL317">
        <f>IF(OR(AL$4="",$A317&gt;TODAY()),0,IF(OR(INDEX($B317:$D317,AL$5)="F",AND(AL$6&gt;0,$A317&lt;AL$6),AND(AL$7&gt;0,$A317&gt;AL$7)),0,MAX(0,ROUND((INDEX($E317:$G317,AL$5)-SUMIFS(TF_Timer,TF_Tekniker,AL$4,TF_Dato,$A317))*2,0)/2)))</f>
        <v/>
      </c>
      <c r="AM317">
        <f>IF(OR(AM$4="",$A317&gt;TODAY()),0,IF(OR(INDEX($B317:$D317,AM$5)="F",AND(AM$6&gt;0,$A317&lt;AM$6),AND(AM$7&gt;0,$A317&gt;AM$7)),0,MAX(0,ROUND((INDEX($E317:$G317,AM$5)-SUMIFS(TF_Timer,TF_Tekniker,AM$4,TF_Dato,$A317))*2,0)/2)))</f>
        <v/>
      </c>
      <c r="AN317">
        <f>IF(OR(AN$4="",$A317&gt;TODAY()),0,IF(OR(INDEX($B317:$D317,AN$5)="F",AND(AN$6&gt;0,$A317&lt;AN$6),AND(AN$7&gt;0,$A317&gt;AN$7)),0,MAX(0,ROUND((INDEX($E317:$G317,AN$5)-SUMIFS(TF_Timer,TF_Tekniker,AN$4,TF_Dato,$A317))*2,0)/2)))</f>
        <v/>
      </c>
      <c r="AO317">
        <f>IF(OR(AO$4="",$A317&gt;TODAY()),0,IF(OR(INDEX($B317:$D317,AO$5)="F",AND(AO$6&gt;0,$A317&lt;AO$6),AND(AO$7&gt;0,$A317&gt;AO$7)),0,MAX(0,ROUND((INDEX($E317:$G317,AO$5)-SUMIFS(TF_Timer,TF_Tekniker,AO$4,TF_Dato,$A317))*2,0)/2)))</f>
        <v/>
      </c>
      <c r="AP317">
        <f>IF(OR(AP$4="",$A317&gt;TODAY()),0,IF(OR(INDEX($B317:$D317,AP$5)="F",AND(AP$6&gt;0,$A317&lt;AP$6),AND(AP$7&gt;0,$A317&gt;AP$7)),0,MAX(0,ROUND((INDEX($E317:$G317,AP$5)-SUMIFS(TF_Timer,TF_Tekniker,AP$4,TF_Dato,$A317))*2,0)/2)))</f>
        <v/>
      </c>
      <c r="AQ317">
        <f>IF(OR(AQ$4="",$A317&gt;TODAY()),0,IF(OR(INDEX($B317:$D317,AQ$5)="F",AND(AQ$6&gt;0,$A317&lt;AQ$6),AND(AQ$7&gt;0,$A317&gt;AQ$7)),0,MAX(0,ROUND((INDEX($E317:$G317,AQ$5)-SUMIFS(TF_Timer,TF_Tekniker,AQ$4,TF_Dato,$A317))*2,0)/2)))</f>
        <v/>
      </c>
      <c r="AR317">
        <f>IF(OR(AR$4="",$A317&gt;TODAY()),0,IF(OR(INDEX($B317:$D317,AR$5)="F",AND(AR$6&gt;0,$A317&lt;AR$6),AND(AR$7&gt;0,$A317&gt;AR$7)),0,MAX(0,ROUND((INDEX($E317:$G317,AR$5)-SUMIFS(TF_Timer,TF_Tekniker,AR$4,TF_Dato,$A317))*2,0)/2)))</f>
        <v/>
      </c>
      <c r="AS317">
        <f>IF(OR(AS$4="",$A317&gt;TODAY()),0,IF(OR(INDEX($B317:$D317,AS$5)="F",AND(AS$6&gt;0,$A317&lt;AS$6),AND(AS$7&gt;0,$A317&gt;AS$7)),0,MAX(0,ROUND((INDEX($E317:$G317,AS$5)-SUMIFS(TF_Timer,TF_Tekniker,AS$4,TF_Dato,$A317))*2,0)/2)))</f>
        <v/>
      </c>
      <c r="AT317">
        <f>IF(OR(AT$4="",$A317&gt;TODAY()),0,IF(OR(INDEX($B317:$D317,AT$5)="F",AND(AT$6&gt;0,$A317&lt;AT$6),AND(AT$7&gt;0,$A317&gt;AT$7)),0,MAX(0,ROUND((INDEX($E317:$G317,AT$5)-SUMIFS(TF_Timer,TF_Tekniker,AT$4,TF_Dato,$A317))*2,0)/2)))</f>
        <v/>
      </c>
      <c r="AU317">
        <f>IF(OR(AU$4="",$A317&gt;TODAY()),0,IF(OR(INDEX($B317:$D317,AU$5)="F",AND(AU$6&gt;0,$A317&lt;AU$6),AND(AU$7&gt;0,$A317&gt;AU$7)),0,MAX(0,ROUND((INDEX($E317:$G317,AU$5)-SUMIFS(TF_Timer,TF_Tekniker,AU$4,TF_Dato,$A317))*2,0)/2)))</f>
        <v/>
      </c>
      <c r="AV317">
        <f>IF(OR(AV$4="",$A317&gt;TODAY()),0,IF(OR(INDEX($B317:$D317,AV$5)="F",AND(AV$6&gt;0,$A317&lt;AV$6),AND(AV$7&gt;0,$A317&gt;AV$7)),0,MAX(0,ROUND((INDEX($E317:$G317,AV$5)-SUMIFS(TF_Timer,TF_Tekniker,AV$4,TF_Dato,$A317))*2,0)/2)))</f>
        <v/>
      </c>
      <c r="AW317">
        <f>IF(OR(AW$4="",$A317&gt;TODAY()),0,IF(OR(INDEX($B317:$D317,AW$5)="F",AND(AW$6&gt;0,$A317&lt;AW$6),AND(AW$7&gt;0,$A317&gt;AW$7)),0,MAX(0,ROUND((INDEX($E317:$G317,AW$5)-SUMIFS(TF_Timer,TF_Tekniker,AW$4,TF_Dato,$A317))*2,0)/2)))</f>
        <v/>
      </c>
      <c r="AX317">
        <f>IF(OR(AX$4="",$A317&gt;TODAY()),0,IF(OR(INDEX($B317:$D317,AX$5)="F",AND(AX$6&gt;0,$A317&lt;AX$6),AND(AX$7&gt;0,$A317&gt;AX$7)),0,MAX(0,ROUND((INDEX($E317:$G317,AX$5)-SUMIFS(TF_Timer,TF_Tekniker,AX$4,TF_Dato,$A317))*2,0)/2)))</f>
        <v/>
      </c>
      <c r="AY317">
        <f>IF(OR(AY$4="",$A317&gt;TODAY()),0,IF(OR(INDEX($B317:$D317,AY$5)="F",AND(AY$6&gt;0,$A317&lt;AY$6),AND(AY$7&gt;0,$A317&gt;AY$7)),0,MAX(0,ROUND((INDEX($E317:$G317,AY$5)-SUMIFS(TF_Timer,TF_Tekniker,AY$4,TF_Dato,$A317))*2,0)/2)))</f>
        <v/>
      </c>
      <c r="AZ317">
        <f>IF(OR(AZ$4="",$A317&gt;TODAY()),0,IF(OR(INDEX($B317:$D317,AZ$5)="F",AND(AZ$6&gt;0,$A317&lt;AZ$6),AND(AZ$7&gt;0,$A317&gt;AZ$7)),0,MAX(0,ROUND((INDEX($E317:$G317,AZ$5)-SUMIFS(TF_Timer,TF_Tekniker,AZ$4,TF_Dato,$A317))*2,0)/2)))</f>
        <v/>
      </c>
      <c r="BA317">
        <f>IF(OR(BA$4="",$A317&gt;TODAY()),0,IF(OR(INDEX($B317:$D317,BA$5)="F",AND(BA$6&gt;0,$A317&lt;BA$6),AND(BA$7&gt;0,$A317&gt;BA$7)),0,MAX(0,ROUND((INDEX($E317:$G317,BA$5)-SUMIFS(TF_Timer,TF_Tekniker,BA$4,TF_Dato,$A317))*2,0)/2)))</f>
        <v/>
      </c>
      <c r="BB317">
        <f>IF(OR(BB$4="",$A317&gt;TODAY()),0,IF(OR(INDEX($B317:$D317,BB$5)="F",AND(BB$6&gt;0,$A317&lt;BB$6),AND(BB$7&gt;0,$A317&gt;BB$7)),0,MAX(0,ROUND((INDEX($E317:$G317,BB$5)-SUMIFS(TF_Timer,TF_Tekniker,BB$4,TF_Dato,$A317))*2,0)/2)))</f>
        <v/>
      </c>
      <c r="BC317">
        <f>IF(OR(BC$4="",$A317&gt;TODAY()),0,IF(OR(INDEX($B317:$D317,BC$5)="F",AND(BC$6&gt;0,$A317&lt;BC$6),AND(BC$7&gt;0,$A317&gt;BC$7)),0,MAX(0,ROUND((INDEX($E317:$G317,BC$5)-SUMIFS(TF_Timer,TF_Tekniker,BC$4,TF_Dato,$A317))*2,0)/2)))</f>
        <v/>
      </c>
      <c r="BD317">
        <f>IF(OR(BD$4="",$A317&gt;TODAY()),0,IF(OR(INDEX($B317:$D317,BD$5)="F",AND(BD$6&gt;0,$A317&lt;BD$6),AND(BD$7&gt;0,$A317&gt;BD$7)),0,MAX(0,ROUND((INDEX($E317:$G317,BD$5)-SUMIFS(TF_Timer,TF_Tekniker,BD$4,TF_Dato,$A317))*2,0)/2)))</f>
        <v/>
      </c>
      <c r="BE317">
        <f>IF(OR(BE$4="",$A317&gt;TODAY()),0,IF(OR(INDEX($B317:$D317,BE$5)="F",AND(BE$6&gt;0,$A317&lt;BE$6),AND(BE$7&gt;0,$A317&gt;BE$7)),0,MAX(0,ROUND((INDEX($E317:$G317,BE$5)-SUMIFS(TF_Timer,TF_Tekniker,BE$4,TF_Dato,$A317))*2,0)/2)))</f>
        <v/>
      </c>
      <c r="BF317">
        <f>IF(OR(BF$4="",$A317&gt;TODAY()),0,IF(OR(INDEX($B317:$D317,BF$5)="F",AND(BF$6&gt;0,$A317&lt;BF$6),AND(BF$7&gt;0,$A317&gt;BF$7)),0,MAX(0,ROUND((INDEX($E317:$G317,BF$5)-SUMIFS(TF_Timer,TF_Tekniker,BF$4,TF_Dato,$A317))*2,0)/2)))</f>
        <v/>
      </c>
      <c r="BG317">
        <f>IF(OR(BG$4="",$A317&gt;TODAY()),0,IF(OR(INDEX($B317:$D317,BG$5)="F",AND(BG$6&gt;0,$A317&lt;BG$6),AND(BG$7&gt;0,$A317&gt;BG$7)),0,MAX(0,ROUND((INDEX($E317:$G317,BG$5)-SUMIFS(TF_Timer,TF_Tekniker,BG$4,TF_Dato,$A317))*2,0)/2)))</f>
        <v/>
      </c>
      <c r="BH317">
        <f>IF(OR(BH$4="",$A317&gt;TODAY()),0,IF(OR(INDEX($B317:$D317,BH$5)="F",AND(BH$6&gt;0,$A317&lt;BH$6),AND(BH$7&gt;0,$A317&gt;BH$7)),0,MAX(0,ROUND((INDEX($E317:$G317,BH$5)-SUMIFS(TF_Timer,TF_Tekniker,BH$4,TF_Dato,$A317))*2,0)/2)))</f>
        <v/>
      </c>
      <c r="BI317">
        <f>IF(OR(BI$4="",$A317&gt;TODAY()),0,IF(OR(INDEX($B317:$D317,BI$5)="F",AND(BI$6&gt;0,$A317&lt;BI$6),AND(BI$7&gt;0,$A317&gt;BI$7)),0,MAX(0,ROUND((INDEX($E317:$G317,BI$5)-SUMIFS(TF_Timer,TF_Tekniker,BI$4,TF_Dato,$A317))*2,0)/2)))</f>
        <v/>
      </c>
    </row>
    <row r="318">
      <c r="A318" s="64">
        <f>A317+1</f>
        <v/>
      </c>
      <c r="B318">
        <f>IF(MOD($A318-INDEX(SkiftStart,1),Syklus)&lt;DagK,"K",IF(MOD($A318-INDEX(SkiftStart,1),Syklus)&lt;DagK+DagH,"H",IF(MOD($A318-INDEX(SkiftStart,1),Syklus)&lt;DagK+DagH+DagD,"D","F")))</f>
        <v/>
      </c>
      <c r="C318">
        <f>IF(MOD($A318-INDEX(SkiftStart,2),Syklus)&lt;DagK,"K",IF(MOD($A318-INDEX(SkiftStart,2),Syklus)&lt;DagK+DagH,"H",IF(MOD($A318-INDEX(SkiftStart,2),Syklus)&lt;DagK+DagH+DagD,"D","F")))</f>
        <v/>
      </c>
      <c r="D318">
        <f>IF(MOD($A318-INDEX(SkiftStart,3),Syklus)&lt;DagK,"K",IF(MOD($A318-INDEX(SkiftStart,3),Syklus)&lt;DagK+DagH,"H",IF(MOD($A318-INDEX(SkiftStart,3),Syklus)&lt;DagK+DagH+DagD,"D","F")))</f>
        <v/>
      </c>
      <c r="E318">
        <f>IF(B318="F",0,IF(WEEKDAY($A318,2)=5,INDEX(TimerFr,MATCH(B318,FaseKode,0)),INDEX(TimerMT,MATCH(B318,FaseKode,0))))</f>
        <v/>
      </c>
      <c r="F318">
        <f>IF(C318="F",0,IF(WEEKDAY($A318,2)=5,INDEX(TimerFr,MATCH(C318,FaseKode,0)),INDEX(TimerMT,MATCH(C318,FaseKode,0))))</f>
        <v/>
      </c>
      <c r="G318">
        <f>IF(D318="F",0,IF(WEEKDAY($A318,2)=5,INDEX(TimerFr,MATCH(D318,FaseKode,0)),INDEX(TimerMT,MATCH(D318,FaseKode,0))))</f>
        <v/>
      </c>
      <c r="H318">
        <f>IF(OR(H$4="",$A318&gt;TODAY()),0,IF(OR(INDEX($B318:$D318,H$5)="F",AND(H$6&gt;0,$A318&lt;H$6),AND(H$7&gt;0,$A318&gt;H$7)),0,MAX(0,ROUND((INDEX($E318:$G318,H$5)-SUMIFS(TF_Timer,TF_Tekniker,H$4,TF_Dato,$A318))*2,0)/2)))</f>
        <v/>
      </c>
      <c r="I318">
        <f>IF(OR(I$4="",$A318&gt;TODAY()),0,IF(OR(INDEX($B318:$D318,I$5)="F",AND(I$6&gt;0,$A318&lt;I$6),AND(I$7&gt;0,$A318&gt;I$7)),0,MAX(0,ROUND((INDEX($E318:$G318,I$5)-SUMIFS(TF_Timer,TF_Tekniker,I$4,TF_Dato,$A318))*2,0)/2)))</f>
        <v/>
      </c>
      <c r="J318">
        <f>IF(OR(J$4="",$A318&gt;TODAY()),0,IF(OR(INDEX($B318:$D318,J$5)="F",AND(J$6&gt;0,$A318&lt;J$6),AND(J$7&gt;0,$A318&gt;J$7)),0,MAX(0,ROUND((INDEX($E318:$G318,J$5)-SUMIFS(TF_Timer,TF_Tekniker,J$4,TF_Dato,$A318))*2,0)/2)))</f>
        <v/>
      </c>
      <c r="K318">
        <f>IF(OR(K$4="",$A318&gt;TODAY()),0,IF(OR(INDEX($B318:$D318,K$5)="F",AND(K$6&gt;0,$A318&lt;K$6),AND(K$7&gt;0,$A318&gt;K$7)),0,MAX(0,ROUND((INDEX($E318:$G318,K$5)-SUMIFS(TF_Timer,TF_Tekniker,K$4,TF_Dato,$A318))*2,0)/2)))</f>
        <v/>
      </c>
      <c r="L318">
        <f>IF(OR(L$4="",$A318&gt;TODAY()),0,IF(OR(INDEX($B318:$D318,L$5)="F",AND(L$6&gt;0,$A318&lt;L$6),AND(L$7&gt;0,$A318&gt;L$7)),0,MAX(0,ROUND((INDEX($E318:$G318,L$5)-SUMIFS(TF_Timer,TF_Tekniker,L$4,TF_Dato,$A318))*2,0)/2)))</f>
        <v/>
      </c>
      <c r="M318">
        <f>IF(OR(M$4="",$A318&gt;TODAY()),0,IF(OR(INDEX($B318:$D318,M$5)="F",AND(M$6&gt;0,$A318&lt;M$6),AND(M$7&gt;0,$A318&gt;M$7)),0,MAX(0,ROUND((INDEX($E318:$G318,M$5)-SUMIFS(TF_Timer,TF_Tekniker,M$4,TF_Dato,$A318))*2,0)/2)))</f>
        <v/>
      </c>
      <c r="N318">
        <f>IF(OR(N$4="",$A318&gt;TODAY()),0,IF(OR(INDEX($B318:$D318,N$5)="F",AND(N$6&gt;0,$A318&lt;N$6),AND(N$7&gt;0,$A318&gt;N$7)),0,MAX(0,ROUND((INDEX($E318:$G318,N$5)-SUMIFS(TF_Timer,TF_Tekniker,N$4,TF_Dato,$A318))*2,0)/2)))</f>
        <v/>
      </c>
      <c r="O318">
        <f>IF(OR(O$4="",$A318&gt;TODAY()),0,IF(OR(INDEX($B318:$D318,O$5)="F",AND(O$6&gt;0,$A318&lt;O$6),AND(O$7&gt;0,$A318&gt;O$7)),0,MAX(0,ROUND((INDEX($E318:$G318,O$5)-SUMIFS(TF_Timer,TF_Tekniker,O$4,TF_Dato,$A318))*2,0)/2)))</f>
        <v/>
      </c>
      <c r="P318">
        <f>IF(OR(P$4="",$A318&gt;TODAY()),0,IF(OR(INDEX($B318:$D318,P$5)="F",AND(P$6&gt;0,$A318&lt;P$6),AND(P$7&gt;0,$A318&gt;P$7)),0,MAX(0,ROUND((INDEX($E318:$G318,P$5)-SUMIFS(TF_Timer,TF_Tekniker,P$4,TF_Dato,$A318))*2,0)/2)))</f>
        <v/>
      </c>
      <c r="Q318">
        <f>IF(OR(Q$4="",$A318&gt;TODAY()),0,IF(OR(INDEX($B318:$D318,Q$5)="F",AND(Q$6&gt;0,$A318&lt;Q$6),AND(Q$7&gt;0,$A318&gt;Q$7)),0,MAX(0,ROUND((INDEX($E318:$G318,Q$5)-SUMIFS(TF_Timer,TF_Tekniker,Q$4,TF_Dato,$A318))*2,0)/2)))</f>
        <v/>
      </c>
      <c r="R318">
        <f>IF(OR(R$4="",$A318&gt;TODAY()),0,IF(OR(INDEX($B318:$D318,R$5)="F",AND(R$6&gt;0,$A318&lt;R$6),AND(R$7&gt;0,$A318&gt;R$7)),0,MAX(0,ROUND((INDEX($E318:$G318,R$5)-SUMIFS(TF_Timer,TF_Tekniker,R$4,TF_Dato,$A318))*2,0)/2)))</f>
        <v/>
      </c>
      <c r="S318">
        <f>IF(OR(S$4="",$A318&gt;TODAY()),0,IF(OR(INDEX($B318:$D318,S$5)="F",AND(S$6&gt;0,$A318&lt;S$6),AND(S$7&gt;0,$A318&gt;S$7)),0,MAX(0,ROUND((INDEX($E318:$G318,S$5)-SUMIFS(TF_Timer,TF_Tekniker,S$4,TF_Dato,$A318))*2,0)/2)))</f>
        <v/>
      </c>
      <c r="T318">
        <f>IF(OR(T$4="",$A318&gt;TODAY()),0,IF(OR(INDEX($B318:$D318,T$5)="F",AND(T$6&gt;0,$A318&lt;T$6),AND(T$7&gt;0,$A318&gt;T$7)),0,MAX(0,ROUND((INDEX($E318:$G318,T$5)-SUMIFS(TF_Timer,TF_Tekniker,T$4,TF_Dato,$A318))*2,0)/2)))</f>
        <v/>
      </c>
      <c r="U318">
        <f>IF(OR(U$4="",$A318&gt;TODAY()),0,IF(OR(INDEX($B318:$D318,U$5)="F",AND(U$6&gt;0,$A318&lt;U$6),AND(U$7&gt;0,$A318&gt;U$7)),0,MAX(0,ROUND((INDEX($E318:$G318,U$5)-SUMIFS(TF_Timer,TF_Tekniker,U$4,TF_Dato,$A318))*2,0)/2)))</f>
        <v/>
      </c>
      <c r="V318">
        <f>IF(OR(V$4="",$A318&gt;TODAY()),0,IF(OR(INDEX($B318:$D318,V$5)="F",AND(V$6&gt;0,$A318&lt;V$6),AND(V$7&gt;0,$A318&gt;V$7)),0,MAX(0,ROUND((INDEX($E318:$G318,V$5)-SUMIFS(TF_Timer,TF_Tekniker,V$4,TF_Dato,$A318))*2,0)/2)))</f>
        <v/>
      </c>
      <c r="W318">
        <f>IF(OR(W$4="",$A318&gt;TODAY()),0,IF(OR(INDEX($B318:$D318,W$5)="F",AND(W$6&gt;0,$A318&lt;W$6),AND(W$7&gt;0,$A318&gt;W$7)),0,MAX(0,ROUND((INDEX($E318:$G318,W$5)-SUMIFS(TF_Timer,TF_Tekniker,W$4,TF_Dato,$A318))*2,0)/2)))</f>
        <v/>
      </c>
      <c r="X318">
        <f>IF(OR(X$4="",$A318&gt;TODAY()),0,IF(OR(INDEX($B318:$D318,X$5)="F",AND(X$6&gt;0,$A318&lt;X$6),AND(X$7&gt;0,$A318&gt;X$7)),0,MAX(0,ROUND((INDEX($E318:$G318,X$5)-SUMIFS(TF_Timer,TF_Tekniker,X$4,TF_Dato,$A318))*2,0)/2)))</f>
        <v/>
      </c>
      <c r="Y318">
        <f>IF(OR(Y$4="",$A318&gt;TODAY()),0,IF(OR(INDEX($B318:$D318,Y$5)="F",AND(Y$6&gt;0,$A318&lt;Y$6),AND(Y$7&gt;0,$A318&gt;Y$7)),0,MAX(0,ROUND((INDEX($E318:$G318,Y$5)-SUMIFS(TF_Timer,TF_Tekniker,Y$4,TF_Dato,$A318))*2,0)/2)))</f>
        <v/>
      </c>
      <c r="Z318">
        <f>IF(OR(Z$4="",$A318&gt;TODAY()),0,IF(OR(INDEX($B318:$D318,Z$5)="F",AND(Z$6&gt;0,$A318&lt;Z$6),AND(Z$7&gt;0,$A318&gt;Z$7)),0,MAX(0,ROUND((INDEX($E318:$G318,Z$5)-SUMIFS(TF_Timer,TF_Tekniker,Z$4,TF_Dato,$A318))*2,0)/2)))</f>
        <v/>
      </c>
      <c r="AA318">
        <f>IF(OR(AA$4="",$A318&gt;TODAY()),0,IF(OR(INDEX($B318:$D318,AA$5)="F",AND(AA$6&gt;0,$A318&lt;AA$6),AND(AA$7&gt;0,$A318&gt;AA$7)),0,MAX(0,ROUND((INDEX($E318:$G318,AA$5)-SUMIFS(TF_Timer,TF_Tekniker,AA$4,TF_Dato,$A318))*2,0)/2)))</f>
        <v/>
      </c>
      <c r="AB318">
        <f>IF(OR(AB$4="",$A318&gt;TODAY()),0,IF(OR(INDEX($B318:$D318,AB$5)="F",AND(AB$6&gt;0,$A318&lt;AB$6),AND(AB$7&gt;0,$A318&gt;AB$7)),0,MAX(0,ROUND((INDEX($E318:$G318,AB$5)-SUMIFS(TF_Timer,TF_Tekniker,AB$4,TF_Dato,$A318))*2,0)/2)))</f>
        <v/>
      </c>
      <c r="AC318">
        <f>IF(OR(AC$4="",$A318&gt;TODAY()),0,IF(OR(INDEX($B318:$D318,AC$5)="F",AND(AC$6&gt;0,$A318&lt;AC$6),AND(AC$7&gt;0,$A318&gt;AC$7)),0,MAX(0,ROUND((INDEX($E318:$G318,AC$5)-SUMIFS(TF_Timer,TF_Tekniker,AC$4,TF_Dato,$A318))*2,0)/2)))</f>
        <v/>
      </c>
      <c r="AD318">
        <f>IF(OR(AD$4="",$A318&gt;TODAY()),0,IF(OR(INDEX($B318:$D318,AD$5)="F",AND(AD$6&gt;0,$A318&lt;AD$6),AND(AD$7&gt;0,$A318&gt;AD$7)),0,MAX(0,ROUND((INDEX($E318:$G318,AD$5)-SUMIFS(TF_Timer,TF_Tekniker,AD$4,TF_Dato,$A318))*2,0)/2)))</f>
        <v/>
      </c>
      <c r="AE318">
        <f>IF(OR(AE$4="",$A318&gt;TODAY()),0,IF(OR(INDEX($B318:$D318,AE$5)="F",AND(AE$6&gt;0,$A318&lt;AE$6),AND(AE$7&gt;0,$A318&gt;AE$7)),0,MAX(0,ROUND((INDEX($E318:$G318,AE$5)-SUMIFS(TF_Timer,TF_Tekniker,AE$4,TF_Dato,$A318))*2,0)/2)))</f>
        <v/>
      </c>
      <c r="AF318">
        <f>IF(OR(AF$4="",$A318&gt;TODAY()),0,IF(OR(INDEX($B318:$D318,AF$5)="F",AND(AF$6&gt;0,$A318&lt;AF$6),AND(AF$7&gt;0,$A318&gt;AF$7)),0,MAX(0,ROUND((INDEX($E318:$G318,AF$5)-SUMIFS(TF_Timer,TF_Tekniker,AF$4,TF_Dato,$A318))*2,0)/2)))</f>
        <v/>
      </c>
      <c r="AG318">
        <f>IF(OR(AG$4="",$A318&gt;TODAY()),0,IF(OR(INDEX($B318:$D318,AG$5)="F",AND(AG$6&gt;0,$A318&lt;AG$6),AND(AG$7&gt;0,$A318&gt;AG$7)),0,MAX(0,ROUND((INDEX($E318:$G318,AG$5)-SUMIFS(TF_Timer,TF_Tekniker,AG$4,TF_Dato,$A318))*2,0)/2)))</f>
        <v/>
      </c>
      <c r="AH318">
        <f>IF(OR(AH$4="",$A318&gt;TODAY()),0,IF(OR(INDEX($B318:$D318,AH$5)="F",AND(AH$6&gt;0,$A318&lt;AH$6),AND(AH$7&gt;0,$A318&gt;AH$7)),0,MAX(0,ROUND((INDEX($E318:$G318,AH$5)-SUMIFS(TF_Timer,TF_Tekniker,AH$4,TF_Dato,$A318))*2,0)/2)))</f>
        <v/>
      </c>
      <c r="AI318">
        <f>IF(OR(AI$4="",$A318&gt;TODAY()),0,IF(OR(INDEX($B318:$D318,AI$5)="F",AND(AI$6&gt;0,$A318&lt;AI$6),AND(AI$7&gt;0,$A318&gt;AI$7)),0,MAX(0,ROUND((INDEX($E318:$G318,AI$5)-SUMIFS(TF_Timer,TF_Tekniker,AI$4,TF_Dato,$A318))*2,0)/2)))</f>
        <v/>
      </c>
      <c r="AJ318">
        <f>IF(OR(AJ$4="",$A318&gt;TODAY()),0,IF(OR(INDEX($B318:$D318,AJ$5)="F",AND(AJ$6&gt;0,$A318&lt;AJ$6),AND(AJ$7&gt;0,$A318&gt;AJ$7)),0,MAX(0,ROUND((INDEX($E318:$G318,AJ$5)-SUMIFS(TF_Timer,TF_Tekniker,AJ$4,TF_Dato,$A318))*2,0)/2)))</f>
        <v/>
      </c>
      <c r="AK318">
        <f>IF(OR(AK$4="",$A318&gt;TODAY()),0,IF(OR(INDEX($B318:$D318,AK$5)="F",AND(AK$6&gt;0,$A318&lt;AK$6),AND(AK$7&gt;0,$A318&gt;AK$7)),0,MAX(0,ROUND((INDEX($E318:$G318,AK$5)-SUMIFS(TF_Timer,TF_Tekniker,AK$4,TF_Dato,$A318))*2,0)/2)))</f>
        <v/>
      </c>
      <c r="AL318">
        <f>IF(OR(AL$4="",$A318&gt;TODAY()),0,IF(OR(INDEX($B318:$D318,AL$5)="F",AND(AL$6&gt;0,$A318&lt;AL$6),AND(AL$7&gt;0,$A318&gt;AL$7)),0,MAX(0,ROUND((INDEX($E318:$G318,AL$5)-SUMIFS(TF_Timer,TF_Tekniker,AL$4,TF_Dato,$A318))*2,0)/2)))</f>
        <v/>
      </c>
      <c r="AM318">
        <f>IF(OR(AM$4="",$A318&gt;TODAY()),0,IF(OR(INDEX($B318:$D318,AM$5)="F",AND(AM$6&gt;0,$A318&lt;AM$6),AND(AM$7&gt;0,$A318&gt;AM$7)),0,MAX(0,ROUND((INDEX($E318:$G318,AM$5)-SUMIFS(TF_Timer,TF_Tekniker,AM$4,TF_Dato,$A318))*2,0)/2)))</f>
        <v/>
      </c>
      <c r="AN318">
        <f>IF(OR(AN$4="",$A318&gt;TODAY()),0,IF(OR(INDEX($B318:$D318,AN$5)="F",AND(AN$6&gt;0,$A318&lt;AN$6),AND(AN$7&gt;0,$A318&gt;AN$7)),0,MAX(0,ROUND((INDEX($E318:$G318,AN$5)-SUMIFS(TF_Timer,TF_Tekniker,AN$4,TF_Dato,$A318))*2,0)/2)))</f>
        <v/>
      </c>
      <c r="AO318">
        <f>IF(OR(AO$4="",$A318&gt;TODAY()),0,IF(OR(INDEX($B318:$D318,AO$5)="F",AND(AO$6&gt;0,$A318&lt;AO$6),AND(AO$7&gt;0,$A318&gt;AO$7)),0,MAX(0,ROUND((INDEX($E318:$G318,AO$5)-SUMIFS(TF_Timer,TF_Tekniker,AO$4,TF_Dato,$A318))*2,0)/2)))</f>
        <v/>
      </c>
      <c r="AP318">
        <f>IF(OR(AP$4="",$A318&gt;TODAY()),0,IF(OR(INDEX($B318:$D318,AP$5)="F",AND(AP$6&gt;0,$A318&lt;AP$6),AND(AP$7&gt;0,$A318&gt;AP$7)),0,MAX(0,ROUND((INDEX($E318:$G318,AP$5)-SUMIFS(TF_Timer,TF_Tekniker,AP$4,TF_Dato,$A318))*2,0)/2)))</f>
        <v/>
      </c>
      <c r="AQ318">
        <f>IF(OR(AQ$4="",$A318&gt;TODAY()),0,IF(OR(INDEX($B318:$D318,AQ$5)="F",AND(AQ$6&gt;0,$A318&lt;AQ$6),AND(AQ$7&gt;0,$A318&gt;AQ$7)),0,MAX(0,ROUND((INDEX($E318:$G318,AQ$5)-SUMIFS(TF_Timer,TF_Tekniker,AQ$4,TF_Dato,$A318))*2,0)/2)))</f>
        <v/>
      </c>
      <c r="AR318">
        <f>IF(OR(AR$4="",$A318&gt;TODAY()),0,IF(OR(INDEX($B318:$D318,AR$5)="F",AND(AR$6&gt;0,$A318&lt;AR$6),AND(AR$7&gt;0,$A318&gt;AR$7)),0,MAX(0,ROUND((INDEX($E318:$G318,AR$5)-SUMIFS(TF_Timer,TF_Tekniker,AR$4,TF_Dato,$A318))*2,0)/2)))</f>
        <v/>
      </c>
      <c r="AS318">
        <f>IF(OR(AS$4="",$A318&gt;TODAY()),0,IF(OR(INDEX($B318:$D318,AS$5)="F",AND(AS$6&gt;0,$A318&lt;AS$6),AND(AS$7&gt;0,$A318&gt;AS$7)),0,MAX(0,ROUND((INDEX($E318:$G318,AS$5)-SUMIFS(TF_Timer,TF_Tekniker,AS$4,TF_Dato,$A318))*2,0)/2)))</f>
        <v/>
      </c>
      <c r="AT318">
        <f>IF(OR(AT$4="",$A318&gt;TODAY()),0,IF(OR(INDEX($B318:$D318,AT$5)="F",AND(AT$6&gt;0,$A318&lt;AT$6),AND(AT$7&gt;0,$A318&gt;AT$7)),0,MAX(0,ROUND((INDEX($E318:$G318,AT$5)-SUMIFS(TF_Timer,TF_Tekniker,AT$4,TF_Dato,$A318))*2,0)/2)))</f>
        <v/>
      </c>
      <c r="AU318">
        <f>IF(OR(AU$4="",$A318&gt;TODAY()),0,IF(OR(INDEX($B318:$D318,AU$5)="F",AND(AU$6&gt;0,$A318&lt;AU$6),AND(AU$7&gt;0,$A318&gt;AU$7)),0,MAX(0,ROUND((INDEX($E318:$G318,AU$5)-SUMIFS(TF_Timer,TF_Tekniker,AU$4,TF_Dato,$A318))*2,0)/2)))</f>
        <v/>
      </c>
      <c r="AV318">
        <f>IF(OR(AV$4="",$A318&gt;TODAY()),0,IF(OR(INDEX($B318:$D318,AV$5)="F",AND(AV$6&gt;0,$A318&lt;AV$6),AND(AV$7&gt;0,$A318&gt;AV$7)),0,MAX(0,ROUND((INDEX($E318:$G318,AV$5)-SUMIFS(TF_Timer,TF_Tekniker,AV$4,TF_Dato,$A318))*2,0)/2)))</f>
        <v/>
      </c>
      <c r="AW318">
        <f>IF(OR(AW$4="",$A318&gt;TODAY()),0,IF(OR(INDEX($B318:$D318,AW$5)="F",AND(AW$6&gt;0,$A318&lt;AW$6),AND(AW$7&gt;0,$A318&gt;AW$7)),0,MAX(0,ROUND((INDEX($E318:$G318,AW$5)-SUMIFS(TF_Timer,TF_Tekniker,AW$4,TF_Dato,$A318))*2,0)/2)))</f>
        <v/>
      </c>
      <c r="AX318">
        <f>IF(OR(AX$4="",$A318&gt;TODAY()),0,IF(OR(INDEX($B318:$D318,AX$5)="F",AND(AX$6&gt;0,$A318&lt;AX$6),AND(AX$7&gt;0,$A318&gt;AX$7)),0,MAX(0,ROUND((INDEX($E318:$G318,AX$5)-SUMIFS(TF_Timer,TF_Tekniker,AX$4,TF_Dato,$A318))*2,0)/2)))</f>
        <v/>
      </c>
      <c r="AY318">
        <f>IF(OR(AY$4="",$A318&gt;TODAY()),0,IF(OR(INDEX($B318:$D318,AY$5)="F",AND(AY$6&gt;0,$A318&lt;AY$6),AND(AY$7&gt;0,$A318&gt;AY$7)),0,MAX(0,ROUND((INDEX($E318:$G318,AY$5)-SUMIFS(TF_Timer,TF_Tekniker,AY$4,TF_Dato,$A318))*2,0)/2)))</f>
        <v/>
      </c>
      <c r="AZ318">
        <f>IF(OR(AZ$4="",$A318&gt;TODAY()),0,IF(OR(INDEX($B318:$D318,AZ$5)="F",AND(AZ$6&gt;0,$A318&lt;AZ$6),AND(AZ$7&gt;0,$A318&gt;AZ$7)),0,MAX(0,ROUND((INDEX($E318:$G318,AZ$5)-SUMIFS(TF_Timer,TF_Tekniker,AZ$4,TF_Dato,$A318))*2,0)/2)))</f>
        <v/>
      </c>
      <c r="BA318">
        <f>IF(OR(BA$4="",$A318&gt;TODAY()),0,IF(OR(INDEX($B318:$D318,BA$5)="F",AND(BA$6&gt;0,$A318&lt;BA$6),AND(BA$7&gt;0,$A318&gt;BA$7)),0,MAX(0,ROUND((INDEX($E318:$G318,BA$5)-SUMIFS(TF_Timer,TF_Tekniker,BA$4,TF_Dato,$A318))*2,0)/2)))</f>
        <v/>
      </c>
      <c r="BB318">
        <f>IF(OR(BB$4="",$A318&gt;TODAY()),0,IF(OR(INDEX($B318:$D318,BB$5)="F",AND(BB$6&gt;0,$A318&lt;BB$6),AND(BB$7&gt;0,$A318&gt;BB$7)),0,MAX(0,ROUND((INDEX($E318:$G318,BB$5)-SUMIFS(TF_Timer,TF_Tekniker,BB$4,TF_Dato,$A318))*2,0)/2)))</f>
        <v/>
      </c>
      <c r="BC318">
        <f>IF(OR(BC$4="",$A318&gt;TODAY()),0,IF(OR(INDEX($B318:$D318,BC$5)="F",AND(BC$6&gt;0,$A318&lt;BC$6),AND(BC$7&gt;0,$A318&gt;BC$7)),0,MAX(0,ROUND((INDEX($E318:$G318,BC$5)-SUMIFS(TF_Timer,TF_Tekniker,BC$4,TF_Dato,$A318))*2,0)/2)))</f>
        <v/>
      </c>
      <c r="BD318">
        <f>IF(OR(BD$4="",$A318&gt;TODAY()),0,IF(OR(INDEX($B318:$D318,BD$5)="F",AND(BD$6&gt;0,$A318&lt;BD$6),AND(BD$7&gt;0,$A318&gt;BD$7)),0,MAX(0,ROUND((INDEX($E318:$G318,BD$5)-SUMIFS(TF_Timer,TF_Tekniker,BD$4,TF_Dato,$A318))*2,0)/2)))</f>
        <v/>
      </c>
      <c r="BE318">
        <f>IF(OR(BE$4="",$A318&gt;TODAY()),0,IF(OR(INDEX($B318:$D318,BE$5)="F",AND(BE$6&gt;0,$A318&lt;BE$6),AND(BE$7&gt;0,$A318&gt;BE$7)),0,MAX(0,ROUND((INDEX($E318:$G318,BE$5)-SUMIFS(TF_Timer,TF_Tekniker,BE$4,TF_Dato,$A318))*2,0)/2)))</f>
        <v/>
      </c>
      <c r="BF318">
        <f>IF(OR(BF$4="",$A318&gt;TODAY()),0,IF(OR(INDEX($B318:$D318,BF$5)="F",AND(BF$6&gt;0,$A318&lt;BF$6),AND(BF$7&gt;0,$A318&gt;BF$7)),0,MAX(0,ROUND((INDEX($E318:$G318,BF$5)-SUMIFS(TF_Timer,TF_Tekniker,BF$4,TF_Dato,$A318))*2,0)/2)))</f>
        <v/>
      </c>
      <c r="BG318">
        <f>IF(OR(BG$4="",$A318&gt;TODAY()),0,IF(OR(INDEX($B318:$D318,BG$5)="F",AND(BG$6&gt;0,$A318&lt;BG$6),AND(BG$7&gt;0,$A318&gt;BG$7)),0,MAX(0,ROUND((INDEX($E318:$G318,BG$5)-SUMIFS(TF_Timer,TF_Tekniker,BG$4,TF_Dato,$A318))*2,0)/2)))</f>
        <v/>
      </c>
      <c r="BH318">
        <f>IF(OR(BH$4="",$A318&gt;TODAY()),0,IF(OR(INDEX($B318:$D318,BH$5)="F",AND(BH$6&gt;0,$A318&lt;BH$6),AND(BH$7&gt;0,$A318&gt;BH$7)),0,MAX(0,ROUND((INDEX($E318:$G318,BH$5)-SUMIFS(TF_Timer,TF_Tekniker,BH$4,TF_Dato,$A318))*2,0)/2)))</f>
        <v/>
      </c>
      <c r="BI318">
        <f>IF(OR(BI$4="",$A318&gt;TODAY()),0,IF(OR(INDEX($B318:$D318,BI$5)="F",AND(BI$6&gt;0,$A318&lt;BI$6),AND(BI$7&gt;0,$A318&gt;BI$7)),0,MAX(0,ROUND((INDEX($E318:$G318,BI$5)-SUMIFS(TF_Timer,TF_Tekniker,BI$4,TF_Dato,$A318))*2,0)/2)))</f>
        <v/>
      </c>
    </row>
    <row r="319">
      <c r="A319" s="64">
        <f>A318+1</f>
        <v/>
      </c>
      <c r="B319">
        <f>IF(MOD($A319-INDEX(SkiftStart,1),Syklus)&lt;DagK,"K",IF(MOD($A319-INDEX(SkiftStart,1),Syklus)&lt;DagK+DagH,"H",IF(MOD($A319-INDEX(SkiftStart,1),Syklus)&lt;DagK+DagH+DagD,"D","F")))</f>
        <v/>
      </c>
      <c r="C319">
        <f>IF(MOD($A319-INDEX(SkiftStart,2),Syklus)&lt;DagK,"K",IF(MOD($A319-INDEX(SkiftStart,2),Syklus)&lt;DagK+DagH,"H",IF(MOD($A319-INDEX(SkiftStart,2),Syklus)&lt;DagK+DagH+DagD,"D","F")))</f>
        <v/>
      </c>
      <c r="D319">
        <f>IF(MOD($A319-INDEX(SkiftStart,3),Syklus)&lt;DagK,"K",IF(MOD($A319-INDEX(SkiftStart,3),Syklus)&lt;DagK+DagH,"H",IF(MOD($A319-INDEX(SkiftStart,3),Syklus)&lt;DagK+DagH+DagD,"D","F")))</f>
        <v/>
      </c>
      <c r="E319">
        <f>IF(B319="F",0,IF(WEEKDAY($A319,2)=5,INDEX(TimerFr,MATCH(B319,FaseKode,0)),INDEX(TimerMT,MATCH(B319,FaseKode,0))))</f>
        <v/>
      </c>
      <c r="F319">
        <f>IF(C319="F",0,IF(WEEKDAY($A319,2)=5,INDEX(TimerFr,MATCH(C319,FaseKode,0)),INDEX(TimerMT,MATCH(C319,FaseKode,0))))</f>
        <v/>
      </c>
      <c r="G319">
        <f>IF(D319="F",0,IF(WEEKDAY($A319,2)=5,INDEX(TimerFr,MATCH(D319,FaseKode,0)),INDEX(TimerMT,MATCH(D319,FaseKode,0))))</f>
        <v/>
      </c>
      <c r="H319">
        <f>IF(OR(H$4="",$A319&gt;TODAY()),0,IF(OR(INDEX($B319:$D319,H$5)="F",AND(H$6&gt;0,$A319&lt;H$6),AND(H$7&gt;0,$A319&gt;H$7)),0,MAX(0,ROUND((INDEX($E319:$G319,H$5)-SUMIFS(TF_Timer,TF_Tekniker,H$4,TF_Dato,$A319))*2,0)/2)))</f>
        <v/>
      </c>
      <c r="I319">
        <f>IF(OR(I$4="",$A319&gt;TODAY()),0,IF(OR(INDEX($B319:$D319,I$5)="F",AND(I$6&gt;0,$A319&lt;I$6),AND(I$7&gt;0,$A319&gt;I$7)),0,MAX(0,ROUND((INDEX($E319:$G319,I$5)-SUMIFS(TF_Timer,TF_Tekniker,I$4,TF_Dato,$A319))*2,0)/2)))</f>
        <v/>
      </c>
      <c r="J319">
        <f>IF(OR(J$4="",$A319&gt;TODAY()),0,IF(OR(INDEX($B319:$D319,J$5)="F",AND(J$6&gt;0,$A319&lt;J$6),AND(J$7&gt;0,$A319&gt;J$7)),0,MAX(0,ROUND((INDEX($E319:$G319,J$5)-SUMIFS(TF_Timer,TF_Tekniker,J$4,TF_Dato,$A319))*2,0)/2)))</f>
        <v/>
      </c>
      <c r="K319">
        <f>IF(OR(K$4="",$A319&gt;TODAY()),0,IF(OR(INDEX($B319:$D319,K$5)="F",AND(K$6&gt;0,$A319&lt;K$6),AND(K$7&gt;0,$A319&gt;K$7)),0,MAX(0,ROUND((INDEX($E319:$G319,K$5)-SUMIFS(TF_Timer,TF_Tekniker,K$4,TF_Dato,$A319))*2,0)/2)))</f>
        <v/>
      </c>
      <c r="L319">
        <f>IF(OR(L$4="",$A319&gt;TODAY()),0,IF(OR(INDEX($B319:$D319,L$5)="F",AND(L$6&gt;0,$A319&lt;L$6),AND(L$7&gt;0,$A319&gt;L$7)),0,MAX(0,ROUND((INDEX($E319:$G319,L$5)-SUMIFS(TF_Timer,TF_Tekniker,L$4,TF_Dato,$A319))*2,0)/2)))</f>
        <v/>
      </c>
      <c r="M319">
        <f>IF(OR(M$4="",$A319&gt;TODAY()),0,IF(OR(INDEX($B319:$D319,M$5)="F",AND(M$6&gt;0,$A319&lt;M$6),AND(M$7&gt;0,$A319&gt;M$7)),0,MAX(0,ROUND((INDEX($E319:$G319,M$5)-SUMIFS(TF_Timer,TF_Tekniker,M$4,TF_Dato,$A319))*2,0)/2)))</f>
        <v/>
      </c>
      <c r="N319">
        <f>IF(OR(N$4="",$A319&gt;TODAY()),0,IF(OR(INDEX($B319:$D319,N$5)="F",AND(N$6&gt;0,$A319&lt;N$6),AND(N$7&gt;0,$A319&gt;N$7)),0,MAX(0,ROUND((INDEX($E319:$G319,N$5)-SUMIFS(TF_Timer,TF_Tekniker,N$4,TF_Dato,$A319))*2,0)/2)))</f>
        <v/>
      </c>
      <c r="O319">
        <f>IF(OR(O$4="",$A319&gt;TODAY()),0,IF(OR(INDEX($B319:$D319,O$5)="F",AND(O$6&gt;0,$A319&lt;O$6),AND(O$7&gt;0,$A319&gt;O$7)),0,MAX(0,ROUND((INDEX($E319:$G319,O$5)-SUMIFS(TF_Timer,TF_Tekniker,O$4,TF_Dato,$A319))*2,0)/2)))</f>
        <v/>
      </c>
      <c r="P319">
        <f>IF(OR(P$4="",$A319&gt;TODAY()),0,IF(OR(INDEX($B319:$D319,P$5)="F",AND(P$6&gt;0,$A319&lt;P$6),AND(P$7&gt;0,$A319&gt;P$7)),0,MAX(0,ROUND((INDEX($E319:$G319,P$5)-SUMIFS(TF_Timer,TF_Tekniker,P$4,TF_Dato,$A319))*2,0)/2)))</f>
        <v/>
      </c>
      <c r="Q319">
        <f>IF(OR(Q$4="",$A319&gt;TODAY()),0,IF(OR(INDEX($B319:$D319,Q$5)="F",AND(Q$6&gt;0,$A319&lt;Q$6),AND(Q$7&gt;0,$A319&gt;Q$7)),0,MAX(0,ROUND((INDEX($E319:$G319,Q$5)-SUMIFS(TF_Timer,TF_Tekniker,Q$4,TF_Dato,$A319))*2,0)/2)))</f>
        <v/>
      </c>
      <c r="R319">
        <f>IF(OR(R$4="",$A319&gt;TODAY()),0,IF(OR(INDEX($B319:$D319,R$5)="F",AND(R$6&gt;0,$A319&lt;R$6),AND(R$7&gt;0,$A319&gt;R$7)),0,MAX(0,ROUND((INDEX($E319:$G319,R$5)-SUMIFS(TF_Timer,TF_Tekniker,R$4,TF_Dato,$A319))*2,0)/2)))</f>
        <v/>
      </c>
      <c r="S319">
        <f>IF(OR(S$4="",$A319&gt;TODAY()),0,IF(OR(INDEX($B319:$D319,S$5)="F",AND(S$6&gt;0,$A319&lt;S$6),AND(S$7&gt;0,$A319&gt;S$7)),0,MAX(0,ROUND((INDEX($E319:$G319,S$5)-SUMIFS(TF_Timer,TF_Tekniker,S$4,TF_Dato,$A319))*2,0)/2)))</f>
        <v/>
      </c>
      <c r="T319">
        <f>IF(OR(T$4="",$A319&gt;TODAY()),0,IF(OR(INDEX($B319:$D319,T$5)="F",AND(T$6&gt;0,$A319&lt;T$6),AND(T$7&gt;0,$A319&gt;T$7)),0,MAX(0,ROUND((INDEX($E319:$G319,T$5)-SUMIFS(TF_Timer,TF_Tekniker,T$4,TF_Dato,$A319))*2,0)/2)))</f>
        <v/>
      </c>
      <c r="U319">
        <f>IF(OR(U$4="",$A319&gt;TODAY()),0,IF(OR(INDEX($B319:$D319,U$5)="F",AND(U$6&gt;0,$A319&lt;U$6),AND(U$7&gt;0,$A319&gt;U$7)),0,MAX(0,ROUND((INDEX($E319:$G319,U$5)-SUMIFS(TF_Timer,TF_Tekniker,U$4,TF_Dato,$A319))*2,0)/2)))</f>
        <v/>
      </c>
      <c r="V319">
        <f>IF(OR(V$4="",$A319&gt;TODAY()),0,IF(OR(INDEX($B319:$D319,V$5)="F",AND(V$6&gt;0,$A319&lt;V$6),AND(V$7&gt;0,$A319&gt;V$7)),0,MAX(0,ROUND((INDEX($E319:$G319,V$5)-SUMIFS(TF_Timer,TF_Tekniker,V$4,TF_Dato,$A319))*2,0)/2)))</f>
        <v/>
      </c>
      <c r="W319">
        <f>IF(OR(W$4="",$A319&gt;TODAY()),0,IF(OR(INDEX($B319:$D319,W$5)="F",AND(W$6&gt;0,$A319&lt;W$6),AND(W$7&gt;0,$A319&gt;W$7)),0,MAX(0,ROUND((INDEX($E319:$G319,W$5)-SUMIFS(TF_Timer,TF_Tekniker,W$4,TF_Dato,$A319))*2,0)/2)))</f>
        <v/>
      </c>
      <c r="X319">
        <f>IF(OR(X$4="",$A319&gt;TODAY()),0,IF(OR(INDEX($B319:$D319,X$5)="F",AND(X$6&gt;0,$A319&lt;X$6),AND(X$7&gt;0,$A319&gt;X$7)),0,MAX(0,ROUND((INDEX($E319:$G319,X$5)-SUMIFS(TF_Timer,TF_Tekniker,X$4,TF_Dato,$A319))*2,0)/2)))</f>
        <v/>
      </c>
      <c r="Y319">
        <f>IF(OR(Y$4="",$A319&gt;TODAY()),0,IF(OR(INDEX($B319:$D319,Y$5)="F",AND(Y$6&gt;0,$A319&lt;Y$6),AND(Y$7&gt;0,$A319&gt;Y$7)),0,MAX(0,ROUND((INDEX($E319:$G319,Y$5)-SUMIFS(TF_Timer,TF_Tekniker,Y$4,TF_Dato,$A319))*2,0)/2)))</f>
        <v/>
      </c>
      <c r="Z319">
        <f>IF(OR(Z$4="",$A319&gt;TODAY()),0,IF(OR(INDEX($B319:$D319,Z$5)="F",AND(Z$6&gt;0,$A319&lt;Z$6),AND(Z$7&gt;0,$A319&gt;Z$7)),0,MAX(0,ROUND((INDEX($E319:$G319,Z$5)-SUMIFS(TF_Timer,TF_Tekniker,Z$4,TF_Dato,$A319))*2,0)/2)))</f>
        <v/>
      </c>
      <c r="AA319">
        <f>IF(OR(AA$4="",$A319&gt;TODAY()),0,IF(OR(INDEX($B319:$D319,AA$5)="F",AND(AA$6&gt;0,$A319&lt;AA$6),AND(AA$7&gt;0,$A319&gt;AA$7)),0,MAX(0,ROUND((INDEX($E319:$G319,AA$5)-SUMIFS(TF_Timer,TF_Tekniker,AA$4,TF_Dato,$A319))*2,0)/2)))</f>
        <v/>
      </c>
      <c r="AB319">
        <f>IF(OR(AB$4="",$A319&gt;TODAY()),0,IF(OR(INDEX($B319:$D319,AB$5)="F",AND(AB$6&gt;0,$A319&lt;AB$6),AND(AB$7&gt;0,$A319&gt;AB$7)),0,MAX(0,ROUND((INDEX($E319:$G319,AB$5)-SUMIFS(TF_Timer,TF_Tekniker,AB$4,TF_Dato,$A319))*2,0)/2)))</f>
        <v/>
      </c>
      <c r="AC319">
        <f>IF(OR(AC$4="",$A319&gt;TODAY()),0,IF(OR(INDEX($B319:$D319,AC$5)="F",AND(AC$6&gt;0,$A319&lt;AC$6),AND(AC$7&gt;0,$A319&gt;AC$7)),0,MAX(0,ROUND((INDEX($E319:$G319,AC$5)-SUMIFS(TF_Timer,TF_Tekniker,AC$4,TF_Dato,$A319))*2,0)/2)))</f>
        <v/>
      </c>
      <c r="AD319">
        <f>IF(OR(AD$4="",$A319&gt;TODAY()),0,IF(OR(INDEX($B319:$D319,AD$5)="F",AND(AD$6&gt;0,$A319&lt;AD$6),AND(AD$7&gt;0,$A319&gt;AD$7)),0,MAX(0,ROUND((INDEX($E319:$G319,AD$5)-SUMIFS(TF_Timer,TF_Tekniker,AD$4,TF_Dato,$A319))*2,0)/2)))</f>
        <v/>
      </c>
      <c r="AE319">
        <f>IF(OR(AE$4="",$A319&gt;TODAY()),0,IF(OR(INDEX($B319:$D319,AE$5)="F",AND(AE$6&gt;0,$A319&lt;AE$6),AND(AE$7&gt;0,$A319&gt;AE$7)),0,MAX(0,ROUND((INDEX($E319:$G319,AE$5)-SUMIFS(TF_Timer,TF_Tekniker,AE$4,TF_Dato,$A319))*2,0)/2)))</f>
        <v/>
      </c>
      <c r="AF319">
        <f>IF(OR(AF$4="",$A319&gt;TODAY()),0,IF(OR(INDEX($B319:$D319,AF$5)="F",AND(AF$6&gt;0,$A319&lt;AF$6),AND(AF$7&gt;0,$A319&gt;AF$7)),0,MAX(0,ROUND((INDEX($E319:$G319,AF$5)-SUMIFS(TF_Timer,TF_Tekniker,AF$4,TF_Dato,$A319))*2,0)/2)))</f>
        <v/>
      </c>
      <c r="AG319">
        <f>IF(OR(AG$4="",$A319&gt;TODAY()),0,IF(OR(INDEX($B319:$D319,AG$5)="F",AND(AG$6&gt;0,$A319&lt;AG$6),AND(AG$7&gt;0,$A319&gt;AG$7)),0,MAX(0,ROUND((INDEX($E319:$G319,AG$5)-SUMIFS(TF_Timer,TF_Tekniker,AG$4,TF_Dato,$A319))*2,0)/2)))</f>
        <v/>
      </c>
      <c r="AH319">
        <f>IF(OR(AH$4="",$A319&gt;TODAY()),0,IF(OR(INDEX($B319:$D319,AH$5)="F",AND(AH$6&gt;0,$A319&lt;AH$6),AND(AH$7&gt;0,$A319&gt;AH$7)),0,MAX(0,ROUND((INDEX($E319:$G319,AH$5)-SUMIFS(TF_Timer,TF_Tekniker,AH$4,TF_Dato,$A319))*2,0)/2)))</f>
        <v/>
      </c>
      <c r="AI319">
        <f>IF(OR(AI$4="",$A319&gt;TODAY()),0,IF(OR(INDEX($B319:$D319,AI$5)="F",AND(AI$6&gt;0,$A319&lt;AI$6),AND(AI$7&gt;0,$A319&gt;AI$7)),0,MAX(0,ROUND((INDEX($E319:$G319,AI$5)-SUMIFS(TF_Timer,TF_Tekniker,AI$4,TF_Dato,$A319))*2,0)/2)))</f>
        <v/>
      </c>
      <c r="AJ319">
        <f>IF(OR(AJ$4="",$A319&gt;TODAY()),0,IF(OR(INDEX($B319:$D319,AJ$5)="F",AND(AJ$6&gt;0,$A319&lt;AJ$6),AND(AJ$7&gt;0,$A319&gt;AJ$7)),0,MAX(0,ROUND((INDEX($E319:$G319,AJ$5)-SUMIFS(TF_Timer,TF_Tekniker,AJ$4,TF_Dato,$A319))*2,0)/2)))</f>
        <v/>
      </c>
      <c r="AK319">
        <f>IF(OR(AK$4="",$A319&gt;TODAY()),0,IF(OR(INDEX($B319:$D319,AK$5)="F",AND(AK$6&gt;0,$A319&lt;AK$6),AND(AK$7&gt;0,$A319&gt;AK$7)),0,MAX(0,ROUND((INDEX($E319:$G319,AK$5)-SUMIFS(TF_Timer,TF_Tekniker,AK$4,TF_Dato,$A319))*2,0)/2)))</f>
        <v/>
      </c>
      <c r="AL319">
        <f>IF(OR(AL$4="",$A319&gt;TODAY()),0,IF(OR(INDEX($B319:$D319,AL$5)="F",AND(AL$6&gt;0,$A319&lt;AL$6),AND(AL$7&gt;0,$A319&gt;AL$7)),0,MAX(0,ROUND((INDEX($E319:$G319,AL$5)-SUMIFS(TF_Timer,TF_Tekniker,AL$4,TF_Dato,$A319))*2,0)/2)))</f>
        <v/>
      </c>
      <c r="AM319">
        <f>IF(OR(AM$4="",$A319&gt;TODAY()),0,IF(OR(INDEX($B319:$D319,AM$5)="F",AND(AM$6&gt;0,$A319&lt;AM$6),AND(AM$7&gt;0,$A319&gt;AM$7)),0,MAX(0,ROUND((INDEX($E319:$G319,AM$5)-SUMIFS(TF_Timer,TF_Tekniker,AM$4,TF_Dato,$A319))*2,0)/2)))</f>
        <v/>
      </c>
      <c r="AN319">
        <f>IF(OR(AN$4="",$A319&gt;TODAY()),0,IF(OR(INDEX($B319:$D319,AN$5)="F",AND(AN$6&gt;0,$A319&lt;AN$6),AND(AN$7&gt;0,$A319&gt;AN$7)),0,MAX(0,ROUND((INDEX($E319:$G319,AN$5)-SUMIFS(TF_Timer,TF_Tekniker,AN$4,TF_Dato,$A319))*2,0)/2)))</f>
        <v/>
      </c>
      <c r="AO319">
        <f>IF(OR(AO$4="",$A319&gt;TODAY()),0,IF(OR(INDEX($B319:$D319,AO$5)="F",AND(AO$6&gt;0,$A319&lt;AO$6),AND(AO$7&gt;0,$A319&gt;AO$7)),0,MAX(0,ROUND((INDEX($E319:$G319,AO$5)-SUMIFS(TF_Timer,TF_Tekniker,AO$4,TF_Dato,$A319))*2,0)/2)))</f>
        <v/>
      </c>
      <c r="AP319">
        <f>IF(OR(AP$4="",$A319&gt;TODAY()),0,IF(OR(INDEX($B319:$D319,AP$5)="F",AND(AP$6&gt;0,$A319&lt;AP$6),AND(AP$7&gt;0,$A319&gt;AP$7)),0,MAX(0,ROUND((INDEX($E319:$G319,AP$5)-SUMIFS(TF_Timer,TF_Tekniker,AP$4,TF_Dato,$A319))*2,0)/2)))</f>
        <v/>
      </c>
      <c r="AQ319">
        <f>IF(OR(AQ$4="",$A319&gt;TODAY()),0,IF(OR(INDEX($B319:$D319,AQ$5)="F",AND(AQ$6&gt;0,$A319&lt;AQ$6),AND(AQ$7&gt;0,$A319&gt;AQ$7)),0,MAX(0,ROUND((INDEX($E319:$G319,AQ$5)-SUMIFS(TF_Timer,TF_Tekniker,AQ$4,TF_Dato,$A319))*2,0)/2)))</f>
        <v/>
      </c>
      <c r="AR319">
        <f>IF(OR(AR$4="",$A319&gt;TODAY()),0,IF(OR(INDEX($B319:$D319,AR$5)="F",AND(AR$6&gt;0,$A319&lt;AR$6),AND(AR$7&gt;0,$A319&gt;AR$7)),0,MAX(0,ROUND((INDEX($E319:$G319,AR$5)-SUMIFS(TF_Timer,TF_Tekniker,AR$4,TF_Dato,$A319))*2,0)/2)))</f>
        <v/>
      </c>
      <c r="AS319">
        <f>IF(OR(AS$4="",$A319&gt;TODAY()),0,IF(OR(INDEX($B319:$D319,AS$5)="F",AND(AS$6&gt;0,$A319&lt;AS$6),AND(AS$7&gt;0,$A319&gt;AS$7)),0,MAX(0,ROUND((INDEX($E319:$G319,AS$5)-SUMIFS(TF_Timer,TF_Tekniker,AS$4,TF_Dato,$A319))*2,0)/2)))</f>
        <v/>
      </c>
      <c r="AT319">
        <f>IF(OR(AT$4="",$A319&gt;TODAY()),0,IF(OR(INDEX($B319:$D319,AT$5)="F",AND(AT$6&gt;0,$A319&lt;AT$6),AND(AT$7&gt;0,$A319&gt;AT$7)),0,MAX(0,ROUND((INDEX($E319:$G319,AT$5)-SUMIFS(TF_Timer,TF_Tekniker,AT$4,TF_Dato,$A319))*2,0)/2)))</f>
        <v/>
      </c>
      <c r="AU319">
        <f>IF(OR(AU$4="",$A319&gt;TODAY()),0,IF(OR(INDEX($B319:$D319,AU$5)="F",AND(AU$6&gt;0,$A319&lt;AU$6),AND(AU$7&gt;0,$A319&gt;AU$7)),0,MAX(0,ROUND((INDEX($E319:$G319,AU$5)-SUMIFS(TF_Timer,TF_Tekniker,AU$4,TF_Dato,$A319))*2,0)/2)))</f>
        <v/>
      </c>
      <c r="AV319">
        <f>IF(OR(AV$4="",$A319&gt;TODAY()),0,IF(OR(INDEX($B319:$D319,AV$5)="F",AND(AV$6&gt;0,$A319&lt;AV$6),AND(AV$7&gt;0,$A319&gt;AV$7)),0,MAX(0,ROUND((INDEX($E319:$G319,AV$5)-SUMIFS(TF_Timer,TF_Tekniker,AV$4,TF_Dato,$A319))*2,0)/2)))</f>
        <v/>
      </c>
      <c r="AW319">
        <f>IF(OR(AW$4="",$A319&gt;TODAY()),0,IF(OR(INDEX($B319:$D319,AW$5)="F",AND(AW$6&gt;0,$A319&lt;AW$6),AND(AW$7&gt;0,$A319&gt;AW$7)),0,MAX(0,ROUND((INDEX($E319:$G319,AW$5)-SUMIFS(TF_Timer,TF_Tekniker,AW$4,TF_Dato,$A319))*2,0)/2)))</f>
        <v/>
      </c>
      <c r="AX319">
        <f>IF(OR(AX$4="",$A319&gt;TODAY()),0,IF(OR(INDEX($B319:$D319,AX$5)="F",AND(AX$6&gt;0,$A319&lt;AX$6),AND(AX$7&gt;0,$A319&gt;AX$7)),0,MAX(0,ROUND((INDEX($E319:$G319,AX$5)-SUMIFS(TF_Timer,TF_Tekniker,AX$4,TF_Dato,$A319))*2,0)/2)))</f>
        <v/>
      </c>
      <c r="AY319">
        <f>IF(OR(AY$4="",$A319&gt;TODAY()),0,IF(OR(INDEX($B319:$D319,AY$5)="F",AND(AY$6&gt;0,$A319&lt;AY$6),AND(AY$7&gt;0,$A319&gt;AY$7)),0,MAX(0,ROUND((INDEX($E319:$G319,AY$5)-SUMIFS(TF_Timer,TF_Tekniker,AY$4,TF_Dato,$A319))*2,0)/2)))</f>
        <v/>
      </c>
      <c r="AZ319">
        <f>IF(OR(AZ$4="",$A319&gt;TODAY()),0,IF(OR(INDEX($B319:$D319,AZ$5)="F",AND(AZ$6&gt;0,$A319&lt;AZ$6),AND(AZ$7&gt;0,$A319&gt;AZ$7)),0,MAX(0,ROUND((INDEX($E319:$G319,AZ$5)-SUMIFS(TF_Timer,TF_Tekniker,AZ$4,TF_Dato,$A319))*2,0)/2)))</f>
        <v/>
      </c>
      <c r="BA319">
        <f>IF(OR(BA$4="",$A319&gt;TODAY()),0,IF(OR(INDEX($B319:$D319,BA$5)="F",AND(BA$6&gt;0,$A319&lt;BA$6),AND(BA$7&gt;0,$A319&gt;BA$7)),0,MAX(0,ROUND((INDEX($E319:$G319,BA$5)-SUMIFS(TF_Timer,TF_Tekniker,BA$4,TF_Dato,$A319))*2,0)/2)))</f>
        <v/>
      </c>
      <c r="BB319">
        <f>IF(OR(BB$4="",$A319&gt;TODAY()),0,IF(OR(INDEX($B319:$D319,BB$5)="F",AND(BB$6&gt;0,$A319&lt;BB$6),AND(BB$7&gt;0,$A319&gt;BB$7)),0,MAX(0,ROUND((INDEX($E319:$G319,BB$5)-SUMIFS(TF_Timer,TF_Tekniker,BB$4,TF_Dato,$A319))*2,0)/2)))</f>
        <v/>
      </c>
      <c r="BC319">
        <f>IF(OR(BC$4="",$A319&gt;TODAY()),0,IF(OR(INDEX($B319:$D319,BC$5)="F",AND(BC$6&gt;0,$A319&lt;BC$6),AND(BC$7&gt;0,$A319&gt;BC$7)),0,MAX(0,ROUND((INDEX($E319:$G319,BC$5)-SUMIFS(TF_Timer,TF_Tekniker,BC$4,TF_Dato,$A319))*2,0)/2)))</f>
        <v/>
      </c>
      <c r="BD319">
        <f>IF(OR(BD$4="",$A319&gt;TODAY()),0,IF(OR(INDEX($B319:$D319,BD$5)="F",AND(BD$6&gt;0,$A319&lt;BD$6),AND(BD$7&gt;0,$A319&gt;BD$7)),0,MAX(0,ROUND((INDEX($E319:$G319,BD$5)-SUMIFS(TF_Timer,TF_Tekniker,BD$4,TF_Dato,$A319))*2,0)/2)))</f>
        <v/>
      </c>
      <c r="BE319">
        <f>IF(OR(BE$4="",$A319&gt;TODAY()),0,IF(OR(INDEX($B319:$D319,BE$5)="F",AND(BE$6&gt;0,$A319&lt;BE$6),AND(BE$7&gt;0,$A319&gt;BE$7)),0,MAX(0,ROUND((INDEX($E319:$G319,BE$5)-SUMIFS(TF_Timer,TF_Tekniker,BE$4,TF_Dato,$A319))*2,0)/2)))</f>
        <v/>
      </c>
      <c r="BF319">
        <f>IF(OR(BF$4="",$A319&gt;TODAY()),0,IF(OR(INDEX($B319:$D319,BF$5)="F",AND(BF$6&gt;0,$A319&lt;BF$6),AND(BF$7&gt;0,$A319&gt;BF$7)),0,MAX(0,ROUND((INDEX($E319:$G319,BF$5)-SUMIFS(TF_Timer,TF_Tekniker,BF$4,TF_Dato,$A319))*2,0)/2)))</f>
        <v/>
      </c>
      <c r="BG319">
        <f>IF(OR(BG$4="",$A319&gt;TODAY()),0,IF(OR(INDEX($B319:$D319,BG$5)="F",AND(BG$6&gt;0,$A319&lt;BG$6),AND(BG$7&gt;0,$A319&gt;BG$7)),0,MAX(0,ROUND((INDEX($E319:$G319,BG$5)-SUMIFS(TF_Timer,TF_Tekniker,BG$4,TF_Dato,$A319))*2,0)/2)))</f>
        <v/>
      </c>
      <c r="BH319">
        <f>IF(OR(BH$4="",$A319&gt;TODAY()),0,IF(OR(INDEX($B319:$D319,BH$5)="F",AND(BH$6&gt;0,$A319&lt;BH$6),AND(BH$7&gt;0,$A319&gt;BH$7)),0,MAX(0,ROUND((INDEX($E319:$G319,BH$5)-SUMIFS(TF_Timer,TF_Tekniker,BH$4,TF_Dato,$A319))*2,0)/2)))</f>
        <v/>
      </c>
      <c r="BI319">
        <f>IF(OR(BI$4="",$A319&gt;TODAY()),0,IF(OR(INDEX($B319:$D319,BI$5)="F",AND(BI$6&gt;0,$A319&lt;BI$6),AND(BI$7&gt;0,$A319&gt;BI$7)),0,MAX(0,ROUND((INDEX($E319:$G319,BI$5)-SUMIFS(TF_Timer,TF_Tekniker,BI$4,TF_Dato,$A319))*2,0)/2)))</f>
        <v/>
      </c>
    </row>
    <row r="320">
      <c r="A320" s="64">
        <f>A319+1</f>
        <v/>
      </c>
      <c r="B320">
        <f>IF(MOD($A320-INDEX(SkiftStart,1),Syklus)&lt;DagK,"K",IF(MOD($A320-INDEX(SkiftStart,1),Syklus)&lt;DagK+DagH,"H",IF(MOD($A320-INDEX(SkiftStart,1),Syklus)&lt;DagK+DagH+DagD,"D","F")))</f>
        <v/>
      </c>
      <c r="C320">
        <f>IF(MOD($A320-INDEX(SkiftStart,2),Syklus)&lt;DagK,"K",IF(MOD($A320-INDEX(SkiftStart,2),Syklus)&lt;DagK+DagH,"H",IF(MOD($A320-INDEX(SkiftStart,2),Syklus)&lt;DagK+DagH+DagD,"D","F")))</f>
        <v/>
      </c>
      <c r="D320">
        <f>IF(MOD($A320-INDEX(SkiftStart,3),Syklus)&lt;DagK,"K",IF(MOD($A320-INDEX(SkiftStart,3),Syklus)&lt;DagK+DagH,"H",IF(MOD($A320-INDEX(SkiftStart,3),Syklus)&lt;DagK+DagH+DagD,"D","F")))</f>
        <v/>
      </c>
      <c r="E320">
        <f>IF(B320="F",0,IF(WEEKDAY($A320,2)=5,INDEX(TimerFr,MATCH(B320,FaseKode,0)),INDEX(TimerMT,MATCH(B320,FaseKode,0))))</f>
        <v/>
      </c>
      <c r="F320">
        <f>IF(C320="F",0,IF(WEEKDAY($A320,2)=5,INDEX(TimerFr,MATCH(C320,FaseKode,0)),INDEX(TimerMT,MATCH(C320,FaseKode,0))))</f>
        <v/>
      </c>
      <c r="G320">
        <f>IF(D320="F",0,IF(WEEKDAY($A320,2)=5,INDEX(TimerFr,MATCH(D320,FaseKode,0)),INDEX(TimerMT,MATCH(D320,FaseKode,0))))</f>
        <v/>
      </c>
      <c r="H320">
        <f>IF(OR(H$4="",$A320&gt;TODAY()),0,IF(OR(INDEX($B320:$D320,H$5)="F",AND(H$6&gt;0,$A320&lt;H$6),AND(H$7&gt;0,$A320&gt;H$7)),0,MAX(0,ROUND((INDEX($E320:$G320,H$5)-SUMIFS(TF_Timer,TF_Tekniker,H$4,TF_Dato,$A320))*2,0)/2)))</f>
        <v/>
      </c>
      <c r="I320">
        <f>IF(OR(I$4="",$A320&gt;TODAY()),0,IF(OR(INDEX($B320:$D320,I$5)="F",AND(I$6&gt;0,$A320&lt;I$6),AND(I$7&gt;0,$A320&gt;I$7)),0,MAX(0,ROUND((INDEX($E320:$G320,I$5)-SUMIFS(TF_Timer,TF_Tekniker,I$4,TF_Dato,$A320))*2,0)/2)))</f>
        <v/>
      </c>
      <c r="J320">
        <f>IF(OR(J$4="",$A320&gt;TODAY()),0,IF(OR(INDEX($B320:$D320,J$5)="F",AND(J$6&gt;0,$A320&lt;J$6),AND(J$7&gt;0,$A320&gt;J$7)),0,MAX(0,ROUND((INDEX($E320:$G320,J$5)-SUMIFS(TF_Timer,TF_Tekniker,J$4,TF_Dato,$A320))*2,0)/2)))</f>
        <v/>
      </c>
      <c r="K320">
        <f>IF(OR(K$4="",$A320&gt;TODAY()),0,IF(OR(INDEX($B320:$D320,K$5)="F",AND(K$6&gt;0,$A320&lt;K$6),AND(K$7&gt;0,$A320&gt;K$7)),0,MAX(0,ROUND((INDEX($E320:$G320,K$5)-SUMIFS(TF_Timer,TF_Tekniker,K$4,TF_Dato,$A320))*2,0)/2)))</f>
        <v/>
      </c>
      <c r="L320">
        <f>IF(OR(L$4="",$A320&gt;TODAY()),0,IF(OR(INDEX($B320:$D320,L$5)="F",AND(L$6&gt;0,$A320&lt;L$6),AND(L$7&gt;0,$A320&gt;L$7)),0,MAX(0,ROUND((INDEX($E320:$G320,L$5)-SUMIFS(TF_Timer,TF_Tekniker,L$4,TF_Dato,$A320))*2,0)/2)))</f>
        <v/>
      </c>
      <c r="M320">
        <f>IF(OR(M$4="",$A320&gt;TODAY()),0,IF(OR(INDEX($B320:$D320,M$5)="F",AND(M$6&gt;0,$A320&lt;M$6),AND(M$7&gt;0,$A320&gt;M$7)),0,MAX(0,ROUND((INDEX($E320:$G320,M$5)-SUMIFS(TF_Timer,TF_Tekniker,M$4,TF_Dato,$A320))*2,0)/2)))</f>
        <v/>
      </c>
      <c r="N320">
        <f>IF(OR(N$4="",$A320&gt;TODAY()),0,IF(OR(INDEX($B320:$D320,N$5)="F",AND(N$6&gt;0,$A320&lt;N$6),AND(N$7&gt;0,$A320&gt;N$7)),0,MAX(0,ROUND((INDEX($E320:$G320,N$5)-SUMIFS(TF_Timer,TF_Tekniker,N$4,TF_Dato,$A320))*2,0)/2)))</f>
        <v/>
      </c>
      <c r="O320">
        <f>IF(OR(O$4="",$A320&gt;TODAY()),0,IF(OR(INDEX($B320:$D320,O$5)="F",AND(O$6&gt;0,$A320&lt;O$6),AND(O$7&gt;0,$A320&gt;O$7)),0,MAX(0,ROUND((INDEX($E320:$G320,O$5)-SUMIFS(TF_Timer,TF_Tekniker,O$4,TF_Dato,$A320))*2,0)/2)))</f>
        <v/>
      </c>
      <c r="P320">
        <f>IF(OR(P$4="",$A320&gt;TODAY()),0,IF(OR(INDEX($B320:$D320,P$5)="F",AND(P$6&gt;0,$A320&lt;P$6),AND(P$7&gt;0,$A320&gt;P$7)),0,MAX(0,ROUND((INDEX($E320:$G320,P$5)-SUMIFS(TF_Timer,TF_Tekniker,P$4,TF_Dato,$A320))*2,0)/2)))</f>
        <v/>
      </c>
      <c r="Q320">
        <f>IF(OR(Q$4="",$A320&gt;TODAY()),0,IF(OR(INDEX($B320:$D320,Q$5)="F",AND(Q$6&gt;0,$A320&lt;Q$6),AND(Q$7&gt;0,$A320&gt;Q$7)),0,MAX(0,ROUND((INDEX($E320:$G320,Q$5)-SUMIFS(TF_Timer,TF_Tekniker,Q$4,TF_Dato,$A320))*2,0)/2)))</f>
        <v/>
      </c>
      <c r="R320">
        <f>IF(OR(R$4="",$A320&gt;TODAY()),0,IF(OR(INDEX($B320:$D320,R$5)="F",AND(R$6&gt;0,$A320&lt;R$6),AND(R$7&gt;0,$A320&gt;R$7)),0,MAX(0,ROUND((INDEX($E320:$G320,R$5)-SUMIFS(TF_Timer,TF_Tekniker,R$4,TF_Dato,$A320))*2,0)/2)))</f>
        <v/>
      </c>
      <c r="S320">
        <f>IF(OR(S$4="",$A320&gt;TODAY()),0,IF(OR(INDEX($B320:$D320,S$5)="F",AND(S$6&gt;0,$A320&lt;S$6),AND(S$7&gt;0,$A320&gt;S$7)),0,MAX(0,ROUND((INDEX($E320:$G320,S$5)-SUMIFS(TF_Timer,TF_Tekniker,S$4,TF_Dato,$A320))*2,0)/2)))</f>
        <v/>
      </c>
      <c r="T320">
        <f>IF(OR(T$4="",$A320&gt;TODAY()),0,IF(OR(INDEX($B320:$D320,T$5)="F",AND(T$6&gt;0,$A320&lt;T$6),AND(T$7&gt;0,$A320&gt;T$7)),0,MAX(0,ROUND((INDEX($E320:$G320,T$5)-SUMIFS(TF_Timer,TF_Tekniker,T$4,TF_Dato,$A320))*2,0)/2)))</f>
        <v/>
      </c>
      <c r="U320">
        <f>IF(OR(U$4="",$A320&gt;TODAY()),0,IF(OR(INDEX($B320:$D320,U$5)="F",AND(U$6&gt;0,$A320&lt;U$6),AND(U$7&gt;0,$A320&gt;U$7)),0,MAX(0,ROUND((INDEX($E320:$G320,U$5)-SUMIFS(TF_Timer,TF_Tekniker,U$4,TF_Dato,$A320))*2,0)/2)))</f>
        <v/>
      </c>
      <c r="V320">
        <f>IF(OR(V$4="",$A320&gt;TODAY()),0,IF(OR(INDEX($B320:$D320,V$5)="F",AND(V$6&gt;0,$A320&lt;V$6),AND(V$7&gt;0,$A320&gt;V$7)),0,MAX(0,ROUND((INDEX($E320:$G320,V$5)-SUMIFS(TF_Timer,TF_Tekniker,V$4,TF_Dato,$A320))*2,0)/2)))</f>
        <v/>
      </c>
      <c r="W320">
        <f>IF(OR(W$4="",$A320&gt;TODAY()),0,IF(OR(INDEX($B320:$D320,W$5)="F",AND(W$6&gt;0,$A320&lt;W$6),AND(W$7&gt;0,$A320&gt;W$7)),0,MAX(0,ROUND((INDEX($E320:$G320,W$5)-SUMIFS(TF_Timer,TF_Tekniker,W$4,TF_Dato,$A320))*2,0)/2)))</f>
        <v/>
      </c>
      <c r="X320">
        <f>IF(OR(X$4="",$A320&gt;TODAY()),0,IF(OR(INDEX($B320:$D320,X$5)="F",AND(X$6&gt;0,$A320&lt;X$6),AND(X$7&gt;0,$A320&gt;X$7)),0,MAX(0,ROUND((INDEX($E320:$G320,X$5)-SUMIFS(TF_Timer,TF_Tekniker,X$4,TF_Dato,$A320))*2,0)/2)))</f>
        <v/>
      </c>
      <c r="Y320">
        <f>IF(OR(Y$4="",$A320&gt;TODAY()),0,IF(OR(INDEX($B320:$D320,Y$5)="F",AND(Y$6&gt;0,$A320&lt;Y$6),AND(Y$7&gt;0,$A320&gt;Y$7)),0,MAX(0,ROUND((INDEX($E320:$G320,Y$5)-SUMIFS(TF_Timer,TF_Tekniker,Y$4,TF_Dato,$A320))*2,0)/2)))</f>
        <v/>
      </c>
      <c r="Z320">
        <f>IF(OR(Z$4="",$A320&gt;TODAY()),0,IF(OR(INDEX($B320:$D320,Z$5)="F",AND(Z$6&gt;0,$A320&lt;Z$6),AND(Z$7&gt;0,$A320&gt;Z$7)),0,MAX(0,ROUND((INDEX($E320:$G320,Z$5)-SUMIFS(TF_Timer,TF_Tekniker,Z$4,TF_Dato,$A320))*2,0)/2)))</f>
        <v/>
      </c>
      <c r="AA320">
        <f>IF(OR(AA$4="",$A320&gt;TODAY()),0,IF(OR(INDEX($B320:$D320,AA$5)="F",AND(AA$6&gt;0,$A320&lt;AA$6),AND(AA$7&gt;0,$A320&gt;AA$7)),0,MAX(0,ROUND((INDEX($E320:$G320,AA$5)-SUMIFS(TF_Timer,TF_Tekniker,AA$4,TF_Dato,$A320))*2,0)/2)))</f>
        <v/>
      </c>
      <c r="AB320">
        <f>IF(OR(AB$4="",$A320&gt;TODAY()),0,IF(OR(INDEX($B320:$D320,AB$5)="F",AND(AB$6&gt;0,$A320&lt;AB$6),AND(AB$7&gt;0,$A320&gt;AB$7)),0,MAX(0,ROUND((INDEX($E320:$G320,AB$5)-SUMIFS(TF_Timer,TF_Tekniker,AB$4,TF_Dato,$A320))*2,0)/2)))</f>
        <v/>
      </c>
      <c r="AC320">
        <f>IF(OR(AC$4="",$A320&gt;TODAY()),0,IF(OR(INDEX($B320:$D320,AC$5)="F",AND(AC$6&gt;0,$A320&lt;AC$6),AND(AC$7&gt;0,$A320&gt;AC$7)),0,MAX(0,ROUND((INDEX($E320:$G320,AC$5)-SUMIFS(TF_Timer,TF_Tekniker,AC$4,TF_Dato,$A320))*2,0)/2)))</f>
        <v/>
      </c>
      <c r="AD320">
        <f>IF(OR(AD$4="",$A320&gt;TODAY()),0,IF(OR(INDEX($B320:$D320,AD$5)="F",AND(AD$6&gt;0,$A320&lt;AD$6),AND(AD$7&gt;0,$A320&gt;AD$7)),0,MAX(0,ROUND((INDEX($E320:$G320,AD$5)-SUMIFS(TF_Timer,TF_Tekniker,AD$4,TF_Dato,$A320))*2,0)/2)))</f>
        <v/>
      </c>
      <c r="AE320">
        <f>IF(OR(AE$4="",$A320&gt;TODAY()),0,IF(OR(INDEX($B320:$D320,AE$5)="F",AND(AE$6&gt;0,$A320&lt;AE$6),AND(AE$7&gt;0,$A320&gt;AE$7)),0,MAX(0,ROUND((INDEX($E320:$G320,AE$5)-SUMIFS(TF_Timer,TF_Tekniker,AE$4,TF_Dato,$A320))*2,0)/2)))</f>
        <v/>
      </c>
      <c r="AF320">
        <f>IF(OR(AF$4="",$A320&gt;TODAY()),0,IF(OR(INDEX($B320:$D320,AF$5)="F",AND(AF$6&gt;0,$A320&lt;AF$6),AND(AF$7&gt;0,$A320&gt;AF$7)),0,MAX(0,ROUND((INDEX($E320:$G320,AF$5)-SUMIFS(TF_Timer,TF_Tekniker,AF$4,TF_Dato,$A320))*2,0)/2)))</f>
        <v/>
      </c>
      <c r="AG320">
        <f>IF(OR(AG$4="",$A320&gt;TODAY()),0,IF(OR(INDEX($B320:$D320,AG$5)="F",AND(AG$6&gt;0,$A320&lt;AG$6),AND(AG$7&gt;0,$A320&gt;AG$7)),0,MAX(0,ROUND((INDEX($E320:$G320,AG$5)-SUMIFS(TF_Timer,TF_Tekniker,AG$4,TF_Dato,$A320))*2,0)/2)))</f>
        <v/>
      </c>
      <c r="AH320">
        <f>IF(OR(AH$4="",$A320&gt;TODAY()),0,IF(OR(INDEX($B320:$D320,AH$5)="F",AND(AH$6&gt;0,$A320&lt;AH$6),AND(AH$7&gt;0,$A320&gt;AH$7)),0,MAX(0,ROUND((INDEX($E320:$G320,AH$5)-SUMIFS(TF_Timer,TF_Tekniker,AH$4,TF_Dato,$A320))*2,0)/2)))</f>
        <v/>
      </c>
      <c r="AI320">
        <f>IF(OR(AI$4="",$A320&gt;TODAY()),0,IF(OR(INDEX($B320:$D320,AI$5)="F",AND(AI$6&gt;0,$A320&lt;AI$6),AND(AI$7&gt;0,$A320&gt;AI$7)),0,MAX(0,ROUND((INDEX($E320:$G320,AI$5)-SUMIFS(TF_Timer,TF_Tekniker,AI$4,TF_Dato,$A320))*2,0)/2)))</f>
        <v/>
      </c>
      <c r="AJ320">
        <f>IF(OR(AJ$4="",$A320&gt;TODAY()),0,IF(OR(INDEX($B320:$D320,AJ$5)="F",AND(AJ$6&gt;0,$A320&lt;AJ$6),AND(AJ$7&gt;0,$A320&gt;AJ$7)),0,MAX(0,ROUND((INDEX($E320:$G320,AJ$5)-SUMIFS(TF_Timer,TF_Tekniker,AJ$4,TF_Dato,$A320))*2,0)/2)))</f>
        <v/>
      </c>
      <c r="AK320">
        <f>IF(OR(AK$4="",$A320&gt;TODAY()),0,IF(OR(INDEX($B320:$D320,AK$5)="F",AND(AK$6&gt;0,$A320&lt;AK$6),AND(AK$7&gt;0,$A320&gt;AK$7)),0,MAX(0,ROUND((INDEX($E320:$G320,AK$5)-SUMIFS(TF_Timer,TF_Tekniker,AK$4,TF_Dato,$A320))*2,0)/2)))</f>
        <v/>
      </c>
      <c r="AL320">
        <f>IF(OR(AL$4="",$A320&gt;TODAY()),0,IF(OR(INDEX($B320:$D320,AL$5)="F",AND(AL$6&gt;0,$A320&lt;AL$6),AND(AL$7&gt;0,$A320&gt;AL$7)),0,MAX(0,ROUND((INDEX($E320:$G320,AL$5)-SUMIFS(TF_Timer,TF_Tekniker,AL$4,TF_Dato,$A320))*2,0)/2)))</f>
        <v/>
      </c>
      <c r="AM320">
        <f>IF(OR(AM$4="",$A320&gt;TODAY()),0,IF(OR(INDEX($B320:$D320,AM$5)="F",AND(AM$6&gt;0,$A320&lt;AM$6),AND(AM$7&gt;0,$A320&gt;AM$7)),0,MAX(0,ROUND((INDEX($E320:$G320,AM$5)-SUMIFS(TF_Timer,TF_Tekniker,AM$4,TF_Dato,$A320))*2,0)/2)))</f>
        <v/>
      </c>
      <c r="AN320">
        <f>IF(OR(AN$4="",$A320&gt;TODAY()),0,IF(OR(INDEX($B320:$D320,AN$5)="F",AND(AN$6&gt;0,$A320&lt;AN$6),AND(AN$7&gt;0,$A320&gt;AN$7)),0,MAX(0,ROUND((INDEX($E320:$G320,AN$5)-SUMIFS(TF_Timer,TF_Tekniker,AN$4,TF_Dato,$A320))*2,0)/2)))</f>
        <v/>
      </c>
      <c r="AO320">
        <f>IF(OR(AO$4="",$A320&gt;TODAY()),0,IF(OR(INDEX($B320:$D320,AO$5)="F",AND(AO$6&gt;0,$A320&lt;AO$6),AND(AO$7&gt;0,$A320&gt;AO$7)),0,MAX(0,ROUND((INDEX($E320:$G320,AO$5)-SUMIFS(TF_Timer,TF_Tekniker,AO$4,TF_Dato,$A320))*2,0)/2)))</f>
        <v/>
      </c>
      <c r="AP320">
        <f>IF(OR(AP$4="",$A320&gt;TODAY()),0,IF(OR(INDEX($B320:$D320,AP$5)="F",AND(AP$6&gt;0,$A320&lt;AP$6),AND(AP$7&gt;0,$A320&gt;AP$7)),0,MAX(0,ROUND((INDEX($E320:$G320,AP$5)-SUMIFS(TF_Timer,TF_Tekniker,AP$4,TF_Dato,$A320))*2,0)/2)))</f>
        <v/>
      </c>
      <c r="AQ320">
        <f>IF(OR(AQ$4="",$A320&gt;TODAY()),0,IF(OR(INDEX($B320:$D320,AQ$5)="F",AND(AQ$6&gt;0,$A320&lt;AQ$6),AND(AQ$7&gt;0,$A320&gt;AQ$7)),0,MAX(0,ROUND((INDEX($E320:$G320,AQ$5)-SUMIFS(TF_Timer,TF_Tekniker,AQ$4,TF_Dato,$A320))*2,0)/2)))</f>
        <v/>
      </c>
      <c r="AR320">
        <f>IF(OR(AR$4="",$A320&gt;TODAY()),0,IF(OR(INDEX($B320:$D320,AR$5)="F",AND(AR$6&gt;0,$A320&lt;AR$6),AND(AR$7&gt;0,$A320&gt;AR$7)),0,MAX(0,ROUND((INDEX($E320:$G320,AR$5)-SUMIFS(TF_Timer,TF_Tekniker,AR$4,TF_Dato,$A320))*2,0)/2)))</f>
        <v/>
      </c>
      <c r="AS320">
        <f>IF(OR(AS$4="",$A320&gt;TODAY()),0,IF(OR(INDEX($B320:$D320,AS$5)="F",AND(AS$6&gt;0,$A320&lt;AS$6),AND(AS$7&gt;0,$A320&gt;AS$7)),0,MAX(0,ROUND((INDEX($E320:$G320,AS$5)-SUMIFS(TF_Timer,TF_Tekniker,AS$4,TF_Dato,$A320))*2,0)/2)))</f>
        <v/>
      </c>
      <c r="AT320">
        <f>IF(OR(AT$4="",$A320&gt;TODAY()),0,IF(OR(INDEX($B320:$D320,AT$5)="F",AND(AT$6&gt;0,$A320&lt;AT$6),AND(AT$7&gt;0,$A320&gt;AT$7)),0,MAX(0,ROUND((INDEX($E320:$G320,AT$5)-SUMIFS(TF_Timer,TF_Tekniker,AT$4,TF_Dato,$A320))*2,0)/2)))</f>
        <v/>
      </c>
      <c r="AU320">
        <f>IF(OR(AU$4="",$A320&gt;TODAY()),0,IF(OR(INDEX($B320:$D320,AU$5)="F",AND(AU$6&gt;0,$A320&lt;AU$6),AND(AU$7&gt;0,$A320&gt;AU$7)),0,MAX(0,ROUND((INDEX($E320:$G320,AU$5)-SUMIFS(TF_Timer,TF_Tekniker,AU$4,TF_Dato,$A320))*2,0)/2)))</f>
        <v/>
      </c>
      <c r="AV320">
        <f>IF(OR(AV$4="",$A320&gt;TODAY()),0,IF(OR(INDEX($B320:$D320,AV$5)="F",AND(AV$6&gt;0,$A320&lt;AV$6),AND(AV$7&gt;0,$A320&gt;AV$7)),0,MAX(0,ROUND((INDEX($E320:$G320,AV$5)-SUMIFS(TF_Timer,TF_Tekniker,AV$4,TF_Dato,$A320))*2,0)/2)))</f>
        <v/>
      </c>
      <c r="AW320">
        <f>IF(OR(AW$4="",$A320&gt;TODAY()),0,IF(OR(INDEX($B320:$D320,AW$5)="F",AND(AW$6&gt;0,$A320&lt;AW$6),AND(AW$7&gt;0,$A320&gt;AW$7)),0,MAX(0,ROUND((INDEX($E320:$G320,AW$5)-SUMIFS(TF_Timer,TF_Tekniker,AW$4,TF_Dato,$A320))*2,0)/2)))</f>
        <v/>
      </c>
      <c r="AX320">
        <f>IF(OR(AX$4="",$A320&gt;TODAY()),0,IF(OR(INDEX($B320:$D320,AX$5)="F",AND(AX$6&gt;0,$A320&lt;AX$6),AND(AX$7&gt;0,$A320&gt;AX$7)),0,MAX(0,ROUND((INDEX($E320:$G320,AX$5)-SUMIFS(TF_Timer,TF_Tekniker,AX$4,TF_Dato,$A320))*2,0)/2)))</f>
        <v/>
      </c>
      <c r="AY320">
        <f>IF(OR(AY$4="",$A320&gt;TODAY()),0,IF(OR(INDEX($B320:$D320,AY$5)="F",AND(AY$6&gt;0,$A320&lt;AY$6),AND(AY$7&gt;0,$A320&gt;AY$7)),0,MAX(0,ROUND((INDEX($E320:$G320,AY$5)-SUMIFS(TF_Timer,TF_Tekniker,AY$4,TF_Dato,$A320))*2,0)/2)))</f>
        <v/>
      </c>
      <c r="AZ320">
        <f>IF(OR(AZ$4="",$A320&gt;TODAY()),0,IF(OR(INDEX($B320:$D320,AZ$5)="F",AND(AZ$6&gt;0,$A320&lt;AZ$6),AND(AZ$7&gt;0,$A320&gt;AZ$7)),0,MAX(0,ROUND((INDEX($E320:$G320,AZ$5)-SUMIFS(TF_Timer,TF_Tekniker,AZ$4,TF_Dato,$A320))*2,0)/2)))</f>
        <v/>
      </c>
      <c r="BA320">
        <f>IF(OR(BA$4="",$A320&gt;TODAY()),0,IF(OR(INDEX($B320:$D320,BA$5)="F",AND(BA$6&gt;0,$A320&lt;BA$6),AND(BA$7&gt;0,$A320&gt;BA$7)),0,MAX(0,ROUND((INDEX($E320:$G320,BA$5)-SUMIFS(TF_Timer,TF_Tekniker,BA$4,TF_Dato,$A320))*2,0)/2)))</f>
        <v/>
      </c>
      <c r="BB320">
        <f>IF(OR(BB$4="",$A320&gt;TODAY()),0,IF(OR(INDEX($B320:$D320,BB$5)="F",AND(BB$6&gt;0,$A320&lt;BB$6),AND(BB$7&gt;0,$A320&gt;BB$7)),0,MAX(0,ROUND((INDEX($E320:$G320,BB$5)-SUMIFS(TF_Timer,TF_Tekniker,BB$4,TF_Dato,$A320))*2,0)/2)))</f>
        <v/>
      </c>
      <c r="BC320">
        <f>IF(OR(BC$4="",$A320&gt;TODAY()),0,IF(OR(INDEX($B320:$D320,BC$5)="F",AND(BC$6&gt;0,$A320&lt;BC$6),AND(BC$7&gt;0,$A320&gt;BC$7)),0,MAX(0,ROUND((INDEX($E320:$G320,BC$5)-SUMIFS(TF_Timer,TF_Tekniker,BC$4,TF_Dato,$A320))*2,0)/2)))</f>
        <v/>
      </c>
      <c r="BD320">
        <f>IF(OR(BD$4="",$A320&gt;TODAY()),0,IF(OR(INDEX($B320:$D320,BD$5)="F",AND(BD$6&gt;0,$A320&lt;BD$6),AND(BD$7&gt;0,$A320&gt;BD$7)),0,MAX(0,ROUND((INDEX($E320:$G320,BD$5)-SUMIFS(TF_Timer,TF_Tekniker,BD$4,TF_Dato,$A320))*2,0)/2)))</f>
        <v/>
      </c>
      <c r="BE320">
        <f>IF(OR(BE$4="",$A320&gt;TODAY()),0,IF(OR(INDEX($B320:$D320,BE$5)="F",AND(BE$6&gt;0,$A320&lt;BE$6),AND(BE$7&gt;0,$A320&gt;BE$7)),0,MAX(0,ROUND((INDEX($E320:$G320,BE$5)-SUMIFS(TF_Timer,TF_Tekniker,BE$4,TF_Dato,$A320))*2,0)/2)))</f>
        <v/>
      </c>
      <c r="BF320">
        <f>IF(OR(BF$4="",$A320&gt;TODAY()),0,IF(OR(INDEX($B320:$D320,BF$5)="F",AND(BF$6&gt;0,$A320&lt;BF$6),AND(BF$7&gt;0,$A320&gt;BF$7)),0,MAX(0,ROUND((INDEX($E320:$G320,BF$5)-SUMIFS(TF_Timer,TF_Tekniker,BF$4,TF_Dato,$A320))*2,0)/2)))</f>
        <v/>
      </c>
      <c r="BG320">
        <f>IF(OR(BG$4="",$A320&gt;TODAY()),0,IF(OR(INDEX($B320:$D320,BG$5)="F",AND(BG$6&gt;0,$A320&lt;BG$6),AND(BG$7&gt;0,$A320&gt;BG$7)),0,MAX(0,ROUND((INDEX($E320:$G320,BG$5)-SUMIFS(TF_Timer,TF_Tekniker,BG$4,TF_Dato,$A320))*2,0)/2)))</f>
        <v/>
      </c>
      <c r="BH320">
        <f>IF(OR(BH$4="",$A320&gt;TODAY()),0,IF(OR(INDEX($B320:$D320,BH$5)="F",AND(BH$6&gt;0,$A320&lt;BH$6),AND(BH$7&gt;0,$A320&gt;BH$7)),0,MAX(0,ROUND((INDEX($E320:$G320,BH$5)-SUMIFS(TF_Timer,TF_Tekniker,BH$4,TF_Dato,$A320))*2,0)/2)))</f>
        <v/>
      </c>
      <c r="BI320">
        <f>IF(OR(BI$4="",$A320&gt;TODAY()),0,IF(OR(INDEX($B320:$D320,BI$5)="F",AND(BI$6&gt;0,$A320&lt;BI$6),AND(BI$7&gt;0,$A320&gt;BI$7)),0,MAX(0,ROUND((INDEX($E320:$G320,BI$5)-SUMIFS(TF_Timer,TF_Tekniker,BI$4,TF_Dato,$A320))*2,0)/2)))</f>
        <v/>
      </c>
    </row>
    <row r="321">
      <c r="A321" s="64">
        <f>A320+1</f>
        <v/>
      </c>
      <c r="B321">
        <f>IF(MOD($A321-INDEX(SkiftStart,1),Syklus)&lt;DagK,"K",IF(MOD($A321-INDEX(SkiftStart,1),Syklus)&lt;DagK+DagH,"H",IF(MOD($A321-INDEX(SkiftStart,1),Syklus)&lt;DagK+DagH+DagD,"D","F")))</f>
        <v/>
      </c>
      <c r="C321">
        <f>IF(MOD($A321-INDEX(SkiftStart,2),Syklus)&lt;DagK,"K",IF(MOD($A321-INDEX(SkiftStart,2),Syklus)&lt;DagK+DagH,"H",IF(MOD($A321-INDEX(SkiftStart,2),Syklus)&lt;DagK+DagH+DagD,"D","F")))</f>
        <v/>
      </c>
      <c r="D321">
        <f>IF(MOD($A321-INDEX(SkiftStart,3),Syklus)&lt;DagK,"K",IF(MOD($A321-INDEX(SkiftStart,3),Syklus)&lt;DagK+DagH,"H",IF(MOD($A321-INDEX(SkiftStart,3),Syklus)&lt;DagK+DagH+DagD,"D","F")))</f>
        <v/>
      </c>
      <c r="E321">
        <f>IF(B321="F",0,IF(WEEKDAY($A321,2)=5,INDEX(TimerFr,MATCH(B321,FaseKode,0)),INDEX(TimerMT,MATCH(B321,FaseKode,0))))</f>
        <v/>
      </c>
      <c r="F321">
        <f>IF(C321="F",0,IF(WEEKDAY($A321,2)=5,INDEX(TimerFr,MATCH(C321,FaseKode,0)),INDEX(TimerMT,MATCH(C321,FaseKode,0))))</f>
        <v/>
      </c>
      <c r="G321">
        <f>IF(D321="F",0,IF(WEEKDAY($A321,2)=5,INDEX(TimerFr,MATCH(D321,FaseKode,0)),INDEX(TimerMT,MATCH(D321,FaseKode,0))))</f>
        <v/>
      </c>
      <c r="H321">
        <f>IF(OR(H$4="",$A321&gt;TODAY()),0,IF(OR(INDEX($B321:$D321,H$5)="F",AND(H$6&gt;0,$A321&lt;H$6),AND(H$7&gt;0,$A321&gt;H$7)),0,MAX(0,ROUND((INDEX($E321:$G321,H$5)-SUMIFS(TF_Timer,TF_Tekniker,H$4,TF_Dato,$A321))*2,0)/2)))</f>
        <v/>
      </c>
      <c r="I321">
        <f>IF(OR(I$4="",$A321&gt;TODAY()),0,IF(OR(INDEX($B321:$D321,I$5)="F",AND(I$6&gt;0,$A321&lt;I$6),AND(I$7&gt;0,$A321&gt;I$7)),0,MAX(0,ROUND((INDEX($E321:$G321,I$5)-SUMIFS(TF_Timer,TF_Tekniker,I$4,TF_Dato,$A321))*2,0)/2)))</f>
        <v/>
      </c>
      <c r="J321">
        <f>IF(OR(J$4="",$A321&gt;TODAY()),0,IF(OR(INDEX($B321:$D321,J$5)="F",AND(J$6&gt;0,$A321&lt;J$6),AND(J$7&gt;0,$A321&gt;J$7)),0,MAX(0,ROUND((INDEX($E321:$G321,J$5)-SUMIFS(TF_Timer,TF_Tekniker,J$4,TF_Dato,$A321))*2,0)/2)))</f>
        <v/>
      </c>
      <c r="K321">
        <f>IF(OR(K$4="",$A321&gt;TODAY()),0,IF(OR(INDEX($B321:$D321,K$5)="F",AND(K$6&gt;0,$A321&lt;K$6),AND(K$7&gt;0,$A321&gt;K$7)),0,MAX(0,ROUND((INDEX($E321:$G321,K$5)-SUMIFS(TF_Timer,TF_Tekniker,K$4,TF_Dato,$A321))*2,0)/2)))</f>
        <v/>
      </c>
      <c r="L321">
        <f>IF(OR(L$4="",$A321&gt;TODAY()),0,IF(OR(INDEX($B321:$D321,L$5)="F",AND(L$6&gt;0,$A321&lt;L$6),AND(L$7&gt;0,$A321&gt;L$7)),0,MAX(0,ROUND((INDEX($E321:$G321,L$5)-SUMIFS(TF_Timer,TF_Tekniker,L$4,TF_Dato,$A321))*2,0)/2)))</f>
        <v/>
      </c>
      <c r="M321">
        <f>IF(OR(M$4="",$A321&gt;TODAY()),0,IF(OR(INDEX($B321:$D321,M$5)="F",AND(M$6&gt;0,$A321&lt;M$6),AND(M$7&gt;0,$A321&gt;M$7)),0,MAX(0,ROUND((INDEX($E321:$G321,M$5)-SUMIFS(TF_Timer,TF_Tekniker,M$4,TF_Dato,$A321))*2,0)/2)))</f>
        <v/>
      </c>
      <c r="N321">
        <f>IF(OR(N$4="",$A321&gt;TODAY()),0,IF(OR(INDEX($B321:$D321,N$5)="F",AND(N$6&gt;0,$A321&lt;N$6),AND(N$7&gt;0,$A321&gt;N$7)),0,MAX(0,ROUND((INDEX($E321:$G321,N$5)-SUMIFS(TF_Timer,TF_Tekniker,N$4,TF_Dato,$A321))*2,0)/2)))</f>
        <v/>
      </c>
      <c r="O321">
        <f>IF(OR(O$4="",$A321&gt;TODAY()),0,IF(OR(INDEX($B321:$D321,O$5)="F",AND(O$6&gt;0,$A321&lt;O$6),AND(O$7&gt;0,$A321&gt;O$7)),0,MAX(0,ROUND((INDEX($E321:$G321,O$5)-SUMIFS(TF_Timer,TF_Tekniker,O$4,TF_Dato,$A321))*2,0)/2)))</f>
        <v/>
      </c>
      <c r="P321">
        <f>IF(OR(P$4="",$A321&gt;TODAY()),0,IF(OR(INDEX($B321:$D321,P$5)="F",AND(P$6&gt;0,$A321&lt;P$6),AND(P$7&gt;0,$A321&gt;P$7)),0,MAX(0,ROUND((INDEX($E321:$G321,P$5)-SUMIFS(TF_Timer,TF_Tekniker,P$4,TF_Dato,$A321))*2,0)/2)))</f>
        <v/>
      </c>
      <c r="Q321">
        <f>IF(OR(Q$4="",$A321&gt;TODAY()),0,IF(OR(INDEX($B321:$D321,Q$5)="F",AND(Q$6&gt;0,$A321&lt;Q$6),AND(Q$7&gt;0,$A321&gt;Q$7)),0,MAX(0,ROUND((INDEX($E321:$G321,Q$5)-SUMIFS(TF_Timer,TF_Tekniker,Q$4,TF_Dato,$A321))*2,0)/2)))</f>
        <v/>
      </c>
      <c r="R321">
        <f>IF(OR(R$4="",$A321&gt;TODAY()),0,IF(OR(INDEX($B321:$D321,R$5)="F",AND(R$6&gt;0,$A321&lt;R$6),AND(R$7&gt;0,$A321&gt;R$7)),0,MAX(0,ROUND((INDEX($E321:$G321,R$5)-SUMIFS(TF_Timer,TF_Tekniker,R$4,TF_Dato,$A321))*2,0)/2)))</f>
        <v/>
      </c>
      <c r="S321">
        <f>IF(OR(S$4="",$A321&gt;TODAY()),0,IF(OR(INDEX($B321:$D321,S$5)="F",AND(S$6&gt;0,$A321&lt;S$6),AND(S$7&gt;0,$A321&gt;S$7)),0,MAX(0,ROUND((INDEX($E321:$G321,S$5)-SUMIFS(TF_Timer,TF_Tekniker,S$4,TF_Dato,$A321))*2,0)/2)))</f>
        <v/>
      </c>
      <c r="T321">
        <f>IF(OR(T$4="",$A321&gt;TODAY()),0,IF(OR(INDEX($B321:$D321,T$5)="F",AND(T$6&gt;0,$A321&lt;T$6),AND(T$7&gt;0,$A321&gt;T$7)),0,MAX(0,ROUND((INDEX($E321:$G321,T$5)-SUMIFS(TF_Timer,TF_Tekniker,T$4,TF_Dato,$A321))*2,0)/2)))</f>
        <v/>
      </c>
      <c r="U321">
        <f>IF(OR(U$4="",$A321&gt;TODAY()),0,IF(OR(INDEX($B321:$D321,U$5)="F",AND(U$6&gt;0,$A321&lt;U$6),AND(U$7&gt;0,$A321&gt;U$7)),0,MAX(0,ROUND((INDEX($E321:$G321,U$5)-SUMIFS(TF_Timer,TF_Tekniker,U$4,TF_Dato,$A321))*2,0)/2)))</f>
        <v/>
      </c>
      <c r="V321">
        <f>IF(OR(V$4="",$A321&gt;TODAY()),0,IF(OR(INDEX($B321:$D321,V$5)="F",AND(V$6&gt;0,$A321&lt;V$6),AND(V$7&gt;0,$A321&gt;V$7)),0,MAX(0,ROUND((INDEX($E321:$G321,V$5)-SUMIFS(TF_Timer,TF_Tekniker,V$4,TF_Dato,$A321))*2,0)/2)))</f>
        <v/>
      </c>
      <c r="W321">
        <f>IF(OR(W$4="",$A321&gt;TODAY()),0,IF(OR(INDEX($B321:$D321,W$5)="F",AND(W$6&gt;0,$A321&lt;W$6),AND(W$7&gt;0,$A321&gt;W$7)),0,MAX(0,ROUND((INDEX($E321:$G321,W$5)-SUMIFS(TF_Timer,TF_Tekniker,W$4,TF_Dato,$A321))*2,0)/2)))</f>
        <v/>
      </c>
      <c r="X321">
        <f>IF(OR(X$4="",$A321&gt;TODAY()),0,IF(OR(INDEX($B321:$D321,X$5)="F",AND(X$6&gt;0,$A321&lt;X$6),AND(X$7&gt;0,$A321&gt;X$7)),0,MAX(0,ROUND((INDEX($E321:$G321,X$5)-SUMIFS(TF_Timer,TF_Tekniker,X$4,TF_Dato,$A321))*2,0)/2)))</f>
        <v/>
      </c>
      <c r="Y321">
        <f>IF(OR(Y$4="",$A321&gt;TODAY()),0,IF(OR(INDEX($B321:$D321,Y$5)="F",AND(Y$6&gt;0,$A321&lt;Y$6),AND(Y$7&gt;0,$A321&gt;Y$7)),0,MAX(0,ROUND((INDEX($E321:$G321,Y$5)-SUMIFS(TF_Timer,TF_Tekniker,Y$4,TF_Dato,$A321))*2,0)/2)))</f>
        <v/>
      </c>
      <c r="Z321">
        <f>IF(OR(Z$4="",$A321&gt;TODAY()),0,IF(OR(INDEX($B321:$D321,Z$5)="F",AND(Z$6&gt;0,$A321&lt;Z$6),AND(Z$7&gt;0,$A321&gt;Z$7)),0,MAX(0,ROUND((INDEX($E321:$G321,Z$5)-SUMIFS(TF_Timer,TF_Tekniker,Z$4,TF_Dato,$A321))*2,0)/2)))</f>
        <v/>
      </c>
      <c r="AA321">
        <f>IF(OR(AA$4="",$A321&gt;TODAY()),0,IF(OR(INDEX($B321:$D321,AA$5)="F",AND(AA$6&gt;0,$A321&lt;AA$6),AND(AA$7&gt;0,$A321&gt;AA$7)),0,MAX(0,ROUND((INDEX($E321:$G321,AA$5)-SUMIFS(TF_Timer,TF_Tekniker,AA$4,TF_Dato,$A321))*2,0)/2)))</f>
        <v/>
      </c>
      <c r="AB321">
        <f>IF(OR(AB$4="",$A321&gt;TODAY()),0,IF(OR(INDEX($B321:$D321,AB$5)="F",AND(AB$6&gt;0,$A321&lt;AB$6),AND(AB$7&gt;0,$A321&gt;AB$7)),0,MAX(0,ROUND((INDEX($E321:$G321,AB$5)-SUMIFS(TF_Timer,TF_Tekniker,AB$4,TF_Dato,$A321))*2,0)/2)))</f>
        <v/>
      </c>
      <c r="AC321">
        <f>IF(OR(AC$4="",$A321&gt;TODAY()),0,IF(OR(INDEX($B321:$D321,AC$5)="F",AND(AC$6&gt;0,$A321&lt;AC$6),AND(AC$7&gt;0,$A321&gt;AC$7)),0,MAX(0,ROUND((INDEX($E321:$G321,AC$5)-SUMIFS(TF_Timer,TF_Tekniker,AC$4,TF_Dato,$A321))*2,0)/2)))</f>
        <v/>
      </c>
      <c r="AD321">
        <f>IF(OR(AD$4="",$A321&gt;TODAY()),0,IF(OR(INDEX($B321:$D321,AD$5)="F",AND(AD$6&gt;0,$A321&lt;AD$6),AND(AD$7&gt;0,$A321&gt;AD$7)),0,MAX(0,ROUND((INDEX($E321:$G321,AD$5)-SUMIFS(TF_Timer,TF_Tekniker,AD$4,TF_Dato,$A321))*2,0)/2)))</f>
        <v/>
      </c>
      <c r="AE321">
        <f>IF(OR(AE$4="",$A321&gt;TODAY()),0,IF(OR(INDEX($B321:$D321,AE$5)="F",AND(AE$6&gt;0,$A321&lt;AE$6),AND(AE$7&gt;0,$A321&gt;AE$7)),0,MAX(0,ROUND((INDEX($E321:$G321,AE$5)-SUMIFS(TF_Timer,TF_Tekniker,AE$4,TF_Dato,$A321))*2,0)/2)))</f>
        <v/>
      </c>
      <c r="AF321">
        <f>IF(OR(AF$4="",$A321&gt;TODAY()),0,IF(OR(INDEX($B321:$D321,AF$5)="F",AND(AF$6&gt;0,$A321&lt;AF$6),AND(AF$7&gt;0,$A321&gt;AF$7)),0,MAX(0,ROUND((INDEX($E321:$G321,AF$5)-SUMIFS(TF_Timer,TF_Tekniker,AF$4,TF_Dato,$A321))*2,0)/2)))</f>
        <v/>
      </c>
      <c r="AG321">
        <f>IF(OR(AG$4="",$A321&gt;TODAY()),0,IF(OR(INDEX($B321:$D321,AG$5)="F",AND(AG$6&gt;0,$A321&lt;AG$6),AND(AG$7&gt;0,$A321&gt;AG$7)),0,MAX(0,ROUND((INDEX($E321:$G321,AG$5)-SUMIFS(TF_Timer,TF_Tekniker,AG$4,TF_Dato,$A321))*2,0)/2)))</f>
        <v/>
      </c>
      <c r="AH321">
        <f>IF(OR(AH$4="",$A321&gt;TODAY()),0,IF(OR(INDEX($B321:$D321,AH$5)="F",AND(AH$6&gt;0,$A321&lt;AH$6),AND(AH$7&gt;0,$A321&gt;AH$7)),0,MAX(0,ROUND((INDEX($E321:$G321,AH$5)-SUMIFS(TF_Timer,TF_Tekniker,AH$4,TF_Dato,$A321))*2,0)/2)))</f>
        <v/>
      </c>
      <c r="AI321">
        <f>IF(OR(AI$4="",$A321&gt;TODAY()),0,IF(OR(INDEX($B321:$D321,AI$5)="F",AND(AI$6&gt;0,$A321&lt;AI$6),AND(AI$7&gt;0,$A321&gt;AI$7)),0,MAX(0,ROUND((INDEX($E321:$G321,AI$5)-SUMIFS(TF_Timer,TF_Tekniker,AI$4,TF_Dato,$A321))*2,0)/2)))</f>
        <v/>
      </c>
      <c r="AJ321">
        <f>IF(OR(AJ$4="",$A321&gt;TODAY()),0,IF(OR(INDEX($B321:$D321,AJ$5)="F",AND(AJ$6&gt;0,$A321&lt;AJ$6),AND(AJ$7&gt;0,$A321&gt;AJ$7)),0,MAX(0,ROUND((INDEX($E321:$G321,AJ$5)-SUMIFS(TF_Timer,TF_Tekniker,AJ$4,TF_Dato,$A321))*2,0)/2)))</f>
        <v/>
      </c>
      <c r="AK321">
        <f>IF(OR(AK$4="",$A321&gt;TODAY()),0,IF(OR(INDEX($B321:$D321,AK$5)="F",AND(AK$6&gt;0,$A321&lt;AK$6),AND(AK$7&gt;0,$A321&gt;AK$7)),0,MAX(0,ROUND((INDEX($E321:$G321,AK$5)-SUMIFS(TF_Timer,TF_Tekniker,AK$4,TF_Dato,$A321))*2,0)/2)))</f>
        <v/>
      </c>
      <c r="AL321">
        <f>IF(OR(AL$4="",$A321&gt;TODAY()),0,IF(OR(INDEX($B321:$D321,AL$5)="F",AND(AL$6&gt;0,$A321&lt;AL$6),AND(AL$7&gt;0,$A321&gt;AL$7)),0,MAX(0,ROUND((INDEX($E321:$G321,AL$5)-SUMIFS(TF_Timer,TF_Tekniker,AL$4,TF_Dato,$A321))*2,0)/2)))</f>
        <v/>
      </c>
      <c r="AM321">
        <f>IF(OR(AM$4="",$A321&gt;TODAY()),0,IF(OR(INDEX($B321:$D321,AM$5)="F",AND(AM$6&gt;0,$A321&lt;AM$6),AND(AM$7&gt;0,$A321&gt;AM$7)),0,MAX(0,ROUND((INDEX($E321:$G321,AM$5)-SUMIFS(TF_Timer,TF_Tekniker,AM$4,TF_Dato,$A321))*2,0)/2)))</f>
        <v/>
      </c>
      <c r="AN321">
        <f>IF(OR(AN$4="",$A321&gt;TODAY()),0,IF(OR(INDEX($B321:$D321,AN$5)="F",AND(AN$6&gt;0,$A321&lt;AN$6),AND(AN$7&gt;0,$A321&gt;AN$7)),0,MAX(0,ROUND((INDEX($E321:$G321,AN$5)-SUMIFS(TF_Timer,TF_Tekniker,AN$4,TF_Dato,$A321))*2,0)/2)))</f>
        <v/>
      </c>
      <c r="AO321">
        <f>IF(OR(AO$4="",$A321&gt;TODAY()),0,IF(OR(INDEX($B321:$D321,AO$5)="F",AND(AO$6&gt;0,$A321&lt;AO$6),AND(AO$7&gt;0,$A321&gt;AO$7)),0,MAX(0,ROUND((INDEX($E321:$G321,AO$5)-SUMIFS(TF_Timer,TF_Tekniker,AO$4,TF_Dato,$A321))*2,0)/2)))</f>
        <v/>
      </c>
      <c r="AP321">
        <f>IF(OR(AP$4="",$A321&gt;TODAY()),0,IF(OR(INDEX($B321:$D321,AP$5)="F",AND(AP$6&gt;0,$A321&lt;AP$6),AND(AP$7&gt;0,$A321&gt;AP$7)),0,MAX(0,ROUND((INDEX($E321:$G321,AP$5)-SUMIFS(TF_Timer,TF_Tekniker,AP$4,TF_Dato,$A321))*2,0)/2)))</f>
        <v/>
      </c>
      <c r="AQ321">
        <f>IF(OR(AQ$4="",$A321&gt;TODAY()),0,IF(OR(INDEX($B321:$D321,AQ$5)="F",AND(AQ$6&gt;0,$A321&lt;AQ$6),AND(AQ$7&gt;0,$A321&gt;AQ$7)),0,MAX(0,ROUND((INDEX($E321:$G321,AQ$5)-SUMIFS(TF_Timer,TF_Tekniker,AQ$4,TF_Dato,$A321))*2,0)/2)))</f>
        <v/>
      </c>
      <c r="AR321">
        <f>IF(OR(AR$4="",$A321&gt;TODAY()),0,IF(OR(INDEX($B321:$D321,AR$5)="F",AND(AR$6&gt;0,$A321&lt;AR$6),AND(AR$7&gt;0,$A321&gt;AR$7)),0,MAX(0,ROUND((INDEX($E321:$G321,AR$5)-SUMIFS(TF_Timer,TF_Tekniker,AR$4,TF_Dato,$A321))*2,0)/2)))</f>
        <v/>
      </c>
      <c r="AS321">
        <f>IF(OR(AS$4="",$A321&gt;TODAY()),0,IF(OR(INDEX($B321:$D321,AS$5)="F",AND(AS$6&gt;0,$A321&lt;AS$6),AND(AS$7&gt;0,$A321&gt;AS$7)),0,MAX(0,ROUND((INDEX($E321:$G321,AS$5)-SUMIFS(TF_Timer,TF_Tekniker,AS$4,TF_Dato,$A321))*2,0)/2)))</f>
        <v/>
      </c>
      <c r="AT321">
        <f>IF(OR(AT$4="",$A321&gt;TODAY()),0,IF(OR(INDEX($B321:$D321,AT$5)="F",AND(AT$6&gt;0,$A321&lt;AT$6),AND(AT$7&gt;0,$A321&gt;AT$7)),0,MAX(0,ROUND((INDEX($E321:$G321,AT$5)-SUMIFS(TF_Timer,TF_Tekniker,AT$4,TF_Dato,$A321))*2,0)/2)))</f>
        <v/>
      </c>
      <c r="AU321">
        <f>IF(OR(AU$4="",$A321&gt;TODAY()),0,IF(OR(INDEX($B321:$D321,AU$5)="F",AND(AU$6&gt;0,$A321&lt;AU$6),AND(AU$7&gt;0,$A321&gt;AU$7)),0,MAX(0,ROUND((INDEX($E321:$G321,AU$5)-SUMIFS(TF_Timer,TF_Tekniker,AU$4,TF_Dato,$A321))*2,0)/2)))</f>
        <v/>
      </c>
      <c r="AV321">
        <f>IF(OR(AV$4="",$A321&gt;TODAY()),0,IF(OR(INDEX($B321:$D321,AV$5)="F",AND(AV$6&gt;0,$A321&lt;AV$6),AND(AV$7&gt;0,$A321&gt;AV$7)),0,MAX(0,ROUND((INDEX($E321:$G321,AV$5)-SUMIFS(TF_Timer,TF_Tekniker,AV$4,TF_Dato,$A321))*2,0)/2)))</f>
        <v/>
      </c>
      <c r="AW321">
        <f>IF(OR(AW$4="",$A321&gt;TODAY()),0,IF(OR(INDEX($B321:$D321,AW$5)="F",AND(AW$6&gt;0,$A321&lt;AW$6),AND(AW$7&gt;0,$A321&gt;AW$7)),0,MAX(0,ROUND((INDEX($E321:$G321,AW$5)-SUMIFS(TF_Timer,TF_Tekniker,AW$4,TF_Dato,$A321))*2,0)/2)))</f>
        <v/>
      </c>
      <c r="AX321">
        <f>IF(OR(AX$4="",$A321&gt;TODAY()),0,IF(OR(INDEX($B321:$D321,AX$5)="F",AND(AX$6&gt;0,$A321&lt;AX$6),AND(AX$7&gt;0,$A321&gt;AX$7)),0,MAX(0,ROUND((INDEX($E321:$G321,AX$5)-SUMIFS(TF_Timer,TF_Tekniker,AX$4,TF_Dato,$A321))*2,0)/2)))</f>
        <v/>
      </c>
      <c r="AY321">
        <f>IF(OR(AY$4="",$A321&gt;TODAY()),0,IF(OR(INDEX($B321:$D321,AY$5)="F",AND(AY$6&gt;0,$A321&lt;AY$6),AND(AY$7&gt;0,$A321&gt;AY$7)),0,MAX(0,ROUND((INDEX($E321:$G321,AY$5)-SUMIFS(TF_Timer,TF_Tekniker,AY$4,TF_Dato,$A321))*2,0)/2)))</f>
        <v/>
      </c>
      <c r="AZ321">
        <f>IF(OR(AZ$4="",$A321&gt;TODAY()),0,IF(OR(INDEX($B321:$D321,AZ$5)="F",AND(AZ$6&gt;0,$A321&lt;AZ$6),AND(AZ$7&gt;0,$A321&gt;AZ$7)),0,MAX(0,ROUND((INDEX($E321:$G321,AZ$5)-SUMIFS(TF_Timer,TF_Tekniker,AZ$4,TF_Dato,$A321))*2,0)/2)))</f>
        <v/>
      </c>
      <c r="BA321">
        <f>IF(OR(BA$4="",$A321&gt;TODAY()),0,IF(OR(INDEX($B321:$D321,BA$5)="F",AND(BA$6&gt;0,$A321&lt;BA$6),AND(BA$7&gt;0,$A321&gt;BA$7)),0,MAX(0,ROUND((INDEX($E321:$G321,BA$5)-SUMIFS(TF_Timer,TF_Tekniker,BA$4,TF_Dato,$A321))*2,0)/2)))</f>
        <v/>
      </c>
      <c r="BB321">
        <f>IF(OR(BB$4="",$A321&gt;TODAY()),0,IF(OR(INDEX($B321:$D321,BB$5)="F",AND(BB$6&gt;0,$A321&lt;BB$6),AND(BB$7&gt;0,$A321&gt;BB$7)),0,MAX(0,ROUND((INDEX($E321:$G321,BB$5)-SUMIFS(TF_Timer,TF_Tekniker,BB$4,TF_Dato,$A321))*2,0)/2)))</f>
        <v/>
      </c>
      <c r="BC321">
        <f>IF(OR(BC$4="",$A321&gt;TODAY()),0,IF(OR(INDEX($B321:$D321,BC$5)="F",AND(BC$6&gt;0,$A321&lt;BC$6),AND(BC$7&gt;0,$A321&gt;BC$7)),0,MAX(0,ROUND((INDEX($E321:$G321,BC$5)-SUMIFS(TF_Timer,TF_Tekniker,BC$4,TF_Dato,$A321))*2,0)/2)))</f>
        <v/>
      </c>
      <c r="BD321">
        <f>IF(OR(BD$4="",$A321&gt;TODAY()),0,IF(OR(INDEX($B321:$D321,BD$5)="F",AND(BD$6&gt;0,$A321&lt;BD$6),AND(BD$7&gt;0,$A321&gt;BD$7)),0,MAX(0,ROUND((INDEX($E321:$G321,BD$5)-SUMIFS(TF_Timer,TF_Tekniker,BD$4,TF_Dato,$A321))*2,0)/2)))</f>
        <v/>
      </c>
      <c r="BE321">
        <f>IF(OR(BE$4="",$A321&gt;TODAY()),0,IF(OR(INDEX($B321:$D321,BE$5)="F",AND(BE$6&gt;0,$A321&lt;BE$6),AND(BE$7&gt;0,$A321&gt;BE$7)),0,MAX(0,ROUND((INDEX($E321:$G321,BE$5)-SUMIFS(TF_Timer,TF_Tekniker,BE$4,TF_Dato,$A321))*2,0)/2)))</f>
        <v/>
      </c>
      <c r="BF321">
        <f>IF(OR(BF$4="",$A321&gt;TODAY()),0,IF(OR(INDEX($B321:$D321,BF$5)="F",AND(BF$6&gt;0,$A321&lt;BF$6),AND(BF$7&gt;0,$A321&gt;BF$7)),0,MAX(0,ROUND((INDEX($E321:$G321,BF$5)-SUMIFS(TF_Timer,TF_Tekniker,BF$4,TF_Dato,$A321))*2,0)/2)))</f>
        <v/>
      </c>
      <c r="BG321">
        <f>IF(OR(BG$4="",$A321&gt;TODAY()),0,IF(OR(INDEX($B321:$D321,BG$5)="F",AND(BG$6&gt;0,$A321&lt;BG$6),AND(BG$7&gt;0,$A321&gt;BG$7)),0,MAX(0,ROUND((INDEX($E321:$G321,BG$5)-SUMIFS(TF_Timer,TF_Tekniker,BG$4,TF_Dato,$A321))*2,0)/2)))</f>
        <v/>
      </c>
      <c r="BH321">
        <f>IF(OR(BH$4="",$A321&gt;TODAY()),0,IF(OR(INDEX($B321:$D321,BH$5)="F",AND(BH$6&gt;0,$A321&lt;BH$6),AND(BH$7&gt;0,$A321&gt;BH$7)),0,MAX(0,ROUND((INDEX($E321:$G321,BH$5)-SUMIFS(TF_Timer,TF_Tekniker,BH$4,TF_Dato,$A321))*2,0)/2)))</f>
        <v/>
      </c>
      <c r="BI321">
        <f>IF(OR(BI$4="",$A321&gt;TODAY()),0,IF(OR(INDEX($B321:$D321,BI$5)="F",AND(BI$6&gt;0,$A321&lt;BI$6),AND(BI$7&gt;0,$A321&gt;BI$7)),0,MAX(0,ROUND((INDEX($E321:$G321,BI$5)-SUMIFS(TF_Timer,TF_Tekniker,BI$4,TF_Dato,$A321))*2,0)/2)))</f>
        <v/>
      </c>
    </row>
    <row r="322">
      <c r="A322" s="64">
        <f>A321+1</f>
        <v/>
      </c>
      <c r="B322">
        <f>IF(MOD($A322-INDEX(SkiftStart,1),Syklus)&lt;DagK,"K",IF(MOD($A322-INDEX(SkiftStart,1),Syklus)&lt;DagK+DagH,"H",IF(MOD($A322-INDEX(SkiftStart,1),Syklus)&lt;DagK+DagH+DagD,"D","F")))</f>
        <v/>
      </c>
      <c r="C322">
        <f>IF(MOD($A322-INDEX(SkiftStart,2),Syklus)&lt;DagK,"K",IF(MOD($A322-INDEX(SkiftStart,2),Syklus)&lt;DagK+DagH,"H",IF(MOD($A322-INDEX(SkiftStart,2),Syklus)&lt;DagK+DagH+DagD,"D","F")))</f>
        <v/>
      </c>
      <c r="D322">
        <f>IF(MOD($A322-INDEX(SkiftStart,3),Syklus)&lt;DagK,"K",IF(MOD($A322-INDEX(SkiftStart,3),Syklus)&lt;DagK+DagH,"H",IF(MOD($A322-INDEX(SkiftStart,3),Syklus)&lt;DagK+DagH+DagD,"D","F")))</f>
        <v/>
      </c>
      <c r="E322">
        <f>IF(B322="F",0,IF(WEEKDAY($A322,2)=5,INDEX(TimerFr,MATCH(B322,FaseKode,0)),INDEX(TimerMT,MATCH(B322,FaseKode,0))))</f>
        <v/>
      </c>
      <c r="F322">
        <f>IF(C322="F",0,IF(WEEKDAY($A322,2)=5,INDEX(TimerFr,MATCH(C322,FaseKode,0)),INDEX(TimerMT,MATCH(C322,FaseKode,0))))</f>
        <v/>
      </c>
      <c r="G322">
        <f>IF(D322="F",0,IF(WEEKDAY($A322,2)=5,INDEX(TimerFr,MATCH(D322,FaseKode,0)),INDEX(TimerMT,MATCH(D322,FaseKode,0))))</f>
        <v/>
      </c>
      <c r="H322">
        <f>IF(OR(H$4="",$A322&gt;TODAY()),0,IF(OR(INDEX($B322:$D322,H$5)="F",AND(H$6&gt;0,$A322&lt;H$6),AND(H$7&gt;0,$A322&gt;H$7)),0,MAX(0,ROUND((INDEX($E322:$G322,H$5)-SUMIFS(TF_Timer,TF_Tekniker,H$4,TF_Dato,$A322))*2,0)/2)))</f>
        <v/>
      </c>
      <c r="I322">
        <f>IF(OR(I$4="",$A322&gt;TODAY()),0,IF(OR(INDEX($B322:$D322,I$5)="F",AND(I$6&gt;0,$A322&lt;I$6),AND(I$7&gt;0,$A322&gt;I$7)),0,MAX(0,ROUND((INDEX($E322:$G322,I$5)-SUMIFS(TF_Timer,TF_Tekniker,I$4,TF_Dato,$A322))*2,0)/2)))</f>
        <v/>
      </c>
      <c r="J322">
        <f>IF(OR(J$4="",$A322&gt;TODAY()),0,IF(OR(INDEX($B322:$D322,J$5)="F",AND(J$6&gt;0,$A322&lt;J$6),AND(J$7&gt;0,$A322&gt;J$7)),0,MAX(0,ROUND((INDEX($E322:$G322,J$5)-SUMIFS(TF_Timer,TF_Tekniker,J$4,TF_Dato,$A322))*2,0)/2)))</f>
        <v/>
      </c>
      <c r="K322">
        <f>IF(OR(K$4="",$A322&gt;TODAY()),0,IF(OR(INDEX($B322:$D322,K$5)="F",AND(K$6&gt;0,$A322&lt;K$6),AND(K$7&gt;0,$A322&gt;K$7)),0,MAX(0,ROUND((INDEX($E322:$G322,K$5)-SUMIFS(TF_Timer,TF_Tekniker,K$4,TF_Dato,$A322))*2,0)/2)))</f>
        <v/>
      </c>
      <c r="L322">
        <f>IF(OR(L$4="",$A322&gt;TODAY()),0,IF(OR(INDEX($B322:$D322,L$5)="F",AND(L$6&gt;0,$A322&lt;L$6),AND(L$7&gt;0,$A322&gt;L$7)),0,MAX(0,ROUND((INDEX($E322:$G322,L$5)-SUMIFS(TF_Timer,TF_Tekniker,L$4,TF_Dato,$A322))*2,0)/2)))</f>
        <v/>
      </c>
      <c r="M322">
        <f>IF(OR(M$4="",$A322&gt;TODAY()),0,IF(OR(INDEX($B322:$D322,M$5)="F",AND(M$6&gt;0,$A322&lt;M$6),AND(M$7&gt;0,$A322&gt;M$7)),0,MAX(0,ROUND((INDEX($E322:$G322,M$5)-SUMIFS(TF_Timer,TF_Tekniker,M$4,TF_Dato,$A322))*2,0)/2)))</f>
        <v/>
      </c>
      <c r="N322">
        <f>IF(OR(N$4="",$A322&gt;TODAY()),0,IF(OR(INDEX($B322:$D322,N$5)="F",AND(N$6&gt;0,$A322&lt;N$6),AND(N$7&gt;0,$A322&gt;N$7)),0,MAX(0,ROUND((INDEX($E322:$G322,N$5)-SUMIFS(TF_Timer,TF_Tekniker,N$4,TF_Dato,$A322))*2,0)/2)))</f>
        <v/>
      </c>
      <c r="O322">
        <f>IF(OR(O$4="",$A322&gt;TODAY()),0,IF(OR(INDEX($B322:$D322,O$5)="F",AND(O$6&gt;0,$A322&lt;O$6),AND(O$7&gt;0,$A322&gt;O$7)),0,MAX(0,ROUND((INDEX($E322:$G322,O$5)-SUMIFS(TF_Timer,TF_Tekniker,O$4,TF_Dato,$A322))*2,0)/2)))</f>
        <v/>
      </c>
      <c r="P322">
        <f>IF(OR(P$4="",$A322&gt;TODAY()),0,IF(OR(INDEX($B322:$D322,P$5)="F",AND(P$6&gt;0,$A322&lt;P$6),AND(P$7&gt;0,$A322&gt;P$7)),0,MAX(0,ROUND((INDEX($E322:$G322,P$5)-SUMIFS(TF_Timer,TF_Tekniker,P$4,TF_Dato,$A322))*2,0)/2)))</f>
        <v/>
      </c>
      <c r="Q322">
        <f>IF(OR(Q$4="",$A322&gt;TODAY()),0,IF(OR(INDEX($B322:$D322,Q$5)="F",AND(Q$6&gt;0,$A322&lt;Q$6),AND(Q$7&gt;0,$A322&gt;Q$7)),0,MAX(0,ROUND((INDEX($E322:$G322,Q$5)-SUMIFS(TF_Timer,TF_Tekniker,Q$4,TF_Dato,$A322))*2,0)/2)))</f>
        <v/>
      </c>
      <c r="R322">
        <f>IF(OR(R$4="",$A322&gt;TODAY()),0,IF(OR(INDEX($B322:$D322,R$5)="F",AND(R$6&gt;0,$A322&lt;R$6),AND(R$7&gt;0,$A322&gt;R$7)),0,MAX(0,ROUND((INDEX($E322:$G322,R$5)-SUMIFS(TF_Timer,TF_Tekniker,R$4,TF_Dato,$A322))*2,0)/2)))</f>
        <v/>
      </c>
      <c r="S322">
        <f>IF(OR(S$4="",$A322&gt;TODAY()),0,IF(OR(INDEX($B322:$D322,S$5)="F",AND(S$6&gt;0,$A322&lt;S$6),AND(S$7&gt;0,$A322&gt;S$7)),0,MAX(0,ROUND((INDEX($E322:$G322,S$5)-SUMIFS(TF_Timer,TF_Tekniker,S$4,TF_Dato,$A322))*2,0)/2)))</f>
        <v/>
      </c>
      <c r="T322">
        <f>IF(OR(T$4="",$A322&gt;TODAY()),0,IF(OR(INDEX($B322:$D322,T$5)="F",AND(T$6&gt;0,$A322&lt;T$6),AND(T$7&gt;0,$A322&gt;T$7)),0,MAX(0,ROUND((INDEX($E322:$G322,T$5)-SUMIFS(TF_Timer,TF_Tekniker,T$4,TF_Dato,$A322))*2,0)/2)))</f>
        <v/>
      </c>
      <c r="U322">
        <f>IF(OR(U$4="",$A322&gt;TODAY()),0,IF(OR(INDEX($B322:$D322,U$5)="F",AND(U$6&gt;0,$A322&lt;U$6),AND(U$7&gt;0,$A322&gt;U$7)),0,MAX(0,ROUND((INDEX($E322:$G322,U$5)-SUMIFS(TF_Timer,TF_Tekniker,U$4,TF_Dato,$A322))*2,0)/2)))</f>
        <v/>
      </c>
      <c r="V322">
        <f>IF(OR(V$4="",$A322&gt;TODAY()),0,IF(OR(INDEX($B322:$D322,V$5)="F",AND(V$6&gt;0,$A322&lt;V$6),AND(V$7&gt;0,$A322&gt;V$7)),0,MAX(0,ROUND((INDEX($E322:$G322,V$5)-SUMIFS(TF_Timer,TF_Tekniker,V$4,TF_Dato,$A322))*2,0)/2)))</f>
        <v/>
      </c>
      <c r="W322">
        <f>IF(OR(W$4="",$A322&gt;TODAY()),0,IF(OR(INDEX($B322:$D322,W$5)="F",AND(W$6&gt;0,$A322&lt;W$6),AND(W$7&gt;0,$A322&gt;W$7)),0,MAX(0,ROUND((INDEX($E322:$G322,W$5)-SUMIFS(TF_Timer,TF_Tekniker,W$4,TF_Dato,$A322))*2,0)/2)))</f>
        <v/>
      </c>
      <c r="X322">
        <f>IF(OR(X$4="",$A322&gt;TODAY()),0,IF(OR(INDEX($B322:$D322,X$5)="F",AND(X$6&gt;0,$A322&lt;X$6),AND(X$7&gt;0,$A322&gt;X$7)),0,MAX(0,ROUND((INDEX($E322:$G322,X$5)-SUMIFS(TF_Timer,TF_Tekniker,X$4,TF_Dato,$A322))*2,0)/2)))</f>
        <v/>
      </c>
      <c r="Y322">
        <f>IF(OR(Y$4="",$A322&gt;TODAY()),0,IF(OR(INDEX($B322:$D322,Y$5)="F",AND(Y$6&gt;0,$A322&lt;Y$6),AND(Y$7&gt;0,$A322&gt;Y$7)),0,MAX(0,ROUND((INDEX($E322:$G322,Y$5)-SUMIFS(TF_Timer,TF_Tekniker,Y$4,TF_Dato,$A322))*2,0)/2)))</f>
        <v/>
      </c>
      <c r="Z322">
        <f>IF(OR(Z$4="",$A322&gt;TODAY()),0,IF(OR(INDEX($B322:$D322,Z$5)="F",AND(Z$6&gt;0,$A322&lt;Z$6),AND(Z$7&gt;0,$A322&gt;Z$7)),0,MAX(0,ROUND((INDEX($E322:$G322,Z$5)-SUMIFS(TF_Timer,TF_Tekniker,Z$4,TF_Dato,$A322))*2,0)/2)))</f>
        <v/>
      </c>
      <c r="AA322">
        <f>IF(OR(AA$4="",$A322&gt;TODAY()),0,IF(OR(INDEX($B322:$D322,AA$5)="F",AND(AA$6&gt;0,$A322&lt;AA$6),AND(AA$7&gt;0,$A322&gt;AA$7)),0,MAX(0,ROUND((INDEX($E322:$G322,AA$5)-SUMIFS(TF_Timer,TF_Tekniker,AA$4,TF_Dato,$A322))*2,0)/2)))</f>
        <v/>
      </c>
      <c r="AB322">
        <f>IF(OR(AB$4="",$A322&gt;TODAY()),0,IF(OR(INDEX($B322:$D322,AB$5)="F",AND(AB$6&gt;0,$A322&lt;AB$6),AND(AB$7&gt;0,$A322&gt;AB$7)),0,MAX(0,ROUND((INDEX($E322:$G322,AB$5)-SUMIFS(TF_Timer,TF_Tekniker,AB$4,TF_Dato,$A322))*2,0)/2)))</f>
        <v/>
      </c>
      <c r="AC322">
        <f>IF(OR(AC$4="",$A322&gt;TODAY()),0,IF(OR(INDEX($B322:$D322,AC$5)="F",AND(AC$6&gt;0,$A322&lt;AC$6),AND(AC$7&gt;0,$A322&gt;AC$7)),0,MAX(0,ROUND((INDEX($E322:$G322,AC$5)-SUMIFS(TF_Timer,TF_Tekniker,AC$4,TF_Dato,$A322))*2,0)/2)))</f>
        <v/>
      </c>
      <c r="AD322">
        <f>IF(OR(AD$4="",$A322&gt;TODAY()),0,IF(OR(INDEX($B322:$D322,AD$5)="F",AND(AD$6&gt;0,$A322&lt;AD$6),AND(AD$7&gt;0,$A322&gt;AD$7)),0,MAX(0,ROUND((INDEX($E322:$G322,AD$5)-SUMIFS(TF_Timer,TF_Tekniker,AD$4,TF_Dato,$A322))*2,0)/2)))</f>
        <v/>
      </c>
      <c r="AE322">
        <f>IF(OR(AE$4="",$A322&gt;TODAY()),0,IF(OR(INDEX($B322:$D322,AE$5)="F",AND(AE$6&gt;0,$A322&lt;AE$6),AND(AE$7&gt;0,$A322&gt;AE$7)),0,MAX(0,ROUND((INDEX($E322:$G322,AE$5)-SUMIFS(TF_Timer,TF_Tekniker,AE$4,TF_Dato,$A322))*2,0)/2)))</f>
        <v/>
      </c>
      <c r="AF322">
        <f>IF(OR(AF$4="",$A322&gt;TODAY()),0,IF(OR(INDEX($B322:$D322,AF$5)="F",AND(AF$6&gt;0,$A322&lt;AF$6),AND(AF$7&gt;0,$A322&gt;AF$7)),0,MAX(0,ROUND((INDEX($E322:$G322,AF$5)-SUMIFS(TF_Timer,TF_Tekniker,AF$4,TF_Dato,$A322))*2,0)/2)))</f>
        <v/>
      </c>
      <c r="AG322">
        <f>IF(OR(AG$4="",$A322&gt;TODAY()),0,IF(OR(INDEX($B322:$D322,AG$5)="F",AND(AG$6&gt;0,$A322&lt;AG$6),AND(AG$7&gt;0,$A322&gt;AG$7)),0,MAX(0,ROUND((INDEX($E322:$G322,AG$5)-SUMIFS(TF_Timer,TF_Tekniker,AG$4,TF_Dato,$A322))*2,0)/2)))</f>
        <v/>
      </c>
      <c r="AH322">
        <f>IF(OR(AH$4="",$A322&gt;TODAY()),0,IF(OR(INDEX($B322:$D322,AH$5)="F",AND(AH$6&gt;0,$A322&lt;AH$6),AND(AH$7&gt;0,$A322&gt;AH$7)),0,MAX(0,ROUND((INDEX($E322:$G322,AH$5)-SUMIFS(TF_Timer,TF_Tekniker,AH$4,TF_Dato,$A322))*2,0)/2)))</f>
        <v/>
      </c>
      <c r="AI322">
        <f>IF(OR(AI$4="",$A322&gt;TODAY()),0,IF(OR(INDEX($B322:$D322,AI$5)="F",AND(AI$6&gt;0,$A322&lt;AI$6),AND(AI$7&gt;0,$A322&gt;AI$7)),0,MAX(0,ROUND((INDEX($E322:$G322,AI$5)-SUMIFS(TF_Timer,TF_Tekniker,AI$4,TF_Dato,$A322))*2,0)/2)))</f>
        <v/>
      </c>
      <c r="AJ322">
        <f>IF(OR(AJ$4="",$A322&gt;TODAY()),0,IF(OR(INDEX($B322:$D322,AJ$5)="F",AND(AJ$6&gt;0,$A322&lt;AJ$6),AND(AJ$7&gt;0,$A322&gt;AJ$7)),0,MAX(0,ROUND((INDEX($E322:$G322,AJ$5)-SUMIFS(TF_Timer,TF_Tekniker,AJ$4,TF_Dato,$A322))*2,0)/2)))</f>
        <v/>
      </c>
      <c r="AK322">
        <f>IF(OR(AK$4="",$A322&gt;TODAY()),0,IF(OR(INDEX($B322:$D322,AK$5)="F",AND(AK$6&gt;0,$A322&lt;AK$6),AND(AK$7&gt;0,$A322&gt;AK$7)),0,MAX(0,ROUND((INDEX($E322:$G322,AK$5)-SUMIFS(TF_Timer,TF_Tekniker,AK$4,TF_Dato,$A322))*2,0)/2)))</f>
        <v/>
      </c>
      <c r="AL322">
        <f>IF(OR(AL$4="",$A322&gt;TODAY()),0,IF(OR(INDEX($B322:$D322,AL$5)="F",AND(AL$6&gt;0,$A322&lt;AL$6),AND(AL$7&gt;0,$A322&gt;AL$7)),0,MAX(0,ROUND((INDEX($E322:$G322,AL$5)-SUMIFS(TF_Timer,TF_Tekniker,AL$4,TF_Dato,$A322))*2,0)/2)))</f>
        <v/>
      </c>
      <c r="AM322">
        <f>IF(OR(AM$4="",$A322&gt;TODAY()),0,IF(OR(INDEX($B322:$D322,AM$5)="F",AND(AM$6&gt;0,$A322&lt;AM$6),AND(AM$7&gt;0,$A322&gt;AM$7)),0,MAX(0,ROUND((INDEX($E322:$G322,AM$5)-SUMIFS(TF_Timer,TF_Tekniker,AM$4,TF_Dato,$A322))*2,0)/2)))</f>
        <v/>
      </c>
      <c r="AN322">
        <f>IF(OR(AN$4="",$A322&gt;TODAY()),0,IF(OR(INDEX($B322:$D322,AN$5)="F",AND(AN$6&gt;0,$A322&lt;AN$6),AND(AN$7&gt;0,$A322&gt;AN$7)),0,MAX(0,ROUND((INDEX($E322:$G322,AN$5)-SUMIFS(TF_Timer,TF_Tekniker,AN$4,TF_Dato,$A322))*2,0)/2)))</f>
        <v/>
      </c>
      <c r="AO322">
        <f>IF(OR(AO$4="",$A322&gt;TODAY()),0,IF(OR(INDEX($B322:$D322,AO$5)="F",AND(AO$6&gt;0,$A322&lt;AO$6),AND(AO$7&gt;0,$A322&gt;AO$7)),0,MAX(0,ROUND((INDEX($E322:$G322,AO$5)-SUMIFS(TF_Timer,TF_Tekniker,AO$4,TF_Dato,$A322))*2,0)/2)))</f>
        <v/>
      </c>
      <c r="AP322">
        <f>IF(OR(AP$4="",$A322&gt;TODAY()),0,IF(OR(INDEX($B322:$D322,AP$5)="F",AND(AP$6&gt;0,$A322&lt;AP$6),AND(AP$7&gt;0,$A322&gt;AP$7)),0,MAX(0,ROUND((INDEX($E322:$G322,AP$5)-SUMIFS(TF_Timer,TF_Tekniker,AP$4,TF_Dato,$A322))*2,0)/2)))</f>
        <v/>
      </c>
      <c r="AQ322">
        <f>IF(OR(AQ$4="",$A322&gt;TODAY()),0,IF(OR(INDEX($B322:$D322,AQ$5)="F",AND(AQ$6&gt;0,$A322&lt;AQ$6),AND(AQ$7&gt;0,$A322&gt;AQ$7)),0,MAX(0,ROUND((INDEX($E322:$G322,AQ$5)-SUMIFS(TF_Timer,TF_Tekniker,AQ$4,TF_Dato,$A322))*2,0)/2)))</f>
        <v/>
      </c>
      <c r="AR322">
        <f>IF(OR(AR$4="",$A322&gt;TODAY()),0,IF(OR(INDEX($B322:$D322,AR$5)="F",AND(AR$6&gt;0,$A322&lt;AR$6),AND(AR$7&gt;0,$A322&gt;AR$7)),0,MAX(0,ROUND((INDEX($E322:$G322,AR$5)-SUMIFS(TF_Timer,TF_Tekniker,AR$4,TF_Dato,$A322))*2,0)/2)))</f>
        <v/>
      </c>
      <c r="AS322">
        <f>IF(OR(AS$4="",$A322&gt;TODAY()),0,IF(OR(INDEX($B322:$D322,AS$5)="F",AND(AS$6&gt;0,$A322&lt;AS$6),AND(AS$7&gt;0,$A322&gt;AS$7)),0,MAX(0,ROUND((INDEX($E322:$G322,AS$5)-SUMIFS(TF_Timer,TF_Tekniker,AS$4,TF_Dato,$A322))*2,0)/2)))</f>
        <v/>
      </c>
      <c r="AT322">
        <f>IF(OR(AT$4="",$A322&gt;TODAY()),0,IF(OR(INDEX($B322:$D322,AT$5)="F",AND(AT$6&gt;0,$A322&lt;AT$6),AND(AT$7&gt;0,$A322&gt;AT$7)),0,MAX(0,ROUND((INDEX($E322:$G322,AT$5)-SUMIFS(TF_Timer,TF_Tekniker,AT$4,TF_Dato,$A322))*2,0)/2)))</f>
        <v/>
      </c>
      <c r="AU322">
        <f>IF(OR(AU$4="",$A322&gt;TODAY()),0,IF(OR(INDEX($B322:$D322,AU$5)="F",AND(AU$6&gt;0,$A322&lt;AU$6),AND(AU$7&gt;0,$A322&gt;AU$7)),0,MAX(0,ROUND((INDEX($E322:$G322,AU$5)-SUMIFS(TF_Timer,TF_Tekniker,AU$4,TF_Dato,$A322))*2,0)/2)))</f>
        <v/>
      </c>
      <c r="AV322">
        <f>IF(OR(AV$4="",$A322&gt;TODAY()),0,IF(OR(INDEX($B322:$D322,AV$5)="F",AND(AV$6&gt;0,$A322&lt;AV$6),AND(AV$7&gt;0,$A322&gt;AV$7)),0,MAX(0,ROUND((INDEX($E322:$G322,AV$5)-SUMIFS(TF_Timer,TF_Tekniker,AV$4,TF_Dato,$A322))*2,0)/2)))</f>
        <v/>
      </c>
      <c r="AW322">
        <f>IF(OR(AW$4="",$A322&gt;TODAY()),0,IF(OR(INDEX($B322:$D322,AW$5)="F",AND(AW$6&gt;0,$A322&lt;AW$6),AND(AW$7&gt;0,$A322&gt;AW$7)),0,MAX(0,ROUND((INDEX($E322:$G322,AW$5)-SUMIFS(TF_Timer,TF_Tekniker,AW$4,TF_Dato,$A322))*2,0)/2)))</f>
        <v/>
      </c>
      <c r="AX322">
        <f>IF(OR(AX$4="",$A322&gt;TODAY()),0,IF(OR(INDEX($B322:$D322,AX$5)="F",AND(AX$6&gt;0,$A322&lt;AX$6),AND(AX$7&gt;0,$A322&gt;AX$7)),0,MAX(0,ROUND((INDEX($E322:$G322,AX$5)-SUMIFS(TF_Timer,TF_Tekniker,AX$4,TF_Dato,$A322))*2,0)/2)))</f>
        <v/>
      </c>
      <c r="AY322">
        <f>IF(OR(AY$4="",$A322&gt;TODAY()),0,IF(OR(INDEX($B322:$D322,AY$5)="F",AND(AY$6&gt;0,$A322&lt;AY$6),AND(AY$7&gt;0,$A322&gt;AY$7)),0,MAX(0,ROUND((INDEX($E322:$G322,AY$5)-SUMIFS(TF_Timer,TF_Tekniker,AY$4,TF_Dato,$A322))*2,0)/2)))</f>
        <v/>
      </c>
      <c r="AZ322">
        <f>IF(OR(AZ$4="",$A322&gt;TODAY()),0,IF(OR(INDEX($B322:$D322,AZ$5)="F",AND(AZ$6&gt;0,$A322&lt;AZ$6),AND(AZ$7&gt;0,$A322&gt;AZ$7)),0,MAX(0,ROUND((INDEX($E322:$G322,AZ$5)-SUMIFS(TF_Timer,TF_Tekniker,AZ$4,TF_Dato,$A322))*2,0)/2)))</f>
        <v/>
      </c>
      <c r="BA322">
        <f>IF(OR(BA$4="",$A322&gt;TODAY()),0,IF(OR(INDEX($B322:$D322,BA$5)="F",AND(BA$6&gt;0,$A322&lt;BA$6),AND(BA$7&gt;0,$A322&gt;BA$7)),0,MAX(0,ROUND((INDEX($E322:$G322,BA$5)-SUMIFS(TF_Timer,TF_Tekniker,BA$4,TF_Dato,$A322))*2,0)/2)))</f>
        <v/>
      </c>
      <c r="BB322">
        <f>IF(OR(BB$4="",$A322&gt;TODAY()),0,IF(OR(INDEX($B322:$D322,BB$5)="F",AND(BB$6&gt;0,$A322&lt;BB$6),AND(BB$7&gt;0,$A322&gt;BB$7)),0,MAX(0,ROUND((INDEX($E322:$G322,BB$5)-SUMIFS(TF_Timer,TF_Tekniker,BB$4,TF_Dato,$A322))*2,0)/2)))</f>
        <v/>
      </c>
      <c r="BC322">
        <f>IF(OR(BC$4="",$A322&gt;TODAY()),0,IF(OR(INDEX($B322:$D322,BC$5)="F",AND(BC$6&gt;0,$A322&lt;BC$6),AND(BC$7&gt;0,$A322&gt;BC$7)),0,MAX(0,ROUND((INDEX($E322:$G322,BC$5)-SUMIFS(TF_Timer,TF_Tekniker,BC$4,TF_Dato,$A322))*2,0)/2)))</f>
        <v/>
      </c>
      <c r="BD322">
        <f>IF(OR(BD$4="",$A322&gt;TODAY()),0,IF(OR(INDEX($B322:$D322,BD$5)="F",AND(BD$6&gt;0,$A322&lt;BD$6),AND(BD$7&gt;0,$A322&gt;BD$7)),0,MAX(0,ROUND((INDEX($E322:$G322,BD$5)-SUMIFS(TF_Timer,TF_Tekniker,BD$4,TF_Dato,$A322))*2,0)/2)))</f>
        <v/>
      </c>
      <c r="BE322">
        <f>IF(OR(BE$4="",$A322&gt;TODAY()),0,IF(OR(INDEX($B322:$D322,BE$5)="F",AND(BE$6&gt;0,$A322&lt;BE$6),AND(BE$7&gt;0,$A322&gt;BE$7)),0,MAX(0,ROUND((INDEX($E322:$G322,BE$5)-SUMIFS(TF_Timer,TF_Tekniker,BE$4,TF_Dato,$A322))*2,0)/2)))</f>
        <v/>
      </c>
      <c r="BF322">
        <f>IF(OR(BF$4="",$A322&gt;TODAY()),0,IF(OR(INDEX($B322:$D322,BF$5)="F",AND(BF$6&gt;0,$A322&lt;BF$6),AND(BF$7&gt;0,$A322&gt;BF$7)),0,MAX(0,ROUND((INDEX($E322:$G322,BF$5)-SUMIFS(TF_Timer,TF_Tekniker,BF$4,TF_Dato,$A322))*2,0)/2)))</f>
        <v/>
      </c>
      <c r="BG322">
        <f>IF(OR(BG$4="",$A322&gt;TODAY()),0,IF(OR(INDEX($B322:$D322,BG$5)="F",AND(BG$6&gt;0,$A322&lt;BG$6),AND(BG$7&gt;0,$A322&gt;BG$7)),0,MAX(0,ROUND((INDEX($E322:$G322,BG$5)-SUMIFS(TF_Timer,TF_Tekniker,BG$4,TF_Dato,$A322))*2,0)/2)))</f>
        <v/>
      </c>
      <c r="BH322">
        <f>IF(OR(BH$4="",$A322&gt;TODAY()),0,IF(OR(INDEX($B322:$D322,BH$5)="F",AND(BH$6&gt;0,$A322&lt;BH$6),AND(BH$7&gt;0,$A322&gt;BH$7)),0,MAX(0,ROUND((INDEX($E322:$G322,BH$5)-SUMIFS(TF_Timer,TF_Tekniker,BH$4,TF_Dato,$A322))*2,0)/2)))</f>
        <v/>
      </c>
      <c r="BI322">
        <f>IF(OR(BI$4="",$A322&gt;TODAY()),0,IF(OR(INDEX($B322:$D322,BI$5)="F",AND(BI$6&gt;0,$A322&lt;BI$6),AND(BI$7&gt;0,$A322&gt;BI$7)),0,MAX(0,ROUND((INDEX($E322:$G322,BI$5)-SUMIFS(TF_Timer,TF_Tekniker,BI$4,TF_Dato,$A322))*2,0)/2)))</f>
        <v/>
      </c>
    </row>
    <row r="323">
      <c r="A323" s="64">
        <f>A322+1</f>
        <v/>
      </c>
      <c r="B323">
        <f>IF(MOD($A323-INDEX(SkiftStart,1),Syklus)&lt;DagK,"K",IF(MOD($A323-INDEX(SkiftStart,1),Syklus)&lt;DagK+DagH,"H",IF(MOD($A323-INDEX(SkiftStart,1),Syklus)&lt;DagK+DagH+DagD,"D","F")))</f>
        <v/>
      </c>
      <c r="C323">
        <f>IF(MOD($A323-INDEX(SkiftStart,2),Syklus)&lt;DagK,"K",IF(MOD($A323-INDEX(SkiftStart,2),Syklus)&lt;DagK+DagH,"H",IF(MOD($A323-INDEX(SkiftStart,2),Syklus)&lt;DagK+DagH+DagD,"D","F")))</f>
        <v/>
      </c>
      <c r="D323">
        <f>IF(MOD($A323-INDEX(SkiftStart,3),Syklus)&lt;DagK,"K",IF(MOD($A323-INDEX(SkiftStart,3),Syklus)&lt;DagK+DagH,"H",IF(MOD($A323-INDEX(SkiftStart,3),Syklus)&lt;DagK+DagH+DagD,"D","F")))</f>
        <v/>
      </c>
      <c r="E323">
        <f>IF(B323="F",0,IF(WEEKDAY($A323,2)=5,INDEX(TimerFr,MATCH(B323,FaseKode,0)),INDEX(TimerMT,MATCH(B323,FaseKode,0))))</f>
        <v/>
      </c>
      <c r="F323">
        <f>IF(C323="F",0,IF(WEEKDAY($A323,2)=5,INDEX(TimerFr,MATCH(C323,FaseKode,0)),INDEX(TimerMT,MATCH(C323,FaseKode,0))))</f>
        <v/>
      </c>
      <c r="G323">
        <f>IF(D323="F",0,IF(WEEKDAY($A323,2)=5,INDEX(TimerFr,MATCH(D323,FaseKode,0)),INDEX(TimerMT,MATCH(D323,FaseKode,0))))</f>
        <v/>
      </c>
      <c r="H323">
        <f>IF(OR(H$4="",$A323&gt;TODAY()),0,IF(OR(INDEX($B323:$D323,H$5)="F",AND(H$6&gt;0,$A323&lt;H$6),AND(H$7&gt;0,$A323&gt;H$7)),0,MAX(0,ROUND((INDEX($E323:$G323,H$5)-SUMIFS(TF_Timer,TF_Tekniker,H$4,TF_Dato,$A323))*2,0)/2)))</f>
        <v/>
      </c>
      <c r="I323">
        <f>IF(OR(I$4="",$A323&gt;TODAY()),0,IF(OR(INDEX($B323:$D323,I$5)="F",AND(I$6&gt;0,$A323&lt;I$6),AND(I$7&gt;0,$A323&gt;I$7)),0,MAX(0,ROUND((INDEX($E323:$G323,I$5)-SUMIFS(TF_Timer,TF_Tekniker,I$4,TF_Dato,$A323))*2,0)/2)))</f>
        <v/>
      </c>
      <c r="J323">
        <f>IF(OR(J$4="",$A323&gt;TODAY()),0,IF(OR(INDEX($B323:$D323,J$5)="F",AND(J$6&gt;0,$A323&lt;J$6),AND(J$7&gt;0,$A323&gt;J$7)),0,MAX(0,ROUND((INDEX($E323:$G323,J$5)-SUMIFS(TF_Timer,TF_Tekniker,J$4,TF_Dato,$A323))*2,0)/2)))</f>
        <v/>
      </c>
      <c r="K323">
        <f>IF(OR(K$4="",$A323&gt;TODAY()),0,IF(OR(INDEX($B323:$D323,K$5)="F",AND(K$6&gt;0,$A323&lt;K$6),AND(K$7&gt;0,$A323&gt;K$7)),0,MAX(0,ROUND((INDEX($E323:$G323,K$5)-SUMIFS(TF_Timer,TF_Tekniker,K$4,TF_Dato,$A323))*2,0)/2)))</f>
        <v/>
      </c>
      <c r="L323">
        <f>IF(OR(L$4="",$A323&gt;TODAY()),0,IF(OR(INDEX($B323:$D323,L$5)="F",AND(L$6&gt;0,$A323&lt;L$6),AND(L$7&gt;0,$A323&gt;L$7)),0,MAX(0,ROUND((INDEX($E323:$G323,L$5)-SUMIFS(TF_Timer,TF_Tekniker,L$4,TF_Dato,$A323))*2,0)/2)))</f>
        <v/>
      </c>
      <c r="M323">
        <f>IF(OR(M$4="",$A323&gt;TODAY()),0,IF(OR(INDEX($B323:$D323,M$5)="F",AND(M$6&gt;0,$A323&lt;M$6),AND(M$7&gt;0,$A323&gt;M$7)),0,MAX(0,ROUND((INDEX($E323:$G323,M$5)-SUMIFS(TF_Timer,TF_Tekniker,M$4,TF_Dato,$A323))*2,0)/2)))</f>
        <v/>
      </c>
      <c r="N323">
        <f>IF(OR(N$4="",$A323&gt;TODAY()),0,IF(OR(INDEX($B323:$D323,N$5)="F",AND(N$6&gt;0,$A323&lt;N$6),AND(N$7&gt;0,$A323&gt;N$7)),0,MAX(0,ROUND((INDEX($E323:$G323,N$5)-SUMIFS(TF_Timer,TF_Tekniker,N$4,TF_Dato,$A323))*2,0)/2)))</f>
        <v/>
      </c>
      <c r="O323">
        <f>IF(OR(O$4="",$A323&gt;TODAY()),0,IF(OR(INDEX($B323:$D323,O$5)="F",AND(O$6&gt;0,$A323&lt;O$6),AND(O$7&gt;0,$A323&gt;O$7)),0,MAX(0,ROUND((INDEX($E323:$G323,O$5)-SUMIFS(TF_Timer,TF_Tekniker,O$4,TF_Dato,$A323))*2,0)/2)))</f>
        <v/>
      </c>
      <c r="P323">
        <f>IF(OR(P$4="",$A323&gt;TODAY()),0,IF(OR(INDEX($B323:$D323,P$5)="F",AND(P$6&gt;0,$A323&lt;P$6),AND(P$7&gt;0,$A323&gt;P$7)),0,MAX(0,ROUND((INDEX($E323:$G323,P$5)-SUMIFS(TF_Timer,TF_Tekniker,P$4,TF_Dato,$A323))*2,0)/2)))</f>
        <v/>
      </c>
      <c r="Q323">
        <f>IF(OR(Q$4="",$A323&gt;TODAY()),0,IF(OR(INDEX($B323:$D323,Q$5)="F",AND(Q$6&gt;0,$A323&lt;Q$6),AND(Q$7&gt;0,$A323&gt;Q$7)),0,MAX(0,ROUND((INDEX($E323:$G323,Q$5)-SUMIFS(TF_Timer,TF_Tekniker,Q$4,TF_Dato,$A323))*2,0)/2)))</f>
        <v/>
      </c>
      <c r="R323">
        <f>IF(OR(R$4="",$A323&gt;TODAY()),0,IF(OR(INDEX($B323:$D323,R$5)="F",AND(R$6&gt;0,$A323&lt;R$6),AND(R$7&gt;0,$A323&gt;R$7)),0,MAX(0,ROUND((INDEX($E323:$G323,R$5)-SUMIFS(TF_Timer,TF_Tekniker,R$4,TF_Dato,$A323))*2,0)/2)))</f>
        <v/>
      </c>
      <c r="S323">
        <f>IF(OR(S$4="",$A323&gt;TODAY()),0,IF(OR(INDEX($B323:$D323,S$5)="F",AND(S$6&gt;0,$A323&lt;S$6),AND(S$7&gt;0,$A323&gt;S$7)),0,MAX(0,ROUND((INDEX($E323:$G323,S$5)-SUMIFS(TF_Timer,TF_Tekniker,S$4,TF_Dato,$A323))*2,0)/2)))</f>
        <v/>
      </c>
      <c r="T323">
        <f>IF(OR(T$4="",$A323&gt;TODAY()),0,IF(OR(INDEX($B323:$D323,T$5)="F",AND(T$6&gt;0,$A323&lt;T$6),AND(T$7&gt;0,$A323&gt;T$7)),0,MAX(0,ROUND((INDEX($E323:$G323,T$5)-SUMIFS(TF_Timer,TF_Tekniker,T$4,TF_Dato,$A323))*2,0)/2)))</f>
        <v/>
      </c>
      <c r="U323">
        <f>IF(OR(U$4="",$A323&gt;TODAY()),0,IF(OR(INDEX($B323:$D323,U$5)="F",AND(U$6&gt;0,$A323&lt;U$6),AND(U$7&gt;0,$A323&gt;U$7)),0,MAX(0,ROUND((INDEX($E323:$G323,U$5)-SUMIFS(TF_Timer,TF_Tekniker,U$4,TF_Dato,$A323))*2,0)/2)))</f>
        <v/>
      </c>
      <c r="V323">
        <f>IF(OR(V$4="",$A323&gt;TODAY()),0,IF(OR(INDEX($B323:$D323,V$5)="F",AND(V$6&gt;0,$A323&lt;V$6),AND(V$7&gt;0,$A323&gt;V$7)),0,MAX(0,ROUND((INDEX($E323:$G323,V$5)-SUMIFS(TF_Timer,TF_Tekniker,V$4,TF_Dato,$A323))*2,0)/2)))</f>
        <v/>
      </c>
      <c r="W323">
        <f>IF(OR(W$4="",$A323&gt;TODAY()),0,IF(OR(INDEX($B323:$D323,W$5)="F",AND(W$6&gt;0,$A323&lt;W$6),AND(W$7&gt;0,$A323&gt;W$7)),0,MAX(0,ROUND((INDEX($E323:$G323,W$5)-SUMIFS(TF_Timer,TF_Tekniker,W$4,TF_Dato,$A323))*2,0)/2)))</f>
        <v/>
      </c>
      <c r="X323">
        <f>IF(OR(X$4="",$A323&gt;TODAY()),0,IF(OR(INDEX($B323:$D323,X$5)="F",AND(X$6&gt;0,$A323&lt;X$6),AND(X$7&gt;0,$A323&gt;X$7)),0,MAX(0,ROUND((INDEX($E323:$G323,X$5)-SUMIFS(TF_Timer,TF_Tekniker,X$4,TF_Dato,$A323))*2,0)/2)))</f>
        <v/>
      </c>
      <c r="Y323">
        <f>IF(OR(Y$4="",$A323&gt;TODAY()),0,IF(OR(INDEX($B323:$D323,Y$5)="F",AND(Y$6&gt;0,$A323&lt;Y$6),AND(Y$7&gt;0,$A323&gt;Y$7)),0,MAX(0,ROUND((INDEX($E323:$G323,Y$5)-SUMIFS(TF_Timer,TF_Tekniker,Y$4,TF_Dato,$A323))*2,0)/2)))</f>
        <v/>
      </c>
      <c r="Z323">
        <f>IF(OR(Z$4="",$A323&gt;TODAY()),0,IF(OR(INDEX($B323:$D323,Z$5)="F",AND(Z$6&gt;0,$A323&lt;Z$6),AND(Z$7&gt;0,$A323&gt;Z$7)),0,MAX(0,ROUND((INDEX($E323:$G323,Z$5)-SUMIFS(TF_Timer,TF_Tekniker,Z$4,TF_Dato,$A323))*2,0)/2)))</f>
        <v/>
      </c>
      <c r="AA323">
        <f>IF(OR(AA$4="",$A323&gt;TODAY()),0,IF(OR(INDEX($B323:$D323,AA$5)="F",AND(AA$6&gt;0,$A323&lt;AA$6),AND(AA$7&gt;0,$A323&gt;AA$7)),0,MAX(0,ROUND((INDEX($E323:$G323,AA$5)-SUMIFS(TF_Timer,TF_Tekniker,AA$4,TF_Dato,$A323))*2,0)/2)))</f>
        <v/>
      </c>
      <c r="AB323">
        <f>IF(OR(AB$4="",$A323&gt;TODAY()),0,IF(OR(INDEX($B323:$D323,AB$5)="F",AND(AB$6&gt;0,$A323&lt;AB$6),AND(AB$7&gt;0,$A323&gt;AB$7)),0,MAX(0,ROUND((INDEX($E323:$G323,AB$5)-SUMIFS(TF_Timer,TF_Tekniker,AB$4,TF_Dato,$A323))*2,0)/2)))</f>
        <v/>
      </c>
      <c r="AC323">
        <f>IF(OR(AC$4="",$A323&gt;TODAY()),0,IF(OR(INDEX($B323:$D323,AC$5)="F",AND(AC$6&gt;0,$A323&lt;AC$6),AND(AC$7&gt;0,$A323&gt;AC$7)),0,MAX(0,ROUND((INDEX($E323:$G323,AC$5)-SUMIFS(TF_Timer,TF_Tekniker,AC$4,TF_Dato,$A323))*2,0)/2)))</f>
        <v/>
      </c>
      <c r="AD323">
        <f>IF(OR(AD$4="",$A323&gt;TODAY()),0,IF(OR(INDEX($B323:$D323,AD$5)="F",AND(AD$6&gt;0,$A323&lt;AD$6),AND(AD$7&gt;0,$A323&gt;AD$7)),0,MAX(0,ROUND((INDEX($E323:$G323,AD$5)-SUMIFS(TF_Timer,TF_Tekniker,AD$4,TF_Dato,$A323))*2,0)/2)))</f>
        <v/>
      </c>
      <c r="AE323">
        <f>IF(OR(AE$4="",$A323&gt;TODAY()),0,IF(OR(INDEX($B323:$D323,AE$5)="F",AND(AE$6&gt;0,$A323&lt;AE$6),AND(AE$7&gt;0,$A323&gt;AE$7)),0,MAX(0,ROUND((INDEX($E323:$G323,AE$5)-SUMIFS(TF_Timer,TF_Tekniker,AE$4,TF_Dato,$A323))*2,0)/2)))</f>
        <v/>
      </c>
      <c r="AF323">
        <f>IF(OR(AF$4="",$A323&gt;TODAY()),0,IF(OR(INDEX($B323:$D323,AF$5)="F",AND(AF$6&gt;0,$A323&lt;AF$6),AND(AF$7&gt;0,$A323&gt;AF$7)),0,MAX(0,ROUND((INDEX($E323:$G323,AF$5)-SUMIFS(TF_Timer,TF_Tekniker,AF$4,TF_Dato,$A323))*2,0)/2)))</f>
        <v/>
      </c>
      <c r="AG323">
        <f>IF(OR(AG$4="",$A323&gt;TODAY()),0,IF(OR(INDEX($B323:$D323,AG$5)="F",AND(AG$6&gt;0,$A323&lt;AG$6),AND(AG$7&gt;0,$A323&gt;AG$7)),0,MAX(0,ROUND((INDEX($E323:$G323,AG$5)-SUMIFS(TF_Timer,TF_Tekniker,AG$4,TF_Dato,$A323))*2,0)/2)))</f>
        <v/>
      </c>
      <c r="AH323">
        <f>IF(OR(AH$4="",$A323&gt;TODAY()),0,IF(OR(INDEX($B323:$D323,AH$5)="F",AND(AH$6&gt;0,$A323&lt;AH$6),AND(AH$7&gt;0,$A323&gt;AH$7)),0,MAX(0,ROUND((INDEX($E323:$G323,AH$5)-SUMIFS(TF_Timer,TF_Tekniker,AH$4,TF_Dato,$A323))*2,0)/2)))</f>
        <v/>
      </c>
      <c r="AI323">
        <f>IF(OR(AI$4="",$A323&gt;TODAY()),0,IF(OR(INDEX($B323:$D323,AI$5)="F",AND(AI$6&gt;0,$A323&lt;AI$6),AND(AI$7&gt;0,$A323&gt;AI$7)),0,MAX(0,ROUND((INDEX($E323:$G323,AI$5)-SUMIFS(TF_Timer,TF_Tekniker,AI$4,TF_Dato,$A323))*2,0)/2)))</f>
        <v/>
      </c>
      <c r="AJ323">
        <f>IF(OR(AJ$4="",$A323&gt;TODAY()),0,IF(OR(INDEX($B323:$D323,AJ$5)="F",AND(AJ$6&gt;0,$A323&lt;AJ$6),AND(AJ$7&gt;0,$A323&gt;AJ$7)),0,MAX(0,ROUND((INDEX($E323:$G323,AJ$5)-SUMIFS(TF_Timer,TF_Tekniker,AJ$4,TF_Dato,$A323))*2,0)/2)))</f>
        <v/>
      </c>
      <c r="AK323">
        <f>IF(OR(AK$4="",$A323&gt;TODAY()),0,IF(OR(INDEX($B323:$D323,AK$5)="F",AND(AK$6&gt;0,$A323&lt;AK$6),AND(AK$7&gt;0,$A323&gt;AK$7)),0,MAX(0,ROUND((INDEX($E323:$G323,AK$5)-SUMIFS(TF_Timer,TF_Tekniker,AK$4,TF_Dato,$A323))*2,0)/2)))</f>
        <v/>
      </c>
      <c r="AL323">
        <f>IF(OR(AL$4="",$A323&gt;TODAY()),0,IF(OR(INDEX($B323:$D323,AL$5)="F",AND(AL$6&gt;0,$A323&lt;AL$6),AND(AL$7&gt;0,$A323&gt;AL$7)),0,MAX(0,ROUND((INDEX($E323:$G323,AL$5)-SUMIFS(TF_Timer,TF_Tekniker,AL$4,TF_Dato,$A323))*2,0)/2)))</f>
        <v/>
      </c>
      <c r="AM323">
        <f>IF(OR(AM$4="",$A323&gt;TODAY()),0,IF(OR(INDEX($B323:$D323,AM$5)="F",AND(AM$6&gt;0,$A323&lt;AM$6),AND(AM$7&gt;0,$A323&gt;AM$7)),0,MAX(0,ROUND((INDEX($E323:$G323,AM$5)-SUMIFS(TF_Timer,TF_Tekniker,AM$4,TF_Dato,$A323))*2,0)/2)))</f>
        <v/>
      </c>
      <c r="AN323">
        <f>IF(OR(AN$4="",$A323&gt;TODAY()),0,IF(OR(INDEX($B323:$D323,AN$5)="F",AND(AN$6&gt;0,$A323&lt;AN$6),AND(AN$7&gt;0,$A323&gt;AN$7)),0,MAX(0,ROUND((INDEX($E323:$G323,AN$5)-SUMIFS(TF_Timer,TF_Tekniker,AN$4,TF_Dato,$A323))*2,0)/2)))</f>
        <v/>
      </c>
      <c r="AO323">
        <f>IF(OR(AO$4="",$A323&gt;TODAY()),0,IF(OR(INDEX($B323:$D323,AO$5)="F",AND(AO$6&gt;0,$A323&lt;AO$6),AND(AO$7&gt;0,$A323&gt;AO$7)),0,MAX(0,ROUND((INDEX($E323:$G323,AO$5)-SUMIFS(TF_Timer,TF_Tekniker,AO$4,TF_Dato,$A323))*2,0)/2)))</f>
        <v/>
      </c>
      <c r="AP323">
        <f>IF(OR(AP$4="",$A323&gt;TODAY()),0,IF(OR(INDEX($B323:$D323,AP$5)="F",AND(AP$6&gt;0,$A323&lt;AP$6),AND(AP$7&gt;0,$A323&gt;AP$7)),0,MAX(0,ROUND((INDEX($E323:$G323,AP$5)-SUMIFS(TF_Timer,TF_Tekniker,AP$4,TF_Dato,$A323))*2,0)/2)))</f>
        <v/>
      </c>
      <c r="AQ323">
        <f>IF(OR(AQ$4="",$A323&gt;TODAY()),0,IF(OR(INDEX($B323:$D323,AQ$5)="F",AND(AQ$6&gt;0,$A323&lt;AQ$6),AND(AQ$7&gt;0,$A323&gt;AQ$7)),0,MAX(0,ROUND((INDEX($E323:$G323,AQ$5)-SUMIFS(TF_Timer,TF_Tekniker,AQ$4,TF_Dato,$A323))*2,0)/2)))</f>
        <v/>
      </c>
      <c r="AR323">
        <f>IF(OR(AR$4="",$A323&gt;TODAY()),0,IF(OR(INDEX($B323:$D323,AR$5)="F",AND(AR$6&gt;0,$A323&lt;AR$6),AND(AR$7&gt;0,$A323&gt;AR$7)),0,MAX(0,ROUND((INDEX($E323:$G323,AR$5)-SUMIFS(TF_Timer,TF_Tekniker,AR$4,TF_Dato,$A323))*2,0)/2)))</f>
        <v/>
      </c>
      <c r="AS323">
        <f>IF(OR(AS$4="",$A323&gt;TODAY()),0,IF(OR(INDEX($B323:$D323,AS$5)="F",AND(AS$6&gt;0,$A323&lt;AS$6),AND(AS$7&gt;0,$A323&gt;AS$7)),0,MAX(0,ROUND((INDEX($E323:$G323,AS$5)-SUMIFS(TF_Timer,TF_Tekniker,AS$4,TF_Dato,$A323))*2,0)/2)))</f>
        <v/>
      </c>
      <c r="AT323">
        <f>IF(OR(AT$4="",$A323&gt;TODAY()),0,IF(OR(INDEX($B323:$D323,AT$5)="F",AND(AT$6&gt;0,$A323&lt;AT$6),AND(AT$7&gt;0,$A323&gt;AT$7)),0,MAX(0,ROUND((INDEX($E323:$G323,AT$5)-SUMIFS(TF_Timer,TF_Tekniker,AT$4,TF_Dato,$A323))*2,0)/2)))</f>
        <v/>
      </c>
      <c r="AU323">
        <f>IF(OR(AU$4="",$A323&gt;TODAY()),0,IF(OR(INDEX($B323:$D323,AU$5)="F",AND(AU$6&gt;0,$A323&lt;AU$6),AND(AU$7&gt;0,$A323&gt;AU$7)),0,MAX(0,ROUND((INDEX($E323:$G323,AU$5)-SUMIFS(TF_Timer,TF_Tekniker,AU$4,TF_Dato,$A323))*2,0)/2)))</f>
        <v/>
      </c>
      <c r="AV323">
        <f>IF(OR(AV$4="",$A323&gt;TODAY()),0,IF(OR(INDEX($B323:$D323,AV$5)="F",AND(AV$6&gt;0,$A323&lt;AV$6),AND(AV$7&gt;0,$A323&gt;AV$7)),0,MAX(0,ROUND((INDEX($E323:$G323,AV$5)-SUMIFS(TF_Timer,TF_Tekniker,AV$4,TF_Dato,$A323))*2,0)/2)))</f>
        <v/>
      </c>
      <c r="AW323">
        <f>IF(OR(AW$4="",$A323&gt;TODAY()),0,IF(OR(INDEX($B323:$D323,AW$5)="F",AND(AW$6&gt;0,$A323&lt;AW$6),AND(AW$7&gt;0,$A323&gt;AW$7)),0,MAX(0,ROUND((INDEX($E323:$G323,AW$5)-SUMIFS(TF_Timer,TF_Tekniker,AW$4,TF_Dato,$A323))*2,0)/2)))</f>
        <v/>
      </c>
      <c r="AX323">
        <f>IF(OR(AX$4="",$A323&gt;TODAY()),0,IF(OR(INDEX($B323:$D323,AX$5)="F",AND(AX$6&gt;0,$A323&lt;AX$6),AND(AX$7&gt;0,$A323&gt;AX$7)),0,MAX(0,ROUND((INDEX($E323:$G323,AX$5)-SUMIFS(TF_Timer,TF_Tekniker,AX$4,TF_Dato,$A323))*2,0)/2)))</f>
        <v/>
      </c>
      <c r="AY323">
        <f>IF(OR(AY$4="",$A323&gt;TODAY()),0,IF(OR(INDEX($B323:$D323,AY$5)="F",AND(AY$6&gt;0,$A323&lt;AY$6),AND(AY$7&gt;0,$A323&gt;AY$7)),0,MAX(0,ROUND((INDEX($E323:$G323,AY$5)-SUMIFS(TF_Timer,TF_Tekniker,AY$4,TF_Dato,$A323))*2,0)/2)))</f>
        <v/>
      </c>
      <c r="AZ323">
        <f>IF(OR(AZ$4="",$A323&gt;TODAY()),0,IF(OR(INDEX($B323:$D323,AZ$5)="F",AND(AZ$6&gt;0,$A323&lt;AZ$6),AND(AZ$7&gt;0,$A323&gt;AZ$7)),0,MAX(0,ROUND((INDEX($E323:$G323,AZ$5)-SUMIFS(TF_Timer,TF_Tekniker,AZ$4,TF_Dato,$A323))*2,0)/2)))</f>
        <v/>
      </c>
      <c r="BA323">
        <f>IF(OR(BA$4="",$A323&gt;TODAY()),0,IF(OR(INDEX($B323:$D323,BA$5)="F",AND(BA$6&gt;0,$A323&lt;BA$6),AND(BA$7&gt;0,$A323&gt;BA$7)),0,MAX(0,ROUND((INDEX($E323:$G323,BA$5)-SUMIFS(TF_Timer,TF_Tekniker,BA$4,TF_Dato,$A323))*2,0)/2)))</f>
        <v/>
      </c>
      <c r="BB323">
        <f>IF(OR(BB$4="",$A323&gt;TODAY()),0,IF(OR(INDEX($B323:$D323,BB$5)="F",AND(BB$6&gt;0,$A323&lt;BB$6),AND(BB$7&gt;0,$A323&gt;BB$7)),0,MAX(0,ROUND((INDEX($E323:$G323,BB$5)-SUMIFS(TF_Timer,TF_Tekniker,BB$4,TF_Dato,$A323))*2,0)/2)))</f>
        <v/>
      </c>
      <c r="BC323">
        <f>IF(OR(BC$4="",$A323&gt;TODAY()),0,IF(OR(INDEX($B323:$D323,BC$5)="F",AND(BC$6&gt;0,$A323&lt;BC$6),AND(BC$7&gt;0,$A323&gt;BC$7)),0,MAX(0,ROUND((INDEX($E323:$G323,BC$5)-SUMIFS(TF_Timer,TF_Tekniker,BC$4,TF_Dato,$A323))*2,0)/2)))</f>
        <v/>
      </c>
      <c r="BD323">
        <f>IF(OR(BD$4="",$A323&gt;TODAY()),0,IF(OR(INDEX($B323:$D323,BD$5)="F",AND(BD$6&gt;0,$A323&lt;BD$6),AND(BD$7&gt;0,$A323&gt;BD$7)),0,MAX(0,ROUND((INDEX($E323:$G323,BD$5)-SUMIFS(TF_Timer,TF_Tekniker,BD$4,TF_Dato,$A323))*2,0)/2)))</f>
        <v/>
      </c>
      <c r="BE323">
        <f>IF(OR(BE$4="",$A323&gt;TODAY()),0,IF(OR(INDEX($B323:$D323,BE$5)="F",AND(BE$6&gt;0,$A323&lt;BE$6),AND(BE$7&gt;0,$A323&gt;BE$7)),0,MAX(0,ROUND((INDEX($E323:$G323,BE$5)-SUMIFS(TF_Timer,TF_Tekniker,BE$4,TF_Dato,$A323))*2,0)/2)))</f>
        <v/>
      </c>
      <c r="BF323">
        <f>IF(OR(BF$4="",$A323&gt;TODAY()),0,IF(OR(INDEX($B323:$D323,BF$5)="F",AND(BF$6&gt;0,$A323&lt;BF$6),AND(BF$7&gt;0,$A323&gt;BF$7)),0,MAX(0,ROUND((INDEX($E323:$G323,BF$5)-SUMIFS(TF_Timer,TF_Tekniker,BF$4,TF_Dato,$A323))*2,0)/2)))</f>
        <v/>
      </c>
      <c r="BG323">
        <f>IF(OR(BG$4="",$A323&gt;TODAY()),0,IF(OR(INDEX($B323:$D323,BG$5)="F",AND(BG$6&gt;0,$A323&lt;BG$6),AND(BG$7&gt;0,$A323&gt;BG$7)),0,MAX(0,ROUND((INDEX($E323:$G323,BG$5)-SUMIFS(TF_Timer,TF_Tekniker,BG$4,TF_Dato,$A323))*2,0)/2)))</f>
        <v/>
      </c>
      <c r="BH323">
        <f>IF(OR(BH$4="",$A323&gt;TODAY()),0,IF(OR(INDEX($B323:$D323,BH$5)="F",AND(BH$6&gt;0,$A323&lt;BH$6),AND(BH$7&gt;0,$A323&gt;BH$7)),0,MAX(0,ROUND((INDEX($E323:$G323,BH$5)-SUMIFS(TF_Timer,TF_Tekniker,BH$4,TF_Dato,$A323))*2,0)/2)))</f>
        <v/>
      </c>
      <c r="BI323">
        <f>IF(OR(BI$4="",$A323&gt;TODAY()),0,IF(OR(INDEX($B323:$D323,BI$5)="F",AND(BI$6&gt;0,$A323&lt;BI$6),AND(BI$7&gt;0,$A323&gt;BI$7)),0,MAX(0,ROUND((INDEX($E323:$G323,BI$5)-SUMIFS(TF_Timer,TF_Tekniker,BI$4,TF_Dato,$A323))*2,0)/2)))</f>
        <v/>
      </c>
    </row>
    <row r="324">
      <c r="A324" s="64">
        <f>A323+1</f>
        <v/>
      </c>
      <c r="B324">
        <f>IF(MOD($A324-INDEX(SkiftStart,1),Syklus)&lt;DagK,"K",IF(MOD($A324-INDEX(SkiftStart,1),Syklus)&lt;DagK+DagH,"H",IF(MOD($A324-INDEX(SkiftStart,1),Syklus)&lt;DagK+DagH+DagD,"D","F")))</f>
        <v/>
      </c>
      <c r="C324">
        <f>IF(MOD($A324-INDEX(SkiftStart,2),Syklus)&lt;DagK,"K",IF(MOD($A324-INDEX(SkiftStart,2),Syklus)&lt;DagK+DagH,"H",IF(MOD($A324-INDEX(SkiftStart,2),Syklus)&lt;DagK+DagH+DagD,"D","F")))</f>
        <v/>
      </c>
      <c r="D324">
        <f>IF(MOD($A324-INDEX(SkiftStart,3),Syklus)&lt;DagK,"K",IF(MOD($A324-INDEX(SkiftStart,3),Syklus)&lt;DagK+DagH,"H",IF(MOD($A324-INDEX(SkiftStart,3),Syklus)&lt;DagK+DagH+DagD,"D","F")))</f>
        <v/>
      </c>
      <c r="E324">
        <f>IF(B324="F",0,IF(WEEKDAY($A324,2)=5,INDEX(TimerFr,MATCH(B324,FaseKode,0)),INDEX(TimerMT,MATCH(B324,FaseKode,0))))</f>
        <v/>
      </c>
      <c r="F324">
        <f>IF(C324="F",0,IF(WEEKDAY($A324,2)=5,INDEX(TimerFr,MATCH(C324,FaseKode,0)),INDEX(TimerMT,MATCH(C324,FaseKode,0))))</f>
        <v/>
      </c>
      <c r="G324">
        <f>IF(D324="F",0,IF(WEEKDAY($A324,2)=5,INDEX(TimerFr,MATCH(D324,FaseKode,0)),INDEX(TimerMT,MATCH(D324,FaseKode,0))))</f>
        <v/>
      </c>
      <c r="H324">
        <f>IF(OR(H$4="",$A324&gt;TODAY()),0,IF(OR(INDEX($B324:$D324,H$5)="F",AND(H$6&gt;0,$A324&lt;H$6),AND(H$7&gt;0,$A324&gt;H$7)),0,MAX(0,ROUND((INDEX($E324:$G324,H$5)-SUMIFS(TF_Timer,TF_Tekniker,H$4,TF_Dato,$A324))*2,0)/2)))</f>
        <v/>
      </c>
      <c r="I324">
        <f>IF(OR(I$4="",$A324&gt;TODAY()),0,IF(OR(INDEX($B324:$D324,I$5)="F",AND(I$6&gt;0,$A324&lt;I$6),AND(I$7&gt;0,$A324&gt;I$7)),0,MAX(0,ROUND((INDEX($E324:$G324,I$5)-SUMIFS(TF_Timer,TF_Tekniker,I$4,TF_Dato,$A324))*2,0)/2)))</f>
        <v/>
      </c>
      <c r="J324">
        <f>IF(OR(J$4="",$A324&gt;TODAY()),0,IF(OR(INDEX($B324:$D324,J$5)="F",AND(J$6&gt;0,$A324&lt;J$6),AND(J$7&gt;0,$A324&gt;J$7)),0,MAX(0,ROUND((INDEX($E324:$G324,J$5)-SUMIFS(TF_Timer,TF_Tekniker,J$4,TF_Dato,$A324))*2,0)/2)))</f>
        <v/>
      </c>
      <c r="K324">
        <f>IF(OR(K$4="",$A324&gt;TODAY()),0,IF(OR(INDEX($B324:$D324,K$5)="F",AND(K$6&gt;0,$A324&lt;K$6),AND(K$7&gt;0,$A324&gt;K$7)),0,MAX(0,ROUND((INDEX($E324:$G324,K$5)-SUMIFS(TF_Timer,TF_Tekniker,K$4,TF_Dato,$A324))*2,0)/2)))</f>
        <v/>
      </c>
      <c r="L324">
        <f>IF(OR(L$4="",$A324&gt;TODAY()),0,IF(OR(INDEX($B324:$D324,L$5)="F",AND(L$6&gt;0,$A324&lt;L$6),AND(L$7&gt;0,$A324&gt;L$7)),0,MAX(0,ROUND((INDEX($E324:$G324,L$5)-SUMIFS(TF_Timer,TF_Tekniker,L$4,TF_Dato,$A324))*2,0)/2)))</f>
        <v/>
      </c>
      <c r="M324">
        <f>IF(OR(M$4="",$A324&gt;TODAY()),0,IF(OR(INDEX($B324:$D324,M$5)="F",AND(M$6&gt;0,$A324&lt;M$6),AND(M$7&gt;0,$A324&gt;M$7)),0,MAX(0,ROUND((INDEX($E324:$G324,M$5)-SUMIFS(TF_Timer,TF_Tekniker,M$4,TF_Dato,$A324))*2,0)/2)))</f>
        <v/>
      </c>
      <c r="N324">
        <f>IF(OR(N$4="",$A324&gt;TODAY()),0,IF(OR(INDEX($B324:$D324,N$5)="F",AND(N$6&gt;0,$A324&lt;N$6),AND(N$7&gt;0,$A324&gt;N$7)),0,MAX(0,ROUND((INDEX($E324:$G324,N$5)-SUMIFS(TF_Timer,TF_Tekniker,N$4,TF_Dato,$A324))*2,0)/2)))</f>
        <v/>
      </c>
      <c r="O324">
        <f>IF(OR(O$4="",$A324&gt;TODAY()),0,IF(OR(INDEX($B324:$D324,O$5)="F",AND(O$6&gt;0,$A324&lt;O$6),AND(O$7&gt;0,$A324&gt;O$7)),0,MAX(0,ROUND((INDEX($E324:$G324,O$5)-SUMIFS(TF_Timer,TF_Tekniker,O$4,TF_Dato,$A324))*2,0)/2)))</f>
        <v/>
      </c>
      <c r="P324">
        <f>IF(OR(P$4="",$A324&gt;TODAY()),0,IF(OR(INDEX($B324:$D324,P$5)="F",AND(P$6&gt;0,$A324&lt;P$6),AND(P$7&gt;0,$A324&gt;P$7)),0,MAX(0,ROUND((INDEX($E324:$G324,P$5)-SUMIFS(TF_Timer,TF_Tekniker,P$4,TF_Dato,$A324))*2,0)/2)))</f>
        <v/>
      </c>
      <c r="Q324">
        <f>IF(OR(Q$4="",$A324&gt;TODAY()),0,IF(OR(INDEX($B324:$D324,Q$5)="F",AND(Q$6&gt;0,$A324&lt;Q$6),AND(Q$7&gt;0,$A324&gt;Q$7)),0,MAX(0,ROUND((INDEX($E324:$G324,Q$5)-SUMIFS(TF_Timer,TF_Tekniker,Q$4,TF_Dato,$A324))*2,0)/2)))</f>
        <v/>
      </c>
      <c r="R324">
        <f>IF(OR(R$4="",$A324&gt;TODAY()),0,IF(OR(INDEX($B324:$D324,R$5)="F",AND(R$6&gt;0,$A324&lt;R$6),AND(R$7&gt;0,$A324&gt;R$7)),0,MAX(0,ROUND((INDEX($E324:$G324,R$5)-SUMIFS(TF_Timer,TF_Tekniker,R$4,TF_Dato,$A324))*2,0)/2)))</f>
        <v/>
      </c>
      <c r="S324">
        <f>IF(OR(S$4="",$A324&gt;TODAY()),0,IF(OR(INDEX($B324:$D324,S$5)="F",AND(S$6&gt;0,$A324&lt;S$6),AND(S$7&gt;0,$A324&gt;S$7)),0,MAX(0,ROUND((INDEX($E324:$G324,S$5)-SUMIFS(TF_Timer,TF_Tekniker,S$4,TF_Dato,$A324))*2,0)/2)))</f>
        <v/>
      </c>
      <c r="T324">
        <f>IF(OR(T$4="",$A324&gt;TODAY()),0,IF(OR(INDEX($B324:$D324,T$5)="F",AND(T$6&gt;0,$A324&lt;T$6),AND(T$7&gt;0,$A324&gt;T$7)),0,MAX(0,ROUND((INDEX($E324:$G324,T$5)-SUMIFS(TF_Timer,TF_Tekniker,T$4,TF_Dato,$A324))*2,0)/2)))</f>
        <v/>
      </c>
      <c r="U324">
        <f>IF(OR(U$4="",$A324&gt;TODAY()),0,IF(OR(INDEX($B324:$D324,U$5)="F",AND(U$6&gt;0,$A324&lt;U$6),AND(U$7&gt;0,$A324&gt;U$7)),0,MAX(0,ROUND((INDEX($E324:$G324,U$5)-SUMIFS(TF_Timer,TF_Tekniker,U$4,TF_Dato,$A324))*2,0)/2)))</f>
        <v/>
      </c>
      <c r="V324">
        <f>IF(OR(V$4="",$A324&gt;TODAY()),0,IF(OR(INDEX($B324:$D324,V$5)="F",AND(V$6&gt;0,$A324&lt;V$6),AND(V$7&gt;0,$A324&gt;V$7)),0,MAX(0,ROUND((INDEX($E324:$G324,V$5)-SUMIFS(TF_Timer,TF_Tekniker,V$4,TF_Dato,$A324))*2,0)/2)))</f>
        <v/>
      </c>
      <c r="W324">
        <f>IF(OR(W$4="",$A324&gt;TODAY()),0,IF(OR(INDEX($B324:$D324,W$5)="F",AND(W$6&gt;0,$A324&lt;W$6),AND(W$7&gt;0,$A324&gt;W$7)),0,MAX(0,ROUND((INDEX($E324:$G324,W$5)-SUMIFS(TF_Timer,TF_Tekniker,W$4,TF_Dato,$A324))*2,0)/2)))</f>
        <v/>
      </c>
      <c r="X324">
        <f>IF(OR(X$4="",$A324&gt;TODAY()),0,IF(OR(INDEX($B324:$D324,X$5)="F",AND(X$6&gt;0,$A324&lt;X$6),AND(X$7&gt;0,$A324&gt;X$7)),0,MAX(0,ROUND((INDEX($E324:$G324,X$5)-SUMIFS(TF_Timer,TF_Tekniker,X$4,TF_Dato,$A324))*2,0)/2)))</f>
        <v/>
      </c>
      <c r="Y324">
        <f>IF(OR(Y$4="",$A324&gt;TODAY()),0,IF(OR(INDEX($B324:$D324,Y$5)="F",AND(Y$6&gt;0,$A324&lt;Y$6),AND(Y$7&gt;0,$A324&gt;Y$7)),0,MAX(0,ROUND((INDEX($E324:$G324,Y$5)-SUMIFS(TF_Timer,TF_Tekniker,Y$4,TF_Dato,$A324))*2,0)/2)))</f>
        <v/>
      </c>
      <c r="Z324">
        <f>IF(OR(Z$4="",$A324&gt;TODAY()),0,IF(OR(INDEX($B324:$D324,Z$5)="F",AND(Z$6&gt;0,$A324&lt;Z$6),AND(Z$7&gt;0,$A324&gt;Z$7)),0,MAX(0,ROUND((INDEX($E324:$G324,Z$5)-SUMIFS(TF_Timer,TF_Tekniker,Z$4,TF_Dato,$A324))*2,0)/2)))</f>
        <v/>
      </c>
      <c r="AA324">
        <f>IF(OR(AA$4="",$A324&gt;TODAY()),0,IF(OR(INDEX($B324:$D324,AA$5)="F",AND(AA$6&gt;0,$A324&lt;AA$6),AND(AA$7&gt;0,$A324&gt;AA$7)),0,MAX(0,ROUND((INDEX($E324:$G324,AA$5)-SUMIFS(TF_Timer,TF_Tekniker,AA$4,TF_Dato,$A324))*2,0)/2)))</f>
        <v/>
      </c>
      <c r="AB324">
        <f>IF(OR(AB$4="",$A324&gt;TODAY()),0,IF(OR(INDEX($B324:$D324,AB$5)="F",AND(AB$6&gt;0,$A324&lt;AB$6),AND(AB$7&gt;0,$A324&gt;AB$7)),0,MAX(0,ROUND((INDEX($E324:$G324,AB$5)-SUMIFS(TF_Timer,TF_Tekniker,AB$4,TF_Dato,$A324))*2,0)/2)))</f>
        <v/>
      </c>
      <c r="AC324">
        <f>IF(OR(AC$4="",$A324&gt;TODAY()),0,IF(OR(INDEX($B324:$D324,AC$5)="F",AND(AC$6&gt;0,$A324&lt;AC$6),AND(AC$7&gt;0,$A324&gt;AC$7)),0,MAX(0,ROUND((INDEX($E324:$G324,AC$5)-SUMIFS(TF_Timer,TF_Tekniker,AC$4,TF_Dato,$A324))*2,0)/2)))</f>
        <v/>
      </c>
      <c r="AD324">
        <f>IF(OR(AD$4="",$A324&gt;TODAY()),0,IF(OR(INDEX($B324:$D324,AD$5)="F",AND(AD$6&gt;0,$A324&lt;AD$6),AND(AD$7&gt;0,$A324&gt;AD$7)),0,MAX(0,ROUND((INDEX($E324:$G324,AD$5)-SUMIFS(TF_Timer,TF_Tekniker,AD$4,TF_Dato,$A324))*2,0)/2)))</f>
        <v/>
      </c>
      <c r="AE324">
        <f>IF(OR(AE$4="",$A324&gt;TODAY()),0,IF(OR(INDEX($B324:$D324,AE$5)="F",AND(AE$6&gt;0,$A324&lt;AE$6),AND(AE$7&gt;0,$A324&gt;AE$7)),0,MAX(0,ROUND((INDEX($E324:$G324,AE$5)-SUMIFS(TF_Timer,TF_Tekniker,AE$4,TF_Dato,$A324))*2,0)/2)))</f>
        <v/>
      </c>
      <c r="AF324">
        <f>IF(OR(AF$4="",$A324&gt;TODAY()),0,IF(OR(INDEX($B324:$D324,AF$5)="F",AND(AF$6&gt;0,$A324&lt;AF$6),AND(AF$7&gt;0,$A324&gt;AF$7)),0,MAX(0,ROUND((INDEX($E324:$G324,AF$5)-SUMIFS(TF_Timer,TF_Tekniker,AF$4,TF_Dato,$A324))*2,0)/2)))</f>
        <v/>
      </c>
      <c r="AG324">
        <f>IF(OR(AG$4="",$A324&gt;TODAY()),0,IF(OR(INDEX($B324:$D324,AG$5)="F",AND(AG$6&gt;0,$A324&lt;AG$6),AND(AG$7&gt;0,$A324&gt;AG$7)),0,MAX(0,ROUND((INDEX($E324:$G324,AG$5)-SUMIFS(TF_Timer,TF_Tekniker,AG$4,TF_Dato,$A324))*2,0)/2)))</f>
        <v/>
      </c>
      <c r="AH324">
        <f>IF(OR(AH$4="",$A324&gt;TODAY()),0,IF(OR(INDEX($B324:$D324,AH$5)="F",AND(AH$6&gt;0,$A324&lt;AH$6),AND(AH$7&gt;0,$A324&gt;AH$7)),0,MAX(0,ROUND((INDEX($E324:$G324,AH$5)-SUMIFS(TF_Timer,TF_Tekniker,AH$4,TF_Dato,$A324))*2,0)/2)))</f>
        <v/>
      </c>
      <c r="AI324">
        <f>IF(OR(AI$4="",$A324&gt;TODAY()),0,IF(OR(INDEX($B324:$D324,AI$5)="F",AND(AI$6&gt;0,$A324&lt;AI$6),AND(AI$7&gt;0,$A324&gt;AI$7)),0,MAX(0,ROUND((INDEX($E324:$G324,AI$5)-SUMIFS(TF_Timer,TF_Tekniker,AI$4,TF_Dato,$A324))*2,0)/2)))</f>
        <v/>
      </c>
      <c r="AJ324">
        <f>IF(OR(AJ$4="",$A324&gt;TODAY()),0,IF(OR(INDEX($B324:$D324,AJ$5)="F",AND(AJ$6&gt;0,$A324&lt;AJ$6),AND(AJ$7&gt;0,$A324&gt;AJ$7)),0,MAX(0,ROUND((INDEX($E324:$G324,AJ$5)-SUMIFS(TF_Timer,TF_Tekniker,AJ$4,TF_Dato,$A324))*2,0)/2)))</f>
        <v/>
      </c>
      <c r="AK324">
        <f>IF(OR(AK$4="",$A324&gt;TODAY()),0,IF(OR(INDEX($B324:$D324,AK$5)="F",AND(AK$6&gt;0,$A324&lt;AK$6),AND(AK$7&gt;0,$A324&gt;AK$7)),0,MAX(0,ROUND((INDEX($E324:$G324,AK$5)-SUMIFS(TF_Timer,TF_Tekniker,AK$4,TF_Dato,$A324))*2,0)/2)))</f>
        <v/>
      </c>
      <c r="AL324">
        <f>IF(OR(AL$4="",$A324&gt;TODAY()),0,IF(OR(INDEX($B324:$D324,AL$5)="F",AND(AL$6&gt;0,$A324&lt;AL$6),AND(AL$7&gt;0,$A324&gt;AL$7)),0,MAX(0,ROUND((INDEX($E324:$G324,AL$5)-SUMIFS(TF_Timer,TF_Tekniker,AL$4,TF_Dato,$A324))*2,0)/2)))</f>
        <v/>
      </c>
      <c r="AM324">
        <f>IF(OR(AM$4="",$A324&gt;TODAY()),0,IF(OR(INDEX($B324:$D324,AM$5)="F",AND(AM$6&gt;0,$A324&lt;AM$6),AND(AM$7&gt;0,$A324&gt;AM$7)),0,MAX(0,ROUND((INDEX($E324:$G324,AM$5)-SUMIFS(TF_Timer,TF_Tekniker,AM$4,TF_Dato,$A324))*2,0)/2)))</f>
        <v/>
      </c>
      <c r="AN324">
        <f>IF(OR(AN$4="",$A324&gt;TODAY()),0,IF(OR(INDEX($B324:$D324,AN$5)="F",AND(AN$6&gt;0,$A324&lt;AN$6),AND(AN$7&gt;0,$A324&gt;AN$7)),0,MAX(0,ROUND((INDEX($E324:$G324,AN$5)-SUMIFS(TF_Timer,TF_Tekniker,AN$4,TF_Dato,$A324))*2,0)/2)))</f>
        <v/>
      </c>
      <c r="AO324">
        <f>IF(OR(AO$4="",$A324&gt;TODAY()),0,IF(OR(INDEX($B324:$D324,AO$5)="F",AND(AO$6&gt;0,$A324&lt;AO$6),AND(AO$7&gt;0,$A324&gt;AO$7)),0,MAX(0,ROUND((INDEX($E324:$G324,AO$5)-SUMIFS(TF_Timer,TF_Tekniker,AO$4,TF_Dato,$A324))*2,0)/2)))</f>
        <v/>
      </c>
      <c r="AP324">
        <f>IF(OR(AP$4="",$A324&gt;TODAY()),0,IF(OR(INDEX($B324:$D324,AP$5)="F",AND(AP$6&gt;0,$A324&lt;AP$6),AND(AP$7&gt;0,$A324&gt;AP$7)),0,MAX(0,ROUND((INDEX($E324:$G324,AP$5)-SUMIFS(TF_Timer,TF_Tekniker,AP$4,TF_Dato,$A324))*2,0)/2)))</f>
        <v/>
      </c>
      <c r="AQ324">
        <f>IF(OR(AQ$4="",$A324&gt;TODAY()),0,IF(OR(INDEX($B324:$D324,AQ$5)="F",AND(AQ$6&gt;0,$A324&lt;AQ$6),AND(AQ$7&gt;0,$A324&gt;AQ$7)),0,MAX(0,ROUND((INDEX($E324:$G324,AQ$5)-SUMIFS(TF_Timer,TF_Tekniker,AQ$4,TF_Dato,$A324))*2,0)/2)))</f>
        <v/>
      </c>
      <c r="AR324">
        <f>IF(OR(AR$4="",$A324&gt;TODAY()),0,IF(OR(INDEX($B324:$D324,AR$5)="F",AND(AR$6&gt;0,$A324&lt;AR$6),AND(AR$7&gt;0,$A324&gt;AR$7)),0,MAX(0,ROUND((INDEX($E324:$G324,AR$5)-SUMIFS(TF_Timer,TF_Tekniker,AR$4,TF_Dato,$A324))*2,0)/2)))</f>
        <v/>
      </c>
      <c r="AS324">
        <f>IF(OR(AS$4="",$A324&gt;TODAY()),0,IF(OR(INDEX($B324:$D324,AS$5)="F",AND(AS$6&gt;0,$A324&lt;AS$6),AND(AS$7&gt;0,$A324&gt;AS$7)),0,MAX(0,ROUND((INDEX($E324:$G324,AS$5)-SUMIFS(TF_Timer,TF_Tekniker,AS$4,TF_Dato,$A324))*2,0)/2)))</f>
        <v/>
      </c>
      <c r="AT324">
        <f>IF(OR(AT$4="",$A324&gt;TODAY()),0,IF(OR(INDEX($B324:$D324,AT$5)="F",AND(AT$6&gt;0,$A324&lt;AT$6),AND(AT$7&gt;0,$A324&gt;AT$7)),0,MAX(0,ROUND((INDEX($E324:$G324,AT$5)-SUMIFS(TF_Timer,TF_Tekniker,AT$4,TF_Dato,$A324))*2,0)/2)))</f>
        <v/>
      </c>
      <c r="AU324">
        <f>IF(OR(AU$4="",$A324&gt;TODAY()),0,IF(OR(INDEX($B324:$D324,AU$5)="F",AND(AU$6&gt;0,$A324&lt;AU$6),AND(AU$7&gt;0,$A324&gt;AU$7)),0,MAX(0,ROUND((INDEX($E324:$G324,AU$5)-SUMIFS(TF_Timer,TF_Tekniker,AU$4,TF_Dato,$A324))*2,0)/2)))</f>
        <v/>
      </c>
      <c r="AV324">
        <f>IF(OR(AV$4="",$A324&gt;TODAY()),0,IF(OR(INDEX($B324:$D324,AV$5)="F",AND(AV$6&gt;0,$A324&lt;AV$6),AND(AV$7&gt;0,$A324&gt;AV$7)),0,MAX(0,ROUND((INDEX($E324:$G324,AV$5)-SUMIFS(TF_Timer,TF_Tekniker,AV$4,TF_Dato,$A324))*2,0)/2)))</f>
        <v/>
      </c>
      <c r="AW324">
        <f>IF(OR(AW$4="",$A324&gt;TODAY()),0,IF(OR(INDEX($B324:$D324,AW$5)="F",AND(AW$6&gt;0,$A324&lt;AW$6),AND(AW$7&gt;0,$A324&gt;AW$7)),0,MAX(0,ROUND((INDEX($E324:$G324,AW$5)-SUMIFS(TF_Timer,TF_Tekniker,AW$4,TF_Dato,$A324))*2,0)/2)))</f>
        <v/>
      </c>
      <c r="AX324">
        <f>IF(OR(AX$4="",$A324&gt;TODAY()),0,IF(OR(INDEX($B324:$D324,AX$5)="F",AND(AX$6&gt;0,$A324&lt;AX$6),AND(AX$7&gt;0,$A324&gt;AX$7)),0,MAX(0,ROUND((INDEX($E324:$G324,AX$5)-SUMIFS(TF_Timer,TF_Tekniker,AX$4,TF_Dato,$A324))*2,0)/2)))</f>
        <v/>
      </c>
      <c r="AY324">
        <f>IF(OR(AY$4="",$A324&gt;TODAY()),0,IF(OR(INDEX($B324:$D324,AY$5)="F",AND(AY$6&gt;0,$A324&lt;AY$6),AND(AY$7&gt;0,$A324&gt;AY$7)),0,MAX(0,ROUND((INDEX($E324:$G324,AY$5)-SUMIFS(TF_Timer,TF_Tekniker,AY$4,TF_Dato,$A324))*2,0)/2)))</f>
        <v/>
      </c>
      <c r="AZ324">
        <f>IF(OR(AZ$4="",$A324&gt;TODAY()),0,IF(OR(INDEX($B324:$D324,AZ$5)="F",AND(AZ$6&gt;0,$A324&lt;AZ$6),AND(AZ$7&gt;0,$A324&gt;AZ$7)),0,MAX(0,ROUND((INDEX($E324:$G324,AZ$5)-SUMIFS(TF_Timer,TF_Tekniker,AZ$4,TF_Dato,$A324))*2,0)/2)))</f>
        <v/>
      </c>
      <c r="BA324">
        <f>IF(OR(BA$4="",$A324&gt;TODAY()),0,IF(OR(INDEX($B324:$D324,BA$5)="F",AND(BA$6&gt;0,$A324&lt;BA$6),AND(BA$7&gt;0,$A324&gt;BA$7)),0,MAX(0,ROUND((INDEX($E324:$G324,BA$5)-SUMIFS(TF_Timer,TF_Tekniker,BA$4,TF_Dato,$A324))*2,0)/2)))</f>
        <v/>
      </c>
      <c r="BB324">
        <f>IF(OR(BB$4="",$A324&gt;TODAY()),0,IF(OR(INDEX($B324:$D324,BB$5)="F",AND(BB$6&gt;0,$A324&lt;BB$6),AND(BB$7&gt;0,$A324&gt;BB$7)),0,MAX(0,ROUND((INDEX($E324:$G324,BB$5)-SUMIFS(TF_Timer,TF_Tekniker,BB$4,TF_Dato,$A324))*2,0)/2)))</f>
        <v/>
      </c>
      <c r="BC324">
        <f>IF(OR(BC$4="",$A324&gt;TODAY()),0,IF(OR(INDEX($B324:$D324,BC$5)="F",AND(BC$6&gt;0,$A324&lt;BC$6),AND(BC$7&gt;0,$A324&gt;BC$7)),0,MAX(0,ROUND((INDEX($E324:$G324,BC$5)-SUMIFS(TF_Timer,TF_Tekniker,BC$4,TF_Dato,$A324))*2,0)/2)))</f>
        <v/>
      </c>
      <c r="BD324">
        <f>IF(OR(BD$4="",$A324&gt;TODAY()),0,IF(OR(INDEX($B324:$D324,BD$5)="F",AND(BD$6&gt;0,$A324&lt;BD$6),AND(BD$7&gt;0,$A324&gt;BD$7)),0,MAX(0,ROUND((INDEX($E324:$G324,BD$5)-SUMIFS(TF_Timer,TF_Tekniker,BD$4,TF_Dato,$A324))*2,0)/2)))</f>
        <v/>
      </c>
      <c r="BE324">
        <f>IF(OR(BE$4="",$A324&gt;TODAY()),0,IF(OR(INDEX($B324:$D324,BE$5)="F",AND(BE$6&gt;0,$A324&lt;BE$6),AND(BE$7&gt;0,$A324&gt;BE$7)),0,MAX(0,ROUND((INDEX($E324:$G324,BE$5)-SUMIFS(TF_Timer,TF_Tekniker,BE$4,TF_Dato,$A324))*2,0)/2)))</f>
        <v/>
      </c>
      <c r="BF324">
        <f>IF(OR(BF$4="",$A324&gt;TODAY()),0,IF(OR(INDEX($B324:$D324,BF$5)="F",AND(BF$6&gt;0,$A324&lt;BF$6),AND(BF$7&gt;0,$A324&gt;BF$7)),0,MAX(0,ROUND((INDEX($E324:$G324,BF$5)-SUMIFS(TF_Timer,TF_Tekniker,BF$4,TF_Dato,$A324))*2,0)/2)))</f>
        <v/>
      </c>
      <c r="BG324">
        <f>IF(OR(BG$4="",$A324&gt;TODAY()),0,IF(OR(INDEX($B324:$D324,BG$5)="F",AND(BG$6&gt;0,$A324&lt;BG$6),AND(BG$7&gt;0,$A324&gt;BG$7)),0,MAX(0,ROUND((INDEX($E324:$G324,BG$5)-SUMIFS(TF_Timer,TF_Tekniker,BG$4,TF_Dato,$A324))*2,0)/2)))</f>
        <v/>
      </c>
      <c r="BH324">
        <f>IF(OR(BH$4="",$A324&gt;TODAY()),0,IF(OR(INDEX($B324:$D324,BH$5)="F",AND(BH$6&gt;0,$A324&lt;BH$6),AND(BH$7&gt;0,$A324&gt;BH$7)),0,MAX(0,ROUND((INDEX($E324:$G324,BH$5)-SUMIFS(TF_Timer,TF_Tekniker,BH$4,TF_Dato,$A324))*2,0)/2)))</f>
        <v/>
      </c>
      <c r="BI324">
        <f>IF(OR(BI$4="",$A324&gt;TODAY()),0,IF(OR(INDEX($B324:$D324,BI$5)="F",AND(BI$6&gt;0,$A324&lt;BI$6),AND(BI$7&gt;0,$A324&gt;BI$7)),0,MAX(0,ROUND((INDEX($E324:$G324,BI$5)-SUMIFS(TF_Timer,TF_Tekniker,BI$4,TF_Dato,$A324))*2,0)/2)))</f>
        <v/>
      </c>
    </row>
    <row r="325">
      <c r="A325" s="64">
        <f>A324+1</f>
        <v/>
      </c>
      <c r="B325">
        <f>IF(MOD($A325-INDEX(SkiftStart,1),Syklus)&lt;DagK,"K",IF(MOD($A325-INDEX(SkiftStart,1),Syklus)&lt;DagK+DagH,"H",IF(MOD($A325-INDEX(SkiftStart,1),Syklus)&lt;DagK+DagH+DagD,"D","F")))</f>
        <v/>
      </c>
      <c r="C325">
        <f>IF(MOD($A325-INDEX(SkiftStart,2),Syklus)&lt;DagK,"K",IF(MOD($A325-INDEX(SkiftStart,2),Syklus)&lt;DagK+DagH,"H",IF(MOD($A325-INDEX(SkiftStart,2),Syklus)&lt;DagK+DagH+DagD,"D","F")))</f>
        <v/>
      </c>
      <c r="D325">
        <f>IF(MOD($A325-INDEX(SkiftStart,3),Syklus)&lt;DagK,"K",IF(MOD($A325-INDEX(SkiftStart,3),Syklus)&lt;DagK+DagH,"H",IF(MOD($A325-INDEX(SkiftStart,3),Syklus)&lt;DagK+DagH+DagD,"D","F")))</f>
        <v/>
      </c>
      <c r="E325">
        <f>IF(B325="F",0,IF(WEEKDAY($A325,2)=5,INDEX(TimerFr,MATCH(B325,FaseKode,0)),INDEX(TimerMT,MATCH(B325,FaseKode,0))))</f>
        <v/>
      </c>
      <c r="F325">
        <f>IF(C325="F",0,IF(WEEKDAY($A325,2)=5,INDEX(TimerFr,MATCH(C325,FaseKode,0)),INDEX(TimerMT,MATCH(C325,FaseKode,0))))</f>
        <v/>
      </c>
      <c r="G325">
        <f>IF(D325="F",0,IF(WEEKDAY($A325,2)=5,INDEX(TimerFr,MATCH(D325,FaseKode,0)),INDEX(TimerMT,MATCH(D325,FaseKode,0))))</f>
        <v/>
      </c>
      <c r="H325">
        <f>IF(OR(H$4="",$A325&gt;TODAY()),0,IF(OR(INDEX($B325:$D325,H$5)="F",AND(H$6&gt;0,$A325&lt;H$6),AND(H$7&gt;0,$A325&gt;H$7)),0,MAX(0,ROUND((INDEX($E325:$G325,H$5)-SUMIFS(TF_Timer,TF_Tekniker,H$4,TF_Dato,$A325))*2,0)/2)))</f>
        <v/>
      </c>
      <c r="I325">
        <f>IF(OR(I$4="",$A325&gt;TODAY()),0,IF(OR(INDEX($B325:$D325,I$5)="F",AND(I$6&gt;0,$A325&lt;I$6),AND(I$7&gt;0,$A325&gt;I$7)),0,MAX(0,ROUND((INDEX($E325:$G325,I$5)-SUMIFS(TF_Timer,TF_Tekniker,I$4,TF_Dato,$A325))*2,0)/2)))</f>
        <v/>
      </c>
      <c r="J325">
        <f>IF(OR(J$4="",$A325&gt;TODAY()),0,IF(OR(INDEX($B325:$D325,J$5)="F",AND(J$6&gt;0,$A325&lt;J$6),AND(J$7&gt;0,$A325&gt;J$7)),0,MAX(0,ROUND((INDEX($E325:$G325,J$5)-SUMIFS(TF_Timer,TF_Tekniker,J$4,TF_Dato,$A325))*2,0)/2)))</f>
        <v/>
      </c>
      <c r="K325">
        <f>IF(OR(K$4="",$A325&gt;TODAY()),0,IF(OR(INDEX($B325:$D325,K$5)="F",AND(K$6&gt;0,$A325&lt;K$6),AND(K$7&gt;0,$A325&gt;K$7)),0,MAX(0,ROUND((INDEX($E325:$G325,K$5)-SUMIFS(TF_Timer,TF_Tekniker,K$4,TF_Dato,$A325))*2,0)/2)))</f>
        <v/>
      </c>
      <c r="L325">
        <f>IF(OR(L$4="",$A325&gt;TODAY()),0,IF(OR(INDEX($B325:$D325,L$5)="F",AND(L$6&gt;0,$A325&lt;L$6),AND(L$7&gt;0,$A325&gt;L$7)),0,MAX(0,ROUND((INDEX($E325:$G325,L$5)-SUMIFS(TF_Timer,TF_Tekniker,L$4,TF_Dato,$A325))*2,0)/2)))</f>
        <v/>
      </c>
      <c r="M325">
        <f>IF(OR(M$4="",$A325&gt;TODAY()),0,IF(OR(INDEX($B325:$D325,M$5)="F",AND(M$6&gt;0,$A325&lt;M$6),AND(M$7&gt;0,$A325&gt;M$7)),0,MAX(0,ROUND((INDEX($E325:$G325,M$5)-SUMIFS(TF_Timer,TF_Tekniker,M$4,TF_Dato,$A325))*2,0)/2)))</f>
        <v/>
      </c>
      <c r="N325">
        <f>IF(OR(N$4="",$A325&gt;TODAY()),0,IF(OR(INDEX($B325:$D325,N$5)="F",AND(N$6&gt;0,$A325&lt;N$6),AND(N$7&gt;0,$A325&gt;N$7)),0,MAX(0,ROUND((INDEX($E325:$G325,N$5)-SUMIFS(TF_Timer,TF_Tekniker,N$4,TF_Dato,$A325))*2,0)/2)))</f>
        <v/>
      </c>
      <c r="O325">
        <f>IF(OR(O$4="",$A325&gt;TODAY()),0,IF(OR(INDEX($B325:$D325,O$5)="F",AND(O$6&gt;0,$A325&lt;O$6),AND(O$7&gt;0,$A325&gt;O$7)),0,MAX(0,ROUND((INDEX($E325:$G325,O$5)-SUMIFS(TF_Timer,TF_Tekniker,O$4,TF_Dato,$A325))*2,0)/2)))</f>
        <v/>
      </c>
      <c r="P325">
        <f>IF(OR(P$4="",$A325&gt;TODAY()),0,IF(OR(INDEX($B325:$D325,P$5)="F",AND(P$6&gt;0,$A325&lt;P$6),AND(P$7&gt;0,$A325&gt;P$7)),0,MAX(0,ROUND((INDEX($E325:$G325,P$5)-SUMIFS(TF_Timer,TF_Tekniker,P$4,TF_Dato,$A325))*2,0)/2)))</f>
        <v/>
      </c>
      <c r="Q325">
        <f>IF(OR(Q$4="",$A325&gt;TODAY()),0,IF(OR(INDEX($B325:$D325,Q$5)="F",AND(Q$6&gt;0,$A325&lt;Q$6),AND(Q$7&gt;0,$A325&gt;Q$7)),0,MAX(0,ROUND((INDEX($E325:$G325,Q$5)-SUMIFS(TF_Timer,TF_Tekniker,Q$4,TF_Dato,$A325))*2,0)/2)))</f>
        <v/>
      </c>
      <c r="R325">
        <f>IF(OR(R$4="",$A325&gt;TODAY()),0,IF(OR(INDEX($B325:$D325,R$5)="F",AND(R$6&gt;0,$A325&lt;R$6),AND(R$7&gt;0,$A325&gt;R$7)),0,MAX(0,ROUND((INDEX($E325:$G325,R$5)-SUMIFS(TF_Timer,TF_Tekniker,R$4,TF_Dato,$A325))*2,0)/2)))</f>
        <v/>
      </c>
      <c r="S325">
        <f>IF(OR(S$4="",$A325&gt;TODAY()),0,IF(OR(INDEX($B325:$D325,S$5)="F",AND(S$6&gt;0,$A325&lt;S$6),AND(S$7&gt;0,$A325&gt;S$7)),0,MAX(0,ROUND((INDEX($E325:$G325,S$5)-SUMIFS(TF_Timer,TF_Tekniker,S$4,TF_Dato,$A325))*2,0)/2)))</f>
        <v/>
      </c>
      <c r="T325">
        <f>IF(OR(T$4="",$A325&gt;TODAY()),0,IF(OR(INDEX($B325:$D325,T$5)="F",AND(T$6&gt;0,$A325&lt;T$6),AND(T$7&gt;0,$A325&gt;T$7)),0,MAX(0,ROUND((INDEX($E325:$G325,T$5)-SUMIFS(TF_Timer,TF_Tekniker,T$4,TF_Dato,$A325))*2,0)/2)))</f>
        <v/>
      </c>
      <c r="U325">
        <f>IF(OR(U$4="",$A325&gt;TODAY()),0,IF(OR(INDEX($B325:$D325,U$5)="F",AND(U$6&gt;0,$A325&lt;U$6),AND(U$7&gt;0,$A325&gt;U$7)),0,MAX(0,ROUND((INDEX($E325:$G325,U$5)-SUMIFS(TF_Timer,TF_Tekniker,U$4,TF_Dato,$A325))*2,0)/2)))</f>
        <v/>
      </c>
      <c r="V325">
        <f>IF(OR(V$4="",$A325&gt;TODAY()),0,IF(OR(INDEX($B325:$D325,V$5)="F",AND(V$6&gt;0,$A325&lt;V$6),AND(V$7&gt;0,$A325&gt;V$7)),0,MAX(0,ROUND((INDEX($E325:$G325,V$5)-SUMIFS(TF_Timer,TF_Tekniker,V$4,TF_Dato,$A325))*2,0)/2)))</f>
        <v/>
      </c>
      <c r="W325">
        <f>IF(OR(W$4="",$A325&gt;TODAY()),0,IF(OR(INDEX($B325:$D325,W$5)="F",AND(W$6&gt;0,$A325&lt;W$6),AND(W$7&gt;0,$A325&gt;W$7)),0,MAX(0,ROUND((INDEX($E325:$G325,W$5)-SUMIFS(TF_Timer,TF_Tekniker,W$4,TF_Dato,$A325))*2,0)/2)))</f>
        <v/>
      </c>
      <c r="X325">
        <f>IF(OR(X$4="",$A325&gt;TODAY()),0,IF(OR(INDEX($B325:$D325,X$5)="F",AND(X$6&gt;0,$A325&lt;X$6),AND(X$7&gt;0,$A325&gt;X$7)),0,MAX(0,ROUND((INDEX($E325:$G325,X$5)-SUMIFS(TF_Timer,TF_Tekniker,X$4,TF_Dato,$A325))*2,0)/2)))</f>
        <v/>
      </c>
      <c r="Y325">
        <f>IF(OR(Y$4="",$A325&gt;TODAY()),0,IF(OR(INDEX($B325:$D325,Y$5)="F",AND(Y$6&gt;0,$A325&lt;Y$6),AND(Y$7&gt;0,$A325&gt;Y$7)),0,MAX(0,ROUND((INDEX($E325:$G325,Y$5)-SUMIFS(TF_Timer,TF_Tekniker,Y$4,TF_Dato,$A325))*2,0)/2)))</f>
        <v/>
      </c>
      <c r="Z325">
        <f>IF(OR(Z$4="",$A325&gt;TODAY()),0,IF(OR(INDEX($B325:$D325,Z$5)="F",AND(Z$6&gt;0,$A325&lt;Z$6),AND(Z$7&gt;0,$A325&gt;Z$7)),0,MAX(0,ROUND((INDEX($E325:$G325,Z$5)-SUMIFS(TF_Timer,TF_Tekniker,Z$4,TF_Dato,$A325))*2,0)/2)))</f>
        <v/>
      </c>
      <c r="AA325">
        <f>IF(OR(AA$4="",$A325&gt;TODAY()),0,IF(OR(INDEX($B325:$D325,AA$5)="F",AND(AA$6&gt;0,$A325&lt;AA$6),AND(AA$7&gt;0,$A325&gt;AA$7)),0,MAX(0,ROUND((INDEX($E325:$G325,AA$5)-SUMIFS(TF_Timer,TF_Tekniker,AA$4,TF_Dato,$A325))*2,0)/2)))</f>
        <v/>
      </c>
      <c r="AB325">
        <f>IF(OR(AB$4="",$A325&gt;TODAY()),0,IF(OR(INDEX($B325:$D325,AB$5)="F",AND(AB$6&gt;0,$A325&lt;AB$6),AND(AB$7&gt;0,$A325&gt;AB$7)),0,MAX(0,ROUND((INDEX($E325:$G325,AB$5)-SUMIFS(TF_Timer,TF_Tekniker,AB$4,TF_Dato,$A325))*2,0)/2)))</f>
        <v/>
      </c>
      <c r="AC325">
        <f>IF(OR(AC$4="",$A325&gt;TODAY()),0,IF(OR(INDEX($B325:$D325,AC$5)="F",AND(AC$6&gt;0,$A325&lt;AC$6),AND(AC$7&gt;0,$A325&gt;AC$7)),0,MAX(0,ROUND((INDEX($E325:$G325,AC$5)-SUMIFS(TF_Timer,TF_Tekniker,AC$4,TF_Dato,$A325))*2,0)/2)))</f>
        <v/>
      </c>
      <c r="AD325">
        <f>IF(OR(AD$4="",$A325&gt;TODAY()),0,IF(OR(INDEX($B325:$D325,AD$5)="F",AND(AD$6&gt;0,$A325&lt;AD$6),AND(AD$7&gt;0,$A325&gt;AD$7)),0,MAX(0,ROUND((INDEX($E325:$G325,AD$5)-SUMIFS(TF_Timer,TF_Tekniker,AD$4,TF_Dato,$A325))*2,0)/2)))</f>
        <v/>
      </c>
      <c r="AE325">
        <f>IF(OR(AE$4="",$A325&gt;TODAY()),0,IF(OR(INDEX($B325:$D325,AE$5)="F",AND(AE$6&gt;0,$A325&lt;AE$6),AND(AE$7&gt;0,$A325&gt;AE$7)),0,MAX(0,ROUND((INDEX($E325:$G325,AE$5)-SUMIFS(TF_Timer,TF_Tekniker,AE$4,TF_Dato,$A325))*2,0)/2)))</f>
        <v/>
      </c>
      <c r="AF325">
        <f>IF(OR(AF$4="",$A325&gt;TODAY()),0,IF(OR(INDEX($B325:$D325,AF$5)="F",AND(AF$6&gt;0,$A325&lt;AF$6),AND(AF$7&gt;0,$A325&gt;AF$7)),0,MAX(0,ROUND((INDEX($E325:$G325,AF$5)-SUMIFS(TF_Timer,TF_Tekniker,AF$4,TF_Dato,$A325))*2,0)/2)))</f>
        <v/>
      </c>
      <c r="AG325">
        <f>IF(OR(AG$4="",$A325&gt;TODAY()),0,IF(OR(INDEX($B325:$D325,AG$5)="F",AND(AG$6&gt;0,$A325&lt;AG$6),AND(AG$7&gt;0,$A325&gt;AG$7)),0,MAX(0,ROUND((INDEX($E325:$G325,AG$5)-SUMIFS(TF_Timer,TF_Tekniker,AG$4,TF_Dato,$A325))*2,0)/2)))</f>
        <v/>
      </c>
      <c r="AH325">
        <f>IF(OR(AH$4="",$A325&gt;TODAY()),0,IF(OR(INDEX($B325:$D325,AH$5)="F",AND(AH$6&gt;0,$A325&lt;AH$6),AND(AH$7&gt;0,$A325&gt;AH$7)),0,MAX(0,ROUND((INDEX($E325:$G325,AH$5)-SUMIFS(TF_Timer,TF_Tekniker,AH$4,TF_Dato,$A325))*2,0)/2)))</f>
        <v/>
      </c>
      <c r="AI325">
        <f>IF(OR(AI$4="",$A325&gt;TODAY()),0,IF(OR(INDEX($B325:$D325,AI$5)="F",AND(AI$6&gt;0,$A325&lt;AI$6),AND(AI$7&gt;0,$A325&gt;AI$7)),0,MAX(0,ROUND((INDEX($E325:$G325,AI$5)-SUMIFS(TF_Timer,TF_Tekniker,AI$4,TF_Dato,$A325))*2,0)/2)))</f>
        <v/>
      </c>
      <c r="AJ325">
        <f>IF(OR(AJ$4="",$A325&gt;TODAY()),0,IF(OR(INDEX($B325:$D325,AJ$5)="F",AND(AJ$6&gt;0,$A325&lt;AJ$6),AND(AJ$7&gt;0,$A325&gt;AJ$7)),0,MAX(0,ROUND((INDEX($E325:$G325,AJ$5)-SUMIFS(TF_Timer,TF_Tekniker,AJ$4,TF_Dato,$A325))*2,0)/2)))</f>
        <v/>
      </c>
      <c r="AK325">
        <f>IF(OR(AK$4="",$A325&gt;TODAY()),0,IF(OR(INDEX($B325:$D325,AK$5)="F",AND(AK$6&gt;0,$A325&lt;AK$6),AND(AK$7&gt;0,$A325&gt;AK$7)),0,MAX(0,ROUND((INDEX($E325:$G325,AK$5)-SUMIFS(TF_Timer,TF_Tekniker,AK$4,TF_Dato,$A325))*2,0)/2)))</f>
        <v/>
      </c>
      <c r="AL325">
        <f>IF(OR(AL$4="",$A325&gt;TODAY()),0,IF(OR(INDEX($B325:$D325,AL$5)="F",AND(AL$6&gt;0,$A325&lt;AL$6),AND(AL$7&gt;0,$A325&gt;AL$7)),0,MAX(0,ROUND((INDEX($E325:$G325,AL$5)-SUMIFS(TF_Timer,TF_Tekniker,AL$4,TF_Dato,$A325))*2,0)/2)))</f>
        <v/>
      </c>
      <c r="AM325">
        <f>IF(OR(AM$4="",$A325&gt;TODAY()),0,IF(OR(INDEX($B325:$D325,AM$5)="F",AND(AM$6&gt;0,$A325&lt;AM$6),AND(AM$7&gt;0,$A325&gt;AM$7)),0,MAX(0,ROUND((INDEX($E325:$G325,AM$5)-SUMIFS(TF_Timer,TF_Tekniker,AM$4,TF_Dato,$A325))*2,0)/2)))</f>
        <v/>
      </c>
      <c r="AN325">
        <f>IF(OR(AN$4="",$A325&gt;TODAY()),0,IF(OR(INDEX($B325:$D325,AN$5)="F",AND(AN$6&gt;0,$A325&lt;AN$6),AND(AN$7&gt;0,$A325&gt;AN$7)),0,MAX(0,ROUND((INDEX($E325:$G325,AN$5)-SUMIFS(TF_Timer,TF_Tekniker,AN$4,TF_Dato,$A325))*2,0)/2)))</f>
        <v/>
      </c>
      <c r="AO325">
        <f>IF(OR(AO$4="",$A325&gt;TODAY()),0,IF(OR(INDEX($B325:$D325,AO$5)="F",AND(AO$6&gt;0,$A325&lt;AO$6),AND(AO$7&gt;0,$A325&gt;AO$7)),0,MAX(0,ROUND((INDEX($E325:$G325,AO$5)-SUMIFS(TF_Timer,TF_Tekniker,AO$4,TF_Dato,$A325))*2,0)/2)))</f>
        <v/>
      </c>
      <c r="AP325">
        <f>IF(OR(AP$4="",$A325&gt;TODAY()),0,IF(OR(INDEX($B325:$D325,AP$5)="F",AND(AP$6&gt;0,$A325&lt;AP$6),AND(AP$7&gt;0,$A325&gt;AP$7)),0,MAX(0,ROUND((INDEX($E325:$G325,AP$5)-SUMIFS(TF_Timer,TF_Tekniker,AP$4,TF_Dato,$A325))*2,0)/2)))</f>
        <v/>
      </c>
      <c r="AQ325">
        <f>IF(OR(AQ$4="",$A325&gt;TODAY()),0,IF(OR(INDEX($B325:$D325,AQ$5)="F",AND(AQ$6&gt;0,$A325&lt;AQ$6),AND(AQ$7&gt;0,$A325&gt;AQ$7)),0,MAX(0,ROUND((INDEX($E325:$G325,AQ$5)-SUMIFS(TF_Timer,TF_Tekniker,AQ$4,TF_Dato,$A325))*2,0)/2)))</f>
        <v/>
      </c>
      <c r="AR325">
        <f>IF(OR(AR$4="",$A325&gt;TODAY()),0,IF(OR(INDEX($B325:$D325,AR$5)="F",AND(AR$6&gt;0,$A325&lt;AR$6),AND(AR$7&gt;0,$A325&gt;AR$7)),0,MAX(0,ROUND((INDEX($E325:$G325,AR$5)-SUMIFS(TF_Timer,TF_Tekniker,AR$4,TF_Dato,$A325))*2,0)/2)))</f>
        <v/>
      </c>
      <c r="AS325">
        <f>IF(OR(AS$4="",$A325&gt;TODAY()),0,IF(OR(INDEX($B325:$D325,AS$5)="F",AND(AS$6&gt;0,$A325&lt;AS$6),AND(AS$7&gt;0,$A325&gt;AS$7)),0,MAX(0,ROUND((INDEX($E325:$G325,AS$5)-SUMIFS(TF_Timer,TF_Tekniker,AS$4,TF_Dato,$A325))*2,0)/2)))</f>
        <v/>
      </c>
      <c r="AT325">
        <f>IF(OR(AT$4="",$A325&gt;TODAY()),0,IF(OR(INDEX($B325:$D325,AT$5)="F",AND(AT$6&gt;0,$A325&lt;AT$6),AND(AT$7&gt;0,$A325&gt;AT$7)),0,MAX(0,ROUND((INDEX($E325:$G325,AT$5)-SUMIFS(TF_Timer,TF_Tekniker,AT$4,TF_Dato,$A325))*2,0)/2)))</f>
        <v/>
      </c>
      <c r="AU325">
        <f>IF(OR(AU$4="",$A325&gt;TODAY()),0,IF(OR(INDEX($B325:$D325,AU$5)="F",AND(AU$6&gt;0,$A325&lt;AU$6),AND(AU$7&gt;0,$A325&gt;AU$7)),0,MAX(0,ROUND((INDEX($E325:$G325,AU$5)-SUMIFS(TF_Timer,TF_Tekniker,AU$4,TF_Dato,$A325))*2,0)/2)))</f>
        <v/>
      </c>
      <c r="AV325">
        <f>IF(OR(AV$4="",$A325&gt;TODAY()),0,IF(OR(INDEX($B325:$D325,AV$5)="F",AND(AV$6&gt;0,$A325&lt;AV$6),AND(AV$7&gt;0,$A325&gt;AV$7)),0,MAX(0,ROUND((INDEX($E325:$G325,AV$5)-SUMIFS(TF_Timer,TF_Tekniker,AV$4,TF_Dato,$A325))*2,0)/2)))</f>
        <v/>
      </c>
      <c r="AW325">
        <f>IF(OR(AW$4="",$A325&gt;TODAY()),0,IF(OR(INDEX($B325:$D325,AW$5)="F",AND(AW$6&gt;0,$A325&lt;AW$6),AND(AW$7&gt;0,$A325&gt;AW$7)),0,MAX(0,ROUND((INDEX($E325:$G325,AW$5)-SUMIFS(TF_Timer,TF_Tekniker,AW$4,TF_Dato,$A325))*2,0)/2)))</f>
        <v/>
      </c>
      <c r="AX325">
        <f>IF(OR(AX$4="",$A325&gt;TODAY()),0,IF(OR(INDEX($B325:$D325,AX$5)="F",AND(AX$6&gt;0,$A325&lt;AX$6),AND(AX$7&gt;0,$A325&gt;AX$7)),0,MAX(0,ROUND((INDEX($E325:$G325,AX$5)-SUMIFS(TF_Timer,TF_Tekniker,AX$4,TF_Dato,$A325))*2,0)/2)))</f>
        <v/>
      </c>
      <c r="AY325">
        <f>IF(OR(AY$4="",$A325&gt;TODAY()),0,IF(OR(INDEX($B325:$D325,AY$5)="F",AND(AY$6&gt;0,$A325&lt;AY$6),AND(AY$7&gt;0,$A325&gt;AY$7)),0,MAX(0,ROUND((INDEX($E325:$G325,AY$5)-SUMIFS(TF_Timer,TF_Tekniker,AY$4,TF_Dato,$A325))*2,0)/2)))</f>
        <v/>
      </c>
      <c r="AZ325">
        <f>IF(OR(AZ$4="",$A325&gt;TODAY()),0,IF(OR(INDEX($B325:$D325,AZ$5)="F",AND(AZ$6&gt;0,$A325&lt;AZ$6),AND(AZ$7&gt;0,$A325&gt;AZ$7)),0,MAX(0,ROUND((INDEX($E325:$G325,AZ$5)-SUMIFS(TF_Timer,TF_Tekniker,AZ$4,TF_Dato,$A325))*2,0)/2)))</f>
        <v/>
      </c>
      <c r="BA325">
        <f>IF(OR(BA$4="",$A325&gt;TODAY()),0,IF(OR(INDEX($B325:$D325,BA$5)="F",AND(BA$6&gt;0,$A325&lt;BA$6),AND(BA$7&gt;0,$A325&gt;BA$7)),0,MAX(0,ROUND((INDEX($E325:$G325,BA$5)-SUMIFS(TF_Timer,TF_Tekniker,BA$4,TF_Dato,$A325))*2,0)/2)))</f>
        <v/>
      </c>
      <c r="BB325">
        <f>IF(OR(BB$4="",$A325&gt;TODAY()),0,IF(OR(INDEX($B325:$D325,BB$5)="F",AND(BB$6&gt;0,$A325&lt;BB$6),AND(BB$7&gt;0,$A325&gt;BB$7)),0,MAX(0,ROUND((INDEX($E325:$G325,BB$5)-SUMIFS(TF_Timer,TF_Tekniker,BB$4,TF_Dato,$A325))*2,0)/2)))</f>
        <v/>
      </c>
      <c r="BC325">
        <f>IF(OR(BC$4="",$A325&gt;TODAY()),0,IF(OR(INDEX($B325:$D325,BC$5)="F",AND(BC$6&gt;0,$A325&lt;BC$6),AND(BC$7&gt;0,$A325&gt;BC$7)),0,MAX(0,ROUND((INDEX($E325:$G325,BC$5)-SUMIFS(TF_Timer,TF_Tekniker,BC$4,TF_Dato,$A325))*2,0)/2)))</f>
        <v/>
      </c>
      <c r="BD325">
        <f>IF(OR(BD$4="",$A325&gt;TODAY()),0,IF(OR(INDEX($B325:$D325,BD$5)="F",AND(BD$6&gt;0,$A325&lt;BD$6),AND(BD$7&gt;0,$A325&gt;BD$7)),0,MAX(0,ROUND((INDEX($E325:$G325,BD$5)-SUMIFS(TF_Timer,TF_Tekniker,BD$4,TF_Dato,$A325))*2,0)/2)))</f>
        <v/>
      </c>
      <c r="BE325">
        <f>IF(OR(BE$4="",$A325&gt;TODAY()),0,IF(OR(INDEX($B325:$D325,BE$5)="F",AND(BE$6&gt;0,$A325&lt;BE$6),AND(BE$7&gt;0,$A325&gt;BE$7)),0,MAX(0,ROUND((INDEX($E325:$G325,BE$5)-SUMIFS(TF_Timer,TF_Tekniker,BE$4,TF_Dato,$A325))*2,0)/2)))</f>
        <v/>
      </c>
      <c r="BF325">
        <f>IF(OR(BF$4="",$A325&gt;TODAY()),0,IF(OR(INDEX($B325:$D325,BF$5)="F",AND(BF$6&gt;0,$A325&lt;BF$6),AND(BF$7&gt;0,$A325&gt;BF$7)),0,MAX(0,ROUND((INDEX($E325:$G325,BF$5)-SUMIFS(TF_Timer,TF_Tekniker,BF$4,TF_Dato,$A325))*2,0)/2)))</f>
        <v/>
      </c>
      <c r="BG325">
        <f>IF(OR(BG$4="",$A325&gt;TODAY()),0,IF(OR(INDEX($B325:$D325,BG$5)="F",AND(BG$6&gt;0,$A325&lt;BG$6),AND(BG$7&gt;0,$A325&gt;BG$7)),0,MAX(0,ROUND((INDEX($E325:$G325,BG$5)-SUMIFS(TF_Timer,TF_Tekniker,BG$4,TF_Dato,$A325))*2,0)/2)))</f>
        <v/>
      </c>
      <c r="BH325">
        <f>IF(OR(BH$4="",$A325&gt;TODAY()),0,IF(OR(INDEX($B325:$D325,BH$5)="F",AND(BH$6&gt;0,$A325&lt;BH$6),AND(BH$7&gt;0,$A325&gt;BH$7)),0,MAX(0,ROUND((INDEX($E325:$G325,BH$5)-SUMIFS(TF_Timer,TF_Tekniker,BH$4,TF_Dato,$A325))*2,0)/2)))</f>
        <v/>
      </c>
      <c r="BI325">
        <f>IF(OR(BI$4="",$A325&gt;TODAY()),0,IF(OR(INDEX($B325:$D325,BI$5)="F",AND(BI$6&gt;0,$A325&lt;BI$6),AND(BI$7&gt;0,$A325&gt;BI$7)),0,MAX(0,ROUND((INDEX($E325:$G325,BI$5)-SUMIFS(TF_Timer,TF_Tekniker,BI$4,TF_Dato,$A325))*2,0)/2)))</f>
        <v/>
      </c>
    </row>
    <row r="326">
      <c r="A326" s="64">
        <f>A325+1</f>
        <v/>
      </c>
      <c r="B326">
        <f>IF(MOD($A326-INDEX(SkiftStart,1),Syklus)&lt;DagK,"K",IF(MOD($A326-INDEX(SkiftStart,1),Syklus)&lt;DagK+DagH,"H",IF(MOD($A326-INDEX(SkiftStart,1),Syklus)&lt;DagK+DagH+DagD,"D","F")))</f>
        <v/>
      </c>
      <c r="C326">
        <f>IF(MOD($A326-INDEX(SkiftStart,2),Syklus)&lt;DagK,"K",IF(MOD($A326-INDEX(SkiftStart,2),Syklus)&lt;DagK+DagH,"H",IF(MOD($A326-INDEX(SkiftStart,2),Syklus)&lt;DagK+DagH+DagD,"D","F")))</f>
        <v/>
      </c>
      <c r="D326">
        <f>IF(MOD($A326-INDEX(SkiftStart,3),Syklus)&lt;DagK,"K",IF(MOD($A326-INDEX(SkiftStart,3),Syklus)&lt;DagK+DagH,"H",IF(MOD($A326-INDEX(SkiftStart,3),Syklus)&lt;DagK+DagH+DagD,"D","F")))</f>
        <v/>
      </c>
      <c r="E326">
        <f>IF(B326="F",0,IF(WEEKDAY($A326,2)=5,INDEX(TimerFr,MATCH(B326,FaseKode,0)),INDEX(TimerMT,MATCH(B326,FaseKode,0))))</f>
        <v/>
      </c>
      <c r="F326">
        <f>IF(C326="F",0,IF(WEEKDAY($A326,2)=5,INDEX(TimerFr,MATCH(C326,FaseKode,0)),INDEX(TimerMT,MATCH(C326,FaseKode,0))))</f>
        <v/>
      </c>
      <c r="G326">
        <f>IF(D326="F",0,IF(WEEKDAY($A326,2)=5,INDEX(TimerFr,MATCH(D326,FaseKode,0)),INDEX(TimerMT,MATCH(D326,FaseKode,0))))</f>
        <v/>
      </c>
      <c r="H326">
        <f>IF(OR(H$4="",$A326&gt;TODAY()),0,IF(OR(INDEX($B326:$D326,H$5)="F",AND(H$6&gt;0,$A326&lt;H$6),AND(H$7&gt;0,$A326&gt;H$7)),0,MAX(0,ROUND((INDEX($E326:$G326,H$5)-SUMIFS(TF_Timer,TF_Tekniker,H$4,TF_Dato,$A326))*2,0)/2)))</f>
        <v/>
      </c>
      <c r="I326">
        <f>IF(OR(I$4="",$A326&gt;TODAY()),0,IF(OR(INDEX($B326:$D326,I$5)="F",AND(I$6&gt;0,$A326&lt;I$6),AND(I$7&gt;0,$A326&gt;I$7)),0,MAX(0,ROUND((INDEX($E326:$G326,I$5)-SUMIFS(TF_Timer,TF_Tekniker,I$4,TF_Dato,$A326))*2,0)/2)))</f>
        <v/>
      </c>
      <c r="J326">
        <f>IF(OR(J$4="",$A326&gt;TODAY()),0,IF(OR(INDEX($B326:$D326,J$5)="F",AND(J$6&gt;0,$A326&lt;J$6),AND(J$7&gt;0,$A326&gt;J$7)),0,MAX(0,ROUND((INDEX($E326:$G326,J$5)-SUMIFS(TF_Timer,TF_Tekniker,J$4,TF_Dato,$A326))*2,0)/2)))</f>
        <v/>
      </c>
      <c r="K326">
        <f>IF(OR(K$4="",$A326&gt;TODAY()),0,IF(OR(INDEX($B326:$D326,K$5)="F",AND(K$6&gt;0,$A326&lt;K$6),AND(K$7&gt;0,$A326&gt;K$7)),0,MAX(0,ROUND((INDEX($E326:$G326,K$5)-SUMIFS(TF_Timer,TF_Tekniker,K$4,TF_Dato,$A326))*2,0)/2)))</f>
        <v/>
      </c>
      <c r="L326">
        <f>IF(OR(L$4="",$A326&gt;TODAY()),0,IF(OR(INDEX($B326:$D326,L$5)="F",AND(L$6&gt;0,$A326&lt;L$6),AND(L$7&gt;0,$A326&gt;L$7)),0,MAX(0,ROUND((INDEX($E326:$G326,L$5)-SUMIFS(TF_Timer,TF_Tekniker,L$4,TF_Dato,$A326))*2,0)/2)))</f>
        <v/>
      </c>
      <c r="M326">
        <f>IF(OR(M$4="",$A326&gt;TODAY()),0,IF(OR(INDEX($B326:$D326,M$5)="F",AND(M$6&gt;0,$A326&lt;M$6),AND(M$7&gt;0,$A326&gt;M$7)),0,MAX(0,ROUND((INDEX($E326:$G326,M$5)-SUMIFS(TF_Timer,TF_Tekniker,M$4,TF_Dato,$A326))*2,0)/2)))</f>
        <v/>
      </c>
      <c r="N326">
        <f>IF(OR(N$4="",$A326&gt;TODAY()),0,IF(OR(INDEX($B326:$D326,N$5)="F",AND(N$6&gt;0,$A326&lt;N$6),AND(N$7&gt;0,$A326&gt;N$7)),0,MAX(0,ROUND((INDEX($E326:$G326,N$5)-SUMIFS(TF_Timer,TF_Tekniker,N$4,TF_Dato,$A326))*2,0)/2)))</f>
        <v/>
      </c>
      <c r="O326">
        <f>IF(OR(O$4="",$A326&gt;TODAY()),0,IF(OR(INDEX($B326:$D326,O$5)="F",AND(O$6&gt;0,$A326&lt;O$6),AND(O$7&gt;0,$A326&gt;O$7)),0,MAX(0,ROUND((INDEX($E326:$G326,O$5)-SUMIFS(TF_Timer,TF_Tekniker,O$4,TF_Dato,$A326))*2,0)/2)))</f>
        <v/>
      </c>
      <c r="P326">
        <f>IF(OR(P$4="",$A326&gt;TODAY()),0,IF(OR(INDEX($B326:$D326,P$5)="F",AND(P$6&gt;0,$A326&lt;P$6),AND(P$7&gt;0,$A326&gt;P$7)),0,MAX(0,ROUND((INDEX($E326:$G326,P$5)-SUMIFS(TF_Timer,TF_Tekniker,P$4,TF_Dato,$A326))*2,0)/2)))</f>
        <v/>
      </c>
      <c r="Q326">
        <f>IF(OR(Q$4="",$A326&gt;TODAY()),0,IF(OR(INDEX($B326:$D326,Q$5)="F",AND(Q$6&gt;0,$A326&lt;Q$6),AND(Q$7&gt;0,$A326&gt;Q$7)),0,MAX(0,ROUND((INDEX($E326:$G326,Q$5)-SUMIFS(TF_Timer,TF_Tekniker,Q$4,TF_Dato,$A326))*2,0)/2)))</f>
        <v/>
      </c>
      <c r="R326">
        <f>IF(OR(R$4="",$A326&gt;TODAY()),0,IF(OR(INDEX($B326:$D326,R$5)="F",AND(R$6&gt;0,$A326&lt;R$6),AND(R$7&gt;0,$A326&gt;R$7)),0,MAX(0,ROUND((INDEX($E326:$G326,R$5)-SUMIFS(TF_Timer,TF_Tekniker,R$4,TF_Dato,$A326))*2,0)/2)))</f>
        <v/>
      </c>
      <c r="S326">
        <f>IF(OR(S$4="",$A326&gt;TODAY()),0,IF(OR(INDEX($B326:$D326,S$5)="F",AND(S$6&gt;0,$A326&lt;S$6),AND(S$7&gt;0,$A326&gt;S$7)),0,MAX(0,ROUND((INDEX($E326:$G326,S$5)-SUMIFS(TF_Timer,TF_Tekniker,S$4,TF_Dato,$A326))*2,0)/2)))</f>
        <v/>
      </c>
      <c r="T326">
        <f>IF(OR(T$4="",$A326&gt;TODAY()),0,IF(OR(INDEX($B326:$D326,T$5)="F",AND(T$6&gt;0,$A326&lt;T$6),AND(T$7&gt;0,$A326&gt;T$7)),0,MAX(0,ROUND((INDEX($E326:$G326,T$5)-SUMIFS(TF_Timer,TF_Tekniker,T$4,TF_Dato,$A326))*2,0)/2)))</f>
        <v/>
      </c>
      <c r="U326">
        <f>IF(OR(U$4="",$A326&gt;TODAY()),0,IF(OR(INDEX($B326:$D326,U$5)="F",AND(U$6&gt;0,$A326&lt;U$6),AND(U$7&gt;0,$A326&gt;U$7)),0,MAX(0,ROUND((INDEX($E326:$G326,U$5)-SUMIFS(TF_Timer,TF_Tekniker,U$4,TF_Dato,$A326))*2,0)/2)))</f>
        <v/>
      </c>
      <c r="V326">
        <f>IF(OR(V$4="",$A326&gt;TODAY()),0,IF(OR(INDEX($B326:$D326,V$5)="F",AND(V$6&gt;0,$A326&lt;V$6),AND(V$7&gt;0,$A326&gt;V$7)),0,MAX(0,ROUND((INDEX($E326:$G326,V$5)-SUMIFS(TF_Timer,TF_Tekniker,V$4,TF_Dato,$A326))*2,0)/2)))</f>
        <v/>
      </c>
      <c r="W326">
        <f>IF(OR(W$4="",$A326&gt;TODAY()),0,IF(OR(INDEX($B326:$D326,W$5)="F",AND(W$6&gt;0,$A326&lt;W$6),AND(W$7&gt;0,$A326&gt;W$7)),0,MAX(0,ROUND((INDEX($E326:$G326,W$5)-SUMIFS(TF_Timer,TF_Tekniker,W$4,TF_Dato,$A326))*2,0)/2)))</f>
        <v/>
      </c>
      <c r="X326">
        <f>IF(OR(X$4="",$A326&gt;TODAY()),0,IF(OR(INDEX($B326:$D326,X$5)="F",AND(X$6&gt;0,$A326&lt;X$6),AND(X$7&gt;0,$A326&gt;X$7)),0,MAX(0,ROUND((INDEX($E326:$G326,X$5)-SUMIFS(TF_Timer,TF_Tekniker,X$4,TF_Dato,$A326))*2,0)/2)))</f>
        <v/>
      </c>
      <c r="Y326">
        <f>IF(OR(Y$4="",$A326&gt;TODAY()),0,IF(OR(INDEX($B326:$D326,Y$5)="F",AND(Y$6&gt;0,$A326&lt;Y$6),AND(Y$7&gt;0,$A326&gt;Y$7)),0,MAX(0,ROUND((INDEX($E326:$G326,Y$5)-SUMIFS(TF_Timer,TF_Tekniker,Y$4,TF_Dato,$A326))*2,0)/2)))</f>
        <v/>
      </c>
      <c r="Z326">
        <f>IF(OR(Z$4="",$A326&gt;TODAY()),0,IF(OR(INDEX($B326:$D326,Z$5)="F",AND(Z$6&gt;0,$A326&lt;Z$6),AND(Z$7&gt;0,$A326&gt;Z$7)),0,MAX(0,ROUND((INDEX($E326:$G326,Z$5)-SUMIFS(TF_Timer,TF_Tekniker,Z$4,TF_Dato,$A326))*2,0)/2)))</f>
        <v/>
      </c>
      <c r="AA326">
        <f>IF(OR(AA$4="",$A326&gt;TODAY()),0,IF(OR(INDEX($B326:$D326,AA$5)="F",AND(AA$6&gt;0,$A326&lt;AA$6),AND(AA$7&gt;0,$A326&gt;AA$7)),0,MAX(0,ROUND((INDEX($E326:$G326,AA$5)-SUMIFS(TF_Timer,TF_Tekniker,AA$4,TF_Dato,$A326))*2,0)/2)))</f>
        <v/>
      </c>
      <c r="AB326">
        <f>IF(OR(AB$4="",$A326&gt;TODAY()),0,IF(OR(INDEX($B326:$D326,AB$5)="F",AND(AB$6&gt;0,$A326&lt;AB$6),AND(AB$7&gt;0,$A326&gt;AB$7)),0,MAX(0,ROUND((INDEX($E326:$G326,AB$5)-SUMIFS(TF_Timer,TF_Tekniker,AB$4,TF_Dato,$A326))*2,0)/2)))</f>
        <v/>
      </c>
      <c r="AC326">
        <f>IF(OR(AC$4="",$A326&gt;TODAY()),0,IF(OR(INDEX($B326:$D326,AC$5)="F",AND(AC$6&gt;0,$A326&lt;AC$6),AND(AC$7&gt;0,$A326&gt;AC$7)),0,MAX(0,ROUND((INDEX($E326:$G326,AC$5)-SUMIFS(TF_Timer,TF_Tekniker,AC$4,TF_Dato,$A326))*2,0)/2)))</f>
        <v/>
      </c>
      <c r="AD326">
        <f>IF(OR(AD$4="",$A326&gt;TODAY()),0,IF(OR(INDEX($B326:$D326,AD$5)="F",AND(AD$6&gt;0,$A326&lt;AD$6),AND(AD$7&gt;0,$A326&gt;AD$7)),0,MAX(0,ROUND((INDEX($E326:$G326,AD$5)-SUMIFS(TF_Timer,TF_Tekniker,AD$4,TF_Dato,$A326))*2,0)/2)))</f>
        <v/>
      </c>
      <c r="AE326">
        <f>IF(OR(AE$4="",$A326&gt;TODAY()),0,IF(OR(INDEX($B326:$D326,AE$5)="F",AND(AE$6&gt;0,$A326&lt;AE$6),AND(AE$7&gt;0,$A326&gt;AE$7)),0,MAX(0,ROUND((INDEX($E326:$G326,AE$5)-SUMIFS(TF_Timer,TF_Tekniker,AE$4,TF_Dato,$A326))*2,0)/2)))</f>
        <v/>
      </c>
      <c r="AF326">
        <f>IF(OR(AF$4="",$A326&gt;TODAY()),0,IF(OR(INDEX($B326:$D326,AF$5)="F",AND(AF$6&gt;0,$A326&lt;AF$6),AND(AF$7&gt;0,$A326&gt;AF$7)),0,MAX(0,ROUND((INDEX($E326:$G326,AF$5)-SUMIFS(TF_Timer,TF_Tekniker,AF$4,TF_Dato,$A326))*2,0)/2)))</f>
        <v/>
      </c>
      <c r="AG326">
        <f>IF(OR(AG$4="",$A326&gt;TODAY()),0,IF(OR(INDEX($B326:$D326,AG$5)="F",AND(AG$6&gt;0,$A326&lt;AG$6),AND(AG$7&gt;0,$A326&gt;AG$7)),0,MAX(0,ROUND((INDEX($E326:$G326,AG$5)-SUMIFS(TF_Timer,TF_Tekniker,AG$4,TF_Dato,$A326))*2,0)/2)))</f>
        <v/>
      </c>
      <c r="AH326">
        <f>IF(OR(AH$4="",$A326&gt;TODAY()),0,IF(OR(INDEX($B326:$D326,AH$5)="F",AND(AH$6&gt;0,$A326&lt;AH$6),AND(AH$7&gt;0,$A326&gt;AH$7)),0,MAX(0,ROUND((INDEX($E326:$G326,AH$5)-SUMIFS(TF_Timer,TF_Tekniker,AH$4,TF_Dato,$A326))*2,0)/2)))</f>
        <v/>
      </c>
      <c r="AI326">
        <f>IF(OR(AI$4="",$A326&gt;TODAY()),0,IF(OR(INDEX($B326:$D326,AI$5)="F",AND(AI$6&gt;0,$A326&lt;AI$6),AND(AI$7&gt;0,$A326&gt;AI$7)),0,MAX(0,ROUND((INDEX($E326:$G326,AI$5)-SUMIFS(TF_Timer,TF_Tekniker,AI$4,TF_Dato,$A326))*2,0)/2)))</f>
        <v/>
      </c>
      <c r="AJ326">
        <f>IF(OR(AJ$4="",$A326&gt;TODAY()),0,IF(OR(INDEX($B326:$D326,AJ$5)="F",AND(AJ$6&gt;0,$A326&lt;AJ$6),AND(AJ$7&gt;0,$A326&gt;AJ$7)),0,MAX(0,ROUND((INDEX($E326:$G326,AJ$5)-SUMIFS(TF_Timer,TF_Tekniker,AJ$4,TF_Dato,$A326))*2,0)/2)))</f>
        <v/>
      </c>
      <c r="AK326">
        <f>IF(OR(AK$4="",$A326&gt;TODAY()),0,IF(OR(INDEX($B326:$D326,AK$5)="F",AND(AK$6&gt;0,$A326&lt;AK$6),AND(AK$7&gt;0,$A326&gt;AK$7)),0,MAX(0,ROUND((INDEX($E326:$G326,AK$5)-SUMIFS(TF_Timer,TF_Tekniker,AK$4,TF_Dato,$A326))*2,0)/2)))</f>
        <v/>
      </c>
      <c r="AL326">
        <f>IF(OR(AL$4="",$A326&gt;TODAY()),0,IF(OR(INDEX($B326:$D326,AL$5)="F",AND(AL$6&gt;0,$A326&lt;AL$6),AND(AL$7&gt;0,$A326&gt;AL$7)),0,MAX(0,ROUND((INDEX($E326:$G326,AL$5)-SUMIFS(TF_Timer,TF_Tekniker,AL$4,TF_Dato,$A326))*2,0)/2)))</f>
        <v/>
      </c>
      <c r="AM326">
        <f>IF(OR(AM$4="",$A326&gt;TODAY()),0,IF(OR(INDEX($B326:$D326,AM$5)="F",AND(AM$6&gt;0,$A326&lt;AM$6),AND(AM$7&gt;0,$A326&gt;AM$7)),0,MAX(0,ROUND((INDEX($E326:$G326,AM$5)-SUMIFS(TF_Timer,TF_Tekniker,AM$4,TF_Dato,$A326))*2,0)/2)))</f>
        <v/>
      </c>
      <c r="AN326">
        <f>IF(OR(AN$4="",$A326&gt;TODAY()),0,IF(OR(INDEX($B326:$D326,AN$5)="F",AND(AN$6&gt;0,$A326&lt;AN$6),AND(AN$7&gt;0,$A326&gt;AN$7)),0,MAX(0,ROUND((INDEX($E326:$G326,AN$5)-SUMIFS(TF_Timer,TF_Tekniker,AN$4,TF_Dato,$A326))*2,0)/2)))</f>
        <v/>
      </c>
      <c r="AO326">
        <f>IF(OR(AO$4="",$A326&gt;TODAY()),0,IF(OR(INDEX($B326:$D326,AO$5)="F",AND(AO$6&gt;0,$A326&lt;AO$6),AND(AO$7&gt;0,$A326&gt;AO$7)),0,MAX(0,ROUND((INDEX($E326:$G326,AO$5)-SUMIFS(TF_Timer,TF_Tekniker,AO$4,TF_Dato,$A326))*2,0)/2)))</f>
        <v/>
      </c>
      <c r="AP326">
        <f>IF(OR(AP$4="",$A326&gt;TODAY()),0,IF(OR(INDEX($B326:$D326,AP$5)="F",AND(AP$6&gt;0,$A326&lt;AP$6),AND(AP$7&gt;0,$A326&gt;AP$7)),0,MAX(0,ROUND((INDEX($E326:$G326,AP$5)-SUMIFS(TF_Timer,TF_Tekniker,AP$4,TF_Dato,$A326))*2,0)/2)))</f>
        <v/>
      </c>
      <c r="AQ326">
        <f>IF(OR(AQ$4="",$A326&gt;TODAY()),0,IF(OR(INDEX($B326:$D326,AQ$5)="F",AND(AQ$6&gt;0,$A326&lt;AQ$6),AND(AQ$7&gt;0,$A326&gt;AQ$7)),0,MAX(0,ROUND((INDEX($E326:$G326,AQ$5)-SUMIFS(TF_Timer,TF_Tekniker,AQ$4,TF_Dato,$A326))*2,0)/2)))</f>
        <v/>
      </c>
      <c r="AR326">
        <f>IF(OR(AR$4="",$A326&gt;TODAY()),0,IF(OR(INDEX($B326:$D326,AR$5)="F",AND(AR$6&gt;0,$A326&lt;AR$6),AND(AR$7&gt;0,$A326&gt;AR$7)),0,MAX(0,ROUND((INDEX($E326:$G326,AR$5)-SUMIFS(TF_Timer,TF_Tekniker,AR$4,TF_Dato,$A326))*2,0)/2)))</f>
        <v/>
      </c>
      <c r="AS326">
        <f>IF(OR(AS$4="",$A326&gt;TODAY()),0,IF(OR(INDEX($B326:$D326,AS$5)="F",AND(AS$6&gt;0,$A326&lt;AS$6),AND(AS$7&gt;0,$A326&gt;AS$7)),0,MAX(0,ROUND((INDEX($E326:$G326,AS$5)-SUMIFS(TF_Timer,TF_Tekniker,AS$4,TF_Dato,$A326))*2,0)/2)))</f>
        <v/>
      </c>
      <c r="AT326">
        <f>IF(OR(AT$4="",$A326&gt;TODAY()),0,IF(OR(INDEX($B326:$D326,AT$5)="F",AND(AT$6&gt;0,$A326&lt;AT$6),AND(AT$7&gt;0,$A326&gt;AT$7)),0,MAX(0,ROUND((INDEX($E326:$G326,AT$5)-SUMIFS(TF_Timer,TF_Tekniker,AT$4,TF_Dato,$A326))*2,0)/2)))</f>
        <v/>
      </c>
      <c r="AU326">
        <f>IF(OR(AU$4="",$A326&gt;TODAY()),0,IF(OR(INDEX($B326:$D326,AU$5)="F",AND(AU$6&gt;0,$A326&lt;AU$6),AND(AU$7&gt;0,$A326&gt;AU$7)),0,MAX(0,ROUND((INDEX($E326:$G326,AU$5)-SUMIFS(TF_Timer,TF_Tekniker,AU$4,TF_Dato,$A326))*2,0)/2)))</f>
        <v/>
      </c>
      <c r="AV326">
        <f>IF(OR(AV$4="",$A326&gt;TODAY()),0,IF(OR(INDEX($B326:$D326,AV$5)="F",AND(AV$6&gt;0,$A326&lt;AV$6),AND(AV$7&gt;0,$A326&gt;AV$7)),0,MAX(0,ROUND((INDEX($E326:$G326,AV$5)-SUMIFS(TF_Timer,TF_Tekniker,AV$4,TF_Dato,$A326))*2,0)/2)))</f>
        <v/>
      </c>
      <c r="AW326">
        <f>IF(OR(AW$4="",$A326&gt;TODAY()),0,IF(OR(INDEX($B326:$D326,AW$5)="F",AND(AW$6&gt;0,$A326&lt;AW$6),AND(AW$7&gt;0,$A326&gt;AW$7)),0,MAX(0,ROUND((INDEX($E326:$G326,AW$5)-SUMIFS(TF_Timer,TF_Tekniker,AW$4,TF_Dato,$A326))*2,0)/2)))</f>
        <v/>
      </c>
      <c r="AX326">
        <f>IF(OR(AX$4="",$A326&gt;TODAY()),0,IF(OR(INDEX($B326:$D326,AX$5)="F",AND(AX$6&gt;0,$A326&lt;AX$6),AND(AX$7&gt;0,$A326&gt;AX$7)),0,MAX(0,ROUND((INDEX($E326:$G326,AX$5)-SUMIFS(TF_Timer,TF_Tekniker,AX$4,TF_Dato,$A326))*2,0)/2)))</f>
        <v/>
      </c>
      <c r="AY326">
        <f>IF(OR(AY$4="",$A326&gt;TODAY()),0,IF(OR(INDEX($B326:$D326,AY$5)="F",AND(AY$6&gt;0,$A326&lt;AY$6),AND(AY$7&gt;0,$A326&gt;AY$7)),0,MAX(0,ROUND((INDEX($E326:$G326,AY$5)-SUMIFS(TF_Timer,TF_Tekniker,AY$4,TF_Dato,$A326))*2,0)/2)))</f>
        <v/>
      </c>
      <c r="AZ326">
        <f>IF(OR(AZ$4="",$A326&gt;TODAY()),0,IF(OR(INDEX($B326:$D326,AZ$5)="F",AND(AZ$6&gt;0,$A326&lt;AZ$6),AND(AZ$7&gt;0,$A326&gt;AZ$7)),0,MAX(0,ROUND((INDEX($E326:$G326,AZ$5)-SUMIFS(TF_Timer,TF_Tekniker,AZ$4,TF_Dato,$A326))*2,0)/2)))</f>
        <v/>
      </c>
      <c r="BA326">
        <f>IF(OR(BA$4="",$A326&gt;TODAY()),0,IF(OR(INDEX($B326:$D326,BA$5)="F",AND(BA$6&gt;0,$A326&lt;BA$6),AND(BA$7&gt;0,$A326&gt;BA$7)),0,MAX(0,ROUND((INDEX($E326:$G326,BA$5)-SUMIFS(TF_Timer,TF_Tekniker,BA$4,TF_Dato,$A326))*2,0)/2)))</f>
        <v/>
      </c>
      <c r="BB326">
        <f>IF(OR(BB$4="",$A326&gt;TODAY()),0,IF(OR(INDEX($B326:$D326,BB$5)="F",AND(BB$6&gt;0,$A326&lt;BB$6),AND(BB$7&gt;0,$A326&gt;BB$7)),0,MAX(0,ROUND((INDEX($E326:$G326,BB$5)-SUMIFS(TF_Timer,TF_Tekniker,BB$4,TF_Dato,$A326))*2,0)/2)))</f>
        <v/>
      </c>
      <c r="BC326">
        <f>IF(OR(BC$4="",$A326&gt;TODAY()),0,IF(OR(INDEX($B326:$D326,BC$5)="F",AND(BC$6&gt;0,$A326&lt;BC$6),AND(BC$7&gt;0,$A326&gt;BC$7)),0,MAX(0,ROUND((INDEX($E326:$G326,BC$5)-SUMIFS(TF_Timer,TF_Tekniker,BC$4,TF_Dato,$A326))*2,0)/2)))</f>
        <v/>
      </c>
      <c r="BD326">
        <f>IF(OR(BD$4="",$A326&gt;TODAY()),0,IF(OR(INDEX($B326:$D326,BD$5)="F",AND(BD$6&gt;0,$A326&lt;BD$6),AND(BD$7&gt;0,$A326&gt;BD$7)),0,MAX(0,ROUND((INDEX($E326:$G326,BD$5)-SUMIFS(TF_Timer,TF_Tekniker,BD$4,TF_Dato,$A326))*2,0)/2)))</f>
        <v/>
      </c>
      <c r="BE326">
        <f>IF(OR(BE$4="",$A326&gt;TODAY()),0,IF(OR(INDEX($B326:$D326,BE$5)="F",AND(BE$6&gt;0,$A326&lt;BE$6),AND(BE$7&gt;0,$A326&gt;BE$7)),0,MAX(0,ROUND((INDEX($E326:$G326,BE$5)-SUMIFS(TF_Timer,TF_Tekniker,BE$4,TF_Dato,$A326))*2,0)/2)))</f>
        <v/>
      </c>
      <c r="BF326">
        <f>IF(OR(BF$4="",$A326&gt;TODAY()),0,IF(OR(INDEX($B326:$D326,BF$5)="F",AND(BF$6&gt;0,$A326&lt;BF$6),AND(BF$7&gt;0,$A326&gt;BF$7)),0,MAX(0,ROUND((INDEX($E326:$G326,BF$5)-SUMIFS(TF_Timer,TF_Tekniker,BF$4,TF_Dato,$A326))*2,0)/2)))</f>
        <v/>
      </c>
      <c r="BG326">
        <f>IF(OR(BG$4="",$A326&gt;TODAY()),0,IF(OR(INDEX($B326:$D326,BG$5)="F",AND(BG$6&gt;0,$A326&lt;BG$6),AND(BG$7&gt;0,$A326&gt;BG$7)),0,MAX(0,ROUND((INDEX($E326:$G326,BG$5)-SUMIFS(TF_Timer,TF_Tekniker,BG$4,TF_Dato,$A326))*2,0)/2)))</f>
        <v/>
      </c>
      <c r="BH326">
        <f>IF(OR(BH$4="",$A326&gt;TODAY()),0,IF(OR(INDEX($B326:$D326,BH$5)="F",AND(BH$6&gt;0,$A326&lt;BH$6),AND(BH$7&gt;0,$A326&gt;BH$7)),0,MAX(0,ROUND((INDEX($E326:$G326,BH$5)-SUMIFS(TF_Timer,TF_Tekniker,BH$4,TF_Dato,$A326))*2,0)/2)))</f>
        <v/>
      </c>
      <c r="BI326">
        <f>IF(OR(BI$4="",$A326&gt;TODAY()),0,IF(OR(INDEX($B326:$D326,BI$5)="F",AND(BI$6&gt;0,$A326&lt;BI$6),AND(BI$7&gt;0,$A326&gt;BI$7)),0,MAX(0,ROUND((INDEX($E326:$G326,BI$5)-SUMIFS(TF_Timer,TF_Tekniker,BI$4,TF_Dato,$A326))*2,0)/2)))</f>
        <v/>
      </c>
    </row>
    <row r="327">
      <c r="A327" s="64">
        <f>A326+1</f>
        <v/>
      </c>
      <c r="B327">
        <f>IF(MOD($A327-INDEX(SkiftStart,1),Syklus)&lt;DagK,"K",IF(MOD($A327-INDEX(SkiftStart,1),Syklus)&lt;DagK+DagH,"H",IF(MOD($A327-INDEX(SkiftStart,1),Syklus)&lt;DagK+DagH+DagD,"D","F")))</f>
        <v/>
      </c>
      <c r="C327">
        <f>IF(MOD($A327-INDEX(SkiftStart,2),Syklus)&lt;DagK,"K",IF(MOD($A327-INDEX(SkiftStart,2),Syklus)&lt;DagK+DagH,"H",IF(MOD($A327-INDEX(SkiftStart,2),Syklus)&lt;DagK+DagH+DagD,"D","F")))</f>
        <v/>
      </c>
      <c r="D327">
        <f>IF(MOD($A327-INDEX(SkiftStart,3),Syklus)&lt;DagK,"K",IF(MOD($A327-INDEX(SkiftStart,3),Syklus)&lt;DagK+DagH,"H",IF(MOD($A327-INDEX(SkiftStart,3),Syklus)&lt;DagK+DagH+DagD,"D","F")))</f>
        <v/>
      </c>
      <c r="E327">
        <f>IF(B327="F",0,IF(WEEKDAY($A327,2)=5,INDEX(TimerFr,MATCH(B327,FaseKode,0)),INDEX(TimerMT,MATCH(B327,FaseKode,0))))</f>
        <v/>
      </c>
      <c r="F327">
        <f>IF(C327="F",0,IF(WEEKDAY($A327,2)=5,INDEX(TimerFr,MATCH(C327,FaseKode,0)),INDEX(TimerMT,MATCH(C327,FaseKode,0))))</f>
        <v/>
      </c>
      <c r="G327">
        <f>IF(D327="F",0,IF(WEEKDAY($A327,2)=5,INDEX(TimerFr,MATCH(D327,FaseKode,0)),INDEX(TimerMT,MATCH(D327,FaseKode,0))))</f>
        <v/>
      </c>
      <c r="H327">
        <f>IF(OR(H$4="",$A327&gt;TODAY()),0,IF(OR(INDEX($B327:$D327,H$5)="F",AND(H$6&gt;0,$A327&lt;H$6),AND(H$7&gt;0,$A327&gt;H$7)),0,MAX(0,ROUND((INDEX($E327:$G327,H$5)-SUMIFS(TF_Timer,TF_Tekniker,H$4,TF_Dato,$A327))*2,0)/2)))</f>
        <v/>
      </c>
      <c r="I327">
        <f>IF(OR(I$4="",$A327&gt;TODAY()),0,IF(OR(INDEX($B327:$D327,I$5)="F",AND(I$6&gt;0,$A327&lt;I$6),AND(I$7&gt;0,$A327&gt;I$7)),0,MAX(0,ROUND((INDEX($E327:$G327,I$5)-SUMIFS(TF_Timer,TF_Tekniker,I$4,TF_Dato,$A327))*2,0)/2)))</f>
        <v/>
      </c>
      <c r="J327">
        <f>IF(OR(J$4="",$A327&gt;TODAY()),0,IF(OR(INDEX($B327:$D327,J$5)="F",AND(J$6&gt;0,$A327&lt;J$6),AND(J$7&gt;0,$A327&gt;J$7)),0,MAX(0,ROUND((INDEX($E327:$G327,J$5)-SUMIFS(TF_Timer,TF_Tekniker,J$4,TF_Dato,$A327))*2,0)/2)))</f>
        <v/>
      </c>
      <c r="K327">
        <f>IF(OR(K$4="",$A327&gt;TODAY()),0,IF(OR(INDEX($B327:$D327,K$5)="F",AND(K$6&gt;0,$A327&lt;K$6),AND(K$7&gt;0,$A327&gt;K$7)),0,MAX(0,ROUND((INDEX($E327:$G327,K$5)-SUMIFS(TF_Timer,TF_Tekniker,K$4,TF_Dato,$A327))*2,0)/2)))</f>
        <v/>
      </c>
      <c r="L327">
        <f>IF(OR(L$4="",$A327&gt;TODAY()),0,IF(OR(INDEX($B327:$D327,L$5)="F",AND(L$6&gt;0,$A327&lt;L$6),AND(L$7&gt;0,$A327&gt;L$7)),0,MAX(0,ROUND((INDEX($E327:$G327,L$5)-SUMIFS(TF_Timer,TF_Tekniker,L$4,TF_Dato,$A327))*2,0)/2)))</f>
        <v/>
      </c>
      <c r="M327">
        <f>IF(OR(M$4="",$A327&gt;TODAY()),0,IF(OR(INDEX($B327:$D327,M$5)="F",AND(M$6&gt;0,$A327&lt;M$6),AND(M$7&gt;0,$A327&gt;M$7)),0,MAX(0,ROUND((INDEX($E327:$G327,M$5)-SUMIFS(TF_Timer,TF_Tekniker,M$4,TF_Dato,$A327))*2,0)/2)))</f>
        <v/>
      </c>
      <c r="N327">
        <f>IF(OR(N$4="",$A327&gt;TODAY()),0,IF(OR(INDEX($B327:$D327,N$5)="F",AND(N$6&gt;0,$A327&lt;N$6),AND(N$7&gt;0,$A327&gt;N$7)),0,MAX(0,ROUND((INDEX($E327:$G327,N$5)-SUMIFS(TF_Timer,TF_Tekniker,N$4,TF_Dato,$A327))*2,0)/2)))</f>
        <v/>
      </c>
      <c r="O327">
        <f>IF(OR(O$4="",$A327&gt;TODAY()),0,IF(OR(INDEX($B327:$D327,O$5)="F",AND(O$6&gt;0,$A327&lt;O$6),AND(O$7&gt;0,$A327&gt;O$7)),0,MAX(0,ROUND((INDEX($E327:$G327,O$5)-SUMIFS(TF_Timer,TF_Tekniker,O$4,TF_Dato,$A327))*2,0)/2)))</f>
        <v/>
      </c>
      <c r="P327">
        <f>IF(OR(P$4="",$A327&gt;TODAY()),0,IF(OR(INDEX($B327:$D327,P$5)="F",AND(P$6&gt;0,$A327&lt;P$6),AND(P$7&gt;0,$A327&gt;P$7)),0,MAX(0,ROUND((INDEX($E327:$G327,P$5)-SUMIFS(TF_Timer,TF_Tekniker,P$4,TF_Dato,$A327))*2,0)/2)))</f>
        <v/>
      </c>
      <c r="Q327">
        <f>IF(OR(Q$4="",$A327&gt;TODAY()),0,IF(OR(INDEX($B327:$D327,Q$5)="F",AND(Q$6&gt;0,$A327&lt;Q$6),AND(Q$7&gt;0,$A327&gt;Q$7)),0,MAX(0,ROUND((INDEX($E327:$G327,Q$5)-SUMIFS(TF_Timer,TF_Tekniker,Q$4,TF_Dato,$A327))*2,0)/2)))</f>
        <v/>
      </c>
      <c r="R327">
        <f>IF(OR(R$4="",$A327&gt;TODAY()),0,IF(OR(INDEX($B327:$D327,R$5)="F",AND(R$6&gt;0,$A327&lt;R$6),AND(R$7&gt;0,$A327&gt;R$7)),0,MAX(0,ROUND((INDEX($E327:$G327,R$5)-SUMIFS(TF_Timer,TF_Tekniker,R$4,TF_Dato,$A327))*2,0)/2)))</f>
        <v/>
      </c>
      <c r="S327">
        <f>IF(OR(S$4="",$A327&gt;TODAY()),0,IF(OR(INDEX($B327:$D327,S$5)="F",AND(S$6&gt;0,$A327&lt;S$6),AND(S$7&gt;0,$A327&gt;S$7)),0,MAX(0,ROUND((INDEX($E327:$G327,S$5)-SUMIFS(TF_Timer,TF_Tekniker,S$4,TF_Dato,$A327))*2,0)/2)))</f>
        <v/>
      </c>
      <c r="T327">
        <f>IF(OR(T$4="",$A327&gt;TODAY()),0,IF(OR(INDEX($B327:$D327,T$5)="F",AND(T$6&gt;0,$A327&lt;T$6),AND(T$7&gt;0,$A327&gt;T$7)),0,MAX(0,ROUND((INDEX($E327:$G327,T$5)-SUMIFS(TF_Timer,TF_Tekniker,T$4,TF_Dato,$A327))*2,0)/2)))</f>
        <v/>
      </c>
      <c r="U327">
        <f>IF(OR(U$4="",$A327&gt;TODAY()),0,IF(OR(INDEX($B327:$D327,U$5)="F",AND(U$6&gt;0,$A327&lt;U$6),AND(U$7&gt;0,$A327&gt;U$7)),0,MAX(0,ROUND((INDEX($E327:$G327,U$5)-SUMIFS(TF_Timer,TF_Tekniker,U$4,TF_Dato,$A327))*2,0)/2)))</f>
        <v/>
      </c>
      <c r="V327">
        <f>IF(OR(V$4="",$A327&gt;TODAY()),0,IF(OR(INDEX($B327:$D327,V$5)="F",AND(V$6&gt;0,$A327&lt;V$6),AND(V$7&gt;0,$A327&gt;V$7)),0,MAX(0,ROUND((INDEX($E327:$G327,V$5)-SUMIFS(TF_Timer,TF_Tekniker,V$4,TF_Dato,$A327))*2,0)/2)))</f>
        <v/>
      </c>
      <c r="W327">
        <f>IF(OR(W$4="",$A327&gt;TODAY()),0,IF(OR(INDEX($B327:$D327,W$5)="F",AND(W$6&gt;0,$A327&lt;W$6),AND(W$7&gt;0,$A327&gt;W$7)),0,MAX(0,ROUND((INDEX($E327:$G327,W$5)-SUMIFS(TF_Timer,TF_Tekniker,W$4,TF_Dato,$A327))*2,0)/2)))</f>
        <v/>
      </c>
      <c r="X327">
        <f>IF(OR(X$4="",$A327&gt;TODAY()),0,IF(OR(INDEX($B327:$D327,X$5)="F",AND(X$6&gt;0,$A327&lt;X$6),AND(X$7&gt;0,$A327&gt;X$7)),0,MAX(0,ROUND((INDEX($E327:$G327,X$5)-SUMIFS(TF_Timer,TF_Tekniker,X$4,TF_Dato,$A327))*2,0)/2)))</f>
        <v/>
      </c>
      <c r="Y327">
        <f>IF(OR(Y$4="",$A327&gt;TODAY()),0,IF(OR(INDEX($B327:$D327,Y$5)="F",AND(Y$6&gt;0,$A327&lt;Y$6),AND(Y$7&gt;0,$A327&gt;Y$7)),0,MAX(0,ROUND((INDEX($E327:$G327,Y$5)-SUMIFS(TF_Timer,TF_Tekniker,Y$4,TF_Dato,$A327))*2,0)/2)))</f>
        <v/>
      </c>
      <c r="Z327">
        <f>IF(OR(Z$4="",$A327&gt;TODAY()),0,IF(OR(INDEX($B327:$D327,Z$5)="F",AND(Z$6&gt;0,$A327&lt;Z$6),AND(Z$7&gt;0,$A327&gt;Z$7)),0,MAX(0,ROUND((INDEX($E327:$G327,Z$5)-SUMIFS(TF_Timer,TF_Tekniker,Z$4,TF_Dato,$A327))*2,0)/2)))</f>
        <v/>
      </c>
      <c r="AA327">
        <f>IF(OR(AA$4="",$A327&gt;TODAY()),0,IF(OR(INDEX($B327:$D327,AA$5)="F",AND(AA$6&gt;0,$A327&lt;AA$6),AND(AA$7&gt;0,$A327&gt;AA$7)),0,MAX(0,ROUND((INDEX($E327:$G327,AA$5)-SUMIFS(TF_Timer,TF_Tekniker,AA$4,TF_Dato,$A327))*2,0)/2)))</f>
        <v/>
      </c>
      <c r="AB327">
        <f>IF(OR(AB$4="",$A327&gt;TODAY()),0,IF(OR(INDEX($B327:$D327,AB$5)="F",AND(AB$6&gt;0,$A327&lt;AB$6),AND(AB$7&gt;0,$A327&gt;AB$7)),0,MAX(0,ROUND((INDEX($E327:$G327,AB$5)-SUMIFS(TF_Timer,TF_Tekniker,AB$4,TF_Dato,$A327))*2,0)/2)))</f>
        <v/>
      </c>
      <c r="AC327">
        <f>IF(OR(AC$4="",$A327&gt;TODAY()),0,IF(OR(INDEX($B327:$D327,AC$5)="F",AND(AC$6&gt;0,$A327&lt;AC$6),AND(AC$7&gt;0,$A327&gt;AC$7)),0,MAX(0,ROUND((INDEX($E327:$G327,AC$5)-SUMIFS(TF_Timer,TF_Tekniker,AC$4,TF_Dato,$A327))*2,0)/2)))</f>
        <v/>
      </c>
      <c r="AD327">
        <f>IF(OR(AD$4="",$A327&gt;TODAY()),0,IF(OR(INDEX($B327:$D327,AD$5)="F",AND(AD$6&gt;0,$A327&lt;AD$6),AND(AD$7&gt;0,$A327&gt;AD$7)),0,MAX(0,ROUND((INDEX($E327:$G327,AD$5)-SUMIFS(TF_Timer,TF_Tekniker,AD$4,TF_Dato,$A327))*2,0)/2)))</f>
        <v/>
      </c>
      <c r="AE327">
        <f>IF(OR(AE$4="",$A327&gt;TODAY()),0,IF(OR(INDEX($B327:$D327,AE$5)="F",AND(AE$6&gt;0,$A327&lt;AE$6),AND(AE$7&gt;0,$A327&gt;AE$7)),0,MAX(0,ROUND((INDEX($E327:$G327,AE$5)-SUMIFS(TF_Timer,TF_Tekniker,AE$4,TF_Dato,$A327))*2,0)/2)))</f>
        <v/>
      </c>
      <c r="AF327">
        <f>IF(OR(AF$4="",$A327&gt;TODAY()),0,IF(OR(INDEX($B327:$D327,AF$5)="F",AND(AF$6&gt;0,$A327&lt;AF$6),AND(AF$7&gt;0,$A327&gt;AF$7)),0,MAX(0,ROUND((INDEX($E327:$G327,AF$5)-SUMIFS(TF_Timer,TF_Tekniker,AF$4,TF_Dato,$A327))*2,0)/2)))</f>
        <v/>
      </c>
      <c r="AG327">
        <f>IF(OR(AG$4="",$A327&gt;TODAY()),0,IF(OR(INDEX($B327:$D327,AG$5)="F",AND(AG$6&gt;0,$A327&lt;AG$6),AND(AG$7&gt;0,$A327&gt;AG$7)),0,MAX(0,ROUND((INDEX($E327:$G327,AG$5)-SUMIFS(TF_Timer,TF_Tekniker,AG$4,TF_Dato,$A327))*2,0)/2)))</f>
        <v/>
      </c>
      <c r="AH327">
        <f>IF(OR(AH$4="",$A327&gt;TODAY()),0,IF(OR(INDEX($B327:$D327,AH$5)="F",AND(AH$6&gt;0,$A327&lt;AH$6),AND(AH$7&gt;0,$A327&gt;AH$7)),0,MAX(0,ROUND((INDEX($E327:$G327,AH$5)-SUMIFS(TF_Timer,TF_Tekniker,AH$4,TF_Dato,$A327))*2,0)/2)))</f>
        <v/>
      </c>
      <c r="AI327">
        <f>IF(OR(AI$4="",$A327&gt;TODAY()),0,IF(OR(INDEX($B327:$D327,AI$5)="F",AND(AI$6&gt;0,$A327&lt;AI$6),AND(AI$7&gt;0,$A327&gt;AI$7)),0,MAX(0,ROUND((INDEX($E327:$G327,AI$5)-SUMIFS(TF_Timer,TF_Tekniker,AI$4,TF_Dato,$A327))*2,0)/2)))</f>
        <v/>
      </c>
      <c r="AJ327">
        <f>IF(OR(AJ$4="",$A327&gt;TODAY()),0,IF(OR(INDEX($B327:$D327,AJ$5)="F",AND(AJ$6&gt;0,$A327&lt;AJ$6),AND(AJ$7&gt;0,$A327&gt;AJ$7)),0,MAX(0,ROUND((INDEX($E327:$G327,AJ$5)-SUMIFS(TF_Timer,TF_Tekniker,AJ$4,TF_Dato,$A327))*2,0)/2)))</f>
        <v/>
      </c>
      <c r="AK327">
        <f>IF(OR(AK$4="",$A327&gt;TODAY()),0,IF(OR(INDEX($B327:$D327,AK$5)="F",AND(AK$6&gt;0,$A327&lt;AK$6),AND(AK$7&gt;0,$A327&gt;AK$7)),0,MAX(0,ROUND((INDEX($E327:$G327,AK$5)-SUMIFS(TF_Timer,TF_Tekniker,AK$4,TF_Dato,$A327))*2,0)/2)))</f>
        <v/>
      </c>
      <c r="AL327">
        <f>IF(OR(AL$4="",$A327&gt;TODAY()),0,IF(OR(INDEX($B327:$D327,AL$5)="F",AND(AL$6&gt;0,$A327&lt;AL$6),AND(AL$7&gt;0,$A327&gt;AL$7)),0,MAX(0,ROUND((INDEX($E327:$G327,AL$5)-SUMIFS(TF_Timer,TF_Tekniker,AL$4,TF_Dato,$A327))*2,0)/2)))</f>
        <v/>
      </c>
      <c r="AM327">
        <f>IF(OR(AM$4="",$A327&gt;TODAY()),0,IF(OR(INDEX($B327:$D327,AM$5)="F",AND(AM$6&gt;0,$A327&lt;AM$6),AND(AM$7&gt;0,$A327&gt;AM$7)),0,MAX(0,ROUND((INDEX($E327:$G327,AM$5)-SUMIFS(TF_Timer,TF_Tekniker,AM$4,TF_Dato,$A327))*2,0)/2)))</f>
        <v/>
      </c>
      <c r="AN327">
        <f>IF(OR(AN$4="",$A327&gt;TODAY()),0,IF(OR(INDEX($B327:$D327,AN$5)="F",AND(AN$6&gt;0,$A327&lt;AN$6),AND(AN$7&gt;0,$A327&gt;AN$7)),0,MAX(0,ROUND((INDEX($E327:$G327,AN$5)-SUMIFS(TF_Timer,TF_Tekniker,AN$4,TF_Dato,$A327))*2,0)/2)))</f>
        <v/>
      </c>
      <c r="AO327">
        <f>IF(OR(AO$4="",$A327&gt;TODAY()),0,IF(OR(INDEX($B327:$D327,AO$5)="F",AND(AO$6&gt;0,$A327&lt;AO$6),AND(AO$7&gt;0,$A327&gt;AO$7)),0,MAX(0,ROUND((INDEX($E327:$G327,AO$5)-SUMIFS(TF_Timer,TF_Tekniker,AO$4,TF_Dato,$A327))*2,0)/2)))</f>
        <v/>
      </c>
      <c r="AP327">
        <f>IF(OR(AP$4="",$A327&gt;TODAY()),0,IF(OR(INDEX($B327:$D327,AP$5)="F",AND(AP$6&gt;0,$A327&lt;AP$6),AND(AP$7&gt;0,$A327&gt;AP$7)),0,MAX(0,ROUND((INDEX($E327:$G327,AP$5)-SUMIFS(TF_Timer,TF_Tekniker,AP$4,TF_Dato,$A327))*2,0)/2)))</f>
        <v/>
      </c>
      <c r="AQ327">
        <f>IF(OR(AQ$4="",$A327&gt;TODAY()),0,IF(OR(INDEX($B327:$D327,AQ$5)="F",AND(AQ$6&gt;0,$A327&lt;AQ$6),AND(AQ$7&gt;0,$A327&gt;AQ$7)),0,MAX(0,ROUND((INDEX($E327:$G327,AQ$5)-SUMIFS(TF_Timer,TF_Tekniker,AQ$4,TF_Dato,$A327))*2,0)/2)))</f>
        <v/>
      </c>
      <c r="AR327">
        <f>IF(OR(AR$4="",$A327&gt;TODAY()),0,IF(OR(INDEX($B327:$D327,AR$5)="F",AND(AR$6&gt;0,$A327&lt;AR$6),AND(AR$7&gt;0,$A327&gt;AR$7)),0,MAX(0,ROUND((INDEX($E327:$G327,AR$5)-SUMIFS(TF_Timer,TF_Tekniker,AR$4,TF_Dato,$A327))*2,0)/2)))</f>
        <v/>
      </c>
      <c r="AS327">
        <f>IF(OR(AS$4="",$A327&gt;TODAY()),0,IF(OR(INDEX($B327:$D327,AS$5)="F",AND(AS$6&gt;0,$A327&lt;AS$6),AND(AS$7&gt;0,$A327&gt;AS$7)),0,MAX(0,ROUND((INDEX($E327:$G327,AS$5)-SUMIFS(TF_Timer,TF_Tekniker,AS$4,TF_Dato,$A327))*2,0)/2)))</f>
        <v/>
      </c>
      <c r="AT327">
        <f>IF(OR(AT$4="",$A327&gt;TODAY()),0,IF(OR(INDEX($B327:$D327,AT$5)="F",AND(AT$6&gt;0,$A327&lt;AT$6),AND(AT$7&gt;0,$A327&gt;AT$7)),0,MAX(0,ROUND((INDEX($E327:$G327,AT$5)-SUMIFS(TF_Timer,TF_Tekniker,AT$4,TF_Dato,$A327))*2,0)/2)))</f>
        <v/>
      </c>
      <c r="AU327">
        <f>IF(OR(AU$4="",$A327&gt;TODAY()),0,IF(OR(INDEX($B327:$D327,AU$5)="F",AND(AU$6&gt;0,$A327&lt;AU$6),AND(AU$7&gt;0,$A327&gt;AU$7)),0,MAX(0,ROUND((INDEX($E327:$G327,AU$5)-SUMIFS(TF_Timer,TF_Tekniker,AU$4,TF_Dato,$A327))*2,0)/2)))</f>
        <v/>
      </c>
      <c r="AV327">
        <f>IF(OR(AV$4="",$A327&gt;TODAY()),0,IF(OR(INDEX($B327:$D327,AV$5)="F",AND(AV$6&gt;0,$A327&lt;AV$6),AND(AV$7&gt;0,$A327&gt;AV$7)),0,MAX(0,ROUND((INDEX($E327:$G327,AV$5)-SUMIFS(TF_Timer,TF_Tekniker,AV$4,TF_Dato,$A327))*2,0)/2)))</f>
        <v/>
      </c>
      <c r="AW327">
        <f>IF(OR(AW$4="",$A327&gt;TODAY()),0,IF(OR(INDEX($B327:$D327,AW$5)="F",AND(AW$6&gt;0,$A327&lt;AW$6),AND(AW$7&gt;0,$A327&gt;AW$7)),0,MAX(0,ROUND((INDEX($E327:$G327,AW$5)-SUMIFS(TF_Timer,TF_Tekniker,AW$4,TF_Dato,$A327))*2,0)/2)))</f>
        <v/>
      </c>
      <c r="AX327">
        <f>IF(OR(AX$4="",$A327&gt;TODAY()),0,IF(OR(INDEX($B327:$D327,AX$5)="F",AND(AX$6&gt;0,$A327&lt;AX$6),AND(AX$7&gt;0,$A327&gt;AX$7)),0,MAX(0,ROUND((INDEX($E327:$G327,AX$5)-SUMIFS(TF_Timer,TF_Tekniker,AX$4,TF_Dato,$A327))*2,0)/2)))</f>
        <v/>
      </c>
      <c r="AY327">
        <f>IF(OR(AY$4="",$A327&gt;TODAY()),0,IF(OR(INDEX($B327:$D327,AY$5)="F",AND(AY$6&gt;0,$A327&lt;AY$6),AND(AY$7&gt;0,$A327&gt;AY$7)),0,MAX(0,ROUND((INDEX($E327:$G327,AY$5)-SUMIFS(TF_Timer,TF_Tekniker,AY$4,TF_Dato,$A327))*2,0)/2)))</f>
        <v/>
      </c>
      <c r="AZ327">
        <f>IF(OR(AZ$4="",$A327&gt;TODAY()),0,IF(OR(INDEX($B327:$D327,AZ$5)="F",AND(AZ$6&gt;0,$A327&lt;AZ$6),AND(AZ$7&gt;0,$A327&gt;AZ$7)),0,MAX(0,ROUND((INDEX($E327:$G327,AZ$5)-SUMIFS(TF_Timer,TF_Tekniker,AZ$4,TF_Dato,$A327))*2,0)/2)))</f>
        <v/>
      </c>
      <c r="BA327">
        <f>IF(OR(BA$4="",$A327&gt;TODAY()),0,IF(OR(INDEX($B327:$D327,BA$5)="F",AND(BA$6&gt;0,$A327&lt;BA$6),AND(BA$7&gt;0,$A327&gt;BA$7)),0,MAX(0,ROUND((INDEX($E327:$G327,BA$5)-SUMIFS(TF_Timer,TF_Tekniker,BA$4,TF_Dato,$A327))*2,0)/2)))</f>
        <v/>
      </c>
      <c r="BB327">
        <f>IF(OR(BB$4="",$A327&gt;TODAY()),0,IF(OR(INDEX($B327:$D327,BB$5)="F",AND(BB$6&gt;0,$A327&lt;BB$6),AND(BB$7&gt;0,$A327&gt;BB$7)),0,MAX(0,ROUND((INDEX($E327:$G327,BB$5)-SUMIFS(TF_Timer,TF_Tekniker,BB$4,TF_Dato,$A327))*2,0)/2)))</f>
        <v/>
      </c>
      <c r="BC327">
        <f>IF(OR(BC$4="",$A327&gt;TODAY()),0,IF(OR(INDEX($B327:$D327,BC$5)="F",AND(BC$6&gt;0,$A327&lt;BC$6),AND(BC$7&gt;0,$A327&gt;BC$7)),0,MAX(0,ROUND((INDEX($E327:$G327,BC$5)-SUMIFS(TF_Timer,TF_Tekniker,BC$4,TF_Dato,$A327))*2,0)/2)))</f>
        <v/>
      </c>
      <c r="BD327">
        <f>IF(OR(BD$4="",$A327&gt;TODAY()),0,IF(OR(INDEX($B327:$D327,BD$5)="F",AND(BD$6&gt;0,$A327&lt;BD$6),AND(BD$7&gt;0,$A327&gt;BD$7)),0,MAX(0,ROUND((INDEX($E327:$G327,BD$5)-SUMIFS(TF_Timer,TF_Tekniker,BD$4,TF_Dato,$A327))*2,0)/2)))</f>
        <v/>
      </c>
      <c r="BE327">
        <f>IF(OR(BE$4="",$A327&gt;TODAY()),0,IF(OR(INDEX($B327:$D327,BE$5)="F",AND(BE$6&gt;0,$A327&lt;BE$6),AND(BE$7&gt;0,$A327&gt;BE$7)),0,MAX(0,ROUND((INDEX($E327:$G327,BE$5)-SUMIFS(TF_Timer,TF_Tekniker,BE$4,TF_Dato,$A327))*2,0)/2)))</f>
        <v/>
      </c>
      <c r="BF327">
        <f>IF(OR(BF$4="",$A327&gt;TODAY()),0,IF(OR(INDEX($B327:$D327,BF$5)="F",AND(BF$6&gt;0,$A327&lt;BF$6),AND(BF$7&gt;0,$A327&gt;BF$7)),0,MAX(0,ROUND((INDEX($E327:$G327,BF$5)-SUMIFS(TF_Timer,TF_Tekniker,BF$4,TF_Dato,$A327))*2,0)/2)))</f>
        <v/>
      </c>
      <c r="BG327">
        <f>IF(OR(BG$4="",$A327&gt;TODAY()),0,IF(OR(INDEX($B327:$D327,BG$5)="F",AND(BG$6&gt;0,$A327&lt;BG$6),AND(BG$7&gt;0,$A327&gt;BG$7)),0,MAX(0,ROUND((INDEX($E327:$G327,BG$5)-SUMIFS(TF_Timer,TF_Tekniker,BG$4,TF_Dato,$A327))*2,0)/2)))</f>
        <v/>
      </c>
      <c r="BH327">
        <f>IF(OR(BH$4="",$A327&gt;TODAY()),0,IF(OR(INDEX($B327:$D327,BH$5)="F",AND(BH$6&gt;0,$A327&lt;BH$6),AND(BH$7&gt;0,$A327&gt;BH$7)),0,MAX(0,ROUND((INDEX($E327:$G327,BH$5)-SUMIFS(TF_Timer,TF_Tekniker,BH$4,TF_Dato,$A327))*2,0)/2)))</f>
        <v/>
      </c>
      <c r="BI327">
        <f>IF(OR(BI$4="",$A327&gt;TODAY()),0,IF(OR(INDEX($B327:$D327,BI$5)="F",AND(BI$6&gt;0,$A327&lt;BI$6),AND(BI$7&gt;0,$A327&gt;BI$7)),0,MAX(0,ROUND((INDEX($E327:$G327,BI$5)-SUMIFS(TF_Timer,TF_Tekniker,BI$4,TF_Dato,$A327))*2,0)/2)))</f>
        <v/>
      </c>
    </row>
    <row r="328">
      <c r="A328" s="64">
        <f>A327+1</f>
        <v/>
      </c>
      <c r="B328">
        <f>IF(MOD($A328-INDEX(SkiftStart,1),Syklus)&lt;DagK,"K",IF(MOD($A328-INDEX(SkiftStart,1),Syklus)&lt;DagK+DagH,"H",IF(MOD($A328-INDEX(SkiftStart,1),Syklus)&lt;DagK+DagH+DagD,"D","F")))</f>
        <v/>
      </c>
      <c r="C328">
        <f>IF(MOD($A328-INDEX(SkiftStart,2),Syklus)&lt;DagK,"K",IF(MOD($A328-INDEX(SkiftStart,2),Syklus)&lt;DagK+DagH,"H",IF(MOD($A328-INDEX(SkiftStart,2),Syklus)&lt;DagK+DagH+DagD,"D","F")))</f>
        <v/>
      </c>
      <c r="D328">
        <f>IF(MOD($A328-INDEX(SkiftStart,3),Syklus)&lt;DagK,"K",IF(MOD($A328-INDEX(SkiftStart,3),Syklus)&lt;DagK+DagH,"H",IF(MOD($A328-INDEX(SkiftStart,3),Syklus)&lt;DagK+DagH+DagD,"D","F")))</f>
        <v/>
      </c>
      <c r="E328">
        <f>IF(B328="F",0,IF(WEEKDAY($A328,2)=5,INDEX(TimerFr,MATCH(B328,FaseKode,0)),INDEX(TimerMT,MATCH(B328,FaseKode,0))))</f>
        <v/>
      </c>
      <c r="F328">
        <f>IF(C328="F",0,IF(WEEKDAY($A328,2)=5,INDEX(TimerFr,MATCH(C328,FaseKode,0)),INDEX(TimerMT,MATCH(C328,FaseKode,0))))</f>
        <v/>
      </c>
      <c r="G328">
        <f>IF(D328="F",0,IF(WEEKDAY($A328,2)=5,INDEX(TimerFr,MATCH(D328,FaseKode,0)),INDEX(TimerMT,MATCH(D328,FaseKode,0))))</f>
        <v/>
      </c>
      <c r="H328">
        <f>IF(OR(H$4="",$A328&gt;TODAY()),0,IF(OR(INDEX($B328:$D328,H$5)="F",AND(H$6&gt;0,$A328&lt;H$6),AND(H$7&gt;0,$A328&gt;H$7)),0,MAX(0,ROUND((INDEX($E328:$G328,H$5)-SUMIFS(TF_Timer,TF_Tekniker,H$4,TF_Dato,$A328))*2,0)/2)))</f>
        <v/>
      </c>
      <c r="I328">
        <f>IF(OR(I$4="",$A328&gt;TODAY()),0,IF(OR(INDEX($B328:$D328,I$5)="F",AND(I$6&gt;0,$A328&lt;I$6),AND(I$7&gt;0,$A328&gt;I$7)),0,MAX(0,ROUND((INDEX($E328:$G328,I$5)-SUMIFS(TF_Timer,TF_Tekniker,I$4,TF_Dato,$A328))*2,0)/2)))</f>
        <v/>
      </c>
      <c r="J328">
        <f>IF(OR(J$4="",$A328&gt;TODAY()),0,IF(OR(INDEX($B328:$D328,J$5)="F",AND(J$6&gt;0,$A328&lt;J$6),AND(J$7&gt;0,$A328&gt;J$7)),0,MAX(0,ROUND((INDEX($E328:$G328,J$5)-SUMIFS(TF_Timer,TF_Tekniker,J$4,TF_Dato,$A328))*2,0)/2)))</f>
        <v/>
      </c>
      <c r="K328">
        <f>IF(OR(K$4="",$A328&gt;TODAY()),0,IF(OR(INDEX($B328:$D328,K$5)="F",AND(K$6&gt;0,$A328&lt;K$6),AND(K$7&gt;0,$A328&gt;K$7)),0,MAX(0,ROUND((INDEX($E328:$G328,K$5)-SUMIFS(TF_Timer,TF_Tekniker,K$4,TF_Dato,$A328))*2,0)/2)))</f>
        <v/>
      </c>
      <c r="L328">
        <f>IF(OR(L$4="",$A328&gt;TODAY()),0,IF(OR(INDEX($B328:$D328,L$5)="F",AND(L$6&gt;0,$A328&lt;L$6),AND(L$7&gt;0,$A328&gt;L$7)),0,MAX(0,ROUND((INDEX($E328:$G328,L$5)-SUMIFS(TF_Timer,TF_Tekniker,L$4,TF_Dato,$A328))*2,0)/2)))</f>
        <v/>
      </c>
      <c r="M328">
        <f>IF(OR(M$4="",$A328&gt;TODAY()),0,IF(OR(INDEX($B328:$D328,M$5)="F",AND(M$6&gt;0,$A328&lt;M$6),AND(M$7&gt;0,$A328&gt;M$7)),0,MAX(0,ROUND((INDEX($E328:$G328,M$5)-SUMIFS(TF_Timer,TF_Tekniker,M$4,TF_Dato,$A328))*2,0)/2)))</f>
        <v/>
      </c>
      <c r="N328">
        <f>IF(OR(N$4="",$A328&gt;TODAY()),0,IF(OR(INDEX($B328:$D328,N$5)="F",AND(N$6&gt;0,$A328&lt;N$6),AND(N$7&gt;0,$A328&gt;N$7)),0,MAX(0,ROUND((INDEX($E328:$G328,N$5)-SUMIFS(TF_Timer,TF_Tekniker,N$4,TF_Dato,$A328))*2,0)/2)))</f>
        <v/>
      </c>
      <c r="O328">
        <f>IF(OR(O$4="",$A328&gt;TODAY()),0,IF(OR(INDEX($B328:$D328,O$5)="F",AND(O$6&gt;0,$A328&lt;O$6),AND(O$7&gt;0,$A328&gt;O$7)),0,MAX(0,ROUND((INDEX($E328:$G328,O$5)-SUMIFS(TF_Timer,TF_Tekniker,O$4,TF_Dato,$A328))*2,0)/2)))</f>
        <v/>
      </c>
      <c r="P328">
        <f>IF(OR(P$4="",$A328&gt;TODAY()),0,IF(OR(INDEX($B328:$D328,P$5)="F",AND(P$6&gt;0,$A328&lt;P$6),AND(P$7&gt;0,$A328&gt;P$7)),0,MAX(0,ROUND((INDEX($E328:$G328,P$5)-SUMIFS(TF_Timer,TF_Tekniker,P$4,TF_Dato,$A328))*2,0)/2)))</f>
        <v/>
      </c>
      <c r="Q328">
        <f>IF(OR(Q$4="",$A328&gt;TODAY()),0,IF(OR(INDEX($B328:$D328,Q$5)="F",AND(Q$6&gt;0,$A328&lt;Q$6),AND(Q$7&gt;0,$A328&gt;Q$7)),0,MAX(0,ROUND((INDEX($E328:$G328,Q$5)-SUMIFS(TF_Timer,TF_Tekniker,Q$4,TF_Dato,$A328))*2,0)/2)))</f>
        <v/>
      </c>
      <c r="R328">
        <f>IF(OR(R$4="",$A328&gt;TODAY()),0,IF(OR(INDEX($B328:$D328,R$5)="F",AND(R$6&gt;0,$A328&lt;R$6),AND(R$7&gt;0,$A328&gt;R$7)),0,MAX(0,ROUND((INDEX($E328:$G328,R$5)-SUMIFS(TF_Timer,TF_Tekniker,R$4,TF_Dato,$A328))*2,0)/2)))</f>
        <v/>
      </c>
      <c r="S328">
        <f>IF(OR(S$4="",$A328&gt;TODAY()),0,IF(OR(INDEX($B328:$D328,S$5)="F",AND(S$6&gt;0,$A328&lt;S$6),AND(S$7&gt;0,$A328&gt;S$7)),0,MAX(0,ROUND((INDEX($E328:$G328,S$5)-SUMIFS(TF_Timer,TF_Tekniker,S$4,TF_Dato,$A328))*2,0)/2)))</f>
        <v/>
      </c>
      <c r="T328">
        <f>IF(OR(T$4="",$A328&gt;TODAY()),0,IF(OR(INDEX($B328:$D328,T$5)="F",AND(T$6&gt;0,$A328&lt;T$6),AND(T$7&gt;0,$A328&gt;T$7)),0,MAX(0,ROUND((INDEX($E328:$G328,T$5)-SUMIFS(TF_Timer,TF_Tekniker,T$4,TF_Dato,$A328))*2,0)/2)))</f>
        <v/>
      </c>
      <c r="U328">
        <f>IF(OR(U$4="",$A328&gt;TODAY()),0,IF(OR(INDEX($B328:$D328,U$5)="F",AND(U$6&gt;0,$A328&lt;U$6),AND(U$7&gt;0,$A328&gt;U$7)),0,MAX(0,ROUND((INDEX($E328:$G328,U$5)-SUMIFS(TF_Timer,TF_Tekniker,U$4,TF_Dato,$A328))*2,0)/2)))</f>
        <v/>
      </c>
      <c r="V328">
        <f>IF(OR(V$4="",$A328&gt;TODAY()),0,IF(OR(INDEX($B328:$D328,V$5)="F",AND(V$6&gt;0,$A328&lt;V$6),AND(V$7&gt;0,$A328&gt;V$7)),0,MAX(0,ROUND((INDEX($E328:$G328,V$5)-SUMIFS(TF_Timer,TF_Tekniker,V$4,TF_Dato,$A328))*2,0)/2)))</f>
        <v/>
      </c>
      <c r="W328">
        <f>IF(OR(W$4="",$A328&gt;TODAY()),0,IF(OR(INDEX($B328:$D328,W$5)="F",AND(W$6&gt;0,$A328&lt;W$6),AND(W$7&gt;0,$A328&gt;W$7)),0,MAX(0,ROUND((INDEX($E328:$G328,W$5)-SUMIFS(TF_Timer,TF_Tekniker,W$4,TF_Dato,$A328))*2,0)/2)))</f>
        <v/>
      </c>
      <c r="X328">
        <f>IF(OR(X$4="",$A328&gt;TODAY()),0,IF(OR(INDEX($B328:$D328,X$5)="F",AND(X$6&gt;0,$A328&lt;X$6),AND(X$7&gt;0,$A328&gt;X$7)),0,MAX(0,ROUND((INDEX($E328:$G328,X$5)-SUMIFS(TF_Timer,TF_Tekniker,X$4,TF_Dato,$A328))*2,0)/2)))</f>
        <v/>
      </c>
      <c r="Y328">
        <f>IF(OR(Y$4="",$A328&gt;TODAY()),0,IF(OR(INDEX($B328:$D328,Y$5)="F",AND(Y$6&gt;0,$A328&lt;Y$6),AND(Y$7&gt;0,$A328&gt;Y$7)),0,MAX(0,ROUND((INDEX($E328:$G328,Y$5)-SUMIFS(TF_Timer,TF_Tekniker,Y$4,TF_Dato,$A328))*2,0)/2)))</f>
        <v/>
      </c>
      <c r="Z328">
        <f>IF(OR(Z$4="",$A328&gt;TODAY()),0,IF(OR(INDEX($B328:$D328,Z$5)="F",AND(Z$6&gt;0,$A328&lt;Z$6),AND(Z$7&gt;0,$A328&gt;Z$7)),0,MAX(0,ROUND((INDEX($E328:$G328,Z$5)-SUMIFS(TF_Timer,TF_Tekniker,Z$4,TF_Dato,$A328))*2,0)/2)))</f>
        <v/>
      </c>
      <c r="AA328">
        <f>IF(OR(AA$4="",$A328&gt;TODAY()),0,IF(OR(INDEX($B328:$D328,AA$5)="F",AND(AA$6&gt;0,$A328&lt;AA$6),AND(AA$7&gt;0,$A328&gt;AA$7)),0,MAX(0,ROUND((INDEX($E328:$G328,AA$5)-SUMIFS(TF_Timer,TF_Tekniker,AA$4,TF_Dato,$A328))*2,0)/2)))</f>
        <v/>
      </c>
      <c r="AB328">
        <f>IF(OR(AB$4="",$A328&gt;TODAY()),0,IF(OR(INDEX($B328:$D328,AB$5)="F",AND(AB$6&gt;0,$A328&lt;AB$6),AND(AB$7&gt;0,$A328&gt;AB$7)),0,MAX(0,ROUND((INDEX($E328:$G328,AB$5)-SUMIFS(TF_Timer,TF_Tekniker,AB$4,TF_Dato,$A328))*2,0)/2)))</f>
        <v/>
      </c>
      <c r="AC328">
        <f>IF(OR(AC$4="",$A328&gt;TODAY()),0,IF(OR(INDEX($B328:$D328,AC$5)="F",AND(AC$6&gt;0,$A328&lt;AC$6),AND(AC$7&gt;0,$A328&gt;AC$7)),0,MAX(0,ROUND((INDEX($E328:$G328,AC$5)-SUMIFS(TF_Timer,TF_Tekniker,AC$4,TF_Dato,$A328))*2,0)/2)))</f>
        <v/>
      </c>
      <c r="AD328">
        <f>IF(OR(AD$4="",$A328&gt;TODAY()),0,IF(OR(INDEX($B328:$D328,AD$5)="F",AND(AD$6&gt;0,$A328&lt;AD$6),AND(AD$7&gt;0,$A328&gt;AD$7)),0,MAX(0,ROUND((INDEX($E328:$G328,AD$5)-SUMIFS(TF_Timer,TF_Tekniker,AD$4,TF_Dato,$A328))*2,0)/2)))</f>
        <v/>
      </c>
      <c r="AE328">
        <f>IF(OR(AE$4="",$A328&gt;TODAY()),0,IF(OR(INDEX($B328:$D328,AE$5)="F",AND(AE$6&gt;0,$A328&lt;AE$6),AND(AE$7&gt;0,$A328&gt;AE$7)),0,MAX(0,ROUND((INDEX($E328:$G328,AE$5)-SUMIFS(TF_Timer,TF_Tekniker,AE$4,TF_Dato,$A328))*2,0)/2)))</f>
        <v/>
      </c>
      <c r="AF328">
        <f>IF(OR(AF$4="",$A328&gt;TODAY()),0,IF(OR(INDEX($B328:$D328,AF$5)="F",AND(AF$6&gt;0,$A328&lt;AF$6),AND(AF$7&gt;0,$A328&gt;AF$7)),0,MAX(0,ROUND((INDEX($E328:$G328,AF$5)-SUMIFS(TF_Timer,TF_Tekniker,AF$4,TF_Dato,$A328))*2,0)/2)))</f>
        <v/>
      </c>
      <c r="AG328">
        <f>IF(OR(AG$4="",$A328&gt;TODAY()),0,IF(OR(INDEX($B328:$D328,AG$5)="F",AND(AG$6&gt;0,$A328&lt;AG$6),AND(AG$7&gt;0,$A328&gt;AG$7)),0,MAX(0,ROUND((INDEX($E328:$G328,AG$5)-SUMIFS(TF_Timer,TF_Tekniker,AG$4,TF_Dato,$A328))*2,0)/2)))</f>
        <v/>
      </c>
      <c r="AH328">
        <f>IF(OR(AH$4="",$A328&gt;TODAY()),0,IF(OR(INDEX($B328:$D328,AH$5)="F",AND(AH$6&gt;0,$A328&lt;AH$6),AND(AH$7&gt;0,$A328&gt;AH$7)),0,MAX(0,ROUND((INDEX($E328:$G328,AH$5)-SUMIFS(TF_Timer,TF_Tekniker,AH$4,TF_Dato,$A328))*2,0)/2)))</f>
        <v/>
      </c>
      <c r="AI328">
        <f>IF(OR(AI$4="",$A328&gt;TODAY()),0,IF(OR(INDEX($B328:$D328,AI$5)="F",AND(AI$6&gt;0,$A328&lt;AI$6),AND(AI$7&gt;0,$A328&gt;AI$7)),0,MAX(0,ROUND((INDEX($E328:$G328,AI$5)-SUMIFS(TF_Timer,TF_Tekniker,AI$4,TF_Dato,$A328))*2,0)/2)))</f>
        <v/>
      </c>
      <c r="AJ328">
        <f>IF(OR(AJ$4="",$A328&gt;TODAY()),0,IF(OR(INDEX($B328:$D328,AJ$5)="F",AND(AJ$6&gt;0,$A328&lt;AJ$6),AND(AJ$7&gt;0,$A328&gt;AJ$7)),0,MAX(0,ROUND((INDEX($E328:$G328,AJ$5)-SUMIFS(TF_Timer,TF_Tekniker,AJ$4,TF_Dato,$A328))*2,0)/2)))</f>
        <v/>
      </c>
      <c r="AK328">
        <f>IF(OR(AK$4="",$A328&gt;TODAY()),0,IF(OR(INDEX($B328:$D328,AK$5)="F",AND(AK$6&gt;0,$A328&lt;AK$6),AND(AK$7&gt;0,$A328&gt;AK$7)),0,MAX(0,ROUND((INDEX($E328:$G328,AK$5)-SUMIFS(TF_Timer,TF_Tekniker,AK$4,TF_Dato,$A328))*2,0)/2)))</f>
        <v/>
      </c>
      <c r="AL328">
        <f>IF(OR(AL$4="",$A328&gt;TODAY()),0,IF(OR(INDEX($B328:$D328,AL$5)="F",AND(AL$6&gt;0,$A328&lt;AL$6),AND(AL$7&gt;0,$A328&gt;AL$7)),0,MAX(0,ROUND((INDEX($E328:$G328,AL$5)-SUMIFS(TF_Timer,TF_Tekniker,AL$4,TF_Dato,$A328))*2,0)/2)))</f>
        <v/>
      </c>
      <c r="AM328">
        <f>IF(OR(AM$4="",$A328&gt;TODAY()),0,IF(OR(INDEX($B328:$D328,AM$5)="F",AND(AM$6&gt;0,$A328&lt;AM$6),AND(AM$7&gt;0,$A328&gt;AM$7)),0,MAX(0,ROUND((INDEX($E328:$G328,AM$5)-SUMIFS(TF_Timer,TF_Tekniker,AM$4,TF_Dato,$A328))*2,0)/2)))</f>
        <v/>
      </c>
      <c r="AN328">
        <f>IF(OR(AN$4="",$A328&gt;TODAY()),0,IF(OR(INDEX($B328:$D328,AN$5)="F",AND(AN$6&gt;0,$A328&lt;AN$6),AND(AN$7&gt;0,$A328&gt;AN$7)),0,MAX(0,ROUND((INDEX($E328:$G328,AN$5)-SUMIFS(TF_Timer,TF_Tekniker,AN$4,TF_Dato,$A328))*2,0)/2)))</f>
        <v/>
      </c>
      <c r="AO328">
        <f>IF(OR(AO$4="",$A328&gt;TODAY()),0,IF(OR(INDEX($B328:$D328,AO$5)="F",AND(AO$6&gt;0,$A328&lt;AO$6),AND(AO$7&gt;0,$A328&gt;AO$7)),0,MAX(0,ROUND((INDEX($E328:$G328,AO$5)-SUMIFS(TF_Timer,TF_Tekniker,AO$4,TF_Dato,$A328))*2,0)/2)))</f>
        <v/>
      </c>
      <c r="AP328">
        <f>IF(OR(AP$4="",$A328&gt;TODAY()),0,IF(OR(INDEX($B328:$D328,AP$5)="F",AND(AP$6&gt;0,$A328&lt;AP$6),AND(AP$7&gt;0,$A328&gt;AP$7)),0,MAX(0,ROUND((INDEX($E328:$G328,AP$5)-SUMIFS(TF_Timer,TF_Tekniker,AP$4,TF_Dato,$A328))*2,0)/2)))</f>
        <v/>
      </c>
      <c r="AQ328">
        <f>IF(OR(AQ$4="",$A328&gt;TODAY()),0,IF(OR(INDEX($B328:$D328,AQ$5)="F",AND(AQ$6&gt;0,$A328&lt;AQ$6),AND(AQ$7&gt;0,$A328&gt;AQ$7)),0,MAX(0,ROUND((INDEX($E328:$G328,AQ$5)-SUMIFS(TF_Timer,TF_Tekniker,AQ$4,TF_Dato,$A328))*2,0)/2)))</f>
        <v/>
      </c>
      <c r="AR328">
        <f>IF(OR(AR$4="",$A328&gt;TODAY()),0,IF(OR(INDEX($B328:$D328,AR$5)="F",AND(AR$6&gt;0,$A328&lt;AR$6),AND(AR$7&gt;0,$A328&gt;AR$7)),0,MAX(0,ROUND((INDEX($E328:$G328,AR$5)-SUMIFS(TF_Timer,TF_Tekniker,AR$4,TF_Dato,$A328))*2,0)/2)))</f>
        <v/>
      </c>
      <c r="AS328">
        <f>IF(OR(AS$4="",$A328&gt;TODAY()),0,IF(OR(INDEX($B328:$D328,AS$5)="F",AND(AS$6&gt;0,$A328&lt;AS$6),AND(AS$7&gt;0,$A328&gt;AS$7)),0,MAX(0,ROUND((INDEX($E328:$G328,AS$5)-SUMIFS(TF_Timer,TF_Tekniker,AS$4,TF_Dato,$A328))*2,0)/2)))</f>
        <v/>
      </c>
      <c r="AT328">
        <f>IF(OR(AT$4="",$A328&gt;TODAY()),0,IF(OR(INDEX($B328:$D328,AT$5)="F",AND(AT$6&gt;0,$A328&lt;AT$6),AND(AT$7&gt;0,$A328&gt;AT$7)),0,MAX(0,ROUND((INDEX($E328:$G328,AT$5)-SUMIFS(TF_Timer,TF_Tekniker,AT$4,TF_Dato,$A328))*2,0)/2)))</f>
        <v/>
      </c>
      <c r="AU328">
        <f>IF(OR(AU$4="",$A328&gt;TODAY()),0,IF(OR(INDEX($B328:$D328,AU$5)="F",AND(AU$6&gt;0,$A328&lt;AU$6),AND(AU$7&gt;0,$A328&gt;AU$7)),0,MAX(0,ROUND((INDEX($E328:$G328,AU$5)-SUMIFS(TF_Timer,TF_Tekniker,AU$4,TF_Dato,$A328))*2,0)/2)))</f>
        <v/>
      </c>
      <c r="AV328">
        <f>IF(OR(AV$4="",$A328&gt;TODAY()),0,IF(OR(INDEX($B328:$D328,AV$5)="F",AND(AV$6&gt;0,$A328&lt;AV$6),AND(AV$7&gt;0,$A328&gt;AV$7)),0,MAX(0,ROUND((INDEX($E328:$G328,AV$5)-SUMIFS(TF_Timer,TF_Tekniker,AV$4,TF_Dato,$A328))*2,0)/2)))</f>
        <v/>
      </c>
      <c r="AW328">
        <f>IF(OR(AW$4="",$A328&gt;TODAY()),0,IF(OR(INDEX($B328:$D328,AW$5)="F",AND(AW$6&gt;0,$A328&lt;AW$6),AND(AW$7&gt;0,$A328&gt;AW$7)),0,MAX(0,ROUND((INDEX($E328:$G328,AW$5)-SUMIFS(TF_Timer,TF_Tekniker,AW$4,TF_Dato,$A328))*2,0)/2)))</f>
        <v/>
      </c>
      <c r="AX328">
        <f>IF(OR(AX$4="",$A328&gt;TODAY()),0,IF(OR(INDEX($B328:$D328,AX$5)="F",AND(AX$6&gt;0,$A328&lt;AX$6),AND(AX$7&gt;0,$A328&gt;AX$7)),0,MAX(0,ROUND((INDEX($E328:$G328,AX$5)-SUMIFS(TF_Timer,TF_Tekniker,AX$4,TF_Dato,$A328))*2,0)/2)))</f>
        <v/>
      </c>
      <c r="AY328">
        <f>IF(OR(AY$4="",$A328&gt;TODAY()),0,IF(OR(INDEX($B328:$D328,AY$5)="F",AND(AY$6&gt;0,$A328&lt;AY$6),AND(AY$7&gt;0,$A328&gt;AY$7)),0,MAX(0,ROUND((INDEX($E328:$G328,AY$5)-SUMIFS(TF_Timer,TF_Tekniker,AY$4,TF_Dato,$A328))*2,0)/2)))</f>
        <v/>
      </c>
      <c r="AZ328">
        <f>IF(OR(AZ$4="",$A328&gt;TODAY()),0,IF(OR(INDEX($B328:$D328,AZ$5)="F",AND(AZ$6&gt;0,$A328&lt;AZ$6),AND(AZ$7&gt;0,$A328&gt;AZ$7)),0,MAX(0,ROUND((INDEX($E328:$G328,AZ$5)-SUMIFS(TF_Timer,TF_Tekniker,AZ$4,TF_Dato,$A328))*2,0)/2)))</f>
        <v/>
      </c>
      <c r="BA328">
        <f>IF(OR(BA$4="",$A328&gt;TODAY()),0,IF(OR(INDEX($B328:$D328,BA$5)="F",AND(BA$6&gt;0,$A328&lt;BA$6),AND(BA$7&gt;0,$A328&gt;BA$7)),0,MAX(0,ROUND((INDEX($E328:$G328,BA$5)-SUMIFS(TF_Timer,TF_Tekniker,BA$4,TF_Dato,$A328))*2,0)/2)))</f>
        <v/>
      </c>
      <c r="BB328">
        <f>IF(OR(BB$4="",$A328&gt;TODAY()),0,IF(OR(INDEX($B328:$D328,BB$5)="F",AND(BB$6&gt;0,$A328&lt;BB$6),AND(BB$7&gt;0,$A328&gt;BB$7)),0,MAX(0,ROUND((INDEX($E328:$G328,BB$5)-SUMIFS(TF_Timer,TF_Tekniker,BB$4,TF_Dato,$A328))*2,0)/2)))</f>
        <v/>
      </c>
      <c r="BC328">
        <f>IF(OR(BC$4="",$A328&gt;TODAY()),0,IF(OR(INDEX($B328:$D328,BC$5)="F",AND(BC$6&gt;0,$A328&lt;BC$6),AND(BC$7&gt;0,$A328&gt;BC$7)),0,MAX(0,ROUND((INDEX($E328:$G328,BC$5)-SUMIFS(TF_Timer,TF_Tekniker,BC$4,TF_Dato,$A328))*2,0)/2)))</f>
        <v/>
      </c>
      <c r="BD328">
        <f>IF(OR(BD$4="",$A328&gt;TODAY()),0,IF(OR(INDEX($B328:$D328,BD$5)="F",AND(BD$6&gt;0,$A328&lt;BD$6),AND(BD$7&gt;0,$A328&gt;BD$7)),0,MAX(0,ROUND((INDEX($E328:$G328,BD$5)-SUMIFS(TF_Timer,TF_Tekniker,BD$4,TF_Dato,$A328))*2,0)/2)))</f>
        <v/>
      </c>
      <c r="BE328">
        <f>IF(OR(BE$4="",$A328&gt;TODAY()),0,IF(OR(INDEX($B328:$D328,BE$5)="F",AND(BE$6&gt;0,$A328&lt;BE$6),AND(BE$7&gt;0,$A328&gt;BE$7)),0,MAX(0,ROUND((INDEX($E328:$G328,BE$5)-SUMIFS(TF_Timer,TF_Tekniker,BE$4,TF_Dato,$A328))*2,0)/2)))</f>
        <v/>
      </c>
      <c r="BF328">
        <f>IF(OR(BF$4="",$A328&gt;TODAY()),0,IF(OR(INDEX($B328:$D328,BF$5)="F",AND(BF$6&gt;0,$A328&lt;BF$6),AND(BF$7&gt;0,$A328&gt;BF$7)),0,MAX(0,ROUND((INDEX($E328:$G328,BF$5)-SUMIFS(TF_Timer,TF_Tekniker,BF$4,TF_Dato,$A328))*2,0)/2)))</f>
        <v/>
      </c>
      <c r="BG328">
        <f>IF(OR(BG$4="",$A328&gt;TODAY()),0,IF(OR(INDEX($B328:$D328,BG$5)="F",AND(BG$6&gt;0,$A328&lt;BG$6),AND(BG$7&gt;0,$A328&gt;BG$7)),0,MAX(0,ROUND((INDEX($E328:$G328,BG$5)-SUMIFS(TF_Timer,TF_Tekniker,BG$4,TF_Dato,$A328))*2,0)/2)))</f>
        <v/>
      </c>
      <c r="BH328">
        <f>IF(OR(BH$4="",$A328&gt;TODAY()),0,IF(OR(INDEX($B328:$D328,BH$5)="F",AND(BH$6&gt;0,$A328&lt;BH$6),AND(BH$7&gt;0,$A328&gt;BH$7)),0,MAX(0,ROUND((INDEX($E328:$G328,BH$5)-SUMIFS(TF_Timer,TF_Tekniker,BH$4,TF_Dato,$A328))*2,0)/2)))</f>
        <v/>
      </c>
      <c r="BI328">
        <f>IF(OR(BI$4="",$A328&gt;TODAY()),0,IF(OR(INDEX($B328:$D328,BI$5)="F",AND(BI$6&gt;0,$A328&lt;BI$6),AND(BI$7&gt;0,$A328&gt;BI$7)),0,MAX(0,ROUND((INDEX($E328:$G328,BI$5)-SUMIFS(TF_Timer,TF_Tekniker,BI$4,TF_Dato,$A328))*2,0)/2)))</f>
        <v/>
      </c>
    </row>
    <row r="329">
      <c r="A329" s="64">
        <f>A328+1</f>
        <v/>
      </c>
      <c r="B329">
        <f>IF(MOD($A329-INDEX(SkiftStart,1),Syklus)&lt;DagK,"K",IF(MOD($A329-INDEX(SkiftStart,1),Syklus)&lt;DagK+DagH,"H",IF(MOD($A329-INDEX(SkiftStart,1),Syklus)&lt;DagK+DagH+DagD,"D","F")))</f>
        <v/>
      </c>
      <c r="C329">
        <f>IF(MOD($A329-INDEX(SkiftStart,2),Syklus)&lt;DagK,"K",IF(MOD($A329-INDEX(SkiftStart,2),Syklus)&lt;DagK+DagH,"H",IF(MOD($A329-INDEX(SkiftStart,2),Syklus)&lt;DagK+DagH+DagD,"D","F")))</f>
        <v/>
      </c>
      <c r="D329">
        <f>IF(MOD($A329-INDEX(SkiftStart,3),Syklus)&lt;DagK,"K",IF(MOD($A329-INDEX(SkiftStart,3),Syklus)&lt;DagK+DagH,"H",IF(MOD($A329-INDEX(SkiftStart,3),Syklus)&lt;DagK+DagH+DagD,"D","F")))</f>
        <v/>
      </c>
      <c r="E329">
        <f>IF(B329="F",0,IF(WEEKDAY($A329,2)=5,INDEX(TimerFr,MATCH(B329,FaseKode,0)),INDEX(TimerMT,MATCH(B329,FaseKode,0))))</f>
        <v/>
      </c>
      <c r="F329">
        <f>IF(C329="F",0,IF(WEEKDAY($A329,2)=5,INDEX(TimerFr,MATCH(C329,FaseKode,0)),INDEX(TimerMT,MATCH(C329,FaseKode,0))))</f>
        <v/>
      </c>
      <c r="G329">
        <f>IF(D329="F",0,IF(WEEKDAY($A329,2)=5,INDEX(TimerFr,MATCH(D329,FaseKode,0)),INDEX(TimerMT,MATCH(D329,FaseKode,0))))</f>
        <v/>
      </c>
      <c r="H329">
        <f>IF(OR(H$4="",$A329&gt;TODAY()),0,IF(OR(INDEX($B329:$D329,H$5)="F",AND(H$6&gt;0,$A329&lt;H$6),AND(H$7&gt;0,$A329&gt;H$7)),0,MAX(0,ROUND((INDEX($E329:$G329,H$5)-SUMIFS(TF_Timer,TF_Tekniker,H$4,TF_Dato,$A329))*2,0)/2)))</f>
        <v/>
      </c>
      <c r="I329">
        <f>IF(OR(I$4="",$A329&gt;TODAY()),0,IF(OR(INDEX($B329:$D329,I$5)="F",AND(I$6&gt;0,$A329&lt;I$6),AND(I$7&gt;0,$A329&gt;I$7)),0,MAX(0,ROUND((INDEX($E329:$G329,I$5)-SUMIFS(TF_Timer,TF_Tekniker,I$4,TF_Dato,$A329))*2,0)/2)))</f>
        <v/>
      </c>
      <c r="J329">
        <f>IF(OR(J$4="",$A329&gt;TODAY()),0,IF(OR(INDEX($B329:$D329,J$5)="F",AND(J$6&gt;0,$A329&lt;J$6),AND(J$7&gt;0,$A329&gt;J$7)),0,MAX(0,ROUND((INDEX($E329:$G329,J$5)-SUMIFS(TF_Timer,TF_Tekniker,J$4,TF_Dato,$A329))*2,0)/2)))</f>
        <v/>
      </c>
      <c r="K329">
        <f>IF(OR(K$4="",$A329&gt;TODAY()),0,IF(OR(INDEX($B329:$D329,K$5)="F",AND(K$6&gt;0,$A329&lt;K$6),AND(K$7&gt;0,$A329&gt;K$7)),0,MAX(0,ROUND((INDEX($E329:$G329,K$5)-SUMIFS(TF_Timer,TF_Tekniker,K$4,TF_Dato,$A329))*2,0)/2)))</f>
        <v/>
      </c>
      <c r="L329">
        <f>IF(OR(L$4="",$A329&gt;TODAY()),0,IF(OR(INDEX($B329:$D329,L$5)="F",AND(L$6&gt;0,$A329&lt;L$6),AND(L$7&gt;0,$A329&gt;L$7)),0,MAX(0,ROUND((INDEX($E329:$G329,L$5)-SUMIFS(TF_Timer,TF_Tekniker,L$4,TF_Dato,$A329))*2,0)/2)))</f>
        <v/>
      </c>
      <c r="M329">
        <f>IF(OR(M$4="",$A329&gt;TODAY()),0,IF(OR(INDEX($B329:$D329,M$5)="F",AND(M$6&gt;0,$A329&lt;M$6),AND(M$7&gt;0,$A329&gt;M$7)),0,MAX(0,ROUND((INDEX($E329:$G329,M$5)-SUMIFS(TF_Timer,TF_Tekniker,M$4,TF_Dato,$A329))*2,0)/2)))</f>
        <v/>
      </c>
      <c r="N329">
        <f>IF(OR(N$4="",$A329&gt;TODAY()),0,IF(OR(INDEX($B329:$D329,N$5)="F",AND(N$6&gt;0,$A329&lt;N$6),AND(N$7&gt;0,$A329&gt;N$7)),0,MAX(0,ROUND((INDEX($E329:$G329,N$5)-SUMIFS(TF_Timer,TF_Tekniker,N$4,TF_Dato,$A329))*2,0)/2)))</f>
        <v/>
      </c>
      <c r="O329">
        <f>IF(OR(O$4="",$A329&gt;TODAY()),0,IF(OR(INDEX($B329:$D329,O$5)="F",AND(O$6&gt;0,$A329&lt;O$6),AND(O$7&gt;0,$A329&gt;O$7)),0,MAX(0,ROUND((INDEX($E329:$G329,O$5)-SUMIFS(TF_Timer,TF_Tekniker,O$4,TF_Dato,$A329))*2,0)/2)))</f>
        <v/>
      </c>
      <c r="P329">
        <f>IF(OR(P$4="",$A329&gt;TODAY()),0,IF(OR(INDEX($B329:$D329,P$5)="F",AND(P$6&gt;0,$A329&lt;P$6),AND(P$7&gt;0,$A329&gt;P$7)),0,MAX(0,ROUND((INDEX($E329:$G329,P$5)-SUMIFS(TF_Timer,TF_Tekniker,P$4,TF_Dato,$A329))*2,0)/2)))</f>
        <v/>
      </c>
      <c r="Q329">
        <f>IF(OR(Q$4="",$A329&gt;TODAY()),0,IF(OR(INDEX($B329:$D329,Q$5)="F",AND(Q$6&gt;0,$A329&lt;Q$6),AND(Q$7&gt;0,$A329&gt;Q$7)),0,MAX(0,ROUND((INDEX($E329:$G329,Q$5)-SUMIFS(TF_Timer,TF_Tekniker,Q$4,TF_Dato,$A329))*2,0)/2)))</f>
        <v/>
      </c>
      <c r="R329">
        <f>IF(OR(R$4="",$A329&gt;TODAY()),0,IF(OR(INDEX($B329:$D329,R$5)="F",AND(R$6&gt;0,$A329&lt;R$6),AND(R$7&gt;0,$A329&gt;R$7)),0,MAX(0,ROUND((INDEX($E329:$G329,R$5)-SUMIFS(TF_Timer,TF_Tekniker,R$4,TF_Dato,$A329))*2,0)/2)))</f>
        <v/>
      </c>
      <c r="S329">
        <f>IF(OR(S$4="",$A329&gt;TODAY()),0,IF(OR(INDEX($B329:$D329,S$5)="F",AND(S$6&gt;0,$A329&lt;S$6),AND(S$7&gt;0,$A329&gt;S$7)),0,MAX(0,ROUND((INDEX($E329:$G329,S$5)-SUMIFS(TF_Timer,TF_Tekniker,S$4,TF_Dato,$A329))*2,0)/2)))</f>
        <v/>
      </c>
      <c r="T329">
        <f>IF(OR(T$4="",$A329&gt;TODAY()),0,IF(OR(INDEX($B329:$D329,T$5)="F",AND(T$6&gt;0,$A329&lt;T$6),AND(T$7&gt;0,$A329&gt;T$7)),0,MAX(0,ROUND((INDEX($E329:$G329,T$5)-SUMIFS(TF_Timer,TF_Tekniker,T$4,TF_Dato,$A329))*2,0)/2)))</f>
        <v/>
      </c>
      <c r="U329">
        <f>IF(OR(U$4="",$A329&gt;TODAY()),0,IF(OR(INDEX($B329:$D329,U$5)="F",AND(U$6&gt;0,$A329&lt;U$6),AND(U$7&gt;0,$A329&gt;U$7)),0,MAX(0,ROUND((INDEX($E329:$G329,U$5)-SUMIFS(TF_Timer,TF_Tekniker,U$4,TF_Dato,$A329))*2,0)/2)))</f>
        <v/>
      </c>
      <c r="V329">
        <f>IF(OR(V$4="",$A329&gt;TODAY()),0,IF(OR(INDEX($B329:$D329,V$5)="F",AND(V$6&gt;0,$A329&lt;V$6),AND(V$7&gt;0,$A329&gt;V$7)),0,MAX(0,ROUND((INDEX($E329:$G329,V$5)-SUMIFS(TF_Timer,TF_Tekniker,V$4,TF_Dato,$A329))*2,0)/2)))</f>
        <v/>
      </c>
      <c r="W329">
        <f>IF(OR(W$4="",$A329&gt;TODAY()),0,IF(OR(INDEX($B329:$D329,W$5)="F",AND(W$6&gt;0,$A329&lt;W$6),AND(W$7&gt;0,$A329&gt;W$7)),0,MAX(0,ROUND((INDEX($E329:$G329,W$5)-SUMIFS(TF_Timer,TF_Tekniker,W$4,TF_Dato,$A329))*2,0)/2)))</f>
        <v/>
      </c>
      <c r="X329">
        <f>IF(OR(X$4="",$A329&gt;TODAY()),0,IF(OR(INDEX($B329:$D329,X$5)="F",AND(X$6&gt;0,$A329&lt;X$6),AND(X$7&gt;0,$A329&gt;X$7)),0,MAX(0,ROUND((INDEX($E329:$G329,X$5)-SUMIFS(TF_Timer,TF_Tekniker,X$4,TF_Dato,$A329))*2,0)/2)))</f>
        <v/>
      </c>
      <c r="Y329">
        <f>IF(OR(Y$4="",$A329&gt;TODAY()),0,IF(OR(INDEX($B329:$D329,Y$5)="F",AND(Y$6&gt;0,$A329&lt;Y$6),AND(Y$7&gt;0,$A329&gt;Y$7)),0,MAX(0,ROUND((INDEX($E329:$G329,Y$5)-SUMIFS(TF_Timer,TF_Tekniker,Y$4,TF_Dato,$A329))*2,0)/2)))</f>
        <v/>
      </c>
      <c r="Z329">
        <f>IF(OR(Z$4="",$A329&gt;TODAY()),0,IF(OR(INDEX($B329:$D329,Z$5)="F",AND(Z$6&gt;0,$A329&lt;Z$6),AND(Z$7&gt;0,$A329&gt;Z$7)),0,MAX(0,ROUND((INDEX($E329:$G329,Z$5)-SUMIFS(TF_Timer,TF_Tekniker,Z$4,TF_Dato,$A329))*2,0)/2)))</f>
        <v/>
      </c>
      <c r="AA329">
        <f>IF(OR(AA$4="",$A329&gt;TODAY()),0,IF(OR(INDEX($B329:$D329,AA$5)="F",AND(AA$6&gt;0,$A329&lt;AA$6),AND(AA$7&gt;0,$A329&gt;AA$7)),0,MAX(0,ROUND((INDEX($E329:$G329,AA$5)-SUMIFS(TF_Timer,TF_Tekniker,AA$4,TF_Dato,$A329))*2,0)/2)))</f>
        <v/>
      </c>
      <c r="AB329">
        <f>IF(OR(AB$4="",$A329&gt;TODAY()),0,IF(OR(INDEX($B329:$D329,AB$5)="F",AND(AB$6&gt;0,$A329&lt;AB$6),AND(AB$7&gt;0,$A329&gt;AB$7)),0,MAX(0,ROUND((INDEX($E329:$G329,AB$5)-SUMIFS(TF_Timer,TF_Tekniker,AB$4,TF_Dato,$A329))*2,0)/2)))</f>
        <v/>
      </c>
      <c r="AC329">
        <f>IF(OR(AC$4="",$A329&gt;TODAY()),0,IF(OR(INDEX($B329:$D329,AC$5)="F",AND(AC$6&gt;0,$A329&lt;AC$6),AND(AC$7&gt;0,$A329&gt;AC$7)),0,MAX(0,ROUND((INDEX($E329:$G329,AC$5)-SUMIFS(TF_Timer,TF_Tekniker,AC$4,TF_Dato,$A329))*2,0)/2)))</f>
        <v/>
      </c>
      <c r="AD329">
        <f>IF(OR(AD$4="",$A329&gt;TODAY()),0,IF(OR(INDEX($B329:$D329,AD$5)="F",AND(AD$6&gt;0,$A329&lt;AD$6),AND(AD$7&gt;0,$A329&gt;AD$7)),0,MAX(0,ROUND((INDEX($E329:$G329,AD$5)-SUMIFS(TF_Timer,TF_Tekniker,AD$4,TF_Dato,$A329))*2,0)/2)))</f>
        <v/>
      </c>
      <c r="AE329">
        <f>IF(OR(AE$4="",$A329&gt;TODAY()),0,IF(OR(INDEX($B329:$D329,AE$5)="F",AND(AE$6&gt;0,$A329&lt;AE$6),AND(AE$7&gt;0,$A329&gt;AE$7)),0,MAX(0,ROUND((INDEX($E329:$G329,AE$5)-SUMIFS(TF_Timer,TF_Tekniker,AE$4,TF_Dato,$A329))*2,0)/2)))</f>
        <v/>
      </c>
      <c r="AF329">
        <f>IF(OR(AF$4="",$A329&gt;TODAY()),0,IF(OR(INDEX($B329:$D329,AF$5)="F",AND(AF$6&gt;0,$A329&lt;AF$6),AND(AF$7&gt;0,$A329&gt;AF$7)),0,MAX(0,ROUND((INDEX($E329:$G329,AF$5)-SUMIFS(TF_Timer,TF_Tekniker,AF$4,TF_Dato,$A329))*2,0)/2)))</f>
        <v/>
      </c>
      <c r="AG329">
        <f>IF(OR(AG$4="",$A329&gt;TODAY()),0,IF(OR(INDEX($B329:$D329,AG$5)="F",AND(AG$6&gt;0,$A329&lt;AG$6),AND(AG$7&gt;0,$A329&gt;AG$7)),0,MAX(0,ROUND((INDEX($E329:$G329,AG$5)-SUMIFS(TF_Timer,TF_Tekniker,AG$4,TF_Dato,$A329))*2,0)/2)))</f>
        <v/>
      </c>
      <c r="AH329">
        <f>IF(OR(AH$4="",$A329&gt;TODAY()),0,IF(OR(INDEX($B329:$D329,AH$5)="F",AND(AH$6&gt;0,$A329&lt;AH$6),AND(AH$7&gt;0,$A329&gt;AH$7)),0,MAX(0,ROUND((INDEX($E329:$G329,AH$5)-SUMIFS(TF_Timer,TF_Tekniker,AH$4,TF_Dato,$A329))*2,0)/2)))</f>
        <v/>
      </c>
      <c r="AI329">
        <f>IF(OR(AI$4="",$A329&gt;TODAY()),0,IF(OR(INDEX($B329:$D329,AI$5)="F",AND(AI$6&gt;0,$A329&lt;AI$6),AND(AI$7&gt;0,$A329&gt;AI$7)),0,MAX(0,ROUND((INDEX($E329:$G329,AI$5)-SUMIFS(TF_Timer,TF_Tekniker,AI$4,TF_Dato,$A329))*2,0)/2)))</f>
        <v/>
      </c>
      <c r="AJ329">
        <f>IF(OR(AJ$4="",$A329&gt;TODAY()),0,IF(OR(INDEX($B329:$D329,AJ$5)="F",AND(AJ$6&gt;0,$A329&lt;AJ$6),AND(AJ$7&gt;0,$A329&gt;AJ$7)),0,MAX(0,ROUND((INDEX($E329:$G329,AJ$5)-SUMIFS(TF_Timer,TF_Tekniker,AJ$4,TF_Dato,$A329))*2,0)/2)))</f>
        <v/>
      </c>
      <c r="AK329">
        <f>IF(OR(AK$4="",$A329&gt;TODAY()),0,IF(OR(INDEX($B329:$D329,AK$5)="F",AND(AK$6&gt;0,$A329&lt;AK$6),AND(AK$7&gt;0,$A329&gt;AK$7)),0,MAX(0,ROUND((INDEX($E329:$G329,AK$5)-SUMIFS(TF_Timer,TF_Tekniker,AK$4,TF_Dato,$A329))*2,0)/2)))</f>
        <v/>
      </c>
      <c r="AL329">
        <f>IF(OR(AL$4="",$A329&gt;TODAY()),0,IF(OR(INDEX($B329:$D329,AL$5)="F",AND(AL$6&gt;0,$A329&lt;AL$6),AND(AL$7&gt;0,$A329&gt;AL$7)),0,MAX(0,ROUND((INDEX($E329:$G329,AL$5)-SUMIFS(TF_Timer,TF_Tekniker,AL$4,TF_Dato,$A329))*2,0)/2)))</f>
        <v/>
      </c>
      <c r="AM329">
        <f>IF(OR(AM$4="",$A329&gt;TODAY()),0,IF(OR(INDEX($B329:$D329,AM$5)="F",AND(AM$6&gt;0,$A329&lt;AM$6),AND(AM$7&gt;0,$A329&gt;AM$7)),0,MAX(0,ROUND((INDEX($E329:$G329,AM$5)-SUMIFS(TF_Timer,TF_Tekniker,AM$4,TF_Dato,$A329))*2,0)/2)))</f>
        <v/>
      </c>
      <c r="AN329">
        <f>IF(OR(AN$4="",$A329&gt;TODAY()),0,IF(OR(INDEX($B329:$D329,AN$5)="F",AND(AN$6&gt;0,$A329&lt;AN$6),AND(AN$7&gt;0,$A329&gt;AN$7)),0,MAX(0,ROUND((INDEX($E329:$G329,AN$5)-SUMIFS(TF_Timer,TF_Tekniker,AN$4,TF_Dato,$A329))*2,0)/2)))</f>
        <v/>
      </c>
      <c r="AO329">
        <f>IF(OR(AO$4="",$A329&gt;TODAY()),0,IF(OR(INDEX($B329:$D329,AO$5)="F",AND(AO$6&gt;0,$A329&lt;AO$6),AND(AO$7&gt;0,$A329&gt;AO$7)),0,MAX(0,ROUND((INDEX($E329:$G329,AO$5)-SUMIFS(TF_Timer,TF_Tekniker,AO$4,TF_Dato,$A329))*2,0)/2)))</f>
        <v/>
      </c>
      <c r="AP329">
        <f>IF(OR(AP$4="",$A329&gt;TODAY()),0,IF(OR(INDEX($B329:$D329,AP$5)="F",AND(AP$6&gt;0,$A329&lt;AP$6),AND(AP$7&gt;0,$A329&gt;AP$7)),0,MAX(0,ROUND((INDEX($E329:$G329,AP$5)-SUMIFS(TF_Timer,TF_Tekniker,AP$4,TF_Dato,$A329))*2,0)/2)))</f>
        <v/>
      </c>
      <c r="AQ329">
        <f>IF(OR(AQ$4="",$A329&gt;TODAY()),0,IF(OR(INDEX($B329:$D329,AQ$5)="F",AND(AQ$6&gt;0,$A329&lt;AQ$6),AND(AQ$7&gt;0,$A329&gt;AQ$7)),0,MAX(0,ROUND((INDEX($E329:$G329,AQ$5)-SUMIFS(TF_Timer,TF_Tekniker,AQ$4,TF_Dato,$A329))*2,0)/2)))</f>
        <v/>
      </c>
      <c r="AR329">
        <f>IF(OR(AR$4="",$A329&gt;TODAY()),0,IF(OR(INDEX($B329:$D329,AR$5)="F",AND(AR$6&gt;0,$A329&lt;AR$6),AND(AR$7&gt;0,$A329&gt;AR$7)),0,MAX(0,ROUND((INDEX($E329:$G329,AR$5)-SUMIFS(TF_Timer,TF_Tekniker,AR$4,TF_Dato,$A329))*2,0)/2)))</f>
        <v/>
      </c>
      <c r="AS329">
        <f>IF(OR(AS$4="",$A329&gt;TODAY()),0,IF(OR(INDEX($B329:$D329,AS$5)="F",AND(AS$6&gt;0,$A329&lt;AS$6),AND(AS$7&gt;0,$A329&gt;AS$7)),0,MAX(0,ROUND((INDEX($E329:$G329,AS$5)-SUMIFS(TF_Timer,TF_Tekniker,AS$4,TF_Dato,$A329))*2,0)/2)))</f>
        <v/>
      </c>
      <c r="AT329">
        <f>IF(OR(AT$4="",$A329&gt;TODAY()),0,IF(OR(INDEX($B329:$D329,AT$5)="F",AND(AT$6&gt;0,$A329&lt;AT$6),AND(AT$7&gt;0,$A329&gt;AT$7)),0,MAX(0,ROUND((INDEX($E329:$G329,AT$5)-SUMIFS(TF_Timer,TF_Tekniker,AT$4,TF_Dato,$A329))*2,0)/2)))</f>
        <v/>
      </c>
      <c r="AU329">
        <f>IF(OR(AU$4="",$A329&gt;TODAY()),0,IF(OR(INDEX($B329:$D329,AU$5)="F",AND(AU$6&gt;0,$A329&lt;AU$6),AND(AU$7&gt;0,$A329&gt;AU$7)),0,MAX(0,ROUND((INDEX($E329:$G329,AU$5)-SUMIFS(TF_Timer,TF_Tekniker,AU$4,TF_Dato,$A329))*2,0)/2)))</f>
        <v/>
      </c>
      <c r="AV329">
        <f>IF(OR(AV$4="",$A329&gt;TODAY()),0,IF(OR(INDEX($B329:$D329,AV$5)="F",AND(AV$6&gt;0,$A329&lt;AV$6),AND(AV$7&gt;0,$A329&gt;AV$7)),0,MAX(0,ROUND((INDEX($E329:$G329,AV$5)-SUMIFS(TF_Timer,TF_Tekniker,AV$4,TF_Dato,$A329))*2,0)/2)))</f>
        <v/>
      </c>
      <c r="AW329">
        <f>IF(OR(AW$4="",$A329&gt;TODAY()),0,IF(OR(INDEX($B329:$D329,AW$5)="F",AND(AW$6&gt;0,$A329&lt;AW$6),AND(AW$7&gt;0,$A329&gt;AW$7)),0,MAX(0,ROUND((INDEX($E329:$G329,AW$5)-SUMIFS(TF_Timer,TF_Tekniker,AW$4,TF_Dato,$A329))*2,0)/2)))</f>
        <v/>
      </c>
      <c r="AX329">
        <f>IF(OR(AX$4="",$A329&gt;TODAY()),0,IF(OR(INDEX($B329:$D329,AX$5)="F",AND(AX$6&gt;0,$A329&lt;AX$6),AND(AX$7&gt;0,$A329&gt;AX$7)),0,MAX(0,ROUND((INDEX($E329:$G329,AX$5)-SUMIFS(TF_Timer,TF_Tekniker,AX$4,TF_Dato,$A329))*2,0)/2)))</f>
        <v/>
      </c>
      <c r="AY329">
        <f>IF(OR(AY$4="",$A329&gt;TODAY()),0,IF(OR(INDEX($B329:$D329,AY$5)="F",AND(AY$6&gt;0,$A329&lt;AY$6),AND(AY$7&gt;0,$A329&gt;AY$7)),0,MAX(0,ROUND((INDEX($E329:$G329,AY$5)-SUMIFS(TF_Timer,TF_Tekniker,AY$4,TF_Dato,$A329))*2,0)/2)))</f>
        <v/>
      </c>
      <c r="AZ329">
        <f>IF(OR(AZ$4="",$A329&gt;TODAY()),0,IF(OR(INDEX($B329:$D329,AZ$5)="F",AND(AZ$6&gt;0,$A329&lt;AZ$6),AND(AZ$7&gt;0,$A329&gt;AZ$7)),0,MAX(0,ROUND((INDEX($E329:$G329,AZ$5)-SUMIFS(TF_Timer,TF_Tekniker,AZ$4,TF_Dato,$A329))*2,0)/2)))</f>
        <v/>
      </c>
      <c r="BA329">
        <f>IF(OR(BA$4="",$A329&gt;TODAY()),0,IF(OR(INDEX($B329:$D329,BA$5)="F",AND(BA$6&gt;0,$A329&lt;BA$6),AND(BA$7&gt;0,$A329&gt;BA$7)),0,MAX(0,ROUND((INDEX($E329:$G329,BA$5)-SUMIFS(TF_Timer,TF_Tekniker,BA$4,TF_Dato,$A329))*2,0)/2)))</f>
        <v/>
      </c>
      <c r="BB329">
        <f>IF(OR(BB$4="",$A329&gt;TODAY()),0,IF(OR(INDEX($B329:$D329,BB$5)="F",AND(BB$6&gt;0,$A329&lt;BB$6),AND(BB$7&gt;0,$A329&gt;BB$7)),0,MAX(0,ROUND((INDEX($E329:$G329,BB$5)-SUMIFS(TF_Timer,TF_Tekniker,BB$4,TF_Dato,$A329))*2,0)/2)))</f>
        <v/>
      </c>
      <c r="BC329">
        <f>IF(OR(BC$4="",$A329&gt;TODAY()),0,IF(OR(INDEX($B329:$D329,BC$5)="F",AND(BC$6&gt;0,$A329&lt;BC$6),AND(BC$7&gt;0,$A329&gt;BC$7)),0,MAX(0,ROUND((INDEX($E329:$G329,BC$5)-SUMIFS(TF_Timer,TF_Tekniker,BC$4,TF_Dato,$A329))*2,0)/2)))</f>
        <v/>
      </c>
      <c r="BD329">
        <f>IF(OR(BD$4="",$A329&gt;TODAY()),0,IF(OR(INDEX($B329:$D329,BD$5)="F",AND(BD$6&gt;0,$A329&lt;BD$6),AND(BD$7&gt;0,$A329&gt;BD$7)),0,MAX(0,ROUND((INDEX($E329:$G329,BD$5)-SUMIFS(TF_Timer,TF_Tekniker,BD$4,TF_Dato,$A329))*2,0)/2)))</f>
        <v/>
      </c>
      <c r="BE329">
        <f>IF(OR(BE$4="",$A329&gt;TODAY()),0,IF(OR(INDEX($B329:$D329,BE$5)="F",AND(BE$6&gt;0,$A329&lt;BE$6),AND(BE$7&gt;0,$A329&gt;BE$7)),0,MAX(0,ROUND((INDEX($E329:$G329,BE$5)-SUMIFS(TF_Timer,TF_Tekniker,BE$4,TF_Dato,$A329))*2,0)/2)))</f>
        <v/>
      </c>
      <c r="BF329">
        <f>IF(OR(BF$4="",$A329&gt;TODAY()),0,IF(OR(INDEX($B329:$D329,BF$5)="F",AND(BF$6&gt;0,$A329&lt;BF$6),AND(BF$7&gt;0,$A329&gt;BF$7)),0,MAX(0,ROUND((INDEX($E329:$G329,BF$5)-SUMIFS(TF_Timer,TF_Tekniker,BF$4,TF_Dato,$A329))*2,0)/2)))</f>
        <v/>
      </c>
      <c r="BG329">
        <f>IF(OR(BG$4="",$A329&gt;TODAY()),0,IF(OR(INDEX($B329:$D329,BG$5)="F",AND(BG$6&gt;0,$A329&lt;BG$6),AND(BG$7&gt;0,$A329&gt;BG$7)),0,MAX(0,ROUND((INDEX($E329:$G329,BG$5)-SUMIFS(TF_Timer,TF_Tekniker,BG$4,TF_Dato,$A329))*2,0)/2)))</f>
        <v/>
      </c>
      <c r="BH329">
        <f>IF(OR(BH$4="",$A329&gt;TODAY()),0,IF(OR(INDEX($B329:$D329,BH$5)="F",AND(BH$6&gt;0,$A329&lt;BH$6),AND(BH$7&gt;0,$A329&gt;BH$7)),0,MAX(0,ROUND((INDEX($E329:$G329,BH$5)-SUMIFS(TF_Timer,TF_Tekniker,BH$4,TF_Dato,$A329))*2,0)/2)))</f>
        <v/>
      </c>
      <c r="BI329">
        <f>IF(OR(BI$4="",$A329&gt;TODAY()),0,IF(OR(INDEX($B329:$D329,BI$5)="F",AND(BI$6&gt;0,$A329&lt;BI$6),AND(BI$7&gt;0,$A329&gt;BI$7)),0,MAX(0,ROUND((INDEX($E329:$G329,BI$5)-SUMIFS(TF_Timer,TF_Tekniker,BI$4,TF_Dato,$A329))*2,0)/2)))</f>
        <v/>
      </c>
    </row>
    <row r="330">
      <c r="A330" s="64">
        <f>A329+1</f>
        <v/>
      </c>
      <c r="B330">
        <f>IF(MOD($A330-INDEX(SkiftStart,1),Syklus)&lt;DagK,"K",IF(MOD($A330-INDEX(SkiftStart,1),Syklus)&lt;DagK+DagH,"H",IF(MOD($A330-INDEX(SkiftStart,1),Syklus)&lt;DagK+DagH+DagD,"D","F")))</f>
        <v/>
      </c>
      <c r="C330">
        <f>IF(MOD($A330-INDEX(SkiftStart,2),Syklus)&lt;DagK,"K",IF(MOD($A330-INDEX(SkiftStart,2),Syklus)&lt;DagK+DagH,"H",IF(MOD($A330-INDEX(SkiftStart,2),Syklus)&lt;DagK+DagH+DagD,"D","F")))</f>
        <v/>
      </c>
      <c r="D330">
        <f>IF(MOD($A330-INDEX(SkiftStart,3),Syklus)&lt;DagK,"K",IF(MOD($A330-INDEX(SkiftStart,3),Syklus)&lt;DagK+DagH,"H",IF(MOD($A330-INDEX(SkiftStart,3),Syklus)&lt;DagK+DagH+DagD,"D","F")))</f>
        <v/>
      </c>
      <c r="E330">
        <f>IF(B330="F",0,IF(WEEKDAY($A330,2)=5,INDEX(TimerFr,MATCH(B330,FaseKode,0)),INDEX(TimerMT,MATCH(B330,FaseKode,0))))</f>
        <v/>
      </c>
      <c r="F330">
        <f>IF(C330="F",0,IF(WEEKDAY($A330,2)=5,INDEX(TimerFr,MATCH(C330,FaseKode,0)),INDEX(TimerMT,MATCH(C330,FaseKode,0))))</f>
        <v/>
      </c>
      <c r="G330">
        <f>IF(D330="F",0,IF(WEEKDAY($A330,2)=5,INDEX(TimerFr,MATCH(D330,FaseKode,0)),INDEX(TimerMT,MATCH(D330,FaseKode,0))))</f>
        <v/>
      </c>
      <c r="H330">
        <f>IF(OR(H$4="",$A330&gt;TODAY()),0,IF(OR(INDEX($B330:$D330,H$5)="F",AND(H$6&gt;0,$A330&lt;H$6),AND(H$7&gt;0,$A330&gt;H$7)),0,MAX(0,ROUND((INDEX($E330:$G330,H$5)-SUMIFS(TF_Timer,TF_Tekniker,H$4,TF_Dato,$A330))*2,0)/2)))</f>
        <v/>
      </c>
      <c r="I330">
        <f>IF(OR(I$4="",$A330&gt;TODAY()),0,IF(OR(INDEX($B330:$D330,I$5)="F",AND(I$6&gt;0,$A330&lt;I$6),AND(I$7&gt;0,$A330&gt;I$7)),0,MAX(0,ROUND((INDEX($E330:$G330,I$5)-SUMIFS(TF_Timer,TF_Tekniker,I$4,TF_Dato,$A330))*2,0)/2)))</f>
        <v/>
      </c>
      <c r="J330">
        <f>IF(OR(J$4="",$A330&gt;TODAY()),0,IF(OR(INDEX($B330:$D330,J$5)="F",AND(J$6&gt;0,$A330&lt;J$6),AND(J$7&gt;0,$A330&gt;J$7)),0,MAX(0,ROUND((INDEX($E330:$G330,J$5)-SUMIFS(TF_Timer,TF_Tekniker,J$4,TF_Dato,$A330))*2,0)/2)))</f>
        <v/>
      </c>
      <c r="K330">
        <f>IF(OR(K$4="",$A330&gt;TODAY()),0,IF(OR(INDEX($B330:$D330,K$5)="F",AND(K$6&gt;0,$A330&lt;K$6),AND(K$7&gt;0,$A330&gt;K$7)),0,MAX(0,ROUND((INDEX($E330:$G330,K$5)-SUMIFS(TF_Timer,TF_Tekniker,K$4,TF_Dato,$A330))*2,0)/2)))</f>
        <v/>
      </c>
      <c r="L330">
        <f>IF(OR(L$4="",$A330&gt;TODAY()),0,IF(OR(INDEX($B330:$D330,L$5)="F",AND(L$6&gt;0,$A330&lt;L$6),AND(L$7&gt;0,$A330&gt;L$7)),0,MAX(0,ROUND((INDEX($E330:$G330,L$5)-SUMIFS(TF_Timer,TF_Tekniker,L$4,TF_Dato,$A330))*2,0)/2)))</f>
        <v/>
      </c>
      <c r="M330">
        <f>IF(OR(M$4="",$A330&gt;TODAY()),0,IF(OR(INDEX($B330:$D330,M$5)="F",AND(M$6&gt;0,$A330&lt;M$6),AND(M$7&gt;0,$A330&gt;M$7)),0,MAX(0,ROUND((INDEX($E330:$G330,M$5)-SUMIFS(TF_Timer,TF_Tekniker,M$4,TF_Dato,$A330))*2,0)/2)))</f>
        <v/>
      </c>
      <c r="N330">
        <f>IF(OR(N$4="",$A330&gt;TODAY()),0,IF(OR(INDEX($B330:$D330,N$5)="F",AND(N$6&gt;0,$A330&lt;N$6),AND(N$7&gt;0,$A330&gt;N$7)),0,MAX(0,ROUND((INDEX($E330:$G330,N$5)-SUMIFS(TF_Timer,TF_Tekniker,N$4,TF_Dato,$A330))*2,0)/2)))</f>
        <v/>
      </c>
      <c r="O330">
        <f>IF(OR(O$4="",$A330&gt;TODAY()),0,IF(OR(INDEX($B330:$D330,O$5)="F",AND(O$6&gt;0,$A330&lt;O$6),AND(O$7&gt;0,$A330&gt;O$7)),0,MAX(0,ROUND((INDEX($E330:$G330,O$5)-SUMIFS(TF_Timer,TF_Tekniker,O$4,TF_Dato,$A330))*2,0)/2)))</f>
        <v/>
      </c>
      <c r="P330">
        <f>IF(OR(P$4="",$A330&gt;TODAY()),0,IF(OR(INDEX($B330:$D330,P$5)="F",AND(P$6&gt;0,$A330&lt;P$6),AND(P$7&gt;0,$A330&gt;P$7)),0,MAX(0,ROUND((INDEX($E330:$G330,P$5)-SUMIFS(TF_Timer,TF_Tekniker,P$4,TF_Dato,$A330))*2,0)/2)))</f>
        <v/>
      </c>
      <c r="Q330">
        <f>IF(OR(Q$4="",$A330&gt;TODAY()),0,IF(OR(INDEX($B330:$D330,Q$5)="F",AND(Q$6&gt;0,$A330&lt;Q$6),AND(Q$7&gt;0,$A330&gt;Q$7)),0,MAX(0,ROUND((INDEX($E330:$G330,Q$5)-SUMIFS(TF_Timer,TF_Tekniker,Q$4,TF_Dato,$A330))*2,0)/2)))</f>
        <v/>
      </c>
      <c r="R330">
        <f>IF(OR(R$4="",$A330&gt;TODAY()),0,IF(OR(INDEX($B330:$D330,R$5)="F",AND(R$6&gt;0,$A330&lt;R$6),AND(R$7&gt;0,$A330&gt;R$7)),0,MAX(0,ROUND((INDEX($E330:$G330,R$5)-SUMIFS(TF_Timer,TF_Tekniker,R$4,TF_Dato,$A330))*2,0)/2)))</f>
        <v/>
      </c>
      <c r="S330">
        <f>IF(OR(S$4="",$A330&gt;TODAY()),0,IF(OR(INDEX($B330:$D330,S$5)="F",AND(S$6&gt;0,$A330&lt;S$6),AND(S$7&gt;0,$A330&gt;S$7)),0,MAX(0,ROUND((INDEX($E330:$G330,S$5)-SUMIFS(TF_Timer,TF_Tekniker,S$4,TF_Dato,$A330))*2,0)/2)))</f>
        <v/>
      </c>
      <c r="T330">
        <f>IF(OR(T$4="",$A330&gt;TODAY()),0,IF(OR(INDEX($B330:$D330,T$5)="F",AND(T$6&gt;0,$A330&lt;T$6),AND(T$7&gt;0,$A330&gt;T$7)),0,MAX(0,ROUND((INDEX($E330:$G330,T$5)-SUMIFS(TF_Timer,TF_Tekniker,T$4,TF_Dato,$A330))*2,0)/2)))</f>
        <v/>
      </c>
      <c r="U330">
        <f>IF(OR(U$4="",$A330&gt;TODAY()),0,IF(OR(INDEX($B330:$D330,U$5)="F",AND(U$6&gt;0,$A330&lt;U$6),AND(U$7&gt;0,$A330&gt;U$7)),0,MAX(0,ROUND((INDEX($E330:$G330,U$5)-SUMIFS(TF_Timer,TF_Tekniker,U$4,TF_Dato,$A330))*2,0)/2)))</f>
        <v/>
      </c>
      <c r="V330">
        <f>IF(OR(V$4="",$A330&gt;TODAY()),0,IF(OR(INDEX($B330:$D330,V$5)="F",AND(V$6&gt;0,$A330&lt;V$6),AND(V$7&gt;0,$A330&gt;V$7)),0,MAX(0,ROUND((INDEX($E330:$G330,V$5)-SUMIFS(TF_Timer,TF_Tekniker,V$4,TF_Dato,$A330))*2,0)/2)))</f>
        <v/>
      </c>
      <c r="W330">
        <f>IF(OR(W$4="",$A330&gt;TODAY()),0,IF(OR(INDEX($B330:$D330,W$5)="F",AND(W$6&gt;0,$A330&lt;W$6),AND(W$7&gt;0,$A330&gt;W$7)),0,MAX(0,ROUND((INDEX($E330:$G330,W$5)-SUMIFS(TF_Timer,TF_Tekniker,W$4,TF_Dato,$A330))*2,0)/2)))</f>
        <v/>
      </c>
      <c r="X330">
        <f>IF(OR(X$4="",$A330&gt;TODAY()),0,IF(OR(INDEX($B330:$D330,X$5)="F",AND(X$6&gt;0,$A330&lt;X$6),AND(X$7&gt;0,$A330&gt;X$7)),0,MAX(0,ROUND((INDEX($E330:$G330,X$5)-SUMIFS(TF_Timer,TF_Tekniker,X$4,TF_Dato,$A330))*2,0)/2)))</f>
        <v/>
      </c>
      <c r="Y330">
        <f>IF(OR(Y$4="",$A330&gt;TODAY()),0,IF(OR(INDEX($B330:$D330,Y$5)="F",AND(Y$6&gt;0,$A330&lt;Y$6),AND(Y$7&gt;0,$A330&gt;Y$7)),0,MAX(0,ROUND((INDEX($E330:$G330,Y$5)-SUMIFS(TF_Timer,TF_Tekniker,Y$4,TF_Dato,$A330))*2,0)/2)))</f>
        <v/>
      </c>
      <c r="Z330">
        <f>IF(OR(Z$4="",$A330&gt;TODAY()),0,IF(OR(INDEX($B330:$D330,Z$5)="F",AND(Z$6&gt;0,$A330&lt;Z$6),AND(Z$7&gt;0,$A330&gt;Z$7)),0,MAX(0,ROUND((INDEX($E330:$G330,Z$5)-SUMIFS(TF_Timer,TF_Tekniker,Z$4,TF_Dato,$A330))*2,0)/2)))</f>
        <v/>
      </c>
      <c r="AA330">
        <f>IF(OR(AA$4="",$A330&gt;TODAY()),0,IF(OR(INDEX($B330:$D330,AA$5)="F",AND(AA$6&gt;0,$A330&lt;AA$6),AND(AA$7&gt;0,$A330&gt;AA$7)),0,MAX(0,ROUND((INDEX($E330:$G330,AA$5)-SUMIFS(TF_Timer,TF_Tekniker,AA$4,TF_Dato,$A330))*2,0)/2)))</f>
        <v/>
      </c>
      <c r="AB330">
        <f>IF(OR(AB$4="",$A330&gt;TODAY()),0,IF(OR(INDEX($B330:$D330,AB$5)="F",AND(AB$6&gt;0,$A330&lt;AB$6),AND(AB$7&gt;0,$A330&gt;AB$7)),0,MAX(0,ROUND((INDEX($E330:$G330,AB$5)-SUMIFS(TF_Timer,TF_Tekniker,AB$4,TF_Dato,$A330))*2,0)/2)))</f>
        <v/>
      </c>
      <c r="AC330">
        <f>IF(OR(AC$4="",$A330&gt;TODAY()),0,IF(OR(INDEX($B330:$D330,AC$5)="F",AND(AC$6&gt;0,$A330&lt;AC$6),AND(AC$7&gt;0,$A330&gt;AC$7)),0,MAX(0,ROUND((INDEX($E330:$G330,AC$5)-SUMIFS(TF_Timer,TF_Tekniker,AC$4,TF_Dato,$A330))*2,0)/2)))</f>
        <v/>
      </c>
      <c r="AD330">
        <f>IF(OR(AD$4="",$A330&gt;TODAY()),0,IF(OR(INDEX($B330:$D330,AD$5)="F",AND(AD$6&gt;0,$A330&lt;AD$6),AND(AD$7&gt;0,$A330&gt;AD$7)),0,MAX(0,ROUND((INDEX($E330:$G330,AD$5)-SUMIFS(TF_Timer,TF_Tekniker,AD$4,TF_Dato,$A330))*2,0)/2)))</f>
        <v/>
      </c>
      <c r="AE330">
        <f>IF(OR(AE$4="",$A330&gt;TODAY()),0,IF(OR(INDEX($B330:$D330,AE$5)="F",AND(AE$6&gt;0,$A330&lt;AE$6),AND(AE$7&gt;0,$A330&gt;AE$7)),0,MAX(0,ROUND((INDEX($E330:$G330,AE$5)-SUMIFS(TF_Timer,TF_Tekniker,AE$4,TF_Dato,$A330))*2,0)/2)))</f>
        <v/>
      </c>
      <c r="AF330">
        <f>IF(OR(AF$4="",$A330&gt;TODAY()),0,IF(OR(INDEX($B330:$D330,AF$5)="F",AND(AF$6&gt;0,$A330&lt;AF$6),AND(AF$7&gt;0,$A330&gt;AF$7)),0,MAX(0,ROUND((INDEX($E330:$G330,AF$5)-SUMIFS(TF_Timer,TF_Tekniker,AF$4,TF_Dato,$A330))*2,0)/2)))</f>
        <v/>
      </c>
      <c r="AG330">
        <f>IF(OR(AG$4="",$A330&gt;TODAY()),0,IF(OR(INDEX($B330:$D330,AG$5)="F",AND(AG$6&gt;0,$A330&lt;AG$6),AND(AG$7&gt;0,$A330&gt;AG$7)),0,MAX(0,ROUND((INDEX($E330:$G330,AG$5)-SUMIFS(TF_Timer,TF_Tekniker,AG$4,TF_Dato,$A330))*2,0)/2)))</f>
        <v/>
      </c>
      <c r="AH330">
        <f>IF(OR(AH$4="",$A330&gt;TODAY()),0,IF(OR(INDEX($B330:$D330,AH$5)="F",AND(AH$6&gt;0,$A330&lt;AH$6),AND(AH$7&gt;0,$A330&gt;AH$7)),0,MAX(0,ROUND((INDEX($E330:$G330,AH$5)-SUMIFS(TF_Timer,TF_Tekniker,AH$4,TF_Dato,$A330))*2,0)/2)))</f>
        <v/>
      </c>
      <c r="AI330">
        <f>IF(OR(AI$4="",$A330&gt;TODAY()),0,IF(OR(INDEX($B330:$D330,AI$5)="F",AND(AI$6&gt;0,$A330&lt;AI$6),AND(AI$7&gt;0,$A330&gt;AI$7)),0,MAX(0,ROUND((INDEX($E330:$G330,AI$5)-SUMIFS(TF_Timer,TF_Tekniker,AI$4,TF_Dato,$A330))*2,0)/2)))</f>
        <v/>
      </c>
      <c r="AJ330">
        <f>IF(OR(AJ$4="",$A330&gt;TODAY()),0,IF(OR(INDEX($B330:$D330,AJ$5)="F",AND(AJ$6&gt;0,$A330&lt;AJ$6),AND(AJ$7&gt;0,$A330&gt;AJ$7)),0,MAX(0,ROUND((INDEX($E330:$G330,AJ$5)-SUMIFS(TF_Timer,TF_Tekniker,AJ$4,TF_Dato,$A330))*2,0)/2)))</f>
        <v/>
      </c>
      <c r="AK330">
        <f>IF(OR(AK$4="",$A330&gt;TODAY()),0,IF(OR(INDEX($B330:$D330,AK$5)="F",AND(AK$6&gt;0,$A330&lt;AK$6),AND(AK$7&gt;0,$A330&gt;AK$7)),0,MAX(0,ROUND((INDEX($E330:$G330,AK$5)-SUMIFS(TF_Timer,TF_Tekniker,AK$4,TF_Dato,$A330))*2,0)/2)))</f>
        <v/>
      </c>
      <c r="AL330">
        <f>IF(OR(AL$4="",$A330&gt;TODAY()),0,IF(OR(INDEX($B330:$D330,AL$5)="F",AND(AL$6&gt;0,$A330&lt;AL$6),AND(AL$7&gt;0,$A330&gt;AL$7)),0,MAX(0,ROUND((INDEX($E330:$G330,AL$5)-SUMIFS(TF_Timer,TF_Tekniker,AL$4,TF_Dato,$A330))*2,0)/2)))</f>
        <v/>
      </c>
      <c r="AM330">
        <f>IF(OR(AM$4="",$A330&gt;TODAY()),0,IF(OR(INDEX($B330:$D330,AM$5)="F",AND(AM$6&gt;0,$A330&lt;AM$6),AND(AM$7&gt;0,$A330&gt;AM$7)),0,MAX(0,ROUND((INDEX($E330:$G330,AM$5)-SUMIFS(TF_Timer,TF_Tekniker,AM$4,TF_Dato,$A330))*2,0)/2)))</f>
        <v/>
      </c>
      <c r="AN330">
        <f>IF(OR(AN$4="",$A330&gt;TODAY()),0,IF(OR(INDEX($B330:$D330,AN$5)="F",AND(AN$6&gt;0,$A330&lt;AN$6),AND(AN$7&gt;0,$A330&gt;AN$7)),0,MAX(0,ROUND((INDEX($E330:$G330,AN$5)-SUMIFS(TF_Timer,TF_Tekniker,AN$4,TF_Dato,$A330))*2,0)/2)))</f>
        <v/>
      </c>
      <c r="AO330">
        <f>IF(OR(AO$4="",$A330&gt;TODAY()),0,IF(OR(INDEX($B330:$D330,AO$5)="F",AND(AO$6&gt;0,$A330&lt;AO$6),AND(AO$7&gt;0,$A330&gt;AO$7)),0,MAX(0,ROUND((INDEX($E330:$G330,AO$5)-SUMIFS(TF_Timer,TF_Tekniker,AO$4,TF_Dato,$A330))*2,0)/2)))</f>
        <v/>
      </c>
      <c r="AP330">
        <f>IF(OR(AP$4="",$A330&gt;TODAY()),0,IF(OR(INDEX($B330:$D330,AP$5)="F",AND(AP$6&gt;0,$A330&lt;AP$6),AND(AP$7&gt;0,$A330&gt;AP$7)),0,MAX(0,ROUND((INDEX($E330:$G330,AP$5)-SUMIFS(TF_Timer,TF_Tekniker,AP$4,TF_Dato,$A330))*2,0)/2)))</f>
        <v/>
      </c>
      <c r="AQ330">
        <f>IF(OR(AQ$4="",$A330&gt;TODAY()),0,IF(OR(INDEX($B330:$D330,AQ$5)="F",AND(AQ$6&gt;0,$A330&lt;AQ$6),AND(AQ$7&gt;0,$A330&gt;AQ$7)),0,MAX(0,ROUND((INDEX($E330:$G330,AQ$5)-SUMIFS(TF_Timer,TF_Tekniker,AQ$4,TF_Dato,$A330))*2,0)/2)))</f>
        <v/>
      </c>
      <c r="AR330">
        <f>IF(OR(AR$4="",$A330&gt;TODAY()),0,IF(OR(INDEX($B330:$D330,AR$5)="F",AND(AR$6&gt;0,$A330&lt;AR$6),AND(AR$7&gt;0,$A330&gt;AR$7)),0,MAX(0,ROUND((INDEX($E330:$G330,AR$5)-SUMIFS(TF_Timer,TF_Tekniker,AR$4,TF_Dato,$A330))*2,0)/2)))</f>
        <v/>
      </c>
      <c r="AS330">
        <f>IF(OR(AS$4="",$A330&gt;TODAY()),0,IF(OR(INDEX($B330:$D330,AS$5)="F",AND(AS$6&gt;0,$A330&lt;AS$6),AND(AS$7&gt;0,$A330&gt;AS$7)),0,MAX(0,ROUND((INDEX($E330:$G330,AS$5)-SUMIFS(TF_Timer,TF_Tekniker,AS$4,TF_Dato,$A330))*2,0)/2)))</f>
        <v/>
      </c>
      <c r="AT330">
        <f>IF(OR(AT$4="",$A330&gt;TODAY()),0,IF(OR(INDEX($B330:$D330,AT$5)="F",AND(AT$6&gt;0,$A330&lt;AT$6),AND(AT$7&gt;0,$A330&gt;AT$7)),0,MAX(0,ROUND((INDEX($E330:$G330,AT$5)-SUMIFS(TF_Timer,TF_Tekniker,AT$4,TF_Dato,$A330))*2,0)/2)))</f>
        <v/>
      </c>
      <c r="AU330">
        <f>IF(OR(AU$4="",$A330&gt;TODAY()),0,IF(OR(INDEX($B330:$D330,AU$5)="F",AND(AU$6&gt;0,$A330&lt;AU$6),AND(AU$7&gt;0,$A330&gt;AU$7)),0,MAX(0,ROUND((INDEX($E330:$G330,AU$5)-SUMIFS(TF_Timer,TF_Tekniker,AU$4,TF_Dato,$A330))*2,0)/2)))</f>
        <v/>
      </c>
      <c r="AV330">
        <f>IF(OR(AV$4="",$A330&gt;TODAY()),0,IF(OR(INDEX($B330:$D330,AV$5)="F",AND(AV$6&gt;0,$A330&lt;AV$6),AND(AV$7&gt;0,$A330&gt;AV$7)),0,MAX(0,ROUND((INDEX($E330:$G330,AV$5)-SUMIFS(TF_Timer,TF_Tekniker,AV$4,TF_Dato,$A330))*2,0)/2)))</f>
        <v/>
      </c>
      <c r="AW330">
        <f>IF(OR(AW$4="",$A330&gt;TODAY()),0,IF(OR(INDEX($B330:$D330,AW$5)="F",AND(AW$6&gt;0,$A330&lt;AW$6),AND(AW$7&gt;0,$A330&gt;AW$7)),0,MAX(0,ROUND((INDEX($E330:$G330,AW$5)-SUMIFS(TF_Timer,TF_Tekniker,AW$4,TF_Dato,$A330))*2,0)/2)))</f>
        <v/>
      </c>
      <c r="AX330">
        <f>IF(OR(AX$4="",$A330&gt;TODAY()),0,IF(OR(INDEX($B330:$D330,AX$5)="F",AND(AX$6&gt;0,$A330&lt;AX$6),AND(AX$7&gt;0,$A330&gt;AX$7)),0,MAX(0,ROUND((INDEX($E330:$G330,AX$5)-SUMIFS(TF_Timer,TF_Tekniker,AX$4,TF_Dato,$A330))*2,0)/2)))</f>
        <v/>
      </c>
      <c r="AY330">
        <f>IF(OR(AY$4="",$A330&gt;TODAY()),0,IF(OR(INDEX($B330:$D330,AY$5)="F",AND(AY$6&gt;0,$A330&lt;AY$6),AND(AY$7&gt;0,$A330&gt;AY$7)),0,MAX(0,ROUND((INDEX($E330:$G330,AY$5)-SUMIFS(TF_Timer,TF_Tekniker,AY$4,TF_Dato,$A330))*2,0)/2)))</f>
        <v/>
      </c>
      <c r="AZ330">
        <f>IF(OR(AZ$4="",$A330&gt;TODAY()),0,IF(OR(INDEX($B330:$D330,AZ$5)="F",AND(AZ$6&gt;0,$A330&lt;AZ$6),AND(AZ$7&gt;0,$A330&gt;AZ$7)),0,MAX(0,ROUND((INDEX($E330:$G330,AZ$5)-SUMIFS(TF_Timer,TF_Tekniker,AZ$4,TF_Dato,$A330))*2,0)/2)))</f>
        <v/>
      </c>
      <c r="BA330">
        <f>IF(OR(BA$4="",$A330&gt;TODAY()),0,IF(OR(INDEX($B330:$D330,BA$5)="F",AND(BA$6&gt;0,$A330&lt;BA$6),AND(BA$7&gt;0,$A330&gt;BA$7)),0,MAX(0,ROUND((INDEX($E330:$G330,BA$5)-SUMIFS(TF_Timer,TF_Tekniker,BA$4,TF_Dato,$A330))*2,0)/2)))</f>
        <v/>
      </c>
      <c r="BB330">
        <f>IF(OR(BB$4="",$A330&gt;TODAY()),0,IF(OR(INDEX($B330:$D330,BB$5)="F",AND(BB$6&gt;0,$A330&lt;BB$6),AND(BB$7&gt;0,$A330&gt;BB$7)),0,MAX(0,ROUND((INDEX($E330:$G330,BB$5)-SUMIFS(TF_Timer,TF_Tekniker,BB$4,TF_Dato,$A330))*2,0)/2)))</f>
        <v/>
      </c>
      <c r="BC330">
        <f>IF(OR(BC$4="",$A330&gt;TODAY()),0,IF(OR(INDEX($B330:$D330,BC$5)="F",AND(BC$6&gt;0,$A330&lt;BC$6),AND(BC$7&gt;0,$A330&gt;BC$7)),0,MAX(0,ROUND((INDEX($E330:$G330,BC$5)-SUMIFS(TF_Timer,TF_Tekniker,BC$4,TF_Dato,$A330))*2,0)/2)))</f>
        <v/>
      </c>
      <c r="BD330">
        <f>IF(OR(BD$4="",$A330&gt;TODAY()),0,IF(OR(INDEX($B330:$D330,BD$5)="F",AND(BD$6&gt;0,$A330&lt;BD$6),AND(BD$7&gt;0,$A330&gt;BD$7)),0,MAX(0,ROUND((INDEX($E330:$G330,BD$5)-SUMIFS(TF_Timer,TF_Tekniker,BD$4,TF_Dato,$A330))*2,0)/2)))</f>
        <v/>
      </c>
      <c r="BE330">
        <f>IF(OR(BE$4="",$A330&gt;TODAY()),0,IF(OR(INDEX($B330:$D330,BE$5)="F",AND(BE$6&gt;0,$A330&lt;BE$6),AND(BE$7&gt;0,$A330&gt;BE$7)),0,MAX(0,ROUND((INDEX($E330:$G330,BE$5)-SUMIFS(TF_Timer,TF_Tekniker,BE$4,TF_Dato,$A330))*2,0)/2)))</f>
        <v/>
      </c>
      <c r="BF330">
        <f>IF(OR(BF$4="",$A330&gt;TODAY()),0,IF(OR(INDEX($B330:$D330,BF$5)="F",AND(BF$6&gt;0,$A330&lt;BF$6),AND(BF$7&gt;0,$A330&gt;BF$7)),0,MAX(0,ROUND((INDEX($E330:$G330,BF$5)-SUMIFS(TF_Timer,TF_Tekniker,BF$4,TF_Dato,$A330))*2,0)/2)))</f>
        <v/>
      </c>
      <c r="BG330">
        <f>IF(OR(BG$4="",$A330&gt;TODAY()),0,IF(OR(INDEX($B330:$D330,BG$5)="F",AND(BG$6&gt;0,$A330&lt;BG$6),AND(BG$7&gt;0,$A330&gt;BG$7)),0,MAX(0,ROUND((INDEX($E330:$G330,BG$5)-SUMIFS(TF_Timer,TF_Tekniker,BG$4,TF_Dato,$A330))*2,0)/2)))</f>
        <v/>
      </c>
      <c r="BH330">
        <f>IF(OR(BH$4="",$A330&gt;TODAY()),0,IF(OR(INDEX($B330:$D330,BH$5)="F",AND(BH$6&gt;0,$A330&lt;BH$6),AND(BH$7&gt;0,$A330&gt;BH$7)),0,MAX(0,ROUND((INDEX($E330:$G330,BH$5)-SUMIFS(TF_Timer,TF_Tekniker,BH$4,TF_Dato,$A330))*2,0)/2)))</f>
        <v/>
      </c>
      <c r="BI330">
        <f>IF(OR(BI$4="",$A330&gt;TODAY()),0,IF(OR(INDEX($B330:$D330,BI$5)="F",AND(BI$6&gt;0,$A330&lt;BI$6),AND(BI$7&gt;0,$A330&gt;BI$7)),0,MAX(0,ROUND((INDEX($E330:$G330,BI$5)-SUMIFS(TF_Timer,TF_Tekniker,BI$4,TF_Dato,$A330))*2,0)/2)))</f>
        <v/>
      </c>
    </row>
    <row r="331">
      <c r="A331" s="64">
        <f>A330+1</f>
        <v/>
      </c>
      <c r="B331">
        <f>IF(MOD($A331-INDEX(SkiftStart,1),Syklus)&lt;DagK,"K",IF(MOD($A331-INDEX(SkiftStart,1),Syklus)&lt;DagK+DagH,"H",IF(MOD($A331-INDEX(SkiftStart,1),Syklus)&lt;DagK+DagH+DagD,"D","F")))</f>
        <v/>
      </c>
      <c r="C331">
        <f>IF(MOD($A331-INDEX(SkiftStart,2),Syklus)&lt;DagK,"K",IF(MOD($A331-INDEX(SkiftStart,2),Syklus)&lt;DagK+DagH,"H",IF(MOD($A331-INDEX(SkiftStart,2),Syklus)&lt;DagK+DagH+DagD,"D","F")))</f>
        <v/>
      </c>
      <c r="D331">
        <f>IF(MOD($A331-INDEX(SkiftStart,3),Syklus)&lt;DagK,"K",IF(MOD($A331-INDEX(SkiftStart,3),Syklus)&lt;DagK+DagH,"H",IF(MOD($A331-INDEX(SkiftStart,3),Syklus)&lt;DagK+DagH+DagD,"D","F")))</f>
        <v/>
      </c>
      <c r="E331">
        <f>IF(B331="F",0,IF(WEEKDAY($A331,2)=5,INDEX(TimerFr,MATCH(B331,FaseKode,0)),INDEX(TimerMT,MATCH(B331,FaseKode,0))))</f>
        <v/>
      </c>
      <c r="F331">
        <f>IF(C331="F",0,IF(WEEKDAY($A331,2)=5,INDEX(TimerFr,MATCH(C331,FaseKode,0)),INDEX(TimerMT,MATCH(C331,FaseKode,0))))</f>
        <v/>
      </c>
      <c r="G331">
        <f>IF(D331="F",0,IF(WEEKDAY($A331,2)=5,INDEX(TimerFr,MATCH(D331,FaseKode,0)),INDEX(TimerMT,MATCH(D331,FaseKode,0))))</f>
        <v/>
      </c>
      <c r="H331">
        <f>IF(OR(H$4="",$A331&gt;TODAY()),0,IF(OR(INDEX($B331:$D331,H$5)="F",AND(H$6&gt;0,$A331&lt;H$6),AND(H$7&gt;0,$A331&gt;H$7)),0,MAX(0,ROUND((INDEX($E331:$G331,H$5)-SUMIFS(TF_Timer,TF_Tekniker,H$4,TF_Dato,$A331))*2,0)/2)))</f>
        <v/>
      </c>
      <c r="I331">
        <f>IF(OR(I$4="",$A331&gt;TODAY()),0,IF(OR(INDEX($B331:$D331,I$5)="F",AND(I$6&gt;0,$A331&lt;I$6),AND(I$7&gt;0,$A331&gt;I$7)),0,MAX(0,ROUND((INDEX($E331:$G331,I$5)-SUMIFS(TF_Timer,TF_Tekniker,I$4,TF_Dato,$A331))*2,0)/2)))</f>
        <v/>
      </c>
      <c r="J331">
        <f>IF(OR(J$4="",$A331&gt;TODAY()),0,IF(OR(INDEX($B331:$D331,J$5)="F",AND(J$6&gt;0,$A331&lt;J$6),AND(J$7&gt;0,$A331&gt;J$7)),0,MAX(0,ROUND((INDEX($E331:$G331,J$5)-SUMIFS(TF_Timer,TF_Tekniker,J$4,TF_Dato,$A331))*2,0)/2)))</f>
        <v/>
      </c>
      <c r="K331">
        <f>IF(OR(K$4="",$A331&gt;TODAY()),0,IF(OR(INDEX($B331:$D331,K$5)="F",AND(K$6&gt;0,$A331&lt;K$6),AND(K$7&gt;0,$A331&gt;K$7)),0,MAX(0,ROUND((INDEX($E331:$G331,K$5)-SUMIFS(TF_Timer,TF_Tekniker,K$4,TF_Dato,$A331))*2,0)/2)))</f>
        <v/>
      </c>
      <c r="L331">
        <f>IF(OR(L$4="",$A331&gt;TODAY()),0,IF(OR(INDEX($B331:$D331,L$5)="F",AND(L$6&gt;0,$A331&lt;L$6),AND(L$7&gt;0,$A331&gt;L$7)),0,MAX(0,ROUND((INDEX($E331:$G331,L$5)-SUMIFS(TF_Timer,TF_Tekniker,L$4,TF_Dato,$A331))*2,0)/2)))</f>
        <v/>
      </c>
      <c r="M331">
        <f>IF(OR(M$4="",$A331&gt;TODAY()),0,IF(OR(INDEX($B331:$D331,M$5)="F",AND(M$6&gt;0,$A331&lt;M$6),AND(M$7&gt;0,$A331&gt;M$7)),0,MAX(0,ROUND((INDEX($E331:$G331,M$5)-SUMIFS(TF_Timer,TF_Tekniker,M$4,TF_Dato,$A331))*2,0)/2)))</f>
        <v/>
      </c>
      <c r="N331">
        <f>IF(OR(N$4="",$A331&gt;TODAY()),0,IF(OR(INDEX($B331:$D331,N$5)="F",AND(N$6&gt;0,$A331&lt;N$6),AND(N$7&gt;0,$A331&gt;N$7)),0,MAX(0,ROUND((INDEX($E331:$G331,N$5)-SUMIFS(TF_Timer,TF_Tekniker,N$4,TF_Dato,$A331))*2,0)/2)))</f>
        <v/>
      </c>
      <c r="O331">
        <f>IF(OR(O$4="",$A331&gt;TODAY()),0,IF(OR(INDEX($B331:$D331,O$5)="F",AND(O$6&gt;0,$A331&lt;O$6),AND(O$7&gt;0,$A331&gt;O$7)),0,MAX(0,ROUND((INDEX($E331:$G331,O$5)-SUMIFS(TF_Timer,TF_Tekniker,O$4,TF_Dato,$A331))*2,0)/2)))</f>
        <v/>
      </c>
      <c r="P331">
        <f>IF(OR(P$4="",$A331&gt;TODAY()),0,IF(OR(INDEX($B331:$D331,P$5)="F",AND(P$6&gt;0,$A331&lt;P$6),AND(P$7&gt;0,$A331&gt;P$7)),0,MAX(0,ROUND((INDEX($E331:$G331,P$5)-SUMIFS(TF_Timer,TF_Tekniker,P$4,TF_Dato,$A331))*2,0)/2)))</f>
        <v/>
      </c>
      <c r="Q331">
        <f>IF(OR(Q$4="",$A331&gt;TODAY()),0,IF(OR(INDEX($B331:$D331,Q$5)="F",AND(Q$6&gt;0,$A331&lt;Q$6),AND(Q$7&gt;0,$A331&gt;Q$7)),0,MAX(0,ROUND((INDEX($E331:$G331,Q$5)-SUMIFS(TF_Timer,TF_Tekniker,Q$4,TF_Dato,$A331))*2,0)/2)))</f>
        <v/>
      </c>
      <c r="R331">
        <f>IF(OR(R$4="",$A331&gt;TODAY()),0,IF(OR(INDEX($B331:$D331,R$5)="F",AND(R$6&gt;0,$A331&lt;R$6),AND(R$7&gt;0,$A331&gt;R$7)),0,MAX(0,ROUND((INDEX($E331:$G331,R$5)-SUMIFS(TF_Timer,TF_Tekniker,R$4,TF_Dato,$A331))*2,0)/2)))</f>
        <v/>
      </c>
      <c r="S331">
        <f>IF(OR(S$4="",$A331&gt;TODAY()),0,IF(OR(INDEX($B331:$D331,S$5)="F",AND(S$6&gt;0,$A331&lt;S$6),AND(S$7&gt;0,$A331&gt;S$7)),0,MAX(0,ROUND((INDEX($E331:$G331,S$5)-SUMIFS(TF_Timer,TF_Tekniker,S$4,TF_Dato,$A331))*2,0)/2)))</f>
        <v/>
      </c>
      <c r="T331">
        <f>IF(OR(T$4="",$A331&gt;TODAY()),0,IF(OR(INDEX($B331:$D331,T$5)="F",AND(T$6&gt;0,$A331&lt;T$6),AND(T$7&gt;0,$A331&gt;T$7)),0,MAX(0,ROUND((INDEX($E331:$G331,T$5)-SUMIFS(TF_Timer,TF_Tekniker,T$4,TF_Dato,$A331))*2,0)/2)))</f>
        <v/>
      </c>
      <c r="U331">
        <f>IF(OR(U$4="",$A331&gt;TODAY()),0,IF(OR(INDEX($B331:$D331,U$5)="F",AND(U$6&gt;0,$A331&lt;U$6),AND(U$7&gt;0,$A331&gt;U$7)),0,MAX(0,ROUND((INDEX($E331:$G331,U$5)-SUMIFS(TF_Timer,TF_Tekniker,U$4,TF_Dato,$A331))*2,0)/2)))</f>
        <v/>
      </c>
      <c r="V331">
        <f>IF(OR(V$4="",$A331&gt;TODAY()),0,IF(OR(INDEX($B331:$D331,V$5)="F",AND(V$6&gt;0,$A331&lt;V$6),AND(V$7&gt;0,$A331&gt;V$7)),0,MAX(0,ROUND((INDEX($E331:$G331,V$5)-SUMIFS(TF_Timer,TF_Tekniker,V$4,TF_Dato,$A331))*2,0)/2)))</f>
        <v/>
      </c>
      <c r="W331">
        <f>IF(OR(W$4="",$A331&gt;TODAY()),0,IF(OR(INDEX($B331:$D331,W$5)="F",AND(W$6&gt;0,$A331&lt;W$6),AND(W$7&gt;0,$A331&gt;W$7)),0,MAX(0,ROUND((INDEX($E331:$G331,W$5)-SUMIFS(TF_Timer,TF_Tekniker,W$4,TF_Dato,$A331))*2,0)/2)))</f>
        <v/>
      </c>
      <c r="X331">
        <f>IF(OR(X$4="",$A331&gt;TODAY()),0,IF(OR(INDEX($B331:$D331,X$5)="F",AND(X$6&gt;0,$A331&lt;X$6),AND(X$7&gt;0,$A331&gt;X$7)),0,MAX(0,ROUND((INDEX($E331:$G331,X$5)-SUMIFS(TF_Timer,TF_Tekniker,X$4,TF_Dato,$A331))*2,0)/2)))</f>
        <v/>
      </c>
      <c r="Y331">
        <f>IF(OR(Y$4="",$A331&gt;TODAY()),0,IF(OR(INDEX($B331:$D331,Y$5)="F",AND(Y$6&gt;0,$A331&lt;Y$6),AND(Y$7&gt;0,$A331&gt;Y$7)),0,MAX(0,ROUND((INDEX($E331:$G331,Y$5)-SUMIFS(TF_Timer,TF_Tekniker,Y$4,TF_Dato,$A331))*2,0)/2)))</f>
        <v/>
      </c>
      <c r="Z331">
        <f>IF(OR(Z$4="",$A331&gt;TODAY()),0,IF(OR(INDEX($B331:$D331,Z$5)="F",AND(Z$6&gt;0,$A331&lt;Z$6),AND(Z$7&gt;0,$A331&gt;Z$7)),0,MAX(0,ROUND((INDEX($E331:$G331,Z$5)-SUMIFS(TF_Timer,TF_Tekniker,Z$4,TF_Dato,$A331))*2,0)/2)))</f>
        <v/>
      </c>
      <c r="AA331">
        <f>IF(OR(AA$4="",$A331&gt;TODAY()),0,IF(OR(INDEX($B331:$D331,AA$5)="F",AND(AA$6&gt;0,$A331&lt;AA$6),AND(AA$7&gt;0,$A331&gt;AA$7)),0,MAX(0,ROUND((INDEX($E331:$G331,AA$5)-SUMIFS(TF_Timer,TF_Tekniker,AA$4,TF_Dato,$A331))*2,0)/2)))</f>
        <v/>
      </c>
      <c r="AB331">
        <f>IF(OR(AB$4="",$A331&gt;TODAY()),0,IF(OR(INDEX($B331:$D331,AB$5)="F",AND(AB$6&gt;0,$A331&lt;AB$6),AND(AB$7&gt;0,$A331&gt;AB$7)),0,MAX(0,ROUND((INDEX($E331:$G331,AB$5)-SUMIFS(TF_Timer,TF_Tekniker,AB$4,TF_Dato,$A331))*2,0)/2)))</f>
        <v/>
      </c>
      <c r="AC331">
        <f>IF(OR(AC$4="",$A331&gt;TODAY()),0,IF(OR(INDEX($B331:$D331,AC$5)="F",AND(AC$6&gt;0,$A331&lt;AC$6),AND(AC$7&gt;0,$A331&gt;AC$7)),0,MAX(0,ROUND((INDEX($E331:$G331,AC$5)-SUMIFS(TF_Timer,TF_Tekniker,AC$4,TF_Dato,$A331))*2,0)/2)))</f>
        <v/>
      </c>
      <c r="AD331">
        <f>IF(OR(AD$4="",$A331&gt;TODAY()),0,IF(OR(INDEX($B331:$D331,AD$5)="F",AND(AD$6&gt;0,$A331&lt;AD$6),AND(AD$7&gt;0,$A331&gt;AD$7)),0,MAX(0,ROUND((INDEX($E331:$G331,AD$5)-SUMIFS(TF_Timer,TF_Tekniker,AD$4,TF_Dato,$A331))*2,0)/2)))</f>
        <v/>
      </c>
      <c r="AE331">
        <f>IF(OR(AE$4="",$A331&gt;TODAY()),0,IF(OR(INDEX($B331:$D331,AE$5)="F",AND(AE$6&gt;0,$A331&lt;AE$6),AND(AE$7&gt;0,$A331&gt;AE$7)),0,MAX(0,ROUND((INDEX($E331:$G331,AE$5)-SUMIFS(TF_Timer,TF_Tekniker,AE$4,TF_Dato,$A331))*2,0)/2)))</f>
        <v/>
      </c>
      <c r="AF331">
        <f>IF(OR(AF$4="",$A331&gt;TODAY()),0,IF(OR(INDEX($B331:$D331,AF$5)="F",AND(AF$6&gt;0,$A331&lt;AF$6),AND(AF$7&gt;0,$A331&gt;AF$7)),0,MAX(0,ROUND((INDEX($E331:$G331,AF$5)-SUMIFS(TF_Timer,TF_Tekniker,AF$4,TF_Dato,$A331))*2,0)/2)))</f>
        <v/>
      </c>
      <c r="AG331">
        <f>IF(OR(AG$4="",$A331&gt;TODAY()),0,IF(OR(INDEX($B331:$D331,AG$5)="F",AND(AG$6&gt;0,$A331&lt;AG$6),AND(AG$7&gt;0,$A331&gt;AG$7)),0,MAX(0,ROUND((INDEX($E331:$G331,AG$5)-SUMIFS(TF_Timer,TF_Tekniker,AG$4,TF_Dato,$A331))*2,0)/2)))</f>
        <v/>
      </c>
      <c r="AH331">
        <f>IF(OR(AH$4="",$A331&gt;TODAY()),0,IF(OR(INDEX($B331:$D331,AH$5)="F",AND(AH$6&gt;0,$A331&lt;AH$6),AND(AH$7&gt;0,$A331&gt;AH$7)),0,MAX(0,ROUND((INDEX($E331:$G331,AH$5)-SUMIFS(TF_Timer,TF_Tekniker,AH$4,TF_Dato,$A331))*2,0)/2)))</f>
        <v/>
      </c>
      <c r="AI331">
        <f>IF(OR(AI$4="",$A331&gt;TODAY()),0,IF(OR(INDEX($B331:$D331,AI$5)="F",AND(AI$6&gt;0,$A331&lt;AI$6),AND(AI$7&gt;0,$A331&gt;AI$7)),0,MAX(0,ROUND((INDEX($E331:$G331,AI$5)-SUMIFS(TF_Timer,TF_Tekniker,AI$4,TF_Dato,$A331))*2,0)/2)))</f>
        <v/>
      </c>
      <c r="AJ331">
        <f>IF(OR(AJ$4="",$A331&gt;TODAY()),0,IF(OR(INDEX($B331:$D331,AJ$5)="F",AND(AJ$6&gt;0,$A331&lt;AJ$6),AND(AJ$7&gt;0,$A331&gt;AJ$7)),0,MAX(0,ROUND((INDEX($E331:$G331,AJ$5)-SUMIFS(TF_Timer,TF_Tekniker,AJ$4,TF_Dato,$A331))*2,0)/2)))</f>
        <v/>
      </c>
      <c r="AK331">
        <f>IF(OR(AK$4="",$A331&gt;TODAY()),0,IF(OR(INDEX($B331:$D331,AK$5)="F",AND(AK$6&gt;0,$A331&lt;AK$6),AND(AK$7&gt;0,$A331&gt;AK$7)),0,MAX(0,ROUND((INDEX($E331:$G331,AK$5)-SUMIFS(TF_Timer,TF_Tekniker,AK$4,TF_Dato,$A331))*2,0)/2)))</f>
        <v/>
      </c>
      <c r="AL331">
        <f>IF(OR(AL$4="",$A331&gt;TODAY()),0,IF(OR(INDEX($B331:$D331,AL$5)="F",AND(AL$6&gt;0,$A331&lt;AL$6),AND(AL$7&gt;0,$A331&gt;AL$7)),0,MAX(0,ROUND((INDEX($E331:$G331,AL$5)-SUMIFS(TF_Timer,TF_Tekniker,AL$4,TF_Dato,$A331))*2,0)/2)))</f>
        <v/>
      </c>
      <c r="AM331">
        <f>IF(OR(AM$4="",$A331&gt;TODAY()),0,IF(OR(INDEX($B331:$D331,AM$5)="F",AND(AM$6&gt;0,$A331&lt;AM$6),AND(AM$7&gt;0,$A331&gt;AM$7)),0,MAX(0,ROUND((INDEX($E331:$G331,AM$5)-SUMIFS(TF_Timer,TF_Tekniker,AM$4,TF_Dato,$A331))*2,0)/2)))</f>
        <v/>
      </c>
      <c r="AN331">
        <f>IF(OR(AN$4="",$A331&gt;TODAY()),0,IF(OR(INDEX($B331:$D331,AN$5)="F",AND(AN$6&gt;0,$A331&lt;AN$6),AND(AN$7&gt;0,$A331&gt;AN$7)),0,MAX(0,ROUND((INDEX($E331:$G331,AN$5)-SUMIFS(TF_Timer,TF_Tekniker,AN$4,TF_Dato,$A331))*2,0)/2)))</f>
        <v/>
      </c>
      <c r="AO331">
        <f>IF(OR(AO$4="",$A331&gt;TODAY()),0,IF(OR(INDEX($B331:$D331,AO$5)="F",AND(AO$6&gt;0,$A331&lt;AO$6),AND(AO$7&gt;0,$A331&gt;AO$7)),0,MAX(0,ROUND((INDEX($E331:$G331,AO$5)-SUMIFS(TF_Timer,TF_Tekniker,AO$4,TF_Dato,$A331))*2,0)/2)))</f>
        <v/>
      </c>
      <c r="AP331">
        <f>IF(OR(AP$4="",$A331&gt;TODAY()),0,IF(OR(INDEX($B331:$D331,AP$5)="F",AND(AP$6&gt;0,$A331&lt;AP$6),AND(AP$7&gt;0,$A331&gt;AP$7)),0,MAX(0,ROUND((INDEX($E331:$G331,AP$5)-SUMIFS(TF_Timer,TF_Tekniker,AP$4,TF_Dato,$A331))*2,0)/2)))</f>
        <v/>
      </c>
      <c r="AQ331">
        <f>IF(OR(AQ$4="",$A331&gt;TODAY()),0,IF(OR(INDEX($B331:$D331,AQ$5)="F",AND(AQ$6&gt;0,$A331&lt;AQ$6),AND(AQ$7&gt;0,$A331&gt;AQ$7)),0,MAX(0,ROUND((INDEX($E331:$G331,AQ$5)-SUMIFS(TF_Timer,TF_Tekniker,AQ$4,TF_Dato,$A331))*2,0)/2)))</f>
        <v/>
      </c>
      <c r="AR331">
        <f>IF(OR(AR$4="",$A331&gt;TODAY()),0,IF(OR(INDEX($B331:$D331,AR$5)="F",AND(AR$6&gt;0,$A331&lt;AR$6),AND(AR$7&gt;0,$A331&gt;AR$7)),0,MAX(0,ROUND((INDEX($E331:$G331,AR$5)-SUMIFS(TF_Timer,TF_Tekniker,AR$4,TF_Dato,$A331))*2,0)/2)))</f>
        <v/>
      </c>
      <c r="AS331">
        <f>IF(OR(AS$4="",$A331&gt;TODAY()),0,IF(OR(INDEX($B331:$D331,AS$5)="F",AND(AS$6&gt;0,$A331&lt;AS$6),AND(AS$7&gt;0,$A331&gt;AS$7)),0,MAX(0,ROUND((INDEX($E331:$G331,AS$5)-SUMIFS(TF_Timer,TF_Tekniker,AS$4,TF_Dato,$A331))*2,0)/2)))</f>
        <v/>
      </c>
      <c r="AT331">
        <f>IF(OR(AT$4="",$A331&gt;TODAY()),0,IF(OR(INDEX($B331:$D331,AT$5)="F",AND(AT$6&gt;0,$A331&lt;AT$6),AND(AT$7&gt;0,$A331&gt;AT$7)),0,MAX(0,ROUND((INDEX($E331:$G331,AT$5)-SUMIFS(TF_Timer,TF_Tekniker,AT$4,TF_Dato,$A331))*2,0)/2)))</f>
        <v/>
      </c>
      <c r="AU331">
        <f>IF(OR(AU$4="",$A331&gt;TODAY()),0,IF(OR(INDEX($B331:$D331,AU$5)="F",AND(AU$6&gt;0,$A331&lt;AU$6),AND(AU$7&gt;0,$A331&gt;AU$7)),0,MAX(0,ROUND((INDEX($E331:$G331,AU$5)-SUMIFS(TF_Timer,TF_Tekniker,AU$4,TF_Dato,$A331))*2,0)/2)))</f>
        <v/>
      </c>
      <c r="AV331">
        <f>IF(OR(AV$4="",$A331&gt;TODAY()),0,IF(OR(INDEX($B331:$D331,AV$5)="F",AND(AV$6&gt;0,$A331&lt;AV$6),AND(AV$7&gt;0,$A331&gt;AV$7)),0,MAX(0,ROUND((INDEX($E331:$G331,AV$5)-SUMIFS(TF_Timer,TF_Tekniker,AV$4,TF_Dato,$A331))*2,0)/2)))</f>
        <v/>
      </c>
      <c r="AW331">
        <f>IF(OR(AW$4="",$A331&gt;TODAY()),0,IF(OR(INDEX($B331:$D331,AW$5)="F",AND(AW$6&gt;0,$A331&lt;AW$6),AND(AW$7&gt;0,$A331&gt;AW$7)),0,MAX(0,ROUND((INDEX($E331:$G331,AW$5)-SUMIFS(TF_Timer,TF_Tekniker,AW$4,TF_Dato,$A331))*2,0)/2)))</f>
        <v/>
      </c>
      <c r="AX331">
        <f>IF(OR(AX$4="",$A331&gt;TODAY()),0,IF(OR(INDEX($B331:$D331,AX$5)="F",AND(AX$6&gt;0,$A331&lt;AX$6),AND(AX$7&gt;0,$A331&gt;AX$7)),0,MAX(0,ROUND((INDEX($E331:$G331,AX$5)-SUMIFS(TF_Timer,TF_Tekniker,AX$4,TF_Dato,$A331))*2,0)/2)))</f>
        <v/>
      </c>
      <c r="AY331">
        <f>IF(OR(AY$4="",$A331&gt;TODAY()),0,IF(OR(INDEX($B331:$D331,AY$5)="F",AND(AY$6&gt;0,$A331&lt;AY$6),AND(AY$7&gt;0,$A331&gt;AY$7)),0,MAX(0,ROUND((INDEX($E331:$G331,AY$5)-SUMIFS(TF_Timer,TF_Tekniker,AY$4,TF_Dato,$A331))*2,0)/2)))</f>
        <v/>
      </c>
      <c r="AZ331">
        <f>IF(OR(AZ$4="",$A331&gt;TODAY()),0,IF(OR(INDEX($B331:$D331,AZ$5)="F",AND(AZ$6&gt;0,$A331&lt;AZ$6),AND(AZ$7&gt;0,$A331&gt;AZ$7)),0,MAX(0,ROUND((INDEX($E331:$G331,AZ$5)-SUMIFS(TF_Timer,TF_Tekniker,AZ$4,TF_Dato,$A331))*2,0)/2)))</f>
        <v/>
      </c>
      <c r="BA331">
        <f>IF(OR(BA$4="",$A331&gt;TODAY()),0,IF(OR(INDEX($B331:$D331,BA$5)="F",AND(BA$6&gt;0,$A331&lt;BA$6),AND(BA$7&gt;0,$A331&gt;BA$7)),0,MAX(0,ROUND((INDEX($E331:$G331,BA$5)-SUMIFS(TF_Timer,TF_Tekniker,BA$4,TF_Dato,$A331))*2,0)/2)))</f>
        <v/>
      </c>
      <c r="BB331">
        <f>IF(OR(BB$4="",$A331&gt;TODAY()),0,IF(OR(INDEX($B331:$D331,BB$5)="F",AND(BB$6&gt;0,$A331&lt;BB$6),AND(BB$7&gt;0,$A331&gt;BB$7)),0,MAX(0,ROUND((INDEX($E331:$G331,BB$5)-SUMIFS(TF_Timer,TF_Tekniker,BB$4,TF_Dato,$A331))*2,0)/2)))</f>
        <v/>
      </c>
      <c r="BC331">
        <f>IF(OR(BC$4="",$A331&gt;TODAY()),0,IF(OR(INDEX($B331:$D331,BC$5)="F",AND(BC$6&gt;0,$A331&lt;BC$6),AND(BC$7&gt;0,$A331&gt;BC$7)),0,MAX(0,ROUND((INDEX($E331:$G331,BC$5)-SUMIFS(TF_Timer,TF_Tekniker,BC$4,TF_Dato,$A331))*2,0)/2)))</f>
        <v/>
      </c>
      <c r="BD331">
        <f>IF(OR(BD$4="",$A331&gt;TODAY()),0,IF(OR(INDEX($B331:$D331,BD$5)="F",AND(BD$6&gt;0,$A331&lt;BD$6),AND(BD$7&gt;0,$A331&gt;BD$7)),0,MAX(0,ROUND((INDEX($E331:$G331,BD$5)-SUMIFS(TF_Timer,TF_Tekniker,BD$4,TF_Dato,$A331))*2,0)/2)))</f>
        <v/>
      </c>
      <c r="BE331">
        <f>IF(OR(BE$4="",$A331&gt;TODAY()),0,IF(OR(INDEX($B331:$D331,BE$5)="F",AND(BE$6&gt;0,$A331&lt;BE$6),AND(BE$7&gt;0,$A331&gt;BE$7)),0,MAX(0,ROUND((INDEX($E331:$G331,BE$5)-SUMIFS(TF_Timer,TF_Tekniker,BE$4,TF_Dato,$A331))*2,0)/2)))</f>
        <v/>
      </c>
      <c r="BF331">
        <f>IF(OR(BF$4="",$A331&gt;TODAY()),0,IF(OR(INDEX($B331:$D331,BF$5)="F",AND(BF$6&gt;0,$A331&lt;BF$6),AND(BF$7&gt;0,$A331&gt;BF$7)),0,MAX(0,ROUND((INDEX($E331:$G331,BF$5)-SUMIFS(TF_Timer,TF_Tekniker,BF$4,TF_Dato,$A331))*2,0)/2)))</f>
        <v/>
      </c>
      <c r="BG331">
        <f>IF(OR(BG$4="",$A331&gt;TODAY()),0,IF(OR(INDEX($B331:$D331,BG$5)="F",AND(BG$6&gt;0,$A331&lt;BG$6),AND(BG$7&gt;0,$A331&gt;BG$7)),0,MAX(0,ROUND((INDEX($E331:$G331,BG$5)-SUMIFS(TF_Timer,TF_Tekniker,BG$4,TF_Dato,$A331))*2,0)/2)))</f>
        <v/>
      </c>
      <c r="BH331">
        <f>IF(OR(BH$4="",$A331&gt;TODAY()),0,IF(OR(INDEX($B331:$D331,BH$5)="F",AND(BH$6&gt;0,$A331&lt;BH$6),AND(BH$7&gt;0,$A331&gt;BH$7)),0,MAX(0,ROUND((INDEX($E331:$G331,BH$5)-SUMIFS(TF_Timer,TF_Tekniker,BH$4,TF_Dato,$A331))*2,0)/2)))</f>
        <v/>
      </c>
      <c r="BI331">
        <f>IF(OR(BI$4="",$A331&gt;TODAY()),0,IF(OR(INDEX($B331:$D331,BI$5)="F",AND(BI$6&gt;0,$A331&lt;BI$6),AND(BI$7&gt;0,$A331&gt;BI$7)),0,MAX(0,ROUND((INDEX($E331:$G331,BI$5)-SUMIFS(TF_Timer,TF_Tekniker,BI$4,TF_Dato,$A331))*2,0)/2)))</f>
        <v/>
      </c>
    </row>
    <row r="332">
      <c r="A332" s="64">
        <f>A331+1</f>
        <v/>
      </c>
      <c r="B332">
        <f>IF(MOD($A332-INDEX(SkiftStart,1),Syklus)&lt;DagK,"K",IF(MOD($A332-INDEX(SkiftStart,1),Syklus)&lt;DagK+DagH,"H",IF(MOD($A332-INDEX(SkiftStart,1),Syklus)&lt;DagK+DagH+DagD,"D","F")))</f>
        <v/>
      </c>
      <c r="C332">
        <f>IF(MOD($A332-INDEX(SkiftStart,2),Syklus)&lt;DagK,"K",IF(MOD($A332-INDEX(SkiftStart,2),Syklus)&lt;DagK+DagH,"H",IF(MOD($A332-INDEX(SkiftStart,2),Syklus)&lt;DagK+DagH+DagD,"D","F")))</f>
        <v/>
      </c>
      <c r="D332">
        <f>IF(MOD($A332-INDEX(SkiftStart,3),Syklus)&lt;DagK,"K",IF(MOD($A332-INDEX(SkiftStart,3),Syklus)&lt;DagK+DagH,"H",IF(MOD($A332-INDEX(SkiftStart,3),Syklus)&lt;DagK+DagH+DagD,"D","F")))</f>
        <v/>
      </c>
      <c r="E332">
        <f>IF(B332="F",0,IF(WEEKDAY($A332,2)=5,INDEX(TimerFr,MATCH(B332,FaseKode,0)),INDEX(TimerMT,MATCH(B332,FaseKode,0))))</f>
        <v/>
      </c>
      <c r="F332">
        <f>IF(C332="F",0,IF(WEEKDAY($A332,2)=5,INDEX(TimerFr,MATCH(C332,FaseKode,0)),INDEX(TimerMT,MATCH(C332,FaseKode,0))))</f>
        <v/>
      </c>
      <c r="G332">
        <f>IF(D332="F",0,IF(WEEKDAY($A332,2)=5,INDEX(TimerFr,MATCH(D332,FaseKode,0)),INDEX(TimerMT,MATCH(D332,FaseKode,0))))</f>
        <v/>
      </c>
      <c r="H332">
        <f>IF(OR(H$4="",$A332&gt;TODAY()),0,IF(OR(INDEX($B332:$D332,H$5)="F",AND(H$6&gt;0,$A332&lt;H$6),AND(H$7&gt;0,$A332&gt;H$7)),0,MAX(0,ROUND((INDEX($E332:$G332,H$5)-SUMIFS(TF_Timer,TF_Tekniker,H$4,TF_Dato,$A332))*2,0)/2)))</f>
        <v/>
      </c>
      <c r="I332">
        <f>IF(OR(I$4="",$A332&gt;TODAY()),0,IF(OR(INDEX($B332:$D332,I$5)="F",AND(I$6&gt;0,$A332&lt;I$6),AND(I$7&gt;0,$A332&gt;I$7)),0,MAX(0,ROUND((INDEX($E332:$G332,I$5)-SUMIFS(TF_Timer,TF_Tekniker,I$4,TF_Dato,$A332))*2,0)/2)))</f>
        <v/>
      </c>
      <c r="J332">
        <f>IF(OR(J$4="",$A332&gt;TODAY()),0,IF(OR(INDEX($B332:$D332,J$5)="F",AND(J$6&gt;0,$A332&lt;J$6),AND(J$7&gt;0,$A332&gt;J$7)),0,MAX(0,ROUND((INDEX($E332:$G332,J$5)-SUMIFS(TF_Timer,TF_Tekniker,J$4,TF_Dato,$A332))*2,0)/2)))</f>
        <v/>
      </c>
      <c r="K332">
        <f>IF(OR(K$4="",$A332&gt;TODAY()),0,IF(OR(INDEX($B332:$D332,K$5)="F",AND(K$6&gt;0,$A332&lt;K$6),AND(K$7&gt;0,$A332&gt;K$7)),0,MAX(0,ROUND((INDEX($E332:$G332,K$5)-SUMIFS(TF_Timer,TF_Tekniker,K$4,TF_Dato,$A332))*2,0)/2)))</f>
        <v/>
      </c>
      <c r="L332">
        <f>IF(OR(L$4="",$A332&gt;TODAY()),0,IF(OR(INDEX($B332:$D332,L$5)="F",AND(L$6&gt;0,$A332&lt;L$6),AND(L$7&gt;0,$A332&gt;L$7)),0,MAX(0,ROUND((INDEX($E332:$G332,L$5)-SUMIFS(TF_Timer,TF_Tekniker,L$4,TF_Dato,$A332))*2,0)/2)))</f>
        <v/>
      </c>
      <c r="M332">
        <f>IF(OR(M$4="",$A332&gt;TODAY()),0,IF(OR(INDEX($B332:$D332,M$5)="F",AND(M$6&gt;0,$A332&lt;M$6),AND(M$7&gt;0,$A332&gt;M$7)),0,MAX(0,ROUND((INDEX($E332:$G332,M$5)-SUMIFS(TF_Timer,TF_Tekniker,M$4,TF_Dato,$A332))*2,0)/2)))</f>
        <v/>
      </c>
      <c r="N332">
        <f>IF(OR(N$4="",$A332&gt;TODAY()),0,IF(OR(INDEX($B332:$D332,N$5)="F",AND(N$6&gt;0,$A332&lt;N$6),AND(N$7&gt;0,$A332&gt;N$7)),0,MAX(0,ROUND((INDEX($E332:$G332,N$5)-SUMIFS(TF_Timer,TF_Tekniker,N$4,TF_Dato,$A332))*2,0)/2)))</f>
        <v/>
      </c>
      <c r="O332">
        <f>IF(OR(O$4="",$A332&gt;TODAY()),0,IF(OR(INDEX($B332:$D332,O$5)="F",AND(O$6&gt;0,$A332&lt;O$6),AND(O$7&gt;0,$A332&gt;O$7)),0,MAX(0,ROUND((INDEX($E332:$G332,O$5)-SUMIFS(TF_Timer,TF_Tekniker,O$4,TF_Dato,$A332))*2,0)/2)))</f>
        <v/>
      </c>
      <c r="P332">
        <f>IF(OR(P$4="",$A332&gt;TODAY()),0,IF(OR(INDEX($B332:$D332,P$5)="F",AND(P$6&gt;0,$A332&lt;P$6),AND(P$7&gt;0,$A332&gt;P$7)),0,MAX(0,ROUND((INDEX($E332:$G332,P$5)-SUMIFS(TF_Timer,TF_Tekniker,P$4,TF_Dato,$A332))*2,0)/2)))</f>
        <v/>
      </c>
      <c r="Q332">
        <f>IF(OR(Q$4="",$A332&gt;TODAY()),0,IF(OR(INDEX($B332:$D332,Q$5)="F",AND(Q$6&gt;0,$A332&lt;Q$6),AND(Q$7&gt;0,$A332&gt;Q$7)),0,MAX(0,ROUND((INDEX($E332:$G332,Q$5)-SUMIFS(TF_Timer,TF_Tekniker,Q$4,TF_Dato,$A332))*2,0)/2)))</f>
        <v/>
      </c>
      <c r="R332">
        <f>IF(OR(R$4="",$A332&gt;TODAY()),0,IF(OR(INDEX($B332:$D332,R$5)="F",AND(R$6&gt;0,$A332&lt;R$6),AND(R$7&gt;0,$A332&gt;R$7)),0,MAX(0,ROUND((INDEX($E332:$G332,R$5)-SUMIFS(TF_Timer,TF_Tekniker,R$4,TF_Dato,$A332))*2,0)/2)))</f>
        <v/>
      </c>
      <c r="S332">
        <f>IF(OR(S$4="",$A332&gt;TODAY()),0,IF(OR(INDEX($B332:$D332,S$5)="F",AND(S$6&gt;0,$A332&lt;S$6),AND(S$7&gt;0,$A332&gt;S$7)),0,MAX(0,ROUND((INDEX($E332:$G332,S$5)-SUMIFS(TF_Timer,TF_Tekniker,S$4,TF_Dato,$A332))*2,0)/2)))</f>
        <v/>
      </c>
      <c r="T332">
        <f>IF(OR(T$4="",$A332&gt;TODAY()),0,IF(OR(INDEX($B332:$D332,T$5)="F",AND(T$6&gt;0,$A332&lt;T$6),AND(T$7&gt;0,$A332&gt;T$7)),0,MAX(0,ROUND((INDEX($E332:$G332,T$5)-SUMIFS(TF_Timer,TF_Tekniker,T$4,TF_Dato,$A332))*2,0)/2)))</f>
        <v/>
      </c>
      <c r="U332">
        <f>IF(OR(U$4="",$A332&gt;TODAY()),0,IF(OR(INDEX($B332:$D332,U$5)="F",AND(U$6&gt;0,$A332&lt;U$6),AND(U$7&gt;0,$A332&gt;U$7)),0,MAX(0,ROUND((INDEX($E332:$G332,U$5)-SUMIFS(TF_Timer,TF_Tekniker,U$4,TF_Dato,$A332))*2,0)/2)))</f>
        <v/>
      </c>
      <c r="V332">
        <f>IF(OR(V$4="",$A332&gt;TODAY()),0,IF(OR(INDEX($B332:$D332,V$5)="F",AND(V$6&gt;0,$A332&lt;V$6),AND(V$7&gt;0,$A332&gt;V$7)),0,MAX(0,ROUND((INDEX($E332:$G332,V$5)-SUMIFS(TF_Timer,TF_Tekniker,V$4,TF_Dato,$A332))*2,0)/2)))</f>
        <v/>
      </c>
      <c r="W332">
        <f>IF(OR(W$4="",$A332&gt;TODAY()),0,IF(OR(INDEX($B332:$D332,W$5)="F",AND(W$6&gt;0,$A332&lt;W$6),AND(W$7&gt;0,$A332&gt;W$7)),0,MAX(0,ROUND((INDEX($E332:$G332,W$5)-SUMIFS(TF_Timer,TF_Tekniker,W$4,TF_Dato,$A332))*2,0)/2)))</f>
        <v/>
      </c>
      <c r="X332">
        <f>IF(OR(X$4="",$A332&gt;TODAY()),0,IF(OR(INDEX($B332:$D332,X$5)="F",AND(X$6&gt;0,$A332&lt;X$6),AND(X$7&gt;0,$A332&gt;X$7)),0,MAX(0,ROUND((INDEX($E332:$G332,X$5)-SUMIFS(TF_Timer,TF_Tekniker,X$4,TF_Dato,$A332))*2,0)/2)))</f>
        <v/>
      </c>
      <c r="Y332">
        <f>IF(OR(Y$4="",$A332&gt;TODAY()),0,IF(OR(INDEX($B332:$D332,Y$5)="F",AND(Y$6&gt;0,$A332&lt;Y$6),AND(Y$7&gt;0,$A332&gt;Y$7)),0,MAX(0,ROUND((INDEX($E332:$G332,Y$5)-SUMIFS(TF_Timer,TF_Tekniker,Y$4,TF_Dato,$A332))*2,0)/2)))</f>
        <v/>
      </c>
      <c r="Z332">
        <f>IF(OR(Z$4="",$A332&gt;TODAY()),0,IF(OR(INDEX($B332:$D332,Z$5)="F",AND(Z$6&gt;0,$A332&lt;Z$6),AND(Z$7&gt;0,$A332&gt;Z$7)),0,MAX(0,ROUND((INDEX($E332:$G332,Z$5)-SUMIFS(TF_Timer,TF_Tekniker,Z$4,TF_Dato,$A332))*2,0)/2)))</f>
        <v/>
      </c>
      <c r="AA332">
        <f>IF(OR(AA$4="",$A332&gt;TODAY()),0,IF(OR(INDEX($B332:$D332,AA$5)="F",AND(AA$6&gt;0,$A332&lt;AA$6),AND(AA$7&gt;0,$A332&gt;AA$7)),0,MAX(0,ROUND((INDEX($E332:$G332,AA$5)-SUMIFS(TF_Timer,TF_Tekniker,AA$4,TF_Dato,$A332))*2,0)/2)))</f>
        <v/>
      </c>
      <c r="AB332">
        <f>IF(OR(AB$4="",$A332&gt;TODAY()),0,IF(OR(INDEX($B332:$D332,AB$5)="F",AND(AB$6&gt;0,$A332&lt;AB$6),AND(AB$7&gt;0,$A332&gt;AB$7)),0,MAX(0,ROUND((INDEX($E332:$G332,AB$5)-SUMIFS(TF_Timer,TF_Tekniker,AB$4,TF_Dato,$A332))*2,0)/2)))</f>
        <v/>
      </c>
      <c r="AC332">
        <f>IF(OR(AC$4="",$A332&gt;TODAY()),0,IF(OR(INDEX($B332:$D332,AC$5)="F",AND(AC$6&gt;0,$A332&lt;AC$6),AND(AC$7&gt;0,$A332&gt;AC$7)),0,MAX(0,ROUND((INDEX($E332:$G332,AC$5)-SUMIFS(TF_Timer,TF_Tekniker,AC$4,TF_Dato,$A332))*2,0)/2)))</f>
        <v/>
      </c>
      <c r="AD332">
        <f>IF(OR(AD$4="",$A332&gt;TODAY()),0,IF(OR(INDEX($B332:$D332,AD$5)="F",AND(AD$6&gt;0,$A332&lt;AD$6),AND(AD$7&gt;0,$A332&gt;AD$7)),0,MAX(0,ROUND((INDEX($E332:$G332,AD$5)-SUMIFS(TF_Timer,TF_Tekniker,AD$4,TF_Dato,$A332))*2,0)/2)))</f>
        <v/>
      </c>
      <c r="AE332">
        <f>IF(OR(AE$4="",$A332&gt;TODAY()),0,IF(OR(INDEX($B332:$D332,AE$5)="F",AND(AE$6&gt;0,$A332&lt;AE$6),AND(AE$7&gt;0,$A332&gt;AE$7)),0,MAX(0,ROUND((INDEX($E332:$G332,AE$5)-SUMIFS(TF_Timer,TF_Tekniker,AE$4,TF_Dato,$A332))*2,0)/2)))</f>
        <v/>
      </c>
      <c r="AF332">
        <f>IF(OR(AF$4="",$A332&gt;TODAY()),0,IF(OR(INDEX($B332:$D332,AF$5)="F",AND(AF$6&gt;0,$A332&lt;AF$6),AND(AF$7&gt;0,$A332&gt;AF$7)),0,MAX(0,ROUND((INDEX($E332:$G332,AF$5)-SUMIFS(TF_Timer,TF_Tekniker,AF$4,TF_Dato,$A332))*2,0)/2)))</f>
        <v/>
      </c>
      <c r="AG332">
        <f>IF(OR(AG$4="",$A332&gt;TODAY()),0,IF(OR(INDEX($B332:$D332,AG$5)="F",AND(AG$6&gt;0,$A332&lt;AG$6),AND(AG$7&gt;0,$A332&gt;AG$7)),0,MAX(0,ROUND((INDEX($E332:$G332,AG$5)-SUMIFS(TF_Timer,TF_Tekniker,AG$4,TF_Dato,$A332))*2,0)/2)))</f>
        <v/>
      </c>
      <c r="AH332">
        <f>IF(OR(AH$4="",$A332&gt;TODAY()),0,IF(OR(INDEX($B332:$D332,AH$5)="F",AND(AH$6&gt;0,$A332&lt;AH$6),AND(AH$7&gt;0,$A332&gt;AH$7)),0,MAX(0,ROUND((INDEX($E332:$G332,AH$5)-SUMIFS(TF_Timer,TF_Tekniker,AH$4,TF_Dato,$A332))*2,0)/2)))</f>
        <v/>
      </c>
      <c r="AI332">
        <f>IF(OR(AI$4="",$A332&gt;TODAY()),0,IF(OR(INDEX($B332:$D332,AI$5)="F",AND(AI$6&gt;0,$A332&lt;AI$6),AND(AI$7&gt;0,$A332&gt;AI$7)),0,MAX(0,ROUND((INDEX($E332:$G332,AI$5)-SUMIFS(TF_Timer,TF_Tekniker,AI$4,TF_Dato,$A332))*2,0)/2)))</f>
        <v/>
      </c>
      <c r="AJ332">
        <f>IF(OR(AJ$4="",$A332&gt;TODAY()),0,IF(OR(INDEX($B332:$D332,AJ$5)="F",AND(AJ$6&gt;0,$A332&lt;AJ$6),AND(AJ$7&gt;0,$A332&gt;AJ$7)),0,MAX(0,ROUND((INDEX($E332:$G332,AJ$5)-SUMIFS(TF_Timer,TF_Tekniker,AJ$4,TF_Dato,$A332))*2,0)/2)))</f>
        <v/>
      </c>
      <c r="AK332">
        <f>IF(OR(AK$4="",$A332&gt;TODAY()),0,IF(OR(INDEX($B332:$D332,AK$5)="F",AND(AK$6&gt;0,$A332&lt;AK$6),AND(AK$7&gt;0,$A332&gt;AK$7)),0,MAX(0,ROUND((INDEX($E332:$G332,AK$5)-SUMIFS(TF_Timer,TF_Tekniker,AK$4,TF_Dato,$A332))*2,0)/2)))</f>
        <v/>
      </c>
      <c r="AL332">
        <f>IF(OR(AL$4="",$A332&gt;TODAY()),0,IF(OR(INDEX($B332:$D332,AL$5)="F",AND(AL$6&gt;0,$A332&lt;AL$6),AND(AL$7&gt;0,$A332&gt;AL$7)),0,MAX(0,ROUND((INDEX($E332:$G332,AL$5)-SUMIFS(TF_Timer,TF_Tekniker,AL$4,TF_Dato,$A332))*2,0)/2)))</f>
        <v/>
      </c>
      <c r="AM332">
        <f>IF(OR(AM$4="",$A332&gt;TODAY()),0,IF(OR(INDEX($B332:$D332,AM$5)="F",AND(AM$6&gt;0,$A332&lt;AM$6),AND(AM$7&gt;0,$A332&gt;AM$7)),0,MAX(0,ROUND((INDEX($E332:$G332,AM$5)-SUMIFS(TF_Timer,TF_Tekniker,AM$4,TF_Dato,$A332))*2,0)/2)))</f>
        <v/>
      </c>
      <c r="AN332">
        <f>IF(OR(AN$4="",$A332&gt;TODAY()),0,IF(OR(INDEX($B332:$D332,AN$5)="F",AND(AN$6&gt;0,$A332&lt;AN$6),AND(AN$7&gt;0,$A332&gt;AN$7)),0,MAX(0,ROUND((INDEX($E332:$G332,AN$5)-SUMIFS(TF_Timer,TF_Tekniker,AN$4,TF_Dato,$A332))*2,0)/2)))</f>
        <v/>
      </c>
      <c r="AO332">
        <f>IF(OR(AO$4="",$A332&gt;TODAY()),0,IF(OR(INDEX($B332:$D332,AO$5)="F",AND(AO$6&gt;0,$A332&lt;AO$6),AND(AO$7&gt;0,$A332&gt;AO$7)),0,MAX(0,ROUND((INDEX($E332:$G332,AO$5)-SUMIFS(TF_Timer,TF_Tekniker,AO$4,TF_Dato,$A332))*2,0)/2)))</f>
        <v/>
      </c>
      <c r="AP332">
        <f>IF(OR(AP$4="",$A332&gt;TODAY()),0,IF(OR(INDEX($B332:$D332,AP$5)="F",AND(AP$6&gt;0,$A332&lt;AP$6),AND(AP$7&gt;0,$A332&gt;AP$7)),0,MAX(0,ROUND((INDEX($E332:$G332,AP$5)-SUMIFS(TF_Timer,TF_Tekniker,AP$4,TF_Dato,$A332))*2,0)/2)))</f>
        <v/>
      </c>
      <c r="AQ332">
        <f>IF(OR(AQ$4="",$A332&gt;TODAY()),0,IF(OR(INDEX($B332:$D332,AQ$5)="F",AND(AQ$6&gt;0,$A332&lt;AQ$6),AND(AQ$7&gt;0,$A332&gt;AQ$7)),0,MAX(0,ROUND((INDEX($E332:$G332,AQ$5)-SUMIFS(TF_Timer,TF_Tekniker,AQ$4,TF_Dato,$A332))*2,0)/2)))</f>
        <v/>
      </c>
      <c r="AR332">
        <f>IF(OR(AR$4="",$A332&gt;TODAY()),0,IF(OR(INDEX($B332:$D332,AR$5)="F",AND(AR$6&gt;0,$A332&lt;AR$6),AND(AR$7&gt;0,$A332&gt;AR$7)),0,MAX(0,ROUND((INDEX($E332:$G332,AR$5)-SUMIFS(TF_Timer,TF_Tekniker,AR$4,TF_Dato,$A332))*2,0)/2)))</f>
        <v/>
      </c>
      <c r="AS332">
        <f>IF(OR(AS$4="",$A332&gt;TODAY()),0,IF(OR(INDEX($B332:$D332,AS$5)="F",AND(AS$6&gt;0,$A332&lt;AS$6),AND(AS$7&gt;0,$A332&gt;AS$7)),0,MAX(0,ROUND((INDEX($E332:$G332,AS$5)-SUMIFS(TF_Timer,TF_Tekniker,AS$4,TF_Dato,$A332))*2,0)/2)))</f>
        <v/>
      </c>
      <c r="AT332">
        <f>IF(OR(AT$4="",$A332&gt;TODAY()),0,IF(OR(INDEX($B332:$D332,AT$5)="F",AND(AT$6&gt;0,$A332&lt;AT$6),AND(AT$7&gt;0,$A332&gt;AT$7)),0,MAX(0,ROUND((INDEX($E332:$G332,AT$5)-SUMIFS(TF_Timer,TF_Tekniker,AT$4,TF_Dato,$A332))*2,0)/2)))</f>
        <v/>
      </c>
      <c r="AU332">
        <f>IF(OR(AU$4="",$A332&gt;TODAY()),0,IF(OR(INDEX($B332:$D332,AU$5)="F",AND(AU$6&gt;0,$A332&lt;AU$6),AND(AU$7&gt;0,$A332&gt;AU$7)),0,MAX(0,ROUND((INDEX($E332:$G332,AU$5)-SUMIFS(TF_Timer,TF_Tekniker,AU$4,TF_Dato,$A332))*2,0)/2)))</f>
        <v/>
      </c>
      <c r="AV332">
        <f>IF(OR(AV$4="",$A332&gt;TODAY()),0,IF(OR(INDEX($B332:$D332,AV$5)="F",AND(AV$6&gt;0,$A332&lt;AV$6),AND(AV$7&gt;0,$A332&gt;AV$7)),0,MAX(0,ROUND((INDEX($E332:$G332,AV$5)-SUMIFS(TF_Timer,TF_Tekniker,AV$4,TF_Dato,$A332))*2,0)/2)))</f>
        <v/>
      </c>
      <c r="AW332">
        <f>IF(OR(AW$4="",$A332&gt;TODAY()),0,IF(OR(INDEX($B332:$D332,AW$5)="F",AND(AW$6&gt;0,$A332&lt;AW$6),AND(AW$7&gt;0,$A332&gt;AW$7)),0,MAX(0,ROUND((INDEX($E332:$G332,AW$5)-SUMIFS(TF_Timer,TF_Tekniker,AW$4,TF_Dato,$A332))*2,0)/2)))</f>
        <v/>
      </c>
      <c r="AX332">
        <f>IF(OR(AX$4="",$A332&gt;TODAY()),0,IF(OR(INDEX($B332:$D332,AX$5)="F",AND(AX$6&gt;0,$A332&lt;AX$6),AND(AX$7&gt;0,$A332&gt;AX$7)),0,MAX(0,ROUND((INDEX($E332:$G332,AX$5)-SUMIFS(TF_Timer,TF_Tekniker,AX$4,TF_Dato,$A332))*2,0)/2)))</f>
        <v/>
      </c>
      <c r="AY332">
        <f>IF(OR(AY$4="",$A332&gt;TODAY()),0,IF(OR(INDEX($B332:$D332,AY$5)="F",AND(AY$6&gt;0,$A332&lt;AY$6),AND(AY$7&gt;0,$A332&gt;AY$7)),0,MAX(0,ROUND((INDEX($E332:$G332,AY$5)-SUMIFS(TF_Timer,TF_Tekniker,AY$4,TF_Dato,$A332))*2,0)/2)))</f>
        <v/>
      </c>
      <c r="AZ332">
        <f>IF(OR(AZ$4="",$A332&gt;TODAY()),0,IF(OR(INDEX($B332:$D332,AZ$5)="F",AND(AZ$6&gt;0,$A332&lt;AZ$6),AND(AZ$7&gt;0,$A332&gt;AZ$7)),0,MAX(0,ROUND((INDEX($E332:$G332,AZ$5)-SUMIFS(TF_Timer,TF_Tekniker,AZ$4,TF_Dato,$A332))*2,0)/2)))</f>
        <v/>
      </c>
      <c r="BA332">
        <f>IF(OR(BA$4="",$A332&gt;TODAY()),0,IF(OR(INDEX($B332:$D332,BA$5)="F",AND(BA$6&gt;0,$A332&lt;BA$6),AND(BA$7&gt;0,$A332&gt;BA$7)),0,MAX(0,ROUND((INDEX($E332:$G332,BA$5)-SUMIFS(TF_Timer,TF_Tekniker,BA$4,TF_Dato,$A332))*2,0)/2)))</f>
        <v/>
      </c>
      <c r="BB332">
        <f>IF(OR(BB$4="",$A332&gt;TODAY()),0,IF(OR(INDEX($B332:$D332,BB$5)="F",AND(BB$6&gt;0,$A332&lt;BB$6),AND(BB$7&gt;0,$A332&gt;BB$7)),0,MAX(0,ROUND((INDEX($E332:$G332,BB$5)-SUMIFS(TF_Timer,TF_Tekniker,BB$4,TF_Dato,$A332))*2,0)/2)))</f>
        <v/>
      </c>
      <c r="BC332">
        <f>IF(OR(BC$4="",$A332&gt;TODAY()),0,IF(OR(INDEX($B332:$D332,BC$5)="F",AND(BC$6&gt;0,$A332&lt;BC$6),AND(BC$7&gt;0,$A332&gt;BC$7)),0,MAX(0,ROUND((INDEX($E332:$G332,BC$5)-SUMIFS(TF_Timer,TF_Tekniker,BC$4,TF_Dato,$A332))*2,0)/2)))</f>
        <v/>
      </c>
      <c r="BD332">
        <f>IF(OR(BD$4="",$A332&gt;TODAY()),0,IF(OR(INDEX($B332:$D332,BD$5)="F",AND(BD$6&gt;0,$A332&lt;BD$6),AND(BD$7&gt;0,$A332&gt;BD$7)),0,MAX(0,ROUND((INDEX($E332:$G332,BD$5)-SUMIFS(TF_Timer,TF_Tekniker,BD$4,TF_Dato,$A332))*2,0)/2)))</f>
        <v/>
      </c>
      <c r="BE332">
        <f>IF(OR(BE$4="",$A332&gt;TODAY()),0,IF(OR(INDEX($B332:$D332,BE$5)="F",AND(BE$6&gt;0,$A332&lt;BE$6),AND(BE$7&gt;0,$A332&gt;BE$7)),0,MAX(0,ROUND((INDEX($E332:$G332,BE$5)-SUMIFS(TF_Timer,TF_Tekniker,BE$4,TF_Dato,$A332))*2,0)/2)))</f>
        <v/>
      </c>
      <c r="BF332">
        <f>IF(OR(BF$4="",$A332&gt;TODAY()),0,IF(OR(INDEX($B332:$D332,BF$5)="F",AND(BF$6&gt;0,$A332&lt;BF$6),AND(BF$7&gt;0,$A332&gt;BF$7)),0,MAX(0,ROUND((INDEX($E332:$G332,BF$5)-SUMIFS(TF_Timer,TF_Tekniker,BF$4,TF_Dato,$A332))*2,0)/2)))</f>
        <v/>
      </c>
      <c r="BG332">
        <f>IF(OR(BG$4="",$A332&gt;TODAY()),0,IF(OR(INDEX($B332:$D332,BG$5)="F",AND(BG$6&gt;0,$A332&lt;BG$6),AND(BG$7&gt;0,$A332&gt;BG$7)),0,MAX(0,ROUND((INDEX($E332:$G332,BG$5)-SUMIFS(TF_Timer,TF_Tekniker,BG$4,TF_Dato,$A332))*2,0)/2)))</f>
        <v/>
      </c>
      <c r="BH332">
        <f>IF(OR(BH$4="",$A332&gt;TODAY()),0,IF(OR(INDEX($B332:$D332,BH$5)="F",AND(BH$6&gt;0,$A332&lt;BH$6),AND(BH$7&gt;0,$A332&gt;BH$7)),0,MAX(0,ROUND((INDEX($E332:$G332,BH$5)-SUMIFS(TF_Timer,TF_Tekniker,BH$4,TF_Dato,$A332))*2,0)/2)))</f>
        <v/>
      </c>
      <c r="BI332">
        <f>IF(OR(BI$4="",$A332&gt;TODAY()),0,IF(OR(INDEX($B332:$D332,BI$5)="F",AND(BI$6&gt;0,$A332&lt;BI$6),AND(BI$7&gt;0,$A332&gt;BI$7)),0,MAX(0,ROUND((INDEX($E332:$G332,BI$5)-SUMIFS(TF_Timer,TF_Tekniker,BI$4,TF_Dato,$A332))*2,0)/2)))</f>
        <v/>
      </c>
    </row>
    <row r="333">
      <c r="A333" s="64">
        <f>A332+1</f>
        <v/>
      </c>
      <c r="B333">
        <f>IF(MOD($A333-INDEX(SkiftStart,1),Syklus)&lt;DagK,"K",IF(MOD($A333-INDEX(SkiftStart,1),Syklus)&lt;DagK+DagH,"H",IF(MOD($A333-INDEX(SkiftStart,1),Syklus)&lt;DagK+DagH+DagD,"D","F")))</f>
        <v/>
      </c>
      <c r="C333">
        <f>IF(MOD($A333-INDEX(SkiftStart,2),Syklus)&lt;DagK,"K",IF(MOD($A333-INDEX(SkiftStart,2),Syklus)&lt;DagK+DagH,"H",IF(MOD($A333-INDEX(SkiftStart,2),Syklus)&lt;DagK+DagH+DagD,"D","F")))</f>
        <v/>
      </c>
      <c r="D333">
        <f>IF(MOD($A333-INDEX(SkiftStart,3),Syklus)&lt;DagK,"K",IF(MOD($A333-INDEX(SkiftStart,3),Syklus)&lt;DagK+DagH,"H",IF(MOD($A333-INDEX(SkiftStart,3),Syklus)&lt;DagK+DagH+DagD,"D","F")))</f>
        <v/>
      </c>
      <c r="E333">
        <f>IF(B333="F",0,IF(WEEKDAY($A333,2)=5,INDEX(TimerFr,MATCH(B333,FaseKode,0)),INDEX(TimerMT,MATCH(B333,FaseKode,0))))</f>
        <v/>
      </c>
      <c r="F333">
        <f>IF(C333="F",0,IF(WEEKDAY($A333,2)=5,INDEX(TimerFr,MATCH(C333,FaseKode,0)),INDEX(TimerMT,MATCH(C333,FaseKode,0))))</f>
        <v/>
      </c>
      <c r="G333">
        <f>IF(D333="F",0,IF(WEEKDAY($A333,2)=5,INDEX(TimerFr,MATCH(D333,FaseKode,0)),INDEX(TimerMT,MATCH(D333,FaseKode,0))))</f>
        <v/>
      </c>
      <c r="H333">
        <f>IF(OR(H$4="",$A333&gt;TODAY()),0,IF(OR(INDEX($B333:$D333,H$5)="F",AND(H$6&gt;0,$A333&lt;H$6),AND(H$7&gt;0,$A333&gt;H$7)),0,MAX(0,ROUND((INDEX($E333:$G333,H$5)-SUMIFS(TF_Timer,TF_Tekniker,H$4,TF_Dato,$A333))*2,0)/2)))</f>
        <v/>
      </c>
      <c r="I333">
        <f>IF(OR(I$4="",$A333&gt;TODAY()),0,IF(OR(INDEX($B333:$D333,I$5)="F",AND(I$6&gt;0,$A333&lt;I$6),AND(I$7&gt;0,$A333&gt;I$7)),0,MAX(0,ROUND((INDEX($E333:$G333,I$5)-SUMIFS(TF_Timer,TF_Tekniker,I$4,TF_Dato,$A333))*2,0)/2)))</f>
        <v/>
      </c>
      <c r="J333">
        <f>IF(OR(J$4="",$A333&gt;TODAY()),0,IF(OR(INDEX($B333:$D333,J$5)="F",AND(J$6&gt;0,$A333&lt;J$6),AND(J$7&gt;0,$A333&gt;J$7)),0,MAX(0,ROUND((INDEX($E333:$G333,J$5)-SUMIFS(TF_Timer,TF_Tekniker,J$4,TF_Dato,$A333))*2,0)/2)))</f>
        <v/>
      </c>
      <c r="K333">
        <f>IF(OR(K$4="",$A333&gt;TODAY()),0,IF(OR(INDEX($B333:$D333,K$5)="F",AND(K$6&gt;0,$A333&lt;K$6),AND(K$7&gt;0,$A333&gt;K$7)),0,MAX(0,ROUND((INDEX($E333:$G333,K$5)-SUMIFS(TF_Timer,TF_Tekniker,K$4,TF_Dato,$A333))*2,0)/2)))</f>
        <v/>
      </c>
      <c r="L333">
        <f>IF(OR(L$4="",$A333&gt;TODAY()),0,IF(OR(INDEX($B333:$D333,L$5)="F",AND(L$6&gt;0,$A333&lt;L$6),AND(L$7&gt;0,$A333&gt;L$7)),0,MAX(0,ROUND((INDEX($E333:$G333,L$5)-SUMIFS(TF_Timer,TF_Tekniker,L$4,TF_Dato,$A333))*2,0)/2)))</f>
        <v/>
      </c>
      <c r="M333">
        <f>IF(OR(M$4="",$A333&gt;TODAY()),0,IF(OR(INDEX($B333:$D333,M$5)="F",AND(M$6&gt;0,$A333&lt;M$6),AND(M$7&gt;0,$A333&gt;M$7)),0,MAX(0,ROUND((INDEX($E333:$G333,M$5)-SUMIFS(TF_Timer,TF_Tekniker,M$4,TF_Dato,$A333))*2,0)/2)))</f>
        <v/>
      </c>
      <c r="N333">
        <f>IF(OR(N$4="",$A333&gt;TODAY()),0,IF(OR(INDEX($B333:$D333,N$5)="F",AND(N$6&gt;0,$A333&lt;N$6),AND(N$7&gt;0,$A333&gt;N$7)),0,MAX(0,ROUND((INDEX($E333:$G333,N$5)-SUMIFS(TF_Timer,TF_Tekniker,N$4,TF_Dato,$A333))*2,0)/2)))</f>
        <v/>
      </c>
      <c r="O333">
        <f>IF(OR(O$4="",$A333&gt;TODAY()),0,IF(OR(INDEX($B333:$D333,O$5)="F",AND(O$6&gt;0,$A333&lt;O$6),AND(O$7&gt;0,$A333&gt;O$7)),0,MAX(0,ROUND((INDEX($E333:$G333,O$5)-SUMIFS(TF_Timer,TF_Tekniker,O$4,TF_Dato,$A333))*2,0)/2)))</f>
        <v/>
      </c>
      <c r="P333">
        <f>IF(OR(P$4="",$A333&gt;TODAY()),0,IF(OR(INDEX($B333:$D333,P$5)="F",AND(P$6&gt;0,$A333&lt;P$6),AND(P$7&gt;0,$A333&gt;P$7)),0,MAX(0,ROUND((INDEX($E333:$G333,P$5)-SUMIFS(TF_Timer,TF_Tekniker,P$4,TF_Dato,$A333))*2,0)/2)))</f>
        <v/>
      </c>
      <c r="Q333">
        <f>IF(OR(Q$4="",$A333&gt;TODAY()),0,IF(OR(INDEX($B333:$D333,Q$5)="F",AND(Q$6&gt;0,$A333&lt;Q$6),AND(Q$7&gt;0,$A333&gt;Q$7)),0,MAX(0,ROUND((INDEX($E333:$G333,Q$5)-SUMIFS(TF_Timer,TF_Tekniker,Q$4,TF_Dato,$A333))*2,0)/2)))</f>
        <v/>
      </c>
      <c r="R333">
        <f>IF(OR(R$4="",$A333&gt;TODAY()),0,IF(OR(INDEX($B333:$D333,R$5)="F",AND(R$6&gt;0,$A333&lt;R$6),AND(R$7&gt;0,$A333&gt;R$7)),0,MAX(0,ROUND((INDEX($E333:$G333,R$5)-SUMIFS(TF_Timer,TF_Tekniker,R$4,TF_Dato,$A333))*2,0)/2)))</f>
        <v/>
      </c>
      <c r="S333">
        <f>IF(OR(S$4="",$A333&gt;TODAY()),0,IF(OR(INDEX($B333:$D333,S$5)="F",AND(S$6&gt;0,$A333&lt;S$6),AND(S$7&gt;0,$A333&gt;S$7)),0,MAX(0,ROUND((INDEX($E333:$G333,S$5)-SUMIFS(TF_Timer,TF_Tekniker,S$4,TF_Dato,$A333))*2,0)/2)))</f>
        <v/>
      </c>
      <c r="T333">
        <f>IF(OR(T$4="",$A333&gt;TODAY()),0,IF(OR(INDEX($B333:$D333,T$5)="F",AND(T$6&gt;0,$A333&lt;T$6),AND(T$7&gt;0,$A333&gt;T$7)),0,MAX(0,ROUND((INDEX($E333:$G333,T$5)-SUMIFS(TF_Timer,TF_Tekniker,T$4,TF_Dato,$A333))*2,0)/2)))</f>
        <v/>
      </c>
      <c r="U333">
        <f>IF(OR(U$4="",$A333&gt;TODAY()),0,IF(OR(INDEX($B333:$D333,U$5)="F",AND(U$6&gt;0,$A333&lt;U$6),AND(U$7&gt;0,$A333&gt;U$7)),0,MAX(0,ROUND((INDEX($E333:$G333,U$5)-SUMIFS(TF_Timer,TF_Tekniker,U$4,TF_Dato,$A333))*2,0)/2)))</f>
        <v/>
      </c>
      <c r="V333">
        <f>IF(OR(V$4="",$A333&gt;TODAY()),0,IF(OR(INDEX($B333:$D333,V$5)="F",AND(V$6&gt;0,$A333&lt;V$6),AND(V$7&gt;0,$A333&gt;V$7)),0,MAX(0,ROUND((INDEX($E333:$G333,V$5)-SUMIFS(TF_Timer,TF_Tekniker,V$4,TF_Dato,$A333))*2,0)/2)))</f>
        <v/>
      </c>
      <c r="W333">
        <f>IF(OR(W$4="",$A333&gt;TODAY()),0,IF(OR(INDEX($B333:$D333,W$5)="F",AND(W$6&gt;0,$A333&lt;W$6),AND(W$7&gt;0,$A333&gt;W$7)),0,MAX(0,ROUND((INDEX($E333:$G333,W$5)-SUMIFS(TF_Timer,TF_Tekniker,W$4,TF_Dato,$A333))*2,0)/2)))</f>
        <v/>
      </c>
      <c r="X333">
        <f>IF(OR(X$4="",$A333&gt;TODAY()),0,IF(OR(INDEX($B333:$D333,X$5)="F",AND(X$6&gt;0,$A333&lt;X$6),AND(X$7&gt;0,$A333&gt;X$7)),0,MAX(0,ROUND((INDEX($E333:$G333,X$5)-SUMIFS(TF_Timer,TF_Tekniker,X$4,TF_Dato,$A333))*2,0)/2)))</f>
        <v/>
      </c>
      <c r="Y333">
        <f>IF(OR(Y$4="",$A333&gt;TODAY()),0,IF(OR(INDEX($B333:$D333,Y$5)="F",AND(Y$6&gt;0,$A333&lt;Y$6),AND(Y$7&gt;0,$A333&gt;Y$7)),0,MAX(0,ROUND((INDEX($E333:$G333,Y$5)-SUMIFS(TF_Timer,TF_Tekniker,Y$4,TF_Dato,$A333))*2,0)/2)))</f>
        <v/>
      </c>
      <c r="Z333">
        <f>IF(OR(Z$4="",$A333&gt;TODAY()),0,IF(OR(INDEX($B333:$D333,Z$5)="F",AND(Z$6&gt;0,$A333&lt;Z$6),AND(Z$7&gt;0,$A333&gt;Z$7)),0,MAX(0,ROUND((INDEX($E333:$G333,Z$5)-SUMIFS(TF_Timer,TF_Tekniker,Z$4,TF_Dato,$A333))*2,0)/2)))</f>
        <v/>
      </c>
      <c r="AA333">
        <f>IF(OR(AA$4="",$A333&gt;TODAY()),0,IF(OR(INDEX($B333:$D333,AA$5)="F",AND(AA$6&gt;0,$A333&lt;AA$6),AND(AA$7&gt;0,$A333&gt;AA$7)),0,MAX(0,ROUND((INDEX($E333:$G333,AA$5)-SUMIFS(TF_Timer,TF_Tekniker,AA$4,TF_Dato,$A333))*2,0)/2)))</f>
        <v/>
      </c>
      <c r="AB333">
        <f>IF(OR(AB$4="",$A333&gt;TODAY()),0,IF(OR(INDEX($B333:$D333,AB$5)="F",AND(AB$6&gt;0,$A333&lt;AB$6),AND(AB$7&gt;0,$A333&gt;AB$7)),0,MAX(0,ROUND((INDEX($E333:$G333,AB$5)-SUMIFS(TF_Timer,TF_Tekniker,AB$4,TF_Dato,$A333))*2,0)/2)))</f>
        <v/>
      </c>
      <c r="AC333">
        <f>IF(OR(AC$4="",$A333&gt;TODAY()),0,IF(OR(INDEX($B333:$D333,AC$5)="F",AND(AC$6&gt;0,$A333&lt;AC$6),AND(AC$7&gt;0,$A333&gt;AC$7)),0,MAX(0,ROUND((INDEX($E333:$G333,AC$5)-SUMIFS(TF_Timer,TF_Tekniker,AC$4,TF_Dato,$A333))*2,0)/2)))</f>
        <v/>
      </c>
      <c r="AD333">
        <f>IF(OR(AD$4="",$A333&gt;TODAY()),0,IF(OR(INDEX($B333:$D333,AD$5)="F",AND(AD$6&gt;0,$A333&lt;AD$6),AND(AD$7&gt;0,$A333&gt;AD$7)),0,MAX(0,ROUND((INDEX($E333:$G333,AD$5)-SUMIFS(TF_Timer,TF_Tekniker,AD$4,TF_Dato,$A333))*2,0)/2)))</f>
        <v/>
      </c>
      <c r="AE333">
        <f>IF(OR(AE$4="",$A333&gt;TODAY()),0,IF(OR(INDEX($B333:$D333,AE$5)="F",AND(AE$6&gt;0,$A333&lt;AE$6),AND(AE$7&gt;0,$A333&gt;AE$7)),0,MAX(0,ROUND((INDEX($E333:$G333,AE$5)-SUMIFS(TF_Timer,TF_Tekniker,AE$4,TF_Dato,$A333))*2,0)/2)))</f>
        <v/>
      </c>
      <c r="AF333">
        <f>IF(OR(AF$4="",$A333&gt;TODAY()),0,IF(OR(INDEX($B333:$D333,AF$5)="F",AND(AF$6&gt;0,$A333&lt;AF$6),AND(AF$7&gt;0,$A333&gt;AF$7)),0,MAX(0,ROUND((INDEX($E333:$G333,AF$5)-SUMIFS(TF_Timer,TF_Tekniker,AF$4,TF_Dato,$A333))*2,0)/2)))</f>
        <v/>
      </c>
      <c r="AG333">
        <f>IF(OR(AG$4="",$A333&gt;TODAY()),0,IF(OR(INDEX($B333:$D333,AG$5)="F",AND(AG$6&gt;0,$A333&lt;AG$6),AND(AG$7&gt;0,$A333&gt;AG$7)),0,MAX(0,ROUND((INDEX($E333:$G333,AG$5)-SUMIFS(TF_Timer,TF_Tekniker,AG$4,TF_Dato,$A333))*2,0)/2)))</f>
        <v/>
      </c>
      <c r="AH333">
        <f>IF(OR(AH$4="",$A333&gt;TODAY()),0,IF(OR(INDEX($B333:$D333,AH$5)="F",AND(AH$6&gt;0,$A333&lt;AH$6),AND(AH$7&gt;0,$A333&gt;AH$7)),0,MAX(0,ROUND((INDEX($E333:$G333,AH$5)-SUMIFS(TF_Timer,TF_Tekniker,AH$4,TF_Dato,$A333))*2,0)/2)))</f>
        <v/>
      </c>
      <c r="AI333">
        <f>IF(OR(AI$4="",$A333&gt;TODAY()),0,IF(OR(INDEX($B333:$D333,AI$5)="F",AND(AI$6&gt;0,$A333&lt;AI$6),AND(AI$7&gt;0,$A333&gt;AI$7)),0,MAX(0,ROUND((INDEX($E333:$G333,AI$5)-SUMIFS(TF_Timer,TF_Tekniker,AI$4,TF_Dato,$A333))*2,0)/2)))</f>
        <v/>
      </c>
      <c r="AJ333">
        <f>IF(OR(AJ$4="",$A333&gt;TODAY()),0,IF(OR(INDEX($B333:$D333,AJ$5)="F",AND(AJ$6&gt;0,$A333&lt;AJ$6),AND(AJ$7&gt;0,$A333&gt;AJ$7)),0,MAX(0,ROUND((INDEX($E333:$G333,AJ$5)-SUMIFS(TF_Timer,TF_Tekniker,AJ$4,TF_Dato,$A333))*2,0)/2)))</f>
        <v/>
      </c>
      <c r="AK333">
        <f>IF(OR(AK$4="",$A333&gt;TODAY()),0,IF(OR(INDEX($B333:$D333,AK$5)="F",AND(AK$6&gt;0,$A333&lt;AK$6),AND(AK$7&gt;0,$A333&gt;AK$7)),0,MAX(0,ROUND((INDEX($E333:$G333,AK$5)-SUMIFS(TF_Timer,TF_Tekniker,AK$4,TF_Dato,$A333))*2,0)/2)))</f>
        <v/>
      </c>
      <c r="AL333">
        <f>IF(OR(AL$4="",$A333&gt;TODAY()),0,IF(OR(INDEX($B333:$D333,AL$5)="F",AND(AL$6&gt;0,$A333&lt;AL$6),AND(AL$7&gt;0,$A333&gt;AL$7)),0,MAX(0,ROUND((INDEX($E333:$G333,AL$5)-SUMIFS(TF_Timer,TF_Tekniker,AL$4,TF_Dato,$A333))*2,0)/2)))</f>
        <v/>
      </c>
      <c r="AM333">
        <f>IF(OR(AM$4="",$A333&gt;TODAY()),0,IF(OR(INDEX($B333:$D333,AM$5)="F",AND(AM$6&gt;0,$A333&lt;AM$6),AND(AM$7&gt;0,$A333&gt;AM$7)),0,MAX(0,ROUND((INDEX($E333:$G333,AM$5)-SUMIFS(TF_Timer,TF_Tekniker,AM$4,TF_Dato,$A333))*2,0)/2)))</f>
        <v/>
      </c>
      <c r="AN333">
        <f>IF(OR(AN$4="",$A333&gt;TODAY()),0,IF(OR(INDEX($B333:$D333,AN$5)="F",AND(AN$6&gt;0,$A333&lt;AN$6),AND(AN$7&gt;0,$A333&gt;AN$7)),0,MAX(0,ROUND((INDEX($E333:$G333,AN$5)-SUMIFS(TF_Timer,TF_Tekniker,AN$4,TF_Dato,$A333))*2,0)/2)))</f>
        <v/>
      </c>
      <c r="AO333">
        <f>IF(OR(AO$4="",$A333&gt;TODAY()),0,IF(OR(INDEX($B333:$D333,AO$5)="F",AND(AO$6&gt;0,$A333&lt;AO$6),AND(AO$7&gt;0,$A333&gt;AO$7)),0,MAX(0,ROUND((INDEX($E333:$G333,AO$5)-SUMIFS(TF_Timer,TF_Tekniker,AO$4,TF_Dato,$A333))*2,0)/2)))</f>
        <v/>
      </c>
      <c r="AP333">
        <f>IF(OR(AP$4="",$A333&gt;TODAY()),0,IF(OR(INDEX($B333:$D333,AP$5)="F",AND(AP$6&gt;0,$A333&lt;AP$6),AND(AP$7&gt;0,$A333&gt;AP$7)),0,MAX(0,ROUND((INDEX($E333:$G333,AP$5)-SUMIFS(TF_Timer,TF_Tekniker,AP$4,TF_Dato,$A333))*2,0)/2)))</f>
        <v/>
      </c>
      <c r="AQ333">
        <f>IF(OR(AQ$4="",$A333&gt;TODAY()),0,IF(OR(INDEX($B333:$D333,AQ$5)="F",AND(AQ$6&gt;0,$A333&lt;AQ$6),AND(AQ$7&gt;0,$A333&gt;AQ$7)),0,MAX(0,ROUND((INDEX($E333:$G333,AQ$5)-SUMIFS(TF_Timer,TF_Tekniker,AQ$4,TF_Dato,$A333))*2,0)/2)))</f>
        <v/>
      </c>
      <c r="AR333">
        <f>IF(OR(AR$4="",$A333&gt;TODAY()),0,IF(OR(INDEX($B333:$D333,AR$5)="F",AND(AR$6&gt;0,$A333&lt;AR$6),AND(AR$7&gt;0,$A333&gt;AR$7)),0,MAX(0,ROUND((INDEX($E333:$G333,AR$5)-SUMIFS(TF_Timer,TF_Tekniker,AR$4,TF_Dato,$A333))*2,0)/2)))</f>
        <v/>
      </c>
      <c r="AS333">
        <f>IF(OR(AS$4="",$A333&gt;TODAY()),0,IF(OR(INDEX($B333:$D333,AS$5)="F",AND(AS$6&gt;0,$A333&lt;AS$6),AND(AS$7&gt;0,$A333&gt;AS$7)),0,MAX(0,ROUND((INDEX($E333:$G333,AS$5)-SUMIFS(TF_Timer,TF_Tekniker,AS$4,TF_Dato,$A333))*2,0)/2)))</f>
        <v/>
      </c>
      <c r="AT333">
        <f>IF(OR(AT$4="",$A333&gt;TODAY()),0,IF(OR(INDEX($B333:$D333,AT$5)="F",AND(AT$6&gt;0,$A333&lt;AT$6),AND(AT$7&gt;0,$A333&gt;AT$7)),0,MAX(0,ROUND((INDEX($E333:$G333,AT$5)-SUMIFS(TF_Timer,TF_Tekniker,AT$4,TF_Dato,$A333))*2,0)/2)))</f>
        <v/>
      </c>
      <c r="AU333">
        <f>IF(OR(AU$4="",$A333&gt;TODAY()),0,IF(OR(INDEX($B333:$D333,AU$5)="F",AND(AU$6&gt;0,$A333&lt;AU$6),AND(AU$7&gt;0,$A333&gt;AU$7)),0,MAX(0,ROUND((INDEX($E333:$G333,AU$5)-SUMIFS(TF_Timer,TF_Tekniker,AU$4,TF_Dato,$A333))*2,0)/2)))</f>
        <v/>
      </c>
      <c r="AV333">
        <f>IF(OR(AV$4="",$A333&gt;TODAY()),0,IF(OR(INDEX($B333:$D333,AV$5)="F",AND(AV$6&gt;0,$A333&lt;AV$6),AND(AV$7&gt;0,$A333&gt;AV$7)),0,MAX(0,ROUND((INDEX($E333:$G333,AV$5)-SUMIFS(TF_Timer,TF_Tekniker,AV$4,TF_Dato,$A333))*2,0)/2)))</f>
        <v/>
      </c>
      <c r="AW333">
        <f>IF(OR(AW$4="",$A333&gt;TODAY()),0,IF(OR(INDEX($B333:$D333,AW$5)="F",AND(AW$6&gt;0,$A333&lt;AW$6),AND(AW$7&gt;0,$A333&gt;AW$7)),0,MAX(0,ROUND((INDEX($E333:$G333,AW$5)-SUMIFS(TF_Timer,TF_Tekniker,AW$4,TF_Dato,$A333))*2,0)/2)))</f>
        <v/>
      </c>
      <c r="AX333">
        <f>IF(OR(AX$4="",$A333&gt;TODAY()),0,IF(OR(INDEX($B333:$D333,AX$5)="F",AND(AX$6&gt;0,$A333&lt;AX$6),AND(AX$7&gt;0,$A333&gt;AX$7)),0,MAX(0,ROUND((INDEX($E333:$G333,AX$5)-SUMIFS(TF_Timer,TF_Tekniker,AX$4,TF_Dato,$A333))*2,0)/2)))</f>
        <v/>
      </c>
      <c r="AY333">
        <f>IF(OR(AY$4="",$A333&gt;TODAY()),0,IF(OR(INDEX($B333:$D333,AY$5)="F",AND(AY$6&gt;0,$A333&lt;AY$6),AND(AY$7&gt;0,$A333&gt;AY$7)),0,MAX(0,ROUND((INDEX($E333:$G333,AY$5)-SUMIFS(TF_Timer,TF_Tekniker,AY$4,TF_Dato,$A333))*2,0)/2)))</f>
        <v/>
      </c>
      <c r="AZ333">
        <f>IF(OR(AZ$4="",$A333&gt;TODAY()),0,IF(OR(INDEX($B333:$D333,AZ$5)="F",AND(AZ$6&gt;0,$A333&lt;AZ$6),AND(AZ$7&gt;0,$A333&gt;AZ$7)),0,MAX(0,ROUND((INDEX($E333:$G333,AZ$5)-SUMIFS(TF_Timer,TF_Tekniker,AZ$4,TF_Dato,$A333))*2,0)/2)))</f>
        <v/>
      </c>
      <c r="BA333">
        <f>IF(OR(BA$4="",$A333&gt;TODAY()),0,IF(OR(INDEX($B333:$D333,BA$5)="F",AND(BA$6&gt;0,$A333&lt;BA$6),AND(BA$7&gt;0,$A333&gt;BA$7)),0,MAX(0,ROUND((INDEX($E333:$G333,BA$5)-SUMIFS(TF_Timer,TF_Tekniker,BA$4,TF_Dato,$A333))*2,0)/2)))</f>
        <v/>
      </c>
      <c r="BB333">
        <f>IF(OR(BB$4="",$A333&gt;TODAY()),0,IF(OR(INDEX($B333:$D333,BB$5)="F",AND(BB$6&gt;0,$A333&lt;BB$6),AND(BB$7&gt;0,$A333&gt;BB$7)),0,MAX(0,ROUND((INDEX($E333:$G333,BB$5)-SUMIFS(TF_Timer,TF_Tekniker,BB$4,TF_Dato,$A333))*2,0)/2)))</f>
        <v/>
      </c>
      <c r="BC333">
        <f>IF(OR(BC$4="",$A333&gt;TODAY()),0,IF(OR(INDEX($B333:$D333,BC$5)="F",AND(BC$6&gt;0,$A333&lt;BC$6),AND(BC$7&gt;0,$A333&gt;BC$7)),0,MAX(0,ROUND((INDEX($E333:$G333,BC$5)-SUMIFS(TF_Timer,TF_Tekniker,BC$4,TF_Dato,$A333))*2,0)/2)))</f>
        <v/>
      </c>
      <c r="BD333">
        <f>IF(OR(BD$4="",$A333&gt;TODAY()),0,IF(OR(INDEX($B333:$D333,BD$5)="F",AND(BD$6&gt;0,$A333&lt;BD$6),AND(BD$7&gt;0,$A333&gt;BD$7)),0,MAX(0,ROUND((INDEX($E333:$G333,BD$5)-SUMIFS(TF_Timer,TF_Tekniker,BD$4,TF_Dato,$A333))*2,0)/2)))</f>
        <v/>
      </c>
      <c r="BE333">
        <f>IF(OR(BE$4="",$A333&gt;TODAY()),0,IF(OR(INDEX($B333:$D333,BE$5)="F",AND(BE$6&gt;0,$A333&lt;BE$6),AND(BE$7&gt;0,$A333&gt;BE$7)),0,MAX(0,ROUND((INDEX($E333:$G333,BE$5)-SUMIFS(TF_Timer,TF_Tekniker,BE$4,TF_Dato,$A333))*2,0)/2)))</f>
        <v/>
      </c>
      <c r="BF333">
        <f>IF(OR(BF$4="",$A333&gt;TODAY()),0,IF(OR(INDEX($B333:$D333,BF$5)="F",AND(BF$6&gt;0,$A333&lt;BF$6),AND(BF$7&gt;0,$A333&gt;BF$7)),0,MAX(0,ROUND((INDEX($E333:$G333,BF$5)-SUMIFS(TF_Timer,TF_Tekniker,BF$4,TF_Dato,$A333))*2,0)/2)))</f>
        <v/>
      </c>
      <c r="BG333">
        <f>IF(OR(BG$4="",$A333&gt;TODAY()),0,IF(OR(INDEX($B333:$D333,BG$5)="F",AND(BG$6&gt;0,$A333&lt;BG$6),AND(BG$7&gt;0,$A333&gt;BG$7)),0,MAX(0,ROUND((INDEX($E333:$G333,BG$5)-SUMIFS(TF_Timer,TF_Tekniker,BG$4,TF_Dato,$A333))*2,0)/2)))</f>
        <v/>
      </c>
      <c r="BH333">
        <f>IF(OR(BH$4="",$A333&gt;TODAY()),0,IF(OR(INDEX($B333:$D333,BH$5)="F",AND(BH$6&gt;0,$A333&lt;BH$6),AND(BH$7&gt;0,$A333&gt;BH$7)),0,MAX(0,ROUND((INDEX($E333:$G333,BH$5)-SUMIFS(TF_Timer,TF_Tekniker,BH$4,TF_Dato,$A333))*2,0)/2)))</f>
        <v/>
      </c>
      <c r="BI333">
        <f>IF(OR(BI$4="",$A333&gt;TODAY()),0,IF(OR(INDEX($B333:$D333,BI$5)="F",AND(BI$6&gt;0,$A333&lt;BI$6),AND(BI$7&gt;0,$A333&gt;BI$7)),0,MAX(0,ROUND((INDEX($E333:$G333,BI$5)-SUMIFS(TF_Timer,TF_Tekniker,BI$4,TF_Dato,$A333))*2,0)/2)))</f>
        <v/>
      </c>
    </row>
    <row r="334">
      <c r="A334" s="64">
        <f>A333+1</f>
        <v/>
      </c>
      <c r="B334">
        <f>IF(MOD($A334-INDEX(SkiftStart,1),Syklus)&lt;DagK,"K",IF(MOD($A334-INDEX(SkiftStart,1),Syklus)&lt;DagK+DagH,"H",IF(MOD($A334-INDEX(SkiftStart,1),Syklus)&lt;DagK+DagH+DagD,"D","F")))</f>
        <v/>
      </c>
      <c r="C334">
        <f>IF(MOD($A334-INDEX(SkiftStart,2),Syklus)&lt;DagK,"K",IF(MOD($A334-INDEX(SkiftStart,2),Syklus)&lt;DagK+DagH,"H",IF(MOD($A334-INDEX(SkiftStart,2),Syklus)&lt;DagK+DagH+DagD,"D","F")))</f>
        <v/>
      </c>
      <c r="D334">
        <f>IF(MOD($A334-INDEX(SkiftStart,3),Syklus)&lt;DagK,"K",IF(MOD($A334-INDEX(SkiftStart,3),Syklus)&lt;DagK+DagH,"H",IF(MOD($A334-INDEX(SkiftStart,3),Syklus)&lt;DagK+DagH+DagD,"D","F")))</f>
        <v/>
      </c>
      <c r="E334">
        <f>IF(B334="F",0,IF(WEEKDAY($A334,2)=5,INDEX(TimerFr,MATCH(B334,FaseKode,0)),INDEX(TimerMT,MATCH(B334,FaseKode,0))))</f>
        <v/>
      </c>
      <c r="F334">
        <f>IF(C334="F",0,IF(WEEKDAY($A334,2)=5,INDEX(TimerFr,MATCH(C334,FaseKode,0)),INDEX(TimerMT,MATCH(C334,FaseKode,0))))</f>
        <v/>
      </c>
      <c r="G334">
        <f>IF(D334="F",0,IF(WEEKDAY($A334,2)=5,INDEX(TimerFr,MATCH(D334,FaseKode,0)),INDEX(TimerMT,MATCH(D334,FaseKode,0))))</f>
        <v/>
      </c>
      <c r="H334">
        <f>IF(OR(H$4="",$A334&gt;TODAY()),0,IF(OR(INDEX($B334:$D334,H$5)="F",AND(H$6&gt;0,$A334&lt;H$6),AND(H$7&gt;0,$A334&gt;H$7)),0,MAX(0,ROUND((INDEX($E334:$G334,H$5)-SUMIFS(TF_Timer,TF_Tekniker,H$4,TF_Dato,$A334))*2,0)/2)))</f>
        <v/>
      </c>
      <c r="I334">
        <f>IF(OR(I$4="",$A334&gt;TODAY()),0,IF(OR(INDEX($B334:$D334,I$5)="F",AND(I$6&gt;0,$A334&lt;I$6),AND(I$7&gt;0,$A334&gt;I$7)),0,MAX(0,ROUND((INDEX($E334:$G334,I$5)-SUMIFS(TF_Timer,TF_Tekniker,I$4,TF_Dato,$A334))*2,0)/2)))</f>
        <v/>
      </c>
      <c r="J334">
        <f>IF(OR(J$4="",$A334&gt;TODAY()),0,IF(OR(INDEX($B334:$D334,J$5)="F",AND(J$6&gt;0,$A334&lt;J$6),AND(J$7&gt;0,$A334&gt;J$7)),0,MAX(0,ROUND((INDEX($E334:$G334,J$5)-SUMIFS(TF_Timer,TF_Tekniker,J$4,TF_Dato,$A334))*2,0)/2)))</f>
        <v/>
      </c>
      <c r="K334">
        <f>IF(OR(K$4="",$A334&gt;TODAY()),0,IF(OR(INDEX($B334:$D334,K$5)="F",AND(K$6&gt;0,$A334&lt;K$6),AND(K$7&gt;0,$A334&gt;K$7)),0,MAX(0,ROUND((INDEX($E334:$G334,K$5)-SUMIFS(TF_Timer,TF_Tekniker,K$4,TF_Dato,$A334))*2,0)/2)))</f>
        <v/>
      </c>
      <c r="L334">
        <f>IF(OR(L$4="",$A334&gt;TODAY()),0,IF(OR(INDEX($B334:$D334,L$5)="F",AND(L$6&gt;0,$A334&lt;L$6),AND(L$7&gt;0,$A334&gt;L$7)),0,MAX(0,ROUND((INDEX($E334:$G334,L$5)-SUMIFS(TF_Timer,TF_Tekniker,L$4,TF_Dato,$A334))*2,0)/2)))</f>
        <v/>
      </c>
      <c r="M334">
        <f>IF(OR(M$4="",$A334&gt;TODAY()),0,IF(OR(INDEX($B334:$D334,M$5)="F",AND(M$6&gt;0,$A334&lt;M$6),AND(M$7&gt;0,$A334&gt;M$7)),0,MAX(0,ROUND((INDEX($E334:$G334,M$5)-SUMIFS(TF_Timer,TF_Tekniker,M$4,TF_Dato,$A334))*2,0)/2)))</f>
        <v/>
      </c>
      <c r="N334">
        <f>IF(OR(N$4="",$A334&gt;TODAY()),0,IF(OR(INDEX($B334:$D334,N$5)="F",AND(N$6&gt;0,$A334&lt;N$6),AND(N$7&gt;0,$A334&gt;N$7)),0,MAX(0,ROUND((INDEX($E334:$G334,N$5)-SUMIFS(TF_Timer,TF_Tekniker,N$4,TF_Dato,$A334))*2,0)/2)))</f>
        <v/>
      </c>
      <c r="O334">
        <f>IF(OR(O$4="",$A334&gt;TODAY()),0,IF(OR(INDEX($B334:$D334,O$5)="F",AND(O$6&gt;0,$A334&lt;O$6),AND(O$7&gt;0,$A334&gt;O$7)),0,MAX(0,ROUND((INDEX($E334:$G334,O$5)-SUMIFS(TF_Timer,TF_Tekniker,O$4,TF_Dato,$A334))*2,0)/2)))</f>
        <v/>
      </c>
      <c r="P334">
        <f>IF(OR(P$4="",$A334&gt;TODAY()),0,IF(OR(INDEX($B334:$D334,P$5)="F",AND(P$6&gt;0,$A334&lt;P$6),AND(P$7&gt;0,$A334&gt;P$7)),0,MAX(0,ROUND((INDEX($E334:$G334,P$5)-SUMIFS(TF_Timer,TF_Tekniker,P$4,TF_Dato,$A334))*2,0)/2)))</f>
        <v/>
      </c>
      <c r="Q334">
        <f>IF(OR(Q$4="",$A334&gt;TODAY()),0,IF(OR(INDEX($B334:$D334,Q$5)="F",AND(Q$6&gt;0,$A334&lt;Q$6),AND(Q$7&gt;0,$A334&gt;Q$7)),0,MAX(0,ROUND((INDEX($E334:$G334,Q$5)-SUMIFS(TF_Timer,TF_Tekniker,Q$4,TF_Dato,$A334))*2,0)/2)))</f>
        <v/>
      </c>
      <c r="R334">
        <f>IF(OR(R$4="",$A334&gt;TODAY()),0,IF(OR(INDEX($B334:$D334,R$5)="F",AND(R$6&gt;0,$A334&lt;R$6),AND(R$7&gt;0,$A334&gt;R$7)),0,MAX(0,ROUND((INDEX($E334:$G334,R$5)-SUMIFS(TF_Timer,TF_Tekniker,R$4,TF_Dato,$A334))*2,0)/2)))</f>
        <v/>
      </c>
      <c r="S334">
        <f>IF(OR(S$4="",$A334&gt;TODAY()),0,IF(OR(INDEX($B334:$D334,S$5)="F",AND(S$6&gt;0,$A334&lt;S$6),AND(S$7&gt;0,$A334&gt;S$7)),0,MAX(0,ROUND((INDEX($E334:$G334,S$5)-SUMIFS(TF_Timer,TF_Tekniker,S$4,TF_Dato,$A334))*2,0)/2)))</f>
        <v/>
      </c>
      <c r="T334">
        <f>IF(OR(T$4="",$A334&gt;TODAY()),0,IF(OR(INDEX($B334:$D334,T$5)="F",AND(T$6&gt;0,$A334&lt;T$6),AND(T$7&gt;0,$A334&gt;T$7)),0,MAX(0,ROUND((INDEX($E334:$G334,T$5)-SUMIFS(TF_Timer,TF_Tekniker,T$4,TF_Dato,$A334))*2,0)/2)))</f>
        <v/>
      </c>
      <c r="U334">
        <f>IF(OR(U$4="",$A334&gt;TODAY()),0,IF(OR(INDEX($B334:$D334,U$5)="F",AND(U$6&gt;0,$A334&lt;U$6),AND(U$7&gt;0,$A334&gt;U$7)),0,MAX(0,ROUND((INDEX($E334:$G334,U$5)-SUMIFS(TF_Timer,TF_Tekniker,U$4,TF_Dato,$A334))*2,0)/2)))</f>
        <v/>
      </c>
      <c r="V334">
        <f>IF(OR(V$4="",$A334&gt;TODAY()),0,IF(OR(INDEX($B334:$D334,V$5)="F",AND(V$6&gt;0,$A334&lt;V$6),AND(V$7&gt;0,$A334&gt;V$7)),0,MAX(0,ROUND((INDEX($E334:$G334,V$5)-SUMIFS(TF_Timer,TF_Tekniker,V$4,TF_Dato,$A334))*2,0)/2)))</f>
        <v/>
      </c>
      <c r="W334">
        <f>IF(OR(W$4="",$A334&gt;TODAY()),0,IF(OR(INDEX($B334:$D334,W$5)="F",AND(W$6&gt;0,$A334&lt;W$6),AND(W$7&gt;0,$A334&gt;W$7)),0,MAX(0,ROUND((INDEX($E334:$G334,W$5)-SUMIFS(TF_Timer,TF_Tekniker,W$4,TF_Dato,$A334))*2,0)/2)))</f>
        <v/>
      </c>
      <c r="X334">
        <f>IF(OR(X$4="",$A334&gt;TODAY()),0,IF(OR(INDEX($B334:$D334,X$5)="F",AND(X$6&gt;0,$A334&lt;X$6),AND(X$7&gt;0,$A334&gt;X$7)),0,MAX(0,ROUND((INDEX($E334:$G334,X$5)-SUMIFS(TF_Timer,TF_Tekniker,X$4,TF_Dato,$A334))*2,0)/2)))</f>
        <v/>
      </c>
      <c r="Y334">
        <f>IF(OR(Y$4="",$A334&gt;TODAY()),0,IF(OR(INDEX($B334:$D334,Y$5)="F",AND(Y$6&gt;0,$A334&lt;Y$6),AND(Y$7&gt;0,$A334&gt;Y$7)),0,MAX(0,ROUND((INDEX($E334:$G334,Y$5)-SUMIFS(TF_Timer,TF_Tekniker,Y$4,TF_Dato,$A334))*2,0)/2)))</f>
        <v/>
      </c>
      <c r="Z334">
        <f>IF(OR(Z$4="",$A334&gt;TODAY()),0,IF(OR(INDEX($B334:$D334,Z$5)="F",AND(Z$6&gt;0,$A334&lt;Z$6),AND(Z$7&gt;0,$A334&gt;Z$7)),0,MAX(0,ROUND((INDEX($E334:$G334,Z$5)-SUMIFS(TF_Timer,TF_Tekniker,Z$4,TF_Dato,$A334))*2,0)/2)))</f>
        <v/>
      </c>
      <c r="AA334">
        <f>IF(OR(AA$4="",$A334&gt;TODAY()),0,IF(OR(INDEX($B334:$D334,AA$5)="F",AND(AA$6&gt;0,$A334&lt;AA$6),AND(AA$7&gt;0,$A334&gt;AA$7)),0,MAX(0,ROUND((INDEX($E334:$G334,AA$5)-SUMIFS(TF_Timer,TF_Tekniker,AA$4,TF_Dato,$A334))*2,0)/2)))</f>
        <v/>
      </c>
      <c r="AB334">
        <f>IF(OR(AB$4="",$A334&gt;TODAY()),0,IF(OR(INDEX($B334:$D334,AB$5)="F",AND(AB$6&gt;0,$A334&lt;AB$6),AND(AB$7&gt;0,$A334&gt;AB$7)),0,MAX(0,ROUND((INDEX($E334:$G334,AB$5)-SUMIFS(TF_Timer,TF_Tekniker,AB$4,TF_Dato,$A334))*2,0)/2)))</f>
        <v/>
      </c>
      <c r="AC334">
        <f>IF(OR(AC$4="",$A334&gt;TODAY()),0,IF(OR(INDEX($B334:$D334,AC$5)="F",AND(AC$6&gt;0,$A334&lt;AC$6),AND(AC$7&gt;0,$A334&gt;AC$7)),0,MAX(0,ROUND((INDEX($E334:$G334,AC$5)-SUMIFS(TF_Timer,TF_Tekniker,AC$4,TF_Dato,$A334))*2,0)/2)))</f>
        <v/>
      </c>
      <c r="AD334">
        <f>IF(OR(AD$4="",$A334&gt;TODAY()),0,IF(OR(INDEX($B334:$D334,AD$5)="F",AND(AD$6&gt;0,$A334&lt;AD$6),AND(AD$7&gt;0,$A334&gt;AD$7)),0,MAX(0,ROUND((INDEX($E334:$G334,AD$5)-SUMIFS(TF_Timer,TF_Tekniker,AD$4,TF_Dato,$A334))*2,0)/2)))</f>
        <v/>
      </c>
      <c r="AE334">
        <f>IF(OR(AE$4="",$A334&gt;TODAY()),0,IF(OR(INDEX($B334:$D334,AE$5)="F",AND(AE$6&gt;0,$A334&lt;AE$6),AND(AE$7&gt;0,$A334&gt;AE$7)),0,MAX(0,ROUND((INDEX($E334:$G334,AE$5)-SUMIFS(TF_Timer,TF_Tekniker,AE$4,TF_Dato,$A334))*2,0)/2)))</f>
        <v/>
      </c>
      <c r="AF334">
        <f>IF(OR(AF$4="",$A334&gt;TODAY()),0,IF(OR(INDEX($B334:$D334,AF$5)="F",AND(AF$6&gt;0,$A334&lt;AF$6),AND(AF$7&gt;0,$A334&gt;AF$7)),0,MAX(0,ROUND((INDEX($E334:$G334,AF$5)-SUMIFS(TF_Timer,TF_Tekniker,AF$4,TF_Dato,$A334))*2,0)/2)))</f>
        <v/>
      </c>
      <c r="AG334">
        <f>IF(OR(AG$4="",$A334&gt;TODAY()),0,IF(OR(INDEX($B334:$D334,AG$5)="F",AND(AG$6&gt;0,$A334&lt;AG$6),AND(AG$7&gt;0,$A334&gt;AG$7)),0,MAX(0,ROUND((INDEX($E334:$G334,AG$5)-SUMIFS(TF_Timer,TF_Tekniker,AG$4,TF_Dato,$A334))*2,0)/2)))</f>
        <v/>
      </c>
      <c r="AH334">
        <f>IF(OR(AH$4="",$A334&gt;TODAY()),0,IF(OR(INDEX($B334:$D334,AH$5)="F",AND(AH$6&gt;0,$A334&lt;AH$6),AND(AH$7&gt;0,$A334&gt;AH$7)),0,MAX(0,ROUND((INDEX($E334:$G334,AH$5)-SUMIFS(TF_Timer,TF_Tekniker,AH$4,TF_Dato,$A334))*2,0)/2)))</f>
        <v/>
      </c>
      <c r="AI334">
        <f>IF(OR(AI$4="",$A334&gt;TODAY()),0,IF(OR(INDEX($B334:$D334,AI$5)="F",AND(AI$6&gt;0,$A334&lt;AI$6),AND(AI$7&gt;0,$A334&gt;AI$7)),0,MAX(0,ROUND((INDEX($E334:$G334,AI$5)-SUMIFS(TF_Timer,TF_Tekniker,AI$4,TF_Dato,$A334))*2,0)/2)))</f>
        <v/>
      </c>
      <c r="AJ334">
        <f>IF(OR(AJ$4="",$A334&gt;TODAY()),0,IF(OR(INDEX($B334:$D334,AJ$5)="F",AND(AJ$6&gt;0,$A334&lt;AJ$6),AND(AJ$7&gt;0,$A334&gt;AJ$7)),0,MAX(0,ROUND((INDEX($E334:$G334,AJ$5)-SUMIFS(TF_Timer,TF_Tekniker,AJ$4,TF_Dato,$A334))*2,0)/2)))</f>
        <v/>
      </c>
      <c r="AK334">
        <f>IF(OR(AK$4="",$A334&gt;TODAY()),0,IF(OR(INDEX($B334:$D334,AK$5)="F",AND(AK$6&gt;0,$A334&lt;AK$6),AND(AK$7&gt;0,$A334&gt;AK$7)),0,MAX(0,ROUND((INDEX($E334:$G334,AK$5)-SUMIFS(TF_Timer,TF_Tekniker,AK$4,TF_Dato,$A334))*2,0)/2)))</f>
        <v/>
      </c>
      <c r="AL334">
        <f>IF(OR(AL$4="",$A334&gt;TODAY()),0,IF(OR(INDEX($B334:$D334,AL$5)="F",AND(AL$6&gt;0,$A334&lt;AL$6),AND(AL$7&gt;0,$A334&gt;AL$7)),0,MAX(0,ROUND((INDEX($E334:$G334,AL$5)-SUMIFS(TF_Timer,TF_Tekniker,AL$4,TF_Dato,$A334))*2,0)/2)))</f>
        <v/>
      </c>
      <c r="AM334">
        <f>IF(OR(AM$4="",$A334&gt;TODAY()),0,IF(OR(INDEX($B334:$D334,AM$5)="F",AND(AM$6&gt;0,$A334&lt;AM$6),AND(AM$7&gt;0,$A334&gt;AM$7)),0,MAX(0,ROUND((INDEX($E334:$G334,AM$5)-SUMIFS(TF_Timer,TF_Tekniker,AM$4,TF_Dato,$A334))*2,0)/2)))</f>
        <v/>
      </c>
      <c r="AN334">
        <f>IF(OR(AN$4="",$A334&gt;TODAY()),0,IF(OR(INDEX($B334:$D334,AN$5)="F",AND(AN$6&gt;0,$A334&lt;AN$6),AND(AN$7&gt;0,$A334&gt;AN$7)),0,MAX(0,ROUND((INDEX($E334:$G334,AN$5)-SUMIFS(TF_Timer,TF_Tekniker,AN$4,TF_Dato,$A334))*2,0)/2)))</f>
        <v/>
      </c>
      <c r="AO334">
        <f>IF(OR(AO$4="",$A334&gt;TODAY()),0,IF(OR(INDEX($B334:$D334,AO$5)="F",AND(AO$6&gt;0,$A334&lt;AO$6),AND(AO$7&gt;0,$A334&gt;AO$7)),0,MAX(0,ROUND((INDEX($E334:$G334,AO$5)-SUMIFS(TF_Timer,TF_Tekniker,AO$4,TF_Dato,$A334))*2,0)/2)))</f>
        <v/>
      </c>
      <c r="AP334">
        <f>IF(OR(AP$4="",$A334&gt;TODAY()),0,IF(OR(INDEX($B334:$D334,AP$5)="F",AND(AP$6&gt;0,$A334&lt;AP$6),AND(AP$7&gt;0,$A334&gt;AP$7)),0,MAX(0,ROUND((INDEX($E334:$G334,AP$5)-SUMIFS(TF_Timer,TF_Tekniker,AP$4,TF_Dato,$A334))*2,0)/2)))</f>
        <v/>
      </c>
      <c r="AQ334">
        <f>IF(OR(AQ$4="",$A334&gt;TODAY()),0,IF(OR(INDEX($B334:$D334,AQ$5)="F",AND(AQ$6&gt;0,$A334&lt;AQ$6),AND(AQ$7&gt;0,$A334&gt;AQ$7)),0,MAX(0,ROUND((INDEX($E334:$G334,AQ$5)-SUMIFS(TF_Timer,TF_Tekniker,AQ$4,TF_Dato,$A334))*2,0)/2)))</f>
        <v/>
      </c>
      <c r="AR334">
        <f>IF(OR(AR$4="",$A334&gt;TODAY()),0,IF(OR(INDEX($B334:$D334,AR$5)="F",AND(AR$6&gt;0,$A334&lt;AR$6),AND(AR$7&gt;0,$A334&gt;AR$7)),0,MAX(0,ROUND((INDEX($E334:$G334,AR$5)-SUMIFS(TF_Timer,TF_Tekniker,AR$4,TF_Dato,$A334))*2,0)/2)))</f>
        <v/>
      </c>
      <c r="AS334">
        <f>IF(OR(AS$4="",$A334&gt;TODAY()),0,IF(OR(INDEX($B334:$D334,AS$5)="F",AND(AS$6&gt;0,$A334&lt;AS$6),AND(AS$7&gt;0,$A334&gt;AS$7)),0,MAX(0,ROUND((INDEX($E334:$G334,AS$5)-SUMIFS(TF_Timer,TF_Tekniker,AS$4,TF_Dato,$A334))*2,0)/2)))</f>
        <v/>
      </c>
      <c r="AT334">
        <f>IF(OR(AT$4="",$A334&gt;TODAY()),0,IF(OR(INDEX($B334:$D334,AT$5)="F",AND(AT$6&gt;0,$A334&lt;AT$6),AND(AT$7&gt;0,$A334&gt;AT$7)),0,MAX(0,ROUND((INDEX($E334:$G334,AT$5)-SUMIFS(TF_Timer,TF_Tekniker,AT$4,TF_Dato,$A334))*2,0)/2)))</f>
        <v/>
      </c>
      <c r="AU334">
        <f>IF(OR(AU$4="",$A334&gt;TODAY()),0,IF(OR(INDEX($B334:$D334,AU$5)="F",AND(AU$6&gt;0,$A334&lt;AU$6),AND(AU$7&gt;0,$A334&gt;AU$7)),0,MAX(0,ROUND((INDEX($E334:$G334,AU$5)-SUMIFS(TF_Timer,TF_Tekniker,AU$4,TF_Dato,$A334))*2,0)/2)))</f>
        <v/>
      </c>
      <c r="AV334">
        <f>IF(OR(AV$4="",$A334&gt;TODAY()),0,IF(OR(INDEX($B334:$D334,AV$5)="F",AND(AV$6&gt;0,$A334&lt;AV$6),AND(AV$7&gt;0,$A334&gt;AV$7)),0,MAX(0,ROUND((INDEX($E334:$G334,AV$5)-SUMIFS(TF_Timer,TF_Tekniker,AV$4,TF_Dato,$A334))*2,0)/2)))</f>
        <v/>
      </c>
      <c r="AW334">
        <f>IF(OR(AW$4="",$A334&gt;TODAY()),0,IF(OR(INDEX($B334:$D334,AW$5)="F",AND(AW$6&gt;0,$A334&lt;AW$6),AND(AW$7&gt;0,$A334&gt;AW$7)),0,MAX(0,ROUND((INDEX($E334:$G334,AW$5)-SUMIFS(TF_Timer,TF_Tekniker,AW$4,TF_Dato,$A334))*2,0)/2)))</f>
        <v/>
      </c>
      <c r="AX334">
        <f>IF(OR(AX$4="",$A334&gt;TODAY()),0,IF(OR(INDEX($B334:$D334,AX$5)="F",AND(AX$6&gt;0,$A334&lt;AX$6),AND(AX$7&gt;0,$A334&gt;AX$7)),0,MAX(0,ROUND((INDEX($E334:$G334,AX$5)-SUMIFS(TF_Timer,TF_Tekniker,AX$4,TF_Dato,$A334))*2,0)/2)))</f>
        <v/>
      </c>
      <c r="AY334">
        <f>IF(OR(AY$4="",$A334&gt;TODAY()),0,IF(OR(INDEX($B334:$D334,AY$5)="F",AND(AY$6&gt;0,$A334&lt;AY$6),AND(AY$7&gt;0,$A334&gt;AY$7)),0,MAX(0,ROUND((INDEX($E334:$G334,AY$5)-SUMIFS(TF_Timer,TF_Tekniker,AY$4,TF_Dato,$A334))*2,0)/2)))</f>
        <v/>
      </c>
      <c r="AZ334">
        <f>IF(OR(AZ$4="",$A334&gt;TODAY()),0,IF(OR(INDEX($B334:$D334,AZ$5)="F",AND(AZ$6&gt;0,$A334&lt;AZ$6),AND(AZ$7&gt;0,$A334&gt;AZ$7)),0,MAX(0,ROUND((INDEX($E334:$G334,AZ$5)-SUMIFS(TF_Timer,TF_Tekniker,AZ$4,TF_Dato,$A334))*2,0)/2)))</f>
        <v/>
      </c>
      <c r="BA334">
        <f>IF(OR(BA$4="",$A334&gt;TODAY()),0,IF(OR(INDEX($B334:$D334,BA$5)="F",AND(BA$6&gt;0,$A334&lt;BA$6),AND(BA$7&gt;0,$A334&gt;BA$7)),0,MAX(0,ROUND((INDEX($E334:$G334,BA$5)-SUMIFS(TF_Timer,TF_Tekniker,BA$4,TF_Dato,$A334))*2,0)/2)))</f>
        <v/>
      </c>
      <c r="BB334">
        <f>IF(OR(BB$4="",$A334&gt;TODAY()),0,IF(OR(INDEX($B334:$D334,BB$5)="F",AND(BB$6&gt;0,$A334&lt;BB$6),AND(BB$7&gt;0,$A334&gt;BB$7)),0,MAX(0,ROUND((INDEX($E334:$G334,BB$5)-SUMIFS(TF_Timer,TF_Tekniker,BB$4,TF_Dato,$A334))*2,0)/2)))</f>
        <v/>
      </c>
      <c r="BC334">
        <f>IF(OR(BC$4="",$A334&gt;TODAY()),0,IF(OR(INDEX($B334:$D334,BC$5)="F",AND(BC$6&gt;0,$A334&lt;BC$6),AND(BC$7&gt;0,$A334&gt;BC$7)),0,MAX(0,ROUND((INDEX($E334:$G334,BC$5)-SUMIFS(TF_Timer,TF_Tekniker,BC$4,TF_Dato,$A334))*2,0)/2)))</f>
        <v/>
      </c>
      <c r="BD334">
        <f>IF(OR(BD$4="",$A334&gt;TODAY()),0,IF(OR(INDEX($B334:$D334,BD$5)="F",AND(BD$6&gt;0,$A334&lt;BD$6),AND(BD$7&gt;0,$A334&gt;BD$7)),0,MAX(0,ROUND((INDEX($E334:$G334,BD$5)-SUMIFS(TF_Timer,TF_Tekniker,BD$4,TF_Dato,$A334))*2,0)/2)))</f>
        <v/>
      </c>
      <c r="BE334">
        <f>IF(OR(BE$4="",$A334&gt;TODAY()),0,IF(OR(INDEX($B334:$D334,BE$5)="F",AND(BE$6&gt;0,$A334&lt;BE$6),AND(BE$7&gt;0,$A334&gt;BE$7)),0,MAX(0,ROUND((INDEX($E334:$G334,BE$5)-SUMIFS(TF_Timer,TF_Tekniker,BE$4,TF_Dato,$A334))*2,0)/2)))</f>
        <v/>
      </c>
      <c r="BF334">
        <f>IF(OR(BF$4="",$A334&gt;TODAY()),0,IF(OR(INDEX($B334:$D334,BF$5)="F",AND(BF$6&gt;0,$A334&lt;BF$6),AND(BF$7&gt;0,$A334&gt;BF$7)),0,MAX(0,ROUND((INDEX($E334:$G334,BF$5)-SUMIFS(TF_Timer,TF_Tekniker,BF$4,TF_Dato,$A334))*2,0)/2)))</f>
        <v/>
      </c>
      <c r="BG334">
        <f>IF(OR(BG$4="",$A334&gt;TODAY()),0,IF(OR(INDEX($B334:$D334,BG$5)="F",AND(BG$6&gt;0,$A334&lt;BG$6),AND(BG$7&gt;0,$A334&gt;BG$7)),0,MAX(0,ROUND((INDEX($E334:$G334,BG$5)-SUMIFS(TF_Timer,TF_Tekniker,BG$4,TF_Dato,$A334))*2,0)/2)))</f>
        <v/>
      </c>
      <c r="BH334">
        <f>IF(OR(BH$4="",$A334&gt;TODAY()),0,IF(OR(INDEX($B334:$D334,BH$5)="F",AND(BH$6&gt;0,$A334&lt;BH$6),AND(BH$7&gt;0,$A334&gt;BH$7)),0,MAX(0,ROUND((INDEX($E334:$G334,BH$5)-SUMIFS(TF_Timer,TF_Tekniker,BH$4,TF_Dato,$A334))*2,0)/2)))</f>
        <v/>
      </c>
      <c r="BI334">
        <f>IF(OR(BI$4="",$A334&gt;TODAY()),0,IF(OR(INDEX($B334:$D334,BI$5)="F",AND(BI$6&gt;0,$A334&lt;BI$6),AND(BI$7&gt;0,$A334&gt;BI$7)),0,MAX(0,ROUND((INDEX($E334:$G334,BI$5)-SUMIFS(TF_Timer,TF_Tekniker,BI$4,TF_Dato,$A334))*2,0)/2)))</f>
        <v/>
      </c>
    </row>
    <row r="335">
      <c r="A335" s="64">
        <f>A334+1</f>
        <v/>
      </c>
      <c r="B335">
        <f>IF(MOD($A335-INDEX(SkiftStart,1),Syklus)&lt;DagK,"K",IF(MOD($A335-INDEX(SkiftStart,1),Syklus)&lt;DagK+DagH,"H",IF(MOD($A335-INDEX(SkiftStart,1),Syklus)&lt;DagK+DagH+DagD,"D","F")))</f>
        <v/>
      </c>
      <c r="C335">
        <f>IF(MOD($A335-INDEX(SkiftStart,2),Syklus)&lt;DagK,"K",IF(MOD($A335-INDEX(SkiftStart,2),Syklus)&lt;DagK+DagH,"H",IF(MOD($A335-INDEX(SkiftStart,2),Syklus)&lt;DagK+DagH+DagD,"D","F")))</f>
        <v/>
      </c>
      <c r="D335">
        <f>IF(MOD($A335-INDEX(SkiftStart,3),Syklus)&lt;DagK,"K",IF(MOD($A335-INDEX(SkiftStart,3),Syklus)&lt;DagK+DagH,"H",IF(MOD($A335-INDEX(SkiftStart,3),Syklus)&lt;DagK+DagH+DagD,"D","F")))</f>
        <v/>
      </c>
      <c r="E335">
        <f>IF(B335="F",0,IF(WEEKDAY($A335,2)=5,INDEX(TimerFr,MATCH(B335,FaseKode,0)),INDEX(TimerMT,MATCH(B335,FaseKode,0))))</f>
        <v/>
      </c>
      <c r="F335">
        <f>IF(C335="F",0,IF(WEEKDAY($A335,2)=5,INDEX(TimerFr,MATCH(C335,FaseKode,0)),INDEX(TimerMT,MATCH(C335,FaseKode,0))))</f>
        <v/>
      </c>
      <c r="G335">
        <f>IF(D335="F",0,IF(WEEKDAY($A335,2)=5,INDEX(TimerFr,MATCH(D335,FaseKode,0)),INDEX(TimerMT,MATCH(D335,FaseKode,0))))</f>
        <v/>
      </c>
      <c r="H335">
        <f>IF(OR(H$4="",$A335&gt;TODAY()),0,IF(OR(INDEX($B335:$D335,H$5)="F",AND(H$6&gt;0,$A335&lt;H$6),AND(H$7&gt;0,$A335&gt;H$7)),0,MAX(0,ROUND((INDEX($E335:$G335,H$5)-SUMIFS(TF_Timer,TF_Tekniker,H$4,TF_Dato,$A335))*2,0)/2)))</f>
        <v/>
      </c>
      <c r="I335">
        <f>IF(OR(I$4="",$A335&gt;TODAY()),0,IF(OR(INDEX($B335:$D335,I$5)="F",AND(I$6&gt;0,$A335&lt;I$6),AND(I$7&gt;0,$A335&gt;I$7)),0,MAX(0,ROUND((INDEX($E335:$G335,I$5)-SUMIFS(TF_Timer,TF_Tekniker,I$4,TF_Dato,$A335))*2,0)/2)))</f>
        <v/>
      </c>
      <c r="J335">
        <f>IF(OR(J$4="",$A335&gt;TODAY()),0,IF(OR(INDEX($B335:$D335,J$5)="F",AND(J$6&gt;0,$A335&lt;J$6),AND(J$7&gt;0,$A335&gt;J$7)),0,MAX(0,ROUND((INDEX($E335:$G335,J$5)-SUMIFS(TF_Timer,TF_Tekniker,J$4,TF_Dato,$A335))*2,0)/2)))</f>
        <v/>
      </c>
      <c r="K335">
        <f>IF(OR(K$4="",$A335&gt;TODAY()),0,IF(OR(INDEX($B335:$D335,K$5)="F",AND(K$6&gt;0,$A335&lt;K$6),AND(K$7&gt;0,$A335&gt;K$7)),0,MAX(0,ROUND((INDEX($E335:$G335,K$5)-SUMIFS(TF_Timer,TF_Tekniker,K$4,TF_Dato,$A335))*2,0)/2)))</f>
        <v/>
      </c>
      <c r="L335">
        <f>IF(OR(L$4="",$A335&gt;TODAY()),0,IF(OR(INDEX($B335:$D335,L$5)="F",AND(L$6&gt;0,$A335&lt;L$6),AND(L$7&gt;0,$A335&gt;L$7)),0,MAX(0,ROUND((INDEX($E335:$G335,L$5)-SUMIFS(TF_Timer,TF_Tekniker,L$4,TF_Dato,$A335))*2,0)/2)))</f>
        <v/>
      </c>
      <c r="M335">
        <f>IF(OR(M$4="",$A335&gt;TODAY()),0,IF(OR(INDEX($B335:$D335,M$5)="F",AND(M$6&gt;0,$A335&lt;M$6),AND(M$7&gt;0,$A335&gt;M$7)),0,MAX(0,ROUND((INDEX($E335:$G335,M$5)-SUMIFS(TF_Timer,TF_Tekniker,M$4,TF_Dato,$A335))*2,0)/2)))</f>
        <v/>
      </c>
      <c r="N335">
        <f>IF(OR(N$4="",$A335&gt;TODAY()),0,IF(OR(INDEX($B335:$D335,N$5)="F",AND(N$6&gt;0,$A335&lt;N$6),AND(N$7&gt;0,$A335&gt;N$7)),0,MAX(0,ROUND((INDEX($E335:$G335,N$5)-SUMIFS(TF_Timer,TF_Tekniker,N$4,TF_Dato,$A335))*2,0)/2)))</f>
        <v/>
      </c>
      <c r="O335">
        <f>IF(OR(O$4="",$A335&gt;TODAY()),0,IF(OR(INDEX($B335:$D335,O$5)="F",AND(O$6&gt;0,$A335&lt;O$6),AND(O$7&gt;0,$A335&gt;O$7)),0,MAX(0,ROUND((INDEX($E335:$G335,O$5)-SUMIFS(TF_Timer,TF_Tekniker,O$4,TF_Dato,$A335))*2,0)/2)))</f>
        <v/>
      </c>
      <c r="P335">
        <f>IF(OR(P$4="",$A335&gt;TODAY()),0,IF(OR(INDEX($B335:$D335,P$5)="F",AND(P$6&gt;0,$A335&lt;P$6),AND(P$7&gt;0,$A335&gt;P$7)),0,MAX(0,ROUND((INDEX($E335:$G335,P$5)-SUMIFS(TF_Timer,TF_Tekniker,P$4,TF_Dato,$A335))*2,0)/2)))</f>
        <v/>
      </c>
      <c r="Q335">
        <f>IF(OR(Q$4="",$A335&gt;TODAY()),0,IF(OR(INDEX($B335:$D335,Q$5)="F",AND(Q$6&gt;0,$A335&lt;Q$6),AND(Q$7&gt;0,$A335&gt;Q$7)),0,MAX(0,ROUND((INDEX($E335:$G335,Q$5)-SUMIFS(TF_Timer,TF_Tekniker,Q$4,TF_Dato,$A335))*2,0)/2)))</f>
        <v/>
      </c>
      <c r="R335">
        <f>IF(OR(R$4="",$A335&gt;TODAY()),0,IF(OR(INDEX($B335:$D335,R$5)="F",AND(R$6&gt;0,$A335&lt;R$6),AND(R$7&gt;0,$A335&gt;R$7)),0,MAX(0,ROUND((INDEX($E335:$G335,R$5)-SUMIFS(TF_Timer,TF_Tekniker,R$4,TF_Dato,$A335))*2,0)/2)))</f>
        <v/>
      </c>
      <c r="S335">
        <f>IF(OR(S$4="",$A335&gt;TODAY()),0,IF(OR(INDEX($B335:$D335,S$5)="F",AND(S$6&gt;0,$A335&lt;S$6),AND(S$7&gt;0,$A335&gt;S$7)),0,MAX(0,ROUND((INDEX($E335:$G335,S$5)-SUMIFS(TF_Timer,TF_Tekniker,S$4,TF_Dato,$A335))*2,0)/2)))</f>
        <v/>
      </c>
      <c r="T335">
        <f>IF(OR(T$4="",$A335&gt;TODAY()),0,IF(OR(INDEX($B335:$D335,T$5)="F",AND(T$6&gt;0,$A335&lt;T$6),AND(T$7&gt;0,$A335&gt;T$7)),0,MAX(0,ROUND((INDEX($E335:$G335,T$5)-SUMIFS(TF_Timer,TF_Tekniker,T$4,TF_Dato,$A335))*2,0)/2)))</f>
        <v/>
      </c>
      <c r="U335">
        <f>IF(OR(U$4="",$A335&gt;TODAY()),0,IF(OR(INDEX($B335:$D335,U$5)="F",AND(U$6&gt;0,$A335&lt;U$6),AND(U$7&gt;0,$A335&gt;U$7)),0,MAX(0,ROUND((INDEX($E335:$G335,U$5)-SUMIFS(TF_Timer,TF_Tekniker,U$4,TF_Dato,$A335))*2,0)/2)))</f>
        <v/>
      </c>
      <c r="V335">
        <f>IF(OR(V$4="",$A335&gt;TODAY()),0,IF(OR(INDEX($B335:$D335,V$5)="F",AND(V$6&gt;0,$A335&lt;V$6),AND(V$7&gt;0,$A335&gt;V$7)),0,MAX(0,ROUND((INDEX($E335:$G335,V$5)-SUMIFS(TF_Timer,TF_Tekniker,V$4,TF_Dato,$A335))*2,0)/2)))</f>
        <v/>
      </c>
      <c r="W335">
        <f>IF(OR(W$4="",$A335&gt;TODAY()),0,IF(OR(INDEX($B335:$D335,W$5)="F",AND(W$6&gt;0,$A335&lt;W$6),AND(W$7&gt;0,$A335&gt;W$7)),0,MAX(0,ROUND((INDEX($E335:$G335,W$5)-SUMIFS(TF_Timer,TF_Tekniker,W$4,TF_Dato,$A335))*2,0)/2)))</f>
        <v/>
      </c>
      <c r="X335">
        <f>IF(OR(X$4="",$A335&gt;TODAY()),0,IF(OR(INDEX($B335:$D335,X$5)="F",AND(X$6&gt;0,$A335&lt;X$6),AND(X$7&gt;0,$A335&gt;X$7)),0,MAX(0,ROUND((INDEX($E335:$G335,X$5)-SUMIFS(TF_Timer,TF_Tekniker,X$4,TF_Dato,$A335))*2,0)/2)))</f>
        <v/>
      </c>
      <c r="Y335">
        <f>IF(OR(Y$4="",$A335&gt;TODAY()),0,IF(OR(INDEX($B335:$D335,Y$5)="F",AND(Y$6&gt;0,$A335&lt;Y$6),AND(Y$7&gt;0,$A335&gt;Y$7)),0,MAX(0,ROUND((INDEX($E335:$G335,Y$5)-SUMIFS(TF_Timer,TF_Tekniker,Y$4,TF_Dato,$A335))*2,0)/2)))</f>
        <v/>
      </c>
      <c r="Z335">
        <f>IF(OR(Z$4="",$A335&gt;TODAY()),0,IF(OR(INDEX($B335:$D335,Z$5)="F",AND(Z$6&gt;0,$A335&lt;Z$6),AND(Z$7&gt;0,$A335&gt;Z$7)),0,MAX(0,ROUND((INDEX($E335:$G335,Z$5)-SUMIFS(TF_Timer,TF_Tekniker,Z$4,TF_Dato,$A335))*2,0)/2)))</f>
        <v/>
      </c>
      <c r="AA335">
        <f>IF(OR(AA$4="",$A335&gt;TODAY()),0,IF(OR(INDEX($B335:$D335,AA$5)="F",AND(AA$6&gt;0,$A335&lt;AA$6),AND(AA$7&gt;0,$A335&gt;AA$7)),0,MAX(0,ROUND((INDEX($E335:$G335,AA$5)-SUMIFS(TF_Timer,TF_Tekniker,AA$4,TF_Dato,$A335))*2,0)/2)))</f>
        <v/>
      </c>
      <c r="AB335">
        <f>IF(OR(AB$4="",$A335&gt;TODAY()),0,IF(OR(INDEX($B335:$D335,AB$5)="F",AND(AB$6&gt;0,$A335&lt;AB$6),AND(AB$7&gt;0,$A335&gt;AB$7)),0,MAX(0,ROUND((INDEX($E335:$G335,AB$5)-SUMIFS(TF_Timer,TF_Tekniker,AB$4,TF_Dato,$A335))*2,0)/2)))</f>
        <v/>
      </c>
      <c r="AC335">
        <f>IF(OR(AC$4="",$A335&gt;TODAY()),0,IF(OR(INDEX($B335:$D335,AC$5)="F",AND(AC$6&gt;0,$A335&lt;AC$6),AND(AC$7&gt;0,$A335&gt;AC$7)),0,MAX(0,ROUND((INDEX($E335:$G335,AC$5)-SUMIFS(TF_Timer,TF_Tekniker,AC$4,TF_Dato,$A335))*2,0)/2)))</f>
        <v/>
      </c>
      <c r="AD335">
        <f>IF(OR(AD$4="",$A335&gt;TODAY()),0,IF(OR(INDEX($B335:$D335,AD$5)="F",AND(AD$6&gt;0,$A335&lt;AD$6),AND(AD$7&gt;0,$A335&gt;AD$7)),0,MAX(0,ROUND((INDEX($E335:$G335,AD$5)-SUMIFS(TF_Timer,TF_Tekniker,AD$4,TF_Dato,$A335))*2,0)/2)))</f>
        <v/>
      </c>
      <c r="AE335">
        <f>IF(OR(AE$4="",$A335&gt;TODAY()),0,IF(OR(INDEX($B335:$D335,AE$5)="F",AND(AE$6&gt;0,$A335&lt;AE$6),AND(AE$7&gt;0,$A335&gt;AE$7)),0,MAX(0,ROUND((INDEX($E335:$G335,AE$5)-SUMIFS(TF_Timer,TF_Tekniker,AE$4,TF_Dato,$A335))*2,0)/2)))</f>
        <v/>
      </c>
      <c r="AF335">
        <f>IF(OR(AF$4="",$A335&gt;TODAY()),0,IF(OR(INDEX($B335:$D335,AF$5)="F",AND(AF$6&gt;0,$A335&lt;AF$6),AND(AF$7&gt;0,$A335&gt;AF$7)),0,MAX(0,ROUND((INDEX($E335:$G335,AF$5)-SUMIFS(TF_Timer,TF_Tekniker,AF$4,TF_Dato,$A335))*2,0)/2)))</f>
        <v/>
      </c>
      <c r="AG335">
        <f>IF(OR(AG$4="",$A335&gt;TODAY()),0,IF(OR(INDEX($B335:$D335,AG$5)="F",AND(AG$6&gt;0,$A335&lt;AG$6),AND(AG$7&gt;0,$A335&gt;AG$7)),0,MAX(0,ROUND((INDEX($E335:$G335,AG$5)-SUMIFS(TF_Timer,TF_Tekniker,AG$4,TF_Dato,$A335))*2,0)/2)))</f>
        <v/>
      </c>
      <c r="AH335">
        <f>IF(OR(AH$4="",$A335&gt;TODAY()),0,IF(OR(INDEX($B335:$D335,AH$5)="F",AND(AH$6&gt;0,$A335&lt;AH$6),AND(AH$7&gt;0,$A335&gt;AH$7)),0,MAX(0,ROUND((INDEX($E335:$G335,AH$5)-SUMIFS(TF_Timer,TF_Tekniker,AH$4,TF_Dato,$A335))*2,0)/2)))</f>
        <v/>
      </c>
      <c r="AI335">
        <f>IF(OR(AI$4="",$A335&gt;TODAY()),0,IF(OR(INDEX($B335:$D335,AI$5)="F",AND(AI$6&gt;0,$A335&lt;AI$6),AND(AI$7&gt;0,$A335&gt;AI$7)),0,MAX(0,ROUND((INDEX($E335:$G335,AI$5)-SUMIFS(TF_Timer,TF_Tekniker,AI$4,TF_Dato,$A335))*2,0)/2)))</f>
        <v/>
      </c>
      <c r="AJ335">
        <f>IF(OR(AJ$4="",$A335&gt;TODAY()),0,IF(OR(INDEX($B335:$D335,AJ$5)="F",AND(AJ$6&gt;0,$A335&lt;AJ$6),AND(AJ$7&gt;0,$A335&gt;AJ$7)),0,MAX(0,ROUND((INDEX($E335:$G335,AJ$5)-SUMIFS(TF_Timer,TF_Tekniker,AJ$4,TF_Dato,$A335))*2,0)/2)))</f>
        <v/>
      </c>
      <c r="AK335">
        <f>IF(OR(AK$4="",$A335&gt;TODAY()),0,IF(OR(INDEX($B335:$D335,AK$5)="F",AND(AK$6&gt;0,$A335&lt;AK$6),AND(AK$7&gt;0,$A335&gt;AK$7)),0,MAX(0,ROUND((INDEX($E335:$G335,AK$5)-SUMIFS(TF_Timer,TF_Tekniker,AK$4,TF_Dato,$A335))*2,0)/2)))</f>
        <v/>
      </c>
      <c r="AL335">
        <f>IF(OR(AL$4="",$A335&gt;TODAY()),0,IF(OR(INDEX($B335:$D335,AL$5)="F",AND(AL$6&gt;0,$A335&lt;AL$6),AND(AL$7&gt;0,$A335&gt;AL$7)),0,MAX(0,ROUND((INDEX($E335:$G335,AL$5)-SUMIFS(TF_Timer,TF_Tekniker,AL$4,TF_Dato,$A335))*2,0)/2)))</f>
        <v/>
      </c>
      <c r="AM335">
        <f>IF(OR(AM$4="",$A335&gt;TODAY()),0,IF(OR(INDEX($B335:$D335,AM$5)="F",AND(AM$6&gt;0,$A335&lt;AM$6),AND(AM$7&gt;0,$A335&gt;AM$7)),0,MAX(0,ROUND((INDEX($E335:$G335,AM$5)-SUMIFS(TF_Timer,TF_Tekniker,AM$4,TF_Dato,$A335))*2,0)/2)))</f>
        <v/>
      </c>
      <c r="AN335">
        <f>IF(OR(AN$4="",$A335&gt;TODAY()),0,IF(OR(INDEX($B335:$D335,AN$5)="F",AND(AN$6&gt;0,$A335&lt;AN$6),AND(AN$7&gt;0,$A335&gt;AN$7)),0,MAX(0,ROUND((INDEX($E335:$G335,AN$5)-SUMIFS(TF_Timer,TF_Tekniker,AN$4,TF_Dato,$A335))*2,0)/2)))</f>
        <v/>
      </c>
      <c r="AO335">
        <f>IF(OR(AO$4="",$A335&gt;TODAY()),0,IF(OR(INDEX($B335:$D335,AO$5)="F",AND(AO$6&gt;0,$A335&lt;AO$6),AND(AO$7&gt;0,$A335&gt;AO$7)),0,MAX(0,ROUND((INDEX($E335:$G335,AO$5)-SUMIFS(TF_Timer,TF_Tekniker,AO$4,TF_Dato,$A335))*2,0)/2)))</f>
        <v/>
      </c>
      <c r="AP335">
        <f>IF(OR(AP$4="",$A335&gt;TODAY()),0,IF(OR(INDEX($B335:$D335,AP$5)="F",AND(AP$6&gt;0,$A335&lt;AP$6),AND(AP$7&gt;0,$A335&gt;AP$7)),0,MAX(0,ROUND((INDEX($E335:$G335,AP$5)-SUMIFS(TF_Timer,TF_Tekniker,AP$4,TF_Dato,$A335))*2,0)/2)))</f>
        <v/>
      </c>
      <c r="AQ335">
        <f>IF(OR(AQ$4="",$A335&gt;TODAY()),0,IF(OR(INDEX($B335:$D335,AQ$5)="F",AND(AQ$6&gt;0,$A335&lt;AQ$6),AND(AQ$7&gt;0,$A335&gt;AQ$7)),0,MAX(0,ROUND((INDEX($E335:$G335,AQ$5)-SUMIFS(TF_Timer,TF_Tekniker,AQ$4,TF_Dato,$A335))*2,0)/2)))</f>
        <v/>
      </c>
      <c r="AR335">
        <f>IF(OR(AR$4="",$A335&gt;TODAY()),0,IF(OR(INDEX($B335:$D335,AR$5)="F",AND(AR$6&gt;0,$A335&lt;AR$6),AND(AR$7&gt;0,$A335&gt;AR$7)),0,MAX(0,ROUND((INDEX($E335:$G335,AR$5)-SUMIFS(TF_Timer,TF_Tekniker,AR$4,TF_Dato,$A335))*2,0)/2)))</f>
        <v/>
      </c>
      <c r="AS335">
        <f>IF(OR(AS$4="",$A335&gt;TODAY()),0,IF(OR(INDEX($B335:$D335,AS$5)="F",AND(AS$6&gt;0,$A335&lt;AS$6),AND(AS$7&gt;0,$A335&gt;AS$7)),0,MAX(0,ROUND((INDEX($E335:$G335,AS$5)-SUMIFS(TF_Timer,TF_Tekniker,AS$4,TF_Dato,$A335))*2,0)/2)))</f>
        <v/>
      </c>
      <c r="AT335">
        <f>IF(OR(AT$4="",$A335&gt;TODAY()),0,IF(OR(INDEX($B335:$D335,AT$5)="F",AND(AT$6&gt;0,$A335&lt;AT$6),AND(AT$7&gt;0,$A335&gt;AT$7)),0,MAX(0,ROUND((INDEX($E335:$G335,AT$5)-SUMIFS(TF_Timer,TF_Tekniker,AT$4,TF_Dato,$A335))*2,0)/2)))</f>
        <v/>
      </c>
      <c r="AU335">
        <f>IF(OR(AU$4="",$A335&gt;TODAY()),0,IF(OR(INDEX($B335:$D335,AU$5)="F",AND(AU$6&gt;0,$A335&lt;AU$6),AND(AU$7&gt;0,$A335&gt;AU$7)),0,MAX(0,ROUND((INDEX($E335:$G335,AU$5)-SUMIFS(TF_Timer,TF_Tekniker,AU$4,TF_Dato,$A335))*2,0)/2)))</f>
        <v/>
      </c>
      <c r="AV335">
        <f>IF(OR(AV$4="",$A335&gt;TODAY()),0,IF(OR(INDEX($B335:$D335,AV$5)="F",AND(AV$6&gt;0,$A335&lt;AV$6),AND(AV$7&gt;0,$A335&gt;AV$7)),0,MAX(0,ROUND((INDEX($E335:$G335,AV$5)-SUMIFS(TF_Timer,TF_Tekniker,AV$4,TF_Dato,$A335))*2,0)/2)))</f>
        <v/>
      </c>
      <c r="AW335">
        <f>IF(OR(AW$4="",$A335&gt;TODAY()),0,IF(OR(INDEX($B335:$D335,AW$5)="F",AND(AW$6&gt;0,$A335&lt;AW$6),AND(AW$7&gt;0,$A335&gt;AW$7)),0,MAX(0,ROUND((INDEX($E335:$G335,AW$5)-SUMIFS(TF_Timer,TF_Tekniker,AW$4,TF_Dato,$A335))*2,0)/2)))</f>
        <v/>
      </c>
      <c r="AX335">
        <f>IF(OR(AX$4="",$A335&gt;TODAY()),0,IF(OR(INDEX($B335:$D335,AX$5)="F",AND(AX$6&gt;0,$A335&lt;AX$6),AND(AX$7&gt;0,$A335&gt;AX$7)),0,MAX(0,ROUND((INDEX($E335:$G335,AX$5)-SUMIFS(TF_Timer,TF_Tekniker,AX$4,TF_Dato,$A335))*2,0)/2)))</f>
        <v/>
      </c>
      <c r="AY335">
        <f>IF(OR(AY$4="",$A335&gt;TODAY()),0,IF(OR(INDEX($B335:$D335,AY$5)="F",AND(AY$6&gt;0,$A335&lt;AY$6),AND(AY$7&gt;0,$A335&gt;AY$7)),0,MAX(0,ROUND((INDEX($E335:$G335,AY$5)-SUMIFS(TF_Timer,TF_Tekniker,AY$4,TF_Dato,$A335))*2,0)/2)))</f>
        <v/>
      </c>
      <c r="AZ335">
        <f>IF(OR(AZ$4="",$A335&gt;TODAY()),0,IF(OR(INDEX($B335:$D335,AZ$5)="F",AND(AZ$6&gt;0,$A335&lt;AZ$6),AND(AZ$7&gt;0,$A335&gt;AZ$7)),0,MAX(0,ROUND((INDEX($E335:$G335,AZ$5)-SUMIFS(TF_Timer,TF_Tekniker,AZ$4,TF_Dato,$A335))*2,0)/2)))</f>
        <v/>
      </c>
      <c r="BA335">
        <f>IF(OR(BA$4="",$A335&gt;TODAY()),0,IF(OR(INDEX($B335:$D335,BA$5)="F",AND(BA$6&gt;0,$A335&lt;BA$6),AND(BA$7&gt;0,$A335&gt;BA$7)),0,MAX(0,ROUND((INDEX($E335:$G335,BA$5)-SUMIFS(TF_Timer,TF_Tekniker,BA$4,TF_Dato,$A335))*2,0)/2)))</f>
        <v/>
      </c>
      <c r="BB335">
        <f>IF(OR(BB$4="",$A335&gt;TODAY()),0,IF(OR(INDEX($B335:$D335,BB$5)="F",AND(BB$6&gt;0,$A335&lt;BB$6),AND(BB$7&gt;0,$A335&gt;BB$7)),0,MAX(0,ROUND((INDEX($E335:$G335,BB$5)-SUMIFS(TF_Timer,TF_Tekniker,BB$4,TF_Dato,$A335))*2,0)/2)))</f>
        <v/>
      </c>
      <c r="BC335">
        <f>IF(OR(BC$4="",$A335&gt;TODAY()),0,IF(OR(INDEX($B335:$D335,BC$5)="F",AND(BC$6&gt;0,$A335&lt;BC$6),AND(BC$7&gt;0,$A335&gt;BC$7)),0,MAX(0,ROUND((INDEX($E335:$G335,BC$5)-SUMIFS(TF_Timer,TF_Tekniker,BC$4,TF_Dato,$A335))*2,0)/2)))</f>
        <v/>
      </c>
      <c r="BD335">
        <f>IF(OR(BD$4="",$A335&gt;TODAY()),0,IF(OR(INDEX($B335:$D335,BD$5)="F",AND(BD$6&gt;0,$A335&lt;BD$6),AND(BD$7&gt;0,$A335&gt;BD$7)),0,MAX(0,ROUND((INDEX($E335:$G335,BD$5)-SUMIFS(TF_Timer,TF_Tekniker,BD$4,TF_Dato,$A335))*2,0)/2)))</f>
        <v/>
      </c>
      <c r="BE335">
        <f>IF(OR(BE$4="",$A335&gt;TODAY()),0,IF(OR(INDEX($B335:$D335,BE$5)="F",AND(BE$6&gt;0,$A335&lt;BE$6),AND(BE$7&gt;0,$A335&gt;BE$7)),0,MAX(0,ROUND((INDEX($E335:$G335,BE$5)-SUMIFS(TF_Timer,TF_Tekniker,BE$4,TF_Dato,$A335))*2,0)/2)))</f>
        <v/>
      </c>
      <c r="BF335">
        <f>IF(OR(BF$4="",$A335&gt;TODAY()),0,IF(OR(INDEX($B335:$D335,BF$5)="F",AND(BF$6&gt;0,$A335&lt;BF$6),AND(BF$7&gt;0,$A335&gt;BF$7)),0,MAX(0,ROUND((INDEX($E335:$G335,BF$5)-SUMIFS(TF_Timer,TF_Tekniker,BF$4,TF_Dato,$A335))*2,0)/2)))</f>
        <v/>
      </c>
      <c r="BG335">
        <f>IF(OR(BG$4="",$A335&gt;TODAY()),0,IF(OR(INDEX($B335:$D335,BG$5)="F",AND(BG$6&gt;0,$A335&lt;BG$6),AND(BG$7&gt;0,$A335&gt;BG$7)),0,MAX(0,ROUND((INDEX($E335:$G335,BG$5)-SUMIFS(TF_Timer,TF_Tekniker,BG$4,TF_Dato,$A335))*2,0)/2)))</f>
        <v/>
      </c>
      <c r="BH335">
        <f>IF(OR(BH$4="",$A335&gt;TODAY()),0,IF(OR(INDEX($B335:$D335,BH$5)="F",AND(BH$6&gt;0,$A335&lt;BH$6),AND(BH$7&gt;0,$A335&gt;BH$7)),0,MAX(0,ROUND((INDEX($E335:$G335,BH$5)-SUMIFS(TF_Timer,TF_Tekniker,BH$4,TF_Dato,$A335))*2,0)/2)))</f>
        <v/>
      </c>
      <c r="BI335">
        <f>IF(OR(BI$4="",$A335&gt;TODAY()),0,IF(OR(INDEX($B335:$D335,BI$5)="F",AND(BI$6&gt;0,$A335&lt;BI$6),AND(BI$7&gt;0,$A335&gt;BI$7)),0,MAX(0,ROUND((INDEX($E335:$G335,BI$5)-SUMIFS(TF_Timer,TF_Tekniker,BI$4,TF_Dato,$A335))*2,0)/2)))</f>
        <v/>
      </c>
    </row>
    <row r="336">
      <c r="A336" s="64">
        <f>A335+1</f>
        <v/>
      </c>
      <c r="B336">
        <f>IF(MOD($A336-INDEX(SkiftStart,1),Syklus)&lt;DagK,"K",IF(MOD($A336-INDEX(SkiftStart,1),Syklus)&lt;DagK+DagH,"H",IF(MOD($A336-INDEX(SkiftStart,1),Syklus)&lt;DagK+DagH+DagD,"D","F")))</f>
        <v/>
      </c>
      <c r="C336">
        <f>IF(MOD($A336-INDEX(SkiftStart,2),Syklus)&lt;DagK,"K",IF(MOD($A336-INDEX(SkiftStart,2),Syklus)&lt;DagK+DagH,"H",IF(MOD($A336-INDEX(SkiftStart,2),Syklus)&lt;DagK+DagH+DagD,"D","F")))</f>
        <v/>
      </c>
      <c r="D336">
        <f>IF(MOD($A336-INDEX(SkiftStart,3),Syklus)&lt;DagK,"K",IF(MOD($A336-INDEX(SkiftStart,3),Syklus)&lt;DagK+DagH,"H",IF(MOD($A336-INDEX(SkiftStart,3),Syklus)&lt;DagK+DagH+DagD,"D","F")))</f>
        <v/>
      </c>
      <c r="E336">
        <f>IF(B336="F",0,IF(WEEKDAY($A336,2)=5,INDEX(TimerFr,MATCH(B336,FaseKode,0)),INDEX(TimerMT,MATCH(B336,FaseKode,0))))</f>
        <v/>
      </c>
      <c r="F336">
        <f>IF(C336="F",0,IF(WEEKDAY($A336,2)=5,INDEX(TimerFr,MATCH(C336,FaseKode,0)),INDEX(TimerMT,MATCH(C336,FaseKode,0))))</f>
        <v/>
      </c>
      <c r="G336">
        <f>IF(D336="F",0,IF(WEEKDAY($A336,2)=5,INDEX(TimerFr,MATCH(D336,FaseKode,0)),INDEX(TimerMT,MATCH(D336,FaseKode,0))))</f>
        <v/>
      </c>
      <c r="H336">
        <f>IF(OR(H$4="",$A336&gt;TODAY()),0,IF(OR(INDEX($B336:$D336,H$5)="F",AND(H$6&gt;0,$A336&lt;H$6),AND(H$7&gt;0,$A336&gt;H$7)),0,MAX(0,ROUND((INDEX($E336:$G336,H$5)-SUMIFS(TF_Timer,TF_Tekniker,H$4,TF_Dato,$A336))*2,0)/2)))</f>
        <v/>
      </c>
      <c r="I336">
        <f>IF(OR(I$4="",$A336&gt;TODAY()),0,IF(OR(INDEX($B336:$D336,I$5)="F",AND(I$6&gt;0,$A336&lt;I$6),AND(I$7&gt;0,$A336&gt;I$7)),0,MAX(0,ROUND((INDEX($E336:$G336,I$5)-SUMIFS(TF_Timer,TF_Tekniker,I$4,TF_Dato,$A336))*2,0)/2)))</f>
        <v/>
      </c>
      <c r="J336">
        <f>IF(OR(J$4="",$A336&gt;TODAY()),0,IF(OR(INDEX($B336:$D336,J$5)="F",AND(J$6&gt;0,$A336&lt;J$6),AND(J$7&gt;0,$A336&gt;J$7)),0,MAX(0,ROUND((INDEX($E336:$G336,J$5)-SUMIFS(TF_Timer,TF_Tekniker,J$4,TF_Dato,$A336))*2,0)/2)))</f>
        <v/>
      </c>
      <c r="K336">
        <f>IF(OR(K$4="",$A336&gt;TODAY()),0,IF(OR(INDEX($B336:$D336,K$5)="F",AND(K$6&gt;0,$A336&lt;K$6),AND(K$7&gt;0,$A336&gt;K$7)),0,MAX(0,ROUND((INDEX($E336:$G336,K$5)-SUMIFS(TF_Timer,TF_Tekniker,K$4,TF_Dato,$A336))*2,0)/2)))</f>
        <v/>
      </c>
      <c r="L336">
        <f>IF(OR(L$4="",$A336&gt;TODAY()),0,IF(OR(INDEX($B336:$D336,L$5)="F",AND(L$6&gt;0,$A336&lt;L$6),AND(L$7&gt;0,$A336&gt;L$7)),0,MAX(0,ROUND((INDEX($E336:$G336,L$5)-SUMIFS(TF_Timer,TF_Tekniker,L$4,TF_Dato,$A336))*2,0)/2)))</f>
        <v/>
      </c>
      <c r="M336">
        <f>IF(OR(M$4="",$A336&gt;TODAY()),0,IF(OR(INDEX($B336:$D336,M$5)="F",AND(M$6&gt;0,$A336&lt;M$6),AND(M$7&gt;0,$A336&gt;M$7)),0,MAX(0,ROUND((INDEX($E336:$G336,M$5)-SUMIFS(TF_Timer,TF_Tekniker,M$4,TF_Dato,$A336))*2,0)/2)))</f>
        <v/>
      </c>
      <c r="N336">
        <f>IF(OR(N$4="",$A336&gt;TODAY()),0,IF(OR(INDEX($B336:$D336,N$5)="F",AND(N$6&gt;0,$A336&lt;N$6),AND(N$7&gt;0,$A336&gt;N$7)),0,MAX(0,ROUND((INDEX($E336:$G336,N$5)-SUMIFS(TF_Timer,TF_Tekniker,N$4,TF_Dato,$A336))*2,0)/2)))</f>
        <v/>
      </c>
      <c r="O336">
        <f>IF(OR(O$4="",$A336&gt;TODAY()),0,IF(OR(INDEX($B336:$D336,O$5)="F",AND(O$6&gt;0,$A336&lt;O$6),AND(O$7&gt;0,$A336&gt;O$7)),0,MAX(0,ROUND((INDEX($E336:$G336,O$5)-SUMIFS(TF_Timer,TF_Tekniker,O$4,TF_Dato,$A336))*2,0)/2)))</f>
        <v/>
      </c>
      <c r="P336">
        <f>IF(OR(P$4="",$A336&gt;TODAY()),0,IF(OR(INDEX($B336:$D336,P$5)="F",AND(P$6&gt;0,$A336&lt;P$6),AND(P$7&gt;0,$A336&gt;P$7)),0,MAX(0,ROUND((INDEX($E336:$G336,P$5)-SUMIFS(TF_Timer,TF_Tekniker,P$4,TF_Dato,$A336))*2,0)/2)))</f>
        <v/>
      </c>
      <c r="Q336">
        <f>IF(OR(Q$4="",$A336&gt;TODAY()),0,IF(OR(INDEX($B336:$D336,Q$5)="F",AND(Q$6&gt;0,$A336&lt;Q$6),AND(Q$7&gt;0,$A336&gt;Q$7)),0,MAX(0,ROUND((INDEX($E336:$G336,Q$5)-SUMIFS(TF_Timer,TF_Tekniker,Q$4,TF_Dato,$A336))*2,0)/2)))</f>
        <v/>
      </c>
      <c r="R336">
        <f>IF(OR(R$4="",$A336&gt;TODAY()),0,IF(OR(INDEX($B336:$D336,R$5)="F",AND(R$6&gt;0,$A336&lt;R$6),AND(R$7&gt;0,$A336&gt;R$7)),0,MAX(0,ROUND((INDEX($E336:$G336,R$5)-SUMIFS(TF_Timer,TF_Tekniker,R$4,TF_Dato,$A336))*2,0)/2)))</f>
        <v/>
      </c>
      <c r="S336">
        <f>IF(OR(S$4="",$A336&gt;TODAY()),0,IF(OR(INDEX($B336:$D336,S$5)="F",AND(S$6&gt;0,$A336&lt;S$6),AND(S$7&gt;0,$A336&gt;S$7)),0,MAX(0,ROUND((INDEX($E336:$G336,S$5)-SUMIFS(TF_Timer,TF_Tekniker,S$4,TF_Dato,$A336))*2,0)/2)))</f>
        <v/>
      </c>
      <c r="T336">
        <f>IF(OR(T$4="",$A336&gt;TODAY()),0,IF(OR(INDEX($B336:$D336,T$5)="F",AND(T$6&gt;0,$A336&lt;T$6),AND(T$7&gt;0,$A336&gt;T$7)),0,MAX(0,ROUND((INDEX($E336:$G336,T$5)-SUMIFS(TF_Timer,TF_Tekniker,T$4,TF_Dato,$A336))*2,0)/2)))</f>
        <v/>
      </c>
      <c r="U336">
        <f>IF(OR(U$4="",$A336&gt;TODAY()),0,IF(OR(INDEX($B336:$D336,U$5)="F",AND(U$6&gt;0,$A336&lt;U$6),AND(U$7&gt;0,$A336&gt;U$7)),0,MAX(0,ROUND((INDEX($E336:$G336,U$5)-SUMIFS(TF_Timer,TF_Tekniker,U$4,TF_Dato,$A336))*2,0)/2)))</f>
        <v/>
      </c>
      <c r="V336">
        <f>IF(OR(V$4="",$A336&gt;TODAY()),0,IF(OR(INDEX($B336:$D336,V$5)="F",AND(V$6&gt;0,$A336&lt;V$6),AND(V$7&gt;0,$A336&gt;V$7)),0,MAX(0,ROUND((INDEX($E336:$G336,V$5)-SUMIFS(TF_Timer,TF_Tekniker,V$4,TF_Dato,$A336))*2,0)/2)))</f>
        <v/>
      </c>
      <c r="W336">
        <f>IF(OR(W$4="",$A336&gt;TODAY()),0,IF(OR(INDEX($B336:$D336,W$5)="F",AND(W$6&gt;0,$A336&lt;W$6),AND(W$7&gt;0,$A336&gt;W$7)),0,MAX(0,ROUND((INDEX($E336:$G336,W$5)-SUMIFS(TF_Timer,TF_Tekniker,W$4,TF_Dato,$A336))*2,0)/2)))</f>
        <v/>
      </c>
      <c r="X336">
        <f>IF(OR(X$4="",$A336&gt;TODAY()),0,IF(OR(INDEX($B336:$D336,X$5)="F",AND(X$6&gt;0,$A336&lt;X$6),AND(X$7&gt;0,$A336&gt;X$7)),0,MAX(0,ROUND((INDEX($E336:$G336,X$5)-SUMIFS(TF_Timer,TF_Tekniker,X$4,TF_Dato,$A336))*2,0)/2)))</f>
        <v/>
      </c>
      <c r="Y336">
        <f>IF(OR(Y$4="",$A336&gt;TODAY()),0,IF(OR(INDEX($B336:$D336,Y$5)="F",AND(Y$6&gt;0,$A336&lt;Y$6),AND(Y$7&gt;0,$A336&gt;Y$7)),0,MAX(0,ROUND((INDEX($E336:$G336,Y$5)-SUMIFS(TF_Timer,TF_Tekniker,Y$4,TF_Dato,$A336))*2,0)/2)))</f>
        <v/>
      </c>
      <c r="Z336">
        <f>IF(OR(Z$4="",$A336&gt;TODAY()),0,IF(OR(INDEX($B336:$D336,Z$5)="F",AND(Z$6&gt;0,$A336&lt;Z$6),AND(Z$7&gt;0,$A336&gt;Z$7)),0,MAX(0,ROUND((INDEX($E336:$G336,Z$5)-SUMIFS(TF_Timer,TF_Tekniker,Z$4,TF_Dato,$A336))*2,0)/2)))</f>
        <v/>
      </c>
      <c r="AA336">
        <f>IF(OR(AA$4="",$A336&gt;TODAY()),0,IF(OR(INDEX($B336:$D336,AA$5)="F",AND(AA$6&gt;0,$A336&lt;AA$6),AND(AA$7&gt;0,$A336&gt;AA$7)),0,MAX(0,ROUND((INDEX($E336:$G336,AA$5)-SUMIFS(TF_Timer,TF_Tekniker,AA$4,TF_Dato,$A336))*2,0)/2)))</f>
        <v/>
      </c>
      <c r="AB336">
        <f>IF(OR(AB$4="",$A336&gt;TODAY()),0,IF(OR(INDEX($B336:$D336,AB$5)="F",AND(AB$6&gt;0,$A336&lt;AB$6),AND(AB$7&gt;0,$A336&gt;AB$7)),0,MAX(0,ROUND((INDEX($E336:$G336,AB$5)-SUMIFS(TF_Timer,TF_Tekniker,AB$4,TF_Dato,$A336))*2,0)/2)))</f>
        <v/>
      </c>
      <c r="AC336">
        <f>IF(OR(AC$4="",$A336&gt;TODAY()),0,IF(OR(INDEX($B336:$D336,AC$5)="F",AND(AC$6&gt;0,$A336&lt;AC$6),AND(AC$7&gt;0,$A336&gt;AC$7)),0,MAX(0,ROUND((INDEX($E336:$G336,AC$5)-SUMIFS(TF_Timer,TF_Tekniker,AC$4,TF_Dato,$A336))*2,0)/2)))</f>
        <v/>
      </c>
      <c r="AD336">
        <f>IF(OR(AD$4="",$A336&gt;TODAY()),0,IF(OR(INDEX($B336:$D336,AD$5)="F",AND(AD$6&gt;0,$A336&lt;AD$6),AND(AD$7&gt;0,$A336&gt;AD$7)),0,MAX(0,ROUND((INDEX($E336:$G336,AD$5)-SUMIFS(TF_Timer,TF_Tekniker,AD$4,TF_Dato,$A336))*2,0)/2)))</f>
        <v/>
      </c>
      <c r="AE336">
        <f>IF(OR(AE$4="",$A336&gt;TODAY()),0,IF(OR(INDEX($B336:$D336,AE$5)="F",AND(AE$6&gt;0,$A336&lt;AE$6),AND(AE$7&gt;0,$A336&gt;AE$7)),0,MAX(0,ROUND((INDEX($E336:$G336,AE$5)-SUMIFS(TF_Timer,TF_Tekniker,AE$4,TF_Dato,$A336))*2,0)/2)))</f>
        <v/>
      </c>
      <c r="AF336">
        <f>IF(OR(AF$4="",$A336&gt;TODAY()),0,IF(OR(INDEX($B336:$D336,AF$5)="F",AND(AF$6&gt;0,$A336&lt;AF$6),AND(AF$7&gt;0,$A336&gt;AF$7)),0,MAX(0,ROUND((INDEX($E336:$G336,AF$5)-SUMIFS(TF_Timer,TF_Tekniker,AF$4,TF_Dato,$A336))*2,0)/2)))</f>
        <v/>
      </c>
      <c r="AG336">
        <f>IF(OR(AG$4="",$A336&gt;TODAY()),0,IF(OR(INDEX($B336:$D336,AG$5)="F",AND(AG$6&gt;0,$A336&lt;AG$6),AND(AG$7&gt;0,$A336&gt;AG$7)),0,MAX(0,ROUND((INDEX($E336:$G336,AG$5)-SUMIFS(TF_Timer,TF_Tekniker,AG$4,TF_Dato,$A336))*2,0)/2)))</f>
        <v/>
      </c>
      <c r="AH336">
        <f>IF(OR(AH$4="",$A336&gt;TODAY()),0,IF(OR(INDEX($B336:$D336,AH$5)="F",AND(AH$6&gt;0,$A336&lt;AH$6),AND(AH$7&gt;0,$A336&gt;AH$7)),0,MAX(0,ROUND((INDEX($E336:$G336,AH$5)-SUMIFS(TF_Timer,TF_Tekniker,AH$4,TF_Dato,$A336))*2,0)/2)))</f>
        <v/>
      </c>
      <c r="AI336">
        <f>IF(OR(AI$4="",$A336&gt;TODAY()),0,IF(OR(INDEX($B336:$D336,AI$5)="F",AND(AI$6&gt;0,$A336&lt;AI$6),AND(AI$7&gt;0,$A336&gt;AI$7)),0,MAX(0,ROUND((INDEX($E336:$G336,AI$5)-SUMIFS(TF_Timer,TF_Tekniker,AI$4,TF_Dato,$A336))*2,0)/2)))</f>
        <v/>
      </c>
      <c r="AJ336">
        <f>IF(OR(AJ$4="",$A336&gt;TODAY()),0,IF(OR(INDEX($B336:$D336,AJ$5)="F",AND(AJ$6&gt;0,$A336&lt;AJ$6),AND(AJ$7&gt;0,$A336&gt;AJ$7)),0,MAX(0,ROUND((INDEX($E336:$G336,AJ$5)-SUMIFS(TF_Timer,TF_Tekniker,AJ$4,TF_Dato,$A336))*2,0)/2)))</f>
        <v/>
      </c>
      <c r="AK336">
        <f>IF(OR(AK$4="",$A336&gt;TODAY()),0,IF(OR(INDEX($B336:$D336,AK$5)="F",AND(AK$6&gt;0,$A336&lt;AK$6),AND(AK$7&gt;0,$A336&gt;AK$7)),0,MAX(0,ROUND((INDEX($E336:$G336,AK$5)-SUMIFS(TF_Timer,TF_Tekniker,AK$4,TF_Dato,$A336))*2,0)/2)))</f>
        <v/>
      </c>
      <c r="AL336">
        <f>IF(OR(AL$4="",$A336&gt;TODAY()),0,IF(OR(INDEX($B336:$D336,AL$5)="F",AND(AL$6&gt;0,$A336&lt;AL$6),AND(AL$7&gt;0,$A336&gt;AL$7)),0,MAX(0,ROUND((INDEX($E336:$G336,AL$5)-SUMIFS(TF_Timer,TF_Tekniker,AL$4,TF_Dato,$A336))*2,0)/2)))</f>
        <v/>
      </c>
      <c r="AM336">
        <f>IF(OR(AM$4="",$A336&gt;TODAY()),0,IF(OR(INDEX($B336:$D336,AM$5)="F",AND(AM$6&gt;0,$A336&lt;AM$6),AND(AM$7&gt;0,$A336&gt;AM$7)),0,MAX(0,ROUND((INDEX($E336:$G336,AM$5)-SUMIFS(TF_Timer,TF_Tekniker,AM$4,TF_Dato,$A336))*2,0)/2)))</f>
        <v/>
      </c>
      <c r="AN336">
        <f>IF(OR(AN$4="",$A336&gt;TODAY()),0,IF(OR(INDEX($B336:$D336,AN$5)="F",AND(AN$6&gt;0,$A336&lt;AN$6),AND(AN$7&gt;0,$A336&gt;AN$7)),0,MAX(0,ROUND((INDEX($E336:$G336,AN$5)-SUMIFS(TF_Timer,TF_Tekniker,AN$4,TF_Dato,$A336))*2,0)/2)))</f>
        <v/>
      </c>
      <c r="AO336">
        <f>IF(OR(AO$4="",$A336&gt;TODAY()),0,IF(OR(INDEX($B336:$D336,AO$5)="F",AND(AO$6&gt;0,$A336&lt;AO$6),AND(AO$7&gt;0,$A336&gt;AO$7)),0,MAX(0,ROUND((INDEX($E336:$G336,AO$5)-SUMIFS(TF_Timer,TF_Tekniker,AO$4,TF_Dato,$A336))*2,0)/2)))</f>
        <v/>
      </c>
      <c r="AP336">
        <f>IF(OR(AP$4="",$A336&gt;TODAY()),0,IF(OR(INDEX($B336:$D336,AP$5)="F",AND(AP$6&gt;0,$A336&lt;AP$6),AND(AP$7&gt;0,$A336&gt;AP$7)),0,MAX(0,ROUND((INDEX($E336:$G336,AP$5)-SUMIFS(TF_Timer,TF_Tekniker,AP$4,TF_Dato,$A336))*2,0)/2)))</f>
        <v/>
      </c>
      <c r="AQ336">
        <f>IF(OR(AQ$4="",$A336&gt;TODAY()),0,IF(OR(INDEX($B336:$D336,AQ$5)="F",AND(AQ$6&gt;0,$A336&lt;AQ$6),AND(AQ$7&gt;0,$A336&gt;AQ$7)),0,MAX(0,ROUND((INDEX($E336:$G336,AQ$5)-SUMIFS(TF_Timer,TF_Tekniker,AQ$4,TF_Dato,$A336))*2,0)/2)))</f>
        <v/>
      </c>
      <c r="AR336">
        <f>IF(OR(AR$4="",$A336&gt;TODAY()),0,IF(OR(INDEX($B336:$D336,AR$5)="F",AND(AR$6&gt;0,$A336&lt;AR$6),AND(AR$7&gt;0,$A336&gt;AR$7)),0,MAX(0,ROUND((INDEX($E336:$G336,AR$5)-SUMIFS(TF_Timer,TF_Tekniker,AR$4,TF_Dato,$A336))*2,0)/2)))</f>
        <v/>
      </c>
      <c r="AS336">
        <f>IF(OR(AS$4="",$A336&gt;TODAY()),0,IF(OR(INDEX($B336:$D336,AS$5)="F",AND(AS$6&gt;0,$A336&lt;AS$6),AND(AS$7&gt;0,$A336&gt;AS$7)),0,MAX(0,ROUND((INDEX($E336:$G336,AS$5)-SUMIFS(TF_Timer,TF_Tekniker,AS$4,TF_Dato,$A336))*2,0)/2)))</f>
        <v/>
      </c>
      <c r="AT336">
        <f>IF(OR(AT$4="",$A336&gt;TODAY()),0,IF(OR(INDEX($B336:$D336,AT$5)="F",AND(AT$6&gt;0,$A336&lt;AT$6),AND(AT$7&gt;0,$A336&gt;AT$7)),0,MAX(0,ROUND((INDEX($E336:$G336,AT$5)-SUMIFS(TF_Timer,TF_Tekniker,AT$4,TF_Dato,$A336))*2,0)/2)))</f>
        <v/>
      </c>
      <c r="AU336">
        <f>IF(OR(AU$4="",$A336&gt;TODAY()),0,IF(OR(INDEX($B336:$D336,AU$5)="F",AND(AU$6&gt;0,$A336&lt;AU$6),AND(AU$7&gt;0,$A336&gt;AU$7)),0,MAX(0,ROUND((INDEX($E336:$G336,AU$5)-SUMIFS(TF_Timer,TF_Tekniker,AU$4,TF_Dato,$A336))*2,0)/2)))</f>
        <v/>
      </c>
      <c r="AV336">
        <f>IF(OR(AV$4="",$A336&gt;TODAY()),0,IF(OR(INDEX($B336:$D336,AV$5)="F",AND(AV$6&gt;0,$A336&lt;AV$6),AND(AV$7&gt;0,$A336&gt;AV$7)),0,MAX(0,ROUND((INDEX($E336:$G336,AV$5)-SUMIFS(TF_Timer,TF_Tekniker,AV$4,TF_Dato,$A336))*2,0)/2)))</f>
        <v/>
      </c>
      <c r="AW336">
        <f>IF(OR(AW$4="",$A336&gt;TODAY()),0,IF(OR(INDEX($B336:$D336,AW$5)="F",AND(AW$6&gt;0,$A336&lt;AW$6),AND(AW$7&gt;0,$A336&gt;AW$7)),0,MAX(0,ROUND((INDEX($E336:$G336,AW$5)-SUMIFS(TF_Timer,TF_Tekniker,AW$4,TF_Dato,$A336))*2,0)/2)))</f>
        <v/>
      </c>
      <c r="AX336">
        <f>IF(OR(AX$4="",$A336&gt;TODAY()),0,IF(OR(INDEX($B336:$D336,AX$5)="F",AND(AX$6&gt;0,$A336&lt;AX$6),AND(AX$7&gt;0,$A336&gt;AX$7)),0,MAX(0,ROUND((INDEX($E336:$G336,AX$5)-SUMIFS(TF_Timer,TF_Tekniker,AX$4,TF_Dato,$A336))*2,0)/2)))</f>
        <v/>
      </c>
      <c r="AY336">
        <f>IF(OR(AY$4="",$A336&gt;TODAY()),0,IF(OR(INDEX($B336:$D336,AY$5)="F",AND(AY$6&gt;0,$A336&lt;AY$6),AND(AY$7&gt;0,$A336&gt;AY$7)),0,MAX(0,ROUND((INDEX($E336:$G336,AY$5)-SUMIFS(TF_Timer,TF_Tekniker,AY$4,TF_Dato,$A336))*2,0)/2)))</f>
        <v/>
      </c>
      <c r="AZ336">
        <f>IF(OR(AZ$4="",$A336&gt;TODAY()),0,IF(OR(INDEX($B336:$D336,AZ$5)="F",AND(AZ$6&gt;0,$A336&lt;AZ$6),AND(AZ$7&gt;0,$A336&gt;AZ$7)),0,MAX(0,ROUND((INDEX($E336:$G336,AZ$5)-SUMIFS(TF_Timer,TF_Tekniker,AZ$4,TF_Dato,$A336))*2,0)/2)))</f>
        <v/>
      </c>
      <c r="BA336">
        <f>IF(OR(BA$4="",$A336&gt;TODAY()),0,IF(OR(INDEX($B336:$D336,BA$5)="F",AND(BA$6&gt;0,$A336&lt;BA$6),AND(BA$7&gt;0,$A336&gt;BA$7)),0,MAX(0,ROUND((INDEX($E336:$G336,BA$5)-SUMIFS(TF_Timer,TF_Tekniker,BA$4,TF_Dato,$A336))*2,0)/2)))</f>
        <v/>
      </c>
      <c r="BB336">
        <f>IF(OR(BB$4="",$A336&gt;TODAY()),0,IF(OR(INDEX($B336:$D336,BB$5)="F",AND(BB$6&gt;0,$A336&lt;BB$6),AND(BB$7&gt;0,$A336&gt;BB$7)),0,MAX(0,ROUND((INDEX($E336:$G336,BB$5)-SUMIFS(TF_Timer,TF_Tekniker,BB$4,TF_Dato,$A336))*2,0)/2)))</f>
        <v/>
      </c>
      <c r="BC336">
        <f>IF(OR(BC$4="",$A336&gt;TODAY()),0,IF(OR(INDEX($B336:$D336,BC$5)="F",AND(BC$6&gt;0,$A336&lt;BC$6),AND(BC$7&gt;0,$A336&gt;BC$7)),0,MAX(0,ROUND((INDEX($E336:$G336,BC$5)-SUMIFS(TF_Timer,TF_Tekniker,BC$4,TF_Dato,$A336))*2,0)/2)))</f>
        <v/>
      </c>
      <c r="BD336">
        <f>IF(OR(BD$4="",$A336&gt;TODAY()),0,IF(OR(INDEX($B336:$D336,BD$5)="F",AND(BD$6&gt;0,$A336&lt;BD$6),AND(BD$7&gt;0,$A336&gt;BD$7)),0,MAX(0,ROUND((INDEX($E336:$G336,BD$5)-SUMIFS(TF_Timer,TF_Tekniker,BD$4,TF_Dato,$A336))*2,0)/2)))</f>
        <v/>
      </c>
      <c r="BE336">
        <f>IF(OR(BE$4="",$A336&gt;TODAY()),0,IF(OR(INDEX($B336:$D336,BE$5)="F",AND(BE$6&gt;0,$A336&lt;BE$6),AND(BE$7&gt;0,$A336&gt;BE$7)),0,MAX(0,ROUND((INDEX($E336:$G336,BE$5)-SUMIFS(TF_Timer,TF_Tekniker,BE$4,TF_Dato,$A336))*2,0)/2)))</f>
        <v/>
      </c>
      <c r="BF336">
        <f>IF(OR(BF$4="",$A336&gt;TODAY()),0,IF(OR(INDEX($B336:$D336,BF$5)="F",AND(BF$6&gt;0,$A336&lt;BF$6),AND(BF$7&gt;0,$A336&gt;BF$7)),0,MAX(0,ROUND((INDEX($E336:$G336,BF$5)-SUMIFS(TF_Timer,TF_Tekniker,BF$4,TF_Dato,$A336))*2,0)/2)))</f>
        <v/>
      </c>
      <c r="BG336">
        <f>IF(OR(BG$4="",$A336&gt;TODAY()),0,IF(OR(INDEX($B336:$D336,BG$5)="F",AND(BG$6&gt;0,$A336&lt;BG$6),AND(BG$7&gt;0,$A336&gt;BG$7)),0,MAX(0,ROUND((INDEX($E336:$G336,BG$5)-SUMIFS(TF_Timer,TF_Tekniker,BG$4,TF_Dato,$A336))*2,0)/2)))</f>
        <v/>
      </c>
      <c r="BH336">
        <f>IF(OR(BH$4="",$A336&gt;TODAY()),0,IF(OR(INDEX($B336:$D336,BH$5)="F",AND(BH$6&gt;0,$A336&lt;BH$6),AND(BH$7&gt;0,$A336&gt;BH$7)),0,MAX(0,ROUND((INDEX($E336:$G336,BH$5)-SUMIFS(TF_Timer,TF_Tekniker,BH$4,TF_Dato,$A336))*2,0)/2)))</f>
        <v/>
      </c>
      <c r="BI336">
        <f>IF(OR(BI$4="",$A336&gt;TODAY()),0,IF(OR(INDEX($B336:$D336,BI$5)="F",AND(BI$6&gt;0,$A336&lt;BI$6),AND(BI$7&gt;0,$A336&gt;BI$7)),0,MAX(0,ROUND((INDEX($E336:$G336,BI$5)-SUMIFS(TF_Timer,TF_Tekniker,BI$4,TF_Dato,$A336))*2,0)/2)))</f>
        <v/>
      </c>
    </row>
    <row r="337">
      <c r="A337" s="64">
        <f>A336+1</f>
        <v/>
      </c>
      <c r="B337">
        <f>IF(MOD($A337-INDEX(SkiftStart,1),Syklus)&lt;DagK,"K",IF(MOD($A337-INDEX(SkiftStart,1),Syklus)&lt;DagK+DagH,"H",IF(MOD($A337-INDEX(SkiftStart,1),Syklus)&lt;DagK+DagH+DagD,"D","F")))</f>
        <v/>
      </c>
      <c r="C337">
        <f>IF(MOD($A337-INDEX(SkiftStart,2),Syklus)&lt;DagK,"K",IF(MOD($A337-INDEX(SkiftStart,2),Syklus)&lt;DagK+DagH,"H",IF(MOD($A337-INDEX(SkiftStart,2),Syklus)&lt;DagK+DagH+DagD,"D","F")))</f>
        <v/>
      </c>
      <c r="D337">
        <f>IF(MOD($A337-INDEX(SkiftStart,3),Syklus)&lt;DagK,"K",IF(MOD($A337-INDEX(SkiftStart,3),Syklus)&lt;DagK+DagH,"H",IF(MOD($A337-INDEX(SkiftStart,3),Syklus)&lt;DagK+DagH+DagD,"D","F")))</f>
        <v/>
      </c>
      <c r="E337">
        <f>IF(B337="F",0,IF(WEEKDAY($A337,2)=5,INDEX(TimerFr,MATCH(B337,FaseKode,0)),INDEX(TimerMT,MATCH(B337,FaseKode,0))))</f>
        <v/>
      </c>
      <c r="F337">
        <f>IF(C337="F",0,IF(WEEKDAY($A337,2)=5,INDEX(TimerFr,MATCH(C337,FaseKode,0)),INDEX(TimerMT,MATCH(C337,FaseKode,0))))</f>
        <v/>
      </c>
      <c r="G337">
        <f>IF(D337="F",0,IF(WEEKDAY($A337,2)=5,INDEX(TimerFr,MATCH(D337,FaseKode,0)),INDEX(TimerMT,MATCH(D337,FaseKode,0))))</f>
        <v/>
      </c>
      <c r="H337">
        <f>IF(OR(H$4="",$A337&gt;TODAY()),0,IF(OR(INDEX($B337:$D337,H$5)="F",AND(H$6&gt;0,$A337&lt;H$6),AND(H$7&gt;0,$A337&gt;H$7)),0,MAX(0,ROUND((INDEX($E337:$G337,H$5)-SUMIFS(TF_Timer,TF_Tekniker,H$4,TF_Dato,$A337))*2,0)/2)))</f>
        <v/>
      </c>
      <c r="I337">
        <f>IF(OR(I$4="",$A337&gt;TODAY()),0,IF(OR(INDEX($B337:$D337,I$5)="F",AND(I$6&gt;0,$A337&lt;I$6),AND(I$7&gt;0,$A337&gt;I$7)),0,MAX(0,ROUND((INDEX($E337:$G337,I$5)-SUMIFS(TF_Timer,TF_Tekniker,I$4,TF_Dato,$A337))*2,0)/2)))</f>
        <v/>
      </c>
      <c r="J337">
        <f>IF(OR(J$4="",$A337&gt;TODAY()),0,IF(OR(INDEX($B337:$D337,J$5)="F",AND(J$6&gt;0,$A337&lt;J$6),AND(J$7&gt;0,$A337&gt;J$7)),0,MAX(0,ROUND((INDEX($E337:$G337,J$5)-SUMIFS(TF_Timer,TF_Tekniker,J$4,TF_Dato,$A337))*2,0)/2)))</f>
        <v/>
      </c>
      <c r="K337">
        <f>IF(OR(K$4="",$A337&gt;TODAY()),0,IF(OR(INDEX($B337:$D337,K$5)="F",AND(K$6&gt;0,$A337&lt;K$6),AND(K$7&gt;0,$A337&gt;K$7)),0,MAX(0,ROUND((INDEX($E337:$G337,K$5)-SUMIFS(TF_Timer,TF_Tekniker,K$4,TF_Dato,$A337))*2,0)/2)))</f>
        <v/>
      </c>
      <c r="L337">
        <f>IF(OR(L$4="",$A337&gt;TODAY()),0,IF(OR(INDEX($B337:$D337,L$5)="F",AND(L$6&gt;0,$A337&lt;L$6),AND(L$7&gt;0,$A337&gt;L$7)),0,MAX(0,ROUND((INDEX($E337:$G337,L$5)-SUMIFS(TF_Timer,TF_Tekniker,L$4,TF_Dato,$A337))*2,0)/2)))</f>
        <v/>
      </c>
      <c r="M337">
        <f>IF(OR(M$4="",$A337&gt;TODAY()),0,IF(OR(INDEX($B337:$D337,M$5)="F",AND(M$6&gt;0,$A337&lt;M$6),AND(M$7&gt;0,$A337&gt;M$7)),0,MAX(0,ROUND((INDEX($E337:$G337,M$5)-SUMIFS(TF_Timer,TF_Tekniker,M$4,TF_Dato,$A337))*2,0)/2)))</f>
        <v/>
      </c>
      <c r="N337">
        <f>IF(OR(N$4="",$A337&gt;TODAY()),0,IF(OR(INDEX($B337:$D337,N$5)="F",AND(N$6&gt;0,$A337&lt;N$6),AND(N$7&gt;0,$A337&gt;N$7)),0,MAX(0,ROUND((INDEX($E337:$G337,N$5)-SUMIFS(TF_Timer,TF_Tekniker,N$4,TF_Dato,$A337))*2,0)/2)))</f>
        <v/>
      </c>
      <c r="O337">
        <f>IF(OR(O$4="",$A337&gt;TODAY()),0,IF(OR(INDEX($B337:$D337,O$5)="F",AND(O$6&gt;0,$A337&lt;O$6),AND(O$7&gt;0,$A337&gt;O$7)),0,MAX(0,ROUND((INDEX($E337:$G337,O$5)-SUMIFS(TF_Timer,TF_Tekniker,O$4,TF_Dato,$A337))*2,0)/2)))</f>
        <v/>
      </c>
      <c r="P337">
        <f>IF(OR(P$4="",$A337&gt;TODAY()),0,IF(OR(INDEX($B337:$D337,P$5)="F",AND(P$6&gt;0,$A337&lt;P$6),AND(P$7&gt;0,$A337&gt;P$7)),0,MAX(0,ROUND((INDEX($E337:$G337,P$5)-SUMIFS(TF_Timer,TF_Tekniker,P$4,TF_Dato,$A337))*2,0)/2)))</f>
        <v/>
      </c>
      <c r="Q337">
        <f>IF(OR(Q$4="",$A337&gt;TODAY()),0,IF(OR(INDEX($B337:$D337,Q$5)="F",AND(Q$6&gt;0,$A337&lt;Q$6),AND(Q$7&gt;0,$A337&gt;Q$7)),0,MAX(0,ROUND((INDEX($E337:$G337,Q$5)-SUMIFS(TF_Timer,TF_Tekniker,Q$4,TF_Dato,$A337))*2,0)/2)))</f>
        <v/>
      </c>
      <c r="R337">
        <f>IF(OR(R$4="",$A337&gt;TODAY()),0,IF(OR(INDEX($B337:$D337,R$5)="F",AND(R$6&gt;0,$A337&lt;R$6),AND(R$7&gt;0,$A337&gt;R$7)),0,MAX(0,ROUND((INDEX($E337:$G337,R$5)-SUMIFS(TF_Timer,TF_Tekniker,R$4,TF_Dato,$A337))*2,0)/2)))</f>
        <v/>
      </c>
      <c r="S337">
        <f>IF(OR(S$4="",$A337&gt;TODAY()),0,IF(OR(INDEX($B337:$D337,S$5)="F",AND(S$6&gt;0,$A337&lt;S$6),AND(S$7&gt;0,$A337&gt;S$7)),0,MAX(0,ROUND((INDEX($E337:$G337,S$5)-SUMIFS(TF_Timer,TF_Tekniker,S$4,TF_Dato,$A337))*2,0)/2)))</f>
        <v/>
      </c>
      <c r="T337">
        <f>IF(OR(T$4="",$A337&gt;TODAY()),0,IF(OR(INDEX($B337:$D337,T$5)="F",AND(T$6&gt;0,$A337&lt;T$6),AND(T$7&gt;0,$A337&gt;T$7)),0,MAX(0,ROUND((INDEX($E337:$G337,T$5)-SUMIFS(TF_Timer,TF_Tekniker,T$4,TF_Dato,$A337))*2,0)/2)))</f>
        <v/>
      </c>
      <c r="U337">
        <f>IF(OR(U$4="",$A337&gt;TODAY()),0,IF(OR(INDEX($B337:$D337,U$5)="F",AND(U$6&gt;0,$A337&lt;U$6),AND(U$7&gt;0,$A337&gt;U$7)),0,MAX(0,ROUND((INDEX($E337:$G337,U$5)-SUMIFS(TF_Timer,TF_Tekniker,U$4,TF_Dato,$A337))*2,0)/2)))</f>
        <v/>
      </c>
      <c r="V337">
        <f>IF(OR(V$4="",$A337&gt;TODAY()),0,IF(OR(INDEX($B337:$D337,V$5)="F",AND(V$6&gt;0,$A337&lt;V$6),AND(V$7&gt;0,$A337&gt;V$7)),0,MAX(0,ROUND((INDEX($E337:$G337,V$5)-SUMIFS(TF_Timer,TF_Tekniker,V$4,TF_Dato,$A337))*2,0)/2)))</f>
        <v/>
      </c>
      <c r="W337">
        <f>IF(OR(W$4="",$A337&gt;TODAY()),0,IF(OR(INDEX($B337:$D337,W$5)="F",AND(W$6&gt;0,$A337&lt;W$6),AND(W$7&gt;0,$A337&gt;W$7)),0,MAX(0,ROUND((INDEX($E337:$G337,W$5)-SUMIFS(TF_Timer,TF_Tekniker,W$4,TF_Dato,$A337))*2,0)/2)))</f>
        <v/>
      </c>
      <c r="X337">
        <f>IF(OR(X$4="",$A337&gt;TODAY()),0,IF(OR(INDEX($B337:$D337,X$5)="F",AND(X$6&gt;0,$A337&lt;X$6),AND(X$7&gt;0,$A337&gt;X$7)),0,MAX(0,ROUND((INDEX($E337:$G337,X$5)-SUMIFS(TF_Timer,TF_Tekniker,X$4,TF_Dato,$A337))*2,0)/2)))</f>
        <v/>
      </c>
      <c r="Y337">
        <f>IF(OR(Y$4="",$A337&gt;TODAY()),0,IF(OR(INDEX($B337:$D337,Y$5)="F",AND(Y$6&gt;0,$A337&lt;Y$6),AND(Y$7&gt;0,$A337&gt;Y$7)),0,MAX(0,ROUND((INDEX($E337:$G337,Y$5)-SUMIFS(TF_Timer,TF_Tekniker,Y$4,TF_Dato,$A337))*2,0)/2)))</f>
        <v/>
      </c>
      <c r="Z337">
        <f>IF(OR(Z$4="",$A337&gt;TODAY()),0,IF(OR(INDEX($B337:$D337,Z$5)="F",AND(Z$6&gt;0,$A337&lt;Z$6),AND(Z$7&gt;0,$A337&gt;Z$7)),0,MAX(0,ROUND((INDEX($E337:$G337,Z$5)-SUMIFS(TF_Timer,TF_Tekniker,Z$4,TF_Dato,$A337))*2,0)/2)))</f>
        <v/>
      </c>
      <c r="AA337">
        <f>IF(OR(AA$4="",$A337&gt;TODAY()),0,IF(OR(INDEX($B337:$D337,AA$5)="F",AND(AA$6&gt;0,$A337&lt;AA$6),AND(AA$7&gt;0,$A337&gt;AA$7)),0,MAX(0,ROUND((INDEX($E337:$G337,AA$5)-SUMIFS(TF_Timer,TF_Tekniker,AA$4,TF_Dato,$A337))*2,0)/2)))</f>
        <v/>
      </c>
      <c r="AB337">
        <f>IF(OR(AB$4="",$A337&gt;TODAY()),0,IF(OR(INDEX($B337:$D337,AB$5)="F",AND(AB$6&gt;0,$A337&lt;AB$6),AND(AB$7&gt;0,$A337&gt;AB$7)),0,MAX(0,ROUND((INDEX($E337:$G337,AB$5)-SUMIFS(TF_Timer,TF_Tekniker,AB$4,TF_Dato,$A337))*2,0)/2)))</f>
        <v/>
      </c>
      <c r="AC337">
        <f>IF(OR(AC$4="",$A337&gt;TODAY()),0,IF(OR(INDEX($B337:$D337,AC$5)="F",AND(AC$6&gt;0,$A337&lt;AC$6),AND(AC$7&gt;0,$A337&gt;AC$7)),0,MAX(0,ROUND((INDEX($E337:$G337,AC$5)-SUMIFS(TF_Timer,TF_Tekniker,AC$4,TF_Dato,$A337))*2,0)/2)))</f>
        <v/>
      </c>
      <c r="AD337">
        <f>IF(OR(AD$4="",$A337&gt;TODAY()),0,IF(OR(INDEX($B337:$D337,AD$5)="F",AND(AD$6&gt;0,$A337&lt;AD$6),AND(AD$7&gt;0,$A337&gt;AD$7)),0,MAX(0,ROUND((INDEX($E337:$G337,AD$5)-SUMIFS(TF_Timer,TF_Tekniker,AD$4,TF_Dato,$A337))*2,0)/2)))</f>
        <v/>
      </c>
      <c r="AE337">
        <f>IF(OR(AE$4="",$A337&gt;TODAY()),0,IF(OR(INDEX($B337:$D337,AE$5)="F",AND(AE$6&gt;0,$A337&lt;AE$6),AND(AE$7&gt;0,$A337&gt;AE$7)),0,MAX(0,ROUND((INDEX($E337:$G337,AE$5)-SUMIFS(TF_Timer,TF_Tekniker,AE$4,TF_Dato,$A337))*2,0)/2)))</f>
        <v/>
      </c>
      <c r="AF337">
        <f>IF(OR(AF$4="",$A337&gt;TODAY()),0,IF(OR(INDEX($B337:$D337,AF$5)="F",AND(AF$6&gt;0,$A337&lt;AF$6),AND(AF$7&gt;0,$A337&gt;AF$7)),0,MAX(0,ROUND((INDEX($E337:$G337,AF$5)-SUMIFS(TF_Timer,TF_Tekniker,AF$4,TF_Dato,$A337))*2,0)/2)))</f>
        <v/>
      </c>
      <c r="AG337">
        <f>IF(OR(AG$4="",$A337&gt;TODAY()),0,IF(OR(INDEX($B337:$D337,AG$5)="F",AND(AG$6&gt;0,$A337&lt;AG$6),AND(AG$7&gt;0,$A337&gt;AG$7)),0,MAX(0,ROUND((INDEX($E337:$G337,AG$5)-SUMIFS(TF_Timer,TF_Tekniker,AG$4,TF_Dato,$A337))*2,0)/2)))</f>
        <v/>
      </c>
      <c r="AH337">
        <f>IF(OR(AH$4="",$A337&gt;TODAY()),0,IF(OR(INDEX($B337:$D337,AH$5)="F",AND(AH$6&gt;0,$A337&lt;AH$6),AND(AH$7&gt;0,$A337&gt;AH$7)),0,MAX(0,ROUND((INDEX($E337:$G337,AH$5)-SUMIFS(TF_Timer,TF_Tekniker,AH$4,TF_Dato,$A337))*2,0)/2)))</f>
        <v/>
      </c>
      <c r="AI337">
        <f>IF(OR(AI$4="",$A337&gt;TODAY()),0,IF(OR(INDEX($B337:$D337,AI$5)="F",AND(AI$6&gt;0,$A337&lt;AI$6),AND(AI$7&gt;0,$A337&gt;AI$7)),0,MAX(0,ROUND((INDEX($E337:$G337,AI$5)-SUMIFS(TF_Timer,TF_Tekniker,AI$4,TF_Dato,$A337))*2,0)/2)))</f>
        <v/>
      </c>
      <c r="AJ337">
        <f>IF(OR(AJ$4="",$A337&gt;TODAY()),0,IF(OR(INDEX($B337:$D337,AJ$5)="F",AND(AJ$6&gt;0,$A337&lt;AJ$6),AND(AJ$7&gt;0,$A337&gt;AJ$7)),0,MAX(0,ROUND((INDEX($E337:$G337,AJ$5)-SUMIFS(TF_Timer,TF_Tekniker,AJ$4,TF_Dato,$A337))*2,0)/2)))</f>
        <v/>
      </c>
      <c r="AK337">
        <f>IF(OR(AK$4="",$A337&gt;TODAY()),0,IF(OR(INDEX($B337:$D337,AK$5)="F",AND(AK$6&gt;0,$A337&lt;AK$6),AND(AK$7&gt;0,$A337&gt;AK$7)),0,MAX(0,ROUND((INDEX($E337:$G337,AK$5)-SUMIFS(TF_Timer,TF_Tekniker,AK$4,TF_Dato,$A337))*2,0)/2)))</f>
        <v/>
      </c>
      <c r="AL337">
        <f>IF(OR(AL$4="",$A337&gt;TODAY()),0,IF(OR(INDEX($B337:$D337,AL$5)="F",AND(AL$6&gt;0,$A337&lt;AL$6),AND(AL$7&gt;0,$A337&gt;AL$7)),0,MAX(0,ROUND((INDEX($E337:$G337,AL$5)-SUMIFS(TF_Timer,TF_Tekniker,AL$4,TF_Dato,$A337))*2,0)/2)))</f>
        <v/>
      </c>
      <c r="AM337">
        <f>IF(OR(AM$4="",$A337&gt;TODAY()),0,IF(OR(INDEX($B337:$D337,AM$5)="F",AND(AM$6&gt;0,$A337&lt;AM$6),AND(AM$7&gt;0,$A337&gt;AM$7)),0,MAX(0,ROUND((INDEX($E337:$G337,AM$5)-SUMIFS(TF_Timer,TF_Tekniker,AM$4,TF_Dato,$A337))*2,0)/2)))</f>
        <v/>
      </c>
      <c r="AN337">
        <f>IF(OR(AN$4="",$A337&gt;TODAY()),0,IF(OR(INDEX($B337:$D337,AN$5)="F",AND(AN$6&gt;0,$A337&lt;AN$6),AND(AN$7&gt;0,$A337&gt;AN$7)),0,MAX(0,ROUND((INDEX($E337:$G337,AN$5)-SUMIFS(TF_Timer,TF_Tekniker,AN$4,TF_Dato,$A337))*2,0)/2)))</f>
        <v/>
      </c>
      <c r="AO337">
        <f>IF(OR(AO$4="",$A337&gt;TODAY()),0,IF(OR(INDEX($B337:$D337,AO$5)="F",AND(AO$6&gt;0,$A337&lt;AO$6),AND(AO$7&gt;0,$A337&gt;AO$7)),0,MAX(0,ROUND((INDEX($E337:$G337,AO$5)-SUMIFS(TF_Timer,TF_Tekniker,AO$4,TF_Dato,$A337))*2,0)/2)))</f>
        <v/>
      </c>
      <c r="AP337">
        <f>IF(OR(AP$4="",$A337&gt;TODAY()),0,IF(OR(INDEX($B337:$D337,AP$5)="F",AND(AP$6&gt;0,$A337&lt;AP$6),AND(AP$7&gt;0,$A337&gt;AP$7)),0,MAX(0,ROUND((INDEX($E337:$G337,AP$5)-SUMIFS(TF_Timer,TF_Tekniker,AP$4,TF_Dato,$A337))*2,0)/2)))</f>
        <v/>
      </c>
      <c r="AQ337">
        <f>IF(OR(AQ$4="",$A337&gt;TODAY()),0,IF(OR(INDEX($B337:$D337,AQ$5)="F",AND(AQ$6&gt;0,$A337&lt;AQ$6),AND(AQ$7&gt;0,$A337&gt;AQ$7)),0,MAX(0,ROUND((INDEX($E337:$G337,AQ$5)-SUMIFS(TF_Timer,TF_Tekniker,AQ$4,TF_Dato,$A337))*2,0)/2)))</f>
        <v/>
      </c>
      <c r="AR337">
        <f>IF(OR(AR$4="",$A337&gt;TODAY()),0,IF(OR(INDEX($B337:$D337,AR$5)="F",AND(AR$6&gt;0,$A337&lt;AR$6),AND(AR$7&gt;0,$A337&gt;AR$7)),0,MAX(0,ROUND((INDEX($E337:$G337,AR$5)-SUMIFS(TF_Timer,TF_Tekniker,AR$4,TF_Dato,$A337))*2,0)/2)))</f>
        <v/>
      </c>
      <c r="AS337">
        <f>IF(OR(AS$4="",$A337&gt;TODAY()),0,IF(OR(INDEX($B337:$D337,AS$5)="F",AND(AS$6&gt;0,$A337&lt;AS$6),AND(AS$7&gt;0,$A337&gt;AS$7)),0,MAX(0,ROUND((INDEX($E337:$G337,AS$5)-SUMIFS(TF_Timer,TF_Tekniker,AS$4,TF_Dato,$A337))*2,0)/2)))</f>
        <v/>
      </c>
      <c r="AT337">
        <f>IF(OR(AT$4="",$A337&gt;TODAY()),0,IF(OR(INDEX($B337:$D337,AT$5)="F",AND(AT$6&gt;0,$A337&lt;AT$6),AND(AT$7&gt;0,$A337&gt;AT$7)),0,MAX(0,ROUND((INDEX($E337:$G337,AT$5)-SUMIFS(TF_Timer,TF_Tekniker,AT$4,TF_Dato,$A337))*2,0)/2)))</f>
        <v/>
      </c>
      <c r="AU337">
        <f>IF(OR(AU$4="",$A337&gt;TODAY()),0,IF(OR(INDEX($B337:$D337,AU$5)="F",AND(AU$6&gt;0,$A337&lt;AU$6),AND(AU$7&gt;0,$A337&gt;AU$7)),0,MAX(0,ROUND((INDEX($E337:$G337,AU$5)-SUMIFS(TF_Timer,TF_Tekniker,AU$4,TF_Dato,$A337))*2,0)/2)))</f>
        <v/>
      </c>
      <c r="AV337">
        <f>IF(OR(AV$4="",$A337&gt;TODAY()),0,IF(OR(INDEX($B337:$D337,AV$5)="F",AND(AV$6&gt;0,$A337&lt;AV$6),AND(AV$7&gt;0,$A337&gt;AV$7)),0,MAX(0,ROUND((INDEX($E337:$G337,AV$5)-SUMIFS(TF_Timer,TF_Tekniker,AV$4,TF_Dato,$A337))*2,0)/2)))</f>
        <v/>
      </c>
      <c r="AW337">
        <f>IF(OR(AW$4="",$A337&gt;TODAY()),0,IF(OR(INDEX($B337:$D337,AW$5)="F",AND(AW$6&gt;0,$A337&lt;AW$6),AND(AW$7&gt;0,$A337&gt;AW$7)),0,MAX(0,ROUND((INDEX($E337:$G337,AW$5)-SUMIFS(TF_Timer,TF_Tekniker,AW$4,TF_Dato,$A337))*2,0)/2)))</f>
        <v/>
      </c>
      <c r="AX337">
        <f>IF(OR(AX$4="",$A337&gt;TODAY()),0,IF(OR(INDEX($B337:$D337,AX$5)="F",AND(AX$6&gt;0,$A337&lt;AX$6),AND(AX$7&gt;0,$A337&gt;AX$7)),0,MAX(0,ROUND((INDEX($E337:$G337,AX$5)-SUMIFS(TF_Timer,TF_Tekniker,AX$4,TF_Dato,$A337))*2,0)/2)))</f>
        <v/>
      </c>
      <c r="AY337">
        <f>IF(OR(AY$4="",$A337&gt;TODAY()),0,IF(OR(INDEX($B337:$D337,AY$5)="F",AND(AY$6&gt;0,$A337&lt;AY$6),AND(AY$7&gt;0,$A337&gt;AY$7)),0,MAX(0,ROUND((INDEX($E337:$G337,AY$5)-SUMIFS(TF_Timer,TF_Tekniker,AY$4,TF_Dato,$A337))*2,0)/2)))</f>
        <v/>
      </c>
      <c r="AZ337">
        <f>IF(OR(AZ$4="",$A337&gt;TODAY()),0,IF(OR(INDEX($B337:$D337,AZ$5)="F",AND(AZ$6&gt;0,$A337&lt;AZ$6),AND(AZ$7&gt;0,$A337&gt;AZ$7)),0,MAX(0,ROUND((INDEX($E337:$G337,AZ$5)-SUMIFS(TF_Timer,TF_Tekniker,AZ$4,TF_Dato,$A337))*2,0)/2)))</f>
        <v/>
      </c>
      <c r="BA337">
        <f>IF(OR(BA$4="",$A337&gt;TODAY()),0,IF(OR(INDEX($B337:$D337,BA$5)="F",AND(BA$6&gt;0,$A337&lt;BA$6),AND(BA$7&gt;0,$A337&gt;BA$7)),0,MAX(0,ROUND((INDEX($E337:$G337,BA$5)-SUMIFS(TF_Timer,TF_Tekniker,BA$4,TF_Dato,$A337))*2,0)/2)))</f>
        <v/>
      </c>
      <c r="BB337">
        <f>IF(OR(BB$4="",$A337&gt;TODAY()),0,IF(OR(INDEX($B337:$D337,BB$5)="F",AND(BB$6&gt;0,$A337&lt;BB$6),AND(BB$7&gt;0,$A337&gt;BB$7)),0,MAX(0,ROUND((INDEX($E337:$G337,BB$5)-SUMIFS(TF_Timer,TF_Tekniker,BB$4,TF_Dato,$A337))*2,0)/2)))</f>
        <v/>
      </c>
      <c r="BC337">
        <f>IF(OR(BC$4="",$A337&gt;TODAY()),0,IF(OR(INDEX($B337:$D337,BC$5)="F",AND(BC$6&gt;0,$A337&lt;BC$6),AND(BC$7&gt;0,$A337&gt;BC$7)),0,MAX(0,ROUND((INDEX($E337:$G337,BC$5)-SUMIFS(TF_Timer,TF_Tekniker,BC$4,TF_Dato,$A337))*2,0)/2)))</f>
        <v/>
      </c>
      <c r="BD337">
        <f>IF(OR(BD$4="",$A337&gt;TODAY()),0,IF(OR(INDEX($B337:$D337,BD$5)="F",AND(BD$6&gt;0,$A337&lt;BD$6),AND(BD$7&gt;0,$A337&gt;BD$7)),0,MAX(0,ROUND((INDEX($E337:$G337,BD$5)-SUMIFS(TF_Timer,TF_Tekniker,BD$4,TF_Dato,$A337))*2,0)/2)))</f>
        <v/>
      </c>
      <c r="BE337">
        <f>IF(OR(BE$4="",$A337&gt;TODAY()),0,IF(OR(INDEX($B337:$D337,BE$5)="F",AND(BE$6&gt;0,$A337&lt;BE$6),AND(BE$7&gt;0,$A337&gt;BE$7)),0,MAX(0,ROUND((INDEX($E337:$G337,BE$5)-SUMIFS(TF_Timer,TF_Tekniker,BE$4,TF_Dato,$A337))*2,0)/2)))</f>
        <v/>
      </c>
      <c r="BF337">
        <f>IF(OR(BF$4="",$A337&gt;TODAY()),0,IF(OR(INDEX($B337:$D337,BF$5)="F",AND(BF$6&gt;0,$A337&lt;BF$6),AND(BF$7&gt;0,$A337&gt;BF$7)),0,MAX(0,ROUND((INDEX($E337:$G337,BF$5)-SUMIFS(TF_Timer,TF_Tekniker,BF$4,TF_Dato,$A337))*2,0)/2)))</f>
        <v/>
      </c>
      <c r="BG337">
        <f>IF(OR(BG$4="",$A337&gt;TODAY()),0,IF(OR(INDEX($B337:$D337,BG$5)="F",AND(BG$6&gt;0,$A337&lt;BG$6),AND(BG$7&gt;0,$A337&gt;BG$7)),0,MAX(0,ROUND((INDEX($E337:$G337,BG$5)-SUMIFS(TF_Timer,TF_Tekniker,BG$4,TF_Dato,$A337))*2,0)/2)))</f>
        <v/>
      </c>
      <c r="BH337">
        <f>IF(OR(BH$4="",$A337&gt;TODAY()),0,IF(OR(INDEX($B337:$D337,BH$5)="F",AND(BH$6&gt;0,$A337&lt;BH$6),AND(BH$7&gt;0,$A337&gt;BH$7)),0,MAX(0,ROUND((INDEX($E337:$G337,BH$5)-SUMIFS(TF_Timer,TF_Tekniker,BH$4,TF_Dato,$A337))*2,0)/2)))</f>
        <v/>
      </c>
      <c r="BI337">
        <f>IF(OR(BI$4="",$A337&gt;TODAY()),0,IF(OR(INDEX($B337:$D337,BI$5)="F",AND(BI$6&gt;0,$A337&lt;BI$6),AND(BI$7&gt;0,$A337&gt;BI$7)),0,MAX(0,ROUND((INDEX($E337:$G337,BI$5)-SUMIFS(TF_Timer,TF_Tekniker,BI$4,TF_Dato,$A337))*2,0)/2)))</f>
        <v/>
      </c>
    </row>
    <row r="338">
      <c r="A338" s="64">
        <f>A337+1</f>
        <v/>
      </c>
      <c r="B338">
        <f>IF(MOD($A338-INDEX(SkiftStart,1),Syklus)&lt;DagK,"K",IF(MOD($A338-INDEX(SkiftStart,1),Syklus)&lt;DagK+DagH,"H",IF(MOD($A338-INDEX(SkiftStart,1),Syklus)&lt;DagK+DagH+DagD,"D","F")))</f>
        <v/>
      </c>
      <c r="C338">
        <f>IF(MOD($A338-INDEX(SkiftStart,2),Syklus)&lt;DagK,"K",IF(MOD($A338-INDEX(SkiftStart,2),Syklus)&lt;DagK+DagH,"H",IF(MOD($A338-INDEX(SkiftStart,2),Syklus)&lt;DagK+DagH+DagD,"D","F")))</f>
        <v/>
      </c>
      <c r="D338">
        <f>IF(MOD($A338-INDEX(SkiftStart,3),Syklus)&lt;DagK,"K",IF(MOD($A338-INDEX(SkiftStart,3),Syklus)&lt;DagK+DagH,"H",IF(MOD($A338-INDEX(SkiftStart,3),Syklus)&lt;DagK+DagH+DagD,"D","F")))</f>
        <v/>
      </c>
      <c r="E338">
        <f>IF(B338="F",0,IF(WEEKDAY($A338,2)=5,INDEX(TimerFr,MATCH(B338,FaseKode,0)),INDEX(TimerMT,MATCH(B338,FaseKode,0))))</f>
        <v/>
      </c>
      <c r="F338">
        <f>IF(C338="F",0,IF(WEEKDAY($A338,2)=5,INDEX(TimerFr,MATCH(C338,FaseKode,0)),INDEX(TimerMT,MATCH(C338,FaseKode,0))))</f>
        <v/>
      </c>
      <c r="G338">
        <f>IF(D338="F",0,IF(WEEKDAY($A338,2)=5,INDEX(TimerFr,MATCH(D338,FaseKode,0)),INDEX(TimerMT,MATCH(D338,FaseKode,0))))</f>
        <v/>
      </c>
      <c r="H338">
        <f>IF(OR(H$4="",$A338&gt;TODAY()),0,IF(OR(INDEX($B338:$D338,H$5)="F",AND(H$6&gt;0,$A338&lt;H$6),AND(H$7&gt;0,$A338&gt;H$7)),0,MAX(0,ROUND((INDEX($E338:$G338,H$5)-SUMIFS(TF_Timer,TF_Tekniker,H$4,TF_Dato,$A338))*2,0)/2)))</f>
        <v/>
      </c>
      <c r="I338">
        <f>IF(OR(I$4="",$A338&gt;TODAY()),0,IF(OR(INDEX($B338:$D338,I$5)="F",AND(I$6&gt;0,$A338&lt;I$6),AND(I$7&gt;0,$A338&gt;I$7)),0,MAX(0,ROUND((INDEX($E338:$G338,I$5)-SUMIFS(TF_Timer,TF_Tekniker,I$4,TF_Dato,$A338))*2,0)/2)))</f>
        <v/>
      </c>
      <c r="J338">
        <f>IF(OR(J$4="",$A338&gt;TODAY()),0,IF(OR(INDEX($B338:$D338,J$5)="F",AND(J$6&gt;0,$A338&lt;J$6),AND(J$7&gt;0,$A338&gt;J$7)),0,MAX(0,ROUND((INDEX($E338:$G338,J$5)-SUMIFS(TF_Timer,TF_Tekniker,J$4,TF_Dato,$A338))*2,0)/2)))</f>
        <v/>
      </c>
      <c r="K338">
        <f>IF(OR(K$4="",$A338&gt;TODAY()),0,IF(OR(INDEX($B338:$D338,K$5)="F",AND(K$6&gt;0,$A338&lt;K$6),AND(K$7&gt;0,$A338&gt;K$7)),0,MAX(0,ROUND((INDEX($E338:$G338,K$5)-SUMIFS(TF_Timer,TF_Tekniker,K$4,TF_Dato,$A338))*2,0)/2)))</f>
        <v/>
      </c>
      <c r="L338">
        <f>IF(OR(L$4="",$A338&gt;TODAY()),0,IF(OR(INDEX($B338:$D338,L$5)="F",AND(L$6&gt;0,$A338&lt;L$6),AND(L$7&gt;0,$A338&gt;L$7)),0,MAX(0,ROUND((INDEX($E338:$G338,L$5)-SUMIFS(TF_Timer,TF_Tekniker,L$4,TF_Dato,$A338))*2,0)/2)))</f>
        <v/>
      </c>
      <c r="M338">
        <f>IF(OR(M$4="",$A338&gt;TODAY()),0,IF(OR(INDEX($B338:$D338,M$5)="F",AND(M$6&gt;0,$A338&lt;M$6),AND(M$7&gt;0,$A338&gt;M$7)),0,MAX(0,ROUND((INDEX($E338:$G338,M$5)-SUMIFS(TF_Timer,TF_Tekniker,M$4,TF_Dato,$A338))*2,0)/2)))</f>
        <v/>
      </c>
      <c r="N338">
        <f>IF(OR(N$4="",$A338&gt;TODAY()),0,IF(OR(INDEX($B338:$D338,N$5)="F",AND(N$6&gt;0,$A338&lt;N$6),AND(N$7&gt;0,$A338&gt;N$7)),0,MAX(0,ROUND((INDEX($E338:$G338,N$5)-SUMIFS(TF_Timer,TF_Tekniker,N$4,TF_Dato,$A338))*2,0)/2)))</f>
        <v/>
      </c>
      <c r="O338">
        <f>IF(OR(O$4="",$A338&gt;TODAY()),0,IF(OR(INDEX($B338:$D338,O$5)="F",AND(O$6&gt;0,$A338&lt;O$6),AND(O$7&gt;0,$A338&gt;O$7)),0,MAX(0,ROUND((INDEX($E338:$G338,O$5)-SUMIFS(TF_Timer,TF_Tekniker,O$4,TF_Dato,$A338))*2,0)/2)))</f>
        <v/>
      </c>
      <c r="P338">
        <f>IF(OR(P$4="",$A338&gt;TODAY()),0,IF(OR(INDEX($B338:$D338,P$5)="F",AND(P$6&gt;0,$A338&lt;P$6),AND(P$7&gt;0,$A338&gt;P$7)),0,MAX(0,ROUND((INDEX($E338:$G338,P$5)-SUMIFS(TF_Timer,TF_Tekniker,P$4,TF_Dato,$A338))*2,0)/2)))</f>
        <v/>
      </c>
      <c r="Q338">
        <f>IF(OR(Q$4="",$A338&gt;TODAY()),0,IF(OR(INDEX($B338:$D338,Q$5)="F",AND(Q$6&gt;0,$A338&lt;Q$6),AND(Q$7&gt;0,$A338&gt;Q$7)),0,MAX(0,ROUND((INDEX($E338:$G338,Q$5)-SUMIFS(TF_Timer,TF_Tekniker,Q$4,TF_Dato,$A338))*2,0)/2)))</f>
        <v/>
      </c>
      <c r="R338">
        <f>IF(OR(R$4="",$A338&gt;TODAY()),0,IF(OR(INDEX($B338:$D338,R$5)="F",AND(R$6&gt;0,$A338&lt;R$6),AND(R$7&gt;0,$A338&gt;R$7)),0,MAX(0,ROUND((INDEX($E338:$G338,R$5)-SUMIFS(TF_Timer,TF_Tekniker,R$4,TF_Dato,$A338))*2,0)/2)))</f>
        <v/>
      </c>
      <c r="S338">
        <f>IF(OR(S$4="",$A338&gt;TODAY()),0,IF(OR(INDEX($B338:$D338,S$5)="F",AND(S$6&gt;0,$A338&lt;S$6),AND(S$7&gt;0,$A338&gt;S$7)),0,MAX(0,ROUND((INDEX($E338:$G338,S$5)-SUMIFS(TF_Timer,TF_Tekniker,S$4,TF_Dato,$A338))*2,0)/2)))</f>
        <v/>
      </c>
      <c r="T338">
        <f>IF(OR(T$4="",$A338&gt;TODAY()),0,IF(OR(INDEX($B338:$D338,T$5)="F",AND(T$6&gt;0,$A338&lt;T$6),AND(T$7&gt;0,$A338&gt;T$7)),0,MAX(0,ROUND((INDEX($E338:$G338,T$5)-SUMIFS(TF_Timer,TF_Tekniker,T$4,TF_Dato,$A338))*2,0)/2)))</f>
        <v/>
      </c>
      <c r="U338">
        <f>IF(OR(U$4="",$A338&gt;TODAY()),0,IF(OR(INDEX($B338:$D338,U$5)="F",AND(U$6&gt;0,$A338&lt;U$6),AND(U$7&gt;0,$A338&gt;U$7)),0,MAX(0,ROUND((INDEX($E338:$G338,U$5)-SUMIFS(TF_Timer,TF_Tekniker,U$4,TF_Dato,$A338))*2,0)/2)))</f>
        <v/>
      </c>
      <c r="V338">
        <f>IF(OR(V$4="",$A338&gt;TODAY()),0,IF(OR(INDEX($B338:$D338,V$5)="F",AND(V$6&gt;0,$A338&lt;V$6),AND(V$7&gt;0,$A338&gt;V$7)),0,MAX(0,ROUND((INDEX($E338:$G338,V$5)-SUMIFS(TF_Timer,TF_Tekniker,V$4,TF_Dato,$A338))*2,0)/2)))</f>
        <v/>
      </c>
      <c r="W338">
        <f>IF(OR(W$4="",$A338&gt;TODAY()),0,IF(OR(INDEX($B338:$D338,W$5)="F",AND(W$6&gt;0,$A338&lt;W$6),AND(W$7&gt;0,$A338&gt;W$7)),0,MAX(0,ROUND((INDEX($E338:$G338,W$5)-SUMIFS(TF_Timer,TF_Tekniker,W$4,TF_Dato,$A338))*2,0)/2)))</f>
        <v/>
      </c>
      <c r="X338">
        <f>IF(OR(X$4="",$A338&gt;TODAY()),0,IF(OR(INDEX($B338:$D338,X$5)="F",AND(X$6&gt;0,$A338&lt;X$6),AND(X$7&gt;0,$A338&gt;X$7)),0,MAX(0,ROUND((INDEX($E338:$G338,X$5)-SUMIFS(TF_Timer,TF_Tekniker,X$4,TF_Dato,$A338))*2,0)/2)))</f>
        <v/>
      </c>
      <c r="Y338">
        <f>IF(OR(Y$4="",$A338&gt;TODAY()),0,IF(OR(INDEX($B338:$D338,Y$5)="F",AND(Y$6&gt;0,$A338&lt;Y$6),AND(Y$7&gt;0,$A338&gt;Y$7)),0,MAX(0,ROUND((INDEX($E338:$G338,Y$5)-SUMIFS(TF_Timer,TF_Tekniker,Y$4,TF_Dato,$A338))*2,0)/2)))</f>
        <v/>
      </c>
      <c r="Z338">
        <f>IF(OR(Z$4="",$A338&gt;TODAY()),0,IF(OR(INDEX($B338:$D338,Z$5)="F",AND(Z$6&gt;0,$A338&lt;Z$6),AND(Z$7&gt;0,$A338&gt;Z$7)),0,MAX(0,ROUND((INDEX($E338:$G338,Z$5)-SUMIFS(TF_Timer,TF_Tekniker,Z$4,TF_Dato,$A338))*2,0)/2)))</f>
        <v/>
      </c>
      <c r="AA338">
        <f>IF(OR(AA$4="",$A338&gt;TODAY()),0,IF(OR(INDEX($B338:$D338,AA$5)="F",AND(AA$6&gt;0,$A338&lt;AA$6),AND(AA$7&gt;0,$A338&gt;AA$7)),0,MAX(0,ROUND((INDEX($E338:$G338,AA$5)-SUMIFS(TF_Timer,TF_Tekniker,AA$4,TF_Dato,$A338))*2,0)/2)))</f>
        <v/>
      </c>
      <c r="AB338">
        <f>IF(OR(AB$4="",$A338&gt;TODAY()),0,IF(OR(INDEX($B338:$D338,AB$5)="F",AND(AB$6&gt;0,$A338&lt;AB$6),AND(AB$7&gt;0,$A338&gt;AB$7)),0,MAX(0,ROUND((INDEX($E338:$G338,AB$5)-SUMIFS(TF_Timer,TF_Tekniker,AB$4,TF_Dato,$A338))*2,0)/2)))</f>
        <v/>
      </c>
      <c r="AC338">
        <f>IF(OR(AC$4="",$A338&gt;TODAY()),0,IF(OR(INDEX($B338:$D338,AC$5)="F",AND(AC$6&gt;0,$A338&lt;AC$6),AND(AC$7&gt;0,$A338&gt;AC$7)),0,MAX(0,ROUND((INDEX($E338:$G338,AC$5)-SUMIFS(TF_Timer,TF_Tekniker,AC$4,TF_Dato,$A338))*2,0)/2)))</f>
        <v/>
      </c>
      <c r="AD338">
        <f>IF(OR(AD$4="",$A338&gt;TODAY()),0,IF(OR(INDEX($B338:$D338,AD$5)="F",AND(AD$6&gt;0,$A338&lt;AD$6),AND(AD$7&gt;0,$A338&gt;AD$7)),0,MAX(0,ROUND((INDEX($E338:$G338,AD$5)-SUMIFS(TF_Timer,TF_Tekniker,AD$4,TF_Dato,$A338))*2,0)/2)))</f>
        <v/>
      </c>
      <c r="AE338">
        <f>IF(OR(AE$4="",$A338&gt;TODAY()),0,IF(OR(INDEX($B338:$D338,AE$5)="F",AND(AE$6&gt;0,$A338&lt;AE$6),AND(AE$7&gt;0,$A338&gt;AE$7)),0,MAX(0,ROUND((INDEX($E338:$G338,AE$5)-SUMIFS(TF_Timer,TF_Tekniker,AE$4,TF_Dato,$A338))*2,0)/2)))</f>
        <v/>
      </c>
      <c r="AF338">
        <f>IF(OR(AF$4="",$A338&gt;TODAY()),0,IF(OR(INDEX($B338:$D338,AF$5)="F",AND(AF$6&gt;0,$A338&lt;AF$6),AND(AF$7&gt;0,$A338&gt;AF$7)),0,MAX(0,ROUND((INDEX($E338:$G338,AF$5)-SUMIFS(TF_Timer,TF_Tekniker,AF$4,TF_Dato,$A338))*2,0)/2)))</f>
        <v/>
      </c>
      <c r="AG338">
        <f>IF(OR(AG$4="",$A338&gt;TODAY()),0,IF(OR(INDEX($B338:$D338,AG$5)="F",AND(AG$6&gt;0,$A338&lt;AG$6),AND(AG$7&gt;0,$A338&gt;AG$7)),0,MAX(0,ROUND((INDEX($E338:$G338,AG$5)-SUMIFS(TF_Timer,TF_Tekniker,AG$4,TF_Dato,$A338))*2,0)/2)))</f>
        <v/>
      </c>
      <c r="AH338">
        <f>IF(OR(AH$4="",$A338&gt;TODAY()),0,IF(OR(INDEX($B338:$D338,AH$5)="F",AND(AH$6&gt;0,$A338&lt;AH$6),AND(AH$7&gt;0,$A338&gt;AH$7)),0,MAX(0,ROUND((INDEX($E338:$G338,AH$5)-SUMIFS(TF_Timer,TF_Tekniker,AH$4,TF_Dato,$A338))*2,0)/2)))</f>
        <v/>
      </c>
      <c r="AI338">
        <f>IF(OR(AI$4="",$A338&gt;TODAY()),0,IF(OR(INDEX($B338:$D338,AI$5)="F",AND(AI$6&gt;0,$A338&lt;AI$6),AND(AI$7&gt;0,$A338&gt;AI$7)),0,MAX(0,ROUND((INDEX($E338:$G338,AI$5)-SUMIFS(TF_Timer,TF_Tekniker,AI$4,TF_Dato,$A338))*2,0)/2)))</f>
        <v/>
      </c>
      <c r="AJ338">
        <f>IF(OR(AJ$4="",$A338&gt;TODAY()),0,IF(OR(INDEX($B338:$D338,AJ$5)="F",AND(AJ$6&gt;0,$A338&lt;AJ$6),AND(AJ$7&gt;0,$A338&gt;AJ$7)),0,MAX(0,ROUND((INDEX($E338:$G338,AJ$5)-SUMIFS(TF_Timer,TF_Tekniker,AJ$4,TF_Dato,$A338))*2,0)/2)))</f>
        <v/>
      </c>
      <c r="AK338">
        <f>IF(OR(AK$4="",$A338&gt;TODAY()),0,IF(OR(INDEX($B338:$D338,AK$5)="F",AND(AK$6&gt;0,$A338&lt;AK$6),AND(AK$7&gt;0,$A338&gt;AK$7)),0,MAX(0,ROUND((INDEX($E338:$G338,AK$5)-SUMIFS(TF_Timer,TF_Tekniker,AK$4,TF_Dato,$A338))*2,0)/2)))</f>
        <v/>
      </c>
      <c r="AL338">
        <f>IF(OR(AL$4="",$A338&gt;TODAY()),0,IF(OR(INDEX($B338:$D338,AL$5)="F",AND(AL$6&gt;0,$A338&lt;AL$6),AND(AL$7&gt;0,$A338&gt;AL$7)),0,MAX(0,ROUND((INDEX($E338:$G338,AL$5)-SUMIFS(TF_Timer,TF_Tekniker,AL$4,TF_Dato,$A338))*2,0)/2)))</f>
        <v/>
      </c>
      <c r="AM338">
        <f>IF(OR(AM$4="",$A338&gt;TODAY()),0,IF(OR(INDEX($B338:$D338,AM$5)="F",AND(AM$6&gt;0,$A338&lt;AM$6),AND(AM$7&gt;0,$A338&gt;AM$7)),0,MAX(0,ROUND((INDEX($E338:$G338,AM$5)-SUMIFS(TF_Timer,TF_Tekniker,AM$4,TF_Dato,$A338))*2,0)/2)))</f>
        <v/>
      </c>
      <c r="AN338">
        <f>IF(OR(AN$4="",$A338&gt;TODAY()),0,IF(OR(INDEX($B338:$D338,AN$5)="F",AND(AN$6&gt;0,$A338&lt;AN$6),AND(AN$7&gt;0,$A338&gt;AN$7)),0,MAX(0,ROUND((INDEX($E338:$G338,AN$5)-SUMIFS(TF_Timer,TF_Tekniker,AN$4,TF_Dato,$A338))*2,0)/2)))</f>
        <v/>
      </c>
      <c r="AO338">
        <f>IF(OR(AO$4="",$A338&gt;TODAY()),0,IF(OR(INDEX($B338:$D338,AO$5)="F",AND(AO$6&gt;0,$A338&lt;AO$6),AND(AO$7&gt;0,$A338&gt;AO$7)),0,MAX(0,ROUND((INDEX($E338:$G338,AO$5)-SUMIFS(TF_Timer,TF_Tekniker,AO$4,TF_Dato,$A338))*2,0)/2)))</f>
        <v/>
      </c>
      <c r="AP338">
        <f>IF(OR(AP$4="",$A338&gt;TODAY()),0,IF(OR(INDEX($B338:$D338,AP$5)="F",AND(AP$6&gt;0,$A338&lt;AP$6),AND(AP$7&gt;0,$A338&gt;AP$7)),0,MAX(0,ROUND((INDEX($E338:$G338,AP$5)-SUMIFS(TF_Timer,TF_Tekniker,AP$4,TF_Dato,$A338))*2,0)/2)))</f>
        <v/>
      </c>
      <c r="AQ338">
        <f>IF(OR(AQ$4="",$A338&gt;TODAY()),0,IF(OR(INDEX($B338:$D338,AQ$5)="F",AND(AQ$6&gt;0,$A338&lt;AQ$6),AND(AQ$7&gt;0,$A338&gt;AQ$7)),0,MAX(0,ROUND((INDEX($E338:$G338,AQ$5)-SUMIFS(TF_Timer,TF_Tekniker,AQ$4,TF_Dato,$A338))*2,0)/2)))</f>
        <v/>
      </c>
      <c r="AR338">
        <f>IF(OR(AR$4="",$A338&gt;TODAY()),0,IF(OR(INDEX($B338:$D338,AR$5)="F",AND(AR$6&gt;0,$A338&lt;AR$6),AND(AR$7&gt;0,$A338&gt;AR$7)),0,MAX(0,ROUND((INDEX($E338:$G338,AR$5)-SUMIFS(TF_Timer,TF_Tekniker,AR$4,TF_Dato,$A338))*2,0)/2)))</f>
        <v/>
      </c>
      <c r="AS338">
        <f>IF(OR(AS$4="",$A338&gt;TODAY()),0,IF(OR(INDEX($B338:$D338,AS$5)="F",AND(AS$6&gt;0,$A338&lt;AS$6),AND(AS$7&gt;0,$A338&gt;AS$7)),0,MAX(0,ROUND((INDEX($E338:$G338,AS$5)-SUMIFS(TF_Timer,TF_Tekniker,AS$4,TF_Dato,$A338))*2,0)/2)))</f>
        <v/>
      </c>
      <c r="AT338">
        <f>IF(OR(AT$4="",$A338&gt;TODAY()),0,IF(OR(INDEX($B338:$D338,AT$5)="F",AND(AT$6&gt;0,$A338&lt;AT$6),AND(AT$7&gt;0,$A338&gt;AT$7)),0,MAX(0,ROUND((INDEX($E338:$G338,AT$5)-SUMIFS(TF_Timer,TF_Tekniker,AT$4,TF_Dato,$A338))*2,0)/2)))</f>
        <v/>
      </c>
      <c r="AU338">
        <f>IF(OR(AU$4="",$A338&gt;TODAY()),0,IF(OR(INDEX($B338:$D338,AU$5)="F",AND(AU$6&gt;0,$A338&lt;AU$6),AND(AU$7&gt;0,$A338&gt;AU$7)),0,MAX(0,ROUND((INDEX($E338:$G338,AU$5)-SUMIFS(TF_Timer,TF_Tekniker,AU$4,TF_Dato,$A338))*2,0)/2)))</f>
        <v/>
      </c>
      <c r="AV338">
        <f>IF(OR(AV$4="",$A338&gt;TODAY()),0,IF(OR(INDEX($B338:$D338,AV$5)="F",AND(AV$6&gt;0,$A338&lt;AV$6),AND(AV$7&gt;0,$A338&gt;AV$7)),0,MAX(0,ROUND((INDEX($E338:$G338,AV$5)-SUMIFS(TF_Timer,TF_Tekniker,AV$4,TF_Dato,$A338))*2,0)/2)))</f>
        <v/>
      </c>
      <c r="AW338">
        <f>IF(OR(AW$4="",$A338&gt;TODAY()),0,IF(OR(INDEX($B338:$D338,AW$5)="F",AND(AW$6&gt;0,$A338&lt;AW$6),AND(AW$7&gt;0,$A338&gt;AW$7)),0,MAX(0,ROUND((INDEX($E338:$G338,AW$5)-SUMIFS(TF_Timer,TF_Tekniker,AW$4,TF_Dato,$A338))*2,0)/2)))</f>
        <v/>
      </c>
      <c r="AX338">
        <f>IF(OR(AX$4="",$A338&gt;TODAY()),0,IF(OR(INDEX($B338:$D338,AX$5)="F",AND(AX$6&gt;0,$A338&lt;AX$6),AND(AX$7&gt;0,$A338&gt;AX$7)),0,MAX(0,ROUND((INDEX($E338:$G338,AX$5)-SUMIFS(TF_Timer,TF_Tekniker,AX$4,TF_Dato,$A338))*2,0)/2)))</f>
        <v/>
      </c>
      <c r="AY338">
        <f>IF(OR(AY$4="",$A338&gt;TODAY()),0,IF(OR(INDEX($B338:$D338,AY$5)="F",AND(AY$6&gt;0,$A338&lt;AY$6),AND(AY$7&gt;0,$A338&gt;AY$7)),0,MAX(0,ROUND((INDEX($E338:$G338,AY$5)-SUMIFS(TF_Timer,TF_Tekniker,AY$4,TF_Dato,$A338))*2,0)/2)))</f>
        <v/>
      </c>
      <c r="AZ338">
        <f>IF(OR(AZ$4="",$A338&gt;TODAY()),0,IF(OR(INDEX($B338:$D338,AZ$5)="F",AND(AZ$6&gt;0,$A338&lt;AZ$6),AND(AZ$7&gt;0,$A338&gt;AZ$7)),0,MAX(0,ROUND((INDEX($E338:$G338,AZ$5)-SUMIFS(TF_Timer,TF_Tekniker,AZ$4,TF_Dato,$A338))*2,0)/2)))</f>
        <v/>
      </c>
      <c r="BA338">
        <f>IF(OR(BA$4="",$A338&gt;TODAY()),0,IF(OR(INDEX($B338:$D338,BA$5)="F",AND(BA$6&gt;0,$A338&lt;BA$6),AND(BA$7&gt;0,$A338&gt;BA$7)),0,MAX(0,ROUND((INDEX($E338:$G338,BA$5)-SUMIFS(TF_Timer,TF_Tekniker,BA$4,TF_Dato,$A338))*2,0)/2)))</f>
        <v/>
      </c>
      <c r="BB338">
        <f>IF(OR(BB$4="",$A338&gt;TODAY()),0,IF(OR(INDEX($B338:$D338,BB$5)="F",AND(BB$6&gt;0,$A338&lt;BB$6),AND(BB$7&gt;0,$A338&gt;BB$7)),0,MAX(0,ROUND((INDEX($E338:$G338,BB$5)-SUMIFS(TF_Timer,TF_Tekniker,BB$4,TF_Dato,$A338))*2,0)/2)))</f>
        <v/>
      </c>
      <c r="BC338">
        <f>IF(OR(BC$4="",$A338&gt;TODAY()),0,IF(OR(INDEX($B338:$D338,BC$5)="F",AND(BC$6&gt;0,$A338&lt;BC$6),AND(BC$7&gt;0,$A338&gt;BC$7)),0,MAX(0,ROUND((INDEX($E338:$G338,BC$5)-SUMIFS(TF_Timer,TF_Tekniker,BC$4,TF_Dato,$A338))*2,0)/2)))</f>
        <v/>
      </c>
      <c r="BD338">
        <f>IF(OR(BD$4="",$A338&gt;TODAY()),0,IF(OR(INDEX($B338:$D338,BD$5)="F",AND(BD$6&gt;0,$A338&lt;BD$6),AND(BD$7&gt;0,$A338&gt;BD$7)),0,MAX(0,ROUND((INDEX($E338:$G338,BD$5)-SUMIFS(TF_Timer,TF_Tekniker,BD$4,TF_Dato,$A338))*2,0)/2)))</f>
        <v/>
      </c>
      <c r="BE338">
        <f>IF(OR(BE$4="",$A338&gt;TODAY()),0,IF(OR(INDEX($B338:$D338,BE$5)="F",AND(BE$6&gt;0,$A338&lt;BE$6),AND(BE$7&gt;0,$A338&gt;BE$7)),0,MAX(0,ROUND((INDEX($E338:$G338,BE$5)-SUMIFS(TF_Timer,TF_Tekniker,BE$4,TF_Dato,$A338))*2,0)/2)))</f>
        <v/>
      </c>
      <c r="BF338">
        <f>IF(OR(BF$4="",$A338&gt;TODAY()),0,IF(OR(INDEX($B338:$D338,BF$5)="F",AND(BF$6&gt;0,$A338&lt;BF$6),AND(BF$7&gt;0,$A338&gt;BF$7)),0,MAX(0,ROUND((INDEX($E338:$G338,BF$5)-SUMIFS(TF_Timer,TF_Tekniker,BF$4,TF_Dato,$A338))*2,0)/2)))</f>
        <v/>
      </c>
      <c r="BG338">
        <f>IF(OR(BG$4="",$A338&gt;TODAY()),0,IF(OR(INDEX($B338:$D338,BG$5)="F",AND(BG$6&gt;0,$A338&lt;BG$6),AND(BG$7&gt;0,$A338&gt;BG$7)),0,MAX(0,ROUND((INDEX($E338:$G338,BG$5)-SUMIFS(TF_Timer,TF_Tekniker,BG$4,TF_Dato,$A338))*2,0)/2)))</f>
        <v/>
      </c>
      <c r="BH338">
        <f>IF(OR(BH$4="",$A338&gt;TODAY()),0,IF(OR(INDEX($B338:$D338,BH$5)="F",AND(BH$6&gt;0,$A338&lt;BH$6),AND(BH$7&gt;0,$A338&gt;BH$7)),0,MAX(0,ROUND((INDEX($E338:$G338,BH$5)-SUMIFS(TF_Timer,TF_Tekniker,BH$4,TF_Dato,$A338))*2,0)/2)))</f>
        <v/>
      </c>
      <c r="BI338">
        <f>IF(OR(BI$4="",$A338&gt;TODAY()),0,IF(OR(INDEX($B338:$D338,BI$5)="F",AND(BI$6&gt;0,$A338&lt;BI$6),AND(BI$7&gt;0,$A338&gt;BI$7)),0,MAX(0,ROUND((INDEX($E338:$G338,BI$5)-SUMIFS(TF_Timer,TF_Tekniker,BI$4,TF_Dato,$A338))*2,0)/2)))</f>
        <v/>
      </c>
    </row>
    <row r="339">
      <c r="A339" s="64">
        <f>A338+1</f>
        <v/>
      </c>
      <c r="B339">
        <f>IF(MOD($A339-INDEX(SkiftStart,1),Syklus)&lt;DagK,"K",IF(MOD($A339-INDEX(SkiftStart,1),Syklus)&lt;DagK+DagH,"H",IF(MOD($A339-INDEX(SkiftStart,1),Syklus)&lt;DagK+DagH+DagD,"D","F")))</f>
        <v/>
      </c>
      <c r="C339">
        <f>IF(MOD($A339-INDEX(SkiftStart,2),Syklus)&lt;DagK,"K",IF(MOD($A339-INDEX(SkiftStart,2),Syklus)&lt;DagK+DagH,"H",IF(MOD($A339-INDEX(SkiftStart,2),Syklus)&lt;DagK+DagH+DagD,"D","F")))</f>
        <v/>
      </c>
      <c r="D339">
        <f>IF(MOD($A339-INDEX(SkiftStart,3),Syklus)&lt;DagK,"K",IF(MOD($A339-INDEX(SkiftStart,3),Syklus)&lt;DagK+DagH,"H",IF(MOD($A339-INDEX(SkiftStart,3),Syklus)&lt;DagK+DagH+DagD,"D","F")))</f>
        <v/>
      </c>
      <c r="E339">
        <f>IF(B339="F",0,IF(WEEKDAY($A339,2)=5,INDEX(TimerFr,MATCH(B339,FaseKode,0)),INDEX(TimerMT,MATCH(B339,FaseKode,0))))</f>
        <v/>
      </c>
      <c r="F339">
        <f>IF(C339="F",0,IF(WEEKDAY($A339,2)=5,INDEX(TimerFr,MATCH(C339,FaseKode,0)),INDEX(TimerMT,MATCH(C339,FaseKode,0))))</f>
        <v/>
      </c>
      <c r="G339">
        <f>IF(D339="F",0,IF(WEEKDAY($A339,2)=5,INDEX(TimerFr,MATCH(D339,FaseKode,0)),INDEX(TimerMT,MATCH(D339,FaseKode,0))))</f>
        <v/>
      </c>
      <c r="H339">
        <f>IF(OR(H$4="",$A339&gt;TODAY()),0,IF(OR(INDEX($B339:$D339,H$5)="F",AND(H$6&gt;0,$A339&lt;H$6),AND(H$7&gt;0,$A339&gt;H$7)),0,MAX(0,ROUND((INDEX($E339:$G339,H$5)-SUMIFS(TF_Timer,TF_Tekniker,H$4,TF_Dato,$A339))*2,0)/2)))</f>
        <v/>
      </c>
      <c r="I339">
        <f>IF(OR(I$4="",$A339&gt;TODAY()),0,IF(OR(INDEX($B339:$D339,I$5)="F",AND(I$6&gt;0,$A339&lt;I$6),AND(I$7&gt;0,$A339&gt;I$7)),0,MAX(0,ROUND((INDEX($E339:$G339,I$5)-SUMIFS(TF_Timer,TF_Tekniker,I$4,TF_Dato,$A339))*2,0)/2)))</f>
        <v/>
      </c>
      <c r="J339">
        <f>IF(OR(J$4="",$A339&gt;TODAY()),0,IF(OR(INDEX($B339:$D339,J$5)="F",AND(J$6&gt;0,$A339&lt;J$6),AND(J$7&gt;0,$A339&gt;J$7)),0,MAX(0,ROUND((INDEX($E339:$G339,J$5)-SUMIFS(TF_Timer,TF_Tekniker,J$4,TF_Dato,$A339))*2,0)/2)))</f>
        <v/>
      </c>
      <c r="K339">
        <f>IF(OR(K$4="",$A339&gt;TODAY()),0,IF(OR(INDEX($B339:$D339,K$5)="F",AND(K$6&gt;0,$A339&lt;K$6),AND(K$7&gt;0,$A339&gt;K$7)),0,MAX(0,ROUND((INDEX($E339:$G339,K$5)-SUMIFS(TF_Timer,TF_Tekniker,K$4,TF_Dato,$A339))*2,0)/2)))</f>
        <v/>
      </c>
      <c r="L339">
        <f>IF(OR(L$4="",$A339&gt;TODAY()),0,IF(OR(INDEX($B339:$D339,L$5)="F",AND(L$6&gt;0,$A339&lt;L$6),AND(L$7&gt;0,$A339&gt;L$7)),0,MAX(0,ROUND((INDEX($E339:$G339,L$5)-SUMIFS(TF_Timer,TF_Tekniker,L$4,TF_Dato,$A339))*2,0)/2)))</f>
        <v/>
      </c>
      <c r="M339">
        <f>IF(OR(M$4="",$A339&gt;TODAY()),0,IF(OR(INDEX($B339:$D339,M$5)="F",AND(M$6&gt;0,$A339&lt;M$6),AND(M$7&gt;0,$A339&gt;M$7)),0,MAX(0,ROUND((INDEX($E339:$G339,M$5)-SUMIFS(TF_Timer,TF_Tekniker,M$4,TF_Dato,$A339))*2,0)/2)))</f>
        <v/>
      </c>
      <c r="N339">
        <f>IF(OR(N$4="",$A339&gt;TODAY()),0,IF(OR(INDEX($B339:$D339,N$5)="F",AND(N$6&gt;0,$A339&lt;N$6),AND(N$7&gt;0,$A339&gt;N$7)),0,MAX(0,ROUND((INDEX($E339:$G339,N$5)-SUMIFS(TF_Timer,TF_Tekniker,N$4,TF_Dato,$A339))*2,0)/2)))</f>
        <v/>
      </c>
      <c r="O339">
        <f>IF(OR(O$4="",$A339&gt;TODAY()),0,IF(OR(INDEX($B339:$D339,O$5)="F",AND(O$6&gt;0,$A339&lt;O$6),AND(O$7&gt;0,$A339&gt;O$7)),0,MAX(0,ROUND((INDEX($E339:$G339,O$5)-SUMIFS(TF_Timer,TF_Tekniker,O$4,TF_Dato,$A339))*2,0)/2)))</f>
        <v/>
      </c>
      <c r="P339">
        <f>IF(OR(P$4="",$A339&gt;TODAY()),0,IF(OR(INDEX($B339:$D339,P$5)="F",AND(P$6&gt;0,$A339&lt;P$6),AND(P$7&gt;0,$A339&gt;P$7)),0,MAX(0,ROUND((INDEX($E339:$G339,P$5)-SUMIFS(TF_Timer,TF_Tekniker,P$4,TF_Dato,$A339))*2,0)/2)))</f>
        <v/>
      </c>
      <c r="Q339">
        <f>IF(OR(Q$4="",$A339&gt;TODAY()),0,IF(OR(INDEX($B339:$D339,Q$5)="F",AND(Q$6&gt;0,$A339&lt;Q$6),AND(Q$7&gt;0,$A339&gt;Q$7)),0,MAX(0,ROUND((INDEX($E339:$G339,Q$5)-SUMIFS(TF_Timer,TF_Tekniker,Q$4,TF_Dato,$A339))*2,0)/2)))</f>
        <v/>
      </c>
      <c r="R339">
        <f>IF(OR(R$4="",$A339&gt;TODAY()),0,IF(OR(INDEX($B339:$D339,R$5)="F",AND(R$6&gt;0,$A339&lt;R$6),AND(R$7&gt;0,$A339&gt;R$7)),0,MAX(0,ROUND((INDEX($E339:$G339,R$5)-SUMIFS(TF_Timer,TF_Tekniker,R$4,TF_Dato,$A339))*2,0)/2)))</f>
        <v/>
      </c>
      <c r="S339">
        <f>IF(OR(S$4="",$A339&gt;TODAY()),0,IF(OR(INDEX($B339:$D339,S$5)="F",AND(S$6&gt;0,$A339&lt;S$6),AND(S$7&gt;0,$A339&gt;S$7)),0,MAX(0,ROUND((INDEX($E339:$G339,S$5)-SUMIFS(TF_Timer,TF_Tekniker,S$4,TF_Dato,$A339))*2,0)/2)))</f>
        <v/>
      </c>
      <c r="T339">
        <f>IF(OR(T$4="",$A339&gt;TODAY()),0,IF(OR(INDEX($B339:$D339,T$5)="F",AND(T$6&gt;0,$A339&lt;T$6),AND(T$7&gt;0,$A339&gt;T$7)),0,MAX(0,ROUND((INDEX($E339:$G339,T$5)-SUMIFS(TF_Timer,TF_Tekniker,T$4,TF_Dato,$A339))*2,0)/2)))</f>
        <v/>
      </c>
      <c r="U339">
        <f>IF(OR(U$4="",$A339&gt;TODAY()),0,IF(OR(INDEX($B339:$D339,U$5)="F",AND(U$6&gt;0,$A339&lt;U$6),AND(U$7&gt;0,$A339&gt;U$7)),0,MAX(0,ROUND((INDEX($E339:$G339,U$5)-SUMIFS(TF_Timer,TF_Tekniker,U$4,TF_Dato,$A339))*2,0)/2)))</f>
        <v/>
      </c>
      <c r="V339">
        <f>IF(OR(V$4="",$A339&gt;TODAY()),0,IF(OR(INDEX($B339:$D339,V$5)="F",AND(V$6&gt;0,$A339&lt;V$6),AND(V$7&gt;0,$A339&gt;V$7)),0,MAX(0,ROUND((INDEX($E339:$G339,V$5)-SUMIFS(TF_Timer,TF_Tekniker,V$4,TF_Dato,$A339))*2,0)/2)))</f>
        <v/>
      </c>
      <c r="W339">
        <f>IF(OR(W$4="",$A339&gt;TODAY()),0,IF(OR(INDEX($B339:$D339,W$5)="F",AND(W$6&gt;0,$A339&lt;W$6),AND(W$7&gt;0,$A339&gt;W$7)),0,MAX(0,ROUND((INDEX($E339:$G339,W$5)-SUMIFS(TF_Timer,TF_Tekniker,W$4,TF_Dato,$A339))*2,0)/2)))</f>
        <v/>
      </c>
      <c r="X339">
        <f>IF(OR(X$4="",$A339&gt;TODAY()),0,IF(OR(INDEX($B339:$D339,X$5)="F",AND(X$6&gt;0,$A339&lt;X$6),AND(X$7&gt;0,$A339&gt;X$7)),0,MAX(0,ROUND((INDEX($E339:$G339,X$5)-SUMIFS(TF_Timer,TF_Tekniker,X$4,TF_Dato,$A339))*2,0)/2)))</f>
        <v/>
      </c>
      <c r="Y339">
        <f>IF(OR(Y$4="",$A339&gt;TODAY()),0,IF(OR(INDEX($B339:$D339,Y$5)="F",AND(Y$6&gt;0,$A339&lt;Y$6),AND(Y$7&gt;0,$A339&gt;Y$7)),0,MAX(0,ROUND((INDEX($E339:$G339,Y$5)-SUMIFS(TF_Timer,TF_Tekniker,Y$4,TF_Dato,$A339))*2,0)/2)))</f>
        <v/>
      </c>
      <c r="Z339">
        <f>IF(OR(Z$4="",$A339&gt;TODAY()),0,IF(OR(INDEX($B339:$D339,Z$5)="F",AND(Z$6&gt;0,$A339&lt;Z$6),AND(Z$7&gt;0,$A339&gt;Z$7)),0,MAX(0,ROUND((INDEX($E339:$G339,Z$5)-SUMIFS(TF_Timer,TF_Tekniker,Z$4,TF_Dato,$A339))*2,0)/2)))</f>
        <v/>
      </c>
      <c r="AA339">
        <f>IF(OR(AA$4="",$A339&gt;TODAY()),0,IF(OR(INDEX($B339:$D339,AA$5)="F",AND(AA$6&gt;0,$A339&lt;AA$6),AND(AA$7&gt;0,$A339&gt;AA$7)),0,MAX(0,ROUND((INDEX($E339:$G339,AA$5)-SUMIFS(TF_Timer,TF_Tekniker,AA$4,TF_Dato,$A339))*2,0)/2)))</f>
        <v/>
      </c>
      <c r="AB339">
        <f>IF(OR(AB$4="",$A339&gt;TODAY()),0,IF(OR(INDEX($B339:$D339,AB$5)="F",AND(AB$6&gt;0,$A339&lt;AB$6),AND(AB$7&gt;0,$A339&gt;AB$7)),0,MAX(0,ROUND((INDEX($E339:$G339,AB$5)-SUMIFS(TF_Timer,TF_Tekniker,AB$4,TF_Dato,$A339))*2,0)/2)))</f>
        <v/>
      </c>
      <c r="AC339">
        <f>IF(OR(AC$4="",$A339&gt;TODAY()),0,IF(OR(INDEX($B339:$D339,AC$5)="F",AND(AC$6&gt;0,$A339&lt;AC$6),AND(AC$7&gt;0,$A339&gt;AC$7)),0,MAX(0,ROUND((INDEX($E339:$G339,AC$5)-SUMIFS(TF_Timer,TF_Tekniker,AC$4,TF_Dato,$A339))*2,0)/2)))</f>
        <v/>
      </c>
      <c r="AD339">
        <f>IF(OR(AD$4="",$A339&gt;TODAY()),0,IF(OR(INDEX($B339:$D339,AD$5)="F",AND(AD$6&gt;0,$A339&lt;AD$6),AND(AD$7&gt;0,$A339&gt;AD$7)),0,MAX(0,ROUND((INDEX($E339:$G339,AD$5)-SUMIFS(TF_Timer,TF_Tekniker,AD$4,TF_Dato,$A339))*2,0)/2)))</f>
        <v/>
      </c>
      <c r="AE339">
        <f>IF(OR(AE$4="",$A339&gt;TODAY()),0,IF(OR(INDEX($B339:$D339,AE$5)="F",AND(AE$6&gt;0,$A339&lt;AE$6),AND(AE$7&gt;0,$A339&gt;AE$7)),0,MAX(0,ROUND((INDEX($E339:$G339,AE$5)-SUMIFS(TF_Timer,TF_Tekniker,AE$4,TF_Dato,$A339))*2,0)/2)))</f>
        <v/>
      </c>
      <c r="AF339">
        <f>IF(OR(AF$4="",$A339&gt;TODAY()),0,IF(OR(INDEX($B339:$D339,AF$5)="F",AND(AF$6&gt;0,$A339&lt;AF$6),AND(AF$7&gt;0,$A339&gt;AF$7)),0,MAX(0,ROUND((INDEX($E339:$G339,AF$5)-SUMIFS(TF_Timer,TF_Tekniker,AF$4,TF_Dato,$A339))*2,0)/2)))</f>
        <v/>
      </c>
      <c r="AG339">
        <f>IF(OR(AG$4="",$A339&gt;TODAY()),0,IF(OR(INDEX($B339:$D339,AG$5)="F",AND(AG$6&gt;0,$A339&lt;AG$6),AND(AG$7&gt;0,$A339&gt;AG$7)),0,MAX(0,ROUND((INDEX($E339:$G339,AG$5)-SUMIFS(TF_Timer,TF_Tekniker,AG$4,TF_Dato,$A339))*2,0)/2)))</f>
        <v/>
      </c>
      <c r="AH339">
        <f>IF(OR(AH$4="",$A339&gt;TODAY()),0,IF(OR(INDEX($B339:$D339,AH$5)="F",AND(AH$6&gt;0,$A339&lt;AH$6),AND(AH$7&gt;0,$A339&gt;AH$7)),0,MAX(0,ROUND((INDEX($E339:$G339,AH$5)-SUMIFS(TF_Timer,TF_Tekniker,AH$4,TF_Dato,$A339))*2,0)/2)))</f>
        <v/>
      </c>
      <c r="AI339">
        <f>IF(OR(AI$4="",$A339&gt;TODAY()),0,IF(OR(INDEX($B339:$D339,AI$5)="F",AND(AI$6&gt;0,$A339&lt;AI$6),AND(AI$7&gt;0,$A339&gt;AI$7)),0,MAX(0,ROUND((INDEX($E339:$G339,AI$5)-SUMIFS(TF_Timer,TF_Tekniker,AI$4,TF_Dato,$A339))*2,0)/2)))</f>
        <v/>
      </c>
      <c r="AJ339">
        <f>IF(OR(AJ$4="",$A339&gt;TODAY()),0,IF(OR(INDEX($B339:$D339,AJ$5)="F",AND(AJ$6&gt;0,$A339&lt;AJ$6),AND(AJ$7&gt;0,$A339&gt;AJ$7)),0,MAX(0,ROUND((INDEX($E339:$G339,AJ$5)-SUMIFS(TF_Timer,TF_Tekniker,AJ$4,TF_Dato,$A339))*2,0)/2)))</f>
        <v/>
      </c>
      <c r="AK339">
        <f>IF(OR(AK$4="",$A339&gt;TODAY()),0,IF(OR(INDEX($B339:$D339,AK$5)="F",AND(AK$6&gt;0,$A339&lt;AK$6),AND(AK$7&gt;0,$A339&gt;AK$7)),0,MAX(0,ROUND((INDEX($E339:$G339,AK$5)-SUMIFS(TF_Timer,TF_Tekniker,AK$4,TF_Dato,$A339))*2,0)/2)))</f>
        <v/>
      </c>
      <c r="AL339">
        <f>IF(OR(AL$4="",$A339&gt;TODAY()),0,IF(OR(INDEX($B339:$D339,AL$5)="F",AND(AL$6&gt;0,$A339&lt;AL$6),AND(AL$7&gt;0,$A339&gt;AL$7)),0,MAX(0,ROUND((INDEX($E339:$G339,AL$5)-SUMIFS(TF_Timer,TF_Tekniker,AL$4,TF_Dato,$A339))*2,0)/2)))</f>
        <v/>
      </c>
      <c r="AM339">
        <f>IF(OR(AM$4="",$A339&gt;TODAY()),0,IF(OR(INDEX($B339:$D339,AM$5)="F",AND(AM$6&gt;0,$A339&lt;AM$6),AND(AM$7&gt;0,$A339&gt;AM$7)),0,MAX(0,ROUND((INDEX($E339:$G339,AM$5)-SUMIFS(TF_Timer,TF_Tekniker,AM$4,TF_Dato,$A339))*2,0)/2)))</f>
        <v/>
      </c>
      <c r="AN339">
        <f>IF(OR(AN$4="",$A339&gt;TODAY()),0,IF(OR(INDEX($B339:$D339,AN$5)="F",AND(AN$6&gt;0,$A339&lt;AN$6),AND(AN$7&gt;0,$A339&gt;AN$7)),0,MAX(0,ROUND((INDEX($E339:$G339,AN$5)-SUMIFS(TF_Timer,TF_Tekniker,AN$4,TF_Dato,$A339))*2,0)/2)))</f>
        <v/>
      </c>
      <c r="AO339">
        <f>IF(OR(AO$4="",$A339&gt;TODAY()),0,IF(OR(INDEX($B339:$D339,AO$5)="F",AND(AO$6&gt;0,$A339&lt;AO$6),AND(AO$7&gt;0,$A339&gt;AO$7)),0,MAX(0,ROUND((INDEX($E339:$G339,AO$5)-SUMIFS(TF_Timer,TF_Tekniker,AO$4,TF_Dato,$A339))*2,0)/2)))</f>
        <v/>
      </c>
      <c r="AP339">
        <f>IF(OR(AP$4="",$A339&gt;TODAY()),0,IF(OR(INDEX($B339:$D339,AP$5)="F",AND(AP$6&gt;0,$A339&lt;AP$6),AND(AP$7&gt;0,$A339&gt;AP$7)),0,MAX(0,ROUND((INDEX($E339:$G339,AP$5)-SUMIFS(TF_Timer,TF_Tekniker,AP$4,TF_Dato,$A339))*2,0)/2)))</f>
        <v/>
      </c>
      <c r="AQ339">
        <f>IF(OR(AQ$4="",$A339&gt;TODAY()),0,IF(OR(INDEX($B339:$D339,AQ$5)="F",AND(AQ$6&gt;0,$A339&lt;AQ$6),AND(AQ$7&gt;0,$A339&gt;AQ$7)),0,MAX(0,ROUND((INDEX($E339:$G339,AQ$5)-SUMIFS(TF_Timer,TF_Tekniker,AQ$4,TF_Dato,$A339))*2,0)/2)))</f>
        <v/>
      </c>
      <c r="AR339">
        <f>IF(OR(AR$4="",$A339&gt;TODAY()),0,IF(OR(INDEX($B339:$D339,AR$5)="F",AND(AR$6&gt;0,$A339&lt;AR$6),AND(AR$7&gt;0,$A339&gt;AR$7)),0,MAX(0,ROUND((INDEX($E339:$G339,AR$5)-SUMIFS(TF_Timer,TF_Tekniker,AR$4,TF_Dato,$A339))*2,0)/2)))</f>
        <v/>
      </c>
      <c r="AS339">
        <f>IF(OR(AS$4="",$A339&gt;TODAY()),0,IF(OR(INDEX($B339:$D339,AS$5)="F",AND(AS$6&gt;0,$A339&lt;AS$6),AND(AS$7&gt;0,$A339&gt;AS$7)),0,MAX(0,ROUND((INDEX($E339:$G339,AS$5)-SUMIFS(TF_Timer,TF_Tekniker,AS$4,TF_Dato,$A339))*2,0)/2)))</f>
        <v/>
      </c>
      <c r="AT339">
        <f>IF(OR(AT$4="",$A339&gt;TODAY()),0,IF(OR(INDEX($B339:$D339,AT$5)="F",AND(AT$6&gt;0,$A339&lt;AT$6),AND(AT$7&gt;0,$A339&gt;AT$7)),0,MAX(0,ROUND((INDEX($E339:$G339,AT$5)-SUMIFS(TF_Timer,TF_Tekniker,AT$4,TF_Dato,$A339))*2,0)/2)))</f>
        <v/>
      </c>
      <c r="AU339">
        <f>IF(OR(AU$4="",$A339&gt;TODAY()),0,IF(OR(INDEX($B339:$D339,AU$5)="F",AND(AU$6&gt;0,$A339&lt;AU$6),AND(AU$7&gt;0,$A339&gt;AU$7)),0,MAX(0,ROUND((INDEX($E339:$G339,AU$5)-SUMIFS(TF_Timer,TF_Tekniker,AU$4,TF_Dato,$A339))*2,0)/2)))</f>
        <v/>
      </c>
      <c r="AV339">
        <f>IF(OR(AV$4="",$A339&gt;TODAY()),0,IF(OR(INDEX($B339:$D339,AV$5)="F",AND(AV$6&gt;0,$A339&lt;AV$6),AND(AV$7&gt;0,$A339&gt;AV$7)),0,MAX(0,ROUND((INDEX($E339:$G339,AV$5)-SUMIFS(TF_Timer,TF_Tekniker,AV$4,TF_Dato,$A339))*2,0)/2)))</f>
        <v/>
      </c>
      <c r="AW339">
        <f>IF(OR(AW$4="",$A339&gt;TODAY()),0,IF(OR(INDEX($B339:$D339,AW$5)="F",AND(AW$6&gt;0,$A339&lt;AW$6),AND(AW$7&gt;0,$A339&gt;AW$7)),0,MAX(0,ROUND((INDEX($E339:$G339,AW$5)-SUMIFS(TF_Timer,TF_Tekniker,AW$4,TF_Dato,$A339))*2,0)/2)))</f>
        <v/>
      </c>
      <c r="AX339">
        <f>IF(OR(AX$4="",$A339&gt;TODAY()),0,IF(OR(INDEX($B339:$D339,AX$5)="F",AND(AX$6&gt;0,$A339&lt;AX$6),AND(AX$7&gt;0,$A339&gt;AX$7)),0,MAX(0,ROUND((INDEX($E339:$G339,AX$5)-SUMIFS(TF_Timer,TF_Tekniker,AX$4,TF_Dato,$A339))*2,0)/2)))</f>
        <v/>
      </c>
      <c r="AY339">
        <f>IF(OR(AY$4="",$A339&gt;TODAY()),0,IF(OR(INDEX($B339:$D339,AY$5)="F",AND(AY$6&gt;0,$A339&lt;AY$6),AND(AY$7&gt;0,$A339&gt;AY$7)),0,MAX(0,ROUND((INDEX($E339:$G339,AY$5)-SUMIFS(TF_Timer,TF_Tekniker,AY$4,TF_Dato,$A339))*2,0)/2)))</f>
        <v/>
      </c>
      <c r="AZ339">
        <f>IF(OR(AZ$4="",$A339&gt;TODAY()),0,IF(OR(INDEX($B339:$D339,AZ$5)="F",AND(AZ$6&gt;0,$A339&lt;AZ$6),AND(AZ$7&gt;0,$A339&gt;AZ$7)),0,MAX(0,ROUND((INDEX($E339:$G339,AZ$5)-SUMIFS(TF_Timer,TF_Tekniker,AZ$4,TF_Dato,$A339))*2,0)/2)))</f>
        <v/>
      </c>
      <c r="BA339">
        <f>IF(OR(BA$4="",$A339&gt;TODAY()),0,IF(OR(INDEX($B339:$D339,BA$5)="F",AND(BA$6&gt;0,$A339&lt;BA$6),AND(BA$7&gt;0,$A339&gt;BA$7)),0,MAX(0,ROUND((INDEX($E339:$G339,BA$5)-SUMIFS(TF_Timer,TF_Tekniker,BA$4,TF_Dato,$A339))*2,0)/2)))</f>
        <v/>
      </c>
      <c r="BB339">
        <f>IF(OR(BB$4="",$A339&gt;TODAY()),0,IF(OR(INDEX($B339:$D339,BB$5)="F",AND(BB$6&gt;0,$A339&lt;BB$6),AND(BB$7&gt;0,$A339&gt;BB$7)),0,MAX(0,ROUND((INDEX($E339:$G339,BB$5)-SUMIFS(TF_Timer,TF_Tekniker,BB$4,TF_Dato,$A339))*2,0)/2)))</f>
        <v/>
      </c>
      <c r="BC339">
        <f>IF(OR(BC$4="",$A339&gt;TODAY()),0,IF(OR(INDEX($B339:$D339,BC$5)="F",AND(BC$6&gt;0,$A339&lt;BC$6),AND(BC$7&gt;0,$A339&gt;BC$7)),0,MAX(0,ROUND((INDEX($E339:$G339,BC$5)-SUMIFS(TF_Timer,TF_Tekniker,BC$4,TF_Dato,$A339))*2,0)/2)))</f>
        <v/>
      </c>
      <c r="BD339">
        <f>IF(OR(BD$4="",$A339&gt;TODAY()),0,IF(OR(INDEX($B339:$D339,BD$5)="F",AND(BD$6&gt;0,$A339&lt;BD$6),AND(BD$7&gt;0,$A339&gt;BD$7)),0,MAX(0,ROUND((INDEX($E339:$G339,BD$5)-SUMIFS(TF_Timer,TF_Tekniker,BD$4,TF_Dato,$A339))*2,0)/2)))</f>
        <v/>
      </c>
      <c r="BE339">
        <f>IF(OR(BE$4="",$A339&gt;TODAY()),0,IF(OR(INDEX($B339:$D339,BE$5)="F",AND(BE$6&gt;0,$A339&lt;BE$6),AND(BE$7&gt;0,$A339&gt;BE$7)),0,MAX(0,ROUND((INDEX($E339:$G339,BE$5)-SUMIFS(TF_Timer,TF_Tekniker,BE$4,TF_Dato,$A339))*2,0)/2)))</f>
        <v/>
      </c>
      <c r="BF339">
        <f>IF(OR(BF$4="",$A339&gt;TODAY()),0,IF(OR(INDEX($B339:$D339,BF$5)="F",AND(BF$6&gt;0,$A339&lt;BF$6),AND(BF$7&gt;0,$A339&gt;BF$7)),0,MAX(0,ROUND((INDEX($E339:$G339,BF$5)-SUMIFS(TF_Timer,TF_Tekniker,BF$4,TF_Dato,$A339))*2,0)/2)))</f>
        <v/>
      </c>
      <c r="BG339">
        <f>IF(OR(BG$4="",$A339&gt;TODAY()),0,IF(OR(INDEX($B339:$D339,BG$5)="F",AND(BG$6&gt;0,$A339&lt;BG$6),AND(BG$7&gt;0,$A339&gt;BG$7)),0,MAX(0,ROUND((INDEX($E339:$G339,BG$5)-SUMIFS(TF_Timer,TF_Tekniker,BG$4,TF_Dato,$A339))*2,0)/2)))</f>
        <v/>
      </c>
      <c r="BH339">
        <f>IF(OR(BH$4="",$A339&gt;TODAY()),0,IF(OR(INDEX($B339:$D339,BH$5)="F",AND(BH$6&gt;0,$A339&lt;BH$6),AND(BH$7&gt;0,$A339&gt;BH$7)),0,MAX(0,ROUND((INDEX($E339:$G339,BH$5)-SUMIFS(TF_Timer,TF_Tekniker,BH$4,TF_Dato,$A339))*2,0)/2)))</f>
        <v/>
      </c>
      <c r="BI339">
        <f>IF(OR(BI$4="",$A339&gt;TODAY()),0,IF(OR(INDEX($B339:$D339,BI$5)="F",AND(BI$6&gt;0,$A339&lt;BI$6),AND(BI$7&gt;0,$A339&gt;BI$7)),0,MAX(0,ROUND((INDEX($E339:$G339,BI$5)-SUMIFS(TF_Timer,TF_Tekniker,BI$4,TF_Dato,$A339))*2,0)/2)))</f>
        <v/>
      </c>
    </row>
    <row r="340">
      <c r="A340" s="64">
        <f>A339+1</f>
        <v/>
      </c>
      <c r="B340">
        <f>IF(MOD($A340-INDEX(SkiftStart,1),Syklus)&lt;DagK,"K",IF(MOD($A340-INDEX(SkiftStart,1),Syklus)&lt;DagK+DagH,"H",IF(MOD($A340-INDEX(SkiftStart,1),Syklus)&lt;DagK+DagH+DagD,"D","F")))</f>
        <v/>
      </c>
      <c r="C340">
        <f>IF(MOD($A340-INDEX(SkiftStart,2),Syklus)&lt;DagK,"K",IF(MOD($A340-INDEX(SkiftStart,2),Syklus)&lt;DagK+DagH,"H",IF(MOD($A340-INDEX(SkiftStart,2),Syklus)&lt;DagK+DagH+DagD,"D","F")))</f>
        <v/>
      </c>
      <c r="D340">
        <f>IF(MOD($A340-INDEX(SkiftStart,3),Syklus)&lt;DagK,"K",IF(MOD($A340-INDEX(SkiftStart,3),Syklus)&lt;DagK+DagH,"H",IF(MOD($A340-INDEX(SkiftStart,3),Syklus)&lt;DagK+DagH+DagD,"D","F")))</f>
        <v/>
      </c>
      <c r="E340">
        <f>IF(B340="F",0,IF(WEEKDAY($A340,2)=5,INDEX(TimerFr,MATCH(B340,FaseKode,0)),INDEX(TimerMT,MATCH(B340,FaseKode,0))))</f>
        <v/>
      </c>
      <c r="F340">
        <f>IF(C340="F",0,IF(WEEKDAY($A340,2)=5,INDEX(TimerFr,MATCH(C340,FaseKode,0)),INDEX(TimerMT,MATCH(C340,FaseKode,0))))</f>
        <v/>
      </c>
      <c r="G340">
        <f>IF(D340="F",0,IF(WEEKDAY($A340,2)=5,INDEX(TimerFr,MATCH(D340,FaseKode,0)),INDEX(TimerMT,MATCH(D340,FaseKode,0))))</f>
        <v/>
      </c>
      <c r="H340">
        <f>IF(OR(H$4="",$A340&gt;TODAY()),0,IF(OR(INDEX($B340:$D340,H$5)="F",AND(H$6&gt;0,$A340&lt;H$6),AND(H$7&gt;0,$A340&gt;H$7)),0,MAX(0,ROUND((INDEX($E340:$G340,H$5)-SUMIFS(TF_Timer,TF_Tekniker,H$4,TF_Dato,$A340))*2,0)/2)))</f>
        <v/>
      </c>
      <c r="I340">
        <f>IF(OR(I$4="",$A340&gt;TODAY()),0,IF(OR(INDEX($B340:$D340,I$5)="F",AND(I$6&gt;0,$A340&lt;I$6),AND(I$7&gt;0,$A340&gt;I$7)),0,MAX(0,ROUND((INDEX($E340:$G340,I$5)-SUMIFS(TF_Timer,TF_Tekniker,I$4,TF_Dato,$A340))*2,0)/2)))</f>
        <v/>
      </c>
      <c r="J340">
        <f>IF(OR(J$4="",$A340&gt;TODAY()),0,IF(OR(INDEX($B340:$D340,J$5)="F",AND(J$6&gt;0,$A340&lt;J$6),AND(J$7&gt;0,$A340&gt;J$7)),0,MAX(0,ROUND((INDEX($E340:$G340,J$5)-SUMIFS(TF_Timer,TF_Tekniker,J$4,TF_Dato,$A340))*2,0)/2)))</f>
        <v/>
      </c>
      <c r="K340">
        <f>IF(OR(K$4="",$A340&gt;TODAY()),0,IF(OR(INDEX($B340:$D340,K$5)="F",AND(K$6&gt;0,$A340&lt;K$6),AND(K$7&gt;0,$A340&gt;K$7)),0,MAX(0,ROUND((INDEX($E340:$G340,K$5)-SUMIFS(TF_Timer,TF_Tekniker,K$4,TF_Dato,$A340))*2,0)/2)))</f>
        <v/>
      </c>
      <c r="L340">
        <f>IF(OR(L$4="",$A340&gt;TODAY()),0,IF(OR(INDEX($B340:$D340,L$5)="F",AND(L$6&gt;0,$A340&lt;L$6),AND(L$7&gt;0,$A340&gt;L$7)),0,MAX(0,ROUND((INDEX($E340:$G340,L$5)-SUMIFS(TF_Timer,TF_Tekniker,L$4,TF_Dato,$A340))*2,0)/2)))</f>
        <v/>
      </c>
      <c r="M340">
        <f>IF(OR(M$4="",$A340&gt;TODAY()),0,IF(OR(INDEX($B340:$D340,M$5)="F",AND(M$6&gt;0,$A340&lt;M$6),AND(M$7&gt;0,$A340&gt;M$7)),0,MAX(0,ROUND((INDEX($E340:$G340,M$5)-SUMIFS(TF_Timer,TF_Tekniker,M$4,TF_Dato,$A340))*2,0)/2)))</f>
        <v/>
      </c>
      <c r="N340">
        <f>IF(OR(N$4="",$A340&gt;TODAY()),0,IF(OR(INDEX($B340:$D340,N$5)="F",AND(N$6&gt;0,$A340&lt;N$6),AND(N$7&gt;0,$A340&gt;N$7)),0,MAX(0,ROUND((INDEX($E340:$G340,N$5)-SUMIFS(TF_Timer,TF_Tekniker,N$4,TF_Dato,$A340))*2,0)/2)))</f>
        <v/>
      </c>
      <c r="O340">
        <f>IF(OR(O$4="",$A340&gt;TODAY()),0,IF(OR(INDEX($B340:$D340,O$5)="F",AND(O$6&gt;0,$A340&lt;O$6),AND(O$7&gt;0,$A340&gt;O$7)),0,MAX(0,ROUND((INDEX($E340:$G340,O$5)-SUMIFS(TF_Timer,TF_Tekniker,O$4,TF_Dato,$A340))*2,0)/2)))</f>
        <v/>
      </c>
      <c r="P340">
        <f>IF(OR(P$4="",$A340&gt;TODAY()),0,IF(OR(INDEX($B340:$D340,P$5)="F",AND(P$6&gt;0,$A340&lt;P$6),AND(P$7&gt;0,$A340&gt;P$7)),0,MAX(0,ROUND((INDEX($E340:$G340,P$5)-SUMIFS(TF_Timer,TF_Tekniker,P$4,TF_Dato,$A340))*2,0)/2)))</f>
        <v/>
      </c>
      <c r="Q340">
        <f>IF(OR(Q$4="",$A340&gt;TODAY()),0,IF(OR(INDEX($B340:$D340,Q$5)="F",AND(Q$6&gt;0,$A340&lt;Q$6),AND(Q$7&gt;0,$A340&gt;Q$7)),0,MAX(0,ROUND((INDEX($E340:$G340,Q$5)-SUMIFS(TF_Timer,TF_Tekniker,Q$4,TF_Dato,$A340))*2,0)/2)))</f>
        <v/>
      </c>
      <c r="R340">
        <f>IF(OR(R$4="",$A340&gt;TODAY()),0,IF(OR(INDEX($B340:$D340,R$5)="F",AND(R$6&gt;0,$A340&lt;R$6),AND(R$7&gt;0,$A340&gt;R$7)),0,MAX(0,ROUND((INDEX($E340:$G340,R$5)-SUMIFS(TF_Timer,TF_Tekniker,R$4,TF_Dato,$A340))*2,0)/2)))</f>
        <v/>
      </c>
      <c r="S340">
        <f>IF(OR(S$4="",$A340&gt;TODAY()),0,IF(OR(INDEX($B340:$D340,S$5)="F",AND(S$6&gt;0,$A340&lt;S$6),AND(S$7&gt;0,$A340&gt;S$7)),0,MAX(0,ROUND((INDEX($E340:$G340,S$5)-SUMIFS(TF_Timer,TF_Tekniker,S$4,TF_Dato,$A340))*2,0)/2)))</f>
        <v/>
      </c>
      <c r="T340">
        <f>IF(OR(T$4="",$A340&gt;TODAY()),0,IF(OR(INDEX($B340:$D340,T$5)="F",AND(T$6&gt;0,$A340&lt;T$6),AND(T$7&gt;0,$A340&gt;T$7)),0,MAX(0,ROUND((INDEX($E340:$G340,T$5)-SUMIFS(TF_Timer,TF_Tekniker,T$4,TF_Dato,$A340))*2,0)/2)))</f>
        <v/>
      </c>
      <c r="U340">
        <f>IF(OR(U$4="",$A340&gt;TODAY()),0,IF(OR(INDEX($B340:$D340,U$5)="F",AND(U$6&gt;0,$A340&lt;U$6),AND(U$7&gt;0,$A340&gt;U$7)),0,MAX(0,ROUND((INDEX($E340:$G340,U$5)-SUMIFS(TF_Timer,TF_Tekniker,U$4,TF_Dato,$A340))*2,0)/2)))</f>
        <v/>
      </c>
      <c r="V340">
        <f>IF(OR(V$4="",$A340&gt;TODAY()),0,IF(OR(INDEX($B340:$D340,V$5)="F",AND(V$6&gt;0,$A340&lt;V$6),AND(V$7&gt;0,$A340&gt;V$7)),0,MAX(0,ROUND((INDEX($E340:$G340,V$5)-SUMIFS(TF_Timer,TF_Tekniker,V$4,TF_Dato,$A340))*2,0)/2)))</f>
        <v/>
      </c>
      <c r="W340">
        <f>IF(OR(W$4="",$A340&gt;TODAY()),0,IF(OR(INDEX($B340:$D340,W$5)="F",AND(W$6&gt;0,$A340&lt;W$6),AND(W$7&gt;0,$A340&gt;W$7)),0,MAX(0,ROUND((INDEX($E340:$G340,W$5)-SUMIFS(TF_Timer,TF_Tekniker,W$4,TF_Dato,$A340))*2,0)/2)))</f>
        <v/>
      </c>
      <c r="X340">
        <f>IF(OR(X$4="",$A340&gt;TODAY()),0,IF(OR(INDEX($B340:$D340,X$5)="F",AND(X$6&gt;0,$A340&lt;X$6),AND(X$7&gt;0,$A340&gt;X$7)),0,MAX(0,ROUND((INDEX($E340:$G340,X$5)-SUMIFS(TF_Timer,TF_Tekniker,X$4,TF_Dato,$A340))*2,0)/2)))</f>
        <v/>
      </c>
      <c r="Y340">
        <f>IF(OR(Y$4="",$A340&gt;TODAY()),0,IF(OR(INDEX($B340:$D340,Y$5)="F",AND(Y$6&gt;0,$A340&lt;Y$6),AND(Y$7&gt;0,$A340&gt;Y$7)),0,MAX(0,ROUND((INDEX($E340:$G340,Y$5)-SUMIFS(TF_Timer,TF_Tekniker,Y$4,TF_Dato,$A340))*2,0)/2)))</f>
        <v/>
      </c>
      <c r="Z340">
        <f>IF(OR(Z$4="",$A340&gt;TODAY()),0,IF(OR(INDEX($B340:$D340,Z$5)="F",AND(Z$6&gt;0,$A340&lt;Z$6),AND(Z$7&gt;0,$A340&gt;Z$7)),0,MAX(0,ROUND((INDEX($E340:$G340,Z$5)-SUMIFS(TF_Timer,TF_Tekniker,Z$4,TF_Dato,$A340))*2,0)/2)))</f>
        <v/>
      </c>
      <c r="AA340">
        <f>IF(OR(AA$4="",$A340&gt;TODAY()),0,IF(OR(INDEX($B340:$D340,AA$5)="F",AND(AA$6&gt;0,$A340&lt;AA$6),AND(AA$7&gt;0,$A340&gt;AA$7)),0,MAX(0,ROUND((INDEX($E340:$G340,AA$5)-SUMIFS(TF_Timer,TF_Tekniker,AA$4,TF_Dato,$A340))*2,0)/2)))</f>
        <v/>
      </c>
      <c r="AB340">
        <f>IF(OR(AB$4="",$A340&gt;TODAY()),0,IF(OR(INDEX($B340:$D340,AB$5)="F",AND(AB$6&gt;0,$A340&lt;AB$6),AND(AB$7&gt;0,$A340&gt;AB$7)),0,MAX(0,ROUND((INDEX($E340:$G340,AB$5)-SUMIFS(TF_Timer,TF_Tekniker,AB$4,TF_Dato,$A340))*2,0)/2)))</f>
        <v/>
      </c>
      <c r="AC340">
        <f>IF(OR(AC$4="",$A340&gt;TODAY()),0,IF(OR(INDEX($B340:$D340,AC$5)="F",AND(AC$6&gt;0,$A340&lt;AC$6),AND(AC$7&gt;0,$A340&gt;AC$7)),0,MAX(0,ROUND((INDEX($E340:$G340,AC$5)-SUMIFS(TF_Timer,TF_Tekniker,AC$4,TF_Dato,$A340))*2,0)/2)))</f>
        <v/>
      </c>
      <c r="AD340">
        <f>IF(OR(AD$4="",$A340&gt;TODAY()),0,IF(OR(INDEX($B340:$D340,AD$5)="F",AND(AD$6&gt;0,$A340&lt;AD$6),AND(AD$7&gt;0,$A340&gt;AD$7)),0,MAX(0,ROUND((INDEX($E340:$G340,AD$5)-SUMIFS(TF_Timer,TF_Tekniker,AD$4,TF_Dato,$A340))*2,0)/2)))</f>
        <v/>
      </c>
      <c r="AE340">
        <f>IF(OR(AE$4="",$A340&gt;TODAY()),0,IF(OR(INDEX($B340:$D340,AE$5)="F",AND(AE$6&gt;0,$A340&lt;AE$6),AND(AE$7&gt;0,$A340&gt;AE$7)),0,MAX(0,ROUND((INDEX($E340:$G340,AE$5)-SUMIFS(TF_Timer,TF_Tekniker,AE$4,TF_Dato,$A340))*2,0)/2)))</f>
        <v/>
      </c>
      <c r="AF340">
        <f>IF(OR(AF$4="",$A340&gt;TODAY()),0,IF(OR(INDEX($B340:$D340,AF$5)="F",AND(AF$6&gt;0,$A340&lt;AF$6),AND(AF$7&gt;0,$A340&gt;AF$7)),0,MAX(0,ROUND((INDEX($E340:$G340,AF$5)-SUMIFS(TF_Timer,TF_Tekniker,AF$4,TF_Dato,$A340))*2,0)/2)))</f>
        <v/>
      </c>
      <c r="AG340">
        <f>IF(OR(AG$4="",$A340&gt;TODAY()),0,IF(OR(INDEX($B340:$D340,AG$5)="F",AND(AG$6&gt;0,$A340&lt;AG$6),AND(AG$7&gt;0,$A340&gt;AG$7)),0,MAX(0,ROUND((INDEX($E340:$G340,AG$5)-SUMIFS(TF_Timer,TF_Tekniker,AG$4,TF_Dato,$A340))*2,0)/2)))</f>
        <v/>
      </c>
      <c r="AH340">
        <f>IF(OR(AH$4="",$A340&gt;TODAY()),0,IF(OR(INDEX($B340:$D340,AH$5)="F",AND(AH$6&gt;0,$A340&lt;AH$6),AND(AH$7&gt;0,$A340&gt;AH$7)),0,MAX(0,ROUND((INDEX($E340:$G340,AH$5)-SUMIFS(TF_Timer,TF_Tekniker,AH$4,TF_Dato,$A340))*2,0)/2)))</f>
        <v/>
      </c>
      <c r="AI340">
        <f>IF(OR(AI$4="",$A340&gt;TODAY()),0,IF(OR(INDEX($B340:$D340,AI$5)="F",AND(AI$6&gt;0,$A340&lt;AI$6),AND(AI$7&gt;0,$A340&gt;AI$7)),0,MAX(0,ROUND((INDEX($E340:$G340,AI$5)-SUMIFS(TF_Timer,TF_Tekniker,AI$4,TF_Dato,$A340))*2,0)/2)))</f>
        <v/>
      </c>
      <c r="AJ340">
        <f>IF(OR(AJ$4="",$A340&gt;TODAY()),0,IF(OR(INDEX($B340:$D340,AJ$5)="F",AND(AJ$6&gt;0,$A340&lt;AJ$6),AND(AJ$7&gt;0,$A340&gt;AJ$7)),0,MAX(0,ROUND((INDEX($E340:$G340,AJ$5)-SUMIFS(TF_Timer,TF_Tekniker,AJ$4,TF_Dato,$A340))*2,0)/2)))</f>
        <v/>
      </c>
      <c r="AK340">
        <f>IF(OR(AK$4="",$A340&gt;TODAY()),0,IF(OR(INDEX($B340:$D340,AK$5)="F",AND(AK$6&gt;0,$A340&lt;AK$6),AND(AK$7&gt;0,$A340&gt;AK$7)),0,MAX(0,ROUND((INDEX($E340:$G340,AK$5)-SUMIFS(TF_Timer,TF_Tekniker,AK$4,TF_Dato,$A340))*2,0)/2)))</f>
        <v/>
      </c>
      <c r="AL340">
        <f>IF(OR(AL$4="",$A340&gt;TODAY()),0,IF(OR(INDEX($B340:$D340,AL$5)="F",AND(AL$6&gt;0,$A340&lt;AL$6),AND(AL$7&gt;0,$A340&gt;AL$7)),0,MAX(0,ROUND((INDEX($E340:$G340,AL$5)-SUMIFS(TF_Timer,TF_Tekniker,AL$4,TF_Dato,$A340))*2,0)/2)))</f>
        <v/>
      </c>
      <c r="AM340">
        <f>IF(OR(AM$4="",$A340&gt;TODAY()),0,IF(OR(INDEX($B340:$D340,AM$5)="F",AND(AM$6&gt;0,$A340&lt;AM$6),AND(AM$7&gt;0,$A340&gt;AM$7)),0,MAX(0,ROUND((INDEX($E340:$G340,AM$5)-SUMIFS(TF_Timer,TF_Tekniker,AM$4,TF_Dato,$A340))*2,0)/2)))</f>
        <v/>
      </c>
      <c r="AN340">
        <f>IF(OR(AN$4="",$A340&gt;TODAY()),0,IF(OR(INDEX($B340:$D340,AN$5)="F",AND(AN$6&gt;0,$A340&lt;AN$6),AND(AN$7&gt;0,$A340&gt;AN$7)),0,MAX(0,ROUND((INDEX($E340:$G340,AN$5)-SUMIFS(TF_Timer,TF_Tekniker,AN$4,TF_Dato,$A340))*2,0)/2)))</f>
        <v/>
      </c>
      <c r="AO340">
        <f>IF(OR(AO$4="",$A340&gt;TODAY()),0,IF(OR(INDEX($B340:$D340,AO$5)="F",AND(AO$6&gt;0,$A340&lt;AO$6),AND(AO$7&gt;0,$A340&gt;AO$7)),0,MAX(0,ROUND((INDEX($E340:$G340,AO$5)-SUMIFS(TF_Timer,TF_Tekniker,AO$4,TF_Dato,$A340))*2,0)/2)))</f>
        <v/>
      </c>
      <c r="AP340">
        <f>IF(OR(AP$4="",$A340&gt;TODAY()),0,IF(OR(INDEX($B340:$D340,AP$5)="F",AND(AP$6&gt;0,$A340&lt;AP$6),AND(AP$7&gt;0,$A340&gt;AP$7)),0,MAX(0,ROUND((INDEX($E340:$G340,AP$5)-SUMIFS(TF_Timer,TF_Tekniker,AP$4,TF_Dato,$A340))*2,0)/2)))</f>
        <v/>
      </c>
      <c r="AQ340">
        <f>IF(OR(AQ$4="",$A340&gt;TODAY()),0,IF(OR(INDEX($B340:$D340,AQ$5)="F",AND(AQ$6&gt;0,$A340&lt;AQ$6),AND(AQ$7&gt;0,$A340&gt;AQ$7)),0,MAX(0,ROUND((INDEX($E340:$G340,AQ$5)-SUMIFS(TF_Timer,TF_Tekniker,AQ$4,TF_Dato,$A340))*2,0)/2)))</f>
        <v/>
      </c>
      <c r="AR340">
        <f>IF(OR(AR$4="",$A340&gt;TODAY()),0,IF(OR(INDEX($B340:$D340,AR$5)="F",AND(AR$6&gt;0,$A340&lt;AR$6),AND(AR$7&gt;0,$A340&gt;AR$7)),0,MAX(0,ROUND((INDEX($E340:$G340,AR$5)-SUMIFS(TF_Timer,TF_Tekniker,AR$4,TF_Dato,$A340))*2,0)/2)))</f>
        <v/>
      </c>
      <c r="AS340">
        <f>IF(OR(AS$4="",$A340&gt;TODAY()),0,IF(OR(INDEX($B340:$D340,AS$5)="F",AND(AS$6&gt;0,$A340&lt;AS$6),AND(AS$7&gt;0,$A340&gt;AS$7)),0,MAX(0,ROUND((INDEX($E340:$G340,AS$5)-SUMIFS(TF_Timer,TF_Tekniker,AS$4,TF_Dato,$A340))*2,0)/2)))</f>
        <v/>
      </c>
      <c r="AT340">
        <f>IF(OR(AT$4="",$A340&gt;TODAY()),0,IF(OR(INDEX($B340:$D340,AT$5)="F",AND(AT$6&gt;0,$A340&lt;AT$6),AND(AT$7&gt;0,$A340&gt;AT$7)),0,MAX(0,ROUND((INDEX($E340:$G340,AT$5)-SUMIFS(TF_Timer,TF_Tekniker,AT$4,TF_Dato,$A340))*2,0)/2)))</f>
        <v/>
      </c>
      <c r="AU340">
        <f>IF(OR(AU$4="",$A340&gt;TODAY()),0,IF(OR(INDEX($B340:$D340,AU$5)="F",AND(AU$6&gt;0,$A340&lt;AU$6),AND(AU$7&gt;0,$A340&gt;AU$7)),0,MAX(0,ROUND((INDEX($E340:$G340,AU$5)-SUMIFS(TF_Timer,TF_Tekniker,AU$4,TF_Dato,$A340))*2,0)/2)))</f>
        <v/>
      </c>
      <c r="AV340">
        <f>IF(OR(AV$4="",$A340&gt;TODAY()),0,IF(OR(INDEX($B340:$D340,AV$5)="F",AND(AV$6&gt;0,$A340&lt;AV$6),AND(AV$7&gt;0,$A340&gt;AV$7)),0,MAX(0,ROUND((INDEX($E340:$G340,AV$5)-SUMIFS(TF_Timer,TF_Tekniker,AV$4,TF_Dato,$A340))*2,0)/2)))</f>
        <v/>
      </c>
      <c r="AW340">
        <f>IF(OR(AW$4="",$A340&gt;TODAY()),0,IF(OR(INDEX($B340:$D340,AW$5)="F",AND(AW$6&gt;0,$A340&lt;AW$6),AND(AW$7&gt;0,$A340&gt;AW$7)),0,MAX(0,ROUND((INDEX($E340:$G340,AW$5)-SUMIFS(TF_Timer,TF_Tekniker,AW$4,TF_Dato,$A340))*2,0)/2)))</f>
        <v/>
      </c>
      <c r="AX340">
        <f>IF(OR(AX$4="",$A340&gt;TODAY()),0,IF(OR(INDEX($B340:$D340,AX$5)="F",AND(AX$6&gt;0,$A340&lt;AX$6),AND(AX$7&gt;0,$A340&gt;AX$7)),0,MAX(0,ROUND((INDEX($E340:$G340,AX$5)-SUMIFS(TF_Timer,TF_Tekniker,AX$4,TF_Dato,$A340))*2,0)/2)))</f>
        <v/>
      </c>
      <c r="AY340">
        <f>IF(OR(AY$4="",$A340&gt;TODAY()),0,IF(OR(INDEX($B340:$D340,AY$5)="F",AND(AY$6&gt;0,$A340&lt;AY$6),AND(AY$7&gt;0,$A340&gt;AY$7)),0,MAX(0,ROUND((INDEX($E340:$G340,AY$5)-SUMIFS(TF_Timer,TF_Tekniker,AY$4,TF_Dato,$A340))*2,0)/2)))</f>
        <v/>
      </c>
      <c r="AZ340">
        <f>IF(OR(AZ$4="",$A340&gt;TODAY()),0,IF(OR(INDEX($B340:$D340,AZ$5)="F",AND(AZ$6&gt;0,$A340&lt;AZ$6),AND(AZ$7&gt;0,$A340&gt;AZ$7)),0,MAX(0,ROUND((INDEX($E340:$G340,AZ$5)-SUMIFS(TF_Timer,TF_Tekniker,AZ$4,TF_Dato,$A340))*2,0)/2)))</f>
        <v/>
      </c>
      <c r="BA340">
        <f>IF(OR(BA$4="",$A340&gt;TODAY()),0,IF(OR(INDEX($B340:$D340,BA$5)="F",AND(BA$6&gt;0,$A340&lt;BA$6),AND(BA$7&gt;0,$A340&gt;BA$7)),0,MAX(0,ROUND((INDEX($E340:$G340,BA$5)-SUMIFS(TF_Timer,TF_Tekniker,BA$4,TF_Dato,$A340))*2,0)/2)))</f>
        <v/>
      </c>
      <c r="BB340">
        <f>IF(OR(BB$4="",$A340&gt;TODAY()),0,IF(OR(INDEX($B340:$D340,BB$5)="F",AND(BB$6&gt;0,$A340&lt;BB$6),AND(BB$7&gt;0,$A340&gt;BB$7)),0,MAX(0,ROUND((INDEX($E340:$G340,BB$5)-SUMIFS(TF_Timer,TF_Tekniker,BB$4,TF_Dato,$A340))*2,0)/2)))</f>
        <v/>
      </c>
      <c r="BC340">
        <f>IF(OR(BC$4="",$A340&gt;TODAY()),0,IF(OR(INDEX($B340:$D340,BC$5)="F",AND(BC$6&gt;0,$A340&lt;BC$6),AND(BC$7&gt;0,$A340&gt;BC$7)),0,MAX(0,ROUND((INDEX($E340:$G340,BC$5)-SUMIFS(TF_Timer,TF_Tekniker,BC$4,TF_Dato,$A340))*2,0)/2)))</f>
        <v/>
      </c>
      <c r="BD340">
        <f>IF(OR(BD$4="",$A340&gt;TODAY()),0,IF(OR(INDEX($B340:$D340,BD$5)="F",AND(BD$6&gt;0,$A340&lt;BD$6),AND(BD$7&gt;0,$A340&gt;BD$7)),0,MAX(0,ROUND((INDEX($E340:$G340,BD$5)-SUMIFS(TF_Timer,TF_Tekniker,BD$4,TF_Dato,$A340))*2,0)/2)))</f>
        <v/>
      </c>
      <c r="BE340">
        <f>IF(OR(BE$4="",$A340&gt;TODAY()),0,IF(OR(INDEX($B340:$D340,BE$5)="F",AND(BE$6&gt;0,$A340&lt;BE$6),AND(BE$7&gt;0,$A340&gt;BE$7)),0,MAX(0,ROUND((INDEX($E340:$G340,BE$5)-SUMIFS(TF_Timer,TF_Tekniker,BE$4,TF_Dato,$A340))*2,0)/2)))</f>
        <v/>
      </c>
      <c r="BF340">
        <f>IF(OR(BF$4="",$A340&gt;TODAY()),0,IF(OR(INDEX($B340:$D340,BF$5)="F",AND(BF$6&gt;0,$A340&lt;BF$6),AND(BF$7&gt;0,$A340&gt;BF$7)),0,MAX(0,ROUND((INDEX($E340:$G340,BF$5)-SUMIFS(TF_Timer,TF_Tekniker,BF$4,TF_Dato,$A340))*2,0)/2)))</f>
        <v/>
      </c>
      <c r="BG340">
        <f>IF(OR(BG$4="",$A340&gt;TODAY()),0,IF(OR(INDEX($B340:$D340,BG$5)="F",AND(BG$6&gt;0,$A340&lt;BG$6),AND(BG$7&gt;0,$A340&gt;BG$7)),0,MAX(0,ROUND((INDEX($E340:$G340,BG$5)-SUMIFS(TF_Timer,TF_Tekniker,BG$4,TF_Dato,$A340))*2,0)/2)))</f>
        <v/>
      </c>
      <c r="BH340">
        <f>IF(OR(BH$4="",$A340&gt;TODAY()),0,IF(OR(INDEX($B340:$D340,BH$5)="F",AND(BH$6&gt;0,$A340&lt;BH$6),AND(BH$7&gt;0,$A340&gt;BH$7)),0,MAX(0,ROUND((INDEX($E340:$G340,BH$5)-SUMIFS(TF_Timer,TF_Tekniker,BH$4,TF_Dato,$A340))*2,0)/2)))</f>
        <v/>
      </c>
      <c r="BI340">
        <f>IF(OR(BI$4="",$A340&gt;TODAY()),0,IF(OR(INDEX($B340:$D340,BI$5)="F",AND(BI$6&gt;0,$A340&lt;BI$6),AND(BI$7&gt;0,$A340&gt;BI$7)),0,MAX(0,ROUND((INDEX($E340:$G340,BI$5)-SUMIFS(TF_Timer,TF_Tekniker,BI$4,TF_Dato,$A340))*2,0)/2)))</f>
        <v/>
      </c>
    </row>
    <row r="341">
      <c r="A341" s="64">
        <f>A340+1</f>
        <v/>
      </c>
      <c r="B341">
        <f>IF(MOD($A341-INDEX(SkiftStart,1),Syklus)&lt;DagK,"K",IF(MOD($A341-INDEX(SkiftStart,1),Syklus)&lt;DagK+DagH,"H",IF(MOD($A341-INDEX(SkiftStart,1),Syklus)&lt;DagK+DagH+DagD,"D","F")))</f>
        <v/>
      </c>
      <c r="C341">
        <f>IF(MOD($A341-INDEX(SkiftStart,2),Syklus)&lt;DagK,"K",IF(MOD($A341-INDEX(SkiftStart,2),Syklus)&lt;DagK+DagH,"H",IF(MOD($A341-INDEX(SkiftStart,2),Syklus)&lt;DagK+DagH+DagD,"D","F")))</f>
        <v/>
      </c>
      <c r="D341">
        <f>IF(MOD($A341-INDEX(SkiftStart,3),Syklus)&lt;DagK,"K",IF(MOD($A341-INDEX(SkiftStart,3),Syklus)&lt;DagK+DagH,"H",IF(MOD($A341-INDEX(SkiftStart,3),Syklus)&lt;DagK+DagH+DagD,"D","F")))</f>
        <v/>
      </c>
      <c r="E341">
        <f>IF(B341="F",0,IF(WEEKDAY($A341,2)=5,INDEX(TimerFr,MATCH(B341,FaseKode,0)),INDEX(TimerMT,MATCH(B341,FaseKode,0))))</f>
        <v/>
      </c>
      <c r="F341">
        <f>IF(C341="F",0,IF(WEEKDAY($A341,2)=5,INDEX(TimerFr,MATCH(C341,FaseKode,0)),INDEX(TimerMT,MATCH(C341,FaseKode,0))))</f>
        <v/>
      </c>
      <c r="G341">
        <f>IF(D341="F",0,IF(WEEKDAY($A341,2)=5,INDEX(TimerFr,MATCH(D341,FaseKode,0)),INDEX(TimerMT,MATCH(D341,FaseKode,0))))</f>
        <v/>
      </c>
      <c r="H341">
        <f>IF(OR(H$4="",$A341&gt;TODAY()),0,IF(OR(INDEX($B341:$D341,H$5)="F",AND(H$6&gt;0,$A341&lt;H$6),AND(H$7&gt;0,$A341&gt;H$7)),0,MAX(0,ROUND((INDEX($E341:$G341,H$5)-SUMIFS(TF_Timer,TF_Tekniker,H$4,TF_Dato,$A341))*2,0)/2)))</f>
        <v/>
      </c>
      <c r="I341">
        <f>IF(OR(I$4="",$A341&gt;TODAY()),0,IF(OR(INDEX($B341:$D341,I$5)="F",AND(I$6&gt;0,$A341&lt;I$6),AND(I$7&gt;0,$A341&gt;I$7)),0,MAX(0,ROUND((INDEX($E341:$G341,I$5)-SUMIFS(TF_Timer,TF_Tekniker,I$4,TF_Dato,$A341))*2,0)/2)))</f>
        <v/>
      </c>
      <c r="J341">
        <f>IF(OR(J$4="",$A341&gt;TODAY()),0,IF(OR(INDEX($B341:$D341,J$5)="F",AND(J$6&gt;0,$A341&lt;J$6),AND(J$7&gt;0,$A341&gt;J$7)),0,MAX(0,ROUND((INDEX($E341:$G341,J$5)-SUMIFS(TF_Timer,TF_Tekniker,J$4,TF_Dato,$A341))*2,0)/2)))</f>
        <v/>
      </c>
      <c r="K341">
        <f>IF(OR(K$4="",$A341&gt;TODAY()),0,IF(OR(INDEX($B341:$D341,K$5)="F",AND(K$6&gt;0,$A341&lt;K$6),AND(K$7&gt;0,$A341&gt;K$7)),0,MAX(0,ROUND((INDEX($E341:$G341,K$5)-SUMIFS(TF_Timer,TF_Tekniker,K$4,TF_Dato,$A341))*2,0)/2)))</f>
        <v/>
      </c>
      <c r="L341">
        <f>IF(OR(L$4="",$A341&gt;TODAY()),0,IF(OR(INDEX($B341:$D341,L$5)="F",AND(L$6&gt;0,$A341&lt;L$6),AND(L$7&gt;0,$A341&gt;L$7)),0,MAX(0,ROUND((INDEX($E341:$G341,L$5)-SUMIFS(TF_Timer,TF_Tekniker,L$4,TF_Dato,$A341))*2,0)/2)))</f>
        <v/>
      </c>
      <c r="M341">
        <f>IF(OR(M$4="",$A341&gt;TODAY()),0,IF(OR(INDEX($B341:$D341,M$5)="F",AND(M$6&gt;0,$A341&lt;M$6),AND(M$7&gt;0,$A341&gt;M$7)),0,MAX(0,ROUND((INDEX($E341:$G341,M$5)-SUMIFS(TF_Timer,TF_Tekniker,M$4,TF_Dato,$A341))*2,0)/2)))</f>
        <v/>
      </c>
      <c r="N341">
        <f>IF(OR(N$4="",$A341&gt;TODAY()),0,IF(OR(INDEX($B341:$D341,N$5)="F",AND(N$6&gt;0,$A341&lt;N$6),AND(N$7&gt;0,$A341&gt;N$7)),0,MAX(0,ROUND((INDEX($E341:$G341,N$5)-SUMIFS(TF_Timer,TF_Tekniker,N$4,TF_Dato,$A341))*2,0)/2)))</f>
        <v/>
      </c>
      <c r="O341">
        <f>IF(OR(O$4="",$A341&gt;TODAY()),0,IF(OR(INDEX($B341:$D341,O$5)="F",AND(O$6&gt;0,$A341&lt;O$6),AND(O$7&gt;0,$A341&gt;O$7)),0,MAX(0,ROUND((INDEX($E341:$G341,O$5)-SUMIFS(TF_Timer,TF_Tekniker,O$4,TF_Dato,$A341))*2,0)/2)))</f>
        <v/>
      </c>
      <c r="P341">
        <f>IF(OR(P$4="",$A341&gt;TODAY()),0,IF(OR(INDEX($B341:$D341,P$5)="F",AND(P$6&gt;0,$A341&lt;P$6),AND(P$7&gt;0,$A341&gt;P$7)),0,MAX(0,ROUND((INDEX($E341:$G341,P$5)-SUMIFS(TF_Timer,TF_Tekniker,P$4,TF_Dato,$A341))*2,0)/2)))</f>
        <v/>
      </c>
      <c r="Q341">
        <f>IF(OR(Q$4="",$A341&gt;TODAY()),0,IF(OR(INDEX($B341:$D341,Q$5)="F",AND(Q$6&gt;0,$A341&lt;Q$6),AND(Q$7&gt;0,$A341&gt;Q$7)),0,MAX(0,ROUND((INDEX($E341:$G341,Q$5)-SUMIFS(TF_Timer,TF_Tekniker,Q$4,TF_Dato,$A341))*2,0)/2)))</f>
        <v/>
      </c>
      <c r="R341">
        <f>IF(OR(R$4="",$A341&gt;TODAY()),0,IF(OR(INDEX($B341:$D341,R$5)="F",AND(R$6&gt;0,$A341&lt;R$6),AND(R$7&gt;0,$A341&gt;R$7)),0,MAX(0,ROUND((INDEX($E341:$G341,R$5)-SUMIFS(TF_Timer,TF_Tekniker,R$4,TF_Dato,$A341))*2,0)/2)))</f>
        <v/>
      </c>
      <c r="S341">
        <f>IF(OR(S$4="",$A341&gt;TODAY()),0,IF(OR(INDEX($B341:$D341,S$5)="F",AND(S$6&gt;0,$A341&lt;S$6),AND(S$7&gt;0,$A341&gt;S$7)),0,MAX(0,ROUND((INDEX($E341:$G341,S$5)-SUMIFS(TF_Timer,TF_Tekniker,S$4,TF_Dato,$A341))*2,0)/2)))</f>
        <v/>
      </c>
      <c r="T341">
        <f>IF(OR(T$4="",$A341&gt;TODAY()),0,IF(OR(INDEX($B341:$D341,T$5)="F",AND(T$6&gt;0,$A341&lt;T$6),AND(T$7&gt;0,$A341&gt;T$7)),0,MAX(0,ROUND((INDEX($E341:$G341,T$5)-SUMIFS(TF_Timer,TF_Tekniker,T$4,TF_Dato,$A341))*2,0)/2)))</f>
        <v/>
      </c>
      <c r="U341">
        <f>IF(OR(U$4="",$A341&gt;TODAY()),0,IF(OR(INDEX($B341:$D341,U$5)="F",AND(U$6&gt;0,$A341&lt;U$6),AND(U$7&gt;0,$A341&gt;U$7)),0,MAX(0,ROUND((INDEX($E341:$G341,U$5)-SUMIFS(TF_Timer,TF_Tekniker,U$4,TF_Dato,$A341))*2,0)/2)))</f>
        <v/>
      </c>
      <c r="V341">
        <f>IF(OR(V$4="",$A341&gt;TODAY()),0,IF(OR(INDEX($B341:$D341,V$5)="F",AND(V$6&gt;0,$A341&lt;V$6),AND(V$7&gt;0,$A341&gt;V$7)),0,MAX(0,ROUND((INDEX($E341:$G341,V$5)-SUMIFS(TF_Timer,TF_Tekniker,V$4,TF_Dato,$A341))*2,0)/2)))</f>
        <v/>
      </c>
      <c r="W341">
        <f>IF(OR(W$4="",$A341&gt;TODAY()),0,IF(OR(INDEX($B341:$D341,W$5)="F",AND(W$6&gt;0,$A341&lt;W$6),AND(W$7&gt;0,$A341&gt;W$7)),0,MAX(0,ROUND((INDEX($E341:$G341,W$5)-SUMIFS(TF_Timer,TF_Tekniker,W$4,TF_Dato,$A341))*2,0)/2)))</f>
        <v/>
      </c>
      <c r="X341">
        <f>IF(OR(X$4="",$A341&gt;TODAY()),0,IF(OR(INDEX($B341:$D341,X$5)="F",AND(X$6&gt;0,$A341&lt;X$6),AND(X$7&gt;0,$A341&gt;X$7)),0,MAX(0,ROUND((INDEX($E341:$G341,X$5)-SUMIFS(TF_Timer,TF_Tekniker,X$4,TF_Dato,$A341))*2,0)/2)))</f>
        <v/>
      </c>
      <c r="Y341">
        <f>IF(OR(Y$4="",$A341&gt;TODAY()),0,IF(OR(INDEX($B341:$D341,Y$5)="F",AND(Y$6&gt;0,$A341&lt;Y$6),AND(Y$7&gt;0,$A341&gt;Y$7)),0,MAX(0,ROUND((INDEX($E341:$G341,Y$5)-SUMIFS(TF_Timer,TF_Tekniker,Y$4,TF_Dato,$A341))*2,0)/2)))</f>
        <v/>
      </c>
      <c r="Z341">
        <f>IF(OR(Z$4="",$A341&gt;TODAY()),0,IF(OR(INDEX($B341:$D341,Z$5)="F",AND(Z$6&gt;0,$A341&lt;Z$6),AND(Z$7&gt;0,$A341&gt;Z$7)),0,MAX(0,ROUND((INDEX($E341:$G341,Z$5)-SUMIFS(TF_Timer,TF_Tekniker,Z$4,TF_Dato,$A341))*2,0)/2)))</f>
        <v/>
      </c>
      <c r="AA341">
        <f>IF(OR(AA$4="",$A341&gt;TODAY()),0,IF(OR(INDEX($B341:$D341,AA$5)="F",AND(AA$6&gt;0,$A341&lt;AA$6),AND(AA$7&gt;0,$A341&gt;AA$7)),0,MAX(0,ROUND((INDEX($E341:$G341,AA$5)-SUMIFS(TF_Timer,TF_Tekniker,AA$4,TF_Dato,$A341))*2,0)/2)))</f>
        <v/>
      </c>
      <c r="AB341">
        <f>IF(OR(AB$4="",$A341&gt;TODAY()),0,IF(OR(INDEX($B341:$D341,AB$5)="F",AND(AB$6&gt;0,$A341&lt;AB$6),AND(AB$7&gt;0,$A341&gt;AB$7)),0,MAX(0,ROUND((INDEX($E341:$G341,AB$5)-SUMIFS(TF_Timer,TF_Tekniker,AB$4,TF_Dato,$A341))*2,0)/2)))</f>
        <v/>
      </c>
      <c r="AC341">
        <f>IF(OR(AC$4="",$A341&gt;TODAY()),0,IF(OR(INDEX($B341:$D341,AC$5)="F",AND(AC$6&gt;0,$A341&lt;AC$6),AND(AC$7&gt;0,$A341&gt;AC$7)),0,MAX(0,ROUND((INDEX($E341:$G341,AC$5)-SUMIFS(TF_Timer,TF_Tekniker,AC$4,TF_Dato,$A341))*2,0)/2)))</f>
        <v/>
      </c>
      <c r="AD341">
        <f>IF(OR(AD$4="",$A341&gt;TODAY()),0,IF(OR(INDEX($B341:$D341,AD$5)="F",AND(AD$6&gt;0,$A341&lt;AD$6),AND(AD$7&gt;0,$A341&gt;AD$7)),0,MAX(0,ROUND((INDEX($E341:$G341,AD$5)-SUMIFS(TF_Timer,TF_Tekniker,AD$4,TF_Dato,$A341))*2,0)/2)))</f>
        <v/>
      </c>
      <c r="AE341">
        <f>IF(OR(AE$4="",$A341&gt;TODAY()),0,IF(OR(INDEX($B341:$D341,AE$5)="F",AND(AE$6&gt;0,$A341&lt;AE$6),AND(AE$7&gt;0,$A341&gt;AE$7)),0,MAX(0,ROUND((INDEX($E341:$G341,AE$5)-SUMIFS(TF_Timer,TF_Tekniker,AE$4,TF_Dato,$A341))*2,0)/2)))</f>
        <v/>
      </c>
      <c r="AF341">
        <f>IF(OR(AF$4="",$A341&gt;TODAY()),0,IF(OR(INDEX($B341:$D341,AF$5)="F",AND(AF$6&gt;0,$A341&lt;AF$6),AND(AF$7&gt;0,$A341&gt;AF$7)),0,MAX(0,ROUND((INDEX($E341:$G341,AF$5)-SUMIFS(TF_Timer,TF_Tekniker,AF$4,TF_Dato,$A341))*2,0)/2)))</f>
        <v/>
      </c>
      <c r="AG341">
        <f>IF(OR(AG$4="",$A341&gt;TODAY()),0,IF(OR(INDEX($B341:$D341,AG$5)="F",AND(AG$6&gt;0,$A341&lt;AG$6),AND(AG$7&gt;0,$A341&gt;AG$7)),0,MAX(0,ROUND((INDEX($E341:$G341,AG$5)-SUMIFS(TF_Timer,TF_Tekniker,AG$4,TF_Dato,$A341))*2,0)/2)))</f>
        <v/>
      </c>
      <c r="AH341">
        <f>IF(OR(AH$4="",$A341&gt;TODAY()),0,IF(OR(INDEX($B341:$D341,AH$5)="F",AND(AH$6&gt;0,$A341&lt;AH$6),AND(AH$7&gt;0,$A341&gt;AH$7)),0,MAX(0,ROUND((INDEX($E341:$G341,AH$5)-SUMIFS(TF_Timer,TF_Tekniker,AH$4,TF_Dato,$A341))*2,0)/2)))</f>
        <v/>
      </c>
      <c r="AI341">
        <f>IF(OR(AI$4="",$A341&gt;TODAY()),0,IF(OR(INDEX($B341:$D341,AI$5)="F",AND(AI$6&gt;0,$A341&lt;AI$6),AND(AI$7&gt;0,$A341&gt;AI$7)),0,MAX(0,ROUND((INDEX($E341:$G341,AI$5)-SUMIFS(TF_Timer,TF_Tekniker,AI$4,TF_Dato,$A341))*2,0)/2)))</f>
        <v/>
      </c>
      <c r="AJ341">
        <f>IF(OR(AJ$4="",$A341&gt;TODAY()),0,IF(OR(INDEX($B341:$D341,AJ$5)="F",AND(AJ$6&gt;0,$A341&lt;AJ$6),AND(AJ$7&gt;0,$A341&gt;AJ$7)),0,MAX(0,ROUND((INDEX($E341:$G341,AJ$5)-SUMIFS(TF_Timer,TF_Tekniker,AJ$4,TF_Dato,$A341))*2,0)/2)))</f>
        <v/>
      </c>
      <c r="AK341">
        <f>IF(OR(AK$4="",$A341&gt;TODAY()),0,IF(OR(INDEX($B341:$D341,AK$5)="F",AND(AK$6&gt;0,$A341&lt;AK$6),AND(AK$7&gt;0,$A341&gt;AK$7)),0,MAX(0,ROUND((INDEX($E341:$G341,AK$5)-SUMIFS(TF_Timer,TF_Tekniker,AK$4,TF_Dato,$A341))*2,0)/2)))</f>
        <v/>
      </c>
      <c r="AL341">
        <f>IF(OR(AL$4="",$A341&gt;TODAY()),0,IF(OR(INDEX($B341:$D341,AL$5)="F",AND(AL$6&gt;0,$A341&lt;AL$6),AND(AL$7&gt;0,$A341&gt;AL$7)),0,MAX(0,ROUND((INDEX($E341:$G341,AL$5)-SUMIFS(TF_Timer,TF_Tekniker,AL$4,TF_Dato,$A341))*2,0)/2)))</f>
        <v/>
      </c>
      <c r="AM341">
        <f>IF(OR(AM$4="",$A341&gt;TODAY()),0,IF(OR(INDEX($B341:$D341,AM$5)="F",AND(AM$6&gt;0,$A341&lt;AM$6),AND(AM$7&gt;0,$A341&gt;AM$7)),0,MAX(0,ROUND((INDEX($E341:$G341,AM$5)-SUMIFS(TF_Timer,TF_Tekniker,AM$4,TF_Dato,$A341))*2,0)/2)))</f>
        <v/>
      </c>
      <c r="AN341">
        <f>IF(OR(AN$4="",$A341&gt;TODAY()),0,IF(OR(INDEX($B341:$D341,AN$5)="F",AND(AN$6&gt;0,$A341&lt;AN$6),AND(AN$7&gt;0,$A341&gt;AN$7)),0,MAX(0,ROUND((INDEX($E341:$G341,AN$5)-SUMIFS(TF_Timer,TF_Tekniker,AN$4,TF_Dato,$A341))*2,0)/2)))</f>
        <v/>
      </c>
      <c r="AO341">
        <f>IF(OR(AO$4="",$A341&gt;TODAY()),0,IF(OR(INDEX($B341:$D341,AO$5)="F",AND(AO$6&gt;0,$A341&lt;AO$6),AND(AO$7&gt;0,$A341&gt;AO$7)),0,MAX(0,ROUND((INDEX($E341:$G341,AO$5)-SUMIFS(TF_Timer,TF_Tekniker,AO$4,TF_Dato,$A341))*2,0)/2)))</f>
        <v/>
      </c>
      <c r="AP341">
        <f>IF(OR(AP$4="",$A341&gt;TODAY()),0,IF(OR(INDEX($B341:$D341,AP$5)="F",AND(AP$6&gt;0,$A341&lt;AP$6),AND(AP$7&gt;0,$A341&gt;AP$7)),0,MAX(0,ROUND((INDEX($E341:$G341,AP$5)-SUMIFS(TF_Timer,TF_Tekniker,AP$4,TF_Dato,$A341))*2,0)/2)))</f>
        <v/>
      </c>
      <c r="AQ341">
        <f>IF(OR(AQ$4="",$A341&gt;TODAY()),0,IF(OR(INDEX($B341:$D341,AQ$5)="F",AND(AQ$6&gt;0,$A341&lt;AQ$6),AND(AQ$7&gt;0,$A341&gt;AQ$7)),0,MAX(0,ROUND((INDEX($E341:$G341,AQ$5)-SUMIFS(TF_Timer,TF_Tekniker,AQ$4,TF_Dato,$A341))*2,0)/2)))</f>
        <v/>
      </c>
      <c r="AR341">
        <f>IF(OR(AR$4="",$A341&gt;TODAY()),0,IF(OR(INDEX($B341:$D341,AR$5)="F",AND(AR$6&gt;0,$A341&lt;AR$6),AND(AR$7&gt;0,$A341&gt;AR$7)),0,MAX(0,ROUND((INDEX($E341:$G341,AR$5)-SUMIFS(TF_Timer,TF_Tekniker,AR$4,TF_Dato,$A341))*2,0)/2)))</f>
        <v/>
      </c>
      <c r="AS341">
        <f>IF(OR(AS$4="",$A341&gt;TODAY()),0,IF(OR(INDEX($B341:$D341,AS$5)="F",AND(AS$6&gt;0,$A341&lt;AS$6),AND(AS$7&gt;0,$A341&gt;AS$7)),0,MAX(0,ROUND((INDEX($E341:$G341,AS$5)-SUMIFS(TF_Timer,TF_Tekniker,AS$4,TF_Dato,$A341))*2,0)/2)))</f>
        <v/>
      </c>
      <c r="AT341">
        <f>IF(OR(AT$4="",$A341&gt;TODAY()),0,IF(OR(INDEX($B341:$D341,AT$5)="F",AND(AT$6&gt;0,$A341&lt;AT$6),AND(AT$7&gt;0,$A341&gt;AT$7)),0,MAX(0,ROUND((INDEX($E341:$G341,AT$5)-SUMIFS(TF_Timer,TF_Tekniker,AT$4,TF_Dato,$A341))*2,0)/2)))</f>
        <v/>
      </c>
      <c r="AU341">
        <f>IF(OR(AU$4="",$A341&gt;TODAY()),0,IF(OR(INDEX($B341:$D341,AU$5)="F",AND(AU$6&gt;0,$A341&lt;AU$6),AND(AU$7&gt;0,$A341&gt;AU$7)),0,MAX(0,ROUND((INDEX($E341:$G341,AU$5)-SUMIFS(TF_Timer,TF_Tekniker,AU$4,TF_Dato,$A341))*2,0)/2)))</f>
        <v/>
      </c>
      <c r="AV341">
        <f>IF(OR(AV$4="",$A341&gt;TODAY()),0,IF(OR(INDEX($B341:$D341,AV$5)="F",AND(AV$6&gt;0,$A341&lt;AV$6),AND(AV$7&gt;0,$A341&gt;AV$7)),0,MAX(0,ROUND((INDEX($E341:$G341,AV$5)-SUMIFS(TF_Timer,TF_Tekniker,AV$4,TF_Dato,$A341))*2,0)/2)))</f>
        <v/>
      </c>
      <c r="AW341">
        <f>IF(OR(AW$4="",$A341&gt;TODAY()),0,IF(OR(INDEX($B341:$D341,AW$5)="F",AND(AW$6&gt;0,$A341&lt;AW$6),AND(AW$7&gt;0,$A341&gt;AW$7)),0,MAX(0,ROUND((INDEX($E341:$G341,AW$5)-SUMIFS(TF_Timer,TF_Tekniker,AW$4,TF_Dato,$A341))*2,0)/2)))</f>
        <v/>
      </c>
      <c r="AX341">
        <f>IF(OR(AX$4="",$A341&gt;TODAY()),0,IF(OR(INDEX($B341:$D341,AX$5)="F",AND(AX$6&gt;0,$A341&lt;AX$6),AND(AX$7&gt;0,$A341&gt;AX$7)),0,MAX(0,ROUND((INDEX($E341:$G341,AX$5)-SUMIFS(TF_Timer,TF_Tekniker,AX$4,TF_Dato,$A341))*2,0)/2)))</f>
        <v/>
      </c>
      <c r="AY341">
        <f>IF(OR(AY$4="",$A341&gt;TODAY()),0,IF(OR(INDEX($B341:$D341,AY$5)="F",AND(AY$6&gt;0,$A341&lt;AY$6),AND(AY$7&gt;0,$A341&gt;AY$7)),0,MAX(0,ROUND((INDEX($E341:$G341,AY$5)-SUMIFS(TF_Timer,TF_Tekniker,AY$4,TF_Dato,$A341))*2,0)/2)))</f>
        <v/>
      </c>
      <c r="AZ341">
        <f>IF(OR(AZ$4="",$A341&gt;TODAY()),0,IF(OR(INDEX($B341:$D341,AZ$5)="F",AND(AZ$6&gt;0,$A341&lt;AZ$6),AND(AZ$7&gt;0,$A341&gt;AZ$7)),0,MAX(0,ROUND((INDEX($E341:$G341,AZ$5)-SUMIFS(TF_Timer,TF_Tekniker,AZ$4,TF_Dato,$A341))*2,0)/2)))</f>
        <v/>
      </c>
      <c r="BA341">
        <f>IF(OR(BA$4="",$A341&gt;TODAY()),0,IF(OR(INDEX($B341:$D341,BA$5)="F",AND(BA$6&gt;0,$A341&lt;BA$6),AND(BA$7&gt;0,$A341&gt;BA$7)),0,MAX(0,ROUND((INDEX($E341:$G341,BA$5)-SUMIFS(TF_Timer,TF_Tekniker,BA$4,TF_Dato,$A341))*2,0)/2)))</f>
        <v/>
      </c>
      <c r="BB341">
        <f>IF(OR(BB$4="",$A341&gt;TODAY()),0,IF(OR(INDEX($B341:$D341,BB$5)="F",AND(BB$6&gt;0,$A341&lt;BB$6),AND(BB$7&gt;0,$A341&gt;BB$7)),0,MAX(0,ROUND((INDEX($E341:$G341,BB$5)-SUMIFS(TF_Timer,TF_Tekniker,BB$4,TF_Dato,$A341))*2,0)/2)))</f>
        <v/>
      </c>
      <c r="BC341">
        <f>IF(OR(BC$4="",$A341&gt;TODAY()),0,IF(OR(INDEX($B341:$D341,BC$5)="F",AND(BC$6&gt;0,$A341&lt;BC$6),AND(BC$7&gt;0,$A341&gt;BC$7)),0,MAX(0,ROUND((INDEX($E341:$G341,BC$5)-SUMIFS(TF_Timer,TF_Tekniker,BC$4,TF_Dato,$A341))*2,0)/2)))</f>
        <v/>
      </c>
      <c r="BD341">
        <f>IF(OR(BD$4="",$A341&gt;TODAY()),0,IF(OR(INDEX($B341:$D341,BD$5)="F",AND(BD$6&gt;0,$A341&lt;BD$6),AND(BD$7&gt;0,$A341&gt;BD$7)),0,MAX(0,ROUND((INDEX($E341:$G341,BD$5)-SUMIFS(TF_Timer,TF_Tekniker,BD$4,TF_Dato,$A341))*2,0)/2)))</f>
        <v/>
      </c>
      <c r="BE341">
        <f>IF(OR(BE$4="",$A341&gt;TODAY()),0,IF(OR(INDEX($B341:$D341,BE$5)="F",AND(BE$6&gt;0,$A341&lt;BE$6),AND(BE$7&gt;0,$A341&gt;BE$7)),0,MAX(0,ROUND((INDEX($E341:$G341,BE$5)-SUMIFS(TF_Timer,TF_Tekniker,BE$4,TF_Dato,$A341))*2,0)/2)))</f>
        <v/>
      </c>
      <c r="BF341">
        <f>IF(OR(BF$4="",$A341&gt;TODAY()),0,IF(OR(INDEX($B341:$D341,BF$5)="F",AND(BF$6&gt;0,$A341&lt;BF$6),AND(BF$7&gt;0,$A341&gt;BF$7)),0,MAX(0,ROUND((INDEX($E341:$G341,BF$5)-SUMIFS(TF_Timer,TF_Tekniker,BF$4,TF_Dato,$A341))*2,0)/2)))</f>
        <v/>
      </c>
      <c r="BG341">
        <f>IF(OR(BG$4="",$A341&gt;TODAY()),0,IF(OR(INDEX($B341:$D341,BG$5)="F",AND(BG$6&gt;0,$A341&lt;BG$6),AND(BG$7&gt;0,$A341&gt;BG$7)),0,MAX(0,ROUND((INDEX($E341:$G341,BG$5)-SUMIFS(TF_Timer,TF_Tekniker,BG$4,TF_Dato,$A341))*2,0)/2)))</f>
        <v/>
      </c>
      <c r="BH341">
        <f>IF(OR(BH$4="",$A341&gt;TODAY()),0,IF(OR(INDEX($B341:$D341,BH$5)="F",AND(BH$6&gt;0,$A341&lt;BH$6),AND(BH$7&gt;0,$A341&gt;BH$7)),0,MAX(0,ROUND((INDEX($E341:$G341,BH$5)-SUMIFS(TF_Timer,TF_Tekniker,BH$4,TF_Dato,$A341))*2,0)/2)))</f>
        <v/>
      </c>
      <c r="BI341">
        <f>IF(OR(BI$4="",$A341&gt;TODAY()),0,IF(OR(INDEX($B341:$D341,BI$5)="F",AND(BI$6&gt;0,$A341&lt;BI$6),AND(BI$7&gt;0,$A341&gt;BI$7)),0,MAX(0,ROUND((INDEX($E341:$G341,BI$5)-SUMIFS(TF_Timer,TF_Tekniker,BI$4,TF_Dato,$A341))*2,0)/2)))</f>
        <v/>
      </c>
    </row>
    <row r="342">
      <c r="A342" s="64">
        <f>A341+1</f>
        <v/>
      </c>
      <c r="B342">
        <f>IF(MOD($A342-INDEX(SkiftStart,1),Syklus)&lt;DagK,"K",IF(MOD($A342-INDEX(SkiftStart,1),Syklus)&lt;DagK+DagH,"H",IF(MOD($A342-INDEX(SkiftStart,1),Syklus)&lt;DagK+DagH+DagD,"D","F")))</f>
        <v/>
      </c>
      <c r="C342">
        <f>IF(MOD($A342-INDEX(SkiftStart,2),Syklus)&lt;DagK,"K",IF(MOD($A342-INDEX(SkiftStart,2),Syklus)&lt;DagK+DagH,"H",IF(MOD($A342-INDEX(SkiftStart,2),Syklus)&lt;DagK+DagH+DagD,"D","F")))</f>
        <v/>
      </c>
      <c r="D342">
        <f>IF(MOD($A342-INDEX(SkiftStart,3),Syklus)&lt;DagK,"K",IF(MOD($A342-INDEX(SkiftStart,3),Syklus)&lt;DagK+DagH,"H",IF(MOD($A342-INDEX(SkiftStart,3),Syklus)&lt;DagK+DagH+DagD,"D","F")))</f>
        <v/>
      </c>
      <c r="E342">
        <f>IF(B342="F",0,IF(WEEKDAY($A342,2)=5,INDEX(TimerFr,MATCH(B342,FaseKode,0)),INDEX(TimerMT,MATCH(B342,FaseKode,0))))</f>
        <v/>
      </c>
      <c r="F342">
        <f>IF(C342="F",0,IF(WEEKDAY($A342,2)=5,INDEX(TimerFr,MATCH(C342,FaseKode,0)),INDEX(TimerMT,MATCH(C342,FaseKode,0))))</f>
        <v/>
      </c>
      <c r="G342">
        <f>IF(D342="F",0,IF(WEEKDAY($A342,2)=5,INDEX(TimerFr,MATCH(D342,FaseKode,0)),INDEX(TimerMT,MATCH(D342,FaseKode,0))))</f>
        <v/>
      </c>
      <c r="H342">
        <f>IF(OR(H$4="",$A342&gt;TODAY()),0,IF(OR(INDEX($B342:$D342,H$5)="F",AND(H$6&gt;0,$A342&lt;H$6),AND(H$7&gt;0,$A342&gt;H$7)),0,MAX(0,ROUND((INDEX($E342:$G342,H$5)-SUMIFS(TF_Timer,TF_Tekniker,H$4,TF_Dato,$A342))*2,0)/2)))</f>
        <v/>
      </c>
      <c r="I342">
        <f>IF(OR(I$4="",$A342&gt;TODAY()),0,IF(OR(INDEX($B342:$D342,I$5)="F",AND(I$6&gt;0,$A342&lt;I$6),AND(I$7&gt;0,$A342&gt;I$7)),0,MAX(0,ROUND((INDEX($E342:$G342,I$5)-SUMIFS(TF_Timer,TF_Tekniker,I$4,TF_Dato,$A342))*2,0)/2)))</f>
        <v/>
      </c>
      <c r="J342">
        <f>IF(OR(J$4="",$A342&gt;TODAY()),0,IF(OR(INDEX($B342:$D342,J$5)="F",AND(J$6&gt;0,$A342&lt;J$6),AND(J$7&gt;0,$A342&gt;J$7)),0,MAX(0,ROUND((INDEX($E342:$G342,J$5)-SUMIFS(TF_Timer,TF_Tekniker,J$4,TF_Dato,$A342))*2,0)/2)))</f>
        <v/>
      </c>
      <c r="K342">
        <f>IF(OR(K$4="",$A342&gt;TODAY()),0,IF(OR(INDEX($B342:$D342,K$5)="F",AND(K$6&gt;0,$A342&lt;K$6),AND(K$7&gt;0,$A342&gt;K$7)),0,MAX(0,ROUND((INDEX($E342:$G342,K$5)-SUMIFS(TF_Timer,TF_Tekniker,K$4,TF_Dato,$A342))*2,0)/2)))</f>
        <v/>
      </c>
      <c r="L342">
        <f>IF(OR(L$4="",$A342&gt;TODAY()),0,IF(OR(INDEX($B342:$D342,L$5)="F",AND(L$6&gt;0,$A342&lt;L$6),AND(L$7&gt;0,$A342&gt;L$7)),0,MAX(0,ROUND((INDEX($E342:$G342,L$5)-SUMIFS(TF_Timer,TF_Tekniker,L$4,TF_Dato,$A342))*2,0)/2)))</f>
        <v/>
      </c>
      <c r="M342">
        <f>IF(OR(M$4="",$A342&gt;TODAY()),0,IF(OR(INDEX($B342:$D342,M$5)="F",AND(M$6&gt;0,$A342&lt;M$6),AND(M$7&gt;0,$A342&gt;M$7)),0,MAX(0,ROUND((INDEX($E342:$G342,M$5)-SUMIFS(TF_Timer,TF_Tekniker,M$4,TF_Dato,$A342))*2,0)/2)))</f>
        <v/>
      </c>
      <c r="N342">
        <f>IF(OR(N$4="",$A342&gt;TODAY()),0,IF(OR(INDEX($B342:$D342,N$5)="F",AND(N$6&gt;0,$A342&lt;N$6),AND(N$7&gt;0,$A342&gt;N$7)),0,MAX(0,ROUND((INDEX($E342:$G342,N$5)-SUMIFS(TF_Timer,TF_Tekniker,N$4,TF_Dato,$A342))*2,0)/2)))</f>
        <v/>
      </c>
      <c r="O342">
        <f>IF(OR(O$4="",$A342&gt;TODAY()),0,IF(OR(INDEX($B342:$D342,O$5)="F",AND(O$6&gt;0,$A342&lt;O$6),AND(O$7&gt;0,$A342&gt;O$7)),0,MAX(0,ROUND((INDEX($E342:$G342,O$5)-SUMIFS(TF_Timer,TF_Tekniker,O$4,TF_Dato,$A342))*2,0)/2)))</f>
        <v/>
      </c>
      <c r="P342">
        <f>IF(OR(P$4="",$A342&gt;TODAY()),0,IF(OR(INDEX($B342:$D342,P$5)="F",AND(P$6&gt;0,$A342&lt;P$6),AND(P$7&gt;0,$A342&gt;P$7)),0,MAX(0,ROUND((INDEX($E342:$G342,P$5)-SUMIFS(TF_Timer,TF_Tekniker,P$4,TF_Dato,$A342))*2,0)/2)))</f>
        <v/>
      </c>
      <c r="Q342">
        <f>IF(OR(Q$4="",$A342&gt;TODAY()),0,IF(OR(INDEX($B342:$D342,Q$5)="F",AND(Q$6&gt;0,$A342&lt;Q$6),AND(Q$7&gt;0,$A342&gt;Q$7)),0,MAX(0,ROUND((INDEX($E342:$G342,Q$5)-SUMIFS(TF_Timer,TF_Tekniker,Q$4,TF_Dato,$A342))*2,0)/2)))</f>
        <v/>
      </c>
      <c r="R342">
        <f>IF(OR(R$4="",$A342&gt;TODAY()),0,IF(OR(INDEX($B342:$D342,R$5)="F",AND(R$6&gt;0,$A342&lt;R$6),AND(R$7&gt;0,$A342&gt;R$7)),0,MAX(0,ROUND((INDEX($E342:$G342,R$5)-SUMIFS(TF_Timer,TF_Tekniker,R$4,TF_Dato,$A342))*2,0)/2)))</f>
        <v/>
      </c>
      <c r="S342">
        <f>IF(OR(S$4="",$A342&gt;TODAY()),0,IF(OR(INDEX($B342:$D342,S$5)="F",AND(S$6&gt;0,$A342&lt;S$6),AND(S$7&gt;0,$A342&gt;S$7)),0,MAX(0,ROUND((INDEX($E342:$G342,S$5)-SUMIFS(TF_Timer,TF_Tekniker,S$4,TF_Dato,$A342))*2,0)/2)))</f>
        <v/>
      </c>
      <c r="T342">
        <f>IF(OR(T$4="",$A342&gt;TODAY()),0,IF(OR(INDEX($B342:$D342,T$5)="F",AND(T$6&gt;0,$A342&lt;T$6),AND(T$7&gt;0,$A342&gt;T$7)),0,MAX(0,ROUND((INDEX($E342:$G342,T$5)-SUMIFS(TF_Timer,TF_Tekniker,T$4,TF_Dato,$A342))*2,0)/2)))</f>
        <v/>
      </c>
      <c r="U342">
        <f>IF(OR(U$4="",$A342&gt;TODAY()),0,IF(OR(INDEX($B342:$D342,U$5)="F",AND(U$6&gt;0,$A342&lt;U$6),AND(U$7&gt;0,$A342&gt;U$7)),0,MAX(0,ROUND((INDEX($E342:$G342,U$5)-SUMIFS(TF_Timer,TF_Tekniker,U$4,TF_Dato,$A342))*2,0)/2)))</f>
        <v/>
      </c>
      <c r="V342">
        <f>IF(OR(V$4="",$A342&gt;TODAY()),0,IF(OR(INDEX($B342:$D342,V$5)="F",AND(V$6&gt;0,$A342&lt;V$6),AND(V$7&gt;0,$A342&gt;V$7)),0,MAX(0,ROUND((INDEX($E342:$G342,V$5)-SUMIFS(TF_Timer,TF_Tekniker,V$4,TF_Dato,$A342))*2,0)/2)))</f>
        <v/>
      </c>
      <c r="W342">
        <f>IF(OR(W$4="",$A342&gt;TODAY()),0,IF(OR(INDEX($B342:$D342,W$5)="F",AND(W$6&gt;0,$A342&lt;W$6),AND(W$7&gt;0,$A342&gt;W$7)),0,MAX(0,ROUND((INDEX($E342:$G342,W$5)-SUMIFS(TF_Timer,TF_Tekniker,W$4,TF_Dato,$A342))*2,0)/2)))</f>
        <v/>
      </c>
      <c r="X342">
        <f>IF(OR(X$4="",$A342&gt;TODAY()),0,IF(OR(INDEX($B342:$D342,X$5)="F",AND(X$6&gt;0,$A342&lt;X$6),AND(X$7&gt;0,$A342&gt;X$7)),0,MAX(0,ROUND((INDEX($E342:$G342,X$5)-SUMIFS(TF_Timer,TF_Tekniker,X$4,TF_Dato,$A342))*2,0)/2)))</f>
        <v/>
      </c>
      <c r="Y342">
        <f>IF(OR(Y$4="",$A342&gt;TODAY()),0,IF(OR(INDEX($B342:$D342,Y$5)="F",AND(Y$6&gt;0,$A342&lt;Y$6),AND(Y$7&gt;0,$A342&gt;Y$7)),0,MAX(0,ROUND((INDEX($E342:$G342,Y$5)-SUMIFS(TF_Timer,TF_Tekniker,Y$4,TF_Dato,$A342))*2,0)/2)))</f>
        <v/>
      </c>
      <c r="Z342">
        <f>IF(OR(Z$4="",$A342&gt;TODAY()),0,IF(OR(INDEX($B342:$D342,Z$5)="F",AND(Z$6&gt;0,$A342&lt;Z$6),AND(Z$7&gt;0,$A342&gt;Z$7)),0,MAX(0,ROUND((INDEX($E342:$G342,Z$5)-SUMIFS(TF_Timer,TF_Tekniker,Z$4,TF_Dato,$A342))*2,0)/2)))</f>
        <v/>
      </c>
      <c r="AA342">
        <f>IF(OR(AA$4="",$A342&gt;TODAY()),0,IF(OR(INDEX($B342:$D342,AA$5)="F",AND(AA$6&gt;0,$A342&lt;AA$6),AND(AA$7&gt;0,$A342&gt;AA$7)),0,MAX(0,ROUND((INDEX($E342:$G342,AA$5)-SUMIFS(TF_Timer,TF_Tekniker,AA$4,TF_Dato,$A342))*2,0)/2)))</f>
        <v/>
      </c>
      <c r="AB342">
        <f>IF(OR(AB$4="",$A342&gt;TODAY()),0,IF(OR(INDEX($B342:$D342,AB$5)="F",AND(AB$6&gt;0,$A342&lt;AB$6),AND(AB$7&gt;0,$A342&gt;AB$7)),0,MAX(0,ROUND((INDEX($E342:$G342,AB$5)-SUMIFS(TF_Timer,TF_Tekniker,AB$4,TF_Dato,$A342))*2,0)/2)))</f>
        <v/>
      </c>
      <c r="AC342">
        <f>IF(OR(AC$4="",$A342&gt;TODAY()),0,IF(OR(INDEX($B342:$D342,AC$5)="F",AND(AC$6&gt;0,$A342&lt;AC$6),AND(AC$7&gt;0,$A342&gt;AC$7)),0,MAX(0,ROUND((INDEX($E342:$G342,AC$5)-SUMIFS(TF_Timer,TF_Tekniker,AC$4,TF_Dato,$A342))*2,0)/2)))</f>
        <v/>
      </c>
      <c r="AD342">
        <f>IF(OR(AD$4="",$A342&gt;TODAY()),0,IF(OR(INDEX($B342:$D342,AD$5)="F",AND(AD$6&gt;0,$A342&lt;AD$6),AND(AD$7&gt;0,$A342&gt;AD$7)),0,MAX(0,ROUND((INDEX($E342:$G342,AD$5)-SUMIFS(TF_Timer,TF_Tekniker,AD$4,TF_Dato,$A342))*2,0)/2)))</f>
        <v/>
      </c>
      <c r="AE342">
        <f>IF(OR(AE$4="",$A342&gt;TODAY()),0,IF(OR(INDEX($B342:$D342,AE$5)="F",AND(AE$6&gt;0,$A342&lt;AE$6),AND(AE$7&gt;0,$A342&gt;AE$7)),0,MAX(0,ROUND((INDEX($E342:$G342,AE$5)-SUMIFS(TF_Timer,TF_Tekniker,AE$4,TF_Dato,$A342))*2,0)/2)))</f>
        <v/>
      </c>
      <c r="AF342">
        <f>IF(OR(AF$4="",$A342&gt;TODAY()),0,IF(OR(INDEX($B342:$D342,AF$5)="F",AND(AF$6&gt;0,$A342&lt;AF$6),AND(AF$7&gt;0,$A342&gt;AF$7)),0,MAX(0,ROUND((INDEX($E342:$G342,AF$5)-SUMIFS(TF_Timer,TF_Tekniker,AF$4,TF_Dato,$A342))*2,0)/2)))</f>
        <v/>
      </c>
      <c r="AG342">
        <f>IF(OR(AG$4="",$A342&gt;TODAY()),0,IF(OR(INDEX($B342:$D342,AG$5)="F",AND(AG$6&gt;0,$A342&lt;AG$6),AND(AG$7&gt;0,$A342&gt;AG$7)),0,MAX(0,ROUND((INDEX($E342:$G342,AG$5)-SUMIFS(TF_Timer,TF_Tekniker,AG$4,TF_Dato,$A342))*2,0)/2)))</f>
        <v/>
      </c>
      <c r="AH342">
        <f>IF(OR(AH$4="",$A342&gt;TODAY()),0,IF(OR(INDEX($B342:$D342,AH$5)="F",AND(AH$6&gt;0,$A342&lt;AH$6),AND(AH$7&gt;0,$A342&gt;AH$7)),0,MAX(0,ROUND((INDEX($E342:$G342,AH$5)-SUMIFS(TF_Timer,TF_Tekniker,AH$4,TF_Dato,$A342))*2,0)/2)))</f>
        <v/>
      </c>
      <c r="AI342">
        <f>IF(OR(AI$4="",$A342&gt;TODAY()),0,IF(OR(INDEX($B342:$D342,AI$5)="F",AND(AI$6&gt;0,$A342&lt;AI$6),AND(AI$7&gt;0,$A342&gt;AI$7)),0,MAX(0,ROUND((INDEX($E342:$G342,AI$5)-SUMIFS(TF_Timer,TF_Tekniker,AI$4,TF_Dato,$A342))*2,0)/2)))</f>
        <v/>
      </c>
      <c r="AJ342">
        <f>IF(OR(AJ$4="",$A342&gt;TODAY()),0,IF(OR(INDEX($B342:$D342,AJ$5)="F",AND(AJ$6&gt;0,$A342&lt;AJ$6),AND(AJ$7&gt;0,$A342&gt;AJ$7)),0,MAX(0,ROUND((INDEX($E342:$G342,AJ$5)-SUMIFS(TF_Timer,TF_Tekniker,AJ$4,TF_Dato,$A342))*2,0)/2)))</f>
        <v/>
      </c>
      <c r="AK342">
        <f>IF(OR(AK$4="",$A342&gt;TODAY()),0,IF(OR(INDEX($B342:$D342,AK$5)="F",AND(AK$6&gt;0,$A342&lt;AK$6),AND(AK$7&gt;0,$A342&gt;AK$7)),0,MAX(0,ROUND((INDEX($E342:$G342,AK$5)-SUMIFS(TF_Timer,TF_Tekniker,AK$4,TF_Dato,$A342))*2,0)/2)))</f>
        <v/>
      </c>
      <c r="AL342">
        <f>IF(OR(AL$4="",$A342&gt;TODAY()),0,IF(OR(INDEX($B342:$D342,AL$5)="F",AND(AL$6&gt;0,$A342&lt;AL$6),AND(AL$7&gt;0,$A342&gt;AL$7)),0,MAX(0,ROUND((INDEX($E342:$G342,AL$5)-SUMIFS(TF_Timer,TF_Tekniker,AL$4,TF_Dato,$A342))*2,0)/2)))</f>
        <v/>
      </c>
      <c r="AM342">
        <f>IF(OR(AM$4="",$A342&gt;TODAY()),0,IF(OR(INDEX($B342:$D342,AM$5)="F",AND(AM$6&gt;0,$A342&lt;AM$6),AND(AM$7&gt;0,$A342&gt;AM$7)),0,MAX(0,ROUND((INDEX($E342:$G342,AM$5)-SUMIFS(TF_Timer,TF_Tekniker,AM$4,TF_Dato,$A342))*2,0)/2)))</f>
        <v/>
      </c>
      <c r="AN342">
        <f>IF(OR(AN$4="",$A342&gt;TODAY()),0,IF(OR(INDEX($B342:$D342,AN$5)="F",AND(AN$6&gt;0,$A342&lt;AN$6),AND(AN$7&gt;0,$A342&gt;AN$7)),0,MAX(0,ROUND((INDEX($E342:$G342,AN$5)-SUMIFS(TF_Timer,TF_Tekniker,AN$4,TF_Dato,$A342))*2,0)/2)))</f>
        <v/>
      </c>
      <c r="AO342">
        <f>IF(OR(AO$4="",$A342&gt;TODAY()),0,IF(OR(INDEX($B342:$D342,AO$5)="F",AND(AO$6&gt;0,$A342&lt;AO$6),AND(AO$7&gt;0,$A342&gt;AO$7)),0,MAX(0,ROUND((INDEX($E342:$G342,AO$5)-SUMIFS(TF_Timer,TF_Tekniker,AO$4,TF_Dato,$A342))*2,0)/2)))</f>
        <v/>
      </c>
      <c r="AP342">
        <f>IF(OR(AP$4="",$A342&gt;TODAY()),0,IF(OR(INDEX($B342:$D342,AP$5)="F",AND(AP$6&gt;0,$A342&lt;AP$6),AND(AP$7&gt;0,$A342&gt;AP$7)),0,MAX(0,ROUND((INDEX($E342:$G342,AP$5)-SUMIFS(TF_Timer,TF_Tekniker,AP$4,TF_Dato,$A342))*2,0)/2)))</f>
        <v/>
      </c>
      <c r="AQ342">
        <f>IF(OR(AQ$4="",$A342&gt;TODAY()),0,IF(OR(INDEX($B342:$D342,AQ$5)="F",AND(AQ$6&gt;0,$A342&lt;AQ$6),AND(AQ$7&gt;0,$A342&gt;AQ$7)),0,MAX(0,ROUND((INDEX($E342:$G342,AQ$5)-SUMIFS(TF_Timer,TF_Tekniker,AQ$4,TF_Dato,$A342))*2,0)/2)))</f>
        <v/>
      </c>
      <c r="AR342">
        <f>IF(OR(AR$4="",$A342&gt;TODAY()),0,IF(OR(INDEX($B342:$D342,AR$5)="F",AND(AR$6&gt;0,$A342&lt;AR$6),AND(AR$7&gt;0,$A342&gt;AR$7)),0,MAX(0,ROUND((INDEX($E342:$G342,AR$5)-SUMIFS(TF_Timer,TF_Tekniker,AR$4,TF_Dato,$A342))*2,0)/2)))</f>
        <v/>
      </c>
      <c r="AS342">
        <f>IF(OR(AS$4="",$A342&gt;TODAY()),0,IF(OR(INDEX($B342:$D342,AS$5)="F",AND(AS$6&gt;0,$A342&lt;AS$6),AND(AS$7&gt;0,$A342&gt;AS$7)),0,MAX(0,ROUND((INDEX($E342:$G342,AS$5)-SUMIFS(TF_Timer,TF_Tekniker,AS$4,TF_Dato,$A342))*2,0)/2)))</f>
        <v/>
      </c>
      <c r="AT342">
        <f>IF(OR(AT$4="",$A342&gt;TODAY()),0,IF(OR(INDEX($B342:$D342,AT$5)="F",AND(AT$6&gt;0,$A342&lt;AT$6),AND(AT$7&gt;0,$A342&gt;AT$7)),0,MAX(0,ROUND((INDEX($E342:$G342,AT$5)-SUMIFS(TF_Timer,TF_Tekniker,AT$4,TF_Dato,$A342))*2,0)/2)))</f>
        <v/>
      </c>
      <c r="AU342">
        <f>IF(OR(AU$4="",$A342&gt;TODAY()),0,IF(OR(INDEX($B342:$D342,AU$5)="F",AND(AU$6&gt;0,$A342&lt;AU$6),AND(AU$7&gt;0,$A342&gt;AU$7)),0,MAX(0,ROUND((INDEX($E342:$G342,AU$5)-SUMIFS(TF_Timer,TF_Tekniker,AU$4,TF_Dato,$A342))*2,0)/2)))</f>
        <v/>
      </c>
      <c r="AV342">
        <f>IF(OR(AV$4="",$A342&gt;TODAY()),0,IF(OR(INDEX($B342:$D342,AV$5)="F",AND(AV$6&gt;0,$A342&lt;AV$6),AND(AV$7&gt;0,$A342&gt;AV$7)),0,MAX(0,ROUND((INDEX($E342:$G342,AV$5)-SUMIFS(TF_Timer,TF_Tekniker,AV$4,TF_Dato,$A342))*2,0)/2)))</f>
        <v/>
      </c>
      <c r="AW342">
        <f>IF(OR(AW$4="",$A342&gt;TODAY()),0,IF(OR(INDEX($B342:$D342,AW$5)="F",AND(AW$6&gt;0,$A342&lt;AW$6),AND(AW$7&gt;0,$A342&gt;AW$7)),0,MAX(0,ROUND((INDEX($E342:$G342,AW$5)-SUMIFS(TF_Timer,TF_Tekniker,AW$4,TF_Dato,$A342))*2,0)/2)))</f>
        <v/>
      </c>
      <c r="AX342">
        <f>IF(OR(AX$4="",$A342&gt;TODAY()),0,IF(OR(INDEX($B342:$D342,AX$5)="F",AND(AX$6&gt;0,$A342&lt;AX$6),AND(AX$7&gt;0,$A342&gt;AX$7)),0,MAX(0,ROUND((INDEX($E342:$G342,AX$5)-SUMIFS(TF_Timer,TF_Tekniker,AX$4,TF_Dato,$A342))*2,0)/2)))</f>
        <v/>
      </c>
      <c r="AY342">
        <f>IF(OR(AY$4="",$A342&gt;TODAY()),0,IF(OR(INDEX($B342:$D342,AY$5)="F",AND(AY$6&gt;0,$A342&lt;AY$6),AND(AY$7&gt;0,$A342&gt;AY$7)),0,MAX(0,ROUND((INDEX($E342:$G342,AY$5)-SUMIFS(TF_Timer,TF_Tekniker,AY$4,TF_Dato,$A342))*2,0)/2)))</f>
        <v/>
      </c>
      <c r="AZ342">
        <f>IF(OR(AZ$4="",$A342&gt;TODAY()),0,IF(OR(INDEX($B342:$D342,AZ$5)="F",AND(AZ$6&gt;0,$A342&lt;AZ$6),AND(AZ$7&gt;0,$A342&gt;AZ$7)),0,MAX(0,ROUND((INDEX($E342:$G342,AZ$5)-SUMIFS(TF_Timer,TF_Tekniker,AZ$4,TF_Dato,$A342))*2,0)/2)))</f>
        <v/>
      </c>
      <c r="BA342">
        <f>IF(OR(BA$4="",$A342&gt;TODAY()),0,IF(OR(INDEX($B342:$D342,BA$5)="F",AND(BA$6&gt;0,$A342&lt;BA$6),AND(BA$7&gt;0,$A342&gt;BA$7)),0,MAX(0,ROUND((INDEX($E342:$G342,BA$5)-SUMIFS(TF_Timer,TF_Tekniker,BA$4,TF_Dato,$A342))*2,0)/2)))</f>
        <v/>
      </c>
      <c r="BB342">
        <f>IF(OR(BB$4="",$A342&gt;TODAY()),0,IF(OR(INDEX($B342:$D342,BB$5)="F",AND(BB$6&gt;0,$A342&lt;BB$6),AND(BB$7&gt;0,$A342&gt;BB$7)),0,MAX(0,ROUND((INDEX($E342:$G342,BB$5)-SUMIFS(TF_Timer,TF_Tekniker,BB$4,TF_Dato,$A342))*2,0)/2)))</f>
        <v/>
      </c>
      <c r="BC342">
        <f>IF(OR(BC$4="",$A342&gt;TODAY()),0,IF(OR(INDEX($B342:$D342,BC$5)="F",AND(BC$6&gt;0,$A342&lt;BC$6),AND(BC$7&gt;0,$A342&gt;BC$7)),0,MAX(0,ROUND((INDEX($E342:$G342,BC$5)-SUMIFS(TF_Timer,TF_Tekniker,BC$4,TF_Dato,$A342))*2,0)/2)))</f>
        <v/>
      </c>
      <c r="BD342">
        <f>IF(OR(BD$4="",$A342&gt;TODAY()),0,IF(OR(INDEX($B342:$D342,BD$5)="F",AND(BD$6&gt;0,$A342&lt;BD$6),AND(BD$7&gt;0,$A342&gt;BD$7)),0,MAX(0,ROUND((INDEX($E342:$G342,BD$5)-SUMIFS(TF_Timer,TF_Tekniker,BD$4,TF_Dato,$A342))*2,0)/2)))</f>
        <v/>
      </c>
      <c r="BE342">
        <f>IF(OR(BE$4="",$A342&gt;TODAY()),0,IF(OR(INDEX($B342:$D342,BE$5)="F",AND(BE$6&gt;0,$A342&lt;BE$6),AND(BE$7&gt;0,$A342&gt;BE$7)),0,MAX(0,ROUND((INDEX($E342:$G342,BE$5)-SUMIFS(TF_Timer,TF_Tekniker,BE$4,TF_Dato,$A342))*2,0)/2)))</f>
        <v/>
      </c>
      <c r="BF342">
        <f>IF(OR(BF$4="",$A342&gt;TODAY()),0,IF(OR(INDEX($B342:$D342,BF$5)="F",AND(BF$6&gt;0,$A342&lt;BF$6),AND(BF$7&gt;0,$A342&gt;BF$7)),0,MAX(0,ROUND((INDEX($E342:$G342,BF$5)-SUMIFS(TF_Timer,TF_Tekniker,BF$4,TF_Dato,$A342))*2,0)/2)))</f>
        <v/>
      </c>
      <c r="BG342">
        <f>IF(OR(BG$4="",$A342&gt;TODAY()),0,IF(OR(INDEX($B342:$D342,BG$5)="F",AND(BG$6&gt;0,$A342&lt;BG$6),AND(BG$7&gt;0,$A342&gt;BG$7)),0,MAX(0,ROUND((INDEX($E342:$G342,BG$5)-SUMIFS(TF_Timer,TF_Tekniker,BG$4,TF_Dato,$A342))*2,0)/2)))</f>
        <v/>
      </c>
      <c r="BH342">
        <f>IF(OR(BH$4="",$A342&gt;TODAY()),0,IF(OR(INDEX($B342:$D342,BH$5)="F",AND(BH$6&gt;0,$A342&lt;BH$6),AND(BH$7&gt;0,$A342&gt;BH$7)),0,MAX(0,ROUND((INDEX($E342:$G342,BH$5)-SUMIFS(TF_Timer,TF_Tekniker,BH$4,TF_Dato,$A342))*2,0)/2)))</f>
        <v/>
      </c>
      <c r="BI342">
        <f>IF(OR(BI$4="",$A342&gt;TODAY()),0,IF(OR(INDEX($B342:$D342,BI$5)="F",AND(BI$6&gt;0,$A342&lt;BI$6),AND(BI$7&gt;0,$A342&gt;BI$7)),0,MAX(0,ROUND((INDEX($E342:$G342,BI$5)-SUMIFS(TF_Timer,TF_Tekniker,BI$4,TF_Dato,$A342))*2,0)/2)))</f>
        <v/>
      </c>
    </row>
    <row r="343">
      <c r="A343" s="64">
        <f>A342+1</f>
        <v/>
      </c>
      <c r="B343">
        <f>IF(MOD($A343-INDEX(SkiftStart,1),Syklus)&lt;DagK,"K",IF(MOD($A343-INDEX(SkiftStart,1),Syklus)&lt;DagK+DagH,"H",IF(MOD($A343-INDEX(SkiftStart,1),Syklus)&lt;DagK+DagH+DagD,"D","F")))</f>
        <v/>
      </c>
      <c r="C343">
        <f>IF(MOD($A343-INDEX(SkiftStart,2),Syklus)&lt;DagK,"K",IF(MOD($A343-INDEX(SkiftStart,2),Syklus)&lt;DagK+DagH,"H",IF(MOD($A343-INDEX(SkiftStart,2),Syklus)&lt;DagK+DagH+DagD,"D","F")))</f>
        <v/>
      </c>
      <c r="D343">
        <f>IF(MOD($A343-INDEX(SkiftStart,3),Syklus)&lt;DagK,"K",IF(MOD($A343-INDEX(SkiftStart,3),Syklus)&lt;DagK+DagH,"H",IF(MOD($A343-INDEX(SkiftStart,3),Syklus)&lt;DagK+DagH+DagD,"D","F")))</f>
        <v/>
      </c>
      <c r="E343">
        <f>IF(B343="F",0,IF(WEEKDAY($A343,2)=5,INDEX(TimerFr,MATCH(B343,FaseKode,0)),INDEX(TimerMT,MATCH(B343,FaseKode,0))))</f>
        <v/>
      </c>
      <c r="F343">
        <f>IF(C343="F",0,IF(WEEKDAY($A343,2)=5,INDEX(TimerFr,MATCH(C343,FaseKode,0)),INDEX(TimerMT,MATCH(C343,FaseKode,0))))</f>
        <v/>
      </c>
      <c r="G343">
        <f>IF(D343="F",0,IF(WEEKDAY($A343,2)=5,INDEX(TimerFr,MATCH(D343,FaseKode,0)),INDEX(TimerMT,MATCH(D343,FaseKode,0))))</f>
        <v/>
      </c>
      <c r="H343">
        <f>IF(OR(H$4="",$A343&gt;TODAY()),0,IF(OR(INDEX($B343:$D343,H$5)="F",AND(H$6&gt;0,$A343&lt;H$6),AND(H$7&gt;0,$A343&gt;H$7)),0,MAX(0,ROUND((INDEX($E343:$G343,H$5)-SUMIFS(TF_Timer,TF_Tekniker,H$4,TF_Dato,$A343))*2,0)/2)))</f>
        <v/>
      </c>
      <c r="I343">
        <f>IF(OR(I$4="",$A343&gt;TODAY()),0,IF(OR(INDEX($B343:$D343,I$5)="F",AND(I$6&gt;0,$A343&lt;I$6),AND(I$7&gt;0,$A343&gt;I$7)),0,MAX(0,ROUND((INDEX($E343:$G343,I$5)-SUMIFS(TF_Timer,TF_Tekniker,I$4,TF_Dato,$A343))*2,0)/2)))</f>
        <v/>
      </c>
      <c r="J343">
        <f>IF(OR(J$4="",$A343&gt;TODAY()),0,IF(OR(INDEX($B343:$D343,J$5)="F",AND(J$6&gt;0,$A343&lt;J$6),AND(J$7&gt;0,$A343&gt;J$7)),0,MAX(0,ROUND((INDEX($E343:$G343,J$5)-SUMIFS(TF_Timer,TF_Tekniker,J$4,TF_Dato,$A343))*2,0)/2)))</f>
        <v/>
      </c>
      <c r="K343">
        <f>IF(OR(K$4="",$A343&gt;TODAY()),0,IF(OR(INDEX($B343:$D343,K$5)="F",AND(K$6&gt;0,$A343&lt;K$6),AND(K$7&gt;0,$A343&gt;K$7)),0,MAX(0,ROUND((INDEX($E343:$G343,K$5)-SUMIFS(TF_Timer,TF_Tekniker,K$4,TF_Dato,$A343))*2,0)/2)))</f>
        <v/>
      </c>
      <c r="L343">
        <f>IF(OR(L$4="",$A343&gt;TODAY()),0,IF(OR(INDEX($B343:$D343,L$5)="F",AND(L$6&gt;0,$A343&lt;L$6),AND(L$7&gt;0,$A343&gt;L$7)),0,MAX(0,ROUND((INDEX($E343:$G343,L$5)-SUMIFS(TF_Timer,TF_Tekniker,L$4,TF_Dato,$A343))*2,0)/2)))</f>
        <v/>
      </c>
      <c r="M343">
        <f>IF(OR(M$4="",$A343&gt;TODAY()),0,IF(OR(INDEX($B343:$D343,M$5)="F",AND(M$6&gt;0,$A343&lt;M$6),AND(M$7&gt;0,$A343&gt;M$7)),0,MAX(0,ROUND((INDEX($E343:$G343,M$5)-SUMIFS(TF_Timer,TF_Tekniker,M$4,TF_Dato,$A343))*2,0)/2)))</f>
        <v/>
      </c>
      <c r="N343">
        <f>IF(OR(N$4="",$A343&gt;TODAY()),0,IF(OR(INDEX($B343:$D343,N$5)="F",AND(N$6&gt;0,$A343&lt;N$6),AND(N$7&gt;0,$A343&gt;N$7)),0,MAX(0,ROUND((INDEX($E343:$G343,N$5)-SUMIFS(TF_Timer,TF_Tekniker,N$4,TF_Dato,$A343))*2,0)/2)))</f>
        <v/>
      </c>
      <c r="O343">
        <f>IF(OR(O$4="",$A343&gt;TODAY()),0,IF(OR(INDEX($B343:$D343,O$5)="F",AND(O$6&gt;0,$A343&lt;O$6),AND(O$7&gt;0,$A343&gt;O$7)),0,MAX(0,ROUND((INDEX($E343:$G343,O$5)-SUMIFS(TF_Timer,TF_Tekniker,O$4,TF_Dato,$A343))*2,0)/2)))</f>
        <v/>
      </c>
      <c r="P343">
        <f>IF(OR(P$4="",$A343&gt;TODAY()),0,IF(OR(INDEX($B343:$D343,P$5)="F",AND(P$6&gt;0,$A343&lt;P$6),AND(P$7&gt;0,$A343&gt;P$7)),0,MAX(0,ROUND((INDEX($E343:$G343,P$5)-SUMIFS(TF_Timer,TF_Tekniker,P$4,TF_Dato,$A343))*2,0)/2)))</f>
        <v/>
      </c>
      <c r="Q343">
        <f>IF(OR(Q$4="",$A343&gt;TODAY()),0,IF(OR(INDEX($B343:$D343,Q$5)="F",AND(Q$6&gt;0,$A343&lt;Q$6),AND(Q$7&gt;0,$A343&gt;Q$7)),0,MAX(0,ROUND((INDEX($E343:$G343,Q$5)-SUMIFS(TF_Timer,TF_Tekniker,Q$4,TF_Dato,$A343))*2,0)/2)))</f>
        <v/>
      </c>
      <c r="R343">
        <f>IF(OR(R$4="",$A343&gt;TODAY()),0,IF(OR(INDEX($B343:$D343,R$5)="F",AND(R$6&gt;0,$A343&lt;R$6),AND(R$7&gt;0,$A343&gt;R$7)),0,MAX(0,ROUND((INDEX($E343:$G343,R$5)-SUMIFS(TF_Timer,TF_Tekniker,R$4,TF_Dato,$A343))*2,0)/2)))</f>
        <v/>
      </c>
      <c r="S343">
        <f>IF(OR(S$4="",$A343&gt;TODAY()),0,IF(OR(INDEX($B343:$D343,S$5)="F",AND(S$6&gt;0,$A343&lt;S$6),AND(S$7&gt;0,$A343&gt;S$7)),0,MAX(0,ROUND((INDEX($E343:$G343,S$5)-SUMIFS(TF_Timer,TF_Tekniker,S$4,TF_Dato,$A343))*2,0)/2)))</f>
        <v/>
      </c>
      <c r="T343">
        <f>IF(OR(T$4="",$A343&gt;TODAY()),0,IF(OR(INDEX($B343:$D343,T$5)="F",AND(T$6&gt;0,$A343&lt;T$6),AND(T$7&gt;0,$A343&gt;T$7)),0,MAX(0,ROUND((INDEX($E343:$G343,T$5)-SUMIFS(TF_Timer,TF_Tekniker,T$4,TF_Dato,$A343))*2,0)/2)))</f>
        <v/>
      </c>
      <c r="U343">
        <f>IF(OR(U$4="",$A343&gt;TODAY()),0,IF(OR(INDEX($B343:$D343,U$5)="F",AND(U$6&gt;0,$A343&lt;U$6),AND(U$7&gt;0,$A343&gt;U$7)),0,MAX(0,ROUND((INDEX($E343:$G343,U$5)-SUMIFS(TF_Timer,TF_Tekniker,U$4,TF_Dato,$A343))*2,0)/2)))</f>
        <v/>
      </c>
      <c r="V343">
        <f>IF(OR(V$4="",$A343&gt;TODAY()),0,IF(OR(INDEX($B343:$D343,V$5)="F",AND(V$6&gt;0,$A343&lt;V$6),AND(V$7&gt;0,$A343&gt;V$7)),0,MAX(0,ROUND((INDEX($E343:$G343,V$5)-SUMIFS(TF_Timer,TF_Tekniker,V$4,TF_Dato,$A343))*2,0)/2)))</f>
        <v/>
      </c>
      <c r="W343">
        <f>IF(OR(W$4="",$A343&gt;TODAY()),0,IF(OR(INDEX($B343:$D343,W$5)="F",AND(W$6&gt;0,$A343&lt;W$6),AND(W$7&gt;0,$A343&gt;W$7)),0,MAX(0,ROUND((INDEX($E343:$G343,W$5)-SUMIFS(TF_Timer,TF_Tekniker,W$4,TF_Dato,$A343))*2,0)/2)))</f>
        <v/>
      </c>
      <c r="X343">
        <f>IF(OR(X$4="",$A343&gt;TODAY()),0,IF(OR(INDEX($B343:$D343,X$5)="F",AND(X$6&gt;0,$A343&lt;X$6),AND(X$7&gt;0,$A343&gt;X$7)),0,MAX(0,ROUND((INDEX($E343:$G343,X$5)-SUMIFS(TF_Timer,TF_Tekniker,X$4,TF_Dato,$A343))*2,0)/2)))</f>
        <v/>
      </c>
      <c r="Y343">
        <f>IF(OR(Y$4="",$A343&gt;TODAY()),0,IF(OR(INDEX($B343:$D343,Y$5)="F",AND(Y$6&gt;0,$A343&lt;Y$6),AND(Y$7&gt;0,$A343&gt;Y$7)),0,MAX(0,ROUND((INDEX($E343:$G343,Y$5)-SUMIFS(TF_Timer,TF_Tekniker,Y$4,TF_Dato,$A343))*2,0)/2)))</f>
        <v/>
      </c>
      <c r="Z343">
        <f>IF(OR(Z$4="",$A343&gt;TODAY()),0,IF(OR(INDEX($B343:$D343,Z$5)="F",AND(Z$6&gt;0,$A343&lt;Z$6),AND(Z$7&gt;0,$A343&gt;Z$7)),0,MAX(0,ROUND((INDEX($E343:$G343,Z$5)-SUMIFS(TF_Timer,TF_Tekniker,Z$4,TF_Dato,$A343))*2,0)/2)))</f>
        <v/>
      </c>
      <c r="AA343">
        <f>IF(OR(AA$4="",$A343&gt;TODAY()),0,IF(OR(INDEX($B343:$D343,AA$5)="F",AND(AA$6&gt;0,$A343&lt;AA$6),AND(AA$7&gt;0,$A343&gt;AA$7)),0,MAX(0,ROUND((INDEX($E343:$G343,AA$5)-SUMIFS(TF_Timer,TF_Tekniker,AA$4,TF_Dato,$A343))*2,0)/2)))</f>
        <v/>
      </c>
      <c r="AB343">
        <f>IF(OR(AB$4="",$A343&gt;TODAY()),0,IF(OR(INDEX($B343:$D343,AB$5)="F",AND(AB$6&gt;0,$A343&lt;AB$6),AND(AB$7&gt;0,$A343&gt;AB$7)),0,MAX(0,ROUND((INDEX($E343:$G343,AB$5)-SUMIFS(TF_Timer,TF_Tekniker,AB$4,TF_Dato,$A343))*2,0)/2)))</f>
        <v/>
      </c>
      <c r="AC343">
        <f>IF(OR(AC$4="",$A343&gt;TODAY()),0,IF(OR(INDEX($B343:$D343,AC$5)="F",AND(AC$6&gt;0,$A343&lt;AC$6),AND(AC$7&gt;0,$A343&gt;AC$7)),0,MAX(0,ROUND((INDEX($E343:$G343,AC$5)-SUMIFS(TF_Timer,TF_Tekniker,AC$4,TF_Dato,$A343))*2,0)/2)))</f>
        <v/>
      </c>
      <c r="AD343">
        <f>IF(OR(AD$4="",$A343&gt;TODAY()),0,IF(OR(INDEX($B343:$D343,AD$5)="F",AND(AD$6&gt;0,$A343&lt;AD$6),AND(AD$7&gt;0,$A343&gt;AD$7)),0,MAX(0,ROUND((INDEX($E343:$G343,AD$5)-SUMIFS(TF_Timer,TF_Tekniker,AD$4,TF_Dato,$A343))*2,0)/2)))</f>
        <v/>
      </c>
      <c r="AE343">
        <f>IF(OR(AE$4="",$A343&gt;TODAY()),0,IF(OR(INDEX($B343:$D343,AE$5)="F",AND(AE$6&gt;0,$A343&lt;AE$6),AND(AE$7&gt;0,$A343&gt;AE$7)),0,MAX(0,ROUND((INDEX($E343:$G343,AE$5)-SUMIFS(TF_Timer,TF_Tekniker,AE$4,TF_Dato,$A343))*2,0)/2)))</f>
        <v/>
      </c>
      <c r="AF343">
        <f>IF(OR(AF$4="",$A343&gt;TODAY()),0,IF(OR(INDEX($B343:$D343,AF$5)="F",AND(AF$6&gt;0,$A343&lt;AF$6),AND(AF$7&gt;0,$A343&gt;AF$7)),0,MAX(0,ROUND((INDEX($E343:$G343,AF$5)-SUMIFS(TF_Timer,TF_Tekniker,AF$4,TF_Dato,$A343))*2,0)/2)))</f>
        <v/>
      </c>
      <c r="AG343">
        <f>IF(OR(AG$4="",$A343&gt;TODAY()),0,IF(OR(INDEX($B343:$D343,AG$5)="F",AND(AG$6&gt;0,$A343&lt;AG$6),AND(AG$7&gt;0,$A343&gt;AG$7)),0,MAX(0,ROUND((INDEX($E343:$G343,AG$5)-SUMIFS(TF_Timer,TF_Tekniker,AG$4,TF_Dato,$A343))*2,0)/2)))</f>
        <v/>
      </c>
      <c r="AH343">
        <f>IF(OR(AH$4="",$A343&gt;TODAY()),0,IF(OR(INDEX($B343:$D343,AH$5)="F",AND(AH$6&gt;0,$A343&lt;AH$6),AND(AH$7&gt;0,$A343&gt;AH$7)),0,MAX(0,ROUND((INDEX($E343:$G343,AH$5)-SUMIFS(TF_Timer,TF_Tekniker,AH$4,TF_Dato,$A343))*2,0)/2)))</f>
        <v/>
      </c>
      <c r="AI343">
        <f>IF(OR(AI$4="",$A343&gt;TODAY()),0,IF(OR(INDEX($B343:$D343,AI$5)="F",AND(AI$6&gt;0,$A343&lt;AI$6),AND(AI$7&gt;0,$A343&gt;AI$7)),0,MAX(0,ROUND((INDEX($E343:$G343,AI$5)-SUMIFS(TF_Timer,TF_Tekniker,AI$4,TF_Dato,$A343))*2,0)/2)))</f>
        <v/>
      </c>
      <c r="AJ343">
        <f>IF(OR(AJ$4="",$A343&gt;TODAY()),0,IF(OR(INDEX($B343:$D343,AJ$5)="F",AND(AJ$6&gt;0,$A343&lt;AJ$6),AND(AJ$7&gt;0,$A343&gt;AJ$7)),0,MAX(0,ROUND((INDEX($E343:$G343,AJ$5)-SUMIFS(TF_Timer,TF_Tekniker,AJ$4,TF_Dato,$A343))*2,0)/2)))</f>
        <v/>
      </c>
      <c r="AK343">
        <f>IF(OR(AK$4="",$A343&gt;TODAY()),0,IF(OR(INDEX($B343:$D343,AK$5)="F",AND(AK$6&gt;0,$A343&lt;AK$6),AND(AK$7&gt;0,$A343&gt;AK$7)),0,MAX(0,ROUND((INDEX($E343:$G343,AK$5)-SUMIFS(TF_Timer,TF_Tekniker,AK$4,TF_Dato,$A343))*2,0)/2)))</f>
        <v/>
      </c>
      <c r="AL343">
        <f>IF(OR(AL$4="",$A343&gt;TODAY()),0,IF(OR(INDEX($B343:$D343,AL$5)="F",AND(AL$6&gt;0,$A343&lt;AL$6),AND(AL$7&gt;0,$A343&gt;AL$7)),0,MAX(0,ROUND((INDEX($E343:$G343,AL$5)-SUMIFS(TF_Timer,TF_Tekniker,AL$4,TF_Dato,$A343))*2,0)/2)))</f>
        <v/>
      </c>
      <c r="AM343">
        <f>IF(OR(AM$4="",$A343&gt;TODAY()),0,IF(OR(INDEX($B343:$D343,AM$5)="F",AND(AM$6&gt;0,$A343&lt;AM$6),AND(AM$7&gt;0,$A343&gt;AM$7)),0,MAX(0,ROUND((INDEX($E343:$G343,AM$5)-SUMIFS(TF_Timer,TF_Tekniker,AM$4,TF_Dato,$A343))*2,0)/2)))</f>
        <v/>
      </c>
      <c r="AN343">
        <f>IF(OR(AN$4="",$A343&gt;TODAY()),0,IF(OR(INDEX($B343:$D343,AN$5)="F",AND(AN$6&gt;0,$A343&lt;AN$6),AND(AN$7&gt;0,$A343&gt;AN$7)),0,MAX(0,ROUND((INDEX($E343:$G343,AN$5)-SUMIFS(TF_Timer,TF_Tekniker,AN$4,TF_Dato,$A343))*2,0)/2)))</f>
        <v/>
      </c>
      <c r="AO343">
        <f>IF(OR(AO$4="",$A343&gt;TODAY()),0,IF(OR(INDEX($B343:$D343,AO$5)="F",AND(AO$6&gt;0,$A343&lt;AO$6),AND(AO$7&gt;0,$A343&gt;AO$7)),0,MAX(0,ROUND((INDEX($E343:$G343,AO$5)-SUMIFS(TF_Timer,TF_Tekniker,AO$4,TF_Dato,$A343))*2,0)/2)))</f>
        <v/>
      </c>
      <c r="AP343">
        <f>IF(OR(AP$4="",$A343&gt;TODAY()),0,IF(OR(INDEX($B343:$D343,AP$5)="F",AND(AP$6&gt;0,$A343&lt;AP$6),AND(AP$7&gt;0,$A343&gt;AP$7)),0,MAX(0,ROUND((INDEX($E343:$G343,AP$5)-SUMIFS(TF_Timer,TF_Tekniker,AP$4,TF_Dato,$A343))*2,0)/2)))</f>
        <v/>
      </c>
      <c r="AQ343">
        <f>IF(OR(AQ$4="",$A343&gt;TODAY()),0,IF(OR(INDEX($B343:$D343,AQ$5)="F",AND(AQ$6&gt;0,$A343&lt;AQ$6),AND(AQ$7&gt;0,$A343&gt;AQ$7)),0,MAX(0,ROUND((INDEX($E343:$G343,AQ$5)-SUMIFS(TF_Timer,TF_Tekniker,AQ$4,TF_Dato,$A343))*2,0)/2)))</f>
        <v/>
      </c>
      <c r="AR343">
        <f>IF(OR(AR$4="",$A343&gt;TODAY()),0,IF(OR(INDEX($B343:$D343,AR$5)="F",AND(AR$6&gt;0,$A343&lt;AR$6),AND(AR$7&gt;0,$A343&gt;AR$7)),0,MAX(0,ROUND((INDEX($E343:$G343,AR$5)-SUMIFS(TF_Timer,TF_Tekniker,AR$4,TF_Dato,$A343))*2,0)/2)))</f>
        <v/>
      </c>
      <c r="AS343">
        <f>IF(OR(AS$4="",$A343&gt;TODAY()),0,IF(OR(INDEX($B343:$D343,AS$5)="F",AND(AS$6&gt;0,$A343&lt;AS$6),AND(AS$7&gt;0,$A343&gt;AS$7)),0,MAX(0,ROUND((INDEX($E343:$G343,AS$5)-SUMIFS(TF_Timer,TF_Tekniker,AS$4,TF_Dato,$A343))*2,0)/2)))</f>
        <v/>
      </c>
      <c r="AT343">
        <f>IF(OR(AT$4="",$A343&gt;TODAY()),0,IF(OR(INDEX($B343:$D343,AT$5)="F",AND(AT$6&gt;0,$A343&lt;AT$6),AND(AT$7&gt;0,$A343&gt;AT$7)),0,MAX(0,ROUND((INDEX($E343:$G343,AT$5)-SUMIFS(TF_Timer,TF_Tekniker,AT$4,TF_Dato,$A343))*2,0)/2)))</f>
        <v/>
      </c>
      <c r="AU343">
        <f>IF(OR(AU$4="",$A343&gt;TODAY()),0,IF(OR(INDEX($B343:$D343,AU$5)="F",AND(AU$6&gt;0,$A343&lt;AU$6),AND(AU$7&gt;0,$A343&gt;AU$7)),0,MAX(0,ROUND((INDEX($E343:$G343,AU$5)-SUMIFS(TF_Timer,TF_Tekniker,AU$4,TF_Dato,$A343))*2,0)/2)))</f>
        <v/>
      </c>
      <c r="AV343">
        <f>IF(OR(AV$4="",$A343&gt;TODAY()),0,IF(OR(INDEX($B343:$D343,AV$5)="F",AND(AV$6&gt;0,$A343&lt;AV$6),AND(AV$7&gt;0,$A343&gt;AV$7)),0,MAX(0,ROUND((INDEX($E343:$G343,AV$5)-SUMIFS(TF_Timer,TF_Tekniker,AV$4,TF_Dato,$A343))*2,0)/2)))</f>
        <v/>
      </c>
      <c r="AW343">
        <f>IF(OR(AW$4="",$A343&gt;TODAY()),0,IF(OR(INDEX($B343:$D343,AW$5)="F",AND(AW$6&gt;0,$A343&lt;AW$6),AND(AW$7&gt;0,$A343&gt;AW$7)),0,MAX(0,ROUND((INDEX($E343:$G343,AW$5)-SUMIFS(TF_Timer,TF_Tekniker,AW$4,TF_Dato,$A343))*2,0)/2)))</f>
        <v/>
      </c>
      <c r="AX343">
        <f>IF(OR(AX$4="",$A343&gt;TODAY()),0,IF(OR(INDEX($B343:$D343,AX$5)="F",AND(AX$6&gt;0,$A343&lt;AX$6),AND(AX$7&gt;0,$A343&gt;AX$7)),0,MAX(0,ROUND((INDEX($E343:$G343,AX$5)-SUMIFS(TF_Timer,TF_Tekniker,AX$4,TF_Dato,$A343))*2,0)/2)))</f>
        <v/>
      </c>
      <c r="AY343">
        <f>IF(OR(AY$4="",$A343&gt;TODAY()),0,IF(OR(INDEX($B343:$D343,AY$5)="F",AND(AY$6&gt;0,$A343&lt;AY$6),AND(AY$7&gt;0,$A343&gt;AY$7)),0,MAX(0,ROUND((INDEX($E343:$G343,AY$5)-SUMIFS(TF_Timer,TF_Tekniker,AY$4,TF_Dato,$A343))*2,0)/2)))</f>
        <v/>
      </c>
      <c r="AZ343">
        <f>IF(OR(AZ$4="",$A343&gt;TODAY()),0,IF(OR(INDEX($B343:$D343,AZ$5)="F",AND(AZ$6&gt;0,$A343&lt;AZ$6),AND(AZ$7&gt;0,$A343&gt;AZ$7)),0,MAX(0,ROUND((INDEX($E343:$G343,AZ$5)-SUMIFS(TF_Timer,TF_Tekniker,AZ$4,TF_Dato,$A343))*2,0)/2)))</f>
        <v/>
      </c>
      <c r="BA343">
        <f>IF(OR(BA$4="",$A343&gt;TODAY()),0,IF(OR(INDEX($B343:$D343,BA$5)="F",AND(BA$6&gt;0,$A343&lt;BA$6),AND(BA$7&gt;0,$A343&gt;BA$7)),0,MAX(0,ROUND((INDEX($E343:$G343,BA$5)-SUMIFS(TF_Timer,TF_Tekniker,BA$4,TF_Dato,$A343))*2,0)/2)))</f>
        <v/>
      </c>
      <c r="BB343">
        <f>IF(OR(BB$4="",$A343&gt;TODAY()),0,IF(OR(INDEX($B343:$D343,BB$5)="F",AND(BB$6&gt;0,$A343&lt;BB$6),AND(BB$7&gt;0,$A343&gt;BB$7)),0,MAX(0,ROUND((INDEX($E343:$G343,BB$5)-SUMIFS(TF_Timer,TF_Tekniker,BB$4,TF_Dato,$A343))*2,0)/2)))</f>
        <v/>
      </c>
      <c r="BC343">
        <f>IF(OR(BC$4="",$A343&gt;TODAY()),0,IF(OR(INDEX($B343:$D343,BC$5)="F",AND(BC$6&gt;0,$A343&lt;BC$6),AND(BC$7&gt;0,$A343&gt;BC$7)),0,MAX(0,ROUND((INDEX($E343:$G343,BC$5)-SUMIFS(TF_Timer,TF_Tekniker,BC$4,TF_Dato,$A343))*2,0)/2)))</f>
        <v/>
      </c>
      <c r="BD343">
        <f>IF(OR(BD$4="",$A343&gt;TODAY()),0,IF(OR(INDEX($B343:$D343,BD$5)="F",AND(BD$6&gt;0,$A343&lt;BD$6),AND(BD$7&gt;0,$A343&gt;BD$7)),0,MAX(0,ROUND((INDEX($E343:$G343,BD$5)-SUMIFS(TF_Timer,TF_Tekniker,BD$4,TF_Dato,$A343))*2,0)/2)))</f>
        <v/>
      </c>
      <c r="BE343">
        <f>IF(OR(BE$4="",$A343&gt;TODAY()),0,IF(OR(INDEX($B343:$D343,BE$5)="F",AND(BE$6&gt;0,$A343&lt;BE$6),AND(BE$7&gt;0,$A343&gt;BE$7)),0,MAX(0,ROUND((INDEX($E343:$G343,BE$5)-SUMIFS(TF_Timer,TF_Tekniker,BE$4,TF_Dato,$A343))*2,0)/2)))</f>
        <v/>
      </c>
      <c r="BF343">
        <f>IF(OR(BF$4="",$A343&gt;TODAY()),0,IF(OR(INDEX($B343:$D343,BF$5)="F",AND(BF$6&gt;0,$A343&lt;BF$6),AND(BF$7&gt;0,$A343&gt;BF$7)),0,MAX(0,ROUND((INDEX($E343:$G343,BF$5)-SUMIFS(TF_Timer,TF_Tekniker,BF$4,TF_Dato,$A343))*2,0)/2)))</f>
        <v/>
      </c>
      <c r="BG343">
        <f>IF(OR(BG$4="",$A343&gt;TODAY()),0,IF(OR(INDEX($B343:$D343,BG$5)="F",AND(BG$6&gt;0,$A343&lt;BG$6),AND(BG$7&gt;0,$A343&gt;BG$7)),0,MAX(0,ROUND((INDEX($E343:$G343,BG$5)-SUMIFS(TF_Timer,TF_Tekniker,BG$4,TF_Dato,$A343))*2,0)/2)))</f>
        <v/>
      </c>
      <c r="BH343">
        <f>IF(OR(BH$4="",$A343&gt;TODAY()),0,IF(OR(INDEX($B343:$D343,BH$5)="F",AND(BH$6&gt;0,$A343&lt;BH$6),AND(BH$7&gt;0,$A343&gt;BH$7)),0,MAX(0,ROUND((INDEX($E343:$G343,BH$5)-SUMIFS(TF_Timer,TF_Tekniker,BH$4,TF_Dato,$A343))*2,0)/2)))</f>
        <v/>
      </c>
      <c r="BI343">
        <f>IF(OR(BI$4="",$A343&gt;TODAY()),0,IF(OR(INDEX($B343:$D343,BI$5)="F",AND(BI$6&gt;0,$A343&lt;BI$6),AND(BI$7&gt;0,$A343&gt;BI$7)),0,MAX(0,ROUND((INDEX($E343:$G343,BI$5)-SUMIFS(TF_Timer,TF_Tekniker,BI$4,TF_Dato,$A343))*2,0)/2)))</f>
        <v/>
      </c>
    </row>
    <row r="344">
      <c r="A344" s="64">
        <f>A343+1</f>
        <v/>
      </c>
      <c r="B344">
        <f>IF(MOD($A344-INDEX(SkiftStart,1),Syklus)&lt;DagK,"K",IF(MOD($A344-INDEX(SkiftStart,1),Syklus)&lt;DagK+DagH,"H",IF(MOD($A344-INDEX(SkiftStart,1),Syklus)&lt;DagK+DagH+DagD,"D","F")))</f>
        <v/>
      </c>
      <c r="C344">
        <f>IF(MOD($A344-INDEX(SkiftStart,2),Syklus)&lt;DagK,"K",IF(MOD($A344-INDEX(SkiftStart,2),Syklus)&lt;DagK+DagH,"H",IF(MOD($A344-INDEX(SkiftStart,2),Syklus)&lt;DagK+DagH+DagD,"D","F")))</f>
        <v/>
      </c>
      <c r="D344">
        <f>IF(MOD($A344-INDEX(SkiftStart,3),Syklus)&lt;DagK,"K",IF(MOD($A344-INDEX(SkiftStart,3),Syklus)&lt;DagK+DagH,"H",IF(MOD($A344-INDEX(SkiftStart,3),Syklus)&lt;DagK+DagH+DagD,"D","F")))</f>
        <v/>
      </c>
      <c r="E344">
        <f>IF(B344="F",0,IF(WEEKDAY($A344,2)=5,INDEX(TimerFr,MATCH(B344,FaseKode,0)),INDEX(TimerMT,MATCH(B344,FaseKode,0))))</f>
        <v/>
      </c>
      <c r="F344">
        <f>IF(C344="F",0,IF(WEEKDAY($A344,2)=5,INDEX(TimerFr,MATCH(C344,FaseKode,0)),INDEX(TimerMT,MATCH(C344,FaseKode,0))))</f>
        <v/>
      </c>
      <c r="G344">
        <f>IF(D344="F",0,IF(WEEKDAY($A344,2)=5,INDEX(TimerFr,MATCH(D344,FaseKode,0)),INDEX(TimerMT,MATCH(D344,FaseKode,0))))</f>
        <v/>
      </c>
      <c r="H344">
        <f>IF(OR(H$4="",$A344&gt;TODAY()),0,IF(OR(INDEX($B344:$D344,H$5)="F",AND(H$6&gt;0,$A344&lt;H$6),AND(H$7&gt;0,$A344&gt;H$7)),0,MAX(0,ROUND((INDEX($E344:$G344,H$5)-SUMIFS(TF_Timer,TF_Tekniker,H$4,TF_Dato,$A344))*2,0)/2)))</f>
        <v/>
      </c>
      <c r="I344">
        <f>IF(OR(I$4="",$A344&gt;TODAY()),0,IF(OR(INDEX($B344:$D344,I$5)="F",AND(I$6&gt;0,$A344&lt;I$6),AND(I$7&gt;0,$A344&gt;I$7)),0,MAX(0,ROUND((INDEX($E344:$G344,I$5)-SUMIFS(TF_Timer,TF_Tekniker,I$4,TF_Dato,$A344))*2,0)/2)))</f>
        <v/>
      </c>
      <c r="J344">
        <f>IF(OR(J$4="",$A344&gt;TODAY()),0,IF(OR(INDEX($B344:$D344,J$5)="F",AND(J$6&gt;0,$A344&lt;J$6),AND(J$7&gt;0,$A344&gt;J$7)),0,MAX(0,ROUND((INDEX($E344:$G344,J$5)-SUMIFS(TF_Timer,TF_Tekniker,J$4,TF_Dato,$A344))*2,0)/2)))</f>
        <v/>
      </c>
      <c r="K344">
        <f>IF(OR(K$4="",$A344&gt;TODAY()),0,IF(OR(INDEX($B344:$D344,K$5)="F",AND(K$6&gt;0,$A344&lt;K$6),AND(K$7&gt;0,$A344&gt;K$7)),0,MAX(0,ROUND((INDEX($E344:$G344,K$5)-SUMIFS(TF_Timer,TF_Tekniker,K$4,TF_Dato,$A344))*2,0)/2)))</f>
        <v/>
      </c>
      <c r="L344">
        <f>IF(OR(L$4="",$A344&gt;TODAY()),0,IF(OR(INDEX($B344:$D344,L$5)="F",AND(L$6&gt;0,$A344&lt;L$6),AND(L$7&gt;0,$A344&gt;L$7)),0,MAX(0,ROUND((INDEX($E344:$G344,L$5)-SUMIFS(TF_Timer,TF_Tekniker,L$4,TF_Dato,$A344))*2,0)/2)))</f>
        <v/>
      </c>
      <c r="M344">
        <f>IF(OR(M$4="",$A344&gt;TODAY()),0,IF(OR(INDEX($B344:$D344,M$5)="F",AND(M$6&gt;0,$A344&lt;M$6),AND(M$7&gt;0,$A344&gt;M$7)),0,MAX(0,ROUND((INDEX($E344:$G344,M$5)-SUMIFS(TF_Timer,TF_Tekniker,M$4,TF_Dato,$A344))*2,0)/2)))</f>
        <v/>
      </c>
      <c r="N344">
        <f>IF(OR(N$4="",$A344&gt;TODAY()),0,IF(OR(INDEX($B344:$D344,N$5)="F",AND(N$6&gt;0,$A344&lt;N$6),AND(N$7&gt;0,$A344&gt;N$7)),0,MAX(0,ROUND((INDEX($E344:$G344,N$5)-SUMIFS(TF_Timer,TF_Tekniker,N$4,TF_Dato,$A344))*2,0)/2)))</f>
        <v/>
      </c>
      <c r="O344">
        <f>IF(OR(O$4="",$A344&gt;TODAY()),0,IF(OR(INDEX($B344:$D344,O$5)="F",AND(O$6&gt;0,$A344&lt;O$6),AND(O$7&gt;0,$A344&gt;O$7)),0,MAX(0,ROUND((INDEX($E344:$G344,O$5)-SUMIFS(TF_Timer,TF_Tekniker,O$4,TF_Dato,$A344))*2,0)/2)))</f>
        <v/>
      </c>
      <c r="P344">
        <f>IF(OR(P$4="",$A344&gt;TODAY()),0,IF(OR(INDEX($B344:$D344,P$5)="F",AND(P$6&gt;0,$A344&lt;P$6),AND(P$7&gt;0,$A344&gt;P$7)),0,MAX(0,ROUND((INDEX($E344:$G344,P$5)-SUMIFS(TF_Timer,TF_Tekniker,P$4,TF_Dato,$A344))*2,0)/2)))</f>
        <v/>
      </c>
      <c r="Q344">
        <f>IF(OR(Q$4="",$A344&gt;TODAY()),0,IF(OR(INDEX($B344:$D344,Q$5)="F",AND(Q$6&gt;0,$A344&lt;Q$6),AND(Q$7&gt;0,$A344&gt;Q$7)),0,MAX(0,ROUND((INDEX($E344:$G344,Q$5)-SUMIFS(TF_Timer,TF_Tekniker,Q$4,TF_Dato,$A344))*2,0)/2)))</f>
        <v/>
      </c>
      <c r="R344">
        <f>IF(OR(R$4="",$A344&gt;TODAY()),0,IF(OR(INDEX($B344:$D344,R$5)="F",AND(R$6&gt;0,$A344&lt;R$6),AND(R$7&gt;0,$A344&gt;R$7)),0,MAX(0,ROUND((INDEX($E344:$G344,R$5)-SUMIFS(TF_Timer,TF_Tekniker,R$4,TF_Dato,$A344))*2,0)/2)))</f>
        <v/>
      </c>
      <c r="S344">
        <f>IF(OR(S$4="",$A344&gt;TODAY()),0,IF(OR(INDEX($B344:$D344,S$5)="F",AND(S$6&gt;0,$A344&lt;S$6),AND(S$7&gt;0,$A344&gt;S$7)),0,MAX(0,ROUND((INDEX($E344:$G344,S$5)-SUMIFS(TF_Timer,TF_Tekniker,S$4,TF_Dato,$A344))*2,0)/2)))</f>
        <v/>
      </c>
      <c r="T344">
        <f>IF(OR(T$4="",$A344&gt;TODAY()),0,IF(OR(INDEX($B344:$D344,T$5)="F",AND(T$6&gt;0,$A344&lt;T$6),AND(T$7&gt;0,$A344&gt;T$7)),0,MAX(0,ROUND((INDEX($E344:$G344,T$5)-SUMIFS(TF_Timer,TF_Tekniker,T$4,TF_Dato,$A344))*2,0)/2)))</f>
        <v/>
      </c>
      <c r="U344">
        <f>IF(OR(U$4="",$A344&gt;TODAY()),0,IF(OR(INDEX($B344:$D344,U$5)="F",AND(U$6&gt;0,$A344&lt;U$6),AND(U$7&gt;0,$A344&gt;U$7)),0,MAX(0,ROUND((INDEX($E344:$G344,U$5)-SUMIFS(TF_Timer,TF_Tekniker,U$4,TF_Dato,$A344))*2,0)/2)))</f>
        <v/>
      </c>
      <c r="V344">
        <f>IF(OR(V$4="",$A344&gt;TODAY()),0,IF(OR(INDEX($B344:$D344,V$5)="F",AND(V$6&gt;0,$A344&lt;V$6),AND(V$7&gt;0,$A344&gt;V$7)),0,MAX(0,ROUND((INDEX($E344:$G344,V$5)-SUMIFS(TF_Timer,TF_Tekniker,V$4,TF_Dato,$A344))*2,0)/2)))</f>
        <v/>
      </c>
      <c r="W344">
        <f>IF(OR(W$4="",$A344&gt;TODAY()),0,IF(OR(INDEX($B344:$D344,W$5)="F",AND(W$6&gt;0,$A344&lt;W$6),AND(W$7&gt;0,$A344&gt;W$7)),0,MAX(0,ROUND((INDEX($E344:$G344,W$5)-SUMIFS(TF_Timer,TF_Tekniker,W$4,TF_Dato,$A344))*2,0)/2)))</f>
        <v/>
      </c>
      <c r="X344">
        <f>IF(OR(X$4="",$A344&gt;TODAY()),0,IF(OR(INDEX($B344:$D344,X$5)="F",AND(X$6&gt;0,$A344&lt;X$6),AND(X$7&gt;0,$A344&gt;X$7)),0,MAX(0,ROUND((INDEX($E344:$G344,X$5)-SUMIFS(TF_Timer,TF_Tekniker,X$4,TF_Dato,$A344))*2,0)/2)))</f>
        <v/>
      </c>
      <c r="Y344">
        <f>IF(OR(Y$4="",$A344&gt;TODAY()),0,IF(OR(INDEX($B344:$D344,Y$5)="F",AND(Y$6&gt;0,$A344&lt;Y$6),AND(Y$7&gt;0,$A344&gt;Y$7)),0,MAX(0,ROUND((INDEX($E344:$G344,Y$5)-SUMIFS(TF_Timer,TF_Tekniker,Y$4,TF_Dato,$A344))*2,0)/2)))</f>
        <v/>
      </c>
      <c r="Z344">
        <f>IF(OR(Z$4="",$A344&gt;TODAY()),0,IF(OR(INDEX($B344:$D344,Z$5)="F",AND(Z$6&gt;0,$A344&lt;Z$6),AND(Z$7&gt;0,$A344&gt;Z$7)),0,MAX(0,ROUND((INDEX($E344:$G344,Z$5)-SUMIFS(TF_Timer,TF_Tekniker,Z$4,TF_Dato,$A344))*2,0)/2)))</f>
        <v/>
      </c>
      <c r="AA344">
        <f>IF(OR(AA$4="",$A344&gt;TODAY()),0,IF(OR(INDEX($B344:$D344,AA$5)="F",AND(AA$6&gt;0,$A344&lt;AA$6),AND(AA$7&gt;0,$A344&gt;AA$7)),0,MAX(0,ROUND((INDEX($E344:$G344,AA$5)-SUMIFS(TF_Timer,TF_Tekniker,AA$4,TF_Dato,$A344))*2,0)/2)))</f>
        <v/>
      </c>
      <c r="AB344">
        <f>IF(OR(AB$4="",$A344&gt;TODAY()),0,IF(OR(INDEX($B344:$D344,AB$5)="F",AND(AB$6&gt;0,$A344&lt;AB$6),AND(AB$7&gt;0,$A344&gt;AB$7)),0,MAX(0,ROUND((INDEX($E344:$G344,AB$5)-SUMIFS(TF_Timer,TF_Tekniker,AB$4,TF_Dato,$A344))*2,0)/2)))</f>
        <v/>
      </c>
      <c r="AC344">
        <f>IF(OR(AC$4="",$A344&gt;TODAY()),0,IF(OR(INDEX($B344:$D344,AC$5)="F",AND(AC$6&gt;0,$A344&lt;AC$6),AND(AC$7&gt;0,$A344&gt;AC$7)),0,MAX(0,ROUND((INDEX($E344:$G344,AC$5)-SUMIFS(TF_Timer,TF_Tekniker,AC$4,TF_Dato,$A344))*2,0)/2)))</f>
        <v/>
      </c>
      <c r="AD344">
        <f>IF(OR(AD$4="",$A344&gt;TODAY()),0,IF(OR(INDEX($B344:$D344,AD$5)="F",AND(AD$6&gt;0,$A344&lt;AD$6),AND(AD$7&gt;0,$A344&gt;AD$7)),0,MAX(0,ROUND((INDEX($E344:$G344,AD$5)-SUMIFS(TF_Timer,TF_Tekniker,AD$4,TF_Dato,$A344))*2,0)/2)))</f>
        <v/>
      </c>
      <c r="AE344">
        <f>IF(OR(AE$4="",$A344&gt;TODAY()),0,IF(OR(INDEX($B344:$D344,AE$5)="F",AND(AE$6&gt;0,$A344&lt;AE$6),AND(AE$7&gt;0,$A344&gt;AE$7)),0,MAX(0,ROUND((INDEX($E344:$G344,AE$5)-SUMIFS(TF_Timer,TF_Tekniker,AE$4,TF_Dato,$A344))*2,0)/2)))</f>
        <v/>
      </c>
      <c r="AF344">
        <f>IF(OR(AF$4="",$A344&gt;TODAY()),0,IF(OR(INDEX($B344:$D344,AF$5)="F",AND(AF$6&gt;0,$A344&lt;AF$6),AND(AF$7&gt;0,$A344&gt;AF$7)),0,MAX(0,ROUND((INDEX($E344:$G344,AF$5)-SUMIFS(TF_Timer,TF_Tekniker,AF$4,TF_Dato,$A344))*2,0)/2)))</f>
        <v/>
      </c>
      <c r="AG344">
        <f>IF(OR(AG$4="",$A344&gt;TODAY()),0,IF(OR(INDEX($B344:$D344,AG$5)="F",AND(AG$6&gt;0,$A344&lt;AG$6),AND(AG$7&gt;0,$A344&gt;AG$7)),0,MAX(0,ROUND((INDEX($E344:$G344,AG$5)-SUMIFS(TF_Timer,TF_Tekniker,AG$4,TF_Dato,$A344))*2,0)/2)))</f>
        <v/>
      </c>
      <c r="AH344">
        <f>IF(OR(AH$4="",$A344&gt;TODAY()),0,IF(OR(INDEX($B344:$D344,AH$5)="F",AND(AH$6&gt;0,$A344&lt;AH$6),AND(AH$7&gt;0,$A344&gt;AH$7)),0,MAX(0,ROUND((INDEX($E344:$G344,AH$5)-SUMIFS(TF_Timer,TF_Tekniker,AH$4,TF_Dato,$A344))*2,0)/2)))</f>
        <v/>
      </c>
      <c r="AI344">
        <f>IF(OR(AI$4="",$A344&gt;TODAY()),0,IF(OR(INDEX($B344:$D344,AI$5)="F",AND(AI$6&gt;0,$A344&lt;AI$6),AND(AI$7&gt;0,$A344&gt;AI$7)),0,MAX(0,ROUND((INDEX($E344:$G344,AI$5)-SUMIFS(TF_Timer,TF_Tekniker,AI$4,TF_Dato,$A344))*2,0)/2)))</f>
        <v/>
      </c>
      <c r="AJ344">
        <f>IF(OR(AJ$4="",$A344&gt;TODAY()),0,IF(OR(INDEX($B344:$D344,AJ$5)="F",AND(AJ$6&gt;0,$A344&lt;AJ$6),AND(AJ$7&gt;0,$A344&gt;AJ$7)),0,MAX(0,ROUND((INDEX($E344:$G344,AJ$5)-SUMIFS(TF_Timer,TF_Tekniker,AJ$4,TF_Dato,$A344))*2,0)/2)))</f>
        <v/>
      </c>
      <c r="AK344">
        <f>IF(OR(AK$4="",$A344&gt;TODAY()),0,IF(OR(INDEX($B344:$D344,AK$5)="F",AND(AK$6&gt;0,$A344&lt;AK$6),AND(AK$7&gt;0,$A344&gt;AK$7)),0,MAX(0,ROUND((INDEX($E344:$G344,AK$5)-SUMIFS(TF_Timer,TF_Tekniker,AK$4,TF_Dato,$A344))*2,0)/2)))</f>
        <v/>
      </c>
      <c r="AL344">
        <f>IF(OR(AL$4="",$A344&gt;TODAY()),0,IF(OR(INDEX($B344:$D344,AL$5)="F",AND(AL$6&gt;0,$A344&lt;AL$6),AND(AL$7&gt;0,$A344&gt;AL$7)),0,MAX(0,ROUND((INDEX($E344:$G344,AL$5)-SUMIFS(TF_Timer,TF_Tekniker,AL$4,TF_Dato,$A344))*2,0)/2)))</f>
        <v/>
      </c>
      <c r="AM344">
        <f>IF(OR(AM$4="",$A344&gt;TODAY()),0,IF(OR(INDEX($B344:$D344,AM$5)="F",AND(AM$6&gt;0,$A344&lt;AM$6),AND(AM$7&gt;0,$A344&gt;AM$7)),0,MAX(0,ROUND((INDEX($E344:$G344,AM$5)-SUMIFS(TF_Timer,TF_Tekniker,AM$4,TF_Dato,$A344))*2,0)/2)))</f>
        <v/>
      </c>
      <c r="AN344">
        <f>IF(OR(AN$4="",$A344&gt;TODAY()),0,IF(OR(INDEX($B344:$D344,AN$5)="F",AND(AN$6&gt;0,$A344&lt;AN$6),AND(AN$7&gt;0,$A344&gt;AN$7)),0,MAX(0,ROUND((INDEX($E344:$G344,AN$5)-SUMIFS(TF_Timer,TF_Tekniker,AN$4,TF_Dato,$A344))*2,0)/2)))</f>
        <v/>
      </c>
      <c r="AO344">
        <f>IF(OR(AO$4="",$A344&gt;TODAY()),0,IF(OR(INDEX($B344:$D344,AO$5)="F",AND(AO$6&gt;0,$A344&lt;AO$6),AND(AO$7&gt;0,$A344&gt;AO$7)),0,MAX(0,ROUND((INDEX($E344:$G344,AO$5)-SUMIFS(TF_Timer,TF_Tekniker,AO$4,TF_Dato,$A344))*2,0)/2)))</f>
        <v/>
      </c>
      <c r="AP344">
        <f>IF(OR(AP$4="",$A344&gt;TODAY()),0,IF(OR(INDEX($B344:$D344,AP$5)="F",AND(AP$6&gt;0,$A344&lt;AP$6),AND(AP$7&gt;0,$A344&gt;AP$7)),0,MAX(0,ROUND((INDEX($E344:$G344,AP$5)-SUMIFS(TF_Timer,TF_Tekniker,AP$4,TF_Dato,$A344))*2,0)/2)))</f>
        <v/>
      </c>
      <c r="AQ344">
        <f>IF(OR(AQ$4="",$A344&gt;TODAY()),0,IF(OR(INDEX($B344:$D344,AQ$5)="F",AND(AQ$6&gt;0,$A344&lt;AQ$6),AND(AQ$7&gt;0,$A344&gt;AQ$7)),0,MAX(0,ROUND((INDEX($E344:$G344,AQ$5)-SUMIFS(TF_Timer,TF_Tekniker,AQ$4,TF_Dato,$A344))*2,0)/2)))</f>
        <v/>
      </c>
      <c r="AR344">
        <f>IF(OR(AR$4="",$A344&gt;TODAY()),0,IF(OR(INDEX($B344:$D344,AR$5)="F",AND(AR$6&gt;0,$A344&lt;AR$6),AND(AR$7&gt;0,$A344&gt;AR$7)),0,MAX(0,ROUND((INDEX($E344:$G344,AR$5)-SUMIFS(TF_Timer,TF_Tekniker,AR$4,TF_Dato,$A344))*2,0)/2)))</f>
        <v/>
      </c>
      <c r="AS344">
        <f>IF(OR(AS$4="",$A344&gt;TODAY()),0,IF(OR(INDEX($B344:$D344,AS$5)="F",AND(AS$6&gt;0,$A344&lt;AS$6),AND(AS$7&gt;0,$A344&gt;AS$7)),0,MAX(0,ROUND((INDEX($E344:$G344,AS$5)-SUMIFS(TF_Timer,TF_Tekniker,AS$4,TF_Dato,$A344))*2,0)/2)))</f>
        <v/>
      </c>
      <c r="AT344">
        <f>IF(OR(AT$4="",$A344&gt;TODAY()),0,IF(OR(INDEX($B344:$D344,AT$5)="F",AND(AT$6&gt;0,$A344&lt;AT$6),AND(AT$7&gt;0,$A344&gt;AT$7)),0,MAX(0,ROUND((INDEX($E344:$G344,AT$5)-SUMIFS(TF_Timer,TF_Tekniker,AT$4,TF_Dato,$A344))*2,0)/2)))</f>
        <v/>
      </c>
      <c r="AU344">
        <f>IF(OR(AU$4="",$A344&gt;TODAY()),0,IF(OR(INDEX($B344:$D344,AU$5)="F",AND(AU$6&gt;0,$A344&lt;AU$6),AND(AU$7&gt;0,$A344&gt;AU$7)),0,MAX(0,ROUND((INDEX($E344:$G344,AU$5)-SUMIFS(TF_Timer,TF_Tekniker,AU$4,TF_Dato,$A344))*2,0)/2)))</f>
        <v/>
      </c>
      <c r="AV344">
        <f>IF(OR(AV$4="",$A344&gt;TODAY()),0,IF(OR(INDEX($B344:$D344,AV$5)="F",AND(AV$6&gt;0,$A344&lt;AV$6),AND(AV$7&gt;0,$A344&gt;AV$7)),0,MAX(0,ROUND((INDEX($E344:$G344,AV$5)-SUMIFS(TF_Timer,TF_Tekniker,AV$4,TF_Dato,$A344))*2,0)/2)))</f>
        <v/>
      </c>
      <c r="AW344">
        <f>IF(OR(AW$4="",$A344&gt;TODAY()),0,IF(OR(INDEX($B344:$D344,AW$5)="F",AND(AW$6&gt;0,$A344&lt;AW$6),AND(AW$7&gt;0,$A344&gt;AW$7)),0,MAX(0,ROUND((INDEX($E344:$G344,AW$5)-SUMIFS(TF_Timer,TF_Tekniker,AW$4,TF_Dato,$A344))*2,0)/2)))</f>
        <v/>
      </c>
      <c r="AX344">
        <f>IF(OR(AX$4="",$A344&gt;TODAY()),0,IF(OR(INDEX($B344:$D344,AX$5)="F",AND(AX$6&gt;0,$A344&lt;AX$6),AND(AX$7&gt;0,$A344&gt;AX$7)),0,MAX(0,ROUND((INDEX($E344:$G344,AX$5)-SUMIFS(TF_Timer,TF_Tekniker,AX$4,TF_Dato,$A344))*2,0)/2)))</f>
        <v/>
      </c>
      <c r="AY344">
        <f>IF(OR(AY$4="",$A344&gt;TODAY()),0,IF(OR(INDEX($B344:$D344,AY$5)="F",AND(AY$6&gt;0,$A344&lt;AY$6),AND(AY$7&gt;0,$A344&gt;AY$7)),0,MAX(0,ROUND((INDEX($E344:$G344,AY$5)-SUMIFS(TF_Timer,TF_Tekniker,AY$4,TF_Dato,$A344))*2,0)/2)))</f>
        <v/>
      </c>
      <c r="AZ344">
        <f>IF(OR(AZ$4="",$A344&gt;TODAY()),0,IF(OR(INDEX($B344:$D344,AZ$5)="F",AND(AZ$6&gt;0,$A344&lt;AZ$6),AND(AZ$7&gt;0,$A344&gt;AZ$7)),0,MAX(0,ROUND((INDEX($E344:$G344,AZ$5)-SUMIFS(TF_Timer,TF_Tekniker,AZ$4,TF_Dato,$A344))*2,0)/2)))</f>
        <v/>
      </c>
      <c r="BA344">
        <f>IF(OR(BA$4="",$A344&gt;TODAY()),0,IF(OR(INDEX($B344:$D344,BA$5)="F",AND(BA$6&gt;0,$A344&lt;BA$6),AND(BA$7&gt;0,$A344&gt;BA$7)),0,MAX(0,ROUND((INDEX($E344:$G344,BA$5)-SUMIFS(TF_Timer,TF_Tekniker,BA$4,TF_Dato,$A344))*2,0)/2)))</f>
        <v/>
      </c>
      <c r="BB344">
        <f>IF(OR(BB$4="",$A344&gt;TODAY()),0,IF(OR(INDEX($B344:$D344,BB$5)="F",AND(BB$6&gt;0,$A344&lt;BB$6),AND(BB$7&gt;0,$A344&gt;BB$7)),0,MAX(0,ROUND((INDEX($E344:$G344,BB$5)-SUMIFS(TF_Timer,TF_Tekniker,BB$4,TF_Dato,$A344))*2,0)/2)))</f>
        <v/>
      </c>
      <c r="BC344">
        <f>IF(OR(BC$4="",$A344&gt;TODAY()),0,IF(OR(INDEX($B344:$D344,BC$5)="F",AND(BC$6&gt;0,$A344&lt;BC$6),AND(BC$7&gt;0,$A344&gt;BC$7)),0,MAX(0,ROUND((INDEX($E344:$G344,BC$5)-SUMIFS(TF_Timer,TF_Tekniker,BC$4,TF_Dato,$A344))*2,0)/2)))</f>
        <v/>
      </c>
      <c r="BD344">
        <f>IF(OR(BD$4="",$A344&gt;TODAY()),0,IF(OR(INDEX($B344:$D344,BD$5)="F",AND(BD$6&gt;0,$A344&lt;BD$6),AND(BD$7&gt;0,$A344&gt;BD$7)),0,MAX(0,ROUND((INDEX($E344:$G344,BD$5)-SUMIFS(TF_Timer,TF_Tekniker,BD$4,TF_Dato,$A344))*2,0)/2)))</f>
        <v/>
      </c>
      <c r="BE344">
        <f>IF(OR(BE$4="",$A344&gt;TODAY()),0,IF(OR(INDEX($B344:$D344,BE$5)="F",AND(BE$6&gt;0,$A344&lt;BE$6),AND(BE$7&gt;0,$A344&gt;BE$7)),0,MAX(0,ROUND((INDEX($E344:$G344,BE$5)-SUMIFS(TF_Timer,TF_Tekniker,BE$4,TF_Dato,$A344))*2,0)/2)))</f>
        <v/>
      </c>
      <c r="BF344">
        <f>IF(OR(BF$4="",$A344&gt;TODAY()),0,IF(OR(INDEX($B344:$D344,BF$5)="F",AND(BF$6&gt;0,$A344&lt;BF$6),AND(BF$7&gt;0,$A344&gt;BF$7)),0,MAX(0,ROUND((INDEX($E344:$G344,BF$5)-SUMIFS(TF_Timer,TF_Tekniker,BF$4,TF_Dato,$A344))*2,0)/2)))</f>
        <v/>
      </c>
      <c r="BG344">
        <f>IF(OR(BG$4="",$A344&gt;TODAY()),0,IF(OR(INDEX($B344:$D344,BG$5)="F",AND(BG$6&gt;0,$A344&lt;BG$6),AND(BG$7&gt;0,$A344&gt;BG$7)),0,MAX(0,ROUND((INDEX($E344:$G344,BG$5)-SUMIFS(TF_Timer,TF_Tekniker,BG$4,TF_Dato,$A344))*2,0)/2)))</f>
        <v/>
      </c>
      <c r="BH344">
        <f>IF(OR(BH$4="",$A344&gt;TODAY()),0,IF(OR(INDEX($B344:$D344,BH$5)="F",AND(BH$6&gt;0,$A344&lt;BH$6),AND(BH$7&gt;0,$A344&gt;BH$7)),0,MAX(0,ROUND((INDEX($E344:$G344,BH$5)-SUMIFS(TF_Timer,TF_Tekniker,BH$4,TF_Dato,$A344))*2,0)/2)))</f>
        <v/>
      </c>
      <c r="BI344">
        <f>IF(OR(BI$4="",$A344&gt;TODAY()),0,IF(OR(INDEX($B344:$D344,BI$5)="F",AND(BI$6&gt;0,$A344&lt;BI$6),AND(BI$7&gt;0,$A344&gt;BI$7)),0,MAX(0,ROUND((INDEX($E344:$G344,BI$5)-SUMIFS(TF_Timer,TF_Tekniker,BI$4,TF_Dato,$A344))*2,0)/2)))</f>
        <v/>
      </c>
    </row>
    <row r="345">
      <c r="A345" s="64">
        <f>A344+1</f>
        <v/>
      </c>
      <c r="B345">
        <f>IF(MOD($A345-INDEX(SkiftStart,1),Syklus)&lt;DagK,"K",IF(MOD($A345-INDEX(SkiftStart,1),Syklus)&lt;DagK+DagH,"H",IF(MOD($A345-INDEX(SkiftStart,1),Syklus)&lt;DagK+DagH+DagD,"D","F")))</f>
        <v/>
      </c>
      <c r="C345">
        <f>IF(MOD($A345-INDEX(SkiftStart,2),Syklus)&lt;DagK,"K",IF(MOD($A345-INDEX(SkiftStart,2),Syklus)&lt;DagK+DagH,"H",IF(MOD($A345-INDEX(SkiftStart,2),Syklus)&lt;DagK+DagH+DagD,"D","F")))</f>
        <v/>
      </c>
      <c r="D345">
        <f>IF(MOD($A345-INDEX(SkiftStart,3),Syklus)&lt;DagK,"K",IF(MOD($A345-INDEX(SkiftStart,3),Syklus)&lt;DagK+DagH,"H",IF(MOD($A345-INDEX(SkiftStart,3),Syklus)&lt;DagK+DagH+DagD,"D","F")))</f>
        <v/>
      </c>
      <c r="E345">
        <f>IF(B345="F",0,IF(WEEKDAY($A345,2)=5,INDEX(TimerFr,MATCH(B345,FaseKode,0)),INDEX(TimerMT,MATCH(B345,FaseKode,0))))</f>
        <v/>
      </c>
      <c r="F345">
        <f>IF(C345="F",0,IF(WEEKDAY($A345,2)=5,INDEX(TimerFr,MATCH(C345,FaseKode,0)),INDEX(TimerMT,MATCH(C345,FaseKode,0))))</f>
        <v/>
      </c>
      <c r="G345">
        <f>IF(D345="F",0,IF(WEEKDAY($A345,2)=5,INDEX(TimerFr,MATCH(D345,FaseKode,0)),INDEX(TimerMT,MATCH(D345,FaseKode,0))))</f>
        <v/>
      </c>
      <c r="H345">
        <f>IF(OR(H$4="",$A345&gt;TODAY()),0,IF(OR(INDEX($B345:$D345,H$5)="F",AND(H$6&gt;0,$A345&lt;H$6),AND(H$7&gt;0,$A345&gt;H$7)),0,MAX(0,ROUND((INDEX($E345:$G345,H$5)-SUMIFS(TF_Timer,TF_Tekniker,H$4,TF_Dato,$A345))*2,0)/2)))</f>
        <v/>
      </c>
      <c r="I345">
        <f>IF(OR(I$4="",$A345&gt;TODAY()),0,IF(OR(INDEX($B345:$D345,I$5)="F",AND(I$6&gt;0,$A345&lt;I$6),AND(I$7&gt;0,$A345&gt;I$7)),0,MAX(0,ROUND((INDEX($E345:$G345,I$5)-SUMIFS(TF_Timer,TF_Tekniker,I$4,TF_Dato,$A345))*2,0)/2)))</f>
        <v/>
      </c>
      <c r="J345">
        <f>IF(OR(J$4="",$A345&gt;TODAY()),0,IF(OR(INDEX($B345:$D345,J$5)="F",AND(J$6&gt;0,$A345&lt;J$6),AND(J$7&gt;0,$A345&gt;J$7)),0,MAX(0,ROUND((INDEX($E345:$G345,J$5)-SUMIFS(TF_Timer,TF_Tekniker,J$4,TF_Dato,$A345))*2,0)/2)))</f>
        <v/>
      </c>
      <c r="K345">
        <f>IF(OR(K$4="",$A345&gt;TODAY()),0,IF(OR(INDEX($B345:$D345,K$5)="F",AND(K$6&gt;0,$A345&lt;K$6),AND(K$7&gt;0,$A345&gt;K$7)),0,MAX(0,ROUND((INDEX($E345:$G345,K$5)-SUMIFS(TF_Timer,TF_Tekniker,K$4,TF_Dato,$A345))*2,0)/2)))</f>
        <v/>
      </c>
      <c r="L345">
        <f>IF(OR(L$4="",$A345&gt;TODAY()),0,IF(OR(INDEX($B345:$D345,L$5)="F",AND(L$6&gt;0,$A345&lt;L$6),AND(L$7&gt;0,$A345&gt;L$7)),0,MAX(0,ROUND((INDEX($E345:$G345,L$5)-SUMIFS(TF_Timer,TF_Tekniker,L$4,TF_Dato,$A345))*2,0)/2)))</f>
        <v/>
      </c>
      <c r="M345">
        <f>IF(OR(M$4="",$A345&gt;TODAY()),0,IF(OR(INDEX($B345:$D345,M$5)="F",AND(M$6&gt;0,$A345&lt;M$6),AND(M$7&gt;0,$A345&gt;M$7)),0,MAX(0,ROUND((INDEX($E345:$G345,M$5)-SUMIFS(TF_Timer,TF_Tekniker,M$4,TF_Dato,$A345))*2,0)/2)))</f>
        <v/>
      </c>
      <c r="N345">
        <f>IF(OR(N$4="",$A345&gt;TODAY()),0,IF(OR(INDEX($B345:$D345,N$5)="F",AND(N$6&gt;0,$A345&lt;N$6),AND(N$7&gt;0,$A345&gt;N$7)),0,MAX(0,ROUND((INDEX($E345:$G345,N$5)-SUMIFS(TF_Timer,TF_Tekniker,N$4,TF_Dato,$A345))*2,0)/2)))</f>
        <v/>
      </c>
      <c r="O345">
        <f>IF(OR(O$4="",$A345&gt;TODAY()),0,IF(OR(INDEX($B345:$D345,O$5)="F",AND(O$6&gt;0,$A345&lt;O$6),AND(O$7&gt;0,$A345&gt;O$7)),0,MAX(0,ROUND((INDEX($E345:$G345,O$5)-SUMIFS(TF_Timer,TF_Tekniker,O$4,TF_Dato,$A345))*2,0)/2)))</f>
        <v/>
      </c>
      <c r="P345">
        <f>IF(OR(P$4="",$A345&gt;TODAY()),0,IF(OR(INDEX($B345:$D345,P$5)="F",AND(P$6&gt;0,$A345&lt;P$6),AND(P$7&gt;0,$A345&gt;P$7)),0,MAX(0,ROUND((INDEX($E345:$G345,P$5)-SUMIFS(TF_Timer,TF_Tekniker,P$4,TF_Dato,$A345))*2,0)/2)))</f>
        <v/>
      </c>
      <c r="Q345">
        <f>IF(OR(Q$4="",$A345&gt;TODAY()),0,IF(OR(INDEX($B345:$D345,Q$5)="F",AND(Q$6&gt;0,$A345&lt;Q$6),AND(Q$7&gt;0,$A345&gt;Q$7)),0,MAX(0,ROUND((INDEX($E345:$G345,Q$5)-SUMIFS(TF_Timer,TF_Tekniker,Q$4,TF_Dato,$A345))*2,0)/2)))</f>
        <v/>
      </c>
      <c r="R345">
        <f>IF(OR(R$4="",$A345&gt;TODAY()),0,IF(OR(INDEX($B345:$D345,R$5)="F",AND(R$6&gt;0,$A345&lt;R$6),AND(R$7&gt;0,$A345&gt;R$7)),0,MAX(0,ROUND((INDEX($E345:$G345,R$5)-SUMIFS(TF_Timer,TF_Tekniker,R$4,TF_Dato,$A345))*2,0)/2)))</f>
        <v/>
      </c>
      <c r="S345">
        <f>IF(OR(S$4="",$A345&gt;TODAY()),0,IF(OR(INDEX($B345:$D345,S$5)="F",AND(S$6&gt;0,$A345&lt;S$6),AND(S$7&gt;0,$A345&gt;S$7)),0,MAX(0,ROUND((INDEX($E345:$G345,S$5)-SUMIFS(TF_Timer,TF_Tekniker,S$4,TF_Dato,$A345))*2,0)/2)))</f>
        <v/>
      </c>
      <c r="T345">
        <f>IF(OR(T$4="",$A345&gt;TODAY()),0,IF(OR(INDEX($B345:$D345,T$5)="F",AND(T$6&gt;0,$A345&lt;T$6),AND(T$7&gt;0,$A345&gt;T$7)),0,MAX(0,ROUND((INDEX($E345:$G345,T$5)-SUMIFS(TF_Timer,TF_Tekniker,T$4,TF_Dato,$A345))*2,0)/2)))</f>
        <v/>
      </c>
      <c r="U345">
        <f>IF(OR(U$4="",$A345&gt;TODAY()),0,IF(OR(INDEX($B345:$D345,U$5)="F",AND(U$6&gt;0,$A345&lt;U$6),AND(U$7&gt;0,$A345&gt;U$7)),0,MAX(0,ROUND((INDEX($E345:$G345,U$5)-SUMIFS(TF_Timer,TF_Tekniker,U$4,TF_Dato,$A345))*2,0)/2)))</f>
        <v/>
      </c>
      <c r="V345">
        <f>IF(OR(V$4="",$A345&gt;TODAY()),0,IF(OR(INDEX($B345:$D345,V$5)="F",AND(V$6&gt;0,$A345&lt;V$6),AND(V$7&gt;0,$A345&gt;V$7)),0,MAX(0,ROUND((INDEX($E345:$G345,V$5)-SUMIFS(TF_Timer,TF_Tekniker,V$4,TF_Dato,$A345))*2,0)/2)))</f>
        <v/>
      </c>
      <c r="W345">
        <f>IF(OR(W$4="",$A345&gt;TODAY()),0,IF(OR(INDEX($B345:$D345,W$5)="F",AND(W$6&gt;0,$A345&lt;W$6),AND(W$7&gt;0,$A345&gt;W$7)),0,MAX(0,ROUND((INDEX($E345:$G345,W$5)-SUMIFS(TF_Timer,TF_Tekniker,W$4,TF_Dato,$A345))*2,0)/2)))</f>
        <v/>
      </c>
      <c r="X345">
        <f>IF(OR(X$4="",$A345&gt;TODAY()),0,IF(OR(INDEX($B345:$D345,X$5)="F",AND(X$6&gt;0,$A345&lt;X$6),AND(X$7&gt;0,$A345&gt;X$7)),0,MAX(0,ROUND((INDEX($E345:$G345,X$5)-SUMIFS(TF_Timer,TF_Tekniker,X$4,TF_Dato,$A345))*2,0)/2)))</f>
        <v/>
      </c>
      <c r="Y345">
        <f>IF(OR(Y$4="",$A345&gt;TODAY()),0,IF(OR(INDEX($B345:$D345,Y$5)="F",AND(Y$6&gt;0,$A345&lt;Y$6),AND(Y$7&gt;0,$A345&gt;Y$7)),0,MAX(0,ROUND((INDEX($E345:$G345,Y$5)-SUMIFS(TF_Timer,TF_Tekniker,Y$4,TF_Dato,$A345))*2,0)/2)))</f>
        <v/>
      </c>
      <c r="Z345">
        <f>IF(OR(Z$4="",$A345&gt;TODAY()),0,IF(OR(INDEX($B345:$D345,Z$5)="F",AND(Z$6&gt;0,$A345&lt;Z$6),AND(Z$7&gt;0,$A345&gt;Z$7)),0,MAX(0,ROUND((INDEX($E345:$G345,Z$5)-SUMIFS(TF_Timer,TF_Tekniker,Z$4,TF_Dato,$A345))*2,0)/2)))</f>
        <v/>
      </c>
      <c r="AA345">
        <f>IF(OR(AA$4="",$A345&gt;TODAY()),0,IF(OR(INDEX($B345:$D345,AA$5)="F",AND(AA$6&gt;0,$A345&lt;AA$6),AND(AA$7&gt;0,$A345&gt;AA$7)),0,MAX(0,ROUND((INDEX($E345:$G345,AA$5)-SUMIFS(TF_Timer,TF_Tekniker,AA$4,TF_Dato,$A345))*2,0)/2)))</f>
        <v/>
      </c>
      <c r="AB345">
        <f>IF(OR(AB$4="",$A345&gt;TODAY()),0,IF(OR(INDEX($B345:$D345,AB$5)="F",AND(AB$6&gt;0,$A345&lt;AB$6),AND(AB$7&gt;0,$A345&gt;AB$7)),0,MAX(0,ROUND((INDEX($E345:$G345,AB$5)-SUMIFS(TF_Timer,TF_Tekniker,AB$4,TF_Dato,$A345))*2,0)/2)))</f>
        <v/>
      </c>
      <c r="AC345">
        <f>IF(OR(AC$4="",$A345&gt;TODAY()),0,IF(OR(INDEX($B345:$D345,AC$5)="F",AND(AC$6&gt;0,$A345&lt;AC$6),AND(AC$7&gt;0,$A345&gt;AC$7)),0,MAX(0,ROUND((INDEX($E345:$G345,AC$5)-SUMIFS(TF_Timer,TF_Tekniker,AC$4,TF_Dato,$A345))*2,0)/2)))</f>
        <v/>
      </c>
      <c r="AD345">
        <f>IF(OR(AD$4="",$A345&gt;TODAY()),0,IF(OR(INDEX($B345:$D345,AD$5)="F",AND(AD$6&gt;0,$A345&lt;AD$6),AND(AD$7&gt;0,$A345&gt;AD$7)),0,MAX(0,ROUND((INDEX($E345:$G345,AD$5)-SUMIFS(TF_Timer,TF_Tekniker,AD$4,TF_Dato,$A345))*2,0)/2)))</f>
        <v/>
      </c>
      <c r="AE345">
        <f>IF(OR(AE$4="",$A345&gt;TODAY()),0,IF(OR(INDEX($B345:$D345,AE$5)="F",AND(AE$6&gt;0,$A345&lt;AE$6),AND(AE$7&gt;0,$A345&gt;AE$7)),0,MAX(0,ROUND((INDEX($E345:$G345,AE$5)-SUMIFS(TF_Timer,TF_Tekniker,AE$4,TF_Dato,$A345))*2,0)/2)))</f>
        <v/>
      </c>
      <c r="AF345">
        <f>IF(OR(AF$4="",$A345&gt;TODAY()),0,IF(OR(INDEX($B345:$D345,AF$5)="F",AND(AF$6&gt;0,$A345&lt;AF$6),AND(AF$7&gt;0,$A345&gt;AF$7)),0,MAX(0,ROUND((INDEX($E345:$G345,AF$5)-SUMIFS(TF_Timer,TF_Tekniker,AF$4,TF_Dato,$A345))*2,0)/2)))</f>
        <v/>
      </c>
      <c r="AG345">
        <f>IF(OR(AG$4="",$A345&gt;TODAY()),0,IF(OR(INDEX($B345:$D345,AG$5)="F",AND(AG$6&gt;0,$A345&lt;AG$6),AND(AG$7&gt;0,$A345&gt;AG$7)),0,MAX(0,ROUND((INDEX($E345:$G345,AG$5)-SUMIFS(TF_Timer,TF_Tekniker,AG$4,TF_Dato,$A345))*2,0)/2)))</f>
        <v/>
      </c>
      <c r="AH345">
        <f>IF(OR(AH$4="",$A345&gt;TODAY()),0,IF(OR(INDEX($B345:$D345,AH$5)="F",AND(AH$6&gt;0,$A345&lt;AH$6),AND(AH$7&gt;0,$A345&gt;AH$7)),0,MAX(0,ROUND((INDEX($E345:$G345,AH$5)-SUMIFS(TF_Timer,TF_Tekniker,AH$4,TF_Dato,$A345))*2,0)/2)))</f>
        <v/>
      </c>
      <c r="AI345">
        <f>IF(OR(AI$4="",$A345&gt;TODAY()),0,IF(OR(INDEX($B345:$D345,AI$5)="F",AND(AI$6&gt;0,$A345&lt;AI$6),AND(AI$7&gt;0,$A345&gt;AI$7)),0,MAX(0,ROUND((INDEX($E345:$G345,AI$5)-SUMIFS(TF_Timer,TF_Tekniker,AI$4,TF_Dato,$A345))*2,0)/2)))</f>
        <v/>
      </c>
      <c r="AJ345">
        <f>IF(OR(AJ$4="",$A345&gt;TODAY()),0,IF(OR(INDEX($B345:$D345,AJ$5)="F",AND(AJ$6&gt;0,$A345&lt;AJ$6),AND(AJ$7&gt;0,$A345&gt;AJ$7)),0,MAX(0,ROUND((INDEX($E345:$G345,AJ$5)-SUMIFS(TF_Timer,TF_Tekniker,AJ$4,TF_Dato,$A345))*2,0)/2)))</f>
        <v/>
      </c>
      <c r="AK345">
        <f>IF(OR(AK$4="",$A345&gt;TODAY()),0,IF(OR(INDEX($B345:$D345,AK$5)="F",AND(AK$6&gt;0,$A345&lt;AK$6),AND(AK$7&gt;0,$A345&gt;AK$7)),0,MAX(0,ROUND((INDEX($E345:$G345,AK$5)-SUMIFS(TF_Timer,TF_Tekniker,AK$4,TF_Dato,$A345))*2,0)/2)))</f>
        <v/>
      </c>
      <c r="AL345">
        <f>IF(OR(AL$4="",$A345&gt;TODAY()),0,IF(OR(INDEX($B345:$D345,AL$5)="F",AND(AL$6&gt;0,$A345&lt;AL$6),AND(AL$7&gt;0,$A345&gt;AL$7)),0,MAX(0,ROUND((INDEX($E345:$G345,AL$5)-SUMIFS(TF_Timer,TF_Tekniker,AL$4,TF_Dato,$A345))*2,0)/2)))</f>
        <v/>
      </c>
      <c r="AM345">
        <f>IF(OR(AM$4="",$A345&gt;TODAY()),0,IF(OR(INDEX($B345:$D345,AM$5)="F",AND(AM$6&gt;0,$A345&lt;AM$6),AND(AM$7&gt;0,$A345&gt;AM$7)),0,MAX(0,ROUND((INDEX($E345:$G345,AM$5)-SUMIFS(TF_Timer,TF_Tekniker,AM$4,TF_Dato,$A345))*2,0)/2)))</f>
        <v/>
      </c>
      <c r="AN345">
        <f>IF(OR(AN$4="",$A345&gt;TODAY()),0,IF(OR(INDEX($B345:$D345,AN$5)="F",AND(AN$6&gt;0,$A345&lt;AN$6),AND(AN$7&gt;0,$A345&gt;AN$7)),0,MAX(0,ROUND((INDEX($E345:$G345,AN$5)-SUMIFS(TF_Timer,TF_Tekniker,AN$4,TF_Dato,$A345))*2,0)/2)))</f>
        <v/>
      </c>
      <c r="AO345">
        <f>IF(OR(AO$4="",$A345&gt;TODAY()),0,IF(OR(INDEX($B345:$D345,AO$5)="F",AND(AO$6&gt;0,$A345&lt;AO$6),AND(AO$7&gt;0,$A345&gt;AO$7)),0,MAX(0,ROUND((INDEX($E345:$G345,AO$5)-SUMIFS(TF_Timer,TF_Tekniker,AO$4,TF_Dato,$A345))*2,0)/2)))</f>
        <v/>
      </c>
      <c r="AP345">
        <f>IF(OR(AP$4="",$A345&gt;TODAY()),0,IF(OR(INDEX($B345:$D345,AP$5)="F",AND(AP$6&gt;0,$A345&lt;AP$6),AND(AP$7&gt;0,$A345&gt;AP$7)),0,MAX(0,ROUND((INDEX($E345:$G345,AP$5)-SUMIFS(TF_Timer,TF_Tekniker,AP$4,TF_Dato,$A345))*2,0)/2)))</f>
        <v/>
      </c>
      <c r="AQ345">
        <f>IF(OR(AQ$4="",$A345&gt;TODAY()),0,IF(OR(INDEX($B345:$D345,AQ$5)="F",AND(AQ$6&gt;0,$A345&lt;AQ$6),AND(AQ$7&gt;0,$A345&gt;AQ$7)),0,MAX(0,ROUND((INDEX($E345:$G345,AQ$5)-SUMIFS(TF_Timer,TF_Tekniker,AQ$4,TF_Dato,$A345))*2,0)/2)))</f>
        <v/>
      </c>
      <c r="AR345">
        <f>IF(OR(AR$4="",$A345&gt;TODAY()),0,IF(OR(INDEX($B345:$D345,AR$5)="F",AND(AR$6&gt;0,$A345&lt;AR$6),AND(AR$7&gt;0,$A345&gt;AR$7)),0,MAX(0,ROUND((INDEX($E345:$G345,AR$5)-SUMIFS(TF_Timer,TF_Tekniker,AR$4,TF_Dato,$A345))*2,0)/2)))</f>
        <v/>
      </c>
      <c r="AS345">
        <f>IF(OR(AS$4="",$A345&gt;TODAY()),0,IF(OR(INDEX($B345:$D345,AS$5)="F",AND(AS$6&gt;0,$A345&lt;AS$6),AND(AS$7&gt;0,$A345&gt;AS$7)),0,MAX(0,ROUND((INDEX($E345:$G345,AS$5)-SUMIFS(TF_Timer,TF_Tekniker,AS$4,TF_Dato,$A345))*2,0)/2)))</f>
        <v/>
      </c>
      <c r="AT345">
        <f>IF(OR(AT$4="",$A345&gt;TODAY()),0,IF(OR(INDEX($B345:$D345,AT$5)="F",AND(AT$6&gt;0,$A345&lt;AT$6),AND(AT$7&gt;0,$A345&gt;AT$7)),0,MAX(0,ROUND((INDEX($E345:$G345,AT$5)-SUMIFS(TF_Timer,TF_Tekniker,AT$4,TF_Dato,$A345))*2,0)/2)))</f>
        <v/>
      </c>
      <c r="AU345">
        <f>IF(OR(AU$4="",$A345&gt;TODAY()),0,IF(OR(INDEX($B345:$D345,AU$5)="F",AND(AU$6&gt;0,$A345&lt;AU$6),AND(AU$7&gt;0,$A345&gt;AU$7)),0,MAX(0,ROUND((INDEX($E345:$G345,AU$5)-SUMIFS(TF_Timer,TF_Tekniker,AU$4,TF_Dato,$A345))*2,0)/2)))</f>
        <v/>
      </c>
      <c r="AV345">
        <f>IF(OR(AV$4="",$A345&gt;TODAY()),0,IF(OR(INDEX($B345:$D345,AV$5)="F",AND(AV$6&gt;0,$A345&lt;AV$6),AND(AV$7&gt;0,$A345&gt;AV$7)),0,MAX(0,ROUND((INDEX($E345:$G345,AV$5)-SUMIFS(TF_Timer,TF_Tekniker,AV$4,TF_Dato,$A345))*2,0)/2)))</f>
        <v/>
      </c>
      <c r="AW345">
        <f>IF(OR(AW$4="",$A345&gt;TODAY()),0,IF(OR(INDEX($B345:$D345,AW$5)="F",AND(AW$6&gt;0,$A345&lt;AW$6),AND(AW$7&gt;0,$A345&gt;AW$7)),0,MAX(0,ROUND((INDEX($E345:$G345,AW$5)-SUMIFS(TF_Timer,TF_Tekniker,AW$4,TF_Dato,$A345))*2,0)/2)))</f>
        <v/>
      </c>
      <c r="AX345">
        <f>IF(OR(AX$4="",$A345&gt;TODAY()),0,IF(OR(INDEX($B345:$D345,AX$5)="F",AND(AX$6&gt;0,$A345&lt;AX$6),AND(AX$7&gt;0,$A345&gt;AX$7)),0,MAX(0,ROUND((INDEX($E345:$G345,AX$5)-SUMIFS(TF_Timer,TF_Tekniker,AX$4,TF_Dato,$A345))*2,0)/2)))</f>
        <v/>
      </c>
      <c r="AY345">
        <f>IF(OR(AY$4="",$A345&gt;TODAY()),0,IF(OR(INDEX($B345:$D345,AY$5)="F",AND(AY$6&gt;0,$A345&lt;AY$6),AND(AY$7&gt;0,$A345&gt;AY$7)),0,MAX(0,ROUND((INDEX($E345:$G345,AY$5)-SUMIFS(TF_Timer,TF_Tekniker,AY$4,TF_Dato,$A345))*2,0)/2)))</f>
        <v/>
      </c>
      <c r="AZ345">
        <f>IF(OR(AZ$4="",$A345&gt;TODAY()),0,IF(OR(INDEX($B345:$D345,AZ$5)="F",AND(AZ$6&gt;0,$A345&lt;AZ$6),AND(AZ$7&gt;0,$A345&gt;AZ$7)),0,MAX(0,ROUND((INDEX($E345:$G345,AZ$5)-SUMIFS(TF_Timer,TF_Tekniker,AZ$4,TF_Dato,$A345))*2,0)/2)))</f>
        <v/>
      </c>
      <c r="BA345">
        <f>IF(OR(BA$4="",$A345&gt;TODAY()),0,IF(OR(INDEX($B345:$D345,BA$5)="F",AND(BA$6&gt;0,$A345&lt;BA$6),AND(BA$7&gt;0,$A345&gt;BA$7)),0,MAX(0,ROUND((INDEX($E345:$G345,BA$5)-SUMIFS(TF_Timer,TF_Tekniker,BA$4,TF_Dato,$A345))*2,0)/2)))</f>
        <v/>
      </c>
      <c r="BB345">
        <f>IF(OR(BB$4="",$A345&gt;TODAY()),0,IF(OR(INDEX($B345:$D345,BB$5)="F",AND(BB$6&gt;0,$A345&lt;BB$6),AND(BB$7&gt;0,$A345&gt;BB$7)),0,MAX(0,ROUND((INDEX($E345:$G345,BB$5)-SUMIFS(TF_Timer,TF_Tekniker,BB$4,TF_Dato,$A345))*2,0)/2)))</f>
        <v/>
      </c>
      <c r="BC345">
        <f>IF(OR(BC$4="",$A345&gt;TODAY()),0,IF(OR(INDEX($B345:$D345,BC$5)="F",AND(BC$6&gt;0,$A345&lt;BC$6),AND(BC$7&gt;0,$A345&gt;BC$7)),0,MAX(0,ROUND((INDEX($E345:$G345,BC$5)-SUMIFS(TF_Timer,TF_Tekniker,BC$4,TF_Dato,$A345))*2,0)/2)))</f>
        <v/>
      </c>
      <c r="BD345">
        <f>IF(OR(BD$4="",$A345&gt;TODAY()),0,IF(OR(INDEX($B345:$D345,BD$5)="F",AND(BD$6&gt;0,$A345&lt;BD$6),AND(BD$7&gt;0,$A345&gt;BD$7)),0,MAX(0,ROUND((INDEX($E345:$G345,BD$5)-SUMIFS(TF_Timer,TF_Tekniker,BD$4,TF_Dato,$A345))*2,0)/2)))</f>
        <v/>
      </c>
      <c r="BE345">
        <f>IF(OR(BE$4="",$A345&gt;TODAY()),0,IF(OR(INDEX($B345:$D345,BE$5)="F",AND(BE$6&gt;0,$A345&lt;BE$6),AND(BE$7&gt;0,$A345&gt;BE$7)),0,MAX(0,ROUND((INDEX($E345:$G345,BE$5)-SUMIFS(TF_Timer,TF_Tekniker,BE$4,TF_Dato,$A345))*2,0)/2)))</f>
        <v/>
      </c>
      <c r="BF345">
        <f>IF(OR(BF$4="",$A345&gt;TODAY()),0,IF(OR(INDEX($B345:$D345,BF$5)="F",AND(BF$6&gt;0,$A345&lt;BF$6),AND(BF$7&gt;0,$A345&gt;BF$7)),0,MAX(0,ROUND((INDEX($E345:$G345,BF$5)-SUMIFS(TF_Timer,TF_Tekniker,BF$4,TF_Dato,$A345))*2,0)/2)))</f>
        <v/>
      </c>
      <c r="BG345">
        <f>IF(OR(BG$4="",$A345&gt;TODAY()),0,IF(OR(INDEX($B345:$D345,BG$5)="F",AND(BG$6&gt;0,$A345&lt;BG$6),AND(BG$7&gt;0,$A345&gt;BG$7)),0,MAX(0,ROUND((INDEX($E345:$G345,BG$5)-SUMIFS(TF_Timer,TF_Tekniker,BG$4,TF_Dato,$A345))*2,0)/2)))</f>
        <v/>
      </c>
      <c r="BH345">
        <f>IF(OR(BH$4="",$A345&gt;TODAY()),0,IF(OR(INDEX($B345:$D345,BH$5)="F",AND(BH$6&gt;0,$A345&lt;BH$6),AND(BH$7&gt;0,$A345&gt;BH$7)),0,MAX(0,ROUND((INDEX($E345:$G345,BH$5)-SUMIFS(TF_Timer,TF_Tekniker,BH$4,TF_Dato,$A345))*2,0)/2)))</f>
        <v/>
      </c>
      <c r="BI345">
        <f>IF(OR(BI$4="",$A345&gt;TODAY()),0,IF(OR(INDEX($B345:$D345,BI$5)="F",AND(BI$6&gt;0,$A345&lt;BI$6),AND(BI$7&gt;0,$A345&gt;BI$7)),0,MAX(0,ROUND((INDEX($E345:$G345,BI$5)-SUMIFS(TF_Timer,TF_Tekniker,BI$4,TF_Dato,$A345))*2,0)/2)))</f>
        <v/>
      </c>
    </row>
    <row r="346">
      <c r="A346" s="64">
        <f>A345+1</f>
        <v/>
      </c>
      <c r="B346">
        <f>IF(MOD($A346-INDEX(SkiftStart,1),Syklus)&lt;DagK,"K",IF(MOD($A346-INDEX(SkiftStart,1),Syklus)&lt;DagK+DagH,"H",IF(MOD($A346-INDEX(SkiftStart,1),Syklus)&lt;DagK+DagH+DagD,"D","F")))</f>
        <v/>
      </c>
      <c r="C346">
        <f>IF(MOD($A346-INDEX(SkiftStart,2),Syklus)&lt;DagK,"K",IF(MOD($A346-INDEX(SkiftStart,2),Syklus)&lt;DagK+DagH,"H",IF(MOD($A346-INDEX(SkiftStart,2),Syklus)&lt;DagK+DagH+DagD,"D","F")))</f>
        <v/>
      </c>
      <c r="D346">
        <f>IF(MOD($A346-INDEX(SkiftStart,3),Syklus)&lt;DagK,"K",IF(MOD($A346-INDEX(SkiftStart,3),Syklus)&lt;DagK+DagH,"H",IF(MOD($A346-INDEX(SkiftStart,3),Syklus)&lt;DagK+DagH+DagD,"D","F")))</f>
        <v/>
      </c>
      <c r="E346">
        <f>IF(B346="F",0,IF(WEEKDAY($A346,2)=5,INDEX(TimerFr,MATCH(B346,FaseKode,0)),INDEX(TimerMT,MATCH(B346,FaseKode,0))))</f>
        <v/>
      </c>
      <c r="F346">
        <f>IF(C346="F",0,IF(WEEKDAY($A346,2)=5,INDEX(TimerFr,MATCH(C346,FaseKode,0)),INDEX(TimerMT,MATCH(C346,FaseKode,0))))</f>
        <v/>
      </c>
      <c r="G346">
        <f>IF(D346="F",0,IF(WEEKDAY($A346,2)=5,INDEX(TimerFr,MATCH(D346,FaseKode,0)),INDEX(TimerMT,MATCH(D346,FaseKode,0))))</f>
        <v/>
      </c>
      <c r="H346">
        <f>IF(OR(H$4="",$A346&gt;TODAY()),0,IF(OR(INDEX($B346:$D346,H$5)="F",AND(H$6&gt;0,$A346&lt;H$6),AND(H$7&gt;0,$A346&gt;H$7)),0,MAX(0,ROUND((INDEX($E346:$G346,H$5)-SUMIFS(TF_Timer,TF_Tekniker,H$4,TF_Dato,$A346))*2,0)/2)))</f>
        <v/>
      </c>
      <c r="I346">
        <f>IF(OR(I$4="",$A346&gt;TODAY()),0,IF(OR(INDEX($B346:$D346,I$5)="F",AND(I$6&gt;0,$A346&lt;I$6),AND(I$7&gt;0,$A346&gt;I$7)),0,MAX(0,ROUND((INDEX($E346:$G346,I$5)-SUMIFS(TF_Timer,TF_Tekniker,I$4,TF_Dato,$A346))*2,0)/2)))</f>
        <v/>
      </c>
      <c r="J346">
        <f>IF(OR(J$4="",$A346&gt;TODAY()),0,IF(OR(INDEX($B346:$D346,J$5)="F",AND(J$6&gt;0,$A346&lt;J$6),AND(J$7&gt;0,$A346&gt;J$7)),0,MAX(0,ROUND((INDEX($E346:$G346,J$5)-SUMIFS(TF_Timer,TF_Tekniker,J$4,TF_Dato,$A346))*2,0)/2)))</f>
        <v/>
      </c>
      <c r="K346">
        <f>IF(OR(K$4="",$A346&gt;TODAY()),0,IF(OR(INDEX($B346:$D346,K$5)="F",AND(K$6&gt;0,$A346&lt;K$6),AND(K$7&gt;0,$A346&gt;K$7)),0,MAX(0,ROUND((INDEX($E346:$G346,K$5)-SUMIFS(TF_Timer,TF_Tekniker,K$4,TF_Dato,$A346))*2,0)/2)))</f>
        <v/>
      </c>
      <c r="L346">
        <f>IF(OR(L$4="",$A346&gt;TODAY()),0,IF(OR(INDEX($B346:$D346,L$5)="F",AND(L$6&gt;0,$A346&lt;L$6),AND(L$7&gt;0,$A346&gt;L$7)),0,MAX(0,ROUND((INDEX($E346:$G346,L$5)-SUMIFS(TF_Timer,TF_Tekniker,L$4,TF_Dato,$A346))*2,0)/2)))</f>
        <v/>
      </c>
      <c r="M346">
        <f>IF(OR(M$4="",$A346&gt;TODAY()),0,IF(OR(INDEX($B346:$D346,M$5)="F",AND(M$6&gt;0,$A346&lt;M$6),AND(M$7&gt;0,$A346&gt;M$7)),0,MAX(0,ROUND((INDEX($E346:$G346,M$5)-SUMIFS(TF_Timer,TF_Tekniker,M$4,TF_Dato,$A346))*2,0)/2)))</f>
        <v/>
      </c>
      <c r="N346">
        <f>IF(OR(N$4="",$A346&gt;TODAY()),0,IF(OR(INDEX($B346:$D346,N$5)="F",AND(N$6&gt;0,$A346&lt;N$6),AND(N$7&gt;0,$A346&gt;N$7)),0,MAX(0,ROUND((INDEX($E346:$G346,N$5)-SUMIFS(TF_Timer,TF_Tekniker,N$4,TF_Dato,$A346))*2,0)/2)))</f>
        <v/>
      </c>
      <c r="O346">
        <f>IF(OR(O$4="",$A346&gt;TODAY()),0,IF(OR(INDEX($B346:$D346,O$5)="F",AND(O$6&gt;0,$A346&lt;O$6),AND(O$7&gt;0,$A346&gt;O$7)),0,MAX(0,ROUND((INDEX($E346:$G346,O$5)-SUMIFS(TF_Timer,TF_Tekniker,O$4,TF_Dato,$A346))*2,0)/2)))</f>
        <v/>
      </c>
      <c r="P346">
        <f>IF(OR(P$4="",$A346&gt;TODAY()),0,IF(OR(INDEX($B346:$D346,P$5)="F",AND(P$6&gt;0,$A346&lt;P$6),AND(P$7&gt;0,$A346&gt;P$7)),0,MAX(0,ROUND((INDEX($E346:$G346,P$5)-SUMIFS(TF_Timer,TF_Tekniker,P$4,TF_Dato,$A346))*2,0)/2)))</f>
        <v/>
      </c>
      <c r="Q346">
        <f>IF(OR(Q$4="",$A346&gt;TODAY()),0,IF(OR(INDEX($B346:$D346,Q$5)="F",AND(Q$6&gt;0,$A346&lt;Q$6),AND(Q$7&gt;0,$A346&gt;Q$7)),0,MAX(0,ROUND((INDEX($E346:$G346,Q$5)-SUMIFS(TF_Timer,TF_Tekniker,Q$4,TF_Dato,$A346))*2,0)/2)))</f>
        <v/>
      </c>
      <c r="R346">
        <f>IF(OR(R$4="",$A346&gt;TODAY()),0,IF(OR(INDEX($B346:$D346,R$5)="F",AND(R$6&gt;0,$A346&lt;R$6),AND(R$7&gt;0,$A346&gt;R$7)),0,MAX(0,ROUND((INDEX($E346:$G346,R$5)-SUMIFS(TF_Timer,TF_Tekniker,R$4,TF_Dato,$A346))*2,0)/2)))</f>
        <v/>
      </c>
      <c r="S346">
        <f>IF(OR(S$4="",$A346&gt;TODAY()),0,IF(OR(INDEX($B346:$D346,S$5)="F",AND(S$6&gt;0,$A346&lt;S$6),AND(S$7&gt;0,$A346&gt;S$7)),0,MAX(0,ROUND((INDEX($E346:$G346,S$5)-SUMIFS(TF_Timer,TF_Tekniker,S$4,TF_Dato,$A346))*2,0)/2)))</f>
        <v/>
      </c>
      <c r="T346">
        <f>IF(OR(T$4="",$A346&gt;TODAY()),0,IF(OR(INDEX($B346:$D346,T$5)="F",AND(T$6&gt;0,$A346&lt;T$6),AND(T$7&gt;0,$A346&gt;T$7)),0,MAX(0,ROUND((INDEX($E346:$G346,T$5)-SUMIFS(TF_Timer,TF_Tekniker,T$4,TF_Dato,$A346))*2,0)/2)))</f>
        <v/>
      </c>
      <c r="U346">
        <f>IF(OR(U$4="",$A346&gt;TODAY()),0,IF(OR(INDEX($B346:$D346,U$5)="F",AND(U$6&gt;0,$A346&lt;U$6),AND(U$7&gt;0,$A346&gt;U$7)),0,MAX(0,ROUND((INDEX($E346:$G346,U$5)-SUMIFS(TF_Timer,TF_Tekniker,U$4,TF_Dato,$A346))*2,0)/2)))</f>
        <v/>
      </c>
      <c r="V346">
        <f>IF(OR(V$4="",$A346&gt;TODAY()),0,IF(OR(INDEX($B346:$D346,V$5)="F",AND(V$6&gt;0,$A346&lt;V$6),AND(V$7&gt;0,$A346&gt;V$7)),0,MAX(0,ROUND((INDEX($E346:$G346,V$5)-SUMIFS(TF_Timer,TF_Tekniker,V$4,TF_Dato,$A346))*2,0)/2)))</f>
        <v/>
      </c>
      <c r="W346">
        <f>IF(OR(W$4="",$A346&gt;TODAY()),0,IF(OR(INDEX($B346:$D346,W$5)="F",AND(W$6&gt;0,$A346&lt;W$6),AND(W$7&gt;0,$A346&gt;W$7)),0,MAX(0,ROUND((INDEX($E346:$G346,W$5)-SUMIFS(TF_Timer,TF_Tekniker,W$4,TF_Dato,$A346))*2,0)/2)))</f>
        <v/>
      </c>
      <c r="X346">
        <f>IF(OR(X$4="",$A346&gt;TODAY()),0,IF(OR(INDEX($B346:$D346,X$5)="F",AND(X$6&gt;0,$A346&lt;X$6),AND(X$7&gt;0,$A346&gt;X$7)),0,MAX(0,ROUND((INDEX($E346:$G346,X$5)-SUMIFS(TF_Timer,TF_Tekniker,X$4,TF_Dato,$A346))*2,0)/2)))</f>
        <v/>
      </c>
      <c r="Y346">
        <f>IF(OR(Y$4="",$A346&gt;TODAY()),0,IF(OR(INDEX($B346:$D346,Y$5)="F",AND(Y$6&gt;0,$A346&lt;Y$6),AND(Y$7&gt;0,$A346&gt;Y$7)),0,MAX(0,ROUND((INDEX($E346:$G346,Y$5)-SUMIFS(TF_Timer,TF_Tekniker,Y$4,TF_Dato,$A346))*2,0)/2)))</f>
        <v/>
      </c>
      <c r="Z346">
        <f>IF(OR(Z$4="",$A346&gt;TODAY()),0,IF(OR(INDEX($B346:$D346,Z$5)="F",AND(Z$6&gt;0,$A346&lt;Z$6),AND(Z$7&gt;0,$A346&gt;Z$7)),0,MAX(0,ROUND((INDEX($E346:$G346,Z$5)-SUMIFS(TF_Timer,TF_Tekniker,Z$4,TF_Dato,$A346))*2,0)/2)))</f>
        <v/>
      </c>
      <c r="AA346">
        <f>IF(OR(AA$4="",$A346&gt;TODAY()),0,IF(OR(INDEX($B346:$D346,AA$5)="F",AND(AA$6&gt;0,$A346&lt;AA$6),AND(AA$7&gt;0,$A346&gt;AA$7)),0,MAX(0,ROUND((INDEX($E346:$G346,AA$5)-SUMIFS(TF_Timer,TF_Tekniker,AA$4,TF_Dato,$A346))*2,0)/2)))</f>
        <v/>
      </c>
      <c r="AB346">
        <f>IF(OR(AB$4="",$A346&gt;TODAY()),0,IF(OR(INDEX($B346:$D346,AB$5)="F",AND(AB$6&gt;0,$A346&lt;AB$6),AND(AB$7&gt;0,$A346&gt;AB$7)),0,MAX(0,ROUND((INDEX($E346:$G346,AB$5)-SUMIFS(TF_Timer,TF_Tekniker,AB$4,TF_Dato,$A346))*2,0)/2)))</f>
        <v/>
      </c>
      <c r="AC346">
        <f>IF(OR(AC$4="",$A346&gt;TODAY()),0,IF(OR(INDEX($B346:$D346,AC$5)="F",AND(AC$6&gt;0,$A346&lt;AC$6),AND(AC$7&gt;0,$A346&gt;AC$7)),0,MAX(0,ROUND((INDEX($E346:$G346,AC$5)-SUMIFS(TF_Timer,TF_Tekniker,AC$4,TF_Dato,$A346))*2,0)/2)))</f>
        <v/>
      </c>
      <c r="AD346">
        <f>IF(OR(AD$4="",$A346&gt;TODAY()),0,IF(OR(INDEX($B346:$D346,AD$5)="F",AND(AD$6&gt;0,$A346&lt;AD$6),AND(AD$7&gt;0,$A346&gt;AD$7)),0,MAX(0,ROUND((INDEX($E346:$G346,AD$5)-SUMIFS(TF_Timer,TF_Tekniker,AD$4,TF_Dato,$A346))*2,0)/2)))</f>
        <v/>
      </c>
      <c r="AE346">
        <f>IF(OR(AE$4="",$A346&gt;TODAY()),0,IF(OR(INDEX($B346:$D346,AE$5)="F",AND(AE$6&gt;0,$A346&lt;AE$6),AND(AE$7&gt;0,$A346&gt;AE$7)),0,MAX(0,ROUND((INDEX($E346:$G346,AE$5)-SUMIFS(TF_Timer,TF_Tekniker,AE$4,TF_Dato,$A346))*2,0)/2)))</f>
        <v/>
      </c>
      <c r="AF346">
        <f>IF(OR(AF$4="",$A346&gt;TODAY()),0,IF(OR(INDEX($B346:$D346,AF$5)="F",AND(AF$6&gt;0,$A346&lt;AF$6),AND(AF$7&gt;0,$A346&gt;AF$7)),0,MAX(0,ROUND((INDEX($E346:$G346,AF$5)-SUMIFS(TF_Timer,TF_Tekniker,AF$4,TF_Dato,$A346))*2,0)/2)))</f>
        <v/>
      </c>
      <c r="AG346">
        <f>IF(OR(AG$4="",$A346&gt;TODAY()),0,IF(OR(INDEX($B346:$D346,AG$5)="F",AND(AG$6&gt;0,$A346&lt;AG$6),AND(AG$7&gt;0,$A346&gt;AG$7)),0,MAX(0,ROUND((INDEX($E346:$G346,AG$5)-SUMIFS(TF_Timer,TF_Tekniker,AG$4,TF_Dato,$A346))*2,0)/2)))</f>
        <v/>
      </c>
      <c r="AH346">
        <f>IF(OR(AH$4="",$A346&gt;TODAY()),0,IF(OR(INDEX($B346:$D346,AH$5)="F",AND(AH$6&gt;0,$A346&lt;AH$6),AND(AH$7&gt;0,$A346&gt;AH$7)),0,MAX(0,ROUND((INDEX($E346:$G346,AH$5)-SUMIFS(TF_Timer,TF_Tekniker,AH$4,TF_Dato,$A346))*2,0)/2)))</f>
        <v/>
      </c>
      <c r="AI346">
        <f>IF(OR(AI$4="",$A346&gt;TODAY()),0,IF(OR(INDEX($B346:$D346,AI$5)="F",AND(AI$6&gt;0,$A346&lt;AI$6),AND(AI$7&gt;0,$A346&gt;AI$7)),0,MAX(0,ROUND((INDEX($E346:$G346,AI$5)-SUMIFS(TF_Timer,TF_Tekniker,AI$4,TF_Dato,$A346))*2,0)/2)))</f>
        <v/>
      </c>
      <c r="AJ346">
        <f>IF(OR(AJ$4="",$A346&gt;TODAY()),0,IF(OR(INDEX($B346:$D346,AJ$5)="F",AND(AJ$6&gt;0,$A346&lt;AJ$6),AND(AJ$7&gt;0,$A346&gt;AJ$7)),0,MAX(0,ROUND((INDEX($E346:$G346,AJ$5)-SUMIFS(TF_Timer,TF_Tekniker,AJ$4,TF_Dato,$A346))*2,0)/2)))</f>
        <v/>
      </c>
      <c r="AK346">
        <f>IF(OR(AK$4="",$A346&gt;TODAY()),0,IF(OR(INDEX($B346:$D346,AK$5)="F",AND(AK$6&gt;0,$A346&lt;AK$6),AND(AK$7&gt;0,$A346&gt;AK$7)),0,MAX(0,ROUND((INDEX($E346:$G346,AK$5)-SUMIFS(TF_Timer,TF_Tekniker,AK$4,TF_Dato,$A346))*2,0)/2)))</f>
        <v/>
      </c>
      <c r="AL346">
        <f>IF(OR(AL$4="",$A346&gt;TODAY()),0,IF(OR(INDEX($B346:$D346,AL$5)="F",AND(AL$6&gt;0,$A346&lt;AL$6),AND(AL$7&gt;0,$A346&gt;AL$7)),0,MAX(0,ROUND((INDEX($E346:$G346,AL$5)-SUMIFS(TF_Timer,TF_Tekniker,AL$4,TF_Dato,$A346))*2,0)/2)))</f>
        <v/>
      </c>
      <c r="AM346">
        <f>IF(OR(AM$4="",$A346&gt;TODAY()),0,IF(OR(INDEX($B346:$D346,AM$5)="F",AND(AM$6&gt;0,$A346&lt;AM$6),AND(AM$7&gt;0,$A346&gt;AM$7)),0,MAX(0,ROUND((INDEX($E346:$G346,AM$5)-SUMIFS(TF_Timer,TF_Tekniker,AM$4,TF_Dato,$A346))*2,0)/2)))</f>
        <v/>
      </c>
      <c r="AN346">
        <f>IF(OR(AN$4="",$A346&gt;TODAY()),0,IF(OR(INDEX($B346:$D346,AN$5)="F",AND(AN$6&gt;0,$A346&lt;AN$6),AND(AN$7&gt;0,$A346&gt;AN$7)),0,MAX(0,ROUND((INDEX($E346:$G346,AN$5)-SUMIFS(TF_Timer,TF_Tekniker,AN$4,TF_Dato,$A346))*2,0)/2)))</f>
        <v/>
      </c>
      <c r="AO346">
        <f>IF(OR(AO$4="",$A346&gt;TODAY()),0,IF(OR(INDEX($B346:$D346,AO$5)="F",AND(AO$6&gt;0,$A346&lt;AO$6),AND(AO$7&gt;0,$A346&gt;AO$7)),0,MAX(0,ROUND((INDEX($E346:$G346,AO$5)-SUMIFS(TF_Timer,TF_Tekniker,AO$4,TF_Dato,$A346))*2,0)/2)))</f>
        <v/>
      </c>
      <c r="AP346">
        <f>IF(OR(AP$4="",$A346&gt;TODAY()),0,IF(OR(INDEX($B346:$D346,AP$5)="F",AND(AP$6&gt;0,$A346&lt;AP$6),AND(AP$7&gt;0,$A346&gt;AP$7)),0,MAX(0,ROUND((INDEX($E346:$G346,AP$5)-SUMIFS(TF_Timer,TF_Tekniker,AP$4,TF_Dato,$A346))*2,0)/2)))</f>
        <v/>
      </c>
      <c r="AQ346">
        <f>IF(OR(AQ$4="",$A346&gt;TODAY()),0,IF(OR(INDEX($B346:$D346,AQ$5)="F",AND(AQ$6&gt;0,$A346&lt;AQ$6),AND(AQ$7&gt;0,$A346&gt;AQ$7)),0,MAX(0,ROUND((INDEX($E346:$G346,AQ$5)-SUMIFS(TF_Timer,TF_Tekniker,AQ$4,TF_Dato,$A346))*2,0)/2)))</f>
        <v/>
      </c>
      <c r="AR346">
        <f>IF(OR(AR$4="",$A346&gt;TODAY()),0,IF(OR(INDEX($B346:$D346,AR$5)="F",AND(AR$6&gt;0,$A346&lt;AR$6),AND(AR$7&gt;0,$A346&gt;AR$7)),0,MAX(0,ROUND((INDEX($E346:$G346,AR$5)-SUMIFS(TF_Timer,TF_Tekniker,AR$4,TF_Dato,$A346))*2,0)/2)))</f>
        <v/>
      </c>
      <c r="AS346">
        <f>IF(OR(AS$4="",$A346&gt;TODAY()),0,IF(OR(INDEX($B346:$D346,AS$5)="F",AND(AS$6&gt;0,$A346&lt;AS$6),AND(AS$7&gt;0,$A346&gt;AS$7)),0,MAX(0,ROUND((INDEX($E346:$G346,AS$5)-SUMIFS(TF_Timer,TF_Tekniker,AS$4,TF_Dato,$A346))*2,0)/2)))</f>
        <v/>
      </c>
      <c r="AT346">
        <f>IF(OR(AT$4="",$A346&gt;TODAY()),0,IF(OR(INDEX($B346:$D346,AT$5)="F",AND(AT$6&gt;0,$A346&lt;AT$6),AND(AT$7&gt;0,$A346&gt;AT$7)),0,MAX(0,ROUND((INDEX($E346:$G346,AT$5)-SUMIFS(TF_Timer,TF_Tekniker,AT$4,TF_Dato,$A346))*2,0)/2)))</f>
        <v/>
      </c>
      <c r="AU346">
        <f>IF(OR(AU$4="",$A346&gt;TODAY()),0,IF(OR(INDEX($B346:$D346,AU$5)="F",AND(AU$6&gt;0,$A346&lt;AU$6),AND(AU$7&gt;0,$A346&gt;AU$7)),0,MAX(0,ROUND((INDEX($E346:$G346,AU$5)-SUMIFS(TF_Timer,TF_Tekniker,AU$4,TF_Dato,$A346))*2,0)/2)))</f>
        <v/>
      </c>
      <c r="AV346">
        <f>IF(OR(AV$4="",$A346&gt;TODAY()),0,IF(OR(INDEX($B346:$D346,AV$5)="F",AND(AV$6&gt;0,$A346&lt;AV$6),AND(AV$7&gt;0,$A346&gt;AV$7)),0,MAX(0,ROUND((INDEX($E346:$G346,AV$5)-SUMIFS(TF_Timer,TF_Tekniker,AV$4,TF_Dato,$A346))*2,0)/2)))</f>
        <v/>
      </c>
      <c r="AW346">
        <f>IF(OR(AW$4="",$A346&gt;TODAY()),0,IF(OR(INDEX($B346:$D346,AW$5)="F",AND(AW$6&gt;0,$A346&lt;AW$6),AND(AW$7&gt;0,$A346&gt;AW$7)),0,MAX(0,ROUND((INDEX($E346:$G346,AW$5)-SUMIFS(TF_Timer,TF_Tekniker,AW$4,TF_Dato,$A346))*2,0)/2)))</f>
        <v/>
      </c>
      <c r="AX346">
        <f>IF(OR(AX$4="",$A346&gt;TODAY()),0,IF(OR(INDEX($B346:$D346,AX$5)="F",AND(AX$6&gt;0,$A346&lt;AX$6),AND(AX$7&gt;0,$A346&gt;AX$7)),0,MAX(0,ROUND((INDEX($E346:$G346,AX$5)-SUMIFS(TF_Timer,TF_Tekniker,AX$4,TF_Dato,$A346))*2,0)/2)))</f>
        <v/>
      </c>
      <c r="AY346">
        <f>IF(OR(AY$4="",$A346&gt;TODAY()),0,IF(OR(INDEX($B346:$D346,AY$5)="F",AND(AY$6&gt;0,$A346&lt;AY$6),AND(AY$7&gt;0,$A346&gt;AY$7)),0,MAX(0,ROUND((INDEX($E346:$G346,AY$5)-SUMIFS(TF_Timer,TF_Tekniker,AY$4,TF_Dato,$A346))*2,0)/2)))</f>
        <v/>
      </c>
      <c r="AZ346">
        <f>IF(OR(AZ$4="",$A346&gt;TODAY()),0,IF(OR(INDEX($B346:$D346,AZ$5)="F",AND(AZ$6&gt;0,$A346&lt;AZ$6),AND(AZ$7&gt;0,$A346&gt;AZ$7)),0,MAX(0,ROUND((INDEX($E346:$G346,AZ$5)-SUMIFS(TF_Timer,TF_Tekniker,AZ$4,TF_Dato,$A346))*2,0)/2)))</f>
        <v/>
      </c>
      <c r="BA346">
        <f>IF(OR(BA$4="",$A346&gt;TODAY()),0,IF(OR(INDEX($B346:$D346,BA$5)="F",AND(BA$6&gt;0,$A346&lt;BA$6),AND(BA$7&gt;0,$A346&gt;BA$7)),0,MAX(0,ROUND((INDEX($E346:$G346,BA$5)-SUMIFS(TF_Timer,TF_Tekniker,BA$4,TF_Dato,$A346))*2,0)/2)))</f>
        <v/>
      </c>
      <c r="BB346">
        <f>IF(OR(BB$4="",$A346&gt;TODAY()),0,IF(OR(INDEX($B346:$D346,BB$5)="F",AND(BB$6&gt;0,$A346&lt;BB$6),AND(BB$7&gt;0,$A346&gt;BB$7)),0,MAX(0,ROUND((INDEX($E346:$G346,BB$5)-SUMIFS(TF_Timer,TF_Tekniker,BB$4,TF_Dato,$A346))*2,0)/2)))</f>
        <v/>
      </c>
      <c r="BC346">
        <f>IF(OR(BC$4="",$A346&gt;TODAY()),0,IF(OR(INDEX($B346:$D346,BC$5)="F",AND(BC$6&gt;0,$A346&lt;BC$6),AND(BC$7&gt;0,$A346&gt;BC$7)),0,MAX(0,ROUND((INDEX($E346:$G346,BC$5)-SUMIFS(TF_Timer,TF_Tekniker,BC$4,TF_Dato,$A346))*2,0)/2)))</f>
        <v/>
      </c>
      <c r="BD346">
        <f>IF(OR(BD$4="",$A346&gt;TODAY()),0,IF(OR(INDEX($B346:$D346,BD$5)="F",AND(BD$6&gt;0,$A346&lt;BD$6),AND(BD$7&gt;0,$A346&gt;BD$7)),0,MAX(0,ROUND((INDEX($E346:$G346,BD$5)-SUMIFS(TF_Timer,TF_Tekniker,BD$4,TF_Dato,$A346))*2,0)/2)))</f>
        <v/>
      </c>
      <c r="BE346">
        <f>IF(OR(BE$4="",$A346&gt;TODAY()),0,IF(OR(INDEX($B346:$D346,BE$5)="F",AND(BE$6&gt;0,$A346&lt;BE$6),AND(BE$7&gt;0,$A346&gt;BE$7)),0,MAX(0,ROUND((INDEX($E346:$G346,BE$5)-SUMIFS(TF_Timer,TF_Tekniker,BE$4,TF_Dato,$A346))*2,0)/2)))</f>
        <v/>
      </c>
      <c r="BF346">
        <f>IF(OR(BF$4="",$A346&gt;TODAY()),0,IF(OR(INDEX($B346:$D346,BF$5)="F",AND(BF$6&gt;0,$A346&lt;BF$6),AND(BF$7&gt;0,$A346&gt;BF$7)),0,MAX(0,ROUND((INDEX($E346:$G346,BF$5)-SUMIFS(TF_Timer,TF_Tekniker,BF$4,TF_Dato,$A346))*2,0)/2)))</f>
        <v/>
      </c>
      <c r="BG346">
        <f>IF(OR(BG$4="",$A346&gt;TODAY()),0,IF(OR(INDEX($B346:$D346,BG$5)="F",AND(BG$6&gt;0,$A346&lt;BG$6),AND(BG$7&gt;0,$A346&gt;BG$7)),0,MAX(0,ROUND((INDEX($E346:$G346,BG$5)-SUMIFS(TF_Timer,TF_Tekniker,BG$4,TF_Dato,$A346))*2,0)/2)))</f>
        <v/>
      </c>
      <c r="BH346">
        <f>IF(OR(BH$4="",$A346&gt;TODAY()),0,IF(OR(INDEX($B346:$D346,BH$5)="F",AND(BH$6&gt;0,$A346&lt;BH$6),AND(BH$7&gt;0,$A346&gt;BH$7)),0,MAX(0,ROUND((INDEX($E346:$G346,BH$5)-SUMIFS(TF_Timer,TF_Tekniker,BH$4,TF_Dato,$A346))*2,0)/2)))</f>
        <v/>
      </c>
      <c r="BI346">
        <f>IF(OR(BI$4="",$A346&gt;TODAY()),0,IF(OR(INDEX($B346:$D346,BI$5)="F",AND(BI$6&gt;0,$A346&lt;BI$6),AND(BI$7&gt;0,$A346&gt;BI$7)),0,MAX(0,ROUND((INDEX($E346:$G346,BI$5)-SUMIFS(TF_Timer,TF_Tekniker,BI$4,TF_Dato,$A346))*2,0)/2)))</f>
        <v/>
      </c>
    </row>
    <row r="347">
      <c r="A347" s="64">
        <f>A346+1</f>
        <v/>
      </c>
      <c r="B347">
        <f>IF(MOD($A347-INDEX(SkiftStart,1),Syklus)&lt;DagK,"K",IF(MOD($A347-INDEX(SkiftStart,1),Syklus)&lt;DagK+DagH,"H",IF(MOD($A347-INDEX(SkiftStart,1),Syklus)&lt;DagK+DagH+DagD,"D","F")))</f>
        <v/>
      </c>
      <c r="C347">
        <f>IF(MOD($A347-INDEX(SkiftStart,2),Syklus)&lt;DagK,"K",IF(MOD($A347-INDEX(SkiftStart,2),Syklus)&lt;DagK+DagH,"H",IF(MOD($A347-INDEX(SkiftStart,2),Syklus)&lt;DagK+DagH+DagD,"D","F")))</f>
        <v/>
      </c>
      <c r="D347">
        <f>IF(MOD($A347-INDEX(SkiftStart,3),Syklus)&lt;DagK,"K",IF(MOD($A347-INDEX(SkiftStart,3),Syklus)&lt;DagK+DagH,"H",IF(MOD($A347-INDEX(SkiftStart,3),Syklus)&lt;DagK+DagH+DagD,"D","F")))</f>
        <v/>
      </c>
      <c r="E347">
        <f>IF(B347="F",0,IF(WEEKDAY($A347,2)=5,INDEX(TimerFr,MATCH(B347,FaseKode,0)),INDEX(TimerMT,MATCH(B347,FaseKode,0))))</f>
        <v/>
      </c>
      <c r="F347">
        <f>IF(C347="F",0,IF(WEEKDAY($A347,2)=5,INDEX(TimerFr,MATCH(C347,FaseKode,0)),INDEX(TimerMT,MATCH(C347,FaseKode,0))))</f>
        <v/>
      </c>
      <c r="G347">
        <f>IF(D347="F",0,IF(WEEKDAY($A347,2)=5,INDEX(TimerFr,MATCH(D347,FaseKode,0)),INDEX(TimerMT,MATCH(D347,FaseKode,0))))</f>
        <v/>
      </c>
      <c r="H347">
        <f>IF(OR(H$4="",$A347&gt;TODAY()),0,IF(OR(INDEX($B347:$D347,H$5)="F",AND(H$6&gt;0,$A347&lt;H$6),AND(H$7&gt;0,$A347&gt;H$7)),0,MAX(0,ROUND((INDEX($E347:$G347,H$5)-SUMIFS(TF_Timer,TF_Tekniker,H$4,TF_Dato,$A347))*2,0)/2)))</f>
        <v/>
      </c>
      <c r="I347">
        <f>IF(OR(I$4="",$A347&gt;TODAY()),0,IF(OR(INDEX($B347:$D347,I$5)="F",AND(I$6&gt;0,$A347&lt;I$6),AND(I$7&gt;0,$A347&gt;I$7)),0,MAX(0,ROUND((INDEX($E347:$G347,I$5)-SUMIFS(TF_Timer,TF_Tekniker,I$4,TF_Dato,$A347))*2,0)/2)))</f>
        <v/>
      </c>
      <c r="J347">
        <f>IF(OR(J$4="",$A347&gt;TODAY()),0,IF(OR(INDEX($B347:$D347,J$5)="F",AND(J$6&gt;0,$A347&lt;J$6),AND(J$7&gt;0,$A347&gt;J$7)),0,MAX(0,ROUND((INDEX($E347:$G347,J$5)-SUMIFS(TF_Timer,TF_Tekniker,J$4,TF_Dato,$A347))*2,0)/2)))</f>
        <v/>
      </c>
      <c r="K347">
        <f>IF(OR(K$4="",$A347&gt;TODAY()),0,IF(OR(INDEX($B347:$D347,K$5)="F",AND(K$6&gt;0,$A347&lt;K$6),AND(K$7&gt;0,$A347&gt;K$7)),0,MAX(0,ROUND((INDEX($E347:$G347,K$5)-SUMIFS(TF_Timer,TF_Tekniker,K$4,TF_Dato,$A347))*2,0)/2)))</f>
        <v/>
      </c>
      <c r="L347">
        <f>IF(OR(L$4="",$A347&gt;TODAY()),0,IF(OR(INDEX($B347:$D347,L$5)="F",AND(L$6&gt;0,$A347&lt;L$6),AND(L$7&gt;0,$A347&gt;L$7)),0,MAX(0,ROUND((INDEX($E347:$G347,L$5)-SUMIFS(TF_Timer,TF_Tekniker,L$4,TF_Dato,$A347))*2,0)/2)))</f>
        <v/>
      </c>
      <c r="M347">
        <f>IF(OR(M$4="",$A347&gt;TODAY()),0,IF(OR(INDEX($B347:$D347,M$5)="F",AND(M$6&gt;0,$A347&lt;M$6),AND(M$7&gt;0,$A347&gt;M$7)),0,MAX(0,ROUND((INDEX($E347:$G347,M$5)-SUMIFS(TF_Timer,TF_Tekniker,M$4,TF_Dato,$A347))*2,0)/2)))</f>
        <v/>
      </c>
      <c r="N347">
        <f>IF(OR(N$4="",$A347&gt;TODAY()),0,IF(OR(INDEX($B347:$D347,N$5)="F",AND(N$6&gt;0,$A347&lt;N$6),AND(N$7&gt;0,$A347&gt;N$7)),0,MAX(0,ROUND((INDEX($E347:$G347,N$5)-SUMIFS(TF_Timer,TF_Tekniker,N$4,TF_Dato,$A347))*2,0)/2)))</f>
        <v/>
      </c>
      <c r="O347">
        <f>IF(OR(O$4="",$A347&gt;TODAY()),0,IF(OR(INDEX($B347:$D347,O$5)="F",AND(O$6&gt;0,$A347&lt;O$6),AND(O$7&gt;0,$A347&gt;O$7)),0,MAX(0,ROUND((INDEX($E347:$G347,O$5)-SUMIFS(TF_Timer,TF_Tekniker,O$4,TF_Dato,$A347))*2,0)/2)))</f>
        <v/>
      </c>
      <c r="P347">
        <f>IF(OR(P$4="",$A347&gt;TODAY()),0,IF(OR(INDEX($B347:$D347,P$5)="F",AND(P$6&gt;0,$A347&lt;P$6),AND(P$7&gt;0,$A347&gt;P$7)),0,MAX(0,ROUND((INDEX($E347:$G347,P$5)-SUMIFS(TF_Timer,TF_Tekniker,P$4,TF_Dato,$A347))*2,0)/2)))</f>
        <v/>
      </c>
      <c r="Q347">
        <f>IF(OR(Q$4="",$A347&gt;TODAY()),0,IF(OR(INDEX($B347:$D347,Q$5)="F",AND(Q$6&gt;0,$A347&lt;Q$6),AND(Q$7&gt;0,$A347&gt;Q$7)),0,MAX(0,ROUND((INDEX($E347:$G347,Q$5)-SUMIFS(TF_Timer,TF_Tekniker,Q$4,TF_Dato,$A347))*2,0)/2)))</f>
        <v/>
      </c>
      <c r="R347">
        <f>IF(OR(R$4="",$A347&gt;TODAY()),0,IF(OR(INDEX($B347:$D347,R$5)="F",AND(R$6&gt;0,$A347&lt;R$6),AND(R$7&gt;0,$A347&gt;R$7)),0,MAX(0,ROUND((INDEX($E347:$G347,R$5)-SUMIFS(TF_Timer,TF_Tekniker,R$4,TF_Dato,$A347))*2,0)/2)))</f>
        <v/>
      </c>
      <c r="S347">
        <f>IF(OR(S$4="",$A347&gt;TODAY()),0,IF(OR(INDEX($B347:$D347,S$5)="F",AND(S$6&gt;0,$A347&lt;S$6),AND(S$7&gt;0,$A347&gt;S$7)),0,MAX(0,ROUND((INDEX($E347:$G347,S$5)-SUMIFS(TF_Timer,TF_Tekniker,S$4,TF_Dato,$A347))*2,0)/2)))</f>
        <v/>
      </c>
      <c r="T347">
        <f>IF(OR(T$4="",$A347&gt;TODAY()),0,IF(OR(INDEX($B347:$D347,T$5)="F",AND(T$6&gt;0,$A347&lt;T$6),AND(T$7&gt;0,$A347&gt;T$7)),0,MAX(0,ROUND((INDEX($E347:$G347,T$5)-SUMIFS(TF_Timer,TF_Tekniker,T$4,TF_Dato,$A347))*2,0)/2)))</f>
        <v/>
      </c>
      <c r="U347">
        <f>IF(OR(U$4="",$A347&gt;TODAY()),0,IF(OR(INDEX($B347:$D347,U$5)="F",AND(U$6&gt;0,$A347&lt;U$6),AND(U$7&gt;0,$A347&gt;U$7)),0,MAX(0,ROUND((INDEX($E347:$G347,U$5)-SUMIFS(TF_Timer,TF_Tekniker,U$4,TF_Dato,$A347))*2,0)/2)))</f>
        <v/>
      </c>
      <c r="V347">
        <f>IF(OR(V$4="",$A347&gt;TODAY()),0,IF(OR(INDEX($B347:$D347,V$5)="F",AND(V$6&gt;0,$A347&lt;V$6),AND(V$7&gt;0,$A347&gt;V$7)),0,MAX(0,ROUND((INDEX($E347:$G347,V$5)-SUMIFS(TF_Timer,TF_Tekniker,V$4,TF_Dato,$A347))*2,0)/2)))</f>
        <v/>
      </c>
      <c r="W347">
        <f>IF(OR(W$4="",$A347&gt;TODAY()),0,IF(OR(INDEX($B347:$D347,W$5)="F",AND(W$6&gt;0,$A347&lt;W$6),AND(W$7&gt;0,$A347&gt;W$7)),0,MAX(0,ROUND((INDEX($E347:$G347,W$5)-SUMIFS(TF_Timer,TF_Tekniker,W$4,TF_Dato,$A347))*2,0)/2)))</f>
        <v/>
      </c>
      <c r="X347">
        <f>IF(OR(X$4="",$A347&gt;TODAY()),0,IF(OR(INDEX($B347:$D347,X$5)="F",AND(X$6&gt;0,$A347&lt;X$6),AND(X$7&gt;0,$A347&gt;X$7)),0,MAX(0,ROUND((INDEX($E347:$G347,X$5)-SUMIFS(TF_Timer,TF_Tekniker,X$4,TF_Dato,$A347))*2,0)/2)))</f>
        <v/>
      </c>
      <c r="Y347">
        <f>IF(OR(Y$4="",$A347&gt;TODAY()),0,IF(OR(INDEX($B347:$D347,Y$5)="F",AND(Y$6&gt;0,$A347&lt;Y$6),AND(Y$7&gt;0,$A347&gt;Y$7)),0,MAX(0,ROUND((INDEX($E347:$G347,Y$5)-SUMIFS(TF_Timer,TF_Tekniker,Y$4,TF_Dato,$A347))*2,0)/2)))</f>
        <v/>
      </c>
      <c r="Z347">
        <f>IF(OR(Z$4="",$A347&gt;TODAY()),0,IF(OR(INDEX($B347:$D347,Z$5)="F",AND(Z$6&gt;0,$A347&lt;Z$6),AND(Z$7&gt;0,$A347&gt;Z$7)),0,MAX(0,ROUND((INDEX($E347:$G347,Z$5)-SUMIFS(TF_Timer,TF_Tekniker,Z$4,TF_Dato,$A347))*2,0)/2)))</f>
        <v/>
      </c>
      <c r="AA347">
        <f>IF(OR(AA$4="",$A347&gt;TODAY()),0,IF(OR(INDEX($B347:$D347,AA$5)="F",AND(AA$6&gt;0,$A347&lt;AA$6),AND(AA$7&gt;0,$A347&gt;AA$7)),0,MAX(0,ROUND((INDEX($E347:$G347,AA$5)-SUMIFS(TF_Timer,TF_Tekniker,AA$4,TF_Dato,$A347))*2,0)/2)))</f>
        <v/>
      </c>
      <c r="AB347">
        <f>IF(OR(AB$4="",$A347&gt;TODAY()),0,IF(OR(INDEX($B347:$D347,AB$5)="F",AND(AB$6&gt;0,$A347&lt;AB$6),AND(AB$7&gt;0,$A347&gt;AB$7)),0,MAX(0,ROUND((INDEX($E347:$G347,AB$5)-SUMIFS(TF_Timer,TF_Tekniker,AB$4,TF_Dato,$A347))*2,0)/2)))</f>
        <v/>
      </c>
      <c r="AC347">
        <f>IF(OR(AC$4="",$A347&gt;TODAY()),0,IF(OR(INDEX($B347:$D347,AC$5)="F",AND(AC$6&gt;0,$A347&lt;AC$6),AND(AC$7&gt;0,$A347&gt;AC$7)),0,MAX(0,ROUND((INDEX($E347:$G347,AC$5)-SUMIFS(TF_Timer,TF_Tekniker,AC$4,TF_Dato,$A347))*2,0)/2)))</f>
        <v/>
      </c>
      <c r="AD347">
        <f>IF(OR(AD$4="",$A347&gt;TODAY()),0,IF(OR(INDEX($B347:$D347,AD$5)="F",AND(AD$6&gt;0,$A347&lt;AD$6),AND(AD$7&gt;0,$A347&gt;AD$7)),0,MAX(0,ROUND((INDEX($E347:$G347,AD$5)-SUMIFS(TF_Timer,TF_Tekniker,AD$4,TF_Dato,$A347))*2,0)/2)))</f>
        <v/>
      </c>
      <c r="AE347">
        <f>IF(OR(AE$4="",$A347&gt;TODAY()),0,IF(OR(INDEX($B347:$D347,AE$5)="F",AND(AE$6&gt;0,$A347&lt;AE$6),AND(AE$7&gt;0,$A347&gt;AE$7)),0,MAX(0,ROUND((INDEX($E347:$G347,AE$5)-SUMIFS(TF_Timer,TF_Tekniker,AE$4,TF_Dato,$A347))*2,0)/2)))</f>
        <v/>
      </c>
      <c r="AF347">
        <f>IF(OR(AF$4="",$A347&gt;TODAY()),0,IF(OR(INDEX($B347:$D347,AF$5)="F",AND(AF$6&gt;0,$A347&lt;AF$6),AND(AF$7&gt;0,$A347&gt;AF$7)),0,MAX(0,ROUND((INDEX($E347:$G347,AF$5)-SUMIFS(TF_Timer,TF_Tekniker,AF$4,TF_Dato,$A347))*2,0)/2)))</f>
        <v/>
      </c>
      <c r="AG347">
        <f>IF(OR(AG$4="",$A347&gt;TODAY()),0,IF(OR(INDEX($B347:$D347,AG$5)="F",AND(AG$6&gt;0,$A347&lt;AG$6),AND(AG$7&gt;0,$A347&gt;AG$7)),0,MAX(0,ROUND((INDEX($E347:$G347,AG$5)-SUMIFS(TF_Timer,TF_Tekniker,AG$4,TF_Dato,$A347))*2,0)/2)))</f>
        <v/>
      </c>
      <c r="AH347">
        <f>IF(OR(AH$4="",$A347&gt;TODAY()),0,IF(OR(INDEX($B347:$D347,AH$5)="F",AND(AH$6&gt;0,$A347&lt;AH$6),AND(AH$7&gt;0,$A347&gt;AH$7)),0,MAX(0,ROUND((INDEX($E347:$G347,AH$5)-SUMIFS(TF_Timer,TF_Tekniker,AH$4,TF_Dato,$A347))*2,0)/2)))</f>
        <v/>
      </c>
      <c r="AI347">
        <f>IF(OR(AI$4="",$A347&gt;TODAY()),0,IF(OR(INDEX($B347:$D347,AI$5)="F",AND(AI$6&gt;0,$A347&lt;AI$6),AND(AI$7&gt;0,$A347&gt;AI$7)),0,MAX(0,ROUND((INDEX($E347:$G347,AI$5)-SUMIFS(TF_Timer,TF_Tekniker,AI$4,TF_Dato,$A347))*2,0)/2)))</f>
        <v/>
      </c>
      <c r="AJ347">
        <f>IF(OR(AJ$4="",$A347&gt;TODAY()),0,IF(OR(INDEX($B347:$D347,AJ$5)="F",AND(AJ$6&gt;0,$A347&lt;AJ$6),AND(AJ$7&gt;0,$A347&gt;AJ$7)),0,MAX(0,ROUND((INDEX($E347:$G347,AJ$5)-SUMIFS(TF_Timer,TF_Tekniker,AJ$4,TF_Dato,$A347))*2,0)/2)))</f>
        <v/>
      </c>
      <c r="AK347">
        <f>IF(OR(AK$4="",$A347&gt;TODAY()),0,IF(OR(INDEX($B347:$D347,AK$5)="F",AND(AK$6&gt;0,$A347&lt;AK$6),AND(AK$7&gt;0,$A347&gt;AK$7)),0,MAX(0,ROUND((INDEX($E347:$G347,AK$5)-SUMIFS(TF_Timer,TF_Tekniker,AK$4,TF_Dato,$A347))*2,0)/2)))</f>
        <v/>
      </c>
      <c r="AL347">
        <f>IF(OR(AL$4="",$A347&gt;TODAY()),0,IF(OR(INDEX($B347:$D347,AL$5)="F",AND(AL$6&gt;0,$A347&lt;AL$6),AND(AL$7&gt;0,$A347&gt;AL$7)),0,MAX(0,ROUND((INDEX($E347:$G347,AL$5)-SUMIFS(TF_Timer,TF_Tekniker,AL$4,TF_Dato,$A347))*2,0)/2)))</f>
        <v/>
      </c>
      <c r="AM347">
        <f>IF(OR(AM$4="",$A347&gt;TODAY()),0,IF(OR(INDEX($B347:$D347,AM$5)="F",AND(AM$6&gt;0,$A347&lt;AM$6),AND(AM$7&gt;0,$A347&gt;AM$7)),0,MAX(0,ROUND((INDEX($E347:$G347,AM$5)-SUMIFS(TF_Timer,TF_Tekniker,AM$4,TF_Dato,$A347))*2,0)/2)))</f>
        <v/>
      </c>
      <c r="AN347">
        <f>IF(OR(AN$4="",$A347&gt;TODAY()),0,IF(OR(INDEX($B347:$D347,AN$5)="F",AND(AN$6&gt;0,$A347&lt;AN$6),AND(AN$7&gt;0,$A347&gt;AN$7)),0,MAX(0,ROUND((INDEX($E347:$G347,AN$5)-SUMIFS(TF_Timer,TF_Tekniker,AN$4,TF_Dato,$A347))*2,0)/2)))</f>
        <v/>
      </c>
      <c r="AO347">
        <f>IF(OR(AO$4="",$A347&gt;TODAY()),0,IF(OR(INDEX($B347:$D347,AO$5)="F",AND(AO$6&gt;0,$A347&lt;AO$6),AND(AO$7&gt;0,$A347&gt;AO$7)),0,MAX(0,ROUND((INDEX($E347:$G347,AO$5)-SUMIFS(TF_Timer,TF_Tekniker,AO$4,TF_Dato,$A347))*2,0)/2)))</f>
        <v/>
      </c>
      <c r="AP347">
        <f>IF(OR(AP$4="",$A347&gt;TODAY()),0,IF(OR(INDEX($B347:$D347,AP$5)="F",AND(AP$6&gt;0,$A347&lt;AP$6),AND(AP$7&gt;0,$A347&gt;AP$7)),0,MAX(0,ROUND((INDEX($E347:$G347,AP$5)-SUMIFS(TF_Timer,TF_Tekniker,AP$4,TF_Dato,$A347))*2,0)/2)))</f>
        <v/>
      </c>
      <c r="AQ347">
        <f>IF(OR(AQ$4="",$A347&gt;TODAY()),0,IF(OR(INDEX($B347:$D347,AQ$5)="F",AND(AQ$6&gt;0,$A347&lt;AQ$6),AND(AQ$7&gt;0,$A347&gt;AQ$7)),0,MAX(0,ROUND((INDEX($E347:$G347,AQ$5)-SUMIFS(TF_Timer,TF_Tekniker,AQ$4,TF_Dato,$A347))*2,0)/2)))</f>
        <v/>
      </c>
      <c r="AR347">
        <f>IF(OR(AR$4="",$A347&gt;TODAY()),0,IF(OR(INDEX($B347:$D347,AR$5)="F",AND(AR$6&gt;0,$A347&lt;AR$6),AND(AR$7&gt;0,$A347&gt;AR$7)),0,MAX(0,ROUND((INDEX($E347:$G347,AR$5)-SUMIFS(TF_Timer,TF_Tekniker,AR$4,TF_Dato,$A347))*2,0)/2)))</f>
        <v/>
      </c>
      <c r="AS347">
        <f>IF(OR(AS$4="",$A347&gt;TODAY()),0,IF(OR(INDEX($B347:$D347,AS$5)="F",AND(AS$6&gt;0,$A347&lt;AS$6),AND(AS$7&gt;0,$A347&gt;AS$7)),0,MAX(0,ROUND((INDEX($E347:$G347,AS$5)-SUMIFS(TF_Timer,TF_Tekniker,AS$4,TF_Dato,$A347))*2,0)/2)))</f>
        <v/>
      </c>
      <c r="AT347">
        <f>IF(OR(AT$4="",$A347&gt;TODAY()),0,IF(OR(INDEX($B347:$D347,AT$5)="F",AND(AT$6&gt;0,$A347&lt;AT$6),AND(AT$7&gt;0,$A347&gt;AT$7)),0,MAX(0,ROUND((INDEX($E347:$G347,AT$5)-SUMIFS(TF_Timer,TF_Tekniker,AT$4,TF_Dato,$A347))*2,0)/2)))</f>
        <v/>
      </c>
      <c r="AU347">
        <f>IF(OR(AU$4="",$A347&gt;TODAY()),0,IF(OR(INDEX($B347:$D347,AU$5)="F",AND(AU$6&gt;0,$A347&lt;AU$6),AND(AU$7&gt;0,$A347&gt;AU$7)),0,MAX(0,ROUND((INDEX($E347:$G347,AU$5)-SUMIFS(TF_Timer,TF_Tekniker,AU$4,TF_Dato,$A347))*2,0)/2)))</f>
        <v/>
      </c>
      <c r="AV347">
        <f>IF(OR(AV$4="",$A347&gt;TODAY()),0,IF(OR(INDEX($B347:$D347,AV$5)="F",AND(AV$6&gt;0,$A347&lt;AV$6),AND(AV$7&gt;0,$A347&gt;AV$7)),0,MAX(0,ROUND((INDEX($E347:$G347,AV$5)-SUMIFS(TF_Timer,TF_Tekniker,AV$4,TF_Dato,$A347))*2,0)/2)))</f>
        <v/>
      </c>
      <c r="AW347">
        <f>IF(OR(AW$4="",$A347&gt;TODAY()),0,IF(OR(INDEX($B347:$D347,AW$5)="F",AND(AW$6&gt;0,$A347&lt;AW$6),AND(AW$7&gt;0,$A347&gt;AW$7)),0,MAX(0,ROUND((INDEX($E347:$G347,AW$5)-SUMIFS(TF_Timer,TF_Tekniker,AW$4,TF_Dato,$A347))*2,0)/2)))</f>
        <v/>
      </c>
      <c r="AX347">
        <f>IF(OR(AX$4="",$A347&gt;TODAY()),0,IF(OR(INDEX($B347:$D347,AX$5)="F",AND(AX$6&gt;0,$A347&lt;AX$6),AND(AX$7&gt;0,$A347&gt;AX$7)),0,MAX(0,ROUND((INDEX($E347:$G347,AX$5)-SUMIFS(TF_Timer,TF_Tekniker,AX$4,TF_Dato,$A347))*2,0)/2)))</f>
        <v/>
      </c>
      <c r="AY347">
        <f>IF(OR(AY$4="",$A347&gt;TODAY()),0,IF(OR(INDEX($B347:$D347,AY$5)="F",AND(AY$6&gt;0,$A347&lt;AY$6),AND(AY$7&gt;0,$A347&gt;AY$7)),0,MAX(0,ROUND((INDEX($E347:$G347,AY$5)-SUMIFS(TF_Timer,TF_Tekniker,AY$4,TF_Dato,$A347))*2,0)/2)))</f>
        <v/>
      </c>
      <c r="AZ347">
        <f>IF(OR(AZ$4="",$A347&gt;TODAY()),0,IF(OR(INDEX($B347:$D347,AZ$5)="F",AND(AZ$6&gt;0,$A347&lt;AZ$6),AND(AZ$7&gt;0,$A347&gt;AZ$7)),0,MAX(0,ROUND((INDEX($E347:$G347,AZ$5)-SUMIFS(TF_Timer,TF_Tekniker,AZ$4,TF_Dato,$A347))*2,0)/2)))</f>
        <v/>
      </c>
      <c r="BA347">
        <f>IF(OR(BA$4="",$A347&gt;TODAY()),0,IF(OR(INDEX($B347:$D347,BA$5)="F",AND(BA$6&gt;0,$A347&lt;BA$6),AND(BA$7&gt;0,$A347&gt;BA$7)),0,MAX(0,ROUND((INDEX($E347:$G347,BA$5)-SUMIFS(TF_Timer,TF_Tekniker,BA$4,TF_Dato,$A347))*2,0)/2)))</f>
        <v/>
      </c>
      <c r="BB347">
        <f>IF(OR(BB$4="",$A347&gt;TODAY()),0,IF(OR(INDEX($B347:$D347,BB$5)="F",AND(BB$6&gt;0,$A347&lt;BB$6),AND(BB$7&gt;0,$A347&gt;BB$7)),0,MAX(0,ROUND((INDEX($E347:$G347,BB$5)-SUMIFS(TF_Timer,TF_Tekniker,BB$4,TF_Dato,$A347))*2,0)/2)))</f>
        <v/>
      </c>
      <c r="BC347">
        <f>IF(OR(BC$4="",$A347&gt;TODAY()),0,IF(OR(INDEX($B347:$D347,BC$5)="F",AND(BC$6&gt;0,$A347&lt;BC$6),AND(BC$7&gt;0,$A347&gt;BC$7)),0,MAX(0,ROUND((INDEX($E347:$G347,BC$5)-SUMIFS(TF_Timer,TF_Tekniker,BC$4,TF_Dato,$A347))*2,0)/2)))</f>
        <v/>
      </c>
      <c r="BD347">
        <f>IF(OR(BD$4="",$A347&gt;TODAY()),0,IF(OR(INDEX($B347:$D347,BD$5)="F",AND(BD$6&gt;0,$A347&lt;BD$6),AND(BD$7&gt;0,$A347&gt;BD$7)),0,MAX(0,ROUND((INDEX($E347:$G347,BD$5)-SUMIFS(TF_Timer,TF_Tekniker,BD$4,TF_Dato,$A347))*2,0)/2)))</f>
        <v/>
      </c>
      <c r="BE347">
        <f>IF(OR(BE$4="",$A347&gt;TODAY()),0,IF(OR(INDEX($B347:$D347,BE$5)="F",AND(BE$6&gt;0,$A347&lt;BE$6),AND(BE$7&gt;0,$A347&gt;BE$7)),0,MAX(0,ROUND((INDEX($E347:$G347,BE$5)-SUMIFS(TF_Timer,TF_Tekniker,BE$4,TF_Dato,$A347))*2,0)/2)))</f>
        <v/>
      </c>
      <c r="BF347">
        <f>IF(OR(BF$4="",$A347&gt;TODAY()),0,IF(OR(INDEX($B347:$D347,BF$5)="F",AND(BF$6&gt;0,$A347&lt;BF$6),AND(BF$7&gt;0,$A347&gt;BF$7)),0,MAX(0,ROUND((INDEX($E347:$G347,BF$5)-SUMIFS(TF_Timer,TF_Tekniker,BF$4,TF_Dato,$A347))*2,0)/2)))</f>
        <v/>
      </c>
      <c r="BG347">
        <f>IF(OR(BG$4="",$A347&gt;TODAY()),0,IF(OR(INDEX($B347:$D347,BG$5)="F",AND(BG$6&gt;0,$A347&lt;BG$6),AND(BG$7&gt;0,$A347&gt;BG$7)),0,MAX(0,ROUND((INDEX($E347:$G347,BG$5)-SUMIFS(TF_Timer,TF_Tekniker,BG$4,TF_Dato,$A347))*2,0)/2)))</f>
        <v/>
      </c>
      <c r="BH347">
        <f>IF(OR(BH$4="",$A347&gt;TODAY()),0,IF(OR(INDEX($B347:$D347,BH$5)="F",AND(BH$6&gt;0,$A347&lt;BH$6),AND(BH$7&gt;0,$A347&gt;BH$7)),0,MAX(0,ROUND((INDEX($E347:$G347,BH$5)-SUMIFS(TF_Timer,TF_Tekniker,BH$4,TF_Dato,$A347))*2,0)/2)))</f>
        <v/>
      </c>
      <c r="BI347">
        <f>IF(OR(BI$4="",$A347&gt;TODAY()),0,IF(OR(INDEX($B347:$D347,BI$5)="F",AND(BI$6&gt;0,$A347&lt;BI$6),AND(BI$7&gt;0,$A347&gt;BI$7)),0,MAX(0,ROUND((INDEX($E347:$G347,BI$5)-SUMIFS(TF_Timer,TF_Tekniker,BI$4,TF_Dato,$A347))*2,0)/2)))</f>
        <v/>
      </c>
    </row>
    <row r="348">
      <c r="A348" s="64">
        <f>A347+1</f>
        <v/>
      </c>
      <c r="B348">
        <f>IF(MOD($A348-INDEX(SkiftStart,1),Syklus)&lt;DagK,"K",IF(MOD($A348-INDEX(SkiftStart,1),Syklus)&lt;DagK+DagH,"H",IF(MOD($A348-INDEX(SkiftStart,1),Syklus)&lt;DagK+DagH+DagD,"D","F")))</f>
        <v/>
      </c>
      <c r="C348">
        <f>IF(MOD($A348-INDEX(SkiftStart,2),Syklus)&lt;DagK,"K",IF(MOD($A348-INDEX(SkiftStart,2),Syklus)&lt;DagK+DagH,"H",IF(MOD($A348-INDEX(SkiftStart,2),Syklus)&lt;DagK+DagH+DagD,"D","F")))</f>
        <v/>
      </c>
      <c r="D348">
        <f>IF(MOD($A348-INDEX(SkiftStart,3),Syklus)&lt;DagK,"K",IF(MOD($A348-INDEX(SkiftStart,3),Syklus)&lt;DagK+DagH,"H",IF(MOD($A348-INDEX(SkiftStart,3),Syklus)&lt;DagK+DagH+DagD,"D","F")))</f>
        <v/>
      </c>
      <c r="E348">
        <f>IF(B348="F",0,IF(WEEKDAY($A348,2)=5,INDEX(TimerFr,MATCH(B348,FaseKode,0)),INDEX(TimerMT,MATCH(B348,FaseKode,0))))</f>
        <v/>
      </c>
      <c r="F348">
        <f>IF(C348="F",0,IF(WEEKDAY($A348,2)=5,INDEX(TimerFr,MATCH(C348,FaseKode,0)),INDEX(TimerMT,MATCH(C348,FaseKode,0))))</f>
        <v/>
      </c>
      <c r="G348">
        <f>IF(D348="F",0,IF(WEEKDAY($A348,2)=5,INDEX(TimerFr,MATCH(D348,FaseKode,0)),INDEX(TimerMT,MATCH(D348,FaseKode,0))))</f>
        <v/>
      </c>
      <c r="H348">
        <f>IF(OR(H$4="",$A348&gt;TODAY()),0,IF(OR(INDEX($B348:$D348,H$5)="F",AND(H$6&gt;0,$A348&lt;H$6),AND(H$7&gt;0,$A348&gt;H$7)),0,MAX(0,ROUND((INDEX($E348:$G348,H$5)-SUMIFS(TF_Timer,TF_Tekniker,H$4,TF_Dato,$A348))*2,0)/2)))</f>
        <v/>
      </c>
      <c r="I348">
        <f>IF(OR(I$4="",$A348&gt;TODAY()),0,IF(OR(INDEX($B348:$D348,I$5)="F",AND(I$6&gt;0,$A348&lt;I$6),AND(I$7&gt;0,$A348&gt;I$7)),0,MAX(0,ROUND((INDEX($E348:$G348,I$5)-SUMIFS(TF_Timer,TF_Tekniker,I$4,TF_Dato,$A348))*2,0)/2)))</f>
        <v/>
      </c>
      <c r="J348">
        <f>IF(OR(J$4="",$A348&gt;TODAY()),0,IF(OR(INDEX($B348:$D348,J$5)="F",AND(J$6&gt;0,$A348&lt;J$6),AND(J$7&gt;0,$A348&gt;J$7)),0,MAX(0,ROUND((INDEX($E348:$G348,J$5)-SUMIFS(TF_Timer,TF_Tekniker,J$4,TF_Dato,$A348))*2,0)/2)))</f>
        <v/>
      </c>
      <c r="K348">
        <f>IF(OR(K$4="",$A348&gt;TODAY()),0,IF(OR(INDEX($B348:$D348,K$5)="F",AND(K$6&gt;0,$A348&lt;K$6),AND(K$7&gt;0,$A348&gt;K$7)),0,MAX(0,ROUND((INDEX($E348:$G348,K$5)-SUMIFS(TF_Timer,TF_Tekniker,K$4,TF_Dato,$A348))*2,0)/2)))</f>
        <v/>
      </c>
      <c r="L348">
        <f>IF(OR(L$4="",$A348&gt;TODAY()),0,IF(OR(INDEX($B348:$D348,L$5)="F",AND(L$6&gt;0,$A348&lt;L$6),AND(L$7&gt;0,$A348&gt;L$7)),0,MAX(0,ROUND((INDEX($E348:$G348,L$5)-SUMIFS(TF_Timer,TF_Tekniker,L$4,TF_Dato,$A348))*2,0)/2)))</f>
        <v/>
      </c>
      <c r="M348">
        <f>IF(OR(M$4="",$A348&gt;TODAY()),0,IF(OR(INDEX($B348:$D348,M$5)="F",AND(M$6&gt;0,$A348&lt;M$6),AND(M$7&gt;0,$A348&gt;M$7)),0,MAX(0,ROUND((INDEX($E348:$G348,M$5)-SUMIFS(TF_Timer,TF_Tekniker,M$4,TF_Dato,$A348))*2,0)/2)))</f>
        <v/>
      </c>
      <c r="N348">
        <f>IF(OR(N$4="",$A348&gt;TODAY()),0,IF(OR(INDEX($B348:$D348,N$5)="F",AND(N$6&gt;0,$A348&lt;N$6),AND(N$7&gt;0,$A348&gt;N$7)),0,MAX(0,ROUND((INDEX($E348:$G348,N$5)-SUMIFS(TF_Timer,TF_Tekniker,N$4,TF_Dato,$A348))*2,0)/2)))</f>
        <v/>
      </c>
      <c r="O348">
        <f>IF(OR(O$4="",$A348&gt;TODAY()),0,IF(OR(INDEX($B348:$D348,O$5)="F",AND(O$6&gt;0,$A348&lt;O$6),AND(O$7&gt;0,$A348&gt;O$7)),0,MAX(0,ROUND((INDEX($E348:$G348,O$5)-SUMIFS(TF_Timer,TF_Tekniker,O$4,TF_Dato,$A348))*2,0)/2)))</f>
        <v/>
      </c>
      <c r="P348">
        <f>IF(OR(P$4="",$A348&gt;TODAY()),0,IF(OR(INDEX($B348:$D348,P$5)="F",AND(P$6&gt;0,$A348&lt;P$6),AND(P$7&gt;0,$A348&gt;P$7)),0,MAX(0,ROUND((INDEX($E348:$G348,P$5)-SUMIFS(TF_Timer,TF_Tekniker,P$4,TF_Dato,$A348))*2,0)/2)))</f>
        <v/>
      </c>
      <c r="Q348">
        <f>IF(OR(Q$4="",$A348&gt;TODAY()),0,IF(OR(INDEX($B348:$D348,Q$5)="F",AND(Q$6&gt;0,$A348&lt;Q$6),AND(Q$7&gt;0,$A348&gt;Q$7)),0,MAX(0,ROUND((INDEX($E348:$G348,Q$5)-SUMIFS(TF_Timer,TF_Tekniker,Q$4,TF_Dato,$A348))*2,0)/2)))</f>
        <v/>
      </c>
      <c r="R348">
        <f>IF(OR(R$4="",$A348&gt;TODAY()),0,IF(OR(INDEX($B348:$D348,R$5)="F",AND(R$6&gt;0,$A348&lt;R$6),AND(R$7&gt;0,$A348&gt;R$7)),0,MAX(0,ROUND((INDEX($E348:$G348,R$5)-SUMIFS(TF_Timer,TF_Tekniker,R$4,TF_Dato,$A348))*2,0)/2)))</f>
        <v/>
      </c>
      <c r="S348">
        <f>IF(OR(S$4="",$A348&gt;TODAY()),0,IF(OR(INDEX($B348:$D348,S$5)="F",AND(S$6&gt;0,$A348&lt;S$6),AND(S$7&gt;0,$A348&gt;S$7)),0,MAX(0,ROUND((INDEX($E348:$G348,S$5)-SUMIFS(TF_Timer,TF_Tekniker,S$4,TF_Dato,$A348))*2,0)/2)))</f>
        <v/>
      </c>
      <c r="T348">
        <f>IF(OR(T$4="",$A348&gt;TODAY()),0,IF(OR(INDEX($B348:$D348,T$5)="F",AND(T$6&gt;0,$A348&lt;T$6),AND(T$7&gt;0,$A348&gt;T$7)),0,MAX(0,ROUND((INDEX($E348:$G348,T$5)-SUMIFS(TF_Timer,TF_Tekniker,T$4,TF_Dato,$A348))*2,0)/2)))</f>
        <v/>
      </c>
      <c r="U348">
        <f>IF(OR(U$4="",$A348&gt;TODAY()),0,IF(OR(INDEX($B348:$D348,U$5)="F",AND(U$6&gt;0,$A348&lt;U$6),AND(U$7&gt;0,$A348&gt;U$7)),0,MAX(0,ROUND((INDEX($E348:$G348,U$5)-SUMIFS(TF_Timer,TF_Tekniker,U$4,TF_Dato,$A348))*2,0)/2)))</f>
        <v/>
      </c>
      <c r="V348">
        <f>IF(OR(V$4="",$A348&gt;TODAY()),0,IF(OR(INDEX($B348:$D348,V$5)="F",AND(V$6&gt;0,$A348&lt;V$6),AND(V$7&gt;0,$A348&gt;V$7)),0,MAX(0,ROUND((INDEX($E348:$G348,V$5)-SUMIFS(TF_Timer,TF_Tekniker,V$4,TF_Dato,$A348))*2,0)/2)))</f>
        <v/>
      </c>
      <c r="W348">
        <f>IF(OR(W$4="",$A348&gt;TODAY()),0,IF(OR(INDEX($B348:$D348,W$5)="F",AND(W$6&gt;0,$A348&lt;W$6),AND(W$7&gt;0,$A348&gt;W$7)),0,MAX(0,ROUND((INDEX($E348:$G348,W$5)-SUMIFS(TF_Timer,TF_Tekniker,W$4,TF_Dato,$A348))*2,0)/2)))</f>
        <v/>
      </c>
      <c r="X348">
        <f>IF(OR(X$4="",$A348&gt;TODAY()),0,IF(OR(INDEX($B348:$D348,X$5)="F",AND(X$6&gt;0,$A348&lt;X$6),AND(X$7&gt;0,$A348&gt;X$7)),0,MAX(0,ROUND((INDEX($E348:$G348,X$5)-SUMIFS(TF_Timer,TF_Tekniker,X$4,TF_Dato,$A348))*2,0)/2)))</f>
        <v/>
      </c>
      <c r="Y348">
        <f>IF(OR(Y$4="",$A348&gt;TODAY()),0,IF(OR(INDEX($B348:$D348,Y$5)="F",AND(Y$6&gt;0,$A348&lt;Y$6),AND(Y$7&gt;0,$A348&gt;Y$7)),0,MAX(0,ROUND((INDEX($E348:$G348,Y$5)-SUMIFS(TF_Timer,TF_Tekniker,Y$4,TF_Dato,$A348))*2,0)/2)))</f>
        <v/>
      </c>
      <c r="Z348">
        <f>IF(OR(Z$4="",$A348&gt;TODAY()),0,IF(OR(INDEX($B348:$D348,Z$5)="F",AND(Z$6&gt;0,$A348&lt;Z$6),AND(Z$7&gt;0,$A348&gt;Z$7)),0,MAX(0,ROUND((INDEX($E348:$G348,Z$5)-SUMIFS(TF_Timer,TF_Tekniker,Z$4,TF_Dato,$A348))*2,0)/2)))</f>
        <v/>
      </c>
      <c r="AA348">
        <f>IF(OR(AA$4="",$A348&gt;TODAY()),0,IF(OR(INDEX($B348:$D348,AA$5)="F",AND(AA$6&gt;0,$A348&lt;AA$6),AND(AA$7&gt;0,$A348&gt;AA$7)),0,MAX(0,ROUND((INDEX($E348:$G348,AA$5)-SUMIFS(TF_Timer,TF_Tekniker,AA$4,TF_Dato,$A348))*2,0)/2)))</f>
        <v/>
      </c>
      <c r="AB348">
        <f>IF(OR(AB$4="",$A348&gt;TODAY()),0,IF(OR(INDEX($B348:$D348,AB$5)="F",AND(AB$6&gt;0,$A348&lt;AB$6),AND(AB$7&gt;0,$A348&gt;AB$7)),0,MAX(0,ROUND((INDEX($E348:$G348,AB$5)-SUMIFS(TF_Timer,TF_Tekniker,AB$4,TF_Dato,$A348))*2,0)/2)))</f>
        <v/>
      </c>
      <c r="AC348">
        <f>IF(OR(AC$4="",$A348&gt;TODAY()),0,IF(OR(INDEX($B348:$D348,AC$5)="F",AND(AC$6&gt;0,$A348&lt;AC$6),AND(AC$7&gt;0,$A348&gt;AC$7)),0,MAX(0,ROUND((INDEX($E348:$G348,AC$5)-SUMIFS(TF_Timer,TF_Tekniker,AC$4,TF_Dato,$A348))*2,0)/2)))</f>
        <v/>
      </c>
      <c r="AD348">
        <f>IF(OR(AD$4="",$A348&gt;TODAY()),0,IF(OR(INDEX($B348:$D348,AD$5)="F",AND(AD$6&gt;0,$A348&lt;AD$6),AND(AD$7&gt;0,$A348&gt;AD$7)),0,MAX(0,ROUND((INDEX($E348:$G348,AD$5)-SUMIFS(TF_Timer,TF_Tekniker,AD$4,TF_Dato,$A348))*2,0)/2)))</f>
        <v/>
      </c>
      <c r="AE348">
        <f>IF(OR(AE$4="",$A348&gt;TODAY()),0,IF(OR(INDEX($B348:$D348,AE$5)="F",AND(AE$6&gt;0,$A348&lt;AE$6),AND(AE$7&gt;0,$A348&gt;AE$7)),0,MAX(0,ROUND((INDEX($E348:$G348,AE$5)-SUMIFS(TF_Timer,TF_Tekniker,AE$4,TF_Dato,$A348))*2,0)/2)))</f>
        <v/>
      </c>
      <c r="AF348">
        <f>IF(OR(AF$4="",$A348&gt;TODAY()),0,IF(OR(INDEX($B348:$D348,AF$5)="F",AND(AF$6&gt;0,$A348&lt;AF$6),AND(AF$7&gt;0,$A348&gt;AF$7)),0,MAX(0,ROUND((INDEX($E348:$G348,AF$5)-SUMIFS(TF_Timer,TF_Tekniker,AF$4,TF_Dato,$A348))*2,0)/2)))</f>
        <v/>
      </c>
      <c r="AG348">
        <f>IF(OR(AG$4="",$A348&gt;TODAY()),0,IF(OR(INDEX($B348:$D348,AG$5)="F",AND(AG$6&gt;0,$A348&lt;AG$6),AND(AG$7&gt;0,$A348&gt;AG$7)),0,MAX(0,ROUND((INDEX($E348:$G348,AG$5)-SUMIFS(TF_Timer,TF_Tekniker,AG$4,TF_Dato,$A348))*2,0)/2)))</f>
        <v/>
      </c>
      <c r="AH348">
        <f>IF(OR(AH$4="",$A348&gt;TODAY()),0,IF(OR(INDEX($B348:$D348,AH$5)="F",AND(AH$6&gt;0,$A348&lt;AH$6),AND(AH$7&gt;0,$A348&gt;AH$7)),0,MAX(0,ROUND((INDEX($E348:$G348,AH$5)-SUMIFS(TF_Timer,TF_Tekniker,AH$4,TF_Dato,$A348))*2,0)/2)))</f>
        <v/>
      </c>
      <c r="AI348">
        <f>IF(OR(AI$4="",$A348&gt;TODAY()),0,IF(OR(INDEX($B348:$D348,AI$5)="F",AND(AI$6&gt;0,$A348&lt;AI$6),AND(AI$7&gt;0,$A348&gt;AI$7)),0,MAX(0,ROUND((INDEX($E348:$G348,AI$5)-SUMIFS(TF_Timer,TF_Tekniker,AI$4,TF_Dato,$A348))*2,0)/2)))</f>
        <v/>
      </c>
      <c r="AJ348">
        <f>IF(OR(AJ$4="",$A348&gt;TODAY()),0,IF(OR(INDEX($B348:$D348,AJ$5)="F",AND(AJ$6&gt;0,$A348&lt;AJ$6),AND(AJ$7&gt;0,$A348&gt;AJ$7)),0,MAX(0,ROUND((INDEX($E348:$G348,AJ$5)-SUMIFS(TF_Timer,TF_Tekniker,AJ$4,TF_Dato,$A348))*2,0)/2)))</f>
        <v/>
      </c>
      <c r="AK348">
        <f>IF(OR(AK$4="",$A348&gt;TODAY()),0,IF(OR(INDEX($B348:$D348,AK$5)="F",AND(AK$6&gt;0,$A348&lt;AK$6),AND(AK$7&gt;0,$A348&gt;AK$7)),0,MAX(0,ROUND((INDEX($E348:$G348,AK$5)-SUMIFS(TF_Timer,TF_Tekniker,AK$4,TF_Dato,$A348))*2,0)/2)))</f>
        <v/>
      </c>
      <c r="AL348">
        <f>IF(OR(AL$4="",$A348&gt;TODAY()),0,IF(OR(INDEX($B348:$D348,AL$5)="F",AND(AL$6&gt;0,$A348&lt;AL$6),AND(AL$7&gt;0,$A348&gt;AL$7)),0,MAX(0,ROUND((INDEX($E348:$G348,AL$5)-SUMIFS(TF_Timer,TF_Tekniker,AL$4,TF_Dato,$A348))*2,0)/2)))</f>
        <v/>
      </c>
      <c r="AM348">
        <f>IF(OR(AM$4="",$A348&gt;TODAY()),0,IF(OR(INDEX($B348:$D348,AM$5)="F",AND(AM$6&gt;0,$A348&lt;AM$6),AND(AM$7&gt;0,$A348&gt;AM$7)),0,MAX(0,ROUND((INDEX($E348:$G348,AM$5)-SUMIFS(TF_Timer,TF_Tekniker,AM$4,TF_Dato,$A348))*2,0)/2)))</f>
        <v/>
      </c>
      <c r="AN348">
        <f>IF(OR(AN$4="",$A348&gt;TODAY()),0,IF(OR(INDEX($B348:$D348,AN$5)="F",AND(AN$6&gt;0,$A348&lt;AN$6),AND(AN$7&gt;0,$A348&gt;AN$7)),0,MAX(0,ROUND((INDEX($E348:$G348,AN$5)-SUMIFS(TF_Timer,TF_Tekniker,AN$4,TF_Dato,$A348))*2,0)/2)))</f>
        <v/>
      </c>
      <c r="AO348">
        <f>IF(OR(AO$4="",$A348&gt;TODAY()),0,IF(OR(INDEX($B348:$D348,AO$5)="F",AND(AO$6&gt;0,$A348&lt;AO$6),AND(AO$7&gt;0,$A348&gt;AO$7)),0,MAX(0,ROUND((INDEX($E348:$G348,AO$5)-SUMIFS(TF_Timer,TF_Tekniker,AO$4,TF_Dato,$A348))*2,0)/2)))</f>
        <v/>
      </c>
      <c r="AP348">
        <f>IF(OR(AP$4="",$A348&gt;TODAY()),0,IF(OR(INDEX($B348:$D348,AP$5)="F",AND(AP$6&gt;0,$A348&lt;AP$6),AND(AP$7&gt;0,$A348&gt;AP$7)),0,MAX(0,ROUND((INDEX($E348:$G348,AP$5)-SUMIFS(TF_Timer,TF_Tekniker,AP$4,TF_Dato,$A348))*2,0)/2)))</f>
        <v/>
      </c>
      <c r="AQ348">
        <f>IF(OR(AQ$4="",$A348&gt;TODAY()),0,IF(OR(INDEX($B348:$D348,AQ$5)="F",AND(AQ$6&gt;0,$A348&lt;AQ$6),AND(AQ$7&gt;0,$A348&gt;AQ$7)),0,MAX(0,ROUND((INDEX($E348:$G348,AQ$5)-SUMIFS(TF_Timer,TF_Tekniker,AQ$4,TF_Dato,$A348))*2,0)/2)))</f>
        <v/>
      </c>
      <c r="AR348">
        <f>IF(OR(AR$4="",$A348&gt;TODAY()),0,IF(OR(INDEX($B348:$D348,AR$5)="F",AND(AR$6&gt;0,$A348&lt;AR$6),AND(AR$7&gt;0,$A348&gt;AR$7)),0,MAX(0,ROUND((INDEX($E348:$G348,AR$5)-SUMIFS(TF_Timer,TF_Tekniker,AR$4,TF_Dato,$A348))*2,0)/2)))</f>
        <v/>
      </c>
      <c r="AS348">
        <f>IF(OR(AS$4="",$A348&gt;TODAY()),0,IF(OR(INDEX($B348:$D348,AS$5)="F",AND(AS$6&gt;0,$A348&lt;AS$6),AND(AS$7&gt;0,$A348&gt;AS$7)),0,MAX(0,ROUND((INDEX($E348:$G348,AS$5)-SUMIFS(TF_Timer,TF_Tekniker,AS$4,TF_Dato,$A348))*2,0)/2)))</f>
        <v/>
      </c>
      <c r="AT348">
        <f>IF(OR(AT$4="",$A348&gt;TODAY()),0,IF(OR(INDEX($B348:$D348,AT$5)="F",AND(AT$6&gt;0,$A348&lt;AT$6),AND(AT$7&gt;0,$A348&gt;AT$7)),0,MAX(0,ROUND((INDEX($E348:$G348,AT$5)-SUMIFS(TF_Timer,TF_Tekniker,AT$4,TF_Dato,$A348))*2,0)/2)))</f>
        <v/>
      </c>
      <c r="AU348">
        <f>IF(OR(AU$4="",$A348&gt;TODAY()),0,IF(OR(INDEX($B348:$D348,AU$5)="F",AND(AU$6&gt;0,$A348&lt;AU$6),AND(AU$7&gt;0,$A348&gt;AU$7)),0,MAX(0,ROUND((INDEX($E348:$G348,AU$5)-SUMIFS(TF_Timer,TF_Tekniker,AU$4,TF_Dato,$A348))*2,0)/2)))</f>
        <v/>
      </c>
      <c r="AV348">
        <f>IF(OR(AV$4="",$A348&gt;TODAY()),0,IF(OR(INDEX($B348:$D348,AV$5)="F",AND(AV$6&gt;0,$A348&lt;AV$6),AND(AV$7&gt;0,$A348&gt;AV$7)),0,MAX(0,ROUND((INDEX($E348:$G348,AV$5)-SUMIFS(TF_Timer,TF_Tekniker,AV$4,TF_Dato,$A348))*2,0)/2)))</f>
        <v/>
      </c>
      <c r="AW348">
        <f>IF(OR(AW$4="",$A348&gt;TODAY()),0,IF(OR(INDEX($B348:$D348,AW$5)="F",AND(AW$6&gt;0,$A348&lt;AW$6),AND(AW$7&gt;0,$A348&gt;AW$7)),0,MAX(0,ROUND((INDEX($E348:$G348,AW$5)-SUMIFS(TF_Timer,TF_Tekniker,AW$4,TF_Dato,$A348))*2,0)/2)))</f>
        <v/>
      </c>
      <c r="AX348">
        <f>IF(OR(AX$4="",$A348&gt;TODAY()),0,IF(OR(INDEX($B348:$D348,AX$5)="F",AND(AX$6&gt;0,$A348&lt;AX$6),AND(AX$7&gt;0,$A348&gt;AX$7)),0,MAX(0,ROUND((INDEX($E348:$G348,AX$5)-SUMIFS(TF_Timer,TF_Tekniker,AX$4,TF_Dato,$A348))*2,0)/2)))</f>
        <v/>
      </c>
      <c r="AY348">
        <f>IF(OR(AY$4="",$A348&gt;TODAY()),0,IF(OR(INDEX($B348:$D348,AY$5)="F",AND(AY$6&gt;0,$A348&lt;AY$6),AND(AY$7&gt;0,$A348&gt;AY$7)),0,MAX(0,ROUND((INDEX($E348:$G348,AY$5)-SUMIFS(TF_Timer,TF_Tekniker,AY$4,TF_Dato,$A348))*2,0)/2)))</f>
        <v/>
      </c>
      <c r="AZ348">
        <f>IF(OR(AZ$4="",$A348&gt;TODAY()),0,IF(OR(INDEX($B348:$D348,AZ$5)="F",AND(AZ$6&gt;0,$A348&lt;AZ$6),AND(AZ$7&gt;0,$A348&gt;AZ$7)),0,MAX(0,ROUND((INDEX($E348:$G348,AZ$5)-SUMIFS(TF_Timer,TF_Tekniker,AZ$4,TF_Dato,$A348))*2,0)/2)))</f>
        <v/>
      </c>
      <c r="BA348">
        <f>IF(OR(BA$4="",$A348&gt;TODAY()),0,IF(OR(INDEX($B348:$D348,BA$5)="F",AND(BA$6&gt;0,$A348&lt;BA$6),AND(BA$7&gt;0,$A348&gt;BA$7)),0,MAX(0,ROUND((INDEX($E348:$G348,BA$5)-SUMIFS(TF_Timer,TF_Tekniker,BA$4,TF_Dato,$A348))*2,0)/2)))</f>
        <v/>
      </c>
      <c r="BB348">
        <f>IF(OR(BB$4="",$A348&gt;TODAY()),0,IF(OR(INDEX($B348:$D348,BB$5)="F",AND(BB$6&gt;0,$A348&lt;BB$6),AND(BB$7&gt;0,$A348&gt;BB$7)),0,MAX(0,ROUND((INDEX($E348:$G348,BB$5)-SUMIFS(TF_Timer,TF_Tekniker,BB$4,TF_Dato,$A348))*2,0)/2)))</f>
        <v/>
      </c>
      <c r="BC348">
        <f>IF(OR(BC$4="",$A348&gt;TODAY()),0,IF(OR(INDEX($B348:$D348,BC$5)="F",AND(BC$6&gt;0,$A348&lt;BC$6),AND(BC$7&gt;0,$A348&gt;BC$7)),0,MAX(0,ROUND((INDEX($E348:$G348,BC$5)-SUMIFS(TF_Timer,TF_Tekniker,BC$4,TF_Dato,$A348))*2,0)/2)))</f>
        <v/>
      </c>
      <c r="BD348">
        <f>IF(OR(BD$4="",$A348&gt;TODAY()),0,IF(OR(INDEX($B348:$D348,BD$5)="F",AND(BD$6&gt;0,$A348&lt;BD$6),AND(BD$7&gt;0,$A348&gt;BD$7)),0,MAX(0,ROUND((INDEX($E348:$G348,BD$5)-SUMIFS(TF_Timer,TF_Tekniker,BD$4,TF_Dato,$A348))*2,0)/2)))</f>
        <v/>
      </c>
      <c r="BE348">
        <f>IF(OR(BE$4="",$A348&gt;TODAY()),0,IF(OR(INDEX($B348:$D348,BE$5)="F",AND(BE$6&gt;0,$A348&lt;BE$6),AND(BE$7&gt;0,$A348&gt;BE$7)),0,MAX(0,ROUND((INDEX($E348:$G348,BE$5)-SUMIFS(TF_Timer,TF_Tekniker,BE$4,TF_Dato,$A348))*2,0)/2)))</f>
        <v/>
      </c>
      <c r="BF348">
        <f>IF(OR(BF$4="",$A348&gt;TODAY()),0,IF(OR(INDEX($B348:$D348,BF$5)="F",AND(BF$6&gt;0,$A348&lt;BF$6),AND(BF$7&gt;0,$A348&gt;BF$7)),0,MAX(0,ROUND((INDEX($E348:$G348,BF$5)-SUMIFS(TF_Timer,TF_Tekniker,BF$4,TF_Dato,$A348))*2,0)/2)))</f>
        <v/>
      </c>
      <c r="BG348">
        <f>IF(OR(BG$4="",$A348&gt;TODAY()),0,IF(OR(INDEX($B348:$D348,BG$5)="F",AND(BG$6&gt;0,$A348&lt;BG$6),AND(BG$7&gt;0,$A348&gt;BG$7)),0,MAX(0,ROUND((INDEX($E348:$G348,BG$5)-SUMIFS(TF_Timer,TF_Tekniker,BG$4,TF_Dato,$A348))*2,0)/2)))</f>
        <v/>
      </c>
      <c r="BH348">
        <f>IF(OR(BH$4="",$A348&gt;TODAY()),0,IF(OR(INDEX($B348:$D348,BH$5)="F",AND(BH$6&gt;0,$A348&lt;BH$6),AND(BH$7&gt;0,$A348&gt;BH$7)),0,MAX(0,ROUND((INDEX($E348:$G348,BH$5)-SUMIFS(TF_Timer,TF_Tekniker,BH$4,TF_Dato,$A348))*2,0)/2)))</f>
        <v/>
      </c>
      <c r="BI348">
        <f>IF(OR(BI$4="",$A348&gt;TODAY()),0,IF(OR(INDEX($B348:$D348,BI$5)="F",AND(BI$6&gt;0,$A348&lt;BI$6),AND(BI$7&gt;0,$A348&gt;BI$7)),0,MAX(0,ROUND((INDEX($E348:$G348,BI$5)-SUMIFS(TF_Timer,TF_Tekniker,BI$4,TF_Dato,$A348))*2,0)/2)))</f>
        <v/>
      </c>
    </row>
    <row r="349">
      <c r="A349" s="64">
        <f>A348+1</f>
        <v/>
      </c>
      <c r="B349">
        <f>IF(MOD($A349-INDEX(SkiftStart,1),Syklus)&lt;DagK,"K",IF(MOD($A349-INDEX(SkiftStart,1),Syklus)&lt;DagK+DagH,"H",IF(MOD($A349-INDEX(SkiftStart,1),Syklus)&lt;DagK+DagH+DagD,"D","F")))</f>
        <v/>
      </c>
      <c r="C349">
        <f>IF(MOD($A349-INDEX(SkiftStart,2),Syklus)&lt;DagK,"K",IF(MOD($A349-INDEX(SkiftStart,2),Syklus)&lt;DagK+DagH,"H",IF(MOD($A349-INDEX(SkiftStart,2),Syklus)&lt;DagK+DagH+DagD,"D","F")))</f>
        <v/>
      </c>
      <c r="D349">
        <f>IF(MOD($A349-INDEX(SkiftStart,3),Syklus)&lt;DagK,"K",IF(MOD($A349-INDEX(SkiftStart,3),Syklus)&lt;DagK+DagH,"H",IF(MOD($A349-INDEX(SkiftStart,3),Syklus)&lt;DagK+DagH+DagD,"D","F")))</f>
        <v/>
      </c>
      <c r="E349">
        <f>IF(B349="F",0,IF(WEEKDAY($A349,2)=5,INDEX(TimerFr,MATCH(B349,FaseKode,0)),INDEX(TimerMT,MATCH(B349,FaseKode,0))))</f>
        <v/>
      </c>
      <c r="F349">
        <f>IF(C349="F",0,IF(WEEKDAY($A349,2)=5,INDEX(TimerFr,MATCH(C349,FaseKode,0)),INDEX(TimerMT,MATCH(C349,FaseKode,0))))</f>
        <v/>
      </c>
      <c r="G349">
        <f>IF(D349="F",0,IF(WEEKDAY($A349,2)=5,INDEX(TimerFr,MATCH(D349,FaseKode,0)),INDEX(TimerMT,MATCH(D349,FaseKode,0))))</f>
        <v/>
      </c>
      <c r="H349">
        <f>IF(OR(H$4="",$A349&gt;TODAY()),0,IF(OR(INDEX($B349:$D349,H$5)="F",AND(H$6&gt;0,$A349&lt;H$6),AND(H$7&gt;0,$A349&gt;H$7)),0,MAX(0,ROUND((INDEX($E349:$G349,H$5)-SUMIFS(TF_Timer,TF_Tekniker,H$4,TF_Dato,$A349))*2,0)/2)))</f>
        <v/>
      </c>
      <c r="I349">
        <f>IF(OR(I$4="",$A349&gt;TODAY()),0,IF(OR(INDEX($B349:$D349,I$5)="F",AND(I$6&gt;0,$A349&lt;I$6),AND(I$7&gt;0,$A349&gt;I$7)),0,MAX(0,ROUND((INDEX($E349:$G349,I$5)-SUMIFS(TF_Timer,TF_Tekniker,I$4,TF_Dato,$A349))*2,0)/2)))</f>
        <v/>
      </c>
      <c r="J349">
        <f>IF(OR(J$4="",$A349&gt;TODAY()),0,IF(OR(INDEX($B349:$D349,J$5)="F",AND(J$6&gt;0,$A349&lt;J$6),AND(J$7&gt;0,$A349&gt;J$7)),0,MAX(0,ROUND((INDEX($E349:$G349,J$5)-SUMIFS(TF_Timer,TF_Tekniker,J$4,TF_Dato,$A349))*2,0)/2)))</f>
        <v/>
      </c>
      <c r="K349">
        <f>IF(OR(K$4="",$A349&gt;TODAY()),0,IF(OR(INDEX($B349:$D349,K$5)="F",AND(K$6&gt;0,$A349&lt;K$6),AND(K$7&gt;0,$A349&gt;K$7)),0,MAX(0,ROUND((INDEX($E349:$G349,K$5)-SUMIFS(TF_Timer,TF_Tekniker,K$4,TF_Dato,$A349))*2,0)/2)))</f>
        <v/>
      </c>
      <c r="L349">
        <f>IF(OR(L$4="",$A349&gt;TODAY()),0,IF(OR(INDEX($B349:$D349,L$5)="F",AND(L$6&gt;0,$A349&lt;L$6),AND(L$7&gt;0,$A349&gt;L$7)),0,MAX(0,ROUND((INDEX($E349:$G349,L$5)-SUMIFS(TF_Timer,TF_Tekniker,L$4,TF_Dato,$A349))*2,0)/2)))</f>
        <v/>
      </c>
      <c r="M349">
        <f>IF(OR(M$4="",$A349&gt;TODAY()),0,IF(OR(INDEX($B349:$D349,M$5)="F",AND(M$6&gt;0,$A349&lt;M$6),AND(M$7&gt;0,$A349&gt;M$7)),0,MAX(0,ROUND((INDEX($E349:$G349,M$5)-SUMIFS(TF_Timer,TF_Tekniker,M$4,TF_Dato,$A349))*2,0)/2)))</f>
        <v/>
      </c>
      <c r="N349">
        <f>IF(OR(N$4="",$A349&gt;TODAY()),0,IF(OR(INDEX($B349:$D349,N$5)="F",AND(N$6&gt;0,$A349&lt;N$6),AND(N$7&gt;0,$A349&gt;N$7)),0,MAX(0,ROUND((INDEX($E349:$G349,N$5)-SUMIFS(TF_Timer,TF_Tekniker,N$4,TF_Dato,$A349))*2,0)/2)))</f>
        <v/>
      </c>
      <c r="O349">
        <f>IF(OR(O$4="",$A349&gt;TODAY()),0,IF(OR(INDEX($B349:$D349,O$5)="F",AND(O$6&gt;0,$A349&lt;O$6),AND(O$7&gt;0,$A349&gt;O$7)),0,MAX(0,ROUND((INDEX($E349:$G349,O$5)-SUMIFS(TF_Timer,TF_Tekniker,O$4,TF_Dato,$A349))*2,0)/2)))</f>
        <v/>
      </c>
      <c r="P349">
        <f>IF(OR(P$4="",$A349&gt;TODAY()),0,IF(OR(INDEX($B349:$D349,P$5)="F",AND(P$6&gt;0,$A349&lt;P$6),AND(P$7&gt;0,$A349&gt;P$7)),0,MAX(0,ROUND((INDEX($E349:$G349,P$5)-SUMIFS(TF_Timer,TF_Tekniker,P$4,TF_Dato,$A349))*2,0)/2)))</f>
        <v/>
      </c>
      <c r="Q349">
        <f>IF(OR(Q$4="",$A349&gt;TODAY()),0,IF(OR(INDEX($B349:$D349,Q$5)="F",AND(Q$6&gt;0,$A349&lt;Q$6),AND(Q$7&gt;0,$A349&gt;Q$7)),0,MAX(0,ROUND((INDEX($E349:$G349,Q$5)-SUMIFS(TF_Timer,TF_Tekniker,Q$4,TF_Dato,$A349))*2,0)/2)))</f>
        <v/>
      </c>
      <c r="R349">
        <f>IF(OR(R$4="",$A349&gt;TODAY()),0,IF(OR(INDEX($B349:$D349,R$5)="F",AND(R$6&gt;0,$A349&lt;R$6),AND(R$7&gt;0,$A349&gt;R$7)),0,MAX(0,ROUND((INDEX($E349:$G349,R$5)-SUMIFS(TF_Timer,TF_Tekniker,R$4,TF_Dato,$A349))*2,0)/2)))</f>
        <v/>
      </c>
      <c r="S349">
        <f>IF(OR(S$4="",$A349&gt;TODAY()),0,IF(OR(INDEX($B349:$D349,S$5)="F",AND(S$6&gt;0,$A349&lt;S$6),AND(S$7&gt;0,$A349&gt;S$7)),0,MAX(0,ROUND((INDEX($E349:$G349,S$5)-SUMIFS(TF_Timer,TF_Tekniker,S$4,TF_Dato,$A349))*2,0)/2)))</f>
        <v/>
      </c>
      <c r="T349">
        <f>IF(OR(T$4="",$A349&gt;TODAY()),0,IF(OR(INDEX($B349:$D349,T$5)="F",AND(T$6&gt;0,$A349&lt;T$6),AND(T$7&gt;0,$A349&gt;T$7)),0,MAX(0,ROUND((INDEX($E349:$G349,T$5)-SUMIFS(TF_Timer,TF_Tekniker,T$4,TF_Dato,$A349))*2,0)/2)))</f>
        <v/>
      </c>
      <c r="U349">
        <f>IF(OR(U$4="",$A349&gt;TODAY()),0,IF(OR(INDEX($B349:$D349,U$5)="F",AND(U$6&gt;0,$A349&lt;U$6),AND(U$7&gt;0,$A349&gt;U$7)),0,MAX(0,ROUND((INDEX($E349:$G349,U$5)-SUMIFS(TF_Timer,TF_Tekniker,U$4,TF_Dato,$A349))*2,0)/2)))</f>
        <v/>
      </c>
      <c r="V349">
        <f>IF(OR(V$4="",$A349&gt;TODAY()),0,IF(OR(INDEX($B349:$D349,V$5)="F",AND(V$6&gt;0,$A349&lt;V$6),AND(V$7&gt;0,$A349&gt;V$7)),0,MAX(0,ROUND((INDEX($E349:$G349,V$5)-SUMIFS(TF_Timer,TF_Tekniker,V$4,TF_Dato,$A349))*2,0)/2)))</f>
        <v/>
      </c>
      <c r="W349">
        <f>IF(OR(W$4="",$A349&gt;TODAY()),0,IF(OR(INDEX($B349:$D349,W$5)="F",AND(W$6&gt;0,$A349&lt;W$6),AND(W$7&gt;0,$A349&gt;W$7)),0,MAX(0,ROUND((INDEX($E349:$G349,W$5)-SUMIFS(TF_Timer,TF_Tekniker,W$4,TF_Dato,$A349))*2,0)/2)))</f>
        <v/>
      </c>
      <c r="X349">
        <f>IF(OR(X$4="",$A349&gt;TODAY()),0,IF(OR(INDEX($B349:$D349,X$5)="F",AND(X$6&gt;0,$A349&lt;X$6),AND(X$7&gt;0,$A349&gt;X$7)),0,MAX(0,ROUND((INDEX($E349:$G349,X$5)-SUMIFS(TF_Timer,TF_Tekniker,X$4,TF_Dato,$A349))*2,0)/2)))</f>
        <v/>
      </c>
      <c r="Y349">
        <f>IF(OR(Y$4="",$A349&gt;TODAY()),0,IF(OR(INDEX($B349:$D349,Y$5)="F",AND(Y$6&gt;0,$A349&lt;Y$6),AND(Y$7&gt;0,$A349&gt;Y$7)),0,MAX(0,ROUND((INDEX($E349:$G349,Y$5)-SUMIFS(TF_Timer,TF_Tekniker,Y$4,TF_Dato,$A349))*2,0)/2)))</f>
        <v/>
      </c>
      <c r="Z349">
        <f>IF(OR(Z$4="",$A349&gt;TODAY()),0,IF(OR(INDEX($B349:$D349,Z$5)="F",AND(Z$6&gt;0,$A349&lt;Z$6),AND(Z$7&gt;0,$A349&gt;Z$7)),0,MAX(0,ROUND((INDEX($E349:$G349,Z$5)-SUMIFS(TF_Timer,TF_Tekniker,Z$4,TF_Dato,$A349))*2,0)/2)))</f>
        <v/>
      </c>
      <c r="AA349">
        <f>IF(OR(AA$4="",$A349&gt;TODAY()),0,IF(OR(INDEX($B349:$D349,AA$5)="F",AND(AA$6&gt;0,$A349&lt;AA$6),AND(AA$7&gt;0,$A349&gt;AA$7)),0,MAX(0,ROUND((INDEX($E349:$G349,AA$5)-SUMIFS(TF_Timer,TF_Tekniker,AA$4,TF_Dato,$A349))*2,0)/2)))</f>
        <v/>
      </c>
      <c r="AB349">
        <f>IF(OR(AB$4="",$A349&gt;TODAY()),0,IF(OR(INDEX($B349:$D349,AB$5)="F",AND(AB$6&gt;0,$A349&lt;AB$6),AND(AB$7&gt;0,$A349&gt;AB$7)),0,MAX(0,ROUND((INDEX($E349:$G349,AB$5)-SUMIFS(TF_Timer,TF_Tekniker,AB$4,TF_Dato,$A349))*2,0)/2)))</f>
        <v/>
      </c>
      <c r="AC349">
        <f>IF(OR(AC$4="",$A349&gt;TODAY()),0,IF(OR(INDEX($B349:$D349,AC$5)="F",AND(AC$6&gt;0,$A349&lt;AC$6),AND(AC$7&gt;0,$A349&gt;AC$7)),0,MAX(0,ROUND((INDEX($E349:$G349,AC$5)-SUMIFS(TF_Timer,TF_Tekniker,AC$4,TF_Dato,$A349))*2,0)/2)))</f>
        <v/>
      </c>
      <c r="AD349">
        <f>IF(OR(AD$4="",$A349&gt;TODAY()),0,IF(OR(INDEX($B349:$D349,AD$5)="F",AND(AD$6&gt;0,$A349&lt;AD$6),AND(AD$7&gt;0,$A349&gt;AD$7)),0,MAX(0,ROUND((INDEX($E349:$G349,AD$5)-SUMIFS(TF_Timer,TF_Tekniker,AD$4,TF_Dato,$A349))*2,0)/2)))</f>
        <v/>
      </c>
      <c r="AE349">
        <f>IF(OR(AE$4="",$A349&gt;TODAY()),0,IF(OR(INDEX($B349:$D349,AE$5)="F",AND(AE$6&gt;0,$A349&lt;AE$6),AND(AE$7&gt;0,$A349&gt;AE$7)),0,MAX(0,ROUND((INDEX($E349:$G349,AE$5)-SUMIFS(TF_Timer,TF_Tekniker,AE$4,TF_Dato,$A349))*2,0)/2)))</f>
        <v/>
      </c>
      <c r="AF349">
        <f>IF(OR(AF$4="",$A349&gt;TODAY()),0,IF(OR(INDEX($B349:$D349,AF$5)="F",AND(AF$6&gt;0,$A349&lt;AF$6),AND(AF$7&gt;0,$A349&gt;AF$7)),0,MAX(0,ROUND((INDEX($E349:$G349,AF$5)-SUMIFS(TF_Timer,TF_Tekniker,AF$4,TF_Dato,$A349))*2,0)/2)))</f>
        <v/>
      </c>
      <c r="AG349">
        <f>IF(OR(AG$4="",$A349&gt;TODAY()),0,IF(OR(INDEX($B349:$D349,AG$5)="F",AND(AG$6&gt;0,$A349&lt;AG$6),AND(AG$7&gt;0,$A349&gt;AG$7)),0,MAX(0,ROUND((INDEX($E349:$G349,AG$5)-SUMIFS(TF_Timer,TF_Tekniker,AG$4,TF_Dato,$A349))*2,0)/2)))</f>
        <v/>
      </c>
      <c r="AH349">
        <f>IF(OR(AH$4="",$A349&gt;TODAY()),0,IF(OR(INDEX($B349:$D349,AH$5)="F",AND(AH$6&gt;0,$A349&lt;AH$6),AND(AH$7&gt;0,$A349&gt;AH$7)),0,MAX(0,ROUND((INDEX($E349:$G349,AH$5)-SUMIFS(TF_Timer,TF_Tekniker,AH$4,TF_Dato,$A349))*2,0)/2)))</f>
        <v/>
      </c>
      <c r="AI349">
        <f>IF(OR(AI$4="",$A349&gt;TODAY()),0,IF(OR(INDEX($B349:$D349,AI$5)="F",AND(AI$6&gt;0,$A349&lt;AI$6),AND(AI$7&gt;0,$A349&gt;AI$7)),0,MAX(0,ROUND((INDEX($E349:$G349,AI$5)-SUMIFS(TF_Timer,TF_Tekniker,AI$4,TF_Dato,$A349))*2,0)/2)))</f>
        <v/>
      </c>
      <c r="AJ349">
        <f>IF(OR(AJ$4="",$A349&gt;TODAY()),0,IF(OR(INDEX($B349:$D349,AJ$5)="F",AND(AJ$6&gt;0,$A349&lt;AJ$6),AND(AJ$7&gt;0,$A349&gt;AJ$7)),0,MAX(0,ROUND((INDEX($E349:$G349,AJ$5)-SUMIFS(TF_Timer,TF_Tekniker,AJ$4,TF_Dato,$A349))*2,0)/2)))</f>
        <v/>
      </c>
      <c r="AK349">
        <f>IF(OR(AK$4="",$A349&gt;TODAY()),0,IF(OR(INDEX($B349:$D349,AK$5)="F",AND(AK$6&gt;0,$A349&lt;AK$6),AND(AK$7&gt;0,$A349&gt;AK$7)),0,MAX(0,ROUND((INDEX($E349:$G349,AK$5)-SUMIFS(TF_Timer,TF_Tekniker,AK$4,TF_Dato,$A349))*2,0)/2)))</f>
        <v/>
      </c>
      <c r="AL349">
        <f>IF(OR(AL$4="",$A349&gt;TODAY()),0,IF(OR(INDEX($B349:$D349,AL$5)="F",AND(AL$6&gt;0,$A349&lt;AL$6),AND(AL$7&gt;0,$A349&gt;AL$7)),0,MAX(0,ROUND((INDEX($E349:$G349,AL$5)-SUMIFS(TF_Timer,TF_Tekniker,AL$4,TF_Dato,$A349))*2,0)/2)))</f>
        <v/>
      </c>
      <c r="AM349">
        <f>IF(OR(AM$4="",$A349&gt;TODAY()),0,IF(OR(INDEX($B349:$D349,AM$5)="F",AND(AM$6&gt;0,$A349&lt;AM$6),AND(AM$7&gt;0,$A349&gt;AM$7)),0,MAX(0,ROUND((INDEX($E349:$G349,AM$5)-SUMIFS(TF_Timer,TF_Tekniker,AM$4,TF_Dato,$A349))*2,0)/2)))</f>
        <v/>
      </c>
      <c r="AN349">
        <f>IF(OR(AN$4="",$A349&gt;TODAY()),0,IF(OR(INDEX($B349:$D349,AN$5)="F",AND(AN$6&gt;0,$A349&lt;AN$6),AND(AN$7&gt;0,$A349&gt;AN$7)),0,MAX(0,ROUND((INDEX($E349:$G349,AN$5)-SUMIFS(TF_Timer,TF_Tekniker,AN$4,TF_Dato,$A349))*2,0)/2)))</f>
        <v/>
      </c>
      <c r="AO349">
        <f>IF(OR(AO$4="",$A349&gt;TODAY()),0,IF(OR(INDEX($B349:$D349,AO$5)="F",AND(AO$6&gt;0,$A349&lt;AO$6),AND(AO$7&gt;0,$A349&gt;AO$7)),0,MAX(0,ROUND((INDEX($E349:$G349,AO$5)-SUMIFS(TF_Timer,TF_Tekniker,AO$4,TF_Dato,$A349))*2,0)/2)))</f>
        <v/>
      </c>
      <c r="AP349">
        <f>IF(OR(AP$4="",$A349&gt;TODAY()),0,IF(OR(INDEX($B349:$D349,AP$5)="F",AND(AP$6&gt;0,$A349&lt;AP$6),AND(AP$7&gt;0,$A349&gt;AP$7)),0,MAX(0,ROUND((INDEX($E349:$G349,AP$5)-SUMIFS(TF_Timer,TF_Tekniker,AP$4,TF_Dato,$A349))*2,0)/2)))</f>
        <v/>
      </c>
      <c r="AQ349">
        <f>IF(OR(AQ$4="",$A349&gt;TODAY()),0,IF(OR(INDEX($B349:$D349,AQ$5)="F",AND(AQ$6&gt;0,$A349&lt;AQ$6),AND(AQ$7&gt;0,$A349&gt;AQ$7)),0,MAX(0,ROUND((INDEX($E349:$G349,AQ$5)-SUMIFS(TF_Timer,TF_Tekniker,AQ$4,TF_Dato,$A349))*2,0)/2)))</f>
        <v/>
      </c>
      <c r="AR349">
        <f>IF(OR(AR$4="",$A349&gt;TODAY()),0,IF(OR(INDEX($B349:$D349,AR$5)="F",AND(AR$6&gt;0,$A349&lt;AR$6),AND(AR$7&gt;0,$A349&gt;AR$7)),0,MAX(0,ROUND((INDEX($E349:$G349,AR$5)-SUMIFS(TF_Timer,TF_Tekniker,AR$4,TF_Dato,$A349))*2,0)/2)))</f>
        <v/>
      </c>
      <c r="AS349">
        <f>IF(OR(AS$4="",$A349&gt;TODAY()),0,IF(OR(INDEX($B349:$D349,AS$5)="F",AND(AS$6&gt;0,$A349&lt;AS$6),AND(AS$7&gt;0,$A349&gt;AS$7)),0,MAX(0,ROUND((INDEX($E349:$G349,AS$5)-SUMIFS(TF_Timer,TF_Tekniker,AS$4,TF_Dato,$A349))*2,0)/2)))</f>
        <v/>
      </c>
      <c r="AT349">
        <f>IF(OR(AT$4="",$A349&gt;TODAY()),0,IF(OR(INDEX($B349:$D349,AT$5)="F",AND(AT$6&gt;0,$A349&lt;AT$6),AND(AT$7&gt;0,$A349&gt;AT$7)),0,MAX(0,ROUND((INDEX($E349:$G349,AT$5)-SUMIFS(TF_Timer,TF_Tekniker,AT$4,TF_Dato,$A349))*2,0)/2)))</f>
        <v/>
      </c>
      <c r="AU349">
        <f>IF(OR(AU$4="",$A349&gt;TODAY()),0,IF(OR(INDEX($B349:$D349,AU$5)="F",AND(AU$6&gt;0,$A349&lt;AU$6),AND(AU$7&gt;0,$A349&gt;AU$7)),0,MAX(0,ROUND((INDEX($E349:$G349,AU$5)-SUMIFS(TF_Timer,TF_Tekniker,AU$4,TF_Dato,$A349))*2,0)/2)))</f>
        <v/>
      </c>
      <c r="AV349">
        <f>IF(OR(AV$4="",$A349&gt;TODAY()),0,IF(OR(INDEX($B349:$D349,AV$5)="F",AND(AV$6&gt;0,$A349&lt;AV$6),AND(AV$7&gt;0,$A349&gt;AV$7)),0,MAX(0,ROUND((INDEX($E349:$G349,AV$5)-SUMIFS(TF_Timer,TF_Tekniker,AV$4,TF_Dato,$A349))*2,0)/2)))</f>
        <v/>
      </c>
      <c r="AW349">
        <f>IF(OR(AW$4="",$A349&gt;TODAY()),0,IF(OR(INDEX($B349:$D349,AW$5)="F",AND(AW$6&gt;0,$A349&lt;AW$6),AND(AW$7&gt;0,$A349&gt;AW$7)),0,MAX(0,ROUND((INDEX($E349:$G349,AW$5)-SUMIFS(TF_Timer,TF_Tekniker,AW$4,TF_Dato,$A349))*2,0)/2)))</f>
        <v/>
      </c>
      <c r="AX349">
        <f>IF(OR(AX$4="",$A349&gt;TODAY()),0,IF(OR(INDEX($B349:$D349,AX$5)="F",AND(AX$6&gt;0,$A349&lt;AX$6),AND(AX$7&gt;0,$A349&gt;AX$7)),0,MAX(0,ROUND((INDEX($E349:$G349,AX$5)-SUMIFS(TF_Timer,TF_Tekniker,AX$4,TF_Dato,$A349))*2,0)/2)))</f>
        <v/>
      </c>
      <c r="AY349">
        <f>IF(OR(AY$4="",$A349&gt;TODAY()),0,IF(OR(INDEX($B349:$D349,AY$5)="F",AND(AY$6&gt;0,$A349&lt;AY$6),AND(AY$7&gt;0,$A349&gt;AY$7)),0,MAX(0,ROUND((INDEX($E349:$G349,AY$5)-SUMIFS(TF_Timer,TF_Tekniker,AY$4,TF_Dato,$A349))*2,0)/2)))</f>
        <v/>
      </c>
      <c r="AZ349">
        <f>IF(OR(AZ$4="",$A349&gt;TODAY()),0,IF(OR(INDEX($B349:$D349,AZ$5)="F",AND(AZ$6&gt;0,$A349&lt;AZ$6),AND(AZ$7&gt;0,$A349&gt;AZ$7)),0,MAX(0,ROUND((INDEX($E349:$G349,AZ$5)-SUMIFS(TF_Timer,TF_Tekniker,AZ$4,TF_Dato,$A349))*2,0)/2)))</f>
        <v/>
      </c>
      <c r="BA349">
        <f>IF(OR(BA$4="",$A349&gt;TODAY()),0,IF(OR(INDEX($B349:$D349,BA$5)="F",AND(BA$6&gt;0,$A349&lt;BA$6),AND(BA$7&gt;0,$A349&gt;BA$7)),0,MAX(0,ROUND((INDEX($E349:$G349,BA$5)-SUMIFS(TF_Timer,TF_Tekniker,BA$4,TF_Dato,$A349))*2,0)/2)))</f>
        <v/>
      </c>
      <c r="BB349">
        <f>IF(OR(BB$4="",$A349&gt;TODAY()),0,IF(OR(INDEX($B349:$D349,BB$5)="F",AND(BB$6&gt;0,$A349&lt;BB$6),AND(BB$7&gt;0,$A349&gt;BB$7)),0,MAX(0,ROUND((INDEX($E349:$G349,BB$5)-SUMIFS(TF_Timer,TF_Tekniker,BB$4,TF_Dato,$A349))*2,0)/2)))</f>
        <v/>
      </c>
      <c r="BC349">
        <f>IF(OR(BC$4="",$A349&gt;TODAY()),0,IF(OR(INDEX($B349:$D349,BC$5)="F",AND(BC$6&gt;0,$A349&lt;BC$6),AND(BC$7&gt;0,$A349&gt;BC$7)),0,MAX(0,ROUND((INDEX($E349:$G349,BC$5)-SUMIFS(TF_Timer,TF_Tekniker,BC$4,TF_Dato,$A349))*2,0)/2)))</f>
        <v/>
      </c>
      <c r="BD349">
        <f>IF(OR(BD$4="",$A349&gt;TODAY()),0,IF(OR(INDEX($B349:$D349,BD$5)="F",AND(BD$6&gt;0,$A349&lt;BD$6),AND(BD$7&gt;0,$A349&gt;BD$7)),0,MAX(0,ROUND((INDEX($E349:$G349,BD$5)-SUMIFS(TF_Timer,TF_Tekniker,BD$4,TF_Dato,$A349))*2,0)/2)))</f>
        <v/>
      </c>
      <c r="BE349">
        <f>IF(OR(BE$4="",$A349&gt;TODAY()),0,IF(OR(INDEX($B349:$D349,BE$5)="F",AND(BE$6&gt;0,$A349&lt;BE$6),AND(BE$7&gt;0,$A349&gt;BE$7)),0,MAX(0,ROUND((INDEX($E349:$G349,BE$5)-SUMIFS(TF_Timer,TF_Tekniker,BE$4,TF_Dato,$A349))*2,0)/2)))</f>
        <v/>
      </c>
      <c r="BF349">
        <f>IF(OR(BF$4="",$A349&gt;TODAY()),0,IF(OR(INDEX($B349:$D349,BF$5)="F",AND(BF$6&gt;0,$A349&lt;BF$6),AND(BF$7&gt;0,$A349&gt;BF$7)),0,MAX(0,ROUND((INDEX($E349:$G349,BF$5)-SUMIFS(TF_Timer,TF_Tekniker,BF$4,TF_Dato,$A349))*2,0)/2)))</f>
        <v/>
      </c>
      <c r="BG349">
        <f>IF(OR(BG$4="",$A349&gt;TODAY()),0,IF(OR(INDEX($B349:$D349,BG$5)="F",AND(BG$6&gt;0,$A349&lt;BG$6),AND(BG$7&gt;0,$A349&gt;BG$7)),0,MAX(0,ROUND((INDEX($E349:$G349,BG$5)-SUMIFS(TF_Timer,TF_Tekniker,BG$4,TF_Dato,$A349))*2,0)/2)))</f>
        <v/>
      </c>
      <c r="BH349">
        <f>IF(OR(BH$4="",$A349&gt;TODAY()),0,IF(OR(INDEX($B349:$D349,BH$5)="F",AND(BH$6&gt;0,$A349&lt;BH$6),AND(BH$7&gt;0,$A349&gt;BH$7)),0,MAX(0,ROUND((INDEX($E349:$G349,BH$5)-SUMIFS(TF_Timer,TF_Tekniker,BH$4,TF_Dato,$A349))*2,0)/2)))</f>
        <v/>
      </c>
      <c r="BI349">
        <f>IF(OR(BI$4="",$A349&gt;TODAY()),0,IF(OR(INDEX($B349:$D349,BI$5)="F",AND(BI$6&gt;0,$A349&lt;BI$6),AND(BI$7&gt;0,$A349&gt;BI$7)),0,MAX(0,ROUND((INDEX($E349:$G349,BI$5)-SUMIFS(TF_Timer,TF_Tekniker,BI$4,TF_Dato,$A349))*2,0)/2)))</f>
        <v/>
      </c>
    </row>
    <row r="350">
      <c r="A350" s="64">
        <f>A349+1</f>
        <v/>
      </c>
      <c r="B350">
        <f>IF(MOD($A350-INDEX(SkiftStart,1),Syklus)&lt;DagK,"K",IF(MOD($A350-INDEX(SkiftStart,1),Syklus)&lt;DagK+DagH,"H",IF(MOD($A350-INDEX(SkiftStart,1),Syklus)&lt;DagK+DagH+DagD,"D","F")))</f>
        <v/>
      </c>
      <c r="C350">
        <f>IF(MOD($A350-INDEX(SkiftStart,2),Syklus)&lt;DagK,"K",IF(MOD($A350-INDEX(SkiftStart,2),Syklus)&lt;DagK+DagH,"H",IF(MOD($A350-INDEX(SkiftStart,2),Syklus)&lt;DagK+DagH+DagD,"D","F")))</f>
        <v/>
      </c>
      <c r="D350">
        <f>IF(MOD($A350-INDEX(SkiftStart,3),Syklus)&lt;DagK,"K",IF(MOD($A350-INDEX(SkiftStart,3),Syklus)&lt;DagK+DagH,"H",IF(MOD($A350-INDEX(SkiftStart,3),Syklus)&lt;DagK+DagH+DagD,"D","F")))</f>
        <v/>
      </c>
      <c r="E350">
        <f>IF(B350="F",0,IF(WEEKDAY($A350,2)=5,INDEX(TimerFr,MATCH(B350,FaseKode,0)),INDEX(TimerMT,MATCH(B350,FaseKode,0))))</f>
        <v/>
      </c>
      <c r="F350">
        <f>IF(C350="F",0,IF(WEEKDAY($A350,2)=5,INDEX(TimerFr,MATCH(C350,FaseKode,0)),INDEX(TimerMT,MATCH(C350,FaseKode,0))))</f>
        <v/>
      </c>
      <c r="G350">
        <f>IF(D350="F",0,IF(WEEKDAY($A350,2)=5,INDEX(TimerFr,MATCH(D350,FaseKode,0)),INDEX(TimerMT,MATCH(D350,FaseKode,0))))</f>
        <v/>
      </c>
      <c r="H350">
        <f>IF(OR(H$4="",$A350&gt;TODAY()),0,IF(OR(INDEX($B350:$D350,H$5)="F",AND(H$6&gt;0,$A350&lt;H$6),AND(H$7&gt;0,$A350&gt;H$7)),0,MAX(0,ROUND((INDEX($E350:$G350,H$5)-SUMIFS(TF_Timer,TF_Tekniker,H$4,TF_Dato,$A350))*2,0)/2)))</f>
        <v/>
      </c>
      <c r="I350">
        <f>IF(OR(I$4="",$A350&gt;TODAY()),0,IF(OR(INDEX($B350:$D350,I$5)="F",AND(I$6&gt;0,$A350&lt;I$6),AND(I$7&gt;0,$A350&gt;I$7)),0,MAX(0,ROUND((INDEX($E350:$G350,I$5)-SUMIFS(TF_Timer,TF_Tekniker,I$4,TF_Dato,$A350))*2,0)/2)))</f>
        <v/>
      </c>
      <c r="J350">
        <f>IF(OR(J$4="",$A350&gt;TODAY()),0,IF(OR(INDEX($B350:$D350,J$5)="F",AND(J$6&gt;0,$A350&lt;J$6),AND(J$7&gt;0,$A350&gt;J$7)),0,MAX(0,ROUND((INDEX($E350:$G350,J$5)-SUMIFS(TF_Timer,TF_Tekniker,J$4,TF_Dato,$A350))*2,0)/2)))</f>
        <v/>
      </c>
      <c r="K350">
        <f>IF(OR(K$4="",$A350&gt;TODAY()),0,IF(OR(INDEX($B350:$D350,K$5)="F",AND(K$6&gt;0,$A350&lt;K$6),AND(K$7&gt;0,$A350&gt;K$7)),0,MAX(0,ROUND((INDEX($E350:$G350,K$5)-SUMIFS(TF_Timer,TF_Tekniker,K$4,TF_Dato,$A350))*2,0)/2)))</f>
        <v/>
      </c>
      <c r="L350">
        <f>IF(OR(L$4="",$A350&gt;TODAY()),0,IF(OR(INDEX($B350:$D350,L$5)="F",AND(L$6&gt;0,$A350&lt;L$6),AND(L$7&gt;0,$A350&gt;L$7)),0,MAX(0,ROUND((INDEX($E350:$G350,L$5)-SUMIFS(TF_Timer,TF_Tekniker,L$4,TF_Dato,$A350))*2,0)/2)))</f>
        <v/>
      </c>
      <c r="M350">
        <f>IF(OR(M$4="",$A350&gt;TODAY()),0,IF(OR(INDEX($B350:$D350,M$5)="F",AND(M$6&gt;0,$A350&lt;M$6),AND(M$7&gt;0,$A350&gt;M$7)),0,MAX(0,ROUND((INDEX($E350:$G350,M$5)-SUMIFS(TF_Timer,TF_Tekniker,M$4,TF_Dato,$A350))*2,0)/2)))</f>
        <v/>
      </c>
      <c r="N350">
        <f>IF(OR(N$4="",$A350&gt;TODAY()),0,IF(OR(INDEX($B350:$D350,N$5)="F",AND(N$6&gt;0,$A350&lt;N$6),AND(N$7&gt;0,$A350&gt;N$7)),0,MAX(0,ROUND((INDEX($E350:$G350,N$5)-SUMIFS(TF_Timer,TF_Tekniker,N$4,TF_Dato,$A350))*2,0)/2)))</f>
        <v/>
      </c>
      <c r="O350">
        <f>IF(OR(O$4="",$A350&gt;TODAY()),0,IF(OR(INDEX($B350:$D350,O$5)="F",AND(O$6&gt;0,$A350&lt;O$6),AND(O$7&gt;0,$A350&gt;O$7)),0,MAX(0,ROUND((INDEX($E350:$G350,O$5)-SUMIFS(TF_Timer,TF_Tekniker,O$4,TF_Dato,$A350))*2,0)/2)))</f>
        <v/>
      </c>
      <c r="P350">
        <f>IF(OR(P$4="",$A350&gt;TODAY()),0,IF(OR(INDEX($B350:$D350,P$5)="F",AND(P$6&gt;0,$A350&lt;P$6),AND(P$7&gt;0,$A350&gt;P$7)),0,MAX(0,ROUND((INDEX($E350:$G350,P$5)-SUMIFS(TF_Timer,TF_Tekniker,P$4,TF_Dato,$A350))*2,0)/2)))</f>
        <v/>
      </c>
      <c r="Q350">
        <f>IF(OR(Q$4="",$A350&gt;TODAY()),0,IF(OR(INDEX($B350:$D350,Q$5)="F",AND(Q$6&gt;0,$A350&lt;Q$6),AND(Q$7&gt;0,$A350&gt;Q$7)),0,MAX(0,ROUND((INDEX($E350:$G350,Q$5)-SUMIFS(TF_Timer,TF_Tekniker,Q$4,TF_Dato,$A350))*2,0)/2)))</f>
        <v/>
      </c>
      <c r="R350">
        <f>IF(OR(R$4="",$A350&gt;TODAY()),0,IF(OR(INDEX($B350:$D350,R$5)="F",AND(R$6&gt;0,$A350&lt;R$6),AND(R$7&gt;0,$A350&gt;R$7)),0,MAX(0,ROUND((INDEX($E350:$G350,R$5)-SUMIFS(TF_Timer,TF_Tekniker,R$4,TF_Dato,$A350))*2,0)/2)))</f>
        <v/>
      </c>
      <c r="S350">
        <f>IF(OR(S$4="",$A350&gt;TODAY()),0,IF(OR(INDEX($B350:$D350,S$5)="F",AND(S$6&gt;0,$A350&lt;S$6),AND(S$7&gt;0,$A350&gt;S$7)),0,MAX(0,ROUND((INDEX($E350:$G350,S$5)-SUMIFS(TF_Timer,TF_Tekniker,S$4,TF_Dato,$A350))*2,0)/2)))</f>
        <v/>
      </c>
      <c r="T350">
        <f>IF(OR(T$4="",$A350&gt;TODAY()),0,IF(OR(INDEX($B350:$D350,T$5)="F",AND(T$6&gt;0,$A350&lt;T$6),AND(T$7&gt;0,$A350&gt;T$7)),0,MAX(0,ROUND((INDEX($E350:$G350,T$5)-SUMIFS(TF_Timer,TF_Tekniker,T$4,TF_Dato,$A350))*2,0)/2)))</f>
        <v/>
      </c>
      <c r="U350">
        <f>IF(OR(U$4="",$A350&gt;TODAY()),0,IF(OR(INDEX($B350:$D350,U$5)="F",AND(U$6&gt;0,$A350&lt;U$6),AND(U$7&gt;0,$A350&gt;U$7)),0,MAX(0,ROUND((INDEX($E350:$G350,U$5)-SUMIFS(TF_Timer,TF_Tekniker,U$4,TF_Dato,$A350))*2,0)/2)))</f>
        <v/>
      </c>
      <c r="V350">
        <f>IF(OR(V$4="",$A350&gt;TODAY()),0,IF(OR(INDEX($B350:$D350,V$5)="F",AND(V$6&gt;0,$A350&lt;V$6),AND(V$7&gt;0,$A350&gt;V$7)),0,MAX(0,ROUND((INDEX($E350:$G350,V$5)-SUMIFS(TF_Timer,TF_Tekniker,V$4,TF_Dato,$A350))*2,0)/2)))</f>
        <v/>
      </c>
      <c r="W350">
        <f>IF(OR(W$4="",$A350&gt;TODAY()),0,IF(OR(INDEX($B350:$D350,W$5)="F",AND(W$6&gt;0,$A350&lt;W$6),AND(W$7&gt;0,$A350&gt;W$7)),0,MAX(0,ROUND((INDEX($E350:$G350,W$5)-SUMIFS(TF_Timer,TF_Tekniker,W$4,TF_Dato,$A350))*2,0)/2)))</f>
        <v/>
      </c>
      <c r="X350">
        <f>IF(OR(X$4="",$A350&gt;TODAY()),0,IF(OR(INDEX($B350:$D350,X$5)="F",AND(X$6&gt;0,$A350&lt;X$6),AND(X$7&gt;0,$A350&gt;X$7)),0,MAX(0,ROUND((INDEX($E350:$G350,X$5)-SUMIFS(TF_Timer,TF_Tekniker,X$4,TF_Dato,$A350))*2,0)/2)))</f>
        <v/>
      </c>
      <c r="Y350">
        <f>IF(OR(Y$4="",$A350&gt;TODAY()),0,IF(OR(INDEX($B350:$D350,Y$5)="F",AND(Y$6&gt;0,$A350&lt;Y$6),AND(Y$7&gt;0,$A350&gt;Y$7)),0,MAX(0,ROUND((INDEX($E350:$G350,Y$5)-SUMIFS(TF_Timer,TF_Tekniker,Y$4,TF_Dato,$A350))*2,0)/2)))</f>
        <v/>
      </c>
      <c r="Z350">
        <f>IF(OR(Z$4="",$A350&gt;TODAY()),0,IF(OR(INDEX($B350:$D350,Z$5)="F",AND(Z$6&gt;0,$A350&lt;Z$6),AND(Z$7&gt;0,$A350&gt;Z$7)),0,MAX(0,ROUND((INDEX($E350:$G350,Z$5)-SUMIFS(TF_Timer,TF_Tekniker,Z$4,TF_Dato,$A350))*2,0)/2)))</f>
        <v/>
      </c>
      <c r="AA350">
        <f>IF(OR(AA$4="",$A350&gt;TODAY()),0,IF(OR(INDEX($B350:$D350,AA$5)="F",AND(AA$6&gt;0,$A350&lt;AA$6),AND(AA$7&gt;0,$A350&gt;AA$7)),0,MAX(0,ROUND((INDEX($E350:$G350,AA$5)-SUMIFS(TF_Timer,TF_Tekniker,AA$4,TF_Dato,$A350))*2,0)/2)))</f>
        <v/>
      </c>
      <c r="AB350">
        <f>IF(OR(AB$4="",$A350&gt;TODAY()),0,IF(OR(INDEX($B350:$D350,AB$5)="F",AND(AB$6&gt;0,$A350&lt;AB$6),AND(AB$7&gt;0,$A350&gt;AB$7)),0,MAX(0,ROUND((INDEX($E350:$G350,AB$5)-SUMIFS(TF_Timer,TF_Tekniker,AB$4,TF_Dato,$A350))*2,0)/2)))</f>
        <v/>
      </c>
      <c r="AC350">
        <f>IF(OR(AC$4="",$A350&gt;TODAY()),0,IF(OR(INDEX($B350:$D350,AC$5)="F",AND(AC$6&gt;0,$A350&lt;AC$6),AND(AC$7&gt;0,$A350&gt;AC$7)),0,MAX(0,ROUND((INDEX($E350:$G350,AC$5)-SUMIFS(TF_Timer,TF_Tekniker,AC$4,TF_Dato,$A350))*2,0)/2)))</f>
        <v/>
      </c>
      <c r="AD350">
        <f>IF(OR(AD$4="",$A350&gt;TODAY()),0,IF(OR(INDEX($B350:$D350,AD$5)="F",AND(AD$6&gt;0,$A350&lt;AD$6),AND(AD$7&gt;0,$A350&gt;AD$7)),0,MAX(0,ROUND((INDEX($E350:$G350,AD$5)-SUMIFS(TF_Timer,TF_Tekniker,AD$4,TF_Dato,$A350))*2,0)/2)))</f>
        <v/>
      </c>
      <c r="AE350">
        <f>IF(OR(AE$4="",$A350&gt;TODAY()),0,IF(OR(INDEX($B350:$D350,AE$5)="F",AND(AE$6&gt;0,$A350&lt;AE$6),AND(AE$7&gt;0,$A350&gt;AE$7)),0,MAX(0,ROUND((INDEX($E350:$G350,AE$5)-SUMIFS(TF_Timer,TF_Tekniker,AE$4,TF_Dato,$A350))*2,0)/2)))</f>
        <v/>
      </c>
      <c r="AF350">
        <f>IF(OR(AF$4="",$A350&gt;TODAY()),0,IF(OR(INDEX($B350:$D350,AF$5)="F",AND(AF$6&gt;0,$A350&lt;AF$6),AND(AF$7&gt;0,$A350&gt;AF$7)),0,MAX(0,ROUND((INDEX($E350:$G350,AF$5)-SUMIFS(TF_Timer,TF_Tekniker,AF$4,TF_Dato,$A350))*2,0)/2)))</f>
        <v/>
      </c>
      <c r="AG350">
        <f>IF(OR(AG$4="",$A350&gt;TODAY()),0,IF(OR(INDEX($B350:$D350,AG$5)="F",AND(AG$6&gt;0,$A350&lt;AG$6),AND(AG$7&gt;0,$A350&gt;AG$7)),0,MAX(0,ROUND((INDEX($E350:$G350,AG$5)-SUMIFS(TF_Timer,TF_Tekniker,AG$4,TF_Dato,$A350))*2,0)/2)))</f>
        <v/>
      </c>
      <c r="AH350">
        <f>IF(OR(AH$4="",$A350&gt;TODAY()),0,IF(OR(INDEX($B350:$D350,AH$5)="F",AND(AH$6&gt;0,$A350&lt;AH$6),AND(AH$7&gt;0,$A350&gt;AH$7)),0,MAX(0,ROUND((INDEX($E350:$G350,AH$5)-SUMIFS(TF_Timer,TF_Tekniker,AH$4,TF_Dato,$A350))*2,0)/2)))</f>
        <v/>
      </c>
      <c r="AI350">
        <f>IF(OR(AI$4="",$A350&gt;TODAY()),0,IF(OR(INDEX($B350:$D350,AI$5)="F",AND(AI$6&gt;0,$A350&lt;AI$6),AND(AI$7&gt;0,$A350&gt;AI$7)),0,MAX(0,ROUND((INDEX($E350:$G350,AI$5)-SUMIFS(TF_Timer,TF_Tekniker,AI$4,TF_Dato,$A350))*2,0)/2)))</f>
        <v/>
      </c>
      <c r="AJ350">
        <f>IF(OR(AJ$4="",$A350&gt;TODAY()),0,IF(OR(INDEX($B350:$D350,AJ$5)="F",AND(AJ$6&gt;0,$A350&lt;AJ$6),AND(AJ$7&gt;0,$A350&gt;AJ$7)),0,MAX(0,ROUND((INDEX($E350:$G350,AJ$5)-SUMIFS(TF_Timer,TF_Tekniker,AJ$4,TF_Dato,$A350))*2,0)/2)))</f>
        <v/>
      </c>
      <c r="AK350">
        <f>IF(OR(AK$4="",$A350&gt;TODAY()),0,IF(OR(INDEX($B350:$D350,AK$5)="F",AND(AK$6&gt;0,$A350&lt;AK$6),AND(AK$7&gt;0,$A350&gt;AK$7)),0,MAX(0,ROUND((INDEX($E350:$G350,AK$5)-SUMIFS(TF_Timer,TF_Tekniker,AK$4,TF_Dato,$A350))*2,0)/2)))</f>
        <v/>
      </c>
      <c r="AL350">
        <f>IF(OR(AL$4="",$A350&gt;TODAY()),0,IF(OR(INDEX($B350:$D350,AL$5)="F",AND(AL$6&gt;0,$A350&lt;AL$6),AND(AL$7&gt;0,$A350&gt;AL$7)),0,MAX(0,ROUND((INDEX($E350:$G350,AL$5)-SUMIFS(TF_Timer,TF_Tekniker,AL$4,TF_Dato,$A350))*2,0)/2)))</f>
        <v/>
      </c>
      <c r="AM350">
        <f>IF(OR(AM$4="",$A350&gt;TODAY()),0,IF(OR(INDEX($B350:$D350,AM$5)="F",AND(AM$6&gt;0,$A350&lt;AM$6),AND(AM$7&gt;0,$A350&gt;AM$7)),0,MAX(0,ROUND((INDEX($E350:$G350,AM$5)-SUMIFS(TF_Timer,TF_Tekniker,AM$4,TF_Dato,$A350))*2,0)/2)))</f>
        <v/>
      </c>
      <c r="AN350">
        <f>IF(OR(AN$4="",$A350&gt;TODAY()),0,IF(OR(INDEX($B350:$D350,AN$5)="F",AND(AN$6&gt;0,$A350&lt;AN$6),AND(AN$7&gt;0,$A350&gt;AN$7)),0,MAX(0,ROUND((INDEX($E350:$G350,AN$5)-SUMIFS(TF_Timer,TF_Tekniker,AN$4,TF_Dato,$A350))*2,0)/2)))</f>
        <v/>
      </c>
      <c r="AO350">
        <f>IF(OR(AO$4="",$A350&gt;TODAY()),0,IF(OR(INDEX($B350:$D350,AO$5)="F",AND(AO$6&gt;0,$A350&lt;AO$6),AND(AO$7&gt;0,$A350&gt;AO$7)),0,MAX(0,ROUND((INDEX($E350:$G350,AO$5)-SUMIFS(TF_Timer,TF_Tekniker,AO$4,TF_Dato,$A350))*2,0)/2)))</f>
        <v/>
      </c>
      <c r="AP350">
        <f>IF(OR(AP$4="",$A350&gt;TODAY()),0,IF(OR(INDEX($B350:$D350,AP$5)="F",AND(AP$6&gt;0,$A350&lt;AP$6),AND(AP$7&gt;0,$A350&gt;AP$7)),0,MAX(0,ROUND((INDEX($E350:$G350,AP$5)-SUMIFS(TF_Timer,TF_Tekniker,AP$4,TF_Dato,$A350))*2,0)/2)))</f>
        <v/>
      </c>
      <c r="AQ350">
        <f>IF(OR(AQ$4="",$A350&gt;TODAY()),0,IF(OR(INDEX($B350:$D350,AQ$5)="F",AND(AQ$6&gt;0,$A350&lt;AQ$6),AND(AQ$7&gt;0,$A350&gt;AQ$7)),0,MAX(0,ROUND((INDEX($E350:$G350,AQ$5)-SUMIFS(TF_Timer,TF_Tekniker,AQ$4,TF_Dato,$A350))*2,0)/2)))</f>
        <v/>
      </c>
      <c r="AR350">
        <f>IF(OR(AR$4="",$A350&gt;TODAY()),0,IF(OR(INDEX($B350:$D350,AR$5)="F",AND(AR$6&gt;0,$A350&lt;AR$6),AND(AR$7&gt;0,$A350&gt;AR$7)),0,MAX(0,ROUND((INDEX($E350:$G350,AR$5)-SUMIFS(TF_Timer,TF_Tekniker,AR$4,TF_Dato,$A350))*2,0)/2)))</f>
        <v/>
      </c>
      <c r="AS350">
        <f>IF(OR(AS$4="",$A350&gt;TODAY()),0,IF(OR(INDEX($B350:$D350,AS$5)="F",AND(AS$6&gt;0,$A350&lt;AS$6),AND(AS$7&gt;0,$A350&gt;AS$7)),0,MAX(0,ROUND((INDEX($E350:$G350,AS$5)-SUMIFS(TF_Timer,TF_Tekniker,AS$4,TF_Dato,$A350))*2,0)/2)))</f>
        <v/>
      </c>
      <c r="AT350">
        <f>IF(OR(AT$4="",$A350&gt;TODAY()),0,IF(OR(INDEX($B350:$D350,AT$5)="F",AND(AT$6&gt;0,$A350&lt;AT$6),AND(AT$7&gt;0,$A350&gt;AT$7)),0,MAX(0,ROUND((INDEX($E350:$G350,AT$5)-SUMIFS(TF_Timer,TF_Tekniker,AT$4,TF_Dato,$A350))*2,0)/2)))</f>
        <v/>
      </c>
      <c r="AU350">
        <f>IF(OR(AU$4="",$A350&gt;TODAY()),0,IF(OR(INDEX($B350:$D350,AU$5)="F",AND(AU$6&gt;0,$A350&lt;AU$6),AND(AU$7&gt;0,$A350&gt;AU$7)),0,MAX(0,ROUND((INDEX($E350:$G350,AU$5)-SUMIFS(TF_Timer,TF_Tekniker,AU$4,TF_Dato,$A350))*2,0)/2)))</f>
        <v/>
      </c>
      <c r="AV350">
        <f>IF(OR(AV$4="",$A350&gt;TODAY()),0,IF(OR(INDEX($B350:$D350,AV$5)="F",AND(AV$6&gt;0,$A350&lt;AV$6),AND(AV$7&gt;0,$A350&gt;AV$7)),0,MAX(0,ROUND((INDEX($E350:$G350,AV$5)-SUMIFS(TF_Timer,TF_Tekniker,AV$4,TF_Dato,$A350))*2,0)/2)))</f>
        <v/>
      </c>
      <c r="AW350">
        <f>IF(OR(AW$4="",$A350&gt;TODAY()),0,IF(OR(INDEX($B350:$D350,AW$5)="F",AND(AW$6&gt;0,$A350&lt;AW$6),AND(AW$7&gt;0,$A350&gt;AW$7)),0,MAX(0,ROUND((INDEX($E350:$G350,AW$5)-SUMIFS(TF_Timer,TF_Tekniker,AW$4,TF_Dato,$A350))*2,0)/2)))</f>
        <v/>
      </c>
      <c r="AX350">
        <f>IF(OR(AX$4="",$A350&gt;TODAY()),0,IF(OR(INDEX($B350:$D350,AX$5)="F",AND(AX$6&gt;0,$A350&lt;AX$6),AND(AX$7&gt;0,$A350&gt;AX$7)),0,MAX(0,ROUND((INDEX($E350:$G350,AX$5)-SUMIFS(TF_Timer,TF_Tekniker,AX$4,TF_Dato,$A350))*2,0)/2)))</f>
        <v/>
      </c>
      <c r="AY350">
        <f>IF(OR(AY$4="",$A350&gt;TODAY()),0,IF(OR(INDEX($B350:$D350,AY$5)="F",AND(AY$6&gt;0,$A350&lt;AY$6),AND(AY$7&gt;0,$A350&gt;AY$7)),0,MAX(0,ROUND((INDEX($E350:$G350,AY$5)-SUMIFS(TF_Timer,TF_Tekniker,AY$4,TF_Dato,$A350))*2,0)/2)))</f>
        <v/>
      </c>
      <c r="AZ350">
        <f>IF(OR(AZ$4="",$A350&gt;TODAY()),0,IF(OR(INDEX($B350:$D350,AZ$5)="F",AND(AZ$6&gt;0,$A350&lt;AZ$6),AND(AZ$7&gt;0,$A350&gt;AZ$7)),0,MAX(0,ROUND((INDEX($E350:$G350,AZ$5)-SUMIFS(TF_Timer,TF_Tekniker,AZ$4,TF_Dato,$A350))*2,0)/2)))</f>
        <v/>
      </c>
      <c r="BA350">
        <f>IF(OR(BA$4="",$A350&gt;TODAY()),0,IF(OR(INDEX($B350:$D350,BA$5)="F",AND(BA$6&gt;0,$A350&lt;BA$6),AND(BA$7&gt;0,$A350&gt;BA$7)),0,MAX(0,ROUND((INDEX($E350:$G350,BA$5)-SUMIFS(TF_Timer,TF_Tekniker,BA$4,TF_Dato,$A350))*2,0)/2)))</f>
        <v/>
      </c>
      <c r="BB350">
        <f>IF(OR(BB$4="",$A350&gt;TODAY()),0,IF(OR(INDEX($B350:$D350,BB$5)="F",AND(BB$6&gt;0,$A350&lt;BB$6),AND(BB$7&gt;0,$A350&gt;BB$7)),0,MAX(0,ROUND((INDEX($E350:$G350,BB$5)-SUMIFS(TF_Timer,TF_Tekniker,BB$4,TF_Dato,$A350))*2,0)/2)))</f>
        <v/>
      </c>
      <c r="BC350">
        <f>IF(OR(BC$4="",$A350&gt;TODAY()),0,IF(OR(INDEX($B350:$D350,BC$5)="F",AND(BC$6&gt;0,$A350&lt;BC$6),AND(BC$7&gt;0,$A350&gt;BC$7)),0,MAX(0,ROUND((INDEX($E350:$G350,BC$5)-SUMIFS(TF_Timer,TF_Tekniker,BC$4,TF_Dato,$A350))*2,0)/2)))</f>
        <v/>
      </c>
      <c r="BD350">
        <f>IF(OR(BD$4="",$A350&gt;TODAY()),0,IF(OR(INDEX($B350:$D350,BD$5)="F",AND(BD$6&gt;0,$A350&lt;BD$6),AND(BD$7&gt;0,$A350&gt;BD$7)),0,MAX(0,ROUND((INDEX($E350:$G350,BD$5)-SUMIFS(TF_Timer,TF_Tekniker,BD$4,TF_Dato,$A350))*2,0)/2)))</f>
        <v/>
      </c>
      <c r="BE350">
        <f>IF(OR(BE$4="",$A350&gt;TODAY()),0,IF(OR(INDEX($B350:$D350,BE$5)="F",AND(BE$6&gt;0,$A350&lt;BE$6),AND(BE$7&gt;0,$A350&gt;BE$7)),0,MAX(0,ROUND((INDEX($E350:$G350,BE$5)-SUMIFS(TF_Timer,TF_Tekniker,BE$4,TF_Dato,$A350))*2,0)/2)))</f>
        <v/>
      </c>
      <c r="BF350">
        <f>IF(OR(BF$4="",$A350&gt;TODAY()),0,IF(OR(INDEX($B350:$D350,BF$5)="F",AND(BF$6&gt;0,$A350&lt;BF$6),AND(BF$7&gt;0,$A350&gt;BF$7)),0,MAX(0,ROUND((INDEX($E350:$G350,BF$5)-SUMIFS(TF_Timer,TF_Tekniker,BF$4,TF_Dato,$A350))*2,0)/2)))</f>
        <v/>
      </c>
      <c r="BG350">
        <f>IF(OR(BG$4="",$A350&gt;TODAY()),0,IF(OR(INDEX($B350:$D350,BG$5)="F",AND(BG$6&gt;0,$A350&lt;BG$6),AND(BG$7&gt;0,$A350&gt;BG$7)),0,MAX(0,ROUND((INDEX($E350:$G350,BG$5)-SUMIFS(TF_Timer,TF_Tekniker,BG$4,TF_Dato,$A350))*2,0)/2)))</f>
        <v/>
      </c>
      <c r="BH350">
        <f>IF(OR(BH$4="",$A350&gt;TODAY()),0,IF(OR(INDEX($B350:$D350,BH$5)="F",AND(BH$6&gt;0,$A350&lt;BH$6),AND(BH$7&gt;0,$A350&gt;BH$7)),0,MAX(0,ROUND((INDEX($E350:$G350,BH$5)-SUMIFS(TF_Timer,TF_Tekniker,BH$4,TF_Dato,$A350))*2,0)/2)))</f>
        <v/>
      </c>
      <c r="BI350">
        <f>IF(OR(BI$4="",$A350&gt;TODAY()),0,IF(OR(INDEX($B350:$D350,BI$5)="F",AND(BI$6&gt;0,$A350&lt;BI$6),AND(BI$7&gt;0,$A350&gt;BI$7)),0,MAX(0,ROUND((INDEX($E350:$G350,BI$5)-SUMIFS(TF_Timer,TF_Tekniker,BI$4,TF_Dato,$A350))*2,0)/2)))</f>
        <v/>
      </c>
    </row>
    <row r="351">
      <c r="A351" s="64">
        <f>A350+1</f>
        <v/>
      </c>
      <c r="B351">
        <f>IF(MOD($A351-INDEX(SkiftStart,1),Syklus)&lt;DagK,"K",IF(MOD($A351-INDEX(SkiftStart,1),Syklus)&lt;DagK+DagH,"H",IF(MOD($A351-INDEX(SkiftStart,1),Syklus)&lt;DagK+DagH+DagD,"D","F")))</f>
        <v/>
      </c>
      <c r="C351">
        <f>IF(MOD($A351-INDEX(SkiftStart,2),Syklus)&lt;DagK,"K",IF(MOD($A351-INDEX(SkiftStart,2),Syklus)&lt;DagK+DagH,"H",IF(MOD($A351-INDEX(SkiftStart,2),Syklus)&lt;DagK+DagH+DagD,"D","F")))</f>
        <v/>
      </c>
      <c r="D351">
        <f>IF(MOD($A351-INDEX(SkiftStart,3),Syklus)&lt;DagK,"K",IF(MOD($A351-INDEX(SkiftStart,3),Syklus)&lt;DagK+DagH,"H",IF(MOD($A351-INDEX(SkiftStart,3),Syklus)&lt;DagK+DagH+DagD,"D","F")))</f>
        <v/>
      </c>
      <c r="E351">
        <f>IF(B351="F",0,IF(WEEKDAY($A351,2)=5,INDEX(TimerFr,MATCH(B351,FaseKode,0)),INDEX(TimerMT,MATCH(B351,FaseKode,0))))</f>
        <v/>
      </c>
      <c r="F351">
        <f>IF(C351="F",0,IF(WEEKDAY($A351,2)=5,INDEX(TimerFr,MATCH(C351,FaseKode,0)),INDEX(TimerMT,MATCH(C351,FaseKode,0))))</f>
        <v/>
      </c>
      <c r="G351">
        <f>IF(D351="F",0,IF(WEEKDAY($A351,2)=5,INDEX(TimerFr,MATCH(D351,FaseKode,0)),INDEX(TimerMT,MATCH(D351,FaseKode,0))))</f>
        <v/>
      </c>
      <c r="H351">
        <f>IF(OR(H$4="",$A351&gt;TODAY()),0,IF(OR(INDEX($B351:$D351,H$5)="F",AND(H$6&gt;0,$A351&lt;H$6),AND(H$7&gt;0,$A351&gt;H$7)),0,MAX(0,ROUND((INDEX($E351:$G351,H$5)-SUMIFS(TF_Timer,TF_Tekniker,H$4,TF_Dato,$A351))*2,0)/2)))</f>
        <v/>
      </c>
      <c r="I351">
        <f>IF(OR(I$4="",$A351&gt;TODAY()),0,IF(OR(INDEX($B351:$D351,I$5)="F",AND(I$6&gt;0,$A351&lt;I$6),AND(I$7&gt;0,$A351&gt;I$7)),0,MAX(0,ROUND((INDEX($E351:$G351,I$5)-SUMIFS(TF_Timer,TF_Tekniker,I$4,TF_Dato,$A351))*2,0)/2)))</f>
        <v/>
      </c>
      <c r="J351">
        <f>IF(OR(J$4="",$A351&gt;TODAY()),0,IF(OR(INDEX($B351:$D351,J$5)="F",AND(J$6&gt;0,$A351&lt;J$6),AND(J$7&gt;0,$A351&gt;J$7)),0,MAX(0,ROUND((INDEX($E351:$G351,J$5)-SUMIFS(TF_Timer,TF_Tekniker,J$4,TF_Dato,$A351))*2,0)/2)))</f>
        <v/>
      </c>
      <c r="K351">
        <f>IF(OR(K$4="",$A351&gt;TODAY()),0,IF(OR(INDEX($B351:$D351,K$5)="F",AND(K$6&gt;0,$A351&lt;K$6),AND(K$7&gt;0,$A351&gt;K$7)),0,MAX(0,ROUND((INDEX($E351:$G351,K$5)-SUMIFS(TF_Timer,TF_Tekniker,K$4,TF_Dato,$A351))*2,0)/2)))</f>
        <v/>
      </c>
      <c r="L351">
        <f>IF(OR(L$4="",$A351&gt;TODAY()),0,IF(OR(INDEX($B351:$D351,L$5)="F",AND(L$6&gt;0,$A351&lt;L$6),AND(L$7&gt;0,$A351&gt;L$7)),0,MAX(0,ROUND((INDEX($E351:$G351,L$5)-SUMIFS(TF_Timer,TF_Tekniker,L$4,TF_Dato,$A351))*2,0)/2)))</f>
        <v/>
      </c>
      <c r="M351">
        <f>IF(OR(M$4="",$A351&gt;TODAY()),0,IF(OR(INDEX($B351:$D351,M$5)="F",AND(M$6&gt;0,$A351&lt;M$6),AND(M$7&gt;0,$A351&gt;M$7)),0,MAX(0,ROUND((INDEX($E351:$G351,M$5)-SUMIFS(TF_Timer,TF_Tekniker,M$4,TF_Dato,$A351))*2,0)/2)))</f>
        <v/>
      </c>
      <c r="N351">
        <f>IF(OR(N$4="",$A351&gt;TODAY()),0,IF(OR(INDEX($B351:$D351,N$5)="F",AND(N$6&gt;0,$A351&lt;N$6),AND(N$7&gt;0,$A351&gt;N$7)),0,MAX(0,ROUND((INDEX($E351:$G351,N$5)-SUMIFS(TF_Timer,TF_Tekniker,N$4,TF_Dato,$A351))*2,0)/2)))</f>
        <v/>
      </c>
      <c r="O351">
        <f>IF(OR(O$4="",$A351&gt;TODAY()),0,IF(OR(INDEX($B351:$D351,O$5)="F",AND(O$6&gt;0,$A351&lt;O$6),AND(O$7&gt;0,$A351&gt;O$7)),0,MAX(0,ROUND((INDEX($E351:$G351,O$5)-SUMIFS(TF_Timer,TF_Tekniker,O$4,TF_Dato,$A351))*2,0)/2)))</f>
        <v/>
      </c>
      <c r="P351">
        <f>IF(OR(P$4="",$A351&gt;TODAY()),0,IF(OR(INDEX($B351:$D351,P$5)="F",AND(P$6&gt;0,$A351&lt;P$6),AND(P$7&gt;0,$A351&gt;P$7)),0,MAX(0,ROUND((INDEX($E351:$G351,P$5)-SUMIFS(TF_Timer,TF_Tekniker,P$4,TF_Dato,$A351))*2,0)/2)))</f>
        <v/>
      </c>
      <c r="Q351">
        <f>IF(OR(Q$4="",$A351&gt;TODAY()),0,IF(OR(INDEX($B351:$D351,Q$5)="F",AND(Q$6&gt;0,$A351&lt;Q$6),AND(Q$7&gt;0,$A351&gt;Q$7)),0,MAX(0,ROUND((INDEX($E351:$G351,Q$5)-SUMIFS(TF_Timer,TF_Tekniker,Q$4,TF_Dato,$A351))*2,0)/2)))</f>
        <v/>
      </c>
      <c r="R351">
        <f>IF(OR(R$4="",$A351&gt;TODAY()),0,IF(OR(INDEX($B351:$D351,R$5)="F",AND(R$6&gt;0,$A351&lt;R$6),AND(R$7&gt;0,$A351&gt;R$7)),0,MAX(0,ROUND((INDEX($E351:$G351,R$5)-SUMIFS(TF_Timer,TF_Tekniker,R$4,TF_Dato,$A351))*2,0)/2)))</f>
        <v/>
      </c>
      <c r="S351">
        <f>IF(OR(S$4="",$A351&gt;TODAY()),0,IF(OR(INDEX($B351:$D351,S$5)="F",AND(S$6&gt;0,$A351&lt;S$6),AND(S$7&gt;0,$A351&gt;S$7)),0,MAX(0,ROUND((INDEX($E351:$G351,S$5)-SUMIFS(TF_Timer,TF_Tekniker,S$4,TF_Dato,$A351))*2,0)/2)))</f>
        <v/>
      </c>
      <c r="T351">
        <f>IF(OR(T$4="",$A351&gt;TODAY()),0,IF(OR(INDEX($B351:$D351,T$5)="F",AND(T$6&gt;0,$A351&lt;T$6),AND(T$7&gt;0,$A351&gt;T$7)),0,MAX(0,ROUND((INDEX($E351:$G351,T$5)-SUMIFS(TF_Timer,TF_Tekniker,T$4,TF_Dato,$A351))*2,0)/2)))</f>
        <v/>
      </c>
      <c r="U351">
        <f>IF(OR(U$4="",$A351&gt;TODAY()),0,IF(OR(INDEX($B351:$D351,U$5)="F",AND(U$6&gt;0,$A351&lt;U$6),AND(U$7&gt;0,$A351&gt;U$7)),0,MAX(0,ROUND((INDEX($E351:$G351,U$5)-SUMIFS(TF_Timer,TF_Tekniker,U$4,TF_Dato,$A351))*2,0)/2)))</f>
        <v/>
      </c>
      <c r="V351">
        <f>IF(OR(V$4="",$A351&gt;TODAY()),0,IF(OR(INDEX($B351:$D351,V$5)="F",AND(V$6&gt;0,$A351&lt;V$6),AND(V$7&gt;0,$A351&gt;V$7)),0,MAX(0,ROUND((INDEX($E351:$G351,V$5)-SUMIFS(TF_Timer,TF_Tekniker,V$4,TF_Dato,$A351))*2,0)/2)))</f>
        <v/>
      </c>
      <c r="W351">
        <f>IF(OR(W$4="",$A351&gt;TODAY()),0,IF(OR(INDEX($B351:$D351,W$5)="F",AND(W$6&gt;0,$A351&lt;W$6),AND(W$7&gt;0,$A351&gt;W$7)),0,MAX(0,ROUND((INDEX($E351:$G351,W$5)-SUMIFS(TF_Timer,TF_Tekniker,W$4,TF_Dato,$A351))*2,0)/2)))</f>
        <v/>
      </c>
      <c r="X351">
        <f>IF(OR(X$4="",$A351&gt;TODAY()),0,IF(OR(INDEX($B351:$D351,X$5)="F",AND(X$6&gt;0,$A351&lt;X$6),AND(X$7&gt;0,$A351&gt;X$7)),0,MAX(0,ROUND((INDEX($E351:$G351,X$5)-SUMIFS(TF_Timer,TF_Tekniker,X$4,TF_Dato,$A351))*2,0)/2)))</f>
        <v/>
      </c>
      <c r="Y351">
        <f>IF(OR(Y$4="",$A351&gt;TODAY()),0,IF(OR(INDEX($B351:$D351,Y$5)="F",AND(Y$6&gt;0,$A351&lt;Y$6),AND(Y$7&gt;0,$A351&gt;Y$7)),0,MAX(0,ROUND((INDEX($E351:$G351,Y$5)-SUMIFS(TF_Timer,TF_Tekniker,Y$4,TF_Dato,$A351))*2,0)/2)))</f>
        <v/>
      </c>
      <c r="Z351">
        <f>IF(OR(Z$4="",$A351&gt;TODAY()),0,IF(OR(INDEX($B351:$D351,Z$5)="F",AND(Z$6&gt;0,$A351&lt;Z$6),AND(Z$7&gt;0,$A351&gt;Z$7)),0,MAX(0,ROUND((INDEX($E351:$G351,Z$5)-SUMIFS(TF_Timer,TF_Tekniker,Z$4,TF_Dato,$A351))*2,0)/2)))</f>
        <v/>
      </c>
      <c r="AA351">
        <f>IF(OR(AA$4="",$A351&gt;TODAY()),0,IF(OR(INDEX($B351:$D351,AA$5)="F",AND(AA$6&gt;0,$A351&lt;AA$6),AND(AA$7&gt;0,$A351&gt;AA$7)),0,MAX(0,ROUND((INDEX($E351:$G351,AA$5)-SUMIFS(TF_Timer,TF_Tekniker,AA$4,TF_Dato,$A351))*2,0)/2)))</f>
        <v/>
      </c>
      <c r="AB351">
        <f>IF(OR(AB$4="",$A351&gt;TODAY()),0,IF(OR(INDEX($B351:$D351,AB$5)="F",AND(AB$6&gt;0,$A351&lt;AB$6),AND(AB$7&gt;0,$A351&gt;AB$7)),0,MAX(0,ROUND((INDEX($E351:$G351,AB$5)-SUMIFS(TF_Timer,TF_Tekniker,AB$4,TF_Dato,$A351))*2,0)/2)))</f>
        <v/>
      </c>
      <c r="AC351">
        <f>IF(OR(AC$4="",$A351&gt;TODAY()),0,IF(OR(INDEX($B351:$D351,AC$5)="F",AND(AC$6&gt;0,$A351&lt;AC$6),AND(AC$7&gt;0,$A351&gt;AC$7)),0,MAX(0,ROUND((INDEX($E351:$G351,AC$5)-SUMIFS(TF_Timer,TF_Tekniker,AC$4,TF_Dato,$A351))*2,0)/2)))</f>
        <v/>
      </c>
      <c r="AD351">
        <f>IF(OR(AD$4="",$A351&gt;TODAY()),0,IF(OR(INDEX($B351:$D351,AD$5)="F",AND(AD$6&gt;0,$A351&lt;AD$6),AND(AD$7&gt;0,$A351&gt;AD$7)),0,MAX(0,ROUND((INDEX($E351:$G351,AD$5)-SUMIFS(TF_Timer,TF_Tekniker,AD$4,TF_Dato,$A351))*2,0)/2)))</f>
        <v/>
      </c>
      <c r="AE351">
        <f>IF(OR(AE$4="",$A351&gt;TODAY()),0,IF(OR(INDEX($B351:$D351,AE$5)="F",AND(AE$6&gt;0,$A351&lt;AE$6),AND(AE$7&gt;0,$A351&gt;AE$7)),0,MAX(0,ROUND((INDEX($E351:$G351,AE$5)-SUMIFS(TF_Timer,TF_Tekniker,AE$4,TF_Dato,$A351))*2,0)/2)))</f>
        <v/>
      </c>
      <c r="AF351">
        <f>IF(OR(AF$4="",$A351&gt;TODAY()),0,IF(OR(INDEX($B351:$D351,AF$5)="F",AND(AF$6&gt;0,$A351&lt;AF$6),AND(AF$7&gt;0,$A351&gt;AF$7)),0,MAX(0,ROUND((INDEX($E351:$G351,AF$5)-SUMIFS(TF_Timer,TF_Tekniker,AF$4,TF_Dato,$A351))*2,0)/2)))</f>
        <v/>
      </c>
      <c r="AG351">
        <f>IF(OR(AG$4="",$A351&gt;TODAY()),0,IF(OR(INDEX($B351:$D351,AG$5)="F",AND(AG$6&gt;0,$A351&lt;AG$6),AND(AG$7&gt;0,$A351&gt;AG$7)),0,MAX(0,ROUND((INDEX($E351:$G351,AG$5)-SUMIFS(TF_Timer,TF_Tekniker,AG$4,TF_Dato,$A351))*2,0)/2)))</f>
        <v/>
      </c>
      <c r="AH351">
        <f>IF(OR(AH$4="",$A351&gt;TODAY()),0,IF(OR(INDEX($B351:$D351,AH$5)="F",AND(AH$6&gt;0,$A351&lt;AH$6),AND(AH$7&gt;0,$A351&gt;AH$7)),0,MAX(0,ROUND((INDEX($E351:$G351,AH$5)-SUMIFS(TF_Timer,TF_Tekniker,AH$4,TF_Dato,$A351))*2,0)/2)))</f>
        <v/>
      </c>
      <c r="AI351">
        <f>IF(OR(AI$4="",$A351&gt;TODAY()),0,IF(OR(INDEX($B351:$D351,AI$5)="F",AND(AI$6&gt;0,$A351&lt;AI$6),AND(AI$7&gt;0,$A351&gt;AI$7)),0,MAX(0,ROUND((INDEX($E351:$G351,AI$5)-SUMIFS(TF_Timer,TF_Tekniker,AI$4,TF_Dato,$A351))*2,0)/2)))</f>
        <v/>
      </c>
      <c r="AJ351">
        <f>IF(OR(AJ$4="",$A351&gt;TODAY()),0,IF(OR(INDEX($B351:$D351,AJ$5)="F",AND(AJ$6&gt;0,$A351&lt;AJ$6),AND(AJ$7&gt;0,$A351&gt;AJ$7)),0,MAX(0,ROUND((INDEX($E351:$G351,AJ$5)-SUMIFS(TF_Timer,TF_Tekniker,AJ$4,TF_Dato,$A351))*2,0)/2)))</f>
        <v/>
      </c>
      <c r="AK351">
        <f>IF(OR(AK$4="",$A351&gt;TODAY()),0,IF(OR(INDEX($B351:$D351,AK$5)="F",AND(AK$6&gt;0,$A351&lt;AK$6),AND(AK$7&gt;0,$A351&gt;AK$7)),0,MAX(0,ROUND((INDEX($E351:$G351,AK$5)-SUMIFS(TF_Timer,TF_Tekniker,AK$4,TF_Dato,$A351))*2,0)/2)))</f>
        <v/>
      </c>
      <c r="AL351">
        <f>IF(OR(AL$4="",$A351&gt;TODAY()),0,IF(OR(INDEX($B351:$D351,AL$5)="F",AND(AL$6&gt;0,$A351&lt;AL$6),AND(AL$7&gt;0,$A351&gt;AL$7)),0,MAX(0,ROUND((INDEX($E351:$G351,AL$5)-SUMIFS(TF_Timer,TF_Tekniker,AL$4,TF_Dato,$A351))*2,0)/2)))</f>
        <v/>
      </c>
      <c r="AM351">
        <f>IF(OR(AM$4="",$A351&gt;TODAY()),0,IF(OR(INDEX($B351:$D351,AM$5)="F",AND(AM$6&gt;0,$A351&lt;AM$6),AND(AM$7&gt;0,$A351&gt;AM$7)),0,MAX(0,ROUND((INDEX($E351:$G351,AM$5)-SUMIFS(TF_Timer,TF_Tekniker,AM$4,TF_Dato,$A351))*2,0)/2)))</f>
        <v/>
      </c>
      <c r="AN351">
        <f>IF(OR(AN$4="",$A351&gt;TODAY()),0,IF(OR(INDEX($B351:$D351,AN$5)="F",AND(AN$6&gt;0,$A351&lt;AN$6),AND(AN$7&gt;0,$A351&gt;AN$7)),0,MAX(0,ROUND((INDEX($E351:$G351,AN$5)-SUMIFS(TF_Timer,TF_Tekniker,AN$4,TF_Dato,$A351))*2,0)/2)))</f>
        <v/>
      </c>
      <c r="AO351">
        <f>IF(OR(AO$4="",$A351&gt;TODAY()),0,IF(OR(INDEX($B351:$D351,AO$5)="F",AND(AO$6&gt;0,$A351&lt;AO$6),AND(AO$7&gt;0,$A351&gt;AO$7)),0,MAX(0,ROUND((INDEX($E351:$G351,AO$5)-SUMIFS(TF_Timer,TF_Tekniker,AO$4,TF_Dato,$A351))*2,0)/2)))</f>
        <v/>
      </c>
      <c r="AP351">
        <f>IF(OR(AP$4="",$A351&gt;TODAY()),0,IF(OR(INDEX($B351:$D351,AP$5)="F",AND(AP$6&gt;0,$A351&lt;AP$6),AND(AP$7&gt;0,$A351&gt;AP$7)),0,MAX(0,ROUND((INDEX($E351:$G351,AP$5)-SUMIFS(TF_Timer,TF_Tekniker,AP$4,TF_Dato,$A351))*2,0)/2)))</f>
        <v/>
      </c>
      <c r="AQ351">
        <f>IF(OR(AQ$4="",$A351&gt;TODAY()),0,IF(OR(INDEX($B351:$D351,AQ$5)="F",AND(AQ$6&gt;0,$A351&lt;AQ$6),AND(AQ$7&gt;0,$A351&gt;AQ$7)),0,MAX(0,ROUND((INDEX($E351:$G351,AQ$5)-SUMIFS(TF_Timer,TF_Tekniker,AQ$4,TF_Dato,$A351))*2,0)/2)))</f>
        <v/>
      </c>
      <c r="AR351">
        <f>IF(OR(AR$4="",$A351&gt;TODAY()),0,IF(OR(INDEX($B351:$D351,AR$5)="F",AND(AR$6&gt;0,$A351&lt;AR$6),AND(AR$7&gt;0,$A351&gt;AR$7)),0,MAX(0,ROUND((INDEX($E351:$G351,AR$5)-SUMIFS(TF_Timer,TF_Tekniker,AR$4,TF_Dato,$A351))*2,0)/2)))</f>
        <v/>
      </c>
      <c r="AS351">
        <f>IF(OR(AS$4="",$A351&gt;TODAY()),0,IF(OR(INDEX($B351:$D351,AS$5)="F",AND(AS$6&gt;0,$A351&lt;AS$6),AND(AS$7&gt;0,$A351&gt;AS$7)),0,MAX(0,ROUND((INDEX($E351:$G351,AS$5)-SUMIFS(TF_Timer,TF_Tekniker,AS$4,TF_Dato,$A351))*2,0)/2)))</f>
        <v/>
      </c>
      <c r="AT351">
        <f>IF(OR(AT$4="",$A351&gt;TODAY()),0,IF(OR(INDEX($B351:$D351,AT$5)="F",AND(AT$6&gt;0,$A351&lt;AT$6),AND(AT$7&gt;0,$A351&gt;AT$7)),0,MAX(0,ROUND((INDEX($E351:$G351,AT$5)-SUMIFS(TF_Timer,TF_Tekniker,AT$4,TF_Dato,$A351))*2,0)/2)))</f>
        <v/>
      </c>
      <c r="AU351">
        <f>IF(OR(AU$4="",$A351&gt;TODAY()),0,IF(OR(INDEX($B351:$D351,AU$5)="F",AND(AU$6&gt;0,$A351&lt;AU$6),AND(AU$7&gt;0,$A351&gt;AU$7)),0,MAX(0,ROUND((INDEX($E351:$G351,AU$5)-SUMIFS(TF_Timer,TF_Tekniker,AU$4,TF_Dato,$A351))*2,0)/2)))</f>
        <v/>
      </c>
      <c r="AV351">
        <f>IF(OR(AV$4="",$A351&gt;TODAY()),0,IF(OR(INDEX($B351:$D351,AV$5)="F",AND(AV$6&gt;0,$A351&lt;AV$6),AND(AV$7&gt;0,$A351&gt;AV$7)),0,MAX(0,ROUND((INDEX($E351:$G351,AV$5)-SUMIFS(TF_Timer,TF_Tekniker,AV$4,TF_Dato,$A351))*2,0)/2)))</f>
        <v/>
      </c>
      <c r="AW351">
        <f>IF(OR(AW$4="",$A351&gt;TODAY()),0,IF(OR(INDEX($B351:$D351,AW$5)="F",AND(AW$6&gt;0,$A351&lt;AW$6),AND(AW$7&gt;0,$A351&gt;AW$7)),0,MAX(0,ROUND((INDEX($E351:$G351,AW$5)-SUMIFS(TF_Timer,TF_Tekniker,AW$4,TF_Dato,$A351))*2,0)/2)))</f>
        <v/>
      </c>
      <c r="AX351">
        <f>IF(OR(AX$4="",$A351&gt;TODAY()),0,IF(OR(INDEX($B351:$D351,AX$5)="F",AND(AX$6&gt;0,$A351&lt;AX$6),AND(AX$7&gt;0,$A351&gt;AX$7)),0,MAX(0,ROUND((INDEX($E351:$G351,AX$5)-SUMIFS(TF_Timer,TF_Tekniker,AX$4,TF_Dato,$A351))*2,0)/2)))</f>
        <v/>
      </c>
      <c r="AY351">
        <f>IF(OR(AY$4="",$A351&gt;TODAY()),0,IF(OR(INDEX($B351:$D351,AY$5)="F",AND(AY$6&gt;0,$A351&lt;AY$6),AND(AY$7&gt;0,$A351&gt;AY$7)),0,MAX(0,ROUND((INDEX($E351:$G351,AY$5)-SUMIFS(TF_Timer,TF_Tekniker,AY$4,TF_Dato,$A351))*2,0)/2)))</f>
        <v/>
      </c>
      <c r="AZ351">
        <f>IF(OR(AZ$4="",$A351&gt;TODAY()),0,IF(OR(INDEX($B351:$D351,AZ$5)="F",AND(AZ$6&gt;0,$A351&lt;AZ$6),AND(AZ$7&gt;0,$A351&gt;AZ$7)),0,MAX(0,ROUND((INDEX($E351:$G351,AZ$5)-SUMIFS(TF_Timer,TF_Tekniker,AZ$4,TF_Dato,$A351))*2,0)/2)))</f>
        <v/>
      </c>
      <c r="BA351">
        <f>IF(OR(BA$4="",$A351&gt;TODAY()),0,IF(OR(INDEX($B351:$D351,BA$5)="F",AND(BA$6&gt;0,$A351&lt;BA$6),AND(BA$7&gt;0,$A351&gt;BA$7)),0,MAX(0,ROUND((INDEX($E351:$G351,BA$5)-SUMIFS(TF_Timer,TF_Tekniker,BA$4,TF_Dato,$A351))*2,0)/2)))</f>
        <v/>
      </c>
      <c r="BB351">
        <f>IF(OR(BB$4="",$A351&gt;TODAY()),0,IF(OR(INDEX($B351:$D351,BB$5)="F",AND(BB$6&gt;0,$A351&lt;BB$6),AND(BB$7&gt;0,$A351&gt;BB$7)),0,MAX(0,ROUND((INDEX($E351:$G351,BB$5)-SUMIFS(TF_Timer,TF_Tekniker,BB$4,TF_Dato,$A351))*2,0)/2)))</f>
        <v/>
      </c>
      <c r="BC351">
        <f>IF(OR(BC$4="",$A351&gt;TODAY()),0,IF(OR(INDEX($B351:$D351,BC$5)="F",AND(BC$6&gt;0,$A351&lt;BC$6),AND(BC$7&gt;0,$A351&gt;BC$7)),0,MAX(0,ROUND((INDEX($E351:$G351,BC$5)-SUMIFS(TF_Timer,TF_Tekniker,BC$4,TF_Dato,$A351))*2,0)/2)))</f>
        <v/>
      </c>
      <c r="BD351">
        <f>IF(OR(BD$4="",$A351&gt;TODAY()),0,IF(OR(INDEX($B351:$D351,BD$5)="F",AND(BD$6&gt;0,$A351&lt;BD$6),AND(BD$7&gt;0,$A351&gt;BD$7)),0,MAX(0,ROUND((INDEX($E351:$G351,BD$5)-SUMIFS(TF_Timer,TF_Tekniker,BD$4,TF_Dato,$A351))*2,0)/2)))</f>
        <v/>
      </c>
      <c r="BE351">
        <f>IF(OR(BE$4="",$A351&gt;TODAY()),0,IF(OR(INDEX($B351:$D351,BE$5)="F",AND(BE$6&gt;0,$A351&lt;BE$6),AND(BE$7&gt;0,$A351&gt;BE$7)),0,MAX(0,ROUND((INDEX($E351:$G351,BE$5)-SUMIFS(TF_Timer,TF_Tekniker,BE$4,TF_Dato,$A351))*2,0)/2)))</f>
        <v/>
      </c>
      <c r="BF351">
        <f>IF(OR(BF$4="",$A351&gt;TODAY()),0,IF(OR(INDEX($B351:$D351,BF$5)="F",AND(BF$6&gt;0,$A351&lt;BF$6),AND(BF$7&gt;0,$A351&gt;BF$7)),0,MAX(0,ROUND((INDEX($E351:$G351,BF$5)-SUMIFS(TF_Timer,TF_Tekniker,BF$4,TF_Dato,$A351))*2,0)/2)))</f>
        <v/>
      </c>
      <c r="BG351">
        <f>IF(OR(BG$4="",$A351&gt;TODAY()),0,IF(OR(INDEX($B351:$D351,BG$5)="F",AND(BG$6&gt;0,$A351&lt;BG$6),AND(BG$7&gt;0,$A351&gt;BG$7)),0,MAX(0,ROUND((INDEX($E351:$G351,BG$5)-SUMIFS(TF_Timer,TF_Tekniker,BG$4,TF_Dato,$A351))*2,0)/2)))</f>
        <v/>
      </c>
      <c r="BH351">
        <f>IF(OR(BH$4="",$A351&gt;TODAY()),0,IF(OR(INDEX($B351:$D351,BH$5)="F",AND(BH$6&gt;0,$A351&lt;BH$6),AND(BH$7&gt;0,$A351&gt;BH$7)),0,MAX(0,ROUND((INDEX($E351:$G351,BH$5)-SUMIFS(TF_Timer,TF_Tekniker,BH$4,TF_Dato,$A351))*2,0)/2)))</f>
        <v/>
      </c>
      <c r="BI351">
        <f>IF(OR(BI$4="",$A351&gt;TODAY()),0,IF(OR(INDEX($B351:$D351,BI$5)="F",AND(BI$6&gt;0,$A351&lt;BI$6),AND(BI$7&gt;0,$A351&gt;BI$7)),0,MAX(0,ROUND((INDEX($E351:$G351,BI$5)-SUMIFS(TF_Timer,TF_Tekniker,BI$4,TF_Dato,$A351))*2,0)/2)))</f>
        <v/>
      </c>
    </row>
    <row r="352">
      <c r="A352" s="64">
        <f>A351+1</f>
        <v/>
      </c>
      <c r="B352">
        <f>IF(MOD($A352-INDEX(SkiftStart,1),Syklus)&lt;DagK,"K",IF(MOD($A352-INDEX(SkiftStart,1),Syklus)&lt;DagK+DagH,"H",IF(MOD($A352-INDEX(SkiftStart,1),Syklus)&lt;DagK+DagH+DagD,"D","F")))</f>
        <v/>
      </c>
      <c r="C352">
        <f>IF(MOD($A352-INDEX(SkiftStart,2),Syklus)&lt;DagK,"K",IF(MOD($A352-INDEX(SkiftStart,2),Syklus)&lt;DagK+DagH,"H",IF(MOD($A352-INDEX(SkiftStart,2),Syklus)&lt;DagK+DagH+DagD,"D","F")))</f>
        <v/>
      </c>
      <c r="D352">
        <f>IF(MOD($A352-INDEX(SkiftStart,3),Syklus)&lt;DagK,"K",IF(MOD($A352-INDEX(SkiftStart,3),Syklus)&lt;DagK+DagH,"H",IF(MOD($A352-INDEX(SkiftStart,3),Syklus)&lt;DagK+DagH+DagD,"D","F")))</f>
        <v/>
      </c>
      <c r="E352">
        <f>IF(B352="F",0,IF(WEEKDAY($A352,2)=5,INDEX(TimerFr,MATCH(B352,FaseKode,0)),INDEX(TimerMT,MATCH(B352,FaseKode,0))))</f>
        <v/>
      </c>
      <c r="F352">
        <f>IF(C352="F",0,IF(WEEKDAY($A352,2)=5,INDEX(TimerFr,MATCH(C352,FaseKode,0)),INDEX(TimerMT,MATCH(C352,FaseKode,0))))</f>
        <v/>
      </c>
      <c r="G352">
        <f>IF(D352="F",0,IF(WEEKDAY($A352,2)=5,INDEX(TimerFr,MATCH(D352,FaseKode,0)),INDEX(TimerMT,MATCH(D352,FaseKode,0))))</f>
        <v/>
      </c>
      <c r="H352">
        <f>IF(OR(H$4="",$A352&gt;TODAY()),0,IF(OR(INDEX($B352:$D352,H$5)="F",AND(H$6&gt;0,$A352&lt;H$6),AND(H$7&gt;0,$A352&gt;H$7)),0,MAX(0,ROUND((INDEX($E352:$G352,H$5)-SUMIFS(TF_Timer,TF_Tekniker,H$4,TF_Dato,$A352))*2,0)/2)))</f>
        <v/>
      </c>
      <c r="I352">
        <f>IF(OR(I$4="",$A352&gt;TODAY()),0,IF(OR(INDEX($B352:$D352,I$5)="F",AND(I$6&gt;0,$A352&lt;I$6),AND(I$7&gt;0,$A352&gt;I$7)),0,MAX(0,ROUND((INDEX($E352:$G352,I$5)-SUMIFS(TF_Timer,TF_Tekniker,I$4,TF_Dato,$A352))*2,0)/2)))</f>
        <v/>
      </c>
      <c r="J352">
        <f>IF(OR(J$4="",$A352&gt;TODAY()),0,IF(OR(INDEX($B352:$D352,J$5)="F",AND(J$6&gt;0,$A352&lt;J$6),AND(J$7&gt;0,$A352&gt;J$7)),0,MAX(0,ROUND((INDEX($E352:$G352,J$5)-SUMIFS(TF_Timer,TF_Tekniker,J$4,TF_Dato,$A352))*2,0)/2)))</f>
        <v/>
      </c>
      <c r="K352">
        <f>IF(OR(K$4="",$A352&gt;TODAY()),0,IF(OR(INDEX($B352:$D352,K$5)="F",AND(K$6&gt;0,$A352&lt;K$6),AND(K$7&gt;0,$A352&gt;K$7)),0,MAX(0,ROUND((INDEX($E352:$G352,K$5)-SUMIFS(TF_Timer,TF_Tekniker,K$4,TF_Dato,$A352))*2,0)/2)))</f>
        <v/>
      </c>
      <c r="L352">
        <f>IF(OR(L$4="",$A352&gt;TODAY()),0,IF(OR(INDEX($B352:$D352,L$5)="F",AND(L$6&gt;0,$A352&lt;L$6),AND(L$7&gt;0,$A352&gt;L$7)),0,MAX(0,ROUND((INDEX($E352:$G352,L$5)-SUMIFS(TF_Timer,TF_Tekniker,L$4,TF_Dato,$A352))*2,0)/2)))</f>
        <v/>
      </c>
      <c r="M352">
        <f>IF(OR(M$4="",$A352&gt;TODAY()),0,IF(OR(INDEX($B352:$D352,M$5)="F",AND(M$6&gt;0,$A352&lt;M$6),AND(M$7&gt;0,$A352&gt;M$7)),0,MAX(0,ROUND((INDEX($E352:$G352,M$5)-SUMIFS(TF_Timer,TF_Tekniker,M$4,TF_Dato,$A352))*2,0)/2)))</f>
        <v/>
      </c>
      <c r="N352">
        <f>IF(OR(N$4="",$A352&gt;TODAY()),0,IF(OR(INDEX($B352:$D352,N$5)="F",AND(N$6&gt;0,$A352&lt;N$6),AND(N$7&gt;0,$A352&gt;N$7)),0,MAX(0,ROUND((INDEX($E352:$G352,N$5)-SUMIFS(TF_Timer,TF_Tekniker,N$4,TF_Dato,$A352))*2,0)/2)))</f>
        <v/>
      </c>
      <c r="O352">
        <f>IF(OR(O$4="",$A352&gt;TODAY()),0,IF(OR(INDEX($B352:$D352,O$5)="F",AND(O$6&gt;0,$A352&lt;O$6),AND(O$7&gt;0,$A352&gt;O$7)),0,MAX(0,ROUND((INDEX($E352:$G352,O$5)-SUMIFS(TF_Timer,TF_Tekniker,O$4,TF_Dato,$A352))*2,0)/2)))</f>
        <v/>
      </c>
      <c r="P352">
        <f>IF(OR(P$4="",$A352&gt;TODAY()),0,IF(OR(INDEX($B352:$D352,P$5)="F",AND(P$6&gt;0,$A352&lt;P$6),AND(P$7&gt;0,$A352&gt;P$7)),0,MAX(0,ROUND((INDEX($E352:$G352,P$5)-SUMIFS(TF_Timer,TF_Tekniker,P$4,TF_Dato,$A352))*2,0)/2)))</f>
        <v/>
      </c>
      <c r="Q352">
        <f>IF(OR(Q$4="",$A352&gt;TODAY()),0,IF(OR(INDEX($B352:$D352,Q$5)="F",AND(Q$6&gt;0,$A352&lt;Q$6),AND(Q$7&gt;0,$A352&gt;Q$7)),0,MAX(0,ROUND((INDEX($E352:$G352,Q$5)-SUMIFS(TF_Timer,TF_Tekniker,Q$4,TF_Dato,$A352))*2,0)/2)))</f>
        <v/>
      </c>
      <c r="R352">
        <f>IF(OR(R$4="",$A352&gt;TODAY()),0,IF(OR(INDEX($B352:$D352,R$5)="F",AND(R$6&gt;0,$A352&lt;R$6),AND(R$7&gt;0,$A352&gt;R$7)),0,MAX(0,ROUND((INDEX($E352:$G352,R$5)-SUMIFS(TF_Timer,TF_Tekniker,R$4,TF_Dato,$A352))*2,0)/2)))</f>
        <v/>
      </c>
      <c r="S352">
        <f>IF(OR(S$4="",$A352&gt;TODAY()),0,IF(OR(INDEX($B352:$D352,S$5)="F",AND(S$6&gt;0,$A352&lt;S$6),AND(S$7&gt;0,$A352&gt;S$7)),0,MAX(0,ROUND((INDEX($E352:$G352,S$5)-SUMIFS(TF_Timer,TF_Tekniker,S$4,TF_Dato,$A352))*2,0)/2)))</f>
        <v/>
      </c>
      <c r="T352">
        <f>IF(OR(T$4="",$A352&gt;TODAY()),0,IF(OR(INDEX($B352:$D352,T$5)="F",AND(T$6&gt;0,$A352&lt;T$6),AND(T$7&gt;0,$A352&gt;T$7)),0,MAX(0,ROUND((INDEX($E352:$G352,T$5)-SUMIFS(TF_Timer,TF_Tekniker,T$4,TF_Dato,$A352))*2,0)/2)))</f>
        <v/>
      </c>
      <c r="U352">
        <f>IF(OR(U$4="",$A352&gt;TODAY()),0,IF(OR(INDEX($B352:$D352,U$5)="F",AND(U$6&gt;0,$A352&lt;U$6),AND(U$7&gt;0,$A352&gt;U$7)),0,MAX(0,ROUND((INDEX($E352:$G352,U$5)-SUMIFS(TF_Timer,TF_Tekniker,U$4,TF_Dato,$A352))*2,0)/2)))</f>
        <v/>
      </c>
      <c r="V352">
        <f>IF(OR(V$4="",$A352&gt;TODAY()),0,IF(OR(INDEX($B352:$D352,V$5)="F",AND(V$6&gt;0,$A352&lt;V$6),AND(V$7&gt;0,$A352&gt;V$7)),0,MAX(0,ROUND((INDEX($E352:$G352,V$5)-SUMIFS(TF_Timer,TF_Tekniker,V$4,TF_Dato,$A352))*2,0)/2)))</f>
        <v/>
      </c>
      <c r="W352">
        <f>IF(OR(W$4="",$A352&gt;TODAY()),0,IF(OR(INDEX($B352:$D352,W$5)="F",AND(W$6&gt;0,$A352&lt;W$6),AND(W$7&gt;0,$A352&gt;W$7)),0,MAX(0,ROUND((INDEX($E352:$G352,W$5)-SUMIFS(TF_Timer,TF_Tekniker,W$4,TF_Dato,$A352))*2,0)/2)))</f>
        <v/>
      </c>
      <c r="X352">
        <f>IF(OR(X$4="",$A352&gt;TODAY()),0,IF(OR(INDEX($B352:$D352,X$5)="F",AND(X$6&gt;0,$A352&lt;X$6),AND(X$7&gt;0,$A352&gt;X$7)),0,MAX(0,ROUND((INDEX($E352:$G352,X$5)-SUMIFS(TF_Timer,TF_Tekniker,X$4,TF_Dato,$A352))*2,0)/2)))</f>
        <v/>
      </c>
      <c r="Y352">
        <f>IF(OR(Y$4="",$A352&gt;TODAY()),0,IF(OR(INDEX($B352:$D352,Y$5)="F",AND(Y$6&gt;0,$A352&lt;Y$6),AND(Y$7&gt;0,$A352&gt;Y$7)),0,MAX(0,ROUND((INDEX($E352:$G352,Y$5)-SUMIFS(TF_Timer,TF_Tekniker,Y$4,TF_Dato,$A352))*2,0)/2)))</f>
        <v/>
      </c>
      <c r="Z352">
        <f>IF(OR(Z$4="",$A352&gt;TODAY()),0,IF(OR(INDEX($B352:$D352,Z$5)="F",AND(Z$6&gt;0,$A352&lt;Z$6),AND(Z$7&gt;0,$A352&gt;Z$7)),0,MAX(0,ROUND((INDEX($E352:$G352,Z$5)-SUMIFS(TF_Timer,TF_Tekniker,Z$4,TF_Dato,$A352))*2,0)/2)))</f>
        <v/>
      </c>
      <c r="AA352">
        <f>IF(OR(AA$4="",$A352&gt;TODAY()),0,IF(OR(INDEX($B352:$D352,AA$5)="F",AND(AA$6&gt;0,$A352&lt;AA$6),AND(AA$7&gt;0,$A352&gt;AA$7)),0,MAX(0,ROUND((INDEX($E352:$G352,AA$5)-SUMIFS(TF_Timer,TF_Tekniker,AA$4,TF_Dato,$A352))*2,0)/2)))</f>
        <v/>
      </c>
      <c r="AB352">
        <f>IF(OR(AB$4="",$A352&gt;TODAY()),0,IF(OR(INDEX($B352:$D352,AB$5)="F",AND(AB$6&gt;0,$A352&lt;AB$6),AND(AB$7&gt;0,$A352&gt;AB$7)),0,MAX(0,ROUND((INDEX($E352:$G352,AB$5)-SUMIFS(TF_Timer,TF_Tekniker,AB$4,TF_Dato,$A352))*2,0)/2)))</f>
        <v/>
      </c>
      <c r="AC352">
        <f>IF(OR(AC$4="",$A352&gt;TODAY()),0,IF(OR(INDEX($B352:$D352,AC$5)="F",AND(AC$6&gt;0,$A352&lt;AC$6),AND(AC$7&gt;0,$A352&gt;AC$7)),0,MAX(0,ROUND((INDEX($E352:$G352,AC$5)-SUMIFS(TF_Timer,TF_Tekniker,AC$4,TF_Dato,$A352))*2,0)/2)))</f>
        <v/>
      </c>
      <c r="AD352">
        <f>IF(OR(AD$4="",$A352&gt;TODAY()),0,IF(OR(INDEX($B352:$D352,AD$5)="F",AND(AD$6&gt;0,$A352&lt;AD$6),AND(AD$7&gt;0,$A352&gt;AD$7)),0,MAX(0,ROUND((INDEX($E352:$G352,AD$5)-SUMIFS(TF_Timer,TF_Tekniker,AD$4,TF_Dato,$A352))*2,0)/2)))</f>
        <v/>
      </c>
      <c r="AE352">
        <f>IF(OR(AE$4="",$A352&gt;TODAY()),0,IF(OR(INDEX($B352:$D352,AE$5)="F",AND(AE$6&gt;0,$A352&lt;AE$6),AND(AE$7&gt;0,$A352&gt;AE$7)),0,MAX(0,ROUND((INDEX($E352:$G352,AE$5)-SUMIFS(TF_Timer,TF_Tekniker,AE$4,TF_Dato,$A352))*2,0)/2)))</f>
        <v/>
      </c>
      <c r="AF352">
        <f>IF(OR(AF$4="",$A352&gt;TODAY()),0,IF(OR(INDEX($B352:$D352,AF$5)="F",AND(AF$6&gt;0,$A352&lt;AF$6),AND(AF$7&gt;0,$A352&gt;AF$7)),0,MAX(0,ROUND((INDEX($E352:$G352,AF$5)-SUMIFS(TF_Timer,TF_Tekniker,AF$4,TF_Dato,$A352))*2,0)/2)))</f>
        <v/>
      </c>
      <c r="AG352">
        <f>IF(OR(AG$4="",$A352&gt;TODAY()),0,IF(OR(INDEX($B352:$D352,AG$5)="F",AND(AG$6&gt;0,$A352&lt;AG$6),AND(AG$7&gt;0,$A352&gt;AG$7)),0,MAX(0,ROUND((INDEX($E352:$G352,AG$5)-SUMIFS(TF_Timer,TF_Tekniker,AG$4,TF_Dato,$A352))*2,0)/2)))</f>
        <v/>
      </c>
      <c r="AH352">
        <f>IF(OR(AH$4="",$A352&gt;TODAY()),0,IF(OR(INDEX($B352:$D352,AH$5)="F",AND(AH$6&gt;0,$A352&lt;AH$6),AND(AH$7&gt;0,$A352&gt;AH$7)),0,MAX(0,ROUND((INDEX($E352:$G352,AH$5)-SUMIFS(TF_Timer,TF_Tekniker,AH$4,TF_Dato,$A352))*2,0)/2)))</f>
        <v/>
      </c>
      <c r="AI352">
        <f>IF(OR(AI$4="",$A352&gt;TODAY()),0,IF(OR(INDEX($B352:$D352,AI$5)="F",AND(AI$6&gt;0,$A352&lt;AI$6),AND(AI$7&gt;0,$A352&gt;AI$7)),0,MAX(0,ROUND((INDEX($E352:$G352,AI$5)-SUMIFS(TF_Timer,TF_Tekniker,AI$4,TF_Dato,$A352))*2,0)/2)))</f>
        <v/>
      </c>
      <c r="AJ352">
        <f>IF(OR(AJ$4="",$A352&gt;TODAY()),0,IF(OR(INDEX($B352:$D352,AJ$5)="F",AND(AJ$6&gt;0,$A352&lt;AJ$6),AND(AJ$7&gt;0,$A352&gt;AJ$7)),0,MAX(0,ROUND((INDEX($E352:$G352,AJ$5)-SUMIFS(TF_Timer,TF_Tekniker,AJ$4,TF_Dato,$A352))*2,0)/2)))</f>
        <v/>
      </c>
      <c r="AK352">
        <f>IF(OR(AK$4="",$A352&gt;TODAY()),0,IF(OR(INDEX($B352:$D352,AK$5)="F",AND(AK$6&gt;0,$A352&lt;AK$6),AND(AK$7&gt;0,$A352&gt;AK$7)),0,MAX(0,ROUND((INDEX($E352:$G352,AK$5)-SUMIFS(TF_Timer,TF_Tekniker,AK$4,TF_Dato,$A352))*2,0)/2)))</f>
        <v/>
      </c>
      <c r="AL352">
        <f>IF(OR(AL$4="",$A352&gt;TODAY()),0,IF(OR(INDEX($B352:$D352,AL$5)="F",AND(AL$6&gt;0,$A352&lt;AL$6),AND(AL$7&gt;0,$A352&gt;AL$7)),0,MAX(0,ROUND((INDEX($E352:$G352,AL$5)-SUMIFS(TF_Timer,TF_Tekniker,AL$4,TF_Dato,$A352))*2,0)/2)))</f>
        <v/>
      </c>
      <c r="AM352">
        <f>IF(OR(AM$4="",$A352&gt;TODAY()),0,IF(OR(INDEX($B352:$D352,AM$5)="F",AND(AM$6&gt;0,$A352&lt;AM$6),AND(AM$7&gt;0,$A352&gt;AM$7)),0,MAX(0,ROUND((INDEX($E352:$G352,AM$5)-SUMIFS(TF_Timer,TF_Tekniker,AM$4,TF_Dato,$A352))*2,0)/2)))</f>
        <v/>
      </c>
      <c r="AN352">
        <f>IF(OR(AN$4="",$A352&gt;TODAY()),0,IF(OR(INDEX($B352:$D352,AN$5)="F",AND(AN$6&gt;0,$A352&lt;AN$6),AND(AN$7&gt;0,$A352&gt;AN$7)),0,MAX(0,ROUND((INDEX($E352:$G352,AN$5)-SUMIFS(TF_Timer,TF_Tekniker,AN$4,TF_Dato,$A352))*2,0)/2)))</f>
        <v/>
      </c>
      <c r="AO352">
        <f>IF(OR(AO$4="",$A352&gt;TODAY()),0,IF(OR(INDEX($B352:$D352,AO$5)="F",AND(AO$6&gt;0,$A352&lt;AO$6),AND(AO$7&gt;0,$A352&gt;AO$7)),0,MAX(0,ROUND((INDEX($E352:$G352,AO$5)-SUMIFS(TF_Timer,TF_Tekniker,AO$4,TF_Dato,$A352))*2,0)/2)))</f>
        <v/>
      </c>
      <c r="AP352">
        <f>IF(OR(AP$4="",$A352&gt;TODAY()),0,IF(OR(INDEX($B352:$D352,AP$5)="F",AND(AP$6&gt;0,$A352&lt;AP$6),AND(AP$7&gt;0,$A352&gt;AP$7)),0,MAX(0,ROUND((INDEX($E352:$G352,AP$5)-SUMIFS(TF_Timer,TF_Tekniker,AP$4,TF_Dato,$A352))*2,0)/2)))</f>
        <v/>
      </c>
      <c r="AQ352">
        <f>IF(OR(AQ$4="",$A352&gt;TODAY()),0,IF(OR(INDEX($B352:$D352,AQ$5)="F",AND(AQ$6&gt;0,$A352&lt;AQ$6),AND(AQ$7&gt;0,$A352&gt;AQ$7)),0,MAX(0,ROUND((INDEX($E352:$G352,AQ$5)-SUMIFS(TF_Timer,TF_Tekniker,AQ$4,TF_Dato,$A352))*2,0)/2)))</f>
        <v/>
      </c>
      <c r="AR352">
        <f>IF(OR(AR$4="",$A352&gt;TODAY()),0,IF(OR(INDEX($B352:$D352,AR$5)="F",AND(AR$6&gt;0,$A352&lt;AR$6),AND(AR$7&gt;0,$A352&gt;AR$7)),0,MAX(0,ROUND((INDEX($E352:$G352,AR$5)-SUMIFS(TF_Timer,TF_Tekniker,AR$4,TF_Dato,$A352))*2,0)/2)))</f>
        <v/>
      </c>
      <c r="AS352">
        <f>IF(OR(AS$4="",$A352&gt;TODAY()),0,IF(OR(INDEX($B352:$D352,AS$5)="F",AND(AS$6&gt;0,$A352&lt;AS$6),AND(AS$7&gt;0,$A352&gt;AS$7)),0,MAX(0,ROUND((INDEX($E352:$G352,AS$5)-SUMIFS(TF_Timer,TF_Tekniker,AS$4,TF_Dato,$A352))*2,0)/2)))</f>
        <v/>
      </c>
      <c r="AT352">
        <f>IF(OR(AT$4="",$A352&gt;TODAY()),0,IF(OR(INDEX($B352:$D352,AT$5)="F",AND(AT$6&gt;0,$A352&lt;AT$6),AND(AT$7&gt;0,$A352&gt;AT$7)),0,MAX(0,ROUND((INDEX($E352:$G352,AT$5)-SUMIFS(TF_Timer,TF_Tekniker,AT$4,TF_Dato,$A352))*2,0)/2)))</f>
        <v/>
      </c>
      <c r="AU352">
        <f>IF(OR(AU$4="",$A352&gt;TODAY()),0,IF(OR(INDEX($B352:$D352,AU$5)="F",AND(AU$6&gt;0,$A352&lt;AU$6),AND(AU$7&gt;0,$A352&gt;AU$7)),0,MAX(0,ROUND((INDEX($E352:$G352,AU$5)-SUMIFS(TF_Timer,TF_Tekniker,AU$4,TF_Dato,$A352))*2,0)/2)))</f>
        <v/>
      </c>
      <c r="AV352">
        <f>IF(OR(AV$4="",$A352&gt;TODAY()),0,IF(OR(INDEX($B352:$D352,AV$5)="F",AND(AV$6&gt;0,$A352&lt;AV$6),AND(AV$7&gt;0,$A352&gt;AV$7)),0,MAX(0,ROUND((INDEX($E352:$G352,AV$5)-SUMIFS(TF_Timer,TF_Tekniker,AV$4,TF_Dato,$A352))*2,0)/2)))</f>
        <v/>
      </c>
      <c r="AW352">
        <f>IF(OR(AW$4="",$A352&gt;TODAY()),0,IF(OR(INDEX($B352:$D352,AW$5)="F",AND(AW$6&gt;0,$A352&lt;AW$6),AND(AW$7&gt;0,$A352&gt;AW$7)),0,MAX(0,ROUND((INDEX($E352:$G352,AW$5)-SUMIFS(TF_Timer,TF_Tekniker,AW$4,TF_Dato,$A352))*2,0)/2)))</f>
        <v/>
      </c>
      <c r="AX352">
        <f>IF(OR(AX$4="",$A352&gt;TODAY()),0,IF(OR(INDEX($B352:$D352,AX$5)="F",AND(AX$6&gt;0,$A352&lt;AX$6),AND(AX$7&gt;0,$A352&gt;AX$7)),0,MAX(0,ROUND((INDEX($E352:$G352,AX$5)-SUMIFS(TF_Timer,TF_Tekniker,AX$4,TF_Dato,$A352))*2,0)/2)))</f>
        <v/>
      </c>
      <c r="AY352">
        <f>IF(OR(AY$4="",$A352&gt;TODAY()),0,IF(OR(INDEX($B352:$D352,AY$5)="F",AND(AY$6&gt;0,$A352&lt;AY$6),AND(AY$7&gt;0,$A352&gt;AY$7)),0,MAX(0,ROUND((INDEX($E352:$G352,AY$5)-SUMIFS(TF_Timer,TF_Tekniker,AY$4,TF_Dato,$A352))*2,0)/2)))</f>
        <v/>
      </c>
      <c r="AZ352">
        <f>IF(OR(AZ$4="",$A352&gt;TODAY()),0,IF(OR(INDEX($B352:$D352,AZ$5)="F",AND(AZ$6&gt;0,$A352&lt;AZ$6),AND(AZ$7&gt;0,$A352&gt;AZ$7)),0,MAX(0,ROUND((INDEX($E352:$G352,AZ$5)-SUMIFS(TF_Timer,TF_Tekniker,AZ$4,TF_Dato,$A352))*2,0)/2)))</f>
        <v/>
      </c>
      <c r="BA352">
        <f>IF(OR(BA$4="",$A352&gt;TODAY()),0,IF(OR(INDEX($B352:$D352,BA$5)="F",AND(BA$6&gt;0,$A352&lt;BA$6),AND(BA$7&gt;0,$A352&gt;BA$7)),0,MAX(0,ROUND((INDEX($E352:$G352,BA$5)-SUMIFS(TF_Timer,TF_Tekniker,BA$4,TF_Dato,$A352))*2,0)/2)))</f>
        <v/>
      </c>
      <c r="BB352">
        <f>IF(OR(BB$4="",$A352&gt;TODAY()),0,IF(OR(INDEX($B352:$D352,BB$5)="F",AND(BB$6&gt;0,$A352&lt;BB$6),AND(BB$7&gt;0,$A352&gt;BB$7)),0,MAX(0,ROUND((INDEX($E352:$G352,BB$5)-SUMIFS(TF_Timer,TF_Tekniker,BB$4,TF_Dato,$A352))*2,0)/2)))</f>
        <v/>
      </c>
      <c r="BC352">
        <f>IF(OR(BC$4="",$A352&gt;TODAY()),0,IF(OR(INDEX($B352:$D352,BC$5)="F",AND(BC$6&gt;0,$A352&lt;BC$6),AND(BC$7&gt;0,$A352&gt;BC$7)),0,MAX(0,ROUND((INDEX($E352:$G352,BC$5)-SUMIFS(TF_Timer,TF_Tekniker,BC$4,TF_Dato,$A352))*2,0)/2)))</f>
        <v/>
      </c>
      <c r="BD352">
        <f>IF(OR(BD$4="",$A352&gt;TODAY()),0,IF(OR(INDEX($B352:$D352,BD$5)="F",AND(BD$6&gt;0,$A352&lt;BD$6),AND(BD$7&gt;0,$A352&gt;BD$7)),0,MAX(0,ROUND((INDEX($E352:$G352,BD$5)-SUMIFS(TF_Timer,TF_Tekniker,BD$4,TF_Dato,$A352))*2,0)/2)))</f>
        <v/>
      </c>
      <c r="BE352">
        <f>IF(OR(BE$4="",$A352&gt;TODAY()),0,IF(OR(INDEX($B352:$D352,BE$5)="F",AND(BE$6&gt;0,$A352&lt;BE$6),AND(BE$7&gt;0,$A352&gt;BE$7)),0,MAX(0,ROUND((INDEX($E352:$G352,BE$5)-SUMIFS(TF_Timer,TF_Tekniker,BE$4,TF_Dato,$A352))*2,0)/2)))</f>
        <v/>
      </c>
      <c r="BF352">
        <f>IF(OR(BF$4="",$A352&gt;TODAY()),0,IF(OR(INDEX($B352:$D352,BF$5)="F",AND(BF$6&gt;0,$A352&lt;BF$6),AND(BF$7&gt;0,$A352&gt;BF$7)),0,MAX(0,ROUND((INDEX($E352:$G352,BF$5)-SUMIFS(TF_Timer,TF_Tekniker,BF$4,TF_Dato,$A352))*2,0)/2)))</f>
        <v/>
      </c>
      <c r="BG352">
        <f>IF(OR(BG$4="",$A352&gt;TODAY()),0,IF(OR(INDEX($B352:$D352,BG$5)="F",AND(BG$6&gt;0,$A352&lt;BG$6),AND(BG$7&gt;0,$A352&gt;BG$7)),0,MAX(0,ROUND((INDEX($E352:$G352,BG$5)-SUMIFS(TF_Timer,TF_Tekniker,BG$4,TF_Dato,$A352))*2,0)/2)))</f>
        <v/>
      </c>
      <c r="BH352">
        <f>IF(OR(BH$4="",$A352&gt;TODAY()),0,IF(OR(INDEX($B352:$D352,BH$5)="F",AND(BH$6&gt;0,$A352&lt;BH$6),AND(BH$7&gt;0,$A352&gt;BH$7)),0,MAX(0,ROUND((INDEX($E352:$G352,BH$5)-SUMIFS(TF_Timer,TF_Tekniker,BH$4,TF_Dato,$A352))*2,0)/2)))</f>
        <v/>
      </c>
      <c r="BI352">
        <f>IF(OR(BI$4="",$A352&gt;TODAY()),0,IF(OR(INDEX($B352:$D352,BI$5)="F",AND(BI$6&gt;0,$A352&lt;BI$6),AND(BI$7&gt;0,$A352&gt;BI$7)),0,MAX(0,ROUND((INDEX($E352:$G352,BI$5)-SUMIFS(TF_Timer,TF_Tekniker,BI$4,TF_Dato,$A352))*2,0)/2)))</f>
        <v/>
      </c>
    </row>
    <row r="353">
      <c r="A353" s="64">
        <f>A352+1</f>
        <v/>
      </c>
      <c r="B353">
        <f>IF(MOD($A353-INDEX(SkiftStart,1),Syklus)&lt;DagK,"K",IF(MOD($A353-INDEX(SkiftStart,1),Syklus)&lt;DagK+DagH,"H",IF(MOD($A353-INDEX(SkiftStart,1),Syklus)&lt;DagK+DagH+DagD,"D","F")))</f>
        <v/>
      </c>
      <c r="C353">
        <f>IF(MOD($A353-INDEX(SkiftStart,2),Syklus)&lt;DagK,"K",IF(MOD($A353-INDEX(SkiftStart,2),Syklus)&lt;DagK+DagH,"H",IF(MOD($A353-INDEX(SkiftStart,2),Syklus)&lt;DagK+DagH+DagD,"D","F")))</f>
        <v/>
      </c>
      <c r="D353">
        <f>IF(MOD($A353-INDEX(SkiftStart,3),Syklus)&lt;DagK,"K",IF(MOD($A353-INDEX(SkiftStart,3),Syklus)&lt;DagK+DagH,"H",IF(MOD($A353-INDEX(SkiftStart,3),Syklus)&lt;DagK+DagH+DagD,"D","F")))</f>
        <v/>
      </c>
      <c r="E353">
        <f>IF(B353="F",0,IF(WEEKDAY($A353,2)=5,INDEX(TimerFr,MATCH(B353,FaseKode,0)),INDEX(TimerMT,MATCH(B353,FaseKode,0))))</f>
        <v/>
      </c>
      <c r="F353">
        <f>IF(C353="F",0,IF(WEEKDAY($A353,2)=5,INDEX(TimerFr,MATCH(C353,FaseKode,0)),INDEX(TimerMT,MATCH(C353,FaseKode,0))))</f>
        <v/>
      </c>
      <c r="G353">
        <f>IF(D353="F",0,IF(WEEKDAY($A353,2)=5,INDEX(TimerFr,MATCH(D353,FaseKode,0)),INDEX(TimerMT,MATCH(D353,FaseKode,0))))</f>
        <v/>
      </c>
      <c r="H353">
        <f>IF(OR(H$4="",$A353&gt;TODAY()),0,IF(OR(INDEX($B353:$D353,H$5)="F",AND(H$6&gt;0,$A353&lt;H$6),AND(H$7&gt;0,$A353&gt;H$7)),0,MAX(0,ROUND((INDEX($E353:$G353,H$5)-SUMIFS(TF_Timer,TF_Tekniker,H$4,TF_Dato,$A353))*2,0)/2)))</f>
        <v/>
      </c>
      <c r="I353">
        <f>IF(OR(I$4="",$A353&gt;TODAY()),0,IF(OR(INDEX($B353:$D353,I$5)="F",AND(I$6&gt;0,$A353&lt;I$6),AND(I$7&gt;0,$A353&gt;I$7)),0,MAX(0,ROUND((INDEX($E353:$G353,I$5)-SUMIFS(TF_Timer,TF_Tekniker,I$4,TF_Dato,$A353))*2,0)/2)))</f>
        <v/>
      </c>
      <c r="J353">
        <f>IF(OR(J$4="",$A353&gt;TODAY()),0,IF(OR(INDEX($B353:$D353,J$5)="F",AND(J$6&gt;0,$A353&lt;J$6),AND(J$7&gt;0,$A353&gt;J$7)),0,MAX(0,ROUND((INDEX($E353:$G353,J$5)-SUMIFS(TF_Timer,TF_Tekniker,J$4,TF_Dato,$A353))*2,0)/2)))</f>
        <v/>
      </c>
      <c r="K353">
        <f>IF(OR(K$4="",$A353&gt;TODAY()),0,IF(OR(INDEX($B353:$D353,K$5)="F",AND(K$6&gt;0,$A353&lt;K$6),AND(K$7&gt;0,$A353&gt;K$7)),0,MAX(0,ROUND((INDEX($E353:$G353,K$5)-SUMIFS(TF_Timer,TF_Tekniker,K$4,TF_Dato,$A353))*2,0)/2)))</f>
        <v/>
      </c>
      <c r="L353">
        <f>IF(OR(L$4="",$A353&gt;TODAY()),0,IF(OR(INDEX($B353:$D353,L$5)="F",AND(L$6&gt;0,$A353&lt;L$6),AND(L$7&gt;0,$A353&gt;L$7)),0,MAX(0,ROUND((INDEX($E353:$G353,L$5)-SUMIFS(TF_Timer,TF_Tekniker,L$4,TF_Dato,$A353))*2,0)/2)))</f>
        <v/>
      </c>
      <c r="M353">
        <f>IF(OR(M$4="",$A353&gt;TODAY()),0,IF(OR(INDEX($B353:$D353,M$5)="F",AND(M$6&gt;0,$A353&lt;M$6),AND(M$7&gt;0,$A353&gt;M$7)),0,MAX(0,ROUND((INDEX($E353:$G353,M$5)-SUMIFS(TF_Timer,TF_Tekniker,M$4,TF_Dato,$A353))*2,0)/2)))</f>
        <v/>
      </c>
      <c r="N353">
        <f>IF(OR(N$4="",$A353&gt;TODAY()),0,IF(OR(INDEX($B353:$D353,N$5)="F",AND(N$6&gt;0,$A353&lt;N$6),AND(N$7&gt;0,$A353&gt;N$7)),0,MAX(0,ROUND((INDEX($E353:$G353,N$5)-SUMIFS(TF_Timer,TF_Tekniker,N$4,TF_Dato,$A353))*2,0)/2)))</f>
        <v/>
      </c>
      <c r="O353">
        <f>IF(OR(O$4="",$A353&gt;TODAY()),0,IF(OR(INDEX($B353:$D353,O$5)="F",AND(O$6&gt;0,$A353&lt;O$6),AND(O$7&gt;0,$A353&gt;O$7)),0,MAX(0,ROUND((INDEX($E353:$G353,O$5)-SUMIFS(TF_Timer,TF_Tekniker,O$4,TF_Dato,$A353))*2,0)/2)))</f>
        <v/>
      </c>
      <c r="P353">
        <f>IF(OR(P$4="",$A353&gt;TODAY()),0,IF(OR(INDEX($B353:$D353,P$5)="F",AND(P$6&gt;0,$A353&lt;P$6),AND(P$7&gt;0,$A353&gt;P$7)),0,MAX(0,ROUND((INDEX($E353:$G353,P$5)-SUMIFS(TF_Timer,TF_Tekniker,P$4,TF_Dato,$A353))*2,0)/2)))</f>
        <v/>
      </c>
      <c r="Q353">
        <f>IF(OR(Q$4="",$A353&gt;TODAY()),0,IF(OR(INDEX($B353:$D353,Q$5)="F",AND(Q$6&gt;0,$A353&lt;Q$6),AND(Q$7&gt;0,$A353&gt;Q$7)),0,MAX(0,ROUND((INDEX($E353:$G353,Q$5)-SUMIFS(TF_Timer,TF_Tekniker,Q$4,TF_Dato,$A353))*2,0)/2)))</f>
        <v/>
      </c>
      <c r="R353">
        <f>IF(OR(R$4="",$A353&gt;TODAY()),0,IF(OR(INDEX($B353:$D353,R$5)="F",AND(R$6&gt;0,$A353&lt;R$6),AND(R$7&gt;0,$A353&gt;R$7)),0,MAX(0,ROUND((INDEX($E353:$G353,R$5)-SUMIFS(TF_Timer,TF_Tekniker,R$4,TF_Dato,$A353))*2,0)/2)))</f>
        <v/>
      </c>
      <c r="S353">
        <f>IF(OR(S$4="",$A353&gt;TODAY()),0,IF(OR(INDEX($B353:$D353,S$5)="F",AND(S$6&gt;0,$A353&lt;S$6),AND(S$7&gt;0,$A353&gt;S$7)),0,MAX(0,ROUND((INDEX($E353:$G353,S$5)-SUMIFS(TF_Timer,TF_Tekniker,S$4,TF_Dato,$A353))*2,0)/2)))</f>
        <v/>
      </c>
      <c r="T353">
        <f>IF(OR(T$4="",$A353&gt;TODAY()),0,IF(OR(INDEX($B353:$D353,T$5)="F",AND(T$6&gt;0,$A353&lt;T$6),AND(T$7&gt;0,$A353&gt;T$7)),0,MAX(0,ROUND((INDEX($E353:$G353,T$5)-SUMIFS(TF_Timer,TF_Tekniker,T$4,TF_Dato,$A353))*2,0)/2)))</f>
        <v/>
      </c>
      <c r="U353">
        <f>IF(OR(U$4="",$A353&gt;TODAY()),0,IF(OR(INDEX($B353:$D353,U$5)="F",AND(U$6&gt;0,$A353&lt;U$6),AND(U$7&gt;0,$A353&gt;U$7)),0,MAX(0,ROUND((INDEX($E353:$G353,U$5)-SUMIFS(TF_Timer,TF_Tekniker,U$4,TF_Dato,$A353))*2,0)/2)))</f>
        <v/>
      </c>
      <c r="V353">
        <f>IF(OR(V$4="",$A353&gt;TODAY()),0,IF(OR(INDEX($B353:$D353,V$5)="F",AND(V$6&gt;0,$A353&lt;V$6),AND(V$7&gt;0,$A353&gt;V$7)),0,MAX(0,ROUND((INDEX($E353:$G353,V$5)-SUMIFS(TF_Timer,TF_Tekniker,V$4,TF_Dato,$A353))*2,0)/2)))</f>
        <v/>
      </c>
      <c r="W353">
        <f>IF(OR(W$4="",$A353&gt;TODAY()),0,IF(OR(INDEX($B353:$D353,W$5)="F",AND(W$6&gt;0,$A353&lt;W$6),AND(W$7&gt;0,$A353&gt;W$7)),0,MAX(0,ROUND((INDEX($E353:$G353,W$5)-SUMIFS(TF_Timer,TF_Tekniker,W$4,TF_Dato,$A353))*2,0)/2)))</f>
        <v/>
      </c>
      <c r="X353">
        <f>IF(OR(X$4="",$A353&gt;TODAY()),0,IF(OR(INDEX($B353:$D353,X$5)="F",AND(X$6&gt;0,$A353&lt;X$6),AND(X$7&gt;0,$A353&gt;X$7)),0,MAX(0,ROUND((INDEX($E353:$G353,X$5)-SUMIFS(TF_Timer,TF_Tekniker,X$4,TF_Dato,$A353))*2,0)/2)))</f>
        <v/>
      </c>
      <c r="Y353">
        <f>IF(OR(Y$4="",$A353&gt;TODAY()),0,IF(OR(INDEX($B353:$D353,Y$5)="F",AND(Y$6&gt;0,$A353&lt;Y$6),AND(Y$7&gt;0,$A353&gt;Y$7)),0,MAX(0,ROUND((INDEX($E353:$G353,Y$5)-SUMIFS(TF_Timer,TF_Tekniker,Y$4,TF_Dato,$A353))*2,0)/2)))</f>
        <v/>
      </c>
      <c r="Z353">
        <f>IF(OR(Z$4="",$A353&gt;TODAY()),0,IF(OR(INDEX($B353:$D353,Z$5)="F",AND(Z$6&gt;0,$A353&lt;Z$6),AND(Z$7&gt;0,$A353&gt;Z$7)),0,MAX(0,ROUND((INDEX($E353:$G353,Z$5)-SUMIFS(TF_Timer,TF_Tekniker,Z$4,TF_Dato,$A353))*2,0)/2)))</f>
        <v/>
      </c>
      <c r="AA353">
        <f>IF(OR(AA$4="",$A353&gt;TODAY()),0,IF(OR(INDEX($B353:$D353,AA$5)="F",AND(AA$6&gt;0,$A353&lt;AA$6),AND(AA$7&gt;0,$A353&gt;AA$7)),0,MAX(0,ROUND((INDEX($E353:$G353,AA$5)-SUMIFS(TF_Timer,TF_Tekniker,AA$4,TF_Dato,$A353))*2,0)/2)))</f>
        <v/>
      </c>
      <c r="AB353">
        <f>IF(OR(AB$4="",$A353&gt;TODAY()),0,IF(OR(INDEX($B353:$D353,AB$5)="F",AND(AB$6&gt;0,$A353&lt;AB$6),AND(AB$7&gt;0,$A353&gt;AB$7)),0,MAX(0,ROUND((INDEX($E353:$G353,AB$5)-SUMIFS(TF_Timer,TF_Tekniker,AB$4,TF_Dato,$A353))*2,0)/2)))</f>
        <v/>
      </c>
      <c r="AC353">
        <f>IF(OR(AC$4="",$A353&gt;TODAY()),0,IF(OR(INDEX($B353:$D353,AC$5)="F",AND(AC$6&gt;0,$A353&lt;AC$6),AND(AC$7&gt;0,$A353&gt;AC$7)),0,MAX(0,ROUND((INDEX($E353:$G353,AC$5)-SUMIFS(TF_Timer,TF_Tekniker,AC$4,TF_Dato,$A353))*2,0)/2)))</f>
        <v/>
      </c>
      <c r="AD353">
        <f>IF(OR(AD$4="",$A353&gt;TODAY()),0,IF(OR(INDEX($B353:$D353,AD$5)="F",AND(AD$6&gt;0,$A353&lt;AD$6),AND(AD$7&gt;0,$A353&gt;AD$7)),0,MAX(0,ROUND((INDEX($E353:$G353,AD$5)-SUMIFS(TF_Timer,TF_Tekniker,AD$4,TF_Dato,$A353))*2,0)/2)))</f>
        <v/>
      </c>
      <c r="AE353">
        <f>IF(OR(AE$4="",$A353&gt;TODAY()),0,IF(OR(INDEX($B353:$D353,AE$5)="F",AND(AE$6&gt;0,$A353&lt;AE$6),AND(AE$7&gt;0,$A353&gt;AE$7)),0,MAX(0,ROUND((INDEX($E353:$G353,AE$5)-SUMIFS(TF_Timer,TF_Tekniker,AE$4,TF_Dato,$A353))*2,0)/2)))</f>
        <v/>
      </c>
      <c r="AF353">
        <f>IF(OR(AF$4="",$A353&gt;TODAY()),0,IF(OR(INDEX($B353:$D353,AF$5)="F",AND(AF$6&gt;0,$A353&lt;AF$6),AND(AF$7&gt;0,$A353&gt;AF$7)),0,MAX(0,ROUND((INDEX($E353:$G353,AF$5)-SUMIFS(TF_Timer,TF_Tekniker,AF$4,TF_Dato,$A353))*2,0)/2)))</f>
        <v/>
      </c>
      <c r="AG353">
        <f>IF(OR(AG$4="",$A353&gt;TODAY()),0,IF(OR(INDEX($B353:$D353,AG$5)="F",AND(AG$6&gt;0,$A353&lt;AG$6),AND(AG$7&gt;0,$A353&gt;AG$7)),0,MAX(0,ROUND((INDEX($E353:$G353,AG$5)-SUMIFS(TF_Timer,TF_Tekniker,AG$4,TF_Dato,$A353))*2,0)/2)))</f>
        <v/>
      </c>
      <c r="AH353">
        <f>IF(OR(AH$4="",$A353&gt;TODAY()),0,IF(OR(INDEX($B353:$D353,AH$5)="F",AND(AH$6&gt;0,$A353&lt;AH$6),AND(AH$7&gt;0,$A353&gt;AH$7)),0,MAX(0,ROUND((INDEX($E353:$G353,AH$5)-SUMIFS(TF_Timer,TF_Tekniker,AH$4,TF_Dato,$A353))*2,0)/2)))</f>
        <v/>
      </c>
      <c r="AI353">
        <f>IF(OR(AI$4="",$A353&gt;TODAY()),0,IF(OR(INDEX($B353:$D353,AI$5)="F",AND(AI$6&gt;0,$A353&lt;AI$6),AND(AI$7&gt;0,$A353&gt;AI$7)),0,MAX(0,ROUND((INDEX($E353:$G353,AI$5)-SUMIFS(TF_Timer,TF_Tekniker,AI$4,TF_Dato,$A353))*2,0)/2)))</f>
        <v/>
      </c>
      <c r="AJ353">
        <f>IF(OR(AJ$4="",$A353&gt;TODAY()),0,IF(OR(INDEX($B353:$D353,AJ$5)="F",AND(AJ$6&gt;0,$A353&lt;AJ$6),AND(AJ$7&gt;0,$A353&gt;AJ$7)),0,MAX(0,ROUND((INDEX($E353:$G353,AJ$5)-SUMIFS(TF_Timer,TF_Tekniker,AJ$4,TF_Dato,$A353))*2,0)/2)))</f>
        <v/>
      </c>
      <c r="AK353">
        <f>IF(OR(AK$4="",$A353&gt;TODAY()),0,IF(OR(INDEX($B353:$D353,AK$5)="F",AND(AK$6&gt;0,$A353&lt;AK$6),AND(AK$7&gt;0,$A353&gt;AK$7)),0,MAX(0,ROUND((INDEX($E353:$G353,AK$5)-SUMIFS(TF_Timer,TF_Tekniker,AK$4,TF_Dato,$A353))*2,0)/2)))</f>
        <v/>
      </c>
      <c r="AL353">
        <f>IF(OR(AL$4="",$A353&gt;TODAY()),0,IF(OR(INDEX($B353:$D353,AL$5)="F",AND(AL$6&gt;0,$A353&lt;AL$6),AND(AL$7&gt;0,$A353&gt;AL$7)),0,MAX(0,ROUND((INDEX($E353:$G353,AL$5)-SUMIFS(TF_Timer,TF_Tekniker,AL$4,TF_Dato,$A353))*2,0)/2)))</f>
        <v/>
      </c>
      <c r="AM353">
        <f>IF(OR(AM$4="",$A353&gt;TODAY()),0,IF(OR(INDEX($B353:$D353,AM$5)="F",AND(AM$6&gt;0,$A353&lt;AM$6),AND(AM$7&gt;0,$A353&gt;AM$7)),0,MAX(0,ROUND((INDEX($E353:$G353,AM$5)-SUMIFS(TF_Timer,TF_Tekniker,AM$4,TF_Dato,$A353))*2,0)/2)))</f>
        <v/>
      </c>
      <c r="AN353">
        <f>IF(OR(AN$4="",$A353&gt;TODAY()),0,IF(OR(INDEX($B353:$D353,AN$5)="F",AND(AN$6&gt;0,$A353&lt;AN$6),AND(AN$7&gt;0,$A353&gt;AN$7)),0,MAX(0,ROUND((INDEX($E353:$G353,AN$5)-SUMIFS(TF_Timer,TF_Tekniker,AN$4,TF_Dato,$A353))*2,0)/2)))</f>
        <v/>
      </c>
      <c r="AO353">
        <f>IF(OR(AO$4="",$A353&gt;TODAY()),0,IF(OR(INDEX($B353:$D353,AO$5)="F",AND(AO$6&gt;0,$A353&lt;AO$6),AND(AO$7&gt;0,$A353&gt;AO$7)),0,MAX(0,ROUND((INDEX($E353:$G353,AO$5)-SUMIFS(TF_Timer,TF_Tekniker,AO$4,TF_Dato,$A353))*2,0)/2)))</f>
        <v/>
      </c>
      <c r="AP353">
        <f>IF(OR(AP$4="",$A353&gt;TODAY()),0,IF(OR(INDEX($B353:$D353,AP$5)="F",AND(AP$6&gt;0,$A353&lt;AP$6),AND(AP$7&gt;0,$A353&gt;AP$7)),0,MAX(0,ROUND((INDEX($E353:$G353,AP$5)-SUMIFS(TF_Timer,TF_Tekniker,AP$4,TF_Dato,$A353))*2,0)/2)))</f>
        <v/>
      </c>
      <c r="AQ353">
        <f>IF(OR(AQ$4="",$A353&gt;TODAY()),0,IF(OR(INDEX($B353:$D353,AQ$5)="F",AND(AQ$6&gt;0,$A353&lt;AQ$6),AND(AQ$7&gt;0,$A353&gt;AQ$7)),0,MAX(0,ROUND((INDEX($E353:$G353,AQ$5)-SUMIFS(TF_Timer,TF_Tekniker,AQ$4,TF_Dato,$A353))*2,0)/2)))</f>
        <v/>
      </c>
      <c r="AR353">
        <f>IF(OR(AR$4="",$A353&gt;TODAY()),0,IF(OR(INDEX($B353:$D353,AR$5)="F",AND(AR$6&gt;0,$A353&lt;AR$6),AND(AR$7&gt;0,$A353&gt;AR$7)),0,MAX(0,ROUND((INDEX($E353:$G353,AR$5)-SUMIFS(TF_Timer,TF_Tekniker,AR$4,TF_Dato,$A353))*2,0)/2)))</f>
        <v/>
      </c>
      <c r="AS353">
        <f>IF(OR(AS$4="",$A353&gt;TODAY()),0,IF(OR(INDEX($B353:$D353,AS$5)="F",AND(AS$6&gt;0,$A353&lt;AS$6),AND(AS$7&gt;0,$A353&gt;AS$7)),0,MAX(0,ROUND((INDEX($E353:$G353,AS$5)-SUMIFS(TF_Timer,TF_Tekniker,AS$4,TF_Dato,$A353))*2,0)/2)))</f>
        <v/>
      </c>
      <c r="AT353">
        <f>IF(OR(AT$4="",$A353&gt;TODAY()),0,IF(OR(INDEX($B353:$D353,AT$5)="F",AND(AT$6&gt;0,$A353&lt;AT$6),AND(AT$7&gt;0,$A353&gt;AT$7)),0,MAX(0,ROUND((INDEX($E353:$G353,AT$5)-SUMIFS(TF_Timer,TF_Tekniker,AT$4,TF_Dato,$A353))*2,0)/2)))</f>
        <v/>
      </c>
      <c r="AU353">
        <f>IF(OR(AU$4="",$A353&gt;TODAY()),0,IF(OR(INDEX($B353:$D353,AU$5)="F",AND(AU$6&gt;0,$A353&lt;AU$6),AND(AU$7&gt;0,$A353&gt;AU$7)),0,MAX(0,ROUND((INDEX($E353:$G353,AU$5)-SUMIFS(TF_Timer,TF_Tekniker,AU$4,TF_Dato,$A353))*2,0)/2)))</f>
        <v/>
      </c>
      <c r="AV353">
        <f>IF(OR(AV$4="",$A353&gt;TODAY()),0,IF(OR(INDEX($B353:$D353,AV$5)="F",AND(AV$6&gt;0,$A353&lt;AV$6),AND(AV$7&gt;0,$A353&gt;AV$7)),0,MAX(0,ROUND((INDEX($E353:$G353,AV$5)-SUMIFS(TF_Timer,TF_Tekniker,AV$4,TF_Dato,$A353))*2,0)/2)))</f>
        <v/>
      </c>
      <c r="AW353">
        <f>IF(OR(AW$4="",$A353&gt;TODAY()),0,IF(OR(INDEX($B353:$D353,AW$5)="F",AND(AW$6&gt;0,$A353&lt;AW$6),AND(AW$7&gt;0,$A353&gt;AW$7)),0,MAX(0,ROUND((INDEX($E353:$G353,AW$5)-SUMIFS(TF_Timer,TF_Tekniker,AW$4,TF_Dato,$A353))*2,0)/2)))</f>
        <v/>
      </c>
      <c r="AX353">
        <f>IF(OR(AX$4="",$A353&gt;TODAY()),0,IF(OR(INDEX($B353:$D353,AX$5)="F",AND(AX$6&gt;0,$A353&lt;AX$6),AND(AX$7&gt;0,$A353&gt;AX$7)),0,MAX(0,ROUND((INDEX($E353:$G353,AX$5)-SUMIFS(TF_Timer,TF_Tekniker,AX$4,TF_Dato,$A353))*2,0)/2)))</f>
        <v/>
      </c>
      <c r="AY353">
        <f>IF(OR(AY$4="",$A353&gt;TODAY()),0,IF(OR(INDEX($B353:$D353,AY$5)="F",AND(AY$6&gt;0,$A353&lt;AY$6),AND(AY$7&gt;0,$A353&gt;AY$7)),0,MAX(0,ROUND((INDEX($E353:$G353,AY$5)-SUMIFS(TF_Timer,TF_Tekniker,AY$4,TF_Dato,$A353))*2,0)/2)))</f>
        <v/>
      </c>
      <c r="AZ353">
        <f>IF(OR(AZ$4="",$A353&gt;TODAY()),0,IF(OR(INDEX($B353:$D353,AZ$5)="F",AND(AZ$6&gt;0,$A353&lt;AZ$6),AND(AZ$7&gt;0,$A353&gt;AZ$7)),0,MAX(0,ROUND((INDEX($E353:$G353,AZ$5)-SUMIFS(TF_Timer,TF_Tekniker,AZ$4,TF_Dato,$A353))*2,0)/2)))</f>
        <v/>
      </c>
      <c r="BA353">
        <f>IF(OR(BA$4="",$A353&gt;TODAY()),0,IF(OR(INDEX($B353:$D353,BA$5)="F",AND(BA$6&gt;0,$A353&lt;BA$6),AND(BA$7&gt;0,$A353&gt;BA$7)),0,MAX(0,ROUND((INDEX($E353:$G353,BA$5)-SUMIFS(TF_Timer,TF_Tekniker,BA$4,TF_Dato,$A353))*2,0)/2)))</f>
        <v/>
      </c>
      <c r="BB353">
        <f>IF(OR(BB$4="",$A353&gt;TODAY()),0,IF(OR(INDEX($B353:$D353,BB$5)="F",AND(BB$6&gt;0,$A353&lt;BB$6),AND(BB$7&gt;0,$A353&gt;BB$7)),0,MAX(0,ROUND((INDEX($E353:$G353,BB$5)-SUMIFS(TF_Timer,TF_Tekniker,BB$4,TF_Dato,$A353))*2,0)/2)))</f>
        <v/>
      </c>
      <c r="BC353">
        <f>IF(OR(BC$4="",$A353&gt;TODAY()),0,IF(OR(INDEX($B353:$D353,BC$5)="F",AND(BC$6&gt;0,$A353&lt;BC$6),AND(BC$7&gt;0,$A353&gt;BC$7)),0,MAX(0,ROUND((INDEX($E353:$G353,BC$5)-SUMIFS(TF_Timer,TF_Tekniker,BC$4,TF_Dato,$A353))*2,0)/2)))</f>
        <v/>
      </c>
      <c r="BD353">
        <f>IF(OR(BD$4="",$A353&gt;TODAY()),0,IF(OR(INDEX($B353:$D353,BD$5)="F",AND(BD$6&gt;0,$A353&lt;BD$6),AND(BD$7&gt;0,$A353&gt;BD$7)),0,MAX(0,ROUND((INDEX($E353:$G353,BD$5)-SUMIFS(TF_Timer,TF_Tekniker,BD$4,TF_Dato,$A353))*2,0)/2)))</f>
        <v/>
      </c>
      <c r="BE353">
        <f>IF(OR(BE$4="",$A353&gt;TODAY()),0,IF(OR(INDEX($B353:$D353,BE$5)="F",AND(BE$6&gt;0,$A353&lt;BE$6),AND(BE$7&gt;0,$A353&gt;BE$7)),0,MAX(0,ROUND((INDEX($E353:$G353,BE$5)-SUMIFS(TF_Timer,TF_Tekniker,BE$4,TF_Dato,$A353))*2,0)/2)))</f>
        <v/>
      </c>
      <c r="BF353">
        <f>IF(OR(BF$4="",$A353&gt;TODAY()),0,IF(OR(INDEX($B353:$D353,BF$5)="F",AND(BF$6&gt;0,$A353&lt;BF$6),AND(BF$7&gt;0,$A353&gt;BF$7)),0,MAX(0,ROUND((INDEX($E353:$G353,BF$5)-SUMIFS(TF_Timer,TF_Tekniker,BF$4,TF_Dato,$A353))*2,0)/2)))</f>
        <v/>
      </c>
      <c r="BG353">
        <f>IF(OR(BG$4="",$A353&gt;TODAY()),0,IF(OR(INDEX($B353:$D353,BG$5)="F",AND(BG$6&gt;0,$A353&lt;BG$6),AND(BG$7&gt;0,$A353&gt;BG$7)),0,MAX(0,ROUND((INDEX($E353:$G353,BG$5)-SUMIFS(TF_Timer,TF_Tekniker,BG$4,TF_Dato,$A353))*2,0)/2)))</f>
        <v/>
      </c>
      <c r="BH353">
        <f>IF(OR(BH$4="",$A353&gt;TODAY()),0,IF(OR(INDEX($B353:$D353,BH$5)="F",AND(BH$6&gt;0,$A353&lt;BH$6),AND(BH$7&gt;0,$A353&gt;BH$7)),0,MAX(0,ROUND((INDEX($E353:$G353,BH$5)-SUMIFS(TF_Timer,TF_Tekniker,BH$4,TF_Dato,$A353))*2,0)/2)))</f>
        <v/>
      </c>
      <c r="BI353">
        <f>IF(OR(BI$4="",$A353&gt;TODAY()),0,IF(OR(INDEX($B353:$D353,BI$5)="F",AND(BI$6&gt;0,$A353&lt;BI$6),AND(BI$7&gt;0,$A353&gt;BI$7)),0,MAX(0,ROUND((INDEX($E353:$G353,BI$5)-SUMIFS(TF_Timer,TF_Tekniker,BI$4,TF_Dato,$A353))*2,0)/2)))</f>
        <v/>
      </c>
    </row>
    <row r="354">
      <c r="A354" s="64">
        <f>A353+1</f>
        <v/>
      </c>
      <c r="B354">
        <f>IF(MOD($A354-INDEX(SkiftStart,1),Syklus)&lt;DagK,"K",IF(MOD($A354-INDEX(SkiftStart,1),Syklus)&lt;DagK+DagH,"H",IF(MOD($A354-INDEX(SkiftStart,1),Syklus)&lt;DagK+DagH+DagD,"D","F")))</f>
        <v/>
      </c>
      <c r="C354">
        <f>IF(MOD($A354-INDEX(SkiftStart,2),Syklus)&lt;DagK,"K",IF(MOD($A354-INDEX(SkiftStart,2),Syklus)&lt;DagK+DagH,"H",IF(MOD($A354-INDEX(SkiftStart,2),Syklus)&lt;DagK+DagH+DagD,"D","F")))</f>
        <v/>
      </c>
      <c r="D354">
        <f>IF(MOD($A354-INDEX(SkiftStart,3),Syklus)&lt;DagK,"K",IF(MOD($A354-INDEX(SkiftStart,3),Syklus)&lt;DagK+DagH,"H",IF(MOD($A354-INDEX(SkiftStart,3),Syklus)&lt;DagK+DagH+DagD,"D","F")))</f>
        <v/>
      </c>
      <c r="E354">
        <f>IF(B354="F",0,IF(WEEKDAY($A354,2)=5,INDEX(TimerFr,MATCH(B354,FaseKode,0)),INDEX(TimerMT,MATCH(B354,FaseKode,0))))</f>
        <v/>
      </c>
      <c r="F354">
        <f>IF(C354="F",0,IF(WEEKDAY($A354,2)=5,INDEX(TimerFr,MATCH(C354,FaseKode,0)),INDEX(TimerMT,MATCH(C354,FaseKode,0))))</f>
        <v/>
      </c>
      <c r="G354">
        <f>IF(D354="F",0,IF(WEEKDAY($A354,2)=5,INDEX(TimerFr,MATCH(D354,FaseKode,0)),INDEX(TimerMT,MATCH(D354,FaseKode,0))))</f>
        <v/>
      </c>
      <c r="H354">
        <f>IF(OR(H$4="",$A354&gt;TODAY()),0,IF(OR(INDEX($B354:$D354,H$5)="F",AND(H$6&gt;0,$A354&lt;H$6),AND(H$7&gt;0,$A354&gt;H$7)),0,MAX(0,ROUND((INDEX($E354:$G354,H$5)-SUMIFS(TF_Timer,TF_Tekniker,H$4,TF_Dato,$A354))*2,0)/2)))</f>
        <v/>
      </c>
      <c r="I354">
        <f>IF(OR(I$4="",$A354&gt;TODAY()),0,IF(OR(INDEX($B354:$D354,I$5)="F",AND(I$6&gt;0,$A354&lt;I$6),AND(I$7&gt;0,$A354&gt;I$7)),0,MAX(0,ROUND((INDEX($E354:$G354,I$5)-SUMIFS(TF_Timer,TF_Tekniker,I$4,TF_Dato,$A354))*2,0)/2)))</f>
        <v/>
      </c>
      <c r="J354">
        <f>IF(OR(J$4="",$A354&gt;TODAY()),0,IF(OR(INDEX($B354:$D354,J$5)="F",AND(J$6&gt;0,$A354&lt;J$6),AND(J$7&gt;0,$A354&gt;J$7)),0,MAX(0,ROUND((INDEX($E354:$G354,J$5)-SUMIFS(TF_Timer,TF_Tekniker,J$4,TF_Dato,$A354))*2,0)/2)))</f>
        <v/>
      </c>
      <c r="K354">
        <f>IF(OR(K$4="",$A354&gt;TODAY()),0,IF(OR(INDEX($B354:$D354,K$5)="F",AND(K$6&gt;0,$A354&lt;K$6),AND(K$7&gt;0,$A354&gt;K$7)),0,MAX(0,ROUND((INDEX($E354:$G354,K$5)-SUMIFS(TF_Timer,TF_Tekniker,K$4,TF_Dato,$A354))*2,0)/2)))</f>
        <v/>
      </c>
      <c r="L354">
        <f>IF(OR(L$4="",$A354&gt;TODAY()),0,IF(OR(INDEX($B354:$D354,L$5)="F",AND(L$6&gt;0,$A354&lt;L$6),AND(L$7&gt;0,$A354&gt;L$7)),0,MAX(0,ROUND((INDEX($E354:$G354,L$5)-SUMIFS(TF_Timer,TF_Tekniker,L$4,TF_Dato,$A354))*2,0)/2)))</f>
        <v/>
      </c>
      <c r="M354">
        <f>IF(OR(M$4="",$A354&gt;TODAY()),0,IF(OR(INDEX($B354:$D354,M$5)="F",AND(M$6&gt;0,$A354&lt;M$6),AND(M$7&gt;0,$A354&gt;M$7)),0,MAX(0,ROUND((INDEX($E354:$G354,M$5)-SUMIFS(TF_Timer,TF_Tekniker,M$4,TF_Dato,$A354))*2,0)/2)))</f>
        <v/>
      </c>
      <c r="N354">
        <f>IF(OR(N$4="",$A354&gt;TODAY()),0,IF(OR(INDEX($B354:$D354,N$5)="F",AND(N$6&gt;0,$A354&lt;N$6),AND(N$7&gt;0,$A354&gt;N$7)),0,MAX(0,ROUND((INDEX($E354:$G354,N$5)-SUMIFS(TF_Timer,TF_Tekniker,N$4,TF_Dato,$A354))*2,0)/2)))</f>
        <v/>
      </c>
      <c r="O354">
        <f>IF(OR(O$4="",$A354&gt;TODAY()),0,IF(OR(INDEX($B354:$D354,O$5)="F",AND(O$6&gt;0,$A354&lt;O$6),AND(O$7&gt;0,$A354&gt;O$7)),0,MAX(0,ROUND((INDEX($E354:$G354,O$5)-SUMIFS(TF_Timer,TF_Tekniker,O$4,TF_Dato,$A354))*2,0)/2)))</f>
        <v/>
      </c>
      <c r="P354">
        <f>IF(OR(P$4="",$A354&gt;TODAY()),0,IF(OR(INDEX($B354:$D354,P$5)="F",AND(P$6&gt;0,$A354&lt;P$6),AND(P$7&gt;0,$A354&gt;P$7)),0,MAX(0,ROUND((INDEX($E354:$G354,P$5)-SUMIFS(TF_Timer,TF_Tekniker,P$4,TF_Dato,$A354))*2,0)/2)))</f>
        <v/>
      </c>
      <c r="Q354">
        <f>IF(OR(Q$4="",$A354&gt;TODAY()),0,IF(OR(INDEX($B354:$D354,Q$5)="F",AND(Q$6&gt;0,$A354&lt;Q$6),AND(Q$7&gt;0,$A354&gt;Q$7)),0,MAX(0,ROUND((INDEX($E354:$G354,Q$5)-SUMIFS(TF_Timer,TF_Tekniker,Q$4,TF_Dato,$A354))*2,0)/2)))</f>
        <v/>
      </c>
      <c r="R354">
        <f>IF(OR(R$4="",$A354&gt;TODAY()),0,IF(OR(INDEX($B354:$D354,R$5)="F",AND(R$6&gt;0,$A354&lt;R$6),AND(R$7&gt;0,$A354&gt;R$7)),0,MAX(0,ROUND((INDEX($E354:$G354,R$5)-SUMIFS(TF_Timer,TF_Tekniker,R$4,TF_Dato,$A354))*2,0)/2)))</f>
        <v/>
      </c>
      <c r="S354">
        <f>IF(OR(S$4="",$A354&gt;TODAY()),0,IF(OR(INDEX($B354:$D354,S$5)="F",AND(S$6&gt;0,$A354&lt;S$6),AND(S$7&gt;0,$A354&gt;S$7)),0,MAX(0,ROUND((INDEX($E354:$G354,S$5)-SUMIFS(TF_Timer,TF_Tekniker,S$4,TF_Dato,$A354))*2,0)/2)))</f>
        <v/>
      </c>
      <c r="T354">
        <f>IF(OR(T$4="",$A354&gt;TODAY()),0,IF(OR(INDEX($B354:$D354,T$5)="F",AND(T$6&gt;0,$A354&lt;T$6),AND(T$7&gt;0,$A354&gt;T$7)),0,MAX(0,ROUND((INDEX($E354:$G354,T$5)-SUMIFS(TF_Timer,TF_Tekniker,T$4,TF_Dato,$A354))*2,0)/2)))</f>
        <v/>
      </c>
      <c r="U354">
        <f>IF(OR(U$4="",$A354&gt;TODAY()),0,IF(OR(INDEX($B354:$D354,U$5)="F",AND(U$6&gt;0,$A354&lt;U$6),AND(U$7&gt;0,$A354&gt;U$7)),0,MAX(0,ROUND((INDEX($E354:$G354,U$5)-SUMIFS(TF_Timer,TF_Tekniker,U$4,TF_Dato,$A354))*2,0)/2)))</f>
        <v/>
      </c>
      <c r="V354">
        <f>IF(OR(V$4="",$A354&gt;TODAY()),0,IF(OR(INDEX($B354:$D354,V$5)="F",AND(V$6&gt;0,$A354&lt;V$6),AND(V$7&gt;0,$A354&gt;V$7)),0,MAX(0,ROUND((INDEX($E354:$G354,V$5)-SUMIFS(TF_Timer,TF_Tekniker,V$4,TF_Dato,$A354))*2,0)/2)))</f>
        <v/>
      </c>
      <c r="W354">
        <f>IF(OR(W$4="",$A354&gt;TODAY()),0,IF(OR(INDEX($B354:$D354,W$5)="F",AND(W$6&gt;0,$A354&lt;W$6),AND(W$7&gt;0,$A354&gt;W$7)),0,MAX(0,ROUND((INDEX($E354:$G354,W$5)-SUMIFS(TF_Timer,TF_Tekniker,W$4,TF_Dato,$A354))*2,0)/2)))</f>
        <v/>
      </c>
      <c r="X354">
        <f>IF(OR(X$4="",$A354&gt;TODAY()),0,IF(OR(INDEX($B354:$D354,X$5)="F",AND(X$6&gt;0,$A354&lt;X$6),AND(X$7&gt;0,$A354&gt;X$7)),0,MAX(0,ROUND((INDEX($E354:$G354,X$5)-SUMIFS(TF_Timer,TF_Tekniker,X$4,TF_Dato,$A354))*2,0)/2)))</f>
        <v/>
      </c>
      <c r="Y354">
        <f>IF(OR(Y$4="",$A354&gt;TODAY()),0,IF(OR(INDEX($B354:$D354,Y$5)="F",AND(Y$6&gt;0,$A354&lt;Y$6),AND(Y$7&gt;0,$A354&gt;Y$7)),0,MAX(0,ROUND((INDEX($E354:$G354,Y$5)-SUMIFS(TF_Timer,TF_Tekniker,Y$4,TF_Dato,$A354))*2,0)/2)))</f>
        <v/>
      </c>
      <c r="Z354">
        <f>IF(OR(Z$4="",$A354&gt;TODAY()),0,IF(OR(INDEX($B354:$D354,Z$5)="F",AND(Z$6&gt;0,$A354&lt;Z$6),AND(Z$7&gt;0,$A354&gt;Z$7)),0,MAX(0,ROUND((INDEX($E354:$G354,Z$5)-SUMIFS(TF_Timer,TF_Tekniker,Z$4,TF_Dato,$A354))*2,0)/2)))</f>
        <v/>
      </c>
      <c r="AA354">
        <f>IF(OR(AA$4="",$A354&gt;TODAY()),0,IF(OR(INDEX($B354:$D354,AA$5)="F",AND(AA$6&gt;0,$A354&lt;AA$6),AND(AA$7&gt;0,$A354&gt;AA$7)),0,MAX(0,ROUND((INDEX($E354:$G354,AA$5)-SUMIFS(TF_Timer,TF_Tekniker,AA$4,TF_Dato,$A354))*2,0)/2)))</f>
        <v/>
      </c>
      <c r="AB354">
        <f>IF(OR(AB$4="",$A354&gt;TODAY()),0,IF(OR(INDEX($B354:$D354,AB$5)="F",AND(AB$6&gt;0,$A354&lt;AB$6),AND(AB$7&gt;0,$A354&gt;AB$7)),0,MAX(0,ROUND((INDEX($E354:$G354,AB$5)-SUMIFS(TF_Timer,TF_Tekniker,AB$4,TF_Dato,$A354))*2,0)/2)))</f>
        <v/>
      </c>
      <c r="AC354">
        <f>IF(OR(AC$4="",$A354&gt;TODAY()),0,IF(OR(INDEX($B354:$D354,AC$5)="F",AND(AC$6&gt;0,$A354&lt;AC$6),AND(AC$7&gt;0,$A354&gt;AC$7)),0,MAX(0,ROUND((INDEX($E354:$G354,AC$5)-SUMIFS(TF_Timer,TF_Tekniker,AC$4,TF_Dato,$A354))*2,0)/2)))</f>
        <v/>
      </c>
      <c r="AD354">
        <f>IF(OR(AD$4="",$A354&gt;TODAY()),0,IF(OR(INDEX($B354:$D354,AD$5)="F",AND(AD$6&gt;0,$A354&lt;AD$6),AND(AD$7&gt;0,$A354&gt;AD$7)),0,MAX(0,ROUND((INDEX($E354:$G354,AD$5)-SUMIFS(TF_Timer,TF_Tekniker,AD$4,TF_Dato,$A354))*2,0)/2)))</f>
        <v/>
      </c>
      <c r="AE354">
        <f>IF(OR(AE$4="",$A354&gt;TODAY()),0,IF(OR(INDEX($B354:$D354,AE$5)="F",AND(AE$6&gt;0,$A354&lt;AE$6),AND(AE$7&gt;0,$A354&gt;AE$7)),0,MAX(0,ROUND((INDEX($E354:$G354,AE$5)-SUMIFS(TF_Timer,TF_Tekniker,AE$4,TF_Dato,$A354))*2,0)/2)))</f>
        <v/>
      </c>
      <c r="AF354">
        <f>IF(OR(AF$4="",$A354&gt;TODAY()),0,IF(OR(INDEX($B354:$D354,AF$5)="F",AND(AF$6&gt;0,$A354&lt;AF$6),AND(AF$7&gt;0,$A354&gt;AF$7)),0,MAX(0,ROUND((INDEX($E354:$G354,AF$5)-SUMIFS(TF_Timer,TF_Tekniker,AF$4,TF_Dato,$A354))*2,0)/2)))</f>
        <v/>
      </c>
      <c r="AG354">
        <f>IF(OR(AG$4="",$A354&gt;TODAY()),0,IF(OR(INDEX($B354:$D354,AG$5)="F",AND(AG$6&gt;0,$A354&lt;AG$6),AND(AG$7&gt;0,$A354&gt;AG$7)),0,MAX(0,ROUND((INDEX($E354:$G354,AG$5)-SUMIFS(TF_Timer,TF_Tekniker,AG$4,TF_Dato,$A354))*2,0)/2)))</f>
        <v/>
      </c>
      <c r="AH354">
        <f>IF(OR(AH$4="",$A354&gt;TODAY()),0,IF(OR(INDEX($B354:$D354,AH$5)="F",AND(AH$6&gt;0,$A354&lt;AH$6),AND(AH$7&gt;0,$A354&gt;AH$7)),0,MAX(0,ROUND((INDEX($E354:$G354,AH$5)-SUMIFS(TF_Timer,TF_Tekniker,AH$4,TF_Dato,$A354))*2,0)/2)))</f>
        <v/>
      </c>
      <c r="AI354">
        <f>IF(OR(AI$4="",$A354&gt;TODAY()),0,IF(OR(INDEX($B354:$D354,AI$5)="F",AND(AI$6&gt;0,$A354&lt;AI$6),AND(AI$7&gt;0,$A354&gt;AI$7)),0,MAX(0,ROUND((INDEX($E354:$G354,AI$5)-SUMIFS(TF_Timer,TF_Tekniker,AI$4,TF_Dato,$A354))*2,0)/2)))</f>
        <v/>
      </c>
      <c r="AJ354">
        <f>IF(OR(AJ$4="",$A354&gt;TODAY()),0,IF(OR(INDEX($B354:$D354,AJ$5)="F",AND(AJ$6&gt;0,$A354&lt;AJ$6),AND(AJ$7&gt;0,$A354&gt;AJ$7)),0,MAX(0,ROUND((INDEX($E354:$G354,AJ$5)-SUMIFS(TF_Timer,TF_Tekniker,AJ$4,TF_Dato,$A354))*2,0)/2)))</f>
        <v/>
      </c>
      <c r="AK354">
        <f>IF(OR(AK$4="",$A354&gt;TODAY()),0,IF(OR(INDEX($B354:$D354,AK$5)="F",AND(AK$6&gt;0,$A354&lt;AK$6),AND(AK$7&gt;0,$A354&gt;AK$7)),0,MAX(0,ROUND((INDEX($E354:$G354,AK$5)-SUMIFS(TF_Timer,TF_Tekniker,AK$4,TF_Dato,$A354))*2,0)/2)))</f>
        <v/>
      </c>
      <c r="AL354">
        <f>IF(OR(AL$4="",$A354&gt;TODAY()),0,IF(OR(INDEX($B354:$D354,AL$5)="F",AND(AL$6&gt;0,$A354&lt;AL$6),AND(AL$7&gt;0,$A354&gt;AL$7)),0,MAX(0,ROUND((INDEX($E354:$G354,AL$5)-SUMIFS(TF_Timer,TF_Tekniker,AL$4,TF_Dato,$A354))*2,0)/2)))</f>
        <v/>
      </c>
      <c r="AM354">
        <f>IF(OR(AM$4="",$A354&gt;TODAY()),0,IF(OR(INDEX($B354:$D354,AM$5)="F",AND(AM$6&gt;0,$A354&lt;AM$6),AND(AM$7&gt;0,$A354&gt;AM$7)),0,MAX(0,ROUND((INDEX($E354:$G354,AM$5)-SUMIFS(TF_Timer,TF_Tekniker,AM$4,TF_Dato,$A354))*2,0)/2)))</f>
        <v/>
      </c>
      <c r="AN354">
        <f>IF(OR(AN$4="",$A354&gt;TODAY()),0,IF(OR(INDEX($B354:$D354,AN$5)="F",AND(AN$6&gt;0,$A354&lt;AN$6),AND(AN$7&gt;0,$A354&gt;AN$7)),0,MAX(0,ROUND((INDEX($E354:$G354,AN$5)-SUMIFS(TF_Timer,TF_Tekniker,AN$4,TF_Dato,$A354))*2,0)/2)))</f>
        <v/>
      </c>
      <c r="AO354">
        <f>IF(OR(AO$4="",$A354&gt;TODAY()),0,IF(OR(INDEX($B354:$D354,AO$5)="F",AND(AO$6&gt;0,$A354&lt;AO$6),AND(AO$7&gt;0,$A354&gt;AO$7)),0,MAX(0,ROUND((INDEX($E354:$G354,AO$5)-SUMIFS(TF_Timer,TF_Tekniker,AO$4,TF_Dato,$A354))*2,0)/2)))</f>
        <v/>
      </c>
      <c r="AP354">
        <f>IF(OR(AP$4="",$A354&gt;TODAY()),0,IF(OR(INDEX($B354:$D354,AP$5)="F",AND(AP$6&gt;0,$A354&lt;AP$6),AND(AP$7&gt;0,$A354&gt;AP$7)),0,MAX(0,ROUND((INDEX($E354:$G354,AP$5)-SUMIFS(TF_Timer,TF_Tekniker,AP$4,TF_Dato,$A354))*2,0)/2)))</f>
        <v/>
      </c>
      <c r="AQ354">
        <f>IF(OR(AQ$4="",$A354&gt;TODAY()),0,IF(OR(INDEX($B354:$D354,AQ$5)="F",AND(AQ$6&gt;0,$A354&lt;AQ$6),AND(AQ$7&gt;0,$A354&gt;AQ$7)),0,MAX(0,ROUND((INDEX($E354:$G354,AQ$5)-SUMIFS(TF_Timer,TF_Tekniker,AQ$4,TF_Dato,$A354))*2,0)/2)))</f>
        <v/>
      </c>
      <c r="AR354">
        <f>IF(OR(AR$4="",$A354&gt;TODAY()),0,IF(OR(INDEX($B354:$D354,AR$5)="F",AND(AR$6&gt;0,$A354&lt;AR$6),AND(AR$7&gt;0,$A354&gt;AR$7)),0,MAX(0,ROUND((INDEX($E354:$G354,AR$5)-SUMIFS(TF_Timer,TF_Tekniker,AR$4,TF_Dato,$A354))*2,0)/2)))</f>
        <v/>
      </c>
      <c r="AS354">
        <f>IF(OR(AS$4="",$A354&gt;TODAY()),0,IF(OR(INDEX($B354:$D354,AS$5)="F",AND(AS$6&gt;0,$A354&lt;AS$6),AND(AS$7&gt;0,$A354&gt;AS$7)),0,MAX(0,ROUND((INDEX($E354:$G354,AS$5)-SUMIFS(TF_Timer,TF_Tekniker,AS$4,TF_Dato,$A354))*2,0)/2)))</f>
        <v/>
      </c>
      <c r="AT354">
        <f>IF(OR(AT$4="",$A354&gt;TODAY()),0,IF(OR(INDEX($B354:$D354,AT$5)="F",AND(AT$6&gt;0,$A354&lt;AT$6),AND(AT$7&gt;0,$A354&gt;AT$7)),0,MAX(0,ROUND((INDEX($E354:$G354,AT$5)-SUMIFS(TF_Timer,TF_Tekniker,AT$4,TF_Dato,$A354))*2,0)/2)))</f>
        <v/>
      </c>
      <c r="AU354">
        <f>IF(OR(AU$4="",$A354&gt;TODAY()),0,IF(OR(INDEX($B354:$D354,AU$5)="F",AND(AU$6&gt;0,$A354&lt;AU$6),AND(AU$7&gt;0,$A354&gt;AU$7)),0,MAX(0,ROUND((INDEX($E354:$G354,AU$5)-SUMIFS(TF_Timer,TF_Tekniker,AU$4,TF_Dato,$A354))*2,0)/2)))</f>
        <v/>
      </c>
      <c r="AV354">
        <f>IF(OR(AV$4="",$A354&gt;TODAY()),0,IF(OR(INDEX($B354:$D354,AV$5)="F",AND(AV$6&gt;0,$A354&lt;AV$6),AND(AV$7&gt;0,$A354&gt;AV$7)),0,MAX(0,ROUND((INDEX($E354:$G354,AV$5)-SUMIFS(TF_Timer,TF_Tekniker,AV$4,TF_Dato,$A354))*2,0)/2)))</f>
        <v/>
      </c>
      <c r="AW354">
        <f>IF(OR(AW$4="",$A354&gt;TODAY()),0,IF(OR(INDEX($B354:$D354,AW$5)="F",AND(AW$6&gt;0,$A354&lt;AW$6),AND(AW$7&gt;0,$A354&gt;AW$7)),0,MAX(0,ROUND((INDEX($E354:$G354,AW$5)-SUMIFS(TF_Timer,TF_Tekniker,AW$4,TF_Dato,$A354))*2,0)/2)))</f>
        <v/>
      </c>
      <c r="AX354">
        <f>IF(OR(AX$4="",$A354&gt;TODAY()),0,IF(OR(INDEX($B354:$D354,AX$5)="F",AND(AX$6&gt;0,$A354&lt;AX$6),AND(AX$7&gt;0,$A354&gt;AX$7)),0,MAX(0,ROUND((INDEX($E354:$G354,AX$5)-SUMIFS(TF_Timer,TF_Tekniker,AX$4,TF_Dato,$A354))*2,0)/2)))</f>
        <v/>
      </c>
      <c r="AY354">
        <f>IF(OR(AY$4="",$A354&gt;TODAY()),0,IF(OR(INDEX($B354:$D354,AY$5)="F",AND(AY$6&gt;0,$A354&lt;AY$6),AND(AY$7&gt;0,$A354&gt;AY$7)),0,MAX(0,ROUND((INDEX($E354:$G354,AY$5)-SUMIFS(TF_Timer,TF_Tekniker,AY$4,TF_Dato,$A354))*2,0)/2)))</f>
        <v/>
      </c>
      <c r="AZ354">
        <f>IF(OR(AZ$4="",$A354&gt;TODAY()),0,IF(OR(INDEX($B354:$D354,AZ$5)="F",AND(AZ$6&gt;0,$A354&lt;AZ$6),AND(AZ$7&gt;0,$A354&gt;AZ$7)),0,MAX(0,ROUND((INDEX($E354:$G354,AZ$5)-SUMIFS(TF_Timer,TF_Tekniker,AZ$4,TF_Dato,$A354))*2,0)/2)))</f>
        <v/>
      </c>
      <c r="BA354">
        <f>IF(OR(BA$4="",$A354&gt;TODAY()),0,IF(OR(INDEX($B354:$D354,BA$5)="F",AND(BA$6&gt;0,$A354&lt;BA$6),AND(BA$7&gt;0,$A354&gt;BA$7)),0,MAX(0,ROUND((INDEX($E354:$G354,BA$5)-SUMIFS(TF_Timer,TF_Tekniker,BA$4,TF_Dato,$A354))*2,0)/2)))</f>
        <v/>
      </c>
      <c r="BB354">
        <f>IF(OR(BB$4="",$A354&gt;TODAY()),0,IF(OR(INDEX($B354:$D354,BB$5)="F",AND(BB$6&gt;0,$A354&lt;BB$6),AND(BB$7&gt;0,$A354&gt;BB$7)),0,MAX(0,ROUND((INDEX($E354:$G354,BB$5)-SUMIFS(TF_Timer,TF_Tekniker,BB$4,TF_Dato,$A354))*2,0)/2)))</f>
        <v/>
      </c>
      <c r="BC354">
        <f>IF(OR(BC$4="",$A354&gt;TODAY()),0,IF(OR(INDEX($B354:$D354,BC$5)="F",AND(BC$6&gt;0,$A354&lt;BC$6),AND(BC$7&gt;0,$A354&gt;BC$7)),0,MAX(0,ROUND((INDEX($E354:$G354,BC$5)-SUMIFS(TF_Timer,TF_Tekniker,BC$4,TF_Dato,$A354))*2,0)/2)))</f>
        <v/>
      </c>
      <c r="BD354">
        <f>IF(OR(BD$4="",$A354&gt;TODAY()),0,IF(OR(INDEX($B354:$D354,BD$5)="F",AND(BD$6&gt;0,$A354&lt;BD$6),AND(BD$7&gt;0,$A354&gt;BD$7)),0,MAX(0,ROUND((INDEX($E354:$G354,BD$5)-SUMIFS(TF_Timer,TF_Tekniker,BD$4,TF_Dato,$A354))*2,0)/2)))</f>
        <v/>
      </c>
      <c r="BE354">
        <f>IF(OR(BE$4="",$A354&gt;TODAY()),0,IF(OR(INDEX($B354:$D354,BE$5)="F",AND(BE$6&gt;0,$A354&lt;BE$6),AND(BE$7&gt;0,$A354&gt;BE$7)),0,MAX(0,ROUND((INDEX($E354:$G354,BE$5)-SUMIFS(TF_Timer,TF_Tekniker,BE$4,TF_Dato,$A354))*2,0)/2)))</f>
        <v/>
      </c>
      <c r="BF354">
        <f>IF(OR(BF$4="",$A354&gt;TODAY()),0,IF(OR(INDEX($B354:$D354,BF$5)="F",AND(BF$6&gt;0,$A354&lt;BF$6),AND(BF$7&gt;0,$A354&gt;BF$7)),0,MAX(0,ROUND((INDEX($E354:$G354,BF$5)-SUMIFS(TF_Timer,TF_Tekniker,BF$4,TF_Dato,$A354))*2,0)/2)))</f>
        <v/>
      </c>
      <c r="BG354">
        <f>IF(OR(BG$4="",$A354&gt;TODAY()),0,IF(OR(INDEX($B354:$D354,BG$5)="F",AND(BG$6&gt;0,$A354&lt;BG$6),AND(BG$7&gt;0,$A354&gt;BG$7)),0,MAX(0,ROUND((INDEX($E354:$G354,BG$5)-SUMIFS(TF_Timer,TF_Tekniker,BG$4,TF_Dato,$A354))*2,0)/2)))</f>
        <v/>
      </c>
      <c r="BH354">
        <f>IF(OR(BH$4="",$A354&gt;TODAY()),0,IF(OR(INDEX($B354:$D354,BH$5)="F",AND(BH$6&gt;0,$A354&lt;BH$6),AND(BH$7&gt;0,$A354&gt;BH$7)),0,MAX(0,ROUND((INDEX($E354:$G354,BH$5)-SUMIFS(TF_Timer,TF_Tekniker,BH$4,TF_Dato,$A354))*2,0)/2)))</f>
        <v/>
      </c>
      <c r="BI354">
        <f>IF(OR(BI$4="",$A354&gt;TODAY()),0,IF(OR(INDEX($B354:$D354,BI$5)="F",AND(BI$6&gt;0,$A354&lt;BI$6),AND(BI$7&gt;0,$A354&gt;BI$7)),0,MAX(0,ROUND((INDEX($E354:$G354,BI$5)-SUMIFS(TF_Timer,TF_Tekniker,BI$4,TF_Dato,$A354))*2,0)/2)))</f>
        <v/>
      </c>
    </row>
    <row r="355">
      <c r="A355" s="64">
        <f>A354+1</f>
        <v/>
      </c>
      <c r="B355">
        <f>IF(MOD($A355-INDEX(SkiftStart,1),Syklus)&lt;DagK,"K",IF(MOD($A355-INDEX(SkiftStart,1),Syklus)&lt;DagK+DagH,"H",IF(MOD($A355-INDEX(SkiftStart,1),Syklus)&lt;DagK+DagH+DagD,"D","F")))</f>
        <v/>
      </c>
      <c r="C355">
        <f>IF(MOD($A355-INDEX(SkiftStart,2),Syklus)&lt;DagK,"K",IF(MOD($A355-INDEX(SkiftStart,2),Syklus)&lt;DagK+DagH,"H",IF(MOD($A355-INDEX(SkiftStart,2),Syklus)&lt;DagK+DagH+DagD,"D","F")))</f>
        <v/>
      </c>
      <c r="D355">
        <f>IF(MOD($A355-INDEX(SkiftStart,3),Syklus)&lt;DagK,"K",IF(MOD($A355-INDEX(SkiftStart,3),Syklus)&lt;DagK+DagH,"H",IF(MOD($A355-INDEX(SkiftStart,3),Syklus)&lt;DagK+DagH+DagD,"D","F")))</f>
        <v/>
      </c>
      <c r="E355">
        <f>IF(B355="F",0,IF(WEEKDAY($A355,2)=5,INDEX(TimerFr,MATCH(B355,FaseKode,0)),INDEX(TimerMT,MATCH(B355,FaseKode,0))))</f>
        <v/>
      </c>
      <c r="F355">
        <f>IF(C355="F",0,IF(WEEKDAY($A355,2)=5,INDEX(TimerFr,MATCH(C355,FaseKode,0)),INDEX(TimerMT,MATCH(C355,FaseKode,0))))</f>
        <v/>
      </c>
      <c r="G355">
        <f>IF(D355="F",0,IF(WEEKDAY($A355,2)=5,INDEX(TimerFr,MATCH(D355,FaseKode,0)),INDEX(TimerMT,MATCH(D355,FaseKode,0))))</f>
        <v/>
      </c>
      <c r="H355">
        <f>IF(OR(H$4="",$A355&gt;TODAY()),0,IF(OR(INDEX($B355:$D355,H$5)="F",AND(H$6&gt;0,$A355&lt;H$6),AND(H$7&gt;0,$A355&gt;H$7)),0,MAX(0,ROUND((INDEX($E355:$G355,H$5)-SUMIFS(TF_Timer,TF_Tekniker,H$4,TF_Dato,$A355))*2,0)/2)))</f>
        <v/>
      </c>
      <c r="I355">
        <f>IF(OR(I$4="",$A355&gt;TODAY()),0,IF(OR(INDEX($B355:$D355,I$5)="F",AND(I$6&gt;0,$A355&lt;I$6),AND(I$7&gt;0,$A355&gt;I$7)),0,MAX(0,ROUND((INDEX($E355:$G355,I$5)-SUMIFS(TF_Timer,TF_Tekniker,I$4,TF_Dato,$A355))*2,0)/2)))</f>
        <v/>
      </c>
      <c r="J355">
        <f>IF(OR(J$4="",$A355&gt;TODAY()),0,IF(OR(INDEX($B355:$D355,J$5)="F",AND(J$6&gt;0,$A355&lt;J$6),AND(J$7&gt;0,$A355&gt;J$7)),0,MAX(0,ROUND((INDEX($E355:$G355,J$5)-SUMIFS(TF_Timer,TF_Tekniker,J$4,TF_Dato,$A355))*2,0)/2)))</f>
        <v/>
      </c>
      <c r="K355">
        <f>IF(OR(K$4="",$A355&gt;TODAY()),0,IF(OR(INDEX($B355:$D355,K$5)="F",AND(K$6&gt;0,$A355&lt;K$6),AND(K$7&gt;0,$A355&gt;K$7)),0,MAX(0,ROUND((INDEX($E355:$G355,K$5)-SUMIFS(TF_Timer,TF_Tekniker,K$4,TF_Dato,$A355))*2,0)/2)))</f>
        <v/>
      </c>
      <c r="L355">
        <f>IF(OR(L$4="",$A355&gt;TODAY()),0,IF(OR(INDEX($B355:$D355,L$5)="F",AND(L$6&gt;0,$A355&lt;L$6),AND(L$7&gt;0,$A355&gt;L$7)),0,MAX(0,ROUND((INDEX($E355:$G355,L$5)-SUMIFS(TF_Timer,TF_Tekniker,L$4,TF_Dato,$A355))*2,0)/2)))</f>
        <v/>
      </c>
      <c r="M355">
        <f>IF(OR(M$4="",$A355&gt;TODAY()),0,IF(OR(INDEX($B355:$D355,M$5)="F",AND(M$6&gt;0,$A355&lt;M$6),AND(M$7&gt;0,$A355&gt;M$7)),0,MAX(0,ROUND((INDEX($E355:$G355,M$5)-SUMIFS(TF_Timer,TF_Tekniker,M$4,TF_Dato,$A355))*2,0)/2)))</f>
        <v/>
      </c>
      <c r="N355">
        <f>IF(OR(N$4="",$A355&gt;TODAY()),0,IF(OR(INDEX($B355:$D355,N$5)="F",AND(N$6&gt;0,$A355&lt;N$6),AND(N$7&gt;0,$A355&gt;N$7)),0,MAX(0,ROUND((INDEX($E355:$G355,N$5)-SUMIFS(TF_Timer,TF_Tekniker,N$4,TF_Dato,$A355))*2,0)/2)))</f>
        <v/>
      </c>
      <c r="O355">
        <f>IF(OR(O$4="",$A355&gt;TODAY()),0,IF(OR(INDEX($B355:$D355,O$5)="F",AND(O$6&gt;0,$A355&lt;O$6),AND(O$7&gt;0,$A355&gt;O$7)),0,MAX(0,ROUND((INDEX($E355:$G355,O$5)-SUMIFS(TF_Timer,TF_Tekniker,O$4,TF_Dato,$A355))*2,0)/2)))</f>
        <v/>
      </c>
      <c r="P355">
        <f>IF(OR(P$4="",$A355&gt;TODAY()),0,IF(OR(INDEX($B355:$D355,P$5)="F",AND(P$6&gt;0,$A355&lt;P$6),AND(P$7&gt;0,$A355&gt;P$7)),0,MAX(0,ROUND((INDEX($E355:$G355,P$5)-SUMIFS(TF_Timer,TF_Tekniker,P$4,TF_Dato,$A355))*2,0)/2)))</f>
        <v/>
      </c>
      <c r="Q355">
        <f>IF(OR(Q$4="",$A355&gt;TODAY()),0,IF(OR(INDEX($B355:$D355,Q$5)="F",AND(Q$6&gt;0,$A355&lt;Q$6),AND(Q$7&gt;0,$A355&gt;Q$7)),0,MAX(0,ROUND((INDEX($E355:$G355,Q$5)-SUMIFS(TF_Timer,TF_Tekniker,Q$4,TF_Dato,$A355))*2,0)/2)))</f>
        <v/>
      </c>
      <c r="R355">
        <f>IF(OR(R$4="",$A355&gt;TODAY()),0,IF(OR(INDEX($B355:$D355,R$5)="F",AND(R$6&gt;0,$A355&lt;R$6),AND(R$7&gt;0,$A355&gt;R$7)),0,MAX(0,ROUND((INDEX($E355:$G355,R$5)-SUMIFS(TF_Timer,TF_Tekniker,R$4,TF_Dato,$A355))*2,0)/2)))</f>
        <v/>
      </c>
      <c r="S355">
        <f>IF(OR(S$4="",$A355&gt;TODAY()),0,IF(OR(INDEX($B355:$D355,S$5)="F",AND(S$6&gt;0,$A355&lt;S$6),AND(S$7&gt;0,$A355&gt;S$7)),0,MAX(0,ROUND((INDEX($E355:$G355,S$5)-SUMIFS(TF_Timer,TF_Tekniker,S$4,TF_Dato,$A355))*2,0)/2)))</f>
        <v/>
      </c>
      <c r="T355">
        <f>IF(OR(T$4="",$A355&gt;TODAY()),0,IF(OR(INDEX($B355:$D355,T$5)="F",AND(T$6&gt;0,$A355&lt;T$6),AND(T$7&gt;0,$A355&gt;T$7)),0,MAX(0,ROUND((INDEX($E355:$G355,T$5)-SUMIFS(TF_Timer,TF_Tekniker,T$4,TF_Dato,$A355))*2,0)/2)))</f>
        <v/>
      </c>
      <c r="U355">
        <f>IF(OR(U$4="",$A355&gt;TODAY()),0,IF(OR(INDEX($B355:$D355,U$5)="F",AND(U$6&gt;0,$A355&lt;U$6),AND(U$7&gt;0,$A355&gt;U$7)),0,MAX(0,ROUND((INDEX($E355:$G355,U$5)-SUMIFS(TF_Timer,TF_Tekniker,U$4,TF_Dato,$A355))*2,0)/2)))</f>
        <v/>
      </c>
      <c r="V355">
        <f>IF(OR(V$4="",$A355&gt;TODAY()),0,IF(OR(INDEX($B355:$D355,V$5)="F",AND(V$6&gt;0,$A355&lt;V$6),AND(V$7&gt;0,$A355&gt;V$7)),0,MAX(0,ROUND((INDEX($E355:$G355,V$5)-SUMIFS(TF_Timer,TF_Tekniker,V$4,TF_Dato,$A355))*2,0)/2)))</f>
        <v/>
      </c>
      <c r="W355">
        <f>IF(OR(W$4="",$A355&gt;TODAY()),0,IF(OR(INDEX($B355:$D355,W$5)="F",AND(W$6&gt;0,$A355&lt;W$6),AND(W$7&gt;0,$A355&gt;W$7)),0,MAX(0,ROUND((INDEX($E355:$G355,W$5)-SUMIFS(TF_Timer,TF_Tekniker,W$4,TF_Dato,$A355))*2,0)/2)))</f>
        <v/>
      </c>
      <c r="X355">
        <f>IF(OR(X$4="",$A355&gt;TODAY()),0,IF(OR(INDEX($B355:$D355,X$5)="F",AND(X$6&gt;0,$A355&lt;X$6),AND(X$7&gt;0,$A355&gt;X$7)),0,MAX(0,ROUND((INDEX($E355:$G355,X$5)-SUMIFS(TF_Timer,TF_Tekniker,X$4,TF_Dato,$A355))*2,0)/2)))</f>
        <v/>
      </c>
      <c r="Y355">
        <f>IF(OR(Y$4="",$A355&gt;TODAY()),0,IF(OR(INDEX($B355:$D355,Y$5)="F",AND(Y$6&gt;0,$A355&lt;Y$6),AND(Y$7&gt;0,$A355&gt;Y$7)),0,MAX(0,ROUND((INDEX($E355:$G355,Y$5)-SUMIFS(TF_Timer,TF_Tekniker,Y$4,TF_Dato,$A355))*2,0)/2)))</f>
        <v/>
      </c>
      <c r="Z355">
        <f>IF(OR(Z$4="",$A355&gt;TODAY()),0,IF(OR(INDEX($B355:$D355,Z$5)="F",AND(Z$6&gt;0,$A355&lt;Z$6),AND(Z$7&gt;0,$A355&gt;Z$7)),0,MAX(0,ROUND((INDEX($E355:$G355,Z$5)-SUMIFS(TF_Timer,TF_Tekniker,Z$4,TF_Dato,$A355))*2,0)/2)))</f>
        <v/>
      </c>
      <c r="AA355">
        <f>IF(OR(AA$4="",$A355&gt;TODAY()),0,IF(OR(INDEX($B355:$D355,AA$5)="F",AND(AA$6&gt;0,$A355&lt;AA$6),AND(AA$7&gt;0,$A355&gt;AA$7)),0,MAX(0,ROUND((INDEX($E355:$G355,AA$5)-SUMIFS(TF_Timer,TF_Tekniker,AA$4,TF_Dato,$A355))*2,0)/2)))</f>
        <v/>
      </c>
      <c r="AB355">
        <f>IF(OR(AB$4="",$A355&gt;TODAY()),0,IF(OR(INDEX($B355:$D355,AB$5)="F",AND(AB$6&gt;0,$A355&lt;AB$6),AND(AB$7&gt;0,$A355&gt;AB$7)),0,MAX(0,ROUND((INDEX($E355:$G355,AB$5)-SUMIFS(TF_Timer,TF_Tekniker,AB$4,TF_Dato,$A355))*2,0)/2)))</f>
        <v/>
      </c>
      <c r="AC355">
        <f>IF(OR(AC$4="",$A355&gt;TODAY()),0,IF(OR(INDEX($B355:$D355,AC$5)="F",AND(AC$6&gt;0,$A355&lt;AC$6),AND(AC$7&gt;0,$A355&gt;AC$7)),0,MAX(0,ROUND((INDEX($E355:$G355,AC$5)-SUMIFS(TF_Timer,TF_Tekniker,AC$4,TF_Dato,$A355))*2,0)/2)))</f>
        <v/>
      </c>
      <c r="AD355">
        <f>IF(OR(AD$4="",$A355&gt;TODAY()),0,IF(OR(INDEX($B355:$D355,AD$5)="F",AND(AD$6&gt;0,$A355&lt;AD$6),AND(AD$7&gt;0,$A355&gt;AD$7)),0,MAX(0,ROUND((INDEX($E355:$G355,AD$5)-SUMIFS(TF_Timer,TF_Tekniker,AD$4,TF_Dato,$A355))*2,0)/2)))</f>
        <v/>
      </c>
      <c r="AE355">
        <f>IF(OR(AE$4="",$A355&gt;TODAY()),0,IF(OR(INDEX($B355:$D355,AE$5)="F",AND(AE$6&gt;0,$A355&lt;AE$6),AND(AE$7&gt;0,$A355&gt;AE$7)),0,MAX(0,ROUND((INDEX($E355:$G355,AE$5)-SUMIFS(TF_Timer,TF_Tekniker,AE$4,TF_Dato,$A355))*2,0)/2)))</f>
        <v/>
      </c>
      <c r="AF355">
        <f>IF(OR(AF$4="",$A355&gt;TODAY()),0,IF(OR(INDEX($B355:$D355,AF$5)="F",AND(AF$6&gt;0,$A355&lt;AF$6),AND(AF$7&gt;0,$A355&gt;AF$7)),0,MAX(0,ROUND((INDEX($E355:$G355,AF$5)-SUMIFS(TF_Timer,TF_Tekniker,AF$4,TF_Dato,$A355))*2,0)/2)))</f>
        <v/>
      </c>
      <c r="AG355">
        <f>IF(OR(AG$4="",$A355&gt;TODAY()),0,IF(OR(INDEX($B355:$D355,AG$5)="F",AND(AG$6&gt;0,$A355&lt;AG$6),AND(AG$7&gt;0,$A355&gt;AG$7)),0,MAX(0,ROUND((INDEX($E355:$G355,AG$5)-SUMIFS(TF_Timer,TF_Tekniker,AG$4,TF_Dato,$A355))*2,0)/2)))</f>
        <v/>
      </c>
      <c r="AH355">
        <f>IF(OR(AH$4="",$A355&gt;TODAY()),0,IF(OR(INDEX($B355:$D355,AH$5)="F",AND(AH$6&gt;0,$A355&lt;AH$6),AND(AH$7&gt;0,$A355&gt;AH$7)),0,MAX(0,ROUND((INDEX($E355:$G355,AH$5)-SUMIFS(TF_Timer,TF_Tekniker,AH$4,TF_Dato,$A355))*2,0)/2)))</f>
        <v/>
      </c>
      <c r="AI355">
        <f>IF(OR(AI$4="",$A355&gt;TODAY()),0,IF(OR(INDEX($B355:$D355,AI$5)="F",AND(AI$6&gt;0,$A355&lt;AI$6),AND(AI$7&gt;0,$A355&gt;AI$7)),0,MAX(0,ROUND((INDEX($E355:$G355,AI$5)-SUMIFS(TF_Timer,TF_Tekniker,AI$4,TF_Dato,$A355))*2,0)/2)))</f>
        <v/>
      </c>
      <c r="AJ355">
        <f>IF(OR(AJ$4="",$A355&gt;TODAY()),0,IF(OR(INDEX($B355:$D355,AJ$5)="F",AND(AJ$6&gt;0,$A355&lt;AJ$6),AND(AJ$7&gt;0,$A355&gt;AJ$7)),0,MAX(0,ROUND((INDEX($E355:$G355,AJ$5)-SUMIFS(TF_Timer,TF_Tekniker,AJ$4,TF_Dato,$A355))*2,0)/2)))</f>
        <v/>
      </c>
      <c r="AK355">
        <f>IF(OR(AK$4="",$A355&gt;TODAY()),0,IF(OR(INDEX($B355:$D355,AK$5)="F",AND(AK$6&gt;0,$A355&lt;AK$6),AND(AK$7&gt;0,$A355&gt;AK$7)),0,MAX(0,ROUND((INDEX($E355:$G355,AK$5)-SUMIFS(TF_Timer,TF_Tekniker,AK$4,TF_Dato,$A355))*2,0)/2)))</f>
        <v/>
      </c>
      <c r="AL355">
        <f>IF(OR(AL$4="",$A355&gt;TODAY()),0,IF(OR(INDEX($B355:$D355,AL$5)="F",AND(AL$6&gt;0,$A355&lt;AL$6),AND(AL$7&gt;0,$A355&gt;AL$7)),0,MAX(0,ROUND((INDEX($E355:$G355,AL$5)-SUMIFS(TF_Timer,TF_Tekniker,AL$4,TF_Dato,$A355))*2,0)/2)))</f>
        <v/>
      </c>
      <c r="AM355">
        <f>IF(OR(AM$4="",$A355&gt;TODAY()),0,IF(OR(INDEX($B355:$D355,AM$5)="F",AND(AM$6&gt;0,$A355&lt;AM$6),AND(AM$7&gt;0,$A355&gt;AM$7)),0,MAX(0,ROUND((INDEX($E355:$G355,AM$5)-SUMIFS(TF_Timer,TF_Tekniker,AM$4,TF_Dato,$A355))*2,0)/2)))</f>
        <v/>
      </c>
      <c r="AN355">
        <f>IF(OR(AN$4="",$A355&gt;TODAY()),0,IF(OR(INDEX($B355:$D355,AN$5)="F",AND(AN$6&gt;0,$A355&lt;AN$6),AND(AN$7&gt;0,$A355&gt;AN$7)),0,MAX(0,ROUND((INDEX($E355:$G355,AN$5)-SUMIFS(TF_Timer,TF_Tekniker,AN$4,TF_Dato,$A355))*2,0)/2)))</f>
        <v/>
      </c>
      <c r="AO355">
        <f>IF(OR(AO$4="",$A355&gt;TODAY()),0,IF(OR(INDEX($B355:$D355,AO$5)="F",AND(AO$6&gt;0,$A355&lt;AO$6),AND(AO$7&gt;0,$A355&gt;AO$7)),0,MAX(0,ROUND((INDEX($E355:$G355,AO$5)-SUMIFS(TF_Timer,TF_Tekniker,AO$4,TF_Dato,$A355))*2,0)/2)))</f>
        <v/>
      </c>
      <c r="AP355">
        <f>IF(OR(AP$4="",$A355&gt;TODAY()),0,IF(OR(INDEX($B355:$D355,AP$5)="F",AND(AP$6&gt;0,$A355&lt;AP$6),AND(AP$7&gt;0,$A355&gt;AP$7)),0,MAX(0,ROUND((INDEX($E355:$G355,AP$5)-SUMIFS(TF_Timer,TF_Tekniker,AP$4,TF_Dato,$A355))*2,0)/2)))</f>
        <v/>
      </c>
      <c r="AQ355">
        <f>IF(OR(AQ$4="",$A355&gt;TODAY()),0,IF(OR(INDEX($B355:$D355,AQ$5)="F",AND(AQ$6&gt;0,$A355&lt;AQ$6),AND(AQ$7&gt;0,$A355&gt;AQ$7)),0,MAX(0,ROUND((INDEX($E355:$G355,AQ$5)-SUMIFS(TF_Timer,TF_Tekniker,AQ$4,TF_Dato,$A355))*2,0)/2)))</f>
        <v/>
      </c>
      <c r="AR355">
        <f>IF(OR(AR$4="",$A355&gt;TODAY()),0,IF(OR(INDEX($B355:$D355,AR$5)="F",AND(AR$6&gt;0,$A355&lt;AR$6),AND(AR$7&gt;0,$A355&gt;AR$7)),0,MAX(0,ROUND((INDEX($E355:$G355,AR$5)-SUMIFS(TF_Timer,TF_Tekniker,AR$4,TF_Dato,$A355))*2,0)/2)))</f>
        <v/>
      </c>
      <c r="AS355">
        <f>IF(OR(AS$4="",$A355&gt;TODAY()),0,IF(OR(INDEX($B355:$D355,AS$5)="F",AND(AS$6&gt;0,$A355&lt;AS$6),AND(AS$7&gt;0,$A355&gt;AS$7)),0,MAX(0,ROUND((INDEX($E355:$G355,AS$5)-SUMIFS(TF_Timer,TF_Tekniker,AS$4,TF_Dato,$A355))*2,0)/2)))</f>
        <v/>
      </c>
      <c r="AT355">
        <f>IF(OR(AT$4="",$A355&gt;TODAY()),0,IF(OR(INDEX($B355:$D355,AT$5)="F",AND(AT$6&gt;0,$A355&lt;AT$6),AND(AT$7&gt;0,$A355&gt;AT$7)),0,MAX(0,ROUND((INDEX($E355:$G355,AT$5)-SUMIFS(TF_Timer,TF_Tekniker,AT$4,TF_Dato,$A355))*2,0)/2)))</f>
        <v/>
      </c>
      <c r="AU355">
        <f>IF(OR(AU$4="",$A355&gt;TODAY()),0,IF(OR(INDEX($B355:$D355,AU$5)="F",AND(AU$6&gt;0,$A355&lt;AU$6),AND(AU$7&gt;0,$A355&gt;AU$7)),0,MAX(0,ROUND((INDEX($E355:$G355,AU$5)-SUMIFS(TF_Timer,TF_Tekniker,AU$4,TF_Dato,$A355))*2,0)/2)))</f>
        <v/>
      </c>
      <c r="AV355">
        <f>IF(OR(AV$4="",$A355&gt;TODAY()),0,IF(OR(INDEX($B355:$D355,AV$5)="F",AND(AV$6&gt;0,$A355&lt;AV$6),AND(AV$7&gt;0,$A355&gt;AV$7)),0,MAX(0,ROUND((INDEX($E355:$G355,AV$5)-SUMIFS(TF_Timer,TF_Tekniker,AV$4,TF_Dato,$A355))*2,0)/2)))</f>
        <v/>
      </c>
      <c r="AW355">
        <f>IF(OR(AW$4="",$A355&gt;TODAY()),0,IF(OR(INDEX($B355:$D355,AW$5)="F",AND(AW$6&gt;0,$A355&lt;AW$6),AND(AW$7&gt;0,$A355&gt;AW$7)),0,MAX(0,ROUND((INDEX($E355:$G355,AW$5)-SUMIFS(TF_Timer,TF_Tekniker,AW$4,TF_Dato,$A355))*2,0)/2)))</f>
        <v/>
      </c>
      <c r="AX355">
        <f>IF(OR(AX$4="",$A355&gt;TODAY()),0,IF(OR(INDEX($B355:$D355,AX$5)="F",AND(AX$6&gt;0,$A355&lt;AX$6),AND(AX$7&gt;0,$A355&gt;AX$7)),0,MAX(0,ROUND((INDEX($E355:$G355,AX$5)-SUMIFS(TF_Timer,TF_Tekniker,AX$4,TF_Dato,$A355))*2,0)/2)))</f>
        <v/>
      </c>
      <c r="AY355">
        <f>IF(OR(AY$4="",$A355&gt;TODAY()),0,IF(OR(INDEX($B355:$D355,AY$5)="F",AND(AY$6&gt;0,$A355&lt;AY$6),AND(AY$7&gt;0,$A355&gt;AY$7)),0,MAX(0,ROUND((INDEX($E355:$G355,AY$5)-SUMIFS(TF_Timer,TF_Tekniker,AY$4,TF_Dato,$A355))*2,0)/2)))</f>
        <v/>
      </c>
      <c r="AZ355">
        <f>IF(OR(AZ$4="",$A355&gt;TODAY()),0,IF(OR(INDEX($B355:$D355,AZ$5)="F",AND(AZ$6&gt;0,$A355&lt;AZ$6),AND(AZ$7&gt;0,$A355&gt;AZ$7)),0,MAX(0,ROUND((INDEX($E355:$G355,AZ$5)-SUMIFS(TF_Timer,TF_Tekniker,AZ$4,TF_Dato,$A355))*2,0)/2)))</f>
        <v/>
      </c>
      <c r="BA355">
        <f>IF(OR(BA$4="",$A355&gt;TODAY()),0,IF(OR(INDEX($B355:$D355,BA$5)="F",AND(BA$6&gt;0,$A355&lt;BA$6),AND(BA$7&gt;0,$A355&gt;BA$7)),0,MAX(0,ROUND((INDEX($E355:$G355,BA$5)-SUMIFS(TF_Timer,TF_Tekniker,BA$4,TF_Dato,$A355))*2,0)/2)))</f>
        <v/>
      </c>
      <c r="BB355">
        <f>IF(OR(BB$4="",$A355&gt;TODAY()),0,IF(OR(INDEX($B355:$D355,BB$5)="F",AND(BB$6&gt;0,$A355&lt;BB$6),AND(BB$7&gt;0,$A355&gt;BB$7)),0,MAX(0,ROUND((INDEX($E355:$G355,BB$5)-SUMIFS(TF_Timer,TF_Tekniker,BB$4,TF_Dato,$A355))*2,0)/2)))</f>
        <v/>
      </c>
      <c r="BC355">
        <f>IF(OR(BC$4="",$A355&gt;TODAY()),0,IF(OR(INDEX($B355:$D355,BC$5)="F",AND(BC$6&gt;0,$A355&lt;BC$6),AND(BC$7&gt;0,$A355&gt;BC$7)),0,MAX(0,ROUND((INDEX($E355:$G355,BC$5)-SUMIFS(TF_Timer,TF_Tekniker,BC$4,TF_Dato,$A355))*2,0)/2)))</f>
        <v/>
      </c>
      <c r="BD355">
        <f>IF(OR(BD$4="",$A355&gt;TODAY()),0,IF(OR(INDEX($B355:$D355,BD$5)="F",AND(BD$6&gt;0,$A355&lt;BD$6),AND(BD$7&gt;0,$A355&gt;BD$7)),0,MAX(0,ROUND((INDEX($E355:$G355,BD$5)-SUMIFS(TF_Timer,TF_Tekniker,BD$4,TF_Dato,$A355))*2,0)/2)))</f>
        <v/>
      </c>
      <c r="BE355">
        <f>IF(OR(BE$4="",$A355&gt;TODAY()),0,IF(OR(INDEX($B355:$D355,BE$5)="F",AND(BE$6&gt;0,$A355&lt;BE$6),AND(BE$7&gt;0,$A355&gt;BE$7)),0,MAX(0,ROUND((INDEX($E355:$G355,BE$5)-SUMIFS(TF_Timer,TF_Tekniker,BE$4,TF_Dato,$A355))*2,0)/2)))</f>
        <v/>
      </c>
      <c r="BF355">
        <f>IF(OR(BF$4="",$A355&gt;TODAY()),0,IF(OR(INDEX($B355:$D355,BF$5)="F",AND(BF$6&gt;0,$A355&lt;BF$6),AND(BF$7&gt;0,$A355&gt;BF$7)),0,MAX(0,ROUND((INDEX($E355:$G355,BF$5)-SUMIFS(TF_Timer,TF_Tekniker,BF$4,TF_Dato,$A355))*2,0)/2)))</f>
        <v/>
      </c>
      <c r="BG355">
        <f>IF(OR(BG$4="",$A355&gt;TODAY()),0,IF(OR(INDEX($B355:$D355,BG$5)="F",AND(BG$6&gt;0,$A355&lt;BG$6),AND(BG$7&gt;0,$A355&gt;BG$7)),0,MAX(0,ROUND((INDEX($E355:$G355,BG$5)-SUMIFS(TF_Timer,TF_Tekniker,BG$4,TF_Dato,$A355))*2,0)/2)))</f>
        <v/>
      </c>
      <c r="BH355">
        <f>IF(OR(BH$4="",$A355&gt;TODAY()),0,IF(OR(INDEX($B355:$D355,BH$5)="F",AND(BH$6&gt;0,$A355&lt;BH$6),AND(BH$7&gt;0,$A355&gt;BH$7)),0,MAX(0,ROUND((INDEX($E355:$G355,BH$5)-SUMIFS(TF_Timer,TF_Tekniker,BH$4,TF_Dato,$A355))*2,0)/2)))</f>
        <v/>
      </c>
      <c r="BI355">
        <f>IF(OR(BI$4="",$A355&gt;TODAY()),0,IF(OR(INDEX($B355:$D355,BI$5)="F",AND(BI$6&gt;0,$A355&lt;BI$6),AND(BI$7&gt;0,$A355&gt;BI$7)),0,MAX(0,ROUND((INDEX($E355:$G355,BI$5)-SUMIFS(TF_Timer,TF_Tekniker,BI$4,TF_Dato,$A355))*2,0)/2)))</f>
        <v/>
      </c>
    </row>
    <row r="356">
      <c r="A356" s="64">
        <f>A355+1</f>
        <v/>
      </c>
      <c r="B356">
        <f>IF(MOD($A356-INDEX(SkiftStart,1),Syklus)&lt;DagK,"K",IF(MOD($A356-INDEX(SkiftStart,1),Syklus)&lt;DagK+DagH,"H",IF(MOD($A356-INDEX(SkiftStart,1),Syklus)&lt;DagK+DagH+DagD,"D","F")))</f>
        <v/>
      </c>
      <c r="C356">
        <f>IF(MOD($A356-INDEX(SkiftStart,2),Syklus)&lt;DagK,"K",IF(MOD($A356-INDEX(SkiftStart,2),Syklus)&lt;DagK+DagH,"H",IF(MOD($A356-INDEX(SkiftStart,2),Syklus)&lt;DagK+DagH+DagD,"D","F")))</f>
        <v/>
      </c>
      <c r="D356">
        <f>IF(MOD($A356-INDEX(SkiftStart,3),Syklus)&lt;DagK,"K",IF(MOD($A356-INDEX(SkiftStart,3),Syklus)&lt;DagK+DagH,"H",IF(MOD($A356-INDEX(SkiftStart,3),Syklus)&lt;DagK+DagH+DagD,"D","F")))</f>
        <v/>
      </c>
      <c r="E356">
        <f>IF(B356="F",0,IF(WEEKDAY($A356,2)=5,INDEX(TimerFr,MATCH(B356,FaseKode,0)),INDEX(TimerMT,MATCH(B356,FaseKode,0))))</f>
        <v/>
      </c>
      <c r="F356">
        <f>IF(C356="F",0,IF(WEEKDAY($A356,2)=5,INDEX(TimerFr,MATCH(C356,FaseKode,0)),INDEX(TimerMT,MATCH(C356,FaseKode,0))))</f>
        <v/>
      </c>
      <c r="G356">
        <f>IF(D356="F",0,IF(WEEKDAY($A356,2)=5,INDEX(TimerFr,MATCH(D356,FaseKode,0)),INDEX(TimerMT,MATCH(D356,FaseKode,0))))</f>
        <v/>
      </c>
      <c r="H356">
        <f>IF(OR(H$4="",$A356&gt;TODAY()),0,IF(OR(INDEX($B356:$D356,H$5)="F",AND(H$6&gt;0,$A356&lt;H$6),AND(H$7&gt;0,$A356&gt;H$7)),0,MAX(0,ROUND((INDEX($E356:$G356,H$5)-SUMIFS(TF_Timer,TF_Tekniker,H$4,TF_Dato,$A356))*2,0)/2)))</f>
        <v/>
      </c>
      <c r="I356">
        <f>IF(OR(I$4="",$A356&gt;TODAY()),0,IF(OR(INDEX($B356:$D356,I$5)="F",AND(I$6&gt;0,$A356&lt;I$6),AND(I$7&gt;0,$A356&gt;I$7)),0,MAX(0,ROUND((INDEX($E356:$G356,I$5)-SUMIFS(TF_Timer,TF_Tekniker,I$4,TF_Dato,$A356))*2,0)/2)))</f>
        <v/>
      </c>
      <c r="J356">
        <f>IF(OR(J$4="",$A356&gt;TODAY()),0,IF(OR(INDEX($B356:$D356,J$5)="F",AND(J$6&gt;0,$A356&lt;J$6),AND(J$7&gt;0,$A356&gt;J$7)),0,MAX(0,ROUND((INDEX($E356:$G356,J$5)-SUMIFS(TF_Timer,TF_Tekniker,J$4,TF_Dato,$A356))*2,0)/2)))</f>
        <v/>
      </c>
      <c r="K356">
        <f>IF(OR(K$4="",$A356&gt;TODAY()),0,IF(OR(INDEX($B356:$D356,K$5)="F",AND(K$6&gt;0,$A356&lt;K$6),AND(K$7&gt;0,$A356&gt;K$7)),0,MAX(0,ROUND((INDEX($E356:$G356,K$5)-SUMIFS(TF_Timer,TF_Tekniker,K$4,TF_Dato,$A356))*2,0)/2)))</f>
        <v/>
      </c>
      <c r="L356">
        <f>IF(OR(L$4="",$A356&gt;TODAY()),0,IF(OR(INDEX($B356:$D356,L$5)="F",AND(L$6&gt;0,$A356&lt;L$6),AND(L$7&gt;0,$A356&gt;L$7)),0,MAX(0,ROUND((INDEX($E356:$G356,L$5)-SUMIFS(TF_Timer,TF_Tekniker,L$4,TF_Dato,$A356))*2,0)/2)))</f>
        <v/>
      </c>
      <c r="M356">
        <f>IF(OR(M$4="",$A356&gt;TODAY()),0,IF(OR(INDEX($B356:$D356,M$5)="F",AND(M$6&gt;0,$A356&lt;M$6),AND(M$7&gt;0,$A356&gt;M$7)),0,MAX(0,ROUND((INDEX($E356:$G356,M$5)-SUMIFS(TF_Timer,TF_Tekniker,M$4,TF_Dato,$A356))*2,0)/2)))</f>
        <v/>
      </c>
      <c r="N356">
        <f>IF(OR(N$4="",$A356&gt;TODAY()),0,IF(OR(INDEX($B356:$D356,N$5)="F",AND(N$6&gt;0,$A356&lt;N$6),AND(N$7&gt;0,$A356&gt;N$7)),0,MAX(0,ROUND((INDEX($E356:$G356,N$5)-SUMIFS(TF_Timer,TF_Tekniker,N$4,TF_Dato,$A356))*2,0)/2)))</f>
        <v/>
      </c>
      <c r="O356">
        <f>IF(OR(O$4="",$A356&gt;TODAY()),0,IF(OR(INDEX($B356:$D356,O$5)="F",AND(O$6&gt;0,$A356&lt;O$6),AND(O$7&gt;0,$A356&gt;O$7)),0,MAX(0,ROUND((INDEX($E356:$G356,O$5)-SUMIFS(TF_Timer,TF_Tekniker,O$4,TF_Dato,$A356))*2,0)/2)))</f>
        <v/>
      </c>
      <c r="P356">
        <f>IF(OR(P$4="",$A356&gt;TODAY()),0,IF(OR(INDEX($B356:$D356,P$5)="F",AND(P$6&gt;0,$A356&lt;P$6),AND(P$7&gt;0,$A356&gt;P$7)),0,MAX(0,ROUND((INDEX($E356:$G356,P$5)-SUMIFS(TF_Timer,TF_Tekniker,P$4,TF_Dato,$A356))*2,0)/2)))</f>
        <v/>
      </c>
      <c r="Q356">
        <f>IF(OR(Q$4="",$A356&gt;TODAY()),0,IF(OR(INDEX($B356:$D356,Q$5)="F",AND(Q$6&gt;0,$A356&lt;Q$6),AND(Q$7&gt;0,$A356&gt;Q$7)),0,MAX(0,ROUND((INDEX($E356:$G356,Q$5)-SUMIFS(TF_Timer,TF_Tekniker,Q$4,TF_Dato,$A356))*2,0)/2)))</f>
        <v/>
      </c>
      <c r="R356">
        <f>IF(OR(R$4="",$A356&gt;TODAY()),0,IF(OR(INDEX($B356:$D356,R$5)="F",AND(R$6&gt;0,$A356&lt;R$6),AND(R$7&gt;0,$A356&gt;R$7)),0,MAX(0,ROUND((INDEX($E356:$G356,R$5)-SUMIFS(TF_Timer,TF_Tekniker,R$4,TF_Dato,$A356))*2,0)/2)))</f>
        <v/>
      </c>
      <c r="S356">
        <f>IF(OR(S$4="",$A356&gt;TODAY()),0,IF(OR(INDEX($B356:$D356,S$5)="F",AND(S$6&gt;0,$A356&lt;S$6),AND(S$7&gt;0,$A356&gt;S$7)),0,MAX(0,ROUND((INDEX($E356:$G356,S$5)-SUMIFS(TF_Timer,TF_Tekniker,S$4,TF_Dato,$A356))*2,0)/2)))</f>
        <v/>
      </c>
      <c r="T356">
        <f>IF(OR(T$4="",$A356&gt;TODAY()),0,IF(OR(INDEX($B356:$D356,T$5)="F",AND(T$6&gt;0,$A356&lt;T$6),AND(T$7&gt;0,$A356&gt;T$7)),0,MAX(0,ROUND((INDEX($E356:$G356,T$5)-SUMIFS(TF_Timer,TF_Tekniker,T$4,TF_Dato,$A356))*2,0)/2)))</f>
        <v/>
      </c>
      <c r="U356">
        <f>IF(OR(U$4="",$A356&gt;TODAY()),0,IF(OR(INDEX($B356:$D356,U$5)="F",AND(U$6&gt;0,$A356&lt;U$6),AND(U$7&gt;0,$A356&gt;U$7)),0,MAX(0,ROUND((INDEX($E356:$G356,U$5)-SUMIFS(TF_Timer,TF_Tekniker,U$4,TF_Dato,$A356))*2,0)/2)))</f>
        <v/>
      </c>
      <c r="V356">
        <f>IF(OR(V$4="",$A356&gt;TODAY()),0,IF(OR(INDEX($B356:$D356,V$5)="F",AND(V$6&gt;0,$A356&lt;V$6),AND(V$7&gt;0,$A356&gt;V$7)),0,MAX(0,ROUND((INDEX($E356:$G356,V$5)-SUMIFS(TF_Timer,TF_Tekniker,V$4,TF_Dato,$A356))*2,0)/2)))</f>
        <v/>
      </c>
      <c r="W356">
        <f>IF(OR(W$4="",$A356&gt;TODAY()),0,IF(OR(INDEX($B356:$D356,W$5)="F",AND(W$6&gt;0,$A356&lt;W$6),AND(W$7&gt;0,$A356&gt;W$7)),0,MAX(0,ROUND((INDEX($E356:$G356,W$5)-SUMIFS(TF_Timer,TF_Tekniker,W$4,TF_Dato,$A356))*2,0)/2)))</f>
        <v/>
      </c>
      <c r="X356">
        <f>IF(OR(X$4="",$A356&gt;TODAY()),0,IF(OR(INDEX($B356:$D356,X$5)="F",AND(X$6&gt;0,$A356&lt;X$6),AND(X$7&gt;0,$A356&gt;X$7)),0,MAX(0,ROUND((INDEX($E356:$G356,X$5)-SUMIFS(TF_Timer,TF_Tekniker,X$4,TF_Dato,$A356))*2,0)/2)))</f>
        <v/>
      </c>
      <c r="Y356">
        <f>IF(OR(Y$4="",$A356&gt;TODAY()),0,IF(OR(INDEX($B356:$D356,Y$5)="F",AND(Y$6&gt;0,$A356&lt;Y$6),AND(Y$7&gt;0,$A356&gt;Y$7)),0,MAX(0,ROUND((INDEX($E356:$G356,Y$5)-SUMIFS(TF_Timer,TF_Tekniker,Y$4,TF_Dato,$A356))*2,0)/2)))</f>
        <v/>
      </c>
      <c r="Z356">
        <f>IF(OR(Z$4="",$A356&gt;TODAY()),0,IF(OR(INDEX($B356:$D356,Z$5)="F",AND(Z$6&gt;0,$A356&lt;Z$6),AND(Z$7&gt;0,$A356&gt;Z$7)),0,MAX(0,ROUND((INDEX($E356:$G356,Z$5)-SUMIFS(TF_Timer,TF_Tekniker,Z$4,TF_Dato,$A356))*2,0)/2)))</f>
        <v/>
      </c>
      <c r="AA356">
        <f>IF(OR(AA$4="",$A356&gt;TODAY()),0,IF(OR(INDEX($B356:$D356,AA$5)="F",AND(AA$6&gt;0,$A356&lt;AA$6),AND(AA$7&gt;0,$A356&gt;AA$7)),0,MAX(0,ROUND((INDEX($E356:$G356,AA$5)-SUMIFS(TF_Timer,TF_Tekniker,AA$4,TF_Dato,$A356))*2,0)/2)))</f>
        <v/>
      </c>
      <c r="AB356">
        <f>IF(OR(AB$4="",$A356&gt;TODAY()),0,IF(OR(INDEX($B356:$D356,AB$5)="F",AND(AB$6&gt;0,$A356&lt;AB$6),AND(AB$7&gt;0,$A356&gt;AB$7)),0,MAX(0,ROUND((INDEX($E356:$G356,AB$5)-SUMIFS(TF_Timer,TF_Tekniker,AB$4,TF_Dato,$A356))*2,0)/2)))</f>
        <v/>
      </c>
      <c r="AC356">
        <f>IF(OR(AC$4="",$A356&gt;TODAY()),0,IF(OR(INDEX($B356:$D356,AC$5)="F",AND(AC$6&gt;0,$A356&lt;AC$6),AND(AC$7&gt;0,$A356&gt;AC$7)),0,MAX(0,ROUND((INDEX($E356:$G356,AC$5)-SUMIFS(TF_Timer,TF_Tekniker,AC$4,TF_Dato,$A356))*2,0)/2)))</f>
        <v/>
      </c>
      <c r="AD356">
        <f>IF(OR(AD$4="",$A356&gt;TODAY()),0,IF(OR(INDEX($B356:$D356,AD$5)="F",AND(AD$6&gt;0,$A356&lt;AD$6),AND(AD$7&gt;0,$A356&gt;AD$7)),0,MAX(0,ROUND((INDEX($E356:$G356,AD$5)-SUMIFS(TF_Timer,TF_Tekniker,AD$4,TF_Dato,$A356))*2,0)/2)))</f>
        <v/>
      </c>
      <c r="AE356">
        <f>IF(OR(AE$4="",$A356&gt;TODAY()),0,IF(OR(INDEX($B356:$D356,AE$5)="F",AND(AE$6&gt;0,$A356&lt;AE$6),AND(AE$7&gt;0,$A356&gt;AE$7)),0,MAX(0,ROUND((INDEX($E356:$G356,AE$5)-SUMIFS(TF_Timer,TF_Tekniker,AE$4,TF_Dato,$A356))*2,0)/2)))</f>
        <v/>
      </c>
      <c r="AF356">
        <f>IF(OR(AF$4="",$A356&gt;TODAY()),0,IF(OR(INDEX($B356:$D356,AF$5)="F",AND(AF$6&gt;0,$A356&lt;AF$6),AND(AF$7&gt;0,$A356&gt;AF$7)),0,MAX(0,ROUND((INDEX($E356:$G356,AF$5)-SUMIFS(TF_Timer,TF_Tekniker,AF$4,TF_Dato,$A356))*2,0)/2)))</f>
        <v/>
      </c>
      <c r="AG356">
        <f>IF(OR(AG$4="",$A356&gt;TODAY()),0,IF(OR(INDEX($B356:$D356,AG$5)="F",AND(AG$6&gt;0,$A356&lt;AG$6),AND(AG$7&gt;0,$A356&gt;AG$7)),0,MAX(0,ROUND((INDEX($E356:$G356,AG$5)-SUMIFS(TF_Timer,TF_Tekniker,AG$4,TF_Dato,$A356))*2,0)/2)))</f>
        <v/>
      </c>
      <c r="AH356">
        <f>IF(OR(AH$4="",$A356&gt;TODAY()),0,IF(OR(INDEX($B356:$D356,AH$5)="F",AND(AH$6&gt;0,$A356&lt;AH$6),AND(AH$7&gt;0,$A356&gt;AH$7)),0,MAX(0,ROUND((INDEX($E356:$G356,AH$5)-SUMIFS(TF_Timer,TF_Tekniker,AH$4,TF_Dato,$A356))*2,0)/2)))</f>
        <v/>
      </c>
      <c r="AI356">
        <f>IF(OR(AI$4="",$A356&gt;TODAY()),0,IF(OR(INDEX($B356:$D356,AI$5)="F",AND(AI$6&gt;0,$A356&lt;AI$6),AND(AI$7&gt;0,$A356&gt;AI$7)),0,MAX(0,ROUND((INDEX($E356:$G356,AI$5)-SUMIFS(TF_Timer,TF_Tekniker,AI$4,TF_Dato,$A356))*2,0)/2)))</f>
        <v/>
      </c>
      <c r="AJ356">
        <f>IF(OR(AJ$4="",$A356&gt;TODAY()),0,IF(OR(INDEX($B356:$D356,AJ$5)="F",AND(AJ$6&gt;0,$A356&lt;AJ$6),AND(AJ$7&gt;0,$A356&gt;AJ$7)),0,MAX(0,ROUND((INDEX($E356:$G356,AJ$5)-SUMIFS(TF_Timer,TF_Tekniker,AJ$4,TF_Dato,$A356))*2,0)/2)))</f>
        <v/>
      </c>
      <c r="AK356">
        <f>IF(OR(AK$4="",$A356&gt;TODAY()),0,IF(OR(INDEX($B356:$D356,AK$5)="F",AND(AK$6&gt;0,$A356&lt;AK$6),AND(AK$7&gt;0,$A356&gt;AK$7)),0,MAX(0,ROUND((INDEX($E356:$G356,AK$5)-SUMIFS(TF_Timer,TF_Tekniker,AK$4,TF_Dato,$A356))*2,0)/2)))</f>
        <v/>
      </c>
      <c r="AL356">
        <f>IF(OR(AL$4="",$A356&gt;TODAY()),0,IF(OR(INDEX($B356:$D356,AL$5)="F",AND(AL$6&gt;0,$A356&lt;AL$6),AND(AL$7&gt;0,$A356&gt;AL$7)),0,MAX(0,ROUND((INDEX($E356:$G356,AL$5)-SUMIFS(TF_Timer,TF_Tekniker,AL$4,TF_Dato,$A356))*2,0)/2)))</f>
        <v/>
      </c>
      <c r="AM356">
        <f>IF(OR(AM$4="",$A356&gt;TODAY()),0,IF(OR(INDEX($B356:$D356,AM$5)="F",AND(AM$6&gt;0,$A356&lt;AM$6),AND(AM$7&gt;0,$A356&gt;AM$7)),0,MAX(0,ROUND((INDEX($E356:$G356,AM$5)-SUMIFS(TF_Timer,TF_Tekniker,AM$4,TF_Dato,$A356))*2,0)/2)))</f>
        <v/>
      </c>
      <c r="AN356">
        <f>IF(OR(AN$4="",$A356&gt;TODAY()),0,IF(OR(INDEX($B356:$D356,AN$5)="F",AND(AN$6&gt;0,$A356&lt;AN$6),AND(AN$7&gt;0,$A356&gt;AN$7)),0,MAX(0,ROUND((INDEX($E356:$G356,AN$5)-SUMIFS(TF_Timer,TF_Tekniker,AN$4,TF_Dato,$A356))*2,0)/2)))</f>
        <v/>
      </c>
      <c r="AO356">
        <f>IF(OR(AO$4="",$A356&gt;TODAY()),0,IF(OR(INDEX($B356:$D356,AO$5)="F",AND(AO$6&gt;0,$A356&lt;AO$6),AND(AO$7&gt;0,$A356&gt;AO$7)),0,MAX(0,ROUND((INDEX($E356:$G356,AO$5)-SUMIFS(TF_Timer,TF_Tekniker,AO$4,TF_Dato,$A356))*2,0)/2)))</f>
        <v/>
      </c>
      <c r="AP356">
        <f>IF(OR(AP$4="",$A356&gt;TODAY()),0,IF(OR(INDEX($B356:$D356,AP$5)="F",AND(AP$6&gt;0,$A356&lt;AP$6),AND(AP$7&gt;0,$A356&gt;AP$7)),0,MAX(0,ROUND((INDEX($E356:$G356,AP$5)-SUMIFS(TF_Timer,TF_Tekniker,AP$4,TF_Dato,$A356))*2,0)/2)))</f>
        <v/>
      </c>
      <c r="AQ356">
        <f>IF(OR(AQ$4="",$A356&gt;TODAY()),0,IF(OR(INDEX($B356:$D356,AQ$5)="F",AND(AQ$6&gt;0,$A356&lt;AQ$6),AND(AQ$7&gt;0,$A356&gt;AQ$7)),0,MAX(0,ROUND((INDEX($E356:$G356,AQ$5)-SUMIFS(TF_Timer,TF_Tekniker,AQ$4,TF_Dato,$A356))*2,0)/2)))</f>
        <v/>
      </c>
      <c r="AR356">
        <f>IF(OR(AR$4="",$A356&gt;TODAY()),0,IF(OR(INDEX($B356:$D356,AR$5)="F",AND(AR$6&gt;0,$A356&lt;AR$6),AND(AR$7&gt;0,$A356&gt;AR$7)),0,MAX(0,ROUND((INDEX($E356:$G356,AR$5)-SUMIFS(TF_Timer,TF_Tekniker,AR$4,TF_Dato,$A356))*2,0)/2)))</f>
        <v/>
      </c>
      <c r="AS356">
        <f>IF(OR(AS$4="",$A356&gt;TODAY()),0,IF(OR(INDEX($B356:$D356,AS$5)="F",AND(AS$6&gt;0,$A356&lt;AS$6),AND(AS$7&gt;0,$A356&gt;AS$7)),0,MAX(0,ROUND((INDEX($E356:$G356,AS$5)-SUMIFS(TF_Timer,TF_Tekniker,AS$4,TF_Dato,$A356))*2,0)/2)))</f>
        <v/>
      </c>
      <c r="AT356">
        <f>IF(OR(AT$4="",$A356&gt;TODAY()),0,IF(OR(INDEX($B356:$D356,AT$5)="F",AND(AT$6&gt;0,$A356&lt;AT$6),AND(AT$7&gt;0,$A356&gt;AT$7)),0,MAX(0,ROUND((INDEX($E356:$G356,AT$5)-SUMIFS(TF_Timer,TF_Tekniker,AT$4,TF_Dato,$A356))*2,0)/2)))</f>
        <v/>
      </c>
      <c r="AU356">
        <f>IF(OR(AU$4="",$A356&gt;TODAY()),0,IF(OR(INDEX($B356:$D356,AU$5)="F",AND(AU$6&gt;0,$A356&lt;AU$6),AND(AU$7&gt;0,$A356&gt;AU$7)),0,MAX(0,ROUND((INDEX($E356:$G356,AU$5)-SUMIFS(TF_Timer,TF_Tekniker,AU$4,TF_Dato,$A356))*2,0)/2)))</f>
        <v/>
      </c>
      <c r="AV356">
        <f>IF(OR(AV$4="",$A356&gt;TODAY()),0,IF(OR(INDEX($B356:$D356,AV$5)="F",AND(AV$6&gt;0,$A356&lt;AV$6),AND(AV$7&gt;0,$A356&gt;AV$7)),0,MAX(0,ROUND((INDEX($E356:$G356,AV$5)-SUMIFS(TF_Timer,TF_Tekniker,AV$4,TF_Dato,$A356))*2,0)/2)))</f>
        <v/>
      </c>
      <c r="AW356">
        <f>IF(OR(AW$4="",$A356&gt;TODAY()),0,IF(OR(INDEX($B356:$D356,AW$5)="F",AND(AW$6&gt;0,$A356&lt;AW$6),AND(AW$7&gt;0,$A356&gt;AW$7)),0,MAX(0,ROUND((INDEX($E356:$G356,AW$5)-SUMIFS(TF_Timer,TF_Tekniker,AW$4,TF_Dato,$A356))*2,0)/2)))</f>
        <v/>
      </c>
      <c r="AX356">
        <f>IF(OR(AX$4="",$A356&gt;TODAY()),0,IF(OR(INDEX($B356:$D356,AX$5)="F",AND(AX$6&gt;0,$A356&lt;AX$6),AND(AX$7&gt;0,$A356&gt;AX$7)),0,MAX(0,ROUND((INDEX($E356:$G356,AX$5)-SUMIFS(TF_Timer,TF_Tekniker,AX$4,TF_Dato,$A356))*2,0)/2)))</f>
        <v/>
      </c>
      <c r="AY356">
        <f>IF(OR(AY$4="",$A356&gt;TODAY()),0,IF(OR(INDEX($B356:$D356,AY$5)="F",AND(AY$6&gt;0,$A356&lt;AY$6),AND(AY$7&gt;0,$A356&gt;AY$7)),0,MAX(0,ROUND((INDEX($E356:$G356,AY$5)-SUMIFS(TF_Timer,TF_Tekniker,AY$4,TF_Dato,$A356))*2,0)/2)))</f>
        <v/>
      </c>
      <c r="AZ356">
        <f>IF(OR(AZ$4="",$A356&gt;TODAY()),0,IF(OR(INDEX($B356:$D356,AZ$5)="F",AND(AZ$6&gt;0,$A356&lt;AZ$6),AND(AZ$7&gt;0,$A356&gt;AZ$7)),0,MAX(0,ROUND((INDEX($E356:$G356,AZ$5)-SUMIFS(TF_Timer,TF_Tekniker,AZ$4,TF_Dato,$A356))*2,0)/2)))</f>
        <v/>
      </c>
      <c r="BA356">
        <f>IF(OR(BA$4="",$A356&gt;TODAY()),0,IF(OR(INDEX($B356:$D356,BA$5)="F",AND(BA$6&gt;0,$A356&lt;BA$6),AND(BA$7&gt;0,$A356&gt;BA$7)),0,MAX(0,ROUND((INDEX($E356:$G356,BA$5)-SUMIFS(TF_Timer,TF_Tekniker,BA$4,TF_Dato,$A356))*2,0)/2)))</f>
        <v/>
      </c>
      <c r="BB356">
        <f>IF(OR(BB$4="",$A356&gt;TODAY()),0,IF(OR(INDEX($B356:$D356,BB$5)="F",AND(BB$6&gt;0,$A356&lt;BB$6),AND(BB$7&gt;0,$A356&gt;BB$7)),0,MAX(0,ROUND((INDEX($E356:$G356,BB$5)-SUMIFS(TF_Timer,TF_Tekniker,BB$4,TF_Dato,$A356))*2,0)/2)))</f>
        <v/>
      </c>
      <c r="BC356">
        <f>IF(OR(BC$4="",$A356&gt;TODAY()),0,IF(OR(INDEX($B356:$D356,BC$5)="F",AND(BC$6&gt;0,$A356&lt;BC$6),AND(BC$7&gt;0,$A356&gt;BC$7)),0,MAX(0,ROUND((INDEX($E356:$G356,BC$5)-SUMIFS(TF_Timer,TF_Tekniker,BC$4,TF_Dato,$A356))*2,0)/2)))</f>
        <v/>
      </c>
      <c r="BD356">
        <f>IF(OR(BD$4="",$A356&gt;TODAY()),0,IF(OR(INDEX($B356:$D356,BD$5)="F",AND(BD$6&gt;0,$A356&lt;BD$6),AND(BD$7&gt;0,$A356&gt;BD$7)),0,MAX(0,ROUND((INDEX($E356:$G356,BD$5)-SUMIFS(TF_Timer,TF_Tekniker,BD$4,TF_Dato,$A356))*2,0)/2)))</f>
        <v/>
      </c>
      <c r="BE356">
        <f>IF(OR(BE$4="",$A356&gt;TODAY()),0,IF(OR(INDEX($B356:$D356,BE$5)="F",AND(BE$6&gt;0,$A356&lt;BE$6),AND(BE$7&gt;0,$A356&gt;BE$7)),0,MAX(0,ROUND((INDEX($E356:$G356,BE$5)-SUMIFS(TF_Timer,TF_Tekniker,BE$4,TF_Dato,$A356))*2,0)/2)))</f>
        <v/>
      </c>
      <c r="BF356">
        <f>IF(OR(BF$4="",$A356&gt;TODAY()),0,IF(OR(INDEX($B356:$D356,BF$5)="F",AND(BF$6&gt;0,$A356&lt;BF$6),AND(BF$7&gt;0,$A356&gt;BF$7)),0,MAX(0,ROUND((INDEX($E356:$G356,BF$5)-SUMIFS(TF_Timer,TF_Tekniker,BF$4,TF_Dato,$A356))*2,0)/2)))</f>
        <v/>
      </c>
      <c r="BG356">
        <f>IF(OR(BG$4="",$A356&gt;TODAY()),0,IF(OR(INDEX($B356:$D356,BG$5)="F",AND(BG$6&gt;0,$A356&lt;BG$6),AND(BG$7&gt;0,$A356&gt;BG$7)),0,MAX(0,ROUND((INDEX($E356:$G356,BG$5)-SUMIFS(TF_Timer,TF_Tekniker,BG$4,TF_Dato,$A356))*2,0)/2)))</f>
        <v/>
      </c>
      <c r="BH356">
        <f>IF(OR(BH$4="",$A356&gt;TODAY()),0,IF(OR(INDEX($B356:$D356,BH$5)="F",AND(BH$6&gt;0,$A356&lt;BH$6),AND(BH$7&gt;0,$A356&gt;BH$7)),0,MAX(0,ROUND((INDEX($E356:$G356,BH$5)-SUMIFS(TF_Timer,TF_Tekniker,BH$4,TF_Dato,$A356))*2,0)/2)))</f>
        <v/>
      </c>
      <c r="BI356">
        <f>IF(OR(BI$4="",$A356&gt;TODAY()),0,IF(OR(INDEX($B356:$D356,BI$5)="F",AND(BI$6&gt;0,$A356&lt;BI$6),AND(BI$7&gt;0,$A356&gt;BI$7)),0,MAX(0,ROUND((INDEX($E356:$G356,BI$5)-SUMIFS(TF_Timer,TF_Tekniker,BI$4,TF_Dato,$A356))*2,0)/2)))</f>
        <v/>
      </c>
    </row>
    <row r="357">
      <c r="A357" s="64">
        <f>A356+1</f>
        <v/>
      </c>
      <c r="B357">
        <f>IF(MOD($A357-INDEX(SkiftStart,1),Syklus)&lt;DagK,"K",IF(MOD($A357-INDEX(SkiftStart,1),Syklus)&lt;DagK+DagH,"H",IF(MOD($A357-INDEX(SkiftStart,1),Syklus)&lt;DagK+DagH+DagD,"D","F")))</f>
        <v/>
      </c>
      <c r="C357">
        <f>IF(MOD($A357-INDEX(SkiftStart,2),Syklus)&lt;DagK,"K",IF(MOD($A357-INDEX(SkiftStart,2),Syklus)&lt;DagK+DagH,"H",IF(MOD($A357-INDEX(SkiftStart,2),Syklus)&lt;DagK+DagH+DagD,"D","F")))</f>
        <v/>
      </c>
      <c r="D357">
        <f>IF(MOD($A357-INDEX(SkiftStart,3),Syklus)&lt;DagK,"K",IF(MOD($A357-INDEX(SkiftStart,3),Syklus)&lt;DagK+DagH,"H",IF(MOD($A357-INDEX(SkiftStart,3),Syklus)&lt;DagK+DagH+DagD,"D","F")))</f>
        <v/>
      </c>
      <c r="E357">
        <f>IF(B357="F",0,IF(WEEKDAY($A357,2)=5,INDEX(TimerFr,MATCH(B357,FaseKode,0)),INDEX(TimerMT,MATCH(B357,FaseKode,0))))</f>
        <v/>
      </c>
      <c r="F357">
        <f>IF(C357="F",0,IF(WEEKDAY($A357,2)=5,INDEX(TimerFr,MATCH(C357,FaseKode,0)),INDEX(TimerMT,MATCH(C357,FaseKode,0))))</f>
        <v/>
      </c>
      <c r="G357">
        <f>IF(D357="F",0,IF(WEEKDAY($A357,2)=5,INDEX(TimerFr,MATCH(D357,FaseKode,0)),INDEX(TimerMT,MATCH(D357,FaseKode,0))))</f>
        <v/>
      </c>
      <c r="H357">
        <f>IF(OR(H$4="",$A357&gt;TODAY()),0,IF(OR(INDEX($B357:$D357,H$5)="F",AND(H$6&gt;0,$A357&lt;H$6),AND(H$7&gt;0,$A357&gt;H$7)),0,MAX(0,ROUND((INDEX($E357:$G357,H$5)-SUMIFS(TF_Timer,TF_Tekniker,H$4,TF_Dato,$A357))*2,0)/2)))</f>
        <v/>
      </c>
      <c r="I357">
        <f>IF(OR(I$4="",$A357&gt;TODAY()),0,IF(OR(INDEX($B357:$D357,I$5)="F",AND(I$6&gt;0,$A357&lt;I$6),AND(I$7&gt;0,$A357&gt;I$7)),0,MAX(0,ROUND((INDEX($E357:$G357,I$5)-SUMIFS(TF_Timer,TF_Tekniker,I$4,TF_Dato,$A357))*2,0)/2)))</f>
        <v/>
      </c>
      <c r="J357">
        <f>IF(OR(J$4="",$A357&gt;TODAY()),0,IF(OR(INDEX($B357:$D357,J$5)="F",AND(J$6&gt;0,$A357&lt;J$6),AND(J$7&gt;0,$A357&gt;J$7)),0,MAX(0,ROUND((INDEX($E357:$G357,J$5)-SUMIFS(TF_Timer,TF_Tekniker,J$4,TF_Dato,$A357))*2,0)/2)))</f>
        <v/>
      </c>
      <c r="K357">
        <f>IF(OR(K$4="",$A357&gt;TODAY()),0,IF(OR(INDEX($B357:$D357,K$5)="F",AND(K$6&gt;0,$A357&lt;K$6),AND(K$7&gt;0,$A357&gt;K$7)),0,MAX(0,ROUND((INDEX($E357:$G357,K$5)-SUMIFS(TF_Timer,TF_Tekniker,K$4,TF_Dato,$A357))*2,0)/2)))</f>
        <v/>
      </c>
      <c r="L357">
        <f>IF(OR(L$4="",$A357&gt;TODAY()),0,IF(OR(INDEX($B357:$D357,L$5)="F",AND(L$6&gt;0,$A357&lt;L$6),AND(L$7&gt;0,$A357&gt;L$7)),0,MAX(0,ROUND((INDEX($E357:$G357,L$5)-SUMIFS(TF_Timer,TF_Tekniker,L$4,TF_Dato,$A357))*2,0)/2)))</f>
        <v/>
      </c>
      <c r="M357">
        <f>IF(OR(M$4="",$A357&gt;TODAY()),0,IF(OR(INDEX($B357:$D357,M$5)="F",AND(M$6&gt;0,$A357&lt;M$6),AND(M$7&gt;0,$A357&gt;M$7)),0,MAX(0,ROUND((INDEX($E357:$G357,M$5)-SUMIFS(TF_Timer,TF_Tekniker,M$4,TF_Dato,$A357))*2,0)/2)))</f>
        <v/>
      </c>
      <c r="N357">
        <f>IF(OR(N$4="",$A357&gt;TODAY()),0,IF(OR(INDEX($B357:$D357,N$5)="F",AND(N$6&gt;0,$A357&lt;N$6),AND(N$7&gt;0,$A357&gt;N$7)),0,MAX(0,ROUND((INDEX($E357:$G357,N$5)-SUMIFS(TF_Timer,TF_Tekniker,N$4,TF_Dato,$A357))*2,0)/2)))</f>
        <v/>
      </c>
      <c r="O357">
        <f>IF(OR(O$4="",$A357&gt;TODAY()),0,IF(OR(INDEX($B357:$D357,O$5)="F",AND(O$6&gt;0,$A357&lt;O$6),AND(O$7&gt;0,$A357&gt;O$7)),0,MAX(0,ROUND((INDEX($E357:$G357,O$5)-SUMIFS(TF_Timer,TF_Tekniker,O$4,TF_Dato,$A357))*2,0)/2)))</f>
        <v/>
      </c>
      <c r="P357">
        <f>IF(OR(P$4="",$A357&gt;TODAY()),0,IF(OR(INDEX($B357:$D357,P$5)="F",AND(P$6&gt;0,$A357&lt;P$6),AND(P$7&gt;0,$A357&gt;P$7)),0,MAX(0,ROUND((INDEX($E357:$G357,P$5)-SUMIFS(TF_Timer,TF_Tekniker,P$4,TF_Dato,$A357))*2,0)/2)))</f>
        <v/>
      </c>
      <c r="Q357">
        <f>IF(OR(Q$4="",$A357&gt;TODAY()),0,IF(OR(INDEX($B357:$D357,Q$5)="F",AND(Q$6&gt;0,$A357&lt;Q$6),AND(Q$7&gt;0,$A357&gt;Q$7)),0,MAX(0,ROUND((INDEX($E357:$G357,Q$5)-SUMIFS(TF_Timer,TF_Tekniker,Q$4,TF_Dato,$A357))*2,0)/2)))</f>
        <v/>
      </c>
      <c r="R357">
        <f>IF(OR(R$4="",$A357&gt;TODAY()),0,IF(OR(INDEX($B357:$D357,R$5)="F",AND(R$6&gt;0,$A357&lt;R$6),AND(R$7&gt;0,$A357&gt;R$7)),0,MAX(0,ROUND((INDEX($E357:$G357,R$5)-SUMIFS(TF_Timer,TF_Tekniker,R$4,TF_Dato,$A357))*2,0)/2)))</f>
        <v/>
      </c>
      <c r="S357">
        <f>IF(OR(S$4="",$A357&gt;TODAY()),0,IF(OR(INDEX($B357:$D357,S$5)="F",AND(S$6&gt;0,$A357&lt;S$6),AND(S$7&gt;0,$A357&gt;S$7)),0,MAX(0,ROUND((INDEX($E357:$G357,S$5)-SUMIFS(TF_Timer,TF_Tekniker,S$4,TF_Dato,$A357))*2,0)/2)))</f>
        <v/>
      </c>
      <c r="T357">
        <f>IF(OR(T$4="",$A357&gt;TODAY()),0,IF(OR(INDEX($B357:$D357,T$5)="F",AND(T$6&gt;0,$A357&lt;T$6),AND(T$7&gt;0,$A357&gt;T$7)),0,MAX(0,ROUND((INDEX($E357:$G357,T$5)-SUMIFS(TF_Timer,TF_Tekniker,T$4,TF_Dato,$A357))*2,0)/2)))</f>
        <v/>
      </c>
      <c r="U357">
        <f>IF(OR(U$4="",$A357&gt;TODAY()),0,IF(OR(INDEX($B357:$D357,U$5)="F",AND(U$6&gt;0,$A357&lt;U$6),AND(U$7&gt;0,$A357&gt;U$7)),0,MAX(0,ROUND((INDEX($E357:$G357,U$5)-SUMIFS(TF_Timer,TF_Tekniker,U$4,TF_Dato,$A357))*2,0)/2)))</f>
        <v/>
      </c>
      <c r="V357">
        <f>IF(OR(V$4="",$A357&gt;TODAY()),0,IF(OR(INDEX($B357:$D357,V$5)="F",AND(V$6&gt;0,$A357&lt;V$6),AND(V$7&gt;0,$A357&gt;V$7)),0,MAX(0,ROUND((INDEX($E357:$G357,V$5)-SUMIFS(TF_Timer,TF_Tekniker,V$4,TF_Dato,$A357))*2,0)/2)))</f>
        <v/>
      </c>
      <c r="W357">
        <f>IF(OR(W$4="",$A357&gt;TODAY()),0,IF(OR(INDEX($B357:$D357,W$5)="F",AND(W$6&gt;0,$A357&lt;W$6),AND(W$7&gt;0,$A357&gt;W$7)),0,MAX(0,ROUND((INDEX($E357:$G357,W$5)-SUMIFS(TF_Timer,TF_Tekniker,W$4,TF_Dato,$A357))*2,0)/2)))</f>
        <v/>
      </c>
      <c r="X357">
        <f>IF(OR(X$4="",$A357&gt;TODAY()),0,IF(OR(INDEX($B357:$D357,X$5)="F",AND(X$6&gt;0,$A357&lt;X$6),AND(X$7&gt;0,$A357&gt;X$7)),0,MAX(0,ROUND((INDEX($E357:$G357,X$5)-SUMIFS(TF_Timer,TF_Tekniker,X$4,TF_Dato,$A357))*2,0)/2)))</f>
        <v/>
      </c>
      <c r="Y357">
        <f>IF(OR(Y$4="",$A357&gt;TODAY()),0,IF(OR(INDEX($B357:$D357,Y$5)="F",AND(Y$6&gt;0,$A357&lt;Y$6),AND(Y$7&gt;0,$A357&gt;Y$7)),0,MAX(0,ROUND((INDEX($E357:$G357,Y$5)-SUMIFS(TF_Timer,TF_Tekniker,Y$4,TF_Dato,$A357))*2,0)/2)))</f>
        <v/>
      </c>
      <c r="Z357">
        <f>IF(OR(Z$4="",$A357&gt;TODAY()),0,IF(OR(INDEX($B357:$D357,Z$5)="F",AND(Z$6&gt;0,$A357&lt;Z$6),AND(Z$7&gt;0,$A357&gt;Z$7)),0,MAX(0,ROUND((INDEX($E357:$G357,Z$5)-SUMIFS(TF_Timer,TF_Tekniker,Z$4,TF_Dato,$A357))*2,0)/2)))</f>
        <v/>
      </c>
      <c r="AA357">
        <f>IF(OR(AA$4="",$A357&gt;TODAY()),0,IF(OR(INDEX($B357:$D357,AA$5)="F",AND(AA$6&gt;0,$A357&lt;AA$6),AND(AA$7&gt;0,$A357&gt;AA$7)),0,MAX(0,ROUND((INDEX($E357:$G357,AA$5)-SUMIFS(TF_Timer,TF_Tekniker,AA$4,TF_Dato,$A357))*2,0)/2)))</f>
        <v/>
      </c>
      <c r="AB357">
        <f>IF(OR(AB$4="",$A357&gt;TODAY()),0,IF(OR(INDEX($B357:$D357,AB$5)="F",AND(AB$6&gt;0,$A357&lt;AB$6),AND(AB$7&gt;0,$A357&gt;AB$7)),0,MAX(0,ROUND((INDEX($E357:$G357,AB$5)-SUMIFS(TF_Timer,TF_Tekniker,AB$4,TF_Dato,$A357))*2,0)/2)))</f>
        <v/>
      </c>
      <c r="AC357">
        <f>IF(OR(AC$4="",$A357&gt;TODAY()),0,IF(OR(INDEX($B357:$D357,AC$5)="F",AND(AC$6&gt;0,$A357&lt;AC$6),AND(AC$7&gt;0,$A357&gt;AC$7)),0,MAX(0,ROUND((INDEX($E357:$G357,AC$5)-SUMIFS(TF_Timer,TF_Tekniker,AC$4,TF_Dato,$A357))*2,0)/2)))</f>
        <v/>
      </c>
      <c r="AD357">
        <f>IF(OR(AD$4="",$A357&gt;TODAY()),0,IF(OR(INDEX($B357:$D357,AD$5)="F",AND(AD$6&gt;0,$A357&lt;AD$6),AND(AD$7&gt;0,$A357&gt;AD$7)),0,MAX(0,ROUND((INDEX($E357:$G357,AD$5)-SUMIFS(TF_Timer,TF_Tekniker,AD$4,TF_Dato,$A357))*2,0)/2)))</f>
        <v/>
      </c>
      <c r="AE357">
        <f>IF(OR(AE$4="",$A357&gt;TODAY()),0,IF(OR(INDEX($B357:$D357,AE$5)="F",AND(AE$6&gt;0,$A357&lt;AE$6),AND(AE$7&gt;0,$A357&gt;AE$7)),0,MAX(0,ROUND((INDEX($E357:$G357,AE$5)-SUMIFS(TF_Timer,TF_Tekniker,AE$4,TF_Dato,$A357))*2,0)/2)))</f>
        <v/>
      </c>
      <c r="AF357">
        <f>IF(OR(AF$4="",$A357&gt;TODAY()),0,IF(OR(INDEX($B357:$D357,AF$5)="F",AND(AF$6&gt;0,$A357&lt;AF$6),AND(AF$7&gt;0,$A357&gt;AF$7)),0,MAX(0,ROUND((INDEX($E357:$G357,AF$5)-SUMIFS(TF_Timer,TF_Tekniker,AF$4,TF_Dato,$A357))*2,0)/2)))</f>
        <v/>
      </c>
      <c r="AG357">
        <f>IF(OR(AG$4="",$A357&gt;TODAY()),0,IF(OR(INDEX($B357:$D357,AG$5)="F",AND(AG$6&gt;0,$A357&lt;AG$6),AND(AG$7&gt;0,$A357&gt;AG$7)),0,MAX(0,ROUND((INDEX($E357:$G357,AG$5)-SUMIFS(TF_Timer,TF_Tekniker,AG$4,TF_Dato,$A357))*2,0)/2)))</f>
        <v/>
      </c>
      <c r="AH357">
        <f>IF(OR(AH$4="",$A357&gt;TODAY()),0,IF(OR(INDEX($B357:$D357,AH$5)="F",AND(AH$6&gt;0,$A357&lt;AH$6),AND(AH$7&gt;0,$A357&gt;AH$7)),0,MAX(0,ROUND((INDEX($E357:$G357,AH$5)-SUMIFS(TF_Timer,TF_Tekniker,AH$4,TF_Dato,$A357))*2,0)/2)))</f>
        <v/>
      </c>
      <c r="AI357">
        <f>IF(OR(AI$4="",$A357&gt;TODAY()),0,IF(OR(INDEX($B357:$D357,AI$5)="F",AND(AI$6&gt;0,$A357&lt;AI$6),AND(AI$7&gt;0,$A357&gt;AI$7)),0,MAX(0,ROUND((INDEX($E357:$G357,AI$5)-SUMIFS(TF_Timer,TF_Tekniker,AI$4,TF_Dato,$A357))*2,0)/2)))</f>
        <v/>
      </c>
      <c r="AJ357">
        <f>IF(OR(AJ$4="",$A357&gt;TODAY()),0,IF(OR(INDEX($B357:$D357,AJ$5)="F",AND(AJ$6&gt;0,$A357&lt;AJ$6),AND(AJ$7&gt;0,$A357&gt;AJ$7)),0,MAX(0,ROUND((INDEX($E357:$G357,AJ$5)-SUMIFS(TF_Timer,TF_Tekniker,AJ$4,TF_Dato,$A357))*2,0)/2)))</f>
        <v/>
      </c>
      <c r="AK357">
        <f>IF(OR(AK$4="",$A357&gt;TODAY()),0,IF(OR(INDEX($B357:$D357,AK$5)="F",AND(AK$6&gt;0,$A357&lt;AK$6),AND(AK$7&gt;0,$A357&gt;AK$7)),0,MAX(0,ROUND((INDEX($E357:$G357,AK$5)-SUMIFS(TF_Timer,TF_Tekniker,AK$4,TF_Dato,$A357))*2,0)/2)))</f>
        <v/>
      </c>
      <c r="AL357">
        <f>IF(OR(AL$4="",$A357&gt;TODAY()),0,IF(OR(INDEX($B357:$D357,AL$5)="F",AND(AL$6&gt;0,$A357&lt;AL$6),AND(AL$7&gt;0,$A357&gt;AL$7)),0,MAX(0,ROUND((INDEX($E357:$G357,AL$5)-SUMIFS(TF_Timer,TF_Tekniker,AL$4,TF_Dato,$A357))*2,0)/2)))</f>
        <v/>
      </c>
      <c r="AM357">
        <f>IF(OR(AM$4="",$A357&gt;TODAY()),0,IF(OR(INDEX($B357:$D357,AM$5)="F",AND(AM$6&gt;0,$A357&lt;AM$6),AND(AM$7&gt;0,$A357&gt;AM$7)),0,MAX(0,ROUND((INDEX($E357:$G357,AM$5)-SUMIFS(TF_Timer,TF_Tekniker,AM$4,TF_Dato,$A357))*2,0)/2)))</f>
        <v/>
      </c>
      <c r="AN357">
        <f>IF(OR(AN$4="",$A357&gt;TODAY()),0,IF(OR(INDEX($B357:$D357,AN$5)="F",AND(AN$6&gt;0,$A357&lt;AN$6),AND(AN$7&gt;0,$A357&gt;AN$7)),0,MAX(0,ROUND((INDEX($E357:$G357,AN$5)-SUMIFS(TF_Timer,TF_Tekniker,AN$4,TF_Dato,$A357))*2,0)/2)))</f>
        <v/>
      </c>
      <c r="AO357">
        <f>IF(OR(AO$4="",$A357&gt;TODAY()),0,IF(OR(INDEX($B357:$D357,AO$5)="F",AND(AO$6&gt;0,$A357&lt;AO$6),AND(AO$7&gt;0,$A357&gt;AO$7)),0,MAX(0,ROUND((INDEX($E357:$G357,AO$5)-SUMIFS(TF_Timer,TF_Tekniker,AO$4,TF_Dato,$A357))*2,0)/2)))</f>
        <v/>
      </c>
      <c r="AP357">
        <f>IF(OR(AP$4="",$A357&gt;TODAY()),0,IF(OR(INDEX($B357:$D357,AP$5)="F",AND(AP$6&gt;0,$A357&lt;AP$6),AND(AP$7&gt;0,$A357&gt;AP$7)),0,MAX(0,ROUND((INDEX($E357:$G357,AP$5)-SUMIFS(TF_Timer,TF_Tekniker,AP$4,TF_Dato,$A357))*2,0)/2)))</f>
        <v/>
      </c>
      <c r="AQ357">
        <f>IF(OR(AQ$4="",$A357&gt;TODAY()),0,IF(OR(INDEX($B357:$D357,AQ$5)="F",AND(AQ$6&gt;0,$A357&lt;AQ$6),AND(AQ$7&gt;0,$A357&gt;AQ$7)),0,MAX(0,ROUND((INDEX($E357:$G357,AQ$5)-SUMIFS(TF_Timer,TF_Tekniker,AQ$4,TF_Dato,$A357))*2,0)/2)))</f>
        <v/>
      </c>
      <c r="AR357">
        <f>IF(OR(AR$4="",$A357&gt;TODAY()),0,IF(OR(INDEX($B357:$D357,AR$5)="F",AND(AR$6&gt;0,$A357&lt;AR$6),AND(AR$7&gt;0,$A357&gt;AR$7)),0,MAX(0,ROUND((INDEX($E357:$G357,AR$5)-SUMIFS(TF_Timer,TF_Tekniker,AR$4,TF_Dato,$A357))*2,0)/2)))</f>
        <v/>
      </c>
      <c r="AS357">
        <f>IF(OR(AS$4="",$A357&gt;TODAY()),0,IF(OR(INDEX($B357:$D357,AS$5)="F",AND(AS$6&gt;0,$A357&lt;AS$6),AND(AS$7&gt;0,$A357&gt;AS$7)),0,MAX(0,ROUND((INDEX($E357:$G357,AS$5)-SUMIFS(TF_Timer,TF_Tekniker,AS$4,TF_Dato,$A357))*2,0)/2)))</f>
        <v/>
      </c>
      <c r="AT357">
        <f>IF(OR(AT$4="",$A357&gt;TODAY()),0,IF(OR(INDEX($B357:$D357,AT$5)="F",AND(AT$6&gt;0,$A357&lt;AT$6),AND(AT$7&gt;0,$A357&gt;AT$7)),0,MAX(0,ROUND((INDEX($E357:$G357,AT$5)-SUMIFS(TF_Timer,TF_Tekniker,AT$4,TF_Dato,$A357))*2,0)/2)))</f>
        <v/>
      </c>
      <c r="AU357">
        <f>IF(OR(AU$4="",$A357&gt;TODAY()),0,IF(OR(INDEX($B357:$D357,AU$5)="F",AND(AU$6&gt;0,$A357&lt;AU$6),AND(AU$7&gt;0,$A357&gt;AU$7)),0,MAX(0,ROUND((INDEX($E357:$G357,AU$5)-SUMIFS(TF_Timer,TF_Tekniker,AU$4,TF_Dato,$A357))*2,0)/2)))</f>
        <v/>
      </c>
      <c r="AV357">
        <f>IF(OR(AV$4="",$A357&gt;TODAY()),0,IF(OR(INDEX($B357:$D357,AV$5)="F",AND(AV$6&gt;0,$A357&lt;AV$6),AND(AV$7&gt;0,$A357&gt;AV$7)),0,MAX(0,ROUND((INDEX($E357:$G357,AV$5)-SUMIFS(TF_Timer,TF_Tekniker,AV$4,TF_Dato,$A357))*2,0)/2)))</f>
        <v/>
      </c>
      <c r="AW357">
        <f>IF(OR(AW$4="",$A357&gt;TODAY()),0,IF(OR(INDEX($B357:$D357,AW$5)="F",AND(AW$6&gt;0,$A357&lt;AW$6),AND(AW$7&gt;0,$A357&gt;AW$7)),0,MAX(0,ROUND((INDEX($E357:$G357,AW$5)-SUMIFS(TF_Timer,TF_Tekniker,AW$4,TF_Dato,$A357))*2,0)/2)))</f>
        <v/>
      </c>
      <c r="AX357">
        <f>IF(OR(AX$4="",$A357&gt;TODAY()),0,IF(OR(INDEX($B357:$D357,AX$5)="F",AND(AX$6&gt;0,$A357&lt;AX$6),AND(AX$7&gt;0,$A357&gt;AX$7)),0,MAX(0,ROUND((INDEX($E357:$G357,AX$5)-SUMIFS(TF_Timer,TF_Tekniker,AX$4,TF_Dato,$A357))*2,0)/2)))</f>
        <v/>
      </c>
      <c r="AY357">
        <f>IF(OR(AY$4="",$A357&gt;TODAY()),0,IF(OR(INDEX($B357:$D357,AY$5)="F",AND(AY$6&gt;0,$A357&lt;AY$6),AND(AY$7&gt;0,$A357&gt;AY$7)),0,MAX(0,ROUND((INDEX($E357:$G357,AY$5)-SUMIFS(TF_Timer,TF_Tekniker,AY$4,TF_Dato,$A357))*2,0)/2)))</f>
        <v/>
      </c>
      <c r="AZ357">
        <f>IF(OR(AZ$4="",$A357&gt;TODAY()),0,IF(OR(INDEX($B357:$D357,AZ$5)="F",AND(AZ$6&gt;0,$A357&lt;AZ$6),AND(AZ$7&gt;0,$A357&gt;AZ$7)),0,MAX(0,ROUND((INDEX($E357:$G357,AZ$5)-SUMIFS(TF_Timer,TF_Tekniker,AZ$4,TF_Dato,$A357))*2,0)/2)))</f>
        <v/>
      </c>
      <c r="BA357">
        <f>IF(OR(BA$4="",$A357&gt;TODAY()),0,IF(OR(INDEX($B357:$D357,BA$5)="F",AND(BA$6&gt;0,$A357&lt;BA$6),AND(BA$7&gt;0,$A357&gt;BA$7)),0,MAX(0,ROUND((INDEX($E357:$G357,BA$5)-SUMIFS(TF_Timer,TF_Tekniker,BA$4,TF_Dato,$A357))*2,0)/2)))</f>
        <v/>
      </c>
      <c r="BB357">
        <f>IF(OR(BB$4="",$A357&gt;TODAY()),0,IF(OR(INDEX($B357:$D357,BB$5)="F",AND(BB$6&gt;0,$A357&lt;BB$6),AND(BB$7&gt;0,$A357&gt;BB$7)),0,MAX(0,ROUND((INDEX($E357:$G357,BB$5)-SUMIFS(TF_Timer,TF_Tekniker,BB$4,TF_Dato,$A357))*2,0)/2)))</f>
        <v/>
      </c>
      <c r="BC357">
        <f>IF(OR(BC$4="",$A357&gt;TODAY()),0,IF(OR(INDEX($B357:$D357,BC$5)="F",AND(BC$6&gt;0,$A357&lt;BC$6),AND(BC$7&gt;0,$A357&gt;BC$7)),0,MAX(0,ROUND((INDEX($E357:$G357,BC$5)-SUMIFS(TF_Timer,TF_Tekniker,BC$4,TF_Dato,$A357))*2,0)/2)))</f>
        <v/>
      </c>
      <c r="BD357">
        <f>IF(OR(BD$4="",$A357&gt;TODAY()),0,IF(OR(INDEX($B357:$D357,BD$5)="F",AND(BD$6&gt;0,$A357&lt;BD$6),AND(BD$7&gt;0,$A357&gt;BD$7)),0,MAX(0,ROUND((INDEX($E357:$G357,BD$5)-SUMIFS(TF_Timer,TF_Tekniker,BD$4,TF_Dato,$A357))*2,0)/2)))</f>
        <v/>
      </c>
      <c r="BE357">
        <f>IF(OR(BE$4="",$A357&gt;TODAY()),0,IF(OR(INDEX($B357:$D357,BE$5)="F",AND(BE$6&gt;0,$A357&lt;BE$6),AND(BE$7&gt;0,$A357&gt;BE$7)),0,MAX(0,ROUND((INDEX($E357:$G357,BE$5)-SUMIFS(TF_Timer,TF_Tekniker,BE$4,TF_Dato,$A357))*2,0)/2)))</f>
        <v/>
      </c>
      <c r="BF357">
        <f>IF(OR(BF$4="",$A357&gt;TODAY()),0,IF(OR(INDEX($B357:$D357,BF$5)="F",AND(BF$6&gt;0,$A357&lt;BF$6),AND(BF$7&gt;0,$A357&gt;BF$7)),0,MAX(0,ROUND((INDEX($E357:$G357,BF$5)-SUMIFS(TF_Timer,TF_Tekniker,BF$4,TF_Dato,$A357))*2,0)/2)))</f>
        <v/>
      </c>
      <c r="BG357">
        <f>IF(OR(BG$4="",$A357&gt;TODAY()),0,IF(OR(INDEX($B357:$D357,BG$5)="F",AND(BG$6&gt;0,$A357&lt;BG$6),AND(BG$7&gt;0,$A357&gt;BG$7)),0,MAX(0,ROUND((INDEX($E357:$G357,BG$5)-SUMIFS(TF_Timer,TF_Tekniker,BG$4,TF_Dato,$A357))*2,0)/2)))</f>
        <v/>
      </c>
      <c r="BH357">
        <f>IF(OR(BH$4="",$A357&gt;TODAY()),0,IF(OR(INDEX($B357:$D357,BH$5)="F",AND(BH$6&gt;0,$A357&lt;BH$6),AND(BH$7&gt;0,$A357&gt;BH$7)),0,MAX(0,ROUND((INDEX($E357:$G357,BH$5)-SUMIFS(TF_Timer,TF_Tekniker,BH$4,TF_Dato,$A357))*2,0)/2)))</f>
        <v/>
      </c>
      <c r="BI357">
        <f>IF(OR(BI$4="",$A357&gt;TODAY()),0,IF(OR(INDEX($B357:$D357,BI$5)="F",AND(BI$6&gt;0,$A357&lt;BI$6),AND(BI$7&gt;0,$A357&gt;BI$7)),0,MAX(0,ROUND((INDEX($E357:$G357,BI$5)-SUMIFS(TF_Timer,TF_Tekniker,BI$4,TF_Dato,$A357))*2,0)/2)))</f>
        <v/>
      </c>
    </row>
    <row r="358">
      <c r="A358" s="64">
        <f>A357+1</f>
        <v/>
      </c>
      <c r="B358">
        <f>IF(MOD($A358-INDEX(SkiftStart,1),Syklus)&lt;DagK,"K",IF(MOD($A358-INDEX(SkiftStart,1),Syklus)&lt;DagK+DagH,"H",IF(MOD($A358-INDEX(SkiftStart,1),Syklus)&lt;DagK+DagH+DagD,"D","F")))</f>
        <v/>
      </c>
      <c r="C358">
        <f>IF(MOD($A358-INDEX(SkiftStart,2),Syklus)&lt;DagK,"K",IF(MOD($A358-INDEX(SkiftStart,2),Syklus)&lt;DagK+DagH,"H",IF(MOD($A358-INDEX(SkiftStart,2),Syklus)&lt;DagK+DagH+DagD,"D","F")))</f>
        <v/>
      </c>
      <c r="D358">
        <f>IF(MOD($A358-INDEX(SkiftStart,3),Syklus)&lt;DagK,"K",IF(MOD($A358-INDEX(SkiftStart,3),Syklus)&lt;DagK+DagH,"H",IF(MOD($A358-INDEX(SkiftStart,3),Syklus)&lt;DagK+DagH+DagD,"D","F")))</f>
        <v/>
      </c>
      <c r="E358">
        <f>IF(B358="F",0,IF(WEEKDAY($A358,2)=5,INDEX(TimerFr,MATCH(B358,FaseKode,0)),INDEX(TimerMT,MATCH(B358,FaseKode,0))))</f>
        <v/>
      </c>
      <c r="F358">
        <f>IF(C358="F",0,IF(WEEKDAY($A358,2)=5,INDEX(TimerFr,MATCH(C358,FaseKode,0)),INDEX(TimerMT,MATCH(C358,FaseKode,0))))</f>
        <v/>
      </c>
      <c r="G358">
        <f>IF(D358="F",0,IF(WEEKDAY($A358,2)=5,INDEX(TimerFr,MATCH(D358,FaseKode,0)),INDEX(TimerMT,MATCH(D358,FaseKode,0))))</f>
        <v/>
      </c>
      <c r="H358">
        <f>IF(OR(H$4="",$A358&gt;TODAY()),0,IF(OR(INDEX($B358:$D358,H$5)="F",AND(H$6&gt;0,$A358&lt;H$6),AND(H$7&gt;0,$A358&gt;H$7)),0,MAX(0,ROUND((INDEX($E358:$G358,H$5)-SUMIFS(TF_Timer,TF_Tekniker,H$4,TF_Dato,$A358))*2,0)/2)))</f>
        <v/>
      </c>
      <c r="I358">
        <f>IF(OR(I$4="",$A358&gt;TODAY()),0,IF(OR(INDEX($B358:$D358,I$5)="F",AND(I$6&gt;0,$A358&lt;I$6),AND(I$7&gt;0,$A358&gt;I$7)),0,MAX(0,ROUND((INDEX($E358:$G358,I$5)-SUMIFS(TF_Timer,TF_Tekniker,I$4,TF_Dato,$A358))*2,0)/2)))</f>
        <v/>
      </c>
      <c r="J358">
        <f>IF(OR(J$4="",$A358&gt;TODAY()),0,IF(OR(INDEX($B358:$D358,J$5)="F",AND(J$6&gt;0,$A358&lt;J$6),AND(J$7&gt;0,$A358&gt;J$7)),0,MAX(0,ROUND((INDEX($E358:$G358,J$5)-SUMIFS(TF_Timer,TF_Tekniker,J$4,TF_Dato,$A358))*2,0)/2)))</f>
        <v/>
      </c>
      <c r="K358">
        <f>IF(OR(K$4="",$A358&gt;TODAY()),0,IF(OR(INDEX($B358:$D358,K$5)="F",AND(K$6&gt;0,$A358&lt;K$6),AND(K$7&gt;0,$A358&gt;K$7)),0,MAX(0,ROUND((INDEX($E358:$G358,K$5)-SUMIFS(TF_Timer,TF_Tekniker,K$4,TF_Dato,$A358))*2,0)/2)))</f>
        <v/>
      </c>
      <c r="L358">
        <f>IF(OR(L$4="",$A358&gt;TODAY()),0,IF(OR(INDEX($B358:$D358,L$5)="F",AND(L$6&gt;0,$A358&lt;L$6),AND(L$7&gt;0,$A358&gt;L$7)),0,MAX(0,ROUND((INDEX($E358:$G358,L$5)-SUMIFS(TF_Timer,TF_Tekniker,L$4,TF_Dato,$A358))*2,0)/2)))</f>
        <v/>
      </c>
      <c r="M358">
        <f>IF(OR(M$4="",$A358&gt;TODAY()),0,IF(OR(INDEX($B358:$D358,M$5)="F",AND(M$6&gt;0,$A358&lt;M$6),AND(M$7&gt;0,$A358&gt;M$7)),0,MAX(0,ROUND((INDEX($E358:$G358,M$5)-SUMIFS(TF_Timer,TF_Tekniker,M$4,TF_Dato,$A358))*2,0)/2)))</f>
        <v/>
      </c>
      <c r="N358">
        <f>IF(OR(N$4="",$A358&gt;TODAY()),0,IF(OR(INDEX($B358:$D358,N$5)="F",AND(N$6&gt;0,$A358&lt;N$6),AND(N$7&gt;0,$A358&gt;N$7)),0,MAX(0,ROUND((INDEX($E358:$G358,N$5)-SUMIFS(TF_Timer,TF_Tekniker,N$4,TF_Dato,$A358))*2,0)/2)))</f>
        <v/>
      </c>
      <c r="O358">
        <f>IF(OR(O$4="",$A358&gt;TODAY()),0,IF(OR(INDEX($B358:$D358,O$5)="F",AND(O$6&gt;0,$A358&lt;O$6),AND(O$7&gt;0,$A358&gt;O$7)),0,MAX(0,ROUND((INDEX($E358:$G358,O$5)-SUMIFS(TF_Timer,TF_Tekniker,O$4,TF_Dato,$A358))*2,0)/2)))</f>
        <v/>
      </c>
      <c r="P358">
        <f>IF(OR(P$4="",$A358&gt;TODAY()),0,IF(OR(INDEX($B358:$D358,P$5)="F",AND(P$6&gt;0,$A358&lt;P$6),AND(P$7&gt;0,$A358&gt;P$7)),0,MAX(0,ROUND((INDEX($E358:$G358,P$5)-SUMIFS(TF_Timer,TF_Tekniker,P$4,TF_Dato,$A358))*2,0)/2)))</f>
        <v/>
      </c>
      <c r="Q358">
        <f>IF(OR(Q$4="",$A358&gt;TODAY()),0,IF(OR(INDEX($B358:$D358,Q$5)="F",AND(Q$6&gt;0,$A358&lt;Q$6),AND(Q$7&gt;0,$A358&gt;Q$7)),0,MAX(0,ROUND((INDEX($E358:$G358,Q$5)-SUMIFS(TF_Timer,TF_Tekniker,Q$4,TF_Dato,$A358))*2,0)/2)))</f>
        <v/>
      </c>
      <c r="R358">
        <f>IF(OR(R$4="",$A358&gt;TODAY()),0,IF(OR(INDEX($B358:$D358,R$5)="F",AND(R$6&gt;0,$A358&lt;R$6),AND(R$7&gt;0,$A358&gt;R$7)),0,MAX(0,ROUND((INDEX($E358:$G358,R$5)-SUMIFS(TF_Timer,TF_Tekniker,R$4,TF_Dato,$A358))*2,0)/2)))</f>
        <v/>
      </c>
      <c r="S358">
        <f>IF(OR(S$4="",$A358&gt;TODAY()),0,IF(OR(INDEX($B358:$D358,S$5)="F",AND(S$6&gt;0,$A358&lt;S$6),AND(S$7&gt;0,$A358&gt;S$7)),0,MAX(0,ROUND((INDEX($E358:$G358,S$5)-SUMIFS(TF_Timer,TF_Tekniker,S$4,TF_Dato,$A358))*2,0)/2)))</f>
        <v/>
      </c>
      <c r="T358">
        <f>IF(OR(T$4="",$A358&gt;TODAY()),0,IF(OR(INDEX($B358:$D358,T$5)="F",AND(T$6&gt;0,$A358&lt;T$6),AND(T$7&gt;0,$A358&gt;T$7)),0,MAX(0,ROUND((INDEX($E358:$G358,T$5)-SUMIFS(TF_Timer,TF_Tekniker,T$4,TF_Dato,$A358))*2,0)/2)))</f>
        <v/>
      </c>
      <c r="U358">
        <f>IF(OR(U$4="",$A358&gt;TODAY()),0,IF(OR(INDEX($B358:$D358,U$5)="F",AND(U$6&gt;0,$A358&lt;U$6),AND(U$7&gt;0,$A358&gt;U$7)),0,MAX(0,ROUND((INDEX($E358:$G358,U$5)-SUMIFS(TF_Timer,TF_Tekniker,U$4,TF_Dato,$A358))*2,0)/2)))</f>
        <v/>
      </c>
      <c r="V358">
        <f>IF(OR(V$4="",$A358&gt;TODAY()),0,IF(OR(INDEX($B358:$D358,V$5)="F",AND(V$6&gt;0,$A358&lt;V$6),AND(V$7&gt;0,$A358&gt;V$7)),0,MAX(0,ROUND((INDEX($E358:$G358,V$5)-SUMIFS(TF_Timer,TF_Tekniker,V$4,TF_Dato,$A358))*2,0)/2)))</f>
        <v/>
      </c>
      <c r="W358">
        <f>IF(OR(W$4="",$A358&gt;TODAY()),0,IF(OR(INDEX($B358:$D358,W$5)="F",AND(W$6&gt;0,$A358&lt;W$6),AND(W$7&gt;0,$A358&gt;W$7)),0,MAX(0,ROUND((INDEX($E358:$G358,W$5)-SUMIFS(TF_Timer,TF_Tekniker,W$4,TF_Dato,$A358))*2,0)/2)))</f>
        <v/>
      </c>
      <c r="X358">
        <f>IF(OR(X$4="",$A358&gt;TODAY()),0,IF(OR(INDEX($B358:$D358,X$5)="F",AND(X$6&gt;0,$A358&lt;X$6),AND(X$7&gt;0,$A358&gt;X$7)),0,MAX(0,ROUND((INDEX($E358:$G358,X$5)-SUMIFS(TF_Timer,TF_Tekniker,X$4,TF_Dato,$A358))*2,0)/2)))</f>
        <v/>
      </c>
      <c r="Y358">
        <f>IF(OR(Y$4="",$A358&gt;TODAY()),0,IF(OR(INDEX($B358:$D358,Y$5)="F",AND(Y$6&gt;0,$A358&lt;Y$6),AND(Y$7&gt;0,$A358&gt;Y$7)),0,MAX(0,ROUND((INDEX($E358:$G358,Y$5)-SUMIFS(TF_Timer,TF_Tekniker,Y$4,TF_Dato,$A358))*2,0)/2)))</f>
        <v/>
      </c>
      <c r="Z358">
        <f>IF(OR(Z$4="",$A358&gt;TODAY()),0,IF(OR(INDEX($B358:$D358,Z$5)="F",AND(Z$6&gt;0,$A358&lt;Z$6),AND(Z$7&gt;0,$A358&gt;Z$7)),0,MAX(0,ROUND((INDEX($E358:$G358,Z$5)-SUMIFS(TF_Timer,TF_Tekniker,Z$4,TF_Dato,$A358))*2,0)/2)))</f>
        <v/>
      </c>
      <c r="AA358">
        <f>IF(OR(AA$4="",$A358&gt;TODAY()),0,IF(OR(INDEX($B358:$D358,AA$5)="F",AND(AA$6&gt;0,$A358&lt;AA$6),AND(AA$7&gt;0,$A358&gt;AA$7)),0,MAX(0,ROUND((INDEX($E358:$G358,AA$5)-SUMIFS(TF_Timer,TF_Tekniker,AA$4,TF_Dato,$A358))*2,0)/2)))</f>
        <v/>
      </c>
      <c r="AB358">
        <f>IF(OR(AB$4="",$A358&gt;TODAY()),0,IF(OR(INDEX($B358:$D358,AB$5)="F",AND(AB$6&gt;0,$A358&lt;AB$6),AND(AB$7&gt;0,$A358&gt;AB$7)),0,MAX(0,ROUND((INDEX($E358:$G358,AB$5)-SUMIFS(TF_Timer,TF_Tekniker,AB$4,TF_Dato,$A358))*2,0)/2)))</f>
        <v/>
      </c>
      <c r="AC358">
        <f>IF(OR(AC$4="",$A358&gt;TODAY()),0,IF(OR(INDEX($B358:$D358,AC$5)="F",AND(AC$6&gt;0,$A358&lt;AC$6),AND(AC$7&gt;0,$A358&gt;AC$7)),0,MAX(0,ROUND((INDEX($E358:$G358,AC$5)-SUMIFS(TF_Timer,TF_Tekniker,AC$4,TF_Dato,$A358))*2,0)/2)))</f>
        <v/>
      </c>
      <c r="AD358">
        <f>IF(OR(AD$4="",$A358&gt;TODAY()),0,IF(OR(INDEX($B358:$D358,AD$5)="F",AND(AD$6&gt;0,$A358&lt;AD$6),AND(AD$7&gt;0,$A358&gt;AD$7)),0,MAX(0,ROUND((INDEX($E358:$G358,AD$5)-SUMIFS(TF_Timer,TF_Tekniker,AD$4,TF_Dato,$A358))*2,0)/2)))</f>
        <v/>
      </c>
      <c r="AE358">
        <f>IF(OR(AE$4="",$A358&gt;TODAY()),0,IF(OR(INDEX($B358:$D358,AE$5)="F",AND(AE$6&gt;0,$A358&lt;AE$6),AND(AE$7&gt;0,$A358&gt;AE$7)),0,MAX(0,ROUND((INDEX($E358:$G358,AE$5)-SUMIFS(TF_Timer,TF_Tekniker,AE$4,TF_Dato,$A358))*2,0)/2)))</f>
        <v/>
      </c>
      <c r="AF358">
        <f>IF(OR(AF$4="",$A358&gt;TODAY()),0,IF(OR(INDEX($B358:$D358,AF$5)="F",AND(AF$6&gt;0,$A358&lt;AF$6),AND(AF$7&gt;0,$A358&gt;AF$7)),0,MAX(0,ROUND((INDEX($E358:$G358,AF$5)-SUMIFS(TF_Timer,TF_Tekniker,AF$4,TF_Dato,$A358))*2,0)/2)))</f>
        <v/>
      </c>
      <c r="AG358">
        <f>IF(OR(AG$4="",$A358&gt;TODAY()),0,IF(OR(INDEX($B358:$D358,AG$5)="F",AND(AG$6&gt;0,$A358&lt;AG$6),AND(AG$7&gt;0,$A358&gt;AG$7)),0,MAX(0,ROUND((INDEX($E358:$G358,AG$5)-SUMIFS(TF_Timer,TF_Tekniker,AG$4,TF_Dato,$A358))*2,0)/2)))</f>
        <v/>
      </c>
      <c r="AH358">
        <f>IF(OR(AH$4="",$A358&gt;TODAY()),0,IF(OR(INDEX($B358:$D358,AH$5)="F",AND(AH$6&gt;0,$A358&lt;AH$6),AND(AH$7&gt;0,$A358&gt;AH$7)),0,MAX(0,ROUND((INDEX($E358:$G358,AH$5)-SUMIFS(TF_Timer,TF_Tekniker,AH$4,TF_Dato,$A358))*2,0)/2)))</f>
        <v/>
      </c>
      <c r="AI358">
        <f>IF(OR(AI$4="",$A358&gt;TODAY()),0,IF(OR(INDEX($B358:$D358,AI$5)="F",AND(AI$6&gt;0,$A358&lt;AI$6),AND(AI$7&gt;0,$A358&gt;AI$7)),0,MAX(0,ROUND((INDEX($E358:$G358,AI$5)-SUMIFS(TF_Timer,TF_Tekniker,AI$4,TF_Dato,$A358))*2,0)/2)))</f>
        <v/>
      </c>
      <c r="AJ358">
        <f>IF(OR(AJ$4="",$A358&gt;TODAY()),0,IF(OR(INDEX($B358:$D358,AJ$5)="F",AND(AJ$6&gt;0,$A358&lt;AJ$6),AND(AJ$7&gt;0,$A358&gt;AJ$7)),0,MAX(0,ROUND((INDEX($E358:$G358,AJ$5)-SUMIFS(TF_Timer,TF_Tekniker,AJ$4,TF_Dato,$A358))*2,0)/2)))</f>
        <v/>
      </c>
      <c r="AK358">
        <f>IF(OR(AK$4="",$A358&gt;TODAY()),0,IF(OR(INDEX($B358:$D358,AK$5)="F",AND(AK$6&gt;0,$A358&lt;AK$6),AND(AK$7&gt;0,$A358&gt;AK$7)),0,MAX(0,ROUND((INDEX($E358:$G358,AK$5)-SUMIFS(TF_Timer,TF_Tekniker,AK$4,TF_Dato,$A358))*2,0)/2)))</f>
        <v/>
      </c>
      <c r="AL358">
        <f>IF(OR(AL$4="",$A358&gt;TODAY()),0,IF(OR(INDEX($B358:$D358,AL$5)="F",AND(AL$6&gt;0,$A358&lt;AL$6),AND(AL$7&gt;0,$A358&gt;AL$7)),0,MAX(0,ROUND((INDEX($E358:$G358,AL$5)-SUMIFS(TF_Timer,TF_Tekniker,AL$4,TF_Dato,$A358))*2,0)/2)))</f>
        <v/>
      </c>
      <c r="AM358">
        <f>IF(OR(AM$4="",$A358&gt;TODAY()),0,IF(OR(INDEX($B358:$D358,AM$5)="F",AND(AM$6&gt;0,$A358&lt;AM$6),AND(AM$7&gt;0,$A358&gt;AM$7)),0,MAX(0,ROUND((INDEX($E358:$G358,AM$5)-SUMIFS(TF_Timer,TF_Tekniker,AM$4,TF_Dato,$A358))*2,0)/2)))</f>
        <v/>
      </c>
      <c r="AN358">
        <f>IF(OR(AN$4="",$A358&gt;TODAY()),0,IF(OR(INDEX($B358:$D358,AN$5)="F",AND(AN$6&gt;0,$A358&lt;AN$6),AND(AN$7&gt;0,$A358&gt;AN$7)),0,MAX(0,ROUND((INDEX($E358:$G358,AN$5)-SUMIFS(TF_Timer,TF_Tekniker,AN$4,TF_Dato,$A358))*2,0)/2)))</f>
        <v/>
      </c>
      <c r="AO358">
        <f>IF(OR(AO$4="",$A358&gt;TODAY()),0,IF(OR(INDEX($B358:$D358,AO$5)="F",AND(AO$6&gt;0,$A358&lt;AO$6),AND(AO$7&gt;0,$A358&gt;AO$7)),0,MAX(0,ROUND((INDEX($E358:$G358,AO$5)-SUMIFS(TF_Timer,TF_Tekniker,AO$4,TF_Dato,$A358))*2,0)/2)))</f>
        <v/>
      </c>
      <c r="AP358">
        <f>IF(OR(AP$4="",$A358&gt;TODAY()),0,IF(OR(INDEX($B358:$D358,AP$5)="F",AND(AP$6&gt;0,$A358&lt;AP$6),AND(AP$7&gt;0,$A358&gt;AP$7)),0,MAX(0,ROUND((INDEX($E358:$G358,AP$5)-SUMIFS(TF_Timer,TF_Tekniker,AP$4,TF_Dato,$A358))*2,0)/2)))</f>
        <v/>
      </c>
      <c r="AQ358">
        <f>IF(OR(AQ$4="",$A358&gt;TODAY()),0,IF(OR(INDEX($B358:$D358,AQ$5)="F",AND(AQ$6&gt;0,$A358&lt;AQ$6),AND(AQ$7&gt;0,$A358&gt;AQ$7)),0,MAX(0,ROUND((INDEX($E358:$G358,AQ$5)-SUMIFS(TF_Timer,TF_Tekniker,AQ$4,TF_Dato,$A358))*2,0)/2)))</f>
        <v/>
      </c>
      <c r="AR358">
        <f>IF(OR(AR$4="",$A358&gt;TODAY()),0,IF(OR(INDEX($B358:$D358,AR$5)="F",AND(AR$6&gt;0,$A358&lt;AR$6),AND(AR$7&gt;0,$A358&gt;AR$7)),0,MAX(0,ROUND((INDEX($E358:$G358,AR$5)-SUMIFS(TF_Timer,TF_Tekniker,AR$4,TF_Dato,$A358))*2,0)/2)))</f>
        <v/>
      </c>
      <c r="AS358">
        <f>IF(OR(AS$4="",$A358&gt;TODAY()),0,IF(OR(INDEX($B358:$D358,AS$5)="F",AND(AS$6&gt;0,$A358&lt;AS$6),AND(AS$7&gt;0,$A358&gt;AS$7)),0,MAX(0,ROUND((INDEX($E358:$G358,AS$5)-SUMIFS(TF_Timer,TF_Tekniker,AS$4,TF_Dato,$A358))*2,0)/2)))</f>
        <v/>
      </c>
      <c r="AT358">
        <f>IF(OR(AT$4="",$A358&gt;TODAY()),0,IF(OR(INDEX($B358:$D358,AT$5)="F",AND(AT$6&gt;0,$A358&lt;AT$6),AND(AT$7&gt;0,$A358&gt;AT$7)),0,MAX(0,ROUND((INDEX($E358:$G358,AT$5)-SUMIFS(TF_Timer,TF_Tekniker,AT$4,TF_Dato,$A358))*2,0)/2)))</f>
        <v/>
      </c>
      <c r="AU358">
        <f>IF(OR(AU$4="",$A358&gt;TODAY()),0,IF(OR(INDEX($B358:$D358,AU$5)="F",AND(AU$6&gt;0,$A358&lt;AU$6),AND(AU$7&gt;0,$A358&gt;AU$7)),0,MAX(0,ROUND((INDEX($E358:$G358,AU$5)-SUMIFS(TF_Timer,TF_Tekniker,AU$4,TF_Dato,$A358))*2,0)/2)))</f>
        <v/>
      </c>
      <c r="AV358">
        <f>IF(OR(AV$4="",$A358&gt;TODAY()),0,IF(OR(INDEX($B358:$D358,AV$5)="F",AND(AV$6&gt;0,$A358&lt;AV$6),AND(AV$7&gt;0,$A358&gt;AV$7)),0,MAX(0,ROUND((INDEX($E358:$G358,AV$5)-SUMIFS(TF_Timer,TF_Tekniker,AV$4,TF_Dato,$A358))*2,0)/2)))</f>
        <v/>
      </c>
      <c r="AW358">
        <f>IF(OR(AW$4="",$A358&gt;TODAY()),0,IF(OR(INDEX($B358:$D358,AW$5)="F",AND(AW$6&gt;0,$A358&lt;AW$6),AND(AW$7&gt;0,$A358&gt;AW$7)),0,MAX(0,ROUND((INDEX($E358:$G358,AW$5)-SUMIFS(TF_Timer,TF_Tekniker,AW$4,TF_Dato,$A358))*2,0)/2)))</f>
        <v/>
      </c>
      <c r="AX358">
        <f>IF(OR(AX$4="",$A358&gt;TODAY()),0,IF(OR(INDEX($B358:$D358,AX$5)="F",AND(AX$6&gt;0,$A358&lt;AX$6),AND(AX$7&gt;0,$A358&gt;AX$7)),0,MAX(0,ROUND((INDEX($E358:$G358,AX$5)-SUMIFS(TF_Timer,TF_Tekniker,AX$4,TF_Dato,$A358))*2,0)/2)))</f>
        <v/>
      </c>
      <c r="AY358">
        <f>IF(OR(AY$4="",$A358&gt;TODAY()),0,IF(OR(INDEX($B358:$D358,AY$5)="F",AND(AY$6&gt;0,$A358&lt;AY$6),AND(AY$7&gt;0,$A358&gt;AY$7)),0,MAX(0,ROUND((INDEX($E358:$G358,AY$5)-SUMIFS(TF_Timer,TF_Tekniker,AY$4,TF_Dato,$A358))*2,0)/2)))</f>
        <v/>
      </c>
      <c r="AZ358">
        <f>IF(OR(AZ$4="",$A358&gt;TODAY()),0,IF(OR(INDEX($B358:$D358,AZ$5)="F",AND(AZ$6&gt;0,$A358&lt;AZ$6),AND(AZ$7&gt;0,$A358&gt;AZ$7)),0,MAX(0,ROUND((INDEX($E358:$G358,AZ$5)-SUMIFS(TF_Timer,TF_Tekniker,AZ$4,TF_Dato,$A358))*2,0)/2)))</f>
        <v/>
      </c>
      <c r="BA358">
        <f>IF(OR(BA$4="",$A358&gt;TODAY()),0,IF(OR(INDEX($B358:$D358,BA$5)="F",AND(BA$6&gt;0,$A358&lt;BA$6),AND(BA$7&gt;0,$A358&gt;BA$7)),0,MAX(0,ROUND((INDEX($E358:$G358,BA$5)-SUMIFS(TF_Timer,TF_Tekniker,BA$4,TF_Dato,$A358))*2,0)/2)))</f>
        <v/>
      </c>
      <c r="BB358">
        <f>IF(OR(BB$4="",$A358&gt;TODAY()),0,IF(OR(INDEX($B358:$D358,BB$5)="F",AND(BB$6&gt;0,$A358&lt;BB$6),AND(BB$7&gt;0,$A358&gt;BB$7)),0,MAX(0,ROUND((INDEX($E358:$G358,BB$5)-SUMIFS(TF_Timer,TF_Tekniker,BB$4,TF_Dato,$A358))*2,0)/2)))</f>
        <v/>
      </c>
      <c r="BC358">
        <f>IF(OR(BC$4="",$A358&gt;TODAY()),0,IF(OR(INDEX($B358:$D358,BC$5)="F",AND(BC$6&gt;0,$A358&lt;BC$6),AND(BC$7&gt;0,$A358&gt;BC$7)),0,MAX(0,ROUND((INDEX($E358:$G358,BC$5)-SUMIFS(TF_Timer,TF_Tekniker,BC$4,TF_Dato,$A358))*2,0)/2)))</f>
        <v/>
      </c>
      <c r="BD358">
        <f>IF(OR(BD$4="",$A358&gt;TODAY()),0,IF(OR(INDEX($B358:$D358,BD$5)="F",AND(BD$6&gt;0,$A358&lt;BD$6),AND(BD$7&gt;0,$A358&gt;BD$7)),0,MAX(0,ROUND((INDEX($E358:$G358,BD$5)-SUMIFS(TF_Timer,TF_Tekniker,BD$4,TF_Dato,$A358))*2,0)/2)))</f>
        <v/>
      </c>
      <c r="BE358">
        <f>IF(OR(BE$4="",$A358&gt;TODAY()),0,IF(OR(INDEX($B358:$D358,BE$5)="F",AND(BE$6&gt;0,$A358&lt;BE$6),AND(BE$7&gt;0,$A358&gt;BE$7)),0,MAX(0,ROUND((INDEX($E358:$G358,BE$5)-SUMIFS(TF_Timer,TF_Tekniker,BE$4,TF_Dato,$A358))*2,0)/2)))</f>
        <v/>
      </c>
      <c r="BF358">
        <f>IF(OR(BF$4="",$A358&gt;TODAY()),0,IF(OR(INDEX($B358:$D358,BF$5)="F",AND(BF$6&gt;0,$A358&lt;BF$6),AND(BF$7&gt;0,$A358&gt;BF$7)),0,MAX(0,ROUND((INDEX($E358:$G358,BF$5)-SUMIFS(TF_Timer,TF_Tekniker,BF$4,TF_Dato,$A358))*2,0)/2)))</f>
        <v/>
      </c>
      <c r="BG358">
        <f>IF(OR(BG$4="",$A358&gt;TODAY()),0,IF(OR(INDEX($B358:$D358,BG$5)="F",AND(BG$6&gt;0,$A358&lt;BG$6),AND(BG$7&gt;0,$A358&gt;BG$7)),0,MAX(0,ROUND((INDEX($E358:$G358,BG$5)-SUMIFS(TF_Timer,TF_Tekniker,BG$4,TF_Dato,$A358))*2,0)/2)))</f>
        <v/>
      </c>
      <c r="BH358">
        <f>IF(OR(BH$4="",$A358&gt;TODAY()),0,IF(OR(INDEX($B358:$D358,BH$5)="F",AND(BH$6&gt;0,$A358&lt;BH$6),AND(BH$7&gt;0,$A358&gt;BH$7)),0,MAX(0,ROUND((INDEX($E358:$G358,BH$5)-SUMIFS(TF_Timer,TF_Tekniker,BH$4,TF_Dato,$A358))*2,0)/2)))</f>
        <v/>
      </c>
      <c r="BI358">
        <f>IF(OR(BI$4="",$A358&gt;TODAY()),0,IF(OR(INDEX($B358:$D358,BI$5)="F",AND(BI$6&gt;0,$A358&lt;BI$6),AND(BI$7&gt;0,$A358&gt;BI$7)),0,MAX(0,ROUND((INDEX($E358:$G358,BI$5)-SUMIFS(TF_Timer,TF_Tekniker,BI$4,TF_Dato,$A358))*2,0)/2)))</f>
        <v/>
      </c>
    </row>
    <row r="359">
      <c r="A359" s="64">
        <f>A358+1</f>
        <v/>
      </c>
      <c r="B359">
        <f>IF(MOD($A359-INDEX(SkiftStart,1),Syklus)&lt;DagK,"K",IF(MOD($A359-INDEX(SkiftStart,1),Syklus)&lt;DagK+DagH,"H",IF(MOD($A359-INDEX(SkiftStart,1),Syklus)&lt;DagK+DagH+DagD,"D","F")))</f>
        <v/>
      </c>
      <c r="C359">
        <f>IF(MOD($A359-INDEX(SkiftStart,2),Syklus)&lt;DagK,"K",IF(MOD($A359-INDEX(SkiftStart,2),Syklus)&lt;DagK+DagH,"H",IF(MOD($A359-INDEX(SkiftStart,2),Syklus)&lt;DagK+DagH+DagD,"D","F")))</f>
        <v/>
      </c>
      <c r="D359">
        <f>IF(MOD($A359-INDEX(SkiftStart,3),Syklus)&lt;DagK,"K",IF(MOD($A359-INDEX(SkiftStart,3),Syklus)&lt;DagK+DagH,"H",IF(MOD($A359-INDEX(SkiftStart,3),Syklus)&lt;DagK+DagH+DagD,"D","F")))</f>
        <v/>
      </c>
      <c r="E359">
        <f>IF(B359="F",0,IF(WEEKDAY($A359,2)=5,INDEX(TimerFr,MATCH(B359,FaseKode,0)),INDEX(TimerMT,MATCH(B359,FaseKode,0))))</f>
        <v/>
      </c>
      <c r="F359">
        <f>IF(C359="F",0,IF(WEEKDAY($A359,2)=5,INDEX(TimerFr,MATCH(C359,FaseKode,0)),INDEX(TimerMT,MATCH(C359,FaseKode,0))))</f>
        <v/>
      </c>
      <c r="G359">
        <f>IF(D359="F",0,IF(WEEKDAY($A359,2)=5,INDEX(TimerFr,MATCH(D359,FaseKode,0)),INDEX(TimerMT,MATCH(D359,FaseKode,0))))</f>
        <v/>
      </c>
      <c r="H359">
        <f>IF(OR(H$4="",$A359&gt;TODAY()),0,IF(OR(INDEX($B359:$D359,H$5)="F",AND(H$6&gt;0,$A359&lt;H$6),AND(H$7&gt;0,$A359&gt;H$7)),0,MAX(0,ROUND((INDEX($E359:$G359,H$5)-SUMIFS(TF_Timer,TF_Tekniker,H$4,TF_Dato,$A359))*2,0)/2)))</f>
        <v/>
      </c>
      <c r="I359">
        <f>IF(OR(I$4="",$A359&gt;TODAY()),0,IF(OR(INDEX($B359:$D359,I$5)="F",AND(I$6&gt;0,$A359&lt;I$6),AND(I$7&gt;0,$A359&gt;I$7)),0,MAX(0,ROUND((INDEX($E359:$G359,I$5)-SUMIFS(TF_Timer,TF_Tekniker,I$4,TF_Dato,$A359))*2,0)/2)))</f>
        <v/>
      </c>
      <c r="J359">
        <f>IF(OR(J$4="",$A359&gt;TODAY()),0,IF(OR(INDEX($B359:$D359,J$5)="F",AND(J$6&gt;0,$A359&lt;J$6),AND(J$7&gt;0,$A359&gt;J$7)),0,MAX(0,ROUND((INDEX($E359:$G359,J$5)-SUMIFS(TF_Timer,TF_Tekniker,J$4,TF_Dato,$A359))*2,0)/2)))</f>
        <v/>
      </c>
      <c r="K359">
        <f>IF(OR(K$4="",$A359&gt;TODAY()),0,IF(OR(INDEX($B359:$D359,K$5)="F",AND(K$6&gt;0,$A359&lt;K$6),AND(K$7&gt;0,$A359&gt;K$7)),0,MAX(0,ROUND((INDEX($E359:$G359,K$5)-SUMIFS(TF_Timer,TF_Tekniker,K$4,TF_Dato,$A359))*2,0)/2)))</f>
        <v/>
      </c>
      <c r="L359">
        <f>IF(OR(L$4="",$A359&gt;TODAY()),0,IF(OR(INDEX($B359:$D359,L$5)="F",AND(L$6&gt;0,$A359&lt;L$6),AND(L$7&gt;0,$A359&gt;L$7)),0,MAX(0,ROUND((INDEX($E359:$G359,L$5)-SUMIFS(TF_Timer,TF_Tekniker,L$4,TF_Dato,$A359))*2,0)/2)))</f>
        <v/>
      </c>
      <c r="M359">
        <f>IF(OR(M$4="",$A359&gt;TODAY()),0,IF(OR(INDEX($B359:$D359,M$5)="F",AND(M$6&gt;0,$A359&lt;M$6),AND(M$7&gt;0,$A359&gt;M$7)),0,MAX(0,ROUND((INDEX($E359:$G359,M$5)-SUMIFS(TF_Timer,TF_Tekniker,M$4,TF_Dato,$A359))*2,0)/2)))</f>
        <v/>
      </c>
      <c r="N359">
        <f>IF(OR(N$4="",$A359&gt;TODAY()),0,IF(OR(INDEX($B359:$D359,N$5)="F",AND(N$6&gt;0,$A359&lt;N$6),AND(N$7&gt;0,$A359&gt;N$7)),0,MAX(0,ROUND((INDEX($E359:$G359,N$5)-SUMIFS(TF_Timer,TF_Tekniker,N$4,TF_Dato,$A359))*2,0)/2)))</f>
        <v/>
      </c>
      <c r="O359">
        <f>IF(OR(O$4="",$A359&gt;TODAY()),0,IF(OR(INDEX($B359:$D359,O$5)="F",AND(O$6&gt;0,$A359&lt;O$6),AND(O$7&gt;0,$A359&gt;O$7)),0,MAX(0,ROUND((INDEX($E359:$G359,O$5)-SUMIFS(TF_Timer,TF_Tekniker,O$4,TF_Dato,$A359))*2,0)/2)))</f>
        <v/>
      </c>
      <c r="P359">
        <f>IF(OR(P$4="",$A359&gt;TODAY()),0,IF(OR(INDEX($B359:$D359,P$5)="F",AND(P$6&gt;0,$A359&lt;P$6),AND(P$7&gt;0,$A359&gt;P$7)),0,MAX(0,ROUND((INDEX($E359:$G359,P$5)-SUMIFS(TF_Timer,TF_Tekniker,P$4,TF_Dato,$A359))*2,0)/2)))</f>
        <v/>
      </c>
      <c r="Q359">
        <f>IF(OR(Q$4="",$A359&gt;TODAY()),0,IF(OR(INDEX($B359:$D359,Q$5)="F",AND(Q$6&gt;0,$A359&lt;Q$6),AND(Q$7&gt;0,$A359&gt;Q$7)),0,MAX(0,ROUND((INDEX($E359:$G359,Q$5)-SUMIFS(TF_Timer,TF_Tekniker,Q$4,TF_Dato,$A359))*2,0)/2)))</f>
        <v/>
      </c>
      <c r="R359">
        <f>IF(OR(R$4="",$A359&gt;TODAY()),0,IF(OR(INDEX($B359:$D359,R$5)="F",AND(R$6&gt;0,$A359&lt;R$6),AND(R$7&gt;0,$A359&gt;R$7)),0,MAX(0,ROUND((INDEX($E359:$G359,R$5)-SUMIFS(TF_Timer,TF_Tekniker,R$4,TF_Dato,$A359))*2,0)/2)))</f>
        <v/>
      </c>
      <c r="S359">
        <f>IF(OR(S$4="",$A359&gt;TODAY()),0,IF(OR(INDEX($B359:$D359,S$5)="F",AND(S$6&gt;0,$A359&lt;S$6),AND(S$7&gt;0,$A359&gt;S$7)),0,MAX(0,ROUND((INDEX($E359:$G359,S$5)-SUMIFS(TF_Timer,TF_Tekniker,S$4,TF_Dato,$A359))*2,0)/2)))</f>
        <v/>
      </c>
      <c r="T359">
        <f>IF(OR(T$4="",$A359&gt;TODAY()),0,IF(OR(INDEX($B359:$D359,T$5)="F",AND(T$6&gt;0,$A359&lt;T$6),AND(T$7&gt;0,$A359&gt;T$7)),0,MAX(0,ROUND((INDEX($E359:$G359,T$5)-SUMIFS(TF_Timer,TF_Tekniker,T$4,TF_Dato,$A359))*2,0)/2)))</f>
        <v/>
      </c>
      <c r="U359">
        <f>IF(OR(U$4="",$A359&gt;TODAY()),0,IF(OR(INDEX($B359:$D359,U$5)="F",AND(U$6&gt;0,$A359&lt;U$6),AND(U$7&gt;0,$A359&gt;U$7)),0,MAX(0,ROUND((INDEX($E359:$G359,U$5)-SUMIFS(TF_Timer,TF_Tekniker,U$4,TF_Dato,$A359))*2,0)/2)))</f>
        <v/>
      </c>
      <c r="V359">
        <f>IF(OR(V$4="",$A359&gt;TODAY()),0,IF(OR(INDEX($B359:$D359,V$5)="F",AND(V$6&gt;0,$A359&lt;V$6),AND(V$7&gt;0,$A359&gt;V$7)),0,MAX(0,ROUND((INDEX($E359:$G359,V$5)-SUMIFS(TF_Timer,TF_Tekniker,V$4,TF_Dato,$A359))*2,0)/2)))</f>
        <v/>
      </c>
      <c r="W359">
        <f>IF(OR(W$4="",$A359&gt;TODAY()),0,IF(OR(INDEX($B359:$D359,W$5)="F",AND(W$6&gt;0,$A359&lt;W$6),AND(W$7&gt;0,$A359&gt;W$7)),0,MAX(0,ROUND((INDEX($E359:$G359,W$5)-SUMIFS(TF_Timer,TF_Tekniker,W$4,TF_Dato,$A359))*2,0)/2)))</f>
        <v/>
      </c>
      <c r="X359">
        <f>IF(OR(X$4="",$A359&gt;TODAY()),0,IF(OR(INDEX($B359:$D359,X$5)="F",AND(X$6&gt;0,$A359&lt;X$6),AND(X$7&gt;0,$A359&gt;X$7)),0,MAX(0,ROUND((INDEX($E359:$G359,X$5)-SUMIFS(TF_Timer,TF_Tekniker,X$4,TF_Dato,$A359))*2,0)/2)))</f>
        <v/>
      </c>
      <c r="Y359">
        <f>IF(OR(Y$4="",$A359&gt;TODAY()),0,IF(OR(INDEX($B359:$D359,Y$5)="F",AND(Y$6&gt;0,$A359&lt;Y$6),AND(Y$7&gt;0,$A359&gt;Y$7)),0,MAX(0,ROUND((INDEX($E359:$G359,Y$5)-SUMIFS(TF_Timer,TF_Tekniker,Y$4,TF_Dato,$A359))*2,0)/2)))</f>
        <v/>
      </c>
      <c r="Z359">
        <f>IF(OR(Z$4="",$A359&gt;TODAY()),0,IF(OR(INDEX($B359:$D359,Z$5)="F",AND(Z$6&gt;0,$A359&lt;Z$6),AND(Z$7&gt;0,$A359&gt;Z$7)),0,MAX(0,ROUND((INDEX($E359:$G359,Z$5)-SUMIFS(TF_Timer,TF_Tekniker,Z$4,TF_Dato,$A359))*2,0)/2)))</f>
        <v/>
      </c>
      <c r="AA359">
        <f>IF(OR(AA$4="",$A359&gt;TODAY()),0,IF(OR(INDEX($B359:$D359,AA$5)="F",AND(AA$6&gt;0,$A359&lt;AA$6),AND(AA$7&gt;0,$A359&gt;AA$7)),0,MAX(0,ROUND((INDEX($E359:$G359,AA$5)-SUMIFS(TF_Timer,TF_Tekniker,AA$4,TF_Dato,$A359))*2,0)/2)))</f>
        <v/>
      </c>
      <c r="AB359">
        <f>IF(OR(AB$4="",$A359&gt;TODAY()),0,IF(OR(INDEX($B359:$D359,AB$5)="F",AND(AB$6&gt;0,$A359&lt;AB$6),AND(AB$7&gt;0,$A359&gt;AB$7)),0,MAX(0,ROUND((INDEX($E359:$G359,AB$5)-SUMIFS(TF_Timer,TF_Tekniker,AB$4,TF_Dato,$A359))*2,0)/2)))</f>
        <v/>
      </c>
      <c r="AC359">
        <f>IF(OR(AC$4="",$A359&gt;TODAY()),0,IF(OR(INDEX($B359:$D359,AC$5)="F",AND(AC$6&gt;0,$A359&lt;AC$6),AND(AC$7&gt;0,$A359&gt;AC$7)),0,MAX(0,ROUND((INDEX($E359:$G359,AC$5)-SUMIFS(TF_Timer,TF_Tekniker,AC$4,TF_Dato,$A359))*2,0)/2)))</f>
        <v/>
      </c>
      <c r="AD359">
        <f>IF(OR(AD$4="",$A359&gt;TODAY()),0,IF(OR(INDEX($B359:$D359,AD$5)="F",AND(AD$6&gt;0,$A359&lt;AD$6),AND(AD$7&gt;0,$A359&gt;AD$7)),0,MAX(0,ROUND((INDEX($E359:$G359,AD$5)-SUMIFS(TF_Timer,TF_Tekniker,AD$4,TF_Dato,$A359))*2,0)/2)))</f>
        <v/>
      </c>
      <c r="AE359">
        <f>IF(OR(AE$4="",$A359&gt;TODAY()),0,IF(OR(INDEX($B359:$D359,AE$5)="F",AND(AE$6&gt;0,$A359&lt;AE$6),AND(AE$7&gt;0,$A359&gt;AE$7)),0,MAX(0,ROUND((INDEX($E359:$G359,AE$5)-SUMIFS(TF_Timer,TF_Tekniker,AE$4,TF_Dato,$A359))*2,0)/2)))</f>
        <v/>
      </c>
      <c r="AF359">
        <f>IF(OR(AF$4="",$A359&gt;TODAY()),0,IF(OR(INDEX($B359:$D359,AF$5)="F",AND(AF$6&gt;0,$A359&lt;AF$6),AND(AF$7&gt;0,$A359&gt;AF$7)),0,MAX(0,ROUND((INDEX($E359:$G359,AF$5)-SUMIFS(TF_Timer,TF_Tekniker,AF$4,TF_Dato,$A359))*2,0)/2)))</f>
        <v/>
      </c>
      <c r="AG359">
        <f>IF(OR(AG$4="",$A359&gt;TODAY()),0,IF(OR(INDEX($B359:$D359,AG$5)="F",AND(AG$6&gt;0,$A359&lt;AG$6),AND(AG$7&gt;0,$A359&gt;AG$7)),0,MAX(0,ROUND((INDEX($E359:$G359,AG$5)-SUMIFS(TF_Timer,TF_Tekniker,AG$4,TF_Dato,$A359))*2,0)/2)))</f>
        <v/>
      </c>
      <c r="AH359">
        <f>IF(OR(AH$4="",$A359&gt;TODAY()),0,IF(OR(INDEX($B359:$D359,AH$5)="F",AND(AH$6&gt;0,$A359&lt;AH$6),AND(AH$7&gt;0,$A359&gt;AH$7)),0,MAX(0,ROUND((INDEX($E359:$G359,AH$5)-SUMIFS(TF_Timer,TF_Tekniker,AH$4,TF_Dato,$A359))*2,0)/2)))</f>
        <v/>
      </c>
      <c r="AI359">
        <f>IF(OR(AI$4="",$A359&gt;TODAY()),0,IF(OR(INDEX($B359:$D359,AI$5)="F",AND(AI$6&gt;0,$A359&lt;AI$6),AND(AI$7&gt;0,$A359&gt;AI$7)),0,MAX(0,ROUND((INDEX($E359:$G359,AI$5)-SUMIFS(TF_Timer,TF_Tekniker,AI$4,TF_Dato,$A359))*2,0)/2)))</f>
        <v/>
      </c>
      <c r="AJ359">
        <f>IF(OR(AJ$4="",$A359&gt;TODAY()),0,IF(OR(INDEX($B359:$D359,AJ$5)="F",AND(AJ$6&gt;0,$A359&lt;AJ$6),AND(AJ$7&gt;0,$A359&gt;AJ$7)),0,MAX(0,ROUND((INDEX($E359:$G359,AJ$5)-SUMIFS(TF_Timer,TF_Tekniker,AJ$4,TF_Dato,$A359))*2,0)/2)))</f>
        <v/>
      </c>
      <c r="AK359">
        <f>IF(OR(AK$4="",$A359&gt;TODAY()),0,IF(OR(INDEX($B359:$D359,AK$5)="F",AND(AK$6&gt;0,$A359&lt;AK$6),AND(AK$7&gt;0,$A359&gt;AK$7)),0,MAX(0,ROUND((INDEX($E359:$G359,AK$5)-SUMIFS(TF_Timer,TF_Tekniker,AK$4,TF_Dato,$A359))*2,0)/2)))</f>
        <v/>
      </c>
      <c r="AL359">
        <f>IF(OR(AL$4="",$A359&gt;TODAY()),0,IF(OR(INDEX($B359:$D359,AL$5)="F",AND(AL$6&gt;0,$A359&lt;AL$6),AND(AL$7&gt;0,$A359&gt;AL$7)),0,MAX(0,ROUND((INDEX($E359:$G359,AL$5)-SUMIFS(TF_Timer,TF_Tekniker,AL$4,TF_Dato,$A359))*2,0)/2)))</f>
        <v/>
      </c>
      <c r="AM359">
        <f>IF(OR(AM$4="",$A359&gt;TODAY()),0,IF(OR(INDEX($B359:$D359,AM$5)="F",AND(AM$6&gt;0,$A359&lt;AM$6),AND(AM$7&gt;0,$A359&gt;AM$7)),0,MAX(0,ROUND((INDEX($E359:$G359,AM$5)-SUMIFS(TF_Timer,TF_Tekniker,AM$4,TF_Dato,$A359))*2,0)/2)))</f>
        <v/>
      </c>
      <c r="AN359">
        <f>IF(OR(AN$4="",$A359&gt;TODAY()),0,IF(OR(INDEX($B359:$D359,AN$5)="F",AND(AN$6&gt;0,$A359&lt;AN$6),AND(AN$7&gt;0,$A359&gt;AN$7)),0,MAX(0,ROUND((INDEX($E359:$G359,AN$5)-SUMIFS(TF_Timer,TF_Tekniker,AN$4,TF_Dato,$A359))*2,0)/2)))</f>
        <v/>
      </c>
      <c r="AO359">
        <f>IF(OR(AO$4="",$A359&gt;TODAY()),0,IF(OR(INDEX($B359:$D359,AO$5)="F",AND(AO$6&gt;0,$A359&lt;AO$6),AND(AO$7&gt;0,$A359&gt;AO$7)),0,MAX(0,ROUND((INDEX($E359:$G359,AO$5)-SUMIFS(TF_Timer,TF_Tekniker,AO$4,TF_Dato,$A359))*2,0)/2)))</f>
        <v/>
      </c>
      <c r="AP359">
        <f>IF(OR(AP$4="",$A359&gt;TODAY()),0,IF(OR(INDEX($B359:$D359,AP$5)="F",AND(AP$6&gt;0,$A359&lt;AP$6),AND(AP$7&gt;0,$A359&gt;AP$7)),0,MAX(0,ROUND((INDEX($E359:$G359,AP$5)-SUMIFS(TF_Timer,TF_Tekniker,AP$4,TF_Dato,$A359))*2,0)/2)))</f>
        <v/>
      </c>
      <c r="AQ359">
        <f>IF(OR(AQ$4="",$A359&gt;TODAY()),0,IF(OR(INDEX($B359:$D359,AQ$5)="F",AND(AQ$6&gt;0,$A359&lt;AQ$6),AND(AQ$7&gt;0,$A359&gt;AQ$7)),0,MAX(0,ROUND((INDEX($E359:$G359,AQ$5)-SUMIFS(TF_Timer,TF_Tekniker,AQ$4,TF_Dato,$A359))*2,0)/2)))</f>
        <v/>
      </c>
      <c r="AR359">
        <f>IF(OR(AR$4="",$A359&gt;TODAY()),0,IF(OR(INDEX($B359:$D359,AR$5)="F",AND(AR$6&gt;0,$A359&lt;AR$6),AND(AR$7&gt;0,$A359&gt;AR$7)),0,MAX(0,ROUND((INDEX($E359:$G359,AR$5)-SUMIFS(TF_Timer,TF_Tekniker,AR$4,TF_Dato,$A359))*2,0)/2)))</f>
        <v/>
      </c>
      <c r="AS359">
        <f>IF(OR(AS$4="",$A359&gt;TODAY()),0,IF(OR(INDEX($B359:$D359,AS$5)="F",AND(AS$6&gt;0,$A359&lt;AS$6),AND(AS$7&gt;0,$A359&gt;AS$7)),0,MAX(0,ROUND((INDEX($E359:$G359,AS$5)-SUMIFS(TF_Timer,TF_Tekniker,AS$4,TF_Dato,$A359))*2,0)/2)))</f>
        <v/>
      </c>
      <c r="AT359">
        <f>IF(OR(AT$4="",$A359&gt;TODAY()),0,IF(OR(INDEX($B359:$D359,AT$5)="F",AND(AT$6&gt;0,$A359&lt;AT$6),AND(AT$7&gt;0,$A359&gt;AT$7)),0,MAX(0,ROUND((INDEX($E359:$G359,AT$5)-SUMIFS(TF_Timer,TF_Tekniker,AT$4,TF_Dato,$A359))*2,0)/2)))</f>
        <v/>
      </c>
      <c r="AU359">
        <f>IF(OR(AU$4="",$A359&gt;TODAY()),0,IF(OR(INDEX($B359:$D359,AU$5)="F",AND(AU$6&gt;0,$A359&lt;AU$6),AND(AU$7&gt;0,$A359&gt;AU$7)),0,MAX(0,ROUND((INDEX($E359:$G359,AU$5)-SUMIFS(TF_Timer,TF_Tekniker,AU$4,TF_Dato,$A359))*2,0)/2)))</f>
        <v/>
      </c>
      <c r="AV359">
        <f>IF(OR(AV$4="",$A359&gt;TODAY()),0,IF(OR(INDEX($B359:$D359,AV$5)="F",AND(AV$6&gt;0,$A359&lt;AV$6),AND(AV$7&gt;0,$A359&gt;AV$7)),0,MAX(0,ROUND((INDEX($E359:$G359,AV$5)-SUMIFS(TF_Timer,TF_Tekniker,AV$4,TF_Dato,$A359))*2,0)/2)))</f>
        <v/>
      </c>
      <c r="AW359">
        <f>IF(OR(AW$4="",$A359&gt;TODAY()),0,IF(OR(INDEX($B359:$D359,AW$5)="F",AND(AW$6&gt;0,$A359&lt;AW$6),AND(AW$7&gt;0,$A359&gt;AW$7)),0,MAX(0,ROUND((INDEX($E359:$G359,AW$5)-SUMIFS(TF_Timer,TF_Tekniker,AW$4,TF_Dato,$A359))*2,0)/2)))</f>
        <v/>
      </c>
      <c r="AX359">
        <f>IF(OR(AX$4="",$A359&gt;TODAY()),0,IF(OR(INDEX($B359:$D359,AX$5)="F",AND(AX$6&gt;0,$A359&lt;AX$6),AND(AX$7&gt;0,$A359&gt;AX$7)),0,MAX(0,ROUND((INDEX($E359:$G359,AX$5)-SUMIFS(TF_Timer,TF_Tekniker,AX$4,TF_Dato,$A359))*2,0)/2)))</f>
        <v/>
      </c>
      <c r="AY359">
        <f>IF(OR(AY$4="",$A359&gt;TODAY()),0,IF(OR(INDEX($B359:$D359,AY$5)="F",AND(AY$6&gt;0,$A359&lt;AY$6),AND(AY$7&gt;0,$A359&gt;AY$7)),0,MAX(0,ROUND((INDEX($E359:$G359,AY$5)-SUMIFS(TF_Timer,TF_Tekniker,AY$4,TF_Dato,$A359))*2,0)/2)))</f>
        <v/>
      </c>
      <c r="AZ359">
        <f>IF(OR(AZ$4="",$A359&gt;TODAY()),0,IF(OR(INDEX($B359:$D359,AZ$5)="F",AND(AZ$6&gt;0,$A359&lt;AZ$6),AND(AZ$7&gt;0,$A359&gt;AZ$7)),0,MAX(0,ROUND((INDEX($E359:$G359,AZ$5)-SUMIFS(TF_Timer,TF_Tekniker,AZ$4,TF_Dato,$A359))*2,0)/2)))</f>
        <v/>
      </c>
      <c r="BA359">
        <f>IF(OR(BA$4="",$A359&gt;TODAY()),0,IF(OR(INDEX($B359:$D359,BA$5)="F",AND(BA$6&gt;0,$A359&lt;BA$6),AND(BA$7&gt;0,$A359&gt;BA$7)),0,MAX(0,ROUND((INDEX($E359:$G359,BA$5)-SUMIFS(TF_Timer,TF_Tekniker,BA$4,TF_Dato,$A359))*2,0)/2)))</f>
        <v/>
      </c>
      <c r="BB359">
        <f>IF(OR(BB$4="",$A359&gt;TODAY()),0,IF(OR(INDEX($B359:$D359,BB$5)="F",AND(BB$6&gt;0,$A359&lt;BB$6),AND(BB$7&gt;0,$A359&gt;BB$7)),0,MAX(0,ROUND((INDEX($E359:$G359,BB$5)-SUMIFS(TF_Timer,TF_Tekniker,BB$4,TF_Dato,$A359))*2,0)/2)))</f>
        <v/>
      </c>
      <c r="BC359">
        <f>IF(OR(BC$4="",$A359&gt;TODAY()),0,IF(OR(INDEX($B359:$D359,BC$5)="F",AND(BC$6&gt;0,$A359&lt;BC$6),AND(BC$7&gt;0,$A359&gt;BC$7)),0,MAX(0,ROUND((INDEX($E359:$G359,BC$5)-SUMIFS(TF_Timer,TF_Tekniker,BC$4,TF_Dato,$A359))*2,0)/2)))</f>
        <v/>
      </c>
      <c r="BD359">
        <f>IF(OR(BD$4="",$A359&gt;TODAY()),0,IF(OR(INDEX($B359:$D359,BD$5)="F",AND(BD$6&gt;0,$A359&lt;BD$6),AND(BD$7&gt;0,$A359&gt;BD$7)),0,MAX(0,ROUND((INDEX($E359:$G359,BD$5)-SUMIFS(TF_Timer,TF_Tekniker,BD$4,TF_Dato,$A359))*2,0)/2)))</f>
        <v/>
      </c>
      <c r="BE359">
        <f>IF(OR(BE$4="",$A359&gt;TODAY()),0,IF(OR(INDEX($B359:$D359,BE$5)="F",AND(BE$6&gt;0,$A359&lt;BE$6),AND(BE$7&gt;0,$A359&gt;BE$7)),0,MAX(0,ROUND((INDEX($E359:$G359,BE$5)-SUMIFS(TF_Timer,TF_Tekniker,BE$4,TF_Dato,$A359))*2,0)/2)))</f>
        <v/>
      </c>
      <c r="BF359">
        <f>IF(OR(BF$4="",$A359&gt;TODAY()),0,IF(OR(INDEX($B359:$D359,BF$5)="F",AND(BF$6&gt;0,$A359&lt;BF$6),AND(BF$7&gt;0,$A359&gt;BF$7)),0,MAX(0,ROUND((INDEX($E359:$G359,BF$5)-SUMIFS(TF_Timer,TF_Tekniker,BF$4,TF_Dato,$A359))*2,0)/2)))</f>
        <v/>
      </c>
      <c r="BG359">
        <f>IF(OR(BG$4="",$A359&gt;TODAY()),0,IF(OR(INDEX($B359:$D359,BG$5)="F",AND(BG$6&gt;0,$A359&lt;BG$6),AND(BG$7&gt;0,$A359&gt;BG$7)),0,MAX(0,ROUND((INDEX($E359:$G359,BG$5)-SUMIFS(TF_Timer,TF_Tekniker,BG$4,TF_Dato,$A359))*2,0)/2)))</f>
        <v/>
      </c>
      <c r="BH359">
        <f>IF(OR(BH$4="",$A359&gt;TODAY()),0,IF(OR(INDEX($B359:$D359,BH$5)="F",AND(BH$6&gt;0,$A359&lt;BH$6),AND(BH$7&gt;0,$A359&gt;BH$7)),0,MAX(0,ROUND((INDEX($E359:$G359,BH$5)-SUMIFS(TF_Timer,TF_Tekniker,BH$4,TF_Dato,$A359))*2,0)/2)))</f>
        <v/>
      </c>
      <c r="BI359">
        <f>IF(OR(BI$4="",$A359&gt;TODAY()),0,IF(OR(INDEX($B359:$D359,BI$5)="F",AND(BI$6&gt;0,$A359&lt;BI$6),AND(BI$7&gt;0,$A359&gt;BI$7)),0,MAX(0,ROUND((INDEX($E359:$G359,BI$5)-SUMIFS(TF_Timer,TF_Tekniker,BI$4,TF_Dato,$A359))*2,0)/2)))</f>
        <v/>
      </c>
    </row>
    <row r="360">
      <c r="A360" s="64">
        <f>A359+1</f>
        <v/>
      </c>
      <c r="B360">
        <f>IF(MOD($A360-INDEX(SkiftStart,1),Syklus)&lt;DagK,"K",IF(MOD($A360-INDEX(SkiftStart,1),Syklus)&lt;DagK+DagH,"H",IF(MOD($A360-INDEX(SkiftStart,1),Syklus)&lt;DagK+DagH+DagD,"D","F")))</f>
        <v/>
      </c>
      <c r="C360">
        <f>IF(MOD($A360-INDEX(SkiftStart,2),Syklus)&lt;DagK,"K",IF(MOD($A360-INDEX(SkiftStart,2),Syklus)&lt;DagK+DagH,"H",IF(MOD($A360-INDEX(SkiftStart,2),Syklus)&lt;DagK+DagH+DagD,"D","F")))</f>
        <v/>
      </c>
      <c r="D360">
        <f>IF(MOD($A360-INDEX(SkiftStart,3),Syklus)&lt;DagK,"K",IF(MOD($A360-INDEX(SkiftStart,3),Syklus)&lt;DagK+DagH,"H",IF(MOD($A360-INDEX(SkiftStart,3),Syklus)&lt;DagK+DagH+DagD,"D","F")))</f>
        <v/>
      </c>
      <c r="E360">
        <f>IF(B360="F",0,IF(WEEKDAY($A360,2)=5,INDEX(TimerFr,MATCH(B360,FaseKode,0)),INDEX(TimerMT,MATCH(B360,FaseKode,0))))</f>
        <v/>
      </c>
      <c r="F360">
        <f>IF(C360="F",0,IF(WEEKDAY($A360,2)=5,INDEX(TimerFr,MATCH(C360,FaseKode,0)),INDEX(TimerMT,MATCH(C360,FaseKode,0))))</f>
        <v/>
      </c>
      <c r="G360">
        <f>IF(D360="F",0,IF(WEEKDAY($A360,2)=5,INDEX(TimerFr,MATCH(D360,FaseKode,0)),INDEX(TimerMT,MATCH(D360,FaseKode,0))))</f>
        <v/>
      </c>
      <c r="H360">
        <f>IF(OR(H$4="",$A360&gt;TODAY()),0,IF(OR(INDEX($B360:$D360,H$5)="F",AND(H$6&gt;0,$A360&lt;H$6),AND(H$7&gt;0,$A360&gt;H$7)),0,MAX(0,ROUND((INDEX($E360:$G360,H$5)-SUMIFS(TF_Timer,TF_Tekniker,H$4,TF_Dato,$A360))*2,0)/2)))</f>
        <v/>
      </c>
      <c r="I360">
        <f>IF(OR(I$4="",$A360&gt;TODAY()),0,IF(OR(INDEX($B360:$D360,I$5)="F",AND(I$6&gt;0,$A360&lt;I$6),AND(I$7&gt;0,$A360&gt;I$7)),0,MAX(0,ROUND((INDEX($E360:$G360,I$5)-SUMIFS(TF_Timer,TF_Tekniker,I$4,TF_Dato,$A360))*2,0)/2)))</f>
        <v/>
      </c>
      <c r="J360">
        <f>IF(OR(J$4="",$A360&gt;TODAY()),0,IF(OR(INDEX($B360:$D360,J$5)="F",AND(J$6&gt;0,$A360&lt;J$6),AND(J$7&gt;0,$A360&gt;J$7)),0,MAX(0,ROUND((INDEX($E360:$G360,J$5)-SUMIFS(TF_Timer,TF_Tekniker,J$4,TF_Dato,$A360))*2,0)/2)))</f>
        <v/>
      </c>
      <c r="K360">
        <f>IF(OR(K$4="",$A360&gt;TODAY()),0,IF(OR(INDEX($B360:$D360,K$5)="F",AND(K$6&gt;0,$A360&lt;K$6),AND(K$7&gt;0,$A360&gt;K$7)),0,MAX(0,ROUND((INDEX($E360:$G360,K$5)-SUMIFS(TF_Timer,TF_Tekniker,K$4,TF_Dato,$A360))*2,0)/2)))</f>
        <v/>
      </c>
      <c r="L360">
        <f>IF(OR(L$4="",$A360&gt;TODAY()),0,IF(OR(INDEX($B360:$D360,L$5)="F",AND(L$6&gt;0,$A360&lt;L$6),AND(L$7&gt;0,$A360&gt;L$7)),0,MAX(0,ROUND((INDEX($E360:$G360,L$5)-SUMIFS(TF_Timer,TF_Tekniker,L$4,TF_Dato,$A360))*2,0)/2)))</f>
        <v/>
      </c>
      <c r="M360">
        <f>IF(OR(M$4="",$A360&gt;TODAY()),0,IF(OR(INDEX($B360:$D360,M$5)="F",AND(M$6&gt;0,$A360&lt;M$6),AND(M$7&gt;0,$A360&gt;M$7)),0,MAX(0,ROUND((INDEX($E360:$G360,M$5)-SUMIFS(TF_Timer,TF_Tekniker,M$4,TF_Dato,$A360))*2,0)/2)))</f>
        <v/>
      </c>
      <c r="N360">
        <f>IF(OR(N$4="",$A360&gt;TODAY()),0,IF(OR(INDEX($B360:$D360,N$5)="F",AND(N$6&gt;0,$A360&lt;N$6),AND(N$7&gt;0,$A360&gt;N$7)),0,MAX(0,ROUND((INDEX($E360:$G360,N$5)-SUMIFS(TF_Timer,TF_Tekniker,N$4,TF_Dato,$A360))*2,0)/2)))</f>
        <v/>
      </c>
      <c r="O360">
        <f>IF(OR(O$4="",$A360&gt;TODAY()),0,IF(OR(INDEX($B360:$D360,O$5)="F",AND(O$6&gt;0,$A360&lt;O$6),AND(O$7&gt;0,$A360&gt;O$7)),0,MAX(0,ROUND((INDEX($E360:$G360,O$5)-SUMIFS(TF_Timer,TF_Tekniker,O$4,TF_Dato,$A360))*2,0)/2)))</f>
        <v/>
      </c>
      <c r="P360">
        <f>IF(OR(P$4="",$A360&gt;TODAY()),0,IF(OR(INDEX($B360:$D360,P$5)="F",AND(P$6&gt;0,$A360&lt;P$6),AND(P$7&gt;0,$A360&gt;P$7)),0,MAX(0,ROUND((INDEX($E360:$G360,P$5)-SUMIFS(TF_Timer,TF_Tekniker,P$4,TF_Dato,$A360))*2,0)/2)))</f>
        <v/>
      </c>
      <c r="Q360">
        <f>IF(OR(Q$4="",$A360&gt;TODAY()),0,IF(OR(INDEX($B360:$D360,Q$5)="F",AND(Q$6&gt;0,$A360&lt;Q$6),AND(Q$7&gt;0,$A360&gt;Q$7)),0,MAX(0,ROUND((INDEX($E360:$G360,Q$5)-SUMIFS(TF_Timer,TF_Tekniker,Q$4,TF_Dato,$A360))*2,0)/2)))</f>
        <v/>
      </c>
      <c r="R360">
        <f>IF(OR(R$4="",$A360&gt;TODAY()),0,IF(OR(INDEX($B360:$D360,R$5)="F",AND(R$6&gt;0,$A360&lt;R$6),AND(R$7&gt;0,$A360&gt;R$7)),0,MAX(0,ROUND((INDEX($E360:$G360,R$5)-SUMIFS(TF_Timer,TF_Tekniker,R$4,TF_Dato,$A360))*2,0)/2)))</f>
        <v/>
      </c>
      <c r="S360">
        <f>IF(OR(S$4="",$A360&gt;TODAY()),0,IF(OR(INDEX($B360:$D360,S$5)="F",AND(S$6&gt;0,$A360&lt;S$6),AND(S$7&gt;0,$A360&gt;S$7)),0,MAX(0,ROUND((INDEX($E360:$G360,S$5)-SUMIFS(TF_Timer,TF_Tekniker,S$4,TF_Dato,$A360))*2,0)/2)))</f>
        <v/>
      </c>
      <c r="T360">
        <f>IF(OR(T$4="",$A360&gt;TODAY()),0,IF(OR(INDEX($B360:$D360,T$5)="F",AND(T$6&gt;0,$A360&lt;T$6),AND(T$7&gt;0,$A360&gt;T$7)),0,MAX(0,ROUND((INDEX($E360:$G360,T$5)-SUMIFS(TF_Timer,TF_Tekniker,T$4,TF_Dato,$A360))*2,0)/2)))</f>
        <v/>
      </c>
      <c r="U360">
        <f>IF(OR(U$4="",$A360&gt;TODAY()),0,IF(OR(INDEX($B360:$D360,U$5)="F",AND(U$6&gt;0,$A360&lt;U$6),AND(U$7&gt;0,$A360&gt;U$7)),0,MAX(0,ROUND((INDEX($E360:$G360,U$5)-SUMIFS(TF_Timer,TF_Tekniker,U$4,TF_Dato,$A360))*2,0)/2)))</f>
        <v/>
      </c>
      <c r="V360">
        <f>IF(OR(V$4="",$A360&gt;TODAY()),0,IF(OR(INDEX($B360:$D360,V$5)="F",AND(V$6&gt;0,$A360&lt;V$6),AND(V$7&gt;0,$A360&gt;V$7)),0,MAX(0,ROUND((INDEX($E360:$G360,V$5)-SUMIFS(TF_Timer,TF_Tekniker,V$4,TF_Dato,$A360))*2,0)/2)))</f>
        <v/>
      </c>
      <c r="W360">
        <f>IF(OR(W$4="",$A360&gt;TODAY()),0,IF(OR(INDEX($B360:$D360,W$5)="F",AND(W$6&gt;0,$A360&lt;W$6),AND(W$7&gt;0,$A360&gt;W$7)),0,MAX(0,ROUND((INDEX($E360:$G360,W$5)-SUMIFS(TF_Timer,TF_Tekniker,W$4,TF_Dato,$A360))*2,0)/2)))</f>
        <v/>
      </c>
      <c r="X360">
        <f>IF(OR(X$4="",$A360&gt;TODAY()),0,IF(OR(INDEX($B360:$D360,X$5)="F",AND(X$6&gt;0,$A360&lt;X$6),AND(X$7&gt;0,$A360&gt;X$7)),0,MAX(0,ROUND((INDEX($E360:$G360,X$5)-SUMIFS(TF_Timer,TF_Tekniker,X$4,TF_Dato,$A360))*2,0)/2)))</f>
        <v/>
      </c>
      <c r="Y360">
        <f>IF(OR(Y$4="",$A360&gt;TODAY()),0,IF(OR(INDEX($B360:$D360,Y$5)="F",AND(Y$6&gt;0,$A360&lt;Y$6),AND(Y$7&gt;0,$A360&gt;Y$7)),0,MAX(0,ROUND((INDEX($E360:$G360,Y$5)-SUMIFS(TF_Timer,TF_Tekniker,Y$4,TF_Dato,$A360))*2,0)/2)))</f>
        <v/>
      </c>
      <c r="Z360">
        <f>IF(OR(Z$4="",$A360&gt;TODAY()),0,IF(OR(INDEX($B360:$D360,Z$5)="F",AND(Z$6&gt;0,$A360&lt;Z$6),AND(Z$7&gt;0,$A360&gt;Z$7)),0,MAX(0,ROUND((INDEX($E360:$G360,Z$5)-SUMIFS(TF_Timer,TF_Tekniker,Z$4,TF_Dato,$A360))*2,0)/2)))</f>
        <v/>
      </c>
      <c r="AA360">
        <f>IF(OR(AA$4="",$A360&gt;TODAY()),0,IF(OR(INDEX($B360:$D360,AA$5)="F",AND(AA$6&gt;0,$A360&lt;AA$6),AND(AA$7&gt;0,$A360&gt;AA$7)),0,MAX(0,ROUND((INDEX($E360:$G360,AA$5)-SUMIFS(TF_Timer,TF_Tekniker,AA$4,TF_Dato,$A360))*2,0)/2)))</f>
        <v/>
      </c>
      <c r="AB360">
        <f>IF(OR(AB$4="",$A360&gt;TODAY()),0,IF(OR(INDEX($B360:$D360,AB$5)="F",AND(AB$6&gt;0,$A360&lt;AB$6),AND(AB$7&gt;0,$A360&gt;AB$7)),0,MAX(0,ROUND((INDEX($E360:$G360,AB$5)-SUMIFS(TF_Timer,TF_Tekniker,AB$4,TF_Dato,$A360))*2,0)/2)))</f>
        <v/>
      </c>
      <c r="AC360">
        <f>IF(OR(AC$4="",$A360&gt;TODAY()),0,IF(OR(INDEX($B360:$D360,AC$5)="F",AND(AC$6&gt;0,$A360&lt;AC$6),AND(AC$7&gt;0,$A360&gt;AC$7)),0,MAX(0,ROUND((INDEX($E360:$G360,AC$5)-SUMIFS(TF_Timer,TF_Tekniker,AC$4,TF_Dato,$A360))*2,0)/2)))</f>
        <v/>
      </c>
      <c r="AD360">
        <f>IF(OR(AD$4="",$A360&gt;TODAY()),0,IF(OR(INDEX($B360:$D360,AD$5)="F",AND(AD$6&gt;0,$A360&lt;AD$6),AND(AD$7&gt;0,$A360&gt;AD$7)),0,MAX(0,ROUND((INDEX($E360:$G360,AD$5)-SUMIFS(TF_Timer,TF_Tekniker,AD$4,TF_Dato,$A360))*2,0)/2)))</f>
        <v/>
      </c>
      <c r="AE360">
        <f>IF(OR(AE$4="",$A360&gt;TODAY()),0,IF(OR(INDEX($B360:$D360,AE$5)="F",AND(AE$6&gt;0,$A360&lt;AE$6),AND(AE$7&gt;0,$A360&gt;AE$7)),0,MAX(0,ROUND((INDEX($E360:$G360,AE$5)-SUMIFS(TF_Timer,TF_Tekniker,AE$4,TF_Dato,$A360))*2,0)/2)))</f>
        <v/>
      </c>
      <c r="AF360">
        <f>IF(OR(AF$4="",$A360&gt;TODAY()),0,IF(OR(INDEX($B360:$D360,AF$5)="F",AND(AF$6&gt;0,$A360&lt;AF$6),AND(AF$7&gt;0,$A360&gt;AF$7)),0,MAX(0,ROUND((INDEX($E360:$G360,AF$5)-SUMIFS(TF_Timer,TF_Tekniker,AF$4,TF_Dato,$A360))*2,0)/2)))</f>
        <v/>
      </c>
      <c r="AG360">
        <f>IF(OR(AG$4="",$A360&gt;TODAY()),0,IF(OR(INDEX($B360:$D360,AG$5)="F",AND(AG$6&gt;0,$A360&lt;AG$6),AND(AG$7&gt;0,$A360&gt;AG$7)),0,MAX(0,ROUND((INDEX($E360:$G360,AG$5)-SUMIFS(TF_Timer,TF_Tekniker,AG$4,TF_Dato,$A360))*2,0)/2)))</f>
        <v/>
      </c>
      <c r="AH360">
        <f>IF(OR(AH$4="",$A360&gt;TODAY()),0,IF(OR(INDEX($B360:$D360,AH$5)="F",AND(AH$6&gt;0,$A360&lt;AH$6),AND(AH$7&gt;0,$A360&gt;AH$7)),0,MAX(0,ROUND((INDEX($E360:$G360,AH$5)-SUMIFS(TF_Timer,TF_Tekniker,AH$4,TF_Dato,$A360))*2,0)/2)))</f>
        <v/>
      </c>
      <c r="AI360">
        <f>IF(OR(AI$4="",$A360&gt;TODAY()),0,IF(OR(INDEX($B360:$D360,AI$5)="F",AND(AI$6&gt;0,$A360&lt;AI$6),AND(AI$7&gt;0,$A360&gt;AI$7)),0,MAX(0,ROUND((INDEX($E360:$G360,AI$5)-SUMIFS(TF_Timer,TF_Tekniker,AI$4,TF_Dato,$A360))*2,0)/2)))</f>
        <v/>
      </c>
      <c r="AJ360">
        <f>IF(OR(AJ$4="",$A360&gt;TODAY()),0,IF(OR(INDEX($B360:$D360,AJ$5)="F",AND(AJ$6&gt;0,$A360&lt;AJ$6),AND(AJ$7&gt;0,$A360&gt;AJ$7)),0,MAX(0,ROUND((INDEX($E360:$G360,AJ$5)-SUMIFS(TF_Timer,TF_Tekniker,AJ$4,TF_Dato,$A360))*2,0)/2)))</f>
        <v/>
      </c>
      <c r="AK360">
        <f>IF(OR(AK$4="",$A360&gt;TODAY()),0,IF(OR(INDEX($B360:$D360,AK$5)="F",AND(AK$6&gt;0,$A360&lt;AK$6),AND(AK$7&gt;0,$A360&gt;AK$7)),0,MAX(0,ROUND((INDEX($E360:$G360,AK$5)-SUMIFS(TF_Timer,TF_Tekniker,AK$4,TF_Dato,$A360))*2,0)/2)))</f>
        <v/>
      </c>
      <c r="AL360">
        <f>IF(OR(AL$4="",$A360&gt;TODAY()),0,IF(OR(INDEX($B360:$D360,AL$5)="F",AND(AL$6&gt;0,$A360&lt;AL$6),AND(AL$7&gt;0,$A360&gt;AL$7)),0,MAX(0,ROUND((INDEX($E360:$G360,AL$5)-SUMIFS(TF_Timer,TF_Tekniker,AL$4,TF_Dato,$A360))*2,0)/2)))</f>
        <v/>
      </c>
      <c r="AM360">
        <f>IF(OR(AM$4="",$A360&gt;TODAY()),0,IF(OR(INDEX($B360:$D360,AM$5)="F",AND(AM$6&gt;0,$A360&lt;AM$6),AND(AM$7&gt;0,$A360&gt;AM$7)),0,MAX(0,ROUND((INDEX($E360:$G360,AM$5)-SUMIFS(TF_Timer,TF_Tekniker,AM$4,TF_Dato,$A360))*2,0)/2)))</f>
        <v/>
      </c>
      <c r="AN360">
        <f>IF(OR(AN$4="",$A360&gt;TODAY()),0,IF(OR(INDEX($B360:$D360,AN$5)="F",AND(AN$6&gt;0,$A360&lt;AN$6),AND(AN$7&gt;0,$A360&gt;AN$7)),0,MAX(0,ROUND((INDEX($E360:$G360,AN$5)-SUMIFS(TF_Timer,TF_Tekniker,AN$4,TF_Dato,$A360))*2,0)/2)))</f>
        <v/>
      </c>
      <c r="AO360">
        <f>IF(OR(AO$4="",$A360&gt;TODAY()),0,IF(OR(INDEX($B360:$D360,AO$5)="F",AND(AO$6&gt;0,$A360&lt;AO$6),AND(AO$7&gt;0,$A360&gt;AO$7)),0,MAX(0,ROUND((INDEX($E360:$G360,AO$5)-SUMIFS(TF_Timer,TF_Tekniker,AO$4,TF_Dato,$A360))*2,0)/2)))</f>
        <v/>
      </c>
      <c r="AP360">
        <f>IF(OR(AP$4="",$A360&gt;TODAY()),0,IF(OR(INDEX($B360:$D360,AP$5)="F",AND(AP$6&gt;0,$A360&lt;AP$6),AND(AP$7&gt;0,$A360&gt;AP$7)),0,MAX(0,ROUND((INDEX($E360:$G360,AP$5)-SUMIFS(TF_Timer,TF_Tekniker,AP$4,TF_Dato,$A360))*2,0)/2)))</f>
        <v/>
      </c>
      <c r="AQ360">
        <f>IF(OR(AQ$4="",$A360&gt;TODAY()),0,IF(OR(INDEX($B360:$D360,AQ$5)="F",AND(AQ$6&gt;0,$A360&lt;AQ$6),AND(AQ$7&gt;0,$A360&gt;AQ$7)),0,MAX(0,ROUND((INDEX($E360:$G360,AQ$5)-SUMIFS(TF_Timer,TF_Tekniker,AQ$4,TF_Dato,$A360))*2,0)/2)))</f>
        <v/>
      </c>
      <c r="AR360">
        <f>IF(OR(AR$4="",$A360&gt;TODAY()),0,IF(OR(INDEX($B360:$D360,AR$5)="F",AND(AR$6&gt;0,$A360&lt;AR$6),AND(AR$7&gt;0,$A360&gt;AR$7)),0,MAX(0,ROUND((INDEX($E360:$G360,AR$5)-SUMIFS(TF_Timer,TF_Tekniker,AR$4,TF_Dato,$A360))*2,0)/2)))</f>
        <v/>
      </c>
      <c r="AS360">
        <f>IF(OR(AS$4="",$A360&gt;TODAY()),0,IF(OR(INDEX($B360:$D360,AS$5)="F",AND(AS$6&gt;0,$A360&lt;AS$6),AND(AS$7&gt;0,$A360&gt;AS$7)),0,MAX(0,ROUND((INDEX($E360:$G360,AS$5)-SUMIFS(TF_Timer,TF_Tekniker,AS$4,TF_Dato,$A360))*2,0)/2)))</f>
        <v/>
      </c>
      <c r="AT360">
        <f>IF(OR(AT$4="",$A360&gt;TODAY()),0,IF(OR(INDEX($B360:$D360,AT$5)="F",AND(AT$6&gt;0,$A360&lt;AT$6),AND(AT$7&gt;0,$A360&gt;AT$7)),0,MAX(0,ROUND((INDEX($E360:$G360,AT$5)-SUMIFS(TF_Timer,TF_Tekniker,AT$4,TF_Dato,$A360))*2,0)/2)))</f>
        <v/>
      </c>
      <c r="AU360">
        <f>IF(OR(AU$4="",$A360&gt;TODAY()),0,IF(OR(INDEX($B360:$D360,AU$5)="F",AND(AU$6&gt;0,$A360&lt;AU$6),AND(AU$7&gt;0,$A360&gt;AU$7)),0,MAX(0,ROUND((INDEX($E360:$G360,AU$5)-SUMIFS(TF_Timer,TF_Tekniker,AU$4,TF_Dato,$A360))*2,0)/2)))</f>
        <v/>
      </c>
      <c r="AV360">
        <f>IF(OR(AV$4="",$A360&gt;TODAY()),0,IF(OR(INDEX($B360:$D360,AV$5)="F",AND(AV$6&gt;0,$A360&lt;AV$6),AND(AV$7&gt;0,$A360&gt;AV$7)),0,MAX(0,ROUND((INDEX($E360:$G360,AV$5)-SUMIFS(TF_Timer,TF_Tekniker,AV$4,TF_Dato,$A360))*2,0)/2)))</f>
        <v/>
      </c>
      <c r="AW360">
        <f>IF(OR(AW$4="",$A360&gt;TODAY()),0,IF(OR(INDEX($B360:$D360,AW$5)="F",AND(AW$6&gt;0,$A360&lt;AW$6),AND(AW$7&gt;0,$A360&gt;AW$7)),0,MAX(0,ROUND((INDEX($E360:$G360,AW$5)-SUMIFS(TF_Timer,TF_Tekniker,AW$4,TF_Dato,$A360))*2,0)/2)))</f>
        <v/>
      </c>
      <c r="AX360">
        <f>IF(OR(AX$4="",$A360&gt;TODAY()),0,IF(OR(INDEX($B360:$D360,AX$5)="F",AND(AX$6&gt;0,$A360&lt;AX$6),AND(AX$7&gt;0,$A360&gt;AX$7)),0,MAX(0,ROUND((INDEX($E360:$G360,AX$5)-SUMIFS(TF_Timer,TF_Tekniker,AX$4,TF_Dato,$A360))*2,0)/2)))</f>
        <v/>
      </c>
      <c r="AY360">
        <f>IF(OR(AY$4="",$A360&gt;TODAY()),0,IF(OR(INDEX($B360:$D360,AY$5)="F",AND(AY$6&gt;0,$A360&lt;AY$6),AND(AY$7&gt;0,$A360&gt;AY$7)),0,MAX(0,ROUND((INDEX($E360:$G360,AY$5)-SUMIFS(TF_Timer,TF_Tekniker,AY$4,TF_Dato,$A360))*2,0)/2)))</f>
        <v/>
      </c>
      <c r="AZ360">
        <f>IF(OR(AZ$4="",$A360&gt;TODAY()),0,IF(OR(INDEX($B360:$D360,AZ$5)="F",AND(AZ$6&gt;0,$A360&lt;AZ$6),AND(AZ$7&gt;0,$A360&gt;AZ$7)),0,MAX(0,ROUND((INDEX($E360:$G360,AZ$5)-SUMIFS(TF_Timer,TF_Tekniker,AZ$4,TF_Dato,$A360))*2,0)/2)))</f>
        <v/>
      </c>
      <c r="BA360">
        <f>IF(OR(BA$4="",$A360&gt;TODAY()),0,IF(OR(INDEX($B360:$D360,BA$5)="F",AND(BA$6&gt;0,$A360&lt;BA$6),AND(BA$7&gt;0,$A360&gt;BA$7)),0,MAX(0,ROUND((INDEX($E360:$G360,BA$5)-SUMIFS(TF_Timer,TF_Tekniker,BA$4,TF_Dato,$A360))*2,0)/2)))</f>
        <v/>
      </c>
      <c r="BB360">
        <f>IF(OR(BB$4="",$A360&gt;TODAY()),0,IF(OR(INDEX($B360:$D360,BB$5)="F",AND(BB$6&gt;0,$A360&lt;BB$6),AND(BB$7&gt;0,$A360&gt;BB$7)),0,MAX(0,ROUND((INDEX($E360:$G360,BB$5)-SUMIFS(TF_Timer,TF_Tekniker,BB$4,TF_Dato,$A360))*2,0)/2)))</f>
        <v/>
      </c>
      <c r="BC360">
        <f>IF(OR(BC$4="",$A360&gt;TODAY()),0,IF(OR(INDEX($B360:$D360,BC$5)="F",AND(BC$6&gt;0,$A360&lt;BC$6),AND(BC$7&gt;0,$A360&gt;BC$7)),0,MAX(0,ROUND((INDEX($E360:$G360,BC$5)-SUMIFS(TF_Timer,TF_Tekniker,BC$4,TF_Dato,$A360))*2,0)/2)))</f>
        <v/>
      </c>
      <c r="BD360">
        <f>IF(OR(BD$4="",$A360&gt;TODAY()),0,IF(OR(INDEX($B360:$D360,BD$5)="F",AND(BD$6&gt;0,$A360&lt;BD$6),AND(BD$7&gt;0,$A360&gt;BD$7)),0,MAX(0,ROUND((INDEX($E360:$G360,BD$5)-SUMIFS(TF_Timer,TF_Tekniker,BD$4,TF_Dato,$A360))*2,0)/2)))</f>
        <v/>
      </c>
      <c r="BE360">
        <f>IF(OR(BE$4="",$A360&gt;TODAY()),0,IF(OR(INDEX($B360:$D360,BE$5)="F",AND(BE$6&gt;0,$A360&lt;BE$6),AND(BE$7&gt;0,$A360&gt;BE$7)),0,MAX(0,ROUND((INDEX($E360:$G360,BE$5)-SUMIFS(TF_Timer,TF_Tekniker,BE$4,TF_Dato,$A360))*2,0)/2)))</f>
        <v/>
      </c>
      <c r="BF360">
        <f>IF(OR(BF$4="",$A360&gt;TODAY()),0,IF(OR(INDEX($B360:$D360,BF$5)="F",AND(BF$6&gt;0,$A360&lt;BF$6),AND(BF$7&gt;0,$A360&gt;BF$7)),0,MAX(0,ROUND((INDEX($E360:$G360,BF$5)-SUMIFS(TF_Timer,TF_Tekniker,BF$4,TF_Dato,$A360))*2,0)/2)))</f>
        <v/>
      </c>
      <c r="BG360">
        <f>IF(OR(BG$4="",$A360&gt;TODAY()),0,IF(OR(INDEX($B360:$D360,BG$5)="F",AND(BG$6&gt;0,$A360&lt;BG$6),AND(BG$7&gt;0,$A360&gt;BG$7)),0,MAX(0,ROUND((INDEX($E360:$G360,BG$5)-SUMIFS(TF_Timer,TF_Tekniker,BG$4,TF_Dato,$A360))*2,0)/2)))</f>
        <v/>
      </c>
      <c r="BH360">
        <f>IF(OR(BH$4="",$A360&gt;TODAY()),0,IF(OR(INDEX($B360:$D360,BH$5)="F",AND(BH$6&gt;0,$A360&lt;BH$6),AND(BH$7&gt;0,$A360&gt;BH$7)),0,MAX(0,ROUND((INDEX($E360:$G360,BH$5)-SUMIFS(TF_Timer,TF_Tekniker,BH$4,TF_Dato,$A360))*2,0)/2)))</f>
        <v/>
      </c>
      <c r="BI360">
        <f>IF(OR(BI$4="",$A360&gt;TODAY()),0,IF(OR(INDEX($B360:$D360,BI$5)="F",AND(BI$6&gt;0,$A360&lt;BI$6),AND(BI$7&gt;0,$A360&gt;BI$7)),0,MAX(0,ROUND((INDEX($E360:$G360,BI$5)-SUMIFS(TF_Timer,TF_Tekniker,BI$4,TF_Dato,$A360))*2,0)/2)))</f>
        <v/>
      </c>
    </row>
    <row r="361">
      <c r="A361" s="64">
        <f>A360+1</f>
        <v/>
      </c>
      <c r="B361">
        <f>IF(MOD($A361-INDEX(SkiftStart,1),Syklus)&lt;DagK,"K",IF(MOD($A361-INDEX(SkiftStart,1),Syklus)&lt;DagK+DagH,"H",IF(MOD($A361-INDEX(SkiftStart,1),Syklus)&lt;DagK+DagH+DagD,"D","F")))</f>
        <v/>
      </c>
      <c r="C361">
        <f>IF(MOD($A361-INDEX(SkiftStart,2),Syklus)&lt;DagK,"K",IF(MOD($A361-INDEX(SkiftStart,2),Syklus)&lt;DagK+DagH,"H",IF(MOD($A361-INDEX(SkiftStart,2),Syklus)&lt;DagK+DagH+DagD,"D","F")))</f>
        <v/>
      </c>
      <c r="D361">
        <f>IF(MOD($A361-INDEX(SkiftStart,3),Syklus)&lt;DagK,"K",IF(MOD($A361-INDEX(SkiftStart,3),Syklus)&lt;DagK+DagH,"H",IF(MOD($A361-INDEX(SkiftStart,3),Syklus)&lt;DagK+DagH+DagD,"D","F")))</f>
        <v/>
      </c>
      <c r="E361">
        <f>IF(B361="F",0,IF(WEEKDAY($A361,2)=5,INDEX(TimerFr,MATCH(B361,FaseKode,0)),INDEX(TimerMT,MATCH(B361,FaseKode,0))))</f>
        <v/>
      </c>
      <c r="F361">
        <f>IF(C361="F",0,IF(WEEKDAY($A361,2)=5,INDEX(TimerFr,MATCH(C361,FaseKode,0)),INDEX(TimerMT,MATCH(C361,FaseKode,0))))</f>
        <v/>
      </c>
      <c r="G361">
        <f>IF(D361="F",0,IF(WEEKDAY($A361,2)=5,INDEX(TimerFr,MATCH(D361,FaseKode,0)),INDEX(TimerMT,MATCH(D361,FaseKode,0))))</f>
        <v/>
      </c>
      <c r="H361">
        <f>IF(OR(H$4="",$A361&gt;TODAY()),0,IF(OR(INDEX($B361:$D361,H$5)="F",AND(H$6&gt;0,$A361&lt;H$6),AND(H$7&gt;0,$A361&gt;H$7)),0,MAX(0,ROUND((INDEX($E361:$G361,H$5)-SUMIFS(TF_Timer,TF_Tekniker,H$4,TF_Dato,$A361))*2,0)/2)))</f>
        <v/>
      </c>
      <c r="I361">
        <f>IF(OR(I$4="",$A361&gt;TODAY()),0,IF(OR(INDEX($B361:$D361,I$5)="F",AND(I$6&gt;0,$A361&lt;I$6),AND(I$7&gt;0,$A361&gt;I$7)),0,MAX(0,ROUND((INDEX($E361:$G361,I$5)-SUMIFS(TF_Timer,TF_Tekniker,I$4,TF_Dato,$A361))*2,0)/2)))</f>
        <v/>
      </c>
      <c r="J361">
        <f>IF(OR(J$4="",$A361&gt;TODAY()),0,IF(OR(INDEX($B361:$D361,J$5)="F",AND(J$6&gt;0,$A361&lt;J$6),AND(J$7&gt;0,$A361&gt;J$7)),0,MAX(0,ROUND((INDEX($E361:$G361,J$5)-SUMIFS(TF_Timer,TF_Tekniker,J$4,TF_Dato,$A361))*2,0)/2)))</f>
        <v/>
      </c>
      <c r="K361">
        <f>IF(OR(K$4="",$A361&gt;TODAY()),0,IF(OR(INDEX($B361:$D361,K$5)="F",AND(K$6&gt;0,$A361&lt;K$6),AND(K$7&gt;0,$A361&gt;K$7)),0,MAX(0,ROUND((INDEX($E361:$G361,K$5)-SUMIFS(TF_Timer,TF_Tekniker,K$4,TF_Dato,$A361))*2,0)/2)))</f>
        <v/>
      </c>
      <c r="L361">
        <f>IF(OR(L$4="",$A361&gt;TODAY()),0,IF(OR(INDEX($B361:$D361,L$5)="F",AND(L$6&gt;0,$A361&lt;L$6),AND(L$7&gt;0,$A361&gt;L$7)),0,MAX(0,ROUND((INDEX($E361:$G361,L$5)-SUMIFS(TF_Timer,TF_Tekniker,L$4,TF_Dato,$A361))*2,0)/2)))</f>
        <v/>
      </c>
      <c r="M361">
        <f>IF(OR(M$4="",$A361&gt;TODAY()),0,IF(OR(INDEX($B361:$D361,M$5)="F",AND(M$6&gt;0,$A361&lt;M$6),AND(M$7&gt;0,$A361&gt;M$7)),0,MAX(0,ROUND((INDEX($E361:$G361,M$5)-SUMIFS(TF_Timer,TF_Tekniker,M$4,TF_Dato,$A361))*2,0)/2)))</f>
        <v/>
      </c>
      <c r="N361">
        <f>IF(OR(N$4="",$A361&gt;TODAY()),0,IF(OR(INDEX($B361:$D361,N$5)="F",AND(N$6&gt;0,$A361&lt;N$6),AND(N$7&gt;0,$A361&gt;N$7)),0,MAX(0,ROUND((INDEX($E361:$G361,N$5)-SUMIFS(TF_Timer,TF_Tekniker,N$4,TF_Dato,$A361))*2,0)/2)))</f>
        <v/>
      </c>
      <c r="O361">
        <f>IF(OR(O$4="",$A361&gt;TODAY()),0,IF(OR(INDEX($B361:$D361,O$5)="F",AND(O$6&gt;0,$A361&lt;O$6),AND(O$7&gt;0,$A361&gt;O$7)),0,MAX(0,ROUND((INDEX($E361:$G361,O$5)-SUMIFS(TF_Timer,TF_Tekniker,O$4,TF_Dato,$A361))*2,0)/2)))</f>
        <v/>
      </c>
      <c r="P361">
        <f>IF(OR(P$4="",$A361&gt;TODAY()),0,IF(OR(INDEX($B361:$D361,P$5)="F",AND(P$6&gt;0,$A361&lt;P$6),AND(P$7&gt;0,$A361&gt;P$7)),0,MAX(0,ROUND((INDEX($E361:$G361,P$5)-SUMIFS(TF_Timer,TF_Tekniker,P$4,TF_Dato,$A361))*2,0)/2)))</f>
        <v/>
      </c>
      <c r="Q361">
        <f>IF(OR(Q$4="",$A361&gt;TODAY()),0,IF(OR(INDEX($B361:$D361,Q$5)="F",AND(Q$6&gt;0,$A361&lt;Q$6),AND(Q$7&gt;0,$A361&gt;Q$7)),0,MAX(0,ROUND((INDEX($E361:$G361,Q$5)-SUMIFS(TF_Timer,TF_Tekniker,Q$4,TF_Dato,$A361))*2,0)/2)))</f>
        <v/>
      </c>
      <c r="R361">
        <f>IF(OR(R$4="",$A361&gt;TODAY()),0,IF(OR(INDEX($B361:$D361,R$5)="F",AND(R$6&gt;0,$A361&lt;R$6),AND(R$7&gt;0,$A361&gt;R$7)),0,MAX(0,ROUND((INDEX($E361:$G361,R$5)-SUMIFS(TF_Timer,TF_Tekniker,R$4,TF_Dato,$A361))*2,0)/2)))</f>
        <v/>
      </c>
      <c r="S361">
        <f>IF(OR(S$4="",$A361&gt;TODAY()),0,IF(OR(INDEX($B361:$D361,S$5)="F",AND(S$6&gt;0,$A361&lt;S$6),AND(S$7&gt;0,$A361&gt;S$7)),0,MAX(0,ROUND((INDEX($E361:$G361,S$5)-SUMIFS(TF_Timer,TF_Tekniker,S$4,TF_Dato,$A361))*2,0)/2)))</f>
        <v/>
      </c>
      <c r="T361">
        <f>IF(OR(T$4="",$A361&gt;TODAY()),0,IF(OR(INDEX($B361:$D361,T$5)="F",AND(T$6&gt;0,$A361&lt;T$6),AND(T$7&gt;0,$A361&gt;T$7)),0,MAX(0,ROUND((INDEX($E361:$G361,T$5)-SUMIFS(TF_Timer,TF_Tekniker,T$4,TF_Dato,$A361))*2,0)/2)))</f>
        <v/>
      </c>
      <c r="U361">
        <f>IF(OR(U$4="",$A361&gt;TODAY()),0,IF(OR(INDEX($B361:$D361,U$5)="F",AND(U$6&gt;0,$A361&lt;U$6),AND(U$7&gt;0,$A361&gt;U$7)),0,MAX(0,ROUND((INDEX($E361:$G361,U$5)-SUMIFS(TF_Timer,TF_Tekniker,U$4,TF_Dato,$A361))*2,0)/2)))</f>
        <v/>
      </c>
      <c r="V361">
        <f>IF(OR(V$4="",$A361&gt;TODAY()),0,IF(OR(INDEX($B361:$D361,V$5)="F",AND(V$6&gt;0,$A361&lt;V$6),AND(V$7&gt;0,$A361&gt;V$7)),0,MAX(0,ROUND((INDEX($E361:$G361,V$5)-SUMIFS(TF_Timer,TF_Tekniker,V$4,TF_Dato,$A361))*2,0)/2)))</f>
        <v/>
      </c>
      <c r="W361">
        <f>IF(OR(W$4="",$A361&gt;TODAY()),0,IF(OR(INDEX($B361:$D361,W$5)="F",AND(W$6&gt;0,$A361&lt;W$6),AND(W$7&gt;0,$A361&gt;W$7)),0,MAX(0,ROUND((INDEX($E361:$G361,W$5)-SUMIFS(TF_Timer,TF_Tekniker,W$4,TF_Dato,$A361))*2,0)/2)))</f>
        <v/>
      </c>
      <c r="X361">
        <f>IF(OR(X$4="",$A361&gt;TODAY()),0,IF(OR(INDEX($B361:$D361,X$5)="F",AND(X$6&gt;0,$A361&lt;X$6),AND(X$7&gt;0,$A361&gt;X$7)),0,MAX(0,ROUND((INDEX($E361:$G361,X$5)-SUMIFS(TF_Timer,TF_Tekniker,X$4,TF_Dato,$A361))*2,0)/2)))</f>
        <v/>
      </c>
      <c r="Y361">
        <f>IF(OR(Y$4="",$A361&gt;TODAY()),0,IF(OR(INDEX($B361:$D361,Y$5)="F",AND(Y$6&gt;0,$A361&lt;Y$6),AND(Y$7&gt;0,$A361&gt;Y$7)),0,MAX(0,ROUND((INDEX($E361:$G361,Y$5)-SUMIFS(TF_Timer,TF_Tekniker,Y$4,TF_Dato,$A361))*2,0)/2)))</f>
        <v/>
      </c>
      <c r="Z361">
        <f>IF(OR(Z$4="",$A361&gt;TODAY()),0,IF(OR(INDEX($B361:$D361,Z$5)="F",AND(Z$6&gt;0,$A361&lt;Z$6),AND(Z$7&gt;0,$A361&gt;Z$7)),0,MAX(0,ROUND((INDEX($E361:$G361,Z$5)-SUMIFS(TF_Timer,TF_Tekniker,Z$4,TF_Dato,$A361))*2,0)/2)))</f>
        <v/>
      </c>
      <c r="AA361">
        <f>IF(OR(AA$4="",$A361&gt;TODAY()),0,IF(OR(INDEX($B361:$D361,AA$5)="F",AND(AA$6&gt;0,$A361&lt;AA$6),AND(AA$7&gt;0,$A361&gt;AA$7)),0,MAX(0,ROUND((INDEX($E361:$G361,AA$5)-SUMIFS(TF_Timer,TF_Tekniker,AA$4,TF_Dato,$A361))*2,0)/2)))</f>
        <v/>
      </c>
      <c r="AB361">
        <f>IF(OR(AB$4="",$A361&gt;TODAY()),0,IF(OR(INDEX($B361:$D361,AB$5)="F",AND(AB$6&gt;0,$A361&lt;AB$6),AND(AB$7&gt;0,$A361&gt;AB$7)),0,MAX(0,ROUND((INDEX($E361:$G361,AB$5)-SUMIFS(TF_Timer,TF_Tekniker,AB$4,TF_Dato,$A361))*2,0)/2)))</f>
        <v/>
      </c>
      <c r="AC361">
        <f>IF(OR(AC$4="",$A361&gt;TODAY()),0,IF(OR(INDEX($B361:$D361,AC$5)="F",AND(AC$6&gt;0,$A361&lt;AC$6),AND(AC$7&gt;0,$A361&gt;AC$7)),0,MAX(0,ROUND((INDEX($E361:$G361,AC$5)-SUMIFS(TF_Timer,TF_Tekniker,AC$4,TF_Dato,$A361))*2,0)/2)))</f>
        <v/>
      </c>
      <c r="AD361">
        <f>IF(OR(AD$4="",$A361&gt;TODAY()),0,IF(OR(INDEX($B361:$D361,AD$5)="F",AND(AD$6&gt;0,$A361&lt;AD$6),AND(AD$7&gt;0,$A361&gt;AD$7)),0,MAX(0,ROUND((INDEX($E361:$G361,AD$5)-SUMIFS(TF_Timer,TF_Tekniker,AD$4,TF_Dato,$A361))*2,0)/2)))</f>
        <v/>
      </c>
      <c r="AE361">
        <f>IF(OR(AE$4="",$A361&gt;TODAY()),0,IF(OR(INDEX($B361:$D361,AE$5)="F",AND(AE$6&gt;0,$A361&lt;AE$6),AND(AE$7&gt;0,$A361&gt;AE$7)),0,MAX(0,ROUND((INDEX($E361:$G361,AE$5)-SUMIFS(TF_Timer,TF_Tekniker,AE$4,TF_Dato,$A361))*2,0)/2)))</f>
        <v/>
      </c>
      <c r="AF361">
        <f>IF(OR(AF$4="",$A361&gt;TODAY()),0,IF(OR(INDEX($B361:$D361,AF$5)="F",AND(AF$6&gt;0,$A361&lt;AF$6),AND(AF$7&gt;0,$A361&gt;AF$7)),0,MAX(0,ROUND((INDEX($E361:$G361,AF$5)-SUMIFS(TF_Timer,TF_Tekniker,AF$4,TF_Dato,$A361))*2,0)/2)))</f>
        <v/>
      </c>
      <c r="AG361">
        <f>IF(OR(AG$4="",$A361&gt;TODAY()),0,IF(OR(INDEX($B361:$D361,AG$5)="F",AND(AG$6&gt;0,$A361&lt;AG$6),AND(AG$7&gt;0,$A361&gt;AG$7)),0,MAX(0,ROUND((INDEX($E361:$G361,AG$5)-SUMIFS(TF_Timer,TF_Tekniker,AG$4,TF_Dato,$A361))*2,0)/2)))</f>
        <v/>
      </c>
      <c r="AH361">
        <f>IF(OR(AH$4="",$A361&gt;TODAY()),0,IF(OR(INDEX($B361:$D361,AH$5)="F",AND(AH$6&gt;0,$A361&lt;AH$6),AND(AH$7&gt;0,$A361&gt;AH$7)),0,MAX(0,ROUND((INDEX($E361:$G361,AH$5)-SUMIFS(TF_Timer,TF_Tekniker,AH$4,TF_Dato,$A361))*2,0)/2)))</f>
        <v/>
      </c>
      <c r="AI361">
        <f>IF(OR(AI$4="",$A361&gt;TODAY()),0,IF(OR(INDEX($B361:$D361,AI$5)="F",AND(AI$6&gt;0,$A361&lt;AI$6),AND(AI$7&gt;0,$A361&gt;AI$7)),0,MAX(0,ROUND((INDEX($E361:$G361,AI$5)-SUMIFS(TF_Timer,TF_Tekniker,AI$4,TF_Dato,$A361))*2,0)/2)))</f>
        <v/>
      </c>
      <c r="AJ361">
        <f>IF(OR(AJ$4="",$A361&gt;TODAY()),0,IF(OR(INDEX($B361:$D361,AJ$5)="F",AND(AJ$6&gt;0,$A361&lt;AJ$6),AND(AJ$7&gt;0,$A361&gt;AJ$7)),0,MAX(0,ROUND((INDEX($E361:$G361,AJ$5)-SUMIFS(TF_Timer,TF_Tekniker,AJ$4,TF_Dato,$A361))*2,0)/2)))</f>
        <v/>
      </c>
      <c r="AK361">
        <f>IF(OR(AK$4="",$A361&gt;TODAY()),0,IF(OR(INDEX($B361:$D361,AK$5)="F",AND(AK$6&gt;0,$A361&lt;AK$6),AND(AK$7&gt;0,$A361&gt;AK$7)),0,MAX(0,ROUND((INDEX($E361:$G361,AK$5)-SUMIFS(TF_Timer,TF_Tekniker,AK$4,TF_Dato,$A361))*2,0)/2)))</f>
        <v/>
      </c>
      <c r="AL361">
        <f>IF(OR(AL$4="",$A361&gt;TODAY()),0,IF(OR(INDEX($B361:$D361,AL$5)="F",AND(AL$6&gt;0,$A361&lt;AL$6),AND(AL$7&gt;0,$A361&gt;AL$7)),0,MAX(0,ROUND((INDEX($E361:$G361,AL$5)-SUMIFS(TF_Timer,TF_Tekniker,AL$4,TF_Dato,$A361))*2,0)/2)))</f>
        <v/>
      </c>
      <c r="AM361">
        <f>IF(OR(AM$4="",$A361&gt;TODAY()),0,IF(OR(INDEX($B361:$D361,AM$5)="F",AND(AM$6&gt;0,$A361&lt;AM$6),AND(AM$7&gt;0,$A361&gt;AM$7)),0,MAX(0,ROUND((INDEX($E361:$G361,AM$5)-SUMIFS(TF_Timer,TF_Tekniker,AM$4,TF_Dato,$A361))*2,0)/2)))</f>
        <v/>
      </c>
      <c r="AN361">
        <f>IF(OR(AN$4="",$A361&gt;TODAY()),0,IF(OR(INDEX($B361:$D361,AN$5)="F",AND(AN$6&gt;0,$A361&lt;AN$6),AND(AN$7&gt;0,$A361&gt;AN$7)),0,MAX(0,ROUND((INDEX($E361:$G361,AN$5)-SUMIFS(TF_Timer,TF_Tekniker,AN$4,TF_Dato,$A361))*2,0)/2)))</f>
        <v/>
      </c>
      <c r="AO361">
        <f>IF(OR(AO$4="",$A361&gt;TODAY()),0,IF(OR(INDEX($B361:$D361,AO$5)="F",AND(AO$6&gt;0,$A361&lt;AO$6),AND(AO$7&gt;0,$A361&gt;AO$7)),0,MAX(0,ROUND((INDEX($E361:$G361,AO$5)-SUMIFS(TF_Timer,TF_Tekniker,AO$4,TF_Dato,$A361))*2,0)/2)))</f>
        <v/>
      </c>
      <c r="AP361">
        <f>IF(OR(AP$4="",$A361&gt;TODAY()),0,IF(OR(INDEX($B361:$D361,AP$5)="F",AND(AP$6&gt;0,$A361&lt;AP$6),AND(AP$7&gt;0,$A361&gt;AP$7)),0,MAX(0,ROUND((INDEX($E361:$G361,AP$5)-SUMIFS(TF_Timer,TF_Tekniker,AP$4,TF_Dato,$A361))*2,0)/2)))</f>
        <v/>
      </c>
      <c r="AQ361">
        <f>IF(OR(AQ$4="",$A361&gt;TODAY()),0,IF(OR(INDEX($B361:$D361,AQ$5)="F",AND(AQ$6&gt;0,$A361&lt;AQ$6),AND(AQ$7&gt;0,$A361&gt;AQ$7)),0,MAX(0,ROUND((INDEX($E361:$G361,AQ$5)-SUMIFS(TF_Timer,TF_Tekniker,AQ$4,TF_Dato,$A361))*2,0)/2)))</f>
        <v/>
      </c>
      <c r="AR361">
        <f>IF(OR(AR$4="",$A361&gt;TODAY()),0,IF(OR(INDEX($B361:$D361,AR$5)="F",AND(AR$6&gt;0,$A361&lt;AR$6),AND(AR$7&gt;0,$A361&gt;AR$7)),0,MAX(0,ROUND((INDEX($E361:$G361,AR$5)-SUMIFS(TF_Timer,TF_Tekniker,AR$4,TF_Dato,$A361))*2,0)/2)))</f>
        <v/>
      </c>
      <c r="AS361">
        <f>IF(OR(AS$4="",$A361&gt;TODAY()),0,IF(OR(INDEX($B361:$D361,AS$5)="F",AND(AS$6&gt;0,$A361&lt;AS$6),AND(AS$7&gt;0,$A361&gt;AS$7)),0,MAX(0,ROUND((INDEX($E361:$G361,AS$5)-SUMIFS(TF_Timer,TF_Tekniker,AS$4,TF_Dato,$A361))*2,0)/2)))</f>
        <v/>
      </c>
      <c r="AT361">
        <f>IF(OR(AT$4="",$A361&gt;TODAY()),0,IF(OR(INDEX($B361:$D361,AT$5)="F",AND(AT$6&gt;0,$A361&lt;AT$6),AND(AT$7&gt;0,$A361&gt;AT$7)),0,MAX(0,ROUND((INDEX($E361:$G361,AT$5)-SUMIFS(TF_Timer,TF_Tekniker,AT$4,TF_Dato,$A361))*2,0)/2)))</f>
        <v/>
      </c>
      <c r="AU361">
        <f>IF(OR(AU$4="",$A361&gt;TODAY()),0,IF(OR(INDEX($B361:$D361,AU$5)="F",AND(AU$6&gt;0,$A361&lt;AU$6),AND(AU$7&gt;0,$A361&gt;AU$7)),0,MAX(0,ROUND((INDEX($E361:$G361,AU$5)-SUMIFS(TF_Timer,TF_Tekniker,AU$4,TF_Dato,$A361))*2,0)/2)))</f>
        <v/>
      </c>
      <c r="AV361">
        <f>IF(OR(AV$4="",$A361&gt;TODAY()),0,IF(OR(INDEX($B361:$D361,AV$5)="F",AND(AV$6&gt;0,$A361&lt;AV$6),AND(AV$7&gt;0,$A361&gt;AV$7)),0,MAX(0,ROUND((INDEX($E361:$G361,AV$5)-SUMIFS(TF_Timer,TF_Tekniker,AV$4,TF_Dato,$A361))*2,0)/2)))</f>
        <v/>
      </c>
      <c r="AW361">
        <f>IF(OR(AW$4="",$A361&gt;TODAY()),0,IF(OR(INDEX($B361:$D361,AW$5)="F",AND(AW$6&gt;0,$A361&lt;AW$6),AND(AW$7&gt;0,$A361&gt;AW$7)),0,MAX(0,ROUND((INDEX($E361:$G361,AW$5)-SUMIFS(TF_Timer,TF_Tekniker,AW$4,TF_Dato,$A361))*2,0)/2)))</f>
        <v/>
      </c>
      <c r="AX361">
        <f>IF(OR(AX$4="",$A361&gt;TODAY()),0,IF(OR(INDEX($B361:$D361,AX$5)="F",AND(AX$6&gt;0,$A361&lt;AX$6),AND(AX$7&gt;0,$A361&gt;AX$7)),0,MAX(0,ROUND((INDEX($E361:$G361,AX$5)-SUMIFS(TF_Timer,TF_Tekniker,AX$4,TF_Dato,$A361))*2,0)/2)))</f>
        <v/>
      </c>
      <c r="AY361">
        <f>IF(OR(AY$4="",$A361&gt;TODAY()),0,IF(OR(INDEX($B361:$D361,AY$5)="F",AND(AY$6&gt;0,$A361&lt;AY$6),AND(AY$7&gt;0,$A361&gt;AY$7)),0,MAX(0,ROUND((INDEX($E361:$G361,AY$5)-SUMIFS(TF_Timer,TF_Tekniker,AY$4,TF_Dato,$A361))*2,0)/2)))</f>
        <v/>
      </c>
      <c r="AZ361">
        <f>IF(OR(AZ$4="",$A361&gt;TODAY()),0,IF(OR(INDEX($B361:$D361,AZ$5)="F",AND(AZ$6&gt;0,$A361&lt;AZ$6),AND(AZ$7&gt;0,$A361&gt;AZ$7)),0,MAX(0,ROUND((INDEX($E361:$G361,AZ$5)-SUMIFS(TF_Timer,TF_Tekniker,AZ$4,TF_Dato,$A361))*2,0)/2)))</f>
        <v/>
      </c>
      <c r="BA361">
        <f>IF(OR(BA$4="",$A361&gt;TODAY()),0,IF(OR(INDEX($B361:$D361,BA$5)="F",AND(BA$6&gt;0,$A361&lt;BA$6),AND(BA$7&gt;0,$A361&gt;BA$7)),0,MAX(0,ROUND((INDEX($E361:$G361,BA$5)-SUMIFS(TF_Timer,TF_Tekniker,BA$4,TF_Dato,$A361))*2,0)/2)))</f>
        <v/>
      </c>
      <c r="BB361">
        <f>IF(OR(BB$4="",$A361&gt;TODAY()),0,IF(OR(INDEX($B361:$D361,BB$5)="F",AND(BB$6&gt;0,$A361&lt;BB$6),AND(BB$7&gt;0,$A361&gt;BB$7)),0,MAX(0,ROUND((INDEX($E361:$G361,BB$5)-SUMIFS(TF_Timer,TF_Tekniker,BB$4,TF_Dato,$A361))*2,0)/2)))</f>
        <v/>
      </c>
      <c r="BC361">
        <f>IF(OR(BC$4="",$A361&gt;TODAY()),0,IF(OR(INDEX($B361:$D361,BC$5)="F",AND(BC$6&gt;0,$A361&lt;BC$6),AND(BC$7&gt;0,$A361&gt;BC$7)),0,MAX(0,ROUND((INDEX($E361:$G361,BC$5)-SUMIFS(TF_Timer,TF_Tekniker,BC$4,TF_Dato,$A361))*2,0)/2)))</f>
        <v/>
      </c>
      <c r="BD361">
        <f>IF(OR(BD$4="",$A361&gt;TODAY()),0,IF(OR(INDEX($B361:$D361,BD$5)="F",AND(BD$6&gt;0,$A361&lt;BD$6),AND(BD$7&gt;0,$A361&gt;BD$7)),0,MAX(0,ROUND((INDEX($E361:$G361,BD$5)-SUMIFS(TF_Timer,TF_Tekniker,BD$4,TF_Dato,$A361))*2,0)/2)))</f>
        <v/>
      </c>
      <c r="BE361">
        <f>IF(OR(BE$4="",$A361&gt;TODAY()),0,IF(OR(INDEX($B361:$D361,BE$5)="F",AND(BE$6&gt;0,$A361&lt;BE$6),AND(BE$7&gt;0,$A361&gt;BE$7)),0,MAX(0,ROUND((INDEX($E361:$G361,BE$5)-SUMIFS(TF_Timer,TF_Tekniker,BE$4,TF_Dato,$A361))*2,0)/2)))</f>
        <v/>
      </c>
      <c r="BF361">
        <f>IF(OR(BF$4="",$A361&gt;TODAY()),0,IF(OR(INDEX($B361:$D361,BF$5)="F",AND(BF$6&gt;0,$A361&lt;BF$6),AND(BF$7&gt;0,$A361&gt;BF$7)),0,MAX(0,ROUND((INDEX($E361:$G361,BF$5)-SUMIFS(TF_Timer,TF_Tekniker,BF$4,TF_Dato,$A361))*2,0)/2)))</f>
        <v/>
      </c>
      <c r="BG361">
        <f>IF(OR(BG$4="",$A361&gt;TODAY()),0,IF(OR(INDEX($B361:$D361,BG$5)="F",AND(BG$6&gt;0,$A361&lt;BG$6),AND(BG$7&gt;0,$A361&gt;BG$7)),0,MAX(0,ROUND((INDEX($E361:$G361,BG$5)-SUMIFS(TF_Timer,TF_Tekniker,BG$4,TF_Dato,$A361))*2,0)/2)))</f>
        <v/>
      </c>
      <c r="BH361">
        <f>IF(OR(BH$4="",$A361&gt;TODAY()),0,IF(OR(INDEX($B361:$D361,BH$5)="F",AND(BH$6&gt;0,$A361&lt;BH$6),AND(BH$7&gt;0,$A361&gt;BH$7)),0,MAX(0,ROUND((INDEX($E361:$G361,BH$5)-SUMIFS(TF_Timer,TF_Tekniker,BH$4,TF_Dato,$A361))*2,0)/2)))</f>
        <v/>
      </c>
      <c r="BI361">
        <f>IF(OR(BI$4="",$A361&gt;TODAY()),0,IF(OR(INDEX($B361:$D361,BI$5)="F",AND(BI$6&gt;0,$A361&lt;BI$6),AND(BI$7&gt;0,$A361&gt;BI$7)),0,MAX(0,ROUND((INDEX($E361:$G361,BI$5)-SUMIFS(TF_Timer,TF_Tekniker,BI$4,TF_Dato,$A361))*2,0)/2)))</f>
        <v/>
      </c>
    </row>
    <row r="362">
      <c r="A362" s="64">
        <f>A361+1</f>
        <v/>
      </c>
      <c r="B362">
        <f>IF(MOD($A362-INDEX(SkiftStart,1),Syklus)&lt;DagK,"K",IF(MOD($A362-INDEX(SkiftStart,1),Syklus)&lt;DagK+DagH,"H",IF(MOD($A362-INDEX(SkiftStart,1),Syklus)&lt;DagK+DagH+DagD,"D","F")))</f>
        <v/>
      </c>
      <c r="C362">
        <f>IF(MOD($A362-INDEX(SkiftStart,2),Syklus)&lt;DagK,"K",IF(MOD($A362-INDEX(SkiftStart,2),Syklus)&lt;DagK+DagH,"H",IF(MOD($A362-INDEX(SkiftStart,2),Syklus)&lt;DagK+DagH+DagD,"D","F")))</f>
        <v/>
      </c>
      <c r="D362">
        <f>IF(MOD($A362-INDEX(SkiftStart,3),Syklus)&lt;DagK,"K",IF(MOD($A362-INDEX(SkiftStart,3),Syklus)&lt;DagK+DagH,"H",IF(MOD($A362-INDEX(SkiftStart,3),Syklus)&lt;DagK+DagH+DagD,"D","F")))</f>
        <v/>
      </c>
      <c r="E362">
        <f>IF(B362="F",0,IF(WEEKDAY($A362,2)=5,INDEX(TimerFr,MATCH(B362,FaseKode,0)),INDEX(TimerMT,MATCH(B362,FaseKode,0))))</f>
        <v/>
      </c>
      <c r="F362">
        <f>IF(C362="F",0,IF(WEEKDAY($A362,2)=5,INDEX(TimerFr,MATCH(C362,FaseKode,0)),INDEX(TimerMT,MATCH(C362,FaseKode,0))))</f>
        <v/>
      </c>
      <c r="G362">
        <f>IF(D362="F",0,IF(WEEKDAY($A362,2)=5,INDEX(TimerFr,MATCH(D362,FaseKode,0)),INDEX(TimerMT,MATCH(D362,FaseKode,0))))</f>
        <v/>
      </c>
      <c r="H362">
        <f>IF(OR(H$4="",$A362&gt;TODAY()),0,IF(OR(INDEX($B362:$D362,H$5)="F",AND(H$6&gt;0,$A362&lt;H$6),AND(H$7&gt;0,$A362&gt;H$7)),0,MAX(0,ROUND((INDEX($E362:$G362,H$5)-SUMIFS(TF_Timer,TF_Tekniker,H$4,TF_Dato,$A362))*2,0)/2)))</f>
        <v/>
      </c>
      <c r="I362">
        <f>IF(OR(I$4="",$A362&gt;TODAY()),0,IF(OR(INDEX($B362:$D362,I$5)="F",AND(I$6&gt;0,$A362&lt;I$6),AND(I$7&gt;0,$A362&gt;I$7)),0,MAX(0,ROUND((INDEX($E362:$G362,I$5)-SUMIFS(TF_Timer,TF_Tekniker,I$4,TF_Dato,$A362))*2,0)/2)))</f>
        <v/>
      </c>
      <c r="J362">
        <f>IF(OR(J$4="",$A362&gt;TODAY()),0,IF(OR(INDEX($B362:$D362,J$5)="F",AND(J$6&gt;0,$A362&lt;J$6),AND(J$7&gt;0,$A362&gt;J$7)),0,MAX(0,ROUND((INDEX($E362:$G362,J$5)-SUMIFS(TF_Timer,TF_Tekniker,J$4,TF_Dato,$A362))*2,0)/2)))</f>
        <v/>
      </c>
      <c r="K362">
        <f>IF(OR(K$4="",$A362&gt;TODAY()),0,IF(OR(INDEX($B362:$D362,K$5)="F",AND(K$6&gt;0,$A362&lt;K$6),AND(K$7&gt;0,$A362&gt;K$7)),0,MAX(0,ROUND((INDEX($E362:$G362,K$5)-SUMIFS(TF_Timer,TF_Tekniker,K$4,TF_Dato,$A362))*2,0)/2)))</f>
        <v/>
      </c>
      <c r="L362">
        <f>IF(OR(L$4="",$A362&gt;TODAY()),0,IF(OR(INDEX($B362:$D362,L$5)="F",AND(L$6&gt;0,$A362&lt;L$6),AND(L$7&gt;0,$A362&gt;L$7)),0,MAX(0,ROUND((INDEX($E362:$G362,L$5)-SUMIFS(TF_Timer,TF_Tekniker,L$4,TF_Dato,$A362))*2,0)/2)))</f>
        <v/>
      </c>
      <c r="M362">
        <f>IF(OR(M$4="",$A362&gt;TODAY()),0,IF(OR(INDEX($B362:$D362,M$5)="F",AND(M$6&gt;0,$A362&lt;M$6),AND(M$7&gt;0,$A362&gt;M$7)),0,MAX(0,ROUND((INDEX($E362:$G362,M$5)-SUMIFS(TF_Timer,TF_Tekniker,M$4,TF_Dato,$A362))*2,0)/2)))</f>
        <v/>
      </c>
      <c r="N362">
        <f>IF(OR(N$4="",$A362&gt;TODAY()),0,IF(OR(INDEX($B362:$D362,N$5)="F",AND(N$6&gt;0,$A362&lt;N$6),AND(N$7&gt;0,$A362&gt;N$7)),0,MAX(0,ROUND((INDEX($E362:$G362,N$5)-SUMIFS(TF_Timer,TF_Tekniker,N$4,TF_Dato,$A362))*2,0)/2)))</f>
        <v/>
      </c>
      <c r="O362">
        <f>IF(OR(O$4="",$A362&gt;TODAY()),0,IF(OR(INDEX($B362:$D362,O$5)="F",AND(O$6&gt;0,$A362&lt;O$6),AND(O$7&gt;0,$A362&gt;O$7)),0,MAX(0,ROUND((INDEX($E362:$G362,O$5)-SUMIFS(TF_Timer,TF_Tekniker,O$4,TF_Dato,$A362))*2,0)/2)))</f>
        <v/>
      </c>
      <c r="P362">
        <f>IF(OR(P$4="",$A362&gt;TODAY()),0,IF(OR(INDEX($B362:$D362,P$5)="F",AND(P$6&gt;0,$A362&lt;P$6),AND(P$7&gt;0,$A362&gt;P$7)),0,MAX(0,ROUND((INDEX($E362:$G362,P$5)-SUMIFS(TF_Timer,TF_Tekniker,P$4,TF_Dato,$A362))*2,0)/2)))</f>
        <v/>
      </c>
      <c r="Q362">
        <f>IF(OR(Q$4="",$A362&gt;TODAY()),0,IF(OR(INDEX($B362:$D362,Q$5)="F",AND(Q$6&gt;0,$A362&lt;Q$6),AND(Q$7&gt;0,$A362&gt;Q$7)),0,MAX(0,ROUND((INDEX($E362:$G362,Q$5)-SUMIFS(TF_Timer,TF_Tekniker,Q$4,TF_Dato,$A362))*2,0)/2)))</f>
        <v/>
      </c>
      <c r="R362">
        <f>IF(OR(R$4="",$A362&gt;TODAY()),0,IF(OR(INDEX($B362:$D362,R$5)="F",AND(R$6&gt;0,$A362&lt;R$6),AND(R$7&gt;0,$A362&gt;R$7)),0,MAX(0,ROUND((INDEX($E362:$G362,R$5)-SUMIFS(TF_Timer,TF_Tekniker,R$4,TF_Dato,$A362))*2,0)/2)))</f>
        <v/>
      </c>
      <c r="S362">
        <f>IF(OR(S$4="",$A362&gt;TODAY()),0,IF(OR(INDEX($B362:$D362,S$5)="F",AND(S$6&gt;0,$A362&lt;S$6),AND(S$7&gt;0,$A362&gt;S$7)),0,MAX(0,ROUND((INDEX($E362:$G362,S$5)-SUMIFS(TF_Timer,TF_Tekniker,S$4,TF_Dato,$A362))*2,0)/2)))</f>
        <v/>
      </c>
      <c r="T362">
        <f>IF(OR(T$4="",$A362&gt;TODAY()),0,IF(OR(INDEX($B362:$D362,T$5)="F",AND(T$6&gt;0,$A362&lt;T$6),AND(T$7&gt;0,$A362&gt;T$7)),0,MAX(0,ROUND((INDEX($E362:$G362,T$5)-SUMIFS(TF_Timer,TF_Tekniker,T$4,TF_Dato,$A362))*2,0)/2)))</f>
        <v/>
      </c>
      <c r="U362">
        <f>IF(OR(U$4="",$A362&gt;TODAY()),0,IF(OR(INDEX($B362:$D362,U$5)="F",AND(U$6&gt;0,$A362&lt;U$6),AND(U$7&gt;0,$A362&gt;U$7)),0,MAX(0,ROUND((INDEX($E362:$G362,U$5)-SUMIFS(TF_Timer,TF_Tekniker,U$4,TF_Dato,$A362))*2,0)/2)))</f>
        <v/>
      </c>
      <c r="V362">
        <f>IF(OR(V$4="",$A362&gt;TODAY()),0,IF(OR(INDEX($B362:$D362,V$5)="F",AND(V$6&gt;0,$A362&lt;V$6),AND(V$7&gt;0,$A362&gt;V$7)),0,MAX(0,ROUND((INDEX($E362:$G362,V$5)-SUMIFS(TF_Timer,TF_Tekniker,V$4,TF_Dato,$A362))*2,0)/2)))</f>
        <v/>
      </c>
      <c r="W362">
        <f>IF(OR(W$4="",$A362&gt;TODAY()),0,IF(OR(INDEX($B362:$D362,W$5)="F",AND(W$6&gt;0,$A362&lt;W$6),AND(W$7&gt;0,$A362&gt;W$7)),0,MAX(0,ROUND((INDEX($E362:$G362,W$5)-SUMIFS(TF_Timer,TF_Tekniker,W$4,TF_Dato,$A362))*2,0)/2)))</f>
        <v/>
      </c>
      <c r="X362">
        <f>IF(OR(X$4="",$A362&gt;TODAY()),0,IF(OR(INDEX($B362:$D362,X$5)="F",AND(X$6&gt;0,$A362&lt;X$6),AND(X$7&gt;0,$A362&gt;X$7)),0,MAX(0,ROUND((INDEX($E362:$G362,X$5)-SUMIFS(TF_Timer,TF_Tekniker,X$4,TF_Dato,$A362))*2,0)/2)))</f>
        <v/>
      </c>
      <c r="Y362">
        <f>IF(OR(Y$4="",$A362&gt;TODAY()),0,IF(OR(INDEX($B362:$D362,Y$5)="F",AND(Y$6&gt;0,$A362&lt;Y$6),AND(Y$7&gt;0,$A362&gt;Y$7)),0,MAX(0,ROUND((INDEX($E362:$G362,Y$5)-SUMIFS(TF_Timer,TF_Tekniker,Y$4,TF_Dato,$A362))*2,0)/2)))</f>
        <v/>
      </c>
      <c r="Z362">
        <f>IF(OR(Z$4="",$A362&gt;TODAY()),0,IF(OR(INDEX($B362:$D362,Z$5)="F",AND(Z$6&gt;0,$A362&lt;Z$6),AND(Z$7&gt;0,$A362&gt;Z$7)),0,MAX(0,ROUND((INDEX($E362:$G362,Z$5)-SUMIFS(TF_Timer,TF_Tekniker,Z$4,TF_Dato,$A362))*2,0)/2)))</f>
        <v/>
      </c>
      <c r="AA362">
        <f>IF(OR(AA$4="",$A362&gt;TODAY()),0,IF(OR(INDEX($B362:$D362,AA$5)="F",AND(AA$6&gt;0,$A362&lt;AA$6),AND(AA$7&gt;0,$A362&gt;AA$7)),0,MAX(0,ROUND((INDEX($E362:$G362,AA$5)-SUMIFS(TF_Timer,TF_Tekniker,AA$4,TF_Dato,$A362))*2,0)/2)))</f>
        <v/>
      </c>
      <c r="AB362">
        <f>IF(OR(AB$4="",$A362&gt;TODAY()),0,IF(OR(INDEX($B362:$D362,AB$5)="F",AND(AB$6&gt;0,$A362&lt;AB$6),AND(AB$7&gt;0,$A362&gt;AB$7)),0,MAX(0,ROUND((INDEX($E362:$G362,AB$5)-SUMIFS(TF_Timer,TF_Tekniker,AB$4,TF_Dato,$A362))*2,0)/2)))</f>
        <v/>
      </c>
      <c r="AC362">
        <f>IF(OR(AC$4="",$A362&gt;TODAY()),0,IF(OR(INDEX($B362:$D362,AC$5)="F",AND(AC$6&gt;0,$A362&lt;AC$6),AND(AC$7&gt;0,$A362&gt;AC$7)),0,MAX(0,ROUND((INDEX($E362:$G362,AC$5)-SUMIFS(TF_Timer,TF_Tekniker,AC$4,TF_Dato,$A362))*2,0)/2)))</f>
        <v/>
      </c>
      <c r="AD362">
        <f>IF(OR(AD$4="",$A362&gt;TODAY()),0,IF(OR(INDEX($B362:$D362,AD$5)="F",AND(AD$6&gt;0,$A362&lt;AD$6),AND(AD$7&gt;0,$A362&gt;AD$7)),0,MAX(0,ROUND((INDEX($E362:$G362,AD$5)-SUMIFS(TF_Timer,TF_Tekniker,AD$4,TF_Dato,$A362))*2,0)/2)))</f>
        <v/>
      </c>
      <c r="AE362">
        <f>IF(OR(AE$4="",$A362&gt;TODAY()),0,IF(OR(INDEX($B362:$D362,AE$5)="F",AND(AE$6&gt;0,$A362&lt;AE$6),AND(AE$7&gt;0,$A362&gt;AE$7)),0,MAX(0,ROUND((INDEX($E362:$G362,AE$5)-SUMIFS(TF_Timer,TF_Tekniker,AE$4,TF_Dato,$A362))*2,0)/2)))</f>
        <v/>
      </c>
      <c r="AF362">
        <f>IF(OR(AF$4="",$A362&gt;TODAY()),0,IF(OR(INDEX($B362:$D362,AF$5)="F",AND(AF$6&gt;0,$A362&lt;AF$6),AND(AF$7&gt;0,$A362&gt;AF$7)),0,MAX(0,ROUND((INDEX($E362:$G362,AF$5)-SUMIFS(TF_Timer,TF_Tekniker,AF$4,TF_Dato,$A362))*2,0)/2)))</f>
        <v/>
      </c>
      <c r="AG362">
        <f>IF(OR(AG$4="",$A362&gt;TODAY()),0,IF(OR(INDEX($B362:$D362,AG$5)="F",AND(AG$6&gt;0,$A362&lt;AG$6),AND(AG$7&gt;0,$A362&gt;AG$7)),0,MAX(0,ROUND((INDEX($E362:$G362,AG$5)-SUMIFS(TF_Timer,TF_Tekniker,AG$4,TF_Dato,$A362))*2,0)/2)))</f>
        <v/>
      </c>
      <c r="AH362">
        <f>IF(OR(AH$4="",$A362&gt;TODAY()),0,IF(OR(INDEX($B362:$D362,AH$5)="F",AND(AH$6&gt;0,$A362&lt;AH$6),AND(AH$7&gt;0,$A362&gt;AH$7)),0,MAX(0,ROUND((INDEX($E362:$G362,AH$5)-SUMIFS(TF_Timer,TF_Tekniker,AH$4,TF_Dato,$A362))*2,0)/2)))</f>
        <v/>
      </c>
      <c r="AI362">
        <f>IF(OR(AI$4="",$A362&gt;TODAY()),0,IF(OR(INDEX($B362:$D362,AI$5)="F",AND(AI$6&gt;0,$A362&lt;AI$6),AND(AI$7&gt;0,$A362&gt;AI$7)),0,MAX(0,ROUND((INDEX($E362:$G362,AI$5)-SUMIFS(TF_Timer,TF_Tekniker,AI$4,TF_Dato,$A362))*2,0)/2)))</f>
        <v/>
      </c>
      <c r="AJ362">
        <f>IF(OR(AJ$4="",$A362&gt;TODAY()),0,IF(OR(INDEX($B362:$D362,AJ$5)="F",AND(AJ$6&gt;0,$A362&lt;AJ$6),AND(AJ$7&gt;0,$A362&gt;AJ$7)),0,MAX(0,ROUND((INDEX($E362:$G362,AJ$5)-SUMIFS(TF_Timer,TF_Tekniker,AJ$4,TF_Dato,$A362))*2,0)/2)))</f>
        <v/>
      </c>
      <c r="AK362">
        <f>IF(OR(AK$4="",$A362&gt;TODAY()),0,IF(OR(INDEX($B362:$D362,AK$5)="F",AND(AK$6&gt;0,$A362&lt;AK$6),AND(AK$7&gt;0,$A362&gt;AK$7)),0,MAX(0,ROUND((INDEX($E362:$G362,AK$5)-SUMIFS(TF_Timer,TF_Tekniker,AK$4,TF_Dato,$A362))*2,0)/2)))</f>
        <v/>
      </c>
      <c r="AL362">
        <f>IF(OR(AL$4="",$A362&gt;TODAY()),0,IF(OR(INDEX($B362:$D362,AL$5)="F",AND(AL$6&gt;0,$A362&lt;AL$6),AND(AL$7&gt;0,$A362&gt;AL$7)),0,MAX(0,ROUND((INDEX($E362:$G362,AL$5)-SUMIFS(TF_Timer,TF_Tekniker,AL$4,TF_Dato,$A362))*2,0)/2)))</f>
        <v/>
      </c>
      <c r="AM362">
        <f>IF(OR(AM$4="",$A362&gt;TODAY()),0,IF(OR(INDEX($B362:$D362,AM$5)="F",AND(AM$6&gt;0,$A362&lt;AM$6),AND(AM$7&gt;0,$A362&gt;AM$7)),0,MAX(0,ROUND((INDEX($E362:$G362,AM$5)-SUMIFS(TF_Timer,TF_Tekniker,AM$4,TF_Dato,$A362))*2,0)/2)))</f>
        <v/>
      </c>
      <c r="AN362">
        <f>IF(OR(AN$4="",$A362&gt;TODAY()),0,IF(OR(INDEX($B362:$D362,AN$5)="F",AND(AN$6&gt;0,$A362&lt;AN$6),AND(AN$7&gt;0,$A362&gt;AN$7)),0,MAX(0,ROUND((INDEX($E362:$G362,AN$5)-SUMIFS(TF_Timer,TF_Tekniker,AN$4,TF_Dato,$A362))*2,0)/2)))</f>
        <v/>
      </c>
      <c r="AO362">
        <f>IF(OR(AO$4="",$A362&gt;TODAY()),0,IF(OR(INDEX($B362:$D362,AO$5)="F",AND(AO$6&gt;0,$A362&lt;AO$6),AND(AO$7&gt;0,$A362&gt;AO$7)),0,MAX(0,ROUND((INDEX($E362:$G362,AO$5)-SUMIFS(TF_Timer,TF_Tekniker,AO$4,TF_Dato,$A362))*2,0)/2)))</f>
        <v/>
      </c>
      <c r="AP362">
        <f>IF(OR(AP$4="",$A362&gt;TODAY()),0,IF(OR(INDEX($B362:$D362,AP$5)="F",AND(AP$6&gt;0,$A362&lt;AP$6),AND(AP$7&gt;0,$A362&gt;AP$7)),0,MAX(0,ROUND((INDEX($E362:$G362,AP$5)-SUMIFS(TF_Timer,TF_Tekniker,AP$4,TF_Dato,$A362))*2,0)/2)))</f>
        <v/>
      </c>
      <c r="AQ362">
        <f>IF(OR(AQ$4="",$A362&gt;TODAY()),0,IF(OR(INDEX($B362:$D362,AQ$5)="F",AND(AQ$6&gt;0,$A362&lt;AQ$6),AND(AQ$7&gt;0,$A362&gt;AQ$7)),0,MAX(0,ROUND((INDEX($E362:$G362,AQ$5)-SUMIFS(TF_Timer,TF_Tekniker,AQ$4,TF_Dato,$A362))*2,0)/2)))</f>
        <v/>
      </c>
      <c r="AR362">
        <f>IF(OR(AR$4="",$A362&gt;TODAY()),0,IF(OR(INDEX($B362:$D362,AR$5)="F",AND(AR$6&gt;0,$A362&lt;AR$6),AND(AR$7&gt;0,$A362&gt;AR$7)),0,MAX(0,ROUND((INDEX($E362:$G362,AR$5)-SUMIFS(TF_Timer,TF_Tekniker,AR$4,TF_Dato,$A362))*2,0)/2)))</f>
        <v/>
      </c>
      <c r="AS362">
        <f>IF(OR(AS$4="",$A362&gt;TODAY()),0,IF(OR(INDEX($B362:$D362,AS$5)="F",AND(AS$6&gt;0,$A362&lt;AS$6),AND(AS$7&gt;0,$A362&gt;AS$7)),0,MAX(0,ROUND((INDEX($E362:$G362,AS$5)-SUMIFS(TF_Timer,TF_Tekniker,AS$4,TF_Dato,$A362))*2,0)/2)))</f>
        <v/>
      </c>
      <c r="AT362">
        <f>IF(OR(AT$4="",$A362&gt;TODAY()),0,IF(OR(INDEX($B362:$D362,AT$5)="F",AND(AT$6&gt;0,$A362&lt;AT$6),AND(AT$7&gt;0,$A362&gt;AT$7)),0,MAX(0,ROUND((INDEX($E362:$G362,AT$5)-SUMIFS(TF_Timer,TF_Tekniker,AT$4,TF_Dato,$A362))*2,0)/2)))</f>
        <v/>
      </c>
      <c r="AU362">
        <f>IF(OR(AU$4="",$A362&gt;TODAY()),0,IF(OR(INDEX($B362:$D362,AU$5)="F",AND(AU$6&gt;0,$A362&lt;AU$6),AND(AU$7&gt;0,$A362&gt;AU$7)),0,MAX(0,ROUND((INDEX($E362:$G362,AU$5)-SUMIFS(TF_Timer,TF_Tekniker,AU$4,TF_Dato,$A362))*2,0)/2)))</f>
        <v/>
      </c>
      <c r="AV362">
        <f>IF(OR(AV$4="",$A362&gt;TODAY()),0,IF(OR(INDEX($B362:$D362,AV$5)="F",AND(AV$6&gt;0,$A362&lt;AV$6),AND(AV$7&gt;0,$A362&gt;AV$7)),0,MAX(0,ROUND((INDEX($E362:$G362,AV$5)-SUMIFS(TF_Timer,TF_Tekniker,AV$4,TF_Dato,$A362))*2,0)/2)))</f>
        <v/>
      </c>
      <c r="AW362">
        <f>IF(OR(AW$4="",$A362&gt;TODAY()),0,IF(OR(INDEX($B362:$D362,AW$5)="F",AND(AW$6&gt;0,$A362&lt;AW$6),AND(AW$7&gt;0,$A362&gt;AW$7)),0,MAX(0,ROUND((INDEX($E362:$G362,AW$5)-SUMIFS(TF_Timer,TF_Tekniker,AW$4,TF_Dato,$A362))*2,0)/2)))</f>
        <v/>
      </c>
      <c r="AX362">
        <f>IF(OR(AX$4="",$A362&gt;TODAY()),0,IF(OR(INDEX($B362:$D362,AX$5)="F",AND(AX$6&gt;0,$A362&lt;AX$6),AND(AX$7&gt;0,$A362&gt;AX$7)),0,MAX(0,ROUND((INDEX($E362:$G362,AX$5)-SUMIFS(TF_Timer,TF_Tekniker,AX$4,TF_Dato,$A362))*2,0)/2)))</f>
        <v/>
      </c>
      <c r="AY362">
        <f>IF(OR(AY$4="",$A362&gt;TODAY()),0,IF(OR(INDEX($B362:$D362,AY$5)="F",AND(AY$6&gt;0,$A362&lt;AY$6),AND(AY$7&gt;0,$A362&gt;AY$7)),0,MAX(0,ROUND((INDEX($E362:$G362,AY$5)-SUMIFS(TF_Timer,TF_Tekniker,AY$4,TF_Dato,$A362))*2,0)/2)))</f>
        <v/>
      </c>
      <c r="AZ362">
        <f>IF(OR(AZ$4="",$A362&gt;TODAY()),0,IF(OR(INDEX($B362:$D362,AZ$5)="F",AND(AZ$6&gt;0,$A362&lt;AZ$6),AND(AZ$7&gt;0,$A362&gt;AZ$7)),0,MAX(0,ROUND((INDEX($E362:$G362,AZ$5)-SUMIFS(TF_Timer,TF_Tekniker,AZ$4,TF_Dato,$A362))*2,0)/2)))</f>
        <v/>
      </c>
      <c r="BA362">
        <f>IF(OR(BA$4="",$A362&gt;TODAY()),0,IF(OR(INDEX($B362:$D362,BA$5)="F",AND(BA$6&gt;0,$A362&lt;BA$6),AND(BA$7&gt;0,$A362&gt;BA$7)),0,MAX(0,ROUND((INDEX($E362:$G362,BA$5)-SUMIFS(TF_Timer,TF_Tekniker,BA$4,TF_Dato,$A362))*2,0)/2)))</f>
        <v/>
      </c>
      <c r="BB362">
        <f>IF(OR(BB$4="",$A362&gt;TODAY()),0,IF(OR(INDEX($B362:$D362,BB$5)="F",AND(BB$6&gt;0,$A362&lt;BB$6),AND(BB$7&gt;0,$A362&gt;BB$7)),0,MAX(0,ROUND((INDEX($E362:$G362,BB$5)-SUMIFS(TF_Timer,TF_Tekniker,BB$4,TF_Dato,$A362))*2,0)/2)))</f>
        <v/>
      </c>
      <c r="BC362">
        <f>IF(OR(BC$4="",$A362&gt;TODAY()),0,IF(OR(INDEX($B362:$D362,BC$5)="F",AND(BC$6&gt;0,$A362&lt;BC$6),AND(BC$7&gt;0,$A362&gt;BC$7)),0,MAX(0,ROUND((INDEX($E362:$G362,BC$5)-SUMIFS(TF_Timer,TF_Tekniker,BC$4,TF_Dato,$A362))*2,0)/2)))</f>
        <v/>
      </c>
      <c r="BD362">
        <f>IF(OR(BD$4="",$A362&gt;TODAY()),0,IF(OR(INDEX($B362:$D362,BD$5)="F",AND(BD$6&gt;0,$A362&lt;BD$6),AND(BD$7&gt;0,$A362&gt;BD$7)),0,MAX(0,ROUND((INDEX($E362:$G362,BD$5)-SUMIFS(TF_Timer,TF_Tekniker,BD$4,TF_Dato,$A362))*2,0)/2)))</f>
        <v/>
      </c>
      <c r="BE362">
        <f>IF(OR(BE$4="",$A362&gt;TODAY()),0,IF(OR(INDEX($B362:$D362,BE$5)="F",AND(BE$6&gt;0,$A362&lt;BE$6),AND(BE$7&gt;0,$A362&gt;BE$7)),0,MAX(0,ROUND((INDEX($E362:$G362,BE$5)-SUMIFS(TF_Timer,TF_Tekniker,BE$4,TF_Dato,$A362))*2,0)/2)))</f>
        <v/>
      </c>
      <c r="BF362">
        <f>IF(OR(BF$4="",$A362&gt;TODAY()),0,IF(OR(INDEX($B362:$D362,BF$5)="F",AND(BF$6&gt;0,$A362&lt;BF$6),AND(BF$7&gt;0,$A362&gt;BF$7)),0,MAX(0,ROUND((INDEX($E362:$G362,BF$5)-SUMIFS(TF_Timer,TF_Tekniker,BF$4,TF_Dato,$A362))*2,0)/2)))</f>
        <v/>
      </c>
      <c r="BG362">
        <f>IF(OR(BG$4="",$A362&gt;TODAY()),0,IF(OR(INDEX($B362:$D362,BG$5)="F",AND(BG$6&gt;0,$A362&lt;BG$6),AND(BG$7&gt;0,$A362&gt;BG$7)),0,MAX(0,ROUND((INDEX($E362:$G362,BG$5)-SUMIFS(TF_Timer,TF_Tekniker,BG$4,TF_Dato,$A362))*2,0)/2)))</f>
        <v/>
      </c>
      <c r="BH362">
        <f>IF(OR(BH$4="",$A362&gt;TODAY()),0,IF(OR(INDEX($B362:$D362,BH$5)="F",AND(BH$6&gt;0,$A362&lt;BH$6),AND(BH$7&gt;0,$A362&gt;BH$7)),0,MAX(0,ROUND((INDEX($E362:$G362,BH$5)-SUMIFS(TF_Timer,TF_Tekniker,BH$4,TF_Dato,$A362))*2,0)/2)))</f>
        <v/>
      </c>
      <c r="BI362">
        <f>IF(OR(BI$4="",$A362&gt;TODAY()),0,IF(OR(INDEX($B362:$D362,BI$5)="F",AND(BI$6&gt;0,$A362&lt;BI$6),AND(BI$7&gt;0,$A362&gt;BI$7)),0,MAX(0,ROUND((INDEX($E362:$G362,BI$5)-SUMIFS(TF_Timer,TF_Tekniker,BI$4,TF_Dato,$A362))*2,0)/2)))</f>
        <v/>
      </c>
    </row>
    <row r="363">
      <c r="A363" s="64">
        <f>A362+1</f>
        <v/>
      </c>
      <c r="B363">
        <f>IF(MOD($A363-INDEX(SkiftStart,1),Syklus)&lt;DagK,"K",IF(MOD($A363-INDEX(SkiftStart,1),Syklus)&lt;DagK+DagH,"H",IF(MOD($A363-INDEX(SkiftStart,1),Syklus)&lt;DagK+DagH+DagD,"D","F")))</f>
        <v/>
      </c>
      <c r="C363">
        <f>IF(MOD($A363-INDEX(SkiftStart,2),Syklus)&lt;DagK,"K",IF(MOD($A363-INDEX(SkiftStart,2),Syklus)&lt;DagK+DagH,"H",IF(MOD($A363-INDEX(SkiftStart,2),Syklus)&lt;DagK+DagH+DagD,"D","F")))</f>
        <v/>
      </c>
      <c r="D363">
        <f>IF(MOD($A363-INDEX(SkiftStart,3),Syklus)&lt;DagK,"K",IF(MOD($A363-INDEX(SkiftStart,3),Syklus)&lt;DagK+DagH,"H",IF(MOD($A363-INDEX(SkiftStart,3),Syklus)&lt;DagK+DagH+DagD,"D","F")))</f>
        <v/>
      </c>
      <c r="E363">
        <f>IF(B363="F",0,IF(WEEKDAY($A363,2)=5,INDEX(TimerFr,MATCH(B363,FaseKode,0)),INDEX(TimerMT,MATCH(B363,FaseKode,0))))</f>
        <v/>
      </c>
      <c r="F363">
        <f>IF(C363="F",0,IF(WEEKDAY($A363,2)=5,INDEX(TimerFr,MATCH(C363,FaseKode,0)),INDEX(TimerMT,MATCH(C363,FaseKode,0))))</f>
        <v/>
      </c>
      <c r="G363">
        <f>IF(D363="F",0,IF(WEEKDAY($A363,2)=5,INDEX(TimerFr,MATCH(D363,FaseKode,0)),INDEX(TimerMT,MATCH(D363,FaseKode,0))))</f>
        <v/>
      </c>
      <c r="H363">
        <f>IF(OR(H$4="",$A363&gt;TODAY()),0,IF(OR(INDEX($B363:$D363,H$5)="F",AND(H$6&gt;0,$A363&lt;H$6),AND(H$7&gt;0,$A363&gt;H$7)),0,MAX(0,ROUND((INDEX($E363:$G363,H$5)-SUMIFS(TF_Timer,TF_Tekniker,H$4,TF_Dato,$A363))*2,0)/2)))</f>
        <v/>
      </c>
      <c r="I363">
        <f>IF(OR(I$4="",$A363&gt;TODAY()),0,IF(OR(INDEX($B363:$D363,I$5)="F",AND(I$6&gt;0,$A363&lt;I$6),AND(I$7&gt;0,$A363&gt;I$7)),0,MAX(0,ROUND((INDEX($E363:$G363,I$5)-SUMIFS(TF_Timer,TF_Tekniker,I$4,TF_Dato,$A363))*2,0)/2)))</f>
        <v/>
      </c>
      <c r="J363">
        <f>IF(OR(J$4="",$A363&gt;TODAY()),0,IF(OR(INDEX($B363:$D363,J$5)="F",AND(J$6&gt;0,$A363&lt;J$6),AND(J$7&gt;0,$A363&gt;J$7)),0,MAX(0,ROUND((INDEX($E363:$G363,J$5)-SUMIFS(TF_Timer,TF_Tekniker,J$4,TF_Dato,$A363))*2,0)/2)))</f>
        <v/>
      </c>
      <c r="K363">
        <f>IF(OR(K$4="",$A363&gt;TODAY()),0,IF(OR(INDEX($B363:$D363,K$5)="F",AND(K$6&gt;0,$A363&lt;K$6),AND(K$7&gt;0,$A363&gt;K$7)),0,MAX(0,ROUND((INDEX($E363:$G363,K$5)-SUMIFS(TF_Timer,TF_Tekniker,K$4,TF_Dato,$A363))*2,0)/2)))</f>
        <v/>
      </c>
      <c r="L363">
        <f>IF(OR(L$4="",$A363&gt;TODAY()),0,IF(OR(INDEX($B363:$D363,L$5)="F",AND(L$6&gt;0,$A363&lt;L$6),AND(L$7&gt;0,$A363&gt;L$7)),0,MAX(0,ROUND((INDEX($E363:$G363,L$5)-SUMIFS(TF_Timer,TF_Tekniker,L$4,TF_Dato,$A363))*2,0)/2)))</f>
        <v/>
      </c>
      <c r="M363">
        <f>IF(OR(M$4="",$A363&gt;TODAY()),0,IF(OR(INDEX($B363:$D363,M$5)="F",AND(M$6&gt;0,$A363&lt;M$6),AND(M$7&gt;0,$A363&gt;M$7)),0,MAX(0,ROUND((INDEX($E363:$G363,M$5)-SUMIFS(TF_Timer,TF_Tekniker,M$4,TF_Dato,$A363))*2,0)/2)))</f>
        <v/>
      </c>
      <c r="N363">
        <f>IF(OR(N$4="",$A363&gt;TODAY()),0,IF(OR(INDEX($B363:$D363,N$5)="F",AND(N$6&gt;0,$A363&lt;N$6),AND(N$7&gt;0,$A363&gt;N$7)),0,MAX(0,ROUND((INDEX($E363:$G363,N$5)-SUMIFS(TF_Timer,TF_Tekniker,N$4,TF_Dato,$A363))*2,0)/2)))</f>
        <v/>
      </c>
      <c r="O363">
        <f>IF(OR(O$4="",$A363&gt;TODAY()),0,IF(OR(INDEX($B363:$D363,O$5)="F",AND(O$6&gt;0,$A363&lt;O$6),AND(O$7&gt;0,$A363&gt;O$7)),0,MAX(0,ROUND((INDEX($E363:$G363,O$5)-SUMIFS(TF_Timer,TF_Tekniker,O$4,TF_Dato,$A363))*2,0)/2)))</f>
        <v/>
      </c>
      <c r="P363">
        <f>IF(OR(P$4="",$A363&gt;TODAY()),0,IF(OR(INDEX($B363:$D363,P$5)="F",AND(P$6&gt;0,$A363&lt;P$6),AND(P$7&gt;0,$A363&gt;P$7)),0,MAX(0,ROUND((INDEX($E363:$G363,P$5)-SUMIFS(TF_Timer,TF_Tekniker,P$4,TF_Dato,$A363))*2,0)/2)))</f>
        <v/>
      </c>
      <c r="Q363">
        <f>IF(OR(Q$4="",$A363&gt;TODAY()),0,IF(OR(INDEX($B363:$D363,Q$5)="F",AND(Q$6&gt;0,$A363&lt;Q$6),AND(Q$7&gt;0,$A363&gt;Q$7)),0,MAX(0,ROUND((INDEX($E363:$G363,Q$5)-SUMIFS(TF_Timer,TF_Tekniker,Q$4,TF_Dato,$A363))*2,0)/2)))</f>
        <v/>
      </c>
      <c r="R363">
        <f>IF(OR(R$4="",$A363&gt;TODAY()),0,IF(OR(INDEX($B363:$D363,R$5)="F",AND(R$6&gt;0,$A363&lt;R$6),AND(R$7&gt;0,$A363&gt;R$7)),0,MAX(0,ROUND((INDEX($E363:$G363,R$5)-SUMIFS(TF_Timer,TF_Tekniker,R$4,TF_Dato,$A363))*2,0)/2)))</f>
        <v/>
      </c>
      <c r="S363">
        <f>IF(OR(S$4="",$A363&gt;TODAY()),0,IF(OR(INDEX($B363:$D363,S$5)="F",AND(S$6&gt;0,$A363&lt;S$6),AND(S$7&gt;0,$A363&gt;S$7)),0,MAX(0,ROUND((INDEX($E363:$G363,S$5)-SUMIFS(TF_Timer,TF_Tekniker,S$4,TF_Dato,$A363))*2,0)/2)))</f>
        <v/>
      </c>
      <c r="T363">
        <f>IF(OR(T$4="",$A363&gt;TODAY()),0,IF(OR(INDEX($B363:$D363,T$5)="F",AND(T$6&gt;0,$A363&lt;T$6),AND(T$7&gt;0,$A363&gt;T$7)),0,MAX(0,ROUND((INDEX($E363:$G363,T$5)-SUMIFS(TF_Timer,TF_Tekniker,T$4,TF_Dato,$A363))*2,0)/2)))</f>
        <v/>
      </c>
      <c r="U363">
        <f>IF(OR(U$4="",$A363&gt;TODAY()),0,IF(OR(INDEX($B363:$D363,U$5)="F",AND(U$6&gt;0,$A363&lt;U$6),AND(U$7&gt;0,$A363&gt;U$7)),0,MAX(0,ROUND((INDEX($E363:$G363,U$5)-SUMIFS(TF_Timer,TF_Tekniker,U$4,TF_Dato,$A363))*2,0)/2)))</f>
        <v/>
      </c>
      <c r="V363">
        <f>IF(OR(V$4="",$A363&gt;TODAY()),0,IF(OR(INDEX($B363:$D363,V$5)="F",AND(V$6&gt;0,$A363&lt;V$6),AND(V$7&gt;0,$A363&gt;V$7)),0,MAX(0,ROUND((INDEX($E363:$G363,V$5)-SUMIFS(TF_Timer,TF_Tekniker,V$4,TF_Dato,$A363))*2,0)/2)))</f>
        <v/>
      </c>
      <c r="W363">
        <f>IF(OR(W$4="",$A363&gt;TODAY()),0,IF(OR(INDEX($B363:$D363,W$5)="F",AND(W$6&gt;0,$A363&lt;W$6),AND(W$7&gt;0,$A363&gt;W$7)),0,MAX(0,ROUND((INDEX($E363:$G363,W$5)-SUMIFS(TF_Timer,TF_Tekniker,W$4,TF_Dato,$A363))*2,0)/2)))</f>
        <v/>
      </c>
      <c r="X363">
        <f>IF(OR(X$4="",$A363&gt;TODAY()),0,IF(OR(INDEX($B363:$D363,X$5)="F",AND(X$6&gt;0,$A363&lt;X$6),AND(X$7&gt;0,$A363&gt;X$7)),0,MAX(0,ROUND((INDEX($E363:$G363,X$5)-SUMIFS(TF_Timer,TF_Tekniker,X$4,TF_Dato,$A363))*2,0)/2)))</f>
        <v/>
      </c>
      <c r="Y363">
        <f>IF(OR(Y$4="",$A363&gt;TODAY()),0,IF(OR(INDEX($B363:$D363,Y$5)="F",AND(Y$6&gt;0,$A363&lt;Y$6),AND(Y$7&gt;0,$A363&gt;Y$7)),0,MAX(0,ROUND((INDEX($E363:$G363,Y$5)-SUMIFS(TF_Timer,TF_Tekniker,Y$4,TF_Dato,$A363))*2,0)/2)))</f>
        <v/>
      </c>
      <c r="Z363">
        <f>IF(OR(Z$4="",$A363&gt;TODAY()),0,IF(OR(INDEX($B363:$D363,Z$5)="F",AND(Z$6&gt;0,$A363&lt;Z$6),AND(Z$7&gt;0,$A363&gt;Z$7)),0,MAX(0,ROUND((INDEX($E363:$G363,Z$5)-SUMIFS(TF_Timer,TF_Tekniker,Z$4,TF_Dato,$A363))*2,0)/2)))</f>
        <v/>
      </c>
      <c r="AA363">
        <f>IF(OR(AA$4="",$A363&gt;TODAY()),0,IF(OR(INDEX($B363:$D363,AA$5)="F",AND(AA$6&gt;0,$A363&lt;AA$6),AND(AA$7&gt;0,$A363&gt;AA$7)),0,MAX(0,ROUND((INDEX($E363:$G363,AA$5)-SUMIFS(TF_Timer,TF_Tekniker,AA$4,TF_Dato,$A363))*2,0)/2)))</f>
        <v/>
      </c>
      <c r="AB363">
        <f>IF(OR(AB$4="",$A363&gt;TODAY()),0,IF(OR(INDEX($B363:$D363,AB$5)="F",AND(AB$6&gt;0,$A363&lt;AB$6),AND(AB$7&gt;0,$A363&gt;AB$7)),0,MAX(0,ROUND((INDEX($E363:$G363,AB$5)-SUMIFS(TF_Timer,TF_Tekniker,AB$4,TF_Dato,$A363))*2,0)/2)))</f>
        <v/>
      </c>
      <c r="AC363">
        <f>IF(OR(AC$4="",$A363&gt;TODAY()),0,IF(OR(INDEX($B363:$D363,AC$5)="F",AND(AC$6&gt;0,$A363&lt;AC$6),AND(AC$7&gt;0,$A363&gt;AC$7)),0,MAX(0,ROUND((INDEX($E363:$G363,AC$5)-SUMIFS(TF_Timer,TF_Tekniker,AC$4,TF_Dato,$A363))*2,0)/2)))</f>
        <v/>
      </c>
      <c r="AD363">
        <f>IF(OR(AD$4="",$A363&gt;TODAY()),0,IF(OR(INDEX($B363:$D363,AD$5)="F",AND(AD$6&gt;0,$A363&lt;AD$6),AND(AD$7&gt;0,$A363&gt;AD$7)),0,MAX(0,ROUND((INDEX($E363:$G363,AD$5)-SUMIFS(TF_Timer,TF_Tekniker,AD$4,TF_Dato,$A363))*2,0)/2)))</f>
        <v/>
      </c>
      <c r="AE363">
        <f>IF(OR(AE$4="",$A363&gt;TODAY()),0,IF(OR(INDEX($B363:$D363,AE$5)="F",AND(AE$6&gt;0,$A363&lt;AE$6),AND(AE$7&gt;0,$A363&gt;AE$7)),0,MAX(0,ROUND((INDEX($E363:$G363,AE$5)-SUMIFS(TF_Timer,TF_Tekniker,AE$4,TF_Dato,$A363))*2,0)/2)))</f>
        <v/>
      </c>
      <c r="AF363">
        <f>IF(OR(AF$4="",$A363&gt;TODAY()),0,IF(OR(INDEX($B363:$D363,AF$5)="F",AND(AF$6&gt;0,$A363&lt;AF$6),AND(AF$7&gt;0,$A363&gt;AF$7)),0,MAX(0,ROUND((INDEX($E363:$G363,AF$5)-SUMIFS(TF_Timer,TF_Tekniker,AF$4,TF_Dato,$A363))*2,0)/2)))</f>
        <v/>
      </c>
      <c r="AG363">
        <f>IF(OR(AG$4="",$A363&gt;TODAY()),0,IF(OR(INDEX($B363:$D363,AG$5)="F",AND(AG$6&gt;0,$A363&lt;AG$6),AND(AG$7&gt;0,$A363&gt;AG$7)),0,MAX(0,ROUND((INDEX($E363:$G363,AG$5)-SUMIFS(TF_Timer,TF_Tekniker,AG$4,TF_Dato,$A363))*2,0)/2)))</f>
        <v/>
      </c>
      <c r="AH363">
        <f>IF(OR(AH$4="",$A363&gt;TODAY()),0,IF(OR(INDEX($B363:$D363,AH$5)="F",AND(AH$6&gt;0,$A363&lt;AH$6),AND(AH$7&gt;0,$A363&gt;AH$7)),0,MAX(0,ROUND((INDEX($E363:$G363,AH$5)-SUMIFS(TF_Timer,TF_Tekniker,AH$4,TF_Dato,$A363))*2,0)/2)))</f>
        <v/>
      </c>
      <c r="AI363">
        <f>IF(OR(AI$4="",$A363&gt;TODAY()),0,IF(OR(INDEX($B363:$D363,AI$5)="F",AND(AI$6&gt;0,$A363&lt;AI$6),AND(AI$7&gt;0,$A363&gt;AI$7)),0,MAX(0,ROUND((INDEX($E363:$G363,AI$5)-SUMIFS(TF_Timer,TF_Tekniker,AI$4,TF_Dato,$A363))*2,0)/2)))</f>
        <v/>
      </c>
      <c r="AJ363">
        <f>IF(OR(AJ$4="",$A363&gt;TODAY()),0,IF(OR(INDEX($B363:$D363,AJ$5)="F",AND(AJ$6&gt;0,$A363&lt;AJ$6),AND(AJ$7&gt;0,$A363&gt;AJ$7)),0,MAX(0,ROUND((INDEX($E363:$G363,AJ$5)-SUMIFS(TF_Timer,TF_Tekniker,AJ$4,TF_Dato,$A363))*2,0)/2)))</f>
        <v/>
      </c>
      <c r="AK363">
        <f>IF(OR(AK$4="",$A363&gt;TODAY()),0,IF(OR(INDEX($B363:$D363,AK$5)="F",AND(AK$6&gt;0,$A363&lt;AK$6),AND(AK$7&gt;0,$A363&gt;AK$7)),0,MAX(0,ROUND((INDEX($E363:$G363,AK$5)-SUMIFS(TF_Timer,TF_Tekniker,AK$4,TF_Dato,$A363))*2,0)/2)))</f>
        <v/>
      </c>
      <c r="AL363">
        <f>IF(OR(AL$4="",$A363&gt;TODAY()),0,IF(OR(INDEX($B363:$D363,AL$5)="F",AND(AL$6&gt;0,$A363&lt;AL$6),AND(AL$7&gt;0,$A363&gt;AL$7)),0,MAX(0,ROUND((INDEX($E363:$G363,AL$5)-SUMIFS(TF_Timer,TF_Tekniker,AL$4,TF_Dato,$A363))*2,0)/2)))</f>
        <v/>
      </c>
      <c r="AM363">
        <f>IF(OR(AM$4="",$A363&gt;TODAY()),0,IF(OR(INDEX($B363:$D363,AM$5)="F",AND(AM$6&gt;0,$A363&lt;AM$6),AND(AM$7&gt;0,$A363&gt;AM$7)),0,MAX(0,ROUND((INDEX($E363:$G363,AM$5)-SUMIFS(TF_Timer,TF_Tekniker,AM$4,TF_Dato,$A363))*2,0)/2)))</f>
        <v/>
      </c>
      <c r="AN363">
        <f>IF(OR(AN$4="",$A363&gt;TODAY()),0,IF(OR(INDEX($B363:$D363,AN$5)="F",AND(AN$6&gt;0,$A363&lt;AN$6),AND(AN$7&gt;0,$A363&gt;AN$7)),0,MAX(0,ROUND((INDEX($E363:$G363,AN$5)-SUMIFS(TF_Timer,TF_Tekniker,AN$4,TF_Dato,$A363))*2,0)/2)))</f>
        <v/>
      </c>
      <c r="AO363">
        <f>IF(OR(AO$4="",$A363&gt;TODAY()),0,IF(OR(INDEX($B363:$D363,AO$5)="F",AND(AO$6&gt;0,$A363&lt;AO$6),AND(AO$7&gt;0,$A363&gt;AO$7)),0,MAX(0,ROUND((INDEX($E363:$G363,AO$5)-SUMIFS(TF_Timer,TF_Tekniker,AO$4,TF_Dato,$A363))*2,0)/2)))</f>
        <v/>
      </c>
      <c r="AP363">
        <f>IF(OR(AP$4="",$A363&gt;TODAY()),0,IF(OR(INDEX($B363:$D363,AP$5)="F",AND(AP$6&gt;0,$A363&lt;AP$6),AND(AP$7&gt;0,$A363&gt;AP$7)),0,MAX(0,ROUND((INDEX($E363:$G363,AP$5)-SUMIFS(TF_Timer,TF_Tekniker,AP$4,TF_Dato,$A363))*2,0)/2)))</f>
        <v/>
      </c>
      <c r="AQ363">
        <f>IF(OR(AQ$4="",$A363&gt;TODAY()),0,IF(OR(INDEX($B363:$D363,AQ$5)="F",AND(AQ$6&gt;0,$A363&lt;AQ$6),AND(AQ$7&gt;0,$A363&gt;AQ$7)),0,MAX(0,ROUND((INDEX($E363:$G363,AQ$5)-SUMIFS(TF_Timer,TF_Tekniker,AQ$4,TF_Dato,$A363))*2,0)/2)))</f>
        <v/>
      </c>
      <c r="AR363">
        <f>IF(OR(AR$4="",$A363&gt;TODAY()),0,IF(OR(INDEX($B363:$D363,AR$5)="F",AND(AR$6&gt;0,$A363&lt;AR$6),AND(AR$7&gt;0,$A363&gt;AR$7)),0,MAX(0,ROUND((INDEX($E363:$G363,AR$5)-SUMIFS(TF_Timer,TF_Tekniker,AR$4,TF_Dato,$A363))*2,0)/2)))</f>
        <v/>
      </c>
      <c r="AS363">
        <f>IF(OR(AS$4="",$A363&gt;TODAY()),0,IF(OR(INDEX($B363:$D363,AS$5)="F",AND(AS$6&gt;0,$A363&lt;AS$6),AND(AS$7&gt;0,$A363&gt;AS$7)),0,MAX(0,ROUND((INDEX($E363:$G363,AS$5)-SUMIFS(TF_Timer,TF_Tekniker,AS$4,TF_Dato,$A363))*2,0)/2)))</f>
        <v/>
      </c>
      <c r="AT363">
        <f>IF(OR(AT$4="",$A363&gt;TODAY()),0,IF(OR(INDEX($B363:$D363,AT$5)="F",AND(AT$6&gt;0,$A363&lt;AT$6),AND(AT$7&gt;0,$A363&gt;AT$7)),0,MAX(0,ROUND((INDEX($E363:$G363,AT$5)-SUMIFS(TF_Timer,TF_Tekniker,AT$4,TF_Dato,$A363))*2,0)/2)))</f>
        <v/>
      </c>
      <c r="AU363">
        <f>IF(OR(AU$4="",$A363&gt;TODAY()),0,IF(OR(INDEX($B363:$D363,AU$5)="F",AND(AU$6&gt;0,$A363&lt;AU$6),AND(AU$7&gt;0,$A363&gt;AU$7)),0,MAX(0,ROUND((INDEX($E363:$G363,AU$5)-SUMIFS(TF_Timer,TF_Tekniker,AU$4,TF_Dato,$A363))*2,0)/2)))</f>
        <v/>
      </c>
      <c r="AV363">
        <f>IF(OR(AV$4="",$A363&gt;TODAY()),0,IF(OR(INDEX($B363:$D363,AV$5)="F",AND(AV$6&gt;0,$A363&lt;AV$6),AND(AV$7&gt;0,$A363&gt;AV$7)),0,MAX(0,ROUND((INDEX($E363:$G363,AV$5)-SUMIFS(TF_Timer,TF_Tekniker,AV$4,TF_Dato,$A363))*2,0)/2)))</f>
        <v/>
      </c>
      <c r="AW363">
        <f>IF(OR(AW$4="",$A363&gt;TODAY()),0,IF(OR(INDEX($B363:$D363,AW$5)="F",AND(AW$6&gt;0,$A363&lt;AW$6),AND(AW$7&gt;0,$A363&gt;AW$7)),0,MAX(0,ROUND((INDEX($E363:$G363,AW$5)-SUMIFS(TF_Timer,TF_Tekniker,AW$4,TF_Dato,$A363))*2,0)/2)))</f>
        <v/>
      </c>
      <c r="AX363">
        <f>IF(OR(AX$4="",$A363&gt;TODAY()),0,IF(OR(INDEX($B363:$D363,AX$5)="F",AND(AX$6&gt;0,$A363&lt;AX$6),AND(AX$7&gt;0,$A363&gt;AX$7)),0,MAX(0,ROUND((INDEX($E363:$G363,AX$5)-SUMIFS(TF_Timer,TF_Tekniker,AX$4,TF_Dato,$A363))*2,0)/2)))</f>
        <v/>
      </c>
      <c r="AY363">
        <f>IF(OR(AY$4="",$A363&gt;TODAY()),0,IF(OR(INDEX($B363:$D363,AY$5)="F",AND(AY$6&gt;0,$A363&lt;AY$6),AND(AY$7&gt;0,$A363&gt;AY$7)),0,MAX(0,ROUND((INDEX($E363:$G363,AY$5)-SUMIFS(TF_Timer,TF_Tekniker,AY$4,TF_Dato,$A363))*2,0)/2)))</f>
        <v/>
      </c>
      <c r="AZ363">
        <f>IF(OR(AZ$4="",$A363&gt;TODAY()),0,IF(OR(INDEX($B363:$D363,AZ$5)="F",AND(AZ$6&gt;0,$A363&lt;AZ$6),AND(AZ$7&gt;0,$A363&gt;AZ$7)),0,MAX(0,ROUND((INDEX($E363:$G363,AZ$5)-SUMIFS(TF_Timer,TF_Tekniker,AZ$4,TF_Dato,$A363))*2,0)/2)))</f>
        <v/>
      </c>
      <c r="BA363">
        <f>IF(OR(BA$4="",$A363&gt;TODAY()),0,IF(OR(INDEX($B363:$D363,BA$5)="F",AND(BA$6&gt;0,$A363&lt;BA$6),AND(BA$7&gt;0,$A363&gt;BA$7)),0,MAX(0,ROUND((INDEX($E363:$G363,BA$5)-SUMIFS(TF_Timer,TF_Tekniker,BA$4,TF_Dato,$A363))*2,0)/2)))</f>
        <v/>
      </c>
      <c r="BB363">
        <f>IF(OR(BB$4="",$A363&gt;TODAY()),0,IF(OR(INDEX($B363:$D363,BB$5)="F",AND(BB$6&gt;0,$A363&lt;BB$6),AND(BB$7&gt;0,$A363&gt;BB$7)),0,MAX(0,ROUND((INDEX($E363:$G363,BB$5)-SUMIFS(TF_Timer,TF_Tekniker,BB$4,TF_Dato,$A363))*2,0)/2)))</f>
        <v/>
      </c>
      <c r="BC363">
        <f>IF(OR(BC$4="",$A363&gt;TODAY()),0,IF(OR(INDEX($B363:$D363,BC$5)="F",AND(BC$6&gt;0,$A363&lt;BC$6),AND(BC$7&gt;0,$A363&gt;BC$7)),0,MAX(0,ROUND((INDEX($E363:$G363,BC$5)-SUMIFS(TF_Timer,TF_Tekniker,BC$4,TF_Dato,$A363))*2,0)/2)))</f>
        <v/>
      </c>
      <c r="BD363">
        <f>IF(OR(BD$4="",$A363&gt;TODAY()),0,IF(OR(INDEX($B363:$D363,BD$5)="F",AND(BD$6&gt;0,$A363&lt;BD$6),AND(BD$7&gt;0,$A363&gt;BD$7)),0,MAX(0,ROUND((INDEX($E363:$G363,BD$5)-SUMIFS(TF_Timer,TF_Tekniker,BD$4,TF_Dato,$A363))*2,0)/2)))</f>
        <v/>
      </c>
      <c r="BE363">
        <f>IF(OR(BE$4="",$A363&gt;TODAY()),0,IF(OR(INDEX($B363:$D363,BE$5)="F",AND(BE$6&gt;0,$A363&lt;BE$6),AND(BE$7&gt;0,$A363&gt;BE$7)),0,MAX(0,ROUND((INDEX($E363:$G363,BE$5)-SUMIFS(TF_Timer,TF_Tekniker,BE$4,TF_Dato,$A363))*2,0)/2)))</f>
        <v/>
      </c>
      <c r="BF363">
        <f>IF(OR(BF$4="",$A363&gt;TODAY()),0,IF(OR(INDEX($B363:$D363,BF$5)="F",AND(BF$6&gt;0,$A363&lt;BF$6),AND(BF$7&gt;0,$A363&gt;BF$7)),0,MAX(0,ROUND((INDEX($E363:$G363,BF$5)-SUMIFS(TF_Timer,TF_Tekniker,BF$4,TF_Dato,$A363))*2,0)/2)))</f>
        <v/>
      </c>
      <c r="BG363">
        <f>IF(OR(BG$4="",$A363&gt;TODAY()),0,IF(OR(INDEX($B363:$D363,BG$5)="F",AND(BG$6&gt;0,$A363&lt;BG$6),AND(BG$7&gt;0,$A363&gt;BG$7)),0,MAX(0,ROUND((INDEX($E363:$G363,BG$5)-SUMIFS(TF_Timer,TF_Tekniker,BG$4,TF_Dato,$A363))*2,0)/2)))</f>
        <v/>
      </c>
      <c r="BH363">
        <f>IF(OR(BH$4="",$A363&gt;TODAY()),0,IF(OR(INDEX($B363:$D363,BH$5)="F",AND(BH$6&gt;0,$A363&lt;BH$6),AND(BH$7&gt;0,$A363&gt;BH$7)),0,MAX(0,ROUND((INDEX($E363:$G363,BH$5)-SUMIFS(TF_Timer,TF_Tekniker,BH$4,TF_Dato,$A363))*2,0)/2)))</f>
        <v/>
      </c>
      <c r="BI363">
        <f>IF(OR(BI$4="",$A363&gt;TODAY()),0,IF(OR(INDEX($B363:$D363,BI$5)="F",AND(BI$6&gt;0,$A363&lt;BI$6),AND(BI$7&gt;0,$A363&gt;BI$7)),0,MAX(0,ROUND((INDEX($E363:$G363,BI$5)-SUMIFS(TF_Timer,TF_Tekniker,BI$4,TF_Dato,$A363))*2,0)/2)))</f>
        <v/>
      </c>
    </row>
    <row r="364">
      <c r="A364" s="64">
        <f>A363+1</f>
        <v/>
      </c>
      <c r="B364">
        <f>IF(MOD($A364-INDEX(SkiftStart,1),Syklus)&lt;DagK,"K",IF(MOD($A364-INDEX(SkiftStart,1),Syklus)&lt;DagK+DagH,"H",IF(MOD($A364-INDEX(SkiftStart,1),Syklus)&lt;DagK+DagH+DagD,"D","F")))</f>
        <v/>
      </c>
      <c r="C364">
        <f>IF(MOD($A364-INDEX(SkiftStart,2),Syklus)&lt;DagK,"K",IF(MOD($A364-INDEX(SkiftStart,2),Syklus)&lt;DagK+DagH,"H",IF(MOD($A364-INDEX(SkiftStart,2),Syklus)&lt;DagK+DagH+DagD,"D","F")))</f>
        <v/>
      </c>
      <c r="D364">
        <f>IF(MOD($A364-INDEX(SkiftStart,3),Syklus)&lt;DagK,"K",IF(MOD($A364-INDEX(SkiftStart,3),Syklus)&lt;DagK+DagH,"H",IF(MOD($A364-INDEX(SkiftStart,3),Syklus)&lt;DagK+DagH+DagD,"D","F")))</f>
        <v/>
      </c>
      <c r="E364">
        <f>IF(B364="F",0,IF(WEEKDAY($A364,2)=5,INDEX(TimerFr,MATCH(B364,FaseKode,0)),INDEX(TimerMT,MATCH(B364,FaseKode,0))))</f>
        <v/>
      </c>
      <c r="F364">
        <f>IF(C364="F",0,IF(WEEKDAY($A364,2)=5,INDEX(TimerFr,MATCH(C364,FaseKode,0)),INDEX(TimerMT,MATCH(C364,FaseKode,0))))</f>
        <v/>
      </c>
      <c r="G364">
        <f>IF(D364="F",0,IF(WEEKDAY($A364,2)=5,INDEX(TimerFr,MATCH(D364,FaseKode,0)),INDEX(TimerMT,MATCH(D364,FaseKode,0))))</f>
        <v/>
      </c>
      <c r="H364">
        <f>IF(OR(H$4="",$A364&gt;TODAY()),0,IF(OR(INDEX($B364:$D364,H$5)="F",AND(H$6&gt;0,$A364&lt;H$6),AND(H$7&gt;0,$A364&gt;H$7)),0,MAX(0,ROUND((INDEX($E364:$G364,H$5)-SUMIFS(TF_Timer,TF_Tekniker,H$4,TF_Dato,$A364))*2,0)/2)))</f>
        <v/>
      </c>
      <c r="I364">
        <f>IF(OR(I$4="",$A364&gt;TODAY()),0,IF(OR(INDEX($B364:$D364,I$5)="F",AND(I$6&gt;0,$A364&lt;I$6),AND(I$7&gt;0,$A364&gt;I$7)),0,MAX(0,ROUND((INDEX($E364:$G364,I$5)-SUMIFS(TF_Timer,TF_Tekniker,I$4,TF_Dato,$A364))*2,0)/2)))</f>
        <v/>
      </c>
      <c r="J364">
        <f>IF(OR(J$4="",$A364&gt;TODAY()),0,IF(OR(INDEX($B364:$D364,J$5)="F",AND(J$6&gt;0,$A364&lt;J$6),AND(J$7&gt;0,$A364&gt;J$7)),0,MAX(0,ROUND((INDEX($E364:$G364,J$5)-SUMIFS(TF_Timer,TF_Tekniker,J$4,TF_Dato,$A364))*2,0)/2)))</f>
        <v/>
      </c>
      <c r="K364">
        <f>IF(OR(K$4="",$A364&gt;TODAY()),0,IF(OR(INDEX($B364:$D364,K$5)="F",AND(K$6&gt;0,$A364&lt;K$6),AND(K$7&gt;0,$A364&gt;K$7)),0,MAX(0,ROUND((INDEX($E364:$G364,K$5)-SUMIFS(TF_Timer,TF_Tekniker,K$4,TF_Dato,$A364))*2,0)/2)))</f>
        <v/>
      </c>
      <c r="L364">
        <f>IF(OR(L$4="",$A364&gt;TODAY()),0,IF(OR(INDEX($B364:$D364,L$5)="F",AND(L$6&gt;0,$A364&lt;L$6),AND(L$7&gt;0,$A364&gt;L$7)),0,MAX(0,ROUND((INDEX($E364:$G364,L$5)-SUMIFS(TF_Timer,TF_Tekniker,L$4,TF_Dato,$A364))*2,0)/2)))</f>
        <v/>
      </c>
      <c r="M364">
        <f>IF(OR(M$4="",$A364&gt;TODAY()),0,IF(OR(INDEX($B364:$D364,M$5)="F",AND(M$6&gt;0,$A364&lt;M$6),AND(M$7&gt;0,$A364&gt;M$7)),0,MAX(0,ROUND((INDEX($E364:$G364,M$5)-SUMIFS(TF_Timer,TF_Tekniker,M$4,TF_Dato,$A364))*2,0)/2)))</f>
        <v/>
      </c>
      <c r="N364">
        <f>IF(OR(N$4="",$A364&gt;TODAY()),0,IF(OR(INDEX($B364:$D364,N$5)="F",AND(N$6&gt;0,$A364&lt;N$6),AND(N$7&gt;0,$A364&gt;N$7)),0,MAX(0,ROUND((INDEX($E364:$G364,N$5)-SUMIFS(TF_Timer,TF_Tekniker,N$4,TF_Dato,$A364))*2,0)/2)))</f>
        <v/>
      </c>
      <c r="O364">
        <f>IF(OR(O$4="",$A364&gt;TODAY()),0,IF(OR(INDEX($B364:$D364,O$5)="F",AND(O$6&gt;0,$A364&lt;O$6),AND(O$7&gt;0,$A364&gt;O$7)),0,MAX(0,ROUND((INDEX($E364:$G364,O$5)-SUMIFS(TF_Timer,TF_Tekniker,O$4,TF_Dato,$A364))*2,0)/2)))</f>
        <v/>
      </c>
      <c r="P364">
        <f>IF(OR(P$4="",$A364&gt;TODAY()),0,IF(OR(INDEX($B364:$D364,P$5)="F",AND(P$6&gt;0,$A364&lt;P$6),AND(P$7&gt;0,$A364&gt;P$7)),0,MAX(0,ROUND((INDEX($E364:$G364,P$5)-SUMIFS(TF_Timer,TF_Tekniker,P$4,TF_Dato,$A364))*2,0)/2)))</f>
        <v/>
      </c>
      <c r="Q364">
        <f>IF(OR(Q$4="",$A364&gt;TODAY()),0,IF(OR(INDEX($B364:$D364,Q$5)="F",AND(Q$6&gt;0,$A364&lt;Q$6),AND(Q$7&gt;0,$A364&gt;Q$7)),0,MAX(0,ROUND((INDEX($E364:$G364,Q$5)-SUMIFS(TF_Timer,TF_Tekniker,Q$4,TF_Dato,$A364))*2,0)/2)))</f>
        <v/>
      </c>
      <c r="R364">
        <f>IF(OR(R$4="",$A364&gt;TODAY()),0,IF(OR(INDEX($B364:$D364,R$5)="F",AND(R$6&gt;0,$A364&lt;R$6),AND(R$7&gt;0,$A364&gt;R$7)),0,MAX(0,ROUND((INDEX($E364:$G364,R$5)-SUMIFS(TF_Timer,TF_Tekniker,R$4,TF_Dato,$A364))*2,0)/2)))</f>
        <v/>
      </c>
      <c r="S364">
        <f>IF(OR(S$4="",$A364&gt;TODAY()),0,IF(OR(INDEX($B364:$D364,S$5)="F",AND(S$6&gt;0,$A364&lt;S$6),AND(S$7&gt;0,$A364&gt;S$7)),0,MAX(0,ROUND((INDEX($E364:$G364,S$5)-SUMIFS(TF_Timer,TF_Tekniker,S$4,TF_Dato,$A364))*2,0)/2)))</f>
        <v/>
      </c>
      <c r="T364">
        <f>IF(OR(T$4="",$A364&gt;TODAY()),0,IF(OR(INDEX($B364:$D364,T$5)="F",AND(T$6&gt;0,$A364&lt;T$6),AND(T$7&gt;0,$A364&gt;T$7)),0,MAX(0,ROUND((INDEX($E364:$G364,T$5)-SUMIFS(TF_Timer,TF_Tekniker,T$4,TF_Dato,$A364))*2,0)/2)))</f>
        <v/>
      </c>
      <c r="U364">
        <f>IF(OR(U$4="",$A364&gt;TODAY()),0,IF(OR(INDEX($B364:$D364,U$5)="F",AND(U$6&gt;0,$A364&lt;U$6),AND(U$7&gt;0,$A364&gt;U$7)),0,MAX(0,ROUND((INDEX($E364:$G364,U$5)-SUMIFS(TF_Timer,TF_Tekniker,U$4,TF_Dato,$A364))*2,0)/2)))</f>
        <v/>
      </c>
      <c r="V364">
        <f>IF(OR(V$4="",$A364&gt;TODAY()),0,IF(OR(INDEX($B364:$D364,V$5)="F",AND(V$6&gt;0,$A364&lt;V$6),AND(V$7&gt;0,$A364&gt;V$7)),0,MAX(0,ROUND((INDEX($E364:$G364,V$5)-SUMIFS(TF_Timer,TF_Tekniker,V$4,TF_Dato,$A364))*2,0)/2)))</f>
        <v/>
      </c>
      <c r="W364">
        <f>IF(OR(W$4="",$A364&gt;TODAY()),0,IF(OR(INDEX($B364:$D364,W$5)="F",AND(W$6&gt;0,$A364&lt;W$6),AND(W$7&gt;0,$A364&gt;W$7)),0,MAX(0,ROUND((INDEX($E364:$G364,W$5)-SUMIFS(TF_Timer,TF_Tekniker,W$4,TF_Dato,$A364))*2,0)/2)))</f>
        <v/>
      </c>
      <c r="X364">
        <f>IF(OR(X$4="",$A364&gt;TODAY()),0,IF(OR(INDEX($B364:$D364,X$5)="F",AND(X$6&gt;0,$A364&lt;X$6),AND(X$7&gt;0,$A364&gt;X$7)),0,MAX(0,ROUND((INDEX($E364:$G364,X$5)-SUMIFS(TF_Timer,TF_Tekniker,X$4,TF_Dato,$A364))*2,0)/2)))</f>
        <v/>
      </c>
      <c r="Y364">
        <f>IF(OR(Y$4="",$A364&gt;TODAY()),0,IF(OR(INDEX($B364:$D364,Y$5)="F",AND(Y$6&gt;0,$A364&lt;Y$6),AND(Y$7&gt;0,$A364&gt;Y$7)),0,MAX(0,ROUND((INDEX($E364:$G364,Y$5)-SUMIFS(TF_Timer,TF_Tekniker,Y$4,TF_Dato,$A364))*2,0)/2)))</f>
        <v/>
      </c>
      <c r="Z364">
        <f>IF(OR(Z$4="",$A364&gt;TODAY()),0,IF(OR(INDEX($B364:$D364,Z$5)="F",AND(Z$6&gt;0,$A364&lt;Z$6),AND(Z$7&gt;0,$A364&gt;Z$7)),0,MAX(0,ROUND((INDEX($E364:$G364,Z$5)-SUMIFS(TF_Timer,TF_Tekniker,Z$4,TF_Dato,$A364))*2,0)/2)))</f>
        <v/>
      </c>
      <c r="AA364">
        <f>IF(OR(AA$4="",$A364&gt;TODAY()),0,IF(OR(INDEX($B364:$D364,AA$5)="F",AND(AA$6&gt;0,$A364&lt;AA$6),AND(AA$7&gt;0,$A364&gt;AA$7)),0,MAX(0,ROUND((INDEX($E364:$G364,AA$5)-SUMIFS(TF_Timer,TF_Tekniker,AA$4,TF_Dato,$A364))*2,0)/2)))</f>
        <v/>
      </c>
      <c r="AB364">
        <f>IF(OR(AB$4="",$A364&gt;TODAY()),0,IF(OR(INDEX($B364:$D364,AB$5)="F",AND(AB$6&gt;0,$A364&lt;AB$6),AND(AB$7&gt;0,$A364&gt;AB$7)),0,MAX(0,ROUND((INDEX($E364:$G364,AB$5)-SUMIFS(TF_Timer,TF_Tekniker,AB$4,TF_Dato,$A364))*2,0)/2)))</f>
        <v/>
      </c>
      <c r="AC364">
        <f>IF(OR(AC$4="",$A364&gt;TODAY()),0,IF(OR(INDEX($B364:$D364,AC$5)="F",AND(AC$6&gt;0,$A364&lt;AC$6),AND(AC$7&gt;0,$A364&gt;AC$7)),0,MAX(0,ROUND((INDEX($E364:$G364,AC$5)-SUMIFS(TF_Timer,TF_Tekniker,AC$4,TF_Dato,$A364))*2,0)/2)))</f>
        <v/>
      </c>
      <c r="AD364">
        <f>IF(OR(AD$4="",$A364&gt;TODAY()),0,IF(OR(INDEX($B364:$D364,AD$5)="F",AND(AD$6&gt;0,$A364&lt;AD$6),AND(AD$7&gt;0,$A364&gt;AD$7)),0,MAX(0,ROUND((INDEX($E364:$G364,AD$5)-SUMIFS(TF_Timer,TF_Tekniker,AD$4,TF_Dato,$A364))*2,0)/2)))</f>
        <v/>
      </c>
      <c r="AE364">
        <f>IF(OR(AE$4="",$A364&gt;TODAY()),0,IF(OR(INDEX($B364:$D364,AE$5)="F",AND(AE$6&gt;0,$A364&lt;AE$6),AND(AE$7&gt;0,$A364&gt;AE$7)),0,MAX(0,ROUND((INDEX($E364:$G364,AE$5)-SUMIFS(TF_Timer,TF_Tekniker,AE$4,TF_Dato,$A364))*2,0)/2)))</f>
        <v/>
      </c>
      <c r="AF364">
        <f>IF(OR(AF$4="",$A364&gt;TODAY()),0,IF(OR(INDEX($B364:$D364,AF$5)="F",AND(AF$6&gt;0,$A364&lt;AF$6),AND(AF$7&gt;0,$A364&gt;AF$7)),0,MAX(0,ROUND((INDEX($E364:$G364,AF$5)-SUMIFS(TF_Timer,TF_Tekniker,AF$4,TF_Dato,$A364))*2,0)/2)))</f>
        <v/>
      </c>
      <c r="AG364">
        <f>IF(OR(AG$4="",$A364&gt;TODAY()),0,IF(OR(INDEX($B364:$D364,AG$5)="F",AND(AG$6&gt;0,$A364&lt;AG$6),AND(AG$7&gt;0,$A364&gt;AG$7)),0,MAX(0,ROUND((INDEX($E364:$G364,AG$5)-SUMIFS(TF_Timer,TF_Tekniker,AG$4,TF_Dato,$A364))*2,0)/2)))</f>
        <v/>
      </c>
      <c r="AH364">
        <f>IF(OR(AH$4="",$A364&gt;TODAY()),0,IF(OR(INDEX($B364:$D364,AH$5)="F",AND(AH$6&gt;0,$A364&lt;AH$6),AND(AH$7&gt;0,$A364&gt;AH$7)),0,MAX(0,ROUND((INDEX($E364:$G364,AH$5)-SUMIFS(TF_Timer,TF_Tekniker,AH$4,TF_Dato,$A364))*2,0)/2)))</f>
        <v/>
      </c>
      <c r="AI364">
        <f>IF(OR(AI$4="",$A364&gt;TODAY()),0,IF(OR(INDEX($B364:$D364,AI$5)="F",AND(AI$6&gt;0,$A364&lt;AI$6),AND(AI$7&gt;0,$A364&gt;AI$7)),0,MAX(0,ROUND((INDEX($E364:$G364,AI$5)-SUMIFS(TF_Timer,TF_Tekniker,AI$4,TF_Dato,$A364))*2,0)/2)))</f>
        <v/>
      </c>
      <c r="AJ364">
        <f>IF(OR(AJ$4="",$A364&gt;TODAY()),0,IF(OR(INDEX($B364:$D364,AJ$5)="F",AND(AJ$6&gt;0,$A364&lt;AJ$6),AND(AJ$7&gt;0,$A364&gt;AJ$7)),0,MAX(0,ROUND((INDEX($E364:$G364,AJ$5)-SUMIFS(TF_Timer,TF_Tekniker,AJ$4,TF_Dato,$A364))*2,0)/2)))</f>
        <v/>
      </c>
      <c r="AK364">
        <f>IF(OR(AK$4="",$A364&gt;TODAY()),0,IF(OR(INDEX($B364:$D364,AK$5)="F",AND(AK$6&gt;0,$A364&lt;AK$6),AND(AK$7&gt;0,$A364&gt;AK$7)),0,MAX(0,ROUND((INDEX($E364:$G364,AK$5)-SUMIFS(TF_Timer,TF_Tekniker,AK$4,TF_Dato,$A364))*2,0)/2)))</f>
        <v/>
      </c>
      <c r="AL364">
        <f>IF(OR(AL$4="",$A364&gt;TODAY()),0,IF(OR(INDEX($B364:$D364,AL$5)="F",AND(AL$6&gt;0,$A364&lt;AL$6),AND(AL$7&gt;0,$A364&gt;AL$7)),0,MAX(0,ROUND((INDEX($E364:$G364,AL$5)-SUMIFS(TF_Timer,TF_Tekniker,AL$4,TF_Dato,$A364))*2,0)/2)))</f>
        <v/>
      </c>
      <c r="AM364">
        <f>IF(OR(AM$4="",$A364&gt;TODAY()),0,IF(OR(INDEX($B364:$D364,AM$5)="F",AND(AM$6&gt;0,$A364&lt;AM$6),AND(AM$7&gt;0,$A364&gt;AM$7)),0,MAX(0,ROUND((INDEX($E364:$G364,AM$5)-SUMIFS(TF_Timer,TF_Tekniker,AM$4,TF_Dato,$A364))*2,0)/2)))</f>
        <v/>
      </c>
      <c r="AN364">
        <f>IF(OR(AN$4="",$A364&gt;TODAY()),0,IF(OR(INDEX($B364:$D364,AN$5)="F",AND(AN$6&gt;0,$A364&lt;AN$6),AND(AN$7&gt;0,$A364&gt;AN$7)),0,MAX(0,ROUND((INDEX($E364:$G364,AN$5)-SUMIFS(TF_Timer,TF_Tekniker,AN$4,TF_Dato,$A364))*2,0)/2)))</f>
        <v/>
      </c>
      <c r="AO364">
        <f>IF(OR(AO$4="",$A364&gt;TODAY()),0,IF(OR(INDEX($B364:$D364,AO$5)="F",AND(AO$6&gt;0,$A364&lt;AO$6),AND(AO$7&gt;0,$A364&gt;AO$7)),0,MAX(0,ROUND((INDEX($E364:$G364,AO$5)-SUMIFS(TF_Timer,TF_Tekniker,AO$4,TF_Dato,$A364))*2,0)/2)))</f>
        <v/>
      </c>
      <c r="AP364">
        <f>IF(OR(AP$4="",$A364&gt;TODAY()),0,IF(OR(INDEX($B364:$D364,AP$5)="F",AND(AP$6&gt;0,$A364&lt;AP$6),AND(AP$7&gt;0,$A364&gt;AP$7)),0,MAX(0,ROUND((INDEX($E364:$G364,AP$5)-SUMIFS(TF_Timer,TF_Tekniker,AP$4,TF_Dato,$A364))*2,0)/2)))</f>
        <v/>
      </c>
      <c r="AQ364">
        <f>IF(OR(AQ$4="",$A364&gt;TODAY()),0,IF(OR(INDEX($B364:$D364,AQ$5)="F",AND(AQ$6&gt;0,$A364&lt;AQ$6),AND(AQ$7&gt;0,$A364&gt;AQ$7)),0,MAX(0,ROUND((INDEX($E364:$G364,AQ$5)-SUMIFS(TF_Timer,TF_Tekniker,AQ$4,TF_Dato,$A364))*2,0)/2)))</f>
        <v/>
      </c>
      <c r="AR364">
        <f>IF(OR(AR$4="",$A364&gt;TODAY()),0,IF(OR(INDEX($B364:$D364,AR$5)="F",AND(AR$6&gt;0,$A364&lt;AR$6),AND(AR$7&gt;0,$A364&gt;AR$7)),0,MAX(0,ROUND((INDEX($E364:$G364,AR$5)-SUMIFS(TF_Timer,TF_Tekniker,AR$4,TF_Dato,$A364))*2,0)/2)))</f>
        <v/>
      </c>
      <c r="AS364">
        <f>IF(OR(AS$4="",$A364&gt;TODAY()),0,IF(OR(INDEX($B364:$D364,AS$5)="F",AND(AS$6&gt;0,$A364&lt;AS$6),AND(AS$7&gt;0,$A364&gt;AS$7)),0,MAX(0,ROUND((INDEX($E364:$G364,AS$5)-SUMIFS(TF_Timer,TF_Tekniker,AS$4,TF_Dato,$A364))*2,0)/2)))</f>
        <v/>
      </c>
      <c r="AT364">
        <f>IF(OR(AT$4="",$A364&gt;TODAY()),0,IF(OR(INDEX($B364:$D364,AT$5)="F",AND(AT$6&gt;0,$A364&lt;AT$6),AND(AT$7&gt;0,$A364&gt;AT$7)),0,MAX(0,ROUND((INDEX($E364:$G364,AT$5)-SUMIFS(TF_Timer,TF_Tekniker,AT$4,TF_Dato,$A364))*2,0)/2)))</f>
        <v/>
      </c>
      <c r="AU364">
        <f>IF(OR(AU$4="",$A364&gt;TODAY()),0,IF(OR(INDEX($B364:$D364,AU$5)="F",AND(AU$6&gt;0,$A364&lt;AU$6),AND(AU$7&gt;0,$A364&gt;AU$7)),0,MAX(0,ROUND((INDEX($E364:$G364,AU$5)-SUMIFS(TF_Timer,TF_Tekniker,AU$4,TF_Dato,$A364))*2,0)/2)))</f>
        <v/>
      </c>
      <c r="AV364">
        <f>IF(OR(AV$4="",$A364&gt;TODAY()),0,IF(OR(INDEX($B364:$D364,AV$5)="F",AND(AV$6&gt;0,$A364&lt;AV$6),AND(AV$7&gt;0,$A364&gt;AV$7)),0,MAX(0,ROUND((INDEX($E364:$G364,AV$5)-SUMIFS(TF_Timer,TF_Tekniker,AV$4,TF_Dato,$A364))*2,0)/2)))</f>
        <v/>
      </c>
      <c r="AW364">
        <f>IF(OR(AW$4="",$A364&gt;TODAY()),0,IF(OR(INDEX($B364:$D364,AW$5)="F",AND(AW$6&gt;0,$A364&lt;AW$6),AND(AW$7&gt;0,$A364&gt;AW$7)),0,MAX(0,ROUND((INDEX($E364:$G364,AW$5)-SUMIFS(TF_Timer,TF_Tekniker,AW$4,TF_Dato,$A364))*2,0)/2)))</f>
        <v/>
      </c>
      <c r="AX364">
        <f>IF(OR(AX$4="",$A364&gt;TODAY()),0,IF(OR(INDEX($B364:$D364,AX$5)="F",AND(AX$6&gt;0,$A364&lt;AX$6),AND(AX$7&gt;0,$A364&gt;AX$7)),0,MAX(0,ROUND((INDEX($E364:$G364,AX$5)-SUMIFS(TF_Timer,TF_Tekniker,AX$4,TF_Dato,$A364))*2,0)/2)))</f>
        <v/>
      </c>
      <c r="AY364">
        <f>IF(OR(AY$4="",$A364&gt;TODAY()),0,IF(OR(INDEX($B364:$D364,AY$5)="F",AND(AY$6&gt;0,$A364&lt;AY$6),AND(AY$7&gt;0,$A364&gt;AY$7)),0,MAX(0,ROUND((INDEX($E364:$G364,AY$5)-SUMIFS(TF_Timer,TF_Tekniker,AY$4,TF_Dato,$A364))*2,0)/2)))</f>
        <v/>
      </c>
      <c r="AZ364">
        <f>IF(OR(AZ$4="",$A364&gt;TODAY()),0,IF(OR(INDEX($B364:$D364,AZ$5)="F",AND(AZ$6&gt;0,$A364&lt;AZ$6),AND(AZ$7&gt;0,$A364&gt;AZ$7)),0,MAX(0,ROUND((INDEX($E364:$G364,AZ$5)-SUMIFS(TF_Timer,TF_Tekniker,AZ$4,TF_Dato,$A364))*2,0)/2)))</f>
        <v/>
      </c>
      <c r="BA364">
        <f>IF(OR(BA$4="",$A364&gt;TODAY()),0,IF(OR(INDEX($B364:$D364,BA$5)="F",AND(BA$6&gt;0,$A364&lt;BA$6),AND(BA$7&gt;0,$A364&gt;BA$7)),0,MAX(0,ROUND((INDEX($E364:$G364,BA$5)-SUMIFS(TF_Timer,TF_Tekniker,BA$4,TF_Dato,$A364))*2,0)/2)))</f>
        <v/>
      </c>
      <c r="BB364">
        <f>IF(OR(BB$4="",$A364&gt;TODAY()),0,IF(OR(INDEX($B364:$D364,BB$5)="F",AND(BB$6&gt;0,$A364&lt;BB$6),AND(BB$7&gt;0,$A364&gt;BB$7)),0,MAX(0,ROUND((INDEX($E364:$G364,BB$5)-SUMIFS(TF_Timer,TF_Tekniker,BB$4,TF_Dato,$A364))*2,0)/2)))</f>
        <v/>
      </c>
      <c r="BC364">
        <f>IF(OR(BC$4="",$A364&gt;TODAY()),0,IF(OR(INDEX($B364:$D364,BC$5)="F",AND(BC$6&gt;0,$A364&lt;BC$6),AND(BC$7&gt;0,$A364&gt;BC$7)),0,MAX(0,ROUND((INDEX($E364:$G364,BC$5)-SUMIFS(TF_Timer,TF_Tekniker,BC$4,TF_Dato,$A364))*2,0)/2)))</f>
        <v/>
      </c>
      <c r="BD364">
        <f>IF(OR(BD$4="",$A364&gt;TODAY()),0,IF(OR(INDEX($B364:$D364,BD$5)="F",AND(BD$6&gt;0,$A364&lt;BD$6),AND(BD$7&gt;0,$A364&gt;BD$7)),0,MAX(0,ROUND((INDEX($E364:$G364,BD$5)-SUMIFS(TF_Timer,TF_Tekniker,BD$4,TF_Dato,$A364))*2,0)/2)))</f>
        <v/>
      </c>
      <c r="BE364">
        <f>IF(OR(BE$4="",$A364&gt;TODAY()),0,IF(OR(INDEX($B364:$D364,BE$5)="F",AND(BE$6&gt;0,$A364&lt;BE$6),AND(BE$7&gt;0,$A364&gt;BE$7)),0,MAX(0,ROUND((INDEX($E364:$G364,BE$5)-SUMIFS(TF_Timer,TF_Tekniker,BE$4,TF_Dato,$A364))*2,0)/2)))</f>
        <v/>
      </c>
      <c r="BF364">
        <f>IF(OR(BF$4="",$A364&gt;TODAY()),0,IF(OR(INDEX($B364:$D364,BF$5)="F",AND(BF$6&gt;0,$A364&lt;BF$6),AND(BF$7&gt;0,$A364&gt;BF$7)),0,MAX(0,ROUND((INDEX($E364:$G364,BF$5)-SUMIFS(TF_Timer,TF_Tekniker,BF$4,TF_Dato,$A364))*2,0)/2)))</f>
        <v/>
      </c>
      <c r="BG364">
        <f>IF(OR(BG$4="",$A364&gt;TODAY()),0,IF(OR(INDEX($B364:$D364,BG$5)="F",AND(BG$6&gt;0,$A364&lt;BG$6),AND(BG$7&gt;0,$A364&gt;BG$7)),0,MAX(0,ROUND((INDEX($E364:$G364,BG$5)-SUMIFS(TF_Timer,TF_Tekniker,BG$4,TF_Dato,$A364))*2,0)/2)))</f>
        <v/>
      </c>
      <c r="BH364">
        <f>IF(OR(BH$4="",$A364&gt;TODAY()),0,IF(OR(INDEX($B364:$D364,BH$5)="F",AND(BH$6&gt;0,$A364&lt;BH$6),AND(BH$7&gt;0,$A364&gt;BH$7)),0,MAX(0,ROUND((INDEX($E364:$G364,BH$5)-SUMIFS(TF_Timer,TF_Tekniker,BH$4,TF_Dato,$A364))*2,0)/2)))</f>
        <v/>
      </c>
      <c r="BI364">
        <f>IF(OR(BI$4="",$A364&gt;TODAY()),0,IF(OR(INDEX($B364:$D364,BI$5)="F",AND(BI$6&gt;0,$A364&lt;BI$6),AND(BI$7&gt;0,$A364&gt;BI$7)),0,MAX(0,ROUND((INDEX($E364:$G364,BI$5)-SUMIFS(TF_Timer,TF_Tekniker,BI$4,TF_Dato,$A364))*2,0)/2)))</f>
        <v/>
      </c>
    </row>
    <row r="365">
      <c r="A365" s="64">
        <f>A364+1</f>
        <v/>
      </c>
      <c r="B365">
        <f>IF(MOD($A365-INDEX(SkiftStart,1),Syklus)&lt;DagK,"K",IF(MOD($A365-INDEX(SkiftStart,1),Syklus)&lt;DagK+DagH,"H",IF(MOD($A365-INDEX(SkiftStart,1),Syklus)&lt;DagK+DagH+DagD,"D","F")))</f>
        <v/>
      </c>
      <c r="C365">
        <f>IF(MOD($A365-INDEX(SkiftStart,2),Syklus)&lt;DagK,"K",IF(MOD($A365-INDEX(SkiftStart,2),Syklus)&lt;DagK+DagH,"H",IF(MOD($A365-INDEX(SkiftStart,2),Syklus)&lt;DagK+DagH+DagD,"D","F")))</f>
        <v/>
      </c>
      <c r="D365">
        <f>IF(MOD($A365-INDEX(SkiftStart,3),Syklus)&lt;DagK,"K",IF(MOD($A365-INDEX(SkiftStart,3),Syklus)&lt;DagK+DagH,"H",IF(MOD($A365-INDEX(SkiftStart,3),Syklus)&lt;DagK+DagH+DagD,"D","F")))</f>
        <v/>
      </c>
      <c r="E365">
        <f>IF(B365="F",0,IF(WEEKDAY($A365,2)=5,INDEX(TimerFr,MATCH(B365,FaseKode,0)),INDEX(TimerMT,MATCH(B365,FaseKode,0))))</f>
        <v/>
      </c>
      <c r="F365">
        <f>IF(C365="F",0,IF(WEEKDAY($A365,2)=5,INDEX(TimerFr,MATCH(C365,FaseKode,0)),INDEX(TimerMT,MATCH(C365,FaseKode,0))))</f>
        <v/>
      </c>
      <c r="G365">
        <f>IF(D365="F",0,IF(WEEKDAY($A365,2)=5,INDEX(TimerFr,MATCH(D365,FaseKode,0)),INDEX(TimerMT,MATCH(D365,FaseKode,0))))</f>
        <v/>
      </c>
      <c r="H365">
        <f>IF(OR(H$4="",$A365&gt;TODAY()),0,IF(OR(INDEX($B365:$D365,H$5)="F",AND(H$6&gt;0,$A365&lt;H$6),AND(H$7&gt;0,$A365&gt;H$7)),0,MAX(0,ROUND((INDEX($E365:$G365,H$5)-SUMIFS(TF_Timer,TF_Tekniker,H$4,TF_Dato,$A365))*2,0)/2)))</f>
        <v/>
      </c>
      <c r="I365">
        <f>IF(OR(I$4="",$A365&gt;TODAY()),0,IF(OR(INDEX($B365:$D365,I$5)="F",AND(I$6&gt;0,$A365&lt;I$6),AND(I$7&gt;0,$A365&gt;I$7)),0,MAX(0,ROUND((INDEX($E365:$G365,I$5)-SUMIFS(TF_Timer,TF_Tekniker,I$4,TF_Dato,$A365))*2,0)/2)))</f>
        <v/>
      </c>
      <c r="J365">
        <f>IF(OR(J$4="",$A365&gt;TODAY()),0,IF(OR(INDEX($B365:$D365,J$5)="F",AND(J$6&gt;0,$A365&lt;J$6),AND(J$7&gt;0,$A365&gt;J$7)),0,MAX(0,ROUND((INDEX($E365:$G365,J$5)-SUMIFS(TF_Timer,TF_Tekniker,J$4,TF_Dato,$A365))*2,0)/2)))</f>
        <v/>
      </c>
      <c r="K365">
        <f>IF(OR(K$4="",$A365&gt;TODAY()),0,IF(OR(INDEX($B365:$D365,K$5)="F",AND(K$6&gt;0,$A365&lt;K$6),AND(K$7&gt;0,$A365&gt;K$7)),0,MAX(0,ROUND((INDEX($E365:$G365,K$5)-SUMIFS(TF_Timer,TF_Tekniker,K$4,TF_Dato,$A365))*2,0)/2)))</f>
        <v/>
      </c>
      <c r="L365">
        <f>IF(OR(L$4="",$A365&gt;TODAY()),0,IF(OR(INDEX($B365:$D365,L$5)="F",AND(L$6&gt;0,$A365&lt;L$6),AND(L$7&gt;0,$A365&gt;L$7)),0,MAX(0,ROUND((INDEX($E365:$G365,L$5)-SUMIFS(TF_Timer,TF_Tekniker,L$4,TF_Dato,$A365))*2,0)/2)))</f>
        <v/>
      </c>
      <c r="M365">
        <f>IF(OR(M$4="",$A365&gt;TODAY()),0,IF(OR(INDEX($B365:$D365,M$5)="F",AND(M$6&gt;0,$A365&lt;M$6),AND(M$7&gt;0,$A365&gt;M$7)),0,MAX(0,ROUND((INDEX($E365:$G365,M$5)-SUMIFS(TF_Timer,TF_Tekniker,M$4,TF_Dato,$A365))*2,0)/2)))</f>
        <v/>
      </c>
      <c r="N365">
        <f>IF(OR(N$4="",$A365&gt;TODAY()),0,IF(OR(INDEX($B365:$D365,N$5)="F",AND(N$6&gt;0,$A365&lt;N$6),AND(N$7&gt;0,$A365&gt;N$7)),0,MAX(0,ROUND((INDEX($E365:$G365,N$5)-SUMIFS(TF_Timer,TF_Tekniker,N$4,TF_Dato,$A365))*2,0)/2)))</f>
        <v/>
      </c>
      <c r="O365">
        <f>IF(OR(O$4="",$A365&gt;TODAY()),0,IF(OR(INDEX($B365:$D365,O$5)="F",AND(O$6&gt;0,$A365&lt;O$6),AND(O$7&gt;0,$A365&gt;O$7)),0,MAX(0,ROUND((INDEX($E365:$G365,O$5)-SUMIFS(TF_Timer,TF_Tekniker,O$4,TF_Dato,$A365))*2,0)/2)))</f>
        <v/>
      </c>
      <c r="P365">
        <f>IF(OR(P$4="",$A365&gt;TODAY()),0,IF(OR(INDEX($B365:$D365,P$5)="F",AND(P$6&gt;0,$A365&lt;P$6),AND(P$7&gt;0,$A365&gt;P$7)),0,MAX(0,ROUND((INDEX($E365:$G365,P$5)-SUMIFS(TF_Timer,TF_Tekniker,P$4,TF_Dato,$A365))*2,0)/2)))</f>
        <v/>
      </c>
      <c r="Q365">
        <f>IF(OR(Q$4="",$A365&gt;TODAY()),0,IF(OR(INDEX($B365:$D365,Q$5)="F",AND(Q$6&gt;0,$A365&lt;Q$6),AND(Q$7&gt;0,$A365&gt;Q$7)),0,MAX(0,ROUND((INDEX($E365:$G365,Q$5)-SUMIFS(TF_Timer,TF_Tekniker,Q$4,TF_Dato,$A365))*2,0)/2)))</f>
        <v/>
      </c>
      <c r="R365">
        <f>IF(OR(R$4="",$A365&gt;TODAY()),0,IF(OR(INDEX($B365:$D365,R$5)="F",AND(R$6&gt;0,$A365&lt;R$6),AND(R$7&gt;0,$A365&gt;R$7)),0,MAX(0,ROUND((INDEX($E365:$G365,R$5)-SUMIFS(TF_Timer,TF_Tekniker,R$4,TF_Dato,$A365))*2,0)/2)))</f>
        <v/>
      </c>
      <c r="S365">
        <f>IF(OR(S$4="",$A365&gt;TODAY()),0,IF(OR(INDEX($B365:$D365,S$5)="F",AND(S$6&gt;0,$A365&lt;S$6),AND(S$7&gt;0,$A365&gt;S$7)),0,MAX(0,ROUND((INDEX($E365:$G365,S$5)-SUMIFS(TF_Timer,TF_Tekniker,S$4,TF_Dato,$A365))*2,0)/2)))</f>
        <v/>
      </c>
      <c r="T365">
        <f>IF(OR(T$4="",$A365&gt;TODAY()),0,IF(OR(INDEX($B365:$D365,T$5)="F",AND(T$6&gt;0,$A365&lt;T$6),AND(T$7&gt;0,$A365&gt;T$7)),0,MAX(0,ROUND((INDEX($E365:$G365,T$5)-SUMIFS(TF_Timer,TF_Tekniker,T$4,TF_Dato,$A365))*2,0)/2)))</f>
        <v/>
      </c>
      <c r="U365">
        <f>IF(OR(U$4="",$A365&gt;TODAY()),0,IF(OR(INDEX($B365:$D365,U$5)="F",AND(U$6&gt;0,$A365&lt;U$6),AND(U$7&gt;0,$A365&gt;U$7)),0,MAX(0,ROUND((INDEX($E365:$G365,U$5)-SUMIFS(TF_Timer,TF_Tekniker,U$4,TF_Dato,$A365))*2,0)/2)))</f>
        <v/>
      </c>
      <c r="V365">
        <f>IF(OR(V$4="",$A365&gt;TODAY()),0,IF(OR(INDEX($B365:$D365,V$5)="F",AND(V$6&gt;0,$A365&lt;V$6),AND(V$7&gt;0,$A365&gt;V$7)),0,MAX(0,ROUND((INDEX($E365:$G365,V$5)-SUMIFS(TF_Timer,TF_Tekniker,V$4,TF_Dato,$A365))*2,0)/2)))</f>
        <v/>
      </c>
      <c r="W365">
        <f>IF(OR(W$4="",$A365&gt;TODAY()),0,IF(OR(INDEX($B365:$D365,W$5)="F",AND(W$6&gt;0,$A365&lt;W$6),AND(W$7&gt;0,$A365&gt;W$7)),0,MAX(0,ROUND((INDEX($E365:$G365,W$5)-SUMIFS(TF_Timer,TF_Tekniker,W$4,TF_Dato,$A365))*2,0)/2)))</f>
        <v/>
      </c>
      <c r="X365">
        <f>IF(OR(X$4="",$A365&gt;TODAY()),0,IF(OR(INDEX($B365:$D365,X$5)="F",AND(X$6&gt;0,$A365&lt;X$6),AND(X$7&gt;0,$A365&gt;X$7)),0,MAX(0,ROUND((INDEX($E365:$G365,X$5)-SUMIFS(TF_Timer,TF_Tekniker,X$4,TF_Dato,$A365))*2,0)/2)))</f>
        <v/>
      </c>
      <c r="Y365">
        <f>IF(OR(Y$4="",$A365&gt;TODAY()),0,IF(OR(INDEX($B365:$D365,Y$5)="F",AND(Y$6&gt;0,$A365&lt;Y$6),AND(Y$7&gt;0,$A365&gt;Y$7)),0,MAX(0,ROUND((INDEX($E365:$G365,Y$5)-SUMIFS(TF_Timer,TF_Tekniker,Y$4,TF_Dato,$A365))*2,0)/2)))</f>
        <v/>
      </c>
      <c r="Z365">
        <f>IF(OR(Z$4="",$A365&gt;TODAY()),0,IF(OR(INDEX($B365:$D365,Z$5)="F",AND(Z$6&gt;0,$A365&lt;Z$6),AND(Z$7&gt;0,$A365&gt;Z$7)),0,MAX(0,ROUND((INDEX($E365:$G365,Z$5)-SUMIFS(TF_Timer,TF_Tekniker,Z$4,TF_Dato,$A365))*2,0)/2)))</f>
        <v/>
      </c>
      <c r="AA365">
        <f>IF(OR(AA$4="",$A365&gt;TODAY()),0,IF(OR(INDEX($B365:$D365,AA$5)="F",AND(AA$6&gt;0,$A365&lt;AA$6),AND(AA$7&gt;0,$A365&gt;AA$7)),0,MAX(0,ROUND((INDEX($E365:$G365,AA$5)-SUMIFS(TF_Timer,TF_Tekniker,AA$4,TF_Dato,$A365))*2,0)/2)))</f>
        <v/>
      </c>
      <c r="AB365">
        <f>IF(OR(AB$4="",$A365&gt;TODAY()),0,IF(OR(INDEX($B365:$D365,AB$5)="F",AND(AB$6&gt;0,$A365&lt;AB$6),AND(AB$7&gt;0,$A365&gt;AB$7)),0,MAX(0,ROUND((INDEX($E365:$G365,AB$5)-SUMIFS(TF_Timer,TF_Tekniker,AB$4,TF_Dato,$A365))*2,0)/2)))</f>
        <v/>
      </c>
      <c r="AC365">
        <f>IF(OR(AC$4="",$A365&gt;TODAY()),0,IF(OR(INDEX($B365:$D365,AC$5)="F",AND(AC$6&gt;0,$A365&lt;AC$6),AND(AC$7&gt;0,$A365&gt;AC$7)),0,MAX(0,ROUND((INDEX($E365:$G365,AC$5)-SUMIFS(TF_Timer,TF_Tekniker,AC$4,TF_Dato,$A365))*2,0)/2)))</f>
        <v/>
      </c>
      <c r="AD365">
        <f>IF(OR(AD$4="",$A365&gt;TODAY()),0,IF(OR(INDEX($B365:$D365,AD$5)="F",AND(AD$6&gt;0,$A365&lt;AD$6),AND(AD$7&gt;0,$A365&gt;AD$7)),0,MAX(0,ROUND((INDEX($E365:$G365,AD$5)-SUMIFS(TF_Timer,TF_Tekniker,AD$4,TF_Dato,$A365))*2,0)/2)))</f>
        <v/>
      </c>
      <c r="AE365">
        <f>IF(OR(AE$4="",$A365&gt;TODAY()),0,IF(OR(INDEX($B365:$D365,AE$5)="F",AND(AE$6&gt;0,$A365&lt;AE$6),AND(AE$7&gt;0,$A365&gt;AE$7)),0,MAX(0,ROUND((INDEX($E365:$G365,AE$5)-SUMIFS(TF_Timer,TF_Tekniker,AE$4,TF_Dato,$A365))*2,0)/2)))</f>
        <v/>
      </c>
      <c r="AF365">
        <f>IF(OR(AF$4="",$A365&gt;TODAY()),0,IF(OR(INDEX($B365:$D365,AF$5)="F",AND(AF$6&gt;0,$A365&lt;AF$6),AND(AF$7&gt;0,$A365&gt;AF$7)),0,MAX(0,ROUND((INDEX($E365:$G365,AF$5)-SUMIFS(TF_Timer,TF_Tekniker,AF$4,TF_Dato,$A365))*2,0)/2)))</f>
        <v/>
      </c>
      <c r="AG365">
        <f>IF(OR(AG$4="",$A365&gt;TODAY()),0,IF(OR(INDEX($B365:$D365,AG$5)="F",AND(AG$6&gt;0,$A365&lt;AG$6),AND(AG$7&gt;0,$A365&gt;AG$7)),0,MAX(0,ROUND((INDEX($E365:$G365,AG$5)-SUMIFS(TF_Timer,TF_Tekniker,AG$4,TF_Dato,$A365))*2,0)/2)))</f>
        <v/>
      </c>
      <c r="AH365">
        <f>IF(OR(AH$4="",$A365&gt;TODAY()),0,IF(OR(INDEX($B365:$D365,AH$5)="F",AND(AH$6&gt;0,$A365&lt;AH$6),AND(AH$7&gt;0,$A365&gt;AH$7)),0,MAX(0,ROUND((INDEX($E365:$G365,AH$5)-SUMIFS(TF_Timer,TF_Tekniker,AH$4,TF_Dato,$A365))*2,0)/2)))</f>
        <v/>
      </c>
      <c r="AI365">
        <f>IF(OR(AI$4="",$A365&gt;TODAY()),0,IF(OR(INDEX($B365:$D365,AI$5)="F",AND(AI$6&gt;0,$A365&lt;AI$6),AND(AI$7&gt;0,$A365&gt;AI$7)),0,MAX(0,ROUND((INDEX($E365:$G365,AI$5)-SUMIFS(TF_Timer,TF_Tekniker,AI$4,TF_Dato,$A365))*2,0)/2)))</f>
        <v/>
      </c>
      <c r="AJ365">
        <f>IF(OR(AJ$4="",$A365&gt;TODAY()),0,IF(OR(INDEX($B365:$D365,AJ$5)="F",AND(AJ$6&gt;0,$A365&lt;AJ$6),AND(AJ$7&gt;0,$A365&gt;AJ$7)),0,MAX(0,ROUND((INDEX($E365:$G365,AJ$5)-SUMIFS(TF_Timer,TF_Tekniker,AJ$4,TF_Dato,$A365))*2,0)/2)))</f>
        <v/>
      </c>
      <c r="AK365">
        <f>IF(OR(AK$4="",$A365&gt;TODAY()),0,IF(OR(INDEX($B365:$D365,AK$5)="F",AND(AK$6&gt;0,$A365&lt;AK$6),AND(AK$7&gt;0,$A365&gt;AK$7)),0,MAX(0,ROUND((INDEX($E365:$G365,AK$5)-SUMIFS(TF_Timer,TF_Tekniker,AK$4,TF_Dato,$A365))*2,0)/2)))</f>
        <v/>
      </c>
      <c r="AL365">
        <f>IF(OR(AL$4="",$A365&gt;TODAY()),0,IF(OR(INDEX($B365:$D365,AL$5)="F",AND(AL$6&gt;0,$A365&lt;AL$6),AND(AL$7&gt;0,$A365&gt;AL$7)),0,MAX(0,ROUND((INDEX($E365:$G365,AL$5)-SUMIFS(TF_Timer,TF_Tekniker,AL$4,TF_Dato,$A365))*2,0)/2)))</f>
        <v/>
      </c>
      <c r="AM365">
        <f>IF(OR(AM$4="",$A365&gt;TODAY()),0,IF(OR(INDEX($B365:$D365,AM$5)="F",AND(AM$6&gt;0,$A365&lt;AM$6),AND(AM$7&gt;0,$A365&gt;AM$7)),0,MAX(0,ROUND((INDEX($E365:$G365,AM$5)-SUMIFS(TF_Timer,TF_Tekniker,AM$4,TF_Dato,$A365))*2,0)/2)))</f>
        <v/>
      </c>
      <c r="AN365">
        <f>IF(OR(AN$4="",$A365&gt;TODAY()),0,IF(OR(INDEX($B365:$D365,AN$5)="F",AND(AN$6&gt;0,$A365&lt;AN$6),AND(AN$7&gt;0,$A365&gt;AN$7)),0,MAX(0,ROUND((INDEX($E365:$G365,AN$5)-SUMIFS(TF_Timer,TF_Tekniker,AN$4,TF_Dato,$A365))*2,0)/2)))</f>
        <v/>
      </c>
      <c r="AO365">
        <f>IF(OR(AO$4="",$A365&gt;TODAY()),0,IF(OR(INDEX($B365:$D365,AO$5)="F",AND(AO$6&gt;0,$A365&lt;AO$6),AND(AO$7&gt;0,$A365&gt;AO$7)),0,MAX(0,ROUND((INDEX($E365:$G365,AO$5)-SUMIFS(TF_Timer,TF_Tekniker,AO$4,TF_Dato,$A365))*2,0)/2)))</f>
        <v/>
      </c>
      <c r="AP365">
        <f>IF(OR(AP$4="",$A365&gt;TODAY()),0,IF(OR(INDEX($B365:$D365,AP$5)="F",AND(AP$6&gt;0,$A365&lt;AP$6),AND(AP$7&gt;0,$A365&gt;AP$7)),0,MAX(0,ROUND((INDEX($E365:$G365,AP$5)-SUMIFS(TF_Timer,TF_Tekniker,AP$4,TF_Dato,$A365))*2,0)/2)))</f>
        <v/>
      </c>
      <c r="AQ365">
        <f>IF(OR(AQ$4="",$A365&gt;TODAY()),0,IF(OR(INDEX($B365:$D365,AQ$5)="F",AND(AQ$6&gt;0,$A365&lt;AQ$6),AND(AQ$7&gt;0,$A365&gt;AQ$7)),0,MAX(0,ROUND((INDEX($E365:$G365,AQ$5)-SUMIFS(TF_Timer,TF_Tekniker,AQ$4,TF_Dato,$A365))*2,0)/2)))</f>
        <v/>
      </c>
      <c r="AR365">
        <f>IF(OR(AR$4="",$A365&gt;TODAY()),0,IF(OR(INDEX($B365:$D365,AR$5)="F",AND(AR$6&gt;0,$A365&lt;AR$6),AND(AR$7&gt;0,$A365&gt;AR$7)),0,MAX(0,ROUND((INDEX($E365:$G365,AR$5)-SUMIFS(TF_Timer,TF_Tekniker,AR$4,TF_Dato,$A365))*2,0)/2)))</f>
        <v/>
      </c>
      <c r="AS365">
        <f>IF(OR(AS$4="",$A365&gt;TODAY()),0,IF(OR(INDEX($B365:$D365,AS$5)="F",AND(AS$6&gt;0,$A365&lt;AS$6),AND(AS$7&gt;0,$A365&gt;AS$7)),0,MAX(0,ROUND((INDEX($E365:$G365,AS$5)-SUMIFS(TF_Timer,TF_Tekniker,AS$4,TF_Dato,$A365))*2,0)/2)))</f>
        <v/>
      </c>
      <c r="AT365">
        <f>IF(OR(AT$4="",$A365&gt;TODAY()),0,IF(OR(INDEX($B365:$D365,AT$5)="F",AND(AT$6&gt;0,$A365&lt;AT$6),AND(AT$7&gt;0,$A365&gt;AT$7)),0,MAX(0,ROUND((INDEX($E365:$G365,AT$5)-SUMIFS(TF_Timer,TF_Tekniker,AT$4,TF_Dato,$A365))*2,0)/2)))</f>
        <v/>
      </c>
      <c r="AU365">
        <f>IF(OR(AU$4="",$A365&gt;TODAY()),0,IF(OR(INDEX($B365:$D365,AU$5)="F",AND(AU$6&gt;0,$A365&lt;AU$6),AND(AU$7&gt;0,$A365&gt;AU$7)),0,MAX(0,ROUND((INDEX($E365:$G365,AU$5)-SUMIFS(TF_Timer,TF_Tekniker,AU$4,TF_Dato,$A365))*2,0)/2)))</f>
        <v/>
      </c>
      <c r="AV365">
        <f>IF(OR(AV$4="",$A365&gt;TODAY()),0,IF(OR(INDEX($B365:$D365,AV$5)="F",AND(AV$6&gt;0,$A365&lt;AV$6),AND(AV$7&gt;0,$A365&gt;AV$7)),0,MAX(0,ROUND((INDEX($E365:$G365,AV$5)-SUMIFS(TF_Timer,TF_Tekniker,AV$4,TF_Dato,$A365))*2,0)/2)))</f>
        <v/>
      </c>
      <c r="AW365">
        <f>IF(OR(AW$4="",$A365&gt;TODAY()),0,IF(OR(INDEX($B365:$D365,AW$5)="F",AND(AW$6&gt;0,$A365&lt;AW$6),AND(AW$7&gt;0,$A365&gt;AW$7)),0,MAX(0,ROUND((INDEX($E365:$G365,AW$5)-SUMIFS(TF_Timer,TF_Tekniker,AW$4,TF_Dato,$A365))*2,0)/2)))</f>
        <v/>
      </c>
      <c r="AX365">
        <f>IF(OR(AX$4="",$A365&gt;TODAY()),0,IF(OR(INDEX($B365:$D365,AX$5)="F",AND(AX$6&gt;0,$A365&lt;AX$6),AND(AX$7&gt;0,$A365&gt;AX$7)),0,MAX(0,ROUND((INDEX($E365:$G365,AX$5)-SUMIFS(TF_Timer,TF_Tekniker,AX$4,TF_Dato,$A365))*2,0)/2)))</f>
        <v/>
      </c>
      <c r="AY365">
        <f>IF(OR(AY$4="",$A365&gt;TODAY()),0,IF(OR(INDEX($B365:$D365,AY$5)="F",AND(AY$6&gt;0,$A365&lt;AY$6),AND(AY$7&gt;0,$A365&gt;AY$7)),0,MAX(0,ROUND((INDEX($E365:$G365,AY$5)-SUMIFS(TF_Timer,TF_Tekniker,AY$4,TF_Dato,$A365))*2,0)/2)))</f>
        <v/>
      </c>
      <c r="AZ365">
        <f>IF(OR(AZ$4="",$A365&gt;TODAY()),0,IF(OR(INDEX($B365:$D365,AZ$5)="F",AND(AZ$6&gt;0,$A365&lt;AZ$6),AND(AZ$7&gt;0,$A365&gt;AZ$7)),0,MAX(0,ROUND((INDEX($E365:$G365,AZ$5)-SUMIFS(TF_Timer,TF_Tekniker,AZ$4,TF_Dato,$A365))*2,0)/2)))</f>
        <v/>
      </c>
      <c r="BA365">
        <f>IF(OR(BA$4="",$A365&gt;TODAY()),0,IF(OR(INDEX($B365:$D365,BA$5)="F",AND(BA$6&gt;0,$A365&lt;BA$6),AND(BA$7&gt;0,$A365&gt;BA$7)),0,MAX(0,ROUND((INDEX($E365:$G365,BA$5)-SUMIFS(TF_Timer,TF_Tekniker,BA$4,TF_Dato,$A365))*2,0)/2)))</f>
        <v/>
      </c>
      <c r="BB365">
        <f>IF(OR(BB$4="",$A365&gt;TODAY()),0,IF(OR(INDEX($B365:$D365,BB$5)="F",AND(BB$6&gt;0,$A365&lt;BB$6),AND(BB$7&gt;0,$A365&gt;BB$7)),0,MAX(0,ROUND((INDEX($E365:$G365,BB$5)-SUMIFS(TF_Timer,TF_Tekniker,BB$4,TF_Dato,$A365))*2,0)/2)))</f>
        <v/>
      </c>
      <c r="BC365">
        <f>IF(OR(BC$4="",$A365&gt;TODAY()),0,IF(OR(INDEX($B365:$D365,BC$5)="F",AND(BC$6&gt;0,$A365&lt;BC$6),AND(BC$7&gt;0,$A365&gt;BC$7)),0,MAX(0,ROUND((INDEX($E365:$G365,BC$5)-SUMIFS(TF_Timer,TF_Tekniker,BC$4,TF_Dato,$A365))*2,0)/2)))</f>
        <v/>
      </c>
      <c r="BD365">
        <f>IF(OR(BD$4="",$A365&gt;TODAY()),0,IF(OR(INDEX($B365:$D365,BD$5)="F",AND(BD$6&gt;0,$A365&lt;BD$6),AND(BD$7&gt;0,$A365&gt;BD$7)),0,MAX(0,ROUND((INDEX($E365:$G365,BD$5)-SUMIFS(TF_Timer,TF_Tekniker,BD$4,TF_Dato,$A365))*2,0)/2)))</f>
        <v/>
      </c>
      <c r="BE365">
        <f>IF(OR(BE$4="",$A365&gt;TODAY()),0,IF(OR(INDEX($B365:$D365,BE$5)="F",AND(BE$6&gt;0,$A365&lt;BE$6),AND(BE$7&gt;0,$A365&gt;BE$7)),0,MAX(0,ROUND((INDEX($E365:$G365,BE$5)-SUMIFS(TF_Timer,TF_Tekniker,BE$4,TF_Dato,$A365))*2,0)/2)))</f>
        <v/>
      </c>
      <c r="BF365">
        <f>IF(OR(BF$4="",$A365&gt;TODAY()),0,IF(OR(INDEX($B365:$D365,BF$5)="F",AND(BF$6&gt;0,$A365&lt;BF$6),AND(BF$7&gt;0,$A365&gt;BF$7)),0,MAX(0,ROUND((INDEX($E365:$G365,BF$5)-SUMIFS(TF_Timer,TF_Tekniker,BF$4,TF_Dato,$A365))*2,0)/2)))</f>
        <v/>
      </c>
      <c r="BG365">
        <f>IF(OR(BG$4="",$A365&gt;TODAY()),0,IF(OR(INDEX($B365:$D365,BG$5)="F",AND(BG$6&gt;0,$A365&lt;BG$6),AND(BG$7&gt;0,$A365&gt;BG$7)),0,MAX(0,ROUND((INDEX($E365:$G365,BG$5)-SUMIFS(TF_Timer,TF_Tekniker,BG$4,TF_Dato,$A365))*2,0)/2)))</f>
        <v/>
      </c>
      <c r="BH365">
        <f>IF(OR(BH$4="",$A365&gt;TODAY()),0,IF(OR(INDEX($B365:$D365,BH$5)="F",AND(BH$6&gt;0,$A365&lt;BH$6),AND(BH$7&gt;0,$A365&gt;BH$7)),0,MAX(0,ROUND((INDEX($E365:$G365,BH$5)-SUMIFS(TF_Timer,TF_Tekniker,BH$4,TF_Dato,$A365))*2,0)/2)))</f>
        <v/>
      </c>
      <c r="BI365">
        <f>IF(OR(BI$4="",$A365&gt;TODAY()),0,IF(OR(INDEX($B365:$D365,BI$5)="F",AND(BI$6&gt;0,$A365&lt;BI$6),AND(BI$7&gt;0,$A365&gt;BI$7)),0,MAX(0,ROUND((INDEX($E365:$G365,BI$5)-SUMIFS(TF_Timer,TF_Tekniker,BI$4,TF_Dato,$A365))*2,0)/2)))</f>
        <v/>
      </c>
    </row>
    <row r="366">
      <c r="A366" s="64">
        <f>A365+1</f>
        <v/>
      </c>
      <c r="B366">
        <f>IF(MOD($A366-INDEX(SkiftStart,1),Syklus)&lt;DagK,"K",IF(MOD($A366-INDEX(SkiftStart,1),Syklus)&lt;DagK+DagH,"H",IF(MOD($A366-INDEX(SkiftStart,1),Syklus)&lt;DagK+DagH+DagD,"D","F")))</f>
        <v/>
      </c>
      <c r="C366">
        <f>IF(MOD($A366-INDEX(SkiftStart,2),Syklus)&lt;DagK,"K",IF(MOD($A366-INDEX(SkiftStart,2),Syklus)&lt;DagK+DagH,"H",IF(MOD($A366-INDEX(SkiftStart,2),Syklus)&lt;DagK+DagH+DagD,"D","F")))</f>
        <v/>
      </c>
      <c r="D366">
        <f>IF(MOD($A366-INDEX(SkiftStart,3),Syklus)&lt;DagK,"K",IF(MOD($A366-INDEX(SkiftStart,3),Syklus)&lt;DagK+DagH,"H",IF(MOD($A366-INDEX(SkiftStart,3),Syklus)&lt;DagK+DagH+DagD,"D","F")))</f>
        <v/>
      </c>
      <c r="E366">
        <f>IF(B366="F",0,IF(WEEKDAY($A366,2)=5,INDEX(TimerFr,MATCH(B366,FaseKode,0)),INDEX(TimerMT,MATCH(B366,FaseKode,0))))</f>
        <v/>
      </c>
      <c r="F366">
        <f>IF(C366="F",0,IF(WEEKDAY($A366,2)=5,INDEX(TimerFr,MATCH(C366,FaseKode,0)),INDEX(TimerMT,MATCH(C366,FaseKode,0))))</f>
        <v/>
      </c>
      <c r="G366">
        <f>IF(D366="F",0,IF(WEEKDAY($A366,2)=5,INDEX(TimerFr,MATCH(D366,FaseKode,0)),INDEX(TimerMT,MATCH(D366,FaseKode,0))))</f>
        <v/>
      </c>
      <c r="H366">
        <f>IF(OR(H$4="",$A366&gt;TODAY()),0,IF(OR(INDEX($B366:$D366,H$5)="F",AND(H$6&gt;0,$A366&lt;H$6),AND(H$7&gt;0,$A366&gt;H$7)),0,MAX(0,ROUND((INDEX($E366:$G366,H$5)-SUMIFS(TF_Timer,TF_Tekniker,H$4,TF_Dato,$A366))*2,0)/2)))</f>
        <v/>
      </c>
      <c r="I366">
        <f>IF(OR(I$4="",$A366&gt;TODAY()),0,IF(OR(INDEX($B366:$D366,I$5)="F",AND(I$6&gt;0,$A366&lt;I$6),AND(I$7&gt;0,$A366&gt;I$7)),0,MAX(0,ROUND((INDEX($E366:$G366,I$5)-SUMIFS(TF_Timer,TF_Tekniker,I$4,TF_Dato,$A366))*2,0)/2)))</f>
        <v/>
      </c>
      <c r="J366">
        <f>IF(OR(J$4="",$A366&gt;TODAY()),0,IF(OR(INDEX($B366:$D366,J$5)="F",AND(J$6&gt;0,$A366&lt;J$6),AND(J$7&gt;0,$A366&gt;J$7)),0,MAX(0,ROUND((INDEX($E366:$G366,J$5)-SUMIFS(TF_Timer,TF_Tekniker,J$4,TF_Dato,$A366))*2,0)/2)))</f>
        <v/>
      </c>
      <c r="K366">
        <f>IF(OR(K$4="",$A366&gt;TODAY()),0,IF(OR(INDEX($B366:$D366,K$5)="F",AND(K$6&gt;0,$A366&lt;K$6),AND(K$7&gt;0,$A366&gt;K$7)),0,MAX(0,ROUND((INDEX($E366:$G366,K$5)-SUMIFS(TF_Timer,TF_Tekniker,K$4,TF_Dato,$A366))*2,0)/2)))</f>
        <v/>
      </c>
      <c r="L366">
        <f>IF(OR(L$4="",$A366&gt;TODAY()),0,IF(OR(INDEX($B366:$D366,L$5)="F",AND(L$6&gt;0,$A366&lt;L$6),AND(L$7&gt;0,$A366&gt;L$7)),0,MAX(0,ROUND((INDEX($E366:$G366,L$5)-SUMIFS(TF_Timer,TF_Tekniker,L$4,TF_Dato,$A366))*2,0)/2)))</f>
        <v/>
      </c>
      <c r="M366">
        <f>IF(OR(M$4="",$A366&gt;TODAY()),0,IF(OR(INDEX($B366:$D366,M$5)="F",AND(M$6&gt;0,$A366&lt;M$6),AND(M$7&gt;0,$A366&gt;M$7)),0,MAX(0,ROUND((INDEX($E366:$G366,M$5)-SUMIFS(TF_Timer,TF_Tekniker,M$4,TF_Dato,$A366))*2,0)/2)))</f>
        <v/>
      </c>
      <c r="N366">
        <f>IF(OR(N$4="",$A366&gt;TODAY()),0,IF(OR(INDEX($B366:$D366,N$5)="F",AND(N$6&gt;0,$A366&lt;N$6),AND(N$7&gt;0,$A366&gt;N$7)),0,MAX(0,ROUND((INDEX($E366:$G366,N$5)-SUMIFS(TF_Timer,TF_Tekniker,N$4,TF_Dato,$A366))*2,0)/2)))</f>
        <v/>
      </c>
      <c r="O366">
        <f>IF(OR(O$4="",$A366&gt;TODAY()),0,IF(OR(INDEX($B366:$D366,O$5)="F",AND(O$6&gt;0,$A366&lt;O$6),AND(O$7&gt;0,$A366&gt;O$7)),0,MAX(0,ROUND((INDEX($E366:$G366,O$5)-SUMIFS(TF_Timer,TF_Tekniker,O$4,TF_Dato,$A366))*2,0)/2)))</f>
        <v/>
      </c>
      <c r="P366">
        <f>IF(OR(P$4="",$A366&gt;TODAY()),0,IF(OR(INDEX($B366:$D366,P$5)="F",AND(P$6&gt;0,$A366&lt;P$6),AND(P$7&gt;0,$A366&gt;P$7)),0,MAX(0,ROUND((INDEX($E366:$G366,P$5)-SUMIFS(TF_Timer,TF_Tekniker,P$4,TF_Dato,$A366))*2,0)/2)))</f>
        <v/>
      </c>
      <c r="Q366">
        <f>IF(OR(Q$4="",$A366&gt;TODAY()),0,IF(OR(INDEX($B366:$D366,Q$5)="F",AND(Q$6&gt;0,$A366&lt;Q$6),AND(Q$7&gt;0,$A366&gt;Q$7)),0,MAX(0,ROUND((INDEX($E366:$G366,Q$5)-SUMIFS(TF_Timer,TF_Tekniker,Q$4,TF_Dato,$A366))*2,0)/2)))</f>
        <v/>
      </c>
      <c r="R366">
        <f>IF(OR(R$4="",$A366&gt;TODAY()),0,IF(OR(INDEX($B366:$D366,R$5)="F",AND(R$6&gt;0,$A366&lt;R$6),AND(R$7&gt;0,$A366&gt;R$7)),0,MAX(0,ROUND((INDEX($E366:$G366,R$5)-SUMIFS(TF_Timer,TF_Tekniker,R$4,TF_Dato,$A366))*2,0)/2)))</f>
        <v/>
      </c>
      <c r="S366">
        <f>IF(OR(S$4="",$A366&gt;TODAY()),0,IF(OR(INDEX($B366:$D366,S$5)="F",AND(S$6&gt;0,$A366&lt;S$6),AND(S$7&gt;0,$A366&gt;S$7)),0,MAX(0,ROUND((INDEX($E366:$G366,S$5)-SUMIFS(TF_Timer,TF_Tekniker,S$4,TF_Dato,$A366))*2,0)/2)))</f>
        <v/>
      </c>
      <c r="T366">
        <f>IF(OR(T$4="",$A366&gt;TODAY()),0,IF(OR(INDEX($B366:$D366,T$5)="F",AND(T$6&gt;0,$A366&lt;T$6),AND(T$7&gt;0,$A366&gt;T$7)),0,MAX(0,ROUND((INDEX($E366:$G366,T$5)-SUMIFS(TF_Timer,TF_Tekniker,T$4,TF_Dato,$A366))*2,0)/2)))</f>
        <v/>
      </c>
      <c r="U366">
        <f>IF(OR(U$4="",$A366&gt;TODAY()),0,IF(OR(INDEX($B366:$D366,U$5)="F",AND(U$6&gt;0,$A366&lt;U$6),AND(U$7&gt;0,$A366&gt;U$7)),0,MAX(0,ROUND((INDEX($E366:$G366,U$5)-SUMIFS(TF_Timer,TF_Tekniker,U$4,TF_Dato,$A366))*2,0)/2)))</f>
        <v/>
      </c>
      <c r="V366">
        <f>IF(OR(V$4="",$A366&gt;TODAY()),0,IF(OR(INDEX($B366:$D366,V$5)="F",AND(V$6&gt;0,$A366&lt;V$6),AND(V$7&gt;0,$A366&gt;V$7)),0,MAX(0,ROUND((INDEX($E366:$G366,V$5)-SUMIFS(TF_Timer,TF_Tekniker,V$4,TF_Dato,$A366))*2,0)/2)))</f>
        <v/>
      </c>
      <c r="W366">
        <f>IF(OR(W$4="",$A366&gt;TODAY()),0,IF(OR(INDEX($B366:$D366,W$5)="F",AND(W$6&gt;0,$A366&lt;W$6),AND(W$7&gt;0,$A366&gt;W$7)),0,MAX(0,ROUND((INDEX($E366:$G366,W$5)-SUMIFS(TF_Timer,TF_Tekniker,W$4,TF_Dato,$A366))*2,0)/2)))</f>
        <v/>
      </c>
      <c r="X366">
        <f>IF(OR(X$4="",$A366&gt;TODAY()),0,IF(OR(INDEX($B366:$D366,X$5)="F",AND(X$6&gt;0,$A366&lt;X$6),AND(X$7&gt;0,$A366&gt;X$7)),0,MAX(0,ROUND((INDEX($E366:$G366,X$5)-SUMIFS(TF_Timer,TF_Tekniker,X$4,TF_Dato,$A366))*2,0)/2)))</f>
        <v/>
      </c>
      <c r="Y366">
        <f>IF(OR(Y$4="",$A366&gt;TODAY()),0,IF(OR(INDEX($B366:$D366,Y$5)="F",AND(Y$6&gt;0,$A366&lt;Y$6),AND(Y$7&gt;0,$A366&gt;Y$7)),0,MAX(0,ROUND((INDEX($E366:$G366,Y$5)-SUMIFS(TF_Timer,TF_Tekniker,Y$4,TF_Dato,$A366))*2,0)/2)))</f>
        <v/>
      </c>
      <c r="Z366">
        <f>IF(OR(Z$4="",$A366&gt;TODAY()),0,IF(OR(INDEX($B366:$D366,Z$5)="F",AND(Z$6&gt;0,$A366&lt;Z$6),AND(Z$7&gt;0,$A366&gt;Z$7)),0,MAX(0,ROUND((INDEX($E366:$G366,Z$5)-SUMIFS(TF_Timer,TF_Tekniker,Z$4,TF_Dato,$A366))*2,0)/2)))</f>
        <v/>
      </c>
      <c r="AA366">
        <f>IF(OR(AA$4="",$A366&gt;TODAY()),0,IF(OR(INDEX($B366:$D366,AA$5)="F",AND(AA$6&gt;0,$A366&lt;AA$6),AND(AA$7&gt;0,$A366&gt;AA$7)),0,MAX(0,ROUND((INDEX($E366:$G366,AA$5)-SUMIFS(TF_Timer,TF_Tekniker,AA$4,TF_Dato,$A366))*2,0)/2)))</f>
        <v/>
      </c>
      <c r="AB366">
        <f>IF(OR(AB$4="",$A366&gt;TODAY()),0,IF(OR(INDEX($B366:$D366,AB$5)="F",AND(AB$6&gt;0,$A366&lt;AB$6),AND(AB$7&gt;0,$A366&gt;AB$7)),0,MAX(0,ROUND((INDEX($E366:$G366,AB$5)-SUMIFS(TF_Timer,TF_Tekniker,AB$4,TF_Dato,$A366))*2,0)/2)))</f>
        <v/>
      </c>
      <c r="AC366">
        <f>IF(OR(AC$4="",$A366&gt;TODAY()),0,IF(OR(INDEX($B366:$D366,AC$5)="F",AND(AC$6&gt;0,$A366&lt;AC$6),AND(AC$7&gt;0,$A366&gt;AC$7)),0,MAX(0,ROUND((INDEX($E366:$G366,AC$5)-SUMIFS(TF_Timer,TF_Tekniker,AC$4,TF_Dato,$A366))*2,0)/2)))</f>
        <v/>
      </c>
      <c r="AD366">
        <f>IF(OR(AD$4="",$A366&gt;TODAY()),0,IF(OR(INDEX($B366:$D366,AD$5)="F",AND(AD$6&gt;0,$A366&lt;AD$6),AND(AD$7&gt;0,$A366&gt;AD$7)),0,MAX(0,ROUND((INDEX($E366:$G366,AD$5)-SUMIFS(TF_Timer,TF_Tekniker,AD$4,TF_Dato,$A366))*2,0)/2)))</f>
        <v/>
      </c>
      <c r="AE366">
        <f>IF(OR(AE$4="",$A366&gt;TODAY()),0,IF(OR(INDEX($B366:$D366,AE$5)="F",AND(AE$6&gt;0,$A366&lt;AE$6),AND(AE$7&gt;0,$A366&gt;AE$7)),0,MAX(0,ROUND((INDEX($E366:$G366,AE$5)-SUMIFS(TF_Timer,TF_Tekniker,AE$4,TF_Dato,$A366))*2,0)/2)))</f>
        <v/>
      </c>
      <c r="AF366">
        <f>IF(OR(AF$4="",$A366&gt;TODAY()),0,IF(OR(INDEX($B366:$D366,AF$5)="F",AND(AF$6&gt;0,$A366&lt;AF$6),AND(AF$7&gt;0,$A366&gt;AF$7)),0,MAX(0,ROUND((INDEX($E366:$G366,AF$5)-SUMIFS(TF_Timer,TF_Tekniker,AF$4,TF_Dato,$A366))*2,0)/2)))</f>
        <v/>
      </c>
      <c r="AG366">
        <f>IF(OR(AG$4="",$A366&gt;TODAY()),0,IF(OR(INDEX($B366:$D366,AG$5)="F",AND(AG$6&gt;0,$A366&lt;AG$6),AND(AG$7&gt;0,$A366&gt;AG$7)),0,MAX(0,ROUND((INDEX($E366:$G366,AG$5)-SUMIFS(TF_Timer,TF_Tekniker,AG$4,TF_Dato,$A366))*2,0)/2)))</f>
        <v/>
      </c>
      <c r="AH366">
        <f>IF(OR(AH$4="",$A366&gt;TODAY()),0,IF(OR(INDEX($B366:$D366,AH$5)="F",AND(AH$6&gt;0,$A366&lt;AH$6),AND(AH$7&gt;0,$A366&gt;AH$7)),0,MAX(0,ROUND((INDEX($E366:$G366,AH$5)-SUMIFS(TF_Timer,TF_Tekniker,AH$4,TF_Dato,$A366))*2,0)/2)))</f>
        <v/>
      </c>
      <c r="AI366">
        <f>IF(OR(AI$4="",$A366&gt;TODAY()),0,IF(OR(INDEX($B366:$D366,AI$5)="F",AND(AI$6&gt;0,$A366&lt;AI$6),AND(AI$7&gt;0,$A366&gt;AI$7)),0,MAX(0,ROUND((INDEX($E366:$G366,AI$5)-SUMIFS(TF_Timer,TF_Tekniker,AI$4,TF_Dato,$A366))*2,0)/2)))</f>
        <v/>
      </c>
      <c r="AJ366">
        <f>IF(OR(AJ$4="",$A366&gt;TODAY()),0,IF(OR(INDEX($B366:$D366,AJ$5)="F",AND(AJ$6&gt;0,$A366&lt;AJ$6),AND(AJ$7&gt;0,$A366&gt;AJ$7)),0,MAX(0,ROUND((INDEX($E366:$G366,AJ$5)-SUMIFS(TF_Timer,TF_Tekniker,AJ$4,TF_Dato,$A366))*2,0)/2)))</f>
        <v/>
      </c>
      <c r="AK366">
        <f>IF(OR(AK$4="",$A366&gt;TODAY()),0,IF(OR(INDEX($B366:$D366,AK$5)="F",AND(AK$6&gt;0,$A366&lt;AK$6),AND(AK$7&gt;0,$A366&gt;AK$7)),0,MAX(0,ROUND((INDEX($E366:$G366,AK$5)-SUMIFS(TF_Timer,TF_Tekniker,AK$4,TF_Dato,$A366))*2,0)/2)))</f>
        <v/>
      </c>
      <c r="AL366">
        <f>IF(OR(AL$4="",$A366&gt;TODAY()),0,IF(OR(INDEX($B366:$D366,AL$5)="F",AND(AL$6&gt;0,$A366&lt;AL$6),AND(AL$7&gt;0,$A366&gt;AL$7)),0,MAX(0,ROUND((INDEX($E366:$G366,AL$5)-SUMIFS(TF_Timer,TF_Tekniker,AL$4,TF_Dato,$A366))*2,0)/2)))</f>
        <v/>
      </c>
      <c r="AM366">
        <f>IF(OR(AM$4="",$A366&gt;TODAY()),0,IF(OR(INDEX($B366:$D366,AM$5)="F",AND(AM$6&gt;0,$A366&lt;AM$6),AND(AM$7&gt;0,$A366&gt;AM$7)),0,MAX(0,ROUND((INDEX($E366:$G366,AM$5)-SUMIFS(TF_Timer,TF_Tekniker,AM$4,TF_Dato,$A366))*2,0)/2)))</f>
        <v/>
      </c>
      <c r="AN366">
        <f>IF(OR(AN$4="",$A366&gt;TODAY()),0,IF(OR(INDEX($B366:$D366,AN$5)="F",AND(AN$6&gt;0,$A366&lt;AN$6),AND(AN$7&gt;0,$A366&gt;AN$7)),0,MAX(0,ROUND((INDEX($E366:$G366,AN$5)-SUMIFS(TF_Timer,TF_Tekniker,AN$4,TF_Dato,$A366))*2,0)/2)))</f>
        <v/>
      </c>
      <c r="AO366">
        <f>IF(OR(AO$4="",$A366&gt;TODAY()),0,IF(OR(INDEX($B366:$D366,AO$5)="F",AND(AO$6&gt;0,$A366&lt;AO$6),AND(AO$7&gt;0,$A366&gt;AO$7)),0,MAX(0,ROUND((INDEX($E366:$G366,AO$5)-SUMIFS(TF_Timer,TF_Tekniker,AO$4,TF_Dato,$A366))*2,0)/2)))</f>
        <v/>
      </c>
      <c r="AP366">
        <f>IF(OR(AP$4="",$A366&gt;TODAY()),0,IF(OR(INDEX($B366:$D366,AP$5)="F",AND(AP$6&gt;0,$A366&lt;AP$6),AND(AP$7&gt;0,$A366&gt;AP$7)),0,MAX(0,ROUND((INDEX($E366:$G366,AP$5)-SUMIFS(TF_Timer,TF_Tekniker,AP$4,TF_Dato,$A366))*2,0)/2)))</f>
        <v/>
      </c>
      <c r="AQ366">
        <f>IF(OR(AQ$4="",$A366&gt;TODAY()),0,IF(OR(INDEX($B366:$D366,AQ$5)="F",AND(AQ$6&gt;0,$A366&lt;AQ$6),AND(AQ$7&gt;0,$A366&gt;AQ$7)),0,MAX(0,ROUND((INDEX($E366:$G366,AQ$5)-SUMIFS(TF_Timer,TF_Tekniker,AQ$4,TF_Dato,$A366))*2,0)/2)))</f>
        <v/>
      </c>
      <c r="AR366">
        <f>IF(OR(AR$4="",$A366&gt;TODAY()),0,IF(OR(INDEX($B366:$D366,AR$5)="F",AND(AR$6&gt;0,$A366&lt;AR$6),AND(AR$7&gt;0,$A366&gt;AR$7)),0,MAX(0,ROUND((INDEX($E366:$G366,AR$5)-SUMIFS(TF_Timer,TF_Tekniker,AR$4,TF_Dato,$A366))*2,0)/2)))</f>
        <v/>
      </c>
      <c r="AS366">
        <f>IF(OR(AS$4="",$A366&gt;TODAY()),0,IF(OR(INDEX($B366:$D366,AS$5)="F",AND(AS$6&gt;0,$A366&lt;AS$6),AND(AS$7&gt;0,$A366&gt;AS$7)),0,MAX(0,ROUND((INDEX($E366:$G366,AS$5)-SUMIFS(TF_Timer,TF_Tekniker,AS$4,TF_Dato,$A366))*2,0)/2)))</f>
        <v/>
      </c>
      <c r="AT366">
        <f>IF(OR(AT$4="",$A366&gt;TODAY()),0,IF(OR(INDEX($B366:$D366,AT$5)="F",AND(AT$6&gt;0,$A366&lt;AT$6),AND(AT$7&gt;0,$A366&gt;AT$7)),0,MAX(0,ROUND((INDEX($E366:$G366,AT$5)-SUMIFS(TF_Timer,TF_Tekniker,AT$4,TF_Dato,$A366))*2,0)/2)))</f>
        <v/>
      </c>
      <c r="AU366">
        <f>IF(OR(AU$4="",$A366&gt;TODAY()),0,IF(OR(INDEX($B366:$D366,AU$5)="F",AND(AU$6&gt;0,$A366&lt;AU$6),AND(AU$7&gt;0,$A366&gt;AU$7)),0,MAX(0,ROUND((INDEX($E366:$G366,AU$5)-SUMIFS(TF_Timer,TF_Tekniker,AU$4,TF_Dato,$A366))*2,0)/2)))</f>
        <v/>
      </c>
      <c r="AV366">
        <f>IF(OR(AV$4="",$A366&gt;TODAY()),0,IF(OR(INDEX($B366:$D366,AV$5)="F",AND(AV$6&gt;0,$A366&lt;AV$6),AND(AV$7&gt;0,$A366&gt;AV$7)),0,MAX(0,ROUND((INDEX($E366:$G366,AV$5)-SUMIFS(TF_Timer,TF_Tekniker,AV$4,TF_Dato,$A366))*2,0)/2)))</f>
        <v/>
      </c>
      <c r="AW366">
        <f>IF(OR(AW$4="",$A366&gt;TODAY()),0,IF(OR(INDEX($B366:$D366,AW$5)="F",AND(AW$6&gt;0,$A366&lt;AW$6),AND(AW$7&gt;0,$A366&gt;AW$7)),0,MAX(0,ROUND((INDEX($E366:$G366,AW$5)-SUMIFS(TF_Timer,TF_Tekniker,AW$4,TF_Dato,$A366))*2,0)/2)))</f>
        <v/>
      </c>
      <c r="AX366">
        <f>IF(OR(AX$4="",$A366&gt;TODAY()),0,IF(OR(INDEX($B366:$D366,AX$5)="F",AND(AX$6&gt;0,$A366&lt;AX$6),AND(AX$7&gt;0,$A366&gt;AX$7)),0,MAX(0,ROUND((INDEX($E366:$G366,AX$5)-SUMIFS(TF_Timer,TF_Tekniker,AX$4,TF_Dato,$A366))*2,0)/2)))</f>
        <v/>
      </c>
      <c r="AY366">
        <f>IF(OR(AY$4="",$A366&gt;TODAY()),0,IF(OR(INDEX($B366:$D366,AY$5)="F",AND(AY$6&gt;0,$A366&lt;AY$6),AND(AY$7&gt;0,$A366&gt;AY$7)),0,MAX(0,ROUND((INDEX($E366:$G366,AY$5)-SUMIFS(TF_Timer,TF_Tekniker,AY$4,TF_Dato,$A366))*2,0)/2)))</f>
        <v/>
      </c>
      <c r="AZ366">
        <f>IF(OR(AZ$4="",$A366&gt;TODAY()),0,IF(OR(INDEX($B366:$D366,AZ$5)="F",AND(AZ$6&gt;0,$A366&lt;AZ$6),AND(AZ$7&gt;0,$A366&gt;AZ$7)),0,MAX(0,ROUND((INDEX($E366:$G366,AZ$5)-SUMIFS(TF_Timer,TF_Tekniker,AZ$4,TF_Dato,$A366))*2,0)/2)))</f>
        <v/>
      </c>
      <c r="BA366">
        <f>IF(OR(BA$4="",$A366&gt;TODAY()),0,IF(OR(INDEX($B366:$D366,BA$5)="F",AND(BA$6&gt;0,$A366&lt;BA$6),AND(BA$7&gt;0,$A366&gt;BA$7)),0,MAX(0,ROUND((INDEX($E366:$G366,BA$5)-SUMIFS(TF_Timer,TF_Tekniker,BA$4,TF_Dato,$A366))*2,0)/2)))</f>
        <v/>
      </c>
      <c r="BB366">
        <f>IF(OR(BB$4="",$A366&gt;TODAY()),0,IF(OR(INDEX($B366:$D366,BB$5)="F",AND(BB$6&gt;0,$A366&lt;BB$6),AND(BB$7&gt;0,$A366&gt;BB$7)),0,MAX(0,ROUND((INDEX($E366:$G366,BB$5)-SUMIFS(TF_Timer,TF_Tekniker,BB$4,TF_Dato,$A366))*2,0)/2)))</f>
        <v/>
      </c>
      <c r="BC366">
        <f>IF(OR(BC$4="",$A366&gt;TODAY()),0,IF(OR(INDEX($B366:$D366,BC$5)="F",AND(BC$6&gt;0,$A366&lt;BC$6),AND(BC$7&gt;0,$A366&gt;BC$7)),0,MAX(0,ROUND((INDEX($E366:$G366,BC$5)-SUMIFS(TF_Timer,TF_Tekniker,BC$4,TF_Dato,$A366))*2,0)/2)))</f>
        <v/>
      </c>
      <c r="BD366">
        <f>IF(OR(BD$4="",$A366&gt;TODAY()),0,IF(OR(INDEX($B366:$D366,BD$5)="F",AND(BD$6&gt;0,$A366&lt;BD$6),AND(BD$7&gt;0,$A366&gt;BD$7)),0,MAX(0,ROUND((INDEX($E366:$G366,BD$5)-SUMIFS(TF_Timer,TF_Tekniker,BD$4,TF_Dato,$A366))*2,0)/2)))</f>
        <v/>
      </c>
      <c r="BE366">
        <f>IF(OR(BE$4="",$A366&gt;TODAY()),0,IF(OR(INDEX($B366:$D366,BE$5)="F",AND(BE$6&gt;0,$A366&lt;BE$6),AND(BE$7&gt;0,$A366&gt;BE$7)),0,MAX(0,ROUND((INDEX($E366:$G366,BE$5)-SUMIFS(TF_Timer,TF_Tekniker,BE$4,TF_Dato,$A366))*2,0)/2)))</f>
        <v/>
      </c>
      <c r="BF366">
        <f>IF(OR(BF$4="",$A366&gt;TODAY()),0,IF(OR(INDEX($B366:$D366,BF$5)="F",AND(BF$6&gt;0,$A366&lt;BF$6),AND(BF$7&gt;0,$A366&gt;BF$7)),0,MAX(0,ROUND((INDEX($E366:$G366,BF$5)-SUMIFS(TF_Timer,TF_Tekniker,BF$4,TF_Dato,$A366))*2,0)/2)))</f>
        <v/>
      </c>
      <c r="BG366">
        <f>IF(OR(BG$4="",$A366&gt;TODAY()),0,IF(OR(INDEX($B366:$D366,BG$5)="F",AND(BG$6&gt;0,$A366&lt;BG$6),AND(BG$7&gt;0,$A366&gt;BG$7)),0,MAX(0,ROUND((INDEX($E366:$G366,BG$5)-SUMIFS(TF_Timer,TF_Tekniker,BG$4,TF_Dato,$A366))*2,0)/2)))</f>
        <v/>
      </c>
      <c r="BH366">
        <f>IF(OR(BH$4="",$A366&gt;TODAY()),0,IF(OR(INDEX($B366:$D366,BH$5)="F",AND(BH$6&gt;0,$A366&lt;BH$6),AND(BH$7&gt;0,$A366&gt;BH$7)),0,MAX(0,ROUND((INDEX($E366:$G366,BH$5)-SUMIFS(TF_Timer,TF_Tekniker,BH$4,TF_Dato,$A366))*2,0)/2)))</f>
        <v/>
      </c>
      <c r="BI366">
        <f>IF(OR(BI$4="",$A366&gt;TODAY()),0,IF(OR(INDEX($B366:$D366,BI$5)="F",AND(BI$6&gt;0,$A366&lt;BI$6),AND(BI$7&gt;0,$A366&gt;BI$7)),0,MAX(0,ROUND((INDEX($E366:$G366,BI$5)-SUMIFS(TF_Timer,TF_Tekniker,BI$4,TF_Dato,$A366))*2,0)/2)))</f>
        <v/>
      </c>
    </row>
    <row r="367">
      <c r="A367" s="64">
        <f>A366+1</f>
        <v/>
      </c>
      <c r="B367">
        <f>IF(MOD($A367-INDEX(SkiftStart,1),Syklus)&lt;DagK,"K",IF(MOD($A367-INDEX(SkiftStart,1),Syklus)&lt;DagK+DagH,"H",IF(MOD($A367-INDEX(SkiftStart,1),Syklus)&lt;DagK+DagH+DagD,"D","F")))</f>
        <v/>
      </c>
      <c r="C367">
        <f>IF(MOD($A367-INDEX(SkiftStart,2),Syklus)&lt;DagK,"K",IF(MOD($A367-INDEX(SkiftStart,2),Syklus)&lt;DagK+DagH,"H",IF(MOD($A367-INDEX(SkiftStart,2),Syklus)&lt;DagK+DagH+DagD,"D","F")))</f>
        <v/>
      </c>
      <c r="D367">
        <f>IF(MOD($A367-INDEX(SkiftStart,3),Syklus)&lt;DagK,"K",IF(MOD($A367-INDEX(SkiftStart,3),Syklus)&lt;DagK+DagH,"H",IF(MOD($A367-INDEX(SkiftStart,3),Syklus)&lt;DagK+DagH+DagD,"D","F")))</f>
        <v/>
      </c>
      <c r="E367">
        <f>IF(B367="F",0,IF(WEEKDAY($A367,2)=5,INDEX(TimerFr,MATCH(B367,FaseKode,0)),INDEX(TimerMT,MATCH(B367,FaseKode,0))))</f>
        <v/>
      </c>
      <c r="F367">
        <f>IF(C367="F",0,IF(WEEKDAY($A367,2)=5,INDEX(TimerFr,MATCH(C367,FaseKode,0)),INDEX(TimerMT,MATCH(C367,FaseKode,0))))</f>
        <v/>
      </c>
      <c r="G367">
        <f>IF(D367="F",0,IF(WEEKDAY($A367,2)=5,INDEX(TimerFr,MATCH(D367,FaseKode,0)),INDEX(TimerMT,MATCH(D367,FaseKode,0))))</f>
        <v/>
      </c>
      <c r="H367">
        <f>IF(OR(H$4="",$A367&gt;TODAY()),0,IF(OR(INDEX($B367:$D367,H$5)="F",AND(H$6&gt;0,$A367&lt;H$6),AND(H$7&gt;0,$A367&gt;H$7)),0,MAX(0,ROUND((INDEX($E367:$G367,H$5)-SUMIFS(TF_Timer,TF_Tekniker,H$4,TF_Dato,$A367))*2,0)/2)))</f>
        <v/>
      </c>
      <c r="I367">
        <f>IF(OR(I$4="",$A367&gt;TODAY()),0,IF(OR(INDEX($B367:$D367,I$5)="F",AND(I$6&gt;0,$A367&lt;I$6),AND(I$7&gt;0,$A367&gt;I$7)),0,MAX(0,ROUND((INDEX($E367:$G367,I$5)-SUMIFS(TF_Timer,TF_Tekniker,I$4,TF_Dato,$A367))*2,0)/2)))</f>
        <v/>
      </c>
      <c r="J367">
        <f>IF(OR(J$4="",$A367&gt;TODAY()),0,IF(OR(INDEX($B367:$D367,J$5)="F",AND(J$6&gt;0,$A367&lt;J$6),AND(J$7&gt;0,$A367&gt;J$7)),0,MAX(0,ROUND((INDEX($E367:$G367,J$5)-SUMIFS(TF_Timer,TF_Tekniker,J$4,TF_Dato,$A367))*2,0)/2)))</f>
        <v/>
      </c>
      <c r="K367">
        <f>IF(OR(K$4="",$A367&gt;TODAY()),0,IF(OR(INDEX($B367:$D367,K$5)="F",AND(K$6&gt;0,$A367&lt;K$6),AND(K$7&gt;0,$A367&gt;K$7)),0,MAX(0,ROUND((INDEX($E367:$G367,K$5)-SUMIFS(TF_Timer,TF_Tekniker,K$4,TF_Dato,$A367))*2,0)/2)))</f>
        <v/>
      </c>
      <c r="L367">
        <f>IF(OR(L$4="",$A367&gt;TODAY()),0,IF(OR(INDEX($B367:$D367,L$5)="F",AND(L$6&gt;0,$A367&lt;L$6),AND(L$7&gt;0,$A367&gt;L$7)),0,MAX(0,ROUND((INDEX($E367:$G367,L$5)-SUMIFS(TF_Timer,TF_Tekniker,L$4,TF_Dato,$A367))*2,0)/2)))</f>
        <v/>
      </c>
      <c r="M367">
        <f>IF(OR(M$4="",$A367&gt;TODAY()),0,IF(OR(INDEX($B367:$D367,M$5)="F",AND(M$6&gt;0,$A367&lt;M$6),AND(M$7&gt;0,$A367&gt;M$7)),0,MAX(0,ROUND((INDEX($E367:$G367,M$5)-SUMIFS(TF_Timer,TF_Tekniker,M$4,TF_Dato,$A367))*2,0)/2)))</f>
        <v/>
      </c>
      <c r="N367">
        <f>IF(OR(N$4="",$A367&gt;TODAY()),0,IF(OR(INDEX($B367:$D367,N$5)="F",AND(N$6&gt;0,$A367&lt;N$6),AND(N$7&gt;0,$A367&gt;N$7)),0,MAX(0,ROUND((INDEX($E367:$G367,N$5)-SUMIFS(TF_Timer,TF_Tekniker,N$4,TF_Dato,$A367))*2,0)/2)))</f>
        <v/>
      </c>
      <c r="O367">
        <f>IF(OR(O$4="",$A367&gt;TODAY()),0,IF(OR(INDEX($B367:$D367,O$5)="F",AND(O$6&gt;0,$A367&lt;O$6),AND(O$7&gt;0,$A367&gt;O$7)),0,MAX(0,ROUND((INDEX($E367:$G367,O$5)-SUMIFS(TF_Timer,TF_Tekniker,O$4,TF_Dato,$A367))*2,0)/2)))</f>
        <v/>
      </c>
      <c r="P367">
        <f>IF(OR(P$4="",$A367&gt;TODAY()),0,IF(OR(INDEX($B367:$D367,P$5)="F",AND(P$6&gt;0,$A367&lt;P$6),AND(P$7&gt;0,$A367&gt;P$7)),0,MAX(0,ROUND((INDEX($E367:$G367,P$5)-SUMIFS(TF_Timer,TF_Tekniker,P$4,TF_Dato,$A367))*2,0)/2)))</f>
        <v/>
      </c>
      <c r="Q367">
        <f>IF(OR(Q$4="",$A367&gt;TODAY()),0,IF(OR(INDEX($B367:$D367,Q$5)="F",AND(Q$6&gt;0,$A367&lt;Q$6),AND(Q$7&gt;0,$A367&gt;Q$7)),0,MAX(0,ROUND((INDEX($E367:$G367,Q$5)-SUMIFS(TF_Timer,TF_Tekniker,Q$4,TF_Dato,$A367))*2,0)/2)))</f>
        <v/>
      </c>
      <c r="R367">
        <f>IF(OR(R$4="",$A367&gt;TODAY()),0,IF(OR(INDEX($B367:$D367,R$5)="F",AND(R$6&gt;0,$A367&lt;R$6),AND(R$7&gt;0,$A367&gt;R$7)),0,MAX(0,ROUND((INDEX($E367:$G367,R$5)-SUMIFS(TF_Timer,TF_Tekniker,R$4,TF_Dato,$A367))*2,0)/2)))</f>
        <v/>
      </c>
      <c r="S367">
        <f>IF(OR(S$4="",$A367&gt;TODAY()),0,IF(OR(INDEX($B367:$D367,S$5)="F",AND(S$6&gt;0,$A367&lt;S$6),AND(S$7&gt;0,$A367&gt;S$7)),0,MAX(0,ROUND((INDEX($E367:$G367,S$5)-SUMIFS(TF_Timer,TF_Tekniker,S$4,TF_Dato,$A367))*2,0)/2)))</f>
        <v/>
      </c>
      <c r="T367">
        <f>IF(OR(T$4="",$A367&gt;TODAY()),0,IF(OR(INDEX($B367:$D367,T$5)="F",AND(T$6&gt;0,$A367&lt;T$6),AND(T$7&gt;0,$A367&gt;T$7)),0,MAX(0,ROUND((INDEX($E367:$G367,T$5)-SUMIFS(TF_Timer,TF_Tekniker,T$4,TF_Dato,$A367))*2,0)/2)))</f>
        <v/>
      </c>
      <c r="U367">
        <f>IF(OR(U$4="",$A367&gt;TODAY()),0,IF(OR(INDEX($B367:$D367,U$5)="F",AND(U$6&gt;0,$A367&lt;U$6),AND(U$7&gt;0,$A367&gt;U$7)),0,MAX(0,ROUND((INDEX($E367:$G367,U$5)-SUMIFS(TF_Timer,TF_Tekniker,U$4,TF_Dato,$A367))*2,0)/2)))</f>
        <v/>
      </c>
      <c r="V367">
        <f>IF(OR(V$4="",$A367&gt;TODAY()),0,IF(OR(INDEX($B367:$D367,V$5)="F",AND(V$6&gt;0,$A367&lt;V$6),AND(V$7&gt;0,$A367&gt;V$7)),0,MAX(0,ROUND((INDEX($E367:$G367,V$5)-SUMIFS(TF_Timer,TF_Tekniker,V$4,TF_Dato,$A367))*2,0)/2)))</f>
        <v/>
      </c>
      <c r="W367">
        <f>IF(OR(W$4="",$A367&gt;TODAY()),0,IF(OR(INDEX($B367:$D367,W$5)="F",AND(W$6&gt;0,$A367&lt;W$6),AND(W$7&gt;0,$A367&gt;W$7)),0,MAX(0,ROUND((INDEX($E367:$G367,W$5)-SUMIFS(TF_Timer,TF_Tekniker,W$4,TF_Dato,$A367))*2,0)/2)))</f>
        <v/>
      </c>
      <c r="X367">
        <f>IF(OR(X$4="",$A367&gt;TODAY()),0,IF(OR(INDEX($B367:$D367,X$5)="F",AND(X$6&gt;0,$A367&lt;X$6),AND(X$7&gt;0,$A367&gt;X$7)),0,MAX(0,ROUND((INDEX($E367:$G367,X$5)-SUMIFS(TF_Timer,TF_Tekniker,X$4,TF_Dato,$A367))*2,0)/2)))</f>
        <v/>
      </c>
      <c r="Y367">
        <f>IF(OR(Y$4="",$A367&gt;TODAY()),0,IF(OR(INDEX($B367:$D367,Y$5)="F",AND(Y$6&gt;0,$A367&lt;Y$6),AND(Y$7&gt;0,$A367&gt;Y$7)),0,MAX(0,ROUND((INDEX($E367:$G367,Y$5)-SUMIFS(TF_Timer,TF_Tekniker,Y$4,TF_Dato,$A367))*2,0)/2)))</f>
        <v/>
      </c>
      <c r="Z367">
        <f>IF(OR(Z$4="",$A367&gt;TODAY()),0,IF(OR(INDEX($B367:$D367,Z$5)="F",AND(Z$6&gt;0,$A367&lt;Z$6),AND(Z$7&gt;0,$A367&gt;Z$7)),0,MAX(0,ROUND((INDEX($E367:$G367,Z$5)-SUMIFS(TF_Timer,TF_Tekniker,Z$4,TF_Dato,$A367))*2,0)/2)))</f>
        <v/>
      </c>
      <c r="AA367">
        <f>IF(OR(AA$4="",$A367&gt;TODAY()),0,IF(OR(INDEX($B367:$D367,AA$5)="F",AND(AA$6&gt;0,$A367&lt;AA$6),AND(AA$7&gt;0,$A367&gt;AA$7)),0,MAX(0,ROUND((INDEX($E367:$G367,AA$5)-SUMIFS(TF_Timer,TF_Tekniker,AA$4,TF_Dato,$A367))*2,0)/2)))</f>
        <v/>
      </c>
      <c r="AB367">
        <f>IF(OR(AB$4="",$A367&gt;TODAY()),0,IF(OR(INDEX($B367:$D367,AB$5)="F",AND(AB$6&gt;0,$A367&lt;AB$6),AND(AB$7&gt;0,$A367&gt;AB$7)),0,MAX(0,ROUND((INDEX($E367:$G367,AB$5)-SUMIFS(TF_Timer,TF_Tekniker,AB$4,TF_Dato,$A367))*2,0)/2)))</f>
        <v/>
      </c>
      <c r="AC367">
        <f>IF(OR(AC$4="",$A367&gt;TODAY()),0,IF(OR(INDEX($B367:$D367,AC$5)="F",AND(AC$6&gt;0,$A367&lt;AC$6),AND(AC$7&gt;0,$A367&gt;AC$7)),0,MAX(0,ROUND((INDEX($E367:$G367,AC$5)-SUMIFS(TF_Timer,TF_Tekniker,AC$4,TF_Dato,$A367))*2,0)/2)))</f>
        <v/>
      </c>
      <c r="AD367">
        <f>IF(OR(AD$4="",$A367&gt;TODAY()),0,IF(OR(INDEX($B367:$D367,AD$5)="F",AND(AD$6&gt;0,$A367&lt;AD$6),AND(AD$7&gt;0,$A367&gt;AD$7)),0,MAX(0,ROUND((INDEX($E367:$G367,AD$5)-SUMIFS(TF_Timer,TF_Tekniker,AD$4,TF_Dato,$A367))*2,0)/2)))</f>
        <v/>
      </c>
      <c r="AE367">
        <f>IF(OR(AE$4="",$A367&gt;TODAY()),0,IF(OR(INDEX($B367:$D367,AE$5)="F",AND(AE$6&gt;0,$A367&lt;AE$6),AND(AE$7&gt;0,$A367&gt;AE$7)),0,MAX(0,ROUND((INDEX($E367:$G367,AE$5)-SUMIFS(TF_Timer,TF_Tekniker,AE$4,TF_Dato,$A367))*2,0)/2)))</f>
        <v/>
      </c>
      <c r="AF367">
        <f>IF(OR(AF$4="",$A367&gt;TODAY()),0,IF(OR(INDEX($B367:$D367,AF$5)="F",AND(AF$6&gt;0,$A367&lt;AF$6),AND(AF$7&gt;0,$A367&gt;AF$7)),0,MAX(0,ROUND((INDEX($E367:$G367,AF$5)-SUMIFS(TF_Timer,TF_Tekniker,AF$4,TF_Dato,$A367))*2,0)/2)))</f>
        <v/>
      </c>
      <c r="AG367">
        <f>IF(OR(AG$4="",$A367&gt;TODAY()),0,IF(OR(INDEX($B367:$D367,AG$5)="F",AND(AG$6&gt;0,$A367&lt;AG$6),AND(AG$7&gt;0,$A367&gt;AG$7)),0,MAX(0,ROUND((INDEX($E367:$G367,AG$5)-SUMIFS(TF_Timer,TF_Tekniker,AG$4,TF_Dato,$A367))*2,0)/2)))</f>
        <v/>
      </c>
      <c r="AH367">
        <f>IF(OR(AH$4="",$A367&gt;TODAY()),0,IF(OR(INDEX($B367:$D367,AH$5)="F",AND(AH$6&gt;0,$A367&lt;AH$6),AND(AH$7&gt;0,$A367&gt;AH$7)),0,MAX(0,ROUND((INDEX($E367:$G367,AH$5)-SUMIFS(TF_Timer,TF_Tekniker,AH$4,TF_Dato,$A367))*2,0)/2)))</f>
        <v/>
      </c>
      <c r="AI367">
        <f>IF(OR(AI$4="",$A367&gt;TODAY()),0,IF(OR(INDEX($B367:$D367,AI$5)="F",AND(AI$6&gt;0,$A367&lt;AI$6),AND(AI$7&gt;0,$A367&gt;AI$7)),0,MAX(0,ROUND((INDEX($E367:$G367,AI$5)-SUMIFS(TF_Timer,TF_Tekniker,AI$4,TF_Dato,$A367))*2,0)/2)))</f>
        <v/>
      </c>
      <c r="AJ367">
        <f>IF(OR(AJ$4="",$A367&gt;TODAY()),0,IF(OR(INDEX($B367:$D367,AJ$5)="F",AND(AJ$6&gt;0,$A367&lt;AJ$6),AND(AJ$7&gt;0,$A367&gt;AJ$7)),0,MAX(0,ROUND((INDEX($E367:$G367,AJ$5)-SUMIFS(TF_Timer,TF_Tekniker,AJ$4,TF_Dato,$A367))*2,0)/2)))</f>
        <v/>
      </c>
      <c r="AK367">
        <f>IF(OR(AK$4="",$A367&gt;TODAY()),0,IF(OR(INDEX($B367:$D367,AK$5)="F",AND(AK$6&gt;0,$A367&lt;AK$6),AND(AK$7&gt;0,$A367&gt;AK$7)),0,MAX(0,ROUND((INDEX($E367:$G367,AK$5)-SUMIFS(TF_Timer,TF_Tekniker,AK$4,TF_Dato,$A367))*2,0)/2)))</f>
        <v/>
      </c>
      <c r="AL367">
        <f>IF(OR(AL$4="",$A367&gt;TODAY()),0,IF(OR(INDEX($B367:$D367,AL$5)="F",AND(AL$6&gt;0,$A367&lt;AL$6),AND(AL$7&gt;0,$A367&gt;AL$7)),0,MAX(0,ROUND((INDEX($E367:$G367,AL$5)-SUMIFS(TF_Timer,TF_Tekniker,AL$4,TF_Dato,$A367))*2,0)/2)))</f>
        <v/>
      </c>
      <c r="AM367">
        <f>IF(OR(AM$4="",$A367&gt;TODAY()),0,IF(OR(INDEX($B367:$D367,AM$5)="F",AND(AM$6&gt;0,$A367&lt;AM$6),AND(AM$7&gt;0,$A367&gt;AM$7)),0,MAX(0,ROUND((INDEX($E367:$G367,AM$5)-SUMIFS(TF_Timer,TF_Tekniker,AM$4,TF_Dato,$A367))*2,0)/2)))</f>
        <v/>
      </c>
      <c r="AN367">
        <f>IF(OR(AN$4="",$A367&gt;TODAY()),0,IF(OR(INDEX($B367:$D367,AN$5)="F",AND(AN$6&gt;0,$A367&lt;AN$6),AND(AN$7&gt;0,$A367&gt;AN$7)),0,MAX(0,ROUND((INDEX($E367:$G367,AN$5)-SUMIFS(TF_Timer,TF_Tekniker,AN$4,TF_Dato,$A367))*2,0)/2)))</f>
        <v/>
      </c>
      <c r="AO367">
        <f>IF(OR(AO$4="",$A367&gt;TODAY()),0,IF(OR(INDEX($B367:$D367,AO$5)="F",AND(AO$6&gt;0,$A367&lt;AO$6),AND(AO$7&gt;0,$A367&gt;AO$7)),0,MAX(0,ROUND((INDEX($E367:$G367,AO$5)-SUMIFS(TF_Timer,TF_Tekniker,AO$4,TF_Dato,$A367))*2,0)/2)))</f>
        <v/>
      </c>
      <c r="AP367">
        <f>IF(OR(AP$4="",$A367&gt;TODAY()),0,IF(OR(INDEX($B367:$D367,AP$5)="F",AND(AP$6&gt;0,$A367&lt;AP$6),AND(AP$7&gt;0,$A367&gt;AP$7)),0,MAX(0,ROUND((INDEX($E367:$G367,AP$5)-SUMIFS(TF_Timer,TF_Tekniker,AP$4,TF_Dato,$A367))*2,0)/2)))</f>
        <v/>
      </c>
      <c r="AQ367">
        <f>IF(OR(AQ$4="",$A367&gt;TODAY()),0,IF(OR(INDEX($B367:$D367,AQ$5)="F",AND(AQ$6&gt;0,$A367&lt;AQ$6),AND(AQ$7&gt;0,$A367&gt;AQ$7)),0,MAX(0,ROUND((INDEX($E367:$G367,AQ$5)-SUMIFS(TF_Timer,TF_Tekniker,AQ$4,TF_Dato,$A367))*2,0)/2)))</f>
        <v/>
      </c>
      <c r="AR367">
        <f>IF(OR(AR$4="",$A367&gt;TODAY()),0,IF(OR(INDEX($B367:$D367,AR$5)="F",AND(AR$6&gt;0,$A367&lt;AR$6),AND(AR$7&gt;0,$A367&gt;AR$7)),0,MAX(0,ROUND((INDEX($E367:$G367,AR$5)-SUMIFS(TF_Timer,TF_Tekniker,AR$4,TF_Dato,$A367))*2,0)/2)))</f>
        <v/>
      </c>
      <c r="AS367">
        <f>IF(OR(AS$4="",$A367&gt;TODAY()),0,IF(OR(INDEX($B367:$D367,AS$5)="F",AND(AS$6&gt;0,$A367&lt;AS$6),AND(AS$7&gt;0,$A367&gt;AS$7)),0,MAX(0,ROUND((INDEX($E367:$G367,AS$5)-SUMIFS(TF_Timer,TF_Tekniker,AS$4,TF_Dato,$A367))*2,0)/2)))</f>
        <v/>
      </c>
      <c r="AT367">
        <f>IF(OR(AT$4="",$A367&gt;TODAY()),0,IF(OR(INDEX($B367:$D367,AT$5)="F",AND(AT$6&gt;0,$A367&lt;AT$6),AND(AT$7&gt;0,$A367&gt;AT$7)),0,MAX(0,ROUND((INDEX($E367:$G367,AT$5)-SUMIFS(TF_Timer,TF_Tekniker,AT$4,TF_Dato,$A367))*2,0)/2)))</f>
        <v/>
      </c>
      <c r="AU367">
        <f>IF(OR(AU$4="",$A367&gt;TODAY()),0,IF(OR(INDEX($B367:$D367,AU$5)="F",AND(AU$6&gt;0,$A367&lt;AU$6),AND(AU$7&gt;0,$A367&gt;AU$7)),0,MAX(0,ROUND((INDEX($E367:$G367,AU$5)-SUMIFS(TF_Timer,TF_Tekniker,AU$4,TF_Dato,$A367))*2,0)/2)))</f>
        <v/>
      </c>
      <c r="AV367">
        <f>IF(OR(AV$4="",$A367&gt;TODAY()),0,IF(OR(INDEX($B367:$D367,AV$5)="F",AND(AV$6&gt;0,$A367&lt;AV$6),AND(AV$7&gt;0,$A367&gt;AV$7)),0,MAX(0,ROUND((INDEX($E367:$G367,AV$5)-SUMIFS(TF_Timer,TF_Tekniker,AV$4,TF_Dato,$A367))*2,0)/2)))</f>
        <v/>
      </c>
      <c r="AW367">
        <f>IF(OR(AW$4="",$A367&gt;TODAY()),0,IF(OR(INDEX($B367:$D367,AW$5)="F",AND(AW$6&gt;0,$A367&lt;AW$6),AND(AW$7&gt;0,$A367&gt;AW$7)),0,MAX(0,ROUND((INDEX($E367:$G367,AW$5)-SUMIFS(TF_Timer,TF_Tekniker,AW$4,TF_Dato,$A367))*2,0)/2)))</f>
        <v/>
      </c>
      <c r="AX367">
        <f>IF(OR(AX$4="",$A367&gt;TODAY()),0,IF(OR(INDEX($B367:$D367,AX$5)="F",AND(AX$6&gt;0,$A367&lt;AX$6),AND(AX$7&gt;0,$A367&gt;AX$7)),0,MAX(0,ROUND((INDEX($E367:$G367,AX$5)-SUMIFS(TF_Timer,TF_Tekniker,AX$4,TF_Dato,$A367))*2,0)/2)))</f>
        <v/>
      </c>
      <c r="AY367">
        <f>IF(OR(AY$4="",$A367&gt;TODAY()),0,IF(OR(INDEX($B367:$D367,AY$5)="F",AND(AY$6&gt;0,$A367&lt;AY$6),AND(AY$7&gt;0,$A367&gt;AY$7)),0,MAX(0,ROUND((INDEX($E367:$G367,AY$5)-SUMIFS(TF_Timer,TF_Tekniker,AY$4,TF_Dato,$A367))*2,0)/2)))</f>
        <v/>
      </c>
      <c r="AZ367">
        <f>IF(OR(AZ$4="",$A367&gt;TODAY()),0,IF(OR(INDEX($B367:$D367,AZ$5)="F",AND(AZ$6&gt;0,$A367&lt;AZ$6),AND(AZ$7&gt;0,$A367&gt;AZ$7)),0,MAX(0,ROUND((INDEX($E367:$G367,AZ$5)-SUMIFS(TF_Timer,TF_Tekniker,AZ$4,TF_Dato,$A367))*2,0)/2)))</f>
        <v/>
      </c>
      <c r="BA367">
        <f>IF(OR(BA$4="",$A367&gt;TODAY()),0,IF(OR(INDEX($B367:$D367,BA$5)="F",AND(BA$6&gt;0,$A367&lt;BA$6),AND(BA$7&gt;0,$A367&gt;BA$7)),0,MAX(0,ROUND((INDEX($E367:$G367,BA$5)-SUMIFS(TF_Timer,TF_Tekniker,BA$4,TF_Dato,$A367))*2,0)/2)))</f>
        <v/>
      </c>
      <c r="BB367">
        <f>IF(OR(BB$4="",$A367&gt;TODAY()),0,IF(OR(INDEX($B367:$D367,BB$5)="F",AND(BB$6&gt;0,$A367&lt;BB$6),AND(BB$7&gt;0,$A367&gt;BB$7)),0,MAX(0,ROUND((INDEX($E367:$G367,BB$5)-SUMIFS(TF_Timer,TF_Tekniker,BB$4,TF_Dato,$A367))*2,0)/2)))</f>
        <v/>
      </c>
      <c r="BC367">
        <f>IF(OR(BC$4="",$A367&gt;TODAY()),0,IF(OR(INDEX($B367:$D367,BC$5)="F",AND(BC$6&gt;0,$A367&lt;BC$6),AND(BC$7&gt;0,$A367&gt;BC$7)),0,MAX(0,ROUND((INDEX($E367:$G367,BC$5)-SUMIFS(TF_Timer,TF_Tekniker,BC$4,TF_Dato,$A367))*2,0)/2)))</f>
        <v/>
      </c>
      <c r="BD367">
        <f>IF(OR(BD$4="",$A367&gt;TODAY()),0,IF(OR(INDEX($B367:$D367,BD$5)="F",AND(BD$6&gt;0,$A367&lt;BD$6),AND(BD$7&gt;0,$A367&gt;BD$7)),0,MAX(0,ROUND((INDEX($E367:$G367,BD$5)-SUMIFS(TF_Timer,TF_Tekniker,BD$4,TF_Dato,$A367))*2,0)/2)))</f>
        <v/>
      </c>
      <c r="BE367">
        <f>IF(OR(BE$4="",$A367&gt;TODAY()),0,IF(OR(INDEX($B367:$D367,BE$5)="F",AND(BE$6&gt;0,$A367&lt;BE$6),AND(BE$7&gt;0,$A367&gt;BE$7)),0,MAX(0,ROUND((INDEX($E367:$G367,BE$5)-SUMIFS(TF_Timer,TF_Tekniker,BE$4,TF_Dato,$A367))*2,0)/2)))</f>
        <v/>
      </c>
      <c r="BF367">
        <f>IF(OR(BF$4="",$A367&gt;TODAY()),0,IF(OR(INDEX($B367:$D367,BF$5)="F",AND(BF$6&gt;0,$A367&lt;BF$6),AND(BF$7&gt;0,$A367&gt;BF$7)),0,MAX(0,ROUND((INDEX($E367:$G367,BF$5)-SUMIFS(TF_Timer,TF_Tekniker,BF$4,TF_Dato,$A367))*2,0)/2)))</f>
        <v/>
      </c>
      <c r="BG367">
        <f>IF(OR(BG$4="",$A367&gt;TODAY()),0,IF(OR(INDEX($B367:$D367,BG$5)="F",AND(BG$6&gt;0,$A367&lt;BG$6),AND(BG$7&gt;0,$A367&gt;BG$7)),0,MAX(0,ROUND((INDEX($E367:$G367,BG$5)-SUMIFS(TF_Timer,TF_Tekniker,BG$4,TF_Dato,$A367))*2,0)/2)))</f>
        <v/>
      </c>
      <c r="BH367">
        <f>IF(OR(BH$4="",$A367&gt;TODAY()),0,IF(OR(INDEX($B367:$D367,BH$5)="F",AND(BH$6&gt;0,$A367&lt;BH$6),AND(BH$7&gt;0,$A367&gt;BH$7)),0,MAX(0,ROUND((INDEX($E367:$G367,BH$5)-SUMIFS(TF_Timer,TF_Tekniker,BH$4,TF_Dato,$A367))*2,0)/2)))</f>
        <v/>
      </c>
      <c r="BI367">
        <f>IF(OR(BI$4="",$A367&gt;TODAY()),0,IF(OR(INDEX($B367:$D367,BI$5)="F",AND(BI$6&gt;0,$A367&lt;BI$6),AND(BI$7&gt;0,$A367&gt;BI$7)),0,MAX(0,ROUND((INDEX($E367:$G367,BI$5)-SUMIFS(TF_Timer,TF_Tekniker,BI$4,TF_Dato,$A367))*2,0)/2)))</f>
        <v/>
      </c>
    </row>
    <row r="368">
      <c r="A368" s="64">
        <f>A367+1</f>
        <v/>
      </c>
      <c r="B368">
        <f>IF(MOD($A368-INDEX(SkiftStart,1),Syklus)&lt;DagK,"K",IF(MOD($A368-INDEX(SkiftStart,1),Syklus)&lt;DagK+DagH,"H",IF(MOD($A368-INDEX(SkiftStart,1),Syklus)&lt;DagK+DagH+DagD,"D","F")))</f>
        <v/>
      </c>
      <c r="C368">
        <f>IF(MOD($A368-INDEX(SkiftStart,2),Syklus)&lt;DagK,"K",IF(MOD($A368-INDEX(SkiftStart,2),Syklus)&lt;DagK+DagH,"H",IF(MOD($A368-INDEX(SkiftStart,2),Syklus)&lt;DagK+DagH+DagD,"D","F")))</f>
        <v/>
      </c>
      <c r="D368">
        <f>IF(MOD($A368-INDEX(SkiftStart,3),Syklus)&lt;DagK,"K",IF(MOD($A368-INDEX(SkiftStart,3),Syklus)&lt;DagK+DagH,"H",IF(MOD($A368-INDEX(SkiftStart,3),Syklus)&lt;DagK+DagH+DagD,"D","F")))</f>
        <v/>
      </c>
      <c r="E368">
        <f>IF(B368="F",0,IF(WEEKDAY($A368,2)=5,INDEX(TimerFr,MATCH(B368,FaseKode,0)),INDEX(TimerMT,MATCH(B368,FaseKode,0))))</f>
        <v/>
      </c>
      <c r="F368">
        <f>IF(C368="F",0,IF(WEEKDAY($A368,2)=5,INDEX(TimerFr,MATCH(C368,FaseKode,0)),INDEX(TimerMT,MATCH(C368,FaseKode,0))))</f>
        <v/>
      </c>
      <c r="G368">
        <f>IF(D368="F",0,IF(WEEKDAY($A368,2)=5,INDEX(TimerFr,MATCH(D368,FaseKode,0)),INDEX(TimerMT,MATCH(D368,FaseKode,0))))</f>
        <v/>
      </c>
      <c r="H368">
        <f>IF(OR(H$4="",$A368&gt;TODAY()),0,IF(OR(INDEX($B368:$D368,H$5)="F",AND(H$6&gt;0,$A368&lt;H$6),AND(H$7&gt;0,$A368&gt;H$7)),0,MAX(0,ROUND((INDEX($E368:$G368,H$5)-SUMIFS(TF_Timer,TF_Tekniker,H$4,TF_Dato,$A368))*2,0)/2)))</f>
        <v/>
      </c>
      <c r="I368">
        <f>IF(OR(I$4="",$A368&gt;TODAY()),0,IF(OR(INDEX($B368:$D368,I$5)="F",AND(I$6&gt;0,$A368&lt;I$6),AND(I$7&gt;0,$A368&gt;I$7)),0,MAX(0,ROUND((INDEX($E368:$G368,I$5)-SUMIFS(TF_Timer,TF_Tekniker,I$4,TF_Dato,$A368))*2,0)/2)))</f>
        <v/>
      </c>
      <c r="J368">
        <f>IF(OR(J$4="",$A368&gt;TODAY()),0,IF(OR(INDEX($B368:$D368,J$5)="F",AND(J$6&gt;0,$A368&lt;J$6),AND(J$7&gt;0,$A368&gt;J$7)),0,MAX(0,ROUND((INDEX($E368:$G368,J$5)-SUMIFS(TF_Timer,TF_Tekniker,J$4,TF_Dato,$A368))*2,0)/2)))</f>
        <v/>
      </c>
      <c r="K368">
        <f>IF(OR(K$4="",$A368&gt;TODAY()),0,IF(OR(INDEX($B368:$D368,K$5)="F",AND(K$6&gt;0,$A368&lt;K$6),AND(K$7&gt;0,$A368&gt;K$7)),0,MAX(0,ROUND((INDEX($E368:$G368,K$5)-SUMIFS(TF_Timer,TF_Tekniker,K$4,TF_Dato,$A368))*2,0)/2)))</f>
        <v/>
      </c>
      <c r="L368">
        <f>IF(OR(L$4="",$A368&gt;TODAY()),0,IF(OR(INDEX($B368:$D368,L$5)="F",AND(L$6&gt;0,$A368&lt;L$6),AND(L$7&gt;0,$A368&gt;L$7)),0,MAX(0,ROUND((INDEX($E368:$G368,L$5)-SUMIFS(TF_Timer,TF_Tekniker,L$4,TF_Dato,$A368))*2,0)/2)))</f>
        <v/>
      </c>
      <c r="M368">
        <f>IF(OR(M$4="",$A368&gt;TODAY()),0,IF(OR(INDEX($B368:$D368,M$5)="F",AND(M$6&gt;0,$A368&lt;M$6),AND(M$7&gt;0,$A368&gt;M$7)),0,MAX(0,ROUND((INDEX($E368:$G368,M$5)-SUMIFS(TF_Timer,TF_Tekniker,M$4,TF_Dato,$A368))*2,0)/2)))</f>
        <v/>
      </c>
      <c r="N368">
        <f>IF(OR(N$4="",$A368&gt;TODAY()),0,IF(OR(INDEX($B368:$D368,N$5)="F",AND(N$6&gt;0,$A368&lt;N$6),AND(N$7&gt;0,$A368&gt;N$7)),0,MAX(0,ROUND((INDEX($E368:$G368,N$5)-SUMIFS(TF_Timer,TF_Tekniker,N$4,TF_Dato,$A368))*2,0)/2)))</f>
        <v/>
      </c>
      <c r="O368">
        <f>IF(OR(O$4="",$A368&gt;TODAY()),0,IF(OR(INDEX($B368:$D368,O$5)="F",AND(O$6&gt;0,$A368&lt;O$6),AND(O$7&gt;0,$A368&gt;O$7)),0,MAX(0,ROUND((INDEX($E368:$G368,O$5)-SUMIFS(TF_Timer,TF_Tekniker,O$4,TF_Dato,$A368))*2,0)/2)))</f>
        <v/>
      </c>
      <c r="P368">
        <f>IF(OR(P$4="",$A368&gt;TODAY()),0,IF(OR(INDEX($B368:$D368,P$5)="F",AND(P$6&gt;0,$A368&lt;P$6),AND(P$7&gt;0,$A368&gt;P$7)),0,MAX(0,ROUND((INDEX($E368:$G368,P$5)-SUMIFS(TF_Timer,TF_Tekniker,P$4,TF_Dato,$A368))*2,0)/2)))</f>
        <v/>
      </c>
      <c r="Q368">
        <f>IF(OR(Q$4="",$A368&gt;TODAY()),0,IF(OR(INDEX($B368:$D368,Q$5)="F",AND(Q$6&gt;0,$A368&lt;Q$6),AND(Q$7&gt;0,$A368&gt;Q$7)),0,MAX(0,ROUND((INDEX($E368:$G368,Q$5)-SUMIFS(TF_Timer,TF_Tekniker,Q$4,TF_Dato,$A368))*2,0)/2)))</f>
        <v/>
      </c>
      <c r="R368">
        <f>IF(OR(R$4="",$A368&gt;TODAY()),0,IF(OR(INDEX($B368:$D368,R$5)="F",AND(R$6&gt;0,$A368&lt;R$6),AND(R$7&gt;0,$A368&gt;R$7)),0,MAX(0,ROUND((INDEX($E368:$G368,R$5)-SUMIFS(TF_Timer,TF_Tekniker,R$4,TF_Dato,$A368))*2,0)/2)))</f>
        <v/>
      </c>
      <c r="S368">
        <f>IF(OR(S$4="",$A368&gt;TODAY()),0,IF(OR(INDEX($B368:$D368,S$5)="F",AND(S$6&gt;0,$A368&lt;S$6),AND(S$7&gt;0,$A368&gt;S$7)),0,MAX(0,ROUND((INDEX($E368:$G368,S$5)-SUMIFS(TF_Timer,TF_Tekniker,S$4,TF_Dato,$A368))*2,0)/2)))</f>
        <v/>
      </c>
      <c r="T368">
        <f>IF(OR(T$4="",$A368&gt;TODAY()),0,IF(OR(INDEX($B368:$D368,T$5)="F",AND(T$6&gt;0,$A368&lt;T$6),AND(T$7&gt;0,$A368&gt;T$7)),0,MAX(0,ROUND((INDEX($E368:$G368,T$5)-SUMIFS(TF_Timer,TF_Tekniker,T$4,TF_Dato,$A368))*2,0)/2)))</f>
        <v/>
      </c>
      <c r="U368">
        <f>IF(OR(U$4="",$A368&gt;TODAY()),0,IF(OR(INDEX($B368:$D368,U$5)="F",AND(U$6&gt;0,$A368&lt;U$6),AND(U$7&gt;0,$A368&gt;U$7)),0,MAX(0,ROUND((INDEX($E368:$G368,U$5)-SUMIFS(TF_Timer,TF_Tekniker,U$4,TF_Dato,$A368))*2,0)/2)))</f>
        <v/>
      </c>
      <c r="V368">
        <f>IF(OR(V$4="",$A368&gt;TODAY()),0,IF(OR(INDEX($B368:$D368,V$5)="F",AND(V$6&gt;0,$A368&lt;V$6),AND(V$7&gt;0,$A368&gt;V$7)),0,MAX(0,ROUND((INDEX($E368:$G368,V$5)-SUMIFS(TF_Timer,TF_Tekniker,V$4,TF_Dato,$A368))*2,0)/2)))</f>
        <v/>
      </c>
      <c r="W368">
        <f>IF(OR(W$4="",$A368&gt;TODAY()),0,IF(OR(INDEX($B368:$D368,W$5)="F",AND(W$6&gt;0,$A368&lt;W$6),AND(W$7&gt;0,$A368&gt;W$7)),0,MAX(0,ROUND((INDEX($E368:$G368,W$5)-SUMIFS(TF_Timer,TF_Tekniker,W$4,TF_Dato,$A368))*2,0)/2)))</f>
        <v/>
      </c>
      <c r="X368">
        <f>IF(OR(X$4="",$A368&gt;TODAY()),0,IF(OR(INDEX($B368:$D368,X$5)="F",AND(X$6&gt;0,$A368&lt;X$6),AND(X$7&gt;0,$A368&gt;X$7)),0,MAX(0,ROUND((INDEX($E368:$G368,X$5)-SUMIFS(TF_Timer,TF_Tekniker,X$4,TF_Dato,$A368))*2,0)/2)))</f>
        <v/>
      </c>
      <c r="Y368">
        <f>IF(OR(Y$4="",$A368&gt;TODAY()),0,IF(OR(INDEX($B368:$D368,Y$5)="F",AND(Y$6&gt;0,$A368&lt;Y$6),AND(Y$7&gt;0,$A368&gt;Y$7)),0,MAX(0,ROUND((INDEX($E368:$G368,Y$5)-SUMIFS(TF_Timer,TF_Tekniker,Y$4,TF_Dato,$A368))*2,0)/2)))</f>
        <v/>
      </c>
      <c r="Z368">
        <f>IF(OR(Z$4="",$A368&gt;TODAY()),0,IF(OR(INDEX($B368:$D368,Z$5)="F",AND(Z$6&gt;0,$A368&lt;Z$6),AND(Z$7&gt;0,$A368&gt;Z$7)),0,MAX(0,ROUND((INDEX($E368:$G368,Z$5)-SUMIFS(TF_Timer,TF_Tekniker,Z$4,TF_Dato,$A368))*2,0)/2)))</f>
        <v/>
      </c>
      <c r="AA368">
        <f>IF(OR(AA$4="",$A368&gt;TODAY()),0,IF(OR(INDEX($B368:$D368,AA$5)="F",AND(AA$6&gt;0,$A368&lt;AA$6),AND(AA$7&gt;0,$A368&gt;AA$7)),0,MAX(0,ROUND((INDEX($E368:$G368,AA$5)-SUMIFS(TF_Timer,TF_Tekniker,AA$4,TF_Dato,$A368))*2,0)/2)))</f>
        <v/>
      </c>
      <c r="AB368">
        <f>IF(OR(AB$4="",$A368&gt;TODAY()),0,IF(OR(INDEX($B368:$D368,AB$5)="F",AND(AB$6&gt;0,$A368&lt;AB$6),AND(AB$7&gt;0,$A368&gt;AB$7)),0,MAX(0,ROUND((INDEX($E368:$G368,AB$5)-SUMIFS(TF_Timer,TF_Tekniker,AB$4,TF_Dato,$A368))*2,0)/2)))</f>
        <v/>
      </c>
      <c r="AC368">
        <f>IF(OR(AC$4="",$A368&gt;TODAY()),0,IF(OR(INDEX($B368:$D368,AC$5)="F",AND(AC$6&gt;0,$A368&lt;AC$6),AND(AC$7&gt;0,$A368&gt;AC$7)),0,MAX(0,ROUND((INDEX($E368:$G368,AC$5)-SUMIFS(TF_Timer,TF_Tekniker,AC$4,TF_Dato,$A368))*2,0)/2)))</f>
        <v/>
      </c>
      <c r="AD368">
        <f>IF(OR(AD$4="",$A368&gt;TODAY()),0,IF(OR(INDEX($B368:$D368,AD$5)="F",AND(AD$6&gt;0,$A368&lt;AD$6),AND(AD$7&gt;0,$A368&gt;AD$7)),0,MAX(0,ROUND((INDEX($E368:$G368,AD$5)-SUMIFS(TF_Timer,TF_Tekniker,AD$4,TF_Dato,$A368))*2,0)/2)))</f>
        <v/>
      </c>
      <c r="AE368">
        <f>IF(OR(AE$4="",$A368&gt;TODAY()),0,IF(OR(INDEX($B368:$D368,AE$5)="F",AND(AE$6&gt;0,$A368&lt;AE$6),AND(AE$7&gt;0,$A368&gt;AE$7)),0,MAX(0,ROUND((INDEX($E368:$G368,AE$5)-SUMIFS(TF_Timer,TF_Tekniker,AE$4,TF_Dato,$A368))*2,0)/2)))</f>
        <v/>
      </c>
      <c r="AF368">
        <f>IF(OR(AF$4="",$A368&gt;TODAY()),0,IF(OR(INDEX($B368:$D368,AF$5)="F",AND(AF$6&gt;0,$A368&lt;AF$6),AND(AF$7&gt;0,$A368&gt;AF$7)),0,MAX(0,ROUND((INDEX($E368:$G368,AF$5)-SUMIFS(TF_Timer,TF_Tekniker,AF$4,TF_Dato,$A368))*2,0)/2)))</f>
        <v/>
      </c>
      <c r="AG368">
        <f>IF(OR(AG$4="",$A368&gt;TODAY()),0,IF(OR(INDEX($B368:$D368,AG$5)="F",AND(AG$6&gt;0,$A368&lt;AG$6),AND(AG$7&gt;0,$A368&gt;AG$7)),0,MAX(0,ROUND((INDEX($E368:$G368,AG$5)-SUMIFS(TF_Timer,TF_Tekniker,AG$4,TF_Dato,$A368))*2,0)/2)))</f>
        <v/>
      </c>
      <c r="AH368">
        <f>IF(OR(AH$4="",$A368&gt;TODAY()),0,IF(OR(INDEX($B368:$D368,AH$5)="F",AND(AH$6&gt;0,$A368&lt;AH$6),AND(AH$7&gt;0,$A368&gt;AH$7)),0,MAX(0,ROUND((INDEX($E368:$G368,AH$5)-SUMIFS(TF_Timer,TF_Tekniker,AH$4,TF_Dato,$A368))*2,0)/2)))</f>
        <v/>
      </c>
      <c r="AI368">
        <f>IF(OR(AI$4="",$A368&gt;TODAY()),0,IF(OR(INDEX($B368:$D368,AI$5)="F",AND(AI$6&gt;0,$A368&lt;AI$6),AND(AI$7&gt;0,$A368&gt;AI$7)),0,MAX(0,ROUND((INDEX($E368:$G368,AI$5)-SUMIFS(TF_Timer,TF_Tekniker,AI$4,TF_Dato,$A368))*2,0)/2)))</f>
        <v/>
      </c>
      <c r="AJ368">
        <f>IF(OR(AJ$4="",$A368&gt;TODAY()),0,IF(OR(INDEX($B368:$D368,AJ$5)="F",AND(AJ$6&gt;0,$A368&lt;AJ$6),AND(AJ$7&gt;0,$A368&gt;AJ$7)),0,MAX(0,ROUND((INDEX($E368:$G368,AJ$5)-SUMIFS(TF_Timer,TF_Tekniker,AJ$4,TF_Dato,$A368))*2,0)/2)))</f>
        <v/>
      </c>
      <c r="AK368">
        <f>IF(OR(AK$4="",$A368&gt;TODAY()),0,IF(OR(INDEX($B368:$D368,AK$5)="F",AND(AK$6&gt;0,$A368&lt;AK$6),AND(AK$7&gt;0,$A368&gt;AK$7)),0,MAX(0,ROUND((INDEX($E368:$G368,AK$5)-SUMIFS(TF_Timer,TF_Tekniker,AK$4,TF_Dato,$A368))*2,0)/2)))</f>
        <v/>
      </c>
      <c r="AL368">
        <f>IF(OR(AL$4="",$A368&gt;TODAY()),0,IF(OR(INDEX($B368:$D368,AL$5)="F",AND(AL$6&gt;0,$A368&lt;AL$6),AND(AL$7&gt;0,$A368&gt;AL$7)),0,MAX(0,ROUND((INDEX($E368:$G368,AL$5)-SUMIFS(TF_Timer,TF_Tekniker,AL$4,TF_Dato,$A368))*2,0)/2)))</f>
        <v/>
      </c>
      <c r="AM368">
        <f>IF(OR(AM$4="",$A368&gt;TODAY()),0,IF(OR(INDEX($B368:$D368,AM$5)="F",AND(AM$6&gt;0,$A368&lt;AM$6),AND(AM$7&gt;0,$A368&gt;AM$7)),0,MAX(0,ROUND((INDEX($E368:$G368,AM$5)-SUMIFS(TF_Timer,TF_Tekniker,AM$4,TF_Dato,$A368))*2,0)/2)))</f>
        <v/>
      </c>
      <c r="AN368">
        <f>IF(OR(AN$4="",$A368&gt;TODAY()),0,IF(OR(INDEX($B368:$D368,AN$5)="F",AND(AN$6&gt;0,$A368&lt;AN$6),AND(AN$7&gt;0,$A368&gt;AN$7)),0,MAX(0,ROUND((INDEX($E368:$G368,AN$5)-SUMIFS(TF_Timer,TF_Tekniker,AN$4,TF_Dato,$A368))*2,0)/2)))</f>
        <v/>
      </c>
      <c r="AO368">
        <f>IF(OR(AO$4="",$A368&gt;TODAY()),0,IF(OR(INDEX($B368:$D368,AO$5)="F",AND(AO$6&gt;0,$A368&lt;AO$6),AND(AO$7&gt;0,$A368&gt;AO$7)),0,MAX(0,ROUND((INDEX($E368:$G368,AO$5)-SUMIFS(TF_Timer,TF_Tekniker,AO$4,TF_Dato,$A368))*2,0)/2)))</f>
        <v/>
      </c>
      <c r="AP368">
        <f>IF(OR(AP$4="",$A368&gt;TODAY()),0,IF(OR(INDEX($B368:$D368,AP$5)="F",AND(AP$6&gt;0,$A368&lt;AP$6),AND(AP$7&gt;0,$A368&gt;AP$7)),0,MAX(0,ROUND((INDEX($E368:$G368,AP$5)-SUMIFS(TF_Timer,TF_Tekniker,AP$4,TF_Dato,$A368))*2,0)/2)))</f>
        <v/>
      </c>
      <c r="AQ368">
        <f>IF(OR(AQ$4="",$A368&gt;TODAY()),0,IF(OR(INDEX($B368:$D368,AQ$5)="F",AND(AQ$6&gt;0,$A368&lt;AQ$6),AND(AQ$7&gt;0,$A368&gt;AQ$7)),0,MAX(0,ROUND((INDEX($E368:$G368,AQ$5)-SUMIFS(TF_Timer,TF_Tekniker,AQ$4,TF_Dato,$A368))*2,0)/2)))</f>
        <v/>
      </c>
      <c r="AR368">
        <f>IF(OR(AR$4="",$A368&gt;TODAY()),0,IF(OR(INDEX($B368:$D368,AR$5)="F",AND(AR$6&gt;0,$A368&lt;AR$6),AND(AR$7&gt;0,$A368&gt;AR$7)),0,MAX(0,ROUND((INDEX($E368:$G368,AR$5)-SUMIFS(TF_Timer,TF_Tekniker,AR$4,TF_Dato,$A368))*2,0)/2)))</f>
        <v/>
      </c>
      <c r="AS368">
        <f>IF(OR(AS$4="",$A368&gt;TODAY()),0,IF(OR(INDEX($B368:$D368,AS$5)="F",AND(AS$6&gt;0,$A368&lt;AS$6),AND(AS$7&gt;0,$A368&gt;AS$7)),0,MAX(0,ROUND((INDEX($E368:$G368,AS$5)-SUMIFS(TF_Timer,TF_Tekniker,AS$4,TF_Dato,$A368))*2,0)/2)))</f>
        <v/>
      </c>
      <c r="AT368">
        <f>IF(OR(AT$4="",$A368&gt;TODAY()),0,IF(OR(INDEX($B368:$D368,AT$5)="F",AND(AT$6&gt;0,$A368&lt;AT$6),AND(AT$7&gt;0,$A368&gt;AT$7)),0,MAX(0,ROUND((INDEX($E368:$G368,AT$5)-SUMIFS(TF_Timer,TF_Tekniker,AT$4,TF_Dato,$A368))*2,0)/2)))</f>
        <v/>
      </c>
      <c r="AU368">
        <f>IF(OR(AU$4="",$A368&gt;TODAY()),0,IF(OR(INDEX($B368:$D368,AU$5)="F",AND(AU$6&gt;0,$A368&lt;AU$6),AND(AU$7&gt;0,$A368&gt;AU$7)),0,MAX(0,ROUND((INDEX($E368:$G368,AU$5)-SUMIFS(TF_Timer,TF_Tekniker,AU$4,TF_Dato,$A368))*2,0)/2)))</f>
        <v/>
      </c>
      <c r="AV368">
        <f>IF(OR(AV$4="",$A368&gt;TODAY()),0,IF(OR(INDEX($B368:$D368,AV$5)="F",AND(AV$6&gt;0,$A368&lt;AV$6),AND(AV$7&gt;0,$A368&gt;AV$7)),0,MAX(0,ROUND((INDEX($E368:$G368,AV$5)-SUMIFS(TF_Timer,TF_Tekniker,AV$4,TF_Dato,$A368))*2,0)/2)))</f>
        <v/>
      </c>
      <c r="AW368">
        <f>IF(OR(AW$4="",$A368&gt;TODAY()),0,IF(OR(INDEX($B368:$D368,AW$5)="F",AND(AW$6&gt;0,$A368&lt;AW$6),AND(AW$7&gt;0,$A368&gt;AW$7)),0,MAX(0,ROUND((INDEX($E368:$G368,AW$5)-SUMIFS(TF_Timer,TF_Tekniker,AW$4,TF_Dato,$A368))*2,0)/2)))</f>
        <v/>
      </c>
      <c r="AX368">
        <f>IF(OR(AX$4="",$A368&gt;TODAY()),0,IF(OR(INDEX($B368:$D368,AX$5)="F",AND(AX$6&gt;0,$A368&lt;AX$6),AND(AX$7&gt;0,$A368&gt;AX$7)),0,MAX(0,ROUND((INDEX($E368:$G368,AX$5)-SUMIFS(TF_Timer,TF_Tekniker,AX$4,TF_Dato,$A368))*2,0)/2)))</f>
        <v/>
      </c>
      <c r="AY368">
        <f>IF(OR(AY$4="",$A368&gt;TODAY()),0,IF(OR(INDEX($B368:$D368,AY$5)="F",AND(AY$6&gt;0,$A368&lt;AY$6),AND(AY$7&gt;0,$A368&gt;AY$7)),0,MAX(0,ROUND((INDEX($E368:$G368,AY$5)-SUMIFS(TF_Timer,TF_Tekniker,AY$4,TF_Dato,$A368))*2,0)/2)))</f>
        <v/>
      </c>
      <c r="AZ368">
        <f>IF(OR(AZ$4="",$A368&gt;TODAY()),0,IF(OR(INDEX($B368:$D368,AZ$5)="F",AND(AZ$6&gt;0,$A368&lt;AZ$6),AND(AZ$7&gt;0,$A368&gt;AZ$7)),0,MAX(0,ROUND((INDEX($E368:$G368,AZ$5)-SUMIFS(TF_Timer,TF_Tekniker,AZ$4,TF_Dato,$A368))*2,0)/2)))</f>
        <v/>
      </c>
      <c r="BA368">
        <f>IF(OR(BA$4="",$A368&gt;TODAY()),0,IF(OR(INDEX($B368:$D368,BA$5)="F",AND(BA$6&gt;0,$A368&lt;BA$6),AND(BA$7&gt;0,$A368&gt;BA$7)),0,MAX(0,ROUND((INDEX($E368:$G368,BA$5)-SUMIFS(TF_Timer,TF_Tekniker,BA$4,TF_Dato,$A368))*2,0)/2)))</f>
        <v/>
      </c>
      <c r="BB368">
        <f>IF(OR(BB$4="",$A368&gt;TODAY()),0,IF(OR(INDEX($B368:$D368,BB$5)="F",AND(BB$6&gt;0,$A368&lt;BB$6),AND(BB$7&gt;0,$A368&gt;BB$7)),0,MAX(0,ROUND((INDEX($E368:$G368,BB$5)-SUMIFS(TF_Timer,TF_Tekniker,BB$4,TF_Dato,$A368))*2,0)/2)))</f>
        <v/>
      </c>
      <c r="BC368">
        <f>IF(OR(BC$4="",$A368&gt;TODAY()),0,IF(OR(INDEX($B368:$D368,BC$5)="F",AND(BC$6&gt;0,$A368&lt;BC$6),AND(BC$7&gt;0,$A368&gt;BC$7)),0,MAX(0,ROUND((INDEX($E368:$G368,BC$5)-SUMIFS(TF_Timer,TF_Tekniker,BC$4,TF_Dato,$A368))*2,0)/2)))</f>
        <v/>
      </c>
      <c r="BD368">
        <f>IF(OR(BD$4="",$A368&gt;TODAY()),0,IF(OR(INDEX($B368:$D368,BD$5)="F",AND(BD$6&gt;0,$A368&lt;BD$6),AND(BD$7&gt;0,$A368&gt;BD$7)),0,MAX(0,ROUND((INDEX($E368:$G368,BD$5)-SUMIFS(TF_Timer,TF_Tekniker,BD$4,TF_Dato,$A368))*2,0)/2)))</f>
        <v/>
      </c>
      <c r="BE368">
        <f>IF(OR(BE$4="",$A368&gt;TODAY()),0,IF(OR(INDEX($B368:$D368,BE$5)="F",AND(BE$6&gt;0,$A368&lt;BE$6),AND(BE$7&gt;0,$A368&gt;BE$7)),0,MAX(0,ROUND((INDEX($E368:$G368,BE$5)-SUMIFS(TF_Timer,TF_Tekniker,BE$4,TF_Dato,$A368))*2,0)/2)))</f>
        <v/>
      </c>
      <c r="BF368">
        <f>IF(OR(BF$4="",$A368&gt;TODAY()),0,IF(OR(INDEX($B368:$D368,BF$5)="F",AND(BF$6&gt;0,$A368&lt;BF$6),AND(BF$7&gt;0,$A368&gt;BF$7)),0,MAX(0,ROUND((INDEX($E368:$G368,BF$5)-SUMIFS(TF_Timer,TF_Tekniker,BF$4,TF_Dato,$A368))*2,0)/2)))</f>
        <v/>
      </c>
      <c r="BG368">
        <f>IF(OR(BG$4="",$A368&gt;TODAY()),0,IF(OR(INDEX($B368:$D368,BG$5)="F",AND(BG$6&gt;0,$A368&lt;BG$6),AND(BG$7&gt;0,$A368&gt;BG$7)),0,MAX(0,ROUND((INDEX($E368:$G368,BG$5)-SUMIFS(TF_Timer,TF_Tekniker,BG$4,TF_Dato,$A368))*2,0)/2)))</f>
        <v/>
      </c>
      <c r="BH368">
        <f>IF(OR(BH$4="",$A368&gt;TODAY()),0,IF(OR(INDEX($B368:$D368,BH$5)="F",AND(BH$6&gt;0,$A368&lt;BH$6),AND(BH$7&gt;0,$A368&gt;BH$7)),0,MAX(0,ROUND((INDEX($E368:$G368,BH$5)-SUMIFS(TF_Timer,TF_Tekniker,BH$4,TF_Dato,$A368))*2,0)/2)))</f>
        <v/>
      </c>
      <c r="BI368">
        <f>IF(OR(BI$4="",$A368&gt;TODAY()),0,IF(OR(INDEX($B368:$D368,BI$5)="F",AND(BI$6&gt;0,$A368&lt;BI$6),AND(BI$7&gt;0,$A368&gt;BI$7)),0,MAX(0,ROUND((INDEX($E368:$G368,BI$5)-SUMIFS(TF_Timer,TF_Tekniker,BI$4,TF_Dato,$A368))*2,0)/2)))</f>
        <v/>
      </c>
    </row>
    <row r="369">
      <c r="A369" s="64">
        <f>A368+1</f>
        <v/>
      </c>
      <c r="B369">
        <f>IF(MOD($A369-INDEX(SkiftStart,1),Syklus)&lt;DagK,"K",IF(MOD($A369-INDEX(SkiftStart,1),Syklus)&lt;DagK+DagH,"H",IF(MOD($A369-INDEX(SkiftStart,1),Syklus)&lt;DagK+DagH+DagD,"D","F")))</f>
        <v/>
      </c>
      <c r="C369">
        <f>IF(MOD($A369-INDEX(SkiftStart,2),Syklus)&lt;DagK,"K",IF(MOD($A369-INDEX(SkiftStart,2),Syklus)&lt;DagK+DagH,"H",IF(MOD($A369-INDEX(SkiftStart,2),Syklus)&lt;DagK+DagH+DagD,"D","F")))</f>
        <v/>
      </c>
      <c r="D369">
        <f>IF(MOD($A369-INDEX(SkiftStart,3),Syklus)&lt;DagK,"K",IF(MOD($A369-INDEX(SkiftStart,3),Syklus)&lt;DagK+DagH,"H",IF(MOD($A369-INDEX(SkiftStart,3),Syklus)&lt;DagK+DagH+DagD,"D","F")))</f>
        <v/>
      </c>
      <c r="E369">
        <f>IF(B369="F",0,IF(WEEKDAY($A369,2)=5,INDEX(TimerFr,MATCH(B369,FaseKode,0)),INDEX(TimerMT,MATCH(B369,FaseKode,0))))</f>
        <v/>
      </c>
      <c r="F369">
        <f>IF(C369="F",0,IF(WEEKDAY($A369,2)=5,INDEX(TimerFr,MATCH(C369,FaseKode,0)),INDEX(TimerMT,MATCH(C369,FaseKode,0))))</f>
        <v/>
      </c>
      <c r="G369">
        <f>IF(D369="F",0,IF(WEEKDAY($A369,2)=5,INDEX(TimerFr,MATCH(D369,FaseKode,0)),INDEX(TimerMT,MATCH(D369,FaseKode,0))))</f>
        <v/>
      </c>
      <c r="H369">
        <f>IF(OR(H$4="",$A369&gt;TODAY()),0,IF(OR(INDEX($B369:$D369,H$5)="F",AND(H$6&gt;0,$A369&lt;H$6),AND(H$7&gt;0,$A369&gt;H$7)),0,MAX(0,ROUND((INDEX($E369:$G369,H$5)-SUMIFS(TF_Timer,TF_Tekniker,H$4,TF_Dato,$A369))*2,0)/2)))</f>
        <v/>
      </c>
      <c r="I369">
        <f>IF(OR(I$4="",$A369&gt;TODAY()),0,IF(OR(INDEX($B369:$D369,I$5)="F",AND(I$6&gt;0,$A369&lt;I$6),AND(I$7&gt;0,$A369&gt;I$7)),0,MAX(0,ROUND((INDEX($E369:$G369,I$5)-SUMIFS(TF_Timer,TF_Tekniker,I$4,TF_Dato,$A369))*2,0)/2)))</f>
        <v/>
      </c>
      <c r="J369">
        <f>IF(OR(J$4="",$A369&gt;TODAY()),0,IF(OR(INDEX($B369:$D369,J$5)="F",AND(J$6&gt;0,$A369&lt;J$6),AND(J$7&gt;0,$A369&gt;J$7)),0,MAX(0,ROUND((INDEX($E369:$G369,J$5)-SUMIFS(TF_Timer,TF_Tekniker,J$4,TF_Dato,$A369))*2,0)/2)))</f>
        <v/>
      </c>
      <c r="K369">
        <f>IF(OR(K$4="",$A369&gt;TODAY()),0,IF(OR(INDEX($B369:$D369,K$5)="F",AND(K$6&gt;0,$A369&lt;K$6),AND(K$7&gt;0,$A369&gt;K$7)),0,MAX(0,ROUND((INDEX($E369:$G369,K$5)-SUMIFS(TF_Timer,TF_Tekniker,K$4,TF_Dato,$A369))*2,0)/2)))</f>
        <v/>
      </c>
      <c r="L369">
        <f>IF(OR(L$4="",$A369&gt;TODAY()),0,IF(OR(INDEX($B369:$D369,L$5)="F",AND(L$6&gt;0,$A369&lt;L$6),AND(L$7&gt;0,$A369&gt;L$7)),0,MAX(0,ROUND((INDEX($E369:$G369,L$5)-SUMIFS(TF_Timer,TF_Tekniker,L$4,TF_Dato,$A369))*2,0)/2)))</f>
        <v/>
      </c>
      <c r="M369">
        <f>IF(OR(M$4="",$A369&gt;TODAY()),0,IF(OR(INDEX($B369:$D369,M$5)="F",AND(M$6&gt;0,$A369&lt;M$6),AND(M$7&gt;0,$A369&gt;M$7)),0,MAX(0,ROUND((INDEX($E369:$G369,M$5)-SUMIFS(TF_Timer,TF_Tekniker,M$4,TF_Dato,$A369))*2,0)/2)))</f>
        <v/>
      </c>
      <c r="N369">
        <f>IF(OR(N$4="",$A369&gt;TODAY()),0,IF(OR(INDEX($B369:$D369,N$5)="F",AND(N$6&gt;0,$A369&lt;N$6),AND(N$7&gt;0,$A369&gt;N$7)),0,MAX(0,ROUND((INDEX($E369:$G369,N$5)-SUMIFS(TF_Timer,TF_Tekniker,N$4,TF_Dato,$A369))*2,0)/2)))</f>
        <v/>
      </c>
      <c r="O369">
        <f>IF(OR(O$4="",$A369&gt;TODAY()),0,IF(OR(INDEX($B369:$D369,O$5)="F",AND(O$6&gt;0,$A369&lt;O$6),AND(O$7&gt;0,$A369&gt;O$7)),0,MAX(0,ROUND((INDEX($E369:$G369,O$5)-SUMIFS(TF_Timer,TF_Tekniker,O$4,TF_Dato,$A369))*2,0)/2)))</f>
        <v/>
      </c>
      <c r="P369">
        <f>IF(OR(P$4="",$A369&gt;TODAY()),0,IF(OR(INDEX($B369:$D369,P$5)="F",AND(P$6&gt;0,$A369&lt;P$6),AND(P$7&gt;0,$A369&gt;P$7)),0,MAX(0,ROUND((INDEX($E369:$G369,P$5)-SUMIFS(TF_Timer,TF_Tekniker,P$4,TF_Dato,$A369))*2,0)/2)))</f>
        <v/>
      </c>
      <c r="Q369">
        <f>IF(OR(Q$4="",$A369&gt;TODAY()),0,IF(OR(INDEX($B369:$D369,Q$5)="F",AND(Q$6&gt;0,$A369&lt;Q$6),AND(Q$7&gt;0,$A369&gt;Q$7)),0,MAX(0,ROUND((INDEX($E369:$G369,Q$5)-SUMIFS(TF_Timer,TF_Tekniker,Q$4,TF_Dato,$A369))*2,0)/2)))</f>
        <v/>
      </c>
      <c r="R369">
        <f>IF(OR(R$4="",$A369&gt;TODAY()),0,IF(OR(INDEX($B369:$D369,R$5)="F",AND(R$6&gt;0,$A369&lt;R$6),AND(R$7&gt;0,$A369&gt;R$7)),0,MAX(0,ROUND((INDEX($E369:$G369,R$5)-SUMIFS(TF_Timer,TF_Tekniker,R$4,TF_Dato,$A369))*2,0)/2)))</f>
        <v/>
      </c>
      <c r="S369">
        <f>IF(OR(S$4="",$A369&gt;TODAY()),0,IF(OR(INDEX($B369:$D369,S$5)="F",AND(S$6&gt;0,$A369&lt;S$6),AND(S$7&gt;0,$A369&gt;S$7)),0,MAX(0,ROUND((INDEX($E369:$G369,S$5)-SUMIFS(TF_Timer,TF_Tekniker,S$4,TF_Dato,$A369))*2,0)/2)))</f>
        <v/>
      </c>
      <c r="T369">
        <f>IF(OR(T$4="",$A369&gt;TODAY()),0,IF(OR(INDEX($B369:$D369,T$5)="F",AND(T$6&gt;0,$A369&lt;T$6),AND(T$7&gt;0,$A369&gt;T$7)),0,MAX(0,ROUND((INDEX($E369:$G369,T$5)-SUMIFS(TF_Timer,TF_Tekniker,T$4,TF_Dato,$A369))*2,0)/2)))</f>
        <v/>
      </c>
      <c r="U369">
        <f>IF(OR(U$4="",$A369&gt;TODAY()),0,IF(OR(INDEX($B369:$D369,U$5)="F",AND(U$6&gt;0,$A369&lt;U$6),AND(U$7&gt;0,$A369&gt;U$7)),0,MAX(0,ROUND((INDEX($E369:$G369,U$5)-SUMIFS(TF_Timer,TF_Tekniker,U$4,TF_Dato,$A369))*2,0)/2)))</f>
        <v/>
      </c>
      <c r="V369">
        <f>IF(OR(V$4="",$A369&gt;TODAY()),0,IF(OR(INDEX($B369:$D369,V$5)="F",AND(V$6&gt;0,$A369&lt;V$6),AND(V$7&gt;0,$A369&gt;V$7)),0,MAX(0,ROUND((INDEX($E369:$G369,V$5)-SUMIFS(TF_Timer,TF_Tekniker,V$4,TF_Dato,$A369))*2,0)/2)))</f>
        <v/>
      </c>
      <c r="W369">
        <f>IF(OR(W$4="",$A369&gt;TODAY()),0,IF(OR(INDEX($B369:$D369,W$5)="F",AND(W$6&gt;0,$A369&lt;W$6),AND(W$7&gt;0,$A369&gt;W$7)),0,MAX(0,ROUND((INDEX($E369:$G369,W$5)-SUMIFS(TF_Timer,TF_Tekniker,W$4,TF_Dato,$A369))*2,0)/2)))</f>
        <v/>
      </c>
      <c r="X369">
        <f>IF(OR(X$4="",$A369&gt;TODAY()),0,IF(OR(INDEX($B369:$D369,X$5)="F",AND(X$6&gt;0,$A369&lt;X$6),AND(X$7&gt;0,$A369&gt;X$7)),0,MAX(0,ROUND((INDEX($E369:$G369,X$5)-SUMIFS(TF_Timer,TF_Tekniker,X$4,TF_Dato,$A369))*2,0)/2)))</f>
        <v/>
      </c>
      <c r="Y369">
        <f>IF(OR(Y$4="",$A369&gt;TODAY()),0,IF(OR(INDEX($B369:$D369,Y$5)="F",AND(Y$6&gt;0,$A369&lt;Y$6),AND(Y$7&gt;0,$A369&gt;Y$7)),0,MAX(0,ROUND((INDEX($E369:$G369,Y$5)-SUMIFS(TF_Timer,TF_Tekniker,Y$4,TF_Dato,$A369))*2,0)/2)))</f>
        <v/>
      </c>
      <c r="Z369">
        <f>IF(OR(Z$4="",$A369&gt;TODAY()),0,IF(OR(INDEX($B369:$D369,Z$5)="F",AND(Z$6&gt;0,$A369&lt;Z$6),AND(Z$7&gt;0,$A369&gt;Z$7)),0,MAX(0,ROUND((INDEX($E369:$G369,Z$5)-SUMIFS(TF_Timer,TF_Tekniker,Z$4,TF_Dato,$A369))*2,0)/2)))</f>
        <v/>
      </c>
      <c r="AA369">
        <f>IF(OR(AA$4="",$A369&gt;TODAY()),0,IF(OR(INDEX($B369:$D369,AA$5)="F",AND(AA$6&gt;0,$A369&lt;AA$6),AND(AA$7&gt;0,$A369&gt;AA$7)),0,MAX(0,ROUND((INDEX($E369:$G369,AA$5)-SUMIFS(TF_Timer,TF_Tekniker,AA$4,TF_Dato,$A369))*2,0)/2)))</f>
        <v/>
      </c>
      <c r="AB369">
        <f>IF(OR(AB$4="",$A369&gt;TODAY()),0,IF(OR(INDEX($B369:$D369,AB$5)="F",AND(AB$6&gt;0,$A369&lt;AB$6),AND(AB$7&gt;0,$A369&gt;AB$7)),0,MAX(0,ROUND((INDEX($E369:$G369,AB$5)-SUMIFS(TF_Timer,TF_Tekniker,AB$4,TF_Dato,$A369))*2,0)/2)))</f>
        <v/>
      </c>
      <c r="AC369">
        <f>IF(OR(AC$4="",$A369&gt;TODAY()),0,IF(OR(INDEX($B369:$D369,AC$5)="F",AND(AC$6&gt;0,$A369&lt;AC$6),AND(AC$7&gt;0,$A369&gt;AC$7)),0,MAX(0,ROUND((INDEX($E369:$G369,AC$5)-SUMIFS(TF_Timer,TF_Tekniker,AC$4,TF_Dato,$A369))*2,0)/2)))</f>
        <v/>
      </c>
      <c r="AD369">
        <f>IF(OR(AD$4="",$A369&gt;TODAY()),0,IF(OR(INDEX($B369:$D369,AD$5)="F",AND(AD$6&gt;0,$A369&lt;AD$6),AND(AD$7&gt;0,$A369&gt;AD$7)),0,MAX(0,ROUND((INDEX($E369:$G369,AD$5)-SUMIFS(TF_Timer,TF_Tekniker,AD$4,TF_Dato,$A369))*2,0)/2)))</f>
        <v/>
      </c>
      <c r="AE369">
        <f>IF(OR(AE$4="",$A369&gt;TODAY()),0,IF(OR(INDEX($B369:$D369,AE$5)="F",AND(AE$6&gt;0,$A369&lt;AE$6),AND(AE$7&gt;0,$A369&gt;AE$7)),0,MAX(0,ROUND((INDEX($E369:$G369,AE$5)-SUMIFS(TF_Timer,TF_Tekniker,AE$4,TF_Dato,$A369))*2,0)/2)))</f>
        <v/>
      </c>
      <c r="AF369">
        <f>IF(OR(AF$4="",$A369&gt;TODAY()),0,IF(OR(INDEX($B369:$D369,AF$5)="F",AND(AF$6&gt;0,$A369&lt;AF$6),AND(AF$7&gt;0,$A369&gt;AF$7)),0,MAX(0,ROUND((INDEX($E369:$G369,AF$5)-SUMIFS(TF_Timer,TF_Tekniker,AF$4,TF_Dato,$A369))*2,0)/2)))</f>
        <v/>
      </c>
      <c r="AG369">
        <f>IF(OR(AG$4="",$A369&gt;TODAY()),0,IF(OR(INDEX($B369:$D369,AG$5)="F",AND(AG$6&gt;0,$A369&lt;AG$6),AND(AG$7&gt;0,$A369&gt;AG$7)),0,MAX(0,ROUND((INDEX($E369:$G369,AG$5)-SUMIFS(TF_Timer,TF_Tekniker,AG$4,TF_Dato,$A369))*2,0)/2)))</f>
        <v/>
      </c>
      <c r="AH369">
        <f>IF(OR(AH$4="",$A369&gt;TODAY()),0,IF(OR(INDEX($B369:$D369,AH$5)="F",AND(AH$6&gt;0,$A369&lt;AH$6),AND(AH$7&gt;0,$A369&gt;AH$7)),0,MAX(0,ROUND((INDEX($E369:$G369,AH$5)-SUMIFS(TF_Timer,TF_Tekniker,AH$4,TF_Dato,$A369))*2,0)/2)))</f>
        <v/>
      </c>
      <c r="AI369">
        <f>IF(OR(AI$4="",$A369&gt;TODAY()),0,IF(OR(INDEX($B369:$D369,AI$5)="F",AND(AI$6&gt;0,$A369&lt;AI$6),AND(AI$7&gt;0,$A369&gt;AI$7)),0,MAX(0,ROUND((INDEX($E369:$G369,AI$5)-SUMIFS(TF_Timer,TF_Tekniker,AI$4,TF_Dato,$A369))*2,0)/2)))</f>
        <v/>
      </c>
      <c r="AJ369">
        <f>IF(OR(AJ$4="",$A369&gt;TODAY()),0,IF(OR(INDEX($B369:$D369,AJ$5)="F",AND(AJ$6&gt;0,$A369&lt;AJ$6),AND(AJ$7&gt;0,$A369&gt;AJ$7)),0,MAX(0,ROUND((INDEX($E369:$G369,AJ$5)-SUMIFS(TF_Timer,TF_Tekniker,AJ$4,TF_Dato,$A369))*2,0)/2)))</f>
        <v/>
      </c>
      <c r="AK369">
        <f>IF(OR(AK$4="",$A369&gt;TODAY()),0,IF(OR(INDEX($B369:$D369,AK$5)="F",AND(AK$6&gt;0,$A369&lt;AK$6),AND(AK$7&gt;0,$A369&gt;AK$7)),0,MAX(0,ROUND((INDEX($E369:$G369,AK$5)-SUMIFS(TF_Timer,TF_Tekniker,AK$4,TF_Dato,$A369))*2,0)/2)))</f>
        <v/>
      </c>
      <c r="AL369">
        <f>IF(OR(AL$4="",$A369&gt;TODAY()),0,IF(OR(INDEX($B369:$D369,AL$5)="F",AND(AL$6&gt;0,$A369&lt;AL$6),AND(AL$7&gt;0,$A369&gt;AL$7)),0,MAX(0,ROUND((INDEX($E369:$G369,AL$5)-SUMIFS(TF_Timer,TF_Tekniker,AL$4,TF_Dato,$A369))*2,0)/2)))</f>
        <v/>
      </c>
      <c r="AM369">
        <f>IF(OR(AM$4="",$A369&gt;TODAY()),0,IF(OR(INDEX($B369:$D369,AM$5)="F",AND(AM$6&gt;0,$A369&lt;AM$6),AND(AM$7&gt;0,$A369&gt;AM$7)),0,MAX(0,ROUND((INDEX($E369:$G369,AM$5)-SUMIFS(TF_Timer,TF_Tekniker,AM$4,TF_Dato,$A369))*2,0)/2)))</f>
        <v/>
      </c>
      <c r="AN369">
        <f>IF(OR(AN$4="",$A369&gt;TODAY()),0,IF(OR(INDEX($B369:$D369,AN$5)="F",AND(AN$6&gt;0,$A369&lt;AN$6),AND(AN$7&gt;0,$A369&gt;AN$7)),0,MAX(0,ROUND((INDEX($E369:$G369,AN$5)-SUMIFS(TF_Timer,TF_Tekniker,AN$4,TF_Dato,$A369))*2,0)/2)))</f>
        <v/>
      </c>
      <c r="AO369">
        <f>IF(OR(AO$4="",$A369&gt;TODAY()),0,IF(OR(INDEX($B369:$D369,AO$5)="F",AND(AO$6&gt;0,$A369&lt;AO$6),AND(AO$7&gt;0,$A369&gt;AO$7)),0,MAX(0,ROUND((INDEX($E369:$G369,AO$5)-SUMIFS(TF_Timer,TF_Tekniker,AO$4,TF_Dato,$A369))*2,0)/2)))</f>
        <v/>
      </c>
      <c r="AP369">
        <f>IF(OR(AP$4="",$A369&gt;TODAY()),0,IF(OR(INDEX($B369:$D369,AP$5)="F",AND(AP$6&gt;0,$A369&lt;AP$6),AND(AP$7&gt;0,$A369&gt;AP$7)),0,MAX(0,ROUND((INDEX($E369:$G369,AP$5)-SUMIFS(TF_Timer,TF_Tekniker,AP$4,TF_Dato,$A369))*2,0)/2)))</f>
        <v/>
      </c>
      <c r="AQ369">
        <f>IF(OR(AQ$4="",$A369&gt;TODAY()),0,IF(OR(INDEX($B369:$D369,AQ$5)="F",AND(AQ$6&gt;0,$A369&lt;AQ$6),AND(AQ$7&gt;0,$A369&gt;AQ$7)),0,MAX(0,ROUND((INDEX($E369:$G369,AQ$5)-SUMIFS(TF_Timer,TF_Tekniker,AQ$4,TF_Dato,$A369))*2,0)/2)))</f>
        <v/>
      </c>
      <c r="AR369">
        <f>IF(OR(AR$4="",$A369&gt;TODAY()),0,IF(OR(INDEX($B369:$D369,AR$5)="F",AND(AR$6&gt;0,$A369&lt;AR$6),AND(AR$7&gt;0,$A369&gt;AR$7)),0,MAX(0,ROUND((INDEX($E369:$G369,AR$5)-SUMIFS(TF_Timer,TF_Tekniker,AR$4,TF_Dato,$A369))*2,0)/2)))</f>
        <v/>
      </c>
      <c r="AS369">
        <f>IF(OR(AS$4="",$A369&gt;TODAY()),0,IF(OR(INDEX($B369:$D369,AS$5)="F",AND(AS$6&gt;0,$A369&lt;AS$6),AND(AS$7&gt;0,$A369&gt;AS$7)),0,MAX(0,ROUND((INDEX($E369:$G369,AS$5)-SUMIFS(TF_Timer,TF_Tekniker,AS$4,TF_Dato,$A369))*2,0)/2)))</f>
        <v/>
      </c>
      <c r="AT369">
        <f>IF(OR(AT$4="",$A369&gt;TODAY()),0,IF(OR(INDEX($B369:$D369,AT$5)="F",AND(AT$6&gt;0,$A369&lt;AT$6),AND(AT$7&gt;0,$A369&gt;AT$7)),0,MAX(0,ROUND((INDEX($E369:$G369,AT$5)-SUMIFS(TF_Timer,TF_Tekniker,AT$4,TF_Dato,$A369))*2,0)/2)))</f>
        <v/>
      </c>
      <c r="AU369">
        <f>IF(OR(AU$4="",$A369&gt;TODAY()),0,IF(OR(INDEX($B369:$D369,AU$5)="F",AND(AU$6&gt;0,$A369&lt;AU$6),AND(AU$7&gt;0,$A369&gt;AU$7)),0,MAX(0,ROUND((INDEX($E369:$G369,AU$5)-SUMIFS(TF_Timer,TF_Tekniker,AU$4,TF_Dato,$A369))*2,0)/2)))</f>
        <v/>
      </c>
      <c r="AV369">
        <f>IF(OR(AV$4="",$A369&gt;TODAY()),0,IF(OR(INDEX($B369:$D369,AV$5)="F",AND(AV$6&gt;0,$A369&lt;AV$6),AND(AV$7&gt;0,$A369&gt;AV$7)),0,MAX(0,ROUND((INDEX($E369:$G369,AV$5)-SUMIFS(TF_Timer,TF_Tekniker,AV$4,TF_Dato,$A369))*2,0)/2)))</f>
        <v/>
      </c>
      <c r="AW369">
        <f>IF(OR(AW$4="",$A369&gt;TODAY()),0,IF(OR(INDEX($B369:$D369,AW$5)="F",AND(AW$6&gt;0,$A369&lt;AW$6),AND(AW$7&gt;0,$A369&gt;AW$7)),0,MAX(0,ROUND((INDEX($E369:$G369,AW$5)-SUMIFS(TF_Timer,TF_Tekniker,AW$4,TF_Dato,$A369))*2,0)/2)))</f>
        <v/>
      </c>
      <c r="AX369">
        <f>IF(OR(AX$4="",$A369&gt;TODAY()),0,IF(OR(INDEX($B369:$D369,AX$5)="F",AND(AX$6&gt;0,$A369&lt;AX$6),AND(AX$7&gt;0,$A369&gt;AX$7)),0,MAX(0,ROUND((INDEX($E369:$G369,AX$5)-SUMIFS(TF_Timer,TF_Tekniker,AX$4,TF_Dato,$A369))*2,0)/2)))</f>
        <v/>
      </c>
      <c r="AY369">
        <f>IF(OR(AY$4="",$A369&gt;TODAY()),0,IF(OR(INDEX($B369:$D369,AY$5)="F",AND(AY$6&gt;0,$A369&lt;AY$6),AND(AY$7&gt;0,$A369&gt;AY$7)),0,MAX(0,ROUND((INDEX($E369:$G369,AY$5)-SUMIFS(TF_Timer,TF_Tekniker,AY$4,TF_Dato,$A369))*2,0)/2)))</f>
        <v/>
      </c>
      <c r="AZ369">
        <f>IF(OR(AZ$4="",$A369&gt;TODAY()),0,IF(OR(INDEX($B369:$D369,AZ$5)="F",AND(AZ$6&gt;0,$A369&lt;AZ$6),AND(AZ$7&gt;0,$A369&gt;AZ$7)),0,MAX(0,ROUND((INDEX($E369:$G369,AZ$5)-SUMIFS(TF_Timer,TF_Tekniker,AZ$4,TF_Dato,$A369))*2,0)/2)))</f>
        <v/>
      </c>
      <c r="BA369">
        <f>IF(OR(BA$4="",$A369&gt;TODAY()),0,IF(OR(INDEX($B369:$D369,BA$5)="F",AND(BA$6&gt;0,$A369&lt;BA$6),AND(BA$7&gt;0,$A369&gt;BA$7)),0,MAX(0,ROUND((INDEX($E369:$G369,BA$5)-SUMIFS(TF_Timer,TF_Tekniker,BA$4,TF_Dato,$A369))*2,0)/2)))</f>
        <v/>
      </c>
      <c r="BB369">
        <f>IF(OR(BB$4="",$A369&gt;TODAY()),0,IF(OR(INDEX($B369:$D369,BB$5)="F",AND(BB$6&gt;0,$A369&lt;BB$6),AND(BB$7&gt;0,$A369&gt;BB$7)),0,MAX(0,ROUND((INDEX($E369:$G369,BB$5)-SUMIFS(TF_Timer,TF_Tekniker,BB$4,TF_Dato,$A369))*2,0)/2)))</f>
        <v/>
      </c>
      <c r="BC369">
        <f>IF(OR(BC$4="",$A369&gt;TODAY()),0,IF(OR(INDEX($B369:$D369,BC$5)="F",AND(BC$6&gt;0,$A369&lt;BC$6),AND(BC$7&gt;0,$A369&gt;BC$7)),0,MAX(0,ROUND((INDEX($E369:$G369,BC$5)-SUMIFS(TF_Timer,TF_Tekniker,BC$4,TF_Dato,$A369))*2,0)/2)))</f>
        <v/>
      </c>
      <c r="BD369">
        <f>IF(OR(BD$4="",$A369&gt;TODAY()),0,IF(OR(INDEX($B369:$D369,BD$5)="F",AND(BD$6&gt;0,$A369&lt;BD$6),AND(BD$7&gt;0,$A369&gt;BD$7)),0,MAX(0,ROUND((INDEX($E369:$G369,BD$5)-SUMIFS(TF_Timer,TF_Tekniker,BD$4,TF_Dato,$A369))*2,0)/2)))</f>
        <v/>
      </c>
      <c r="BE369">
        <f>IF(OR(BE$4="",$A369&gt;TODAY()),0,IF(OR(INDEX($B369:$D369,BE$5)="F",AND(BE$6&gt;0,$A369&lt;BE$6),AND(BE$7&gt;0,$A369&gt;BE$7)),0,MAX(0,ROUND((INDEX($E369:$G369,BE$5)-SUMIFS(TF_Timer,TF_Tekniker,BE$4,TF_Dato,$A369))*2,0)/2)))</f>
        <v/>
      </c>
      <c r="BF369">
        <f>IF(OR(BF$4="",$A369&gt;TODAY()),0,IF(OR(INDEX($B369:$D369,BF$5)="F",AND(BF$6&gt;0,$A369&lt;BF$6),AND(BF$7&gt;0,$A369&gt;BF$7)),0,MAX(0,ROUND((INDEX($E369:$G369,BF$5)-SUMIFS(TF_Timer,TF_Tekniker,BF$4,TF_Dato,$A369))*2,0)/2)))</f>
        <v/>
      </c>
      <c r="BG369">
        <f>IF(OR(BG$4="",$A369&gt;TODAY()),0,IF(OR(INDEX($B369:$D369,BG$5)="F",AND(BG$6&gt;0,$A369&lt;BG$6),AND(BG$7&gt;0,$A369&gt;BG$7)),0,MAX(0,ROUND((INDEX($E369:$G369,BG$5)-SUMIFS(TF_Timer,TF_Tekniker,BG$4,TF_Dato,$A369))*2,0)/2)))</f>
        <v/>
      </c>
      <c r="BH369">
        <f>IF(OR(BH$4="",$A369&gt;TODAY()),0,IF(OR(INDEX($B369:$D369,BH$5)="F",AND(BH$6&gt;0,$A369&lt;BH$6),AND(BH$7&gt;0,$A369&gt;BH$7)),0,MAX(0,ROUND((INDEX($E369:$G369,BH$5)-SUMIFS(TF_Timer,TF_Tekniker,BH$4,TF_Dato,$A369))*2,0)/2)))</f>
        <v/>
      </c>
      <c r="BI369">
        <f>IF(OR(BI$4="",$A369&gt;TODAY()),0,IF(OR(INDEX($B369:$D369,BI$5)="F",AND(BI$6&gt;0,$A369&lt;BI$6),AND(BI$7&gt;0,$A369&gt;BI$7)),0,MAX(0,ROUND((INDEX($E369:$G369,BI$5)-SUMIFS(TF_Timer,TF_Tekniker,BI$4,TF_Dato,$A369))*2,0)/2)))</f>
        <v/>
      </c>
    </row>
    <row r="370">
      <c r="A370" s="64">
        <f>A369+1</f>
        <v/>
      </c>
      <c r="B370">
        <f>IF(MOD($A370-INDEX(SkiftStart,1),Syklus)&lt;DagK,"K",IF(MOD($A370-INDEX(SkiftStart,1),Syklus)&lt;DagK+DagH,"H",IF(MOD($A370-INDEX(SkiftStart,1),Syklus)&lt;DagK+DagH+DagD,"D","F")))</f>
        <v/>
      </c>
      <c r="C370">
        <f>IF(MOD($A370-INDEX(SkiftStart,2),Syklus)&lt;DagK,"K",IF(MOD($A370-INDEX(SkiftStart,2),Syklus)&lt;DagK+DagH,"H",IF(MOD($A370-INDEX(SkiftStart,2),Syklus)&lt;DagK+DagH+DagD,"D","F")))</f>
        <v/>
      </c>
      <c r="D370">
        <f>IF(MOD($A370-INDEX(SkiftStart,3),Syklus)&lt;DagK,"K",IF(MOD($A370-INDEX(SkiftStart,3),Syklus)&lt;DagK+DagH,"H",IF(MOD($A370-INDEX(SkiftStart,3),Syklus)&lt;DagK+DagH+DagD,"D","F")))</f>
        <v/>
      </c>
      <c r="E370">
        <f>IF(B370="F",0,IF(WEEKDAY($A370,2)=5,INDEX(TimerFr,MATCH(B370,FaseKode,0)),INDEX(TimerMT,MATCH(B370,FaseKode,0))))</f>
        <v/>
      </c>
      <c r="F370">
        <f>IF(C370="F",0,IF(WEEKDAY($A370,2)=5,INDEX(TimerFr,MATCH(C370,FaseKode,0)),INDEX(TimerMT,MATCH(C370,FaseKode,0))))</f>
        <v/>
      </c>
      <c r="G370">
        <f>IF(D370="F",0,IF(WEEKDAY($A370,2)=5,INDEX(TimerFr,MATCH(D370,FaseKode,0)),INDEX(TimerMT,MATCH(D370,FaseKode,0))))</f>
        <v/>
      </c>
      <c r="H370">
        <f>IF(OR(H$4="",$A370&gt;TODAY()),0,IF(OR(INDEX($B370:$D370,H$5)="F",AND(H$6&gt;0,$A370&lt;H$6),AND(H$7&gt;0,$A370&gt;H$7)),0,MAX(0,ROUND((INDEX($E370:$G370,H$5)-SUMIFS(TF_Timer,TF_Tekniker,H$4,TF_Dato,$A370))*2,0)/2)))</f>
        <v/>
      </c>
      <c r="I370">
        <f>IF(OR(I$4="",$A370&gt;TODAY()),0,IF(OR(INDEX($B370:$D370,I$5)="F",AND(I$6&gt;0,$A370&lt;I$6),AND(I$7&gt;0,$A370&gt;I$7)),0,MAX(0,ROUND((INDEX($E370:$G370,I$5)-SUMIFS(TF_Timer,TF_Tekniker,I$4,TF_Dato,$A370))*2,0)/2)))</f>
        <v/>
      </c>
      <c r="J370">
        <f>IF(OR(J$4="",$A370&gt;TODAY()),0,IF(OR(INDEX($B370:$D370,J$5)="F",AND(J$6&gt;0,$A370&lt;J$6),AND(J$7&gt;0,$A370&gt;J$7)),0,MAX(0,ROUND((INDEX($E370:$G370,J$5)-SUMIFS(TF_Timer,TF_Tekniker,J$4,TF_Dato,$A370))*2,0)/2)))</f>
        <v/>
      </c>
      <c r="K370">
        <f>IF(OR(K$4="",$A370&gt;TODAY()),0,IF(OR(INDEX($B370:$D370,K$5)="F",AND(K$6&gt;0,$A370&lt;K$6),AND(K$7&gt;0,$A370&gt;K$7)),0,MAX(0,ROUND((INDEX($E370:$G370,K$5)-SUMIFS(TF_Timer,TF_Tekniker,K$4,TF_Dato,$A370))*2,0)/2)))</f>
        <v/>
      </c>
      <c r="L370">
        <f>IF(OR(L$4="",$A370&gt;TODAY()),0,IF(OR(INDEX($B370:$D370,L$5)="F",AND(L$6&gt;0,$A370&lt;L$6),AND(L$7&gt;0,$A370&gt;L$7)),0,MAX(0,ROUND((INDEX($E370:$G370,L$5)-SUMIFS(TF_Timer,TF_Tekniker,L$4,TF_Dato,$A370))*2,0)/2)))</f>
        <v/>
      </c>
      <c r="M370">
        <f>IF(OR(M$4="",$A370&gt;TODAY()),0,IF(OR(INDEX($B370:$D370,M$5)="F",AND(M$6&gt;0,$A370&lt;M$6),AND(M$7&gt;0,$A370&gt;M$7)),0,MAX(0,ROUND((INDEX($E370:$G370,M$5)-SUMIFS(TF_Timer,TF_Tekniker,M$4,TF_Dato,$A370))*2,0)/2)))</f>
        <v/>
      </c>
      <c r="N370">
        <f>IF(OR(N$4="",$A370&gt;TODAY()),0,IF(OR(INDEX($B370:$D370,N$5)="F",AND(N$6&gt;0,$A370&lt;N$6),AND(N$7&gt;0,$A370&gt;N$7)),0,MAX(0,ROUND((INDEX($E370:$G370,N$5)-SUMIFS(TF_Timer,TF_Tekniker,N$4,TF_Dato,$A370))*2,0)/2)))</f>
        <v/>
      </c>
      <c r="O370">
        <f>IF(OR(O$4="",$A370&gt;TODAY()),0,IF(OR(INDEX($B370:$D370,O$5)="F",AND(O$6&gt;0,$A370&lt;O$6),AND(O$7&gt;0,$A370&gt;O$7)),0,MAX(0,ROUND((INDEX($E370:$G370,O$5)-SUMIFS(TF_Timer,TF_Tekniker,O$4,TF_Dato,$A370))*2,0)/2)))</f>
        <v/>
      </c>
      <c r="P370">
        <f>IF(OR(P$4="",$A370&gt;TODAY()),0,IF(OR(INDEX($B370:$D370,P$5)="F",AND(P$6&gt;0,$A370&lt;P$6),AND(P$7&gt;0,$A370&gt;P$7)),0,MAX(0,ROUND((INDEX($E370:$G370,P$5)-SUMIFS(TF_Timer,TF_Tekniker,P$4,TF_Dato,$A370))*2,0)/2)))</f>
        <v/>
      </c>
      <c r="Q370">
        <f>IF(OR(Q$4="",$A370&gt;TODAY()),0,IF(OR(INDEX($B370:$D370,Q$5)="F",AND(Q$6&gt;0,$A370&lt;Q$6),AND(Q$7&gt;0,$A370&gt;Q$7)),0,MAX(0,ROUND((INDEX($E370:$G370,Q$5)-SUMIFS(TF_Timer,TF_Tekniker,Q$4,TF_Dato,$A370))*2,0)/2)))</f>
        <v/>
      </c>
      <c r="R370">
        <f>IF(OR(R$4="",$A370&gt;TODAY()),0,IF(OR(INDEX($B370:$D370,R$5)="F",AND(R$6&gt;0,$A370&lt;R$6),AND(R$7&gt;0,$A370&gt;R$7)),0,MAX(0,ROUND((INDEX($E370:$G370,R$5)-SUMIFS(TF_Timer,TF_Tekniker,R$4,TF_Dato,$A370))*2,0)/2)))</f>
        <v/>
      </c>
      <c r="S370">
        <f>IF(OR(S$4="",$A370&gt;TODAY()),0,IF(OR(INDEX($B370:$D370,S$5)="F",AND(S$6&gt;0,$A370&lt;S$6),AND(S$7&gt;0,$A370&gt;S$7)),0,MAX(0,ROUND((INDEX($E370:$G370,S$5)-SUMIFS(TF_Timer,TF_Tekniker,S$4,TF_Dato,$A370))*2,0)/2)))</f>
        <v/>
      </c>
      <c r="T370">
        <f>IF(OR(T$4="",$A370&gt;TODAY()),0,IF(OR(INDEX($B370:$D370,T$5)="F",AND(T$6&gt;0,$A370&lt;T$6),AND(T$7&gt;0,$A370&gt;T$7)),0,MAX(0,ROUND((INDEX($E370:$G370,T$5)-SUMIFS(TF_Timer,TF_Tekniker,T$4,TF_Dato,$A370))*2,0)/2)))</f>
        <v/>
      </c>
      <c r="U370">
        <f>IF(OR(U$4="",$A370&gt;TODAY()),0,IF(OR(INDEX($B370:$D370,U$5)="F",AND(U$6&gt;0,$A370&lt;U$6),AND(U$7&gt;0,$A370&gt;U$7)),0,MAX(0,ROUND((INDEX($E370:$G370,U$5)-SUMIFS(TF_Timer,TF_Tekniker,U$4,TF_Dato,$A370))*2,0)/2)))</f>
        <v/>
      </c>
      <c r="V370">
        <f>IF(OR(V$4="",$A370&gt;TODAY()),0,IF(OR(INDEX($B370:$D370,V$5)="F",AND(V$6&gt;0,$A370&lt;V$6),AND(V$7&gt;0,$A370&gt;V$7)),0,MAX(0,ROUND((INDEX($E370:$G370,V$5)-SUMIFS(TF_Timer,TF_Tekniker,V$4,TF_Dato,$A370))*2,0)/2)))</f>
        <v/>
      </c>
      <c r="W370">
        <f>IF(OR(W$4="",$A370&gt;TODAY()),0,IF(OR(INDEX($B370:$D370,W$5)="F",AND(W$6&gt;0,$A370&lt;W$6),AND(W$7&gt;0,$A370&gt;W$7)),0,MAX(0,ROUND((INDEX($E370:$G370,W$5)-SUMIFS(TF_Timer,TF_Tekniker,W$4,TF_Dato,$A370))*2,0)/2)))</f>
        <v/>
      </c>
      <c r="X370">
        <f>IF(OR(X$4="",$A370&gt;TODAY()),0,IF(OR(INDEX($B370:$D370,X$5)="F",AND(X$6&gt;0,$A370&lt;X$6),AND(X$7&gt;0,$A370&gt;X$7)),0,MAX(0,ROUND((INDEX($E370:$G370,X$5)-SUMIFS(TF_Timer,TF_Tekniker,X$4,TF_Dato,$A370))*2,0)/2)))</f>
        <v/>
      </c>
      <c r="Y370">
        <f>IF(OR(Y$4="",$A370&gt;TODAY()),0,IF(OR(INDEX($B370:$D370,Y$5)="F",AND(Y$6&gt;0,$A370&lt;Y$6),AND(Y$7&gt;0,$A370&gt;Y$7)),0,MAX(0,ROUND((INDEX($E370:$G370,Y$5)-SUMIFS(TF_Timer,TF_Tekniker,Y$4,TF_Dato,$A370))*2,0)/2)))</f>
        <v/>
      </c>
      <c r="Z370">
        <f>IF(OR(Z$4="",$A370&gt;TODAY()),0,IF(OR(INDEX($B370:$D370,Z$5)="F",AND(Z$6&gt;0,$A370&lt;Z$6),AND(Z$7&gt;0,$A370&gt;Z$7)),0,MAX(0,ROUND((INDEX($E370:$G370,Z$5)-SUMIFS(TF_Timer,TF_Tekniker,Z$4,TF_Dato,$A370))*2,0)/2)))</f>
        <v/>
      </c>
      <c r="AA370">
        <f>IF(OR(AA$4="",$A370&gt;TODAY()),0,IF(OR(INDEX($B370:$D370,AA$5)="F",AND(AA$6&gt;0,$A370&lt;AA$6),AND(AA$7&gt;0,$A370&gt;AA$7)),0,MAX(0,ROUND((INDEX($E370:$G370,AA$5)-SUMIFS(TF_Timer,TF_Tekniker,AA$4,TF_Dato,$A370))*2,0)/2)))</f>
        <v/>
      </c>
      <c r="AB370">
        <f>IF(OR(AB$4="",$A370&gt;TODAY()),0,IF(OR(INDEX($B370:$D370,AB$5)="F",AND(AB$6&gt;0,$A370&lt;AB$6),AND(AB$7&gt;0,$A370&gt;AB$7)),0,MAX(0,ROUND((INDEX($E370:$G370,AB$5)-SUMIFS(TF_Timer,TF_Tekniker,AB$4,TF_Dato,$A370))*2,0)/2)))</f>
        <v/>
      </c>
      <c r="AC370">
        <f>IF(OR(AC$4="",$A370&gt;TODAY()),0,IF(OR(INDEX($B370:$D370,AC$5)="F",AND(AC$6&gt;0,$A370&lt;AC$6),AND(AC$7&gt;0,$A370&gt;AC$7)),0,MAX(0,ROUND((INDEX($E370:$G370,AC$5)-SUMIFS(TF_Timer,TF_Tekniker,AC$4,TF_Dato,$A370))*2,0)/2)))</f>
        <v/>
      </c>
      <c r="AD370">
        <f>IF(OR(AD$4="",$A370&gt;TODAY()),0,IF(OR(INDEX($B370:$D370,AD$5)="F",AND(AD$6&gt;0,$A370&lt;AD$6),AND(AD$7&gt;0,$A370&gt;AD$7)),0,MAX(0,ROUND((INDEX($E370:$G370,AD$5)-SUMIFS(TF_Timer,TF_Tekniker,AD$4,TF_Dato,$A370))*2,0)/2)))</f>
        <v/>
      </c>
      <c r="AE370">
        <f>IF(OR(AE$4="",$A370&gt;TODAY()),0,IF(OR(INDEX($B370:$D370,AE$5)="F",AND(AE$6&gt;0,$A370&lt;AE$6),AND(AE$7&gt;0,$A370&gt;AE$7)),0,MAX(0,ROUND((INDEX($E370:$G370,AE$5)-SUMIFS(TF_Timer,TF_Tekniker,AE$4,TF_Dato,$A370))*2,0)/2)))</f>
        <v/>
      </c>
      <c r="AF370">
        <f>IF(OR(AF$4="",$A370&gt;TODAY()),0,IF(OR(INDEX($B370:$D370,AF$5)="F",AND(AF$6&gt;0,$A370&lt;AF$6),AND(AF$7&gt;0,$A370&gt;AF$7)),0,MAX(0,ROUND((INDEX($E370:$G370,AF$5)-SUMIFS(TF_Timer,TF_Tekniker,AF$4,TF_Dato,$A370))*2,0)/2)))</f>
        <v/>
      </c>
      <c r="AG370">
        <f>IF(OR(AG$4="",$A370&gt;TODAY()),0,IF(OR(INDEX($B370:$D370,AG$5)="F",AND(AG$6&gt;0,$A370&lt;AG$6),AND(AG$7&gt;0,$A370&gt;AG$7)),0,MAX(0,ROUND((INDEX($E370:$G370,AG$5)-SUMIFS(TF_Timer,TF_Tekniker,AG$4,TF_Dato,$A370))*2,0)/2)))</f>
        <v/>
      </c>
      <c r="AH370">
        <f>IF(OR(AH$4="",$A370&gt;TODAY()),0,IF(OR(INDEX($B370:$D370,AH$5)="F",AND(AH$6&gt;0,$A370&lt;AH$6),AND(AH$7&gt;0,$A370&gt;AH$7)),0,MAX(0,ROUND((INDEX($E370:$G370,AH$5)-SUMIFS(TF_Timer,TF_Tekniker,AH$4,TF_Dato,$A370))*2,0)/2)))</f>
        <v/>
      </c>
      <c r="AI370">
        <f>IF(OR(AI$4="",$A370&gt;TODAY()),0,IF(OR(INDEX($B370:$D370,AI$5)="F",AND(AI$6&gt;0,$A370&lt;AI$6),AND(AI$7&gt;0,$A370&gt;AI$7)),0,MAX(0,ROUND((INDEX($E370:$G370,AI$5)-SUMIFS(TF_Timer,TF_Tekniker,AI$4,TF_Dato,$A370))*2,0)/2)))</f>
        <v/>
      </c>
      <c r="AJ370">
        <f>IF(OR(AJ$4="",$A370&gt;TODAY()),0,IF(OR(INDEX($B370:$D370,AJ$5)="F",AND(AJ$6&gt;0,$A370&lt;AJ$6),AND(AJ$7&gt;0,$A370&gt;AJ$7)),0,MAX(0,ROUND((INDEX($E370:$G370,AJ$5)-SUMIFS(TF_Timer,TF_Tekniker,AJ$4,TF_Dato,$A370))*2,0)/2)))</f>
        <v/>
      </c>
      <c r="AK370">
        <f>IF(OR(AK$4="",$A370&gt;TODAY()),0,IF(OR(INDEX($B370:$D370,AK$5)="F",AND(AK$6&gt;0,$A370&lt;AK$6),AND(AK$7&gt;0,$A370&gt;AK$7)),0,MAX(0,ROUND((INDEX($E370:$G370,AK$5)-SUMIFS(TF_Timer,TF_Tekniker,AK$4,TF_Dato,$A370))*2,0)/2)))</f>
        <v/>
      </c>
      <c r="AL370">
        <f>IF(OR(AL$4="",$A370&gt;TODAY()),0,IF(OR(INDEX($B370:$D370,AL$5)="F",AND(AL$6&gt;0,$A370&lt;AL$6),AND(AL$7&gt;0,$A370&gt;AL$7)),0,MAX(0,ROUND((INDEX($E370:$G370,AL$5)-SUMIFS(TF_Timer,TF_Tekniker,AL$4,TF_Dato,$A370))*2,0)/2)))</f>
        <v/>
      </c>
      <c r="AM370">
        <f>IF(OR(AM$4="",$A370&gt;TODAY()),0,IF(OR(INDEX($B370:$D370,AM$5)="F",AND(AM$6&gt;0,$A370&lt;AM$6),AND(AM$7&gt;0,$A370&gt;AM$7)),0,MAX(0,ROUND((INDEX($E370:$G370,AM$5)-SUMIFS(TF_Timer,TF_Tekniker,AM$4,TF_Dato,$A370))*2,0)/2)))</f>
        <v/>
      </c>
      <c r="AN370">
        <f>IF(OR(AN$4="",$A370&gt;TODAY()),0,IF(OR(INDEX($B370:$D370,AN$5)="F",AND(AN$6&gt;0,$A370&lt;AN$6),AND(AN$7&gt;0,$A370&gt;AN$7)),0,MAX(0,ROUND((INDEX($E370:$G370,AN$5)-SUMIFS(TF_Timer,TF_Tekniker,AN$4,TF_Dato,$A370))*2,0)/2)))</f>
        <v/>
      </c>
      <c r="AO370">
        <f>IF(OR(AO$4="",$A370&gt;TODAY()),0,IF(OR(INDEX($B370:$D370,AO$5)="F",AND(AO$6&gt;0,$A370&lt;AO$6),AND(AO$7&gt;0,$A370&gt;AO$7)),0,MAX(0,ROUND((INDEX($E370:$G370,AO$5)-SUMIFS(TF_Timer,TF_Tekniker,AO$4,TF_Dato,$A370))*2,0)/2)))</f>
        <v/>
      </c>
      <c r="AP370">
        <f>IF(OR(AP$4="",$A370&gt;TODAY()),0,IF(OR(INDEX($B370:$D370,AP$5)="F",AND(AP$6&gt;0,$A370&lt;AP$6),AND(AP$7&gt;0,$A370&gt;AP$7)),0,MAX(0,ROUND((INDEX($E370:$G370,AP$5)-SUMIFS(TF_Timer,TF_Tekniker,AP$4,TF_Dato,$A370))*2,0)/2)))</f>
        <v/>
      </c>
      <c r="AQ370">
        <f>IF(OR(AQ$4="",$A370&gt;TODAY()),0,IF(OR(INDEX($B370:$D370,AQ$5)="F",AND(AQ$6&gt;0,$A370&lt;AQ$6),AND(AQ$7&gt;0,$A370&gt;AQ$7)),0,MAX(0,ROUND((INDEX($E370:$G370,AQ$5)-SUMIFS(TF_Timer,TF_Tekniker,AQ$4,TF_Dato,$A370))*2,0)/2)))</f>
        <v/>
      </c>
      <c r="AR370">
        <f>IF(OR(AR$4="",$A370&gt;TODAY()),0,IF(OR(INDEX($B370:$D370,AR$5)="F",AND(AR$6&gt;0,$A370&lt;AR$6),AND(AR$7&gt;0,$A370&gt;AR$7)),0,MAX(0,ROUND((INDEX($E370:$G370,AR$5)-SUMIFS(TF_Timer,TF_Tekniker,AR$4,TF_Dato,$A370))*2,0)/2)))</f>
        <v/>
      </c>
      <c r="AS370">
        <f>IF(OR(AS$4="",$A370&gt;TODAY()),0,IF(OR(INDEX($B370:$D370,AS$5)="F",AND(AS$6&gt;0,$A370&lt;AS$6),AND(AS$7&gt;0,$A370&gt;AS$7)),0,MAX(0,ROUND((INDEX($E370:$G370,AS$5)-SUMIFS(TF_Timer,TF_Tekniker,AS$4,TF_Dato,$A370))*2,0)/2)))</f>
        <v/>
      </c>
      <c r="AT370">
        <f>IF(OR(AT$4="",$A370&gt;TODAY()),0,IF(OR(INDEX($B370:$D370,AT$5)="F",AND(AT$6&gt;0,$A370&lt;AT$6),AND(AT$7&gt;0,$A370&gt;AT$7)),0,MAX(0,ROUND((INDEX($E370:$G370,AT$5)-SUMIFS(TF_Timer,TF_Tekniker,AT$4,TF_Dato,$A370))*2,0)/2)))</f>
        <v/>
      </c>
      <c r="AU370">
        <f>IF(OR(AU$4="",$A370&gt;TODAY()),0,IF(OR(INDEX($B370:$D370,AU$5)="F",AND(AU$6&gt;0,$A370&lt;AU$6),AND(AU$7&gt;0,$A370&gt;AU$7)),0,MAX(0,ROUND((INDEX($E370:$G370,AU$5)-SUMIFS(TF_Timer,TF_Tekniker,AU$4,TF_Dato,$A370))*2,0)/2)))</f>
        <v/>
      </c>
      <c r="AV370">
        <f>IF(OR(AV$4="",$A370&gt;TODAY()),0,IF(OR(INDEX($B370:$D370,AV$5)="F",AND(AV$6&gt;0,$A370&lt;AV$6),AND(AV$7&gt;0,$A370&gt;AV$7)),0,MAX(0,ROUND((INDEX($E370:$G370,AV$5)-SUMIFS(TF_Timer,TF_Tekniker,AV$4,TF_Dato,$A370))*2,0)/2)))</f>
        <v/>
      </c>
      <c r="AW370">
        <f>IF(OR(AW$4="",$A370&gt;TODAY()),0,IF(OR(INDEX($B370:$D370,AW$5)="F",AND(AW$6&gt;0,$A370&lt;AW$6),AND(AW$7&gt;0,$A370&gt;AW$7)),0,MAX(0,ROUND((INDEX($E370:$G370,AW$5)-SUMIFS(TF_Timer,TF_Tekniker,AW$4,TF_Dato,$A370))*2,0)/2)))</f>
        <v/>
      </c>
      <c r="AX370">
        <f>IF(OR(AX$4="",$A370&gt;TODAY()),0,IF(OR(INDEX($B370:$D370,AX$5)="F",AND(AX$6&gt;0,$A370&lt;AX$6),AND(AX$7&gt;0,$A370&gt;AX$7)),0,MAX(0,ROUND((INDEX($E370:$G370,AX$5)-SUMIFS(TF_Timer,TF_Tekniker,AX$4,TF_Dato,$A370))*2,0)/2)))</f>
        <v/>
      </c>
      <c r="AY370">
        <f>IF(OR(AY$4="",$A370&gt;TODAY()),0,IF(OR(INDEX($B370:$D370,AY$5)="F",AND(AY$6&gt;0,$A370&lt;AY$6),AND(AY$7&gt;0,$A370&gt;AY$7)),0,MAX(0,ROUND((INDEX($E370:$G370,AY$5)-SUMIFS(TF_Timer,TF_Tekniker,AY$4,TF_Dato,$A370))*2,0)/2)))</f>
        <v/>
      </c>
      <c r="AZ370">
        <f>IF(OR(AZ$4="",$A370&gt;TODAY()),0,IF(OR(INDEX($B370:$D370,AZ$5)="F",AND(AZ$6&gt;0,$A370&lt;AZ$6),AND(AZ$7&gt;0,$A370&gt;AZ$7)),0,MAX(0,ROUND((INDEX($E370:$G370,AZ$5)-SUMIFS(TF_Timer,TF_Tekniker,AZ$4,TF_Dato,$A370))*2,0)/2)))</f>
        <v/>
      </c>
      <c r="BA370">
        <f>IF(OR(BA$4="",$A370&gt;TODAY()),0,IF(OR(INDEX($B370:$D370,BA$5)="F",AND(BA$6&gt;0,$A370&lt;BA$6),AND(BA$7&gt;0,$A370&gt;BA$7)),0,MAX(0,ROUND((INDEX($E370:$G370,BA$5)-SUMIFS(TF_Timer,TF_Tekniker,BA$4,TF_Dato,$A370))*2,0)/2)))</f>
        <v/>
      </c>
      <c r="BB370">
        <f>IF(OR(BB$4="",$A370&gt;TODAY()),0,IF(OR(INDEX($B370:$D370,BB$5)="F",AND(BB$6&gt;0,$A370&lt;BB$6),AND(BB$7&gt;0,$A370&gt;BB$7)),0,MAX(0,ROUND((INDEX($E370:$G370,BB$5)-SUMIFS(TF_Timer,TF_Tekniker,BB$4,TF_Dato,$A370))*2,0)/2)))</f>
        <v/>
      </c>
      <c r="BC370">
        <f>IF(OR(BC$4="",$A370&gt;TODAY()),0,IF(OR(INDEX($B370:$D370,BC$5)="F",AND(BC$6&gt;0,$A370&lt;BC$6),AND(BC$7&gt;0,$A370&gt;BC$7)),0,MAX(0,ROUND((INDEX($E370:$G370,BC$5)-SUMIFS(TF_Timer,TF_Tekniker,BC$4,TF_Dato,$A370))*2,0)/2)))</f>
        <v/>
      </c>
      <c r="BD370">
        <f>IF(OR(BD$4="",$A370&gt;TODAY()),0,IF(OR(INDEX($B370:$D370,BD$5)="F",AND(BD$6&gt;0,$A370&lt;BD$6),AND(BD$7&gt;0,$A370&gt;BD$7)),0,MAX(0,ROUND((INDEX($E370:$G370,BD$5)-SUMIFS(TF_Timer,TF_Tekniker,BD$4,TF_Dato,$A370))*2,0)/2)))</f>
        <v/>
      </c>
      <c r="BE370">
        <f>IF(OR(BE$4="",$A370&gt;TODAY()),0,IF(OR(INDEX($B370:$D370,BE$5)="F",AND(BE$6&gt;0,$A370&lt;BE$6),AND(BE$7&gt;0,$A370&gt;BE$7)),0,MAX(0,ROUND((INDEX($E370:$G370,BE$5)-SUMIFS(TF_Timer,TF_Tekniker,BE$4,TF_Dato,$A370))*2,0)/2)))</f>
        <v/>
      </c>
      <c r="BF370">
        <f>IF(OR(BF$4="",$A370&gt;TODAY()),0,IF(OR(INDEX($B370:$D370,BF$5)="F",AND(BF$6&gt;0,$A370&lt;BF$6),AND(BF$7&gt;0,$A370&gt;BF$7)),0,MAX(0,ROUND((INDEX($E370:$G370,BF$5)-SUMIFS(TF_Timer,TF_Tekniker,BF$4,TF_Dato,$A370))*2,0)/2)))</f>
        <v/>
      </c>
      <c r="BG370">
        <f>IF(OR(BG$4="",$A370&gt;TODAY()),0,IF(OR(INDEX($B370:$D370,BG$5)="F",AND(BG$6&gt;0,$A370&lt;BG$6),AND(BG$7&gt;0,$A370&gt;BG$7)),0,MAX(0,ROUND((INDEX($E370:$G370,BG$5)-SUMIFS(TF_Timer,TF_Tekniker,BG$4,TF_Dato,$A370))*2,0)/2)))</f>
        <v/>
      </c>
      <c r="BH370">
        <f>IF(OR(BH$4="",$A370&gt;TODAY()),0,IF(OR(INDEX($B370:$D370,BH$5)="F",AND(BH$6&gt;0,$A370&lt;BH$6),AND(BH$7&gt;0,$A370&gt;BH$7)),0,MAX(0,ROUND((INDEX($E370:$G370,BH$5)-SUMIFS(TF_Timer,TF_Tekniker,BH$4,TF_Dato,$A370))*2,0)/2)))</f>
        <v/>
      </c>
      <c r="BI370">
        <f>IF(OR(BI$4="",$A370&gt;TODAY()),0,IF(OR(INDEX($B370:$D370,BI$5)="F",AND(BI$6&gt;0,$A370&lt;BI$6),AND(BI$7&gt;0,$A370&gt;BI$7)),0,MAX(0,ROUND((INDEX($E370:$G370,BI$5)-SUMIFS(TF_Timer,TF_Tekniker,BI$4,TF_Dato,$A370))*2,0)/2)))</f>
        <v/>
      </c>
    </row>
    <row r="371">
      <c r="A371" s="64">
        <f>A370+1</f>
        <v/>
      </c>
      <c r="B371">
        <f>IF(MOD($A371-INDEX(SkiftStart,1),Syklus)&lt;DagK,"K",IF(MOD($A371-INDEX(SkiftStart,1),Syklus)&lt;DagK+DagH,"H",IF(MOD($A371-INDEX(SkiftStart,1),Syklus)&lt;DagK+DagH+DagD,"D","F")))</f>
        <v/>
      </c>
      <c r="C371">
        <f>IF(MOD($A371-INDEX(SkiftStart,2),Syklus)&lt;DagK,"K",IF(MOD($A371-INDEX(SkiftStart,2),Syklus)&lt;DagK+DagH,"H",IF(MOD($A371-INDEX(SkiftStart,2),Syklus)&lt;DagK+DagH+DagD,"D","F")))</f>
        <v/>
      </c>
      <c r="D371">
        <f>IF(MOD($A371-INDEX(SkiftStart,3),Syklus)&lt;DagK,"K",IF(MOD($A371-INDEX(SkiftStart,3),Syklus)&lt;DagK+DagH,"H",IF(MOD($A371-INDEX(SkiftStart,3),Syklus)&lt;DagK+DagH+DagD,"D","F")))</f>
        <v/>
      </c>
      <c r="E371">
        <f>IF(B371="F",0,IF(WEEKDAY($A371,2)=5,INDEX(TimerFr,MATCH(B371,FaseKode,0)),INDEX(TimerMT,MATCH(B371,FaseKode,0))))</f>
        <v/>
      </c>
      <c r="F371">
        <f>IF(C371="F",0,IF(WEEKDAY($A371,2)=5,INDEX(TimerFr,MATCH(C371,FaseKode,0)),INDEX(TimerMT,MATCH(C371,FaseKode,0))))</f>
        <v/>
      </c>
      <c r="G371">
        <f>IF(D371="F",0,IF(WEEKDAY($A371,2)=5,INDEX(TimerFr,MATCH(D371,FaseKode,0)),INDEX(TimerMT,MATCH(D371,FaseKode,0))))</f>
        <v/>
      </c>
      <c r="H371">
        <f>IF(OR(H$4="",$A371&gt;TODAY()),0,IF(OR(INDEX($B371:$D371,H$5)="F",AND(H$6&gt;0,$A371&lt;H$6),AND(H$7&gt;0,$A371&gt;H$7)),0,MAX(0,ROUND((INDEX($E371:$G371,H$5)-SUMIFS(TF_Timer,TF_Tekniker,H$4,TF_Dato,$A371))*2,0)/2)))</f>
        <v/>
      </c>
      <c r="I371">
        <f>IF(OR(I$4="",$A371&gt;TODAY()),0,IF(OR(INDEX($B371:$D371,I$5)="F",AND(I$6&gt;0,$A371&lt;I$6),AND(I$7&gt;0,$A371&gt;I$7)),0,MAX(0,ROUND((INDEX($E371:$G371,I$5)-SUMIFS(TF_Timer,TF_Tekniker,I$4,TF_Dato,$A371))*2,0)/2)))</f>
        <v/>
      </c>
      <c r="J371">
        <f>IF(OR(J$4="",$A371&gt;TODAY()),0,IF(OR(INDEX($B371:$D371,J$5)="F",AND(J$6&gt;0,$A371&lt;J$6),AND(J$7&gt;0,$A371&gt;J$7)),0,MAX(0,ROUND((INDEX($E371:$G371,J$5)-SUMIFS(TF_Timer,TF_Tekniker,J$4,TF_Dato,$A371))*2,0)/2)))</f>
        <v/>
      </c>
      <c r="K371">
        <f>IF(OR(K$4="",$A371&gt;TODAY()),0,IF(OR(INDEX($B371:$D371,K$5)="F",AND(K$6&gt;0,$A371&lt;K$6),AND(K$7&gt;0,$A371&gt;K$7)),0,MAX(0,ROUND((INDEX($E371:$G371,K$5)-SUMIFS(TF_Timer,TF_Tekniker,K$4,TF_Dato,$A371))*2,0)/2)))</f>
        <v/>
      </c>
      <c r="L371">
        <f>IF(OR(L$4="",$A371&gt;TODAY()),0,IF(OR(INDEX($B371:$D371,L$5)="F",AND(L$6&gt;0,$A371&lt;L$6),AND(L$7&gt;0,$A371&gt;L$7)),0,MAX(0,ROUND((INDEX($E371:$G371,L$5)-SUMIFS(TF_Timer,TF_Tekniker,L$4,TF_Dato,$A371))*2,0)/2)))</f>
        <v/>
      </c>
      <c r="M371">
        <f>IF(OR(M$4="",$A371&gt;TODAY()),0,IF(OR(INDEX($B371:$D371,M$5)="F",AND(M$6&gt;0,$A371&lt;M$6),AND(M$7&gt;0,$A371&gt;M$7)),0,MAX(0,ROUND((INDEX($E371:$G371,M$5)-SUMIFS(TF_Timer,TF_Tekniker,M$4,TF_Dato,$A371))*2,0)/2)))</f>
        <v/>
      </c>
      <c r="N371">
        <f>IF(OR(N$4="",$A371&gt;TODAY()),0,IF(OR(INDEX($B371:$D371,N$5)="F",AND(N$6&gt;0,$A371&lt;N$6),AND(N$7&gt;0,$A371&gt;N$7)),0,MAX(0,ROUND((INDEX($E371:$G371,N$5)-SUMIFS(TF_Timer,TF_Tekniker,N$4,TF_Dato,$A371))*2,0)/2)))</f>
        <v/>
      </c>
      <c r="O371">
        <f>IF(OR(O$4="",$A371&gt;TODAY()),0,IF(OR(INDEX($B371:$D371,O$5)="F",AND(O$6&gt;0,$A371&lt;O$6),AND(O$7&gt;0,$A371&gt;O$7)),0,MAX(0,ROUND((INDEX($E371:$G371,O$5)-SUMIFS(TF_Timer,TF_Tekniker,O$4,TF_Dato,$A371))*2,0)/2)))</f>
        <v/>
      </c>
      <c r="P371">
        <f>IF(OR(P$4="",$A371&gt;TODAY()),0,IF(OR(INDEX($B371:$D371,P$5)="F",AND(P$6&gt;0,$A371&lt;P$6),AND(P$7&gt;0,$A371&gt;P$7)),0,MAX(0,ROUND((INDEX($E371:$G371,P$5)-SUMIFS(TF_Timer,TF_Tekniker,P$4,TF_Dato,$A371))*2,0)/2)))</f>
        <v/>
      </c>
      <c r="Q371">
        <f>IF(OR(Q$4="",$A371&gt;TODAY()),0,IF(OR(INDEX($B371:$D371,Q$5)="F",AND(Q$6&gt;0,$A371&lt;Q$6),AND(Q$7&gt;0,$A371&gt;Q$7)),0,MAX(0,ROUND((INDEX($E371:$G371,Q$5)-SUMIFS(TF_Timer,TF_Tekniker,Q$4,TF_Dato,$A371))*2,0)/2)))</f>
        <v/>
      </c>
      <c r="R371">
        <f>IF(OR(R$4="",$A371&gt;TODAY()),0,IF(OR(INDEX($B371:$D371,R$5)="F",AND(R$6&gt;0,$A371&lt;R$6),AND(R$7&gt;0,$A371&gt;R$7)),0,MAX(0,ROUND((INDEX($E371:$G371,R$5)-SUMIFS(TF_Timer,TF_Tekniker,R$4,TF_Dato,$A371))*2,0)/2)))</f>
        <v/>
      </c>
      <c r="S371">
        <f>IF(OR(S$4="",$A371&gt;TODAY()),0,IF(OR(INDEX($B371:$D371,S$5)="F",AND(S$6&gt;0,$A371&lt;S$6),AND(S$7&gt;0,$A371&gt;S$7)),0,MAX(0,ROUND((INDEX($E371:$G371,S$5)-SUMIFS(TF_Timer,TF_Tekniker,S$4,TF_Dato,$A371))*2,0)/2)))</f>
        <v/>
      </c>
      <c r="T371">
        <f>IF(OR(T$4="",$A371&gt;TODAY()),0,IF(OR(INDEX($B371:$D371,T$5)="F",AND(T$6&gt;0,$A371&lt;T$6),AND(T$7&gt;0,$A371&gt;T$7)),0,MAX(0,ROUND((INDEX($E371:$G371,T$5)-SUMIFS(TF_Timer,TF_Tekniker,T$4,TF_Dato,$A371))*2,0)/2)))</f>
        <v/>
      </c>
      <c r="U371">
        <f>IF(OR(U$4="",$A371&gt;TODAY()),0,IF(OR(INDEX($B371:$D371,U$5)="F",AND(U$6&gt;0,$A371&lt;U$6),AND(U$7&gt;0,$A371&gt;U$7)),0,MAX(0,ROUND((INDEX($E371:$G371,U$5)-SUMIFS(TF_Timer,TF_Tekniker,U$4,TF_Dato,$A371))*2,0)/2)))</f>
        <v/>
      </c>
      <c r="V371">
        <f>IF(OR(V$4="",$A371&gt;TODAY()),0,IF(OR(INDEX($B371:$D371,V$5)="F",AND(V$6&gt;0,$A371&lt;V$6),AND(V$7&gt;0,$A371&gt;V$7)),0,MAX(0,ROUND((INDEX($E371:$G371,V$5)-SUMIFS(TF_Timer,TF_Tekniker,V$4,TF_Dato,$A371))*2,0)/2)))</f>
        <v/>
      </c>
      <c r="W371">
        <f>IF(OR(W$4="",$A371&gt;TODAY()),0,IF(OR(INDEX($B371:$D371,W$5)="F",AND(W$6&gt;0,$A371&lt;W$6),AND(W$7&gt;0,$A371&gt;W$7)),0,MAX(0,ROUND((INDEX($E371:$G371,W$5)-SUMIFS(TF_Timer,TF_Tekniker,W$4,TF_Dato,$A371))*2,0)/2)))</f>
        <v/>
      </c>
      <c r="X371">
        <f>IF(OR(X$4="",$A371&gt;TODAY()),0,IF(OR(INDEX($B371:$D371,X$5)="F",AND(X$6&gt;0,$A371&lt;X$6),AND(X$7&gt;0,$A371&gt;X$7)),0,MAX(0,ROUND((INDEX($E371:$G371,X$5)-SUMIFS(TF_Timer,TF_Tekniker,X$4,TF_Dato,$A371))*2,0)/2)))</f>
        <v/>
      </c>
      <c r="Y371">
        <f>IF(OR(Y$4="",$A371&gt;TODAY()),0,IF(OR(INDEX($B371:$D371,Y$5)="F",AND(Y$6&gt;0,$A371&lt;Y$6),AND(Y$7&gt;0,$A371&gt;Y$7)),0,MAX(0,ROUND((INDEX($E371:$G371,Y$5)-SUMIFS(TF_Timer,TF_Tekniker,Y$4,TF_Dato,$A371))*2,0)/2)))</f>
        <v/>
      </c>
      <c r="Z371">
        <f>IF(OR(Z$4="",$A371&gt;TODAY()),0,IF(OR(INDEX($B371:$D371,Z$5)="F",AND(Z$6&gt;0,$A371&lt;Z$6),AND(Z$7&gt;0,$A371&gt;Z$7)),0,MAX(0,ROUND((INDEX($E371:$G371,Z$5)-SUMIFS(TF_Timer,TF_Tekniker,Z$4,TF_Dato,$A371))*2,0)/2)))</f>
        <v/>
      </c>
      <c r="AA371">
        <f>IF(OR(AA$4="",$A371&gt;TODAY()),0,IF(OR(INDEX($B371:$D371,AA$5)="F",AND(AA$6&gt;0,$A371&lt;AA$6),AND(AA$7&gt;0,$A371&gt;AA$7)),0,MAX(0,ROUND((INDEX($E371:$G371,AA$5)-SUMIFS(TF_Timer,TF_Tekniker,AA$4,TF_Dato,$A371))*2,0)/2)))</f>
        <v/>
      </c>
      <c r="AB371">
        <f>IF(OR(AB$4="",$A371&gt;TODAY()),0,IF(OR(INDEX($B371:$D371,AB$5)="F",AND(AB$6&gt;0,$A371&lt;AB$6),AND(AB$7&gt;0,$A371&gt;AB$7)),0,MAX(0,ROUND((INDEX($E371:$G371,AB$5)-SUMIFS(TF_Timer,TF_Tekniker,AB$4,TF_Dato,$A371))*2,0)/2)))</f>
        <v/>
      </c>
      <c r="AC371">
        <f>IF(OR(AC$4="",$A371&gt;TODAY()),0,IF(OR(INDEX($B371:$D371,AC$5)="F",AND(AC$6&gt;0,$A371&lt;AC$6),AND(AC$7&gt;0,$A371&gt;AC$7)),0,MAX(0,ROUND((INDEX($E371:$G371,AC$5)-SUMIFS(TF_Timer,TF_Tekniker,AC$4,TF_Dato,$A371))*2,0)/2)))</f>
        <v/>
      </c>
      <c r="AD371">
        <f>IF(OR(AD$4="",$A371&gt;TODAY()),0,IF(OR(INDEX($B371:$D371,AD$5)="F",AND(AD$6&gt;0,$A371&lt;AD$6),AND(AD$7&gt;0,$A371&gt;AD$7)),0,MAX(0,ROUND((INDEX($E371:$G371,AD$5)-SUMIFS(TF_Timer,TF_Tekniker,AD$4,TF_Dato,$A371))*2,0)/2)))</f>
        <v/>
      </c>
      <c r="AE371">
        <f>IF(OR(AE$4="",$A371&gt;TODAY()),0,IF(OR(INDEX($B371:$D371,AE$5)="F",AND(AE$6&gt;0,$A371&lt;AE$6),AND(AE$7&gt;0,$A371&gt;AE$7)),0,MAX(0,ROUND((INDEX($E371:$G371,AE$5)-SUMIFS(TF_Timer,TF_Tekniker,AE$4,TF_Dato,$A371))*2,0)/2)))</f>
        <v/>
      </c>
      <c r="AF371">
        <f>IF(OR(AF$4="",$A371&gt;TODAY()),0,IF(OR(INDEX($B371:$D371,AF$5)="F",AND(AF$6&gt;0,$A371&lt;AF$6),AND(AF$7&gt;0,$A371&gt;AF$7)),0,MAX(0,ROUND((INDEX($E371:$G371,AF$5)-SUMIFS(TF_Timer,TF_Tekniker,AF$4,TF_Dato,$A371))*2,0)/2)))</f>
        <v/>
      </c>
      <c r="AG371">
        <f>IF(OR(AG$4="",$A371&gt;TODAY()),0,IF(OR(INDEX($B371:$D371,AG$5)="F",AND(AG$6&gt;0,$A371&lt;AG$6),AND(AG$7&gt;0,$A371&gt;AG$7)),0,MAX(0,ROUND((INDEX($E371:$G371,AG$5)-SUMIFS(TF_Timer,TF_Tekniker,AG$4,TF_Dato,$A371))*2,0)/2)))</f>
        <v/>
      </c>
      <c r="AH371">
        <f>IF(OR(AH$4="",$A371&gt;TODAY()),0,IF(OR(INDEX($B371:$D371,AH$5)="F",AND(AH$6&gt;0,$A371&lt;AH$6),AND(AH$7&gt;0,$A371&gt;AH$7)),0,MAX(0,ROUND((INDEX($E371:$G371,AH$5)-SUMIFS(TF_Timer,TF_Tekniker,AH$4,TF_Dato,$A371))*2,0)/2)))</f>
        <v/>
      </c>
      <c r="AI371">
        <f>IF(OR(AI$4="",$A371&gt;TODAY()),0,IF(OR(INDEX($B371:$D371,AI$5)="F",AND(AI$6&gt;0,$A371&lt;AI$6),AND(AI$7&gt;0,$A371&gt;AI$7)),0,MAX(0,ROUND((INDEX($E371:$G371,AI$5)-SUMIFS(TF_Timer,TF_Tekniker,AI$4,TF_Dato,$A371))*2,0)/2)))</f>
        <v/>
      </c>
      <c r="AJ371">
        <f>IF(OR(AJ$4="",$A371&gt;TODAY()),0,IF(OR(INDEX($B371:$D371,AJ$5)="F",AND(AJ$6&gt;0,$A371&lt;AJ$6),AND(AJ$7&gt;0,$A371&gt;AJ$7)),0,MAX(0,ROUND((INDEX($E371:$G371,AJ$5)-SUMIFS(TF_Timer,TF_Tekniker,AJ$4,TF_Dato,$A371))*2,0)/2)))</f>
        <v/>
      </c>
      <c r="AK371">
        <f>IF(OR(AK$4="",$A371&gt;TODAY()),0,IF(OR(INDEX($B371:$D371,AK$5)="F",AND(AK$6&gt;0,$A371&lt;AK$6),AND(AK$7&gt;0,$A371&gt;AK$7)),0,MAX(0,ROUND((INDEX($E371:$G371,AK$5)-SUMIFS(TF_Timer,TF_Tekniker,AK$4,TF_Dato,$A371))*2,0)/2)))</f>
        <v/>
      </c>
      <c r="AL371">
        <f>IF(OR(AL$4="",$A371&gt;TODAY()),0,IF(OR(INDEX($B371:$D371,AL$5)="F",AND(AL$6&gt;0,$A371&lt;AL$6),AND(AL$7&gt;0,$A371&gt;AL$7)),0,MAX(0,ROUND((INDEX($E371:$G371,AL$5)-SUMIFS(TF_Timer,TF_Tekniker,AL$4,TF_Dato,$A371))*2,0)/2)))</f>
        <v/>
      </c>
      <c r="AM371">
        <f>IF(OR(AM$4="",$A371&gt;TODAY()),0,IF(OR(INDEX($B371:$D371,AM$5)="F",AND(AM$6&gt;0,$A371&lt;AM$6),AND(AM$7&gt;0,$A371&gt;AM$7)),0,MAX(0,ROUND((INDEX($E371:$G371,AM$5)-SUMIFS(TF_Timer,TF_Tekniker,AM$4,TF_Dato,$A371))*2,0)/2)))</f>
        <v/>
      </c>
      <c r="AN371">
        <f>IF(OR(AN$4="",$A371&gt;TODAY()),0,IF(OR(INDEX($B371:$D371,AN$5)="F",AND(AN$6&gt;0,$A371&lt;AN$6),AND(AN$7&gt;0,$A371&gt;AN$7)),0,MAX(0,ROUND((INDEX($E371:$G371,AN$5)-SUMIFS(TF_Timer,TF_Tekniker,AN$4,TF_Dato,$A371))*2,0)/2)))</f>
        <v/>
      </c>
      <c r="AO371">
        <f>IF(OR(AO$4="",$A371&gt;TODAY()),0,IF(OR(INDEX($B371:$D371,AO$5)="F",AND(AO$6&gt;0,$A371&lt;AO$6),AND(AO$7&gt;0,$A371&gt;AO$7)),0,MAX(0,ROUND((INDEX($E371:$G371,AO$5)-SUMIFS(TF_Timer,TF_Tekniker,AO$4,TF_Dato,$A371))*2,0)/2)))</f>
        <v/>
      </c>
      <c r="AP371">
        <f>IF(OR(AP$4="",$A371&gt;TODAY()),0,IF(OR(INDEX($B371:$D371,AP$5)="F",AND(AP$6&gt;0,$A371&lt;AP$6),AND(AP$7&gt;0,$A371&gt;AP$7)),0,MAX(0,ROUND((INDEX($E371:$G371,AP$5)-SUMIFS(TF_Timer,TF_Tekniker,AP$4,TF_Dato,$A371))*2,0)/2)))</f>
        <v/>
      </c>
      <c r="AQ371">
        <f>IF(OR(AQ$4="",$A371&gt;TODAY()),0,IF(OR(INDEX($B371:$D371,AQ$5)="F",AND(AQ$6&gt;0,$A371&lt;AQ$6),AND(AQ$7&gt;0,$A371&gt;AQ$7)),0,MAX(0,ROUND((INDEX($E371:$G371,AQ$5)-SUMIFS(TF_Timer,TF_Tekniker,AQ$4,TF_Dato,$A371))*2,0)/2)))</f>
        <v/>
      </c>
      <c r="AR371">
        <f>IF(OR(AR$4="",$A371&gt;TODAY()),0,IF(OR(INDEX($B371:$D371,AR$5)="F",AND(AR$6&gt;0,$A371&lt;AR$6),AND(AR$7&gt;0,$A371&gt;AR$7)),0,MAX(0,ROUND((INDEX($E371:$G371,AR$5)-SUMIFS(TF_Timer,TF_Tekniker,AR$4,TF_Dato,$A371))*2,0)/2)))</f>
        <v/>
      </c>
      <c r="AS371">
        <f>IF(OR(AS$4="",$A371&gt;TODAY()),0,IF(OR(INDEX($B371:$D371,AS$5)="F",AND(AS$6&gt;0,$A371&lt;AS$6),AND(AS$7&gt;0,$A371&gt;AS$7)),0,MAX(0,ROUND((INDEX($E371:$G371,AS$5)-SUMIFS(TF_Timer,TF_Tekniker,AS$4,TF_Dato,$A371))*2,0)/2)))</f>
        <v/>
      </c>
      <c r="AT371">
        <f>IF(OR(AT$4="",$A371&gt;TODAY()),0,IF(OR(INDEX($B371:$D371,AT$5)="F",AND(AT$6&gt;0,$A371&lt;AT$6),AND(AT$7&gt;0,$A371&gt;AT$7)),0,MAX(0,ROUND((INDEX($E371:$G371,AT$5)-SUMIFS(TF_Timer,TF_Tekniker,AT$4,TF_Dato,$A371))*2,0)/2)))</f>
        <v/>
      </c>
      <c r="AU371">
        <f>IF(OR(AU$4="",$A371&gt;TODAY()),0,IF(OR(INDEX($B371:$D371,AU$5)="F",AND(AU$6&gt;0,$A371&lt;AU$6),AND(AU$7&gt;0,$A371&gt;AU$7)),0,MAX(0,ROUND((INDEX($E371:$G371,AU$5)-SUMIFS(TF_Timer,TF_Tekniker,AU$4,TF_Dato,$A371))*2,0)/2)))</f>
        <v/>
      </c>
      <c r="AV371">
        <f>IF(OR(AV$4="",$A371&gt;TODAY()),0,IF(OR(INDEX($B371:$D371,AV$5)="F",AND(AV$6&gt;0,$A371&lt;AV$6),AND(AV$7&gt;0,$A371&gt;AV$7)),0,MAX(0,ROUND((INDEX($E371:$G371,AV$5)-SUMIFS(TF_Timer,TF_Tekniker,AV$4,TF_Dato,$A371))*2,0)/2)))</f>
        <v/>
      </c>
      <c r="AW371">
        <f>IF(OR(AW$4="",$A371&gt;TODAY()),0,IF(OR(INDEX($B371:$D371,AW$5)="F",AND(AW$6&gt;0,$A371&lt;AW$6),AND(AW$7&gt;0,$A371&gt;AW$7)),0,MAX(0,ROUND((INDEX($E371:$G371,AW$5)-SUMIFS(TF_Timer,TF_Tekniker,AW$4,TF_Dato,$A371))*2,0)/2)))</f>
        <v/>
      </c>
      <c r="AX371">
        <f>IF(OR(AX$4="",$A371&gt;TODAY()),0,IF(OR(INDEX($B371:$D371,AX$5)="F",AND(AX$6&gt;0,$A371&lt;AX$6),AND(AX$7&gt;0,$A371&gt;AX$7)),0,MAX(0,ROUND((INDEX($E371:$G371,AX$5)-SUMIFS(TF_Timer,TF_Tekniker,AX$4,TF_Dato,$A371))*2,0)/2)))</f>
        <v/>
      </c>
      <c r="AY371">
        <f>IF(OR(AY$4="",$A371&gt;TODAY()),0,IF(OR(INDEX($B371:$D371,AY$5)="F",AND(AY$6&gt;0,$A371&lt;AY$6),AND(AY$7&gt;0,$A371&gt;AY$7)),0,MAX(0,ROUND((INDEX($E371:$G371,AY$5)-SUMIFS(TF_Timer,TF_Tekniker,AY$4,TF_Dato,$A371))*2,0)/2)))</f>
        <v/>
      </c>
      <c r="AZ371">
        <f>IF(OR(AZ$4="",$A371&gt;TODAY()),0,IF(OR(INDEX($B371:$D371,AZ$5)="F",AND(AZ$6&gt;0,$A371&lt;AZ$6),AND(AZ$7&gt;0,$A371&gt;AZ$7)),0,MAX(0,ROUND((INDEX($E371:$G371,AZ$5)-SUMIFS(TF_Timer,TF_Tekniker,AZ$4,TF_Dato,$A371))*2,0)/2)))</f>
        <v/>
      </c>
      <c r="BA371">
        <f>IF(OR(BA$4="",$A371&gt;TODAY()),0,IF(OR(INDEX($B371:$D371,BA$5)="F",AND(BA$6&gt;0,$A371&lt;BA$6),AND(BA$7&gt;0,$A371&gt;BA$7)),0,MAX(0,ROUND((INDEX($E371:$G371,BA$5)-SUMIFS(TF_Timer,TF_Tekniker,BA$4,TF_Dato,$A371))*2,0)/2)))</f>
        <v/>
      </c>
      <c r="BB371">
        <f>IF(OR(BB$4="",$A371&gt;TODAY()),0,IF(OR(INDEX($B371:$D371,BB$5)="F",AND(BB$6&gt;0,$A371&lt;BB$6),AND(BB$7&gt;0,$A371&gt;BB$7)),0,MAX(0,ROUND((INDEX($E371:$G371,BB$5)-SUMIFS(TF_Timer,TF_Tekniker,BB$4,TF_Dato,$A371))*2,0)/2)))</f>
        <v/>
      </c>
      <c r="BC371">
        <f>IF(OR(BC$4="",$A371&gt;TODAY()),0,IF(OR(INDEX($B371:$D371,BC$5)="F",AND(BC$6&gt;0,$A371&lt;BC$6),AND(BC$7&gt;0,$A371&gt;BC$7)),0,MAX(0,ROUND((INDEX($E371:$G371,BC$5)-SUMIFS(TF_Timer,TF_Tekniker,BC$4,TF_Dato,$A371))*2,0)/2)))</f>
        <v/>
      </c>
      <c r="BD371">
        <f>IF(OR(BD$4="",$A371&gt;TODAY()),0,IF(OR(INDEX($B371:$D371,BD$5)="F",AND(BD$6&gt;0,$A371&lt;BD$6),AND(BD$7&gt;0,$A371&gt;BD$7)),0,MAX(0,ROUND((INDEX($E371:$G371,BD$5)-SUMIFS(TF_Timer,TF_Tekniker,BD$4,TF_Dato,$A371))*2,0)/2)))</f>
        <v/>
      </c>
      <c r="BE371">
        <f>IF(OR(BE$4="",$A371&gt;TODAY()),0,IF(OR(INDEX($B371:$D371,BE$5)="F",AND(BE$6&gt;0,$A371&lt;BE$6),AND(BE$7&gt;0,$A371&gt;BE$7)),0,MAX(0,ROUND((INDEX($E371:$G371,BE$5)-SUMIFS(TF_Timer,TF_Tekniker,BE$4,TF_Dato,$A371))*2,0)/2)))</f>
        <v/>
      </c>
      <c r="BF371">
        <f>IF(OR(BF$4="",$A371&gt;TODAY()),0,IF(OR(INDEX($B371:$D371,BF$5)="F",AND(BF$6&gt;0,$A371&lt;BF$6),AND(BF$7&gt;0,$A371&gt;BF$7)),0,MAX(0,ROUND((INDEX($E371:$G371,BF$5)-SUMIFS(TF_Timer,TF_Tekniker,BF$4,TF_Dato,$A371))*2,0)/2)))</f>
        <v/>
      </c>
      <c r="BG371">
        <f>IF(OR(BG$4="",$A371&gt;TODAY()),0,IF(OR(INDEX($B371:$D371,BG$5)="F",AND(BG$6&gt;0,$A371&lt;BG$6),AND(BG$7&gt;0,$A371&gt;BG$7)),0,MAX(0,ROUND((INDEX($E371:$G371,BG$5)-SUMIFS(TF_Timer,TF_Tekniker,BG$4,TF_Dato,$A371))*2,0)/2)))</f>
        <v/>
      </c>
      <c r="BH371">
        <f>IF(OR(BH$4="",$A371&gt;TODAY()),0,IF(OR(INDEX($B371:$D371,BH$5)="F",AND(BH$6&gt;0,$A371&lt;BH$6),AND(BH$7&gt;0,$A371&gt;BH$7)),0,MAX(0,ROUND((INDEX($E371:$G371,BH$5)-SUMIFS(TF_Timer,TF_Tekniker,BH$4,TF_Dato,$A371))*2,0)/2)))</f>
        <v/>
      </c>
      <c r="BI371">
        <f>IF(OR(BI$4="",$A371&gt;TODAY()),0,IF(OR(INDEX($B371:$D371,BI$5)="F",AND(BI$6&gt;0,$A371&lt;BI$6),AND(BI$7&gt;0,$A371&gt;BI$7)),0,MAX(0,ROUND((INDEX($E371:$G371,BI$5)-SUMIFS(TF_Timer,TF_Tekniker,BI$4,TF_Dato,$A371))*2,0)/2)))</f>
        <v/>
      </c>
    </row>
    <row r="372">
      <c r="A372" s="64">
        <f>A371+1</f>
        <v/>
      </c>
      <c r="B372">
        <f>IF(MOD($A372-INDEX(SkiftStart,1),Syklus)&lt;DagK,"K",IF(MOD($A372-INDEX(SkiftStart,1),Syklus)&lt;DagK+DagH,"H",IF(MOD($A372-INDEX(SkiftStart,1),Syklus)&lt;DagK+DagH+DagD,"D","F")))</f>
        <v/>
      </c>
      <c r="C372">
        <f>IF(MOD($A372-INDEX(SkiftStart,2),Syklus)&lt;DagK,"K",IF(MOD($A372-INDEX(SkiftStart,2),Syklus)&lt;DagK+DagH,"H",IF(MOD($A372-INDEX(SkiftStart,2),Syklus)&lt;DagK+DagH+DagD,"D","F")))</f>
        <v/>
      </c>
      <c r="D372">
        <f>IF(MOD($A372-INDEX(SkiftStart,3),Syklus)&lt;DagK,"K",IF(MOD($A372-INDEX(SkiftStart,3),Syklus)&lt;DagK+DagH,"H",IF(MOD($A372-INDEX(SkiftStart,3),Syklus)&lt;DagK+DagH+DagD,"D","F")))</f>
        <v/>
      </c>
      <c r="E372">
        <f>IF(B372="F",0,IF(WEEKDAY($A372,2)=5,INDEX(TimerFr,MATCH(B372,FaseKode,0)),INDEX(TimerMT,MATCH(B372,FaseKode,0))))</f>
        <v/>
      </c>
      <c r="F372">
        <f>IF(C372="F",0,IF(WEEKDAY($A372,2)=5,INDEX(TimerFr,MATCH(C372,FaseKode,0)),INDEX(TimerMT,MATCH(C372,FaseKode,0))))</f>
        <v/>
      </c>
      <c r="G372">
        <f>IF(D372="F",0,IF(WEEKDAY($A372,2)=5,INDEX(TimerFr,MATCH(D372,FaseKode,0)),INDEX(TimerMT,MATCH(D372,FaseKode,0))))</f>
        <v/>
      </c>
      <c r="H372">
        <f>IF(OR(H$4="",$A372&gt;TODAY()),0,IF(OR(INDEX($B372:$D372,H$5)="F",AND(H$6&gt;0,$A372&lt;H$6),AND(H$7&gt;0,$A372&gt;H$7)),0,MAX(0,ROUND((INDEX($E372:$G372,H$5)-SUMIFS(TF_Timer,TF_Tekniker,H$4,TF_Dato,$A372))*2,0)/2)))</f>
        <v/>
      </c>
      <c r="I372">
        <f>IF(OR(I$4="",$A372&gt;TODAY()),0,IF(OR(INDEX($B372:$D372,I$5)="F",AND(I$6&gt;0,$A372&lt;I$6),AND(I$7&gt;0,$A372&gt;I$7)),0,MAX(0,ROUND((INDEX($E372:$G372,I$5)-SUMIFS(TF_Timer,TF_Tekniker,I$4,TF_Dato,$A372))*2,0)/2)))</f>
        <v/>
      </c>
      <c r="J372">
        <f>IF(OR(J$4="",$A372&gt;TODAY()),0,IF(OR(INDEX($B372:$D372,J$5)="F",AND(J$6&gt;0,$A372&lt;J$6),AND(J$7&gt;0,$A372&gt;J$7)),0,MAX(0,ROUND((INDEX($E372:$G372,J$5)-SUMIFS(TF_Timer,TF_Tekniker,J$4,TF_Dato,$A372))*2,0)/2)))</f>
        <v/>
      </c>
      <c r="K372">
        <f>IF(OR(K$4="",$A372&gt;TODAY()),0,IF(OR(INDEX($B372:$D372,K$5)="F",AND(K$6&gt;0,$A372&lt;K$6),AND(K$7&gt;0,$A372&gt;K$7)),0,MAX(0,ROUND((INDEX($E372:$G372,K$5)-SUMIFS(TF_Timer,TF_Tekniker,K$4,TF_Dato,$A372))*2,0)/2)))</f>
        <v/>
      </c>
      <c r="L372">
        <f>IF(OR(L$4="",$A372&gt;TODAY()),0,IF(OR(INDEX($B372:$D372,L$5)="F",AND(L$6&gt;0,$A372&lt;L$6),AND(L$7&gt;0,$A372&gt;L$7)),0,MAX(0,ROUND((INDEX($E372:$G372,L$5)-SUMIFS(TF_Timer,TF_Tekniker,L$4,TF_Dato,$A372))*2,0)/2)))</f>
        <v/>
      </c>
      <c r="M372">
        <f>IF(OR(M$4="",$A372&gt;TODAY()),0,IF(OR(INDEX($B372:$D372,M$5)="F",AND(M$6&gt;0,$A372&lt;M$6),AND(M$7&gt;0,$A372&gt;M$7)),0,MAX(0,ROUND((INDEX($E372:$G372,M$5)-SUMIFS(TF_Timer,TF_Tekniker,M$4,TF_Dato,$A372))*2,0)/2)))</f>
        <v/>
      </c>
      <c r="N372">
        <f>IF(OR(N$4="",$A372&gt;TODAY()),0,IF(OR(INDEX($B372:$D372,N$5)="F",AND(N$6&gt;0,$A372&lt;N$6),AND(N$7&gt;0,$A372&gt;N$7)),0,MAX(0,ROUND((INDEX($E372:$G372,N$5)-SUMIFS(TF_Timer,TF_Tekniker,N$4,TF_Dato,$A372))*2,0)/2)))</f>
        <v/>
      </c>
      <c r="O372">
        <f>IF(OR(O$4="",$A372&gt;TODAY()),0,IF(OR(INDEX($B372:$D372,O$5)="F",AND(O$6&gt;0,$A372&lt;O$6),AND(O$7&gt;0,$A372&gt;O$7)),0,MAX(0,ROUND((INDEX($E372:$G372,O$5)-SUMIFS(TF_Timer,TF_Tekniker,O$4,TF_Dato,$A372))*2,0)/2)))</f>
        <v/>
      </c>
      <c r="P372">
        <f>IF(OR(P$4="",$A372&gt;TODAY()),0,IF(OR(INDEX($B372:$D372,P$5)="F",AND(P$6&gt;0,$A372&lt;P$6),AND(P$7&gt;0,$A372&gt;P$7)),0,MAX(0,ROUND((INDEX($E372:$G372,P$5)-SUMIFS(TF_Timer,TF_Tekniker,P$4,TF_Dato,$A372))*2,0)/2)))</f>
        <v/>
      </c>
      <c r="Q372">
        <f>IF(OR(Q$4="",$A372&gt;TODAY()),0,IF(OR(INDEX($B372:$D372,Q$5)="F",AND(Q$6&gt;0,$A372&lt;Q$6),AND(Q$7&gt;0,$A372&gt;Q$7)),0,MAX(0,ROUND((INDEX($E372:$G372,Q$5)-SUMIFS(TF_Timer,TF_Tekniker,Q$4,TF_Dato,$A372))*2,0)/2)))</f>
        <v/>
      </c>
      <c r="R372">
        <f>IF(OR(R$4="",$A372&gt;TODAY()),0,IF(OR(INDEX($B372:$D372,R$5)="F",AND(R$6&gt;0,$A372&lt;R$6),AND(R$7&gt;0,$A372&gt;R$7)),0,MAX(0,ROUND((INDEX($E372:$G372,R$5)-SUMIFS(TF_Timer,TF_Tekniker,R$4,TF_Dato,$A372))*2,0)/2)))</f>
        <v/>
      </c>
      <c r="S372">
        <f>IF(OR(S$4="",$A372&gt;TODAY()),0,IF(OR(INDEX($B372:$D372,S$5)="F",AND(S$6&gt;0,$A372&lt;S$6),AND(S$7&gt;0,$A372&gt;S$7)),0,MAX(0,ROUND((INDEX($E372:$G372,S$5)-SUMIFS(TF_Timer,TF_Tekniker,S$4,TF_Dato,$A372))*2,0)/2)))</f>
        <v/>
      </c>
      <c r="T372">
        <f>IF(OR(T$4="",$A372&gt;TODAY()),0,IF(OR(INDEX($B372:$D372,T$5)="F",AND(T$6&gt;0,$A372&lt;T$6),AND(T$7&gt;0,$A372&gt;T$7)),0,MAX(0,ROUND((INDEX($E372:$G372,T$5)-SUMIFS(TF_Timer,TF_Tekniker,T$4,TF_Dato,$A372))*2,0)/2)))</f>
        <v/>
      </c>
      <c r="U372">
        <f>IF(OR(U$4="",$A372&gt;TODAY()),0,IF(OR(INDEX($B372:$D372,U$5)="F",AND(U$6&gt;0,$A372&lt;U$6),AND(U$7&gt;0,$A372&gt;U$7)),0,MAX(0,ROUND((INDEX($E372:$G372,U$5)-SUMIFS(TF_Timer,TF_Tekniker,U$4,TF_Dato,$A372))*2,0)/2)))</f>
        <v/>
      </c>
      <c r="V372">
        <f>IF(OR(V$4="",$A372&gt;TODAY()),0,IF(OR(INDEX($B372:$D372,V$5)="F",AND(V$6&gt;0,$A372&lt;V$6),AND(V$7&gt;0,$A372&gt;V$7)),0,MAX(0,ROUND((INDEX($E372:$G372,V$5)-SUMIFS(TF_Timer,TF_Tekniker,V$4,TF_Dato,$A372))*2,0)/2)))</f>
        <v/>
      </c>
      <c r="W372">
        <f>IF(OR(W$4="",$A372&gt;TODAY()),0,IF(OR(INDEX($B372:$D372,W$5)="F",AND(W$6&gt;0,$A372&lt;W$6),AND(W$7&gt;0,$A372&gt;W$7)),0,MAX(0,ROUND((INDEX($E372:$G372,W$5)-SUMIFS(TF_Timer,TF_Tekniker,W$4,TF_Dato,$A372))*2,0)/2)))</f>
        <v/>
      </c>
      <c r="X372">
        <f>IF(OR(X$4="",$A372&gt;TODAY()),0,IF(OR(INDEX($B372:$D372,X$5)="F",AND(X$6&gt;0,$A372&lt;X$6),AND(X$7&gt;0,$A372&gt;X$7)),0,MAX(0,ROUND((INDEX($E372:$G372,X$5)-SUMIFS(TF_Timer,TF_Tekniker,X$4,TF_Dato,$A372))*2,0)/2)))</f>
        <v/>
      </c>
      <c r="Y372">
        <f>IF(OR(Y$4="",$A372&gt;TODAY()),0,IF(OR(INDEX($B372:$D372,Y$5)="F",AND(Y$6&gt;0,$A372&lt;Y$6),AND(Y$7&gt;0,$A372&gt;Y$7)),0,MAX(0,ROUND((INDEX($E372:$G372,Y$5)-SUMIFS(TF_Timer,TF_Tekniker,Y$4,TF_Dato,$A372))*2,0)/2)))</f>
        <v/>
      </c>
      <c r="Z372">
        <f>IF(OR(Z$4="",$A372&gt;TODAY()),0,IF(OR(INDEX($B372:$D372,Z$5)="F",AND(Z$6&gt;0,$A372&lt;Z$6),AND(Z$7&gt;0,$A372&gt;Z$7)),0,MAX(0,ROUND((INDEX($E372:$G372,Z$5)-SUMIFS(TF_Timer,TF_Tekniker,Z$4,TF_Dato,$A372))*2,0)/2)))</f>
        <v/>
      </c>
      <c r="AA372">
        <f>IF(OR(AA$4="",$A372&gt;TODAY()),0,IF(OR(INDEX($B372:$D372,AA$5)="F",AND(AA$6&gt;0,$A372&lt;AA$6),AND(AA$7&gt;0,$A372&gt;AA$7)),0,MAX(0,ROUND((INDEX($E372:$G372,AA$5)-SUMIFS(TF_Timer,TF_Tekniker,AA$4,TF_Dato,$A372))*2,0)/2)))</f>
        <v/>
      </c>
      <c r="AB372">
        <f>IF(OR(AB$4="",$A372&gt;TODAY()),0,IF(OR(INDEX($B372:$D372,AB$5)="F",AND(AB$6&gt;0,$A372&lt;AB$6),AND(AB$7&gt;0,$A372&gt;AB$7)),0,MAX(0,ROUND((INDEX($E372:$G372,AB$5)-SUMIFS(TF_Timer,TF_Tekniker,AB$4,TF_Dato,$A372))*2,0)/2)))</f>
        <v/>
      </c>
      <c r="AC372">
        <f>IF(OR(AC$4="",$A372&gt;TODAY()),0,IF(OR(INDEX($B372:$D372,AC$5)="F",AND(AC$6&gt;0,$A372&lt;AC$6),AND(AC$7&gt;0,$A372&gt;AC$7)),0,MAX(0,ROUND((INDEX($E372:$G372,AC$5)-SUMIFS(TF_Timer,TF_Tekniker,AC$4,TF_Dato,$A372))*2,0)/2)))</f>
        <v/>
      </c>
      <c r="AD372">
        <f>IF(OR(AD$4="",$A372&gt;TODAY()),0,IF(OR(INDEX($B372:$D372,AD$5)="F",AND(AD$6&gt;0,$A372&lt;AD$6),AND(AD$7&gt;0,$A372&gt;AD$7)),0,MAX(0,ROUND((INDEX($E372:$G372,AD$5)-SUMIFS(TF_Timer,TF_Tekniker,AD$4,TF_Dato,$A372))*2,0)/2)))</f>
        <v/>
      </c>
      <c r="AE372">
        <f>IF(OR(AE$4="",$A372&gt;TODAY()),0,IF(OR(INDEX($B372:$D372,AE$5)="F",AND(AE$6&gt;0,$A372&lt;AE$6),AND(AE$7&gt;0,$A372&gt;AE$7)),0,MAX(0,ROUND((INDEX($E372:$G372,AE$5)-SUMIFS(TF_Timer,TF_Tekniker,AE$4,TF_Dato,$A372))*2,0)/2)))</f>
        <v/>
      </c>
      <c r="AF372">
        <f>IF(OR(AF$4="",$A372&gt;TODAY()),0,IF(OR(INDEX($B372:$D372,AF$5)="F",AND(AF$6&gt;0,$A372&lt;AF$6),AND(AF$7&gt;0,$A372&gt;AF$7)),0,MAX(0,ROUND((INDEX($E372:$G372,AF$5)-SUMIFS(TF_Timer,TF_Tekniker,AF$4,TF_Dato,$A372))*2,0)/2)))</f>
        <v/>
      </c>
      <c r="AG372">
        <f>IF(OR(AG$4="",$A372&gt;TODAY()),0,IF(OR(INDEX($B372:$D372,AG$5)="F",AND(AG$6&gt;0,$A372&lt;AG$6),AND(AG$7&gt;0,$A372&gt;AG$7)),0,MAX(0,ROUND((INDEX($E372:$G372,AG$5)-SUMIFS(TF_Timer,TF_Tekniker,AG$4,TF_Dato,$A372))*2,0)/2)))</f>
        <v/>
      </c>
      <c r="AH372">
        <f>IF(OR(AH$4="",$A372&gt;TODAY()),0,IF(OR(INDEX($B372:$D372,AH$5)="F",AND(AH$6&gt;0,$A372&lt;AH$6),AND(AH$7&gt;0,$A372&gt;AH$7)),0,MAX(0,ROUND((INDEX($E372:$G372,AH$5)-SUMIFS(TF_Timer,TF_Tekniker,AH$4,TF_Dato,$A372))*2,0)/2)))</f>
        <v/>
      </c>
      <c r="AI372">
        <f>IF(OR(AI$4="",$A372&gt;TODAY()),0,IF(OR(INDEX($B372:$D372,AI$5)="F",AND(AI$6&gt;0,$A372&lt;AI$6),AND(AI$7&gt;0,$A372&gt;AI$7)),0,MAX(0,ROUND((INDEX($E372:$G372,AI$5)-SUMIFS(TF_Timer,TF_Tekniker,AI$4,TF_Dato,$A372))*2,0)/2)))</f>
        <v/>
      </c>
      <c r="AJ372">
        <f>IF(OR(AJ$4="",$A372&gt;TODAY()),0,IF(OR(INDEX($B372:$D372,AJ$5)="F",AND(AJ$6&gt;0,$A372&lt;AJ$6),AND(AJ$7&gt;0,$A372&gt;AJ$7)),0,MAX(0,ROUND((INDEX($E372:$G372,AJ$5)-SUMIFS(TF_Timer,TF_Tekniker,AJ$4,TF_Dato,$A372))*2,0)/2)))</f>
        <v/>
      </c>
      <c r="AK372">
        <f>IF(OR(AK$4="",$A372&gt;TODAY()),0,IF(OR(INDEX($B372:$D372,AK$5)="F",AND(AK$6&gt;0,$A372&lt;AK$6),AND(AK$7&gt;0,$A372&gt;AK$7)),0,MAX(0,ROUND((INDEX($E372:$G372,AK$5)-SUMIFS(TF_Timer,TF_Tekniker,AK$4,TF_Dato,$A372))*2,0)/2)))</f>
        <v/>
      </c>
      <c r="AL372">
        <f>IF(OR(AL$4="",$A372&gt;TODAY()),0,IF(OR(INDEX($B372:$D372,AL$5)="F",AND(AL$6&gt;0,$A372&lt;AL$6),AND(AL$7&gt;0,$A372&gt;AL$7)),0,MAX(0,ROUND((INDEX($E372:$G372,AL$5)-SUMIFS(TF_Timer,TF_Tekniker,AL$4,TF_Dato,$A372))*2,0)/2)))</f>
        <v/>
      </c>
      <c r="AM372">
        <f>IF(OR(AM$4="",$A372&gt;TODAY()),0,IF(OR(INDEX($B372:$D372,AM$5)="F",AND(AM$6&gt;0,$A372&lt;AM$6),AND(AM$7&gt;0,$A372&gt;AM$7)),0,MAX(0,ROUND((INDEX($E372:$G372,AM$5)-SUMIFS(TF_Timer,TF_Tekniker,AM$4,TF_Dato,$A372))*2,0)/2)))</f>
        <v/>
      </c>
      <c r="AN372">
        <f>IF(OR(AN$4="",$A372&gt;TODAY()),0,IF(OR(INDEX($B372:$D372,AN$5)="F",AND(AN$6&gt;0,$A372&lt;AN$6),AND(AN$7&gt;0,$A372&gt;AN$7)),0,MAX(0,ROUND((INDEX($E372:$G372,AN$5)-SUMIFS(TF_Timer,TF_Tekniker,AN$4,TF_Dato,$A372))*2,0)/2)))</f>
        <v/>
      </c>
      <c r="AO372">
        <f>IF(OR(AO$4="",$A372&gt;TODAY()),0,IF(OR(INDEX($B372:$D372,AO$5)="F",AND(AO$6&gt;0,$A372&lt;AO$6),AND(AO$7&gt;0,$A372&gt;AO$7)),0,MAX(0,ROUND((INDEX($E372:$G372,AO$5)-SUMIFS(TF_Timer,TF_Tekniker,AO$4,TF_Dato,$A372))*2,0)/2)))</f>
        <v/>
      </c>
      <c r="AP372">
        <f>IF(OR(AP$4="",$A372&gt;TODAY()),0,IF(OR(INDEX($B372:$D372,AP$5)="F",AND(AP$6&gt;0,$A372&lt;AP$6),AND(AP$7&gt;0,$A372&gt;AP$7)),0,MAX(0,ROUND((INDEX($E372:$G372,AP$5)-SUMIFS(TF_Timer,TF_Tekniker,AP$4,TF_Dato,$A372))*2,0)/2)))</f>
        <v/>
      </c>
      <c r="AQ372">
        <f>IF(OR(AQ$4="",$A372&gt;TODAY()),0,IF(OR(INDEX($B372:$D372,AQ$5)="F",AND(AQ$6&gt;0,$A372&lt;AQ$6),AND(AQ$7&gt;0,$A372&gt;AQ$7)),0,MAX(0,ROUND((INDEX($E372:$G372,AQ$5)-SUMIFS(TF_Timer,TF_Tekniker,AQ$4,TF_Dato,$A372))*2,0)/2)))</f>
        <v/>
      </c>
      <c r="AR372">
        <f>IF(OR(AR$4="",$A372&gt;TODAY()),0,IF(OR(INDEX($B372:$D372,AR$5)="F",AND(AR$6&gt;0,$A372&lt;AR$6),AND(AR$7&gt;0,$A372&gt;AR$7)),0,MAX(0,ROUND((INDEX($E372:$G372,AR$5)-SUMIFS(TF_Timer,TF_Tekniker,AR$4,TF_Dato,$A372))*2,0)/2)))</f>
        <v/>
      </c>
      <c r="AS372">
        <f>IF(OR(AS$4="",$A372&gt;TODAY()),0,IF(OR(INDEX($B372:$D372,AS$5)="F",AND(AS$6&gt;0,$A372&lt;AS$6),AND(AS$7&gt;0,$A372&gt;AS$7)),0,MAX(0,ROUND((INDEX($E372:$G372,AS$5)-SUMIFS(TF_Timer,TF_Tekniker,AS$4,TF_Dato,$A372))*2,0)/2)))</f>
        <v/>
      </c>
      <c r="AT372">
        <f>IF(OR(AT$4="",$A372&gt;TODAY()),0,IF(OR(INDEX($B372:$D372,AT$5)="F",AND(AT$6&gt;0,$A372&lt;AT$6),AND(AT$7&gt;0,$A372&gt;AT$7)),0,MAX(0,ROUND((INDEX($E372:$G372,AT$5)-SUMIFS(TF_Timer,TF_Tekniker,AT$4,TF_Dato,$A372))*2,0)/2)))</f>
        <v/>
      </c>
      <c r="AU372">
        <f>IF(OR(AU$4="",$A372&gt;TODAY()),0,IF(OR(INDEX($B372:$D372,AU$5)="F",AND(AU$6&gt;0,$A372&lt;AU$6),AND(AU$7&gt;0,$A372&gt;AU$7)),0,MAX(0,ROUND((INDEX($E372:$G372,AU$5)-SUMIFS(TF_Timer,TF_Tekniker,AU$4,TF_Dato,$A372))*2,0)/2)))</f>
        <v/>
      </c>
      <c r="AV372">
        <f>IF(OR(AV$4="",$A372&gt;TODAY()),0,IF(OR(INDEX($B372:$D372,AV$5)="F",AND(AV$6&gt;0,$A372&lt;AV$6),AND(AV$7&gt;0,$A372&gt;AV$7)),0,MAX(0,ROUND((INDEX($E372:$G372,AV$5)-SUMIFS(TF_Timer,TF_Tekniker,AV$4,TF_Dato,$A372))*2,0)/2)))</f>
        <v/>
      </c>
      <c r="AW372">
        <f>IF(OR(AW$4="",$A372&gt;TODAY()),0,IF(OR(INDEX($B372:$D372,AW$5)="F",AND(AW$6&gt;0,$A372&lt;AW$6),AND(AW$7&gt;0,$A372&gt;AW$7)),0,MAX(0,ROUND((INDEX($E372:$G372,AW$5)-SUMIFS(TF_Timer,TF_Tekniker,AW$4,TF_Dato,$A372))*2,0)/2)))</f>
        <v/>
      </c>
      <c r="AX372">
        <f>IF(OR(AX$4="",$A372&gt;TODAY()),0,IF(OR(INDEX($B372:$D372,AX$5)="F",AND(AX$6&gt;0,$A372&lt;AX$6),AND(AX$7&gt;0,$A372&gt;AX$7)),0,MAX(0,ROUND((INDEX($E372:$G372,AX$5)-SUMIFS(TF_Timer,TF_Tekniker,AX$4,TF_Dato,$A372))*2,0)/2)))</f>
        <v/>
      </c>
      <c r="AY372">
        <f>IF(OR(AY$4="",$A372&gt;TODAY()),0,IF(OR(INDEX($B372:$D372,AY$5)="F",AND(AY$6&gt;0,$A372&lt;AY$6),AND(AY$7&gt;0,$A372&gt;AY$7)),0,MAX(0,ROUND((INDEX($E372:$G372,AY$5)-SUMIFS(TF_Timer,TF_Tekniker,AY$4,TF_Dato,$A372))*2,0)/2)))</f>
        <v/>
      </c>
      <c r="AZ372">
        <f>IF(OR(AZ$4="",$A372&gt;TODAY()),0,IF(OR(INDEX($B372:$D372,AZ$5)="F",AND(AZ$6&gt;0,$A372&lt;AZ$6),AND(AZ$7&gt;0,$A372&gt;AZ$7)),0,MAX(0,ROUND((INDEX($E372:$G372,AZ$5)-SUMIFS(TF_Timer,TF_Tekniker,AZ$4,TF_Dato,$A372))*2,0)/2)))</f>
        <v/>
      </c>
      <c r="BA372">
        <f>IF(OR(BA$4="",$A372&gt;TODAY()),0,IF(OR(INDEX($B372:$D372,BA$5)="F",AND(BA$6&gt;0,$A372&lt;BA$6),AND(BA$7&gt;0,$A372&gt;BA$7)),0,MAX(0,ROUND((INDEX($E372:$G372,BA$5)-SUMIFS(TF_Timer,TF_Tekniker,BA$4,TF_Dato,$A372))*2,0)/2)))</f>
        <v/>
      </c>
      <c r="BB372">
        <f>IF(OR(BB$4="",$A372&gt;TODAY()),0,IF(OR(INDEX($B372:$D372,BB$5)="F",AND(BB$6&gt;0,$A372&lt;BB$6),AND(BB$7&gt;0,$A372&gt;BB$7)),0,MAX(0,ROUND((INDEX($E372:$G372,BB$5)-SUMIFS(TF_Timer,TF_Tekniker,BB$4,TF_Dato,$A372))*2,0)/2)))</f>
        <v/>
      </c>
      <c r="BC372">
        <f>IF(OR(BC$4="",$A372&gt;TODAY()),0,IF(OR(INDEX($B372:$D372,BC$5)="F",AND(BC$6&gt;0,$A372&lt;BC$6),AND(BC$7&gt;0,$A372&gt;BC$7)),0,MAX(0,ROUND((INDEX($E372:$G372,BC$5)-SUMIFS(TF_Timer,TF_Tekniker,BC$4,TF_Dato,$A372))*2,0)/2)))</f>
        <v/>
      </c>
      <c r="BD372">
        <f>IF(OR(BD$4="",$A372&gt;TODAY()),0,IF(OR(INDEX($B372:$D372,BD$5)="F",AND(BD$6&gt;0,$A372&lt;BD$6),AND(BD$7&gt;0,$A372&gt;BD$7)),0,MAX(0,ROUND((INDEX($E372:$G372,BD$5)-SUMIFS(TF_Timer,TF_Tekniker,BD$4,TF_Dato,$A372))*2,0)/2)))</f>
        <v/>
      </c>
      <c r="BE372">
        <f>IF(OR(BE$4="",$A372&gt;TODAY()),0,IF(OR(INDEX($B372:$D372,BE$5)="F",AND(BE$6&gt;0,$A372&lt;BE$6),AND(BE$7&gt;0,$A372&gt;BE$7)),0,MAX(0,ROUND((INDEX($E372:$G372,BE$5)-SUMIFS(TF_Timer,TF_Tekniker,BE$4,TF_Dato,$A372))*2,0)/2)))</f>
        <v/>
      </c>
      <c r="BF372">
        <f>IF(OR(BF$4="",$A372&gt;TODAY()),0,IF(OR(INDEX($B372:$D372,BF$5)="F",AND(BF$6&gt;0,$A372&lt;BF$6),AND(BF$7&gt;0,$A372&gt;BF$7)),0,MAX(0,ROUND((INDEX($E372:$G372,BF$5)-SUMIFS(TF_Timer,TF_Tekniker,BF$4,TF_Dato,$A372))*2,0)/2)))</f>
        <v/>
      </c>
      <c r="BG372">
        <f>IF(OR(BG$4="",$A372&gt;TODAY()),0,IF(OR(INDEX($B372:$D372,BG$5)="F",AND(BG$6&gt;0,$A372&lt;BG$6),AND(BG$7&gt;0,$A372&gt;BG$7)),0,MAX(0,ROUND((INDEX($E372:$G372,BG$5)-SUMIFS(TF_Timer,TF_Tekniker,BG$4,TF_Dato,$A372))*2,0)/2)))</f>
        <v/>
      </c>
      <c r="BH372">
        <f>IF(OR(BH$4="",$A372&gt;TODAY()),0,IF(OR(INDEX($B372:$D372,BH$5)="F",AND(BH$6&gt;0,$A372&lt;BH$6),AND(BH$7&gt;0,$A372&gt;BH$7)),0,MAX(0,ROUND((INDEX($E372:$G372,BH$5)-SUMIFS(TF_Timer,TF_Tekniker,BH$4,TF_Dato,$A372))*2,0)/2)))</f>
        <v/>
      </c>
      <c r="BI372">
        <f>IF(OR(BI$4="",$A372&gt;TODAY()),0,IF(OR(INDEX($B372:$D372,BI$5)="F",AND(BI$6&gt;0,$A372&lt;BI$6),AND(BI$7&gt;0,$A372&gt;BI$7)),0,MAX(0,ROUND((INDEX($E372:$G372,BI$5)-SUMIFS(TF_Timer,TF_Tekniker,BI$4,TF_Dato,$A372))*2,0)/2)))</f>
        <v/>
      </c>
    </row>
    <row r="373">
      <c r="A373" s="64">
        <f>A372+1</f>
        <v/>
      </c>
      <c r="B373">
        <f>IF(MOD($A373-INDEX(SkiftStart,1),Syklus)&lt;DagK,"K",IF(MOD($A373-INDEX(SkiftStart,1),Syklus)&lt;DagK+DagH,"H",IF(MOD($A373-INDEX(SkiftStart,1),Syklus)&lt;DagK+DagH+DagD,"D","F")))</f>
        <v/>
      </c>
      <c r="C373">
        <f>IF(MOD($A373-INDEX(SkiftStart,2),Syklus)&lt;DagK,"K",IF(MOD($A373-INDEX(SkiftStart,2),Syklus)&lt;DagK+DagH,"H",IF(MOD($A373-INDEX(SkiftStart,2),Syklus)&lt;DagK+DagH+DagD,"D","F")))</f>
        <v/>
      </c>
      <c r="D373">
        <f>IF(MOD($A373-INDEX(SkiftStart,3),Syklus)&lt;DagK,"K",IF(MOD($A373-INDEX(SkiftStart,3),Syklus)&lt;DagK+DagH,"H",IF(MOD($A373-INDEX(SkiftStart,3),Syklus)&lt;DagK+DagH+DagD,"D","F")))</f>
        <v/>
      </c>
      <c r="E373">
        <f>IF(B373="F",0,IF(WEEKDAY($A373,2)=5,INDEX(TimerFr,MATCH(B373,FaseKode,0)),INDEX(TimerMT,MATCH(B373,FaseKode,0))))</f>
        <v/>
      </c>
      <c r="F373">
        <f>IF(C373="F",0,IF(WEEKDAY($A373,2)=5,INDEX(TimerFr,MATCH(C373,FaseKode,0)),INDEX(TimerMT,MATCH(C373,FaseKode,0))))</f>
        <v/>
      </c>
      <c r="G373">
        <f>IF(D373="F",0,IF(WEEKDAY($A373,2)=5,INDEX(TimerFr,MATCH(D373,FaseKode,0)),INDEX(TimerMT,MATCH(D373,FaseKode,0))))</f>
        <v/>
      </c>
      <c r="H373">
        <f>IF(OR(H$4="",$A373&gt;TODAY()),0,IF(OR(INDEX($B373:$D373,H$5)="F",AND(H$6&gt;0,$A373&lt;H$6),AND(H$7&gt;0,$A373&gt;H$7)),0,MAX(0,ROUND((INDEX($E373:$G373,H$5)-SUMIFS(TF_Timer,TF_Tekniker,H$4,TF_Dato,$A373))*2,0)/2)))</f>
        <v/>
      </c>
      <c r="I373">
        <f>IF(OR(I$4="",$A373&gt;TODAY()),0,IF(OR(INDEX($B373:$D373,I$5)="F",AND(I$6&gt;0,$A373&lt;I$6),AND(I$7&gt;0,$A373&gt;I$7)),0,MAX(0,ROUND((INDEX($E373:$G373,I$5)-SUMIFS(TF_Timer,TF_Tekniker,I$4,TF_Dato,$A373))*2,0)/2)))</f>
        <v/>
      </c>
      <c r="J373">
        <f>IF(OR(J$4="",$A373&gt;TODAY()),0,IF(OR(INDEX($B373:$D373,J$5)="F",AND(J$6&gt;0,$A373&lt;J$6),AND(J$7&gt;0,$A373&gt;J$7)),0,MAX(0,ROUND((INDEX($E373:$G373,J$5)-SUMIFS(TF_Timer,TF_Tekniker,J$4,TF_Dato,$A373))*2,0)/2)))</f>
        <v/>
      </c>
      <c r="K373">
        <f>IF(OR(K$4="",$A373&gt;TODAY()),0,IF(OR(INDEX($B373:$D373,K$5)="F",AND(K$6&gt;0,$A373&lt;K$6),AND(K$7&gt;0,$A373&gt;K$7)),0,MAX(0,ROUND((INDEX($E373:$G373,K$5)-SUMIFS(TF_Timer,TF_Tekniker,K$4,TF_Dato,$A373))*2,0)/2)))</f>
        <v/>
      </c>
      <c r="L373">
        <f>IF(OR(L$4="",$A373&gt;TODAY()),0,IF(OR(INDEX($B373:$D373,L$5)="F",AND(L$6&gt;0,$A373&lt;L$6),AND(L$7&gt;0,$A373&gt;L$7)),0,MAX(0,ROUND((INDEX($E373:$G373,L$5)-SUMIFS(TF_Timer,TF_Tekniker,L$4,TF_Dato,$A373))*2,0)/2)))</f>
        <v/>
      </c>
      <c r="M373">
        <f>IF(OR(M$4="",$A373&gt;TODAY()),0,IF(OR(INDEX($B373:$D373,M$5)="F",AND(M$6&gt;0,$A373&lt;M$6),AND(M$7&gt;0,$A373&gt;M$7)),0,MAX(0,ROUND((INDEX($E373:$G373,M$5)-SUMIFS(TF_Timer,TF_Tekniker,M$4,TF_Dato,$A373))*2,0)/2)))</f>
        <v/>
      </c>
      <c r="N373">
        <f>IF(OR(N$4="",$A373&gt;TODAY()),0,IF(OR(INDEX($B373:$D373,N$5)="F",AND(N$6&gt;0,$A373&lt;N$6),AND(N$7&gt;0,$A373&gt;N$7)),0,MAX(0,ROUND((INDEX($E373:$G373,N$5)-SUMIFS(TF_Timer,TF_Tekniker,N$4,TF_Dato,$A373))*2,0)/2)))</f>
        <v/>
      </c>
      <c r="O373">
        <f>IF(OR(O$4="",$A373&gt;TODAY()),0,IF(OR(INDEX($B373:$D373,O$5)="F",AND(O$6&gt;0,$A373&lt;O$6),AND(O$7&gt;0,$A373&gt;O$7)),0,MAX(0,ROUND((INDEX($E373:$G373,O$5)-SUMIFS(TF_Timer,TF_Tekniker,O$4,TF_Dato,$A373))*2,0)/2)))</f>
        <v/>
      </c>
      <c r="P373">
        <f>IF(OR(P$4="",$A373&gt;TODAY()),0,IF(OR(INDEX($B373:$D373,P$5)="F",AND(P$6&gt;0,$A373&lt;P$6),AND(P$7&gt;0,$A373&gt;P$7)),0,MAX(0,ROUND((INDEX($E373:$G373,P$5)-SUMIFS(TF_Timer,TF_Tekniker,P$4,TF_Dato,$A373))*2,0)/2)))</f>
        <v/>
      </c>
      <c r="Q373">
        <f>IF(OR(Q$4="",$A373&gt;TODAY()),0,IF(OR(INDEX($B373:$D373,Q$5)="F",AND(Q$6&gt;0,$A373&lt;Q$6),AND(Q$7&gt;0,$A373&gt;Q$7)),0,MAX(0,ROUND((INDEX($E373:$G373,Q$5)-SUMIFS(TF_Timer,TF_Tekniker,Q$4,TF_Dato,$A373))*2,0)/2)))</f>
        <v/>
      </c>
      <c r="R373">
        <f>IF(OR(R$4="",$A373&gt;TODAY()),0,IF(OR(INDEX($B373:$D373,R$5)="F",AND(R$6&gt;0,$A373&lt;R$6),AND(R$7&gt;0,$A373&gt;R$7)),0,MAX(0,ROUND((INDEX($E373:$G373,R$5)-SUMIFS(TF_Timer,TF_Tekniker,R$4,TF_Dato,$A373))*2,0)/2)))</f>
        <v/>
      </c>
      <c r="S373">
        <f>IF(OR(S$4="",$A373&gt;TODAY()),0,IF(OR(INDEX($B373:$D373,S$5)="F",AND(S$6&gt;0,$A373&lt;S$6),AND(S$7&gt;0,$A373&gt;S$7)),0,MAX(0,ROUND((INDEX($E373:$G373,S$5)-SUMIFS(TF_Timer,TF_Tekniker,S$4,TF_Dato,$A373))*2,0)/2)))</f>
        <v/>
      </c>
      <c r="T373">
        <f>IF(OR(T$4="",$A373&gt;TODAY()),0,IF(OR(INDEX($B373:$D373,T$5)="F",AND(T$6&gt;0,$A373&lt;T$6),AND(T$7&gt;0,$A373&gt;T$7)),0,MAX(0,ROUND((INDEX($E373:$G373,T$5)-SUMIFS(TF_Timer,TF_Tekniker,T$4,TF_Dato,$A373))*2,0)/2)))</f>
        <v/>
      </c>
      <c r="U373">
        <f>IF(OR(U$4="",$A373&gt;TODAY()),0,IF(OR(INDEX($B373:$D373,U$5)="F",AND(U$6&gt;0,$A373&lt;U$6),AND(U$7&gt;0,$A373&gt;U$7)),0,MAX(0,ROUND((INDEX($E373:$G373,U$5)-SUMIFS(TF_Timer,TF_Tekniker,U$4,TF_Dato,$A373))*2,0)/2)))</f>
        <v/>
      </c>
      <c r="V373">
        <f>IF(OR(V$4="",$A373&gt;TODAY()),0,IF(OR(INDEX($B373:$D373,V$5)="F",AND(V$6&gt;0,$A373&lt;V$6),AND(V$7&gt;0,$A373&gt;V$7)),0,MAX(0,ROUND((INDEX($E373:$G373,V$5)-SUMIFS(TF_Timer,TF_Tekniker,V$4,TF_Dato,$A373))*2,0)/2)))</f>
        <v/>
      </c>
      <c r="W373">
        <f>IF(OR(W$4="",$A373&gt;TODAY()),0,IF(OR(INDEX($B373:$D373,W$5)="F",AND(W$6&gt;0,$A373&lt;W$6),AND(W$7&gt;0,$A373&gt;W$7)),0,MAX(0,ROUND((INDEX($E373:$G373,W$5)-SUMIFS(TF_Timer,TF_Tekniker,W$4,TF_Dato,$A373))*2,0)/2)))</f>
        <v/>
      </c>
      <c r="X373">
        <f>IF(OR(X$4="",$A373&gt;TODAY()),0,IF(OR(INDEX($B373:$D373,X$5)="F",AND(X$6&gt;0,$A373&lt;X$6),AND(X$7&gt;0,$A373&gt;X$7)),0,MAX(0,ROUND((INDEX($E373:$G373,X$5)-SUMIFS(TF_Timer,TF_Tekniker,X$4,TF_Dato,$A373))*2,0)/2)))</f>
        <v/>
      </c>
      <c r="Y373">
        <f>IF(OR(Y$4="",$A373&gt;TODAY()),0,IF(OR(INDEX($B373:$D373,Y$5)="F",AND(Y$6&gt;0,$A373&lt;Y$6),AND(Y$7&gt;0,$A373&gt;Y$7)),0,MAX(0,ROUND((INDEX($E373:$G373,Y$5)-SUMIFS(TF_Timer,TF_Tekniker,Y$4,TF_Dato,$A373))*2,0)/2)))</f>
        <v/>
      </c>
      <c r="Z373">
        <f>IF(OR(Z$4="",$A373&gt;TODAY()),0,IF(OR(INDEX($B373:$D373,Z$5)="F",AND(Z$6&gt;0,$A373&lt;Z$6),AND(Z$7&gt;0,$A373&gt;Z$7)),0,MAX(0,ROUND((INDEX($E373:$G373,Z$5)-SUMIFS(TF_Timer,TF_Tekniker,Z$4,TF_Dato,$A373))*2,0)/2)))</f>
        <v/>
      </c>
      <c r="AA373">
        <f>IF(OR(AA$4="",$A373&gt;TODAY()),0,IF(OR(INDEX($B373:$D373,AA$5)="F",AND(AA$6&gt;0,$A373&lt;AA$6),AND(AA$7&gt;0,$A373&gt;AA$7)),0,MAX(0,ROUND((INDEX($E373:$G373,AA$5)-SUMIFS(TF_Timer,TF_Tekniker,AA$4,TF_Dato,$A373))*2,0)/2)))</f>
        <v/>
      </c>
      <c r="AB373">
        <f>IF(OR(AB$4="",$A373&gt;TODAY()),0,IF(OR(INDEX($B373:$D373,AB$5)="F",AND(AB$6&gt;0,$A373&lt;AB$6),AND(AB$7&gt;0,$A373&gt;AB$7)),0,MAX(0,ROUND((INDEX($E373:$G373,AB$5)-SUMIFS(TF_Timer,TF_Tekniker,AB$4,TF_Dato,$A373))*2,0)/2)))</f>
        <v/>
      </c>
      <c r="AC373">
        <f>IF(OR(AC$4="",$A373&gt;TODAY()),0,IF(OR(INDEX($B373:$D373,AC$5)="F",AND(AC$6&gt;0,$A373&lt;AC$6),AND(AC$7&gt;0,$A373&gt;AC$7)),0,MAX(0,ROUND((INDEX($E373:$G373,AC$5)-SUMIFS(TF_Timer,TF_Tekniker,AC$4,TF_Dato,$A373))*2,0)/2)))</f>
        <v/>
      </c>
      <c r="AD373">
        <f>IF(OR(AD$4="",$A373&gt;TODAY()),0,IF(OR(INDEX($B373:$D373,AD$5)="F",AND(AD$6&gt;0,$A373&lt;AD$6),AND(AD$7&gt;0,$A373&gt;AD$7)),0,MAX(0,ROUND((INDEX($E373:$G373,AD$5)-SUMIFS(TF_Timer,TF_Tekniker,AD$4,TF_Dato,$A373))*2,0)/2)))</f>
        <v/>
      </c>
      <c r="AE373">
        <f>IF(OR(AE$4="",$A373&gt;TODAY()),0,IF(OR(INDEX($B373:$D373,AE$5)="F",AND(AE$6&gt;0,$A373&lt;AE$6),AND(AE$7&gt;0,$A373&gt;AE$7)),0,MAX(0,ROUND((INDEX($E373:$G373,AE$5)-SUMIFS(TF_Timer,TF_Tekniker,AE$4,TF_Dato,$A373))*2,0)/2)))</f>
        <v/>
      </c>
      <c r="AF373">
        <f>IF(OR(AF$4="",$A373&gt;TODAY()),0,IF(OR(INDEX($B373:$D373,AF$5)="F",AND(AF$6&gt;0,$A373&lt;AF$6),AND(AF$7&gt;0,$A373&gt;AF$7)),0,MAX(0,ROUND((INDEX($E373:$G373,AF$5)-SUMIFS(TF_Timer,TF_Tekniker,AF$4,TF_Dato,$A373))*2,0)/2)))</f>
        <v/>
      </c>
      <c r="AG373">
        <f>IF(OR(AG$4="",$A373&gt;TODAY()),0,IF(OR(INDEX($B373:$D373,AG$5)="F",AND(AG$6&gt;0,$A373&lt;AG$6),AND(AG$7&gt;0,$A373&gt;AG$7)),0,MAX(0,ROUND((INDEX($E373:$G373,AG$5)-SUMIFS(TF_Timer,TF_Tekniker,AG$4,TF_Dato,$A373))*2,0)/2)))</f>
        <v/>
      </c>
      <c r="AH373">
        <f>IF(OR(AH$4="",$A373&gt;TODAY()),0,IF(OR(INDEX($B373:$D373,AH$5)="F",AND(AH$6&gt;0,$A373&lt;AH$6),AND(AH$7&gt;0,$A373&gt;AH$7)),0,MAX(0,ROUND((INDEX($E373:$G373,AH$5)-SUMIFS(TF_Timer,TF_Tekniker,AH$4,TF_Dato,$A373))*2,0)/2)))</f>
        <v/>
      </c>
      <c r="AI373">
        <f>IF(OR(AI$4="",$A373&gt;TODAY()),0,IF(OR(INDEX($B373:$D373,AI$5)="F",AND(AI$6&gt;0,$A373&lt;AI$6),AND(AI$7&gt;0,$A373&gt;AI$7)),0,MAX(0,ROUND((INDEX($E373:$G373,AI$5)-SUMIFS(TF_Timer,TF_Tekniker,AI$4,TF_Dato,$A373))*2,0)/2)))</f>
        <v/>
      </c>
      <c r="AJ373">
        <f>IF(OR(AJ$4="",$A373&gt;TODAY()),0,IF(OR(INDEX($B373:$D373,AJ$5)="F",AND(AJ$6&gt;0,$A373&lt;AJ$6),AND(AJ$7&gt;0,$A373&gt;AJ$7)),0,MAX(0,ROUND((INDEX($E373:$G373,AJ$5)-SUMIFS(TF_Timer,TF_Tekniker,AJ$4,TF_Dato,$A373))*2,0)/2)))</f>
        <v/>
      </c>
      <c r="AK373">
        <f>IF(OR(AK$4="",$A373&gt;TODAY()),0,IF(OR(INDEX($B373:$D373,AK$5)="F",AND(AK$6&gt;0,$A373&lt;AK$6),AND(AK$7&gt;0,$A373&gt;AK$7)),0,MAX(0,ROUND((INDEX($E373:$G373,AK$5)-SUMIFS(TF_Timer,TF_Tekniker,AK$4,TF_Dato,$A373))*2,0)/2)))</f>
        <v/>
      </c>
      <c r="AL373">
        <f>IF(OR(AL$4="",$A373&gt;TODAY()),0,IF(OR(INDEX($B373:$D373,AL$5)="F",AND(AL$6&gt;0,$A373&lt;AL$6),AND(AL$7&gt;0,$A373&gt;AL$7)),0,MAX(0,ROUND((INDEX($E373:$G373,AL$5)-SUMIFS(TF_Timer,TF_Tekniker,AL$4,TF_Dato,$A373))*2,0)/2)))</f>
        <v/>
      </c>
      <c r="AM373">
        <f>IF(OR(AM$4="",$A373&gt;TODAY()),0,IF(OR(INDEX($B373:$D373,AM$5)="F",AND(AM$6&gt;0,$A373&lt;AM$6),AND(AM$7&gt;0,$A373&gt;AM$7)),0,MAX(0,ROUND((INDEX($E373:$G373,AM$5)-SUMIFS(TF_Timer,TF_Tekniker,AM$4,TF_Dato,$A373))*2,0)/2)))</f>
        <v/>
      </c>
      <c r="AN373">
        <f>IF(OR(AN$4="",$A373&gt;TODAY()),0,IF(OR(INDEX($B373:$D373,AN$5)="F",AND(AN$6&gt;0,$A373&lt;AN$6),AND(AN$7&gt;0,$A373&gt;AN$7)),0,MAX(0,ROUND((INDEX($E373:$G373,AN$5)-SUMIFS(TF_Timer,TF_Tekniker,AN$4,TF_Dato,$A373))*2,0)/2)))</f>
        <v/>
      </c>
      <c r="AO373">
        <f>IF(OR(AO$4="",$A373&gt;TODAY()),0,IF(OR(INDEX($B373:$D373,AO$5)="F",AND(AO$6&gt;0,$A373&lt;AO$6),AND(AO$7&gt;0,$A373&gt;AO$7)),0,MAX(0,ROUND((INDEX($E373:$G373,AO$5)-SUMIFS(TF_Timer,TF_Tekniker,AO$4,TF_Dato,$A373))*2,0)/2)))</f>
        <v/>
      </c>
      <c r="AP373">
        <f>IF(OR(AP$4="",$A373&gt;TODAY()),0,IF(OR(INDEX($B373:$D373,AP$5)="F",AND(AP$6&gt;0,$A373&lt;AP$6),AND(AP$7&gt;0,$A373&gt;AP$7)),0,MAX(0,ROUND((INDEX($E373:$G373,AP$5)-SUMIFS(TF_Timer,TF_Tekniker,AP$4,TF_Dato,$A373))*2,0)/2)))</f>
        <v/>
      </c>
      <c r="AQ373">
        <f>IF(OR(AQ$4="",$A373&gt;TODAY()),0,IF(OR(INDEX($B373:$D373,AQ$5)="F",AND(AQ$6&gt;0,$A373&lt;AQ$6),AND(AQ$7&gt;0,$A373&gt;AQ$7)),0,MAX(0,ROUND((INDEX($E373:$G373,AQ$5)-SUMIFS(TF_Timer,TF_Tekniker,AQ$4,TF_Dato,$A373))*2,0)/2)))</f>
        <v/>
      </c>
      <c r="AR373">
        <f>IF(OR(AR$4="",$A373&gt;TODAY()),0,IF(OR(INDEX($B373:$D373,AR$5)="F",AND(AR$6&gt;0,$A373&lt;AR$6),AND(AR$7&gt;0,$A373&gt;AR$7)),0,MAX(0,ROUND((INDEX($E373:$G373,AR$5)-SUMIFS(TF_Timer,TF_Tekniker,AR$4,TF_Dato,$A373))*2,0)/2)))</f>
        <v/>
      </c>
      <c r="AS373">
        <f>IF(OR(AS$4="",$A373&gt;TODAY()),0,IF(OR(INDEX($B373:$D373,AS$5)="F",AND(AS$6&gt;0,$A373&lt;AS$6),AND(AS$7&gt;0,$A373&gt;AS$7)),0,MAX(0,ROUND((INDEX($E373:$G373,AS$5)-SUMIFS(TF_Timer,TF_Tekniker,AS$4,TF_Dato,$A373))*2,0)/2)))</f>
        <v/>
      </c>
      <c r="AT373">
        <f>IF(OR(AT$4="",$A373&gt;TODAY()),0,IF(OR(INDEX($B373:$D373,AT$5)="F",AND(AT$6&gt;0,$A373&lt;AT$6),AND(AT$7&gt;0,$A373&gt;AT$7)),0,MAX(0,ROUND((INDEX($E373:$G373,AT$5)-SUMIFS(TF_Timer,TF_Tekniker,AT$4,TF_Dato,$A373))*2,0)/2)))</f>
        <v/>
      </c>
      <c r="AU373">
        <f>IF(OR(AU$4="",$A373&gt;TODAY()),0,IF(OR(INDEX($B373:$D373,AU$5)="F",AND(AU$6&gt;0,$A373&lt;AU$6),AND(AU$7&gt;0,$A373&gt;AU$7)),0,MAX(0,ROUND((INDEX($E373:$G373,AU$5)-SUMIFS(TF_Timer,TF_Tekniker,AU$4,TF_Dato,$A373))*2,0)/2)))</f>
        <v/>
      </c>
      <c r="AV373">
        <f>IF(OR(AV$4="",$A373&gt;TODAY()),0,IF(OR(INDEX($B373:$D373,AV$5)="F",AND(AV$6&gt;0,$A373&lt;AV$6),AND(AV$7&gt;0,$A373&gt;AV$7)),0,MAX(0,ROUND((INDEX($E373:$G373,AV$5)-SUMIFS(TF_Timer,TF_Tekniker,AV$4,TF_Dato,$A373))*2,0)/2)))</f>
        <v/>
      </c>
      <c r="AW373">
        <f>IF(OR(AW$4="",$A373&gt;TODAY()),0,IF(OR(INDEX($B373:$D373,AW$5)="F",AND(AW$6&gt;0,$A373&lt;AW$6),AND(AW$7&gt;0,$A373&gt;AW$7)),0,MAX(0,ROUND((INDEX($E373:$G373,AW$5)-SUMIFS(TF_Timer,TF_Tekniker,AW$4,TF_Dato,$A373))*2,0)/2)))</f>
        <v/>
      </c>
      <c r="AX373">
        <f>IF(OR(AX$4="",$A373&gt;TODAY()),0,IF(OR(INDEX($B373:$D373,AX$5)="F",AND(AX$6&gt;0,$A373&lt;AX$6),AND(AX$7&gt;0,$A373&gt;AX$7)),0,MAX(0,ROUND((INDEX($E373:$G373,AX$5)-SUMIFS(TF_Timer,TF_Tekniker,AX$4,TF_Dato,$A373))*2,0)/2)))</f>
        <v/>
      </c>
      <c r="AY373">
        <f>IF(OR(AY$4="",$A373&gt;TODAY()),0,IF(OR(INDEX($B373:$D373,AY$5)="F",AND(AY$6&gt;0,$A373&lt;AY$6),AND(AY$7&gt;0,$A373&gt;AY$7)),0,MAX(0,ROUND((INDEX($E373:$G373,AY$5)-SUMIFS(TF_Timer,TF_Tekniker,AY$4,TF_Dato,$A373))*2,0)/2)))</f>
        <v/>
      </c>
      <c r="AZ373">
        <f>IF(OR(AZ$4="",$A373&gt;TODAY()),0,IF(OR(INDEX($B373:$D373,AZ$5)="F",AND(AZ$6&gt;0,$A373&lt;AZ$6),AND(AZ$7&gt;0,$A373&gt;AZ$7)),0,MAX(0,ROUND((INDEX($E373:$G373,AZ$5)-SUMIFS(TF_Timer,TF_Tekniker,AZ$4,TF_Dato,$A373))*2,0)/2)))</f>
        <v/>
      </c>
      <c r="BA373">
        <f>IF(OR(BA$4="",$A373&gt;TODAY()),0,IF(OR(INDEX($B373:$D373,BA$5)="F",AND(BA$6&gt;0,$A373&lt;BA$6),AND(BA$7&gt;0,$A373&gt;BA$7)),0,MAX(0,ROUND((INDEX($E373:$G373,BA$5)-SUMIFS(TF_Timer,TF_Tekniker,BA$4,TF_Dato,$A373))*2,0)/2)))</f>
        <v/>
      </c>
      <c r="BB373">
        <f>IF(OR(BB$4="",$A373&gt;TODAY()),0,IF(OR(INDEX($B373:$D373,BB$5)="F",AND(BB$6&gt;0,$A373&lt;BB$6),AND(BB$7&gt;0,$A373&gt;BB$7)),0,MAX(0,ROUND((INDEX($E373:$G373,BB$5)-SUMIFS(TF_Timer,TF_Tekniker,BB$4,TF_Dato,$A373))*2,0)/2)))</f>
        <v/>
      </c>
      <c r="BC373">
        <f>IF(OR(BC$4="",$A373&gt;TODAY()),0,IF(OR(INDEX($B373:$D373,BC$5)="F",AND(BC$6&gt;0,$A373&lt;BC$6),AND(BC$7&gt;0,$A373&gt;BC$7)),0,MAX(0,ROUND((INDEX($E373:$G373,BC$5)-SUMIFS(TF_Timer,TF_Tekniker,BC$4,TF_Dato,$A373))*2,0)/2)))</f>
        <v/>
      </c>
      <c r="BD373">
        <f>IF(OR(BD$4="",$A373&gt;TODAY()),0,IF(OR(INDEX($B373:$D373,BD$5)="F",AND(BD$6&gt;0,$A373&lt;BD$6),AND(BD$7&gt;0,$A373&gt;BD$7)),0,MAX(0,ROUND((INDEX($E373:$G373,BD$5)-SUMIFS(TF_Timer,TF_Tekniker,BD$4,TF_Dato,$A373))*2,0)/2)))</f>
        <v/>
      </c>
      <c r="BE373">
        <f>IF(OR(BE$4="",$A373&gt;TODAY()),0,IF(OR(INDEX($B373:$D373,BE$5)="F",AND(BE$6&gt;0,$A373&lt;BE$6),AND(BE$7&gt;0,$A373&gt;BE$7)),0,MAX(0,ROUND((INDEX($E373:$G373,BE$5)-SUMIFS(TF_Timer,TF_Tekniker,BE$4,TF_Dato,$A373))*2,0)/2)))</f>
        <v/>
      </c>
      <c r="BF373">
        <f>IF(OR(BF$4="",$A373&gt;TODAY()),0,IF(OR(INDEX($B373:$D373,BF$5)="F",AND(BF$6&gt;0,$A373&lt;BF$6),AND(BF$7&gt;0,$A373&gt;BF$7)),0,MAX(0,ROUND((INDEX($E373:$G373,BF$5)-SUMIFS(TF_Timer,TF_Tekniker,BF$4,TF_Dato,$A373))*2,0)/2)))</f>
        <v/>
      </c>
      <c r="BG373">
        <f>IF(OR(BG$4="",$A373&gt;TODAY()),0,IF(OR(INDEX($B373:$D373,BG$5)="F",AND(BG$6&gt;0,$A373&lt;BG$6),AND(BG$7&gt;0,$A373&gt;BG$7)),0,MAX(0,ROUND((INDEX($E373:$G373,BG$5)-SUMIFS(TF_Timer,TF_Tekniker,BG$4,TF_Dato,$A373))*2,0)/2)))</f>
        <v/>
      </c>
      <c r="BH373">
        <f>IF(OR(BH$4="",$A373&gt;TODAY()),0,IF(OR(INDEX($B373:$D373,BH$5)="F",AND(BH$6&gt;0,$A373&lt;BH$6),AND(BH$7&gt;0,$A373&gt;BH$7)),0,MAX(0,ROUND((INDEX($E373:$G373,BH$5)-SUMIFS(TF_Timer,TF_Tekniker,BH$4,TF_Dato,$A373))*2,0)/2)))</f>
        <v/>
      </c>
      <c r="BI373">
        <f>IF(OR(BI$4="",$A373&gt;TODAY()),0,IF(OR(INDEX($B373:$D373,BI$5)="F",AND(BI$6&gt;0,$A373&lt;BI$6),AND(BI$7&gt;0,$A373&gt;BI$7)),0,MAX(0,ROUND((INDEX($E373:$G373,BI$5)-SUMIFS(TF_Timer,TF_Tekniker,BI$4,TF_Dato,$A373))*2,0)/2)))</f>
        <v/>
      </c>
    </row>
    <row r="374">
      <c r="A374" s="64">
        <f>A373+1</f>
        <v/>
      </c>
      <c r="B374">
        <f>IF(MOD($A374-INDEX(SkiftStart,1),Syklus)&lt;DagK,"K",IF(MOD($A374-INDEX(SkiftStart,1),Syklus)&lt;DagK+DagH,"H",IF(MOD($A374-INDEX(SkiftStart,1),Syklus)&lt;DagK+DagH+DagD,"D","F")))</f>
        <v/>
      </c>
      <c r="C374">
        <f>IF(MOD($A374-INDEX(SkiftStart,2),Syklus)&lt;DagK,"K",IF(MOD($A374-INDEX(SkiftStart,2),Syklus)&lt;DagK+DagH,"H",IF(MOD($A374-INDEX(SkiftStart,2),Syklus)&lt;DagK+DagH+DagD,"D","F")))</f>
        <v/>
      </c>
      <c r="D374">
        <f>IF(MOD($A374-INDEX(SkiftStart,3),Syklus)&lt;DagK,"K",IF(MOD($A374-INDEX(SkiftStart,3),Syklus)&lt;DagK+DagH,"H",IF(MOD($A374-INDEX(SkiftStart,3),Syklus)&lt;DagK+DagH+DagD,"D","F")))</f>
        <v/>
      </c>
      <c r="E374">
        <f>IF(B374="F",0,IF(WEEKDAY($A374,2)=5,INDEX(TimerFr,MATCH(B374,FaseKode,0)),INDEX(TimerMT,MATCH(B374,FaseKode,0))))</f>
        <v/>
      </c>
      <c r="F374">
        <f>IF(C374="F",0,IF(WEEKDAY($A374,2)=5,INDEX(TimerFr,MATCH(C374,FaseKode,0)),INDEX(TimerMT,MATCH(C374,FaseKode,0))))</f>
        <v/>
      </c>
      <c r="G374">
        <f>IF(D374="F",0,IF(WEEKDAY($A374,2)=5,INDEX(TimerFr,MATCH(D374,FaseKode,0)),INDEX(TimerMT,MATCH(D374,FaseKode,0))))</f>
        <v/>
      </c>
      <c r="H374">
        <f>IF(OR(H$4="",$A374&gt;TODAY()),0,IF(OR(INDEX($B374:$D374,H$5)="F",AND(H$6&gt;0,$A374&lt;H$6),AND(H$7&gt;0,$A374&gt;H$7)),0,MAX(0,ROUND((INDEX($E374:$G374,H$5)-SUMIFS(TF_Timer,TF_Tekniker,H$4,TF_Dato,$A374))*2,0)/2)))</f>
        <v/>
      </c>
      <c r="I374">
        <f>IF(OR(I$4="",$A374&gt;TODAY()),0,IF(OR(INDEX($B374:$D374,I$5)="F",AND(I$6&gt;0,$A374&lt;I$6),AND(I$7&gt;0,$A374&gt;I$7)),0,MAX(0,ROUND((INDEX($E374:$G374,I$5)-SUMIFS(TF_Timer,TF_Tekniker,I$4,TF_Dato,$A374))*2,0)/2)))</f>
        <v/>
      </c>
      <c r="J374">
        <f>IF(OR(J$4="",$A374&gt;TODAY()),0,IF(OR(INDEX($B374:$D374,J$5)="F",AND(J$6&gt;0,$A374&lt;J$6),AND(J$7&gt;0,$A374&gt;J$7)),0,MAX(0,ROUND((INDEX($E374:$G374,J$5)-SUMIFS(TF_Timer,TF_Tekniker,J$4,TF_Dato,$A374))*2,0)/2)))</f>
        <v/>
      </c>
      <c r="K374">
        <f>IF(OR(K$4="",$A374&gt;TODAY()),0,IF(OR(INDEX($B374:$D374,K$5)="F",AND(K$6&gt;0,$A374&lt;K$6),AND(K$7&gt;0,$A374&gt;K$7)),0,MAX(0,ROUND((INDEX($E374:$G374,K$5)-SUMIFS(TF_Timer,TF_Tekniker,K$4,TF_Dato,$A374))*2,0)/2)))</f>
        <v/>
      </c>
      <c r="L374">
        <f>IF(OR(L$4="",$A374&gt;TODAY()),0,IF(OR(INDEX($B374:$D374,L$5)="F",AND(L$6&gt;0,$A374&lt;L$6),AND(L$7&gt;0,$A374&gt;L$7)),0,MAX(0,ROUND((INDEX($E374:$G374,L$5)-SUMIFS(TF_Timer,TF_Tekniker,L$4,TF_Dato,$A374))*2,0)/2)))</f>
        <v/>
      </c>
      <c r="M374">
        <f>IF(OR(M$4="",$A374&gt;TODAY()),0,IF(OR(INDEX($B374:$D374,M$5)="F",AND(M$6&gt;0,$A374&lt;M$6),AND(M$7&gt;0,$A374&gt;M$7)),0,MAX(0,ROUND((INDEX($E374:$G374,M$5)-SUMIFS(TF_Timer,TF_Tekniker,M$4,TF_Dato,$A374))*2,0)/2)))</f>
        <v/>
      </c>
      <c r="N374">
        <f>IF(OR(N$4="",$A374&gt;TODAY()),0,IF(OR(INDEX($B374:$D374,N$5)="F",AND(N$6&gt;0,$A374&lt;N$6),AND(N$7&gt;0,$A374&gt;N$7)),0,MAX(0,ROUND((INDEX($E374:$G374,N$5)-SUMIFS(TF_Timer,TF_Tekniker,N$4,TF_Dato,$A374))*2,0)/2)))</f>
        <v/>
      </c>
      <c r="O374">
        <f>IF(OR(O$4="",$A374&gt;TODAY()),0,IF(OR(INDEX($B374:$D374,O$5)="F",AND(O$6&gt;0,$A374&lt;O$6),AND(O$7&gt;0,$A374&gt;O$7)),0,MAX(0,ROUND((INDEX($E374:$G374,O$5)-SUMIFS(TF_Timer,TF_Tekniker,O$4,TF_Dato,$A374))*2,0)/2)))</f>
        <v/>
      </c>
      <c r="P374">
        <f>IF(OR(P$4="",$A374&gt;TODAY()),0,IF(OR(INDEX($B374:$D374,P$5)="F",AND(P$6&gt;0,$A374&lt;P$6),AND(P$7&gt;0,$A374&gt;P$7)),0,MAX(0,ROUND((INDEX($E374:$G374,P$5)-SUMIFS(TF_Timer,TF_Tekniker,P$4,TF_Dato,$A374))*2,0)/2)))</f>
        <v/>
      </c>
      <c r="Q374">
        <f>IF(OR(Q$4="",$A374&gt;TODAY()),0,IF(OR(INDEX($B374:$D374,Q$5)="F",AND(Q$6&gt;0,$A374&lt;Q$6),AND(Q$7&gt;0,$A374&gt;Q$7)),0,MAX(0,ROUND((INDEX($E374:$G374,Q$5)-SUMIFS(TF_Timer,TF_Tekniker,Q$4,TF_Dato,$A374))*2,0)/2)))</f>
        <v/>
      </c>
      <c r="R374">
        <f>IF(OR(R$4="",$A374&gt;TODAY()),0,IF(OR(INDEX($B374:$D374,R$5)="F",AND(R$6&gt;0,$A374&lt;R$6),AND(R$7&gt;0,$A374&gt;R$7)),0,MAX(0,ROUND((INDEX($E374:$G374,R$5)-SUMIFS(TF_Timer,TF_Tekniker,R$4,TF_Dato,$A374))*2,0)/2)))</f>
        <v/>
      </c>
      <c r="S374">
        <f>IF(OR(S$4="",$A374&gt;TODAY()),0,IF(OR(INDEX($B374:$D374,S$5)="F",AND(S$6&gt;0,$A374&lt;S$6),AND(S$7&gt;0,$A374&gt;S$7)),0,MAX(0,ROUND((INDEX($E374:$G374,S$5)-SUMIFS(TF_Timer,TF_Tekniker,S$4,TF_Dato,$A374))*2,0)/2)))</f>
        <v/>
      </c>
      <c r="T374">
        <f>IF(OR(T$4="",$A374&gt;TODAY()),0,IF(OR(INDEX($B374:$D374,T$5)="F",AND(T$6&gt;0,$A374&lt;T$6),AND(T$7&gt;0,$A374&gt;T$7)),0,MAX(0,ROUND((INDEX($E374:$G374,T$5)-SUMIFS(TF_Timer,TF_Tekniker,T$4,TF_Dato,$A374))*2,0)/2)))</f>
        <v/>
      </c>
      <c r="U374">
        <f>IF(OR(U$4="",$A374&gt;TODAY()),0,IF(OR(INDEX($B374:$D374,U$5)="F",AND(U$6&gt;0,$A374&lt;U$6),AND(U$7&gt;0,$A374&gt;U$7)),0,MAX(0,ROUND((INDEX($E374:$G374,U$5)-SUMIFS(TF_Timer,TF_Tekniker,U$4,TF_Dato,$A374))*2,0)/2)))</f>
        <v/>
      </c>
      <c r="V374">
        <f>IF(OR(V$4="",$A374&gt;TODAY()),0,IF(OR(INDEX($B374:$D374,V$5)="F",AND(V$6&gt;0,$A374&lt;V$6),AND(V$7&gt;0,$A374&gt;V$7)),0,MAX(0,ROUND((INDEX($E374:$G374,V$5)-SUMIFS(TF_Timer,TF_Tekniker,V$4,TF_Dato,$A374))*2,0)/2)))</f>
        <v/>
      </c>
      <c r="W374">
        <f>IF(OR(W$4="",$A374&gt;TODAY()),0,IF(OR(INDEX($B374:$D374,W$5)="F",AND(W$6&gt;0,$A374&lt;W$6),AND(W$7&gt;0,$A374&gt;W$7)),0,MAX(0,ROUND((INDEX($E374:$G374,W$5)-SUMIFS(TF_Timer,TF_Tekniker,W$4,TF_Dato,$A374))*2,0)/2)))</f>
        <v/>
      </c>
      <c r="X374">
        <f>IF(OR(X$4="",$A374&gt;TODAY()),0,IF(OR(INDEX($B374:$D374,X$5)="F",AND(X$6&gt;0,$A374&lt;X$6),AND(X$7&gt;0,$A374&gt;X$7)),0,MAX(0,ROUND((INDEX($E374:$G374,X$5)-SUMIFS(TF_Timer,TF_Tekniker,X$4,TF_Dato,$A374))*2,0)/2)))</f>
        <v/>
      </c>
      <c r="Y374">
        <f>IF(OR(Y$4="",$A374&gt;TODAY()),0,IF(OR(INDEX($B374:$D374,Y$5)="F",AND(Y$6&gt;0,$A374&lt;Y$6),AND(Y$7&gt;0,$A374&gt;Y$7)),0,MAX(0,ROUND((INDEX($E374:$G374,Y$5)-SUMIFS(TF_Timer,TF_Tekniker,Y$4,TF_Dato,$A374))*2,0)/2)))</f>
        <v/>
      </c>
      <c r="Z374">
        <f>IF(OR(Z$4="",$A374&gt;TODAY()),0,IF(OR(INDEX($B374:$D374,Z$5)="F",AND(Z$6&gt;0,$A374&lt;Z$6),AND(Z$7&gt;0,$A374&gt;Z$7)),0,MAX(0,ROUND((INDEX($E374:$G374,Z$5)-SUMIFS(TF_Timer,TF_Tekniker,Z$4,TF_Dato,$A374))*2,0)/2)))</f>
        <v/>
      </c>
      <c r="AA374">
        <f>IF(OR(AA$4="",$A374&gt;TODAY()),0,IF(OR(INDEX($B374:$D374,AA$5)="F",AND(AA$6&gt;0,$A374&lt;AA$6),AND(AA$7&gt;0,$A374&gt;AA$7)),0,MAX(0,ROUND((INDEX($E374:$G374,AA$5)-SUMIFS(TF_Timer,TF_Tekniker,AA$4,TF_Dato,$A374))*2,0)/2)))</f>
        <v/>
      </c>
      <c r="AB374">
        <f>IF(OR(AB$4="",$A374&gt;TODAY()),0,IF(OR(INDEX($B374:$D374,AB$5)="F",AND(AB$6&gt;0,$A374&lt;AB$6),AND(AB$7&gt;0,$A374&gt;AB$7)),0,MAX(0,ROUND((INDEX($E374:$G374,AB$5)-SUMIFS(TF_Timer,TF_Tekniker,AB$4,TF_Dato,$A374))*2,0)/2)))</f>
        <v/>
      </c>
      <c r="AC374">
        <f>IF(OR(AC$4="",$A374&gt;TODAY()),0,IF(OR(INDEX($B374:$D374,AC$5)="F",AND(AC$6&gt;0,$A374&lt;AC$6),AND(AC$7&gt;0,$A374&gt;AC$7)),0,MAX(0,ROUND((INDEX($E374:$G374,AC$5)-SUMIFS(TF_Timer,TF_Tekniker,AC$4,TF_Dato,$A374))*2,0)/2)))</f>
        <v/>
      </c>
      <c r="AD374">
        <f>IF(OR(AD$4="",$A374&gt;TODAY()),0,IF(OR(INDEX($B374:$D374,AD$5)="F",AND(AD$6&gt;0,$A374&lt;AD$6),AND(AD$7&gt;0,$A374&gt;AD$7)),0,MAX(0,ROUND((INDEX($E374:$G374,AD$5)-SUMIFS(TF_Timer,TF_Tekniker,AD$4,TF_Dato,$A374))*2,0)/2)))</f>
        <v/>
      </c>
      <c r="AE374">
        <f>IF(OR(AE$4="",$A374&gt;TODAY()),0,IF(OR(INDEX($B374:$D374,AE$5)="F",AND(AE$6&gt;0,$A374&lt;AE$6),AND(AE$7&gt;0,$A374&gt;AE$7)),0,MAX(0,ROUND((INDEX($E374:$G374,AE$5)-SUMIFS(TF_Timer,TF_Tekniker,AE$4,TF_Dato,$A374))*2,0)/2)))</f>
        <v/>
      </c>
      <c r="AF374">
        <f>IF(OR(AF$4="",$A374&gt;TODAY()),0,IF(OR(INDEX($B374:$D374,AF$5)="F",AND(AF$6&gt;0,$A374&lt;AF$6),AND(AF$7&gt;0,$A374&gt;AF$7)),0,MAX(0,ROUND((INDEX($E374:$G374,AF$5)-SUMIFS(TF_Timer,TF_Tekniker,AF$4,TF_Dato,$A374))*2,0)/2)))</f>
        <v/>
      </c>
      <c r="AG374">
        <f>IF(OR(AG$4="",$A374&gt;TODAY()),0,IF(OR(INDEX($B374:$D374,AG$5)="F",AND(AG$6&gt;0,$A374&lt;AG$6),AND(AG$7&gt;0,$A374&gt;AG$7)),0,MAX(0,ROUND((INDEX($E374:$G374,AG$5)-SUMIFS(TF_Timer,TF_Tekniker,AG$4,TF_Dato,$A374))*2,0)/2)))</f>
        <v/>
      </c>
      <c r="AH374">
        <f>IF(OR(AH$4="",$A374&gt;TODAY()),0,IF(OR(INDEX($B374:$D374,AH$5)="F",AND(AH$6&gt;0,$A374&lt;AH$6),AND(AH$7&gt;0,$A374&gt;AH$7)),0,MAX(0,ROUND((INDEX($E374:$G374,AH$5)-SUMIFS(TF_Timer,TF_Tekniker,AH$4,TF_Dato,$A374))*2,0)/2)))</f>
        <v/>
      </c>
      <c r="AI374">
        <f>IF(OR(AI$4="",$A374&gt;TODAY()),0,IF(OR(INDEX($B374:$D374,AI$5)="F",AND(AI$6&gt;0,$A374&lt;AI$6),AND(AI$7&gt;0,$A374&gt;AI$7)),0,MAX(0,ROUND((INDEX($E374:$G374,AI$5)-SUMIFS(TF_Timer,TF_Tekniker,AI$4,TF_Dato,$A374))*2,0)/2)))</f>
        <v/>
      </c>
      <c r="AJ374">
        <f>IF(OR(AJ$4="",$A374&gt;TODAY()),0,IF(OR(INDEX($B374:$D374,AJ$5)="F",AND(AJ$6&gt;0,$A374&lt;AJ$6),AND(AJ$7&gt;0,$A374&gt;AJ$7)),0,MAX(0,ROUND((INDEX($E374:$G374,AJ$5)-SUMIFS(TF_Timer,TF_Tekniker,AJ$4,TF_Dato,$A374))*2,0)/2)))</f>
        <v/>
      </c>
      <c r="AK374">
        <f>IF(OR(AK$4="",$A374&gt;TODAY()),0,IF(OR(INDEX($B374:$D374,AK$5)="F",AND(AK$6&gt;0,$A374&lt;AK$6),AND(AK$7&gt;0,$A374&gt;AK$7)),0,MAX(0,ROUND((INDEX($E374:$G374,AK$5)-SUMIFS(TF_Timer,TF_Tekniker,AK$4,TF_Dato,$A374))*2,0)/2)))</f>
        <v/>
      </c>
      <c r="AL374">
        <f>IF(OR(AL$4="",$A374&gt;TODAY()),0,IF(OR(INDEX($B374:$D374,AL$5)="F",AND(AL$6&gt;0,$A374&lt;AL$6),AND(AL$7&gt;0,$A374&gt;AL$7)),0,MAX(0,ROUND((INDEX($E374:$G374,AL$5)-SUMIFS(TF_Timer,TF_Tekniker,AL$4,TF_Dato,$A374))*2,0)/2)))</f>
        <v/>
      </c>
      <c r="AM374">
        <f>IF(OR(AM$4="",$A374&gt;TODAY()),0,IF(OR(INDEX($B374:$D374,AM$5)="F",AND(AM$6&gt;0,$A374&lt;AM$6),AND(AM$7&gt;0,$A374&gt;AM$7)),0,MAX(0,ROUND((INDEX($E374:$G374,AM$5)-SUMIFS(TF_Timer,TF_Tekniker,AM$4,TF_Dato,$A374))*2,0)/2)))</f>
        <v/>
      </c>
      <c r="AN374">
        <f>IF(OR(AN$4="",$A374&gt;TODAY()),0,IF(OR(INDEX($B374:$D374,AN$5)="F",AND(AN$6&gt;0,$A374&lt;AN$6),AND(AN$7&gt;0,$A374&gt;AN$7)),0,MAX(0,ROUND((INDEX($E374:$G374,AN$5)-SUMIFS(TF_Timer,TF_Tekniker,AN$4,TF_Dato,$A374))*2,0)/2)))</f>
        <v/>
      </c>
      <c r="AO374">
        <f>IF(OR(AO$4="",$A374&gt;TODAY()),0,IF(OR(INDEX($B374:$D374,AO$5)="F",AND(AO$6&gt;0,$A374&lt;AO$6),AND(AO$7&gt;0,$A374&gt;AO$7)),0,MAX(0,ROUND((INDEX($E374:$G374,AO$5)-SUMIFS(TF_Timer,TF_Tekniker,AO$4,TF_Dato,$A374))*2,0)/2)))</f>
        <v/>
      </c>
      <c r="AP374">
        <f>IF(OR(AP$4="",$A374&gt;TODAY()),0,IF(OR(INDEX($B374:$D374,AP$5)="F",AND(AP$6&gt;0,$A374&lt;AP$6),AND(AP$7&gt;0,$A374&gt;AP$7)),0,MAX(0,ROUND((INDEX($E374:$G374,AP$5)-SUMIFS(TF_Timer,TF_Tekniker,AP$4,TF_Dato,$A374))*2,0)/2)))</f>
        <v/>
      </c>
      <c r="AQ374">
        <f>IF(OR(AQ$4="",$A374&gt;TODAY()),0,IF(OR(INDEX($B374:$D374,AQ$5)="F",AND(AQ$6&gt;0,$A374&lt;AQ$6),AND(AQ$7&gt;0,$A374&gt;AQ$7)),0,MAX(0,ROUND((INDEX($E374:$G374,AQ$5)-SUMIFS(TF_Timer,TF_Tekniker,AQ$4,TF_Dato,$A374))*2,0)/2)))</f>
        <v/>
      </c>
      <c r="AR374">
        <f>IF(OR(AR$4="",$A374&gt;TODAY()),0,IF(OR(INDEX($B374:$D374,AR$5)="F",AND(AR$6&gt;0,$A374&lt;AR$6),AND(AR$7&gt;0,$A374&gt;AR$7)),0,MAX(0,ROUND((INDEX($E374:$G374,AR$5)-SUMIFS(TF_Timer,TF_Tekniker,AR$4,TF_Dato,$A374))*2,0)/2)))</f>
        <v/>
      </c>
      <c r="AS374">
        <f>IF(OR(AS$4="",$A374&gt;TODAY()),0,IF(OR(INDEX($B374:$D374,AS$5)="F",AND(AS$6&gt;0,$A374&lt;AS$6),AND(AS$7&gt;0,$A374&gt;AS$7)),0,MAX(0,ROUND((INDEX($E374:$G374,AS$5)-SUMIFS(TF_Timer,TF_Tekniker,AS$4,TF_Dato,$A374))*2,0)/2)))</f>
        <v/>
      </c>
      <c r="AT374">
        <f>IF(OR(AT$4="",$A374&gt;TODAY()),0,IF(OR(INDEX($B374:$D374,AT$5)="F",AND(AT$6&gt;0,$A374&lt;AT$6),AND(AT$7&gt;0,$A374&gt;AT$7)),0,MAX(0,ROUND((INDEX($E374:$G374,AT$5)-SUMIFS(TF_Timer,TF_Tekniker,AT$4,TF_Dato,$A374))*2,0)/2)))</f>
        <v/>
      </c>
      <c r="AU374">
        <f>IF(OR(AU$4="",$A374&gt;TODAY()),0,IF(OR(INDEX($B374:$D374,AU$5)="F",AND(AU$6&gt;0,$A374&lt;AU$6),AND(AU$7&gt;0,$A374&gt;AU$7)),0,MAX(0,ROUND((INDEX($E374:$G374,AU$5)-SUMIFS(TF_Timer,TF_Tekniker,AU$4,TF_Dato,$A374))*2,0)/2)))</f>
        <v/>
      </c>
      <c r="AV374">
        <f>IF(OR(AV$4="",$A374&gt;TODAY()),0,IF(OR(INDEX($B374:$D374,AV$5)="F",AND(AV$6&gt;0,$A374&lt;AV$6),AND(AV$7&gt;0,$A374&gt;AV$7)),0,MAX(0,ROUND((INDEX($E374:$G374,AV$5)-SUMIFS(TF_Timer,TF_Tekniker,AV$4,TF_Dato,$A374))*2,0)/2)))</f>
        <v/>
      </c>
      <c r="AW374">
        <f>IF(OR(AW$4="",$A374&gt;TODAY()),0,IF(OR(INDEX($B374:$D374,AW$5)="F",AND(AW$6&gt;0,$A374&lt;AW$6),AND(AW$7&gt;0,$A374&gt;AW$7)),0,MAX(0,ROUND((INDEX($E374:$G374,AW$5)-SUMIFS(TF_Timer,TF_Tekniker,AW$4,TF_Dato,$A374))*2,0)/2)))</f>
        <v/>
      </c>
      <c r="AX374">
        <f>IF(OR(AX$4="",$A374&gt;TODAY()),0,IF(OR(INDEX($B374:$D374,AX$5)="F",AND(AX$6&gt;0,$A374&lt;AX$6),AND(AX$7&gt;0,$A374&gt;AX$7)),0,MAX(0,ROUND((INDEX($E374:$G374,AX$5)-SUMIFS(TF_Timer,TF_Tekniker,AX$4,TF_Dato,$A374))*2,0)/2)))</f>
        <v/>
      </c>
      <c r="AY374">
        <f>IF(OR(AY$4="",$A374&gt;TODAY()),0,IF(OR(INDEX($B374:$D374,AY$5)="F",AND(AY$6&gt;0,$A374&lt;AY$6),AND(AY$7&gt;0,$A374&gt;AY$7)),0,MAX(0,ROUND((INDEX($E374:$G374,AY$5)-SUMIFS(TF_Timer,TF_Tekniker,AY$4,TF_Dato,$A374))*2,0)/2)))</f>
        <v/>
      </c>
      <c r="AZ374">
        <f>IF(OR(AZ$4="",$A374&gt;TODAY()),0,IF(OR(INDEX($B374:$D374,AZ$5)="F",AND(AZ$6&gt;0,$A374&lt;AZ$6),AND(AZ$7&gt;0,$A374&gt;AZ$7)),0,MAX(0,ROUND((INDEX($E374:$G374,AZ$5)-SUMIFS(TF_Timer,TF_Tekniker,AZ$4,TF_Dato,$A374))*2,0)/2)))</f>
        <v/>
      </c>
      <c r="BA374">
        <f>IF(OR(BA$4="",$A374&gt;TODAY()),0,IF(OR(INDEX($B374:$D374,BA$5)="F",AND(BA$6&gt;0,$A374&lt;BA$6),AND(BA$7&gt;0,$A374&gt;BA$7)),0,MAX(0,ROUND((INDEX($E374:$G374,BA$5)-SUMIFS(TF_Timer,TF_Tekniker,BA$4,TF_Dato,$A374))*2,0)/2)))</f>
        <v/>
      </c>
      <c r="BB374">
        <f>IF(OR(BB$4="",$A374&gt;TODAY()),0,IF(OR(INDEX($B374:$D374,BB$5)="F",AND(BB$6&gt;0,$A374&lt;BB$6),AND(BB$7&gt;0,$A374&gt;BB$7)),0,MAX(0,ROUND((INDEX($E374:$G374,BB$5)-SUMIFS(TF_Timer,TF_Tekniker,BB$4,TF_Dato,$A374))*2,0)/2)))</f>
        <v/>
      </c>
      <c r="BC374">
        <f>IF(OR(BC$4="",$A374&gt;TODAY()),0,IF(OR(INDEX($B374:$D374,BC$5)="F",AND(BC$6&gt;0,$A374&lt;BC$6),AND(BC$7&gt;0,$A374&gt;BC$7)),0,MAX(0,ROUND((INDEX($E374:$G374,BC$5)-SUMIFS(TF_Timer,TF_Tekniker,BC$4,TF_Dato,$A374))*2,0)/2)))</f>
        <v/>
      </c>
      <c r="BD374">
        <f>IF(OR(BD$4="",$A374&gt;TODAY()),0,IF(OR(INDEX($B374:$D374,BD$5)="F",AND(BD$6&gt;0,$A374&lt;BD$6),AND(BD$7&gt;0,$A374&gt;BD$7)),0,MAX(0,ROUND((INDEX($E374:$G374,BD$5)-SUMIFS(TF_Timer,TF_Tekniker,BD$4,TF_Dato,$A374))*2,0)/2)))</f>
        <v/>
      </c>
      <c r="BE374">
        <f>IF(OR(BE$4="",$A374&gt;TODAY()),0,IF(OR(INDEX($B374:$D374,BE$5)="F",AND(BE$6&gt;0,$A374&lt;BE$6),AND(BE$7&gt;0,$A374&gt;BE$7)),0,MAX(0,ROUND((INDEX($E374:$G374,BE$5)-SUMIFS(TF_Timer,TF_Tekniker,BE$4,TF_Dato,$A374))*2,0)/2)))</f>
        <v/>
      </c>
      <c r="BF374">
        <f>IF(OR(BF$4="",$A374&gt;TODAY()),0,IF(OR(INDEX($B374:$D374,BF$5)="F",AND(BF$6&gt;0,$A374&lt;BF$6),AND(BF$7&gt;0,$A374&gt;BF$7)),0,MAX(0,ROUND((INDEX($E374:$G374,BF$5)-SUMIFS(TF_Timer,TF_Tekniker,BF$4,TF_Dato,$A374))*2,0)/2)))</f>
        <v/>
      </c>
      <c r="BG374">
        <f>IF(OR(BG$4="",$A374&gt;TODAY()),0,IF(OR(INDEX($B374:$D374,BG$5)="F",AND(BG$6&gt;0,$A374&lt;BG$6),AND(BG$7&gt;0,$A374&gt;BG$7)),0,MAX(0,ROUND((INDEX($E374:$G374,BG$5)-SUMIFS(TF_Timer,TF_Tekniker,BG$4,TF_Dato,$A374))*2,0)/2)))</f>
        <v/>
      </c>
      <c r="BH374">
        <f>IF(OR(BH$4="",$A374&gt;TODAY()),0,IF(OR(INDEX($B374:$D374,BH$5)="F",AND(BH$6&gt;0,$A374&lt;BH$6),AND(BH$7&gt;0,$A374&gt;BH$7)),0,MAX(0,ROUND((INDEX($E374:$G374,BH$5)-SUMIFS(TF_Timer,TF_Tekniker,BH$4,TF_Dato,$A374))*2,0)/2)))</f>
        <v/>
      </c>
      <c r="BI374">
        <f>IF(OR(BI$4="",$A374&gt;TODAY()),0,IF(OR(INDEX($B374:$D374,BI$5)="F",AND(BI$6&gt;0,$A374&lt;BI$6),AND(BI$7&gt;0,$A374&gt;BI$7)),0,MAX(0,ROUND((INDEX($E374:$G374,BI$5)-SUMIFS(TF_Timer,TF_Tekniker,BI$4,TF_Dato,$A374))*2,0)/2)))</f>
        <v/>
      </c>
    </row>
    <row r="375">
      <c r="A375" s="64">
        <f>A374+1</f>
        <v/>
      </c>
      <c r="B375">
        <f>IF(MOD($A375-INDEX(SkiftStart,1),Syklus)&lt;DagK,"K",IF(MOD($A375-INDEX(SkiftStart,1),Syklus)&lt;DagK+DagH,"H",IF(MOD($A375-INDEX(SkiftStart,1),Syklus)&lt;DagK+DagH+DagD,"D","F")))</f>
        <v/>
      </c>
      <c r="C375">
        <f>IF(MOD($A375-INDEX(SkiftStart,2),Syklus)&lt;DagK,"K",IF(MOD($A375-INDEX(SkiftStart,2),Syklus)&lt;DagK+DagH,"H",IF(MOD($A375-INDEX(SkiftStart,2),Syklus)&lt;DagK+DagH+DagD,"D","F")))</f>
        <v/>
      </c>
      <c r="D375">
        <f>IF(MOD($A375-INDEX(SkiftStart,3),Syklus)&lt;DagK,"K",IF(MOD($A375-INDEX(SkiftStart,3),Syklus)&lt;DagK+DagH,"H",IF(MOD($A375-INDEX(SkiftStart,3),Syklus)&lt;DagK+DagH+DagD,"D","F")))</f>
        <v/>
      </c>
      <c r="E375">
        <f>IF(B375="F",0,IF(WEEKDAY($A375,2)=5,INDEX(TimerFr,MATCH(B375,FaseKode,0)),INDEX(TimerMT,MATCH(B375,FaseKode,0))))</f>
        <v/>
      </c>
      <c r="F375">
        <f>IF(C375="F",0,IF(WEEKDAY($A375,2)=5,INDEX(TimerFr,MATCH(C375,FaseKode,0)),INDEX(TimerMT,MATCH(C375,FaseKode,0))))</f>
        <v/>
      </c>
      <c r="G375">
        <f>IF(D375="F",0,IF(WEEKDAY($A375,2)=5,INDEX(TimerFr,MATCH(D375,FaseKode,0)),INDEX(TimerMT,MATCH(D375,FaseKode,0))))</f>
        <v/>
      </c>
      <c r="H375">
        <f>IF(OR(H$4="",$A375&gt;TODAY()),0,IF(OR(INDEX($B375:$D375,H$5)="F",AND(H$6&gt;0,$A375&lt;H$6),AND(H$7&gt;0,$A375&gt;H$7)),0,MAX(0,ROUND((INDEX($E375:$G375,H$5)-SUMIFS(TF_Timer,TF_Tekniker,H$4,TF_Dato,$A375))*2,0)/2)))</f>
        <v/>
      </c>
      <c r="I375">
        <f>IF(OR(I$4="",$A375&gt;TODAY()),0,IF(OR(INDEX($B375:$D375,I$5)="F",AND(I$6&gt;0,$A375&lt;I$6),AND(I$7&gt;0,$A375&gt;I$7)),0,MAX(0,ROUND((INDEX($E375:$G375,I$5)-SUMIFS(TF_Timer,TF_Tekniker,I$4,TF_Dato,$A375))*2,0)/2)))</f>
        <v/>
      </c>
      <c r="J375">
        <f>IF(OR(J$4="",$A375&gt;TODAY()),0,IF(OR(INDEX($B375:$D375,J$5)="F",AND(J$6&gt;0,$A375&lt;J$6),AND(J$7&gt;0,$A375&gt;J$7)),0,MAX(0,ROUND((INDEX($E375:$G375,J$5)-SUMIFS(TF_Timer,TF_Tekniker,J$4,TF_Dato,$A375))*2,0)/2)))</f>
        <v/>
      </c>
      <c r="K375">
        <f>IF(OR(K$4="",$A375&gt;TODAY()),0,IF(OR(INDEX($B375:$D375,K$5)="F",AND(K$6&gt;0,$A375&lt;K$6),AND(K$7&gt;0,$A375&gt;K$7)),0,MAX(0,ROUND((INDEX($E375:$G375,K$5)-SUMIFS(TF_Timer,TF_Tekniker,K$4,TF_Dato,$A375))*2,0)/2)))</f>
        <v/>
      </c>
      <c r="L375">
        <f>IF(OR(L$4="",$A375&gt;TODAY()),0,IF(OR(INDEX($B375:$D375,L$5)="F",AND(L$6&gt;0,$A375&lt;L$6),AND(L$7&gt;0,$A375&gt;L$7)),0,MAX(0,ROUND((INDEX($E375:$G375,L$5)-SUMIFS(TF_Timer,TF_Tekniker,L$4,TF_Dato,$A375))*2,0)/2)))</f>
        <v/>
      </c>
      <c r="M375">
        <f>IF(OR(M$4="",$A375&gt;TODAY()),0,IF(OR(INDEX($B375:$D375,M$5)="F",AND(M$6&gt;0,$A375&lt;M$6),AND(M$7&gt;0,$A375&gt;M$7)),0,MAX(0,ROUND((INDEX($E375:$G375,M$5)-SUMIFS(TF_Timer,TF_Tekniker,M$4,TF_Dato,$A375))*2,0)/2)))</f>
        <v/>
      </c>
      <c r="N375">
        <f>IF(OR(N$4="",$A375&gt;TODAY()),0,IF(OR(INDEX($B375:$D375,N$5)="F",AND(N$6&gt;0,$A375&lt;N$6),AND(N$7&gt;0,$A375&gt;N$7)),0,MAX(0,ROUND((INDEX($E375:$G375,N$5)-SUMIFS(TF_Timer,TF_Tekniker,N$4,TF_Dato,$A375))*2,0)/2)))</f>
        <v/>
      </c>
      <c r="O375">
        <f>IF(OR(O$4="",$A375&gt;TODAY()),0,IF(OR(INDEX($B375:$D375,O$5)="F",AND(O$6&gt;0,$A375&lt;O$6),AND(O$7&gt;0,$A375&gt;O$7)),0,MAX(0,ROUND((INDEX($E375:$G375,O$5)-SUMIFS(TF_Timer,TF_Tekniker,O$4,TF_Dato,$A375))*2,0)/2)))</f>
        <v/>
      </c>
      <c r="P375">
        <f>IF(OR(P$4="",$A375&gt;TODAY()),0,IF(OR(INDEX($B375:$D375,P$5)="F",AND(P$6&gt;0,$A375&lt;P$6),AND(P$7&gt;0,$A375&gt;P$7)),0,MAX(0,ROUND((INDEX($E375:$G375,P$5)-SUMIFS(TF_Timer,TF_Tekniker,P$4,TF_Dato,$A375))*2,0)/2)))</f>
        <v/>
      </c>
      <c r="Q375">
        <f>IF(OR(Q$4="",$A375&gt;TODAY()),0,IF(OR(INDEX($B375:$D375,Q$5)="F",AND(Q$6&gt;0,$A375&lt;Q$6),AND(Q$7&gt;0,$A375&gt;Q$7)),0,MAX(0,ROUND((INDEX($E375:$G375,Q$5)-SUMIFS(TF_Timer,TF_Tekniker,Q$4,TF_Dato,$A375))*2,0)/2)))</f>
        <v/>
      </c>
      <c r="R375">
        <f>IF(OR(R$4="",$A375&gt;TODAY()),0,IF(OR(INDEX($B375:$D375,R$5)="F",AND(R$6&gt;0,$A375&lt;R$6),AND(R$7&gt;0,$A375&gt;R$7)),0,MAX(0,ROUND((INDEX($E375:$G375,R$5)-SUMIFS(TF_Timer,TF_Tekniker,R$4,TF_Dato,$A375))*2,0)/2)))</f>
        <v/>
      </c>
      <c r="S375">
        <f>IF(OR(S$4="",$A375&gt;TODAY()),0,IF(OR(INDEX($B375:$D375,S$5)="F",AND(S$6&gt;0,$A375&lt;S$6),AND(S$7&gt;0,$A375&gt;S$7)),0,MAX(0,ROUND((INDEX($E375:$G375,S$5)-SUMIFS(TF_Timer,TF_Tekniker,S$4,TF_Dato,$A375))*2,0)/2)))</f>
        <v/>
      </c>
      <c r="T375">
        <f>IF(OR(T$4="",$A375&gt;TODAY()),0,IF(OR(INDEX($B375:$D375,T$5)="F",AND(T$6&gt;0,$A375&lt;T$6),AND(T$7&gt;0,$A375&gt;T$7)),0,MAX(0,ROUND((INDEX($E375:$G375,T$5)-SUMIFS(TF_Timer,TF_Tekniker,T$4,TF_Dato,$A375))*2,0)/2)))</f>
        <v/>
      </c>
      <c r="U375">
        <f>IF(OR(U$4="",$A375&gt;TODAY()),0,IF(OR(INDEX($B375:$D375,U$5)="F",AND(U$6&gt;0,$A375&lt;U$6),AND(U$7&gt;0,$A375&gt;U$7)),0,MAX(0,ROUND((INDEX($E375:$G375,U$5)-SUMIFS(TF_Timer,TF_Tekniker,U$4,TF_Dato,$A375))*2,0)/2)))</f>
        <v/>
      </c>
      <c r="V375">
        <f>IF(OR(V$4="",$A375&gt;TODAY()),0,IF(OR(INDEX($B375:$D375,V$5)="F",AND(V$6&gt;0,$A375&lt;V$6),AND(V$7&gt;0,$A375&gt;V$7)),0,MAX(0,ROUND((INDEX($E375:$G375,V$5)-SUMIFS(TF_Timer,TF_Tekniker,V$4,TF_Dato,$A375))*2,0)/2)))</f>
        <v/>
      </c>
      <c r="W375">
        <f>IF(OR(W$4="",$A375&gt;TODAY()),0,IF(OR(INDEX($B375:$D375,W$5)="F",AND(W$6&gt;0,$A375&lt;W$6),AND(W$7&gt;0,$A375&gt;W$7)),0,MAX(0,ROUND((INDEX($E375:$G375,W$5)-SUMIFS(TF_Timer,TF_Tekniker,W$4,TF_Dato,$A375))*2,0)/2)))</f>
        <v/>
      </c>
      <c r="X375">
        <f>IF(OR(X$4="",$A375&gt;TODAY()),0,IF(OR(INDEX($B375:$D375,X$5)="F",AND(X$6&gt;0,$A375&lt;X$6),AND(X$7&gt;0,$A375&gt;X$7)),0,MAX(0,ROUND((INDEX($E375:$G375,X$5)-SUMIFS(TF_Timer,TF_Tekniker,X$4,TF_Dato,$A375))*2,0)/2)))</f>
        <v/>
      </c>
      <c r="Y375">
        <f>IF(OR(Y$4="",$A375&gt;TODAY()),0,IF(OR(INDEX($B375:$D375,Y$5)="F",AND(Y$6&gt;0,$A375&lt;Y$6),AND(Y$7&gt;0,$A375&gt;Y$7)),0,MAX(0,ROUND((INDEX($E375:$G375,Y$5)-SUMIFS(TF_Timer,TF_Tekniker,Y$4,TF_Dato,$A375))*2,0)/2)))</f>
        <v/>
      </c>
      <c r="Z375">
        <f>IF(OR(Z$4="",$A375&gt;TODAY()),0,IF(OR(INDEX($B375:$D375,Z$5)="F",AND(Z$6&gt;0,$A375&lt;Z$6),AND(Z$7&gt;0,$A375&gt;Z$7)),0,MAX(0,ROUND((INDEX($E375:$G375,Z$5)-SUMIFS(TF_Timer,TF_Tekniker,Z$4,TF_Dato,$A375))*2,0)/2)))</f>
        <v/>
      </c>
      <c r="AA375">
        <f>IF(OR(AA$4="",$A375&gt;TODAY()),0,IF(OR(INDEX($B375:$D375,AA$5)="F",AND(AA$6&gt;0,$A375&lt;AA$6),AND(AA$7&gt;0,$A375&gt;AA$7)),0,MAX(0,ROUND((INDEX($E375:$G375,AA$5)-SUMIFS(TF_Timer,TF_Tekniker,AA$4,TF_Dato,$A375))*2,0)/2)))</f>
        <v/>
      </c>
      <c r="AB375">
        <f>IF(OR(AB$4="",$A375&gt;TODAY()),0,IF(OR(INDEX($B375:$D375,AB$5)="F",AND(AB$6&gt;0,$A375&lt;AB$6),AND(AB$7&gt;0,$A375&gt;AB$7)),0,MAX(0,ROUND((INDEX($E375:$G375,AB$5)-SUMIFS(TF_Timer,TF_Tekniker,AB$4,TF_Dato,$A375))*2,0)/2)))</f>
        <v/>
      </c>
      <c r="AC375">
        <f>IF(OR(AC$4="",$A375&gt;TODAY()),0,IF(OR(INDEX($B375:$D375,AC$5)="F",AND(AC$6&gt;0,$A375&lt;AC$6),AND(AC$7&gt;0,$A375&gt;AC$7)),0,MAX(0,ROUND((INDEX($E375:$G375,AC$5)-SUMIFS(TF_Timer,TF_Tekniker,AC$4,TF_Dato,$A375))*2,0)/2)))</f>
        <v/>
      </c>
      <c r="AD375">
        <f>IF(OR(AD$4="",$A375&gt;TODAY()),0,IF(OR(INDEX($B375:$D375,AD$5)="F",AND(AD$6&gt;0,$A375&lt;AD$6),AND(AD$7&gt;0,$A375&gt;AD$7)),0,MAX(0,ROUND((INDEX($E375:$G375,AD$5)-SUMIFS(TF_Timer,TF_Tekniker,AD$4,TF_Dato,$A375))*2,0)/2)))</f>
        <v/>
      </c>
      <c r="AE375">
        <f>IF(OR(AE$4="",$A375&gt;TODAY()),0,IF(OR(INDEX($B375:$D375,AE$5)="F",AND(AE$6&gt;0,$A375&lt;AE$6),AND(AE$7&gt;0,$A375&gt;AE$7)),0,MAX(0,ROUND((INDEX($E375:$G375,AE$5)-SUMIFS(TF_Timer,TF_Tekniker,AE$4,TF_Dato,$A375))*2,0)/2)))</f>
        <v/>
      </c>
      <c r="AF375">
        <f>IF(OR(AF$4="",$A375&gt;TODAY()),0,IF(OR(INDEX($B375:$D375,AF$5)="F",AND(AF$6&gt;0,$A375&lt;AF$6),AND(AF$7&gt;0,$A375&gt;AF$7)),0,MAX(0,ROUND((INDEX($E375:$G375,AF$5)-SUMIFS(TF_Timer,TF_Tekniker,AF$4,TF_Dato,$A375))*2,0)/2)))</f>
        <v/>
      </c>
      <c r="AG375">
        <f>IF(OR(AG$4="",$A375&gt;TODAY()),0,IF(OR(INDEX($B375:$D375,AG$5)="F",AND(AG$6&gt;0,$A375&lt;AG$6),AND(AG$7&gt;0,$A375&gt;AG$7)),0,MAX(0,ROUND((INDEX($E375:$G375,AG$5)-SUMIFS(TF_Timer,TF_Tekniker,AG$4,TF_Dato,$A375))*2,0)/2)))</f>
        <v/>
      </c>
      <c r="AH375">
        <f>IF(OR(AH$4="",$A375&gt;TODAY()),0,IF(OR(INDEX($B375:$D375,AH$5)="F",AND(AH$6&gt;0,$A375&lt;AH$6),AND(AH$7&gt;0,$A375&gt;AH$7)),0,MAX(0,ROUND((INDEX($E375:$G375,AH$5)-SUMIFS(TF_Timer,TF_Tekniker,AH$4,TF_Dato,$A375))*2,0)/2)))</f>
        <v/>
      </c>
      <c r="AI375">
        <f>IF(OR(AI$4="",$A375&gt;TODAY()),0,IF(OR(INDEX($B375:$D375,AI$5)="F",AND(AI$6&gt;0,$A375&lt;AI$6),AND(AI$7&gt;0,$A375&gt;AI$7)),0,MAX(0,ROUND((INDEX($E375:$G375,AI$5)-SUMIFS(TF_Timer,TF_Tekniker,AI$4,TF_Dato,$A375))*2,0)/2)))</f>
        <v/>
      </c>
      <c r="AJ375">
        <f>IF(OR(AJ$4="",$A375&gt;TODAY()),0,IF(OR(INDEX($B375:$D375,AJ$5)="F",AND(AJ$6&gt;0,$A375&lt;AJ$6),AND(AJ$7&gt;0,$A375&gt;AJ$7)),0,MAX(0,ROUND((INDEX($E375:$G375,AJ$5)-SUMIFS(TF_Timer,TF_Tekniker,AJ$4,TF_Dato,$A375))*2,0)/2)))</f>
        <v/>
      </c>
      <c r="AK375">
        <f>IF(OR(AK$4="",$A375&gt;TODAY()),0,IF(OR(INDEX($B375:$D375,AK$5)="F",AND(AK$6&gt;0,$A375&lt;AK$6),AND(AK$7&gt;0,$A375&gt;AK$7)),0,MAX(0,ROUND((INDEX($E375:$G375,AK$5)-SUMIFS(TF_Timer,TF_Tekniker,AK$4,TF_Dato,$A375))*2,0)/2)))</f>
        <v/>
      </c>
      <c r="AL375">
        <f>IF(OR(AL$4="",$A375&gt;TODAY()),0,IF(OR(INDEX($B375:$D375,AL$5)="F",AND(AL$6&gt;0,$A375&lt;AL$6),AND(AL$7&gt;0,$A375&gt;AL$7)),0,MAX(0,ROUND((INDEX($E375:$G375,AL$5)-SUMIFS(TF_Timer,TF_Tekniker,AL$4,TF_Dato,$A375))*2,0)/2)))</f>
        <v/>
      </c>
      <c r="AM375">
        <f>IF(OR(AM$4="",$A375&gt;TODAY()),0,IF(OR(INDEX($B375:$D375,AM$5)="F",AND(AM$6&gt;0,$A375&lt;AM$6),AND(AM$7&gt;0,$A375&gt;AM$7)),0,MAX(0,ROUND((INDEX($E375:$G375,AM$5)-SUMIFS(TF_Timer,TF_Tekniker,AM$4,TF_Dato,$A375))*2,0)/2)))</f>
        <v/>
      </c>
      <c r="AN375">
        <f>IF(OR(AN$4="",$A375&gt;TODAY()),0,IF(OR(INDEX($B375:$D375,AN$5)="F",AND(AN$6&gt;0,$A375&lt;AN$6),AND(AN$7&gt;0,$A375&gt;AN$7)),0,MAX(0,ROUND((INDEX($E375:$G375,AN$5)-SUMIFS(TF_Timer,TF_Tekniker,AN$4,TF_Dato,$A375))*2,0)/2)))</f>
        <v/>
      </c>
      <c r="AO375">
        <f>IF(OR(AO$4="",$A375&gt;TODAY()),0,IF(OR(INDEX($B375:$D375,AO$5)="F",AND(AO$6&gt;0,$A375&lt;AO$6),AND(AO$7&gt;0,$A375&gt;AO$7)),0,MAX(0,ROUND((INDEX($E375:$G375,AO$5)-SUMIFS(TF_Timer,TF_Tekniker,AO$4,TF_Dato,$A375))*2,0)/2)))</f>
        <v/>
      </c>
      <c r="AP375">
        <f>IF(OR(AP$4="",$A375&gt;TODAY()),0,IF(OR(INDEX($B375:$D375,AP$5)="F",AND(AP$6&gt;0,$A375&lt;AP$6),AND(AP$7&gt;0,$A375&gt;AP$7)),0,MAX(0,ROUND((INDEX($E375:$G375,AP$5)-SUMIFS(TF_Timer,TF_Tekniker,AP$4,TF_Dato,$A375))*2,0)/2)))</f>
        <v/>
      </c>
      <c r="AQ375">
        <f>IF(OR(AQ$4="",$A375&gt;TODAY()),0,IF(OR(INDEX($B375:$D375,AQ$5)="F",AND(AQ$6&gt;0,$A375&lt;AQ$6),AND(AQ$7&gt;0,$A375&gt;AQ$7)),0,MAX(0,ROUND((INDEX($E375:$G375,AQ$5)-SUMIFS(TF_Timer,TF_Tekniker,AQ$4,TF_Dato,$A375))*2,0)/2)))</f>
        <v/>
      </c>
      <c r="AR375">
        <f>IF(OR(AR$4="",$A375&gt;TODAY()),0,IF(OR(INDEX($B375:$D375,AR$5)="F",AND(AR$6&gt;0,$A375&lt;AR$6),AND(AR$7&gt;0,$A375&gt;AR$7)),0,MAX(0,ROUND((INDEX($E375:$G375,AR$5)-SUMIFS(TF_Timer,TF_Tekniker,AR$4,TF_Dato,$A375))*2,0)/2)))</f>
        <v/>
      </c>
      <c r="AS375">
        <f>IF(OR(AS$4="",$A375&gt;TODAY()),0,IF(OR(INDEX($B375:$D375,AS$5)="F",AND(AS$6&gt;0,$A375&lt;AS$6),AND(AS$7&gt;0,$A375&gt;AS$7)),0,MAX(0,ROUND((INDEX($E375:$G375,AS$5)-SUMIFS(TF_Timer,TF_Tekniker,AS$4,TF_Dato,$A375))*2,0)/2)))</f>
        <v/>
      </c>
      <c r="AT375">
        <f>IF(OR(AT$4="",$A375&gt;TODAY()),0,IF(OR(INDEX($B375:$D375,AT$5)="F",AND(AT$6&gt;0,$A375&lt;AT$6),AND(AT$7&gt;0,$A375&gt;AT$7)),0,MAX(0,ROUND((INDEX($E375:$G375,AT$5)-SUMIFS(TF_Timer,TF_Tekniker,AT$4,TF_Dato,$A375))*2,0)/2)))</f>
        <v/>
      </c>
      <c r="AU375">
        <f>IF(OR(AU$4="",$A375&gt;TODAY()),0,IF(OR(INDEX($B375:$D375,AU$5)="F",AND(AU$6&gt;0,$A375&lt;AU$6),AND(AU$7&gt;0,$A375&gt;AU$7)),0,MAX(0,ROUND((INDEX($E375:$G375,AU$5)-SUMIFS(TF_Timer,TF_Tekniker,AU$4,TF_Dato,$A375))*2,0)/2)))</f>
        <v/>
      </c>
      <c r="AV375">
        <f>IF(OR(AV$4="",$A375&gt;TODAY()),0,IF(OR(INDEX($B375:$D375,AV$5)="F",AND(AV$6&gt;0,$A375&lt;AV$6),AND(AV$7&gt;0,$A375&gt;AV$7)),0,MAX(0,ROUND((INDEX($E375:$G375,AV$5)-SUMIFS(TF_Timer,TF_Tekniker,AV$4,TF_Dato,$A375))*2,0)/2)))</f>
        <v/>
      </c>
      <c r="AW375">
        <f>IF(OR(AW$4="",$A375&gt;TODAY()),0,IF(OR(INDEX($B375:$D375,AW$5)="F",AND(AW$6&gt;0,$A375&lt;AW$6),AND(AW$7&gt;0,$A375&gt;AW$7)),0,MAX(0,ROUND((INDEX($E375:$G375,AW$5)-SUMIFS(TF_Timer,TF_Tekniker,AW$4,TF_Dato,$A375))*2,0)/2)))</f>
        <v/>
      </c>
      <c r="AX375">
        <f>IF(OR(AX$4="",$A375&gt;TODAY()),0,IF(OR(INDEX($B375:$D375,AX$5)="F",AND(AX$6&gt;0,$A375&lt;AX$6),AND(AX$7&gt;0,$A375&gt;AX$7)),0,MAX(0,ROUND((INDEX($E375:$G375,AX$5)-SUMIFS(TF_Timer,TF_Tekniker,AX$4,TF_Dato,$A375))*2,0)/2)))</f>
        <v/>
      </c>
      <c r="AY375">
        <f>IF(OR(AY$4="",$A375&gt;TODAY()),0,IF(OR(INDEX($B375:$D375,AY$5)="F",AND(AY$6&gt;0,$A375&lt;AY$6),AND(AY$7&gt;0,$A375&gt;AY$7)),0,MAX(0,ROUND((INDEX($E375:$G375,AY$5)-SUMIFS(TF_Timer,TF_Tekniker,AY$4,TF_Dato,$A375))*2,0)/2)))</f>
        <v/>
      </c>
      <c r="AZ375">
        <f>IF(OR(AZ$4="",$A375&gt;TODAY()),0,IF(OR(INDEX($B375:$D375,AZ$5)="F",AND(AZ$6&gt;0,$A375&lt;AZ$6),AND(AZ$7&gt;0,$A375&gt;AZ$7)),0,MAX(0,ROUND((INDEX($E375:$G375,AZ$5)-SUMIFS(TF_Timer,TF_Tekniker,AZ$4,TF_Dato,$A375))*2,0)/2)))</f>
        <v/>
      </c>
      <c r="BA375">
        <f>IF(OR(BA$4="",$A375&gt;TODAY()),0,IF(OR(INDEX($B375:$D375,BA$5)="F",AND(BA$6&gt;0,$A375&lt;BA$6),AND(BA$7&gt;0,$A375&gt;BA$7)),0,MAX(0,ROUND((INDEX($E375:$G375,BA$5)-SUMIFS(TF_Timer,TF_Tekniker,BA$4,TF_Dato,$A375))*2,0)/2)))</f>
        <v/>
      </c>
      <c r="BB375">
        <f>IF(OR(BB$4="",$A375&gt;TODAY()),0,IF(OR(INDEX($B375:$D375,BB$5)="F",AND(BB$6&gt;0,$A375&lt;BB$6),AND(BB$7&gt;0,$A375&gt;BB$7)),0,MAX(0,ROUND((INDEX($E375:$G375,BB$5)-SUMIFS(TF_Timer,TF_Tekniker,BB$4,TF_Dato,$A375))*2,0)/2)))</f>
        <v/>
      </c>
      <c r="BC375">
        <f>IF(OR(BC$4="",$A375&gt;TODAY()),0,IF(OR(INDEX($B375:$D375,BC$5)="F",AND(BC$6&gt;0,$A375&lt;BC$6),AND(BC$7&gt;0,$A375&gt;BC$7)),0,MAX(0,ROUND((INDEX($E375:$G375,BC$5)-SUMIFS(TF_Timer,TF_Tekniker,BC$4,TF_Dato,$A375))*2,0)/2)))</f>
        <v/>
      </c>
      <c r="BD375">
        <f>IF(OR(BD$4="",$A375&gt;TODAY()),0,IF(OR(INDEX($B375:$D375,BD$5)="F",AND(BD$6&gt;0,$A375&lt;BD$6),AND(BD$7&gt;0,$A375&gt;BD$7)),0,MAX(0,ROUND((INDEX($E375:$G375,BD$5)-SUMIFS(TF_Timer,TF_Tekniker,BD$4,TF_Dato,$A375))*2,0)/2)))</f>
        <v/>
      </c>
      <c r="BE375">
        <f>IF(OR(BE$4="",$A375&gt;TODAY()),0,IF(OR(INDEX($B375:$D375,BE$5)="F",AND(BE$6&gt;0,$A375&lt;BE$6),AND(BE$7&gt;0,$A375&gt;BE$7)),0,MAX(0,ROUND((INDEX($E375:$G375,BE$5)-SUMIFS(TF_Timer,TF_Tekniker,BE$4,TF_Dato,$A375))*2,0)/2)))</f>
        <v/>
      </c>
      <c r="BF375">
        <f>IF(OR(BF$4="",$A375&gt;TODAY()),0,IF(OR(INDEX($B375:$D375,BF$5)="F",AND(BF$6&gt;0,$A375&lt;BF$6),AND(BF$7&gt;0,$A375&gt;BF$7)),0,MAX(0,ROUND((INDEX($E375:$G375,BF$5)-SUMIFS(TF_Timer,TF_Tekniker,BF$4,TF_Dato,$A375))*2,0)/2)))</f>
        <v/>
      </c>
      <c r="BG375">
        <f>IF(OR(BG$4="",$A375&gt;TODAY()),0,IF(OR(INDEX($B375:$D375,BG$5)="F",AND(BG$6&gt;0,$A375&lt;BG$6),AND(BG$7&gt;0,$A375&gt;BG$7)),0,MAX(0,ROUND((INDEX($E375:$G375,BG$5)-SUMIFS(TF_Timer,TF_Tekniker,BG$4,TF_Dato,$A375))*2,0)/2)))</f>
        <v/>
      </c>
      <c r="BH375">
        <f>IF(OR(BH$4="",$A375&gt;TODAY()),0,IF(OR(INDEX($B375:$D375,BH$5)="F",AND(BH$6&gt;0,$A375&lt;BH$6),AND(BH$7&gt;0,$A375&gt;BH$7)),0,MAX(0,ROUND((INDEX($E375:$G375,BH$5)-SUMIFS(TF_Timer,TF_Tekniker,BH$4,TF_Dato,$A375))*2,0)/2)))</f>
        <v/>
      </c>
      <c r="BI375">
        <f>IF(OR(BI$4="",$A375&gt;TODAY()),0,IF(OR(INDEX($B375:$D375,BI$5)="F",AND(BI$6&gt;0,$A375&lt;BI$6),AND(BI$7&gt;0,$A375&gt;BI$7)),0,MAX(0,ROUND((INDEX($E375:$G375,BI$5)-SUMIFS(TF_Timer,TF_Tekniker,BI$4,TF_Dato,$A375))*2,0)/2)))</f>
        <v/>
      </c>
    </row>
    <row r="376">
      <c r="A376" s="64">
        <f>A375+1</f>
        <v/>
      </c>
      <c r="B376">
        <f>IF(MOD($A376-INDEX(SkiftStart,1),Syklus)&lt;DagK,"K",IF(MOD($A376-INDEX(SkiftStart,1),Syklus)&lt;DagK+DagH,"H",IF(MOD($A376-INDEX(SkiftStart,1),Syklus)&lt;DagK+DagH+DagD,"D","F")))</f>
        <v/>
      </c>
      <c r="C376">
        <f>IF(MOD($A376-INDEX(SkiftStart,2),Syklus)&lt;DagK,"K",IF(MOD($A376-INDEX(SkiftStart,2),Syklus)&lt;DagK+DagH,"H",IF(MOD($A376-INDEX(SkiftStart,2),Syklus)&lt;DagK+DagH+DagD,"D","F")))</f>
        <v/>
      </c>
      <c r="D376">
        <f>IF(MOD($A376-INDEX(SkiftStart,3),Syklus)&lt;DagK,"K",IF(MOD($A376-INDEX(SkiftStart,3),Syklus)&lt;DagK+DagH,"H",IF(MOD($A376-INDEX(SkiftStart,3),Syklus)&lt;DagK+DagH+DagD,"D","F")))</f>
        <v/>
      </c>
      <c r="E376">
        <f>IF(B376="F",0,IF(WEEKDAY($A376,2)=5,INDEX(TimerFr,MATCH(B376,FaseKode,0)),INDEX(TimerMT,MATCH(B376,FaseKode,0))))</f>
        <v/>
      </c>
      <c r="F376">
        <f>IF(C376="F",0,IF(WEEKDAY($A376,2)=5,INDEX(TimerFr,MATCH(C376,FaseKode,0)),INDEX(TimerMT,MATCH(C376,FaseKode,0))))</f>
        <v/>
      </c>
      <c r="G376">
        <f>IF(D376="F",0,IF(WEEKDAY($A376,2)=5,INDEX(TimerFr,MATCH(D376,FaseKode,0)),INDEX(TimerMT,MATCH(D376,FaseKode,0))))</f>
        <v/>
      </c>
      <c r="H376">
        <f>IF(OR(H$4="",$A376&gt;TODAY()),0,IF(OR(INDEX($B376:$D376,H$5)="F",AND(H$6&gt;0,$A376&lt;H$6),AND(H$7&gt;0,$A376&gt;H$7)),0,MAX(0,ROUND((INDEX($E376:$G376,H$5)-SUMIFS(TF_Timer,TF_Tekniker,H$4,TF_Dato,$A376))*2,0)/2)))</f>
        <v/>
      </c>
      <c r="I376">
        <f>IF(OR(I$4="",$A376&gt;TODAY()),0,IF(OR(INDEX($B376:$D376,I$5)="F",AND(I$6&gt;0,$A376&lt;I$6),AND(I$7&gt;0,$A376&gt;I$7)),0,MAX(0,ROUND((INDEX($E376:$G376,I$5)-SUMIFS(TF_Timer,TF_Tekniker,I$4,TF_Dato,$A376))*2,0)/2)))</f>
        <v/>
      </c>
      <c r="J376">
        <f>IF(OR(J$4="",$A376&gt;TODAY()),0,IF(OR(INDEX($B376:$D376,J$5)="F",AND(J$6&gt;0,$A376&lt;J$6),AND(J$7&gt;0,$A376&gt;J$7)),0,MAX(0,ROUND((INDEX($E376:$G376,J$5)-SUMIFS(TF_Timer,TF_Tekniker,J$4,TF_Dato,$A376))*2,0)/2)))</f>
        <v/>
      </c>
      <c r="K376">
        <f>IF(OR(K$4="",$A376&gt;TODAY()),0,IF(OR(INDEX($B376:$D376,K$5)="F",AND(K$6&gt;0,$A376&lt;K$6),AND(K$7&gt;0,$A376&gt;K$7)),0,MAX(0,ROUND((INDEX($E376:$G376,K$5)-SUMIFS(TF_Timer,TF_Tekniker,K$4,TF_Dato,$A376))*2,0)/2)))</f>
        <v/>
      </c>
      <c r="L376">
        <f>IF(OR(L$4="",$A376&gt;TODAY()),0,IF(OR(INDEX($B376:$D376,L$5)="F",AND(L$6&gt;0,$A376&lt;L$6),AND(L$7&gt;0,$A376&gt;L$7)),0,MAX(0,ROUND((INDEX($E376:$G376,L$5)-SUMIFS(TF_Timer,TF_Tekniker,L$4,TF_Dato,$A376))*2,0)/2)))</f>
        <v/>
      </c>
      <c r="M376">
        <f>IF(OR(M$4="",$A376&gt;TODAY()),0,IF(OR(INDEX($B376:$D376,M$5)="F",AND(M$6&gt;0,$A376&lt;M$6),AND(M$7&gt;0,$A376&gt;M$7)),0,MAX(0,ROUND((INDEX($E376:$G376,M$5)-SUMIFS(TF_Timer,TF_Tekniker,M$4,TF_Dato,$A376))*2,0)/2)))</f>
        <v/>
      </c>
      <c r="N376">
        <f>IF(OR(N$4="",$A376&gt;TODAY()),0,IF(OR(INDEX($B376:$D376,N$5)="F",AND(N$6&gt;0,$A376&lt;N$6),AND(N$7&gt;0,$A376&gt;N$7)),0,MAX(0,ROUND((INDEX($E376:$G376,N$5)-SUMIFS(TF_Timer,TF_Tekniker,N$4,TF_Dato,$A376))*2,0)/2)))</f>
        <v/>
      </c>
      <c r="O376">
        <f>IF(OR(O$4="",$A376&gt;TODAY()),0,IF(OR(INDEX($B376:$D376,O$5)="F",AND(O$6&gt;0,$A376&lt;O$6),AND(O$7&gt;0,$A376&gt;O$7)),0,MAX(0,ROUND((INDEX($E376:$G376,O$5)-SUMIFS(TF_Timer,TF_Tekniker,O$4,TF_Dato,$A376))*2,0)/2)))</f>
        <v/>
      </c>
      <c r="P376">
        <f>IF(OR(P$4="",$A376&gt;TODAY()),0,IF(OR(INDEX($B376:$D376,P$5)="F",AND(P$6&gt;0,$A376&lt;P$6),AND(P$7&gt;0,$A376&gt;P$7)),0,MAX(0,ROUND((INDEX($E376:$G376,P$5)-SUMIFS(TF_Timer,TF_Tekniker,P$4,TF_Dato,$A376))*2,0)/2)))</f>
        <v/>
      </c>
      <c r="Q376">
        <f>IF(OR(Q$4="",$A376&gt;TODAY()),0,IF(OR(INDEX($B376:$D376,Q$5)="F",AND(Q$6&gt;0,$A376&lt;Q$6),AND(Q$7&gt;0,$A376&gt;Q$7)),0,MAX(0,ROUND((INDEX($E376:$G376,Q$5)-SUMIFS(TF_Timer,TF_Tekniker,Q$4,TF_Dato,$A376))*2,0)/2)))</f>
        <v/>
      </c>
      <c r="R376">
        <f>IF(OR(R$4="",$A376&gt;TODAY()),0,IF(OR(INDEX($B376:$D376,R$5)="F",AND(R$6&gt;0,$A376&lt;R$6),AND(R$7&gt;0,$A376&gt;R$7)),0,MAX(0,ROUND((INDEX($E376:$G376,R$5)-SUMIFS(TF_Timer,TF_Tekniker,R$4,TF_Dato,$A376))*2,0)/2)))</f>
        <v/>
      </c>
      <c r="S376">
        <f>IF(OR(S$4="",$A376&gt;TODAY()),0,IF(OR(INDEX($B376:$D376,S$5)="F",AND(S$6&gt;0,$A376&lt;S$6),AND(S$7&gt;0,$A376&gt;S$7)),0,MAX(0,ROUND((INDEX($E376:$G376,S$5)-SUMIFS(TF_Timer,TF_Tekniker,S$4,TF_Dato,$A376))*2,0)/2)))</f>
        <v/>
      </c>
      <c r="T376">
        <f>IF(OR(T$4="",$A376&gt;TODAY()),0,IF(OR(INDEX($B376:$D376,T$5)="F",AND(T$6&gt;0,$A376&lt;T$6),AND(T$7&gt;0,$A376&gt;T$7)),0,MAX(0,ROUND((INDEX($E376:$G376,T$5)-SUMIFS(TF_Timer,TF_Tekniker,T$4,TF_Dato,$A376))*2,0)/2)))</f>
        <v/>
      </c>
      <c r="U376">
        <f>IF(OR(U$4="",$A376&gt;TODAY()),0,IF(OR(INDEX($B376:$D376,U$5)="F",AND(U$6&gt;0,$A376&lt;U$6),AND(U$7&gt;0,$A376&gt;U$7)),0,MAX(0,ROUND((INDEX($E376:$G376,U$5)-SUMIFS(TF_Timer,TF_Tekniker,U$4,TF_Dato,$A376))*2,0)/2)))</f>
        <v/>
      </c>
      <c r="V376">
        <f>IF(OR(V$4="",$A376&gt;TODAY()),0,IF(OR(INDEX($B376:$D376,V$5)="F",AND(V$6&gt;0,$A376&lt;V$6),AND(V$7&gt;0,$A376&gt;V$7)),0,MAX(0,ROUND((INDEX($E376:$G376,V$5)-SUMIFS(TF_Timer,TF_Tekniker,V$4,TF_Dato,$A376))*2,0)/2)))</f>
        <v/>
      </c>
      <c r="W376">
        <f>IF(OR(W$4="",$A376&gt;TODAY()),0,IF(OR(INDEX($B376:$D376,W$5)="F",AND(W$6&gt;0,$A376&lt;W$6),AND(W$7&gt;0,$A376&gt;W$7)),0,MAX(0,ROUND((INDEX($E376:$G376,W$5)-SUMIFS(TF_Timer,TF_Tekniker,W$4,TF_Dato,$A376))*2,0)/2)))</f>
        <v/>
      </c>
      <c r="X376">
        <f>IF(OR(X$4="",$A376&gt;TODAY()),0,IF(OR(INDEX($B376:$D376,X$5)="F",AND(X$6&gt;0,$A376&lt;X$6),AND(X$7&gt;0,$A376&gt;X$7)),0,MAX(0,ROUND((INDEX($E376:$G376,X$5)-SUMIFS(TF_Timer,TF_Tekniker,X$4,TF_Dato,$A376))*2,0)/2)))</f>
        <v/>
      </c>
      <c r="Y376">
        <f>IF(OR(Y$4="",$A376&gt;TODAY()),0,IF(OR(INDEX($B376:$D376,Y$5)="F",AND(Y$6&gt;0,$A376&lt;Y$6),AND(Y$7&gt;0,$A376&gt;Y$7)),0,MAX(0,ROUND((INDEX($E376:$G376,Y$5)-SUMIFS(TF_Timer,TF_Tekniker,Y$4,TF_Dato,$A376))*2,0)/2)))</f>
        <v/>
      </c>
      <c r="Z376">
        <f>IF(OR(Z$4="",$A376&gt;TODAY()),0,IF(OR(INDEX($B376:$D376,Z$5)="F",AND(Z$6&gt;0,$A376&lt;Z$6),AND(Z$7&gt;0,$A376&gt;Z$7)),0,MAX(0,ROUND((INDEX($E376:$G376,Z$5)-SUMIFS(TF_Timer,TF_Tekniker,Z$4,TF_Dato,$A376))*2,0)/2)))</f>
        <v/>
      </c>
      <c r="AA376">
        <f>IF(OR(AA$4="",$A376&gt;TODAY()),0,IF(OR(INDEX($B376:$D376,AA$5)="F",AND(AA$6&gt;0,$A376&lt;AA$6),AND(AA$7&gt;0,$A376&gt;AA$7)),0,MAX(0,ROUND((INDEX($E376:$G376,AA$5)-SUMIFS(TF_Timer,TF_Tekniker,AA$4,TF_Dato,$A376))*2,0)/2)))</f>
        <v/>
      </c>
      <c r="AB376">
        <f>IF(OR(AB$4="",$A376&gt;TODAY()),0,IF(OR(INDEX($B376:$D376,AB$5)="F",AND(AB$6&gt;0,$A376&lt;AB$6),AND(AB$7&gt;0,$A376&gt;AB$7)),0,MAX(0,ROUND((INDEX($E376:$G376,AB$5)-SUMIFS(TF_Timer,TF_Tekniker,AB$4,TF_Dato,$A376))*2,0)/2)))</f>
        <v/>
      </c>
      <c r="AC376">
        <f>IF(OR(AC$4="",$A376&gt;TODAY()),0,IF(OR(INDEX($B376:$D376,AC$5)="F",AND(AC$6&gt;0,$A376&lt;AC$6),AND(AC$7&gt;0,$A376&gt;AC$7)),0,MAX(0,ROUND((INDEX($E376:$G376,AC$5)-SUMIFS(TF_Timer,TF_Tekniker,AC$4,TF_Dato,$A376))*2,0)/2)))</f>
        <v/>
      </c>
      <c r="AD376">
        <f>IF(OR(AD$4="",$A376&gt;TODAY()),0,IF(OR(INDEX($B376:$D376,AD$5)="F",AND(AD$6&gt;0,$A376&lt;AD$6),AND(AD$7&gt;0,$A376&gt;AD$7)),0,MAX(0,ROUND((INDEX($E376:$G376,AD$5)-SUMIFS(TF_Timer,TF_Tekniker,AD$4,TF_Dato,$A376))*2,0)/2)))</f>
        <v/>
      </c>
      <c r="AE376">
        <f>IF(OR(AE$4="",$A376&gt;TODAY()),0,IF(OR(INDEX($B376:$D376,AE$5)="F",AND(AE$6&gt;0,$A376&lt;AE$6),AND(AE$7&gt;0,$A376&gt;AE$7)),0,MAX(0,ROUND((INDEX($E376:$G376,AE$5)-SUMIFS(TF_Timer,TF_Tekniker,AE$4,TF_Dato,$A376))*2,0)/2)))</f>
        <v/>
      </c>
      <c r="AF376">
        <f>IF(OR(AF$4="",$A376&gt;TODAY()),0,IF(OR(INDEX($B376:$D376,AF$5)="F",AND(AF$6&gt;0,$A376&lt;AF$6),AND(AF$7&gt;0,$A376&gt;AF$7)),0,MAX(0,ROUND((INDEX($E376:$G376,AF$5)-SUMIFS(TF_Timer,TF_Tekniker,AF$4,TF_Dato,$A376))*2,0)/2)))</f>
        <v/>
      </c>
      <c r="AG376">
        <f>IF(OR(AG$4="",$A376&gt;TODAY()),0,IF(OR(INDEX($B376:$D376,AG$5)="F",AND(AG$6&gt;0,$A376&lt;AG$6),AND(AG$7&gt;0,$A376&gt;AG$7)),0,MAX(0,ROUND((INDEX($E376:$G376,AG$5)-SUMIFS(TF_Timer,TF_Tekniker,AG$4,TF_Dato,$A376))*2,0)/2)))</f>
        <v/>
      </c>
      <c r="AH376">
        <f>IF(OR(AH$4="",$A376&gt;TODAY()),0,IF(OR(INDEX($B376:$D376,AH$5)="F",AND(AH$6&gt;0,$A376&lt;AH$6),AND(AH$7&gt;0,$A376&gt;AH$7)),0,MAX(0,ROUND((INDEX($E376:$G376,AH$5)-SUMIFS(TF_Timer,TF_Tekniker,AH$4,TF_Dato,$A376))*2,0)/2)))</f>
        <v/>
      </c>
      <c r="AI376">
        <f>IF(OR(AI$4="",$A376&gt;TODAY()),0,IF(OR(INDEX($B376:$D376,AI$5)="F",AND(AI$6&gt;0,$A376&lt;AI$6),AND(AI$7&gt;0,$A376&gt;AI$7)),0,MAX(0,ROUND((INDEX($E376:$G376,AI$5)-SUMIFS(TF_Timer,TF_Tekniker,AI$4,TF_Dato,$A376))*2,0)/2)))</f>
        <v/>
      </c>
      <c r="AJ376">
        <f>IF(OR(AJ$4="",$A376&gt;TODAY()),0,IF(OR(INDEX($B376:$D376,AJ$5)="F",AND(AJ$6&gt;0,$A376&lt;AJ$6),AND(AJ$7&gt;0,$A376&gt;AJ$7)),0,MAX(0,ROUND((INDEX($E376:$G376,AJ$5)-SUMIFS(TF_Timer,TF_Tekniker,AJ$4,TF_Dato,$A376))*2,0)/2)))</f>
        <v/>
      </c>
      <c r="AK376">
        <f>IF(OR(AK$4="",$A376&gt;TODAY()),0,IF(OR(INDEX($B376:$D376,AK$5)="F",AND(AK$6&gt;0,$A376&lt;AK$6),AND(AK$7&gt;0,$A376&gt;AK$7)),0,MAX(0,ROUND((INDEX($E376:$G376,AK$5)-SUMIFS(TF_Timer,TF_Tekniker,AK$4,TF_Dato,$A376))*2,0)/2)))</f>
        <v/>
      </c>
      <c r="AL376">
        <f>IF(OR(AL$4="",$A376&gt;TODAY()),0,IF(OR(INDEX($B376:$D376,AL$5)="F",AND(AL$6&gt;0,$A376&lt;AL$6),AND(AL$7&gt;0,$A376&gt;AL$7)),0,MAX(0,ROUND((INDEX($E376:$G376,AL$5)-SUMIFS(TF_Timer,TF_Tekniker,AL$4,TF_Dato,$A376))*2,0)/2)))</f>
        <v/>
      </c>
      <c r="AM376">
        <f>IF(OR(AM$4="",$A376&gt;TODAY()),0,IF(OR(INDEX($B376:$D376,AM$5)="F",AND(AM$6&gt;0,$A376&lt;AM$6),AND(AM$7&gt;0,$A376&gt;AM$7)),0,MAX(0,ROUND((INDEX($E376:$G376,AM$5)-SUMIFS(TF_Timer,TF_Tekniker,AM$4,TF_Dato,$A376))*2,0)/2)))</f>
        <v/>
      </c>
      <c r="AN376">
        <f>IF(OR(AN$4="",$A376&gt;TODAY()),0,IF(OR(INDEX($B376:$D376,AN$5)="F",AND(AN$6&gt;0,$A376&lt;AN$6),AND(AN$7&gt;0,$A376&gt;AN$7)),0,MAX(0,ROUND((INDEX($E376:$G376,AN$5)-SUMIFS(TF_Timer,TF_Tekniker,AN$4,TF_Dato,$A376))*2,0)/2)))</f>
        <v/>
      </c>
      <c r="AO376">
        <f>IF(OR(AO$4="",$A376&gt;TODAY()),0,IF(OR(INDEX($B376:$D376,AO$5)="F",AND(AO$6&gt;0,$A376&lt;AO$6),AND(AO$7&gt;0,$A376&gt;AO$7)),0,MAX(0,ROUND((INDEX($E376:$G376,AO$5)-SUMIFS(TF_Timer,TF_Tekniker,AO$4,TF_Dato,$A376))*2,0)/2)))</f>
        <v/>
      </c>
      <c r="AP376">
        <f>IF(OR(AP$4="",$A376&gt;TODAY()),0,IF(OR(INDEX($B376:$D376,AP$5)="F",AND(AP$6&gt;0,$A376&lt;AP$6),AND(AP$7&gt;0,$A376&gt;AP$7)),0,MAX(0,ROUND((INDEX($E376:$G376,AP$5)-SUMIFS(TF_Timer,TF_Tekniker,AP$4,TF_Dato,$A376))*2,0)/2)))</f>
        <v/>
      </c>
      <c r="AQ376">
        <f>IF(OR(AQ$4="",$A376&gt;TODAY()),0,IF(OR(INDEX($B376:$D376,AQ$5)="F",AND(AQ$6&gt;0,$A376&lt;AQ$6),AND(AQ$7&gt;0,$A376&gt;AQ$7)),0,MAX(0,ROUND((INDEX($E376:$G376,AQ$5)-SUMIFS(TF_Timer,TF_Tekniker,AQ$4,TF_Dato,$A376))*2,0)/2)))</f>
        <v/>
      </c>
      <c r="AR376">
        <f>IF(OR(AR$4="",$A376&gt;TODAY()),0,IF(OR(INDEX($B376:$D376,AR$5)="F",AND(AR$6&gt;0,$A376&lt;AR$6),AND(AR$7&gt;0,$A376&gt;AR$7)),0,MAX(0,ROUND((INDEX($E376:$G376,AR$5)-SUMIFS(TF_Timer,TF_Tekniker,AR$4,TF_Dato,$A376))*2,0)/2)))</f>
        <v/>
      </c>
      <c r="AS376">
        <f>IF(OR(AS$4="",$A376&gt;TODAY()),0,IF(OR(INDEX($B376:$D376,AS$5)="F",AND(AS$6&gt;0,$A376&lt;AS$6),AND(AS$7&gt;0,$A376&gt;AS$7)),0,MAX(0,ROUND((INDEX($E376:$G376,AS$5)-SUMIFS(TF_Timer,TF_Tekniker,AS$4,TF_Dato,$A376))*2,0)/2)))</f>
        <v/>
      </c>
      <c r="AT376">
        <f>IF(OR(AT$4="",$A376&gt;TODAY()),0,IF(OR(INDEX($B376:$D376,AT$5)="F",AND(AT$6&gt;0,$A376&lt;AT$6),AND(AT$7&gt;0,$A376&gt;AT$7)),0,MAX(0,ROUND((INDEX($E376:$G376,AT$5)-SUMIFS(TF_Timer,TF_Tekniker,AT$4,TF_Dato,$A376))*2,0)/2)))</f>
        <v/>
      </c>
      <c r="AU376">
        <f>IF(OR(AU$4="",$A376&gt;TODAY()),0,IF(OR(INDEX($B376:$D376,AU$5)="F",AND(AU$6&gt;0,$A376&lt;AU$6),AND(AU$7&gt;0,$A376&gt;AU$7)),0,MAX(0,ROUND((INDEX($E376:$G376,AU$5)-SUMIFS(TF_Timer,TF_Tekniker,AU$4,TF_Dato,$A376))*2,0)/2)))</f>
        <v/>
      </c>
      <c r="AV376">
        <f>IF(OR(AV$4="",$A376&gt;TODAY()),0,IF(OR(INDEX($B376:$D376,AV$5)="F",AND(AV$6&gt;0,$A376&lt;AV$6),AND(AV$7&gt;0,$A376&gt;AV$7)),0,MAX(0,ROUND((INDEX($E376:$G376,AV$5)-SUMIFS(TF_Timer,TF_Tekniker,AV$4,TF_Dato,$A376))*2,0)/2)))</f>
        <v/>
      </c>
      <c r="AW376">
        <f>IF(OR(AW$4="",$A376&gt;TODAY()),0,IF(OR(INDEX($B376:$D376,AW$5)="F",AND(AW$6&gt;0,$A376&lt;AW$6),AND(AW$7&gt;0,$A376&gt;AW$7)),0,MAX(0,ROUND((INDEX($E376:$G376,AW$5)-SUMIFS(TF_Timer,TF_Tekniker,AW$4,TF_Dato,$A376))*2,0)/2)))</f>
        <v/>
      </c>
      <c r="AX376">
        <f>IF(OR(AX$4="",$A376&gt;TODAY()),0,IF(OR(INDEX($B376:$D376,AX$5)="F",AND(AX$6&gt;0,$A376&lt;AX$6),AND(AX$7&gt;0,$A376&gt;AX$7)),0,MAX(0,ROUND((INDEX($E376:$G376,AX$5)-SUMIFS(TF_Timer,TF_Tekniker,AX$4,TF_Dato,$A376))*2,0)/2)))</f>
        <v/>
      </c>
      <c r="AY376">
        <f>IF(OR(AY$4="",$A376&gt;TODAY()),0,IF(OR(INDEX($B376:$D376,AY$5)="F",AND(AY$6&gt;0,$A376&lt;AY$6),AND(AY$7&gt;0,$A376&gt;AY$7)),0,MAX(0,ROUND((INDEX($E376:$G376,AY$5)-SUMIFS(TF_Timer,TF_Tekniker,AY$4,TF_Dato,$A376))*2,0)/2)))</f>
        <v/>
      </c>
      <c r="AZ376">
        <f>IF(OR(AZ$4="",$A376&gt;TODAY()),0,IF(OR(INDEX($B376:$D376,AZ$5)="F",AND(AZ$6&gt;0,$A376&lt;AZ$6),AND(AZ$7&gt;0,$A376&gt;AZ$7)),0,MAX(0,ROUND((INDEX($E376:$G376,AZ$5)-SUMIFS(TF_Timer,TF_Tekniker,AZ$4,TF_Dato,$A376))*2,0)/2)))</f>
        <v/>
      </c>
      <c r="BA376">
        <f>IF(OR(BA$4="",$A376&gt;TODAY()),0,IF(OR(INDEX($B376:$D376,BA$5)="F",AND(BA$6&gt;0,$A376&lt;BA$6),AND(BA$7&gt;0,$A376&gt;BA$7)),0,MAX(0,ROUND((INDEX($E376:$G376,BA$5)-SUMIFS(TF_Timer,TF_Tekniker,BA$4,TF_Dato,$A376))*2,0)/2)))</f>
        <v/>
      </c>
      <c r="BB376">
        <f>IF(OR(BB$4="",$A376&gt;TODAY()),0,IF(OR(INDEX($B376:$D376,BB$5)="F",AND(BB$6&gt;0,$A376&lt;BB$6),AND(BB$7&gt;0,$A376&gt;BB$7)),0,MAX(0,ROUND((INDEX($E376:$G376,BB$5)-SUMIFS(TF_Timer,TF_Tekniker,BB$4,TF_Dato,$A376))*2,0)/2)))</f>
        <v/>
      </c>
      <c r="BC376">
        <f>IF(OR(BC$4="",$A376&gt;TODAY()),0,IF(OR(INDEX($B376:$D376,BC$5)="F",AND(BC$6&gt;0,$A376&lt;BC$6),AND(BC$7&gt;0,$A376&gt;BC$7)),0,MAX(0,ROUND((INDEX($E376:$G376,BC$5)-SUMIFS(TF_Timer,TF_Tekniker,BC$4,TF_Dato,$A376))*2,0)/2)))</f>
        <v/>
      </c>
      <c r="BD376">
        <f>IF(OR(BD$4="",$A376&gt;TODAY()),0,IF(OR(INDEX($B376:$D376,BD$5)="F",AND(BD$6&gt;0,$A376&lt;BD$6),AND(BD$7&gt;0,$A376&gt;BD$7)),0,MAX(0,ROUND((INDEX($E376:$G376,BD$5)-SUMIFS(TF_Timer,TF_Tekniker,BD$4,TF_Dato,$A376))*2,0)/2)))</f>
        <v/>
      </c>
      <c r="BE376">
        <f>IF(OR(BE$4="",$A376&gt;TODAY()),0,IF(OR(INDEX($B376:$D376,BE$5)="F",AND(BE$6&gt;0,$A376&lt;BE$6),AND(BE$7&gt;0,$A376&gt;BE$7)),0,MAX(0,ROUND((INDEX($E376:$G376,BE$5)-SUMIFS(TF_Timer,TF_Tekniker,BE$4,TF_Dato,$A376))*2,0)/2)))</f>
        <v/>
      </c>
      <c r="BF376">
        <f>IF(OR(BF$4="",$A376&gt;TODAY()),0,IF(OR(INDEX($B376:$D376,BF$5)="F",AND(BF$6&gt;0,$A376&lt;BF$6),AND(BF$7&gt;0,$A376&gt;BF$7)),0,MAX(0,ROUND((INDEX($E376:$G376,BF$5)-SUMIFS(TF_Timer,TF_Tekniker,BF$4,TF_Dato,$A376))*2,0)/2)))</f>
        <v/>
      </c>
      <c r="BG376">
        <f>IF(OR(BG$4="",$A376&gt;TODAY()),0,IF(OR(INDEX($B376:$D376,BG$5)="F",AND(BG$6&gt;0,$A376&lt;BG$6),AND(BG$7&gt;0,$A376&gt;BG$7)),0,MAX(0,ROUND((INDEX($E376:$G376,BG$5)-SUMIFS(TF_Timer,TF_Tekniker,BG$4,TF_Dato,$A376))*2,0)/2)))</f>
        <v/>
      </c>
      <c r="BH376">
        <f>IF(OR(BH$4="",$A376&gt;TODAY()),0,IF(OR(INDEX($B376:$D376,BH$5)="F",AND(BH$6&gt;0,$A376&lt;BH$6),AND(BH$7&gt;0,$A376&gt;BH$7)),0,MAX(0,ROUND((INDEX($E376:$G376,BH$5)-SUMIFS(TF_Timer,TF_Tekniker,BH$4,TF_Dato,$A376))*2,0)/2)))</f>
        <v/>
      </c>
      <c r="BI376">
        <f>IF(OR(BI$4="",$A376&gt;TODAY()),0,IF(OR(INDEX($B376:$D376,BI$5)="F",AND(BI$6&gt;0,$A376&lt;BI$6),AND(BI$7&gt;0,$A376&gt;BI$7)),0,MAX(0,ROUND((INDEX($E376:$G376,BI$5)-SUMIFS(TF_Timer,TF_Tekniker,BI$4,TF_Dato,$A376))*2,0)/2)))</f>
        <v/>
      </c>
    </row>
    <row r="377">
      <c r="A377" s="64">
        <f>A376+1</f>
        <v/>
      </c>
      <c r="B377">
        <f>IF(MOD($A377-INDEX(SkiftStart,1),Syklus)&lt;DagK,"K",IF(MOD($A377-INDEX(SkiftStart,1),Syklus)&lt;DagK+DagH,"H",IF(MOD($A377-INDEX(SkiftStart,1),Syklus)&lt;DagK+DagH+DagD,"D","F")))</f>
        <v/>
      </c>
      <c r="C377">
        <f>IF(MOD($A377-INDEX(SkiftStart,2),Syklus)&lt;DagK,"K",IF(MOD($A377-INDEX(SkiftStart,2),Syklus)&lt;DagK+DagH,"H",IF(MOD($A377-INDEX(SkiftStart,2),Syklus)&lt;DagK+DagH+DagD,"D","F")))</f>
        <v/>
      </c>
      <c r="D377">
        <f>IF(MOD($A377-INDEX(SkiftStart,3),Syklus)&lt;DagK,"K",IF(MOD($A377-INDEX(SkiftStart,3),Syklus)&lt;DagK+DagH,"H",IF(MOD($A377-INDEX(SkiftStart,3),Syklus)&lt;DagK+DagH+DagD,"D","F")))</f>
        <v/>
      </c>
      <c r="E377">
        <f>IF(B377="F",0,IF(WEEKDAY($A377,2)=5,INDEX(TimerFr,MATCH(B377,FaseKode,0)),INDEX(TimerMT,MATCH(B377,FaseKode,0))))</f>
        <v/>
      </c>
      <c r="F377">
        <f>IF(C377="F",0,IF(WEEKDAY($A377,2)=5,INDEX(TimerFr,MATCH(C377,FaseKode,0)),INDEX(TimerMT,MATCH(C377,FaseKode,0))))</f>
        <v/>
      </c>
      <c r="G377">
        <f>IF(D377="F",0,IF(WEEKDAY($A377,2)=5,INDEX(TimerFr,MATCH(D377,FaseKode,0)),INDEX(TimerMT,MATCH(D377,FaseKode,0))))</f>
        <v/>
      </c>
      <c r="H377">
        <f>IF(OR(H$4="",$A377&gt;TODAY()),0,IF(OR(INDEX($B377:$D377,H$5)="F",AND(H$6&gt;0,$A377&lt;H$6),AND(H$7&gt;0,$A377&gt;H$7)),0,MAX(0,ROUND((INDEX($E377:$G377,H$5)-SUMIFS(TF_Timer,TF_Tekniker,H$4,TF_Dato,$A377))*2,0)/2)))</f>
        <v/>
      </c>
      <c r="I377">
        <f>IF(OR(I$4="",$A377&gt;TODAY()),0,IF(OR(INDEX($B377:$D377,I$5)="F",AND(I$6&gt;0,$A377&lt;I$6),AND(I$7&gt;0,$A377&gt;I$7)),0,MAX(0,ROUND((INDEX($E377:$G377,I$5)-SUMIFS(TF_Timer,TF_Tekniker,I$4,TF_Dato,$A377))*2,0)/2)))</f>
        <v/>
      </c>
      <c r="J377">
        <f>IF(OR(J$4="",$A377&gt;TODAY()),0,IF(OR(INDEX($B377:$D377,J$5)="F",AND(J$6&gt;0,$A377&lt;J$6),AND(J$7&gt;0,$A377&gt;J$7)),0,MAX(0,ROUND((INDEX($E377:$G377,J$5)-SUMIFS(TF_Timer,TF_Tekniker,J$4,TF_Dato,$A377))*2,0)/2)))</f>
        <v/>
      </c>
      <c r="K377">
        <f>IF(OR(K$4="",$A377&gt;TODAY()),0,IF(OR(INDEX($B377:$D377,K$5)="F",AND(K$6&gt;0,$A377&lt;K$6),AND(K$7&gt;0,$A377&gt;K$7)),0,MAX(0,ROUND((INDEX($E377:$G377,K$5)-SUMIFS(TF_Timer,TF_Tekniker,K$4,TF_Dato,$A377))*2,0)/2)))</f>
        <v/>
      </c>
      <c r="L377">
        <f>IF(OR(L$4="",$A377&gt;TODAY()),0,IF(OR(INDEX($B377:$D377,L$5)="F",AND(L$6&gt;0,$A377&lt;L$6),AND(L$7&gt;0,$A377&gt;L$7)),0,MAX(0,ROUND((INDEX($E377:$G377,L$5)-SUMIFS(TF_Timer,TF_Tekniker,L$4,TF_Dato,$A377))*2,0)/2)))</f>
        <v/>
      </c>
      <c r="M377">
        <f>IF(OR(M$4="",$A377&gt;TODAY()),0,IF(OR(INDEX($B377:$D377,M$5)="F",AND(M$6&gt;0,$A377&lt;M$6),AND(M$7&gt;0,$A377&gt;M$7)),0,MAX(0,ROUND((INDEX($E377:$G377,M$5)-SUMIFS(TF_Timer,TF_Tekniker,M$4,TF_Dato,$A377))*2,0)/2)))</f>
        <v/>
      </c>
      <c r="N377">
        <f>IF(OR(N$4="",$A377&gt;TODAY()),0,IF(OR(INDEX($B377:$D377,N$5)="F",AND(N$6&gt;0,$A377&lt;N$6),AND(N$7&gt;0,$A377&gt;N$7)),0,MAX(0,ROUND((INDEX($E377:$G377,N$5)-SUMIFS(TF_Timer,TF_Tekniker,N$4,TF_Dato,$A377))*2,0)/2)))</f>
        <v/>
      </c>
      <c r="O377">
        <f>IF(OR(O$4="",$A377&gt;TODAY()),0,IF(OR(INDEX($B377:$D377,O$5)="F",AND(O$6&gt;0,$A377&lt;O$6),AND(O$7&gt;0,$A377&gt;O$7)),0,MAX(0,ROUND((INDEX($E377:$G377,O$5)-SUMIFS(TF_Timer,TF_Tekniker,O$4,TF_Dato,$A377))*2,0)/2)))</f>
        <v/>
      </c>
      <c r="P377">
        <f>IF(OR(P$4="",$A377&gt;TODAY()),0,IF(OR(INDEX($B377:$D377,P$5)="F",AND(P$6&gt;0,$A377&lt;P$6),AND(P$7&gt;0,$A377&gt;P$7)),0,MAX(0,ROUND((INDEX($E377:$G377,P$5)-SUMIFS(TF_Timer,TF_Tekniker,P$4,TF_Dato,$A377))*2,0)/2)))</f>
        <v/>
      </c>
      <c r="Q377">
        <f>IF(OR(Q$4="",$A377&gt;TODAY()),0,IF(OR(INDEX($B377:$D377,Q$5)="F",AND(Q$6&gt;0,$A377&lt;Q$6),AND(Q$7&gt;0,$A377&gt;Q$7)),0,MAX(0,ROUND((INDEX($E377:$G377,Q$5)-SUMIFS(TF_Timer,TF_Tekniker,Q$4,TF_Dato,$A377))*2,0)/2)))</f>
        <v/>
      </c>
      <c r="R377">
        <f>IF(OR(R$4="",$A377&gt;TODAY()),0,IF(OR(INDEX($B377:$D377,R$5)="F",AND(R$6&gt;0,$A377&lt;R$6),AND(R$7&gt;0,$A377&gt;R$7)),0,MAX(0,ROUND((INDEX($E377:$G377,R$5)-SUMIFS(TF_Timer,TF_Tekniker,R$4,TF_Dato,$A377))*2,0)/2)))</f>
        <v/>
      </c>
      <c r="S377">
        <f>IF(OR(S$4="",$A377&gt;TODAY()),0,IF(OR(INDEX($B377:$D377,S$5)="F",AND(S$6&gt;0,$A377&lt;S$6),AND(S$7&gt;0,$A377&gt;S$7)),0,MAX(0,ROUND((INDEX($E377:$G377,S$5)-SUMIFS(TF_Timer,TF_Tekniker,S$4,TF_Dato,$A377))*2,0)/2)))</f>
        <v/>
      </c>
      <c r="T377">
        <f>IF(OR(T$4="",$A377&gt;TODAY()),0,IF(OR(INDEX($B377:$D377,T$5)="F",AND(T$6&gt;0,$A377&lt;T$6),AND(T$7&gt;0,$A377&gt;T$7)),0,MAX(0,ROUND((INDEX($E377:$G377,T$5)-SUMIFS(TF_Timer,TF_Tekniker,T$4,TF_Dato,$A377))*2,0)/2)))</f>
        <v/>
      </c>
      <c r="U377">
        <f>IF(OR(U$4="",$A377&gt;TODAY()),0,IF(OR(INDEX($B377:$D377,U$5)="F",AND(U$6&gt;0,$A377&lt;U$6),AND(U$7&gt;0,$A377&gt;U$7)),0,MAX(0,ROUND((INDEX($E377:$G377,U$5)-SUMIFS(TF_Timer,TF_Tekniker,U$4,TF_Dato,$A377))*2,0)/2)))</f>
        <v/>
      </c>
      <c r="V377">
        <f>IF(OR(V$4="",$A377&gt;TODAY()),0,IF(OR(INDEX($B377:$D377,V$5)="F",AND(V$6&gt;0,$A377&lt;V$6),AND(V$7&gt;0,$A377&gt;V$7)),0,MAX(0,ROUND((INDEX($E377:$G377,V$5)-SUMIFS(TF_Timer,TF_Tekniker,V$4,TF_Dato,$A377))*2,0)/2)))</f>
        <v/>
      </c>
      <c r="W377">
        <f>IF(OR(W$4="",$A377&gt;TODAY()),0,IF(OR(INDEX($B377:$D377,W$5)="F",AND(W$6&gt;0,$A377&lt;W$6),AND(W$7&gt;0,$A377&gt;W$7)),0,MAX(0,ROUND((INDEX($E377:$G377,W$5)-SUMIFS(TF_Timer,TF_Tekniker,W$4,TF_Dato,$A377))*2,0)/2)))</f>
        <v/>
      </c>
      <c r="X377">
        <f>IF(OR(X$4="",$A377&gt;TODAY()),0,IF(OR(INDEX($B377:$D377,X$5)="F",AND(X$6&gt;0,$A377&lt;X$6),AND(X$7&gt;0,$A377&gt;X$7)),0,MAX(0,ROUND((INDEX($E377:$G377,X$5)-SUMIFS(TF_Timer,TF_Tekniker,X$4,TF_Dato,$A377))*2,0)/2)))</f>
        <v/>
      </c>
      <c r="Y377">
        <f>IF(OR(Y$4="",$A377&gt;TODAY()),0,IF(OR(INDEX($B377:$D377,Y$5)="F",AND(Y$6&gt;0,$A377&lt;Y$6),AND(Y$7&gt;0,$A377&gt;Y$7)),0,MAX(0,ROUND((INDEX($E377:$G377,Y$5)-SUMIFS(TF_Timer,TF_Tekniker,Y$4,TF_Dato,$A377))*2,0)/2)))</f>
        <v/>
      </c>
      <c r="Z377">
        <f>IF(OR(Z$4="",$A377&gt;TODAY()),0,IF(OR(INDEX($B377:$D377,Z$5)="F",AND(Z$6&gt;0,$A377&lt;Z$6),AND(Z$7&gt;0,$A377&gt;Z$7)),0,MAX(0,ROUND((INDEX($E377:$G377,Z$5)-SUMIFS(TF_Timer,TF_Tekniker,Z$4,TF_Dato,$A377))*2,0)/2)))</f>
        <v/>
      </c>
      <c r="AA377">
        <f>IF(OR(AA$4="",$A377&gt;TODAY()),0,IF(OR(INDEX($B377:$D377,AA$5)="F",AND(AA$6&gt;0,$A377&lt;AA$6),AND(AA$7&gt;0,$A377&gt;AA$7)),0,MAX(0,ROUND((INDEX($E377:$G377,AA$5)-SUMIFS(TF_Timer,TF_Tekniker,AA$4,TF_Dato,$A377))*2,0)/2)))</f>
        <v/>
      </c>
      <c r="AB377">
        <f>IF(OR(AB$4="",$A377&gt;TODAY()),0,IF(OR(INDEX($B377:$D377,AB$5)="F",AND(AB$6&gt;0,$A377&lt;AB$6),AND(AB$7&gt;0,$A377&gt;AB$7)),0,MAX(0,ROUND((INDEX($E377:$G377,AB$5)-SUMIFS(TF_Timer,TF_Tekniker,AB$4,TF_Dato,$A377))*2,0)/2)))</f>
        <v/>
      </c>
      <c r="AC377">
        <f>IF(OR(AC$4="",$A377&gt;TODAY()),0,IF(OR(INDEX($B377:$D377,AC$5)="F",AND(AC$6&gt;0,$A377&lt;AC$6),AND(AC$7&gt;0,$A377&gt;AC$7)),0,MAX(0,ROUND((INDEX($E377:$G377,AC$5)-SUMIFS(TF_Timer,TF_Tekniker,AC$4,TF_Dato,$A377))*2,0)/2)))</f>
        <v/>
      </c>
      <c r="AD377">
        <f>IF(OR(AD$4="",$A377&gt;TODAY()),0,IF(OR(INDEX($B377:$D377,AD$5)="F",AND(AD$6&gt;0,$A377&lt;AD$6),AND(AD$7&gt;0,$A377&gt;AD$7)),0,MAX(0,ROUND((INDEX($E377:$G377,AD$5)-SUMIFS(TF_Timer,TF_Tekniker,AD$4,TF_Dato,$A377))*2,0)/2)))</f>
        <v/>
      </c>
      <c r="AE377">
        <f>IF(OR(AE$4="",$A377&gt;TODAY()),0,IF(OR(INDEX($B377:$D377,AE$5)="F",AND(AE$6&gt;0,$A377&lt;AE$6),AND(AE$7&gt;0,$A377&gt;AE$7)),0,MAX(0,ROUND((INDEX($E377:$G377,AE$5)-SUMIFS(TF_Timer,TF_Tekniker,AE$4,TF_Dato,$A377))*2,0)/2)))</f>
        <v/>
      </c>
      <c r="AF377">
        <f>IF(OR(AF$4="",$A377&gt;TODAY()),0,IF(OR(INDEX($B377:$D377,AF$5)="F",AND(AF$6&gt;0,$A377&lt;AF$6),AND(AF$7&gt;0,$A377&gt;AF$7)),0,MAX(0,ROUND((INDEX($E377:$G377,AF$5)-SUMIFS(TF_Timer,TF_Tekniker,AF$4,TF_Dato,$A377))*2,0)/2)))</f>
        <v/>
      </c>
      <c r="AG377">
        <f>IF(OR(AG$4="",$A377&gt;TODAY()),0,IF(OR(INDEX($B377:$D377,AG$5)="F",AND(AG$6&gt;0,$A377&lt;AG$6),AND(AG$7&gt;0,$A377&gt;AG$7)),0,MAX(0,ROUND((INDEX($E377:$G377,AG$5)-SUMIFS(TF_Timer,TF_Tekniker,AG$4,TF_Dato,$A377))*2,0)/2)))</f>
        <v/>
      </c>
      <c r="AH377">
        <f>IF(OR(AH$4="",$A377&gt;TODAY()),0,IF(OR(INDEX($B377:$D377,AH$5)="F",AND(AH$6&gt;0,$A377&lt;AH$6),AND(AH$7&gt;0,$A377&gt;AH$7)),0,MAX(0,ROUND((INDEX($E377:$G377,AH$5)-SUMIFS(TF_Timer,TF_Tekniker,AH$4,TF_Dato,$A377))*2,0)/2)))</f>
        <v/>
      </c>
      <c r="AI377">
        <f>IF(OR(AI$4="",$A377&gt;TODAY()),0,IF(OR(INDEX($B377:$D377,AI$5)="F",AND(AI$6&gt;0,$A377&lt;AI$6),AND(AI$7&gt;0,$A377&gt;AI$7)),0,MAX(0,ROUND((INDEX($E377:$G377,AI$5)-SUMIFS(TF_Timer,TF_Tekniker,AI$4,TF_Dato,$A377))*2,0)/2)))</f>
        <v/>
      </c>
      <c r="AJ377">
        <f>IF(OR(AJ$4="",$A377&gt;TODAY()),0,IF(OR(INDEX($B377:$D377,AJ$5)="F",AND(AJ$6&gt;0,$A377&lt;AJ$6),AND(AJ$7&gt;0,$A377&gt;AJ$7)),0,MAX(0,ROUND((INDEX($E377:$G377,AJ$5)-SUMIFS(TF_Timer,TF_Tekniker,AJ$4,TF_Dato,$A377))*2,0)/2)))</f>
        <v/>
      </c>
      <c r="AK377">
        <f>IF(OR(AK$4="",$A377&gt;TODAY()),0,IF(OR(INDEX($B377:$D377,AK$5)="F",AND(AK$6&gt;0,$A377&lt;AK$6),AND(AK$7&gt;0,$A377&gt;AK$7)),0,MAX(0,ROUND((INDEX($E377:$G377,AK$5)-SUMIFS(TF_Timer,TF_Tekniker,AK$4,TF_Dato,$A377))*2,0)/2)))</f>
        <v/>
      </c>
      <c r="AL377">
        <f>IF(OR(AL$4="",$A377&gt;TODAY()),0,IF(OR(INDEX($B377:$D377,AL$5)="F",AND(AL$6&gt;0,$A377&lt;AL$6),AND(AL$7&gt;0,$A377&gt;AL$7)),0,MAX(0,ROUND((INDEX($E377:$G377,AL$5)-SUMIFS(TF_Timer,TF_Tekniker,AL$4,TF_Dato,$A377))*2,0)/2)))</f>
        <v/>
      </c>
      <c r="AM377">
        <f>IF(OR(AM$4="",$A377&gt;TODAY()),0,IF(OR(INDEX($B377:$D377,AM$5)="F",AND(AM$6&gt;0,$A377&lt;AM$6),AND(AM$7&gt;0,$A377&gt;AM$7)),0,MAX(0,ROUND((INDEX($E377:$G377,AM$5)-SUMIFS(TF_Timer,TF_Tekniker,AM$4,TF_Dato,$A377))*2,0)/2)))</f>
        <v/>
      </c>
      <c r="AN377">
        <f>IF(OR(AN$4="",$A377&gt;TODAY()),0,IF(OR(INDEX($B377:$D377,AN$5)="F",AND(AN$6&gt;0,$A377&lt;AN$6),AND(AN$7&gt;0,$A377&gt;AN$7)),0,MAX(0,ROUND((INDEX($E377:$G377,AN$5)-SUMIFS(TF_Timer,TF_Tekniker,AN$4,TF_Dato,$A377))*2,0)/2)))</f>
        <v/>
      </c>
      <c r="AO377">
        <f>IF(OR(AO$4="",$A377&gt;TODAY()),0,IF(OR(INDEX($B377:$D377,AO$5)="F",AND(AO$6&gt;0,$A377&lt;AO$6),AND(AO$7&gt;0,$A377&gt;AO$7)),0,MAX(0,ROUND((INDEX($E377:$G377,AO$5)-SUMIFS(TF_Timer,TF_Tekniker,AO$4,TF_Dato,$A377))*2,0)/2)))</f>
        <v/>
      </c>
      <c r="AP377">
        <f>IF(OR(AP$4="",$A377&gt;TODAY()),0,IF(OR(INDEX($B377:$D377,AP$5)="F",AND(AP$6&gt;0,$A377&lt;AP$6),AND(AP$7&gt;0,$A377&gt;AP$7)),0,MAX(0,ROUND((INDEX($E377:$G377,AP$5)-SUMIFS(TF_Timer,TF_Tekniker,AP$4,TF_Dato,$A377))*2,0)/2)))</f>
        <v/>
      </c>
      <c r="AQ377">
        <f>IF(OR(AQ$4="",$A377&gt;TODAY()),0,IF(OR(INDEX($B377:$D377,AQ$5)="F",AND(AQ$6&gt;0,$A377&lt;AQ$6),AND(AQ$7&gt;0,$A377&gt;AQ$7)),0,MAX(0,ROUND((INDEX($E377:$G377,AQ$5)-SUMIFS(TF_Timer,TF_Tekniker,AQ$4,TF_Dato,$A377))*2,0)/2)))</f>
        <v/>
      </c>
      <c r="AR377">
        <f>IF(OR(AR$4="",$A377&gt;TODAY()),0,IF(OR(INDEX($B377:$D377,AR$5)="F",AND(AR$6&gt;0,$A377&lt;AR$6),AND(AR$7&gt;0,$A377&gt;AR$7)),0,MAX(0,ROUND((INDEX($E377:$G377,AR$5)-SUMIFS(TF_Timer,TF_Tekniker,AR$4,TF_Dato,$A377))*2,0)/2)))</f>
        <v/>
      </c>
      <c r="AS377">
        <f>IF(OR(AS$4="",$A377&gt;TODAY()),0,IF(OR(INDEX($B377:$D377,AS$5)="F",AND(AS$6&gt;0,$A377&lt;AS$6),AND(AS$7&gt;0,$A377&gt;AS$7)),0,MAX(0,ROUND((INDEX($E377:$G377,AS$5)-SUMIFS(TF_Timer,TF_Tekniker,AS$4,TF_Dato,$A377))*2,0)/2)))</f>
        <v/>
      </c>
      <c r="AT377">
        <f>IF(OR(AT$4="",$A377&gt;TODAY()),0,IF(OR(INDEX($B377:$D377,AT$5)="F",AND(AT$6&gt;0,$A377&lt;AT$6),AND(AT$7&gt;0,$A377&gt;AT$7)),0,MAX(0,ROUND((INDEX($E377:$G377,AT$5)-SUMIFS(TF_Timer,TF_Tekniker,AT$4,TF_Dato,$A377))*2,0)/2)))</f>
        <v/>
      </c>
      <c r="AU377">
        <f>IF(OR(AU$4="",$A377&gt;TODAY()),0,IF(OR(INDEX($B377:$D377,AU$5)="F",AND(AU$6&gt;0,$A377&lt;AU$6),AND(AU$7&gt;0,$A377&gt;AU$7)),0,MAX(0,ROUND((INDEX($E377:$G377,AU$5)-SUMIFS(TF_Timer,TF_Tekniker,AU$4,TF_Dato,$A377))*2,0)/2)))</f>
        <v/>
      </c>
      <c r="AV377">
        <f>IF(OR(AV$4="",$A377&gt;TODAY()),0,IF(OR(INDEX($B377:$D377,AV$5)="F",AND(AV$6&gt;0,$A377&lt;AV$6),AND(AV$7&gt;0,$A377&gt;AV$7)),0,MAX(0,ROUND((INDEX($E377:$G377,AV$5)-SUMIFS(TF_Timer,TF_Tekniker,AV$4,TF_Dato,$A377))*2,0)/2)))</f>
        <v/>
      </c>
      <c r="AW377">
        <f>IF(OR(AW$4="",$A377&gt;TODAY()),0,IF(OR(INDEX($B377:$D377,AW$5)="F",AND(AW$6&gt;0,$A377&lt;AW$6),AND(AW$7&gt;0,$A377&gt;AW$7)),0,MAX(0,ROUND((INDEX($E377:$G377,AW$5)-SUMIFS(TF_Timer,TF_Tekniker,AW$4,TF_Dato,$A377))*2,0)/2)))</f>
        <v/>
      </c>
      <c r="AX377">
        <f>IF(OR(AX$4="",$A377&gt;TODAY()),0,IF(OR(INDEX($B377:$D377,AX$5)="F",AND(AX$6&gt;0,$A377&lt;AX$6),AND(AX$7&gt;0,$A377&gt;AX$7)),0,MAX(0,ROUND((INDEX($E377:$G377,AX$5)-SUMIFS(TF_Timer,TF_Tekniker,AX$4,TF_Dato,$A377))*2,0)/2)))</f>
        <v/>
      </c>
      <c r="AY377">
        <f>IF(OR(AY$4="",$A377&gt;TODAY()),0,IF(OR(INDEX($B377:$D377,AY$5)="F",AND(AY$6&gt;0,$A377&lt;AY$6),AND(AY$7&gt;0,$A377&gt;AY$7)),0,MAX(0,ROUND((INDEX($E377:$G377,AY$5)-SUMIFS(TF_Timer,TF_Tekniker,AY$4,TF_Dato,$A377))*2,0)/2)))</f>
        <v/>
      </c>
      <c r="AZ377">
        <f>IF(OR(AZ$4="",$A377&gt;TODAY()),0,IF(OR(INDEX($B377:$D377,AZ$5)="F",AND(AZ$6&gt;0,$A377&lt;AZ$6),AND(AZ$7&gt;0,$A377&gt;AZ$7)),0,MAX(0,ROUND((INDEX($E377:$G377,AZ$5)-SUMIFS(TF_Timer,TF_Tekniker,AZ$4,TF_Dato,$A377))*2,0)/2)))</f>
        <v/>
      </c>
      <c r="BA377">
        <f>IF(OR(BA$4="",$A377&gt;TODAY()),0,IF(OR(INDEX($B377:$D377,BA$5)="F",AND(BA$6&gt;0,$A377&lt;BA$6),AND(BA$7&gt;0,$A377&gt;BA$7)),0,MAX(0,ROUND((INDEX($E377:$G377,BA$5)-SUMIFS(TF_Timer,TF_Tekniker,BA$4,TF_Dato,$A377))*2,0)/2)))</f>
        <v/>
      </c>
      <c r="BB377">
        <f>IF(OR(BB$4="",$A377&gt;TODAY()),0,IF(OR(INDEX($B377:$D377,BB$5)="F",AND(BB$6&gt;0,$A377&lt;BB$6),AND(BB$7&gt;0,$A377&gt;BB$7)),0,MAX(0,ROUND((INDEX($E377:$G377,BB$5)-SUMIFS(TF_Timer,TF_Tekniker,BB$4,TF_Dato,$A377))*2,0)/2)))</f>
        <v/>
      </c>
      <c r="BC377">
        <f>IF(OR(BC$4="",$A377&gt;TODAY()),0,IF(OR(INDEX($B377:$D377,BC$5)="F",AND(BC$6&gt;0,$A377&lt;BC$6),AND(BC$7&gt;0,$A377&gt;BC$7)),0,MAX(0,ROUND((INDEX($E377:$G377,BC$5)-SUMIFS(TF_Timer,TF_Tekniker,BC$4,TF_Dato,$A377))*2,0)/2)))</f>
        <v/>
      </c>
      <c r="BD377">
        <f>IF(OR(BD$4="",$A377&gt;TODAY()),0,IF(OR(INDEX($B377:$D377,BD$5)="F",AND(BD$6&gt;0,$A377&lt;BD$6),AND(BD$7&gt;0,$A377&gt;BD$7)),0,MAX(0,ROUND((INDEX($E377:$G377,BD$5)-SUMIFS(TF_Timer,TF_Tekniker,BD$4,TF_Dato,$A377))*2,0)/2)))</f>
        <v/>
      </c>
      <c r="BE377">
        <f>IF(OR(BE$4="",$A377&gt;TODAY()),0,IF(OR(INDEX($B377:$D377,BE$5)="F",AND(BE$6&gt;0,$A377&lt;BE$6),AND(BE$7&gt;0,$A377&gt;BE$7)),0,MAX(0,ROUND((INDEX($E377:$G377,BE$5)-SUMIFS(TF_Timer,TF_Tekniker,BE$4,TF_Dato,$A377))*2,0)/2)))</f>
        <v/>
      </c>
      <c r="BF377">
        <f>IF(OR(BF$4="",$A377&gt;TODAY()),0,IF(OR(INDEX($B377:$D377,BF$5)="F",AND(BF$6&gt;0,$A377&lt;BF$6),AND(BF$7&gt;0,$A377&gt;BF$7)),0,MAX(0,ROUND((INDEX($E377:$G377,BF$5)-SUMIFS(TF_Timer,TF_Tekniker,BF$4,TF_Dato,$A377))*2,0)/2)))</f>
        <v/>
      </c>
      <c r="BG377">
        <f>IF(OR(BG$4="",$A377&gt;TODAY()),0,IF(OR(INDEX($B377:$D377,BG$5)="F",AND(BG$6&gt;0,$A377&lt;BG$6),AND(BG$7&gt;0,$A377&gt;BG$7)),0,MAX(0,ROUND((INDEX($E377:$G377,BG$5)-SUMIFS(TF_Timer,TF_Tekniker,BG$4,TF_Dato,$A377))*2,0)/2)))</f>
        <v/>
      </c>
      <c r="BH377">
        <f>IF(OR(BH$4="",$A377&gt;TODAY()),0,IF(OR(INDEX($B377:$D377,BH$5)="F",AND(BH$6&gt;0,$A377&lt;BH$6),AND(BH$7&gt;0,$A377&gt;BH$7)),0,MAX(0,ROUND((INDEX($E377:$G377,BH$5)-SUMIFS(TF_Timer,TF_Tekniker,BH$4,TF_Dato,$A377))*2,0)/2)))</f>
        <v/>
      </c>
      <c r="BI377">
        <f>IF(OR(BI$4="",$A377&gt;TODAY()),0,IF(OR(INDEX($B377:$D377,BI$5)="F",AND(BI$6&gt;0,$A377&lt;BI$6),AND(BI$7&gt;0,$A377&gt;BI$7)),0,MAX(0,ROUND((INDEX($E377:$G377,BI$5)-SUMIFS(TF_Timer,TF_Tekniker,BI$4,TF_Dato,$A377))*2,0)/2)))</f>
        <v/>
      </c>
    </row>
    <row r="378">
      <c r="A378" s="64">
        <f>A377+1</f>
        <v/>
      </c>
      <c r="B378">
        <f>IF(MOD($A378-INDEX(SkiftStart,1),Syklus)&lt;DagK,"K",IF(MOD($A378-INDEX(SkiftStart,1),Syklus)&lt;DagK+DagH,"H",IF(MOD($A378-INDEX(SkiftStart,1),Syklus)&lt;DagK+DagH+DagD,"D","F")))</f>
        <v/>
      </c>
      <c r="C378">
        <f>IF(MOD($A378-INDEX(SkiftStart,2),Syklus)&lt;DagK,"K",IF(MOD($A378-INDEX(SkiftStart,2),Syklus)&lt;DagK+DagH,"H",IF(MOD($A378-INDEX(SkiftStart,2),Syklus)&lt;DagK+DagH+DagD,"D","F")))</f>
        <v/>
      </c>
      <c r="D378">
        <f>IF(MOD($A378-INDEX(SkiftStart,3),Syklus)&lt;DagK,"K",IF(MOD($A378-INDEX(SkiftStart,3),Syklus)&lt;DagK+DagH,"H",IF(MOD($A378-INDEX(SkiftStart,3),Syklus)&lt;DagK+DagH+DagD,"D","F")))</f>
        <v/>
      </c>
      <c r="E378">
        <f>IF(B378="F",0,IF(WEEKDAY($A378,2)=5,INDEX(TimerFr,MATCH(B378,FaseKode,0)),INDEX(TimerMT,MATCH(B378,FaseKode,0))))</f>
        <v/>
      </c>
      <c r="F378">
        <f>IF(C378="F",0,IF(WEEKDAY($A378,2)=5,INDEX(TimerFr,MATCH(C378,FaseKode,0)),INDEX(TimerMT,MATCH(C378,FaseKode,0))))</f>
        <v/>
      </c>
      <c r="G378">
        <f>IF(D378="F",0,IF(WEEKDAY($A378,2)=5,INDEX(TimerFr,MATCH(D378,FaseKode,0)),INDEX(TimerMT,MATCH(D378,FaseKode,0))))</f>
        <v/>
      </c>
      <c r="H378">
        <f>IF(OR(H$4="",$A378&gt;TODAY()),0,IF(OR(INDEX($B378:$D378,H$5)="F",AND(H$6&gt;0,$A378&lt;H$6),AND(H$7&gt;0,$A378&gt;H$7)),0,MAX(0,ROUND((INDEX($E378:$G378,H$5)-SUMIFS(TF_Timer,TF_Tekniker,H$4,TF_Dato,$A378))*2,0)/2)))</f>
        <v/>
      </c>
      <c r="I378">
        <f>IF(OR(I$4="",$A378&gt;TODAY()),0,IF(OR(INDEX($B378:$D378,I$5)="F",AND(I$6&gt;0,$A378&lt;I$6),AND(I$7&gt;0,$A378&gt;I$7)),0,MAX(0,ROUND((INDEX($E378:$G378,I$5)-SUMIFS(TF_Timer,TF_Tekniker,I$4,TF_Dato,$A378))*2,0)/2)))</f>
        <v/>
      </c>
      <c r="J378">
        <f>IF(OR(J$4="",$A378&gt;TODAY()),0,IF(OR(INDEX($B378:$D378,J$5)="F",AND(J$6&gt;0,$A378&lt;J$6),AND(J$7&gt;0,$A378&gt;J$7)),0,MAX(0,ROUND((INDEX($E378:$G378,J$5)-SUMIFS(TF_Timer,TF_Tekniker,J$4,TF_Dato,$A378))*2,0)/2)))</f>
        <v/>
      </c>
      <c r="K378">
        <f>IF(OR(K$4="",$A378&gt;TODAY()),0,IF(OR(INDEX($B378:$D378,K$5)="F",AND(K$6&gt;0,$A378&lt;K$6),AND(K$7&gt;0,$A378&gt;K$7)),0,MAX(0,ROUND((INDEX($E378:$G378,K$5)-SUMIFS(TF_Timer,TF_Tekniker,K$4,TF_Dato,$A378))*2,0)/2)))</f>
        <v/>
      </c>
      <c r="L378">
        <f>IF(OR(L$4="",$A378&gt;TODAY()),0,IF(OR(INDEX($B378:$D378,L$5)="F",AND(L$6&gt;0,$A378&lt;L$6),AND(L$7&gt;0,$A378&gt;L$7)),0,MAX(0,ROUND((INDEX($E378:$G378,L$5)-SUMIFS(TF_Timer,TF_Tekniker,L$4,TF_Dato,$A378))*2,0)/2)))</f>
        <v/>
      </c>
      <c r="M378">
        <f>IF(OR(M$4="",$A378&gt;TODAY()),0,IF(OR(INDEX($B378:$D378,M$5)="F",AND(M$6&gt;0,$A378&lt;M$6),AND(M$7&gt;0,$A378&gt;M$7)),0,MAX(0,ROUND((INDEX($E378:$G378,M$5)-SUMIFS(TF_Timer,TF_Tekniker,M$4,TF_Dato,$A378))*2,0)/2)))</f>
        <v/>
      </c>
      <c r="N378">
        <f>IF(OR(N$4="",$A378&gt;TODAY()),0,IF(OR(INDEX($B378:$D378,N$5)="F",AND(N$6&gt;0,$A378&lt;N$6),AND(N$7&gt;0,$A378&gt;N$7)),0,MAX(0,ROUND((INDEX($E378:$G378,N$5)-SUMIFS(TF_Timer,TF_Tekniker,N$4,TF_Dato,$A378))*2,0)/2)))</f>
        <v/>
      </c>
      <c r="O378">
        <f>IF(OR(O$4="",$A378&gt;TODAY()),0,IF(OR(INDEX($B378:$D378,O$5)="F",AND(O$6&gt;0,$A378&lt;O$6),AND(O$7&gt;0,$A378&gt;O$7)),0,MAX(0,ROUND((INDEX($E378:$G378,O$5)-SUMIFS(TF_Timer,TF_Tekniker,O$4,TF_Dato,$A378))*2,0)/2)))</f>
        <v/>
      </c>
      <c r="P378">
        <f>IF(OR(P$4="",$A378&gt;TODAY()),0,IF(OR(INDEX($B378:$D378,P$5)="F",AND(P$6&gt;0,$A378&lt;P$6),AND(P$7&gt;0,$A378&gt;P$7)),0,MAX(0,ROUND((INDEX($E378:$G378,P$5)-SUMIFS(TF_Timer,TF_Tekniker,P$4,TF_Dato,$A378))*2,0)/2)))</f>
        <v/>
      </c>
      <c r="Q378">
        <f>IF(OR(Q$4="",$A378&gt;TODAY()),0,IF(OR(INDEX($B378:$D378,Q$5)="F",AND(Q$6&gt;0,$A378&lt;Q$6),AND(Q$7&gt;0,$A378&gt;Q$7)),0,MAX(0,ROUND((INDEX($E378:$G378,Q$5)-SUMIFS(TF_Timer,TF_Tekniker,Q$4,TF_Dato,$A378))*2,0)/2)))</f>
        <v/>
      </c>
      <c r="R378">
        <f>IF(OR(R$4="",$A378&gt;TODAY()),0,IF(OR(INDEX($B378:$D378,R$5)="F",AND(R$6&gt;0,$A378&lt;R$6),AND(R$7&gt;0,$A378&gt;R$7)),0,MAX(0,ROUND((INDEX($E378:$G378,R$5)-SUMIFS(TF_Timer,TF_Tekniker,R$4,TF_Dato,$A378))*2,0)/2)))</f>
        <v/>
      </c>
      <c r="S378">
        <f>IF(OR(S$4="",$A378&gt;TODAY()),0,IF(OR(INDEX($B378:$D378,S$5)="F",AND(S$6&gt;0,$A378&lt;S$6),AND(S$7&gt;0,$A378&gt;S$7)),0,MAX(0,ROUND((INDEX($E378:$G378,S$5)-SUMIFS(TF_Timer,TF_Tekniker,S$4,TF_Dato,$A378))*2,0)/2)))</f>
        <v/>
      </c>
      <c r="T378">
        <f>IF(OR(T$4="",$A378&gt;TODAY()),0,IF(OR(INDEX($B378:$D378,T$5)="F",AND(T$6&gt;0,$A378&lt;T$6),AND(T$7&gt;0,$A378&gt;T$7)),0,MAX(0,ROUND((INDEX($E378:$G378,T$5)-SUMIFS(TF_Timer,TF_Tekniker,T$4,TF_Dato,$A378))*2,0)/2)))</f>
        <v/>
      </c>
      <c r="U378">
        <f>IF(OR(U$4="",$A378&gt;TODAY()),0,IF(OR(INDEX($B378:$D378,U$5)="F",AND(U$6&gt;0,$A378&lt;U$6),AND(U$7&gt;0,$A378&gt;U$7)),0,MAX(0,ROUND((INDEX($E378:$G378,U$5)-SUMIFS(TF_Timer,TF_Tekniker,U$4,TF_Dato,$A378))*2,0)/2)))</f>
        <v/>
      </c>
      <c r="V378">
        <f>IF(OR(V$4="",$A378&gt;TODAY()),0,IF(OR(INDEX($B378:$D378,V$5)="F",AND(V$6&gt;0,$A378&lt;V$6),AND(V$7&gt;0,$A378&gt;V$7)),0,MAX(0,ROUND((INDEX($E378:$G378,V$5)-SUMIFS(TF_Timer,TF_Tekniker,V$4,TF_Dato,$A378))*2,0)/2)))</f>
        <v/>
      </c>
      <c r="W378">
        <f>IF(OR(W$4="",$A378&gt;TODAY()),0,IF(OR(INDEX($B378:$D378,W$5)="F",AND(W$6&gt;0,$A378&lt;W$6),AND(W$7&gt;0,$A378&gt;W$7)),0,MAX(0,ROUND((INDEX($E378:$G378,W$5)-SUMIFS(TF_Timer,TF_Tekniker,W$4,TF_Dato,$A378))*2,0)/2)))</f>
        <v/>
      </c>
      <c r="X378">
        <f>IF(OR(X$4="",$A378&gt;TODAY()),0,IF(OR(INDEX($B378:$D378,X$5)="F",AND(X$6&gt;0,$A378&lt;X$6),AND(X$7&gt;0,$A378&gt;X$7)),0,MAX(0,ROUND((INDEX($E378:$G378,X$5)-SUMIFS(TF_Timer,TF_Tekniker,X$4,TF_Dato,$A378))*2,0)/2)))</f>
        <v/>
      </c>
      <c r="Y378">
        <f>IF(OR(Y$4="",$A378&gt;TODAY()),0,IF(OR(INDEX($B378:$D378,Y$5)="F",AND(Y$6&gt;0,$A378&lt;Y$6),AND(Y$7&gt;0,$A378&gt;Y$7)),0,MAX(0,ROUND((INDEX($E378:$G378,Y$5)-SUMIFS(TF_Timer,TF_Tekniker,Y$4,TF_Dato,$A378))*2,0)/2)))</f>
        <v/>
      </c>
      <c r="Z378">
        <f>IF(OR(Z$4="",$A378&gt;TODAY()),0,IF(OR(INDEX($B378:$D378,Z$5)="F",AND(Z$6&gt;0,$A378&lt;Z$6),AND(Z$7&gt;0,$A378&gt;Z$7)),0,MAX(0,ROUND((INDEX($E378:$G378,Z$5)-SUMIFS(TF_Timer,TF_Tekniker,Z$4,TF_Dato,$A378))*2,0)/2)))</f>
        <v/>
      </c>
      <c r="AA378">
        <f>IF(OR(AA$4="",$A378&gt;TODAY()),0,IF(OR(INDEX($B378:$D378,AA$5)="F",AND(AA$6&gt;0,$A378&lt;AA$6),AND(AA$7&gt;0,$A378&gt;AA$7)),0,MAX(0,ROUND((INDEX($E378:$G378,AA$5)-SUMIFS(TF_Timer,TF_Tekniker,AA$4,TF_Dato,$A378))*2,0)/2)))</f>
        <v/>
      </c>
      <c r="AB378">
        <f>IF(OR(AB$4="",$A378&gt;TODAY()),0,IF(OR(INDEX($B378:$D378,AB$5)="F",AND(AB$6&gt;0,$A378&lt;AB$6),AND(AB$7&gt;0,$A378&gt;AB$7)),0,MAX(0,ROUND((INDEX($E378:$G378,AB$5)-SUMIFS(TF_Timer,TF_Tekniker,AB$4,TF_Dato,$A378))*2,0)/2)))</f>
        <v/>
      </c>
      <c r="AC378">
        <f>IF(OR(AC$4="",$A378&gt;TODAY()),0,IF(OR(INDEX($B378:$D378,AC$5)="F",AND(AC$6&gt;0,$A378&lt;AC$6),AND(AC$7&gt;0,$A378&gt;AC$7)),0,MAX(0,ROUND((INDEX($E378:$G378,AC$5)-SUMIFS(TF_Timer,TF_Tekniker,AC$4,TF_Dato,$A378))*2,0)/2)))</f>
        <v/>
      </c>
      <c r="AD378">
        <f>IF(OR(AD$4="",$A378&gt;TODAY()),0,IF(OR(INDEX($B378:$D378,AD$5)="F",AND(AD$6&gt;0,$A378&lt;AD$6),AND(AD$7&gt;0,$A378&gt;AD$7)),0,MAX(0,ROUND((INDEX($E378:$G378,AD$5)-SUMIFS(TF_Timer,TF_Tekniker,AD$4,TF_Dato,$A378))*2,0)/2)))</f>
        <v/>
      </c>
      <c r="AE378">
        <f>IF(OR(AE$4="",$A378&gt;TODAY()),0,IF(OR(INDEX($B378:$D378,AE$5)="F",AND(AE$6&gt;0,$A378&lt;AE$6),AND(AE$7&gt;0,$A378&gt;AE$7)),0,MAX(0,ROUND((INDEX($E378:$G378,AE$5)-SUMIFS(TF_Timer,TF_Tekniker,AE$4,TF_Dato,$A378))*2,0)/2)))</f>
        <v/>
      </c>
      <c r="AF378">
        <f>IF(OR(AF$4="",$A378&gt;TODAY()),0,IF(OR(INDEX($B378:$D378,AF$5)="F",AND(AF$6&gt;0,$A378&lt;AF$6),AND(AF$7&gt;0,$A378&gt;AF$7)),0,MAX(0,ROUND((INDEX($E378:$G378,AF$5)-SUMIFS(TF_Timer,TF_Tekniker,AF$4,TF_Dato,$A378))*2,0)/2)))</f>
        <v/>
      </c>
      <c r="AG378">
        <f>IF(OR(AG$4="",$A378&gt;TODAY()),0,IF(OR(INDEX($B378:$D378,AG$5)="F",AND(AG$6&gt;0,$A378&lt;AG$6),AND(AG$7&gt;0,$A378&gt;AG$7)),0,MAX(0,ROUND((INDEX($E378:$G378,AG$5)-SUMIFS(TF_Timer,TF_Tekniker,AG$4,TF_Dato,$A378))*2,0)/2)))</f>
        <v/>
      </c>
      <c r="AH378">
        <f>IF(OR(AH$4="",$A378&gt;TODAY()),0,IF(OR(INDEX($B378:$D378,AH$5)="F",AND(AH$6&gt;0,$A378&lt;AH$6),AND(AH$7&gt;0,$A378&gt;AH$7)),0,MAX(0,ROUND((INDEX($E378:$G378,AH$5)-SUMIFS(TF_Timer,TF_Tekniker,AH$4,TF_Dato,$A378))*2,0)/2)))</f>
        <v/>
      </c>
      <c r="AI378">
        <f>IF(OR(AI$4="",$A378&gt;TODAY()),0,IF(OR(INDEX($B378:$D378,AI$5)="F",AND(AI$6&gt;0,$A378&lt;AI$6),AND(AI$7&gt;0,$A378&gt;AI$7)),0,MAX(0,ROUND((INDEX($E378:$G378,AI$5)-SUMIFS(TF_Timer,TF_Tekniker,AI$4,TF_Dato,$A378))*2,0)/2)))</f>
        <v/>
      </c>
      <c r="AJ378">
        <f>IF(OR(AJ$4="",$A378&gt;TODAY()),0,IF(OR(INDEX($B378:$D378,AJ$5)="F",AND(AJ$6&gt;0,$A378&lt;AJ$6),AND(AJ$7&gt;0,$A378&gt;AJ$7)),0,MAX(0,ROUND((INDEX($E378:$G378,AJ$5)-SUMIFS(TF_Timer,TF_Tekniker,AJ$4,TF_Dato,$A378))*2,0)/2)))</f>
        <v/>
      </c>
      <c r="AK378">
        <f>IF(OR(AK$4="",$A378&gt;TODAY()),0,IF(OR(INDEX($B378:$D378,AK$5)="F",AND(AK$6&gt;0,$A378&lt;AK$6),AND(AK$7&gt;0,$A378&gt;AK$7)),0,MAX(0,ROUND((INDEX($E378:$G378,AK$5)-SUMIFS(TF_Timer,TF_Tekniker,AK$4,TF_Dato,$A378))*2,0)/2)))</f>
        <v/>
      </c>
      <c r="AL378">
        <f>IF(OR(AL$4="",$A378&gt;TODAY()),0,IF(OR(INDEX($B378:$D378,AL$5)="F",AND(AL$6&gt;0,$A378&lt;AL$6),AND(AL$7&gt;0,$A378&gt;AL$7)),0,MAX(0,ROUND((INDEX($E378:$G378,AL$5)-SUMIFS(TF_Timer,TF_Tekniker,AL$4,TF_Dato,$A378))*2,0)/2)))</f>
        <v/>
      </c>
      <c r="AM378">
        <f>IF(OR(AM$4="",$A378&gt;TODAY()),0,IF(OR(INDEX($B378:$D378,AM$5)="F",AND(AM$6&gt;0,$A378&lt;AM$6),AND(AM$7&gt;0,$A378&gt;AM$7)),0,MAX(0,ROUND((INDEX($E378:$G378,AM$5)-SUMIFS(TF_Timer,TF_Tekniker,AM$4,TF_Dato,$A378))*2,0)/2)))</f>
        <v/>
      </c>
      <c r="AN378">
        <f>IF(OR(AN$4="",$A378&gt;TODAY()),0,IF(OR(INDEX($B378:$D378,AN$5)="F",AND(AN$6&gt;0,$A378&lt;AN$6),AND(AN$7&gt;0,$A378&gt;AN$7)),0,MAX(0,ROUND((INDEX($E378:$G378,AN$5)-SUMIFS(TF_Timer,TF_Tekniker,AN$4,TF_Dato,$A378))*2,0)/2)))</f>
        <v/>
      </c>
      <c r="AO378">
        <f>IF(OR(AO$4="",$A378&gt;TODAY()),0,IF(OR(INDEX($B378:$D378,AO$5)="F",AND(AO$6&gt;0,$A378&lt;AO$6),AND(AO$7&gt;0,$A378&gt;AO$7)),0,MAX(0,ROUND((INDEX($E378:$G378,AO$5)-SUMIFS(TF_Timer,TF_Tekniker,AO$4,TF_Dato,$A378))*2,0)/2)))</f>
        <v/>
      </c>
      <c r="AP378">
        <f>IF(OR(AP$4="",$A378&gt;TODAY()),0,IF(OR(INDEX($B378:$D378,AP$5)="F",AND(AP$6&gt;0,$A378&lt;AP$6),AND(AP$7&gt;0,$A378&gt;AP$7)),0,MAX(0,ROUND((INDEX($E378:$G378,AP$5)-SUMIFS(TF_Timer,TF_Tekniker,AP$4,TF_Dato,$A378))*2,0)/2)))</f>
        <v/>
      </c>
      <c r="AQ378">
        <f>IF(OR(AQ$4="",$A378&gt;TODAY()),0,IF(OR(INDEX($B378:$D378,AQ$5)="F",AND(AQ$6&gt;0,$A378&lt;AQ$6),AND(AQ$7&gt;0,$A378&gt;AQ$7)),0,MAX(0,ROUND((INDEX($E378:$G378,AQ$5)-SUMIFS(TF_Timer,TF_Tekniker,AQ$4,TF_Dato,$A378))*2,0)/2)))</f>
        <v/>
      </c>
      <c r="AR378">
        <f>IF(OR(AR$4="",$A378&gt;TODAY()),0,IF(OR(INDEX($B378:$D378,AR$5)="F",AND(AR$6&gt;0,$A378&lt;AR$6),AND(AR$7&gt;0,$A378&gt;AR$7)),0,MAX(0,ROUND((INDEX($E378:$G378,AR$5)-SUMIFS(TF_Timer,TF_Tekniker,AR$4,TF_Dato,$A378))*2,0)/2)))</f>
        <v/>
      </c>
      <c r="AS378">
        <f>IF(OR(AS$4="",$A378&gt;TODAY()),0,IF(OR(INDEX($B378:$D378,AS$5)="F",AND(AS$6&gt;0,$A378&lt;AS$6),AND(AS$7&gt;0,$A378&gt;AS$7)),0,MAX(0,ROUND((INDEX($E378:$G378,AS$5)-SUMIFS(TF_Timer,TF_Tekniker,AS$4,TF_Dato,$A378))*2,0)/2)))</f>
        <v/>
      </c>
      <c r="AT378">
        <f>IF(OR(AT$4="",$A378&gt;TODAY()),0,IF(OR(INDEX($B378:$D378,AT$5)="F",AND(AT$6&gt;0,$A378&lt;AT$6),AND(AT$7&gt;0,$A378&gt;AT$7)),0,MAX(0,ROUND((INDEX($E378:$G378,AT$5)-SUMIFS(TF_Timer,TF_Tekniker,AT$4,TF_Dato,$A378))*2,0)/2)))</f>
        <v/>
      </c>
      <c r="AU378">
        <f>IF(OR(AU$4="",$A378&gt;TODAY()),0,IF(OR(INDEX($B378:$D378,AU$5)="F",AND(AU$6&gt;0,$A378&lt;AU$6),AND(AU$7&gt;0,$A378&gt;AU$7)),0,MAX(0,ROUND((INDEX($E378:$G378,AU$5)-SUMIFS(TF_Timer,TF_Tekniker,AU$4,TF_Dato,$A378))*2,0)/2)))</f>
        <v/>
      </c>
      <c r="AV378">
        <f>IF(OR(AV$4="",$A378&gt;TODAY()),0,IF(OR(INDEX($B378:$D378,AV$5)="F",AND(AV$6&gt;0,$A378&lt;AV$6),AND(AV$7&gt;0,$A378&gt;AV$7)),0,MAX(0,ROUND((INDEX($E378:$G378,AV$5)-SUMIFS(TF_Timer,TF_Tekniker,AV$4,TF_Dato,$A378))*2,0)/2)))</f>
        <v/>
      </c>
      <c r="AW378">
        <f>IF(OR(AW$4="",$A378&gt;TODAY()),0,IF(OR(INDEX($B378:$D378,AW$5)="F",AND(AW$6&gt;0,$A378&lt;AW$6),AND(AW$7&gt;0,$A378&gt;AW$7)),0,MAX(0,ROUND((INDEX($E378:$G378,AW$5)-SUMIFS(TF_Timer,TF_Tekniker,AW$4,TF_Dato,$A378))*2,0)/2)))</f>
        <v/>
      </c>
      <c r="AX378">
        <f>IF(OR(AX$4="",$A378&gt;TODAY()),0,IF(OR(INDEX($B378:$D378,AX$5)="F",AND(AX$6&gt;0,$A378&lt;AX$6),AND(AX$7&gt;0,$A378&gt;AX$7)),0,MAX(0,ROUND((INDEX($E378:$G378,AX$5)-SUMIFS(TF_Timer,TF_Tekniker,AX$4,TF_Dato,$A378))*2,0)/2)))</f>
        <v/>
      </c>
      <c r="AY378">
        <f>IF(OR(AY$4="",$A378&gt;TODAY()),0,IF(OR(INDEX($B378:$D378,AY$5)="F",AND(AY$6&gt;0,$A378&lt;AY$6),AND(AY$7&gt;0,$A378&gt;AY$7)),0,MAX(0,ROUND((INDEX($E378:$G378,AY$5)-SUMIFS(TF_Timer,TF_Tekniker,AY$4,TF_Dato,$A378))*2,0)/2)))</f>
        <v/>
      </c>
      <c r="AZ378">
        <f>IF(OR(AZ$4="",$A378&gt;TODAY()),0,IF(OR(INDEX($B378:$D378,AZ$5)="F",AND(AZ$6&gt;0,$A378&lt;AZ$6),AND(AZ$7&gt;0,$A378&gt;AZ$7)),0,MAX(0,ROUND((INDEX($E378:$G378,AZ$5)-SUMIFS(TF_Timer,TF_Tekniker,AZ$4,TF_Dato,$A378))*2,0)/2)))</f>
        <v/>
      </c>
      <c r="BA378">
        <f>IF(OR(BA$4="",$A378&gt;TODAY()),0,IF(OR(INDEX($B378:$D378,BA$5)="F",AND(BA$6&gt;0,$A378&lt;BA$6),AND(BA$7&gt;0,$A378&gt;BA$7)),0,MAX(0,ROUND((INDEX($E378:$G378,BA$5)-SUMIFS(TF_Timer,TF_Tekniker,BA$4,TF_Dato,$A378))*2,0)/2)))</f>
        <v/>
      </c>
      <c r="BB378">
        <f>IF(OR(BB$4="",$A378&gt;TODAY()),0,IF(OR(INDEX($B378:$D378,BB$5)="F",AND(BB$6&gt;0,$A378&lt;BB$6),AND(BB$7&gt;0,$A378&gt;BB$7)),0,MAX(0,ROUND((INDEX($E378:$G378,BB$5)-SUMIFS(TF_Timer,TF_Tekniker,BB$4,TF_Dato,$A378))*2,0)/2)))</f>
        <v/>
      </c>
      <c r="BC378">
        <f>IF(OR(BC$4="",$A378&gt;TODAY()),0,IF(OR(INDEX($B378:$D378,BC$5)="F",AND(BC$6&gt;0,$A378&lt;BC$6),AND(BC$7&gt;0,$A378&gt;BC$7)),0,MAX(0,ROUND((INDEX($E378:$G378,BC$5)-SUMIFS(TF_Timer,TF_Tekniker,BC$4,TF_Dato,$A378))*2,0)/2)))</f>
        <v/>
      </c>
      <c r="BD378">
        <f>IF(OR(BD$4="",$A378&gt;TODAY()),0,IF(OR(INDEX($B378:$D378,BD$5)="F",AND(BD$6&gt;0,$A378&lt;BD$6),AND(BD$7&gt;0,$A378&gt;BD$7)),0,MAX(0,ROUND((INDEX($E378:$G378,BD$5)-SUMIFS(TF_Timer,TF_Tekniker,BD$4,TF_Dato,$A378))*2,0)/2)))</f>
        <v/>
      </c>
      <c r="BE378">
        <f>IF(OR(BE$4="",$A378&gt;TODAY()),0,IF(OR(INDEX($B378:$D378,BE$5)="F",AND(BE$6&gt;0,$A378&lt;BE$6),AND(BE$7&gt;0,$A378&gt;BE$7)),0,MAX(0,ROUND((INDEX($E378:$G378,BE$5)-SUMIFS(TF_Timer,TF_Tekniker,BE$4,TF_Dato,$A378))*2,0)/2)))</f>
        <v/>
      </c>
      <c r="BF378">
        <f>IF(OR(BF$4="",$A378&gt;TODAY()),0,IF(OR(INDEX($B378:$D378,BF$5)="F",AND(BF$6&gt;0,$A378&lt;BF$6),AND(BF$7&gt;0,$A378&gt;BF$7)),0,MAX(0,ROUND((INDEX($E378:$G378,BF$5)-SUMIFS(TF_Timer,TF_Tekniker,BF$4,TF_Dato,$A378))*2,0)/2)))</f>
        <v/>
      </c>
      <c r="BG378">
        <f>IF(OR(BG$4="",$A378&gt;TODAY()),0,IF(OR(INDEX($B378:$D378,BG$5)="F",AND(BG$6&gt;0,$A378&lt;BG$6),AND(BG$7&gt;0,$A378&gt;BG$7)),0,MAX(0,ROUND((INDEX($E378:$G378,BG$5)-SUMIFS(TF_Timer,TF_Tekniker,BG$4,TF_Dato,$A378))*2,0)/2)))</f>
        <v/>
      </c>
      <c r="BH378">
        <f>IF(OR(BH$4="",$A378&gt;TODAY()),0,IF(OR(INDEX($B378:$D378,BH$5)="F",AND(BH$6&gt;0,$A378&lt;BH$6),AND(BH$7&gt;0,$A378&gt;BH$7)),0,MAX(0,ROUND((INDEX($E378:$G378,BH$5)-SUMIFS(TF_Timer,TF_Tekniker,BH$4,TF_Dato,$A378))*2,0)/2)))</f>
        <v/>
      </c>
      <c r="BI378">
        <f>IF(OR(BI$4="",$A378&gt;TODAY()),0,IF(OR(INDEX($B378:$D378,BI$5)="F",AND(BI$6&gt;0,$A378&lt;BI$6),AND(BI$7&gt;0,$A378&gt;BI$7)),0,MAX(0,ROUND((INDEX($E378:$G378,BI$5)-SUMIFS(TF_Timer,TF_Tekniker,BI$4,TF_Dato,$A378))*2,0)/2)))</f>
        <v/>
      </c>
    </row>
    <row r="379">
      <c r="A379" s="64">
        <f>A378+1</f>
        <v/>
      </c>
      <c r="B379">
        <f>IF(MOD($A379-INDEX(SkiftStart,1),Syklus)&lt;DagK,"K",IF(MOD($A379-INDEX(SkiftStart,1),Syklus)&lt;DagK+DagH,"H",IF(MOD($A379-INDEX(SkiftStart,1),Syklus)&lt;DagK+DagH+DagD,"D","F")))</f>
        <v/>
      </c>
      <c r="C379">
        <f>IF(MOD($A379-INDEX(SkiftStart,2),Syklus)&lt;DagK,"K",IF(MOD($A379-INDEX(SkiftStart,2),Syklus)&lt;DagK+DagH,"H",IF(MOD($A379-INDEX(SkiftStart,2),Syklus)&lt;DagK+DagH+DagD,"D","F")))</f>
        <v/>
      </c>
      <c r="D379">
        <f>IF(MOD($A379-INDEX(SkiftStart,3),Syklus)&lt;DagK,"K",IF(MOD($A379-INDEX(SkiftStart,3),Syklus)&lt;DagK+DagH,"H",IF(MOD($A379-INDEX(SkiftStart,3),Syklus)&lt;DagK+DagH+DagD,"D","F")))</f>
        <v/>
      </c>
      <c r="E379">
        <f>IF(B379="F",0,IF(WEEKDAY($A379,2)=5,INDEX(TimerFr,MATCH(B379,FaseKode,0)),INDEX(TimerMT,MATCH(B379,FaseKode,0))))</f>
        <v/>
      </c>
      <c r="F379">
        <f>IF(C379="F",0,IF(WEEKDAY($A379,2)=5,INDEX(TimerFr,MATCH(C379,FaseKode,0)),INDEX(TimerMT,MATCH(C379,FaseKode,0))))</f>
        <v/>
      </c>
      <c r="G379">
        <f>IF(D379="F",0,IF(WEEKDAY($A379,2)=5,INDEX(TimerFr,MATCH(D379,FaseKode,0)),INDEX(TimerMT,MATCH(D379,FaseKode,0))))</f>
        <v/>
      </c>
      <c r="H379">
        <f>IF(OR(H$4="",$A379&gt;TODAY()),0,IF(OR(INDEX($B379:$D379,H$5)="F",AND(H$6&gt;0,$A379&lt;H$6),AND(H$7&gt;0,$A379&gt;H$7)),0,MAX(0,ROUND((INDEX($E379:$G379,H$5)-SUMIFS(TF_Timer,TF_Tekniker,H$4,TF_Dato,$A379))*2,0)/2)))</f>
        <v/>
      </c>
      <c r="I379">
        <f>IF(OR(I$4="",$A379&gt;TODAY()),0,IF(OR(INDEX($B379:$D379,I$5)="F",AND(I$6&gt;0,$A379&lt;I$6),AND(I$7&gt;0,$A379&gt;I$7)),0,MAX(0,ROUND((INDEX($E379:$G379,I$5)-SUMIFS(TF_Timer,TF_Tekniker,I$4,TF_Dato,$A379))*2,0)/2)))</f>
        <v/>
      </c>
      <c r="J379">
        <f>IF(OR(J$4="",$A379&gt;TODAY()),0,IF(OR(INDEX($B379:$D379,J$5)="F",AND(J$6&gt;0,$A379&lt;J$6),AND(J$7&gt;0,$A379&gt;J$7)),0,MAX(0,ROUND((INDEX($E379:$G379,J$5)-SUMIFS(TF_Timer,TF_Tekniker,J$4,TF_Dato,$A379))*2,0)/2)))</f>
        <v/>
      </c>
      <c r="K379">
        <f>IF(OR(K$4="",$A379&gt;TODAY()),0,IF(OR(INDEX($B379:$D379,K$5)="F",AND(K$6&gt;0,$A379&lt;K$6),AND(K$7&gt;0,$A379&gt;K$7)),0,MAX(0,ROUND((INDEX($E379:$G379,K$5)-SUMIFS(TF_Timer,TF_Tekniker,K$4,TF_Dato,$A379))*2,0)/2)))</f>
        <v/>
      </c>
      <c r="L379">
        <f>IF(OR(L$4="",$A379&gt;TODAY()),0,IF(OR(INDEX($B379:$D379,L$5)="F",AND(L$6&gt;0,$A379&lt;L$6),AND(L$7&gt;0,$A379&gt;L$7)),0,MAX(0,ROUND((INDEX($E379:$G379,L$5)-SUMIFS(TF_Timer,TF_Tekniker,L$4,TF_Dato,$A379))*2,0)/2)))</f>
        <v/>
      </c>
      <c r="M379">
        <f>IF(OR(M$4="",$A379&gt;TODAY()),0,IF(OR(INDEX($B379:$D379,M$5)="F",AND(M$6&gt;0,$A379&lt;M$6),AND(M$7&gt;0,$A379&gt;M$7)),0,MAX(0,ROUND((INDEX($E379:$G379,M$5)-SUMIFS(TF_Timer,TF_Tekniker,M$4,TF_Dato,$A379))*2,0)/2)))</f>
        <v/>
      </c>
      <c r="N379">
        <f>IF(OR(N$4="",$A379&gt;TODAY()),0,IF(OR(INDEX($B379:$D379,N$5)="F",AND(N$6&gt;0,$A379&lt;N$6),AND(N$7&gt;0,$A379&gt;N$7)),0,MAX(0,ROUND((INDEX($E379:$G379,N$5)-SUMIFS(TF_Timer,TF_Tekniker,N$4,TF_Dato,$A379))*2,0)/2)))</f>
        <v/>
      </c>
      <c r="O379">
        <f>IF(OR(O$4="",$A379&gt;TODAY()),0,IF(OR(INDEX($B379:$D379,O$5)="F",AND(O$6&gt;0,$A379&lt;O$6),AND(O$7&gt;0,$A379&gt;O$7)),0,MAX(0,ROUND((INDEX($E379:$G379,O$5)-SUMIFS(TF_Timer,TF_Tekniker,O$4,TF_Dato,$A379))*2,0)/2)))</f>
        <v/>
      </c>
      <c r="P379">
        <f>IF(OR(P$4="",$A379&gt;TODAY()),0,IF(OR(INDEX($B379:$D379,P$5)="F",AND(P$6&gt;0,$A379&lt;P$6),AND(P$7&gt;0,$A379&gt;P$7)),0,MAX(0,ROUND((INDEX($E379:$G379,P$5)-SUMIFS(TF_Timer,TF_Tekniker,P$4,TF_Dato,$A379))*2,0)/2)))</f>
        <v/>
      </c>
      <c r="Q379">
        <f>IF(OR(Q$4="",$A379&gt;TODAY()),0,IF(OR(INDEX($B379:$D379,Q$5)="F",AND(Q$6&gt;0,$A379&lt;Q$6),AND(Q$7&gt;0,$A379&gt;Q$7)),0,MAX(0,ROUND((INDEX($E379:$G379,Q$5)-SUMIFS(TF_Timer,TF_Tekniker,Q$4,TF_Dato,$A379))*2,0)/2)))</f>
        <v/>
      </c>
      <c r="R379">
        <f>IF(OR(R$4="",$A379&gt;TODAY()),0,IF(OR(INDEX($B379:$D379,R$5)="F",AND(R$6&gt;0,$A379&lt;R$6),AND(R$7&gt;0,$A379&gt;R$7)),0,MAX(0,ROUND((INDEX($E379:$G379,R$5)-SUMIFS(TF_Timer,TF_Tekniker,R$4,TF_Dato,$A379))*2,0)/2)))</f>
        <v/>
      </c>
      <c r="S379">
        <f>IF(OR(S$4="",$A379&gt;TODAY()),0,IF(OR(INDEX($B379:$D379,S$5)="F",AND(S$6&gt;0,$A379&lt;S$6),AND(S$7&gt;0,$A379&gt;S$7)),0,MAX(0,ROUND((INDEX($E379:$G379,S$5)-SUMIFS(TF_Timer,TF_Tekniker,S$4,TF_Dato,$A379))*2,0)/2)))</f>
        <v/>
      </c>
      <c r="T379">
        <f>IF(OR(T$4="",$A379&gt;TODAY()),0,IF(OR(INDEX($B379:$D379,T$5)="F",AND(T$6&gt;0,$A379&lt;T$6),AND(T$7&gt;0,$A379&gt;T$7)),0,MAX(0,ROUND((INDEX($E379:$G379,T$5)-SUMIFS(TF_Timer,TF_Tekniker,T$4,TF_Dato,$A379))*2,0)/2)))</f>
        <v/>
      </c>
      <c r="U379">
        <f>IF(OR(U$4="",$A379&gt;TODAY()),0,IF(OR(INDEX($B379:$D379,U$5)="F",AND(U$6&gt;0,$A379&lt;U$6),AND(U$7&gt;0,$A379&gt;U$7)),0,MAX(0,ROUND((INDEX($E379:$G379,U$5)-SUMIFS(TF_Timer,TF_Tekniker,U$4,TF_Dato,$A379))*2,0)/2)))</f>
        <v/>
      </c>
      <c r="V379">
        <f>IF(OR(V$4="",$A379&gt;TODAY()),0,IF(OR(INDEX($B379:$D379,V$5)="F",AND(V$6&gt;0,$A379&lt;V$6),AND(V$7&gt;0,$A379&gt;V$7)),0,MAX(0,ROUND((INDEX($E379:$G379,V$5)-SUMIFS(TF_Timer,TF_Tekniker,V$4,TF_Dato,$A379))*2,0)/2)))</f>
        <v/>
      </c>
      <c r="W379">
        <f>IF(OR(W$4="",$A379&gt;TODAY()),0,IF(OR(INDEX($B379:$D379,W$5)="F",AND(W$6&gt;0,$A379&lt;W$6),AND(W$7&gt;0,$A379&gt;W$7)),0,MAX(0,ROUND((INDEX($E379:$G379,W$5)-SUMIFS(TF_Timer,TF_Tekniker,W$4,TF_Dato,$A379))*2,0)/2)))</f>
        <v/>
      </c>
      <c r="X379">
        <f>IF(OR(X$4="",$A379&gt;TODAY()),0,IF(OR(INDEX($B379:$D379,X$5)="F",AND(X$6&gt;0,$A379&lt;X$6),AND(X$7&gt;0,$A379&gt;X$7)),0,MAX(0,ROUND((INDEX($E379:$G379,X$5)-SUMIFS(TF_Timer,TF_Tekniker,X$4,TF_Dato,$A379))*2,0)/2)))</f>
        <v/>
      </c>
      <c r="Y379">
        <f>IF(OR(Y$4="",$A379&gt;TODAY()),0,IF(OR(INDEX($B379:$D379,Y$5)="F",AND(Y$6&gt;0,$A379&lt;Y$6),AND(Y$7&gt;0,$A379&gt;Y$7)),0,MAX(0,ROUND((INDEX($E379:$G379,Y$5)-SUMIFS(TF_Timer,TF_Tekniker,Y$4,TF_Dato,$A379))*2,0)/2)))</f>
        <v/>
      </c>
      <c r="Z379">
        <f>IF(OR(Z$4="",$A379&gt;TODAY()),0,IF(OR(INDEX($B379:$D379,Z$5)="F",AND(Z$6&gt;0,$A379&lt;Z$6),AND(Z$7&gt;0,$A379&gt;Z$7)),0,MAX(0,ROUND((INDEX($E379:$G379,Z$5)-SUMIFS(TF_Timer,TF_Tekniker,Z$4,TF_Dato,$A379))*2,0)/2)))</f>
        <v/>
      </c>
      <c r="AA379">
        <f>IF(OR(AA$4="",$A379&gt;TODAY()),0,IF(OR(INDEX($B379:$D379,AA$5)="F",AND(AA$6&gt;0,$A379&lt;AA$6),AND(AA$7&gt;0,$A379&gt;AA$7)),0,MAX(0,ROUND((INDEX($E379:$G379,AA$5)-SUMIFS(TF_Timer,TF_Tekniker,AA$4,TF_Dato,$A379))*2,0)/2)))</f>
        <v/>
      </c>
      <c r="AB379">
        <f>IF(OR(AB$4="",$A379&gt;TODAY()),0,IF(OR(INDEX($B379:$D379,AB$5)="F",AND(AB$6&gt;0,$A379&lt;AB$6),AND(AB$7&gt;0,$A379&gt;AB$7)),0,MAX(0,ROUND((INDEX($E379:$G379,AB$5)-SUMIFS(TF_Timer,TF_Tekniker,AB$4,TF_Dato,$A379))*2,0)/2)))</f>
        <v/>
      </c>
      <c r="AC379">
        <f>IF(OR(AC$4="",$A379&gt;TODAY()),0,IF(OR(INDEX($B379:$D379,AC$5)="F",AND(AC$6&gt;0,$A379&lt;AC$6),AND(AC$7&gt;0,$A379&gt;AC$7)),0,MAX(0,ROUND((INDEX($E379:$G379,AC$5)-SUMIFS(TF_Timer,TF_Tekniker,AC$4,TF_Dato,$A379))*2,0)/2)))</f>
        <v/>
      </c>
      <c r="AD379">
        <f>IF(OR(AD$4="",$A379&gt;TODAY()),0,IF(OR(INDEX($B379:$D379,AD$5)="F",AND(AD$6&gt;0,$A379&lt;AD$6),AND(AD$7&gt;0,$A379&gt;AD$7)),0,MAX(0,ROUND((INDEX($E379:$G379,AD$5)-SUMIFS(TF_Timer,TF_Tekniker,AD$4,TF_Dato,$A379))*2,0)/2)))</f>
        <v/>
      </c>
      <c r="AE379">
        <f>IF(OR(AE$4="",$A379&gt;TODAY()),0,IF(OR(INDEX($B379:$D379,AE$5)="F",AND(AE$6&gt;0,$A379&lt;AE$6),AND(AE$7&gt;0,$A379&gt;AE$7)),0,MAX(0,ROUND((INDEX($E379:$G379,AE$5)-SUMIFS(TF_Timer,TF_Tekniker,AE$4,TF_Dato,$A379))*2,0)/2)))</f>
        <v/>
      </c>
      <c r="AF379">
        <f>IF(OR(AF$4="",$A379&gt;TODAY()),0,IF(OR(INDEX($B379:$D379,AF$5)="F",AND(AF$6&gt;0,$A379&lt;AF$6),AND(AF$7&gt;0,$A379&gt;AF$7)),0,MAX(0,ROUND((INDEX($E379:$G379,AF$5)-SUMIFS(TF_Timer,TF_Tekniker,AF$4,TF_Dato,$A379))*2,0)/2)))</f>
        <v/>
      </c>
      <c r="AG379">
        <f>IF(OR(AG$4="",$A379&gt;TODAY()),0,IF(OR(INDEX($B379:$D379,AG$5)="F",AND(AG$6&gt;0,$A379&lt;AG$6),AND(AG$7&gt;0,$A379&gt;AG$7)),0,MAX(0,ROUND((INDEX($E379:$G379,AG$5)-SUMIFS(TF_Timer,TF_Tekniker,AG$4,TF_Dato,$A379))*2,0)/2)))</f>
        <v/>
      </c>
      <c r="AH379">
        <f>IF(OR(AH$4="",$A379&gt;TODAY()),0,IF(OR(INDEX($B379:$D379,AH$5)="F",AND(AH$6&gt;0,$A379&lt;AH$6),AND(AH$7&gt;0,$A379&gt;AH$7)),0,MAX(0,ROUND((INDEX($E379:$G379,AH$5)-SUMIFS(TF_Timer,TF_Tekniker,AH$4,TF_Dato,$A379))*2,0)/2)))</f>
        <v/>
      </c>
      <c r="AI379">
        <f>IF(OR(AI$4="",$A379&gt;TODAY()),0,IF(OR(INDEX($B379:$D379,AI$5)="F",AND(AI$6&gt;0,$A379&lt;AI$6),AND(AI$7&gt;0,$A379&gt;AI$7)),0,MAX(0,ROUND((INDEX($E379:$G379,AI$5)-SUMIFS(TF_Timer,TF_Tekniker,AI$4,TF_Dato,$A379))*2,0)/2)))</f>
        <v/>
      </c>
      <c r="AJ379">
        <f>IF(OR(AJ$4="",$A379&gt;TODAY()),0,IF(OR(INDEX($B379:$D379,AJ$5)="F",AND(AJ$6&gt;0,$A379&lt;AJ$6),AND(AJ$7&gt;0,$A379&gt;AJ$7)),0,MAX(0,ROUND((INDEX($E379:$G379,AJ$5)-SUMIFS(TF_Timer,TF_Tekniker,AJ$4,TF_Dato,$A379))*2,0)/2)))</f>
        <v/>
      </c>
      <c r="AK379">
        <f>IF(OR(AK$4="",$A379&gt;TODAY()),0,IF(OR(INDEX($B379:$D379,AK$5)="F",AND(AK$6&gt;0,$A379&lt;AK$6),AND(AK$7&gt;0,$A379&gt;AK$7)),0,MAX(0,ROUND((INDEX($E379:$G379,AK$5)-SUMIFS(TF_Timer,TF_Tekniker,AK$4,TF_Dato,$A379))*2,0)/2)))</f>
        <v/>
      </c>
      <c r="AL379">
        <f>IF(OR(AL$4="",$A379&gt;TODAY()),0,IF(OR(INDEX($B379:$D379,AL$5)="F",AND(AL$6&gt;0,$A379&lt;AL$6),AND(AL$7&gt;0,$A379&gt;AL$7)),0,MAX(0,ROUND((INDEX($E379:$G379,AL$5)-SUMIFS(TF_Timer,TF_Tekniker,AL$4,TF_Dato,$A379))*2,0)/2)))</f>
        <v/>
      </c>
      <c r="AM379">
        <f>IF(OR(AM$4="",$A379&gt;TODAY()),0,IF(OR(INDEX($B379:$D379,AM$5)="F",AND(AM$6&gt;0,$A379&lt;AM$6),AND(AM$7&gt;0,$A379&gt;AM$7)),0,MAX(0,ROUND((INDEX($E379:$G379,AM$5)-SUMIFS(TF_Timer,TF_Tekniker,AM$4,TF_Dato,$A379))*2,0)/2)))</f>
        <v/>
      </c>
      <c r="AN379">
        <f>IF(OR(AN$4="",$A379&gt;TODAY()),0,IF(OR(INDEX($B379:$D379,AN$5)="F",AND(AN$6&gt;0,$A379&lt;AN$6),AND(AN$7&gt;0,$A379&gt;AN$7)),0,MAX(0,ROUND((INDEX($E379:$G379,AN$5)-SUMIFS(TF_Timer,TF_Tekniker,AN$4,TF_Dato,$A379))*2,0)/2)))</f>
        <v/>
      </c>
      <c r="AO379">
        <f>IF(OR(AO$4="",$A379&gt;TODAY()),0,IF(OR(INDEX($B379:$D379,AO$5)="F",AND(AO$6&gt;0,$A379&lt;AO$6),AND(AO$7&gt;0,$A379&gt;AO$7)),0,MAX(0,ROUND((INDEX($E379:$G379,AO$5)-SUMIFS(TF_Timer,TF_Tekniker,AO$4,TF_Dato,$A379))*2,0)/2)))</f>
        <v/>
      </c>
      <c r="AP379">
        <f>IF(OR(AP$4="",$A379&gt;TODAY()),0,IF(OR(INDEX($B379:$D379,AP$5)="F",AND(AP$6&gt;0,$A379&lt;AP$6),AND(AP$7&gt;0,$A379&gt;AP$7)),0,MAX(0,ROUND((INDEX($E379:$G379,AP$5)-SUMIFS(TF_Timer,TF_Tekniker,AP$4,TF_Dato,$A379))*2,0)/2)))</f>
        <v/>
      </c>
      <c r="AQ379">
        <f>IF(OR(AQ$4="",$A379&gt;TODAY()),0,IF(OR(INDEX($B379:$D379,AQ$5)="F",AND(AQ$6&gt;0,$A379&lt;AQ$6),AND(AQ$7&gt;0,$A379&gt;AQ$7)),0,MAX(0,ROUND((INDEX($E379:$G379,AQ$5)-SUMIFS(TF_Timer,TF_Tekniker,AQ$4,TF_Dato,$A379))*2,0)/2)))</f>
        <v/>
      </c>
      <c r="AR379">
        <f>IF(OR(AR$4="",$A379&gt;TODAY()),0,IF(OR(INDEX($B379:$D379,AR$5)="F",AND(AR$6&gt;0,$A379&lt;AR$6),AND(AR$7&gt;0,$A379&gt;AR$7)),0,MAX(0,ROUND((INDEX($E379:$G379,AR$5)-SUMIFS(TF_Timer,TF_Tekniker,AR$4,TF_Dato,$A379))*2,0)/2)))</f>
        <v/>
      </c>
      <c r="AS379">
        <f>IF(OR(AS$4="",$A379&gt;TODAY()),0,IF(OR(INDEX($B379:$D379,AS$5)="F",AND(AS$6&gt;0,$A379&lt;AS$6),AND(AS$7&gt;0,$A379&gt;AS$7)),0,MAX(0,ROUND((INDEX($E379:$G379,AS$5)-SUMIFS(TF_Timer,TF_Tekniker,AS$4,TF_Dato,$A379))*2,0)/2)))</f>
        <v/>
      </c>
      <c r="AT379">
        <f>IF(OR(AT$4="",$A379&gt;TODAY()),0,IF(OR(INDEX($B379:$D379,AT$5)="F",AND(AT$6&gt;0,$A379&lt;AT$6),AND(AT$7&gt;0,$A379&gt;AT$7)),0,MAX(0,ROUND((INDEX($E379:$G379,AT$5)-SUMIFS(TF_Timer,TF_Tekniker,AT$4,TF_Dato,$A379))*2,0)/2)))</f>
        <v/>
      </c>
      <c r="AU379">
        <f>IF(OR(AU$4="",$A379&gt;TODAY()),0,IF(OR(INDEX($B379:$D379,AU$5)="F",AND(AU$6&gt;0,$A379&lt;AU$6),AND(AU$7&gt;0,$A379&gt;AU$7)),0,MAX(0,ROUND((INDEX($E379:$G379,AU$5)-SUMIFS(TF_Timer,TF_Tekniker,AU$4,TF_Dato,$A379))*2,0)/2)))</f>
        <v/>
      </c>
      <c r="AV379">
        <f>IF(OR(AV$4="",$A379&gt;TODAY()),0,IF(OR(INDEX($B379:$D379,AV$5)="F",AND(AV$6&gt;0,$A379&lt;AV$6),AND(AV$7&gt;0,$A379&gt;AV$7)),0,MAX(0,ROUND((INDEX($E379:$G379,AV$5)-SUMIFS(TF_Timer,TF_Tekniker,AV$4,TF_Dato,$A379))*2,0)/2)))</f>
        <v/>
      </c>
      <c r="AW379">
        <f>IF(OR(AW$4="",$A379&gt;TODAY()),0,IF(OR(INDEX($B379:$D379,AW$5)="F",AND(AW$6&gt;0,$A379&lt;AW$6),AND(AW$7&gt;0,$A379&gt;AW$7)),0,MAX(0,ROUND((INDEX($E379:$G379,AW$5)-SUMIFS(TF_Timer,TF_Tekniker,AW$4,TF_Dato,$A379))*2,0)/2)))</f>
        <v/>
      </c>
      <c r="AX379">
        <f>IF(OR(AX$4="",$A379&gt;TODAY()),0,IF(OR(INDEX($B379:$D379,AX$5)="F",AND(AX$6&gt;0,$A379&lt;AX$6),AND(AX$7&gt;0,$A379&gt;AX$7)),0,MAX(0,ROUND((INDEX($E379:$G379,AX$5)-SUMIFS(TF_Timer,TF_Tekniker,AX$4,TF_Dato,$A379))*2,0)/2)))</f>
        <v/>
      </c>
      <c r="AY379">
        <f>IF(OR(AY$4="",$A379&gt;TODAY()),0,IF(OR(INDEX($B379:$D379,AY$5)="F",AND(AY$6&gt;0,$A379&lt;AY$6),AND(AY$7&gt;0,$A379&gt;AY$7)),0,MAX(0,ROUND((INDEX($E379:$G379,AY$5)-SUMIFS(TF_Timer,TF_Tekniker,AY$4,TF_Dato,$A379))*2,0)/2)))</f>
        <v/>
      </c>
      <c r="AZ379">
        <f>IF(OR(AZ$4="",$A379&gt;TODAY()),0,IF(OR(INDEX($B379:$D379,AZ$5)="F",AND(AZ$6&gt;0,$A379&lt;AZ$6),AND(AZ$7&gt;0,$A379&gt;AZ$7)),0,MAX(0,ROUND((INDEX($E379:$G379,AZ$5)-SUMIFS(TF_Timer,TF_Tekniker,AZ$4,TF_Dato,$A379))*2,0)/2)))</f>
        <v/>
      </c>
      <c r="BA379">
        <f>IF(OR(BA$4="",$A379&gt;TODAY()),0,IF(OR(INDEX($B379:$D379,BA$5)="F",AND(BA$6&gt;0,$A379&lt;BA$6),AND(BA$7&gt;0,$A379&gt;BA$7)),0,MAX(0,ROUND((INDEX($E379:$G379,BA$5)-SUMIFS(TF_Timer,TF_Tekniker,BA$4,TF_Dato,$A379))*2,0)/2)))</f>
        <v/>
      </c>
      <c r="BB379">
        <f>IF(OR(BB$4="",$A379&gt;TODAY()),0,IF(OR(INDEX($B379:$D379,BB$5)="F",AND(BB$6&gt;0,$A379&lt;BB$6),AND(BB$7&gt;0,$A379&gt;BB$7)),0,MAX(0,ROUND((INDEX($E379:$G379,BB$5)-SUMIFS(TF_Timer,TF_Tekniker,BB$4,TF_Dato,$A379))*2,0)/2)))</f>
        <v/>
      </c>
      <c r="BC379">
        <f>IF(OR(BC$4="",$A379&gt;TODAY()),0,IF(OR(INDEX($B379:$D379,BC$5)="F",AND(BC$6&gt;0,$A379&lt;BC$6),AND(BC$7&gt;0,$A379&gt;BC$7)),0,MAX(0,ROUND((INDEX($E379:$G379,BC$5)-SUMIFS(TF_Timer,TF_Tekniker,BC$4,TF_Dato,$A379))*2,0)/2)))</f>
        <v/>
      </c>
      <c r="BD379">
        <f>IF(OR(BD$4="",$A379&gt;TODAY()),0,IF(OR(INDEX($B379:$D379,BD$5)="F",AND(BD$6&gt;0,$A379&lt;BD$6),AND(BD$7&gt;0,$A379&gt;BD$7)),0,MAX(0,ROUND((INDEX($E379:$G379,BD$5)-SUMIFS(TF_Timer,TF_Tekniker,BD$4,TF_Dato,$A379))*2,0)/2)))</f>
        <v/>
      </c>
      <c r="BE379">
        <f>IF(OR(BE$4="",$A379&gt;TODAY()),0,IF(OR(INDEX($B379:$D379,BE$5)="F",AND(BE$6&gt;0,$A379&lt;BE$6),AND(BE$7&gt;0,$A379&gt;BE$7)),0,MAX(0,ROUND((INDEX($E379:$G379,BE$5)-SUMIFS(TF_Timer,TF_Tekniker,BE$4,TF_Dato,$A379))*2,0)/2)))</f>
        <v/>
      </c>
      <c r="BF379">
        <f>IF(OR(BF$4="",$A379&gt;TODAY()),0,IF(OR(INDEX($B379:$D379,BF$5)="F",AND(BF$6&gt;0,$A379&lt;BF$6),AND(BF$7&gt;0,$A379&gt;BF$7)),0,MAX(0,ROUND((INDEX($E379:$G379,BF$5)-SUMIFS(TF_Timer,TF_Tekniker,BF$4,TF_Dato,$A379))*2,0)/2)))</f>
        <v/>
      </c>
      <c r="BG379">
        <f>IF(OR(BG$4="",$A379&gt;TODAY()),0,IF(OR(INDEX($B379:$D379,BG$5)="F",AND(BG$6&gt;0,$A379&lt;BG$6),AND(BG$7&gt;0,$A379&gt;BG$7)),0,MAX(0,ROUND((INDEX($E379:$G379,BG$5)-SUMIFS(TF_Timer,TF_Tekniker,BG$4,TF_Dato,$A379))*2,0)/2)))</f>
        <v/>
      </c>
      <c r="BH379">
        <f>IF(OR(BH$4="",$A379&gt;TODAY()),0,IF(OR(INDEX($B379:$D379,BH$5)="F",AND(BH$6&gt;0,$A379&lt;BH$6),AND(BH$7&gt;0,$A379&gt;BH$7)),0,MAX(0,ROUND((INDEX($E379:$G379,BH$5)-SUMIFS(TF_Timer,TF_Tekniker,BH$4,TF_Dato,$A379))*2,0)/2)))</f>
        <v/>
      </c>
      <c r="BI379">
        <f>IF(OR(BI$4="",$A379&gt;TODAY()),0,IF(OR(INDEX($B379:$D379,BI$5)="F",AND(BI$6&gt;0,$A379&lt;BI$6),AND(BI$7&gt;0,$A379&gt;BI$7)),0,MAX(0,ROUND((INDEX($E379:$G379,BI$5)-SUMIFS(TF_Timer,TF_Tekniker,BI$4,TF_Dato,$A379))*2,0)/2)))</f>
        <v/>
      </c>
    </row>
    <row r="380">
      <c r="A380" s="64">
        <f>A379+1</f>
        <v/>
      </c>
      <c r="B380">
        <f>IF(MOD($A380-INDEX(SkiftStart,1),Syklus)&lt;DagK,"K",IF(MOD($A380-INDEX(SkiftStart,1),Syklus)&lt;DagK+DagH,"H",IF(MOD($A380-INDEX(SkiftStart,1),Syklus)&lt;DagK+DagH+DagD,"D","F")))</f>
        <v/>
      </c>
      <c r="C380">
        <f>IF(MOD($A380-INDEX(SkiftStart,2),Syklus)&lt;DagK,"K",IF(MOD($A380-INDEX(SkiftStart,2),Syklus)&lt;DagK+DagH,"H",IF(MOD($A380-INDEX(SkiftStart,2),Syklus)&lt;DagK+DagH+DagD,"D","F")))</f>
        <v/>
      </c>
      <c r="D380">
        <f>IF(MOD($A380-INDEX(SkiftStart,3),Syklus)&lt;DagK,"K",IF(MOD($A380-INDEX(SkiftStart,3),Syklus)&lt;DagK+DagH,"H",IF(MOD($A380-INDEX(SkiftStart,3),Syklus)&lt;DagK+DagH+DagD,"D","F")))</f>
        <v/>
      </c>
      <c r="E380">
        <f>IF(B380="F",0,IF(WEEKDAY($A380,2)=5,INDEX(TimerFr,MATCH(B380,FaseKode,0)),INDEX(TimerMT,MATCH(B380,FaseKode,0))))</f>
        <v/>
      </c>
      <c r="F380">
        <f>IF(C380="F",0,IF(WEEKDAY($A380,2)=5,INDEX(TimerFr,MATCH(C380,FaseKode,0)),INDEX(TimerMT,MATCH(C380,FaseKode,0))))</f>
        <v/>
      </c>
      <c r="G380">
        <f>IF(D380="F",0,IF(WEEKDAY($A380,2)=5,INDEX(TimerFr,MATCH(D380,FaseKode,0)),INDEX(TimerMT,MATCH(D380,FaseKode,0))))</f>
        <v/>
      </c>
      <c r="H380">
        <f>IF(OR(H$4="",$A380&gt;TODAY()),0,IF(OR(INDEX($B380:$D380,H$5)="F",AND(H$6&gt;0,$A380&lt;H$6),AND(H$7&gt;0,$A380&gt;H$7)),0,MAX(0,ROUND((INDEX($E380:$G380,H$5)-SUMIFS(TF_Timer,TF_Tekniker,H$4,TF_Dato,$A380))*2,0)/2)))</f>
        <v/>
      </c>
      <c r="I380">
        <f>IF(OR(I$4="",$A380&gt;TODAY()),0,IF(OR(INDEX($B380:$D380,I$5)="F",AND(I$6&gt;0,$A380&lt;I$6),AND(I$7&gt;0,$A380&gt;I$7)),0,MAX(0,ROUND((INDEX($E380:$G380,I$5)-SUMIFS(TF_Timer,TF_Tekniker,I$4,TF_Dato,$A380))*2,0)/2)))</f>
        <v/>
      </c>
      <c r="J380">
        <f>IF(OR(J$4="",$A380&gt;TODAY()),0,IF(OR(INDEX($B380:$D380,J$5)="F",AND(J$6&gt;0,$A380&lt;J$6),AND(J$7&gt;0,$A380&gt;J$7)),0,MAX(0,ROUND((INDEX($E380:$G380,J$5)-SUMIFS(TF_Timer,TF_Tekniker,J$4,TF_Dato,$A380))*2,0)/2)))</f>
        <v/>
      </c>
      <c r="K380">
        <f>IF(OR(K$4="",$A380&gt;TODAY()),0,IF(OR(INDEX($B380:$D380,K$5)="F",AND(K$6&gt;0,$A380&lt;K$6),AND(K$7&gt;0,$A380&gt;K$7)),0,MAX(0,ROUND((INDEX($E380:$G380,K$5)-SUMIFS(TF_Timer,TF_Tekniker,K$4,TF_Dato,$A380))*2,0)/2)))</f>
        <v/>
      </c>
      <c r="L380">
        <f>IF(OR(L$4="",$A380&gt;TODAY()),0,IF(OR(INDEX($B380:$D380,L$5)="F",AND(L$6&gt;0,$A380&lt;L$6),AND(L$7&gt;0,$A380&gt;L$7)),0,MAX(0,ROUND((INDEX($E380:$G380,L$5)-SUMIFS(TF_Timer,TF_Tekniker,L$4,TF_Dato,$A380))*2,0)/2)))</f>
        <v/>
      </c>
      <c r="M380">
        <f>IF(OR(M$4="",$A380&gt;TODAY()),0,IF(OR(INDEX($B380:$D380,M$5)="F",AND(M$6&gt;0,$A380&lt;M$6),AND(M$7&gt;0,$A380&gt;M$7)),0,MAX(0,ROUND((INDEX($E380:$G380,M$5)-SUMIFS(TF_Timer,TF_Tekniker,M$4,TF_Dato,$A380))*2,0)/2)))</f>
        <v/>
      </c>
      <c r="N380">
        <f>IF(OR(N$4="",$A380&gt;TODAY()),0,IF(OR(INDEX($B380:$D380,N$5)="F",AND(N$6&gt;0,$A380&lt;N$6),AND(N$7&gt;0,$A380&gt;N$7)),0,MAX(0,ROUND((INDEX($E380:$G380,N$5)-SUMIFS(TF_Timer,TF_Tekniker,N$4,TF_Dato,$A380))*2,0)/2)))</f>
        <v/>
      </c>
      <c r="O380">
        <f>IF(OR(O$4="",$A380&gt;TODAY()),0,IF(OR(INDEX($B380:$D380,O$5)="F",AND(O$6&gt;0,$A380&lt;O$6),AND(O$7&gt;0,$A380&gt;O$7)),0,MAX(0,ROUND((INDEX($E380:$G380,O$5)-SUMIFS(TF_Timer,TF_Tekniker,O$4,TF_Dato,$A380))*2,0)/2)))</f>
        <v/>
      </c>
      <c r="P380">
        <f>IF(OR(P$4="",$A380&gt;TODAY()),0,IF(OR(INDEX($B380:$D380,P$5)="F",AND(P$6&gt;0,$A380&lt;P$6),AND(P$7&gt;0,$A380&gt;P$7)),0,MAX(0,ROUND((INDEX($E380:$G380,P$5)-SUMIFS(TF_Timer,TF_Tekniker,P$4,TF_Dato,$A380))*2,0)/2)))</f>
        <v/>
      </c>
      <c r="Q380">
        <f>IF(OR(Q$4="",$A380&gt;TODAY()),0,IF(OR(INDEX($B380:$D380,Q$5)="F",AND(Q$6&gt;0,$A380&lt;Q$6),AND(Q$7&gt;0,$A380&gt;Q$7)),0,MAX(0,ROUND((INDEX($E380:$G380,Q$5)-SUMIFS(TF_Timer,TF_Tekniker,Q$4,TF_Dato,$A380))*2,0)/2)))</f>
        <v/>
      </c>
      <c r="R380">
        <f>IF(OR(R$4="",$A380&gt;TODAY()),0,IF(OR(INDEX($B380:$D380,R$5)="F",AND(R$6&gt;0,$A380&lt;R$6),AND(R$7&gt;0,$A380&gt;R$7)),0,MAX(0,ROUND((INDEX($E380:$G380,R$5)-SUMIFS(TF_Timer,TF_Tekniker,R$4,TF_Dato,$A380))*2,0)/2)))</f>
        <v/>
      </c>
      <c r="S380">
        <f>IF(OR(S$4="",$A380&gt;TODAY()),0,IF(OR(INDEX($B380:$D380,S$5)="F",AND(S$6&gt;0,$A380&lt;S$6),AND(S$7&gt;0,$A380&gt;S$7)),0,MAX(0,ROUND((INDEX($E380:$G380,S$5)-SUMIFS(TF_Timer,TF_Tekniker,S$4,TF_Dato,$A380))*2,0)/2)))</f>
        <v/>
      </c>
      <c r="T380">
        <f>IF(OR(T$4="",$A380&gt;TODAY()),0,IF(OR(INDEX($B380:$D380,T$5)="F",AND(T$6&gt;0,$A380&lt;T$6),AND(T$7&gt;0,$A380&gt;T$7)),0,MAX(0,ROUND((INDEX($E380:$G380,T$5)-SUMIFS(TF_Timer,TF_Tekniker,T$4,TF_Dato,$A380))*2,0)/2)))</f>
        <v/>
      </c>
      <c r="U380">
        <f>IF(OR(U$4="",$A380&gt;TODAY()),0,IF(OR(INDEX($B380:$D380,U$5)="F",AND(U$6&gt;0,$A380&lt;U$6),AND(U$7&gt;0,$A380&gt;U$7)),0,MAX(0,ROUND((INDEX($E380:$G380,U$5)-SUMIFS(TF_Timer,TF_Tekniker,U$4,TF_Dato,$A380))*2,0)/2)))</f>
        <v/>
      </c>
      <c r="V380">
        <f>IF(OR(V$4="",$A380&gt;TODAY()),0,IF(OR(INDEX($B380:$D380,V$5)="F",AND(V$6&gt;0,$A380&lt;V$6),AND(V$7&gt;0,$A380&gt;V$7)),0,MAX(0,ROUND((INDEX($E380:$G380,V$5)-SUMIFS(TF_Timer,TF_Tekniker,V$4,TF_Dato,$A380))*2,0)/2)))</f>
        <v/>
      </c>
      <c r="W380">
        <f>IF(OR(W$4="",$A380&gt;TODAY()),0,IF(OR(INDEX($B380:$D380,W$5)="F",AND(W$6&gt;0,$A380&lt;W$6),AND(W$7&gt;0,$A380&gt;W$7)),0,MAX(0,ROUND((INDEX($E380:$G380,W$5)-SUMIFS(TF_Timer,TF_Tekniker,W$4,TF_Dato,$A380))*2,0)/2)))</f>
        <v/>
      </c>
      <c r="X380">
        <f>IF(OR(X$4="",$A380&gt;TODAY()),0,IF(OR(INDEX($B380:$D380,X$5)="F",AND(X$6&gt;0,$A380&lt;X$6),AND(X$7&gt;0,$A380&gt;X$7)),0,MAX(0,ROUND((INDEX($E380:$G380,X$5)-SUMIFS(TF_Timer,TF_Tekniker,X$4,TF_Dato,$A380))*2,0)/2)))</f>
        <v/>
      </c>
      <c r="Y380">
        <f>IF(OR(Y$4="",$A380&gt;TODAY()),0,IF(OR(INDEX($B380:$D380,Y$5)="F",AND(Y$6&gt;0,$A380&lt;Y$6),AND(Y$7&gt;0,$A380&gt;Y$7)),0,MAX(0,ROUND((INDEX($E380:$G380,Y$5)-SUMIFS(TF_Timer,TF_Tekniker,Y$4,TF_Dato,$A380))*2,0)/2)))</f>
        <v/>
      </c>
      <c r="Z380">
        <f>IF(OR(Z$4="",$A380&gt;TODAY()),0,IF(OR(INDEX($B380:$D380,Z$5)="F",AND(Z$6&gt;0,$A380&lt;Z$6),AND(Z$7&gt;0,$A380&gt;Z$7)),0,MAX(0,ROUND((INDEX($E380:$G380,Z$5)-SUMIFS(TF_Timer,TF_Tekniker,Z$4,TF_Dato,$A380))*2,0)/2)))</f>
        <v/>
      </c>
      <c r="AA380">
        <f>IF(OR(AA$4="",$A380&gt;TODAY()),0,IF(OR(INDEX($B380:$D380,AA$5)="F",AND(AA$6&gt;0,$A380&lt;AA$6),AND(AA$7&gt;0,$A380&gt;AA$7)),0,MAX(0,ROUND((INDEX($E380:$G380,AA$5)-SUMIFS(TF_Timer,TF_Tekniker,AA$4,TF_Dato,$A380))*2,0)/2)))</f>
        <v/>
      </c>
      <c r="AB380">
        <f>IF(OR(AB$4="",$A380&gt;TODAY()),0,IF(OR(INDEX($B380:$D380,AB$5)="F",AND(AB$6&gt;0,$A380&lt;AB$6),AND(AB$7&gt;0,$A380&gt;AB$7)),0,MAX(0,ROUND((INDEX($E380:$G380,AB$5)-SUMIFS(TF_Timer,TF_Tekniker,AB$4,TF_Dato,$A380))*2,0)/2)))</f>
        <v/>
      </c>
      <c r="AC380">
        <f>IF(OR(AC$4="",$A380&gt;TODAY()),0,IF(OR(INDEX($B380:$D380,AC$5)="F",AND(AC$6&gt;0,$A380&lt;AC$6),AND(AC$7&gt;0,$A380&gt;AC$7)),0,MAX(0,ROUND((INDEX($E380:$G380,AC$5)-SUMIFS(TF_Timer,TF_Tekniker,AC$4,TF_Dato,$A380))*2,0)/2)))</f>
        <v/>
      </c>
      <c r="AD380">
        <f>IF(OR(AD$4="",$A380&gt;TODAY()),0,IF(OR(INDEX($B380:$D380,AD$5)="F",AND(AD$6&gt;0,$A380&lt;AD$6),AND(AD$7&gt;0,$A380&gt;AD$7)),0,MAX(0,ROUND((INDEX($E380:$G380,AD$5)-SUMIFS(TF_Timer,TF_Tekniker,AD$4,TF_Dato,$A380))*2,0)/2)))</f>
        <v/>
      </c>
      <c r="AE380">
        <f>IF(OR(AE$4="",$A380&gt;TODAY()),0,IF(OR(INDEX($B380:$D380,AE$5)="F",AND(AE$6&gt;0,$A380&lt;AE$6),AND(AE$7&gt;0,$A380&gt;AE$7)),0,MAX(0,ROUND((INDEX($E380:$G380,AE$5)-SUMIFS(TF_Timer,TF_Tekniker,AE$4,TF_Dato,$A380))*2,0)/2)))</f>
        <v/>
      </c>
      <c r="AF380">
        <f>IF(OR(AF$4="",$A380&gt;TODAY()),0,IF(OR(INDEX($B380:$D380,AF$5)="F",AND(AF$6&gt;0,$A380&lt;AF$6),AND(AF$7&gt;0,$A380&gt;AF$7)),0,MAX(0,ROUND((INDEX($E380:$G380,AF$5)-SUMIFS(TF_Timer,TF_Tekniker,AF$4,TF_Dato,$A380))*2,0)/2)))</f>
        <v/>
      </c>
      <c r="AG380">
        <f>IF(OR(AG$4="",$A380&gt;TODAY()),0,IF(OR(INDEX($B380:$D380,AG$5)="F",AND(AG$6&gt;0,$A380&lt;AG$6),AND(AG$7&gt;0,$A380&gt;AG$7)),0,MAX(0,ROUND((INDEX($E380:$G380,AG$5)-SUMIFS(TF_Timer,TF_Tekniker,AG$4,TF_Dato,$A380))*2,0)/2)))</f>
        <v/>
      </c>
      <c r="AH380">
        <f>IF(OR(AH$4="",$A380&gt;TODAY()),0,IF(OR(INDEX($B380:$D380,AH$5)="F",AND(AH$6&gt;0,$A380&lt;AH$6),AND(AH$7&gt;0,$A380&gt;AH$7)),0,MAX(0,ROUND((INDEX($E380:$G380,AH$5)-SUMIFS(TF_Timer,TF_Tekniker,AH$4,TF_Dato,$A380))*2,0)/2)))</f>
        <v/>
      </c>
      <c r="AI380">
        <f>IF(OR(AI$4="",$A380&gt;TODAY()),0,IF(OR(INDEX($B380:$D380,AI$5)="F",AND(AI$6&gt;0,$A380&lt;AI$6),AND(AI$7&gt;0,$A380&gt;AI$7)),0,MAX(0,ROUND((INDEX($E380:$G380,AI$5)-SUMIFS(TF_Timer,TF_Tekniker,AI$4,TF_Dato,$A380))*2,0)/2)))</f>
        <v/>
      </c>
      <c r="AJ380">
        <f>IF(OR(AJ$4="",$A380&gt;TODAY()),0,IF(OR(INDEX($B380:$D380,AJ$5)="F",AND(AJ$6&gt;0,$A380&lt;AJ$6),AND(AJ$7&gt;0,$A380&gt;AJ$7)),0,MAX(0,ROUND((INDEX($E380:$G380,AJ$5)-SUMIFS(TF_Timer,TF_Tekniker,AJ$4,TF_Dato,$A380))*2,0)/2)))</f>
        <v/>
      </c>
      <c r="AK380">
        <f>IF(OR(AK$4="",$A380&gt;TODAY()),0,IF(OR(INDEX($B380:$D380,AK$5)="F",AND(AK$6&gt;0,$A380&lt;AK$6),AND(AK$7&gt;0,$A380&gt;AK$7)),0,MAX(0,ROUND((INDEX($E380:$G380,AK$5)-SUMIFS(TF_Timer,TF_Tekniker,AK$4,TF_Dato,$A380))*2,0)/2)))</f>
        <v/>
      </c>
      <c r="AL380">
        <f>IF(OR(AL$4="",$A380&gt;TODAY()),0,IF(OR(INDEX($B380:$D380,AL$5)="F",AND(AL$6&gt;0,$A380&lt;AL$6),AND(AL$7&gt;0,$A380&gt;AL$7)),0,MAX(0,ROUND((INDEX($E380:$G380,AL$5)-SUMIFS(TF_Timer,TF_Tekniker,AL$4,TF_Dato,$A380))*2,0)/2)))</f>
        <v/>
      </c>
      <c r="AM380">
        <f>IF(OR(AM$4="",$A380&gt;TODAY()),0,IF(OR(INDEX($B380:$D380,AM$5)="F",AND(AM$6&gt;0,$A380&lt;AM$6),AND(AM$7&gt;0,$A380&gt;AM$7)),0,MAX(0,ROUND((INDEX($E380:$G380,AM$5)-SUMIFS(TF_Timer,TF_Tekniker,AM$4,TF_Dato,$A380))*2,0)/2)))</f>
        <v/>
      </c>
      <c r="AN380">
        <f>IF(OR(AN$4="",$A380&gt;TODAY()),0,IF(OR(INDEX($B380:$D380,AN$5)="F",AND(AN$6&gt;0,$A380&lt;AN$6),AND(AN$7&gt;0,$A380&gt;AN$7)),0,MAX(0,ROUND((INDEX($E380:$G380,AN$5)-SUMIFS(TF_Timer,TF_Tekniker,AN$4,TF_Dato,$A380))*2,0)/2)))</f>
        <v/>
      </c>
      <c r="AO380">
        <f>IF(OR(AO$4="",$A380&gt;TODAY()),0,IF(OR(INDEX($B380:$D380,AO$5)="F",AND(AO$6&gt;0,$A380&lt;AO$6),AND(AO$7&gt;0,$A380&gt;AO$7)),0,MAX(0,ROUND((INDEX($E380:$G380,AO$5)-SUMIFS(TF_Timer,TF_Tekniker,AO$4,TF_Dato,$A380))*2,0)/2)))</f>
        <v/>
      </c>
      <c r="AP380">
        <f>IF(OR(AP$4="",$A380&gt;TODAY()),0,IF(OR(INDEX($B380:$D380,AP$5)="F",AND(AP$6&gt;0,$A380&lt;AP$6),AND(AP$7&gt;0,$A380&gt;AP$7)),0,MAX(0,ROUND((INDEX($E380:$G380,AP$5)-SUMIFS(TF_Timer,TF_Tekniker,AP$4,TF_Dato,$A380))*2,0)/2)))</f>
        <v/>
      </c>
      <c r="AQ380">
        <f>IF(OR(AQ$4="",$A380&gt;TODAY()),0,IF(OR(INDEX($B380:$D380,AQ$5)="F",AND(AQ$6&gt;0,$A380&lt;AQ$6),AND(AQ$7&gt;0,$A380&gt;AQ$7)),0,MAX(0,ROUND((INDEX($E380:$G380,AQ$5)-SUMIFS(TF_Timer,TF_Tekniker,AQ$4,TF_Dato,$A380))*2,0)/2)))</f>
        <v/>
      </c>
      <c r="AR380">
        <f>IF(OR(AR$4="",$A380&gt;TODAY()),0,IF(OR(INDEX($B380:$D380,AR$5)="F",AND(AR$6&gt;0,$A380&lt;AR$6),AND(AR$7&gt;0,$A380&gt;AR$7)),0,MAX(0,ROUND((INDEX($E380:$G380,AR$5)-SUMIFS(TF_Timer,TF_Tekniker,AR$4,TF_Dato,$A380))*2,0)/2)))</f>
        <v/>
      </c>
      <c r="AS380">
        <f>IF(OR(AS$4="",$A380&gt;TODAY()),0,IF(OR(INDEX($B380:$D380,AS$5)="F",AND(AS$6&gt;0,$A380&lt;AS$6),AND(AS$7&gt;0,$A380&gt;AS$7)),0,MAX(0,ROUND((INDEX($E380:$G380,AS$5)-SUMIFS(TF_Timer,TF_Tekniker,AS$4,TF_Dato,$A380))*2,0)/2)))</f>
        <v/>
      </c>
      <c r="AT380">
        <f>IF(OR(AT$4="",$A380&gt;TODAY()),0,IF(OR(INDEX($B380:$D380,AT$5)="F",AND(AT$6&gt;0,$A380&lt;AT$6),AND(AT$7&gt;0,$A380&gt;AT$7)),0,MAX(0,ROUND((INDEX($E380:$G380,AT$5)-SUMIFS(TF_Timer,TF_Tekniker,AT$4,TF_Dato,$A380))*2,0)/2)))</f>
        <v/>
      </c>
      <c r="AU380">
        <f>IF(OR(AU$4="",$A380&gt;TODAY()),0,IF(OR(INDEX($B380:$D380,AU$5)="F",AND(AU$6&gt;0,$A380&lt;AU$6),AND(AU$7&gt;0,$A380&gt;AU$7)),0,MAX(0,ROUND((INDEX($E380:$G380,AU$5)-SUMIFS(TF_Timer,TF_Tekniker,AU$4,TF_Dato,$A380))*2,0)/2)))</f>
        <v/>
      </c>
      <c r="AV380">
        <f>IF(OR(AV$4="",$A380&gt;TODAY()),0,IF(OR(INDEX($B380:$D380,AV$5)="F",AND(AV$6&gt;0,$A380&lt;AV$6),AND(AV$7&gt;0,$A380&gt;AV$7)),0,MAX(0,ROUND((INDEX($E380:$G380,AV$5)-SUMIFS(TF_Timer,TF_Tekniker,AV$4,TF_Dato,$A380))*2,0)/2)))</f>
        <v/>
      </c>
      <c r="AW380">
        <f>IF(OR(AW$4="",$A380&gt;TODAY()),0,IF(OR(INDEX($B380:$D380,AW$5)="F",AND(AW$6&gt;0,$A380&lt;AW$6),AND(AW$7&gt;0,$A380&gt;AW$7)),0,MAX(0,ROUND((INDEX($E380:$G380,AW$5)-SUMIFS(TF_Timer,TF_Tekniker,AW$4,TF_Dato,$A380))*2,0)/2)))</f>
        <v/>
      </c>
      <c r="AX380">
        <f>IF(OR(AX$4="",$A380&gt;TODAY()),0,IF(OR(INDEX($B380:$D380,AX$5)="F",AND(AX$6&gt;0,$A380&lt;AX$6),AND(AX$7&gt;0,$A380&gt;AX$7)),0,MAX(0,ROUND((INDEX($E380:$G380,AX$5)-SUMIFS(TF_Timer,TF_Tekniker,AX$4,TF_Dato,$A380))*2,0)/2)))</f>
        <v/>
      </c>
      <c r="AY380">
        <f>IF(OR(AY$4="",$A380&gt;TODAY()),0,IF(OR(INDEX($B380:$D380,AY$5)="F",AND(AY$6&gt;0,$A380&lt;AY$6),AND(AY$7&gt;0,$A380&gt;AY$7)),0,MAX(0,ROUND((INDEX($E380:$G380,AY$5)-SUMIFS(TF_Timer,TF_Tekniker,AY$4,TF_Dato,$A380))*2,0)/2)))</f>
        <v/>
      </c>
      <c r="AZ380">
        <f>IF(OR(AZ$4="",$A380&gt;TODAY()),0,IF(OR(INDEX($B380:$D380,AZ$5)="F",AND(AZ$6&gt;0,$A380&lt;AZ$6),AND(AZ$7&gt;0,$A380&gt;AZ$7)),0,MAX(0,ROUND((INDEX($E380:$G380,AZ$5)-SUMIFS(TF_Timer,TF_Tekniker,AZ$4,TF_Dato,$A380))*2,0)/2)))</f>
        <v/>
      </c>
      <c r="BA380">
        <f>IF(OR(BA$4="",$A380&gt;TODAY()),0,IF(OR(INDEX($B380:$D380,BA$5)="F",AND(BA$6&gt;0,$A380&lt;BA$6),AND(BA$7&gt;0,$A380&gt;BA$7)),0,MAX(0,ROUND((INDEX($E380:$G380,BA$5)-SUMIFS(TF_Timer,TF_Tekniker,BA$4,TF_Dato,$A380))*2,0)/2)))</f>
        <v/>
      </c>
      <c r="BB380">
        <f>IF(OR(BB$4="",$A380&gt;TODAY()),0,IF(OR(INDEX($B380:$D380,BB$5)="F",AND(BB$6&gt;0,$A380&lt;BB$6),AND(BB$7&gt;0,$A380&gt;BB$7)),0,MAX(0,ROUND((INDEX($E380:$G380,BB$5)-SUMIFS(TF_Timer,TF_Tekniker,BB$4,TF_Dato,$A380))*2,0)/2)))</f>
        <v/>
      </c>
      <c r="BC380">
        <f>IF(OR(BC$4="",$A380&gt;TODAY()),0,IF(OR(INDEX($B380:$D380,BC$5)="F",AND(BC$6&gt;0,$A380&lt;BC$6),AND(BC$7&gt;0,$A380&gt;BC$7)),0,MAX(0,ROUND((INDEX($E380:$G380,BC$5)-SUMIFS(TF_Timer,TF_Tekniker,BC$4,TF_Dato,$A380))*2,0)/2)))</f>
        <v/>
      </c>
      <c r="BD380">
        <f>IF(OR(BD$4="",$A380&gt;TODAY()),0,IF(OR(INDEX($B380:$D380,BD$5)="F",AND(BD$6&gt;0,$A380&lt;BD$6),AND(BD$7&gt;0,$A380&gt;BD$7)),0,MAX(0,ROUND((INDEX($E380:$G380,BD$5)-SUMIFS(TF_Timer,TF_Tekniker,BD$4,TF_Dato,$A380))*2,0)/2)))</f>
        <v/>
      </c>
      <c r="BE380">
        <f>IF(OR(BE$4="",$A380&gt;TODAY()),0,IF(OR(INDEX($B380:$D380,BE$5)="F",AND(BE$6&gt;0,$A380&lt;BE$6),AND(BE$7&gt;0,$A380&gt;BE$7)),0,MAX(0,ROUND((INDEX($E380:$G380,BE$5)-SUMIFS(TF_Timer,TF_Tekniker,BE$4,TF_Dato,$A380))*2,0)/2)))</f>
        <v/>
      </c>
      <c r="BF380">
        <f>IF(OR(BF$4="",$A380&gt;TODAY()),0,IF(OR(INDEX($B380:$D380,BF$5)="F",AND(BF$6&gt;0,$A380&lt;BF$6),AND(BF$7&gt;0,$A380&gt;BF$7)),0,MAX(0,ROUND((INDEX($E380:$G380,BF$5)-SUMIFS(TF_Timer,TF_Tekniker,BF$4,TF_Dato,$A380))*2,0)/2)))</f>
        <v/>
      </c>
      <c r="BG380">
        <f>IF(OR(BG$4="",$A380&gt;TODAY()),0,IF(OR(INDEX($B380:$D380,BG$5)="F",AND(BG$6&gt;0,$A380&lt;BG$6),AND(BG$7&gt;0,$A380&gt;BG$7)),0,MAX(0,ROUND((INDEX($E380:$G380,BG$5)-SUMIFS(TF_Timer,TF_Tekniker,BG$4,TF_Dato,$A380))*2,0)/2)))</f>
        <v/>
      </c>
      <c r="BH380">
        <f>IF(OR(BH$4="",$A380&gt;TODAY()),0,IF(OR(INDEX($B380:$D380,BH$5)="F",AND(BH$6&gt;0,$A380&lt;BH$6),AND(BH$7&gt;0,$A380&gt;BH$7)),0,MAX(0,ROUND((INDEX($E380:$G380,BH$5)-SUMIFS(TF_Timer,TF_Tekniker,BH$4,TF_Dato,$A380))*2,0)/2)))</f>
        <v/>
      </c>
      <c r="BI380">
        <f>IF(OR(BI$4="",$A380&gt;TODAY()),0,IF(OR(INDEX($B380:$D380,BI$5)="F",AND(BI$6&gt;0,$A380&lt;BI$6),AND(BI$7&gt;0,$A380&gt;BI$7)),0,MAX(0,ROUND((INDEX($E380:$G380,BI$5)-SUMIFS(TF_Timer,TF_Tekniker,BI$4,TF_Dato,$A380))*2,0)/2)))</f>
        <v/>
      </c>
    </row>
    <row r="381">
      <c r="A381" s="64">
        <f>A380+1</f>
        <v/>
      </c>
      <c r="B381">
        <f>IF(MOD($A381-INDEX(SkiftStart,1),Syklus)&lt;DagK,"K",IF(MOD($A381-INDEX(SkiftStart,1),Syklus)&lt;DagK+DagH,"H",IF(MOD($A381-INDEX(SkiftStart,1),Syklus)&lt;DagK+DagH+DagD,"D","F")))</f>
        <v/>
      </c>
      <c r="C381">
        <f>IF(MOD($A381-INDEX(SkiftStart,2),Syklus)&lt;DagK,"K",IF(MOD($A381-INDEX(SkiftStart,2),Syklus)&lt;DagK+DagH,"H",IF(MOD($A381-INDEX(SkiftStart,2),Syklus)&lt;DagK+DagH+DagD,"D","F")))</f>
        <v/>
      </c>
      <c r="D381">
        <f>IF(MOD($A381-INDEX(SkiftStart,3),Syklus)&lt;DagK,"K",IF(MOD($A381-INDEX(SkiftStart,3),Syklus)&lt;DagK+DagH,"H",IF(MOD($A381-INDEX(SkiftStart,3),Syklus)&lt;DagK+DagH+DagD,"D","F")))</f>
        <v/>
      </c>
      <c r="E381">
        <f>IF(B381="F",0,IF(WEEKDAY($A381,2)=5,INDEX(TimerFr,MATCH(B381,FaseKode,0)),INDEX(TimerMT,MATCH(B381,FaseKode,0))))</f>
        <v/>
      </c>
      <c r="F381">
        <f>IF(C381="F",0,IF(WEEKDAY($A381,2)=5,INDEX(TimerFr,MATCH(C381,FaseKode,0)),INDEX(TimerMT,MATCH(C381,FaseKode,0))))</f>
        <v/>
      </c>
      <c r="G381">
        <f>IF(D381="F",0,IF(WEEKDAY($A381,2)=5,INDEX(TimerFr,MATCH(D381,FaseKode,0)),INDEX(TimerMT,MATCH(D381,FaseKode,0))))</f>
        <v/>
      </c>
      <c r="H381">
        <f>IF(OR(H$4="",$A381&gt;TODAY()),0,IF(OR(INDEX($B381:$D381,H$5)="F",AND(H$6&gt;0,$A381&lt;H$6),AND(H$7&gt;0,$A381&gt;H$7)),0,MAX(0,ROUND((INDEX($E381:$G381,H$5)-SUMIFS(TF_Timer,TF_Tekniker,H$4,TF_Dato,$A381))*2,0)/2)))</f>
        <v/>
      </c>
      <c r="I381">
        <f>IF(OR(I$4="",$A381&gt;TODAY()),0,IF(OR(INDEX($B381:$D381,I$5)="F",AND(I$6&gt;0,$A381&lt;I$6),AND(I$7&gt;0,$A381&gt;I$7)),0,MAX(0,ROUND((INDEX($E381:$G381,I$5)-SUMIFS(TF_Timer,TF_Tekniker,I$4,TF_Dato,$A381))*2,0)/2)))</f>
        <v/>
      </c>
      <c r="J381">
        <f>IF(OR(J$4="",$A381&gt;TODAY()),0,IF(OR(INDEX($B381:$D381,J$5)="F",AND(J$6&gt;0,$A381&lt;J$6),AND(J$7&gt;0,$A381&gt;J$7)),0,MAX(0,ROUND((INDEX($E381:$G381,J$5)-SUMIFS(TF_Timer,TF_Tekniker,J$4,TF_Dato,$A381))*2,0)/2)))</f>
        <v/>
      </c>
      <c r="K381">
        <f>IF(OR(K$4="",$A381&gt;TODAY()),0,IF(OR(INDEX($B381:$D381,K$5)="F",AND(K$6&gt;0,$A381&lt;K$6),AND(K$7&gt;0,$A381&gt;K$7)),0,MAX(0,ROUND((INDEX($E381:$G381,K$5)-SUMIFS(TF_Timer,TF_Tekniker,K$4,TF_Dato,$A381))*2,0)/2)))</f>
        <v/>
      </c>
      <c r="L381">
        <f>IF(OR(L$4="",$A381&gt;TODAY()),0,IF(OR(INDEX($B381:$D381,L$5)="F",AND(L$6&gt;0,$A381&lt;L$6),AND(L$7&gt;0,$A381&gt;L$7)),0,MAX(0,ROUND((INDEX($E381:$G381,L$5)-SUMIFS(TF_Timer,TF_Tekniker,L$4,TF_Dato,$A381))*2,0)/2)))</f>
        <v/>
      </c>
      <c r="M381">
        <f>IF(OR(M$4="",$A381&gt;TODAY()),0,IF(OR(INDEX($B381:$D381,M$5)="F",AND(M$6&gt;0,$A381&lt;M$6),AND(M$7&gt;0,$A381&gt;M$7)),0,MAX(0,ROUND((INDEX($E381:$G381,M$5)-SUMIFS(TF_Timer,TF_Tekniker,M$4,TF_Dato,$A381))*2,0)/2)))</f>
        <v/>
      </c>
      <c r="N381">
        <f>IF(OR(N$4="",$A381&gt;TODAY()),0,IF(OR(INDEX($B381:$D381,N$5)="F",AND(N$6&gt;0,$A381&lt;N$6),AND(N$7&gt;0,$A381&gt;N$7)),0,MAX(0,ROUND((INDEX($E381:$G381,N$5)-SUMIFS(TF_Timer,TF_Tekniker,N$4,TF_Dato,$A381))*2,0)/2)))</f>
        <v/>
      </c>
      <c r="O381">
        <f>IF(OR(O$4="",$A381&gt;TODAY()),0,IF(OR(INDEX($B381:$D381,O$5)="F",AND(O$6&gt;0,$A381&lt;O$6),AND(O$7&gt;0,$A381&gt;O$7)),0,MAX(0,ROUND((INDEX($E381:$G381,O$5)-SUMIFS(TF_Timer,TF_Tekniker,O$4,TF_Dato,$A381))*2,0)/2)))</f>
        <v/>
      </c>
      <c r="P381">
        <f>IF(OR(P$4="",$A381&gt;TODAY()),0,IF(OR(INDEX($B381:$D381,P$5)="F",AND(P$6&gt;0,$A381&lt;P$6),AND(P$7&gt;0,$A381&gt;P$7)),0,MAX(0,ROUND((INDEX($E381:$G381,P$5)-SUMIFS(TF_Timer,TF_Tekniker,P$4,TF_Dato,$A381))*2,0)/2)))</f>
        <v/>
      </c>
      <c r="Q381">
        <f>IF(OR(Q$4="",$A381&gt;TODAY()),0,IF(OR(INDEX($B381:$D381,Q$5)="F",AND(Q$6&gt;0,$A381&lt;Q$6),AND(Q$7&gt;0,$A381&gt;Q$7)),0,MAX(0,ROUND((INDEX($E381:$G381,Q$5)-SUMIFS(TF_Timer,TF_Tekniker,Q$4,TF_Dato,$A381))*2,0)/2)))</f>
        <v/>
      </c>
      <c r="R381">
        <f>IF(OR(R$4="",$A381&gt;TODAY()),0,IF(OR(INDEX($B381:$D381,R$5)="F",AND(R$6&gt;0,$A381&lt;R$6),AND(R$7&gt;0,$A381&gt;R$7)),0,MAX(0,ROUND((INDEX($E381:$G381,R$5)-SUMIFS(TF_Timer,TF_Tekniker,R$4,TF_Dato,$A381))*2,0)/2)))</f>
        <v/>
      </c>
      <c r="S381">
        <f>IF(OR(S$4="",$A381&gt;TODAY()),0,IF(OR(INDEX($B381:$D381,S$5)="F",AND(S$6&gt;0,$A381&lt;S$6),AND(S$7&gt;0,$A381&gt;S$7)),0,MAX(0,ROUND((INDEX($E381:$G381,S$5)-SUMIFS(TF_Timer,TF_Tekniker,S$4,TF_Dato,$A381))*2,0)/2)))</f>
        <v/>
      </c>
      <c r="T381">
        <f>IF(OR(T$4="",$A381&gt;TODAY()),0,IF(OR(INDEX($B381:$D381,T$5)="F",AND(T$6&gt;0,$A381&lt;T$6),AND(T$7&gt;0,$A381&gt;T$7)),0,MAX(0,ROUND((INDEX($E381:$G381,T$5)-SUMIFS(TF_Timer,TF_Tekniker,T$4,TF_Dato,$A381))*2,0)/2)))</f>
        <v/>
      </c>
      <c r="U381">
        <f>IF(OR(U$4="",$A381&gt;TODAY()),0,IF(OR(INDEX($B381:$D381,U$5)="F",AND(U$6&gt;0,$A381&lt;U$6),AND(U$7&gt;0,$A381&gt;U$7)),0,MAX(0,ROUND((INDEX($E381:$G381,U$5)-SUMIFS(TF_Timer,TF_Tekniker,U$4,TF_Dato,$A381))*2,0)/2)))</f>
        <v/>
      </c>
      <c r="V381">
        <f>IF(OR(V$4="",$A381&gt;TODAY()),0,IF(OR(INDEX($B381:$D381,V$5)="F",AND(V$6&gt;0,$A381&lt;V$6),AND(V$7&gt;0,$A381&gt;V$7)),0,MAX(0,ROUND((INDEX($E381:$G381,V$5)-SUMIFS(TF_Timer,TF_Tekniker,V$4,TF_Dato,$A381))*2,0)/2)))</f>
        <v/>
      </c>
      <c r="W381">
        <f>IF(OR(W$4="",$A381&gt;TODAY()),0,IF(OR(INDEX($B381:$D381,W$5)="F",AND(W$6&gt;0,$A381&lt;W$6),AND(W$7&gt;0,$A381&gt;W$7)),0,MAX(0,ROUND((INDEX($E381:$G381,W$5)-SUMIFS(TF_Timer,TF_Tekniker,W$4,TF_Dato,$A381))*2,0)/2)))</f>
        <v/>
      </c>
      <c r="X381">
        <f>IF(OR(X$4="",$A381&gt;TODAY()),0,IF(OR(INDEX($B381:$D381,X$5)="F",AND(X$6&gt;0,$A381&lt;X$6),AND(X$7&gt;0,$A381&gt;X$7)),0,MAX(0,ROUND((INDEX($E381:$G381,X$5)-SUMIFS(TF_Timer,TF_Tekniker,X$4,TF_Dato,$A381))*2,0)/2)))</f>
        <v/>
      </c>
      <c r="Y381">
        <f>IF(OR(Y$4="",$A381&gt;TODAY()),0,IF(OR(INDEX($B381:$D381,Y$5)="F",AND(Y$6&gt;0,$A381&lt;Y$6),AND(Y$7&gt;0,$A381&gt;Y$7)),0,MAX(0,ROUND((INDEX($E381:$G381,Y$5)-SUMIFS(TF_Timer,TF_Tekniker,Y$4,TF_Dato,$A381))*2,0)/2)))</f>
        <v/>
      </c>
      <c r="Z381">
        <f>IF(OR(Z$4="",$A381&gt;TODAY()),0,IF(OR(INDEX($B381:$D381,Z$5)="F",AND(Z$6&gt;0,$A381&lt;Z$6),AND(Z$7&gt;0,$A381&gt;Z$7)),0,MAX(0,ROUND((INDEX($E381:$G381,Z$5)-SUMIFS(TF_Timer,TF_Tekniker,Z$4,TF_Dato,$A381))*2,0)/2)))</f>
        <v/>
      </c>
      <c r="AA381">
        <f>IF(OR(AA$4="",$A381&gt;TODAY()),0,IF(OR(INDEX($B381:$D381,AA$5)="F",AND(AA$6&gt;0,$A381&lt;AA$6),AND(AA$7&gt;0,$A381&gt;AA$7)),0,MAX(0,ROUND((INDEX($E381:$G381,AA$5)-SUMIFS(TF_Timer,TF_Tekniker,AA$4,TF_Dato,$A381))*2,0)/2)))</f>
        <v/>
      </c>
      <c r="AB381">
        <f>IF(OR(AB$4="",$A381&gt;TODAY()),0,IF(OR(INDEX($B381:$D381,AB$5)="F",AND(AB$6&gt;0,$A381&lt;AB$6),AND(AB$7&gt;0,$A381&gt;AB$7)),0,MAX(0,ROUND((INDEX($E381:$G381,AB$5)-SUMIFS(TF_Timer,TF_Tekniker,AB$4,TF_Dato,$A381))*2,0)/2)))</f>
        <v/>
      </c>
      <c r="AC381">
        <f>IF(OR(AC$4="",$A381&gt;TODAY()),0,IF(OR(INDEX($B381:$D381,AC$5)="F",AND(AC$6&gt;0,$A381&lt;AC$6),AND(AC$7&gt;0,$A381&gt;AC$7)),0,MAX(0,ROUND((INDEX($E381:$G381,AC$5)-SUMIFS(TF_Timer,TF_Tekniker,AC$4,TF_Dato,$A381))*2,0)/2)))</f>
        <v/>
      </c>
      <c r="AD381">
        <f>IF(OR(AD$4="",$A381&gt;TODAY()),0,IF(OR(INDEX($B381:$D381,AD$5)="F",AND(AD$6&gt;0,$A381&lt;AD$6),AND(AD$7&gt;0,$A381&gt;AD$7)),0,MAX(0,ROUND((INDEX($E381:$G381,AD$5)-SUMIFS(TF_Timer,TF_Tekniker,AD$4,TF_Dato,$A381))*2,0)/2)))</f>
        <v/>
      </c>
      <c r="AE381">
        <f>IF(OR(AE$4="",$A381&gt;TODAY()),0,IF(OR(INDEX($B381:$D381,AE$5)="F",AND(AE$6&gt;0,$A381&lt;AE$6),AND(AE$7&gt;0,$A381&gt;AE$7)),0,MAX(0,ROUND((INDEX($E381:$G381,AE$5)-SUMIFS(TF_Timer,TF_Tekniker,AE$4,TF_Dato,$A381))*2,0)/2)))</f>
        <v/>
      </c>
      <c r="AF381">
        <f>IF(OR(AF$4="",$A381&gt;TODAY()),0,IF(OR(INDEX($B381:$D381,AF$5)="F",AND(AF$6&gt;0,$A381&lt;AF$6),AND(AF$7&gt;0,$A381&gt;AF$7)),0,MAX(0,ROUND((INDEX($E381:$G381,AF$5)-SUMIFS(TF_Timer,TF_Tekniker,AF$4,TF_Dato,$A381))*2,0)/2)))</f>
        <v/>
      </c>
      <c r="AG381">
        <f>IF(OR(AG$4="",$A381&gt;TODAY()),0,IF(OR(INDEX($B381:$D381,AG$5)="F",AND(AG$6&gt;0,$A381&lt;AG$6),AND(AG$7&gt;0,$A381&gt;AG$7)),0,MAX(0,ROUND((INDEX($E381:$G381,AG$5)-SUMIFS(TF_Timer,TF_Tekniker,AG$4,TF_Dato,$A381))*2,0)/2)))</f>
        <v/>
      </c>
      <c r="AH381">
        <f>IF(OR(AH$4="",$A381&gt;TODAY()),0,IF(OR(INDEX($B381:$D381,AH$5)="F",AND(AH$6&gt;0,$A381&lt;AH$6),AND(AH$7&gt;0,$A381&gt;AH$7)),0,MAX(0,ROUND((INDEX($E381:$G381,AH$5)-SUMIFS(TF_Timer,TF_Tekniker,AH$4,TF_Dato,$A381))*2,0)/2)))</f>
        <v/>
      </c>
      <c r="AI381">
        <f>IF(OR(AI$4="",$A381&gt;TODAY()),0,IF(OR(INDEX($B381:$D381,AI$5)="F",AND(AI$6&gt;0,$A381&lt;AI$6),AND(AI$7&gt;0,$A381&gt;AI$7)),0,MAX(0,ROUND((INDEX($E381:$G381,AI$5)-SUMIFS(TF_Timer,TF_Tekniker,AI$4,TF_Dato,$A381))*2,0)/2)))</f>
        <v/>
      </c>
      <c r="AJ381">
        <f>IF(OR(AJ$4="",$A381&gt;TODAY()),0,IF(OR(INDEX($B381:$D381,AJ$5)="F",AND(AJ$6&gt;0,$A381&lt;AJ$6),AND(AJ$7&gt;0,$A381&gt;AJ$7)),0,MAX(0,ROUND((INDEX($E381:$G381,AJ$5)-SUMIFS(TF_Timer,TF_Tekniker,AJ$4,TF_Dato,$A381))*2,0)/2)))</f>
        <v/>
      </c>
      <c r="AK381">
        <f>IF(OR(AK$4="",$A381&gt;TODAY()),0,IF(OR(INDEX($B381:$D381,AK$5)="F",AND(AK$6&gt;0,$A381&lt;AK$6),AND(AK$7&gt;0,$A381&gt;AK$7)),0,MAX(0,ROUND((INDEX($E381:$G381,AK$5)-SUMIFS(TF_Timer,TF_Tekniker,AK$4,TF_Dato,$A381))*2,0)/2)))</f>
        <v/>
      </c>
      <c r="AL381">
        <f>IF(OR(AL$4="",$A381&gt;TODAY()),0,IF(OR(INDEX($B381:$D381,AL$5)="F",AND(AL$6&gt;0,$A381&lt;AL$6),AND(AL$7&gt;0,$A381&gt;AL$7)),0,MAX(0,ROUND((INDEX($E381:$G381,AL$5)-SUMIFS(TF_Timer,TF_Tekniker,AL$4,TF_Dato,$A381))*2,0)/2)))</f>
        <v/>
      </c>
      <c r="AM381">
        <f>IF(OR(AM$4="",$A381&gt;TODAY()),0,IF(OR(INDEX($B381:$D381,AM$5)="F",AND(AM$6&gt;0,$A381&lt;AM$6),AND(AM$7&gt;0,$A381&gt;AM$7)),0,MAX(0,ROUND((INDEX($E381:$G381,AM$5)-SUMIFS(TF_Timer,TF_Tekniker,AM$4,TF_Dato,$A381))*2,0)/2)))</f>
        <v/>
      </c>
      <c r="AN381">
        <f>IF(OR(AN$4="",$A381&gt;TODAY()),0,IF(OR(INDEX($B381:$D381,AN$5)="F",AND(AN$6&gt;0,$A381&lt;AN$6),AND(AN$7&gt;0,$A381&gt;AN$7)),0,MAX(0,ROUND((INDEX($E381:$G381,AN$5)-SUMIFS(TF_Timer,TF_Tekniker,AN$4,TF_Dato,$A381))*2,0)/2)))</f>
        <v/>
      </c>
      <c r="AO381">
        <f>IF(OR(AO$4="",$A381&gt;TODAY()),0,IF(OR(INDEX($B381:$D381,AO$5)="F",AND(AO$6&gt;0,$A381&lt;AO$6),AND(AO$7&gt;0,$A381&gt;AO$7)),0,MAX(0,ROUND((INDEX($E381:$G381,AO$5)-SUMIFS(TF_Timer,TF_Tekniker,AO$4,TF_Dato,$A381))*2,0)/2)))</f>
        <v/>
      </c>
      <c r="AP381">
        <f>IF(OR(AP$4="",$A381&gt;TODAY()),0,IF(OR(INDEX($B381:$D381,AP$5)="F",AND(AP$6&gt;0,$A381&lt;AP$6),AND(AP$7&gt;0,$A381&gt;AP$7)),0,MAX(0,ROUND((INDEX($E381:$G381,AP$5)-SUMIFS(TF_Timer,TF_Tekniker,AP$4,TF_Dato,$A381))*2,0)/2)))</f>
        <v/>
      </c>
      <c r="AQ381">
        <f>IF(OR(AQ$4="",$A381&gt;TODAY()),0,IF(OR(INDEX($B381:$D381,AQ$5)="F",AND(AQ$6&gt;0,$A381&lt;AQ$6),AND(AQ$7&gt;0,$A381&gt;AQ$7)),0,MAX(0,ROUND((INDEX($E381:$G381,AQ$5)-SUMIFS(TF_Timer,TF_Tekniker,AQ$4,TF_Dato,$A381))*2,0)/2)))</f>
        <v/>
      </c>
      <c r="AR381">
        <f>IF(OR(AR$4="",$A381&gt;TODAY()),0,IF(OR(INDEX($B381:$D381,AR$5)="F",AND(AR$6&gt;0,$A381&lt;AR$6),AND(AR$7&gt;0,$A381&gt;AR$7)),0,MAX(0,ROUND((INDEX($E381:$G381,AR$5)-SUMIFS(TF_Timer,TF_Tekniker,AR$4,TF_Dato,$A381))*2,0)/2)))</f>
        <v/>
      </c>
      <c r="AS381">
        <f>IF(OR(AS$4="",$A381&gt;TODAY()),0,IF(OR(INDEX($B381:$D381,AS$5)="F",AND(AS$6&gt;0,$A381&lt;AS$6),AND(AS$7&gt;0,$A381&gt;AS$7)),0,MAX(0,ROUND((INDEX($E381:$G381,AS$5)-SUMIFS(TF_Timer,TF_Tekniker,AS$4,TF_Dato,$A381))*2,0)/2)))</f>
        <v/>
      </c>
      <c r="AT381">
        <f>IF(OR(AT$4="",$A381&gt;TODAY()),0,IF(OR(INDEX($B381:$D381,AT$5)="F",AND(AT$6&gt;0,$A381&lt;AT$6),AND(AT$7&gt;0,$A381&gt;AT$7)),0,MAX(0,ROUND((INDEX($E381:$G381,AT$5)-SUMIFS(TF_Timer,TF_Tekniker,AT$4,TF_Dato,$A381))*2,0)/2)))</f>
        <v/>
      </c>
      <c r="AU381">
        <f>IF(OR(AU$4="",$A381&gt;TODAY()),0,IF(OR(INDEX($B381:$D381,AU$5)="F",AND(AU$6&gt;0,$A381&lt;AU$6),AND(AU$7&gt;0,$A381&gt;AU$7)),0,MAX(0,ROUND((INDEX($E381:$G381,AU$5)-SUMIFS(TF_Timer,TF_Tekniker,AU$4,TF_Dato,$A381))*2,0)/2)))</f>
        <v/>
      </c>
      <c r="AV381">
        <f>IF(OR(AV$4="",$A381&gt;TODAY()),0,IF(OR(INDEX($B381:$D381,AV$5)="F",AND(AV$6&gt;0,$A381&lt;AV$6),AND(AV$7&gt;0,$A381&gt;AV$7)),0,MAX(0,ROUND((INDEX($E381:$G381,AV$5)-SUMIFS(TF_Timer,TF_Tekniker,AV$4,TF_Dato,$A381))*2,0)/2)))</f>
        <v/>
      </c>
      <c r="AW381">
        <f>IF(OR(AW$4="",$A381&gt;TODAY()),0,IF(OR(INDEX($B381:$D381,AW$5)="F",AND(AW$6&gt;0,$A381&lt;AW$6),AND(AW$7&gt;0,$A381&gt;AW$7)),0,MAX(0,ROUND((INDEX($E381:$G381,AW$5)-SUMIFS(TF_Timer,TF_Tekniker,AW$4,TF_Dato,$A381))*2,0)/2)))</f>
        <v/>
      </c>
      <c r="AX381">
        <f>IF(OR(AX$4="",$A381&gt;TODAY()),0,IF(OR(INDEX($B381:$D381,AX$5)="F",AND(AX$6&gt;0,$A381&lt;AX$6),AND(AX$7&gt;0,$A381&gt;AX$7)),0,MAX(0,ROUND((INDEX($E381:$G381,AX$5)-SUMIFS(TF_Timer,TF_Tekniker,AX$4,TF_Dato,$A381))*2,0)/2)))</f>
        <v/>
      </c>
      <c r="AY381">
        <f>IF(OR(AY$4="",$A381&gt;TODAY()),0,IF(OR(INDEX($B381:$D381,AY$5)="F",AND(AY$6&gt;0,$A381&lt;AY$6),AND(AY$7&gt;0,$A381&gt;AY$7)),0,MAX(0,ROUND((INDEX($E381:$G381,AY$5)-SUMIFS(TF_Timer,TF_Tekniker,AY$4,TF_Dato,$A381))*2,0)/2)))</f>
        <v/>
      </c>
      <c r="AZ381">
        <f>IF(OR(AZ$4="",$A381&gt;TODAY()),0,IF(OR(INDEX($B381:$D381,AZ$5)="F",AND(AZ$6&gt;0,$A381&lt;AZ$6),AND(AZ$7&gt;0,$A381&gt;AZ$7)),0,MAX(0,ROUND((INDEX($E381:$G381,AZ$5)-SUMIFS(TF_Timer,TF_Tekniker,AZ$4,TF_Dato,$A381))*2,0)/2)))</f>
        <v/>
      </c>
      <c r="BA381">
        <f>IF(OR(BA$4="",$A381&gt;TODAY()),0,IF(OR(INDEX($B381:$D381,BA$5)="F",AND(BA$6&gt;0,$A381&lt;BA$6),AND(BA$7&gt;0,$A381&gt;BA$7)),0,MAX(0,ROUND((INDEX($E381:$G381,BA$5)-SUMIFS(TF_Timer,TF_Tekniker,BA$4,TF_Dato,$A381))*2,0)/2)))</f>
        <v/>
      </c>
      <c r="BB381">
        <f>IF(OR(BB$4="",$A381&gt;TODAY()),0,IF(OR(INDEX($B381:$D381,BB$5)="F",AND(BB$6&gt;0,$A381&lt;BB$6),AND(BB$7&gt;0,$A381&gt;BB$7)),0,MAX(0,ROUND((INDEX($E381:$G381,BB$5)-SUMIFS(TF_Timer,TF_Tekniker,BB$4,TF_Dato,$A381))*2,0)/2)))</f>
        <v/>
      </c>
      <c r="BC381">
        <f>IF(OR(BC$4="",$A381&gt;TODAY()),0,IF(OR(INDEX($B381:$D381,BC$5)="F",AND(BC$6&gt;0,$A381&lt;BC$6),AND(BC$7&gt;0,$A381&gt;BC$7)),0,MAX(0,ROUND((INDEX($E381:$G381,BC$5)-SUMIFS(TF_Timer,TF_Tekniker,BC$4,TF_Dato,$A381))*2,0)/2)))</f>
        <v/>
      </c>
      <c r="BD381">
        <f>IF(OR(BD$4="",$A381&gt;TODAY()),0,IF(OR(INDEX($B381:$D381,BD$5)="F",AND(BD$6&gt;0,$A381&lt;BD$6),AND(BD$7&gt;0,$A381&gt;BD$7)),0,MAX(0,ROUND((INDEX($E381:$G381,BD$5)-SUMIFS(TF_Timer,TF_Tekniker,BD$4,TF_Dato,$A381))*2,0)/2)))</f>
        <v/>
      </c>
      <c r="BE381">
        <f>IF(OR(BE$4="",$A381&gt;TODAY()),0,IF(OR(INDEX($B381:$D381,BE$5)="F",AND(BE$6&gt;0,$A381&lt;BE$6),AND(BE$7&gt;0,$A381&gt;BE$7)),0,MAX(0,ROUND((INDEX($E381:$G381,BE$5)-SUMIFS(TF_Timer,TF_Tekniker,BE$4,TF_Dato,$A381))*2,0)/2)))</f>
        <v/>
      </c>
      <c r="BF381">
        <f>IF(OR(BF$4="",$A381&gt;TODAY()),0,IF(OR(INDEX($B381:$D381,BF$5)="F",AND(BF$6&gt;0,$A381&lt;BF$6),AND(BF$7&gt;0,$A381&gt;BF$7)),0,MAX(0,ROUND((INDEX($E381:$G381,BF$5)-SUMIFS(TF_Timer,TF_Tekniker,BF$4,TF_Dato,$A381))*2,0)/2)))</f>
        <v/>
      </c>
      <c r="BG381">
        <f>IF(OR(BG$4="",$A381&gt;TODAY()),0,IF(OR(INDEX($B381:$D381,BG$5)="F",AND(BG$6&gt;0,$A381&lt;BG$6),AND(BG$7&gt;0,$A381&gt;BG$7)),0,MAX(0,ROUND((INDEX($E381:$G381,BG$5)-SUMIFS(TF_Timer,TF_Tekniker,BG$4,TF_Dato,$A381))*2,0)/2)))</f>
        <v/>
      </c>
      <c r="BH381">
        <f>IF(OR(BH$4="",$A381&gt;TODAY()),0,IF(OR(INDEX($B381:$D381,BH$5)="F",AND(BH$6&gt;0,$A381&lt;BH$6),AND(BH$7&gt;0,$A381&gt;BH$7)),0,MAX(0,ROUND((INDEX($E381:$G381,BH$5)-SUMIFS(TF_Timer,TF_Tekniker,BH$4,TF_Dato,$A381))*2,0)/2)))</f>
        <v/>
      </c>
      <c r="BI381">
        <f>IF(OR(BI$4="",$A381&gt;TODAY()),0,IF(OR(INDEX($B381:$D381,BI$5)="F",AND(BI$6&gt;0,$A381&lt;BI$6),AND(BI$7&gt;0,$A381&gt;BI$7)),0,MAX(0,ROUND((INDEX($E381:$G381,BI$5)-SUMIFS(TF_Timer,TF_Tekniker,BI$4,TF_Dato,$A381))*2,0)/2)))</f>
        <v/>
      </c>
    </row>
    <row r="382">
      <c r="A382" s="64">
        <f>A381+1</f>
        <v/>
      </c>
      <c r="B382">
        <f>IF(MOD($A382-INDEX(SkiftStart,1),Syklus)&lt;DagK,"K",IF(MOD($A382-INDEX(SkiftStart,1),Syklus)&lt;DagK+DagH,"H",IF(MOD($A382-INDEX(SkiftStart,1),Syklus)&lt;DagK+DagH+DagD,"D","F")))</f>
        <v/>
      </c>
      <c r="C382">
        <f>IF(MOD($A382-INDEX(SkiftStart,2),Syklus)&lt;DagK,"K",IF(MOD($A382-INDEX(SkiftStart,2),Syklus)&lt;DagK+DagH,"H",IF(MOD($A382-INDEX(SkiftStart,2),Syklus)&lt;DagK+DagH+DagD,"D","F")))</f>
        <v/>
      </c>
      <c r="D382">
        <f>IF(MOD($A382-INDEX(SkiftStart,3),Syklus)&lt;DagK,"K",IF(MOD($A382-INDEX(SkiftStart,3),Syklus)&lt;DagK+DagH,"H",IF(MOD($A382-INDEX(SkiftStart,3),Syklus)&lt;DagK+DagH+DagD,"D","F")))</f>
        <v/>
      </c>
      <c r="E382">
        <f>IF(B382="F",0,IF(WEEKDAY($A382,2)=5,INDEX(TimerFr,MATCH(B382,FaseKode,0)),INDEX(TimerMT,MATCH(B382,FaseKode,0))))</f>
        <v/>
      </c>
      <c r="F382">
        <f>IF(C382="F",0,IF(WEEKDAY($A382,2)=5,INDEX(TimerFr,MATCH(C382,FaseKode,0)),INDEX(TimerMT,MATCH(C382,FaseKode,0))))</f>
        <v/>
      </c>
      <c r="G382">
        <f>IF(D382="F",0,IF(WEEKDAY($A382,2)=5,INDEX(TimerFr,MATCH(D382,FaseKode,0)),INDEX(TimerMT,MATCH(D382,FaseKode,0))))</f>
        <v/>
      </c>
      <c r="H382">
        <f>IF(OR(H$4="",$A382&gt;TODAY()),0,IF(OR(INDEX($B382:$D382,H$5)="F",AND(H$6&gt;0,$A382&lt;H$6),AND(H$7&gt;0,$A382&gt;H$7)),0,MAX(0,ROUND((INDEX($E382:$G382,H$5)-SUMIFS(TF_Timer,TF_Tekniker,H$4,TF_Dato,$A382))*2,0)/2)))</f>
        <v/>
      </c>
      <c r="I382">
        <f>IF(OR(I$4="",$A382&gt;TODAY()),0,IF(OR(INDEX($B382:$D382,I$5)="F",AND(I$6&gt;0,$A382&lt;I$6),AND(I$7&gt;0,$A382&gt;I$7)),0,MAX(0,ROUND((INDEX($E382:$G382,I$5)-SUMIFS(TF_Timer,TF_Tekniker,I$4,TF_Dato,$A382))*2,0)/2)))</f>
        <v/>
      </c>
      <c r="J382">
        <f>IF(OR(J$4="",$A382&gt;TODAY()),0,IF(OR(INDEX($B382:$D382,J$5)="F",AND(J$6&gt;0,$A382&lt;J$6),AND(J$7&gt;0,$A382&gt;J$7)),0,MAX(0,ROUND((INDEX($E382:$G382,J$5)-SUMIFS(TF_Timer,TF_Tekniker,J$4,TF_Dato,$A382))*2,0)/2)))</f>
        <v/>
      </c>
      <c r="K382">
        <f>IF(OR(K$4="",$A382&gt;TODAY()),0,IF(OR(INDEX($B382:$D382,K$5)="F",AND(K$6&gt;0,$A382&lt;K$6),AND(K$7&gt;0,$A382&gt;K$7)),0,MAX(0,ROUND((INDEX($E382:$G382,K$5)-SUMIFS(TF_Timer,TF_Tekniker,K$4,TF_Dato,$A382))*2,0)/2)))</f>
        <v/>
      </c>
      <c r="L382">
        <f>IF(OR(L$4="",$A382&gt;TODAY()),0,IF(OR(INDEX($B382:$D382,L$5)="F",AND(L$6&gt;0,$A382&lt;L$6),AND(L$7&gt;0,$A382&gt;L$7)),0,MAX(0,ROUND((INDEX($E382:$G382,L$5)-SUMIFS(TF_Timer,TF_Tekniker,L$4,TF_Dato,$A382))*2,0)/2)))</f>
        <v/>
      </c>
      <c r="M382">
        <f>IF(OR(M$4="",$A382&gt;TODAY()),0,IF(OR(INDEX($B382:$D382,M$5)="F",AND(M$6&gt;0,$A382&lt;M$6),AND(M$7&gt;0,$A382&gt;M$7)),0,MAX(0,ROUND((INDEX($E382:$G382,M$5)-SUMIFS(TF_Timer,TF_Tekniker,M$4,TF_Dato,$A382))*2,0)/2)))</f>
        <v/>
      </c>
      <c r="N382">
        <f>IF(OR(N$4="",$A382&gt;TODAY()),0,IF(OR(INDEX($B382:$D382,N$5)="F",AND(N$6&gt;0,$A382&lt;N$6),AND(N$7&gt;0,$A382&gt;N$7)),0,MAX(0,ROUND((INDEX($E382:$G382,N$5)-SUMIFS(TF_Timer,TF_Tekniker,N$4,TF_Dato,$A382))*2,0)/2)))</f>
        <v/>
      </c>
      <c r="O382">
        <f>IF(OR(O$4="",$A382&gt;TODAY()),0,IF(OR(INDEX($B382:$D382,O$5)="F",AND(O$6&gt;0,$A382&lt;O$6),AND(O$7&gt;0,$A382&gt;O$7)),0,MAX(0,ROUND((INDEX($E382:$G382,O$5)-SUMIFS(TF_Timer,TF_Tekniker,O$4,TF_Dato,$A382))*2,0)/2)))</f>
        <v/>
      </c>
      <c r="P382">
        <f>IF(OR(P$4="",$A382&gt;TODAY()),0,IF(OR(INDEX($B382:$D382,P$5)="F",AND(P$6&gt;0,$A382&lt;P$6),AND(P$7&gt;0,$A382&gt;P$7)),0,MAX(0,ROUND((INDEX($E382:$G382,P$5)-SUMIFS(TF_Timer,TF_Tekniker,P$4,TF_Dato,$A382))*2,0)/2)))</f>
        <v/>
      </c>
      <c r="Q382">
        <f>IF(OR(Q$4="",$A382&gt;TODAY()),0,IF(OR(INDEX($B382:$D382,Q$5)="F",AND(Q$6&gt;0,$A382&lt;Q$6),AND(Q$7&gt;0,$A382&gt;Q$7)),0,MAX(0,ROUND((INDEX($E382:$G382,Q$5)-SUMIFS(TF_Timer,TF_Tekniker,Q$4,TF_Dato,$A382))*2,0)/2)))</f>
        <v/>
      </c>
      <c r="R382">
        <f>IF(OR(R$4="",$A382&gt;TODAY()),0,IF(OR(INDEX($B382:$D382,R$5)="F",AND(R$6&gt;0,$A382&lt;R$6),AND(R$7&gt;0,$A382&gt;R$7)),0,MAX(0,ROUND((INDEX($E382:$G382,R$5)-SUMIFS(TF_Timer,TF_Tekniker,R$4,TF_Dato,$A382))*2,0)/2)))</f>
        <v/>
      </c>
      <c r="S382">
        <f>IF(OR(S$4="",$A382&gt;TODAY()),0,IF(OR(INDEX($B382:$D382,S$5)="F",AND(S$6&gt;0,$A382&lt;S$6),AND(S$7&gt;0,$A382&gt;S$7)),0,MAX(0,ROUND((INDEX($E382:$G382,S$5)-SUMIFS(TF_Timer,TF_Tekniker,S$4,TF_Dato,$A382))*2,0)/2)))</f>
        <v/>
      </c>
      <c r="T382">
        <f>IF(OR(T$4="",$A382&gt;TODAY()),0,IF(OR(INDEX($B382:$D382,T$5)="F",AND(T$6&gt;0,$A382&lt;T$6),AND(T$7&gt;0,$A382&gt;T$7)),0,MAX(0,ROUND((INDEX($E382:$G382,T$5)-SUMIFS(TF_Timer,TF_Tekniker,T$4,TF_Dato,$A382))*2,0)/2)))</f>
        <v/>
      </c>
      <c r="U382">
        <f>IF(OR(U$4="",$A382&gt;TODAY()),0,IF(OR(INDEX($B382:$D382,U$5)="F",AND(U$6&gt;0,$A382&lt;U$6),AND(U$7&gt;0,$A382&gt;U$7)),0,MAX(0,ROUND((INDEX($E382:$G382,U$5)-SUMIFS(TF_Timer,TF_Tekniker,U$4,TF_Dato,$A382))*2,0)/2)))</f>
        <v/>
      </c>
      <c r="V382">
        <f>IF(OR(V$4="",$A382&gt;TODAY()),0,IF(OR(INDEX($B382:$D382,V$5)="F",AND(V$6&gt;0,$A382&lt;V$6),AND(V$7&gt;0,$A382&gt;V$7)),0,MAX(0,ROUND((INDEX($E382:$G382,V$5)-SUMIFS(TF_Timer,TF_Tekniker,V$4,TF_Dato,$A382))*2,0)/2)))</f>
        <v/>
      </c>
      <c r="W382">
        <f>IF(OR(W$4="",$A382&gt;TODAY()),0,IF(OR(INDEX($B382:$D382,W$5)="F",AND(W$6&gt;0,$A382&lt;W$6),AND(W$7&gt;0,$A382&gt;W$7)),0,MAX(0,ROUND((INDEX($E382:$G382,W$5)-SUMIFS(TF_Timer,TF_Tekniker,W$4,TF_Dato,$A382))*2,0)/2)))</f>
        <v/>
      </c>
      <c r="X382">
        <f>IF(OR(X$4="",$A382&gt;TODAY()),0,IF(OR(INDEX($B382:$D382,X$5)="F",AND(X$6&gt;0,$A382&lt;X$6),AND(X$7&gt;0,$A382&gt;X$7)),0,MAX(0,ROUND((INDEX($E382:$G382,X$5)-SUMIFS(TF_Timer,TF_Tekniker,X$4,TF_Dato,$A382))*2,0)/2)))</f>
        <v/>
      </c>
      <c r="Y382">
        <f>IF(OR(Y$4="",$A382&gt;TODAY()),0,IF(OR(INDEX($B382:$D382,Y$5)="F",AND(Y$6&gt;0,$A382&lt;Y$6),AND(Y$7&gt;0,$A382&gt;Y$7)),0,MAX(0,ROUND((INDEX($E382:$G382,Y$5)-SUMIFS(TF_Timer,TF_Tekniker,Y$4,TF_Dato,$A382))*2,0)/2)))</f>
        <v/>
      </c>
      <c r="Z382">
        <f>IF(OR(Z$4="",$A382&gt;TODAY()),0,IF(OR(INDEX($B382:$D382,Z$5)="F",AND(Z$6&gt;0,$A382&lt;Z$6),AND(Z$7&gt;0,$A382&gt;Z$7)),0,MAX(0,ROUND((INDEX($E382:$G382,Z$5)-SUMIFS(TF_Timer,TF_Tekniker,Z$4,TF_Dato,$A382))*2,0)/2)))</f>
        <v/>
      </c>
      <c r="AA382">
        <f>IF(OR(AA$4="",$A382&gt;TODAY()),0,IF(OR(INDEX($B382:$D382,AA$5)="F",AND(AA$6&gt;0,$A382&lt;AA$6),AND(AA$7&gt;0,$A382&gt;AA$7)),0,MAX(0,ROUND((INDEX($E382:$G382,AA$5)-SUMIFS(TF_Timer,TF_Tekniker,AA$4,TF_Dato,$A382))*2,0)/2)))</f>
        <v/>
      </c>
      <c r="AB382">
        <f>IF(OR(AB$4="",$A382&gt;TODAY()),0,IF(OR(INDEX($B382:$D382,AB$5)="F",AND(AB$6&gt;0,$A382&lt;AB$6),AND(AB$7&gt;0,$A382&gt;AB$7)),0,MAX(0,ROUND((INDEX($E382:$G382,AB$5)-SUMIFS(TF_Timer,TF_Tekniker,AB$4,TF_Dato,$A382))*2,0)/2)))</f>
        <v/>
      </c>
      <c r="AC382">
        <f>IF(OR(AC$4="",$A382&gt;TODAY()),0,IF(OR(INDEX($B382:$D382,AC$5)="F",AND(AC$6&gt;0,$A382&lt;AC$6),AND(AC$7&gt;0,$A382&gt;AC$7)),0,MAX(0,ROUND((INDEX($E382:$G382,AC$5)-SUMIFS(TF_Timer,TF_Tekniker,AC$4,TF_Dato,$A382))*2,0)/2)))</f>
        <v/>
      </c>
      <c r="AD382">
        <f>IF(OR(AD$4="",$A382&gt;TODAY()),0,IF(OR(INDEX($B382:$D382,AD$5)="F",AND(AD$6&gt;0,$A382&lt;AD$6),AND(AD$7&gt;0,$A382&gt;AD$7)),0,MAX(0,ROUND((INDEX($E382:$G382,AD$5)-SUMIFS(TF_Timer,TF_Tekniker,AD$4,TF_Dato,$A382))*2,0)/2)))</f>
        <v/>
      </c>
      <c r="AE382">
        <f>IF(OR(AE$4="",$A382&gt;TODAY()),0,IF(OR(INDEX($B382:$D382,AE$5)="F",AND(AE$6&gt;0,$A382&lt;AE$6),AND(AE$7&gt;0,$A382&gt;AE$7)),0,MAX(0,ROUND((INDEX($E382:$G382,AE$5)-SUMIFS(TF_Timer,TF_Tekniker,AE$4,TF_Dato,$A382))*2,0)/2)))</f>
        <v/>
      </c>
      <c r="AF382">
        <f>IF(OR(AF$4="",$A382&gt;TODAY()),0,IF(OR(INDEX($B382:$D382,AF$5)="F",AND(AF$6&gt;0,$A382&lt;AF$6),AND(AF$7&gt;0,$A382&gt;AF$7)),0,MAX(0,ROUND((INDEX($E382:$G382,AF$5)-SUMIFS(TF_Timer,TF_Tekniker,AF$4,TF_Dato,$A382))*2,0)/2)))</f>
        <v/>
      </c>
      <c r="AG382">
        <f>IF(OR(AG$4="",$A382&gt;TODAY()),0,IF(OR(INDEX($B382:$D382,AG$5)="F",AND(AG$6&gt;0,$A382&lt;AG$6),AND(AG$7&gt;0,$A382&gt;AG$7)),0,MAX(0,ROUND((INDEX($E382:$G382,AG$5)-SUMIFS(TF_Timer,TF_Tekniker,AG$4,TF_Dato,$A382))*2,0)/2)))</f>
        <v/>
      </c>
      <c r="AH382">
        <f>IF(OR(AH$4="",$A382&gt;TODAY()),0,IF(OR(INDEX($B382:$D382,AH$5)="F",AND(AH$6&gt;0,$A382&lt;AH$6),AND(AH$7&gt;0,$A382&gt;AH$7)),0,MAX(0,ROUND((INDEX($E382:$G382,AH$5)-SUMIFS(TF_Timer,TF_Tekniker,AH$4,TF_Dato,$A382))*2,0)/2)))</f>
        <v/>
      </c>
      <c r="AI382">
        <f>IF(OR(AI$4="",$A382&gt;TODAY()),0,IF(OR(INDEX($B382:$D382,AI$5)="F",AND(AI$6&gt;0,$A382&lt;AI$6),AND(AI$7&gt;0,$A382&gt;AI$7)),0,MAX(0,ROUND((INDEX($E382:$G382,AI$5)-SUMIFS(TF_Timer,TF_Tekniker,AI$4,TF_Dato,$A382))*2,0)/2)))</f>
        <v/>
      </c>
      <c r="AJ382">
        <f>IF(OR(AJ$4="",$A382&gt;TODAY()),0,IF(OR(INDEX($B382:$D382,AJ$5)="F",AND(AJ$6&gt;0,$A382&lt;AJ$6),AND(AJ$7&gt;0,$A382&gt;AJ$7)),0,MAX(0,ROUND((INDEX($E382:$G382,AJ$5)-SUMIFS(TF_Timer,TF_Tekniker,AJ$4,TF_Dato,$A382))*2,0)/2)))</f>
        <v/>
      </c>
      <c r="AK382">
        <f>IF(OR(AK$4="",$A382&gt;TODAY()),0,IF(OR(INDEX($B382:$D382,AK$5)="F",AND(AK$6&gt;0,$A382&lt;AK$6),AND(AK$7&gt;0,$A382&gt;AK$7)),0,MAX(0,ROUND((INDEX($E382:$G382,AK$5)-SUMIFS(TF_Timer,TF_Tekniker,AK$4,TF_Dato,$A382))*2,0)/2)))</f>
        <v/>
      </c>
      <c r="AL382">
        <f>IF(OR(AL$4="",$A382&gt;TODAY()),0,IF(OR(INDEX($B382:$D382,AL$5)="F",AND(AL$6&gt;0,$A382&lt;AL$6),AND(AL$7&gt;0,$A382&gt;AL$7)),0,MAX(0,ROUND((INDEX($E382:$G382,AL$5)-SUMIFS(TF_Timer,TF_Tekniker,AL$4,TF_Dato,$A382))*2,0)/2)))</f>
        <v/>
      </c>
      <c r="AM382">
        <f>IF(OR(AM$4="",$A382&gt;TODAY()),0,IF(OR(INDEX($B382:$D382,AM$5)="F",AND(AM$6&gt;0,$A382&lt;AM$6),AND(AM$7&gt;0,$A382&gt;AM$7)),0,MAX(0,ROUND((INDEX($E382:$G382,AM$5)-SUMIFS(TF_Timer,TF_Tekniker,AM$4,TF_Dato,$A382))*2,0)/2)))</f>
        <v/>
      </c>
      <c r="AN382">
        <f>IF(OR(AN$4="",$A382&gt;TODAY()),0,IF(OR(INDEX($B382:$D382,AN$5)="F",AND(AN$6&gt;0,$A382&lt;AN$6),AND(AN$7&gt;0,$A382&gt;AN$7)),0,MAX(0,ROUND((INDEX($E382:$G382,AN$5)-SUMIFS(TF_Timer,TF_Tekniker,AN$4,TF_Dato,$A382))*2,0)/2)))</f>
        <v/>
      </c>
      <c r="AO382">
        <f>IF(OR(AO$4="",$A382&gt;TODAY()),0,IF(OR(INDEX($B382:$D382,AO$5)="F",AND(AO$6&gt;0,$A382&lt;AO$6),AND(AO$7&gt;0,$A382&gt;AO$7)),0,MAX(0,ROUND((INDEX($E382:$G382,AO$5)-SUMIFS(TF_Timer,TF_Tekniker,AO$4,TF_Dato,$A382))*2,0)/2)))</f>
        <v/>
      </c>
      <c r="AP382">
        <f>IF(OR(AP$4="",$A382&gt;TODAY()),0,IF(OR(INDEX($B382:$D382,AP$5)="F",AND(AP$6&gt;0,$A382&lt;AP$6),AND(AP$7&gt;0,$A382&gt;AP$7)),0,MAX(0,ROUND((INDEX($E382:$G382,AP$5)-SUMIFS(TF_Timer,TF_Tekniker,AP$4,TF_Dato,$A382))*2,0)/2)))</f>
        <v/>
      </c>
      <c r="AQ382">
        <f>IF(OR(AQ$4="",$A382&gt;TODAY()),0,IF(OR(INDEX($B382:$D382,AQ$5)="F",AND(AQ$6&gt;0,$A382&lt;AQ$6),AND(AQ$7&gt;0,$A382&gt;AQ$7)),0,MAX(0,ROUND((INDEX($E382:$G382,AQ$5)-SUMIFS(TF_Timer,TF_Tekniker,AQ$4,TF_Dato,$A382))*2,0)/2)))</f>
        <v/>
      </c>
      <c r="AR382">
        <f>IF(OR(AR$4="",$A382&gt;TODAY()),0,IF(OR(INDEX($B382:$D382,AR$5)="F",AND(AR$6&gt;0,$A382&lt;AR$6),AND(AR$7&gt;0,$A382&gt;AR$7)),0,MAX(0,ROUND((INDEX($E382:$G382,AR$5)-SUMIFS(TF_Timer,TF_Tekniker,AR$4,TF_Dato,$A382))*2,0)/2)))</f>
        <v/>
      </c>
      <c r="AS382">
        <f>IF(OR(AS$4="",$A382&gt;TODAY()),0,IF(OR(INDEX($B382:$D382,AS$5)="F",AND(AS$6&gt;0,$A382&lt;AS$6),AND(AS$7&gt;0,$A382&gt;AS$7)),0,MAX(0,ROUND((INDEX($E382:$G382,AS$5)-SUMIFS(TF_Timer,TF_Tekniker,AS$4,TF_Dato,$A382))*2,0)/2)))</f>
        <v/>
      </c>
      <c r="AT382">
        <f>IF(OR(AT$4="",$A382&gt;TODAY()),0,IF(OR(INDEX($B382:$D382,AT$5)="F",AND(AT$6&gt;0,$A382&lt;AT$6),AND(AT$7&gt;0,$A382&gt;AT$7)),0,MAX(0,ROUND((INDEX($E382:$G382,AT$5)-SUMIFS(TF_Timer,TF_Tekniker,AT$4,TF_Dato,$A382))*2,0)/2)))</f>
        <v/>
      </c>
      <c r="AU382">
        <f>IF(OR(AU$4="",$A382&gt;TODAY()),0,IF(OR(INDEX($B382:$D382,AU$5)="F",AND(AU$6&gt;0,$A382&lt;AU$6),AND(AU$7&gt;0,$A382&gt;AU$7)),0,MAX(0,ROUND((INDEX($E382:$G382,AU$5)-SUMIFS(TF_Timer,TF_Tekniker,AU$4,TF_Dato,$A382))*2,0)/2)))</f>
        <v/>
      </c>
      <c r="AV382">
        <f>IF(OR(AV$4="",$A382&gt;TODAY()),0,IF(OR(INDEX($B382:$D382,AV$5)="F",AND(AV$6&gt;0,$A382&lt;AV$6),AND(AV$7&gt;0,$A382&gt;AV$7)),0,MAX(0,ROUND((INDEX($E382:$G382,AV$5)-SUMIFS(TF_Timer,TF_Tekniker,AV$4,TF_Dato,$A382))*2,0)/2)))</f>
        <v/>
      </c>
      <c r="AW382">
        <f>IF(OR(AW$4="",$A382&gt;TODAY()),0,IF(OR(INDEX($B382:$D382,AW$5)="F",AND(AW$6&gt;0,$A382&lt;AW$6),AND(AW$7&gt;0,$A382&gt;AW$7)),0,MAX(0,ROUND((INDEX($E382:$G382,AW$5)-SUMIFS(TF_Timer,TF_Tekniker,AW$4,TF_Dato,$A382))*2,0)/2)))</f>
        <v/>
      </c>
      <c r="AX382">
        <f>IF(OR(AX$4="",$A382&gt;TODAY()),0,IF(OR(INDEX($B382:$D382,AX$5)="F",AND(AX$6&gt;0,$A382&lt;AX$6),AND(AX$7&gt;0,$A382&gt;AX$7)),0,MAX(0,ROUND((INDEX($E382:$G382,AX$5)-SUMIFS(TF_Timer,TF_Tekniker,AX$4,TF_Dato,$A382))*2,0)/2)))</f>
        <v/>
      </c>
      <c r="AY382">
        <f>IF(OR(AY$4="",$A382&gt;TODAY()),0,IF(OR(INDEX($B382:$D382,AY$5)="F",AND(AY$6&gt;0,$A382&lt;AY$6),AND(AY$7&gt;0,$A382&gt;AY$7)),0,MAX(0,ROUND((INDEX($E382:$G382,AY$5)-SUMIFS(TF_Timer,TF_Tekniker,AY$4,TF_Dato,$A382))*2,0)/2)))</f>
        <v/>
      </c>
      <c r="AZ382">
        <f>IF(OR(AZ$4="",$A382&gt;TODAY()),0,IF(OR(INDEX($B382:$D382,AZ$5)="F",AND(AZ$6&gt;0,$A382&lt;AZ$6),AND(AZ$7&gt;0,$A382&gt;AZ$7)),0,MAX(0,ROUND((INDEX($E382:$G382,AZ$5)-SUMIFS(TF_Timer,TF_Tekniker,AZ$4,TF_Dato,$A382))*2,0)/2)))</f>
        <v/>
      </c>
      <c r="BA382">
        <f>IF(OR(BA$4="",$A382&gt;TODAY()),0,IF(OR(INDEX($B382:$D382,BA$5)="F",AND(BA$6&gt;0,$A382&lt;BA$6),AND(BA$7&gt;0,$A382&gt;BA$7)),0,MAX(0,ROUND((INDEX($E382:$G382,BA$5)-SUMIFS(TF_Timer,TF_Tekniker,BA$4,TF_Dato,$A382))*2,0)/2)))</f>
        <v/>
      </c>
      <c r="BB382">
        <f>IF(OR(BB$4="",$A382&gt;TODAY()),0,IF(OR(INDEX($B382:$D382,BB$5)="F",AND(BB$6&gt;0,$A382&lt;BB$6),AND(BB$7&gt;0,$A382&gt;BB$7)),0,MAX(0,ROUND((INDEX($E382:$G382,BB$5)-SUMIFS(TF_Timer,TF_Tekniker,BB$4,TF_Dato,$A382))*2,0)/2)))</f>
        <v/>
      </c>
      <c r="BC382">
        <f>IF(OR(BC$4="",$A382&gt;TODAY()),0,IF(OR(INDEX($B382:$D382,BC$5)="F",AND(BC$6&gt;0,$A382&lt;BC$6),AND(BC$7&gt;0,$A382&gt;BC$7)),0,MAX(0,ROUND((INDEX($E382:$G382,BC$5)-SUMIFS(TF_Timer,TF_Tekniker,BC$4,TF_Dato,$A382))*2,0)/2)))</f>
        <v/>
      </c>
      <c r="BD382">
        <f>IF(OR(BD$4="",$A382&gt;TODAY()),0,IF(OR(INDEX($B382:$D382,BD$5)="F",AND(BD$6&gt;0,$A382&lt;BD$6),AND(BD$7&gt;0,$A382&gt;BD$7)),0,MAX(0,ROUND((INDEX($E382:$G382,BD$5)-SUMIFS(TF_Timer,TF_Tekniker,BD$4,TF_Dato,$A382))*2,0)/2)))</f>
        <v/>
      </c>
      <c r="BE382">
        <f>IF(OR(BE$4="",$A382&gt;TODAY()),0,IF(OR(INDEX($B382:$D382,BE$5)="F",AND(BE$6&gt;0,$A382&lt;BE$6),AND(BE$7&gt;0,$A382&gt;BE$7)),0,MAX(0,ROUND((INDEX($E382:$G382,BE$5)-SUMIFS(TF_Timer,TF_Tekniker,BE$4,TF_Dato,$A382))*2,0)/2)))</f>
        <v/>
      </c>
      <c r="BF382">
        <f>IF(OR(BF$4="",$A382&gt;TODAY()),0,IF(OR(INDEX($B382:$D382,BF$5)="F",AND(BF$6&gt;0,$A382&lt;BF$6),AND(BF$7&gt;0,$A382&gt;BF$7)),0,MAX(0,ROUND((INDEX($E382:$G382,BF$5)-SUMIFS(TF_Timer,TF_Tekniker,BF$4,TF_Dato,$A382))*2,0)/2)))</f>
        <v/>
      </c>
      <c r="BG382">
        <f>IF(OR(BG$4="",$A382&gt;TODAY()),0,IF(OR(INDEX($B382:$D382,BG$5)="F",AND(BG$6&gt;0,$A382&lt;BG$6),AND(BG$7&gt;0,$A382&gt;BG$7)),0,MAX(0,ROUND((INDEX($E382:$G382,BG$5)-SUMIFS(TF_Timer,TF_Tekniker,BG$4,TF_Dato,$A382))*2,0)/2)))</f>
        <v/>
      </c>
      <c r="BH382">
        <f>IF(OR(BH$4="",$A382&gt;TODAY()),0,IF(OR(INDEX($B382:$D382,BH$5)="F",AND(BH$6&gt;0,$A382&lt;BH$6),AND(BH$7&gt;0,$A382&gt;BH$7)),0,MAX(0,ROUND((INDEX($E382:$G382,BH$5)-SUMIFS(TF_Timer,TF_Tekniker,BH$4,TF_Dato,$A382))*2,0)/2)))</f>
        <v/>
      </c>
      <c r="BI382">
        <f>IF(OR(BI$4="",$A382&gt;TODAY()),0,IF(OR(INDEX($B382:$D382,BI$5)="F",AND(BI$6&gt;0,$A382&lt;BI$6),AND(BI$7&gt;0,$A382&gt;BI$7)),0,MAX(0,ROUND((INDEX($E382:$G382,BI$5)-SUMIFS(TF_Timer,TF_Tekniker,BI$4,TF_Dato,$A382))*2,0)/2)))</f>
        <v/>
      </c>
    </row>
    <row r="383">
      <c r="A383" s="64">
        <f>A382+1</f>
        <v/>
      </c>
      <c r="B383">
        <f>IF(MOD($A383-INDEX(SkiftStart,1),Syklus)&lt;DagK,"K",IF(MOD($A383-INDEX(SkiftStart,1),Syklus)&lt;DagK+DagH,"H",IF(MOD($A383-INDEX(SkiftStart,1),Syklus)&lt;DagK+DagH+DagD,"D","F")))</f>
        <v/>
      </c>
      <c r="C383">
        <f>IF(MOD($A383-INDEX(SkiftStart,2),Syklus)&lt;DagK,"K",IF(MOD($A383-INDEX(SkiftStart,2),Syklus)&lt;DagK+DagH,"H",IF(MOD($A383-INDEX(SkiftStart,2),Syklus)&lt;DagK+DagH+DagD,"D","F")))</f>
        <v/>
      </c>
      <c r="D383">
        <f>IF(MOD($A383-INDEX(SkiftStart,3),Syklus)&lt;DagK,"K",IF(MOD($A383-INDEX(SkiftStart,3),Syklus)&lt;DagK+DagH,"H",IF(MOD($A383-INDEX(SkiftStart,3),Syklus)&lt;DagK+DagH+DagD,"D","F")))</f>
        <v/>
      </c>
      <c r="E383">
        <f>IF(B383="F",0,IF(WEEKDAY($A383,2)=5,INDEX(TimerFr,MATCH(B383,FaseKode,0)),INDEX(TimerMT,MATCH(B383,FaseKode,0))))</f>
        <v/>
      </c>
      <c r="F383">
        <f>IF(C383="F",0,IF(WEEKDAY($A383,2)=5,INDEX(TimerFr,MATCH(C383,FaseKode,0)),INDEX(TimerMT,MATCH(C383,FaseKode,0))))</f>
        <v/>
      </c>
      <c r="G383">
        <f>IF(D383="F",0,IF(WEEKDAY($A383,2)=5,INDEX(TimerFr,MATCH(D383,FaseKode,0)),INDEX(TimerMT,MATCH(D383,FaseKode,0))))</f>
        <v/>
      </c>
      <c r="H383">
        <f>IF(OR(H$4="",$A383&gt;TODAY()),0,IF(OR(INDEX($B383:$D383,H$5)="F",AND(H$6&gt;0,$A383&lt;H$6),AND(H$7&gt;0,$A383&gt;H$7)),0,MAX(0,ROUND((INDEX($E383:$G383,H$5)-SUMIFS(TF_Timer,TF_Tekniker,H$4,TF_Dato,$A383))*2,0)/2)))</f>
        <v/>
      </c>
      <c r="I383">
        <f>IF(OR(I$4="",$A383&gt;TODAY()),0,IF(OR(INDEX($B383:$D383,I$5)="F",AND(I$6&gt;0,$A383&lt;I$6),AND(I$7&gt;0,$A383&gt;I$7)),0,MAX(0,ROUND((INDEX($E383:$G383,I$5)-SUMIFS(TF_Timer,TF_Tekniker,I$4,TF_Dato,$A383))*2,0)/2)))</f>
        <v/>
      </c>
      <c r="J383">
        <f>IF(OR(J$4="",$A383&gt;TODAY()),0,IF(OR(INDEX($B383:$D383,J$5)="F",AND(J$6&gt;0,$A383&lt;J$6),AND(J$7&gt;0,$A383&gt;J$7)),0,MAX(0,ROUND((INDEX($E383:$G383,J$5)-SUMIFS(TF_Timer,TF_Tekniker,J$4,TF_Dato,$A383))*2,0)/2)))</f>
        <v/>
      </c>
      <c r="K383">
        <f>IF(OR(K$4="",$A383&gt;TODAY()),0,IF(OR(INDEX($B383:$D383,K$5)="F",AND(K$6&gt;0,$A383&lt;K$6),AND(K$7&gt;0,$A383&gt;K$7)),0,MAX(0,ROUND((INDEX($E383:$G383,K$5)-SUMIFS(TF_Timer,TF_Tekniker,K$4,TF_Dato,$A383))*2,0)/2)))</f>
        <v/>
      </c>
      <c r="L383">
        <f>IF(OR(L$4="",$A383&gt;TODAY()),0,IF(OR(INDEX($B383:$D383,L$5)="F",AND(L$6&gt;0,$A383&lt;L$6),AND(L$7&gt;0,$A383&gt;L$7)),0,MAX(0,ROUND((INDEX($E383:$G383,L$5)-SUMIFS(TF_Timer,TF_Tekniker,L$4,TF_Dato,$A383))*2,0)/2)))</f>
        <v/>
      </c>
      <c r="M383">
        <f>IF(OR(M$4="",$A383&gt;TODAY()),0,IF(OR(INDEX($B383:$D383,M$5)="F",AND(M$6&gt;0,$A383&lt;M$6),AND(M$7&gt;0,$A383&gt;M$7)),0,MAX(0,ROUND((INDEX($E383:$G383,M$5)-SUMIFS(TF_Timer,TF_Tekniker,M$4,TF_Dato,$A383))*2,0)/2)))</f>
        <v/>
      </c>
      <c r="N383">
        <f>IF(OR(N$4="",$A383&gt;TODAY()),0,IF(OR(INDEX($B383:$D383,N$5)="F",AND(N$6&gt;0,$A383&lt;N$6),AND(N$7&gt;0,$A383&gt;N$7)),0,MAX(0,ROUND((INDEX($E383:$G383,N$5)-SUMIFS(TF_Timer,TF_Tekniker,N$4,TF_Dato,$A383))*2,0)/2)))</f>
        <v/>
      </c>
      <c r="O383">
        <f>IF(OR(O$4="",$A383&gt;TODAY()),0,IF(OR(INDEX($B383:$D383,O$5)="F",AND(O$6&gt;0,$A383&lt;O$6),AND(O$7&gt;0,$A383&gt;O$7)),0,MAX(0,ROUND((INDEX($E383:$G383,O$5)-SUMIFS(TF_Timer,TF_Tekniker,O$4,TF_Dato,$A383))*2,0)/2)))</f>
        <v/>
      </c>
      <c r="P383">
        <f>IF(OR(P$4="",$A383&gt;TODAY()),0,IF(OR(INDEX($B383:$D383,P$5)="F",AND(P$6&gt;0,$A383&lt;P$6),AND(P$7&gt;0,$A383&gt;P$7)),0,MAX(0,ROUND((INDEX($E383:$G383,P$5)-SUMIFS(TF_Timer,TF_Tekniker,P$4,TF_Dato,$A383))*2,0)/2)))</f>
        <v/>
      </c>
      <c r="Q383">
        <f>IF(OR(Q$4="",$A383&gt;TODAY()),0,IF(OR(INDEX($B383:$D383,Q$5)="F",AND(Q$6&gt;0,$A383&lt;Q$6),AND(Q$7&gt;0,$A383&gt;Q$7)),0,MAX(0,ROUND((INDEX($E383:$G383,Q$5)-SUMIFS(TF_Timer,TF_Tekniker,Q$4,TF_Dato,$A383))*2,0)/2)))</f>
        <v/>
      </c>
      <c r="R383">
        <f>IF(OR(R$4="",$A383&gt;TODAY()),0,IF(OR(INDEX($B383:$D383,R$5)="F",AND(R$6&gt;0,$A383&lt;R$6),AND(R$7&gt;0,$A383&gt;R$7)),0,MAX(0,ROUND((INDEX($E383:$G383,R$5)-SUMIFS(TF_Timer,TF_Tekniker,R$4,TF_Dato,$A383))*2,0)/2)))</f>
        <v/>
      </c>
      <c r="S383">
        <f>IF(OR(S$4="",$A383&gt;TODAY()),0,IF(OR(INDEX($B383:$D383,S$5)="F",AND(S$6&gt;0,$A383&lt;S$6),AND(S$7&gt;0,$A383&gt;S$7)),0,MAX(0,ROUND((INDEX($E383:$G383,S$5)-SUMIFS(TF_Timer,TF_Tekniker,S$4,TF_Dato,$A383))*2,0)/2)))</f>
        <v/>
      </c>
      <c r="T383">
        <f>IF(OR(T$4="",$A383&gt;TODAY()),0,IF(OR(INDEX($B383:$D383,T$5)="F",AND(T$6&gt;0,$A383&lt;T$6),AND(T$7&gt;0,$A383&gt;T$7)),0,MAX(0,ROUND((INDEX($E383:$G383,T$5)-SUMIFS(TF_Timer,TF_Tekniker,T$4,TF_Dato,$A383))*2,0)/2)))</f>
        <v/>
      </c>
      <c r="U383">
        <f>IF(OR(U$4="",$A383&gt;TODAY()),0,IF(OR(INDEX($B383:$D383,U$5)="F",AND(U$6&gt;0,$A383&lt;U$6),AND(U$7&gt;0,$A383&gt;U$7)),0,MAX(0,ROUND((INDEX($E383:$G383,U$5)-SUMIFS(TF_Timer,TF_Tekniker,U$4,TF_Dato,$A383))*2,0)/2)))</f>
        <v/>
      </c>
      <c r="V383">
        <f>IF(OR(V$4="",$A383&gt;TODAY()),0,IF(OR(INDEX($B383:$D383,V$5)="F",AND(V$6&gt;0,$A383&lt;V$6),AND(V$7&gt;0,$A383&gt;V$7)),0,MAX(0,ROUND((INDEX($E383:$G383,V$5)-SUMIFS(TF_Timer,TF_Tekniker,V$4,TF_Dato,$A383))*2,0)/2)))</f>
        <v/>
      </c>
      <c r="W383">
        <f>IF(OR(W$4="",$A383&gt;TODAY()),0,IF(OR(INDEX($B383:$D383,W$5)="F",AND(W$6&gt;0,$A383&lt;W$6),AND(W$7&gt;0,$A383&gt;W$7)),0,MAX(0,ROUND((INDEX($E383:$G383,W$5)-SUMIFS(TF_Timer,TF_Tekniker,W$4,TF_Dato,$A383))*2,0)/2)))</f>
        <v/>
      </c>
      <c r="X383">
        <f>IF(OR(X$4="",$A383&gt;TODAY()),0,IF(OR(INDEX($B383:$D383,X$5)="F",AND(X$6&gt;0,$A383&lt;X$6),AND(X$7&gt;0,$A383&gt;X$7)),0,MAX(0,ROUND((INDEX($E383:$G383,X$5)-SUMIFS(TF_Timer,TF_Tekniker,X$4,TF_Dato,$A383))*2,0)/2)))</f>
        <v/>
      </c>
      <c r="Y383">
        <f>IF(OR(Y$4="",$A383&gt;TODAY()),0,IF(OR(INDEX($B383:$D383,Y$5)="F",AND(Y$6&gt;0,$A383&lt;Y$6),AND(Y$7&gt;0,$A383&gt;Y$7)),0,MAX(0,ROUND((INDEX($E383:$G383,Y$5)-SUMIFS(TF_Timer,TF_Tekniker,Y$4,TF_Dato,$A383))*2,0)/2)))</f>
        <v/>
      </c>
      <c r="Z383">
        <f>IF(OR(Z$4="",$A383&gt;TODAY()),0,IF(OR(INDEX($B383:$D383,Z$5)="F",AND(Z$6&gt;0,$A383&lt;Z$6),AND(Z$7&gt;0,$A383&gt;Z$7)),0,MAX(0,ROUND((INDEX($E383:$G383,Z$5)-SUMIFS(TF_Timer,TF_Tekniker,Z$4,TF_Dato,$A383))*2,0)/2)))</f>
        <v/>
      </c>
      <c r="AA383">
        <f>IF(OR(AA$4="",$A383&gt;TODAY()),0,IF(OR(INDEX($B383:$D383,AA$5)="F",AND(AA$6&gt;0,$A383&lt;AA$6),AND(AA$7&gt;0,$A383&gt;AA$7)),0,MAX(0,ROUND((INDEX($E383:$G383,AA$5)-SUMIFS(TF_Timer,TF_Tekniker,AA$4,TF_Dato,$A383))*2,0)/2)))</f>
        <v/>
      </c>
      <c r="AB383">
        <f>IF(OR(AB$4="",$A383&gt;TODAY()),0,IF(OR(INDEX($B383:$D383,AB$5)="F",AND(AB$6&gt;0,$A383&lt;AB$6),AND(AB$7&gt;0,$A383&gt;AB$7)),0,MAX(0,ROUND((INDEX($E383:$G383,AB$5)-SUMIFS(TF_Timer,TF_Tekniker,AB$4,TF_Dato,$A383))*2,0)/2)))</f>
        <v/>
      </c>
      <c r="AC383">
        <f>IF(OR(AC$4="",$A383&gt;TODAY()),0,IF(OR(INDEX($B383:$D383,AC$5)="F",AND(AC$6&gt;0,$A383&lt;AC$6),AND(AC$7&gt;0,$A383&gt;AC$7)),0,MAX(0,ROUND((INDEX($E383:$G383,AC$5)-SUMIFS(TF_Timer,TF_Tekniker,AC$4,TF_Dato,$A383))*2,0)/2)))</f>
        <v/>
      </c>
      <c r="AD383">
        <f>IF(OR(AD$4="",$A383&gt;TODAY()),0,IF(OR(INDEX($B383:$D383,AD$5)="F",AND(AD$6&gt;0,$A383&lt;AD$6),AND(AD$7&gt;0,$A383&gt;AD$7)),0,MAX(0,ROUND((INDEX($E383:$G383,AD$5)-SUMIFS(TF_Timer,TF_Tekniker,AD$4,TF_Dato,$A383))*2,0)/2)))</f>
        <v/>
      </c>
      <c r="AE383">
        <f>IF(OR(AE$4="",$A383&gt;TODAY()),0,IF(OR(INDEX($B383:$D383,AE$5)="F",AND(AE$6&gt;0,$A383&lt;AE$6),AND(AE$7&gt;0,$A383&gt;AE$7)),0,MAX(0,ROUND((INDEX($E383:$G383,AE$5)-SUMIFS(TF_Timer,TF_Tekniker,AE$4,TF_Dato,$A383))*2,0)/2)))</f>
        <v/>
      </c>
      <c r="AF383">
        <f>IF(OR(AF$4="",$A383&gt;TODAY()),0,IF(OR(INDEX($B383:$D383,AF$5)="F",AND(AF$6&gt;0,$A383&lt;AF$6),AND(AF$7&gt;0,$A383&gt;AF$7)),0,MAX(0,ROUND((INDEX($E383:$G383,AF$5)-SUMIFS(TF_Timer,TF_Tekniker,AF$4,TF_Dato,$A383))*2,0)/2)))</f>
        <v/>
      </c>
      <c r="AG383">
        <f>IF(OR(AG$4="",$A383&gt;TODAY()),0,IF(OR(INDEX($B383:$D383,AG$5)="F",AND(AG$6&gt;0,$A383&lt;AG$6),AND(AG$7&gt;0,$A383&gt;AG$7)),0,MAX(0,ROUND((INDEX($E383:$G383,AG$5)-SUMIFS(TF_Timer,TF_Tekniker,AG$4,TF_Dato,$A383))*2,0)/2)))</f>
        <v/>
      </c>
      <c r="AH383">
        <f>IF(OR(AH$4="",$A383&gt;TODAY()),0,IF(OR(INDEX($B383:$D383,AH$5)="F",AND(AH$6&gt;0,$A383&lt;AH$6),AND(AH$7&gt;0,$A383&gt;AH$7)),0,MAX(0,ROUND((INDEX($E383:$G383,AH$5)-SUMIFS(TF_Timer,TF_Tekniker,AH$4,TF_Dato,$A383))*2,0)/2)))</f>
        <v/>
      </c>
      <c r="AI383">
        <f>IF(OR(AI$4="",$A383&gt;TODAY()),0,IF(OR(INDEX($B383:$D383,AI$5)="F",AND(AI$6&gt;0,$A383&lt;AI$6),AND(AI$7&gt;0,$A383&gt;AI$7)),0,MAX(0,ROUND((INDEX($E383:$G383,AI$5)-SUMIFS(TF_Timer,TF_Tekniker,AI$4,TF_Dato,$A383))*2,0)/2)))</f>
        <v/>
      </c>
      <c r="AJ383">
        <f>IF(OR(AJ$4="",$A383&gt;TODAY()),0,IF(OR(INDEX($B383:$D383,AJ$5)="F",AND(AJ$6&gt;0,$A383&lt;AJ$6),AND(AJ$7&gt;0,$A383&gt;AJ$7)),0,MAX(0,ROUND((INDEX($E383:$G383,AJ$5)-SUMIFS(TF_Timer,TF_Tekniker,AJ$4,TF_Dato,$A383))*2,0)/2)))</f>
        <v/>
      </c>
      <c r="AK383">
        <f>IF(OR(AK$4="",$A383&gt;TODAY()),0,IF(OR(INDEX($B383:$D383,AK$5)="F",AND(AK$6&gt;0,$A383&lt;AK$6),AND(AK$7&gt;0,$A383&gt;AK$7)),0,MAX(0,ROUND((INDEX($E383:$G383,AK$5)-SUMIFS(TF_Timer,TF_Tekniker,AK$4,TF_Dato,$A383))*2,0)/2)))</f>
        <v/>
      </c>
      <c r="AL383">
        <f>IF(OR(AL$4="",$A383&gt;TODAY()),0,IF(OR(INDEX($B383:$D383,AL$5)="F",AND(AL$6&gt;0,$A383&lt;AL$6),AND(AL$7&gt;0,$A383&gt;AL$7)),0,MAX(0,ROUND((INDEX($E383:$G383,AL$5)-SUMIFS(TF_Timer,TF_Tekniker,AL$4,TF_Dato,$A383))*2,0)/2)))</f>
        <v/>
      </c>
      <c r="AM383">
        <f>IF(OR(AM$4="",$A383&gt;TODAY()),0,IF(OR(INDEX($B383:$D383,AM$5)="F",AND(AM$6&gt;0,$A383&lt;AM$6),AND(AM$7&gt;0,$A383&gt;AM$7)),0,MAX(0,ROUND((INDEX($E383:$G383,AM$5)-SUMIFS(TF_Timer,TF_Tekniker,AM$4,TF_Dato,$A383))*2,0)/2)))</f>
        <v/>
      </c>
      <c r="AN383">
        <f>IF(OR(AN$4="",$A383&gt;TODAY()),0,IF(OR(INDEX($B383:$D383,AN$5)="F",AND(AN$6&gt;0,$A383&lt;AN$6),AND(AN$7&gt;0,$A383&gt;AN$7)),0,MAX(0,ROUND((INDEX($E383:$G383,AN$5)-SUMIFS(TF_Timer,TF_Tekniker,AN$4,TF_Dato,$A383))*2,0)/2)))</f>
        <v/>
      </c>
      <c r="AO383">
        <f>IF(OR(AO$4="",$A383&gt;TODAY()),0,IF(OR(INDEX($B383:$D383,AO$5)="F",AND(AO$6&gt;0,$A383&lt;AO$6),AND(AO$7&gt;0,$A383&gt;AO$7)),0,MAX(0,ROUND((INDEX($E383:$G383,AO$5)-SUMIFS(TF_Timer,TF_Tekniker,AO$4,TF_Dato,$A383))*2,0)/2)))</f>
        <v/>
      </c>
      <c r="AP383">
        <f>IF(OR(AP$4="",$A383&gt;TODAY()),0,IF(OR(INDEX($B383:$D383,AP$5)="F",AND(AP$6&gt;0,$A383&lt;AP$6),AND(AP$7&gt;0,$A383&gt;AP$7)),0,MAX(0,ROUND((INDEX($E383:$G383,AP$5)-SUMIFS(TF_Timer,TF_Tekniker,AP$4,TF_Dato,$A383))*2,0)/2)))</f>
        <v/>
      </c>
      <c r="AQ383">
        <f>IF(OR(AQ$4="",$A383&gt;TODAY()),0,IF(OR(INDEX($B383:$D383,AQ$5)="F",AND(AQ$6&gt;0,$A383&lt;AQ$6),AND(AQ$7&gt;0,$A383&gt;AQ$7)),0,MAX(0,ROUND((INDEX($E383:$G383,AQ$5)-SUMIFS(TF_Timer,TF_Tekniker,AQ$4,TF_Dato,$A383))*2,0)/2)))</f>
        <v/>
      </c>
      <c r="AR383">
        <f>IF(OR(AR$4="",$A383&gt;TODAY()),0,IF(OR(INDEX($B383:$D383,AR$5)="F",AND(AR$6&gt;0,$A383&lt;AR$6),AND(AR$7&gt;0,$A383&gt;AR$7)),0,MAX(0,ROUND((INDEX($E383:$G383,AR$5)-SUMIFS(TF_Timer,TF_Tekniker,AR$4,TF_Dato,$A383))*2,0)/2)))</f>
        <v/>
      </c>
      <c r="AS383">
        <f>IF(OR(AS$4="",$A383&gt;TODAY()),0,IF(OR(INDEX($B383:$D383,AS$5)="F",AND(AS$6&gt;0,$A383&lt;AS$6),AND(AS$7&gt;0,$A383&gt;AS$7)),0,MAX(0,ROUND((INDEX($E383:$G383,AS$5)-SUMIFS(TF_Timer,TF_Tekniker,AS$4,TF_Dato,$A383))*2,0)/2)))</f>
        <v/>
      </c>
      <c r="AT383">
        <f>IF(OR(AT$4="",$A383&gt;TODAY()),0,IF(OR(INDEX($B383:$D383,AT$5)="F",AND(AT$6&gt;0,$A383&lt;AT$6),AND(AT$7&gt;0,$A383&gt;AT$7)),0,MAX(0,ROUND((INDEX($E383:$G383,AT$5)-SUMIFS(TF_Timer,TF_Tekniker,AT$4,TF_Dato,$A383))*2,0)/2)))</f>
        <v/>
      </c>
      <c r="AU383">
        <f>IF(OR(AU$4="",$A383&gt;TODAY()),0,IF(OR(INDEX($B383:$D383,AU$5)="F",AND(AU$6&gt;0,$A383&lt;AU$6),AND(AU$7&gt;0,$A383&gt;AU$7)),0,MAX(0,ROUND((INDEX($E383:$G383,AU$5)-SUMIFS(TF_Timer,TF_Tekniker,AU$4,TF_Dato,$A383))*2,0)/2)))</f>
        <v/>
      </c>
      <c r="AV383">
        <f>IF(OR(AV$4="",$A383&gt;TODAY()),0,IF(OR(INDEX($B383:$D383,AV$5)="F",AND(AV$6&gt;0,$A383&lt;AV$6),AND(AV$7&gt;0,$A383&gt;AV$7)),0,MAX(0,ROUND((INDEX($E383:$G383,AV$5)-SUMIFS(TF_Timer,TF_Tekniker,AV$4,TF_Dato,$A383))*2,0)/2)))</f>
        <v/>
      </c>
      <c r="AW383">
        <f>IF(OR(AW$4="",$A383&gt;TODAY()),0,IF(OR(INDEX($B383:$D383,AW$5)="F",AND(AW$6&gt;0,$A383&lt;AW$6),AND(AW$7&gt;0,$A383&gt;AW$7)),0,MAX(0,ROUND((INDEX($E383:$G383,AW$5)-SUMIFS(TF_Timer,TF_Tekniker,AW$4,TF_Dato,$A383))*2,0)/2)))</f>
        <v/>
      </c>
      <c r="AX383">
        <f>IF(OR(AX$4="",$A383&gt;TODAY()),0,IF(OR(INDEX($B383:$D383,AX$5)="F",AND(AX$6&gt;0,$A383&lt;AX$6),AND(AX$7&gt;0,$A383&gt;AX$7)),0,MAX(0,ROUND((INDEX($E383:$G383,AX$5)-SUMIFS(TF_Timer,TF_Tekniker,AX$4,TF_Dato,$A383))*2,0)/2)))</f>
        <v/>
      </c>
      <c r="AY383">
        <f>IF(OR(AY$4="",$A383&gt;TODAY()),0,IF(OR(INDEX($B383:$D383,AY$5)="F",AND(AY$6&gt;0,$A383&lt;AY$6),AND(AY$7&gt;0,$A383&gt;AY$7)),0,MAX(0,ROUND((INDEX($E383:$G383,AY$5)-SUMIFS(TF_Timer,TF_Tekniker,AY$4,TF_Dato,$A383))*2,0)/2)))</f>
        <v/>
      </c>
      <c r="AZ383">
        <f>IF(OR(AZ$4="",$A383&gt;TODAY()),0,IF(OR(INDEX($B383:$D383,AZ$5)="F",AND(AZ$6&gt;0,$A383&lt;AZ$6),AND(AZ$7&gt;0,$A383&gt;AZ$7)),0,MAX(0,ROUND((INDEX($E383:$G383,AZ$5)-SUMIFS(TF_Timer,TF_Tekniker,AZ$4,TF_Dato,$A383))*2,0)/2)))</f>
        <v/>
      </c>
      <c r="BA383">
        <f>IF(OR(BA$4="",$A383&gt;TODAY()),0,IF(OR(INDEX($B383:$D383,BA$5)="F",AND(BA$6&gt;0,$A383&lt;BA$6),AND(BA$7&gt;0,$A383&gt;BA$7)),0,MAX(0,ROUND((INDEX($E383:$G383,BA$5)-SUMIFS(TF_Timer,TF_Tekniker,BA$4,TF_Dato,$A383))*2,0)/2)))</f>
        <v/>
      </c>
      <c r="BB383">
        <f>IF(OR(BB$4="",$A383&gt;TODAY()),0,IF(OR(INDEX($B383:$D383,BB$5)="F",AND(BB$6&gt;0,$A383&lt;BB$6),AND(BB$7&gt;0,$A383&gt;BB$7)),0,MAX(0,ROUND((INDEX($E383:$G383,BB$5)-SUMIFS(TF_Timer,TF_Tekniker,BB$4,TF_Dato,$A383))*2,0)/2)))</f>
        <v/>
      </c>
      <c r="BC383">
        <f>IF(OR(BC$4="",$A383&gt;TODAY()),0,IF(OR(INDEX($B383:$D383,BC$5)="F",AND(BC$6&gt;0,$A383&lt;BC$6),AND(BC$7&gt;0,$A383&gt;BC$7)),0,MAX(0,ROUND((INDEX($E383:$G383,BC$5)-SUMIFS(TF_Timer,TF_Tekniker,BC$4,TF_Dato,$A383))*2,0)/2)))</f>
        <v/>
      </c>
      <c r="BD383">
        <f>IF(OR(BD$4="",$A383&gt;TODAY()),0,IF(OR(INDEX($B383:$D383,BD$5)="F",AND(BD$6&gt;0,$A383&lt;BD$6),AND(BD$7&gt;0,$A383&gt;BD$7)),0,MAX(0,ROUND((INDEX($E383:$G383,BD$5)-SUMIFS(TF_Timer,TF_Tekniker,BD$4,TF_Dato,$A383))*2,0)/2)))</f>
        <v/>
      </c>
      <c r="BE383">
        <f>IF(OR(BE$4="",$A383&gt;TODAY()),0,IF(OR(INDEX($B383:$D383,BE$5)="F",AND(BE$6&gt;0,$A383&lt;BE$6),AND(BE$7&gt;0,$A383&gt;BE$7)),0,MAX(0,ROUND((INDEX($E383:$G383,BE$5)-SUMIFS(TF_Timer,TF_Tekniker,BE$4,TF_Dato,$A383))*2,0)/2)))</f>
        <v/>
      </c>
      <c r="BF383">
        <f>IF(OR(BF$4="",$A383&gt;TODAY()),0,IF(OR(INDEX($B383:$D383,BF$5)="F",AND(BF$6&gt;0,$A383&lt;BF$6),AND(BF$7&gt;0,$A383&gt;BF$7)),0,MAX(0,ROUND((INDEX($E383:$G383,BF$5)-SUMIFS(TF_Timer,TF_Tekniker,BF$4,TF_Dato,$A383))*2,0)/2)))</f>
        <v/>
      </c>
      <c r="BG383">
        <f>IF(OR(BG$4="",$A383&gt;TODAY()),0,IF(OR(INDEX($B383:$D383,BG$5)="F",AND(BG$6&gt;0,$A383&lt;BG$6),AND(BG$7&gt;0,$A383&gt;BG$7)),0,MAX(0,ROUND((INDEX($E383:$G383,BG$5)-SUMIFS(TF_Timer,TF_Tekniker,BG$4,TF_Dato,$A383))*2,0)/2)))</f>
        <v/>
      </c>
      <c r="BH383">
        <f>IF(OR(BH$4="",$A383&gt;TODAY()),0,IF(OR(INDEX($B383:$D383,BH$5)="F",AND(BH$6&gt;0,$A383&lt;BH$6),AND(BH$7&gt;0,$A383&gt;BH$7)),0,MAX(0,ROUND((INDEX($E383:$G383,BH$5)-SUMIFS(TF_Timer,TF_Tekniker,BH$4,TF_Dato,$A383))*2,0)/2)))</f>
        <v/>
      </c>
      <c r="BI383">
        <f>IF(OR(BI$4="",$A383&gt;TODAY()),0,IF(OR(INDEX($B383:$D383,BI$5)="F",AND(BI$6&gt;0,$A383&lt;BI$6),AND(BI$7&gt;0,$A383&gt;BI$7)),0,MAX(0,ROUND((INDEX($E383:$G383,BI$5)-SUMIFS(TF_Timer,TF_Tekniker,BI$4,TF_Dato,$A383))*2,0)/2)))</f>
        <v/>
      </c>
    </row>
    <row r="384">
      <c r="A384" s="64">
        <f>A383+1</f>
        <v/>
      </c>
      <c r="B384">
        <f>IF(MOD($A384-INDEX(SkiftStart,1),Syklus)&lt;DagK,"K",IF(MOD($A384-INDEX(SkiftStart,1),Syklus)&lt;DagK+DagH,"H",IF(MOD($A384-INDEX(SkiftStart,1),Syklus)&lt;DagK+DagH+DagD,"D","F")))</f>
        <v/>
      </c>
      <c r="C384">
        <f>IF(MOD($A384-INDEX(SkiftStart,2),Syklus)&lt;DagK,"K",IF(MOD($A384-INDEX(SkiftStart,2),Syklus)&lt;DagK+DagH,"H",IF(MOD($A384-INDEX(SkiftStart,2),Syklus)&lt;DagK+DagH+DagD,"D","F")))</f>
        <v/>
      </c>
      <c r="D384">
        <f>IF(MOD($A384-INDEX(SkiftStart,3),Syklus)&lt;DagK,"K",IF(MOD($A384-INDEX(SkiftStart,3),Syklus)&lt;DagK+DagH,"H",IF(MOD($A384-INDEX(SkiftStart,3),Syklus)&lt;DagK+DagH+DagD,"D","F")))</f>
        <v/>
      </c>
      <c r="E384">
        <f>IF(B384="F",0,IF(WEEKDAY($A384,2)=5,INDEX(TimerFr,MATCH(B384,FaseKode,0)),INDEX(TimerMT,MATCH(B384,FaseKode,0))))</f>
        <v/>
      </c>
      <c r="F384">
        <f>IF(C384="F",0,IF(WEEKDAY($A384,2)=5,INDEX(TimerFr,MATCH(C384,FaseKode,0)),INDEX(TimerMT,MATCH(C384,FaseKode,0))))</f>
        <v/>
      </c>
      <c r="G384">
        <f>IF(D384="F",0,IF(WEEKDAY($A384,2)=5,INDEX(TimerFr,MATCH(D384,FaseKode,0)),INDEX(TimerMT,MATCH(D384,FaseKode,0))))</f>
        <v/>
      </c>
      <c r="H384">
        <f>IF(OR(H$4="",$A384&gt;TODAY()),0,IF(OR(INDEX($B384:$D384,H$5)="F",AND(H$6&gt;0,$A384&lt;H$6),AND(H$7&gt;0,$A384&gt;H$7)),0,MAX(0,ROUND((INDEX($E384:$G384,H$5)-SUMIFS(TF_Timer,TF_Tekniker,H$4,TF_Dato,$A384))*2,0)/2)))</f>
        <v/>
      </c>
      <c r="I384">
        <f>IF(OR(I$4="",$A384&gt;TODAY()),0,IF(OR(INDEX($B384:$D384,I$5)="F",AND(I$6&gt;0,$A384&lt;I$6),AND(I$7&gt;0,$A384&gt;I$7)),0,MAX(0,ROUND((INDEX($E384:$G384,I$5)-SUMIFS(TF_Timer,TF_Tekniker,I$4,TF_Dato,$A384))*2,0)/2)))</f>
        <v/>
      </c>
      <c r="J384">
        <f>IF(OR(J$4="",$A384&gt;TODAY()),0,IF(OR(INDEX($B384:$D384,J$5)="F",AND(J$6&gt;0,$A384&lt;J$6),AND(J$7&gt;0,$A384&gt;J$7)),0,MAX(0,ROUND((INDEX($E384:$G384,J$5)-SUMIFS(TF_Timer,TF_Tekniker,J$4,TF_Dato,$A384))*2,0)/2)))</f>
        <v/>
      </c>
      <c r="K384">
        <f>IF(OR(K$4="",$A384&gt;TODAY()),0,IF(OR(INDEX($B384:$D384,K$5)="F",AND(K$6&gt;0,$A384&lt;K$6),AND(K$7&gt;0,$A384&gt;K$7)),0,MAX(0,ROUND((INDEX($E384:$G384,K$5)-SUMIFS(TF_Timer,TF_Tekniker,K$4,TF_Dato,$A384))*2,0)/2)))</f>
        <v/>
      </c>
      <c r="L384">
        <f>IF(OR(L$4="",$A384&gt;TODAY()),0,IF(OR(INDEX($B384:$D384,L$5)="F",AND(L$6&gt;0,$A384&lt;L$6),AND(L$7&gt;0,$A384&gt;L$7)),0,MAX(0,ROUND((INDEX($E384:$G384,L$5)-SUMIFS(TF_Timer,TF_Tekniker,L$4,TF_Dato,$A384))*2,0)/2)))</f>
        <v/>
      </c>
      <c r="M384">
        <f>IF(OR(M$4="",$A384&gt;TODAY()),0,IF(OR(INDEX($B384:$D384,M$5)="F",AND(M$6&gt;0,$A384&lt;M$6),AND(M$7&gt;0,$A384&gt;M$7)),0,MAX(0,ROUND((INDEX($E384:$G384,M$5)-SUMIFS(TF_Timer,TF_Tekniker,M$4,TF_Dato,$A384))*2,0)/2)))</f>
        <v/>
      </c>
      <c r="N384">
        <f>IF(OR(N$4="",$A384&gt;TODAY()),0,IF(OR(INDEX($B384:$D384,N$5)="F",AND(N$6&gt;0,$A384&lt;N$6),AND(N$7&gt;0,$A384&gt;N$7)),0,MAX(0,ROUND((INDEX($E384:$G384,N$5)-SUMIFS(TF_Timer,TF_Tekniker,N$4,TF_Dato,$A384))*2,0)/2)))</f>
        <v/>
      </c>
      <c r="O384">
        <f>IF(OR(O$4="",$A384&gt;TODAY()),0,IF(OR(INDEX($B384:$D384,O$5)="F",AND(O$6&gt;0,$A384&lt;O$6),AND(O$7&gt;0,$A384&gt;O$7)),0,MAX(0,ROUND((INDEX($E384:$G384,O$5)-SUMIFS(TF_Timer,TF_Tekniker,O$4,TF_Dato,$A384))*2,0)/2)))</f>
        <v/>
      </c>
      <c r="P384">
        <f>IF(OR(P$4="",$A384&gt;TODAY()),0,IF(OR(INDEX($B384:$D384,P$5)="F",AND(P$6&gt;0,$A384&lt;P$6),AND(P$7&gt;0,$A384&gt;P$7)),0,MAX(0,ROUND((INDEX($E384:$G384,P$5)-SUMIFS(TF_Timer,TF_Tekniker,P$4,TF_Dato,$A384))*2,0)/2)))</f>
        <v/>
      </c>
      <c r="Q384">
        <f>IF(OR(Q$4="",$A384&gt;TODAY()),0,IF(OR(INDEX($B384:$D384,Q$5)="F",AND(Q$6&gt;0,$A384&lt;Q$6),AND(Q$7&gt;0,$A384&gt;Q$7)),0,MAX(0,ROUND((INDEX($E384:$G384,Q$5)-SUMIFS(TF_Timer,TF_Tekniker,Q$4,TF_Dato,$A384))*2,0)/2)))</f>
        <v/>
      </c>
      <c r="R384">
        <f>IF(OR(R$4="",$A384&gt;TODAY()),0,IF(OR(INDEX($B384:$D384,R$5)="F",AND(R$6&gt;0,$A384&lt;R$6),AND(R$7&gt;0,$A384&gt;R$7)),0,MAX(0,ROUND((INDEX($E384:$G384,R$5)-SUMIFS(TF_Timer,TF_Tekniker,R$4,TF_Dato,$A384))*2,0)/2)))</f>
        <v/>
      </c>
      <c r="S384">
        <f>IF(OR(S$4="",$A384&gt;TODAY()),0,IF(OR(INDEX($B384:$D384,S$5)="F",AND(S$6&gt;0,$A384&lt;S$6),AND(S$7&gt;0,$A384&gt;S$7)),0,MAX(0,ROUND((INDEX($E384:$G384,S$5)-SUMIFS(TF_Timer,TF_Tekniker,S$4,TF_Dato,$A384))*2,0)/2)))</f>
        <v/>
      </c>
      <c r="T384">
        <f>IF(OR(T$4="",$A384&gt;TODAY()),0,IF(OR(INDEX($B384:$D384,T$5)="F",AND(T$6&gt;0,$A384&lt;T$6),AND(T$7&gt;0,$A384&gt;T$7)),0,MAX(0,ROUND((INDEX($E384:$G384,T$5)-SUMIFS(TF_Timer,TF_Tekniker,T$4,TF_Dato,$A384))*2,0)/2)))</f>
        <v/>
      </c>
      <c r="U384">
        <f>IF(OR(U$4="",$A384&gt;TODAY()),0,IF(OR(INDEX($B384:$D384,U$5)="F",AND(U$6&gt;0,$A384&lt;U$6),AND(U$7&gt;0,$A384&gt;U$7)),0,MAX(0,ROUND((INDEX($E384:$G384,U$5)-SUMIFS(TF_Timer,TF_Tekniker,U$4,TF_Dato,$A384))*2,0)/2)))</f>
        <v/>
      </c>
      <c r="V384">
        <f>IF(OR(V$4="",$A384&gt;TODAY()),0,IF(OR(INDEX($B384:$D384,V$5)="F",AND(V$6&gt;0,$A384&lt;V$6),AND(V$7&gt;0,$A384&gt;V$7)),0,MAX(0,ROUND((INDEX($E384:$G384,V$5)-SUMIFS(TF_Timer,TF_Tekniker,V$4,TF_Dato,$A384))*2,0)/2)))</f>
        <v/>
      </c>
      <c r="W384">
        <f>IF(OR(W$4="",$A384&gt;TODAY()),0,IF(OR(INDEX($B384:$D384,W$5)="F",AND(W$6&gt;0,$A384&lt;W$6),AND(W$7&gt;0,$A384&gt;W$7)),0,MAX(0,ROUND((INDEX($E384:$G384,W$5)-SUMIFS(TF_Timer,TF_Tekniker,W$4,TF_Dato,$A384))*2,0)/2)))</f>
        <v/>
      </c>
      <c r="X384">
        <f>IF(OR(X$4="",$A384&gt;TODAY()),0,IF(OR(INDEX($B384:$D384,X$5)="F",AND(X$6&gt;0,$A384&lt;X$6),AND(X$7&gt;0,$A384&gt;X$7)),0,MAX(0,ROUND((INDEX($E384:$G384,X$5)-SUMIFS(TF_Timer,TF_Tekniker,X$4,TF_Dato,$A384))*2,0)/2)))</f>
        <v/>
      </c>
      <c r="Y384">
        <f>IF(OR(Y$4="",$A384&gt;TODAY()),0,IF(OR(INDEX($B384:$D384,Y$5)="F",AND(Y$6&gt;0,$A384&lt;Y$6),AND(Y$7&gt;0,$A384&gt;Y$7)),0,MAX(0,ROUND((INDEX($E384:$G384,Y$5)-SUMIFS(TF_Timer,TF_Tekniker,Y$4,TF_Dato,$A384))*2,0)/2)))</f>
        <v/>
      </c>
      <c r="Z384">
        <f>IF(OR(Z$4="",$A384&gt;TODAY()),0,IF(OR(INDEX($B384:$D384,Z$5)="F",AND(Z$6&gt;0,$A384&lt;Z$6),AND(Z$7&gt;0,$A384&gt;Z$7)),0,MAX(0,ROUND((INDEX($E384:$G384,Z$5)-SUMIFS(TF_Timer,TF_Tekniker,Z$4,TF_Dato,$A384))*2,0)/2)))</f>
        <v/>
      </c>
      <c r="AA384">
        <f>IF(OR(AA$4="",$A384&gt;TODAY()),0,IF(OR(INDEX($B384:$D384,AA$5)="F",AND(AA$6&gt;0,$A384&lt;AA$6),AND(AA$7&gt;0,$A384&gt;AA$7)),0,MAX(0,ROUND((INDEX($E384:$G384,AA$5)-SUMIFS(TF_Timer,TF_Tekniker,AA$4,TF_Dato,$A384))*2,0)/2)))</f>
        <v/>
      </c>
      <c r="AB384">
        <f>IF(OR(AB$4="",$A384&gt;TODAY()),0,IF(OR(INDEX($B384:$D384,AB$5)="F",AND(AB$6&gt;0,$A384&lt;AB$6),AND(AB$7&gt;0,$A384&gt;AB$7)),0,MAX(0,ROUND((INDEX($E384:$G384,AB$5)-SUMIFS(TF_Timer,TF_Tekniker,AB$4,TF_Dato,$A384))*2,0)/2)))</f>
        <v/>
      </c>
      <c r="AC384">
        <f>IF(OR(AC$4="",$A384&gt;TODAY()),0,IF(OR(INDEX($B384:$D384,AC$5)="F",AND(AC$6&gt;0,$A384&lt;AC$6),AND(AC$7&gt;0,$A384&gt;AC$7)),0,MAX(0,ROUND((INDEX($E384:$G384,AC$5)-SUMIFS(TF_Timer,TF_Tekniker,AC$4,TF_Dato,$A384))*2,0)/2)))</f>
        <v/>
      </c>
      <c r="AD384">
        <f>IF(OR(AD$4="",$A384&gt;TODAY()),0,IF(OR(INDEX($B384:$D384,AD$5)="F",AND(AD$6&gt;0,$A384&lt;AD$6),AND(AD$7&gt;0,$A384&gt;AD$7)),0,MAX(0,ROUND((INDEX($E384:$G384,AD$5)-SUMIFS(TF_Timer,TF_Tekniker,AD$4,TF_Dato,$A384))*2,0)/2)))</f>
        <v/>
      </c>
      <c r="AE384">
        <f>IF(OR(AE$4="",$A384&gt;TODAY()),0,IF(OR(INDEX($B384:$D384,AE$5)="F",AND(AE$6&gt;0,$A384&lt;AE$6),AND(AE$7&gt;0,$A384&gt;AE$7)),0,MAX(0,ROUND((INDEX($E384:$G384,AE$5)-SUMIFS(TF_Timer,TF_Tekniker,AE$4,TF_Dato,$A384))*2,0)/2)))</f>
        <v/>
      </c>
      <c r="AF384">
        <f>IF(OR(AF$4="",$A384&gt;TODAY()),0,IF(OR(INDEX($B384:$D384,AF$5)="F",AND(AF$6&gt;0,$A384&lt;AF$6),AND(AF$7&gt;0,$A384&gt;AF$7)),0,MAX(0,ROUND((INDEX($E384:$G384,AF$5)-SUMIFS(TF_Timer,TF_Tekniker,AF$4,TF_Dato,$A384))*2,0)/2)))</f>
        <v/>
      </c>
      <c r="AG384">
        <f>IF(OR(AG$4="",$A384&gt;TODAY()),0,IF(OR(INDEX($B384:$D384,AG$5)="F",AND(AG$6&gt;0,$A384&lt;AG$6),AND(AG$7&gt;0,$A384&gt;AG$7)),0,MAX(0,ROUND((INDEX($E384:$G384,AG$5)-SUMIFS(TF_Timer,TF_Tekniker,AG$4,TF_Dato,$A384))*2,0)/2)))</f>
        <v/>
      </c>
      <c r="AH384">
        <f>IF(OR(AH$4="",$A384&gt;TODAY()),0,IF(OR(INDEX($B384:$D384,AH$5)="F",AND(AH$6&gt;0,$A384&lt;AH$6),AND(AH$7&gt;0,$A384&gt;AH$7)),0,MAX(0,ROUND((INDEX($E384:$G384,AH$5)-SUMIFS(TF_Timer,TF_Tekniker,AH$4,TF_Dato,$A384))*2,0)/2)))</f>
        <v/>
      </c>
      <c r="AI384">
        <f>IF(OR(AI$4="",$A384&gt;TODAY()),0,IF(OR(INDEX($B384:$D384,AI$5)="F",AND(AI$6&gt;0,$A384&lt;AI$6),AND(AI$7&gt;0,$A384&gt;AI$7)),0,MAX(0,ROUND((INDEX($E384:$G384,AI$5)-SUMIFS(TF_Timer,TF_Tekniker,AI$4,TF_Dato,$A384))*2,0)/2)))</f>
        <v/>
      </c>
      <c r="AJ384">
        <f>IF(OR(AJ$4="",$A384&gt;TODAY()),0,IF(OR(INDEX($B384:$D384,AJ$5)="F",AND(AJ$6&gt;0,$A384&lt;AJ$6),AND(AJ$7&gt;0,$A384&gt;AJ$7)),0,MAX(0,ROUND((INDEX($E384:$G384,AJ$5)-SUMIFS(TF_Timer,TF_Tekniker,AJ$4,TF_Dato,$A384))*2,0)/2)))</f>
        <v/>
      </c>
      <c r="AK384">
        <f>IF(OR(AK$4="",$A384&gt;TODAY()),0,IF(OR(INDEX($B384:$D384,AK$5)="F",AND(AK$6&gt;0,$A384&lt;AK$6),AND(AK$7&gt;0,$A384&gt;AK$7)),0,MAX(0,ROUND((INDEX($E384:$G384,AK$5)-SUMIFS(TF_Timer,TF_Tekniker,AK$4,TF_Dato,$A384))*2,0)/2)))</f>
        <v/>
      </c>
      <c r="AL384">
        <f>IF(OR(AL$4="",$A384&gt;TODAY()),0,IF(OR(INDEX($B384:$D384,AL$5)="F",AND(AL$6&gt;0,$A384&lt;AL$6),AND(AL$7&gt;0,$A384&gt;AL$7)),0,MAX(0,ROUND((INDEX($E384:$G384,AL$5)-SUMIFS(TF_Timer,TF_Tekniker,AL$4,TF_Dato,$A384))*2,0)/2)))</f>
        <v/>
      </c>
      <c r="AM384">
        <f>IF(OR(AM$4="",$A384&gt;TODAY()),0,IF(OR(INDEX($B384:$D384,AM$5)="F",AND(AM$6&gt;0,$A384&lt;AM$6),AND(AM$7&gt;0,$A384&gt;AM$7)),0,MAX(0,ROUND((INDEX($E384:$G384,AM$5)-SUMIFS(TF_Timer,TF_Tekniker,AM$4,TF_Dato,$A384))*2,0)/2)))</f>
        <v/>
      </c>
      <c r="AN384">
        <f>IF(OR(AN$4="",$A384&gt;TODAY()),0,IF(OR(INDEX($B384:$D384,AN$5)="F",AND(AN$6&gt;0,$A384&lt;AN$6),AND(AN$7&gt;0,$A384&gt;AN$7)),0,MAX(0,ROUND((INDEX($E384:$G384,AN$5)-SUMIFS(TF_Timer,TF_Tekniker,AN$4,TF_Dato,$A384))*2,0)/2)))</f>
        <v/>
      </c>
      <c r="AO384">
        <f>IF(OR(AO$4="",$A384&gt;TODAY()),0,IF(OR(INDEX($B384:$D384,AO$5)="F",AND(AO$6&gt;0,$A384&lt;AO$6),AND(AO$7&gt;0,$A384&gt;AO$7)),0,MAX(0,ROUND((INDEX($E384:$G384,AO$5)-SUMIFS(TF_Timer,TF_Tekniker,AO$4,TF_Dato,$A384))*2,0)/2)))</f>
        <v/>
      </c>
      <c r="AP384">
        <f>IF(OR(AP$4="",$A384&gt;TODAY()),0,IF(OR(INDEX($B384:$D384,AP$5)="F",AND(AP$6&gt;0,$A384&lt;AP$6),AND(AP$7&gt;0,$A384&gt;AP$7)),0,MAX(0,ROUND((INDEX($E384:$G384,AP$5)-SUMIFS(TF_Timer,TF_Tekniker,AP$4,TF_Dato,$A384))*2,0)/2)))</f>
        <v/>
      </c>
      <c r="AQ384">
        <f>IF(OR(AQ$4="",$A384&gt;TODAY()),0,IF(OR(INDEX($B384:$D384,AQ$5)="F",AND(AQ$6&gt;0,$A384&lt;AQ$6),AND(AQ$7&gt;0,$A384&gt;AQ$7)),0,MAX(0,ROUND((INDEX($E384:$G384,AQ$5)-SUMIFS(TF_Timer,TF_Tekniker,AQ$4,TF_Dato,$A384))*2,0)/2)))</f>
        <v/>
      </c>
      <c r="AR384">
        <f>IF(OR(AR$4="",$A384&gt;TODAY()),0,IF(OR(INDEX($B384:$D384,AR$5)="F",AND(AR$6&gt;0,$A384&lt;AR$6),AND(AR$7&gt;0,$A384&gt;AR$7)),0,MAX(0,ROUND((INDEX($E384:$G384,AR$5)-SUMIFS(TF_Timer,TF_Tekniker,AR$4,TF_Dato,$A384))*2,0)/2)))</f>
        <v/>
      </c>
      <c r="AS384">
        <f>IF(OR(AS$4="",$A384&gt;TODAY()),0,IF(OR(INDEX($B384:$D384,AS$5)="F",AND(AS$6&gt;0,$A384&lt;AS$6),AND(AS$7&gt;0,$A384&gt;AS$7)),0,MAX(0,ROUND((INDEX($E384:$G384,AS$5)-SUMIFS(TF_Timer,TF_Tekniker,AS$4,TF_Dato,$A384))*2,0)/2)))</f>
        <v/>
      </c>
      <c r="AT384">
        <f>IF(OR(AT$4="",$A384&gt;TODAY()),0,IF(OR(INDEX($B384:$D384,AT$5)="F",AND(AT$6&gt;0,$A384&lt;AT$6),AND(AT$7&gt;0,$A384&gt;AT$7)),0,MAX(0,ROUND((INDEX($E384:$G384,AT$5)-SUMIFS(TF_Timer,TF_Tekniker,AT$4,TF_Dato,$A384))*2,0)/2)))</f>
        <v/>
      </c>
      <c r="AU384">
        <f>IF(OR(AU$4="",$A384&gt;TODAY()),0,IF(OR(INDEX($B384:$D384,AU$5)="F",AND(AU$6&gt;0,$A384&lt;AU$6),AND(AU$7&gt;0,$A384&gt;AU$7)),0,MAX(0,ROUND((INDEX($E384:$G384,AU$5)-SUMIFS(TF_Timer,TF_Tekniker,AU$4,TF_Dato,$A384))*2,0)/2)))</f>
        <v/>
      </c>
      <c r="AV384">
        <f>IF(OR(AV$4="",$A384&gt;TODAY()),0,IF(OR(INDEX($B384:$D384,AV$5)="F",AND(AV$6&gt;0,$A384&lt;AV$6),AND(AV$7&gt;0,$A384&gt;AV$7)),0,MAX(0,ROUND((INDEX($E384:$G384,AV$5)-SUMIFS(TF_Timer,TF_Tekniker,AV$4,TF_Dato,$A384))*2,0)/2)))</f>
        <v/>
      </c>
      <c r="AW384">
        <f>IF(OR(AW$4="",$A384&gt;TODAY()),0,IF(OR(INDEX($B384:$D384,AW$5)="F",AND(AW$6&gt;0,$A384&lt;AW$6),AND(AW$7&gt;0,$A384&gt;AW$7)),0,MAX(0,ROUND((INDEX($E384:$G384,AW$5)-SUMIFS(TF_Timer,TF_Tekniker,AW$4,TF_Dato,$A384))*2,0)/2)))</f>
        <v/>
      </c>
      <c r="AX384">
        <f>IF(OR(AX$4="",$A384&gt;TODAY()),0,IF(OR(INDEX($B384:$D384,AX$5)="F",AND(AX$6&gt;0,$A384&lt;AX$6),AND(AX$7&gt;0,$A384&gt;AX$7)),0,MAX(0,ROUND((INDEX($E384:$G384,AX$5)-SUMIFS(TF_Timer,TF_Tekniker,AX$4,TF_Dato,$A384))*2,0)/2)))</f>
        <v/>
      </c>
      <c r="AY384">
        <f>IF(OR(AY$4="",$A384&gt;TODAY()),0,IF(OR(INDEX($B384:$D384,AY$5)="F",AND(AY$6&gt;0,$A384&lt;AY$6),AND(AY$7&gt;0,$A384&gt;AY$7)),0,MAX(0,ROUND((INDEX($E384:$G384,AY$5)-SUMIFS(TF_Timer,TF_Tekniker,AY$4,TF_Dato,$A384))*2,0)/2)))</f>
        <v/>
      </c>
      <c r="AZ384">
        <f>IF(OR(AZ$4="",$A384&gt;TODAY()),0,IF(OR(INDEX($B384:$D384,AZ$5)="F",AND(AZ$6&gt;0,$A384&lt;AZ$6),AND(AZ$7&gt;0,$A384&gt;AZ$7)),0,MAX(0,ROUND((INDEX($E384:$G384,AZ$5)-SUMIFS(TF_Timer,TF_Tekniker,AZ$4,TF_Dato,$A384))*2,0)/2)))</f>
        <v/>
      </c>
      <c r="BA384">
        <f>IF(OR(BA$4="",$A384&gt;TODAY()),0,IF(OR(INDEX($B384:$D384,BA$5)="F",AND(BA$6&gt;0,$A384&lt;BA$6),AND(BA$7&gt;0,$A384&gt;BA$7)),0,MAX(0,ROUND((INDEX($E384:$G384,BA$5)-SUMIFS(TF_Timer,TF_Tekniker,BA$4,TF_Dato,$A384))*2,0)/2)))</f>
        <v/>
      </c>
      <c r="BB384">
        <f>IF(OR(BB$4="",$A384&gt;TODAY()),0,IF(OR(INDEX($B384:$D384,BB$5)="F",AND(BB$6&gt;0,$A384&lt;BB$6),AND(BB$7&gt;0,$A384&gt;BB$7)),0,MAX(0,ROUND((INDEX($E384:$G384,BB$5)-SUMIFS(TF_Timer,TF_Tekniker,BB$4,TF_Dato,$A384))*2,0)/2)))</f>
        <v/>
      </c>
      <c r="BC384">
        <f>IF(OR(BC$4="",$A384&gt;TODAY()),0,IF(OR(INDEX($B384:$D384,BC$5)="F",AND(BC$6&gt;0,$A384&lt;BC$6),AND(BC$7&gt;0,$A384&gt;BC$7)),0,MAX(0,ROUND((INDEX($E384:$G384,BC$5)-SUMIFS(TF_Timer,TF_Tekniker,BC$4,TF_Dato,$A384))*2,0)/2)))</f>
        <v/>
      </c>
      <c r="BD384">
        <f>IF(OR(BD$4="",$A384&gt;TODAY()),0,IF(OR(INDEX($B384:$D384,BD$5)="F",AND(BD$6&gt;0,$A384&lt;BD$6),AND(BD$7&gt;0,$A384&gt;BD$7)),0,MAX(0,ROUND((INDEX($E384:$G384,BD$5)-SUMIFS(TF_Timer,TF_Tekniker,BD$4,TF_Dato,$A384))*2,0)/2)))</f>
        <v/>
      </c>
      <c r="BE384">
        <f>IF(OR(BE$4="",$A384&gt;TODAY()),0,IF(OR(INDEX($B384:$D384,BE$5)="F",AND(BE$6&gt;0,$A384&lt;BE$6),AND(BE$7&gt;0,$A384&gt;BE$7)),0,MAX(0,ROUND((INDEX($E384:$G384,BE$5)-SUMIFS(TF_Timer,TF_Tekniker,BE$4,TF_Dato,$A384))*2,0)/2)))</f>
        <v/>
      </c>
      <c r="BF384">
        <f>IF(OR(BF$4="",$A384&gt;TODAY()),0,IF(OR(INDEX($B384:$D384,BF$5)="F",AND(BF$6&gt;0,$A384&lt;BF$6),AND(BF$7&gt;0,$A384&gt;BF$7)),0,MAX(0,ROUND((INDEX($E384:$G384,BF$5)-SUMIFS(TF_Timer,TF_Tekniker,BF$4,TF_Dato,$A384))*2,0)/2)))</f>
        <v/>
      </c>
      <c r="BG384">
        <f>IF(OR(BG$4="",$A384&gt;TODAY()),0,IF(OR(INDEX($B384:$D384,BG$5)="F",AND(BG$6&gt;0,$A384&lt;BG$6),AND(BG$7&gt;0,$A384&gt;BG$7)),0,MAX(0,ROUND((INDEX($E384:$G384,BG$5)-SUMIFS(TF_Timer,TF_Tekniker,BG$4,TF_Dato,$A384))*2,0)/2)))</f>
        <v/>
      </c>
      <c r="BH384">
        <f>IF(OR(BH$4="",$A384&gt;TODAY()),0,IF(OR(INDEX($B384:$D384,BH$5)="F",AND(BH$6&gt;0,$A384&lt;BH$6),AND(BH$7&gt;0,$A384&gt;BH$7)),0,MAX(0,ROUND((INDEX($E384:$G384,BH$5)-SUMIFS(TF_Timer,TF_Tekniker,BH$4,TF_Dato,$A384))*2,0)/2)))</f>
        <v/>
      </c>
      <c r="BI384">
        <f>IF(OR(BI$4="",$A384&gt;TODAY()),0,IF(OR(INDEX($B384:$D384,BI$5)="F",AND(BI$6&gt;0,$A384&lt;BI$6),AND(BI$7&gt;0,$A384&gt;BI$7)),0,MAX(0,ROUND((INDEX($E384:$G384,BI$5)-SUMIFS(TF_Timer,TF_Tekniker,BI$4,TF_Dato,$A384))*2,0)/2)))</f>
        <v/>
      </c>
    </row>
    <row r="385">
      <c r="A385" s="64">
        <f>A384+1</f>
        <v/>
      </c>
      <c r="B385">
        <f>IF(MOD($A385-INDEX(SkiftStart,1),Syklus)&lt;DagK,"K",IF(MOD($A385-INDEX(SkiftStart,1),Syklus)&lt;DagK+DagH,"H",IF(MOD($A385-INDEX(SkiftStart,1),Syklus)&lt;DagK+DagH+DagD,"D","F")))</f>
        <v/>
      </c>
      <c r="C385">
        <f>IF(MOD($A385-INDEX(SkiftStart,2),Syklus)&lt;DagK,"K",IF(MOD($A385-INDEX(SkiftStart,2),Syklus)&lt;DagK+DagH,"H",IF(MOD($A385-INDEX(SkiftStart,2),Syklus)&lt;DagK+DagH+DagD,"D","F")))</f>
        <v/>
      </c>
      <c r="D385">
        <f>IF(MOD($A385-INDEX(SkiftStart,3),Syklus)&lt;DagK,"K",IF(MOD($A385-INDEX(SkiftStart,3),Syklus)&lt;DagK+DagH,"H",IF(MOD($A385-INDEX(SkiftStart,3),Syklus)&lt;DagK+DagH+DagD,"D","F")))</f>
        <v/>
      </c>
      <c r="E385">
        <f>IF(B385="F",0,IF(WEEKDAY($A385,2)=5,INDEX(TimerFr,MATCH(B385,FaseKode,0)),INDEX(TimerMT,MATCH(B385,FaseKode,0))))</f>
        <v/>
      </c>
      <c r="F385">
        <f>IF(C385="F",0,IF(WEEKDAY($A385,2)=5,INDEX(TimerFr,MATCH(C385,FaseKode,0)),INDEX(TimerMT,MATCH(C385,FaseKode,0))))</f>
        <v/>
      </c>
      <c r="G385">
        <f>IF(D385="F",0,IF(WEEKDAY($A385,2)=5,INDEX(TimerFr,MATCH(D385,FaseKode,0)),INDEX(TimerMT,MATCH(D385,FaseKode,0))))</f>
        <v/>
      </c>
      <c r="H385">
        <f>IF(OR(H$4="",$A385&gt;TODAY()),0,IF(OR(INDEX($B385:$D385,H$5)="F",AND(H$6&gt;0,$A385&lt;H$6),AND(H$7&gt;0,$A385&gt;H$7)),0,MAX(0,ROUND((INDEX($E385:$G385,H$5)-SUMIFS(TF_Timer,TF_Tekniker,H$4,TF_Dato,$A385))*2,0)/2)))</f>
        <v/>
      </c>
      <c r="I385">
        <f>IF(OR(I$4="",$A385&gt;TODAY()),0,IF(OR(INDEX($B385:$D385,I$5)="F",AND(I$6&gt;0,$A385&lt;I$6),AND(I$7&gt;0,$A385&gt;I$7)),0,MAX(0,ROUND((INDEX($E385:$G385,I$5)-SUMIFS(TF_Timer,TF_Tekniker,I$4,TF_Dato,$A385))*2,0)/2)))</f>
        <v/>
      </c>
      <c r="J385">
        <f>IF(OR(J$4="",$A385&gt;TODAY()),0,IF(OR(INDEX($B385:$D385,J$5)="F",AND(J$6&gt;0,$A385&lt;J$6),AND(J$7&gt;0,$A385&gt;J$7)),0,MAX(0,ROUND((INDEX($E385:$G385,J$5)-SUMIFS(TF_Timer,TF_Tekniker,J$4,TF_Dato,$A385))*2,0)/2)))</f>
        <v/>
      </c>
      <c r="K385">
        <f>IF(OR(K$4="",$A385&gt;TODAY()),0,IF(OR(INDEX($B385:$D385,K$5)="F",AND(K$6&gt;0,$A385&lt;K$6),AND(K$7&gt;0,$A385&gt;K$7)),0,MAX(0,ROUND((INDEX($E385:$G385,K$5)-SUMIFS(TF_Timer,TF_Tekniker,K$4,TF_Dato,$A385))*2,0)/2)))</f>
        <v/>
      </c>
      <c r="L385">
        <f>IF(OR(L$4="",$A385&gt;TODAY()),0,IF(OR(INDEX($B385:$D385,L$5)="F",AND(L$6&gt;0,$A385&lt;L$6),AND(L$7&gt;0,$A385&gt;L$7)),0,MAX(0,ROUND((INDEX($E385:$G385,L$5)-SUMIFS(TF_Timer,TF_Tekniker,L$4,TF_Dato,$A385))*2,0)/2)))</f>
        <v/>
      </c>
      <c r="M385">
        <f>IF(OR(M$4="",$A385&gt;TODAY()),0,IF(OR(INDEX($B385:$D385,M$5)="F",AND(M$6&gt;0,$A385&lt;M$6),AND(M$7&gt;0,$A385&gt;M$7)),0,MAX(0,ROUND((INDEX($E385:$G385,M$5)-SUMIFS(TF_Timer,TF_Tekniker,M$4,TF_Dato,$A385))*2,0)/2)))</f>
        <v/>
      </c>
      <c r="N385">
        <f>IF(OR(N$4="",$A385&gt;TODAY()),0,IF(OR(INDEX($B385:$D385,N$5)="F",AND(N$6&gt;0,$A385&lt;N$6),AND(N$7&gt;0,$A385&gt;N$7)),0,MAX(0,ROUND((INDEX($E385:$G385,N$5)-SUMIFS(TF_Timer,TF_Tekniker,N$4,TF_Dato,$A385))*2,0)/2)))</f>
        <v/>
      </c>
      <c r="O385">
        <f>IF(OR(O$4="",$A385&gt;TODAY()),0,IF(OR(INDEX($B385:$D385,O$5)="F",AND(O$6&gt;0,$A385&lt;O$6),AND(O$7&gt;0,$A385&gt;O$7)),0,MAX(0,ROUND((INDEX($E385:$G385,O$5)-SUMIFS(TF_Timer,TF_Tekniker,O$4,TF_Dato,$A385))*2,0)/2)))</f>
        <v/>
      </c>
      <c r="P385">
        <f>IF(OR(P$4="",$A385&gt;TODAY()),0,IF(OR(INDEX($B385:$D385,P$5)="F",AND(P$6&gt;0,$A385&lt;P$6),AND(P$7&gt;0,$A385&gt;P$7)),0,MAX(0,ROUND((INDEX($E385:$G385,P$5)-SUMIFS(TF_Timer,TF_Tekniker,P$4,TF_Dato,$A385))*2,0)/2)))</f>
        <v/>
      </c>
      <c r="Q385">
        <f>IF(OR(Q$4="",$A385&gt;TODAY()),0,IF(OR(INDEX($B385:$D385,Q$5)="F",AND(Q$6&gt;0,$A385&lt;Q$6),AND(Q$7&gt;0,$A385&gt;Q$7)),0,MAX(0,ROUND((INDEX($E385:$G385,Q$5)-SUMIFS(TF_Timer,TF_Tekniker,Q$4,TF_Dato,$A385))*2,0)/2)))</f>
        <v/>
      </c>
      <c r="R385">
        <f>IF(OR(R$4="",$A385&gt;TODAY()),0,IF(OR(INDEX($B385:$D385,R$5)="F",AND(R$6&gt;0,$A385&lt;R$6),AND(R$7&gt;0,$A385&gt;R$7)),0,MAX(0,ROUND((INDEX($E385:$G385,R$5)-SUMIFS(TF_Timer,TF_Tekniker,R$4,TF_Dato,$A385))*2,0)/2)))</f>
        <v/>
      </c>
      <c r="S385">
        <f>IF(OR(S$4="",$A385&gt;TODAY()),0,IF(OR(INDEX($B385:$D385,S$5)="F",AND(S$6&gt;0,$A385&lt;S$6),AND(S$7&gt;0,$A385&gt;S$7)),0,MAX(0,ROUND((INDEX($E385:$G385,S$5)-SUMIFS(TF_Timer,TF_Tekniker,S$4,TF_Dato,$A385))*2,0)/2)))</f>
        <v/>
      </c>
      <c r="T385">
        <f>IF(OR(T$4="",$A385&gt;TODAY()),0,IF(OR(INDEX($B385:$D385,T$5)="F",AND(T$6&gt;0,$A385&lt;T$6),AND(T$7&gt;0,$A385&gt;T$7)),0,MAX(0,ROUND((INDEX($E385:$G385,T$5)-SUMIFS(TF_Timer,TF_Tekniker,T$4,TF_Dato,$A385))*2,0)/2)))</f>
        <v/>
      </c>
      <c r="U385">
        <f>IF(OR(U$4="",$A385&gt;TODAY()),0,IF(OR(INDEX($B385:$D385,U$5)="F",AND(U$6&gt;0,$A385&lt;U$6),AND(U$7&gt;0,$A385&gt;U$7)),0,MAX(0,ROUND((INDEX($E385:$G385,U$5)-SUMIFS(TF_Timer,TF_Tekniker,U$4,TF_Dato,$A385))*2,0)/2)))</f>
        <v/>
      </c>
      <c r="V385">
        <f>IF(OR(V$4="",$A385&gt;TODAY()),0,IF(OR(INDEX($B385:$D385,V$5)="F",AND(V$6&gt;0,$A385&lt;V$6),AND(V$7&gt;0,$A385&gt;V$7)),0,MAX(0,ROUND((INDEX($E385:$G385,V$5)-SUMIFS(TF_Timer,TF_Tekniker,V$4,TF_Dato,$A385))*2,0)/2)))</f>
        <v/>
      </c>
      <c r="W385">
        <f>IF(OR(W$4="",$A385&gt;TODAY()),0,IF(OR(INDEX($B385:$D385,W$5)="F",AND(W$6&gt;0,$A385&lt;W$6),AND(W$7&gt;0,$A385&gt;W$7)),0,MAX(0,ROUND((INDEX($E385:$G385,W$5)-SUMIFS(TF_Timer,TF_Tekniker,W$4,TF_Dato,$A385))*2,0)/2)))</f>
        <v/>
      </c>
      <c r="X385">
        <f>IF(OR(X$4="",$A385&gt;TODAY()),0,IF(OR(INDEX($B385:$D385,X$5)="F",AND(X$6&gt;0,$A385&lt;X$6),AND(X$7&gt;0,$A385&gt;X$7)),0,MAX(0,ROUND((INDEX($E385:$G385,X$5)-SUMIFS(TF_Timer,TF_Tekniker,X$4,TF_Dato,$A385))*2,0)/2)))</f>
        <v/>
      </c>
      <c r="Y385">
        <f>IF(OR(Y$4="",$A385&gt;TODAY()),0,IF(OR(INDEX($B385:$D385,Y$5)="F",AND(Y$6&gt;0,$A385&lt;Y$6),AND(Y$7&gt;0,$A385&gt;Y$7)),0,MAX(0,ROUND((INDEX($E385:$G385,Y$5)-SUMIFS(TF_Timer,TF_Tekniker,Y$4,TF_Dato,$A385))*2,0)/2)))</f>
        <v/>
      </c>
      <c r="Z385">
        <f>IF(OR(Z$4="",$A385&gt;TODAY()),0,IF(OR(INDEX($B385:$D385,Z$5)="F",AND(Z$6&gt;0,$A385&lt;Z$6),AND(Z$7&gt;0,$A385&gt;Z$7)),0,MAX(0,ROUND((INDEX($E385:$G385,Z$5)-SUMIFS(TF_Timer,TF_Tekniker,Z$4,TF_Dato,$A385))*2,0)/2)))</f>
        <v/>
      </c>
      <c r="AA385">
        <f>IF(OR(AA$4="",$A385&gt;TODAY()),0,IF(OR(INDEX($B385:$D385,AA$5)="F",AND(AA$6&gt;0,$A385&lt;AA$6),AND(AA$7&gt;0,$A385&gt;AA$7)),0,MAX(0,ROUND((INDEX($E385:$G385,AA$5)-SUMIFS(TF_Timer,TF_Tekniker,AA$4,TF_Dato,$A385))*2,0)/2)))</f>
        <v/>
      </c>
      <c r="AB385">
        <f>IF(OR(AB$4="",$A385&gt;TODAY()),0,IF(OR(INDEX($B385:$D385,AB$5)="F",AND(AB$6&gt;0,$A385&lt;AB$6),AND(AB$7&gt;0,$A385&gt;AB$7)),0,MAX(0,ROUND((INDEX($E385:$G385,AB$5)-SUMIFS(TF_Timer,TF_Tekniker,AB$4,TF_Dato,$A385))*2,0)/2)))</f>
        <v/>
      </c>
      <c r="AC385">
        <f>IF(OR(AC$4="",$A385&gt;TODAY()),0,IF(OR(INDEX($B385:$D385,AC$5)="F",AND(AC$6&gt;0,$A385&lt;AC$6),AND(AC$7&gt;0,$A385&gt;AC$7)),0,MAX(0,ROUND((INDEX($E385:$G385,AC$5)-SUMIFS(TF_Timer,TF_Tekniker,AC$4,TF_Dato,$A385))*2,0)/2)))</f>
        <v/>
      </c>
      <c r="AD385">
        <f>IF(OR(AD$4="",$A385&gt;TODAY()),0,IF(OR(INDEX($B385:$D385,AD$5)="F",AND(AD$6&gt;0,$A385&lt;AD$6),AND(AD$7&gt;0,$A385&gt;AD$7)),0,MAX(0,ROUND((INDEX($E385:$G385,AD$5)-SUMIFS(TF_Timer,TF_Tekniker,AD$4,TF_Dato,$A385))*2,0)/2)))</f>
        <v/>
      </c>
      <c r="AE385">
        <f>IF(OR(AE$4="",$A385&gt;TODAY()),0,IF(OR(INDEX($B385:$D385,AE$5)="F",AND(AE$6&gt;0,$A385&lt;AE$6),AND(AE$7&gt;0,$A385&gt;AE$7)),0,MAX(0,ROUND((INDEX($E385:$G385,AE$5)-SUMIFS(TF_Timer,TF_Tekniker,AE$4,TF_Dato,$A385))*2,0)/2)))</f>
        <v/>
      </c>
      <c r="AF385">
        <f>IF(OR(AF$4="",$A385&gt;TODAY()),0,IF(OR(INDEX($B385:$D385,AF$5)="F",AND(AF$6&gt;0,$A385&lt;AF$6),AND(AF$7&gt;0,$A385&gt;AF$7)),0,MAX(0,ROUND((INDEX($E385:$G385,AF$5)-SUMIFS(TF_Timer,TF_Tekniker,AF$4,TF_Dato,$A385))*2,0)/2)))</f>
        <v/>
      </c>
      <c r="AG385">
        <f>IF(OR(AG$4="",$A385&gt;TODAY()),0,IF(OR(INDEX($B385:$D385,AG$5)="F",AND(AG$6&gt;0,$A385&lt;AG$6),AND(AG$7&gt;0,$A385&gt;AG$7)),0,MAX(0,ROUND((INDEX($E385:$G385,AG$5)-SUMIFS(TF_Timer,TF_Tekniker,AG$4,TF_Dato,$A385))*2,0)/2)))</f>
        <v/>
      </c>
      <c r="AH385">
        <f>IF(OR(AH$4="",$A385&gt;TODAY()),0,IF(OR(INDEX($B385:$D385,AH$5)="F",AND(AH$6&gt;0,$A385&lt;AH$6),AND(AH$7&gt;0,$A385&gt;AH$7)),0,MAX(0,ROUND((INDEX($E385:$G385,AH$5)-SUMIFS(TF_Timer,TF_Tekniker,AH$4,TF_Dato,$A385))*2,0)/2)))</f>
        <v/>
      </c>
      <c r="AI385">
        <f>IF(OR(AI$4="",$A385&gt;TODAY()),0,IF(OR(INDEX($B385:$D385,AI$5)="F",AND(AI$6&gt;0,$A385&lt;AI$6),AND(AI$7&gt;0,$A385&gt;AI$7)),0,MAX(0,ROUND((INDEX($E385:$G385,AI$5)-SUMIFS(TF_Timer,TF_Tekniker,AI$4,TF_Dato,$A385))*2,0)/2)))</f>
        <v/>
      </c>
      <c r="AJ385">
        <f>IF(OR(AJ$4="",$A385&gt;TODAY()),0,IF(OR(INDEX($B385:$D385,AJ$5)="F",AND(AJ$6&gt;0,$A385&lt;AJ$6),AND(AJ$7&gt;0,$A385&gt;AJ$7)),0,MAX(0,ROUND((INDEX($E385:$G385,AJ$5)-SUMIFS(TF_Timer,TF_Tekniker,AJ$4,TF_Dato,$A385))*2,0)/2)))</f>
        <v/>
      </c>
      <c r="AK385">
        <f>IF(OR(AK$4="",$A385&gt;TODAY()),0,IF(OR(INDEX($B385:$D385,AK$5)="F",AND(AK$6&gt;0,$A385&lt;AK$6),AND(AK$7&gt;0,$A385&gt;AK$7)),0,MAX(0,ROUND((INDEX($E385:$G385,AK$5)-SUMIFS(TF_Timer,TF_Tekniker,AK$4,TF_Dato,$A385))*2,0)/2)))</f>
        <v/>
      </c>
      <c r="AL385">
        <f>IF(OR(AL$4="",$A385&gt;TODAY()),0,IF(OR(INDEX($B385:$D385,AL$5)="F",AND(AL$6&gt;0,$A385&lt;AL$6),AND(AL$7&gt;0,$A385&gt;AL$7)),0,MAX(0,ROUND((INDEX($E385:$G385,AL$5)-SUMIFS(TF_Timer,TF_Tekniker,AL$4,TF_Dato,$A385))*2,0)/2)))</f>
        <v/>
      </c>
      <c r="AM385">
        <f>IF(OR(AM$4="",$A385&gt;TODAY()),0,IF(OR(INDEX($B385:$D385,AM$5)="F",AND(AM$6&gt;0,$A385&lt;AM$6),AND(AM$7&gt;0,$A385&gt;AM$7)),0,MAX(0,ROUND((INDEX($E385:$G385,AM$5)-SUMIFS(TF_Timer,TF_Tekniker,AM$4,TF_Dato,$A385))*2,0)/2)))</f>
        <v/>
      </c>
      <c r="AN385">
        <f>IF(OR(AN$4="",$A385&gt;TODAY()),0,IF(OR(INDEX($B385:$D385,AN$5)="F",AND(AN$6&gt;0,$A385&lt;AN$6),AND(AN$7&gt;0,$A385&gt;AN$7)),0,MAX(0,ROUND((INDEX($E385:$G385,AN$5)-SUMIFS(TF_Timer,TF_Tekniker,AN$4,TF_Dato,$A385))*2,0)/2)))</f>
        <v/>
      </c>
      <c r="AO385">
        <f>IF(OR(AO$4="",$A385&gt;TODAY()),0,IF(OR(INDEX($B385:$D385,AO$5)="F",AND(AO$6&gt;0,$A385&lt;AO$6),AND(AO$7&gt;0,$A385&gt;AO$7)),0,MAX(0,ROUND((INDEX($E385:$G385,AO$5)-SUMIFS(TF_Timer,TF_Tekniker,AO$4,TF_Dato,$A385))*2,0)/2)))</f>
        <v/>
      </c>
      <c r="AP385">
        <f>IF(OR(AP$4="",$A385&gt;TODAY()),0,IF(OR(INDEX($B385:$D385,AP$5)="F",AND(AP$6&gt;0,$A385&lt;AP$6),AND(AP$7&gt;0,$A385&gt;AP$7)),0,MAX(0,ROUND((INDEX($E385:$G385,AP$5)-SUMIFS(TF_Timer,TF_Tekniker,AP$4,TF_Dato,$A385))*2,0)/2)))</f>
        <v/>
      </c>
      <c r="AQ385">
        <f>IF(OR(AQ$4="",$A385&gt;TODAY()),0,IF(OR(INDEX($B385:$D385,AQ$5)="F",AND(AQ$6&gt;0,$A385&lt;AQ$6),AND(AQ$7&gt;0,$A385&gt;AQ$7)),0,MAX(0,ROUND((INDEX($E385:$G385,AQ$5)-SUMIFS(TF_Timer,TF_Tekniker,AQ$4,TF_Dato,$A385))*2,0)/2)))</f>
        <v/>
      </c>
      <c r="AR385">
        <f>IF(OR(AR$4="",$A385&gt;TODAY()),0,IF(OR(INDEX($B385:$D385,AR$5)="F",AND(AR$6&gt;0,$A385&lt;AR$6),AND(AR$7&gt;0,$A385&gt;AR$7)),0,MAX(0,ROUND((INDEX($E385:$G385,AR$5)-SUMIFS(TF_Timer,TF_Tekniker,AR$4,TF_Dato,$A385))*2,0)/2)))</f>
        <v/>
      </c>
      <c r="AS385">
        <f>IF(OR(AS$4="",$A385&gt;TODAY()),0,IF(OR(INDEX($B385:$D385,AS$5)="F",AND(AS$6&gt;0,$A385&lt;AS$6),AND(AS$7&gt;0,$A385&gt;AS$7)),0,MAX(0,ROUND((INDEX($E385:$G385,AS$5)-SUMIFS(TF_Timer,TF_Tekniker,AS$4,TF_Dato,$A385))*2,0)/2)))</f>
        <v/>
      </c>
      <c r="AT385">
        <f>IF(OR(AT$4="",$A385&gt;TODAY()),0,IF(OR(INDEX($B385:$D385,AT$5)="F",AND(AT$6&gt;0,$A385&lt;AT$6),AND(AT$7&gt;0,$A385&gt;AT$7)),0,MAX(0,ROUND((INDEX($E385:$G385,AT$5)-SUMIFS(TF_Timer,TF_Tekniker,AT$4,TF_Dato,$A385))*2,0)/2)))</f>
        <v/>
      </c>
      <c r="AU385">
        <f>IF(OR(AU$4="",$A385&gt;TODAY()),0,IF(OR(INDEX($B385:$D385,AU$5)="F",AND(AU$6&gt;0,$A385&lt;AU$6),AND(AU$7&gt;0,$A385&gt;AU$7)),0,MAX(0,ROUND((INDEX($E385:$G385,AU$5)-SUMIFS(TF_Timer,TF_Tekniker,AU$4,TF_Dato,$A385))*2,0)/2)))</f>
        <v/>
      </c>
      <c r="AV385">
        <f>IF(OR(AV$4="",$A385&gt;TODAY()),0,IF(OR(INDEX($B385:$D385,AV$5)="F",AND(AV$6&gt;0,$A385&lt;AV$6),AND(AV$7&gt;0,$A385&gt;AV$7)),0,MAX(0,ROUND((INDEX($E385:$G385,AV$5)-SUMIFS(TF_Timer,TF_Tekniker,AV$4,TF_Dato,$A385))*2,0)/2)))</f>
        <v/>
      </c>
      <c r="AW385">
        <f>IF(OR(AW$4="",$A385&gt;TODAY()),0,IF(OR(INDEX($B385:$D385,AW$5)="F",AND(AW$6&gt;0,$A385&lt;AW$6),AND(AW$7&gt;0,$A385&gt;AW$7)),0,MAX(0,ROUND((INDEX($E385:$G385,AW$5)-SUMIFS(TF_Timer,TF_Tekniker,AW$4,TF_Dato,$A385))*2,0)/2)))</f>
        <v/>
      </c>
      <c r="AX385">
        <f>IF(OR(AX$4="",$A385&gt;TODAY()),0,IF(OR(INDEX($B385:$D385,AX$5)="F",AND(AX$6&gt;0,$A385&lt;AX$6),AND(AX$7&gt;0,$A385&gt;AX$7)),0,MAX(0,ROUND((INDEX($E385:$G385,AX$5)-SUMIFS(TF_Timer,TF_Tekniker,AX$4,TF_Dato,$A385))*2,0)/2)))</f>
        <v/>
      </c>
      <c r="AY385">
        <f>IF(OR(AY$4="",$A385&gt;TODAY()),0,IF(OR(INDEX($B385:$D385,AY$5)="F",AND(AY$6&gt;0,$A385&lt;AY$6),AND(AY$7&gt;0,$A385&gt;AY$7)),0,MAX(0,ROUND((INDEX($E385:$G385,AY$5)-SUMIFS(TF_Timer,TF_Tekniker,AY$4,TF_Dato,$A385))*2,0)/2)))</f>
        <v/>
      </c>
      <c r="AZ385">
        <f>IF(OR(AZ$4="",$A385&gt;TODAY()),0,IF(OR(INDEX($B385:$D385,AZ$5)="F",AND(AZ$6&gt;0,$A385&lt;AZ$6),AND(AZ$7&gt;0,$A385&gt;AZ$7)),0,MAX(0,ROUND((INDEX($E385:$G385,AZ$5)-SUMIFS(TF_Timer,TF_Tekniker,AZ$4,TF_Dato,$A385))*2,0)/2)))</f>
        <v/>
      </c>
      <c r="BA385">
        <f>IF(OR(BA$4="",$A385&gt;TODAY()),0,IF(OR(INDEX($B385:$D385,BA$5)="F",AND(BA$6&gt;0,$A385&lt;BA$6),AND(BA$7&gt;0,$A385&gt;BA$7)),0,MAX(0,ROUND((INDEX($E385:$G385,BA$5)-SUMIFS(TF_Timer,TF_Tekniker,BA$4,TF_Dato,$A385))*2,0)/2)))</f>
        <v/>
      </c>
      <c r="BB385">
        <f>IF(OR(BB$4="",$A385&gt;TODAY()),0,IF(OR(INDEX($B385:$D385,BB$5)="F",AND(BB$6&gt;0,$A385&lt;BB$6),AND(BB$7&gt;0,$A385&gt;BB$7)),0,MAX(0,ROUND((INDEX($E385:$G385,BB$5)-SUMIFS(TF_Timer,TF_Tekniker,BB$4,TF_Dato,$A385))*2,0)/2)))</f>
        <v/>
      </c>
      <c r="BC385">
        <f>IF(OR(BC$4="",$A385&gt;TODAY()),0,IF(OR(INDEX($B385:$D385,BC$5)="F",AND(BC$6&gt;0,$A385&lt;BC$6),AND(BC$7&gt;0,$A385&gt;BC$7)),0,MAX(0,ROUND((INDEX($E385:$G385,BC$5)-SUMIFS(TF_Timer,TF_Tekniker,BC$4,TF_Dato,$A385))*2,0)/2)))</f>
        <v/>
      </c>
      <c r="BD385">
        <f>IF(OR(BD$4="",$A385&gt;TODAY()),0,IF(OR(INDEX($B385:$D385,BD$5)="F",AND(BD$6&gt;0,$A385&lt;BD$6),AND(BD$7&gt;0,$A385&gt;BD$7)),0,MAX(0,ROUND((INDEX($E385:$G385,BD$5)-SUMIFS(TF_Timer,TF_Tekniker,BD$4,TF_Dato,$A385))*2,0)/2)))</f>
        <v/>
      </c>
      <c r="BE385">
        <f>IF(OR(BE$4="",$A385&gt;TODAY()),0,IF(OR(INDEX($B385:$D385,BE$5)="F",AND(BE$6&gt;0,$A385&lt;BE$6),AND(BE$7&gt;0,$A385&gt;BE$7)),0,MAX(0,ROUND((INDEX($E385:$G385,BE$5)-SUMIFS(TF_Timer,TF_Tekniker,BE$4,TF_Dato,$A385))*2,0)/2)))</f>
        <v/>
      </c>
      <c r="BF385">
        <f>IF(OR(BF$4="",$A385&gt;TODAY()),0,IF(OR(INDEX($B385:$D385,BF$5)="F",AND(BF$6&gt;0,$A385&lt;BF$6),AND(BF$7&gt;0,$A385&gt;BF$7)),0,MAX(0,ROUND((INDEX($E385:$G385,BF$5)-SUMIFS(TF_Timer,TF_Tekniker,BF$4,TF_Dato,$A385))*2,0)/2)))</f>
        <v/>
      </c>
      <c r="BG385">
        <f>IF(OR(BG$4="",$A385&gt;TODAY()),0,IF(OR(INDEX($B385:$D385,BG$5)="F",AND(BG$6&gt;0,$A385&lt;BG$6),AND(BG$7&gt;0,$A385&gt;BG$7)),0,MAX(0,ROUND((INDEX($E385:$G385,BG$5)-SUMIFS(TF_Timer,TF_Tekniker,BG$4,TF_Dato,$A385))*2,0)/2)))</f>
        <v/>
      </c>
      <c r="BH385">
        <f>IF(OR(BH$4="",$A385&gt;TODAY()),0,IF(OR(INDEX($B385:$D385,BH$5)="F",AND(BH$6&gt;0,$A385&lt;BH$6),AND(BH$7&gt;0,$A385&gt;BH$7)),0,MAX(0,ROUND((INDEX($E385:$G385,BH$5)-SUMIFS(TF_Timer,TF_Tekniker,BH$4,TF_Dato,$A385))*2,0)/2)))</f>
        <v/>
      </c>
      <c r="BI385">
        <f>IF(OR(BI$4="",$A385&gt;TODAY()),0,IF(OR(INDEX($B385:$D385,BI$5)="F",AND(BI$6&gt;0,$A385&lt;BI$6),AND(BI$7&gt;0,$A385&gt;BI$7)),0,MAX(0,ROUND((INDEX($E385:$G385,BI$5)-SUMIFS(TF_Timer,TF_Tekniker,BI$4,TF_Dato,$A385))*2,0)/2)))</f>
        <v/>
      </c>
    </row>
    <row r="386">
      <c r="A386" s="64">
        <f>A385+1</f>
        <v/>
      </c>
      <c r="B386">
        <f>IF(MOD($A386-INDEX(SkiftStart,1),Syklus)&lt;DagK,"K",IF(MOD($A386-INDEX(SkiftStart,1),Syklus)&lt;DagK+DagH,"H",IF(MOD($A386-INDEX(SkiftStart,1),Syklus)&lt;DagK+DagH+DagD,"D","F")))</f>
        <v/>
      </c>
      <c r="C386">
        <f>IF(MOD($A386-INDEX(SkiftStart,2),Syklus)&lt;DagK,"K",IF(MOD($A386-INDEX(SkiftStart,2),Syklus)&lt;DagK+DagH,"H",IF(MOD($A386-INDEX(SkiftStart,2),Syklus)&lt;DagK+DagH+DagD,"D","F")))</f>
        <v/>
      </c>
      <c r="D386">
        <f>IF(MOD($A386-INDEX(SkiftStart,3),Syklus)&lt;DagK,"K",IF(MOD($A386-INDEX(SkiftStart,3),Syklus)&lt;DagK+DagH,"H",IF(MOD($A386-INDEX(SkiftStart,3),Syklus)&lt;DagK+DagH+DagD,"D","F")))</f>
        <v/>
      </c>
      <c r="E386">
        <f>IF(B386="F",0,IF(WEEKDAY($A386,2)=5,INDEX(TimerFr,MATCH(B386,FaseKode,0)),INDEX(TimerMT,MATCH(B386,FaseKode,0))))</f>
        <v/>
      </c>
      <c r="F386">
        <f>IF(C386="F",0,IF(WEEKDAY($A386,2)=5,INDEX(TimerFr,MATCH(C386,FaseKode,0)),INDEX(TimerMT,MATCH(C386,FaseKode,0))))</f>
        <v/>
      </c>
      <c r="G386">
        <f>IF(D386="F",0,IF(WEEKDAY($A386,2)=5,INDEX(TimerFr,MATCH(D386,FaseKode,0)),INDEX(TimerMT,MATCH(D386,FaseKode,0))))</f>
        <v/>
      </c>
      <c r="H386">
        <f>IF(OR(H$4="",$A386&gt;TODAY()),0,IF(OR(INDEX($B386:$D386,H$5)="F",AND(H$6&gt;0,$A386&lt;H$6),AND(H$7&gt;0,$A386&gt;H$7)),0,MAX(0,ROUND((INDEX($E386:$G386,H$5)-SUMIFS(TF_Timer,TF_Tekniker,H$4,TF_Dato,$A386))*2,0)/2)))</f>
        <v/>
      </c>
      <c r="I386">
        <f>IF(OR(I$4="",$A386&gt;TODAY()),0,IF(OR(INDEX($B386:$D386,I$5)="F",AND(I$6&gt;0,$A386&lt;I$6),AND(I$7&gt;0,$A386&gt;I$7)),0,MAX(0,ROUND((INDEX($E386:$G386,I$5)-SUMIFS(TF_Timer,TF_Tekniker,I$4,TF_Dato,$A386))*2,0)/2)))</f>
        <v/>
      </c>
      <c r="J386">
        <f>IF(OR(J$4="",$A386&gt;TODAY()),0,IF(OR(INDEX($B386:$D386,J$5)="F",AND(J$6&gt;0,$A386&lt;J$6),AND(J$7&gt;0,$A386&gt;J$7)),0,MAX(0,ROUND((INDEX($E386:$G386,J$5)-SUMIFS(TF_Timer,TF_Tekniker,J$4,TF_Dato,$A386))*2,0)/2)))</f>
        <v/>
      </c>
      <c r="K386">
        <f>IF(OR(K$4="",$A386&gt;TODAY()),0,IF(OR(INDEX($B386:$D386,K$5)="F",AND(K$6&gt;0,$A386&lt;K$6),AND(K$7&gt;0,$A386&gt;K$7)),0,MAX(0,ROUND((INDEX($E386:$G386,K$5)-SUMIFS(TF_Timer,TF_Tekniker,K$4,TF_Dato,$A386))*2,0)/2)))</f>
        <v/>
      </c>
      <c r="L386">
        <f>IF(OR(L$4="",$A386&gt;TODAY()),0,IF(OR(INDEX($B386:$D386,L$5)="F",AND(L$6&gt;0,$A386&lt;L$6),AND(L$7&gt;0,$A386&gt;L$7)),0,MAX(0,ROUND((INDEX($E386:$G386,L$5)-SUMIFS(TF_Timer,TF_Tekniker,L$4,TF_Dato,$A386))*2,0)/2)))</f>
        <v/>
      </c>
      <c r="M386">
        <f>IF(OR(M$4="",$A386&gt;TODAY()),0,IF(OR(INDEX($B386:$D386,M$5)="F",AND(M$6&gt;0,$A386&lt;M$6),AND(M$7&gt;0,$A386&gt;M$7)),0,MAX(0,ROUND((INDEX($E386:$G386,M$5)-SUMIFS(TF_Timer,TF_Tekniker,M$4,TF_Dato,$A386))*2,0)/2)))</f>
        <v/>
      </c>
      <c r="N386">
        <f>IF(OR(N$4="",$A386&gt;TODAY()),0,IF(OR(INDEX($B386:$D386,N$5)="F",AND(N$6&gt;0,$A386&lt;N$6),AND(N$7&gt;0,$A386&gt;N$7)),0,MAX(0,ROUND((INDEX($E386:$G386,N$5)-SUMIFS(TF_Timer,TF_Tekniker,N$4,TF_Dato,$A386))*2,0)/2)))</f>
        <v/>
      </c>
      <c r="O386">
        <f>IF(OR(O$4="",$A386&gt;TODAY()),0,IF(OR(INDEX($B386:$D386,O$5)="F",AND(O$6&gt;0,$A386&lt;O$6),AND(O$7&gt;0,$A386&gt;O$7)),0,MAX(0,ROUND((INDEX($E386:$G386,O$5)-SUMIFS(TF_Timer,TF_Tekniker,O$4,TF_Dato,$A386))*2,0)/2)))</f>
        <v/>
      </c>
      <c r="P386">
        <f>IF(OR(P$4="",$A386&gt;TODAY()),0,IF(OR(INDEX($B386:$D386,P$5)="F",AND(P$6&gt;0,$A386&lt;P$6),AND(P$7&gt;0,$A386&gt;P$7)),0,MAX(0,ROUND((INDEX($E386:$G386,P$5)-SUMIFS(TF_Timer,TF_Tekniker,P$4,TF_Dato,$A386))*2,0)/2)))</f>
        <v/>
      </c>
      <c r="Q386">
        <f>IF(OR(Q$4="",$A386&gt;TODAY()),0,IF(OR(INDEX($B386:$D386,Q$5)="F",AND(Q$6&gt;0,$A386&lt;Q$6),AND(Q$7&gt;0,$A386&gt;Q$7)),0,MAX(0,ROUND((INDEX($E386:$G386,Q$5)-SUMIFS(TF_Timer,TF_Tekniker,Q$4,TF_Dato,$A386))*2,0)/2)))</f>
        <v/>
      </c>
      <c r="R386">
        <f>IF(OR(R$4="",$A386&gt;TODAY()),0,IF(OR(INDEX($B386:$D386,R$5)="F",AND(R$6&gt;0,$A386&lt;R$6),AND(R$7&gt;0,$A386&gt;R$7)),0,MAX(0,ROUND((INDEX($E386:$G386,R$5)-SUMIFS(TF_Timer,TF_Tekniker,R$4,TF_Dato,$A386))*2,0)/2)))</f>
        <v/>
      </c>
      <c r="S386">
        <f>IF(OR(S$4="",$A386&gt;TODAY()),0,IF(OR(INDEX($B386:$D386,S$5)="F",AND(S$6&gt;0,$A386&lt;S$6),AND(S$7&gt;0,$A386&gt;S$7)),0,MAX(0,ROUND((INDEX($E386:$G386,S$5)-SUMIFS(TF_Timer,TF_Tekniker,S$4,TF_Dato,$A386))*2,0)/2)))</f>
        <v/>
      </c>
      <c r="T386">
        <f>IF(OR(T$4="",$A386&gt;TODAY()),0,IF(OR(INDEX($B386:$D386,T$5)="F",AND(T$6&gt;0,$A386&lt;T$6),AND(T$7&gt;0,$A386&gt;T$7)),0,MAX(0,ROUND((INDEX($E386:$G386,T$5)-SUMIFS(TF_Timer,TF_Tekniker,T$4,TF_Dato,$A386))*2,0)/2)))</f>
        <v/>
      </c>
      <c r="U386">
        <f>IF(OR(U$4="",$A386&gt;TODAY()),0,IF(OR(INDEX($B386:$D386,U$5)="F",AND(U$6&gt;0,$A386&lt;U$6),AND(U$7&gt;0,$A386&gt;U$7)),0,MAX(0,ROUND((INDEX($E386:$G386,U$5)-SUMIFS(TF_Timer,TF_Tekniker,U$4,TF_Dato,$A386))*2,0)/2)))</f>
        <v/>
      </c>
      <c r="V386">
        <f>IF(OR(V$4="",$A386&gt;TODAY()),0,IF(OR(INDEX($B386:$D386,V$5)="F",AND(V$6&gt;0,$A386&lt;V$6),AND(V$7&gt;0,$A386&gt;V$7)),0,MAX(0,ROUND((INDEX($E386:$G386,V$5)-SUMIFS(TF_Timer,TF_Tekniker,V$4,TF_Dato,$A386))*2,0)/2)))</f>
        <v/>
      </c>
      <c r="W386">
        <f>IF(OR(W$4="",$A386&gt;TODAY()),0,IF(OR(INDEX($B386:$D386,W$5)="F",AND(W$6&gt;0,$A386&lt;W$6),AND(W$7&gt;0,$A386&gt;W$7)),0,MAX(0,ROUND((INDEX($E386:$G386,W$5)-SUMIFS(TF_Timer,TF_Tekniker,W$4,TF_Dato,$A386))*2,0)/2)))</f>
        <v/>
      </c>
      <c r="X386">
        <f>IF(OR(X$4="",$A386&gt;TODAY()),0,IF(OR(INDEX($B386:$D386,X$5)="F",AND(X$6&gt;0,$A386&lt;X$6),AND(X$7&gt;0,$A386&gt;X$7)),0,MAX(0,ROUND((INDEX($E386:$G386,X$5)-SUMIFS(TF_Timer,TF_Tekniker,X$4,TF_Dato,$A386))*2,0)/2)))</f>
        <v/>
      </c>
      <c r="Y386">
        <f>IF(OR(Y$4="",$A386&gt;TODAY()),0,IF(OR(INDEX($B386:$D386,Y$5)="F",AND(Y$6&gt;0,$A386&lt;Y$6),AND(Y$7&gt;0,$A386&gt;Y$7)),0,MAX(0,ROUND((INDEX($E386:$G386,Y$5)-SUMIFS(TF_Timer,TF_Tekniker,Y$4,TF_Dato,$A386))*2,0)/2)))</f>
        <v/>
      </c>
      <c r="Z386">
        <f>IF(OR(Z$4="",$A386&gt;TODAY()),0,IF(OR(INDEX($B386:$D386,Z$5)="F",AND(Z$6&gt;0,$A386&lt;Z$6),AND(Z$7&gt;0,$A386&gt;Z$7)),0,MAX(0,ROUND((INDEX($E386:$G386,Z$5)-SUMIFS(TF_Timer,TF_Tekniker,Z$4,TF_Dato,$A386))*2,0)/2)))</f>
        <v/>
      </c>
      <c r="AA386">
        <f>IF(OR(AA$4="",$A386&gt;TODAY()),0,IF(OR(INDEX($B386:$D386,AA$5)="F",AND(AA$6&gt;0,$A386&lt;AA$6),AND(AA$7&gt;0,$A386&gt;AA$7)),0,MAX(0,ROUND((INDEX($E386:$G386,AA$5)-SUMIFS(TF_Timer,TF_Tekniker,AA$4,TF_Dato,$A386))*2,0)/2)))</f>
        <v/>
      </c>
      <c r="AB386">
        <f>IF(OR(AB$4="",$A386&gt;TODAY()),0,IF(OR(INDEX($B386:$D386,AB$5)="F",AND(AB$6&gt;0,$A386&lt;AB$6),AND(AB$7&gt;0,$A386&gt;AB$7)),0,MAX(0,ROUND((INDEX($E386:$G386,AB$5)-SUMIFS(TF_Timer,TF_Tekniker,AB$4,TF_Dato,$A386))*2,0)/2)))</f>
        <v/>
      </c>
      <c r="AC386">
        <f>IF(OR(AC$4="",$A386&gt;TODAY()),0,IF(OR(INDEX($B386:$D386,AC$5)="F",AND(AC$6&gt;0,$A386&lt;AC$6),AND(AC$7&gt;0,$A386&gt;AC$7)),0,MAX(0,ROUND((INDEX($E386:$G386,AC$5)-SUMIFS(TF_Timer,TF_Tekniker,AC$4,TF_Dato,$A386))*2,0)/2)))</f>
        <v/>
      </c>
      <c r="AD386">
        <f>IF(OR(AD$4="",$A386&gt;TODAY()),0,IF(OR(INDEX($B386:$D386,AD$5)="F",AND(AD$6&gt;0,$A386&lt;AD$6),AND(AD$7&gt;0,$A386&gt;AD$7)),0,MAX(0,ROUND((INDEX($E386:$G386,AD$5)-SUMIFS(TF_Timer,TF_Tekniker,AD$4,TF_Dato,$A386))*2,0)/2)))</f>
        <v/>
      </c>
      <c r="AE386">
        <f>IF(OR(AE$4="",$A386&gt;TODAY()),0,IF(OR(INDEX($B386:$D386,AE$5)="F",AND(AE$6&gt;0,$A386&lt;AE$6),AND(AE$7&gt;0,$A386&gt;AE$7)),0,MAX(0,ROUND((INDEX($E386:$G386,AE$5)-SUMIFS(TF_Timer,TF_Tekniker,AE$4,TF_Dato,$A386))*2,0)/2)))</f>
        <v/>
      </c>
      <c r="AF386">
        <f>IF(OR(AF$4="",$A386&gt;TODAY()),0,IF(OR(INDEX($B386:$D386,AF$5)="F",AND(AF$6&gt;0,$A386&lt;AF$6),AND(AF$7&gt;0,$A386&gt;AF$7)),0,MAX(0,ROUND((INDEX($E386:$G386,AF$5)-SUMIFS(TF_Timer,TF_Tekniker,AF$4,TF_Dato,$A386))*2,0)/2)))</f>
        <v/>
      </c>
      <c r="AG386">
        <f>IF(OR(AG$4="",$A386&gt;TODAY()),0,IF(OR(INDEX($B386:$D386,AG$5)="F",AND(AG$6&gt;0,$A386&lt;AG$6),AND(AG$7&gt;0,$A386&gt;AG$7)),0,MAX(0,ROUND((INDEX($E386:$G386,AG$5)-SUMIFS(TF_Timer,TF_Tekniker,AG$4,TF_Dato,$A386))*2,0)/2)))</f>
        <v/>
      </c>
      <c r="AH386">
        <f>IF(OR(AH$4="",$A386&gt;TODAY()),0,IF(OR(INDEX($B386:$D386,AH$5)="F",AND(AH$6&gt;0,$A386&lt;AH$6),AND(AH$7&gt;0,$A386&gt;AH$7)),0,MAX(0,ROUND((INDEX($E386:$G386,AH$5)-SUMIFS(TF_Timer,TF_Tekniker,AH$4,TF_Dato,$A386))*2,0)/2)))</f>
        <v/>
      </c>
      <c r="AI386">
        <f>IF(OR(AI$4="",$A386&gt;TODAY()),0,IF(OR(INDEX($B386:$D386,AI$5)="F",AND(AI$6&gt;0,$A386&lt;AI$6),AND(AI$7&gt;0,$A386&gt;AI$7)),0,MAX(0,ROUND((INDEX($E386:$G386,AI$5)-SUMIFS(TF_Timer,TF_Tekniker,AI$4,TF_Dato,$A386))*2,0)/2)))</f>
        <v/>
      </c>
      <c r="AJ386">
        <f>IF(OR(AJ$4="",$A386&gt;TODAY()),0,IF(OR(INDEX($B386:$D386,AJ$5)="F",AND(AJ$6&gt;0,$A386&lt;AJ$6),AND(AJ$7&gt;0,$A386&gt;AJ$7)),0,MAX(0,ROUND((INDEX($E386:$G386,AJ$5)-SUMIFS(TF_Timer,TF_Tekniker,AJ$4,TF_Dato,$A386))*2,0)/2)))</f>
        <v/>
      </c>
      <c r="AK386">
        <f>IF(OR(AK$4="",$A386&gt;TODAY()),0,IF(OR(INDEX($B386:$D386,AK$5)="F",AND(AK$6&gt;0,$A386&lt;AK$6),AND(AK$7&gt;0,$A386&gt;AK$7)),0,MAX(0,ROUND((INDEX($E386:$G386,AK$5)-SUMIFS(TF_Timer,TF_Tekniker,AK$4,TF_Dato,$A386))*2,0)/2)))</f>
        <v/>
      </c>
      <c r="AL386">
        <f>IF(OR(AL$4="",$A386&gt;TODAY()),0,IF(OR(INDEX($B386:$D386,AL$5)="F",AND(AL$6&gt;0,$A386&lt;AL$6),AND(AL$7&gt;0,$A386&gt;AL$7)),0,MAX(0,ROUND((INDEX($E386:$G386,AL$5)-SUMIFS(TF_Timer,TF_Tekniker,AL$4,TF_Dato,$A386))*2,0)/2)))</f>
        <v/>
      </c>
      <c r="AM386">
        <f>IF(OR(AM$4="",$A386&gt;TODAY()),0,IF(OR(INDEX($B386:$D386,AM$5)="F",AND(AM$6&gt;0,$A386&lt;AM$6),AND(AM$7&gt;0,$A386&gt;AM$7)),0,MAX(0,ROUND((INDEX($E386:$G386,AM$5)-SUMIFS(TF_Timer,TF_Tekniker,AM$4,TF_Dato,$A386))*2,0)/2)))</f>
        <v/>
      </c>
      <c r="AN386">
        <f>IF(OR(AN$4="",$A386&gt;TODAY()),0,IF(OR(INDEX($B386:$D386,AN$5)="F",AND(AN$6&gt;0,$A386&lt;AN$6),AND(AN$7&gt;0,$A386&gt;AN$7)),0,MAX(0,ROUND((INDEX($E386:$G386,AN$5)-SUMIFS(TF_Timer,TF_Tekniker,AN$4,TF_Dato,$A386))*2,0)/2)))</f>
        <v/>
      </c>
      <c r="AO386">
        <f>IF(OR(AO$4="",$A386&gt;TODAY()),0,IF(OR(INDEX($B386:$D386,AO$5)="F",AND(AO$6&gt;0,$A386&lt;AO$6),AND(AO$7&gt;0,$A386&gt;AO$7)),0,MAX(0,ROUND((INDEX($E386:$G386,AO$5)-SUMIFS(TF_Timer,TF_Tekniker,AO$4,TF_Dato,$A386))*2,0)/2)))</f>
        <v/>
      </c>
      <c r="AP386">
        <f>IF(OR(AP$4="",$A386&gt;TODAY()),0,IF(OR(INDEX($B386:$D386,AP$5)="F",AND(AP$6&gt;0,$A386&lt;AP$6),AND(AP$7&gt;0,$A386&gt;AP$7)),0,MAX(0,ROUND((INDEX($E386:$G386,AP$5)-SUMIFS(TF_Timer,TF_Tekniker,AP$4,TF_Dato,$A386))*2,0)/2)))</f>
        <v/>
      </c>
      <c r="AQ386">
        <f>IF(OR(AQ$4="",$A386&gt;TODAY()),0,IF(OR(INDEX($B386:$D386,AQ$5)="F",AND(AQ$6&gt;0,$A386&lt;AQ$6),AND(AQ$7&gt;0,$A386&gt;AQ$7)),0,MAX(0,ROUND((INDEX($E386:$G386,AQ$5)-SUMIFS(TF_Timer,TF_Tekniker,AQ$4,TF_Dato,$A386))*2,0)/2)))</f>
        <v/>
      </c>
      <c r="AR386">
        <f>IF(OR(AR$4="",$A386&gt;TODAY()),0,IF(OR(INDEX($B386:$D386,AR$5)="F",AND(AR$6&gt;0,$A386&lt;AR$6),AND(AR$7&gt;0,$A386&gt;AR$7)),0,MAX(0,ROUND((INDEX($E386:$G386,AR$5)-SUMIFS(TF_Timer,TF_Tekniker,AR$4,TF_Dato,$A386))*2,0)/2)))</f>
        <v/>
      </c>
      <c r="AS386">
        <f>IF(OR(AS$4="",$A386&gt;TODAY()),0,IF(OR(INDEX($B386:$D386,AS$5)="F",AND(AS$6&gt;0,$A386&lt;AS$6),AND(AS$7&gt;0,$A386&gt;AS$7)),0,MAX(0,ROUND((INDEX($E386:$G386,AS$5)-SUMIFS(TF_Timer,TF_Tekniker,AS$4,TF_Dato,$A386))*2,0)/2)))</f>
        <v/>
      </c>
      <c r="AT386">
        <f>IF(OR(AT$4="",$A386&gt;TODAY()),0,IF(OR(INDEX($B386:$D386,AT$5)="F",AND(AT$6&gt;0,$A386&lt;AT$6),AND(AT$7&gt;0,$A386&gt;AT$7)),0,MAX(0,ROUND((INDEX($E386:$G386,AT$5)-SUMIFS(TF_Timer,TF_Tekniker,AT$4,TF_Dato,$A386))*2,0)/2)))</f>
        <v/>
      </c>
      <c r="AU386">
        <f>IF(OR(AU$4="",$A386&gt;TODAY()),0,IF(OR(INDEX($B386:$D386,AU$5)="F",AND(AU$6&gt;0,$A386&lt;AU$6),AND(AU$7&gt;0,$A386&gt;AU$7)),0,MAX(0,ROUND((INDEX($E386:$G386,AU$5)-SUMIFS(TF_Timer,TF_Tekniker,AU$4,TF_Dato,$A386))*2,0)/2)))</f>
        <v/>
      </c>
      <c r="AV386">
        <f>IF(OR(AV$4="",$A386&gt;TODAY()),0,IF(OR(INDEX($B386:$D386,AV$5)="F",AND(AV$6&gt;0,$A386&lt;AV$6),AND(AV$7&gt;0,$A386&gt;AV$7)),0,MAX(0,ROUND((INDEX($E386:$G386,AV$5)-SUMIFS(TF_Timer,TF_Tekniker,AV$4,TF_Dato,$A386))*2,0)/2)))</f>
        <v/>
      </c>
      <c r="AW386">
        <f>IF(OR(AW$4="",$A386&gt;TODAY()),0,IF(OR(INDEX($B386:$D386,AW$5)="F",AND(AW$6&gt;0,$A386&lt;AW$6),AND(AW$7&gt;0,$A386&gt;AW$7)),0,MAX(0,ROUND((INDEX($E386:$G386,AW$5)-SUMIFS(TF_Timer,TF_Tekniker,AW$4,TF_Dato,$A386))*2,0)/2)))</f>
        <v/>
      </c>
      <c r="AX386">
        <f>IF(OR(AX$4="",$A386&gt;TODAY()),0,IF(OR(INDEX($B386:$D386,AX$5)="F",AND(AX$6&gt;0,$A386&lt;AX$6),AND(AX$7&gt;0,$A386&gt;AX$7)),0,MAX(0,ROUND((INDEX($E386:$G386,AX$5)-SUMIFS(TF_Timer,TF_Tekniker,AX$4,TF_Dato,$A386))*2,0)/2)))</f>
        <v/>
      </c>
      <c r="AY386">
        <f>IF(OR(AY$4="",$A386&gt;TODAY()),0,IF(OR(INDEX($B386:$D386,AY$5)="F",AND(AY$6&gt;0,$A386&lt;AY$6),AND(AY$7&gt;0,$A386&gt;AY$7)),0,MAX(0,ROUND((INDEX($E386:$G386,AY$5)-SUMIFS(TF_Timer,TF_Tekniker,AY$4,TF_Dato,$A386))*2,0)/2)))</f>
        <v/>
      </c>
      <c r="AZ386">
        <f>IF(OR(AZ$4="",$A386&gt;TODAY()),0,IF(OR(INDEX($B386:$D386,AZ$5)="F",AND(AZ$6&gt;0,$A386&lt;AZ$6),AND(AZ$7&gt;0,$A386&gt;AZ$7)),0,MAX(0,ROUND((INDEX($E386:$G386,AZ$5)-SUMIFS(TF_Timer,TF_Tekniker,AZ$4,TF_Dato,$A386))*2,0)/2)))</f>
        <v/>
      </c>
      <c r="BA386">
        <f>IF(OR(BA$4="",$A386&gt;TODAY()),0,IF(OR(INDEX($B386:$D386,BA$5)="F",AND(BA$6&gt;0,$A386&lt;BA$6),AND(BA$7&gt;0,$A386&gt;BA$7)),0,MAX(0,ROUND((INDEX($E386:$G386,BA$5)-SUMIFS(TF_Timer,TF_Tekniker,BA$4,TF_Dato,$A386))*2,0)/2)))</f>
        <v/>
      </c>
      <c r="BB386">
        <f>IF(OR(BB$4="",$A386&gt;TODAY()),0,IF(OR(INDEX($B386:$D386,BB$5)="F",AND(BB$6&gt;0,$A386&lt;BB$6),AND(BB$7&gt;0,$A386&gt;BB$7)),0,MAX(0,ROUND((INDEX($E386:$G386,BB$5)-SUMIFS(TF_Timer,TF_Tekniker,BB$4,TF_Dato,$A386))*2,0)/2)))</f>
        <v/>
      </c>
      <c r="BC386">
        <f>IF(OR(BC$4="",$A386&gt;TODAY()),0,IF(OR(INDEX($B386:$D386,BC$5)="F",AND(BC$6&gt;0,$A386&lt;BC$6),AND(BC$7&gt;0,$A386&gt;BC$7)),0,MAX(0,ROUND((INDEX($E386:$G386,BC$5)-SUMIFS(TF_Timer,TF_Tekniker,BC$4,TF_Dato,$A386))*2,0)/2)))</f>
        <v/>
      </c>
      <c r="BD386">
        <f>IF(OR(BD$4="",$A386&gt;TODAY()),0,IF(OR(INDEX($B386:$D386,BD$5)="F",AND(BD$6&gt;0,$A386&lt;BD$6),AND(BD$7&gt;0,$A386&gt;BD$7)),0,MAX(0,ROUND((INDEX($E386:$G386,BD$5)-SUMIFS(TF_Timer,TF_Tekniker,BD$4,TF_Dato,$A386))*2,0)/2)))</f>
        <v/>
      </c>
      <c r="BE386">
        <f>IF(OR(BE$4="",$A386&gt;TODAY()),0,IF(OR(INDEX($B386:$D386,BE$5)="F",AND(BE$6&gt;0,$A386&lt;BE$6),AND(BE$7&gt;0,$A386&gt;BE$7)),0,MAX(0,ROUND((INDEX($E386:$G386,BE$5)-SUMIFS(TF_Timer,TF_Tekniker,BE$4,TF_Dato,$A386))*2,0)/2)))</f>
        <v/>
      </c>
      <c r="BF386">
        <f>IF(OR(BF$4="",$A386&gt;TODAY()),0,IF(OR(INDEX($B386:$D386,BF$5)="F",AND(BF$6&gt;0,$A386&lt;BF$6),AND(BF$7&gt;0,$A386&gt;BF$7)),0,MAX(0,ROUND((INDEX($E386:$G386,BF$5)-SUMIFS(TF_Timer,TF_Tekniker,BF$4,TF_Dato,$A386))*2,0)/2)))</f>
        <v/>
      </c>
      <c r="BG386">
        <f>IF(OR(BG$4="",$A386&gt;TODAY()),0,IF(OR(INDEX($B386:$D386,BG$5)="F",AND(BG$6&gt;0,$A386&lt;BG$6),AND(BG$7&gt;0,$A386&gt;BG$7)),0,MAX(0,ROUND((INDEX($E386:$G386,BG$5)-SUMIFS(TF_Timer,TF_Tekniker,BG$4,TF_Dato,$A386))*2,0)/2)))</f>
        <v/>
      </c>
      <c r="BH386">
        <f>IF(OR(BH$4="",$A386&gt;TODAY()),0,IF(OR(INDEX($B386:$D386,BH$5)="F",AND(BH$6&gt;0,$A386&lt;BH$6),AND(BH$7&gt;0,$A386&gt;BH$7)),0,MAX(0,ROUND((INDEX($E386:$G386,BH$5)-SUMIFS(TF_Timer,TF_Tekniker,BH$4,TF_Dato,$A386))*2,0)/2)))</f>
        <v/>
      </c>
      <c r="BI386">
        <f>IF(OR(BI$4="",$A386&gt;TODAY()),0,IF(OR(INDEX($B386:$D386,BI$5)="F",AND(BI$6&gt;0,$A386&lt;BI$6),AND(BI$7&gt;0,$A386&gt;BI$7)),0,MAX(0,ROUND((INDEX($E386:$G386,BI$5)-SUMIFS(TF_Timer,TF_Tekniker,BI$4,TF_Dato,$A386))*2,0)/2)))</f>
        <v/>
      </c>
    </row>
    <row r="387">
      <c r="A387" s="64">
        <f>A386+1</f>
        <v/>
      </c>
      <c r="B387">
        <f>IF(MOD($A387-INDEX(SkiftStart,1),Syklus)&lt;DagK,"K",IF(MOD($A387-INDEX(SkiftStart,1),Syklus)&lt;DagK+DagH,"H",IF(MOD($A387-INDEX(SkiftStart,1),Syklus)&lt;DagK+DagH+DagD,"D","F")))</f>
        <v/>
      </c>
      <c r="C387">
        <f>IF(MOD($A387-INDEX(SkiftStart,2),Syklus)&lt;DagK,"K",IF(MOD($A387-INDEX(SkiftStart,2),Syklus)&lt;DagK+DagH,"H",IF(MOD($A387-INDEX(SkiftStart,2),Syklus)&lt;DagK+DagH+DagD,"D","F")))</f>
        <v/>
      </c>
      <c r="D387">
        <f>IF(MOD($A387-INDEX(SkiftStart,3),Syklus)&lt;DagK,"K",IF(MOD($A387-INDEX(SkiftStart,3),Syklus)&lt;DagK+DagH,"H",IF(MOD($A387-INDEX(SkiftStart,3),Syklus)&lt;DagK+DagH+DagD,"D","F")))</f>
        <v/>
      </c>
      <c r="E387">
        <f>IF(B387="F",0,IF(WEEKDAY($A387,2)=5,INDEX(TimerFr,MATCH(B387,FaseKode,0)),INDEX(TimerMT,MATCH(B387,FaseKode,0))))</f>
        <v/>
      </c>
      <c r="F387">
        <f>IF(C387="F",0,IF(WEEKDAY($A387,2)=5,INDEX(TimerFr,MATCH(C387,FaseKode,0)),INDEX(TimerMT,MATCH(C387,FaseKode,0))))</f>
        <v/>
      </c>
      <c r="G387">
        <f>IF(D387="F",0,IF(WEEKDAY($A387,2)=5,INDEX(TimerFr,MATCH(D387,FaseKode,0)),INDEX(TimerMT,MATCH(D387,FaseKode,0))))</f>
        <v/>
      </c>
      <c r="H387">
        <f>IF(OR(H$4="",$A387&gt;TODAY()),0,IF(OR(INDEX($B387:$D387,H$5)="F",AND(H$6&gt;0,$A387&lt;H$6),AND(H$7&gt;0,$A387&gt;H$7)),0,MAX(0,ROUND((INDEX($E387:$G387,H$5)-SUMIFS(TF_Timer,TF_Tekniker,H$4,TF_Dato,$A387))*2,0)/2)))</f>
        <v/>
      </c>
      <c r="I387">
        <f>IF(OR(I$4="",$A387&gt;TODAY()),0,IF(OR(INDEX($B387:$D387,I$5)="F",AND(I$6&gt;0,$A387&lt;I$6),AND(I$7&gt;0,$A387&gt;I$7)),0,MAX(0,ROUND((INDEX($E387:$G387,I$5)-SUMIFS(TF_Timer,TF_Tekniker,I$4,TF_Dato,$A387))*2,0)/2)))</f>
        <v/>
      </c>
      <c r="J387">
        <f>IF(OR(J$4="",$A387&gt;TODAY()),0,IF(OR(INDEX($B387:$D387,J$5)="F",AND(J$6&gt;0,$A387&lt;J$6),AND(J$7&gt;0,$A387&gt;J$7)),0,MAX(0,ROUND((INDEX($E387:$G387,J$5)-SUMIFS(TF_Timer,TF_Tekniker,J$4,TF_Dato,$A387))*2,0)/2)))</f>
        <v/>
      </c>
      <c r="K387">
        <f>IF(OR(K$4="",$A387&gt;TODAY()),0,IF(OR(INDEX($B387:$D387,K$5)="F",AND(K$6&gt;0,$A387&lt;K$6),AND(K$7&gt;0,$A387&gt;K$7)),0,MAX(0,ROUND((INDEX($E387:$G387,K$5)-SUMIFS(TF_Timer,TF_Tekniker,K$4,TF_Dato,$A387))*2,0)/2)))</f>
        <v/>
      </c>
      <c r="L387">
        <f>IF(OR(L$4="",$A387&gt;TODAY()),0,IF(OR(INDEX($B387:$D387,L$5)="F",AND(L$6&gt;0,$A387&lt;L$6),AND(L$7&gt;0,$A387&gt;L$7)),0,MAX(0,ROUND((INDEX($E387:$G387,L$5)-SUMIFS(TF_Timer,TF_Tekniker,L$4,TF_Dato,$A387))*2,0)/2)))</f>
        <v/>
      </c>
      <c r="M387">
        <f>IF(OR(M$4="",$A387&gt;TODAY()),0,IF(OR(INDEX($B387:$D387,M$5)="F",AND(M$6&gt;0,$A387&lt;M$6),AND(M$7&gt;0,$A387&gt;M$7)),0,MAX(0,ROUND((INDEX($E387:$G387,M$5)-SUMIFS(TF_Timer,TF_Tekniker,M$4,TF_Dato,$A387))*2,0)/2)))</f>
        <v/>
      </c>
      <c r="N387">
        <f>IF(OR(N$4="",$A387&gt;TODAY()),0,IF(OR(INDEX($B387:$D387,N$5)="F",AND(N$6&gt;0,$A387&lt;N$6),AND(N$7&gt;0,$A387&gt;N$7)),0,MAX(0,ROUND((INDEX($E387:$G387,N$5)-SUMIFS(TF_Timer,TF_Tekniker,N$4,TF_Dato,$A387))*2,0)/2)))</f>
        <v/>
      </c>
      <c r="O387">
        <f>IF(OR(O$4="",$A387&gt;TODAY()),0,IF(OR(INDEX($B387:$D387,O$5)="F",AND(O$6&gt;0,$A387&lt;O$6),AND(O$7&gt;0,$A387&gt;O$7)),0,MAX(0,ROUND((INDEX($E387:$G387,O$5)-SUMIFS(TF_Timer,TF_Tekniker,O$4,TF_Dato,$A387))*2,0)/2)))</f>
        <v/>
      </c>
      <c r="P387">
        <f>IF(OR(P$4="",$A387&gt;TODAY()),0,IF(OR(INDEX($B387:$D387,P$5)="F",AND(P$6&gt;0,$A387&lt;P$6),AND(P$7&gt;0,$A387&gt;P$7)),0,MAX(0,ROUND((INDEX($E387:$G387,P$5)-SUMIFS(TF_Timer,TF_Tekniker,P$4,TF_Dato,$A387))*2,0)/2)))</f>
        <v/>
      </c>
      <c r="Q387">
        <f>IF(OR(Q$4="",$A387&gt;TODAY()),0,IF(OR(INDEX($B387:$D387,Q$5)="F",AND(Q$6&gt;0,$A387&lt;Q$6),AND(Q$7&gt;0,$A387&gt;Q$7)),0,MAX(0,ROUND((INDEX($E387:$G387,Q$5)-SUMIFS(TF_Timer,TF_Tekniker,Q$4,TF_Dato,$A387))*2,0)/2)))</f>
        <v/>
      </c>
      <c r="R387">
        <f>IF(OR(R$4="",$A387&gt;TODAY()),0,IF(OR(INDEX($B387:$D387,R$5)="F",AND(R$6&gt;0,$A387&lt;R$6),AND(R$7&gt;0,$A387&gt;R$7)),0,MAX(0,ROUND((INDEX($E387:$G387,R$5)-SUMIFS(TF_Timer,TF_Tekniker,R$4,TF_Dato,$A387))*2,0)/2)))</f>
        <v/>
      </c>
      <c r="S387">
        <f>IF(OR(S$4="",$A387&gt;TODAY()),0,IF(OR(INDEX($B387:$D387,S$5)="F",AND(S$6&gt;0,$A387&lt;S$6),AND(S$7&gt;0,$A387&gt;S$7)),0,MAX(0,ROUND((INDEX($E387:$G387,S$5)-SUMIFS(TF_Timer,TF_Tekniker,S$4,TF_Dato,$A387))*2,0)/2)))</f>
        <v/>
      </c>
      <c r="T387">
        <f>IF(OR(T$4="",$A387&gt;TODAY()),0,IF(OR(INDEX($B387:$D387,T$5)="F",AND(T$6&gt;0,$A387&lt;T$6),AND(T$7&gt;0,$A387&gt;T$7)),0,MAX(0,ROUND((INDEX($E387:$G387,T$5)-SUMIFS(TF_Timer,TF_Tekniker,T$4,TF_Dato,$A387))*2,0)/2)))</f>
        <v/>
      </c>
      <c r="U387">
        <f>IF(OR(U$4="",$A387&gt;TODAY()),0,IF(OR(INDEX($B387:$D387,U$5)="F",AND(U$6&gt;0,$A387&lt;U$6),AND(U$7&gt;0,$A387&gt;U$7)),0,MAX(0,ROUND((INDEX($E387:$G387,U$5)-SUMIFS(TF_Timer,TF_Tekniker,U$4,TF_Dato,$A387))*2,0)/2)))</f>
        <v/>
      </c>
      <c r="V387">
        <f>IF(OR(V$4="",$A387&gt;TODAY()),0,IF(OR(INDEX($B387:$D387,V$5)="F",AND(V$6&gt;0,$A387&lt;V$6),AND(V$7&gt;0,$A387&gt;V$7)),0,MAX(0,ROUND((INDEX($E387:$G387,V$5)-SUMIFS(TF_Timer,TF_Tekniker,V$4,TF_Dato,$A387))*2,0)/2)))</f>
        <v/>
      </c>
      <c r="W387">
        <f>IF(OR(W$4="",$A387&gt;TODAY()),0,IF(OR(INDEX($B387:$D387,W$5)="F",AND(W$6&gt;0,$A387&lt;W$6),AND(W$7&gt;0,$A387&gt;W$7)),0,MAX(0,ROUND((INDEX($E387:$G387,W$5)-SUMIFS(TF_Timer,TF_Tekniker,W$4,TF_Dato,$A387))*2,0)/2)))</f>
        <v/>
      </c>
      <c r="X387">
        <f>IF(OR(X$4="",$A387&gt;TODAY()),0,IF(OR(INDEX($B387:$D387,X$5)="F",AND(X$6&gt;0,$A387&lt;X$6),AND(X$7&gt;0,$A387&gt;X$7)),0,MAX(0,ROUND((INDEX($E387:$G387,X$5)-SUMIFS(TF_Timer,TF_Tekniker,X$4,TF_Dato,$A387))*2,0)/2)))</f>
        <v/>
      </c>
      <c r="Y387">
        <f>IF(OR(Y$4="",$A387&gt;TODAY()),0,IF(OR(INDEX($B387:$D387,Y$5)="F",AND(Y$6&gt;0,$A387&lt;Y$6),AND(Y$7&gt;0,$A387&gt;Y$7)),0,MAX(0,ROUND((INDEX($E387:$G387,Y$5)-SUMIFS(TF_Timer,TF_Tekniker,Y$4,TF_Dato,$A387))*2,0)/2)))</f>
        <v/>
      </c>
      <c r="Z387">
        <f>IF(OR(Z$4="",$A387&gt;TODAY()),0,IF(OR(INDEX($B387:$D387,Z$5)="F",AND(Z$6&gt;0,$A387&lt;Z$6),AND(Z$7&gt;0,$A387&gt;Z$7)),0,MAX(0,ROUND((INDEX($E387:$G387,Z$5)-SUMIFS(TF_Timer,TF_Tekniker,Z$4,TF_Dato,$A387))*2,0)/2)))</f>
        <v/>
      </c>
      <c r="AA387">
        <f>IF(OR(AA$4="",$A387&gt;TODAY()),0,IF(OR(INDEX($B387:$D387,AA$5)="F",AND(AA$6&gt;0,$A387&lt;AA$6),AND(AA$7&gt;0,$A387&gt;AA$7)),0,MAX(0,ROUND((INDEX($E387:$G387,AA$5)-SUMIFS(TF_Timer,TF_Tekniker,AA$4,TF_Dato,$A387))*2,0)/2)))</f>
        <v/>
      </c>
      <c r="AB387">
        <f>IF(OR(AB$4="",$A387&gt;TODAY()),0,IF(OR(INDEX($B387:$D387,AB$5)="F",AND(AB$6&gt;0,$A387&lt;AB$6),AND(AB$7&gt;0,$A387&gt;AB$7)),0,MAX(0,ROUND((INDEX($E387:$G387,AB$5)-SUMIFS(TF_Timer,TF_Tekniker,AB$4,TF_Dato,$A387))*2,0)/2)))</f>
        <v/>
      </c>
      <c r="AC387">
        <f>IF(OR(AC$4="",$A387&gt;TODAY()),0,IF(OR(INDEX($B387:$D387,AC$5)="F",AND(AC$6&gt;0,$A387&lt;AC$6),AND(AC$7&gt;0,$A387&gt;AC$7)),0,MAX(0,ROUND((INDEX($E387:$G387,AC$5)-SUMIFS(TF_Timer,TF_Tekniker,AC$4,TF_Dato,$A387))*2,0)/2)))</f>
        <v/>
      </c>
      <c r="AD387">
        <f>IF(OR(AD$4="",$A387&gt;TODAY()),0,IF(OR(INDEX($B387:$D387,AD$5)="F",AND(AD$6&gt;0,$A387&lt;AD$6),AND(AD$7&gt;0,$A387&gt;AD$7)),0,MAX(0,ROUND((INDEX($E387:$G387,AD$5)-SUMIFS(TF_Timer,TF_Tekniker,AD$4,TF_Dato,$A387))*2,0)/2)))</f>
        <v/>
      </c>
      <c r="AE387">
        <f>IF(OR(AE$4="",$A387&gt;TODAY()),0,IF(OR(INDEX($B387:$D387,AE$5)="F",AND(AE$6&gt;0,$A387&lt;AE$6),AND(AE$7&gt;0,$A387&gt;AE$7)),0,MAX(0,ROUND((INDEX($E387:$G387,AE$5)-SUMIFS(TF_Timer,TF_Tekniker,AE$4,TF_Dato,$A387))*2,0)/2)))</f>
        <v/>
      </c>
      <c r="AF387">
        <f>IF(OR(AF$4="",$A387&gt;TODAY()),0,IF(OR(INDEX($B387:$D387,AF$5)="F",AND(AF$6&gt;0,$A387&lt;AF$6),AND(AF$7&gt;0,$A387&gt;AF$7)),0,MAX(0,ROUND((INDEX($E387:$G387,AF$5)-SUMIFS(TF_Timer,TF_Tekniker,AF$4,TF_Dato,$A387))*2,0)/2)))</f>
        <v/>
      </c>
      <c r="AG387">
        <f>IF(OR(AG$4="",$A387&gt;TODAY()),0,IF(OR(INDEX($B387:$D387,AG$5)="F",AND(AG$6&gt;0,$A387&lt;AG$6),AND(AG$7&gt;0,$A387&gt;AG$7)),0,MAX(0,ROUND((INDEX($E387:$G387,AG$5)-SUMIFS(TF_Timer,TF_Tekniker,AG$4,TF_Dato,$A387))*2,0)/2)))</f>
        <v/>
      </c>
      <c r="AH387">
        <f>IF(OR(AH$4="",$A387&gt;TODAY()),0,IF(OR(INDEX($B387:$D387,AH$5)="F",AND(AH$6&gt;0,$A387&lt;AH$6),AND(AH$7&gt;0,$A387&gt;AH$7)),0,MAX(0,ROUND((INDEX($E387:$G387,AH$5)-SUMIFS(TF_Timer,TF_Tekniker,AH$4,TF_Dato,$A387))*2,0)/2)))</f>
        <v/>
      </c>
      <c r="AI387">
        <f>IF(OR(AI$4="",$A387&gt;TODAY()),0,IF(OR(INDEX($B387:$D387,AI$5)="F",AND(AI$6&gt;0,$A387&lt;AI$6),AND(AI$7&gt;0,$A387&gt;AI$7)),0,MAX(0,ROUND((INDEX($E387:$G387,AI$5)-SUMIFS(TF_Timer,TF_Tekniker,AI$4,TF_Dato,$A387))*2,0)/2)))</f>
        <v/>
      </c>
      <c r="AJ387">
        <f>IF(OR(AJ$4="",$A387&gt;TODAY()),0,IF(OR(INDEX($B387:$D387,AJ$5)="F",AND(AJ$6&gt;0,$A387&lt;AJ$6),AND(AJ$7&gt;0,$A387&gt;AJ$7)),0,MAX(0,ROUND((INDEX($E387:$G387,AJ$5)-SUMIFS(TF_Timer,TF_Tekniker,AJ$4,TF_Dato,$A387))*2,0)/2)))</f>
        <v/>
      </c>
      <c r="AK387">
        <f>IF(OR(AK$4="",$A387&gt;TODAY()),0,IF(OR(INDEX($B387:$D387,AK$5)="F",AND(AK$6&gt;0,$A387&lt;AK$6),AND(AK$7&gt;0,$A387&gt;AK$7)),0,MAX(0,ROUND((INDEX($E387:$G387,AK$5)-SUMIFS(TF_Timer,TF_Tekniker,AK$4,TF_Dato,$A387))*2,0)/2)))</f>
        <v/>
      </c>
      <c r="AL387">
        <f>IF(OR(AL$4="",$A387&gt;TODAY()),0,IF(OR(INDEX($B387:$D387,AL$5)="F",AND(AL$6&gt;0,$A387&lt;AL$6),AND(AL$7&gt;0,$A387&gt;AL$7)),0,MAX(0,ROUND((INDEX($E387:$G387,AL$5)-SUMIFS(TF_Timer,TF_Tekniker,AL$4,TF_Dato,$A387))*2,0)/2)))</f>
        <v/>
      </c>
      <c r="AM387">
        <f>IF(OR(AM$4="",$A387&gt;TODAY()),0,IF(OR(INDEX($B387:$D387,AM$5)="F",AND(AM$6&gt;0,$A387&lt;AM$6),AND(AM$7&gt;0,$A387&gt;AM$7)),0,MAX(0,ROUND((INDEX($E387:$G387,AM$5)-SUMIFS(TF_Timer,TF_Tekniker,AM$4,TF_Dato,$A387))*2,0)/2)))</f>
        <v/>
      </c>
      <c r="AN387">
        <f>IF(OR(AN$4="",$A387&gt;TODAY()),0,IF(OR(INDEX($B387:$D387,AN$5)="F",AND(AN$6&gt;0,$A387&lt;AN$6),AND(AN$7&gt;0,$A387&gt;AN$7)),0,MAX(0,ROUND((INDEX($E387:$G387,AN$5)-SUMIFS(TF_Timer,TF_Tekniker,AN$4,TF_Dato,$A387))*2,0)/2)))</f>
        <v/>
      </c>
      <c r="AO387">
        <f>IF(OR(AO$4="",$A387&gt;TODAY()),0,IF(OR(INDEX($B387:$D387,AO$5)="F",AND(AO$6&gt;0,$A387&lt;AO$6),AND(AO$7&gt;0,$A387&gt;AO$7)),0,MAX(0,ROUND((INDEX($E387:$G387,AO$5)-SUMIFS(TF_Timer,TF_Tekniker,AO$4,TF_Dato,$A387))*2,0)/2)))</f>
        <v/>
      </c>
      <c r="AP387">
        <f>IF(OR(AP$4="",$A387&gt;TODAY()),0,IF(OR(INDEX($B387:$D387,AP$5)="F",AND(AP$6&gt;0,$A387&lt;AP$6),AND(AP$7&gt;0,$A387&gt;AP$7)),0,MAX(0,ROUND((INDEX($E387:$G387,AP$5)-SUMIFS(TF_Timer,TF_Tekniker,AP$4,TF_Dato,$A387))*2,0)/2)))</f>
        <v/>
      </c>
      <c r="AQ387">
        <f>IF(OR(AQ$4="",$A387&gt;TODAY()),0,IF(OR(INDEX($B387:$D387,AQ$5)="F",AND(AQ$6&gt;0,$A387&lt;AQ$6),AND(AQ$7&gt;0,$A387&gt;AQ$7)),0,MAX(0,ROUND((INDEX($E387:$G387,AQ$5)-SUMIFS(TF_Timer,TF_Tekniker,AQ$4,TF_Dato,$A387))*2,0)/2)))</f>
        <v/>
      </c>
      <c r="AR387">
        <f>IF(OR(AR$4="",$A387&gt;TODAY()),0,IF(OR(INDEX($B387:$D387,AR$5)="F",AND(AR$6&gt;0,$A387&lt;AR$6),AND(AR$7&gt;0,$A387&gt;AR$7)),0,MAX(0,ROUND((INDEX($E387:$G387,AR$5)-SUMIFS(TF_Timer,TF_Tekniker,AR$4,TF_Dato,$A387))*2,0)/2)))</f>
        <v/>
      </c>
      <c r="AS387">
        <f>IF(OR(AS$4="",$A387&gt;TODAY()),0,IF(OR(INDEX($B387:$D387,AS$5)="F",AND(AS$6&gt;0,$A387&lt;AS$6),AND(AS$7&gt;0,$A387&gt;AS$7)),0,MAX(0,ROUND((INDEX($E387:$G387,AS$5)-SUMIFS(TF_Timer,TF_Tekniker,AS$4,TF_Dato,$A387))*2,0)/2)))</f>
        <v/>
      </c>
      <c r="AT387">
        <f>IF(OR(AT$4="",$A387&gt;TODAY()),0,IF(OR(INDEX($B387:$D387,AT$5)="F",AND(AT$6&gt;0,$A387&lt;AT$6),AND(AT$7&gt;0,$A387&gt;AT$7)),0,MAX(0,ROUND((INDEX($E387:$G387,AT$5)-SUMIFS(TF_Timer,TF_Tekniker,AT$4,TF_Dato,$A387))*2,0)/2)))</f>
        <v/>
      </c>
      <c r="AU387">
        <f>IF(OR(AU$4="",$A387&gt;TODAY()),0,IF(OR(INDEX($B387:$D387,AU$5)="F",AND(AU$6&gt;0,$A387&lt;AU$6),AND(AU$7&gt;0,$A387&gt;AU$7)),0,MAX(0,ROUND((INDEX($E387:$G387,AU$5)-SUMIFS(TF_Timer,TF_Tekniker,AU$4,TF_Dato,$A387))*2,0)/2)))</f>
        <v/>
      </c>
      <c r="AV387">
        <f>IF(OR(AV$4="",$A387&gt;TODAY()),0,IF(OR(INDEX($B387:$D387,AV$5)="F",AND(AV$6&gt;0,$A387&lt;AV$6),AND(AV$7&gt;0,$A387&gt;AV$7)),0,MAX(0,ROUND((INDEX($E387:$G387,AV$5)-SUMIFS(TF_Timer,TF_Tekniker,AV$4,TF_Dato,$A387))*2,0)/2)))</f>
        <v/>
      </c>
      <c r="AW387">
        <f>IF(OR(AW$4="",$A387&gt;TODAY()),0,IF(OR(INDEX($B387:$D387,AW$5)="F",AND(AW$6&gt;0,$A387&lt;AW$6),AND(AW$7&gt;0,$A387&gt;AW$7)),0,MAX(0,ROUND((INDEX($E387:$G387,AW$5)-SUMIFS(TF_Timer,TF_Tekniker,AW$4,TF_Dato,$A387))*2,0)/2)))</f>
        <v/>
      </c>
      <c r="AX387">
        <f>IF(OR(AX$4="",$A387&gt;TODAY()),0,IF(OR(INDEX($B387:$D387,AX$5)="F",AND(AX$6&gt;0,$A387&lt;AX$6),AND(AX$7&gt;0,$A387&gt;AX$7)),0,MAX(0,ROUND((INDEX($E387:$G387,AX$5)-SUMIFS(TF_Timer,TF_Tekniker,AX$4,TF_Dato,$A387))*2,0)/2)))</f>
        <v/>
      </c>
      <c r="AY387">
        <f>IF(OR(AY$4="",$A387&gt;TODAY()),0,IF(OR(INDEX($B387:$D387,AY$5)="F",AND(AY$6&gt;0,$A387&lt;AY$6),AND(AY$7&gt;0,$A387&gt;AY$7)),0,MAX(0,ROUND((INDEX($E387:$G387,AY$5)-SUMIFS(TF_Timer,TF_Tekniker,AY$4,TF_Dato,$A387))*2,0)/2)))</f>
        <v/>
      </c>
      <c r="AZ387">
        <f>IF(OR(AZ$4="",$A387&gt;TODAY()),0,IF(OR(INDEX($B387:$D387,AZ$5)="F",AND(AZ$6&gt;0,$A387&lt;AZ$6),AND(AZ$7&gt;0,$A387&gt;AZ$7)),0,MAX(0,ROUND((INDEX($E387:$G387,AZ$5)-SUMIFS(TF_Timer,TF_Tekniker,AZ$4,TF_Dato,$A387))*2,0)/2)))</f>
        <v/>
      </c>
      <c r="BA387">
        <f>IF(OR(BA$4="",$A387&gt;TODAY()),0,IF(OR(INDEX($B387:$D387,BA$5)="F",AND(BA$6&gt;0,$A387&lt;BA$6),AND(BA$7&gt;0,$A387&gt;BA$7)),0,MAX(0,ROUND((INDEX($E387:$G387,BA$5)-SUMIFS(TF_Timer,TF_Tekniker,BA$4,TF_Dato,$A387))*2,0)/2)))</f>
        <v/>
      </c>
      <c r="BB387">
        <f>IF(OR(BB$4="",$A387&gt;TODAY()),0,IF(OR(INDEX($B387:$D387,BB$5)="F",AND(BB$6&gt;0,$A387&lt;BB$6),AND(BB$7&gt;0,$A387&gt;BB$7)),0,MAX(0,ROUND((INDEX($E387:$G387,BB$5)-SUMIFS(TF_Timer,TF_Tekniker,BB$4,TF_Dato,$A387))*2,0)/2)))</f>
        <v/>
      </c>
      <c r="BC387">
        <f>IF(OR(BC$4="",$A387&gt;TODAY()),0,IF(OR(INDEX($B387:$D387,BC$5)="F",AND(BC$6&gt;0,$A387&lt;BC$6),AND(BC$7&gt;0,$A387&gt;BC$7)),0,MAX(0,ROUND((INDEX($E387:$G387,BC$5)-SUMIFS(TF_Timer,TF_Tekniker,BC$4,TF_Dato,$A387))*2,0)/2)))</f>
        <v/>
      </c>
      <c r="BD387">
        <f>IF(OR(BD$4="",$A387&gt;TODAY()),0,IF(OR(INDEX($B387:$D387,BD$5)="F",AND(BD$6&gt;0,$A387&lt;BD$6),AND(BD$7&gt;0,$A387&gt;BD$7)),0,MAX(0,ROUND((INDEX($E387:$G387,BD$5)-SUMIFS(TF_Timer,TF_Tekniker,BD$4,TF_Dato,$A387))*2,0)/2)))</f>
        <v/>
      </c>
      <c r="BE387">
        <f>IF(OR(BE$4="",$A387&gt;TODAY()),0,IF(OR(INDEX($B387:$D387,BE$5)="F",AND(BE$6&gt;0,$A387&lt;BE$6),AND(BE$7&gt;0,$A387&gt;BE$7)),0,MAX(0,ROUND((INDEX($E387:$G387,BE$5)-SUMIFS(TF_Timer,TF_Tekniker,BE$4,TF_Dato,$A387))*2,0)/2)))</f>
        <v/>
      </c>
      <c r="BF387">
        <f>IF(OR(BF$4="",$A387&gt;TODAY()),0,IF(OR(INDEX($B387:$D387,BF$5)="F",AND(BF$6&gt;0,$A387&lt;BF$6),AND(BF$7&gt;0,$A387&gt;BF$7)),0,MAX(0,ROUND((INDEX($E387:$G387,BF$5)-SUMIFS(TF_Timer,TF_Tekniker,BF$4,TF_Dato,$A387))*2,0)/2)))</f>
        <v/>
      </c>
      <c r="BG387">
        <f>IF(OR(BG$4="",$A387&gt;TODAY()),0,IF(OR(INDEX($B387:$D387,BG$5)="F",AND(BG$6&gt;0,$A387&lt;BG$6),AND(BG$7&gt;0,$A387&gt;BG$7)),0,MAX(0,ROUND((INDEX($E387:$G387,BG$5)-SUMIFS(TF_Timer,TF_Tekniker,BG$4,TF_Dato,$A387))*2,0)/2)))</f>
        <v/>
      </c>
      <c r="BH387">
        <f>IF(OR(BH$4="",$A387&gt;TODAY()),0,IF(OR(INDEX($B387:$D387,BH$5)="F",AND(BH$6&gt;0,$A387&lt;BH$6),AND(BH$7&gt;0,$A387&gt;BH$7)),0,MAX(0,ROUND((INDEX($E387:$G387,BH$5)-SUMIFS(TF_Timer,TF_Tekniker,BH$4,TF_Dato,$A387))*2,0)/2)))</f>
        <v/>
      </c>
      <c r="BI387">
        <f>IF(OR(BI$4="",$A387&gt;TODAY()),0,IF(OR(INDEX($B387:$D387,BI$5)="F",AND(BI$6&gt;0,$A387&lt;BI$6),AND(BI$7&gt;0,$A387&gt;BI$7)),0,MAX(0,ROUND((INDEX($E387:$G387,BI$5)-SUMIFS(TF_Timer,TF_Tekniker,BI$4,TF_Dato,$A387))*2,0)/2)))</f>
        <v/>
      </c>
    </row>
    <row r="388">
      <c r="A388" s="64">
        <f>A387+1</f>
        <v/>
      </c>
      <c r="B388">
        <f>IF(MOD($A388-INDEX(SkiftStart,1),Syklus)&lt;DagK,"K",IF(MOD($A388-INDEX(SkiftStart,1),Syklus)&lt;DagK+DagH,"H",IF(MOD($A388-INDEX(SkiftStart,1),Syklus)&lt;DagK+DagH+DagD,"D","F")))</f>
        <v/>
      </c>
      <c r="C388">
        <f>IF(MOD($A388-INDEX(SkiftStart,2),Syklus)&lt;DagK,"K",IF(MOD($A388-INDEX(SkiftStart,2),Syklus)&lt;DagK+DagH,"H",IF(MOD($A388-INDEX(SkiftStart,2),Syklus)&lt;DagK+DagH+DagD,"D","F")))</f>
        <v/>
      </c>
      <c r="D388">
        <f>IF(MOD($A388-INDEX(SkiftStart,3),Syklus)&lt;DagK,"K",IF(MOD($A388-INDEX(SkiftStart,3),Syklus)&lt;DagK+DagH,"H",IF(MOD($A388-INDEX(SkiftStart,3),Syklus)&lt;DagK+DagH+DagD,"D","F")))</f>
        <v/>
      </c>
      <c r="E388">
        <f>IF(B388="F",0,IF(WEEKDAY($A388,2)=5,INDEX(TimerFr,MATCH(B388,FaseKode,0)),INDEX(TimerMT,MATCH(B388,FaseKode,0))))</f>
        <v/>
      </c>
      <c r="F388">
        <f>IF(C388="F",0,IF(WEEKDAY($A388,2)=5,INDEX(TimerFr,MATCH(C388,FaseKode,0)),INDEX(TimerMT,MATCH(C388,FaseKode,0))))</f>
        <v/>
      </c>
      <c r="G388">
        <f>IF(D388="F",0,IF(WEEKDAY($A388,2)=5,INDEX(TimerFr,MATCH(D388,FaseKode,0)),INDEX(TimerMT,MATCH(D388,FaseKode,0))))</f>
        <v/>
      </c>
      <c r="H388">
        <f>IF(OR(H$4="",$A388&gt;TODAY()),0,IF(OR(INDEX($B388:$D388,H$5)="F",AND(H$6&gt;0,$A388&lt;H$6),AND(H$7&gt;0,$A388&gt;H$7)),0,MAX(0,ROUND((INDEX($E388:$G388,H$5)-SUMIFS(TF_Timer,TF_Tekniker,H$4,TF_Dato,$A388))*2,0)/2)))</f>
        <v/>
      </c>
      <c r="I388">
        <f>IF(OR(I$4="",$A388&gt;TODAY()),0,IF(OR(INDEX($B388:$D388,I$5)="F",AND(I$6&gt;0,$A388&lt;I$6),AND(I$7&gt;0,$A388&gt;I$7)),0,MAX(0,ROUND((INDEX($E388:$G388,I$5)-SUMIFS(TF_Timer,TF_Tekniker,I$4,TF_Dato,$A388))*2,0)/2)))</f>
        <v/>
      </c>
      <c r="J388">
        <f>IF(OR(J$4="",$A388&gt;TODAY()),0,IF(OR(INDEX($B388:$D388,J$5)="F",AND(J$6&gt;0,$A388&lt;J$6),AND(J$7&gt;0,$A388&gt;J$7)),0,MAX(0,ROUND((INDEX($E388:$G388,J$5)-SUMIFS(TF_Timer,TF_Tekniker,J$4,TF_Dato,$A388))*2,0)/2)))</f>
        <v/>
      </c>
      <c r="K388">
        <f>IF(OR(K$4="",$A388&gt;TODAY()),0,IF(OR(INDEX($B388:$D388,K$5)="F",AND(K$6&gt;0,$A388&lt;K$6),AND(K$7&gt;0,$A388&gt;K$7)),0,MAX(0,ROUND((INDEX($E388:$G388,K$5)-SUMIFS(TF_Timer,TF_Tekniker,K$4,TF_Dato,$A388))*2,0)/2)))</f>
        <v/>
      </c>
      <c r="L388">
        <f>IF(OR(L$4="",$A388&gt;TODAY()),0,IF(OR(INDEX($B388:$D388,L$5)="F",AND(L$6&gt;0,$A388&lt;L$6),AND(L$7&gt;0,$A388&gt;L$7)),0,MAX(0,ROUND((INDEX($E388:$G388,L$5)-SUMIFS(TF_Timer,TF_Tekniker,L$4,TF_Dato,$A388))*2,0)/2)))</f>
        <v/>
      </c>
      <c r="M388">
        <f>IF(OR(M$4="",$A388&gt;TODAY()),0,IF(OR(INDEX($B388:$D388,M$5)="F",AND(M$6&gt;0,$A388&lt;M$6),AND(M$7&gt;0,$A388&gt;M$7)),0,MAX(0,ROUND((INDEX($E388:$G388,M$5)-SUMIFS(TF_Timer,TF_Tekniker,M$4,TF_Dato,$A388))*2,0)/2)))</f>
        <v/>
      </c>
      <c r="N388">
        <f>IF(OR(N$4="",$A388&gt;TODAY()),0,IF(OR(INDEX($B388:$D388,N$5)="F",AND(N$6&gt;0,$A388&lt;N$6),AND(N$7&gt;0,$A388&gt;N$7)),0,MAX(0,ROUND((INDEX($E388:$G388,N$5)-SUMIFS(TF_Timer,TF_Tekniker,N$4,TF_Dato,$A388))*2,0)/2)))</f>
        <v/>
      </c>
      <c r="O388">
        <f>IF(OR(O$4="",$A388&gt;TODAY()),0,IF(OR(INDEX($B388:$D388,O$5)="F",AND(O$6&gt;0,$A388&lt;O$6),AND(O$7&gt;0,$A388&gt;O$7)),0,MAX(0,ROUND((INDEX($E388:$G388,O$5)-SUMIFS(TF_Timer,TF_Tekniker,O$4,TF_Dato,$A388))*2,0)/2)))</f>
        <v/>
      </c>
      <c r="P388">
        <f>IF(OR(P$4="",$A388&gt;TODAY()),0,IF(OR(INDEX($B388:$D388,P$5)="F",AND(P$6&gt;0,$A388&lt;P$6),AND(P$7&gt;0,$A388&gt;P$7)),0,MAX(0,ROUND((INDEX($E388:$G388,P$5)-SUMIFS(TF_Timer,TF_Tekniker,P$4,TF_Dato,$A388))*2,0)/2)))</f>
        <v/>
      </c>
      <c r="Q388">
        <f>IF(OR(Q$4="",$A388&gt;TODAY()),0,IF(OR(INDEX($B388:$D388,Q$5)="F",AND(Q$6&gt;0,$A388&lt;Q$6),AND(Q$7&gt;0,$A388&gt;Q$7)),0,MAX(0,ROUND((INDEX($E388:$G388,Q$5)-SUMIFS(TF_Timer,TF_Tekniker,Q$4,TF_Dato,$A388))*2,0)/2)))</f>
        <v/>
      </c>
      <c r="R388">
        <f>IF(OR(R$4="",$A388&gt;TODAY()),0,IF(OR(INDEX($B388:$D388,R$5)="F",AND(R$6&gt;0,$A388&lt;R$6),AND(R$7&gt;0,$A388&gt;R$7)),0,MAX(0,ROUND((INDEX($E388:$G388,R$5)-SUMIFS(TF_Timer,TF_Tekniker,R$4,TF_Dato,$A388))*2,0)/2)))</f>
        <v/>
      </c>
      <c r="S388">
        <f>IF(OR(S$4="",$A388&gt;TODAY()),0,IF(OR(INDEX($B388:$D388,S$5)="F",AND(S$6&gt;0,$A388&lt;S$6),AND(S$7&gt;0,$A388&gt;S$7)),0,MAX(0,ROUND((INDEX($E388:$G388,S$5)-SUMIFS(TF_Timer,TF_Tekniker,S$4,TF_Dato,$A388))*2,0)/2)))</f>
        <v/>
      </c>
      <c r="T388">
        <f>IF(OR(T$4="",$A388&gt;TODAY()),0,IF(OR(INDEX($B388:$D388,T$5)="F",AND(T$6&gt;0,$A388&lt;T$6),AND(T$7&gt;0,$A388&gt;T$7)),0,MAX(0,ROUND((INDEX($E388:$G388,T$5)-SUMIFS(TF_Timer,TF_Tekniker,T$4,TF_Dato,$A388))*2,0)/2)))</f>
        <v/>
      </c>
      <c r="U388">
        <f>IF(OR(U$4="",$A388&gt;TODAY()),0,IF(OR(INDEX($B388:$D388,U$5)="F",AND(U$6&gt;0,$A388&lt;U$6),AND(U$7&gt;0,$A388&gt;U$7)),0,MAX(0,ROUND((INDEX($E388:$G388,U$5)-SUMIFS(TF_Timer,TF_Tekniker,U$4,TF_Dato,$A388))*2,0)/2)))</f>
        <v/>
      </c>
      <c r="V388">
        <f>IF(OR(V$4="",$A388&gt;TODAY()),0,IF(OR(INDEX($B388:$D388,V$5)="F",AND(V$6&gt;0,$A388&lt;V$6),AND(V$7&gt;0,$A388&gt;V$7)),0,MAX(0,ROUND((INDEX($E388:$G388,V$5)-SUMIFS(TF_Timer,TF_Tekniker,V$4,TF_Dato,$A388))*2,0)/2)))</f>
        <v/>
      </c>
      <c r="W388">
        <f>IF(OR(W$4="",$A388&gt;TODAY()),0,IF(OR(INDEX($B388:$D388,W$5)="F",AND(W$6&gt;0,$A388&lt;W$6),AND(W$7&gt;0,$A388&gt;W$7)),0,MAX(0,ROUND((INDEX($E388:$G388,W$5)-SUMIFS(TF_Timer,TF_Tekniker,W$4,TF_Dato,$A388))*2,0)/2)))</f>
        <v/>
      </c>
      <c r="X388">
        <f>IF(OR(X$4="",$A388&gt;TODAY()),0,IF(OR(INDEX($B388:$D388,X$5)="F",AND(X$6&gt;0,$A388&lt;X$6),AND(X$7&gt;0,$A388&gt;X$7)),0,MAX(0,ROUND((INDEX($E388:$G388,X$5)-SUMIFS(TF_Timer,TF_Tekniker,X$4,TF_Dato,$A388))*2,0)/2)))</f>
        <v/>
      </c>
      <c r="Y388">
        <f>IF(OR(Y$4="",$A388&gt;TODAY()),0,IF(OR(INDEX($B388:$D388,Y$5)="F",AND(Y$6&gt;0,$A388&lt;Y$6),AND(Y$7&gt;0,$A388&gt;Y$7)),0,MAX(0,ROUND((INDEX($E388:$G388,Y$5)-SUMIFS(TF_Timer,TF_Tekniker,Y$4,TF_Dato,$A388))*2,0)/2)))</f>
        <v/>
      </c>
      <c r="Z388">
        <f>IF(OR(Z$4="",$A388&gt;TODAY()),0,IF(OR(INDEX($B388:$D388,Z$5)="F",AND(Z$6&gt;0,$A388&lt;Z$6),AND(Z$7&gt;0,$A388&gt;Z$7)),0,MAX(0,ROUND((INDEX($E388:$G388,Z$5)-SUMIFS(TF_Timer,TF_Tekniker,Z$4,TF_Dato,$A388))*2,0)/2)))</f>
        <v/>
      </c>
      <c r="AA388">
        <f>IF(OR(AA$4="",$A388&gt;TODAY()),0,IF(OR(INDEX($B388:$D388,AA$5)="F",AND(AA$6&gt;0,$A388&lt;AA$6),AND(AA$7&gt;0,$A388&gt;AA$7)),0,MAX(0,ROUND((INDEX($E388:$G388,AA$5)-SUMIFS(TF_Timer,TF_Tekniker,AA$4,TF_Dato,$A388))*2,0)/2)))</f>
        <v/>
      </c>
      <c r="AB388">
        <f>IF(OR(AB$4="",$A388&gt;TODAY()),0,IF(OR(INDEX($B388:$D388,AB$5)="F",AND(AB$6&gt;0,$A388&lt;AB$6),AND(AB$7&gt;0,$A388&gt;AB$7)),0,MAX(0,ROUND((INDEX($E388:$G388,AB$5)-SUMIFS(TF_Timer,TF_Tekniker,AB$4,TF_Dato,$A388))*2,0)/2)))</f>
        <v/>
      </c>
      <c r="AC388">
        <f>IF(OR(AC$4="",$A388&gt;TODAY()),0,IF(OR(INDEX($B388:$D388,AC$5)="F",AND(AC$6&gt;0,$A388&lt;AC$6),AND(AC$7&gt;0,$A388&gt;AC$7)),0,MAX(0,ROUND((INDEX($E388:$G388,AC$5)-SUMIFS(TF_Timer,TF_Tekniker,AC$4,TF_Dato,$A388))*2,0)/2)))</f>
        <v/>
      </c>
      <c r="AD388">
        <f>IF(OR(AD$4="",$A388&gt;TODAY()),0,IF(OR(INDEX($B388:$D388,AD$5)="F",AND(AD$6&gt;0,$A388&lt;AD$6),AND(AD$7&gt;0,$A388&gt;AD$7)),0,MAX(0,ROUND((INDEX($E388:$G388,AD$5)-SUMIFS(TF_Timer,TF_Tekniker,AD$4,TF_Dato,$A388))*2,0)/2)))</f>
        <v/>
      </c>
      <c r="AE388">
        <f>IF(OR(AE$4="",$A388&gt;TODAY()),0,IF(OR(INDEX($B388:$D388,AE$5)="F",AND(AE$6&gt;0,$A388&lt;AE$6),AND(AE$7&gt;0,$A388&gt;AE$7)),0,MAX(0,ROUND((INDEX($E388:$G388,AE$5)-SUMIFS(TF_Timer,TF_Tekniker,AE$4,TF_Dato,$A388))*2,0)/2)))</f>
        <v/>
      </c>
      <c r="AF388">
        <f>IF(OR(AF$4="",$A388&gt;TODAY()),0,IF(OR(INDEX($B388:$D388,AF$5)="F",AND(AF$6&gt;0,$A388&lt;AF$6),AND(AF$7&gt;0,$A388&gt;AF$7)),0,MAX(0,ROUND((INDEX($E388:$G388,AF$5)-SUMIFS(TF_Timer,TF_Tekniker,AF$4,TF_Dato,$A388))*2,0)/2)))</f>
        <v/>
      </c>
      <c r="AG388">
        <f>IF(OR(AG$4="",$A388&gt;TODAY()),0,IF(OR(INDEX($B388:$D388,AG$5)="F",AND(AG$6&gt;0,$A388&lt;AG$6),AND(AG$7&gt;0,$A388&gt;AG$7)),0,MAX(0,ROUND((INDEX($E388:$G388,AG$5)-SUMIFS(TF_Timer,TF_Tekniker,AG$4,TF_Dato,$A388))*2,0)/2)))</f>
        <v/>
      </c>
      <c r="AH388">
        <f>IF(OR(AH$4="",$A388&gt;TODAY()),0,IF(OR(INDEX($B388:$D388,AH$5)="F",AND(AH$6&gt;0,$A388&lt;AH$6),AND(AH$7&gt;0,$A388&gt;AH$7)),0,MAX(0,ROUND((INDEX($E388:$G388,AH$5)-SUMIFS(TF_Timer,TF_Tekniker,AH$4,TF_Dato,$A388))*2,0)/2)))</f>
        <v/>
      </c>
      <c r="AI388">
        <f>IF(OR(AI$4="",$A388&gt;TODAY()),0,IF(OR(INDEX($B388:$D388,AI$5)="F",AND(AI$6&gt;0,$A388&lt;AI$6),AND(AI$7&gt;0,$A388&gt;AI$7)),0,MAX(0,ROUND((INDEX($E388:$G388,AI$5)-SUMIFS(TF_Timer,TF_Tekniker,AI$4,TF_Dato,$A388))*2,0)/2)))</f>
        <v/>
      </c>
      <c r="AJ388">
        <f>IF(OR(AJ$4="",$A388&gt;TODAY()),0,IF(OR(INDEX($B388:$D388,AJ$5)="F",AND(AJ$6&gt;0,$A388&lt;AJ$6),AND(AJ$7&gt;0,$A388&gt;AJ$7)),0,MAX(0,ROUND((INDEX($E388:$G388,AJ$5)-SUMIFS(TF_Timer,TF_Tekniker,AJ$4,TF_Dato,$A388))*2,0)/2)))</f>
        <v/>
      </c>
      <c r="AK388">
        <f>IF(OR(AK$4="",$A388&gt;TODAY()),0,IF(OR(INDEX($B388:$D388,AK$5)="F",AND(AK$6&gt;0,$A388&lt;AK$6),AND(AK$7&gt;0,$A388&gt;AK$7)),0,MAX(0,ROUND((INDEX($E388:$G388,AK$5)-SUMIFS(TF_Timer,TF_Tekniker,AK$4,TF_Dato,$A388))*2,0)/2)))</f>
        <v/>
      </c>
      <c r="AL388">
        <f>IF(OR(AL$4="",$A388&gt;TODAY()),0,IF(OR(INDEX($B388:$D388,AL$5)="F",AND(AL$6&gt;0,$A388&lt;AL$6),AND(AL$7&gt;0,$A388&gt;AL$7)),0,MAX(0,ROUND((INDEX($E388:$G388,AL$5)-SUMIFS(TF_Timer,TF_Tekniker,AL$4,TF_Dato,$A388))*2,0)/2)))</f>
        <v/>
      </c>
      <c r="AM388">
        <f>IF(OR(AM$4="",$A388&gt;TODAY()),0,IF(OR(INDEX($B388:$D388,AM$5)="F",AND(AM$6&gt;0,$A388&lt;AM$6),AND(AM$7&gt;0,$A388&gt;AM$7)),0,MAX(0,ROUND((INDEX($E388:$G388,AM$5)-SUMIFS(TF_Timer,TF_Tekniker,AM$4,TF_Dato,$A388))*2,0)/2)))</f>
        <v/>
      </c>
      <c r="AN388">
        <f>IF(OR(AN$4="",$A388&gt;TODAY()),0,IF(OR(INDEX($B388:$D388,AN$5)="F",AND(AN$6&gt;0,$A388&lt;AN$6),AND(AN$7&gt;0,$A388&gt;AN$7)),0,MAX(0,ROUND((INDEX($E388:$G388,AN$5)-SUMIFS(TF_Timer,TF_Tekniker,AN$4,TF_Dato,$A388))*2,0)/2)))</f>
        <v/>
      </c>
      <c r="AO388">
        <f>IF(OR(AO$4="",$A388&gt;TODAY()),0,IF(OR(INDEX($B388:$D388,AO$5)="F",AND(AO$6&gt;0,$A388&lt;AO$6),AND(AO$7&gt;0,$A388&gt;AO$7)),0,MAX(0,ROUND((INDEX($E388:$G388,AO$5)-SUMIFS(TF_Timer,TF_Tekniker,AO$4,TF_Dato,$A388))*2,0)/2)))</f>
        <v/>
      </c>
      <c r="AP388">
        <f>IF(OR(AP$4="",$A388&gt;TODAY()),0,IF(OR(INDEX($B388:$D388,AP$5)="F",AND(AP$6&gt;0,$A388&lt;AP$6),AND(AP$7&gt;0,$A388&gt;AP$7)),0,MAX(0,ROUND((INDEX($E388:$G388,AP$5)-SUMIFS(TF_Timer,TF_Tekniker,AP$4,TF_Dato,$A388))*2,0)/2)))</f>
        <v/>
      </c>
      <c r="AQ388">
        <f>IF(OR(AQ$4="",$A388&gt;TODAY()),0,IF(OR(INDEX($B388:$D388,AQ$5)="F",AND(AQ$6&gt;0,$A388&lt;AQ$6),AND(AQ$7&gt;0,$A388&gt;AQ$7)),0,MAX(0,ROUND((INDEX($E388:$G388,AQ$5)-SUMIFS(TF_Timer,TF_Tekniker,AQ$4,TF_Dato,$A388))*2,0)/2)))</f>
        <v/>
      </c>
      <c r="AR388">
        <f>IF(OR(AR$4="",$A388&gt;TODAY()),0,IF(OR(INDEX($B388:$D388,AR$5)="F",AND(AR$6&gt;0,$A388&lt;AR$6),AND(AR$7&gt;0,$A388&gt;AR$7)),0,MAX(0,ROUND((INDEX($E388:$G388,AR$5)-SUMIFS(TF_Timer,TF_Tekniker,AR$4,TF_Dato,$A388))*2,0)/2)))</f>
        <v/>
      </c>
      <c r="AS388">
        <f>IF(OR(AS$4="",$A388&gt;TODAY()),0,IF(OR(INDEX($B388:$D388,AS$5)="F",AND(AS$6&gt;0,$A388&lt;AS$6),AND(AS$7&gt;0,$A388&gt;AS$7)),0,MAX(0,ROUND((INDEX($E388:$G388,AS$5)-SUMIFS(TF_Timer,TF_Tekniker,AS$4,TF_Dato,$A388))*2,0)/2)))</f>
        <v/>
      </c>
      <c r="AT388">
        <f>IF(OR(AT$4="",$A388&gt;TODAY()),0,IF(OR(INDEX($B388:$D388,AT$5)="F",AND(AT$6&gt;0,$A388&lt;AT$6),AND(AT$7&gt;0,$A388&gt;AT$7)),0,MAX(0,ROUND((INDEX($E388:$G388,AT$5)-SUMIFS(TF_Timer,TF_Tekniker,AT$4,TF_Dato,$A388))*2,0)/2)))</f>
        <v/>
      </c>
      <c r="AU388">
        <f>IF(OR(AU$4="",$A388&gt;TODAY()),0,IF(OR(INDEX($B388:$D388,AU$5)="F",AND(AU$6&gt;0,$A388&lt;AU$6),AND(AU$7&gt;0,$A388&gt;AU$7)),0,MAX(0,ROUND((INDEX($E388:$G388,AU$5)-SUMIFS(TF_Timer,TF_Tekniker,AU$4,TF_Dato,$A388))*2,0)/2)))</f>
        <v/>
      </c>
      <c r="AV388">
        <f>IF(OR(AV$4="",$A388&gt;TODAY()),0,IF(OR(INDEX($B388:$D388,AV$5)="F",AND(AV$6&gt;0,$A388&lt;AV$6),AND(AV$7&gt;0,$A388&gt;AV$7)),0,MAX(0,ROUND((INDEX($E388:$G388,AV$5)-SUMIFS(TF_Timer,TF_Tekniker,AV$4,TF_Dato,$A388))*2,0)/2)))</f>
        <v/>
      </c>
      <c r="AW388">
        <f>IF(OR(AW$4="",$A388&gt;TODAY()),0,IF(OR(INDEX($B388:$D388,AW$5)="F",AND(AW$6&gt;0,$A388&lt;AW$6),AND(AW$7&gt;0,$A388&gt;AW$7)),0,MAX(0,ROUND((INDEX($E388:$G388,AW$5)-SUMIFS(TF_Timer,TF_Tekniker,AW$4,TF_Dato,$A388))*2,0)/2)))</f>
        <v/>
      </c>
      <c r="AX388">
        <f>IF(OR(AX$4="",$A388&gt;TODAY()),0,IF(OR(INDEX($B388:$D388,AX$5)="F",AND(AX$6&gt;0,$A388&lt;AX$6),AND(AX$7&gt;0,$A388&gt;AX$7)),0,MAX(0,ROUND((INDEX($E388:$G388,AX$5)-SUMIFS(TF_Timer,TF_Tekniker,AX$4,TF_Dato,$A388))*2,0)/2)))</f>
        <v/>
      </c>
      <c r="AY388">
        <f>IF(OR(AY$4="",$A388&gt;TODAY()),0,IF(OR(INDEX($B388:$D388,AY$5)="F",AND(AY$6&gt;0,$A388&lt;AY$6),AND(AY$7&gt;0,$A388&gt;AY$7)),0,MAX(0,ROUND((INDEX($E388:$G388,AY$5)-SUMIFS(TF_Timer,TF_Tekniker,AY$4,TF_Dato,$A388))*2,0)/2)))</f>
        <v/>
      </c>
      <c r="AZ388">
        <f>IF(OR(AZ$4="",$A388&gt;TODAY()),0,IF(OR(INDEX($B388:$D388,AZ$5)="F",AND(AZ$6&gt;0,$A388&lt;AZ$6),AND(AZ$7&gt;0,$A388&gt;AZ$7)),0,MAX(0,ROUND((INDEX($E388:$G388,AZ$5)-SUMIFS(TF_Timer,TF_Tekniker,AZ$4,TF_Dato,$A388))*2,0)/2)))</f>
        <v/>
      </c>
      <c r="BA388">
        <f>IF(OR(BA$4="",$A388&gt;TODAY()),0,IF(OR(INDEX($B388:$D388,BA$5)="F",AND(BA$6&gt;0,$A388&lt;BA$6),AND(BA$7&gt;0,$A388&gt;BA$7)),0,MAX(0,ROUND((INDEX($E388:$G388,BA$5)-SUMIFS(TF_Timer,TF_Tekniker,BA$4,TF_Dato,$A388))*2,0)/2)))</f>
        <v/>
      </c>
      <c r="BB388">
        <f>IF(OR(BB$4="",$A388&gt;TODAY()),0,IF(OR(INDEX($B388:$D388,BB$5)="F",AND(BB$6&gt;0,$A388&lt;BB$6),AND(BB$7&gt;0,$A388&gt;BB$7)),0,MAX(0,ROUND((INDEX($E388:$G388,BB$5)-SUMIFS(TF_Timer,TF_Tekniker,BB$4,TF_Dato,$A388))*2,0)/2)))</f>
        <v/>
      </c>
      <c r="BC388">
        <f>IF(OR(BC$4="",$A388&gt;TODAY()),0,IF(OR(INDEX($B388:$D388,BC$5)="F",AND(BC$6&gt;0,$A388&lt;BC$6),AND(BC$7&gt;0,$A388&gt;BC$7)),0,MAX(0,ROUND((INDEX($E388:$G388,BC$5)-SUMIFS(TF_Timer,TF_Tekniker,BC$4,TF_Dato,$A388))*2,0)/2)))</f>
        <v/>
      </c>
      <c r="BD388">
        <f>IF(OR(BD$4="",$A388&gt;TODAY()),0,IF(OR(INDEX($B388:$D388,BD$5)="F",AND(BD$6&gt;0,$A388&lt;BD$6),AND(BD$7&gt;0,$A388&gt;BD$7)),0,MAX(0,ROUND((INDEX($E388:$G388,BD$5)-SUMIFS(TF_Timer,TF_Tekniker,BD$4,TF_Dato,$A388))*2,0)/2)))</f>
        <v/>
      </c>
      <c r="BE388">
        <f>IF(OR(BE$4="",$A388&gt;TODAY()),0,IF(OR(INDEX($B388:$D388,BE$5)="F",AND(BE$6&gt;0,$A388&lt;BE$6),AND(BE$7&gt;0,$A388&gt;BE$7)),0,MAX(0,ROUND((INDEX($E388:$G388,BE$5)-SUMIFS(TF_Timer,TF_Tekniker,BE$4,TF_Dato,$A388))*2,0)/2)))</f>
        <v/>
      </c>
      <c r="BF388">
        <f>IF(OR(BF$4="",$A388&gt;TODAY()),0,IF(OR(INDEX($B388:$D388,BF$5)="F",AND(BF$6&gt;0,$A388&lt;BF$6),AND(BF$7&gt;0,$A388&gt;BF$7)),0,MAX(0,ROUND((INDEX($E388:$G388,BF$5)-SUMIFS(TF_Timer,TF_Tekniker,BF$4,TF_Dato,$A388))*2,0)/2)))</f>
        <v/>
      </c>
      <c r="BG388">
        <f>IF(OR(BG$4="",$A388&gt;TODAY()),0,IF(OR(INDEX($B388:$D388,BG$5)="F",AND(BG$6&gt;0,$A388&lt;BG$6),AND(BG$7&gt;0,$A388&gt;BG$7)),0,MAX(0,ROUND((INDEX($E388:$G388,BG$5)-SUMIFS(TF_Timer,TF_Tekniker,BG$4,TF_Dato,$A388))*2,0)/2)))</f>
        <v/>
      </c>
      <c r="BH388">
        <f>IF(OR(BH$4="",$A388&gt;TODAY()),0,IF(OR(INDEX($B388:$D388,BH$5)="F",AND(BH$6&gt;0,$A388&lt;BH$6),AND(BH$7&gt;0,$A388&gt;BH$7)),0,MAX(0,ROUND((INDEX($E388:$G388,BH$5)-SUMIFS(TF_Timer,TF_Tekniker,BH$4,TF_Dato,$A388))*2,0)/2)))</f>
        <v/>
      </c>
      <c r="BI388">
        <f>IF(OR(BI$4="",$A388&gt;TODAY()),0,IF(OR(INDEX($B388:$D388,BI$5)="F",AND(BI$6&gt;0,$A388&lt;BI$6),AND(BI$7&gt;0,$A388&gt;BI$7)),0,MAX(0,ROUND((INDEX($E388:$G388,BI$5)-SUMIFS(TF_Timer,TF_Tekniker,BI$4,TF_Dato,$A388))*2,0)/2)))</f>
        <v/>
      </c>
    </row>
    <row r="389">
      <c r="A389" s="64">
        <f>A388+1</f>
        <v/>
      </c>
      <c r="B389">
        <f>IF(MOD($A389-INDEX(SkiftStart,1),Syklus)&lt;DagK,"K",IF(MOD($A389-INDEX(SkiftStart,1),Syklus)&lt;DagK+DagH,"H",IF(MOD($A389-INDEX(SkiftStart,1),Syklus)&lt;DagK+DagH+DagD,"D","F")))</f>
        <v/>
      </c>
      <c r="C389">
        <f>IF(MOD($A389-INDEX(SkiftStart,2),Syklus)&lt;DagK,"K",IF(MOD($A389-INDEX(SkiftStart,2),Syklus)&lt;DagK+DagH,"H",IF(MOD($A389-INDEX(SkiftStart,2),Syklus)&lt;DagK+DagH+DagD,"D","F")))</f>
        <v/>
      </c>
      <c r="D389">
        <f>IF(MOD($A389-INDEX(SkiftStart,3),Syklus)&lt;DagK,"K",IF(MOD($A389-INDEX(SkiftStart,3),Syklus)&lt;DagK+DagH,"H",IF(MOD($A389-INDEX(SkiftStart,3),Syklus)&lt;DagK+DagH+DagD,"D","F")))</f>
        <v/>
      </c>
      <c r="E389">
        <f>IF(B389="F",0,IF(WEEKDAY($A389,2)=5,INDEX(TimerFr,MATCH(B389,FaseKode,0)),INDEX(TimerMT,MATCH(B389,FaseKode,0))))</f>
        <v/>
      </c>
      <c r="F389">
        <f>IF(C389="F",0,IF(WEEKDAY($A389,2)=5,INDEX(TimerFr,MATCH(C389,FaseKode,0)),INDEX(TimerMT,MATCH(C389,FaseKode,0))))</f>
        <v/>
      </c>
      <c r="G389">
        <f>IF(D389="F",0,IF(WEEKDAY($A389,2)=5,INDEX(TimerFr,MATCH(D389,FaseKode,0)),INDEX(TimerMT,MATCH(D389,FaseKode,0))))</f>
        <v/>
      </c>
      <c r="H389">
        <f>IF(OR(H$4="",$A389&gt;TODAY()),0,IF(OR(INDEX($B389:$D389,H$5)="F",AND(H$6&gt;0,$A389&lt;H$6),AND(H$7&gt;0,$A389&gt;H$7)),0,MAX(0,ROUND((INDEX($E389:$G389,H$5)-SUMIFS(TF_Timer,TF_Tekniker,H$4,TF_Dato,$A389))*2,0)/2)))</f>
        <v/>
      </c>
      <c r="I389">
        <f>IF(OR(I$4="",$A389&gt;TODAY()),0,IF(OR(INDEX($B389:$D389,I$5)="F",AND(I$6&gt;0,$A389&lt;I$6),AND(I$7&gt;0,$A389&gt;I$7)),0,MAX(0,ROUND((INDEX($E389:$G389,I$5)-SUMIFS(TF_Timer,TF_Tekniker,I$4,TF_Dato,$A389))*2,0)/2)))</f>
        <v/>
      </c>
      <c r="J389">
        <f>IF(OR(J$4="",$A389&gt;TODAY()),0,IF(OR(INDEX($B389:$D389,J$5)="F",AND(J$6&gt;0,$A389&lt;J$6),AND(J$7&gt;0,$A389&gt;J$7)),0,MAX(0,ROUND((INDEX($E389:$G389,J$5)-SUMIFS(TF_Timer,TF_Tekniker,J$4,TF_Dato,$A389))*2,0)/2)))</f>
        <v/>
      </c>
      <c r="K389">
        <f>IF(OR(K$4="",$A389&gt;TODAY()),0,IF(OR(INDEX($B389:$D389,K$5)="F",AND(K$6&gt;0,$A389&lt;K$6),AND(K$7&gt;0,$A389&gt;K$7)),0,MAX(0,ROUND((INDEX($E389:$G389,K$5)-SUMIFS(TF_Timer,TF_Tekniker,K$4,TF_Dato,$A389))*2,0)/2)))</f>
        <v/>
      </c>
      <c r="L389">
        <f>IF(OR(L$4="",$A389&gt;TODAY()),0,IF(OR(INDEX($B389:$D389,L$5)="F",AND(L$6&gt;0,$A389&lt;L$6),AND(L$7&gt;0,$A389&gt;L$7)),0,MAX(0,ROUND((INDEX($E389:$G389,L$5)-SUMIFS(TF_Timer,TF_Tekniker,L$4,TF_Dato,$A389))*2,0)/2)))</f>
        <v/>
      </c>
      <c r="M389">
        <f>IF(OR(M$4="",$A389&gt;TODAY()),0,IF(OR(INDEX($B389:$D389,M$5)="F",AND(M$6&gt;0,$A389&lt;M$6),AND(M$7&gt;0,$A389&gt;M$7)),0,MAX(0,ROUND((INDEX($E389:$G389,M$5)-SUMIFS(TF_Timer,TF_Tekniker,M$4,TF_Dato,$A389))*2,0)/2)))</f>
        <v/>
      </c>
      <c r="N389">
        <f>IF(OR(N$4="",$A389&gt;TODAY()),0,IF(OR(INDEX($B389:$D389,N$5)="F",AND(N$6&gt;0,$A389&lt;N$6),AND(N$7&gt;0,$A389&gt;N$7)),0,MAX(0,ROUND((INDEX($E389:$G389,N$5)-SUMIFS(TF_Timer,TF_Tekniker,N$4,TF_Dato,$A389))*2,0)/2)))</f>
        <v/>
      </c>
      <c r="O389">
        <f>IF(OR(O$4="",$A389&gt;TODAY()),0,IF(OR(INDEX($B389:$D389,O$5)="F",AND(O$6&gt;0,$A389&lt;O$6),AND(O$7&gt;0,$A389&gt;O$7)),0,MAX(0,ROUND((INDEX($E389:$G389,O$5)-SUMIFS(TF_Timer,TF_Tekniker,O$4,TF_Dato,$A389))*2,0)/2)))</f>
        <v/>
      </c>
      <c r="P389">
        <f>IF(OR(P$4="",$A389&gt;TODAY()),0,IF(OR(INDEX($B389:$D389,P$5)="F",AND(P$6&gt;0,$A389&lt;P$6),AND(P$7&gt;0,$A389&gt;P$7)),0,MAX(0,ROUND((INDEX($E389:$G389,P$5)-SUMIFS(TF_Timer,TF_Tekniker,P$4,TF_Dato,$A389))*2,0)/2)))</f>
        <v/>
      </c>
      <c r="Q389">
        <f>IF(OR(Q$4="",$A389&gt;TODAY()),0,IF(OR(INDEX($B389:$D389,Q$5)="F",AND(Q$6&gt;0,$A389&lt;Q$6),AND(Q$7&gt;0,$A389&gt;Q$7)),0,MAX(0,ROUND((INDEX($E389:$G389,Q$5)-SUMIFS(TF_Timer,TF_Tekniker,Q$4,TF_Dato,$A389))*2,0)/2)))</f>
        <v/>
      </c>
      <c r="R389">
        <f>IF(OR(R$4="",$A389&gt;TODAY()),0,IF(OR(INDEX($B389:$D389,R$5)="F",AND(R$6&gt;0,$A389&lt;R$6),AND(R$7&gt;0,$A389&gt;R$7)),0,MAX(0,ROUND((INDEX($E389:$G389,R$5)-SUMIFS(TF_Timer,TF_Tekniker,R$4,TF_Dato,$A389))*2,0)/2)))</f>
        <v/>
      </c>
      <c r="S389">
        <f>IF(OR(S$4="",$A389&gt;TODAY()),0,IF(OR(INDEX($B389:$D389,S$5)="F",AND(S$6&gt;0,$A389&lt;S$6),AND(S$7&gt;0,$A389&gt;S$7)),0,MAX(0,ROUND((INDEX($E389:$G389,S$5)-SUMIFS(TF_Timer,TF_Tekniker,S$4,TF_Dato,$A389))*2,0)/2)))</f>
        <v/>
      </c>
      <c r="T389">
        <f>IF(OR(T$4="",$A389&gt;TODAY()),0,IF(OR(INDEX($B389:$D389,T$5)="F",AND(T$6&gt;0,$A389&lt;T$6),AND(T$7&gt;0,$A389&gt;T$7)),0,MAX(0,ROUND((INDEX($E389:$G389,T$5)-SUMIFS(TF_Timer,TF_Tekniker,T$4,TF_Dato,$A389))*2,0)/2)))</f>
        <v/>
      </c>
      <c r="U389">
        <f>IF(OR(U$4="",$A389&gt;TODAY()),0,IF(OR(INDEX($B389:$D389,U$5)="F",AND(U$6&gt;0,$A389&lt;U$6),AND(U$7&gt;0,$A389&gt;U$7)),0,MAX(0,ROUND((INDEX($E389:$G389,U$5)-SUMIFS(TF_Timer,TF_Tekniker,U$4,TF_Dato,$A389))*2,0)/2)))</f>
        <v/>
      </c>
      <c r="V389">
        <f>IF(OR(V$4="",$A389&gt;TODAY()),0,IF(OR(INDEX($B389:$D389,V$5)="F",AND(V$6&gt;0,$A389&lt;V$6),AND(V$7&gt;0,$A389&gt;V$7)),0,MAX(0,ROUND((INDEX($E389:$G389,V$5)-SUMIFS(TF_Timer,TF_Tekniker,V$4,TF_Dato,$A389))*2,0)/2)))</f>
        <v/>
      </c>
      <c r="W389">
        <f>IF(OR(W$4="",$A389&gt;TODAY()),0,IF(OR(INDEX($B389:$D389,W$5)="F",AND(W$6&gt;0,$A389&lt;W$6),AND(W$7&gt;0,$A389&gt;W$7)),0,MAX(0,ROUND((INDEX($E389:$G389,W$5)-SUMIFS(TF_Timer,TF_Tekniker,W$4,TF_Dato,$A389))*2,0)/2)))</f>
        <v/>
      </c>
      <c r="X389">
        <f>IF(OR(X$4="",$A389&gt;TODAY()),0,IF(OR(INDEX($B389:$D389,X$5)="F",AND(X$6&gt;0,$A389&lt;X$6),AND(X$7&gt;0,$A389&gt;X$7)),0,MAX(0,ROUND((INDEX($E389:$G389,X$5)-SUMIFS(TF_Timer,TF_Tekniker,X$4,TF_Dato,$A389))*2,0)/2)))</f>
        <v/>
      </c>
      <c r="Y389">
        <f>IF(OR(Y$4="",$A389&gt;TODAY()),0,IF(OR(INDEX($B389:$D389,Y$5)="F",AND(Y$6&gt;0,$A389&lt;Y$6),AND(Y$7&gt;0,$A389&gt;Y$7)),0,MAX(0,ROUND((INDEX($E389:$G389,Y$5)-SUMIFS(TF_Timer,TF_Tekniker,Y$4,TF_Dato,$A389))*2,0)/2)))</f>
        <v/>
      </c>
      <c r="Z389">
        <f>IF(OR(Z$4="",$A389&gt;TODAY()),0,IF(OR(INDEX($B389:$D389,Z$5)="F",AND(Z$6&gt;0,$A389&lt;Z$6),AND(Z$7&gt;0,$A389&gt;Z$7)),0,MAX(0,ROUND((INDEX($E389:$G389,Z$5)-SUMIFS(TF_Timer,TF_Tekniker,Z$4,TF_Dato,$A389))*2,0)/2)))</f>
        <v/>
      </c>
      <c r="AA389">
        <f>IF(OR(AA$4="",$A389&gt;TODAY()),0,IF(OR(INDEX($B389:$D389,AA$5)="F",AND(AA$6&gt;0,$A389&lt;AA$6),AND(AA$7&gt;0,$A389&gt;AA$7)),0,MAX(0,ROUND((INDEX($E389:$G389,AA$5)-SUMIFS(TF_Timer,TF_Tekniker,AA$4,TF_Dato,$A389))*2,0)/2)))</f>
        <v/>
      </c>
      <c r="AB389">
        <f>IF(OR(AB$4="",$A389&gt;TODAY()),0,IF(OR(INDEX($B389:$D389,AB$5)="F",AND(AB$6&gt;0,$A389&lt;AB$6),AND(AB$7&gt;0,$A389&gt;AB$7)),0,MAX(0,ROUND((INDEX($E389:$G389,AB$5)-SUMIFS(TF_Timer,TF_Tekniker,AB$4,TF_Dato,$A389))*2,0)/2)))</f>
        <v/>
      </c>
      <c r="AC389">
        <f>IF(OR(AC$4="",$A389&gt;TODAY()),0,IF(OR(INDEX($B389:$D389,AC$5)="F",AND(AC$6&gt;0,$A389&lt;AC$6),AND(AC$7&gt;0,$A389&gt;AC$7)),0,MAX(0,ROUND((INDEX($E389:$G389,AC$5)-SUMIFS(TF_Timer,TF_Tekniker,AC$4,TF_Dato,$A389))*2,0)/2)))</f>
        <v/>
      </c>
      <c r="AD389">
        <f>IF(OR(AD$4="",$A389&gt;TODAY()),0,IF(OR(INDEX($B389:$D389,AD$5)="F",AND(AD$6&gt;0,$A389&lt;AD$6),AND(AD$7&gt;0,$A389&gt;AD$7)),0,MAX(0,ROUND((INDEX($E389:$G389,AD$5)-SUMIFS(TF_Timer,TF_Tekniker,AD$4,TF_Dato,$A389))*2,0)/2)))</f>
        <v/>
      </c>
      <c r="AE389">
        <f>IF(OR(AE$4="",$A389&gt;TODAY()),0,IF(OR(INDEX($B389:$D389,AE$5)="F",AND(AE$6&gt;0,$A389&lt;AE$6),AND(AE$7&gt;0,$A389&gt;AE$7)),0,MAX(0,ROUND((INDEX($E389:$G389,AE$5)-SUMIFS(TF_Timer,TF_Tekniker,AE$4,TF_Dato,$A389))*2,0)/2)))</f>
        <v/>
      </c>
      <c r="AF389">
        <f>IF(OR(AF$4="",$A389&gt;TODAY()),0,IF(OR(INDEX($B389:$D389,AF$5)="F",AND(AF$6&gt;0,$A389&lt;AF$6),AND(AF$7&gt;0,$A389&gt;AF$7)),0,MAX(0,ROUND((INDEX($E389:$G389,AF$5)-SUMIFS(TF_Timer,TF_Tekniker,AF$4,TF_Dato,$A389))*2,0)/2)))</f>
        <v/>
      </c>
      <c r="AG389">
        <f>IF(OR(AG$4="",$A389&gt;TODAY()),0,IF(OR(INDEX($B389:$D389,AG$5)="F",AND(AG$6&gt;0,$A389&lt;AG$6),AND(AG$7&gt;0,$A389&gt;AG$7)),0,MAX(0,ROUND((INDEX($E389:$G389,AG$5)-SUMIFS(TF_Timer,TF_Tekniker,AG$4,TF_Dato,$A389))*2,0)/2)))</f>
        <v/>
      </c>
      <c r="AH389">
        <f>IF(OR(AH$4="",$A389&gt;TODAY()),0,IF(OR(INDEX($B389:$D389,AH$5)="F",AND(AH$6&gt;0,$A389&lt;AH$6),AND(AH$7&gt;0,$A389&gt;AH$7)),0,MAX(0,ROUND((INDEX($E389:$G389,AH$5)-SUMIFS(TF_Timer,TF_Tekniker,AH$4,TF_Dato,$A389))*2,0)/2)))</f>
        <v/>
      </c>
      <c r="AI389">
        <f>IF(OR(AI$4="",$A389&gt;TODAY()),0,IF(OR(INDEX($B389:$D389,AI$5)="F",AND(AI$6&gt;0,$A389&lt;AI$6),AND(AI$7&gt;0,$A389&gt;AI$7)),0,MAX(0,ROUND((INDEX($E389:$G389,AI$5)-SUMIFS(TF_Timer,TF_Tekniker,AI$4,TF_Dato,$A389))*2,0)/2)))</f>
        <v/>
      </c>
      <c r="AJ389">
        <f>IF(OR(AJ$4="",$A389&gt;TODAY()),0,IF(OR(INDEX($B389:$D389,AJ$5)="F",AND(AJ$6&gt;0,$A389&lt;AJ$6),AND(AJ$7&gt;0,$A389&gt;AJ$7)),0,MAX(0,ROUND((INDEX($E389:$G389,AJ$5)-SUMIFS(TF_Timer,TF_Tekniker,AJ$4,TF_Dato,$A389))*2,0)/2)))</f>
        <v/>
      </c>
      <c r="AK389">
        <f>IF(OR(AK$4="",$A389&gt;TODAY()),0,IF(OR(INDEX($B389:$D389,AK$5)="F",AND(AK$6&gt;0,$A389&lt;AK$6),AND(AK$7&gt;0,$A389&gt;AK$7)),0,MAX(0,ROUND((INDEX($E389:$G389,AK$5)-SUMIFS(TF_Timer,TF_Tekniker,AK$4,TF_Dato,$A389))*2,0)/2)))</f>
        <v/>
      </c>
      <c r="AL389">
        <f>IF(OR(AL$4="",$A389&gt;TODAY()),0,IF(OR(INDEX($B389:$D389,AL$5)="F",AND(AL$6&gt;0,$A389&lt;AL$6),AND(AL$7&gt;0,$A389&gt;AL$7)),0,MAX(0,ROUND((INDEX($E389:$G389,AL$5)-SUMIFS(TF_Timer,TF_Tekniker,AL$4,TF_Dato,$A389))*2,0)/2)))</f>
        <v/>
      </c>
      <c r="AM389">
        <f>IF(OR(AM$4="",$A389&gt;TODAY()),0,IF(OR(INDEX($B389:$D389,AM$5)="F",AND(AM$6&gt;0,$A389&lt;AM$6),AND(AM$7&gt;0,$A389&gt;AM$7)),0,MAX(0,ROUND((INDEX($E389:$G389,AM$5)-SUMIFS(TF_Timer,TF_Tekniker,AM$4,TF_Dato,$A389))*2,0)/2)))</f>
        <v/>
      </c>
      <c r="AN389">
        <f>IF(OR(AN$4="",$A389&gt;TODAY()),0,IF(OR(INDEX($B389:$D389,AN$5)="F",AND(AN$6&gt;0,$A389&lt;AN$6),AND(AN$7&gt;0,$A389&gt;AN$7)),0,MAX(0,ROUND((INDEX($E389:$G389,AN$5)-SUMIFS(TF_Timer,TF_Tekniker,AN$4,TF_Dato,$A389))*2,0)/2)))</f>
        <v/>
      </c>
      <c r="AO389">
        <f>IF(OR(AO$4="",$A389&gt;TODAY()),0,IF(OR(INDEX($B389:$D389,AO$5)="F",AND(AO$6&gt;0,$A389&lt;AO$6),AND(AO$7&gt;0,$A389&gt;AO$7)),0,MAX(0,ROUND((INDEX($E389:$G389,AO$5)-SUMIFS(TF_Timer,TF_Tekniker,AO$4,TF_Dato,$A389))*2,0)/2)))</f>
        <v/>
      </c>
      <c r="AP389">
        <f>IF(OR(AP$4="",$A389&gt;TODAY()),0,IF(OR(INDEX($B389:$D389,AP$5)="F",AND(AP$6&gt;0,$A389&lt;AP$6),AND(AP$7&gt;0,$A389&gt;AP$7)),0,MAX(0,ROUND((INDEX($E389:$G389,AP$5)-SUMIFS(TF_Timer,TF_Tekniker,AP$4,TF_Dato,$A389))*2,0)/2)))</f>
        <v/>
      </c>
      <c r="AQ389">
        <f>IF(OR(AQ$4="",$A389&gt;TODAY()),0,IF(OR(INDEX($B389:$D389,AQ$5)="F",AND(AQ$6&gt;0,$A389&lt;AQ$6),AND(AQ$7&gt;0,$A389&gt;AQ$7)),0,MAX(0,ROUND((INDEX($E389:$G389,AQ$5)-SUMIFS(TF_Timer,TF_Tekniker,AQ$4,TF_Dato,$A389))*2,0)/2)))</f>
        <v/>
      </c>
      <c r="AR389">
        <f>IF(OR(AR$4="",$A389&gt;TODAY()),0,IF(OR(INDEX($B389:$D389,AR$5)="F",AND(AR$6&gt;0,$A389&lt;AR$6),AND(AR$7&gt;0,$A389&gt;AR$7)),0,MAX(0,ROUND((INDEX($E389:$G389,AR$5)-SUMIFS(TF_Timer,TF_Tekniker,AR$4,TF_Dato,$A389))*2,0)/2)))</f>
        <v/>
      </c>
      <c r="AS389">
        <f>IF(OR(AS$4="",$A389&gt;TODAY()),0,IF(OR(INDEX($B389:$D389,AS$5)="F",AND(AS$6&gt;0,$A389&lt;AS$6),AND(AS$7&gt;0,$A389&gt;AS$7)),0,MAX(0,ROUND((INDEX($E389:$G389,AS$5)-SUMIFS(TF_Timer,TF_Tekniker,AS$4,TF_Dato,$A389))*2,0)/2)))</f>
        <v/>
      </c>
      <c r="AT389">
        <f>IF(OR(AT$4="",$A389&gt;TODAY()),0,IF(OR(INDEX($B389:$D389,AT$5)="F",AND(AT$6&gt;0,$A389&lt;AT$6),AND(AT$7&gt;0,$A389&gt;AT$7)),0,MAX(0,ROUND((INDEX($E389:$G389,AT$5)-SUMIFS(TF_Timer,TF_Tekniker,AT$4,TF_Dato,$A389))*2,0)/2)))</f>
        <v/>
      </c>
      <c r="AU389">
        <f>IF(OR(AU$4="",$A389&gt;TODAY()),0,IF(OR(INDEX($B389:$D389,AU$5)="F",AND(AU$6&gt;0,$A389&lt;AU$6),AND(AU$7&gt;0,$A389&gt;AU$7)),0,MAX(0,ROUND((INDEX($E389:$G389,AU$5)-SUMIFS(TF_Timer,TF_Tekniker,AU$4,TF_Dato,$A389))*2,0)/2)))</f>
        <v/>
      </c>
      <c r="AV389">
        <f>IF(OR(AV$4="",$A389&gt;TODAY()),0,IF(OR(INDEX($B389:$D389,AV$5)="F",AND(AV$6&gt;0,$A389&lt;AV$6),AND(AV$7&gt;0,$A389&gt;AV$7)),0,MAX(0,ROUND((INDEX($E389:$G389,AV$5)-SUMIFS(TF_Timer,TF_Tekniker,AV$4,TF_Dato,$A389))*2,0)/2)))</f>
        <v/>
      </c>
      <c r="AW389">
        <f>IF(OR(AW$4="",$A389&gt;TODAY()),0,IF(OR(INDEX($B389:$D389,AW$5)="F",AND(AW$6&gt;0,$A389&lt;AW$6),AND(AW$7&gt;0,$A389&gt;AW$7)),0,MAX(0,ROUND((INDEX($E389:$G389,AW$5)-SUMIFS(TF_Timer,TF_Tekniker,AW$4,TF_Dato,$A389))*2,0)/2)))</f>
        <v/>
      </c>
      <c r="AX389">
        <f>IF(OR(AX$4="",$A389&gt;TODAY()),0,IF(OR(INDEX($B389:$D389,AX$5)="F",AND(AX$6&gt;0,$A389&lt;AX$6),AND(AX$7&gt;0,$A389&gt;AX$7)),0,MAX(0,ROUND((INDEX($E389:$G389,AX$5)-SUMIFS(TF_Timer,TF_Tekniker,AX$4,TF_Dato,$A389))*2,0)/2)))</f>
        <v/>
      </c>
      <c r="AY389">
        <f>IF(OR(AY$4="",$A389&gt;TODAY()),0,IF(OR(INDEX($B389:$D389,AY$5)="F",AND(AY$6&gt;0,$A389&lt;AY$6),AND(AY$7&gt;0,$A389&gt;AY$7)),0,MAX(0,ROUND((INDEX($E389:$G389,AY$5)-SUMIFS(TF_Timer,TF_Tekniker,AY$4,TF_Dato,$A389))*2,0)/2)))</f>
        <v/>
      </c>
      <c r="AZ389">
        <f>IF(OR(AZ$4="",$A389&gt;TODAY()),0,IF(OR(INDEX($B389:$D389,AZ$5)="F",AND(AZ$6&gt;0,$A389&lt;AZ$6),AND(AZ$7&gt;0,$A389&gt;AZ$7)),0,MAX(0,ROUND((INDEX($E389:$G389,AZ$5)-SUMIFS(TF_Timer,TF_Tekniker,AZ$4,TF_Dato,$A389))*2,0)/2)))</f>
        <v/>
      </c>
      <c r="BA389">
        <f>IF(OR(BA$4="",$A389&gt;TODAY()),0,IF(OR(INDEX($B389:$D389,BA$5)="F",AND(BA$6&gt;0,$A389&lt;BA$6),AND(BA$7&gt;0,$A389&gt;BA$7)),0,MAX(0,ROUND((INDEX($E389:$G389,BA$5)-SUMIFS(TF_Timer,TF_Tekniker,BA$4,TF_Dato,$A389))*2,0)/2)))</f>
        <v/>
      </c>
      <c r="BB389">
        <f>IF(OR(BB$4="",$A389&gt;TODAY()),0,IF(OR(INDEX($B389:$D389,BB$5)="F",AND(BB$6&gt;0,$A389&lt;BB$6),AND(BB$7&gt;0,$A389&gt;BB$7)),0,MAX(0,ROUND((INDEX($E389:$G389,BB$5)-SUMIFS(TF_Timer,TF_Tekniker,BB$4,TF_Dato,$A389))*2,0)/2)))</f>
        <v/>
      </c>
      <c r="BC389">
        <f>IF(OR(BC$4="",$A389&gt;TODAY()),0,IF(OR(INDEX($B389:$D389,BC$5)="F",AND(BC$6&gt;0,$A389&lt;BC$6),AND(BC$7&gt;0,$A389&gt;BC$7)),0,MAX(0,ROUND((INDEX($E389:$G389,BC$5)-SUMIFS(TF_Timer,TF_Tekniker,BC$4,TF_Dato,$A389))*2,0)/2)))</f>
        <v/>
      </c>
      <c r="BD389">
        <f>IF(OR(BD$4="",$A389&gt;TODAY()),0,IF(OR(INDEX($B389:$D389,BD$5)="F",AND(BD$6&gt;0,$A389&lt;BD$6),AND(BD$7&gt;0,$A389&gt;BD$7)),0,MAX(0,ROUND((INDEX($E389:$G389,BD$5)-SUMIFS(TF_Timer,TF_Tekniker,BD$4,TF_Dato,$A389))*2,0)/2)))</f>
        <v/>
      </c>
      <c r="BE389">
        <f>IF(OR(BE$4="",$A389&gt;TODAY()),0,IF(OR(INDEX($B389:$D389,BE$5)="F",AND(BE$6&gt;0,$A389&lt;BE$6),AND(BE$7&gt;0,$A389&gt;BE$7)),0,MAX(0,ROUND((INDEX($E389:$G389,BE$5)-SUMIFS(TF_Timer,TF_Tekniker,BE$4,TF_Dato,$A389))*2,0)/2)))</f>
        <v/>
      </c>
      <c r="BF389">
        <f>IF(OR(BF$4="",$A389&gt;TODAY()),0,IF(OR(INDEX($B389:$D389,BF$5)="F",AND(BF$6&gt;0,$A389&lt;BF$6),AND(BF$7&gt;0,$A389&gt;BF$7)),0,MAX(0,ROUND((INDEX($E389:$G389,BF$5)-SUMIFS(TF_Timer,TF_Tekniker,BF$4,TF_Dato,$A389))*2,0)/2)))</f>
        <v/>
      </c>
      <c r="BG389">
        <f>IF(OR(BG$4="",$A389&gt;TODAY()),0,IF(OR(INDEX($B389:$D389,BG$5)="F",AND(BG$6&gt;0,$A389&lt;BG$6),AND(BG$7&gt;0,$A389&gt;BG$7)),0,MAX(0,ROUND((INDEX($E389:$G389,BG$5)-SUMIFS(TF_Timer,TF_Tekniker,BG$4,TF_Dato,$A389))*2,0)/2)))</f>
        <v/>
      </c>
      <c r="BH389">
        <f>IF(OR(BH$4="",$A389&gt;TODAY()),0,IF(OR(INDEX($B389:$D389,BH$5)="F",AND(BH$6&gt;0,$A389&lt;BH$6),AND(BH$7&gt;0,$A389&gt;BH$7)),0,MAX(0,ROUND((INDEX($E389:$G389,BH$5)-SUMIFS(TF_Timer,TF_Tekniker,BH$4,TF_Dato,$A389))*2,0)/2)))</f>
        <v/>
      </c>
      <c r="BI389">
        <f>IF(OR(BI$4="",$A389&gt;TODAY()),0,IF(OR(INDEX($B389:$D389,BI$5)="F",AND(BI$6&gt;0,$A389&lt;BI$6),AND(BI$7&gt;0,$A389&gt;BI$7)),0,MAX(0,ROUND((INDEX($E389:$G389,BI$5)-SUMIFS(TF_Timer,TF_Tekniker,BI$4,TF_Dato,$A389))*2,0)/2)))</f>
        <v/>
      </c>
    </row>
    <row r="390">
      <c r="A390" s="64">
        <f>A389+1</f>
        <v/>
      </c>
      <c r="B390">
        <f>IF(MOD($A390-INDEX(SkiftStart,1),Syklus)&lt;DagK,"K",IF(MOD($A390-INDEX(SkiftStart,1),Syklus)&lt;DagK+DagH,"H",IF(MOD($A390-INDEX(SkiftStart,1),Syklus)&lt;DagK+DagH+DagD,"D","F")))</f>
        <v/>
      </c>
      <c r="C390">
        <f>IF(MOD($A390-INDEX(SkiftStart,2),Syklus)&lt;DagK,"K",IF(MOD($A390-INDEX(SkiftStart,2),Syklus)&lt;DagK+DagH,"H",IF(MOD($A390-INDEX(SkiftStart,2),Syklus)&lt;DagK+DagH+DagD,"D","F")))</f>
        <v/>
      </c>
      <c r="D390">
        <f>IF(MOD($A390-INDEX(SkiftStart,3),Syklus)&lt;DagK,"K",IF(MOD($A390-INDEX(SkiftStart,3),Syklus)&lt;DagK+DagH,"H",IF(MOD($A390-INDEX(SkiftStart,3),Syklus)&lt;DagK+DagH+DagD,"D","F")))</f>
        <v/>
      </c>
      <c r="E390">
        <f>IF(B390="F",0,IF(WEEKDAY($A390,2)=5,INDEX(TimerFr,MATCH(B390,FaseKode,0)),INDEX(TimerMT,MATCH(B390,FaseKode,0))))</f>
        <v/>
      </c>
      <c r="F390">
        <f>IF(C390="F",0,IF(WEEKDAY($A390,2)=5,INDEX(TimerFr,MATCH(C390,FaseKode,0)),INDEX(TimerMT,MATCH(C390,FaseKode,0))))</f>
        <v/>
      </c>
      <c r="G390">
        <f>IF(D390="F",0,IF(WEEKDAY($A390,2)=5,INDEX(TimerFr,MATCH(D390,FaseKode,0)),INDEX(TimerMT,MATCH(D390,FaseKode,0))))</f>
        <v/>
      </c>
      <c r="H390">
        <f>IF(OR(H$4="",$A390&gt;TODAY()),0,IF(OR(INDEX($B390:$D390,H$5)="F",AND(H$6&gt;0,$A390&lt;H$6),AND(H$7&gt;0,$A390&gt;H$7)),0,MAX(0,ROUND((INDEX($E390:$G390,H$5)-SUMIFS(TF_Timer,TF_Tekniker,H$4,TF_Dato,$A390))*2,0)/2)))</f>
        <v/>
      </c>
      <c r="I390">
        <f>IF(OR(I$4="",$A390&gt;TODAY()),0,IF(OR(INDEX($B390:$D390,I$5)="F",AND(I$6&gt;0,$A390&lt;I$6),AND(I$7&gt;0,$A390&gt;I$7)),0,MAX(0,ROUND((INDEX($E390:$G390,I$5)-SUMIFS(TF_Timer,TF_Tekniker,I$4,TF_Dato,$A390))*2,0)/2)))</f>
        <v/>
      </c>
      <c r="J390">
        <f>IF(OR(J$4="",$A390&gt;TODAY()),0,IF(OR(INDEX($B390:$D390,J$5)="F",AND(J$6&gt;0,$A390&lt;J$6),AND(J$7&gt;0,$A390&gt;J$7)),0,MAX(0,ROUND((INDEX($E390:$G390,J$5)-SUMIFS(TF_Timer,TF_Tekniker,J$4,TF_Dato,$A390))*2,0)/2)))</f>
        <v/>
      </c>
      <c r="K390">
        <f>IF(OR(K$4="",$A390&gt;TODAY()),0,IF(OR(INDEX($B390:$D390,K$5)="F",AND(K$6&gt;0,$A390&lt;K$6),AND(K$7&gt;0,$A390&gt;K$7)),0,MAX(0,ROUND((INDEX($E390:$G390,K$5)-SUMIFS(TF_Timer,TF_Tekniker,K$4,TF_Dato,$A390))*2,0)/2)))</f>
        <v/>
      </c>
      <c r="L390">
        <f>IF(OR(L$4="",$A390&gt;TODAY()),0,IF(OR(INDEX($B390:$D390,L$5)="F",AND(L$6&gt;0,$A390&lt;L$6),AND(L$7&gt;0,$A390&gt;L$7)),0,MAX(0,ROUND((INDEX($E390:$G390,L$5)-SUMIFS(TF_Timer,TF_Tekniker,L$4,TF_Dato,$A390))*2,0)/2)))</f>
        <v/>
      </c>
      <c r="M390">
        <f>IF(OR(M$4="",$A390&gt;TODAY()),0,IF(OR(INDEX($B390:$D390,M$5)="F",AND(M$6&gt;0,$A390&lt;M$6),AND(M$7&gt;0,$A390&gt;M$7)),0,MAX(0,ROUND((INDEX($E390:$G390,M$5)-SUMIFS(TF_Timer,TF_Tekniker,M$4,TF_Dato,$A390))*2,0)/2)))</f>
        <v/>
      </c>
      <c r="N390">
        <f>IF(OR(N$4="",$A390&gt;TODAY()),0,IF(OR(INDEX($B390:$D390,N$5)="F",AND(N$6&gt;0,$A390&lt;N$6),AND(N$7&gt;0,$A390&gt;N$7)),0,MAX(0,ROUND((INDEX($E390:$G390,N$5)-SUMIFS(TF_Timer,TF_Tekniker,N$4,TF_Dato,$A390))*2,0)/2)))</f>
        <v/>
      </c>
      <c r="O390">
        <f>IF(OR(O$4="",$A390&gt;TODAY()),0,IF(OR(INDEX($B390:$D390,O$5)="F",AND(O$6&gt;0,$A390&lt;O$6),AND(O$7&gt;0,$A390&gt;O$7)),0,MAX(0,ROUND((INDEX($E390:$G390,O$5)-SUMIFS(TF_Timer,TF_Tekniker,O$4,TF_Dato,$A390))*2,0)/2)))</f>
        <v/>
      </c>
      <c r="P390">
        <f>IF(OR(P$4="",$A390&gt;TODAY()),0,IF(OR(INDEX($B390:$D390,P$5)="F",AND(P$6&gt;0,$A390&lt;P$6),AND(P$7&gt;0,$A390&gt;P$7)),0,MAX(0,ROUND((INDEX($E390:$G390,P$5)-SUMIFS(TF_Timer,TF_Tekniker,P$4,TF_Dato,$A390))*2,0)/2)))</f>
        <v/>
      </c>
      <c r="Q390">
        <f>IF(OR(Q$4="",$A390&gt;TODAY()),0,IF(OR(INDEX($B390:$D390,Q$5)="F",AND(Q$6&gt;0,$A390&lt;Q$6),AND(Q$7&gt;0,$A390&gt;Q$7)),0,MAX(0,ROUND((INDEX($E390:$G390,Q$5)-SUMIFS(TF_Timer,TF_Tekniker,Q$4,TF_Dato,$A390))*2,0)/2)))</f>
        <v/>
      </c>
      <c r="R390">
        <f>IF(OR(R$4="",$A390&gt;TODAY()),0,IF(OR(INDEX($B390:$D390,R$5)="F",AND(R$6&gt;0,$A390&lt;R$6),AND(R$7&gt;0,$A390&gt;R$7)),0,MAX(0,ROUND((INDEX($E390:$G390,R$5)-SUMIFS(TF_Timer,TF_Tekniker,R$4,TF_Dato,$A390))*2,0)/2)))</f>
        <v/>
      </c>
      <c r="S390">
        <f>IF(OR(S$4="",$A390&gt;TODAY()),0,IF(OR(INDEX($B390:$D390,S$5)="F",AND(S$6&gt;0,$A390&lt;S$6),AND(S$7&gt;0,$A390&gt;S$7)),0,MAX(0,ROUND((INDEX($E390:$G390,S$5)-SUMIFS(TF_Timer,TF_Tekniker,S$4,TF_Dato,$A390))*2,0)/2)))</f>
        <v/>
      </c>
      <c r="T390">
        <f>IF(OR(T$4="",$A390&gt;TODAY()),0,IF(OR(INDEX($B390:$D390,T$5)="F",AND(T$6&gt;0,$A390&lt;T$6),AND(T$7&gt;0,$A390&gt;T$7)),0,MAX(0,ROUND((INDEX($E390:$G390,T$5)-SUMIFS(TF_Timer,TF_Tekniker,T$4,TF_Dato,$A390))*2,0)/2)))</f>
        <v/>
      </c>
      <c r="U390">
        <f>IF(OR(U$4="",$A390&gt;TODAY()),0,IF(OR(INDEX($B390:$D390,U$5)="F",AND(U$6&gt;0,$A390&lt;U$6),AND(U$7&gt;0,$A390&gt;U$7)),0,MAX(0,ROUND((INDEX($E390:$G390,U$5)-SUMIFS(TF_Timer,TF_Tekniker,U$4,TF_Dato,$A390))*2,0)/2)))</f>
        <v/>
      </c>
      <c r="V390">
        <f>IF(OR(V$4="",$A390&gt;TODAY()),0,IF(OR(INDEX($B390:$D390,V$5)="F",AND(V$6&gt;0,$A390&lt;V$6),AND(V$7&gt;0,$A390&gt;V$7)),0,MAX(0,ROUND((INDEX($E390:$G390,V$5)-SUMIFS(TF_Timer,TF_Tekniker,V$4,TF_Dato,$A390))*2,0)/2)))</f>
        <v/>
      </c>
      <c r="W390">
        <f>IF(OR(W$4="",$A390&gt;TODAY()),0,IF(OR(INDEX($B390:$D390,W$5)="F",AND(W$6&gt;0,$A390&lt;W$6),AND(W$7&gt;0,$A390&gt;W$7)),0,MAX(0,ROUND((INDEX($E390:$G390,W$5)-SUMIFS(TF_Timer,TF_Tekniker,W$4,TF_Dato,$A390))*2,0)/2)))</f>
        <v/>
      </c>
      <c r="X390">
        <f>IF(OR(X$4="",$A390&gt;TODAY()),0,IF(OR(INDEX($B390:$D390,X$5)="F",AND(X$6&gt;0,$A390&lt;X$6),AND(X$7&gt;0,$A390&gt;X$7)),0,MAX(0,ROUND((INDEX($E390:$G390,X$5)-SUMIFS(TF_Timer,TF_Tekniker,X$4,TF_Dato,$A390))*2,0)/2)))</f>
        <v/>
      </c>
      <c r="Y390">
        <f>IF(OR(Y$4="",$A390&gt;TODAY()),0,IF(OR(INDEX($B390:$D390,Y$5)="F",AND(Y$6&gt;0,$A390&lt;Y$6),AND(Y$7&gt;0,$A390&gt;Y$7)),0,MAX(0,ROUND((INDEX($E390:$G390,Y$5)-SUMIFS(TF_Timer,TF_Tekniker,Y$4,TF_Dato,$A390))*2,0)/2)))</f>
        <v/>
      </c>
      <c r="Z390">
        <f>IF(OR(Z$4="",$A390&gt;TODAY()),0,IF(OR(INDEX($B390:$D390,Z$5)="F",AND(Z$6&gt;0,$A390&lt;Z$6),AND(Z$7&gt;0,$A390&gt;Z$7)),0,MAX(0,ROUND((INDEX($E390:$G390,Z$5)-SUMIFS(TF_Timer,TF_Tekniker,Z$4,TF_Dato,$A390))*2,0)/2)))</f>
        <v/>
      </c>
      <c r="AA390">
        <f>IF(OR(AA$4="",$A390&gt;TODAY()),0,IF(OR(INDEX($B390:$D390,AA$5)="F",AND(AA$6&gt;0,$A390&lt;AA$6),AND(AA$7&gt;0,$A390&gt;AA$7)),0,MAX(0,ROUND((INDEX($E390:$G390,AA$5)-SUMIFS(TF_Timer,TF_Tekniker,AA$4,TF_Dato,$A390))*2,0)/2)))</f>
        <v/>
      </c>
      <c r="AB390">
        <f>IF(OR(AB$4="",$A390&gt;TODAY()),0,IF(OR(INDEX($B390:$D390,AB$5)="F",AND(AB$6&gt;0,$A390&lt;AB$6),AND(AB$7&gt;0,$A390&gt;AB$7)),0,MAX(0,ROUND((INDEX($E390:$G390,AB$5)-SUMIFS(TF_Timer,TF_Tekniker,AB$4,TF_Dato,$A390))*2,0)/2)))</f>
        <v/>
      </c>
      <c r="AC390">
        <f>IF(OR(AC$4="",$A390&gt;TODAY()),0,IF(OR(INDEX($B390:$D390,AC$5)="F",AND(AC$6&gt;0,$A390&lt;AC$6),AND(AC$7&gt;0,$A390&gt;AC$7)),0,MAX(0,ROUND((INDEX($E390:$G390,AC$5)-SUMIFS(TF_Timer,TF_Tekniker,AC$4,TF_Dato,$A390))*2,0)/2)))</f>
        <v/>
      </c>
      <c r="AD390">
        <f>IF(OR(AD$4="",$A390&gt;TODAY()),0,IF(OR(INDEX($B390:$D390,AD$5)="F",AND(AD$6&gt;0,$A390&lt;AD$6),AND(AD$7&gt;0,$A390&gt;AD$7)),0,MAX(0,ROUND((INDEX($E390:$G390,AD$5)-SUMIFS(TF_Timer,TF_Tekniker,AD$4,TF_Dato,$A390))*2,0)/2)))</f>
        <v/>
      </c>
      <c r="AE390">
        <f>IF(OR(AE$4="",$A390&gt;TODAY()),0,IF(OR(INDEX($B390:$D390,AE$5)="F",AND(AE$6&gt;0,$A390&lt;AE$6),AND(AE$7&gt;0,$A390&gt;AE$7)),0,MAX(0,ROUND((INDEX($E390:$G390,AE$5)-SUMIFS(TF_Timer,TF_Tekniker,AE$4,TF_Dato,$A390))*2,0)/2)))</f>
        <v/>
      </c>
      <c r="AF390">
        <f>IF(OR(AF$4="",$A390&gt;TODAY()),0,IF(OR(INDEX($B390:$D390,AF$5)="F",AND(AF$6&gt;0,$A390&lt;AF$6),AND(AF$7&gt;0,$A390&gt;AF$7)),0,MAX(0,ROUND((INDEX($E390:$G390,AF$5)-SUMIFS(TF_Timer,TF_Tekniker,AF$4,TF_Dato,$A390))*2,0)/2)))</f>
        <v/>
      </c>
      <c r="AG390">
        <f>IF(OR(AG$4="",$A390&gt;TODAY()),0,IF(OR(INDEX($B390:$D390,AG$5)="F",AND(AG$6&gt;0,$A390&lt;AG$6),AND(AG$7&gt;0,$A390&gt;AG$7)),0,MAX(0,ROUND((INDEX($E390:$G390,AG$5)-SUMIFS(TF_Timer,TF_Tekniker,AG$4,TF_Dato,$A390))*2,0)/2)))</f>
        <v/>
      </c>
      <c r="AH390">
        <f>IF(OR(AH$4="",$A390&gt;TODAY()),0,IF(OR(INDEX($B390:$D390,AH$5)="F",AND(AH$6&gt;0,$A390&lt;AH$6),AND(AH$7&gt;0,$A390&gt;AH$7)),0,MAX(0,ROUND((INDEX($E390:$G390,AH$5)-SUMIFS(TF_Timer,TF_Tekniker,AH$4,TF_Dato,$A390))*2,0)/2)))</f>
        <v/>
      </c>
      <c r="AI390">
        <f>IF(OR(AI$4="",$A390&gt;TODAY()),0,IF(OR(INDEX($B390:$D390,AI$5)="F",AND(AI$6&gt;0,$A390&lt;AI$6),AND(AI$7&gt;0,$A390&gt;AI$7)),0,MAX(0,ROUND((INDEX($E390:$G390,AI$5)-SUMIFS(TF_Timer,TF_Tekniker,AI$4,TF_Dato,$A390))*2,0)/2)))</f>
        <v/>
      </c>
      <c r="AJ390">
        <f>IF(OR(AJ$4="",$A390&gt;TODAY()),0,IF(OR(INDEX($B390:$D390,AJ$5)="F",AND(AJ$6&gt;0,$A390&lt;AJ$6),AND(AJ$7&gt;0,$A390&gt;AJ$7)),0,MAX(0,ROUND((INDEX($E390:$G390,AJ$5)-SUMIFS(TF_Timer,TF_Tekniker,AJ$4,TF_Dato,$A390))*2,0)/2)))</f>
        <v/>
      </c>
      <c r="AK390">
        <f>IF(OR(AK$4="",$A390&gt;TODAY()),0,IF(OR(INDEX($B390:$D390,AK$5)="F",AND(AK$6&gt;0,$A390&lt;AK$6),AND(AK$7&gt;0,$A390&gt;AK$7)),0,MAX(0,ROUND((INDEX($E390:$G390,AK$5)-SUMIFS(TF_Timer,TF_Tekniker,AK$4,TF_Dato,$A390))*2,0)/2)))</f>
        <v/>
      </c>
      <c r="AL390">
        <f>IF(OR(AL$4="",$A390&gt;TODAY()),0,IF(OR(INDEX($B390:$D390,AL$5)="F",AND(AL$6&gt;0,$A390&lt;AL$6),AND(AL$7&gt;0,$A390&gt;AL$7)),0,MAX(0,ROUND((INDEX($E390:$G390,AL$5)-SUMIFS(TF_Timer,TF_Tekniker,AL$4,TF_Dato,$A390))*2,0)/2)))</f>
        <v/>
      </c>
      <c r="AM390">
        <f>IF(OR(AM$4="",$A390&gt;TODAY()),0,IF(OR(INDEX($B390:$D390,AM$5)="F",AND(AM$6&gt;0,$A390&lt;AM$6),AND(AM$7&gt;0,$A390&gt;AM$7)),0,MAX(0,ROUND((INDEX($E390:$G390,AM$5)-SUMIFS(TF_Timer,TF_Tekniker,AM$4,TF_Dato,$A390))*2,0)/2)))</f>
        <v/>
      </c>
      <c r="AN390">
        <f>IF(OR(AN$4="",$A390&gt;TODAY()),0,IF(OR(INDEX($B390:$D390,AN$5)="F",AND(AN$6&gt;0,$A390&lt;AN$6),AND(AN$7&gt;0,$A390&gt;AN$7)),0,MAX(0,ROUND((INDEX($E390:$G390,AN$5)-SUMIFS(TF_Timer,TF_Tekniker,AN$4,TF_Dato,$A390))*2,0)/2)))</f>
        <v/>
      </c>
      <c r="AO390">
        <f>IF(OR(AO$4="",$A390&gt;TODAY()),0,IF(OR(INDEX($B390:$D390,AO$5)="F",AND(AO$6&gt;0,$A390&lt;AO$6),AND(AO$7&gt;0,$A390&gt;AO$7)),0,MAX(0,ROUND((INDEX($E390:$G390,AO$5)-SUMIFS(TF_Timer,TF_Tekniker,AO$4,TF_Dato,$A390))*2,0)/2)))</f>
        <v/>
      </c>
      <c r="AP390">
        <f>IF(OR(AP$4="",$A390&gt;TODAY()),0,IF(OR(INDEX($B390:$D390,AP$5)="F",AND(AP$6&gt;0,$A390&lt;AP$6),AND(AP$7&gt;0,$A390&gt;AP$7)),0,MAX(0,ROUND((INDEX($E390:$G390,AP$5)-SUMIFS(TF_Timer,TF_Tekniker,AP$4,TF_Dato,$A390))*2,0)/2)))</f>
        <v/>
      </c>
      <c r="AQ390">
        <f>IF(OR(AQ$4="",$A390&gt;TODAY()),0,IF(OR(INDEX($B390:$D390,AQ$5)="F",AND(AQ$6&gt;0,$A390&lt;AQ$6),AND(AQ$7&gt;0,$A390&gt;AQ$7)),0,MAX(0,ROUND((INDEX($E390:$G390,AQ$5)-SUMIFS(TF_Timer,TF_Tekniker,AQ$4,TF_Dato,$A390))*2,0)/2)))</f>
        <v/>
      </c>
      <c r="AR390">
        <f>IF(OR(AR$4="",$A390&gt;TODAY()),0,IF(OR(INDEX($B390:$D390,AR$5)="F",AND(AR$6&gt;0,$A390&lt;AR$6),AND(AR$7&gt;0,$A390&gt;AR$7)),0,MAX(0,ROUND((INDEX($E390:$G390,AR$5)-SUMIFS(TF_Timer,TF_Tekniker,AR$4,TF_Dato,$A390))*2,0)/2)))</f>
        <v/>
      </c>
      <c r="AS390">
        <f>IF(OR(AS$4="",$A390&gt;TODAY()),0,IF(OR(INDEX($B390:$D390,AS$5)="F",AND(AS$6&gt;0,$A390&lt;AS$6),AND(AS$7&gt;0,$A390&gt;AS$7)),0,MAX(0,ROUND((INDEX($E390:$G390,AS$5)-SUMIFS(TF_Timer,TF_Tekniker,AS$4,TF_Dato,$A390))*2,0)/2)))</f>
        <v/>
      </c>
      <c r="AT390">
        <f>IF(OR(AT$4="",$A390&gt;TODAY()),0,IF(OR(INDEX($B390:$D390,AT$5)="F",AND(AT$6&gt;0,$A390&lt;AT$6),AND(AT$7&gt;0,$A390&gt;AT$7)),0,MAX(0,ROUND((INDEX($E390:$G390,AT$5)-SUMIFS(TF_Timer,TF_Tekniker,AT$4,TF_Dato,$A390))*2,0)/2)))</f>
        <v/>
      </c>
      <c r="AU390">
        <f>IF(OR(AU$4="",$A390&gt;TODAY()),0,IF(OR(INDEX($B390:$D390,AU$5)="F",AND(AU$6&gt;0,$A390&lt;AU$6),AND(AU$7&gt;0,$A390&gt;AU$7)),0,MAX(0,ROUND((INDEX($E390:$G390,AU$5)-SUMIFS(TF_Timer,TF_Tekniker,AU$4,TF_Dato,$A390))*2,0)/2)))</f>
        <v/>
      </c>
      <c r="AV390">
        <f>IF(OR(AV$4="",$A390&gt;TODAY()),0,IF(OR(INDEX($B390:$D390,AV$5)="F",AND(AV$6&gt;0,$A390&lt;AV$6),AND(AV$7&gt;0,$A390&gt;AV$7)),0,MAX(0,ROUND((INDEX($E390:$G390,AV$5)-SUMIFS(TF_Timer,TF_Tekniker,AV$4,TF_Dato,$A390))*2,0)/2)))</f>
        <v/>
      </c>
      <c r="AW390">
        <f>IF(OR(AW$4="",$A390&gt;TODAY()),0,IF(OR(INDEX($B390:$D390,AW$5)="F",AND(AW$6&gt;0,$A390&lt;AW$6),AND(AW$7&gt;0,$A390&gt;AW$7)),0,MAX(0,ROUND((INDEX($E390:$G390,AW$5)-SUMIFS(TF_Timer,TF_Tekniker,AW$4,TF_Dato,$A390))*2,0)/2)))</f>
        <v/>
      </c>
      <c r="AX390">
        <f>IF(OR(AX$4="",$A390&gt;TODAY()),0,IF(OR(INDEX($B390:$D390,AX$5)="F",AND(AX$6&gt;0,$A390&lt;AX$6),AND(AX$7&gt;0,$A390&gt;AX$7)),0,MAX(0,ROUND((INDEX($E390:$G390,AX$5)-SUMIFS(TF_Timer,TF_Tekniker,AX$4,TF_Dato,$A390))*2,0)/2)))</f>
        <v/>
      </c>
      <c r="AY390">
        <f>IF(OR(AY$4="",$A390&gt;TODAY()),0,IF(OR(INDEX($B390:$D390,AY$5)="F",AND(AY$6&gt;0,$A390&lt;AY$6),AND(AY$7&gt;0,$A390&gt;AY$7)),0,MAX(0,ROUND((INDEX($E390:$G390,AY$5)-SUMIFS(TF_Timer,TF_Tekniker,AY$4,TF_Dato,$A390))*2,0)/2)))</f>
        <v/>
      </c>
      <c r="AZ390">
        <f>IF(OR(AZ$4="",$A390&gt;TODAY()),0,IF(OR(INDEX($B390:$D390,AZ$5)="F",AND(AZ$6&gt;0,$A390&lt;AZ$6),AND(AZ$7&gt;0,$A390&gt;AZ$7)),0,MAX(0,ROUND((INDEX($E390:$G390,AZ$5)-SUMIFS(TF_Timer,TF_Tekniker,AZ$4,TF_Dato,$A390))*2,0)/2)))</f>
        <v/>
      </c>
      <c r="BA390">
        <f>IF(OR(BA$4="",$A390&gt;TODAY()),0,IF(OR(INDEX($B390:$D390,BA$5)="F",AND(BA$6&gt;0,$A390&lt;BA$6),AND(BA$7&gt;0,$A390&gt;BA$7)),0,MAX(0,ROUND((INDEX($E390:$G390,BA$5)-SUMIFS(TF_Timer,TF_Tekniker,BA$4,TF_Dato,$A390))*2,0)/2)))</f>
        <v/>
      </c>
      <c r="BB390">
        <f>IF(OR(BB$4="",$A390&gt;TODAY()),0,IF(OR(INDEX($B390:$D390,BB$5)="F",AND(BB$6&gt;0,$A390&lt;BB$6),AND(BB$7&gt;0,$A390&gt;BB$7)),0,MAX(0,ROUND((INDEX($E390:$G390,BB$5)-SUMIFS(TF_Timer,TF_Tekniker,BB$4,TF_Dato,$A390))*2,0)/2)))</f>
        <v/>
      </c>
      <c r="BC390">
        <f>IF(OR(BC$4="",$A390&gt;TODAY()),0,IF(OR(INDEX($B390:$D390,BC$5)="F",AND(BC$6&gt;0,$A390&lt;BC$6),AND(BC$7&gt;0,$A390&gt;BC$7)),0,MAX(0,ROUND((INDEX($E390:$G390,BC$5)-SUMIFS(TF_Timer,TF_Tekniker,BC$4,TF_Dato,$A390))*2,0)/2)))</f>
        <v/>
      </c>
      <c r="BD390">
        <f>IF(OR(BD$4="",$A390&gt;TODAY()),0,IF(OR(INDEX($B390:$D390,BD$5)="F",AND(BD$6&gt;0,$A390&lt;BD$6),AND(BD$7&gt;0,$A390&gt;BD$7)),0,MAX(0,ROUND((INDEX($E390:$G390,BD$5)-SUMIFS(TF_Timer,TF_Tekniker,BD$4,TF_Dato,$A390))*2,0)/2)))</f>
        <v/>
      </c>
      <c r="BE390">
        <f>IF(OR(BE$4="",$A390&gt;TODAY()),0,IF(OR(INDEX($B390:$D390,BE$5)="F",AND(BE$6&gt;0,$A390&lt;BE$6),AND(BE$7&gt;0,$A390&gt;BE$7)),0,MAX(0,ROUND((INDEX($E390:$G390,BE$5)-SUMIFS(TF_Timer,TF_Tekniker,BE$4,TF_Dato,$A390))*2,0)/2)))</f>
        <v/>
      </c>
      <c r="BF390">
        <f>IF(OR(BF$4="",$A390&gt;TODAY()),0,IF(OR(INDEX($B390:$D390,BF$5)="F",AND(BF$6&gt;0,$A390&lt;BF$6),AND(BF$7&gt;0,$A390&gt;BF$7)),0,MAX(0,ROUND((INDEX($E390:$G390,BF$5)-SUMIFS(TF_Timer,TF_Tekniker,BF$4,TF_Dato,$A390))*2,0)/2)))</f>
        <v/>
      </c>
      <c r="BG390">
        <f>IF(OR(BG$4="",$A390&gt;TODAY()),0,IF(OR(INDEX($B390:$D390,BG$5)="F",AND(BG$6&gt;0,$A390&lt;BG$6),AND(BG$7&gt;0,$A390&gt;BG$7)),0,MAX(0,ROUND((INDEX($E390:$G390,BG$5)-SUMIFS(TF_Timer,TF_Tekniker,BG$4,TF_Dato,$A390))*2,0)/2)))</f>
        <v/>
      </c>
      <c r="BH390">
        <f>IF(OR(BH$4="",$A390&gt;TODAY()),0,IF(OR(INDEX($B390:$D390,BH$5)="F",AND(BH$6&gt;0,$A390&lt;BH$6),AND(BH$7&gt;0,$A390&gt;BH$7)),0,MAX(0,ROUND((INDEX($E390:$G390,BH$5)-SUMIFS(TF_Timer,TF_Tekniker,BH$4,TF_Dato,$A390))*2,0)/2)))</f>
        <v/>
      </c>
      <c r="BI390">
        <f>IF(OR(BI$4="",$A390&gt;TODAY()),0,IF(OR(INDEX($B390:$D390,BI$5)="F",AND(BI$6&gt;0,$A390&lt;BI$6),AND(BI$7&gt;0,$A390&gt;BI$7)),0,MAX(0,ROUND((INDEX($E390:$G390,BI$5)-SUMIFS(TF_Timer,TF_Tekniker,BI$4,TF_Dato,$A390))*2,0)/2)))</f>
        <v/>
      </c>
    </row>
    <row r="391">
      <c r="A391" s="64">
        <f>A390+1</f>
        <v/>
      </c>
      <c r="B391">
        <f>IF(MOD($A391-INDEX(SkiftStart,1),Syklus)&lt;DagK,"K",IF(MOD($A391-INDEX(SkiftStart,1),Syklus)&lt;DagK+DagH,"H",IF(MOD($A391-INDEX(SkiftStart,1),Syklus)&lt;DagK+DagH+DagD,"D","F")))</f>
        <v/>
      </c>
      <c r="C391">
        <f>IF(MOD($A391-INDEX(SkiftStart,2),Syklus)&lt;DagK,"K",IF(MOD($A391-INDEX(SkiftStart,2),Syklus)&lt;DagK+DagH,"H",IF(MOD($A391-INDEX(SkiftStart,2),Syklus)&lt;DagK+DagH+DagD,"D","F")))</f>
        <v/>
      </c>
      <c r="D391">
        <f>IF(MOD($A391-INDEX(SkiftStart,3),Syklus)&lt;DagK,"K",IF(MOD($A391-INDEX(SkiftStart,3),Syklus)&lt;DagK+DagH,"H",IF(MOD($A391-INDEX(SkiftStart,3),Syklus)&lt;DagK+DagH+DagD,"D","F")))</f>
        <v/>
      </c>
      <c r="E391">
        <f>IF(B391="F",0,IF(WEEKDAY($A391,2)=5,INDEX(TimerFr,MATCH(B391,FaseKode,0)),INDEX(TimerMT,MATCH(B391,FaseKode,0))))</f>
        <v/>
      </c>
      <c r="F391">
        <f>IF(C391="F",0,IF(WEEKDAY($A391,2)=5,INDEX(TimerFr,MATCH(C391,FaseKode,0)),INDEX(TimerMT,MATCH(C391,FaseKode,0))))</f>
        <v/>
      </c>
      <c r="G391">
        <f>IF(D391="F",0,IF(WEEKDAY($A391,2)=5,INDEX(TimerFr,MATCH(D391,FaseKode,0)),INDEX(TimerMT,MATCH(D391,FaseKode,0))))</f>
        <v/>
      </c>
      <c r="H391">
        <f>IF(OR(H$4="",$A391&gt;TODAY()),0,IF(OR(INDEX($B391:$D391,H$5)="F",AND(H$6&gt;0,$A391&lt;H$6),AND(H$7&gt;0,$A391&gt;H$7)),0,MAX(0,ROUND((INDEX($E391:$G391,H$5)-SUMIFS(TF_Timer,TF_Tekniker,H$4,TF_Dato,$A391))*2,0)/2)))</f>
        <v/>
      </c>
      <c r="I391">
        <f>IF(OR(I$4="",$A391&gt;TODAY()),0,IF(OR(INDEX($B391:$D391,I$5)="F",AND(I$6&gt;0,$A391&lt;I$6),AND(I$7&gt;0,$A391&gt;I$7)),0,MAX(0,ROUND((INDEX($E391:$G391,I$5)-SUMIFS(TF_Timer,TF_Tekniker,I$4,TF_Dato,$A391))*2,0)/2)))</f>
        <v/>
      </c>
      <c r="J391">
        <f>IF(OR(J$4="",$A391&gt;TODAY()),0,IF(OR(INDEX($B391:$D391,J$5)="F",AND(J$6&gt;0,$A391&lt;J$6),AND(J$7&gt;0,$A391&gt;J$7)),0,MAX(0,ROUND((INDEX($E391:$G391,J$5)-SUMIFS(TF_Timer,TF_Tekniker,J$4,TF_Dato,$A391))*2,0)/2)))</f>
        <v/>
      </c>
      <c r="K391">
        <f>IF(OR(K$4="",$A391&gt;TODAY()),0,IF(OR(INDEX($B391:$D391,K$5)="F",AND(K$6&gt;0,$A391&lt;K$6),AND(K$7&gt;0,$A391&gt;K$7)),0,MAX(0,ROUND((INDEX($E391:$G391,K$5)-SUMIFS(TF_Timer,TF_Tekniker,K$4,TF_Dato,$A391))*2,0)/2)))</f>
        <v/>
      </c>
      <c r="L391">
        <f>IF(OR(L$4="",$A391&gt;TODAY()),0,IF(OR(INDEX($B391:$D391,L$5)="F",AND(L$6&gt;0,$A391&lt;L$6),AND(L$7&gt;0,$A391&gt;L$7)),0,MAX(0,ROUND((INDEX($E391:$G391,L$5)-SUMIFS(TF_Timer,TF_Tekniker,L$4,TF_Dato,$A391))*2,0)/2)))</f>
        <v/>
      </c>
      <c r="M391">
        <f>IF(OR(M$4="",$A391&gt;TODAY()),0,IF(OR(INDEX($B391:$D391,M$5)="F",AND(M$6&gt;0,$A391&lt;M$6),AND(M$7&gt;0,$A391&gt;M$7)),0,MAX(0,ROUND((INDEX($E391:$G391,M$5)-SUMIFS(TF_Timer,TF_Tekniker,M$4,TF_Dato,$A391))*2,0)/2)))</f>
        <v/>
      </c>
      <c r="N391">
        <f>IF(OR(N$4="",$A391&gt;TODAY()),0,IF(OR(INDEX($B391:$D391,N$5)="F",AND(N$6&gt;0,$A391&lt;N$6),AND(N$7&gt;0,$A391&gt;N$7)),0,MAX(0,ROUND((INDEX($E391:$G391,N$5)-SUMIFS(TF_Timer,TF_Tekniker,N$4,TF_Dato,$A391))*2,0)/2)))</f>
        <v/>
      </c>
      <c r="O391">
        <f>IF(OR(O$4="",$A391&gt;TODAY()),0,IF(OR(INDEX($B391:$D391,O$5)="F",AND(O$6&gt;0,$A391&lt;O$6),AND(O$7&gt;0,$A391&gt;O$7)),0,MAX(0,ROUND((INDEX($E391:$G391,O$5)-SUMIFS(TF_Timer,TF_Tekniker,O$4,TF_Dato,$A391))*2,0)/2)))</f>
        <v/>
      </c>
      <c r="P391">
        <f>IF(OR(P$4="",$A391&gt;TODAY()),0,IF(OR(INDEX($B391:$D391,P$5)="F",AND(P$6&gt;0,$A391&lt;P$6),AND(P$7&gt;0,$A391&gt;P$7)),0,MAX(0,ROUND((INDEX($E391:$G391,P$5)-SUMIFS(TF_Timer,TF_Tekniker,P$4,TF_Dato,$A391))*2,0)/2)))</f>
        <v/>
      </c>
      <c r="Q391">
        <f>IF(OR(Q$4="",$A391&gt;TODAY()),0,IF(OR(INDEX($B391:$D391,Q$5)="F",AND(Q$6&gt;0,$A391&lt;Q$6),AND(Q$7&gt;0,$A391&gt;Q$7)),0,MAX(0,ROUND((INDEX($E391:$G391,Q$5)-SUMIFS(TF_Timer,TF_Tekniker,Q$4,TF_Dato,$A391))*2,0)/2)))</f>
        <v/>
      </c>
      <c r="R391">
        <f>IF(OR(R$4="",$A391&gt;TODAY()),0,IF(OR(INDEX($B391:$D391,R$5)="F",AND(R$6&gt;0,$A391&lt;R$6),AND(R$7&gt;0,$A391&gt;R$7)),0,MAX(0,ROUND((INDEX($E391:$G391,R$5)-SUMIFS(TF_Timer,TF_Tekniker,R$4,TF_Dato,$A391))*2,0)/2)))</f>
        <v/>
      </c>
      <c r="S391">
        <f>IF(OR(S$4="",$A391&gt;TODAY()),0,IF(OR(INDEX($B391:$D391,S$5)="F",AND(S$6&gt;0,$A391&lt;S$6),AND(S$7&gt;0,$A391&gt;S$7)),0,MAX(0,ROUND((INDEX($E391:$G391,S$5)-SUMIFS(TF_Timer,TF_Tekniker,S$4,TF_Dato,$A391))*2,0)/2)))</f>
        <v/>
      </c>
      <c r="T391">
        <f>IF(OR(T$4="",$A391&gt;TODAY()),0,IF(OR(INDEX($B391:$D391,T$5)="F",AND(T$6&gt;0,$A391&lt;T$6),AND(T$7&gt;0,$A391&gt;T$7)),0,MAX(0,ROUND((INDEX($E391:$G391,T$5)-SUMIFS(TF_Timer,TF_Tekniker,T$4,TF_Dato,$A391))*2,0)/2)))</f>
        <v/>
      </c>
      <c r="U391">
        <f>IF(OR(U$4="",$A391&gt;TODAY()),0,IF(OR(INDEX($B391:$D391,U$5)="F",AND(U$6&gt;0,$A391&lt;U$6),AND(U$7&gt;0,$A391&gt;U$7)),0,MAX(0,ROUND((INDEX($E391:$G391,U$5)-SUMIFS(TF_Timer,TF_Tekniker,U$4,TF_Dato,$A391))*2,0)/2)))</f>
        <v/>
      </c>
      <c r="V391">
        <f>IF(OR(V$4="",$A391&gt;TODAY()),0,IF(OR(INDEX($B391:$D391,V$5)="F",AND(V$6&gt;0,$A391&lt;V$6),AND(V$7&gt;0,$A391&gt;V$7)),0,MAX(0,ROUND((INDEX($E391:$G391,V$5)-SUMIFS(TF_Timer,TF_Tekniker,V$4,TF_Dato,$A391))*2,0)/2)))</f>
        <v/>
      </c>
      <c r="W391">
        <f>IF(OR(W$4="",$A391&gt;TODAY()),0,IF(OR(INDEX($B391:$D391,W$5)="F",AND(W$6&gt;0,$A391&lt;W$6),AND(W$7&gt;0,$A391&gt;W$7)),0,MAX(0,ROUND((INDEX($E391:$G391,W$5)-SUMIFS(TF_Timer,TF_Tekniker,W$4,TF_Dato,$A391))*2,0)/2)))</f>
        <v/>
      </c>
      <c r="X391">
        <f>IF(OR(X$4="",$A391&gt;TODAY()),0,IF(OR(INDEX($B391:$D391,X$5)="F",AND(X$6&gt;0,$A391&lt;X$6),AND(X$7&gt;0,$A391&gt;X$7)),0,MAX(0,ROUND((INDEX($E391:$G391,X$5)-SUMIFS(TF_Timer,TF_Tekniker,X$4,TF_Dato,$A391))*2,0)/2)))</f>
        <v/>
      </c>
      <c r="Y391">
        <f>IF(OR(Y$4="",$A391&gt;TODAY()),0,IF(OR(INDEX($B391:$D391,Y$5)="F",AND(Y$6&gt;0,$A391&lt;Y$6),AND(Y$7&gt;0,$A391&gt;Y$7)),0,MAX(0,ROUND((INDEX($E391:$G391,Y$5)-SUMIFS(TF_Timer,TF_Tekniker,Y$4,TF_Dato,$A391))*2,0)/2)))</f>
        <v/>
      </c>
      <c r="Z391">
        <f>IF(OR(Z$4="",$A391&gt;TODAY()),0,IF(OR(INDEX($B391:$D391,Z$5)="F",AND(Z$6&gt;0,$A391&lt;Z$6),AND(Z$7&gt;0,$A391&gt;Z$7)),0,MAX(0,ROUND((INDEX($E391:$G391,Z$5)-SUMIFS(TF_Timer,TF_Tekniker,Z$4,TF_Dato,$A391))*2,0)/2)))</f>
        <v/>
      </c>
      <c r="AA391">
        <f>IF(OR(AA$4="",$A391&gt;TODAY()),0,IF(OR(INDEX($B391:$D391,AA$5)="F",AND(AA$6&gt;0,$A391&lt;AA$6),AND(AA$7&gt;0,$A391&gt;AA$7)),0,MAX(0,ROUND((INDEX($E391:$G391,AA$5)-SUMIFS(TF_Timer,TF_Tekniker,AA$4,TF_Dato,$A391))*2,0)/2)))</f>
        <v/>
      </c>
      <c r="AB391">
        <f>IF(OR(AB$4="",$A391&gt;TODAY()),0,IF(OR(INDEX($B391:$D391,AB$5)="F",AND(AB$6&gt;0,$A391&lt;AB$6),AND(AB$7&gt;0,$A391&gt;AB$7)),0,MAX(0,ROUND((INDEX($E391:$G391,AB$5)-SUMIFS(TF_Timer,TF_Tekniker,AB$4,TF_Dato,$A391))*2,0)/2)))</f>
        <v/>
      </c>
      <c r="AC391">
        <f>IF(OR(AC$4="",$A391&gt;TODAY()),0,IF(OR(INDEX($B391:$D391,AC$5)="F",AND(AC$6&gt;0,$A391&lt;AC$6),AND(AC$7&gt;0,$A391&gt;AC$7)),0,MAX(0,ROUND((INDEX($E391:$G391,AC$5)-SUMIFS(TF_Timer,TF_Tekniker,AC$4,TF_Dato,$A391))*2,0)/2)))</f>
        <v/>
      </c>
      <c r="AD391">
        <f>IF(OR(AD$4="",$A391&gt;TODAY()),0,IF(OR(INDEX($B391:$D391,AD$5)="F",AND(AD$6&gt;0,$A391&lt;AD$6),AND(AD$7&gt;0,$A391&gt;AD$7)),0,MAX(0,ROUND((INDEX($E391:$G391,AD$5)-SUMIFS(TF_Timer,TF_Tekniker,AD$4,TF_Dato,$A391))*2,0)/2)))</f>
        <v/>
      </c>
      <c r="AE391">
        <f>IF(OR(AE$4="",$A391&gt;TODAY()),0,IF(OR(INDEX($B391:$D391,AE$5)="F",AND(AE$6&gt;0,$A391&lt;AE$6),AND(AE$7&gt;0,$A391&gt;AE$7)),0,MAX(0,ROUND((INDEX($E391:$G391,AE$5)-SUMIFS(TF_Timer,TF_Tekniker,AE$4,TF_Dato,$A391))*2,0)/2)))</f>
        <v/>
      </c>
      <c r="AF391">
        <f>IF(OR(AF$4="",$A391&gt;TODAY()),0,IF(OR(INDEX($B391:$D391,AF$5)="F",AND(AF$6&gt;0,$A391&lt;AF$6),AND(AF$7&gt;0,$A391&gt;AF$7)),0,MAX(0,ROUND((INDEX($E391:$G391,AF$5)-SUMIFS(TF_Timer,TF_Tekniker,AF$4,TF_Dato,$A391))*2,0)/2)))</f>
        <v/>
      </c>
      <c r="AG391">
        <f>IF(OR(AG$4="",$A391&gt;TODAY()),0,IF(OR(INDEX($B391:$D391,AG$5)="F",AND(AG$6&gt;0,$A391&lt;AG$6),AND(AG$7&gt;0,$A391&gt;AG$7)),0,MAX(0,ROUND((INDEX($E391:$G391,AG$5)-SUMIFS(TF_Timer,TF_Tekniker,AG$4,TF_Dato,$A391))*2,0)/2)))</f>
        <v/>
      </c>
      <c r="AH391">
        <f>IF(OR(AH$4="",$A391&gt;TODAY()),0,IF(OR(INDEX($B391:$D391,AH$5)="F",AND(AH$6&gt;0,$A391&lt;AH$6),AND(AH$7&gt;0,$A391&gt;AH$7)),0,MAX(0,ROUND((INDEX($E391:$G391,AH$5)-SUMIFS(TF_Timer,TF_Tekniker,AH$4,TF_Dato,$A391))*2,0)/2)))</f>
        <v/>
      </c>
      <c r="AI391">
        <f>IF(OR(AI$4="",$A391&gt;TODAY()),0,IF(OR(INDEX($B391:$D391,AI$5)="F",AND(AI$6&gt;0,$A391&lt;AI$6),AND(AI$7&gt;0,$A391&gt;AI$7)),0,MAX(0,ROUND((INDEX($E391:$G391,AI$5)-SUMIFS(TF_Timer,TF_Tekniker,AI$4,TF_Dato,$A391))*2,0)/2)))</f>
        <v/>
      </c>
      <c r="AJ391">
        <f>IF(OR(AJ$4="",$A391&gt;TODAY()),0,IF(OR(INDEX($B391:$D391,AJ$5)="F",AND(AJ$6&gt;0,$A391&lt;AJ$6),AND(AJ$7&gt;0,$A391&gt;AJ$7)),0,MAX(0,ROUND((INDEX($E391:$G391,AJ$5)-SUMIFS(TF_Timer,TF_Tekniker,AJ$4,TF_Dato,$A391))*2,0)/2)))</f>
        <v/>
      </c>
      <c r="AK391">
        <f>IF(OR(AK$4="",$A391&gt;TODAY()),0,IF(OR(INDEX($B391:$D391,AK$5)="F",AND(AK$6&gt;0,$A391&lt;AK$6),AND(AK$7&gt;0,$A391&gt;AK$7)),0,MAX(0,ROUND((INDEX($E391:$G391,AK$5)-SUMIFS(TF_Timer,TF_Tekniker,AK$4,TF_Dato,$A391))*2,0)/2)))</f>
        <v/>
      </c>
      <c r="AL391">
        <f>IF(OR(AL$4="",$A391&gt;TODAY()),0,IF(OR(INDEX($B391:$D391,AL$5)="F",AND(AL$6&gt;0,$A391&lt;AL$6),AND(AL$7&gt;0,$A391&gt;AL$7)),0,MAX(0,ROUND((INDEX($E391:$G391,AL$5)-SUMIFS(TF_Timer,TF_Tekniker,AL$4,TF_Dato,$A391))*2,0)/2)))</f>
        <v/>
      </c>
      <c r="AM391">
        <f>IF(OR(AM$4="",$A391&gt;TODAY()),0,IF(OR(INDEX($B391:$D391,AM$5)="F",AND(AM$6&gt;0,$A391&lt;AM$6),AND(AM$7&gt;0,$A391&gt;AM$7)),0,MAX(0,ROUND((INDEX($E391:$G391,AM$5)-SUMIFS(TF_Timer,TF_Tekniker,AM$4,TF_Dato,$A391))*2,0)/2)))</f>
        <v/>
      </c>
      <c r="AN391">
        <f>IF(OR(AN$4="",$A391&gt;TODAY()),0,IF(OR(INDEX($B391:$D391,AN$5)="F",AND(AN$6&gt;0,$A391&lt;AN$6),AND(AN$7&gt;0,$A391&gt;AN$7)),0,MAX(0,ROUND((INDEX($E391:$G391,AN$5)-SUMIFS(TF_Timer,TF_Tekniker,AN$4,TF_Dato,$A391))*2,0)/2)))</f>
        <v/>
      </c>
      <c r="AO391">
        <f>IF(OR(AO$4="",$A391&gt;TODAY()),0,IF(OR(INDEX($B391:$D391,AO$5)="F",AND(AO$6&gt;0,$A391&lt;AO$6),AND(AO$7&gt;0,$A391&gt;AO$7)),0,MAX(0,ROUND((INDEX($E391:$G391,AO$5)-SUMIFS(TF_Timer,TF_Tekniker,AO$4,TF_Dato,$A391))*2,0)/2)))</f>
        <v/>
      </c>
      <c r="AP391">
        <f>IF(OR(AP$4="",$A391&gt;TODAY()),0,IF(OR(INDEX($B391:$D391,AP$5)="F",AND(AP$6&gt;0,$A391&lt;AP$6),AND(AP$7&gt;0,$A391&gt;AP$7)),0,MAX(0,ROUND((INDEX($E391:$G391,AP$5)-SUMIFS(TF_Timer,TF_Tekniker,AP$4,TF_Dato,$A391))*2,0)/2)))</f>
        <v/>
      </c>
      <c r="AQ391">
        <f>IF(OR(AQ$4="",$A391&gt;TODAY()),0,IF(OR(INDEX($B391:$D391,AQ$5)="F",AND(AQ$6&gt;0,$A391&lt;AQ$6),AND(AQ$7&gt;0,$A391&gt;AQ$7)),0,MAX(0,ROUND((INDEX($E391:$G391,AQ$5)-SUMIFS(TF_Timer,TF_Tekniker,AQ$4,TF_Dato,$A391))*2,0)/2)))</f>
        <v/>
      </c>
      <c r="AR391">
        <f>IF(OR(AR$4="",$A391&gt;TODAY()),0,IF(OR(INDEX($B391:$D391,AR$5)="F",AND(AR$6&gt;0,$A391&lt;AR$6),AND(AR$7&gt;0,$A391&gt;AR$7)),0,MAX(0,ROUND((INDEX($E391:$G391,AR$5)-SUMIFS(TF_Timer,TF_Tekniker,AR$4,TF_Dato,$A391))*2,0)/2)))</f>
        <v/>
      </c>
      <c r="AS391">
        <f>IF(OR(AS$4="",$A391&gt;TODAY()),0,IF(OR(INDEX($B391:$D391,AS$5)="F",AND(AS$6&gt;0,$A391&lt;AS$6),AND(AS$7&gt;0,$A391&gt;AS$7)),0,MAX(0,ROUND((INDEX($E391:$G391,AS$5)-SUMIFS(TF_Timer,TF_Tekniker,AS$4,TF_Dato,$A391))*2,0)/2)))</f>
        <v/>
      </c>
      <c r="AT391">
        <f>IF(OR(AT$4="",$A391&gt;TODAY()),0,IF(OR(INDEX($B391:$D391,AT$5)="F",AND(AT$6&gt;0,$A391&lt;AT$6),AND(AT$7&gt;0,$A391&gt;AT$7)),0,MAX(0,ROUND((INDEX($E391:$G391,AT$5)-SUMIFS(TF_Timer,TF_Tekniker,AT$4,TF_Dato,$A391))*2,0)/2)))</f>
        <v/>
      </c>
      <c r="AU391">
        <f>IF(OR(AU$4="",$A391&gt;TODAY()),0,IF(OR(INDEX($B391:$D391,AU$5)="F",AND(AU$6&gt;0,$A391&lt;AU$6),AND(AU$7&gt;0,$A391&gt;AU$7)),0,MAX(0,ROUND((INDEX($E391:$G391,AU$5)-SUMIFS(TF_Timer,TF_Tekniker,AU$4,TF_Dato,$A391))*2,0)/2)))</f>
        <v/>
      </c>
      <c r="AV391">
        <f>IF(OR(AV$4="",$A391&gt;TODAY()),0,IF(OR(INDEX($B391:$D391,AV$5)="F",AND(AV$6&gt;0,$A391&lt;AV$6),AND(AV$7&gt;0,$A391&gt;AV$7)),0,MAX(0,ROUND((INDEX($E391:$G391,AV$5)-SUMIFS(TF_Timer,TF_Tekniker,AV$4,TF_Dato,$A391))*2,0)/2)))</f>
        <v/>
      </c>
      <c r="AW391">
        <f>IF(OR(AW$4="",$A391&gt;TODAY()),0,IF(OR(INDEX($B391:$D391,AW$5)="F",AND(AW$6&gt;0,$A391&lt;AW$6),AND(AW$7&gt;0,$A391&gt;AW$7)),0,MAX(0,ROUND((INDEX($E391:$G391,AW$5)-SUMIFS(TF_Timer,TF_Tekniker,AW$4,TF_Dato,$A391))*2,0)/2)))</f>
        <v/>
      </c>
      <c r="AX391">
        <f>IF(OR(AX$4="",$A391&gt;TODAY()),0,IF(OR(INDEX($B391:$D391,AX$5)="F",AND(AX$6&gt;0,$A391&lt;AX$6),AND(AX$7&gt;0,$A391&gt;AX$7)),0,MAX(0,ROUND((INDEX($E391:$G391,AX$5)-SUMIFS(TF_Timer,TF_Tekniker,AX$4,TF_Dato,$A391))*2,0)/2)))</f>
        <v/>
      </c>
      <c r="AY391">
        <f>IF(OR(AY$4="",$A391&gt;TODAY()),0,IF(OR(INDEX($B391:$D391,AY$5)="F",AND(AY$6&gt;0,$A391&lt;AY$6),AND(AY$7&gt;0,$A391&gt;AY$7)),0,MAX(0,ROUND((INDEX($E391:$G391,AY$5)-SUMIFS(TF_Timer,TF_Tekniker,AY$4,TF_Dato,$A391))*2,0)/2)))</f>
        <v/>
      </c>
      <c r="AZ391">
        <f>IF(OR(AZ$4="",$A391&gt;TODAY()),0,IF(OR(INDEX($B391:$D391,AZ$5)="F",AND(AZ$6&gt;0,$A391&lt;AZ$6),AND(AZ$7&gt;0,$A391&gt;AZ$7)),0,MAX(0,ROUND((INDEX($E391:$G391,AZ$5)-SUMIFS(TF_Timer,TF_Tekniker,AZ$4,TF_Dato,$A391))*2,0)/2)))</f>
        <v/>
      </c>
      <c r="BA391">
        <f>IF(OR(BA$4="",$A391&gt;TODAY()),0,IF(OR(INDEX($B391:$D391,BA$5)="F",AND(BA$6&gt;0,$A391&lt;BA$6),AND(BA$7&gt;0,$A391&gt;BA$7)),0,MAX(0,ROUND((INDEX($E391:$G391,BA$5)-SUMIFS(TF_Timer,TF_Tekniker,BA$4,TF_Dato,$A391))*2,0)/2)))</f>
        <v/>
      </c>
      <c r="BB391">
        <f>IF(OR(BB$4="",$A391&gt;TODAY()),0,IF(OR(INDEX($B391:$D391,BB$5)="F",AND(BB$6&gt;0,$A391&lt;BB$6),AND(BB$7&gt;0,$A391&gt;BB$7)),0,MAX(0,ROUND((INDEX($E391:$G391,BB$5)-SUMIFS(TF_Timer,TF_Tekniker,BB$4,TF_Dato,$A391))*2,0)/2)))</f>
        <v/>
      </c>
      <c r="BC391">
        <f>IF(OR(BC$4="",$A391&gt;TODAY()),0,IF(OR(INDEX($B391:$D391,BC$5)="F",AND(BC$6&gt;0,$A391&lt;BC$6),AND(BC$7&gt;0,$A391&gt;BC$7)),0,MAX(0,ROUND((INDEX($E391:$G391,BC$5)-SUMIFS(TF_Timer,TF_Tekniker,BC$4,TF_Dato,$A391))*2,0)/2)))</f>
        <v/>
      </c>
      <c r="BD391">
        <f>IF(OR(BD$4="",$A391&gt;TODAY()),0,IF(OR(INDEX($B391:$D391,BD$5)="F",AND(BD$6&gt;0,$A391&lt;BD$6),AND(BD$7&gt;0,$A391&gt;BD$7)),0,MAX(0,ROUND((INDEX($E391:$G391,BD$5)-SUMIFS(TF_Timer,TF_Tekniker,BD$4,TF_Dato,$A391))*2,0)/2)))</f>
        <v/>
      </c>
      <c r="BE391">
        <f>IF(OR(BE$4="",$A391&gt;TODAY()),0,IF(OR(INDEX($B391:$D391,BE$5)="F",AND(BE$6&gt;0,$A391&lt;BE$6),AND(BE$7&gt;0,$A391&gt;BE$7)),0,MAX(0,ROUND((INDEX($E391:$G391,BE$5)-SUMIFS(TF_Timer,TF_Tekniker,BE$4,TF_Dato,$A391))*2,0)/2)))</f>
        <v/>
      </c>
      <c r="BF391">
        <f>IF(OR(BF$4="",$A391&gt;TODAY()),0,IF(OR(INDEX($B391:$D391,BF$5)="F",AND(BF$6&gt;0,$A391&lt;BF$6),AND(BF$7&gt;0,$A391&gt;BF$7)),0,MAX(0,ROUND((INDEX($E391:$G391,BF$5)-SUMIFS(TF_Timer,TF_Tekniker,BF$4,TF_Dato,$A391))*2,0)/2)))</f>
        <v/>
      </c>
      <c r="BG391">
        <f>IF(OR(BG$4="",$A391&gt;TODAY()),0,IF(OR(INDEX($B391:$D391,BG$5)="F",AND(BG$6&gt;0,$A391&lt;BG$6),AND(BG$7&gt;0,$A391&gt;BG$7)),0,MAX(0,ROUND((INDEX($E391:$G391,BG$5)-SUMIFS(TF_Timer,TF_Tekniker,BG$4,TF_Dato,$A391))*2,0)/2)))</f>
        <v/>
      </c>
      <c r="BH391">
        <f>IF(OR(BH$4="",$A391&gt;TODAY()),0,IF(OR(INDEX($B391:$D391,BH$5)="F",AND(BH$6&gt;0,$A391&lt;BH$6),AND(BH$7&gt;0,$A391&gt;BH$7)),0,MAX(0,ROUND((INDEX($E391:$G391,BH$5)-SUMIFS(TF_Timer,TF_Tekniker,BH$4,TF_Dato,$A391))*2,0)/2)))</f>
        <v/>
      </c>
      <c r="BI391">
        <f>IF(OR(BI$4="",$A391&gt;TODAY()),0,IF(OR(INDEX($B391:$D391,BI$5)="F",AND(BI$6&gt;0,$A391&lt;BI$6),AND(BI$7&gt;0,$A391&gt;BI$7)),0,MAX(0,ROUND((INDEX($E391:$G391,BI$5)-SUMIFS(TF_Timer,TF_Tekniker,BI$4,TF_Dato,$A391))*2,0)/2)))</f>
        <v/>
      </c>
    </row>
    <row r="392">
      <c r="A392" s="64">
        <f>A391+1</f>
        <v/>
      </c>
      <c r="B392">
        <f>IF(MOD($A392-INDEX(SkiftStart,1),Syklus)&lt;DagK,"K",IF(MOD($A392-INDEX(SkiftStart,1),Syklus)&lt;DagK+DagH,"H",IF(MOD($A392-INDEX(SkiftStart,1),Syklus)&lt;DagK+DagH+DagD,"D","F")))</f>
        <v/>
      </c>
      <c r="C392">
        <f>IF(MOD($A392-INDEX(SkiftStart,2),Syklus)&lt;DagK,"K",IF(MOD($A392-INDEX(SkiftStart,2),Syklus)&lt;DagK+DagH,"H",IF(MOD($A392-INDEX(SkiftStart,2),Syklus)&lt;DagK+DagH+DagD,"D","F")))</f>
        <v/>
      </c>
      <c r="D392">
        <f>IF(MOD($A392-INDEX(SkiftStart,3),Syklus)&lt;DagK,"K",IF(MOD($A392-INDEX(SkiftStart,3),Syklus)&lt;DagK+DagH,"H",IF(MOD($A392-INDEX(SkiftStart,3),Syklus)&lt;DagK+DagH+DagD,"D","F")))</f>
        <v/>
      </c>
      <c r="E392">
        <f>IF(B392="F",0,IF(WEEKDAY($A392,2)=5,INDEX(TimerFr,MATCH(B392,FaseKode,0)),INDEX(TimerMT,MATCH(B392,FaseKode,0))))</f>
        <v/>
      </c>
      <c r="F392">
        <f>IF(C392="F",0,IF(WEEKDAY($A392,2)=5,INDEX(TimerFr,MATCH(C392,FaseKode,0)),INDEX(TimerMT,MATCH(C392,FaseKode,0))))</f>
        <v/>
      </c>
      <c r="G392">
        <f>IF(D392="F",0,IF(WEEKDAY($A392,2)=5,INDEX(TimerFr,MATCH(D392,FaseKode,0)),INDEX(TimerMT,MATCH(D392,FaseKode,0))))</f>
        <v/>
      </c>
      <c r="H392">
        <f>IF(OR(H$4="",$A392&gt;TODAY()),0,IF(OR(INDEX($B392:$D392,H$5)="F",AND(H$6&gt;0,$A392&lt;H$6),AND(H$7&gt;0,$A392&gt;H$7)),0,MAX(0,ROUND((INDEX($E392:$G392,H$5)-SUMIFS(TF_Timer,TF_Tekniker,H$4,TF_Dato,$A392))*2,0)/2)))</f>
        <v/>
      </c>
      <c r="I392">
        <f>IF(OR(I$4="",$A392&gt;TODAY()),0,IF(OR(INDEX($B392:$D392,I$5)="F",AND(I$6&gt;0,$A392&lt;I$6),AND(I$7&gt;0,$A392&gt;I$7)),0,MAX(0,ROUND((INDEX($E392:$G392,I$5)-SUMIFS(TF_Timer,TF_Tekniker,I$4,TF_Dato,$A392))*2,0)/2)))</f>
        <v/>
      </c>
      <c r="J392">
        <f>IF(OR(J$4="",$A392&gt;TODAY()),0,IF(OR(INDEX($B392:$D392,J$5)="F",AND(J$6&gt;0,$A392&lt;J$6),AND(J$7&gt;0,$A392&gt;J$7)),0,MAX(0,ROUND((INDEX($E392:$G392,J$5)-SUMIFS(TF_Timer,TF_Tekniker,J$4,TF_Dato,$A392))*2,0)/2)))</f>
        <v/>
      </c>
      <c r="K392">
        <f>IF(OR(K$4="",$A392&gt;TODAY()),0,IF(OR(INDEX($B392:$D392,K$5)="F",AND(K$6&gt;0,$A392&lt;K$6),AND(K$7&gt;0,$A392&gt;K$7)),0,MAX(0,ROUND((INDEX($E392:$G392,K$5)-SUMIFS(TF_Timer,TF_Tekniker,K$4,TF_Dato,$A392))*2,0)/2)))</f>
        <v/>
      </c>
      <c r="L392">
        <f>IF(OR(L$4="",$A392&gt;TODAY()),0,IF(OR(INDEX($B392:$D392,L$5)="F",AND(L$6&gt;0,$A392&lt;L$6),AND(L$7&gt;0,$A392&gt;L$7)),0,MAX(0,ROUND((INDEX($E392:$G392,L$5)-SUMIFS(TF_Timer,TF_Tekniker,L$4,TF_Dato,$A392))*2,0)/2)))</f>
        <v/>
      </c>
      <c r="M392">
        <f>IF(OR(M$4="",$A392&gt;TODAY()),0,IF(OR(INDEX($B392:$D392,M$5)="F",AND(M$6&gt;0,$A392&lt;M$6),AND(M$7&gt;0,$A392&gt;M$7)),0,MAX(0,ROUND((INDEX($E392:$G392,M$5)-SUMIFS(TF_Timer,TF_Tekniker,M$4,TF_Dato,$A392))*2,0)/2)))</f>
        <v/>
      </c>
      <c r="N392">
        <f>IF(OR(N$4="",$A392&gt;TODAY()),0,IF(OR(INDEX($B392:$D392,N$5)="F",AND(N$6&gt;0,$A392&lt;N$6),AND(N$7&gt;0,$A392&gt;N$7)),0,MAX(0,ROUND((INDEX($E392:$G392,N$5)-SUMIFS(TF_Timer,TF_Tekniker,N$4,TF_Dato,$A392))*2,0)/2)))</f>
        <v/>
      </c>
      <c r="O392">
        <f>IF(OR(O$4="",$A392&gt;TODAY()),0,IF(OR(INDEX($B392:$D392,O$5)="F",AND(O$6&gt;0,$A392&lt;O$6),AND(O$7&gt;0,$A392&gt;O$7)),0,MAX(0,ROUND((INDEX($E392:$G392,O$5)-SUMIFS(TF_Timer,TF_Tekniker,O$4,TF_Dato,$A392))*2,0)/2)))</f>
        <v/>
      </c>
      <c r="P392">
        <f>IF(OR(P$4="",$A392&gt;TODAY()),0,IF(OR(INDEX($B392:$D392,P$5)="F",AND(P$6&gt;0,$A392&lt;P$6),AND(P$7&gt;0,$A392&gt;P$7)),0,MAX(0,ROUND((INDEX($E392:$G392,P$5)-SUMIFS(TF_Timer,TF_Tekniker,P$4,TF_Dato,$A392))*2,0)/2)))</f>
        <v/>
      </c>
      <c r="Q392">
        <f>IF(OR(Q$4="",$A392&gt;TODAY()),0,IF(OR(INDEX($B392:$D392,Q$5)="F",AND(Q$6&gt;0,$A392&lt;Q$6),AND(Q$7&gt;0,$A392&gt;Q$7)),0,MAX(0,ROUND((INDEX($E392:$G392,Q$5)-SUMIFS(TF_Timer,TF_Tekniker,Q$4,TF_Dato,$A392))*2,0)/2)))</f>
        <v/>
      </c>
      <c r="R392">
        <f>IF(OR(R$4="",$A392&gt;TODAY()),0,IF(OR(INDEX($B392:$D392,R$5)="F",AND(R$6&gt;0,$A392&lt;R$6),AND(R$7&gt;0,$A392&gt;R$7)),0,MAX(0,ROUND((INDEX($E392:$G392,R$5)-SUMIFS(TF_Timer,TF_Tekniker,R$4,TF_Dato,$A392))*2,0)/2)))</f>
        <v/>
      </c>
      <c r="S392">
        <f>IF(OR(S$4="",$A392&gt;TODAY()),0,IF(OR(INDEX($B392:$D392,S$5)="F",AND(S$6&gt;0,$A392&lt;S$6),AND(S$7&gt;0,$A392&gt;S$7)),0,MAX(0,ROUND((INDEX($E392:$G392,S$5)-SUMIFS(TF_Timer,TF_Tekniker,S$4,TF_Dato,$A392))*2,0)/2)))</f>
        <v/>
      </c>
      <c r="T392">
        <f>IF(OR(T$4="",$A392&gt;TODAY()),0,IF(OR(INDEX($B392:$D392,T$5)="F",AND(T$6&gt;0,$A392&lt;T$6),AND(T$7&gt;0,$A392&gt;T$7)),0,MAX(0,ROUND((INDEX($E392:$G392,T$5)-SUMIFS(TF_Timer,TF_Tekniker,T$4,TF_Dato,$A392))*2,0)/2)))</f>
        <v/>
      </c>
      <c r="U392">
        <f>IF(OR(U$4="",$A392&gt;TODAY()),0,IF(OR(INDEX($B392:$D392,U$5)="F",AND(U$6&gt;0,$A392&lt;U$6),AND(U$7&gt;0,$A392&gt;U$7)),0,MAX(0,ROUND((INDEX($E392:$G392,U$5)-SUMIFS(TF_Timer,TF_Tekniker,U$4,TF_Dato,$A392))*2,0)/2)))</f>
        <v/>
      </c>
      <c r="V392">
        <f>IF(OR(V$4="",$A392&gt;TODAY()),0,IF(OR(INDEX($B392:$D392,V$5)="F",AND(V$6&gt;0,$A392&lt;V$6),AND(V$7&gt;0,$A392&gt;V$7)),0,MAX(0,ROUND((INDEX($E392:$G392,V$5)-SUMIFS(TF_Timer,TF_Tekniker,V$4,TF_Dato,$A392))*2,0)/2)))</f>
        <v/>
      </c>
      <c r="W392">
        <f>IF(OR(W$4="",$A392&gt;TODAY()),0,IF(OR(INDEX($B392:$D392,W$5)="F",AND(W$6&gt;0,$A392&lt;W$6),AND(W$7&gt;0,$A392&gt;W$7)),0,MAX(0,ROUND((INDEX($E392:$G392,W$5)-SUMIFS(TF_Timer,TF_Tekniker,W$4,TF_Dato,$A392))*2,0)/2)))</f>
        <v/>
      </c>
      <c r="X392">
        <f>IF(OR(X$4="",$A392&gt;TODAY()),0,IF(OR(INDEX($B392:$D392,X$5)="F",AND(X$6&gt;0,$A392&lt;X$6),AND(X$7&gt;0,$A392&gt;X$7)),0,MAX(0,ROUND((INDEX($E392:$G392,X$5)-SUMIFS(TF_Timer,TF_Tekniker,X$4,TF_Dato,$A392))*2,0)/2)))</f>
        <v/>
      </c>
      <c r="Y392">
        <f>IF(OR(Y$4="",$A392&gt;TODAY()),0,IF(OR(INDEX($B392:$D392,Y$5)="F",AND(Y$6&gt;0,$A392&lt;Y$6),AND(Y$7&gt;0,$A392&gt;Y$7)),0,MAX(0,ROUND((INDEX($E392:$G392,Y$5)-SUMIFS(TF_Timer,TF_Tekniker,Y$4,TF_Dato,$A392))*2,0)/2)))</f>
        <v/>
      </c>
      <c r="Z392">
        <f>IF(OR(Z$4="",$A392&gt;TODAY()),0,IF(OR(INDEX($B392:$D392,Z$5)="F",AND(Z$6&gt;0,$A392&lt;Z$6),AND(Z$7&gt;0,$A392&gt;Z$7)),0,MAX(0,ROUND((INDEX($E392:$G392,Z$5)-SUMIFS(TF_Timer,TF_Tekniker,Z$4,TF_Dato,$A392))*2,0)/2)))</f>
        <v/>
      </c>
      <c r="AA392">
        <f>IF(OR(AA$4="",$A392&gt;TODAY()),0,IF(OR(INDEX($B392:$D392,AA$5)="F",AND(AA$6&gt;0,$A392&lt;AA$6),AND(AA$7&gt;0,$A392&gt;AA$7)),0,MAX(0,ROUND((INDEX($E392:$G392,AA$5)-SUMIFS(TF_Timer,TF_Tekniker,AA$4,TF_Dato,$A392))*2,0)/2)))</f>
        <v/>
      </c>
      <c r="AB392">
        <f>IF(OR(AB$4="",$A392&gt;TODAY()),0,IF(OR(INDEX($B392:$D392,AB$5)="F",AND(AB$6&gt;0,$A392&lt;AB$6),AND(AB$7&gt;0,$A392&gt;AB$7)),0,MAX(0,ROUND((INDEX($E392:$G392,AB$5)-SUMIFS(TF_Timer,TF_Tekniker,AB$4,TF_Dato,$A392))*2,0)/2)))</f>
        <v/>
      </c>
      <c r="AC392">
        <f>IF(OR(AC$4="",$A392&gt;TODAY()),0,IF(OR(INDEX($B392:$D392,AC$5)="F",AND(AC$6&gt;0,$A392&lt;AC$6),AND(AC$7&gt;0,$A392&gt;AC$7)),0,MAX(0,ROUND((INDEX($E392:$G392,AC$5)-SUMIFS(TF_Timer,TF_Tekniker,AC$4,TF_Dato,$A392))*2,0)/2)))</f>
        <v/>
      </c>
      <c r="AD392">
        <f>IF(OR(AD$4="",$A392&gt;TODAY()),0,IF(OR(INDEX($B392:$D392,AD$5)="F",AND(AD$6&gt;0,$A392&lt;AD$6),AND(AD$7&gt;0,$A392&gt;AD$7)),0,MAX(0,ROUND((INDEX($E392:$G392,AD$5)-SUMIFS(TF_Timer,TF_Tekniker,AD$4,TF_Dato,$A392))*2,0)/2)))</f>
        <v/>
      </c>
      <c r="AE392">
        <f>IF(OR(AE$4="",$A392&gt;TODAY()),0,IF(OR(INDEX($B392:$D392,AE$5)="F",AND(AE$6&gt;0,$A392&lt;AE$6),AND(AE$7&gt;0,$A392&gt;AE$7)),0,MAX(0,ROUND((INDEX($E392:$G392,AE$5)-SUMIFS(TF_Timer,TF_Tekniker,AE$4,TF_Dato,$A392))*2,0)/2)))</f>
        <v/>
      </c>
      <c r="AF392">
        <f>IF(OR(AF$4="",$A392&gt;TODAY()),0,IF(OR(INDEX($B392:$D392,AF$5)="F",AND(AF$6&gt;0,$A392&lt;AF$6),AND(AF$7&gt;0,$A392&gt;AF$7)),0,MAX(0,ROUND((INDEX($E392:$G392,AF$5)-SUMIFS(TF_Timer,TF_Tekniker,AF$4,TF_Dato,$A392))*2,0)/2)))</f>
        <v/>
      </c>
      <c r="AG392">
        <f>IF(OR(AG$4="",$A392&gt;TODAY()),0,IF(OR(INDEX($B392:$D392,AG$5)="F",AND(AG$6&gt;0,$A392&lt;AG$6),AND(AG$7&gt;0,$A392&gt;AG$7)),0,MAX(0,ROUND((INDEX($E392:$G392,AG$5)-SUMIFS(TF_Timer,TF_Tekniker,AG$4,TF_Dato,$A392))*2,0)/2)))</f>
        <v/>
      </c>
      <c r="AH392">
        <f>IF(OR(AH$4="",$A392&gt;TODAY()),0,IF(OR(INDEX($B392:$D392,AH$5)="F",AND(AH$6&gt;0,$A392&lt;AH$6),AND(AH$7&gt;0,$A392&gt;AH$7)),0,MAX(0,ROUND((INDEX($E392:$G392,AH$5)-SUMIFS(TF_Timer,TF_Tekniker,AH$4,TF_Dato,$A392))*2,0)/2)))</f>
        <v/>
      </c>
      <c r="AI392">
        <f>IF(OR(AI$4="",$A392&gt;TODAY()),0,IF(OR(INDEX($B392:$D392,AI$5)="F",AND(AI$6&gt;0,$A392&lt;AI$6),AND(AI$7&gt;0,$A392&gt;AI$7)),0,MAX(0,ROUND((INDEX($E392:$G392,AI$5)-SUMIFS(TF_Timer,TF_Tekniker,AI$4,TF_Dato,$A392))*2,0)/2)))</f>
        <v/>
      </c>
      <c r="AJ392">
        <f>IF(OR(AJ$4="",$A392&gt;TODAY()),0,IF(OR(INDEX($B392:$D392,AJ$5)="F",AND(AJ$6&gt;0,$A392&lt;AJ$6),AND(AJ$7&gt;0,$A392&gt;AJ$7)),0,MAX(0,ROUND((INDEX($E392:$G392,AJ$5)-SUMIFS(TF_Timer,TF_Tekniker,AJ$4,TF_Dato,$A392))*2,0)/2)))</f>
        <v/>
      </c>
      <c r="AK392">
        <f>IF(OR(AK$4="",$A392&gt;TODAY()),0,IF(OR(INDEX($B392:$D392,AK$5)="F",AND(AK$6&gt;0,$A392&lt;AK$6),AND(AK$7&gt;0,$A392&gt;AK$7)),0,MAX(0,ROUND((INDEX($E392:$G392,AK$5)-SUMIFS(TF_Timer,TF_Tekniker,AK$4,TF_Dato,$A392))*2,0)/2)))</f>
        <v/>
      </c>
      <c r="AL392">
        <f>IF(OR(AL$4="",$A392&gt;TODAY()),0,IF(OR(INDEX($B392:$D392,AL$5)="F",AND(AL$6&gt;0,$A392&lt;AL$6),AND(AL$7&gt;0,$A392&gt;AL$7)),0,MAX(0,ROUND((INDEX($E392:$G392,AL$5)-SUMIFS(TF_Timer,TF_Tekniker,AL$4,TF_Dato,$A392))*2,0)/2)))</f>
        <v/>
      </c>
      <c r="AM392">
        <f>IF(OR(AM$4="",$A392&gt;TODAY()),0,IF(OR(INDEX($B392:$D392,AM$5)="F",AND(AM$6&gt;0,$A392&lt;AM$6),AND(AM$7&gt;0,$A392&gt;AM$7)),0,MAX(0,ROUND((INDEX($E392:$G392,AM$5)-SUMIFS(TF_Timer,TF_Tekniker,AM$4,TF_Dato,$A392))*2,0)/2)))</f>
        <v/>
      </c>
      <c r="AN392">
        <f>IF(OR(AN$4="",$A392&gt;TODAY()),0,IF(OR(INDEX($B392:$D392,AN$5)="F",AND(AN$6&gt;0,$A392&lt;AN$6),AND(AN$7&gt;0,$A392&gt;AN$7)),0,MAX(0,ROUND((INDEX($E392:$G392,AN$5)-SUMIFS(TF_Timer,TF_Tekniker,AN$4,TF_Dato,$A392))*2,0)/2)))</f>
        <v/>
      </c>
      <c r="AO392">
        <f>IF(OR(AO$4="",$A392&gt;TODAY()),0,IF(OR(INDEX($B392:$D392,AO$5)="F",AND(AO$6&gt;0,$A392&lt;AO$6),AND(AO$7&gt;0,$A392&gt;AO$7)),0,MAX(0,ROUND((INDEX($E392:$G392,AO$5)-SUMIFS(TF_Timer,TF_Tekniker,AO$4,TF_Dato,$A392))*2,0)/2)))</f>
        <v/>
      </c>
      <c r="AP392">
        <f>IF(OR(AP$4="",$A392&gt;TODAY()),0,IF(OR(INDEX($B392:$D392,AP$5)="F",AND(AP$6&gt;0,$A392&lt;AP$6),AND(AP$7&gt;0,$A392&gt;AP$7)),0,MAX(0,ROUND((INDEX($E392:$G392,AP$5)-SUMIFS(TF_Timer,TF_Tekniker,AP$4,TF_Dato,$A392))*2,0)/2)))</f>
        <v/>
      </c>
      <c r="AQ392">
        <f>IF(OR(AQ$4="",$A392&gt;TODAY()),0,IF(OR(INDEX($B392:$D392,AQ$5)="F",AND(AQ$6&gt;0,$A392&lt;AQ$6),AND(AQ$7&gt;0,$A392&gt;AQ$7)),0,MAX(0,ROUND((INDEX($E392:$G392,AQ$5)-SUMIFS(TF_Timer,TF_Tekniker,AQ$4,TF_Dato,$A392))*2,0)/2)))</f>
        <v/>
      </c>
      <c r="AR392">
        <f>IF(OR(AR$4="",$A392&gt;TODAY()),0,IF(OR(INDEX($B392:$D392,AR$5)="F",AND(AR$6&gt;0,$A392&lt;AR$6),AND(AR$7&gt;0,$A392&gt;AR$7)),0,MAX(0,ROUND((INDEX($E392:$G392,AR$5)-SUMIFS(TF_Timer,TF_Tekniker,AR$4,TF_Dato,$A392))*2,0)/2)))</f>
        <v/>
      </c>
      <c r="AS392">
        <f>IF(OR(AS$4="",$A392&gt;TODAY()),0,IF(OR(INDEX($B392:$D392,AS$5)="F",AND(AS$6&gt;0,$A392&lt;AS$6),AND(AS$7&gt;0,$A392&gt;AS$7)),0,MAX(0,ROUND((INDEX($E392:$G392,AS$5)-SUMIFS(TF_Timer,TF_Tekniker,AS$4,TF_Dato,$A392))*2,0)/2)))</f>
        <v/>
      </c>
      <c r="AT392">
        <f>IF(OR(AT$4="",$A392&gt;TODAY()),0,IF(OR(INDEX($B392:$D392,AT$5)="F",AND(AT$6&gt;0,$A392&lt;AT$6),AND(AT$7&gt;0,$A392&gt;AT$7)),0,MAX(0,ROUND((INDEX($E392:$G392,AT$5)-SUMIFS(TF_Timer,TF_Tekniker,AT$4,TF_Dato,$A392))*2,0)/2)))</f>
        <v/>
      </c>
      <c r="AU392">
        <f>IF(OR(AU$4="",$A392&gt;TODAY()),0,IF(OR(INDEX($B392:$D392,AU$5)="F",AND(AU$6&gt;0,$A392&lt;AU$6),AND(AU$7&gt;0,$A392&gt;AU$7)),0,MAX(0,ROUND((INDEX($E392:$G392,AU$5)-SUMIFS(TF_Timer,TF_Tekniker,AU$4,TF_Dato,$A392))*2,0)/2)))</f>
        <v/>
      </c>
      <c r="AV392">
        <f>IF(OR(AV$4="",$A392&gt;TODAY()),0,IF(OR(INDEX($B392:$D392,AV$5)="F",AND(AV$6&gt;0,$A392&lt;AV$6),AND(AV$7&gt;0,$A392&gt;AV$7)),0,MAX(0,ROUND((INDEX($E392:$G392,AV$5)-SUMIFS(TF_Timer,TF_Tekniker,AV$4,TF_Dato,$A392))*2,0)/2)))</f>
        <v/>
      </c>
      <c r="AW392">
        <f>IF(OR(AW$4="",$A392&gt;TODAY()),0,IF(OR(INDEX($B392:$D392,AW$5)="F",AND(AW$6&gt;0,$A392&lt;AW$6),AND(AW$7&gt;0,$A392&gt;AW$7)),0,MAX(0,ROUND((INDEX($E392:$G392,AW$5)-SUMIFS(TF_Timer,TF_Tekniker,AW$4,TF_Dato,$A392))*2,0)/2)))</f>
        <v/>
      </c>
      <c r="AX392">
        <f>IF(OR(AX$4="",$A392&gt;TODAY()),0,IF(OR(INDEX($B392:$D392,AX$5)="F",AND(AX$6&gt;0,$A392&lt;AX$6),AND(AX$7&gt;0,$A392&gt;AX$7)),0,MAX(0,ROUND((INDEX($E392:$G392,AX$5)-SUMIFS(TF_Timer,TF_Tekniker,AX$4,TF_Dato,$A392))*2,0)/2)))</f>
        <v/>
      </c>
      <c r="AY392">
        <f>IF(OR(AY$4="",$A392&gt;TODAY()),0,IF(OR(INDEX($B392:$D392,AY$5)="F",AND(AY$6&gt;0,$A392&lt;AY$6),AND(AY$7&gt;0,$A392&gt;AY$7)),0,MAX(0,ROUND((INDEX($E392:$G392,AY$5)-SUMIFS(TF_Timer,TF_Tekniker,AY$4,TF_Dato,$A392))*2,0)/2)))</f>
        <v/>
      </c>
      <c r="AZ392">
        <f>IF(OR(AZ$4="",$A392&gt;TODAY()),0,IF(OR(INDEX($B392:$D392,AZ$5)="F",AND(AZ$6&gt;0,$A392&lt;AZ$6),AND(AZ$7&gt;0,$A392&gt;AZ$7)),0,MAX(0,ROUND((INDEX($E392:$G392,AZ$5)-SUMIFS(TF_Timer,TF_Tekniker,AZ$4,TF_Dato,$A392))*2,0)/2)))</f>
        <v/>
      </c>
      <c r="BA392">
        <f>IF(OR(BA$4="",$A392&gt;TODAY()),0,IF(OR(INDEX($B392:$D392,BA$5)="F",AND(BA$6&gt;0,$A392&lt;BA$6),AND(BA$7&gt;0,$A392&gt;BA$7)),0,MAX(0,ROUND((INDEX($E392:$G392,BA$5)-SUMIFS(TF_Timer,TF_Tekniker,BA$4,TF_Dato,$A392))*2,0)/2)))</f>
        <v/>
      </c>
      <c r="BB392">
        <f>IF(OR(BB$4="",$A392&gt;TODAY()),0,IF(OR(INDEX($B392:$D392,BB$5)="F",AND(BB$6&gt;0,$A392&lt;BB$6),AND(BB$7&gt;0,$A392&gt;BB$7)),0,MAX(0,ROUND((INDEX($E392:$G392,BB$5)-SUMIFS(TF_Timer,TF_Tekniker,BB$4,TF_Dato,$A392))*2,0)/2)))</f>
        <v/>
      </c>
      <c r="BC392">
        <f>IF(OR(BC$4="",$A392&gt;TODAY()),0,IF(OR(INDEX($B392:$D392,BC$5)="F",AND(BC$6&gt;0,$A392&lt;BC$6),AND(BC$7&gt;0,$A392&gt;BC$7)),0,MAX(0,ROUND((INDEX($E392:$G392,BC$5)-SUMIFS(TF_Timer,TF_Tekniker,BC$4,TF_Dato,$A392))*2,0)/2)))</f>
        <v/>
      </c>
      <c r="BD392">
        <f>IF(OR(BD$4="",$A392&gt;TODAY()),0,IF(OR(INDEX($B392:$D392,BD$5)="F",AND(BD$6&gt;0,$A392&lt;BD$6),AND(BD$7&gt;0,$A392&gt;BD$7)),0,MAX(0,ROUND((INDEX($E392:$G392,BD$5)-SUMIFS(TF_Timer,TF_Tekniker,BD$4,TF_Dato,$A392))*2,0)/2)))</f>
        <v/>
      </c>
      <c r="BE392">
        <f>IF(OR(BE$4="",$A392&gt;TODAY()),0,IF(OR(INDEX($B392:$D392,BE$5)="F",AND(BE$6&gt;0,$A392&lt;BE$6),AND(BE$7&gt;0,$A392&gt;BE$7)),0,MAX(0,ROUND((INDEX($E392:$G392,BE$5)-SUMIFS(TF_Timer,TF_Tekniker,BE$4,TF_Dato,$A392))*2,0)/2)))</f>
        <v/>
      </c>
      <c r="BF392">
        <f>IF(OR(BF$4="",$A392&gt;TODAY()),0,IF(OR(INDEX($B392:$D392,BF$5)="F",AND(BF$6&gt;0,$A392&lt;BF$6),AND(BF$7&gt;0,$A392&gt;BF$7)),0,MAX(0,ROUND((INDEX($E392:$G392,BF$5)-SUMIFS(TF_Timer,TF_Tekniker,BF$4,TF_Dato,$A392))*2,0)/2)))</f>
        <v/>
      </c>
      <c r="BG392">
        <f>IF(OR(BG$4="",$A392&gt;TODAY()),0,IF(OR(INDEX($B392:$D392,BG$5)="F",AND(BG$6&gt;0,$A392&lt;BG$6),AND(BG$7&gt;0,$A392&gt;BG$7)),0,MAX(0,ROUND((INDEX($E392:$G392,BG$5)-SUMIFS(TF_Timer,TF_Tekniker,BG$4,TF_Dato,$A392))*2,0)/2)))</f>
        <v/>
      </c>
      <c r="BH392">
        <f>IF(OR(BH$4="",$A392&gt;TODAY()),0,IF(OR(INDEX($B392:$D392,BH$5)="F",AND(BH$6&gt;0,$A392&lt;BH$6),AND(BH$7&gt;0,$A392&gt;BH$7)),0,MAX(0,ROUND((INDEX($E392:$G392,BH$5)-SUMIFS(TF_Timer,TF_Tekniker,BH$4,TF_Dato,$A392))*2,0)/2)))</f>
        <v/>
      </c>
      <c r="BI392">
        <f>IF(OR(BI$4="",$A392&gt;TODAY()),0,IF(OR(INDEX($B392:$D392,BI$5)="F",AND(BI$6&gt;0,$A392&lt;BI$6),AND(BI$7&gt;0,$A392&gt;BI$7)),0,MAX(0,ROUND((INDEX($E392:$G392,BI$5)-SUMIFS(TF_Timer,TF_Tekniker,BI$4,TF_Dato,$A392))*2,0)/2)))</f>
        <v/>
      </c>
    </row>
    <row r="393">
      <c r="A393" s="64">
        <f>A392+1</f>
        <v/>
      </c>
      <c r="B393">
        <f>IF(MOD($A393-INDEX(SkiftStart,1),Syklus)&lt;DagK,"K",IF(MOD($A393-INDEX(SkiftStart,1),Syklus)&lt;DagK+DagH,"H",IF(MOD($A393-INDEX(SkiftStart,1),Syklus)&lt;DagK+DagH+DagD,"D","F")))</f>
        <v/>
      </c>
      <c r="C393">
        <f>IF(MOD($A393-INDEX(SkiftStart,2),Syklus)&lt;DagK,"K",IF(MOD($A393-INDEX(SkiftStart,2),Syklus)&lt;DagK+DagH,"H",IF(MOD($A393-INDEX(SkiftStart,2),Syklus)&lt;DagK+DagH+DagD,"D","F")))</f>
        <v/>
      </c>
      <c r="D393">
        <f>IF(MOD($A393-INDEX(SkiftStart,3),Syklus)&lt;DagK,"K",IF(MOD($A393-INDEX(SkiftStart,3),Syklus)&lt;DagK+DagH,"H",IF(MOD($A393-INDEX(SkiftStart,3),Syklus)&lt;DagK+DagH+DagD,"D","F")))</f>
        <v/>
      </c>
      <c r="E393">
        <f>IF(B393="F",0,IF(WEEKDAY($A393,2)=5,INDEX(TimerFr,MATCH(B393,FaseKode,0)),INDEX(TimerMT,MATCH(B393,FaseKode,0))))</f>
        <v/>
      </c>
      <c r="F393">
        <f>IF(C393="F",0,IF(WEEKDAY($A393,2)=5,INDEX(TimerFr,MATCH(C393,FaseKode,0)),INDEX(TimerMT,MATCH(C393,FaseKode,0))))</f>
        <v/>
      </c>
      <c r="G393">
        <f>IF(D393="F",0,IF(WEEKDAY($A393,2)=5,INDEX(TimerFr,MATCH(D393,FaseKode,0)),INDEX(TimerMT,MATCH(D393,FaseKode,0))))</f>
        <v/>
      </c>
      <c r="H393">
        <f>IF(OR(H$4="",$A393&gt;TODAY()),0,IF(OR(INDEX($B393:$D393,H$5)="F",AND(H$6&gt;0,$A393&lt;H$6),AND(H$7&gt;0,$A393&gt;H$7)),0,MAX(0,ROUND((INDEX($E393:$G393,H$5)-SUMIFS(TF_Timer,TF_Tekniker,H$4,TF_Dato,$A393))*2,0)/2)))</f>
        <v/>
      </c>
      <c r="I393">
        <f>IF(OR(I$4="",$A393&gt;TODAY()),0,IF(OR(INDEX($B393:$D393,I$5)="F",AND(I$6&gt;0,$A393&lt;I$6),AND(I$7&gt;0,$A393&gt;I$7)),0,MAX(0,ROUND((INDEX($E393:$G393,I$5)-SUMIFS(TF_Timer,TF_Tekniker,I$4,TF_Dato,$A393))*2,0)/2)))</f>
        <v/>
      </c>
      <c r="J393">
        <f>IF(OR(J$4="",$A393&gt;TODAY()),0,IF(OR(INDEX($B393:$D393,J$5)="F",AND(J$6&gt;0,$A393&lt;J$6),AND(J$7&gt;0,$A393&gt;J$7)),0,MAX(0,ROUND((INDEX($E393:$G393,J$5)-SUMIFS(TF_Timer,TF_Tekniker,J$4,TF_Dato,$A393))*2,0)/2)))</f>
        <v/>
      </c>
      <c r="K393">
        <f>IF(OR(K$4="",$A393&gt;TODAY()),0,IF(OR(INDEX($B393:$D393,K$5)="F",AND(K$6&gt;0,$A393&lt;K$6),AND(K$7&gt;0,$A393&gt;K$7)),0,MAX(0,ROUND((INDEX($E393:$G393,K$5)-SUMIFS(TF_Timer,TF_Tekniker,K$4,TF_Dato,$A393))*2,0)/2)))</f>
        <v/>
      </c>
      <c r="L393">
        <f>IF(OR(L$4="",$A393&gt;TODAY()),0,IF(OR(INDEX($B393:$D393,L$5)="F",AND(L$6&gt;0,$A393&lt;L$6),AND(L$7&gt;0,$A393&gt;L$7)),0,MAX(0,ROUND((INDEX($E393:$G393,L$5)-SUMIFS(TF_Timer,TF_Tekniker,L$4,TF_Dato,$A393))*2,0)/2)))</f>
        <v/>
      </c>
      <c r="M393">
        <f>IF(OR(M$4="",$A393&gt;TODAY()),0,IF(OR(INDEX($B393:$D393,M$5)="F",AND(M$6&gt;0,$A393&lt;M$6),AND(M$7&gt;0,$A393&gt;M$7)),0,MAX(0,ROUND((INDEX($E393:$G393,M$5)-SUMIFS(TF_Timer,TF_Tekniker,M$4,TF_Dato,$A393))*2,0)/2)))</f>
        <v/>
      </c>
      <c r="N393">
        <f>IF(OR(N$4="",$A393&gt;TODAY()),0,IF(OR(INDEX($B393:$D393,N$5)="F",AND(N$6&gt;0,$A393&lt;N$6),AND(N$7&gt;0,$A393&gt;N$7)),0,MAX(0,ROUND((INDEX($E393:$G393,N$5)-SUMIFS(TF_Timer,TF_Tekniker,N$4,TF_Dato,$A393))*2,0)/2)))</f>
        <v/>
      </c>
      <c r="O393">
        <f>IF(OR(O$4="",$A393&gt;TODAY()),0,IF(OR(INDEX($B393:$D393,O$5)="F",AND(O$6&gt;0,$A393&lt;O$6),AND(O$7&gt;0,$A393&gt;O$7)),0,MAX(0,ROUND((INDEX($E393:$G393,O$5)-SUMIFS(TF_Timer,TF_Tekniker,O$4,TF_Dato,$A393))*2,0)/2)))</f>
        <v/>
      </c>
      <c r="P393">
        <f>IF(OR(P$4="",$A393&gt;TODAY()),0,IF(OR(INDEX($B393:$D393,P$5)="F",AND(P$6&gt;0,$A393&lt;P$6),AND(P$7&gt;0,$A393&gt;P$7)),0,MAX(0,ROUND((INDEX($E393:$G393,P$5)-SUMIFS(TF_Timer,TF_Tekniker,P$4,TF_Dato,$A393))*2,0)/2)))</f>
        <v/>
      </c>
      <c r="Q393">
        <f>IF(OR(Q$4="",$A393&gt;TODAY()),0,IF(OR(INDEX($B393:$D393,Q$5)="F",AND(Q$6&gt;0,$A393&lt;Q$6),AND(Q$7&gt;0,$A393&gt;Q$7)),0,MAX(0,ROUND((INDEX($E393:$G393,Q$5)-SUMIFS(TF_Timer,TF_Tekniker,Q$4,TF_Dato,$A393))*2,0)/2)))</f>
        <v/>
      </c>
      <c r="R393">
        <f>IF(OR(R$4="",$A393&gt;TODAY()),0,IF(OR(INDEX($B393:$D393,R$5)="F",AND(R$6&gt;0,$A393&lt;R$6),AND(R$7&gt;0,$A393&gt;R$7)),0,MAX(0,ROUND((INDEX($E393:$G393,R$5)-SUMIFS(TF_Timer,TF_Tekniker,R$4,TF_Dato,$A393))*2,0)/2)))</f>
        <v/>
      </c>
      <c r="S393">
        <f>IF(OR(S$4="",$A393&gt;TODAY()),0,IF(OR(INDEX($B393:$D393,S$5)="F",AND(S$6&gt;0,$A393&lt;S$6),AND(S$7&gt;0,$A393&gt;S$7)),0,MAX(0,ROUND((INDEX($E393:$G393,S$5)-SUMIFS(TF_Timer,TF_Tekniker,S$4,TF_Dato,$A393))*2,0)/2)))</f>
        <v/>
      </c>
      <c r="T393">
        <f>IF(OR(T$4="",$A393&gt;TODAY()),0,IF(OR(INDEX($B393:$D393,T$5)="F",AND(T$6&gt;0,$A393&lt;T$6),AND(T$7&gt;0,$A393&gt;T$7)),0,MAX(0,ROUND((INDEX($E393:$G393,T$5)-SUMIFS(TF_Timer,TF_Tekniker,T$4,TF_Dato,$A393))*2,0)/2)))</f>
        <v/>
      </c>
      <c r="U393">
        <f>IF(OR(U$4="",$A393&gt;TODAY()),0,IF(OR(INDEX($B393:$D393,U$5)="F",AND(U$6&gt;0,$A393&lt;U$6),AND(U$7&gt;0,$A393&gt;U$7)),0,MAX(0,ROUND((INDEX($E393:$G393,U$5)-SUMIFS(TF_Timer,TF_Tekniker,U$4,TF_Dato,$A393))*2,0)/2)))</f>
        <v/>
      </c>
      <c r="V393">
        <f>IF(OR(V$4="",$A393&gt;TODAY()),0,IF(OR(INDEX($B393:$D393,V$5)="F",AND(V$6&gt;0,$A393&lt;V$6),AND(V$7&gt;0,$A393&gt;V$7)),0,MAX(0,ROUND((INDEX($E393:$G393,V$5)-SUMIFS(TF_Timer,TF_Tekniker,V$4,TF_Dato,$A393))*2,0)/2)))</f>
        <v/>
      </c>
      <c r="W393">
        <f>IF(OR(W$4="",$A393&gt;TODAY()),0,IF(OR(INDEX($B393:$D393,W$5)="F",AND(W$6&gt;0,$A393&lt;W$6),AND(W$7&gt;0,$A393&gt;W$7)),0,MAX(0,ROUND((INDEX($E393:$G393,W$5)-SUMIFS(TF_Timer,TF_Tekniker,W$4,TF_Dato,$A393))*2,0)/2)))</f>
        <v/>
      </c>
      <c r="X393">
        <f>IF(OR(X$4="",$A393&gt;TODAY()),0,IF(OR(INDEX($B393:$D393,X$5)="F",AND(X$6&gt;0,$A393&lt;X$6),AND(X$7&gt;0,$A393&gt;X$7)),0,MAX(0,ROUND((INDEX($E393:$G393,X$5)-SUMIFS(TF_Timer,TF_Tekniker,X$4,TF_Dato,$A393))*2,0)/2)))</f>
        <v/>
      </c>
      <c r="Y393">
        <f>IF(OR(Y$4="",$A393&gt;TODAY()),0,IF(OR(INDEX($B393:$D393,Y$5)="F",AND(Y$6&gt;0,$A393&lt;Y$6),AND(Y$7&gt;0,$A393&gt;Y$7)),0,MAX(0,ROUND((INDEX($E393:$G393,Y$5)-SUMIFS(TF_Timer,TF_Tekniker,Y$4,TF_Dato,$A393))*2,0)/2)))</f>
        <v/>
      </c>
      <c r="Z393">
        <f>IF(OR(Z$4="",$A393&gt;TODAY()),0,IF(OR(INDEX($B393:$D393,Z$5)="F",AND(Z$6&gt;0,$A393&lt;Z$6),AND(Z$7&gt;0,$A393&gt;Z$7)),0,MAX(0,ROUND((INDEX($E393:$G393,Z$5)-SUMIFS(TF_Timer,TF_Tekniker,Z$4,TF_Dato,$A393))*2,0)/2)))</f>
        <v/>
      </c>
      <c r="AA393">
        <f>IF(OR(AA$4="",$A393&gt;TODAY()),0,IF(OR(INDEX($B393:$D393,AA$5)="F",AND(AA$6&gt;0,$A393&lt;AA$6),AND(AA$7&gt;0,$A393&gt;AA$7)),0,MAX(0,ROUND((INDEX($E393:$G393,AA$5)-SUMIFS(TF_Timer,TF_Tekniker,AA$4,TF_Dato,$A393))*2,0)/2)))</f>
        <v/>
      </c>
      <c r="AB393">
        <f>IF(OR(AB$4="",$A393&gt;TODAY()),0,IF(OR(INDEX($B393:$D393,AB$5)="F",AND(AB$6&gt;0,$A393&lt;AB$6),AND(AB$7&gt;0,$A393&gt;AB$7)),0,MAX(0,ROUND((INDEX($E393:$G393,AB$5)-SUMIFS(TF_Timer,TF_Tekniker,AB$4,TF_Dato,$A393))*2,0)/2)))</f>
        <v/>
      </c>
      <c r="AC393">
        <f>IF(OR(AC$4="",$A393&gt;TODAY()),0,IF(OR(INDEX($B393:$D393,AC$5)="F",AND(AC$6&gt;0,$A393&lt;AC$6),AND(AC$7&gt;0,$A393&gt;AC$7)),0,MAX(0,ROUND((INDEX($E393:$G393,AC$5)-SUMIFS(TF_Timer,TF_Tekniker,AC$4,TF_Dato,$A393))*2,0)/2)))</f>
        <v/>
      </c>
      <c r="AD393">
        <f>IF(OR(AD$4="",$A393&gt;TODAY()),0,IF(OR(INDEX($B393:$D393,AD$5)="F",AND(AD$6&gt;0,$A393&lt;AD$6),AND(AD$7&gt;0,$A393&gt;AD$7)),0,MAX(0,ROUND((INDEX($E393:$G393,AD$5)-SUMIFS(TF_Timer,TF_Tekniker,AD$4,TF_Dato,$A393))*2,0)/2)))</f>
        <v/>
      </c>
      <c r="AE393">
        <f>IF(OR(AE$4="",$A393&gt;TODAY()),0,IF(OR(INDEX($B393:$D393,AE$5)="F",AND(AE$6&gt;0,$A393&lt;AE$6),AND(AE$7&gt;0,$A393&gt;AE$7)),0,MAX(0,ROUND((INDEX($E393:$G393,AE$5)-SUMIFS(TF_Timer,TF_Tekniker,AE$4,TF_Dato,$A393))*2,0)/2)))</f>
        <v/>
      </c>
      <c r="AF393">
        <f>IF(OR(AF$4="",$A393&gt;TODAY()),0,IF(OR(INDEX($B393:$D393,AF$5)="F",AND(AF$6&gt;0,$A393&lt;AF$6),AND(AF$7&gt;0,$A393&gt;AF$7)),0,MAX(0,ROUND((INDEX($E393:$G393,AF$5)-SUMIFS(TF_Timer,TF_Tekniker,AF$4,TF_Dato,$A393))*2,0)/2)))</f>
        <v/>
      </c>
      <c r="AG393">
        <f>IF(OR(AG$4="",$A393&gt;TODAY()),0,IF(OR(INDEX($B393:$D393,AG$5)="F",AND(AG$6&gt;0,$A393&lt;AG$6),AND(AG$7&gt;0,$A393&gt;AG$7)),0,MAX(0,ROUND((INDEX($E393:$G393,AG$5)-SUMIFS(TF_Timer,TF_Tekniker,AG$4,TF_Dato,$A393))*2,0)/2)))</f>
        <v/>
      </c>
      <c r="AH393">
        <f>IF(OR(AH$4="",$A393&gt;TODAY()),0,IF(OR(INDEX($B393:$D393,AH$5)="F",AND(AH$6&gt;0,$A393&lt;AH$6),AND(AH$7&gt;0,$A393&gt;AH$7)),0,MAX(0,ROUND((INDEX($E393:$G393,AH$5)-SUMIFS(TF_Timer,TF_Tekniker,AH$4,TF_Dato,$A393))*2,0)/2)))</f>
        <v/>
      </c>
      <c r="AI393">
        <f>IF(OR(AI$4="",$A393&gt;TODAY()),0,IF(OR(INDEX($B393:$D393,AI$5)="F",AND(AI$6&gt;0,$A393&lt;AI$6),AND(AI$7&gt;0,$A393&gt;AI$7)),0,MAX(0,ROUND((INDEX($E393:$G393,AI$5)-SUMIFS(TF_Timer,TF_Tekniker,AI$4,TF_Dato,$A393))*2,0)/2)))</f>
        <v/>
      </c>
      <c r="AJ393">
        <f>IF(OR(AJ$4="",$A393&gt;TODAY()),0,IF(OR(INDEX($B393:$D393,AJ$5)="F",AND(AJ$6&gt;0,$A393&lt;AJ$6),AND(AJ$7&gt;0,$A393&gt;AJ$7)),0,MAX(0,ROUND((INDEX($E393:$G393,AJ$5)-SUMIFS(TF_Timer,TF_Tekniker,AJ$4,TF_Dato,$A393))*2,0)/2)))</f>
        <v/>
      </c>
      <c r="AK393">
        <f>IF(OR(AK$4="",$A393&gt;TODAY()),0,IF(OR(INDEX($B393:$D393,AK$5)="F",AND(AK$6&gt;0,$A393&lt;AK$6),AND(AK$7&gt;0,$A393&gt;AK$7)),0,MAX(0,ROUND((INDEX($E393:$G393,AK$5)-SUMIFS(TF_Timer,TF_Tekniker,AK$4,TF_Dato,$A393))*2,0)/2)))</f>
        <v/>
      </c>
      <c r="AL393">
        <f>IF(OR(AL$4="",$A393&gt;TODAY()),0,IF(OR(INDEX($B393:$D393,AL$5)="F",AND(AL$6&gt;0,$A393&lt;AL$6),AND(AL$7&gt;0,$A393&gt;AL$7)),0,MAX(0,ROUND((INDEX($E393:$G393,AL$5)-SUMIFS(TF_Timer,TF_Tekniker,AL$4,TF_Dato,$A393))*2,0)/2)))</f>
        <v/>
      </c>
      <c r="AM393">
        <f>IF(OR(AM$4="",$A393&gt;TODAY()),0,IF(OR(INDEX($B393:$D393,AM$5)="F",AND(AM$6&gt;0,$A393&lt;AM$6),AND(AM$7&gt;0,$A393&gt;AM$7)),0,MAX(0,ROUND((INDEX($E393:$G393,AM$5)-SUMIFS(TF_Timer,TF_Tekniker,AM$4,TF_Dato,$A393))*2,0)/2)))</f>
        <v/>
      </c>
      <c r="AN393">
        <f>IF(OR(AN$4="",$A393&gt;TODAY()),0,IF(OR(INDEX($B393:$D393,AN$5)="F",AND(AN$6&gt;0,$A393&lt;AN$6),AND(AN$7&gt;0,$A393&gt;AN$7)),0,MAX(0,ROUND((INDEX($E393:$G393,AN$5)-SUMIFS(TF_Timer,TF_Tekniker,AN$4,TF_Dato,$A393))*2,0)/2)))</f>
        <v/>
      </c>
      <c r="AO393">
        <f>IF(OR(AO$4="",$A393&gt;TODAY()),0,IF(OR(INDEX($B393:$D393,AO$5)="F",AND(AO$6&gt;0,$A393&lt;AO$6),AND(AO$7&gt;0,$A393&gt;AO$7)),0,MAX(0,ROUND((INDEX($E393:$G393,AO$5)-SUMIFS(TF_Timer,TF_Tekniker,AO$4,TF_Dato,$A393))*2,0)/2)))</f>
        <v/>
      </c>
      <c r="AP393">
        <f>IF(OR(AP$4="",$A393&gt;TODAY()),0,IF(OR(INDEX($B393:$D393,AP$5)="F",AND(AP$6&gt;0,$A393&lt;AP$6),AND(AP$7&gt;0,$A393&gt;AP$7)),0,MAX(0,ROUND((INDEX($E393:$G393,AP$5)-SUMIFS(TF_Timer,TF_Tekniker,AP$4,TF_Dato,$A393))*2,0)/2)))</f>
        <v/>
      </c>
      <c r="AQ393">
        <f>IF(OR(AQ$4="",$A393&gt;TODAY()),0,IF(OR(INDEX($B393:$D393,AQ$5)="F",AND(AQ$6&gt;0,$A393&lt;AQ$6),AND(AQ$7&gt;0,$A393&gt;AQ$7)),0,MAX(0,ROUND((INDEX($E393:$G393,AQ$5)-SUMIFS(TF_Timer,TF_Tekniker,AQ$4,TF_Dato,$A393))*2,0)/2)))</f>
        <v/>
      </c>
      <c r="AR393">
        <f>IF(OR(AR$4="",$A393&gt;TODAY()),0,IF(OR(INDEX($B393:$D393,AR$5)="F",AND(AR$6&gt;0,$A393&lt;AR$6),AND(AR$7&gt;0,$A393&gt;AR$7)),0,MAX(0,ROUND((INDEX($E393:$G393,AR$5)-SUMIFS(TF_Timer,TF_Tekniker,AR$4,TF_Dato,$A393))*2,0)/2)))</f>
        <v/>
      </c>
      <c r="AS393">
        <f>IF(OR(AS$4="",$A393&gt;TODAY()),0,IF(OR(INDEX($B393:$D393,AS$5)="F",AND(AS$6&gt;0,$A393&lt;AS$6),AND(AS$7&gt;0,$A393&gt;AS$7)),0,MAX(0,ROUND((INDEX($E393:$G393,AS$5)-SUMIFS(TF_Timer,TF_Tekniker,AS$4,TF_Dato,$A393))*2,0)/2)))</f>
        <v/>
      </c>
      <c r="AT393">
        <f>IF(OR(AT$4="",$A393&gt;TODAY()),0,IF(OR(INDEX($B393:$D393,AT$5)="F",AND(AT$6&gt;0,$A393&lt;AT$6),AND(AT$7&gt;0,$A393&gt;AT$7)),0,MAX(0,ROUND((INDEX($E393:$G393,AT$5)-SUMIFS(TF_Timer,TF_Tekniker,AT$4,TF_Dato,$A393))*2,0)/2)))</f>
        <v/>
      </c>
      <c r="AU393">
        <f>IF(OR(AU$4="",$A393&gt;TODAY()),0,IF(OR(INDEX($B393:$D393,AU$5)="F",AND(AU$6&gt;0,$A393&lt;AU$6),AND(AU$7&gt;0,$A393&gt;AU$7)),0,MAX(0,ROUND((INDEX($E393:$G393,AU$5)-SUMIFS(TF_Timer,TF_Tekniker,AU$4,TF_Dato,$A393))*2,0)/2)))</f>
        <v/>
      </c>
      <c r="AV393">
        <f>IF(OR(AV$4="",$A393&gt;TODAY()),0,IF(OR(INDEX($B393:$D393,AV$5)="F",AND(AV$6&gt;0,$A393&lt;AV$6),AND(AV$7&gt;0,$A393&gt;AV$7)),0,MAX(0,ROUND((INDEX($E393:$G393,AV$5)-SUMIFS(TF_Timer,TF_Tekniker,AV$4,TF_Dato,$A393))*2,0)/2)))</f>
        <v/>
      </c>
      <c r="AW393">
        <f>IF(OR(AW$4="",$A393&gt;TODAY()),0,IF(OR(INDEX($B393:$D393,AW$5)="F",AND(AW$6&gt;0,$A393&lt;AW$6),AND(AW$7&gt;0,$A393&gt;AW$7)),0,MAX(0,ROUND((INDEX($E393:$G393,AW$5)-SUMIFS(TF_Timer,TF_Tekniker,AW$4,TF_Dato,$A393))*2,0)/2)))</f>
        <v/>
      </c>
      <c r="AX393">
        <f>IF(OR(AX$4="",$A393&gt;TODAY()),0,IF(OR(INDEX($B393:$D393,AX$5)="F",AND(AX$6&gt;0,$A393&lt;AX$6),AND(AX$7&gt;0,$A393&gt;AX$7)),0,MAX(0,ROUND((INDEX($E393:$G393,AX$5)-SUMIFS(TF_Timer,TF_Tekniker,AX$4,TF_Dato,$A393))*2,0)/2)))</f>
        <v/>
      </c>
      <c r="AY393">
        <f>IF(OR(AY$4="",$A393&gt;TODAY()),0,IF(OR(INDEX($B393:$D393,AY$5)="F",AND(AY$6&gt;0,$A393&lt;AY$6),AND(AY$7&gt;0,$A393&gt;AY$7)),0,MAX(0,ROUND((INDEX($E393:$G393,AY$5)-SUMIFS(TF_Timer,TF_Tekniker,AY$4,TF_Dato,$A393))*2,0)/2)))</f>
        <v/>
      </c>
      <c r="AZ393">
        <f>IF(OR(AZ$4="",$A393&gt;TODAY()),0,IF(OR(INDEX($B393:$D393,AZ$5)="F",AND(AZ$6&gt;0,$A393&lt;AZ$6),AND(AZ$7&gt;0,$A393&gt;AZ$7)),0,MAX(0,ROUND((INDEX($E393:$G393,AZ$5)-SUMIFS(TF_Timer,TF_Tekniker,AZ$4,TF_Dato,$A393))*2,0)/2)))</f>
        <v/>
      </c>
      <c r="BA393">
        <f>IF(OR(BA$4="",$A393&gt;TODAY()),0,IF(OR(INDEX($B393:$D393,BA$5)="F",AND(BA$6&gt;0,$A393&lt;BA$6),AND(BA$7&gt;0,$A393&gt;BA$7)),0,MAX(0,ROUND((INDEX($E393:$G393,BA$5)-SUMIFS(TF_Timer,TF_Tekniker,BA$4,TF_Dato,$A393))*2,0)/2)))</f>
        <v/>
      </c>
      <c r="BB393">
        <f>IF(OR(BB$4="",$A393&gt;TODAY()),0,IF(OR(INDEX($B393:$D393,BB$5)="F",AND(BB$6&gt;0,$A393&lt;BB$6),AND(BB$7&gt;0,$A393&gt;BB$7)),0,MAX(0,ROUND((INDEX($E393:$G393,BB$5)-SUMIFS(TF_Timer,TF_Tekniker,BB$4,TF_Dato,$A393))*2,0)/2)))</f>
        <v/>
      </c>
      <c r="BC393">
        <f>IF(OR(BC$4="",$A393&gt;TODAY()),0,IF(OR(INDEX($B393:$D393,BC$5)="F",AND(BC$6&gt;0,$A393&lt;BC$6),AND(BC$7&gt;0,$A393&gt;BC$7)),0,MAX(0,ROUND((INDEX($E393:$G393,BC$5)-SUMIFS(TF_Timer,TF_Tekniker,BC$4,TF_Dato,$A393))*2,0)/2)))</f>
        <v/>
      </c>
      <c r="BD393">
        <f>IF(OR(BD$4="",$A393&gt;TODAY()),0,IF(OR(INDEX($B393:$D393,BD$5)="F",AND(BD$6&gt;0,$A393&lt;BD$6),AND(BD$7&gt;0,$A393&gt;BD$7)),0,MAX(0,ROUND((INDEX($E393:$G393,BD$5)-SUMIFS(TF_Timer,TF_Tekniker,BD$4,TF_Dato,$A393))*2,0)/2)))</f>
        <v/>
      </c>
      <c r="BE393">
        <f>IF(OR(BE$4="",$A393&gt;TODAY()),0,IF(OR(INDEX($B393:$D393,BE$5)="F",AND(BE$6&gt;0,$A393&lt;BE$6),AND(BE$7&gt;0,$A393&gt;BE$7)),0,MAX(0,ROUND((INDEX($E393:$G393,BE$5)-SUMIFS(TF_Timer,TF_Tekniker,BE$4,TF_Dato,$A393))*2,0)/2)))</f>
        <v/>
      </c>
      <c r="BF393">
        <f>IF(OR(BF$4="",$A393&gt;TODAY()),0,IF(OR(INDEX($B393:$D393,BF$5)="F",AND(BF$6&gt;0,$A393&lt;BF$6),AND(BF$7&gt;0,$A393&gt;BF$7)),0,MAX(0,ROUND((INDEX($E393:$G393,BF$5)-SUMIFS(TF_Timer,TF_Tekniker,BF$4,TF_Dato,$A393))*2,0)/2)))</f>
        <v/>
      </c>
      <c r="BG393">
        <f>IF(OR(BG$4="",$A393&gt;TODAY()),0,IF(OR(INDEX($B393:$D393,BG$5)="F",AND(BG$6&gt;0,$A393&lt;BG$6),AND(BG$7&gt;0,$A393&gt;BG$7)),0,MAX(0,ROUND((INDEX($E393:$G393,BG$5)-SUMIFS(TF_Timer,TF_Tekniker,BG$4,TF_Dato,$A393))*2,0)/2)))</f>
        <v/>
      </c>
      <c r="BH393">
        <f>IF(OR(BH$4="",$A393&gt;TODAY()),0,IF(OR(INDEX($B393:$D393,BH$5)="F",AND(BH$6&gt;0,$A393&lt;BH$6),AND(BH$7&gt;0,$A393&gt;BH$7)),0,MAX(0,ROUND((INDEX($E393:$G393,BH$5)-SUMIFS(TF_Timer,TF_Tekniker,BH$4,TF_Dato,$A393))*2,0)/2)))</f>
        <v/>
      </c>
      <c r="BI393">
        <f>IF(OR(BI$4="",$A393&gt;TODAY()),0,IF(OR(INDEX($B393:$D393,BI$5)="F",AND(BI$6&gt;0,$A393&lt;BI$6),AND(BI$7&gt;0,$A393&gt;BI$7)),0,MAX(0,ROUND((INDEX($E393:$G393,BI$5)-SUMIFS(TF_Timer,TF_Tekniker,BI$4,TF_Dato,$A393))*2,0)/2)))</f>
        <v/>
      </c>
    </row>
    <row r="394">
      <c r="A394" s="64">
        <f>A393+1</f>
        <v/>
      </c>
      <c r="B394">
        <f>IF(MOD($A394-INDEX(SkiftStart,1),Syklus)&lt;DagK,"K",IF(MOD($A394-INDEX(SkiftStart,1),Syklus)&lt;DagK+DagH,"H",IF(MOD($A394-INDEX(SkiftStart,1),Syklus)&lt;DagK+DagH+DagD,"D","F")))</f>
        <v/>
      </c>
      <c r="C394">
        <f>IF(MOD($A394-INDEX(SkiftStart,2),Syklus)&lt;DagK,"K",IF(MOD($A394-INDEX(SkiftStart,2),Syklus)&lt;DagK+DagH,"H",IF(MOD($A394-INDEX(SkiftStart,2),Syklus)&lt;DagK+DagH+DagD,"D","F")))</f>
        <v/>
      </c>
      <c r="D394">
        <f>IF(MOD($A394-INDEX(SkiftStart,3),Syklus)&lt;DagK,"K",IF(MOD($A394-INDEX(SkiftStart,3),Syklus)&lt;DagK+DagH,"H",IF(MOD($A394-INDEX(SkiftStart,3),Syklus)&lt;DagK+DagH+DagD,"D","F")))</f>
        <v/>
      </c>
      <c r="E394">
        <f>IF(B394="F",0,IF(WEEKDAY($A394,2)=5,INDEX(TimerFr,MATCH(B394,FaseKode,0)),INDEX(TimerMT,MATCH(B394,FaseKode,0))))</f>
        <v/>
      </c>
      <c r="F394">
        <f>IF(C394="F",0,IF(WEEKDAY($A394,2)=5,INDEX(TimerFr,MATCH(C394,FaseKode,0)),INDEX(TimerMT,MATCH(C394,FaseKode,0))))</f>
        <v/>
      </c>
      <c r="G394">
        <f>IF(D394="F",0,IF(WEEKDAY($A394,2)=5,INDEX(TimerFr,MATCH(D394,FaseKode,0)),INDEX(TimerMT,MATCH(D394,FaseKode,0))))</f>
        <v/>
      </c>
      <c r="H394">
        <f>IF(OR(H$4="",$A394&gt;TODAY()),0,IF(OR(INDEX($B394:$D394,H$5)="F",AND(H$6&gt;0,$A394&lt;H$6),AND(H$7&gt;0,$A394&gt;H$7)),0,MAX(0,ROUND((INDEX($E394:$G394,H$5)-SUMIFS(TF_Timer,TF_Tekniker,H$4,TF_Dato,$A394))*2,0)/2)))</f>
        <v/>
      </c>
      <c r="I394">
        <f>IF(OR(I$4="",$A394&gt;TODAY()),0,IF(OR(INDEX($B394:$D394,I$5)="F",AND(I$6&gt;0,$A394&lt;I$6),AND(I$7&gt;0,$A394&gt;I$7)),0,MAX(0,ROUND((INDEX($E394:$G394,I$5)-SUMIFS(TF_Timer,TF_Tekniker,I$4,TF_Dato,$A394))*2,0)/2)))</f>
        <v/>
      </c>
      <c r="J394">
        <f>IF(OR(J$4="",$A394&gt;TODAY()),0,IF(OR(INDEX($B394:$D394,J$5)="F",AND(J$6&gt;0,$A394&lt;J$6),AND(J$7&gt;0,$A394&gt;J$7)),0,MAX(0,ROUND((INDEX($E394:$G394,J$5)-SUMIFS(TF_Timer,TF_Tekniker,J$4,TF_Dato,$A394))*2,0)/2)))</f>
        <v/>
      </c>
      <c r="K394">
        <f>IF(OR(K$4="",$A394&gt;TODAY()),0,IF(OR(INDEX($B394:$D394,K$5)="F",AND(K$6&gt;0,$A394&lt;K$6),AND(K$7&gt;0,$A394&gt;K$7)),0,MAX(0,ROUND((INDEX($E394:$G394,K$5)-SUMIFS(TF_Timer,TF_Tekniker,K$4,TF_Dato,$A394))*2,0)/2)))</f>
        <v/>
      </c>
      <c r="L394">
        <f>IF(OR(L$4="",$A394&gt;TODAY()),0,IF(OR(INDEX($B394:$D394,L$5)="F",AND(L$6&gt;0,$A394&lt;L$6),AND(L$7&gt;0,$A394&gt;L$7)),0,MAX(0,ROUND((INDEX($E394:$G394,L$5)-SUMIFS(TF_Timer,TF_Tekniker,L$4,TF_Dato,$A394))*2,0)/2)))</f>
        <v/>
      </c>
      <c r="M394">
        <f>IF(OR(M$4="",$A394&gt;TODAY()),0,IF(OR(INDEX($B394:$D394,M$5)="F",AND(M$6&gt;0,$A394&lt;M$6),AND(M$7&gt;0,$A394&gt;M$7)),0,MAX(0,ROUND((INDEX($E394:$G394,M$5)-SUMIFS(TF_Timer,TF_Tekniker,M$4,TF_Dato,$A394))*2,0)/2)))</f>
        <v/>
      </c>
      <c r="N394">
        <f>IF(OR(N$4="",$A394&gt;TODAY()),0,IF(OR(INDEX($B394:$D394,N$5)="F",AND(N$6&gt;0,$A394&lt;N$6),AND(N$7&gt;0,$A394&gt;N$7)),0,MAX(0,ROUND((INDEX($E394:$G394,N$5)-SUMIFS(TF_Timer,TF_Tekniker,N$4,TF_Dato,$A394))*2,0)/2)))</f>
        <v/>
      </c>
      <c r="O394">
        <f>IF(OR(O$4="",$A394&gt;TODAY()),0,IF(OR(INDEX($B394:$D394,O$5)="F",AND(O$6&gt;0,$A394&lt;O$6),AND(O$7&gt;0,$A394&gt;O$7)),0,MAX(0,ROUND((INDEX($E394:$G394,O$5)-SUMIFS(TF_Timer,TF_Tekniker,O$4,TF_Dato,$A394))*2,0)/2)))</f>
        <v/>
      </c>
      <c r="P394">
        <f>IF(OR(P$4="",$A394&gt;TODAY()),0,IF(OR(INDEX($B394:$D394,P$5)="F",AND(P$6&gt;0,$A394&lt;P$6),AND(P$7&gt;0,$A394&gt;P$7)),0,MAX(0,ROUND((INDEX($E394:$G394,P$5)-SUMIFS(TF_Timer,TF_Tekniker,P$4,TF_Dato,$A394))*2,0)/2)))</f>
        <v/>
      </c>
      <c r="Q394">
        <f>IF(OR(Q$4="",$A394&gt;TODAY()),0,IF(OR(INDEX($B394:$D394,Q$5)="F",AND(Q$6&gt;0,$A394&lt;Q$6),AND(Q$7&gt;0,$A394&gt;Q$7)),0,MAX(0,ROUND((INDEX($E394:$G394,Q$5)-SUMIFS(TF_Timer,TF_Tekniker,Q$4,TF_Dato,$A394))*2,0)/2)))</f>
        <v/>
      </c>
      <c r="R394">
        <f>IF(OR(R$4="",$A394&gt;TODAY()),0,IF(OR(INDEX($B394:$D394,R$5)="F",AND(R$6&gt;0,$A394&lt;R$6),AND(R$7&gt;0,$A394&gt;R$7)),0,MAX(0,ROUND((INDEX($E394:$G394,R$5)-SUMIFS(TF_Timer,TF_Tekniker,R$4,TF_Dato,$A394))*2,0)/2)))</f>
        <v/>
      </c>
      <c r="S394">
        <f>IF(OR(S$4="",$A394&gt;TODAY()),0,IF(OR(INDEX($B394:$D394,S$5)="F",AND(S$6&gt;0,$A394&lt;S$6),AND(S$7&gt;0,$A394&gt;S$7)),0,MAX(0,ROUND((INDEX($E394:$G394,S$5)-SUMIFS(TF_Timer,TF_Tekniker,S$4,TF_Dato,$A394))*2,0)/2)))</f>
        <v/>
      </c>
      <c r="T394">
        <f>IF(OR(T$4="",$A394&gt;TODAY()),0,IF(OR(INDEX($B394:$D394,T$5)="F",AND(T$6&gt;0,$A394&lt;T$6),AND(T$7&gt;0,$A394&gt;T$7)),0,MAX(0,ROUND((INDEX($E394:$G394,T$5)-SUMIFS(TF_Timer,TF_Tekniker,T$4,TF_Dato,$A394))*2,0)/2)))</f>
        <v/>
      </c>
      <c r="U394">
        <f>IF(OR(U$4="",$A394&gt;TODAY()),0,IF(OR(INDEX($B394:$D394,U$5)="F",AND(U$6&gt;0,$A394&lt;U$6),AND(U$7&gt;0,$A394&gt;U$7)),0,MAX(0,ROUND((INDEX($E394:$G394,U$5)-SUMIFS(TF_Timer,TF_Tekniker,U$4,TF_Dato,$A394))*2,0)/2)))</f>
        <v/>
      </c>
      <c r="V394">
        <f>IF(OR(V$4="",$A394&gt;TODAY()),0,IF(OR(INDEX($B394:$D394,V$5)="F",AND(V$6&gt;0,$A394&lt;V$6),AND(V$7&gt;0,$A394&gt;V$7)),0,MAX(0,ROUND((INDEX($E394:$G394,V$5)-SUMIFS(TF_Timer,TF_Tekniker,V$4,TF_Dato,$A394))*2,0)/2)))</f>
        <v/>
      </c>
      <c r="W394">
        <f>IF(OR(W$4="",$A394&gt;TODAY()),0,IF(OR(INDEX($B394:$D394,W$5)="F",AND(W$6&gt;0,$A394&lt;W$6),AND(W$7&gt;0,$A394&gt;W$7)),0,MAX(0,ROUND((INDEX($E394:$G394,W$5)-SUMIFS(TF_Timer,TF_Tekniker,W$4,TF_Dato,$A394))*2,0)/2)))</f>
        <v/>
      </c>
      <c r="X394">
        <f>IF(OR(X$4="",$A394&gt;TODAY()),0,IF(OR(INDEX($B394:$D394,X$5)="F",AND(X$6&gt;0,$A394&lt;X$6),AND(X$7&gt;0,$A394&gt;X$7)),0,MAX(0,ROUND((INDEX($E394:$G394,X$5)-SUMIFS(TF_Timer,TF_Tekniker,X$4,TF_Dato,$A394))*2,0)/2)))</f>
        <v/>
      </c>
      <c r="Y394">
        <f>IF(OR(Y$4="",$A394&gt;TODAY()),0,IF(OR(INDEX($B394:$D394,Y$5)="F",AND(Y$6&gt;0,$A394&lt;Y$6),AND(Y$7&gt;0,$A394&gt;Y$7)),0,MAX(0,ROUND((INDEX($E394:$G394,Y$5)-SUMIFS(TF_Timer,TF_Tekniker,Y$4,TF_Dato,$A394))*2,0)/2)))</f>
        <v/>
      </c>
      <c r="Z394">
        <f>IF(OR(Z$4="",$A394&gt;TODAY()),0,IF(OR(INDEX($B394:$D394,Z$5)="F",AND(Z$6&gt;0,$A394&lt;Z$6),AND(Z$7&gt;0,$A394&gt;Z$7)),0,MAX(0,ROUND((INDEX($E394:$G394,Z$5)-SUMIFS(TF_Timer,TF_Tekniker,Z$4,TF_Dato,$A394))*2,0)/2)))</f>
        <v/>
      </c>
      <c r="AA394">
        <f>IF(OR(AA$4="",$A394&gt;TODAY()),0,IF(OR(INDEX($B394:$D394,AA$5)="F",AND(AA$6&gt;0,$A394&lt;AA$6),AND(AA$7&gt;0,$A394&gt;AA$7)),0,MAX(0,ROUND((INDEX($E394:$G394,AA$5)-SUMIFS(TF_Timer,TF_Tekniker,AA$4,TF_Dato,$A394))*2,0)/2)))</f>
        <v/>
      </c>
      <c r="AB394">
        <f>IF(OR(AB$4="",$A394&gt;TODAY()),0,IF(OR(INDEX($B394:$D394,AB$5)="F",AND(AB$6&gt;0,$A394&lt;AB$6),AND(AB$7&gt;0,$A394&gt;AB$7)),0,MAX(0,ROUND((INDEX($E394:$G394,AB$5)-SUMIFS(TF_Timer,TF_Tekniker,AB$4,TF_Dato,$A394))*2,0)/2)))</f>
        <v/>
      </c>
      <c r="AC394">
        <f>IF(OR(AC$4="",$A394&gt;TODAY()),0,IF(OR(INDEX($B394:$D394,AC$5)="F",AND(AC$6&gt;0,$A394&lt;AC$6),AND(AC$7&gt;0,$A394&gt;AC$7)),0,MAX(0,ROUND((INDEX($E394:$G394,AC$5)-SUMIFS(TF_Timer,TF_Tekniker,AC$4,TF_Dato,$A394))*2,0)/2)))</f>
        <v/>
      </c>
      <c r="AD394">
        <f>IF(OR(AD$4="",$A394&gt;TODAY()),0,IF(OR(INDEX($B394:$D394,AD$5)="F",AND(AD$6&gt;0,$A394&lt;AD$6),AND(AD$7&gt;0,$A394&gt;AD$7)),0,MAX(0,ROUND((INDEX($E394:$G394,AD$5)-SUMIFS(TF_Timer,TF_Tekniker,AD$4,TF_Dato,$A394))*2,0)/2)))</f>
        <v/>
      </c>
      <c r="AE394">
        <f>IF(OR(AE$4="",$A394&gt;TODAY()),0,IF(OR(INDEX($B394:$D394,AE$5)="F",AND(AE$6&gt;0,$A394&lt;AE$6),AND(AE$7&gt;0,$A394&gt;AE$7)),0,MAX(0,ROUND((INDEX($E394:$G394,AE$5)-SUMIFS(TF_Timer,TF_Tekniker,AE$4,TF_Dato,$A394))*2,0)/2)))</f>
        <v/>
      </c>
      <c r="AF394">
        <f>IF(OR(AF$4="",$A394&gt;TODAY()),0,IF(OR(INDEX($B394:$D394,AF$5)="F",AND(AF$6&gt;0,$A394&lt;AF$6),AND(AF$7&gt;0,$A394&gt;AF$7)),0,MAX(0,ROUND((INDEX($E394:$G394,AF$5)-SUMIFS(TF_Timer,TF_Tekniker,AF$4,TF_Dato,$A394))*2,0)/2)))</f>
        <v/>
      </c>
      <c r="AG394">
        <f>IF(OR(AG$4="",$A394&gt;TODAY()),0,IF(OR(INDEX($B394:$D394,AG$5)="F",AND(AG$6&gt;0,$A394&lt;AG$6),AND(AG$7&gt;0,$A394&gt;AG$7)),0,MAX(0,ROUND((INDEX($E394:$G394,AG$5)-SUMIFS(TF_Timer,TF_Tekniker,AG$4,TF_Dato,$A394))*2,0)/2)))</f>
        <v/>
      </c>
      <c r="AH394">
        <f>IF(OR(AH$4="",$A394&gt;TODAY()),0,IF(OR(INDEX($B394:$D394,AH$5)="F",AND(AH$6&gt;0,$A394&lt;AH$6),AND(AH$7&gt;0,$A394&gt;AH$7)),0,MAX(0,ROUND((INDEX($E394:$G394,AH$5)-SUMIFS(TF_Timer,TF_Tekniker,AH$4,TF_Dato,$A394))*2,0)/2)))</f>
        <v/>
      </c>
      <c r="AI394">
        <f>IF(OR(AI$4="",$A394&gt;TODAY()),0,IF(OR(INDEX($B394:$D394,AI$5)="F",AND(AI$6&gt;0,$A394&lt;AI$6),AND(AI$7&gt;0,$A394&gt;AI$7)),0,MAX(0,ROUND((INDEX($E394:$G394,AI$5)-SUMIFS(TF_Timer,TF_Tekniker,AI$4,TF_Dato,$A394))*2,0)/2)))</f>
        <v/>
      </c>
      <c r="AJ394">
        <f>IF(OR(AJ$4="",$A394&gt;TODAY()),0,IF(OR(INDEX($B394:$D394,AJ$5)="F",AND(AJ$6&gt;0,$A394&lt;AJ$6),AND(AJ$7&gt;0,$A394&gt;AJ$7)),0,MAX(0,ROUND((INDEX($E394:$G394,AJ$5)-SUMIFS(TF_Timer,TF_Tekniker,AJ$4,TF_Dato,$A394))*2,0)/2)))</f>
        <v/>
      </c>
      <c r="AK394">
        <f>IF(OR(AK$4="",$A394&gt;TODAY()),0,IF(OR(INDEX($B394:$D394,AK$5)="F",AND(AK$6&gt;0,$A394&lt;AK$6),AND(AK$7&gt;0,$A394&gt;AK$7)),0,MAX(0,ROUND((INDEX($E394:$G394,AK$5)-SUMIFS(TF_Timer,TF_Tekniker,AK$4,TF_Dato,$A394))*2,0)/2)))</f>
        <v/>
      </c>
      <c r="AL394">
        <f>IF(OR(AL$4="",$A394&gt;TODAY()),0,IF(OR(INDEX($B394:$D394,AL$5)="F",AND(AL$6&gt;0,$A394&lt;AL$6),AND(AL$7&gt;0,$A394&gt;AL$7)),0,MAX(0,ROUND((INDEX($E394:$G394,AL$5)-SUMIFS(TF_Timer,TF_Tekniker,AL$4,TF_Dato,$A394))*2,0)/2)))</f>
        <v/>
      </c>
      <c r="AM394">
        <f>IF(OR(AM$4="",$A394&gt;TODAY()),0,IF(OR(INDEX($B394:$D394,AM$5)="F",AND(AM$6&gt;0,$A394&lt;AM$6),AND(AM$7&gt;0,$A394&gt;AM$7)),0,MAX(0,ROUND((INDEX($E394:$G394,AM$5)-SUMIFS(TF_Timer,TF_Tekniker,AM$4,TF_Dato,$A394))*2,0)/2)))</f>
        <v/>
      </c>
      <c r="AN394">
        <f>IF(OR(AN$4="",$A394&gt;TODAY()),0,IF(OR(INDEX($B394:$D394,AN$5)="F",AND(AN$6&gt;0,$A394&lt;AN$6),AND(AN$7&gt;0,$A394&gt;AN$7)),0,MAX(0,ROUND((INDEX($E394:$G394,AN$5)-SUMIFS(TF_Timer,TF_Tekniker,AN$4,TF_Dato,$A394))*2,0)/2)))</f>
        <v/>
      </c>
      <c r="AO394">
        <f>IF(OR(AO$4="",$A394&gt;TODAY()),0,IF(OR(INDEX($B394:$D394,AO$5)="F",AND(AO$6&gt;0,$A394&lt;AO$6),AND(AO$7&gt;0,$A394&gt;AO$7)),0,MAX(0,ROUND((INDEX($E394:$G394,AO$5)-SUMIFS(TF_Timer,TF_Tekniker,AO$4,TF_Dato,$A394))*2,0)/2)))</f>
        <v/>
      </c>
      <c r="AP394">
        <f>IF(OR(AP$4="",$A394&gt;TODAY()),0,IF(OR(INDEX($B394:$D394,AP$5)="F",AND(AP$6&gt;0,$A394&lt;AP$6),AND(AP$7&gt;0,$A394&gt;AP$7)),0,MAX(0,ROUND((INDEX($E394:$G394,AP$5)-SUMIFS(TF_Timer,TF_Tekniker,AP$4,TF_Dato,$A394))*2,0)/2)))</f>
        <v/>
      </c>
      <c r="AQ394">
        <f>IF(OR(AQ$4="",$A394&gt;TODAY()),0,IF(OR(INDEX($B394:$D394,AQ$5)="F",AND(AQ$6&gt;0,$A394&lt;AQ$6),AND(AQ$7&gt;0,$A394&gt;AQ$7)),0,MAX(0,ROUND((INDEX($E394:$G394,AQ$5)-SUMIFS(TF_Timer,TF_Tekniker,AQ$4,TF_Dato,$A394))*2,0)/2)))</f>
        <v/>
      </c>
      <c r="AR394">
        <f>IF(OR(AR$4="",$A394&gt;TODAY()),0,IF(OR(INDEX($B394:$D394,AR$5)="F",AND(AR$6&gt;0,$A394&lt;AR$6),AND(AR$7&gt;0,$A394&gt;AR$7)),0,MAX(0,ROUND((INDEX($E394:$G394,AR$5)-SUMIFS(TF_Timer,TF_Tekniker,AR$4,TF_Dato,$A394))*2,0)/2)))</f>
        <v/>
      </c>
      <c r="AS394">
        <f>IF(OR(AS$4="",$A394&gt;TODAY()),0,IF(OR(INDEX($B394:$D394,AS$5)="F",AND(AS$6&gt;0,$A394&lt;AS$6),AND(AS$7&gt;0,$A394&gt;AS$7)),0,MAX(0,ROUND((INDEX($E394:$G394,AS$5)-SUMIFS(TF_Timer,TF_Tekniker,AS$4,TF_Dato,$A394))*2,0)/2)))</f>
        <v/>
      </c>
      <c r="AT394">
        <f>IF(OR(AT$4="",$A394&gt;TODAY()),0,IF(OR(INDEX($B394:$D394,AT$5)="F",AND(AT$6&gt;0,$A394&lt;AT$6),AND(AT$7&gt;0,$A394&gt;AT$7)),0,MAX(0,ROUND((INDEX($E394:$G394,AT$5)-SUMIFS(TF_Timer,TF_Tekniker,AT$4,TF_Dato,$A394))*2,0)/2)))</f>
        <v/>
      </c>
      <c r="AU394">
        <f>IF(OR(AU$4="",$A394&gt;TODAY()),0,IF(OR(INDEX($B394:$D394,AU$5)="F",AND(AU$6&gt;0,$A394&lt;AU$6),AND(AU$7&gt;0,$A394&gt;AU$7)),0,MAX(0,ROUND((INDEX($E394:$G394,AU$5)-SUMIFS(TF_Timer,TF_Tekniker,AU$4,TF_Dato,$A394))*2,0)/2)))</f>
        <v/>
      </c>
      <c r="AV394">
        <f>IF(OR(AV$4="",$A394&gt;TODAY()),0,IF(OR(INDEX($B394:$D394,AV$5)="F",AND(AV$6&gt;0,$A394&lt;AV$6),AND(AV$7&gt;0,$A394&gt;AV$7)),0,MAX(0,ROUND((INDEX($E394:$G394,AV$5)-SUMIFS(TF_Timer,TF_Tekniker,AV$4,TF_Dato,$A394))*2,0)/2)))</f>
        <v/>
      </c>
      <c r="AW394">
        <f>IF(OR(AW$4="",$A394&gt;TODAY()),0,IF(OR(INDEX($B394:$D394,AW$5)="F",AND(AW$6&gt;0,$A394&lt;AW$6),AND(AW$7&gt;0,$A394&gt;AW$7)),0,MAX(0,ROUND((INDEX($E394:$G394,AW$5)-SUMIFS(TF_Timer,TF_Tekniker,AW$4,TF_Dato,$A394))*2,0)/2)))</f>
        <v/>
      </c>
      <c r="AX394">
        <f>IF(OR(AX$4="",$A394&gt;TODAY()),0,IF(OR(INDEX($B394:$D394,AX$5)="F",AND(AX$6&gt;0,$A394&lt;AX$6),AND(AX$7&gt;0,$A394&gt;AX$7)),0,MAX(0,ROUND((INDEX($E394:$G394,AX$5)-SUMIFS(TF_Timer,TF_Tekniker,AX$4,TF_Dato,$A394))*2,0)/2)))</f>
        <v/>
      </c>
      <c r="AY394">
        <f>IF(OR(AY$4="",$A394&gt;TODAY()),0,IF(OR(INDEX($B394:$D394,AY$5)="F",AND(AY$6&gt;0,$A394&lt;AY$6),AND(AY$7&gt;0,$A394&gt;AY$7)),0,MAX(0,ROUND((INDEX($E394:$G394,AY$5)-SUMIFS(TF_Timer,TF_Tekniker,AY$4,TF_Dato,$A394))*2,0)/2)))</f>
        <v/>
      </c>
      <c r="AZ394">
        <f>IF(OR(AZ$4="",$A394&gt;TODAY()),0,IF(OR(INDEX($B394:$D394,AZ$5)="F",AND(AZ$6&gt;0,$A394&lt;AZ$6),AND(AZ$7&gt;0,$A394&gt;AZ$7)),0,MAX(0,ROUND((INDEX($E394:$G394,AZ$5)-SUMIFS(TF_Timer,TF_Tekniker,AZ$4,TF_Dato,$A394))*2,0)/2)))</f>
        <v/>
      </c>
      <c r="BA394">
        <f>IF(OR(BA$4="",$A394&gt;TODAY()),0,IF(OR(INDEX($B394:$D394,BA$5)="F",AND(BA$6&gt;0,$A394&lt;BA$6),AND(BA$7&gt;0,$A394&gt;BA$7)),0,MAX(0,ROUND((INDEX($E394:$G394,BA$5)-SUMIFS(TF_Timer,TF_Tekniker,BA$4,TF_Dato,$A394))*2,0)/2)))</f>
        <v/>
      </c>
      <c r="BB394">
        <f>IF(OR(BB$4="",$A394&gt;TODAY()),0,IF(OR(INDEX($B394:$D394,BB$5)="F",AND(BB$6&gt;0,$A394&lt;BB$6),AND(BB$7&gt;0,$A394&gt;BB$7)),0,MAX(0,ROUND((INDEX($E394:$G394,BB$5)-SUMIFS(TF_Timer,TF_Tekniker,BB$4,TF_Dato,$A394))*2,0)/2)))</f>
        <v/>
      </c>
      <c r="BC394">
        <f>IF(OR(BC$4="",$A394&gt;TODAY()),0,IF(OR(INDEX($B394:$D394,BC$5)="F",AND(BC$6&gt;0,$A394&lt;BC$6),AND(BC$7&gt;0,$A394&gt;BC$7)),0,MAX(0,ROUND((INDEX($E394:$G394,BC$5)-SUMIFS(TF_Timer,TF_Tekniker,BC$4,TF_Dato,$A394))*2,0)/2)))</f>
        <v/>
      </c>
      <c r="BD394">
        <f>IF(OR(BD$4="",$A394&gt;TODAY()),0,IF(OR(INDEX($B394:$D394,BD$5)="F",AND(BD$6&gt;0,$A394&lt;BD$6),AND(BD$7&gt;0,$A394&gt;BD$7)),0,MAX(0,ROUND((INDEX($E394:$G394,BD$5)-SUMIFS(TF_Timer,TF_Tekniker,BD$4,TF_Dato,$A394))*2,0)/2)))</f>
        <v/>
      </c>
      <c r="BE394">
        <f>IF(OR(BE$4="",$A394&gt;TODAY()),0,IF(OR(INDEX($B394:$D394,BE$5)="F",AND(BE$6&gt;0,$A394&lt;BE$6),AND(BE$7&gt;0,$A394&gt;BE$7)),0,MAX(0,ROUND((INDEX($E394:$G394,BE$5)-SUMIFS(TF_Timer,TF_Tekniker,BE$4,TF_Dato,$A394))*2,0)/2)))</f>
        <v/>
      </c>
      <c r="BF394">
        <f>IF(OR(BF$4="",$A394&gt;TODAY()),0,IF(OR(INDEX($B394:$D394,BF$5)="F",AND(BF$6&gt;0,$A394&lt;BF$6),AND(BF$7&gt;0,$A394&gt;BF$7)),0,MAX(0,ROUND((INDEX($E394:$G394,BF$5)-SUMIFS(TF_Timer,TF_Tekniker,BF$4,TF_Dato,$A394))*2,0)/2)))</f>
        <v/>
      </c>
      <c r="BG394">
        <f>IF(OR(BG$4="",$A394&gt;TODAY()),0,IF(OR(INDEX($B394:$D394,BG$5)="F",AND(BG$6&gt;0,$A394&lt;BG$6),AND(BG$7&gt;0,$A394&gt;BG$7)),0,MAX(0,ROUND((INDEX($E394:$G394,BG$5)-SUMIFS(TF_Timer,TF_Tekniker,BG$4,TF_Dato,$A394))*2,0)/2)))</f>
        <v/>
      </c>
      <c r="BH394">
        <f>IF(OR(BH$4="",$A394&gt;TODAY()),0,IF(OR(INDEX($B394:$D394,BH$5)="F",AND(BH$6&gt;0,$A394&lt;BH$6),AND(BH$7&gt;0,$A394&gt;BH$7)),0,MAX(0,ROUND((INDEX($E394:$G394,BH$5)-SUMIFS(TF_Timer,TF_Tekniker,BH$4,TF_Dato,$A394))*2,0)/2)))</f>
        <v/>
      </c>
      <c r="BI394">
        <f>IF(OR(BI$4="",$A394&gt;TODAY()),0,IF(OR(INDEX($B394:$D394,BI$5)="F",AND(BI$6&gt;0,$A394&lt;BI$6),AND(BI$7&gt;0,$A394&gt;BI$7)),0,MAX(0,ROUND((INDEX($E394:$G394,BI$5)-SUMIFS(TF_Timer,TF_Tekniker,BI$4,TF_Dato,$A394))*2,0)/2)))</f>
        <v/>
      </c>
    </row>
    <row r="395">
      <c r="A395" s="64">
        <f>A394+1</f>
        <v/>
      </c>
      <c r="B395">
        <f>IF(MOD($A395-INDEX(SkiftStart,1),Syklus)&lt;DagK,"K",IF(MOD($A395-INDEX(SkiftStart,1),Syklus)&lt;DagK+DagH,"H",IF(MOD($A395-INDEX(SkiftStart,1),Syklus)&lt;DagK+DagH+DagD,"D","F")))</f>
        <v/>
      </c>
      <c r="C395">
        <f>IF(MOD($A395-INDEX(SkiftStart,2),Syklus)&lt;DagK,"K",IF(MOD($A395-INDEX(SkiftStart,2),Syklus)&lt;DagK+DagH,"H",IF(MOD($A395-INDEX(SkiftStart,2),Syklus)&lt;DagK+DagH+DagD,"D","F")))</f>
        <v/>
      </c>
      <c r="D395">
        <f>IF(MOD($A395-INDEX(SkiftStart,3),Syklus)&lt;DagK,"K",IF(MOD($A395-INDEX(SkiftStart,3),Syklus)&lt;DagK+DagH,"H",IF(MOD($A395-INDEX(SkiftStart,3),Syklus)&lt;DagK+DagH+DagD,"D","F")))</f>
        <v/>
      </c>
      <c r="E395">
        <f>IF(B395="F",0,IF(WEEKDAY($A395,2)=5,INDEX(TimerFr,MATCH(B395,FaseKode,0)),INDEX(TimerMT,MATCH(B395,FaseKode,0))))</f>
        <v/>
      </c>
      <c r="F395">
        <f>IF(C395="F",0,IF(WEEKDAY($A395,2)=5,INDEX(TimerFr,MATCH(C395,FaseKode,0)),INDEX(TimerMT,MATCH(C395,FaseKode,0))))</f>
        <v/>
      </c>
      <c r="G395">
        <f>IF(D395="F",0,IF(WEEKDAY($A395,2)=5,INDEX(TimerFr,MATCH(D395,FaseKode,0)),INDEX(TimerMT,MATCH(D395,FaseKode,0))))</f>
        <v/>
      </c>
      <c r="H395">
        <f>IF(OR(H$4="",$A395&gt;TODAY()),0,IF(OR(INDEX($B395:$D395,H$5)="F",AND(H$6&gt;0,$A395&lt;H$6),AND(H$7&gt;0,$A395&gt;H$7)),0,MAX(0,ROUND((INDEX($E395:$G395,H$5)-SUMIFS(TF_Timer,TF_Tekniker,H$4,TF_Dato,$A395))*2,0)/2)))</f>
        <v/>
      </c>
      <c r="I395">
        <f>IF(OR(I$4="",$A395&gt;TODAY()),0,IF(OR(INDEX($B395:$D395,I$5)="F",AND(I$6&gt;0,$A395&lt;I$6),AND(I$7&gt;0,$A395&gt;I$7)),0,MAX(0,ROUND((INDEX($E395:$G395,I$5)-SUMIFS(TF_Timer,TF_Tekniker,I$4,TF_Dato,$A395))*2,0)/2)))</f>
        <v/>
      </c>
      <c r="J395">
        <f>IF(OR(J$4="",$A395&gt;TODAY()),0,IF(OR(INDEX($B395:$D395,J$5)="F",AND(J$6&gt;0,$A395&lt;J$6),AND(J$7&gt;0,$A395&gt;J$7)),0,MAX(0,ROUND((INDEX($E395:$G395,J$5)-SUMIFS(TF_Timer,TF_Tekniker,J$4,TF_Dato,$A395))*2,0)/2)))</f>
        <v/>
      </c>
      <c r="K395">
        <f>IF(OR(K$4="",$A395&gt;TODAY()),0,IF(OR(INDEX($B395:$D395,K$5)="F",AND(K$6&gt;0,$A395&lt;K$6),AND(K$7&gt;0,$A395&gt;K$7)),0,MAX(0,ROUND((INDEX($E395:$G395,K$5)-SUMIFS(TF_Timer,TF_Tekniker,K$4,TF_Dato,$A395))*2,0)/2)))</f>
        <v/>
      </c>
      <c r="L395">
        <f>IF(OR(L$4="",$A395&gt;TODAY()),0,IF(OR(INDEX($B395:$D395,L$5)="F",AND(L$6&gt;0,$A395&lt;L$6),AND(L$7&gt;0,$A395&gt;L$7)),0,MAX(0,ROUND((INDEX($E395:$G395,L$5)-SUMIFS(TF_Timer,TF_Tekniker,L$4,TF_Dato,$A395))*2,0)/2)))</f>
        <v/>
      </c>
      <c r="M395">
        <f>IF(OR(M$4="",$A395&gt;TODAY()),0,IF(OR(INDEX($B395:$D395,M$5)="F",AND(M$6&gt;0,$A395&lt;M$6),AND(M$7&gt;0,$A395&gt;M$7)),0,MAX(0,ROUND((INDEX($E395:$G395,M$5)-SUMIFS(TF_Timer,TF_Tekniker,M$4,TF_Dato,$A395))*2,0)/2)))</f>
        <v/>
      </c>
      <c r="N395">
        <f>IF(OR(N$4="",$A395&gt;TODAY()),0,IF(OR(INDEX($B395:$D395,N$5)="F",AND(N$6&gt;0,$A395&lt;N$6),AND(N$7&gt;0,$A395&gt;N$7)),0,MAX(0,ROUND((INDEX($E395:$G395,N$5)-SUMIFS(TF_Timer,TF_Tekniker,N$4,TF_Dato,$A395))*2,0)/2)))</f>
        <v/>
      </c>
      <c r="O395">
        <f>IF(OR(O$4="",$A395&gt;TODAY()),0,IF(OR(INDEX($B395:$D395,O$5)="F",AND(O$6&gt;0,$A395&lt;O$6),AND(O$7&gt;0,$A395&gt;O$7)),0,MAX(0,ROUND((INDEX($E395:$G395,O$5)-SUMIFS(TF_Timer,TF_Tekniker,O$4,TF_Dato,$A395))*2,0)/2)))</f>
        <v/>
      </c>
      <c r="P395">
        <f>IF(OR(P$4="",$A395&gt;TODAY()),0,IF(OR(INDEX($B395:$D395,P$5)="F",AND(P$6&gt;0,$A395&lt;P$6),AND(P$7&gt;0,$A395&gt;P$7)),0,MAX(0,ROUND((INDEX($E395:$G395,P$5)-SUMIFS(TF_Timer,TF_Tekniker,P$4,TF_Dato,$A395))*2,0)/2)))</f>
        <v/>
      </c>
      <c r="Q395">
        <f>IF(OR(Q$4="",$A395&gt;TODAY()),0,IF(OR(INDEX($B395:$D395,Q$5)="F",AND(Q$6&gt;0,$A395&lt;Q$6),AND(Q$7&gt;0,$A395&gt;Q$7)),0,MAX(0,ROUND((INDEX($E395:$G395,Q$5)-SUMIFS(TF_Timer,TF_Tekniker,Q$4,TF_Dato,$A395))*2,0)/2)))</f>
        <v/>
      </c>
      <c r="R395">
        <f>IF(OR(R$4="",$A395&gt;TODAY()),0,IF(OR(INDEX($B395:$D395,R$5)="F",AND(R$6&gt;0,$A395&lt;R$6),AND(R$7&gt;0,$A395&gt;R$7)),0,MAX(0,ROUND((INDEX($E395:$G395,R$5)-SUMIFS(TF_Timer,TF_Tekniker,R$4,TF_Dato,$A395))*2,0)/2)))</f>
        <v/>
      </c>
      <c r="S395">
        <f>IF(OR(S$4="",$A395&gt;TODAY()),0,IF(OR(INDEX($B395:$D395,S$5)="F",AND(S$6&gt;0,$A395&lt;S$6),AND(S$7&gt;0,$A395&gt;S$7)),0,MAX(0,ROUND((INDEX($E395:$G395,S$5)-SUMIFS(TF_Timer,TF_Tekniker,S$4,TF_Dato,$A395))*2,0)/2)))</f>
        <v/>
      </c>
      <c r="T395">
        <f>IF(OR(T$4="",$A395&gt;TODAY()),0,IF(OR(INDEX($B395:$D395,T$5)="F",AND(T$6&gt;0,$A395&lt;T$6),AND(T$7&gt;0,$A395&gt;T$7)),0,MAX(0,ROUND((INDEX($E395:$G395,T$5)-SUMIFS(TF_Timer,TF_Tekniker,T$4,TF_Dato,$A395))*2,0)/2)))</f>
        <v/>
      </c>
      <c r="U395">
        <f>IF(OR(U$4="",$A395&gt;TODAY()),0,IF(OR(INDEX($B395:$D395,U$5)="F",AND(U$6&gt;0,$A395&lt;U$6),AND(U$7&gt;0,$A395&gt;U$7)),0,MAX(0,ROUND((INDEX($E395:$G395,U$5)-SUMIFS(TF_Timer,TF_Tekniker,U$4,TF_Dato,$A395))*2,0)/2)))</f>
        <v/>
      </c>
      <c r="V395">
        <f>IF(OR(V$4="",$A395&gt;TODAY()),0,IF(OR(INDEX($B395:$D395,V$5)="F",AND(V$6&gt;0,$A395&lt;V$6),AND(V$7&gt;0,$A395&gt;V$7)),0,MAX(0,ROUND((INDEX($E395:$G395,V$5)-SUMIFS(TF_Timer,TF_Tekniker,V$4,TF_Dato,$A395))*2,0)/2)))</f>
        <v/>
      </c>
      <c r="W395">
        <f>IF(OR(W$4="",$A395&gt;TODAY()),0,IF(OR(INDEX($B395:$D395,W$5)="F",AND(W$6&gt;0,$A395&lt;W$6),AND(W$7&gt;0,$A395&gt;W$7)),0,MAX(0,ROUND((INDEX($E395:$G395,W$5)-SUMIFS(TF_Timer,TF_Tekniker,W$4,TF_Dato,$A395))*2,0)/2)))</f>
        <v/>
      </c>
      <c r="X395">
        <f>IF(OR(X$4="",$A395&gt;TODAY()),0,IF(OR(INDEX($B395:$D395,X$5)="F",AND(X$6&gt;0,$A395&lt;X$6),AND(X$7&gt;0,$A395&gt;X$7)),0,MAX(0,ROUND((INDEX($E395:$G395,X$5)-SUMIFS(TF_Timer,TF_Tekniker,X$4,TF_Dato,$A395))*2,0)/2)))</f>
        <v/>
      </c>
      <c r="Y395">
        <f>IF(OR(Y$4="",$A395&gt;TODAY()),0,IF(OR(INDEX($B395:$D395,Y$5)="F",AND(Y$6&gt;0,$A395&lt;Y$6),AND(Y$7&gt;0,$A395&gt;Y$7)),0,MAX(0,ROUND((INDEX($E395:$G395,Y$5)-SUMIFS(TF_Timer,TF_Tekniker,Y$4,TF_Dato,$A395))*2,0)/2)))</f>
        <v/>
      </c>
      <c r="Z395">
        <f>IF(OR(Z$4="",$A395&gt;TODAY()),0,IF(OR(INDEX($B395:$D395,Z$5)="F",AND(Z$6&gt;0,$A395&lt;Z$6),AND(Z$7&gt;0,$A395&gt;Z$7)),0,MAX(0,ROUND((INDEX($E395:$G395,Z$5)-SUMIFS(TF_Timer,TF_Tekniker,Z$4,TF_Dato,$A395))*2,0)/2)))</f>
        <v/>
      </c>
      <c r="AA395">
        <f>IF(OR(AA$4="",$A395&gt;TODAY()),0,IF(OR(INDEX($B395:$D395,AA$5)="F",AND(AA$6&gt;0,$A395&lt;AA$6),AND(AA$7&gt;0,$A395&gt;AA$7)),0,MAX(0,ROUND((INDEX($E395:$G395,AA$5)-SUMIFS(TF_Timer,TF_Tekniker,AA$4,TF_Dato,$A395))*2,0)/2)))</f>
        <v/>
      </c>
      <c r="AB395">
        <f>IF(OR(AB$4="",$A395&gt;TODAY()),0,IF(OR(INDEX($B395:$D395,AB$5)="F",AND(AB$6&gt;0,$A395&lt;AB$6),AND(AB$7&gt;0,$A395&gt;AB$7)),0,MAX(0,ROUND((INDEX($E395:$G395,AB$5)-SUMIFS(TF_Timer,TF_Tekniker,AB$4,TF_Dato,$A395))*2,0)/2)))</f>
        <v/>
      </c>
      <c r="AC395">
        <f>IF(OR(AC$4="",$A395&gt;TODAY()),0,IF(OR(INDEX($B395:$D395,AC$5)="F",AND(AC$6&gt;0,$A395&lt;AC$6),AND(AC$7&gt;0,$A395&gt;AC$7)),0,MAX(0,ROUND((INDEX($E395:$G395,AC$5)-SUMIFS(TF_Timer,TF_Tekniker,AC$4,TF_Dato,$A395))*2,0)/2)))</f>
        <v/>
      </c>
      <c r="AD395">
        <f>IF(OR(AD$4="",$A395&gt;TODAY()),0,IF(OR(INDEX($B395:$D395,AD$5)="F",AND(AD$6&gt;0,$A395&lt;AD$6),AND(AD$7&gt;0,$A395&gt;AD$7)),0,MAX(0,ROUND((INDEX($E395:$G395,AD$5)-SUMIFS(TF_Timer,TF_Tekniker,AD$4,TF_Dato,$A395))*2,0)/2)))</f>
        <v/>
      </c>
      <c r="AE395">
        <f>IF(OR(AE$4="",$A395&gt;TODAY()),0,IF(OR(INDEX($B395:$D395,AE$5)="F",AND(AE$6&gt;0,$A395&lt;AE$6),AND(AE$7&gt;0,$A395&gt;AE$7)),0,MAX(0,ROUND((INDEX($E395:$G395,AE$5)-SUMIFS(TF_Timer,TF_Tekniker,AE$4,TF_Dato,$A395))*2,0)/2)))</f>
        <v/>
      </c>
      <c r="AF395">
        <f>IF(OR(AF$4="",$A395&gt;TODAY()),0,IF(OR(INDEX($B395:$D395,AF$5)="F",AND(AF$6&gt;0,$A395&lt;AF$6),AND(AF$7&gt;0,$A395&gt;AF$7)),0,MAX(0,ROUND((INDEX($E395:$G395,AF$5)-SUMIFS(TF_Timer,TF_Tekniker,AF$4,TF_Dato,$A395))*2,0)/2)))</f>
        <v/>
      </c>
      <c r="AG395">
        <f>IF(OR(AG$4="",$A395&gt;TODAY()),0,IF(OR(INDEX($B395:$D395,AG$5)="F",AND(AG$6&gt;0,$A395&lt;AG$6),AND(AG$7&gt;0,$A395&gt;AG$7)),0,MAX(0,ROUND((INDEX($E395:$G395,AG$5)-SUMIFS(TF_Timer,TF_Tekniker,AG$4,TF_Dato,$A395))*2,0)/2)))</f>
        <v/>
      </c>
      <c r="AH395">
        <f>IF(OR(AH$4="",$A395&gt;TODAY()),0,IF(OR(INDEX($B395:$D395,AH$5)="F",AND(AH$6&gt;0,$A395&lt;AH$6),AND(AH$7&gt;0,$A395&gt;AH$7)),0,MAX(0,ROUND((INDEX($E395:$G395,AH$5)-SUMIFS(TF_Timer,TF_Tekniker,AH$4,TF_Dato,$A395))*2,0)/2)))</f>
        <v/>
      </c>
      <c r="AI395">
        <f>IF(OR(AI$4="",$A395&gt;TODAY()),0,IF(OR(INDEX($B395:$D395,AI$5)="F",AND(AI$6&gt;0,$A395&lt;AI$6),AND(AI$7&gt;0,$A395&gt;AI$7)),0,MAX(0,ROUND((INDEX($E395:$G395,AI$5)-SUMIFS(TF_Timer,TF_Tekniker,AI$4,TF_Dato,$A395))*2,0)/2)))</f>
        <v/>
      </c>
      <c r="AJ395">
        <f>IF(OR(AJ$4="",$A395&gt;TODAY()),0,IF(OR(INDEX($B395:$D395,AJ$5)="F",AND(AJ$6&gt;0,$A395&lt;AJ$6),AND(AJ$7&gt;0,$A395&gt;AJ$7)),0,MAX(0,ROUND((INDEX($E395:$G395,AJ$5)-SUMIFS(TF_Timer,TF_Tekniker,AJ$4,TF_Dato,$A395))*2,0)/2)))</f>
        <v/>
      </c>
      <c r="AK395">
        <f>IF(OR(AK$4="",$A395&gt;TODAY()),0,IF(OR(INDEX($B395:$D395,AK$5)="F",AND(AK$6&gt;0,$A395&lt;AK$6),AND(AK$7&gt;0,$A395&gt;AK$7)),0,MAX(0,ROUND((INDEX($E395:$G395,AK$5)-SUMIFS(TF_Timer,TF_Tekniker,AK$4,TF_Dato,$A395))*2,0)/2)))</f>
        <v/>
      </c>
      <c r="AL395">
        <f>IF(OR(AL$4="",$A395&gt;TODAY()),0,IF(OR(INDEX($B395:$D395,AL$5)="F",AND(AL$6&gt;0,$A395&lt;AL$6),AND(AL$7&gt;0,$A395&gt;AL$7)),0,MAX(0,ROUND((INDEX($E395:$G395,AL$5)-SUMIFS(TF_Timer,TF_Tekniker,AL$4,TF_Dato,$A395))*2,0)/2)))</f>
        <v/>
      </c>
      <c r="AM395">
        <f>IF(OR(AM$4="",$A395&gt;TODAY()),0,IF(OR(INDEX($B395:$D395,AM$5)="F",AND(AM$6&gt;0,$A395&lt;AM$6),AND(AM$7&gt;0,$A395&gt;AM$7)),0,MAX(0,ROUND((INDEX($E395:$G395,AM$5)-SUMIFS(TF_Timer,TF_Tekniker,AM$4,TF_Dato,$A395))*2,0)/2)))</f>
        <v/>
      </c>
      <c r="AN395">
        <f>IF(OR(AN$4="",$A395&gt;TODAY()),0,IF(OR(INDEX($B395:$D395,AN$5)="F",AND(AN$6&gt;0,$A395&lt;AN$6),AND(AN$7&gt;0,$A395&gt;AN$7)),0,MAX(0,ROUND((INDEX($E395:$G395,AN$5)-SUMIFS(TF_Timer,TF_Tekniker,AN$4,TF_Dato,$A395))*2,0)/2)))</f>
        <v/>
      </c>
      <c r="AO395">
        <f>IF(OR(AO$4="",$A395&gt;TODAY()),0,IF(OR(INDEX($B395:$D395,AO$5)="F",AND(AO$6&gt;0,$A395&lt;AO$6),AND(AO$7&gt;0,$A395&gt;AO$7)),0,MAX(0,ROUND((INDEX($E395:$G395,AO$5)-SUMIFS(TF_Timer,TF_Tekniker,AO$4,TF_Dato,$A395))*2,0)/2)))</f>
        <v/>
      </c>
      <c r="AP395">
        <f>IF(OR(AP$4="",$A395&gt;TODAY()),0,IF(OR(INDEX($B395:$D395,AP$5)="F",AND(AP$6&gt;0,$A395&lt;AP$6),AND(AP$7&gt;0,$A395&gt;AP$7)),0,MAX(0,ROUND((INDEX($E395:$G395,AP$5)-SUMIFS(TF_Timer,TF_Tekniker,AP$4,TF_Dato,$A395))*2,0)/2)))</f>
        <v/>
      </c>
      <c r="AQ395">
        <f>IF(OR(AQ$4="",$A395&gt;TODAY()),0,IF(OR(INDEX($B395:$D395,AQ$5)="F",AND(AQ$6&gt;0,$A395&lt;AQ$6),AND(AQ$7&gt;0,$A395&gt;AQ$7)),0,MAX(0,ROUND((INDEX($E395:$G395,AQ$5)-SUMIFS(TF_Timer,TF_Tekniker,AQ$4,TF_Dato,$A395))*2,0)/2)))</f>
        <v/>
      </c>
      <c r="AR395">
        <f>IF(OR(AR$4="",$A395&gt;TODAY()),0,IF(OR(INDEX($B395:$D395,AR$5)="F",AND(AR$6&gt;0,$A395&lt;AR$6),AND(AR$7&gt;0,$A395&gt;AR$7)),0,MAX(0,ROUND((INDEX($E395:$G395,AR$5)-SUMIFS(TF_Timer,TF_Tekniker,AR$4,TF_Dato,$A395))*2,0)/2)))</f>
        <v/>
      </c>
      <c r="AS395">
        <f>IF(OR(AS$4="",$A395&gt;TODAY()),0,IF(OR(INDEX($B395:$D395,AS$5)="F",AND(AS$6&gt;0,$A395&lt;AS$6),AND(AS$7&gt;0,$A395&gt;AS$7)),0,MAX(0,ROUND((INDEX($E395:$G395,AS$5)-SUMIFS(TF_Timer,TF_Tekniker,AS$4,TF_Dato,$A395))*2,0)/2)))</f>
        <v/>
      </c>
      <c r="AT395">
        <f>IF(OR(AT$4="",$A395&gt;TODAY()),0,IF(OR(INDEX($B395:$D395,AT$5)="F",AND(AT$6&gt;0,$A395&lt;AT$6),AND(AT$7&gt;0,$A395&gt;AT$7)),0,MAX(0,ROUND((INDEX($E395:$G395,AT$5)-SUMIFS(TF_Timer,TF_Tekniker,AT$4,TF_Dato,$A395))*2,0)/2)))</f>
        <v/>
      </c>
      <c r="AU395">
        <f>IF(OR(AU$4="",$A395&gt;TODAY()),0,IF(OR(INDEX($B395:$D395,AU$5)="F",AND(AU$6&gt;0,$A395&lt;AU$6),AND(AU$7&gt;0,$A395&gt;AU$7)),0,MAX(0,ROUND((INDEX($E395:$G395,AU$5)-SUMIFS(TF_Timer,TF_Tekniker,AU$4,TF_Dato,$A395))*2,0)/2)))</f>
        <v/>
      </c>
      <c r="AV395">
        <f>IF(OR(AV$4="",$A395&gt;TODAY()),0,IF(OR(INDEX($B395:$D395,AV$5)="F",AND(AV$6&gt;0,$A395&lt;AV$6),AND(AV$7&gt;0,$A395&gt;AV$7)),0,MAX(0,ROUND((INDEX($E395:$G395,AV$5)-SUMIFS(TF_Timer,TF_Tekniker,AV$4,TF_Dato,$A395))*2,0)/2)))</f>
        <v/>
      </c>
      <c r="AW395">
        <f>IF(OR(AW$4="",$A395&gt;TODAY()),0,IF(OR(INDEX($B395:$D395,AW$5)="F",AND(AW$6&gt;0,$A395&lt;AW$6),AND(AW$7&gt;0,$A395&gt;AW$7)),0,MAX(0,ROUND((INDEX($E395:$G395,AW$5)-SUMIFS(TF_Timer,TF_Tekniker,AW$4,TF_Dato,$A395))*2,0)/2)))</f>
        <v/>
      </c>
      <c r="AX395">
        <f>IF(OR(AX$4="",$A395&gt;TODAY()),0,IF(OR(INDEX($B395:$D395,AX$5)="F",AND(AX$6&gt;0,$A395&lt;AX$6),AND(AX$7&gt;0,$A395&gt;AX$7)),0,MAX(0,ROUND((INDEX($E395:$G395,AX$5)-SUMIFS(TF_Timer,TF_Tekniker,AX$4,TF_Dato,$A395))*2,0)/2)))</f>
        <v/>
      </c>
      <c r="AY395">
        <f>IF(OR(AY$4="",$A395&gt;TODAY()),0,IF(OR(INDEX($B395:$D395,AY$5)="F",AND(AY$6&gt;0,$A395&lt;AY$6),AND(AY$7&gt;0,$A395&gt;AY$7)),0,MAX(0,ROUND((INDEX($E395:$G395,AY$5)-SUMIFS(TF_Timer,TF_Tekniker,AY$4,TF_Dato,$A395))*2,0)/2)))</f>
        <v/>
      </c>
      <c r="AZ395">
        <f>IF(OR(AZ$4="",$A395&gt;TODAY()),0,IF(OR(INDEX($B395:$D395,AZ$5)="F",AND(AZ$6&gt;0,$A395&lt;AZ$6),AND(AZ$7&gt;0,$A395&gt;AZ$7)),0,MAX(0,ROUND((INDEX($E395:$G395,AZ$5)-SUMIFS(TF_Timer,TF_Tekniker,AZ$4,TF_Dato,$A395))*2,0)/2)))</f>
        <v/>
      </c>
      <c r="BA395">
        <f>IF(OR(BA$4="",$A395&gt;TODAY()),0,IF(OR(INDEX($B395:$D395,BA$5)="F",AND(BA$6&gt;0,$A395&lt;BA$6),AND(BA$7&gt;0,$A395&gt;BA$7)),0,MAX(0,ROUND((INDEX($E395:$G395,BA$5)-SUMIFS(TF_Timer,TF_Tekniker,BA$4,TF_Dato,$A395))*2,0)/2)))</f>
        <v/>
      </c>
      <c r="BB395">
        <f>IF(OR(BB$4="",$A395&gt;TODAY()),0,IF(OR(INDEX($B395:$D395,BB$5)="F",AND(BB$6&gt;0,$A395&lt;BB$6),AND(BB$7&gt;0,$A395&gt;BB$7)),0,MAX(0,ROUND((INDEX($E395:$G395,BB$5)-SUMIFS(TF_Timer,TF_Tekniker,BB$4,TF_Dato,$A395))*2,0)/2)))</f>
        <v/>
      </c>
      <c r="BC395">
        <f>IF(OR(BC$4="",$A395&gt;TODAY()),0,IF(OR(INDEX($B395:$D395,BC$5)="F",AND(BC$6&gt;0,$A395&lt;BC$6),AND(BC$7&gt;0,$A395&gt;BC$7)),0,MAX(0,ROUND((INDEX($E395:$G395,BC$5)-SUMIFS(TF_Timer,TF_Tekniker,BC$4,TF_Dato,$A395))*2,0)/2)))</f>
        <v/>
      </c>
      <c r="BD395">
        <f>IF(OR(BD$4="",$A395&gt;TODAY()),0,IF(OR(INDEX($B395:$D395,BD$5)="F",AND(BD$6&gt;0,$A395&lt;BD$6),AND(BD$7&gt;0,$A395&gt;BD$7)),0,MAX(0,ROUND((INDEX($E395:$G395,BD$5)-SUMIFS(TF_Timer,TF_Tekniker,BD$4,TF_Dato,$A395))*2,0)/2)))</f>
        <v/>
      </c>
      <c r="BE395">
        <f>IF(OR(BE$4="",$A395&gt;TODAY()),0,IF(OR(INDEX($B395:$D395,BE$5)="F",AND(BE$6&gt;0,$A395&lt;BE$6),AND(BE$7&gt;0,$A395&gt;BE$7)),0,MAX(0,ROUND((INDEX($E395:$G395,BE$5)-SUMIFS(TF_Timer,TF_Tekniker,BE$4,TF_Dato,$A395))*2,0)/2)))</f>
        <v/>
      </c>
      <c r="BF395">
        <f>IF(OR(BF$4="",$A395&gt;TODAY()),0,IF(OR(INDEX($B395:$D395,BF$5)="F",AND(BF$6&gt;0,$A395&lt;BF$6),AND(BF$7&gt;0,$A395&gt;BF$7)),0,MAX(0,ROUND((INDEX($E395:$G395,BF$5)-SUMIFS(TF_Timer,TF_Tekniker,BF$4,TF_Dato,$A395))*2,0)/2)))</f>
        <v/>
      </c>
      <c r="BG395">
        <f>IF(OR(BG$4="",$A395&gt;TODAY()),0,IF(OR(INDEX($B395:$D395,BG$5)="F",AND(BG$6&gt;0,$A395&lt;BG$6),AND(BG$7&gt;0,$A395&gt;BG$7)),0,MAX(0,ROUND((INDEX($E395:$G395,BG$5)-SUMIFS(TF_Timer,TF_Tekniker,BG$4,TF_Dato,$A395))*2,0)/2)))</f>
        <v/>
      </c>
      <c r="BH395">
        <f>IF(OR(BH$4="",$A395&gt;TODAY()),0,IF(OR(INDEX($B395:$D395,BH$5)="F",AND(BH$6&gt;0,$A395&lt;BH$6),AND(BH$7&gt;0,$A395&gt;BH$7)),0,MAX(0,ROUND((INDEX($E395:$G395,BH$5)-SUMIFS(TF_Timer,TF_Tekniker,BH$4,TF_Dato,$A395))*2,0)/2)))</f>
        <v/>
      </c>
      <c r="BI395">
        <f>IF(OR(BI$4="",$A395&gt;TODAY()),0,IF(OR(INDEX($B395:$D395,BI$5)="F",AND(BI$6&gt;0,$A395&lt;BI$6),AND(BI$7&gt;0,$A395&gt;BI$7)),0,MAX(0,ROUND((INDEX($E395:$G395,BI$5)-SUMIFS(TF_Timer,TF_Tekniker,BI$4,TF_Dato,$A395))*2,0)/2)))</f>
        <v/>
      </c>
    </row>
    <row r="396">
      <c r="A396" s="64">
        <f>A395+1</f>
        <v/>
      </c>
      <c r="B396">
        <f>IF(MOD($A396-INDEX(SkiftStart,1),Syklus)&lt;DagK,"K",IF(MOD($A396-INDEX(SkiftStart,1),Syklus)&lt;DagK+DagH,"H",IF(MOD($A396-INDEX(SkiftStart,1),Syklus)&lt;DagK+DagH+DagD,"D","F")))</f>
        <v/>
      </c>
      <c r="C396">
        <f>IF(MOD($A396-INDEX(SkiftStart,2),Syklus)&lt;DagK,"K",IF(MOD($A396-INDEX(SkiftStart,2),Syklus)&lt;DagK+DagH,"H",IF(MOD($A396-INDEX(SkiftStart,2),Syklus)&lt;DagK+DagH+DagD,"D","F")))</f>
        <v/>
      </c>
      <c r="D396">
        <f>IF(MOD($A396-INDEX(SkiftStart,3),Syklus)&lt;DagK,"K",IF(MOD($A396-INDEX(SkiftStart,3),Syklus)&lt;DagK+DagH,"H",IF(MOD($A396-INDEX(SkiftStart,3),Syklus)&lt;DagK+DagH+DagD,"D","F")))</f>
        <v/>
      </c>
      <c r="E396">
        <f>IF(B396="F",0,IF(WEEKDAY($A396,2)=5,INDEX(TimerFr,MATCH(B396,FaseKode,0)),INDEX(TimerMT,MATCH(B396,FaseKode,0))))</f>
        <v/>
      </c>
      <c r="F396">
        <f>IF(C396="F",0,IF(WEEKDAY($A396,2)=5,INDEX(TimerFr,MATCH(C396,FaseKode,0)),INDEX(TimerMT,MATCH(C396,FaseKode,0))))</f>
        <v/>
      </c>
      <c r="G396">
        <f>IF(D396="F",0,IF(WEEKDAY($A396,2)=5,INDEX(TimerFr,MATCH(D396,FaseKode,0)),INDEX(TimerMT,MATCH(D396,FaseKode,0))))</f>
        <v/>
      </c>
      <c r="H396">
        <f>IF(OR(H$4="",$A396&gt;TODAY()),0,IF(OR(INDEX($B396:$D396,H$5)="F",AND(H$6&gt;0,$A396&lt;H$6),AND(H$7&gt;0,$A396&gt;H$7)),0,MAX(0,ROUND((INDEX($E396:$G396,H$5)-SUMIFS(TF_Timer,TF_Tekniker,H$4,TF_Dato,$A396))*2,0)/2)))</f>
        <v/>
      </c>
      <c r="I396">
        <f>IF(OR(I$4="",$A396&gt;TODAY()),0,IF(OR(INDEX($B396:$D396,I$5)="F",AND(I$6&gt;0,$A396&lt;I$6),AND(I$7&gt;0,$A396&gt;I$7)),0,MAX(0,ROUND((INDEX($E396:$G396,I$5)-SUMIFS(TF_Timer,TF_Tekniker,I$4,TF_Dato,$A396))*2,0)/2)))</f>
        <v/>
      </c>
      <c r="J396">
        <f>IF(OR(J$4="",$A396&gt;TODAY()),0,IF(OR(INDEX($B396:$D396,J$5)="F",AND(J$6&gt;0,$A396&lt;J$6),AND(J$7&gt;0,$A396&gt;J$7)),0,MAX(0,ROUND((INDEX($E396:$G396,J$5)-SUMIFS(TF_Timer,TF_Tekniker,J$4,TF_Dato,$A396))*2,0)/2)))</f>
        <v/>
      </c>
      <c r="K396">
        <f>IF(OR(K$4="",$A396&gt;TODAY()),0,IF(OR(INDEX($B396:$D396,K$5)="F",AND(K$6&gt;0,$A396&lt;K$6),AND(K$7&gt;0,$A396&gt;K$7)),0,MAX(0,ROUND((INDEX($E396:$G396,K$5)-SUMIFS(TF_Timer,TF_Tekniker,K$4,TF_Dato,$A396))*2,0)/2)))</f>
        <v/>
      </c>
      <c r="L396">
        <f>IF(OR(L$4="",$A396&gt;TODAY()),0,IF(OR(INDEX($B396:$D396,L$5)="F",AND(L$6&gt;0,$A396&lt;L$6),AND(L$7&gt;0,$A396&gt;L$7)),0,MAX(0,ROUND((INDEX($E396:$G396,L$5)-SUMIFS(TF_Timer,TF_Tekniker,L$4,TF_Dato,$A396))*2,0)/2)))</f>
        <v/>
      </c>
      <c r="M396">
        <f>IF(OR(M$4="",$A396&gt;TODAY()),0,IF(OR(INDEX($B396:$D396,M$5)="F",AND(M$6&gt;0,$A396&lt;M$6),AND(M$7&gt;0,$A396&gt;M$7)),0,MAX(0,ROUND((INDEX($E396:$G396,M$5)-SUMIFS(TF_Timer,TF_Tekniker,M$4,TF_Dato,$A396))*2,0)/2)))</f>
        <v/>
      </c>
      <c r="N396">
        <f>IF(OR(N$4="",$A396&gt;TODAY()),0,IF(OR(INDEX($B396:$D396,N$5)="F",AND(N$6&gt;0,$A396&lt;N$6),AND(N$7&gt;0,$A396&gt;N$7)),0,MAX(0,ROUND((INDEX($E396:$G396,N$5)-SUMIFS(TF_Timer,TF_Tekniker,N$4,TF_Dato,$A396))*2,0)/2)))</f>
        <v/>
      </c>
      <c r="O396">
        <f>IF(OR(O$4="",$A396&gt;TODAY()),0,IF(OR(INDEX($B396:$D396,O$5)="F",AND(O$6&gt;0,$A396&lt;O$6),AND(O$7&gt;0,$A396&gt;O$7)),0,MAX(0,ROUND((INDEX($E396:$G396,O$5)-SUMIFS(TF_Timer,TF_Tekniker,O$4,TF_Dato,$A396))*2,0)/2)))</f>
        <v/>
      </c>
      <c r="P396">
        <f>IF(OR(P$4="",$A396&gt;TODAY()),0,IF(OR(INDEX($B396:$D396,P$5)="F",AND(P$6&gt;0,$A396&lt;P$6),AND(P$7&gt;0,$A396&gt;P$7)),0,MAX(0,ROUND((INDEX($E396:$G396,P$5)-SUMIFS(TF_Timer,TF_Tekniker,P$4,TF_Dato,$A396))*2,0)/2)))</f>
        <v/>
      </c>
      <c r="Q396">
        <f>IF(OR(Q$4="",$A396&gt;TODAY()),0,IF(OR(INDEX($B396:$D396,Q$5)="F",AND(Q$6&gt;0,$A396&lt;Q$6),AND(Q$7&gt;0,$A396&gt;Q$7)),0,MAX(0,ROUND((INDEX($E396:$G396,Q$5)-SUMIFS(TF_Timer,TF_Tekniker,Q$4,TF_Dato,$A396))*2,0)/2)))</f>
        <v/>
      </c>
      <c r="R396">
        <f>IF(OR(R$4="",$A396&gt;TODAY()),0,IF(OR(INDEX($B396:$D396,R$5)="F",AND(R$6&gt;0,$A396&lt;R$6),AND(R$7&gt;0,$A396&gt;R$7)),0,MAX(0,ROUND((INDEX($E396:$G396,R$5)-SUMIFS(TF_Timer,TF_Tekniker,R$4,TF_Dato,$A396))*2,0)/2)))</f>
        <v/>
      </c>
      <c r="S396">
        <f>IF(OR(S$4="",$A396&gt;TODAY()),0,IF(OR(INDEX($B396:$D396,S$5)="F",AND(S$6&gt;0,$A396&lt;S$6),AND(S$7&gt;0,$A396&gt;S$7)),0,MAX(0,ROUND((INDEX($E396:$G396,S$5)-SUMIFS(TF_Timer,TF_Tekniker,S$4,TF_Dato,$A396))*2,0)/2)))</f>
        <v/>
      </c>
      <c r="T396">
        <f>IF(OR(T$4="",$A396&gt;TODAY()),0,IF(OR(INDEX($B396:$D396,T$5)="F",AND(T$6&gt;0,$A396&lt;T$6),AND(T$7&gt;0,$A396&gt;T$7)),0,MAX(0,ROUND((INDEX($E396:$G396,T$5)-SUMIFS(TF_Timer,TF_Tekniker,T$4,TF_Dato,$A396))*2,0)/2)))</f>
        <v/>
      </c>
      <c r="U396">
        <f>IF(OR(U$4="",$A396&gt;TODAY()),0,IF(OR(INDEX($B396:$D396,U$5)="F",AND(U$6&gt;0,$A396&lt;U$6),AND(U$7&gt;0,$A396&gt;U$7)),0,MAX(0,ROUND((INDEX($E396:$G396,U$5)-SUMIFS(TF_Timer,TF_Tekniker,U$4,TF_Dato,$A396))*2,0)/2)))</f>
        <v/>
      </c>
      <c r="V396">
        <f>IF(OR(V$4="",$A396&gt;TODAY()),0,IF(OR(INDEX($B396:$D396,V$5)="F",AND(V$6&gt;0,$A396&lt;V$6),AND(V$7&gt;0,$A396&gt;V$7)),0,MAX(0,ROUND((INDEX($E396:$G396,V$5)-SUMIFS(TF_Timer,TF_Tekniker,V$4,TF_Dato,$A396))*2,0)/2)))</f>
        <v/>
      </c>
      <c r="W396">
        <f>IF(OR(W$4="",$A396&gt;TODAY()),0,IF(OR(INDEX($B396:$D396,W$5)="F",AND(W$6&gt;0,$A396&lt;W$6),AND(W$7&gt;0,$A396&gt;W$7)),0,MAX(0,ROUND((INDEX($E396:$G396,W$5)-SUMIFS(TF_Timer,TF_Tekniker,W$4,TF_Dato,$A396))*2,0)/2)))</f>
        <v/>
      </c>
      <c r="X396">
        <f>IF(OR(X$4="",$A396&gt;TODAY()),0,IF(OR(INDEX($B396:$D396,X$5)="F",AND(X$6&gt;0,$A396&lt;X$6),AND(X$7&gt;0,$A396&gt;X$7)),0,MAX(0,ROUND((INDEX($E396:$G396,X$5)-SUMIFS(TF_Timer,TF_Tekniker,X$4,TF_Dato,$A396))*2,0)/2)))</f>
        <v/>
      </c>
      <c r="Y396">
        <f>IF(OR(Y$4="",$A396&gt;TODAY()),0,IF(OR(INDEX($B396:$D396,Y$5)="F",AND(Y$6&gt;0,$A396&lt;Y$6),AND(Y$7&gt;0,$A396&gt;Y$7)),0,MAX(0,ROUND((INDEX($E396:$G396,Y$5)-SUMIFS(TF_Timer,TF_Tekniker,Y$4,TF_Dato,$A396))*2,0)/2)))</f>
        <v/>
      </c>
      <c r="Z396">
        <f>IF(OR(Z$4="",$A396&gt;TODAY()),0,IF(OR(INDEX($B396:$D396,Z$5)="F",AND(Z$6&gt;0,$A396&lt;Z$6),AND(Z$7&gt;0,$A396&gt;Z$7)),0,MAX(0,ROUND((INDEX($E396:$G396,Z$5)-SUMIFS(TF_Timer,TF_Tekniker,Z$4,TF_Dato,$A396))*2,0)/2)))</f>
        <v/>
      </c>
      <c r="AA396">
        <f>IF(OR(AA$4="",$A396&gt;TODAY()),0,IF(OR(INDEX($B396:$D396,AA$5)="F",AND(AA$6&gt;0,$A396&lt;AA$6),AND(AA$7&gt;0,$A396&gt;AA$7)),0,MAX(0,ROUND((INDEX($E396:$G396,AA$5)-SUMIFS(TF_Timer,TF_Tekniker,AA$4,TF_Dato,$A396))*2,0)/2)))</f>
        <v/>
      </c>
      <c r="AB396">
        <f>IF(OR(AB$4="",$A396&gt;TODAY()),0,IF(OR(INDEX($B396:$D396,AB$5)="F",AND(AB$6&gt;0,$A396&lt;AB$6),AND(AB$7&gt;0,$A396&gt;AB$7)),0,MAX(0,ROUND((INDEX($E396:$G396,AB$5)-SUMIFS(TF_Timer,TF_Tekniker,AB$4,TF_Dato,$A396))*2,0)/2)))</f>
        <v/>
      </c>
      <c r="AC396">
        <f>IF(OR(AC$4="",$A396&gt;TODAY()),0,IF(OR(INDEX($B396:$D396,AC$5)="F",AND(AC$6&gt;0,$A396&lt;AC$6),AND(AC$7&gt;0,$A396&gt;AC$7)),0,MAX(0,ROUND((INDEX($E396:$G396,AC$5)-SUMIFS(TF_Timer,TF_Tekniker,AC$4,TF_Dato,$A396))*2,0)/2)))</f>
        <v/>
      </c>
      <c r="AD396">
        <f>IF(OR(AD$4="",$A396&gt;TODAY()),0,IF(OR(INDEX($B396:$D396,AD$5)="F",AND(AD$6&gt;0,$A396&lt;AD$6),AND(AD$7&gt;0,$A396&gt;AD$7)),0,MAX(0,ROUND((INDEX($E396:$G396,AD$5)-SUMIFS(TF_Timer,TF_Tekniker,AD$4,TF_Dato,$A396))*2,0)/2)))</f>
        <v/>
      </c>
      <c r="AE396">
        <f>IF(OR(AE$4="",$A396&gt;TODAY()),0,IF(OR(INDEX($B396:$D396,AE$5)="F",AND(AE$6&gt;0,$A396&lt;AE$6),AND(AE$7&gt;0,$A396&gt;AE$7)),0,MAX(0,ROUND((INDEX($E396:$G396,AE$5)-SUMIFS(TF_Timer,TF_Tekniker,AE$4,TF_Dato,$A396))*2,0)/2)))</f>
        <v/>
      </c>
      <c r="AF396">
        <f>IF(OR(AF$4="",$A396&gt;TODAY()),0,IF(OR(INDEX($B396:$D396,AF$5)="F",AND(AF$6&gt;0,$A396&lt;AF$6),AND(AF$7&gt;0,$A396&gt;AF$7)),0,MAX(0,ROUND((INDEX($E396:$G396,AF$5)-SUMIFS(TF_Timer,TF_Tekniker,AF$4,TF_Dato,$A396))*2,0)/2)))</f>
        <v/>
      </c>
      <c r="AG396">
        <f>IF(OR(AG$4="",$A396&gt;TODAY()),0,IF(OR(INDEX($B396:$D396,AG$5)="F",AND(AG$6&gt;0,$A396&lt;AG$6),AND(AG$7&gt;0,$A396&gt;AG$7)),0,MAX(0,ROUND((INDEX($E396:$G396,AG$5)-SUMIFS(TF_Timer,TF_Tekniker,AG$4,TF_Dato,$A396))*2,0)/2)))</f>
        <v/>
      </c>
      <c r="AH396">
        <f>IF(OR(AH$4="",$A396&gt;TODAY()),0,IF(OR(INDEX($B396:$D396,AH$5)="F",AND(AH$6&gt;0,$A396&lt;AH$6),AND(AH$7&gt;0,$A396&gt;AH$7)),0,MAX(0,ROUND((INDEX($E396:$G396,AH$5)-SUMIFS(TF_Timer,TF_Tekniker,AH$4,TF_Dato,$A396))*2,0)/2)))</f>
        <v/>
      </c>
      <c r="AI396">
        <f>IF(OR(AI$4="",$A396&gt;TODAY()),0,IF(OR(INDEX($B396:$D396,AI$5)="F",AND(AI$6&gt;0,$A396&lt;AI$6),AND(AI$7&gt;0,$A396&gt;AI$7)),0,MAX(0,ROUND((INDEX($E396:$G396,AI$5)-SUMIFS(TF_Timer,TF_Tekniker,AI$4,TF_Dato,$A396))*2,0)/2)))</f>
        <v/>
      </c>
      <c r="AJ396">
        <f>IF(OR(AJ$4="",$A396&gt;TODAY()),0,IF(OR(INDEX($B396:$D396,AJ$5)="F",AND(AJ$6&gt;0,$A396&lt;AJ$6),AND(AJ$7&gt;0,$A396&gt;AJ$7)),0,MAX(0,ROUND((INDEX($E396:$G396,AJ$5)-SUMIFS(TF_Timer,TF_Tekniker,AJ$4,TF_Dato,$A396))*2,0)/2)))</f>
        <v/>
      </c>
      <c r="AK396">
        <f>IF(OR(AK$4="",$A396&gt;TODAY()),0,IF(OR(INDEX($B396:$D396,AK$5)="F",AND(AK$6&gt;0,$A396&lt;AK$6),AND(AK$7&gt;0,$A396&gt;AK$7)),0,MAX(0,ROUND((INDEX($E396:$G396,AK$5)-SUMIFS(TF_Timer,TF_Tekniker,AK$4,TF_Dato,$A396))*2,0)/2)))</f>
        <v/>
      </c>
      <c r="AL396">
        <f>IF(OR(AL$4="",$A396&gt;TODAY()),0,IF(OR(INDEX($B396:$D396,AL$5)="F",AND(AL$6&gt;0,$A396&lt;AL$6),AND(AL$7&gt;0,$A396&gt;AL$7)),0,MAX(0,ROUND((INDEX($E396:$G396,AL$5)-SUMIFS(TF_Timer,TF_Tekniker,AL$4,TF_Dato,$A396))*2,0)/2)))</f>
        <v/>
      </c>
      <c r="AM396">
        <f>IF(OR(AM$4="",$A396&gt;TODAY()),0,IF(OR(INDEX($B396:$D396,AM$5)="F",AND(AM$6&gt;0,$A396&lt;AM$6),AND(AM$7&gt;0,$A396&gt;AM$7)),0,MAX(0,ROUND((INDEX($E396:$G396,AM$5)-SUMIFS(TF_Timer,TF_Tekniker,AM$4,TF_Dato,$A396))*2,0)/2)))</f>
        <v/>
      </c>
      <c r="AN396">
        <f>IF(OR(AN$4="",$A396&gt;TODAY()),0,IF(OR(INDEX($B396:$D396,AN$5)="F",AND(AN$6&gt;0,$A396&lt;AN$6),AND(AN$7&gt;0,$A396&gt;AN$7)),0,MAX(0,ROUND((INDEX($E396:$G396,AN$5)-SUMIFS(TF_Timer,TF_Tekniker,AN$4,TF_Dato,$A396))*2,0)/2)))</f>
        <v/>
      </c>
      <c r="AO396">
        <f>IF(OR(AO$4="",$A396&gt;TODAY()),0,IF(OR(INDEX($B396:$D396,AO$5)="F",AND(AO$6&gt;0,$A396&lt;AO$6),AND(AO$7&gt;0,$A396&gt;AO$7)),0,MAX(0,ROUND((INDEX($E396:$G396,AO$5)-SUMIFS(TF_Timer,TF_Tekniker,AO$4,TF_Dato,$A396))*2,0)/2)))</f>
        <v/>
      </c>
      <c r="AP396">
        <f>IF(OR(AP$4="",$A396&gt;TODAY()),0,IF(OR(INDEX($B396:$D396,AP$5)="F",AND(AP$6&gt;0,$A396&lt;AP$6),AND(AP$7&gt;0,$A396&gt;AP$7)),0,MAX(0,ROUND((INDEX($E396:$G396,AP$5)-SUMIFS(TF_Timer,TF_Tekniker,AP$4,TF_Dato,$A396))*2,0)/2)))</f>
        <v/>
      </c>
      <c r="AQ396">
        <f>IF(OR(AQ$4="",$A396&gt;TODAY()),0,IF(OR(INDEX($B396:$D396,AQ$5)="F",AND(AQ$6&gt;0,$A396&lt;AQ$6),AND(AQ$7&gt;0,$A396&gt;AQ$7)),0,MAX(0,ROUND((INDEX($E396:$G396,AQ$5)-SUMIFS(TF_Timer,TF_Tekniker,AQ$4,TF_Dato,$A396))*2,0)/2)))</f>
        <v/>
      </c>
      <c r="AR396">
        <f>IF(OR(AR$4="",$A396&gt;TODAY()),0,IF(OR(INDEX($B396:$D396,AR$5)="F",AND(AR$6&gt;0,$A396&lt;AR$6),AND(AR$7&gt;0,$A396&gt;AR$7)),0,MAX(0,ROUND((INDEX($E396:$G396,AR$5)-SUMIFS(TF_Timer,TF_Tekniker,AR$4,TF_Dato,$A396))*2,0)/2)))</f>
        <v/>
      </c>
      <c r="AS396">
        <f>IF(OR(AS$4="",$A396&gt;TODAY()),0,IF(OR(INDEX($B396:$D396,AS$5)="F",AND(AS$6&gt;0,$A396&lt;AS$6),AND(AS$7&gt;0,$A396&gt;AS$7)),0,MAX(0,ROUND((INDEX($E396:$G396,AS$5)-SUMIFS(TF_Timer,TF_Tekniker,AS$4,TF_Dato,$A396))*2,0)/2)))</f>
        <v/>
      </c>
      <c r="AT396">
        <f>IF(OR(AT$4="",$A396&gt;TODAY()),0,IF(OR(INDEX($B396:$D396,AT$5)="F",AND(AT$6&gt;0,$A396&lt;AT$6),AND(AT$7&gt;0,$A396&gt;AT$7)),0,MAX(0,ROUND((INDEX($E396:$G396,AT$5)-SUMIFS(TF_Timer,TF_Tekniker,AT$4,TF_Dato,$A396))*2,0)/2)))</f>
        <v/>
      </c>
      <c r="AU396">
        <f>IF(OR(AU$4="",$A396&gt;TODAY()),0,IF(OR(INDEX($B396:$D396,AU$5)="F",AND(AU$6&gt;0,$A396&lt;AU$6),AND(AU$7&gt;0,$A396&gt;AU$7)),0,MAX(0,ROUND((INDEX($E396:$G396,AU$5)-SUMIFS(TF_Timer,TF_Tekniker,AU$4,TF_Dato,$A396))*2,0)/2)))</f>
        <v/>
      </c>
      <c r="AV396">
        <f>IF(OR(AV$4="",$A396&gt;TODAY()),0,IF(OR(INDEX($B396:$D396,AV$5)="F",AND(AV$6&gt;0,$A396&lt;AV$6),AND(AV$7&gt;0,$A396&gt;AV$7)),0,MAX(0,ROUND((INDEX($E396:$G396,AV$5)-SUMIFS(TF_Timer,TF_Tekniker,AV$4,TF_Dato,$A396))*2,0)/2)))</f>
        <v/>
      </c>
      <c r="AW396">
        <f>IF(OR(AW$4="",$A396&gt;TODAY()),0,IF(OR(INDEX($B396:$D396,AW$5)="F",AND(AW$6&gt;0,$A396&lt;AW$6),AND(AW$7&gt;0,$A396&gt;AW$7)),0,MAX(0,ROUND((INDEX($E396:$G396,AW$5)-SUMIFS(TF_Timer,TF_Tekniker,AW$4,TF_Dato,$A396))*2,0)/2)))</f>
        <v/>
      </c>
      <c r="AX396">
        <f>IF(OR(AX$4="",$A396&gt;TODAY()),0,IF(OR(INDEX($B396:$D396,AX$5)="F",AND(AX$6&gt;0,$A396&lt;AX$6),AND(AX$7&gt;0,$A396&gt;AX$7)),0,MAX(0,ROUND((INDEX($E396:$G396,AX$5)-SUMIFS(TF_Timer,TF_Tekniker,AX$4,TF_Dato,$A396))*2,0)/2)))</f>
        <v/>
      </c>
      <c r="AY396">
        <f>IF(OR(AY$4="",$A396&gt;TODAY()),0,IF(OR(INDEX($B396:$D396,AY$5)="F",AND(AY$6&gt;0,$A396&lt;AY$6),AND(AY$7&gt;0,$A396&gt;AY$7)),0,MAX(0,ROUND((INDEX($E396:$G396,AY$5)-SUMIFS(TF_Timer,TF_Tekniker,AY$4,TF_Dato,$A396))*2,0)/2)))</f>
        <v/>
      </c>
      <c r="AZ396">
        <f>IF(OR(AZ$4="",$A396&gt;TODAY()),0,IF(OR(INDEX($B396:$D396,AZ$5)="F",AND(AZ$6&gt;0,$A396&lt;AZ$6),AND(AZ$7&gt;0,$A396&gt;AZ$7)),0,MAX(0,ROUND((INDEX($E396:$G396,AZ$5)-SUMIFS(TF_Timer,TF_Tekniker,AZ$4,TF_Dato,$A396))*2,0)/2)))</f>
        <v/>
      </c>
      <c r="BA396">
        <f>IF(OR(BA$4="",$A396&gt;TODAY()),0,IF(OR(INDEX($B396:$D396,BA$5)="F",AND(BA$6&gt;0,$A396&lt;BA$6),AND(BA$7&gt;0,$A396&gt;BA$7)),0,MAX(0,ROUND((INDEX($E396:$G396,BA$5)-SUMIFS(TF_Timer,TF_Tekniker,BA$4,TF_Dato,$A396))*2,0)/2)))</f>
        <v/>
      </c>
      <c r="BB396">
        <f>IF(OR(BB$4="",$A396&gt;TODAY()),0,IF(OR(INDEX($B396:$D396,BB$5)="F",AND(BB$6&gt;0,$A396&lt;BB$6),AND(BB$7&gt;0,$A396&gt;BB$7)),0,MAX(0,ROUND((INDEX($E396:$G396,BB$5)-SUMIFS(TF_Timer,TF_Tekniker,BB$4,TF_Dato,$A396))*2,0)/2)))</f>
        <v/>
      </c>
      <c r="BC396">
        <f>IF(OR(BC$4="",$A396&gt;TODAY()),0,IF(OR(INDEX($B396:$D396,BC$5)="F",AND(BC$6&gt;0,$A396&lt;BC$6),AND(BC$7&gt;0,$A396&gt;BC$7)),0,MAX(0,ROUND((INDEX($E396:$G396,BC$5)-SUMIFS(TF_Timer,TF_Tekniker,BC$4,TF_Dato,$A396))*2,0)/2)))</f>
        <v/>
      </c>
      <c r="BD396">
        <f>IF(OR(BD$4="",$A396&gt;TODAY()),0,IF(OR(INDEX($B396:$D396,BD$5)="F",AND(BD$6&gt;0,$A396&lt;BD$6),AND(BD$7&gt;0,$A396&gt;BD$7)),0,MAX(0,ROUND((INDEX($E396:$G396,BD$5)-SUMIFS(TF_Timer,TF_Tekniker,BD$4,TF_Dato,$A396))*2,0)/2)))</f>
        <v/>
      </c>
      <c r="BE396">
        <f>IF(OR(BE$4="",$A396&gt;TODAY()),0,IF(OR(INDEX($B396:$D396,BE$5)="F",AND(BE$6&gt;0,$A396&lt;BE$6),AND(BE$7&gt;0,$A396&gt;BE$7)),0,MAX(0,ROUND((INDEX($E396:$G396,BE$5)-SUMIFS(TF_Timer,TF_Tekniker,BE$4,TF_Dato,$A396))*2,0)/2)))</f>
        <v/>
      </c>
      <c r="BF396">
        <f>IF(OR(BF$4="",$A396&gt;TODAY()),0,IF(OR(INDEX($B396:$D396,BF$5)="F",AND(BF$6&gt;0,$A396&lt;BF$6),AND(BF$7&gt;0,$A396&gt;BF$7)),0,MAX(0,ROUND((INDEX($E396:$G396,BF$5)-SUMIFS(TF_Timer,TF_Tekniker,BF$4,TF_Dato,$A396))*2,0)/2)))</f>
        <v/>
      </c>
      <c r="BG396">
        <f>IF(OR(BG$4="",$A396&gt;TODAY()),0,IF(OR(INDEX($B396:$D396,BG$5)="F",AND(BG$6&gt;0,$A396&lt;BG$6),AND(BG$7&gt;0,$A396&gt;BG$7)),0,MAX(0,ROUND((INDEX($E396:$G396,BG$5)-SUMIFS(TF_Timer,TF_Tekniker,BG$4,TF_Dato,$A396))*2,0)/2)))</f>
        <v/>
      </c>
      <c r="BH396">
        <f>IF(OR(BH$4="",$A396&gt;TODAY()),0,IF(OR(INDEX($B396:$D396,BH$5)="F",AND(BH$6&gt;0,$A396&lt;BH$6),AND(BH$7&gt;0,$A396&gt;BH$7)),0,MAX(0,ROUND((INDEX($E396:$G396,BH$5)-SUMIFS(TF_Timer,TF_Tekniker,BH$4,TF_Dato,$A396))*2,0)/2)))</f>
        <v/>
      </c>
      <c r="BI396">
        <f>IF(OR(BI$4="",$A396&gt;TODAY()),0,IF(OR(INDEX($B396:$D396,BI$5)="F",AND(BI$6&gt;0,$A396&lt;BI$6),AND(BI$7&gt;0,$A396&gt;BI$7)),0,MAX(0,ROUND((INDEX($E396:$G396,BI$5)-SUMIFS(TF_Timer,TF_Tekniker,BI$4,TF_Dato,$A396))*2,0)/2)))</f>
        <v/>
      </c>
    </row>
    <row r="397">
      <c r="A397" s="64">
        <f>A396+1</f>
        <v/>
      </c>
      <c r="B397">
        <f>IF(MOD($A397-INDEX(SkiftStart,1),Syklus)&lt;DagK,"K",IF(MOD($A397-INDEX(SkiftStart,1),Syklus)&lt;DagK+DagH,"H",IF(MOD($A397-INDEX(SkiftStart,1),Syklus)&lt;DagK+DagH+DagD,"D","F")))</f>
        <v/>
      </c>
      <c r="C397">
        <f>IF(MOD($A397-INDEX(SkiftStart,2),Syklus)&lt;DagK,"K",IF(MOD($A397-INDEX(SkiftStart,2),Syklus)&lt;DagK+DagH,"H",IF(MOD($A397-INDEX(SkiftStart,2),Syklus)&lt;DagK+DagH+DagD,"D","F")))</f>
        <v/>
      </c>
      <c r="D397">
        <f>IF(MOD($A397-INDEX(SkiftStart,3),Syklus)&lt;DagK,"K",IF(MOD($A397-INDEX(SkiftStart,3),Syklus)&lt;DagK+DagH,"H",IF(MOD($A397-INDEX(SkiftStart,3),Syklus)&lt;DagK+DagH+DagD,"D","F")))</f>
        <v/>
      </c>
      <c r="E397">
        <f>IF(B397="F",0,IF(WEEKDAY($A397,2)=5,INDEX(TimerFr,MATCH(B397,FaseKode,0)),INDEX(TimerMT,MATCH(B397,FaseKode,0))))</f>
        <v/>
      </c>
      <c r="F397">
        <f>IF(C397="F",0,IF(WEEKDAY($A397,2)=5,INDEX(TimerFr,MATCH(C397,FaseKode,0)),INDEX(TimerMT,MATCH(C397,FaseKode,0))))</f>
        <v/>
      </c>
      <c r="G397">
        <f>IF(D397="F",0,IF(WEEKDAY($A397,2)=5,INDEX(TimerFr,MATCH(D397,FaseKode,0)),INDEX(TimerMT,MATCH(D397,FaseKode,0))))</f>
        <v/>
      </c>
      <c r="H397">
        <f>IF(OR(H$4="",$A397&gt;TODAY()),0,IF(OR(INDEX($B397:$D397,H$5)="F",AND(H$6&gt;0,$A397&lt;H$6),AND(H$7&gt;0,$A397&gt;H$7)),0,MAX(0,ROUND((INDEX($E397:$G397,H$5)-SUMIFS(TF_Timer,TF_Tekniker,H$4,TF_Dato,$A397))*2,0)/2)))</f>
        <v/>
      </c>
      <c r="I397">
        <f>IF(OR(I$4="",$A397&gt;TODAY()),0,IF(OR(INDEX($B397:$D397,I$5)="F",AND(I$6&gt;0,$A397&lt;I$6),AND(I$7&gt;0,$A397&gt;I$7)),0,MAX(0,ROUND((INDEX($E397:$G397,I$5)-SUMIFS(TF_Timer,TF_Tekniker,I$4,TF_Dato,$A397))*2,0)/2)))</f>
        <v/>
      </c>
      <c r="J397">
        <f>IF(OR(J$4="",$A397&gt;TODAY()),0,IF(OR(INDEX($B397:$D397,J$5)="F",AND(J$6&gt;0,$A397&lt;J$6),AND(J$7&gt;0,$A397&gt;J$7)),0,MAX(0,ROUND((INDEX($E397:$G397,J$5)-SUMIFS(TF_Timer,TF_Tekniker,J$4,TF_Dato,$A397))*2,0)/2)))</f>
        <v/>
      </c>
      <c r="K397">
        <f>IF(OR(K$4="",$A397&gt;TODAY()),0,IF(OR(INDEX($B397:$D397,K$5)="F",AND(K$6&gt;0,$A397&lt;K$6),AND(K$7&gt;0,$A397&gt;K$7)),0,MAX(0,ROUND((INDEX($E397:$G397,K$5)-SUMIFS(TF_Timer,TF_Tekniker,K$4,TF_Dato,$A397))*2,0)/2)))</f>
        <v/>
      </c>
      <c r="L397">
        <f>IF(OR(L$4="",$A397&gt;TODAY()),0,IF(OR(INDEX($B397:$D397,L$5)="F",AND(L$6&gt;0,$A397&lt;L$6),AND(L$7&gt;0,$A397&gt;L$7)),0,MAX(0,ROUND((INDEX($E397:$G397,L$5)-SUMIFS(TF_Timer,TF_Tekniker,L$4,TF_Dato,$A397))*2,0)/2)))</f>
        <v/>
      </c>
      <c r="M397">
        <f>IF(OR(M$4="",$A397&gt;TODAY()),0,IF(OR(INDEX($B397:$D397,M$5)="F",AND(M$6&gt;0,$A397&lt;M$6),AND(M$7&gt;0,$A397&gt;M$7)),0,MAX(0,ROUND((INDEX($E397:$G397,M$5)-SUMIFS(TF_Timer,TF_Tekniker,M$4,TF_Dato,$A397))*2,0)/2)))</f>
        <v/>
      </c>
      <c r="N397">
        <f>IF(OR(N$4="",$A397&gt;TODAY()),0,IF(OR(INDEX($B397:$D397,N$5)="F",AND(N$6&gt;0,$A397&lt;N$6),AND(N$7&gt;0,$A397&gt;N$7)),0,MAX(0,ROUND((INDEX($E397:$G397,N$5)-SUMIFS(TF_Timer,TF_Tekniker,N$4,TF_Dato,$A397))*2,0)/2)))</f>
        <v/>
      </c>
      <c r="O397">
        <f>IF(OR(O$4="",$A397&gt;TODAY()),0,IF(OR(INDEX($B397:$D397,O$5)="F",AND(O$6&gt;0,$A397&lt;O$6),AND(O$7&gt;0,$A397&gt;O$7)),0,MAX(0,ROUND((INDEX($E397:$G397,O$5)-SUMIFS(TF_Timer,TF_Tekniker,O$4,TF_Dato,$A397))*2,0)/2)))</f>
        <v/>
      </c>
      <c r="P397">
        <f>IF(OR(P$4="",$A397&gt;TODAY()),0,IF(OR(INDEX($B397:$D397,P$5)="F",AND(P$6&gt;0,$A397&lt;P$6),AND(P$7&gt;0,$A397&gt;P$7)),0,MAX(0,ROUND((INDEX($E397:$G397,P$5)-SUMIFS(TF_Timer,TF_Tekniker,P$4,TF_Dato,$A397))*2,0)/2)))</f>
        <v/>
      </c>
      <c r="Q397">
        <f>IF(OR(Q$4="",$A397&gt;TODAY()),0,IF(OR(INDEX($B397:$D397,Q$5)="F",AND(Q$6&gt;0,$A397&lt;Q$6),AND(Q$7&gt;0,$A397&gt;Q$7)),0,MAX(0,ROUND((INDEX($E397:$G397,Q$5)-SUMIFS(TF_Timer,TF_Tekniker,Q$4,TF_Dato,$A397))*2,0)/2)))</f>
        <v/>
      </c>
      <c r="R397">
        <f>IF(OR(R$4="",$A397&gt;TODAY()),0,IF(OR(INDEX($B397:$D397,R$5)="F",AND(R$6&gt;0,$A397&lt;R$6),AND(R$7&gt;0,$A397&gt;R$7)),0,MAX(0,ROUND((INDEX($E397:$G397,R$5)-SUMIFS(TF_Timer,TF_Tekniker,R$4,TF_Dato,$A397))*2,0)/2)))</f>
        <v/>
      </c>
      <c r="S397">
        <f>IF(OR(S$4="",$A397&gt;TODAY()),0,IF(OR(INDEX($B397:$D397,S$5)="F",AND(S$6&gt;0,$A397&lt;S$6),AND(S$7&gt;0,$A397&gt;S$7)),0,MAX(0,ROUND((INDEX($E397:$G397,S$5)-SUMIFS(TF_Timer,TF_Tekniker,S$4,TF_Dato,$A397))*2,0)/2)))</f>
        <v/>
      </c>
      <c r="T397">
        <f>IF(OR(T$4="",$A397&gt;TODAY()),0,IF(OR(INDEX($B397:$D397,T$5)="F",AND(T$6&gt;0,$A397&lt;T$6),AND(T$7&gt;0,$A397&gt;T$7)),0,MAX(0,ROUND((INDEX($E397:$G397,T$5)-SUMIFS(TF_Timer,TF_Tekniker,T$4,TF_Dato,$A397))*2,0)/2)))</f>
        <v/>
      </c>
      <c r="U397">
        <f>IF(OR(U$4="",$A397&gt;TODAY()),0,IF(OR(INDEX($B397:$D397,U$5)="F",AND(U$6&gt;0,$A397&lt;U$6),AND(U$7&gt;0,$A397&gt;U$7)),0,MAX(0,ROUND((INDEX($E397:$G397,U$5)-SUMIFS(TF_Timer,TF_Tekniker,U$4,TF_Dato,$A397))*2,0)/2)))</f>
        <v/>
      </c>
      <c r="V397">
        <f>IF(OR(V$4="",$A397&gt;TODAY()),0,IF(OR(INDEX($B397:$D397,V$5)="F",AND(V$6&gt;0,$A397&lt;V$6),AND(V$7&gt;0,$A397&gt;V$7)),0,MAX(0,ROUND((INDEX($E397:$G397,V$5)-SUMIFS(TF_Timer,TF_Tekniker,V$4,TF_Dato,$A397))*2,0)/2)))</f>
        <v/>
      </c>
      <c r="W397">
        <f>IF(OR(W$4="",$A397&gt;TODAY()),0,IF(OR(INDEX($B397:$D397,W$5)="F",AND(W$6&gt;0,$A397&lt;W$6),AND(W$7&gt;0,$A397&gt;W$7)),0,MAX(0,ROUND((INDEX($E397:$G397,W$5)-SUMIFS(TF_Timer,TF_Tekniker,W$4,TF_Dato,$A397))*2,0)/2)))</f>
        <v/>
      </c>
      <c r="X397">
        <f>IF(OR(X$4="",$A397&gt;TODAY()),0,IF(OR(INDEX($B397:$D397,X$5)="F",AND(X$6&gt;0,$A397&lt;X$6),AND(X$7&gt;0,$A397&gt;X$7)),0,MAX(0,ROUND((INDEX($E397:$G397,X$5)-SUMIFS(TF_Timer,TF_Tekniker,X$4,TF_Dato,$A397))*2,0)/2)))</f>
        <v/>
      </c>
      <c r="Y397">
        <f>IF(OR(Y$4="",$A397&gt;TODAY()),0,IF(OR(INDEX($B397:$D397,Y$5)="F",AND(Y$6&gt;0,$A397&lt;Y$6),AND(Y$7&gt;0,$A397&gt;Y$7)),0,MAX(0,ROUND((INDEX($E397:$G397,Y$5)-SUMIFS(TF_Timer,TF_Tekniker,Y$4,TF_Dato,$A397))*2,0)/2)))</f>
        <v/>
      </c>
      <c r="Z397">
        <f>IF(OR(Z$4="",$A397&gt;TODAY()),0,IF(OR(INDEX($B397:$D397,Z$5)="F",AND(Z$6&gt;0,$A397&lt;Z$6),AND(Z$7&gt;0,$A397&gt;Z$7)),0,MAX(0,ROUND((INDEX($E397:$G397,Z$5)-SUMIFS(TF_Timer,TF_Tekniker,Z$4,TF_Dato,$A397))*2,0)/2)))</f>
        <v/>
      </c>
      <c r="AA397">
        <f>IF(OR(AA$4="",$A397&gt;TODAY()),0,IF(OR(INDEX($B397:$D397,AA$5)="F",AND(AA$6&gt;0,$A397&lt;AA$6),AND(AA$7&gt;0,$A397&gt;AA$7)),0,MAX(0,ROUND((INDEX($E397:$G397,AA$5)-SUMIFS(TF_Timer,TF_Tekniker,AA$4,TF_Dato,$A397))*2,0)/2)))</f>
        <v/>
      </c>
      <c r="AB397">
        <f>IF(OR(AB$4="",$A397&gt;TODAY()),0,IF(OR(INDEX($B397:$D397,AB$5)="F",AND(AB$6&gt;0,$A397&lt;AB$6),AND(AB$7&gt;0,$A397&gt;AB$7)),0,MAX(0,ROUND((INDEX($E397:$G397,AB$5)-SUMIFS(TF_Timer,TF_Tekniker,AB$4,TF_Dato,$A397))*2,0)/2)))</f>
        <v/>
      </c>
      <c r="AC397">
        <f>IF(OR(AC$4="",$A397&gt;TODAY()),0,IF(OR(INDEX($B397:$D397,AC$5)="F",AND(AC$6&gt;0,$A397&lt;AC$6),AND(AC$7&gt;0,$A397&gt;AC$7)),0,MAX(0,ROUND((INDEX($E397:$G397,AC$5)-SUMIFS(TF_Timer,TF_Tekniker,AC$4,TF_Dato,$A397))*2,0)/2)))</f>
        <v/>
      </c>
      <c r="AD397">
        <f>IF(OR(AD$4="",$A397&gt;TODAY()),0,IF(OR(INDEX($B397:$D397,AD$5)="F",AND(AD$6&gt;0,$A397&lt;AD$6),AND(AD$7&gt;0,$A397&gt;AD$7)),0,MAX(0,ROUND((INDEX($E397:$G397,AD$5)-SUMIFS(TF_Timer,TF_Tekniker,AD$4,TF_Dato,$A397))*2,0)/2)))</f>
        <v/>
      </c>
      <c r="AE397">
        <f>IF(OR(AE$4="",$A397&gt;TODAY()),0,IF(OR(INDEX($B397:$D397,AE$5)="F",AND(AE$6&gt;0,$A397&lt;AE$6),AND(AE$7&gt;0,$A397&gt;AE$7)),0,MAX(0,ROUND((INDEX($E397:$G397,AE$5)-SUMIFS(TF_Timer,TF_Tekniker,AE$4,TF_Dato,$A397))*2,0)/2)))</f>
        <v/>
      </c>
      <c r="AF397">
        <f>IF(OR(AF$4="",$A397&gt;TODAY()),0,IF(OR(INDEX($B397:$D397,AF$5)="F",AND(AF$6&gt;0,$A397&lt;AF$6),AND(AF$7&gt;0,$A397&gt;AF$7)),0,MAX(0,ROUND((INDEX($E397:$G397,AF$5)-SUMIFS(TF_Timer,TF_Tekniker,AF$4,TF_Dato,$A397))*2,0)/2)))</f>
        <v/>
      </c>
      <c r="AG397">
        <f>IF(OR(AG$4="",$A397&gt;TODAY()),0,IF(OR(INDEX($B397:$D397,AG$5)="F",AND(AG$6&gt;0,$A397&lt;AG$6),AND(AG$7&gt;0,$A397&gt;AG$7)),0,MAX(0,ROUND((INDEX($E397:$G397,AG$5)-SUMIFS(TF_Timer,TF_Tekniker,AG$4,TF_Dato,$A397))*2,0)/2)))</f>
        <v/>
      </c>
      <c r="AH397">
        <f>IF(OR(AH$4="",$A397&gt;TODAY()),0,IF(OR(INDEX($B397:$D397,AH$5)="F",AND(AH$6&gt;0,$A397&lt;AH$6),AND(AH$7&gt;0,$A397&gt;AH$7)),0,MAX(0,ROUND((INDEX($E397:$G397,AH$5)-SUMIFS(TF_Timer,TF_Tekniker,AH$4,TF_Dato,$A397))*2,0)/2)))</f>
        <v/>
      </c>
      <c r="AI397">
        <f>IF(OR(AI$4="",$A397&gt;TODAY()),0,IF(OR(INDEX($B397:$D397,AI$5)="F",AND(AI$6&gt;0,$A397&lt;AI$6),AND(AI$7&gt;0,$A397&gt;AI$7)),0,MAX(0,ROUND((INDEX($E397:$G397,AI$5)-SUMIFS(TF_Timer,TF_Tekniker,AI$4,TF_Dato,$A397))*2,0)/2)))</f>
        <v/>
      </c>
      <c r="AJ397">
        <f>IF(OR(AJ$4="",$A397&gt;TODAY()),0,IF(OR(INDEX($B397:$D397,AJ$5)="F",AND(AJ$6&gt;0,$A397&lt;AJ$6),AND(AJ$7&gt;0,$A397&gt;AJ$7)),0,MAX(0,ROUND((INDEX($E397:$G397,AJ$5)-SUMIFS(TF_Timer,TF_Tekniker,AJ$4,TF_Dato,$A397))*2,0)/2)))</f>
        <v/>
      </c>
      <c r="AK397">
        <f>IF(OR(AK$4="",$A397&gt;TODAY()),0,IF(OR(INDEX($B397:$D397,AK$5)="F",AND(AK$6&gt;0,$A397&lt;AK$6),AND(AK$7&gt;0,$A397&gt;AK$7)),0,MAX(0,ROUND((INDEX($E397:$G397,AK$5)-SUMIFS(TF_Timer,TF_Tekniker,AK$4,TF_Dato,$A397))*2,0)/2)))</f>
        <v/>
      </c>
      <c r="AL397">
        <f>IF(OR(AL$4="",$A397&gt;TODAY()),0,IF(OR(INDEX($B397:$D397,AL$5)="F",AND(AL$6&gt;0,$A397&lt;AL$6),AND(AL$7&gt;0,$A397&gt;AL$7)),0,MAX(0,ROUND((INDEX($E397:$G397,AL$5)-SUMIFS(TF_Timer,TF_Tekniker,AL$4,TF_Dato,$A397))*2,0)/2)))</f>
        <v/>
      </c>
      <c r="AM397">
        <f>IF(OR(AM$4="",$A397&gt;TODAY()),0,IF(OR(INDEX($B397:$D397,AM$5)="F",AND(AM$6&gt;0,$A397&lt;AM$6),AND(AM$7&gt;0,$A397&gt;AM$7)),0,MAX(0,ROUND((INDEX($E397:$G397,AM$5)-SUMIFS(TF_Timer,TF_Tekniker,AM$4,TF_Dato,$A397))*2,0)/2)))</f>
        <v/>
      </c>
      <c r="AN397">
        <f>IF(OR(AN$4="",$A397&gt;TODAY()),0,IF(OR(INDEX($B397:$D397,AN$5)="F",AND(AN$6&gt;0,$A397&lt;AN$6),AND(AN$7&gt;0,$A397&gt;AN$7)),0,MAX(0,ROUND((INDEX($E397:$G397,AN$5)-SUMIFS(TF_Timer,TF_Tekniker,AN$4,TF_Dato,$A397))*2,0)/2)))</f>
        <v/>
      </c>
      <c r="AO397">
        <f>IF(OR(AO$4="",$A397&gt;TODAY()),0,IF(OR(INDEX($B397:$D397,AO$5)="F",AND(AO$6&gt;0,$A397&lt;AO$6),AND(AO$7&gt;0,$A397&gt;AO$7)),0,MAX(0,ROUND((INDEX($E397:$G397,AO$5)-SUMIFS(TF_Timer,TF_Tekniker,AO$4,TF_Dato,$A397))*2,0)/2)))</f>
        <v/>
      </c>
      <c r="AP397">
        <f>IF(OR(AP$4="",$A397&gt;TODAY()),0,IF(OR(INDEX($B397:$D397,AP$5)="F",AND(AP$6&gt;0,$A397&lt;AP$6),AND(AP$7&gt;0,$A397&gt;AP$7)),0,MAX(0,ROUND((INDEX($E397:$G397,AP$5)-SUMIFS(TF_Timer,TF_Tekniker,AP$4,TF_Dato,$A397))*2,0)/2)))</f>
        <v/>
      </c>
      <c r="AQ397">
        <f>IF(OR(AQ$4="",$A397&gt;TODAY()),0,IF(OR(INDEX($B397:$D397,AQ$5)="F",AND(AQ$6&gt;0,$A397&lt;AQ$6),AND(AQ$7&gt;0,$A397&gt;AQ$7)),0,MAX(0,ROUND((INDEX($E397:$G397,AQ$5)-SUMIFS(TF_Timer,TF_Tekniker,AQ$4,TF_Dato,$A397))*2,0)/2)))</f>
        <v/>
      </c>
      <c r="AR397">
        <f>IF(OR(AR$4="",$A397&gt;TODAY()),0,IF(OR(INDEX($B397:$D397,AR$5)="F",AND(AR$6&gt;0,$A397&lt;AR$6),AND(AR$7&gt;0,$A397&gt;AR$7)),0,MAX(0,ROUND((INDEX($E397:$G397,AR$5)-SUMIFS(TF_Timer,TF_Tekniker,AR$4,TF_Dato,$A397))*2,0)/2)))</f>
        <v/>
      </c>
      <c r="AS397">
        <f>IF(OR(AS$4="",$A397&gt;TODAY()),0,IF(OR(INDEX($B397:$D397,AS$5)="F",AND(AS$6&gt;0,$A397&lt;AS$6),AND(AS$7&gt;0,$A397&gt;AS$7)),0,MAX(0,ROUND((INDEX($E397:$G397,AS$5)-SUMIFS(TF_Timer,TF_Tekniker,AS$4,TF_Dato,$A397))*2,0)/2)))</f>
        <v/>
      </c>
      <c r="AT397">
        <f>IF(OR(AT$4="",$A397&gt;TODAY()),0,IF(OR(INDEX($B397:$D397,AT$5)="F",AND(AT$6&gt;0,$A397&lt;AT$6),AND(AT$7&gt;0,$A397&gt;AT$7)),0,MAX(0,ROUND((INDEX($E397:$G397,AT$5)-SUMIFS(TF_Timer,TF_Tekniker,AT$4,TF_Dato,$A397))*2,0)/2)))</f>
        <v/>
      </c>
      <c r="AU397">
        <f>IF(OR(AU$4="",$A397&gt;TODAY()),0,IF(OR(INDEX($B397:$D397,AU$5)="F",AND(AU$6&gt;0,$A397&lt;AU$6),AND(AU$7&gt;0,$A397&gt;AU$7)),0,MAX(0,ROUND((INDEX($E397:$G397,AU$5)-SUMIFS(TF_Timer,TF_Tekniker,AU$4,TF_Dato,$A397))*2,0)/2)))</f>
        <v/>
      </c>
      <c r="AV397">
        <f>IF(OR(AV$4="",$A397&gt;TODAY()),0,IF(OR(INDEX($B397:$D397,AV$5)="F",AND(AV$6&gt;0,$A397&lt;AV$6),AND(AV$7&gt;0,$A397&gt;AV$7)),0,MAX(0,ROUND((INDEX($E397:$G397,AV$5)-SUMIFS(TF_Timer,TF_Tekniker,AV$4,TF_Dato,$A397))*2,0)/2)))</f>
        <v/>
      </c>
      <c r="AW397">
        <f>IF(OR(AW$4="",$A397&gt;TODAY()),0,IF(OR(INDEX($B397:$D397,AW$5)="F",AND(AW$6&gt;0,$A397&lt;AW$6),AND(AW$7&gt;0,$A397&gt;AW$7)),0,MAX(0,ROUND((INDEX($E397:$G397,AW$5)-SUMIFS(TF_Timer,TF_Tekniker,AW$4,TF_Dato,$A397))*2,0)/2)))</f>
        <v/>
      </c>
      <c r="AX397">
        <f>IF(OR(AX$4="",$A397&gt;TODAY()),0,IF(OR(INDEX($B397:$D397,AX$5)="F",AND(AX$6&gt;0,$A397&lt;AX$6),AND(AX$7&gt;0,$A397&gt;AX$7)),0,MAX(0,ROUND((INDEX($E397:$G397,AX$5)-SUMIFS(TF_Timer,TF_Tekniker,AX$4,TF_Dato,$A397))*2,0)/2)))</f>
        <v/>
      </c>
      <c r="AY397">
        <f>IF(OR(AY$4="",$A397&gt;TODAY()),0,IF(OR(INDEX($B397:$D397,AY$5)="F",AND(AY$6&gt;0,$A397&lt;AY$6),AND(AY$7&gt;0,$A397&gt;AY$7)),0,MAX(0,ROUND((INDEX($E397:$G397,AY$5)-SUMIFS(TF_Timer,TF_Tekniker,AY$4,TF_Dato,$A397))*2,0)/2)))</f>
        <v/>
      </c>
      <c r="AZ397">
        <f>IF(OR(AZ$4="",$A397&gt;TODAY()),0,IF(OR(INDEX($B397:$D397,AZ$5)="F",AND(AZ$6&gt;0,$A397&lt;AZ$6),AND(AZ$7&gt;0,$A397&gt;AZ$7)),0,MAX(0,ROUND((INDEX($E397:$G397,AZ$5)-SUMIFS(TF_Timer,TF_Tekniker,AZ$4,TF_Dato,$A397))*2,0)/2)))</f>
        <v/>
      </c>
      <c r="BA397">
        <f>IF(OR(BA$4="",$A397&gt;TODAY()),0,IF(OR(INDEX($B397:$D397,BA$5)="F",AND(BA$6&gt;0,$A397&lt;BA$6),AND(BA$7&gt;0,$A397&gt;BA$7)),0,MAX(0,ROUND((INDEX($E397:$G397,BA$5)-SUMIFS(TF_Timer,TF_Tekniker,BA$4,TF_Dato,$A397))*2,0)/2)))</f>
        <v/>
      </c>
      <c r="BB397">
        <f>IF(OR(BB$4="",$A397&gt;TODAY()),0,IF(OR(INDEX($B397:$D397,BB$5)="F",AND(BB$6&gt;0,$A397&lt;BB$6),AND(BB$7&gt;0,$A397&gt;BB$7)),0,MAX(0,ROUND((INDEX($E397:$G397,BB$5)-SUMIFS(TF_Timer,TF_Tekniker,BB$4,TF_Dato,$A397))*2,0)/2)))</f>
        <v/>
      </c>
      <c r="BC397">
        <f>IF(OR(BC$4="",$A397&gt;TODAY()),0,IF(OR(INDEX($B397:$D397,BC$5)="F",AND(BC$6&gt;0,$A397&lt;BC$6),AND(BC$7&gt;0,$A397&gt;BC$7)),0,MAX(0,ROUND((INDEX($E397:$G397,BC$5)-SUMIFS(TF_Timer,TF_Tekniker,BC$4,TF_Dato,$A397))*2,0)/2)))</f>
        <v/>
      </c>
      <c r="BD397">
        <f>IF(OR(BD$4="",$A397&gt;TODAY()),0,IF(OR(INDEX($B397:$D397,BD$5)="F",AND(BD$6&gt;0,$A397&lt;BD$6),AND(BD$7&gt;0,$A397&gt;BD$7)),0,MAX(0,ROUND((INDEX($E397:$G397,BD$5)-SUMIFS(TF_Timer,TF_Tekniker,BD$4,TF_Dato,$A397))*2,0)/2)))</f>
        <v/>
      </c>
      <c r="BE397">
        <f>IF(OR(BE$4="",$A397&gt;TODAY()),0,IF(OR(INDEX($B397:$D397,BE$5)="F",AND(BE$6&gt;0,$A397&lt;BE$6),AND(BE$7&gt;0,$A397&gt;BE$7)),0,MAX(0,ROUND((INDEX($E397:$G397,BE$5)-SUMIFS(TF_Timer,TF_Tekniker,BE$4,TF_Dato,$A397))*2,0)/2)))</f>
        <v/>
      </c>
      <c r="BF397">
        <f>IF(OR(BF$4="",$A397&gt;TODAY()),0,IF(OR(INDEX($B397:$D397,BF$5)="F",AND(BF$6&gt;0,$A397&lt;BF$6),AND(BF$7&gt;0,$A397&gt;BF$7)),0,MAX(0,ROUND((INDEX($E397:$G397,BF$5)-SUMIFS(TF_Timer,TF_Tekniker,BF$4,TF_Dato,$A397))*2,0)/2)))</f>
        <v/>
      </c>
      <c r="BG397">
        <f>IF(OR(BG$4="",$A397&gt;TODAY()),0,IF(OR(INDEX($B397:$D397,BG$5)="F",AND(BG$6&gt;0,$A397&lt;BG$6),AND(BG$7&gt;0,$A397&gt;BG$7)),0,MAX(0,ROUND((INDEX($E397:$G397,BG$5)-SUMIFS(TF_Timer,TF_Tekniker,BG$4,TF_Dato,$A397))*2,0)/2)))</f>
        <v/>
      </c>
      <c r="BH397">
        <f>IF(OR(BH$4="",$A397&gt;TODAY()),0,IF(OR(INDEX($B397:$D397,BH$5)="F",AND(BH$6&gt;0,$A397&lt;BH$6),AND(BH$7&gt;0,$A397&gt;BH$7)),0,MAX(0,ROUND((INDEX($E397:$G397,BH$5)-SUMIFS(TF_Timer,TF_Tekniker,BH$4,TF_Dato,$A397))*2,0)/2)))</f>
        <v/>
      </c>
      <c r="BI397">
        <f>IF(OR(BI$4="",$A397&gt;TODAY()),0,IF(OR(INDEX($B397:$D397,BI$5)="F",AND(BI$6&gt;0,$A397&lt;BI$6),AND(BI$7&gt;0,$A397&gt;BI$7)),0,MAX(0,ROUND((INDEX($E397:$G397,BI$5)-SUMIFS(TF_Timer,TF_Tekniker,BI$4,TF_Dato,$A397))*2,0)/2)))</f>
        <v/>
      </c>
    </row>
    <row r="398">
      <c r="A398" s="64">
        <f>A397+1</f>
        <v/>
      </c>
      <c r="B398">
        <f>IF(MOD($A398-INDEX(SkiftStart,1),Syklus)&lt;DagK,"K",IF(MOD($A398-INDEX(SkiftStart,1),Syklus)&lt;DagK+DagH,"H",IF(MOD($A398-INDEX(SkiftStart,1),Syklus)&lt;DagK+DagH+DagD,"D","F")))</f>
        <v/>
      </c>
      <c r="C398">
        <f>IF(MOD($A398-INDEX(SkiftStart,2),Syklus)&lt;DagK,"K",IF(MOD($A398-INDEX(SkiftStart,2),Syklus)&lt;DagK+DagH,"H",IF(MOD($A398-INDEX(SkiftStart,2),Syklus)&lt;DagK+DagH+DagD,"D","F")))</f>
        <v/>
      </c>
      <c r="D398">
        <f>IF(MOD($A398-INDEX(SkiftStart,3),Syklus)&lt;DagK,"K",IF(MOD($A398-INDEX(SkiftStart,3),Syklus)&lt;DagK+DagH,"H",IF(MOD($A398-INDEX(SkiftStart,3),Syklus)&lt;DagK+DagH+DagD,"D","F")))</f>
        <v/>
      </c>
      <c r="E398">
        <f>IF(B398="F",0,IF(WEEKDAY($A398,2)=5,INDEX(TimerFr,MATCH(B398,FaseKode,0)),INDEX(TimerMT,MATCH(B398,FaseKode,0))))</f>
        <v/>
      </c>
      <c r="F398">
        <f>IF(C398="F",0,IF(WEEKDAY($A398,2)=5,INDEX(TimerFr,MATCH(C398,FaseKode,0)),INDEX(TimerMT,MATCH(C398,FaseKode,0))))</f>
        <v/>
      </c>
      <c r="G398">
        <f>IF(D398="F",0,IF(WEEKDAY($A398,2)=5,INDEX(TimerFr,MATCH(D398,FaseKode,0)),INDEX(TimerMT,MATCH(D398,FaseKode,0))))</f>
        <v/>
      </c>
      <c r="H398">
        <f>IF(OR(H$4="",$A398&gt;TODAY()),0,IF(OR(INDEX($B398:$D398,H$5)="F",AND(H$6&gt;0,$A398&lt;H$6),AND(H$7&gt;0,$A398&gt;H$7)),0,MAX(0,ROUND((INDEX($E398:$G398,H$5)-SUMIFS(TF_Timer,TF_Tekniker,H$4,TF_Dato,$A398))*2,0)/2)))</f>
        <v/>
      </c>
      <c r="I398">
        <f>IF(OR(I$4="",$A398&gt;TODAY()),0,IF(OR(INDEX($B398:$D398,I$5)="F",AND(I$6&gt;0,$A398&lt;I$6),AND(I$7&gt;0,$A398&gt;I$7)),0,MAX(0,ROUND((INDEX($E398:$G398,I$5)-SUMIFS(TF_Timer,TF_Tekniker,I$4,TF_Dato,$A398))*2,0)/2)))</f>
        <v/>
      </c>
      <c r="J398">
        <f>IF(OR(J$4="",$A398&gt;TODAY()),0,IF(OR(INDEX($B398:$D398,J$5)="F",AND(J$6&gt;0,$A398&lt;J$6),AND(J$7&gt;0,$A398&gt;J$7)),0,MAX(0,ROUND((INDEX($E398:$G398,J$5)-SUMIFS(TF_Timer,TF_Tekniker,J$4,TF_Dato,$A398))*2,0)/2)))</f>
        <v/>
      </c>
      <c r="K398">
        <f>IF(OR(K$4="",$A398&gt;TODAY()),0,IF(OR(INDEX($B398:$D398,K$5)="F",AND(K$6&gt;0,$A398&lt;K$6),AND(K$7&gt;0,$A398&gt;K$7)),0,MAX(0,ROUND((INDEX($E398:$G398,K$5)-SUMIFS(TF_Timer,TF_Tekniker,K$4,TF_Dato,$A398))*2,0)/2)))</f>
        <v/>
      </c>
      <c r="L398">
        <f>IF(OR(L$4="",$A398&gt;TODAY()),0,IF(OR(INDEX($B398:$D398,L$5)="F",AND(L$6&gt;0,$A398&lt;L$6),AND(L$7&gt;0,$A398&gt;L$7)),0,MAX(0,ROUND((INDEX($E398:$G398,L$5)-SUMIFS(TF_Timer,TF_Tekniker,L$4,TF_Dato,$A398))*2,0)/2)))</f>
        <v/>
      </c>
      <c r="M398">
        <f>IF(OR(M$4="",$A398&gt;TODAY()),0,IF(OR(INDEX($B398:$D398,M$5)="F",AND(M$6&gt;0,$A398&lt;M$6),AND(M$7&gt;0,$A398&gt;M$7)),0,MAX(0,ROUND((INDEX($E398:$G398,M$5)-SUMIFS(TF_Timer,TF_Tekniker,M$4,TF_Dato,$A398))*2,0)/2)))</f>
        <v/>
      </c>
      <c r="N398">
        <f>IF(OR(N$4="",$A398&gt;TODAY()),0,IF(OR(INDEX($B398:$D398,N$5)="F",AND(N$6&gt;0,$A398&lt;N$6),AND(N$7&gt;0,$A398&gt;N$7)),0,MAX(0,ROUND((INDEX($E398:$G398,N$5)-SUMIFS(TF_Timer,TF_Tekniker,N$4,TF_Dato,$A398))*2,0)/2)))</f>
        <v/>
      </c>
      <c r="O398">
        <f>IF(OR(O$4="",$A398&gt;TODAY()),0,IF(OR(INDEX($B398:$D398,O$5)="F",AND(O$6&gt;0,$A398&lt;O$6),AND(O$7&gt;0,$A398&gt;O$7)),0,MAX(0,ROUND((INDEX($E398:$G398,O$5)-SUMIFS(TF_Timer,TF_Tekniker,O$4,TF_Dato,$A398))*2,0)/2)))</f>
        <v/>
      </c>
      <c r="P398">
        <f>IF(OR(P$4="",$A398&gt;TODAY()),0,IF(OR(INDEX($B398:$D398,P$5)="F",AND(P$6&gt;0,$A398&lt;P$6),AND(P$7&gt;0,$A398&gt;P$7)),0,MAX(0,ROUND((INDEX($E398:$G398,P$5)-SUMIFS(TF_Timer,TF_Tekniker,P$4,TF_Dato,$A398))*2,0)/2)))</f>
        <v/>
      </c>
      <c r="Q398">
        <f>IF(OR(Q$4="",$A398&gt;TODAY()),0,IF(OR(INDEX($B398:$D398,Q$5)="F",AND(Q$6&gt;0,$A398&lt;Q$6),AND(Q$7&gt;0,$A398&gt;Q$7)),0,MAX(0,ROUND((INDEX($E398:$G398,Q$5)-SUMIFS(TF_Timer,TF_Tekniker,Q$4,TF_Dato,$A398))*2,0)/2)))</f>
        <v/>
      </c>
      <c r="R398">
        <f>IF(OR(R$4="",$A398&gt;TODAY()),0,IF(OR(INDEX($B398:$D398,R$5)="F",AND(R$6&gt;0,$A398&lt;R$6),AND(R$7&gt;0,$A398&gt;R$7)),0,MAX(0,ROUND((INDEX($E398:$G398,R$5)-SUMIFS(TF_Timer,TF_Tekniker,R$4,TF_Dato,$A398))*2,0)/2)))</f>
        <v/>
      </c>
      <c r="S398">
        <f>IF(OR(S$4="",$A398&gt;TODAY()),0,IF(OR(INDEX($B398:$D398,S$5)="F",AND(S$6&gt;0,$A398&lt;S$6),AND(S$7&gt;0,$A398&gt;S$7)),0,MAX(0,ROUND((INDEX($E398:$G398,S$5)-SUMIFS(TF_Timer,TF_Tekniker,S$4,TF_Dato,$A398))*2,0)/2)))</f>
        <v/>
      </c>
      <c r="T398">
        <f>IF(OR(T$4="",$A398&gt;TODAY()),0,IF(OR(INDEX($B398:$D398,T$5)="F",AND(T$6&gt;0,$A398&lt;T$6),AND(T$7&gt;0,$A398&gt;T$7)),0,MAX(0,ROUND((INDEX($E398:$G398,T$5)-SUMIFS(TF_Timer,TF_Tekniker,T$4,TF_Dato,$A398))*2,0)/2)))</f>
        <v/>
      </c>
      <c r="U398">
        <f>IF(OR(U$4="",$A398&gt;TODAY()),0,IF(OR(INDEX($B398:$D398,U$5)="F",AND(U$6&gt;0,$A398&lt;U$6),AND(U$7&gt;0,$A398&gt;U$7)),0,MAX(0,ROUND((INDEX($E398:$G398,U$5)-SUMIFS(TF_Timer,TF_Tekniker,U$4,TF_Dato,$A398))*2,0)/2)))</f>
        <v/>
      </c>
      <c r="V398">
        <f>IF(OR(V$4="",$A398&gt;TODAY()),0,IF(OR(INDEX($B398:$D398,V$5)="F",AND(V$6&gt;0,$A398&lt;V$6),AND(V$7&gt;0,$A398&gt;V$7)),0,MAX(0,ROUND((INDEX($E398:$G398,V$5)-SUMIFS(TF_Timer,TF_Tekniker,V$4,TF_Dato,$A398))*2,0)/2)))</f>
        <v/>
      </c>
      <c r="W398">
        <f>IF(OR(W$4="",$A398&gt;TODAY()),0,IF(OR(INDEX($B398:$D398,W$5)="F",AND(W$6&gt;0,$A398&lt;W$6),AND(W$7&gt;0,$A398&gt;W$7)),0,MAX(0,ROUND((INDEX($E398:$G398,W$5)-SUMIFS(TF_Timer,TF_Tekniker,W$4,TF_Dato,$A398))*2,0)/2)))</f>
        <v/>
      </c>
      <c r="X398">
        <f>IF(OR(X$4="",$A398&gt;TODAY()),0,IF(OR(INDEX($B398:$D398,X$5)="F",AND(X$6&gt;0,$A398&lt;X$6),AND(X$7&gt;0,$A398&gt;X$7)),0,MAX(0,ROUND((INDEX($E398:$G398,X$5)-SUMIFS(TF_Timer,TF_Tekniker,X$4,TF_Dato,$A398))*2,0)/2)))</f>
        <v/>
      </c>
      <c r="Y398">
        <f>IF(OR(Y$4="",$A398&gt;TODAY()),0,IF(OR(INDEX($B398:$D398,Y$5)="F",AND(Y$6&gt;0,$A398&lt;Y$6),AND(Y$7&gt;0,$A398&gt;Y$7)),0,MAX(0,ROUND((INDEX($E398:$G398,Y$5)-SUMIFS(TF_Timer,TF_Tekniker,Y$4,TF_Dato,$A398))*2,0)/2)))</f>
        <v/>
      </c>
      <c r="Z398">
        <f>IF(OR(Z$4="",$A398&gt;TODAY()),0,IF(OR(INDEX($B398:$D398,Z$5)="F",AND(Z$6&gt;0,$A398&lt;Z$6),AND(Z$7&gt;0,$A398&gt;Z$7)),0,MAX(0,ROUND((INDEX($E398:$G398,Z$5)-SUMIFS(TF_Timer,TF_Tekniker,Z$4,TF_Dato,$A398))*2,0)/2)))</f>
        <v/>
      </c>
      <c r="AA398">
        <f>IF(OR(AA$4="",$A398&gt;TODAY()),0,IF(OR(INDEX($B398:$D398,AA$5)="F",AND(AA$6&gt;0,$A398&lt;AA$6),AND(AA$7&gt;0,$A398&gt;AA$7)),0,MAX(0,ROUND((INDEX($E398:$G398,AA$5)-SUMIFS(TF_Timer,TF_Tekniker,AA$4,TF_Dato,$A398))*2,0)/2)))</f>
        <v/>
      </c>
      <c r="AB398">
        <f>IF(OR(AB$4="",$A398&gt;TODAY()),0,IF(OR(INDEX($B398:$D398,AB$5)="F",AND(AB$6&gt;0,$A398&lt;AB$6),AND(AB$7&gt;0,$A398&gt;AB$7)),0,MAX(0,ROUND((INDEX($E398:$G398,AB$5)-SUMIFS(TF_Timer,TF_Tekniker,AB$4,TF_Dato,$A398))*2,0)/2)))</f>
        <v/>
      </c>
      <c r="AC398">
        <f>IF(OR(AC$4="",$A398&gt;TODAY()),0,IF(OR(INDEX($B398:$D398,AC$5)="F",AND(AC$6&gt;0,$A398&lt;AC$6),AND(AC$7&gt;0,$A398&gt;AC$7)),0,MAX(0,ROUND((INDEX($E398:$G398,AC$5)-SUMIFS(TF_Timer,TF_Tekniker,AC$4,TF_Dato,$A398))*2,0)/2)))</f>
        <v/>
      </c>
      <c r="AD398">
        <f>IF(OR(AD$4="",$A398&gt;TODAY()),0,IF(OR(INDEX($B398:$D398,AD$5)="F",AND(AD$6&gt;0,$A398&lt;AD$6),AND(AD$7&gt;0,$A398&gt;AD$7)),0,MAX(0,ROUND((INDEX($E398:$G398,AD$5)-SUMIFS(TF_Timer,TF_Tekniker,AD$4,TF_Dato,$A398))*2,0)/2)))</f>
        <v/>
      </c>
      <c r="AE398">
        <f>IF(OR(AE$4="",$A398&gt;TODAY()),0,IF(OR(INDEX($B398:$D398,AE$5)="F",AND(AE$6&gt;0,$A398&lt;AE$6),AND(AE$7&gt;0,$A398&gt;AE$7)),0,MAX(0,ROUND((INDEX($E398:$G398,AE$5)-SUMIFS(TF_Timer,TF_Tekniker,AE$4,TF_Dato,$A398))*2,0)/2)))</f>
        <v/>
      </c>
      <c r="AF398">
        <f>IF(OR(AF$4="",$A398&gt;TODAY()),0,IF(OR(INDEX($B398:$D398,AF$5)="F",AND(AF$6&gt;0,$A398&lt;AF$6),AND(AF$7&gt;0,$A398&gt;AF$7)),0,MAX(0,ROUND((INDEX($E398:$G398,AF$5)-SUMIFS(TF_Timer,TF_Tekniker,AF$4,TF_Dato,$A398))*2,0)/2)))</f>
        <v/>
      </c>
      <c r="AG398">
        <f>IF(OR(AG$4="",$A398&gt;TODAY()),0,IF(OR(INDEX($B398:$D398,AG$5)="F",AND(AG$6&gt;0,$A398&lt;AG$6),AND(AG$7&gt;0,$A398&gt;AG$7)),0,MAX(0,ROUND((INDEX($E398:$G398,AG$5)-SUMIFS(TF_Timer,TF_Tekniker,AG$4,TF_Dato,$A398))*2,0)/2)))</f>
        <v/>
      </c>
      <c r="AH398">
        <f>IF(OR(AH$4="",$A398&gt;TODAY()),0,IF(OR(INDEX($B398:$D398,AH$5)="F",AND(AH$6&gt;0,$A398&lt;AH$6),AND(AH$7&gt;0,$A398&gt;AH$7)),0,MAX(0,ROUND((INDEX($E398:$G398,AH$5)-SUMIFS(TF_Timer,TF_Tekniker,AH$4,TF_Dato,$A398))*2,0)/2)))</f>
        <v/>
      </c>
      <c r="AI398">
        <f>IF(OR(AI$4="",$A398&gt;TODAY()),0,IF(OR(INDEX($B398:$D398,AI$5)="F",AND(AI$6&gt;0,$A398&lt;AI$6),AND(AI$7&gt;0,$A398&gt;AI$7)),0,MAX(0,ROUND((INDEX($E398:$G398,AI$5)-SUMIFS(TF_Timer,TF_Tekniker,AI$4,TF_Dato,$A398))*2,0)/2)))</f>
        <v/>
      </c>
      <c r="AJ398">
        <f>IF(OR(AJ$4="",$A398&gt;TODAY()),0,IF(OR(INDEX($B398:$D398,AJ$5)="F",AND(AJ$6&gt;0,$A398&lt;AJ$6),AND(AJ$7&gt;0,$A398&gt;AJ$7)),0,MAX(0,ROUND((INDEX($E398:$G398,AJ$5)-SUMIFS(TF_Timer,TF_Tekniker,AJ$4,TF_Dato,$A398))*2,0)/2)))</f>
        <v/>
      </c>
      <c r="AK398">
        <f>IF(OR(AK$4="",$A398&gt;TODAY()),0,IF(OR(INDEX($B398:$D398,AK$5)="F",AND(AK$6&gt;0,$A398&lt;AK$6),AND(AK$7&gt;0,$A398&gt;AK$7)),0,MAX(0,ROUND((INDEX($E398:$G398,AK$5)-SUMIFS(TF_Timer,TF_Tekniker,AK$4,TF_Dato,$A398))*2,0)/2)))</f>
        <v/>
      </c>
      <c r="AL398">
        <f>IF(OR(AL$4="",$A398&gt;TODAY()),0,IF(OR(INDEX($B398:$D398,AL$5)="F",AND(AL$6&gt;0,$A398&lt;AL$6),AND(AL$7&gt;0,$A398&gt;AL$7)),0,MAX(0,ROUND((INDEX($E398:$G398,AL$5)-SUMIFS(TF_Timer,TF_Tekniker,AL$4,TF_Dato,$A398))*2,0)/2)))</f>
        <v/>
      </c>
      <c r="AM398">
        <f>IF(OR(AM$4="",$A398&gt;TODAY()),0,IF(OR(INDEX($B398:$D398,AM$5)="F",AND(AM$6&gt;0,$A398&lt;AM$6),AND(AM$7&gt;0,$A398&gt;AM$7)),0,MAX(0,ROUND((INDEX($E398:$G398,AM$5)-SUMIFS(TF_Timer,TF_Tekniker,AM$4,TF_Dato,$A398))*2,0)/2)))</f>
        <v/>
      </c>
      <c r="AN398">
        <f>IF(OR(AN$4="",$A398&gt;TODAY()),0,IF(OR(INDEX($B398:$D398,AN$5)="F",AND(AN$6&gt;0,$A398&lt;AN$6),AND(AN$7&gt;0,$A398&gt;AN$7)),0,MAX(0,ROUND((INDEX($E398:$G398,AN$5)-SUMIFS(TF_Timer,TF_Tekniker,AN$4,TF_Dato,$A398))*2,0)/2)))</f>
        <v/>
      </c>
      <c r="AO398">
        <f>IF(OR(AO$4="",$A398&gt;TODAY()),0,IF(OR(INDEX($B398:$D398,AO$5)="F",AND(AO$6&gt;0,$A398&lt;AO$6),AND(AO$7&gt;0,$A398&gt;AO$7)),0,MAX(0,ROUND((INDEX($E398:$G398,AO$5)-SUMIFS(TF_Timer,TF_Tekniker,AO$4,TF_Dato,$A398))*2,0)/2)))</f>
        <v/>
      </c>
      <c r="AP398">
        <f>IF(OR(AP$4="",$A398&gt;TODAY()),0,IF(OR(INDEX($B398:$D398,AP$5)="F",AND(AP$6&gt;0,$A398&lt;AP$6),AND(AP$7&gt;0,$A398&gt;AP$7)),0,MAX(0,ROUND((INDEX($E398:$G398,AP$5)-SUMIFS(TF_Timer,TF_Tekniker,AP$4,TF_Dato,$A398))*2,0)/2)))</f>
        <v/>
      </c>
      <c r="AQ398">
        <f>IF(OR(AQ$4="",$A398&gt;TODAY()),0,IF(OR(INDEX($B398:$D398,AQ$5)="F",AND(AQ$6&gt;0,$A398&lt;AQ$6),AND(AQ$7&gt;0,$A398&gt;AQ$7)),0,MAX(0,ROUND((INDEX($E398:$G398,AQ$5)-SUMIFS(TF_Timer,TF_Tekniker,AQ$4,TF_Dato,$A398))*2,0)/2)))</f>
        <v/>
      </c>
      <c r="AR398">
        <f>IF(OR(AR$4="",$A398&gt;TODAY()),0,IF(OR(INDEX($B398:$D398,AR$5)="F",AND(AR$6&gt;0,$A398&lt;AR$6),AND(AR$7&gt;0,$A398&gt;AR$7)),0,MAX(0,ROUND((INDEX($E398:$G398,AR$5)-SUMIFS(TF_Timer,TF_Tekniker,AR$4,TF_Dato,$A398))*2,0)/2)))</f>
        <v/>
      </c>
      <c r="AS398">
        <f>IF(OR(AS$4="",$A398&gt;TODAY()),0,IF(OR(INDEX($B398:$D398,AS$5)="F",AND(AS$6&gt;0,$A398&lt;AS$6),AND(AS$7&gt;0,$A398&gt;AS$7)),0,MAX(0,ROUND((INDEX($E398:$G398,AS$5)-SUMIFS(TF_Timer,TF_Tekniker,AS$4,TF_Dato,$A398))*2,0)/2)))</f>
        <v/>
      </c>
      <c r="AT398">
        <f>IF(OR(AT$4="",$A398&gt;TODAY()),0,IF(OR(INDEX($B398:$D398,AT$5)="F",AND(AT$6&gt;0,$A398&lt;AT$6),AND(AT$7&gt;0,$A398&gt;AT$7)),0,MAX(0,ROUND((INDEX($E398:$G398,AT$5)-SUMIFS(TF_Timer,TF_Tekniker,AT$4,TF_Dato,$A398))*2,0)/2)))</f>
        <v/>
      </c>
      <c r="AU398">
        <f>IF(OR(AU$4="",$A398&gt;TODAY()),0,IF(OR(INDEX($B398:$D398,AU$5)="F",AND(AU$6&gt;0,$A398&lt;AU$6),AND(AU$7&gt;0,$A398&gt;AU$7)),0,MAX(0,ROUND((INDEX($E398:$G398,AU$5)-SUMIFS(TF_Timer,TF_Tekniker,AU$4,TF_Dato,$A398))*2,0)/2)))</f>
        <v/>
      </c>
      <c r="AV398">
        <f>IF(OR(AV$4="",$A398&gt;TODAY()),0,IF(OR(INDEX($B398:$D398,AV$5)="F",AND(AV$6&gt;0,$A398&lt;AV$6),AND(AV$7&gt;0,$A398&gt;AV$7)),0,MAX(0,ROUND((INDEX($E398:$G398,AV$5)-SUMIFS(TF_Timer,TF_Tekniker,AV$4,TF_Dato,$A398))*2,0)/2)))</f>
        <v/>
      </c>
      <c r="AW398">
        <f>IF(OR(AW$4="",$A398&gt;TODAY()),0,IF(OR(INDEX($B398:$D398,AW$5)="F",AND(AW$6&gt;0,$A398&lt;AW$6),AND(AW$7&gt;0,$A398&gt;AW$7)),0,MAX(0,ROUND((INDEX($E398:$G398,AW$5)-SUMIFS(TF_Timer,TF_Tekniker,AW$4,TF_Dato,$A398))*2,0)/2)))</f>
        <v/>
      </c>
      <c r="AX398">
        <f>IF(OR(AX$4="",$A398&gt;TODAY()),0,IF(OR(INDEX($B398:$D398,AX$5)="F",AND(AX$6&gt;0,$A398&lt;AX$6),AND(AX$7&gt;0,$A398&gt;AX$7)),0,MAX(0,ROUND((INDEX($E398:$G398,AX$5)-SUMIFS(TF_Timer,TF_Tekniker,AX$4,TF_Dato,$A398))*2,0)/2)))</f>
        <v/>
      </c>
      <c r="AY398">
        <f>IF(OR(AY$4="",$A398&gt;TODAY()),0,IF(OR(INDEX($B398:$D398,AY$5)="F",AND(AY$6&gt;0,$A398&lt;AY$6),AND(AY$7&gt;0,$A398&gt;AY$7)),0,MAX(0,ROUND((INDEX($E398:$G398,AY$5)-SUMIFS(TF_Timer,TF_Tekniker,AY$4,TF_Dato,$A398))*2,0)/2)))</f>
        <v/>
      </c>
      <c r="AZ398">
        <f>IF(OR(AZ$4="",$A398&gt;TODAY()),0,IF(OR(INDEX($B398:$D398,AZ$5)="F",AND(AZ$6&gt;0,$A398&lt;AZ$6),AND(AZ$7&gt;0,$A398&gt;AZ$7)),0,MAX(0,ROUND((INDEX($E398:$G398,AZ$5)-SUMIFS(TF_Timer,TF_Tekniker,AZ$4,TF_Dato,$A398))*2,0)/2)))</f>
        <v/>
      </c>
      <c r="BA398">
        <f>IF(OR(BA$4="",$A398&gt;TODAY()),0,IF(OR(INDEX($B398:$D398,BA$5)="F",AND(BA$6&gt;0,$A398&lt;BA$6),AND(BA$7&gt;0,$A398&gt;BA$7)),0,MAX(0,ROUND((INDEX($E398:$G398,BA$5)-SUMIFS(TF_Timer,TF_Tekniker,BA$4,TF_Dato,$A398))*2,0)/2)))</f>
        <v/>
      </c>
      <c r="BB398">
        <f>IF(OR(BB$4="",$A398&gt;TODAY()),0,IF(OR(INDEX($B398:$D398,BB$5)="F",AND(BB$6&gt;0,$A398&lt;BB$6),AND(BB$7&gt;0,$A398&gt;BB$7)),0,MAX(0,ROUND((INDEX($E398:$G398,BB$5)-SUMIFS(TF_Timer,TF_Tekniker,BB$4,TF_Dato,$A398))*2,0)/2)))</f>
        <v/>
      </c>
      <c r="BC398">
        <f>IF(OR(BC$4="",$A398&gt;TODAY()),0,IF(OR(INDEX($B398:$D398,BC$5)="F",AND(BC$6&gt;0,$A398&lt;BC$6),AND(BC$7&gt;0,$A398&gt;BC$7)),0,MAX(0,ROUND((INDEX($E398:$G398,BC$5)-SUMIFS(TF_Timer,TF_Tekniker,BC$4,TF_Dato,$A398))*2,0)/2)))</f>
        <v/>
      </c>
      <c r="BD398">
        <f>IF(OR(BD$4="",$A398&gt;TODAY()),0,IF(OR(INDEX($B398:$D398,BD$5)="F",AND(BD$6&gt;0,$A398&lt;BD$6),AND(BD$7&gt;0,$A398&gt;BD$7)),0,MAX(0,ROUND((INDEX($E398:$G398,BD$5)-SUMIFS(TF_Timer,TF_Tekniker,BD$4,TF_Dato,$A398))*2,0)/2)))</f>
        <v/>
      </c>
      <c r="BE398">
        <f>IF(OR(BE$4="",$A398&gt;TODAY()),0,IF(OR(INDEX($B398:$D398,BE$5)="F",AND(BE$6&gt;0,$A398&lt;BE$6),AND(BE$7&gt;0,$A398&gt;BE$7)),0,MAX(0,ROUND((INDEX($E398:$G398,BE$5)-SUMIFS(TF_Timer,TF_Tekniker,BE$4,TF_Dato,$A398))*2,0)/2)))</f>
        <v/>
      </c>
      <c r="BF398">
        <f>IF(OR(BF$4="",$A398&gt;TODAY()),0,IF(OR(INDEX($B398:$D398,BF$5)="F",AND(BF$6&gt;0,$A398&lt;BF$6),AND(BF$7&gt;0,$A398&gt;BF$7)),0,MAX(0,ROUND((INDEX($E398:$G398,BF$5)-SUMIFS(TF_Timer,TF_Tekniker,BF$4,TF_Dato,$A398))*2,0)/2)))</f>
        <v/>
      </c>
      <c r="BG398">
        <f>IF(OR(BG$4="",$A398&gt;TODAY()),0,IF(OR(INDEX($B398:$D398,BG$5)="F",AND(BG$6&gt;0,$A398&lt;BG$6),AND(BG$7&gt;0,$A398&gt;BG$7)),0,MAX(0,ROUND((INDEX($E398:$G398,BG$5)-SUMIFS(TF_Timer,TF_Tekniker,BG$4,TF_Dato,$A398))*2,0)/2)))</f>
        <v/>
      </c>
      <c r="BH398">
        <f>IF(OR(BH$4="",$A398&gt;TODAY()),0,IF(OR(INDEX($B398:$D398,BH$5)="F",AND(BH$6&gt;0,$A398&lt;BH$6),AND(BH$7&gt;0,$A398&gt;BH$7)),0,MAX(0,ROUND((INDEX($E398:$G398,BH$5)-SUMIFS(TF_Timer,TF_Tekniker,BH$4,TF_Dato,$A398))*2,0)/2)))</f>
        <v/>
      </c>
      <c r="BI398">
        <f>IF(OR(BI$4="",$A398&gt;TODAY()),0,IF(OR(INDEX($B398:$D398,BI$5)="F",AND(BI$6&gt;0,$A398&lt;BI$6),AND(BI$7&gt;0,$A398&gt;BI$7)),0,MAX(0,ROUND((INDEX($E398:$G398,BI$5)-SUMIFS(TF_Timer,TF_Tekniker,BI$4,TF_Dato,$A398))*2,0)/2)))</f>
        <v/>
      </c>
    </row>
    <row r="399">
      <c r="A399" s="64">
        <f>A398+1</f>
        <v/>
      </c>
      <c r="B399">
        <f>IF(MOD($A399-INDEX(SkiftStart,1),Syklus)&lt;DagK,"K",IF(MOD($A399-INDEX(SkiftStart,1),Syklus)&lt;DagK+DagH,"H",IF(MOD($A399-INDEX(SkiftStart,1),Syklus)&lt;DagK+DagH+DagD,"D","F")))</f>
        <v/>
      </c>
      <c r="C399">
        <f>IF(MOD($A399-INDEX(SkiftStart,2),Syklus)&lt;DagK,"K",IF(MOD($A399-INDEX(SkiftStart,2),Syklus)&lt;DagK+DagH,"H",IF(MOD($A399-INDEX(SkiftStart,2),Syklus)&lt;DagK+DagH+DagD,"D","F")))</f>
        <v/>
      </c>
      <c r="D399">
        <f>IF(MOD($A399-INDEX(SkiftStart,3),Syklus)&lt;DagK,"K",IF(MOD($A399-INDEX(SkiftStart,3),Syklus)&lt;DagK+DagH,"H",IF(MOD($A399-INDEX(SkiftStart,3),Syklus)&lt;DagK+DagH+DagD,"D","F")))</f>
        <v/>
      </c>
      <c r="E399">
        <f>IF(B399="F",0,IF(WEEKDAY($A399,2)=5,INDEX(TimerFr,MATCH(B399,FaseKode,0)),INDEX(TimerMT,MATCH(B399,FaseKode,0))))</f>
        <v/>
      </c>
      <c r="F399">
        <f>IF(C399="F",0,IF(WEEKDAY($A399,2)=5,INDEX(TimerFr,MATCH(C399,FaseKode,0)),INDEX(TimerMT,MATCH(C399,FaseKode,0))))</f>
        <v/>
      </c>
      <c r="G399">
        <f>IF(D399="F",0,IF(WEEKDAY($A399,2)=5,INDEX(TimerFr,MATCH(D399,FaseKode,0)),INDEX(TimerMT,MATCH(D399,FaseKode,0))))</f>
        <v/>
      </c>
      <c r="H399">
        <f>IF(OR(H$4="",$A399&gt;TODAY()),0,IF(OR(INDEX($B399:$D399,H$5)="F",AND(H$6&gt;0,$A399&lt;H$6),AND(H$7&gt;0,$A399&gt;H$7)),0,MAX(0,ROUND((INDEX($E399:$G399,H$5)-SUMIFS(TF_Timer,TF_Tekniker,H$4,TF_Dato,$A399))*2,0)/2)))</f>
        <v/>
      </c>
      <c r="I399">
        <f>IF(OR(I$4="",$A399&gt;TODAY()),0,IF(OR(INDEX($B399:$D399,I$5)="F",AND(I$6&gt;0,$A399&lt;I$6),AND(I$7&gt;0,$A399&gt;I$7)),0,MAX(0,ROUND((INDEX($E399:$G399,I$5)-SUMIFS(TF_Timer,TF_Tekniker,I$4,TF_Dato,$A399))*2,0)/2)))</f>
        <v/>
      </c>
      <c r="J399">
        <f>IF(OR(J$4="",$A399&gt;TODAY()),0,IF(OR(INDEX($B399:$D399,J$5)="F",AND(J$6&gt;0,$A399&lt;J$6),AND(J$7&gt;0,$A399&gt;J$7)),0,MAX(0,ROUND((INDEX($E399:$G399,J$5)-SUMIFS(TF_Timer,TF_Tekniker,J$4,TF_Dato,$A399))*2,0)/2)))</f>
        <v/>
      </c>
      <c r="K399">
        <f>IF(OR(K$4="",$A399&gt;TODAY()),0,IF(OR(INDEX($B399:$D399,K$5)="F",AND(K$6&gt;0,$A399&lt;K$6),AND(K$7&gt;0,$A399&gt;K$7)),0,MAX(0,ROUND((INDEX($E399:$G399,K$5)-SUMIFS(TF_Timer,TF_Tekniker,K$4,TF_Dato,$A399))*2,0)/2)))</f>
        <v/>
      </c>
      <c r="L399">
        <f>IF(OR(L$4="",$A399&gt;TODAY()),0,IF(OR(INDEX($B399:$D399,L$5)="F",AND(L$6&gt;0,$A399&lt;L$6),AND(L$7&gt;0,$A399&gt;L$7)),0,MAX(0,ROUND((INDEX($E399:$G399,L$5)-SUMIFS(TF_Timer,TF_Tekniker,L$4,TF_Dato,$A399))*2,0)/2)))</f>
        <v/>
      </c>
      <c r="M399">
        <f>IF(OR(M$4="",$A399&gt;TODAY()),0,IF(OR(INDEX($B399:$D399,M$5)="F",AND(M$6&gt;0,$A399&lt;M$6),AND(M$7&gt;0,$A399&gt;M$7)),0,MAX(0,ROUND((INDEX($E399:$G399,M$5)-SUMIFS(TF_Timer,TF_Tekniker,M$4,TF_Dato,$A399))*2,0)/2)))</f>
        <v/>
      </c>
      <c r="N399">
        <f>IF(OR(N$4="",$A399&gt;TODAY()),0,IF(OR(INDEX($B399:$D399,N$5)="F",AND(N$6&gt;0,$A399&lt;N$6),AND(N$7&gt;0,$A399&gt;N$7)),0,MAX(0,ROUND((INDEX($E399:$G399,N$5)-SUMIFS(TF_Timer,TF_Tekniker,N$4,TF_Dato,$A399))*2,0)/2)))</f>
        <v/>
      </c>
      <c r="O399">
        <f>IF(OR(O$4="",$A399&gt;TODAY()),0,IF(OR(INDEX($B399:$D399,O$5)="F",AND(O$6&gt;0,$A399&lt;O$6),AND(O$7&gt;0,$A399&gt;O$7)),0,MAX(0,ROUND((INDEX($E399:$G399,O$5)-SUMIFS(TF_Timer,TF_Tekniker,O$4,TF_Dato,$A399))*2,0)/2)))</f>
        <v/>
      </c>
      <c r="P399">
        <f>IF(OR(P$4="",$A399&gt;TODAY()),0,IF(OR(INDEX($B399:$D399,P$5)="F",AND(P$6&gt;0,$A399&lt;P$6),AND(P$7&gt;0,$A399&gt;P$7)),0,MAX(0,ROUND((INDEX($E399:$G399,P$5)-SUMIFS(TF_Timer,TF_Tekniker,P$4,TF_Dato,$A399))*2,0)/2)))</f>
        <v/>
      </c>
      <c r="Q399">
        <f>IF(OR(Q$4="",$A399&gt;TODAY()),0,IF(OR(INDEX($B399:$D399,Q$5)="F",AND(Q$6&gt;0,$A399&lt;Q$6),AND(Q$7&gt;0,$A399&gt;Q$7)),0,MAX(0,ROUND((INDEX($E399:$G399,Q$5)-SUMIFS(TF_Timer,TF_Tekniker,Q$4,TF_Dato,$A399))*2,0)/2)))</f>
        <v/>
      </c>
      <c r="R399">
        <f>IF(OR(R$4="",$A399&gt;TODAY()),0,IF(OR(INDEX($B399:$D399,R$5)="F",AND(R$6&gt;0,$A399&lt;R$6),AND(R$7&gt;0,$A399&gt;R$7)),0,MAX(0,ROUND((INDEX($E399:$G399,R$5)-SUMIFS(TF_Timer,TF_Tekniker,R$4,TF_Dato,$A399))*2,0)/2)))</f>
        <v/>
      </c>
      <c r="S399">
        <f>IF(OR(S$4="",$A399&gt;TODAY()),0,IF(OR(INDEX($B399:$D399,S$5)="F",AND(S$6&gt;0,$A399&lt;S$6),AND(S$7&gt;0,$A399&gt;S$7)),0,MAX(0,ROUND((INDEX($E399:$G399,S$5)-SUMIFS(TF_Timer,TF_Tekniker,S$4,TF_Dato,$A399))*2,0)/2)))</f>
        <v/>
      </c>
      <c r="T399">
        <f>IF(OR(T$4="",$A399&gt;TODAY()),0,IF(OR(INDEX($B399:$D399,T$5)="F",AND(T$6&gt;0,$A399&lt;T$6),AND(T$7&gt;0,$A399&gt;T$7)),0,MAX(0,ROUND((INDEX($E399:$G399,T$5)-SUMIFS(TF_Timer,TF_Tekniker,T$4,TF_Dato,$A399))*2,0)/2)))</f>
        <v/>
      </c>
      <c r="U399">
        <f>IF(OR(U$4="",$A399&gt;TODAY()),0,IF(OR(INDEX($B399:$D399,U$5)="F",AND(U$6&gt;0,$A399&lt;U$6),AND(U$7&gt;0,$A399&gt;U$7)),0,MAX(0,ROUND((INDEX($E399:$G399,U$5)-SUMIFS(TF_Timer,TF_Tekniker,U$4,TF_Dato,$A399))*2,0)/2)))</f>
        <v/>
      </c>
      <c r="V399">
        <f>IF(OR(V$4="",$A399&gt;TODAY()),0,IF(OR(INDEX($B399:$D399,V$5)="F",AND(V$6&gt;0,$A399&lt;V$6),AND(V$7&gt;0,$A399&gt;V$7)),0,MAX(0,ROUND((INDEX($E399:$G399,V$5)-SUMIFS(TF_Timer,TF_Tekniker,V$4,TF_Dato,$A399))*2,0)/2)))</f>
        <v/>
      </c>
      <c r="W399">
        <f>IF(OR(W$4="",$A399&gt;TODAY()),0,IF(OR(INDEX($B399:$D399,W$5)="F",AND(W$6&gt;0,$A399&lt;W$6),AND(W$7&gt;0,$A399&gt;W$7)),0,MAX(0,ROUND((INDEX($E399:$G399,W$5)-SUMIFS(TF_Timer,TF_Tekniker,W$4,TF_Dato,$A399))*2,0)/2)))</f>
        <v/>
      </c>
      <c r="X399">
        <f>IF(OR(X$4="",$A399&gt;TODAY()),0,IF(OR(INDEX($B399:$D399,X$5)="F",AND(X$6&gt;0,$A399&lt;X$6),AND(X$7&gt;0,$A399&gt;X$7)),0,MAX(0,ROUND((INDEX($E399:$G399,X$5)-SUMIFS(TF_Timer,TF_Tekniker,X$4,TF_Dato,$A399))*2,0)/2)))</f>
        <v/>
      </c>
      <c r="Y399">
        <f>IF(OR(Y$4="",$A399&gt;TODAY()),0,IF(OR(INDEX($B399:$D399,Y$5)="F",AND(Y$6&gt;0,$A399&lt;Y$6),AND(Y$7&gt;0,$A399&gt;Y$7)),0,MAX(0,ROUND((INDEX($E399:$G399,Y$5)-SUMIFS(TF_Timer,TF_Tekniker,Y$4,TF_Dato,$A399))*2,0)/2)))</f>
        <v/>
      </c>
      <c r="Z399">
        <f>IF(OR(Z$4="",$A399&gt;TODAY()),0,IF(OR(INDEX($B399:$D399,Z$5)="F",AND(Z$6&gt;0,$A399&lt;Z$6),AND(Z$7&gt;0,$A399&gt;Z$7)),0,MAX(0,ROUND((INDEX($E399:$G399,Z$5)-SUMIFS(TF_Timer,TF_Tekniker,Z$4,TF_Dato,$A399))*2,0)/2)))</f>
        <v/>
      </c>
      <c r="AA399">
        <f>IF(OR(AA$4="",$A399&gt;TODAY()),0,IF(OR(INDEX($B399:$D399,AA$5)="F",AND(AA$6&gt;0,$A399&lt;AA$6),AND(AA$7&gt;0,$A399&gt;AA$7)),0,MAX(0,ROUND((INDEX($E399:$G399,AA$5)-SUMIFS(TF_Timer,TF_Tekniker,AA$4,TF_Dato,$A399))*2,0)/2)))</f>
        <v/>
      </c>
      <c r="AB399">
        <f>IF(OR(AB$4="",$A399&gt;TODAY()),0,IF(OR(INDEX($B399:$D399,AB$5)="F",AND(AB$6&gt;0,$A399&lt;AB$6),AND(AB$7&gt;0,$A399&gt;AB$7)),0,MAX(0,ROUND((INDEX($E399:$G399,AB$5)-SUMIFS(TF_Timer,TF_Tekniker,AB$4,TF_Dato,$A399))*2,0)/2)))</f>
        <v/>
      </c>
      <c r="AC399">
        <f>IF(OR(AC$4="",$A399&gt;TODAY()),0,IF(OR(INDEX($B399:$D399,AC$5)="F",AND(AC$6&gt;0,$A399&lt;AC$6),AND(AC$7&gt;0,$A399&gt;AC$7)),0,MAX(0,ROUND((INDEX($E399:$G399,AC$5)-SUMIFS(TF_Timer,TF_Tekniker,AC$4,TF_Dato,$A399))*2,0)/2)))</f>
        <v/>
      </c>
      <c r="AD399">
        <f>IF(OR(AD$4="",$A399&gt;TODAY()),0,IF(OR(INDEX($B399:$D399,AD$5)="F",AND(AD$6&gt;0,$A399&lt;AD$6),AND(AD$7&gt;0,$A399&gt;AD$7)),0,MAX(0,ROUND((INDEX($E399:$G399,AD$5)-SUMIFS(TF_Timer,TF_Tekniker,AD$4,TF_Dato,$A399))*2,0)/2)))</f>
        <v/>
      </c>
      <c r="AE399">
        <f>IF(OR(AE$4="",$A399&gt;TODAY()),0,IF(OR(INDEX($B399:$D399,AE$5)="F",AND(AE$6&gt;0,$A399&lt;AE$6),AND(AE$7&gt;0,$A399&gt;AE$7)),0,MAX(0,ROUND((INDEX($E399:$G399,AE$5)-SUMIFS(TF_Timer,TF_Tekniker,AE$4,TF_Dato,$A399))*2,0)/2)))</f>
        <v/>
      </c>
      <c r="AF399">
        <f>IF(OR(AF$4="",$A399&gt;TODAY()),0,IF(OR(INDEX($B399:$D399,AF$5)="F",AND(AF$6&gt;0,$A399&lt;AF$6),AND(AF$7&gt;0,$A399&gt;AF$7)),0,MAX(0,ROUND((INDEX($E399:$G399,AF$5)-SUMIFS(TF_Timer,TF_Tekniker,AF$4,TF_Dato,$A399))*2,0)/2)))</f>
        <v/>
      </c>
      <c r="AG399">
        <f>IF(OR(AG$4="",$A399&gt;TODAY()),0,IF(OR(INDEX($B399:$D399,AG$5)="F",AND(AG$6&gt;0,$A399&lt;AG$6),AND(AG$7&gt;0,$A399&gt;AG$7)),0,MAX(0,ROUND((INDEX($E399:$G399,AG$5)-SUMIFS(TF_Timer,TF_Tekniker,AG$4,TF_Dato,$A399))*2,0)/2)))</f>
        <v/>
      </c>
      <c r="AH399">
        <f>IF(OR(AH$4="",$A399&gt;TODAY()),0,IF(OR(INDEX($B399:$D399,AH$5)="F",AND(AH$6&gt;0,$A399&lt;AH$6),AND(AH$7&gt;0,$A399&gt;AH$7)),0,MAX(0,ROUND((INDEX($E399:$G399,AH$5)-SUMIFS(TF_Timer,TF_Tekniker,AH$4,TF_Dato,$A399))*2,0)/2)))</f>
        <v/>
      </c>
      <c r="AI399">
        <f>IF(OR(AI$4="",$A399&gt;TODAY()),0,IF(OR(INDEX($B399:$D399,AI$5)="F",AND(AI$6&gt;0,$A399&lt;AI$6),AND(AI$7&gt;0,$A399&gt;AI$7)),0,MAX(0,ROUND((INDEX($E399:$G399,AI$5)-SUMIFS(TF_Timer,TF_Tekniker,AI$4,TF_Dato,$A399))*2,0)/2)))</f>
        <v/>
      </c>
      <c r="AJ399">
        <f>IF(OR(AJ$4="",$A399&gt;TODAY()),0,IF(OR(INDEX($B399:$D399,AJ$5)="F",AND(AJ$6&gt;0,$A399&lt;AJ$6),AND(AJ$7&gt;0,$A399&gt;AJ$7)),0,MAX(0,ROUND((INDEX($E399:$G399,AJ$5)-SUMIFS(TF_Timer,TF_Tekniker,AJ$4,TF_Dato,$A399))*2,0)/2)))</f>
        <v/>
      </c>
      <c r="AK399">
        <f>IF(OR(AK$4="",$A399&gt;TODAY()),0,IF(OR(INDEX($B399:$D399,AK$5)="F",AND(AK$6&gt;0,$A399&lt;AK$6),AND(AK$7&gt;0,$A399&gt;AK$7)),0,MAX(0,ROUND((INDEX($E399:$G399,AK$5)-SUMIFS(TF_Timer,TF_Tekniker,AK$4,TF_Dato,$A399))*2,0)/2)))</f>
        <v/>
      </c>
      <c r="AL399">
        <f>IF(OR(AL$4="",$A399&gt;TODAY()),0,IF(OR(INDEX($B399:$D399,AL$5)="F",AND(AL$6&gt;0,$A399&lt;AL$6),AND(AL$7&gt;0,$A399&gt;AL$7)),0,MAX(0,ROUND((INDEX($E399:$G399,AL$5)-SUMIFS(TF_Timer,TF_Tekniker,AL$4,TF_Dato,$A399))*2,0)/2)))</f>
        <v/>
      </c>
      <c r="AM399">
        <f>IF(OR(AM$4="",$A399&gt;TODAY()),0,IF(OR(INDEX($B399:$D399,AM$5)="F",AND(AM$6&gt;0,$A399&lt;AM$6),AND(AM$7&gt;0,$A399&gt;AM$7)),0,MAX(0,ROUND((INDEX($E399:$G399,AM$5)-SUMIFS(TF_Timer,TF_Tekniker,AM$4,TF_Dato,$A399))*2,0)/2)))</f>
        <v/>
      </c>
      <c r="AN399">
        <f>IF(OR(AN$4="",$A399&gt;TODAY()),0,IF(OR(INDEX($B399:$D399,AN$5)="F",AND(AN$6&gt;0,$A399&lt;AN$6),AND(AN$7&gt;0,$A399&gt;AN$7)),0,MAX(0,ROUND((INDEX($E399:$G399,AN$5)-SUMIFS(TF_Timer,TF_Tekniker,AN$4,TF_Dato,$A399))*2,0)/2)))</f>
        <v/>
      </c>
      <c r="AO399">
        <f>IF(OR(AO$4="",$A399&gt;TODAY()),0,IF(OR(INDEX($B399:$D399,AO$5)="F",AND(AO$6&gt;0,$A399&lt;AO$6),AND(AO$7&gt;0,$A399&gt;AO$7)),0,MAX(0,ROUND((INDEX($E399:$G399,AO$5)-SUMIFS(TF_Timer,TF_Tekniker,AO$4,TF_Dato,$A399))*2,0)/2)))</f>
        <v/>
      </c>
      <c r="AP399">
        <f>IF(OR(AP$4="",$A399&gt;TODAY()),0,IF(OR(INDEX($B399:$D399,AP$5)="F",AND(AP$6&gt;0,$A399&lt;AP$6),AND(AP$7&gt;0,$A399&gt;AP$7)),0,MAX(0,ROUND((INDEX($E399:$G399,AP$5)-SUMIFS(TF_Timer,TF_Tekniker,AP$4,TF_Dato,$A399))*2,0)/2)))</f>
        <v/>
      </c>
      <c r="AQ399">
        <f>IF(OR(AQ$4="",$A399&gt;TODAY()),0,IF(OR(INDEX($B399:$D399,AQ$5)="F",AND(AQ$6&gt;0,$A399&lt;AQ$6),AND(AQ$7&gt;0,$A399&gt;AQ$7)),0,MAX(0,ROUND((INDEX($E399:$G399,AQ$5)-SUMIFS(TF_Timer,TF_Tekniker,AQ$4,TF_Dato,$A399))*2,0)/2)))</f>
        <v/>
      </c>
      <c r="AR399">
        <f>IF(OR(AR$4="",$A399&gt;TODAY()),0,IF(OR(INDEX($B399:$D399,AR$5)="F",AND(AR$6&gt;0,$A399&lt;AR$6),AND(AR$7&gt;0,$A399&gt;AR$7)),0,MAX(0,ROUND((INDEX($E399:$G399,AR$5)-SUMIFS(TF_Timer,TF_Tekniker,AR$4,TF_Dato,$A399))*2,0)/2)))</f>
        <v/>
      </c>
      <c r="AS399">
        <f>IF(OR(AS$4="",$A399&gt;TODAY()),0,IF(OR(INDEX($B399:$D399,AS$5)="F",AND(AS$6&gt;0,$A399&lt;AS$6),AND(AS$7&gt;0,$A399&gt;AS$7)),0,MAX(0,ROUND((INDEX($E399:$G399,AS$5)-SUMIFS(TF_Timer,TF_Tekniker,AS$4,TF_Dato,$A399))*2,0)/2)))</f>
        <v/>
      </c>
      <c r="AT399">
        <f>IF(OR(AT$4="",$A399&gt;TODAY()),0,IF(OR(INDEX($B399:$D399,AT$5)="F",AND(AT$6&gt;0,$A399&lt;AT$6),AND(AT$7&gt;0,$A399&gt;AT$7)),0,MAX(0,ROUND((INDEX($E399:$G399,AT$5)-SUMIFS(TF_Timer,TF_Tekniker,AT$4,TF_Dato,$A399))*2,0)/2)))</f>
        <v/>
      </c>
      <c r="AU399">
        <f>IF(OR(AU$4="",$A399&gt;TODAY()),0,IF(OR(INDEX($B399:$D399,AU$5)="F",AND(AU$6&gt;0,$A399&lt;AU$6),AND(AU$7&gt;0,$A399&gt;AU$7)),0,MAX(0,ROUND((INDEX($E399:$G399,AU$5)-SUMIFS(TF_Timer,TF_Tekniker,AU$4,TF_Dato,$A399))*2,0)/2)))</f>
        <v/>
      </c>
      <c r="AV399">
        <f>IF(OR(AV$4="",$A399&gt;TODAY()),0,IF(OR(INDEX($B399:$D399,AV$5)="F",AND(AV$6&gt;0,$A399&lt;AV$6),AND(AV$7&gt;0,$A399&gt;AV$7)),0,MAX(0,ROUND((INDEX($E399:$G399,AV$5)-SUMIFS(TF_Timer,TF_Tekniker,AV$4,TF_Dato,$A399))*2,0)/2)))</f>
        <v/>
      </c>
      <c r="AW399">
        <f>IF(OR(AW$4="",$A399&gt;TODAY()),0,IF(OR(INDEX($B399:$D399,AW$5)="F",AND(AW$6&gt;0,$A399&lt;AW$6),AND(AW$7&gt;0,$A399&gt;AW$7)),0,MAX(0,ROUND((INDEX($E399:$G399,AW$5)-SUMIFS(TF_Timer,TF_Tekniker,AW$4,TF_Dato,$A399))*2,0)/2)))</f>
        <v/>
      </c>
      <c r="AX399">
        <f>IF(OR(AX$4="",$A399&gt;TODAY()),0,IF(OR(INDEX($B399:$D399,AX$5)="F",AND(AX$6&gt;0,$A399&lt;AX$6),AND(AX$7&gt;0,$A399&gt;AX$7)),0,MAX(0,ROUND((INDEX($E399:$G399,AX$5)-SUMIFS(TF_Timer,TF_Tekniker,AX$4,TF_Dato,$A399))*2,0)/2)))</f>
        <v/>
      </c>
      <c r="AY399">
        <f>IF(OR(AY$4="",$A399&gt;TODAY()),0,IF(OR(INDEX($B399:$D399,AY$5)="F",AND(AY$6&gt;0,$A399&lt;AY$6),AND(AY$7&gt;0,$A399&gt;AY$7)),0,MAX(0,ROUND((INDEX($E399:$G399,AY$5)-SUMIFS(TF_Timer,TF_Tekniker,AY$4,TF_Dato,$A399))*2,0)/2)))</f>
        <v/>
      </c>
      <c r="AZ399">
        <f>IF(OR(AZ$4="",$A399&gt;TODAY()),0,IF(OR(INDEX($B399:$D399,AZ$5)="F",AND(AZ$6&gt;0,$A399&lt;AZ$6),AND(AZ$7&gt;0,$A399&gt;AZ$7)),0,MAX(0,ROUND((INDEX($E399:$G399,AZ$5)-SUMIFS(TF_Timer,TF_Tekniker,AZ$4,TF_Dato,$A399))*2,0)/2)))</f>
        <v/>
      </c>
      <c r="BA399">
        <f>IF(OR(BA$4="",$A399&gt;TODAY()),0,IF(OR(INDEX($B399:$D399,BA$5)="F",AND(BA$6&gt;0,$A399&lt;BA$6),AND(BA$7&gt;0,$A399&gt;BA$7)),0,MAX(0,ROUND((INDEX($E399:$G399,BA$5)-SUMIFS(TF_Timer,TF_Tekniker,BA$4,TF_Dato,$A399))*2,0)/2)))</f>
        <v/>
      </c>
      <c r="BB399">
        <f>IF(OR(BB$4="",$A399&gt;TODAY()),0,IF(OR(INDEX($B399:$D399,BB$5)="F",AND(BB$6&gt;0,$A399&lt;BB$6),AND(BB$7&gt;0,$A399&gt;BB$7)),0,MAX(0,ROUND((INDEX($E399:$G399,BB$5)-SUMIFS(TF_Timer,TF_Tekniker,BB$4,TF_Dato,$A399))*2,0)/2)))</f>
        <v/>
      </c>
      <c r="BC399">
        <f>IF(OR(BC$4="",$A399&gt;TODAY()),0,IF(OR(INDEX($B399:$D399,BC$5)="F",AND(BC$6&gt;0,$A399&lt;BC$6),AND(BC$7&gt;0,$A399&gt;BC$7)),0,MAX(0,ROUND((INDEX($E399:$G399,BC$5)-SUMIFS(TF_Timer,TF_Tekniker,BC$4,TF_Dato,$A399))*2,0)/2)))</f>
        <v/>
      </c>
      <c r="BD399">
        <f>IF(OR(BD$4="",$A399&gt;TODAY()),0,IF(OR(INDEX($B399:$D399,BD$5)="F",AND(BD$6&gt;0,$A399&lt;BD$6),AND(BD$7&gt;0,$A399&gt;BD$7)),0,MAX(0,ROUND((INDEX($E399:$G399,BD$5)-SUMIFS(TF_Timer,TF_Tekniker,BD$4,TF_Dato,$A399))*2,0)/2)))</f>
        <v/>
      </c>
      <c r="BE399">
        <f>IF(OR(BE$4="",$A399&gt;TODAY()),0,IF(OR(INDEX($B399:$D399,BE$5)="F",AND(BE$6&gt;0,$A399&lt;BE$6),AND(BE$7&gt;0,$A399&gt;BE$7)),0,MAX(0,ROUND((INDEX($E399:$G399,BE$5)-SUMIFS(TF_Timer,TF_Tekniker,BE$4,TF_Dato,$A399))*2,0)/2)))</f>
        <v/>
      </c>
      <c r="BF399">
        <f>IF(OR(BF$4="",$A399&gt;TODAY()),0,IF(OR(INDEX($B399:$D399,BF$5)="F",AND(BF$6&gt;0,$A399&lt;BF$6),AND(BF$7&gt;0,$A399&gt;BF$7)),0,MAX(0,ROUND((INDEX($E399:$G399,BF$5)-SUMIFS(TF_Timer,TF_Tekniker,BF$4,TF_Dato,$A399))*2,0)/2)))</f>
        <v/>
      </c>
      <c r="BG399">
        <f>IF(OR(BG$4="",$A399&gt;TODAY()),0,IF(OR(INDEX($B399:$D399,BG$5)="F",AND(BG$6&gt;0,$A399&lt;BG$6),AND(BG$7&gt;0,$A399&gt;BG$7)),0,MAX(0,ROUND((INDEX($E399:$G399,BG$5)-SUMIFS(TF_Timer,TF_Tekniker,BG$4,TF_Dato,$A399))*2,0)/2)))</f>
        <v/>
      </c>
      <c r="BH399">
        <f>IF(OR(BH$4="",$A399&gt;TODAY()),0,IF(OR(INDEX($B399:$D399,BH$5)="F",AND(BH$6&gt;0,$A399&lt;BH$6),AND(BH$7&gt;0,$A399&gt;BH$7)),0,MAX(0,ROUND((INDEX($E399:$G399,BH$5)-SUMIFS(TF_Timer,TF_Tekniker,BH$4,TF_Dato,$A399))*2,0)/2)))</f>
        <v/>
      </c>
      <c r="BI399">
        <f>IF(OR(BI$4="",$A399&gt;TODAY()),0,IF(OR(INDEX($B399:$D399,BI$5)="F",AND(BI$6&gt;0,$A399&lt;BI$6),AND(BI$7&gt;0,$A399&gt;BI$7)),0,MAX(0,ROUND((INDEX($E399:$G399,BI$5)-SUMIFS(TF_Timer,TF_Tekniker,BI$4,TF_Dato,$A399))*2,0)/2)))</f>
        <v/>
      </c>
    </row>
    <row r="400">
      <c r="A400" s="64">
        <f>A399+1</f>
        <v/>
      </c>
      <c r="B400">
        <f>IF(MOD($A400-INDEX(SkiftStart,1),Syklus)&lt;DagK,"K",IF(MOD($A400-INDEX(SkiftStart,1),Syklus)&lt;DagK+DagH,"H",IF(MOD($A400-INDEX(SkiftStart,1),Syklus)&lt;DagK+DagH+DagD,"D","F")))</f>
        <v/>
      </c>
      <c r="C400">
        <f>IF(MOD($A400-INDEX(SkiftStart,2),Syklus)&lt;DagK,"K",IF(MOD($A400-INDEX(SkiftStart,2),Syklus)&lt;DagK+DagH,"H",IF(MOD($A400-INDEX(SkiftStart,2),Syklus)&lt;DagK+DagH+DagD,"D","F")))</f>
        <v/>
      </c>
      <c r="D400">
        <f>IF(MOD($A400-INDEX(SkiftStart,3),Syklus)&lt;DagK,"K",IF(MOD($A400-INDEX(SkiftStart,3),Syklus)&lt;DagK+DagH,"H",IF(MOD($A400-INDEX(SkiftStart,3),Syklus)&lt;DagK+DagH+DagD,"D","F")))</f>
        <v/>
      </c>
      <c r="E400">
        <f>IF(B400="F",0,IF(WEEKDAY($A400,2)=5,INDEX(TimerFr,MATCH(B400,FaseKode,0)),INDEX(TimerMT,MATCH(B400,FaseKode,0))))</f>
        <v/>
      </c>
      <c r="F400">
        <f>IF(C400="F",0,IF(WEEKDAY($A400,2)=5,INDEX(TimerFr,MATCH(C400,FaseKode,0)),INDEX(TimerMT,MATCH(C400,FaseKode,0))))</f>
        <v/>
      </c>
      <c r="G400">
        <f>IF(D400="F",0,IF(WEEKDAY($A400,2)=5,INDEX(TimerFr,MATCH(D400,FaseKode,0)),INDEX(TimerMT,MATCH(D400,FaseKode,0))))</f>
        <v/>
      </c>
      <c r="H400">
        <f>IF(OR(H$4="",$A400&gt;TODAY()),0,IF(OR(INDEX($B400:$D400,H$5)="F",AND(H$6&gt;0,$A400&lt;H$6),AND(H$7&gt;0,$A400&gt;H$7)),0,MAX(0,ROUND((INDEX($E400:$G400,H$5)-SUMIFS(TF_Timer,TF_Tekniker,H$4,TF_Dato,$A400))*2,0)/2)))</f>
        <v/>
      </c>
      <c r="I400">
        <f>IF(OR(I$4="",$A400&gt;TODAY()),0,IF(OR(INDEX($B400:$D400,I$5)="F",AND(I$6&gt;0,$A400&lt;I$6),AND(I$7&gt;0,$A400&gt;I$7)),0,MAX(0,ROUND((INDEX($E400:$G400,I$5)-SUMIFS(TF_Timer,TF_Tekniker,I$4,TF_Dato,$A400))*2,0)/2)))</f>
        <v/>
      </c>
      <c r="J400">
        <f>IF(OR(J$4="",$A400&gt;TODAY()),0,IF(OR(INDEX($B400:$D400,J$5)="F",AND(J$6&gt;0,$A400&lt;J$6),AND(J$7&gt;0,$A400&gt;J$7)),0,MAX(0,ROUND((INDEX($E400:$G400,J$5)-SUMIFS(TF_Timer,TF_Tekniker,J$4,TF_Dato,$A400))*2,0)/2)))</f>
        <v/>
      </c>
      <c r="K400">
        <f>IF(OR(K$4="",$A400&gt;TODAY()),0,IF(OR(INDEX($B400:$D400,K$5)="F",AND(K$6&gt;0,$A400&lt;K$6),AND(K$7&gt;0,$A400&gt;K$7)),0,MAX(0,ROUND((INDEX($E400:$G400,K$5)-SUMIFS(TF_Timer,TF_Tekniker,K$4,TF_Dato,$A400))*2,0)/2)))</f>
        <v/>
      </c>
      <c r="L400">
        <f>IF(OR(L$4="",$A400&gt;TODAY()),0,IF(OR(INDEX($B400:$D400,L$5)="F",AND(L$6&gt;0,$A400&lt;L$6),AND(L$7&gt;0,$A400&gt;L$7)),0,MAX(0,ROUND((INDEX($E400:$G400,L$5)-SUMIFS(TF_Timer,TF_Tekniker,L$4,TF_Dato,$A400))*2,0)/2)))</f>
        <v/>
      </c>
      <c r="M400">
        <f>IF(OR(M$4="",$A400&gt;TODAY()),0,IF(OR(INDEX($B400:$D400,M$5)="F",AND(M$6&gt;0,$A400&lt;M$6),AND(M$7&gt;0,$A400&gt;M$7)),0,MAX(0,ROUND((INDEX($E400:$G400,M$5)-SUMIFS(TF_Timer,TF_Tekniker,M$4,TF_Dato,$A400))*2,0)/2)))</f>
        <v/>
      </c>
      <c r="N400">
        <f>IF(OR(N$4="",$A400&gt;TODAY()),0,IF(OR(INDEX($B400:$D400,N$5)="F",AND(N$6&gt;0,$A400&lt;N$6),AND(N$7&gt;0,$A400&gt;N$7)),0,MAX(0,ROUND((INDEX($E400:$G400,N$5)-SUMIFS(TF_Timer,TF_Tekniker,N$4,TF_Dato,$A400))*2,0)/2)))</f>
        <v/>
      </c>
      <c r="O400">
        <f>IF(OR(O$4="",$A400&gt;TODAY()),0,IF(OR(INDEX($B400:$D400,O$5)="F",AND(O$6&gt;0,$A400&lt;O$6),AND(O$7&gt;0,$A400&gt;O$7)),0,MAX(0,ROUND((INDEX($E400:$G400,O$5)-SUMIFS(TF_Timer,TF_Tekniker,O$4,TF_Dato,$A400))*2,0)/2)))</f>
        <v/>
      </c>
      <c r="P400">
        <f>IF(OR(P$4="",$A400&gt;TODAY()),0,IF(OR(INDEX($B400:$D400,P$5)="F",AND(P$6&gt;0,$A400&lt;P$6),AND(P$7&gt;0,$A400&gt;P$7)),0,MAX(0,ROUND((INDEX($E400:$G400,P$5)-SUMIFS(TF_Timer,TF_Tekniker,P$4,TF_Dato,$A400))*2,0)/2)))</f>
        <v/>
      </c>
      <c r="Q400">
        <f>IF(OR(Q$4="",$A400&gt;TODAY()),0,IF(OR(INDEX($B400:$D400,Q$5)="F",AND(Q$6&gt;0,$A400&lt;Q$6),AND(Q$7&gt;0,$A400&gt;Q$7)),0,MAX(0,ROUND((INDEX($E400:$G400,Q$5)-SUMIFS(TF_Timer,TF_Tekniker,Q$4,TF_Dato,$A400))*2,0)/2)))</f>
        <v/>
      </c>
      <c r="R400">
        <f>IF(OR(R$4="",$A400&gt;TODAY()),0,IF(OR(INDEX($B400:$D400,R$5)="F",AND(R$6&gt;0,$A400&lt;R$6),AND(R$7&gt;0,$A400&gt;R$7)),0,MAX(0,ROUND((INDEX($E400:$G400,R$5)-SUMIFS(TF_Timer,TF_Tekniker,R$4,TF_Dato,$A400))*2,0)/2)))</f>
        <v/>
      </c>
      <c r="S400">
        <f>IF(OR(S$4="",$A400&gt;TODAY()),0,IF(OR(INDEX($B400:$D400,S$5)="F",AND(S$6&gt;0,$A400&lt;S$6),AND(S$7&gt;0,$A400&gt;S$7)),0,MAX(0,ROUND((INDEX($E400:$G400,S$5)-SUMIFS(TF_Timer,TF_Tekniker,S$4,TF_Dato,$A400))*2,0)/2)))</f>
        <v/>
      </c>
      <c r="T400">
        <f>IF(OR(T$4="",$A400&gt;TODAY()),0,IF(OR(INDEX($B400:$D400,T$5)="F",AND(T$6&gt;0,$A400&lt;T$6),AND(T$7&gt;0,$A400&gt;T$7)),0,MAX(0,ROUND((INDEX($E400:$G400,T$5)-SUMIFS(TF_Timer,TF_Tekniker,T$4,TF_Dato,$A400))*2,0)/2)))</f>
        <v/>
      </c>
      <c r="U400">
        <f>IF(OR(U$4="",$A400&gt;TODAY()),0,IF(OR(INDEX($B400:$D400,U$5)="F",AND(U$6&gt;0,$A400&lt;U$6),AND(U$7&gt;0,$A400&gt;U$7)),0,MAX(0,ROUND((INDEX($E400:$G400,U$5)-SUMIFS(TF_Timer,TF_Tekniker,U$4,TF_Dato,$A400))*2,0)/2)))</f>
        <v/>
      </c>
      <c r="V400">
        <f>IF(OR(V$4="",$A400&gt;TODAY()),0,IF(OR(INDEX($B400:$D400,V$5)="F",AND(V$6&gt;0,$A400&lt;V$6),AND(V$7&gt;0,$A400&gt;V$7)),0,MAX(0,ROUND((INDEX($E400:$G400,V$5)-SUMIFS(TF_Timer,TF_Tekniker,V$4,TF_Dato,$A400))*2,0)/2)))</f>
        <v/>
      </c>
      <c r="W400">
        <f>IF(OR(W$4="",$A400&gt;TODAY()),0,IF(OR(INDEX($B400:$D400,W$5)="F",AND(W$6&gt;0,$A400&lt;W$6),AND(W$7&gt;0,$A400&gt;W$7)),0,MAX(0,ROUND((INDEX($E400:$G400,W$5)-SUMIFS(TF_Timer,TF_Tekniker,W$4,TF_Dato,$A400))*2,0)/2)))</f>
        <v/>
      </c>
      <c r="X400">
        <f>IF(OR(X$4="",$A400&gt;TODAY()),0,IF(OR(INDEX($B400:$D400,X$5)="F",AND(X$6&gt;0,$A400&lt;X$6),AND(X$7&gt;0,$A400&gt;X$7)),0,MAX(0,ROUND((INDEX($E400:$G400,X$5)-SUMIFS(TF_Timer,TF_Tekniker,X$4,TF_Dato,$A400))*2,0)/2)))</f>
        <v/>
      </c>
      <c r="Y400">
        <f>IF(OR(Y$4="",$A400&gt;TODAY()),0,IF(OR(INDEX($B400:$D400,Y$5)="F",AND(Y$6&gt;0,$A400&lt;Y$6),AND(Y$7&gt;0,$A400&gt;Y$7)),0,MAX(0,ROUND((INDEX($E400:$G400,Y$5)-SUMIFS(TF_Timer,TF_Tekniker,Y$4,TF_Dato,$A400))*2,0)/2)))</f>
        <v/>
      </c>
      <c r="Z400">
        <f>IF(OR(Z$4="",$A400&gt;TODAY()),0,IF(OR(INDEX($B400:$D400,Z$5)="F",AND(Z$6&gt;0,$A400&lt;Z$6),AND(Z$7&gt;0,$A400&gt;Z$7)),0,MAX(0,ROUND((INDEX($E400:$G400,Z$5)-SUMIFS(TF_Timer,TF_Tekniker,Z$4,TF_Dato,$A400))*2,0)/2)))</f>
        <v/>
      </c>
      <c r="AA400">
        <f>IF(OR(AA$4="",$A400&gt;TODAY()),0,IF(OR(INDEX($B400:$D400,AA$5)="F",AND(AA$6&gt;0,$A400&lt;AA$6),AND(AA$7&gt;0,$A400&gt;AA$7)),0,MAX(0,ROUND((INDEX($E400:$G400,AA$5)-SUMIFS(TF_Timer,TF_Tekniker,AA$4,TF_Dato,$A400))*2,0)/2)))</f>
        <v/>
      </c>
      <c r="AB400">
        <f>IF(OR(AB$4="",$A400&gt;TODAY()),0,IF(OR(INDEX($B400:$D400,AB$5)="F",AND(AB$6&gt;0,$A400&lt;AB$6),AND(AB$7&gt;0,$A400&gt;AB$7)),0,MAX(0,ROUND((INDEX($E400:$G400,AB$5)-SUMIFS(TF_Timer,TF_Tekniker,AB$4,TF_Dato,$A400))*2,0)/2)))</f>
        <v/>
      </c>
      <c r="AC400">
        <f>IF(OR(AC$4="",$A400&gt;TODAY()),0,IF(OR(INDEX($B400:$D400,AC$5)="F",AND(AC$6&gt;0,$A400&lt;AC$6),AND(AC$7&gt;0,$A400&gt;AC$7)),0,MAX(0,ROUND((INDEX($E400:$G400,AC$5)-SUMIFS(TF_Timer,TF_Tekniker,AC$4,TF_Dato,$A400))*2,0)/2)))</f>
        <v/>
      </c>
      <c r="AD400">
        <f>IF(OR(AD$4="",$A400&gt;TODAY()),0,IF(OR(INDEX($B400:$D400,AD$5)="F",AND(AD$6&gt;0,$A400&lt;AD$6),AND(AD$7&gt;0,$A400&gt;AD$7)),0,MAX(0,ROUND((INDEX($E400:$G400,AD$5)-SUMIFS(TF_Timer,TF_Tekniker,AD$4,TF_Dato,$A400))*2,0)/2)))</f>
        <v/>
      </c>
      <c r="AE400">
        <f>IF(OR(AE$4="",$A400&gt;TODAY()),0,IF(OR(INDEX($B400:$D400,AE$5)="F",AND(AE$6&gt;0,$A400&lt;AE$6),AND(AE$7&gt;0,$A400&gt;AE$7)),0,MAX(0,ROUND((INDEX($E400:$G400,AE$5)-SUMIFS(TF_Timer,TF_Tekniker,AE$4,TF_Dato,$A400))*2,0)/2)))</f>
        <v/>
      </c>
      <c r="AF400">
        <f>IF(OR(AF$4="",$A400&gt;TODAY()),0,IF(OR(INDEX($B400:$D400,AF$5)="F",AND(AF$6&gt;0,$A400&lt;AF$6),AND(AF$7&gt;0,$A400&gt;AF$7)),0,MAX(0,ROUND((INDEX($E400:$G400,AF$5)-SUMIFS(TF_Timer,TF_Tekniker,AF$4,TF_Dato,$A400))*2,0)/2)))</f>
        <v/>
      </c>
      <c r="AG400">
        <f>IF(OR(AG$4="",$A400&gt;TODAY()),0,IF(OR(INDEX($B400:$D400,AG$5)="F",AND(AG$6&gt;0,$A400&lt;AG$6),AND(AG$7&gt;0,$A400&gt;AG$7)),0,MAX(0,ROUND((INDEX($E400:$G400,AG$5)-SUMIFS(TF_Timer,TF_Tekniker,AG$4,TF_Dato,$A400))*2,0)/2)))</f>
        <v/>
      </c>
      <c r="AH400">
        <f>IF(OR(AH$4="",$A400&gt;TODAY()),0,IF(OR(INDEX($B400:$D400,AH$5)="F",AND(AH$6&gt;0,$A400&lt;AH$6),AND(AH$7&gt;0,$A400&gt;AH$7)),0,MAX(0,ROUND((INDEX($E400:$G400,AH$5)-SUMIFS(TF_Timer,TF_Tekniker,AH$4,TF_Dato,$A400))*2,0)/2)))</f>
        <v/>
      </c>
      <c r="AI400">
        <f>IF(OR(AI$4="",$A400&gt;TODAY()),0,IF(OR(INDEX($B400:$D400,AI$5)="F",AND(AI$6&gt;0,$A400&lt;AI$6),AND(AI$7&gt;0,$A400&gt;AI$7)),0,MAX(0,ROUND((INDEX($E400:$G400,AI$5)-SUMIFS(TF_Timer,TF_Tekniker,AI$4,TF_Dato,$A400))*2,0)/2)))</f>
        <v/>
      </c>
      <c r="AJ400">
        <f>IF(OR(AJ$4="",$A400&gt;TODAY()),0,IF(OR(INDEX($B400:$D400,AJ$5)="F",AND(AJ$6&gt;0,$A400&lt;AJ$6),AND(AJ$7&gt;0,$A400&gt;AJ$7)),0,MAX(0,ROUND((INDEX($E400:$G400,AJ$5)-SUMIFS(TF_Timer,TF_Tekniker,AJ$4,TF_Dato,$A400))*2,0)/2)))</f>
        <v/>
      </c>
      <c r="AK400">
        <f>IF(OR(AK$4="",$A400&gt;TODAY()),0,IF(OR(INDEX($B400:$D400,AK$5)="F",AND(AK$6&gt;0,$A400&lt;AK$6),AND(AK$7&gt;0,$A400&gt;AK$7)),0,MAX(0,ROUND((INDEX($E400:$G400,AK$5)-SUMIFS(TF_Timer,TF_Tekniker,AK$4,TF_Dato,$A400))*2,0)/2)))</f>
        <v/>
      </c>
      <c r="AL400">
        <f>IF(OR(AL$4="",$A400&gt;TODAY()),0,IF(OR(INDEX($B400:$D400,AL$5)="F",AND(AL$6&gt;0,$A400&lt;AL$6),AND(AL$7&gt;0,$A400&gt;AL$7)),0,MAX(0,ROUND((INDEX($E400:$G400,AL$5)-SUMIFS(TF_Timer,TF_Tekniker,AL$4,TF_Dato,$A400))*2,0)/2)))</f>
        <v/>
      </c>
      <c r="AM400">
        <f>IF(OR(AM$4="",$A400&gt;TODAY()),0,IF(OR(INDEX($B400:$D400,AM$5)="F",AND(AM$6&gt;0,$A400&lt;AM$6),AND(AM$7&gt;0,$A400&gt;AM$7)),0,MAX(0,ROUND((INDEX($E400:$G400,AM$5)-SUMIFS(TF_Timer,TF_Tekniker,AM$4,TF_Dato,$A400))*2,0)/2)))</f>
        <v/>
      </c>
      <c r="AN400">
        <f>IF(OR(AN$4="",$A400&gt;TODAY()),0,IF(OR(INDEX($B400:$D400,AN$5)="F",AND(AN$6&gt;0,$A400&lt;AN$6),AND(AN$7&gt;0,$A400&gt;AN$7)),0,MAX(0,ROUND((INDEX($E400:$G400,AN$5)-SUMIFS(TF_Timer,TF_Tekniker,AN$4,TF_Dato,$A400))*2,0)/2)))</f>
        <v/>
      </c>
      <c r="AO400">
        <f>IF(OR(AO$4="",$A400&gt;TODAY()),0,IF(OR(INDEX($B400:$D400,AO$5)="F",AND(AO$6&gt;0,$A400&lt;AO$6),AND(AO$7&gt;0,$A400&gt;AO$7)),0,MAX(0,ROUND((INDEX($E400:$G400,AO$5)-SUMIFS(TF_Timer,TF_Tekniker,AO$4,TF_Dato,$A400))*2,0)/2)))</f>
        <v/>
      </c>
      <c r="AP400">
        <f>IF(OR(AP$4="",$A400&gt;TODAY()),0,IF(OR(INDEX($B400:$D400,AP$5)="F",AND(AP$6&gt;0,$A400&lt;AP$6),AND(AP$7&gt;0,$A400&gt;AP$7)),0,MAX(0,ROUND((INDEX($E400:$G400,AP$5)-SUMIFS(TF_Timer,TF_Tekniker,AP$4,TF_Dato,$A400))*2,0)/2)))</f>
        <v/>
      </c>
      <c r="AQ400">
        <f>IF(OR(AQ$4="",$A400&gt;TODAY()),0,IF(OR(INDEX($B400:$D400,AQ$5)="F",AND(AQ$6&gt;0,$A400&lt;AQ$6),AND(AQ$7&gt;0,$A400&gt;AQ$7)),0,MAX(0,ROUND((INDEX($E400:$G400,AQ$5)-SUMIFS(TF_Timer,TF_Tekniker,AQ$4,TF_Dato,$A400))*2,0)/2)))</f>
        <v/>
      </c>
      <c r="AR400">
        <f>IF(OR(AR$4="",$A400&gt;TODAY()),0,IF(OR(INDEX($B400:$D400,AR$5)="F",AND(AR$6&gt;0,$A400&lt;AR$6),AND(AR$7&gt;0,$A400&gt;AR$7)),0,MAX(0,ROUND((INDEX($E400:$G400,AR$5)-SUMIFS(TF_Timer,TF_Tekniker,AR$4,TF_Dato,$A400))*2,0)/2)))</f>
        <v/>
      </c>
      <c r="AS400">
        <f>IF(OR(AS$4="",$A400&gt;TODAY()),0,IF(OR(INDEX($B400:$D400,AS$5)="F",AND(AS$6&gt;0,$A400&lt;AS$6),AND(AS$7&gt;0,$A400&gt;AS$7)),0,MAX(0,ROUND((INDEX($E400:$G400,AS$5)-SUMIFS(TF_Timer,TF_Tekniker,AS$4,TF_Dato,$A400))*2,0)/2)))</f>
        <v/>
      </c>
      <c r="AT400">
        <f>IF(OR(AT$4="",$A400&gt;TODAY()),0,IF(OR(INDEX($B400:$D400,AT$5)="F",AND(AT$6&gt;0,$A400&lt;AT$6),AND(AT$7&gt;0,$A400&gt;AT$7)),0,MAX(0,ROUND((INDEX($E400:$G400,AT$5)-SUMIFS(TF_Timer,TF_Tekniker,AT$4,TF_Dato,$A400))*2,0)/2)))</f>
        <v/>
      </c>
      <c r="AU400">
        <f>IF(OR(AU$4="",$A400&gt;TODAY()),0,IF(OR(INDEX($B400:$D400,AU$5)="F",AND(AU$6&gt;0,$A400&lt;AU$6),AND(AU$7&gt;0,$A400&gt;AU$7)),0,MAX(0,ROUND((INDEX($E400:$G400,AU$5)-SUMIFS(TF_Timer,TF_Tekniker,AU$4,TF_Dato,$A400))*2,0)/2)))</f>
        <v/>
      </c>
      <c r="AV400">
        <f>IF(OR(AV$4="",$A400&gt;TODAY()),0,IF(OR(INDEX($B400:$D400,AV$5)="F",AND(AV$6&gt;0,$A400&lt;AV$6),AND(AV$7&gt;0,$A400&gt;AV$7)),0,MAX(0,ROUND((INDEX($E400:$G400,AV$5)-SUMIFS(TF_Timer,TF_Tekniker,AV$4,TF_Dato,$A400))*2,0)/2)))</f>
        <v/>
      </c>
      <c r="AW400">
        <f>IF(OR(AW$4="",$A400&gt;TODAY()),0,IF(OR(INDEX($B400:$D400,AW$5)="F",AND(AW$6&gt;0,$A400&lt;AW$6),AND(AW$7&gt;0,$A400&gt;AW$7)),0,MAX(0,ROUND((INDEX($E400:$G400,AW$5)-SUMIFS(TF_Timer,TF_Tekniker,AW$4,TF_Dato,$A400))*2,0)/2)))</f>
        <v/>
      </c>
      <c r="AX400">
        <f>IF(OR(AX$4="",$A400&gt;TODAY()),0,IF(OR(INDEX($B400:$D400,AX$5)="F",AND(AX$6&gt;0,$A400&lt;AX$6),AND(AX$7&gt;0,$A400&gt;AX$7)),0,MAX(0,ROUND((INDEX($E400:$G400,AX$5)-SUMIFS(TF_Timer,TF_Tekniker,AX$4,TF_Dato,$A400))*2,0)/2)))</f>
        <v/>
      </c>
      <c r="AY400">
        <f>IF(OR(AY$4="",$A400&gt;TODAY()),0,IF(OR(INDEX($B400:$D400,AY$5)="F",AND(AY$6&gt;0,$A400&lt;AY$6),AND(AY$7&gt;0,$A400&gt;AY$7)),0,MAX(0,ROUND((INDEX($E400:$G400,AY$5)-SUMIFS(TF_Timer,TF_Tekniker,AY$4,TF_Dato,$A400))*2,0)/2)))</f>
        <v/>
      </c>
      <c r="AZ400">
        <f>IF(OR(AZ$4="",$A400&gt;TODAY()),0,IF(OR(INDEX($B400:$D400,AZ$5)="F",AND(AZ$6&gt;0,$A400&lt;AZ$6),AND(AZ$7&gt;0,$A400&gt;AZ$7)),0,MAX(0,ROUND((INDEX($E400:$G400,AZ$5)-SUMIFS(TF_Timer,TF_Tekniker,AZ$4,TF_Dato,$A400))*2,0)/2)))</f>
        <v/>
      </c>
      <c r="BA400">
        <f>IF(OR(BA$4="",$A400&gt;TODAY()),0,IF(OR(INDEX($B400:$D400,BA$5)="F",AND(BA$6&gt;0,$A400&lt;BA$6),AND(BA$7&gt;0,$A400&gt;BA$7)),0,MAX(0,ROUND((INDEX($E400:$G400,BA$5)-SUMIFS(TF_Timer,TF_Tekniker,BA$4,TF_Dato,$A400))*2,0)/2)))</f>
        <v/>
      </c>
      <c r="BB400">
        <f>IF(OR(BB$4="",$A400&gt;TODAY()),0,IF(OR(INDEX($B400:$D400,BB$5)="F",AND(BB$6&gt;0,$A400&lt;BB$6),AND(BB$7&gt;0,$A400&gt;BB$7)),0,MAX(0,ROUND((INDEX($E400:$G400,BB$5)-SUMIFS(TF_Timer,TF_Tekniker,BB$4,TF_Dato,$A400))*2,0)/2)))</f>
        <v/>
      </c>
      <c r="BC400">
        <f>IF(OR(BC$4="",$A400&gt;TODAY()),0,IF(OR(INDEX($B400:$D400,BC$5)="F",AND(BC$6&gt;0,$A400&lt;BC$6),AND(BC$7&gt;0,$A400&gt;BC$7)),0,MAX(0,ROUND((INDEX($E400:$G400,BC$5)-SUMIFS(TF_Timer,TF_Tekniker,BC$4,TF_Dato,$A400))*2,0)/2)))</f>
        <v/>
      </c>
      <c r="BD400">
        <f>IF(OR(BD$4="",$A400&gt;TODAY()),0,IF(OR(INDEX($B400:$D400,BD$5)="F",AND(BD$6&gt;0,$A400&lt;BD$6),AND(BD$7&gt;0,$A400&gt;BD$7)),0,MAX(0,ROUND((INDEX($E400:$G400,BD$5)-SUMIFS(TF_Timer,TF_Tekniker,BD$4,TF_Dato,$A400))*2,0)/2)))</f>
        <v/>
      </c>
      <c r="BE400">
        <f>IF(OR(BE$4="",$A400&gt;TODAY()),0,IF(OR(INDEX($B400:$D400,BE$5)="F",AND(BE$6&gt;0,$A400&lt;BE$6),AND(BE$7&gt;0,$A400&gt;BE$7)),0,MAX(0,ROUND((INDEX($E400:$G400,BE$5)-SUMIFS(TF_Timer,TF_Tekniker,BE$4,TF_Dato,$A400))*2,0)/2)))</f>
        <v/>
      </c>
      <c r="BF400">
        <f>IF(OR(BF$4="",$A400&gt;TODAY()),0,IF(OR(INDEX($B400:$D400,BF$5)="F",AND(BF$6&gt;0,$A400&lt;BF$6),AND(BF$7&gt;0,$A400&gt;BF$7)),0,MAX(0,ROUND((INDEX($E400:$G400,BF$5)-SUMIFS(TF_Timer,TF_Tekniker,BF$4,TF_Dato,$A400))*2,0)/2)))</f>
        <v/>
      </c>
      <c r="BG400">
        <f>IF(OR(BG$4="",$A400&gt;TODAY()),0,IF(OR(INDEX($B400:$D400,BG$5)="F",AND(BG$6&gt;0,$A400&lt;BG$6),AND(BG$7&gt;0,$A400&gt;BG$7)),0,MAX(0,ROUND((INDEX($E400:$G400,BG$5)-SUMIFS(TF_Timer,TF_Tekniker,BG$4,TF_Dato,$A400))*2,0)/2)))</f>
        <v/>
      </c>
      <c r="BH400">
        <f>IF(OR(BH$4="",$A400&gt;TODAY()),0,IF(OR(INDEX($B400:$D400,BH$5)="F",AND(BH$6&gt;0,$A400&lt;BH$6),AND(BH$7&gt;0,$A400&gt;BH$7)),0,MAX(0,ROUND((INDEX($E400:$G400,BH$5)-SUMIFS(TF_Timer,TF_Tekniker,BH$4,TF_Dato,$A400))*2,0)/2)))</f>
        <v/>
      </c>
      <c r="BI400">
        <f>IF(OR(BI$4="",$A400&gt;TODAY()),0,IF(OR(INDEX($B400:$D400,BI$5)="F",AND(BI$6&gt;0,$A400&lt;BI$6),AND(BI$7&gt;0,$A400&gt;BI$7)),0,MAX(0,ROUND((INDEX($E400:$G400,BI$5)-SUMIFS(TF_Timer,TF_Tekniker,BI$4,TF_Dato,$A400))*2,0)/2)))</f>
        <v/>
      </c>
    </row>
    <row r="401">
      <c r="A401" s="64">
        <f>A400+1</f>
        <v/>
      </c>
      <c r="B401">
        <f>IF(MOD($A401-INDEX(SkiftStart,1),Syklus)&lt;DagK,"K",IF(MOD($A401-INDEX(SkiftStart,1),Syklus)&lt;DagK+DagH,"H",IF(MOD($A401-INDEX(SkiftStart,1),Syklus)&lt;DagK+DagH+DagD,"D","F")))</f>
        <v/>
      </c>
      <c r="C401">
        <f>IF(MOD($A401-INDEX(SkiftStart,2),Syklus)&lt;DagK,"K",IF(MOD($A401-INDEX(SkiftStart,2),Syklus)&lt;DagK+DagH,"H",IF(MOD($A401-INDEX(SkiftStart,2),Syklus)&lt;DagK+DagH+DagD,"D","F")))</f>
        <v/>
      </c>
      <c r="D401">
        <f>IF(MOD($A401-INDEX(SkiftStart,3),Syklus)&lt;DagK,"K",IF(MOD($A401-INDEX(SkiftStart,3),Syklus)&lt;DagK+DagH,"H",IF(MOD($A401-INDEX(SkiftStart,3),Syklus)&lt;DagK+DagH+DagD,"D","F")))</f>
        <v/>
      </c>
      <c r="E401">
        <f>IF(B401="F",0,IF(WEEKDAY($A401,2)=5,INDEX(TimerFr,MATCH(B401,FaseKode,0)),INDEX(TimerMT,MATCH(B401,FaseKode,0))))</f>
        <v/>
      </c>
      <c r="F401">
        <f>IF(C401="F",0,IF(WEEKDAY($A401,2)=5,INDEX(TimerFr,MATCH(C401,FaseKode,0)),INDEX(TimerMT,MATCH(C401,FaseKode,0))))</f>
        <v/>
      </c>
      <c r="G401">
        <f>IF(D401="F",0,IF(WEEKDAY($A401,2)=5,INDEX(TimerFr,MATCH(D401,FaseKode,0)),INDEX(TimerMT,MATCH(D401,FaseKode,0))))</f>
        <v/>
      </c>
      <c r="H401">
        <f>IF(OR(H$4="",$A401&gt;TODAY()),0,IF(OR(INDEX($B401:$D401,H$5)="F",AND(H$6&gt;0,$A401&lt;H$6),AND(H$7&gt;0,$A401&gt;H$7)),0,MAX(0,ROUND((INDEX($E401:$G401,H$5)-SUMIFS(TF_Timer,TF_Tekniker,H$4,TF_Dato,$A401))*2,0)/2)))</f>
        <v/>
      </c>
      <c r="I401">
        <f>IF(OR(I$4="",$A401&gt;TODAY()),0,IF(OR(INDEX($B401:$D401,I$5)="F",AND(I$6&gt;0,$A401&lt;I$6),AND(I$7&gt;0,$A401&gt;I$7)),0,MAX(0,ROUND((INDEX($E401:$G401,I$5)-SUMIFS(TF_Timer,TF_Tekniker,I$4,TF_Dato,$A401))*2,0)/2)))</f>
        <v/>
      </c>
      <c r="J401">
        <f>IF(OR(J$4="",$A401&gt;TODAY()),0,IF(OR(INDEX($B401:$D401,J$5)="F",AND(J$6&gt;0,$A401&lt;J$6),AND(J$7&gt;0,$A401&gt;J$7)),0,MAX(0,ROUND((INDEX($E401:$G401,J$5)-SUMIFS(TF_Timer,TF_Tekniker,J$4,TF_Dato,$A401))*2,0)/2)))</f>
        <v/>
      </c>
      <c r="K401">
        <f>IF(OR(K$4="",$A401&gt;TODAY()),0,IF(OR(INDEX($B401:$D401,K$5)="F",AND(K$6&gt;0,$A401&lt;K$6),AND(K$7&gt;0,$A401&gt;K$7)),0,MAX(0,ROUND((INDEX($E401:$G401,K$5)-SUMIFS(TF_Timer,TF_Tekniker,K$4,TF_Dato,$A401))*2,0)/2)))</f>
        <v/>
      </c>
      <c r="L401">
        <f>IF(OR(L$4="",$A401&gt;TODAY()),0,IF(OR(INDEX($B401:$D401,L$5)="F",AND(L$6&gt;0,$A401&lt;L$6),AND(L$7&gt;0,$A401&gt;L$7)),0,MAX(0,ROUND((INDEX($E401:$G401,L$5)-SUMIFS(TF_Timer,TF_Tekniker,L$4,TF_Dato,$A401))*2,0)/2)))</f>
        <v/>
      </c>
      <c r="M401">
        <f>IF(OR(M$4="",$A401&gt;TODAY()),0,IF(OR(INDEX($B401:$D401,M$5)="F",AND(M$6&gt;0,$A401&lt;M$6),AND(M$7&gt;0,$A401&gt;M$7)),0,MAX(0,ROUND((INDEX($E401:$G401,M$5)-SUMIFS(TF_Timer,TF_Tekniker,M$4,TF_Dato,$A401))*2,0)/2)))</f>
        <v/>
      </c>
      <c r="N401">
        <f>IF(OR(N$4="",$A401&gt;TODAY()),0,IF(OR(INDEX($B401:$D401,N$5)="F",AND(N$6&gt;0,$A401&lt;N$6),AND(N$7&gt;0,$A401&gt;N$7)),0,MAX(0,ROUND((INDEX($E401:$G401,N$5)-SUMIFS(TF_Timer,TF_Tekniker,N$4,TF_Dato,$A401))*2,0)/2)))</f>
        <v/>
      </c>
      <c r="O401">
        <f>IF(OR(O$4="",$A401&gt;TODAY()),0,IF(OR(INDEX($B401:$D401,O$5)="F",AND(O$6&gt;0,$A401&lt;O$6),AND(O$7&gt;0,$A401&gt;O$7)),0,MAX(0,ROUND((INDEX($E401:$G401,O$5)-SUMIFS(TF_Timer,TF_Tekniker,O$4,TF_Dato,$A401))*2,0)/2)))</f>
        <v/>
      </c>
      <c r="P401">
        <f>IF(OR(P$4="",$A401&gt;TODAY()),0,IF(OR(INDEX($B401:$D401,P$5)="F",AND(P$6&gt;0,$A401&lt;P$6),AND(P$7&gt;0,$A401&gt;P$7)),0,MAX(0,ROUND((INDEX($E401:$G401,P$5)-SUMIFS(TF_Timer,TF_Tekniker,P$4,TF_Dato,$A401))*2,0)/2)))</f>
        <v/>
      </c>
      <c r="Q401">
        <f>IF(OR(Q$4="",$A401&gt;TODAY()),0,IF(OR(INDEX($B401:$D401,Q$5)="F",AND(Q$6&gt;0,$A401&lt;Q$6),AND(Q$7&gt;0,$A401&gt;Q$7)),0,MAX(0,ROUND((INDEX($E401:$G401,Q$5)-SUMIFS(TF_Timer,TF_Tekniker,Q$4,TF_Dato,$A401))*2,0)/2)))</f>
        <v/>
      </c>
      <c r="R401">
        <f>IF(OR(R$4="",$A401&gt;TODAY()),0,IF(OR(INDEX($B401:$D401,R$5)="F",AND(R$6&gt;0,$A401&lt;R$6),AND(R$7&gt;0,$A401&gt;R$7)),0,MAX(0,ROUND((INDEX($E401:$G401,R$5)-SUMIFS(TF_Timer,TF_Tekniker,R$4,TF_Dato,$A401))*2,0)/2)))</f>
        <v/>
      </c>
      <c r="S401">
        <f>IF(OR(S$4="",$A401&gt;TODAY()),0,IF(OR(INDEX($B401:$D401,S$5)="F",AND(S$6&gt;0,$A401&lt;S$6),AND(S$7&gt;0,$A401&gt;S$7)),0,MAX(0,ROUND((INDEX($E401:$G401,S$5)-SUMIFS(TF_Timer,TF_Tekniker,S$4,TF_Dato,$A401))*2,0)/2)))</f>
        <v/>
      </c>
      <c r="T401">
        <f>IF(OR(T$4="",$A401&gt;TODAY()),0,IF(OR(INDEX($B401:$D401,T$5)="F",AND(T$6&gt;0,$A401&lt;T$6),AND(T$7&gt;0,$A401&gt;T$7)),0,MAX(0,ROUND((INDEX($E401:$G401,T$5)-SUMIFS(TF_Timer,TF_Tekniker,T$4,TF_Dato,$A401))*2,0)/2)))</f>
        <v/>
      </c>
      <c r="U401">
        <f>IF(OR(U$4="",$A401&gt;TODAY()),0,IF(OR(INDEX($B401:$D401,U$5)="F",AND(U$6&gt;0,$A401&lt;U$6),AND(U$7&gt;0,$A401&gt;U$7)),0,MAX(0,ROUND((INDEX($E401:$G401,U$5)-SUMIFS(TF_Timer,TF_Tekniker,U$4,TF_Dato,$A401))*2,0)/2)))</f>
        <v/>
      </c>
      <c r="V401">
        <f>IF(OR(V$4="",$A401&gt;TODAY()),0,IF(OR(INDEX($B401:$D401,V$5)="F",AND(V$6&gt;0,$A401&lt;V$6),AND(V$7&gt;0,$A401&gt;V$7)),0,MAX(0,ROUND((INDEX($E401:$G401,V$5)-SUMIFS(TF_Timer,TF_Tekniker,V$4,TF_Dato,$A401))*2,0)/2)))</f>
        <v/>
      </c>
      <c r="W401">
        <f>IF(OR(W$4="",$A401&gt;TODAY()),0,IF(OR(INDEX($B401:$D401,W$5)="F",AND(W$6&gt;0,$A401&lt;W$6),AND(W$7&gt;0,$A401&gt;W$7)),0,MAX(0,ROUND((INDEX($E401:$G401,W$5)-SUMIFS(TF_Timer,TF_Tekniker,W$4,TF_Dato,$A401))*2,0)/2)))</f>
        <v/>
      </c>
      <c r="X401">
        <f>IF(OR(X$4="",$A401&gt;TODAY()),0,IF(OR(INDEX($B401:$D401,X$5)="F",AND(X$6&gt;0,$A401&lt;X$6),AND(X$7&gt;0,$A401&gt;X$7)),0,MAX(0,ROUND((INDEX($E401:$G401,X$5)-SUMIFS(TF_Timer,TF_Tekniker,X$4,TF_Dato,$A401))*2,0)/2)))</f>
        <v/>
      </c>
      <c r="Y401">
        <f>IF(OR(Y$4="",$A401&gt;TODAY()),0,IF(OR(INDEX($B401:$D401,Y$5)="F",AND(Y$6&gt;0,$A401&lt;Y$6),AND(Y$7&gt;0,$A401&gt;Y$7)),0,MAX(0,ROUND((INDEX($E401:$G401,Y$5)-SUMIFS(TF_Timer,TF_Tekniker,Y$4,TF_Dato,$A401))*2,0)/2)))</f>
        <v/>
      </c>
      <c r="Z401">
        <f>IF(OR(Z$4="",$A401&gt;TODAY()),0,IF(OR(INDEX($B401:$D401,Z$5)="F",AND(Z$6&gt;0,$A401&lt;Z$6),AND(Z$7&gt;0,$A401&gt;Z$7)),0,MAX(0,ROUND((INDEX($E401:$G401,Z$5)-SUMIFS(TF_Timer,TF_Tekniker,Z$4,TF_Dato,$A401))*2,0)/2)))</f>
        <v/>
      </c>
      <c r="AA401">
        <f>IF(OR(AA$4="",$A401&gt;TODAY()),0,IF(OR(INDEX($B401:$D401,AA$5)="F",AND(AA$6&gt;0,$A401&lt;AA$6),AND(AA$7&gt;0,$A401&gt;AA$7)),0,MAX(0,ROUND((INDEX($E401:$G401,AA$5)-SUMIFS(TF_Timer,TF_Tekniker,AA$4,TF_Dato,$A401))*2,0)/2)))</f>
        <v/>
      </c>
      <c r="AB401">
        <f>IF(OR(AB$4="",$A401&gt;TODAY()),0,IF(OR(INDEX($B401:$D401,AB$5)="F",AND(AB$6&gt;0,$A401&lt;AB$6),AND(AB$7&gt;0,$A401&gt;AB$7)),0,MAX(0,ROUND((INDEX($E401:$G401,AB$5)-SUMIFS(TF_Timer,TF_Tekniker,AB$4,TF_Dato,$A401))*2,0)/2)))</f>
        <v/>
      </c>
      <c r="AC401">
        <f>IF(OR(AC$4="",$A401&gt;TODAY()),0,IF(OR(INDEX($B401:$D401,AC$5)="F",AND(AC$6&gt;0,$A401&lt;AC$6),AND(AC$7&gt;0,$A401&gt;AC$7)),0,MAX(0,ROUND((INDEX($E401:$G401,AC$5)-SUMIFS(TF_Timer,TF_Tekniker,AC$4,TF_Dato,$A401))*2,0)/2)))</f>
        <v/>
      </c>
      <c r="AD401">
        <f>IF(OR(AD$4="",$A401&gt;TODAY()),0,IF(OR(INDEX($B401:$D401,AD$5)="F",AND(AD$6&gt;0,$A401&lt;AD$6),AND(AD$7&gt;0,$A401&gt;AD$7)),0,MAX(0,ROUND((INDEX($E401:$G401,AD$5)-SUMIFS(TF_Timer,TF_Tekniker,AD$4,TF_Dato,$A401))*2,0)/2)))</f>
        <v/>
      </c>
      <c r="AE401">
        <f>IF(OR(AE$4="",$A401&gt;TODAY()),0,IF(OR(INDEX($B401:$D401,AE$5)="F",AND(AE$6&gt;0,$A401&lt;AE$6),AND(AE$7&gt;0,$A401&gt;AE$7)),0,MAX(0,ROUND((INDEX($E401:$G401,AE$5)-SUMIFS(TF_Timer,TF_Tekniker,AE$4,TF_Dato,$A401))*2,0)/2)))</f>
        <v/>
      </c>
      <c r="AF401">
        <f>IF(OR(AF$4="",$A401&gt;TODAY()),0,IF(OR(INDEX($B401:$D401,AF$5)="F",AND(AF$6&gt;0,$A401&lt;AF$6),AND(AF$7&gt;0,$A401&gt;AF$7)),0,MAX(0,ROUND((INDEX($E401:$G401,AF$5)-SUMIFS(TF_Timer,TF_Tekniker,AF$4,TF_Dato,$A401))*2,0)/2)))</f>
        <v/>
      </c>
      <c r="AG401">
        <f>IF(OR(AG$4="",$A401&gt;TODAY()),0,IF(OR(INDEX($B401:$D401,AG$5)="F",AND(AG$6&gt;0,$A401&lt;AG$6),AND(AG$7&gt;0,$A401&gt;AG$7)),0,MAX(0,ROUND((INDEX($E401:$G401,AG$5)-SUMIFS(TF_Timer,TF_Tekniker,AG$4,TF_Dato,$A401))*2,0)/2)))</f>
        <v/>
      </c>
      <c r="AH401">
        <f>IF(OR(AH$4="",$A401&gt;TODAY()),0,IF(OR(INDEX($B401:$D401,AH$5)="F",AND(AH$6&gt;0,$A401&lt;AH$6),AND(AH$7&gt;0,$A401&gt;AH$7)),0,MAX(0,ROUND((INDEX($E401:$G401,AH$5)-SUMIFS(TF_Timer,TF_Tekniker,AH$4,TF_Dato,$A401))*2,0)/2)))</f>
        <v/>
      </c>
      <c r="AI401">
        <f>IF(OR(AI$4="",$A401&gt;TODAY()),0,IF(OR(INDEX($B401:$D401,AI$5)="F",AND(AI$6&gt;0,$A401&lt;AI$6),AND(AI$7&gt;0,$A401&gt;AI$7)),0,MAX(0,ROUND((INDEX($E401:$G401,AI$5)-SUMIFS(TF_Timer,TF_Tekniker,AI$4,TF_Dato,$A401))*2,0)/2)))</f>
        <v/>
      </c>
      <c r="AJ401">
        <f>IF(OR(AJ$4="",$A401&gt;TODAY()),0,IF(OR(INDEX($B401:$D401,AJ$5)="F",AND(AJ$6&gt;0,$A401&lt;AJ$6),AND(AJ$7&gt;0,$A401&gt;AJ$7)),0,MAX(0,ROUND((INDEX($E401:$G401,AJ$5)-SUMIFS(TF_Timer,TF_Tekniker,AJ$4,TF_Dato,$A401))*2,0)/2)))</f>
        <v/>
      </c>
      <c r="AK401">
        <f>IF(OR(AK$4="",$A401&gt;TODAY()),0,IF(OR(INDEX($B401:$D401,AK$5)="F",AND(AK$6&gt;0,$A401&lt;AK$6),AND(AK$7&gt;0,$A401&gt;AK$7)),0,MAX(0,ROUND((INDEX($E401:$G401,AK$5)-SUMIFS(TF_Timer,TF_Tekniker,AK$4,TF_Dato,$A401))*2,0)/2)))</f>
        <v/>
      </c>
      <c r="AL401">
        <f>IF(OR(AL$4="",$A401&gt;TODAY()),0,IF(OR(INDEX($B401:$D401,AL$5)="F",AND(AL$6&gt;0,$A401&lt;AL$6),AND(AL$7&gt;0,$A401&gt;AL$7)),0,MAX(0,ROUND((INDEX($E401:$G401,AL$5)-SUMIFS(TF_Timer,TF_Tekniker,AL$4,TF_Dato,$A401))*2,0)/2)))</f>
        <v/>
      </c>
      <c r="AM401">
        <f>IF(OR(AM$4="",$A401&gt;TODAY()),0,IF(OR(INDEX($B401:$D401,AM$5)="F",AND(AM$6&gt;0,$A401&lt;AM$6),AND(AM$7&gt;0,$A401&gt;AM$7)),0,MAX(0,ROUND((INDEX($E401:$G401,AM$5)-SUMIFS(TF_Timer,TF_Tekniker,AM$4,TF_Dato,$A401))*2,0)/2)))</f>
        <v/>
      </c>
      <c r="AN401">
        <f>IF(OR(AN$4="",$A401&gt;TODAY()),0,IF(OR(INDEX($B401:$D401,AN$5)="F",AND(AN$6&gt;0,$A401&lt;AN$6),AND(AN$7&gt;0,$A401&gt;AN$7)),0,MAX(0,ROUND((INDEX($E401:$G401,AN$5)-SUMIFS(TF_Timer,TF_Tekniker,AN$4,TF_Dato,$A401))*2,0)/2)))</f>
        <v/>
      </c>
      <c r="AO401">
        <f>IF(OR(AO$4="",$A401&gt;TODAY()),0,IF(OR(INDEX($B401:$D401,AO$5)="F",AND(AO$6&gt;0,$A401&lt;AO$6),AND(AO$7&gt;0,$A401&gt;AO$7)),0,MAX(0,ROUND((INDEX($E401:$G401,AO$5)-SUMIFS(TF_Timer,TF_Tekniker,AO$4,TF_Dato,$A401))*2,0)/2)))</f>
        <v/>
      </c>
      <c r="AP401">
        <f>IF(OR(AP$4="",$A401&gt;TODAY()),0,IF(OR(INDEX($B401:$D401,AP$5)="F",AND(AP$6&gt;0,$A401&lt;AP$6),AND(AP$7&gt;0,$A401&gt;AP$7)),0,MAX(0,ROUND((INDEX($E401:$G401,AP$5)-SUMIFS(TF_Timer,TF_Tekniker,AP$4,TF_Dato,$A401))*2,0)/2)))</f>
        <v/>
      </c>
      <c r="AQ401">
        <f>IF(OR(AQ$4="",$A401&gt;TODAY()),0,IF(OR(INDEX($B401:$D401,AQ$5)="F",AND(AQ$6&gt;0,$A401&lt;AQ$6),AND(AQ$7&gt;0,$A401&gt;AQ$7)),0,MAX(0,ROUND((INDEX($E401:$G401,AQ$5)-SUMIFS(TF_Timer,TF_Tekniker,AQ$4,TF_Dato,$A401))*2,0)/2)))</f>
        <v/>
      </c>
      <c r="AR401">
        <f>IF(OR(AR$4="",$A401&gt;TODAY()),0,IF(OR(INDEX($B401:$D401,AR$5)="F",AND(AR$6&gt;0,$A401&lt;AR$6),AND(AR$7&gt;0,$A401&gt;AR$7)),0,MAX(0,ROUND((INDEX($E401:$G401,AR$5)-SUMIFS(TF_Timer,TF_Tekniker,AR$4,TF_Dato,$A401))*2,0)/2)))</f>
        <v/>
      </c>
      <c r="AS401">
        <f>IF(OR(AS$4="",$A401&gt;TODAY()),0,IF(OR(INDEX($B401:$D401,AS$5)="F",AND(AS$6&gt;0,$A401&lt;AS$6),AND(AS$7&gt;0,$A401&gt;AS$7)),0,MAX(0,ROUND((INDEX($E401:$G401,AS$5)-SUMIFS(TF_Timer,TF_Tekniker,AS$4,TF_Dato,$A401))*2,0)/2)))</f>
        <v/>
      </c>
      <c r="AT401">
        <f>IF(OR(AT$4="",$A401&gt;TODAY()),0,IF(OR(INDEX($B401:$D401,AT$5)="F",AND(AT$6&gt;0,$A401&lt;AT$6),AND(AT$7&gt;0,$A401&gt;AT$7)),0,MAX(0,ROUND((INDEX($E401:$G401,AT$5)-SUMIFS(TF_Timer,TF_Tekniker,AT$4,TF_Dato,$A401))*2,0)/2)))</f>
        <v/>
      </c>
      <c r="AU401">
        <f>IF(OR(AU$4="",$A401&gt;TODAY()),0,IF(OR(INDEX($B401:$D401,AU$5)="F",AND(AU$6&gt;0,$A401&lt;AU$6),AND(AU$7&gt;0,$A401&gt;AU$7)),0,MAX(0,ROUND((INDEX($E401:$G401,AU$5)-SUMIFS(TF_Timer,TF_Tekniker,AU$4,TF_Dato,$A401))*2,0)/2)))</f>
        <v/>
      </c>
      <c r="AV401">
        <f>IF(OR(AV$4="",$A401&gt;TODAY()),0,IF(OR(INDEX($B401:$D401,AV$5)="F",AND(AV$6&gt;0,$A401&lt;AV$6),AND(AV$7&gt;0,$A401&gt;AV$7)),0,MAX(0,ROUND((INDEX($E401:$G401,AV$5)-SUMIFS(TF_Timer,TF_Tekniker,AV$4,TF_Dato,$A401))*2,0)/2)))</f>
        <v/>
      </c>
      <c r="AW401">
        <f>IF(OR(AW$4="",$A401&gt;TODAY()),0,IF(OR(INDEX($B401:$D401,AW$5)="F",AND(AW$6&gt;0,$A401&lt;AW$6),AND(AW$7&gt;0,$A401&gt;AW$7)),0,MAX(0,ROUND((INDEX($E401:$G401,AW$5)-SUMIFS(TF_Timer,TF_Tekniker,AW$4,TF_Dato,$A401))*2,0)/2)))</f>
        <v/>
      </c>
      <c r="AX401">
        <f>IF(OR(AX$4="",$A401&gt;TODAY()),0,IF(OR(INDEX($B401:$D401,AX$5)="F",AND(AX$6&gt;0,$A401&lt;AX$6),AND(AX$7&gt;0,$A401&gt;AX$7)),0,MAX(0,ROUND((INDEX($E401:$G401,AX$5)-SUMIFS(TF_Timer,TF_Tekniker,AX$4,TF_Dato,$A401))*2,0)/2)))</f>
        <v/>
      </c>
      <c r="AY401">
        <f>IF(OR(AY$4="",$A401&gt;TODAY()),0,IF(OR(INDEX($B401:$D401,AY$5)="F",AND(AY$6&gt;0,$A401&lt;AY$6),AND(AY$7&gt;0,$A401&gt;AY$7)),0,MAX(0,ROUND((INDEX($E401:$G401,AY$5)-SUMIFS(TF_Timer,TF_Tekniker,AY$4,TF_Dato,$A401))*2,0)/2)))</f>
        <v/>
      </c>
      <c r="AZ401">
        <f>IF(OR(AZ$4="",$A401&gt;TODAY()),0,IF(OR(INDEX($B401:$D401,AZ$5)="F",AND(AZ$6&gt;0,$A401&lt;AZ$6),AND(AZ$7&gt;0,$A401&gt;AZ$7)),0,MAX(0,ROUND((INDEX($E401:$G401,AZ$5)-SUMIFS(TF_Timer,TF_Tekniker,AZ$4,TF_Dato,$A401))*2,0)/2)))</f>
        <v/>
      </c>
      <c r="BA401">
        <f>IF(OR(BA$4="",$A401&gt;TODAY()),0,IF(OR(INDEX($B401:$D401,BA$5)="F",AND(BA$6&gt;0,$A401&lt;BA$6),AND(BA$7&gt;0,$A401&gt;BA$7)),0,MAX(0,ROUND((INDEX($E401:$G401,BA$5)-SUMIFS(TF_Timer,TF_Tekniker,BA$4,TF_Dato,$A401))*2,0)/2)))</f>
        <v/>
      </c>
      <c r="BB401">
        <f>IF(OR(BB$4="",$A401&gt;TODAY()),0,IF(OR(INDEX($B401:$D401,BB$5)="F",AND(BB$6&gt;0,$A401&lt;BB$6),AND(BB$7&gt;0,$A401&gt;BB$7)),0,MAX(0,ROUND((INDEX($E401:$G401,BB$5)-SUMIFS(TF_Timer,TF_Tekniker,BB$4,TF_Dato,$A401))*2,0)/2)))</f>
        <v/>
      </c>
      <c r="BC401">
        <f>IF(OR(BC$4="",$A401&gt;TODAY()),0,IF(OR(INDEX($B401:$D401,BC$5)="F",AND(BC$6&gt;0,$A401&lt;BC$6),AND(BC$7&gt;0,$A401&gt;BC$7)),0,MAX(0,ROUND((INDEX($E401:$G401,BC$5)-SUMIFS(TF_Timer,TF_Tekniker,BC$4,TF_Dato,$A401))*2,0)/2)))</f>
        <v/>
      </c>
      <c r="BD401">
        <f>IF(OR(BD$4="",$A401&gt;TODAY()),0,IF(OR(INDEX($B401:$D401,BD$5)="F",AND(BD$6&gt;0,$A401&lt;BD$6),AND(BD$7&gt;0,$A401&gt;BD$7)),0,MAX(0,ROUND((INDEX($E401:$G401,BD$5)-SUMIFS(TF_Timer,TF_Tekniker,BD$4,TF_Dato,$A401))*2,0)/2)))</f>
        <v/>
      </c>
      <c r="BE401">
        <f>IF(OR(BE$4="",$A401&gt;TODAY()),0,IF(OR(INDEX($B401:$D401,BE$5)="F",AND(BE$6&gt;0,$A401&lt;BE$6),AND(BE$7&gt;0,$A401&gt;BE$7)),0,MAX(0,ROUND((INDEX($E401:$G401,BE$5)-SUMIFS(TF_Timer,TF_Tekniker,BE$4,TF_Dato,$A401))*2,0)/2)))</f>
        <v/>
      </c>
      <c r="BF401">
        <f>IF(OR(BF$4="",$A401&gt;TODAY()),0,IF(OR(INDEX($B401:$D401,BF$5)="F",AND(BF$6&gt;0,$A401&lt;BF$6),AND(BF$7&gt;0,$A401&gt;BF$7)),0,MAX(0,ROUND((INDEX($E401:$G401,BF$5)-SUMIFS(TF_Timer,TF_Tekniker,BF$4,TF_Dato,$A401))*2,0)/2)))</f>
        <v/>
      </c>
      <c r="BG401">
        <f>IF(OR(BG$4="",$A401&gt;TODAY()),0,IF(OR(INDEX($B401:$D401,BG$5)="F",AND(BG$6&gt;0,$A401&lt;BG$6),AND(BG$7&gt;0,$A401&gt;BG$7)),0,MAX(0,ROUND((INDEX($E401:$G401,BG$5)-SUMIFS(TF_Timer,TF_Tekniker,BG$4,TF_Dato,$A401))*2,0)/2)))</f>
        <v/>
      </c>
      <c r="BH401">
        <f>IF(OR(BH$4="",$A401&gt;TODAY()),0,IF(OR(INDEX($B401:$D401,BH$5)="F",AND(BH$6&gt;0,$A401&lt;BH$6),AND(BH$7&gt;0,$A401&gt;BH$7)),0,MAX(0,ROUND((INDEX($E401:$G401,BH$5)-SUMIFS(TF_Timer,TF_Tekniker,BH$4,TF_Dato,$A401))*2,0)/2)))</f>
        <v/>
      </c>
      <c r="BI401">
        <f>IF(OR(BI$4="",$A401&gt;TODAY()),0,IF(OR(INDEX($B401:$D401,BI$5)="F",AND(BI$6&gt;0,$A401&lt;BI$6),AND(BI$7&gt;0,$A401&gt;BI$7)),0,MAX(0,ROUND((INDEX($E401:$G401,BI$5)-SUMIFS(TF_Timer,TF_Tekniker,BI$4,TF_Dato,$A401))*2,0)/2)))</f>
        <v/>
      </c>
    </row>
    <row r="402">
      <c r="A402" s="64">
        <f>A401+1</f>
        <v/>
      </c>
      <c r="B402">
        <f>IF(MOD($A402-INDEX(SkiftStart,1),Syklus)&lt;DagK,"K",IF(MOD($A402-INDEX(SkiftStart,1),Syklus)&lt;DagK+DagH,"H",IF(MOD($A402-INDEX(SkiftStart,1),Syklus)&lt;DagK+DagH+DagD,"D","F")))</f>
        <v/>
      </c>
      <c r="C402">
        <f>IF(MOD($A402-INDEX(SkiftStart,2),Syklus)&lt;DagK,"K",IF(MOD($A402-INDEX(SkiftStart,2),Syklus)&lt;DagK+DagH,"H",IF(MOD($A402-INDEX(SkiftStart,2),Syklus)&lt;DagK+DagH+DagD,"D","F")))</f>
        <v/>
      </c>
      <c r="D402">
        <f>IF(MOD($A402-INDEX(SkiftStart,3),Syklus)&lt;DagK,"K",IF(MOD($A402-INDEX(SkiftStart,3),Syklus)&lt;DagK+DagH,"H",IF(MOD($A402-INDEX(SkiftStart,3),Syklus)&lt;DagK+DagH+DagD,"D","F")))</f>
        <v/>
      </c>
      <c r="E402">
        <f>IF(B402="F",0,IF(WEEKDAY($A402,2)=5,INDEX(TimerFr,MATCH(B402,FaseKode,0)),INDEX(TimerMT,MATCH(B402,FaseKode,0))))</f>
        <v/>
      </c>
      <c r="F402">
        <f>IF(C402="F",0,IF(WEEKDAY($A402,2)=5,INDEX(TimerFr,MATCH(C402,FaseKode,0)),INDEX(TimerMT,MATCH(C402,FaseKode,0))))</f>
        <v/>
      </c>
      <c r="G402">
        <f>IF(D402="F",0,IF(WEEKDAY($A402,2)=5,INDEX(TimerFr,MATCH(D402,FaseKode,0)),INDEX(TimerMT,MATCH(D402,FaseKode,0))))</f>
        <v/>
      </c>
      <c r="H402">
        <f>IF(OR(H$4="",$A402&gt;TODAY()),0,IF(OR(INDEX($B402:$D402,H$5)="F",AND(H$6&gt;0,$A402&lt;H$6),AND(H$7&gt;0,$A402&gt;H$7)),0,MAX(0,ROUND((INDEX($E402:$G402,H$5)-SUMIFS(TF_Timer,TF_Tekniker,H$4,TF_Dato,$A402))*2,0)/2)))</f>
        <v/>
      </c>
      <c r="I402">
        <f>IF(OR(I$4="",$A402&gt;TODAY()),0,IF(OR(INDEX($B402:$D402,I$5)="F",AND(I$6&gt;0,$A402&lt;I$6),AND(I$7&gt;0,$A402&gt;I$7)),0,MAX(0,ROUND((INDEX($E402:$G402,I$5)-SUMIFS(TF_Timer,TF_Tekniker,I$4,TF_Dato,$A402))*2,0)/2)))</f>
        <v/>
      </c>
      <c r="J402">
        <f>IF(OR(J$4="",$A402&gt;TODAY()),0,IF(OR(INDEX($B402:$D402,J$5)="F",AND(J$6&gt;0,$A402&lt;J$6),AND(J$7&gt;0,$A402&gt;J$7)),0,MAX(0,ROUND((INDEX($E402:$G402,J$5)-SUMIFS(TF_Timer,TF_Tekniker,J$4,TF_Dato,$A402))*2,0)/2)))</f>
        <v/>
      </c>
      <c r="K402">
        <f>IF(OR(K$4="",$A402&gt;TODAY()),0,IF(OR(INDEX($B402:$D402,K$5)="F",AND(K$6&gt;0,$A402&lt;K$6),AND(K$7&gt;0,$A402&gt;K$7)),0,MAX(0,ROUND((INDEX($E402:$G402,K$5)-SUMIFS(TF_Timer,TF_Tekniker,K$4,TF_Dato,$A402))*2,0)/2)))</f>
        <v/>
      </c>
      <c r="L402">
        <f>IF(OR(L$4="",$A402&gt;TODAY()),0,IF(OR(INDEX($B402:$D402,L$5)="F",AND(L$6&gt;0,$A402&lt;L$6),AND(L$7&gt;0,$A402&gt;L$7)),0,MAX(0,ROUND((INDEX($E402:$G402,L$5)-SUMIFS(TF_Timer,TF_Tekniker,L$4,TF_Dato,$A402))*2,0)/2)))</f>
        <v/>
      </c>
      <c r="M402">
        <f>IF(OR(M$4="",$A402&gt;TODAY()),0,IF(OR(INDEX($B402:$D402,M$5)="F",AND(M$6&gt;0,$A402&lt;M$6),AND(M$7&gt;0,$A402&gt;M$7)),0,MAX(0,ROUND((INDEX($E402:$G402,M$5)-SUMIFS(TF_Timer,TF_Tekniker,M$4,TF_Dato,$A402))*2,0)/2)))</f>
        <v/>
      </c>
      <c r="N402">
        <f>IF(OR(N$4="",$A402&gt;TODAY()),0,IF(OR(INDEX($B402:$D402,N$5)="F",AND(N$6&gt;0,$A402&lt;N$6),AND(N$7&gt;0,$A402&gt;N$7)),0,MAX(0,ROUND((INDEX($E402:$G402,N$5)-SUMIFS(TF_Timer,TF_Tekniker,N$4,TF_Dato,$A402))*2,0)/2)))</f>
        <v/>
      </c>
      <c r="O402">
        <f>IF(OR(O$4="",$A402&gt;TODAY()),0,IF(OR(INDEX($B402:$D402,O$5)="F",AND(O$6&gt;0,$A402&lt;O$6),AND(O$7&gt;0,$A402&gt;O$7)),0,MAX(0,ROUND((INDEX($E402:$G402,O$5)-SUMIFS(TF_Timer,TF_Tekniker,O$4,TF_Dato,$A402))*2,0)/2)))</f>
        <v/>
      </c>
      <c r="P402">
        <f>IF(OR(P$4="",$A402&gt;TODAY()),0,IF(OR(INDEX($B402:$D402,P$5)="F",AND(P$6&gt;0,$A402&lt;P$6),AND(P$7&gt;0,$A402&gt;P$7)),0,MAX(0,ROUND((INDEX($E402:$G402,P$5)-SUMIFS(TF_Timer,TF_Tekniker,P$4,TF_Dato,$A402))*2,0)/2)))</f>
        <v/>
      </c>
      <c r="Q402">
        <f>IF(OR(Q$4="",$A402&gt;TODAY()),0,IF(OR(INDEX($B402:$D402,Q$5)="F",AND(Q$6&gt;0,$A402&lt;Q$6),AND(Q$7&gt;0,$A402&gt;Q$7)),0,MAX(0,ROUND((INDEX($E402:$G402,Q$5)-SUMIFS(TF_Timer,TF_Tekniker,Q$4,TF_Dato,$A402))*2,0)/2)))</f>
        <v/>
      </c>
      <c r="R402">
        <f>IF(OR(R$4="",$A402&gt;TODAY()),0,IF(OR(INDEX($B402:$D402,R$5)="F",AND(R$6&gt;0,$A402&lt;R$6),AND(R$7&gt;0,$A402&gt;R$7)),0,MAX(0,ROUND((INDEX($E402:$G402,R$5)-SUMIFS(TF_Timer,TF_Tekniker,R$4,TF_Dato,$A402))*2,0)/2)))</f>
        <v/>
      </c>
      <c r="S402">
        <f>IF(OR(S$4="",$A402&gt;TODAY()),0,IF(OR(INDEX($B402:$D402,S$5)="F",AND(S$6&gt;0,$A402&lt;S$6),AND(S$7&gt;0,$A402&gt;S$7)),0,MAX(0,ROUND((INDEX($E402:$G402,S$5)-SUMIFS(TF_Timer,TF_Tekniker,S$4,TF_Dato,$A402))*2,0)/2)))</f>
        <v/>
      </c>
      <c r="T402">
        <f>IF(OR(T$4="",$A402&gt;TODAY()),0,IF(OR(INDEX($B402:$D402,T$5)="F",AND(T$6&gt;0,$A402&lt;T$6),AND(T$7&gt;0,$A402&gt;T$7)),0,MAX(0,ROUND((INDEX($E402:$G402,T$5)-SUMIFS(TF_Timer,TF_Tekniker,T$4,TF_Dato,$A402))*2,0)/2)))</f>
        <v/>
      </c>
      <c r="U402">
        <f>IF(OR(U$4="",$A402&gt;TODAY()),0,IF(OR(INDEX($B402:$D402,U$5)="F",AND(U$6&gt;0,$A402&lt;U$6),AND(U$7&gt;0,$A402&gt;U$7)),0,MAX(0,ROUND((INDEX($E402:$G402,U$5)-SUMIFS(TF_Timer,TF_Tekniker,U$4,TF_Dato,$A402))*2,0)/2)))</f>
        <v/>
      </c>
      <c r="V402">
        <f>IF(OR(V$4="",$A402&gt;TODAY()),0,IF(OR(INDEX($B402:$D402,V$5)="F",AND(V$6&gt;0,$A402&lt;V$6),AND(V$7&gt;0,$A402&gt;V$7)),0,MAX(0,ROUND((INDEX($E402:$G402,V$5)-SUMIFS(TF_Timer,TF_Tekniker,V$4,TF_Dato,$A402))*2,0)/2)))</f>
        <v/>
      </c>
      <c r="W402">
        <f>IF(OR(W$4="",$A402&gt;TODAY()),0,IF(OR(INDEX($B402:$D402,W$5)="F",AND(W$6&gt;0,$A402&lt;W$6),AND(W$7&gt;0,$A402&gt;W$7)),0,MAX(0,ROUND((INDEX($E402:$G402,W$5)-SUMIFS(TF_Timer,TF_Tekniker,W$4,TF_Dato,$A402))*2,0)/2)))</f>
        <v/>
      </c>
      <c r="X402">
        <f>IF(OR(X$4="",$A402&gt;TODAY()),0,IF(OR(INDEX($B402:$D402,X$5)="F",AND(X$6&gt;0,$A402&lt;X$6),AND(X$7&gt;0,$A402&gt;X$7)),0,MAX(0,ROUND((INDEX($E402:$G402,X$5)-SUMIFS(TF_Timer,TF_Tekniker,X$4,TF_Dato,$A402))*2,0)/2)))</f>
        <v/>
      </c>
      <c r="Y402">
        <f>IF(OR(Y$4="",$A402&gt;TODAY()),0,IF(OR(INDEX($B402:$D402,Y$5)="F",AND(Y$6&gt;0,$A402&lt;Y$6),AND(Y$7&gt;0,$A402&gt;Y$7)),0,MAX(0,ROUND((INDEX($E402:$G402,Y$5)-SUMIFS(TF_Timer,TF_Tekniker,Y$4,TF_Dato,$A402))*2,0)/2)))</f>
        <v/>
      </c>
      <c r="Z402">
        <f>IF(OR(Z$4="",$A402&gt;TODAY()),0,IF(OR(INDEX($B402:$D402,Z$5)="F",AND(Z$6&gt;0,$A402&lt;Z$6),AND(Z$7&gt;0,$A402&gt;Z$7)),0,MAX(0,ROUND((INDEX($E402:$G402,Z$5)-SUMIFS(TF_Timer,TF_Tekniker,Z$4,TF_Dato,$A402))*2,0)/2)))</f>
        <v/>
      </c>
      <c r="AA402">
        <f>IF(OR(AA$4="",$A402&gt;TODAY()),0,IF(OR(INDEX($B402:$D402,AA$5)="F",AND(AA$6&gt;0,$A402&lt;AA$6),AND(AA$7&gt;0,$A402&gt;AA$7)),0,MAX(0,ROUND((INDEX($E402:$G402,AA$5)-SUMIFS(TF_Timer,TF_Tekniker,AA$4,TF_Dato,$A402))*2,0)/2)))</f>
        <v/>
      </c>
      <c r="AB402">
        <f>IF(OR(AB$4="",$A402&gt;TODAY()),0,IF(OR(INDEX($B402:$D402,AB$5)="F",AND(AB$6&gt;0,$A402&lt;AB$6),AND(AB$7&gt;0,$A402&gt;AB$7)),0,MAX(0,ROUND((INDEX($E402:$G402,AB$5)-SUMIFS(TF_Timer,TF_Tekniker,AB$4,TF_Dato,$A402))*2,0)/2)))</f>
        <v/>
      </c>
      <c r="AC402">
        <f>IF(OR(AC$4="",$A402&gt;TODAY()),0,IF(OR(INDEX($B402:$D402,AC$5)="F",AND(AC$6&gt;0,$A402&lt;AC$6),AND(AC$7&gt;0,$A402&gt;AC$7)),0,MAX(0,ROUND((INDEX($E402:$G402,AC$5)-SUMIFS(TF_Timer,TF_Tekniker,AC$4,TF_Dato,$A402))*2,0)/2)))</f>
        <v/>
      </c>
      <c r="AD402">
        <f>IF(OR(AD$4="",$A402&gt;TODAY()),0,IF(OR(INDEX($B402:$D402,AD$5)="F",AND(AD$6&gt;0,$A402&lt;AD$6),AND(AD$7&gt;0,$A402&gt;AD$7)),0,MAX(0,ROUND((INDEX($E402:$G402,AD$5)-SUMIFS(TF_Timer,TF_Tekniker,AD$4,TF_Dato,$A402))*2,0)/2)))</f>
        <v/>
      </c>
      <c r="AE402">
        <f>IF(OR(AE$4="",$A402&gt;TODAY()),0,IF(OR(INDEX($B402:$D402,AE$5)="F",AND(AE$6&gt;0,$A402&lt;AE$6),AND(AE$7&gt;0,$A402&gt;AE$7)),0,MAX(0,ROUND((INDEX($E402:$G402,AE$5)-SUMIFS(TF_Timer,TF_Tekniker,AE$4,TF_Dato,$A402))*2,0)/2)))</f>
        <v/>
      </c>
      <c r="AF402">
        <f>IF(OR(AF$4="",$A402&gt;TODAY()),0,IF(OR(INDEX($B402:$D402,AF$5)="F",AND(AF$6&gt;0,$A402&lt;AF$6),AND(AF$7&gt;0,$A402&gt;AF$7)),0,MAX(0,ROUND((INDEX($E402:$G402,AF$5)-SUMIFS(TF_Timer,TF_Tekniker,AF$4,TF_Dato,$A402))*2,0)/2)))</f>
        <v/>
      </c>
      <c r="AG402">
        <f>IF(OR(AG$4="",$A402&gt;TODAY()),0,IF(OR(INDEX($B402:$D402,AG$5)="F",AND(AG$6&gt;0,$A402&lt;AG$6),AND(AG$7&gt;0,$A402&gt;AG$7)),0,MAX(0,ROUND((INDEX($E402:$G402,AG$5)-SUMIFS(TF_Timer,TF_Tekniker,AG$4,TF_Dato,$A402))*2,0)/2)))</f>
        <v/>
      </c>
      <c r="AH402">
        <f>IF(OR(AH$4="",$A402&gt;TODAY()),0,IF(OR(INDEX($B402:$D402,AH$5)="F",AND(AH$6&gt;0,$A402&lt;AH$6),AND(AH$7&gt;0,$A402&gt;AH$7)),0,MAX(0,ROUND((INDEX($E402:$G402,AH$5)-SUMIFS(TF_Timer,TF_Tekniker,AH$4,TF_Dato,$A402))*2,0)/2)))</f>
        <v/>
      </c>
      <c r="AI402">
        <f>IF(OR(AI$4="",$A402&gt;TODAY()),0,IF(OR(INDEX($B402:$D402,AI$5)="F",AND(AI$6&gt;0,$A402&lt;AI$6),AND(AI$7&gt;0,$A402&gt;AI$7)),0,MAX(0,ROUND((INDEX($E402:$G402,AI$5)-SUMIFS(TF_Timer,TF_Tekniker,AI$4,TF_Dato,$A402))*2,0)/2)))</f>
        <v/>
      </c>
      <c r="AJ402">
        <f>IF(OR(AJ$4="",$A402&gt;TODAY()),0,IF(OR(INDEX($B402:$D402,AJ$5)="F",AND(AJ$6&gt;0,$A402&lt;AJ$6),AND(AJ$7&gt;0,$A402&gt;AJ$7)),0,MAX(0,ROUND((INDEX($E402:$G402,AJ$5)-SUMIFS(TF_Timer,TF_Tekniker,AJ$4,TF_Dato,$A402))*2,0)/2)))</f>
        <v/>
      </c>
      <c r="AK402">
        <f>IF(OR(AK$4="",$A402&gt;TODAY()),0,IF(OR(INDEX($B402:$D402,AK$5)="F",AND(AK$6&gt;0,$A402&lt;AK$6),AND(AK$7&gt;0,$A402&gt;AK$7)),0,MAX(0,ROUND((INDEX($E402:$G402,AK$5)-SUMIFS(TF_Timer,TF_Tekniker,AK$4,TF_Dato,$A402))*2,0)/2)))</f>
        <v/>
      </c>
      <c r="AL402">
        <f>IF(OR(AL$4="",$A402&gt;TODAY()),0,IF(OR(INDEX($B402:$D402,AL$5)="F",AND(AL$6&gt;0,$A402&lt;AL$6),AND(AL$7&gt;0,$A402&gt;AL$7)),0,MAX(0,ROUND((INDEX($E402:$G402,AL$5)-SUMIFS(TF_Timer,TF_Tekniker,AL$4,TF_Dato,$A402))*2,0)/2)))</f>
        <v/>
      </c>
      <c r="AM402">
        <f>IF(OR(AM$4="",$A402&gt;TODAY()),0,IF(OR(INDEX($B402:$D402,AM$5)="F",AND(AM$6&gt;0,$A402&lt;AM$6),AND(AM$7&gt;0,$A402&gt;AM$7)),0,MAX(0,ROUND((INDEX($E402:$G402,AM$5)-SUMIFS(TF_Timer,TF_Tekniker,AM$4,TF_Dato,$A402))*2,0)/2)))</f>
        <v/>
      </c>
      <c r="AN402">
        <f>IF(OR(AN$4="",$A402&gt;TODAY()),0,IF(OR(INDEX($B402:$D402,AN$5)="F",AND(AN$6&gt;0,$A402&lt;AN$6),AND(AN$7&gt;0,$A402&gt;AN$7)),0,MAX(0,ROUND((INDEX($E402:$G402,AN$5)-SUMIFS(TF_Timer,TF_Tekniker,AN$4,TF_Dato,$A402))*2,0)/2)))</f>
        <v/>
      </c>
      <c r="AO402">
        <f>IF(OR(AO$4="",$A402&gt;TODAY()),0,IF(OR(INDEX($B402:$D402,AO$5)="F",AND(AO$6&gt;0,$A402&lt;AO$6),AND(AO$7&gt;0,$A402&gt;AO$7)),0,MAX(0,ROUND((INDEX($E402:$G402,AO$5)-SUMIFS(TF_Timer,TF_Tekniker,AO$4,TF_Dato,$A402))*2,0)/2)))</f>
        <v/>
      </c>
      <c r="AP402">
        <f>IF(OR(AP$4="",$A402&gt;TODAY()),0,IF(OR(INDEX($B402:$D402,AP$5)="F",AND(AP$6&gt;0,$A402&lt;AP$6),AND(AP$7&gt;0,$A402&gt;AP$7)),0,MAX(0,ROUND((INDEX($E402:$G402,AP$5)-SUMIFS(TF_Timer,TF_Tekniker,AP$4,TF_Dato,$A402))*2,0)/2)))</f>
        <v/>
      </c>
      <c r="AQ402">
        <f>IF(OR(AQ$4="",$A402&gt;TODAY()),0,IF(OR(INDEX($B402:$D402,AQ$5)="F",AND(AQ$6&gt;0,$A402&lt;AQ$6),AND(AQ$7&gt;0,$A402&gt;AQ$7)),0,MAX(0,ROUND((INDEX($E402:$G402,AQ$5)-SUMIFS(TF_Timer,TF_Tekniker,AQ$4,TF_Dato,$A402))*2,0)/2)))</f>
        <v/>
      </c>
      <c r="AR402">
        <f>IF(OR(AR$4="",$A402&gt;TODAY()),0,IF(OR(INDEX($B402:$D402,AR$5)="F",AND(AR$6&gt;0,$A402&lt;AR$6),AND(AR$7&gt;0,$A402&gt;AR$7)),0,MAX(0,ROUND((INDEX($E402:$G402,AR$5)-SUMIFS(TF_Timer,TF_Tekniker,AR$4,TF_Dato,$A402))*2,0)/2)))</f>
        <v/>
      </c>
      <c r="AS402">
        <f>IF(OR(AS$4="",$A402&gt;TODAY()),0,IF(OR(INDEX($B402:$D402,AS$5)="F",AND(AS$6&gt;0,$A402&lt;AS$6),AND(AS$7&gt;0,$A402&gt;AS$7)),0,MAX(0,ROUND((INDEX($E402:$G402,AS$5)-SUMIFS(TF_Timer,TF_Tekniker,AS$4,TF_Dato,$A402))*2,0)/2)))</f>
        <v/>
      </c>
      <c r="AT402">
        <f>IF(OR(AT$4="",$A402&gt;TODAY()),0,IF(OR(INDEX($B402:$D402,AT$5)="F",AND(AT$6&gt;0,$A402&lt;AT$6),AND(AT$7&gt;0,$A402&gt;AT$7)),0,MAX(0,ROUND((INDEX($E402:$G402,AT$5)-SUMIFS(TF_Timer,TF_Tekniker,AT$4,TF_Dato,$A402))*2,0)/2)))</f>
        <v/>
      </c>
      <c r="AU402">
        <f>IF(OR(AU$4="",$A402&gt;TODAY()),0,IF(OR(INDEX($B402:$D402,AU$5)="F",AND(AU$6&gt;0,$A402&lt;AU$6),AND(AU$7&gt;0,$A402&gt;AU$7)),0,MAX(0,ROUND((INDEX($E402:$G402,AU$5)-SUMIFS(TF_Timer,TF_Tekniker,AU$4,TF_Dato,$A402))*2,0)/2)))</f>
        <v/>
      </c>
      <c r="AV402">
        <f>IF(OR(AV$4="",$A402&gt;TODAY()),0,IF(OR(INDEX($B402:$D402,AV$5)="F",AND(AV$6&gt;0,$A402&lt;AV$6),AND(AV$7&gt;0,$A402&gt;AV$7)),0,MAX(0,ROUND((INDEX($E402:$G402,AV$5)-SUMIFS(TF_Timer,TF_Tekniker,AV$4,TF_Dato,$A402))*2,0)/2)))</f>
        <v/>
      </c>
      <c r="AW402">
        <f>IF(OR(AW$4="",$A402&gt;TODAY()),0,IF(OR(INDEX($B402:$D402,AW$5)="F",AND(AW$6&gt;0,$A402&lt;AW$6),AND(AW$7&gt;0,$A402&gt;AW$7)),0,MAX(0,ROUND((INDEX($E402:$G402,AW$5)-SUMIFS(TF_Timer,TF_Tekniker,AW$4,TF_Dato,$A402))*2,0)/2)))</f>
        <v/>
      </c>
      <c r="AX402">
        <f>IF(OR(AX$4="",$A402&gt;TODAY()),0,IF(OR(INDEX($B402:$D402,AX$5)="F",AND(AX$6&gt;0,$A402&lt;AX$6),AND(AX$7&gt;0,$A402&gt;AX$7)),0,MAX(0,ROUND((INDEX($E402:$G402,AX$5)-SUMIFS(TF_Timer,TF_Tekniker,AX$4,TF_Dato,$A402))*2,0)/2)))</f>
        <v/>
      </c>
      <c r="AY402">
        <f>IF(OR(AY$4="",$A402&gt;TODAY()),0,IF(OR(INDEX($B402:$D402,AY$5)="F",AND(AY$6&gt;0,$A402&lt;AY$6),AND(AY$7&gt;0,$A402&gt;AY$7)),0,MAX(0,ROUND((INDEX($E402:$G402,AY$5)-SUMIFS(TF_Timer,TF_Tekniker,AY$4,TF_Dato,$A402))*2,0)/2)))</f>
        <v/>
      </c>
      <c r="AZ402">
        <f>IF(OR(AZ$4="",$A402&gt;TODAY()),0,IF(OR(INDEX($B402:$D402,AZ$5)="F",AND(AZ$6&gt;0,$A402&lt;AZ$6),AND(AZ$7&gt;0,$A402&gt;AZ$7)),0,MAX(0,ROUND((INDEX($E402:$G402,AZ$5)-SUMIFS(TF_Timer,TF_Tekniker,AZ$4,TF_Dato,$A402))*2,0)/2)))</f>
        <v/>
      </c>
      <c r="BA402">
        <f>IF(OR(BA$4="",$A402&gt;TODAY()),0,IF(OR(INDEX($B402:$D402,BA$5)="F",AND(BA$6&gt;0,$A402&lt;BA$6),AND(BA$7&gt;0,$A402&gt;BA$7)),0,MAX(0,ROUND((INDEX($E402:$G402,BA$5)-SUMIFS(TF_Timer,TF_Tekniker,BA$4,TF_Dato,$A402))*2,0)/2)))</f>
        <v/>
      </c>
      <c r="BB402">
        <f>IF(OR(BB$4="",$A402&gt;TODAY()),0,IF(OR(INDEX($B402:$D402,BB$5)="F",AND(BB$6&gt;0,$A402&lt;BB$6),AND(BB$7&gt;0,$A402&gt;BB$7)),0,MAX(0,ROUND((INDEX($E402:$G402,BB$5)-SUMIFS(TF_Timer,TF_Tekniker,BB$4,TF_Dato,$A402))*2,0)/2)))</f>
        <v/>
      </c>
      <c r="BC402">
        <f>IF(OR(BC$4="",$A402&gt;TODAY()),0,IF(OR(INDEX($B402:$D402,BC$5)="F",AND(BC$6&gt;0,$A402&lt;BC$6),AND(BC$7&gt;0,$A402&gt;BC$7)),0,MAX(0,ROUND((INDEX($E402:$G402,BC$5)-SUMIFS(TF_Timer,TF_Tekniker,BC$4,TF_Dato,$A402))*2,0)/2)))</f>
        <v/>
      </c>
      <c r="BD402">
        <f>IF(OR(BD$4="",$A402&gt;TODAY()),0,IF(OR(INDEX($B402:$D402,BD$5)="F",AND(BD$6&gt;0,$A402&lt;BD$6),AND(BD$7&gt;0,$A402&gt;BD$7)),0,MAX(0,ROUND((INDEX($E402:$G402,BD$5)-SUMIFS(TF_Timer,TF_Tekniker,BD$4,TF_Dato,$A402))*2,0)/2)))</f>
        <v/>
      </c>
      <c r="BE402">
        <f>IF(OR(BE$4="",$A402&gt;TODAY()),0,IF(OR(INDEX($B402:$D402,BE$5)="F",AND(BE$6&gt;0,$A402&lt;BE$6),AND(BE$7&gt;0,$A402&gt;BE$7)),0,MAX(0,ROUND((INDEX($E402:$G402,BE$5)-SUMIFS(TF_Timer,TF_Tekniker,BE$4,TF_Dato,$A402))*2,0)/2)))</f>
        <v/>
      </c>
      <c r="BF402">
        <f>IF(OR(BF$4="",$A402&gt;TODAY()),0,IF(OR(INDEX($B402:$D402,BF$5)="F",AND(BF$6&gt;0,$A402&lt;BF$6),AND(BF$7&gt;0,$A402&gt;BF$7)),0,MAX(0,ROUND((INDEX($E402:$G402,BF$5)-SUMIFS(TF_Timer,TF_Tekniker,BF$4,TF_Dato,$A402))*2,0)/2)))</f>
        <v/>
      </c>
      <c r="BG402">
        <f>IF(OR(BG$4="",$A402&gt;TODAY()),0,IF(OR(INDEX($B402:$D402,BG$5)="F",AND(BG$6&gt;0,$A402&lt;BG$6),AND(BG$7&gt;0,$A402&gt;BG$7)),0,MAX(0,ROUND((INDEX($E402:$G402,BG$5)-SUMIFS(TF_Timer,TF_Tekniker,BG$4,TF_Dato,$A402))*2,0)/2)))</f>
        <v/>
      </c>
      <c r="BH402">
        <f>IF(OR(BH$4="",$A402&gt;TODAY()),0,IF(OR(INDEX($B402:$D402,BH$5)="F",AND(BH$6&gt;0,$A402&lt;BH$6),AND(BH$7&gt;0,$A402&gt;BH$7)),0,MAX(0,ROUND((INDEX($E402:$G402,BH$5)-SUMIFS(TF_Timer,TF_Tekniker,BH$4,TF_Dato,$A402))*2,0)/2)))</f>
        <v/>
      </c>
      <c r="BI402">
        <f>IF(OR(BI$4="",$A402&gt;TODAY()),0,IF(OR(INDEX($B402:$D402,BI$5)="F",AND(BI$6&gt;0,$A402&lt;BI$6),AND(BI$7&gt;0,$A402&gt;BI$7)),0,MAX(0,ROUND((INDEX($E402:$G402,BI$5)-SUMIFS(TF_Timer,TF_Tekniker,BI$4,TF_Dato,$A402))*2,0)/2)))</f>
        <v/>
      </c>
    </row>
    <row r="403">
      <c r="A403" s="64">
        <f>A402+1</f>
        <v/>
      </c>
      <c r="B403">
        <f>IF(MOD($A403-INDEX(SkiftStart,1),Syklus)&lt;DagK,"K",IF(MOD($A403-INDEX(SkiftStart,1),Syklus)&lt;DagK+DagH,"H",IF(MOD($A403-INDEX(SkiftStart,1),Syklus)&lt;DagK+DagH+DagD,"D","F")))</f>
        <v/>
      </c>
      <c r="C403">
        <f>IF(MOD($A403-INDEX(SkiftStart,2),Syklus)&lt;DagK,"K",IF(MOD($A403-INDEX(SkiftStart,2),Syklus)&lt;DagK+DagH,"H",IF(MOD($A403-INDEX(SkiftStart,2),Syklus)&lt;DagK+DagH+DagD,"D","F")))</f>
        <v/>
      </c>
      <c r="D403">
        <f>IF(MOD($A403-INDEX(SkiftStart,3),Syklus)&lt;DagK,"K",IF(MOD($A403-INDEX(SkiftStart,3),Syklus)&lt;DagK+DagH,"H",IF(MOD($A403-INDEX(SkiftStart,3),Syklus)&lt;DagK+DagH+DagD,"D","F")))</f>
        <v/>
      </c>
      <c r="E403">
        <f>IF(B403="F",0,IF(WEEKDAY($A403,2)=5,INDEX(TimerFr,MATCH(B403,FaseKode,0)),INDEX(TimerMT,MATCH(B403,FaseKode,0))))</f>
        <v/>
      </c>
      <c r="F403">
        <f>IF(C403="F",0,IF(WEEKDAY($A403,2)=5,INDEX(TimerFr,MATCH(C403,FaseKode,0)),INDEX(TimerMT,MATCH(C403,FaseKode,0))))</f>
        <v/>
      </c>
      <c r="G403">
        <f>IF(D403="F",0,IF(WEEKDAY($A403,2)=5,INDEX(TimerFr,MATCH(D403,FaseKode,0)),INDEX(TimerMT,MATCH(D403,FaseKode,0))))</f>
        <v/>
      </c>
      <c r="H403">
        <f>IF(OR(H$4="",$A403&gt;TODAY()),0,IF(OR(INDEX($B403:$D403,H$5)="F",AND(H$6&gt;0,$A403&lt;H$6),AND(H$7&gt;0,$A403&gt;H$7)),0,MAX(0,ROUND((INDEX($E403:$G403,H$5)-SUMIFS(TF_Timer,TF_Tekniker,H$4,TF_Dato,$A403))*2,0)/2)))</f>
        <v/>
      </c>
      <c r="I403">
        <f>IF(OR(I$4="",$A403&gt;TODAY()),0,IF(OR(INDEX($B403:$D403,I$5)="F",AND(I$6&gt;0,$A403&lt;I$6),AND(I$7&gt;0,$A403&gt;I$7)),0,MAX(0,ROUND((INDEX($E403:$G403,I$5)-SUMIFS(TF_Timer,TF_Tekniker,I$4,TF_Dato,$A403))*2,0)/2)))</f>
        <v/>
      </c>
      <c r="J403">
        <f>IF(OR(J$4="",$A403&gt;TODAY()),0,IF(OR(INDEX($B403:$D403,J$5)="F",AND(J$6&gt;0,$A403&lt;J$6),AND(J$7&gt;0,$A403&gt;J$7)),0,MAX(0,ROUND((INDEX($E403:$G403,J$5)-SUMIFS(TF_Timer,TF_Tekniker,J$4,TF_Dato,$A403))*2,0)/2)))</f>
        <v/>
      </c>
      <c r="K403">
        <f>IF(OR(K$4="",$A403&gt;TODAY()),0,IF(OR(INDEX($B403:$D403,K$5)="F",AND(K$6&gt;0,$A403&lt;K$6),AND(K$7&gt;0,$A403&gt;K$7)),0,MAX(0,ROUND((INDEX($E403:$G403,K$5)-SUMIFS(TF_Timer,TF_Tekniker,K$4,TF_Dato,$A403))*2,0)/2)))</f>
        <v/>
      </c>
      <c r="L403">
        <f>IF(OR(L$4="",$A403&gt;TODAY()),0,IF(OR(INDEX($B403:$D403,L$5)="F",AND(L$6&gt;0,$A403&lt;L$6),AND(L$7&gt;0,$A403&gt;L$7)),0,MAX(0,ROUND((INDEX($E403:$G403,L$5)-SUMIFS(TF_Timer,TF_Tekniker,L$4,TF_Dato,$A403))*2,0)/2)))</f>
        <v/>
      </c>
      <c r="M403">
        <f>IF(OR(M$4="",$A403&gt;TODAY()),0,IF(OR(INDEX($B403:$D403,M$5)="F",AND(M$6&gt;0,$A403&lt;M$6),AND(M$7&gt;0,$A403&gt;M$7)),0,MAX(0,ROUND((INDEX($E403:$G403,M$5)-SUMIFS(TF_Timer,TF_Tekniker,M$4,TF_Dato,$A403))*2,0)/2)))</f>
        <v/>
      </c>
      <c r="N403">
        <f>IF(OR(N$4="",$A403&gt;TODAY()),0,IF(OR(INDEX($B403:$D403,N$5)="F",AND(N$6&gt;0,$A403&lt;N$6),AND(N$7&gt;0,$A403&gt;N$7)),0,MAX(0,ROUND((INDEX($E403:$G403,N$5)-SUMIFS(TF_Timer,TF_Tekniker,N$4,TF_Dato,$A403))*2,0)/2)))</f>
        <v/>
      </c>
      <c r="O403">
        <f>IF(OR(O$4="",$A403&gt;TODAY()),0,IF(OR(INDEX($B403:$D403,O$5)="F",AND(O$6&gt;0,$A403&lt;O$6),AND(O$7&gt;0,$A403&gt;O$7)),0,MAX(0,ROUND((INDEX($E403:$G403,O$5)-SUMIFS(TF_Timer,TF_Tekniker,O$4,TF_Dato,$A403))*2,0)/2)))</f>
        <v/>
      </c>
      <c r="P403">
        <f>IF(OR(P$4="",$A403&gt;TODAY()),0,IF(OR(INDEX($B403:$D403,P$5)="F",AND(P$6&gt;0,$A403&lt;P$6),AND(P$7&gt;0,$A403&gt;P$7)),0,MAX(0,ROUND((INDEX($E403:$G403,P$5)-SUMIFS(TF_Timer,TF_Tekniker,P$4,TF_Dato,$A403))*2,0)/2)))</f>
        <v/>
      </c>
      <c r="Q403">
        <f>IF(OR(Q$4="",$A403&gt;TODAY()),0,IF(OR(INDEX($B403:$D403,Q$5)="F",AND(Q$6&gt;0,$A403&lt;Q$6),AND(Q$7&gt;0,$A403&gt;Q$7)),0,MAX(0,ROUND((INDEX($E403:$G403,Q$5)-SUMIFS(TF_Timer,TF_Tekniker,Q$4,TF_Dato,$A403))*2,0)/2)))</f>
        <v/>
      </c>
      <c r="R403">
        <f>IF(OR(R$4="",$A403&gt;TODAY()),0,IF(OR(INDEX($B403:$D403,R$5)="F",AND(R$6&gt;0,$A403&lt;R$6),AND(R$7&gt;0,$A403&gt;R$7)),0,MAX(0,ROUND((INDEX($E403:$G403,R$5)-SUMIFS(TF_Timer,TF_Tekniker,R$4,TF_Dato,$A403))*2,0)/2)))</f>
        <v/>
      </c>
      <c r="S403">
        <f>IF(OR(S$4="",$A403&gt;TODAY()),0,IF(OR(INDEX($B403:$D403,S$5)="F",AND(S$6&gt;0,$A403&lt;S$6),AND(S$7&gt;0,$A403&gt;S$7)),0,MAX(0,ROUND((INDEX($E403:$G403,S$5)-SUMIFS(TF_Timer,TF_Tekniker,S$4,TF_Dato,$A403))*2,0)/2)))</f>
        <v/>
      </c>
      <c r="T403">
        <f>IF(OR(T$4="",$A403&gt;TODAY()),0,IF(OR(INDEX($B403:$D403,T$5)="F",AND(T$6&gt;0,$A403&lt;T$6),AND(T$7&gt;0,$A403&gt;T$7)),0,MAX(0,ROUND((INDEX($E403:$G403,T$5)-SUMIFS(TF_Timer,TF_Tekniker,T$4,TF_Dato,$A403))*2,0)/2)))</f>
        <v/>
      </c>
      <c r="U403">
        <f>IF(OR(U$4="",$A403&gt;TODAY()),0,IF(OR(INDEX($B403:$D403,U$5)="F",AND(U$6&gt;0,$A403&lt;U$6),AND(U$7&gt;0,$A403&gt;U$7)),0,MAX(0,ROUND((INDEX($E403:$G403,U$5)-SUMIFS(TF_Timer,TF_Tekniker,U$4,TF_Dato,$A403))*2,0)/2)))</f>
        <v/>
      </c>
      <c r="V403">
        <f>IF(OR(V$4="",$A403&gt;TODAY()),0,IF(OR(INDEX($B403:$D403,V$5)="F",AND(V$6&gt;0,$A403&lt;V$6),AND(V$7&gt;0,$A403&gt;V$7)),0,MAX(0,ROUND((INDEX($E403:$G403,V$5)-SUMIFS(TF_Timer,TF_Tekniker,V$4,TF_Dato,$A403))*2,0)/2)))</f>
        <v/>
      </c>
      <c r="W403">
        <f>IF(OR(W$4="",$A403&gt;TODAY()),0,IF(OR(INDEX($B403:$D403,W$5)="F",AND(W$6&gt;0,$A403&lt;W$6),AND(W$7&gt;0,$A403&gt;W$7)),0,MAX(0,ROUND((INDEX($E403:$G403,W$5)-SUMIFS(TF_Timer,TF_Tekniker,W$4,TF_Dato,$A403))*2,0)/2)))</f>
        <v/>
      </c>
      <c r="X403">
        <f>IF(OR(X$4="",$A403&gt;TODAY()),0,IF(OR(INDEX($B403:$D403,X$5)="F",AND(X$6&gt;0,$A403&lt;X$6),AND(X$7&gt;0,$A403&gt;X$7)),0,MAX(0,ROUND((INDEX($E403:$G403,X$5)-SUMIFS(TF_Timer,TF_Tekniker,X$4,TF_Dato,$A403))*2,0)/2)))</f>
        <v/>
      </c>
      <c r="Y403">
        <f>IF(OR(Y$4="",$A403&gt;TODAY()),0,IF(OR(INDEX($B403:$D403,Y$5)="F",AND(Y$6&gt;0,$A403&lt;Y$6),AND(Y$7&gt;0,$A403&gt;Y$7)),0,MAX(0,ROUND((INDEX($E403:$G403,Y$5)-SUMIFS(TF_Timer,TF_Tekniker,Y$4,TF_Dato,$A403))*2,0)/2)))</f>
        <v/>
      </c>
      <c r="Z403">
        <f>IF(OR(Z$4="",$A403&gt;TODAY()),0,IF(OR(INDEX($B403:$D403,Z$5)="F",AND(Z$6&gt;0,$A403&lt;Z$6),AND(Z$7&gt;0,$A403&gt;Z$7)),0,MAX(0,ROUND((INDEX($E403:$G403,Z$5)-SUMIFS(TF_Timer,TF_Tekniker,Z$4,TF_Dato,$A403))*2,0)/2)))</f>
        <v/>
      </c>
      <c r="AA403">
        <f>IF(OR(AA$4="",$A403&gt;TODAY()),0,IF(OR(INDEX($B403:$D403,AA$5)="F",AND(AA$6&gt;0,$A403&lt;AA$6),AND(AA$7&gt;0,$A403&gt;AA$7)),0,MAX(0,ROUND((INDEX($E403:$G403,AA$5)-SUMIFS(TF_Timer,TF_Tekniker,AA$4,TF_Dato,$A403))*2,0)/2)))</f>
        <v/>
      </c>
      <c r="AB403">
        <f>IF(OR(AB$4="",$A403&gt;TODAY()),0,IF(OR(INDEX($B403:$D403,AB$5)="F",AND(AB$6&gt;0,$A403&lt;AB$6),AND(AB$7&gt;0,$A403&gt;AB$7)),0,MAX(0,ROUND((INDEX($E403:$G403,AB$5)-SUMIFS(TF_Timer,TF_Tekniker,AB$4,TF_Dato,$A403))*2,0)/2)))</f>
        <v/>
      </c>
      <c r="AC403">
        <f>IF(OR(AC$4="",$A403&gt;TODAY()),0,IF(OR(INDEX($B403:$D403,AC$5)="F",AND(AC$6&gt;0,$A403&lt;AC$6),AND(AC$7&gt;0,$A403&gt;AC$7)),0,MAX(0,ROUND((INDEX($E403:$G403,AC$5)-SUMIFS(TF_Timer,TF_Tekniker,AC$4,TF_Dato,$A403))*2,0)/2)))</f>
        <v/>
      </c>
      <c r="AD403">
        <f>IF(OR(AD$4="",$A403&gt;TODAY()),0,IF(OR(INDEX($B403:$D403,AD$5)="F",AND(AD$6&gt;0,$A403&lt;AD$6),AND(AD$7&gt;0,$A403&gt;AD$7)),0,MAX(0,ROUND((INDEX($E403:$G403,AD$5)-SUMIFS(TF_Timer,TF_Tekniker,AD$4,TF_Dato,$A403))*2,0)/2)))</f>
        <v/>
      </c>
      <c r="AE403">
        <f>IF(OR(AE$4="",$A403&gt;TODAY()),0,IF(OR(INDEX($B403:$D403,AE$5)="F",AND(AE$6&gt;0,$A403&lt;AE$6),AND(AE$7&gt;0,$A403&gt;AE$7)),0,MAX(0,ROUND((INDEX($E403:$G403,AE$5)-SUMIFS(TF_Timer,TF_Tekniker,AE$4,TF_Dato,$A403))*2,0)/2)))</f>
        <v/>
      </c>
      <c r="AF403">
        <f>IF(OR(AF$4="",$A403&gt;TODAY()),0,IF(OR(INDEX($B403:$D403,AF$5)="F",AND(AF$6&gt;0,$A403&lt;AF$6),AND(AF$7&gt;0,$A403&gt;AF$7)),0,MAX(0,ROUND((INDEX($E403:$G403,AF$5)-SUMIFS(TF_Timer,TF_Tekniker,AF$4,TF_Dato,$A403))*2,0)/2)))</f>
        <v/>
      </c>
      <c r="AG403">
        <f>IF(OR(AG$4="",$A403&gt;TODAY()),0,IF(OR(INDEX($B403:$D403,AG$5)="F",AND(AG$6&gt;0,$A403&lt;AG$6),AND(AG$7&gt;0,$A403&gt;AG$7)),0,MAX(0,ROUND((INDEX($E403:$G403,AG$5)-SUMIFS(TF_Timer,TF_Tekniker,AG$4,TF_Dato,$A403))*2,0)/2)))</f>
        <v/>
      </c>
      <c r="AH403">
        <f>IF(OR(AH$4="",$A403&gt;TODAY()),0,IF(OR(INDEX($B403:$D403,AH$5)="F",AND(AH$6&gt;0,$A403&lt;AH$6),AND(AH$7&gt;0,$A403&gt;AH$7)),0,MAX(0,ROUND((INDEX($E403:$G403,AH$5)-SUMIFS(TF_Timer,TF_Tekniker,AH$4,TF_Dato,$A403))*2,0)/2)))</f>
        <v/>
      </c>
      <c r="AI403">
        <f>IF(OR(AI$4="",$A403&gt;TODAY()),0,IF(OR(INDEX($B403:$D403,AI$5)="F",AND(AI$6&gt;0,$A403&lt;AI$6),AND(AI$7&gt;0,$A403&gt;AI$7)),0,MAX(0,ROUND((INDEX($E403:$G403,AI$5)-SUMIFS(TF_Timer,TF_Tekniker,AI$4,TF_Dato,$A403))*2,0)/2)))</f>
        <v/>
      </c>
      <c r="AJ403">
        <f>IF(OR(AJ$4="",$A403&gt;TODAY()),0,IF(OR(INDEX($B403:$D403,AJ$5)="F",AND(AJ$6&gt;0,$A403&lt;AJ$6),AND(AJ$7&gt;0,$A403&gt;AJ$7)),0,MAX(0,ROUND((INDEX($E403:$G403,AJ$5)-SUMIFS(TF_Timer,TF_Tekniker,AJ$4,TF_Dato,$A403))*2,0)/2)))</f>
        <v/>
      </c>
      <c r="AK403">
        <f>IF(OR(AK$4="",$A403&gt;TODAY()),0,IF(OR(INDEX($B403:$D403,AK$5)="F",AND(AK$6&gt;0,$A403&lt;AK$6),AND(AK$7&gt;0,$A403&gt;AK$7)),0,MAX(0,ROUND((INDEX($E403:$G403,AK$5)-SUMIFS(TF_Timer,TF_Tekniker,AK$4,TF_Dato,$A403))*2,0)/2)))</f>
        <v/>
      </c>
      <c r="AL403">
        <f>IF(OR(AL$4="",$A403&gt;TODAY()),0,IF(OR(INDEX($B403:$D403,AL$5)="F",AND(AL$6&gt;0,$A403&lt;AL$6),AND(AL$7&gt;0,$A403&gt;AL$7)),0,MAX(0,ROUND((INDEX($E403:$G403,AL$5)-SUMIFS(TF_Timer,TF_Tekniker,AL$4,TF_Dato,$A403))*2,0)/2)))</f>
        <v/>
      </c>
      <c r="AM403">
        <f>IF(OR(AM$4="",$A403&gt;TODAY()),0,IF(OR(INDEX($B403:$D403,AM$5)="F",AND(AM$6&gt;0,$A403&lt;AM$6),AND(AM$7&gt;0,$A403&gt;AM$7)),0,MAX(0,ROUND((INDEX($E403:$G403,AM$5)-SUMIFS(TF_Timer,TF_Tekniker,AM$4,TF_Dato,$A403))*2,0)/2)))</f>
        <v/>
      </c>
      <c r="AN403">
        <f>IF(OR(AN$4="",$A403&gt;TODAY()),0,IF(OR(INDEX($B403:$D403,AN$5)="F",AND(AN$6&gt;0,$A403&lt;AN$6),AND(AN$7&gt;0,$A403&gt;AN$7)),0,MAX(0,ROUND((INDEX($E403:$G403,AN$5)-SUMIFS(TF_Timer,TF_Tekniker,AN$4,TF_Dato,$A403))*2,0)/2)))</f>
        <v/>
      </c>
      <c r="AO403">
        <f>IF(OR(AO$4="",$A403&gt;TODAY()),0,IF(OR(INDEX($B403:$D403,AO$5)="F",AND(AO$6&gt;0,$A403&lt;AO$6),AND(AO$7&gt;0,$A403&gt;AO$7)),0,MAX(0,ROUND((INDEX($E403:$G403,AO$5)-SUMIFS(TF_Timer,TF_Tekniker,AO$4,TF_Dato,$A403))*2,0)/2)))</f>
        <v/>
      </c>
      <c r="AP403">
        <f>IF(OR(AP$4="",$A403&gt;TODAY()),0,IF(OR(INDEX($B403:$D403,AP$5)="F",AND(AP$6&gt;0,$A403&lt;AP$6),AND(AP$7&gt;0,$A403&gt;AP$7)),0,MAX(0,ROUND((INDEX($E403:$G403,AP$5)-SUMIFS(TF_Timer,TF_Tekniker,AP$4,TF_Dato,$A403))*2,0)/2)))</f>
        <v/>
      </c>
      <c r="AQ403">
        <f>IF(OR(AQ$4="",$A403&gt;TODAY()),0,IF(OR(INDEX($B403:$D403,AQ$5)="F",AND(AQ$6&gt;0,$A403&lt;AQ$6),AND(AQ$7&gt;0,$A403&gt;AQ$7)),0,MAX(0,ROUND((INDEX($E403:$G403,AQ$5)-SUMIFS(TF_Timer,TF_Tekniker,AQ$4,TF_Dato,$A403))*2,0)/2)))</f>
        <v/>
      </c>
      <c r="AR403">
        <f>IF(OR(AR$4="",$A403&gt;TODAY()),0,IF(OR(INDEX($B403:$D403,AR$5)="F",AND(AR$6&gt;0,$A403&lt;AR$6),AND(AR$7&gt;0,$A403&gt;AR$7)),0,MAX(0,ROUND((INDEX($E403:$G403,AR$5)-SUMIFS(TF_Timer,TF_Tekniker,AR$4,TF_Dato,$A403))*2,0)/2)))</f>
        <v/>
      </c>
      <c r="AS403">
        <f>IF(OR(AS$4="",$A403&gt;TODAY()),0,IF(OR(INDEX($B403:$D403,AS$5)="F",AND(AS$6&gt;0,$A403&lt;AS$6),AND(AS$7&gt;0,$A403&gt;AS$7)),0,MAX(0,ROUND((INDEX($E403:$G403,AS$5)-SUMIFS(TF_Timer,TF_Tekniker,AS$4,TF_Dato,$A403))*2,0)/2)))</f>
        <v/>
      </c>
      <c r="AT403">
        <f>IF(OR(AT$4="",$A403&gt;TODAY()),0,IF(OR(INDEX($B403:$D403,AT$5)="F",AND(AT$6&gt;0,$A403&lt;AT$6),AND(AT$7&gt;0,$A403&gt;AT$7)),0,MAX(0,ROUND((INDEX($E403:$G403,AT$5)-SUMIFS(TF_Timer,TF_Tekniker,AT$4,TF_Dato,$A403))*2,0)/2)))</f>
        <v/>
      </c>
      <c r="AU403">
        <f>IF(OR(AU$4="",$A403&gt;TODAY()),0,IF(OR(INDEX($B403:$D403,AU$5)="F",AND(AU$6&gt;0,$A403&lt;AU$6),AND(AU$7&gt;0,$A403&gt;AU$7)),0,MAX(0,ROUND((INDEX($E403:$G403,AU$5)-SUMIFS(TF_Timer,TF_Tekniker,AU$4,TF_Dato,$A403))*2,0)/2)))</f>
        <v/>
      </c>
      <c r="AV403">
        <f>IF(OR(AV$4="",$A403&gt;TODAY()),0,IF(OR(INDEX($B403:$D403,AV$5)="F",AND(AV$6&gt;0,$A403&lt;AV$6),AND(AV$7&gt;0,$A403&gt;AV$7)),0,MAX(0,ROUND((INDEX($E403:$G403,AV$5)-SUMIFS(TF_Timer,TF_Tekniker,AV$4,TF_Dato,$A403))*2,0)/2)))</f>
        <v/>
      </c>
      <c r="AW403">
        <f>IF(OR(AW$4="",$A403&gt;TODAY()),0,IF(OR(INDEX($B403:$D403,AW$5)="F",AND(AW$6&gt;0,$A403&lt;AW$6),AND(AW$7&gt;0,$A403&gt;AW$7)),0,MAX(0,ROUND((INDEX($E403:$G403,AW$5)-SUMIFS(TF_Timer,TF_Tekniker,AW$4,TF_Dato,$A403))*2,0)/2)))</f>
        <v/>
      </c>
      <c r="AX403">
        <f>IF(OR(AX$4="",$A403&gt;TODAY()),0,IF(OR(INDEX($B403:$D403,AX$5)="F",AND(AX$6&gt;0,$A403&lt;AX$6),AND(AX$7&gt;0,$A403&gt;AX$7)),0,MAX(0,ROUND((INDEX($E403:$G403,AX$5)-SUMIFS(TF_Timer,TF_Tekniker,AX$4,TF_Dato,$A403))*2,0)/2)))</f>
        <v/>
      </c>
      <c r="AY403">
        <f>IF(OR(AY$4="",$A403&gt;TODAY()),0,IF(OR(INDEX($B403:$D403,AY$5)="F",AND(AY$6&gt;0,$A403&lt;AY$6),AND(AY$7&gt;0,$A403&gt;AY$7)),0,MAX(0,ROUND((INDEX($E403:$G403,AY$5)-SUMIFS(TF_Timer,TF_Tekniker,AY$4,TF_Dato,$A403))*2,0)/2)))</f>
        <v/>
      </c>
      <c r="AZ403">
        <f>IF(OR(AZ$4="",$A403&gt;TODAY()),0,IF(OR(INDEX($B403:$D403,AZ$5)="F",AND(AZ$6&gt;0,$A403&lt;AZ$6),AND(AZ$7&gt;0,$A403&gt;AZ$7)),0,MAX(0,ROUND((INDEX($E403:$G403,AZ$5)-SUMIFS(TF_Timer,TF_Tekniker,AZ$4,TF_Dato,$A403))*2,0)/2)))</f>
        <v/>
      </c>
      <c r="BA403">
        <f>IF(OR(BA$4="",$A403&gt;TODAY()),0,IF(OR(INDEX($B403:$D403,BA$5)="F",AND(BA$6&gt;0,$A403&lt;BA$6),AND(BA$7&gt;0,$A403&gt;BA$7)),0,MAX(0,ROUND((INDEX($E403:$G403,BA$5)-SUMIFS(TF_Timer,TF_Tekniker,BA$4,TF_Dato,$A403))*2,0)/2)))</f>
        <v/>
      </c>
      <c r="BB403">
        <f>IF(OR(BB$4="",$A403&gt;TODAY()),0,IF(OR(INDEX($B403:$D403,BB$5)="F",AND(BB$6&gt;0,$A403&lt;BB$6),AND(BB$7&gt;0,$A403&gt;BB$7)),0,MAX(0,ROUND((INDEX($E403:$G403,BB$5)-SUMIFS(TF_Timer,TF_Tekniker,BB$4,TF_Dato,$A403))*2,0)/2)))</f>
        <v/>
      </c>
      <c r="BC403">
        <f>IF(OR(BC$4="",$A403&gt;TODAY()),0,IF(OR(INDEX($B403:$D403,BC$5)="F",AND(BC$6&gt;0,$A403&lt;BC$6),AND(BC$7&gt;0,$A403&gt;BC$7)),0,MAX(0,ROUND((INDEX($E403:$G403,BC$5)-SUMIFS(TF_Timer,TF_Tekniker,BC$4,TF_Dato,$A403))*2,0)/2)))</f>
        <v/>
      </c>
      <c r="BD403">
        <f>IF(OR(BD$4="",$A403&gt;TODAY()),0,IF(OR(INDEX($B403:$D403,BD$5)="F",AND(BD$6&gt;0,$A403&lt;BD$6),AND(BD$7&gt;0,$A403&gt;BD$7)),0,MAX(0,ROUND((INDEX($E403:$G403,BD$5)-SUMIFS(TF_Timer,TF_Tekniker,BD$4,TF_Dato,$A403))*2,0)/2)))</f>
        <v/>
      </c>
      <c r="BE403">
        <f>IF(OR(BE$4="",$A403&gt;TODAY()),0,IF(OR(INDEX($B403:$D403,BE$5)="F",AND(BE$6&gt;0,$A403&lt;BE$6),AND(BE$7&gt;0,$A403&gt;BE$7)),0,MAX(0,ROUND((INDEX($E403:$G403,BE$5)-SUMIFS(TF_Timer,TF_Tekniker,BE$4,TF_Dato,$A403))*2,0)/2)))</f>
        <v/>
      </c>
      <c r="BF403">
        <f>IF(OR(BF$4="",$A403&gt;TODAY()),0,IF(OR(INDEX($B403:$D403,BF$5)="F",AND(BF$6&gt;0,$A403&lt;BF$6),AND(BF$7&gt;0,$A403&gt;BF$7)),0,MAX(0,ROUND((INDEX($E403:$G403,BF$5)-SUMIFS(TF_Timer,TF_Tekniker,BF$4,TF_Dato,$A403))*2,0)/2)))</f>
        <v/>
      </c>
      <c r="BG403">
        <f>IF(OR(BG$4="",$A403&gt;TODAY()),0,IF(OR(INDEX($B403:$D403,BG$5)="F",AND(BG$6&gt;0,$A403&lt;BG$6),AND(BG$7&gt;0,$A403&gt;BG$7)),0,MAX(0,ROUND((INDEX($E403:$G403,BG$5)-SUMIFS(TF_Timer,TF_Tekniker,BG$4,TF_Dato,$A403))*2,0)/2)))</f>
        <v/>
      </c>
      <c r="BH403">
        <f>IF(OR(BH$4="",$A403&gt;TODAY()),0,IF(OR(INDEX($B403:$D403,BH$5)="F",AND(BH$6&gt;0,$A403&lt;BH$6),AND(BH$7&gt;0,$A403&gt;BH$7)),0,MAX(0,ROUND((INDEX($E403:$G403,BH$5)-SUMIFS(TF_Timer,TF_Tekniker,BH$4,TF_Dato,$A403))*2,0)/2)))</f>
        <v/>
      </c>
      <c r="BI403">
        <f>IF(OR(BI$4="",$A403&gt;TODAY()),0,IF(OR(INDEX($B403:$D403,BI$5)="F",AND(BI$6&gt;0,$A403&lt;BI$6),AND(BI$7&gt;0,$A403&gt;BI$7)),0,MAX(0,ROUND((INDEX($E403:$G403,BI$5)-SUMIFS(TF_Timer,TF_Tekniker,BI$4,TF_Dato,$A403))*2,0)/2)))</f>
        <v/>
      </c>
    </row>
    <row r="404">
      <c r="A404" s="64">
        <f>A403+1</f>
        <v/>
      </c>
      <c r="B404">
        <f>IF(MOD($A404-INDEX(SkiftStart,1),Syklus)&lt;DagK,"K",IF(MOD($A404-INDEX(SkiftStart,1),Syklus)&lt;DagK+DagH,"H",IF(MOD($A404-INDEX(SkiftStart,1),Syklus)&lt;DagK+DagH+DagD,"D","F")))</f>
        <v/>
      </c>
      <c r="C404">
        <f>IF(MOD($A404-INDEX(SkiftStart,2),Syklus)&lt;DagK,"K",IF(MOD($A404-INDEX(SkiftStart,2),Syklus)&lt;DagK+DagH,"H",IF(MOD($A404-INDEX(SkiftStart,2),Syklus)&lt;DagK+DagH+DagD,"D","F")))</f>
        <v/>
      </c>
      <c r="D404">
        <f>IF(MOD($A404-INDEX(SkiftStart,3),Syklus)&lt;DagK,"K",IF(MOD($A404-INDEX(SkiftStart,3),Syklus)&lt;DagK+DagH,"H",IF(MOD($A404-INDEX(SkiftStart,3),Syklus)&lt;DagK+DagH+DagD,"D","F")))</f>
        <v/>
      </c>
      <c r="E404">
        <f>IF(B404="F",0,IF(WEEKDAY($A404,2)=5,INDEX(TimerFr,MATCH(B404,FaseKode,0)),INDEX(TimerMT,MATCH(B404,FaseKode,0))))</f>
        <v/>
      </c>
      <c r="F404">
        <f>IF(C404="F",0,IF(WEEKDAY($A404,2)=5,INDEX(TimerFr,MATCH(C404,FaseKode,0)),INDEX(TimerMT,MATCH(C404,FaseKode,0))))</f>
        <v/>
      </c>
      <c r="G404">
        <f>IF(D404="F",0,IF(WEEKDAY($A404,2)=5,INDEX(TimerFr,MATCH(D404,FaseKode,0)),INDEX(TimerMT,MATCH(D404,FaseKode,0))))</f>
        <v/>
      </c>
      <c r="H404">
        <f>IF(OR(H$4="",$A404&gt;TODAY()),0,IF(OR(INDEX($B404:$D404,H$5)="F",AND(H$6&gt;0,$A404&lt;H$6),AND(H$7&gt;0,$A404&gt;H$7)),0,MAX(0,ROUND((INDEX($E404:$G404,H$5)-SUMIFS(TF_Timer,TF_Tekniker,H$4,TF_Dato,$A404))*2,0)/2)))</f>
        <v/>
      </c>
      <c r="I404">
        <f>IF(OR(I$4="",$A404&gt;TODAY()),0,IF(OR(INDEX($B404:$D404,I$5)="F",AND(I$6&gt;0,$A404&lt;I$6),AND(I$7&gt;0,$A404&gt;I$7)),0,MAX(0,ROUND((INDEX($E404:$G404,I$5)-SUMIFS(TF_Timer,TF_Tekniker,I$4,TF_Dato,$A404))*2,0)/2)))</f>
        <v/>
      </c>
      <c r="J404">
        <f>IF(OR(J$4="",$A404&gt;TODAY()),0,IF(OR(INDEX($B404:$D404,J$5)="F",AND(J$6&gt;0,$A404&lt;J$6),AND(J$7&gt;0,$A404&gt;J$7)),0,MAX(0,ROUND((INDEX($E404:$G404,J$5)-SUMIFS(TF_Timer,TF_Tekniker,J$4,TF_Dato,$A404))*2,0)/2)))</f>
        <v/>
      </c>
      <c r="K404">
        <f>IF(OR(K$4="",$A404&gt;TODAY()),0,IF(OR(INDEX($B404:$D404,K$5)="F",AND(K$6&gt;0,$A404&lt;K$6),AND(K$7&gt;0,$A404&gt;K$7)),0,MAX(0,ROUND((INDEX($E404:$G404,K$5)-SUMIFS(TF_Timer,TF_Tekniker,K$4,TF_Dato,$A404))*2,0)/2)))</f>
        <v/>
      </c>
      <c r="L404">
        <f>IF(OR(L$4="",$A404&gt;TODAY()),0,IF(OR(INDEX($B404:$D404,L$5)="F",AND(L$6&gt;0,$A404&lt;L$6),AND(L$7&gt;0,$A404&gt;L$7)),0,MAX(0,ROUND((INDEX($E404:$G404,L$5)-SUMIFS(TF_Timer,TF_Tekniker,L$4,TF_Dato,$A404))*2,0)/2)))</f>
        <v/>
      </c>
      <c r="M404">
        <f>IF(OR(M$4="",$A404&gt;TODAY()),0,IF(OR(INDEX($B404:$D404,M$5)="F",AND(M$6&gt;0,$A404&lt;M$6),AND(M$7&gt;0,$A404&gt;M$7)),0,MAX(0,ROUND((INDEX($E404:$G404,M$5)-SUMIFS(TF_Timer,TF_Tekniker,M$4,TF_Dato,$A404))*2,0)/2)))</f>
        <v/>
      </c>
      <c r="N404">
        <f>IF(OR(N$4="",$A404&gt;TODAY()),0,IF(OR(INDEX($B404:$D404,N$5)="F",AND(N$6&gt;0,$A404&lt;N$6),AND(N$7&gt;0,$A404&gt;N$7)),0,MAX(0,ROUND((INDEX($E404:$G404,N$5)-SUMIFS(TF_Timer,TF_Tekniker,N$4,TF_Dato,$A404))*2,0)/2)))</f>
        <v/>
      </c>
      <c r="O404">
        <f>IF(OR(O$4="",$A404&gt;TODAY()),0,IF(OR(INDEX($B404:$D404,O$5)="F",AND(O$6&gt;0,$A404&lt;O$6),AND(O$7&gt;0,$A404&gt;O$7)),0,MAX(0,ROUND((INDEX($E404:$G404,O$5)-SUMIFS(TF_Timer,TF_Tekniker,O$4,TF_Dato,$A404))*2,0)/2)))</f>
        <v/>
      </c>
      <c r="P404">
        <f>IF(OR(P$4="",$A404&gt;TODAY()),0,IF(OR(INDEX($B404:$D404,P$5)="F",AND(P$6&gt;0,$A404&lt;P$6),AND(P$7&gt;0,$A404&gt;P$7)),0,MAX(0,ROUND((INDEX($E404:$G404,P$5)-SUMIFS(TF_Timer,TF_Tekniker,P$4,TF_Dato,$A404))*2,0)/2)))</f>
        <v/>
      </c>
      <c r="Q404">
        <f>IF(OR(Q$4="",$A404&gt;TODAY()),0,IF(OR(INDEX($B404:$D404,Q$5)="F",AND(Q$6&gt;0,$A404&lt;Q$6),AND(Q$7&gt;0,$A404&gt;Q$7)),0,MAX(0,ROUND((INDEX($E404:$G404,Q$5)-SUMIFS(TF_Timer,TF_Tekniker,Q$4,TF_Dato,$A404))*2,0)/2)))</f>
        <v/>
      </c>
      <c r="R404">
        <f>IF(OR(R$4="",$A404&gt;TODAY()),0,IF(OR(INDEX($B404:$D404,R$5)="F",AND(R$6&gt;0,$A404&lt;R$6),AND(R$7&gt;0,$A404&gt;R$7)),0,MAX(0,ROUND((INDEX($E404:$G404,R$5)-SUMIFS(TF_Timer,TF_Tekniker,R$4,TF_Dato,$A404))*2,0)/2)))</f>
        <v/>
      </c>
      <c r="S404">
        <f>IF(OR(S$4="",$A404&gt;TODAY()),0,IF(OR(INDEX($B404:$D404,S$5)="F",AND(S$6&gt;0,$A404&lt;S$6),AND(S$7&gt;0,$A404&gt;S$7)),0,MAX(0,ROUND((INDEX($E404:$G404,S$5)-SUMIFS(TF_Timer,TF_Tekniker,S$4,TF_Dato,$A404))*2,0)/2)))</f>
        <v/>
      </c>
      <c r="T404">
        <f>IF(OR(T$4="",$A404&gt;TODAY()),0,IF(OR(INDEX($B404:$D404,T$5)="F",AND(T$6&gt;0,$A404&lt;T$6),AND(T$7&gt;0,$A404&gt;T$7)),0,MAX(0,ROUND((INDEX($E404:$G404,T$5)-SUMIFS(TF_Timer,TF_Tekniker,T$4,TF_Dato,$A404))*2,0)/2)))</f>
        <v/>
      </c>
      <c r="U404">
        <f>IF(OR(U$4="",$A404&gt;TODAY()),0,IF(OR(INDEX($B404:$D404,U$5)="F",AND(U$6&gt;0,$A404&lt;U$6),AND(U$7&gt;0,$A404&gt;U$7)),0,MAX(0,ROUND((INDEX($E404:$G404,U$5)-SUMIFS(TF_Timer,TF_Tekniker,U$4,TF_Dato,$A404))*2,0)/2)))</f>
        <v/>
      </c>
      <c r="V404">
        <f>IF(OR(V$4="",$A404&gt;TODAY()),0,IF(OR(INDEX($B404:$D404,V$5)="F",AND(V$6&gt;0,$A404&lt;V$6),AND(V$7&gt;0,$A404&gt;V$7)),0,MAX(0,ROUND((INDEX($E404:$G404,V$5)-SUMIFS(TF_Timer,TF_Tekniker,V$4,TF_Dato,$A404))*2,0)/2)))</f>
        <v/>
      </c>
      <c r="W404">
        <f>IF(OR(W$4="",$A404&gt;TODAY()),0,IF(OR(INDEX($B404:$D404,W$5)="F",AND(W$6&gt;0,$A404&lt;W$6),AND(W$7&gt;0,$A404&gt;W$7)),0,MAX(0,ROUND((INDEX($E404:$G404,W$5)-SUMIFS(TF_Timer,TF_Tekniker,W$4,TF_Dato,$A404))*2,0)/2)))</f>
        <v/>
      </c>
      <c r="X404">
        <f>IF(OR(X$4="",$A404&gt;TODAY()),0,IF(OR(INDEX($B404:$D404,X$5)="F",AND(X$6&gt;0,$A404&lt;X$6),AND(X$7&gt;0,$A404&gt;X$7)),0,MAX(0,ROUND((INDEX($E404:$G404,X$5)-SUMIFS(TF_Timer,TF_Tekniker,X$4,TF_Dato,$A404))*2,0)/2)))</f>
        <v/>
      </c>
      <c r="Y404">
        <f>IF(OR(Y$4="",$A404&gt;TODAY()),0,IF(OR(INDEX($B404:$D404,Y$5)="F",AND(Y$6&gt;0,$A404&lt;Y$6),AND(Y$7&gt;0,$A404&gt;Y$7)),0,MAX(0,ROUND((INDEX($E404:$G404,Y$5)-SUMIFS(TF_Timer,TF_Tekniker,Y$4,TF_Dato,$A404))*2,0)/2)))</f>
        <v/>
      </c>
      <c r="Z404">
        <f>IF(OR(Z$4="",$A404&gt;TODAY()),0,IF(OR(INDEX($B404:$D404,Z$5)="F",AND(Z$6&gt;0,$A404&lt;Z$6),AND(Z$7&gt;0,$A404&gt;Z$7)),0,MAX(0,ROUND((INDEX($E404:$G404,Z$5)-SUMIFS(TF_Timer,TF_Tekniker,Z$4,TF_Dato,$A404))*2,0)/2)))</f>
        <v/>
      </c>
      <c r="AA404">
        <f>IF(OR(AA$4="",$A404&gt;TODAY()),0,IF(OR(INDEX($B404:$D404,AA$5)="F",AND(AA$6&gt;0,$A404&lt;AA$6),AND(AA$7&gt;0,$A404&gt;AA$7)),0,MAX(0,ROUND((INDEX($E404:$G404,AA$5)-SUMIFS(TF_Timer,TF_Tekniker,AA$4,TF_Dato,$A404))*2,0)/2)))</f>
        <v/>
      </c>
      <c r="AB404">
        <f>IF(OR(AB$4="",$A404&gt;TODAY()),0,IF(OR(INDEX($B404:$D404,AB$5)="F",AND(AB$6&gt;0,$A404&lt;AB$6),AND(AB$7&gt;0,$A404&gt;AB$7)),0,MAX(0,ROUND((INDEX($E404:$G404,AB$5)-SUMIFS(TF_Timer,TF_Tekniker,AB$4,TF_Dato,$A404))*2,0)/2)))</f>
        <v/>
      </c>
      <c r="AC404">
        <f>IF(OR(AC$4="",$A404&gt;TODAY()),0,IF(OR(INDEX($B404:$D404,AC$5)="F",AND(AC$6&gt;0,$A404&lt;AC$6),AND(AC$7&gt;0,$A404&gt;AC$7)),0,MAX(0,ROUND((INDEX($E404:$G404,AC$5)-SUMIFS(TF_Timer,TF_Tekniker,AC$4,TF_Dato,$A404))*2,0)/2)))</f>
        <v/>
      </c>
      <c r="AD404">
        <f>IF(OR(AD$4="",$A404&gt;TODAY()),0,IF(OR(INDEX($B404:$D404,AD$5)="F",AND(AD$6&gt;0,$A404&lt;AD$6),AND(AD$7&gt;0,$A404&gt;AD$7)),0,MAX(0,ROUND((INDEX($E404:$G404,AD$5)-SUMIFS(TF_Timer,TF_Tekniker,AD$4,TF_Dato,$A404))*2,0)/2)))</f>
        <v/>
      </c>
      <c r="AE404">
        <f>IF(OR(AE$4="",$A404&gt;TODAY()),0,IF(OR(INDEX($B404:$D404,AE$5)="F",AND(AE$6&gt;0,$A404&lt;AE$6),AND(AE$7&gt;0,$A404&gt;AE$7)),0,MAX(0,ROUND((INDEX($E404:$G404,AE$5)-SUMIFS(TF_Timer,TF_Tekniker,AE$4,TF_Dato,$A404))*2,0)/2)))</f>
        <v/>
      </c>
      <c r="AF404">
        <f>IF(OR(AF$4="",$A404&gt;TODAY()),0,IF(OR(INDEX($B404:$D404,AF$5)="F",AND(AF$6&gt;0,$A404&lt;AF$6),AND(AF$7&gt;0,$A404&gt;AF$7)),0,MAX(0,ROUND((INDEX($E404:$G404,AF$5)-SUMIFS(TF_Timer,TF_Tekniker,AF$4,TF_Dato,$A404))*2,0)/2)))</f>
        <v/>
      </c>
      <c r="AG404">
        <f>IF(OR(AG$4="",$A404&gt;TODAY()),0,IF(OR(INDEX($B404:$D404,AG$5)="F",AND(AG$6&gt;0,$A404&lt;AG$6),AND(AG$7&gt;0,$A404&gt;AG$7)),0,MAX(0,ROUND((INDEX($E404:$G404,AG$5)-SUMIFS(TF_Timer,TF_Tekniker,AG$4,TF_Dato,$A404))*2,0)/2)))</f>
        <v/>
      </c>
      <c r="AH404">
        <f>IF(OR(AH$4="",$A404&gt;TODAY()),0,IF(OR(INDEX($B404:$D404,AH$5)="F",AND(AH$6&gt;0,$A404&lt;AH$6),AND(AH$7&gt;0,$A404&gt;AH$7)),0,MAX(0,ROUND((INDEX($E404:$G404,AH$5)-SUMIFS(TF_Timer,TF_Tekniker,AH$4,TF_Dato,$A404))*2,0)/2)))</f>
        <v/>
      </c>
      <c r="AI404">
        <f>IF(OR(AI$4="",$A404&gt;TODAY()),0,IF(OR(INDEX($B404:$D404,AI$5)="F",AND(AI$6&gt;0,$A404&lt;AI$6),AND(AI$7&gt;0,$A404&gt;AI$7)),0,MAX(0,ROUND((INDEX($E404:$G404,AI$5)-SUMIFS(TF_Timer,TF_Tekniker,AI$4,TF_Dato,$A404))*2,0)/2)))</f>
        <v/>
      </c>
      <c r="AJ404">
        <f>IF(OR(AJ$4="",$A404&gt;TODAY()),0,IF(OR(INDEX($B404:$D404,AJ$5)="F",AND(AJ$6&gt;0,$A404&lt;AJ$6),AND(AJ$7&gt;0,$A404&gt;AJ$7)),0,MAX(0,ROUND((INDEX($E404:$G404,AJ$5)-SUMIFS(TF_Timer,TF_Tekniker,AJ$4,TF_Dato,$A404))*2,0)/2)))</f>
        <v/>
      </c>
      <c r="AK404">
        <f>IF(OR(AK$4="",$A404&gt;TODAY()),0,IF(OR(INDEX($B404:$D404,AK$5)="F",AND(AK$6&gt;0,$A404&lt;AK$6),AND(AK$7&gt;0,$A404&gt;AK$7)),0,MAX(0,ROUND((INDEX($E404:$G404,AK$5)-SUMIFS(TF_Timer,TF_Tekniker,AK$4,TF_Dato,$A404))*2,0)/2)))</f>
        <v/>
      </c>
      <c r="AL404">
        <f>IF(OR(AL$4="",$A404&gt;TODAY()),0,IF(OR(INDEX($B404:$D404,AL$5)="F",AND(AL$6&gt;0,$A404&lt;AL$6),AND(AL$7&gt;0,$A404&gt;AL$7)),0,MAX(0,ROUND((INDEX($E404:$G404,AL$5)-SUMIFS(TF_Timer,TF_Tekniker,AL$4,TF_Dato,$A404))*2,0)/2)))</f>
        <v/>
      </c>
      <c r="AM404">
        <f>IF(OR(AM$4="",$A404&gt;TODAY()),0,IF(OR(INDEX($B404:$D404,AM$5)="F",AND(AM$6&gt;0,$A404&lt;AM$6),AND(AM$7&gt;0,$A404&gt;AM$7)),0,MAX(0,ROUND((INDEX($E404:$G404,AM$5)-SUMIFS(TF_Timer,TF_Tekniker,AM$4,TF_Dato,$A404))*2,0)/2)))</f>
        <v/>
      </c>
      <c r="AN404">
        <f>IF(OR(AN$4="",$A404&gt;TODAY()),0,IF(OR(INDEX($B404:$D404,AN$5)="F",AND(AN$6&gt;0,$A404&lt;AN$6),AND(AN$7&gt;0,$A404&gt;AN$7)),0,MAX(0,ROUND((INDEX($E404:$G404,AN$5)-SUMIFS(TF_Timer,TF_Tekniker,AN$4,TF_Dato,$A404))*2,0)/2)))</f>
        <v/>
      </c>
      <c r="AO404">
        <f>IF(OR(AO$4="",$A404&gt;TODAY()),0,IF(OR(INDEX($B404:$D404,AO$5)="F",AND(AO$6&gt;0,$A404&lt;AO$6),AND(AO$7&gt;0,$A404&gt;AO$7)),0,MAX(0,ROUND((INDEX($E404:$G404,AO$5)-SUMIFS(TF_Timer,TF_Tekniker,AO$4,TF_Dato,$A404))*2,0)/2)))</f>
        <v/>
      </c>
      <c r="AP404">
        <f>IF(OR(AP$4="",$A404&gt;TODAY()),0,IF(OR(INDEX($B404:$D404,AP$5)="F",AND(AP$6&gt;0,$A404&lt;AP$6),AND(AP$7&gt;0,$A404&gt;AP$7)),0,MAX(0,ROUND((INDEX($E404:$G404,AP$5)-SUMIFS(TF_Timer,TF_Tekniker,AP$4,TF_Dato,$A404))*2,0)/2)))</f>
        <v/>
      </c>
      <c r="AQ404">
        <f>IF(OR(AQ$4="",$A404&gt;TODAY()),0,IF(OR(INDEX($B404:$D404,AQ$5)="F",AND(AQ$6&gt;0,$A404&lt;AQ$6),AND(AQ$7&gt;0,$A404&gt;AQ$7)),0,MAX(0,ROUND((INDEX($E404:$G404,AQ$5)-SUMIFS(TF_Timer,TF_Tekniker,AQ$4,TF_Dato,$A404))*2,0)/2)))</f>
        <v/>
      </c>
      <c r="AR404">
        <f>IF(OR(AR$4="",$A404&gt;TODAY()),0,IF(OR(INDEX($B404:$D404,AR$5)="F",AND(AR$6&gt;0,$A404&lt;AR$6),AND(AR$7&gt;0,$A404&gt;AR$7)),0,MAX(0,ROUND((INDEX($E404:$G404,AR$5)-SUMIFS(TF_Timer,TF_Tekniker,AR$4,TF_Dato,$A404))*2,0)/2)))</f>
        <v/>
      </c>
      <c r="AS404">
        <f>IF(OR(AS$4="",$A404&gt;TODAY()),0,IF(OR(INDEX($B404:$D404,AS$5)="F",AND(AS$6&gt;0,$A404&lt;AS$6),AND(AS$7&gt;0,$A404&gt;AS$7)),0,MAX(0,ROUND((INDEX($E404:$G404,AS$5)-SUMIFS(TF_Timer,TF_Tekniker,AS$4,TF_Dato,$A404))*2,0)/2)))</f>
        <v/>
      </c>
      <c r="AT404">
        <f>IF(OR(AT$4="",$A404&gt;TODAY()),0,IF(OR(INDEX($B404:$D404,AT$5)="F",AND(AT$6&gt;0,$A404&lt;AT$6),AND(AT$7&gt;0,$A404&gt;AT$7)),0,MAX(0,ROUND((INDEX($E404:$G404,AT$5)-SUMIFS(TF_Timer,TF_Tekniker,AT$4,TF_Dato,$A404))*2,0)/2)))</f>
        <v/>
      </c>
      <c r="AU404">
        <f>IF(OR(AU$4="",$A404&gt;TODAY()),0,IF(OR(INDEX($B404:$D404,AU$5)="F",AND(AU$6&gt;0,$A404&lt;AU$6),AND(AU$7&gt;0,$A404&gt;AU$7)),0,MAX(0,ROUND((INDEX($E404:$G404,AU$5)-SUMIFS(TF_Timer,TF_Tekniker,AU$4,TF_Dato,$A404))*2,0)/2)))</f>
        <v/>
      </c>
      <c r="AV404">
        <f>IF(OR(AV$4="",$A404&gt;TODAY()),0,IF(OR(INDEX($B404:$D404,AV$5)="F",AND(AV$6&gt;0,$A404&lt;AV$6),AND(AV$7&gt;0,$A404&gt;AV$7)),0,MAX(0,ROUND((INDEX($E404:$G404,AV$5)-SUMIFS(TF_Timer,TF_Tekniker,AV$4,TF_Dato,$A404))*2,0)/2)))</f>
        <v/>
      </c>
      <c r="AW404">
        <f>IF(OR(AW$4="",$A404&gt;TODAY()),0,IF(OR(INDEX($B404:$D404,AW$5)="F",AND(AW$6&gt;0,$A404&lt;AW$6),AND(AW$7&gt;0,$A404&gt;AW$7)),0,MAX(0,ROUND((INDEX($E404:$G404,AW$5)-SUMIFS(TF_Timer,TF_Tekniker,AW$4,TF_Dato,$A404))*2,0)/2)))</f>
        <v/>
      </c>
      <c r="AX404">
        <f>IF(OR(AX$4="",$A404&gt;TODAY()),0,IF(OR(INDEX($B404:$D404,AX$5)="F",AND(AX$6&gt;0,$A404&lt;AX$6),AND(AX$7&gt;0,$A404&gt;AX$7)),0,MAX(0,ROUND((INDEX($E404:$G404,AX$5)-SUMIFS(TF_Timer,TF_Tekniker,AX$4,TF_Dato,$A404))*2,0)/2)))</f>
        <v/>
      </c>
      <c r="AY404">
        <f>IF(OR(AY$4="",$A404&gt;TODAY()),0,IF(OR(INDEX($B404:$D404,AY$5)="F",AND(AY$6&gt;0,$A404&lt;AY$6),AND(AY$7&gt;0,$A404&gt;AY$7)),0,MAX(0,ROUND((INDEX($E404:$G404,AY$5)-SUMIFS(TF_Timer,TF_Tekniker,AY$4,TF_Dato,$A404))*2,0)/2)))</f>
        <v/>
      </c>
      <c r="AZ404">
        <f>IF(OR(AZ$4="",$A404&gt;TODAY()),0,IF(OR(INDEX($B404:$D404,AZ$5)="F",AND(AZ$6&gt;0,$A404&lt;AZ$6),AND(AZ$7&gt;0,$A404&gt;AZ$7)),0,MAX(0,ROUND((INDEX($E404:$G404,AZ$5)-SUMIFS(TF_Timer,TF_Tekniker,AZ$4,TF_Dato,$A404))*2,0)/2)))</f>
        <v/>
      </c>
      <c r="BA404">
        <f>IF(OR(BA$4="",$A404&gt;TODAY()),0,IF(OR(INDEX($B404:$D404,BA$5)="F",AND(BA$6&gt;0,$A404&lt;BA$6),AND(BA$7&gt;0,$A404&gt;BA$7)),0,MAX(0,ROUND((INDEX($E404:$G404,BA$5)-SUMIFS(TF_Timer,TF_Tekniker,BA$4,TF_Dato,$A404))*2,0)/2)))</f>
        <v/>
      </c>
      <c r="BB404">
        <f>IF(OR(BB$4="",$A404&gt;TODAY()),0,IF(OR(INDEX($B404:$D404,BB$5)="F",AND(BB$6&gt;0,$A404&lt;BB$6),AND(BB$7&gt;0,$A404&gt;BB$7)),0,MAX(0,ROUND((INDEX($E404:$G404,BB$5)-SUMIFS(TF_Timer,TF_Tekniker,BB$4,TF_Dato,$A404))*2,0)/2)))</f>
        <v/>
      </c>
      <c r="BC404">
        <f>IF(OR(BC$4="",$A404&gt;TODAY()),0,IF(OR(INDEX($B404:$D404,BC$5)="F",AND(BC$6&gt;0,$A404&lt;BC$6),AND(BC$7&gt;0,$A404&gt;BC$7)),0,MAX(0,ROUND((INDEX($E404:$G404,BC$5)-SUMIFS(TF_Timer,TF_Tekniker,BC$4,TF_Dato,$A404))*2,0)/2)))</f>
        <v/>
      </c>
      <c r="BD404">
        <f>IF(OR(BD$4="",$A404&gt;TODAY()),0,IF(OR(INDEX($B404:$D404,BD$5)="F",AND(BD$6&gt;0,$A404&lt;BD$6),AND(BD$7&gt;0,$A404&gt;BD$7)),0,MAX(0,ROUND((INDEX($E404:$G404,BD$5)-SUMIFS(TF_Timer,TF_Tekniker,BD$4,TF_Dato,$A404))*2,0)/2)))</f>
        <v/>
      </c>
      <c r="BE404">
        <f>IF(OR(BE$4="",$A404&gt;TODAY()),0,IF(OR(INDEX($B404:$D404,BE$5)="F",AND(BE$6&gt;0,$A404&lt;BE$6),AND(BE$7&gt;0,$A404&gt;BE$7)),0,MAX(0,ROUND((INDEX($E404:$G404,BE$5)-SUMIFS(TF_Timer,TF_Tekniker,BE$4,TF_Dato,$A404))*2,0)/2)))</f>
        <v/>
      </c>
      <c r="BF404">
        <f>IF(OR(BF$4="",$A404&gt;TODAY()),0,IF(OR(INDEX($B404:$D404,BF$5)="F",AND(BF$6&gt;0,$A404&lt;BF$6),AND(BF$7&gt;0,$A404&gt;BF$7)),0,MAX(0,ROUND((INDEX($E404:$G404,BF$5)-SUMIFS(TF_Timer,TF_Tekniker,BF$4,TF_Dato,$A404))*2,0)/2)))</f>
        <v/>
      </c>
      <c r="BG404">
        <f>IF(OR(BG$4="",$A404&gt;TODAY()),0,IF(OR(INDEX($B404:$D404,BG$5)="F",AND(BG$6&gt;0,$A404&lt;BG$6),AND(BG$7&gt;0,$A404&gt;BG$7)),0,MAX(0,ROUND((INDEX($E404:$G404,BG$5)-SUMIFS(TF_Timer,TF_Tekniker,BG$4,TF_Dato,$A404))*2,0)/2)))</f>
        <v/>
      </c>
      <c r="BH404">
        <f>IF(OR(BH$4="",$A404&gt;TODAY()),0,IF(OR(INDEX($B404:$D404,BH$5)="F",AND(BH$6&gt;0,$A404&lt;BH$6),AND(BH$7&gt;0,$A404&gt;BH$7)),0,MAX(0,ROUND((INDEX($E404:$G404,BH$5)-SUMIFS(TF_Timer,TF_Tekniker,BH$4,TF_Dato,$A404))*2,0)/2)))</f>
        <v/>
      </c>
      <c r="BI404">
        <f>IF(OR(BI$4="",$A404&gt;TODAY()),0,IF(OR(INDEX($B404:$D404,BI$5)="F",AND(BI$6&gt;0,$A404&lt;BI$6),AND(BI$7&gt;0,$A404&gt;BI$7)),0,MAX(0,ROUND((INDEX($E404:$G404,BI$5)-SUMIFS(TF_Timer,TF_Tekniker,BI$4,TF_Dato,$A404))*2,0)/2)))</f>
        <v/>
      </c>
    </row>
    <row r="405">
      <c r="A405" s="64">
        <f>A404+1</f>
        <v/>
      </c>
      <c r="B405">
        <f>IF(MOD($A405-INDEX(SkiftStart,1),Syklus)&lt;DagK,"K",IF(MOD($A405-INDEX(SkiftStart,1),Syklus)&lt;DagK+DagH,"H",IF(MOD($A405-INDEX(SkiftStart,1),Syklus)&lt;DagK+DagH+DagD,"D","F")))</f>
        <v/>
      </c>
      <c r="C405">
        <f>IF(MOD($A405-INDEX(SkiftStart,2),Syklus)&lt;DagK,"K",IF(MOD($A405-INDEX(SkiftStart,2),Syklus)&lt;DagK+DagH,"H",IF(MOD($A405-INDEX(SkiftStart,2),Syklus)&lt;DagK+DagH+DagD,"D","F")))</f>
        <v/>
      </c>
      <c r="D405">
        <f>IF(MOD($A405-INDEX(SkiftStart,3),Syklus)&lt;DagK,"K",IF(MOD($A405-INDEX(SkiftStart,3),Syklus)&lt;DagK+DagH,"H",IF(MOD($A405-INDEX(SkiftStart,3),Syklus)&lt;DagK+DagH+DagD,"D","F")))</f>
        <v/>
      </c>
      <c r="E405">
        <f>IF(B405="F",0,IF(WEEKDAY($A405,2)=5,INDEX(TimerFr,MATCH(B405,FaseKode,0)),INDEX(TimerMT,MATCH(B405,FaseKode,0))))</f>
        <v/>
      </c>
      <c r="F405">
        <f>IF(C405="F",0,IF(WEEKDAY($A405,2)=5,INDEX(TimerFr,MATCH(C405,FaseKode,0)),INDEX(TimerMT,MATCH(C405,FaseKode,0))))</f>
        <v/>
      </c>
      <c r="G405">
        <f>IF(D405="F",0,IF(WEEKDAY($A405,2)=5,INDEX(TimerFr,MATCH(D405,FaseKode,0)),INDEX(TimerMT,MATCH(D405,FaseKode,0))))</f>
        <v/>
      </c>
      <c r="H405">
        <f>IF(OR(H$4="",$A405&gt;TODAY()),0,IF(OR(INDEX($B405:$D405,H$5)="F",AND(H$6&gt;0,$A405&lt;H$6),AND(H$7&gt;0,$A405&gt;H$7)),0,MAX(0,ROUND((INDEX($E405:$G405,H$5)-SUMIFS(TF_Timer,TF_Tekniker,H$4,TF_Dato,$A405))*2,0)/2)))</f>
        <v/>
      </c>
      <c r="I405">
        <f>IF(OR(I$4="",$A405&gt;TODAY()),0,IF(OR(INDEX($B405:$D405,I$5)="F",AND(I$6&gt;0,$A405&lt;I$6),AND(I$7&gt;0,$A405&gt;I$7)),0,MAX(0,ROUND((INDEX($E405:$G405,I$5)-SUMIFS(TF_Timer,TF_Tekniker,I$4,TF_Dato,$A405))*2,0)/2)))</f>
        <v/>
      </c>
      <c r="J405">
        <f>IF(OR(J$4="",$A405&gt;TODAY()),0,IF(OR(INDEX($B405:$D405,J$5)="F",AND(J$6&gt;0,$A405&lt;J$6),AND(J$7&gt;0,$A405&gt;J$7)),0,MAX(0,ROUND((INDEX($E405:$G405,J$5)-SUMIFS(TF_Timer,TF_Tekniker,J$4,TF_Dato,$A405))*2,0)/2)))</f>
        <v/>
      </c>
      <c r="K405">
        <f>IF(OR(K$4="",$A405&gt;TODAY()),0,IF(OR(INDEX($B405:$D405,K$5)="F",AND(K$6&gt;0,$A405&lt;K$6),AND(K$7&gt;0,$A405&gt;K$7)),0,MAX(0,ROUND((INDEX($E405:$G405,K$5)-SUMIFS(TF_Timer,TF_Tekniker,K$4,TF_Dato,$A405))*2,0)/2)))</f>
        <v/>
      </c>
      <c r="L405">
        <f>IF(OR(L$4="",$A405&gt;TODAY()),0,IF(OR(INDEX($B405:$D405,L$5)="F",AND(L$6&gt;0,$A405&lt;L$6),AND(L$7&gt;0,$A405&gt;L$7)),0,MAX(0,ROUND((INDEX($E405:$G405,L$5)-SUMIFS(TF_Timer,TF_Tekniker,L$4,TF_Dato,$A405))*2,0)/2)))</f>
        <v/>
      </c>
      <c r="M405">
        <f>IF(OR(M$4="",$A405&gt;TODAY()),0,IF(OR(INDEX($B405:$D405,M$5)="F",AND(M$6&gt;0,$A405&lt;M$6),AND(M$7&gt;0,$A405&gt;M$7)),0,MAX(0,ROUND((INDEX($E405:$G405,M$5)-SUMIFS(TF_Timer,TF_Tekniker,M$4,TF_Dato,$A405))*2,0)/2)))</f>
        <v/>
      </c>
      <c r="N405">
        <f>IF(OR(N$4="",$A405&gt;TODAY()),0,IF(OR(INDEX($B405:$D405,N$5)="F",AND(N$6&gt;0,$A405&lt;N$6),AND(N$7&gt;0,$A405&gt;N$7)),0,MAX(0,ROUND((INDEX($E405:$G405,N$5)-SUMIFS(TF_Timer,TF_Tekniker,N$4,TF_Dato,$A405))*2,0)/2)))</f>
        <v/>
      </c>
      <c r="O405">
        <f>IF(OR(O$4="",$A405&gt;TODAY()),0,IF(OR(INDEX($B405:$D405,O$5)="F",AND(O$6&gt;0,$A405&lt;O$6),AND(O$7&gt;0,$A405&gt;O$7)),0,MAX(0,ROUND((INDEX($E405:$G405,O$5)-SUMIFS(TF_Timer,TF_Tekniker,O$4,TF_Dato,$A405))*2,0)/2)))</f>
        <v/>
      </c>
      <c r="P405">
        <f>IF(OR(P$4="",$A405&gt;TODAY()),0,IF(OR(INDEX($B405:$D405,P$5)="F",AND(P$6&gt;0,$A405&lt;P$6),AND(P$7&gt;0,$A405&gt;P$7)),0,MAX(0,ROUND((INDEX($E405:$G405,P$5)-SUMIFS(TF_Timer,TF_Tekniker,P$4,TF_Dato,$A405))*2,0)/2)))</f>
        <v/>
      </c>
      <c r="Q405">
        <f>IF(OR(Q$4="",$A405&gt;TODAY()),0,IF(OR(INDEX($B405:$D405,Q$5)="F",AND(Q$6&gt;0,$A405&lt;Q$6),AND(Q$7&gt;0,$A405&gt;Q$7)),0,MAX(0,ROUND((INDEX($E405:$G405,Q$5)-SUMIFS(TF_Timer,TF_Tekniker,Q$4,TF_Dato,$A405))*2,0)/2)))</f>
        <v/>
      </c>
      <c r="R405">
        <f>IF(OR(R$4="",$A405&gt;TODAY()),0,IF(OR(INDEX($B405:$D405,R$5)="F",AND(R$6&gt;0,$A405&lt;R$6),AND(R$7&gt;0,$A405&gt;R$7)),0,MAX(0,ROUND((INDEX($E405:$G405,R$5)-SUMIFS(TF_Timer,TF_Tekniker,R$4,TF_Dato,$A405))*2,0)/2)))</f>
        <v/>
      </c>
      <c r="S405">
        <f>IF(OR(S$4="",$A405&gt;TODAY()),0,IF(OR(INDEX($B405:$D405,S$5)="F",AND(S$6&gt;0,$A405&lt;S$6),AND(S$7&gt;0,$A405&gt;S$7)),0,MAX(0,ROUND((INDEX($E405:$G405,S$5)-SUMIFS(TF_Timer,TF_Tekniker,S$4,TF_Dato,$A405))*2,0)/2)))</f>
        <v/>
      </c>
      <c r="T405">
        <f>IF(OR(T$4="",$A405&gt;TODAY()),0,IF(OR(INDEX($B405:$D405,T$5)="F",AND(T$6&gt;0,$A405&lt;T$6),AND(T$7&gt;0,$A405&gt;T$7)),0,MAX(0,ROUND((INDEX($E405:$G405,T$5)-SUMIFS(TF_Timer,TF_Tekniker,T$4,TF_Dato,$A405))*2,0)/2)))</f>
        <v/>
      </c>
      <c r="U405">
        <f>IF(OR(U$4="",$A405&gt;TODAY()),0,IF(OR(INDEX($B405:$D405,U$5)="F",AND(U$6&gt;0,$A405&lt;U$6),AND(U$7&gt;0,$A405&gt;U$7)),0,MAX(0,ROUND((INDEX($E405:$G405,U$5)-SUMIFS(TF_Timer,TF_Tekniker,U$4,TF_Dato,$A405))*2,0)/2)))</f>
        <v/>
      </c>
      <c r="V405">
        <f>IF(OR(V$4="",$A405&gt;TODAY()),0,IF(OR(INDEX($B405:$D405,V$5)="F",AND(V$6&gt;0,$A405&lt;V$6),AND(V$7&gt;0,$A405&gt;V$7)),0,MAX(0,ROUND((INDEX($E405:$G405,V$5)-SUMIFS(TF_Timer,TF_Tekniker,V$4,TF_Dato,$A405))*2,0)/2)))</f>
        <v/>
      </c>
      <c r="W405">
        <f>IF(OR(W$4="",$A405&gt;TODAY()),0,IF(OR(INDEX($B405:$D405,W$5)="F",AND(W$6&gt;0,$A405&lt;W$6),AND(W$7&gt;0,$A405&gt;W$7)),0,MAX(0,ROUND((INDEX($E405:$G405,W$5)-SUMIFS(TF_Timer,TF_Tekniker,W$4,TF_Dato,$A405))*2,0)/2)))</f>
        <v/>
      </c>
      <c r="X405">
        <f>IF(OR(X$4="",$A405&gt;TODAY()),0,IF(OR(INDEX($B405:$D405,X$5)="F",AND(X$6&gt;0,$A405&lt;X$6),AND(X$7&gt;0,$A405&gt;X$7)),0,MAX(0,ROUND((INDEX($E405:$G405,X$5)-SUMIFS(TF_Timer,TF_Tekniker,X$4,TF_Dato,$A405))*2,0)/2)))</f>
        <v/>
      </c>
      <c r="Y405">
        <f>IF(OR(Y$4="",$A405&gt;TODAY()),0,IF(OR(INDEX($B405:$D405,Y$5)="F",AND(Y$6&gt;0,$A405&lt;Y$6),AND(Y$7&gt;0,$A405&gt;Y$7)),0,MAX(0,ROUND((INDEX($E405:$G405,Y$5)-SUMIFS(TF_Timer,TF_Tekniker,Y$4,TF_Dato,$A405))*2,0)/2)))</f>
        <v/>
      </c>
      <c r="Z405">
        <f>IF(OR(Z$4="",$A405&gt;TODAY()),0,IF(OR(INDEX($B405:$D405,Z$5)="F",AND(Z$6&gt;0,$A405&lt;Z$6),AND(Z$7&gt;0,$A405&gt;Z$7)),0,MAX(0,ROUND((INDEX($E405:$G405,Z$5)-SUMIFS(TF_Timer,TF_Tekniker,Z$4,TF_Dato,$A405))*2,0)/2)))</f>
        <v/>
      </c>
      <c r="AA405">
        <f>IF(OR(AA$4="",$A405&gt;TODAY()),0,IF(OR(INDEX($B405:$D405,AA$5)="F",AND(AA$6&gt;0,$A405&lt;AA$6),AND(AA$7&gt;0,$A405&gt;AA$7)),0,MAX(0,ROUND((INDEX($E405:$G405,AA$5)-SUMIFS(TF_Timer,TF_Tekniker,AA$4,TF_Dato,$A405))*2,0)/2)))</f>
        <v/>
      </c>
      <c r="AB405">
        <f>IF(OR(AB$4="",$A405&gt;TODAY()),0,IF(OR(INDEX($B405:$D405,AB$5)="F",AND(AB$6&gt;0,$A405&lt;AB$6),AND(AB$7&gt;0,$A405&gt;AB$7)),0,MAX(0,ROUND((INDEX($E405:$G405,AB$5)-SUMIFS(TF_Timer,TF_Tekniker,AB$4,TF_Dato,$A405))*2,0)/2)))</f>
        <v/>
      </c>
      <c r="AC405">
        <f>IF(OR(AC$4="",$A405&gt;TODAY()),0,IF(OR(INDEX($B405:$D405,AC$5)="F",AND(AC$6&gt;0,$A405&lt;AC$6),AND(AC$7&gt;0,$A405&gt;AC$7)),0,MAX(0,ROUND((INDEX($E405:$G405,AC$5)-SUMIFS(TF_Timer,TF_Tekniker,AC$4,TF_Dato,$A405))*2,0)/2)))</f>
        <v/>
      </c>
      <c r="AD405">
        <f>IF(OR(AD$4="",$A405&gt;TODAY()),0,IF(OR(INDEX($B405:$D405,AD$5)="F",AND(AD$6&gt;0,$A405&lt;AD$6),AND(AD$7&gt;0,$A405&gt;AD$7)),0,MAX(0,ROUND((INDEX($E405:$G405,AD$5)-SUMIFS(TF_Timer,TF_Tekniker,AD$4,TF_Dato,$A405))*2,0)/2)))</f>
        <v/>
      </c>
      <c r="AE405">
        <f>IF(OR(AE$4="",$A405&gt;TODAY()),0,IF(OR(INDEX($B405:$D405,AE$5)="F",AND(AE$6&gt;0,$A405&lt;AE$6),AND(AE$7&gt;0,$A405&gt;AE$7)),0,MAX(0,ROUND((INDEX($E405:$G405,AE$5)-SUMIFS(TF_Timer,TF_Tekniker,AE$4,TF_Dato,$A405))*2,0)/2)))</f>
        <v/>
      </c>
      <c r="AF405">
        <f>IF(OR(AF$4="",$A405&gt;TODAY()),0,IF(OR(INDEX($B405:$D405,AF$5)="F",AND(AF$6&gt;0,$A405&lt;AF$6),AND(AF$7&gt;0,$A405&gt;AF$7)),0,MAX(0,ROUND((INDEX($E405:$G405,AF$5)-SUMIFS(TF_Timer,TF_Tekniker,AF$4,TF_Dato,$A405))*2,0)/2)))</f>
        <v/>
      </c>
      <c r="AG405">
        <f>IF(OR(AG$4="",$A405&gt;TODAY()),0,IF(OR(INDEX($B405:$D405,AG$5)="F",AND(AG$6&gt;0,$A405&lt;AG$6),AND(AG$7&gt;0,$A405&gt;AG$7)),0,MAX(0,ROUND((INDEX($E405:$G405,AG$5)-SUMIFS(TF_Timer,TF_Tekniker,AG$4,TF_Dato,$A405))*2,0)/2)))</f>
        <v/>
      </c>
      <c r="AH405">
        <f>IF(OR(AH$4="",$A405&gt;TODAY()),0,IF(OR(INDEX($B405:$D405,AH$5)="F",AND(AH$6&gt;0,$A405&lt;AH$6),AND(AH$7&gt;0,$A405&gt;AH$7)),0,MAX(0,ROUND((INDEX($E405:$G405,AH$5)-SUMIFS(TF_Timer,TF_Tekniker,AH$4,TF_Dato,$A405))*2,0)/2)))</f>
        <v/>
      </c>
      <c r="AI405">
        <f>IF(OR(AI$4="",$A405&gt;TODAY()),0,IF(OR(INDEX($B405:$D405,AI$5)="F",AND(AI$6&gt;0,$A405&lt;AI$6),AND(AI$7&gt;0,$A405&gt;AI$7)),0,MAX(0,ROUND((INDEX($E405:$G405,AI$5)-SUMIFS(TF_Timer,TF_Tekniker,AI$4,TF_Dato,$A405))*2,0)/2)))</f>
        <v/>
      </c>
      <c r="AJ405">
        <f>IF(OR(AJ$4="",$A405&gt;TODAY()),0,IF(OR(INDEX($B405:$D405,AJ$5)="F",AND(AJ$6&gt;0,$A405&lt;AJ$6),AND(AJ$7&gt;0,$A405&gt;AJ$7)),0,MAX(0,ROUND((INDEX($E405:$G405,AJ$5)-SUMIFS(TF_Timer,TF_Tekniker,AJ$4,TF_Dato,$A405))*2,0)/2)))</f>
        <v/>
      </c>
      <c r="AK405">
        <f>IF(OR(AK$4="",$A405&gt;TODAY()),0,IF(OR(INDEX($B405:$D405,AK$5)="F",AND(AK$6&gt;0,$A405&lt;AK$6),AND(AK$7&gt;0,$A405&gt;AK$7)),0,MAX(0,ROUND((INDEX($E405:$G405,AK$5)-SUMIFS(TF_Timer,TF_Tekniker,AK$4,TF_Dato,$A405))*2,0)/2)))</f>
        <v/>
      </c>
      <c r="AL405">
        <f>IF(OR(AL$4="",$A405&gt;TODAY()),0,IF(OR(INDEX($B405:$D405,AL$5)="F",AND(AL$6&gt;0,$A405&lt;AL$6),AND(AL$7&gt;0,$A405&gt;AL$7)),0,MAX(0,ROUND((INDEX($E405:$G405,AL$5)-SUMIFS(TF_Timer,TF_Tekniker,AL$4,TF_Dato,$A405))*2,0)/2)))</f>
        <v/>
      </c>
      <c r="AM405">
        <f>IF(OR(AM$4="",$A405&gt;TODAY()),0,IF(OR(INDEX($B405:$D405,AM$5)="F",AND(AM$6&gt;0,$A405&lt;AM$6),AND(AM$7&gt;0,$A405&gt;AM$7)),0,MAX(0,ROUND((INDEX($E405:$G405,AM$5)-SUMIFS(TF_Timer,TF_Tekniker,AM$4,TF_Dato,$A405))*2,0)/2)))</f>
        <v/>
      </c>
      <c r="AN405">
        <f>IF(OR(AN$4="",$A405&gt;TODAY()),0,IF(OR(INDEX($B405:$D405,AN$5)="F",AND(AN$6&gt;0,$A405&lt;AN$6),AND(AN$7&gt;0,$A405&gt;AN$7)),0,MAX(0,ROUND((INDEX($E405:$G405,AN$5)-SUMIFS(TF_Timer,TF_Tekniker,AN$4,TF_Dato,$A405))*2,0)/2)))</f>
        <v/>
      </c>
      <c r="AO405">
        <f>IF(OR(AO$4="",$A405&gt;TODAY()),0,IF(OR(INDEX($B405:$D405,AO$5)="F",AND(AO$6&gt;0,$A405&lt;AO$6),AND(AO$7&gt;0,$A405&gt;AO$7)),0,MAX(0,ROUND((INDEX($E405:$G405,AO$5)-SUMIFS(TF_Timer,TF_Tekniker,AO$4,TF_Dato,$A405))*2,0)/2)))</f>
        <v/>
      </c>
      <c r="AP405">
        <f>IF(OR(AP$4="",$A405&gt;TODAY()),0,IF(OR(INDEX($B405:$D405,AP$5)="F",AND(AP$6&gt;0,$A405&lt;AP$6),AND(AP$7&gt;0,$A405&gt;AP$7)),0,MAX(0,ROUND((INDEX($E405:$G405,AP$5)-SUMIFS(TF_Timer,TF_Tekniker,AP$4,TF_Dato,$A405))*2,0)/2)))</f>
        <v/>
      </c>
      <c r="AQ405">
        <f>IF(OR(AQ$4="",$A405&gt;TODAY()),0,IF(OR(INDEX($B405:$D405,AQ$5)="F",AND(AQ$6&gt;0,$A405&lt;AQ$6),AND(AQ$7&gt;0,$A405&gt;AQ$7)),0,MAX(0,ROUND((INDEX($E405:$G405,AQ$5)-SUMIFS(TF_Timer,TF_Tekniker,AQ$4,TF_Dato,$A405))*2,0)/2)))</f>
        <v/>
      </c>
      <c r="AR405">
        <f>IF(OR(AR$4="",$A405&gt;TODAY()),0,IF(OR(INDEX($B405:$D405,AR$5)="F",AND(AR$6&gt;0,$A405&lt;AR$6),AND(AR$7&gt;0,$A405&gt;AR$7)),0,MAX(0,ROUND((INDEX($E405:$G405,AR$5)-SUMIFS(TF_Timer,TF_Tekniker,AR$4,TF_Dato,$A405))*2,0)/2)))</f>
        <v/>
      </c>
      <c r="AS405">
        <f>IF(OR(AS$4="",$A405&gt;TODAY()),0,IF(OR(INDEX($B405:$D405,AS$5)="F",AND(AS$6&gt;0,$A405&lt;AS$6),AND(AS$7&gt;0,$A405&gt;AS$7)),0,MAX(0,ROUND((INDEX($E405:$G405,AS$5)-SUMIFS(TF_Timer,TF_Tekniker,AS$4,TF_Dato,$A405))*2,0)/2)))</f>
        <v/>
      </c>
      <c r="AT405">
        <f>IF(OR(AT$4="",$A405&gt;TODAY()),0,IF(OR(INDEX($B405:$D405,AT$5)="F",AND(AT$6&gt;0,$A405&lt;AT$6),AND(AT$7&gt;0,$A405&gt;AT$7)),0,MAX(0,ROUND((INDEX($E405:$G405,AT$5)-SUMIFS(TF_Timer,TF_Tekniker,AT$4,TF_Dato,$A405))*2,0)/2)))</f>
        <v/>
      </c>
      <c r="AU405">
        <f>IF(OR(AU$4="",$A405&gt;TODAY()),0,IF(OR(INDEX($B405:$D405,AU$5)="F",AND(AU$6&gt;0,$A405&lt;AU$6),AND(AU$7&gt;0,$A405&gt;AU$7)),0,MAX(0,ROUND((INDEX($E405:$G405,AU$5)-SUMIFS(TF_Timer,TF_Tekniker,AU$4,TF_Dato,$A405))*2,0)/2)))</f>
        <v/>
      </c>
      <c r="AV405">
        <f>IF(OR(AV$4="",$A405&gt;TODAY()),0,IF(OR(INDEX($B405:$D405,AV$5)="F",AND(AV$6&gt;0,$A405&lt;AV$6),AND(AV$7&gt;0,$A405&gt;AV$7)),0,MAX(0,ROUND((INDEX($E405:$G405,AV$5)-SUMIFS(TF_Timer,TF_Tekniker,AV$4,TF_Dato,$A405))*2,0)/2)))</f>
        <v/>
      </c>
      <c r="AW405">
        <f>IF(OR(AW$4="",$A405&gt;TODAY()),0,IF(OR(INDEX($B405:$D405,AW$5)="F",AND(AW$6&gt;0,$A405&lt;AW$6),AND(AW$7&gt;0,$A405&gt;AW$7)),0,MAX(0,ROUND((INDEX($E405:$G405,AW$5)-SUMIFS(TF_Timer,TF_Tekniker,AW$4,TF_Dato,$A405))*2,0)/2)))</f>
        <v/>
      </c>
      <c r="AX405">
        <f>IF(OR(AX$4="",$A405&gt;TODAY()),0,IF(OR(INDEX($B405:$D405,AX$5)="F",AND(AX$6&gt;0,$A405&lt;AX$6),AND(AX$7&gt;0,$A405&gt;AX$7)),0,MAX(0,ROUND((INDEX($E405:$G405,AX$5)-SUMIFS(TF_Timer,TF_Tekniker,AX$4,TF_Dato,$A405))*2,0)/2)))</f>
        <v/>
      </c>
      <c r="AY405">
        <f>IF(OR(AY$4="",$A405&gt;TODAY()),0,IF(OR(INDEX($B405:$D405,AY$5)="F",AND(AY$6&gt;0,$A405&lt;AY$6),AND(AY$7&gt;0,$A405&gt;AY$7)),0,MAX(0,ROUND((INDEX($E405:$G405,AY$5)-SUMIFS(TF_Timer,TF_Tekniker,AY$4,TF_Dato,$A405))*2,0)/2)))</f>
        <v/>
      </c>
      <c r="AZ405">
        <f>IF(OR(AZ$4="",$A405&gt;TODAY()),0,IF(OR(INDEX($B405:$D405,AZ$5)="F",AND(AZ$6&gt;0,$A405&lt;AZ$6),AND(AZ$7&gt;0,$A405&gt;AZ$7)),0,MAX(0,ROUND((INDEX($E405:$G405,AZ$5)-SUMIFS(TF_Timer,TF_Tekniker,AZ$4,TF_Dato,$A405))*2,0)/2)))</f>
        <v/>
      </c>
      <c r="BA405">
        <f>IF(OR(BA$4="",$A405&gt;TODAY()),0,IF(OR(INDEX($B405:$D405,BA$5)="F",AND(BA$6&gt;0,$A405&lt;BA$6),AND(BA$7&gt;0,$A405&gt;BA$7)),0,MAX(0,ROUND((INDEX($E405:$G405,BA$5)-SUMIFS(TF_Timer,TF_Tekniker,BA$4,TF_Dato,$A405))*2,0)/2)))</f>
        <v/>
      </c>
      <c r="BB405">
        <f>IF(OR(BB$4="",$A405&gt;TODAY()),0,IF(OR(INDEX($B405:$D405,BB$5)="F",AND(BB$6&gt;0,$A405&lt;BB$6),AND(BB$7&gt;0,$A405&gt;BB$7)),0,MAX(0,ROUND((INDEX($E405:$G405,BB$5)-SUMIFS(TF_Timer,TF_Tekniker,BB$4,TF_Dato,$A405))*2,0)/2)))</f>
        <v/>
      </c>
      <c r="BC405">
        <f>IF(OR(BC$4="",$A405&gt;TODAY()),0,IF(OR(INDEX($B405:$D405,BC$5)="F",AND(BC$6&gt;0,$A405&lt;BC$6),AND(BC$7&gt;0,$A405&gt;BC$7)),0,MAX(0,ROUND((INDEX($E405:$G405,BC$5)-SUMIFS(TF_Timer,TF_Tekniker,BC$4,TF_Dato,$A405))*2,0)/2)))</f>
        <v/>
      </c>
      <c r="BD405">
        <f>IF(OR(BD$4="",$A405&gt;TODAY()),0,IF(OR(INDEX($B405:$D405,BD$5)="F",AND(BD$6&gt;0,$A405&lt;BD$6),AND(BD$7&gt;0,$A405&gt;BD$7)),0,MAX(0,ROUND((INDEX($E405:$G405,BD$5)-SUMIFS(TF_Timer,TF_Tekniker,BD$4,TF_Dato,$A405))*2,0)/2)))</f>
        <v/>
      </c>
      <c r="BE405">
        <f>IF(OR(BE$4="",$A405&gt;TODAY()),0,IF(OR(INDEX($B405:$D405,BE$5)="F",AND(BE$6&gt;0,$A405&lt;BE$6),AND(BE$7&gt;0,$A405&gt;BE$7)),0,MAX(0,ROUND((INDEX($E405:$G405,BE$5)-SUMIFS(TF_Timer,TF_Tekniker,BE$4,TF_Dato,$A405))*2,0)/2)))</f>
        <v/>
      </c>
      <c r="BF405">
        <f>IF(OR(BF$4="",$A405&gt;TODAY()),0,IF(OR(INDEX($B405:$D405,BF$5)="F",AND(BF$6&gt;0,$A405&lt;BF$6),AND(BF$7&gt;0,$A405&gt;BF$7)),0,MAX(0,ROUND((INDEX($E405:$G405,BF$5)-SUMIFS(TF_Timer,TF_Tekniker,BF$4,TF_Dato,$A405))*2,0)/2)))</f>
        <v/>
      </c>
      <c r="BG405">
        <f>IF(OR(BG$4="",$A405&gt;TODAY()),0,IF(OR(INDEX($B405:$D405,BG$5)="F",AND(BG$6&gt;0,$A405&lt;BG$6),AND(BG$7&gt;0,$A405&gt;BG$7)),0,MAX(0,ROUND((INDEX($E405:$G405,BG$5)-SUMIFS(TF_Timer,TF_Tekniker,BG$4,TF_Dato,$A405))*2,0)/2)))</f>
        <v/>
      </c>
      <c r="BH405">
        <f>IF(OR(BH$4="",$A405&gt;TODAY()),0,IF(OR(INDEX($B405:$D405,BH$5)="F",AND(BH$6&gt;0,$A405&lt;BH$6),AND(BH$7&gt;0,$A405&gt;BH$7)),0,MAX(0,ROUND((INDEX($E405:$G405,BH$5)-SUMIFS(TF_Timer,TF_Tekniker,BH$4,TF_Dato,$A405))*2,0)/2)))</f>
        <v/>
      </c>
      <c r="BI405">
        <f>IF(OR(BI$4="",$A405&gt;TODAY()),0,IF(OR(INDEX($B405:$D405,BI$5)="F",AND(BI$6&gt;0,$A405&lt;BI$6),AND(BI$7&gt;0,$A405&gt;BI$7)),0,MAX(0,ROUND((INDEX($E405:$G405,BI$5)-SUMIFS(TF_Timer,TF_Tekniker,BI$4,TF_Dato,$A405))*2,0)/2)))</f>
        <v/>
      </c>
    </row>
    <row r="406">
      <c r="A406" s="64">
        <f>A405+1</f>
        <v/>
      </c>
      <c r="B406">
        <f>IF(MOD($A406-INDEX(SkiftStart,1),Syklus)&lt;DagK,"K",IF(MOD($A406-INDEX(SkiftStart,1),Syklus)&lt;DagK+DagH,"H",IF(MOD($A406-INDEX(SkiftStart,1),Syklus)&lt;DagK+DagH+DagD,"D","F")))</f>
        <v/>
      </c>
      <c r="C406">
        <f>IF(MOD($A406-INDEX(SkiftStart,2),Syklus)&lt;DagK,"K",IF(MOD($A406-INDEX(SkiftStart,2),Syklus)&lt;DagK+DagH,"H",IF(MOD($A406-INDEX(SkiftStart,2),Syklus)&lt;DagK+DagH+DagD,"D","F")))</f>
        <v/>
      </c>
      <c r="D406">
        <f>IF(MOD($A406-INDEX(SkiftStart,3),Syklus)&lt;DagK,"K",IF(MOD($A406-INDEX(SkiftStart,3),Syklus)&lt;DagK+DagH,"H",IF(MOD($A406-INDEX(SkiftStart,3),Syklus)&lt;DagK+DagH+DagD,"D","F")))</f>
        <v/>
      </c>
      <c r="E406">
        <f>IF(B406="F",0,IF(WEEKDAY($A406,2)=5,INDEX(TimerFr,MATCH(B406,FaseKode,0)),INDEX(TimerMT,MATCH(B406,FaseKode,0))))</f>
        <v/>
      </c>
      <c r="F406">
        <f>IF(C406="F",0,IF(WEEKDAY($A406,2)=5,INDEX(TimerFr,MATCH(C406,FaseKode,0)),INDEX(TimerMT,MATCH(C406,FaseKode,0))))</f>
        <v/>
      </c>
      <c r="G406">
        <f>IF(D406="F",0,IF(WEEKDAY($A406,2)=5,INDEX(TimerFr,MATCH(D406,FaseKode,0)),INDEX(TimerMT,MATCH(D406,FaseKode,0))))</f>
        <v/>
      </c>
      <c r="H406">
        <f>IF(OR(H$4="",$A406&gt;TODAY()),0,IF(OR(INDEX($B406:$D406,H$5)="F",AND(H$6&gt;0,$A406&lt;H$6),AND(H$7&gt;0,$A406&gt;H$7)),0,MAX(0,ROUND((INDEX($E406:$G406,H$5)-SUMIFS(TF_Timer,TF_Tekniker,H$4,TF_Dato,$A406))*2,0)/2)))</f>
        <v/>
      </c>
      <c r="I406">
        <f>IF(OR(I$4="",$A406&gt;TODAY()),0,IF(OR(INDEX($B406:$D406,I$5)="F",AND(I$6&gt;0,$A406&lt;I$6),AND(I$7&gt;0,$A406&gt;I$7)),0,MAX(0,ROUND((INDEX($E406:$G406,I$5)-SUMIFS(TF_Timer,TF_Tekniker,I$4,TF_Dato,$A406))*2,0)/2)))</f>
        <v/>
      </c>
      <c r="J406">
        <f>IF(OR(J$4="",$A406&gt;TODAY()),0,IF(OR(INDEX($B406:$D406,J$5)="F",AND(J$6&gt;0,$A406&lt;J$6),AND(J$7&gt;0,$A406&gt;J$7)),0,MAX(0,ROUND((INDEX($E406:$G406,J$5)-SUMIFS(TF_Timer,TF_Tekniker,J$4,TF_Dato,$A406))*2,0)/2)))</f>
        <v/>
      </c>
      <c r="K406">
        <f>IF(OR(K$4="",$A406&gt;TODAY()),0,IF(OR(INDEX($B406:$D406,K$5)="F",AND(K$6&gt;0,$A406&lt;K$6),AND(K$7&gt;0,$A406&gt;K$7)),0,MAX(0,ROUND((INDEX($E406:$G406,K$5)-SUMIFS(TF_Timer,TF_Tekniker,K$4,TF_Dato,$A406))*2,0)/2)))</f>
        <v/>
      </c>
      <c r="L406">
        <f>IF(OR(L$4="",$A406&gt;TODAY()),0,IF(OR(INDEX($B406:$D406,L$5)="F",AND(L$6&gt;0,$A406&lt;L$6),AND(L$7&gt;0,$A406&gt;L$7)),0,MAX(0,ROUND((INDEX($E406:$G406,L$5)-SUMIFS(TF_Timer,TF_Tekniker,L$4,TF_Dato,$A406))*2,0)/2)))</f>
        <v/>
      </c>
      <c r="M406">
        <f>IF(OR(M$4="",$A406&gt;TODAY()),0,IF(OR(INDEX($B406:$D406,M$5)="F",AND(M$6&gt;0,$A406&lt;M$6),AND(M$7&gt;0,$A406&gt;M$7)),0,MAX(0,ROUND((INDEX($E406:$G406,M$5)-SUMIFS(TF_Timer,TF_Tekniker,M$4,TF_Dato,$A406))*2,0)/2)))</f>
        <v/>
      </c>
      <c r="N406">
        <f>IF(OR(N$4="",$A406&gt;TODAY()),0,IF(OR(INDEX($B406:$D406,N$5)="F",AND(N$6&gt;0,$A406&lt;N$6),AND(N$7&gt;0,$A406&gt;N$7)),0,MAX(0,ROUND((INDEX($E406:$G406,N$5)-SUMIFS(TF_Timer,TF_Tekniker,N$4,TF_Dato,$A406))*2,0)/2)))</f>
        <v/>
      </c>
      <c r="O406">
        <f>IF(OR(O$4="",$A406&gt;TODAY()),0,IF(OR(INDEX($B406:$D406,O$5)="F",AND(O$6&gt;0,$A406&lt;O$6),AND(O$7&gt;0,$A406&gt;O$7)),0,MAX(0,ROUND((INDEX($E406:$G406,O$5)-SUMIFS(TF_Timer,TF_Tekniker,O$4,TF_Dato,$A406))*2,0)/2)))</f>
        <v/>
      </c>
      <c r="P406">
        <f>IF(OR(P$4="",$A406&gt;TODAY()),0,IF(OR(INDEX($B406:$D406,P$5)="F",AND(P$6&gt;0,$A406&lt;P$6),AND(P$7&gt;0,$A406&gt;P$7)),0,MAX(0,ROUND((INDEX($E406:$G406,P$5)-SUMIFS(TF_Timer,TF_Tekniker,P$4,TF_Dato,$A406))*2,0)/2)))</f>
        <v/>
      </c>
      <c r="Q406">
        <f>IF(OR(Q$4="",$A406&gt;TODAY()),0,IF(OR(INDEX($B406:$D406,Q$5)="F",AND(Q$6&gt;0,$A406&lt;Q$6),AND(Q$7&gt;0,$A406&gt;Q$7)),0,MAX(0,ROUND((INDEX($E406:$G406,Q$5)-SUMIFS(TF_Timer,TF_Tekniker,Q$4,TF_Dato,$A406))*2,0)/2)))</f>
        <v/>
      </c>
      <c r="R406">
        <f>IF(OR(R$4="",$A406&gt;TODAY()),0,IF(OR(INDEX($B406:$D406,R$5)="F",AND(R$6&gt;0,$A406&lt;R$6),AND(R$7&gt;0,$A406&gt;R$7)),0,MAX(0,ROUND((INDEX($E406:$G406,R$5)-SUMIFS(TF_Timer,TF_Tekniker,R$4,TF_Dato,$A406))*2,0)/2)))</f>
        <v/>
      </c>
      <c r="S406">
        <f>IF(OR(S$4="",$A406&gt;TODAY()),0,IF(OR(INDEX($B406:$D406,S$5)="F",AND(S$6&gt;0,$A406&lt;S$6),AND(S$7&gt;0,$A406&gt;S$7)),0,MAX(0,ROUND((INDEX($E406:$G406,S$5)-SUMIFS(TF_Timer,TF_Tekniker,S$4,TF_Dato,$A406))*2,0)/2)))</f>
        <v/>
      </c>
      <c r="T406">
        <f>IF(OR(T$4="",$A406&gt;TODAY()),0,IF(OR(INDEX($B406:$D406,T$5)="F",AND(T$6&gt;0,$A406&lt;T$6),AND(T$7&gt;0,$A406&gt;T$7)),0,MAX(0,ROUND((INDEX($E406:$G406,T$5)-SUMIFS(TF_Timer,TF_Tekniker,T$4,TF_Dato,$A406))*2,0)/2)))</f>
        <v/>
      </c>
      <c r="U406">
        <f>IF(OR(U$4="",$A406&gt;TODAY()),0,IF(OR(INDEX($B406:$D406,U$5)="F",AND(U$6&gt;0,$A406&lt;U$6),AND(U$7&gt;0,$A406&gt;U$7)),0,MAX(0,ROUND((INDEX($E406:$G406,U$5)-SUMIFS(TF_Timer,TF_Tekniker,U$4,TF_Dato,$A406))*2,0)/2)))</f>
        <v/>
      </c>
      <c r="V406">
        <f>IF(OR(V$4="",$A406&gt;TODAY()),0,IF(OR(INDEX($B406:$D406,V$5)="F",AND(V$6&gt;0,$A406&lt;V$6),AND(V$7&gt;0,$A406&gt;V$7)),0,MAX(0,ROUND((INDEX($E406:$G406,V$5)-SUMIFS(TF_Timer,TF_Tekniker,V$4,TF_Dato,$A406))*2,0)/2)))</f>
        <v/>
      </c>
      <c r="W406">
        <f>IF(OR(W$4="",$A406&gt;TODAY()),0,IF(OR(INDEX($B406:$D406,W$5)="F",AND(W$6&gt;0,$A406&lt;W$6),AND(W$7&gt;0,$A406&gt;W$7)),0,MAX(0,ROUND((INDEX($E406:$G406,W$5)-SUMIFS(TF_Timer,TF_Tekniker,W$4,TF_Dato,$A406))*2,0)/2)))</f>
        <v/>
      </c>
      <c r="X406">
        <f>IF(OR(X$4="",$A406&gt;TODAY()),0,IF(OR(INDEX($B406:$D406,X$5)="F",AND(X$6&gt;0,$A406&lt;X$6),AND(X$7&gt;0,$A406&gt;X$7)),0,MAX(0,ROUND((INDEX($E406:$G406,X$5)-SUMIFS(TF_Timer,TF_Tekniker,X$4,TF_Dato,$A406))*2,0)/2)))</f>
        <v/>
      </c>
      <c r="Y406">
        <f>IF(OR(Y$4="",$A406&gt;TODAY()),0,IF(OR(INDEX($B406:$D406,Y$5)="F",AND(Y$6&gt;0,$A406&lt;Y$6),AND(Y$7&gt;0,$A406&gt;Y$7)),0,MAX(0,ROUND((INDEX($E406:$G406,Y$5)-SUMIFS(TF_Timer,TF_Tekniker,Y$4,TF_Dato,$A406))*2,0)/2)))</f>
        <v/>
      </c>
      <c r="Z406">
        <f>IF(OR(Z$4="",$A406&gt;TODAY()),0,IF(OR(INDEX($B406:$D406,Z$5)="F",AND(Z$6&gt;0,$A406&lt;Z$6),AND(Z$7&gt;0,$A406&gt;Z$7)),0,MAX(0,ROUND((INDEX($E406:$G406,Z$5)-SUMIFS(TF_Timer,TF_Tekniker,Z$4,TF_Dato,$A406))*2,0)/2)))</f>
        <v/>
      </c>
      <c r="AA406">
        <f>IF(OR(AA$4="",$A406&gt;TODAY()),0,IF(OR(INDEX($B406:$D406,AA$5)="F",AND(AA$6&gt;0,$A406&lt;AA$6),AND(AA$7&gt;0,$A406&gt;AA$7)),0,MAX(0,ROUND((INDEX($E406:$G406,AA$5)-SUMIFS(TF_Timer,TF_Tekniker,AA$4,TF_Dato,$A406))*2,0)/2)))</f>
        <v/>
      </c>
      <c r="AB406">
        <f>IF(OR(AB$4="",$A406&gt;TODAY()),0,IF(OR(INDEX($B406:$D406,AB$5)="F",AND(AB$6&gt;0,$A406&lt;AB$6),AND(AB$7&gt;0,$A406&gt;AB$7)),0,MAX(0,ROUND((INDEX($E406:$G406,AB$5)-SUMIFS(TF_Timer,TF_Tekniker,AB$4,TF_Dato,$A406))*2,0)/2)))</f>
        <v/>
      </c>
      <c r="AC406">
        <f>IF(OR(AC$4="",$A406&gt;TODAY()),0,IF(OR(INDEX($B406:$D406,AC$5)="F",AND(AC$6&gt;0,$A406&lt;AC$6),AND(AC$7&gt;0,$A406&gt;AC$7)),0,MAX(0,ROUND((INDEX($E406:$G406,AC$5)-SUMIFS(TF_Timer,TF_Tekniker,AC$4,TF_Dato,$A406))*2,0)/2)))</f>
        <v/>
      </c>
      <c r="AD406">
        <f>IF(OR(AD$4="",$A406&gt;TODAY()),0,IF(OR(INDEX($B406:$D406,AD$5)="F",AND(AD$6&gt;0,$A406&lt;AD$6),AND(AD$7&gt;0,$A406&gt;AD$7)),0,MAX(0,ROUND((INDEX($E406:$G406,AD$5)-SUMIFS(TF_Timer,TF_Tekniker,AD$4,TF_Dato,$A406))*2,0)/2)))</f>
        <v/>
      </c>
      <c r="AE406">
        <f>IF(OR(AE$4="",$A406&gt;TODAY()),0,IF(OR(INDEX($B406:$D406,AE$5)="F",AND(AE$6&gt;0,$A406&lt;AE$6),AND(AE$7&gt;0,$A406&gt;AE$7)),0,MAX(0,ROUND((INDEX($E406:$G406,AE$5)-SUMIFS(TF_Timer,TF_Tekniker,AE$4,TF_Dato,$A406))*2,0)/2)))</f>
        <v/>
      </c>
      <c r="AF406">
        <f>IF(OR(AF$4="",$A406&gt;TODAY()),0,IF(OR(INDEX($B406:$D406,AF$5)="F",AND(AF$6&gt;0,$A406&lt;AF$6),AND(AF$7&gt;0,$A406&gt;AF$7)),0,MAX(0,ROUND((INDEX($E406:$G406,AF$5)-SUMIFS(TF_Timer,TF_Tekniker,AF$4,TF_Dato,$A406))*2,0)/2)))</f>
        <v/>
      </c>
      <c r="AG406">
        <f>IF(OR(AG$4="",$A406&gt;TODAY()),0,IF(OR(INDEX($B406:$D406,AG$5)="F",AND(AG$6&gt;0,$A406&lt;AG$6),AND(AG$7&gt;0,$A406&gt;AG$7)),0,MAX(0,ROUND((INDEX($E406:$G406,AG$5)-SUMIFS(TF_Timer,TF_Tekniker,AG$4,TF_Dato,$A406))*2,0)/2)))</f>
        <v/>
      </c>
      <c r="AH406">
        <f>IF(OR(AH$4="",$A406&gt;TODAY()),0,IF(OR(INDEX($B406:$D406,AH$5)="F",AND(AH$6&gt;0,$A406&lt;AH$6),AND(AH$7&gt;0,$A406&gt;AH$7)),0,MAX(0,ROUND((INDEX($E406:$G406,AH$5)-SUMIFS(TF_Timer,TF_Tekniker,AH$4,TF_Dato,$A406))*2,0)/2)))</f>
        <v/>
      </c>
      <c r="AI406">
        <f>IF(OR(AI$4="",$A406&gt;TODAY()),0,IF(OR(INDEX($B406:$D406,AI$5)="F",AND(AI$6&gt;0,$A406&lt;AI$6),AND(AI$7&gt;0,$A406&gt;AI$7)),0,MAX(0,ROUND((INDEX($E406:$G406,AI$5)-SUMIFS(TF_Timer,TF_Tekniker,AI$4,TF_Dato,$A406))*2,0)/2)))</f>
        <v/>
      </c>
      <c r="AJ406">
        <f>IF(OR(AJ$4="",$A406&gt;TODAY()),0,IF(OR(INDEX($B406:$D406,AJ$5)="F",AND(AJ$6&gt;0,$A406&lt;AJ$6),AND(AJ$7&gt;0,$A406&gt;AJ$7)),0,MAX(0,ROUND((INDEX($E406:$G406,AJ$5)-SUMIFS(TF_Timer,TF_Tekniker,AJ$4,TF_Dato,$A406))*2,0)/2)))</f>
        <v/>
      </c>
      <c r="AK406">
        <f>IF(OR(AK$4="",$A406&gt;TODAY()),0,IF(OR(INDEX($B406:$D406,AK$5)="F",AND(AK$6&gt;0,$A406&lt;AK$6),AND(AK$7&gt;0,$A406&gt;AK$7)),0,MAX(0,ROUND((INDEX($E406:$G406,AK$5)-SUMIFS(TF_Timer,TF_Tekniker,AK$4,TF_Dato,$A406))*2,0)/2)))</f>
        <v/>
      </c>
      <c r="AL406">
        <f>IF(OR(AL$4="",$A406&gt;TODAY()),0,IF(OR(INDEX($B406:$D406,AL$5)="F",AND(AL$6&gt;0,$A406&lt;AL$6),AND(AL$7&gt;0,$A406&gt;AL$7)),0,MAX(0,ROUND((INDEX($E406:$G406,AL$5)-SUMIFS(TF_Timer,TF_Tekniker,AL$4,TF_Dato,$A406))*2,0)/2)))</f>
        <v/>
      </c>
      <c r="AM406">
        <f>IF(OR(AM$4="",$A406&gt;TODAY()),0,IF(OR(INDEX($B406:$D406,AM$5)="F",AND(AM$6&gt;0,$A406&lt;AM$6),AND(AM$7&gt;0,$A406&gt;AM$7)),0,MAX(0,ROUND((INDEX($E406:$G406,AM$5)-SUMIFS(TF_Timer,TF_Tekniker,AM$4,TF_Dato,$A406))*2,0)/2)))</f>
        <v/>
      </c>
      <c r="AN406">
        <f>IF(OR(AN$4="",$A406&gt;TODAY()),0,IF(OR(INDEX($B406:$D406,AN$5)="F",AND(AN$6&gt;0,$A406&lt;AN$6),AND(AN$7&gt;0,$A406&gt;AN$7)),0,MAX(0,ROUND((INDEX($E406:$G406,AN$5)-SUMIFS(TF_Timer,TF_Tekniker,AN$4,TF_Dato,$A406))*2,0)/2)))</f>
        <v/>
      </c>
      <c r="AO406">
        <f>IF(OR(AO$4="",$A406&gt;TODAY()),0,IF(OR(INDEX($B406:$D406,AO$5)="F",AND(AO$6&gt;0,$A406&lt;AO$6),AND(AO$7&gt;0,$A406&gt;AO$7)),0,MAX(0,ROUND((INDEX($E406:$G406,AO$5)-SUMIFS(TF_Timer,TF_Tekniker,AO$4,TF_Dato,$A406))*2,0)/2)))</f>
        <v/>
      </c>
      <c r="AP406">
        <f>IF(OR(AP$4="",$A406&gt;TODAY()),0,IF(OR(INDEX($B406:$D406,AP$5)="F",AND(AP$6&gt;0,$A406&lt;AP$6),AND(AP$7&gt;0,$A406&gt;AP$7)),0,MAX(0,ROUND((INDEX($E406:$G406,AP$5)-SUMIFS(TF_Timer,TF_Tekniker,AP$4,TF_Dato,$A406))*2,0)/2)))</f>
        <v/>
      </c>
      <c r="AQ406">
        <f>IF(OR(AQ$4="",$A406&gt;TODAY()),0,IF(OR(INDEX($B406:$D406,AQ$5)="F",AND(AQ$6&gt;0,$A406&lt;AQ$6),AND(AQ$7&gt;0,$A406&gt;AQ$7)),0,MAX(0,ROUND((INDEX($E406:$G406,AQ$5)-SUMIFS(TF_Timer,TF_Tekniker,AQ$4,TF_Dato,$A406))*2,0)/2)))</f>
        <v/>
      </c>
      <c r="AR406">
        <f>IF(OR(AR$4="",$A406&gt;TODAY()),0,IF(OR(INDEX($B406:$D406,AR$5)="F",AND(AR$6&gt;0,$A406&lt;AR$6),AND(AR$7&gt;0,$A406&gt;AR$7)),0,MAX(0,ROUND((INDEX($E406:$G406,AR$5)-SUMIFS(TF_Timer,TF_Tekniker,AR$4,TF_Dato,$A406))*2,0)/2)))</f>
        <v/>
      </c>
      <c r="AS406">
        <f>IF(OR(AS$4="",$A406&gt;TODAY()),0,IF(OR(INDEX($B406:$D406,AS$5)="F",AND(AS$6&gt;0,$A406&lt;AS$6),AND(AS$7&gt;0,$A406&gt;AS$7)),0,MAX(0,ROUND((INDEX($E406:$G406,AS$5)-SUMIFS(TF_Timer,TF_Tekniker,AS$4,TF_Dato,$A406))*2,0)/2)))</f>
        <v/>
      </c>
      <c r="AT406">
        <f>IF(OR(AT$4="",$A406&gt;TODAY()),0,IF(OR(INDEX($B406:$D406,AT$5)="F",AND(AT$6&gt;0,$A406&lt;AT$6),AND(AT$7&gt;0,$A406&gt;AT$7)),0,MAX(0,ROUND((INDEX($E406:$G406,AT$5)-SUMIFS(TF_Timer,TF_Tekniker,AT$4,TF_Dato,$A406))*2,0)/2)))</f>
        <v/>
      </c>
      <c r="AU406">
        <f>IF(OR(AU$4="",$A406&gt;TODAY()),0,IF(OR(INDEX($B406:$D406,AU$5)="F",AND(AU$6&gt;0,$A406&lt;AU$6),AND(AU$7&gt;0,$A406&gt;AU$7)),0,MAX(0,ROUND((INDEX($E406:$G406,AU$5)-SUMIFS(TF_Timer,TF_Tekniker,AU$4,TF_Dato,$A406))*2,0)/2)))</f>
        <v/>
      </c>
      <c r="AV406">
        <f>IF(OR(AV$4="",$A406&gt;TODAY()),0,IF(OR(INDEX($B406:$D406,AV$5)="F",AND(AV$6&gt;0,$A406&lt;AV$6),AND(AV$7&gt;0,$A406&gt;AV$7)),0,MAX(0,ROUND((INDEX($E406:$G406,AV$5)-SUMIFS(TF_Timer,TF_Tekniker,AV$4,TF_Dato,$A406))*2,0)/2)))</f>
        <v/>
      </c>
      <c r="AW406">
        <f>IF(OR(AW$4="",$A406&gt;TODAY()),0,IF(OR(INDEX($B406:$D406,AW$5)="F",AND(AW$6&gt;0,$A406&lt;AW$6),AND(AW$7&gt;0,$A406&gt;AW$7)),0,MAX(0,ROUND((INDEX($E406:$G406,AW$5)-SUMIFS(TF_Timer,TF_Tekniker,AW$4,TF_Dato,$A406))*2,0)/2)))</f>
        <v/>
      </c>
      <c r="AX406">
        <f>IF(OR(AX$4="",$A406&gt;TODAY()),0,IF(OR(INDEX($B406:$D406,AX$5)="F",AND(AX$6&gt;0,$A406&lt;AX$6),AND(AX$7&gt;0,$A406&gt;AX$7)),0,MAX(0,ROUND((INDEX($E406:$G406,AX$5)-SUMIFS(TF_Timer,TF_Tekniker,AX$4,TF_Dato,$A406))*2,0)/2)))</f>
        <v/>
      </c>
      <c r="AY406">
        <f>IF(OR(AY$4="",$A406&gt;TODAY()),0,IF(OR(INDEX($B406:$D406,AY$5)="F",AND(AY$6&gt;0,$A406&lt;AY$6),AND(AY$7&gt;0,$A406&gt;AY$7)),0,MAX(0,ROUND((INDEX($E406:$G406,AY$5)-SUMIFS(TF_Timer,TF_Tekniker,AY$4,TF_Dato,$A406))*2,0)/2)))</f>
        <v/>
      </c>
      <c r="AZ406">
        <f>IF(OR(AZ$4="",$A406&gt;TODAY()),0,IF(OR(INDEX($B406:$D406,AZ$5)="F",AND(AZ$6&gt;0,$A406&lt;AZ$6),AND(AZ$7&gt;0,$A406&gt;AZ$7)),0,MAX(0,ROUND((INDEX($E406:$G406,AZ$5)-SUMIFS(TF_Timer,TF_Tekniker,AZ$4,TF_Dato,$A406))*2,0)/2)))</f>
        <v/>
      </c>
      <c r="BA406">
        <f>IF(OR(BA$4="",$A406&gt;TODAY()),0,IF(OR(INDEX($B406:$D406,BA$5)="F",AND(BA$6&gt;0,$A406&lt;BA$6),AND(BA$7&gt;0,$A406&gt;BA$7)),0,MAX(0,ROUND((INDEX($E406:$G406,BA$5)-SUMIFS(TF_Timer,TF_Tekniker,BA$4,TF_Dato,$A406))*2,0)/2)))</f>
        <v/>
      </c>
      <c r="BB406">
        <f>IF(OR(BB$4="",$A406&gt;TODAY()),0,IF(OR(INDEX($B406:$D406,BB$5)="F",AND(BB$6&gt;0,$A406&lt;BB$6),AND(BB$7&gt;0,$A406&gt;BB$7)),0,MAX(0,ROUND((INDEX($E406:$G406,BB$5)-SUMIFS(TF_Timer,TF_Tekniker,BB$4,TF_Dato,$A406))*2,0)/2)))</f>
        <v/>
      </c>
      <c r="BC406">
        <f>IF(OR(BC$4="",$A406&gt;TODAY()),0,IF(OR(INDEX($B406:$D406,BC$5)="F",AND(BC$6&gt;0,$A406&lt;BC$6),AND(BC$7&gt;0,$A406&gt;BC$7)),0,MAX(0,ROUND((INDEX($E406:$G406,BC$5)-SUMIFS(TF_Timer,TF_Tekniker,BC$4,TF_Dato,$A406))*2,0)/2)))</f>
        <v/>
      </c>
      <c r="BD406">
        <f>IF(OR(BD$4="",$A406&gt;TODAY()),0,IF(OR(INDEX($B406:$D406,BD$5)="F",AND(BD$6&gt;0,$A406&lt;BD$6),AND(BD$7&gt;0,$A406&gt;BD$7)),0,MAX(0,ROUND((INDEX($E406:$G406,BD$5)-SUMIFS(TF_Timer,TF_Tekniker,BD$4,TF_Dato,$A406))*2,0)/2)))</f>
        <v/>
      </c>
      <c r="BE406">
        <f>IF(OR(BE$4="",$A406&gt;TODAY()),0,IF(OR(INDEX($B406:$D406,BE$5)="F",AND(BE$6&gt;0,$A406&lt;BE$6),AND(BE$7&gt;0,$A406&gt;BE$7)),0,MAX(0,ROUND((INDEX($E406:$G406,BE$5)-SUMIFS(TF_Timer,TF_Tekniker,BE$4,TF_Dato,$A406))*2,0)/2)))</f>
        <v/>
      </c>
      <c r="BF406">
        <f>IF(OR(BF$4="",$A406&gt;TODAY()),0,IF(OR(INDEX($B406:$D406,BF$5)="F",AND(BF$6&gt;0,$A406&lt;BF$6),AND(BF$7&gt;0,$A406&gt;BF$7)),0,MAX(0,ROUND((INDEX($E406:$G406,BF$5)-SUMIFS(TF_Timer,TF_Tekniker,BF$4,TF_Dato,$A406))*2,0)/2)))</f>
        <v/>
      </c>
      <c r="BG406">
        <f>IF(OR(BG$4="",$A406&gt;TODAY()),0,IF(OR(INDEX($B406:$D406,BG$5)="F",AND(BG$6&gt;0,$A406&lt;BG$6),AND(BG$7&gt;0,$A406&gt;BG$7)),0,MAX(0,ROUND((INDEX($E406:$G406,BG$5)-SUMIFS(TF_Timer,TF_Tekniker,BG$4,TF_Dato,$A406))*2,0)/2)))</f>
        <v/>
      </c>
      <c r="BH406">
        <f>IF(OR(BH$4="",$A406&gt;TODAY()),0,IF(OR(INDEX($B406:$D406,BH$5)="F",AND(BH$6&gt;0,$A406&lt;BH$6),AND(BH$7&gt;0,$A406&gt;BH$7)),0,MAX(0,ROUND((INDEX($E406:$G406,BH$5)-SUMIFS(TF_Timer,TF_Tekniker,BH$4,TF_Dato,$A406))*2,0)/2)))</f>
        <v/>
      </c>
      <c r="BI406">
        <f>IF(OR(BI$4="",$A406&gt;TODAY()),0,IF(OR(INDEX($B406:$D406,BI$5)="F",AND(BI$6&gt;0,$A406&lt;BI$6),AND(BI$7&gt;0,$A406&gt;BI$7)),0,MAX(0,ROUND((INDEX($E406:$G406,BI$5)-SUMIFS(TF_Timer,TF_Tekniker,BI$4,TF_Dato,$A406))*2,0)/2)))</f>
        <v/>
      </c>
    </row>
    <row r="407">
      <c r="A407" s="64">
        <f>A406+1</f>
        <v/>
      </c>
      <c r="B407">
        <f>IF(MOD($A407-INDEX(SkiftStart,1),Syklus)&lt;DagK,"K",IF(MOD($A407-INDEX(SkiftStart,1),Syklus)&lt;DagK+DagH,"H",IF(MOD($A407-INDEX(SkiftStart,1),Syklus)&lt;DagK+DagH+DagD,"D","F")))</f>
        <v/>
      </c>
      <c r="C407">
        <f>IF(MOD($A407-INDEX(SkiftStart,2),Syklus)&lt;DagK,"K",IF(MOD($A407-INDEX(SkiftStart,2),Syklus)&lt;DagK+DagH,"H",IF(MOD($A407-INDEX(SkiftStart,2),Syklus)&lt;DagK+DagH+DagD,"D","F")))</f>
        <v/>
      </c>
      <c r="D407">
        <f>IF(MOD($A407-INDEX(SkiftStart,3),Syklus)&lt;DagK,"K",IF(MOD($A407-INDEX(SkiftStart,3),Syklus)&lt;DagK+DagH,"H",IF(MOD($A407-INDEX(SkiftStart,3),Syklus)&lt;DagK+DagH+DagD,"D","F")))</f>
        <v/>
      </c>
      <c r="E407">
        <f>IF(B407="F",0,IF(WEEKDAY($A407,2)=5,INDEX(TimerFr,MATCH(B407,FaseKode,0)),INDEX(TimerMT,MATCH(B407,FaseKode,0))))</f>
        <v/>
      </c>
      <c r="F407">
        <f>IF(C407="F",0,IF(WEEKDAY($A407,2)=5,INDEX(TimerFr,MATCH(C407,FaseKode,0)),INDEX(TimerMT,MATCH(C407,FaseKode,0))))</f>
        <v/>
      </c>
      <c r="G407">
        <f>IF(D407="F",0,IF(WEEKDAY($A407,2)=5,INDEX(TimerFr,MATCH(D407,FaseKode,0)),INDEX(TimerMT,MATCH(D407,FaseKode,0))))</f>
        <v/>
      </c>
      <c r="H407">
        <f>IF(OR(H$4="",$A407&gt;TODAY()),0,IF(OR(INDEX($B407:$D407,H$5)="F",AND(H$6&gt;0,$A407&lt;H$6),AND(H$7&gt;0,$A407&gt;H$7)),0,MAX(0,ROUND((INDEX($E407:$G407,H$5)-SUMIFS(TF_Timer,TF_Tekniker,H$4,TF_Dato,$A407))*2,0)/2)))</f>
        <v/>
      </c>
      <c r="I407">
        <f>IF(OR(I$4="",$A407&gt;TODAY()),0,IF(OR(INDEX($B407:$D407,I$5)="F",AND(I$6&gt;0,$A407&lt;I$6),AND(I$7&gt;0,$A407&gt;I$7)),0,MAX(0,ROUND((INDEX($E407:$G407,I$5)-SUMIFS(TF_Timer,TF_Tekniker,I$4,TF_Dato,$A407))*2,0)/2)))</f>
        <v/>
      </c>
      <c r="J407">
        <f>IF(OR(J$4="",$A407&gt;TODAY()),0,IF(OR(INDEX($B407:$D407,J$5)="F",AND(J$6&gt;0,$A407&lt;J$6),AND(J$7&gt;0,$A407&gt;J$7)),0,MAX(0,ROUND((INDEX($E407:$G407,J$5)-SUMIFS(TF_Timer,TF_Tekniker,J$4,TF_Dato,$A407))*2,0)/2)))</f>
        <v/>
      </c>
      <c r="K407">
        <f>IF(OR(K$4="",$A407&gt;TODAY()),0,IF(OR(INDEX($B407:$D407,K$5)="F",AND(K$6&gt;0,$A407&lt;K$6),AND(K$7&gt;0,$A407&gt;K$7)),0,MAX(0,ROUND((INDEX($E407:$G407,K$5)-SUMIFS(TF_Timer,TF_Tekniker,K$4,TF_Dato,$A407))*2,0)/2)))</f>
        <v/>
      </c>
      <c r="L407">
        <f>IF(OR(L$4="",$A407&gt;TODAY()),0,IF(OR(INDEX($B407:$D407,L$5)="F",AND(L$6&gt;0,$A407&lt;L$6),AND(L$7&gt;0,$A407&gt;L$7)),0,MAX(0,ROUND((INDEX($E407:$G407,L$5)-SUMIFS(TF_Timer,TF_Tekniker,L$4,TF_Dato,$A407))*2,0)/2)))</f>
        <v/>
      </c>
      <c r="M407">
        <f>IF(OR(M$4="",$A407&gt;TODAY()),0,IF(OR(INDEX($B407:$D407,M$5)="F",AND(M$6&gt;0,$A407&lt;M$6),AND(M$7&gt;0,$A407&gt;M$7)),0,MAX(0,ROUND((INDEX($E407:$G407,M$5)-SUMIFS(TF_Timer,TF_Tekniker,M$4,TF_Dato,$A407))*2,0)/2)))</f>
        <v/>
      </c>
      <c r="N407">
        <f>IF(OR(N$4="",$A407&gt;TODAY()),0,IF(OR(INDEX($B407:$D407,N$5)="F",AND(N$6&gt;0,$A407&lt;N$6),AND(N$7&gt;0,$A407&gt;N$7)),0,MAX(0,ROUND((INDEX($E407:$G407,N$5)-SUMIFS(TF_Timer,TF_Tekniker,N$4,TF_Dato,$A407))*2,0)/2)))</f>
        <v/>
      </c>
      <c r="O407">
        <f>IF(OR(O$4="",$A407&gt;TODAY()),0,IF(OR(INDEX($B407:$D407,O$5)="F",AND(O$6&gt;0,$A407&lt;O$6),AND(O$7&gt;0,$A407&gt;O$7)),0,MAX(0,ROUND((INDEX($E407:$G407,O$5)-SUMIFS(TF_Timer,TF_Tekniker,O$4,TF_Dato,$A407))*2,0)/2)))</f>
        <v/>
      </c>
      <c r="P407">
        <f>IF(OR(P$4="",$A407&gt;TODAY()),0,IF(OR(INDEX($B407:$D407,P$5)="F",AND(P$6&gt;0,$A407&lt;P$6),AND(P$7&gt;0,$A407&gt;P$7)),0,MAX(0,ROUND((INDEX($E407:$G407,P$5)-SUMIFS(TF_Timer,TF_Tekniker,P$4,TF_Dato,$A407))*2,0)/2)))</f>
        <v/>
      </c>
      <c r="Q407">
        <f>IF(OR(Q$4="",$A407&gt;TODAY()),0,IF(OR(INDEX($B407:$D407,Q$5)="F",AND(Q$6&gt;0,$A407&lt;Q$6),AND(Q$7&gt;0,$A407&gt;Q$7)),0,MAX(0,ROUND((INDEX($E407:$G407,Q$5)-SUMIFS(TF_Timer,TF_Tekniker,Q$4,TF_Dato,$A407))*2,0)/2)))</f>
        <v/>
      </c>
      <c r="R407">
        <f>IF(OR(R$4="",$A407&gt;TODAY()),0,IF(OR(INDEX($B407:$D407,R$5)="F",AND(R$6&gt;0,$A407&lt;R$6),AND(R$7&gt;0,$A407&gt;R$7)),0,MAX(0,ROUND((INDEX($E407:$G407,R$5)-SUMIFS(TF_Timer,TF_Tekniker,R$4,TF_Dato,$A407))*2,0)/2)))</f>
        <v/>
      </c>
      <c r="S407">
        <f>IF(OR(S$4="",$A407&gt;TODAY()),0,IF(OR(INDEX($B407:$D407,S$5)="F",AND(S$6&gt;0,$A407&lt;S$6),AND(S$7&gt;0,$A407&gt;S$7)),0,MAX(0,ROUND((INDEX($E407:$G407,S$5)-SUMIFS(TF_Timer,TF_Tekniker,S$4,TF_Dato,$A407))*2,0)/2)))</f>
        <v/>
      </c>
      <c r="T407">
        <f>IF(OR(T$4="",$A407&gt;TODAY()),0,IF(OR(INDEX($B407:$D407,T$5)="F",AND(T$6&gt;0,$A407&lt;T$6),AND(T$7&gt;0,$A407&gt;T$7)),0,MAX(0,ROUND((INDEX($E407:$G407,T$5)-SUMIFS(TF_Timer,TF_Tekniker,T$4,TF_Dato,$A407))*2,0)/2)))</f>
        <v/>
      </c>
      <c r="U407">
        <f>IF(OR(U$4="",$A407&gt;TODAY()),0,IF(OR(INDEX($B407:$D407,U$5)="F",AND(U$6&gt;0,$A407&lt;U$6),AND(U$7&gt;0,$A407&gt;U$7)),0,MAX(0,ROUND((INDEX($E407:$G407,U$5)-SUMIFS(TF_Timer,TF_Tekniker,U$4,TF_Dato,$A407))*2,0)/2)))</f>
        <v/>
      </c>
      <c r="V407">
        <f>IF(OR(V$4="",$A407&gt;TODAY()),0,IF(OR(INDEX($B407:$D407,V$5)="F",AND(V$6&gt;0,$A407&lt;V$6),AND(V$7&gt;0,$A407&gt;V$7)),0,MAX(0,ROUND((INDEX($E407:$G407,V$5)-SUMIFS(TF_Timer,TF_Tekniker,V$4,TF_Dato,$A407))*2,0)/2)))</f>
        <v/>
      </c>
      <c r="W407">
        <f>IF(OR(W$4="",$A407&gt;TODAY()),0,IF(OR(INDEX($B407:$D407,W$5)="F",AND(W$6&gt;0,$A407&lt;W$6),AND(W$7&gt;0,$A407&gt;W$7)),0,MAX(0,ROUND((INDEX($E407:$G407,W$5)-SUMIFS(TF_Timer,TF_Tekniker,W$4,TF_Dato,$A407))*2,0)/2)))</f>
        <v/>
      </c>
      <c r="X407">
        <f>IF(OR(X$4="",$A407&gt;TODAY()),0,IF(OR(INDEX($B407:$D407,X$5)="F",AND(X$6&gt;0,$A407&lt;X$6),AND(X$7&gt;0,$A407&gt;X$7)),0,MAX(0,ROUND((INDEX($E407:$G407,X$5)-SUMIFS(TF_Timer,TF_Tekniker,X$4,TF_Dato,$A407))*2,0)/2)))</f>
        <v/>
      </c>
      <c r="Y407">
        <f>IF(OR(Y$4="",$A407&gt;TODAY()),0,IF(OR(INDEX($B407:$D407,Y$5)="F",AND(Y$6&gt;0,$A407&lt;Y$6),AND(Y$7&gt;0,$A407&gt;Y$7)),0,MAX(0,ROUND((INDEX($E407:$G407,Y$5)-SUMIFS(TF_Timer,TF_Tekniker,Y$4,TF_Dato,$A407))*2,0)/2)))</f>
        <v/>
      </c>
      <c r="Z407">
        <f>IF(OR(Z$4="",$A407&gt;TODAY()),0,IF(OR(INDEX($B407:$D407,Z$5)="F",AND(Z$6&gt;0,$A407&lt;Z$6),AND(Z$7&gt;0,$A407&gt;Z$7)),0,MAX(0,ROUND((INDEX($E407:$G407,Z$5)-SUMIFS(TF_Timer,TF_Tekniker,Z$4,TF_Dato,$A407))*2,0)/2)))</f>
        <v/>
      </c>
      <c r="AA407">
        <f>IF(OR(AA$4="",$A407&gt;TODAY()),0,IF(OR(INDEX($B407:$D407,AA$5)="F",AND(AA$6&gt;0,$A407&lt;AA$6),AND(AA$7&gt;0,$A407&gt;AA$7)),0,MAX(0,ROUND((INDEX($E407:$G407,AA$5)-SUMIFS(TF_Timer,TF_Tekniker,AA$4,TF_Dato,$A407))*2,0)/2)))</f>
        <v/>
      </c>
      <c r="AB407">
        <f>IF(OR(AB$4="",$A407&gt;TODAY()),0,IF(OR(INDEX($B407:$D407,AB$5)="F",AND(AB$6&gt;0,$A407&lt;AB$6),AND(AB$7&gt;0,$A407&gt;AB$7)),0,MAX(0,ROUND((INDEX($E407:$G407,AB$5)-SUMIFS(TF_Timer,TF_Tekniker,AB$4,TF_Dato,$A407))*2,0)/2)))</f>
        <v/>
      </c>
      <c r="AC407">
        <f>IF(OR(AC$4="",$A407&gt;TODAY()),0,IF(OR(INDEX($B407:$D407,AC$5)="F",AND(AC$6&gt;0,$A407&lt;AC$6),AND(AC$7&gt;0,$A407&gt;AC$7)),0,MAX(0,ROUND((INDEX($E407:$G407,AC$5)-SUMIFS(TF_Timer,TF_Tekniker,AC$4,TF_Dato,$A407))*2,0)/2)))</f>
        <v/>
      </c>
      <c r="AD407">
        <f>IF(OR(AD$4="",$A407&gt;TODAY()),0,IF(OR(INDEX($B407:$D407,AD$5)="F",AND(AD$6&gt;0,$A407&lt;AD$6),AND(AD$7&gt;0,$A407&gt;AD$7)),0,MAX(0,ROUND((INDEX($E407:$G407,AD$5)-SUMIFS(TF_Timer,TF_Tekniker,AD$4,TF_Dato,$A407))*2,0)/2)))</f>
        <v/>
      </c>
      <c r="AE407">
        <f>IF(OR(AE$4="",$A407&gt;TODAY()),0,IF(OR(INDEX($B407:$D407,AE$5)="F",AND(AE$6&gt;0,$A407&lt;AE$6),AND(AE$7&gt;0,$A407&gt;AE$7)),0,MAX(0,ROUND((INDEX($E407:$G407,AE$5)-SUMIFS(TF_Timer,TF_Tekniker,AE$4,TF_Dato,$A407))*2,0)/2)))</f>
        <v/>
      </c>
      <c r="AF407">
        <f>IF(OR(AF$4="",$A407&gt;TODAY()),0,IF(OR(INDEX($B407:$D407,AF$5)="F",AND(AF$6&gt;0,$A407&lt;AF$6),AND(AF$7&gt;0,$A407&gt;AF$7)),0,MAX(0,ROUND((INDEX($E407:$G407,AF$5)-SUMIFS(TF_Timer,TF_Tekniker,AF$4,TF_Dato,$A407))*2,0)/2)))</f>
        <v/>
      </c>
      <c r="AG407">
        <f>IF(OR(AG$4="",$A407&gt;TODAY()),0,IF(OR(INDEX($B407:$D407,AG$5)="F",AND(AG$6&gt;0,$A407&lt;AG$6),AND(AG$7&gt;0,$A407&gt;AG$7)),0,MAX(0,ROUND((INDEX($E407:$G407,AG$5)-SUMIFS(TF_Timer,TF_Tekniker,AG$4,TF_Dato,$A407))*2,0)/2)))</f>
        <v/>
      </c>
      <c r="AH407">
        <f>IF(OR(AH$4="",$A407&gt;TODAY()),0,IF(OR(INDEX($B407:$D407,AH$5)="F",AND(AH$6&gt;0,$A407&lt;AH$6),AND(AH$7&gt;0,$A407&gt;AH$7)),0,MAX(0,ROUND((INDEX($E407:$G407,AH$5)-SUMIFS(TF_Timer,TF_Tekniker,AH$4,TF_Dato,$A407))*2,0)/2)))</f>
        <v/>
      </c>
      <c r="AI407">
        <f>IF(OR(AI$4="",$A407&gt;TODAY()),0,IF(OR(INDEX($B407:$D407,AI$5)="F",AND(AI$6&gt;0,$A407&lt;AI$6),AND(AI$7&gt;0,$A407&gt;AI$7)),0,MAX(0,ROUND((INDEX($E407:$G407,AI$5)-SUMIFS(TF_Timer,TF_Tekniker,AI$4,TF_Dato,$A407))*2,0)/2)))</f>
        <v/>
      </c>
      <c r="AJ407">
        <f>IF(OR(AJ$4="",$A407&gt;TODAY()),0,IF(OR(INDEX($B407:$D407,AJ$5)="F",AND(AJ$6&gt;0,$A407&lt;AJ$6),AND(AJ$7&gt;0,$A407&gt;AJ$7)),0,MAX(0,ROUND((INDEX($E407:$G407,AJ$5)-SUMIFS(TF_Timer,TF_Tekniker,AJ$4,TF_Dato,$A407))*2,0)/2)))</f>
        <v/>
      </c>
      <c r="AK407">
        <f>IF(OR(AK$4="",$A407&gt;TODAY()),0,IF(OR(INDEX($B407:$D407,AK$5)="F",AND(AK$6&gt;0,$A407&lt;AK$6),AND(AK$7&gt;0,$A407&gt;AK$7)),0,MAX(0,ROUND((INDEX($E407:$G407,AK$5)-SUMIFS(TF_Timer,TF_Tekniker,AK$4,TF_Dato,$A407))*2,0)/2)))</f>
        <v/>
      </c>
      <c r="AL407">
        <f>IF(OR(AL$4="",$A407&gt;TODAY()),0,IF(OR(INDEX($B407:$D407,AL$5)="F",AND(AL$6&gt;0,$A407&lt;AL$6),AND(AL$7&gt;0,$A407&gt;AL$7)),0,MAX(0,ROUND((INDEX($E407:$G407,AL$5)-SUMIFS(TF_Timer,TF_Tekniker,AL$4,TF_Dato,$A407))*2,0)/2)))</f>
        <v/>
      </c>
      <c r="AM407">
        <f>IF(OR(AM$4="",$A407&gt;TODAY()),0,IF(OR(INDEX($B407:$D407,AM$5)="F",AND(AM$6&gt;0,$A407&lt;AM$6),AND(AM$7&gt;0,$A407&gt;AM$7)),0,MAX(0,ROUND((INDEX($E407:$G407,AM$5)-SUMIFS(TF_Timer,TF_Tekniker,AM$4,TF_Dato,$A407))*2,0)/2)))</f>
        <v/>
      </c>
      <c r="AN407">
        <f>IF(OR(AN$4="",$A407&gt;TODAY()),0,IF(OR(INDEX($B407:$D407,AN$5)="F",AND(AN$6&gt;0,$A407&lt;AN$6),AND(AN$7&gt;0,$A407&gt;AN$7)),0,MAX(0,ROUND((INDEX($E407:$G407,AN$5)-SUMIFS(TF_Timer,TF_Tekniker,AN$4,TF_Dato,$A407))*2,0)/2)))</f>
        <v/>
      </c>
      <c r="AO407">
        <f>IF(OR(AO$4="",$A407&gt;TODAY()),0,IF(OR(INDEX($B407:$D407,AO$5)="F",AND(AO$6&gt;0,$A407&lt;AO$6),AND(AO$7&gt;0,$A407&gt;AO$7)),0,MAX(0,ROUND((INDEX($E407:$G407,AO$5)-SUMIFS(TF_Timer,TF_Tekniker,AO$4,TF_Dato,$A407))*2,0)/2)))</f>
        <v/>
      </c>
      <c r="AP407">
        <f>IF(OR(AP$4="",$A407&gt;TODAY()),0,IF(OR(INDEX($B407:$D407,AP$5)="F",AND(AP$6&gt;0,$A407&lt;AP$6),AND(AP$7&gt;0,$A407&gt;AP$7)),0,MAX(0,ROUND((INDEX($E407:$G407,AP$5)-SUMIFS(TF_Timer,TF_Tekniker,AP$4,TF_Dato,$A407))*2,0)/2)))</f>
        <v/>
      </c>
      <c r="AQ407">
        <f>IF(OR(AQ$4="",$A407&gt;TODAY()),0,IF(OR(INDEX($B407:$D407,AQ$5)="F",AND(AQ$6&gt;0,$A407&lt;AQ$6),AND(AQ$7&gt;0,$A407&gt;AQ$7)),0,MAX(0,ROUND((INDEX($E407:$G407,AQ$5)-SUMIFS(TF_Timer,TF_Tekniker,AQ$4,TF_Dato,$A407))*2,0)/2)))</f>
        <v/>
      </c>
      <c r="AR407">
        <f>IF(OR(AR$4="",$A407&gt;TODAY()),0,IF(OR(INDEX($B407:$D407,AR$5)="F",AND(AR$6&gt;0,$A407&lt;AR$6),AND(AR$7&gt;0,$A407&gt;AR$7)),0,MAX(0,ROUND((INDEX($E407:$G407,AR$5)-SUMIFS(TF_Timer,TF_Tekniker,AR$4,TF_Dato,$A407))*2,0)/2)))</f>
        <v/>
      </c>
      <c r="AS407">
        <f>IF(OR(AS$4="",$A407&gt;TODAY()),0,IF(OR(INDEX($B407:$D407,AS$5)="F",AND(AS$6&gt;0,$A407&lt;AS$6),AND(AS$7&gt;0,$A407&gt;AS$7)),0,MAX(0,ROUND((INDEX($E407:$G407,AS$5)-SUMIFS(TF_Timer,TF_Tekniker,AS$4,TF_Dato,$A407))*2,0)/2)))</f>
        <v/>
      </c>
      <c r="AT407">
        <f>IF(OR(AT$4="",$A407&gt;TODAY()),0,IF(OR(INDEX($B407:$D407,AT$5)="F",AND(AT$6&gt;0,$A407&lt;AT$6),AND(AT$7&gt;0,$A407&gt;AT$7)),0,MAX(0,ROUND((INDEX($E407:$G407,AT$5)-SUMIFS(TF_Timer,TF_Tekniker,AT$4,TF_Dato,$A407))*2,0)/2)))</f>
        <v/>
      </c>
      <c r="AU407">
        <f>IF(OR(AU$4="",$A407&gt;TODAY()),0,IF(OR(INDEX($B407:$D407,AU$5)="F",AND(AU$6&gt;0,$A407&lt;AU$6),AND(AU$7&gt;0,$A407&gt;AU$7)),0,MAX(0,ROUND((INDEX($E407:$G407,AU$5)-SUMIFS(TF_Timer,TF_Tekniker,AU$4,TF_Dato,$A407))*2,0)/2)))</f>
        <v/>
      </c>
      <c r="AV407">
        <f>IF(OR(AV$4="",$A407&gt;TODAY()),0,IF(OR(INDEX($B407:$D407,AV$5)="F",AND(AV$6&gt;0,$A407&lt;AV$6),AND(AV$7&gt;0,$A407&gt;AV$7)),0,MAX(0,ROUND((INDEX($E407:$G407,AV$5)-SUMIFS(TF_Timer,TF_Tekniker,AV$4,TF_Dato,$A407))*2,0)/2)))</f>
        <v/>
      </c>
      <c r="AW407">
        <f>IF(OR(AW$4="",$A407&gt;TODAY()),0,IF(OR(INDEX($B407:$D407,AW$5)="F",AND(AW$6&gt;0,$A407&lt;AW$6),AND(AW$7&gt;0,$A407&gt;AW$7)),0,MAX(0,ROUND((INDEX($E407:$G407,AW$5)-SUMIFS(TF_Timer,TF_Tekniker,AW$4,TF_Dato,$A407))*2,0)/2)))</f>
        <v/>
      </c>
      <c r="AX407">
        <f>IF(OR(AX$4="",$A407&gt;TODAY()),0,IF(OR(INDEX($B407:$D407,AX$5)="F",AND(AX$6&gt;0,$A407&lt;AX$6),AND(AX$7&gt;0,$A407&gt;AX$7)),0,MAX(0,ROUND((INDEX($E407:$G407,AX$5)-SUMIFS(TF_Timer,TF_Tekniker,AX$4,TF_Dato,$A407))*2,0)/2)))</f>
        <v/>
      </c>
      <c r="AY407">
        <f>IF(OR(AY$4="",$A407&gt;TODAY()),0,IF(OR(INDEX($B407:$D407,AY$5)="F",AND(AY$6&gt;0,$A407&lt;AY$6),AND(AY$7&gt;0,$A407&gt;AY$7)),0,MAX(0,ROUND((INDEX($E407:$G407,AY$5)-SUMIFS(TF_Timer,TF_Tekniker,AY$4,TF_Dato,$A407))*2,0)/2)))</f>
        <v/>
      </c>
      <c r="AZ407">
        <f>IF(OR(AZ$4="",$A407&gt;TODAY()),0,IF(OR(INDEX($B407:$D407,AZ$5)="F",AND(AZ$6&gt;0,$A407&lt;AZ$6),AND(AZ$7&gt;0,$A407&gt;AZ$7)),0,MAX(0,ROUND((INDEX($E407:$G407,AZ$5)-SUMIFS(TF_Timer,TF_Tekniker,AZ$4,TF_Dato,$A407))*2,0)/2)))</f>
        <v/>
      </c>
      <c r="BA407">
        <f>IF(OR(BA$4="",$A407&gt;TODAY()),0,IF(OR(INDEX($B407:$D407,BA$5)="F",AND(BA$6&gt;0,$A407&lt;BA$6),AND(BA$7&gt;0,$A407&gt;BA$7)),0,MAX(0,ROUND((INDEX($E407:$G407,BA$5)-SUMIFS(TF_Timer,TF_Tekniker,BA$4,TF_Dato,$A407))*2,0)/2)))</f>
        <v/>
      </c>
      <c r="BB407">
        <f>IF(OR(BB$4="",$A407&gt;TODAY()),0,IF(OR(INDEX($B407:$D407,BB$5)="F",AND(BB$6&gt;0,$A407&lt;BB$6),AND(BB$7&gt;0,$A407&gt;BB$7)),0,MAX(0,ROUND((INDEX($E407:$G407,BB$5)-SUMIFS(TF_Timer,TF_Tekniker,BB$4,TF_Dato,$A407))*2,0)/2)))</f>
        <v/>
      </c>
      <c r="BC407">
        <f>IF(OR(BC$4="",$A407&gt;TODAY()),0,IF(OR(INDEX($B407:$D407,BC$5)="F",AND(BC$6&gt;0,$A407&lt;BC$6),AND(BC$7&gt;0,$A407&gt;BC$7)),0,MAX(0,ROUND((INDEX($E407:$G407,BC$5)-SUMIFS(TF_Timer,TF_Tekniker,BC$4,TF_Dato,$A407))*2,0)/2)))</f>
        <v/>
      </c>
      <c r="BD407">
        <f>IF(OR(BD$4="",$A407&gt;TODAY()),0,IF(OR(INDEX($B407:$D407,BD$5)="F",AND(BD$6&gt;0,$A407&lt;BD$6),AND(BD$7&gt;0,$A407&gt;BD$7)),0,MAX(0,ROUND((INDEX($E407:$G407,BD$5)-SUMIFS(TF_Timer,TF_Tekniker,BD$4,TF_Dato,$A407))*2,0)/2)))</f>
        <v/>
      </c>
      <c r="BE407">
        <f>IF(OR(BE$4="",$A407&gt;TODAY()),0,IF(OR(INDEX($B407:$D407,BE$5)="F",AND(BE$6&gt;0,$A407&lt;BE$6),AND(BE$7&gt;0,$A407&gt;BE$7)),0,MAX(0,ROUND((INDEX($E407:$G407,BE$5)-SUMIFS(TF_Timer,TF_Tekniker,BE$4,TF_Dato,$A407))*2,0)/2)))</f>
        <v/>
      </c>
      <c r="BF407">
        <f>IF(OR(BF$4="",$A407&gt;TODAY()),0,IF(OR(INDEX($B407:$D407,BF$5)="F",AND(BF$6&gt;0,$A407&lt;BF$6),AND(BF$7&gt;0,$A407&gt;BF$7)),0,MAX(0,ROUND((INDEX($E407:$G407,BF$5)-SUMIFS(TF_Timer,TF_Tekniker,BF$4,TF_Dato,$A407))*2,0)/2)))</f>
        <v/>
      </c>
      <c r="BG407">
        <f>IF(OR(BG$4="",$A407&gt;TODAY()),0,IF(OR(INDEX($B407:$D407,BG$5)="F",AND(BG$6&gt;0,$A407&lt;BG$6),AND(BG$7&gt;0,$A407&gt;BG$7)),0,MAX(0,ROUND((INDEX($E407:$G407,BG$5)-SUMIFS(TF_Timer,TF_Tekniker,BG$4,TF_Dato,$A407))*2,0)/2)))</f>
        <v/>
      </c>
      <c r="BH407">
        <f>IF(OR(BH$4="",$A407&gt;TODAY()),0,IF(OR(INDEX($B407:$D407,BH$5)="F",AND(BH$6&gt;0,$A407&lt;BH$6),AND(BH$7&gt;0,$A407&gt;BH$7)),0,MAX(0,ROUND((INDEX($E407:$G407,BH$5)-SUMIFS(TF_Timer,TF_Tekniker,BH$4,TF_Dato,$A407))*2,0)/2)))</f>
        <v/>
      </c>
      <c r="BI407">
        <f>IF(OR(BI$4="",$A407&gt;TODAY()),0,IF(OR(INDEX($B407:$D407,BI$5)="F",AND(BI$6&gt;0,$A407&lt;BI$6),AND(BI$7&gt;0,$A407&gt;BI$7)),0,MAX(0,ROUND((INDEX($E407:$G407,BI$5)-SUMIFS(TF_Timer,TF_Tekniker,BI$4,TF_Dato,$A407))*2,0)/2)))</f>
        <v/>
      </c>
    </row>
    <row r="408">
      <c r="A408" s="64">
        <f>A407+1</f>
        <v/>
      </c>
      <c r="B408">
        <f>IF(MOD($A408-INDEX(SkiftStart,1),Syklus)&lt;DagK,"K",IF(MOD($A408-INDEX(SkiftStart,1),Syklus)&lt;DagK+DagH,"H",IF(MOD($A408-INDEX(SkiftStart,1),Syklus)&lt;DagK+DagH+DagD,"D","F")))</f>
        <v/>
      </c>
      <c r="C408">
        <f>IF(MOD($A408-INDEX(SkiftStart,2),Syklus)&lt;DagK,"K",IF(MOD($A408-INDEX(SkiftStart,2),Syklus)&lt;DagK+DagH,"H",IF(MOD($A408-INDEX(SkiftStart,2),Syklus)&lt;DagK+DagH+DagD,"D","F")))</f>
        <v/>
      </c>
      <c r="D408">
        <f>IF(MOD($A408-INDEX(SkiftStart,3),Syklus)&lt;DagK,"K",IF(MOD($A408-INDEX(SkiftStart,3),Syklus)&lt;DagK+DagH,"H",IF(MOD($A408-INDEX(SkiftStart,3),Syklus)&lt;DagK+DagH+DagD,"D","F")))</f>
        <v/>
      </c>
      <c r="E408">
        <f>IF(B408="F",0,IF(WEEKDAY($A408,2)=5,INDEX(TimerFr,MATCH(B408,FaseKode,0)),INDEX(TimerMT,MATCH(B408,FaseKode,0))))</f>
        <v/>
      </c>
      <c r="F408">
        <f>IF(C408="F",0,IF(WEEKDAY($A408,2)=5,INDEX(TimerFr,MATCH(C408,FaseKode,0)),INDEX(TimerMT,MATCH(C408,FaseKode,0))))</f>
        <v/>
      </c>
      <c r="G408">
        <f>IF(D408="F",0,IF(WEEKDAY($A408,2)=5,INDEX(TimerFr,MATCH(D408,FaseKode,0)),INDEX(TimerMT,MATCH(D408,FaseKode,0))))</f>
        <v/>
      </c>
      <c r="H408">
        <f>IF(OR(H$4="",$A408&gt;TODAY()),0,IF(OR(INDEX($B408:$D408,H$5)="F",AND(H$6&gt;0,$A408&lt;H$6),AND(H$7&gt;0,$A408&gt;H$7)),0,MAX(0,ROUND((INDEX($E408:$G408,H$5)-SUMIFS(TF_Timer,TF_Tekniker,H$4,TF_Dato,$A408))*2,0)/2)))</f>
        <v/>
      </c>
      <c r="I408">
        <f>IF(OR(I$4="",$A408&gt;TODAY()),0,IF(OR(INDEX($B408:$D408,I$5)="F",AND(I$6&gt;0,$A408&lt;I$6),AND(I$7&gt;0,$A408&gt;I$7)),0,MAX(0,ROUND((INDEX($E408:$G408,I$5)-SUMIFS(TF_Timer,TF_Tekniker,I$4,TF_Dato,$A408))*2,0)/2)))</f>
        <v/>
      </c>
      <c r="J408">
        <f>IF(OR(J$4="",$A408&gt;TODAY()),0,IF(OR(INDEX($B408:$D408,J$5)="F",AND(J$6&gt;0,$A408&lt;J$6),AND(J$7&gt;0,$A408&gt;J$7)),0,MAX(0,ROUND((INDEX($E408:$G408,J$5)-SUMIFS(TF_Timer,TF_Tekniker,J$4,TF_Dato,$A408))*2,0)/2)))</f>
        <v/>
      </c>
      <c r="K408">
        <f>IF(OR(K$4="",$A408&gt;TODAY()),0,IF(OR(INDEX($B408:$D408,K$5)="F",AND(K$6&gt;0,$A408&lt;K$6),AND(K$7&gt;0,$A408&gt;K$7)),0,MAX(0,ROUND((INDEX($E408:$G408,K$5)-SUMIFS(TF_Timer,TF_Tekniker,K$4,TF_Dato,$A408))*2,0)/2)))</f>
        <v/>
      </c>
      <c r="L408">
        <f>IF(OR(L$4="",$A408&gt;TODAY()),0,IF(OR(INDEX($B408:$D408,L$5)="F",AND(L$6&gt;0,$A408&lt;L$6),AND(L$7&gt;0,$A408&gt;L$7)),0,MAX(0,ROUND((INDEX($E408:$G408,L$5)-SUMIFS(TF_Timer,TF_Tekniker,L$4,TF_Dato,$A408))*2,0)/2)))</f>
        <v/>
      </c>
      <c r="M408">
        <f>IF(OR(M$4="",$A408&gt;TODAY()),0,IF(OR(INDEX($B408:$D408,M$5)="F",AND(M$6&gt;0,$A408&lt;M$6),AND(M$7&gt;0,$A408&gt;M$7)),0,MAX(0,ROUND((INDEX($E408:$G408,M$5)-SUMIFS(TF_Timer,TF_Tekniker,M$4,TF_Dato,$A408))*2,0)/2)))</f>
        <v/>
      </c>
      <c r="N408">
        <f>IF(OR(N$4="",$A408&gt;TODAY()),0,IF(OR(INDEX($B408:$D408,N$5)="F",AND(N$6&gt;0,$A408&lt;N$6),AND(N$7&gt;0,$A408&gt;N$7)),0,MAX(0,ROUND((INDEX($E408:$G408,N$5)-SUMIFS(TF_Timer,TF_Tekniker,N$4,TF_Dato,$A408))*2,0)/2)))</f>
        <v/>
      </c>
      <c r="O408">
        <f>IF(OR(O$4="",$A408&gt;TODAY()),0,IF(OR(INDEX($B408:$D408,O$5)="F",AND(O$6&gt;0,$A408&lt;O$6),AND(O$7&gt;0,$A408&gt;O$7)),0,MAX(0,ROUND((INDEX($E408:$G408,O$5)-SUMIFS(TF_Timer,TF_Tekniker,O$4,TF_Dato,$A408))*2,0)/2)))</f>
        <v/>
      </c>
      <c r="P408">
        <f>IF(OR(P$4="",$A408&gt;TODAY()),0,IF(OR(INDEX($B408:$D408,P$5)="F",AND(P$6&gt;0,$A408&lt;P$6),AND(P$7&gt;0,$A408&gt;P$7)),0,MAX(0,ROUND((INDEX($E408:$G408,P$5)-SUMIFS(TF_Timer,TF_Tekniker,P$4,TF_Dato,$A408))*2,0)/2)))</f>
        <v/>
      </c>
      <c r="Q408">
        <f>IF(OR(Q$4="",$A408&gt;TODAY()),0,IF(OR(INDEX($B408:$D408,Q$5)="F",AND(Q$6&gt;0,$A408&lt;Q$6),AND(Q$7&gt;0,$A408&gt;Q$7)),0,MAX(0,ROUND((INDEX($E408:$G408,Q$5)-SUMIFS(TF_Timer,TF_Tekniker,Q$4,TF_Dato,$A408))*2,0)/2)))</f>
        <v/>
      </c>
      <c r="R408">
        <f>IF(OR(R$4="",$A408&gt;TODAY()),0,IF(OR(INDEX($B408:$D408,R$5)="F",AND(R$6&gt;0,$A408&lt;R$6),AND(R$7&gt;0,$A408&gt;R$7)),0,MAX(0,ROUND((INDEX($E408:$G408,R$5)-SUMIFS(TF_Timer,TF_Tekniker,R$4,TF_Dato,$A408))*2,0)/2)))</f>
        <v/>
      </c>
      <c r="S408">
        <f>IF(OR(S$4="",$A408&gt;TODAY()),0,IF(OR(INDEX($B408:$D408,S$5)="F",AND(S$6&gt;0,$A408&lt;S$6),AND(S$7&gt;0,$A408&gt;S$7)),0,MAX(0,ROUND((INDEX($E408:$G408,S$5)-SUMIFS(TF_Timer,TF_Tekniker,S$4,TF_Dato,$A408))*2,0)/2)))</f>
        <v/>
      </c>
      <c r="T408">
        <f>IF(OR(T$4="",$A408&gt;TODAY()),0,IF(OR(INDEX($B408:$D408,T$5)="F",AND(T$6&gt;0,$A408&lt;T$6),AND(T$7&gt;0,$A408&gt;T$7)),0,MAX(0,ROUND((INDEX($E408:$G408,T$5)-SUMIFS(TF_Timer,TF_Tekniker,T$4,TF_Dato,$A408))*2,0)/2)))</f>
        <v/>
      </c>
      <c r="U408">
        <f>IF(OR(U$4="",$A408&gt;TODAY()),0,IF(OR(INDEX($B408:$D408,U$5)="F",AND(U$6&gt;0,$A408&lt;U$6),AND(U$7&gt;0,$A408&gt;U$7)),0,MAX(0,ROUND((INDEX($E408:$G408,U$5)-SUMIFS(TF_Timer,TF_Tekniker,U$4,TF_Dato,$A408))*2,0)/2)))</f>
        <v/>
      </c>
      <c r="V408">
        <f>IF(OR(V$4="",$A408&gt;TODAY()),0,IF(OR(INDEX($B408:$D408,V$5)="F",AND(V$6&gt;0,$A408&lt;V$6),AND(V$7&gt;0,$A408&gt;V$7)),0,MAX(0,ROUND((INDEX($E408:$G408,V$5)-SUMIFS(TF_Timer,TF_Tekniker,V$4,TF_Dato,$A408))*2,0)/2)))</f>
        <v/>
      </c>
      <c r="W408">
        <f>IF(OR(W$4="",$A408&gt;TODAY()),0,IF(OR(INDEX($B408:$D408,W$5)="F",AND(W$6&gt;0,$A408&lt;W$6),AND(W$7&gt;0,$A408&gt;W$7)),0,MAX(0,ROUND((INDEX($E408:$G408,W$5)-SUMIFS(TF_Timer,TF_Tekniker,W$4,TF_Dato,$A408))*2,0)/2)))</f>
        <v/>
      </c>
      <c r="X408">
        <f>IF(OR(X$4="",$A408&gt;TODAY()),0,IF(OR(INDEX($B408:$D408,X$5)="F",AND(X$6&gt;0,$A408&lt;X$6),AND(X$7&gt;0,$A408&gt;X$7)),0,MAX(0,ROUND((INDEX($E408:$G408,X$5)-SUMIFS(TF_Timer,TF_Tekniker,X$4,TF_Dato,$A408))*2,0)/2)))</f>
        <v/>
      </c>
      <c r="Y408">
        <f>IF(OR(Y$4="",$A408&gt;TODAY()),0,IF(OR(INDEX($B408:$D408,Y$5)="F",AND(Y$6&gt;0,$A408&lt;Y$6),AND(Y$7&gt;0,$A408&gt;Y$7)),0,MAX(0,ROUND((INDEX($E408:$G408,Y$5)-SUMIFS(TF_Timer,TF_Tekniker,Y$4,TF_Dato,$A408))*2,0)/2)))</f>
        <v/>
      </c>
      <c r="Z408">
        <f>IF(OR(Z$4="",$A408&gt;TODAY()),0,IF(OR(INDEX($B408:$D408,Z$5)="F",AND(Z$6&gt;0,$A408&lt;Z$6),AND(Z$7&gt;0,$A408&gt;Z$7)),0,MAX(0,ROUND((INDEX($E408:$G408,Z$5)-SUMIFS(TF_Timer,TF_Tekniker,Z$4,TF_Dato,$A408))*2,0)/2)))</f>
        <v/>
      </c>
      <c r="AA408">
        <f>IF(OR(AA$4="",$A408&gt;TODAY()),0,IF(OR(INDEX($B408:$D408,AA$5)="F",AND(AA$6&gt;0,$A408&lt;AA$6),AND(AA$7&gt;0,$A408&gt;AA$7)),0,MAX(0,ROUND((INDEX($E408:$G408,AA$5)-SUMIFS(TF_Timer,TF_Tekniker,AA$4,TF_Dato,$A408))*2,0)/2)))</f>
        <v/>
      </c>
      <c r="AB408">
        <f>IF(OR(AB$4="",$A408&gt;TODAY()),0,IF(OR(INDEX($B408:$D408,AB$5)="F",AND(AB$6&gt;0,$A408&lt;AB$6),AND(AB$7&gt;0,$A408&gt;AB$7)),0,MAX(0,ROUND((INDEX($E408:$G408,AB$5)-SUMIFS(TF_Timer,TF_Tekniker,AB$4,TF_Dato,$A408))*2,0)/2)))</f>
        <v/>
      </c>
      <c r="AC408">
        <f>IF(OR(AC$4="",$A408&gt;TODAY()),0,IF(OR(INDEX($B408:$D408,AC$5)="F",AND(AC$6&gt;0,$A408&lt;AC$6),AND(AC$7&gt;0,$A408&gt;AC$7)),0,MAX(0,ROUND((INDEX($E408:$G408,AC$5)-SUMIFS(TF_Timer,TF_Tekniker,AC$4,TF_Dato,$A408))*2,0)/2)))</f>
        <v/>
      </c>
      <c r="AD408">
        <f>IF(OR(AD$4="",$A408&gt;TODAY()),0,IF(OR(INDEX($B408:$D408,AD$5)="F",AND(AD$6&gt;0,$A408&lt;AD$6),AND(AD$7&gt;0,$A408&gt;AD$7)),0,MAX(0,ROUND((INDEX($E408:$G408,AD$5)-SUMIFS(TF_Timer,TF_Tekniker,AD$4,TF_Dato,$A408))*2,0)/2)))</f>
        <v/>
      </c>
      <c r="AE408">
        <f>IF(OR(AE$4="",$A408&gt;TODAY()),0,IF(OR(INDEX($B408:$D408,AE$5)="F",AND(AE$6&gt;0,$A408&lt;AE$6),AND(AE$7&gt;0,$A408&gt;AE$7)),0,MAX(0,ROUND((INDEX($E408:$G408,AE$5)-SUMIFS(TF_Timer,TF_Tekniker,AE$4,TF_Dato,$A408))*2,0)/2)))</f>
        <v/>
      </c>
      <c r="AF408">
        <f>IF(OR(AF$4="",$A408&gt;TODAY()),0,IF(OR(INDEX($B408:$D408,AF$5)="F",AND(AF$6&gt;0,$A408&lt;AF$6),AND(AF$7&gt;0,$A408&gt;AF$7)),0,MAX(0,ROUND((INDEX($E408:$G408,AF$5)-SUMIFS(TF_Timer,TF_Tekniker,AF$4,TF_Dato,$A408))*2,0)/2)))</f>
        <v/>
      </c>
      <c r="AG408">
        <f>IF(OR(AG$4="",$A408&gt;TODAY()),0,IF(OR(INDEX($B408:$D408,AG$5)="F",AND(AG$6&gt;0,$A408&lt;AG$6),AND(AG$7&gt;0,$A408&gt;AG$7)),0,MAX(0,ROUND((INDEX($E408:$G408,AG$5)-SUMIFS(TF_Timer,TF_Tekniker,AG$4,TF_Dato,$A408))*2,0)/2)))</f>
        <v/>
      </c>
      <c r="AH408">
        <f>IF(OR(AH$4="",$A408&gt;TODAY()),0,IF(OR(INDEX($B408:$D408,AH$5)="F",AND(AH$6&gt;0,$A408&lt;AH$6),AND(AH$7&gt;0,$A408&gt;AH$7)),0,MAX(0,ROUND((INDEX($E408:$G408,AH$5)-SUMIFS(TF_Timer,TF_Tekniker,AH$4,TF_Dato,$A408))*2,0)/2)))</f>
        <v/>
      </c>
      <c r="AI408">
        <f>IF(OR(AI$4="",$A408&gt;TODAY()),0,IF(OR(INDEX($B408:$D408,AI$5)="F",AND(AI$6&gt;0,$A408&lt;AI$6),AND(AI$7&gt;0,$A408&gt;AI$7)),0,MAX(0,ROUND((INDEX($E408:$G408,AI$5)-SUMIFS(TF_Timer,TF_Tekniker,AI$4,TF_Dato,$A408))*2,0)/2)))</f>
        <v/>
      </c>
      <c r="AJ408">
        <f>IF(OR(AJ$4="",$A408&gt;TODAY()),0,IF(OR(INDEX($B408:$D408,AJ$5)="F",AND(AJ$6&gt;0,$A408&lt;AJ$6),AND(AJ$7&gt;0,$A408&gt;AJ$7)),0,MAX(0,ROUND((INDEX($E408:$G408,AJ$5)-SUMIFS(TF_Timer,TF_Tekniker,AJ$4,TF_Dato,$A408))*2,0)/2)))</f>
        <v/>
      </c>
      <c r="AK408">
        <f>IF(OR(AK$4="",$A408&gt;TODAY()),0,IF(OR(INDEX($B408:$D408,AK$5)="F",AND(AK$6&gt;0,$A408&lt;AK$6),AND(AK$7&gt;0,$A408&gt;AK$7)),0,MAX(0,ROUND((INDEX($E408:$G408,AK$5)-SUMIFS(TF_Timer,TF_Tekniker,AK$4,TF_Dato,$A408))*2,0)/2)))</f>
        <v/>
      </c>
      <c r="AL408">
        <f>IF(OR(AL$4="",$A408&gt;TODAY()),0,IF(OR(INDEX($B408:$D408,AL$5)="F",AND(AL$6&gt;0,$A408&lt;AL$6),AND(AL$7&gt;0,$A408&gt;AL$7)),0,MAX(0,ROUND((INDEX($E408:$G408,AL$5)-SUMIFS(TF_Timer,TF_Tekniker,AL$4,TF_Dato,$A408))*2,0)/2)))</f>
        <v/>
      </c>
      <c r="AM408">
        <f>IF(OR(AM$4="",$A408&gt;TODAY()),0,IF(OR(INDEX($B408:$D408,AM$5)="F",AND(AM$6&gt;0,$A408&lt;AM$6),AND(AM$7&gt;0,$A408&gt;AM$7)),0,MAX(0,ROUND((INDEX($E408:$G408,AM$5)-SUMIFS(TF_Timer,TF_Tekniker,AM$4,TF_Dato,$A408))*2,0)/2)))</f>
        <v/>
      </c>
      <c r="AN408">
        <f>IF(OR(AN$4="",$A408&gt;TODAY()),0,IF(OR(INDEX($B408:$D408,AN$5)="F",AND(AN$6&gt;0,$A408&lt;AN$6),AND(AN$7&gt;0,$A408&gt;AN$7)),0,MAX(0,ROUND((INDEX($E408:$G408,AN$5)-SUMIFS(TF_Timer,TF_Tekniker,AN$4,TF_Dato,$A408))*2,0)/2)))</f>
        <v/>
      </c>
      <c r="AO408">
        <f>IF(OR(AO$4="",$A408&gt;TODAY()),0,IF(OR(INDEX($B408:$D408,AO$5)="F",AND(AO$6&gt;0,$A408&lt;AO$6),AND(AO$7&gt;0,$A408&gt;AO$7)),0,MAX(0,ROUND((INDEX($E408:$G408,AO$5)-SUMIFS(TF_Timer,TF_Tekniker,AO$4,TF_Dato,$A408))*2,0)/2)))</f>
        <v/>
      </c>
      <c r="AP408">
        <f>IF(OR(AP$4="",$A408&gt;TODAY()),0,IF(OR(INDEX($B408:$D408,AP$5)="F",AND(AP$6&gt;0,$A408&lt;AP$6),AND(AP$7&gt;0,$A408&gt;AP$7)),0,MAX(0,ROUND((INDEX($E408:$G408,AP$5)-SUMIFS(TF_Timer,TF_Tekniker,AP$4,TF_Dato,$A408))*2,0)/2)))</f>
        <v/>
      </c>
      <c r="AQ408">
        <f>IF(OR(AQ$4="",$A408&gt;TODAY()),0,IF(OR(INDEX($B408:$D408,AQ$5)="F",AND(AQ$6&gt;0,$A408&lt;AQ$6),AND(AQ$7&gt;0,$A408&gt;AQ$7)),0,MAX(0,ROUND((INDEX($E408:$G408,AQ$5)-SUMIFS(TF_Timer,TF_Tekniker,AQ$4,TF_Dato,$A408))*2,0)/2)))</f>
        <v/>
      </c>
      <c r="AR408">
        <f>IF(OR(AR$4="",$A408&gt;TODAY()),0,IF(OR(INDEX($B408:$D408,AR$5)="F",AND(AR$6&gt;0,$A408&lt;AR$6),AND(AR$7&gt;0,$A408&gt;AR$7)),0,MAX(0,ROUND((INDEX($E408:$G408,AR$5)-SUMIFS(TF_Timer,TF_Tekniker,AR$4,TF_Dato,$A408))*2,0)/2)))</f>
        <v/>
      </c>
      <c r="AS408">
        <f>IF(OR(AS$4="",$A408&gt;TODAY()),0,IF(OR(INDEX($B408:$D408,AS$5)="F",AND(AS$6&gt;0,$A408&lt;AS$6),AND(AS$7&gt;0,$A408&gt;AS$7)),0,MAX(0,ROUND((INDEX($E408:$G408,AS$5)-SUMIFS(TF_Timer,TF_Tekniker,AS$4,TF_Dato,$A408))*2,0)/2)))</f>
        <v/>
      </c>
      <c r="AT408">
        <f>IF(OR(AT$4="",$A408&gt;TODAY()),0,IF(OR(INDEX($B408:$D408,AT$5)="F",AND(AT$6&gt;0,$A408&lt;AT$6),AND(AT$7&gt;0,$A408&gt;AT$7)),0,MAX(0,ROUND((INDEX($E408:$G408,AT$5)-SUMIFS(TF_Timer,TF_Tekniker,AT$4,TF_Dato,$A408))*2,0)/2)))</f>
        <v/>
      </c>
      <c r="AU408">
        <f>IF(OR(AU$4="",$A408&gt;TODAY()),0,IF(OR(INDEX($B408:$D408,AU$5)="F",AND(AU$6&gt;0,$A408&lt;AU$6),AND(AU$7&gt;0,$A408&gt;AU$7)),0,MAX(0,ROUND((INDEX($E408:$G408,AU$5)-SUMIFS(TF_Timer,TF_Tekniker,AU$4,TF_Dato,$A408))*2,0)/2)))</f>
        <v/>
      </c>
      <c r="AV408">
        <f>IF(OR(AV$4="",$A408&gt;TODAY()),0,IF(OR(INDEX($B408:$D408,AV$5)="F",AND(AV$6&gt;0,$A408&lt;AV$6),AND(AV$7&gt;0,$A408&gt;AV$7)),0,MAX(0,ROUND((INDEX($E408:$G408,AV$5)-SUMIFS(TF_Timer,TF_Tekniker,AV$4,TF_Dato,$A408))*2,0)/2)))</f>
        <v/>
      </c>
      <c r="AW408">
        <f>IF(OR(AW$4="",$A408&gt;TODAY()),0,IF(OR(INDEX($B408:$D408,AW$5)="F",AND(AW$6&gt;0,$A408&lt;AW$6),AND(AW$7&gt;0,$A408&gt;AW$7)),0,MAX(0,ROUND((INDEX($E408:$G408,AW$5)-SUMIFS(TF_Timer,TF_Tekniker,AW$4,TF_Dato,$A408))*2,0)/2)))</f>
        <v/>
      </c>
      <c r="AX408">
        <f>IF(OR(AX$4="",$A408&gt;TODAY()),0,IF(OR(INDEX($B408:$D408,AX$5)="F",AND(AX$6&gt;0,$A408&lt;AX$6),AND(AX$7&gt;0,$A408&gt;AX$7)),0,MAX(0,ROUND((INDEX($E408:$G408,AX$5)-SUMIFS(TF_Timer,TF_Tekniker,AX$4,TF_Dato,$A408))*2,0)/2)))</f>
        <v/>
      </c>
      <c r="AY408">
        <f>IF(OR(AY$4="",$A408&gt;TODAY()),0,IF(OR(INDEX($B408:$D408,AY$5)="F",AND(AY$6&gt;0,$A408&lt;AY$6),AND(AY$7&gt;0,$A408&gt;AY$7)),0,MAX(0,ROUND((INDEX($E408:$G408,AY$5)-SUMIFS(TF_Timer,TF_Tekniker,AY$4,TF_Dato,$A408))*2,0)/2)))</f>
        <v/>
      </c>
      <c r="AZ408">
        <f>IF(OR(AZ$4="",$A408&gt;TODAY()),0,IF(OR(INDEX($B408:$D408,AZ$5)="F",AND(AZ$6&gt;0,$A408&lt;AZ$6),AND(AZ$7&gt;0,$A408&gt;AZ$7)),0,MAX(0,ROUND((INDEX($E408:$G408,AZ$5)-SUMIFS(TF_Timer,TF_Tekniker,AZ$4,TF_Dato,$A408))*2,0)/2)))</f>
        <v/>
      </c>
      <c r="BA408">
        <f>IF(OR(BA$4="",$A408&gt;TODAY()),0,IF(OR(INDEX($B408:$D408,BA$5)="F",AND(BA$6&gt;0,$A408&lt;BA$6),AND(BA$7&gt;0,$A408&gt;BA$7)),0,MAX(0,ROUND((INDEX($E408:$G408,BA$5)-SUMIFS(TF_Timer,TF_Tekniker,BA$4,TF_Dato,$A408))*2,0)/2)))</f>
        <v/>
      </c>
      <c r="BB408">
        <f>IF(OR(BB$4="",$A408&gt;TODAY()),0,IF(OR(INDEX($B408:$D408,BB$5)="F",AND(BB$6&gt;0,$A408&lt;BB$6),AND(BB$7&gt;0,$A408&gt;BB$7)),0,MAX(0,ROUND((INDEX($E408:$G408,BB$5)-SUMIFS(TF_Timer,TF_Tekniker,BB$4,TF_Dato,$A408))*2,0)/2)))</f>
        <v/>
      </c>
      <c r="BC408">
        <f>IF(OR(BC$4="",$A408&gt;TODAY()),0,IF(OR(INDEX($B408:$D408,BC$5)="F",AND(BC$6&gt;0,$A408&lt;BC$6),AND(BC$7&gt;0,$A408&gt;BC$7)),0,MAX(0,ROUND((INDEX($E408:$G408,BC$5)-SUMIFS(TF_Timer,TF_Tekniker,BC$4,TF_Dato,$A408))*2,0)/2)))</f>
        <v/>
      </c>
      <c r="BD408">
        <f>IF(OR(BD$4="",$A408&gt;TODAY()),0,IF(OR(INDEX($B408:$D408,BD$5)="F",AND(BD$6&gt;0,$A408&lt;BD$6),AND(BD$7&gt;0,$A408&gt;BD$7)),0,MAX(0,ROUND((INDEX($E408:$G408,BD$5)-SUMIFS(TF_Timer,TF_Tekniker,BD$4,TF_Dato,$A408))*2,0)/2)))</f>
        <v/>
      </c>
      <c r="BE408">
        <f>IF(OR(BE$4="",$A408&gt;TODAY()),0,IF(OR(INDEX($B408:$D408,BE$5)="F",AND(BE$6&gt;0,$A408&lt;BE$6),AND(BE$7&gt;0,$A408&gt;BE$7)),0,MAX(0,ROUND((INDEX($E408:$G408,BE$5)-SUMIFS(TF_Timer,TF_Tekniker,BE$4,TF_Dato,$A408))*2,0)/2)))</f>
        <v/>
      </c>
      <c r="BF408">
        <f>IF(OR(BF$4="",$A408&gt;TODAY()),0,IF(OR(INDEX($B408:$D408,BF$5)="F",AND(BF$6&gt;0,$A408&lt;BF$6),AND(BF$7&gt;0,$A408&gt;BF$7)),0,MAX(0,ROUND((INDEX($E408:$G408,BF$5)-SUMIFS(TF_Timer,TF_Tekniker,BF$4,TF_Dato,$A408))*2,0)/2)))</f>
        <v/>
      </c>
      <c r="BG408">
        <f>IF(OR(BG$4="",$A408&gt;TODAY()),0,IF(OR(INDEX($B408:$D408,BG$5)="F",AND(BG$6&gt;0,$A408&lt;BG$6),AND(BG$7&gt;0,$A408&gt;BG$7)),0,MAX(0,ROUND((INDEX($E408:$G408,BG$5)-SUMIFS(TF_Timer,TF_Tekniker,BG$4,TF_Dato,$A408))*2,0)/2)))</f>
        <v/>
      </c>
      <c r="BH408">
        <f>IF(OR(BH$4="",$A408&gt;TODAY()),0,IF(OR(INDEX($B408:$D408,BH$5)="F",AND(BH$6&gt;0,$A408&lt;BH$6),AND(BH$7&gt;0,$A408&gt;BH$7)),0,MAX(0,ROUND((INDEX($E408:$G408,BH$5)-SUMIFS(TF_Timer,TF_Tekniker,BH$4,TF_Dato,$A408))*2,0)/2)))</f>
        <v/>
      </c>
      <c r="BI408">
        <f>IF(OR(BI$4="",$A408&gt;TODAY()),0,IF(OR(INDEX($B408:$D408,BI$5)="F",AND(BI$6&gt;0,$A408&lt;BI$6),AND(BI$7&gt;0,$A408&gt;BI$7)),0,MAX(0,ROUND((INDEX($E408:$G408,BI$5)-SUMIFS(TF_Timer,TF_Tekniker,BI$4,TF_Dato,$A408))*2,0)/2)))</f>
        <v/>
      </c>
    </row>
    <row r="409">
      <c r="A409" s="64">
        <f>A408+1</f>
        <v/>
      </c>
      <c r="B409">
        <f>IF(MOD($A409-INDEX(SkiftStart,1),Syklus)&lt;DagK,"K",IF(MOD($A409-INDEX(SkiftStart,1),Syklus)&lt;DagK+DagH,"H",IF(MOD($A409-INDEX(SkiftStart,1),Syklus)&lt;DagK+DagH+DagD,"D","F")))</f>
        <v/>
      </c>
      <c r="C409">
        <f>IF(MOD($A409-INDEX(SkiftStart,2),Syklus)&lt;DagK,"K",IF(MOD($A409-INDEX(SkiftStart,2),Syklus)&lt;DagK+DagH,"H",IF(MOD($A409-INDEX(SkiftStart,2),Syklus)&lt;DagK+DagH+DagD,"D","F")))</f>
        <v/>
      </c>
      <c r="D409">
        <f>IF(MOD($A409-INDEX(SkiftStart,3),Syklus)&lt;DagK,"K",IF(MOD($A409-INDEX(SkiftStart,3),Syklus)&lt;DagK+DagH,"H",IF(MOD($A409-INDEX(SkiftStart,3),Syklus)&lt;DagK+DagH+DagD,"D","F")))</f>
        <v/>
      </c>
      <c r="E409">
        <f>IF(B409="F",0,IF(WEEKDAY($A409,2)=5,INDEX(TimerFr,MATCH(B409,FaseKode,0)),INDEX(TimerMT,MATCH(B409,FaseKode,0))))</f>
        <v/>
      </c>
      <c r="F409">
        <f>IF(C409="F",0,IF(WEEKDAY($A409,2)=5,INDEX(TimerFr,MATCH(C409,FaseKode,0)),INDEX(TimerMT,MATCH(C409,FaseKode,0))))</f>
        <v/>
      </c>
      <c r="G409">
        <f>IF(D409="F",0,IF(WEEKDAY($A409,2)=5,INDEX(TimerFr,MATCH(D409,FaseKode,0)),INDEX(TimerMT,MATCH(D409,FaseKode,0))))</f>
        <v/>
      </c>
      <c r="H409">
        <f>IF(OR(H$4="",$A409&gt;TODAY()),0,IF(OR(INDEX($B409:$D409,H$5)="F",AND(H$6&gt;0,$A409&lt;H$6),AND(H$7&gt;0,$A409&gt;H$7)),0,MAX(0,ROUND((INDEX($E409:$G409,H$5)-SUMIFS(TF_Timer,TF_Tekniker,H$4,TF_Dato,$A409))*2,0)/2)))</f>
        <v/>
      </c>
      <c r="I409">
        <f>IF(OR(I$4="",$A409&gt;TODAY()),0,IF(OR(INDEX($B409:$D409,I$5)="F",AND(I$6&gt;0,$A409&lt;I$6),AND(I$7&gt;0,$A409&gt;I$7)),0,MAX(0,ROUND((INDEX($E409:$G409,I$5)-SUMIFS(TF_Timer,TF_Tekniker,I$4,TF_Dato,$A409))*2,0)/2)))</f>
        <v/>
      </c>
      <c r="J409">
        <f>IF(OR(J$4="",$A409&gt;TODAY()),0,IF(OR(INDEX($B409:$D409,J$5)="F",AND(J$6&gt;0,$A409&lt;J$6),AND(J$7&gt;0,$A409&gt;J$7)),0,MAX(0,ROUND((INDEX($E409:$G409,J$5)-SUMIFS(TF_Timer,TF_Tekniker,J$4,TF_Dato,$A409))*2,0)/2)))</f>
        <v/>
      </c>
      <c r="K409">
        <f>IF(OR(K$4="",$A409&gt;TODAY()),0,IF(OR(INDEX($B409:$D409,K$5)="F",AND(K$6&gt;0,$A409&lt;K$6),AND(K$7&gt;0,$A409&gt;K$7)),0,MAX(0,ROUND((INDEX($E409:$G409,K$5)-SUMIFS(TF_Timer,TF_Tekniker,K$4,TF_Dato,$A409))*2,0)/2)))</f>
        <v/>
      </c>
      <c r="L409">
        <f>IF(OR(L$4="",$A409&gt;TODAY()),0,IF(OR(INDEX($B409:$D409,L$5)="F",AND(L$6&gt;0,$A409&lt;L$6),AND(L$7&gt;0,$A409&gt;L$7)),0,MAX(0,ROUND((INDEX($E409:$G409,L$5)-SUMIFS(TF_Timer,TF_Tekniker,L$4,TF_Dato,$A409))*2,0)/2)))</f>
        <v/>
      </c>
      <c r="M409">
        <f>IF(OR(M$4="",$A409&gt;TODAY()),0,IF(OR(INDEX($B409:$D409,M$5)="F",AND(M$6&gt;0,$A409&lt;M$6),AND(M$7&gt;0,$A409&gt;M$7)),0,MAX(0,ROUND((INDEX($E409:$G409,M$5)-SUMIFS(TF_Timer,TF_Tekniker,M$4,TF_Dato,$A409))*2,0)/2)))</f>
        <v/>
      </c>
      <c r="N409">
        <f>IF(OR(N$4="",$A409&gt;TODAY()),0,IF(OR(INDEX($B409:$D409,N$5)="F",AND(N$6&gt;0,$A409&lt;N$6),AND(N$7&gt;0,$A409&gt;N$7)),0,MAX(0,ROUND((INDEX($E409:$G409,N$5)-SUMIFS(TF_Timer,TF_Tekniker,N$4,TF_Dato,$A409))*2,0)/2)))</f>
        <v/>
      </c>
      <c r="O409">
        <f>IF(OR(O$4="",$A409&gt;TODAY()),0,IF(OR(INDEX($B409:$D409,O$5)="F",AND(O$6&gt;0,$A409&lt;O$6),AND(O$7&gt;0,$A409&gt;O$7)),0,MAX(0,ROUND((INDEX($E409:$G409,O$5)-SUMIFS(TF_Timer,TF_Tekniker,O$4,TF_Dato,$A409))*2,0)/2)))</f>
        <v/>
      </c>
      <c r="P409">
        <f>IF(OR(P$4="",$A409&gt;TODAY()),0,IF(OR(INDEX($B409:$D409,P$5)="F",AND(P$6&gt;0,$A409&lt;P$6),AND(P$7&gt;0,$A409&gt;P$7)),0,MAX(0,ROUND((INDEX($E409:$G409,P$5)-SUMIFS(TF_Timer,TF_Tekniker,P$4,TF_Dato,$A409))*2,0)/2)))</f>
        <v/>
      </c>
      <c r="Q409">
        <f>IF(OR(Q$4="",$A409&gt;TODAY()),0,IF(OR(INDEX($B409:$D409,Q$5)="F",AND(Q$6&gt;0,$A409&lt;Q$6),AND(Q$7&gt;0,$A409&gt;Q$7)),0,MAX(0,ROUND((INDEX($E409:$G409,Q$5)-SUMIFS(TF_Timer,TF_Tekniker,Q$4,TF_Dato,$A409))*2,0)/2)))</f>
        <v/>
      </c>
      <c r="R409">
        <f>IF(OR(R$4="",$A409&gt;TODAY()),0,IF(OR(INDEX($B409:$D409,R$5)="F",AND(R$6&gt;0,$A409&lt;R$6),AND(R$7&gt;0,$A409&gt;R$7)),0,MAX(0,ROUND((INDEX($E409:$G409,R$5)-SUMIFS(TF_Timer,TF_Tekniker,R$4,TF_Dato,$A409))*2,0)/2)))</f>
        <v/>
      </c>
      <c r="S409">
        <f>IF(OR(S$4="",$A409&gt;TODAY()),0,IF(OR(INDEX($B409:$D409,S$5)="F",AND(S$6&gt;0,$A409&lt;S$6),AND(S$7&gt;0,$A409&gt;S$7)),0,MAX(0,ROUND((INDEX($E409:$G409,S$5)-SUMIFS(TF_Timer,TF_Tekniker,S$4,TF_Dato,$A409))*2,0)/2)))</f>
        <v/>
      </c>
      <c r="T409">
        <f>IF(OR(T$4="",$A409&gt;TODAY()),0,IF(OR(INDEX($B409:$D409,T$5)="F",AND(T$6&gt;0,$A409&lt;T$6),AND(T$7&gt;0,$A409&gt;T$7)),0,MAX(0,ROUND((INDEX($E409:$G409,T$5)-SUMIFS(TF_Timer,TF_Tekniker,T$4,TF_Dato,$A409))*2,0)/2)))</f>
        <v/>
      </c>
      <c r="U409">
        <f>IF(OR(U$4="",$A409&gt;TODAY()),0,IF(OR(INDEX($B409:$D409,U$5)="F",AND(U$6&gt;0,$A409&lt;U$6),AND(U$7&gt;0,$A409&gt;U$7)),0,MAX(0,ROUND((INDEX($E409:$G409,U$5)-SUMIFS(TF_Timer,TF_Tekniker,U$4,TF_Dato,$A409))*2,0)/2)))</f>
        <v/>
      </c>
      <c r="V409">
        <f>IF(OR(V$4="",$A409&gt;TODAY()),0,IF(OR(INDEX($B409:$D409,V$5)="F",AND(V$6&gt;0,$A409&lt;V$6),AND(V$7&gt;0,$A409&gt;V$7)),0,MAX(0,ROUND((INDEX($E409:$G409,V$5)-SUMIFS(TF_Timer,TF_Tekniker,V$4,TF_Dato,$A409))*2,0)/2)))</f>
        <v/>
      </c>
      <c r="W409">
        <f>IF(OR(W$4="",$A409&gt;TODAY()),0,IF(OR(INDEX($B409:$D409,W$5)="F",AND(W$6&gt;0,$A409&lt;W$6),AND(W$7&gt;0,$A409&gt;W$7)),0,MAX(0,ROUND((INDEX($E409:$G409,W$5)-SUMIFS(TF_Timer,TF_Tekniker,W$4,TF_Dato,$A409))*2,0)/2)))</f>
        <v/>
      </c>
      <c r="X409">
        <f>IF(OR(X$4="",$A409&gt;TODAY()),0,IF(OR(INDEX($B409:$D409,X$5)="F",AND(X$6&gt;0,$A409&lt;X$6),AND(X$7&gt;0,$A409&gt;X$7)),0,MAX(0,ROUND((INDEX($E409:$G409,X$5)-SUMIFS(TF_Timer,TF_Tekniker,X$4,TF_Dato,$A409))*2,0)/2)))</f>
        <v/>
      </c>
      <c r="Y409">
        <f>IF(OR(Y$4="",$A409&gt;TODAY()),0,IF(OR(INDEX($B409:$D409,Y$5)="F",AND(Y$6&gt;0,$A409&lt;Y$6),AND(Y$7&gt;0,$A409&gt;Y$7)),0,MAX(0,ROUND((INDEX($E409:$G409,Y$5)-SUMIFS(TF_Timer,TF_Tekniker,Y$4,TF_Dato,$A409))*2,0)/2)))</f>
        <v/>
      </c>
      <c r="Z409">
        <f>IF(OR(Z$4="",$A409&gt;TODAY()),0,IF(OR(INDEX($B409:$D409,Z$5)="F",AND(Z$6&gt;0,$A409&lt;Z$6),AND(Z$7&gt;0,$A409&gt;Z$7)),0,MAX(0,ROUND((INDEX($E409:$G409,Z$5)-SUMIFS(TF_Timer,TF_Tekniker,Z$4,TF_Dato,$A409))*2,0)/2)))</f>
        <v/>
      </c>
      <c r="AA409">
        <f>IF(OR(AA$4="",$A409&gt;TODAY()),0,IF(OR(INDEX($B409:$D409,AA$5)="F",AND(AA$6&gt;0,$A409&lt;AA$6),AND(AA$7&gt;0,$A409&gt;AA$7)),0,MAX(0,ROUND((INDEX($E409:$G409,AA$5)-SUMIFS(TF_Timer,TF_Tekniker,AA$4,TF_Dato,$A409))*2,0)/2)))</f>
        <v/>
      </c>
      <c r="AB409">
        <f>IF(OR(AB$4="",$A409&gt;TODAY()),0,IF(OR(INDEX($B409:$D409,AB$5)="F",AND(AB$6&gt;0,$A409&lt;AB$6),AND(AB$7&gt;0,$A409&gt;AB$7)),0,MAX(0,ROUND((INDEX($E409:$G409,AB$5)-SUMIFS(TF_Timer,TF_Tekniker,AB$4,TF_Dato,$A409))*2,0)/2)))</f>
        <v/>
      </c>
      <c r="AC409">
        <f>IF(OR(AC$4="",$A409&gt;TODAY()),0,IF(OR(INDEX($B409:$D409,AC$5)="F",AND(AC$6&gt;0,$A409&lt;AC$6),AND(AC$7&gt;0,$A409&gt;AC$7)),0,MAX(0,ROUND((INDEX($E409:$G409,AC$5)-SUMIFS(TF_Timer,TF_Tekniker,AC$4,TF_Dato,$A409))*2,0)/2)))</f>
        <v/>
      </c>
      <c r="AD409">
        <f>IF(OR(AD$4="",$A409&gt;TODAY()),0,IF(OR(INDEX($B409:$D409,AD$5)="F",AND(AD$6&gt;0,$A409&lt;AD$6),AND(AD$7&gt;0,$A409&gt;AD$7)),0,MAX(0,ROUND((INDEX($E409:$G409,AD$5)-SUMIFS(TF_Timer,TF_Tekniker,AD$4,TF_Dato,$A409))*2,0)/2)))</f>
        <v/>
      </c>
      <c r="AE409">
        <f>IF(OR(AE$4="",$A409&gt;TODAY()),0,IF(OR(INDEX($B409:$D409,AE$5)="F",AND(AE$6&gt;0,$A409&lt;AE$6),AND(AE$7&gt;0,$A409&gt;AE$7)),0,MAX(0,ROUND((INDEX($E409:$G409,AE$5)-SUMIFS(TF_Timer,TF_Tekniker,AE$4,TF_Dato,$A409))*2,0)/2)))</f>
        <v/>
      </c>
      <c r="AF409">
        <f>IF(OR(AF$4="",$A409&gt;TODAY()),0,IF(OR(INDEX($B409:$D409,AF$5)="F",AND(AF$6&gt;0,$A409&lt;AF$6),AND(AF$7&gt;0,$A409&gt;AF$7)),0,MAX(0,ROUND((INDEX($E409:$G409,AF$5)-SUMIFS(TF_Timer,TF_Tekniker,AF$4,TF_Dato,$A409))*2,0)/2)))</f>
        <v/>
      </c>
      <c r="AG409">
        <f>IF(OR(AG$4="",$A409&gt;TODAY()),0,IF(OR(INDEX($B409:$D409,AG$5)="F",AND(AG$6&gt;0,$A409&lt;AG$6),AND(AG$7&gt;0,$A409&gt;AG$7)),0,MAX(0,ROUND((INDEX($E409:$G409,AG$5)-SUMIFS(TF_Timer,TF_Tekniker,AG$4,TF_Dato,$A409))*2,0)/2)))</f>
        <v/>
      </c>
      <c r="AH409">
        <f>IF(OR(AH$4="",$A409&gt;TODAY()),0,IF(OR(INDEX($B409:$D409,AH$5)="F",AND(AH$6&gt;0,$A409&lt;AH$6),AND(AH$7&gt;0,$A409&gt;AH$7)),0,MAX(0,ROUND((INDEX($E409:$G409,AH$5)-SUMIFS(TF_Timer,TF_Tekniker,AH$4,TF_Dato,$A409))*2,0)/2)))</f>
        <v/>
      </c>
      <c r="AI409">
        <f>IF(OR(AI$4="",$A409&gt;TODAY()),0,IF(OR(INDEX($B409:$D409,AI$5)="F",AND(AI$6&gt;0,$A409&lt;AI$6),AND(AI$7&gt;0,$A409&gt;AI$7)),0,MAX(0,ROUND((INDEX($E409:$G409,AI$5)-SUMIFS(TF_Timer,TF_Tekniker,AI$4,TF_Dato,$A409))*2,0)/2)))</f>
        <v/>
      </c>
      <c r="AJ409">
        <f>IF(OR(AJ$4="",$A409&gt;TODAY()),0,IF(OR(INDEX($B409:$D409,AJ$5)="F",AND(AJ$6&gt;0,$A409&lt;AJ$6),AND(AJ$7&gt;0,$A409&gt;AJ$7)),0,MAX(0,ROUND((INDEX($E409:$G409,AJ$5)-SUMIFS(TF_Timer,TF_Tekniker,AJ$4,TF_Dato,$A409))*2,0)/2)))</f>
        <v/>
      </c>
      <c r="AK409">
        <f>IF(OR(AK$4="",$A409&gt;TODAY()),0,IF(OR(INDEX($B409:$D409,AK$5)="F",AND(AK$6&gt;0,$A409&lt;AK$6),AND(AK$7&gt;0,$A409&gt;AK$7)),0,MAX(0,ROUND((INDEX($E409:$G409,AK$5)-SUMIFS(TF_Timer,TF_Tekniker,AK$4,TF_Dato,$A409))*2,0)/2)))</f>
        <v/>
      </c>
      <c r="AL409">
        <f>IF(OR(AL$4="",$A409&gt;TODAY()),0,IF(OR(INDEX($B409:$D409,AL$5)="F",AND(AL$6&gt;0,$A409&lt;AL$6),AND(AL$7&gt;0,$A409&gt;AL$7)),0,MAX(0,ROUND((INDEX($E409:$G409,AL$5)-SUMIFS(TF_Timer,TF_Tekniker,AL$4,TF_Dato,$A409))*2,0)/2)))</f>
        <v/>
      </c>
      <c r="AM409">
        <f>IF(OR(AM$4="",$A409&gt;TODAY()),0,IF(OR(INDEX($B409:$D409,AM$5)="F",AND(AM$6&gt;0,$A409&lt;AM$6),AND(AM$7&gt;0,$A409&gt;AM$7)),0,MAX(0,ROUND((INDEX($E409:$G409,AM$5)-SUMIFS(TF_Timer,TF_Tekniker,AM$4,TF_Dato,$A409))*2,0)/2)))</f>
        <v/>
      </c>
      <c r="AN409">
        <f>IF(OR(AN$4="",$A409&gt;TODAY()),0,IF(OR(INDEX($B409:$D409,AN$5)="F",AND(AN$6&gt;0,$A409&lt;AN$6),AND(AN$7&gt;0,$A409&gt;AN$7)),0,MAX(0,ROUND((INDEX($E409:$G409,AN$5)-SUMIFS(TF_Timer,TF_Tekniker,AN$4,TF_Dato,$A409))*2,0)/2)))</f>
        <v/>
      </c>
      <c r="AO409">
        <f>IF(OR(AO$4="",$A409&gt;TODAY()),0,IF(OR(INDEX($B409:$D409,AO$5)="F",AND(AO$6&gt;0,$A409&lt;AO$6),AND(AO$7&gt;0,$A409&gt;AO$7)),0,MAX(0,ROUND((INDEX($E409:$G409,AO$5)-SUMIFS(TF_Timer,TF_Tekniker,AO$4,TF_Dato,$A409))*2,0)/2)))</f>
        <v/>
      </c>
      <c r="AP409">
        <f>IF(OR(AP$4="",$A409&gt;TODAY()),0,IF(OR(INDEX($B409:$D409,AP$5)="F",AND(AP$6&gt;0,$A409&lt;AP$6),AND(AP$7&gt;0,$A409&gt;AP$7)),0,MAX(0,ROUND((INDEX($E409:$G409,AP$5)-SUMIFS(TF_Timer,TF_Tekniker,AP$4,TF_Dato,$A409))*2,0)/2)))</f>
        <v/>
      </c>
      <c r="AQ409">
        <f>IF(OR(AQ$4="",$A409&gt;TODAY()),0,IF(OR(INDEX($B409:$D409,AQ$5)="F",AND(AQ$6&gt;0,$A409&lt;AQ$6),AND(AQ$7&gt;0,$A409&gt;AQ$7)),0,MAX(0,ROUND((INDEX($E409:$G409,AQ$5)-SUMIFS(TF_Timer,TF_Tekniker,AQ$4,TF_Dato,$A409))*2,0)/2)))</f>
        <v/>
      </c>
      <c r="AR409">
        <f>IF(OR(AR$4="",$A409&gt;TODAY()),0,IF(OR(INDEX($B409:$D409,AR$5)="F",AND(AR$6&gt;0,$A409&lt;AR$6),AND(AR$7&gt;0,$A409&gt;AR$7)),0,MAX(0,ROUND((INDEX($E409:$G409,AR$5)-SUMIFS(TF_Timer,TF_Tekniker,AR$4,TF_Dato,$A409))*2,0)/2)))</f>
        <v/>
      </c>
      <c r="AS409">
        <f>IF(OR(AS$4="",$A409&gt;TODAY()),0,IF(OR(INDEX($B409:$D409,AS$5)="F",AND(AS$6&gt;0,$A409&lt;AS$6),AND(AS$7&gt;0,$A409&gt;AS$7)),0,MAX(0,ROUND((INDEX($E409:$G409,AS$5)-SUMIFS(TF_Timer,TF_Tekniker,AS$4,TF_Dato,$A409))*2,0)/2)))</f>
        <v/>
      </c>
      <c r="AT409">
        <f>IF(OR(AT$4="",$A409&gt;TODAY()),0,IF(OR(INDEX($B409:$D409,AT$5)="F",AND(AT$6&gt;0,$A409&lt;AT$6),AND(AT$7&gt;0,$A409&gt;AT$7)),0,MAX(0,ROUND((INDEX($E409:$G409,AT$5)-SUMIFS(TF_Timer,TF_Tekniker,AT$4,TF_Dato,$A409))*2,0)/2)))</f>
        <v/>
      </c>
      <c r="AU409">
        <f>IF(OR(AU$4="",$A409&gt;TODAY()),0,IF(OR(INDEX($B409:$D409,AU$5)="F",AND(AU$6&gt;0,$A409&lt;AU$6),AND(AU$7&gt;0,$A409&gt;AU$7)),0,MAX(0,ROUND((INDEX($E409:$G409,AU$5)-SUMIFS(TF_Timer,TF_Tekniker,AU$4,TF_Dato,$A409))*2,0)/2)))</f>
        <v/>
      </c>
      <c r="AV409">
        <f>IF(OR(AV$4="",$A409&gt;TODAY()),0,IF(OR(INDEX($B409:$D409,AV$5)="F",AND(AV$6&gt;0,$A409&lt;AV$6),AND(AV$7&gt;0,$A409&gt;AV$7)),0,MAX(0,ROUND((INDEX($E409:$G409,AV$5)-SUMIFS(TF_Timer,TF_Tekniker,AV$4,TF_Dato,$A409))*2,0)/2)))</f>
        <v/>
      </c>
      <c r="AW409">
        <f>IF(OR(AW$4="",$A409&gt;TODAY()),0,IF(OR(INDEX($B409:$D409,AW$5)="F",AND(AW$6&gt;0,$A409&lt;AW$6),AND(AW$7&gt;0,$A409&gt;AW$7)),0,MAX(0,ROUND((INDEX($E409:$G409,AW$5)-SUMIFS(TF_Timer,TF_Tekniker,AW$4,TF_Dato,$A409))*2,0)/2)))</f>
        <v/>
      </c>
      <c r="AX409">
        <f>IF(OR(AX$4="",$A409&gt;TODAY()),0,IF(OR(INDEX($B409:$D409,AX$5)="F",AND(AX$6&gt;0,$A409&lt;AX$6),AND(AX$7&gt;0,$A409&gt;AX$7)),0,MAX(0,ROUND((INDEX($E409:$G409,AX$5)-SUMIFS(TF_Timer,TF_Tekniker,AX$4,TF_Dato,$A409))*2,0)/2)))</f>
        <v/>
      </c>
      <c r="AY409">
        <f>IF(OR(AY$4="",$A409&gt;TODAY()),0,IF(OR(INDEX($B409:$D409,AY$5)="F",AND(AY$6&gt;0,$A409&lt;AY$6),AND(AY$7&gt;0,$A409&gt;AY$7)),0,MAX(0,ROUND((INDEX($E409:$G409,AY$5)-SUMIFS(TF_Timer,TF_Tekniker,AY$4,TF_Dato,$A409))*2,0)/2)))</f>
        <v/>
      </c>
      <c r="AZ409">
        <f>IF(OR(AZ$4="",$A409&gt;TODAY()),0,IF(OR(INDEX($B409:$D409,AZ$5)="F",AND(AZ$6&gt;0,$A409&lt;AZ$6),AND(AZ$7&gt;0,$A409&gt;AZ$7)),0,MAX(0,ROUND((INDEX($E409:$G409,AZ$5)-SUMIFS(TF_Timer,TF_Tekniker,AZ$4,TF_Dato,$A409))*2,0)/2)))</f>
        <v/>
      </c>
      <c r="BA409">
        <f>IF(OR(BA$4="",$A409&gt;TODAY()),0,IF(OR(INDEX($B409:$D409,BA$5)="F",AND(BA$6&gt;0,$A409&lt;BA$6),AND(BA$7&gt;0,$A409&gt;BA$7)),0,MAX(0,ROUND((INDEX($E409:$G409,BA$5)-SUMIFS(TF_Timer,TF_Tekniker,BA$4,TF_Dato,$A409))*2,0)/2)))</f>
        <v/>
      </c>
      <c r="BB409">
        <f>IF(OR(BB$4="",$A409&gt;TODAY()),0,IF(OR(INDEX($B409:$D409,BB$5)="F",AND(BB$6&gt;0,$A409&lt;BB$6),AND(BB$7&gt;0,$A409&gt;BB$7)),0,MAX(0,ROUND((INDEX($E409:$G409,BB$5)-SUMIFS(TF_Timer,TF_Tekniker,BB$4,TF_Dato,$A409))*2,0)/2)))</f>
        <v/>
      </c>
      <c r="BC409">
        <f>IF(OR(BC$4="",$A409&gt;TODAY()),0,IF(OR(INDEX($B409:$D409,BC$5)="F",AND(BC$6&gt;0,$A409&lt;BC$6),AND(BC$7&gt;0,$A409&gt;BC$7)),0,MAX(0,ROUND((INDEX($E409:$G409,BC$5)-SUMIFS(TF_Timer,TF_Tekniker,BC$4,TF_Dato,$A409))*2,0)/2)))</f>
        <v/>
      </c>
      <c r="BD409">
        <f>IF(OR(BD$4="",$A409&gt;TODAY()),0,IF(OR(INDEX($B409:$D409,BD$5)="F",AND(BD$6&gt;0,$A409&lt;BD$6),AND(BD$7&gt;0,$A409&gt;BD$7)),0,MAX(0,ROUND((INDEX($E409:$G409,BD$5)-SUMIFS(TF_Timer,TF_Tekniker,BD$4,TF_Dato,$A409))*2,0)/2)))</f>
        <v/>
      </c>
      <c r="BE409">
        <f>IF(OR(BE$4="",$A409&gt;TODAY()),0,IF(OR(INDEX($B409:$D409,BE$5)="F",AND(BE$6&gt;0,$A409&lt;BE$6),AND(BE$7&gt;0,$A409&gt;BE$7)),0,MAX(0,ROUND((INDEX($E409:$G409,BE$5)-SUMIFS(TF_Timer,TF_Tekniker,BE$4,TF_Dato,$A409))*2,0)/2)))</f>
        <v/>
      </c>
      <c r="BF409">
        <f>IF(OR(BF$4="",$A409&gt;TODAY()),0,IF(OR(INDEX($B409:$D409,BF$5)="F",AND(BF$6&gt;0,$A409&lt;BF$6),AND(BF$7&gt;0,$A409&gt;BF$7)),0,MAX(0,ROUND((INDEX($E409:$G409,BF$5)-SUMIFS(TF_Timer,TF_Tekniker,BF$4,TF_Dato,$A409))*2,0)/2)))</f>
        <v/>
      </c>
      <c r="BG409">
        <f>IF(OR(BG$4="",$A409&gt;TODAY()),0,IF(OR(INDEX($B409:$D409,BG$5)="F",AND(BG$6&gt;0,$A409&lt;BG$6),AND(BG$7&gt;0,$A409&gt;BG$7)),0,MAX(0,ROUND((INDEX($E409:$G409,BG$5)-SUMIFS(TF_Timer,TF_Tekniker,BG$4,TF_Dato,$A409))*2,0)/2)))</f>
        <v/>
      </c>
      <c r="BH409">
        <f>IF(OR(BH$4="",$A409&gt;TODAY()),0,IF(OR(INDEX($B409:$D409,BH$5)="F",AND(BH$6&gt;0,$A409&lt;BH$6),AND(BH$7&gt;0,$A409&gt;BH$7)),0,MAX(0,ROUND((INDEX($E409:$G409,BH$5)-SUMIFS(TF_Timer,TF_Tekniker,BH$4,TF_Dato,$A409))*2,0)/2)))</f>
        <v/>
      </c>
      <c r="BI409">
        <f>IF(OR(BI$4="",$A409&gt;TODAY()),0,IF(OR(INDEX($B409:$D409,BI$5)="F",AND(BI$6&gt;0,$A409&lt;BI$6),AND(BI$7&gt;0,$A409&gt;BI$7)),0,MAX(0,ROUND((INDEX($E409:$G409,BI$5)-SUMIFS(TF_Timer,TF_Tekniker,BI$4,TF_Dato,$A409))*2,0)/2)))</f>
        <v/>
      </c>
    </row>
    <row r="410">
      <c r="A410" s="64">
        <f>A409+1</f>
        <v/>
      </c>
      <c r="B410">
        <f>IF(MOD($A410-INDEX(SkiftStart,1),Syklus)&lt;DagK,"K",IF(MOD($A410-INDEX(SkiftStart,1),Syklus)&lt;DagK+DagH,"H",IF(MOD($A410-INDEX(SkiftStart,1),Syklus)&lt;DagK+DagH+DagD,"D","F")))</f>
        <v/>
      </c>
      <c r="C410">
        <f>IF(MOD($A410-INDEX(SkiftStart,2),Syklus)&lt;DagK,"K",IF(MOD($A410-INDEX(SkiftStart,2),Syklus)&lt;DagK+DagH,"H",IF(MOD($A410-INDEX(SkiftStart,2),Syklus)&lt;DagK+DagH+DagD,"D","F")))</f>
        <v/>
      </c>
      <c r="D410">
        <f>IF(MOD($A410-INDEX(SkiftStart,3),Syklus)&lt;DagK,"K",IF(MOD($A410-INDEX(SkiftStart,3),Syklus)&lt;DagK+DagH,"H",IF(MOD($A410-INDEX(SkiftStart,3),Syklus)&lt;DagK+DagH+DagD,"D","F")))</f>
        <v/>
      </c>
      <c r="E410">
        <f>IF(B410="F",0,IF(WEEKDAY($A410,2)=5,INDEX(TimerFr,MATCH(B410,FaseKode,0)),INDEX(TimerMT,MATCH(B410,FaseKode,0))))</f>
        <v/>
      </c>
      <c r="F410">
        <f>IF(C410="F",0,IF(WEEKDAY($A410,2)=5,INDEX(TimerFr,MATCH(C410,FaseKode,0)),INDEX(TimerMT,MATCH(C410,FaseKode,0))))</f>
        <v/>
      </c>
      <c r="G410">
        <f>IF(D410="F",0,IF(WEEKDAY($A410,2)=5,INDEX(TimerFr,MATCH(D410,FaseKode,0)),INDEX(TimerMT,MATCH(D410,FaseKode,0))))</f>
        <v/>
      </c>
      <c r="H410">
        <f>IF(OR(H$4="",$A410&gt;TODAY()),0,IF(OR(INDEX($B410:$D410,H$5)="F",AND(H$6&gt;0,$A410&lt;H$6),AND(H$7&gt;0,$A410&gt;H$7)),0,MAX(0,ROUND((INDEX($E410:$G410,H$5)-SUMIFS(TF_Timer,TF_Tekniker,H$4,TF_Dato,$A410))*2,0)/2)))</f>
        <v/>
      </c>
      <c r="I410">
        <f>IF(OR(I$4="",$A410&gt;TODAY()),0,IF(OR(INDEX($B410:$D410,I$5)="F",AND(I$6&gt;0,$A410&lt;I$6),AND(I$7&gt;0,$A410&gt;I$7)),0,MAX(0,ROUND((INDEX($E410:$G410,I$5)-SUMIFS(TF_Timer,TF_Tekniker,I$4,TF_Dato,$A410))*2,0)/2)))</f>
        <v/>
      </c>
      <c r="J410">
        <f>IF(OR(J$4="",$A410&gt;TODAY()),0,IF(OR(INDEX($B410:$D410,J$5)="F",AND(J$6&gt;0,$A410&lt;J$6),AND(J$7&gt;0,$A410&gt;J$7)),0,MAX(0,ROUND((INDEX($E410:$G410,J$5)-SUMIFS(TF_Timer,TF_Tekniker,J$4,TF_Dato,$A410))*2,0)/2)))</f>
        <v/>
      </c>
      <c r="K410">
        <f>IF(OR(K$4="",$A410&gt;TODAY()),0,IF(OR(INDEX($B410:$D410,K$5)="F",AND(K$6&gt;0,$A410&lt;K$6),AND(K$7&gt;0,$A410&gt;K$7)),0,MAX(0,ROUND((INDEX($E410:$G410,K$5)-SUMIFS(TF_Timer,TF_Tekniker,K$4,TF_Dato,$A410))*2,0)/2)))</f>
        <v/>
      </c>
      <c r="L410">
        <f>IF(OR(L$4="",$A410&gt;TODAY()),0,IF(OR(INDEX($B410:$D410,L$5)="F",AND(L$6&gt;0,$A410&lt;L$6),AND(L$7&gt;0,$A410&gt;L$7)),0,MAX(0,ROUND((INDEX($E410:$G410,L$5)-SUMIFS(TF_Timer,TF_Tekniker,L$4,TF_Dato,$A410))*2,0)/2)))</f>
        <v/>
      </c>
      <c r="M410">
        <f>IF(OR(M$4="",$A410&gt;TODAY()),0,IF(OR(INDEX($B410:$D410,M$5)="F",AND(M$6&gt;0,$A410&lt;M$6),AND(M$7&gt;0,$A410&gt;M$7)),0,MAX(0,ROUND((INDEX($E410:$G410,M$5)-SUMIFS(TF_Timer,TF_Tekniker,M$4,TF_Dato,$A410))*2,0)/2)))</f>
        <v/>
      </c>
      <c r="N410">
        <f>IF(OR(N$4="",$A410&gt;TODAY()),0,IF(OR(INDEX($B410:$D410,N$5)="F",AND(N$6&gt;0,$A410&lt;N$6),AND(N$7&gt;0,$A410&gt;N$7)),0,MAX(0,ROUND((INDEX($E410:$G410,N$5)-SUMIFS(TF_Timer,TF_Tekniker,N$4,TF_Dato,$A410))*2,0)/2)))</f>
        <v/>
      </c>
      <c r="O410">
        <f>IF(OR(O$4="",$A410&gt;TODAY()),0,IF(OR(INDEX($B410:$D410,O$5)="F",AND(O$6&gt;0,$A410&lt;O$6),AND(O$7&gt;0,$A410&gt;O$7)),0,MAX(0,ROUND((INDEX($E410:$G410,O$5)-SUMIFS(TF_Timer,TF_Tekniker,O$4,TF_Dato,$A410))*2,0)/2)))</f>
        <v/>
      </c>
      <c r="P410">
        <f>IF(OR(P$4="",$A410&gt;TODAY()),0,IF(OR(INDEX($B410:$D410,P$5)="F",AND(P$6&gt;0,$A410&lt;P$6),AND(P$7&gt;0,$A410&gt;P$7)),0,MAX(0,ROUND((INDEX($E410:$G410,P$5)-SUMIFS(TF_Timer,TF_Tekniker,P$4,TF_Dato,$A410))*2,0)/2)))</f>
        <v/>
      </c>
      <c r="Q410">
        <f>IF(OR(Q$4="",$A410&gt;TODAY()),0,IF(OR(INDEX($B410:$D410,Q$5)="F",AND(Q$6&gt;0,$A410&lt;Q$6),AND(Q$7&gt;0,$A410&gt;Q$7)),0,MAX(0,ROUND((INDEX($E410:$G410,Q$5)-SUMIFS(TF_Timer,TF_Tekniker,Q$4,TF_Dato,$A410))*2,0)/2)))</f>
        <v/>
      </c>
      <c r="R410">
        <f>IF(OR(R$4="",$A410&gt;TODAY()),0,IF(OR(INDEX($B410:$D410,R$5)="F",AND(R$6&gt;0,$A410&lt;R$6),AND(R$7&gt;0,$A410&gt;R$7)),0,MAX(0,ROUND((INDEX($E410:$G410,R$5)-SUMIFS(TF_Timer,TF_Tekniker,R$4,TF_Dato,$A410))*2,0)/2)))</f>
        <v/>
      </c>
      <c r="S410">
        <f>IF(OR(S$4="",$A410&gt;TODAY()),0,IF(OR(INDEX($B410:$D410,S$5)="F",AND(S$6&gt;0,$A410&lt;S$6),AND(S$7&gt;0,$A410&gt;S$7)),0,MAX(0,ROUND((INDEX($E410:$G410,S$5)-SUMIFS(TF_Timer,TF_Tekniker,S$4,TF_Dato,$A410))*2,0)/2)))</f>
        <v/>
      </c>
      <c r="T410">
        <f>IF(OR(T$4="",$A410&gt;TODAY()),0,IF(OR(INDEX($B410:$D410,T$5)="F",AND(T$6&gt;0,$A410&lt;T$6),AND(T$7&gt;0,$A410&gt;T$7)),0,MAX(0,ROUND((INDEX($E410:$G410,T$5)-SUMIFS(TF_Timer,TF_Tekniker,T$4,TF_Dato,$A410))*2,0)/2)))</f>
        <v/>
      </c>
      <c r="U410">
        <f>IF(OR(U$4="",$A410&gt;TODAY()),0,IF(OR(INDEX($B410:$D410,U$5)="F",AND(U$6&gt;0,$A410&lt;U$6),AND(U$7&gt;0,$A410&gt;U$7)),0,MAX(0,ROUND((INDEX($E410:$G410,U$5)-SUMIFS(TF_Timer,TF_Tekniker,U$4,TF_Dato,$A410))*2,0)/2)))</f>
        <v/>
      </c>
      <c r="V410">
        <f>IF(OR(V$4="",$A410&gt;TODAY()),0,IF(OR(INDEX($B410:$D410,V$5)="F",AND(V$6&gt;0,$A410&lt;V$6),AND(V$7&gt;0,$A410&gt;V$7)),0,MAX(0,ROUND((INDEX($E410:$G410,V$5)-SUMIFS(TF_Timer,TF_Tekniker,V$4,TF_Dato,$A410))*2,0)/2)))</f>
        <v/>
      </c>
      <c r="W410">
        <f>IF(OR(W$4="",$A410&gt;TODAY()),0,IF(OR(INDEX($B410:$D410,W$5)="F",AND(W$6&gt;0,$A410&lt;W$6),AND(W$7&gt;0,$A410&gt;W$7)),0,MAX(0,ROUND((INDEX($E410:$G410,W$5)-SUMIFS(TF_Timer,TF_Tekniker,W$4,TF_Dato,$A410))*2,0)/2)))</f>
        <v/>
      </c>
      <c r="X410">
        <f>IF(OR(X$4="",$A410&gt;TODAY()),0,IF(OR(INDEX($B410:$D410,X$5)="F",AND(X$6&gt;0,$A410&lt;X$6),AND(X$7&gt;0,$A410&gt;X$7)),0,MAX(0,ROUND((INDEX($E410:$G410,X$5)-SUMIFS(TF_Timer,TF_Tekniker,X$4,TF_Dato,$A410))*2,0)/2)))</f>
        <v/>
      </c>
      <c r="Y410">
        <f>IF(OR(Y$4="",$A410&gt;TODAY()),0,IF(OR(INDEX($B410:$D410,Y$5)="F",AND(Y$6&gt;0,$A410&lt;Y$6),AND(Y$7&gt;0,$A410&gt;Y$7)),0,MAX(0,ROUND((INDEX($E410:$G410,Y$5)-SUMIFS(TF_Timer,TF_Tekniker,Y$4,TF_Dato,$A410))*2,0)/2)))</f>
        <v/>
      </c>
      <c r="Z410">
        <f>IF(OR(Z$4="",$A410&gt;TODAY()),0,IF(OR(INDEX($B410:$D410,Z$5)="F",AND(Z$6&gt;0,$A410&lt;Z$6),AND(Z$7&gt;0,$A410&gt;Z$7)),0,MAX(0,ROUND((INDEX($E410:$G410,Z$5)-SUMIFS(TF_Timer,TF_Tekniker,Z$4,TF_Dato,$A410))*2,0)/2)))</f>
        <v/>
      </c>
      <c r="AA410">
        <f>IF(OR(AA$4="",$A410&gt;TODAY()),0,IF(OR(INDEX($B410:$D410,AA$5)="F",AND(AA$6&gt;0,$A410&lt;AA$6),AND(AA$7&gt;0,$A410&gt;AA$7)),0,MAX(0,ROUND((INDEX($E410:$G410,AA$5)-SUMIFS(TF_Timer,TF_Tekniker,AA$4,TF_Dato,$A410))*2,0)/2)))</f>
        <v/>
      </c>
      <c r="AB410">
        <f>IF(OR(AB$4="",$A410&gt;TODAY()),0,IF(OR(INDEX($B410:$D410,AB$5)="F",AND(AB$6&gt;0,$A410&lt;AB$6),AND(AB$7&gt;0,$A410&gt;AB$7)),0,MAX(0,ROUND((INDEX($E410:$G410,AB$5)-SUMIFS(TF_Timer,TF_Tekniker,AB$4,TF_Dato,$A410))*2,0)/2)))</f>
        <v/>
      </c>
      <c r="AC410">
        <f>IF(OR(AC$4="",$A410&gt;TODAY()),0,IF(OR(INDEX($B410:$D410,AC$5)="F",AND(AC$6&gt;0,$A410&lt;AC$6),AND(AC$7&gt;0,$A410&gt;AC$7)),0,MAX(0,ROUND((INDEX($E410:$G410,AC$5)-SUMIFS(TF_Timer,TF_Tekniker,AC$4,TF_Dato,$A410))*2,0)/2)))</f>
        <v/>
      </c>
      <c r="AD410">
        <f>IF(OR(AD$4="",$A410&gt;TODAY()),0,IF(OR(INDEX($B410:$D410,AD$5)="F",AND(AD$6&gt;0,$A410&lt;AD$6),AND(AD$7&gt;0,$A410&gt;AD$7)),0,MAX(0,ROUND((INDEX($E410:$G410,AD$5)-SUMIFS(TF_Timer,TF_Tekniker,AD$4,TF_Dato,$A410))*2,0)/2)))</f>
        <v/>
      </c>
      <c r="AE410">
        <f>IF(OR(AE$4="",$A410&gt;TODAY()),0,IF(OR(INDEX($B410:$D410,AE$5)="F",AND(AE$6&gt;0,$A410&lt;AE$6),AND(AE$7&gt;0,$A410&gt;AE$7)),0,MAX(0,ROUND((INDEX($E410:$G410,AE$5)-SUMIFS(TF_Timer,TF_Tekniker,AE$4,TF_Dato,$A410))*2,0)/2)))</f>
        <v/>
      </c>
      <c r="AF410">
        <f>IF(OR(AF$4="",$A410&gt;TODAY()),0,IF(OR(INDEX($B410:$D410,AF$5)="F",AND(AF$6&gt;0,$A410&lt;AF$6),AND(AF$7&gt;0,$A410&gt;AF$7)),0,MAX(0,ROUND((INDEX($E410:$G410,AF$5)-SUMIFS(TF_Timer,TF_Tekniker,AF$4,TF_Dato,$A410))*2,0)/2)))</f>
        <v/>
      </c>
      <c r="AG410">
        <f>IF(OR(AG$4="",$A410&gt;TODAY()),0,IF(OR(INDEX($B410:$D410,AG$5)="F",AND(AG$6&gt;0,$A410&lt;AG$6),AND(AG$7&gt;0,$A410&gt;AG$7)),0,MAX(0,ROUND((INDEX($E410:$G410,AG$5)-SUMIFS(TF_Timer,TF_Tekniker,AG$4,TF_Dato,$A410))*2,0)/2)))</f>
        <v/>
      </c>
      <c r="AH410">
        <f>IF(OR(AH$4="",$A410&gt;TODAY()),0,IF(OR(INDEX($B410:$D410,AH$5)="F",AND(AH$6&gt;0,$A410&lt;AH$6),AND(AH$7&gt;0,$A410&gt;AH$7)),0,MAX(0,ROUND((INDEX($E410:$G410,AH$5)-SUMIFS(TF_Timer,TF_Tekniker,AH$4,TF_Dato,$A410))*2,0)/2)))</f>
        <v/>
      </c>
      <c r="AI410">
        <f>IF(OR(AI$4="",$A410&gt;TODAY()),0,IF(OR(INDEX($B410:$D410,AI$5)="F",AND(AI$6&gt;0,$A410&lt;AI$6),AND(AI$7&gt;0,$A410&gt;AI$7)),0,MAX(0,ROUND((INDEX($E410:$G410,AI$5)-SUMIFS(TF_Timer,TF_Tekniker,AI$4,TF_Dato,$A410))*2,0)/2)))</f>
        <v/>
      </c>
      <c r="AJ410">
        <f>IF(OR(AJ$4="",$A410&gt;TODAY()),0,IF(OR(INDEX($B410:$D410,AJ$5)="F",AND(AJ$6&gt;0,$A410&lt;AJ$6),AND(AJ$7&gt;0,$A410&gt;AJ$7)),0,MAX(0,ROUND((INDEX($E410:$G410,AJ$5)-SUMIFS(TF_Timer,TF_Tekniker,AJ$4,TF_Dato,$A410))*2,0)/2)))</f>
        <v/>
      </c>
      <c r="AK410">
        <f>IF(OR(AK$4="",$A410&gt;TODAY()),0,IF(OR(INDEX($B410:$D410,AK$5)="F",AND(AK$6&gt;0,$A410&lt;AK$6),AND(AK$7&gt;0,$A410&gt;AK$7)),0,MAX(0,ROUND((INDEX($E410:$G410,AK$5)-SUMIFS(TF_Timer,TF_Tekniker,AK$4,TF_Dato,$A410))*2,0)/2)))</f>
        <v/>
      </c>
      <c r="AL410">
        <f>IF(OR(AL$4="",$A410&gt;TODAY()),0,IF(OR(INDEX($B410:$D410,AL$5)="F",AND(AL$6&gt;0,$A410&lt;AL$6),AND(AL$7&gt;0,$A410&gt;AL$7)),0,MAX(0,ROUND((INDEX($E410:$G410,AL$5)-SUMIFS(TF_Timer,TF_Tekniker,AL$4,TF_Dato,$A410))*2,0)/2)))</f>
        <v/>
      </c>
      <c r="AM410">
        <f>IF(OR(AM$4="",$A410&gt;TODAY()),0,IF(OR(INDEX($B410:$D410,AM$5)="F",AND(AM$6&gt;0,$A410&lt;AM$6),AND(AM$7&gt;0,$A410&gt;AM$7)),0,MAX(0,ROUND((INDEX($E410:$G410,AM$5)-SUMIFS(TF_Timer,TF_Tekniker,AM$4,TF_Dato,$A410))*2,0)/2)))</f>
        <v/>
      </c>
      <c r="AN410">
        <f>IF(OR(AN$4="",$A410&gt;TODAY()),0,IF(OR(INDEX($B410:$D410,AN$5)="F",AND(AN$6&gt;0,$A410&lt;AN$6),AND(AN$7&gt;0,$A410&gt;AN$7)),0,MAX(0,ROUND((INDEX($E410:$G410,AN$5)-SUMIFS(TF_Timer,TF_Tekniker,AN$4,TF_Dato,$A410))*2,0)/2)))</f>
        <v/>
      </c>
      <c r="AO410">
        <f>IF(OR(AO$4="",$A410&gt;TODAY()),0,IF(OR(INDEX($B410:$D410,AO$5)="F",AND(AO$6&gt;0,$A410&lt;AO$6),AND(AO$7&gt;0,$A410&gt;AO$7)),0,MAX(0,ROUND((INDEX($E410:$G410,AO$5)-SUMIFS(TF_Timer,TF_Tekniker,AO$4,TF_Dato,$A410))*2,0)/2)))</f>
        <v/>
      </c>
      <c r="AP410">
        <f>IF(OR(AP$4="",$A410&gt;TODAY()),0,IF(OR(INDEX($B410:$D410,AP$5)="F",AND(AP$6&gt;0,$A410&lt;AP$6),AND(AP$7&gt;0,$A410&gt;AP$7)),0,MAX(0,ROUND((INDEX($E410:$G410,AP$5)-SUMIFS(TF_Timer,TF_Tekniker,AP$4,TF_Dato,$A410))*2,0)/2)))</f>
        <v/>
      </c>
      <c r="AQ410">
        <f>IF(OR(AQ$4="",$A410&gt;TODAY()),0,IF(OR(INDEX($B410:$D410,AQ$5)="F",AND(AQ$6&gt;0,$A410&lt;AQ$6),AND(AQ$7&gt;0,$A410&gt;AQ$7)),0,MAX(0,ROUND((INDEX($E410:$G410,AQ$5)-SUMIFS(TF_Timer,TF_Tekniker,AQ$4,TF_Dato,$A410))*2,0)/2)))</f>
        <v/>
      </c>
      <c r="AR410">
        <f>IF(OR(AR$4="",$A410&gt;TODAY()),0,IF(OR(INDEX($B410:$D410,AR$5)="F",AND(AR$6&gt;0,$A410&lt;AR$6),AND(AR$7&gt;0,$A410&gt;AR$7)),0,MAX(0,ROUND((INDEX($E410:$G410,AR$5)-SUMIFS(TF_Timer,TF_Tekniker,AR$4,TF_Dato,$A410))*2,0)/2)))</f>
        <v/>
      </c>
      <c r="AS410">
        <f>IF(OR(AS$4="",$A410&gt;TODAY()),0,IF(OR(INDEX($B410:$D410,AS$5)="F",AND(AS$6&gt;0,$A410&lt;AS$6),AND(AS$7&gt;0,$A410&gt;AS$7)),0,MAX(0,ROUND((INDEX($E410:$G410,AS$5)-SUMIFS(TF_Timer,TF_Tekniker,AS$4,TF_Dato,$A410))*2,0)/2)))</f>
        <v/>
      </c>
      <c r="AT410">
        <f>IF(OR(AT$4="",$A410&gt;TODAY()),0,IF(OR(INDEX($B410:$D410,AT$5)="F",AND(AT$6&gt;0,$A410&lt;AT$6),AND(AT$7&gt;0,$A410&gt;AT$7)),0,MAX(0,ROUND((INDEX($E410:$G410,AT$5)-SUMIFS(TF_Timer,TF_Tekniker,AT$4,TF_Dato,$A410))*2,0)/2)))</f>
        <v/>
      </c>
      <c r="AU410">
        <f>IF(OR(AU$4="",$A410&gt;TODAY()),0,IF(OR(INDEX($B410:$D410,AU$5)="F",AND(AU$6&gt;0,$A410&lt;AU$6),AND(AU$7&gt;0,$A410&gt;AU$7)),0,MAX(0,ROUND((INDEX($E410:$G410,AU$5)-SUMIFS(TF_Timer,TF_Tekniker,AU$4,TF_Dato,$A410))*2,0)/2)))</f>
        <v/>
      </c>
      <c r="AV410">
        <f>IF(OR(AV$4="",$A410&gt;TODAY()),0,IF(OR(INDEX($B410:$D410,AV$5)="F",AND(AV$6&gt;0,$A410&lt;AV$6),AND(AV$7&gt;0,$A410&gt;AV$7)),0,MAX(0,ROUND((INDEX($E410:$G410,AV$5)-SUMIFS(TF_Timer,TF_Tekniker,AV$4,TF_Dato,$A410))*2,0)/2)))</f>
        <v/>
      </c>
      <c r="AW410">
        <f>IF(OR(AW$4="",$A410&gt;TODAY()),0,IF(OR(INDEX($B410:$D410,AW$5)="F",AND(AW$6&gt;0,$A410&lt;AW$6),AND(AW$7&gt;0,$A410&gt;AW$7)),0,MAX(0,ROUND((INDEX($E410:$G410,AW$5)-SUMIFS(TF_Timer,TF_Tekniker,AW$4,TF_Dato,$A410))*2,0)/2)))</f>
        <v/>
      </c>
      <c r="AX410">
        <f>IF(OR(AX$4="",$A410&gt;TODAY()),0,IF(OR(INDEX($B410:$D410,AX$5)="F",AND(AX$6&gt;0,$A410&lt;AX$6),AND(AX$7&gt;0,$A410&gt;AX$7)),0,MAX(0,ROUND((INDEX($E410:$G410,AX$5)-SUMIFS(TF_Timer,TF_Tekniker,AX$4,TF_Dato,$A410))*2,0)/2)))</f>
        <v/>
      </c>
      <c r="AY410">
        <f>IF(OR(AY$4="",$A410&gt;TODAY()),0,IF(OR(INDEX($B410:$D410,AY$5)="F",AND(AY$6&gt;0,$A410&lt;AY$6),AND(AY$7&gt;0,$A410&gt;AY$7)),0,MAX(0,ROUND((INDEX($E410:$G410,AY$5)-SUMIFS(TF_Timer,TF_Tekniker,AY$4,TF_Dato,$A410))*2,0)/2)))</f>
        <v/>
      </c>
      <c r="AZ410">
        <f>IF(OR(AZ$4="",$A410&gt;TODAY()),0,IF(OR(INDEX($B410:$D410,AZ$5)="F",AND(AZ$6&gt;0,$A410&lt;AZ$6),AND(AZ$7&gt;0,$A410&gt;AZ$7)),0,MAX(0,ROUND((INDEX($E410:$G410,AZ$5)-SUMIFS(TF_Timer,TF_Tekniker,AZ$4,TF_Dato,$A410))*2,0)/2)))</f>
        <v/>
      </c>
      <c r="BA410">
        <f>IF(OR(BA$4="",$A410&gt;TODAY()),0,IF(OR(INDEX($B410:$D410,BA$5)="F",AND(BA$6&gt;0,$A410&lt;BA$6),AND(BA$7&gt;0,$A410&gt;BA$7)),0,MAX(0,ROUND((INDEX($E410:$G410,BA$5)-SUMIFS(TF_Timer,TF_Tekniker,BA$4,TF_Dato,$A410))*2,0)/2)))</f>
        <v/>
      </c>
      <c r="BB410">
        <f>IF(OR(BB$4="",$A410&gt;TODAY()),0,IF(OR(INDEX($B410:$D410,BB$5)="F",AND(BB$6&gt;0,$A410&lt;BB$6),AND(BB$7&gt;0,$A410&gt;BB$7)),0,MAX(0,ROUND((INDEX($E410:$G410,BB$5)-SUMIFS(TF_Timer,TF_Tekniker,BB$4,TF_Dato,$A410))*2,0)/2)))</f>
        <v/>
      </c>
      <c r="BC410">
        <f>IF(OR(BC$4="",$A410&gt;TODAY()),0,IF(OR(INDEX($B410:$D410,BC$5)="F",AND(BC$6&gt;0,$A410&lt;BC$6),AND(BC$7&gt;0,$A410&gt;BC$7)),0,MAX(0,ROUND((INDEX($E410:$G410,BC$5)-SUMIFS(TF_Timer,TF_Tekniker,BC$4,TF_Dato,$A410))*2,0)/2)))</f>
        <v/>
      </c>
      <c r="BD410">
        <f>IF(OR(BD$4="",$A410&gt;TODAY()),0,IF(OR(INDEX($B410:$D410,BD$5)="F",AND(BD$6&gt;0,$A410&lt;BD$6),AND(BD$7&gt;0,$A410&gt;BD$7)),0,MAX(0,ROUND((INDEX($E410:$G410,BD$5)-SUMIFS(TF_Timer,TF_Tekniker,BD$4,TF_Dato,$A410))*2,0)/2)))</f>
        <v/>
      </c>
      <c r="BE410">
        <f>IF(OR(BE$4="",$A410&gt;TODAY()),0,IF(OR(INDEX($B410:$D410,BE$5)="F",AND(BE$6&gt;0,$A410&lt;BE$6),AND(BE$7&gt;0,$A410&gt;BE$7)),0,MAX(0,ROUND((INDEX($E410:$G410,BE$5)-SUMIFS(TF_Timer,TF_Tekniker,BE$4,TF_Dato,$A410))*2,0)/2)))</f>
        <v/>
      </c>
      <c r="BF410">
        <f>IF(OR(BF$4="",$A410&gt;TODAY()),0,IF(OR(INDEX($B410:$D410,BF$5)="F",AND(BF$6&gt;0,$A410&lt;BF$6),AND(BF$7&gt;0,$A410&gt;BF$7)),0,MAX(0,ROUND((INDEX($E410:$G410,BF$5)-SUMIFS(TF_Timer,TF_Tekniker,BF$4,TF_Dato,$A410))*2,0)/2)))</f>
        <v/>
      </c>
      <c r="BG410">
        <f>IF(OR(BG$4="",$A410&gt;TODAY()),0,IF(OR(INDEX($B410:$D410,BG$5)="F",AND(BG$6&gt;0,$A410&lt;BG$6),AND(BG$7&gt;0,$A410&gt;BG$7)),0,MAX(0,ROUND((INDEX($E410:$G410,BG$5)-SUMIFS(TF_Timer,TF_Tekniker,BG$4,TF_Dato,$A410))*2,0)/2)))</f>
        <v/>
      </c>
      <c r="BH410">
        <f>IF(OR(BH$4="",$A410&gt;TODAY()),0,IF(OR(INDEX($B410:$D410,BH$5)="F",AND(BH$6&gt;0,$A410&lt;BH$6),AND(BH$7&gt;0,$A410&gt;BH$7)),0,MAX(0,ROUND((INDEX($E410:$G410,BH$5)-SUMIFS(TF_Timer,TF_Tekniker,BH$4,TF_Dato,$A410))*2,0)/2)))</f>
        <v/>
      </c>
      <c r="BI410">
        <f>IF(OR(BI$4="",$A410&gt;TODAY()),0,IF(OR(INDEX($B410:$D410,BI$5)="F",AND(BI$6&gt;0,$A410&lt;BI$6),AND(BI$7&gt;0,$A410&gt;BI$7)),0,MAX(0,ROUND((INDEX($E410:$G410,BI$5)-SUMIFS(TF_Timer,TF_Tekniker,BI$4,TF_Dato,$A410))*2,0)/2)))</f>
        <v/>
      </c>
    </row>
    <row r="411">
      <c r="A411" s="64">
        <f>A410+1</f>
        <v/>
      </c>
      <c r="B411">
        <f>IF(MOD($A411-INDEX(SkiftStart,1),Syklus)&lt;DagK,"K",IF(MOD($A411-INDEX(SkiftStart,1),Syklus)&lt;DagK+DagH,"H",IF(MOD($A411-INDEX(SkiftStart,1),Syklus)&lt;DagK+DagH+DagD,"D","F")))</f>
        <v/>
      </c>
      <c r="C411">
        <f>IF(MOD($A411-INDEX(SkiftStart,2),Syklus)&lt;DagK,"K",IF(MOD($A411-INDEX(SkiftStart,2),Syklus)&lt;DagK+DagH,"H",IF(MOD($A411-INDEX(SkiftStart,2),Syklus)&lt;DagK+DagH+DagD,"D","F")))</f>
        <v/>
      </c>
      <c r="D411">
        <f>IF(MOD($A411-INDEX(SkiftStart,3),Syklus)&lt;DagK,"K",IF(MOD($A411-INDEX(SkiftStart,3),Syklus)&lt;DagK+DagH,"H",IF(MOD($A411-INDEX(SkiftStart,3),Syklus)&lt;DagK+DagH+DagD,"D","F")))</f>
        <v/>
      </c>
      <c r="E411">
        <f>IF(B411="F",0,IF(WEEKDAY($A411,2)=5,INDEX(TimerFr,MATCH(B411,FaseKode,0)),INDEX(TimerMT,MATCH(B411,FaseKode,0))))</f>
        <v/>
      </c>
      <c r="F411">
        <f>IF(C411="F",0,IF(WEEKDAY($A411,2)=5,INDEX(TimerFr,MATCH(C411,FaseKode,0)),INDEX(TimerMT,MATCH(C411,FaseKode,0))))</f>
        <v/>
      </c>
      <c r="G411">
        <f>IF(D411="F",0,IF(WEEKDAY($A411,2)=5,INDEX(TimerFr,MATCH(D411,FaseKode,0)),INDEX(TimerMT,MATCH(D411,FaseKode,0))))</f>
        <v/>
      </c>
      <c r="H411">
        <f>IF(OR(H$4="",$A411&gt;TODAY()),0,IF(OR(INDEX($B411:$D411,H$5)="F",AND(H$6&gt;0,$A411&lt;H$6),AND(H$7&gt;0,$A411&gt;H$7)),0,MAX(0,ROUND((INDEX($E411:$G411,H$5)-SUMIFS(TF_Timer,TF_Tekniker,H$4,TF_Dato,$A411))*2,0)/2)))</f>
        <v/>
      </c>
      <c r="I411">
        <f>IF(OR(I$4="",$A411&gt;TODAY()),0,IF(OR(INDEX($B411:$D411,I$5)="F",AND(I$6&gt;0,$A411&lt;I$6),AND(I$7&gt;0,$A411&gt;I$7)),0,MAX(0,ROUND((INDEX($E411:$G411,I$5)-SUMIFS(TF_Timer,TF_Tekniker,I$4,TF_Dato,$A411))*2,0)/2)))</f>
        <v/>
      </c>
      <c r="J411">
        <f>IF(OR(J$4="",$A411&gt;TODAY()),0,IF(OR(INDEX($B411:$D411,J$5)="F",AND(J$6&gt;0,$A411&lt;J$6),AND(J$7&gt;0,$A411&gt;J$7)),0,MAX(0,ROUND((INDEX($E411:$G411,J$5)-SUMIFS(TF_Timer,TF_Tekniker,J$4,TF_Dato,$A411))*2,0)/2)))</f>
        <v/>
      </c>
      <c r="K411">
        <f>IF(OR(K$4="",$A411&gt;TODAY()),0,IF(OR(INDEX($B411:$D411,K$5)="F",AND(K$6&gt;0,$A411&lt;K$6),AND(K$7&gt;0,$A411&gt;K$7)),0,MAX(0,ROUND((INDEX($E411:$G411,K$5)-SUMIFS(TF_Timer,TF_Tekniker,K$4,TF_Dato,$A411))*2,0)/2)))</f>
        <v/>
      </c>
      <c r="L411">
        <f>IF(OR(L$4="",$A411&gt;TODAY()),0,IF(OR(INDEX($B411:$D411,L$5)="F",AND(L$6&gt;0,$A411&lt;L$6),AND(L$7&gt;0,$A411&gt;L$7)),0,MAX(0,ROUND((INDEX($E411:$G411,L$5)-SUMIFS(TF_Timer,TF_Tekniker,L$4,TF_Dato,$A411))*2,0)/2)))</f>
        <v/>
      </c>
      <c r="M411">
        <f>IF(OR(M$4="",$A411&gt;TODAY()),0,IF(OR(INDEX($B411:$D411,M$5)="F",AND(M$6&gt;0,$A411&lt;M$6),AND(M$7&gt;0,$A411&gt;M$7)),0,MAX(0,ROUND((INDEX($E411:$G411,M$5)-SUMIFS(TF_Timer,TF_Tekniker,M$4,TF_Dato,$A411))*2,0)/2)))</f>
        <v/>
      </c>
      <c r="N411">
        <f>IF(OR(N$4="",$A411&gt;TODAY()),0,IF(OR(INDEX($B411:$D411,N$5)="F",AND(N$6&gt;0,$A411&lt;N$6),AND(N$7&gt;0,$A411&gt;N$7)),0,MAX(0,ROUND((INDEX($E411:$G411,N$5)-SUMIFS(TF_Timer,TF_Tekniker,N$4,TF_Dato,$A411))*2,0)/2)))</f>
        <v/>
      </c>
      <c r="O411">
        <f>IF(OR(O$4="",$A411&gt;TODAY()),0,IF(OR(INDEX($B411:$D411,O$5)="F",AND(O$6&gt;0,$A411&lt;O$6),AND(O$7&gt;0,$A411&gt;O$7)),0,MAX(0,ROUND((INDEX($E411:$G411,O$5)-SUMIFS(TF_Timer,TF_Tekniker,O$4,TF_Dato,$A411))*2,0)/2)))</f>
        <v/>
      </c>
      <c r="P411">
        <f>IF(OR(P$4="",$A411&gt;TODAY()),0,IF(OR(INDEX($B411:$D411,P$5)="F",AND(P$6&gt;0,$A411&lt;P$6),AND(P$7&gt;0,$A411&gt;P$7)),0,MAX(0,ROUND((INDEX($E411:$G411,P$5)-SUMIFS(TF_Timer,TF_Tekniker,P$4,TF_Dato,$A411))*2,0)/2)))</f>
        <v/>
      </c>
      <c r="Q411">
        <f>IF(OR(Q$4="",$A411&gt;TODAY()),0,IF(OR(INDEX($B411:$D411,Q$5)="F",AND(Q$6&gt;0,$A411&lt;Q$6),AND(Q$7&gt;0,$A411&gt;Q$7)),0,MAX(0,ROUND((INDEX($E411:$G411,Q$5)-SUMIFS(TF_Timer,TF_Tekniker,Q$4,TF_Dato,$A411))*2,0)/2)))</f>
        <v/>
      </c>
      <c r="R411">
        <f>IF(OR(R$4="",$A411&gt;TODAY()),0,IF(OR(INDEX($B411:$D411,R$5)="F",AND(R$6&gt;0,$A411&lt;R$6),AND(R$7&gt;0,$A411&gt;R$7)),0,MAX(0,ROUND((INDEX($E411:$G411,R$5)-SUMIFS(TF_Timer,TF_Tekniker,R$4,TF_Dato,$A411))*2,0)/2)))</f>
        <v/>
      </c>
      <c r="S411">
        <f>IF(OR(S$4="",$A411&gt;TODAY()),0,IF(OR(INDEX($B411:$D411,S$5)="F",AND(S$6&gt;0,$A411&lt;S$6),AND(S$7&gt;0,$A411&gt;S$7)),0,MAX(0,ROUND((INDEX($E411:$G411,S$5)-SUMIFS(TF_Timer,TF_Tekniker,S$4,TF_Dato,$A411))*2,0)/2)))</f>
        <v/>
      </c>
      <c r="T411">
        <f>IF(OR(T$4="",$A411&gt;TODAY()),0,IF(OR(INDEX($B411:$D411,T$5)="F",AND(T$6&gt;0,$A411&lt;T$6),AND(T$7&gt;0,$A411&gt;T$7)),0,MAX(0,ROUND((INDEX($E411:$G411,T$5)-SUMIFS(TF_Timer,TF_Tekniker,T$4,TF_Dato,$A411))*2,0)/2)))</f>
        <v/>
      </c>
      <c r="U411">
        <f>IF(OR(U$4="",$A411&gt;TODAY()),0,IF(OR(INDEX($B411:$D411,U$5)="F",AND(U$6&gt;0,$A411&lt;U$6),AND(U$7&gt;0,$A411&gt;U$7)),0,MAX(0,ROUND((INDEX($E411:$G411,U$5)-SUMIFS(TF_Timer,TF_Tekniker,U$4,TF_Dato,$A411))*2,0)/2)))</f>
        <v/>
      </c>
      <c r="V411">
        <f>IF(OR(V$4="",$A411&gt;TODAY()),0,IF(OR(INDEX($B411:$D411,V$5)="F",AND(V$6&gt;0,$A411&lt;V$6),AND(V$7&gt;0,$A411&gt;V$7)),0,MAX(0,ROUND((INDEX($E411:$G411,V$5)-SUMIFS(TF_Timer,TF_Tekniker,V$4,TF_Dato,$A411))*2,0)/2)))</f>
        <v/>
      </c>
      <c r="W411">
        <f>IF(OR(W$4="",$A411&gt;TODAY()),0,IF(OR(INDEX($B411:$D411,W$5)="F",AND(W$6&gt;0,$A411&lt;W$6),AND(W$7&gt;0,$A411&gt;W$7)),0,MAX(0,ROUND((INDEX($E411:$G411,W$5)-SUMIFS(TF_Timer,TF_Tekniker,W$4,TF_Dato,$A411))*2,0)/2)))</f>
        <v/>
      </c>
      <c r="X411">
        <f>IF(OR(X$4="",$A411&gt;TODAY()),0,IF(OR(INDEX($B411:$D411,X$5)="F",AND(X$6&gt;0,$A411&lt;X$6),AND(X$7&gt;0,$A411&gt;X$7)),0,MAX(0,ROUND((INDEX($E411:$G411,X$5)-SUMIFS(TF_Timer,TF_Tekniker,X$4,TF_Dato,$A411))*2,0)/2)))</f>
        <v/>
      </c>
      <c r="Y411">
        <f>IF(OR(Y$4="",$A411&gt;TODAY()),0,IF(OR(INDEX($B411:$D411,Y$5)="F",AND(Y$6&gt;0,$A411&lt;Y$6),AND(Y$7&gt;0,$A411&gt;Y$7)),0,MAX(0,ROUND((INDEX($E411:$G411,Y$5)-SUMIFS(TF_Timer,TF_Tekniker,Y$4,TF_Dato,$A411))*2,0)/2)))</f>
        <v/>
      </c>
      <c r="Z411">
        <f>IF(OR(Z$4="",$A411&gt;TODAY()),0,IF(OR(INDEX($B411:$D411,Z$5)="F",AND(Z$6&gt;0,$A411&lt;Z$6),AND(Z$7&gt;0,$A411&gt;Z$7)),0,MAX(0,ROUND((INDEX($E411:$G411,Z$5)-SUMIFS(TF_Timer,TF_Tekniker,Z$4,TF_Dato,$A411))*2,0)/2)))</f>
        <v/>
      </c>
      <c r="AA411">
        <f>IF(OR(AA$4="",$A411&gt;TODAY()),0,IF(OR(INDEX($B411:$D411,AA$5)="F",AND(AA$6&gt;0,$A411&lt;AA$6),AND(AA$7&gt;0,$A411&gt;AA$7)),0,MAX(0,ROUND((INDEX($E411:$G411,AA$5)-SUMIFS(TF_Timer,TF_Tekniker,AA$4,TF_Dato,$A411))*2,0)/2)))</f>
        <v/>
      </c>
      <c r="AB411">
        <f>IF(OR(AB$4="",$A411&gt;TODAY()),0,IF(OR(INDEX($B411:$D411,AB$5)="F",AND(AB$6&gt;0,$A411&lt;AB$6),AND(AB$7&gt;0,$A411&gt;AB$7)),0,MAX(0,ROUND((INDEX($E411:$G411,AB$5)-SUMIFS(TF_Timer,TF_Tekniker,AB$4,TF_Dato,$A411))*2,0)/2)))</f>
        <v/>
      </c>
      <c r="AC411">
        <f>IF(OR(AC$4="",$A411&gt;TODAY()),0,IF(OR(INDEX($B411:$D411,AC$5)="F",AND(AC$6&gt;0,$A411&lt;AC$6),AND(AC$7&gt;0,$A411&gt;AC$7)),0,MAX(0,ROUND((INDEX($E411:$G411,AC$5)-SUMIFS(TF_Timer,TF_Tekniker,AC$4,TF_Dato,$A411))*2,0)/2)))</f>
        <v/>
      </c>
      <c r="AD411">
        <f>IF(OR(AD$4="",$A411&gt;TODAY()),0,IF(OR(INDEX($B411:$D411,AD$5)="F",AND(AD$6&gt;0,$A411&lt;AD$6),AND(AD$7&gt;0,$A411&gt;AD$7)),0,MAX(0,ROUND((INDEX($E411:$G411,AD$5)-SUMIFS(TF_Timer,TF_Tekniker,AD$4,TF_Dato,$A411))*2,0)/2)))</f>
        <v/>
      </c>
      <c r="AE411">
        <f>IF(OR(AE$4="",$A411&gt;TODAY()),0,IF(OR(INDEX($B411:$D411,AE$5)="F",AND(AE$6&gt;0,$A411&lt;AE$6),AND(AE$7&gt;0,$A411&gt;AE$7)),0,MAX(0,ROUND((INDEX($E411:$G411,AE$5)-SUMIFS(TF_Timer,TF_Tekniker,AE$4,TF_Dato,$A411))*2,0)/2)))</f>
        <v/>
      </c>
      <c r="AF411">
        <f>IF(OR(AF$4="",$A411&gt;TODAY()),0,IF(OR(INDEX($B411:$D411,AF$5)="F",AND(AF$6&gt;0,$A411&lt;AF$6),AND(AF$7&gt;0,$A411&gt;AF$7)),0,MAX(0,ROUND((INDEX($E411:$G411,AF$5)-SUMIFS(TF_Timer,TF_Tekniker,AF$4,TF_Dato,$A411))*2,0)/2)))</f>
        <v/>
      </c>
      <c r="AG411">
        <f>IF(OR(AG$4="",$A411&gt;TODAY()),0,IF(OR(INDEX($B411:$D411,AG$5)="F",AND(AG$6&gt;0,$A411&lt;AG$6),AND(AG$7&gt;0,$A411&gt;AG$7)),0,MAX(0,ROUND((INDEX($E411:$G411,AG$5)-SUMIFS(TF_Timer,TF_Tekniker,AG$4,TF_Dato,$A411))*2,0)/2)))</f>
        <v/>
      </c>
      <c r="AH411">
        <f>IF(OR(AH$4="",$A411&gt;TODAY()),0,IF(OR(INDEX($B411:$D411,AH$5)="F",AND(AH$6&gt;0,$A411&lt;AH$6),AND(AH$7&gt;0,$A411&gt;AH$7)),0,MAX(0,ROUND((INDEX($E411:$G411,AH$5)-SUMIFS(TF_Timer,TF_Tekniker,AH$4,TF_Dato,$A411))*2,0)/2)))</f>
        <v/>
      </c>
      <c r="AI411">
        <f>IF(OR(AI$4="",$A411&gt;TODAY()),0,IF(OR(INDEX($B411:$D411,AI$5)="F",AND(AI$6&gt;0,$A411&lt;AI$6),AND(AI$7&gt;0,$A411&gt;AI$7)),0,MAX(0,ROUND((INDEX($E411:$G411,AI$5)-SUMIFS(TF_Timer,TF_Tekniker,AI$4,TF_Dato,$A411))*2,0)/2)))</f>
        <v/>
      </c>
      <c r="AJ411">
        <f>IF(OR(AJ$4="",$A411&gt;TODAY()),0,IF(OR(INDEX($B411:$D411,AJ$5)="F",AND(AJ$6&gt;0,$A411&lt;AJ$6),AND(AJ$7&gt;0,$A411&gt;AJ$7)),0,MAX(0,ROUND((INDEX($E411:$G411,AJ$5)-SUMIFS(TF_Timer,TF_Tekniker,AJ$4,TF_Dato,$A411))*2,0)/2)))</f>
        <v/>
      </c>
      <c r="AK411">
        <f>IF(OR(AK$4="",$A411&gt;TODAY()),0,IF(OR(INDEX($B411:$D411,AK$5)="F",AND(AK$6&gt;0,$A411&lt;AK$6),AND(AK$7&gt;0,$A411&gt;AK$7)),0,MAX(0,ROUND((INDEX($E411:$G411,AK$5)-SUMIFS(TF_Timer,TF_Tekniker,AK$4,TF_Dato,$A411))*2,0)/2)))</f>
        <v/>
      </c>
      <c r="AL411">
        <f>IF(OR(AL$4="",$A411&gt;TODAY()),0,IF(OR(INDEX($B411:$D411,AL$5)="F",AND(AL$6&gt;0,$A411&lt;AL$6),AND(AL$7&gt;0,$A411&gt;AL$7)),0,MAX(0,ROUND((INDEX($E411:$G411,AL$5)-SUMIFS(TF_Timer,TF_Tekniker,AL$4,TF_Dato,$A411))*2,0)/2)))</f>
        <v/>
      </c>
      <c r="AM411">
        <f>IF(OR(AM$4="",$A411&gt;TODAY()),0,IF(OR(INDEX($B411:$D411,AM$5)="F",AND(AM$6&gt;0,$A411&lt;AM$6),AND(AM$7&gt;0,$A411&gt;AM$7)),0,MAX(0,ROUND((INDEX($E411:$G411,AM$5)-SUMIFS(TF_Timer,TF_Tekniker,AM$4,TF_Dato,$A411))*2,0)/2)))</f>
        <v/>
      </c>
      <c r="AN411">
        <f>IF(OR(AN$4="",$A411&gt;TODAY()),0,IF(OR(INDEX($B411:$D411,AN$5)="F",AND(AN$6&gt;0,$A411&lt;AN$6),AND(AN$7&gt;0,$A411&gt;AN$7)),0,MAX(0,ROUND((INDEX($E411:$G411,AN$5)-SUMIFS(TF_Timer,TF_Tekniker,AN$4,TF_Dato,$A411))*2,0)/2)))</f>
        <v/>
      </c>
      <c r="AO411">
        <f>IF(OR(AO$4="",$A411&gt;TODAY()),0,IF(OR(INDEX($B411:$D411,AO$5)="F",AND(AO$6&gt;0,$A411&lt;AO$6),AND(AO$7&gt;0,$A411&gt;AO$7)),0,MAX(0,ROUND((INDEX($E411:$G411,AO$5)-SUMIFS(TF_Timer,TF_Tekniker,AO$4,TF_Dato,$A411))*2,0)/2)))</f>
        <v/>
      </c>
      <c r="AP411">
        <f>IF(OR(AP$4="",$A411&gt;TODAY()),0,IF(OR(INDEX($B411:$D411,AP$5)="F",AND(AP$6&gt;0,$A411&lt;AP$6),AND(AP$7&gt;0,$A411&gt;AP$7)),0,MAX(0,ROUND((INDEX($E411:$G411,AP$5)-SUMIFS(TF_Timer,TF_Tekniker,AP$4,TF_Dato,$A411))*2,0)/2)))</f>
        <v/>
      </c>
      <c r="AQ411">
        <f>IF(OR(AQ$4="",$A411&gt;TODAY()),0,IF(OR(INDEX($B411:$D411,AQ$5)="F",AND(AQ$6&gt;0,$A411&lt;AQ$6),AND(AQ$7&gt;0,$A411&gt;AQ$7)),0,MAX(0,ROUND((INDEX($E411:$G411,AQ$5)-SUMIFS(TF_Timer,TF_Tekniker,AQ$4,TF_Dato,$A411))*2,0)/2)))</f>
        <v/>
      </c>
      <c r="AR411">
        <f>IF(OR(AR$4="",$A411&gt;TODAY()),0,IF(OR(INDEX($B411:$D411,AR$5)="F",AND(AR$6&gt;0,$A411&lt;AR$6),AND(AR$7&gt;0,$A411&gt;AR$7)),0,MAX(0,ROUND((INDEX($E411:$G411,AR$5)-SUMIFS(TF_Timer,TF_Tekniker,AR$4,TF_Dato,$A411))*2,0)/2)))</f>
        <v/>
      </c>
      <c r="AS411">
        <f>IF(OR(AS$4="",$A411&gt;TODAY()),0,IF(OR(INDEX($B411:$D411,AS$5)="F",AND(AS$6&gt;0,$A411&lt;AS$6),AND(AS$7&gt;0,$A411&gt;AS$7)),0,MAX(0,ROUND((INDEX($E411:$G411,AS$5)-SUMIFS(TF_Timer,TF_Tekniker,AS$4,TF_Dato,$A411))*2,0)/2)))</f>
        <v/>
      </c>
      <c r="AT411">
        <f>IF(OR(AT$4="",$A411&gt;TODAY()),0,IF(OR(INDEX($B411:$D411,AT$5)="F",AND(AT$6&gt;0,$A411&lt;AT$6),AND(AT$7&gt;0,$A411&gt;AT$7)),0,MAX(0,ROUND((INDEX($E411:$G411,AT$5)-SUMIFS(TF_Timer,TF_Tekniker,AT$4,TF_Dato,$A411))*2,0)/2)))</f>
        <v/>
      </c>
      <c r="AU411">
        <f>IF(OR(AU$4="",$A411&gt;TODAY()),0,IF(OR(INDEX($B411:$D411,AU$5)="F",AND(AU$6&gt;0,$A411&lt;AU$6),AND(AU$7&gt;0,$A411&gt;AU$7)),0,MAX(0,ROUND((INDEX($E411:$G411,AU$5)-SUMIFS(TF_Timer,TF_Tekniker,AU$4,TF_Dato,$A411))*2,0)/2)))</f>
        <v/>
      </c>
      <c r="AV411">
        <f>IF(OR(AV$4="",$A411&gt;TODAY()),0,IF(OR(INDEX($B411:$D411,AV$5)="F",AND(AV$6&gt;0,$A411&lt;AV$6),AND(AV$7&gt;0,$A411&gt;AV$7)),0,MAX(0,ROUND((INDEX($E411:$G411,AV$5)-SUMIFS(TF_Timer,TF_Tekniker,AV$4,TF_Dato,$A411))*2,0)/2)))</f>
        <v/>
      </c>
      <c r="AW411">
        <f>IF(OR(AW$4="",$A411&gt;TODAY()),0,IF(OR(INDEX($B411:$D411,AW$5)="F",AND(AW$6&gt;0,$A411&lt;AW$6),AND(AW$7&gt;0,$A411&gt;AW$7)),0,MAX(0,ROUND((INDEX($E411:$G411,AW$5)-SUMIFS(TF_Timer,TF_Tekniker,AW$4,TF_Dato,$A411))*2,0)/2)))</f>
        <v/>
      </c>
      <c r="AX411">
        <f>IF(OR(AX$4="",$A411&gt;TODAY()),0,IF(OR(INDEX($B411:$D411,AX$5)="F",AND(AX$6&gt;0,$A411&lt;AX$6),AND(AX$7&gt;0,$A411&gt;AX$7)),0,MAX(0,ROUND((INDEX($E411:$G411,AX$5)-SUMIFS(TF_Timer,TF_Tekniker,AX$4,TF_Dato,$A411))*2,0)/2)))</f>
        <v/>
      </c>
      <c r="AY411">
        <f>IF(OR(AY$4="",$A411&gt;TODAY()),0,IF(OR(INDEX($B411:$D411,AY$5)="F",AND(AY$6&gt;0,$A411&lt;AY$6),AND(AY$7&gt;0,$A411&gt;AY$7)),0,MAX(0,ROUND((INDEX($E411:$G411,AY$5)-SUMIFS(TF_Timer,TF_Tekniker,AY$4,TF_Dato,$A411))*2,0)/2)))</f>
        <v/>
      </c>
      <c r="AZ411">
        <f>IF(OR(AZ$4="",$A411&gt;TODAY()),0,IF(OR(INDEX($B411:$D411,AZ$5)="F",AND(AZ$6&gt;0,$A411&lt;AZ$6),AND(AZ$7&gt;0,$A411&gt;AZ$7)),0,MAX(0,ROUND((INDEX($E411:$G411,AZ$5)-SUMIFS(TF_Timer,TF_Tekniker,AZ$4,TF_Dato,$A411))*2,0)/2)))</f>
        <v/>
      </c>
      <c r="BA411">
        <f>IF(OR(BA$4="",$A411&gt;TODAY()),0,IF(OR(INDEX($B411:$D411,BA$5)="F",AND(BA$6&gt;0,$A411&lt;BA$6),AND(BA$7&gt;0,$A411&gt;BA$7)),0,MAX(0,ROUND((INDEX($E411:$G411,BA$5)-SUMIFS(TF_Timer,TF_Tekniker,BA$4,TF_Dato,$A411))*2,0)/2)))</f>
        <v/>
      </c>
      <c r="BB411">
        <f>IF(OR(BB$4="",$A411&gt;TODAY()),0,IF(OR(INDEX($B411:$D411,BB$5)="F",AND(BB$6&gt;0,$A411&lt;BB$6),AND(BB$7&gt;0,$A411&gt;BB$7)),0,MAX(0,ROUND((INDEX($E411:$G411,BB$5)-SUMIFS(TF_Timer,TF_Tekniker,BB$4,TF_Dato,$A411))*2,0)/2)))</f>
        <v/>
      </c>
      <c r="BC411">
        <f>IF(OR(BC$4="",$A411&gt;TODAY()),0,IF(OR(INDEX($B411:$D411,BC$5)="F",AND(BC$6&gt;0,$A411&lt;BC$6),AND(BC$7&gt;0,$A411&gt;BC$7)),0,MAX(0,ROUND((INDEX($E411:$G411,BC$5)-SUMIFS(TF_Timer,TF_Tekniker,BC$4,TF_Dato,$A411))*2,0)/2)))</f>
        <v/>
      </c>
      <c r="BD411">
        <f>IF(OR(BD$4="",$A411&gt;TODAY()),0,IF(OR(INDEX($B411:$D411,BD$5)="F",AND(BD$6&gt;0,$A411&lt;BD$6),AND(BD$7&gt;0,$A411&gt;BD$7)),0,MAX(0,ROUND((INDEX($E411:$G411,BD$5)-SUMIFS(TF_Timer,TF_Tekniker,BD$4,TF_Dato,$A411))*2,0)/2)))</f>
        <v/>
      </c>
      <c r="BE411">
        <f>IF(OR(BE$4="",$A411&gt;TODAY()),0,IF(OR(INDEX($B411:$D411,BE$5)="F",AND(BE$6&gt;0,$A411&lt;BE$6),AND(BE$7&gt;0,$A411&gt;BE$7)),0,MAX(0,ROUND((INDEX($E411:$G411,BE$5)-SUMIFS(TF_Timer,TF_Tekniker,BE$4,TF_Dato,$A411))*2,0)/2)))</f>
        <v/>
      </c>
      <c r="BF411">
        <f>IF(OR(BF$4="",$A411&gt;TODAY()),0,IF(OR(INDEX($B411:$D411,BF$5)="F",AND(BF$6&gt;0,$A411&lt;BF$6),AND(BF$7&gt;0,$A411&gt;BF$7)),0,MAX(0,ROUND((INDEX($E411:$G411,BF$5)-SUMIFS(TF_Timer,TF_Tekniker,BF$4,TF_Dato,$A411))*2,0)/2)))</f>
        <v/>
      </c>
      <c r="BG411">
        <f>IF(OR(BG$4="",$A411&gt;TODAY()),0,IF(OR(INDEX($B411:$D411,BG$5)="F",AND(BG$6&gt;0,$A411&lt;BG$6),AND(BG$7&gt;0,$A411&gt;BG$7)),0,MAX(0,ROUND((INDEX($E411:$G411,BG$5)-SUMIFS(TF_Timer,TF_Tekniker,BG$4,TF_Dato,$A411))*2,0)/2)))</f>
        <v/>
      </c>
      <c r="BH411">
        <f>IF(OR(BH$4="",$A411&gt;TODAY()),0,IF(OR(INDEX($B411:$D411,BH$5)="F",AND(BH$6&gt;0,$A411&lt;BH$6),AND(BH$7&gt;0,$A411&gt;BH$7)),0,MAX(0,ROUND((INDEX($E411:$G411,BH$5)-SUMIFS(TF_Timer,TF_Tekniker,BH$4,TF_Dato,$A411))*2,0)/2)))</f>
        <v/>
      </c>
      <c r="BI411">
        <f>IF(OR(BI$4="",$A411&gt;TODAY()),0,IF(OR(INDEX($B411:$D411,BI$5)="F",AND(BI$6&gt;0,$A411&lt;BI$6),AND(BI$7&gt;0,$A411&gt;BI$7)),0,MAX(0,ROUND((INDEX($E411:$G411,BI$5)-SUMIFS(TF_Timer,TF_Tekniker,BI$4,TF_Dato,$A411))*2,0)/2)))</f>
        <v/>
      </c>
    </row>
    <row r="412">
      <c r="A412" s="64">
        <f>A411+1</f>
        <v/>
      </c>
      <c r="B412">
        <f>IF(MOD($A412-INDEX(SkiftStart,1),Syklus)&lt;DagK,"K",IF(MOD($A412-INDEX(SkiftStart,1),Syklus)&lt;DagK+DagH,"H",IF(MOD($A412-INDEX(SkiftStart,1),Syklus)&lt;DagK+DagH+DagD,"D","F")))</f>
        <v/>
      </c>
      <c r="C412">
        <f>IF(MOD($A412-INDEX(SkiftStart,2),Syklus)&lt;DagK,"K",IF(MOD($A412-INDEX(SkiftStart,2),Syklus)&lt;DagK+DagH,"H",IF(MOD($A412-INDEX(SkiftStart,2),Syklus)&lt;DagK+DagH+DagD,"D","F")))</f>
        <v/>
      </c>
      <c r="D412">
        <f>IF(MOD($A412-INDEX(SkiftStart,3),Syklus)&lt;DagK,"K",IF(MOD($A412-INDEX(SkiftStart,3),Syklus)&lt;DagK+DagH,"H",IF(MOD($A412-INDEX(SkiftStart,3),Syklus)&lt;DagK+DagH+DagD,"D","F")))</f>
        <v/>
      </c>
      <c r="E412">
        <f>IF(B412="F",0,IF(WEEKDAY($A412,2)=5,INDEX(TimerFr,MATCH(B412,FaseKode,0)),INDEX(TimerMT,MATCH(B412,FaseKode,0))))</f>
        <v/>
      </c>
      <c r="F412">
        <f>IF(C412="F",0,IF(WEEKDAY($A412,2)=5,INDEX(TimerFr,MATCH(C412,FaseKode,0)),INDEX(TimerMT,MATCH(C412,FaseKode,0))))</f>
        <v/>
      </c>
      <c r="G412">
        <f>IF(D412="F",0,IF(WEEKDAY($A412,2)=5,INDEX(TimerFr,MATCH(D412,FaseKode,0)),INDEX(TimerMT,MATCH(D412,FaseKode,0))))</f>
        <v/>
      </c>
      <c r="H412">
        <f>IF(OR(H$4="",$A412&gt;TODAY()),0,IF(OR(INDEX($B412:$D412,H$5)="F",AND(H$6&gt;0,$A412&lt;H$6),AND(H$7&gt;0,$A412&gt;H$7)),0,MAX(0,ROUND((INDEX($E412:$G412,H$5)-SUMIFS(TF_Timer,TF_Tekniker,H$4,TF_Dato,$A412))*2,0)/2)))</f>
        <v/>
      </c>
      <c r="I412">
        <f>IF(OR(I$4="",$A412&gt;TODAY()),0,IF(OR(INDEX($B412:$D412,I$5)="F",AND(I$6&gt;0,$A412&lt;I$6),AND(I$7&gt;0,$A412&gt;I$7)),0,MAX(0,ROUND((INDEX($E412:$G412,I$5)-SUMIFS(TF_Timer,TF_Tekniker,I$4,TF_Dato,$A412))*2,0)/2)))</f>
        <v/>
      </c>
      <c r="J412">
        <f>IF(OR(J$4="",$A412&gt;TODAY()),0,IF(OR(INDEX($B412:$D412,J$5)="F",AND(J$6&gt;0,$A412&lt;J$6),AND(J$7&gt;0,$A412&gt;J$7)),0,MAX(0,ROUND((INDEX($E412:$G412,J$5)-SUMIFS(TF_Timer,TF_Tekniker,J$4,TF_Dato,$A412))*2,0)/2)))</f>
        <v/>
      </c>
      <c r="K412">
        <f>IF(OR(K$4="",$A412&gt;TODAY()),0,IF(OR(INDEX($B412:$D412,K$5)="F",AND(K$6&gt;0,$A412&lt;K$6),AND(K$7&gt;0,$A412&gt;K$7)),0,MAX(0,ROUND((INDEX($E412:$G412,K$5)-SUMIFS(TF_Timer,TF_Tekniker,K$4,TF_Dato,$A412))*2,0)/2)))</f>
        <v/>
      </c>
      <c r="L412">
        <f>IF(OR(L$4="",$A412&gt;TODAY()),0,IF(OR(INDEX($B412:$D412,L$5)="F",AND(L$6&gt;0,$A412&lt;L$6),AND(L$7&gt;0,$A412&gt;L$7)),0,MAX(0,ROUND((INDEX($E412:$G412,L$5)-SUMIFS(TF_Timer,TF_Tekniker,L$4,TF_Dato,$A412))*2,0)/2)))</f>
        <v/>
      </c>
      <c r="M412">
        <f>IF(OR(M$4="",$A412&gt;TODAY()),0,IF(OR(INDEX($B412:$D412,M$5)="F",AND(M$6&gt;0,$A412&lt;M$6),AND(M$7&gt;0,$A412&gt;M$7)),0,MAX(0,ROUND((INDEX($E412:$G412,M$5)-SUMIFS(TF_Timer,TF_Tekniker,M$4,TF_Dato,$A412))*2,0)/2)))</f>
        <v/>
      </c>
      <c r="N412">
        <f>IF(OR(N$4="",$A412&gt;TODAY()),0,IF(OR(INDEX($B412:$D412,N$5)="F",AND(N$6&gt;0,$A412&lt;N$6),AND(N$7&gt;0,$A412&gt;N$7)),0,MAX(0,ROUND((INDEX($E412:$G412,N$5)-SUMIFS(TF_Timer,TF_Tekniker,N$4,TF_Dato,$A412))*2,0)/2)))</f>
        <v/>
      </c>
      <c r="O412">
        <f>IF(OR(O$4="",$A412&gt;TODAY()),0,IF(OR(INDEX($B412:$D412,O$5)="F",AND(O$6&gt;0,$A412&lt;O$6),AND(O$7&gt;0,$A412&gt;O$7)),0,MAX(0,ROUND((INDEX($E412:$G412,O$5)-SUMIFS(TF_Timer,TF_Tekniker,O$4,TF_Dato,$A412))*2,0)/2)))</f>
        <v/>
      </c>
      <c r="P412">
        <f>IF(OR(P$4="",$A412&gt;TODAY()),0,IF(OR(INDEX($B412:$D412,P$5)="F",AND(P$6&gt;0,$A412&lt;P$6),AND(P$7&gt;0,$A412&gt;P$7)),0,MAX(0,ROUND((INDEX($E412:$G412,P$5)-SUMIFS(TF_Timer,TF_Tekniker,P$4,TF_Dato,$A412))*2,0)/2)))</f>
        <v/>
      </c>
      <c r="Q412">
        <f>IF(OR(Q$4="",$A412&gt;TODAY()),0,IF(OR(INDEX($B412:$D412,Q$5)="F",AND(Q$6&gt;0,$A412&lt;Q$6),AND(Q$7&gt;0,$A412&gt;Q$7)),0,MAX(0,ROUND((INDEX($E412:$G412,Q$5)-SUMIFS(TF_Timer,TF_Tekniker,Q$4,TF_Dato,$A412))*2,0)/2)))</f>
        <v/>
      </c>
      <c r="R412">
        <f>IF(OR(R$4="",$A412&gt;TODAY()),0,IF(OR(INDEX($B412:$D412,R$5)="F",AND(R$6&gt;0,$A412&lt;R$6),AND(R$7&gt;0,$A412&gt;R$7)),0,MAX(0,ROUND((INDEX($E412:$G412,R$5)-SUMIFS(TF_Timer,TF_Tekniker,R$4,TF_Dato,$A412))*2,0)/2)))</f>
        <v/>
      </c>
      <c r="S412">
        <f>IF(OR(S$4="",$A412&gt;TODAY()),0,IF(OR(INDEX($B412:$D412,S$5)="F",AND(S$6&gt;0,$A412&lt;S$6),AND(S$7&gt;0,$A412&gt;S$7)),0,MAX(0,ROUND((INDEX($E412:$G412,S$5)-SUMIFS(TF_Timer,TF_Tekniker,S$4,TF_Dato,$A412))*2,0)/2)))</f>
        <v/>
      </c>
      <c r="T412">
        <f>IF(OR(T$4="",$A412&gt;TODAY()),0,IF(OR(INDEX($B412:$D412,T$5)="F",AND(T$6&gt;0,$A412&lt;T$6),AND(T$7&gt;0,$A412&gt;T$7)),0,MAX(0,ROUND((INDEX($E412:$G412,T$5)-SUMIFS(TF_Timer,TF_Tekniker,T$4,TF_Dato,$A412))*2,0)/2)))</f>
        <v/>
      </c>
      <c r="U412">
        <f>IF(OR(U$4="",$A412&gt;TODAY()),0,IF(OR(INDEX($B412:$D412,U$5)="F",AND(U$6&gt;0,$A412&lt;U$6),AND(U$7&gt;0,$A412&gt;U$7)),0,MAX(0,ROUND((INDEX($E412:$G412,U$5)-SUMIFS(TF_Timer,TF_Tekniker,U$4,TF_Dato,$A412))*2,0)/2)))</f>
        <v/>
      </c>
      <c r="V412">
        <f>IF(OR(V$4="",$A412&gt;TODAY()),0,IF(OR(INDEX($B412:$D412,V$5)="F",AND(V$6&gt;0,$A412&lt;V$6),AND(V$7&gt;0,$A412&gt;V$7)),0,MAX(0,ROUND((INDEX($E412:$G412,V$5)-SUMIFS(TF_Timer,TF_Tekniker,V$4,TF_Dato,$A412))*2,0)/2)))</f>
        <v/>
      </c>
      <c r="W412">
        <f>IF(OR(W$4="",$A412&gt;TODAY()),0,IF(OR(INDEX($B412:$D412,W$5)="F",AND(W$6&gt;0,$A412&lt;W$6),AND(W$7&gt;0,$A412&gt;W$7)),0,MAX(0,ROUND((INDEX($E412:$G412,W$5)-SUMIFS(TF_Timer,TF_Tekniker,W$4,TF_Dato,$A412))*2,0)/2)))</f>
        <v/>
      </c>
      <c r="X412">
        <f>IF(OR(X$4="",$A412&gt;TODAY()),0,IF(OR(INDEX($B412:$D412,X$5)="F",AND(X$6&gt;0,$A412&lt;X$6),AND(X$7&gt;0,$A412&gt;X$7)),0,MAX(0,ROUND((INDEX($E412:$G412,X$5)-SUMIFS(TF_Timer,TF_Tekniker,X$4,TF_Dato,$A412))*2,0)/2)))</f>
        <v/>
      </c>
      <c r="Y412">
        <f>IF(OR(Y$4="",$A412&gt;TODAY()),0,IF(OR(INDEX($B412:$D412,Y$5)="F",AND(Y$6&gt;0,$A412&lt;Y$6),AND(Y$7&gt;0,$A412&gt;Y$7)),0,MAX(0,ROUND((INDEX($E412:$G412,Y$5)-SUMIFS(TF_Timer,TF_Tekniker,Y$4,TF_Dato,$A412))*2,0)/2)))</f>
        <v/>
      </c>
      <c r="Z412">
        <f>IF(OR(Z$4="",$A412&gt;TODAY()),0,IF(OR(INDEX($B412:$D412,Z$5)="F",AND(Z$6&gt;0,$A412&lt;Z$6),AND(Z$7&gt;0,$A412&gt;Z$7)),0,MAX(0,ROUND((INDEX($E412:$G412,Z$5)-SUMIFS(TF_Timer,TF_Tekniker,Z$4,TF_Dato,$A412))*2,0)/2)))</f>
        <v/>
      </c>
      <c r="AA412">
        <f>IF(OR(AA$4="",$A412&gt;TODAY()),0,IF(OR(INDEX($B412:$D412,AA$5)="F",AND(AA$6&gt;0,$A412&lt;AA$6),AND(AA$7&gt;0,$A412&gt;AA$7)),0,MAX(0,ROUND((INDEX($E412:$G412,AA$5)-SUMIFS(TF_Timer,TF_Tekniker,AA$4,TF_Dato,$A412))*2,0)/2)))</f>
        <v/>
      </c>
      <c r="AB412">
        <f>IF(OR(AB$4="",$A412&gt;TODAY()),0,IF(OR(INDEX($B412:$D412,AB$5)="F",AND(AB$6&gt;0,$A412&lt;AB$6),AND(AB$7&gt;0,$A412&gt;AB$7)),0,MAX(0,ROUND((INDEX($E412:$G412,AB$5)-SUMIFS(TF_Timer,TF_Tekniker,AB$4,TF_Dato,$A412))*2,0)/2)))</f>
        <v/>
      </c>
      <c r="AC412">
        <f>IF(OR(AC$4="",$A412&gt;TODAY()),0,IF(OR(INDEX($B412:$D412,AC$5)="F",AND(AC$6&gt;0,$A412&lt;AC$6),AND(AC$7&gt;0,$A412&gt;AC$7)),0,MAX(0,ROUND((INDEX($E412:$G412,AC$5)-SUMIFS(TF_Timer,TF_Tekniker,AC$4,TF_Dato,$A412))*2,0)/2)))</f>
        <v/>
      </c>
      <c r="AD412">
        <f>IF(OR(AD$4="",$A412&gt;TODAY()),0,IF(OR(INDEX($B412:$D412,AD$5)="F",AND(AD$6&gt;0,$A412&lt;AD$6),AND(AD$7&gt;0,$A412&gt;AD$7)),0,MAX(0,ROUND((INDEX($E412:$G412,AD$5)-SUMIFS(TF_Timer,TF_Tekniker,AD$4,TF_Dato,$A412))*2,0)/2)))</f>
        <v/>
      </c>
      <c r="AE412">
        <f>IF(OR(AE$4="",$A412&gt;TODAY()),0,IF(OR(INDEX($B412:$D412,AE$5)="F",AND(AE$6&gt;0,$A412&lt;AE$6),AND(AE$7&gt;0,$A412&gt;AE$7)),0,MAX(0,ROUND((INDEX($E412:$G412,AE$5)-SUMIFS(TF_Timer,TF_Tekniker,AE$4,TF_Dato,$A412))*2,0)/2)))</f>
        <v/>
      </c>
      <c r="AF412">
        <f>IF(OR(AF$4="",$A412&gt;TODAY()),0,IF(OR(INDEX($B412:$D412,AF$5)="F",AND(AF$6&gt;0,$A412&lt;AF$6),AND(AF$7&gt;0,$A412&gt;AF$7)),0,MAX(0,ROUND((INDEX($E412:$G412,AF$5)-SUMIFS(TF_Timer,TF_Tekniker,AF$4,TF_Dato,$A412))*2,0)/2)))</f>
        <v/>
      </c>
      <c r="AG412">
        <f>IF(OR(AG$4="",$A412&gt;TODAY()),0,IF(OR(INDEX($B412:$D412,AG$5)="F",AND(AG$6&gt;0,$A412&lt;AG$6),AND(AG$7&gt;0,$A412&gt;AG$7)),0,MAX(0,ROUND((INDEX($E412:$G412,AG$5)-SUMIFS(TF_Timer,TF_Tekniker,AG$4,TF_Dato,$A412))*2,0)/2)))</f>
        <v/>
      </c>
      <c r="AH412">
        <f>IF(OR(AH$4="",$A412&gt;TODAY()),0,IF(OR(INDEX($B412:$D412,AH$5)="F",AND(AH$6&gt;0,$A412&lt;AH$6),AND(AH$7&gt;0,$A412&gt;AH$7)),0,MAX(0,ROUND((INDEX($E412:$G412,AH$5)-SUMIFS(TF_Timer,TF_Tekniker,AH$4,TF_Dato,$A412))*2,0)/2)))</f>
        <v/>
      </c>
      <c r="AI412">
        <f>IF(OR(AI$4="",$A412&gt;TODAY()),0,IF(OR(INDEX($B412:$D412,AI$5)="F",AND(AI$6&gt;0,$A412&lt;AI$6),AND(AI$7&gt;0,$A412&gt;AI$7)),0,MAX(0,ROUND((INDEX($E412:$G412,AI$5)-SUMIFS(TF_Timer,TF_Tekniker,AI$4,TF_Dato,$A412))*2,0)/2)))</f>
        <v/>
      </c>
      <c r="AJ412">
        <f>IF(OR(AJ$4="",$A412&gt;TODAY()),0,IF(OR(INDEX($B412:$D412,AJ$5)="F",AND(AJ$6&gt;0,$A412&lt;AJ$6),AND(AJ$7&gt;0,$A412&gt;AJ$7)),0,MAX(0,ROUND((INDEX($E412:$G412,AJ$5)-SUMIFS(TF_Timer,TF_Tekniker,AJ$4,TF_Dato,$A412))*2,0)/2)))</f>
        <v/>
      </c>
      <c r="AK412">
        <f>IF(OR(AK$4="",$A412&gt;TODAY()),0,IF(OR(INDEX($B412:$D412,AK$5)="F",AND(AK$6&gt;0,$A412&lt;AK$6),AND(AK$7&gt;0,$A412&gt;AK$7)),0,MAX(0,ROUND((INDEX($E412:$G412,AK$5)-SUMIFS(TF_Timer,TF_Tekniker,AK$4,TF_Dato,$A412))*2,0)/2)))</f>
        <v/>
      </c>
      <c r="AL412">
        <f>IF(OR(AL$4="",$A412&gt;TODAY()),0,IF(OR(INDEX($B412:$D412,AL$5)="F",AND(AL$6&gt;0,$A412&lt;AL$6),AND(AL$7&gt;0,$A412&gt;AL$7)),0,MAX(0,ROUND((INDEX($E412:$G412,AL$5)-SUMIFS(TF_Timer,TF_Tekniker,AL$4,TF_Dato,$A412))*2,0)/2)))</f>
        <v/>
      </c>
      <c r="AM412">
        <f>IF(OR(AM$4="",$A412&gt;TODAY()),0,IF(OR(INDEX($B412:$D412,AM$5)="F",AND(AM$6&gt;0,$A412&lt;AM$6),AND(AM$7&gt;0,$A412&gt;AM$7)),0,MAX(0,ROUND((INDEX($E412:$G412,AM$5)-SUMIFS(TF_Timer,TF_Tekniker,AM$4,TF_Dato,$A412))*2,0)/2)))</f>
        <v/>
      </c>
      <c r="AN412">
        <f>IF(OR(AN$4="",$A412&gt;TODAY()),0,IF(OR(INDEX($B412:$D412,AN$5)="F",AND(AN$6&gt;0,$A412&lt;AN$6),AND(AN$7&gt;0,$A412&gt;AN$7)),0,MAX(0,ROUND((INDEX($E412:$G412,AN$5)-SUMIFS(TF_Timer,TF_Tekniker,AN$4,TF_Dato,$A412))*2,0)/2)))</f>
        <v/>
      </c>
      <c r="AO412">
        <f>IF(OR(AO$4="",$A412&gt;TODAY()),0,IF(OR(INDEX($B412:$D412,AO$5)="F",AND(AO$6&gt;0,$A412&lt;AO$6),AND(AO$7&gt;0,$A412&gt;AO$7)),0,MAX(0,ROUND((INDEX($E412:$G412,AO$5)-SUMIFS(TF_Timer,TF_Tekniker,AO$4,TF_Dato,$A412))*2,0)/2)))</f>
        <v/>
      </c>
      <c r="AP412">
        <f>IF(OR(AP$4="",$A412&gt;TODAY()),0,IF(OR(INDEX($B412:$D412,AP$5)="F",AND(AP$6&gt;0,$A412&lt;AP$6),AND(AP$7&gt;0,$A412&gt;AP$7)),0,MAX(0,ROUND((INDEX($E412:$G412,AP$5)-SUMIFS(TF_Timer,TF_Tekniker,AP$4,TF_Dato,$A412))*2,0)/2)))</f>
        <v/>
      </c>
      <c r="AQ412">
        <f>IF(OR(AQ$4="",$A412&gt;TODAY()),0,IF(OR(INDEX($B412:$D412,AQ$5)="F",AND(AQ$6&gt;0,$A412&lt;AQ$6),AND(AQ$7&gt;0,$A412&gt;AQ$7)),0,MAX(0,ROUND((INDEX($E412:$G412,AQ$5)-SUMIFS(TF_Timer,TF_Tekniker,AQ$4,TF_Dato,$A412))*2,0)/2)))</f>
        <v/>
      </c>
      <c r="AR412">
        <f>IF(OR(AR$4="",$A412&gt;TODAY()),0,IF(OR(INDEX($B412:$D412,AR$5)="F",AND(AR$6&gt;0,$A412&lt;AR$6),AND(AR$7&gt;0,$A412&gt;AR$7)),0,MAX(0,ROUND((INDEX($E412:$G412,AR$5)-SUMIFS(TF_Timer,TF_Tekniker,AR$4,TF_Dato,$A412))*2,0)/2)))</f>
        <v/>
      </c>
      <c r="AS412">
        <f>IF(OR(AS$4="",$A412&gt;TODAY()),0,IF(OR(INDEX($B412:$D412,AS$5)="F",AND(AS$6&gt;0,$A412&lt;AS$6),AND(AS$7&gt;0,$A412&gt;AS$7)),0,MAX(0,ROUND((INDEX($E412:$G412,AS$5)-SUMIFS(TF_Timer,TF_Tekniker,AS$4,TF_Dato,$A412))*2,0)/2)))</f>
        <v/>
      </c>
      <c r="AT412">
        <f>IF(OR(AT$4="",$A412&gt;TODAY()),0,IF(OR(INDEX($B412:$D412,AT$5)="F",AND(AT$6&gt;0,$A412&lt;AT$6),AND(AT$7&gt;0,$A412&gt;AT$7)),0,MAX(0,ROUND((INDEX($E412:$G412,AT$5)-SUMIFS(TF_Timer,TF_Tekniker,AT$4,TF_Dato,$A412))*2,0)/2)))</f>
        <v/>
      </c>
      <c r="AU412">
        <f>IF(OR(AU$4="",$A412&gt;TODAY()),0,IF(OR(INDEX($B412:$D412,AU$5)="F",AND(AU$6&gt;0,$A412&lt;AU$6),AND(AU$7&gt;0,$A412&gt;AU$7)),0,MAX(0,ROUND((INDEX($E412:$G412,AU$5)-SUMIFS(TF_Timer,TF_Tekniker,AU$4,TF_Dato,$A412))*2,0)/2)))</f>
        <v/>
      </c>
      <c r="AV412">
        <f>IF(OR(AV$4="",$A412&gt;TODAY()),0,IF(OR(INDEX($B412:$D412,AV$5)="F",AND(AV$6&gt;0,$A412&lt;AV$6),AND(AV$7&gt;0,$A412&gt;AV$7)),0,MAX(0,ROUND((INDEX($E412:$G412,AV$5)-SUMIFS(TF_Timer,TF_Tekniker,AV$4,TF_Dato,$A412))*2,0)/2)))</f>
        <v/>
      </c>
      <c r="AW412">
        <f>IF(OR(AW$4="",$A412&gt;TODAY()),0,IF(OR(INDEX($B412:$D412,AW$5)="F",AND(AW$6&gt;0,$A412&lt;AW$6),AND(AW$7&gt;0,$A412&gt;AW$7)),0,MAX(0,ROUND((INDEX($E412:$G412,AW$5)-SUMIFS(TF_Timer,TF_Tekniker,AW$4,TF_Dato,$A412))*2,0)/2)))</f>
        <v/>
      </c>
      <c r="AX412">
        <f>IF(OR(AX$4="",$A412&gt;TODAY()),0,IF(OR(INDEX($B412:$D412,AX$5)="F",AND(AX$6&gt;0,$A412&lt;AX$6),AND(AX$7&gt;0,$A412&gt;AX$7)),0,MAX(0,ROUND((INDEX($E412:$G412,AX$5)-SUMIFS(TF_Timer,TF_Tekniker,AX$4,TF_Dato,$A412))*2,0)/2)))</f>
        <v/>
      </c>
      <c r="AY412">
        <f>IF(OR(AY$4="",$A412&gt;TODAY()),0,IF(OR(INDEX($B412:$D412,AY$5)="F",AND(AY$6&gt;0,$A412&lt;AY$6),AND(AY$7&gt;0,$A412&gt;AY$7)),0,MAX(0,ROUND((INDEX($E412:$G412,AY$5)-SUMIFS(TF_Timer,TF_Tekniker,AY$4,TF_Dato,$A412))*2,0)/2)))</f>
        <v/>
      </c>
      <c r="AZ412">
        <f>IF(OR(AZ$4="",$A412&gt;TODAY()),0,IF(OR(INDEX($B412:$D412,AZ$5)="F",AND(AZ$6&gt;0,$A412&lt;AZ$6),AND(AZ$7&gt;0,$A412&gt;AZ$7)),0,MAX(0,ROUND((INDEX($E412:$G412,AZ$5)-SUMIFS(TF_Timer,TF_Tekniker,AZ$4,TF_Dato,$A412))*2,0)/2)))</f>
        <v/>
      </c>
      <c r="BA412">
        <f>IF(OR(BA$4="",$A412&gt;TODAY()),0,IF(OR(INDEX($B412:$D412,BA$5)="F",AND(BA$6&gt;0,$A412&lt;BA$6),AND(BA$7&gt;0,$A412&gt;BA$7)),0,MAX(0,ROUND((INDEX($E412:$G412,BA$5)-SUMIFS(TF_Timer,TF_Tekniker,BA$4,TF_Dato,$A412))*2,0)/2)))</f>
        <v/>
      </c>
      <c r="BB412">
        <f>IF(OR(BB$4="",$A412&gt;TODAY()),0,IF(OR(INDEX($B412:$D412,BB$5)="F",AND(BB$6&gt;0,$A412&lt;BB$6),AND(BB$7&gt;0,$A412&gt;BB$7)),0,MAX(0,ROUND((INDEX($E412:$G412,BB$5)-SUMIFS(TF_Timer,TF_Tekniker,BB$4,TF_Dato,$A412))*2,0)/2)))</f>
        <v/>
      </c>
      <c r="BC412">
        <f>IF(OR(BC$4="",$A412&gt;TODAY()),0,IF(OR(INDEX($B412:$D412,BC$5)="F",AND(BC$6&gt;0,$A412&lt;BC$6),AND(BC$7&gt;0,$A412&gt;BC$7)),0,MAX(0,ROUND((INDEX($E412:$G412,BC$5)-SUMIFS(TF_Timer,TF_Tekniker,BC$4,TF_Dato,$A412))*2,0)/2)))</f>
        <v/>
      </c>
      <c r="BD412">
        <f>IF(OR(BD$4="",$A412&gt;TODAY()),0,IF(OR(INDEX($B412:$D412,BD$5)="F",AND(BD$6&gt;0,$A412&lt;BD$6),AND(BD$7&gt;0,$A412&gt;BD$7)),0,MAX(0,ROUND((INDEX($E412:$G412,BD$5)-SUMIFS(TF_Timer,TF_Tekniker,BD$4,TF_Dato,$A412))*2,0)/2)))</f>
        <v/>
      </c>
      <c r="BE412">
        <f>IF(OR(BE$4="",$A412&gt;TODAY()),0,IF(OR(INDEX($B412:$D412,BE$5)="F",AND(BE$6&gt;0,$A412&lt;BE$6),AND(BE$7&gt;0,$A412&gt;BE$7)),0,MAX(0,ROUND((INDEX($E412:$G412,BE$5)-SUMIFS(TF_Timer,TF_Tekniker,BE$4,TF_Dato,$A412))*2,0)/2)))</f>
        <v/>
      </c>
      <c r="BF412">
        <f>IF(OR(BF$4="",$A412&gt;TODAY()),0,IF(OR(INDEX($B412:$D412,BF$5)="F",AND(BF$6&gt;0,$A412&lt;BF$6),AND(BF$7&gt;0,$A412&gt;BF$7)),0,MAX(0,ROUND((INDEX($E412:$G412,BF$5)-SUMIFS(TF_Timer,TF_Tekniker,BF$4,TF_Dato,$A412))*2,0)/2)))</f>
        <v/>
      </c>
      <c r="BG412">
        <f>IF(OR(BG$4="",$A412&gt;TODAY()),0,IF(OR(INDEX($B412:$D412,BG$5)="F",AND(BG$6&gt;0,$A412&lt;BG$6),AND(BG$7&gt;0,$A412&gt;BG$7)),0,MAX(0,ROUND((INDEX($E412:$G412,BG$5)-SUMIFS(TF_Timer,TF_Tekniker,BG$4,TF_Dato,$A412))*2,0)/2)))</f>
        <v/>
      </c>
      <c r="BH412">
        <f>IF(OR(BH$4="",$A412&gt;TODAY()),0,IF(OR(INDEX($B412:$D412,BH$5)="F",AND(BH$6&gt;0,$A412&lt;BH$6),AND(BH$7&gt;0,$A412&gt;BH$7)),0,MAX(0,ROUND((INDEX($E412:$G412,BH$5)-SUMIFS(TF_Timer,TF_Tekniker,BH$4,TF_Dato,$A412))*2,0)/2)))</f>
        <v/>
      </c>
      <c r="BI412">
        <f>IF(OR(BI$4="",$A412&gt;TODAY()),0,IF(OR(INDEX($B412:$D412,BI$5)="F",AND(BI$6&gt;0,$A412&lt;BI$6),AND(BI$7&gt;0,$A412&gt;BI$7)),0,MAX(0,ROUND((INDEX($E412:$G412,BI$5)-SUMIFS(TF_Timer,TF_Tekniker,BI$4,TF_Dato,$A412))*2,0)/2)))</f>
        <v/>
      </c>
    </row>
    <row r="413">
      <c r="A413" s="64">
        <f>A412+1</f>
        <v/>
      </c>
      <c r="B413">
        <f>IF(MOD($A413-INDEX(SkiftStart,1),Syklus)&lt;DagK,"K",IF(MOD($A413-INDEX(SkiftStart,1),Syklus)&lt;DagK+DagH,"H",IF(MOD($A413-INDEX(SkiftStart,1),Syklus)&lt;DagK+DagH+DagD,"D","F")))</f>
        <v/>
      </c>
      <c r="C413">
        <f>IF(MOD($A413-INDEX(SkiftStart,2),Syklus)&lt;DagK,"K",IF(MOD($A413-INDEX(SkiftStart,2),Syklus)&lt;DagK+DagH,"H",IF(MOD($A413-INDEX(SkiftStart,2),Syklus)&lt;DagK+DagH+DagD,"D","F")))</f>
        <v/>
      </c>
      <c r="D413">
        <f>IF(MOD($A413-INDEX(SkiftStart,3),Syklus)&lt;DagK,"K",IF(MOD($A413-INDEX(SkiftStart,3),Syklus)&lt;DagK+DagH,"H",IF(MOD($A413-INDEX(SkiftStart,3),Syklus)&lt;DagK+DagH+DagD,"D","F")))</f>
        <v/>
      </c>
      <c r="E413">
        <f>IF(B413="F",0,IF(WEEKDAY($A413,2)=5,INDEX(TimerFr,MATCH(B413,FaseKode,0)),INDEX(TimerMT,MATCH(B413,FaseKode,0))))</f>
        <v/>
      </c>
      <c r="F413">
        <f>IF(C413="F",0,IF(WEEKDAY($A413,2)=5,INDEX(TimerFr,MATCH(C413,FaseKode,0)),INDEX(TimerMT,MATCH(C413,FaseKode,0))))</f>
        <v/>
      </c>
      <c r="G413">
        <f>IF(D413="F",0,IF(WEEKDAY($A413,2)=5,INDEX(TimerFr,MATCH(D413,FaseKode,0)),INDEX(TimerMT,MATCH(D413,FaseKode,0))))</f>
        <v/>
      </c>
      <c r="H413">
        <f>IF(OR(H$4="",$A413&gt;TODAY()),0,IF(OR(INDEX($B413:$D413,H$5)="F",AND(H$6&gt;0,$A413&lt;H$6),AND(H$7&gt;0,$A413&gt;H$7)),0,MAX(0,ROUND((INDEX($E413:$G413,H$5)-SUMIFS(TF_Timer,TF_Tekniker,H$4,TF_Dato,$A413))*2,0)/2)))</f>
        <v/>
      </c>
      <c r="I413">
        <f>IF(OR(I$4="",$A413&gt;TODAY()),0,IF(OR(INDEX($B413:$D413,I$5)="F",AND(I$6&gt;0,$A413&lt;I$6),AND(I$7&gt;0,$A413&gt;I$7)),0,MAX(0,ROUND((INDEX($E413:$G413,I$5)-SUMIFS(TF_Timer,TF_Tekniker,I$4,TF_Dato,$A413))*2,0)/2)))</f>
        <v/>
      </c>
      <c r="J413">
        <f>IF(OR(J$4="",$A413&gt;TODAY()),0,IF(OR(INDEX($B413:$D413,J$5)="F",AND(J$6&gt;0,$A413&lt;J$6),AND(J$7&gt;0,$A413&gt;J$7)),0,MAX(0,ROUND((INDEX($E413:$G413,J$5)-SUMIFS(TF_Timer,TF_Tekniker,J$4,TF_Dato,$A413))*2,0)/2)))</f>
        <v/>
      </c>
      <c r="K413">
        <f>IF(OR(K$4="",$A413&gt;TODAY()),0,IF(OR(INDEX($B413:$D413,K$5)="F",AND(K$6&gt;0,$A413&lt;K$6),AND(K$7&gt;0,$A413&gt;K$7)),0,MAX(0,ROUND((INDEX($E413:$G413,K$5)-SUMIFS(TF_Timer,TF_Tekniker,K$4,TF_Dato,$A413))*2,0)/2)))</f>
        <v/>
      </c>
      <c r="L413">
        <f>IF(OR(L$4="",$A413&gt;TODAY()),0,IF(OR(INDEX($B413:$D413,L$5)="F",AND(L$6&gt;0,$A413&lt;L$6),AND(L$7&gt;0,$A413&gt;L$7)),0,MAX(0,ROUND((INDEX($E413:$G413,L$5)-SUMIFS(TF_Timer,TF_Tekniker,L$4,TF_Dato,$A413))*2,0)/2)))</f>
        <v/>
      </c>
      <c r="M413">
        <f>IF(OR(M$4="",$A413&gt;TODAY()),0,IF(OR(INDEX($B413:$D413,M$5)="F",AND(M$6&gt;0,$A413&lt;M$6),AND(M$7&gt;0,$A413&gt;M$7)),0,MAX(0,ROUND((INDEX($E413:$G413,M$5)-SUMIFS(TF_Timer,TF_Tekniker,M$4,TF_Dato,$A413))*2,0)/2)))</f>
        <v/>
      </c>
      <c r="N413">
        <f>IF(OR(N$4="",$A413&gt;TODAY()),0,IF(OR(INDEX($B413:$D413,N$5)="F",AND(N$6&gt;0,$A413&lt;N$6),AND(N$7&gt;0,$A413&gt;N$7)),0,MAX(0,ROUND((INDEX($E413:$G413,N$5)-SUMIFS(TF_Timer,TF_Tekniker,N$4,TF_Dato,$A413))*2,0)/2)))</f>
        <v/>
      </c>
      <c r="O413">
        <f>IF(OR(O$4="",$A413&gt;TODAY()),0,IF(OR(INDEX($B413:$D413,O$5)="F",AND(O$6&gt;0,$A413&lt;O$6),AND(O$7&gt;0,$A413&gt;O$7)),0,MAX(0,ROUND((INDEX($E413:$G413,O$5)-SUMIFS(TF_Timer,TF_Tekniker,O$4,TF_Dato,$A413))*2,0)/2)))</f>
        <v/>
      </c>
      <c r="P413">
        <f>IF(OR(P$4="",$A413&gt;TODAY()),0,IF(OR(INDEX($B413:$D413,P$5)="F",AND(P$6&gt;0,$A413&lt;P$6),AND(P$7&gt;0,$A413&gt;P$7)),0,MAX(0,ROUND((INDEX($E413:$G413,P$5)-SUMIFS(TF_Timer,TF_Tekniker,P$4,TF_Dato,$A413))*2,0)/2)))</f>
        <v/>
      </c>
      <c r="Q413">
        <f>IF(OR(Q$4="",$A413&gt;TODAY()),0,IF(OR(INDEX($B413:$D413,Q$5)="F",AND(Q$6&gt;0,$A413&lt;Q$6),AND(Q$7&gt;0,$A413&gt;Q$7)),0,MAX(0,ROUND((INDEX($E413:$G413,Q$5)-SUMIFS(TF_Timer,TF_Tekniker,Q$4,TF_Dato,$A413))*2,0)/2)))</f>
        <v/>
      </c>
      <c r="R413">
        <f>IF(OR(R$4="",$A413&gt;TODAY()),0,IF(OR(INDEX($B413:$D413,R$5)="F",AND(R$6&gt;0,$A413&lt;R$6),AND(R$7&gt;0,$A413&gt;R$7)),0,MAX(0,ROUND((INDEX($E413:$G413,R$5)-SUMIFS(TF_Timer,TF_Tekniker,R$4,TF_Dato,$A413))*2,0)/2)))</f>
        <v/>
      </c>
      <c r="S413">
        <f>IF(OR(S$4="",$A413&gt;TODAY()),0,IF(OR(INDEX($B413:$D413,S$5)="F",AND(S$6&gt;0,$A413&lt;S$6),AND(S$7&gt;0,$A413&gt;S$7)),0,MAX(0,ROUND((INDEX($E413:$G413,S$5)-SUMIFS(TF_Timer,TF_Tekniker,S$4,TF_Dato,$A413))*2,0)/2)))</f>
        <v/>
      </c>
      <c r="T413">
        <f>IF(OR(T$4="",$A413&gt;TODAY()),0,IF(OR(INDEX($B413:$D413,T$5)="F",AND(T$6&gt;0,$A413&lt;T$6),AND(T$7&gt;0,$A413&gt;T$7)),0,MAX(0,ROUND((INDEX($E413:$G413,T$5)-SUMIFS(TF_Timer,TF_Tekniker,T$4,TF_Dato,$A413))*2,0)/2)))</f>
        <v/>
      </c>
      <c r="U413">
        <f>IF(OR(U$4="",$A413&gt;TODAY()),0,IF(OR(INDEX($B413:$D413,U$5)="F",AND(U$6&gt;0,$A413&lt;U$6),AND(U$7&gt;0,$A413&gt;U$7)),0,MAX(0,ROUND((INDEX($E413:$G413,U$5)-SUMIFS(TF_Timer,TF_Tekniker,U$4,TF_Dato,$A413))*2,0)/2)))</f>
        <v/>
      </c>
      <c r="V413">
        <f>IF(OR(V$4="",$A413&gt;TODAY()),0,IF(OR(INDEX($B413:$D413,V$5)="F",AND(V$6&gt;0,$A413&lt;V$6),AND(V$7&gt;0,$A413&gt;V$7)),0,MAX(0,ROUND((INDEX($E413:$G413,V$5)-SUMIFS(TF_Timer,TF_Tekniker,V$4,TF_Dato,$A413))*2,0)/2)))</f>
        <v/>
      </c>
      <c r="W413">
        <f>IF(OR(W$4="",$A413&gt;TODAY()),0,IF(OR(INDEX($B413:$D413,W$5)="F",AND(W$6&gt;0,$A413&lt;W$6),AND(W$7&gt;0,$A413&gt;W$7)),0,MAX(0,ROUND((INDEX($E413:$G413,W$5)-SUMIFS(TF_Timer,TF_Tekniker,W$4,TF_Dato,$A413))*2,0)/2)))</f>
        <v/>
      </c>
      <c r="X413">
        <f>IF(OR(X$4="",$A413&gt;TODAY()),0,IF(OR(INDEX($B413:$D413,X$5)="F",AND(X$6&gt;0,$A413&lt;X$6),AND(X$7&gt;0,$A413&gt;X$7)),0,MAX(0,ROUND((INDEX($E413:$G413,X$5)-SUMIFS(TF_Timer,TF_Tekniker,X$4,TF_Dato,$A413))*2,0)/2)))</f>
        <v/>
      </c>
      <c r="Y413">
        <f>IF(OR(Y$4="",$A413&gt;TODAY()),0,IF(OR(INDEX($B413:$D413,Y$5)="F",AND(Y$6&gt;0,$A413&lt;Y$6),AND(Y$7&gt;0,$A413&gt;Y$7)),0,MAX(0,ROUND((INDEX($E413:$G413,Y$5)-SUMIFS(TF_Timer,TF_Tekniker,Y$4,TF_Dato,$A413))*2,0)/2)))</f>
        <v/>
      </c>
      <c r="Z413">
        <f>IF(OR(Z$4="",$A413&gt;TODAY()),0,IF(OR(INDEX($B413:$D413,Z$5)="F",AND(Z$6&gt;0,$A413&lt;Z$6),AND(Z$7&gt;0,$A413&gt;Z$7)),0,MAX(0,ROUND((INDEX($E413:$G413,Z$5)-SUMIFS(TF_Timer,TF_Tekniker,Z$4,TF_Dato,$A413))*2,0)/2)))</f>
        <v/>
      </c>
      <c r="AA413">
        <f>IF(OR(AA$4="",$A413&gt;TODAY()),0,IF(OR(INDEX($B413:$D413,AA$5)="F",AND(AA$6&gt;0,$A413&lt;AA$6),AND(AA$7&gt;0,$A413&gt;AA$7)),0,MAX(0,ROUND((INDEX($E413:$G413,AA$5)-SUMIFS(TF_Timer,TF_Tekniker,AA$4,TF_Dato,$A413))*2,0)/2)))</f>
        <v/>
      </c>
      <c r="AB413">
        <f>IF(OR(AB$4="",$A413&gt;TODAY()),0,IF(OR(INDEX($B413:$D413,AB$5)="F",AND(AB$6&gt;0,$A413&lt;AB$6),AND(AB$7&gt;0,$A413&gt;AB$7)),0,MAX(0,ROUND((INDEX($E413:$G413,AB$5)-SUMIFS(TF_Timer,TF_Tekniker,AB$4,TF_Dato,$A413))*2,0)/2)))</f>
        <v/>
      </c>
      <c r="AC413">
        <f>IF(OR(AC$4="",$A413&gt;TODAY()),0,IF(OR(INDEX($B413:$D413,AC$5)="F",AND(AC$6&gt;0,$A413&lt;AC$6),AND(AC$7&gt;0,$A413&gt;AC$7)),0,MAX(0,ROUND((INDEX($E413:$G413,AC$5)-SUMIFS(TF_Timer,TF_Tekniker,AC$4,TF_Dato,$A413))*2,0)/2)))</f>
        <v/>
      </c>
      <c r="AD413">
        <f>IF(OR(AD$4="",$A413&gt;TODAY()),0,IF(OR(INDEX($B413:$D413,AD$5)="F",AND(AD$6&gt;0,$A413&lt;AD$6),AND(AD$7&gt;0,$A413&gt;AD$7)),0,MAX(0,ROUND((INDEX($E413:$G413,AD$5)-SUMIFS(TF_Timer,TF_Tekniker,AD$4,TF_Dato,$A413))*2,0)/2)))</f>
        <v/>
      </c>
      <c r="AE413">
        <f>IF(OR(AE$4="",$A413&gt;TODAY()),0,IF(OR(INDEX($B413:$D413,AE$5)="F",AND(AE$6&gt;0,$A413&lt;AE$6),AND(AE$7&gt;0,$A413&gt;AE$7)),0,MAX(0,ROUND((INDEX($E413:$G413,AE$5)-SUMIFS(TF_Timer,TF_Tekniker,AE$4,TF_Dato,$A413))*2,0)/2)))</f>
        <v/>
      </c>
      <c r="AF413">
        <f>IF(OR(AF$4="",$A413&gt;TODAY()),0,IF(OR(INDEX($B413:$D413,AF$5)="F",AND(AF$6&gt;0,$A413&lt;AF$6),AND(AF$7&gt;0,$A413&gt;AF$7)),0,MAX(0,ROUND((INDEX($E413:$G413,AF$5)-SUMIFS(TF_Timer,TF_Tekniker,AF$4,TF_Dato,$A413))*2,0)/2)))</f>
        <v/>
      </c>
      <c r="AG413">
        <f>IF(OR(AG$4="",$A413&gt;TODAY()),0,IF(OR(INDEX($B413:$D413,AG$5)="F",AND(AG$6&gt;0,$A413&lt;AG$6),AND(AG$7&gt;0,$A413&gt;AG$7)),0,MAX(0,ROUND((INDEX($E413:$G413,AG$5)-SUMIFS(TF_Timer,TF_Tekniker,AG$4,TF_Dato,$A413))*2,0)/2)))</f>
        <v/>
      </c>
      <c r="AH413">
        <f>IF(OR(AH$4="",$A413&gt;TODAY()),0,IF(OR(INDEX($B413:$D413,AH$5)="F",AND(AH$6&gt;0,$A413&lt;AH$6),AND(AH$7&gt;0,$A413&gt;AH$7)),0,MAX(0,ROUND((INDEX($E413:$G413,AH$5)-SUMIFS(TF_Timer,TF_Tekniker,AH$4,TF_Dato,$A413))*2,0)/2)))</f>
        <v/>
      </c>
      <c r="AI413">
        <f>IF(OR(AI$4="",$A413&gt;TODAY()),0,IF(OR(INDEX($B413:$D413,AI$5)="F",AND(AI$6&gt;0,$A413&lt;AI$6),AND(AI$7&gt;0,$A413&gt;AI$7)),0,MAX(0,ROUND((INDEX($E413:$G413,AI$5)-SUMIFS(TF_Timer,TF_Tekniker,AI$4,TF_Dato,$A413))*2,0)/2)))</f>
        <v/>
      </c>
      <c r="AJ413">
        <f>IF(OR(AJ$4="",$A413&gt;TODAY()),0,IF(OR(INDEX($B413:$D413,AJ$5)="F",AND(AJ$6&gt;0,$A413&lt;AJ$6),AND(AJ$7&gt;0,$A413&gt;AJ$7)),0,MAX(0,ROUND((INDEX($E413:$G413,AJ$5)-SUMIFS(TF_Timer,TF_Tekniker,AJ$4,TF_Dato,$A413))*2,0)/2)))</f>
        <v/>
      </c>
      <c r="AK413">
        <f>IF(OR(AK$4="",$A413&gt;TODAY()),0,IF(OR(INDEX($B413:$D413,AK$5)="F",AND(AK$6&gt;0,$A413&lt;AK$6),AND(AK$7&gt;0,$A413&gt;AK$7)),0,MAX(0,ROUND((INDEX($E413:$G413,AK$5)-SUMIFS(TF_Timer,TF_Tekniker,AK$4,TF_Dato,$A413))*2,0)/2)))</f>
        <v/>
      </c>
      <c r="AL413">
        <f>IF(OR(AL$4="",$A413&gt;TODAY()),0,IF(OR(INDEX($B413:$D413,AL$5)="F",AND(AL$6&gt;0,$A413&lt;AL$6),AND(AL$7&gt;0,$A413&gt;AL$7)),0,MAX(0,ROUND((INDEX($E413:$G413,AL$5)-SUMIFS(TF_Timer,TF_Tekniker,AL$4,TF_Dato,$A413))*2,0)/2)))</f>
        <v/>
      </c>
      <c r="AM413">
        <f>IF(OR(AM$4="",$A413&gt;TODAY()),0,IF(OR(INDEX($B413:$D413,AM$5)="F",AND(AM$6&gt;0,$A413&lt;AM$6),AND(AM$7&gt;0,$A413&gt;AM$7)),0,MAX(0,ROUND((INDEX($E413:$G413,AM$5)-SUMIFS(TF_Timer,TF_Tekniker,AM$4,TF_Dato,$A413))*2,0)/2)))</f>
        <v/>
      </c>
      <c r="AN413">
        <f>IF(OR(AN$4="",$A413&gt;TODAY()),0,IF(OR(INDEX($B413:$D413,AN$5)="F",AND(AN$6&gt;0,$A413&lt;AN$6),AND(AN$7&gt;0,$A413&gt;AN$7)),0,MAX(0,ROUND((INDEX($E413:$G413,AN$5)-SUMIFS(TF_Timer,TF_Tekniker,AN$4,TF_Dato,$A413))*2,0)/2)))</f>
        <v/>
      </c>
      <c r="AO413">
        <f>IF(OR(AO$4="",$A413&gt;TODAY()),0,IF(OR(INDEX($B413:$D413,AO$5)="F",AND(AO$6&gt;0,$A413&lt;AO$6),AND(AO$7&gt;0,$A413&gt;AO$7)),0,MAX(0,ROUND((INDEX($E413:$G413,AO$5)-SUMIFS(TF_Timer,TF_Tekniker,AO$4,TF_Dato,$A413))*2,0)/2)))</f>
        <v/>
      </c>
      <c r="AP413">
        <f>IF(OR(AP$4="",$A413&gt;TODAY()),0,IF(OR(INDEX($B413:$D413,AP$5)="F",AND(AP$6&gt;0,$A413&lt;AP$6),AND(AP$7&gt;0,$A413&gt;AP$7)),0,MAX(0,ROUND((INDEX($E413:$G413,AP$5)-SUMIFS(TF_Timer,TF_Tekniker,AP$4,TF_Dato,$A413))*2,0)/2)))</f>
        <v/>
      </c>
      <c r="AQ413">
        <f>IF(OR(AQ$4="",$A413&gt;TODAY()),0,IF(OR(INDEX($B413:$D413,AQ$5)="F",AND(AQ$6&gt;0,$A413&lt;AQ$6),AND(AQ$7&gt;0,$A413&gt;AQ$7)),0,MAX(0,ROUND((INDEX($E413:$G413,AQ$5)-SUMIFS(TF_Timer,TF_Tekniker,AQ$4,TF_Dato,$A413))*2,0)/2)))</f>
        <v/>
      </c>
      <c r="AR413">
        <f>IF(OR(AR$4="",$A413&gt;TODAY()),0,IF(OR(INDEX($B413:$D413,AR$5)="F",AND(AR$6&gt;0,$A413&lt;AR$6),AND(AR$7&gt;0,$A413&gt;AR$7)),0,MAX(0,ROUND((INDEX($E413:$G413,AR$5)-SUMIFS(TF_Timer,TF_Tekniker,AR$4,TF_Dato,$A413))*2,0)/2)))</f>
        <v/>
      </c>
      <c r="AS413">
        <f>IF(OR(AS$4="",$A413&gt;TODAY()),0,IF(OR(INDEX($B413:$D413,AS$5)="F",AND(AS$6&gt;0,$A413&lt;AS$6),AND(AS$7&gt;0,$A413&gt;AS$7)),0,MAX(0,ROUND((INDEX($E413:$G413,AS$5)-SUMIFS(TF_Timer,TF_Tekniker,AS$4,TF_Dato,$A413))*2,0)/2)))</f>
        <v/>
      </c>
      <c r="AT413">
        <f>IF(OR(AT$4="",$A413&gt;TODAY()),0,IF(OR(INDEX($B413:$D413,AT$5)="F",AND(AT$6&gt;0,$A413&lt;AT$6),AND(AT$7&gt;0,$A413&gt;AT$7)),0,MAX(0,ROUND((INDEX($E413:$G413,AT$5)-SUMIFS(TF_Timer,TF_Tekniker,AT$4,TF_Dato,$A413))*2,0)/2)))</f>
        <v/>
      </c>
      <c r="AU413">
        <f>IF(OR(AU$4="",$A413&gt;TODAY()),0,IF(OR(INDEX($B413:$D413,AU$5)="F",AND(AU$6&gt;0,$A413&lt;AU$6),AND(AU$7&gt;0,$A413&gt;AU$7)),0,MAX(0,ROUND((INDEX($E413:$G413,AU$5)-SUMIFS(TF_Timer,TF_Tekniker,AU$4,TF_Dato,$A413))*2,0)/2)))</f>
        <v/>
      </c>
      <c r="AV413">
        <f>IF(OR(AV$4="",$A413&gt;TODAY()),0,IF(OR(INDEX($B413:$D413,AV$5)="F",AND(AV$6&gt;0,$A413&lt;AV$6),AND(AV$7&gt;0,$A413&gt;AV$7)),0,MAX(0,ROUND((INDEX($E413:$G413,AV$5)-SUMIFS(TF_Timer,TF_Tekniker,AV$4,TF_Dato,$A413))*2,0)/2)))</f>
        <v/>
      </c>
      <c r="AW413">
        <f>IF(OR(AW$4="",$A413&gt;TODAY()),0,IF(OR(INDEX($B413:$D413,AW$5)="F",AND(AW$6&gt;0,$A413&lt;AW$6),AND(AW$7&gt;0,$A413&gt;AW$7)),0,MAX(0,ROUND((INDEX($E413:$G413,AW$5)-SUMIFS(TF_Timer,TF_Tekniker,AW$4,TF_Dato,$A413))*2,0)/2)))</f>
        <v/>
      </c>
      <c r="AX413">
        <f>IF(OR(AX$4="",$A413&gt;TODAY()),0,IF(OR(INDEX($B413:$D413,AX$5)="F",AND(AX$6&gt;0,$A413&lt;AX$6),AND(AX$7&gt;0,$A413&gt;AX$7)),0,MAX(0,ROUND((INDEX($E413:$G413,AX$5)-SUMIFS(TF_Timer,TF_Tekniker,AX$4,TF_Dato,$A413))*2,0)/2)))</f>
        <v/>
      </c>
      <c r="AY413">
        <f>IF(OR(AY$4="",$A413&gt;TODAY()),0,IF(OR(INDEX($B413:$D413,AY$5)="F",AND(AY$6&gt;0,$A413&lt;AY$6),AND(AY$7&gt;0,$A413&gt;AY$7)),0,MAX(0,ROUND((INDEX($E413:$G413,AY$5)-SUMIFS(TF_Timer,TF_Tekniker,AY$4,TF_Dato,$A413))*2,0)/2)))</f>
        <v/>
      </c>
      <c r="AZ413">
        <f>IF(OR(AZ$4="",$A413&gt;TODAY()),0,IF(OR(INDEX($B413:$D413,AZ$5)="F",AND(AZ$6&gt;0,$A413&lt;AZ$6),AND(AZ$7&gt;0,$A413&gt;AZ$7)),0,MAX(0,ROUND((INDEX($E413:$G413,AZ$5)-SUMIFS(TF_Timer,TF_Tekniker,AZ$4,TF_Dato,$A413))*2,0)/2)))</f>
        <v/>
      </c>
      <c r="BA413">
        <f>IF(OR(BA$4="",$A413&gt;TODAY()),0,IF(OR(INDEX($B413:$D413,BA$5)="F",AND(BA$6&gt;0,$A413&lt;BA$6),AND(BA$7&gt;0,$A413&gt;BA$7)),0,MAX(0,ROUND((INDEX($E413:$G413,BA$5)-SUMIFS(TF_Timer,TF_Tekniker,BA$4,TF_Dato,$A413))*2,0)/2)))</f>
        <v/>
      </c>
      <c r="BB413">
        <f>IF(OR(BB$4="",$A413&gt;TODAY()),0,IF(OR(INDEX($B413:$D413,BB$5)="F",AND(BB$6&gt;0,$A413&lt;BB$6),AND(BB$7&gt;0,$A413&gt;BB$7)),0,MAX(0,ROUND((INDEX($E413:$G413,BB$5)-SUMIFS(TF_Timer,TF_Tekniker,BB$4,TF_Dato,$A413))*2,0)/2)))</f>
        <v/>
      </c>
      <c r="BC413">
        <f>IF(OR(BC$4="",$A413&gt;TODAY()),0,IF(OR(INDEX($B413:$D413,BC$5)="F",AND(BC$6&gt;0,$A413&lt;BC$6),AND(BC$7&gt;0,$A413&gt;BC$7)),0,MAX(0,ROUND((INDEX($E413:$G413,BC$5)-SUMIFS(TF_Timer,TF_Tekniker,BC$4,TF_Dato,$A413))*2,0)/2)))</f>
        <v/>
      </c>
      <c r="BD413">
        <f>IF(OR(BD$4="",$A413&gt;TODAY()),0,IF(OR(INDEX($B413:$D413,BD$5)="F",AND(BD$6&gt;0,$A413&lt;BD$6),AND(BD$7&gt;0,$A413&gt;BD$7)),0,MAX(0,ROUND((INDEX($E413:$G413,BD$5)-SUMIFS(TF_Timer,TF_Tekniker,BD$4,TF_Dato,$A413))*2,0)/2)))</f>
        <v/>
      </c>
      <c r="BE413">
        <f>IF(OR(BE$4="",$A413&gt;TODAY()),0,IF(OR(INDEX($B413:$D413,BE$5)="F",AND(BE$6&gt;0,$A413&lt;BE$6),AND(BE$7&gt;0,$A413&gt;BE$7)),0,MAX(0,ROUND((INDEX($E413:$G413,BE$5)-SUMIFS(TF_Timer,TF_Tekniker,BE$4,TF_Dato,$A413))*2,0)/2)))</f>
        <v/>
      </c>
      <c r="BF413">
        <f>IF(OR(BF$4="",$A413&gt;TODAY()),0,IF(OR(INDEX($B413:$D413,BF$5)="F",AND(BF$6&gt;0,$A413&lt;BF$6),AND(BF$7&gt;0,$A413&gt;BF$7)),0,MAX(0,ROUND((INDEX($E413:$G413,BF$5)-SUMIFS(TF_Timer,TF_Tekniker,BF$4,TF_Dato,$A413))*2,0)/2)))</f>
        <v/>
      </c>
      <c r="BG413">
        <f>IF(OR(BG$4="",$A413&gt;TODAY()),0,IF(OR(INDEX($B413:$D413,BG$5)="F",AND(BG$6&gt;0,$A413&lt;BG$6),AND(BG$7&gt;0,$A413&gt;BG$7)),0,MAX(0,ROUND((INDEX($E413:$G413,BG$5)-SUMIFS(TF_Timer,TF_Tekniker,BG$4,TF_Dato,$A413))*2,0)/2)))</f>
        <v/>
      </c>
      <c r="BH413">
        <f>IF(OR(BH$4="",$A413&gt;TODAY()),0,IF(OR(INDEX($B413:$D413,BH$5)="F",AND(BH$6&gt;0,$A413&lt;BH$6),AND(BH$7&gt;0,$A413&gt;BH$7)),0,MAX(0,ROUND((INDEX($E413:$G413,BH$5)-SUMIFS(TF_Timer,TF_Tekniker,BH$4,TF_Dato,$A413))*2,0)/2)))</f>
        <v/>
      </c>
      <c r="BI413">
        <f>IF(OR(BI$4="",$A413&gt;TODAY()),0,IF(OR(INDEX($B413:$D413,BI$5)="F",AND(BI$6&gt;0,$A413&lt;BI$6),AND(BI$7&gt;0,$A413&gt;BI$7)),0,MAX(0,ROUND((INDEX($E413:$G413,BI$5)-SUMIFS(TF_Timer,TF_Tekniker,BI$4,TF_Dato,$A413))*2,0)/2)))</f>
        <v/>
      </c>
    </row>
    <row r="414">
      <c r="A414" s="64">
        <f>A413+1</f>
        <v/>
      </c>
      <c r="B414">
        <f>IF(MOD($A414-INDEX(SkiftStart,1),Syklus)&lt;DagK,"K",IF(MOD($A414-INDEX(SkiftStart,1),Syklus)&lt;DagK+DagH,"H",IF(MOD($A414-INDEX(SkiftStart,1),Syklus)&lt;DagK+DagH+DagD,"D","F")))</f>
        <v/>
      </c>
      <c r="C414">
        <f>IF(MOD($A414-INDEX(SkiftStart,2),Syklus)&lt;DagK,"K",IF(MOD($A414-INDEX(SkiftStart,2),Syklus)&lt;DagK+DagH,"H",IF(MOD($A414-INDEX(SkiftStart,2),Syklus)&lt;DagK+DagH+DagD,"D","F")))</f>
        <v/>
      </c>
      <c r="D414">
        <f>IF(MOD($A414-INDEX(SkiftStart,3),Syklus)&lt;DagK,"K",IF(MOD($A414-INDEX(SkiftStart,3),Syklus)&lt;DagK+DagH,"H",IF(MOD($A414-INDEX(SkiftStart,3),Syklus)&lt;DagK+DagH+DagD,"D","F")))</f>
        <v/>
      </c>
      <c r="E414">
        <f>IF(B414="F",0,IF(WEEKDAY($A414,2)=5,INDEX(TimerFr,MATCH(B414,FaseKode,0)),INDEX(TimerMT,MATCH(B414,FaseKode,0))))</f>
        <v/>
      </c>
      <c r="F414">
        <f>IF(C414="F",0,IF(WEEKDAY($A414,2)=5,INDEX(TimerFr,MATCH(C414,FaseKode,0)),INDEX(TimerMT,MATCH(C414,FaseKode,0))))</f>
        <v/>
      </c>
      <c r="G414">
        <f>IF(D414="F",0,IF(WEEKDAY($A414,2)=5,INDEX(TimerFr,MATCH(D414,FaseKode,0)),INDEX(TimerMT,MATCH(D414,FaseKode,0))))</f>
        <v/>
      </c>
      <c r="H414">
        <f>IF(OR(H$4="",$A414&gt;TODAY()),0,IF(OR(INDEX($B414:$D414,H$5)="F",AND(H$6&gt;0,$A414&lt;H$6),AND(H$7&gt;0,$A414&gt;H$7)),0,MAX(0,ROUND((INDEX($E414:$G414,H$5)-SUMIFS(TF_Timer,TF_Tekniker,H$4,TF_Dato,$A414))*2,0)/2)))</f>
        <v/>
      </c>
      <c r="I414">
        <f>IF(OR(I$4="",$A414&gt;TODAY()),0,IF(OR(INDEX($B414:$D414,I$5)="F",AND(I$6&gt;0,$A414&lt;I$6),AND(I$7&gt;0,$A414&gt;I$7)),0,MAX(0,ROUND((INDEX($E414:$G414,I$5)-SUMIFS(TF_Timer,TF_Tekniker,I$4,TF_Dato,$A414))*2,0)/2)))</f>
        <v/>
      </c>
      <c r="J414">
        <f>IF(OR(J$4="",$A414&gt;TODAY()),0,IF(OR(INDEX($B414:$D414,J$5)="F",AND(J$6&gt;0,$A414&lt;J$6),AND(J$7&gt;0,$A414&gt;J$7)),0,MAX(0,ROUND((INDEX($E414:$G414,J$5)-SUMIFS(TF_Timer,TF_Tekniker,J$4,TF_Dato,$A414))*2,0)/2)))</f>
        <v/>
      </c>
      <c r="K414">
        <f>IF(OR(K$4="",$A414&gt;TODAY()),0,IF(OR(INDEX($B414:$D414,K$5)="F",AND(K$6&gt;0,$A414&lt;K$6),AND(K$7&gt;0,$A414&gt;K$7)),0,MAX(0,ROUND((INDEX($E414:$G414,K$5)-SUMIFS(TF_Timer,TF_Tekniker,K$4,TF_Dato,$A414))*2,0)/2)))</f>
        <v/>
      </c>
      <c r="L414">
        <f>IF(OR(L$4="",$A414&gt;TODAY()),0,IF(OR(INDEX($B414:$D414,L$5)="F",AND(L$6&gt;0,$A414&lt;L$6),AND(L$7&gt;0,$A414&gt;L$7)),0,MAX(0,ROUND((INDEX($E414:$G414,L$5)-SUMIFS(TF_Timer,TF_Tekniker,L$4,TF_Dato,$A414))*2,0)/2)))</f>
        <v/>
      </c>
      <c r="M414">
        <f>IF(OR(M$4="",$A414&gt;TODAY()),0,IF(OR(INDEX($B414:$D414,M$5)="F",AND(M$6&gt;0,$A414&lt;M$6),AND(M$7&gt;0,$A414&gt;M$7)),0,MAX(0,ROUND((INDEX($E414:$G414,M$5)-SUMIFS(TF_Timer,TF_Tekniker,M$4,TF_Dato,$A414))*2,0)/2)))</f>
        <v/>
      </c>
      <c r="N414">
        <f>IF(OR(N$4="",$A414&gt;TODAY()),0,IF(OR(INDEX($B414:$D414,N$5)="F",AND(N$6&gt;0,$A414&lt;N$6),AND(N$7&gt;0,$A414&gt;N$7)),0,MAX(0,ROUND((INDEX($E414:$G414,N$5)-SUMIFS(TF_Timer,TF_Tekniker,N$4,TF_Dato,$A414))*2,0)/2)))</f>
        <v/>
      </c>
      <c r="O414">
        <f>IF(OR(O$4="",$A414&gt;TODAY()),0,IF(OR(INDEX($B414:$D414,O$5)="F",AND(O$6&gt;0,$A414&lt;O$6),AND(O$7&gt;0,$A414&gt;O$7)),0,MAX(0,ROUND((INDEX($E414:$G414,O$5)-SUMIFS(TF_Timer,TF_Tekniker,O$4,TF_Dato,$A414))*2,0)/2)))</f>
        <v/>
      </c>
      <c r="P414">
        <f>IF(OR(P$4="",$A414&gt;TODAY()),0,IF(OR(INDEX($B414:$D414,P$5)="F",AND(P$6&gt;0,$A414&lt;P$6),AND(P$7&gt;0,$A414&gt;P$7)),0,MAX(0,ROUND((INDEX($E414:$G414,P$5)-SUMIFS(TF_Timer,TF_Tekniker,P$4,TF_Dato,$A414))*2,0)/2)))</f>
        <v/>
      </c>
      <c r="Q414">
        <f>IF(OR(Q$4="",$A414&gt;TODAY()),0,IF(OR(INDEX($B414:$D414,Q$5)="F",AND(Q$6&gt;0,$A414&lt;Q$6),AND(Q$7&gt;0,$A414&gt;Q$7)),0,MAX(0,ROUND((INDEX($E414:$G414,Q$5)-SUMIFS(TF_Timer,TF_Tekniker,Q$4,TF_Dato,$A414))*2,0)/2)))</f>
        <v/>
      </c>
      <c r="R414">
        <f>IF(OR(R$4="",$A414&gt;TODAY()),0,IF(OR(INDEX($B414:$D414,R$5)="F",AND(R$6&gt;0,$A414&lt;R$6),AND(R$7&gt;0,$A414&gt;R$7)),0,MAX(0,ROUND((INDEX($E414:$G414,R$5)-SUMIFS(TF_Timer,TF_Tekniker,R$4,TF_Dato,$A414))*2,0)/2)))</f>
        <v/>
      </c>
      <c r="S414">
        <f>IF(OR(S$4="",$A414&gt;TODAY()),0,IF(OR(INDEX($B414:$D414,S$5)="F",AND(S$6&gt;0,$A414&lt;S$6),AND(S$7&gt;0,$A414&gt;S$7)),0,MAX(0,ROUND((INDEX($E414:$G414,S$5)-SUMIFS(TF_Timer,TF_Tekniker,S$4,TF_Dato,$A414))*2,0)/2)))</f>
        <v/>
      </c>
      <c r="T414">
        <f>IF(OR(T$4="",$A414&gt;TODAY()),0,IF(OR(INDEX($B414:$D414,T$5)="F",AND(T$6&gt;0,$A414&lt;T$6),AND(T$7&gt;0,$A414&gt;T$7)),0,MAX(0,ROUND((INDEX($E414:$G414,T$5)-SUMIFS(TF_Timer,TF_Tekniker,T$4,TF_Dato,$A414))*2,0)/2)))</f>
        <v/>
      </c>
      <c r="U414">
        <f>IF(OR(U$4="",$A414&gt;TODAY()),0,IF(OR(INDEX($B414:$D414,U$5)="F",AND(U$6&gt;0,$A414&lt;U$6),AND(U$7&gt;0,$A414&gt;U$7)),0,MAX(0,ROUND((INDEX($E414:$G414,U$5)-SUMIFS(TF_Timer,TF_Tekniker,U$4,TF_Dato,$A414))*2,0)/2)))</f>
        <v/>
      </c>
      <c r="V414">
        <f>IF(OR(V$4="",$A414&gt;TODAY()),0,IF(OR(INDEX($B414:$D414,V$5)="F",AND(V$6&gt;0,$A414&lt;V$6),AND(V$7&gt;0,$A414&gt;V$7)),0,MAX(0,ROUND((INDEX($E414:$G414,V$5)-SUMIFS(TF_Timer,TF_Tekniker,V$4,TF_Dato,$A414))*2,0)/2)))</f>
        <v/>
      </c>
      <c r="W414">
        <f>IF(OR(W$4="",$A414&gt;TODAY()),0,IF(OR(INDEX($B414:$D414,W$5)="F",AND(W$6&gt;0,$A414&lt;W$6),AND(W$7&gt;0,$A414&gt;W$7)),0,MAX(0,ROUND((INDEX($E414:$G414,W$5)-SUMIFS(TF_Timer,TF_Tekniker,W$4,TF_Dato,$A414))*2,0)/2)))</f>
        <v/>
      </c>
      <c r="X414">
        <f>IF(OR(X$4="",$A414&gt;TODAY()),0,IF(OR(INDEX($B414:$D414,X$5)="F",AND(X$6&gt;0,$A414&lt;X$6),AND(X$7&gt;0,$A414&gt;X$7)),0,MAX(0,ROUND((INDEX($E414:$G414,X$5)-SUMIFS(TF_Timer,TF_Tekniker,X$4,TF_Dato,$A414))*2,0)/2)))</f>
        <v/>
      </c>
      <c r="Y414">
        <f>IF(OR(Y$4="",$A414&gt;TODAY()),0,IF(OR(INDEX($B414:$D414,Y$5)="F",AND(Y$6&gt;0,$A414&lt;Y$6),AND(Y$7&gt;0,$A414&gt;Y$7)),0,MAX(0,ROUND((INDEX($E414:$G414,Y$5)-SUMIFS(TF_Timer,TF_Tekniker,Y$4,TF_Dato,$A414))*2,0)/2)))</f>
        <v/>
      </c>
      <c r="Z414">
        <f>IF(OR(Z$4="",$A414&gt;TODAY()),0,IF(OR(INDEX($B414:$D414,Z$5)="F",AND(Z$6&gt;0,$A414&lt;Z$6),AND(Z$7&gt;0,$A414&gt;Z$7)),0,MAX(0,ROUND((INDEX($E414:$G414,Z$5)-SUMIFS(TF_Timer,TF_Tekniker,Z$4,TF_Dato,$A414))*2,0)/2)))</f>
        <v/>
      </c>
      <c r="AA414">
        <f>IF(OR(AA$4="",$A414&gt;TODAY()),0,IF(OR(INDEX($B414:$D414,AA$5)="F",AND(AA$6&gt;0,$A414&lt;AA$6),AND(AA$7&gt;0,$A414&gt;AA$7)),0,MAX(0,ROUND((INDEX($E414:$G414,AA$5)-SUMIFS(TF_Timer,TF_Tekniker,AA$4,TF_Dato,$A414))*2,0)/2)))</f>
        <v/>
      </c>
      <c r="AB414">
        <f>IF(OR(AB$4="",$A414&gt;TODAY()),0,IF(OR(INDEX($B414:$D414,AB$5)="F",AND(AB$6&gt;0,$A414&lt;AB$6),AND(AB$7&gt;0,$A414&gt;AB$7)),0,MAX(0,ROUND((INDEX($E414:$G414,AB$5)-SUMIFS(TF_Timer,TF_Tekniker,AB$4,TF_Dato,$A414))*2,0)/2)))</f>
        <v/>
      </c>
      <c r="AC414">
        <f>IF(OR(AC$4="",$A414&gt;TODAY()),0,IF(OR(INDEX($B414:$D414,AC$5)="F",AND(AC$6&gt;0,$A414&lt;AC$6),AND(AC$7&gt;0,$A414&gt;AC$7)),0,MAX(0,ROUND((INDEX($E414:$G414,AC$5)-SUMIFS(TF_Timer,TF_Tekniker,AC$4,TF_Dato,$A414))*2,0)/2)))</f>
        <v/>
      </c>
      <c r="AD414">
        <f>IF(OR(AD$4="",$A414&gt;TODAY()),0,IF(OR(INDEX($B414:$D414,AD$5)="F",AND(AD$6&gt;0,$A414&lt;AD$6),AND(AD$7&gt;0,$A414&gt;AD$7)),0,MAX(0,ROUND((INDEX($E414:$G414,AD$5)-SUMIFS(TF_Timer,TF_Tekniker,AD$4,TF_Dato,$A414))*2,0)/2)))</f>
        <v/>
      </c>
      <c r="AE414">
        <f>IF(OR(AE$4="",$A414&gt;TODAY()),0,IF(OR(INDEX($B414:$D414,AE$5)="F",AND(AE$6&gt;0,$A414&lt;AE$6),AND(AE$7&gt;0,$A414&gt;AE$7)),0,MAX(0,ROUND((INDEX($E414:$G414,AE$5)-SUMIFS(TF_Timer,TF_Tekniker,AE$4,TF_Dato,$A414))*2,0)/2)))</f>
        <v/>
      </c>
      <c r="AF414">
        <f>IF(OR(AF$4="",$A414&gt;TODAY()),0,IF(OR(INDEX($B414:$D414,AF$5)="F",AND(AF$6&gt;0,$A414&lt;AF$6),AND(AF$7&gt;0,$A414&gt;AF$7)),0,MAX(0,ROUND((INDEX($E414:$G414,AF$5)-SUMIFS(TF_Timer,TF_Tekniker,AF$4,TF_Dato,$A414))*2,0)/2)))</f>
        <v/>
      </c>
      <c r="AG414">
        <f>IF(OR(AG$4="",$A414&gt;TODAY()),0,IF(OR(INDEX($B414:$D414,AG$5)="F",AND(AG$6&gt;0,$A414&lt;AG$6),AND(AG$7&gt;0,$A414&gt;AG$7)),0,MAX(0,ROUND((INDEX($E414:$G414,AG$5)-SUMIFS(TF_Timer,TF_Tekniker,AG$4,TF_Dato,$A414))*2,0)/2)))</f>
        <v/>
      </c>
      <c r="AH414">
        <f>IF(OR(AH$4="",$A414&gt;TODAY()),0,IF(OR(INDEX($B414:$D414,AH$5)="F",AND(AH$6&gt;0,$A414&lt;AH$6),AND(AH$7&gt;0,$A414&gt;AH$7)),0,MAX(0,ROUND((INDEX($E414:$G414,AH$5)-SUMIFS(TF_Timer,TF_Tekniker,AH$4,TF_Dato,$A414))*2,0)/2)))</f>
        <v/>
      </c>
      <c r="AI414">
        <f>IF(OR(AI$4="",$A414&gt;TODAY()),0,IF(OR(INDEX($B414:$D414,AI$5)="F",AND(AI$6&gt;0,$A414&lt;AI$6),AND(AI$7&gt;0,$A414&gt;AI$7)),0,MAX(0,ROUND((INDEX($E414:$G414,AI$5)-SUMIFS(TF_Timer,TF_Tekniker,AI$4,TF_Dato,$A414))*2,0)/2)))</f>
        <v/>
      </c>
      <c r="AJ414">
        <f>IF(OR(AJ$4="",$A414&gt;TODAY()),0,IF(OR(INDEX($B414:$D414,AJ$5)="F",AND(AJ$6&gt;0,$A414&lt;AJ$6),AND(AJ$7&gt;0,$A414&gt;AJ$7)),0,MAX(0,ROUND((INDEX($E414:$G414,AJ$5)-SUMIFS(TF_Timer,TF_Tekniker,AJ$4,TF_Dato,$A414))*2,0)/2)))</f>
        <v/>
      </c>
      <c r="AK414">
        <f>IF(OR(AK$4="",$A414&gt;TODAY()),0,IF(OR(INDEX($B414:$D414,AK$5)="F",AND(AK$6&gt;0,$A414&lt;AK$6),AND(AK$7&gt;0,$A414&gt;AK$7)),0,MAX(0,ROUND((INDEX($E414:$G414,AK$5)-SUMIFS(TF_Timer,TF_Tekniker,AK$4,TF_Dato,$A414))*2,0)/2)))</f>
        <v/>
      </c>
      <c r="AL414">
        <f>IF(OR(AL$4="",$A414&gt;TODAY()),0,IF(OR(INDEX($B414:$D414,AL$5)="F",AND(AL$6&gt;0,$A414&lt;AL$6),AND(AL$7&gt;0,$A414&gt;AL$7)),0,MAX(0,ROUND((INDEX($E414:$G414,AL$5)-SUMIFS(TF_Timer,TF_Tekniker,AL$4,TF_Dato,$A414))*2,0)/2)))</f>
        <v/>
      </c>
      <c r="AM414">
        <f>IF(OR(AM$4="",$A414&gt;TODAY()),0,IF(OR(INDEX($B414:$D414,AM$5)="F",AND(AM$6&gt;0,$A414&lt;AM$6),AND(AM$7&gt;0,$A414&gt;AM$7)),0,MAX(0,ROUND((INDEX($E414:$G414,AM$5)-SUMIFS(TF_Timer,TF_Tekniker,AM$4,TF_Dato,$A414))*2,0)/2)))</f>
        <v/>
      </c>
      <c r="AN414">
        <f>IF(OR(AN$4="",$A414&gt;TODAY()),0,IF(OR(INDEX($B414:$D414,AN$5)="F",AND(AN$6&gt;0,$A414&lt;AN$6),AND(AN$7&gt;0,$A414&gt;AN$7)),0,MAX(0,ROUND((INDEX($E414:$G414,AN$5)-SUMIFS(TF_Timer,TF_Tekniker,AN$4,TF_Dato,$A414))*2,0)/2)))</f>
        <v/>
      </c>
      <c r="AO414">
        <f>IF(OR(AO$4="",$A414&gt;TODAY()),0,IF(OR(INDEX($B414:$D414,AO$5)="F",AND(AO$6&gt;0,$A414&lt;AO$6),AND(AO$7&gt;0,$A414&gt;AO$7)),0,MAX(0,ROUND((INDEX($E414:$G414,AO$5)-SUMIFS(TF_Timer,TF_Tekniker,AO$4,TF_Dato,$A414))*2,0)/2)))</f>
        <v/>
      </c>
      <c r="AP414">
        <f>IF(OR(AP$4="",$A414&gt;TODAY()),0,IF(OR(INDEX($B414:$D414,AP$5)="F",AND(AP$6&gt;0,$A414&lt;AP$6),AND(AP$7&gt;0,$A414&gt;AP$7)),0,MAX(0,ROUND((INDEX($E414:$G414,AP$5)-SUMIFS(TF_Timer,TF_Tekniker,AP$4,TF_Dato,$A414))*2,0)/2)))</f>
        <v/>
      </c>
      <c r="AQ414">
        <f>IF(OR(AQ$4="",$A414&gt;TODAY()),0,IF(OR(INDEX($B414:$D414,AQ$5)="F",AND(AQ$6&gt;0,$A414&lt;AQ$6),AND(AQ$7&gt;0,$A414&gt;AQ$7)),0,MAX(0,ROUND((INDEX($E414:$G414,AQ$5)-SUMIFS(TF_Timer,TF_Tekniker,AQ$4,TF_Dato,$A414))*2,0)/2)))</f>
        <v/>
      </c>
      <c r="AR414">
        <f>IF(OR(AR$4="",$A414&gt;TODAY()),0,IF(OR(INDEX($B414:$D414,AR$5)="F",AND(AR$6&gt;0,$A414&lt;AR$6),AND(AR$7&gt;0,$A414&gt;AR$7)),0,MAX(0,ROUND((INDEX($E414:$G414,AR$5)-SUMIFS(TF_Timer,TF_Tekniker,AR$4,TF_Dato,$A414))*2,0)/2)))</f>
        <v/>
      </c>
      <c r="AS414">
        <f>IF(OR(AS$4="",$A414&gt;TODAY()),0,IF(OR(INDEX($B414:$D414,AS$5)="F",AND(AS$6&gt;0,$A414&lt;AS$6),AND(AS$7&gt;0,$A414&gt;AS$7)),0,MAX(0,ROUND((INDEX($E414:$G414,AS$5)-SUMIFS(TF_Timer,TF_Tekniker,AS$4,TF_Dato,$A414))*2,0)/2)))</f>
        <v/>
      </c>
      <c r="AT414">
        <f>IF(OR(AT$4="",$A414&gt;TODAY()),0,IF(OR(INDEX($B414:$D414,AT$5)="F",AND(AT$6&gt;0,$A414&lt;AT$6),AND(AT$7&gt;0,$A414&gt;AT$7)),0,MAX(0,ROUND((INDEX($E414:$G414,AT$5)-SUMIFS(TF_Timer,TF_Tekniker,AT$4,TF_Dato,$A414))*2,0)/2)))</f>
        <v/>
      </c>
      <c r="AU414">
        <f>IF(OR(AU$4="",$A414&gt;TODAY()),0,IF(OR(INDEX($B414:$D414,AU$5)="F",AND(AU$6&gt;0,$A414&lt;AU$6),AND(AU$7&gt;0,$A414&gt;AU$7)),0,MAX(0,ROUND((INDEX($E414:$G414,AU$5)-SUMIFS(TF_Timer,TF_Tekniker,AU$4,TF_Dato,$A414))*2,0)/2)))</f>
        <v/>
      </c>
      <c r="AV414">
        <f>IF(OR(AV$4="",$A414&gt;TODAY()),0,IF(OR(INDEX($B414:$D414,AV$5)="F",AND(AV$6&gt;0,$A414&lt;AV$6),AND(AV$7&gt;0,$A414&gt;AV$7)),0,MAX(0,ROUND((INDEX($E414:$G414,AV$5)-SUMIFS(TF_Timer,TF_Tekniker,AV$4,TF_Dato,$A414))*2,0)/2)))</f>
        <v/>
      </c>
      <c r="AW414">
        <f>IF(OR(AW$4="",$A414&gt;TODAY()),0,IF(OR(INDEX($B414:$D414,AW$5)="F",AND(AW$6&gt;0,$A414&lt;AW$6),AND(AW$7&gt;0,$A414&gt;AW$7)),0,MAX(0,ROUND((INDEX($E414:$G414,AW$5)-SUMIFS(TF_Timer,TF_Tekniker,AW$4,TF_Dato,$A414))*2,0)/2)))</f>
        <v/>
      </c>
      <c r="AX414">
        <f>IF(OR(AX$4="",$A414&gt;TODAY()),0,IF(OR(INDEX($B414:$D414,AX$5)="F",AND(AX$6&gt;0,$A414&lt;AX$6),AND(AX$7&gt;0,$A414&gt;AX$7)),0,MAX(0,ROUND((INDEX($E414:$G414,AX$5)-SUMIFS(TF_Timer,TF_Tekniker,AX$4,TF_Dato,$A414))*2,0)/2)))</f>
        <v/>
      </c>
      <c r="AY414">
        <f>IF(OR(AY$4="",$A414&gt;TODAY()),0,IF(OR(INDEX($B414:$D414,AY$5)="F",AND(AY$6&gt;0,$A414&lt;AY$6),AND(AY$7&gt;0,$A414&gt;AY$7)),0,MAX(0,ROUND((INDEX($E414:$G414,AY$5)-SUMIFS(TF_Timer,TF_Tekniker,AY$4,TF_Dato,$A414))*2,0)/2)))</f>
        <v/>
      </c>
      <c r="AZ414">
        <f>IF(OR(AZ$4="",$A414&gt;TODAY()),0,IF(OR(INDEX($B414:$D414,AZ$5)="F",AND(AZ$6&gt;0,$A414&lt;AZ$6),AND(AZ$7&gt;0,$A414&gt;AZ$7)),0,MAX(0,ROUND((INDEX($E414:$G414,AZ$5)-SUMIFS(TF_Timer,TF_Tekniker,AZ$4,TF_Dato,$A414))*2,0)/2)))</f>
        <v/>
      </c>
      <c r="BA414">
        <f>IF(OR(BA$4="",$A414&gt;TODAY()),0,IF(OR(INDEX($B414:$D414,BA$5)="F",AND(BA$6&gt;0,$A414&lt;BA$6),AND(BA$7&gt;0,$A414&gt;BA$7)),0,MAX(0,ROUND((INDEX($E414:$G414,BA$5)-SUMIFS(TF_Timer,TF_Tekniker,BA$4,TF_Dato,$A414))*2,0)/2)))</f>
        <v/>
      </c>
      <c r="BB414">
        <f>IF(OR(BB$4="",$A414&gt;TODAY()),0,IF(OR(INDEX($B414:$D414,BB$5)="F",AND(BB$6&gt;0,$A414&lt;BB$6),AND(BB$7&gt;0,$A414&gt;BB$7)),0,MAX(0,ROUND((INDEX($E414:$G414,BB$5)-SUMIFS(TF_Timer,TF_Tekniker,BB$4,TF_Dato,$A414))*2,0)/2)))</f>
        <v/>
      </c>
      <c r="BC414">
        <f>IF(OR(BC$4="",$A414&gt;TODAY()),0,IF(OR(INDEX($B414:$D414,BC$5)="F",AND(BC$6&gt;0,$A414&lt;BC$6),AND(BC$7&gt;0,$A414&gt;BC$7)),0,MAX(0,ROUND((INDEX($E414:$G414,BC$5)-SUMIFS(TF_Timer,TF_Tekniker,BC$4,TF_Dato,$A414))*2,0)/2)))</f>
        <v/>
      </c>
      <c r="BD414">
        <f>IF(OR(BD$4="",$A414&gt;TODAY()),0,IF(OR(INDEX($B414:$D414,BD$5)="F",AND(BD$6&gt;0,$A414&lt;BD$6),AND(BD$7&gt;0,$A414&gt;BD$7)),0,MAX(0,ROUND((INDEX($E414:$G414,BD$5)-SUMIFS(TF_Timer,TF_Tekniker,BD$4,TF_Dato,$A414))*2,0)/2)))</f>
        <v/>
      </c>
      <c r="BE414">
        <f>IF(OR(BE$4="",$A414&gt;TODAY()),0,IF(OR(INDEX($B414:$D414,BE$5)="F",AND(BE$6&gt;0,$A414&lt;BE$6),AND(BE$7&gt;0,$A414&gt;BE$7)),0,MAX(0,ROUND((INDEX($E414:$G414,BE$5)-SUMIFS(TF_Timer,TF_Tekniker,BE$4,TF_Dato,$A414))*2,0)/2)))</f>
        <v/>
      </c>
      <c r="BF414">
        <f>IF(OR(BF$4="",$A414&gt;TODAY()),0,IF(OR(INDEX($B414:$D414,BF$5)="F",AND(BF$6&gt;0,$A414&lt;BF$6),AND(BF$7&gt;0,$A414&gt;BF$7)),0,MAX(0,ROUND((INDEX($E414:$G414,BF$5)-SUMIFS(TF_Timer,TF_Tekniker,BF$4,TF_Dato,$A414))*2,0)/2)))</f>
        <v/>
      </c>
      <c r="BG414">
        <f>IF(OR(BG$4="",$A414&gt;TODAY()),0,IF(OR(INDEX($B414:$D414,BG$5)="F",AND(BG$6&gt;0,$A414&lt;BG$6),AND(BG$7&gt;0,$A414&gt;BG$7)),0,MAX(0,ROUND((INDEX($E414:$G414,BG$5)-SUMIFS(TF_Timer,TF_Tekniker,BG$4,TF_Dato,$A414))*2,0)/2)))</f>
        <v/>
      </c>
      <c r="BH414">
        <f>IF(OR(BH$4="",$A414&gt;TODAY()),0,IF(OR(INDEX($B414:$D414,BH$5)="F",AND(BH$6&gt;0,$A414&lt;BH$6),AND(BH$7&gt;0,$A414&gt;BH$7)),0,MAX(0,ROUND((INDEX($E414:$G414,BH$5)-SUMIFS(TF_Timer,TF_Tekniker,BH$4,TF_Dato,$A414))*2,0)/2)))</f>
        <v/>
      </c>
      <c r="BI414">
        <f>IF(OR(BI$4="",$A414&gt;TODAY()),0,IF(OR(INDEX($B414:$D414,BI$5)="F",AND(BI$6&gt;0,$A414&lt;BI$6),AND(BI$7&gt;0,$A414&gt;BI$7)),0,MAX(0,ROUND((INDEX($E414:$G414,BI$5)-SUMIFS(TF_Timer,TF_Tekniker,BI$4,TF_Dato,$A414))*2,0)/2)))</f>
        <v/>
      </c>
    </row>
    <row r="415">
      <c r="A415" s="64">
        <f>A414+1</f>
        <v/>
      </c>
      <c r="B415">
        <f>IF(MOD($A415-INDEX(SkiftStart,1),Syklus)&lt;DagK,"K",IF(MOD($A415-INDEX(SkiftStart,1),Syklus)&lt;DagK+DagH,"H",IF(MOD($A415-INDEX(SkiftStart,1),Syklus)&lt;DagK+DagH+DagD,"D","F")))</f>
        <v/>
      </c>
      <c r="C415">
        <f>IF(MOD($A415-INDEX(SkiftStart,2),Syklus)&lt;DagK,"K",IF(MOD($A415-INDEX(SkiftStart,2),Syklus)&lt;DagK+DagH,"H",IF(MOD($A415-INDEX(SkiftStart,2),Syklus)&lt;DagK+DagH+DagD,"D","F")))</f>
        <v/>
      </c>
      <c r="D415">
        <f>IF(MOD($A415-INDEX(SkiftStart,3),Syklus)&lt;DagK,"K",IF(MOD($A415-INDEX(SkiftStart,3),Syklus)&lt;DagK+DagH,"H",IF(MOD($A415-INDEX(SkiftStart,3),Syklus)&lt;DagK+DagH+DagD,"D","F")))</f>
        <v/>
      </c>
      <c r="E415">
        <f>IF(B415="F",0,IF(WEEKDAY($A415,2)=5,INDEX(TimerFr,MATCH(B415,FaseKode,0)),INDEX(TimerMT,MATCH(B415,FaseKode,0))))</f>
        <v/>
      </c>
      <c r="F415">
        <f>IF(C415="F",0,IF(WEEKDAY($A415,2)=5,INDEX(TimerFr,MATCH(C415,FaseKode,0)),INDEX(TimerMT,MATCH(C415,FaseKode,0))))</f>
        <v/>
      </c>
      <c r="G415">
        <f>IF(D415="F",0,IF(WEEKDAY($A415,2)=5,INDEX(TimerFr,MATCH(D415,FaseKode,0)),INDEX(TimerMT,MATCH(D415,FaseKode,0))))</f>
        <v/>
      </c>
      <c r="H415">
        <f>IF(OR(H$4="",$A415&gt;TODAY()),0,IF(OR(INDEX($B415:$D415,H$5)="F",AND(H$6&gt;0,$A415&lt;H$6),AND(H$7&gt;0,$A415&gt;H$7)),0,MAX(0,ROUND((INDEX($E415:$G415,H$5)-SUMIFS(TF_Timer,TF_Tekniker,H$4,TF_Dato,$A415))*2,0)/2)))</f>
        <v/>
      </c>
      <c r="I415">
        <f>IF(OR(I$4="",$A415&gt;TODAY()),0,IF(OR(INDEX($B415:$D415,I$5)="F",AND(I$6&gt;0,$A415&lt;I$6),AND(I$7&gt;0,$A415&gt;I$7)),0,MAX(0,ROUND((INDEX($E415:$G415,I$5)-SUMIFS(TF_Timer,TF_Tekniker,I$4,TF_Dato,$A415))*2,0)/2)))</f>
        <v/>
      </c>
      <c r="J415">
        <f>IF(OR(J$4="",$A415&gt;TODAY()),0,IF(OR(INDEX($B415:$D415,J$5)="F",AND(J$6&gt;0,$A415&lt;J$6),AND(J$7&gt;0,$A415&gt;J$7)),0,MAX(0,ROUND((INDEX($E415:$G415,J$5)-SUMIFS(TF_Timer,TF_Tekniker,J$4,TF_Dato,$A415))*2,0)/2)))</f>
        <v/>
      </c>
      <c r="K415">
        <f>IF(OR(K$4="",$A415&gt;TODAY()),0,IF(OR(INDEX($B415:$D415,K$5)="F",AND(K$6&gt;0,$A415&lt;K$6),AND(K$7&gt;0,$A415&gt;K$7)),0,MAX(0,ROUND((INDEX($E415:$G415,K$5)-SUMIFS(TF_Timer,TF_Tekniker,K$4,TF_Dato,$A415))*2,0)/2)))</f>
        <v/>
      </c>
      <c r="L415">
        <f>IF(OR(L$4="",$A415&gt;TODAY()),0,IF(OR(INDEX($B415:$D415,L$5)="F",AND(L$6&gt;0,$A415&lt;L$6),AND(L$7&gt;0,$A415&gt;L$7)),0,MAX(0,ROUND((INDEX($E415:$G415,L$5)-SUMIFS(TF_Timer,TF_Tekniker,L$4,TF_Dato,$A415))*2,0)/2)))</f>
        <v/>
      </c>
      <c r="M415">
        <f>IF(OR(M$4="",$A415&gt;TODAY()),0,IF(OR(INDEX($B415:$D415,M$5)="F",AND(M$6&gt;0,$A415&lt;M$6),AND(M$7&gt;0,$A415&gt;M$7)),0,MAX(0,ROUND((INDEX($E415:$G415,M$5)-SUMIFS(TF_Timer,TF_Tekniker,M$4,TF_Dato,$A415))*2,0)/2)))</f>
        <v/>
      </c>
      <c r="N415">
        <f>IF(OR(N$4="",$A415&gt;TODAY()),0,IF(OR(INDEX($B415:$D415,N$5)="F",AND(N$6&gt;0,$A415&lt;N$6),AND(N$7&gt;0,$A415&gt;N$7)),0,MAX(0,ROUND((INDEX($E415:$G415,N$5)-SUMIFS(TF_Timer,TF_Tekniker,N$4,TF_Dato,$A415))*2,0)/2)))</f>
        <v/>
      </c>
      <c r="O415">
        <f>IF(OR(O$4="",$A415&gt;TODAY()),0,IF(OR(INDEX($B415:$D415,O$5)="F",AND(O$6&gt;0,$A415&lt;O$6),AND(O$7&gt;0,$A415&gt;O$7)),0,MAX(0,ROUND((INDEX($E415:$G415,O$5)-SUMIFS(TF_Timer,TF_Tekniker,O$4,TF_Dato,$A415))*2,0)/2)))</f>
        <v/>
      </c>
      <c r="P415">
        <f>IF(OR(P$4="",$A415&gt;TODAY()),0,IF(OR(INDEX($B415:$D415,P$5)="F",AND(P$6&gt;0,$A415&lt;P$6),AND(P$7&gt;0,$A415&gt;P$7)),0,MAX(0,ROUND((INDEX($E415:$G415,P$5)-SUMIFS(TF_Timer,TF_Tekniker,P$4,TF_Dato,$A415))*2,0)/2)))</f>
        <v/>
      </c>
      <c r="Q415">
        <f>IF(OR(Q$4="",$A415&gt;TODAY()),0,IF(OR(INDEX($B415:$D415,Q$5)="F",AND(Q$6&gt;0,$A415&lt;Q$6),AND(Q$7&gt;0,$A415&gt;Q$7)),0,MAX(0,ROUND((INDEX($E415:$G415,Q$5)-SUMIFS(TF_Timer,TF_Tekniker,Q$4,TF_Dato,$A415))*2,0)/2)))</f>
        <v/>
      </c>
      <c r="R415">
        <f>IF(OR(R$4="",$A415&gt;TODAY()),0,IF(OR(INDEX($B415:$D415,R$5)="F",AND(R$6&gt;0,$A415&lt;R$6),AND(R$7&gt;0,$A415&gt;R$7)),0,MAX(0,ROUND((INDEX($E415:$G415,R$5)-SUMIFS(TF_Timer,TF_Tekniker,R$4,TF_Dato,$A415))*2,0)/2)))</f>
        <v/>
      </c>
      <c r="S415">
        <f>IF(OR(S$4="",$A415&gt;TODAY()),0,IF(OR(INDEX($B415:$D415,S$5)="F",AND(S$6&gt;0,$A415&lt;S$6),AND(S$7&gt;0,$A415&gt;S$7)),0,MAX(0,ROUND((INDEX($E415:$G415,S$5)-SUMIFS(TF_Timer,TF_Tekniker,S$4,TF_Dato,$A415))*2,0)/2)))</f>
        <v/>
      </c>
      <c r="T415">
        <f>IF(OR(T$4="",$A415&gt;TODAY()),0,IF(OR(INDEX($B415:$D415,T$5)="F",AND(T$6&gt;0,$A415&lt;T$6),AND(T$7&gt;0,$A415&gt;T$7)),0,MAX(0,ROUND((INDEX($E415:$G415,T$5)-SUMIFS(TF_Timer,TF_Tekniker,T$4,TF_Dato,$A415))*2,0)/2)))</f>
        <v/>
      </c>
      <c r="U415">
        <f>IF(OR(U$4="",$A415&gt;TODAY()),0,IF(OR(INDEX($B415:$D415,U$5)="F",AND(U$6&gt;0,$A415&lt;U$6),AND(U$7&gt;0,$A415&gt;U$7)),0,MAX(0,ROUND((INDEX($E415:$G415,U$5)-SUMIFS(TF_Timer,TF_Tekniker,U$4,TF_Dato,$A415))*2,0)/2)))</f>
        <v/>
      </c>
      <c r="V415">
        <f>IF(OR(V$4="",$A415&gt;TODAY()),0,IF(OR(INDEX($B415:$D415,V$5)="F",AND(V$6&gt;0,$A415&lt;V$6),AND(V$7&gt;0,$A415&gt;V$7)),0,MAX(0,ROUND((INDEX($E415:$G415,V$5)-SUMIFS(TF_Timer,TF_Tekniker,V$4,TF_Dato,$A415))*2,0)/2)))</f>
        <v/>
      </c>
      <c r="W415">
        <f>IF(OR(W$4="",$A415&gt;TODAY()),0,IF(OR(INDEX($B415:$D415,W$5)="F",AND(W$6&gt;0,$A415&lt;W$6),AND(W$7&gt;0,$A415&gt;W$7)),0,MAX(0,ROUND((INDEX($E415:$G415,W$5)-SUMIFS(TF_Timer,TF_Tekniker,W$4,TF_Dato,$A415))*2,0)/2)))</f>
        <v/>
      </c>
      <c r="X415">
        <f>IF(OR(X$4="",$A415&gt;TODAY()),0,IF(OR(INDEX($B415:$D415,X$5)="F",AND(X$6&gt;0,$A415&lt;X$6),AND(X$7&gt;0,$A415&gt;X$7)),0,MAX(0,ROUND((INDEX($E415:$G415,X$5)-SUMIFS(TF_Timer,TF_Tekniker,X$4,TF_Dato,$A415))*2,0)/2)))</f>
        <v/>
      </c>
      <c r="Y415">
        <f>IF(OR(Y$4="",$A415&gt;TODAY()),0,IF(OR(INDEX($B415:$D415,Y$5)="F",AND(Y$6&gt;0,$A415&lt;Y$6),AND(Y$7&gt;0,$A415&gt;Y$7)),0,MAX(0,ROUND((INDEX($E415:$G415,Y$5)-SUMIFS(TF_Timer,TF_Tekniker,Y$4,TF_Dato,$A415))*2,0)/2)))</f>
        <v/>
      </c>
      <c r="Z415">
        <f>IF(OR(Z$4="",$A415&gt;TODAY()),0,IF(OR(INDEX($B415:$D415,Z$5)="F",AND(Z$6&gt;0,$A415&lt;Z$6),AND(Z$7&gt;0,$A415&gt;Z$7)),0,MAX(0,ROUND((INDEX($E415:$G415,Z$5)-SUMIFS(TF_Timer,TF_Tekniker,Z$4,TF_Dato,$A415))*2,0)/2)))</f>
        <v/>
      </c>
      <c r="AA415">
        <f>IF(OR(AA$4="",$A415&gt;TODAY()),0,IF(OR(INDEX($B415:$D415,AA$5)="F",AND(AA$6&gt;0,$A415&lt;AA$6),AND(AA$7&gt;0,$A415&gt;AA$7)),0,MAX(0,ROUND((INDEX($E415:$G415,AA$5)-SUMIFS(TF_Timer,TF_Tekniker,AA$4,TF_Dato,$A415))*2,0)/2)))</f>
        <v/>
      </c>
      <c r="AB415">
        <f>IF(OR(AB$4="",$A415&gt;TODAY()),0,IF(OR(INDEX($B415:$D415,AB$5)="F",AND(AB$6&gt;0,$A415&lt;AB$6),AND(AB$7&gt;0,$A415&gt;AB$7)),0,MAX(0,ROUND((INDEX($E415:$G415,AB$5)-SUMIFS(TF_Timer,TF_Tekniker,AB$4,TF_Dato,$A415))*2,0)/2)))</f>
        <v/>
      </c>
      <c r="AC415">
        <f>IF(OR(AC$4="",$A415&gt;TODAY()),0,IF(OR(INDEX($B415:$D415,AC$5)="F",AND(AC$6&gt;0,$A415&lt;AC$6),AND(AC$7&gt;0,$A415&gt;AC$7)),0,MAX(0,ROUND((INDEX($E415:$G415,AC$5)-SUMIFS(TF_Timer,TF_Tekniker,AC$4,TF_Dato,$A415))*2,0)/2)))</f>
        <v/>
      </c>
      <c r="AD415">
        <f>IF(OR(AD$4="",$A415&gt;TODAY()),0,IF(OR(INDEX($B415:$D415,AD$5)="F",AND(AD$6&gt;0,$A415&lt;AD$6),AND(AD$7&gt;0,$A415&gt;AD$7)),0,MAX(0,ROUND((INDEX($E415:$G415,AD$5)-SUMIFS(TF_Timer,TF_Tekniker,AD$4,TF_Dato,$A415))*2,0)/2)))</f>
        <v/>
      </c>
      <c r="AE415">
        <f>IF(OR(AE$4="",$A415&gt;TODAY()),0,IF(OR(INDEX($B415:$D415,AE$5)="F",AND(AE$6&gt;0,$A415&lt;AE$6),AND(AE$7&gt;0,$A415&gt;AE$7)),0,MAX(0,ROUND((INDEX($E415:$G415,AE$5)-SUMIFS(TF_Timer,TF_Tekniker,AE$4,TF_Dato,$A415))*2,0)/2)))</f>
        <v/>
      </c>
      <c r="AF415">
        <f>IF(OR(AF$4="",$A415&gt;TODAY()),0,IF(OR(INDEX($B415:$D415,AF$5)="F",AND(AF$6&gt;0,$A415&lt;AF$6),AND(AF$7&gt;0,$A415&gt;AF$7)),0,MAX(0,ROUND((INDEX($E415:$G415,AF$5)-SUMIFS(TF_Timer,TF_Tekniker,AF$4,TF_Dato,$A415))*2,0)/2)))</f>
        <v/>
      </c>
      <c r="AG415">
        <f>IF(OR(AG$4="",$A415&gt;TODAY()),0,IF(OR(INDEX($B415:$D415,AG$5)="F",AND(AG$6&gt;0,$A415&lt;AG$6),AND(AG$7&gt;0,$A415&gt;AG$7)),0,MAX(0,ROUND((INDEX($E415:$G415,AG$5)-SUMIFS(TF_Timer,TF_Tekniker,AG$4,TF_Dato,$A415))*2,0)/2)))</f>
        <v/>
      </c>
      <c r="AH415">
        <f>IF(OR(AH$4="",$A415&gt;TODAY()),0,IF(OR(INDEX($B415:$D415,AH$5)="F",AND(AH$6&gt;0,$A415&lt;AH$6),AND(AH$7&gt;0,$A415&gt;AH$7)),0,MAX(0,ROUND((INDEX($E415:$G415,AH$5)-SUMIFS(TF_Timer,TF_Tekniker,AH$4,TF_Dato,$A415))*2,0)/2)))</f>
        <v/>
      </c>
      <c r="AI415">
        <f>IF(OR(AI$4="",$A415&gt;TODAY()),0,IF(OR(INDEX($B415:$D415,AI$5)="F",AND(AI$6&gt;0,$A415&lt;AI$6),AND(AI$7&gt;0,$A415&gt;AI$7)),0,MAX(0,ROUND((INDEX($E415:$G415,AI$5)-SUMIFS(TF_Timer,TF_Tekniker,AI$4,TF_Dato,$A415))*2,0)/2)))</f>
        <v/>
      </c>
      <c r="AJ415">
        <f>IF(OR(AJ$4="",$A415&gt;TODAY()),0,IF(OR(INDEX($B415:$D415,AJ$5)="F",AND(AJ$6&gt;0,$A415&lt;AJ$6),AND(AJ$7&gt;0,$A415&gt;AJ$7)),0,MAX(0,ROUND((INDEX($E415:$G415,AJ$5)-SUMIFS(TF_Timer,TF_Tekniker,AJ$4,TF_Dato,$A415))*2,0)/2)))</f>
        <v/>
      </c>
      <c r="AK415">
        <f>IF(OR(AK$4="",$A415&gt;TODAY()),0,IF(OR(INDEX($B415:$D415,AK$5)="F",AND(AK$6&gt;0,$A415&lt;AK$6),AND(AK$7&gt;0,$A415&gt;AK$7)),0,MAX(0,ROUND((INDEX($E415:$G415,AK$5)-SUMIFS(TF_Timer,TF_Tekniker,AK$4,TF_Dato,$A415))*2,0)/2)))</f>
        <v/>
      </c>
      <c r="AL415">
        <f>IF(OR(AL$4="",$A415&gt;TODAY()),0,IF(OR(INDEX($B415:$D415,AL$5)="F",AND(AL$6&gt;0,$A415&lt;AL$6),AND(AL$7&gt;0,$A415&gt;AL$7)),0,MAX(0,ROUND((INDEX($E415:$G415,AL$5)-SUMIFS(TF_Timer,TF_Tekniker,AL$4,TF_Dato,$A415))*2,0)/2)))</f>
        <v/>
      </c>
      <c r="AM415">
        <f>IF(OR(AM$4="",$A415&gt;TODAY()),0,IF(OR(INDEX($B415:$D415,AM$5)="F",AND(AM$6&gt;0,$A415&lt;AM$6),AND(AM$7&gt;0,$A415&gt;AM$7)),0,MAX(0,ROUND((INDEX($E415:$G415,AM$5)-SUMIFS(TF_Timer,TF_Tekniker,AM$4,TF_Dato,$A415))*2,0)/2)))</f>
        <v/>
      </c>
      <c r="AN415">
        <f>IF(OR(AN$4="",$A415&gt;TODAY()),0,IF(OR(INDEX($B415:$D415,AN$5)="F",AND(AN$6&gt;0,$A415&lt;AN$6),AND(AN$7&gt;0,$A415&gt;AN$7)),0,MAX(0,ROUND((INDEX($E415:$G415,AN$5)-SUMIFS(TF_Timer,TF_Tekniker,AN$4,TF_Dato,$A415))*2,0)/2)))</f>
        <v/>
      </c>
      <c r="AO415">
        <f>IF(OR(AO$4="",$A415&gt;TODAY()),0,IF(OR(INDEX($B415:$D415,AO$5)="F",AND(AO$6&gt;0,$A415&lt;AO$6),AND(AO$7&gt;0,$A415&gt;AO$7)),0,MAX(0,ROUND((INDEX($E415:$G415,AO$5)-SUMIFS(TF_Timer,TF_Tekniker,AO$4,TF_Dato,$A415))*2,0)/2)))</f>
        <v/>
      </c>
      <c r="AP415">
        <f>IF(OR(AP$4="",$A415&gt;TODAY()),0,IF(OR(INDEX($B415:$D415,AP$5)="F",AND(AP$6&gt;0,$A415&lt;AP$6),AND(AP$7&gt;0,$A415&gt;AP$7)),0,MAX(0,ROUND((INDEX($E415:$G415,AP$5)-SUMIFS(TF_Timer,TF_Tekniker,AP$4,TF_Dato,$A415))*2,0)/2)))</f>
        <v/>
      </c>
      <c r="AQ415">
        <f>IF(OR(AQ$4="",$A415&gt;TODAY()),0,IF(OR(INDEX($B415:$D415,AQ$5)="F",AND(AQ$6&gt;0,$A415&lt;AQ$6),AND(AQ$7&gt;0,$A415&gt;AQ$7)),0,MAX(0,ROUND((INDEX($E415:$G415,AQ$5)-SUMIFS(TF_Timer,TF_Tekniker,AQ$4,TF_Dato,$A415))*2,0)/2)))</f>
        <v/>
      </c>
      <c r="AR415">
        <f>IF(OR(AR$4="",$A415&gt;TODAY()),0,IF(OR(INDEX($B415:$D415,AR$5)="F",AND(AR$6&gt;0,$A415&lt;AR$6),AND(AR$7&gt;0,$A415&gt;AR$7)),0,MAX(0,ROUND((INDEX($E415:$G415,AR$5)-SUMIFS(TF_Timer,TF_Tekniker,AR$4,TF_Dato,$A415))*2,0)/2)))</f>
        <v/>
      </c>
      <c r="AS415">
        <f>IF(OR(AS$4="",$A415&gt;TODAY()),0,IF(OR(INDEX($B415:$D415,AS$5)="F",AND(AS$6&gt;0,$A415&lt;AS$6),AND(AS$7&gt;0,$A415&gt;AS$7)),0,MAX(0,ROUND((INDEX($E415:$G415,AS$5)-SUMIFS(TF_Timer,TF_Tekniker,AS$4,TF_Dato,$A415))*2,0)/2)))</f>
        <v/>
      </c>
      <c r="AT415">
        <f>IF(OR(AT$4="",$A415&gt;TODAY()),0,IF(OR(INDEX($B415:$D415,AT$5)="F",AND(AT$6&gt;0,$A415&lt;AT$6),AND(AT$7&gt;0,$A415&gt;AT$7)),0,MAX(0,ROUND((INDEX($E415:$G415,AT$5)-SUMIFS(TF_Timer,TF_Tekniker,AT$4,TF_Dato,$A415))*2,0)/2)))</f>
        <v/>
      </c>
      <c r="AU415">
        <f>IF(OR(AU$4="",$A415&gt;TODAY()),0,IF(OR(INDEX($B415:$D415,AU$5)="F",AND(AU$6&gt;0,$A415&lt;AU$6),AND(AU$7&gt;0,$A415&gt;AU$7)),0,MAX(0,ROUND((INDEX($E415:$G415,AU$5)-SUMIFS(TF_Timer,TF_Tekniker,AU$4,TF_Dato,$A415))*2,0)/2)))</f>
        <v/>
      </c>
      <c r="AV415">
        <f>IF(OR(AV$4="",$A415&gt;TODAY()),0,IF(OR(INDEX($B415:$D415,AV$5)="F",AND(AV$6&gt;0,$A415&lt;AV$6),AND(AV$7&gt;0,$A415&gt;AV$7)),0,MAX(0,ROUND((INDEX($E415:$G415,AV$5)-SUMIFS(TF_Timer,TF_Tekniker,AV$4,TF_Dato,$A415))*2,0)/2)))</f>
        <v/>
      </c>
      <c r="AW415">
        <f>IF(OR(AW$4="",$A415&gt;TODAY()),0,IF(OR(INDEX($B415:$D415,AW$5)="F",AND(AW$6&gt;0,$A415&lt;AW$6),AND(AW$7&gt;0,$A415&gt;AW$7)),0,MAX(0,ROUND((INDEX($E415:$G415,AW$5)-SUMIFS(TF_Timer,TF_Tekniker,AW$4,TF_Dato,$A415))*2,0)/2)))</f>
        <v/>
      </c>
      <c r="AX415">
        <f>IF(OR(AX$4="",$A415&gt;TODAY()),0,IF(OR(INDEX($B415:$D415,AX$5)="F",AND(AX$6&gt;0,$A415&lt;AX$6),AND(AX$7&gt;0,$A415&gt;AX$7)),0,MAX(0,ROUND((INDEX($E415:$G415,AX$5)-SUMIFS(TF_Timer,TF_Tekniker,AX$4,TF_Dato,$A415))*2,0)/2)))</f>
        <v/>
      </c>
      <c r="AY415">
        <f>IF(OR(AY$4="",$A415&gt;TODAY()),0,IF(OR(INDEX($B415:$D415,AY$5)="F",AND(AY$6&gt;0,$A415&lt;AY$6),AND(AY$7&gt;0,$A415&gt;AY$7)),0,MAX(0,ROUND((INDEX($E415:$G415,AY$5)-SUMIFS(TF_Timer,TF_Tekniker,AY$4,TF_Dato,$A415))*2,0)/2)))</f>
        <v/>
      </c>
      <c r="AZ415">
        <f>IF(OR(AZ$4="",$A415&gt;TODAY()),0,IF(OR(INDEX($B415:$D415,AZ$5)="F",AND(AZ$6&gt;0,$A415&lt;AZ$6),AND(AZ$7&gt;0,$A415&gt;AZ$7)),0,MAX(0,ROUND((INDEX($E415:$G415,AZ$5)-SUMIFS(TF_Timer,TF_Tekniker,AZ$4,TF_Dato,$A415))*2,0)/2)))</f>
        <v/>
      </c>
      <c r="BA415">
        <f>IF(OR(BA$4="",$A415&gt;TODAY()),0,IF(OR(INDEX($B415:$D415,BA$5)="F",AND(BA$6&gt;0,$A415&lt;BA$6),AND(BA$7&gt;0,$A415&gt;BA$7)),0,MAX(0,ROUND((INDEX($E415:$G415,BA$5)-SUMIFS(TF_Timer,TF_Tekniker,BA$4,TF_Dato,$A415))*2,0)/2)))</f>
        <v/>
      </c>
      <c r="BB415">
        <f>IF(OR(BB$4="",$A415&gt;TODAY()),0,IF(OR(INDEX($B415:$D415,BB$5)="F",AND(BB$6&gt;0,$A415&lt;BB$6),AND(BB$7&gt;0,$A415&gt;BB$7)),0,MAX(0,ROUND((INDEX($E415:$G415,BB$5)-SUMIFS(TF_Timer,TF_Tekniker,BB$4,TF_Dato,$A415))*2,0)/2)))</f>
        <v/>
      </c>
      <c r="BC415">
        <f>IF(OR(BC$4="",$A415&gt;TODAY()),0,IF(OR(INDEX($B415:$D415,BC$5)="F",AND(BC$6&gt;0,$A415&lt;BC$6),AND(BC$7&gt;0,$A415&gt;BC$7)),0,MAX(0,ROUND((INDEX($E415:$G415,BC$5)-SUMIFS(TF_Timer,TF_Tekniker,BC$4,TF_Dato,$A415))*2,0)/2)))</f>
        <v/>
      </c>
      <c r="BD415">
        <f>IF(OR(BD$4="",$A415&gt;TODAY()),0,IF(OR(INDEX($B415:$D415,BD$5)="F",AND(BD$6&gt;0,$A415&lt;BD$6),AND(BD$7&gt;0,$A415&gt;BD$7)),0,MAX(0,ROUND((INDEX($E415:$G415,BD$5)-SUMIFS(TF_Timer,TF_Tekniker,BD$4,TF_Dato,$A415))*2,0)/2)))</f>
        <v/>
      </c>
      <c r="BE415">
        <f>IF(OR(BE$4="",$A415&gt;TODAY()),0,IF(OR(INDEX($B415:$D415,BE$5)="F",AND(BE$6&gt;0,$A415&lt;BE$6),AND(BE$7&gt;0,$A415&gt;BE$7)),0,MAX(0,ROUND((INDEX($E415:$G415,BE$5)-SUMIFS(TF_Timer,TF_Tekniker,BE$4,TF_Dato,$A415))*2,0)/2)))</f>
        <v/>
      </c>
      <c r="BF415">
        <f>IF(OR(BF$4="",$A415&gt;TODAY()),0,IF(OR(INDEX($B415:$D415,BF$5)="F",AND(BF$6&gt;0,$A415&lt;BF$6),AND(BF$7&gt;0,$A415&gt;BF$7)),0,MAX(0,ROUND((INDEX($E415:$G415,BF$5)-SUMIFS(TF_Timer,TF_Tekniker,BF$4,TF_Dato,$A415))*2,0)/2)))</f>
        <v/>
      </c>
      <c r="BG415">
        <f>IF(OR(BG$4="",$A415&gt;TODAY()),0,IF(OR(INDEX($B415:$D415,BG$5)="F",AND(BG$6&gt;0,$A415&lt;BG$6),AND(BG$7&gt;0,$A415&gt;BG$7)),0,MAX(0,ROUND((INDEX($E415:$G415,BG$5)-SUMIFS(TF_Timer,TF_Tekniker,BG$4,TF_Dato,$A415))*2,0)/2)))</f>
        <v/>
      </c>
      <c r="BH415">
        <f>IF(OR(BH$4="",$A415&gt;TODAY()),0,IF(OR(INDEX($B415:$D415,BH$5)="F",AND(BH$6&gt;0,$A415&lt;BH$6),AND(BH$7&gt;0,$A415&gt;BH$7)),0,MAX(0,ROUND((INDEX($E415:$G415,BH$5)-SUMIFS(TF_Timer,TF_Tekniker,BH$4,TF_Dato,$A415))*2,0)/2)))</f>
        <v/>
      </c>
      <c r="BI415">
        <f>IF(OR(BI$4="",$A415&gt;TODAY()),0,IF(OR(INDEX($B415:$D415,BI$5)="F",AND(BI$6&gt;0,$A415&lt;BI$6),AND(BI$7&gt;0,$A415&gt;BI$7)),0,MAX(0,ROUND((INDEX($E415:$G415,BI$5)-SUMIFS(TF_Timer,TF_Tekniker,BI$4,TF_Dato,$A415))*2,0)/2)))</f>
        <v/>
      </c>
    </row>
    <row r="416">
      <c r="A416" s="64">
        <f>A415+1</f>
        <v/>
      </c>
      <c r="B416">
        <f>IF(MOD($A416-INDEX(SkiftStart,1),Syklus)&lt;DagK,"K",IF(MOD($A416-INDEX(SkiftStart,1),Syklus)&lt;DagK+DagH,"H",IF(MOD($A416-INDEX(SkiftStart,1),Syklus)&lt;DagK+DagH+DagD,"D","F")))</f>
        <v/>
      </c>
      <c r="C416">
        <f>IF(MOD($A416-INDEX(SkiftStart,2),Syklus)&lt;DagK,"K",IF(MOD($A416-INDEX(SkiftStart,2),Syklus)&lt;DagK+DagH,"H",IF(MOD($A416-INDEX(SkiftStart,2),Syklus)&lt;DagK+DagH+DagD,"D","F")))</f>
        <v/>
      </c>
      <c r="D416">
        <f>IF(MOD($A416-INDEX(SkiftStart,3),Syklus)&lt;DagK,"K",IF(MOD($A416-INDEX(SkiftStart,3),Syklus)&lt;DagK+DagH,"H",IF(MOD($A416-INDEX(SkiftStart,3),Syklus)&lt;DagK+DagH+DagD,"D","F")))</f>
        <v/>
      </c>
      <c r="E416">
        <f>IF(B416="F",0,IF(WEEKDAY($A416,2)=5,INDEX(TimerFr,MATCH(B416,FaseKode,0)),INDEX(TimerMT,MATCH(B416,FaseKode,0))))</f>
        <v/>
      </c>
      <c r="F416">
        <f>IF(C416="F",0,IF(WEEKDAY($A416,2)=5,INDEX(TimerFr,MATCH(C416,FaseKode,0)),INDEX(TimerMT,MATCH(C416,FaseKode,0))))</f>
        <v/>
      </c>
      <c r="G416">
        <f>IF(D416="F",0,IF(WEEKDAY($A416,2)=5,INDEX(TimerFr,MATCH(D416,FaseKode,0)),INDEX(TimerMT,MATCH(D416,FaseKode,0))))</f>
        <v/>
      </c>
      <c r="H416">
        <f>IF(OR(H$4="",$A416&gt;TODAY()),0,IF(OR(INDEX($B416:$D416,H$5)="F",AND(H$6&gt;0,$A416&lt;H$6),AND(H$7&gt;0,$A416&gt;H$7)),0,MAX(0,ROUND((INDEX($E416:$G416,H$5)-SUMIFS(TF_Timer,TF_Tekniker,H$4,TF_Dato,$A416))*2,0)/2)))</f>
        <v/>
      </c>
      <c r="I416">
        <f>IF(OR(I$4="",$A416&gt;TODAY()),0,IF(OR(INDEX($B416:$D416,I$5)="F",AND(I$6&gt;0,$A416&lt;I$6),AND(I$7&gt;0,$A416&gt;I$7)),0,MAX(0,ROUND((INDEX($E416:$G416,I$5)-SUMIFS(TF_Timer,TF_Tekniker,I$4,TF_Dato,$A416))*2,0)/2)))</f>
        <v/>
      </c>
      <c r="J416">
        <f>IF(OR(J$4="",$A416&gt;TODAY()),0,IF(OR(INDEX($B416:$D416,J$5)="F",AND(J$6&gt;0,$A416&lt;J$6),AND(J$7&gt;0,$A416&gt;J$7)),0,MAX(0,ROUND((INDEX($E416:$G416,J$5)-SUMIFS(TF_Timer,TF_Tekniker,J$4,TF_Dato,$A416))*2,0)/2)))</f>
        <v/>
      </c>
      <c r="K416">
        <f>IF(OR(K$4="",$A416&gt;TODAY()),0,IF(OR(INDEX($B416:$D416,K$5)="F",AND(K$6&gt;0,$A416&lt;K$6),AND(K$7&gt;0,$A416&gt;K$7)),0,MAX(0,ROUND((INDEX($E416:$G416,K$5)-SUMIFS(TF_Timer,TF_Tekniker,K$4,TF_Dato,$A416))*2,0)/2)))</f>
        <v/>
      </c>
      <c r="L416">
        <f>IF(OR(L$4="",$A416&gt;TODAY()),0,IF(OR(INDEX($B416:$D416,L$5)="F",AND(L$6&gt;0,$A416&lt;L$6),AND(L$7&gt;0,$A416&gt;L$7)),0,MAX(0,ROUND((INDEX($E416:$G416,L$5)-SUMIFS(TF_Timer,TF_Tekniker,L$4,TF_Dato,$A416))*2,0)/2)))</f>
        <v/>
      </c>
      <c r="M416">
        <f>IF(OR(M$4="",$A416&gt;TODAY()),0,IF(OR(INDEX($B416:$D416,M$5)="F",AND(M$6&gt;0,$A416&lt;M$6),AND(M$7&gt;0,$A416&gt;M$7)),0,MAX(0,ROUND((INDEX($E416:$G416,M$5)-SUMIFS(TF_Timer,TF_Tekniker,M$4,TF_Dato,$A416))*2,0)/2)))</f>
        <v/>
      </c>
      <c r="N416">
        <f>IF(OR(N$4="",$A416&gt;TODAY()),0,IF(OR(INDEX($B416:$D416,N$5)="F",AND(N$6&gt;0,$A416&lt;N$6),AND(N$7&gt;0,$A416&gt;N$7)),0,MAX(0,ROUND((INDEX($E416:$G416,N$5)-SUMIFS(TF_Timer,TF_Tekniker,N$4,TF_Dato,$A416))*2,0)/2)))</f>
        <v/>
      </c>
      <c r="O416">
        <f>IF(OR(O$4="",$A416&gt;TODAY()),0,IF(OR(INDEX($B416:$D416,O$5)="F",AND(O$6&gt;0,$A416&lt;O$6),AND(O$7&gt;0,$A416&gt;O$7)),0,MAX(0,ROUND((INDEX($E416:$G416,O$5)-SUMIFS(TF_Timer,TF_Tekniker,O$4,TF_Dato,$A416))*2,0)/2)))</f>
        <v/>
      </c>
      <c r="P416">
        <f>IF(OR(P$4="",$A416&gt;TODAY()),0,IF(OR(INDEX($B416:$D416,P$5)="F",AND(P$6&gt;0,$A416&lt;P$6),AND(P$7&gt;0,$A416&gt;P$7)),0,MAX(0,ROUND((INDEX($E416:$G416,P$5)-SUMIFS(TF_Timer,TF_Tekniker,P$4,TF_Dato,$A416))*2,0)/2)))</f>
        <v/>
      </c>
      <c r="Q416">
        <f>IF(OR(Q$4="",$A416&gt;TODAY()),0,IF(OR(INDEX($B416:$D416,Q$5)="F",AND(Q$6&gt;0,$A416&lt;Q$6),AND(Q$7&gt;0,$A416&gt;Q$7)),0,MAX(0,ROUND((INDEX($E416:$G416,Q$5)-SUMIFS(TF_Timer,TF_Tekniker,Q$4,TF_Dato,$A416))*2,0)/2)))</f>
        <v/>
      </c>
      <c r="R416">
        <f>IF(OR(R$4="",$A416&gt;TODAY()),0,IF(OR(INDEX($B416:$D416,R$5)="F",AND(R$6&gt;0,$A416&lt;R$6),AND(R$7&gt;0,$A416&gt;R$7)),0,MAX(0,ROUND((INDEX($E416:$G416,R$5)-SUMIFS(TF_Timer,TF_Tekniker,R$4,TF_Dato,$A416))*2,0)/2)))</f>
        <v/>
      </c>
      <c r="S416">
        <f>IF(OR(S$4="",$A416&gt;TODAY()),0,IF(OR(INDEX($B416:$D416,S$5)="F",AND(S$6&gt;0,$A416&lt;S$6),AND(S$7&gt;0,$A416&gt;S$7)),0,MAX(0,ROUND((INDEX($E416:$G416,S$5)-SUMIFS(TF_Timer,TF_Tekniker,S$4,TF_Dato,$A416))*2,0)/2)))</f>
        <v/>
      </c>
      <c r="T416">
        <f>IF(OR(T$4="",$A416&gt;TODAY()),0,IF(OR(INDEX($B416:$D416,T$5)="F",AND(T$6&gt;0,$A416&lt;T$6),AND(T$7&gt;0,$A416&gt;T$7)),0,MAX(0,ROUND((INDEX($E416:$G416,T$5)-SUMIFS(TF_Timer,TF_Tekniker,T$4,TF_Dato,$A416))*2,0)/2)))</f>
        <v/>
      </c>
      <c r="U416">
        <f>IF(OR(U$4="",$A416&gt;TODAY()),0,IF(OR(INDEX($B416:$D416,U$5)="F",AND(U$6&gt;0,$A416&lt;U$6),AND(U$7&gt;0,$A416&gt;U$7)),0,MAX(0,ROUND((INDEX($E416:$G416,U$5)-SUMIFS(TF_Timer,TF_Tekniker,U$4,TF_Dato,$A416))*2,0)/2)))</f>
        <v/>
      </c>
      <c r="V416">
        <f>IF(OR(V$4="",$A416&gt;TODAY()),0,IF(OR(INDEX($B416:$D416,V$5)="F",AND(V$6&gt;0,$A416&lt;V$6),AND(V$7&gt;0,$A416&gt;V$7)),0,MAX(0,ROUND((INDEX($E416:$G416,V$5)-SUMIFS(TF_Timer,TF_Tekniker,V$4,TF_Dato,$A416))*2,0)/2)))</f>
        <v/>
      </c>
      <c r="W416">
        <f>IF(OR(W$4="",$A416&gt;TODAY()),0,IF(OR(INDEX($B416:$D416,W$5)="F",AND(W$6&gt;0,$A416&lt;W$6),AND(W$7&gt;0,$A416&gt;W$7)),0,MAX(0,ROUND((INDEX($E416:$G416,W$5)-SUMIFS(TF_Timer,TF_Tekniker,W$4,TF_Dato,$A416))*2,0)/2)))</f>
        <v/>
      </c>
      <c r="X416">
        <f>IF(OR(X$4="",$A416&gt;TODAY()),0,IF(OR(INDEX($B416:$D416,X$5)="F",AND(X$6&gt;0,$A416&lt;X$6),AND(X$7&gt;0,$A416&gt;X$7)),0,MAX(0,ROUND((INDEX($E416:$G416,X$5)-SUMIFS(TF_Timer,TF_Tekniker,X$4,TF_Dato,$A416))*2,0)/2)))</f>
        <v/>
      </c>
      <c r="Y416">
        <f>IF(OR(Y$4="",$A416&gt;TODAY()),0,IF(OR(INDEX($B416:$D416,Y$5)="F",AND(Y$6&gt;0,$A416&lt;Y$6),AND(Y$7&gt;0,$A416&gt;Y$7)),0,MAX(0,ROUND((INDEX($E416:$G416,Y$5)-SUMIFS(TF_Timer,TF_Tekniker,Y$4,TF_Dato,$A416))*2,0)/2)))</f>
        <v/>
      </c>
      <c r="Z416">
        <f>IF(OR(Z$4="",$A416&gt;TODAY()),0,IF(OR(INDEX($B416:$D416,Z$5)="F",AND(Z$6&gt;0,$A416&lt;Z$6),AND(Z$7&gt;0,$A416&gt;Z$7)),0,MAX(0,ROUND((INDEX($E416:$G416,Z$5)-SUMIFS(TF_Timer,TF_Tekniker,Z$4,TF_Dato,$A416))*2,0)/2)))</f>
        <v/>
      </c>
      <c r="AA416">
        <f>IF(OR(AA$4="",$A416&gt;TODAY()),0,IF(OR(INDEX($B416:$D416,AA$5)="F",AND(AA$6&gt;0,$A416&lt;AA$6),AND(AA$7&gt;0,$A416&gt;AA$7)),0,MAX(0,ROUND((INDEX($E416:$G416,AA$5)-SUMIFS(TF_Timer,TF_Tekniker,AA$4,TF_Dato,$A416))*2,0)/2)))</f>
        <v/>
      </c>
      <c r="AB416">
        <f>IF(OR(AB$4="",$A416&gt;TODAY()),0,IF(OR(INDEX($B416:$D416,AB$5)="F",AND(AB$6&gt;0,$A416&lt;AB$6),AND(AB$7&gt;0,$A416&gt;AB$7)),0,MAX(0,ROUND((INDEX($E416:$G416,AB$5)-SUMIFS(TF_Timer,TF_Tekniker,AB$4,TF_Dato,$A416))*2,0)/2)))</f>
        <v/>
      </c>
      <c r="AC416">
        <f>IF(OR(AC$4="",$A416&gt;TODAY()),0,IF(OR(INDEX($B416:$D416,AC$5)="F",AND(AC$6&gt;0,$A416&lt;AC$6),AND(AC$7&gt;0,$A416&gt;AC$7)),0,MAX(0,ROUND((INDEX($E416:$G416,AC$5)-SUMIFS(TF_Timer,TF_Tekniker,AC$4,TF_Dato,$A416))*2,0)/2)))</f>
        <v/>
      </c>
      <c r="AD416">
        <f>IF(OR(AD$4="",$A416&gt;TODAY()),0,IF(OR(INDEX($B416:$D416,AD$5)="F",AND(AD$6&gt;0,$A416&lt;AD$6),AND(AD$7&gt;0,$A416&gt;AD$7)),0,MAX(0,ROUND((INDEX($E416:$G416,AD$5)-SUMIFS(TF_Timer,TF_Tekniker,AD$4,TF_Dato,$A416))*2,0)/2)))</f>
        <v/>
      </c>
      <c r="AE416">
        <f>IF(OR(AE$4="",$A416&gt;TODAY()),0,IF(OR(INDEX($B416:$D416,AE$5)="F",AND(AE$6&gt;0,$A416&lt;AE$6),AND(AE$7&gt;0,$A416&gt;AE$7)),0,MAX(0,ROUND((INDEX($E416:$G416,AE$5)-SUMIFS(TF_Timer,TF_Tekniker,AE$4,TF_Dato,$A416))*2,0)/2)))</f>
        <v/>
      </c>
      <c r="AF416">
        <f>IF(OR(AF$4="",$A416&gt;TODAY()),0,IF(OR(INDEX($B416:$D416,AF$5)="F",AND(AF$6&gt;0,$A416&lt;AF$6),AND(AF$7&gt;0,$A416&gt;AF$7)),0,MAX(0,ROUND((INDEX($E416:$G416,AF$5)-SUMIFS(TF_Timer,TF_Tekniker,AF$4,TF_Dato,$A416))*2,0)/2)))</f>
        <v/>
      </c>
      <c r="AG416">
        <f>IF(OR(AG$4="",$A416&gt;TODAY()),0,IF(OR(INDEX($B416:$D416,AG$5)="F",AND(AG$6&gt;0,$A416&lt;AG$6),AND(AG$7&gt;0,$A416&gt;AG$7)),0,MAX(0,ROUND((INDEX($E416:$G416,AG$5)-SUMIFS(TF_Timer,TF_Tekniker,AG$4,TF_Dato,$A416))*2,0)/2)))</f>
        <v/>
      </c>
      <c r="AH416">
        <f>IF(OR(AH$4="",$A416&gt;TODAY()),0,IF(OR(INDEX($B416:$D416,AH$5)="F",AND(AH$6&gt;0,$A416&lt;AH$6),AND(AH$7&gt;0,$A416&gt;AH$7)),0,MAX(0,ROUND((INDEX($E416:$G416,AH$5)-SUMIFS(TF_Timer,TF_Tekniker,AH$4,TF_Dato,$A416))*2,0)/2)))</f>
        <v/>
      </c>
      <c r="AI416">
        <f>IF(OR(AI$4="",$A416&gt;TODAY()),0,IF(OR(INDEX($B416:$D416,AI$5)="F",AND(AI$6&gt;0,$A416&lt;AI$6),AND(AI$7&gt;0,$A416&gt;AI$7)),0,MAX(0,ROUND((INDEX($E416:$G416,AI$5)-SUMIFS(TF_Timer,TF_Tekniker,AI$4,TF_Dato,$A416))*2,0)/2)))</f>
        <v/>
      </c>
      <c r="AJ416">
        <f>IF(OR(AJ$4="",$A416&gt;TODAY()),0,IF(OR(INDEX($B416:$D416,AJ$5)="F",AND(AJ$6&gt;0,$A416&lt;AJ$6),AND(AJ$7&gt;0,$A416&gt;AJ$7)),0,MAX(0,ROUND((INDEX($E416:$G416,AJ$5)-SUMIFS(TF_Timer,TF_Tekniker,AJ$4,TF_Dato,$A416))*2,0)/2)))</f>
        <v/>
      </c>
      <c r="AK416">
        <f>IF(OR(AK$4="",$A416&gt;TODAY()),0,IF(OR(INDEX($B416:$D416,AK$5)="F",AND(AK$6&gt;0,$A416&lt;AK$6),AND(AK$7&gt;0,$A416&gt;AK$7)),0,MAX(0,ROUND((INDEX($E416:$G416,AK$5)-SUMIFS(TF_Timer,TF_Tekniker,AK$4,TF_Dato,$A416))*2,0)/2)))</f>
        <v/>
      </c>
      <c r="AL416">
        <f>IF(OR(AL$4="",$A416&gt;TODAY()),0,IF(OR(INDEX($B416:$D416,AL$5)="F",AND(AL$6&gt;0,$A416&lt;AL$6),AND(AL$7&gt;0,$A416&gt;AL$7)),0,MAX(0,ROUND((INDEX($E416:$G416,AL$5)-SUMIFS(TF_Timer,TF_Tekniker,AL$4,TF_Dato,$A416))*2,0)/2)))</f>
        <v/>
      </c>
      <c r="AM416">
        <f>IF(OR(AM$4="",$A416&gt;TODAY()),0,IF(OR(INDEX($B416:$D416,AM$5)="F",AND(AM$6&gt;0,$A416&lt;AM$6),AND(AM$7&gt;0,$A416&gt;AM$7)),0,MAX(0,ROUND((INDEX($E416:$G416,AM$5)-SUMIFS(TF_Timer,TF_Tekniker,AM$4,TF_Dato,$A416))*2,0)/2)))</f>
        <v/>
      </c>
      <c r="AN416">
        <f>IF(OR(AN$4="",$A416&gt;TODAY()),0,IF(OR(INDEX($B416:$D416,AN$5)="F",AND(AN$6&gt;0,$A416&lt;AN$6),AND(AN$7&gt;0,$A416&gt;AN$7)),0,MAX(0,ROUND((INDEX($E416:$G416,AN$5)-SUMIFS(TF_Timer,TF_Tekniker,AN$4,TF_Dato,$A416))*2,0)/2)))</f>
        <v/>
      </c>
      <c r="AO416">
        <f>IF(OR(AO$4="",$A416&gt;TODAY()),0,IF(OR(INDEX($B416:$D416,AO$5)="F",AND(AO$6&gt;0,$A416&lt;AO$6),AND(AO$7&gt;0,$A416&gt;AO$7)),0,MAX(0,ROUND((INDEX($E416:$G416,AO$5)-SUMIFS(TF_Timer,TF_Tekniker,AO$4,TF_Dato,$A416))*2,0)/2)))</f>
        <v/>
      </c>
      <c r="AP416">
        <f>IF(OR(AP$4="",$A416&gt;TODAY()),0,IF(OR(INDEX($B416:$D416,AP$5)="F",AND(AP$6&gt;0,$A416&lt;AP$6),AND(AP$7&gt;0,$A416&gt;AP$7)),0,MAX(0,ROUND((INDEX($E416:$G416,AP$5)-SUMIFS(TF_Timer,TF_Tekniker,AP$4,TF_Dato,$A416))*2,0)/2)))</f>
        <v/>
      </c>
      <c r="AQ416">
        <f>IF(OR(AQ$4="",$A416&gt;TODAY()),0,IF(OR(INDEX($B416:$D416,AQ$5)="F",AND(AQ$6&gt;0,$A416&lt;AQ$6),AND(AQ$7&gt;0,$A416&gt;AQ$7)),0,MAX(0,ROUND((INDEX($E416:$G416,AQ$5)-SUMIFS(TF_Timer,TF_Tekniker,AQ$4,TF_Dato,$A416))*2,0)/2)))</f>
        <v/>
      </c>
      <c r="AR416">
        <f>IF(OR(AR$4="",$A416&gt;TODAY()),0,IF(OR(INDEX($B416:$D416,AR$5)="F",AND(AR$6&gt;0,$A416&lt;AR$6),AND(AR$7&gt;0,$A416&gt;AR$7)),0,MAX(0,ROUND((INDEX($E416:$G416,AR$5)-SUMIFS(TF_Timer,TF_Tekniker,AR$4,TF_Dato,$A416))*2,0)/2)))</f>
        <v/>
      </c>
      <c r="AS416">
        <f>IF(OR(AS$4="",$A416&gt;TODAY()),0,IF(OR(INDEX($B416:$D416,AS$5)="F",AND(AS$6&gt;0,$A416&lt;AS$6),AND(AS$7&gt;0,$A416&gt;AS$7)),0,MAX(0,ROUND((INDEX($E416:$G416,AS$5)-SUMIFS(TF_Timer,TF_Tekniker,AS$4,TF_Dato,$A416))*2,0)/2)))</f>
        <v/>
      </c>
      <c r="AT416">
        <f>IF(OR(AT$4="",$A416&gt;TODAY()),0,IF(OR(INDEX($B416:$D416,AT$5)="F",AND(AT$6&gt;0,$A416&lt;AT$6),AND(AT$7&gt;0,$A416&gt;AT$7)),0,MAX(0,ROUND((INDEX($E416:$G416,AT$5)-SUMIFS(TF_Timer,TF_Tekniker,AT$4,TF_Dato,$A416))*2,0)/2)))</f>
        <v/>
      </c>
      <c r="AU416">
        <f>IF(OR(AU$4="",$A416&gt;TODAY()),0,IF(OR(INDEX($B416:$D416,AU$5)="F",AND(AU$6&gt;0,$A416&lt;AU$6),AND(AU$7&gt;0,$A416&gt;AU$7)),0,MAX(0,ROUND((INDEX($E416:$G416,AU$5)-SUMIFS(TF_Timer,TF_Tekniker,AU$4,TF_Dato,$A416))*2,0)/2)))</f>
        <v/>
      </c>
      <c r="AV416">
        <f>IF(OR(AV$4="",$A416&gt;TODAY()),0,IF(OR(INDEX($B416:$D416,AV$5)="F",AND(AV$6&gt;0,$A416&lt;AV$6),AND(AV$7&gt;0,$A416&gt;AV$7)),0,MAX(0,ROUND((INDEX($E416:$G416,AV$5)-SUMIFS(TF_Timer,TF_Tekniker,AV$4,TF_Dato,$A416))*2,0)/2)))</f>
        <v/>
      </c>
      <c r="AW416">
        <f>IF(OR(AW$4="",$A416&gt;TODAY()),0,IF(OR(INDEX($B416:$D416,AW$5)="F",AND(AW$6&gt;0,$A416&lt;AW$6),AND(AW$7&gt;0,$A416&gt;AW$7)),0,MAX(0,ROUND((INDEX($E416:$G416,AW$5)-SUMIFS(TF_Timer,TF_Tekniker,AW$4,TF_Dato,$A416))*2,0)/2)))</f>
        <v/>
      </c>
      <c r="AX416">
        <f>IF(OR(AX$4="",$A416&gt;TODAY()),0,IF(OR(INDEX($B416:$D416,AX$5)="F",AND(AX$6&gt;0,$A416&lt;AX$6),AND(AX$7&gt;0,$A416&gt;AX$7)),0,MAX(0,ROUND((INDEX($E416:$G416,AX$5)-SUMIFS(TF_Timer,TF_Tekniker,AX$4,TF_Dato,$A416))*2,0)/2)))</f>
        <v/>
      </c>
      <c r="AY416">
        <f>IF(OR(AY$4="",$A416&gt;TODAY()),0,IF(OR(INDEX($B416:$D416,AY$5)="F",AND(AY$6&gt;0,$A416&lt;AY$6),AND(AY$7&gt;0,$A416&gt;AY$7)),0,MAX(0,ROUND((INDEX($E416:$G416,AY$5)-SUMIFS(TF_Timer,TF_Tekniker,AY$4,TF_Dato,$A416))*2,0)/2)))</f>
        <v/>
      </c>
      <c r="AZ416">
        <f>IF(OR(AZ$4="",$A416&gt;TODAY()),0,IF(OR(INDEX($B416:$D416,AZ$5)="F",AND(AZ$6&gt;0,$A416&lt;AZ$6),AND(AZ$7&gt;0,$A416&gt;AZ$7)),0,MAX(0,ROUND((INDEX($E416:$G416,AZ$5)-SUMIFS(TF_Timer,TF_Tekniker,AZ$4,TF_Dato,$A416))*2,0)/2)))</f>
        <v/>
      </c>
      <c r="BA416">
        <f>IF(OR(BA$4="",$A416&gt;TODAY()),0,IF(OR(INDEX($B416:$D416,BA$5)="F",AND(BA$6&gt;0,$A416&lt;BA$6),AND(BA$7&gt;0,$A416&gt;BA$7)),0,MAX(0,ROUND((INDEX($E416:$G416,BA$5)-SUMIFS(TF_Timer,TF_Tekniker,BA$4,TF_Dato,$A416))*2,0)/2)))</f>
        <v/>
      </c>
      <c r="BB416">
        <f>IF(OR(BB$4="",$A416&gt;TODAY()),0,IF(OR(INDEX($B416:$D416,BB$5)="F",AND(BB$6&gt;0,$A416&lt;BB$6),AND(BB$7&gt;0,$A416&gt;BB$7)),0,MAX(0,ROUND((INDEX($E416:$G416,BB$5)-SUMIFS(TF_Timer,TF_Tekniker,BB$4,TF_Dato,$A416))*2,0)/2)))</f>
        <v/>
      </c>
      <c r="BC416">
        <f>IF(OR(BC$4="",$A416&gt;TODAY()),0,IF(OR(INDEX($B416:$D416,BC$5)="F",AND(BC$6&gt;0,$A416&lt;BC$6),AND(BC$7&gt;0,$A416&gt;BC$7)),0,MAX(0,ROUND((INDEX($E416:$G416,BC$5)-SUMIFS(TF_Timer,TF_Tekniker,BC$4,TF_Dato,$A416))*2,0)/2)))</f>
        <v/>
      </c>
      <c r="BD416">
        <f>IF(OR(BD$4="",$A416&gt;TODAY()),0,IF(OR(INDEX($B416:$D416,BD$5)="F",AND(BD$6&gt;0,$A416&lt;BD$6),AND(BD$7&gt;0,$A416&gt;BD$7)),0,MAX(0,ROUND((INDEX($E416:$G416,BD$5)-SUMIFS(TF_Timer,TF_Tekniker,BD$4,TF_Dato,$A416))*2,0)/2)))</f>
        <v/>
      </c>
      <c r="BE416">
        <f>IF(OR(BE$4="",$A416&gt;TODAY()),0,IF(OR(INDEX($B416:$D416,BE$5)="F",AND(BE$6&gt;0,$A416&lt;BE$6),AND(BE$7&gt;0,$A416&gt;BE$7)),0,MAX(0,ROUND((INDEX($E416:$G416,BE$5)-SUMIFS(TF_Timer,TF_Tekniker,BE$4,TF_Dato,$A416))*2,0)/2)))</f>
        <v/>
      </c>
      <c r="BF416">
        <f>IF(OR(BF$4="",$A416&gt;TODAY()),0,IF(OR(INDEX($B416:$D416,BF$5)="F",AND(BF$6&gt;0,$A416&lt;BF$6),AND(BF$7&gt;0,$A416&gt;BF$7)),0,MAX(0,ROUND((INDEX($E416:$G416,BF$5)-SUMIFS(TF_Timer,TF_Tekniker,BF$4,TF_Dato,$A416))*2,0)/2)))</f>
        <v/>
      </c>
      <c r="BG416">
        <f>IF(OR(BG$4="",$A416&gt;TODAY()),0,IF(OR(INDEX($B416:$D416,BG$5)="F",AND(BG$6&gt;0,$A416&lt;BG$6),AND(BG$7&gt;0,$A416&gt;BG$7)),0,MAX(0,ROUND((INDEX($E416:$G416,BG$5)-SUMIFS(TF_Timer,TF_Tekniker,BG$4,TF_Dato,$A416))*2,0)/2)))</f>
        <v/>
      </c>
      <c r="BH416">
        <f>IF(OR(BH$4="",$A416&gt;TODAY()),0,IF(OR(INDEX($B416:$D416,BH$5)="F",AND(BH$6&gt;0,$A416&lt;BH$6),AND(BH$7&gt;0,$A416&gt;BH$7)),0,MAX(0,ROUND((INDEX($E416:$G416,BH$5)-SUMIFS(TF_Timer,TF_Tekniker,BH$4,TF_Dato,$A416))*2,0)/2)))</f>
        <v/>
      </c>
      <c r="BI416">
        <f>IF(OR(BI$4="",$A416&gt;TODAY()),0,IF(OR(INDEX($B416:$D416,BI$5)="F",AND(BI$6&gt;0,$A416&lt;BI$6),AND(BI$7&gt;0,$A416&gt;BI$7)),0,MAX(0,ROUND((INDEX($E416:$G416,BI$5)-SUMIFS(TF_Timer,TF_Tekniker,BI$4,TF_Dato,$A416))*2,0)/2)))</f>
        <v/>
      </c>
    </row>
    <row r="417">
      <c r="A417" s="64">
        <f>A416+1</f>
        <v/>
      </c>
      <c r="B417">
        <f>IF(MOD($A417-INDEX(SkiftStart,1),Syklus)&lt;DagK,"K",IF(MOD($A417-INDEX(SkiftStart,1),Syklus)&lt;DagK+DagH,"H",IF(MOD($A417-INDEX(SkiftStart,1),Syklus)&lt;DagK+DagH+DagD,"D","F")))</f>
        <v/>
      </c>
      <c r="C417">
        <f>IF(MOD($A417-INDEX(SkiftStart,2),Syklus)&lt;DagK,"K",IF(MOD($A417-INDEX(SkiftStart,2),Syklus)&lt;DagK+DagH,"H",IF(MOD($A417-INDEX(SkiftStart,2),Syklus)&lt;DagK+DagH+DagD,"D","F")))</f>
        <v/>
      </c>
      <c r="D417">
        <f>IF(MOD($A417-INDEX(SkiftStart,3),Syklus)&lt;DagK,"K",IF(MOD($A417-INDEX(SkiftStart,3),Syklus)&lt;DagK+DagH,"H",IF(MOD($A417-INDEX(SkiftStart,3),Syklus)&lt;DagK+DagH+DagD,"D","F")))</f>
        <v/>
      </c>
      <c r="E417">
        <f>IF(B417="F",0,IF(WEEKDAY($A417,2)=5,INDEX(TimerFr,MATCH(B417,FaseKode,0)),INDEX(TimerMT,MATCH(B417,FaseKode,0))))</f>
        <v/>
      </c>
      <c r="F417">
        <f>IF(C417="F",0,IF(WEEKDAY($A417,2)=5,INDEX(TimerFr,MATCH(C417,FaseKode,0)),INDEX(TimerMT,MATCH(C417,FaseKode,0))))</f>
        <v/>
      </c>
      <c r="G417">
        <f>IF(D417="F",0,IF(WEEKDAY($A417,2)=5,INDEX(TimerFr,MATCH(D417,FaseKode,0)),INDEX(TimerMT,MATCH(D417,FaseKode,0))))</f>
        <v/>
      </c>
      <c r="H417">
        <f>IF(OR(H$4="",$A417&gt;TODAY()),0,IF(OR(INDEX($B417:$D417,H$5)="F",AND(H$6&gt;0,$A417&lt;H$6),AND(H$7&gt;0,$A417&gt;H$7)),0,MAX(0,ROUND((INDEX($E417:$G417,H$5)-SUMIFS(TF_Timer,TF_Tekniker,H$4,TF_Dato,$A417))*2,0)/2)))</f>
        <v/>
      </c>
      <c r="I417">
        <f>IF(OR(I$4="",$A417&gt;TODAY()),0,IF(OR(INDEX($B417:$D417,I$5)="F",AND(I$6&gt;0,$A417&lt;I$6),AND(I$7&gt;0,$A417&gt;I$7)),0,MAX(0,ROUND((INDEX($E417:$G417,I$5)-SUMIFS(TF_Timer,TF_Tekniker,I$4,TF_Dato,$A417))*2,0)/2)))</f>
        <v/>
      </c>
      <c r="J417">
        <f>IF(OR(J$4="",$A417&gt;TODAY()),0,IF(OR(INDEX($B417:$D417,J$5)="F",AND(J$6&gt;0,$A417&lt;J$6),AND(J$7&gt;0,$A417&gt;J$7)),0,MAX(0,ROUND((INDEX($E417:$G417,J$5)-SUMIFS(TF_Timer,TF_Tekniker,J$4,TF_Dato,$A417))*2,0)/2)))</f>
        <v/>
      </c>
      <c r="K417">
        <f>IF(OR(K$4="",$A417&gt;TODAY()),0,IF(OR(INDEX($B417:$D417,K$5)="F",AND(K$6&gt;0,$A417&lt;K$6),AND(K$7&gt;0,$A417&gt;K$7)),0,MAX(0,ROUND((INDEX($E417:$G417,K$5)-SUMIFS(TF_Timer,TF_Tekniker,K$4,TF_Dato,$A417))*2,0)/2)))</f>
        <v/>
      </c>
      <c r="L417">
        <f>IF(OR(L$4="",$A417&gt;TODAY()),0,IF(OR(INDEX($B417:$D417,L$5)="F",AND(L$6&gt;0,$A417&lt;L$6),AND(L$7&gt;0,$A417&gt;L$7)),0,MAX(0,ROUND((INDEX($E417:$G417,L$5)-SUMIFS(TF_Timer,TF_Tekniker,L$4,TF_Dato,$A417))*2,0)/2)))</f>
        <v/>
      </c>
      <c r="M417">
        <f>IF(OR(M$4="",$A417&gt;TODAY()),0,IF(OR(INDEX($B417:$D417,M$5)="F",AND(M$6&gt;0,$A417&lt;M$6),AND(M$7&gt;0,$A417&gt;M$7)),0,MAX(0,ROUND((INDEX($E417:$G417,M$5)-SUMIFS(TF_Timer,TF_Tekniker,M$4,TF_Dato,$A417))*2,0)/2)))</f>
        <v/>
      </c>
      <c r="N417">
        <f>IF(OR(N$4="",$A417&gt;TODAY()),0,IF(OR(INDEX($B417:$D417,N$5)="F",AND(N$6&gt;0,$A417&lt;N$6),AND(N$7&gt;0,$A417&gt;N$7)),0,MAX(0,ROUND((INDEX($E417:$G417,N$5)-SUMIFS(TF_Timer,TF_Tekniker,N$4,TF_Dato,$A417))*2,0)/2)))</f>
        <v/>
      </c>
      <c r="O417">
        <f>IF(OR(O$4="",$A417&gt;TODAY()),0,IF(OR(INDEX($B417:$D417,O$5)="F",AND(O$6&gt;0,$A417&lt;O$6),AND(O$7&gt;0,$A417&gt;O$7)),0,MAX(0,ROUND((INDEX($E417:$G417,O$5)-SUMIFS(TF_Timer,TF_Tekniker,O$4,TF_Dato,$A417))*2,0)/2)))</f>
        <v/>
      </c>
      <c r="P417">
        <f>IF(OR(P$4="",$A417&gt;TODAY()),0,IF(OR(INDEX($B417:$D417,P$5)="F",AND(P$6&gt;0,$A417&lt;P$6),AND(P$7&gt;0,$A417&gt;P$7)),0,MAX(0,ROUND((INDEX($E417:$G417,P$5)-SUMIFS(TF_Timer,TF_Tekniker,P$4,TF_Dato,$A417))*2,0)/2)))</f>
        <v/>
      </c>
      <c r="Q417">
        <f>IF(OR(Q$4="",$A417&gt;TODAY()),0,IF(OR(INDEX($B417:$D417,Q$5)="F",AND(Q$6&gt;0,$A417&lt;Q$6),AND(Q$7&gt;0,$A417&gt;Q$7)),0,MAX(0,ROUND((INDEX($E417:$G417,Q$5)-SUMIFS(TF_Timer,TF_Tekniker,Q$4,TF_Dato,$A417))*2,0)/2)))</f>
        <v/>
      </c>
      <c r="R417">
        <f>IF(OR(R$4="",$A417&gt;TODAY()),0,IF(OR(INDEX($B417:$D417,R$5)="F",AND(R$6&gt;0,$A417&lt;R$6),AND(R$7&gt;0,$A417&gt;R$7)),0,MAX(0,ROUND((INDEX($E417:$G417,R$5)-SUMIFS(TF_Timer,TF_Tekniker,R$4,TF_Dato,$A417))*2,0)/2)))</f>
        <v/>
      </c>
      <c r="S417">
        <f>IF(OR(S$4="",$A417&gt;TODAY()),0,IF(OR(INDEX($B417:$D417,S$5)="F",AND(S$6&gt;0,$A417&lt;S$6),AND(S$7&gt;0,$A417&gt;S$7)),0,MAX(0,ROUND((INDEX($E417:$G417,S$5)-SUMIFS(TF_Timer,TF_Tekniker,S$4,TF_Dato,$A417))*2,0)/2)))</f>
        <v/>
      </c>
      <c r="T417">
        <f>IF(OR(T$4="",$A417&gt;TODAY()),0,IF(OR(INDEX($B417:$D417,T$5)="F",AND(T$6&gt;0,$A417&lt;T$6),AND(T$7&gt;0,$A417&gt;T$7)),0,MAX(0,ROUND((INDEX($E417:$G417,T$5)-SUMIFS(TF_Timer,TF_Tekniker,T$4,TF_Dato,$A417))*2,0)/2)))</f>
        <v/>
      </c>
      <c r="U417">
        <f>IF(OR(U$4="",$A417&gt;TODAY()),0,IF(OR(INDEX($B417:$D417,U$5)="F",AND(U$6&gt;0,$A417&lt;U$6),AND(U$7&gt;0,$A417&gt;U$7)),0,MAX(0,ROUND((INDEX($E417:$G417,U$5)-SUMIFS(TF_Timer,TF_Tekniker,U$4,TF_Dato,$A417))*2,0)/2)))</f>
        <v/>
      </c>
      <c r="V417">
        <f>IF(OR(V$4="",$A417&gt;TODAY()),0,IF(OR(INDEX($B417:$D417,V$5)="F",AND(V$6&gt;0,$A417&lt;V$6),AND(V$7&gt;0,$A417&gt;V$7)),0,MAX(0,ROUND((INDEX($E417:$G417,V$5)-SUMIFS(TF_Timer,TF_Tekniker,V$4,TF_Dato,$A417))*2,0)/2)))</f>
        <v/>
      </c>
      <c r="W417">
        <f>IF(OR(W$4="",$A417&gt;TODAY()),0,IF(OR(INDEX($B417:$D417,W$5)="F",AND(W$6&gt;0,$A417&lt;W$6),AND(W$7&gt;0,$A417&gt;W$7)),0,MAX(0,ROUND((INDEX($E417:$G417,W$5)-SUMIFS(TF_Timer,TF_Tekniker,W$4,TF_Dato,$A417))*2,0)/2)))</f>
        <v/>
      </c>
      <c r="X417">
        <f>IF(OR(X$4="",$A417&gt;TODAY()),0,IF(OR(INDEX($B417:$D417,X$5)="F",AND(X$6&gt;0,$A417&lt;X$6),AND(X$7&gt;0,$A417&gt;X$7)),0,MAX(0,ROUND((INDEX($E417:$G417,X$5)-SUMIFS(TF_Timer,TF_Tekniker,X$4,TF_Dato,$A417))*2,0)/2)))</f>
        <v/>
      </c>
      <c r="Y417">
        <f>IF(OR(Y$4="",$A417&gt;TODAY()),0,IF(OR(INDEX($B417:$D417,Y$5)="F",AND(Y$6&gt;0,$A417&lt;Y$6),AND(Y$7&gt;0,$A417&gt;Y$7)),0,MAX(0,ROUND((INDEX($E417:$G417,Y$5)-SUMIFS(TF_Timer,TF_Tekniker,Y$4,TF_Dato,$A417))*2,0)/2)))</f>
        <v/>
      </c>
      <c r="Z417">
        <f>IF(OR(Z$4="",$A417&gt;TODAY()),0,IF(OR(INDEX($B417:$D417,Z$5)="F",AND(Z$6&gt;0,$A417&lt;Z$6),AND(Z$7&gt;0,$A417&gt;Z$7)),0,MAX(0,ROUND((INDEX($E417:$G417,Z$5)-SUMIFS(TF_Timer,TF_Tekniker,Z$4,TF_Dato,$A417))*2,0)/2)))</f>
        <v/>
      </c>
      <c r="AA417">
        <f>IF(OR(AA$4="",$A417&gt;TODAY()),0,IF(OR(INDEX($B417:$D417,AA$5)="F",AND(AA$6&gt;0,$A417&lt;AA$6),AND(AA$7&gt;0,$A417&gt;AA$7)),0,MAX(0,ROUND((INDEX($E417:$G417,AA$5)-SUMIFS(TF_Timer,TF_Tekniker,AA$4,TF_Dato,$A417))*2,0)/2)))</f>
        <v/>
      </c>
      <c r="AB417">
        <f>IF(OR(AB$4="",$A417&gt;TODAY()),0,IF(OR(INDEX($B417:$D417,AB$5)="F",AND(AB$6&gt;0,$A417&lt;AB$6),AND(AB$7&gt;0,$A417&gt;AB$7)),0,MAX(0,ROUND((INDEX($E417:$G417,AB$5)-SUMIFS(TF_Timer,TF_Tekniker,AB$4,TF_Dato,$A417))*2,0)/2)))</f>
        <v/>
      </c>
      <c r="AC417">
        <f>IF(OR(AC$4="",$A417&gt;TODAY()),0,IF(OR(INDEX($B417:$D417,AC$5)="F",AND(AC$6&gt;0,$A417&lt;AC$6),AND(AC$7&gt;0,$A417&gt;AC$7)),0,MAX(0,ROUND((INDEX($E417:$G417,AC$5)-SUMIFS(TF_Timer,TF_Tekniker,AC$4,TF_Dato,$A417))*2,0)/2)))</f>
        <v/>
      </c>
      <c r="AD417">
        <f>IF(OR(AD$4="",$A417&gt;TODAY()),0,IF(OR(INDEX($B417:$D417,AD$5)="F",AND(AD$6&gt;0,$A417&lt;AD$6),AND(AD$7&gt;0,$A417&gt;AD$7)),0,MAX(0,ROUND((INDEX($E417:$G417,AD$5)-SUMIFS(TF_Timer,TF_Tekniker,AD$4,TF_Dato,$A417))*2,0)/2)))</f>
        <v/>
      </c>
      <c r="AE417">
        <f>IF(OR(AE$4="",$A417&gt;TODAY()),0,IF(OR(INDEX($B417:$D417,AE$5)="F",AND(AE$6&gt;0,$A417&lt;AE$6),AND(AE$7&gt;0,$A417&gt;AE$7)),0,MAX(0,ROUND((INDEX($E417:$G417,AE$5)-SUMIFS(TF_Timer,TF_Tekniker,AE$4,TF_Dato,$A417))*2,0)/2)))</f>
        <v/>
      </c>
      <c r="AF417">
        <f>IF(OR(AF$4="",$A417&gt;TODAY()),0,IF(OR(INDEX($B417:$D417,AF$5)="F",AND(AF$6&gt;0,$A417&lt;AF$6),AND(AF$7&gt;0,$A417&gt;AF$7)),0,MAX(0,ROUND((INDEX($E417:$G417,AF$5)-SUMIFS(TF_Timer,TF_Tekniker,AF$4,TF_Dato,$A417))*2,0)/2)))</f>
        <v/>
      </c>
      <c r="AG417">
        <f>IF(OR(AG$4="",$A417&gt;TODAY()),0,IF(OR(INDEX($B417:$D417,AG$5)="F",AND(AG$6&gt;0,$A417&lt;AG$6),AND(AG$7&gt;0,$A417&gt;AG$7)),0,MAX(0,ROUND((INDEX($E417:$G417,AG$5)-SUMIFS(TF_Timer,TF_Tekniker,AG$4,TF_Dato,$A417))*2,0)/2)))</f>
        <v/>
      </c>
      <c r="AH417">
        <f>IF(OR(AH$4="",$A417&gt;TODAY()),0,IF(OR(INDEX($B417:$D417,AH$5)="F",AND(AH$6&gt;0,$A417&lt;AH$6),AND(AH$7&gt;0,$A417&gt;AH$7)),0,MAX(0,ROUND((INDEX($E417:$G417,AH$5)-SUMIFS(TF_Timer,TF_Tekniker,AH$4,TF_Dato,$A417))*2,0)/2)))</f>
        <v/>
      </c>
      <c r="AI417">
        <f>IF(OR(AI$4="",$A417&gt;TODAY()),0,IF(OR(INDEX($B417:$D417,AI$5)="F",AND(AI$6&gt;0,$A417&lt;AI$6),AND(AI$7&gt;0,$A417&gt;AI$7)),0,MAX(0,ROUND((INDEX($E417:$G417,AI$5)-SUMIFS(TF_Timer,TF_Tekniker,AI$4,TF_Dato,$A417))*2,0)/2)))</f>
        <v/>
      </c>
      <c r="AJ417">
        <f>IF(OR(AJ$4="",$A417&gt;TODAY()),0,IF(OR(INDEX($B417:$D417,AJ$5)="F",AND(AJ$6&gt;0,$A417&lt;AJ$6),AND(AJ$7&gt;0,$A417&gt;AJ$7)),0,MAX(0,ROUND((INDEX($E417:$G417,AJ$5)-SUMIFS(TF_Timer,TF_Tekniker,AJ$4,TF_Dato,$A417))*2,0)/2)))</f>
        <v/>
      </c>
      <c r="AK417">
        <f>IF(OR(AK$4="",$A417&gt;TODAY()),0,IF(OR(INDEX($B417:$D417,AK$5)="F",AND(AK$6&gt;0,$A417&lt;AK$6),AND(AK$7&gt;0,$A417&gt;AK$7)),0,MAX(0,ROUND((INDEX($E417:$G417,AK$5)-SUMIFS(TF_Timer,TF_Tekniker,AK$4,TF_Dato,$A417))*2,0)/2)))</f>
        <v/>
      </c>
      <c r="AL417">
        <f>IF(OR(AL$4="",$A417&gt;TODAY()),0,IF(OR(INDEX($B417:$D417,AL$5)="F",AND(AL$6&gt;0,$A417&lt;AL$6),AND(AL$7&gt;0,$A417&gt;AL$7)),0,MAX(0,ROUND((INDEX($E417:$G417,AL$5)-SUMIFS(TF_Timer,TF_Tekniker,AL$4,TF_Dato,$A417))*2,0)/2)))</f>
        <v/>
      </c>
      <c r="AM417">
        <f>IF(OR(AM$4="",$A417&gt;TODAY()),0,IF(OR(INDEX($B417:$D417,AM$5)="F",AND(AM$6&gt;0,$A417&lt;AM$6),AND(AM$7&gt;0,$A417&gt;AM$7)),0,MAX(0,ROUND((INDEX($E417:$G417,AM$5)-SUMIFS(TF_Timer,TF_Tekniker,AM$4,TF_Dato,$A417))*2,0)/2)))</f>
        <v/>
      </c>
      <c r="AN417">
        <f>IF(OR(AN$4="",$A417&gt;TODAY()),0,IF(OR(INDEX($B417:$D417,AN$5)="F",AND(AN$6&gt;0,$A417&lt;AN$6),AND(AN$7&gt;0,$A417&gt;AN$7)),0,MAX(0,ROUND((INDEX($E417:$G417,AN$5)-SUMIFS(TF_Timer,TF_Tekniker,AN$4,TF_Dato,$A417))*2,0)/2)))</f>
        <v/>
      </c>
      <c r="AO417">
        <f>IF(OR(AO$4="",$A417&gt;TODAY()),0,IF(OR(INDEX($B417:$D417,AO$5)="F",AND(AO$6&gt;0,$A417&lt;AO$6),AND(AO$7&gt;0,$A417&gt;AO$7)),0,MAX(0,ROUND((INDEX($E417:$G417,AO$5)-SUMIFS(TF_Timer,TF_Tekniker,AO$4,TF_Dato,$A417))*2,0)/2)))</f>
        <v/>
      </c>
      <c r="AP417">
        <f>IF(OR(AP$4="",$A417&gt;TODAY()),0,IF(OR(INDEX($B417:$D417,AP$5)="F",AND(AP$6&gt;0,$A417&lt;AP$6),AND(AP$7&gt;0,$A417&gt;AP$7)),0,MAX(0,ROUND((INDEX($E417:$G417,AP$5)-SUMIFS(TF_Timer,TF_Tekniker,AP$4,TF_Dato,$A417))*2,0)/2)))</f>
        <v/>
      </c>
      <c r="AQ417">
        <f>IF(OR(AQ$4="",$A417&gt;TODAY()),0,IF(OR(INDEX($B417:$D417,AQ$5)="F",AND(AQ$6&gt;0,$A417&lt;AQ$6),AND(AQ$7&gt;0,$A417&gt;AQ$7)),0,MAX(0,ROUND((INDEX($E417:$G417,AQ$5)-SUMIFS(TF_Timer,TF_Tekniker,AQ$4,TF_Dato,$A417))*2,0)/2)))</f>
        <v/>
      </c>
      <c r="AR417">
        <f>IF(OR(AR$4="",$A417&gt;TODAY()),0,IF(OR(INDEX($B417:$D417,AR$5)="F",AND(AR$6&gt;0,$A417&lt;AR$6),AND(AR$7&gt;0,$A417&gt;AR$7)),0,MAX(0,ROUND((INDEX($E417:$G417,AR$5)-SUMIFS(TF_Timer,TF_Tekniker,AR$4,TF_Dato,$A417))*2,0)/2)))</f>
        <v/>
      </c>
      <c r="AS417">
        <f>IF(OR(AS$4="",$A417&gt;TODAY()),0,IF(OR(INDEX($B417:$D417,AS$5)="F",AND(AS$6&gt;0,$A417&lt;AS$6),AND(AS$7&gt;0,$A417&gt;AS$7)),0,MAX(0,ROUND((INDEX($E417:$G417,AS$5)-SUMIFS(TF_Timer,TF_Tekniker,AS$4,TF_Dato,$A417))*2,0)/2)))</f>
        <v/>
      </c>
      <c r="AT417">
        <f>IF(OR(AT$4="",$A417&gt;TODAY()),0,IF(OR(INDEX($B417:$D417,AT$5)="F",AND(AT$6&gt;0,$A417&lt;AT$6),AND(AT$7&gt;0,$A417&gt;AT$7)),0,MAX(0,ROUND((INDEX($E417:$G417,AT$5)-SUMIFS(TF_Timer,TF_Tekniker,AT$4,TF_Dato,$A417))*2,0)/2)))</f>
        <v/>
      </c>
      <c r="AU417">
        <f>IF(OR(AU$4="",$A417&gt;TODAY()),0,IF(OR(INDEX($B417:$D417,AU$5)="F",AND(AU$6&gt;0,$A417&lt;AU$6),AND(AU$7&gt;0,$A417&gt;AU$7)),0,MAX(0,ROUND((INDEX($E417:$G417,AU$5)-SUMIFS(TF_Timer,TF_Tekniker,AU$4,TF_Dato,$A417))*2,0)/2)))</f>
        <v/>
      </c>
      <c r="AV417">
        <f>IF(OR(AV$4="",$A417&gt;TODAY()),0,IF(OR(INDEX($B417:$D417,AV$5)="F",AND(AV$6&gt;0,$A417&lt;AV$6),AND(AV$7&gt;0,$A417&gt;AV$7)),0,MAX(0,ROUND((INDEX($E417:$G417,AV$5)-SUMIFS(TF_Timer,TF_Tekniker,AV$4,TF_Dato,$A417))*2,0)/2)))</f>
        <v/>
      </c>
      <c r="AW417">
        <f>IF(OR(AW$4="",$A417&gt;TODAY()),0,IF(OR(INDEX($B417:$D417,AW$5)="F",AND(AW$6&gt;0,$A417&lt;AW$6),AND(AW$7&gt;0,$A417&gt;AW$7)),0,MAX(0,ROUND((INDEX($E417:$G417,AW$5)-SUMIFS(TF_Timer,TF_Tekniker,AW$4,TF_Dato,$A417))*2,0)/2)))</f>
        <v/>
      </c>
      <c r="AX417">
        <f>IF(OR(AX$4="",$A417&gt;TODAY()),0,IF(OR(INDEX($B417:$D417,AX$5)="F",AND(AX$6&gt;0,$A417&lt;AX$6),AND(AX$7&gt;0,$A417&gt;AX$7)),0,MAX(0,ROUND((INDEX($E417:$G417,AX$5)-SUMIFS(TF_Timer,TF_Tekniker,AX$4,TF_Dato,$A417))*2,0)/2)))</f>
        <v/>
      </c>
      <c r="AY417">
        <f>IF(OR(AY$4="",$A417&gt;TODAY()),0,IF(OR(INDEX($B417:$D417,AY$5)="F",AND(AY$6&gt;0,$A417&lt;AY$6),AND(AY$7&gt;0,$A417&gt;AY$7)),0,MAX(0,ROUND((INDEX($E417:$G417,AY$5)-SUMIFS(TF_Timer,TF_Tekniker,AY$4,TF_Dato,$A417))*2,0)/2)))</f>
        <v/>
      </c>
      <c r="AZ417">
        <f>IF(OR(AZ$4="",$A417&gt;TODAY()),0,IF(OR(INDEX($B417:$D417,AZ$5)="F",AND(AZ$6&gt;0,$A417&lt;AZ$6),AND(AZ$7&gt;0,$A417&gt;AZ$7)),0,MAX(0,ROUND((INDEX($E417:$G417,AZ$5)-SUMIFS(TF_Timer,TF_Tekniker,AZ$4,TF_Dato,$A417))*2,0)/2)))</f>
        <v/>
      </c>
      <c r="BA417">
        <f>IF(OR(BA$4="",$A417&gt;TODAY()),0,IF(OR(INDEX($B417:$D417,BA$5)="F",AND(BA$6&gt;0,$A417&lt;BA$6),AND(BA$7&gt;0,$A417&gt;BA$7)),0,MAX(0,ROUND((INDEX($E417:$G417,BA$5)-SUMIFS(TF_Timer,TF_Tekniker,BA$4,TF_Dato,$A417))*2,0)/2)))</f>
        <v/>
      </c>
      <c r="BB417">
        <f>IF(OR(BB$4="",$A417&gt;TODAY()),0,IF(OR(INDEX($B417:$D417,BB$5)="F",AND(BB$6&gt;0,$A417&lt;BB$6),AND(BB$7&gt;0,$A417&gt;BB$7)),0,MAX(0,ROUND((INDEX($E417:$G417,BB$5)-SUMIFS(TF_Timer,TF_Tekniker,BB$4,TF_Dato,$A417))*2,0)/2)))</f>
        <v/>
      </c>
      <c r="BC417">
        <f>IF(OR(BC$4="",$A417&gt;TODAY()),0,IF(OR(INDEX($B417:$D417,BC$5)="F",AND(BC$6&gt;0,$A417&lt;BC$6),AND(BC$7&gt;0,$A417&gt;BC$7)),0,MAX(0,ROUND((INDEX($E417:$G417,BC$5)-SUMIFS(TF_Timer,TF_Tekniker,BC$4,TF_Dato,$A417))*2,0)/2)))</f>
        <v/>
      </c>
      <c r="BD417">
        <f>IF(OR(BD$4="",$A417&gt;TODAY()),0,IF(OR(INDEX($B417:$D417,BD$5)="F",AND(BD$6&gt;0,$A417&lt;BD$6),AND(BD$7&gt;0,$A417&gt;BD$7)),0,MAX(0,ROUND((INDEX($E417:$G417,BD$5)-SUMIFS(TF_Timer,TF_Tekniker,BD$4,TF_Dato,$A417))*2,0)/2)))</f>
        <v/>
      </c>
      <c r="BE417">
        <f>IF(OR(BE$4="",$A417&gt;TODAY()),0,IF(OR(INDEX($B417:$D417,BE$5)="F",AND(BE$6&gt;0,$A417&lt;BE$6),AND(BE$7&gt;0,$A417&gt;BE$7)),0,MAX(0,ROUND((INDEX($E417:$G417,BE$5)-SUMIFS(TF_Timer,TF_Tekniker,BE$4,TF_Dato,$A417))*2,0)/2)))</f>
        <v/>
      </c>
      <c r="BF417">
        <f>IF(OR(BF$4="",$A417&gt;TODAY()),0,IF(OR(INDEX($B417:$D417,BF$5)="F",AND(BF$6&gt;0,$A417&lt;BF$6),AND(BF$7&gt;0,$A417&gt;BF$7)),0,MAX(0,ROUND((INDEX($E417:$G417,BF$5)-SUMIFS(TF_Timer,TF_Tekniker,BF$4,TF_Dato,$A417))*2,0)/2)))</f>
        <v/>
      </c>
      <c r="BG417">
        <f>IF(OR(BG$4="",$A417&gt;TODAY()),0,IF(OR(INDEX($B417:$D417,BG$5)="F",AND(BG$6&gt;0,$A417&lt;BG$6),AND(BG$7&gt;0,$A417&gt;BG$7)),0,MAX(0,ROUND((INDEX($E417:$G417,BG$5)-SUMIFS(TF_Timer,TF_Tekniker,BG$4,TF_Dato,$A417))*2,0)/2)))</f>
        <v/>
      </c>
      <c r="BH417">
        <f>IF(OR(BH$4="",$A417&gt;TODAY()),0,IF(OR(INDEX($B417:$D417,BH$5)="F",AND(BH$6&gt;0,$A417&lt;BH$6),AND(BH$7&gt;0,$A417&gt;BH$7)),0,MAX(0,ROUND((INDEX($E417:$G417,BH$5)-SUMIFS(TF_Timer,TF_Tekniker,BH$4,TF_Dato,$A417))*2,0)/2)))</f>
        <v/>
      </c>
      <c r="BI417">
        <f>IF(OR(BI$4="",$A417&gt;TODAY()),0,IF(OR(INDEX($B417:$D417,BI$5)="F",AND(BI$6&gt;0,$A417&lt;BI$6),AND(BI$7&gt;0,$A417&gt;BI$7)),0,MAX(0,ROUND((INDEX($E417:$G417,BI$5)-SUMIFS(TF_Timer,TF_Tekniker,BI$4,TF_Dato,$A417))*2,0)/2)))</f>
        <v/>
      </c>
    </row>
    <row r="418">
      <c r="A418" s="64">
        <f>A417+1</f>
        <v/>
      </c>
      <c r="B418">
        <f>IF(MOD($A418-INDEX(SkiftStart,1),Syklus)&lt;DagK,"K",IF(MOD($A418-INDEX(SkiftStart,1),Syklus)&lt;DagK+DagH,"H",IF(MOD($A418-INDEX(SkiftStart,1),Syklus)&lt;DagK+DagH+DagD,"D","F")))</f>
        <v/>
      </c>
      <c r="C418">
        <f>IF(MOD($A418-INDEX(SkiftStart,2),Syklus)&lt;DagK,"K",IF(MOD($A418-INDEX(SkiftStart,2),Syklus)&lt;DagK+DagH,"H",IF(MOD($A418-INDEX(SkiftStart,2),Syklus)&lt;DagK+DagH+DagD,"D","F")))</f>
        <v/>
      </c>
      <c r="D418">
        <f>IF(MOD($A418-INDEX(SkiftStart,3),Syklus)&lt;DagK,"K",IF(MOD($A418-INDEX(SkiftStart,3),Syklus)&lt;DagK+DagH,"H",IF(MOD($A418-INDEX(SkiftStart,3),Syklus)&lt;DagK+DagH+DagD,"D","F")))</f>
        <v/>
      </c>
      <c r="E418">
        <f>IF(B418="F",0,IF(WEEKDAY($A418,2)=5,INDEX(TimerFr,MATCH(B418,FaseKode,0)),INDEX(TimerMT,MATCH(B418,FaseKode,0))))</f>
        <v/>
      </c>
      <c r="F418">
        <f>IF(C418="F",0,IF(WEEKDAY($A418,2)=5,INDEX(TimerFr,MATCH(C418,FaseKode,0)),INDEX(TimerMT,MATCH(C418,FaseKode,0))))</f>
        <v/>
      </c>
      <c r="G418">
        <f>IF(D418="F",0,IF(WEEKDAY($A418,2)=5,INDEX(TimerFr,MATCH(D418,FaseKode,0)),INDEX(TimerMT,MATCH(D418,FaseKode,0))))</f>
        <v/>
      </c>
      <c r="H418">
        <f>IF(OR(H$4="",$A418&gt;TODAY()),0,IF(OR(INDEX($B418:$D418,H$5)="F",AND(H$6&gt;0,$A418&lt;H$6),AND(H$7&gt;0,$A418&gt;H$7)),0,MAX(0,ROUND((INDEX($E418:$G418,H$5)-SUMIFS(TF_Timer,TF_Tekniker,H$4,TF_Dato,$A418))*2,0)/2)))</f>
        <v/>
      </c>
      <c r="I418">
        <f>IF(OR(I$4="",$A418&gt;TODAY()),0,IF(OR(INDEX($B418:$D418,I$5)="F",AND(I$6&gt;0,$A418&lt;I$6),AND(I$7&gt;0,$A418&gt;I$7)),0,MAX(0,ROUND((INDEX($E418:$G418,I$5)-SUMIFS(TF_Timer,TF_Tekniker,I$4,TF_Dato,$A418))*2,0)/2)))</f>
        <v/>
      </c>
      <c r="J418">
        <f>IF(OR(J$4="",$A418&gt;TODAY()),0,IF(OR(INDEX($B418:$D418,J$5)="F",AND(J$6&gt;0,$A418&lt;J$6),AND(J$7&gt;0,$A418&gt;J$7)),0,MAX(0,ROUND((INDEX($E418:$G418,J$5)-SUMIFS(TF_Timer,TF_Tekniker,J$4,TF_Dato,$A418))*2,0)/2)))</f>
        <v/>
      </c>
      <c r="K418">
        <f>IF(OR(K$4="",$A418&gt;TODAY()),0,IF(OR(INDEX($B418:$D418,K$5)="F",AND(K$6&gt;0,$A418&lt;K$6),AND(K$7&gt;0,$A418&gt;K$7)),0,MAX(0,ROUND((INDEX($E418:$G418,K$5)-SUMIFS(TF_Timer,TF_Tekniker,K$4,TF_Dato,$A418))*2,0)/2)))</f>
        <v/>
      </c>
      <c r="L418">
        <f>IF(OR(L$4="",$A418&gt;TODAY()),0,IF(OR(INDEX($B418:$D418,L$5)="F",AND(L$6&gt;0,$A418&lt;L$6),AND(L$7&gt;0,$A418&gt;L$7)),0,MAX(0,ROUND((INDEX($E418:$G418,L$5)-SUMIFS(TF_Timer,TF_Tekniker,L$4,TF_Dato,$A418))*2,0)/2)))</f>
        <v/>
      </c>
      <c r="M418">
        <f>IF(OR(M$4="",$A418&gt;TODAY()),0,IF(OR(INDEX($B418:$D418,M$5)="F",AND(M$6&gt;0,$A418&lt;M$6),AND(M$7&gt;0,$A418&gt;M$7)),0,MAX(0,ROUND((INDEX($E418:$G418,M$5)-SUMIFS(TF_Timer,TF_Tekniker,M$4,TF_Dato,$A418))*2,0)/2)))</f>
        <v/>
      </c>
      <c r="N418">
        <f>IF(OR(N$4="",$A418&gt;TODAY()),0,IF(OR(INDEX($B418:$D418,N$5)="F",AND(N$6&gt;0,$A418&lt;N$6),AND(N$7&gt;0,$A418&gt;N$7)),0,MAX(0,ROUND((INDEX($E418:$G418,N$5)-SUMIFS(TF_Timer,TF_Tekniker,N$4,TF_Dato,$A418))*2,0)/2)))</f>
        <v/>
      </c>
      <c r="O418">
        <f>IF(OR(O$4="",$A418&gt;TODAY()),0,IF(OR(INDEX($B418:$D418,O$5)="F",AND(O$6&gt;0,$A418&lt;O$6),AND(O$7&gt;0,$A418&gt;O$7)),0,MAX(0,ROUND((INDEX($E418:$G418,O$5)-SUMIFS(TF_Timer,TF_Tekniker,O$4,TF_Dato,$A418))*2,0)/2)))</f>
        <v/>
      </c>
      <c r="P418">
        <f>IF(OR(P$4="",$A418&gt;TODAY()),0,IF(OR(INDEX($B418:$D418,P$5)="F",AND(P$6&gt;0,$A418&lt;P$6),AND(P$7&gt;0,$A418&gt;P$7)),0,MAX(0,ROUND((INDEX($E418:$G418,P$5)-SUMIFS(TF_Timer,TF_Tekniker,P$4,TF_Dato,$A418))*2,0)/2)))</f>
        <v/>
      </c>
      <c r="Q418">
        <f>IF(OR(Q$4="",$A418&gt;TODAY()),0,IF(OR(INDEX($B418:$D418,Q$5)="F",AND(Q$6&gt;0,$A418&lt;Q$6),AND(Q$7&gt;0,$A418&gt;Q$7)),0,MAX(0,ROUND((INDEX($E418:$G418,Q$5)-SUMIFS(TF_Timer,TF_Tekniker,Q$4,TF_Dato,$A418))*2,0)/2)))</f>
        <v/>
      </c>
      <c r="R418">
        <f>IF(OR(R$4="",$A418&gt;TODAY()),0,IF(OR(INDEX($B418:$D418,R$5)="F",AND(R$6&gt;0,$A418&lt;R$6),AND(R$7&gt;0,$A418&gt;R$7)),0,MAX(0,ROUND((INDEX($E418:$G418,R$5)-SUMIFS(TF_Timer,TF_Tekniker,R$4,TF_Dato,$A418))*2,0)/2)))</f>
        <v/>
      </c>
      <c r="S418">
        <f>IF(OR(S$4="",$A418&gt;TODAY()),0,IF(OR(INDEX($B418:$D418,S$5)="F",AND(S$6&gt;0,$A418&lt;S$6),AND(S$7&gt;0,$A418&gt;S$7)),0,MAX(0,ROUND((INDEX($E418:$G418,S$5)-SUMIFS(TF_Timer,TF_Tekniker,S$4,TF_Dato,$A418))*2,0)/2)))</f>
        <v/>
      </c>
      <c r="T418">
        <f>IF(OR(T$4="",$A418&gt;TODAY()),0,IF(OR(INDEX($B418:$D418,T$5)="F",AND(T$6&gt;0,$A418&lt;T$6),AND(T$7&gt;0,$A418&gt;T$7)),0,MAX(0,ROUND((INDEX($E418:$G418,T$5)-SUMIFS(TF_Timer,TF_Tekniker,T$4,TF_Dato,$A418))*2,0)/2)))</f>
        <v/>
      </c>
      <c r="U418">
        <f>IF(OR(U$4="",$A418&gt;TODAY()),0,IF(OR(INDEX($B418:$D418,U$5)="F",AND(U$6&gt;0,$A418&lt;U$6),AND(U$7&gt;0,$A418&gt;U$7)),0,MAX(0,ROUND((INDEX($E418:$G418,U$5)-SUMIFS(TF_Timer,TF_Tekniker,U$4,TF_Dato,$A418))*2,0)/2)))</f>
        <v/>
      </c>
      <c r="V418">
        <f>IF(OR(V$4="",$A418&gt;TODAY()),0,IF(OR(INDEX($B418:$D418,V$5)="F",AND(V$6&gt;0,$A418&lt;V$6),AND(V$7&gt;0,$A418&gt;V$7)),0,MAX(0,ROUND((INDEX($E418:$G418,V$5)-SUMIFS(TF_Timer,TF_Tekniker,V$4,TF_Dato,$A418))*2,0)/2)))</f>
        <v/>
      </c>
      <c r="W418">
        <f>IF(OR(W$4="",$A418&gt;TODAY()),0,IF(OR(INDEX($B418:$D418,W$5)="F",AND(W$6&gt;0,$A418&lt;W$6),AND(W$7&gt;0,$A418&gt;W$7)),0,MAX(0,ROUND((INDEX($E418:$G418,W$5)-SUMIFS(TF_Timer,TF_Tekniker,W$4,TF_Dato,$A418))*2,0)/2)))</f>
        <v/>
      </c>
      <c r="X418">
        <f>IF(OR(X$4="",$A418&gt;TODAY()),0,IF(OR(INDEX($B418:$D418,X$5)="F",AND(X$6&gt;0,$A418&lt;X$6),AND(X$7&gt;0,$A418&gt;X$7)),0,MAX(0,ROUND((INDEX($E418:$G418,X$5)-SUMIFS(TF_Timer,TF_Tekniker,X$4,TF_Dato,$A418))*2,0)/2)))</f>
        <v/>
      </c>
      <c r="Y418">
        <f>IF(OR(Y$4="",$A418&gt;TODAY()),0,IF(OR(INDEX($B418:$D418,Y$5)="F",AND(Y$6&gt;0,$A418&lt;Y$6),AND(Y$7&gt;0,$A418&gt;Y$7)),0,MAX(0,ROUND((INDEX($E418:$G418,Y$5)-SUMIFS(TF_Timer,TF_Tekniker,Y$4,TF_Dato,$A418))*2,0)/2)))</f>
        <v/>
      </c>
      <c r="Z418">
        <f>IF(OR(Z$4="",$A418&gt;TODAY()),0,IF(OR(INDEX($B418:$D418,Z$5)="F",AND(Z$6&gt;0,$A418&lt;Z$6),AND(Z$7&gt;0,$A418&gt;Z$7)),0,MAX(0,ROUND((INDEX($E418:$G418,Z$5)-SUMIFS(TF_Timer,TF_Tekniker,Z$4,TF_Dato,$A418))*2,0)/2)))</f>
        <v/>
      </c>
      <c r="AA418">
        <f>IF(OR(AA$4="",$A418&gt;TODAY()),0,IF(OR(INDEX($B418:$D418,AA$5)="F",AND(AA$6&gt;0,$A418&lt;AA$6),AND(AA$7&gt;0,$A418&gt;AA$7)),0,MAX(0,ROUND((INDEX($E418:$G418,AA$5)-SUMIFS(TF_Timer,TF_Tekniker,AA$4,TF_Dato,$A418))*2,0)/2)))</f>
        <v/>
      </c>
      <c r="AB418">
        <f>IF(OR(AB$4="",$A418&gt;TODAY()),0,IF(OR(INDEX($B418:$D418,AB$5)="F",AND(AB$6&gt;0,$A418&lt;AB$6),AND(AB$7&gt;0,$A418&gt;AB$7)),0,MAX(0,ROUND((INDEX($E418:$G418,AB$5)-SUMIFS(TF_Timer,TF_Tekniker,AB$4,TF_Dato,$A418))*2,0)/2)))</f>
        <v/>
      </c>
      <c r="AC418">
        <f>IF(OR(AC$4="",$A418&gt;TODAY()),0,IF(OR(INDEX($B418:$D418,AC$5)="F",AND(AC$6&gt;0,$A418&lt;AC$6),AND(AC$7&gt;0,$A418&gt;AC$7)),0,MAX(0,ROUND((INDEX($E418:$G418,AC$5)-SUMIFS(TF_Timer,TF_Tekniker,AC$4,TF_Dato,$A418))*2,0)/2)))</f>
        <v/>
      </c>
      <c r="AD418">
        <f>IF(OR(AD$4="",$A418&gt;TODAY()),0,IF(OR(INDEX($B418:$D418,AD$5)="F",AND(AD$6&gt;0,$A418&lt;AD$6),AND(AD$7&gt;0,$A418&gt;AD$7)),0,MAX(0,ROUND((INDEX($E418:$G418,AD$5)-SUMIFS(TF_Timer,TF_Tekniker,AD$4,TF_Dato,$A418))*2,0)/2)))</f>
        <v/>
      </c>
      <c r="AE418">
        <f>IF(OR(AE$4="",$A418&gt;TODAY()),0,IF(OR(INDEX($B418:$D418,AE$5)="F",AND(AE$6&gt;0,$A418&lt;AE$6),AND(AE$7&gt;0,$A418&gt;AE$7)),0,MAX(0,ROUND((INDEX($E418:$G418,AE$5)-SUMIFS(TF_Timer,TF_Tekniker,AE$4,TF_Dato,$A418))*2,0)/2)))</f>
        <v/>
      </c>
      <c r="AF418">
        <f>IF(OR(AF$4="",$A418&gt;TODAY()),0,IF(OR(INDEX($B418:$D418,AF$5)="F",AND(AF$6&gt;0,$A418&lt;AF$6),AND(AF$7&gt;0,$A418&gt;AF$7)),0,MAX(0,ROUND((INDEX($E418:$G418,AF$5)-SUMIFS(TF_Timer,TF_Tekniker,AF$4,TF_Dato,$A418))*2,0)/2)))</f>
        <v/>
      </c>
      <c r="AG418">
        <f>IF(OR(AG$4="",$A418&gt;TODAY()),0,IF(OR(INDEX($B418:$D418,AG$5)="F",AND(AG$6&gt;0,$A418&lt;AG$6),AND(AG$7&gt;0,$A418&gt;AG$7)),0,MAX(0,ROUND((INDEX($E418:$G418,AG$5)-SUMIFS(TF_Timer,TF_Tekniker,AG$4,TF_Dato,$A418))*2,0)/2)))</f>
        <v/>
      </c>
      <c r="AH418">
        <f>IF(OR(AH$4="",$A418&gt;TODAY()),0,IF(OR(INDEX($B418:$D418,AH$5)="F",AND(AH$6&gt;0,$A418&lt;AH$6),AND(AH$7&gt;0,$A418&gt;AH$7)),0,MAX(0,ROUND((INDEX($E418:$G418,AH$5)-SUMIFS(TF_Timer,TF_Tekniker,AH$4,TF_Dato,$A418))*2,0)/2)))</f>
        <v/>
      </c>
      <c r="AI418">
        <f>IF(OR(AI$4="",$A418&gt;TODAY()),0,IF(OR(INDEX($B418:$D418,AI$5)="F",AND(AI$6&gt;0,$A418&lt;AI$6),AND(AI$7&gt;0,$A418&gt;AI$7)),0,MAX(0,ROUND((INDEX($E418:$G418,AI$5)-SUMIFS(TF_Timer,TF_Tekniker,AI$4,TF_Dato,$A418))*2,0)/2)))</f>
        <v/>
      </c>
      <c r="AJ418">
        <f>IF(OR(AJ$4="",$A418&gt;TODAY()),0,IF(OR(INDEX($B418:$D418,AJ$5)="F",AND(AJ$6&gt;0,$A418&lt;AJ$6),AND(AJ$7&gt;0,$A418&gt;AJ$7)),0,MAX(0,ROUND((INDEX($E418:$G418,AJ$5)-SUMIFS(TF_Timer,TF_Tekniker,AJ$4,TF_Dato,$A418))*2,0)/2)))</f>
        <v/>
      </c>
      <c r="AK418">
        <f>IF(OR(AK$4="",$A418&gt;TODAY()),0,IF(OR(INDEX($B418:$D418,AK$5)="F",AND(AK$6&gt;0,$A418&lt;AK$6),AND(AK$7&gt;0,$A418&gt;AK$7)),0,MAX(0,ROUND((INDEX($E418:$G418,AK$5)-SUMIFS(TF_Timer,TF_Tekniker,AK$4,TF_Dato,$A418))*2,0)/2)))</f>
        <v/>
      </c>
      <c r="AL418">
        <f>IF(OR(AL$4="",$A418&gt;TODAY()),0,IF(OR(INDEX($B418:$D418,AL$5)="F",AND(AL$6&gt;0,$A418&lt;AL$6),AND(AL$7&gt;0,$A418&gt;AL$7)),0,MAX(0,ROUND((INDEX($E418:$G418,AL$5)-SUMIFS(TF_Timer,TF_Tekniker,AL$4,TF_Dato,$A418))*2,0)/2)))</f>
        <v/>
      </c>
      <c r="AM418">
        <f>IF(OR(AM$4="",$A418&gt;TODAY()),0,IF(OR(INDEX($B418:$D418,AM$5)="F",AND(AM$6&gt;0,$A418&lt;AM$6),AND(AM$7&gt;0,$A418&gt;AM$7)),0,MAX(0,ROUND((INDEX($E418:$G418,AM$5)-SUMIFS(TF_Timer,TF_Tekniker,AM$4,TF_Dato,$A418))*2,0)/2)))</f>
        <v/>
      </c>
      <c r="AN418">
        <f>IF(OR(AN$4="",$A418&gt;TODAY()),0,IF(OR(INDEX($B418:$D418,AN$5)="F",AND(AN$6&gt;0,$A418&lt;AN$6),AND(AN$7&gt;0,$A418&gt;AN$7)),0,MAX(0,ROUND((INDEX($E418:$G418,AN$5)-SUMIFS(TF_Timer,TF_Tekniker,AN$4,TF_Dato,$A418))*2,0)/2)))</f>
        <v/>
      </c>
      <c r="AO418">
        <f>IF(OR(AO$4="",$A418&gt;TODAY()),0,IF(OR(INDEX($B418:$D418,AO$5)="F",AND(AO$6&gt;0,$A418&lt;AO$6),AND(AO$7&gt;0,$A418&gt;AO$7)),0,MAX(0,ROUND((INDEX($E418:$G418,AO$5)-SUMIFS(TF_Timer,TF_Tekniker,AO$4,TF_Dato,$A418))*2,0)/2)))</f>
        <v/>
      </c>
      <c r="AP418">
        <f>IF(OR(AP$4="",$A418&gt;TODAY()),0,IF(OR(INDEX($B418:$D418,AP$5)="F",AND(AP$6&gt;0,$A418&lt;AP$6),AND(AP$7&gt;0,$A418&gt;AP$7)),0,MAX(0,ROUND((INDEX($E418:$G418,AP$5)-SUMIFS(TF_Timer,TF_Tekniker,AP$4,TF_Dato,$A418))*2,0)/2)))</f>
        <v/>
      </c>
      <c r="AQ418">
        <f>IF(OR(AQ$4="",$A418&gt;TODAY()),0,IF(OR(INDEX($B418:$D418,AQ$5)="F",AND(AQ$6&gt;0,$A418&lt;AQ$6),AND(AQ$7&gt;0,$A418&gt;AQ$7)),0,MAX(0,ROUND((INDEX($E418:$G418,AQ$5)-SUMIFS(TF_Timer,TF_Tekniker,AQ$4,TF_Dato,$A418))*2,0)/2)))</f>
        <v/>
      </c>
      <c r="AR418">
        <f>IF(OR(AR$4="",$A418&gt;TODAY()),0,IF(OR(INDEX($B418:$D418,AR$5)="F",AND(AR$6&gt;0,$A418&lt;AR$6),AND(AR$7&gt;0,$A418&gt;AR$7)),0,MAX(0,ROUND((INDEX($E418:$G418,AR$5)-SUMIFS(TF_Timer,TF_Tekniker,AR$4,TF_Dato,$A418))*2,0)/2)))</f>
        <v/>
      </c>
      <c r="AS418">
        <f>IF(OR(AS$4="",$A418&gt;TODAY()),0,IF(OR(INDEX($B418:$D418,AS$5)="F",AND(AS$6&gt;0,$A418&lt;AS$6),AND(AS$7&gt;0,$A418&gt;AS$7)),0,MAX(0,ROUND((INDEX($E418:$G418,AS$5)-SUMIFS(TF_Timer,TF_Tekniker,AS$4,TF_Dato,$A418))*2,0)/2)))</f>
        <v/>
      </c>
      <c r="AT418">
        <f>IF(OR(AT$4="",$A418&gt;TODAY()),0,IF(OR(INDEX($B418:$D418,AT$5)="F",AND(AT$6&gt;0,$A418&lt;AT$6),AND(AT$7&gt;0,$A418&gt;AT$7)),0,MAX(0,ROUND((INDEX($E418:$G418,AT$5)-SUMIFS(TF_Timer,TF_Tekniker,AT$4,TF_Dato,$A418))*2,0)/2)))</f>
        <v/>
      </c>
      <c r="AU418">
        <f>IF(OR(AU$4="",$A418&gt;TODAY()),0,IF(OR(INDEX($B418:$D418,AU$5)="F",AND(AU$6&gt;0,$A418&lt;AU$6),AND(AU$7&gt;0,$A418&gt;AU$7)),0,MAX(0,ROUND((INDEX($E418:$G418,AU$5)-SUMIFS(TF_Timer,TF_Tekniker,AU$4,TF_Dato,$A418))*2,0)/2)))</f>
        <v/>
      </c>
      <c r="AV418">
        <f>IF(OR(AV$4="",$A418&gt;TODAY()),0,IF(OR(INDEX($B418:$D418,AV$5)="F",AND(AV$6&gt;0,$A418&lt;AV$6),AND(AV$7&gt;0,$A418&gt;AV$7)),0,MAX(0,ROUND((INDEX($E418:$G418,AV$5)-SUMIFS(TF_Timer,TF_Tekniker,AV$4,TF_Dato,$A418))*2,0)/2)))</f>
        <v/>
      </c>
      <c r="AW418">
        <f>IF(OR(AW$4="",$A418&gt;TODAY()),0,IF(OR(INDEX($B418:$D418,AW$5)="F",AND(AW$6&gt;0,$A418&lt;AW$6),AND(AW$7&gt;0,$A418&gt;AW$7)),0,MAX(0,ROUND((INDEX($E418:$G418,AW$5)-SUMIFS(TF_Timer,TF_Tekniker,AW$4,TF_Dato,$A418))*2,0)/2)))</f>
        <v/>
      </c>
      <c r="AX418">
        <f>IF(OR(AX$4="",$A418&gt;TODAY()),0,IF(OR(INDEX($B418:$D418,AX$5)="F",AND(AX$6&gt;0,$A418&lt;AX$6),AND(AX$7&gt;0,$A418&gt;AX$7)),0,MAX(0,ROUND((INDEX($E418:$G418,AX$5)-SUMIFS(TF_Timer,TF_Tekniker,AX$4,TF_Dato,$A418))*2,0)/2)))</f>
        <v/>
      </c>
      <c r="AY418">
        <f>IF(OR(AY$4="",$A418&gt;TODAY()),0,IF(OR(INDEX($B418:$D418,AY$5)="F",AND(AY$6&gt;0,$A418&lt;AY$6),AND(AY$7&gt;0,$A418&gt;AY$7)),0,MAX(0,ROUND((INDEX($E418:$G418,AY$5)-SUMIFS(TF_Timer,TF_Tekniker,AY$4,TF_Dato,$A418))*2,0)/2)))</f>
        <v/>
      </c>
      <c r="AZ418">
        <f>IF(OR(AZ$4="",$A418&gt;TODAY()),0,IF(OR(INDEX($B418:$D418,AZ$5)="F",AND(AZ$6&gt;0,$A418&lt;AZ$6),AND(AZ$7&gt;0,$A418&gt;AZ$7)),0,MAX(0,ROUND((INDEX($E418:$G418,AZ$5)-SUMIFS(TF_Timer,TF_Tekniker,AZ$4,TF_Dato,$A418))*2,0)/2)))</f>
        <v/>
      </c>
      <c r="BA418">
        <f>IF(OR(BA$4="",$A418&gt;TODAY()),0,IF(OR(INDEX($B418:$D418,BA$5)="F",AND(BA$6&gt;0,$A418&lt;BA$6),AND(BA$7&gt;0,$A418&gt;BA$7)),0,MAX(0,ROUND((INDEX($E418:$G418,BA$5)-SUMIFS(TF_Timer,TF_Tekniker,BA$4,TF_Dato,$A418))*2,0)/2)))</f>
        <v/>
      </c>
      <c r="BB418">
        <f>IF(OR(BB$4="",$A418&gt;TODAY()),0,IF(OR(INDEX($B418:$D418,BB$5)="F",AND(BB$6&gt;0,$A418&lt;BB$6),AND(BB$7&gt;0,$A418&gt;BB$7)),0,MAX(0,ROUND((INDEX($E418:$G418,BB$5)-SUMIFS(TF_Timer,TF_Tekniker,BB$4,TF_Dato,$A418))*2,0)/2)))</f>
        <v/>
      </c>
      <c r="BC418">
        <f>IF(OR(BC$4="",$A418&gt;TODAY()),0,IF(OR(INDEX($B418:$D418,BC$5)="F",AND(BC$6&gt;0,$A418&lt;BC$6),AND(BC$7&gt;0,$A418&gt;BC$7)),0,MAX(0,ROUND((INDEX($E418:$G418,BC$5)-SUMIFS(TF_Timer,TF_Tekniker,BC$4,TF_Dato,$A418))*2,0)/2)))</f>
        <v/>
      </c>
      <c r="BD418">
        <f>IF(OR(BD$4="",$A418&gt;TODAY()),0,IF(OR(INDEX($B418:$D418,BD$5)="F",AND(BD$6&gt;0,$A418&lt;BD$6),AND(BD$7&gt;0,$A418&gt;BD$7)),0,MAX(0,ROUND((INDEX($E418:$G418,BD$5)-SUMIFS(TF_Timer,TF_Tekniker,BD$4,TF_Dato,$A418))*2,0)/2)))</f>
        <v/>
      </c>
      <c r="BE418">
        <f>IF(OR(BE$4="",$A418&gt;TODAY()),0,IF(OR(INDEX($B418:$D418,BE$5)="F",AND(BE$6&gt;0,$A418&lt;BE$6),AND(BE$7&gt;0,$A418&gt;BE$7)),0,MAX(0,ROUND((INDEX($E418:$G418,BE$5)-SUMIFS(TF_Timer,TF_Tekniker,BE$4,TF_Dato,$A418))*2,0)/2)))</f>
        <v/>
      </c>
      <c r="BF418">
        <f>IF(OR(BF$4="",$A418&gt;TODAY()),0,IF(OR(INDEX($B418:$D418,BF$5)="F",AND(BF$6&gt;0,$A418&lt;BF$6),AND(BF$7&gt;0,$A418&gt;BF$7)),0,MAX(0,ROUND((INDEX($E418:$G418,BF$5)-SUMIFS(TF_Timer,TF_Tekniker,BF$4,TF_Dato,$A418))*2,0)/2)))</f>
        <v/>
      </c>
      <c r="BG418">
        <f>IF(OR(BG$4="",$A418&gt;TODAY()),0,IF(OR(INDEX($B418:$D418,BG$5)="F",AND(BG$6&gt;0,$A418&lt;BG$6),AND(BG$7&gt;0,$A418&gt;BG$7)),0,MAX(0,ROUND((INDEX($E418:$G418,BG$5)-SUMIFS(TF_Timer,TF_Tekniker,BG$4,TF_Dato,$A418))*2,0)/2)))</f>
        <v/>
      </c>
      <c r="BH418">
        <f>IF(OR(BH$4="",$A418&gt;TODAY()),0,IF(OR(INDEX($B418:$D418,BH$5)="F",AND(BH$6&gt;0,$A418&lt;BH$6),AND(BH$7&gt;0,$A418&gt;BH$7)),0,MAX(0,ROUND((INDEX($E418:$G418,BH$5)-SUMIFS(TF_Timer,TF_Tekniker,BH$4,TF_Dato,$A418))*2,0)/2)))</f>
        <v/>
      </c>
      <c r="BI418">
        <f>IF(OR(BI$4="",$A418&gt;TODAY()),0,IF(OR(INDEX($B418:$D418,BI$5)="F",AND(BI$6&gt;0,$A418&lt;BI$6),AND(BI$7&gt;0,$A418&gt;BI$7)),0,MAX(0,ROUND((INDEX($E418:$G418,BI$5)-SUMIFS(TF_Timer,TF_Tekniker,BI$4,TF_Dato,$A418))*2,0)/2)))</f>
        <v/>
      </c>
    </row>
    <row r="419">
      <c r="A419" s="64">
        <f>A418+1</f>
        <v/>
      </c>
      <c r="B419">
        <f>IF(MOD($A419-INDEX(SkiftStart,1),Syklus)&lt;DagK,"K",IF(MOD($A419-INDEX(SkiftStart,1),Syklus)&lt;DagK+DagH,"H",IF(MOD($A419-INDEX(SkiftStart,1),Syklus)&lt;DagK+DagH+DagD,"D","F")))</f>
        <v/>
      </c>
      <c r="C419">
        <f>IF(MOD($A419-INDEX(SkiftStart,2),Syklus)&lt;DagK,"K",IF(MOD($A419-INDEX(SkiftStart,2),Syklus)&lt;DagK+DagH,"H",IF(MOD($A419-INDEX(SkiftStart,2),Syklus)&lt;DagK+DagH+DagD,"D","F")))</f>
        <v/>
      </c>
      <c r="D419">
        <f>IF(MOD($A419-INDEX(SkiftStart,3),Syklus)&lt;DagK,"K",IF(MOD($A419-INDEX(SkiftStart,3),Syklus)&lt;DagK+DagH,"H",IF(MOD($A419-INDEX(SkiftStart,3),Syklus)&lt;DagK+DagH+DagD,"D","F")))</f>
        <v/>
      </c>
      <c r="E419">
        <f>IF(B419="F",0,IF(WEEKDAY($A419,2)=5,INDEX(TimerFr,MATCH(B419,FaseKode,0)),INDEX(TimerMT,MATCH(B419,FaseKode,0))))</f>
        <v/>
      </c>
      <c r="F419">
        <f>IF(C419="F",0,IF(WEEKDAY($A419,2)=5,INDEX(TimerFr,MATCH(C419,FaseKode,0)),INDEX(TimerMT,MATCH(C419,FaseKode,0))))</f>
        <v/>
      </c>
      <c r="G419">
        <f>IF(D419="F",0,IF(WEEKDAY($A419,2)=5,INDEX(TimerFr,MATCH(D419,FaseKode,0)),INDEX(TimerMT,MATCH(D419,FaseKode,0))))</f>
        <v/>
      </c>
      <c r="H419">
        <f>IF(OR(H$4="",$A419&gt;TODAY()),0,IF(OR(INDEX($B419:$D419,H$5)="F",AND(H$6&gt;0,$A419&lt;H$6),AND(H$7&gt;0,$A419&gt;H$7)),0,MAX(0,ROUND((INDEX($E419:$G419,H$5)-SUMIFS(TF_Timer,TF_Tekniker,H$4,TF_Dato,$A419))*2,0)/2)))</f>
        <v/>
      </c>
      <c r="I419">
        <f>IF(OR(I$4="",$A419&gt;TODAY()),0,IF(OR(INDEX($B419:$D419,I$5)="F",AND(I$6&gt;0,$A419&lt;I$6),AND(I$7&gt;0,$A419&gt;I$7)),0,MAX(0,ROUND((INDEX($E419:$G419,I$5)-SUMIFS(TF_Timer,TF_Tekniker,I$4,TF_Dato,$A419))*2,0)/2)))</f>
        <v/>
      </c>
      <c r="J419">
        <f>IF(OR(J$4="",$A419&gt;TODAY()),0,IF(OR(INDEX($B419:$D419,J$5)="F",AND(J$6&gt;0,$A419&lt;J$6),AND(J$7&gt;0,$A419&gt;J$7)),0,MAX(0,ROUND((INDEX($E419:$G419,J$5)-SUMIFS(TF_Timer,TF_Tekniker,J$4,TF_Dato,$A419))*2,0)/2)))</f>
        <v/>
      </c>
      <c r="K419">
        <f>IF(OR(K$4="",$A419&gt;TODAY()),0,IF(OR(INDEX($B419:$D419,K$5)="F",AND(K$6&gt;0,$A419&lt;K$6),AND(K$7&gt;0,$A419&gt;K$7)),0,MAX(0,ROUND((INDEX($E419:$G419,K$5)-SUMIFS(TF_Timer,TF_Tekniker,K$4,TF_Dato,$A419))*2,0)/2)))</f>
        <v/>
      </c>
      <c r="L419">
        <f>IF(OR(L$4="",$A419&gt;TODAY()),0,IF(OR(INDEX($B419:$D419,L$5)="F",AND(L$6&gt;0,$A419&lt;L$6),AND(L$7&gt;0,$A419&gt;L$7)),0,MAX(0,ROUND((INDEX($E419:$G419,L$5)-SUMIFS(TF_Timer,TF_Tekniker,L$4,TF_Dato,$A419))*2,0)/2)))</f>
        <v/>
      </c>
      <c r="M419">
        <f>IF(OR(M$4="",$A419&gt;TODAY()),0,IF(OR(INDEX($B419:$D419,M$5)="F",AND(M$6&gt;0,$A419&lt;M$6),AND(M$7&gt;0,$A419&gt;M$7)),0,MAX(0,ROUND((INDEX($E419:$G419,M$5)-SUMIFS(TF_Timer,TF_Tekniker,M$4,TF_Dato,$A419))*2,0)/2)))</f>
        <v/>
      </c>
      <c r="N419">
        <f>IF(OR(N$4="",$A419&gt;TODAY()),0,IF(OR(INDEX($B419:$D419,N$5)="F",AND(N$6&gt;0,$A419&lt;N$6),AND(N$7&gt;0,$A419&gt;N$7)),0,MAX(0,ROUND((INDEX($E419:$G419,N$5)-SUMIFS(TF_Timer,TF_Tekniker,N$4,TF_Dato,$A419))*2,0)/2)))</f>
        <v/>
      </c>
      <c r="O419">
        <f>IF(OR(O$4="",$A419&gt;TODAY()),0,IF(OR(INDEX($B419:$D419,O$5)="F",AND(O$6&gt;0,$A419&lt;O$6),AND(O$7&gt;0,$A419&gt;O$7)),0,MAX(0,ROUND((INDEX($E419:$G419,O$5)-SUMIFS(TF_Timer,TF_Tekniker,O$4,TF_Dato,$A419))*2,0)/2)))</f>
        <v/>
      </c>
      <c r="P419">
        <f>IF(OR(P$4="",$A419&gt;TODAY()),0,IF(OR(INDEX($B419:$D419,P$5)="F",AND(P$6&gt;0,$A419&lt;P$6),AND(P$7&gt;0,$A419&gt;P$7)),0,MAX(0,ROUND((INDEX($E419:$G419,P$5)-SUMIFS(TF_Timer,TF_Tekniker,P$4,TF_Dato,$A419))*2,0)/2)))</f>
        <v/>
      </c>
      <c r="Q419">
        <f>IF(OR(Q$4="",$A419&gt;TODAY()),0,IF(OR(INDEX($B419:$D419,Q$5)="F",AND(Q$6&gt;0,$A419&lt;Q$6),AND(Q$7&gt;0,$A419&gt;Q$7)),0,MAX(0,ROUND((INDEX($E419:$G419,Q$5)-SUMIFS(TF_Timer,TF_Tekniker,Q$4,TF_Dato,$A419))*2,0)/2)))</f>
        <v/>
      </c>
      <c r="R419">
        <f>IF(OR(R$4="",$A419&gt;TODAY()),0,IF(OR(INDEX($B419:$D419,R$5)="F",AND(R$6&gt;0,$A419&lt;R$6),AND(R$7&gt;0,$A419&gt;R$7)),0,MAX(0,ROUND((INDEX($E419:$G419,R$5)-SUMIFS(TF_Timer,TF_Tekniker,R$4,TF_Dato,$A419))*2,0)/2)))</f>
        <v/>
      </c>
      <c r="S419">
        <f>IF(OR(S$4="",$A419&gt;TODAY()),0,IF(OR(INDEX($B419:$D419,S$5)="F",AND(S$6&gt;0,$A419&lt;S$6),AND(S$7&gt;0,$A419&gt;S$7)),0,MAX(0,ROUND((INDEX($E419:$G419,S$5)-SUMIFS(TF_Timer,TF_Tekniker,S$4,TF_Dato,$A419))*2,0)/2)))</f>
        <v/>
      </c>
      <c r="T419">
        <f>IF(OR(T$4="",$A419&gt;TODAY()),0,IF(OR(INDEX($B419:$D419,T$5)="F",AND(T$6&gt;0,$A419&lt;T$6),AND(T$7&gt;0,$A419&gt;T$7)),0,MAX(0,ROUND((INDEX($E419:$G419,T$5)-SUMIFS(TF_Timer,TF_Tekniker,T$4,TF_Dato,$A419))*2,0)/2)))</f>
        <v/>
      </c>
      <c r="U419">
        <f>IF(OR(U$4="",$A419&gt;TODAY()),0,IF(OR(INDEX($B419:$D419,U$5)="F",AND(U$6&gt;0,$A419&lt;U$6),AND(U$7&gt;0,$A419&gt;U$7)),0,MAX(0,ROUND((INDEX($E419:$G419,U$5)-SUMIFS(TF_Timer,TF_Tekniker,U$4,TF_Dato,$A419))*2,0)/2)))</f>
        <v/>
      </c>
      <c r="V419">
        <f>IF(OR(V$4="",$A419&gt;TODAY()),0,IF(OR(INDEX($B419:$D419,V$5)="F",AND(V$6&gt;0,$A419&lt;V$6),AND(V$7&gt;0,$A419&gt;V$7)),0,MAX(0,ROUND((INDEX($E419:$G419,V$5)-SUMIFS(TF_Timer,TF_Tekniker,V$4,TF_Dato,$A419))*2,0)/2)))</f>
        <v/>
      </c>
      <c r="W419">
        <f>IF(OR(W$4="",$A419&gt;TODAY()),0,IF(OR(INDEX($B419:$D419,W$5)="F",AND(W$6&gt;0,$A419&lt;W$6),AND(W$7&gt;0,$A419&gt;W$7)),0,MAX(0,ROUND((INDEX($E419:$G419,W$5)-SUMIFS(TF_Timer,TF_Tekniker,W$4,TF_Dato,$A419))*2,0)/2)))</f>
        <v/>
      </c>
      <c r="X419">
        <f>IF(OR(X$4="",$A419&gt;TODAY()),0,IF(OR(INDEX($B419:$D419,X$5)="F",AND(X$6&gt;0,$A419&lt;X$6),AND(X$7&gt;0,$A419&gt;X$7)),0,MAX(0,ROUND((INDEX($E419:$G419,X$5)-SUMIFS(TF_Timer,TF_Tekniker,X$4,TF_Dato,$A419))*2,0)/2)))</f>
        <v/>
      </c>
      <c r="Y419">
        <f>IF(OR(Y$4="",$A419&gt;TODAY()),0,IF(OR(INDEX($B419:$D419,Y$5)="F",AND(Y$6&gt;0,$A419&lt;Y$6),AND(Y$7&gt;0,$A419&gt;Y$7)),0,MAX(0,ROUND((INDEX($E419:$G419,Y$5)-SUMIFS(TF_Timer,TF_Tekniker,Y$4,TF_Dato,$A419))*2,0)/2)))</f>
        <v/>
      </c>
      <c r="Z419">
        <f>IF(OR(Z$4="",$A419&gt;TODAY()),0,IF(OR(INDEX($B419:$D419,Z$5)="F",AND(Z$6&gt;0,$A419&lt;Z$6),AND(Z$7&gt;0,$A419&gt;Z$7)),0,MAX(0,ROUND((INDEX($E419:$G419,Z$5)-SUMIFS(TF_Timer,TF_Tekniker,Z$4,TF_Dato,$A419))*2,0)/2)))</f>
        <v/>
      </c>
      <c r="AA419">
        <f>IF(OR(AA$4="",$A419&gt;TODAY()),0,IF(OR(INDEX($B419:$D419,AA$5)="F",AND(AA$6&gt;0,$A419&lt;AA$6),AND(AA$7&gt;0,$A419&gt;AA$7)),0,MAX(0,ROUND((INDEX($E419:$G419,AA$5)-SUMIFS(TF_Timer,TF_Tekniker,AA$4,TF_Dato,$A419))*2,0)/2)))</f>
        <v/>
      </c>
      <c r="AB419">
        <f>IF(OR(AB$4="",$A419&gt;TODAY()),0,IF(OR(INDEX($B419:$D419,AB$5)="F",AND(AB$6&gt;0,$A419&lt;AB$6),AND(AB$7&gt;0,$A419&gt;AB$7)),0,MAX(0,ROUND((INDEX($E419:$G419,AB$5)-SUMIFS(TF_Timer,TF_Tekniker,AB$4,TF_Dato,$A419))*2,0)/2)))</f>
        <v/>
      </c>
      <c r="AC419">
        <f>IF(OR(AC$4="",$A419&gt;TODAY()),0,IF(OR(INDEX($B419:$D419,AC$5)="F",AND(AC$6&gt;0,$A419&lt;AC$6),AND(AC$7&gt;0,$A419&gt;AC$7)),0,MAX(0,ROUND((INDEX($E419:$G419,AC$5)-SUMIFS(TF_Timer,TF_Tekniker,AC$4,TF_Dato,$A419))*2,0)/2)))</f>
        <v/>
      </c>
      <c r="AD419">
        <f>IF(OR(AD$4="",$A419&gt;TODAY()),0,IF(OR(INDEX($B419:$D419,AD$5)="F",AND(AD$6&gt;0,$A419&lt;AD$6),AND(AD$7&gt;0,$A419&gt;AD$7)),0,MAX(0,ROUND((INDEX($E419:$G419,AD$5)-SUMIFS(TF_Timer,TF_Tekniker,AD$4,TF_Dato,$A419))*2,0)/2)))</f>
        <v/>
      </c>
      <c r="AE419">
        <f>IF(OR(AE$4="",$A419&gt;TODAY()),0,IF(OR(INDEX($B419:$D419,AE$5)="F",AND(AE$6&gt;0,$A419&lt;AE$6),AND(AE$7&gt;0,$A419&gt;AE$7)),0,MAX(0,ROUND((INDEX($E419:$G419,AE$5)-SUMIFS(TF_Timer,TF_Tekniker,AE$4,TF_Dato,$A419))*2,0)/2)))</f>
        <v/>
      </c>
      <c r="AF419">
        <f>IF(OR(AF$4="",$A419&gt;TODAY()),0,IF(OR(INDEX($B419:$D419,AF$5)="F",AND(AF$6&gt;0,$A419&lt;AF$6),AND(AF$7&gt;0,$A419&gt;AF$7)),0,MAX(0,ROUND((INDEX($E419:$G419,AF$5)-SUMIFS(TF_Timer,TF_Tekniker,AF$4,TF_Dato,$A419))*2,0)/2)))</f>
        <v/>
      </c>
      <c r="AG419">
        <f>IF(OR(AG$4="",$A419&gt;TODAY()),0,IF(OR(INDEX($B419:$D419,AG$5)="F",AND(AG$6&gt;0,$A419&lt;AG$6),AND(AG$7&gt;0,$A419&gt;AG$7)),0,MAX(0,ROUND((INDEX($E419:$G419,AG$5)-SUMIFS(TF_Timer,TF_Tekniker,AG$4,TF_Dato,$A419))*2,0)/2)))</f>
        <v/>
      </c>
      <c r="AH419">
        <f>IF(OR(AH$4="",$A419&gt;TODAY()),0,IF(OR(INDEX($B419:$D419,AH$5)="F",AND(AH$6&gt;0,$A419&lt;AH$6),AND(AH$7&gt;0,$A419&gt;AH$7)),0,MAX(0,ROUND((INDEX($E419:$G419,AH$5)-SUMIFS(TF_Timer,TF_Tekniker,AH$4,TF_Dato,$A419))*2,0)/2)))</f>
        <v/>
      </c>
      <c r="AI419">
        <f>IF(OR(AI$4="",$A419&gt;TODAY()),0,IF(OR(INDEX($B419:$D419,AI$5)="F",AND(AI$6&gt;0,$A419&lt;AI$6),AND(AI$7&gt;0,$A419&gt;AI$7)),0,MAX(0,ROUND((INDEX($E419:$G419,AI$5)-SUMIFS(TF_Timer,TF_Tekniker,AI$4,TF_Dato,$A419))*2,0)/2)))</f>
        <v/>
      </c>
      <c r="AJ419">
        <f>IF(OR(AJ$4="",$A419&gt;TODAY()),0,IF(OR(INDEX($B419:$D419,AJ$5)="F",AND(AJ$6&gt;0,$A419&lt;AJ$6),AND(AJ$7&gt;0,$A419&gt;AJ$7)),0,MAX(0,ROUND((INDEX($E419:$G419,AJ$5)-SUMIFS(TF_Timer,TF_Tekniker,AJ$4,TF_Dato,$A419))*2,0)/2)))</f>
        <v/>
      </c>
      <c r="AK419">
        <f>IF(OR(AK$4="",$A419&gt;TODAY()),0,IF(OR(INDEX($B419:$D419,AK$5)="F",AND(AK$6&gt;0,$A419&lt;AK$6),AND(AK$7&gt;0,$A419&gt;AK$7)),0,MAX(0,ROUND((INDEX($E419:$G419,AK$5)-SUMIFS(TF_Timer,TF_Tekniker,AK$4,TF_Dato,$A419))*2,0)/2)))</f>
        <v/>
      </c>
      <c r="AL419">
        <f>IF(OR(AL$4="",$A419&gt;TODAY()),0,IF(OR(INDEX($B419:$D419,AL$5)="F",AND(AL$6&gt;0,$A419&lt;AL$6),AND(AL$7&gt;0,$A419&gt;AL$7)),0,MAX(0,ROUND((INDEX($E419:$G419,AL$5)-SUMIFS(TF_Timer,TF_Tekniker,AL$4,TF_Dato,$A419))*2,0)/2)))</f>
        <v/>
      </c>
      <c r="AM419">
        <f>IF(OR(AM$4="",$A419&gt;TODAY()),0,IF(OR(INDEX($B419:$D419,AM$5)="F",AND(AM$6&gt;0,$A419&lt;AM$6),AND(AM$7&gt;0,$A419&gt;AM$7)),0,MAX(0,ROUND((INDEX($E419:$G419,AM$5)-SUMIFS(TF_Timer,TF_Tekniker,AM$4,TF_Dato,$A419))*2,0)/2)))</f>
        <v/>
      </c>
      <c r="AN419">
        <f>IF(OR(AN$4="",$A419&gt;TODAY()),0,IF(OR(INDEX($B419:$D419,AN$5)="F",AND(AN$6&gt;0,$A419&lt;AN$6),AND(AN$7&gt;0,$A419&gt;AN$7)),0,MAX(0,ROUND((INDEX($E419:$G419,AN$5)-SUMIFS(TF_Timer,TF_Tekniker,AN$4,TF_Dato,$A419))*2,0)/2)))</f>
        <v/>
      </c>
      <c r="AO419">
        <f>IF(OR(AO$4="",$A419&gt;TODAY()),0,IF(OR(INDEX($B419:$D419,AO$5)="F",AND(AO$6&gt;0,$A419&lt;AO$6),AND(AO$7&gt;0,$A419&gt;AO$7)),0,MAX(0,ROUND((INDEX($E419:$G419,AO$5)-SUMIFS(TF_Timer,TF_Tekniker,AO$4,TF_Dato,$A419))*2,0)/2)))</f>
        <v/>
      </c>
      <c r="AP419">
        <f>IF(OR(AP$4="",$A419&gt;TODAY()),0,IF(OR(INDEX($B419:$D419,AP$5)="F",AND(AP$6&gt;0,$A419&lt;AP$6),AND(AP$7&gt;0,$A419&gt;AP$7)),0,MAX(0,ROUND((INDEX($E419:$G419,AP$5)-SUMIFS(TF_Timer,TF_Tekniker,AP$4,TF_Dato,$A419))*2,0)/2)))</f>
        <v/>
      </c>
      <c r="AQ419">
        <f>IF(OR(AQ$4="",$A419&gt;TODAY()),0,IF(OR(INDEX($B419:$D419,AQ$5)="F",AND(AQ$6&gt;0,$A419&lt;AQ$6),AND(AQ$7&gt;0,$A419&gt;AQ$7)),0,MAX(0,ROUND((INDEX($E419:$G419,AQ$5)-SUMIFS(TF_Timer,TF_Tekniker,AQ$4,TF_Dato,$A419))*2,0)/2)))</f>
        <v/>
      </c>
      <c r="AR419">
        <f>IF(OR(AR$4="",$A419&gt;TODAY()),0,IF(OR(INDEX($B419:$D419,AR$5)="F",AND(AR$6&gt;0,$A419&lt;AR$6),AND(AR$7&gt;0,$A419&gt;AR$7)),0,MAX(0,ROUND((INDEX($E419:$G419,AR$5)-SUMIFS(TF_Timer,TF_Tekniker,AR$4,TF_Dato,$A419))*2,0)/2)))</f>
        <v/>
      </c>
      <c r="AS419">
        <f>IF(OR(AS$4="",$A419&gt;TODAY()),0,IF(OR(INDEX($B419:$D419,AS$5)="F",AND(AS$6&gt;0,$A419&lt;AS$6),AND(AS$7&gt;0,$A419&gt;AS$7)),0,MAX(0,ROUND((INDEX($E419:$G419,AS$5)-SUMIFS(TF_Timer,TF_Tekniker,AS$4,TF_Dato,$A419))*2,0)/2)))</f>
        <v/>
      </c>
      <c r="AT419">
        <f>IF(OR(AT$4="",$A419&gt;TODAY()),0,IF(OR(INDEX($B419:$D419,AT$5)="F",AND(AT$6&gt;0,$A419&lt;AT$6),AND(AT$7&gt;0,$A419&gt;AT$7)),0,MAX(0,ROUND((INDEX($E419:$G419,AT$5)-SUMIFS(TF_Timer,TF_Tekniker,AT$4,TF_Dato,$A419))*2,0)/2)))</f>
        <v/>
      </c>
      <c r="AU419">
        <f>IF(OR(AU$4="",$A419&gt;TODAY()),0,IF(OR(INDEX($B419:$D419,AU$5)="F",AND(AU$6&gt;0,$A419&lt;AU$6),AND(AU$7&gt;0,$A419&gt;AU$7)),0,MAX(0,ROUND((INDEX($E419:$G419,AU$5)-SUMIFS(TF_Timer,TF_Tekniker,AU$4,TF_Dato,$A419))*2,0)/2)))</f>
        <v/>
      </c>
      <c r="AV419">
        <f>IF(OR(AV$4="",$A419&gt;TODAY()),0,IF(OR(INDEX($B419:$D419,AV$5)="F",AND(AV$6&gt;0,$A419&lt;AV$6),AND(AV$7&gt;0,$A419&gt;AV$7)),0,MAX(0,ROUND((INDEX($E419:$G419,AV$5)-SUMIFS(TF_Timer,TF_Tekniker,AV$4,TF_Dato,$A419))*2,0)/2)))</f>
        <v/>
      </c>
      <c r="AW419">
        <f>IF(OR(AW$4="",$A419&gt;TODAY()),0,IF(OR(INDEX($B419:$D419,AW$5)="F",AND(AW$6&gt;0,$A419&lt;AW$6),AND(AW$7&gt;0,$A419&gt;AW$7)),0,MAX(0,ROUND((INDEX($E419:$G419,AW$5)-SUMIFS(TF_Timer,TF_Tekniker,AW$4,TF_Dato,$A419))*2,0)/2)))</f>
        <v/>
      </c>
      <c r="AX419">
        <f>IF(OR(AX$4="",$A419&gt;TODAY()),0,IF(OR(INDEX($B419:$D419,AX$5)="F",AND(AX$6&gt;0,$A419&lt;AX$6),AND(AX$7&gt;0,$A419&gt;AX$7)),0,MAX(0,ROUND((INDEX($E419:$G419,AX$5)-SUMIFS(TF_Timer,TF_Tekniker,AX$4,TF_Dato,$A419))*2,0)/2)))</f>
        <v/>
      </c>
      <c r="AY419">
        <f>IF(OR(AY$4="",$A419&gt;TODAY()),0,IF(OR(INDEX($B419:$D419,AY$5)="F",AND(AY$6&gt;0,$A419&lt;AY$6),AND(AY$7&gt;0,$A419&gt;AY$7)),0,MAX(0,ROUND((INDEX($E419:$G419,AY$5)-SUMIFS(TF_Timer,TF_Tekniker,AY$4,TF_Dato,$A419))*2,0)/2)))</f>
        <v/>
      </c>
      <c r="AZ419">
        <f>IF(OR(AZ$4="",$A419&gt;TODAY()),0,IF(OR(INDEX($B419:$D419,AZ$5)="F",AND(AZ$6&gt;0,$A419&lt;AZ$6),AND(AZ$7&gt;0,$A419&gt;AZ$7)),0,MAX(0,ROUND((INDEX($E419:$G419,AZ$5)-SUMIFS(TF_Timer,TF_Tekniker,AZ$4,TF_Dato,$A419))*2,0)/2)))</f>
        <v/>
      </c>
      <c r="BA419">
        <f>IF(OR(BA$4="",$A419&gt;TODAY()),0,IF(OR(INDEX($B419:$D419,BA$5)="F",AND(BA$6&gt;0,$A419&lt;BA$6),AND(BA$7&gt;0,$A419&gt;BA$7)),0,MAX(0,ROUND((INDEX($E419:$G419,BA$5)-SUMIFS(TF_Timer,TF_Tekniker,BA$4,TF_Dato,$A419))*2,0)/2)))</f>
        <v/>
      </c>
      <c r="BB419">
        <f>IF(OR(BB$4="",$A419&gt;TODAY()),0,IF(OR(INDEX($B419:$D419,BB$5)="F",AND(BB$6&gt;0,$A419&lt;BB$6),AND(BB$7&gt;0,$A419&gt;BB$7)),0,MAX(0,ROUND((INDEX($E419:$G419,BB$5)-SUMIFS(TF_Timer,TF_Tekniker,BB$4,TF_Dato,$A419))*2,0)/2)))</f>
        <v/>
      </c>
      <c r="BC419">
        <f>IF(OR(BC$4="",$A419&gt;TODAY()),0,IF(OR(INDEX($B419:$D419,BC$5)="F",AND(BC$6&gt;0,$A419&lt;BC$6),AND(BC$7&gt;0,$A419&gt;BC$7)),0,MAX(0,ROUND((INDEX($E419:$G419,BC$5)-SUMIFS(TF_Timer,TF_Tekniker,BC$4,TF_Dato,$A419))*2,0)/2)))</f>
        <v/>
      </c>
      <c r="BD419">
        <f>IF(OR(BD$4="",$A419&gt;TODAY()),0,IF(OR(INDEX($B419:$D419,BD$5)="F",AND(BD$6&gt;0,$A419&lt;BD$6),AND(BD$7&gt;0,$A419&gt;BD$7)),0,MAX(0,ROUND((INDEX($E419:$G419,BD$5)-SUMIFS(TF_Timer,TF_Tekniker,BD$4,TF_Dato,$A419))*2,0)/2)))</f>
        <v/>
      </c>
      <c r="BE419">
        <f>IF(OR(BE$4="",$A419&gt;TODAY()),0,IF(OR(INDEX($B419:$D419,BE$5)="F",AND(BE$6&gt;0,$A419&lt;BE$6),AND(BE$7&gt;0,$A419&gt;BE$7)),0,MAX(0,ROUND((INDEX($E419:$G419,BE$5)-SUMIFS(TF_Timer,TF_Tekniker,BE$4,TF_Dato,$A419))*2,0)/2)))</f>
        <v/>
      </c>
      <c r="BF419">
        <f>IF(OR(BF$4="",$A419&gt;TODAY()),0,IF(OR(INDEX($B419:$D419,BF$5)="F",AND(BF$6&gt;0,$A419&lt;BF$6),AND(BF$7&gt;0,$A419&gt;BF$7)),0,MAX(0,ROUND((INDEX($E419:$G419,BF$5)-SUMIFS(TF_Timer,TF_Tekniker,BF$4,TF_Dato,$A419))*2,0)/2)))</f>
        <v/>
      </c>
      <c r="BG419">
        <f>IF(OR(BG$4="",$A419&gt;TODAY()),0,IF(OR(INDEX($B419:$D419,BG$5)="F",AND(BG$6&gt;0,$A419&lt;BG$6),AND(BG$7&gt;0,$A419&gt;BG$7)),0,MAX(0,ROUND((INDEX($E419:$G419,BG$5)-SUMIFS(TF_Timer,TF_Tekniker,BG$4,TF_Dato,$A419))*2,0)/2)))</f>
        <v/>
      </c>
      <c r="BH419">
        <f>IF(OR(BH$4="",$A419&gt;TODAY()),0,IF(OR(INDEX($B419:$D419,BH$5)="F",AND(BH$6&gt;0,$A419&lt;BH$6),AND(BH$7&gt;0,$A419&gt;BH$7)),0,MAX(0,ROUND((INDEX($E419:$G419,BH$5)-SUMIFS(TF_Timer,TF_Tekniker,BH$4,TF_Dato,$A419))*2,0)/2)))</f>
        <v/>
      </c>
      <c r="BI419">
        <f>IF(OR(BI$4="",$A419&gt;TODAY()),0,IF(OR(INDEX($B419:$D419,BI$5)="F",AND(BI$6&gt;0,$A419&lt;BI$6),AND(BI$7&gt;0,$A419&gt;BI$7)),0,MAX(0,ROUND((INDEX($E419:$G419,BI$5)-SUMIFS(TF_Timer,TF_Tekniker,BI$4,TF_Dato,$A419))*2,0)/2)))</f>
        <v/>
      </c>
    </row>
    <row r="420">
      <c r="A420" s="64">
        <f>A419+1</f>
        <v/>
      </c>
      <c r="B420">
        <f>IF(MOD($A420-INDEX(SkiftStart,1),Syklus)&lt;DagK,"K",IF(MOD($A420-INDEX(SkiftStart,1),Syklus)&lt;DagK+DagH,"H",IF(MOD($A420-INDEX(SkiftStart,1),Syklus)&lt;DagK+DagH+DagD,"D","F")))</f>
        <v/>
      </c>
      <c r="C420">
        <f>IF(MOD($A420-INDEX(SkiftStart,2),Syklus)&lt;DagK,"K",IF(MOD($A420-INDEX(SkiftStart,2),Syklus)&lt;DagK+DagH,"H",IF(MOD($A420-INDEX(SkiftStart,2),Syklus)&lt;DagK+DagH+DagD,"D","F")))</f>
        <v/>
      </c>
      <c r="D420">
        <f>IF(MOD($A420-INDEX(SkiftStart,3),Syklus)&lt;DagK,"K",IF(MOD($A420-INDEX(SkiftStart,3),Syklus)&lt;DagK+DagH,"H",IF(MOD($A420-INDEX(SkiftStart,3),Syklus)&lt;DagK+DagH+DagD,"D","F")))</f>
        <v/>
      </c>
      <c r="E420">
        <f>IF(B420="F",0,IF(WEEKDAY($A420,2)=5,INDEX(TimerFr,MATCH(B420,FaseKode,0)),INDEX(TimerMT,MATCH(B420,FaseKode,0))))</f>
        <v/>
      </c>
      <c r="F420">
        <f>IF(C420="F",0,IF(WEEKDAY($A420,2)=5,INDEX(TimerFr,MATCH(C420,FaseKode,0)),INDEX(TimerMT,MATCH(C420,FaseKode,0))))</f>
        <v/>
      </c>
      <c r="G420">
        <f>IF(D420="F",0,IF(WEEKDAY($A420,2)=5,INDEX(TimerFr,MATCH(D420,FaseKode,0)),INDEX(TimerMT,MATCH(D420,FaseKode,0))))</f>
        <v/>
      </c>
      <c r="H420">
        <f>IF(OR(H$4="",$A420&gt;TODAY()),0,IF(OR(INDEX($B420:$D420,H$5)="F",AND(H$6&gt;0,$A420&lt;H$6),AND(H$7&gt;0,$A420&gt;H$7)),0,MAX(0,ROUND((INDEX($E420:$G420,H$5)-SUMIFS(TF_Timer,TF_Tekniker,H$4,TF_Dato,$A420))*2,0)/2)))</f>
        <v/>
      </c>
      <c r="I420">
        <f>IF(OR(I$4="",$A420&gt;TODAY()),0,IF(OR(INDEX($B420:$D420,I$5)="F",AND(I$6&gt;0,$A420&lt;I$6),AND(I$7&gt;0,$A420&gt;I$7)),0,MAX(0,ROUND((INDEX($E420:$G420,I$5)-SUMIFS(TF_Timer,TF_Tekniker,I$4,TF_Dato,$A420))*2,0)/2)))</f>
        <v/>
      </c>
      <c r="J420">
        <f>IF(OR(J$4="",$A420&gt;TODAY()),0,IF(OR(INDEX($B420:$D420,J$5)="F",AND(J$6&gt;0,$A420&lt;J$6),AND(J$7&gt;0,$A420&gt;J$7)),0,MAX(0,ROUND((INDEX($E420:$G420,J$5)-SUMIFS(TF_Timer,TF_Tekniker,J$4,TF_Dato,$A420))*2,0)/2)))</f>
        <v/>
      </c>
      <c r="K420">
        <f>IF(OR(K$4="",$A420&gt;TODAY()),0,IF(OR(INDEX($B420:$D420,K$5)="F",AND(K$6&gt;0,$A420&lt;K$6),AND(K$7&gt;0,$A420&gt;K$7)),0,MAX(0,ROUND((INDEX($E420:$G420,K$5)-SUMIFS(TF_Timer,TF_Tekniker,K$4,TF_Dato,$A420))*2,0)/2)))</f>
        <v/>
      </c>
      <c r="L420">
        <f>IF(OR(L$4="",$A420&gt;TODAY()),0,IF(OR(INDEX($B420:$D420,L$5)="F",AND(L$6&gt;0,$A420&lt;L$6),AND(L$7&gt;0,$A420&gt;L$7)),0,MAX(0,ROUND((INDEX($E420:$G420,L$5)-SUMIFS(TF_Timer,TF_Tekniker,L$4,TF_Dato,$A420))*2,0)/2)))</f>
        <v/>
      </c>
      <c r="M420">
        <f>IF(OR(M$4="",$A420&gt;TODAY()),0,IF(OR(INDEX($B420:$D420,M$5)="F",AND(M$6&gt;0,$A420&lt;M$6),AND(M$7&gt;0,$A420&gt;M$7)),0,MAX(0,ROUND((INDEX($E420:$G420,M$5)-SUMIFS(TF_Timer,TF_Tekniker,M$4,TF_Dato,$A420))*2,0)/2)))</f>
        <v/>
      </c>
      <c r="N420">
        <f>IF(OR(N$4="",$A420&gt;TODAY()),0,IF(OR(INDEX($B420:$D420,N$5)="F",AND(N$6&gt;0,$A420&lt;N$6),AND(N$7&gt;0,$A420&gt;N$7)),0,MAX(0,ROUND((INDEX($E420:$G420,N$5)-SUMIFS(TF_Timer,TF_Tekniker,N$4,TF_Dato,$A420))*2,0)/2)))</f>
        <v/>
      </c>
      <c r="O420">
        <f>IF(OR(O$4="",$A420&gt;TODAY()),0,IF(OR(INDEX($B420:$D420,O$5)="F",AND(O$6&gt;0,$A420&lt;O$6),AND(O$7&gt;0,$A420&gt;O$7)),0,MAX(0,ROUND((INDEX($E420:$G420,O$5)-SUMIFS(TF_Timer,TF_Tekniker,O$4,TF_Dato,$A420))*2,0)/2)))</f>
        <v/>
      </c>
      <c r="P420">
        <f>IF(OR(P$4="",$A420&gt;TODAY()),0,IF(OR(INDEX($B420:$D420,P$5)="F",AND(P$6&gt;0,$A420&lt;P$6),AND(P$7&gt;0,$A420&gt;P$7)),0,MAX(0,ROUND((INDEX($E420:$G420,P$5)-SUMIFS(TF_Timer,TF_Tekniker,P$4,TF_Dato,$A420))*2,0)/2)))</f>
        <v/>
      </c>
      <c r="Q420">
        <f>IF(OR(Q$4="",$A420&gt;TODAY()),0,IF(OR(INDEX($B420:$D420,Q$5)="F",AND(Q$6&gt;0,$A420&lt;Q$6),AND(Q$7&gt;0,$A420&gt;Q$7)),0,MAX(0,ROUND((INDEX($E420:$G420,Q$5)-SUMIFS(TF_Timer,TF_Tekniker,Q$4,TF_Dato,$A420))*2,0)/2)))</f>
        <v/>
      </c>
      <c r="R420">
        <f>IF(OR(R$4="",$A420&gt;TODAY()),0,IF(OR(INDEX($B420:$D420,R$5)="F",AND(R$6&gt;0,$A420&lt;R$6),AND(R$7&gt;0,$A420&gt;R$7)),0,MAX(0,ROUND((INDEX($E420:$G420,R$5)-SUMIFS(TF_Timer,TF_Tekniker,R$4,TF_Dato,$A420))*2,0)/2)))</f>
        <v/>
      </c>
      <c r="S420">
        <f>IF(OR(S$4="",$A420&gt;TODAY()),0,IF(OR(INDEX($B420:$D420,S$5)="F",AND(S$6&gt;0,$A420&lt;S$6),AND(S$7&gt;0,$A420&gt;S$7)),0,MAX(0,ROUND((INDEX($E420:$G420,S$5)-SUMIFS(TF_Timer,TF_Tekniker,S$4,TF_Dato,$A420))*2,0)/2)))</f>
        <v/>
      </c>
      <c r="T420">
        <f>IF(OR(T$4="",$A420&gt;TODAY()),0,IF(OR(INDEX($B420:$D420,T$5)="F",AND(T$6&gt;0,$A420&lt;T$6),AND(T$7&gt;0,$A420&gt;T$7)),0,MAX(0,ROUND((INDEX($E420:$G420,T$5)-SUMIFS(TF_Timer,TF_Tekniker,T$4,TF_Dato,$A420))*2,0)/2)))</f>
        <v/>
      </c>
      <c r="U420">
        <f>IF(OR(U$4="",$A420&gt;TODAY()),0,IF(OR(INDEX($B420:$D420,U$5)="F",AND(U$6&gt;0,$A420&lt;U$6),AND(U$7&gt;0,$A420&gt;U$7)),0,MAX(0,ROUND((INDEX($E420:$G420,U$5)-SUMIFS(TF_Timer,TF_Tekniker,U$4,TF_Dato,$A420))*2,0)/2)))</f>
        <v/>
      </c>
      <c r="V420">
        <f>IF(OR(V$4="",$A420&gt;TODAY()),0,IF(OR(INDEX($B420:$D420,V$5)="F",AND(V$6&gt;0,$A420&lt;V$6),AND(V$7&gt;0,$A420&gt;V$7)),0,MAX(0,ROUND((INDEX($E420:$G420,V$5)-SUMIFS(TF_Timer,TF_Tekniker,V$4,TF_Dato,$A420))*2,0)/2)))</f>
        <v/>
      </c>
      <c r="W420">
        <f>IF(OR(W$4="",$A420&gt;TODAY()),0,IF(OR(INDEX($B420:$D420,W$5)="F",AND(W$6&gt;0,$A420&lt;W$6),AND(W$7&gt;0,$A420&gt;W$7)),0,MAX(0,ROUND((INDEX($E420:$G420,W$5)-SUMIFS(TF_Timer,TF_Tekniker,W$4,TF_Dato,$A420))*2,0)/2)))</f>
        <v/>
      </c>
      <c r="X420">
        <f>IF(OR(X$4="",$A420&gt;TODAY()),0,IF(OR(INDEX($B420:$D420,X$5)="F",AND(X$6&gt;0,$A420&lt;X$6),AND(X$7&gt;0,$A420&gt;X$7)),0,MAX(0,ROUND((INDEX($E420:$G420,X$5)-SUMIFS(TF_Timer,TF_Tekniker,X$4,TF_Dato,$A420))*2,0)/2)))</f>
        <v/>
      </c>
      <c r="Y420">
        <f>IF(OR(Y$4="",$A420&gt;TODAY()),0,IF(OR(INDEX($B420:$D420,Y$5)="F",AND(Y$6&gt;0,$A420&lt;Y$6),AND(Y$7&gt;0,$A420&gt;Y$7)),0,MAX(0,ROUND((INDEX($E420:$G420,Y$5)-SUMIFS(TF_Timer,TF_Tekniker,Y$4,TF_Dato,$A420))*2,0)/2)))</f>
        <v/>
      </c>
      <c r="Z420">
        <f>IF(OR(Z$4="",$A420&gt;TODAY()),0,IF(OR(INDEX($B420:$D420,Z$5)="F",AND(Z$6&gt;0,$A420&lt;Z$6),AND(Z$7&gt;0,$A420&gt;Z$7)),0,MAX(0,ROUND((INDEX($E420:$G420,Z$5)-SUMIFS(TF_Timer,TF_Tekniker,Z$4,TF_Dato,$A420))*2,0)/2)))</f>
        <v/>
      </c>
      <c r="AA420">
        <f>IF(OR(AA$4="",$A420&gt;TODAY()),0,IF(OR(INDEX($B420:$D420,AA$5)="F",AND(AA$6&gt;0,$A420&lt;AA$6),AND(AA$7&gt;0,$A420&gt;AA$7)),0,MAX(0,ROUND((INDEX($E420:$G420,AA$5)-SUMIFS(TF_Timer,TF_Tekniker,AA$4,TF_Dato,$A420))*2,0)/2)))</f>
        <v/>
      </c>
      <c r="AB420">
        <f>IF(OR(AB$4="",$A420&gt;TODAY()),0,IF(OR(INDEX($B420:$D420,AB$5)="F",AND(AB$6&gt;0,$A420&lt;AB$6),AND(AB$7&gt;0,$A420&gt;AB$7)),0,MAX(0,ROUND((INDEX($E420:$G420,AB$5)-SUMIFS(TF_Timer,TF_Tekniker,AB$4,TF_Dato,$A420))*2,0)/2)))</f>
        <v/>
      </c>
      <c r="AC420">
        <f>IF(OR(AC$4="",$A420&gt;TODAY()),0,IF(OR(INDEX($B420:$D420,AC$5)="F",AND(AC$6&gt;0,$A420&lt;AC$6),AND(AC$7&gt;0,$A420&gt;AC$7)),0,MAX(0,ROUND((INDEX($E420:$G420,AC$5)-SUMIFS(TF_Timer,TF_Tekniker,AC$4,TF_Dato,$A420))*2,0)/2)))</f>
        <v/>
      </c>
      <c r="AD420">
        <f>IF(OR(AD$4="",$A420&gt;TODAY()),0,IF(OR(INDEX($B420:$D420,AD$5)="F",AND(AD$6&gt;0,$A420&lt;AD$6),AND(AD$7&gt;0,$A420&gt;AD$7)),0,MAX(0,ROUND((INDEX($E420:$G420,AD$5)-SUMIFS(TF_Timer,TF_Tekniker,AD$4,TF_Dato,$A420))*2,0)/2)))</f>
        <v/>
      </c>
      <c r="AE420">
        <f>IF(OR(AE$4="",$A420&gt;TODAY()),0,IF(OR(INDEX($B420:$D420,AE$5)="F",AND(AE$6&gt;0,$A420&lt;AE$6),AND(AE$7&gt;0,$A420&gt;AE$7)),0,MAX(0,ROUND((INDEX($E420:$G420,AE$5)-SUMIFS(TF_Timer,TF_Tekniker,AE$4,TF_Dato,$A420))*2,0)/2)))</f>
        <v/>
      </c>
      <c r="AF420">
        <f>IF(OR(AF$4="",$A420&gt;TODAY()),0,IF(OR(INDEX($B420:$D420,AF$5)="F",AND(AF$6&gt;0,$A420&lt;AF$6),AND(AF$7&gt;0,$A420&gt;AF$7)),0,MAX(0,ROUND((INDEX($E420:$G420,AF$5)-SUMIFS(TF_Timer,TF_Tekniker,AF$4,TF_Dato,$A420))*2,0)/2)))</f>
        <v/>
      </c>
      <c r="AG420">
        <f>IF(OR(AG$4="",$A420&gt;TODAY()),0,IF(OR(INDEX($B420:$D420,AG$5)="F",AND(AG$6&gt;0,$A420&lt;AG$6),AND(AG$7&gt;0,$A420&gt;AG$7)),0,MAX(0,ROUND((INDEX($E420:$G420,AG$5)-SUMIFS(TF_Timer,TF_Tekniker,AG$4,TF_Dato,$A420))*2,0)/2)))</f>
        <v/>
      </c>
      <c r="AH420">
        <f>IF(OR(AH$4="",$A420&gt;TODAY()),0,IF(OR(INDEX($B420:$D420,AH$5)="F",AND(AH$6&gt;0,$A420&lt;AH$6),AND(AH$7&gt;0,$A420&gt;AH$7)),0,MAX(0,ROUND((INDEX($E420:$G420,AH$5)-SUMIFS(TF_Timer,TF_Tekniker,AH$4,TF_Dato,$A420))*2,0)/2)))</f>
        <v/>
      </c>
      <c r="AI420">
        <f>IF(OR(AI$4="",$A420&gt;TODAY()),0,IF(OR(INDEX($B420:$D420,AI$5)="F",AND(AI$6&gt;0,$A420&lt;AI$6),AND(AI$7&gt;0,$A420&gt;AI$7)),0,MAX(0,ROUND((INDEX($E420:$G420,AI$5)-SUMIFS(TF_Timer,TF_Tekniker,AI$4,TF_Dato,$A420))*2,0)/2)))</f>
        <v/>
      </c>
      <c r="AJ420">
        <f>IF(OR(AJ$4="",$A420&gt;TODAY()),0,IF(OR(INDEX($B420:$D420,AJ$5)="F",AND(AJ$6&gt;0,$A420&lt;AJ$6),AND(AJ$7&gt;0,$A420&gt;AJ$7)),0,MAX(0,ROUND((INDEX($E420:$G420,AJ$5)-SUMIFS(TF_Timer,TF_Tekniker,AJ$4,TF_Dato,$A420))*2,0)/2)))</f>
        <v/>
      </c>
      <c r="AK420">
        <f>IF(OR(AK$4="",$A420&gt;TODAY()),0,IF(OR(INDEX($B420:$D420,AK$5)="F",AND(AK$6&gt;0,$A420&lt;AK$6),AND(AK$7&gt;0,$A420&gt;AK$7)),0,MAX(0,ROUND((INDEX($E420:$G420,AK$5)-SUMIFS(TF_Timer,TF_Tekniker,AK$4,TF_Dato,$A420))*2,0)/2)))</f>
        <v/>
      </c>
      <c r="AL420">
        <f>IF(OR(AL$4="",$A420&gt;TODAY()),0,IF(OR(INDEX($B420:$D420,AL$5)="F",AND(AL$6&gt;0,$A420&lt;AL$6),AND(AL$7&gt;0,$A420&gt;AL$7)),0,MAX(0,ROUND((INDEX($E420:$G420,AL$5)-SUMIFS(TF_Timer,TF_Tekniker,AL$4,TF_Dato,$A420))*2,0)/2)))</f>
        <v/>
      </c>
      <c r="AM420">
        <f>IF(OR(AM$4="",$A420&gt;TODAY()),0,IF(OR(INDEX($B420:$D420,AM$5)="F",AND(AM$6&gt;0,$A420&lt;AM$6),AND(AM$7&gt;0,$A420&gt;AM$7)),0,MAX(0,ROUND((INDEX($E420:$G420,AM$5)-SUMIFS(TF_Timer,TF_Tekniker,AM$4,TF_Dato,$A420))*2,0)/2)))</f>
        <v/>
      </c>
      <c r="AN420">
        <f>IF(OR(AN$4="",$A420&gt;TODAY()),0,IF(OR(INDEX($B420:$D420,AN$5)="F",AND(AN$6&gt;0,$A420&lt;AN$6),AND(AN$7&gt;0,$A420&gt;AN$7)),0,MAX(0,ROUND((INDEX($E420:$G420,AN$5)-SUMIFS(TF_Timer,TF_Tekniker,AN$4,TF_Dato,$A420))*2,0)/2)))</f>
        <v/>
      </c>
      <c r="AO420">
        <f>IF(OR(AO$4="",$A420&gt;TODAY()),0,IF(OR(INDEX($B420:$D420,AO$5)="F",AND(AO$6&gt;0,$A420&lt;AO$6),AND(AO$7&gt;0,$A420&gt;AO$7)),0,MAX(0,ROUND((INDEX($E420:$G420,AO$5)-SUMIFS(TF_Timer,TF_Tekniker,AO$4,TF_Dato,$A420))*2,0)/2)))</f>
        <v/>
      </c>
      <c r="AP420">
        <f>IF(OR(AP$4="",$A420&gt;TODAY()),0,IF(OR(INDEX($B420:$D420,AP$5)="F",AND(AP$6&gt;0,$A420&lt;AP$6),AND(AP$7&gt;0,$A420&gt;AP$7)),0,MAX(0,ROUND((INDEX($E420:$G420,AP$5)-SUMIFS(TF_Timer,TF_Tekniker,AP$4,TF_Dato,$A420))*2,0)/2)))</f>
        <v/>
      </c>
      <c r="AQ420">
        <f>IF(OR(AQ$4="",$A420&gt;TODAY()),0,IF(OR(INDEX($B420:$D420,AQ$5)="F",AND(AQ$6&gt;0,$A420&lt;AQ$6),AND(AQ$7&gt;0,$A420&gt;AQ$7)),0,MAX(0,ROUND((INDEX($E420:$G420,AQ$5)-SUMIFS(TF_Timer,TF_Tekniker,AQ$4,TF_Dato,$A420))*2,0)/2)))</f>
        <v/>
      </c>
      <c r="AR420">
        <f>IF(OR(AR$4="",$A420&gt;TODAY()),0,IF(OR(INDEX($B420:$D420,AR$5)="F",AND(AR$6&gt;0,$A420&lt;AR$6),AND(AR$7&gt;0,$A420&gt;AR$7)),0,MAX(0,ROUND((INDEX($E420:$G420,AR$5)-SUMIFS(TF_Timer,TF_Tekniker,AR$4,TF_Dato,$A420))*2,0)/2)))</f>
        <v/>
      </c>
      <c r="AS420">
        <f>IF(OR(AS$4="",$A420&gt;TODAY()),0,IF(OR(INDEX($B420:$D420,AS$5)="F",AND(AS$6&gt;0,$A420&lt;AS$6),AND(AS$7&gt;0,$A420&gt;AS$7)),0,MAX(0,ROUND((INDEX($E420:$G420,AS$5)-SUMIFS(TF_Timer,TF_Tekniker,AS$4,TF_Dato,$A420))*2,0)/2)))</f>
        <v/>
      </c>
      <c r="AT420">
        <f>IF(OR(AT$4="",$A420&gt;TODAY()),0,IF(OR(INDEX($B420:$D420,AT$5)="F",AND(AT$6&gt;0,$A420&lt;AT$6),AND(AT$7&gt;0,$A420&gt;AT$7)),0,MAX(0,ROUND((INDEX($E420:$G420,AT$5)-SUMIFS(TF_Timer,TF_Tekniker,AT$4,TF_Dato,$A420))*2,0)/2)))</f>
        <v/>
      </c>
      <c r="AU420">
        <f>IF(OR(AU$4="",$A420&gt;TODAY()),0,IF(OR(INDEX($B420:$D420,AU$5)="F",AND(AU$6&gt;0,$A420&lt;AU$6),AND(AU$7&gt;0,$A420&gt;AU$7)),0,MAX(0,ROUND((INDEX($E420:$G420,AU$5)-SUMIFS(TF_Timer,TF_Tekniker,AU$4,TF_Dato,$A420))*2,0)/2)))</f>
        <v/>
      </c>
      <c r="AV420">
        <f>IF(OR(AV$4="",$A420&gt;TODAY()),0,IF(OR(INDEX($B420:$D420,AV$5)="F",AND(AV$6&gt;0,$A420&lt;AV$6),AND(AV$7&gt;0,$A420&gt;AV$7)),0,MAX(0,ROUND((INDEX($E420:$G420,AV$5)-SUMIFS(TF_Timer,TF_Tekniker,AV$4,TF_Dato,$A420))*2,0)/2)))</f>
        <v/>
      </c>
      <c r="AW420">
        <f>IF(OR(AW$4="",$A420&gt;TODAY()),0,IF(OR(INDEX($B420:$D420,AW$5)="F",AND(AW$6&gt;0,$A420&lt;AW$6),AND(AW$7&gt;0,$A420&gt;AW$7)),0,MAX(0,ROUND((INDEX($E420:$G420,AW$5)-SUMIFS(TF_Timer,TF_Tekniker,AW$4,TF_Dato,$A420))*2,0)/2)))</f>
        <v/>
      </c>
      <c r="AX420">
        <f>IF(OR(AX$4="",$A420&gt;TODAY()),0,IF(OR(INDEX($B420:$D420,AX$5)="F",AND(AX$6&gt;0,$A420&lt;AX$6),AND(AX$7&gt;0,$A420&gt;AX$7)),0,MAX(0,ROUND((INDEX($E420:$G420,AX$5)-SUMIFS(TF_Timer,TF_Tekniker,AX$4,TF_Dato,$A420))*2,0)/2)))</f>
        <v/>
      </c>
      <c r="AY420">
        <f>IF(OR(AY$4="",$A420&gt;TODAY()),0,IF(OR(INDEX($B420:$D420,AY$5)="F",AND(AY$6&gt;0,$A420&lt;AY$6),AND(AY$7&gt;0,$A420&gt;AY$7)),0,MAX(0,ROUND((INDEX($E420:$G420,AY$5)-SUMIFS(TF_Timer,TF_Tekniker,AY$4,TF_Dato,$A420))*2,0)/2)))</f>
        <v/>
      </c>
      <c r="AZ420">
        <f>IF(OR(AZ$4="",$A420&gt;TODAY()),0,IF(OR(INDEX($B420:$D420,AZ$5)="F",AND(AZ$6&gt;0,$A420&lt;AZ$6),AND(AZ$7&gt;0,$A420&gt;AZ$7)),0,MAX(0,ROUND((INDEX($E420:$G420,AZ$5)-SUMIFS(TF_Timer,TF_Tekniker,AZ$4,TF_Dato,$A420))*2,0)/2)))</f>
        <v/>
      </c>
      <c r="BA420">
        <f>IF(OR(BA$4="",$A420&gt;TODAY()),0,IF(OR(INDEX($B420:$D420,BA$5)="F",AND(BA$6&gt;0,$A420&lt;BA$6),AND(BA$7&gt;0,$A420&gt;BA$7)),0,MAX(0,ROUND((INDEX($E420:$G420,BA$5)-SUMIFS(TF_Timer,TF_Tekniker,BA$4,TF_Dato,$A420))*2,0)/2)))</f>
        <v/>
      </c>
      <c r="BB420">
        <f>IF(OR(BB$4="",$A420&gt;TODAY()),0,IF(OR(INDEX($B420:$D420,BB$5)="F",AND(BB$6&gt;0,$A420&lt;BB$6),AND(BB$7&gt;0,$A420&gt;BB$7)),0,MAX(0,ROUND((INDEX($E420:$G420,BB$5)-SUMIFS(TF_Timer,TF_Tekniker,BB$4,TF_Dato,$A420))*2,0)/2)))</f>
        <v/>
      </c>
      <c r="BC420">
        <f>IF(OR(BC$4="",$A420&gt;TODAY()),0,IF(OR(INDEX($B420:$D420,BC$5)="F",AND(BC$6&gt;0,$A420&lt;BC$6),AND(BC$7&gt;0,$A420&gt;BC$7)),0,MAX(0,ROUND((INDEX($E420:$G420,BC$5)-SUMIFS(TF_Timer,TF_Tekniker,BC$4,TF_Dato,$A420))*2,0)/2)))</f>
        <v/>
      </c>
      <c r="BD420">
        <f>IF(OR(BD$4="",$A420&gt;TODAY()),0,IF(OR(INDEX($B420:$D420,BD$5)="F",AND(BD$6&gt;0,$A420&lt;BD$6),AND(BD$7&gt;0,$A420&gt;BD$7)),0,MAX(0,ROUND((INDEX($E420:$G420,BD$5)-SUMIFS(TF_Timer,TF_Tekniker,BD$4,TF_Dato,$A420))*2,0)/2)))</f>
        <v/>
      </c>
      <c r="BE420">
        <f>IF(OR(BE$4="",$A420&gt;TODAY()),0,IF(OR(INDEX($B420:$D420,BE$5)="F",AND(BE$6&gt;0,$A420&lt;BE$6),AND(BE$7&gt;0,$A420&gt;BE$7)),0,MAX(0,ROUND((INDEX($E420:$G420,BE$5)-SUMIFS(TF_Timer,TF_Tekniker,BE$4,TF_Dato,$A420))*2,0)/2)))</f>
        <v/>
      </c>
      <c r="BF420">
        <f>IF(OR(BF$4="",$A420&gt;TODAY()),0,IF(OR(INDEX($B420:$D420,BF$5)="F",AND(BF$6&gt;0,$A420&lt;BF$6),AND(BF$7&gt;0,$A420&gt;BF$7)),0,MAX(0,ROUND((INDEX($E420:$G420,BF$5)-SUMIFS(TF_Timer,TF_Tekniker,BF$4,TF_Dato,$A420))*2,0)/2)))</f>
        <v/>
      </c>
      <c r="BG420">
        <f>IF(OR(BG$4="",$A420&gt;TODAY()),0,IF(OR(INDEX($B420:$D420,BG$5)="F",AND(BG$6&gt;0,$A420&lt;BG$6),AND(BG$7&gt;0,$A420&gt;BG$7)),0,MAX(0,ROUND((INDEX($E420:$G420,BG$5)-SUMIFS(TF_Timer,TF_Tekniker,BG$4,TF_Dato,$A420))*2,0)/2)))</f>
        <v/>
      </c>
      <c r="BH420">
        <f>IF(OR(BH$4="",$A420&gt;TODAY()),0,IF(OR(INDEX($B420:$D420,BH$5)="F",AND(BH$6&gt;0,$A420&lt;BH$6),AND(BH$7&gt;0,$A420&gt;BH$7)),0,MAX(0,ROUND((INDEX($E420:$G420,BH$5)-SUMIFS(TF_Timer,TF_Tekniker,BH$4,TF_Dato,$A420))*2,0)/2)))</f>
        <v/>
      </c>
      <c r="BI420">
        <f>IF(OR(BI$4="",$A420&gt;TODAY()),0,IF(OR(INDEX($B420:$D420,BI$5)="F",AND(BI$6&gt;0,$A420&lt;BI$6),AND(BI$7&gt;0,$A420&gt;BI$7)),0,MAX(0,ROUND((INDEX($E420:$G420,BI$5)-SUMIFS(TF_Timer,TF_Tekniker,BI$4,TF_Dato,$A420))*2,0)/2)))</f>
        <v/>
      </c>
    </row>
    <row r="421">
      <c r="A421" s="64">
        <f>A420+1</f>
        <v/>
      </c>
      <c r="B421">
        <f>IF(MOD($A421-INDEX(SkiftStart,1),Syklus)&lt;DagK,"K",IF(MOD($A421-INDEX(SkiftStart,1),Syklus)&lt;DagK+DagH,"H",IF(MOD($A421-INDEX(SkiftStart,1),Syklus)&lt;DagK+DagH+DagD,"D","F")))</f>
        <v/>
      </c>
      <c r="C421">
        <f>IF(MOD($A421-INDEX(SkiftStart,2),Syklus)&lt;DagK,"K",IF(MOD($A421-INDEX(SkiftStart,2),Syklus)&lt;DagK+DagH,"H",IF(MOD($A421-INDEX(SkiftStart,2),Syklus)&lt;DagK+DagH+DagD,"D","F")))</f>
        <v/>
      </c>
      <c r="D421">
        <f>IF(MOD($A421-INDEX(SkiftStart,3),Syklus)&lt;DagK,"K",IF(MOD($A421-INDEX(SkiftStart,3),Syklus)&lt;DagK+DagH,"H",IF(MOD($A421-INDEX(SkiftStart,3),Syklus)&lt;DagK+DagH+DagD,"D","F")))</f>
        <v/>
      </c>
      <c r="E421">
        <f>IF(B421="F",0,IF(WEEKDAY($A421,2)=5,INDEX(TimerFr,MATCH(B421,FaseKode,0)),INDEX(TimerMT,MATCH(B421,FaseKode,0))))</f>
        <v/>
      </c>
      <c r="F421">
        <f>IF(C421="F",0,IF(WEEKDAY($A421,2)=5,INDEX(TimerFr,MATCH(C421,FaseKode,0)),INDEX(TimerMT,MATCH(C421,FaseKode,0))))</f>
        <v/>
      </c>
      <c r="G421">
        <f>IF(D421="F",0,IF(WEEKDAY($A421,2)=5,INDEX(TimerFr,MATCH(D421,FaseKode,0)),INDEX(TimerMT,MATCH(D421,FaseKode,0))))</f>
        <v/>
      </c>
      <c r="H421">
        <f>IF(OR(H$4="",$A421&gt;TODAY()),0,IF(OR(INDEX($B421:$D421,H$5)="F",AND(H$6&gt;0,$A421&lt;H$6),AND(H$7&gt;0,$A421&gt;H$7)),0,MAX(0,ROUND((INDEX($E421:$G421,H$5)-SUMIFS(TF_Timer,TF_Tekniker,H$4,TF_Dato,$A421))*2,0)/2)))</f>
        <v/>
      </c>
      <c r="I421">
        <f>IF(OR(I$4="",$A421&gt;TODAY()),0,IF(OR(INDEX($B421:$D421,I$5)="F",AND(I$6&gt;0,$A421&lt;I$6),AND(I$7&gt;0,$A421&gt;I$7)),0,MAX(0,ROUND((INDEX($E421:$G421,I$5)-SUMIFS(TF_Timer,TF_Tekniker,I$4,TF_Dato,$A421))*2,0)/2)))</f>
        <v/>
      </c>
      <c r="J421">
        <f>IF(OR(J$4="",$A421&gt;TODAY()),0,IF(OR(INDEX($B421:$D421,J$5)="F",AND(J$6&gt;0,$A421&lt;J$6),AND(J$7&gt;0,$A421&gt;J$7)),0,MAX(0,ROUND((INDEX($E421:$G421,J$5)-SUMIFS(TF_Timer,TF_Tekniker,J$4,TF_Dato,$A421))*2,0)/2)))</f>
        <v/>
      </c>
      <c r="K421">
        <f>IF(OR(K$4="",$A421&gt;TODAY()),0,IF(OR(INDEX($B421:$D421,K$5)="F",AND(K$6&gt;0,$A421&lt;K$6),AND(K$7&gt;0,$A421&gt;K$7)),0,MAX(0,ROUND((INDEX($E421:$G421,K$5)-SUMIFS(TF_Timer,TF_Tekniker,K$4,TF_Dato,$A421))*2,0)/2)))</f>
        <v/>
      </c>
      <c r="L421">
        <f>IF(OR(L$4="",$A421&gt;TODAY()),0,IF(OR(INDEX($B421:$D421,L$5)="F",AND(L$6&gt;0,$A421&lt;L$6),AND(L$7&gt;0,$A421&gt;L$7)),0,MAX(0,ROUND((INDEX($E421:$G421,L$5)-SUMIFS(TF_Timer,TF_Tekniker,L$4,TF_Dato,$A421))*2,0)/2)))</f>
        <v/>
      </c>
      <c r="M421">
        <f>IF(OR(M$4="",$A421&gt;TODAY()),0,IF(OR(INDEX($B421:$D421,M$5)="F",AND(M$6&gt;0,$A421&lt;M$6),AND(M$7&gt;0,$A421&gt;M$7)),0,MAX(0,ROUND((INDEX($E421:$G421,M$5)-SUMIFS(TF_Timer,TF_Tekniker,M$4,TF_Dato,$A421))*2,0)/2)))</f>
        <v/>
      </c>
      <c r="N421">
        <f>IF(OR(N$4="",$A421&gt;TODAY()),0,IF(OR(INDEX($B421:$D421,N$5)="F",AND(N$6&gt;0,$A421&lt;N$6),AND(N$7&gt;0,$A421&gt;N$7)),0,MAX(0,ROUND((INDEX($E421:$G421,N$5)-SUMIFS(TF_Timer,TF_Tekniker,N$4,TF_Dato,$A421))*2,0)/2)))</f>
        <v/>
      </c>
      <c r="O421">
        <f>IF(OR(O$4="",$A421&gt;TODAY()),0,IF(OR(INDEX($B421:$D421,O$5)="F",AND(O$6&gt;0,$A421&lt;O$6),AND(O$7&gt;0,$A421&gt;O$7)),0,MAX(0,ROUND((INDEX($E421:$G421,O$5)-SUMIFS(TF_Timer,TF_Tekniker,O$4,TF_Dato,$A421))*2,0)/2)))</f>
        <v/>
      </c>
      <c r="P421">
        <f>IF(OR(P$4="",$A421&gt;TODAY()),0,IF(OR(INDEX($B421:$D421,P$5)="F",AND(P$6&gt;0,$A421&lt;P$6),AND(P$7&gt;0,$A421&gt;P$7)),0,MAX(0,ROUND((INDEX($E421:$G421,P$5)-SUMIFS(TF_Timer,TF_Tekniker,P$4,TF_Dato,$A421))*2,0)/2)))</f>
        <v/>
      </c>
      <c r="Q421">
        <f>IF(OR(Q$4="",$A421&gt;TODAY()),0,IF(OR(INDEX($B421:$D421,Q$5)="F",AND(Q$6&gt;0,$A421&lt;Q$6),AND(Q$7&gt;0,$A421&gt;Q$7)),0,MAX(0,ROUND((INDEX($E421:$G421,Q$5)-SUMIFS(TF_Timer,TF_Tekniker,Q$4,TF_Dato,$A421))*2,0)/2)))</f>
        <v/>
      </c>
      <c r="R421">
        <f>IF(OR(R$4="",$A421&gt;TODAY()),0,IF(OR(INDEX($B421:$D421,R$5)="F",AND(R$6&gt;0,$A421&lt;R$6),AND(R$7&gt;0,$A421&gt;R$7)),0,MAX(0,ROUND((INDEX($E421:$G421,R$5)-SUMIFS(TF_Timer,TF_Tekniker,R$4,TF_Dato,$A421))*2,0)/2)))</f>
        <v/>
      </c>
      <c r="S421">
        <f>IF(OR(S$4="",$A421&gt;TODAY()),0,IF(OR(INDEX($B421:$D421,S$5)="F",AND(S$6&gt;0,$A421&lt;S$6),AND(S$7&gt;0,$A421&gt;S$7)),0,MAX(0,ROUND((INDEX($E421:$G421,S$5)-SUMIFS(TF_Timer,TF_Tekniker,S$4,TF_Dato,$A421))*2,0)/2)))</f>
        <v/>
      </c>
      <c r="T421">
        <f>IF(OR(T$4="",$A421&gt;TODAY()),0,IF(OR(INDEX($B421:$D421,T$5)="F",AND(T$6&gt;0,$A421&lt;T$6),AND(T$7&gt;0,$A421&gt;T$7)),0,MAX(0,ROUND((INDEX($E421:$G421,T$5)-SUMIFS(TF_Timer,TF_Tekniker,T$4,TF_Dato,$A421))*2,0)/2)))</f>
        <v/>
      </c>
      <c r="U421">
        <f>IF(OR(U$4="",$A421&gt;TODAY()),0,IF(OR(INDEX($B421:$D421,U$5)="F",AND(U$6&gt;0,$A421&lt;U$6),AND(U$7&gt;0,$A421&gt;U$7)),0,MAX(0,ROUND((INDEX($E421:$G421,U$5)-SUMIFS(TF_Timer,TF_Tekniker,U$4,TF_Dato,$A421))*2,0)/2)))</f>
        <v/>
      </c>
      <c r="V421">
        <f>IF(OR(V$4="",$A421&gt;TODAY()),0,IF(OR(INDEX($B421:$D421,V$5)="F",AND(V$6&gt;0,$A421&lt;V$6),AND(V$7&gt;0,$A421&gt;V$7)),0,MAX(0,ROUND((INDEX($E421:$G421,V$5)-SUMIFS(TF_Timer,TF_Tekniker,V$4,TF_Dato,$A421))*2,0)/2)))</f>
        <v/>
      </c>
      <c r="W421">
        <f>IF(OR(W$4="",$A421&gt;TODAY()),0,IF(OR(INDEX($B421:$D421,W$5)="F",AND(W$6&gt;0,$A421&lt;W$6),AND(W$7&gt;0,$A421&gt;W$7)),0,MAX(0,ROUND((INDEX($E421:$G421,W$5)-SUMIFS(TF_Timer,TF_Tekniker,W$4,TF_Dato,$A421))*2,0)/2)))</f>
        <v/>
      </c>
      <c r="X421">
        <f>IF(OR(X$4="",$A421&gt;TODAY()),0,IF(OR(INDEX($B421:$D421,X$5)="F",AND(X$6&gt;0,$A421&lt;X$6),AND(X$7&gt;0,$A421&gt;X$7)),0,MAX(0,ROUND((INDEX($E421:$G421,X$5)-SUMIFS(TF_Timer,TF_Tekniker,X$4,TF_Dato,$A421))*2,0)/2)))</f>
        <v/>
      </c>
      <c r="Y421">
        <f>IF(OR(Y$4="",$A421&gt;TODAY()),0,IF(OR(INDEX($B421:$D421,Y$5)="F",AND(Y$6&gt;0,$A421&lt;Y$6),AND(Y$7&gt;0,$A421&gt;Y$7)),0,MAX(0,ROUND((INDEX($E421:$G421,Y$5)-SUMIFS(TF_Timer,TF_Tekniker,Y$4,TF_Dato,$A421))*2,0)/2)))</f>
        <v/>
      </c>
      <c r="Z421">
        <f>IF(OR(Z$4="",$A421&gt;TODAY()),0,IF(OR(INDEX($B421:$D421,Z$5)="F",AND(Z$6&gt;0,$A421&lt;Z$6),AND(Z$7&gt;0,$A421&gt;Z$7)),0,MAX(0,ROUND((INDEX($E421:$G421,Z$5)-SUMIFS(TF_Timer,TF_Tekniker,Z$4,TF_Dato,$A421))*2,0)/2)))</f>
        <v/>
      </c>
      <c r="AA421">
        <f>IF(OR(AA$4="",$A421&gt;TODAY()),0,IF(OR(INDEX($B421:$D421,AA$5)="F",AND(AA$6&gt;0,$A421&lt;AA$6),AND(AA$7&gt;0,$A421&gt;AA$7)),0,MAX(0,ROUND((INDEX($E421:$G421,AA$5)-SUMIFS(TF_Timer,TF_Tekniker,AA$4,TF_Dato,$A421))*2,0)/2)))</f>
        <v/>
      </c>
      <c r="AB421">
        <f>IF(OR(AB$4="",$A421&gt;TODAY()),0,IF(OR(INDEX($B421:$D421,AB$5)="F",AND(AB$6&gt;0,$A421&lt;AB$6),AND(AB$7&gt;0,$A421&gt;AB$7)),0,MAX(0,ROUND((INDEX($E421:$G421,AB$5)-SUMIFS(TF_Timer,TF_Tekniker,AB$4,TF_Dato,$A421))*2,0)/2)))</f>
        <v/>
      </c>
      <c r="AC421">
        <f>IF(OR(AC$4="",$A421&gt;TODAY()),0,IF(OR(INDEX($B421:$D421,AC$5)="F",AND(AC$6&gt;0,$A421&lt;AC$6),AND(AC$7&gt;0,$A421&gt;AC$7)),0,MAX(0,ROUND((INDEX($E421:$G421,AC$5)-SUMIFS(TF_Timer,TF_Tekniker,AC$4,TF_Dato,$A421))*2,0)/2)))</f>
        <v/>
      </c>
      <c r="AD421">
        <f>IF(OR(AD$4="",$A421&gt;TODAY()),0,IF(OR(INDEX($B421:$D421,AD$5)="F",AND(AD$6&gt;0,$A421&lt;AD$6),AND(AD$7&gt;0,$A421&gt;AD$7)),0,MAX(0,ROUND((INDEX($E421:$G421,AD$5)-SUMIFS(TF_Timer,TF_Tekniker,AD$4,TF_Dato,$A421))*2,0)/2)))</f>
        <v/>
      </c>
      <c r="AE421">
        <f>IF(OR(AE$4="",$A421&gt;TODAY()),0,IF(OR(INDEX($B421:$D421,AE$5)="F",AND(AE$6&gt;0,$A421&lt;AE$6),AND(AE$7&gt;0,$A421&gt;AE$7)),0,MAX(0,ROUND((INDEX($E421:$G421,AE$5)-SUMIFS(TF_Timer,TF_Tekniker,AE$4,TF_Dato,$A421))*2,0)/2)))</f>
        <v/>
      </c>
      <c r="AF421">
        <f>IF(OR(AF$4="",$A421&gt;TODAY()),0,IF(OR(INDEX($B421:$D421,AF$5)="F",AND(AF$6&gt;0,$A421&lt;AF$6),AND(AF$7&gt;0,$A421&gt;AF$7)),0,MAX(0,ROUND((INDEX($E421:$G421,AF$5)-SUMIFS(TF_Timer,TF_Tekniker,AF$4,TF_Dato,$A421))*2,0)/2)))</f>
        <v/>
      </c>
      <c r="AG421">
        <f>IF(OR(AG$4="",$A421&gt;TODAY()),0,IF(OR(INDEX($B421:$D421,AG$5)="F",AND(AG$6&gt;0,$A421&lt;AG$6),AND(AG$7&gt;0,$A421&gt;AG$7)),0,MAX(0,ROUND((INDEX($E421:$G421,AG$5)-SUMIFS(TF_Timer,TF_Tekniker,AG$4,TF_Dato,$A421))*2,0)/2)))</f>
        <v/>
      </c>
      <c r="AH421">
        <f>IF(OR(AH$4="",$A421&gt;TODAY()),0,IF(OR(INDEX($B421:$D421,AH$5)="F",AND(AH$6&gt;0,$A421&lt;AH$6),AND(AH$7&gt;0,$A421&gt;AH$7)),0,MAX(0,ROUND((INDEX($E421:$G421,AH$5)-SUMIFS(TF_Timer,TF_Tekniker,AH$4,TF_Dato,$A421))*2,0)/2)))</f>
        <v/>
      </c>
      <c r="AI421">
        <f>IF(OR(AI$4="",$A421&gt;TODAY()),0,IF(OR(INDEX($B421:$D421,AI$5)="F",AND(AI$6&gt;0,$A421&lt;AI$6),AND(AI$7&gt;0,$A421&gt;AI$7)),0,MAX(0,ROUND((INDEX($E421:$G421,AI$5)-SUMIFS(TF_Timer,TF_Tekniker,AI$4,TF_Dato,$A421))*2,0)/2)))</f>
        <v/>
      </c>
      <c r="AJ421">
        <f>IF(OR(AJ$4="",$A421&gt;TODAY()),0,IF(OR(INDEX($B421:$D421,AJ$5)="F",AND(AJ$6&gt;0,$A421&lt;AJ$6),AND(AJ$7&gt;0,$A421&gt;AJ$7)),0,MAX(0,ROUND((INDEX($E421:$G421,AJ$5)-SUMIFS(TF_Timer,TF_Tekniker,AJ$4,TF_Dato,$A421))*2,0)/2)))</f>
        <v/>
      </c>
      <c r="AK421">
        <f>IF(OR(AK$4="",$A421&gt;TODAY()),0,IF(OR(INDEX($B421:$D421,AK$5)="F",AND(AK$6&gt;0,$A421&lt;AK$6),AND(AK$7&gt;0,$A421&gt;AK$7)),0,MAX(0,ROUND((INDEX($E421:$G421,AK$5)-SUMIFS(TF_Timer,TF_Tekniker,AK$4,TF_Dato,$A421))*2,0)/2)))</f>
        <v/>
      </c>
      <c r="AL421">
        <f>IF(OR(AL$4="",$A421&gt;TODAY()),0,IF(OR(INDEX($B421:$D421,AL$5)="F",AND(AL$6&gt;0,$A421&lt;AL$6),AND(AL$7&gt;0,$A421&gt;AL$7)),0,MAX(0,ROUND((INDEX($E421:$G421,AL$5)-SUMIFS(TF_Timer,TF_Tekniker,AL$4,TF_Dato,$A421))*2,0)/2)))</f>
        <v/>
      </c>
      <c r="AM421">
        <f>IF(OR(AM$4="",$A421&gt;TODAY()),0,IF(OR(INDEX($B421:$D421,AM$5)="F",AND(AM$6&gt;0,$A421&lt;AM$6),AND(AM$7&gt;0,$A421&gt;AM$7)),0,MAX(0,ROUND((INDEX($E421:$G421,AM$5)-SUMIFS(TF_Timer,TF_Tekniker,AM$4,TF_Dato,$A421))*2,0)/2)))</f>
        <v/>
      </c>
      <c r="AN421">
        <f>IF(OR(AN$4="",$A421&gt;TODAY()),0,IF(OR(INDEX($B421:$D421,AN$5)="F",AND(AN$6&gt;0,$A421&lt;AN$6),AND(AN$7&gt;0,$A421&gt;AN$7)),0,MAX(0,ROUND((INDEX($E421:$G421,AN$5)-SUMIFS(TF_Timer,TF_Tekniker,AN$4,TF_Dato,$A421))*2,0)/2)))</f>
        <v/>
      </c>
      <c r="AO421">
        <f>IF(OR(AO$4="",$A421&gt;TODAY()),0,IF(OR(INDEX($B421:$D421,AO$5)="F",AND(AO$6&gt;0,$A421&lt;AO$6),AND(AO$7&gt;0,$A421&gt;AO$7)),0,MAX(0,ROUND((INDEX($E421:$G421,AO$5)-SUMIFS(TF_Timer,TF_Tekniker,AO$4,TF_Dato,$A421))*2,0)/2)))</f>
        <v/>
      </c>
      <c r="AP421">
        <f>IF(OR(AP$4="",$A421&gt;TODAY()),0,IF(OR(INDEX($B421:$D421,AP$5)="F",AND(AP$6&gt;0,$A421&lt;AP$6),AND(AP$7&gt;0,$A421&gt;AP$7)),0,MAX(0,ROUND((INDEX($E421:$G421,AP$5)-SUMIFS(TF_Timer,TF_Tekniker,AP$4,TF_Dato,$A421))*2,0)/2)))</f>
        <v/>
      </c>
      <c r="AQ421">
        <f>IF(OR(AQ$4="",$A421&gt;TODAY()),0,IF(OR(INDEX($B421:$D421,AQ$5)="F",AND(AQ$6&gt;0,$A421&lt;AQ$6),AND(AQ$7&gt;0,$A421&gt;AQ$7)),0,MAX(0,ROUND((INDEX($E421:$G421,AQ$5)-SUMIFS(TF_Timer,TF_Tekniker,AQ$4,TF_Dato,$A421))*2,0)/2)))</f>
        <v/>
      </c>
      <c r="AR421">
        <f>IF(OR(AR$4="",$A421&gt;TODAY()),0,IF(OR(INDEX($B421:$D421,AR$5)="F",AND(AR$6&gt;0,$A421&lt;AR$6),AND(AR$7&gt;0,$A421&gt;AR$7)),0,MAX(0,ROUND((INDEX($E421:$G421,AR$5)-SUMIFS(TF_Timer,TF_Tekniker,AR$4,TF_Dato,$A421))*2,0)/2)))</f>
        <v/>
      </c>
      <c r="AS421">
        <f>IF(OR(AS$4="",$A421&gt;TODAY()),0,IF(OR(INDEX($B421:$D421,AS$5)="F",AND(AS$6&gt;0,$A421&lt;AS$6),AND(AS$7&gt;0,$A421&gt;AS$7)),0,MAX(0,ROUND((INDEX($E421:$G421,AS$5)-SUMIFS(TF_Timer,TF_Tekniker,AS$4,TF_Dato,$A421))*2,0)/2)))</f>
        <v/>
      </c>
      <c r="AT421">
        <f>IF(OR(AT$4="",$A421&gt;TODAY()),0,IF(OR(INDEX($B421:$D421,AT$5)="F",AND(AT$6&gt;0,$A421&lt;AT$6),AND(AT$7&gt;0,$A421&gt;AT$7)),0,MAX(0,ROUND((INDEX($E421:$G421,AT$5)-SUMIFS(TF_Timer,TF_Tekniker,AT$4,TF_Dato,$A421))*2,0)/2)))</f>
        <v/>
      </c>
      <c r="AU421">
        <f>IF(OR(AU$4="",$A421&gt;TODAY()),0,IF(OR(INDEX($B421:$D421,AU$5)="F",AND(AU$6&gt;0,$A421&lt;AU$6),AND(AU$7&gt;0,$A421&gt;AU$7)),0,MAX(0,ROUND((INDEX($E421:$G421,AU$5)-SUMIFS(TF_Timer,TF_Tekniker,AU$4,TF_Dato,$A421))*2,0)/2)))</f>
        <v/>
      </c>
      <c r="AV421">
        <f>IF(OR(AV$4="",$A421&gt;TODAY()),0,IF(OR(INDEX($B421:$D421,AV$5)="F",AND(AV$6&gt;0,$A421&lt;AV$6),AND(AV$7&gt;0,$A421&gt;AV$7)),0,MAX(0,ROUND((INDEX($E421:$G421,AV$5)-SUMIFS(TF_Timer,TF_Tekniker,AV$4,TF_Dato,$A421))*2,0)/2)))</f>
        <v/>
      </c>
      <c r="AW421">
        <f>IF(OR(AW$4="",$A421&gt;TODAY()),0,IF(OR(INDEX($B421:$D421,AW$5)="F",AND(AW$6&gt;0,$A421&lt;AW$6),AND(AW$7&gt;0,$A421&gt;AW$7)),0,MAX(0,ROUND((INDEX($E421:$G421,AW$5)-SUMIFS(TF_Timer,TF_Tekniker,AW$4,TF_Dato,$A421))*2,0)/2)))</f>
        <v/>
      </c>
      <c r="AX421">
        <f>IF(OR(AX$4="",$A421&gt;TODAY()),0,IF(OR(INDEX($B421:$D421,AX$5)="F",AND(AX$6&gt;0,$A421&lt;AX$6),AND(AX$7&gt;0,$A421&gt;AX$7)),0,MAX(0,ROUND((INDEX($E421:$G421,AX$5)-SUMIFS(TF_Timer,TF_Tekniker,AX$4,TF_Dato,$A421))*2,0)/2)))</f>
        <v/>
      </c>
      <c r="AY421">
        <f>IF(OR(AY$4="",$A421&gt;TODAY()),0,IF(OR(INDEX($B421:$D421,AY$5)="F",AND(AY$6&gt;0,$A421&lt;AY$6),AND(AY$7&gt;0,$A421&gt;AY$7)),0,MAX(0,ROUND((INDEX($E421:$G421,AY$5)-SUMIFS(TF_Timer,TF_Tekniker,AY$4,TF_Dato,$A421))*2,0)/2)))</f>
        <v/>
      </c>
      <c r="AZ421">
        <f>IF(OR(AZ$4="",$A421&gt;TODAY()),0,IF(OR(INDEX($B421:$D421,AZ$5)="F",AND(AZ$6&gt;0,$A421&lt;AZ$6),AND(AZ$7&gt;0,$A421&gt;AZ$7)),0,MAX(0,ROUND((INDEX($E421:$G421,AZ$5)-SUMIFS(TF_Timer,TF_Tekniker,AZ$4,TF_Dato,$A421))*2,0)/2)))</f>
        <v/>
      </c>
      <c r="BA421">
        <f>IF(OR(BA$4="",$A421&gt;TODAY()),0,IF(OR(INDEX($B421:$D421,BA$5)="F",AND(BA$6&gt;0,$A421&lt;BA$6),AND(BA$7&gt;0,$A421&gt;BA$7)),0,MAX(0,ROUND((INDEX($E421:$G421,BA$5)-SUMIFS(TF_Timer,TF_Tekniker,BA$4,TF_Dato,$A421))*2,0)/2)))</f>
        <v/>
      </c>
      <c r="BB421">
        <f>IF(OR(BB$4="",$A421&gt;TODAY()),0,IF(OR(INDEX($B421:$D421,BB$5)="F",AND(BB$6&gt;0,$A421&lt;BB$6),AND(BB$7&gt;0,$A421&gt;BB$7)),0,MAX(0,ROUND((INDEX($E421:$G421,BB$5)-SUMIFS(TF_Timer,TF_Tekniker,BB$4,TF_Dato,$A421))*2,0)/2)))</f>
        <v/>
      </c>
      <c r="BC421">
        <f>IF(OR(BC$4="",$A421&gt;TODAY()),0,IF(OR(INDEX($B421:$D421,BC$5)="F",AND(BC$6&gt;0,$A421&lt;BC$6),AND(BC$7&gt;0,$A421&gt;BC$7)),0,MAX(0,ROUND((INDEX($E421:$G421,BC$5)-SUMIFS(TF_Timer,TF_Tekniker,BC$4,TF_Dato,$A421))*2,0)/2)))</f>
        <v/>
      </c>
      <c r="BD421">
        <f>IF(OR(BD$4="",$A421&gt;TODAY()),0,IF(OR(INDEX($B421:$D421,BD$5)="F",AND(BD$6&gt;0,$A421&lt;BD$6),AND(BD$7&gt;0,$A421&gt;BD$7)),0,MAX(0,ROUND((INDEX($E421:$G421,BD$5)-SUMIFS(TF_Timer,TF_Tekniker,BD$4,TF_Dato,$A421))*2,0)/2)))</f>
        <v/>
      </c>
      <c r="BE421">
        <f>IF(OR(BE$4="",$A421&gt;TODAY()),0,IF(OR(INDEX($B421:$D421,BE$5)="F",AND(BE$6&gt;0,$A421&lt;BE$6),AND(BE$7&gt;0,$A421&gt;BE$7)),0,MAX(0,ROUND((INDEX($E421:$G421,BE$5)-SUMIFS(TF_Timer,TF_Tekniker,BE$4,TF_Dato,$A421))*2,0)/2)))</f>
        <v/>
      </c>
      <c r="BF421">
        <f>IF(OR(BF$4="",$A421&gt;TODAY()),0,IF(OR(INDEX($B421:$D421,BF$5)="F",AND(BF$6&gt;0,$A421&lt;BF$6),AND(BF$7&gt;0,$A421&gt;BF$7)),0,MAX(0,ROUND((INDEX($E421:$G421,BF$5)-SUMIFS(TF_Timer,TF_Tekniker,BF$4,TF_Dato,$A421))*2,0)/2)))</f>
        <v/>
      </c>
      <c r="BG421">
        <f>IF(OR(BG$4="",$A421&gt;TODAY()),0,IF(OR(INDEX($B421:$D421,BG$5)="F",AND(BG$6&gt;0,$A421&lt;BG$6),AND(BG$7&gt;0,$A421&gt;BG$7)),0,MAX(0,ROUND((INDEX($E421:$G421,BG$5)-SUMIFS(TF_Timer,TF_Tekniker,BG$4,TF_Dato,$A421))*2,0)/2)))</f>
        <v/>
      </c>
      <c r="BH421">
        <f>IF(OR(BH$4="",$A421&gt;TODAY()),0,IF(OR(INDEX($B421:$D421,BH$5)="F",AND(BH$6&gt;0,$A421&lt;BH$6),AND(BH$7&gt;0,$A421&gt;BH$7)),0,MAX(0,ROUND((INDEX($E421:$G421,BH$5)-SUMIFS(TF_Timer,TF_Tekniker,BH$4,TF_Dato,$A421))*2,0)/2)))</f>
        <v/>
      </c>
      <c r="BI421">
        <f>IF(OR(BI$4="",$A421&gt;TODAY()),0,IF(OR(INDEX($B421:$D421,BI$5)="F",AND(BI$6&gt;0,$A421&lt;BI$6),AND(BI$7&gt;0,$A421&gt;BI$7)),0,MAX(0,ROUND((INDEX($E421:$G421,BI$5)-SUMIFS(TF_Timer,TF_Tekniker,BI$4,TF_Dato,$A421))*2,0)/2)))</f>
        <v/>
      </c>
    </row>
    <row r="422">
      <c r="A422" s="64">
        <f>A421+1</f>
        <v/>
      </c>
      <c r="B422">
        <f>IF(MOD($A422-INDEX(SkiftStart,1),Syklus)&lt;DagK,"K",IF(MOD($A422-INDEX(SkiftStart,1),Syklus)&lt;DagK+DagH,"H",IF(MOD($A422-INDEX(SkiftStart,1),Syklus)&lt;DagK+DagH+DagD,"D","F")))</f>
        <v/>
      </c>
      <c r="C422">
        <f>IF(MOD($A422-INDEX(SkiftStart,2),Syklus)&lt;DagK,"K",IF(MOD($A422-INDEX(SkiftStart,2),Syklus)&lt;DagK+DagH,"H",IF(MOD($A422-INDEX(SkiftStart,2),Syklus)&lt;DagK+DagH+DagD,"D","F")))</f>
        <v/>
      </c>
      <c r="D422">
        <f>IF(MOD($A422-INDEX(SkiftStart,3),Syklus)&lt;DagK,"K",IF(MOD($A422-INDEX(SkiftStart,3),Syklus)&lt;DagK+DagH,"H",IF(MOD($A422-INDEX(SkiftStart,3),Syklus)&lt;DagK+DagH+DagD,"D","F")))</f>
        <v/>
      </c>
      <c r="E422">
        <f>IF(B422="F",0,IF(WEEKDAY($A422,2)=5,INDEX(TimerFr,MATCH(B422,FaseKode,0)),INDEX(TimerMT,MATCH(B422,FaseKode,0))))</f>
        <v/>
      </c>
      <c r="F422">
        <f>IF(C422="F",0,IF(WEEKDAY($A422,2)=5,INDEX(TimerFr,MATCH(C422,FaseKode,0)),INDEX(TimerMT,MATCH(C422,FaseKode,0))))</f>
        <v/>
      </c>
      <c r="G422">
        <f>IF(D422="F",0,IF(WEEKDAY($A422,2)=5,INDEX(TimerFr,MATCH(D422,FaseKode,0)),INDEX(TimerMT,MATCH(D422,FaseKode,0))))</f>
        <v/>
      </c>
      <c r="H422">
        <f>IF(OR(H$4="",$A422&gt;TODAY()),0,IF(OR(INDEX($B422:$D422,H$5)="F",AND(H$6&gt;0,$A422&lt;H$6),AND(H$7&gt;0,$A422&gt;H$7)),0,MAX(0,ROUND((INDEX($E422:$G422,H$5)-SUMIFS(TF_Timer,TF_Tekniker,H$4,TF_Dato,$A422))*2,0)/2)))</f>
        <v/>
      </c>
      <c r="I422">
        <f>IF(OR(I$4="",$A422&gt;TODAY()),0,IF(OR(INDEX($B422:$D422,I$5)="F",AND(I$6&gt;0,$A422&lt;I$6),AND(I$7&gt;0,$A422&gt;I$7)),0,MAX(0,ROUND((INDEX($E422:$G422,I$5)-SUMIFS(TF_Timer,TF_Tekniker,I$4,TF_Dato,$A422))*2,0)/2)))</f>
        <v/>
      </c>
      <c r="J422">
        <f>IF(OR(J$4="",$A422&gt;TODAY()),0,IF(OR(INDEX($B422:$D422,J$5)="F",AND(J$6&gt;0,$A422&lt;J$6),AND(J$7&gt;0,$A422&gt;J$7)),0,MAX(0,ROUND((INDEX($E422:$G422,J$5)-SUMIFS(TF_Timer,TF_Tekniker,J$4,TF_Dato,$A422))*2,0)/2)))</f>
        <v/>
      </c>
      <c r="K422">
        <f>IF(OR(K$4="",$A422&gt;TODAY()),0,IF(OR(INDEX($B422:$D422,K$5)="F",AND(K$6&gt;0,$A422&lt;K$6),AND(K$7&gt;0,$A422&gt;K$7)),0,MAX(0,ROUND((INDEX($E422:$G422,K$5)-SUMIFS(TF_Timer,TF_Tekniker,K$4,TF_Dato,$A422))*2,0)/2)))</f>
        <v/>
      </c>
      <c r="L422">
        <f>IF(OR(L$4="",$A422&gt;TODAY()),0,IF(OR(INDEX($B422:$D422,L$5)="F",AND(L$6&gt;0,$A422&lt;L$6),AND(L$7&gt;0,$A422&gt;L$7)),0,MAX(0,ROUND((INDEX($E422:$G422,L$5)-SUMIFS(TF_Timer,TF_Tekniker,L$4,TF_Dato,$A422))*2,0)/2)))</f>
        <v/>
      </c>
      <c r="M422">
        <f>IF(OR(M$4="",$A422&gt;TODAY()),0,IF(OR(INDEX($B422:$D422,M$5)="F",AND(M$6&gt;0,$A422&lt;M$6),AND(M$7&gt;0,$A422&gt;M$7)),0,MAX(0,ROUND((INDEX($E422:$G422,M$5)-SUMIFS(TF_Timer,TF_Tekniker,M$4,TF_Dato,$A422))*2,0)/2)))</f>
        <v/>
      </c>
      <c r="N422">
        <f>IF(OR(N$4="",$A422&gt;TODAY()),0,IF(OR(INDEX($B422:$D422,N$5)="F",AND(N$6&gt;0,$A422&lt;N$6),AND(N$7&gt;0,$A422&gt;N$7)),0,MAX(0,ROUND((INDEX($E422:$G422,N$5)-SUMIFS(TF_Timer,TF_Tekniker,N$4,TF_Dato,$A422))*2,0)/2)))</f>
        <v/>
      </c>
      <c r="O422">
        <f>IF(OR(O$4="",$A422&gt;TODAY()),0,IF(OR(INDEX($B422:$D422,O$5)="F",AND(O$6&gt;0,$A422&lt;O$6),AND(O$7&gt;0,$A422&gt;O$7)),0,MAX(0,ROUND((INDEX($E422:$G422,O$5)-SUMIFS(TF_Timer,TF_Tekniker,O$4,TF_Dato,$A422))*2,0)/2)))</f>
        <v/>
      </c>
      <c r="P422">
        <f>IF(OR(P$4="",$A422&gt;TODAY()),0,IF(OR(INDEX($B422:$D422,P$5)="F",AND(P$6&gt;0,$A422&lt;P$6),AND(P$7&gt;0,$A422&gt;P$7)),0,MAX(0,ROUND((INDEX($E422:$G422,P$5)-SUMIFS(TF_Timer,TF_Tekniker,P$4,TF_Dato,$A422))*2,0)/2)))</f>
        <v/>
      </c>
      <c r="Q422">
        <f>IF(OR(Q$4="",$A422&gt;TODAY()),0,IF(OR(INDEX($B422:$D422,Q$5)="F",AND(Q$6&gt;0,$A422&lt;Q$6),AND(Q$7&gt;0,$A422&gt;Q$7)),0,MAX(0,ROUND((INDEX($E422:$G422,Q$5)-SUMIFS(TF_Timer,TF_Tekniker,Q$4,TF_Dato,$A422))*2,0)/2)))</f>
        <v/>
      </c>
      <c r="R422">
        <f>IF(OR(R$4="",$A422&gt;TODAY()),0,IF(OR(INDEX($B422:$D422,R$5)="F",AND(R$6&gt;0,$A422&lt;R$6),AND(R$7&gt;0,$A422&gt;R$7)),0,MAX(0,ROUND((INDEX($E422:$G422,R$5)-SUMIFS(TF_Timer,TF_Tekniker,R$4,TF_Dato,$A422))*2,0)/2)))</f>
        <v/>
      </c>
      <c r="S422">
        <f>IF(OR(S$4="",$A422&gt;TODAY()),0,IF(OR(INDEX($B422:$D422,S$5)="F",AND(S$6&gt;0,$A422&lt;S$6),AND(S$7&gt;0,$A422&gt;S$7)),0,MAX(0,ROUND((INDEX($E422:$G422,S$5)-SUMIFS(TF_Timer,TF_Tekniker,S$4,TF_Dato,$A422))*2,0)/2)))</f>
        <v/>
      </c>
      <c r="T422">
        <f>IF(OR(T$4="",$A422&gt;TODAY()),0,IF(OR(INDEX($B422:$D422,T$5)="F",AND(T$6&gt;0,$A422&lt;T$6),AND(T$7&gt;0,$A422&gt;T$7)),0,MAX(0,ROUND((INDEX($E422:$G422,T$5)-SUMIFS(TF_Timer,TF_Tekniker,T$4,TF_Dato,$A422))*2,0)/2)))</f>
        <v/>
      </c>
      <c r="U422">
        <f>IF(OR(U$4="",$A422&gt;TODAY()),0,IF(OR(INDEX($B422:$D422,U$5)="F",AND(U$6&gt;0,$A422&lt;U$6),AND(U$7&gt;0,$A422&gt;U$7)),0,MAX(0,ROUND((INDEX($E422:$G422,U$5)-SUMIFS(TF_Timer,TF_Tekniker,U$4,TF_Dato,$A422))*2,0)/2)))</f>
        <v/>
      </c>
      <c r="V422">
        <f>IF(OR(V$4="",$A422&gt;TODAY()),0,IF(OR(INDEX($B422:$D422,V$5)="F",AND(V$6&gt;0,$A422&lt;V$6),AND(V$7&gt;0,$A422&gt;V$7)),0,MAX(0,ROUND((INDEX($E422:$G422,V$5)-SUMIFS(TF_Timer,TF_Tekniker,V$4,TF_Dato,$A422))*2,0)/2)))</f>
        <v/>
      </c>
      <c r="W422">
        <f>IF(OR(W$4="",$A422&gt;TODAY()),0,IF(OR(INDEX($B422:$D422,W$5)="F",AND(W$6&gt;0,$A422&lt;W$6),AND(W$7&gt;0,$A422&gt;W$7)),0,MAX(0,ROUND((INDEX($E422:$G422,W$5)-SUMIFS(TF_Timer,TF_Tekniker,W$4,TF_Dato,$A422))*2,0)/2)))</f>
        <v/>
      </c>
      <c r="X422">
        <f>IF(OR(X$4="",$A422&gt;TODAY()),0,IF(OR(INDEX($B422:$D422,X$5)="F",AND(X$6&gt;0,$A422&lt;X$6),AND(X$7&gt;0,$A422&gt;X$7)),0,MAX(0,ROUND((INDEX($E422:$G422,X$5)-SUMIFS(TF_Timer,TF_Tekniker,X$4,TF_Dato,$A422))*2,0)/2)))</f>
        <v/>
      </c>
      <c r="Y422">
        <f>IF(OR(Y$4="",$A422&gt;TODAY()),0,IF(OR(INDEX($B422:$D422,Y$5)="F",AND(Y$6&gt;0,$A422&lt;Y$6),AND(Y$7&gt;0,$A422&gt;Y$7)),0,MAX(0,ROUND((INDEX($E422:$G422,Y$5)-SUMIFS(TF_Timer,TF_Tekniker,Y$4,TF_Dato,$A422))*2,0)/2)))</f>
        <v/>
      </c>
      <c r="Z422">
        <f>IF(OR(Z$4="",$A422&gt;TODAY()),0,IF(OR(INDEX($B422:$D422,Z$5)="F",AND(Z$6&gt;0,$A422&lt;Z$6),AND(Z$7&gt;0,$A422&gt;Z$7)),0,MAX(0,ROUND((INDEX($E422:$G422,Z$5)-SUMIFS(TF_Timer,TF_Tekniker,Z$4,TF_Dato,$A422))*2,0)/2)))</f>
        <v/>
      </c>
      <c r="AA422">
        <f>IF(OR(AA$4="",$A422&gt;TODAY()),0,IF(OR(INDEX($B422:$D422,AA$5)="F",AND(AA$6&gt;0,$A422&lt;AA$6),AND(AA$7&gt;0,$A422&gt;AA$7)),0,MAX(0,ROUND((INDEX($E422:$G422,AA$5)-SUMIFS(TF_Timer,TF_Tekniker,AA$4,TF_Dato,$A422))*2,0)/2)))</f>
        <v/>
      </c>
      <c r="AB422">
        <f>IF(OR(AB$4="",$A422&gt;TODAY()),0,IF(OR(INDEX($B422:$D422,AB$5)="F",AND(AB$6&gt;0,$A422&lt;AB$6),AND(AB$7&gt;0,$A422&gt;AB$7)),0,MAX(0,ROUND((INDEX($E422:$G422,AB$5)-SUMIFS(TF_Timer,TF_Tekniker,AB$4,TF_Dato,$A422))*2,0)/2)))</f>
        <v/>
      </c>
      <c r="AC422">
        <f>IF(OR(AC$4="",$A422&gt;TODAY()),0,IF(OR(INDEX($B422:$D422,AC$5)="F",AND(AC$6&gt;0,$A422&lt;AC$6),AND(AC$7&gt;0,$A422&gt;AC$7)),0,MAX(0,ROUND((INDEX($E422:$G422,AC$5)-SUMIFS(TF_Timer,TF_Tekniker,AC$4,TF_Dato,$A422))*2,0)/2)))</f>
        <v/>
      </c>
      <c r="AD422">
        <f>IF(OR(AD$4="",$A422&gt;TODAY()),0,IF(OR(INDEX($B422:$D422,AD$5)="F",AND(AD$6&gt;0,$A422&lt;AD$6),AND(AD$7&gt;0,$A422&gt;AD$7)),0,MAX(0,ROUND((INDEX($E422:$G422,AD$5)-SUMIFS(TF_Timer,TF_Tekniker,AD$4,TF_Dato,$A422))*2,0)/2)))</f>
        <v/>
      </c>
      <c r="AE422">
        <f>IF(OR(AE$4="",$A422&gt;TODAY()),0,IF(OR(INDEX($B422:$D422,AE$5)="F",AND(AE$6&gt;0,$A422&lt;AE$6),AND(AE$7&gt;0,$A422&gt;AE$7)),0,MAX(0,ROUND((INDEX($E422:$G422,AE$5)-SUMIFS(TF_Timer,TF_Tekniker,AE$4,TF_Dato,$A422))*2,0)/2)))</f>
        <v/>
      </c>
      <c r="AF422">
        <f>IF(OR(AF$4="",$A422&gt;TODAY()),0,IF(OR(INDEX($B422:$D422,AF$5)="F",AND(AF$6&gt;0,$A422&lt;AF$6),AND(AF$7&gt;0,$A422&gt;AF$7)),0,MAX(0,ROUND((INDEX($E422:$G422,AF$5)-SUMIFS(TF_Timer,TF_Tekniker,AF$4,TF_Dato,$A422))*2,0)/2)))</f>
        <v/>
      </c>
      <c r="AG422">
        <f>IF(OR(AG$4="",$A422&gt;TODAY()),0,IF(OR(INDEX($B422:$D422,AG$5)="F",AND(AG$6&gt;0,$A422&lt;AG$6),AND(AG$7&gt;0,$A422&gt;AG$7)),0,MAX(0,ROUND((INDEX($E422:$G422,AG$5)-SUMIFS(TF_Timer,TF_Tekniker,AG$4,TF_Dato,$A422))*2,0)/2)))</f>
        <v/>
      </c>
      <c r="AH422">
        <f>IF(OR(AH$4="",$A422&gt;TODAY()),0,IF(OR(INDEX($B422:$D422,AH$5)="F",AND(AH$6&gt;0,$A422&lt;AH$6),AND(AH$7&gt;0,$A422&gt;AH$7)),0,MAX(0,ROUND((INDEX($E422:$G422,AH$5)-SUMIFS(TF_Timer,TF_Tekniker,AH$4,TF_Dato,$A422))*2,0)/2)))</f>
        <v/>
      </c>
      <c r="AI422">
        <f>IF(OR(AI$4="",$A422&gt;TODAY()),0,IF(OR(INDEX($B422:$D422,AI$5)="F",AND(AI$6&gt;0,$A422&lt;AI$6),AND(AI$7&gt;0,$A422&gt;AI$7)),0,MAX(0,ROUND((INDEX($E422:$G422,AI$5)-SUMIFS(TF_Timer,TF_Tekniker,AI$4,TF_Dato,$A422))*2,0)/2)))</f>
        <v/>
      </c>
      <c r="AJ422">
        <f>IF(OR(AJ$4="",$A422&gt;TODAY()),0,IF(OR(INDEX($B422:$D422,AJ$5)="F",AND(AJ$6&gt;0,$A422&lt;AJ$6),AND(AJ$7&gt;0,$A422&gt;AJ$7)),0,MAX(0,ROUND((INDEX($E422:$G422,AJ$5)-SUMIFS(TF_Timer,TF_Tekniker,AJ$4,TF_Dato,$A422))*2,0)/2)))</f>
        <v/>
      </c>
      <c r="AK422">
        <f>IF(OR(AK$4="",$A422&gt;TODAY()),0,IF(OR(INDEX($B422:$D422,AK$5)="F",AND(AK$6&gt;0,$A422&lt;AK$6),AND(AK$7&gt;0,$A422&gt;AK$7)),0,MAX(0,ROUND((INDEX($E422:$G422,AK$5)-SUMIFS(TF_Timer,TF_Tekniker,AK$4,TF_Dato,$A422))*2,0)/2)))</f>
        <v/>
      </c>
      <c r="AL422">
        <f>IF(OR(AL$4="",$A422&gt;TODAY()),0,IF(OR(INDEX($B422:$D422,AL$5)="F",AND(AL$6&gt;0,$A422&lt;AL$6),AND(AL$7&gt;0,$A422&gt;AL$7)),0,MAX(0,ROUND((INDEX($E422:$G422,AL$5)-SUMIFS(TF_Timer,TF_Tekniker,AL$4,TF_Dato,$A422))*2,0)/2)))</f>
        <v/>
      </c>
      <c r="AM422">
        <f>IF(OR(AM$4="",$A422&gt;TODAY()),0,IF(OR(INDEX($B422:$D422,AM$5)="F",AND(AM$6&gt;0,$A422&lt;AM$6),AND(AM$7&gt;0,$A422&gt;AM$7)),0,MAX(0,ROUND((INDEX($E422:$G422,AM$5)-SUMIFS(TF_Timer,TF_Tekniker,AM$4,TF_Dato,$A422))*2,0)/2)))</f>
        <v/>
      </c>
      <c r="AN422">
        <f>IF(OR(AN$4="",$A422&gt;TODAY()),0,IF(OR(INDEX($B422:$D422,AN$5)="F",AND(AN$6&gt;0,$A422&lt;AN$6),AND(AN$7&gt;0,$A422&gt;AN$7)),0,MAX(0,ROUND((INDEX($E422:$G422,AN$5)-SUMIFS(TF_Timer,TF_Tekniker,AN$4,TF_Dato,$A422))*2,0)/2)))</f>
        <v/>
      </c>
      <c r="AO422">
        <f>IF(OR(AO$4="",$A422&gt;TODAY()),0,IF(OR(INDEX($B422:$D422,AO$5)="F",AND(AO$6&gt;0,$A422&lt;AO$6),AND(AO$7&gt;0,$A422&gt;AO$7)),0,MAX(0,ROUND((INDEX($E422:$G422,AO$5)-SUMIFS(TF_Timer,TF_Tekniker,AO$4,TF_Dato,$A422))*2,0)/2)))</f>
        <v/>
      </c>
      <c r="AP422">
        <f>IF(OR(AP$4="",$A422&gt;TODAY()),0,IF(OR(INDEX($B422:$D422,AP$5)="F",AND(AP$6&gt;0,$A422&lt;AP$6),AND(AP$7&gt;0,$A422&gt;AP$7)),0,MAX(0,ROUND((INDEX($E422:$G422,AP$5)-SUMIFS(TF_Timer,TF_Tekniker,AP$4,TF_Dato,$A422))*2,0)/2)))</f>
        <v/>
      </c>
      <c r="AQ422">
        <f>IF(OR(AQ$4="",$A422&gt;TODAY()),0,IF(OR(INDEX($B422:$D422,AQ$5)="F",AND(AQ$6&gt;0,$A422&lt;AQ$6),AND(AQ$7&gt;0,$A422&gt;AQ$7)),0,MAX(0,ROUND((INDEX($E422:$G422,AQ$5)-SUMIFS(TF_Timer,TF_Tekniker,AQ$4,TF_Dato,$A422))*2,0)/2)))</f>
        <v/>
      </c>
      <c r="AR422">
        <f>IF(OR(AR$4="",$A422&gt;TODAY()),0,IF(OR(INDEX($B422:$D422,AR$5)="F",AND(AR$6&gt;0,$A422&lt;AR$6),AND(AR$7&gt;0,$A422&gt;AR$7)),0,MAX(0,ROUND((INDEX($E422:$G422,AR$5)-SUMIFS(TF_Timer,TF_Tekniker,AR$4,TF_Dato,$A422))*2,0)/2)))</f>
        <v/>
      </c>
      <c r="AS422">
        <f>IF(OR(AS$4="",$A422&gt;TODAY()),0,IF(OR(INDEX($B422:$D422,AS$5)="F",AND(AS$6&gt;0,$A422&lt;AS$6),AND(AS$7&gt;0,$A422&gt;AS$7)),0,MAX(0,ROUND((INDEX($E422:$G422,AS$5)-SUMIFS(TF_Timer,TF_Tekniker,AS$4,TF_Dato,$A422))*2,0)/2)))</f>
        <v/>
      </c>
      <c r="AT422">
        <f>IF(OR(AT$4="",$A422&gt;TODAY()),0,IF(OR(INDEX($B422:$D422,AT$5)="F",AND(AT$6&gt;0,$A422&lt;AT$6),AND(AT$7&gt;0,$A422&gt;AT$7)),0,MAX(0,ROUND((INDEX($E422:$G422,AT$5)-SUMIFS(TF_Timer,TF_Tekniker,AT$4,TF_Dato,$A422))*2,0)/2)))</f>
        <v/>
      </c>
      <c r="AU422">
        <f>IF(OR(AU$4="",$A422&gt;TODAY()),0,IF(OR(INDEX($B422:$D422,AU$5)="F",AND(AU$6&gt;0,$A422&lt;AU$6),AND(AU$7&gt;0,$A422&gt;AU$7)),0,MAX(0,ROUND((INDEX($E422:$G422,AU$5)-SUMIFS(TF_Timer,TF_Tekniker,AU$4,TF_Dato,$A422))*2,0)/2)))</f>
        <v/>
      </c>
      <c r="AV422">
        <f>IF(OR(AV$4="",$A422&gt;TODAY()),0,IF(OR(INDEX($B422:$D422,AV$5)="F",AND(AV$6&gt;0,$A422&lt;AV$6),AND(AV$7&gt;0,$A422&gt;AV$7)),0,MAX(0,ROUND((INDEX($E422:$G422,AV$5)-SUMIFS(TF_Timer,TF_Tekniker,AV$4,TF_Dato,$A422))*2,0)/2)))</f>
        <v/>
      </c>
      <c r="AW422">
        <f>IF(OR(AW$4="",$A422&gt;TODAY()),0,IF(OR(INDEX($B422:$D422,AW$5)="F",AND(AW$6&gt;0,$A422&lt;AW$6),AND(AW$7&gt;0,$A422&gt;AW$7)),0,MAX(0,ROUND((INDEX($E422:$G422,AW$5)-SUMIFS(TF_Timer,TF_Tekniker,AW$4,TF_Dato,$A422))*2,0)/2)))</f>
        <v/>
      </c>
      <c r="AX422">
        <f>IF(OR(AX$4="",$A422&gt;TODAY()),0,IF(OR(INDEX($B422:$D422,AX$5)="F",AND(AX$6&gt;0,$A422&lt;AX$6),AND(AX$7&gt;0,$A422&gt;AX$7)),0,MAX(0,ROUND((INDEX($E422:$G422,AX$5)-SUMIFS(TF_Timer,TF_Tekniker,AX$4,TF_Dato,$A422))*2,0)/2)))</f>
        <v/>
      </c>
      <c r="AY422">
        <f>IF(OR(AY$4="",$A422&gt;TODAY()),0,IF(OR(INDEX($B422:$D422,AY$5)="F",AND(AY$6&gt;0,$A422&lt;AY$6),AND(AY$7&gt;0,$A422&gt;AY$7)),0,MAX(0,ROUND((INDEX($E422:$G422,AY$5)-SUMIFS(TF_Timer,TF_Tekniker,AY$4,TF_Dato,$A422))*2,0)/2)))</f>
        <v/>
      </c>
      <c r="AZ422">
        <f>IF(OR(AZ$4="",$A422&gt;TODAY()),0,IF(OR(INDEX($B422:$D422,AZ$5)="F",AND(AZ$6&gt;0,$A422&lt;AZ$6),AND(AZ$7&gt;0,$A422&gt;AZ$7)),0,MAX(0,ROUND((INDEX($E422:$G422,AZ$5)-SUMIFS(TF_Timer,TF_Tekniker,AZ$4,TF_Dato,$A422))*2,0)/2)))</f>
        <v/>
      </c>
      <c r="BA422">
        <f>IF(OR(BA$4="",$A422&gt;TODAY()),0,IF(OR(INDEX($B422:$D422,BA$5)="F",AND(BA$6&gt;0,$A422&lt;BA$6),AND(BA$7&gt;0,$A422&gt;BA$7)),0,MAX(0,ROUND((INDEX($E422:$G422,BA$5)-SUMIFS(TF_Timer,TF_Tekniker,BA$4,TF_Dato,$A422))*2,0)/2)))</f>
        <v/>
      </c>
      <c r="BB422">
        <f>IF(OR(BB$4="",$A422&gt;TODAY()),0,IF(OR(INDEX($B422:$D422,BB$5)="F",AND(BB$6&gt;0,$A422&lt;BB$6),AND(BB$7&gt;0,$A422&gt;BB$7)),0,MAX(0,ROUND((INDEX($E422:$G422,BB$5)-SUMIFS(TF_Timer,TF_Tekniker,BB$4,TF_Dato,$A422))*2,0)/2)))</f>
        <v/>
      </c>
      <c r="BC422">
        <f>IF(OR(BC$4="",$A422&gt;TODAY()),0,IF(OR(INDEX($B422:$D422,BC$5)="F",AND(BC$6&gt;0,$A422&lt;BC$6),AND(BC$7&gt;0,$A422&gt;BC$7)),0,MAX(0,ROUND((INDEX($E422:$G422,BC$5)-SUMIFS(TF_Timer,TF_Tekniker,BC$4,TF_Dato,$A422))*2,0)/2)))</f>
        <v/>
      </c>
      <c r="BD422">
        <f>IF(OR(BD$4="",$A422&gt;TODAY()),0,IF(OR(INDEX($B422:$D422,BD$5)="F",AND(BD$6&gt;0,$A422&lt;BD$6),AND(BD$7&gt;0,$A422&gt;BD$7)),0,MAX(0,ROUND((INDEX($E422:$G422,BD$5)-SUMIFS(TF_Timer,TF_Tekniker,BD$4,TF_Dato,$A422))*2,0)/2)))</f>
        <v/>
      </c>
      <c r="BE422">
        <f>IF(OR(BE$4="",$A422&gt;TODAY()),0,IF(OR(INDEX($B422:$D422,BE$5)="F",AND(BE$6&gt;0,$A422&lt;BE$6),AND(BE$7&gt;0,$A422&gt;BE$7)),0,MAX(0,ROUND((INDEX($E422:$G422,BE$5)-SUMIFS(TF_Timer,TF_Tekniker,BE$4,TF_Dato,$A422))*2,0)/2)))</f>
        <v/>
      </c>
      <c r="BF422">
        <f>IF(OR(BF$4="",$A422&gt;TODAY()),0,IF(OR(INDEX($B422:$D422,BF$5)="F",AND(BF$6&gt;0,$A422&lt;BF$6),AND(BF$7&gt;0,$A422&gt;BF$7)),0,MAX(0,ROUND((INDEX($E422:$G422,BF$5)-SUMIFS(TF_Timer,TF_Tekniker,BF$4,TF_Dato,$A422))*2,0)/2)))</f>
        <v/>
      </c>
      <c r="BG422">
        <f>IF(OR(BG$4="",$A422&gt;TODAY()),0,IF(OR(INDEX($B422:$D422,BG$5)="F",AND(BG$6&gt;0,$A422&lt;BG$6),AND(BG$7&gt;0,$A422&gt;BG$7)),0,MAX(0,ROUND((INDEX($E422:$G422,BG$5)-SUMIFS(TF_Timer,TF_Tekniker,BG$4,TF_Dato,$A422))*2,0)/2)))</f>
        <v/>
      </c>
      <c r="BH422">
        <f>IF(OR(BH$4="",$A422&gt;TODAY()),0,IF(OR(INDEX($B422:$D422,BH$5)="F",AND(BH$6&gt;0,$A422&lt;BH$6),AND(BH$7&gt;0,$A422&gt;BH$7)),0,MAX(0,ROUND((INDEX($E422:$G422,BH$5)-SUMIFS(TF_Timer,TF_Tekniker,BH$4,TF_Dato,$A422))*2,0)/2)))</f>
        <v/>
      </c>
      <c r="BI422">
        <f>IF(OR(BI$4="",$A422&gt;TODAY()),0,IF(OR(INDEX($B422:$D422,BI$5)="F",AND(BI$6&gt;0,$A422&lt;BI$6),AND(BI$7&gt;0,$A422&gt;BI$7)),0,MAX(0,ROUND((INDEX($E422:$G422,BI$5)-SUMIFS(TF_Timer,TF_Tekniker,BI$4,TF_Dato,$A422))*2,0)/2)))</f>
        <v/>
      </c>
    </row>
    <row r="423">
      <c r="A423" s="64">
        <f>A422+1</f>
        <v/>
      </c>
      <c r="B423">
        <f>IF(MOD($A423-INDEX(SkiftStart,1),Syklus)&lt;DagK,"K",IF(MOD($A423-INDEX(SkiftStart,1),Syklus)&lt;DagK+DagH,"H",IF(MOD($A423-INDEX(SkiftStart,1),Syklus)&lt;DagK+DagH+DagD,"D","F")))</f>
        <v/>
      </c>
      <c r="C423">
        <f>IF(MOD($A423-INDEX(SkiftStart,2),Syklus)&lt;DagK,"K",IF(MOD($A423-INDEX(SkiftStart,2),Syklus)&lt;DagK+DagH,"H",IF(MOD($A423-INDEX(SkiftStart,2),Syklus)&lt;DagK+DagH+DagD,"D","F")))</f>
        <v/>
      </c>
      <c r="D423">
        <f>IF(MOD($A423-INDEX(SkiftStart,3),Syklus)&lt;DagK,"K",IF(MOD($A423-INDEX(SkiftStart,3),Syklus)&lt;DagK+DagH,"H",IF(MOD($A423-INDEX(SkiftStart,3),Syklus)&lt;DagK+DagH+DagD,"D","F")))</f>
        <v/>
      </c>
      <c r="E423">
        <f>IF(B423="F",0,IF(WEEKDAY($A423,2)=5,INDEX(TimerFr,MATCH(B423,FaseKode,0)),INDEX(TimerMT,MATCH(B423,FaseKode,0))))</f>
        <v/>
      </c>
      <c r="F423">
        <f>IF(C423="F",0,IF(WEEKDAY($A423,2)=5,INDEX(TimerFr,MATCH(C423,FaseKode,0)),INDEX(TimerMT,MATCH(C423,FaseKode,0))))</f>
        <v/>
      </c>
      <c r="G423">
        <f>IF(D423="F",0,IF(WEEKDAY($A423,2)=5,INDEX(TimerFr,MATCH(D423,FaseKode,0)),INDEX(TimerMT,MATCH(D423,FaseKode,0))))</f>
        <v/>
      </c>
      <c r="H423">
        <f>IF(OR(H$4="",$A423&gt;TODAY()),0,IF(OR(INDEX($B423:$D423,H$5)="F",AND(H$6&gt;0,$A423&lt;H$6),AND(H$7&gt;0,$A423&gt;H$7)),0,MAX(0,ROUND((INDEX($E423:$G423,H$5)-SUMIFS(TF_Timer,TF_Tekniker,H$4,TF_Dato,$A423))*2,0)/2)))</f>
        <v/>
      </c>
      <c r="I423">
        <f>IF(OR(I$4="",$A423&gt;TODAY()),0,IF(OR(INDEX($B423:$D423,I$5)="F",AND(I$6&gt;0,$A423&lt;I$6),AND(I$7&gt;0,$A423&gt;I$7)),0,MAX(0,ROUND((INDEX($E423:$G423,I$5)-SUMIFS(TF_Timer,TF_Tekniker,I$4,TF_Dato,$A423))*2,0)/2)))</f>
        <v/>
      </c>
      <c r="J423">
        <f>IF(OR(J$4="",$A423&gt;TODAY()),0,IF(OR(INDEX($B423:$D423,J$5)="F",AND(J$6&gt;0,$A423&lt;J$6),AND(J$7&gt;0,$A423&gt;J$7)),0,MAX(0,ROUND((INDEX($E423:$G423,J$5)-SUMIFS(TF_Timer,TF_Tekniker,J$4,TF_Dato,$A423))*2,0)/2)))</f>
        <v/>
      </c>
      <c r="K423">
        <f>IF(OR(K$4="",$A423&gt;TODAY()),0,IF(OR(INDEX($B423:$D423,K$5)="F",AND(K$6&gt;0,$A423&lt;K$6),AND(K$7&gt;0,$A423&gt;K$7)),0,MAX(0,ROUND((INDEX($E423:$G423,K$5)-SUMIFS(TF_Timer,TF_Tekniker,K$4,TF_Dato,$A423))*2,0)/2)))</f>
        <v/>
      </c>
      <c r="L423">
        <f>IF(OR(L$4="",$A423&gt;TODAY()),0,IF(OR(INDEX($B423:$D423,L$5)="F",AND(L$6&gt;0,$A423&lt;L$6),AND(L$7&gt;0,$A423&gt;L$7)),0,MAX(0,ROUND((INDEX($E423:$G423,L$5)-SUMIFS(TF_Timer,TF_Tekniker,L$4,TF_Dato,$A423))*2,0)/2)))</f>
        <v/>
      </c>
      <c r="M423">
        <f>IF(OR(M$4="",$A423&gt;TODAY()),0,IF(OR(INDEX($B423:$D423,M$5)="F",AND(M$6&gt;0,$A423&lt;M$6),AND(M$7&gt;0,$A423&gt;M$7)),0,MAX(0,ROUND((INDEX($E423:$G423,M$5)-SUMIFS(TF_Timer,TF_Tekniker,M$4,TF_Dato,$A423))*2,0)/2)))</f>
        <v/>
      </c>
      <c r="N423">
        <f>IF(OR(N$4="",$A423&gt;TODAY()),0,IF(OR(INDEX($B423:$D423,N$5)="F",AND(N$6&gt;0,$A423&lt;N$6),AND(N$7&gt;0,$A423&gt;N$7)),0,MAX(0,ROUND((INDEX($E423:$G423,N$5)-SUMIFS(TF_Timer,TF_Tekniker,N$4,TF_Dato,$A423))*2,0)/2)))</f>
        <v/>
      </c>
      <c r="O423">
        <f>IF(OR(O$4="",$A423&gt;TODAY()),0,IF(OR(INDEX($B423:$D423,O$5)="F",AND(O$6&gt;0,$A423&lt;O$6),AND(O$7&gt;0,$A423&gt;O$7)),0,MAX(0,ROUND((INDEX($E423:$G423,O$5)-SUMIFS(TF_Timer,TF_Tekniker,O$4,TF_Dato,$A423))*2,0)/2)))</f>
        <v/>
      </c>
      <c r="P423">
        <f>IF(OR(P$4="",$A423&gt;TODAY()),0,IF(OR(INDEX($B423:$D423,P$5)="F",AND(P$6&gt;0,$A423&lt;P$6),AND(P$7&gt;0,$A423&gt;P$7)),0,MAX(0,ROUND((INDEX($E423:$G423,P$5)-SUMIFS(TF_Timer,TF_Tekniker,P$4,TF_Dato,$A423))*2,0)/2)))</f>
        <v/>
      </c>
      <c r="Q423">
        <f>IF(OR(Q$4="",$A423&gt;TODAY()),0,IF(OR(INDEX($B423:$D423,Q$5)="F",AND(Q$6&gt;0,$A423&lt;Q$6),AND(Q$7&gt;0,$A423&gt;Q$7)),0,MAX(0,ROUND((INDEX($E423:$G423,Q$5)-SUMIFS(TF_Timer,TF_Tekniker,Q$4,TF_Dato,$A423))*2,0)/2)))</f>
        <v/>
      </c>
      <c r="R423">
        <f>IF(OR(R$4="",$A423&gt;TODAY()),0,IF(OR(INDEX($B423:$D423,R$5)="F",AND(R$6&gt;0,$A423&lt;R$6),AND(R$7&gt;0,$A423&gt;R$7)),0,MAX(0,ROUND((INDEX($E423:$G423,R$5)-SUMIFS(TF_Timer,TF_Tekniker,R$4,TF_Dato,$A423))*2,0)/2)))</f>
        <v/>
      </c>
      <c r="S423">
        <f>IF(OR(S$4="",$A423&gt;TODAY()),0,IF(OR(INDEX($B423:$D423,S$5)="F",AND(S$6&gt;0,$A423&lt;S$6),AND(S$7&gt;0,$A423&gt;S$7)),0,MAX(0,ROUND((INDEX($E423:$G423,S$5)-SUMIFS(TF_Timer,TF_Tekniker,S$4,TF_Dato,$A423))*2,0)/2)))</f>
        <v/>
      </c>
      <c r="T423">
        <f>IF(OR(T$4="",$A423&gt;TODAY()),0,IF(OR(INDEX($B423:$D423,T$5)="F",AND(T$6&gt;0,$A423&lt;T$6),AND(T$7&gt;0,$A423&gt;T$7)),0,MAX(0,ROUND((INDEX($E423:$G423,T$5)-SUMIFS(TF_Timer,TF_Tekniker,T$4,TF_Dato,$A423))*2,0)/2)))</f>
        <v/>
      </c>
      <c r="U423">
        <f>IF(OR(U$4="",$A423&gt;TODAY()),0,IF(OR(INDEX($B423:$D423,U$5)="F",AND(U$6&gt;0,$A423&lt;U$6),AND(U$7&gt;0,$A423&gt;U$7)),0,MAX(0,ROUND((INDEX($E423:$G423,U$5)-SUMIFS(TF_Timer,TF_Tekniker,U$4,TF_Dato,$A423))*2,0)/2)))</f>
        <v/>
      </c>
      <c r="V423">
        <f>IF(OR(V$4="",$A423&gt;TODAY()),0,IF(OR(INDEX($B423:$D423,V$5)="F",AND(V$6&gt;0,$A423&lt;V$6),AND(V$7&gt;0,$A423&gt;V$7)),0,MAX(0,ROUND((INDEX($E423:$G423,V$5)-SUMIFS(TF_Timer,TF_Tekniker,V$4,TF_Dato,$A423))*2,0)/2)))</f>
        <v/>
      </c>
      <c r="W423">
        <f>IF(OR(W$4="",$A423&gt;TODAY()),0,IF(OR(INDEX($B423:$D423,W$5)="F",AND(W$6&gt;0,$A423&lt;W$6),AND(W$7&gt;0,$A423&gt;W$7)),0,MAX(0,ROUND((INDEX($E423:$G423,W$5)-SUMIFS(TF_Timer,TF_Tekniker,W$4,TF_Dato,$A423))*2,0)/2)))</f>
        <v/>
      </c>
      <c r="X423">
        <f>IF(OR(X$4="",$A423&gt;TODAY()),0,IF(OR(INDEX($B423:$D423,X$5)="F",AND(X$6&gt;0,$A423&lt;X$6),AND(X$7&gt;0,$A423&gt;X$7)),0,MAX(0,ROUND((INDEX($E423:$G423,X$5)-SUMIFS(TF_Timer,TF_Tekniker,X$4,TF_Dato,$A423))*2,0)/2)))</f>
        <v/>
      </c>
      <c r="Y423">
        <f>IF(OR(Y$4="",$A423&gt;TODAY()),0,IF(OR(INDEX($B423:$D423,Y$5)="F",AND(Y$6&gt;0,$A423&lt;Y$6),AND(Y$7&gt;0,$A423&gt;Y$7)),0,MAX(0,ROUND((INDEX($E423:$G423,Y$5)-SUMIFS(TF_Timer,TF_Tekniker,Y$4,TF_Dato,$A423))*2,0)/2)))</f>
        <v/>
      </c>
      <c r="Z423">
        <f>IF(OR(Z$4="",$A423&gt;TODAY()),0,IF(OR(INDEX($B423:$D423,Z$5)="F",AND(Z$6&gt;0,$A423&lt;Z$6),AND(Z$7&gt;0,$A423&gt;Z$7)),0,MAX(0,ROUND((INDEX($E423:$G423,Z$5)-SUMIFS(TF_Timer,TF_Tekniker,Z$4,TF_Dato,$A423))*2,0)/2)))</f>
        <v/>
      </c>
      <c r="AA423">
        <f>IF(OR(AA$4="",$A423&gt;TODAY()),0,IF(OR(INDEX($B423:$D423,AA$5)="F",AND(AA$6&gt;0,$A423&lt;AA$6),AND(AA$7&gt;0,$A423&gt;AA$7)),0,MAX(0,ROUND((INDEX($E423:$G423,AA$5)-SUMIFS(TF_Timer,TF_Tekniker,AA$4,TF_Dato,$A423))*2,0)/2)))</f>
        <v/>
      </c>
      <c r="AB423">
        <f>IF(OR(AB$4="",$A423&gt;TODAY()),0,IF(OR(INDEX($B423:$D423,AB$5)="F",AND(AB$6&gt;0,$A423&lt;AB$6),AND(AB$7&gt;0,$A423&gt;AB$7)),0,MAX(0,ROUND((INDEX($E423:$G423,AB$5)-SUMIFS(TF_Timer,TF_Tekniker,AB$4,TF_Dato,$A423))*2,0)/2)))</f>
        <v/>
      </c>
      <c r="AC423">
        <f>IF(OR(AC$4="",$A423&gt;TODAY()),0,IF(OR(INDEX($B423:$D423,AC$5)="F",AND(AC$6&gt;0,$A423&lt;AC$6),AND(AC$7&gt;0,$A423&gt;AC$7)),0,MAX(0,ROUND((INDEX($E423:$G423,AC$5)-SUMIFS(TF_Timer,TF_Tekniker,AC$4,TF_Dato,$A423))*2,0)/2)))</f>
        <v/>
      </c>
      <c r="AD423">
        <f>IF(OR(AD$4="",$A423&gt;TODAY()),0,IF(OR(INDEX($B423:$D423,AD$5)="F",AND(AD$6&gt;0,$A423&lt;AD$6),AND(AD$7&gt;0,$A423&gt;AD$7)),0,MAX(0,ROUND((INDEX($E423:$G423,AD$5)-SUMIFS(TF_Timer,TF_Tekniker,AD$4,TF_Dato,$A423))*2,0)/2)))</f>
        <v/>
      </c>
      <c r="AE423">
        <f>IF(OR(AE$4="",$A423&gt;TODAY()),0,IF(OR(INDEX($B423:$D423,AE$5)="F",AND(AE$6&gt;0,$A423&lt;AE$6),AND(AE$7&gt;0,$A423&gt;AE$7)),0,MAX(0,ROUND((INDEX($E423:$G423,AE$5)-SUMIFS(TF_Timer,TF_Tekniker,AE$4,TF_Dato,$A423))*2,0)/2)))</f>
        <v/>
      </c>
      <c r="AF423">
        <f>IF(OR(AF$4="",$A423&gt;TODAY()),0,IF(OR(INDEX($B423:$D423,AF$5)="F",AND(AF$6&gt;0,$A423&lt;AF$6),AND(AF$7&gt;0,$A423&gt;AF$7)),0,MAX(0,ROUND((INDEX($E423:$G423,AF$5)-SUMIFS(TF_Timer,TF_Tekniker,AF$4,TF_Dato,$A423))*2,0)/2)))</f>
        <v/>
      </c>
      <c r="AG423">
        <f>IF(OR(AG$4="",$A423&gt;TODAY()),0,IF(OR(INDEX($B423:$D423,AG$5)="F",AND(AG$6&gt;0,$A423&lt;AG$6),AND(AG$7&gt;0,$A423&gt;AG$7)),0,MAX(0,ROUND((INDEX($E423:$G423,AG$5)-SUMIFS(TF_Timer,TF_Tekniker,AG$4,TF_Dato,$A423))*2,0)/2)))</f>
        <v/>
      </c>
      <c r="AH423">
        <f>IF(OR(AH$4="",$A423&gt;TODAY()),0,IF(OR(INDEX($B423:$D423,AH$5)="F",AND(AH$6&gt;0,$A423&lt;AH$6),AND(AH$7&gt;0,$A423&gt;AH$7)),0,MAX(0,ROUND((INDEX($E423:$G423,AH$5)-SUMIFS(TF_Timer,TF_Tekniker,AH$4,TF_Dato,$A423))*2,0)/2)))</f>
        <v/>
      </c>
      <c r="AI423">
        <f>IF(OR(AI$4="",$A423&gt;TODAY()),0,IF(OR(INDEX($B423:$D423,AI$5)="F",AND(AI$6&gt;0,$A423&lt;AI$6),AND(AI$7&gt;0,$A423&gt;AI$7)),0,MAX(0,ROUND((INDEX($E423:$G423,AI$5)-SUMIFS(TF_Timer,TF_Tekniker,AI$4,TF_Dato,$A423))*2,0)/2)))</f>
        <v/>
      </c>
      <c r="AJ423">
        <f>IF(OR(AJ$4="",$A423&gt;TODAY()),0,IF(OR(INDEX($B423:$D423,AJ$5)="F",AND(AJ$6&gt;0,$A423&lt;AJ$6),AND(AJ$7&gt;0,$A423&gt;AJ$7)),0,MAX(0,ROUND((INDEX($E423:$G423,AJ$5)-SUMIFS(TF_Timer,TF_Tekniker,AJ$4,TF_Dato,$A423))*2,0)/2)))</f>
        <v/>
      </c>
      <c r="AK423">
        <f>IF(OR(AK$4="",$A423&gt;TODAY()),0,IF(OR(INDEX($B423:$D423,AK$5)="F",AND(AK$6&gt;0,$A423&lt;AK$6),AND(AK$7&gt;0,$A423&gt;AK$7)),0,MAX(0,ROUND((INDEX($E423:$G423,AK$5)-SUMIFS(TF_Timer,TF_Tekniker,AK$4,TF_Dato,$A423))*2,0)/2)))</f>
        <v/>
      </c>
      <c r="AL423">
        <f>IF(OR(AL$4="",$A423&gt;TODAY()),0,IF(OR(INDEX($B423:$D423,AL$5)="F",AND(AL$6&gt;0,$A423&lt;AL$6),AND(AL$7&gt;0,$A423&gt;AL$7)),0,MAX(0,ROUND((INDEX($E423:$G423,AL$5)-SUMIFS(TF_Timer,TF_Tekniker,AL$4,TF_Dato,$A423))*2,0)/2)))</f>
        <v/>
      </c>
      <c r="AM423">
        <f>IF(OR(AM$4="",$A423&gt;TODAY()),0,IF(OR(INDEX($B423:$D423,AM$5)="F",AND(AM$6&gt;0,$A423&lt;AM$6),AND(AM$7&gt;0,$A423&gt;AM$7)),0,MAX(0,ROUND((INDEX($E423:$G423,AM$5)-SUMIFS(TF_Timer,TF_Tekniker,AM$4,TF_Dato,$A423))*2,0)/2)))</f>
        <v/>
      </c>
      <c r="AN423">
        <f>IF(OR(AN$4="",$A423&gt;TODAY()),0,IF(OR(INDEX($B423:$D423,AN$5)="F",AND(AN$6&gt;0,$A423&lt;AN$6),AND(AN$7&gt;0,$A423&gt;AN$7)),0,MAX(0,ROUND((INDEX($E423:$G423,AN$5)-SUMIFS(TF_Timer,TF_Tekniker,AN$4,TF_Dato,$A423))*2,0)/2)))</f>
        <v/>
      </c>
      <c r="AO423">
        <f>IF(OR(AO$4="",$A423&gt;TODAY()),0,IF(OR(INDEX($B423:$D423,AO$5)="F",AND(AO$6&gt;0,$A423&lt;AO$6),AND(AO$7&gt;0,$A423&gt;AO$7)),0,MAX(0,ROUND((INDEX($E423:$G423,AO$5)-SUMIFS(TF_Timer,TF_Tekniker,AO$4,TF_Dato,$A423))*2,0)/2)))</f>
        <v/>
      </c>
      <c r="AP423">
        <f>IF(OR(AP$4="",$A423&gt;TODAY()),0,IF(OR(INDEX($B423:$D423,AP$5)="F",AND(AP$6&gt;0,$A423&lt;AP$6),AND(AP$7&gt;0,$A423&gt;AP$7)),0,MAX(0,ROUND((INDEX($E423:$G423,AP$5)-SUMIFS(TF_Timer,TF_Tekniker,AP$4,TF_Dato,$A423))*2,0)/2)))</f>
        <v/>
      </c>
      <c r="AQ423">
        <f>IF(OR(AQ$4="",$A423&gt;TODAY()),0,IF(OR(INDEX($B423:$D423,AQ$5)="F",AND(AQ$6&gt;0,$A423&lt;AQ$6),AND(AQ$7&gt;0,$A423&gt;AQ$7)),0,MAX(0,ROUND((INDEX($E423:$G423,AQ$5)-SUMIFS(TF_Timer,TF_Tekniker,AQ$4,TF_Dato,$A423))*2,0)/2)))</f>
        <v/>
      </c>
      <c r="AR423">
        <f>IF(OR(AR$4="",$A423&gt;TODAY()),0,IF(OR(INDEX($B423:$D423,AR$5)="F",AND(AR$6&gt;0,$A423&lt;AR$6),AND(AR$7&gt;0,$A423&gt;AR$7)),0,MAX(0,ROUND((INDEX($E423:$G423,AR$5)-SUMIFS(TF_Timer,TF_Tekniker,AR$4,TF_Dato,$A423))*2,0)/2)))</f>
        <v/>
      </c>
      <c r="AS423">
        <f>IF(OR(AS$4="",$A423&gt;TODAY()),0,IF(OR(INDEX($B423:$D423,AS$5)="F",AND(AS$6&gt;0,$A423&lt;AS$6),AND(AS$7&gt;0,$A423&gt;AS$7)),0,MAX(0,ROUND((INDEX($E423:$G423,AS$5)-SUMIFS(TF_Timer,TF_Tekniker,AS$4,TF_Dato,$A423))*2,0)/2)))</f>
        <v/>
      </c>
      <c r="AT423">
        <f>IF(OR(AT$4="",$A423&gt;TODAY()),0,IF(OR(INDEX($B423:$D423,AT$5)="F",AND(AT$6&gt;0,$A423&lt;AT$6),AND(AT$7&gt;0,$A423&gt;AT$7)),0,MAX(0,ROUND((INDEX($E423:$G423,AT$5)-SUMIFS(TF_Timer,TF_Tekniker,AT$4,TF_Dato,$A423))*2,0)/2)))</f>
        <v/>
      </c>
      <c r="AU423">
        <f>IF(OR(AU$4="",$A423&gt;TODAY()),0,IF(OR(INDEX($B423:$D423,AU$5)="F",AND(AU$6&gt;0,$A423&lt;AU$6),AND(AU$7&gt;0,$A423&gt;AU$7)),0,MAX(0,ROUND((INDEX($E423:$G423,AU$5)-SUMIFS(TF_Timer,TF_Tekniker,AU$4,TF_Dato,$A423))*2,0)/2)))</f>
        <v/>
      </c>
      <c r="AV423">
        <f>IF(OR(AV$4="",$A423&gt;TODAY()),0,IF(OR(INDEX($B423:$D423,AV$5)="F",AND(AV$6&gt;0,$A423&lt;AV$6),AND(AV$7&gt;0,$A423&gt;AV$7)),0,MAX(0,ROUND((INDEX($E423:$G423,AV$5)-SUMIFS(TF_Timer,TF_Tekniker,AV$4,TF_Dato,$A423))*2,0)/2)))</f>
        <v/>
      </c>
      <c r="AW423">
        <f>IF(OR(AW$4="",$A423&gt;TODAY()),0,IF(OR(INDEX($B423:$D423,AW$5)="F",AND(AW$6&gt;0,$A423&lt;AW$6),AND(AW$7&gt;0,$A423&gt;AW$7)),0,MAX(0,ROUND((INDEX($E423:$G423,AW$5)-SUMIFS(TF_Timer,TF_Tekniker,AW$4,TF_Dato,$A423))*2,0)/2)))</f>
        <v/>
      </c>
      <c r="AX423">
        <f>IF(OR(AX$4="",$A423&gt;TODAY()),0,IF(OR(INDEX($B423:$D423,AX$5)="F",AND(AX$6&gt;0,$A423&lt;AX$6),AND(AX$7&gt;0,$A423&gt;AX$7)),0,MAX(0,ROUND((INDEX($E423:$G423,AX$5)-SUMIFS(TF_Timer,TF_Tekniker,AX$4,TF_Dato,$A423))*2,0)/2)))</f>
        <v/>
      </c>
      <c r="AY423">
        <f>IF(OR(AY$4="",$A423&gt;TODAY()),0,IF(OR(INDEX($B423:$D423,AY$5)="F",AND(AY$6&gt;0,$A423&lt;AY$6),AND(AY$7&gt;0,$A423&gt;AY$7)),0,MAX(0,ROUND((INDEX($E423:$G423,AY$5)-SUMIFS(TF_Timer,TF_Tekniker,AY$4,TF_Dato,$A423))*2,0)/2)))</f>
        <v/>
      </c>
      <c r="AZ423">
        <f>IF(OR(AZ$4="",$A423&gt;TODAY()),0,IF(OR(INDEX($B423:$D423,AZ$5)="F",AND(AZ$6&gt;0,$A423&lt;AZ$6),AND(AZ$7&gt;0,$A423&gt;AZ$7)),0,MAX(0,ROUND((INDEX($E423:$G423,AZ$5)-SUMIFS(TF_Timer,TF_Tekniker,AZ$4,TF_Dato,$A423))*2,0)/2)))</f>
        <v/>
      </c>
      <c r="BA423">
        <f>IF(OR(BA$4="",$A423&gt;TODAY()),0,IF(OR(INDEX($B423:$D423,BA$5)="F",AND(BA$6&gt;0,$A423&lt;BA$6),AND(BA$7&gt;0,$A423&gt;BA$7)),0,MAX(0,ROUND((INDEX($E423:$G423,BA$5)-SUMIFS(TF_Timer,TF_Tekniker,BA$4,TF_Dato,$A423))*2,0)/2)))</f>
        <v/>
      </c>
      <c r="BB423">
        <f>IF(OR(BB$4="",$A423&gt;TODAY()),0,IF(OR(INDEX($B423:$D423,BB$5)="F",AND(BB$6&gt;0,$A423&lt;BB$6),AND(BB$7&gt;0,$A423&gt;BB$7)),0,MAX(0,ROUND((INDEX($E423:$G423,BB$5)-SUMIFS(TF_Timer,TF_Tekniker,BB$4,TF_Dato,$A423))*2,0)/2)))</f>
        <v/>
      </c>
      <c r="BC423">
        <f>IF(OR(BC$4="",$A423&gt;TODAY()),0,IF(OR(INDEX($B423:$D423,BC$5)="F",AND(BC$6&gt;0,$A423&lt;BC$6),AND(BC$7&gt;0,$A423&gt;BC$7)),0,MAX(0,ROUND((INDEX($E423:$G423,BC$5)-SUMIFS(TF_Timer,TF_Tekniker,BC$4,TF_Dato,$A423))*2,0)/2)))</f>
        <v/>
      </c>
      <c r="BD423">
        <f>IF(OR(BD$4="",$A423&gt;TODAY()),0,IF(OR(INDEX($B423:$D423,BD$5)="F",AND(BD$6&gt;0,$A423&lt;BD$6),AND(BD$7&gt;0,$A423&gt;BD$7)),0,MAX(0,ROUND((INDEX($E423:$G423,BD$5)-SUMIFS(TF_Timer,TF_Tekniker,BD$4,TF_Dato,$A423))*2,0)/2)))</f>
        <v/>
      </c>
      <c r="BE423">
        <f>IF(OR(BE$4="",$A423&gt;TODAY()),0,IF(OR(INDEX($B423:$D423,BE$5)="F",AND(BE$6&gt;0,$A423&lt;BE$6),AND(BE$7&gt;0,$A423&gt;BE$7)),0,MAX(0,ROUND((INDEX($E423:$G423,BE$5)-SUMIFS(TF_Timer,TF_Tekniker,BE$4,TF_Dato,$A423))*2,0)/2)))</f>
        <v/>
      </c>
      <c r="BF423">
        <f>IF(OR(BF$4="",$A423&gt;TODAY()),0,IF(OR(INDEX($B423:$D423,BF$5)="F",AND(BF$6&gt;0,$A423&lt;BF$6),AND(BF$7&gt;0,$A423&gt;BF$7)),0,MAX(0,ROUND((INDEX($E423:$G423,BF$5)-SUMIFS(TF_Timer,TF_Tekniker,BF$4,TF_Dato,$A423))*2,0)/2)))</f>
        <v/>
      </c>
      <c r="BG423">
        <f>IF(OR(BG$4="",$A423&gt;TODAY()),0,IF(OR(INDEX($B423:$D423,BG$5)="F",AND(BG$6&gt;0,$A423&lt;BG$6),AND(BG$7&gt;0,$A423&gt;BG$7)),0,MAX(0,ROUND((INDEX($E423:$G423,BG$5)-SUMIFS(TF_Timer,TF_Tekniker,BG$4,TF_Dato,$A423))*2,0)/2)))</f>
        <v/>
      </c>
      <c r="BH423">
        <f>IF(OR(BH$4="",$A423&gt;TODAY()),0,IF(OR(INDEX($B423:$D423,BH$5)="F",AND(BH$6&gt;0,$A423&lt;BH$6),AND(BH$7&gt;0,$A423&gt;BH$7)),0,MAX(0,ROUND((INDEX($E423:$G423,BH$5)-SUMIFS(TF_Timer,TF_Tekniker,BH$4,TF_Dato,$A423))*2,0)/2)))</f>
        <v/>
      </c>
      <c r="BI423">
        <f>IF(OR(BI$4="",$A423&gt;TODAY()),0,IF(OR(INDEX($B423:$D423,BI$5)="F",AND(BI$6&gt;0,$A423&lt;BI$6),AND(BI$7&gt;0,$A423&gt;BI$7)),0,MAX(0,ROUND((INDEX($E423:$G423,BI$5)-SUMIFS(TF_Timer,TF_Tekniker,BI$4,TF_Dato,$A423))*2,0)/2)))</f>
        <v/>
      </c>
    </row>
    <row r="424">
      <c r="A424" s="64">
        <f>A423+1</f>
        <v/>
      </c>
      <c r="B424">
        <f>IF(MOD($A424-INDEX(SkiftStart,1),Syklus)&lt;DagK,"K",IF(MOD($A424-INDEX(SkiftStart,1),Syklus)&lt;DagK+DagH,"H",IF(MOD($A424-INDEX(SkiftStart,1),Syklus)&lt;DagK+DagH+DagD,"D","F")))</f>
        <v/>
      </c>
      <c r="C424">
        <f>IF(MOD($A424-INDEX(SkiftStart,2),Syklus)&lt;DagK,"K",IF(MOD($A424-INDEX(SkiftStart,2),Syklus)&lt;DagK+DagH,"H",IF(MOD($A424-INDEX(SkiftStart,2),Syklus)&lt;DagK+DagH+DagD,"D","F")))</f>
        <v/>
      </c>
      <c r="D424">
        <f>IF(MOD($A424-INDEX(SkiftStart,3),Syklus)&lt;DagK,"K",IF(MOD($A424-INDEX(SkiftStart,3),Syklus)&lt;DagK+DagH,"H",IF(MOD($A424-INDEX(SkiftStart,3),Syklus)&lt;DagK+DagH+DagD,"D","F")))</f>
        <v/>
      </c>
      <c r="E424">
        <f>IF(B424="F",0,IF(WEEKDAY($A424,2)=5,INDEX(TimerFr,MATCH(B424,FaseKode,0)),INDEX(TimerMT,MATCH(B424,FaseKode,0))))</f>
        <v/>
      </c>
      <c r="F424">
        <f>IF(C424="F",0,IF(WEEKDAY($A424,2)=5,INDEX(TimerFr,MATCH(C424,FaseKode,0)),INDEX(TimerMT,MATCH(C424,FaseKode,0))))</f>
        <v/>
      </c>
      <c r="G424">
        <f>IF(D424="F",0,IF(WEEKDAY($A424,2)=5,INDEX(TimerFr,MATCH(D424,FaseKode,0)),INDEX(TimerMT,MATCH(D424,FaseKode,0))))</f>
        <v/>
      </c>
      <c r="H424">
        <f>IF(OR(H$4="",$A424&gt;TODAY()),0,IF(OR(INDEX($B424:$D424,H$5)="F",AND(H$6&gt;0,$A424&lt;H$6),AND(H$7&gt;0,$A424&gt;H$7)),0,MAX(0,ROUND((INDEX($E424:$G424,H$5)-SUMIFS(TF_Timer,TF_Tekniker,H$4,TF_Dato,$A424))*2,0)/2)))</f>
        <v/>
      </c>
      <c r="I424">
        <f>IF(OR(I$4="",$A424&gt;TODAY()),0,IF(OR(INDEX($B424:$D424,I$5)="F",AND(I$6&gt;0,$A424&lt;I$6),AND(I$7&gt;0,$A424&gt;I$7)),0,MAX(0,ROUND((INDEX($E424:$G424,I$5)-SUMIFS(TF_Timer,TF_Tekniker,I$4,TF_Dato,$A424))*2,0)/2)))</f>
        <v/>
      </c>
      <c r="J424">
        <f>IF(OR(J$4="",$A424&gt;TODAY()),0,IF(OR(INDEX($B424:$D424,J$5)="F",AND(J$6&gt;0,$A424&lt;J$6),AND(J$7&gt;0,$A424&gt;J$7)),0,MAX(0,ROUND((INDEX($E424:$G424,J$5)-SUMIFS(TF_Timer,TF_Tekniker,J$4,TF_Dato,$A424))*2,0)/2)))</f>
        <v/>
      </c>
      <c r="K424">
        <f>IF(OR(K$4="",$A424&gt;TODAY()),0,IF(OR(INDEX($B424:$D424,K$5)="F",AND(K$6&gt;0,$A424&lt;K$6),AND(K$7&gt;0,$A424&gt;K$7)),0,MAX(0,ROUND((INDEX($E424:$G424,K$5)-SUMIFS(TF_Timer,TF_Tekniker,K$4,TF_Dato,$A424))*2,0)/2)))</f>
        <v/>
      </c>
      <c r="L424">
        <f>IF(OR(L$4="",$A424&gt;TODAY()),0,IF(OR(INDEX($B424:$D424,L$5)="F",AND(L$6&gt;0,$A424&lt;L$6),AND(L$7&gt;0,$A424&gt;L$7)),0,MAX(0,ROUND((INDEX($E424:$G424,L$5)-SUMIFS(TF_Timer,TF_Tekniker,L$4,TF_Dato,$A424))*2,0)/2)))</f>
        <v/>
      </c>
      <c r="M424">
        <f>IF(OR(M$4="",$A424&gt;TODAY()),0,IF(OR(INDEX($B424:$D424,M$5)="F",AND(M$6&gt;0,$A424&lt;M$6),AND(M$7&gt;0,$A424&gt;M$7)),0,MAX(0,ROUND((INDEX($E424:$G424,M$5)-SUMIFS(TF_Timer,TF_Tekniker,M$4,TF_Dato,$A424))*2,0)/2)))</f>
        <v/>
      </c>
      <c r="N424">
        <f>IF(OR(N$4="",$A424&gt;TODAY()),0,IF(OR(INDEX($B424:$D424,N$5)="F",AND(N$6&gt;0,$A424&lt;N$6),AND(N$7&gt;0,$A424&gt;N$7)),0,MAX(0,ROUND((INDEX($E424:$G424,N$5)-SUMIFS(TF_Timer,TF_Tekniker,N$4,TF_Dato,$A424))*2,0)/2)))</f>
        <v/>
      </c>
      <c r="O424">
        <f>IF(OR(O$4="",$A424&gt;TODAY()),0,IF(OR(INDEX($B424:$D424,O$5)="F",AND(O$6&gt;0,$A424&lt;O$6),AND(O$7&gt;0,$A424&gt;O$7)),0,MAX(0,ROUND((INDEX($E424:$G424,O$5)-SUMIFS(TF_Timer,TF_Tekniker,O$4,TF_Dato,$A424))*2,0)/2)))</f>
        <v/>
      </c>
      <c r="P424">
        <f>IF(OR(P$4="",$A424&gt;TODAY()),0,IF(OR(INDEX($B424:$D424,P$5)="F",AND(P$6&gt;0,$A424&lt;P$6),AND(P$7&gt;0,$A424&gt;P$7)),0,MAX(0,ROUND((INDEX($E424:$G424,P$5)-SUMIFS(TF_Timer,TF_Tekniker,P$4,TF_Dato,$A424))*2,0)/2)))</f>
        <v/>
      </c>
      <c r="Q424">
        <f>IF(OR(Q$4="",$A424&gt;TODAY()),0,IF(OR(INDEX($B424:$D424,Q$5)="F",AND(Q$6&gt;0,$A424&lt;Q$6),AND(Q$7&gt;0,$A424&gt;Q$7)),0,MAX(0,ROUND((INDEX($E424:$G424,Q$5)-SUMIFS(TF_Timer,TF_Tekniker,Q$4,TF_Dato,$A424))*2,0)/2)))</f>
        <v/>
      </c>
      <c r="R424">
        <f>IF(OR(R$4="",$A424&gt;TODAY()),0,IF(OR(INDEX($B424:$D424,R$5)="F",AND(R$6&gt;0,$A424&lt;R$6),AND(R$7&gt;0,$A424&gt;R$7)),0,MAX(0,ROUND((INDEX($E424:$G424,R$5)-SUMIFS(TF_Timer,TF_Tekniker,R$4,TF_Dato,$A424))*2,0)/2)))</f>
        <v/>
      </c>
      <c r="S424">
        <f>IF(OR(S$4="",$A424&gt;TODAY()),0,IF(OR(INDEX($B424:$D424,S$5)="F",AND(S$6&gt;0,$A424&lt;S$6),AND(S$7&gt;0,$A424&gt;S$7)),0,MAX(0,ROUND((INDEX($E424:$G424,S$5)-SUMIFS(TF_Timer,TF_Tekniker,S$4,TF_Dato,$A424))*2,0)/2)))</f>
        <v/>
      </c>
      <c r="T424">
        <f>IF(OR(T$4="",$A424&gt;TODAY()),0,IF(OR(INDEX($B424:$D424,T$5)="F",AND(T$6&gt;0,$A424&lt;T$6),AND(T$7&gt;0,$A424&gt;T$7)),0,MAX(0,ROUND((INDEX($E424:$G424,T$5)-SUMIFS(TF_Timer,TF_Tekniker,T$4,TF_Dato,$A424))*2,0)/2)))</f>
        <v/>
      </c>
      <c r="U424">
        <f>IF(OR(U$4="",$A424&gt;TODAY()),0,IF(OR(INDEX($B424:$D424,U$5)="F",AND(U$6&gt;0,$A424&lt;U$6),AND(U$7&gt;0,$A424&gt;U$7)),0,MAX(0,ROUND((INDEX($E424:$G424,U$5)-SUMIFS(TF_Timer,TF_Tekniker,U$4,TF_Dato,$A424))*2,0)/2)))</f>
        <v/>
      </c>
      <c r="V424">
        <f>IF(OR(V$4="",$A424&gt;TODAY()),0,IF(OR(INDEX($B424:$D424,V$5)="F",AND(V$6&gt;0,$A424&lt;V$6),AND(V$7&gt;0,$A424&gt;V$7)),0,MAX(0,ROUND((INDEX($E424:$G424,V$5)-SUMIFS(TF_Timer,TF_Tekniker,V$4,TF_Dato,$A424))*2,0)/2)))</f>
        <v/>
      </c>
      <c r="W424">
        <f>IF(OR(W$4="",$A424&gt;TODAY()),0,IF(OR(INDEX($B424:$D424,W$5)="F",AND(W$6&gt;0,$A424&lt;W$6),AND(W$7&gt;0,$A424&gt;W$7)),0,MAX(0,ROUND((INDEX($E424:$G424,W$5)-SUMIFS(TF_Timer,TF_Tekniker,W$4,TF_Dato,$A424))*2,0)/2)))</f>
        <v/>
      </c>
      <c r="X424">
        <f>IF(OR(X$4="",$A424&gt;TODAY()),0,IF(OR(INDEX($B424:$D424,X$5)="F",AND(X$6&gt;0,$A424&lt;X$6),AND(X$7&gt;0,$A424&gt;X$7)),0,MAX(0,ROUND((INDEX($E424:$G424,X$5)-SUMIFS(TF_Timer,TF_Tekniker,X$4,TF_Dato,$A424))*2,0)/2)))</f>
        <v/>
      </c>
      <c r="Y424">
        <f>IF(OR(Y$4="",$A424&gt;TODAY()),0,IF(OR(INDEX($B424:$D424,Y$5)="F",AND(Y$6&gt;0,$A424&lt;Y$6),AND(Y$7&gt;0,$A424&gt;Y$7)),0,MAX(0,ROUND((INDEX($E424:$G424,Y$5)-SUMIFS(TF_Timer,TF_Tekniker,Y$4,TF_Dato,$A424))*2,0)/2)))</f>
        <v/>
      </c>
      <c r="Z424">
        <f>IF(OR(Z$4="",$A424&gt;TODAY()),0,IF(OR(INDEX($B424:$D424,Z$5)="F",AND(Z$6&gt;0,$A424&lt;Z$6),AND(Z$7&gt;0,$A424&gt;Z$7)),0,MAX(0,ROUND((INDEX($E424:$G424,Z$5)-SUMIFS(TF_Timer,TF_Tekniker,Z$4,TF_Dato,$A424))*2,0)/2)))</f>
        <v/>
      </c>
      <c r="AA424">
        <f>IF(OR(AA$4="",$A424&gt;TODAY()),0,IF(OR(INDEX($B424:$D424,AA$5)="F",AND(AA$6&gt;0,$A424&lt;AA$6),AND(AA$7&gt;0,$A424&gt;AA$7)),0,MAX(0,ROUND((INDEX($E424:$G424,AA$5)-SUMIFS(TF_Timer,TF_Tekniker,AA$4,TF_Dato,$A424))*2,0)/2)))</f>
        <v/>
      </c>
      <c r="AB424">
        <f>IF(OR(AB$4="",$A424&gt;TODAY()),0,IF(OR(INDEX($B424:$D424,AB$5)="F",AND(AB$6&gt;0,$A424&lt;AB$6),AND(AB$7&gt;0,$A424&gt;AB$7)),0,MAX(0,ROUND((INDEX($E424:$G424,AB$5)-SUMIFS(TF_Timer,TF_Tekniker,AB$4,TF_Dato,$A424))*2,0)/2)))</f>
        <v/>
      </c>
      <c r="AC424">
        <f>IF(OR(AC$4="",$A424&gt;TODAY()),0,IF(OR(INDEX($B424:$D424,AC$5)="F",AND(AC$6&gt;0,$A424&lt;AC$6),AND(AC$7&gt;0,$A424&gt;AC$7)),0,MAX(0,ROUND((INDEX($E424:$G424,AC$5)-SUMIFS(TF_Timer,TF_Tekniker,AC$4,TF_Dato,$A424))*2,0)/2)))</f>
        <v/>
      </c>
      <c r="AD424">
        <f>IF(OR(AD$4="",$A424&gt;TODAY()),0,IF(OR(INDEX($B424:$D424,AD$5)="F",AND(AD$6&gt;0,$A424&lt;AD$6),AND(AD$7&gt;0,$A424&gt;AD$7)),0,MAX(0,ROUND((INDEX($E424:$G424,AD$5)-SUMIFS(TF_Timer,TF_Tekniker,AD$4,TF_Dato,$A424))*2,0)/2)))</f>
        <v/>
      </c>
      <c r="AE424">
        <f>IF(OR(AE$4="",$A424&gt;TODAY()),0,IF(OR(INDEX($B424:$D424,AE$5)="F",AND(AE$6&gt;0,$A424&lt;AE$6),AND(AE$7&gt;0,$A424&gt;AE$7)),0,MAX(0,ROUND((INDEX($E424:$G424,AE$5)-SUMIFS(TF_Timer,TF_Tekniker,AE$4,TF_Dato,$A424))*2,0)/2)))</f>
        <v/>
      </c>
      <c r="AF424">
        <f>IF(OR(AF$4="",$A424&gt;TODAY()),0,IF(OR(INDEX($B424:$D424,AF$5)="F",AND(AF$6&gt;0,$A424&lt;AF$6),AND(AF$7&gt;0,$A424&gt;AF$7)),0,MAX(0,ROUND((INDEX($E424:$G424,AF$5)-SUMIFS(TF_Timer,TF_Tekniker,AF$4,TF_Dato,$A424))*2,0)/2)))</f>
        <v/>
      </c>
      <c r="AG424">
        <f>IF(OR(AG$4="",$A424&gt;TODAY()),0,IF(OR(INDEX($B424:$D424,AG$5)="F",AND(AG$6&gt;0,$A424&lt;AG$6),AND(AG$7&gt;0,$A424&gt;AG$7)),0,MAX(0,ROUND((INDEX($E424:$G424,AG$5)-SUMIFS(TF_Timer,TF_Tekniker,AG$4,TF_Dato,$A424))*2,0)/2)))</f>
        <v/>
      </c>
      <c r="AH424">
        <f>IF(OR(AH$4="",$A424&gt;TODAY()),0,IF(OR(INDEX($B424:$D424,AH$5)="F",AND(AH$6&gt;0,$A424&lt;AH$6),AND(AH$7&gt;0,$A424&gt;AH$7)),0,MAX(0,ROUND((INDEX($E424:$G424,AH$5)-SUMIFS(TF_Timer,TF_Tekniker,AH$4,TF_Dato,$A424))*2,0)/2)))</f>
        <v/>
      </c>
      <c r="AI424">
        <f>IF(OR(AI$4="",$A424&gt;TODAY()),0,IF(OR(INDEX($B424:$D424,AI$5)="F",AND(AI$6&gt;0,$A424&lt;AI$6),AND(AI$7&gt;0,$A424&gt;AI$7)),0,MAX(0,ROUND((INDEX($E424:$G424,AI$5)-SUMIFS(TF_Timer,TF_Tekniker,AI$4,TF_Dato,$A424))*2,0)/2)))</f>
        <v/>
      </c>
      <c r="AJ424">
        <f>IF(OR(AJ$4="",$A424&gt;TODAY()),0,IF(OR(INDEX($B424:$D424,AJ$5)="F",AND(AJ$6&gt;0,$A424&lt;AJ$6),AND(AJ$7&gt;0,$A424&gt;AJ$7)),0,MAX(0,ROUND((INDEX($E424:$G424,AJ$5)-SUMIFS(TF_Timer,TF_Tekniker,AJ$4,TF_Dato,$A424))*2,0)/2)))</f>
        <v/>
      </c>
      <c r="AK424">
        <f>IF(OR(AK$4="",$A424&gt;TODAY()),0,IF(OR(INDEX($B424:$D424,AK$5)="F",AND(AK$6&gt;0,$A424&lt;AK$6),AND(AK$7&gt;0,$A424&gt;AK$7)),0,MAX(0,ROUND((INDEX($E424:$G424,AK$5)-SUMIFS(TF_Timer,TF_Tekniker,AK$4,TF_Dato,$A424))*2,0)/2)))</f>
        <v/>
      </c>
      <c r="AL424">
        <f>IF(OR(AL$4="",$A424&gt;TODAY()),0,IF(OR(INDEX($B424:$D424,AL$5)="F",AND(AL$6&gt;0,$A424&lt;AL$6),AND(AL$7&gt;0,$A424&gt;AL$7)),0,MAX(0,ROUND((INDEX($E424:$G424,AL$5)-SUMIFS(TF_Timer,TF_Tekniker,AL$4,TF_Dato,$A424))*2,0)/2)))</f>
        <v/>
      </c>
      <c r="AM424">
        <f>IF(OR(AM$4="",$A424&gt;TODAY()),0,IF(OR(INDEX($B424:$D424,AM$5)="F",AND(AM$6&gt;0,$A424&lt;AM$6),AND(AM$7&gt;0,$A424&gt;AM$7)),0,MAX(0,ROUND((INDEX($E424:$G424,AM$5)-SUMIFS(TF_Timer,TF_Tekniker,AM$4,TF_Dato,$A424))*2,0)/2)))</f>
        <v/>
      </c>
      <c r="AN424">
        <f>IF(OR(AN$4="",$A424&gt;TODAY()),0,IF(OR(INDEX($B424:$D424,AN$5)="F",AND(AN$6&gt;0,$A424&lt;AN$6),AND(AN$7&gt;0,$A424&gt;AN$7)),0,MAX(0,ROUND((INDEX($E424:$G424,AN$5)-SUMIFS(TF_Timer,TF_Tekniker,AN$4,TF_Dato,$A424))*2,0)/2)))</f>
        <v/>
      </c>
      <c r="AO424">
        <f>IF(OR(AO$4="",$A424&gt;TODAY()),0,IF(OR(INDEX($B424:$D424,AO$5)="F",AND(AO$6&gt;0,$A424&lt;AO$6),AND(AO$7&gt;0,$A424&gt;AO$7)),0,MAX(0,ROUND((INDEX($E424:$G424,AO$5)-SUMIFS(TF_Timer,TF_Tekniker,AO$4,TF_Dato,$A424))*2,0)/2)))</f>
        <v/>
      </c>
      <c r="AP424">
        <f>IF(OR(AP$4="",$A424&gt;TODAY()),0,IF(OR(INDEX($B424:$D424,AP$5)="F",AND(AP$6&gt;0,$A424&lt;AP$6),AND(AP$7&gt;0,$A424&gt;AP$7)),0,MAX(0,ROUND((INDEX($E424:$G424,AP$5)-SUMIFS(TF_Timer,TF_Tekniker,AP$4,TF_Dato,$A424))*2,0)/2)))</f>
        <v/>
      </c>
      <c r="AQ424">
        <f>IF(OR(AQ$4="",$A424&gt;TODAY()),0,IF(OR(INDEX($B424:$D424,AQ$5)="F",AND(AQ$6&gt;0,$A424&lt;AQ$6),AND(AQ$7&gt;0,$A424&gt;AQ$7)),0,MAX(0,ROUND((INDEX($E424:$G424,AQ$5)-SUMIFS(TF_Timer,TF_Tekniker,AQ$4,TF_Dato,$A424))*2,0)/2)))</f>
        <v/>
      </c>
      <c r="AR424">
        <f>IF(OR(AR$4="",$A424&gt;TODAY()),0,IF(OR(INDEX($B424:$D424,AR$5)="F",AND(AR$6&gt;0,$A424&lt;AR$6),AND(AR$7&gt;0,$A424&gt;AR$7)),0,MAX(0,ROUND((INDEX($E424:$G424,AR$5)-SUMIFS(TF_Timer,TF_Tekniker,AR$4,TF_Dato,$A424))*2,0)/2)))</f>
        <v/>
      </c>
      <c r="AS424">
        <f>IF(OR(AS$4="",$A424&gt;TODAY()),0,IF(OR(INDEX($B424:$D424,AS$5)="F",AND(AS$6&gt;0,$A424&lt;AS$6),AND(AS$7&gt;0,$A424&gt;AS$7)),0,MAX(0,ROUND((INDEX($E424:$G424,AS$5)-SUMIFS(TF_Timer,TF_Tekniker,AS$4,TF_Dato,$A424))*2,0)/2)))</f>
        <v/>
      </c>
      <c r="AT424">
        <f>IF(OR(AT$4="",$A424&gt;TODAY()),0,IF(OR(INDEX($B424:$D424,AT$5)="F",AND(AT$6&gt;0,$A424&lt;AT$6),AND(AT$7&gt;0,$A424&gt;AT$7)),0,MAX(0,ROUND((INDEX($E424:$G424,AT$5)-SUMIFS(TF_Timer,TF_Tekniker,AT$4,TF_Dato,$A424))*2,0)/2)))</f>
        <v/>
      </c>
      <c r="AU424">
        <f>IF(OR(AU$4="",$A424&gt;TODAY()),0,IF(OR(INDEX($B424:$D424,AU$5)="F",AND(AU$6&gt;0,$A424&lt;AU$6),AND(AU$7&gt;0,$A424&gt;AU$7)),0,MAX(0,ROUND((INDEX($E424:$G424,AU$5)-SUMIFS(TF_Timer,TF_Tekniker,AU$4,TF_Dato,$A424))*2,0)/2)))</f>
        <v/>
      </c>
      <c r="AV424">
        <f>IF(OR(AV$4="",$A424&gt;TODAY()),0,IF(OR(INDEX($B424:$D424,AV$5)="F",AND(AV$6&gt;0,$A424&lt;AV$6),AND(AV$7&gt;0,$A424&gt;AV$7)),0,MAX(0,ROUND((INDEX($E424:$G424,AV$5)-SUMIFS(TF_Timer,TF_Tekniker,AV$4,TF_Dato,$A424))*2,0)/2)))</f>
        <v/>
      </c>
      <c r="AW424">
        <f>IF(OR(AW$4="",$A424&gt;TODAY()),0,IF(OR(INDEX($B424:$D424,AW$5)="F",AND(AW$6&gt;0,$A424&lt;AW$6),AND(AW$7&gt;0,$A424&gt;AW$7)),0,MAX(0,ROUND((INDEX($E424:$G424,AW$5)-SUMIFS(TF_Timer,TF_Tekniker,AW$4,TF_Dato,$A424))*2,0)/2)))</f>
        <v/>
      </c>
      <c r="AX424">
        <f>IF(OR(AX$4="",$A424&gt;TODAY()),0,IF(OR(INDEX($B424:$D424,AX$5)="F",AND(AX$6&gt;0,$A424&lt;AX$6),AND(AX$7&gt;0,$A424&gt;AX$7)),0,MAX(0,ROUND((INDEX($E424:$G424,AX$5)-SUMIFS(TF_Timer,TF_Tekniker,AX$4,TF_Dato,$A424))*2,0)/2)))</f>
        <v/>
      </c>
      <c r="AY424">
        <f>IF(OR(AY$4="",$A424&gt;TODAY()),0,IF(OR(INDEX($B424:$D424,AY$5)="F",AND(AY$6&gt;0,$A424&lt;AY$6),AND(AY$7&gt;0,$A424&gt;AY$7)),0,MAX(0,ROUND((INDEX($E424:$G424,AY$5)-SUMIFS(TF_Timer,TF_Tekniker,AY$4,TF_Dato,$A424))*2,0)/2)))</f>
        <v/>
      </c>
      <c r="AZ424">
        <f>IF(OR(AZ$4="",$A424&gt;TODAY()),0,IF(OR(INDEX($B424:$D424,AZ$5)="F",AND(AZ$6&gt;0,$A424&lt;AZ$6),AND(AZ$7&gt;0,$A424&gt;AZ$7)),0,MAX(0,ROUND((INDEX($E424:$G424,AZ$5)-SUMIFS(TF_Timer,TF_Tekniker,AZ$4,TF_Dato,$A424))*2,0)/2)))</f>
        <v/>
      </c>
      <c r="BA424">
        <f>IF(OR(BA$4="",$A424&gt;TODAY()),0,IF(OR(INDEX($B424:$D424,BA$5)="F",AND(BA$6&gt;0,$A424&lt;BA$6),AND(BA$7&gt;0,$A424&gt;BA$7)),0,MAX(0,ROUND((INDEX($E424:$G424,BA$5)-SUMIFS(TF_Timer,TF_Tekniker,BA$4,TF_Dato,$A424))*2,0)/2)))</f>
        <v/>
      </c>
      <c r="BB424">
        <f>IF(OR(BB$4="",$A424&gt;TODAY()),0,IF(OR(INDEX($B424:$D424,BB$5)="F",AND(BB$6&gt;0,$A424&lt;BB$6),AND(BB$7&gt;0,$A424&gt;BB$7)),0,MAX(0,ROUND((INDEX($E424:$G424,BB$5)-SUMIFS(TF_Timer,TF_Tekniker,BB$4,TF_Dato,$A424))*2,0)/2)))</f>
        <v/>
      </c>
      <c r="BC424">
        <f>IF(OR(BC$4="",$A424&gt;TODAY()),0,IF(OR(INDEX($B424:$D424,BC$5)="F",AND(BC$6&gt;0,$A424&lt;BC$6),AND(BC$7&gt;0,$A424&gt;BC$7)),0,MAX(0,ROUND((INDEX($E424:$G424,BC$5)-SUMIFS(TF_Timer,TF_Tekniker,BC$4,TF_Dato,$A424))*2,0)/2)))</f>
        <v/>
      </c>
      <c r="BD424">
        <f>IF(OR(BD$4="",$A424&gt;TODAY()),0,IF(OR(INDEX($B424:$D424,BD$5)="F",AND(BD$6&gt;0,$A424&lt;BD$6),AND(BD$7&gt;0,$A424&gt;BD$7)),0,MAX(0,ROUND((INDEX($E424:$G424,BD$5)-SUMIFS(TF_Timer,TF_Tekniker,BD$4,TF_Dato,$A424))*2,0)/2)))</f>
        <v/>
      </c>
      <c r="BE424">
        <f>IF(OR(BE$4="",$A424&gt;TODAY()),0,IF(OR(INDEX($B424:$D424,BE$5)="F",AND(BE$6&gt;0,$A424&lt;BE$6),AND(BE$7&gt;0,$A424&gt;BE$7)),0,MAX(0,ROUND((INDEX($E424:$G424,BE$5)-SUMIFS(TF_Timer,TF_Tekniker,BE$4,TF_Dato,$A424))*2,0)/2)))</f>
        <v/>
      </c>
      <c r="BF424">
        <f>IF(OR(BF$4="",$A424&gt;TODAY()),0,IF(OR(INDEX($B424:$D424,BF$5)="F",AND(BF$6&gt;0,$A424&lt;BF$6),AND(BF$7&gt;0,$A424&gt;BF$7)),0,MAX(0,ROUND((INDEX($E424:$G424,BF$5)-SUMIFS(TF_Timer,TF_Tekniker,BF$4,TF_Dato,$A424))*2,0)/2)))</f>
        <v/>
      </c>
      <c r="BG424">
        <f>IF(OR(BG$4="",$A424&gt;TODAY()),0,IF(OR(INDEX($B424:$D424,BG$5)="F",AND(BG$6&gt;0,$A424&lt;BG$6),AND(BG$7&gt;0,$A424&gt;BG$7)),0,MAX(0,ROUND((INDEX($E424:$G424,BG$5)-SUMIFS(TF_Timer,TF_Tekniker,BG$4,TF_Dato,$A424))*2,0)/2)))</f>
        <v/>
      </c>
      <c r="BH424">
        <f>IF(OR(BH$4="",$A424&gt;TODAY()),0,IF(OR(INDEX($B424:$D424,BH$5)="F",AND(BH$6&gt;0,$A424&lt;BH$6),AND(BH$7&gt;0,$A424&gt;BH$7)),0,MAX(0,ROUND((INDEX($E424:$G424,BH$5)-SUMIFS(TF_Timer,TF_Tekniker,BH$4,TF_Dato,$A424))*2,0)/2)))</f>
        <v/>
      </c>
      <c r="BI424">
        <f>IF(OR(BI$4="",$A424&gt;TODAY()),0,IF(OR(INDEX($B424:$D424,BI$5)="F",AND(BI$6&gt;0,$A424&lt;BI$6),AND(BI$7&gt;0,$A424&gt;BI$7)),0,MAX(0,ROUND((INDEX($E424:$G424,BI$5)-SUMIFS(TF_Timer,TF_Tekniker,BI$4,TF_Dato,$A424))*2,0)/2)))</f>
        <v/>
      </c>
    </row>
    <row r="425">
      <c r="A425" s="64">
        <f>A424+1</f>
        <v/>
      </c>
      <c r="B425">
        <f>IF(MOD($A425-INDEX(SkiftStart,1),Syklus)&lt;DagK,"K",IF(MOD($A425-INDEX(SkiftStart,1),Syklus)&lt;DagK+DagH,"H",IF(MOD($A425-INDEX(SkiftStart,1),Syklus)&lt;DagK+DagH+DagD,"D","F")))</f>
        <v/>
      </c>
      <c r="C425">
        <f>IF(MOD($A425-INDEX(SkiftStart,2),Syklus)&lt;DagK,"K",IF(MOD($A425-INDEX(SkiftStart,2),Syklus)&lt;DagK+DagH,"H",IF(MOD($A425-INDEX(SkiftStart,2),Syklus)&lt;DagK+DagH+DagD,"D","F")))</f>
        <v/>
      </c>
      <c r="D425">
        <f>IF(MOD($A425-INDEX(SkiftStart,3),Syklus)&lt;DagK,"K",IF(MOD($A425-INDEX(SkiftStart,3),Syklus)&lt;DagK+DagH,"H",IF(MOD($A425-INDEX(SkiftStart,3),Syklus)&lt;DagK+DagH+DagD,"D","F")))</f>
        <v/>
      </c>
      <c r="E425">
        <f>IF(B425="F",0,IF(WEEKDAY($A425,2)=5,INDEX(TimerFr,MATCH(B425,FaseKode,0)),INDEX(TimerMT,MATCH(B425,FaseKode,0))))</f>
        <v/>
      </c>
      <c r="F425">
        <f>IF(C425="F",0,IF(WEEKDAY($A425,2)=5,INDEX(TimerFr,MATCH(C425,FaseKode,0)),INDEX(TimerMT,MATCH(C425,FaseKode,0))))</f>
        <v/>
      </c>
      <c r="G425">
        <f>IF(D425="F",0,IF(WEEKDAY($A425,2)=5,INDEX(TimerFr,MATCH(D425,FaseKode,0)),INDEX(TimerMT,MATCH(D425,FaseKode,0))))</f>
        <v/>
      </c>
      <c r="H425">
        <f>IF(OR(H$4="",$A425&gt;TODAY()),0,IF(OR(INDEX($B425:$D425,H$5)="F",AND(H$6&gt;0,$A425&lt;H$6),AND(H$7&gt;0,$A425&gt;H$7)),0,MAX(0,ROUND((INDEX($E425:$G425,H$5)-SUMIFS(TF_Timer,TF_Tekniker,H$4,TF_Dato,$A425))*2,0)/2)))</f>
        <v/>
      </c>
      <c r="I425">
        <f>IF(OR(I$4="",$A425&gt;TODAY()),0,IF(OR(INDEX($B425:$D425,I$5)="F",AND(I$6&gt;0,$A425&lt;I$6),AND(I$7&gt;0,$A425&gt;I$7)),0,MAX(0,ROUND((INDEX($E425:$G425,I$5)-SUMIFS(TF_Timer,TF_Tekniker,I$4,TF_Dato,$A425))*2,0)/2)))</f>
        <v/>
      </c>
      <c r="J425">
        <f>IF(OR(J$4="",$A425&gt;TODAY()),0,IF(OR(INDEX($B425:$D425,J$5)="F",AND(J$6&gt;0,$A425&lt;J$6),AND(J$7&gt;0,$A425&gt;J$7)),0,MAX(0,ROUND((INDEX($E425:$G425,J$5)-SUMIFS(TF_Timer,TF_Tekniker,J$4,TF_Dato,$A425))*2,0)/2)))</f>
        <v/>
      </c>
      <c r="K425">
        <f>IF(OR(K$4="",$A425&gt;TODAY()),0,IF(OR(INDEX($B425:$D425,K$5)="F",AND(K$6&gt;0,$A425&lt;K$6),AND(K$7&gt;0,$A425&gt;K$7)),0,MAX(0,ROUND((INDEX($E425:$G425,K$5)-SUMIFS(TF_Timer,TF_Tekniker,K$4,TF_Dato,$A425))*2,0)/2)))</f>
        <v/>
      </c>
      <c r="L425">
        <f>IF(OR(L$4="",$A425&gt;TODAY()),0,IF(OR(INDEX($B425:$D425,L$5)="F",AND(L$6&gt;0,$A425&lt;L$6),AND(L$7&gt;0,$A425&gt;L$7)),0,MAX(0,ROUND((INDEX($E425:$G425,L$5)-SUMIFS(TF_Timer,TF_Tekniker,L$4,TF_Dato,$A425))*2,0)/2)))</f>
        <v/>
      </c>
      <c r="M425">
        <f>IF(OR(M$4="",$A425&gt;TODAY()),0,IF(OR(INDEX($B425:$D425,M$5)="F",AND(M$6&gt;0,$A425&lt;M$6),AND(M$7&gt;0,$A425&gt;M$7)),0,MAX(0,ROUND((INDEX($E425:$G425,M$5)-SUMIFS(TF_Timer,TF_Tekniker,M$4,TF_Dato,$A425))*2,0)/2)))</f>
        <v/>
      </c>
      <c r="N425">
        <f>IF(OR(N$4="",$A425&gt;TODAY()),0,IF(OR(INDEX($B425:$D425,N$5)="F",AND(N$6&gt;0,$A425&lt;N$6),AND(N$7&gt;0,$A425&gt;N$7)),0,MAX(0,ROUND((INDEX($E425:$G425,N$5)-SUMIFS(TF_Timer,TF_Tekniker,N$4,TF_Dato,$A425))*2,0)/2)))</f>
        <v/>
      </c>
      <c r="O425">
        <f>IF(OR(O$4="",$A425&gt;TODAY()),0,IF(OR(INDEX($B425:$D425,O$5)="F",AND(O$6&gt;0,$A425&lt;O$6),AND(O$7&gt;0,$A425&gt;O$7)),0,MAX(0,ROUND((INDEX($E425:$G425,O$5)-SUMIFS(TF_Timer,TF_Tekniker,O$4,TF_Dato,$A425))*2,0)/2)))</f>
        <v/>
      </c>
      <c r="P425">
        <f>IF(OR(P$4="",$A425&gt;TODAY()),0,IF(OR(INDEX($B425:$D425,P$5)="F",AND(P$6&gt;0,$A425&lt;P$6),AND(P$7&gt;0,$A425&gt;P$7)),0,MAX(0,ROUND((INDEX($E425:$G425,P$5)-SUMIFS(TF_Timer,TF_Tekniker,P$4,TF_Dato,$A425))*2,0)/2)))</f>
        <v/>
      </c>
      <c r="Q425">
        <f>IF(OR(Q$4="",$A425&gt;TODAY()),0,IF(OR(INDEX($B425:$D425,Q$5)="F",AND(Q$6&gt;0,$A425&lt;Q$6),AND(Q$7&gt;0,$A425&gt;Q$7)),0,MAX(0,ROUND((INDEX($E425:$G425,Q$5)-SUMIFS(TF_Timer,TF_Tekniker,Q$4,TF_Dato,$A425))*2,0)/2)))</f>
        <v/>
      </c>
      <c r="R425">
        <f>IF(OR(R$4="",$A425&gt;TODAY()),0,IF(OR(INDEX($B425:$D425,R$5)="F",AND(R$6&gt;0,$A425&lt;R$6),AND(R$7&gt;0,$A425&gt;R$7)),0,MAX(0,ROUND((INDEX($E425:$G425,R$5)-SUMIFS(TF_Timer,TF_Tekniker,R$4,TF_Dato,$A425))*2,0)/2)))</f>
        <v/>
      </c>
      <c r="S425">
        <f>IF(OR(S$4="",$A425&gt;TODAY()),0,IF(OR(INDEX($B425:$D425,S$5)="F",AND(S$6&gt;0,$A425&lt;S$6),AND(S$7&gt;0,$A425&gt;S$7)),0,MAX(0,ROUND((INDEX($E425:$G425,S$5)-SUMIFS(TF_Timer,TF_Tekniker,S$4,TF_Dato,$A425))*2,0)/2)))</f>
        <v/>
      </c>
      <c r="T425">
        <f>IF(OR(T$4="",$A425&gt;TODAY()),0,IF(OR(INDEX($B425:$D425,T$5)="F",AND(T$6&gt;0,$A425&lt;T$6),AND(T$7&gt;0,$A425&gt;T$7)),0,MAX(0,ROUND((INDEX($E425:$G425,T$5)-SUMIFS(TF_Timer,TF_Tekniker,T$4,TF_Dato,$A425))*2,0)/2)))</f>
        <v/>
      </c>
      <c r="U425">
        <f>IF(OR(U$4="",$A425&gt;TODAY()),0,IF(OR(INDEX($B425:$D425,U$5)="F",AND(U$6&gt;0,$A425&lt;U$6),AND(U$7&gt;0,$A425&gt;U$7)),0,MAX(0,ROUND((INDEX($E425:$G425,U$5)-SUMIFS(TF_Timer,TF_Tekniker,U$4,TF_Dato,$A425))*2,0)/2)))</f>
        <v/>
      </c>
      <c r="V425">
        <f>IF(OR(V$4="",$A425&gt;TODAY()),0,IF(OR(INDEX($B425:$D425,V$5)="F",AND(V$6&gt;0,$A425&lt;V$6),AND(V$7&gt;0,$A425&gt;V$7)),0,MAX(0,ROUND((INDEX($E425:$G425,V$5)-SUMIFS(TF_Timer,TF_Tekniker,V$4,TF_Dato,$A425))*2,0)/2)))</f>
        <v/>
      </c>
      <c r="W425">
        <f>IF(OR(W$4="",$A425&gt;TODAY()),0,IF(OR(INDEX($B425:$D425,W$5)="F",AND(W$6&gt;0,$A425&lt;W$6),AND(W$7&gt;0,$A425&gt;W$7)),0,MAX(0,ROUND((INDEX($E425:$G425,W$5)-SUMIFS(TF_Timer,TF_Tekniker,W$4,TF_Dato,$A425))*2,0)/2)))</f>
        <v/>
      </c>
      <c r="X425">
        <f>IF(OR(X$4="",$A425&gt;TODAY()),0,IF(OR(INDEX($B425:$D425,X$5)="F",AND(X$6&gt;0,$A425&lt;X$6),AND(X$7&gt;0,$A425&gt;X$7)),0,MAX(0,ROUND((INDEX($E425:$G425,X$5)-SUMIFS(TF_Timer,TF_Tekniker,X$4,TF_Dato,$A425))*2,0)/2)))</f>
        <v/>
      </c>
      <c r="Y425">
        <f>IF(OR(Y$4="",$A425&gt;TODAY()),0,IF(OR(INDEX($B425:$D425,Y$5)="F",AND(Y$6&gt;0,$A425&lt;Y$6),AND(Y$7&gt;0,$A425&gt;Y$7)),0,MAX(0,ROUND((INDEX($E425:$G425,Y$5)-SUMIFS(TF_Timer,TF_Tekniker,Y$4,TF_Dato,$A425))*2,0)/2)))</f>
        <v/>
      </c>
      <c r="Z425">
        <f>IF(OR(Z$4="",$A425&gt;TODAY()),0,IF(OR(INDEX($B425:$D425,Z$5)="F",AND(Z$6&gt;0,$A425&lt;Z$6),AND(Z$7&gt;0,$A425&gt;Z$7)),0,MAX(0,ROUND((INDEX($E425:$G425,Z$5)-SUMIFS(TF_Timer,TF_Tekniker,Z$4,TF_Dato,$A425))*2,0)/2)))</f>
        <v/>
      </c>
      <c r="AA425">
        <f>IF(OR(AA$4="",$A425&gt;TODAY()),0,IF(OR(INDEX($B425:$D425,AA$5)="F",AND(AA$6&gt;0,$A425&lt;AA$6),AND(AA$7&gt;0,$A425&gt;AA$7)),0,MAX(0,ROUND((INDEX($E425:$G425,AA$5)-SUMIFS(TF_Timer,TF_Tekniker,AA$4,TF_Dato,$A425))*2,0)/2)))</f>
        <v/>
      </c>
      <c r="AB425">
        <f>IF(OR(AB$4="",$A425&gt;TODAY()),0,IF(OR(INDEX($B425:$D425,AB$5)="F",AND(AB$6&gt;0,$A425&lt;AB$6),AND(AB$7&gt;0,$A425&gt;AB$7)),0,MAX(0,ROUND((INDEX($E425:$G425,AB$5)-SUMIFS(TF_Timer,TF_Tekniker,AB$4,TF_Dato,$A425))*2,0)/2)))</f>
        <v/>
      </c>
      <c r="AC425">
        <f>IF(OR(AC$4="",$A425&gt;TODAY()),0,IF(OR(INDEX($B425:$D425,AC$5)="F",AND(AC$6&gt;0,$A425&lt;AC$6),AND(AC$7&gt;0,$A425&gt;AC$7)),0,MAX(0,ROUND((INDEX($E425:$G425,AC$5)-SUMIFS(TF_Timer,TF_Tekniker,AC$4,TF_Dato,$A425))*2,0)/2)))</f>
        <v/>
      </c>
      <c r="AD425">
        <f>IF(OR(AD$4="",$A425&gt;TODAY()),0,IF(OR(INDEX($B425:$D425,AD$5)="F",AND(AD$6&gt;0,$A425&lt;AD$6),AND(AD$7&gt;0,$A425&gt;AD$7)),0,MAX(0,ROUND((INDEX($E425:$G425,AD$5)-SUMIFS(TF_Timer,TF_Tekniker,AD$4,TF_Dato,$A425))*2,0)/2)))</f>
        <v/>
      </c>
      <c r="AE425">
        <f>IF(OR(AE$4="",$A425&gt;TODAY()),0,IF(OR(INDEX($B425:$D425,AE$5)="F",AND(AE$6&gt;0,$A425&lt;AE$6),AND(AE$7&gt;0,$A425&gt;AE$7)),0,MAX(0,ROUND((INDEX($E425:$G425,AE$5)-SUMIFS(TF_Timer,TF_Tekniker,AE$4,TF_Dato,$A425))*2,0)/2)))</f>
        <v/>
      </c>
      <c r="AF425">
        <f>IF(OR(AF$4="",$A425&gt;TODAY()),0,IF(OR(INDEX($B425:$D425,AF$5)="F",AND(AF$6&gt;0,$A425&lt;AF$6),AND(AF$7&gt;0,$A425&gt;AF$7)),0,MAX(0,ROUND((INDEX($E425:$G425,AF$5)-SUMIFS(TF_Timer,TF_Tekniker,AF$4,TF_Dato,$A425))*2,0)/2)))</f>
        <v/>
      </c>
      <c r="AG425">
        <f>IF(OR(AG$4="",$A425&gt;TODAY()),0,IF(OR(INDEX($B425:$D425,AG$5)="F",AND(AG$6&gt;0,$A425&lt;AG$6),AND(AG$7&gt;0,$A425&gt;AG$7)),0,MAX(0,ROUND((INDEX($E425:$G425,AG$5)-SUMIFS(TF_Timer,TF_Tekniker,AG$4,TF_Dato,$A425))*2,0)/2)))</f>
        <v/>
      </c>
      <c r="AH425">
        <f>IF(OR(AH$4="",$A425&gt;TODAY()),0,IF(OR(INDEX($B425:$D425,AH$5)="F",AND(AH$6&gt;0,$A425&lt;AH$6),AND(AH$7&gt;0,$A425&gt;AH$7)),0,MAX(0,ROUND((INDEX($E425:$G425,AH$5)-SUMIFS(TF_Timer,TF_Tekniker,AH$4,TF_Dato,$A425))*2,0)/2)))</f>
        <v/>
      </c>
      <c r="AI425">
        <f>IF(OR(AI$4="",$A425&gt;TODAY()),0,IF(OR(INDEX($B425:$D425,AI$5)="F",AND(AI$6&gt;0,$A425&lt;AI$6),AND(AI$7&gt;0,$A425&gt;AI$7)),0,MAX(0,ROUND((INDEX($E425:$G425,AI$5)-SUMIFS(TF_Timer,TF_Tekniker,AI$4,TF_Dato,$A425))*2,0)/2)))</f>
        <v/>
      </c>
      <c r="AJ425">
        <f>IF(OR(AJ$4="",$A425&gt;TODAY()),0,IF(OR(INDEX($B425:$D425,AJ$5)="F",AND(AJ$6&gt;0,$A425&lt;AJ$6),AND(AJ$7&gt;0,$A425&gt;AJ$7)),0,MAX(0,ROUND((INDEX($E425:$G425,AJ$5)-SUMIFS(TF_Timer,TF_Tekniker,AJ$4,TF_Dato,$A425))*2,0)/2)))</f>
        <v/>
      </c>
      <c r="AK425">
        <f>IF(OR(AK$4="",$A425&gt;TODAY()),0,IF(OR(INDEX($B425:$D425,AK$5)="F",AND(AK$6&gt;0,$A425&lt;AK$6),AND(AK$7&gt;0,$A425&gt;AK$7)),0,MAX(0,ROUND((INDEX($E425:$G425,AK$5)-SUMIFS(TF_Timer,TF_Tekniker,AK$4,TF_Dato,$A425))*2,0)/2)))</f>
        <v/>
      </c>
      <c r="AL425">
        <f>IF(OR(AL$4="",$A425&gt;TODAY()),0,IF(OR(INDEX($B425:$D425,AL$5)="F",AND(AL$6&gt;0,$A425&lt;AL$6),AND(AL$7&gt;0,$A425&gt;AL$7)),0,MAX(0,ROUND((INDEX($E425:$G425,AL$5)-SUMIFS(TF_Timer,TF_Tekniker,AL$4,TF_Dato,$A425))*2,0)/2)))</f>
        <v/>
      </c>
      <c r="AM425">
        <f>IF(OR(AM$4="",$A425&gt;TODAY()),0,IF(OR(INDEX($B425:$D425,AM$5)="F",AND(AM$6&gt;0,$A425&lt;AM$6),AND(AM$7&gt;0,$A425&gt;AM$7)),0,MAX(0,ROUND((INDEX($E425:$G425,AM$5)-SUMIFS(TF_Timer,TF_Tekniker,AM$4,TF_Dato,$A425))*2,0)/2)))</f>
        <v/>
      </c>
      <c r="AN425">
        <f>IF(OR(AN$4="",$A425&gt;TODAY()),0,IF(OR(INDEX($B425:$D425,AN$5)="F",AND(AN$6&gt;0,$A425&lt;AN$6),AND(AN$7&gt;0,$A425&gt;AN$7)),0,MAX(0,ROUND((INDEX($E425:$G425,AN$5)-SUMIFS(TF_Timer,TF_Tekniker,AN$4,TF_Dato,$A425))*2,0)/2)))</f>
        <v/>
      </c>
      <c r="AO425">
        <f>IF(OR(AO$4="",$A425&gt;TODAY()),0,IF(OR(INDEX($B425:$D425,AO$5)="F",AND(AO$6&gt;0,$A425&lt;AO$6),AND(AO$7&gt;0,$A425&gt;AO$7)),0,MAX(0,ROUND((INDEX($E425:$G425,AO$5)-SUMIFS(TF_Timer,TF_Tekniker,AO$4,TF_Dato,$A425))*2,0)/2)))</f>
        <v/>
      </c>
      <c r="AP425">
        <f>IF(OR(AP$4="",$A425&gt;TODAY()),0,IF(OR(INDEX($B425:$D425,AP$5)="F",AND(AP$6&gt;0,$A425&lt;AP$6),AND(AP$7&gt;0,$A425&gt;AP$7)),0,MAX(0,ROUND((INDEX($E425:$G425,AP$5)-SUMIFS(TF_Timer,TF_Tekniker,AP$4,TF_Dato,$A425))*2,0)/2)))</f>
        <v/>
      </c>
      <c r="AQ425">
        <f>IF(OR(AQ$4="",$A425&gt;TODAY()),0,IF(OR(INDEX($B425:$D425,AQ$5)="F",AND(AQ$6&gt;0,$A425&lt;AQ$6),AND(AQ$7&gt;0,$A425&gt;AQ$7)),0,MAX(0,ROUND((INDEX($E425:$G425,AQ$5)-SUMIFS(TF_Timer,TF_Tekniker,AQ$4,TF_Dato,$A425))*2,0)/2)))</f>
        <v/>
      </c>
      <c r="AR425">
        <f>IF(OR(AR$4="",$A425&gt;TODAY()),0,IF(OR(INDEX($B425:$D425,AR$5)="F",AND(AR$6&gt;0,$A425&lt;AR$6),AND(AR$7&gt;0,$A425&gt;AR$7)),0,MAX(0,ROUND((INDEX($E425:$G425,AR$5)-SUMIFS(TF_Timer,TF_Tekniker,AR$4,TF_Dato,$A425))*2,0)/2)))</f>
        <v/>
      </c>
      <c r="AS425">
        <f>IF(OR(AS$4="",$A425&gt;TODAY()),0,IF(OR(INDEX($B425:$D425,AS$5)="F",AND(AS$6&gt;0,$A425&lt;AS$6),AND(AS$7&gt;0,$A425&gt;AS$7)),0,MAX(0,ROUND((INDEX($E425:$G425,AS$5)-SUMIFS(TF_Timer,TF_Tekniker,AS$4,TF_Dato,$A425))*2,0)/2)))</f>
        <v/>
      </c>
      <c r="AT425">
        <f>IF(OR(AT$4="",$A425&gt;TODAY()),0,IF(OR(INDEX($B425:$D425,AT$5)="F",AND(AT$6&gt;0,$A425&lt;AT$6),AND(AT$7&gt;0,$A425&gt;AT$7)),0,MAX(0,ROUND((INDEX($E425:$G425,AT$5)-SUMIFS(TF_Timer,TF_Tekniker,AT$4,TF_Dato,$A425))*2,0)/2)))</f>
        <v/>
      </c>
      <c r="AU425">
        <f>IF(OR(AU$4="",$A425&gt;TODAY()),0,IF(OR(INDEX($B425:$D425,AU$5)="F",AND(AU$6&gt;0,$A425&lt;AU$6),AND(AU$7&gt;0,$A425&gt;AU$7)),0,MAX(0,ROUND((INDEX($E425:$G425,AU$5)-SUMIFS(TF_Timer,TF_Tekniker,AU$4,TF_Dato,$A425))*2,0)/2)))</f>
        <v/>
      </c>
      <c r="AV425">
        <f>IF(OR(AV$4="",$A425&gt;TODAY()),0,IF(OR(INDEX($B425:$D425,AV$5)="F",AND(AV$6&gt;0,$A425&lt;AV$6),AND(AV$7&gt;0,$A425&gt;AV$7)),0,MAX(0,ROUND((INDEX($E425:$G425,AV$5)-SUMIFS(TF_Timer,TF_Tekniker,AV$4,TF_Dato,$A425))*2,0)/2)))</f>
        <v/>
      </c>
      <c r="AW425">
        <f>IF(OR(AW$4="",$A425&gt;TODAY()),0,IF(OR(INDEX($B425:$D425,AW$5)="F",AND(AW$6&gt;0,$A425&lt;AW$6),AND(AW$7&gt;0,$A425&gt;AW$7)),0,MAX(0,ROUND((INDEX($E425:$G425,AW$5)-SUMIFS(TF_Timer,TF_Tekniker,AW$4,TF_Dato,$A425))*2,0)/2)))</f>
        <v/>
      </c>
      <c r="AX425">
        <f>IF(OR(AX$4="",$A425&gt;TODAY()),0,IF(OR(INDEX($B425:$D425,AX$5)="F",AND(AX$6&gt;0,$A425&lt;AX$6),AND(AX$7&gt;0,$A425&gt;AX$7)),0,MAX(0,ROUND((INDEX($E425:$G425,AX$5)-SUMIFS(TF_Timer,TF_Tekniker,AX$4,TF_Dato,$A425))*2,0)/2)))</f>
        <v/>
      </c>
      <c r="AY425">
        <f>IF(OR(AY$4="",$A425&gt;TODAY()),0,IF(OR(INDEX($B425:$D425,AY$5)="F",AND(AY$6&gt;0,$A425&lt;AY$6),AND(AY$7&gt;0,$A425&gt;AY$7)),0,MAX(0,ROUND((INDEX($E425:$G425,AY$5)-SUMIFS(TF_Timer,TF_Tekniker,AY$4,TF_Dato,$A425))*2,0)/2)))</f>
        <v/>
      </c>
      <c r="AZ425">
        <f>IF(OR(AZ$4="",$A425&gt;TODAY()),0,IF(OR(INDEX($B425:$D425,AZ$5)="F",AND(AZ$6&gt;0,$A425&lt;AZ$6),AND(AZ$7&gt;0,$A425&gt;AZ$7)),0,MAX(0,ROUND((INDEX($E425:$G425,AZ$5)-SUMIFS(TF_Timer,TF_Tekniker,AZ$4,TF_Dato,$A425))*2,0)/2)))</f>
        <v/>
      </c>
      <c r="BA425">
        <f>IF(OR(BA$4="",$A425&gt;TODAY()),0,IF(OR(INDEX($B425:$D425,BA$5)="F",AND(BA$6&gt;0,$A425&lt;BA$6),AND(BA$7&gt;0,$A425&gt;BA$7)),0,MAX(0,ROUND((INDEX($E425:$G425,BA$5)-SUMIFS(TF_Timer,TF_Tekniker,BA$4,TF_Dato,$A425))*2,0)/2)))</f>
        <v/>
      </c>
      <c r="BB425">
        <f>IF(OR(BB$4="",$A425&gt;TODAY()),0,IF(OR(INDEX($B425:$D425,BB$5)="F",AND(BB$6&gt;0,$A425&lt;BB$6),AND(BB$7&gt;0,$A425&gt;BB$7)),0,MAX(0,ROUND((INDEX($E425:$G425,BB$5)-SUMIFS(TF_Timer,TF_Tekniker,BB$4,TF_Dato,$A425))*2,0)/2)))</f>
        <v/>
      </c>
      <c r="BC425">
        <f>IF(OR(BC$4="",$A425&gt;TODAY()),0,IF(OR(INDEX($B425:$D425,BC$5)="F",AND(BC$6&gt;0,$A425&lt;BC$6),AND(BC$7&gt;0,$A425&gt;BC$7)),0,MAX(0,ROUND((INDEX($E425:$G425,BC$5)-SUMIFS(TF_Timer,TF_Tekniker,BC$4,TF_Dato,$A425))*2,0)/2)))</f>
        <v/>
      </c>
      <c r="BD425">
        <f>IF(OR(BD$4="",$A425&gt;TODAY()),0,IF(OR(INDEX($B425:$D425,BD$5)="F",AND(BD$6&gt;0,$A425&lt;BD$6),AND(BD$7&gt;0,$A425&gt;BD$7)),0,MAX(0,ROUND((INDEX($E425:$G425,BD$5)-SUMIFS(TF_Timer,TF_Tekniker,BD$4,TF_Dato,$A425))*2,0)/2)))</f>
        <v/>
      </c>
      <c r="BE425">
        <f>IF(OR(BE$4="",$A425&gt;TODAY()),0,IF(OR(INDEX($B425:$D425,BE$5)="F",AND(BE$6&gt;0,$A425&lt;BE$6),AND(BE$7&gt;0,$A425&gt;BE$7)),0,MAX(0,ROUND((INDEX($E425:$G425,BE$5)-SUMIFS(TF_Timer,TF_Tekniker,BE$4,TF_Dato,$A425))*2,0)/2)))</f>
        <v/>
      </c>
      <c r="BF425">
        <f>IF(OR(BF$4="",$A425&gt;TODAY()),0,IF(OR(INDEX($B425:$D425,BF$5)="F",AND(BF$6&gt;0,$A425&lt;BF$6),AND(BF$7&gt;0,$A425&gt;BF$7)),0,MAX(0,ROUND((INDEX($E425:$G425,BF$5)-SUMIFS(TF_Timer,TF_Tekniker,BF$4,TF_Dato,$A425))*2,0)/2)))</f>
        <v/>
      </c>
      <c r="BG425">
        <f>IF(OR(BG$4="",$A425&gt;TODAY()),0,IF(OR(INDEX($B425:$D425,BG$5)="F",AND(BG$6&gt;0,$A425&lt;BG$6),AND(BG$7&gt;0,$A425&gt;BG$7)),0,MAX(0,ROUND((INDEX($E425:$G425,BG$5)-SUMIFS(TF_Timer,TF_Tekniker,BG$4,TF_Dato,$A425))*2,0)/2)))</f>
        <v/>
      </c>
      <c r="BH425">
        <f>IF(OR(BH$4="",$A425&gt;TODAY()),0,IF(OR(INDEX($B425:$D425,BH$5)="F",AND(BH$6&gt;0,$A425&lt;BH$6),AND(BH$7&gt;0,$A425&gt;BH$7)),0,MAX(0,ROUND((INDEX($E425:$G425,BH$5)-SUMIFS(TF_Timer,TF_Tekniker,BH$4,TF_Dato,$A425))*2,0)/2)))</f>
        <v/>
      </c>
      <c r="BI425">
        <f>IF(OR(BI$4="",$A425&gt;TODAY()),0,IF(OR(INDEX($B425:$D425,BI$5)="F",AND(BI$6&gt;0,$A425&lt;BI$6),AND(BI$7&gt;0,$A425&gt;BI$7)),0,MAX(0,ROUND((INDEX($E425:$G425,BI$5)-SUMIFS(TF_Timer,TF_Tekniker,BI$4,TF_Dato,$A425))*2,0)/2)))</f>
        <v/>
      </c>
    </row>
    <row r="426">
      <c r="A426" s="64">
        <f>A425+1</f>
        <v/>
      </c>
      <c r="B426">
        <f>IF(MOD($A426-INDEX(SkiftStart,1),Syklus)&lt;DagK,"K",IF(MOD($A426-INDEX(SkiftStart,1),Syklus)&lt;DagK+DagH,"H",IF(MOD($A426-INDEX(SkiftStart,1),Syklus)&lt;DagK+DagH+DagD,"D","F")))</f>
        <v/>
      </c>
      <c r="C426">
        <f>IF(MOD($A426-INDEX(SkiftStart,2),Syklus)&lt;DagK,"K",IF(MOD($A426-INDEX(SkiftStart,2),Syklus)&lt;DagK+DagH,"H",IF(MOD($A426-INDEX(SkiftStart,2),Syklus)&lt;DagK+DagH+DagD,"D","F")))</f>
        <v/>
      </c>
      <c r="D426">
        <f>IF(MOD($A426-INDEX(SkiftStart,3),Syklus)&lt;DagK,"K",IF(MOD($A426-INDEX(SkiftStart,3),Syklus)&lt;DagK+DagH,"H",IF(MOD($A426-INDEX(SkiftStart,3),Syklus)&lt;DagK+DagH+DagD,"D","F")))</f>
        <v/>
      </c>
      <c r="E426">
        <f>IF(B426="F",0,IF(WEEKDAY($A426,2)=5,INDEX(TimerFr,MATCH(B426,FaseKode,0)),INDEX(TimerMT,MATCH(B426,FaseKode,0))))</f>
        <v/>
      </c>
      <c r="F426">
        <f>IF(C426="F",0,IF(WEEKDAY($A426,2)=5,INDEX(TimerFr,MATCH(C426,FaseKode,0)),INDEX(TimerMT,MATCH(C426,FaseKode,0))))</f>
        <v/>
      </c>
      <c r="G426">
        <f>IF(D426="F",0,IF(WEEKDAY($A426,2)=5,INDEX(TimerFr,MATCH(D426,FaseKode,0)),INDEX(TimerMT,MATCH(D426,FaseKode,0))))</f>
        <v/>
      </c>
      <c r="H426">
        <f>IF(OR(H$4="",$A426&gt;TODAY()),0,IF(OR(INDEX($B426:$D426,H$5)="F",AND(H$6&gt;0,$A426&lt;H$6),AND(H$7&gt;0,$A426&gt;H$7)),0,MAX(0,ROUND((INDEX($E426:$G426,H$5)-SUMIFS(TF_Timer,TF_Tekniker,H$4,TF_Dato,$A426))*2,0)/2)))</f>
        <v/>
      </c>
      <c r="I426">
        <f>IF(OR(I$4="",$A426&gt;TODAY()),0,IF(OR(INDEX($B426:$D426,I$5)="F",AND(I$6&gt;0,$A426&lt;I$6),AND(I$7&gt;0,$A426&gt;I$7)),0,MAX(0,ROUND((INDEX($E426:$G426,I$5)-SUMIFS(TF_Timer,TF_Tekniker,I$4,TF_Dato,$A426))*2,0)/2)))</f>
        <v/>
      </c>
      <c r="J426">
        <f>IF(OR(J$4="",$A426&gt;TODAY()),0,IF(OR(INDEX($B426:$D426,J$5)="F",AND(J$6&gt;0,$A426&lt;J$6),AND(J$7&gt;0,$A426&gt;J$7)),0,MAX(0,ROUND((INDEX($E426:$G426,J$5)-SUMIFS(TF_Timer,TF_Tekniker,J$4,TF_Dato,$A426))*2,0)/2)))</f>
        <v/>
      </c>
      <c r="K426">
        <f>IF(OR(K$4="",$A426&gt;TODAY()),0,IF(OR(INDEX($B426:$D426,K$5)="F",AND(K$6&gt;0,$A426&lt;K$6),AND(K$7&gt;0,$A426&gt;K$7)),0,MAX(0,ROUND((INDEX($E426:$G426,K$5)-SUMIFS(TF_Timer,TF_Tekniker,K$4,TF_Dato,$A426))*2,0)/2)))</f>
        <v/>
      </c>
      <c r="L426">
        <f>IF(OR(L$4="",$A426&gt;TODAY()),0,IF(OR(INDEX($B426:$D426,L$5)="F",AND(L$6&gt;0,$A426&lt;L$6),AND(L$7&gt;0,$A426&gt;L$7)),0,MAX(0,ROUND((INDEX($E426:$G426,L$5)-SUMIFS(TF_Timer,TF_Tekniker,L$4,TF_Dato,$A426))*2,0)/2)))</f>
        <v/>
      </c>
      <c r="M426">
        <f>IF(OR(M$4="",$A426&gt;TODAY()),0,IF(OR(INDEX($B426:$D426,M$5)="F",AND(M$6&gt;0,$A426&lt;M$6),AND(M$7&gt;0,$A426&gt;M$7)),0,MAX(0,ROUND((INDEX($E426:$G426,M$5)-SUMIFS(TF_Timer,TF_Tekniker,M$4,TF_Dato,$A426))*2,0)/2)))</f>
        <v/>
      </c>
      <c r="N426">
        <f>IF(OR(N$4="",$A426&gt;TODAY()),0,IF(OR(INDEX($B426:$D426,N$5)="F",AND(N$6&gt;0,$A426&lt;N$6),AND(N$7&gt;0,$A426&gt;N$7)),0,MAX(0,ROUND((INDEX($E426:$G426,N$5)-SUMIFS(TF_Timer,TF_Tekniker,N$4,TF_Dato,$A426))*2,0)/2)))</f>
        <v/>
      </c>
      <c r="O426">
        <f>IF(OR(O$4="",$A426&gt;TODAY()),0,IF(OR(INDEX($B426:$D426,O$5)="F",AND(O$6&gt;0,$A426&lt;O$6),AND(O$7&gt;0,$A426&gt;O$7)),0,MAX(0,ROUND((INDEX($E426:$G426,O$5)-SUMIFS(TF_Timer,TF_Tekniker,O$4,TF_Dato,$A426))*2,0)/2)))</f>
        <v/>
      </c>
      <c r="P426">
        <f>IF(OR(P$4="",$A426&gt;TODAY()),0,IF(OR(INDEX($B426:$D426,P$5)="F",AND(P$6&gt;0,$A426&lt;P$6),AND(P$7&gt;0,$A426&gt;P$7)),0,MAX(0,ROUND((INDEX($E426:$G426,P$5)-SUMIFS(TF_Timer,TF_Tekniker,P$4,TF_Dato,$A426))*2,0)/2)))</f>
        <v/>
      </c>
      <c r="Q426">
        <f>IF(OR(Q$4="",$A426&gt;TODAY()),0,IF(OR(INDEX($B426:$D426,Q$5)="F",AND(Q$6&gt;0,$A426&lt;Q$6),AND(Q$7&gt;0,$A426&gt;Q$7)),0,MAX(0,ROUND((INDEX($E426:$G426,Q$5)-SUMIFS(TF_Timer,TF_Tekniker,Q$4,TF_Dato,$A426))*2,0)/2)))</f>
        <v/>
      </c>
      <c r="R426">
        <f>IF(OR(R$4="",$A426&gt;TODAY()),0,IF(OR(INDEX($B426:$D426,R$5)="F",AND(R$6&gt;0,$A426&lt;R$6),AND(R$7&gt;0,$A426&gt;R$7)),0,MAX(0,ROUND((INDEX($E426:$G426,R$5)-SUMIFS(TF_Timer,TF_Tekniker,R$4,TF_Dato,$A426))*2,0)/2)))</f>
        <v/>
      </c>
      <c r="S426">
        <f>IF(OR(S$4="",$A426&gt;TODAY()),0,IF(OR(INDEX($B426:$D426,S$5)="F",AND(S$6&gt;0,$A426&lt;S$6),AND(S$7&gt;0,$A426&gt;S$7)),0,MAX(0,ROUND((INDEX($E426:$G426,S$5)-SUMIFS(TF_Timer,TF_Tekniker,S$4,TF_Dato,$A426))*2,0)/2)))</f>
        <v/>
      </c>
      <c r="T426">
        <f>IF(OR(T$4="",$A426&gt;TODAY()),0,IF(OR(INDEX($B426:$D426,T$5)="F",AND(T$6&gt;0,$A426&lt;T$6),AND(T$7&gt;0,$A426&gt;T$7)),0,MAX(0,ROUND((INDEX($E426:$G426,T$5)-SUMIFS(TF_Timer,TF_Tekniker,T$4,TF_Dato,$A426))*2,0)/2)))</f>
        <v/>
      </c>
      <c r="U426">
        <f>IF(OR(U$4="",$A426&gt;TODAY()),0,IF(OR(INDEX($B426:$D426,U$5)="F",AND(U$6&gt;0,$A426&lt;U$6),AND(U$7&gt;0,$A426&gt;U$7)),0,MAX(0,ROUND((INDEX($E426:$G426,U$5)-SUMIFS(TF_Timer,TF_Tekniker,U$4,TF_Dato,$A426))*2,0)/2)))</f>
        <v/>
      </c>
      <c r="V426">
        <f>IF(OR(V$4="",$A426&gt;TODAY()),0,IF(OR(INDEX($B426:$D426,V$5)="F",AND(V$6&gt;0,$A426&lt;V$6),AND(V$7&gt;0,$A426&gt;V$7)),0,MAX(0,ROUND((INDEX($E426:$G426,V$5)-SUMIFS(TF_Timer,TF_Tekniker,V$4,TF_Dato,$A426))*2,0)/2)))</f>
        <v/>
      </c>
      <c r="W426">
        <f>IF(OR(W$4="",$A426&gt;TODAY()),0,IF(OR(INDEX($B426:$D426,W$5)="F",AND(W$6&gt;0,$A426&lt;W$6),AND(W$7&gt;0,$A426&gt;W$7)),0,MAX(0,ROUND((INDEX($E426:$G426,W$5)-SUMIFS(TF_Timer,TF_Tekniker,W$4,TF_Dato,$A426))*2,0)/2)))</f>
        <v/>
      </c>
      <c r="X426">
        <f>IF(OR(X$4="",$A426&gt;TODAY()),0,IF(OR(INDEX($B426:$D426,X$5)="F",AND(X$6&gt;0,$A426&lt;X$6),AND(X$7&gt;0,$A426&gt;X$7)),0,MAX(0,ROUND((INDEX($E426:$G426,X$5)-SUMIFS(TF_Timer,TF_Tekniker,X$4,TF_Dato,$A426))*2,0)/2)))</f>
        <v/>
      </c>
      <c r="Y426">
        <f>IF(OR(Y$4="",$A426&gt;TODAY()),0,IF(OR(INDEX($B426:$D426,Y$5)="F",AND(Y$6&gt;0,$A426&lt;Y$6),AND(Y$7&gt;0,$A426&gt;Y$7)),0,MAX(0,ROUND((INDEX($E426:$G426,Y$5)-SUMIFS(TF_Timer,TF_Tekniker,Y$4,TF_Dato,$A426))*2,0)/2)))</f>
        <v/>
      </c>
      <c r="Z426">
        <f>IF(OR(Z$4="",$A426&gt;TODAY()),0,IF(OR(INDEX($B426:$D426,Z$5)="F",AND(Z$6&gt;0,$A426&lt;Z$6),AND(Z$7&gt;0,$A426&gt;Z$7)),0,MAX(0,ROUND((INDEX($E426:$G426,Z$5)-SUMIFS(TF_Timer,TF_Tekniker,Z$4,TF_Dato,$A426))*2,0)/2)))</f>
        <v/>
      </c>
      <c r="AA426">
        <f>IF(OR(AA$4="",$A426&gt;TODAY()),0,IF(OR(INDEX($B426:$D426,AA$5)="F",AND(AA$6&gt;0,$A426&lt;AA$6),AND(AA$7&gt;0,$A426&gt;AA$7)),0,MAX(0,ROUND((INDEX($E426:$G426,AA$5)-SUMIFS(TF_Timer,TF_Tekniker,AA$4,TF_Dato,$A426))*2,0)/2)))</f>
        <v/>
      </c>
      <c r="AB426">
        <f>IF(OR(AB$4="",$A426&gt;TODAY()),0,IF(OR(INDEX($B426:$D426,AB$5)="F",AND(AB$6&gt;0,$A426&lt;AB$6),AND(AB$7&gt;0,$A426&gt;AB$7)),0,MAX(0,ROUND((INDEX($E426:$G426,AB$5)-SUMIFS(TF_Timer,TF_Tekniker,AB$4,TF_Dato,$A426))*2,0)/2)))</f>
        <v/>
      </c>
      <c r="AC426">
        <f>IF(OR(AC$4="",$A426&gt;TODAY()),0,IF(OR(INDEX($B426:$D426,AC$5)="F",AND(AC$6&gt;0,$A426&lt;AC$6),AND(AC$7&gt;0,$A426&gt;AC$7)),0,MAX(0,ROUND((INDEX($E426:$G426,AC$5)-SUMIFS(TF_Timer,TF_Tekniker,AC$4,TF_Dato,$A426))*2,0)/2)))</f>
        <v/>
      </c>
      <c r="AD426">
        <f>IF(OR(AD$4="",$A426&gt;TODAY()),0,IF(OR(INDEX($B426:$D426,AD$5)="F",AND(AD$6&gt;0,$A426&lt;AD$6),AND(AD$7&gt;0,$A426&gt;AD$7)),0,MAX(0,ROUND((INDEX($E426:$G426,AD$5)-SUMIFS(TF_Timer,TF_Tekniker,AD$4,TF_Dato,$A426))*2,0)/2)))</f>
        <v/>
      </c>
      <c r="AE426">
        <f>IF(OR(AE$4="",$A426&gt;TODAY()),0,IF(OR(INDEX($B426:$D426,AE$5)="F",AND(AE$6&gt;0,$A426&lt;AE$6),AND(AE$7&gt;0,$A426&gt;AE$7)),0,MAX(0,ROUND((INDEX($E426:$G426,AE$5)-SUMIFS(TF_Timer,TF_Tekniker,AE$4,TF_Dato,$A426))*2,0)/2)))</f>
        <v/>
      </c>
      <c r="AF426">
        <f>IF(OR(AF$4="",$A426&gt;TODAY()),0,IF(OR(INDEX($B426:$D426,AF$5)="F",AND(AF$6&gt;0,$A426&lt;AF$6),AND(AF$7&gt;0,$A426&gt;AF$7)),0,MAX(0,ROUND((INDEX($E426:$G426,AF$5)-SUMIFS(TF_Timer,TF_Tekniker,AF$4,TF_Dato,$A426))*2,0)/2)))</f>
        <v/>
      </c>
      <c r="AG426">
        <f>IF(OR(AG$4="",$A426&gt;TODAY()),0,IF(OR(INDEX($B426:$D426,AG$5)="F",AND(AG$6&gt;0,$A426&lt;AG$6),AND(AG$7&gt;0,$A426&gt;AG$7)),0,MAX(0,ROUND((INDEX($E426:$G426,AG$5)-SUMIFS(TF_Timer,TF_Tekniker,AG$4,TF_Dato,$A426))*2,0)/2)))</f>
        <v/>
      </c>
      <c r="AH426">
        <f>IF(OR(AH$4="",$A426&gt;TODAY()),0,IF(OR(INDEX($B426:$D426,AH$5)="F",AND(AH$6&gt;0,$A426&lt;AH$6),AND(AH$7&gt;0,$A426&gt;AH$7)),0,MAX(0,ROUND((INDEX($E426:$G426,AH$5)-SUMIFS(TF_Timer,TF_Tekniker,AH$4,TF_Dato,$A426))*2,0)/2)))</f>
        <v/>
      </c>
      <c r="AI426">
        <f>IF(OR(AI$4="",$A426&gt;TODAY()),0,IF(OR(INDEX($B426:$D426,AI$5)="F",AND(AI$6&gt;0,$A426&lt;AI$6),AND(AI$7&gt;0,$A426&gt;AI$7)),0,MAX(0,ROUND((INDEX($E426:$G426,AI$5)-SUMIFS(TF_Timer,TF_Tekniker,AI$4,TF_Dato,$A426))*2,0)/2)))</f>
        <v/>
      </c>
      <c r="AJ426">
        <f>IF(OR(AJ$4="",$A426&gt;TODAY()),0,IF(OR(INDEX($B426:$D426,AJ$5)="F",AND(AJ$6&gt;0,$A426&lt;AJ$6),AND(AJ$7&gt;0,$A426&gt;AJ$7)),0,MAX(0,ROUND((INDEX($E426:$G426,AJ$5)-SUMIFS(TF_Timer,TF_Tekniker,AJ$4,TF_Dato,$A426))*2,0)/2)))</f>
        <v/>
      </c>
      <c r="AK426">
        <f>IF(OR(AK$4="",$A426&gt;TODAY()),0,IF(OR(INDEX($B426:$D426,AK$5)="F",AND(AK$6&gt;0,$A426&lt;AK$6),AND(AK$7&gt;0,$A426&gt;AK$7)),0,MAX(0,ROUND((INDEX($E426:$G426,AK$5)-SUMIFS(TF_Timer,TF_Tekniker,AK$4,TF_Dato,$A426))*2,0)/2)))</f>
        <v/>
      </c>
      <c r="AL426">
        <f>IF(OR(AL$4="",$A426&gt;TODAY()),0,IF(OR(INDEX($B426:$D426,AL$5)="F",AND(AL$6&gt;0,$A426&lt;AL$6),AND(AL$7&gt;0,$A426&gt;AL$7)),0,MAX(0,ROUND((INDEX($E426:$G426,AL$5)-SUMIFS(TF_Timer,TF_Tekniker,AL$4,TF_Dato,$A426))*2,0)/2)))</f>
        <v/>
      </c>
      <c r="AM426">
        <f>IF(OR(AM$4="",$A426&gt;TODAY()),0,IF(OR(INDEX($B426:$D426,AM$5)="F",AND(AM$6&gt;0,$A426&lt;AM$6),AND(AM$7&gt;0,$A426&gt;AM$7)),0,MAX(0,ROUND((INDEX($E426:$G426,AM$5)-SUMIFS(TF_Timer,TF_Tekniker,AM$4,TF_Dato,$A426))*2,0)/2)))</f>
        <v/>
      </c>
      <c r="AN426">
        <f>IF(OR(AN$4="",$A426&gt;TODAY()),0,IF(OR(INDEX($B426:$D426,AN$5)="F",AND(AN$6&gt;0,$A426&lt;AN$6),AND(AN$7&gt;0,$A426&gt;AN$7)),0,MAX(0,ROUND((INDEX($E426:$G426,AN$5)-SUMIFS(TF_Timer,TF_Tekniker,AN$4,TF_Dato,$A426))*2,0)/2)))</f>
        <v/>
      </c>
      <c r="AO426">
        <f>IF(OR(AO$4="",$A426&gt;TODAY()),0,IF(OR(INDEX($B426:$D426,AO$5)="F",AND(AO$6&gt;0,$A426&lt;AO$6),AND(AO$7&gt;0,$A426&gt;AO$7)),0,MAX(0,ROUND((INDEX($E426:$G426,AO$5)-SUMIFS(TF_Timer,TF_Tekniker,AO$4,TF_Dato,$A426))*2,0)/2)))</f>
        <v/>
      </c>
      <c r="AP426">
        <f>IF(OR(AP$4="",$A426&gt;TODAY()),0,IF(OR(INDEX($B426:$D426,AP$5)="F",AND(AP$6&gt;0,$A426&lt;AP$6),AND(AP$7&gt;0,$A426&gt;AP$7)),0,MAX(0,ROUND((INDEX($E426:$G426,AP$5)-SUMIFS(TF_Timer,TF_Tekniker,AP$4,TF_Dato,$A426))*2,0)/2)))</f>
        <v/>
      </c>
      <c r="AQ426">
        <f>IF(OR(AQ$4="",$A426&gt;TODAY()),0,IF(OR(INDEX($B426:$D426,AQ$5)="F",AND(AQ$6&gt;0,$A426&lt;AQ$6),AND(AQ$7&gt;0,$A426&gt;AQ$7)),0,MAX(0,ROUND((INDEX($E426:$G426,AQ$5)-SUMIFS(TF_Timer,TF_Tekniker,AQ$4,TF_Dato,$A426))*2,0)/2)))</f>
        <v/>
      </c>
      <c r="AR426">
        <f>IF(OR(AR$4="",$A426&gt;TODAY()),0,IF(OR(INDEX($B426:$D426,AR$5)="F",AND(AR$6&gt;0,$A426&lt;AR$6),AND(AR$7&gt;0,$A426&gt;AR$7)),0,MAX(0,ROUND((INDEX($E426:$G426,AR$5)-SUMIFS(TF_Timer,TF_Tekniker,AR$4,TF_Dato,$A426))*2,0)/2)))</f>
        <v/>
      </c>
      <c r="AS426">
        <f>IF(OR(AS$4="",$A426&gt;TODAY()),0,IF(OR(INDEX($B426:$D426,AS$5)="F",AND(AS$6&gt;0,$A426&lt;AS$6),AND(AS$7&gt;0,$A426&gt;AS$7)),0,MAX(0,ROUND((INDEX($E426:$G426,AS$5)-SUMIFS(TF_Timer,TF_Tekniker,AS$4,TF_Dato,$A426))*2,0)/2)))</f>
        <v/>
      </c>
      <c r="AT426">
        <f>IF(OR(AT$4="",$A426&gt;TODAY()),0,IF(OR(INDEX($B426:$D426,AT$5)="F",AND(AT$6&gt;0,$A426&lt;AT$6),AND(AT$7&gt;0,$A426&gt;AT$7)),0,MAX(0,ROUND((INDEX($E426:$G426,AT$5)-SUMIFS(TF_Timer,TF_Tekniker,AT$4,TF_Dato,$A426))*2,0)/2)))</f>
        <v/>
      </c>
      <c r="AU426">
        <f>IF(OR(AU$4="",$A426&gt;TODAY()),0,IF(OR(INDEX($B426:$D426,AU$5)="F",AND(AU$6&gt;0,$A426&lt;AU$6),AND(AU$7&gt;0,$A426&gt;AU$7)),0,MAX(0,ROUND((INDEX($E426:$G426,AU$5)-SUMIFS(TF_Timer,TF_Tekniker,AU$4,TF_Dato,$A426))*2,0)/2)))</f>
        <v/>
      </c>
      <c r="AV426">
        <f>IF(OR(AV$4="",$A426&gt;TODAY()),0,IF(OR(INDEX($B426:$D426,AV$5)="F",AND(AV$6&gt;0,$A426&lt;AV$6),AND(AV$7&gt;0,$A426&gt;AV$7)),0,MAX(0,ROUND((INDEX($E426:$G426,AV$5)-SUMIFS(TF_Timer,TF_Tekniker,AV$4,TF_Dato,$A426))*2,0)/2)))</f>
        <v/>
      </c>
      <c r="AW426">
        <f>IF(OR(AW$4="",$A426&gt;TODAY()),0,IF(OR(INDEX($B426:$D426,AW$5)="F",AND(AW$6&gt;0,$A426&lt;AW$6),AND(AW$7&gt;0,$A426&gt;AW$7)),0,MAX(0,ROUND((INDEX($E426:$G426,AW$5)-SUMIFS(TF_Timer,TF_Tekniker,AW$4,TF_Dato,$A426))*2,0)/2)))</f>
        <v/>
      </c>
      <c r="AX426">
        <f>IF(OR(AX$4="",$A426&gt;TODAY()),0,IF(OR(INDEX($B426:$D426,AX$5)="F",AND(AX$6&gt;0,$A426&lt;AX$6),AND(AX$7&gt;0,$A426&gt;AX$7)),0,MAX(0,ROUND((INDEX($E426:$G426,AX$5)-SUMIFS(TF_Timer,TF_Tekniker,AX$4,TF_Dato,$A426))*2,0)/2)))</f>
        <v/>
      </c>
      <c r="AY426">
        <f>IF(OR(AY$4="",$A426&gt;TODAY()),0,IF(OR(INDEX($B426:$D426,AY$5)="F",AND(AY$6&gt;0,$A426&lt;AY$6),AND(AY$7&gt;0,$A426&gt;AY$7)),0,MAX(0,ROUND((INDEX($E426:$G426,AY$5)-SUMIFS(TF_Timer,TF_Tekniker,AY$4,TF_Dato,$A426))*2,0)/2)))</f>
        <v/>
      </c>
      <c r="AZ426">
        <f>IF(OR(AZ$4="",$A426&gt;TODAY()),0,IF(OR(INDEX($B426:$D426,AZ$5)="F",AND(AZ$6&gt;0,$A426&lt;AZ$6),AND(AZ$7&gt;0,$A426&gt;AZ$7)),0,MAX(0,ROUND((INDEX($E426:$G426,AZ$5)-SUMIFS(TF_Timer,TF_Tekniker,AZ$4,TF_Dato,$A426))*2,0)/2)))</f>
        <v/>
      </c>
      <c r="BA426">
        <f>IF(OR(BA$4="",$A426&gt;TODAY()),0,IF(OR(INDEX($B426:$D426,BA$5)="F",AND(BA$6&gt;0,$A426&lt;BA$6),AND(BA$7&gt;0,$A426&gt;BA$7)),0,MAX(0,ROUND((INDEX($E426:$G426,BA$5)-SUMIFS(TF_Timer,TF_Tekniker,BA$4,TF_Dato,$A426))*2,0)/2)))</f>
        <v/>
      </c>
      <c r="BB426">
        <f>IF(OR(BB$4="",$A426&gt;TODAY()),0,IF(OR(INDEX($B426:$D426,BB$5)="F",AND(BB$6&gt;0,$A426&lt;BB$6),AND(BB$7&gt;0,$A426&gt;BB$7)),0,MAX(0,ROUND((INDEX($E426:$G426,BB$5)-SUMIFS(TF_Timer,TF_Tekniker,BB$4,TF_Dato,$A426))*2,0)/2)))</f>
        <v/>
      </c>
      <c r="BC426">
        <f>IF(OR(BC$4="",$A426&gt;TODAY()),0,IF(OR(INDEX($B426:$D426,BC$5)="F",AND(BC$6&gt;0,$A426&lt;BC$6),AND(BC$7&gt;0,$A426&gt;BC$7)),0,MAX(0,ROUND((INDEX($E426:$G426,BC$5)-SUMIFS(TF_Timer,TF_Tekniker,BC$4,TF_Dato,$A426))*2,0)/2)))</f>
        <v/>
      </c>
      <c r="BD426">
        <f>IF(OR(BD$4="",$A426&gt;TODAY()),0,IF(OR(INDEX($B426:$D426,BD$5)="F",AND(BD$6&gt;0,$A426&lt;BD$6),AND(BD$7&gt;0,$A426&gt;BD$7)),0,MAX(0,ROUND((INDEX($E426:$G426,BD$5)-SUMIFS(TF_Timer,TF_Tekniker,BD$4,TF_Dato,$A426))*2,0)/2)))</f>
        <v/>
      </c>
      <c r="BE426">
        <f>IF(OR(BE$4="",$A426&gt;TODAY()),0,IF(OR(INDEX($B426:$D426,BE$5)="F",AND(BE$6&gt;0,$A426&lt;BE$6),AND(BE$7&gt;0,$A426&gt;BE$7)),0,MAX(0,ROUND((INDEX($E426:$G426,BE$5)-SUMIFS(TF_Timer,TF_Tekniker,BE$4,TF_Dato,$A426))*2,0)/2)))</f>
        <v/>
      </c>
      <c r="BF426">
        <f>IF(OR(BF$4="",$A426&gt;TODAY()),0,IF(OR(INDEX($B426:$D426,BF$5)="F",AND(BF$6&gt;0,$A426&lt;BF$6),AND(BF$7&gt;0,$A426&gt;BF$7)),0,MAX(0,ROUND((INDEX($E426:$G426,BF$5)-SUMIFS(TF_Timer,TF_Tekniker,BF$4,TF_Dato,$A426))*2,0)/2)))</f>
        <v/>
      </c>
      <c r="BG426">
        <f>IF(OR(BG$4="",$A426&gt;TODAY()),0,IF(OR(INDEX($B426:$D426,BG$5)="F",AND(BG$6&gt;0,$A426&lt;BG$6),AND(BG$7&gt;0,$A426&gt;BG$7)),0,MAX(0,ROUND((INDEX($E426:$G426,BG$5)-SUMIFS(TF_Timer,TF_Tekniker,BG$4,TF_Dato,$A426))*2,0)/2)))</f>
        <v/>
      </c>
      <c r="BH426">
        <f>IF(OR(BH$4="",$A426&gt;TODAY()),0,IF(OR(INDEX($B426:$D426,BH$5)="F",AND(BH$6&gt;0,$A426&lt;BH$6),AND(BH$7&gt;0,$A426&gt;BH$7)),0,MAX(0,ROUND((INDEX($E426:$G426,BH$5)-SUMIFS(TF_Timer,TF_Tekniker,BH$4,TF_Dato,$A426))*2,0)/2)))</f>
        <v/>
      </c>
      <c r="BI426">
        <f>IF(OR(BI$4="",$A426&gt;TODAY()),0,IF(OR(INDEX($B426:$D426,BI$5)="F",AND(BI$6&gt;0,$A426&lt;BI$6),AND(BI$7&gt;0,$A426&gt;BI$7)),0,MAX(0,ROUND((INDEX($E426:$G426,BI$5)-SUMIFS(TF_Timer,TF_Tekniker,BI$4,TF_Dato,$A426))*2,0)/2)))</f>
        <v/>
      </c>
    </row>
    <row r="427">
      <c r="A427" s="64">
        <f>A426+1</f>
        <v/>
      </c>
      <c r="B427">
        <f>IF(MOD($A427-INDEX(SkiftStart,1),Syklus)&lt;DagK,"K",IF(MOD($A427-INDEX(SkiftStart,1),Syklus)&lt;DagK+DagH,"H",IF(MOD($A427-INDEX(SkiftStart,1),Syklus)&lt;DagK+DagH+DagD,"D","F")))</f>
        <v/>
      </c>
      <c r="C427">
        <f>IF(MOD($A427-INDEX(SkiftStart,2),Syklus)&lt;DagK,"K",IF(MOD($A427-INDEX(SkiftStart,2),Syklus)&lt;DagK+DagH,"H",IF(MOD($A427-INDEX(SkiftStart,2),Syklus)&lt;DagK+DagH+DagD,"D","F")))</f>
        <v/>
      </c>
      <c r="D427">
        <f>IF(MOD($A427-INDEX(SkiftStart,3),Syklus)&lt;DagK,"K",IF(MOD($A427-INDEX(SkiftStart,3),Syklus)&lt;DagK+DagH,"H",IF(MOD($A427-INDEX(SkiftStart,3),Syklus)&lt;DagK+DagH+DagD,"D","F")))</f>
        <v/>
      </c>
      <c r="E427">
        <f>IF(B427="F",0,IF(WEEKDAY($A427,2)=5,INDEX(TimerFr,MATCH(B427,FaseKode,0)),INDEX(TimerMT,MATCH(B427,FaseKode,0))))</f>
        <v/>
      </c>
      <c r="F427">
        <f>IF(C427="F",0,IF(WEEKDAY($A427,2)=5,INDEX(TimerFr,MATCH(C427,FaseKode,0)),INDEX(TimerMT,MATCH(C427,FaseKode,0))))</f>
        <v/>
      </c>
      <c r="G427">
        <f>IF(D427="F",0,IF(WEEKDAY($A427,2)=5,INDEX(TimerFr,MATCH(D427,FaseKode,0)),INDEX(TimerMT,MATCH(D427,FaseKode,0))))</f>
        <v/>
      </c>
      <c r="H427">
        <f>IF(OR(H$4="",$A427&gt;TODAY()),0,IF(OR(INDEX($B427:$D427,H$5)="F",AND(H$6&gt;0,$A427&lt;H$6),AND(H$7&gt;0,$A427&gt;H$7)),0,MAX(0,ROUND((INDEX($E427:$G427,H$5)-SUMIFS(TF_Timer,TF_Tekniker,H$4,TF_Dato,$A427))*2,0)/2)))</f>
        <v/>
      </c>
      <c r="I427">
        <f>IF(OR(I$4="",$A427&gt;TODAY()),0,IF(OR(INDEX($B427:$D427,I$5)="F",AND(I$6&gt;0,$A427&lt;I$6),AND(I$7&gt;0,$A427&gt;I$7)),0,MAX(0,ROUND((INDEX($E427:$G427,I$5)-SUMIFS(TF_Timer,TF_Tekniker,I$4,TF_Dato,$A427))*2,0)/2)))</f>
        <v/>
      </c>
      <c r="J427">
        <f>IF(OR(J$4="",$A427&gt;TODAY()),0,IF(OR(INDEX($B427:$D427,J$5)="F",AND(J$6&gt;0,$A427&lt;J$6),AND(J$7&gt;0,$A427&gt;J$7)),0,MAX(0,ROUND((INDEX($E427:$G427,J$5)-SUMIFS(TF_Timer,TF_Tekniker,J$4,TF_Dato,$A427))*2,0)/2)))</f>
        <v/>
      </c>
      <c r="K427">
        <f>IF(OR(K$4="",$A427&gt;TODAY()),0,IF(OR(INDEX($B427:$D427,K$5)="F",AND(K$6&gt;0,$A427&lt;K$6),AND(K$7&gt;0,$A427&gt;K$7)),0,MAX(0,ROUND((INDEX($E427:$G427,K$5)-SUMIFS(TF_Timer,TF_Tekniker,K$4,TF_Dato,$A427))*2,0)/2)))</f>
        <v/>
      </c>
      <c r="L427">
        <f>IF(OR(L$4="",$A427&gt;TODAY()),0,IF(OR(INDEX($B427:$D427,L$5)="F",AND(L$6&gt;0,$A427&lt;L$6),AND(L$7&gt;0,$A427&gt;L$7)),0,MAX(0,ROUND((INDEX($E427:$G427,L$5)-SUMIFS(TF_Timer,TF_Tekniker,L$4,TF_Dato,$A427))*2,0)/2)))</f>
        <v/>
      </c>
      <c r="M427">
        <f>IF(OR(M$4="",$A427&gt;TODAY()),0,IF(OR(INDEX($B427:$D427,M$5)="F",AND(M$6&gt;0,$A427&lt;M$6),AND(M$7&gt;0,$A427&gt;M$7)),0,MAX(0,ROUND((INDEX($E427:$G427,M$5)-SUMIFS(TF_Timer,TF_Tekniker,M$4,TF_Dato,$A427))*2,0)/2)))</f>
        <v/>
      </c>
      <c r="N427">
        <f>IF(OR(N$4="",$A427&gt;TODAY()),0,IF(OR(INDEX($B427:$D427,N$5)="F",AND(N$6&gt;0,$A427&lt;N$6),AND(N$7&gt;0,$A427&gt;N$7)),0,MAX(0,ROUND((INDEX($E427:$G427,N$5)-SUMIFS(TF_Timer,TF_Tekniker,N$4,TF_Dato,$A427))*2,0)/2)))</f>
        <v/>
      </c>
      <c r="O427">
        <f>IF(OR(O$4="",$A427&gt;TODAY()),0,IF(OR(INDEX($B427:$D427,O$5)="F",AND(O$6&gt;0,$A427&lt;O$6),AND(O$7&gt;0,$A427&gt;O$7)),0,MAX(0,ROUND((INDEX($E427:$G427,O$5)-SUMIFS(TF_Timer,TF_Tekniker,O$4,TF_Dato,$A427))*2,0)/2)))</f>
        <v/>
      </c>
      <c r="P427">
        <f>IF(OR(P$4="",$A427&gt;TODAY()),0,IF(OR(INDEX($B427:$D427,P$5)="F",AND(P$6&gt;0,$A427&lt;P$6),AND(P$7&gt;0,$A427&gt;P$7)),0,MAX(0,ROUND((INDEX($E427:$G427,P$5)-SUMIFS(TF_Timer,TF_Tekniker,P$4,TF_Dato,$A427))*2,0)/2)))</f>
        <v/>
      </c>
      <c r="Q427">
        <f>IF(OR(Q$4="",$A427&gt;TODAY()),0,IF(OR(INDEX($B427:$D427,Q$5)="F",AND(Q$6&gt;0,$A427&lt;Q$6),AND(Q$7&gt;0,$A427&gt;Q$7)),0,MAX(0,ROUND((INDEX($E427:$G427,Q$5)-SUMIFS(TF_Timer,TF_Tekniker,Q$4,TF_Dato,$A427))*2,0)/2)))</f>
        <v/>
      </c>
      <c r="R427">
        <f>IF(OR(R$4="",$A427&gt;TODAY()),0,IF(OR(INDEX($B427:$D427,R$5)="F",AND(R$6&gt;0,$A427&lt;R$6),AND(R$7&gt;0,$A427&gt;R$7)),0,MAX(0,ROUND((INDEX($E427:$G427,R$5)-SUMIFS(TF_Timer,TF_Tekniker,R$4,TF_Dato,$A427))*2,0)/2)))</f>
        <v/>
      </c>
      <c r="S427">
        <f>IF(OR(S$4="",$A427&gt;TODAY()),0,IF(OR(INDEX($B427:$D427,S$5)="F",AND(S$6&gt;0,$A427&lt;S$6),AND(S$7&gt;0,$A427&gt;S$7)),0,MAX(0,ROUND((INDEX($E427:$G427,S$5)-SUMIFS(TF_Timer,TF_Tekniker,S$4,TF_Dato,$A427))*2,0)/2)))</f>
        <v/>
      </c>
      <c r="T427">
        <f>IF(OR(T$4="",$A427&gt;TODAY()),0,IF(OR(INDEX($B427:$D427,T$5)="F",AND(T$6&gt;0,$A427&lt;T$6),AND(T$7&gt;0,$A427&gt;T$7)),0,MAX(0,ROUND((INDEX($E427:$G427,T$5)-SUMIFS(TF_Timer,TF_Tekniker,T$4,TF_Dato,$A427))*2,0)/2)))</f>
        <v/>
      </c>
      <c r="U427">
        <f>IF(OR(U$4="",$A427&gt;TODAY()),0,IF(OR(INDEX($B427:$D427,U$5)="F",AND(U$6&gt;0,$A427&lt;U$6),AND(U$7&gt;0,$A427&gt;U$7)),0,MAX(0,ROUND((INDEX($E427:$G427,U$5)-SUMIFS(TF_Timer,TF_Tekniker,U$4,TF_Dato,$A427))*2,0)/2)))</f>
        <v/>
      </c>
      <c r="V427">
        <f>IF(OR(V$4="",$A427&gt;TODAY()),0,IF(OR(INDEX($B427:$D427,V$5)="F",AND(V$6&gt;0,$A427&lt;V$6),AND(V$7&gt;0,$A427&gt;V$7)),0,MAX(0,ROUND((INDEX($E427:$G427,V$5)-SUMIFS(TF_Timer,TF_Tekniker,V$4,TF_Dato,$A427))*2,0)/2)))</f>
        <v/>
      </c>
      <c r="W427">
        <f>IF(OR(W$4="",$A427&gt;TODAY()),0,IF(OR(INDEX($B427:$D427,W$5)="F",AND(W$6&gt;0,$A427&lt;W$6),AND(W$7&gt;0,$A427&gt;W$7)),0,MAX(0,ROUND((INDEX($E427:$G427,W$5)-SUMIFS(TF_Timer,TF_Tekniker,W$4,TF_Dato,$A427))*2,0)/2)))</f>
        <v/>
      </c>
      <c r="X427">
        <f>IF(OR(X$4="",$A427&gt;TODAY()),0,IF(OR(INDEX($B427:$D427,X$5)="F",AND(X$6&gt;0,$A427&lt;X$6),AND(X$7&gt;0,$A427&gt;X$7)),0,MAX(0,ROUND((INDEX($E427:$G427,X$5)-SUMIFS(TF_Timer,TF_Tekniker,X$4,TF_Dato,$A427))*2,0)/2)))</f>
        <v/>
      </c>
      <c r="Y427">
        <f>IF(OR(Y$4="",$A427&gt;TODAY()),0,IF(OR(INDEX($B427:$D427,Y$5)="F",AND(Y$6&gt;0,$A427&lt;Y$6),AND(Y$7&gt;0,$A427&gt;Y$7)),0,MAX(0,ROUND((INDEX($E427:$G427,Y$5)-SUMIFS(TF_Timer,TF_Tekniker,Y$4,TF_Dato,$A427))*2,0)/2)))</f>
        <v/>
      </c>
      <c r="Z427">
        <f>IF(OR(Z$4="",$A427&gt;TODAY()),0,IF(OR(INDEX($B427:$D427,Z$5)="F",AND(Z$6&gt;0,$A427&lt;Z$6),AND(Z$7&gt;0,$A427&gt;Z$7)),0,MAX(0,ROUND((INDEX($E427:$G427,Z$5)-SUMIFS(TF_Timer,TF_Tekniker,Z$4,TF_Dato,$A427))*2,0)/2)))</f>
        <v/>
      </c>
      <c r="AA427">
        <f>IF(OR(AA$4="",$A427&gt;TODAY()),0,IF(OR(INDEX($B427:$D427,AA$5)="F",AND(AA$6&gt;0,$A427&lt;AA$6),AND(AA$7&gt;0,$A427&gt;AA$7)),0,MAX(0,ROUND((INDEX($E427:$G427,AA$5)-SUMIFS(TF_Timer,TF_Tekniker,AA$4,TF_Dato,$A427))*2,0)/2)))</f>
        <v/>
      </c>
      <c r="AB427">
        <f>IF(OR(AB$4="",$A427&gt;TODAY()),0,IF(OR(INDEX($B427:$D427,AB$5)="F",AND(AB$6&gt;0,$A427&lt;AB$6),AND(AB$7&gt;0,$A427&gt;AB$7)),0,MAX(0,ROUND((INDEX($E427:$G427,AB$5)-SUMIFS(TF_Timer,TF_Tekniker,AB$4,TF_Dato,$A427))*2,0)/2)))</f>
        <v/>
      </c>
      <c r="AC427">
        <f>IF(OR(AC$4="",$A427&gt;TODAY()),0,IF(OR(INDEX($B427:$D427,AC$5)="F",AND(AC$6&gt;0,$A427&lt;AC$6),AND(AC$7&gt;0,$A427&gt;AC$7)),0,MAX(0,ROUND((INDEX($E427:$G427,AC$5)-SUMIFS(TF_Timer,TF_Tekniker,AC$4,TF_Dato,$A427))*2,0)/2)))</f>
        <v/>
      </c>
      <c r="AD427">
        <f>IF(OR(AD$4="",$A427&gt;TODAY()),0,IF(OR(INDEX($B427:$D427,AD$5)="F",AND(AD$6&gt;0,$A427&lt;AD$6),AND(AD$7&gt;0,$A427&gt;AD$7)),0,MAX(0,ROUND((INDEX($E427:$G427,AD$5)-SUMIFS(TF_Timer,TF_Tekniker,AD$4,TF_Dato,$A427))*2,0)/2)))</f>
        <v/>
      </c>
      <c r="AE427">
        <f>IF(OR(AE$4="",$A427&gt;TODAY()),0,IF(OR(INDEX($B427:$D427,AE$5)="F",AND(AE$6&gt;0,$A427&lt;AE$6),AND(AE$7&gt;0,$A427&gt;AE$7)),0,MAX(0,ROUND((INDEX($E427:$G427,AE$5)-SUMIFS(TF_Timer,TF_Tekniker,AE$4,TF_Dato,$A427))*2,0)/2)))</f>
        <v/>
      </c>
      <c r="AF427">
        <f>IF(OR(AF$4="",$A427&gt;TODAY()),0,IF(OR(INDEX($B427:$D427,AF$5)="F",AND(AF$6&gt;0,$A427&lt;AF$6),AND(AF$7&gt;0,$A427&gt;AF$7)),0,MAX(0,ROUND((INDEX($E427:$G427,AF$5)-SUMIFS(TF_Timer,TF_Tekniker,AF$4,TF_Dato,$A427))*2,0)/2)))</f>
        <v/>
      </c>
      <c r="AG427">
        <f>IF(OR(AG$4="",$A427&gt;TODAY()),0,IF(OR(INDEX($B427:$D427,AG$5)="F",AND(AG$6&gt;0,$A427&lt;AG$6),AND(AG$7&gt;0,$A427&gt;AG$7)),0,MAX(0,ROUND((INDEX($E427:$G427,AG$5)-SUMIFS(TF_Timer,TF_Tekniker,AG$4,TF_Dato,$A427))*2,0)/2)))</f>
        <v/>
      </c>
      <c r="AH427">
        <f>IF(OR(AH$4="",$A427&gt;TODAY()),0,IF(OR(INDEX($B427:$D427,AH$5)="F",AND(AH$6&gt;0,$A427&lt;AH$6),AND(AH$7&gt;0,$A427&gt;AH$7)),0,MAX(0,ROUND((INDEX($E427:$G427,AH$5)-SUMIFS(TF_Timer,TF_Tekniker,AH$4,TF_Dato,$A427))*2,0)/2)))</f>
        <v/>
      </c>
      <c r="AI427">
        <f>IF(OR(AI$4="",$A427&gt;TODAY()),0,IF(OR(INDEX($B427:$D427,AI$5)="F",AND(AI$6&gt;0,$A427&lt;AI$6),AND(AI$7&gt;0,$A427&gt;AI$7)),0,MAX(0,ROUND((INDEX($E427:$G427,AI$5)-SUMIFS(TF_Timer,TF_Tekniker,AI$4,TF_Dato,$A427))*2,0)/2)))</f>
        <v/>
      </c>
      <c r="AJ427">
        <f>IF(OR(AJ$4="",$A427&gt;TODAY()),0,IF(OR(INDEX($B427:$D427,AJ$5)="F",AND(AJ$6&gt;0,$A427&lt;AJ$6),AND(AJ$7&gt;0,$A427&gt;AJ$7)),0,MAX(0,ROUND((INDEX($E427:$G427,AJ$5)-SUMIFS(TF_Timer,TF_Tekniker,AJ$4,TF_Dato,$A427))*2,0)/2)))</f>
        <v/>
      </c>
      <c r="AK427">
        <f>IF(OR(AK$4="",$A427&gt;TODAY()),0,IF(OR(INDEX($B427:$D427,AK$5)="F",AND(AK$6&gt;0,$A427&lt;AK$6),AND(AK$7&gt;0,$A427&gt;AK$7)),0,MAX(0,ROUND((INDEX($E427:$G427,AK$5)-SUMIFS(TF_Timer,TF_Tekniker,AK$4,TF_Dato,$A427))*2,0)/2)))</f>
        <v/>
      </c>
      <c r="AL427">
        <f>IF(OR(AL$4="",$A427&gt;TODAY()),0,IF(OR(INDEX($B427:$D427,AL$5)="F",AND(AL$6&gt;0,$A427&lt;AL$6),AND(AL$7&gt;0,$A427&gt;AL$7)),0,MAX(0,ROUND((INDEX($E427:$G427,AL$5)-SUMIFS(TF_Timer,TF_Tekniker,AL$4,TF_Dato,$A427))*2,0)/2)))</f>
        <v/>
      </c>
      <c r="AM427">
        <f>IF(OR(AM$4="",$A427&gt;TODAY()),0,IF(OR(INDEX($B427:$D427,AM$5)="F",AND(AM$6&gt;0,$A427&lt;AM$6),AND(AM$7&gt;0,$A427&gt;AM$7)),0,MAX(0,ROUND((INDEX($E427:$G427,AM$5)-SUMIFS(TF_Timer,TF_Tekniker,AM$4,TF_Dato,$A427))*2,0)/2)))</f>
        <v/>
      </c>
      <c r="AN427">
        <f>IF(OR(AN$4="",$A427&gt;TODAY()),0,IF(OR(INDEX($B427:$D427,AN$5)="F",AND(AN$6&gt;0,$A427&lt;AN$6),AND(AN$7&gt;0,$A427&gt;AN$7)),0,MAX(0,ROUND((INDEX($E427:$G427,AN$5)-SUMIFS(TF_Timer,TF_Tekniker,AN$4,TF_Dato,$A427))*2,0)/2)))</f>
        <v/>
      </c>
      <c r="AO427">
        <f>IF(OR(AO$4="",$A427&gt;TODAY()),0,IF(OR(INDEX($B427:$D427,AO$5)="F",AND(AO$6&gt;0,$A427&lt;AO$6),AND(AO$7&gt;0,$A427&gt;AO$7)),0,MAX(0,ROUND((INDEX($E427:$G427,AO$5)-SUMIFS(TF_Timer,TF_Tekniker,AO$4,TF_Dato,$A427))*2,0)/2)))</f>
        <v/>
      </c>
      <c r="AP427">
        <f>IF(OR(AP$4="",$A427&gt;TODAY()),0,IF(OR(INDEX($B427:$D427,AP$5)="F",AND(AP$6&gt;0,$A427&lt;AP$6),AND(AP$7&gt;0,$A427&gt;AP$7)),0,MAX(0,ROUND((INDEX($E427:$G427,AP$5)-SUMIFS(TF_Timer,TF_Tekniker,AP$4,TF_Dato,$A427))*2,0)/2)))</f>
        <v/>
      </c>
      <c r="AQ427">
        <f>IF(OR(AQ$4="",$A427&gt;TODAY()),0,IF(OR(INDEX($B427:$D427,AQ$5)="F",AND(AQ$6&gt;0,$A427&lt;AQ$6),AND(AQ$7&gt;0,$A427&gt;AQ$7)),0,MAX(0,ROUND((INDEX($E427:$G427,AQ$5)-SUMIFS(TF_Timer,TF_Tekniker,AQ$4,TF_Dato,$A427))*2,0)/2)))</f>
        <v/>
      </c>
      <c r="AR427">
        <f>IF(OR(AR$4="",$A427&gt;TODAY()),0,IF(OR(INDEX($B427:$D427,AR$5)="F",AND(AR$6&gt;0,$A427&lt;AR$6),AND(AR$7&gt;0,$A427&gt;AR$7)),0,MAX(0,ROUND((INDEX($E427:$G427,AR$5)-SUMIFS(TF_Timer,TF_Tekniker,AR$4,TF_Dato,$A427))*2,0)/2)))</f>
        <v/>
      </c>
      <c r="AS427">
        <f>IF(OR(AS$4="",$A427&gt;TODAY()),0,IF(OR(INDEX($B427:$D427,AS$5)="F",AND(AS$6&gt;0,$A427&lt;AS$6),AND(AS$7&gt;0,$A427&gt;AS$7)),0,MAX(0,ROUND((INDEX($E427:$G427,AS$5)-SUMIFS(TF_Timer,TF_Tekniker,AS$4,TF_Dato,$A427))*2,0)/2)))</f>
        <v/>
      </c>
      <c r="AT427">
        <f>IF(OR(AT$4="",$A427&gt;TODAY()),0,IF(OR(INDEX($B427:$D427,AT$5)="F",AND(AT$6&gt;0,$A427&lt;AT$6),AND(AT$7&gt;0,$A427&gt;AT$7)),0,MAX(0,ROUND((INDEX($E427:$G427,AT$5)-SUMIFS(TF_Timer,TF_Tekniker,AT$4,TF_Dato,$A427))*2,0)/2)))</f>
        <v/>
      </c>
      <c r="AU427">
        <f>IF(OR(AU$4="",$A427&gt;TODAY()),0,IF(OR(INDEX($B427:$D427,AU$5)="F",AND(AU$6&gt;0,$A427&lt;AU$6),AND(AU$7&gt;0,$A427&gt;AU$7)),0,MAX(0,ROUND((INDEX($E427:$G427,AU$5)-SUMIFS(TF_Timer,TF_Tekniker,AU$4,TF_Dato,$A427))*2,0)/2)))</f>
        <v/>
      </c>
      <c r="AV427">
        <f>IF(OR(AV$4="",$A427&gt;TODAY()),0,IF(OR(INDEX($B427:$D427,AV$5)="F",AND(AV$6&gt;0,$A427&lt;AV$6),AND(AV$7&gt;0,$A427&gt;AV$7)),0,MAX(0,ROUND((INDEX($E427:$G427,AV$5)-SUMIFS(TF_Timer,TF_Tekniker,AV$4,TF_Dato,$A427))*2,0)/2)))</f>
        <v/>
      </c>
      <c r="AW427">
        <f>IF(OR(AW$4="",$A427&gt;TODAY()),0,IF(OR(INDEX($B427:$D427,AW$5)="F",AND(AW$6&gt;0,$A427&lt;AW$6),AND(AW$7&gt;0,$A427&gt;AW$7)),0,MAX(0,ROUND((INDEX($E427:$G427,AW$5)-SUMIFS(TF_Timer,TF_Tekniker,AW$4,TF_Dato,$A427))*2,0)/2)))</f>
        <v/>
      </c>
      <c r="AX427">
        <f>IF(OR(AX$4="",$A427&gt;TODAY()),0,IF(OR(INDEX($B427:$D427,AX$5)="F",AND(AX$6&gt;0,$A427&lt;AX$6),AND(AX$7&gt;0,$A427&gt;AX$7)),0,MAX(0,ROUND((INDEX($E427:$G427,AX$5)-SUMIFS(TF_Timer,TF_Tekniker,AX$4,TF_Dato,$A427))*2,0)/2)))</f>
        <v/>
      </c>
      <c r="AY427">
        <f>IF(OR(AY$4="",$A427&gt;TODAY()),0,IF(OR(INDEX($B427:$D427,AY$5)="F",AND(AY$6&gt;0,$A427&lt;AY$6),AND(AY$7&gt;0,$A427&gt;AY$7)),0,MAX(0,ROUND((INDEX($E427:$G427,AY$5)-SUMIFS(TF_Timer,TF_Tekniker,AY$4,TF_Dato,$A427))*2,0)/2)))</f>
        <v/>
      </c>
      <c r="AZ427">
        <f>IF(OR(AZ$4="",$A427&gt;TODAY()),0,IF(OR(INDEX($B427:$D427,AZ$5)="F",AND(AZ$6&gt;0,$A427&lt;AZ$6),AND(AZ$7&gt;0,$A427&gt;AZ$7)),0,MAX(0,ROUND((INDEX($E427:$G427,AZ$5)-SUMIFS(TF_Timer,TF_Tekniker,AZ$4,TF_Dato,$A427))*2,0)/2)))</f>
        <v/>
      </c>
      <c r="BA427">
        <f>IF(OR(BA$4="",$A427&gt;TODAY()),0,IF(OR(INDEX($B427:$D427,BA$5)="F",AND(BA$6&gt;0,$A427&lt;BA$6),AND(BA$7&gt;0,$A427&gt;BA$7)),0,MAX(0,ROUND((INDEX($E427:$G427,BA$5)-SUMIFS(TF_Timer,TF_Tekniker,BA$4,TF_Dato,$A427))*2,0)/2)))</f>
        <v/>
      </c>
      <c r="BB427">
        <f>IF(OR(BB$4="",$A427&gt;TODAY()),0,IF(OR(INDEX($B427:$D427,BB$5)="F",AND(BB$6&gt;0,$A427&lt;BB$6),AND(BB$7&gt;0,$A427&gt;BB$7)),0,MAX(0,ROUND((INDEX($E427:$G427,BB$5)-SUMIFS(TF_Timer,TF_Tekniker,BB$4,TF_Dato,$A427))*2,0)/2)))</f>
        <v/>
      </c>
      <c r="BC427">
        <f>IF(OR(BC$4="",$A427&gt;TODAY()),0,IF(OR(INDEX($B427:$D427,BC$5)="F",AND(BC$6&gt;0,$A427&lt;BC$6),AND(BC$7&gt;0,$A427&gt;BC$7)),0,MAX(0,ROUND((INDEX($E427:$G427,BC$5)-SUMIFS(TF_Timer,TF_Tekniker,BC$4,TF_Dato,$A427))*2,0)/2)))</f>
        <v/>
      </c>
      <c r="BD427">
        <f>IF(OR(BD$4="",$A427&gt;TODAY()),0,IF(OR(INDEX($B427:$D427,BD$5)="F",AND(BD$6&gt;0,$A427&lt;BD$6),AND(BD$7&gt;0,$A427&gt;BD$7)),0,MAX(0,ROUND((INDEX($E427:$G427,BD$5)-SUMIFS(TF_Timer,TF_Tekniker,BD$4,TF_Dato,$A427))*2,0)/2)))</f>
        <v/>
      </c>
      <c r="BE427">
        <f>IF(OR(BE$4="",$A427&gt;TODAY()),0,IF(OR(INDEX($B427:$D427,BE$5)="F",AND(BE$6&gt;0,$A427&lt;BE$6),AND(BE$7&gt;0,$A427&gt;BE$7)),0,MAX(0,ROUND((INDEX($E427:$G427,BE$5)-SUMIFS(TF_Timer,TF_Tekniker,BE$4,TF_Dato,$A427))*2,0)/2)))</f>
        <v/>
      </c>
      <c r="BF427">
        <f>IF(OR(BF$4="",$A427&gt;TODAY()),0,IF(OR(INDEX($B427:$D427,BF$5)="F",AND(BF$6&gt;0,$A427&lt;BF$6),AND(BF$7&gt;0,$A427&gt;BF$7)),0,MAX(0,ROUND((INDEX($E427:$G427,BF$5)-SUMIFS(TF_Timer,TF_Tekniker,BF$4,TF_Dato,$A427))*2,0)/2)))</f>
        <v/>
      </c>
      <c r="BG427">
        <f>IF(OR(BG$4="",$A427&gt;TODAY()),0,IF(OR(INDEX($B427:$D427,BG$5)="F",AND(BG$6&gt;0,$A427&lt;BG$6),AND(BG$7&gt;0,$A427&gt;BG$7)),0,MAX(0,ROUND((INDEX($E427:$G427,BG$5)-SUMIFS(TF_Timer,TF_Tekniker,BG$4,TF_Dato,$A427))*2,0)/2)))</f>
        <v/>
      </c>
      <c r="BH427">
        <f>IF(OR(BH$4="",$A427&gt;TODAY()),0,IF(OR(INDEX($B427:$D427,BH$5)="F",AND(BH$6&gt;0,$A427&lt;BH$6),AND(BH$7&gt;0,$A427&gt;BH$7)),0,MAX(0,ROUND((INDEX($E427:$G427,BH$5)-SUMIFS(TF_Timer,TF_Tekniker,BH$4,TF_Dato,$A427))*2,0)/2)))</f>
        <v/>
      </c>
      <c r="BI427">
        <f>IF(OR(BI$4="",$A427&gt;TODAY()),0,IF(OR(INDEX($B427:$D427,BI$5)="F",AND(BI$6&gt;0,$A427&lt;BI$6),AND(BI$7&gt;0,$A427&gt;BI$7)),0,MAX(0,ROUND((INDEX($E427:$G427,BI$5)-SUMIFS(TF_Timer,TF_Tekniker,BI$4,TF_Dato,$A427))*2,0)/2)))</f>
        <v/>
      </c>
    </row>
    <row r="428">
      <c r="A428" s="64">
        <f>A427+1</f>
        <v/>
      </c>
      <c r="B428">
        <f>IF(MOD($A428-INDEX(SkiftStart,1),Syklus)&lt;DagK,"K",IF(MOD($A428-INDEX(SkiftStart,1),Syklus)&lt;DagK+DagH,"H",IF(MOD($A428-INDEX(SkiftStart,1),Syklus)&lt;DagK+DagH+DagD,"D","F")))</f>
        <v/>
      </c>
      <c r="C428">
        <f>IF(MOD($A428-INDEX(SkiftStart,2),Syklus)&lt;DagK,"K",IF(MOD($A428-INDEX(SkiftStart,2),Syklus)&lt;DagK+DagH,"H",IF(MOD($A428-INDEX(SkiftStart,2),Syklus)&lt;DagK+DagH+DagD,"D","F")))</f>
        <v/>
      </c>
      <c r="D428">
        <f>IF(MOD($A428-INDEX(SkiftStart,3),Syklus)&lt;DagK,"K",IF(MOD($A428-INDEX(SkiftStart,3),Syklus)&lt;DagK+DagH,"H",IF(MOD($A428-INDEX(SkiftStart,3),Syklus)&lt;DagK+DagH+DagD,"D","F")))</f>
        <v/>
      </c>
      <c r="E428">
        <f>IF(B428="F",0,IF(WEEKDAY($A428,2)=5,INDEX(TimerFr,MATCH(B428,FaseKode,0)),INDEX(TimerMT,MATCH(B428,FaseKode,0))))</f>
        <v/>
      </c>
      <c r="F428">
        <f>IF(C428="F",0,IF(WEEKDAY($A428,2)=5,INDEX(TimerFr,MATCH(C428,FaseKode,0)),INDEX(TimerMT,MATCH(C428,FaseKode,0))))</f>
        <v/>
      </c>
      <c r="G428">
        <f>IF(D428="F",0,IF(WEEKDAY($A428,2)=5,INDEX(TimerFr,MATCH(D428,FaseKode,0)),INDEX(TimerMT,MATCH(D428,FaseKode,0))))</f>
        <v/>
      </c>
      <c r="H428">
        <f>IF(OR(H$4="",$A428&gt;TODAY()),0,IF(OR(INDEX($B428:$D428,H$5)="F",AND(H$6&gt;0,$A428&lt;H$6),AND(H$7&gt;0,$A428&gt;H$7)),0,MAX(0,ROUND((INDEX($E428:$G428,H$5)-SUMIFS(TF_Timer,TF_Tekniker,H$4,TF_Dato,$A428))*2,0)/2)))</f>
        <v/>
      </c>
      <c r="I428">
        <f>IF(OR(I$4="",$A428&gt;TODAY()),0,IF(OR(INDEX($B428:$D428,I$5)="F",AND(I$6&gt;0,$A428&lt;I$6),AND(I$7&gt;0,$A428&gt;I$7)),0,MAX(0,ROUND((INDEX($E428:$G428,I$5)-SUMIFS(TF_Timer,TF_Tekniker,I$4,TF_Dato,$A428))*2,0)/2)))</f>
        <v/>
      </c>
      <c r="J428">
        <f>IF(OR(J$4="",$A428&gt;TODAY()),0,IF(OR(INDEX($B428:$D428,J$5)="F",AND(J$6&gt;0,$A428&lt;J$6),AND(J$7&gt;0,$A428&gt;J$7)),0,MAX(0,ROUND((INDEX($E428:$G428,J$5)-SUMIFS(TF_Timer,TF_Tekniker,J$4,TF_Dato,$A428))*2,0)/2)))</f>
        <v/>
      </c>
      <c r="K428">
        <f>IF(OR(K$4="",$A428&gt;TODAY()),0,IF(OR(INDEX($B428:$D428,K$5)="F",AND(K$6&gt;0,$A428&lt;K$6),AND(K$7&gt;0,$A428&gt;K$7)),0,MAX(0,ROUND((INDEX($E428:$G428,K$5)-SUMIFS(TF_Timer,TF_Tekniker,K$4,TF_Dato,$A428))*2,0)/2)))</f>
        <v/>
      </c>
      <c r="L428">
        <f>IF(OR(L$4="",$A428&gt;TODAY()),0,IF(OR(INDEX($B428:$D428,L$5)="F",AND(L$6&gt;0,$A428&lt;L$6),AND(L$7&gt;0,$A428&gt;L$7)),0,MAX(0,ROUND((INDEX($E428:$G428,L$5)-SUMIFS(TF_Timer,TF_Tekniker,L$4,TF_Dato,$A428))*2,0)/2)))</f>
        <v/>
      </c>
      <c r="M428">
        <f>IF(OR(M$4="",$A428&gt;TODAY()),0,IF(OR(INDEX($B428:$D428,M$5)="F",AND(M$6&gt;0,$A428&lt;M$6),AND(M$7&gt;0,$A428&gt;M$7)),0,MAX(0,ROUND((INDEX($E428:$G428,M$5)-SUMIFS(TF_Timer,TF_Tekniker,M$4,TF_Dato,$A428))*2,0)/2)))</f>
        <v/>
      </c>
      <c r="N428">
        <f>IF(OR(N$4="",$A428&gt;TODAY()),0,IF(OR(INDEX($B428:$D428,N$5)="F",AND(N$6&gt;0,$A428&lt;N$6),AND(N$7&gt;0,$A428&gt;N$7)),0,MAX(0,ROUND((INDEX($E428:$G428,N$5)-SUMIFS(TF_Timer,TF_Tekniker,N$4,TF_Dato,$A428))*2,0)/2)))</f>
        <v/>
      </c>
      <c r="O428">
        <f>IF(OR(O$4="",$A428&gt;TODAY()),0,IF(OR(INDEX($B428:$D428,O$5)="F",AND(O$6&gt;0,$A428&lt;O$6),AND(O$7&gt;0,$A428&gt;O$7)),0,MAX(0,ROUND((INDEX($E428:$G428,O$5)-SUMIFS(TF_Timer,TF_Tekniker,O$4,TF_Dato,$A428))*2,0)/2)))</f>
        <v/>
      </c>
      <c r="P428">
        <f>IF(OR(P$4="",$A428&gt;TODAY()),0,IF(OR(INDEX($B428:$D428,P$5)="F",AND(P$6&gt;0,$A428&lt;P$6),AND(P$7&gt;0,$A428&gt;P$7)),0,MAX(0,ROUND((INDEX($E428:$G428,P$5)-SUMIFS(TF_Timer,TF_Tekniker,P$4,TF_Dato,$A428))*2,0)/2)))</f>
        <v/>
      </c>
      <c r="Q428">
        <f>IF(OR(Q$4="",$A428&gt;TODAY()),0,IF(OR(INDEX($B428:$D428,Q$5)="F",AND(Q$6&gt;0,$A428&lt;Q$6),AND(Q$7&gt;0,$A428&gt;Q$7)),0,MAX(0,ROUND((INDEX($E428:$G428,Q$5)-SUMIFS(TF_Timer,TF_Tekniker,Q$4,TF_Dato,$A428))*2,0)/2)))</f>
        <v/>
      </c>
      <c r="R428">
        <f>IF(OR(R$4="",$A428&gt;TODAY()),0,IF(OR(INDEX($B428:$D428,R$5)="F",AND(R$6&gt;0,$A428&lt;R$6),AND(R$7&gt;0,$A428&gt;R$7)),0,MAX(0,ROUND((INDEX($E428:$G428,R$5)-SUMIFS(TF_Timer,TF_Tekniker,R$4,TF_Dato,$A428))*2,0)/2)))</f>
        <v/>
      </c>
      <c r="S428">
        <f>IF(OR(S$4="",$A428&gt;TODAY()),0,IF(OR(INDEX($B428:$D428,S$5)="F",AND(S$6&gt;0,$A428&lt;S$6),AND(S$7&gt;0,$A428&gt;S$7)),0,MAX(0,ROUND((INDEX($E428:$G428,S$5)-SUMIFS(TF_Timer,TF_Tekniker,S$4,TF_Dato,$A428))*2,0)/2)))</f>
        <v/>
      </c>
      <c r="T428">
        <f>IF(OR(T$4="",$A428&gt;TODAY()),0,IF(OR(INDEX($B428:$D428,T$5)="F",AND(T$6&gt;0,$A428&lt;T$6),AND(T$7&gt;0,$A428&gt;T$7)),0,MAX(0,ROUND((INDEX($E428:$G428,T$5)-SUMIFS(TF_Timer,TF_Tekniker,T$4,TF_Dato,$A428))*2,0)/2)))</f>
        <v/>
      </c>
      <c r="U428">
        <f>IF(OR(U$4="",$A428&gt;TODAY()),0,IF(OR(INDEX($B428:$D428,U$5)="F",AND(U$6&gt;0,$A428&lt;U$6),AND(U$7&gt;0,$A428&gt;U$7)),0,MAX(0,ROUND((INDEX($E428:$G428,U$5)-SUMIFS(TF_Timer,TF_Tekniker,U$4,TF_Dato,$A428))*2,0)/2)))</f>
        <v/>
      </c>
      <c r="V428">
        <f>IF(OR(V$4="",$A428&gt;TODAY()),0,IF(OR(INDEX($B428:$D428,V$5)="F",AND(V$6&gt;0,$A428&lt;V$6),AND(V$7&gt;0,$A428&gt;V$7)),0,MAX(0,ROUND((INDEX($E428:$G428,V$5)-SUMIFS(TF_Timer,TF_Tekniker,V$4,TF_Dato,$A428))*2,0)/2)))</f>
        <v/>
      </c>
      <c r="W428">
        <f>IF(OR(W$4="",$A428&gt;TODAY()),0,IF(OR(INDEX($B428:$D428,W$5)="F",AND(W$6&gt;0,$A428&lt;W$6),AND(W$7&gt;0,$A428&gt;W$7)),0,MAX(0,ROUND((INDEX($E428:$G428,W$5)-SUMIFS(TF_Timer,TF_Tekniker,W$4,TF_Dato,$A428))*2,0)/2)))</f>
        <v/>
      </c>
      <c r="X428">
        <f>IF(OR(X$4="",$A428&gt;TODAY()),0,IF(OR(INDEX($B428:$D428,X$5)="F",AND(X$6&gt;0,$A428&lt;X$6),AND(X$7&gt;0,$A428&gt;X$7)),0,MAX(0,ROUND((INDEX($E428:$G428,X$5)-SUMIFS(TF_Timer,TF_Tekniker,X$4,TF_Dato,$A428))*2,0)/2)))</f>
        <v/>
      </c>
      <c r="Y428">
        <f>IF(OR(Y$4="",$A428&gt;TODAY()),0,IF(OR(INDEX($B428:$D428,Y$5)="F",AND(Y$6&gt;0,$A428&lt;Y$6),AND(Y$7&gt;0,$A428&gt;Y$7)),0,MAX(0,ROUND((INDEX($E428:$G428,Y$5)-SUMIFS(TF_Timer,TF_Tekniker,Y$4,TF_Dato,$A428))*2,0)/2)))</f>
        <v/>
      </c>
      <c r="Z428">
        <f>IF(OR(Z$4="",$A428&gt;TODAY()),0,IF(OR(INDEX($B428:$D428,Z$5)="F",AND(Z$6&gt;0,$A428&lt;Z$6),AND(Z$7&gt;0,$A428&gt;Z$7)),0,MAX(0,ROUND((INDEX($E428:$G428,Z$5)-SUMIFS(TF_Timer,TF_Tekniker,Z$4,TF_Dato,$A428))*2,0)/2)))</f>
        <v/>
      </c>
      <c r="AA428">
        <f>IF(OR(AA$4="",$A428&gt;TODAY()),0,IF(OR(INDEX($B428:$D428,AA$5)="F",AND(AA$6&gt;0,$A428&lt;AA$6),AND(AA$7&gt;0,$A428&gt;AA$7)),0,MAX(0,ROUND((INDEX($E428:$G428,AA$5)-SUMIFS(TF_Timer,TF_Tekniker,AA$4,TF_Dato,$A428))*2,0)/2)))</f>
        <v/>
      </c>
      <c r="AB428">
        <f>IF(OR(AB$4="",$A428&gt;TODAY()),0,IF(OR(INDEX($B428:$D428,AB$5)="F",AND(AB$6&gt;0,$A428&lt;AB$6),AND(AB$7&gt;0,$A428&gt;AB$7)),0,MAX(0,ROUND((INDEX($E428:$G428,AB$5)-SUMIFS(TF_Timer,TF_Tekniker,AB$4,TF_Dato,$A428))*2,0)/2)))</f>
        <v/>
      </c>
      <c r="AC428">
        <f>IF(OR(AC$4="",$A428&gt;TODAY()),0,IF(OR(INDEX($B428:$D428,AC$5)="F",AND(AC$6&gt;0,$A428&lt;AC$6),AND(AC$7&gt;0,$A428&gt;AC$7)),0,MAX(0,ROUND((INDEX($E428:$G428,AC$5)-SUMIFS(TF_Timer,TF_Tekniker,AC$4,TF_Dato,$A428))*2,0)/2)))</f>
        <v/>
      </c>
      <c r="AD428">
        <f>IF(OR(AD$4="",$A428&gt;TODAY()),0,IF(OR(INDEX($B428:$D428,AD$5)="F",AND(AD$6&gt;0,$A428&lt;AD$6),AND(AD$7&gt;0,$A428&gt;AD$7)),0,MAX(0,ROUND((INDEX($E428:$G428,AD$5)-SUMIFS(TF_Timer,TF_Tekniker,AD$4,TF_Dato,$A428))*2,0)/2)))</f>
        <v/>
      </c>
      <c r="AE428">
        <f>IF(OR(AE$4="",$A428&gt;TODAY()),0,IF(OR(INDEX($B428:$D428,AE$5)="F",AND(AE$6&gt;0,$A428&lt;AE$6),AND(AE$7&gt;0,$A428&gt;AE$7)),0,MAX(0,ROUND((INDEX($E428:$G428,AE$5)-SUMIFS(TF_Timer,TF_Tekniker,AE$4,TF_Dato,$A428))*2,0)/2)))</f>
        <v/>
      </c>
      <c r="AF428">
        <f>IF(OR(AF$4="",$A428&gt;TODAY()),0,IF(OR(INDEX($B428:$D428,AF$5)="F",AND(AF$6&gt;0,$A428&lt;AF$6),AND(AF$7&gt;0,$A428&gt;AF$7)),0,MAX(0,ROUND((INDEX($E428:$G428,AF$5)-SUMIFS(TF_Timer,TF_Tekniker,AF$4,TF_Dato,$A428))*2,0)/2)))</f>
        <v/>
      </c>
      <c r="AG428">
        <f>IF(OR(AG$4="",$A428&gt;TODAY()),0,IF(OR(INDEX($B428:$D428,AG$5)="F",AND(AG$6&gt;0,$A428&lt;AG$6),AND(AG$7&gt;0,$A428&gt;AG$7)),0,MAX(0,ROUND((INDEX($E428:$G428,AG$5)-SUMIFS(TF_Timer,TF_Tekniker,AG$4,TF_Dato,$A428))*2,0)/2)))</f>
        <v/>
      </c>
      <c r="AH428">
        <f>IF(OR(AH$4="",$A428&gt;TODAY()),0,IF(OR(INDEX($B428:$D428,AH$5)="F",AND(AH$6&gt;0,$A428&lt;AH$6),AND(AH$7&gt;0,$A428&gt;AH$7)),0,MAX(0,ROUND((INDEX($E428:$G428,AH$5)-SUMIFS(TF_Timer,TF_Tekniker,AH$4,TF_Dato,$A428))*2,0)/2)))</f>
        <v/>
      </c>
      <c r="AI428">
        <f>IF(OR(AI$4="",$A428&gt;TODAY()),0,IF(OR(INDEX($B428:$D428,AI$5)="F",AND(AI$6&gt;0,$A428&lt;AI$6),AND(AI$7&gt;0,$A428&gt;AI$7)),0,MAX(0,ROUND((INDEX($E428:$G428,AI$5)-SUMIFS(TF_Timer,TF_Tekniker,AI$4,TF_Dato,$A428))*2,0)/2)))</f>
        <v/>
      </c>
      <c r="AJ428">
        <f>IF(OR(AJ$4="",$A428&gt;TODAY()),0,IF(OR(INDEX($B428:$D428,AJ$5)="F",AND(AJ$6&gt;0,$A428&lt;AJ$6),AND(AJ$7&gt;0,$A428&gt;AJ$7)),0,MAX(0,ROUND((INDEX($E428:$G428,AJ$5)-SUMIFS(TF_Timer,TF_Tekniker,AJ$4,TF_Dato,$A428))*2,0)/2)))</f>
        <v/>
      </c>
      <c r="AK428">
        <f>IF(OR(AK$4="",$A428&gt;TODAY()),0,IF(OR(INDEX($B428:$D428,AK$5)="F",AND(AK$6&gt;0,$A428&lt;AK$6),AND(AK$7&gt;0,$A428&gt;AK$7)),0,MAX(0,ROUND((INDEX($E428:$G428,AK$5)-SUMIFS(TF_Timer,TF_Tekniker,AK$4,TF_Dato,$A428))*2,0)/2)))</f>
        <v/>
      </c>
      <c r="AL428">
        <f>IF(OR(AL$4="",$A428&gt;TODAY()),0,IF(OR(INDEX($B428:$D428,AL$5)="F",AND(AL$6&gt;0,$A428&lt;AL$6),AND(AL$7&gt;0,$A428&gt;AL$7)),0,MAX(0,ROUND((INDEX($E428:$G428,AL$5)-SUMIFS(TF_Timer,TF_Tekniker,AL$4,TF_Dato,$A428))*2,0)/2)))</f>
        <v/>
      </c>
      <c r="AM428">
        <f>IF(OR(AM$4="",$A428&gt;TODAY()),0,IF(OR(INDEX($B428:$D428,AM$5)="F",AND(AM$6&gt;0,$A428&lt;AM$6),AND(AM$7&gt;0,$A428&gt;AM$7)),0,MAX(0,ROUND((INDEX($E428:$G428,AM$5)-SUMIFS(TF_Timer,TF_Tekniker,AM$4,TF_Dato,$A428))*2,0)/2)))</f>
        <v/>
      </c>
      <c r="AN428">
        <f>IF(OR(AN$4="",$A428&gt;TODAY()),0,IF(OR(INDEX($B428:$D428,AN$5)="F",AND(AN$6&gt;0,$A428&lt;AN$6),AND(AN$7&gt;0,$A428&gt;AN$7)),0,MAX(0,ROUND((INDEX($E428:$G428,AN$5)-SUMIFS(TF_Timer,TF_Tekniker,AN$4,TF_Dato,$A428))*2,0)/2)))</f>
        <v/>
      </c>
      <c r="AO428">
        <f>IF(OR(AO$4="",$A428&gt;TODAY()),0,IF(OR(INDEX($B428:$D428,AO$5)="F",AND(AO$6&gt;0,$A428&lt;AO$6),AND(AO$7&gt;0,$A428&gt;AO$7)),0,MAX(0,ROUND((INDEX($E428:$G428,AO$5)-SUMIFS(TF_Timer,TF_Tekniker,AO$4,TF_Dato,$A428))*2,0)/2)))</f>
        <v/>
      </c>
      <c r="AP428">
        <f>IF(OR(AP$4="",$A428&gt;TODAY()),0,IF(OR(INDEX($B428:$D428,AP$5)="F",AND(AP$6&gt;0,$A428&lt;AP$6),AND(AP$7&gt;0,$A428&gt;AP$7)),0,MAX(0,ROUND((INDEX($E428:$G428,AP$5)-SUMIFS(TF_Timer,TF_Tekniker,AP$4,TF_Dato,$A428))*2,0)/2)))</f>
        <v/>
      </c>
      <c r="AQ428">
        <f>IF(OR(AQ$4="",$A428&gt;TODAY()),0,IF(OR(INDEX($B428:$D428,AQ$5)="F",AND(AQ$6&gt;0,$A428&lt;AQ$6),AND(AQ$7&gt;0,$A428&gt;AQ$7)),0,MAX(0,ROUND((INDEX($E428:$G428,AQ$5)-SUMIFS(TF_Timer,TF_Tekniker,AQ$4,TF_Dato,$A428))*2,0)/2)))</f>
        <v/>
      </c>
      <c r="AR428">
        <f>IF(OR(AR$4="",$A428&gt;TODAY()),0,IF(OR(INDEX($B428:$D428,AR$5)="F",AND(AR$6&gt;0,$A428&lt;AR$6),AND(AR$7&gt;0,$A428&gt;AR$7)),0,MAX(0,ROUND((INDEX($E428:$G428,AR$5)-SUMIFS(TF_Timer,TF_Tekniker,AR$4,TF_Dato,$A428))*2,0)/2)))</f>
        <v/>
      </c>
      <c r="AS428">
        <f>IF(OR(AS$4="",$A428&gt;TODAY()),0,IF(OR(INDEX($B428:$D428,AS$5)="F",AND(AS$6&gt;0,$A428&lt;AS$6),AND(AS$7&gt;0,$A428&gt;AS$7)),0,MAX(0,ROUND((INDEX($E428:$G428,AS$5)-SUMIFS(TF_Timer,TF_Tekniker,AS$4,TF_Dato,$A428))*2,0)/2)))</f>
        <v/>
      </c>
      <c r="AT428">
        <f>IF(OR(AT$4="",$A428&gt;TODAY()),0,IF(OR(INDEX($B428:$D428,AT$5)="F",AND(AT$6&gt;0,$A428&lt;AT$6),AND(AT$7&gt;0,$A428&gt;AT$7)),0,MAX(0,ROUND((INDEX($E428:$G428,AT$5)-SUMIFS(TF_Timer,TF_Tekniker,AT$4,TF_Dato,$A428))*2,0)/2)))</f>
        <v/>
      </c>
      <c r="AU428">
        <f>IF(OR(AU$4="",$A428&gt;TODAY()),0,IF(OR(INDEX($B428:$D428,AU$5)="F",AND(AU$6&gt;0,$A428&lt;AU$6),AND(AU$7&gt;0,$A428&gt;AU$7)),0,MAX(0,ROUND((INDEX($E428:$G428,AU$5)-SUMIFS(TF_Timer,TF_Tekniker,AU$4,TF_Dato,$A428))*2,0)/2)))</f>
        <v/>
      </c>
      <c r="AV428">
        <f>IF(OR(AV$4="",$A428&gt;TODAY()),0,IF(OR(INDEX($B428:$D428,AV$5)="F",AND(AV$6&gt;0,$A428&lt;AV$6),AND(AV$7&gt;0,$A428&gt;AV$7)),0,MAX(0,ROUND((INDEX($E428:$G428,AV$5)-SUMIFS(TF_Timer,TF_Tekniker,AV$4,TF_Dato,$A428))*2,0)/2)))</f>
        <v/>
      </c>
      <c r="AW428">
        <f>IF(OR(AW$4="",$A428&gt;TODAY()),0,IF(OR(INDEX($B428:$D428,AW$5)="F",AND(AW$6&gt;0,$A428&lt;AW$6),AND(AW$7&gt;0,$A428&gt;AW$7)),0,MAX(0,ROUND((INDEX($E428:$G428,AW$5)-SUMIFS(TF_Timer,TF_Tekniker,AW$4,TF_Dato,$A428))*2,0)/2)))</f>
        <v/>
      </c>
      <c r="AX428">
        <f>IF(OR(AX$4="",$A428&gt;TODAY()),0,IF(OR(INDEX($B428:$D428,AX$5)="F",AND(AX$6&gt;0,$A428&lt;AX$6),AND(AX$7&gt;0,$A428&gt;AX$7)),0,MAX(0,ROUND((INDEX($E428:$G428,AX$5)-SUMIFS(TF_Timer,TF_Tekniker,AX$4,TF_Dato,$A428))*2,0)/2)))</f>
        <v/>
      </c>
      <c r="AY428">
        <f>IF(OR(AY$4="",$A428&gt;TODAY()),0,IF(OR(INDEX($B428:$D428,AY$5)="F",AND(AY$6&gt;0,$A428&lt;AY$6),AND(AY$7&gt;0,$A428&gt;AY$7)),0,MAX(0,ROUND((INDEX($E428:$G428,AY$5)-SUMIFS(TF_Timer,TF_Tekniker,AY$4,TF_Dato,$A428))*2,0)/2)))</f>
        <v/>
      </c>
      <c r="AZ428">
        <f>IF(OR(AZ$4="",$A428&gt;TODAY()),0,IF(OR(INDEX($B428:$D428,AZ$5)="F",AND(AZ$6&gt;0,$A428&lt;AZ$6),AND(AZ$7&gt;0,$A428&gt;AZ$7)),0,MAX(0,ROUND((INDEX($E428:$G428,AZ$5)-SUMIFS(TF_Timer,TF_Tekniker,AZ$4,TF_Dato,$A428))*2,0)/2)))</f>
        <v/>
      </c>
      <c r="BA428">
        <f>IF(OR(BA$4="",$A428&gt;TODAY()),0,IF(OR(INDEX($B428:$D428,BA$5)="F",AND(BA$6&gt;0,$A428&lt;BA$6),AND(BA$7&gt;0,$A428&gt;BA$7)),0,MAX(0,ROUND((INDEX($E428:$G428,BA$5)-SUMIFS(TF_Timer,TF_Tekniker,BA$4,TF_Dato,$A428))*2,0)/2)))</f>
        <v/>
      </c>
      <c r="BB428">
        <f>IF(OR(BB$4="",$A428&gt;TODAY()),0,IF(OR(INDEX($B428:$D428,BB$5)="F",AND(BB$6&gt;0,$A428&lt;BB$6),AND(BB$7&gt;0,$A428&gt;BB$7)),0,MAX(0,ROUND((INDEX($E428:$G428,BB$5)-SUMIFS(TF_Timer,TF_Tekniker,BB$4,TF_Dato,$A428))*2,0)/2)))</f>
        <v/>
      </c>
      <c r="BC428">
        <f>IF(OR(BC$4="",$A428&gt;TODAY()),0,IF(OR(INDEX($B428:$D428,BC$5)="F",AND(BC$6&gt;0,$A428&lt;BC$6),AND(BC$7&gt;0,$A428&gt;BC$7)),0,MAX(0,ROUND((INDEX($E428:$G428,BC$5)-SUMIFS(TF_Timer,TF_Tekniker,BC$4,TF_Dato,$A428))*2,0)/2)))</f>
        <v/>
      </c>
      <c r="BD428">
        <f>IF(OR(BD$4="",$A428&gt;TODAY()),0,IF(OR(INDEX($B428:$D428,BD$5)="F",AND(BD$6&gt;0,$A428&lt;BD$6),AND(BD$7&gt;0,$A428&gt;BD$7)),0,MAX(0,ROUND((INDEX($E428:$G428,BD$5)-SUMIFS(TF_Timer,TF_Tekniker,BD$4,TF_Dato,$A428))*2,0)/2)))</f>
        <v/>
      </c>
      <c r="BE428">
        <f>IF(OR(BE$4="",$A428&gt;TODAY()),0,IF(OR(INDEX($B428:$D428,BE$5)="F",AND(BE$6&gt;0,$A428&lt;BE$6),AND(BE$7&gt;0,$A428&gt;BE$7)),0,MAX(0,ROUND((INDEX($E428:$G428,BE$5)-SUMIFS(TF_Timer,TF_Tekniker,BE$4,TF_Dato,$A428))*2,0)/2)))</f>
        <v/>
      </c>
      <c r="BF428">
        <f>IF(OR(BF$4="",$A428&gt;TODAY()),0,IF(OR(INDEX($B428:$D428,BF$5)="F",AND(BF$6&gt;0,$A428&lt;BF$6),AND(BF$7&gt;0,$A428&gt;BF$7)),0,MAX(0,ROUND((INDEX($E428:$G428,BF$5)-SUMIFS(TF_Timer,TF_Tekniker,BF$4,TF_Dato,$A428))*2,0)/2)))</f>
        <v/>
      </c>
      <c r="BG428">
        <f>IF(OR(BG$4="",$A428&gt;TODAY()),0,IF(OR(INDEX($B428:$D428,BG$5)="F",AND(BG$6&gt;0,$A428&lt;BG$6),AND(BG$7&gt;0,$A428&gt;BG$7)),0,MAX(0,ROUND((INDEX($E428:$G428,BG$5)-SUMIFS(TF_Timer,TF_Tekniker,BG$4,TF_Dato,$A428))*2,0)/2)))</f>
        <v/>
      </c>
      <c r="BH428">
        <f>IF(OR(BH$4="",$A428&gt;TODAY()),0,IF(OR(INDEX($B428:$D428,BH$5)="F",AND(BH$6&gt;0,$A428&lt;BH$6),AND(BH$7&gt;0,$A428&gt;BH$7)),0,MAX(0,ROUND((INDEX($E428:$G428,BH$5)-SUMIFS(TF_Timer,TF_Tekniker,BH$4,TF_Dato,$A428))*2,0)/2)))</f>
        <v/>
      </c>
      <c r="BI428">
        <f>IF(OR(BI$4="",$A428&gt;TODAY()),0,IF(OR(INDEX($B428:$D428,BI$5)="F",AND(BI$6&gt;0,$A428&lt;BI$6),AND(BI$7&gt;0,$A428&gt;BI$7)),0,MAX(0,ROUND((INDEX($E428:$G428,BI$5)-SUMIFS(TF_Timer,TF_Tekniker,BI$4,TF_Dato,$A428))*2,0)/2)))</f>
        <v/>
      </c>
    </row>
    <row r="429">
      <c r="A429" s="64">
        <f>A428+1</f>
        <v/>
      </c>
      <c r="B429">
        <f>IF(MOD($A429-INDEX(SkiftStart,1),Syklus)&lt;DagK,"K",IF(MOD($A429-INDEX(SkiftStart,1),Syklus)&lt;DagK+DagH,"H",IF(MOD($A429-INDEX(SkiftStart,1),Syklus)&lt;DagK+DagH+DagD,"D","F")))</f>
        <v/>
      </c>
      <c r="C429">
        <f>IF(MOD($A429-INDEX(SkiftStart,2),Syklus)&lt;DagK,"K",IF(MOD($A429-INDEX(SkiftStart,2),Syklus)&lt;DagK+DagH,"H",IF(MOD($A429-INDEX(SkiftStart,2),Syklus)&lt;DagK+DagH+DagD,"D","F")))</f>
        <v/>
      </c>
      <c r="D429">
        <f>IF(MOD($A429-INDEX(SkiftStart,3),Syklus)&lt;DagK,"K",IF(MOD($A429-INDEX(SkiftStart,3),Syklus)&lt;DagK+DagH,"H",IF(MOD($A429-INDEX(SkiftStart,3),Syklus)&lt;DagK+DagH+DagD,"D","F")))</f>
        <v/>
      </c>
      <c r="E429">
        <f>IF(B429="F",0,IF(WEEKDAY($A429,2)=5,INDEX(TimerFr,MATCH(B429,FaseKode,0)),INDEX(TimerMT,MATCH(B429,FaseKode,0))))</f>
        <v/>
      </c>
      <c r="F429">
        <f>IF(C429="F",0,IF(WEEKDAY($A429,2)=5,INDEX(TimerFr,MATCH(C429,FaseKode,0)),INDEX(TimerMT,MATCH(C429,FaseKode,0))))</f>
        <v/>
      </c>
      <c r="G429">
        <f>IF(D429="F",0,IF(WEEKDAY($A429,2)=5,INDEX(TimerFr,MATCH(D429,FaseKode,0)),INDEX(TimerMT,MATCH(D429,FaseKode,0))))</f>
        <v/>
      </c>
      <c r="H429">
        <f>IF(OR(H$4="",$A429&gt;TODAY()),0,IF(OR(INDEX($B429:$D429,H$5)="F",AND(H$6&gt;0,$A429&lt;H$6),AND(H$7&gt;0,$A429&gt;H$7)),0,MAX(0,ROUND((INDEX($E429:$G429,H$5)-SUMIFS(TF_Timer,TF_Tekniker,H$4,TF_Dato,$A429))*2,0)/2)))</f>
        <v/>
      </c>
      <c r="I429">
        <f>IF(OR(I$4="",$A429&gt;TODAY()),0,IF(OR(INDEX($B429:$D429,I$5)="F",AND(I$6&gt;0,$A429&lt;I$6),AND(I$7&gt;0,$A429&gt;I$7)),0,MAX(0,ROUND((INDEX($E429:$G429,I$5)-SUMIFS(TF_Timer,TF_Tekniker,I$4,TF_Dato,$A429))*2,0)/2)))</f>
        <v/>
      </c>
      <c r="J429">
        <f>IF(OR(J$4="",$A429&gt;TODAY()),0,IF(OR(INDEX($B429:$D429,J$5)="F",AND(J$6&gt;0,$A429&lt;J$6),AND(J$7&gt;0,$A429&gt;J$7)),0,MAX(0,ROUND((INDEX($E429:$G429,J$5)-SUMIFS(TF_Timer,TF_Tekniker,J$4,TF_Dato,$A429))*2,0)/2)))</f>
        <v/>
      </c>
      <c r="K429">
        <f>IF(OR(K$4="",$A429&gt;TODAY()),0,IF(OR(INDEX($B429:$D429,K$5)="F",AND(K$6&gt;0,$A429&lt;K$6),AND(K$7&gt;0,$A429&gt;K$7)),0,MAX(0,ROUND((INDEX($E429:$G429,K$5)-SUMIFS(TF_Timer,TF_Tekniker,K$4,TF_Dato,$A429))*2,0)/2)))</f>
        <v/>
      </c>
      <c r="L429">
        <f>IF(OR(L$4="",$A429&gt;TODAY()),0,IF(OR(INDEX($B429:$D429,L$5)="F",AND(L$6&gt;0,$A429&lt;L$6),AND(L$7&gt;0,$A429&gt;L$7)),0,MAX(0,ROUND((INDEX($E429:$G429,L$5)-SUMIFS(TF_Timer,TF_Tekniker,L$4,TF_Dato,$A429))*2,0)/2)))</f>
        <v/>
      </c>
      <c r="M429">
        <f>IF(OR(M$4="",$A429&gt;TODAY()),0,IF(OR(INDEX($B429:$D429,M$5)="F",AND(M$6&gt;0,$A429&lt;M$6),AND(M$7&gt;0,$A429&gt;M$7)),0,MAX(0,ROUND((INDEX($E429:$G429,M$5)-SUMIFS(TF_Timer,TF_Tekniker,M$4,TF_Dato,$A429))*2,0)/2)))</f>
        <v/>
      </c>
      <c r="N429">
        <f>IF(OR(N$4="",$A429&gt;TODAY()),0,IF(OR(INDEX($B429:$D429,N$5)="F",AND(N$6&gt;0,$A429&lt;N$6),AND(N$7&gt;0,$A429&gt;N$7)),0,MAX(0,ROUND((INDEX($E429:$G429,N$5)-SUMIFS(TF_Timer,TF_Tekniker,N$4,TF_Dato,$A429))*2,0)/2)))</f>
        <v/>
      </c>
      <c r="O429">
        <f>IF(OR(O$4="",$A429&gt;TODAY()),0,IF(OR(INDEX($B429:$D429,O$5)="F",AND(O$6&gt;0,$A429&lt;O$6),AND(O$7&gt;0,$A429&gt;O$7)),0,MAX(0,ROUND((INDEX($E429:$G429,O$5)-SUMIFS(TF_Timer,TF_Tekniker,O$4,TF_Dato,$A429))*2,0)/2)))</f>
        <v/>
      </c>
      <c r="P429">
        <f>IF(OR(P$4="",$A429&gt;TODAY()),0,IF(OR(INDEX($B429:$D429,P$5)="F",AND(P$6&gt;0,$A429&lt;P$6),AND(P$7&gt;0,$A429&gt;P$7)),0,MAX(0,ROUND((INDEX($E429:$G429,P$5)-SUMIFS(TF_Timer,TF_Tekniker,P$4,TF_Dato,$A429))*2,0)/2)))</f>
        <v/>
      </c>
      <c r="Q429">
        <f>IF(OR(Q$4="",$A429&gt;TODAY()),0,IF(OR(INDEX($B429:$D429,Q$5)="F",AND(Q$6&gt;0,$A429&lt;Q$6),AND(Q$7&gt;0,$A429&gt;Q$7)),0,MAX(0,ROUND((INDEX($E429:$G429,Q$5)-SUMIFS(TF_Timer,TF_Tekniker,Q$4,TF_Dato,$A429))*2,0)/2)))</f>
        <v/>
      </c>
      <c r="R429">
        <f>IF(OR(R$4="",$A429&gt;TODAY()),0,IF(OR(INDEX($B429:$D429,R$5)="F",AND(R$6&gt;0,$A429&lt;R$6),AND(R$7&gt;0,$A429&gt;R$7)),0,MAX(0,ROUND((INDEX($E429:$G429,R$5)-SUMIFS(TF_Timer,TF_Tekniker,R$4,TF_Dato,$A429))*2,0)/2)))</f>
        <v/>
      </c>
      <c r="S429">
        <f>IF(OR(S$4="",$A429&gt;TODAY()),0,IF(OR(INDEX($B429:$D429,S$5)="F",AND(S$6&gt;0,$A429&lt;S$6),AND(S$7&gt;0,$A429&gt;S$7)),0,MAX(0,ROUND((INDEX($E429:$G429,S$5)-SUMIFS(TF_Timer,TF_Tekniker,S$4,TF_Dato,$A429))*2,0)/2)))</f>
        <v/>
      </c>
      <c r="T429">
        <f>IF(OR(T$4="",$A429&gt;TODAY()),0,IF(OR(INDEX($B429:$D429,T$5)="F",AND(T$6&gt;0,$A429&lt;T$6),AND(T$7&gt;0,$A429&gt;T$7)),0,MAX(0,ROUND((INDEX($E429:$G429,T$5)-SUMIFS(TF_Timer,TF_Tekniker,T$4,TF_Dato,$A429))*2,0)/2)))</f>
        <v/>
      </c>
      <c r="U429">
        <f>IF(OR(U$4="",$A429&gt;TODAY()),0,IF(OR(INDEX($B429:$D429,U$5)="F",AND(U$6&gt;0,$A429&lt;U$6),AND(U$7&gt;0,$A429&gt;U$7)),0,MAX(0,ROUND((INDEX($E429:$G429,U$5)-SUMIFS(TF_Timer,TF_Tekniker,U$4,TF_Dato,$A429))*2,0)/2)))</f>
        <v/>
      </c>
      <c r="V429">
        <f>IF(OR(V$4="",$A429&gt;TODAY()),0,IF(OR(INDEX($B429:$D429,V$5)="F",AND(V$6&gt;0,$A429&lt;V$6),AND(V$7&gt;0,$A429&gt;V$7)),0,MAX(0,ROUND((INDEX($E429:$G429,V$5)-SUMIFS(TF_Timer,TF_Tekniker,V$4,TF_Dato,$A429))*2,0)/2)))</f>
        <v/>
      </c>
      <c r="W429">
        <f>IF(OR(W$4="",$A429&gt;TODAY()),0,IF(OR(INDEX($B429:$D429,W$5)="F",AND(W$6&gt;0,$A429&lt;W$6),AND(W$7&gt;0,$A429&gt;W$7)),0,MAX(0,ROUND((INDEX($E429:$G429,W$5)-SUMIFS(TF_Timer,TF_Tekniker,W$4,TF_Dato,$A429))*2,0)/2)))</f>
        <v/>
      </c>
      <c r="X429">
        <f>IF(OR(X$4="",$A429&gt;TODAY()),0,IF(OR(INDEX($B429:$D429,X$5)="F",AND(X$6&gt;0,$A429&lt;X$6),AND(X$7&gt;0,$A429&gt;X$7)),0,MAX(0,ROUND((INDEX($E429:$G429,X$5)-SUMIFS(TF_Timer,TF_Tekniker,X$4,TF_Dato,$A429))*2,0)/2)))</f>
        <v/>
      </c>
      <c r="Y429">
        <f>IF(OR(Y$4="",$A429&gt;TODAY()),0,IF(OR(INDEX($B429:$D429,Y$5)="F",AND(Y$6&gt;0,$A429&lt;Y$6),AND(Y$7&gt;0,$A429&gt;Y$7)),0,MAX(0,ROUND((INDEX($E429:$G429,Y$5)-SUMIFS(TF_Timer,TF_Tekniker,Y$4,TF_Dato,$A429))*2,0)/2)))</f>
        <v/>
      </c>
      <c r="Z429">
        <f>IF(OR(Z$4="",$A429&gt;TODAY()),0,IF(OR(INDEX($B429:$D429,Z$5)="F",AND(Z$6&gt;0,$A429&lt;Z$6),AND(Z$7&gt;0,$A429&gt;Z$7)),0,MAX(0,ROUND((INDEX($E429:$G429,Z$5)-SUMIFS(TF_Timer,TF_Tekniker,Z$4,TF_Dato,$A429))*2,0)/2)))</f>
        <v/>
      </c>
      <c r="AA429">
        <f>IF(OR(AA$4="",$A429&gt;TODAY()),0,IF(OR(INDEX($B429:$D429,AA$5)="F",AND(AA$6&gt;0,$A429&lt;AA$6),AND(AA$7&gt;0,$A429&gt;AA$7)),0,MAX(0,ROUND((INDEX($E429:$G429,AA$5)-SUMIFS(TF_Timer,TF_Tekniker,AA$4,TF_Dato,$A429))*2,0)/2)))</f>
        <v/>
      </c>
      <c r="AB429">
        <f>IF(OR(AB$4="",$A429&gt;TODAY()),0,IF(OR(INDEX($B429:$D429,AB$5)="F",AND(AB$6&gt;0,$A429&lt;AB$6),AND(AB$7&gt;0,$A429&gt;AB$7)),0,MAX(0,ROUND((INDEX($E429:$G429,AB$5)-SUMIFS(TF_Timer,TF_Tekniker,AB$4,TF_Dato,$A429))*2,0)/2)))</f>
        <v/>
      </c>
      <c r="AC429">
        <f>IF(OR(AC$4="",$A429&gt;TODAY()),0,IF(OR(INDEX($B429:$D429,AC$5)="F",AND(AC$6&gt;0,$A429&lt;AC$6),AND(AC$7&gt;0,$A429&gt;AC$7)),0,MAX(0,ROUND((INDEX($E429:$G429,AC$5)-SUMIFS(TF_Timer,TF_Tekniker,AC$4,TF_Dato,$A429))*2,0)/2)))</f>
        <v/>
      </c>
      <c r="AD429">
        <f>IF(OR(AD$4="",$A429&gt;TODAY()),0,IF(OR(INDEX($B429:$D429,AD$5)="F",AND(AD$6&gt;0,$A429&lt;AD$6),AND(AD$7&gt;0,$A429&gt;AD$7)),0,MAX(0,ROUND((INDEX($E429:$G429,AD$5)-SUMIFS(TF_Timer,TF_Tekniker,AD$4,TF_Dato,$A429))*2,0)/2)))</f>
        <v/>
      </c>
      <c r="AE429">
        <f>IF(OR(AE$4="",$A429&gt;TODAY()),0,IF(OR(INDEX($B429:$D429,AE$5)="F",AND(AE$6&gt;0,$A429&lt;AE$6),AND(AE$7&gt;0,$A429&gt;AE$7)),0,MAX(0,ROUND((INDEX($E429:$G429,AE$5)-SUMIFS(TF_Timer,TF_Tekniker,AE$4,TF_Dato,$A429))*2,0)/2)))</f>
        <v/>
      </c>
      <c r="AF429">
        <f>IF(OR(AF$4="",$A429&gt;TODAY()),0,IF(OR(INDEX($B429:$D429,AF$5)="F",AND(AF$6&gt;0,$A429&lt;AF$6),AND(AF$7&gt;0,$A429&gt;AF$7)),0,MAX(0,ROUND((INDEX($E429:$G429,AF$5)-SUMIFS(TF_Timer,TF_Tekniker,AF$4,TF_Dato,$A429))*2,0)/2)))</f>
        <v/>
      </c>
      <c r="AG429">
        <f>IF(OR(AG$4="",$A429&gt;TODAY()),0,IF(OR(INDEX($B429:$D429,AG$5)="F",AND(AG$6&gt;0,$A429&lt;AG$6),AND(AG$7&gt;0,$A429&gt;AG$7)),0,MAX(0,ROUND((INDEX($E429:$G429,AG$5)-SUMIFS(TF_Timer,TF_Tekniker,AG$4,TF_Dato,$A429))*2,0)/2)))</f>
        <v/>
      </c>
      <c r="AH429">
        <f>IF(OR(AH$4="",$A429&gt;TODAY()),0,IF(OR(INDEX($B429:$D429,AH$5)="F",AND(AH$6&gt;0,$A429&lt;AH$6),AND(AH$7&gt;0,$A429&gt;AH$7)),0,MAX(0,ROUND((INDEX($E429:$G429,AH$5)-SUMIFS(TF_Timer,TF_Tekniker,AH$4,TF_Dato,$A429))*2,0)/2)))</f>
        <v/>
      </c>
      <c r="AI429">
        <f>IF(OR(AI$4="",$A429&gt;TODAY()),0,IF(OR(INDEX($B429:$D429,AI$5)="F",AND(AI$6&gt;0,$A429&lt;AI$6),AND(AI$7&gt;0,$A429&gt;AI$7)),0,MAX(0,ROUND((INDEX($E429:$G429,AI$5)-SUMIFS(TF_Timer,TF_Tekniker,AI$4,TF_Dato,$A429))*2,0)/2)))</f>
        <v/>
      </c>
      <c r="AJ429">
        <f>IF(OR(AJ$4="",$A429&gt;TODAY()),0,IF(OR(INDEX($B429:$D429,AJ$5)="F",AND(AJ$6&gt;0,$A429&lt;AJ$6),AND(AJ$7&gt;0,$A429&gt;AJ$7)),0,MAX(0,ROUND((INDEX($E429:$G429,AJ$5)-SUMIFS(TF_Timer,TF_Tekniker,AJ$4,TF_Dato,$A429))*2,0)/2)))</f>
        <v/>
      </c>
      <c r="AK429">
        <f>IF(OR(AK$4="",$A429&gt;TODAY()),0,IF(OR(INDEX($B429:$D429,AK$5)="F",AND(AK$6&gt;0,$A429&lt;AK$6),AND(AK$7&gt;0,$A429&gt;AK$7)),0,MAX(0,ROUND((INDEX($E429:$G429,AK$5)-SUMIFS(TF_Timer,TF_Tekniker,AK$4,TF_Dato,$A429))*2,0)/2)))</f>
        <v/>
      </c>
      <c r="AL429">
        <f>IF(OR(AL$4="",$A429&gt;TODAY()),0,IF(OR(INDEX($B429:$D429,AL$5)="F",AND(AL$6&gt;0,$A429&lt;AL$6),AND(AL$7&gt;0,$A429&gt;AL$7)),0,MAX(0,ROUND((INDEX($E429:$G429,AL$5)-SUMIFS(TF_Timer,TF_Tekniker,AL$4,TF_Dato,$A429))*2,0)/2)))</f>
        <v/>
      </c>
      <c r="AM429">
        <f>IF(OR(AM$4="",$A429&gt;TODAY()),0,IF(OR(INDEX($B429:$D429,AM$5)="F",AND(AM$6&gt;0,$A429&lt;AM$6),AND(AM$7&gt;0,$A429&gt;AM$7)),0,MAX(0,ROUND((INDEX($E429:$G429,AM$5)-SUMIFS(TF_Timer,TF_Tekniker,AM$4,TF_Dato,$A429))*2,0)/2)))</f>
        <v/>
      </c>
      <c r="AN429">
        <f>IF(OR(AN$4="",$A429&gt;TODAY()),0,IF(OR(INDEX($B429:$D429,AN$5)="F",AND(AN$6&gt;0,$A429&lt;AN$6),AND(AN$7&gt;0,$A429&gt;AN$7)),0,MAX(0,ROUND((INDEX($E429:$G429,AN$5)-SUMIFS(TF_Timer,TF_Tekniker,AN$4,TF_Dato,$A429))*2,0)/2)))</f>
        <v/>
      </c>
      <c r="AO429">
        <f>IF(OR(AO$4="",$A429&gt;TODAY()),0,IF(OR(INDEX($B429:$D429,AO$5)="F",AND(AO$6&gt;0,$A429&lt;AO$6),AND(AO$7&gt;0,$A429&gt;AO$7)),0,MAX(0,ROUND((INDEX($E429:$G429,AO$5)-SUMIFS(TF_Timer,TF_Tekniker,AO$4,TF_Dato,$A429))*2,0)/2)))</f>
        <v/>
      </c>
      <c r="AP429">
        <f>IF(OR(AP$4="",$A429&gt;TODAY()),0,IF(OR(INDEX($B429:$D429,AP$5)="F",AND(AP$6&gt;0,$A429&lt;AP$6),AND(AP$7&gt;0,$A429&gt;AP$7)),0,MAX(0,ROUND((INDEX($E429:$G429,AP$5)-SUMIFS(TF_Timer,TF_Tekniker,AP$4,TF_Dato,$A429))*2,0)/2)))</f>
        <v/>
      </c>
      <c r="AQ429">
        <f>IF(OR(AQ$4="",$A429&gt;TODAY()),0,IF(OR(INDEX($B429:$D429,AQ$5)="F",AND(AQ$6&gt;0,$A429&lt;AQ$6),AND(AQ$7&gt;0,$A429&gt;AQ$7)),0,MAX(0,ROUND((INDEX($E429:$G429,AQ$5)-SUMIFS(TF_Timer,TF_Tekniker,AQ$4,TF_Dato,$A429))*2,0)/2)))</f>
        <v/>
      </c>
      <c r="AR429">
        <f>IF(OR(AR$4="",$A429&gt;TODAY()),0,IF(OR(INDEX($B429:$D429,AR$5)="F",AND(AR$6&gt;0,$A429&lt;AR$6),AND(AR$7&gt;0,$A429&gt;AR$7)),0,MAX(0,ROUND((INDEX($E429:$G429,AR$5)-SUMIFS(TF_Timer,TF_Tekniker,AR$4,TF_Dato,$A429))*2,0)/2)))</f>
        <v/>
      </c>
      <c r="AS429">
        <f>IF(OR(AS$4="",$A429&gt;TODAY()),0,IF(OR(INDEX($B429:$D429,AS$5)="F",AND(AS$6&gt;0,$A429&lt;AS$6),AND(AS$7&gt;0,$A429&gt;AS$7)),0,MAX(0,ROUND((INDEX($E429:$G429,AS$5)-SUMIFS(TF_Timer,TF_Tekniker,AS$4,TF_Dato,$A429))*2,0)/2)))</f>
        <v/>
      </c>
      <c r="AT429">
        <f>IF(OR(AT$4="",$A429&gt;TODAY()),0,IF(OR(INDEX($B429:$D429,AT$5)="F",AND(AT$6&gt;0,$A429&lt;AT$6),AND(AT$7&gt;0,$A429&gt;AT$7)),0,MAX(0,ROUND((INDEX($E429:$G429,AT$5)-SUMIFS(TF_Timer,TF_Tekniker,AT$4,TF_Dato,$A429))*2,0)/2)))</f>
        <v/>
      </c>
      <c r="AU429">
        <f>IF(OR(AU$4="",$A429&gt;TODAY()),0,IF(OR(INDEX($B429:$D429,AU$5)="F",AND(AU$6&gt;0,$A429&lt;AU$6),AND(AU$7&gt;0,$A429&gt;AU$7)),0,MAX(0,ROUND((INDEX($E429:$G429,AU$5)-SUMIFS(TF_Timer,TF_Tekniker,AU$4,TF_Dato,$A429))*2,0)/2)))</f>
        <v/>
      </c>
      <c r="AV429">
        <f>IF(OR(AV$4="",$A429&gt;TODAY()),0,IF(OR(INDEX($B429:$D429,AV$5)="F",AND(AV$6&gt;0,$A429&lt;AV$6),AND(AV$7&gt;0,$A429&gt;AV$7)),0,MAX(0,ROUND((INDEX($E429:$G429,AV$5)-SUMIFS(TF_Timer,TF_Tekniker,AV$4,TF_Dato,$A429))*2,0)/2)))</f>
        <v/>
      </c>
      <c r="AW429">
        <f>IF(OR(AW$4="",$A429&gt;TODAY()),0,IF(OR(INDEX($B429:$D429,AW$5)="F",AND(AW$6&gt;0,$A429&lt;AW$6),AND(AW$7&gt;0,$A429&gt;AW$7)),0,MAX(0,ROUND((INDEX($E429:$G429,AW$5)-SUMIFS(TF_Timer,TF_Tekniker,AW$4,TF_Dato,$A429))*2,0)/2)))</f>
        <v/>
      </c>
      <c r="AX429">
        <f>IF(OR(AX$4="",$A429&gt;TODAY()),0,IF(OR(INDEX($B429:$D429,AX$5)="F",AND(AX$6&gt;0,$A429&lt;AX$6),AND(AX$7&gt;0,$A429&gt;AX$7)),0,MAX(0,ROUND((INDEX($E429:$G429,AX$5)-SUMIFS(TF_Timer,TF_Tekniker,AX$4,TF_Dato,$A429))*2,0)/2)))</f>
        <v/>
      </c>
      <c r="AY429">
        <f>IF(OR(AY$4="",$A429&gt;TODAY()),0,IF(OR(INDEX($B429:$D429,AY$5)="F",AND(AY$6&gt;0,$A429&lt;AY$6),AND(AY$7&gt;0,$A429&gt;AY$7)),0,MAX(0,ROUND((INDEX($E429:$G429,AY$5)-SUMIFS(TF_Timer,TF_Tekniker,AY$4,TF_Dato,$A429))*2,0)/2)))</f>
        <v/>
      </c>
      <c r="AZ429">
        <f>IF(OR(AZ$4="",$A429&gt;TODAY()),0,IF(OR(INDEX($B429:$D429,AZ$5)="F",AND(AZ$6&gt;0,$A429&lt;AZ$6),AND(AZ$7&gt;0,$A429&gt;AZ$7)),0,MAX(0,ROUND((INDEX($E429:$G429,AZ$5)-SUMIFS(TF_Timer,TF_Tekniker,AZ$4,TF_Dato,$A429))*2,0)/2)))</f>
        <v/>
      </c>
      <c r="BA429">
        <f>IF(OR(BA$4="",$A429&gt;TODAY()),0,IF(OR(INDEX($B429:$D429,BA$5)="F",AND(BA$6&gt;0,$A429&lt;BA$6),AND(BA$7&gt;0,$A429&gt;BA$7)),0,MAX(0,ROUND((INDEX($E429:$G429,BA$5)-SUMIFS(TF_Timer,TF_Tekniker,BA$4,TF_Dato,$A429))*2,0)/2)))</f>
        <v/>
      </c>
      <c r="BB429">
        <f>IF(OR(BB$4="",$A429&gt;TODAY()),0,IF(OR(INDEX($B429:$D429,BB$5)="F",AND(BB$6&gt;0,$A429&lt;BB$6),AND(BB$7&gt;0,$A429&gt;BB$7)),0,MAX(0,ROUND((INDEX($E429:$G429,BB$5)-SUMIFS(TF_Timer,TF_Tekniker,BB$4,TF_Dato,$A429))*2,0)/2)))</f>
        <v/>
      </c>
      <c r="BC429">
        <f>IF(OR(BC$4="",$A429&gt;TODAY()),0,IF(OR(INDEX($B429:$D429,BC$5)="F",AND(BC$6&gt;0,$A429&lt;BC$6),AND(BC$7&gt;0,$A429&gt;BC$7)),0,MAX(0,ROUND((INDEX($E429:$G429,BC$5)-SUMIFS(TF_Timer,TF_Tekniker,BC$4,TF_Dato,$A429))*2,0)/2)))</f>
        <v/>
      </c>
      <c r="BD429">
        <f>IF(OR(BD$4="",$A429&gt;TODAY()),0,IF(OR(INDEX($B429:$D429,BD$5)="F",AND(BD$6&gt;0,$A429&lt;BD$6),AND(BD$7&gt;0,$A429&gt;BD$7)),0,MAX(0,ROUND((INDEX($E429:$G429,BD$5)-SUMIFS(TF_Timer,TF_Tekniker,BD$4,TF_Dato,$A429))*2,0)/2)))</f>
        <v/>
      </c>
      <c r="BE429">
        <f>IF(OR(BE$4="",$A429&gt;TODAY()),0,IF(OR(INDEX($B429:$D429,BE$5)="F",AND(BE$6&gt;0,$A429&lt;BE$6),AND(BE$7&gt;0,$A429&gt;BE$7)),0,MAX(0,ROUND((INDEX($E429:$G429,BE$5)-SUMIFS(TF_Timer,TF_Tekniker,BE$4,TF_Dato,$A429))*2,0)/2)))</f>
        <v/>
      </c>
      <c r="BF429">
        <f>IF(OR(BF$4="",$A429&gt;TODAY()),0,IF(OR(INDEX($B429:$D429,BF$5)="F",AND(BF$6&gt;0,$A429&lt;BF$6),AND(BF$7&gt;0,$A429&gt;BF$7)),0,MAX(0,ROUND((INDEX($E429:$G429,BF$5)-SUMIFS(TF_Timer,TF_Tekniker,BF$4,TF_Dato,$A429))*2,0)/2)))</f>
        <v/>
      </c>
      <c r="BG429">
        <f>IF(OR(BG$4="",$A429&gt;TODAY()),0,IF(OR(INDEX($B429:$D429,BG$5)="F",AND(BG$6&gt;0,$A429&lt;BG$6),AND(BG$7&gt;0,$A429&gt;BG$7)),0,MAX(0,ROUND((INDEX($E429:$G429,BG$5)-SUMIFS(TF_Timer,TF_Tekniker,BG$4,TF_Dato,$A429))*2,0)/2)))</f>
        <v/>
      </c>
      <c r="BH429">
        <f>IF(OR(BH$4="",$A429&gt;TODAY()),0,IF(OR(INDEX($B429:$D429,BH$5)="F",AND(BH$6&gt;0,$A429&lt;BH$6),AND(BH$7&gt;0,$A429&gt;BH$7)),0,MAX(0,ROUND((INDEX($E429:$G429,BH$5)-SUMIFS(TF_Timer,TF_Tekniker,BH$4,TF_Dato,$A429))*2,0)/2)))</f>
        <v/>
      </c>
      <c r="BI429">
        <f>IF(OR(BI$4="",$A429&gt;TODAY()),0,IF(OR(INDEX($B429:$D429,BI$5)="F",AND(BI$6&gt;0,$A429&lt;BI$6),AND(BI$7&gt;0,$A429&gt;BI$7)),0,MAX(0,ROUND((INDEX($E429:$G429,BI$5)-SUMIFS(TF_Timer,TF_Tekniker,BI$4,TF_Dato,$A429))*2,0)/2)))</f>
        <v/>
      </c>
    </row>
    <row r="430">
      <c r="A430" s="64">
        <f>A429+1</f>
        <v/>
      </c>
      <c r="B430">
        <f>IF(MOD($A430-INDEX(SkiftStart,1),Syklus)&lt;DagK,"K",IF(MOD($A430-INDEX(SkiftStart,1),Syklus)&lt;DagK+DagH,"H",IF(MOD($A430-INDEX(SkiftStart,1),Syklus)&lt;DagK+DagH+DagD,"D","F")))</f>
        <v/>
      </c>
      <c r="C430">
        <f>IF(MOD($A430-INDEX(SkiftStart,2),Syklus)&lt;DagK,"K",IF(MOD($A430-INDEX(SkiftStart,2),Syklus)&lt;DagK+DagH,"H",IF(MOD($A430-INDEX(SkiftStart,2),Syklus)&lt;DagK+DagH+DagD,"D","F")))</f>
        <v/>
      </c>
      <c r="D430">
        <f>IF(MOD($A430-INDEX(SkiftStart,3),Syklus)&lt;DagK,"K",IF(MOD($A430-INDEX(SkiftStart,3),Syklus)&lt;DagK+DagH,"H",IF(MOD($A430-INDEX(SkiftStart,3),Syklus)&lt;DagK+DagH+DagD,"D","F")))</f>
        <v/>
      </c>
      <c r="E430">
        <f>IF(B430="F",0,IF(WEEKDAY($A430,2)=5,INDEX(TimerFr,MATCH(B430,FaseKode,0)),INDEX(TimerMT,MATCH(B430,FaseKode,0))))</f>
        <v/>
      </c>
      <c r="F430">
        <f>IF(C430="F",0,IF(WEEKDAY($A430,2)=5,INDEX(TimerFr,MATCH(C430,FaseKode,0)),INDEX(TimerMT,MATCH(C430,FaseKode,0))))</f>
        <v/>
      </c>
      <c r="G430">
        <f>IF(D430="F",0,IF(WEEKDAY($A430,2)=5,INDEX(TimerFr,MATCH(D430,FaseKode,0)),INDEX(TimerMT,MATCH(D430,FaseKode,0))))</f>
        <v/>
      </c>
      <c r="H430">
        <f>IF(OR(H$4="",$A430&gt;TODAY()),0,IF(OR(INDEX($B430:$D430,H$5)="F",AND(H$6&gt;0,$A430&lt;H$6),AND(H$7&gt;0,$A430&gt;H$7)),0,MAX(0,ROUND((INDEX($E430:$G430,H$5)-SUMIFS(TF_Timer,TF_Tekniker,H$4,TF_Dato,$A430))*2,0)/2)))</f>
        <v/>
      </c>
      <c r="I430">
        <f>IF(OR(I$4="",$A430&gt;TODAY()),0,IF(OR(INDEX($B430:$D430,I$5)="F",AND(I$6&gt;0,$A430&lt;I$6),AND(I$7&gt;0,$A430&gt;I$7)),0,MAX(0,ROUND((INDEX($E430:$G430,I$5)-SUMIFS(TF_Timer,TF_Tekniker,I$4,TF_Dato,$A430))*2,0)/2)))</f>
        <v/>
      </c>
      <c r="J430">
        <f>IF(OR(J$4="",$A430&gt;TODAY()),0,IF(OR(INDEX($B430:$D430,J$5)="F",AND(J$6&gt;0,$A430&lt;J$6),AND(J$7&gt;0,$A430&gt;J$7)),0,MAX(0,ROUND((INDEX($E430:$G430,J$5)-SUMIFS(TF_Timer,TF_Tekniker,J$4,TF_Dato,$A430))*2,0)/2)))</f>
        <v/>
      </c>
      <c r="K430">
        <f>IF(OR(K$4="",$A430&gt;TODAY()),0,IF(OR(INDEX($B430:$D430,K$5)="F",AND(K$6&gt;0,$A430&lt;K$6),AND(K$7&gt;0,$A430&gt;K$7)),0,MAX(0,ROUND((INDEX($E430:$G430,K$5)-SUMIFS(TF_Timer,TF_Tekniker,K$4,TF_Dato,$A430))*2,0)/2)))</f>
        <v/>
      </c>
      <c r="L430">
        <f>IF(OR(L$4="",$A430&gt;TODAY()),0,IF(OR(INDEX($B430:$D430,L$5)="F",AND(L$6&gt;0,$A430&lt;L$6),AND(L$7&gt;0,$A430&gt;L$7)),0,MAX(0,ROUND((INDEX($E430:$G430,L$5)-SUMIFS(TF_Timer,TF_Tekniker,L$4,TF_Dato,$A430))*2,0)/2)))</f>
        <v/>
      </c>
      <c r="M430">
        <f>IF(OR(M$4="",$A430&gt;TODAY()),0,IF(OR(INDEX($B430:$D430,M$5)="F",AND(M$6&gt;0,$A430&lt;M$6),AND(M$7&gt;0,$A430&gt;M$7)),0,MAX(0,ROUND((INDEX($E430:$G430,M$5)-SUMIFS(TF_Timer,TF_Tekniker,M$4,TF_Dato,$A430))*2,0)/2)))</f>
        <v/>
      </c>
      <c r="N430">
        <f>IF(OR(N$4="",$A430&gt;TODAY()),0,IF(OR(INDEX($B430:$D430,N$5)="F",AND(N$6&gt;0,$A430&lt;N$6),AND(N$7&gt;0,$A430&gt;N$7)),0,MAX(0,ROUND((INDEX($E430:$G430,N$5)-SUMIFS(TF_Timer,TF_Tekniker,N$4,TF_Dato,$A430))*2,0)/2)))</f>
        <v/>
      </c>
      <c r="O430">
        <f>IF(OR(O$4="",$A430&gt;TODAY()),0,IF(OR(INDEX($B430:$D430,O$5)="F",AND(O$6&gt;0,$A430&lt;O$6),AND(O$7&gt;0,$A430&gt;O$7)),0,MAX(0,ROUND((INDEX($E430:$G430,O$5)-SUMIFS(TF_Timer,TF_Tekniker,O$4,TF_Dato,$A430))*2,0)/2)))</f>
        <v/>
      </c>
      <c r="P430">
        <f>IF(OR(P$4="",$A430&gt;TODAY()),0,IF(OR(INDEX($B430:$D430,P$5)="F",AND(P$6&gt;0,$A430&lt;P$6),AND(P$7&gt;0,$A430&gt;P$7)),0,MAX(0,ROUND((INDEX($E430:$G430,P$5)-SUMIFS(TF_Timer,TF_Tekniker,P$4,TF_Dato,$A430))*2,0)/2)))</f>
        <v/>
      </c>
      <c r="Q430">
        <f>IF(OR(Q$4="",$A430&gt;TODAY()),0,IF(OR(INDEX($B430:$D430,Q$5)="F",AND(Q$6&gt;0,$A430&lt;Q$6),AND(Q$7&gt;0,$A430&gt;Q$7)),0,MAX(0,ROUND((INDEX($E430:$G430,Q$5)-SUMIFS(TF_Timer,TF_Tekniker,Q$4,TF_Dato,$A430))*2,0)/2)))</f>
        <v/>
      </c>
      <c r="R430">
        <f>IF(OR(R$4="",$A430&gt;TODAY()),0,IF(OR(INDEX($B430:$D430,R$5)="F",AND(R$6&gt;0,$A430&lt;R$6),AND(R$7&gt;0,$A430&gt;R$7)),0,MAX(0,ROUND((INDEX($E430:$G430,R$5)-SUMIFS(TF_Timer,TF_Tekniker,R$4,TF_Dato,$A430))*2,0)/2)))</f>
        <v/>
      </c>
      <c r="S430">
        <f>IF(OR(S$4="",$A430&gt;TODAY()),0,IF(OR(INDEX($B430:$D430,S$5)="F",AND(S$6&gt;0,$A430&lt;S$6),AND(S$7&gt;0,$A430&gt;S$7)),0,MAX(0,ROUND((INDEX($E430:$G430,S$5)-SUMIFS(TF_Timer,TF_Tekniker,S$4,TF_Dato,$A430))*2,0)/2)))</f>
        <v/>
      </c>
      <c r="T430">
        <f>IF(OR(T$4="",$A430&gt;TODAY()),0,IF(OR(INDEX($B430:$D430,T$5)="F",AND(T$6&gt;0,$A430&lt;T$6),AND(T$7&gt;0,$A430&gt;T$7)),0,MAX(0,ROUND((INDEX($E430:$G430,T$5)-SUMIFS(TF_Timer,TF_Tekniker,T$4,TF_Dato,$A430))*2,0)/2)))</f>
        <v/>
      </c>
      <c r="U430">
        <f>IF(OR(U$4="",$A430&gt;TODAY()),0,IF(OR(INDEX($B430:$D430,U$5)="F",AND(U$6&gt;0,$A430&lt;U$6),AND(U$7&gt;0,$A430&gt;U$7)),0,MAX(0,ROUND((INDEX($E430:$G430,U$5)-SUMIFS(TF_Timer,TF_Tekniker,U$4,TF_Dato,$A430))*2,0)/2)))</f>
        <v/>
      </c>
      <c r="V430">
        <f>IF(OR(V$4="",$A430&gt;TODAY()),0,IF(OR(INDEX($B430:$D430,V$5)="F",AND(V$6&gt;0,$A430&lt;V$6),AND(V$7&gt;0,$A430&gt;V$7)),0,MAX(0,ROUND((INDEX($E430:$G430,V$5)-SUMIFS(TF_Timer,TF_Tekniker,V$4,TF_Dato,$A430))*2,0)/2)))</f>
        <v/>
      </c>
      <c r="W430">
        <f>IF(OR(W$4="",$A430&gt;TODAY()),0,IF(OR(INDEX($B430:$D430,W$5)="F",AND(W$6&gt;0,$A430&lt;W$6),AND(W$7&gt;0,$A430&gt;W$7)),0,MAX(0,ROUND((INDEX($E430:$G430,W$5)-SUMIFS(TF_Timer,TF_Tekniker,W$4,TF_Dato,$A430))*2,0)/2)))</f>
        <v/>
      </c>
      <c r="X430">
        <f>IF(OR(X$4="",$A430&gt;TODAY()),0,IF(OR(INDEX($B430:$D430,X$5)="F",AND(X$6&gt;0,$A430&lt;X$6),AND(X$7&gt;0,$A430&gt;X$7)),0,MAX(0,ROUND((INDEX($E430:$G430,X$5)-SUMIFS(TF_Timer,TF_Tekniker,X$4,TF_Dato,$A430))*2,0)/2)))</f>
        <v/>
      </c>
      <c r="Y430">
        <f>IF(OR(Y$4="",$A430&gt;TODAY()),0,IF(OR(INDEX($B430:$D430,Y$5)="F",AND(Y$6&gt;0,$A430&lt;Y$6),AND(Y$7&gt;0,$A430&gt;Y$7)),0,MAX(0,ROUND((INDEX($E430:$G430,Y$5)-SUMIFS(TF_Timer,TF_Tekniker,Y$4,TF_Dato,$A430))*2,0)/2)))</f>
        <v/>
      </c>
      <c r="Z430">
        <f>IF(OR(Z$4="",$A430&gt;TODAY()),0,IF(OR(INDEX($B430:$D430,Z$5)="F",AND(Z$6&gt;0,$A430&lt;Z$6),AND(Z$7&gt;0,$A430&gt;Z$7)),0,MAX(0,ROUND((INDEX($E430:$G430,Z$5)-SUMIFS(TF_Timer,TF_Tekniker,Z$4,TF_Dato,$A430))*2,0)/2)))</f>
        <v/>
      </c>
      <c r="AA430">
        <f>IF(OR(AA$4="",$A430&gt;TODAY()),0,IF(OR(INDEX($B430:$D430,AA$5)="F",AND(AA$6&gt;0,$A430&lt;AA$6),AND(AA$7&gt;0,$A430&gt;AA$7)),0,MAX(0,ROUND((INDEX($E430:$G430,AA$5)-SUMIFS(TF_Timer,TF_Tekniker,AA$4,TF_Dato,$A430))*2,0)/2)))</f>
        <v/>
      </c>
      <c r="AB430">
        <f>IF(OR(AB$4="",$A430&gt;TODAY()),0,IF(OR(INDEX($B430:$D430,AB$5)="F",AND(AB$6&gt;0,$A430&lt;AB$6),AND(AB$7&gt;0,$A430&gt;AB$7)),0,MAX(0,ROUND((INDEX($E430:$G430,AB$5)-SUMIFS(TF_Timer,TF_Tekniker,AB$4,TF_Dato,$A430))*2,0)/2)))</f>
        <v/>
      </c>
      <c r="AC430">
        <f>IF(OR(AC$4="",$A430&gt;TODAY()),0,IF(OR(INDEX($B430:$D430,AC$5)="F",AND(AC$6&gt;0,$A430&lt;AC$6),AND(AC$7&gt;0,$A430&gt;AC$7)),0,MAX(0,ROUND((INDEX($E430:$G430,AC$5)-SUMIFS(TF_Timer,TF_Tekniker,AC$4,TF_Dato,$A430))*2,0)/2)))</f>
        <v/>
      </c>
      <c r="AD430">
        <f>IF(OR(AD$4="",$A430&gt;TODAY()),0,IF(OR(INDEX($B430:$D430,AD$5)="F",AND(AD$6&gt;0,$A430&lt;AD$6),AND(AD$7&gt;0,$A430&gt;AD$7)),0,MAX(0,ROUND((INDEX($E430:$G430,AD$5)-SUMIFS(TF_Timer,TF_Tekniker,AD$4,TF_Dato,$A430))*2,0)/2)))</f>
        <v/>
      </c>
      <c r="AE430">
        <f>IF(OR(AE$4="",$A430&gt;TODAY()),0,IF(OR(INDEX($B430:$D430,AE$5)="F",AND(AE$6&gt;0,$A430&lt;AE$6),AND(AE$7&gt;0,$A430&gt;AE$7)),0,MAX(0,ROUND((INDEX($E430:$G430,AE$5)-SUMIFS(TF_Timer,TF_Tekniker,AE$4,TF_Dato,$A430))*2,0)/2)))</f>
        <v/>
      </c>
      <c r="AF430">
        <f>IF(OR(AF$4="",$A430&gt;TODAY()),0,IF(OR(INDEX($B430:$D430,AF$5)="F",AND(AF$6&gt;0,$A430&lt;AF$6),AND(AF$7&gt;0,$A430&gt;AF$7)),0,MAX(0,ROUND((INDEX($E430:$G430,AF$5)-SUMIFS(TF_Timer,TF_Tekniker,AF$4,TF_Dato,$A430))*2,0)/2)))</f>
        <v/>
      </c>
      <c r="AG430">
        <f>IF(OR(AG$4="",$A430&gt;TODAY()),0,IF(OR(INDEX($B430:$D430,AG$5)="F",AND(AG$6&gt;0,$A430&lt;AG$6),AND(AG$7&gt;0,$A430&gt;AG$7)),0,MAX(0,ROUND((INDEX($E430:$G430,AG$5)-SUMIFS(TF_Timer,TF_Tekniker,AG$4,TF_Dato,$A430))*2,0)/2)))</f>
        <v/>
      </c>
      <c r="AH430">
        <f>IF(OR(AH$4="",$A430&gt;TODAY()),0,IF(OR(INDEX($B430:$D430,AH$5)="F",AND(AH$6&gt;0,$A430&lt;AH$6),AND(AH$7&gt;0,$A430&gt;AH$7)),0,MAX(0,ROUND((INDEX($E430:$G430,AH$5)-SUMIFS(TF_Timer,TF_Tekniker,AH$4,TF_Dato,$A430))*2,0)/2)))</f>
        <v/>
      </c>
      <c r="AI430">
        <f>IF(OR(AI$4="",$A430&gt;TODAY()),0,IF(OR(INDEX($B430:$D430,AI$5)="F",AND(AI$6&gt;0,$A430&lt;AI$6),AND(AI$7&gt;0,$A430&gt;AI$7)),0,MAX(0,ROUND((INDEX($E430:$G430,AI$5)-SUMIFS(TF_Timer,TF_Tekniker,AI$4,TF_Dato,$A430))*2,0)/2)))</f>
        <v/>
      </c>
      <c r="AJ430">
        <f>IF(OR(AJ$4="",$A430&gt;TODAY()),0,IF(OR(INDEX($B430:$D430,AJ$5)="F",AND(AJ$6&gt;0,$A430&lt;AJ$6),AND(AJ$7&gt;0,$A430&gt;AJ$7)),0,MAX(0,ROUND((INDEX($E430:$G430,AJ$5)-SUMIFS(TF_Timer,TF_Tekniker,AJ$4,TF_Dato,$A430))*2,0)/2)))</f>
        <v/>
      </c>
      <c r="AK430">
        <f>IF(OR(AK$4="",$A430&gt;TODAY()),0,IF(OR(INDEX($B430:$D430,AK$5)="F",AND(AK$6&gt;0,$A430&lt;AK$6),AND(AK$7&gt;0,$A430&gt;AK$7)),0,MAX(0,ROUND((INDEX($E430:$G430,AK$5)-SUMIFS(TF_Timer,TF_Tekniker,AK$4,TF_Dato,$A430))*2,0)/2)))</f>
        <v/>
      </c>
      <c r="AL430">
        <f>IF(OR(AL$4="",$A430&gt;TODAY()),0,IF(OR(INDEX($B430:$D430,AL$5)="F",AND(AL$6&gt;0,$A430&lt;AL$6),AND(AL$7&gt;0,$A430&gt;AL$7)),0,MAX(0,ROUND((INDEX($E430:$G430,AL$5)-SUMIFS(TF_Timer,TF_Tekniker,AL$4,TF_Dato,$A430))*2,0)/2)))</f>
        <v/>
      </c>
      <c r="AM430">
        <f>IF(OR(AM$4="",$A430&gt;TODAY()),0,IF(OR(INDEX($B430:$D430,AM$5)="F",AND(AM$6&gt;0,$A430&lt;AM$6),AND(AM$7&gt;0,$A430&gt;AM$7)),0,MAX(0,ROUND((INDEX($E430:$G430,AM$5)-SUMIFS(TF_Timer,TF_Tekniker,AM$4,TF_Dato,$A430))*2,0)/2)))</f>
        <v/>
      </c>
      <c r="AN430">
        <f>IF(OR(AN$4="",$A430&gt;TODAY()),0,IF(OR(INDEX($B430:$D430,AN$5)="F",AND(AN$6&gt;0,$A430&lt;AN$6),AND(AN$7&gt;0,$A430&gt;AN$7)),0,MAX(0,ROUND((INDEX($E430:$G430,AN$5)-SUMIFS(TF_Timer,TF_Tekniker,AN$4,TF_Dato,$A430))*2,0)/2)))</f>
        <v/>
      </c>
      <c r="AO430">
        <f>IF(OR(AO$4="",$A430&gt;TODAY()),0,IF(OR(INDEX($B430:$D430,AO$5)="F",AND(AO$6&gt;0,$A430&lt;AO$6),AND(AO$7&gt;0,$A430&gt;AO$7)),0,MAX(0,ROUND((INDEX($E430:$G430,AO$5)-SUMIFS(TF_Timer,TF_Tekniker,AO$4,TF_Dato,$A430))*2,0)/2)))</f>
        <v/>
      </c>
      <c r="AP430">
        <f>IF(OR(AP$4="",$A430&gt;TODAY()),0,IF(OR(INDEX($B430:$D430,AP$5)="F",AND(AP$6&gt;0,$A430&lt;AP$6),AND(AP$7&gt;0,$A430&gt;AP$7)),0,MAX(0,ROUND((INDEX($E430:$G430,AP$5)-SUMIFS(TF_Timer,TF_Tekniker,AP$4,TF_Dato,$A430))*2,0)/2)))</f>
        <v/>
      </c>
      <c r="AQ430">
        <f>IF(OR(AQ$4="",$A430&gt;TODAY()),0,IF(OR(INDEX($B430:$D430,AQ$5)="F",AND(AQ$6&gt;0,$A430&lt;AQ$6),AND(AQ$7&gt;0,$A430&gt;AQ$7)),0,MAX(0,ROUND((INDEX($E430:$G430,AQ$5)-SUMIFS(TF_Timer,TF_Tekniker,AQ$4,TF_Dato,$A430))*2,0)/2)))</f>
        <v/>
      </c>
      <c r="AR430">
        <f>IF(OR(AR$4="",$A430&gt;TODAY()),0,IF(OR(INDEX($B430:$D430,AR$5)="F",AND(AR$6&gt;0,$A430&lt;AR$6),AND(AR$7&gt;0,$A430&gt;AR$7)),0,MAX(0,ROUND((INDEX($E430:$G430,AR$5)-SUMIFS(TF_Timer,TF_Tekniker,AR$4,TF_Dato,$A430))*2,0)/2)))</f>
        <v/>
      </c>
      <c r="AS430">
        <f>IF(OR(AS$4="",$A430&gt;TODAY()),0,IF(OR(INDEX($B430:$D430,AS$5)="F",AND(AS$6&gt;0,$A430&lt;AS$6),AND(AS$7&gt;0,$A430&gt;AS$7)),0,MAX(0,ROUND((INDEX($E430:$G430,AS$5)-SUMIFS(TF_Timer,TF_Tekniker,AS$4,TF_Dato,$A430))*2,0)/2)))</f>
        <v/>
      </c>
      <c r="AT430">
        <f>IF(OR(AT$4="",$A430&gt;TODAY()),0,IF(OR(INDEX($B430:$D430,AT$5)="F",AND(AT$6&gt;0,$A430&lt;AT$6),AND(AT$7&gt;0,$A430&gt;AT$7)),0,MAX(0,ROUND((INDEX($E430:$G430,AT$5)-SUMIFS(TF_Timer,TF_Tekniker,AT$4,TF_Dato,$A430))*2,0)/2)))</f>
        <v/>
      </c>
      <c r="AU430">
        <f>IF(OR(AU$4="",$A430&gt;TODAY()),0,IF(OR(INDEX($B430:$D430,AU$5)="F",AND(AU$6&gt;0,$A430&lt;AU$6),AND(AU$7&gt;0,$A430&gt;AU$7)),0,MAX(0,ROUND((INDEX($E430:$G430,AU$5)-SUMIFS(TF_Timer,TF_Tekniker,AU$4,TF_Dato,$A430))*2,0)/2)))</f>
        <v/>
      </c>
      <c r="AV430">
        <f>IF(OR(AV$4="",$A430&gt;TODAY()),0,IF(OR(INDEX($B430:$D430,AV$5)="F",AND(AV$6&gt;0,$A430&lt;AV$6),AND(AV$7&gt;0,$A430&gt;AV$7)),0,MAX(0,ROUND((INDEX($E430:$G430,AV$5)-SUMIFS(TF_Timer,TF_Tekniker,AV$4,TF_Dato,$A430))*2,0)/2)))</f>
        <v/>
      </c>
      <c r="AW430">
        <f>IF(OR(AW$4="",$A430&gt;TODAY()),0,IF(OR(INDEX($B430:$D430,AW$5)="F",AND(AW$6&gt;0,$A430&lt;AW$6),AND(AW$7&gt;0,$A430&gt;AW$7)),0,MAX(0,ROUND((INDEX($E430:$G430,AW$5)-SUMIFS(TF_Timer,TF_Tekniker,AW$4,TF_Dato,$A430))*2,0)/2)))</f>
        <v/>
      </c>
      <c r="AX430">
        <f>IF(OR(AX$4="",$A430&gt;TODAY()),0,IF(OR(INDEX($B430:$D430,AX$5)="F",AND(AX$6&gt;0,$A430&lt;AX$6),AND(AX$7&gt;0,$A430&gt;AX$7)),0,MAX(0,ROUND((INDEX($E430:$G430,AX$5)-SUMIFS(TF_Timer,TF_Tekniker,AX$4,TF_Dato,$A430))*2,0)/2)))</f>
        <v/>
      </c>
      <c r="AY430">
        <f>IF(OR(AY$4="",$A430&gt;TODAY()),0,IF(OR(INDEX($B430:$D430,AY$5)="F",AND(AY$6&gt;0,$A430&lt;AY$6),AND(AY$7&gt;0,$A430&gt;AY$7)),0,MAX(0,ROUND((INDEX($E430:$G430,AY$5)-SUMIFS(TF_Timer,TF_Tekniker,AY$4,TF_Dato,$A430))*2,0)/2)))</f>
        <v/>
      </c>
      <c r="AZ430">
        <f>IF(OR(AZ$4="",$A430&gt;TODAY()),0,IF(OR(INDEX($B430:$D430,AZ$5)="F",AND(AZ$6&gt;0,$A430&lt;AZ$6),AND(AZ$7&gt;0,$A430&gt;AZ$7)),0,MAX(0,ROUND((INDEX($E430:$G430,AZ$5)-SUMIFS(TF_Timer,TF_Tekniker,AZ$4,TF_Dato,$A430))*2,0)/2)))</f>
        <v/>
      </c>
      <c r="BA430">
        <f>IF(OR(BA$4="",$A430&gt;TODAY()),0,IF(OR(INDEX($B430:$D430,BA$5)="F",AND(BA$6&gt;0,$A430&lt;BA$6),AND(BA$7&gt;0,$A430&gt;BA$7)),0,MAX(0,ROUND((INDEX($E430:$G430,BA$5)-SUMIFS(TF_Timer,TF_Tekniker,BA$4,TF_Dato,$A430))*2,0)/2)))</f>
        <v/>
      </c>
      <c r="BB430">
        <f>IF(OR(BB$4="",$A430&gt;TODAY()),0,IF(OR(INDEX($B430:$D430,BB$5)="F",AND(BB$6&gt;0,$A430&lt;BB$6),AND(BB$7&gt;0,$A430&gt;BB$7)),0,MAX(0,ROUND((INDEX($E430:$G430,BB$5)-SUMIFS(TF_Timer,TF_Tekniker,BB$4,TF_Dato,$A430))*2,0)/2)))</f>
        <v/>
      </c>
      <c r="BC430">
        <f>IF(OR(BC$4="",$A430&gt;TODAY()),0,IF(OR(INDEX($B430:$D430,BC$5)="F",AND(BC$6&gt;0,$A430&lt;BC$6),AND(BC$7&gt;0,$A430&gt;BC$7)),0,MAX(0,ROUND((INDEX($E430:$G430,BC$5)-SUMIFS(TF_Timer,TF_Tekniker,BC$4,TF_Dato,$A430))*2,0)/2)))</f>
        <v/>
      </c>
      <c r="BD430">
        <f>IF(OR(BD$4="",$A430&gt;TODAY()),0,IF(OR(INDEX($B430:$D430,BD$5)="F",AND(BD$6&gt;0,$A430&lt;BD$6),AND(BD$7&gt;0,$A430&gt;BD$7)),0,MAX(0,ROUND((INDEX($E430:$G430,BD$5)-SUMIFS(TF_Timer,TF_Tekniker,BD$4,TF_Dato,$A430))*2,0)/2)))</f>
        <v/>
      </c>
      <c r="BE430">
        <f>IF(OR(BE$4="",$A430&gt;TODAY()),0,IF(OR(INDEX($B430:$D430,BE$5)="F",AND(BE$6&gt;0,$A430&lt;BE$6),AND(BE$7&gt;0,$A430&gt;BE$7)),0,MAX(0,ROUND((INDEX($E430:$G430,BE$5)-SUMIFS(TF_Timer,TF_Tekniker,BE$4,TF_Dato,$A430))*2,0)/2)))</f>
        <v/>
      </c>
      <c r="BF430">
        <f>IF(OR(BF$4="",$A430&gt;TODAY()),0,IF(OR(INDEX($B430:$D430,BF$5)="F",AND(BF$6&gt;0,$A430&lt;BF$6),AND(BF$7&gt;0,$A430&gt;BF$7)),0,MAX(0,ROUND((INDEX($E430:$G430,BF$5)-SUMIFS(TF_Timer,TF_Tekniker,BF$4,TF_Dato,$A430))*2,0)/2)))</f>
        <v/>
      </c>
      <c r="BG430">
        <f>IF(OR(BG$4="",$A430&gt;TODAY()),0,IF(OR(INDEX($B430:$D430,BG$5)="F",AND(BG$6&gt;0,$A430&lt;BG$6),AND(BG$7&gt;0,$A430&gt;BG$7)),0,MAX(0,ROUND((INDEX($E430:$G430,BG$5)-SUMIFS(TF_Timer,TF_Tekniker,BG$4,TF_Dato,$A430))*2,0)/2)))</f>
        <v/>
      </c>
      <c r="BH430">
        <f>IF(OR(BH$4="",$A430&gt;TODAY()),0,IF(OR(INDEX($B430:$D430,BH$5)="F",AND(BH$6&gt;0,$A430&lt;BH$6),AND(BH$7&gt;0,$A430&gt;BH$7)),0,MAX(0,ROUND((INDEX($E430:$G430,BH$5)-SUMIFS(TF_Timer,TF_Tekniker,BH$4,TF_Dato,$A430))*2,0)/2)))</f>
        <v/>
      </c>
      <c r="BI430">
        <f>IF(OR(BI$4="",$A430&gt;TODAY()),0,IF(OR(INDEX($B430:$D430,BI$5)="F",AND(BI$6&gt;0,$A430&lt;BI$6),AND(BI$7&gt;0,$A430&gt;BI$7)),0,MAX(0,ROUND((INDEX($E430:$G430,BI$5)-SUMIFS(TF_Timer,TF_Tekniker,BI$4,TF_Dato,$A430))*2,0)/2)))</f>
        <v/>
      </c>
    </row>
    <row r="431">
      <c r="A431" s="64">
        <f>A430+1</f>
        <v/>
      </c>
      <c r="B431">
        <f>IF(MOD($A431-INDEX(SkiftStart,1),Syklus)&lt;DagK,"K",IF(MOD($A431-INDEX(SkiftStart,1),Syklus)&lt;DagK+DagH,"H",IF(MOD($A431-INDEX(SkiftStart,1),Syklus)&lt;DagK+DagH+DagD,"D","F")))</f>
        <v/>
      </c>
      <c r="C431">
        <f>IF(MOD($A431-INDEX(SkiftStart,2),Syklus)&lt;DagK,"K",IF(MOD($A431-INDEX(SkiftStart,2),Syklus)&lt;DagK+DagH,"H",IF(MOD($A431-INDEX(SkiftStart,2),Syklus)&lt;DagK+DagH+DagD,"D","F")))</f>
        <v/>
      </c>
      <c r="D431">
        <f>IF(MOD($A431-INDEX(SkiftStart,3),Syklus)&lt;DagK,"K",IF(MOD($A431-INDEX(SkiftStart,3),Syklus)&lt;DagK+DagH,"H",IF(MOD($A431-INDEX(SkiftStart,3),Syklus)&lt;DagK+DagH+DagD,"D","F")))</f>
        <v/>
      </c>
      <c r="E431">
        <f>IF(B431="F",0,IF(WEEKDAY($A431,2)=5,INDEX(TimerFr,MATCH(B431,FaseKode,0)),INDEX(TimerMT,MATCH(B431,FaseKode,0))))</f>
        <v/>
      </c>
      <c r="F431">
        <f>IF(C431="F",0,IF(WEEKDAY($A431,2)=5,INDEX(TimerFr,MATCH(C431,FaseKode,0)),INDEX(TimerMT,MATCH(C431,FaseKode,0))))</f>
        <v/>
      </c>
      <c r="G431">
        <f>IF(D431="F",0,IF(WEEKDAY($A431,2)=5,INDEX(TimerFr,MATCH(D431,FaseKode,0)),INDEX(TimerMT,MATCH(D431,FaseKode,0))))</f>
        <v/>
      </c>
      <c r="H431">
        <f>IF(OR(H$4="",$A431&gt;TODAY()),0,IF(OR(INDEX($B431:$D431,H$5)="F",AND(H$6&gt;0,$A431&lt;H$6),AND(H$7&gt;0,$A431&gt;H$7)),0,MAX(0,ROUND((INDEX($E431:$G431,H$5)-SUMIFS(TF_Timer,TF_Tekniker,H$4,TF_Dato,$A431))*2,0)/2)))</f>
        <v/>
      </c>
      <c r="I431">
        <f>IF(OR(I$4="",$A431&gt;TODAY()),0,IF(OR(INDEX($B431:$D431,I$5)="F",AND(I$6&gt;0,$A431&lt;I$6),AND(I$7&gt;0,$A431&gt;I$7)),0,MAX(0,ROUND((INDEX($E431:$G431,I$5)-SUMIFS(TF_Timer,TF_Tekniker,I$4,TF_Dato,$A431))*2,0)/2)))</f>
        <v/>
      </c>
      <c r="J431">
        <f>IF(OR(J$4="",$A431&gt;TODAY()),0,IF(OR(INDEX($B431:$D431,J$5)="F",AND(J$6&gt;0,$A431&lt;J$6),AND(J$7&gt;0,$A431&gt;J$7)),0,MAX(0,ROUND((INDEX($E431:$G431,J$5)-SUMIFS(TF_Timer,TF_Tekniker,J$4,TF_Dato,$A431))*2,0)/2)))</f>
        <v/>
      </c>
      <c r="K431">
        <f>IF(OR(K$4="",$A431&gt;TODAY()),0,IF(OR(INDEX($B431:$D431,K$5)="F",AND(K$6&gt;0,$A431&lt;K$6),AND(K$7&gt;0,$A431&gt;K$7)),0,MAX(0,ROUND((INDEX($E431:$G431,K$5)-SUMIFS(TF_Timer,TF_Tekniker,K$4,TF_Dato,$A431))*2,0)/2)))</f>
        <v/>
      </c>
      <c r="L431">
        <f>IF(OR(L$4="",$A431&gt;TODAY()),0,IF(OR(INDEX($B431:$D431,L$5)="F",AND(L$6&gt;0,$A431&lt;L$6),AND(L$7&gt;0,$A431&gt;L$7)),0,MAX(0,ROUND((INDEX($E431:$G431,L$5)-SUMIFS(TF_Timer,TF_Tekniker,L$4,TF_Dato,$A431))*2,0)/2)))</f>
        <v/>
      </c>
      <c r="M431">
        <f>IF(OR(M$4="",$A431&gt;TODAY()),0,IF(OR(INDEX($B431:$D431,M$5)="F",AND(M$6&gt;0,$A431&lt;M$6),AND(M$7&gt;0,$A431&gt;M$7)),0,MAX(0,ROUND((INDEX($E431:$G431,M$5)-SUMIFS(TF_Timer,TF_Tekniker,M$4,TF_Dato,$A431))*2,0)/2)))</f>
        <v/>
      </c>
      <c r="N431">
        <f>IF(OR(N$4="",$A431&gt;TODAY()),0,IF(OR(INDEX($B431:$D431,N$5)="F",AND(N$6&gt;0,$A431&lt;N$6),AND(N$7&gt;0,$A431&gt;N$7)),0,MAX(0,ROUND((INDEX($E431:$G431,N$5)-SUMIFS(TF_Timer,TF_Tekniker,N$4,TF_Dato,$A431))*2,0)/2)))</f>
        <v/>
      </c>
      <c r="O431">
        <f>IF(OR(O$4="",$A431&gt;TODAY()),0,IF(OR(INDEX($B431:$D431,O$5)="F",AND(O$6&gt;0,$A431&lt;O$6),AND(O$7&gt;0,$A431&gt;O$7)),0,MAX(0,ROUND((INDEX($E431:$G431,O$5)-SUMIFS(TF_Timer,TF_Tekniker,O$4,TF_Dato,$A431))*2,0)/2)))</f>
        <v/>
      </c>
      <c r="P431">
        <f>IF(OR(P$4="",$A431&gt;TODAY()),0,IF(OR(INDEX($B431:$D431,P$5)="F",AND(P$6&gt;0,$A431&lt;P$6),AND(P$7&gt;0,$A431&gt;P$7)),0,MAX(0,ROUND((INDEX($E431:$G431,P$5)-SUMIFS(TF_Timer,TF_Tekniker,P$4,TF_Dato,$A431))*2,0)/2)))</f>
        <v/>
      </c>
      <c r="Q431">
        <f>IF(OR(Q$4="",$A431&gt;TODAY()),0,IF(OR(INDEX($B431:$D431,Q$5)="F",AND(Q$6&gt;0,$A431&lt;Q$6),AND(Q$7&gt;0,$A431&gt;Q$7)),0,MAX(0,ROUND((INDEX($E431:$G431,Q$5)-SUMIFS(TF_Timer,TF_Tekniker,Q$4,TF_Dato,$A431))*2,0)/2)))</f>
        <v/>
      </c>
      <c r="R431">
        <f>IF(OR(R$4="",$A431&gt;TODAY()),0,IF(OR(INDEX($B431:$D431,R$5)="F",AND(R$6&gt;0,$A431&lt;R$6),AND(R$7&gt;0,$A431&gt;R$7)),0,MAX(0,ROUND((INDEX($E431:$G431,R$5)-SUMIFS(TF_Timer,TF_Tekniker,R$4,TF_Dato,$A431))*2,0)/2)))</f>
        <v/>
      </c>
      <c r="S431">
        <f>IF(OR(S$4="",$A431&gt;TODAY()),0,IF(OR(INDEX($B431:$D431,S$5)="F",AND(S$6&gt;0,$A431&lt;S$6),AND(S$7&gt;0,$A431&gt;S$7)),0,MAX(0,ROUND((INDEX($E431:$G431,S$5)-SUMIFS(TF_Timer,TF_Tekniker,S$4,TF_Dato,$A431))*2,0)/2)))</f>
        <v/>
      </c>
      <c r="T431">
        <f>IF(OR(T$4="",$A431&gt;TODAY()),0,IF(OR(INDEX($B431:$D431,T$5)="F",AND(T$6&gt;0,$A431&lt;T$6),AND(T$7&gt;0,$A431&gt;T$7)),0,MAX(0,ROUND((INDEX($E431:$G431,T$5)-SUMIFS(TF_Timer,TF_Tekniker,T$4,TF_Dato,$A431))*2,0)/2)))</f>
        <v/>
      </c>
      <c r="U431">
        <f>IF(OR(U$4="",$A431&gt;TODAY()),0,IF(OR(INDEX($B431:$D431,U$5)="F",AND(U$6&gt;0,$A431&lt;U$6),AND(U$7&gt;0,$A431&gt;U$7)),0,MAX(0,ROUND((INDEX($E431:$G431,U$5)-SUMIFS(TF_Timer,TF_Tekniker,U$4,TF_Dato,$A431))*2,0)/2)))</f>
        <v/>
      </c>
      <c r="V431">
        <f>IF(OR(V$4="",$A431&gt;TODAY()),0,IF(OR(INDEX($B431:$D431,V$5)="F",AND(V$6&gt;0,$A431&lt;V$6),AND(V$7&gt;0,$A431&gt;V$7)),0,MAX(0,ROUND((INDEX($E431:$G431,V$5)-SUMIFS(TF_Timer,TF_Tekniker,V$4,TF_Dato,$A431))*2,0)/2)))</f>
        <v/>
      </c>
      <c r="W431">
        <f>IF(OR(W$4="",$A431&gt;TODAY()),0,IF(OR(INDEX($B431:$D431,W$5)="F",AND(W$6&gt;0,$A431&lt;W$6),AND(W$7&gt;0,$A431&gt;W$7)),0,MAX(0,ROUND((INDEX($E431:$G431,W$5)-SUMIFS(TF_Timer,TF_Tekniker,W$4,TF_Dato,$A431))*2,0)/2)))</f>
        <v/>
      </c>
      <c r="X431">
        <f>IF(OR(X$4="",$A431&gt;TODAY()),0,IF(OR(INDEX($B431:$D431,X$5)="F",AND(X$6&gt;0,$A431&lt;X$6),AND(X$7&gt;0,$A431&gt;X$7)),0,MAX(0,ROUND((INDEX($E431:$G431,X$5)-SUMIFS(TF_Timer,TF_Tekniker,X$4,TF_Dato,$A431))*2,0)/2)))</f>
        <v/>
      </c>
      <c r="Y431">
        <f>IF(OR(Y$4="",$A431&gt;TODAY()),0,IF(OR(INDEX($B431:$D431,Y$5)="F",AND(Y$6&gt;0,$A431&lt;Y$6),AND(Y$7&gt;0,$A431&gt;Y$7)),0,MAX(0,ROUND((INDEX($E431:$G431,Y$5)-SUMIFS(TF_Timer,TF_Tekniker,Y$4,TF_Dato,$A431))*2,0)/2)))</f>
        <v/>
      </c>
      <c r="Z431">
        <f>IF(OR(Z$4="",$A431&gt;TODAY()),0,IF(OR(INDEX($B431:$D431,Z$5)="F",AND(Z$6&gt;0,$A431&lt;Z$6),AND(Z$7&gt;0,$A431&gt;Z$7)),0,MAX(0,ROUND((INDEX($E431:$G431,Z$5)-SUMIFS(TF_Timer,TF_Tekniker,Z$4,TF_Dato,$A431))*2,0)/2)))</f>
        <v/>
      </c>
      <c r="AA431">
        <f>IF(OR(AA$4="",$A431&gt;TODAY()),0,IF(OR(INDEX($B431:$D431,AA$5)="F",AND(AA$6&gt;0,$A431&lt;AA$6),AND(AA$7&gt;0,$A431&gt;AA$7)),0,MAX(0,ROUND((INDEX($E431:$G431,AA$5)-SUMIFS(TF_Timer,TF_Tekniker,AA$4,TF_Dato,$A431))*2,0)/2)))</f>
        <v/>
      </c>
      <c r="AB431">
        <f>IF(OR(AB$4="",$A431&gt;TODAY()),0,IF(OR(INDEX($B431:$D431,AB$5)="F",AND(AB$6&gt;0,$A431&lt;AB$6),AND(AB$7&gt;0,$A431&gt;AB$7)),0,MAX(0,ROUND((INDEX($E431:$G431,AB$5)-SUMIFS(TF_Timer,TF_Tekniker,AB$4,TF_Dato,$A431))*2,0)/2)))</f>
        <v/>
      </c>
      <c r="AC431">
        <f>IF(OR(AC$4="",$A431&gt;TODAY()),0,IF(OR(INDEX($B431:$D431,AC$5)="F",AND(AC$6&gt;0,$A431&lt;AC$6),AND(AC$7&gt;0,$A431&gt;AC$7)),0,MAX(0,ROUND((INDEX($E431:$G431,AC$5)-SUMIFS(TF_Timer,TF_Tekniker,AC$4,TF_Dato,$A431))*2,0)/2)))</f>
        <v/>
      </c>
      <c r="AD431">
        <f>IF(OR(AD$4="",$A431&gt;TODAY()),0,IF(OR(INDEX($B431:$D431,AD$5)="F",AND(AD$6&gt;0,$A431&lt;AD$6),AND(AD$7&gt;0,$A431&gt;AD$7)),0,MAX(0,ROUND((INDEX($E431:$G431,AD$5)-SUMIFS(TF_Timer,TF_Tekniker,AD$4,TF_Dato,$A431))*2,0)/2)))</f>
        <v/>
      </c>
      <c r="AE431">
        <f>IF(OR(AE$4="",$A431&gt;TODAY()),0,IF(OR(INDEX($B431:$D431,AE$5)="F",AND(AE$6&gt;0,$A431&lt;AE$6),AND(AE$7&gt;0,$A431&gt;AE$7)),0,MAX(0,ROUND((INDEX($E431:$G431,AE$5)-SUMIFS(TF_Timer,TF_Tekniker,AE$4,TF_Dato,$A431))*2,0)/2)))</f>
        <v/>
      </c>
      <c r="AF431">
        <f>IF(OR(AF$4="",$A431&gt;TODAY()),0,IF(OR(INDEX($B431:$D431,AF$5)="F",AND(AF$6&gt;0,$A431&lt;AF$6),AND(AF$7&gt;0,$A431&gt;AF$7)),0,MAX(0,ROUND((INDEX($E431:$G431,AF$5)-SUMIFS(TF_Timer,TF_Tekniker,AF$4,TF_Dato,$A431))*2,0)/2)))</f>
        <v/>
      </c>
      <c r="AG431">
        <f>IF(OR(AG$4="",$A431&gt;TODAY()),0,IF(OR(INDEX($B431:$D431,AG$5)="F",AND(AG$6&gt;0,$A431&lt;AG$6),AND(AG$7&gt;0,$A431&gt;AG$7)),0,MAX(0,ROUND((INDEX($E431:$G431,AG$5)-SUMIFS(TF_Timer,TF_Tekniker,AG$4,TF_Dato,$A431))*2,0)/2)))</f>
        <v/>
      </c>
      <c r="AH431">
        <f>IF(OR(AH$4="",$A431&gt;TODAY()),0,IF(OR(INDEX($B431:$D431,AH$5)="F",AND(AH$6&gt;0,$A431&lt;AH$6),AND(AH$7&gt;0,$A431&gt;AH$7)),0,MAX(0,ROUND((INDEX($E431:$G431,AH$5)-SUMIFS(TF_Timer,TF_Tekniker,AH$4,TF_Dato,$A431))*2,0)/2)))</f>
        <v/>
      </c>
      <c r="AI431">
        <f>IF(OR(AI$4="",$A431&gt;TODAY()),0,IF(OR(INDEX($B431:$D431,AI$5)="F",AND(AI$6&gt;0,$A431&lt;AI$6),AND(AI$7&gt;0,$A431&gt;AI$7)),0,MAX(0,ROUND((INDEX($E431:$G431,AI$5)-SUMIFS(TF_Timer,TF_Tekniker,AI$4,TF_Dato,$A431))*2,0)/2)))</f>
        <v/>
      </c>
      <c r="AJ431">
        <f>IF(OR(AJ$4="",$A431&gt;TODAY()),0,IF(OR(INDEX($B431:$D431,AJ$5)="F",AND(AJ$6&gt;0,$A431&lt;AJ$6),AND(AJ$7&gt;0,$A431&gt;AJ$7)),0,MAX(0,ROUND((INDEX($E431:$G431,AJ$5)-SUMIFS(TF_Timer,TF_Tekniker,AJ$4,TF_Dato,$A431))*2,0)/2)))</f>
        <v/>
      </c>
      <c r="AK431">
        <f>IF(OR(AK$4="",$A431&gt;TODAY()),0,IF(OR(INDEX($B431:$D431,AK$5)="F",AND(AK$6&gt;0,$A431&lt;AK$6),AND(AK$7&gt;0,$A431&gt;AK$7)),0,MAX(0,ROUND((INDEX($E431:$G431,AK$5)-SUMIFS(TF_Timer,TF_Tekniker,AK$4,TF_Dato,$A431))*2,0)/2)))</f>
        <v/>
      </c>
      <c r="AL431">
        <f>IF(OR(AL$4="",$A431&gt;TODAY()),0,IF(OR(INDEX($B431:$D431,AL$5)="F",AND(AL$6&gt;0,$A431&lt;AL$6),AND(AL$7&gt;0,$A431&gt;AL$7)),0,MAX(0,ROUND((INDEX($E431:$G431,AL$5)-SUMIFS(TF_Timer,TF_Tekniker,AL$4,TF_Dato,$A431))*2,0)/2)))</f>
        <v/>
      </c>
      <c r="AM431">
        <f>IF(OR(AM$4="",$A431&gt;TODAY()),0,IF(OR(INDEX($B431:$D431,AM$5)="F",AND(AM$6&gt;0,$A431&lt;AM$6),AND(AM$7&gt;0,$A431&gt;AM$7)),0,MAX(0,ROUND((INDEX($E431:$G431,AM$5)-SUMIFS(TF_Timer,TF_Tekniker,AM$4,TF_Dato,$A431))*2,0)/2)))</f>
        <v/>
      </c>
      <c r="AN431">
        <f>IF(OR(AN$4="",$A431&gt;TODAY()),0,IF(OR(INDEX($B431:$D431,AN$5)="F",AND(AN$6&gt;0,$A431&lt;AN$6),AND(AN$7&gt;0,$A431&gt;AN$7)),0,MAX(0,ROUND((INDEX($E431:$G431,AN$5)-SUMIFS(TF_Timer,TF_Tekniker,AN$4,TF_Dato,$A431))*2,0)/2)))</f>
        <v/>
      </c>
      <c r="AO431">
        <f>IF(OR(AO$4="",$A431&gt;TODAY()),0,IF(OR(INDEX($B431:$D431,AO$5)="F",AND(AO$6&gt;0,$A431&lt;AO$6),AND(AO$7&gt;0,$A431&gt;AO$7)),0,MAX(0,ROUND((INDEX($E431:$G431,AO$5)-SUMIFS(TF_Timer,TF_Tekniker,AO$4,TF_Dato,$A431))*2,0)/2)))</f>
        <v/>
      </c>
      <c r="AP431">
        <f>IF(OR(AP$4="",$A431&gt;TODAY()),0,IF(OR(INDEX($B431:$D431,AP$5)="F",AND(AP$6&gt;0,$A431&lt;AP$6),AND(AP$7&gt;0,$A431&gt;AP$7)),0,MAX(0,ROUND((INDEX($E431:$G431,AP$5)-SUMIFS(TF_Timer,TF_Tekniker,AP$4,TF_Dato,$A431))*2,0)/2)))</f>
        <v/>
      </c>
      <c r="AQ431">
        <f>IF(OR(AQ$4="",$A431&gt;TODAY()),0,IF(OR(INDEX($B431:$D431,AQ$5)="F",AND(AQ$6&gt;0,$A431&lt;AQ$6),AND(AQ$7&gt;0,$A431&gt;AQ$7)),0,MAX(0,ROUND((INDEX($E431:$G431,AQ$5)-SUMIFS(TF_Timer,TF_Tekniker,AQ$4,TF_Dato,$A431))*2,0)/2)))</f>
        <v/>
      </c>
      <c r="AR431">
        <f>IF(OR(AR$4="",$A431&gt;TODAY()),0,IF(OR(INDEX($B431:$D431,AR$5)="F",AND(AR$6&gt;0,$A431&lt;AR$6),AND(AR$7&gt;0,$A431&gt;AR$7)),0,MAX(0,ROUND((INDEX($E431:$G431,AR$5)-SUMIFS(TF_Timer,TF_Tekniker,AR$4,TF_Dato,$A431))*2,0)/2)))</f>
        <v/>
      </c>
      <c r="AS431">
        <f>IF(OR(AS$4="",$A431&gt;TODAY()),0,IF(OR(INDEX($B431:$D431,AS$5)="F",AND(AS$6&gt;0,$A431&lt;AS$6),AND(AS$7&gt;0,$A431&gt;AS$7)),0,MAX(0,ROUND((INDEX($E431:$G431,AS$5)-SUMIFS(TF_Timer,TF_Tekniker,AS$4,TF_Dato,$A431))*2,0)/2)))</f>
        <v/>
      </c>
      <c r="AT431">
        <f>IF(OR(AT$4="",$A431&gt;TODAY()),0,IF(OR(INDEX($B431:$D431,AT$5)="F",AND(AT$6&gt;0,$A431&lt;AT$6),AND(AT$7&gt;0,$A431&gt;AT$7)),0,MAX(0,ROUND((INDEX($E431:$G431,AT$5)-SUMIFS(TF_Timer,TF_Tekniker,AT$4,TF_Dato,$A431))*2,0)/2)))</f>
        <v/>
      </c>
      <c r="AU431">
        <f>IF(OR(AU$4="",$A431&gt;TODAY()),0,IF(OR(INDEX($B431:$D431,AU$5)="F",AND(AU$6&gt;0,$A431&lt;AU$6),AND(AU$7&gt;0,$A431&gt;AU$7)),0,MAX(0,ROUND((INDEX($E431:$G431,AU$5)-SUMIFS(TF_Timer,TF_Tekniker,AU$4,TF_Dato,$A431))*2,0)/2)))</f>
        <v/>
      </c>
      <c r="AV431">
        <f>IF(OR(AV$4="",$A431&gt;TODAY()),0,IF(OR(INDEX($B431:$D431,AV$5)="F",AND(AV$6&gt;0,$A431&lt;AV$6),AND(AV$7&gt;0,$A431&gt;AV$7)),0,MAX(0,ROUND((INDEX($E431:$G431,AV$5)-SUMIFS(TF_Timer,TF_Tekniker,AV$4,TF_Dato,$A431))*2,0)/2)))</f>
        <v/>
      </c>
      <c r="AW431">
        <f>IF(OR(AW$4="",$A431&gt;TODAY()),0,IF(OR(INDEX($B431:$D431,AW$5)="F",AND(AW$6&gt;0,$A431&lt;AW$6),AND(AW$7&gt;0,$A431&gt;AW$7)),0,MAX(0,ROUND((INDEX($E431:$G431,AW$5)-SUMIFS(TF_Timer,TF_Tekniker,AW$4,TF_Dato,$A431))*2,0)/2)))</f>
        <v/>
      </c>
      <c r="AX431">
        <f>IF(OR(AX$4="",$A431&gt;TODAY()),0,IF(OR(INDEX($B431:$D431,AX$5)="F",AND(AX$6&gt;0,$A431&lt;AX$6),AND(AX$7&gt;0,$A431&gt;AX$7)),0,MAX(0,ROUND((INDEX($E431:$G431,AX$5)-SUMIFS(TF_Timer,TF_Tekniker,AX$4,TF_Dato,$A431))*2,0)/2)))</f>
        <v/>
      </c>
      <c r="AY431">
        <f>IF(OR(AY$4="",$A431&gt;TODAY()),0,IF(OR(INDEX($B431:$D431,AY$5)="F",AND(AY$6&gt;0,$A431&lt;AY$6),AND(AY$7&gt;0,$A431&gt;AY$7)),0,MAX(0,ROUND((INDEX($E431:$G431,AY$5)-SUMIFS(TF_Timer,TF_Tekniker,AY$4,TF_Dato,$A431))*2,0)/2)))</f>
        <v/>
      </c>
      <c r="AZ431">
        <f>IF(OR(AZ$4="",$A431&gt;TODAY()),0,IF(OR(INDEX($B431:$D431,AZ$5)="F",AND(AZ$6&gt;0,$A431&lt;AZ$6),AND(AZ$7&gt;0,$A431&gt;AZ$7)),0,MAX(0,ROUND((INDEX($E431:$G431,AZ$5)-SUMIFS(TF_Timer,TF_Tekniker,AZ$4,TF_Dato,$A431))*2,0)/2)))</f>
        <v/>
      </c>
      <c r="BA431">
        <f>IF(OR(BA$4="",$A431&gt;TODAY()),0,IF(OR(INDEX($B431:$D431,BA$5)="F",AND(BA$6&gt;0,$A431&lt;BA$6),AND(BA$7&gt;0,$A431&gt;BA$7)),0,MAX(0,ROUND((INDEX($E431:$G431,BA$5)-SUMIFS(TF_Timer,TF_Tekniker,BA$4,TF_Dato,$A431))*2,0)/2)))</f>
        <v/>
      </c>
      <c r="BB431">
        <f>IF(OR(BB$4="",$A431&gt;TODAY()),0,IF(OR(INDEX($B431:$D431,BB$5)="F",AND(BB$6&gt;0,$A431&lt;BB$6),AND(BB$7&gt;0,$A431&gt;BB$7)),0,MAX(0,ROUND((INDEX($E431:$G431,BB$5)-SUMIFS(TF_Timer,TF_Tekniker,BB$4,TF_Dato,$A431))*2,0)/2)))</f>
        <v/>
      </c>
      <c r="BC431">
        <f>IF(OR(BC$4="",$A431&gt;TODAY()),0,IF(OR(INDEX($B431:$D431,BC$5)="F",AND(BC$6&gt;0,$A431&lt;BC$6),AND(BC$7&gt;0,$A431&gt;BC$7)),0,MAX(0,ROUND((INDEX($E431:$G431,BC$5)-SUMIFS(TF_Timer,TF_Tekniker,BC$4,TF_Dato,$A431))*2,0)/2)))</f>
        <v/>
      </c>
      <c r="BD431">
        <f>IF(OR(BD$4="",$A431&gt;TODAY()),0,IF(OR(INDEX($B431:$D431,BD$5)="F",AND(BD$6&gt;0,$A431&lt;BD$6),AND(BD$7&gt;0,$A431&gt;BD$7)),0,MAX(0,ROUND((INDEX($E431:$G431,BD$5)-SUMIFS(TF_Timer,TF_Tekniker,BD$4,TF_Dato,$A431))*2,0)/2)))</f>
        <v/>
      </c>
      <c r="BE431">
        <f>IF(OR(BE$4="",$A431&gt;TODAY()),0,IF(OR(INDEX($B431:$D431,BE$5)="F",AND(BE$6&gt;0,$A431&lt;BE$6),AND(BE$7&gt;0,$A431&gt;BE$7)),0,MAX(0,ROUND((INDEX($E431:$G431,BE$5)-SUMIFS(TF_Timer,TF_Tekniker,BE$4,TF_Dato,$A431))*2,0)/2)))</f>
        <v/>
      </c>
      <c r="BF431">
        <f>IF(OR(BF$4="",$A431&gt;TODAY()),0,IF(OR(INDEX($B431:$D431,BF$5)="F",AND(BF$6&gt;0,$A431&lt;BF$6),AND(BF$7&gt;0,$A431&gt;BF$7)),0,MAX(0,ROUND((INDEX($E431:$G431,BF$5)-SUMIFS(TF_Timer,TF_Tekniker,BF$4,TF_Dato,$A431))*2,0)/2)))</f>
        <v/>
      </c>
      <c r="BG431">
        <f>IF(OR(BG$4="",$A431&gt;TODAY()),0,IF(OR(INDEX($B431:$D431,BG$5)="F",AND(BG$6&gt;0,$A431&lt;BG$6),AND(BG$7&gt;0,$A431&gt;BG$7)),0,MAX(0,ROUND((INDEX($E431:$G431,BG$5)-SUMIFS(TF_Timer,TF_Tekniker,BG$4,TF_Dato,$A431))*2,0)/2)))</f>
        <v/>
      </c>
      <c r="BH431">
        <f>IF(OR(BH$4="",$A431&gt;TODAY()),0,IF(OR(INDEX($B431:$D431,BH$5)="F",AND(BH$6&gt;0,$A431&lt;BH$6),AND(BH$7&gt;0,$A431&gt;BH$7)),0,MAX(0,ROUND((INDEX($E431:$G431,BH$5)-SUMIFS(TF_Timer,TF_Tekniker,BH$4,TF_Dato,$A431))*2,0)/2)))</f>
        <v/>
      </c>
      <c r="BI431">
        <f>IF(OR(BI$4="",$A431&gt;TODAY()),0,IF(OR(INDEX($B431:$D431,BI$5)="F",AND(BI$6&gt;0,$A431&lt;BI$6),AND(BI$7&gt;0,$A431&gt;BI$7)),0,MAX(0,ROUND((INDEX($E431:$G431,BI$5)-SUMIFS(TF_Timer,TF_Tekniker,BI$4,TF_Dato,$A431))*2,0)/2)))</f>
        <v/>
      </c>
    </row>
    <row r="432">
      <c r="A432" s="64">
        <f>A431+1</f>
        <v/>
      </c>
      <c r="B432">
        <f>IF(MOD($A432-INDEX(SkiftStart,1),Syklus)&lt;DagK,"K",IF(MOD($A432-INDEX(SkiftStart,1),Syklus)&lt;DagK+DagH,"H",IF(MOD($A432-INDEX(SkiftStart,1),Syklus)&lt;DagK+DagH+DagD,"D","F")))</f>
        <v/>
      </c>
      <c r="C432">
        <f>IF(MOD($A432-INDEX(SkiftStart,2),Syklus)&lt;DagK,"K",IF(MOD($A432-INDEX(SkiftStart,2),Syklus)&lt;DagK+DagH,"H",IF(MOD($A432-INDEX(SkiftStart,2),Syklus)&lt;DagK+DagH+DagD,"D","F")))</f>
        <v/>
      </c>
      <c r="D432">
        <f>IF(MOD($A432-INDEX(SkiftStart,3),Syklus)&lt;DagK,"K",IF(MOD($A432-INDEX(SkiftStart,3),Syklus)&lt;DagK+DagH,"H",IF(MOD($A432-INDEX(SkiftStart,3),Syklus)&lt;DagK+DagH+DagD,"D","F")))</f>
        <v/>
      </c>
      <c r="E432">
        <f>IF(B432="F",0,IF(WEEKDAY($A432,2)=5,INDEX(TimerFr,MATCH(B432,FaseKode,0)),INDEX(TimerMT,MATCH(B432,FaseKode,0))))</f>
        <v/>
      </c>
      <c r="F432">
        <f>IF(C432="F",0,IF(WEEKDAY($A432,2)=5,INDEX(TimerFr,MATCH(C432,FaseKode,0)),INDEX(TimerMT,MATCH(C432,FaseKode,0))))</f>
        <v/>
      </c>
      <c r="G432">
        <f>IF(D432="F",0,IF(WEEKDAY($A432,2)=5,INDEX(TimerFr,MATCH(D432,FaseKode,0)),INDEX(TimerMT,MATCH(D432,FaseKode,0))))</f>
        <v/>
      </c>
      <c r="H432">
        <f>IF(OR(H$4="",$A432&gt;TODAY()),0,IF(OR(INDEX($B432:$D432,H$5)="F",AND(H$6&gt;0,$A432&lt;H$6),AND(H$7&gt;0,$A432&gt;H$7)),0,MAX(0,ROUND((INDEX($E432:$G432,H$5)-SUMIFS(TF_Timer,TF_Tekniker,H$4,TF_Dato,$A432))*2,0)/2)))</f>
        <v/>
      </c>
      <c r="I432">
        <f>IF(OR(I$4="",$A432&gt;TODAY()),0,IF(OR(INDEX($B432:$D432,I$5)="F",AND(I$6&gt;0,$A432&lt;I$6),AND(I$7&gt;0,$A432&gt;I$7)),0,MAX(0,ROUND((INDEX($E432:$G432,I$5)-SUMIFS(TF_Timer,TF_Tekniker,I$4,TF_Dato,$A432))*2,0)/2)))</f>
        <v/>
      </c>
      <c r="J432">
        <f>IF(OR(J$4="",$A432&gt;TODAY()),0,IF(OR(INDEX($B432:$D432,J$5)="F",AND(J$6&gt;0,$A432&lt;J$6),AND(J$7&gt;0,$A432&gt;J$7)),0,MAX(0,ROUND((INDEX($E432:$G432,J$5)-SUMIFS(TF_Timer,TF_Tekniker,J$4,TF_Dato,$A432))*2,0)/2)))</f>
        <v/>
      </c>
      <c r="K432">
        <f>IF(OR(K$4="",$A432&gt;TODAY()),0,IF(OR(INDEX($B432:$D432,K$5)="F",AND(K$6&gt;0,$A432&lt;K$6),AND(K$7&gt;0,$A432&gt;K$7)),0,MAX(0,ROUND((INDEX($E432:$G432,K$5)-SUMIFS(TF_Timer,TF_Tekniker,K$4,TF_Dato,$A432))*2,0)/2)))</f>
        <v/>
      </c>
      <c r="L432">
        <f>IF(OR(L$4="",$A432&gt;TODAY()),0,IF(OR(INDEX($B432:$D432,L$5)="F",AND(L$6&gt;0,$A432&lt;L$6),AND(L$7&gt;0,$A432&gt;L$7)),0,MAX(0,ROUND((INDEX($E432:$G432,L$5)-SUMIFS(TF_Timer,TF_Tekniker,L$4,TF_Dato,$A432))*2,0)/2)))</f>
        <v/>
      </c>
      <c r="M432">
        <f>IF(OR(M$4="",$A432&gt;TODAY()),0,IF(OR(INDEX($B432:$D432,M$5)="F",AND(M$6&gt;0,$A432&lt;M$6),AND(M$7&gt;0,$A432&gt;M$7)),0,MAX(0,ROUND((INDEX($E432:$G432,M$5)-SUMIFS(TF_Timer,TF_Tekniker,M$4,TF_Dato,$A432))*2,0)/2)))</f>
        <v/>
      </c>
      <c r="N432">
        <f>IF(OR(N$4="",$A432&gt;TODAY()),0,IF(OR(INDEX($B432:$D432,N$5)="F",AND(N$6&gt;0,$A432&lt;N$6),AND(N$7&gt;0,$A432&gt;N$7)),0,MAX(0,ROUND((INDEX($E432:$G432,N$5)-SUMIFS(TF_Timer,TF_Tekniker,N$4,TF_Dato,$A432))*2,0)/2)))</f>
        <v/>
      </c>
      <c r="O432">
        <f>IF(OR(O$4="",$A432&gt;TODAY()),0,IF(OR(INDEX($B432:$D432,O$5)="F",AND(O$6&gt;0,$A432&lt;O$6),AND(O$7&gt;0,$A432&gt;O$7)),0,MAX(0,ROUND((INDEX($E432:$G432,O$5)-SUMIFS(TF_Timer,TF_Tekniker,O$4,TF_Dato,$A432))*2,0)/2)))</f>
        <v/>
      </c>
      <c r="P432">
        <f>IF(OR(P$4="",$A432&gt;TODAY()),0,IF(OR(INDEX($B432:$D432,P$5)="F",AND(P$6&gt;0,$A432&lt;P$6),AND(P$7&gt;0,$A432&gt;P$7)),0,MAX(0,ROUND((INDEX($E432:$G432,P$5)-SUMIFS(TF_Timer,TF_Tekniker,P$4,TF_Dato,$A432))*2,0)/2)))</f>
        <v/>
      </c>
      <c r="Q432">
        <f>IF(OR(Q$4="",$A432&gt;TODAY()),0,IF(OR(INDEX($B432:$D432,Q$5)="F",AND(Q$6&gt;0,$A432&lt;Q$6),AND(Q$7&gt;0,$A432&gt;Q$7)),0,MAX(0,ROUND((INDEX($E432:$G432,Q$5)-SUMIFS(TF_Timer,TF_Tekniker,Q$4,TF_Dato,$A432))*2,0)/2)))</f>
        <v/>
      </c>
      <c r="R432">
        <f>IF(OR(R$4="",$A432&gt;TODAY()),0,IF(OR(INDEX($B432:$D432,R$5)="F",AND(R$6&gt;0,$A432&lt;R$6),AND(R$7&gt;0,$A432&gt;R$7)),0,MAX(0,ROUND((INDEX($E432:$G432,R$5)-SUMIFS(TF_Timer,TF_Tekniker,R$4,TF_Dato,$A432))*2,0)/2)))</f>
        <v/>
      </c>
      <c r="S432">
        <f>IF(OR(S$4="",$A432&gt;TODAY()),0,IF(OR(INDEX($B432:$D432,S$5)="F",AND(S$6&gt;0,$A432&lt;S$6),AND(S$7&gt;0,$A432&gt;S$7)),0,MAX(0,ROUND((INDEX($E432:$G432,S$5)-SUMIFS(TF_Timer,TF_Tekniker,S$4,TF_Dato,$A432))*2,0)/2)))</f>
        <v/>
      </c>
      <c r="T432">
        <f>IF(OR(T$4="",$A432&gt;TODAY()),0,IF(OR(INDEX($B432:$D432,T$5)="F",AND(T$6&gt;0,$A432&lt;T$6),AND(T$7&gt;0,$A432&gt;T$7)),0,MAX(0,ROUND((INDEX($E432:$G432,T$5)-SUMIFS(TF_Timer,TF_Tekniker,T$4,TF_Dato,$A432))*2,0)/2)))</f>
        <v/>
      </c>
      <c r="U432">
        <f>IF(OR(U$4="",$A432&gt;TODAY()),0,IF(OR(INDEX($B432:$D432,U$5)="F",AND(U$6&gt;0,$A432&lt;U$6),AND(U$7&gt;0,$A432&gt;U$7)),0,MAX(0,ROUND((INDEX($E432:$G432,U$5)-SUMIFS(TF_Timer,TF_Tekniker,U$4,TF_Dato,$A432))*2,0)/2)))</f>
        <v/>
      </c>
      <c r="V432">
        <f>IF(OR(V$4="",$A432&gt;TODAY()),0,IF(OR(INDEX($B432:$D432,V$5)="F",AND(V$6&gt;0,$A432&lt;V$6),AND(V$7&gt;0,$A432&gt;V$7)),0,MAX(0,ROUND((INDEX($E432:$G432,V$5)-SUMIFS(TF_Timer,TF_Tekniker,V$4,TF_Dato,$A432))*2,0)/2)))</f>
        <v/>
      </c>
      <c r="W432">
        <f>IF(OR(W$4="",$A432&gt;TODAY()),0,IF(OR(INDEX($B432:$D432,W$5)="F",AND(W$6&gt;0,$A432&lt;W$6),AND(W$7&gt;0,$A432&gt;W$7)),0,MAX(0,ROUND((INDEX($E432:$G432,W$5)-SUMIFS(TF_Timer,TF_Tekniker,W$4,TF_Dato,$A432))*2,0)/2)))</f>
        <v/>
      </c>
      <c r="X432">
        <f>IF(OR(X$4="",$A432&gt;TODAY()),0,IF(OR(INDEX($B432:$D432,X$5)="F",AND(X$6&gt;0,$A432&lt;X$6),AND(X$7&gt;0,$A432&gt;X$7)),0,MAX(0,ROUND((INDEX($E432:$G432,X$5)-SUMIFS(TF_Timer,TF_Tekniker,X$4,TF_Dato,$A432))*2,0)/2)))</f>
        <v/>
      </c>
      <c r="Y432">
        <f>IF(OR(Y$4="",$A432&gt;TODAY()),0,IF(OR(INDEX($B432:$D432,Y$5)="F",AND(Y$6&gt;0,$A432&lt;Y$6),AND(Y$7&gt;0,$A432&gt;Y$7)),0,MAX(0,ROUND((INDEX($E432:$G432,Y$5)-SUMIFS(TF_Timer,TF_Tekniker,Y$4,TF_Dato,$A432))*2,0)/2)))</f>
        <v/>
      </c>
      <c r="Z432">
        <f>IF(OR(Z$4="",$A432&gt;TODAY()),0,IF(OR(INDEX($B432:$D432,Z$5)="F",AND(Z$6&gt;0,$A432&lt;Z$6),AND(Z$7&gt;0,$A432&gt;Z$7)),0,MAX(0,ROUND((INDEX($E432:$G432,Z$5)-SUMIFS(TF_Timer,TF_Tekniker,Z$4,TF_Dato,$A432))*2,0)/2)))</f>
        <v/>
      </c>
      <c r="AA432">
        <f>IF(OR(AA$4="",$A432&gt;TODAY()),0,IF(OR(INDEX($B432:$D432,AA$5)="F",AND(AA$6&gt;0,$A432&lt;AA$6),AND(AA$7&gt;0,$A432&gt;AA$7)),0,MAX(0,ROUND((INDEX($E432:$G432,AA$5)-SUMIFS(TF_Timer,TF_Tekniker,AA$4,TF_Dato,$A432))*2,0)/2)))</f>
        <v/>
      </c>
      <c r="AB432">
        <f>IF(OR(AB$4="",$A432&gt;TODAY()),0,IF(OR(INDEX($B432:$D432,AB$5)="F",AND(AB$6&gt;0,$A432&lt;AB$6),AND(AB$7&gt;0,$A432&gt;AB$7)),0,MAX(0,ROUND((INDEX($E432:$G432,AB$5)-SUMIFS(TF_Timer,TF_Tekniker,AB$4,TF_Dato,$A432))*2,0)/2)))</f>
        <v/>
      </c>
      <c r="AC432">
        <f>IF(OR(AC$4="",$A432&gt;TODAY()),0,IF(OR(INDEX($B432:$D432,AC$5)="F",AND(AC$6&gt;0,$A432&lt;AC$6),AND(AC$7&gt;0,$A432&gt;AC$7)),0,MAX(0,ROUND((INDEX($E432:$G432,AC$5)-SUMIFS(TF_Timer,TF_Tekniker,AC$4,TF_Dato,$A432))*2,0)/2)))</f>
        <v/>
      </c>
      <c r="AD432">
        <f>IF(OR(AD$4="",$A432&gt;TODAY()),0,IF(OR(INDEX($B432:$D432,AD$5)="F",AND(AD$6&gt;0,$A432&lt;AD$6),AND(AD$7&gt;0,$A432&gt;AD$7)),0,MAX(0,ROUND((INDEX($E432:$G432,AD$5)-SUMIFS(TF_Timer,TF_Tekniker,AD$4,TF_Dato,$A432))*2,0)/2)))</f>
        <v/>
      </c>
      <c r="AE432">
        <f>IF(OR(AE$4="",$A432&gt;TODAY()),0,IF(OR(INDEX($B432:$D432,AE$5)="F",AND(AE$6&gt;0,$A432&lt;AE$6),AND(AE$7&gt;0,$A432&gt;AE$7)),0,MAX(0,ROUND((INDEX($E432:$G432,AE$5)-SUMIFS(TF_Timer,TF_Tekniker,AE$4,TF_Dato,$A432))*2,0)/2)))</f>
        <v/>
      </c>
      <c r="AF432">
        <f>IF(OR(AF$4="",$A432&gt;TODAY()),0,IF(OR(INDEX($B432:$D432,AF$5)="F",AND(AF$6&gt;0,$A432&lt;AF$6),AND(AF$7&gt;0,$A432&gt;AF$7)),0,MAX(0,ROUND((INDEX($E432:$G432,AF$5)-SUMIFS(TF_Timer,TF_Tekniker,AF$4,TF_Dato,$A432))*2,0)/2)))</f>
        <v/>
      </c>
      <c r="AG432">
        <f>IF(OR(AG$4="",$A432&gt;TODAY()),0,IF(OR(INDEX($B432:$D432,AG$5)="F",AND(AG$6&gt;0,$A432&lt;AG$6),AND(AG$7&gt;0,$A432&gt;AG$7)),0,MAX(0,ROUND((INDEX($E432:$G432,AG$5)-SUMIFS(TF_Timer,TF_Tekniker,AG$4,TF_Dato,$A432))*2,0)/2)))</f>
        <v/>
      </c>
      <c r="AH432">
        <f>IF(OR(AH$4="",$A432&gt;TODAY()),0,IF(OR(INDEX($B432:$D432,AH$5)="F",AND(AH$6&gt;0,$A432&lt;AH$6),AND(AH$7&gt;0,$A432&gt;AH$7)),0,MAX(0,ROUND((INDEX($E432:$G432,AH$5)-SUMIFS(TF_Timer,TF_Tekniker,AH$4,TF_Dato,$A432))*2,0)/2)))</f>
        <v/>
      </c>
      <c r="AI432">
        <f>IF(OR(AI$4="",$A432&gt;TODAY()),0,IF(OR(INDEX($B432:$D432,AI$5)="F",AND(AI$6&gt;0,$A432&lt;AI$6),AND(AI$7&gt;0,$A432&gt;AI$7)),0,MAX(0,ROUND((INDEX($E432:$G432,AI$5)-SUMIFS(TF_Timer,TF_Tekniker,AI$4,TF_Dato,$A432))*2,0)/2)))</f>
        <v/>
      </c>
      <c r="AJ432">
        <f>IF(OR(AJ$4="",$A432&gt;TODAY()),0,IF(OR(INDEX($B432:$D432,AJ$5)="F",AND(AJ$6&gt;0,$A432&lt;AJ$6),AND(AJ$7&gt;0,$A432&gt;AJ$7)),0,MAX(0,ROUND((INDEX($E432:$G432,AJ$5)-SUMIFS(TF_Timer,TF_Tekniker,AJ$4,TF_Dato,$A432))*2,0)/2)))</f>
        <v/>
      </c>
      <c r="AK432">
        <f>IF(OR(AK$4="",$A432&gt;TODAY()),0,IF(OR(INDEX($B432:$D432,AK$5)="F",AND(AK$6&gt;0,$A432&lt;AK$6),AND(AK$7&gt;0,$A432&gt;AK$7)),0,MAX(0,ROUND((INDEX($E432:$G432,AK$5)-SUMIFS(TF_Timer,TF_Tekniker,AK$4,TF_Dato,$A432))*2,0)/2)))</f>
        <v/>
      </c>
      <c r="AL432">
        <f>IF(OR(AL$4="",$A432&gt;TODAY()),0,IF(OR(INDEX($B432:$D432,AL$5)="F",AND(AL$6&gt;0,$A432&lt;AL$6),AND(AL$7&gt;0,$A432&gt;AL$7)),0,MAX(0,ROUND((INDEX($E432:$G432,AL$5)-SUMIFS(TF_Timer,TF_Tekniker,AL$4,TF_Dato,$A432))*2,0)/2)))</f>
        <v/>
      </c>
      <c r="AM432">
        <f>IF(OR(AM$4="",$A432&gt;TODAY()),0,IF(OR(INDEX($B432:$D432,AM$5)="F",AND(AM$6&gt;0,$A432&lt;AM$6),AND(AM$7&gt;0,$A432&gt;AM$7)),0,MAX(0,ROUND((INDEX($E432:$G432,AM$5)-SUMIFS(TF_Timer,TF_Tekniker,AM$4,TF_Dato,$A432))*2,0)/2)))</f>
        <v/>
      </c>
      <c r="AN432">
        <f>IF(OR(AN$4="",$A432&gt;TODAY()),0,IF(OR(INDEX($B432:$D432,AN$5)="F",AND(AN$6&gt;0,$A432&lt;AN$6),AND(AN$7&gt;0,$A432&gt;AN$7)),0,MAX(0,ROUND((INDEX($E432:$G432,AN$5)-SUMIFS(TF_Timer,TF_Tekniker,AN$4,TF_Dato,$A432))*2,0)/2)))</f>
        <v/>
      </c>
      <c r="AO432">
        <f>IF(OR(AO$4="",$A432&gt;TODAY()),0,IF(OR(INDEX($B432:$D432,AO$5)="F",AND(AO$6&gt;0,$A432&lt;AO$6),AND(AO$7&gt;0,$A432&gt;AO$7)),0,MAX(0,ROUND((INDEX($E432:$G432,AO$5)-SUMIFS(TF_Timer,TF_Tekniker,AO$4,TF_Dato,$A432))*2,0)/2)))</f>
        <v/>
      </c>
      <c r="AP432">
        <f>IF(OR(AP$4="",$A432&gt;TODAY()),0,IF(OR(INDEX($B432:$D432,AP$5)="F",AND(AP$6&gt;0,$A432&lt;AP$6),AND(AP$7&gt;0,$A432&gt;AP$7)),0,MAX(0,ROUND((INDEX($E432:$G432,AP$5)-SUMIFS(TF_Timer,TF_Tekniker,AP$4,TF_Dato,$A432))*2,0)/2)))</f>
        <v/>
      </c>
      <c r="AQ432">
        <f>IF(OR(AQ$4="",$A432&gt;TODAY()),0,IF(OR(INDEX($B432:$D432,AQ$5)="F",AND(AQ$6&gt;0,$A432&lt;AQ$6),AND(AQ$7&gt;0,$A432&gt;AQ$7)),0,MAX(0,ROUND((INDEX($E432:$G432,AQ$5)-SUMIFS(TF_Timer,TF_Tekniker,AQ$4,TF_Dato,$A432))*2,0)/2)))</f>
        <v/>
      </c>
      <c r="AR432">
        <f>IF(OR(AR$4="",$A432&gt;TODAY()),0,IF(OR(INDEX($B432:$D432,AR$5)="F",AND(AR$6&gt;0,$A432&lt;AR$6),AND(AR$7&gt;0,$A432&gt;AR$7)),0,MAX(0,ROUND((INDEX($E432:$G432,AR$5)-SUMIFS(TF_Timer,TF_Tekniker,AR$4,TF_Dato,$A432))*2,0)/2)))</f>
        <v/>
      </c>
      <c r="AS432">
        <f>IF(OR(AS$4="",$A432&gt;TODAY()),0,IF(OR(INDEX($B432:$D432,AS$5)="F",AND(AS$6&gt;0,$A432&lt;AS$6),AND(AS$7&gt;0,$A432&gt;AS$7)),0,MAX(0,ROUND((INDEX($E432:$G432,AS$5)-SUMIFS(TF_Timer,TF_Tekniker,AS$4,TF_Dato,$A432))*2,0)/2)))</f>
        <v/>
      </c>
      <c r="AT432">
        <f>IF(OR(AT$4="",$A432&gt;TODAY()),0,IF(OR(INDEX($B432:$D432,AT$5)="F",AND(AT$6&gt;0,$A432&lt;AT$6),AND(AT$7&gt;0,$A432&gt;AT$7)),0,MAX(0,ROUND((INDEX($E432:$G432,AT$5)-SUMIFS(TF_Timer,TF_Tekniker,AT$4,TF_Dato,$A432))*2,0)/2)))</f>
        <v/>
      </c>
      <c r="AU432">
        <f>IF(OR(AU$4="",$A432&gt;TODAY()),0,IF(OR(INDEX($B432:$D432,AU$5)="F",AND(AU$6&gt;0,$A432&lt;AU$6),AND(AU$7&gt;0,$A432&gt;AU$7)),0,MAX(0,ROUND((INDEX($E432:$G432,AU$5)-SUMIFS(TF_Timer,TF_Tekniker,AU$4,TF_Dato,$A432))*2,0)/2)))</f>
        <v/>
      </c>
      <c r="AV432">
        <f>IF(OR(AV$4="",$A432&gt;TODAY()),0,IF(OR(INDEX($B432:$D432,AV$5)="F",AND(AV$6&gt;0,$A432&lt;AV$6),AND(AV$7&gt;0,$A432&gt;AV$7)),0,MAX(0,ROUND((INDEX($E432:$G432,AV$5)-SUMIFS(TF_Timer,TF_Tekniker,AV$4,TF_Dato,$A432))*2,0)/2)))</f>
        <v/>
      </c>
      <c r="AW432">
        <f>IF(OR(AW$4="",$A432&gt;TODAY()),0,IF(OR(INDEX($B432:$D432,AW$5)="F",AND(AW$6&gt;0,$A432&lt;AW$6),AND(AW$7&gt;0,$A432&gt;AW$7)),0,MAX(0,ROUND((INDEX($E432:$G432,AW$5)-SUMIFS(TF_Timer,TF_Tekniker,AW$4,TF_Dato,$A432))*2,0)/2)))</f>
        <v/>
      </c>
      <c r="AX432">
        <f>IF(OR(AX$4="",$A432&gt;TODAY()),0,IF(OR(INDEX($B432:$D432,AX$5)="F",AND(AX$6&gt;0,$A432&lt;AX$6),AND(AX$7&gt;0,$A432&gt;AX$7)),0,MAX(0,ROUND((INDEX($E432:$G432,AX$5)-SUMIFS(TF_Timer,TF_Tekniker,AX$4,TF_Dato,$A432))*2,0)/2)))</f>
        <v/>
      </c>
      <c r="AY432">
        <f>IF(OR(AY$4="",$A432&gt;TODAY()),0,IF(OR(INDEX($B432:$D432,AY$5)="F",AND(AY$6&gt;0,$A432&lt;AY$6),AND(AY$7&gt;0,$A432&gt;AY$7)),0,MAX(0,ROUND((INDEX($E432:$G432,AY$5)-SUMIFS(TF_Timer,TF_Tekniker,AY$4,TF_Dato,$A432))*2,0)/2)))</f>
        <v/>
      </c>
      <c r="AZ432">
        <f>IF(OR(AZ$4="",$A432&gt;TODAY()),0,IF(OR(INDEX($B432:$D432,AZ$5)="F",AND(AZ$6&gt;0,$A432&lt;AZ$6),AND(AZ$7&gt;0,$A432&gt;AZ$7)),0,MAX(0,ROUND((INDEX($E432:$G432,AZ$5)-SUMIFS(TF_Timer,TF_Tekniker,AZ$4,TF_Dato,$A432))*2,0)/2)))</f>
        <v/>
      </c>
      <c r="BA432">
        <f>IF(OR(BA$4="",$A432&gt;TODAY()),0,IF(OR(INDEX($B432:$D432,BA$5)="F",AND(BA$6&gt;0,$A432&lt;BA$6),AND(BA$7&gt;0,$A432&gt;BA$7)),0,MAX(0,ROUND((INDEX($E432:$G432,BA$5)-SUMIFS(TF_Timer,TF_Tekniker,BA$4,TF_Dato,$A432))*2,0)/2)))</f>
        <v/>
      </c>
      <c r="BB432">
        <f>IF(OR(BB$4="",$A432&gt;TODAY()),0,IF(OR(INDEX($B432:$D432,BB$5)="F",AND(BB$6&gt;0,$A432&lt;BB$6),AND(BB$7&gt;0,$A432&gt;BB$7)),0,MAX(0,ROUND((INDEX($E432:$G432,BB$5)-SUMIFS(TF_Timer,TF_Tekniker,BB$4,TF_Dato,$A432))*2,0)/2)))</f>
        <v/>
      </c>
      <c r="BC432">
        <f>IF(OR(BC$4="",$A432&gt;TODAY()),0,IF(OR(INDEX($B432:$D432,BC$5)="F",AND(BC$6&gt;0,$A432&lt;BC$6),AND(BC$7&gt;0,$A432&gt;BC$7)),0,MAX(0,ROUND((INDEX($E432:$G432,BC$5)-SUMIFS(TF_Timer,TF_Tekniker,BC$4,TF_Dato,$A432))*2,0)/2)))</f>
        <v/>
      </c>
      <c r="BD432">
        <f>IF(OR(BD$4="",$A432&gt;TODAY()),0,IF(OR(INDEX($B432:$D432,BD$5)="F",AND(BD$6&gt;0,$A432&lt;BD$6),AND(BD$7&gt;0,$A432&gt;BD$7)),0,MAX(0,ROUND((INDEX($E432:$G432,BD$5)-SUMIFS(TF_Timer,TF_Tekniker,BD$4,TF_Dato,$A432))*2,0)/2)))</f>
        <v/>
      </c>
      <c r="BE432">
        <f>IF(OR(BE$4="",$A432&gt;TODAY()),0,IF(OR(INDEX($B432:$D432,BE$5)="F",AND(BE$6&gt;0,$A432&lt;BE$6),AND(BE$7&gt;0,$A432&gt;BE$7)),0,MAX(0,ROUND((INDEX($E432:$G432,BE$5)-SUMIFS(TF_Timer,TF_Tekniker,BE$4,TF_Dato,$A432))*2,0)/2)))</f>
        <v/>
      </c>
      <c r="BF432">
        <f>IF(OR(BF$4="",$A432&gt;TODAY()),0,IF(OR(INDEX($B432:$D432,BF$5)="F",AND(BF$6&gt;0,$A432&lt;BF$6),AND(BF$7&gt;0,$A432&gt;BF$7)),0,MAX(0,ROUND((INDEX($E432:$G432,BF$5)-SUMIFS(TF_Timer,TF_Tekniker,BF$4,TF_Dato,$A432))*2,0)/2)))</f>
        <v/>
      </c>
      <c r="BG432">
        <f>IF(OR(BG$4="",$A432&gt;TODAY()),0,IF(OR(INDEX($B432:$D432,BG$5)="F",AND(BG$6&gt;0,$A432&lt;BG$6),AND(BG$7&gt;0,$A432&gt;BG$7)),0,MAX(0,ROUND((INDEX($E432:$G432,BG$5)-SUMIFS(TF_Timer,TF_Tekniker,BG$4,TF_Dato,$A432))*2,0)/2)))</f>
        <v/>
      </c>
      <c r="BH432">
        <f>IF(OR(BH$4="",$A432&gt;TODAY()),0,IF(OR(INDEX($B432:$D432,BH$5)="F",AND(BH$6&gt;0,$A432&lt;BH$6),AND(BH$7&gt;0,$A432&gt;BH$7)),0,MAX(0,ROUND((INDEX($E432:$G432,BH$5)-SUMIFS(TF_Timer,TF_Tekniker,BH$4,TF_Dato,$A432))*2,0)/2)))</f>
        <v/>
      </c>
      <c r="BI432">
        <f>IF(OR(BI$4="",$A432&gt;TODAY()),0,IF(OR(INDEX($B432:$D432,BI$5)="F",AND(BI$6&gt;0,$A432&lt;BI$6),AND(BI$7&gt;0,$A432&gt;BI$7)),0,MAX(0,ROUND((INDEX($E432:$G432,BI$5)-SUMIFS(TF_Timer,TF_Tekniker,BI$4,TF_Dato,$A432))*2,0)/2)))</f>
        <v/>
      </c>
    </row>
    <row r="433">
      <c r="A433" s="64">
        <f>A432+1</f>
        <v/>
      </c>
      <c r="B433">
        <f>IF(MOD($A433-INDEX(SkiftStart,1),Syklus)&lt;DagK,"K",IF(MOD($A433-INDEX(SkiftStart,1),Syklus)&lt;DagK+DagH,"H",IF(MOD($A433-INDEX(SkiftStart,1),Syklus)&lt;DagK+DagH+DagD,"D","F")))</f>
        <v/>
      </c>
      <c r="C433">
        <f>IF(MOD($A433-INDEX(SkiftStart,2),Syklus)&lt;DagK,"K",IF(MOD($A433-INDEX(SkiftStart,2),Syklus)&lt;DagK+DagH,"H",IF(MOD($A433-INDEX(SkiftStart,2),Syklus)&lt;DagK+DagH+DagD,"D","F")))</f>
        <v/>
      </c>
      <c r="D433">
        <f>IF(MOD($A433-INDEX(SkiftStart,3),Syklus)&lt;DagK,"K",IF(MOD($A433-INDEX(SkiftStart,3),Syklus)&lt;DagK+DagH,"H",IF(MOD($A433-INDEX(SkiftStart,3),Syklus)&lt;DagK+DagH+DagD,"D","F")))</f>
        <v/>
      </c>
      <c r="E433">
        <f>IF(B433="F",0,IF(WEEKDAY($A433,2)=5,INDEX(TimerFr,MATCH(B433,FaseKode,0)),INDEX(TimerMT,MATCH(B433,FaseKode,0))))</f>
        <v/>
      </c>
      <c r="F433">
        <f>IF(C433="F",0,IF(WEEKDAY($A433,2)=5,INDEX(TimerFr,MATCH(C433,FaseKode,0)),INDEX(TimerMT,MATCH(C433,FaseKode,0))))</f>
        <v/>
      </c>
      <c r="G433">
        <f>IF(D433="F",0,IF(WEEKDAY($A433,2)=5,INDEX(TimerFr,MATCH(D433,FaseKode,0)),INDEX(TimerMT,MATCH(D433,FaseKode,0))))</f>
        <v/>
      </c>
      <c r="H433">
        <f>IF(OR(H$4="",$A433&gt;TODAY()),0,IF(OR(INDEX($B433:$D433,H$5)="F",AND(H$6&gt;0,$A433&lt;H$6),AND(H$7&gt;0,$A433&gt;H$7)),0,MAX(0,ROUND((INDEX($E433:$G433,H$5)-SUMIFS(TF_Timer,TF_Tekniker,H$4,TF_Dato,$A433))*2,0)/2)))</f>
        <v/>
      </c>
      <c r="I433">
        <f>IF(OR(I$4="",$A433&gt;TODAY()),0,IF(OR(INDEX($B433:$D433,I$5)="F",AND(I$6&gt;0,$A433&lt;I$6),AND(I$7&gt;0,$A433&gt;I$7)),0,MAX(0,ROUND((INDEX($E433:$G433,I$5)-SUMIFS(TF_Timer,TF_Tekniker,I$4,TF_Dato,$A433))*2,0)/2)))</f>
        <v/>
      </c>
      <c r="J433">
        <f>IF(OR(J$4="",$A433&gt;TODAY()),0,IF(OR(INDEX($B433:$D433,J$5)="F",AND(J$6&gt;0,$A433&lt;J$6),AND(J$7&gt;0,$A433&gt;J$7)),0,MAX(0,ROUND((INDEX($E433:$G433,J$5)-SUMIFS(TF_Timer,TF_Tekniker,J$4,TF_Dato,$A433))*2,0)/2)))</f>
        <v/>
      </c>
      <c r="K433">
        <f>IF(OR(K$4="",$A433&gt;TODAY()),0,IF(OR(INDEX($B433:$D433,K$5)="F",AND(K$6&gt;0,$A433&lt;K$6),AND(K$7&gt;0,$A433&gt;K$7)),0,MAX(0,ROUND((INDEX($E433:$G433,K$5)-SUMIFS(TF_Timer,TF_Tekniker,K$4,TF_Dato,$A433))*2,0)/2)))</f>
        <v/>
      </c>
      <c r="L433">
        <f>IF(OR(L$4="",$A433&gt;TODAY()),0,IF(OR(INDEX($B433:$D433,L$5)="F",AND(L$6&gt;0,$A433&lt;L$6),AND(L$7&gt;0,$A433&gt;L$7)),0,MAX(0,ROUND((INDEX($E433:$G433,L$5)-SUMIFS(TF_Timer,TF_Tekniker,L$4,TF_Dato,$A433))*2,0)/2)))</f>
        <v/>
      </c>
      <c r="M433">
        <f>IF(OR(M$4="",$A433&gt;TODAY()),0,IF(OR(INDEX($B433:$D433,M$5)="F",AND(M$6&gt;0,$A433&lt;M$6),AND(M$7&gt;0,$A433&gt;M$7)),0,MAX(0,ROUND((INDEX($E433:$G433,M$5)-SUMIFS(TF_Timer,TF_Tekniker,M$4,TF_Dato,$A433))*2,0)/2)))</f>
        <v/>
      </c>
      <c r="N433">
        <f>IF(OR(N$4="",$A433&gt;TODAY()),0,IF(OR(INDEX($B433:$D433,N$5)="F",AND(N$6&gt;0,$A433&lt;N$6),AND(N$7&gt;0,$A433&gt;N$7)),0,MAX(0,ROUND((INDEX($E433:$G433,N$5)-SUMIFS(TF_Timer,TF_Tekniker,N$4,TF_Dato,$A433))*2,0)/2)))</f>
        <v/>
      </c>
      <c r="O433">
        <f>IF(OR(O$4="",$A433&gt;TODAY()),0,IF(OR(INDEX($B433:$D433,O$5)="F",AND(O$6&gt;0,$A433&lt;O$6),AND(O$7&gt;0,$A433&gt;O$7)),0,MAX(0,ROUND((INDEX($E433:$G433,O$5)-SUMIFS(TF_Timer,TF_Tekniker,O$4,TF_Dato,$A433))*2,0)/2)))</f>
        <v/>
      </c>
      <c r="P433">
        <f>IF(OR(P$4="",$A433&gt;TODAY()),0,IF(OR(INDEX($B433:$D433,P$5)="F",AND(P$6&gt;0,$A433&lt;P$6),AND(P$7&gt;0,$A433&gt;P$7)),0,MAX(0,ROUND((INDEX($E433:$G433,P$5)-SUMIFS(TF_Timer,TF_Tekniker,P$4,TF_Dato,$A433))*2,0)/2)))</f>
        <v/>
      </c>
      <c r="Q433">
        <f>IF(OR(Q$4="",$A433&gt;TODAY()),0,IF(OR(INDEX($B433:$D433,Q$5)="F",AND(Q$6&gt;0,$A433&lt;Q$6),AND(Q$7&gt;0,$A433&gt;Q$7)),0,MAX(0,ROUND((INDEX($E433:$G433,Q$5)-SUMIFS(TF_Timer,TF_Tekniker,Q$4,TF_Dato,$A433))*2,0)/2)))</f>
        <v/>
      </c>
      <c r="R433">
        <f>IF(OR(R$4="",$A433&gt;TODAY()),0,IF(OR(INDEX($B433:$D433,R$5)="F",AND(R$6&gt;0,$A433&lt;R$6),AND(R$7&gt;0,$A433&gt;R$7)),0,MAX(0,ROUND((INDEX($E433:$G433,R$5)-SUMIFS(TF_Timer,TF_Tekniker,R$4,TF_Dato,$A433))*2,0)/2)))</f>
        <v/>
      </c>
      <c r="S433">
        <f>IF(OR(S$4="",$A433&gt;TODAY()),0,IF(OR(INDEX($B433:$D433,S$5)="F",AND(S$6&gt;0,$A433&lt;S$6),AND(S$7&gt;0,$A433&gt;S$7)),0,MAX(0,ROUND((INDEX($E433:$G433,S$5)-SUMIFS(TF_Timer,TF_Tekniker,S$4,TF_Dato,$A433))*2,0)/2)))</f>
        <v/>
      </c>
      <c r="T433">
        <f>IF(OR(T$4="",$A433&gt;TODAY()),0,IF(OR(INDEX($B433:$D433,T$5)="F",AND(T$6&gt;0,$A433&lt;T$6),AND(T$7&gt;0,$A433&gt;T$7)),0,MAX(0,ROUND((INDEX($E433:$G433,T$5)-SUMIFS(TF_Timer,TF_Tekniker,T$4,TF_Dato,$A433))*2,0)/2)))</f>
        <v/>
      </c>
      <c r="U433">
        <f>IF(OR(U$4="",$A433&gt;TODAY()),0,IF(OR(INDEX($B433:$D433,U$5)="F",AND(U$6&gt;0,$A433&lt;U$6),AND(U$7&gt;0,$A433&gt;U$7)),0,MAX(0,ROUND((INDEX($E433:$G433,U$5)-SUMIFS(TF_Timer,TF_Tekniker,U$4,TF_Dato,$A433))*2,0)/2)))</f>
        <v/>
      </c>
      <c r="V433">
        <f>IF(OR(V$4="",$A433&gt;TODAY()),0,IF(OR(INDEX($B433:$D433,V$5)="F",AND(V$6&gt;0,$A433&lt;V$6),AND(V$7&gt;0,$A433&gt;V$7)),0,MAX(0,ROUND((INDEX($E433:$G433,V$5)-SUMIFS(TF_Timer,TF_Tekniker,V$4,TF_Dato,$A433))*2,0)/2)))</f>
        <v/>
      </c>
      <c r="W433">
        <f>IF(OR(W$4="",$A433&gt;TODAY()),0,IF(OR(INDEX($B433:$D433,W$5)="F",AND(W$6&gt;0,$A433&lt;W$6),AND(W$7&gt;0,$A433&gt;W$7)),0,MAX(0,ROUND((INDEX($E433:$G433,W$5)-SUMIFS(TF_Timer,TF_Tekniker,W$4,TF_Dato,$A433))*2,0)/2)))</f>
        <v/>
      </c>
      <c r="X433">
        <f>IF(OR(X$4="",$A433&gt;TODAY()),0,IF(OR(INDEX($B433:$D433,X$5)="F",AND(X$6&gt;0,$A433&lt;X$6),AND(X$7&gt;0,$A433&gt;X$7)),0,MAX(0,ROUND((INDEX($E433:$G433,X$5)-SUMIFS(TF_Timer,TF_Tekniker,X$4,TF_Dato,$A433))*2,0)/2)))</f>
        <v/>
      </c>
      <c r="Y433">
        <f>IF(OR(Y$4="",$A433&gt;TODAY()),0,IF(OR(INDEX($B433:$D433,Y$5)="F",AND(Y$6&gt;0,$A433&lt;Y$6),AND(Y$7&gt;0,$A433&gt;Y$7)),0,MAX(0,ROUND((INDEX($E433:$G433,Y$5)-SUMIFS(TF_Timer,TF_Tekniker,Y$4,TF_Dato,$A433))*2,0)/2)))</f>
        <v/>
      </c>
      <c r="Z433">
        <f>IF(OR(Z$4="",$A433&gt;TODAY()),0,IF(OR(INDEX($B433:$D433,Z$5)="F",AND(Z$6&gt;0,$A433&lt;Z$6),AND(Z$7&gt;0,$A433&gt;Z$7)),0,MAX(0,ROUND((INDEX($E433:$G433,Z$5)-SUMIFS(TF_Timer,TF_Tekniker,Z$4,TF_Dato,$A433))*2,0)/2)))</f>
        <v/>
      </c>
      <c r="AA433">
        <f>IF(OR(AA$4="",$A433&gt;TODAY()),0,IF(OR(INDEX($B433:$D433,AA$5)="F",AND(AA$6&gt;0,$A433&lt;AA$6),AND(AA$7&gt;0,$A433&gt;AA$7)),0,MAX(0,ROUND((INDEX($E433:$G433,AA$5)-SUMIFS(TF_Timer,TF_Tekniker,AA$4,TF_Dato,$A433))*2,0)/2)))</f>
        <v/>
      </c>
      <c r="AB433">
        <f>IF(OR(AB$4="",$A433&gt;TODAY()),0,IF(OR(INDEX($B433:$D433,AB$5)="F",AND(AB$6&gt;0,$A433&lt;AB$6),AND(AB$7&gt;0,$A433&gt;AB$7)),0,MAX(0,ROUND((INDEX($E433:$G433,AB$5)-SUMIFS(TF_Timer,TF_Tekniker,AB$4,TF_Dato,$A433))*2,0)/2)))</f>
        <v/>
      </c>
      <c r="AC433">
        <f>IF(OR(AC$4="",$A433&gt;TODAY()),0,IF(OR(INDEX($B433:$D433,AC$5)="F",AND(AC$6&gt;0,$A433&lt;AC$6),AND(AC$7&gt;0,$A433&gt;AC$7)),0,MAX(0,ROUND((INDEX($E433:$G433,AC$5)-SUMIFS(TF_Timer,TF_Tekniker,AC$4,TF_Dato,$A433))*2,0)/2)))</f>
        <v/>
      </c>
      <c r="AD433">
        <f>IF(OR(AD$4="",$A433&gt;TODAY()),0,IF(OR(INDEX($B433:$D433,AD$5)="F",AND(AD$6&gt;0,$A433&lt;AD$6),AND(AD$7&gt;0,$A433&gt;AD$7)),0,MAX(0,ROUND((INDEX($E433:$G433,AD$5)-SUMIFS(TF_Timer,TF_Tekniker,AD$4,TF_Dato,$A433))*2,0)/2)))</f>
        <v/>
      </c>
      <c r="AE433">
        <f>IF(OR(AE$4="",$A433&gt;TODAY()),0,IF(OR(INDEX($B433:$D433,AE$5)="F",AND(AE$6&gt;0,$A433&lt;AE$6),AND(AE$7&gt;0,$A433&gt;AE$7)),0,MAX(0,ROUND((INDEX($E433:$G433,AE$5)-SUMIFS(TF_Timer,TF_Tekniker,AE$4,TF_Dato,$A433))*2,0)/2)))</f>
        <v/>
      </c>
      <c r="AF433">
        <f>IF(OR(AF$4="",$A433&gt;TODAY()),0,IF(OR(INDEX($B433:$D433,AF$5)="F",AND(AF$6&gt;0,$A433&lt;AF$6),AND(AF$7&gt;0,$A433&gt;AF$7)),0,MAX(0,ROUND((INDEX($E433:$G433,AF$5)-SUMIFS(TF_Timer,TF_Tekniker,AF$4,TF_Dato,$A433))*2,0)/2)))</f>
        <v/>
      </c>
      <c r="AG433">
        <f>IF(OR(AG$4="",$A433&gt;TODAY()),0,IF(OR(INDEX($B433:$D433,AG$5)="F",AND(AG$6&gt;0,$A433&lt;AG$6),AND(AG$7&gt;0,$A433&gt;AG$7)),0,MAX(0,ROUND((INDEX($E433:$G433,AG$5)-SUMIFS(TF_Timer,TF_Tekniker,AG$4,TF_Dato,$A433))*2,0)/2)))</f>
        <v/>
      </c>
      <c r="AH433">
        <f>IF(OR(AH$4="",$A433&gt;TODAY()),0,IF(OR(INDEX($B433:$D433,AH$5)="F",AND(AH$6&gt;0,$A433&lt;AH$6),AND(AH$7&gt;0,$A433&gt;AH$7)),0,MAX(0,ROUND((INDEX($E433:$G433,AH$5)-SUMIFS(TF_Timer,TF_Tekniker,AH$4,TF_Dato,$A433))*2,0)/2)))</f>
        <v/>
      </c>
      <c r="AI433">
        <f>IF(OR(AI$4="",$A433&gt;TODAY()),0,IF(OR(INDEX($B433:$D433,AI$5)="F",AND(AI$6&gt;0,$A433&lt;AI$6),AND(AI$7&gt;0,$A433&gt;AI$7)),0,MAX(0,ROUND((INDEX($E433:$G433,AI$5)-SUMIFS(TF_Timer,TF_Tekniker,AI$4,TF_Dato,$A433))*2,0)/2)))</f>
        <v/>
      </c>
      <c r="AJ433">
        <f>IF(OR(AJ$4="",$A433&gt;TODAY()),0,IF(OR(INDEX($B433:$D433,AJ$5)="F",AND(AJ$6&gt;0,$A433&lt;AJ$6),AND(AJ$7&gt;0,$A433&gt;AJ$7)),0,MAX(0,ROUND((INDEX($E433:$G433,AJ$5)-SUMIFS(TF_Timer,TF_Tekniker,AJ$4,TF_Dato,$A433))*2,0)/2)))</f>
        <v/>
      </c>
      <c r="AK433">
        <f>IF(OR(AK$4="",$A433&gt;TODAY()),0,IF(OR(INDEX($B433:$D433,AK$5)="F",AND(AK$6&gt;0,$A433&lt;AK$6),AND(AK$7&gt;0,$A433&gt;AK$7)),0,MAX(0,ROUND((INDEX($E433:$G433,AK$5)-SUMIFS(TF_Timer,TF_Tekniker,AK$4,TF_Dato,$A433))*2,0)/2)))</f>
        <v/>
      </c>
      <c r="AL433">
        <f>IF(OR(AL$4="",$A433&gt;TODAY()),0,IF(OR(INDEX($B433:$D433,AL$5)="F",AND(AL$6&gt;0,$A433&lt;AL$6),AND(AL$7&gt;0,$A433&gt;AL$7)),0,MAX(0,ROUND((INDEX($E433:$G433,AL$5)-SUMIFS(TF_Timer,TF_Tekniker,AL$4,TF_Dato,$A433))*2,0)/2)))</f>
        <v/>
      </c>
      <c r="AM433">
        <f>IF(OR(AM$4="",$A433&gt;TODAY()),0,IF(OR(INDEX($B433:$D433,AM$5)="F",AND(AM$6&gt;0,$A433&lt;AM$6),AND(AM$7&gt;0,$A433&gt;AM$7)),0,MAX(0,ROUND((INDEX($E433:$G433,AM$5)-SUMIFS(TF_Timer,TF_Tekniker,AM$4,TF_Dato,$A433))*2,0)/2)))</f>
        <v/>
      </c>
      <c r="AN433">
        <f>IF(OR(AN$4="",$A433&gt;TODAY()),0,IF(OR(INDEX($B433:$D433,AN$5)="F",AND(AN$6&gt;0,$A433&lt;AN$6),AND(AN$7&gt;0,$A433&gt;AN$7)),0,MAX(0,ROUND((INDEX($E433:$G433,AN$5)-SUMIFS(TF_Timer,TF_Tekniker,AN$4,TF_Dato,$A433))*2,0)/2)))</f>
        <v/>
      </c>
      <c r="AO433">
        <f>IF(OR(AO$4="",$A433&gt;TODAY()),0,IF(OR(INDEX($B433:$D433,AO$5)="F",AND(AO$6&gt;0,$A433&lt;AO$6),AND(AO$7&gt;0,$A433&gt;AO$7)),0,MAX(0,ROUND((INDEX($E433:$G433,AO$5)-SUMIFS(TF_Timer,TF_Tekniker,AO$4,TF_Dato,$A433))*2,0)/2)))</f>
        <v/>
      </c>
      <c r="AP433">
        <f>IF(OR(AP$4="",$A433&gt;TODAY()),0,IF(OR(INDEX($B433:$D433,AP$5)="F",AND(AP$6&gt;0,$A433&lt;AP$6),AND(AP$7&gt;0,$A433&gt;AP$7)),0,MAX(0,ROUND((INDEX($E433:$G433,AP$5)-SUMIFS(TF_Timer,TF_Tekniker,AP$4,TF_Dato,$A433))*2,0)/2)))</f>
        <v/>
      </c>
      <c r="AQ433">
        <f>IF(OR(AQ$4="",$A433&gt;TODAY()),0,IF(OR(INDEX($B433:$D433,AQ$5)="F",AND(AQ$6&gt;0,$A433&lt;AQ$6),AND(AQ$7&gt;0,$A433&gt;AQ$7)),0,MAX(0,ROUND((INDEX($E433:$G433,AQ$5)-SUMIFS(TF_Timer,TF_Tekniker,AQ$4,TF_Dato,$A433))*2,0)/2)))</f>
        <v/>
      </c>
      <c r="AR433">
        <f>IF(OR(AR$4="",$A433&gt;TODAY()),0,IF(OR(INDEX($B433:$D433,AR$5)="F",AND(AR$6&gt;0,$A433&lt;AR$6),AND(AR$7&gt;0,$A433&gt;AR$7)),0,MAX(0,ROUND((INDEX($E433:$G433,AR$5)-SUMIFS(TF_Timer,TF_Tekniker,AR$4,TF_Dato,$A433))*2,0)/2)))</f>
        <v/>
      </c>
      <c r="AS433">
        <f>IF(OR(AS$4="",$A433&gt;TODAY()),0,IF(OR(INDEX($B433:$D433,AS$5)="F",AND(AS$6&gt;0,$A433&lt;AS$6),AND(AS$7&gt;0,$A433&gt;AS$7)),0,MAX(0,ROUND((INDEX($E433:$G433,AS$5)-SUMIFS(TF_Timer,TF_Tekniker,AS$4,TF_Dato,$A433))*2,0)/2)))</f>
        <v/>
      </c>
      <c r="AT433">
        <f>IF(OR(AT$4="",$A433&gt;TODAY()),0,IF(OR(INDEX($B433:$D433,AT$5)="F",AND(AT$6&gt;0,$A433&lt;AT$6),AND(AT$7&gt;0,$A433&gt;AT$7)),0,MAX(0,ROUND((INDEX($E433:$G433,AT$5)-SUMIFS(TF_Timer,TF_Tekniker,AT$4,TF_Dato,$A433))*2,0)/2)))</f>
        <v/>
      </c>
      <c r="AU433">
        <f>IF(OR(AU$4="",$A433&gt;TODAY()),0,IF(OR(INDEX($B433:$D433,AU$5)="F",AND(AU$6&gt;0,$A433&lt;AU$6),AND(AU$7&gt;0,$A433&gt;AU$7)),0,MAX(0,ROUND((INDEX($E433:$G433,AU$5)-SUMIFS(TF_Timer,TF_Tekniker,AU$4,TF_Dato,$A433))*2,0)/2)))</f>
        <v/>
      </c>
      <c r="AV433">
        <f>IF(OR(AV$4="",$A433&gt;TODAY()),0,IF(OR(INDEX($B433:$D433,AV$5)="F",AND(AV$6&gt;0,$A433&lt;AV$6),AND(AV$7&gt;0,$A433&gt;AV$7)),0,MAX(0,ROUND((INDEX($E433:$G433,AV$5)-SUMIFS(TF_Timer,TF_Tekniker,AV$4,TF_Dato,$A433))*2,0)/2)))</f>
        <v/>
      </c>
      <c r="AW433">
        <f>IF(OR(AW$4="",$A433&gt;TODAY()),0,IF(OR(INDEX($B433:$D433,AW$5)="F",AND(AW$6&gt;0,$A433&lt;AW$6),AND(AW$7&gt;0,$A433&gt;AW$7)),0,MAX(0,ROUND((INDEX($E433:$G433,AW$5)-SUMIFS(TF_Timer,TF_Tekniker,AW$4,TF_Dato,$A433))*2,0)/2)))</f>
        <v/>
      </c>
      <c r="AX433">
        <f>IF(OR(AX$4="",$A433&gt;TODAY()),0,IF(OR(INDEX($B433:$D433,AX$5)="F",AND(AX$6&gt;0,$A433&lt;AX$6),AND(AX$7&gt;0,$A433&gt;AX$7)),0,MAX(0,ROUND((INDEX($E433:$G433,AX$5)-SUMIFS(TF_Timer,TF_Tekniker,AX$4,TF_Dato,$A433))*2,0)/2)))</f>
        <v/>
      </c>
      <c r="AY433">
        <f>IF(OR(AY$4="",$A433&gt;TODAY()),0,IF(OR(INDEX($B433:$D433,AY$5)="F",AND(AY$6&gt;0,$A433&lt;AY$6),AND(AY$7&gt;0,$A433&gt;AY$7)),0,MAX(0,ROUND((INDEX($E433:$G433,AY$5)-SUMIFS(TF_Timer,TF_Tekniker,AY$4,TF_Dato,$A433))*2,0)/2)))</f>
        <v/>
      </c>
      <c r="AZ433">
        <f>IF(OR(AZ$4="",$A433&gt;TODAY()),0,IF(OR(INDEX($B433:$D433,AZ$5)="F",AND(AZ$6&gt;0,$A433&lt;AZ$6),AND(AZ$7&gt;0,$A433&gt;AZ$7)),0,MAX(0,ROUND((INDEX($E433:$G433,AZ$5)-SUMIFS(TF_Timer,TF_Tekniker,AZ$4,TF_Dato,$A433))*2,0)/2)))</f>
        <v/>
      </c>
      <c r="BA433">
        <f>IF(OR(BA$4="",$A433&gt;TODAY()),0,IF(OR(INDEX($B433:$D433,BA$5)="F",AND(BA$6&gt;0,$A433&lt;BA$6),AND(BA$7&gt;0,$A433&gt;BA$7)),0,MAX(0,ROUND((INDEX($E433:$G433,BA$5)-SUMIFS(TF_Timer,TF_Tekniker,BA$4,TF_Dato,$A433))*2,0)/2)))</f>
        <v/>
      </c>
      <c r="BB433">
        <f>IF(OR(BB$4="",$A433&gt;TODAY()),0,IF(OR(INDEX($B433:$D433,BB$5)="F",AND(BB$6&gt;0,$A433&lt;BB$6),AND(BB$7&gt;0,$A433&gt;BB$7)),0,MAX(0,ROUND((INDEX($E433:$G433,BB$5)-SUMIFS(TF_Timer,TF_Tekniker,BB$4,TF_Dato,$A433))*2,0)/2)))</f>
        <v/>
      </c>
      <c r="BC433">
        <f>IF(OR(BC$4="",$A433&gt;TODAY()),0,IF(OR(INDEX($B433:$D433,BC$5)="F",AND(BC$6&gt;0,$A433&lt;BC$6),AND(BC$7&gt;0,$A433&gt;BC$7)),0,MAX(0,ROUND((INDEX($E433:$G433,BC$5)-SUMIFS(TF_Timer,TF_Tekniker,BC$4,TF_Dato,$A433))*2,0)/2)))</f>
        <v/>
      </c>
      <c r="BD433">
        <f>IF(OR(BD$4="",$A433&gt;TODAY()),0,IF(OR(INDEX($B433:$D433,BD$5)="F",AND(BD$6&gt;0,$A433&lt;BD$6),AND(BD$7&gt;0,$A433&gt;BD$7)),0,MAX(0,ROUND((INDEX($E433:$G433,BD$5)-SUMIFS(TF_Timer,TF_Tekniker,BD$4,TF_Dato,$A433))*2,0)/2)))</f>
        <v/>
      </c>
      <c r="BE433">
        <f>IF(OR(BE$4="",$A433&gt;TODAY()),0,IF(OR(INDEX($B433:$D433,BE$5)="F",AND(BE$6&gt;0,$A433&lt;BE$6),AND(BE$7&gt;0,$A433&gt;BE$7)),0,MAX(0,ROUND((INDEX($E433:$G433,BE$5)-SUMIFS(TF_Timer,TF_Tekniker,BE$4,TF_Dato,$A433))*2,0)/2)))</f>
        <v/>
      </c>
      <c r="BF433">
        <f>IF(OR(BF$4="",$A433&gt;TODAY()),0,IF(OR(INDEX($B433:$D433,BF$5)="F",AND(BF$6&gt;0,$A433&lt;BF$6),AND(BF$7&gt;0,$A433&gt;BF$7)),0,MAX(0,ROUND((INDEX($E433:$G433,BF$5)-SUMIFS(TF_Timer,TF_Tekniker,BF$4,TF_Dato,$A433))*2,0)/2)))</f>
        <v/>
      </c>
      <c r="BG433">
        <f>IF(OR(BG$4="",$A433&gt;TODAY()),0,IF(OR(INDEX($B433:$D433,BG$5)="F",AND(BG$6&gt;0,$A433&lt;BG$6),AND(BG$7&gt;0,$A433&gt;BG$7)),0,MAX(0,ROUND((INDEX($E433:$G433,BG$5)-SUMIFS(TF_Timer,TF_Tekniker,BG$4,TF_Dato,$A433))*2,0)/2)))</f>
        <v/>
      </c>
      <c r="BH433">
        <f>IF(OR(BH$4="",$A433&gt;TODAY()),0,IF(OR(INDEX($B433:$D433,BH$5)="F",AND(BH$6&gt;0,$A433&lt;BH$6),AND(BH$7&gt;0,$A433&gt;BH$7)),0,MAX(0,ROUND((INDEX($E433:$G433,BH$5)-SUMIFS(TF_Timer,TF_Tekniker,BH$4,TF_Dato,$A433))*2,0)/2)))</f>
        <v/>
      </c>
      <c r="BI433">
        <f>IF(OR(BI$4="",$A433&gt;TODAY()),0,IF(OR(INDEX($B433:$D433,BI$5)="F",AND(BI$6&gt;0,$A433&lt;BI$6),AND(BI$7&gt;0,$A433&gt;BI$7)),0,MAX(0,ROUND((INDEX($E433:$G433,BI$5)-SUMIFS(TF_Timer,TF_Tekniker,BI$4,TF_Dato,$A433))*2,0)/2)))</f>
        <v/>
      </c>
    </row>
    <row r="434">
      <c r="A434" s="64">
        <f>A433+1</f>
        <v/>
      </c>
      <c r="B434">
        <f>IF(MOD($A434-INDEX(SkiftStart,1),Syklus)&lt;DagK,"K",IF(MOD($A434-INDEX(SkiftStart,1),Syklus)&lt;DagK+DagH,"H",IF(MOD($A434-INDEX(SkiftStart,1),Syklus)&lt;DagK+DagH+DagD,"D","F")))</f>
        <v/>
      </c>
      <c r="C434">
        <f>IF(MOD($A434-INDEX(SkiftStart,2),Syklus)&lt;DagK,"K",IF(MOD($A434-INDEX(SkiftStart,2),Syklus)&lt;DagK+DagH,"H",IF(MOD($A434-INDEX(SkiftStart,2),Syklus)&lt;DagK+DagH+DagD,"D","F")))</f>
        <v/>
      </c>
      <c r="D434">
        <f>IF(MOD($A434-INDEX(SkiftStart,3),Syklus)&lt;DagK,"K",IF(MOD($A434-INDEX(SkiftStart,3),Syklus)&lt;DagK+DagH,"H",IF(MOD($A434-INDEX(SkiftStart,3),Syklus)&lt;DagK+DagH+DagD,"D","F")))</f>
        <v/>
      </c>
      <c r="E434">
        <f>IF(B434="F",0,IF(WEEKDAY($A434,2)=5,INDEX(TimerFr,MATCH(B434,FaseKode,0)),INDEX(TimerMT,MATCH(B434,FaseKode,0))))</f>
        <v/>
      </c>
      <c r="F434">
        <f>IF(C434="F",0,IF(WEEKDAY($A434,2)=5,INDEX(TimerFr,MATCH(C434,FaseKode,0)),INDEX(TimerMT,MATCH(C434,FaseKode,0))))</f>
        <v/>
      </c>
      <c r="G434">
        <f>IF(D434="F",0,IF(WEEKDAY($A434,2)=5,INDEX(TimerFr,MATCH(D434,FaseKode,0)),INDEX(TimerMT,MATCH(D434,FaseKode,0))))</f>
        <v/>
      </c>
      <c r="H434">
        <f>IF(OR(H$4="",$A434&gt;TODAY()),0,IF(OR(INDEX($B434:$D434,H$5)="F",AND(H$6&gt;0,$A434&lt;H$6),AND(H$7&gt;0,$A434&gt;H$7)),0,MAX(0,ROUND((INDEX($E434:$G434,H$5)-SUMIFS(TF_Timer,TF_Tekniker,H$4,TF_Dato,$A434))*2,0)/2)))</f>
        <v/>
      </c>
      <c r="I434">
        <f>IF(OR(I$4="",$A434&gt;TODAY()),0,IF(OR(INDEX($B434:$D434,I$5)="F",AND(I$6&gt;0,$A434&lt;I$6),AND(I$7&gt;0,$A434&gt;I$7)),0,MAX(0,ROUND((INDEX($E434:$G434,I$5)-SUMIFS(TF_Timer,TF_Tekniker,I$4,TF_Dato,$A434))*2,0)/2)))</f>
        <v/>
      </c>
      <c r="J434">
        <f>IF(OR(J$4="",$A434&gt;TODAY()),0,IF(OR(INDEX($B434:$D434,J$5)="F",AND(J$6&gt;0,$A434&lt;J$6),AND(J$7&gt;0,$A434&gt;J$7)),0,MAX(0,ROUND((INDEX($E434:$G434,J$5)-SUMIFS(TF_Timer,TF_Tekniker,J$4,TF_Dato,$A434))*2,0)/2)))</f>
        <v/>
      </c>
      <c r="K434">
        <f>IF(OR(K$4="",$A434&gt;TODAY()),0,IF(OR(INDEX($B434:$D434,K$5)="F",AND(K$6&gt;0,$A434&lt;K$6),AND(K$7&gt;0,$A434&gt;K$7)),0,MAX(0,ROUND((INDEX($E434:$G434,K$5)-SUMIFS(TF_Timer,TF_Tekniker,K$4,TF_Dato,$A434))*2,0)/2)))</f>
        <v/>
      </c>
      <c r="L434">
        <f>IF(OR(L$4="",$A434&gt;TODAY()),0,IF(OR(INDEX($B434:$D434,L$5)="F",AND(L$6&gt;0,$A434&lt;L$6),AND(L$7&gt;0,$A434&gt;L$7)),0,MAX(0,ROUND((INDEX($E434:$G434,L$5)-SUMIFS(TF_Timer,TF_Tekniker,L$4,TF_Dato,$A434))*2,0)/2)))</f>
        <v/>
      </c>
      <c r="M434">
        <f>IF(OR(M$4="",$A434&gt;TODAY()),0,IF(OR(INDEX($B434:$D434,M$5)="F",AND(M$6&gt;0,$A434&lt;M$6),AND(M$7&gt;0,$A434&gt;M$7)),0,MAX(0,ROUND((INDEX($E434:$G434,M$5)-SUMIFS(TF_Timer,TF_Tekniker,M$4,TF_Dato,$A434))*2,0)/2)))</f>
        <v/>
      </c>
      <c r="N434">
        <f>IF(OR(N$4="",$A434&gt;TODAY()),0,IF(OR(INDEX($B434:$D434,N$5)="F",AND(N$6&gt;0,$A434&lt;N$6),AND(N$7&gt;0,$A434&gt;N$7)),0,MAX(0,ROUND((INDEX($E434:$G434,N$5)-SUMIFS(TF_Timer,TF_Tekniker,N$4,TF_Dato,$A434))*2,0)/2)))</f>
        <v/>
      </c>
      <c r="O434">
        <f>IF(OR(O$4="",$A434&gt;TODAY()),0,IF(OR(INDEX($B434:$D434,O$5)="F",AND(O$6&gt;0,$A434&lt;O$6),AND(O$7&gt;0,$A434&gt;O$7)),0,MAX(0,ROUND((INDEX($E434:$G434,O$5)-SUMIFS(TF_Timer,TF_Tekniker,O$4,TF_Dato,$A434))*2,0)/2)))</f>
        <v/>
      </c>
      <c r="P434">
        <f>IF(OR(P$4="",$A434&gt;TODAY()),0,IF(OR(INDEX($B434:$D434,P$5)="F",AND(P$6&gt;0,$A434&lt;P$6),AND(P$7&gt;0,$A434&gt;P$7)),0,MAX(0,ROUND((INDEX($E434:$G434,P$5)-SUMIFS(TF_Timer,TF_Tekniker,P$4,TF_Dato,$A434))*2,0)/2)))</f>
        <v/>
      </c>
      <c r="Q434">
        <f>IF(OR(Q$4="",$A434&gt;TODAY()),0,IF(OR(INDEX($B434:$D434,Q$5)="F",AND(Q$6&gt;0,$A434&lt;Q$6),AND(Q$7&gt;0,$A434&gt;Q$7)),0,MAX(0,ROUND((INDEX($E434:$G434,Q$5)-SUMIFS(TF_Timer,TF_Tekniker,Q$4,TF_Dato,$A434))*2,0)/2)))</f>
        <v/>
      </c>
      <c r="R434">
        <f>IF(OR(R$4="",$A434&gt;TODAY()),0,IF(OR(INDEX($B434:$D434,R$5)="F",AND(R$6&gt;0,$A434&lt;R$6),AND(R$7&gt;0,$A434&gt;R$7)),0,MAX(0,ROUND((INDEX($E434:$G434,R$5)-SUMIFS(TF_Timer,TF_Tekniker,R$4,TF_Dato,$A434))*2,0)/2)))</f>
        <v/>
      </c>
      <c r="S434">
        <f>IF(OR(S$4="",$A434&gt;TODAY()),0,IF(OR(INDEX($B434:$D434,S$5)="F",AND(S$6&gt;0,$A434&lt;S$6),AND(S$7&gt;0,$A434&gt;S$7)),0,MAX(0,ROUND((INDEX($E434:$G434,S$5)-SUMIFS(TF_Timer,TF_Tekniker,S$4,TF_Dato,$A434))*2,0)/2)))</f>
        <v/>
      </c>
      <c r="T434">
        <f>IF(OR(T$4="",$A434&gt;TODAY()),0,IF(OR(INDEX($B434:$D434,T$5)="F",AND(T$6&gt;0,$A434&lt;T$6),AND(T$7&gt;0,$A434&gt;T$7)),0,MAX(0,ROUND((INDEX($E434:$G434,T$5)-SUMIFS(TF_Timer,TF_Tekniker,T$4,TF_Dato,$A434))*2,0)/2)))</f>
        <v/>
      </c>
      <c r="U434">
        <f>IF(OR(U$4="",$A434&gt;TODAY()),0,IF(OR(INDEX($B434:$D434,U$5)="F",AND(U$6&gt;0,$A434&lt;U$6),AND(U$7&gt;0,$A434&gt;U$7)),0,MAX(0,ROUND((INDEX($E434:$G434,U$5)-SUMIFS(TF_Timer,TF_Tekniker,U$4,TF_Dato,$A434))*2,0)/2)))</f>
        <v/>
      </c>
      <c r="V434">
        <f>IF(OR(V$4="",$A434&gt;TODAY()),0,IF(OR(INDEX($B434:$D434,V$5)="F",AND(V$6&gt;0,$A434&lt;V$6),AND(V$7&gt;0,$A434&gt;V$7)),0,MAX(0,ROUND((INDEX($E434:$G434,V$5)-SUMIFS(TF_Timer,TF_Tekniker,V$4,TF_Dato,$A434))*2,0)/2)))</f>
        <v/>
      </c>
      <c r="W434">
        <f>IF(OR(W$4="",$A434&gt;TODAY()),0,IF(OR(INDEX($B434:$D434,W$5)="F",AND(W$6&gt;0,$A434&lt;W$6),AND(W$7&gt;0,$A434&gt;W$7)),0,MAX(0,ROUND((INDEX($E434:$G434,W$5)-SUMIFS(TF_Timer,TF_Tekniker,W$4,TF_Dato,$A434))*2,0)/2)))</f>
        <v/>
      </c>
      <c r="X434">
        <f>IF(OR(X$4="",$A434&gt;TODAY()),0,IF(OR(INDEX($B434:$D434,X$5)="F",AND(X$6&gt;0,$A434&lt;X$6),AND(X$7&gt;0,$A434&gt;X$7)),0,MAX(0,ROUND((INDEX($E434:$G434,X$5)-SUMIFS(TF_Timer,TF_Tekniker,X$4,TF_Dato,$A434))*2,0)/2)))</f>
        <v/>
      </c>
      <c r="Y434">
        <f>IF(OR(Y$4="",$A434&gt;TODAY()),0,IF(OR(INDEX($B434:$D434,Y$5)="F",AND(Y$6&gt;0,$A434&lt;Y$6),AND(Y$7&gt;0,$A434&gt;Y$7)),0,MAX(0,ROUND((INDEX($E434:$G434,Y$5)-SUMIFS(TF_Timer,TF_Tekniker,Y$4,TF_Dato,$A434))*2,0)/2)))</f>
        <v/>
      </c>
      <c r="Z434">
        <f>IF(OR(Z$4="",$A434&gt;TODAY()),0,IF(OR(INDEX($B434:$D434,Z$5)="F",AND(Z$6&gt;0,$A434&lt;Z$6),AND(Z$7&gt;0,$A434&gt;Z$7)),0,MAX(0,ROUND((INDEX($E434:$G434,Z$5)-SUMIFS(TF_Timer,TF_Tekniker,Z$4,TF_Dato,$A434))*2,0)/2)))</f>
        <v/>
      </c>
      <c r="AA434">
        <f>IF(OR(AA$4="",$A434&gt;TODAY()),0,IF(OR(INDEX($B434:$D434,AA$5)="F",AND(AA$6&gt;0,$A434&lt;AA$6),AND(AA$7&gt;0,$A434&gt;AA$7)),0,MAX(0,ROUND((INDEX($E434:$G434,AA$5)-SUMIFS(TF_Timer,TF_Tekniker,AA$4,TF_Dato,$A434))*2,0)/2)))</f>
        <v/>
      </c>
      <c r="AB434">
        <f>IF(OR(AB$4="",$A434&gt;TODAY()),0,IF(OR(INDEX($B434:$D434,AB$5)="F",AND(AB$6&gt;0,$A434&lt;AB$6),AND(AB$7&gt;0,$A434&gt;AB$7)),0,MAX(0,ROUND((INDEX($E434:$G434,AB$5)-SUMIFS(TF_Timer,TF_Tekniker,AB$4,TF_Dato,$A434))*2,0)/2)))</f>
        <v/>
      </c>
      <c r="AC434">
        <f>IF(OR(AC$4="",$A434&gt;TODAY()),0,IF(OR(INDEX($B434:$D434,AC$5)="F",AND(AC$6&gt;0,$A434&lt;AC$6),AND(AC$7&gt;0,$A434&gt;AC$7)),0,MAX(0,ROUND((INDEX($E434:$G434,AC$5)-SUMIFS(TF_Timer,TF_Tekniker,AC$4,TF_Dato,$A434))*2,0)/2)))</f>
        <v/>
      </c>
      <c r="AD434">
        <f>IF(OR(AD$4="",$A434&gt;TODAY()),0,IF(OR(INDEX($B434:$D434,AD$5)="F",AND(AD$6&gt;0,$A434&lt;AD$6),AND(AD$7&gt;0,$A434&gt;AD$7)),0,MAX(0,ROUND((INDEX($E434:$G434,AD$5)-SUMIFS(TF_Timer,TF_Tekniker,AD$4,TF_Dato,$A434))*2,0)/2)))</f>
        <v/>
      </c>
      <c r="AE434">
        <f>IF(OR(AE$4="",$A434&gt;TODAY()),0,IF(OR(INDEX($B434:$D434,AE$5)="F",AND(AE$6&gt;0,$A434&lt;AE$6),AND(AE$7&gt;0,$A434&gt;AE$7)),0,MAX(0,ROUND((INDEX($E434:$G434,AE$5)-SUMIFS(TF_Timer,TF_Tekniker,AE$4,TF_Dato,$A434))*2,0)/2)))</f>
        <v/>
      </c>
      <c r="AF434">
        <f>IF(OR(AF$4="",$A434&gt;TODAY()),0,IF(OR(INDEX($B434:$D434,AF$5)="F",AND(AF$6&gt;0,$A434&lt;AF$6),AND(AF$7&gt;0,$A434&gt;AF$7)),0,MAX(0,ROUND((INDEX($E434:$G434,AF$5)-SUMIFS(TF_Timer,TF_Tekniker,AF$4,TF_Dato,$A434))*2,0)/2)))</f>
        <v/>
      </c>
      <c r="AG434">
        <f>IF(OR(AG$4="",$A434&gt;TODAY()),0,IF(OR(INDEX($B434:$D434,AG$5)="F",AND(AG$6&gt;0,$A434&lt;AG$6),AND(AG$7&gt;0,$A434&gt;AG$7)),0,MAX(0,ROUND((INDEX($E434:$G434,AG$5)-SUMIFS(TF_Timer,TF_Tekniker,AG$4,TF_Dato,$A434))*2,0)/2)))</f>
        <v/>
      </c>
      <c r="AH434">
        <f>IF(OR(AH$4="",$A434&gt;TODAY()),0,IF(OR(INDEX($B434:$D434,AH$5)="F",AND(AH$6&gt;0,$A434&lt;AH$6),AND(AH$7&gt;0,$A434&gt;AH$7)),0,MAX(0,ROUND((INDEX($E434:$G434,AH$5)-SUMIFS(TF_Timer,TF_Tekniker,AH$4,TF_Dato,$A434))*2,0)/2)))</f>
        <v/>
      </c>
      <c r="AI434">
        <f>IF(OR(AI$4="",$A434&gt;TODAY()),0,IF(OR(INDEX($B434:$D434,AI$5)="F",AND(AI$6&gt;0,$A434&lt;AI$6),AND(AI$7&gt;0,$A434&gt;AI$7)),0,MAX(0,ROUND((INDEX($E434:$G434,AI$5)-SUMIFS(TF_Timer,TF_Tekniker,AI$4,TF_Dato,$A434))*2,0)/2)))</f>
        <v/>
      </c>
      <c r="AJ434">
        <f>IF(OR(AJ$4="",$A434&gt;TODAY()),0,IF(OR(INDEX($B434:$D434,AJ$5)="F",AND(AJ$6&gt;0,$A434&lt;AJ$6),AND(AJ$7&gt;0,$A434&gt;AJ$7)),0,MAX(0,ROUND((INDEX($E434:$G434,AJ$5)-SUMIFS(TF_Timer,TF_Tekniker,AJ$4,TF_Dato,$A434))*2,0)/2)))</f>
        <v/>
      </c>
      <c r="AK434">
        <f>IF(OR(AK$4="",$A434&gt;TODAY()),0,IF(OR(INDEX($B434:$D434,AK$5)="F",AND(AK$6&gt;0,$A434&lt;AK$6),AND(AK$7&gt;0,$A434&gt;AK$7)),0,MAX(0,ROUND((INDEX($E434:$G434,AK$5)-SUMIFS(TF_Timer,TF_Tekniker,AK$4,TF_Dato,$A434))*2,0)/2)))</f>
        <v/>
      </c>
      <c r="AL434">
        <f>IF(OR(AL$4="",$A434&gt;TODAY()),0,IF(OR(INDEX($B434:$D434,AL$5)="F",AND(AL$6&gt;0,$A434&lt;AL$6),AND(AL$7&gt;0,$A434&gt;AL$7)),0,MAX(0,ROUND((INDEX($E434:$G434,AL$5)-SUMIFS(TF_Timer,TF_Tekniker,AL$4,TF_Dato,$A434))*2,0)/2)))</f>
        <v/>
      </c>
      <c r="AM434">
        <f>IF(OR(AM$4="",$A434&gt;TODAY()),0,IF(OR(INDEX($B434:$D434,AM$5)="F",AND(AM$6&gt;0,$A434&lt;AM$6),AND(AM$7&gt;0,$A434&gt;AM$7)),0,MAX(0,ROUND((INDEX($E434:$G434,AM$5)-SUMIFS(TF_Timer,TF_Tekniker,AM$4,TF_Dato,$A434))*2,0)/2)))</f>
        <v/>
      </c>
      <c r="AN434">
        <f>IF(OR(AN$4="",$A434&gt;TODAY()),0,IF(OR(INDEX($B434:$D434,AN$5)="F",AND(AN$6&gt;0,$A434&lt;AN$6),AND(AN$7&gt;0,$A434&gt;AN$7)),0,MAX(0,ROUND((INDEX($E434:$G434,AN$5)-SUMIFS(TF_Timer,TF_Tekniker,AN$4,TF_Dato,$A434))*2,0)/2)))</f>
        <v/>
      </c>
      <c r="AO434">
        <f>IF(OR(AO$4="",$A434&gt;TODAY()),0,IF(OR(INDEX($B434:$D434,AO$5)="F",AND(AO$6&gt;0,$A434&lt;AO$6),AND(AO$7&gt;0,$A434&gt;AO$7)),0,MAX(0,ROUND((INDEX($E434:$G434,AO$5)-SUMIFS(TF_Timer,TF_Tekniker,AO$4,TF_Dato,$A434))*2,0)/2)))</f>
        <v/>
      </c>
      <c r="AP434">
        <f>IF(OR(AP$4="",$A434&gt;TODAY()),0,IF(OR(INDEX($B434:$D434,AP$5)="F",AND(AP$6&gt;0,$A434&lt;AP$6),AND(AP$7&gt;0,$A434&gt;AP$7)),0,MAX(0,ROUND((INDEX($E434:$G434,AP$5)-SUMIFS(TF_Timer,TF_Tekniker,AP$4,TF_Dato,$A434))*2,0)/2)))</f>
        <v/>
      </c>
      <c r="AQ434">
        <f>IF(OR(AQ$4="",$A434&gt;TODAY()),0,IF(OR(INDEX($B434:$D434,AQ$5)="F",AND(AQ$6&gt;0,$A434&lt;AQ$6),AND(AQ$7&gt;0,$A434&gt;AQ$7)),0,MAX(0,ROUND((INDEX($E434:$G434,AQ$5)-SUMIFS(TF_Timer,TF_Tekniker,AQ$4,TF_Dato,$A434))*2,0)/2)))</f>
        <v/>
      </c>
      <c r="AR434">
        <f>IF(OR(AR$4="",$A434&gt;TODAY()),0,IF(OR(INDEX($B434:$D434,AR$5)="F",AND(AR$6&gt;0,$A434&lt;AR$6),AND(AR$7&gt;0,$A434&gt;AR$7)),0,MAX(0,ROUND((INDEX($E434:$G434,AR$5)-SUMIFS(TF_Timer,TF_Tekniker,AR$4,TF_Dato,$A434))*2,0)/2)))</f>
        <v/>
      </c>
      <c r="AS434">
        <f>IF(OR(AS$4="",$A434&gt;TODAY()),0,IF(OR(INDEX($B434:$D434,AS$5)="F",AND(AS$6&gt;0,$A434&lt;AS$6),AND(AS$7&gt;0,$A434&gt;AS$7)),0,MAX(0,ROUND((INDEX($E434:$G434,AS$5)-SUMIFS(TF_Timer,TF_Tekniker,AS$4,TF_Dato,$A434))*2,0)/2)))</f>
        <v/>
      </c>
      <c r="AT434">
        <f>IF(OR(AT$4="",$A434&gt;TODAY()),0,IF(OR(INDEX($B434:$D434,AT$5)="F",AND(AT$6&gt;0,$A434&lt;AT$6),AND(AT$7&gt;0,$A434&gt;AT$7)),0,MAX(0,ROUND((INDEX($E434:$G434,AT$5)-SUMIFS(TF_Timer,TF_Tekniker,AT$4,TF_Dato,$A434))*2,0)/2)))</f>
        <v/>
      </c>
      <c r="AU434">
        <f>IF(OR(AU$4="",$A434&gt;TODAY()),0,IF(OR(INDEX($B434:$D434,AU$5)="F",AND(AU$6&gt;0,$A434&lt;AU$6),AND(AU$7&gt;0,$A434&gt;AU$7)),0,MAX(0,ROUND((INDEX($E434:$G434,AU$5)-SUMIFS(TF_Timer,TF_Tekniker,AU$4,TF_Dato,$A434))*2,0)/2)))</f>
        <v/>
      </c>
      <c r="AV434">
        <f>IF(OR(AV$4="",$A434&gt;TODAY()),0,IF(OR(INDEX($B434:$D434,AV$5)="F",AND(AV$6&gt;0,$A434&lt;AV$6),AND(AV$7&gt;0,$A434&gt;AV$7)),0,MAX(0,ROUND((INDEX($E434:$G434,AV$5)-SUMIFS(TF_Timer,TF_Tekniker,AV$4,TF_Dato,$A434))*2,0)/2)))</f>
        <v/>
      </c>
      <c r="AW434">
        <f>IF(OR(AW$4="",$A434&gt;TODAY()),0,IF(OR(INDEX($B434:$D434,AW$5)="F",AND(AW$6&gt;0,$A434&lt;AW$6),AND(AW$7&gt;0,$A434&gt;AW$7)),0,MAX(0,ROUND((INDEX($E434:$G434,AW$5)-SUMIFS(TF_Timer,TF_Tekniker,AW$4,TF_Dato,$A434))*2,0)/2)))</f>
        <v/>
      </c>
      <c r="AX434">
        <f>IF(OR(AX$4="",$A434&gt;TODAY()),0,IF(OR(INDEX($B434:$D434,AX$5)="F",AND(AX$6&gt;0,$A434&lt;AX$6),AND(AX$7&gt;0,$A434&gt;AX$7)),0,MAX(0,ROUND((INDEX($E434:$G434,AX$5)-SUMIFS(TF_Timer,TF_Tekniker,AX$4,TF_Dato,$A434))*2,0)/2)))</f>
        <v/>
      </c>
      <c r="AY434">
        <f>IF(OR(AY$4="",$A434&gt;TODAY()),0,IF(OR(INDEX($B434:$D434,AY$5)="F",AND(AY$6&gt;0,$A434&lt;AY$6),AND(AY$7&gt;0,$A434&gt;AY$7)),0,MAX(0,ROUND((INDEX($E434:$G434,AY$5)-SUMIFS(TF_Timer,TF_Tekniker,AY$4,TF_Dato,$A434))*2,0)/2)))</f>
        <v/>
      </c>
      <c r="AZ434">
        <f>IF(OR(AZ$4="",$A434&gt;TODAY()),0,IF(OR(INDEX($B434:$D434,AZ$5)="F",AND(AZ$6&gt;0,$A434&lt;AZ$6),AND(AZ$7&gt;0,$A434&gt;AZ$7)),0,MAX(0,ROUND((INDEX($E434:$G434,AZ$5)-SUMIFS(TF_Timer,TF_Tekniker,AZ$4,TF_Dato,$A434))*2,0)/2)))</f>
        <v/>
      </c>
      <c r="BA434">
        <f>IF(OR(BA$4="",$A434&gt;TODAY()),0,IF(OR(INDEX($B434:$D434,BA$5)="F",AND(BA$6&gt;0,$A434&lt;BA$6),AND(BA$7&gt;0,$A434&gt;BA$7)),0,MAX(0,ROUND((INDEX($E434:$G434,BA$5)-SUMIFS(TF_Timer,TF_Tekniker,BA$4,TF_Dato,$A434))*2,0)/2)))</f>
        <v/>
      </c>
      <c r="BB434">
        <f>IF(OR(BB$4="",$A434&gt;TODAY()),0,IF(OR(INDEX($B434:$D434,BB$5)="F",AND(BB$6&gt;0,$A434&lt;BB$6),AND(BB$7&gt;0,$A434&gt;BB$7)),0,MAX(0,ROUND((INDEX($E434:$G434,BB$5)-SUMIFS(TF_Timer,TF_Tekniker,BB$4,TF_Dato,$A434))*2,0)/2)))</f>
        <v/>
      </c>
      <c r="BC434">
        <f>IF(OR(BC$4="",$A434&gt;TODAY()),0,IF(OR(INDEX($B434:$D434,BC$5)="F",AND(BC$6&gt;0,$A434&lt;BC$6),AND(BC$7&gt;0,$A434&gt;BC$7)),0,MAX(0,ROUND((INDEX($E434:$G434,BC$5)-SUMIFS(TF_Timer,TF_Tekniker,BC$4,TF_Dato,$A434))*2,0)/2)))</f>
        <v/>
      </c>
      <c r="BD434">
        <f>IF(OR(BD$4="",$A434&gt;TODAY()),0,IF(OR(INDEX($B434:$D434,BD$5)="F",AND(BD$6&gt;0,$A434&lt;BD$6),AND(BD$7&gt;0,$A434&gt;BD$7)),0,MAX(0,ROUND((INDEX($E434:$G434,BD$5)-SUMIFS(TF_Timer,TF_Tekniker,BD$4,TF_Dato,$A434))*2,0)/2)))</f>
        <v/>
      </c>
      <c r="BE434">
        <f>IF(OR(BE$4="",$A434&gt;TODAY()),0,IF(OR(INDEX($B434:$D434,BE$5)="F",AND(BE$6&gt;0,$A434&lt;BE$6),AND(BE$7&gt;0,$A434&gt;BE$7)),0,MAX(0,ROUND((INDEX($E434:$G434,BE$5)-SUMIFS(TF_Timer,TF_Tekniker,BE$4,TF_Dato,$A434))*2,0)/2)))</f>
        <v/>
      </c>
      <c r="BF434">
        <f>IF(OR(BF$4="",$A434&gt;TODAY()),0,IF(OR(INDEX($B434:$D434,BF$5)="F",AND(BF$6&gt;0,$A434&lt;BF$6),AND(BF$7&gt;0,$A434&gt;BF$7)),0,MAX(0,ROUND((INDEX($E434:$G434,BF$5)-SUMIFS(TF_Timer,TF_Tekniker,BF$4,TF_Dato,$A434))*2,0)/2)))</f>
        <v/>
      </c>
      <c r="BG434">
        <f>IF(OR(BG$4="",$A434&gt;TODAY()),0,IF(OR(INDEX($B434:$D434,BG$5)="F",AND(BG$6&gt;0,$A434&lt;BG$6),AND(BG$7&gt;0,$A434&gt;BG$7)),0,MAX(0,ROUND((INDEX($E434:$G434,BG$5)-SUMIFS(TF_Timer,TF_Tekniker,BG$4,TF_Dato,$A434))*2,0)/2)))</f>
        <v/>
      </c>
      <c r="BH434">
        <f>IF(OR(BH$4="",$A434&gt;TODAY()),0,IF(OR(INDEX($B434:$D434,BH$5)="F",AND(BH$6&gt;0,$A434&lt;BH$6),AND(BH$7&gt;0,$A434&gt;BH$7)),0,MAX(0,ROUND((INDEX($E434:$G434,BH$5)-SUMIFS(TF_Timer,TF_Tekniker,BH$4,TF_Dato,$A434))*2,0)/2)))</f>
        <v/>
      </c>
      <c r="BI434">
        <f>IF(OR(BI$4="",$A434&gt;TODAY()),0,IF(OR(INDEX($B434:$D434,BI$5)="F",AND(BI$6&gt;0,$A434&lt;BI$6),AND(BI$7&gt;0,$A434&gt;BI$7)),0,MAX(0,ROUND((INDEX($E434:$G434,BI$5)-SUMIFS(TF_Timer,TF_Tekniker,BI$4,TF_Dato,$A434))*2,0)/2)))</f>
        <v/>
      </c>
    </row>
    <row r="435">
      <c r="A435" s="64">
        <f>A434+1</f>
        <v/>
      </c>
      <c r="B435">
        <f>IF(MOD($A435-INDEX(SkiftStart,1),Syklus)&lt;DagK,"K",IF(MOD($A435-INDEX(SkiftStart,1),Syklus)&lt;DagK+DagH,"H",IF(MOD($A435-INDEX(SkiftStart,1),Syklus)&lt;DagK+DagH+DagD,"D","F")))</f>
        <v/>
      </c>
      <c r="C435">
        <f>IF(MOD($A435-INDEX(SkiftStart,2),Syklus)&lt;DagK,"K",IF(MOD($A435-INDEX(SkiftStart,2),Syklus)&lt;DagK+DagH,"H",IF(MOD($A435-INDEX(SkiftStart,2),Syklus)&lt;DagK+DagH+DagD,"D","F")))</f>
        <v/>
      </c>
      <c r="D435">
        <f>IF(MOD($A435-INDEX(SkiftStart,3),Syklus)&lt;DagK,"K",IF(MOD($A435-INDEX(SkiftStart,3),Syklus)&lt;DagK+DagH,"H",IF(MOD($A435-INDEX(SkiftStart,3),Syklus)&lt;DagK+DagH+DagD,"D","F")))</f>
        <v/>
      </c>
      <c r="E435">
        <f>IF(B435="F",0,IF(WEEKDAY($A435,2)=5,INDEX(TimerFr,MATCH(B435,FaseKode,0)),INDEX(TimerMT,MATCH(B435,FaseKode,0))))</f>
        <v/>
      </c>
      <c r="F435">
        <f>IF(C435="F",0,IF(WEEKDAY($A435,2)=5,INDEX(TimerFr,MATCH(C435,FaseKode,0)),INDEX(TimerMT,MATCH(C435,FaseKode,0))))</f>
        <v/>
      </c>
      <c r="G435">
        <f>IF(D435="F",0,IF(WEEKDAY($A435,2)=5,INDEX(TimerFr,MATCH(D435,FaseKode,0)),INDEX(TimerMT,MATCH(D435,FaseKode,0))))</f>
        <v/>
      </c>
      <c r="H435">
        <f>IF(OR(H$4="",$A435&gt;TODAY()),0,IF(OR(INDEX($B435:$D435,H$5)="F",AND(H$6&gt;0,$A435&lt;H$6),AND(H$7&gt;0,$A435&gt;H$7)),0,MAX(0,ROUND((INDEX($E435:$G435,H$5)-SUMIFS(TF_Timer,TF_Tekniker,H$4,TF_Dato,$A435))*2,0)/2)))</f>
        <v/>
      </c>
      <c r="I435">
        <f>IF(OR(I$4="",$A435&gt;TODAY()),0,IF(OR(INDEX($B435:$D435,I$5)="F",AND(I$6&gt;0,$A435&lt;I$6),AND(I$7&gt;0,$A435&gt;I$7)),0,MAX(0,ROUND((INDEX($E435:$G435,I$5)-SUMIFS(TF_Timer,TF_Tekniker,I$4,TF_Dato,$A435))*2,0)/2)))</f>
        <v/>
      </c>
      <c r="J435">
        <f>IF(OR(J$4="",$A435&gt;TODAY()),0,IF(OR(INDEX($B435:$D435,J$5)="F",AND(J$6&gt;0,$A435&lt;J$6),AND(J$7&gt;0,$A435&gt;J$7)),0,MAX(0,ROUND((INDEX($E435:$G435,J$5)-SUMIFS(TF_Timer,TF_Tekniker,J$4,TF_Dato,$A435))*2,0)/2)))</f>
        <v/>
      </c>
      <c r="K435">
        <f>IF(OR(K$4="",$A435&gt;TODAY()),0,IF(OR(INDEX($B435:$D435,K$5)="F",AND(K$6&gt;0,$A435&lt;K$6),AND(K$7&gt;0,$A435&gt;K$7)),0,MAX(0,ROUND((INDEX($E435:$G435,K$5)-SUMIFS(TF_Timer,TF_Tekniker,K$4,TF_Dato,$A435))*2,0)/2)))</f>
        <v/>
      </c>
      <c r="L435">
        <f>IF(OR(L$4="",$A435&gt;TODAY()),0,IF(OR(INDEX($B435:$D435,L$5)="F",AND(L$6&gt;0,$A435&lt;L$6),AND(L$7&gt;0,$A435&gt;L$7)),0,MAX(0,ROUND((INDEX($E435:$G435,L$5)-SUMIFS(TF_Timer,TF_Tekniker,L$4,TF_Dato,$A435))*2,0)/2)))</f>
        <v/>
      </c>
      <c r="M435">
        <f>IF(OR(M$4="",$A435&gt;TODAY()),0,IF(OR(INDEX($B435:$D435,M$5)="F",AND(M$6&gt;0,$A435&lt;M$6),AND(M$7&gt;0,$A435&gt;M$7)),0,MAX(0,ROUND((INDEX($E435:$G435,M$5)-SUMIFS(TF_Timer,TF_Tekniker,M$4,TF_Dato,$A435))*2,0)/2)))</f>
        <v/>
      </c>
      <c r="N435">
        <f>IF(OR(N$4="",$A435&gt;TODAY()),0,IF(OR(INDEX($B435:$D435,N$5)="F",AND(N$6&gt;0,$A435&lt;N$6),AND(N$7&gt;0,$A435&gt;N$7)),0,MAX(0,ROUND((INDEX($E435:$G435,N$5)-SUMIFS(TF_Timer,TF_Tekniker,N$4,TF_Dato,$A435))*2,0)/2)))</f>
        <v/>
      </c>
      <c r="O435">
        <f>IF(OR(O$4="",$A435&gt;TODAY()),0,IF(OR(INDEX($B435:$D435,O$5)="F",AND(O$6&gt;0,$A435&lt;O$6),AND(O$7&gt;0,$A435&gt;O$7)),0,MAX(0,ROUND((INDEX($E435:$G435,O$5)-SUMIFS(TF_Timer,TF_Tekniker,O$4,TF_Dato,$A435))*2,0)/2)))</f>
        <v/>
      </c>
      <c r="P435">
        <f>IF(OR(P$4="",$A435&gt;TODAY()),0,IF(OR(INDEX($B435:$D435,P$5)="F",AND(P$6&gt;0,$A435&lt;P$6),AND(P$7&gt;0,$A435&gt;P$7)),0,MAX(0,ROUND((INDEX($E435:$G435,P$5)-SUMIFS(TF_Timer,TF_Tekniker,P$4,TF_Dato,$A435))*2,0)/2)))</f>
        <v/>
      </c>
      <c r="Q435">
        <f>IF(OR(Q$4="",$A435&gt;TODAY()),0,IF(OR(INDEX($B435:$D435,Q$5)="F",AND(Q$6&gt;0,$A435&lt;Q$6),AND(Q$7&gt;0,$A435&gt;Q$7)),0,MAX(0,ROUND((INDEX($E435:$G435,Q$5)-SUMIFS(TF_Timer,TF_Tekniker,Q$4,TF_Dato,$A435))*2,0)/2)))</f>
        <v/>
      </c>
      <c r="R435">
        <f>IF(OR(R$4="",$A435&gt;TODAY()),0,IF(OR(INDEX($B435:$D435,R$5)="F",AND(R$6&gt;0,$A435&lt;R$6),AND(R$7&gt;0,$A435&gt;R$7)),0,MAX(0,ROUND((INDEX($E435:$G435,R$5)-SUMIFS(TF_Timer,TF_Tekniker,R$4,TF_Dato,$A435))*2,0)/2)))</f>
        <v/>
      </c>
      <c r="S435">
        <f>IF(OR(S$4="",$A435&gt;TODAY()),0,IF(OR(INDEX($B435:$D435,S$5)="F",AND(S$6&gt;0,$A435&lt;S$6),AND(S$7&gt;0,$A435&gt;S$7)),0,MAX(0,ROUND((INDEX($E435:$G435,S$5)-SUMIFS(TF_Timer,TF_Tekniker,S$4,TF_Dato,$A435))*2,0)/2)))</f>
        <v/>
      </c>
      <c r="T435">
        <f>IF(OR(T$4="",$A435&gt;TODAY()),0,IF(OR(INDEX($B435:$D435,T$5)="F",AND(T$6&gt;0,$A435&lt;T$6),AND(T$7&gt;0,$A435&gt;T$7)),0,MAX(0,ROUND((INDEX($E435:$G435,T$5)-SUMIFS(TF_Timer,TF_Tekniker,T$4,TF_Dato,$A435))*2,0)/2)))</f>
        <v/>
      </c>
      <c r="U435">
        <f>IF(OR(U$4="",$A435&gt;TODAY()),0,IF(OR(INDEX($B435:$D435,U$5)="F",AND(U$6&gt;0,$A435&lt;U$6),AND(U$7&gt;0,$A435&gt;U$7)),0,MAX(0,ROUND((INDEX($E435:$G435,U$5)-SUMIFS(TF_Timer,TF_Tekniker,U$4,TF_Dato,$A435))*2,0)/2)))</f>
        <v/>
      </c>
      <c r="V435">
        <f>IF(OR(V$4="",$A435&gt;TODAY()),0,IF(OR(INDEX($B435:$D435,V$5)="F",AND(V$6&gt;0,$A435&lt;V$6),AND(V$7&gt;0,$A435&gt;V$7)),0,MAX(0,ROUND((INDEX($E435:$G435,V$5)-SUMIFS(TF_Timer,TF_Tekniker,V$4,TF_Dato,$A435))*2,0)/2)))</f>
        <v/>
      </c>
      <c r="W435">
        <f>IF(OR(W$4="",$A435&gt;TODAY()),0,IF(OR(INDEX($B435:$D435,W$5)="F",AND(W$6&gt;0,$A435&lt;W$6),AND(W$7&gt;0,$A435&gt;W$7)),0,MAX(0,ROUND((INDEX($E435:$G435,W$5)-SUMIFS(TF_Timer,TF_Tekniker,W$4,TF_Dato,$A435))*2,0)/2)))</f>
        <v/>
      </c>
      <c r="X435">
        <f>IF(OR(X$4="",$A435&gt;TODAY()),0,IF(OR(INDEX($B435:$D435,X$5)="F",AND(X$6&gt;0,$A435&lt;X$6),AND(X$7&gt;0,$A435&gt;X$7)),0,MAX(0,ROUND((INDEX($E435:$G435,X$5)-SUMIFS(TF_Timer,TF_Tekniker,X$4,TF_Dato,$A435))*2,0)/2)))</f>
        <v/>
      </c>
      <c r="Y435">
        <f>IF(OR(Y$4="",$A435&gt;TODAY()),0,IF(OR(INDEX($B435:$D435,Y$5)="F",AND(Y$6&gt;0,$A435&lt;Y$6),AND(Y$7&gt;0,$A435&gt;Y$7)),0,MAX(0,ROUND((INDEX($E435:$G435,Y$5)-SUMIFS(TF_Timer,TF_Tekniker,Y$4,TF_Dato,$A435))*2,0)/2)))</f>
        <v/>
      </c>
      <c r="Z435">
        <f>IF(OR(Z$4="",$A435&gt;TODAY()),0,IF(OR(INDEX($B435:$D435,Z$5)="F",AND(Z$6&gt;0,$A435&lt;Z$6),AND(Z$7&gt;0,$A435&gt;Z$7)),0,MAX(0,ROUND((INDEX($E435:$G435,Z$5)-SUMIFS(TF_Timer,TF_Tekniker,Z$4,TF_Dato,$A435))*2,0)/2)))</f>
        <v/>
      </c>
      <c r="AA435">
        <f>IF(OR(AA$4="",$A435&gt;TODAY()),0,IF(OR(INDEX($B435:$D435,AA$5)="F",AND(AA$6&gt;0,$A435&lt;AA$6),AND(AA$7&gt;0,$A435&gt;AA$7)),0,MAX(0,ROUND((INDEX($E435:$G435,AA$5)-SUMIFS(TF_Timer,TF_Tekniker,AA$4,TF_Dato,$A435))*2,0)/2)))</f>
        <v/>
      </c>
      <c r="AB435">
        <f>IF(OR(AB$4="",$A435&gt;TODAY()),0,IF(OR(INDEX($B435:$D435,AB$5)="F",AND(AB$6&gt;0,$A435&lt;AB$6),AND(AB$7&gt;0,$A435&gt;AB$7)),0,MAX(0,ROUND((INDEX($E435:$G435,AB$5)-SUMIFS(TF_Timer,TF_Tekniker,AB$4,TF_Dato,$A435))*2,0)/2)))</f>
        <v/>
      </c>
      <c r="AC435">
        <f>IF(OR(AC$4="",$A435&gt;TODAY()),0,IF(OR(INDEX($B435:$D435,AC$5)="F",AND(AC$6&gt;0,$A435&lt;AC$6),AND(AC$7&gt;0,$A435&gt;AC$7)),0,MAX(0,ROUND((INDEX($E435:$G435,AC$5)-SUMIFS(TF_Timer,TF_Tekniker,AC$4,TF_Dato,$A435))*2,0)/2)))</f>
        <v/>
      </c>
      <c r="AD435">
        <f>IF(OR(AD$4="",$A435&gt;TODAY()),0,IF(OR(INDEX($B435:$D435,AD$5)="F",AND(AD$6&gt;0,$A435&lt;AD$6),AND(AD$7&gt;0,$A435&gt;AD$7)),0,MAX(0,ROUND((INDEX($E435:$G435,AD$5)-SUMIFS(TF_Timer,TF_Tekniker,AD$4,TF_Dato,$A435))*2,0)/2)))</f>
        <v/>
      </c>
      <c r="AE435">
        <f>IF(OR(AE$4="",$A435&gt;TODAY()),0,IF(OR(INDEX($B435:$D435,AE$5)="F",AND(AE$6&gt;0,$A435&lt;AE$6),AND(AE$7&gt;0,$A435&gt;AE$7)),0,MAX(0,ROUND((INDEX($E435:$G435,AE$5)-SUMIFS(TF_Timer,TF_Tekniker,AE$4,TF_Dato,$A435))*2,0)/2)))</f>
        <v/>
      </c>
      <c r="AF435">
        <f>IF(OR(AF$4="",$A435&gt;TODAY()),0,IF(OR(INDEX($B435:$D435,AF$5)="F",AND(AF$6&gt;0,$A435&lt;AF$6),AND(AF$7&gt;0,$A435&gt;AF$7)),0,MAX(0,ROUND((INDEX($E435:$G435,AF$5)-SUMIFS(TF_Timer,TF_Tekniker,AF$4,TF_Dato,$A435))*2,0)/2)))</f>
        <v/>
      </c>
      <c r="AG435">
        <f>IF(OR(AG$4="",$A435&gt;TODAY()),0,IF(OR(INDEX($B435:$D435,AG$5)="F",AND(AG$6&gt;0,$A435&lt;AG$6),AND(AG$7&gt;0,$A435&gt;AG$7)),0,MAX(0,ROUND((INDEX($E435:$G435,AG$5)-SUMIFS(TF_Timer,TF_Tekniker,AG$4,TF_Dato,$A435))*2,0)/2)))</f>
        <v/>
      </c>
      <c r="AH435">
        <f>IF(OR(AH$4="",$A435&gt;TODAY()),0,IF(OR(INDEX($B435:$D435,AH$5)="F",AND(AH$6&gt;0,$A435&lt;AH$6),AND(AH$7&gt;0,$A435&gt;AH$7)),0,MAX(0,ROUND((INDEX($E435:$G435,AH$5)-SUMIFS(TF_Timer,TF_Tekniker,AH$4,TF_Dato,$A435))*2,0)/2)))</f>
        <v/>
      </c>
      <c r="AI435">
        <f>IF(OR(AI$4="",$A435&gt;TODAY()),0,IF(OR(INDEX($B435:$D435,AI$5)="F",AND(AI$6&gt;0,$A435&lt;AI$6),AND(AI$7&gt;0,$A435&gt;AI$7)),0,MAX(0,ROUND((INDEX($E435:$G435,AI$5)-SUMIFS(TF_Timer,TF_Tekniker,AI$4,TF_Dato,$A435))*2,0)/2)))</f>
        <v/>
      </c>
      <c r="AJ435">
        <f>IF(OR(AJ$4="",$A435&gt;TODAY()),0,IF(OR(INDEX($B435:$D435,AJ$5)="F",AND(AJ$6&gt;0,$A435&lt;AJ$6),AND(AJ$7&gt;0,$A435&gt;AJ$7)),0,MAX(0,ROUND((INDEX($E435:$G435,AJ$5)-SUMIFS(TF_Timer,TF_Tekniker,AJ$4,TF_Dato,$A435))*2,0)/2)))</f>
        <v/>
      </c>
      <c r="AK435">
        <f>IF(OR(AK$4="",$A435&gt;TODAY()),0,IF(OR(INDEX($B435:$D435,AK$5)="F",AND(AK$6&gt;0,$A435&lt;AK$6),AND(AK$7&gt;0,$A435&gt;AK$7)),0,MAX(0,ROUND((INDEX($E435:$G435,AK$5)-SUMIFS(TF_Timer,TF_Tekniker,AK$4,TF_Dato,$A435))*2,0)/2)))</f>
        <v/>
      </c>
      <c r="AL435">
        <f>IF(OR(AL$4="",$A435&gt;TODAY()),0,IF(OR(INDEX($B435:$D435,AL$5)="F",AND(AL$6&gt;0,$A435&lt;AL$6),AND(AL$7&gt;0,$A435&gt;AL$7)),0,MAX(0,ROUND((INDEX($E435:$G435,AL$5)-SUMIFS(TF_Timer,TF_Tekniker,AL$4,TF_Dato,$A435))*2,0)/2)))</f>
        <v/>
      </c>
      <c r="AM435">
        <f>IF(OR(AM$4="",$A435&gt;TODAY()),0,IF(OR(INDEX($B435:$D435,AM$5)="F",AND(AM$6&gt;0,$A435&lt;AM$6),AND(AM$7&gt;0,$A435&gt;AM$7)),0,MAX(0,ROUND((INDEX($E435:$G435,AM$5)-SUMIFS(TF_Timer,TF_Tekniker,AM$4,TF_Dato,$A435))*2,0)/2)))</f>
        <v/>
      </c>
      <c r="AN435">
        <f>IF(OR(AN$4="",$A435&gt;TODAY()),0,IF(OR(INDEX($B435:$D435,AN$5)="F",AND(AN$6&gt;0,$A435&lt;AN$6),AND(AN$7&gt;0,$A435&gt;AN$7)),0,MAX(0,ROUND((INDEX($E435:$G435,AN$5)-SUMIFS(TF_Timer,TF_Tekniker,AN$4,TF_Dato,$A435))*2,0)/2)))</f>
        <v/>
      </c>
      <c r="AO435">
        <f>IF(OR(AO$4="",$A435&gt;TODAY()),0,IF(OR(INDEX($B435:$D435,AO$5)="F",AND(AO$6&gt;0,$A435&lt;AO$6),AND(AO$7&gt;0,$A435&gt;AO$7)),0,MAX(0,ROUND((INDEX($E435:$G435,AO$5)-SUMIFS(TF_Timer,TF_Tekniker,AO$4,TF_Dato,$A435))*2,0)/2)))</f>
        <v/>
      </c>
      <c r="AP435">
        <f>IF(OR(AP$4="",$A435&gt;TODAY()),0,IF(OR(INDEX($B435:$D435,AP$5)="F",AND(AP$6&gt;0,$A435&lt;AP$6),AND(AP$7&gt;0,$A435&gt;AP$7)),0,MAX(0,ROUND((INDEX($E435:$G435,AP$5)-SUMIFS(TF_Timer,TF_Tekniker,AP$4,TF_Dato,$A435))*2,0)/2)))</f>
        <v/>
      </c>
      <c r="AQ435">
        <f>IF(OR(AQ$4="",$A435&gt;TODAY()),0,IF(OR(INDEX($B435:$D435,AQ$5)="F",AND(AQ$6&gt;0,$A435&lt;AQ$6),AND(AQ$7&gt;0,$A435&gt;AQ$7)),0,MAX(0,ROUND((INDEX($E435:$G435,AQ$5)-SUMIFS(TF_Timer,TF_Tekniker,AQ$4,TF_Dato,$A435))*2,0)/2)))</f>
        <v/>
      </c>
      <c r="AR435">
        <f>IF(OR(AR$4="",$A435&gt;TODAY()),0,IF(OR(INDEX($B435:$D435,AR$5)="F",AND(AR$6&gt;0,$A435&lt;AR$6),AND(AR$7&gt;0,$A435&gt;AR$7)),0,MAX(0,ROUND((INDEX($E435:$G435,AR$5)-SUMIFS(TF_Timer,TF_Tekniker,AR$4,TF_Dato,$A435))*2,0)/2)))</f>
        <v/>
      </c>
      <c r="AS435">
        <f>IF(OR(AS$4="",$A435&gt;TODAY()),0,IF(OR(INDEX($B435:$D435,AS$5)="F",AND(AS$6&gt;0,$A435&lt;AS$6),AND(AS$7&gt;0,$A435&gt;AS$7)),0,MAX(0,ROUND((INDEX($E435:$G435,AS$5)-SUMIFS(TF_Timer,TF_Tekniker,AS$4,TF_Dato,$A435))*2,0)/2)))</f>
        <v/>
      </c>
      <c r="AT435">
        <f>IF(OR(AT$4="",$A435&gt;TODAY()),0,IF(OR(INDEX($B435:$D435,AT$5)="F",AND(AT$6&gt;0,$A435&lt;AT$6),AND(AT$7&gt;0,$A435&gt;AT$7)),0,MAX(0,ROUND((INDEX($E435:$G435,AT$5)-SUMIFS(TF_Timer,TF_Tekniker,AT$4,TF_Dato,$A435))*2,0)/2)))</f>
        <v/>
      </c>
      <c r="AU435">
        <f>IF(OR(AU$4="",$A435&gt;TODAY()),0,IF(OR(INDEX($B435:$D435,AU$5)="F",AND(AU$6&gt;0,$A435&lt;AU$6),AND(AU$7&gt;0,$A435&gt;AU$7)),0,MAX(0,ROUND((INDEX($E435:$G435,AU$5)-SUMIFS(TF_Timer,TF_Tekniker,AU$4,TF_Dato,$A435))*2,0)/2)))</f>
        <v/>
      </c>
      <c r="AV435">
        <f>IF(OR(AV$4="",$A435&gt;TODAY()),0,IF(OR(INDEX($B435:$D435,AV$5)="F",AND(AV$6&gt;0,$A435&lt;AV$6),AND(AV$7&gt;0,$A435&gt;AV$7)),0,MAX(0,ROUND((INDEX($E435:$G435,AV$5)-SUMIFS(TF_Timer,TF_Tekniker,AV$4,TF_Dato,$A435))*2,0)/2)))</f>
        <v/>
      </c>
      <c r="AW435">
        <f>IF(OR(AW$4="",$A435&gt;TODAY()),0,IF(OR(INDEX($B435:$D435,AW$5)="F",AND(AW$6&gt;0,$A435&lt;AW$6),AND(AW$7&gt;0,$A435&gt;AW$7)),0,MAX(0,ROUND((INDEX($E435:$G435,AW$5)-SUMIFS(TF_Timer,TF_Tekniker,AW$4,TF_Dato,$A435))*2,0)/2)))</f>
        <v/>
      </c>
      <c r="AX435">
        <f>IF(OR(AX$4="",$A435&gt;TODAY()),0,IF(OR(INDEX($B435:$D435,AX$5)="F",AND(AX$6&gt;0,$A435&lt;AX$6),AND(AX$7&gt;0,$A435&gt;AX$7)),0,MAX(0,ROUND((INDEX($E435:$G435,AX$5)-SUMIFS(TF_Timer,TF_Tekniker,AX$4,TF_Dato,$A435))*2,0)/2)))</f>
        <v/>
      </c>
      <c r="AY435">
        <f>IF(OR(AY$4="",$A435&gt;TODAY()),0,IF(OR(INDEX($B435:$D435,AY$5)="F",AND(AY$6&gt;0,$A435&lt;AY$6),AND(AY$7&gt;0,$A435&gt;AY$7)),0,MAX(0,ROUND((INDEX($E435:$G435,AY$5)-SUMIFS(TF_Timer,TF_Tekniker,AY$4,TF_Dato,$A435))*2,0)/2)))</f>
        <v/>
      </c>
      <c r="AZ435">
        <f>IF(OR(AZ$4="",$A435&gt;TODAY()),0,IF(OR(INDEX($B435:$D435,AZ$5)="F",AND(AZ$6&gt;0,$A435&lt;AZ$6),AND(AZ$7&gt;0,$A435&gt;AZ$7)),0,MAX(0,ROUND((INDEX($E435:$G435,AZ$5)-SUMIFS(TF_Timer,TF_Tekniker,AZ$4,TF_Dato,$A435))*2,0)/2)))</f>
        <v/>
      </c>
      <c r="BA435">
        <f>IF(OR(BA$4="",$A435&gt;TODAY()),0,IF(OR(INDEX($B435:$D435,BA$5)="F",AND(BA$6&gt;0,$A435&lt;BA$6),AND(BA$7&gt;0,$A435&gt;BA$7)),0,MAX(0,ROUND((INDEX($E435:$G435,BA$5)-SUMIFS(TF_Timer,TF_Tekniker,BA$4,TF_Dato,$A435))*2,0)/2)))</f>
        <v/>
      </c>
      <c r="BB435">
        <f>IF(OR(BB$4="",$A435&gt;TODAY()),0,IF(OR(INDEX($B435:$D435,BB$5)="F",AND(BB$6&gt;0,$A435&lt;BB$6),AND(BB$7&gt;0,$A435&gt;BB$7)),0,MAX(0,ROUND((INDEX($E435:$G435,BB$5)-SUMIFS(TF_Timer,TF_Tekniker,BB$4,TF_Dato,$A435))*2,0)/2)))</f>
        <v/>
      </c>
      <c r="BC435">
        <f>IF(OR(BC$4="",$A435&gt;TODAY()),0,IF(OR(INDEX($B435:$D435,BC$5)="F",AND(BC$6&gt;0,$A435&lt;BC$6),AND(BC$7&gt;0,$A435&gt;BC$7)),0,MAX(0,ROUND((INDEX($E435:$G435,BC$5)-SUMIFS(TF_Timer,TF_Tekniker,BC$4,TF_Dato,$A435))*2,0)/2)))</f>
        <v/>
      </c>
      <c r="BD435">
        <f>IF(OR(BD$4="",$A435&gt;TODAY()),0,IF(OR(INDEX($B435:$D435,BD$5)="F",AND(BD$6&gt;0,$A435&lt;BD$6),AND(BD$7&gt;0,$A435&gt;BD$7)),0,MAX(0,ROUND((INDEX($E435:$G435,BD$5)-SUMIFS(TF_Timer,TF_Tekniker,BD$4,TF_Dato,$A435))*2,0)/2)))</f>
        <v/>
      </c>
      <c r="BE435">
        <f>IF(OR(BE$4="",$A435&gt;TODAY()),0,IF(OR(INDEX($B435:$D435,BE$5)="F",AND(BE$6&gt;0,$A435&lt;BE$6),AND(BE$7&gt;0,$A435&gt;BE$7)),0,MAX(0,ROUND((INDEX($E435:$G435,BE$5)-SUMIFS(TF_Timer,TF_Tekniker,BE$4,TF_Dato,$A435))*2,0)/2)))</f>
        <v/>
      </c>
      <c r="BF435">
        <f>IF(OR(BF$4="",$A435&gt;TODAY()),0,IF(OR(INDEX($B435:$D435,BF$5)="F",AND(BF$6&gt;0,$A435&lt;BF$6),AND(BF$7&gt;0,$A435&gt;BF$7)),0,MAX(0,ROUND((INDEX($E435:$G435,BF$5)-SUMIFS(TF_Timer,TF_Tekniker,BF$4,TF_Dato,$A435))*2,0)/2)))</f>
        <v/>
      </c>
      <c r="BG435">
        <f>IF(OR(BG$4="",$A435&gt;TODAY()),0,IF(OR(INDEX($B435:$D435,BG$5)="F",AND(BG$6&gt;0,$A435&lt;BG$6),AND(BG$7&gt;0,$A435&gt;BG$7)),0,MAX(0,ROUND((INDEX($E435:$G435,BG$5)-SUMIFS(TF_Timer,TF_Tekniker,BG$4,TF_Dato,$A435))*2,0)/2)))</f>
        <v/>
      </c>
      <c r="BH435">
        <f>IF(OR(BH$4="",$A435&gt;TODAY()),0,IF(OR(INDEX($B435:$D435,BH$5)="F",AND(BH$6&gt;0,$A435&lt;BH$6),AND(BH$7&gt;0,$A435&gt;BH$7)),0,MAX(0,ROUND((INDEX($E435:$G435,BH$5)-SUMIFS(TF_Timer,TF_Tekniker,BH$4,TF_Dato,$A435))*2,0)/2)))</f>
        <v/>
      </c>
      <c r="BI435">
        <f>IF(OR(BI$4="",$A435&gt;TODAY()),0,IF(OR(INDEX($B435:$D435,BI$5)="F",AND(BI$6&gt;0,$A435&lt;BI$6),AND(BI$7&gt;0,$A435&gt;BI$7)),0,MAX(0,ROUND((INDEX($E435:$G435,BI$5)-SUMIFS(TF_Timer,TF_Tekniker,BI$4,TF_Dato,$A435))*2,0)/2)))</f>
        <v/>
      </c>
    </row>
    <row r="436">
      <c r="A436" s="64">
        <f>A435+1</f>
        <v/>
      </c>
      <c r="B436">
        <f>IF(MOD($A436-INDEX(SkiftStart,1),Syklus)&lt;DagK,"K",IF(MOD($A436-INDEX(SkiftStart,1),Syklus)&lt;DagK+DagH,"H",IF(MOD($A436-INDEX(SkiftStart,1),Syklus)&lt;DagK+DagH+DagD,"D","F")))</f>
        <v/>
      </c>
      <c r="C436">
        <f>IF(MOD($A436-INDEX(SkiftStart,2),Syklus)&lt;DagK,"K",IF(MOD($A436-INDEX(SkiftStart,2),Syklus)&lt;DagK+DagH,"H",IF(MOD($A436-INDEX(SkiftStart,2),Syklus)&lt;DagK+DagH+DagD,"D","F")))</f>
        <v/>
      </c>
      <c r="D436">
        <f>IF(MOD($A436-INDEX(SkiftStart,3),Syklus)&lt;DagK,"K",IF(MOD($A436-INDEX(SkiftStart,3),Syklus)&lt;DagK+DagH,"H",IF(MOD($A436-INDEX(SkiftStart,3),Syklus)&lt;DagK+DagH+DagD,"D","F")))</f>
        <v/>
      </c>
      <c r="E436">
        <f>IF(B436="F",0,IF(WEEKDAY($A436,2)=5,INDEX(TimerFr,MATCH(B436,FaseKode,0)),INDEX(TimerMT,MATCH(B436,FaseKode,0))))</f>
        <v/>
      </c>
      <c r="F436">
        <f>IF(C436="F",0,IF(WEEKDAY($A436,2)=5,INDEX(TimerFr,MATCH(C436,FaseKode,0)),INDEX(TimerMT,MATCH(C436,FaseKode,0))))</f>
        <v/>
      </c>
      <c r="G436">
        <f>IF(D436="F",0,IF(WEEKDAY($A436,2)=5,INDEX(TimerFr,MATCH(D436,FaseKode,0)),INDEX(TimerMT,MATCH(D436,FaseKode,0))))</f>
        <v/>
      </c>
      <c r="H436">
        <f>IF(OR(H$4="",$A436&gt;TODAY()),0,IF(OR(INDEX($B436:$D436,H$5)="F",AND(H$6&gt;0,$A436&lt;H$6),AND(H$7&gt;0,$A436&gt;H$7)),0,MAX(0,ROUND((INDEX($E436:$G436,H$5)-SUMIFS(TF_Timer,TF_Tekniker,H$4,TF_Dato,$A436))*2,0)/2)))</f>
        <v/>
      </c>
      <c r="I436">
        <f>IF(OR(I$4="",$A436&gt;TODAY()),0,IF(OR(INDEX($B436:$D436,I$5)="F",AND(I$6&gt;0,$A436&lt;I$6),AND(I$7&gt;0,$A436&gt;I$7)),0,MAX(0,ROUND((INDEX($E436:$G436,I$5)-SUMIFS(TF_Timer,TF_Tekniker,I$4,TF_Dato,$A436))*2,0)/2)))</f>
        <v/>
      </c>
      <c r="J436">
        <f>IF(OR(J$4="",$A436&gt;TODAY()),0,IF(OR(INDEX($B436:$D436,J$5)="F",AND(J$6&gt;0,$A436&lt;J$6),AND(J$7&gt;0,$A436&gt;J$7)),0,MAX(0,ROUND((INDEX($E436:$G436,J$5)-SUMIFS(TF_Timer,TF_Tekniker,J$4,TF_Dato,$A436))*2,0)/2)))</f>
        <v/>
      </c>
      <c r="K436">
        <f>IF(OR(K$4="",$A436&gt;TODAY()),0,IF(OR(INDEX($B436:$D436,K$5)="F",AND(K$6&gt;0,$A436&lt;K$6),AND(K$7&gt;0,$A436&gt;K$7)),0,MAX(0,ROUND((INDEX($E436:$G436,K$5)-SUMIFS(TF_Timer,TF_Tekniker,K$4,TF_Dato,$A436))*2,0)/2)))</f>
        <v/>
      </c>
      <c r="L436">
        <f>IF(OR(L$4="",$A436&gt;TODAY()),0,IF(OR(INDEX($B436:$D436,L$5)="F",AND(L$6&gt;0,$A436&lt;L$6),AND(L$7&gt;0,$A436&gt;L$7)),0,MAX(0,ROUND((INDEX($E436:$G436,L$5)-SUMIFS(TF_Timer,TF_Tekniker,L$4,TF_Dato,$A436))*2,0)/2)))</f>
        <v/>
      </c>
      <c r="M436">
        <f>IF(OR(M$4="",$A436&gt;TODAY()),0,IF(OR(INDEX($B436:$D436,M$5)="F",AND(M$6&gt;0,$A436&lt;M$6),AND(M$7&gt;0,$A436&gt;M$7)),0,MAX(0,ROUND((INDEX($E436:$G436,M$5)-SUMIFS(TF_Timer,TF_Tekniker,M$4,TF_Dato,$A436))*2,0)/2)))</f>
        <v/>
      </c>
      <c r="N436">
        <f>IF(OR(N$4="",$A436&gt;TODAY()),0,IF(OR(INDEX($B436:$D436,N$5)="F",AND(N$6&gt;0,$A436&lt;N$6),AND(N$7&gt;0,$A436&gt;N$7)),0,MAX(0,ROUND((INDEX($E436:$G436,N$5)-SUMIFS(TF_Timer,TF_Tekniker,N$4,TF_Dato,$A436))*2,0)/2)))</f>
        <v/>
      </c>
      <c r="O436">
        <f>IF(OR(O$4="",$A436&gt;TODAY()),0,IF(OR(INDEX($B436:$D436,O$5)="F",AND(O$6&gt;0,$A436&lt;O$6),AND(O$7&gt;0,$A436&gt;O$7)),0,MAX(0,ROUND((INDEX($E436:$G436,O$5)-SUMIFS(TF_Timer,TF_Tekniker,O$4,TF_Dato,$A436))*2,0)/2)))</f>
        <v/>
      </c>
      <c r="P436">
        <f>IF(OR(P$4="",$A436&gt;TODAY()),0,IF(OR(INDEX($B436:$D436,P$5)="F",AND(P$6&gt;0,$A436&lt;P$6),AND(P$7&gt;0,$A436&gt;P$7)),0,MAX(0,ROUND((INDEX($E436:$G436,P$5)-SUMIFS(TF_Timer,TF_Tekniker,P$4,TF_Dato,$A436))*2,0)/2)))</f>
        <v/>
      </c>
      <c r="Q436">
        <f>IF(OR(Q$4="",$A436&gt;TODAY()),0,IF(OR(INDEX($B436:$D436,Q$5)="F",AND(Q$6&gt;0,$A436&lt;Q$6),AND(Q$7&gt;0,$A436&gt;Q$7)),0,MAX(0,ROUND((INDEX($E436:$G436,Q$5)-SUMIFS(TF_Timer,TF_Tekniker,Q$4,TF_Dato,$A436))*2,0)/2)))</f>
        <v/>
      </c>
      <c r="R436">
        <f>IF(OR(R$4="",$A436&gt;TODAY()),0,IF(OR(INDEX($B436:$D436,R$5)="F",AND(R$6&gt;0,$A436&lt;R$6),AND(R$7&gt;0,$A436&gt;R$7)),0,MAX(0,ROUND((INDEX($E436:$G436,R$5)-SUMIFS(TF_Timer,TF_Tekniker,R$4,TF_Dato,$A436))*2,0)/2)))</f>
        <v/>
      </c>
      <c r="S436">
        <f>IF(OR(S$4="",$A436&gt;TODAY()),0,IF(OR(INDEX($B436:$D436,S$5)="F",AND(S$6&gt;0,$A436&lt;S$6),AND(S$7&gt;0,$A436&gt;S$7)),0,MAX(0,ROUND((INDEX($E436:$G436,S$5)-SUMIFS(TF_Timer,TF_Tekniker,S$4,TF_Dato,$A436))*2,0)/2)))</f>
        <v/>
      </c>
      <c r="T436">
        <f>IF(OR(T$4="",$A436&gt;TODAY()),0,IF(OR(INDEX($B436:$D436,T$5)="F",AND(T$6&gt;0,$A436&lt;T$6),AND(T$7&gt;0,$A436&gt;T$7)),0,MAX(0,ROUND((INDEX($E436:$G436,T$5)-SUMIFS(TF_Timer,TF_Tekniker,T$4,TF_Dato,$A436))*2,0)/2)))</f>
        <v/>
      </c>
      <c r="U436">
        <f>IF(OR(U$4="",$A436&gt;TODAY()),0,IF(OR(INDEX($B436:$D436,U$5)="F",AND(U$6&gt;0,$A436&lt;U$6),AND(U$7&gt;0,$A436&gt;U$7)),0,MAX(0,ROUND((INDEX($E436:$G436,U$5)-SUMIFS(TF_Timer,TF_Tekniker,U$4,TF_Dato,$A436))*2,0)/2)))</f>
        <v/>
      </c>
      <c r="V436">
        <f>IF(OR(V$4="",$A436&gt;TODAY()),0,IF(OR(INDEX($B436:$D436,V$5)="F",AND(V$6&gt;0,$A436&lt;V$6),AND(V$7&gt;0,$A436&gt;V$7)),0,MAX(0,ROUND((INDEX($E436:$G436,V$5)-SUMIFS(TF_Timer,TF_Tekniker,V$4,TF_Dato,$A436))*2,0)/2)))</f>
        <v/>
      </c>
      <c r="W436">
        <f>IF(OR(W$4="",$A436&gt;TODAY()),0,IF(OR(INDEX($B436:$D436,W$5)="F",AND(W$6&gt;0,$A436&lt;W$6),AND(W$7&gt;0,$A436&gt;W$7)),0,MAX(0,ROUND((INDEX($E436:$G436,W$5)-SUMIFS(TF_Timer,TF_Tekniker,W$4,TF_Dato,$A436))*2,0)/2)))</f>
        <v/>
      </c>
      <c r="X436">
        <f>IF(OR(X$4="",$A436&gt;TODAY()),0,IF(OR(INDEX($B436:$D436,X$5)="F",AND(X$6&gt;0,$A436&lt;X$6),AND(X$7&gt;0,$A436&gt;X$7)),0,MAX(0,ROUND((INDEX($E436:$G436,X$5)-SUMIFS(TF_Timer,TF_Tekniker,X$4,TF_Dato,$A436))*2,0)/2)))</f>
        <v/>
      </c>
      <c r="Y436">
        <f>IF(OR(Y$4="",$A436&gt;TODAY()),0,IF(OR(INDEX($B436:$D436,Y$5)="F",AND(Y$6&gt;0,$A436&lt;Y$6),AND(Y$7&gt;0,$A436&gt;Y$7)),0,MAX(0,ROUND((INDEX($E436:$G436,Y$5)-SUMIFS(TF_Timer,TF_Tekniker,Y$4,TF_Dato,$A436))*2,0)/2)))</f>
        <v/>
      </c>
      <c r="Z436">
        <f>IF(OR(Z$4="",$A436&gt;TODAY()),0,IF(OR(INDEX($B436:$D436,Z$5)="F",AND(Z$6&gt;0,$A436&lt;Z$6),AND(Z$7&gt;0,$A436&gt;Z$7)),0,MAX(0,ROUND((INDEX($E436:$G436,Z$5)-SUMIFS(TF_Timer,TF_Tekniker,Z$4,TF_Dato,$A436))*2,0)/2)))</f>
        <v/>
      </c>
      <c r="AA436">
        <f>IF(OR(AA$4="",$A436&gt;TODAY()),0,IF(OR(INDEX($B436:$D436,AA$5)="F",AND(AA$6&gt;0,$A436&lt;AA$6),AND(AA$7&gt;0,$A436&gt;AA$7)),0,MAX(0,ROUND((INDEX($E436:$G436,AA$5)-SUMIFS(TF_Timer,TF_Tekniker,AA$4,TF_Dato,$A436))*2,0)/2)))</f>
        <v/>
      </c>
      <c r="AB436">
        <f>IF(OR(AB$4="",$A436&gt;TODAY()),0,IF(OR(INDEX($B436:$D436,AB$5)="F",AND(AB$6&gt;0,$A436&lt;AB$6),AND(AB$7&gt;0,$A436&gt;AB$7)),0,MAX(0,ROUND((INDEX($E436:$G436,AB$5)-SUMIFS(TF_Timer,TF_Tekniker,AB$4,TF_Dato,$A436))*2,0)/2)))</f>
        <v/>
      </c>
      <c r="AC436">
        <f>IF(OR(AC$4="",$A436&gt;TODAY()),0,IF(OR(INDEX($B436:$D436,AC$5)="F",AND(AC$6&gt;0,$A436&lt;AC$6),AND(AC$7&gt;0,$A436&gt;AC$7)),0,MAX(0,ROUND((INDEX($E436:$G436,AC$5)-SUMIFS(TF_Timer,TF_Tekniker,AC$4,TF_Dato,$A436))*2,0)/2)))</f>
        <v/>
      </c>
      <c r="AD436">
        <f>IF(OR(AD$4="",$A436&gt;TODAY()),0,IF(OR(INDEX($B436:$D436,AD$5)="F",AND(AD$6&gt;0,$A436&lt;AD$6),AND(AD$7&gt;0,$A436&gt;AD$7)),0,MAX(0,ROUND((INDEX($E436:$G436,AD$5)-SUMIFS(TF_Timer,TF_Tekniker,AD$4,TF_Dato,$A436))*2,0)/2)))</f>
        <v/>
      </c>
      <c r="AE436">
        <f>IF(OR(AE$4="",$A436&gt;TODAY()),0,IF(OR(INDEX($B436:$D436,AE$5)="F",AND(AE$6&gt;0,$A436&lt;AE$6),AND(AE$7&gt;0,$A436&gt;AE$7)),0,MAX(0,ROUND((INDEX($E436:$G436,AE$5)-SUMIFS(TF_Timer,TF_Tekniker,AE$4,TF_Dato,$A436))*2,0)/2)))</f>
        <v/>
      </c>
      <c r="AF436">
        <f>IF(OR(AF$4="",$A436&gt;TODAY()),0,IF(OR(INDEX($B436:$D436,AF$5)="F",AND(AF$6&gt;0,$A436&lt;AF$6),AND(AF$7&gt;0,$A436&gt;AF$7)),0,MAX(0,ROUND((INDEX($E436:$G436,AF$5)-SUMIFS(TF_Timer,TF_Tekniker,AF$4,TF_Dato,$A436))*2,0)/2)))</f>
        <v/>
      </c>
      <c r="AG436">
        <f>IF(OR(AG$4="",$A436&gt;TODAY()),0,IF(OR(INDEX($B436:$D436,AG$5)="F",AND(AG$6&gt;0,$A436&lt;AG$6),AND(AG$7&gt;0,$A436&gt;AG$7)),0,MAX(0,ROUND((INDEX($E436:$G436,AG$5)-SUMIFS(TF_Timer,TF_Tekniker,AG$4,TF_Dato,$A436))*2,0)/2)))</f>
        <v/>
      </c>
      <c r="AH436">
        <f>IF(OR(AH$4="",$A436&gt;TODAY()),0,IF(OR(INDEX($B436:$D436,AH$5)="F",AND(AH$6&gt;0,$A436&lt;AH$6),AND(AH$7&gt;0,$A436&gt;AH$7)),0,MAX(0,ROUND((INDEX($E436:$G436,AH$5)-SUMIFS(TF_Timer,TF_Tekniker,AH$4,TF_Dato,$A436))*2,0)/2)))</f>
        <v/>
      </c>
      <c r="AI436">
        <f>IF(OR(AI$4="",$A436&gt;TODAY()),0,IF(OR(INDEX($B436:$D436,AI$5)="F",AND(AI$6&gt;0,$A436&lt;AI$6),AND(AI$7&gt;0,$A436&gt;AI$7)),0,MAX(0,ROUND((INDEX($E436:$G436,AI$5)-SUMIFS(TF_Timer,TF_Tekniker,AI$4,TF_Dato,$A436))*2,0)/2)))</f>
        <v/>
      </c>
      <c r="AJ436">
        <f>IF(OR(AJ$4="",$A436&gt;TODAY()),0,IF(OR(INDEX($B436:$D436,AJ$5)="F",AND(AJ$6&gt;0,$A436&lt;AJ$6),AND(AJ$7&gt;0,$A436&gt;AJ$7)),0,MAX(0,ROUND((INDEX($E436:$G436,AJ$5)-SUMIFS(TF_Timer,TF_Tekniker,AJ$4,TF_Dato,$A436))*2,0)/2)))</f>
        <v/>
      </c>
      <c r="AK436">
        <f>IF(OR(AK$4="",$A436&gt;TODAY()),0,IF(OR(INDEX($B436:$D436,AK$5)="F",AND(AK$6&gt;0,$A436&lt;AK$6),AND(AK$7&gt;0,$A436&gt;AK$7)),0,MAX(0,ROUND((INDEX($E436:$G436,AK$5)-SUMIFS(TF_Timer,TF_Tekniker,AK$4,TF_Dato,$A436))*2,0)/2)))</f>
        <v/>
      </c>
      <c r="AL436">
        <f>IF(OR(AL$4="",$A436&gt;TODAY()),0,IF(OR(INDEX($B436:$D436,AL$5)="F",AND(AL$6&gt;0,$A436&lt;AL$6),AND(AL$7&gt;0,$A436&gt;AL$7)),0,MAX(0,ROUND((INDEX($E436:$G436,AL$5)-SUMIFS(TF_Timer,TF_Tekniker,AL$4,TF_Dato,$A436))*2,0)/2)))</f>
        <v/>
      </c>
      <c r="AM436">
        <f>IF(OR(AM$4="",$A436&gt;TODAY()),0,IF(OR(INDEX($B436:$D436,AM$5)="F",AND(AM$6&gt;0,$A436&lt;AM$6),AND(AM$7&gt;0,$A436&gt;AM$7)),0,MAX(0,ROUND((INDEX($E436:$G436,AM$5)-SUMIFS(TF_Timer,TF_Tekniker,AM$4,TF_Dato,$A436))*2,0)/2)))</f>
        <v/>
      </c>
      <c r="AN436">
        <f>IF(OR(AN$4="",$A436&gt;TODAY()),0,IF(OR(INDEX($B436:$D436,AN$5)="F",AND(AN$6&gt;0,$A436&lt;AN$6),AND(AN$7&gt;0,$A436&gt;AN$7)),0,MAX(0,ROUND((INDEX($E436:$G436,AN$5)-SUMIFS(TF_Timer,TF_Tekniker,AN$4,TF_Dato,$A436))*2,0)/2)))</f>
        <v/>
      </c>
      <c r="AO436">
        <f>IF(OR(AO$4="",$A436&gt;TODAY()),0,IF(OR(INDEX($B436:$D436,AO$5)="F",AND(AO$6&gt;0,$A436&lt;AO$6),AND(AO$7&gt;0,$A436&gt;AO$7)),0,MAX(0,ROUND((INDEX($E436:$G436,AO$5)-SUMIFS(TF_Timer,TF_Tekniker,AO$4,TF_Dato,$A436))*2,0)/2)))</f>
        <v/>
      </c>
      <c r="AP436">
        <f>IF(OR(AP$4="",$A436&gt;TODAY()),0,IF(OR(INDEX($B436:$D436,AP$5)="F",AND(AP$6&gt;0,$A436&lt;AP$6),AND(AP$7&gt;0,$A436&gt;AP$7)),0,MAX(0,ROUND((INDEX($E436:$G436,AP$5)-SUMIFS(TF_Timer,TF_Tekniker,AP$4,TF_Dato,$A436))*2,0)/2)))</f>
        <v/>
      </c>
      <c r="AQ436">
        <f>IF(OR(AQ$4="",$A436&gt;TODAY()),0,IF(OR(INDEX($B436:$D436,AQ$5)="F",AND(AQ$6&gt;0,$A436&lt;AQ$6),AND(AQ$7&gt;0,$A436&gt;AQ$7)),0,MAX(0,ROUND((INDEX($E436:$G436,AQ$5)-SUMIFS(TF_Timer,TF_Tekniker,AQ$4,TF_Dato,$A436))*2,0)/2)))</f>
        <v/>
      </c>
      <c r="AR436">
        <f>IF(OR(AR$4="",$A436&gt;TODAY()),0,IF(OR(INDEX($B436:$D436,AR$5)="F",AND(AR$6&gt;0,$A436&lt;AR$6),AND(AR$7&gt;0,$A436&gt;AR$7)),0,MAX(0,ROUND((INDEX($E436:$G436,AR$5)-SUMIFS(TF_Timer,TF_Tekniker,AR$4,TF_Dato,$A436))*2,0)/2)))</f>
        <v/>
      </c>
      <c r="AS436">
        <f>IF(OR(AS$4="",$A436&gt;TODAY()),0,IF(OR(INDEX($B436:$D436,AS$5)="F",AND(AS$6&gt;0,$A436&lt;AS$6),AND(AS$7&gt;0,$A436&gt;AS$7)),0,MAX(0,ROUND((INDEX($E436:$G436,AS$5)-SUMIFS(TF_Timer,TF_Tekniker,AS$4,TF_Dato,$A436))*2,0)/2)))</f>
        <v/>
      </c>
      <c r="AT436">
        <f>IF(OR(AT$4="",$A436&gt;TODAY()),0,IF(OR(INDEX($B436:$D436,AT$5)="F",AND(AT$6&gt;0,$A436&lt;AT$6),AND(AT$7&gt;0,$A436&gt;AT$7)),0,MAX(0,ROUND((INDEX($E436:$G436,AT$5)-SUMIFS(TF_Timer,TF_Tekniker,AT$4,TF_Dato,$A436))*2,0)/2)))</f>
        <v/>
      </c>
      <c r="AU436">
        <f>IF(OR(AU$4="",$A436&gt;TODAY()),0,IF(OR(INDEX($B436:$D436,AU$5)="F",AND(AU$6&gt;0,$A436&lt;AU$6),AND(AU$7&gt;0,$A436&gt;AU$7)),0,MAX(0,ROUND((INDEX($E436:$G436,AU$5)-SUMIFS(TF_Timer,TF_Tekniker,AU$4,TF_Dato,$A436))*2,0)/2)))</f>
        <v/>
      </c>
      <c r="AV436">
        <f>IF(OR(AV$4="",$A436&gt;TODAY()),0,IF(OR(INDEX($B436:$D436,AV$5)="F",AND(AV$6&gt;0,$A436&lt;AV$6),AND(AV$7&gt;0,$A436&gt;AV$7)),0,MAX(0,ROUND((INDEX($E436:$G436,AV$5)-SUMIFS(TF_Timer,TF_Tekniker,AV$4,TF_Dato,$A436))*2,0)/2)))</f>
        <v/>
      </c>
      <c r="AW436">
        <f>IF(OR(AW$4="",$A436&gt;TODAY()),0,IF(OR(INDEX($B436:$D436,AW$5)="F",AND(AW$6&gt;0,$A436&lt;AW$6),AND(AW$7&gt;0,$A436&gt;AW$7)),0,MAX(0,ROUND((INDEX($E436:$G436,AW$5)-SUMIFS(TF_Timer,TF_Tekniker,AW$4,TF_Dato,$A436))*2,0)/2)))</f>
        <v/>
      </c>
      <c r="AX436">
        <f>IF(OR(AX$4="",$A436&gt;TODAY()),0,IF(OR(INDEX($B436:$D436,AX$5)="F",AND(AX$6&gt;0,$A436&lt;AX$6),AND(AX$7&gt;0,$A436&gt;AX$7)),0,MAX(0,ROUND((INDEX($E436:$G436,AX$5)-SUMIFS(TF_Timer,TF_Tekniker,AX$4,TF_Dato,$A436))*2,0)/2)))</f>
        <v/>
      </c>
      <c r="AY436">
        <f>IF(OR(AY$4="",$A436&gt;TODAY()),0,IF(OR(INDEX($B436:$D436,AY$5)="F",AND(AY$6&gt;0,$A436&lt;AY$6),AND(AY$7&gt;0,$A436&gt;AY$7)),0,MAX(0,ROUND((INDEX($E436:$G436,AY$5)-SUMIFS(TF_Timer,TF_Tekniker,AY$4,TF_Dato,$A436))*2,0)/2)))</f>
        <v/>
      </c>
      <c r="AZ436">
        <f>IF(OR(AZ$4="",$A436&gt;TODAY()),0,IF(OR(INDEX($B436:$D436,AZ$5)="F",AND(AZ$6&gt;0,$A436&lt;AZ$6),AND(AZ$7&gt;0,$A436&gt;AZ$7)),0,MAX(0,ROUND((INDEX($E436:$G436,AZ$5)-SUMIFS(TF_Timer,TF_Tekniker,AZ$4,TF_Dato,$A436))*2,0)/2)))</f>
        <v/>
      </c>
      <c r="BA436">
        <f>IF(OR(BA$4="",$A436&gt;TODAY()),0,IF(OR(INDEX($B436:$D436,BA$5)="F",AND(BA$6&gt;0,$A436&lt;BA$6),AND(BA$7&gt;0,$A436&gt;BA$7)),0,MAX(0,ROUND((INDEX($E436:$G436,BA$5)-SUMIFS(TF_Timer,TF_Tekniker,BA$4,TF_Dato,$A436))*2,0)/2)))</f>
        <v/>
      </c>
      <c r="BB436">
        <f>IF(OR(BB$4="",$A436&gt;TODAY()),0,IF(OR(INDEX($B436:$D436,BB$5)="F",AND(BB$6&gt;0,$A436&lt;BB$6),AND(BB$7&gt;0,$A436&gt;BB$7)),0,MAX(0,ROUND((INDEX($E436:$G436,BB$5)-SUMIFS(TF_Timer,TF_Tekniker,BB$4,TF_Dato,$A436))*2,0)/2)))</f>
        <v/>
      </c>
      <c r="BC436">
        <f>IF(OR(BC$4="",$A436&gt;TODAY()),0,IF(OR(INDEX($B436:$D436,BC$5)="F",AND(BC$6&gt;0,$A436&lt;BC$6),AND(BC$7&gt;0,$A436&gt;BC$7)),0,MAX(0,ROUND((INDEX($E436:$G436,BC$5)-SUMIFS(TF_Timer,TF_Tekniker,BC$4,TF_Dato,$A436))*2,0)/2)))</f>
        <v/>
      </c>
      <c r="BD436">
        <f>IF(OR(BD$4="",$A436&gt;TODAY()),0,IF(OR(INDEX($B436:$D436,BD$5)="F",AND(BD$6&gt;0,$A436&lt;BD$6),AND(BD$7&gt;0,$A436&gt;BD$7)),0,MAX(0,ROUND((INDEX($E436:$G436,BD$5)-SUMIFS(TF_Timer,TF_Tekniker,BD$4,TF_Dato,$A436))*2,0)/2)))</f>
        <v/>
      </c>
      <c r="BE436">
        <f>IF(OR(BE$4="",$A436&gt;TODAY()),0,IF(OR(INDEX($B436:$D436,BE$5)="F",AND(BE$6&gt;0,$A436&lt;BE$6),AND(BE$7&gt;0,$A436&gt;BE$7)),0,MAX(0,ROUND((INDEX($E436:$G436,BE$5)-SUMIFS(TF_Timer,TF_Tekniker,BE$4,TF_Dato,$A436))*2,0)/2)))</f>
        <v/>
      </c>
      <c r="BF436">
        <f>IF(OR(BF$4="",$A436&gt;TODAY()),0,IF(OR(INDEX($B436:$D436,BF$5)="F",AND(BF$6&gt;0,$A436&lt;BF$6),AND(BF$7&gt;0,$A436&gt;BF$7)),0,MAX(0,ROUND((INDEX($E436:$G436,BF$5)-SUMIFS(TF_Timer,TF_Tekniker,BF$4,TF_Dato,$A436))*2,0)/2)))</f>
        <v/>
      </c>
      <c r="BG436">
        <f>IF(OR(BG$4="",$A436&gt;TODAY()),0,IF(OR(INDEX($B436:$D436,BG$5)="F",AND(BG$6&gt;0,$A436&lt;BG$6),AND(BG$7&gt;0,$A436&gt;BG$7)),0,MAX(0,ROUND((INDEX($E436:$G436,BG$5)-SUMIFS(TF_Timer,TF_Tekniker,BG$4,TF_Dato,$A436))*2,0)/2)))</f>
        <v/>
      </c>
      <c r="BH436">
        <f>IF(OR(BH$4="",$A436&gt;TODAY()),0,IF(OR(INDEX($B436:$D436,BH$5)="F",AND(BH$6&gt;0,$A436&lt;BH$6),AND(BH$7&gt;0,$A436&gt;BH$7)),0,MAX(0,ROUND((INDEX($E436:$G436,BH$5)-SUMIFS(TF_Timer,TF_Tekniker,BH$4,TF_Dato,$A436))*2,0)/2)))</f>
        <v/>
      </c>
      <c r="BI436">
        <f>IF(OR(BI$4="",$A436&gt;TODAY()),0,IF(OR(INDEX($B436:$D436,BI$5)="F",AND(BI$6&gt;0,$A436&lt;BI$6),AND(BI$7&gt;0,$A436&gt;BI$7)),0,MAX(0,ROUND((INDEX($E436:$G436,BI$5)-SUMIFS(TF_Timer,TF_Tekniker,BI$4,TF_Dato,$A436))*2,0)/2)))</f>
        <v/>
      </c>
    </row>
    <row r="437">
      <c r="A437" s="64">
        <f>A436+1</f>
        <v/>
      </c>
      <c r="B437">
        <f>IF(MOD($A437-INDEX(SkiftStart,1),Syklus)&lt;DagK,"K",IF(MOD($A437-INDEX(SkiftStart,1),Syklus)&lt;DagK+DagH,"H",IF(MOD($A437-INDEX(SkiftStart,1),Syklus)&lt;DagK+DagH+DagD,"D","F")))</f>
        <v/>
      </c>
      <c r="C437">
        <f>IF(MOD($A437-INDEX(SkiftStart,2),Syklus)&lt;DagK,"K",IF(MOD($A437-INDEX(SkiftStart,2),Syklus)&lt;DagK+DagH,"H",IF(MOD($A437-INDEX(SkiftStart,2),Syklus)&lt;DagK+DagH+DagD,"D","F")))</f>
        <v/>
      </c>
      <c r="D437">
        <f>IF(MOD($A437-INDEX(SkiftStart,3),Syklus)&lt;DagK,"K",IF(MOD($A437-INDEX(SkiftStart,3),Syklus)&lt;DagK+DagH,"H",IF(MOD($A437-INDEX(SkiftStart,3),Syklus)&lt;DagK+DagH+DagD,"D","F")))</f>
        <v/>
      </c>
      <c r="E437">
        <f>IF(B437="F",0,IF(WEEKDAY($A437,2)=5,INDEX(TimerFr,MATCH(B437,FaseKode,0)),INDEX(TimerMT,MATCH(B437,FaseKode,0))))</f>
        <v/>
      </c>
      <c r="F437">
        <f>IF(C437="F",0,IF(WEEKDAY($A437,2)=5,INDEX(TimerFr,MATCH(C437,FaseKode,0)),INDEX(TimerMT,MATCH(C437,FaseKode,0))))</f>
        <v/>
      </c>
      <c r="G437">
        <f>IF(D437="F",0,IF(WEEKDAY($A437,2)=5,INDEX(TimerFr,MATCH(D437,FaseKode,0)),INDEX(TimerMT,MATCH(D437,FaseKode,0))))</f>
        <v/>
      </c>
      <c r="H437">
        <f>IF(OR(H$4="",$A437&gt;TODAY()),0,IF(OR(INDEX($B437:$D437,H$5)="F",AND(H$6&gt;0,$A437&lt;H$6),AND(H$7&gt;0,$A437&gt;H$7)),0,MAX(0,ROUND((INDEX($E437:$G437,H$5)-SUMIFS(TF_Timer,TF_Tekniker,H$4,TF_Dato,$A437))*2,0)/2)))</f>
        <v/>
      </c>
      <c r="I437">
        <f>IF(OR(I$4="",$A437&gt;TODAY()),0,IF(OR(INDEX($B437:$D437,I$5)="F",AND(I$6&gt;0,$A437&lt;I$6),AND(I$7&gt;0,$A437&gt;I$7)),0,MAX(0,ROUND((INDEX($E437:$G437,I$5)-SUMIFS(TF_Timer,TF_Tekniker,I$4,TF_Dato,$A437))*2,0)/2)))</f>
        <v/>
      </c>
      <c r="J437">
        <f>IF(OR(J$4="",$A437&gt;TODAY()),0,IF(OR(INDEX($B437:$D437,J$5)="F",AND(J$6&gt;0,$A437&lt;J$6),AND(J$7&gt;0,$A437&gt;J$7)),0,MAX(0,ROUND((INDEX($E437:$G437,J$5)-SUMIFS(TF_Timer,TF_Tekniker,J$4,TF_Dato,$A437))*2,0)/2)))</f>
        <v/>
      </c>
      <c r="K437">
        <f>IF(OR(K$4="",$A437&gt;TODAY()),0,IF(OR(INDEX($B437:$D437,K$5)="F",AND(K$6&gt;0,$A437&lt;K$6),AND(K$7&gt;0,$A437&gt;K$7)),0,MAX(0,ROUND((INDEX($E437:$G437,K$5)-SUMIFS(TF_Timer,TF_Tekniker,K$4,TF_Dato,$A437))*2,0)/2)))</f>
        <v/>
      </c>
      <c r="L437">
        <f>IF(OR(L$4="",$A437&gt;TODAY()),0,IF(OR(INDEX($B437:$D437,L$5)="F",AND(L$6&gt;0,$A437&lt;L$6),AND(L$7&gt;0,$A437&gt;L$7)),0,MAX(0,ROUND((INDEX($E437:$G437,L$5)-SUMIFS(TF_Timer,TF_Tekniker,L$4,TF_Dato,$A437))*2,0)/2)))</f>
        <v/>
      </c>
      <c r="M437">
        <f>IF(OR(M$4="",$A437&gt;TODAY()),0,IF(OR(INDEX($B437:$D437,M$5)="F",AND(M$6&gt;0,$A437&lt;M$6),AND(M$7&gt;0,$A437&gt;M$7)),0,MAX(0,ROUND((INDEX($E437:$G437,M$5)-SUMIFS(TF_Timer,TF_Tekniker,M$4,TF_Dato,$A437))*2,0)/2)))</f>
        <v/>
      </c>
      <c r="N437">
        <f>IF(OR(N$4="",$A437&gt;TODAY()),0,IF(OR(INDEX($B437:$D437,N$5)="F",AND(N$6&gt;0,$A437&lt;N$6),AND(N$7&gt;0,$A437&gt;N$7)),0,MAX(0,ROUND((INDEX($E437:$G437,N$5)-SUMIFS(TF_Timer,TF_Tekniker,N$4,TF_Dato,$A437))*2,0)/2)))</f>
        <v/>
      </c>
      <c r="O437">
        <f>IF(OR(O$4="",$A437&gt;TODAY()),0,IF(OR(INDEX($B437:$D437,O$5)="F",AND(O$6&gt;0,$A437&lt;O$6),AND(O$7&gt;0,$A437&gt;O$7)),0,MAX(0,ROUND((INDEX($E437:$G437,O$5)-SUMIFS(TF_Timer,TF_Tekniker,O$4,TF_Dato,$A437))*2,0)/2)))</f>
        <v/>
      </c>
      <c r="P437">
        <f>IF(OR(P$4="",$A437&gt;TODAY()),0,IF(OR(INDEX($B437:$D437,P$5)="F",AND(P$6&gt;0,$A437&lt;P$6),AND(P$7&gt;0,$A437&gt;P$7)),0,MAX(0,ROUND((INDEX($E437:$G437,P$5)-SUMIFS(TF_Timer,TF_Tekniker,P$4,TF_Dato,$A437))*2,0)/2)))</f>
        <v/>
      </c>
      <c r="Q437">
        <f>IF(OR(Q$4="",$A437&gt;TODAY()),0,IF(OR(INDEX($B437:$D437,Q$5)="F",AND(Q$6&gt;0,$A437&lt;Q$6),AND(Q$7&gt;0,$A437&gt;Q$7)),0,MAX(0,ROUND((INDEX($E437:$G437,Q$5)-SUMIFS(TF_Timer,TF_Tekniker,Q$4,TF_Dato,$A437))*2,0)/2)))</f>
        <v/>
      </c>
      <c r="R437">
        <f>IF(OR(R$4="",$A437&gt;TODAY()),0,IF(OR(INDEX($B437:$D437,R$5)="F",AND(R$6&gt;0,$A437&lt;R$6),AND(R$7&gt;0,$A437&gt;R$7)),0,MAX(0,ROUND((INDEX($E437:$G437,R$5)-SUMIFS(TF_Timer,TF_Tekniker,R$4,TF_Dato,$A437))*2,0)/2)))</f>
        <v/>
      </c>
      <c r="S437">
        <f>IF(OR(S$4="",$A437&gt;TODAY()),0,IF(OR(INDEX($B437:$D437,S$5)="F",AND(S$6&gt;0,$A437&lt;S$6),AND(S$7&gt;0,$A437&gt;S$7)),0,MAX(0,ROUND((INDEX($E437:$G437,S$5)-SUMIFS(TF_Timer,TF_Tekniker,S$4,TF_Dato,$A437))*2,0)/2)))</f>
        <v/>
      </c>
      <c r="T437">
        <f>IF(OR(T$4="",$A437&gt;TODAY()),0,IF(OR(INDEX($B437:$D437,T$5)="F",AND(T$6&gt;0,$A437&lt;T$6),AND(T$7&gt;0,$A437&gt;T$7)),0,MAX(0,ROUND((INDEX($E437:$G437,T$5)-SUMIFS(TF_Timer,TF_Tekniker,T$4,TF_Dato,$A437))*2,0)/2)))</f>
        <v/>
      </c>
      <c r="U437">
        <f>IF(OR(U$4="",$A437&gt;TODAY()),0,IF(OR(INDEX($B437:$D437,U$5)="F",AND(U$6&gt;0,$A437&lt;U$6),AND(U$7&gt;0,$A437&gt;U$7)),0,MAX(0,ROUND((INDEX($E437:$G437,U$5)-SUMIFS(TF_Timer,TF_Tekniker,U$4,TF_Dato,$A437))*2,0)/2)))</f>
        <v/>
      </c>
      <c r="V437">
        <f>IF(OR(V$4="",$A437&gt;TODAY()),0,IF(OR(INDEX($B437:$D437,V$5)="F",AND(V$6&gt;0,$A437&lt;V$6),AND(V$7&gt;0,$A437&gt;V$7)),0,MAX(0,ROUND((INDEX($E437:$G437,V$5)-SUMIFS(TF_Timer,TF_Tekniker,V$4,TF_Dato,$A437))*2,0)/2)))</f>
        <v/>
      </c>
      <c r="W437">
        <f>IF(OR(W$4="",$A437&gt;TODAY()),0,IF(OR(INDEX($B437:$D437,W$5)="F",AND(W$6&gt;0,$A437&lt;W$6),AND(W$7&gt;0,$A437&gt;W$7)),0,MAX(0,ROUND((INDEX($E437:$G437,W$5)-SUMIFS(TF_Timer,TF_Tekniker,W$4,TF_Dato,$A437))*2,0)/2)))</f>
        <v/>
      </c>
      <c r="X437">
        <f>IF(OR(X$4="",$A437&gt;TODAY()),0,IF(OR(INDEX($B437:$D437,X$5)="F",AND(X$6&gt;0,$A437&lt;X$6),AND(X$7&gt;0,$A437&gt;X$7)),0,MAX(0,ROUND((INDEX($E437:$G437,X$5)-SUMIFS(TF_Timer,TF_Tekniker,X$4,TF_Dato,$A437))*2,0)/2)))</f>
        <v/>
      </c>
      <c r="Y437">
        <f>IF(OR(Y$4="",$A437&gt;TODAY()),0,IF(OR(INDEX($B437:$D437,Y$5)="F",AND(Y$6&gt;0,$A437&lt;Y$6),AND(Y$7&gt;0,$A437&gt;Y$7)),0,MAX(0,ROUND((INDEX($E437:$G437,Y$5)-SUMIFS(TF_Timer,TF_Tekniker,Y$4,TF_Dato,$A437))*2,0)/2)))</f>
        <v/>
      </c>
      <c r="Z437">
        <f>IF(OR(Z$4="",$A437&gt;TODAY()),0,IF(OR(INDEX($B437:$D437,Z$5)="F",AND(Z$6&gt;0,$A437&lt;Z$6),AND(Z$7&gt;0,$A437&gt;Z$7)),0,MAX(0,ROUND((INDEX($E437:$G437,Z$5)-SUMIFS(TF_Timer,TF_Tekniker,Z$4,TF_Dato,$A437))*2,0)/2)))</f>
        <v/>
      </c>
      <c r="AA437">
        <f>IF(OR(AA$4="",$A437&gt;TODAY()),0,IF(OR(INDEX($B437:$D437,AA$5)="F",AND(AA$6&gt;0,$A437&lt;AA$6),AND(AA$7&gt;0,$A437&gt;AA$7)),0,MAX(0,ROUND((INDEX($E437:$G437,AA$5)-SUMIFS(TF_Timer,TF_Tekniker,AA$4,TF_Dato,$A437))*2,0)/2)))</f>
        <v/>
      </c>
      <c r="AB437">
        <f>IF(OR(AB$4="",$A437&gt;TODAY()),0,IF(OR(INDEX($B437:$D437,AB$5)="F",AND(AB$6&gt;0,$A437&lt;AB$6),AND(AB$7&gt;0,$A437&gt;AB$7)),0,MAX(0,ROUND((INDEX($E437:$G437,AB$5)-SUMIFS(TF_Timer,TF_Tekniker,AB$4,TF_Dato,$A437))*2,0)/2)))</f>
        <v/>
      </c>
      <c r="AC437">
        <f>IF(OR(AC$4="",$A437&gt;TODAY()),0,IF(OR(INDEX($B437:$D437,AC$5)="F",AND(AC$6&gt;0,$A437&lt;AC$6),AND(AC$7&gt;0,$A437&gt;AC$7)),0,MAX(0,ROUND((INDEX($E437:$G437,AC$5)-SUMIFS(TF_Timer,TF_Tekniker,AC$4,TF_Dato,$A437))*2,0)/2)))</f>
        <v/>
      </c>
      <c r="AD437">
        <f>IF(OR(AD$4="",$A437&gt;TODAY()),0,IF(OR(INDEX($B437:$D437,AD$5)="F",AND(AD$6&gt;0,$A437&lt;AD$6),AND(AD$7&gt;0,$A437&gt;AD$7)),0,MAX(0,ROUND((INDEX($E437:$G437,AD$5)-SUMIFS(TF_Timer,TF_Tekniker,AD$4,TF_Dato,$A437))*2,0)/2)))</f>
        <v/>
      </c>
      <c r="AE437">
        <f>IF(OR(AE$4="",$A437&gt;TODAY()),0,IF(OR(INDEX($B437:$D437,AE$5)="F",AND(AE$6&gt;0,$A437&lt;AE$6),AND(AE$7&gt;0,$A437&gt;AE$7)),0,MAX(0,ROUND((INDEX($E437:$G437,AE$5)-SUMIFS(TF_Timer,TF_Tekniker,AE$4,TF_Dato,$A437))*2,0)/2)))</f>
        <v/>
      </c>
      <c r="AF437">
        <f>IF(OR(AF$4="",$A437&gt;TODAY()),0,IF(OR(INDEX($B437:$D437,AF$5)="F",AND(AF$6&gt;0,$A437&lt;AF$6),AND(AF$7&gt;0,$A437&gt;AF$7)),0,MAX(0,ROUND((INDEX($E437:$G437,AF$5)-SUMIFS(TF_Timer,TF_Tekniker,AF$4,TF_Dato,$A437))*2,0)/2)))</f>
        <v/>
      </c>
      <c r="AG437">
        <f>IF(OR(AG$4="",$A437&gt;TODAY()),0,IF(OR(INDEX($B437:$D437,AG$5)="F",AND(AG$6&gt;0,$A437&lt;AG$6),AND(AG$7&gt;0,$A437&gt;AG$7)),0,MAX(0,ROUND((INDEX($E437:$G437,AG$5)-SUMIFS(TF_Timer,TF_Tekniker,AG$4,TF_Dato,$A437))*2,0)/2)))</f>
        <v/>
      </c>
      <c r="AH437">
        <f>IF(OR(AH$4="",$A437&gt;TODAY()),0,IF(OR(INDEX($B437:$D437,AH$5)="F",AND(AH$6&gt;0,$A437&lt;AH$6),AND(AH$7&gt;0,$A437&gt;AH$7)),0,MAX(0,ROUND((INDEX($E437:$G437,AH$5)-SUMIFS(TF_Timer,TF_Tekniker,AH$4,TF_Dato,$A437))*2,0)/2)))</f>
        <v/>
      </c>
      <c r="AI437">
        <f>IF(OR(AI$4="",$A437&gt;TODAY()),0,IF(OR(INDEX($B437:$D437,AI$5)="F",AND(AI$6&gt;0,$A437&lt;AI$6),AND(AI$7&gt;0,$A437&gt;AI$7)),0,MAX(0,ROUND((INDEX($E437:$G437,AI$5)-SUMIFS(TF_Timer,TF_Tekniker,AI$4,TF_Dato,$A437))*2,0)/2)))</f>
        <v/>
      </c>
      <c r="AJ437">
        <f>IF(OR(AJ$4="",$A437&gt;TODAY()),0,IF(OR(INDEX($B437:$D437,AJ$5)="F",AND(AJ$6&gt;0,$A437&lt;AJ$6),AND(AJ$7&gt;0,$A437&gt;AJ$7)),0,MAX(0,ROUND((INDEX($E437:$G437,AJ$5)-SUMIFS(TF_Timer,TF_Tekniker,AJ$4,TF_Dato,$A437))*2,0)/2)))</f>
        <v/>
      </c>
      <c r="AK437">
        <f>IF(OR(AK$4="",$A437&gt;TODAY()),0,IF(OR(INDEX($B437:$D437,AK$5)="F",AND(AK$6&gt;0,$A437&lt;AK$6),AND(AK$7&gt;0,$A437&gt;AK$7)),0,MAX(0,ROUND((INDEX($E437:$G437,AK$5)-SUMIFS(TF_Timer,TF_Tekniker,AK$4,TF_Dato,$A437))*2,0)/2)))</f>
        <v/>
      </c>
      <c r="AL437">
        <f>IF(OR(AL$4="",$A437&gt;TODAY()),0,IF(OR(INDEX($B437:$D437,AL$5)="F",AND(AL$6&gt;0,$A437&lt;AL$6),AND(AL$7&gt;0,$A437&gt;AL$7)),0,MAX(0,ROUND((INDEX($E437:$G437,AL$5)-SUMIFS(TF_Timer,TF_Tekniker,AL$4,TF_Dato,$A437))*2,0)/2)))</f>
        <v/>
      </c>
      <c r="AM437">
        <f>IF(OR(AM$4="",$A437&gt;TODAY()),0,IF(OR(INDEX($B437:$D437,AM$5)="F",AND(AM$6&gt;0,$A437&lt;AM$6),AND(AM$7&gt;0,$A437&gt;AM$7)),0,MAX(0,ROUND((INDEX($E437:$G437,AM$5)-SUMIFS(TF_Timer,TF_Tekniker,AM$4,TF_Dato,$A437))*2,0)/2)))</f>
        <v/>
      </c>
      <c r="AN437">
        <f>IF(OR(AN$4="",$A437&gt;TODAY()),0,IF(OR(INDEX($B437:$D437,AN$5)="F",AND(AN$6&gt;0,$A437&lt;AN$6),AND(AN$7&gt;0,$A437&gt;AN$7)),0,MAX(0,ROUND((INDEX($E437:$G437,AN$5)-SUMIFS(TF_Timer,TF_Tekniker,AN$4,TF_Dato,$A437))*2,0)/2)))</f>
        <v/>
      </c>
      <c r="AO437">
        <f>IF(OR(AO$4="",$A437&gt;TODAY()),0,IF(OR(INDEX($B437:$D437,AO$5)="F",AND(AO$6&gt;0,$A437&lt;AO$6),AND(AO$7&gt;0,$A437&gt;AO$7)),0,MAX(0,ROUND((INDEX($E437:$G437,AO$5)-SUMIFS(TF_Timer,TF_Tekniker,AO$4,TF_Dato,$A437))*2,0)/2)))</f>
        <v/>
      </c>
      <c r="AP437">
        <f>IF(OR(AP$4="",$A437&gt;TODAY()),0,IF(OR(INDEX($B437:$D437,AP$5)="F",AND(AP$6&gt;0,$A437&lt;AP$6),AND(AP$7&gt;0,$A437&gt;AP$7)),0,MAX(0,ROUND((INDEX($E437:$G437,AP$5)-SUMIFS(TF_Timer,TF_Tekniker,AP$4,TF_Dato,$A437))*2,0)/2)))</f>
        <v/>
      </c>
      <c r="AQ437">
        <f>IF(OR(AQ$4="",$A437&gt;TODAY()),0,IF(OR(INDEX($B437:$D437,AQ$5)="F",AND(AQ$6&gt;0,$A437&lt;AQ$6),AND(AQ$7&gt;0,$A437&gt;AQ$7)),0,MAX(0,ROUND((INDEX($E437:$G437,AQ$5)-SUMIFS(TF_Timer,TF_Tekniker,AQ$4,TF_Dato,$A437))*2,0)/2)))</f>
        <v/>
      </c>
      <c r="AR437">
        <f>IF(OR(AR$4="",$A437&gt;TODAY()),0,IF(OR(INDEX($B437:$D437,AR$5)="F",AND(AR$6&gt;0,$A437&lt;AR$6),AND(AR$7&gt;0,$A437&gt;AR$7)),0,MAX(0,ROUND((INDEX($E437:$G437,AR$5)-SUMIFS(TF_Timer,TF_Tekniker,AR$4,TF_Dato,$A437))*2,0)/2)))</f>
        <v/>
      </c>
      <c r="AS437">
        <f>IF(OR(AS$4="",$A437&gt;TODAY()),0,IF(OR(INDEX($B437:$D437,AS$5)="F",AND(AS$6&gt;0,$A437&lt;AS$6),AND(AS$7&gt;0,$A437&gt;AS$7)),0,MAX(0,ROUND((INDEX($E437:$G437,AS$5)-SUMIFS(TF_Timer,TF_Tekniker,AS$4,TF_Dato,$A437))*2,0)/2)))</f>
        <v/>
      </c>
      <c r="AT437">
        <f>IF(OR(AT$4="",$A437&gt;TODAY()),0,IF(OR(INDEX($B437:$D437,AT$5)="F",AND(AT$6&gt;0,$A437&lt;AT$6),AND(AT$7&gt;0,$A437&gt;AT$7)),0,MAX(0,ROUND((INDEX($E437:$G437,AT$5)-SUMIFS(TF_Timer,TF_Tekniker,AT$4,TF_Dato,$A437))*2,0)/2)))</f>
        <v/>
      </c>
      <c r="AU437">
        <f>IF(OR(AU$4="",$A437&gt;TODAY()),0,IF(OR(INDEX($B437:$D437,AU$5)="F",AND(AU$6&gt;0,$A437&lt;AU$6),AND(AU$7&gt;0,$A437&gt;AU$7)),0,MAX(0,ROUND((INDEX($E437:$G437,AU$5)-SUMIFS(TF_Timer,TF_Tekniker,AU$4,TF_Dato,$A437))*2,0)/2)))</f>
        <v/>
      </c>
      <c r="AV437">
        <f>IF(OR(AV$4="",$A437&gt;TODAY()),0,IF(OR(INDEX($B437:$D437,AV$5)="F",AND(AV$6&gt;0,$A437&lt;AV$6),AND(AV$7&gt;0,$A437&gt;AV$7)),0,MAX(0,ROUND((INDEX($E437:$G437,AV$5)-SUMIFS(TF_Timer,TF_Tekniker,AV$4,TF_Dato,$A437))*2,0)/2)))</f>
        <v/>
      </c>
      <c r="AW437">
        <f>IF(OR(AW$4="",$A437&gt;TODAY()),0,IF(OR(INDEX($B437:$D437,AW$5)="F",AND(AW$6&gt;0,$A437&lt;AW$6),AND(AW$7&gt;0,$A437&gt;AW$7)),0,MAX(0,ROUND((INDEX($E437:$G437,AW$5)-SUMIFS(TF_Timer,TF_Tekniker,AW$4,TF_Dato,$A437))*2,0)/2)))</f>
        <v/>
      </c>
      <c r="AX437">
        <f>IF(OR(AX$4="",$A437&gt;TODAY()),0,IF(OR(INDEX($B437:$D437,AX$5)="F",AND(AX$6&gt;0,$A437&lt;AX$6),AND(AX$7&gt;0,$A437&gt;AX$7)),0,MAX(0,ROUND((INDEX($E437:$G437,AX$5)-SUMIFS(TF_Timer,TF_Tekniker,AX$4,TF_Dato,$A437))*2,0)/2)))</f>
        <v/>
      </c>
      <c r="AY437">
        <f>IF(OR(AY$4="",$A437&gt;TODAY()),0,IF(OR(INDEX($B437:$D437,AY$5)="F",AND(AY$6&gt;0,$A437&lt;AY$6),AND(AY$7&gt;0,$A437&gt;AY$7)),0,MAX(0,ROUND((INDEX($E437:$G437,AY$5)-SUMIFS(TF_Timer,TF_Tekniker,AY$4,TF_Dato,$A437))*2,0)/2)))</f>
        <v/>
      </c>
      <c r="AZ437">
        <f>IF(OR(AZ$4="",$A437&gt;TODAY()),0,IF(OR(INDEX($B437:$D437,AZ$5)="F",AND(AZ$6&gt;0,$A437&lt;AZ$6),AND(AZ$7&gt;0,$A437&gt;AZ$7)),0,MAX(0,ROUND((INDEX($E437:$G437,AZ$5)-SUMIFS(TF_Timer,TF_Tekniker,AZ$4,TF_Dato,$A437))*2,0)/2)))</f>
        <v/>
      </c>
      <c r="BA437">
        <f>IF(OR(BA$4="",$A437&gt;TODAY()),0,IF(OR(INDEX($B437:$D437,BA$5)="F",AND(BA$6&gt;0,$A437&lt;BA$6),AND(BA$7&gt;0,$A437&gt;BA$7)),0,MAX(0,ROUND((INDEX($E437:$G437,BA$5)-SUMIFS(TF_Timer,TF_Tekniker,BA$4,TF_Dato,$A437))*2,0)/2)))</f>
        <v/>
      </c>
      <c r="BB437">
        <f>IF(OR(BB$4="",$A437&gt;TODAY()),0,IF(OR(INDEX($B437:$D437,BB$5)="F",AND(BB$6&gt;0,$A437&lt;BB$6),AND(BB$7&gt;0,$A437&gt;BB$7)),0,MAX(0,ROUND((INDEX($E437:$G437,BB$5)-SUMIFS(TF_Timer,TF_Tekniker,BB$4,TF_Dato,$A437))*2,0)/2)))</f>
        <v/>
      </c>
      <c r="BC437">
        <f>IF(OR(BC$4="",$A437&gt;TODAY()),0,IF(OR(INDEX($B437:$D437,BC$5)="F",AND(BC$6&gt;0,$A437&lt;BC$6),AND(BC$7&gt;0,$A437&gt;BC$7)),0,MAX(0,ROUND((INDEX($E437:$G437,BC$5)-SUMIFS(TF_Timer,TF_Tekniker,BC$4,TF_Dato,$A437))*2,0)/2)))</f>
        <v/>
      </c>
      <c r="BD437">
        <f>IF(OR(BD$4="",$A437&gt;TODAY()),0,IF(OR(INDEX($B437:$D437,BD$5)="F",AND(BD$6&gt;0,$A437&lt;BD$6),AND(BD$7&gt;0,$A437&gt;BD$7)),0,MAX(0,ROUND((INDEX($E437:$G437,BD$5)-SUMIFS(TF_Timer,TF_Tekniker,BD$4,TF_Dato,$A437))*2,0)/2)))</f>
        <v/>
      </c>
      <c r="BE437">
        <f>IF(OR(BE$4="",$A437&gt;TODAY()),0,IF(OR(INDEX($B437:$D437,BE$5)="F",AND(BE$6&gt;0,$A437&lt;BE$6),AND(BE$7&gt;0,$A437&gt;BE$7)),0,MAX(0,ROUND((INDEX($E437:$G437,BE$5)-SUMIFS(TF_Timer,TF_Tekniker,BE$4,TF_Dato,$A437))*2,0)/2)))</f>
        <v/>
      </c>
      <c r="BF437">
        <f>IF(OR(BF$4="",$A437&gt;TODAY()),0,IF(OR(INDEX($B437:$D437,BF$5)="F",AND(BF$6&gt;0,$A437&lt;BF$6),AND(BF$7&gt;0,$A437&gt;BF$7)),0,MAX(0,ROUND((INDEX($E437:$G437,BF$5)-SUMIFS(TF_Timer,TF_Tekniker,BF$4,TF_Dato,$A437))*2,0)/2)))</f>
        <v/>
      </c>
      <c r="BG437">
        <f>IF(OR(BG$4="",$A437&gt;TODAY()),0,IF(OR(INDEX($B437:$D437,BG$5)="F",AND(BG$6&gt;0,$A437&lt;BG$6),AND(BG$7&gt;0,$A437&gt;BG$7)),0,MAX(0,ROUND((INDEX($E437:$G437,BG$5)-SUMIFS(TF_Timer,TF_Tekniker,BG$4,TF_Dato,$A437))*2,0)/2)))</f>
        <v/>
      </c>
      <c r="BH437">
        <f>IF(OR(BH$4="",$A437&gt;TODAY()),0,IF(OR(INDEX($B437:$D437,BH$5)="F",AND(BH$6&gt;0,$A437&lt;BH$6),AND(BH$7&gt;0,$A437&gt;BH$7)),0,MAX(0,ROUND((INDEX($E437:$G437,BH$5)-SUMIFS(TF_Timer,TF_Tekniker,BH$4,TF_Dato,$A437))*2,0)/2)))</f>
        <v/>
      </c>
      <c r="BI437">
        <f>IF(OR(BI$4="",$A437&gt;TODAY()),0,IF(OR(INDEX($B437:$D437,BI$5)="F",AND(BI$6&gt;0,$A437&lt;BI$6),AND(BI$7&gt;0,$A437&gt;BI$7)),0,MAX(0,ROUND((INDEX($E437:$G437,BI$5)-SUMIFS(TF_Timer,TF_Tekniker,BI$4,TF_Dato,$A437))*2,0)/2)))</f>
        <v/>
      </c>
    </row>
    <row r="438">
      <c r="A438" s="64">
        <f>A437+1</f>
        <v/>
      </c>
      <c r="B438">
        <f>IF(MOD($A438-INDEX(SkiftStart,1),Syklus)&lt;DagK,"K",IF(MOD($A438-INDEX(SkiftStart,1),Syklus)&lt;DagK+DagH,"H",IF(MOD($A438-INDEX(SkiftStart,1),Syklus)&lt;DagK+DagH+DagD,"D","F")))</f>
        <v/>
      </c>
      <c r="C438">
        <f>IF(MOD($A438-INDEX(SkiftStart,2),Syklus)&lt;DagK,"K",IF(MOD($A438-INDEX(SkiftStart,2),Syklus)&lt;DagK+DagH,"H",IF(MOD($A438-INDEX(SkiftStart,2),Syklus)&lt;DagK+DagH+DagD,"D","F")))</f>
        <v/>
      </c>
      <c r="D438">
        <f>IF(MOD($A438-INDEX(SkiftStart,3),Syklus)&lt;DagK,"K",IF(MOD($A438-INDEX(SkiftStart,3),Syklus)&lt;DagK+DagH,"H",IF(MOD($A438-INDEX(SkiftStart,3),Syklus)&lt;DagK+DagH+DagD,"D","F")))</f>
        <v/>
      </c>
      <c r="E438">
        <f>IF(B438="F",0,IF(WEEKDAY($A438,2)=5,INDEX(TimerFr,MATCH(B438,FaseKode,0)),INDEX(TimerMT,MATCH(B438,FaseKode,0))))</f>
        <v/>
      </c>
      <c r="F438">
        <f>IF(C438="F",0,IF(WEEKDAY($A438,2)=5,INDEX(TimerFr,MATCH(C438,FaseKode,0)),INDEX(TimerMT,MATCH(C438,FaseKode,0))))</f>
        <v/>
      </c>
      <c r="G438">
        <f>IF(D438="F",0,IF(WEEKDAY($A438,2)=5,INDEX(TimerFr,MATCH(D438,FaseKode,0)),INDEX(TimerMT,MATCH(D438,FaseKode,0))))</f>
        <v/>
      </c>
      <c r="H438">
        <f>IF(OR(H$4="",$A438&gt;TODAY()),0,IF(OR(INDEX($B438:$D438,H$5)="F",AND(H$6&gt;0,$A438&lt;H$6),AND(H$7&gt;0,$A438&gt;H$7)),0,MAX(0,ROUND((INDEX($E438:$G438,H$5)-SUMIFS(TF_Timer,TF_Tekniker,H$4,TF_Dato,$A438))*2,0)/2)))</f>
        <v/>
      </c>
      <c r="I438">
        <f>IF(OR(I$4="",$A438&gt;TODAY()),0,IF(OR(INDEX($B438:$D438,I$5)="F",AND(I$6&gt;0,$A438&lt;I$6),AND(I$7&gt;0,$A438&gt;I$7)),0,MAX(0,ROUND((INDEX($E438:$G438,I$5)-SUMIFS(TF_Timer,TF_Tekniker,I$4,TF_Dato,$A438))*2,0)/2)))</f>
        <v/>
      </c>
      <c r="J438">
        <f>IF(OR(J$4="",$A438&gt;TODAY()),0,IF(OR(INDEX($B438:$D438,J$5)="F",AND(J$6&gt;0,$A438&lt;J$6),AND(J$7&gt;0,$A438&gt;J$7)),0,MAX(0,ROUND((INDEX($E438:$G438,J$5)-SUMIFS(TF_Timer,TF_Tekniker,J$4,TF_Dato,$A438))*2,0)/2)))</f>
        <v/>
      </c>
      <c r="K438">
        <f>IF(OR(K$4="",$A438&gt;TODAY()),0,IF(OR(INDEX($B438:$D438,K$5)="F",AND(K$6&gt;0,$A438&lt;K$6),AND(K$7&gt;0,$A438&gt;K$7)),0,MAX(0,ROUND((INDEX($E438:$G438,K$5)-SUMIFS(TF_Timer,TF_Tekniker,K$4,TF_Dato,$A438))*2,0)/2)))</f>
        <v/>
      </c>
      <c r="L438">
        <f>IF(OR(L$4="",$A438&gt;TODAY()),0,IF(OR(INDEX($B438:$D438,L$5)="F",AND(L$6&gt;0,$A438&lt;L$6),AND(L$7&gt;0,$A438&gt;L$7)),0,MAX(0,ROUND((INDEX($E438:$G438,L$5)-SUMIFS(TF_Timer,TF_Tekniker,L$4,TF_Dato,$A438))*2,0)/2)))</f>
        <v/>
      </c>
      <c r="M438">
        <f>IF(OR(M$4="",$A438&gt;TODAY()),0,IF(OR(INDEX($B438:$D438,M$5)="F",AND(M$6&gt;0,$A438&lt;M$6),AND(M$7&gt;0,$A438&gt;M$7)),0,MAX(0,ROUND((INDEX($E438:$G438,M$5)-SUMIFS(TF_Timer,TF_Tekniker,M$4,TF_Dato,$A438))*2,0)/2)))</f>
        <v/>
      </c>
      <c r="N438">
        <f>IF(OR(N$4="",$A438&gt;TODAY()),0,IF(OR(INDEX($B438:$D438,N$5)="F",AND(N$6&gt;0,$A438&lt;N$6),AND(N$7&gt;0,$A438&gt;N$7)),0,MAX(0,ROUND((INDEX($E438:$G438,N$5)-SUMIFS(TF_Timer,TF_Tekniker,N$4,TF_Dato,$A438))*2,0)/2)))</f>
        <v/>
      </c>
      <c r="O438">
        <f>IF(OR(O$4="",$A438&gt;TODAY()),0,IF(OR(INDEX($B438:$D438,O$5)="F",AND(O$6&gt;0,$A438&lt;O$6),AND(O$7&gt;0,$A438&gt;O$7)),0,MAX(0,ROUND((INDEX($E438:$G438,O$5)-SUMIFS(TF_Timer,TF_Tekniker,O$4,TF_Dato,$A438))*2,0)/2)))</f>
        <v/>
      </c>
      <c r="P438">
        <f>IF(OR(P$4="",$A438&gt;TODAY()),0,IF(OR(INDEX($B438:$D438,P$5)="F",AND(P$6&gt;0,$A438&lt;P$6),AND(P$7&gt;0,$A438&gt;P$7)),0,MAX(0,ROUND((INDEX($E438:$G438,P$5)-SUMIFS(TF_Timer,TF_Tekniker,P$4,TF_Dato,$A438))*2,0)/2)))</f>
        <v/>
      </c>
      <c r="Q438">
        <f>IF(OR(Q$4="",$A438&gt;TODAY()),0,IF(OR(INDEX($B438:$D438,Q$5)="F",AND(Q$6&gt;0,$A438&lt;Q$6),AND(Q$7&gt;0,$A438&gt;Q$7)),0,MAX(0,ROUND((INDEX($E438:$G438,Q$5)-SUMIFS(TF_Timer,TF_Tekniker,Q$4,TF_Dato,$A438))*2,0)/2)))</f>
        <v/>
      </c>
      <c r="R438">
        <f>IF(OR(R$4="",$A438&gt;TODAY()),0,IF(OR(INDEX($B438:$D438,R$5)="F",AND(R$6&gt;0,$A438&lt;R$6),AND(R$7&gt;0,$A438&gt;R$7)),0,MAX(0,ROUND((INDEX($E438:$G438,R$5)-SUMIFS(TF_Timer,TF_Tekniker,R$4,TF_Dato,$A438))*2,0)/2)))</f>
        <v/>
      </c>
      <c r="S438">
        <f>IF(OR(S$4="",$A438&gt;TODAY()),0,IF(OR(INDEX($B438:$D438,S$5)="F",AND(S$6&gt;0,$A438&lt;S$6),AND(S$7&gt;0,$A438&gt;S$7)),0,MAX(0,ROUND((INDEX($E438:$G438,S$5)-SUMIFS(TF_Timer,TF_Tekniker,S$4,TF_Dato,$A438))*2,0)/2)))</f>
        <v/>
      </c>
      <c r="T438">
        <f>IF(OR(T$4="",$A438&gt;TODAY()),0,IF(OR(INDEX($B438:$D438,T$5)="F",AND(T$6&gt;0,$A438&lt;T$6),AND(T$7&gt;0,$A438&gt;T$7)),0,MAX(0,ROUND((INDEX($E438:$G438,T$5)-SUMIFS(TF_Timer,TF_Tekniker,T$4,TF_Dato,$A438))*2,0)/2)))</f>
        <v/>
      </c>
      <c r="U438">
        <f>IF(OR(U$4="",$A438&gt;TODAY()),0,IF(OR(INDEX($B438:$D438,U$5)="F",AND(U$6&gt;0,$A438&lt;U$6),AND(U$7&gt;0,$A438&gt;U$7)),0,MAX(0,ROUND((INDEX($E438:$G438,U$5)-SUMIFS(TF_Timer,TF_Tekniker,U$4,TF_Dato,$A438))*2,0)/2)))</f>
        <v/>
      </c>
      <c r="V438">
        <f>IF(OR(V$4="",$A438&gt;TODAY()),0,IF(OR(INDEX($B438:$D438,V$5)="F",AND(V$6&gt;0,$A438&lt;V$6),AND(V$7&gt;0,$A438&gt;V$7)),0,MAX(0,ROUND((INDEX($E438:$G438,V$5)-SUMIFS(TF_Timer,TF_Tekniker,V$4,TF_Dato,$A438))*2,0)/2)))</f>
        <v/>
      </c>
      <c r="W438">
        <f>IF(OR(W$4="",$A438&gt;TODAY()),0,IF(OR(INDEX($B438:$D438,W$5)="F",AND(W$6&gt;0,$A438&lt;W$6),AND(W$7&gt;0,$A438&gt;W$7)),0,MAX(0,ROUND((INDEX($E438:$G438,W$5)-SUMIFS(TF_Timer,TF_Tekniker,W$4,TF_Dato,$A438))*2,0)/2)))</f>
        <v/>
      </c>
      <c r="X438">
        <f>IF(OR(X$4="",$A438&gt;TODAY()),0,IF(OR(INDEX($B438:$D438,X$5)="F",AND(X$6&gt;0,$A438&lt;X$6),AND(X$7&gt;0,$A438&gt;X$7)),0,MAX(0,ROUND((INDEX($E438:$G438,X$5)-SUMIFS(TF_Timer,TF_Tekniker,X$4,TF_Dato,$A438))*2,0)/2)))</f>
        <v/>
      </c>
      <c r="Y438">
        <f>IF(OR(Y$4="",$A438&gt;TODAY()),0,IF(OR(INDEX($B438:$D438,Y$5)="F",AND(Y$6&gt;0,$A438&lt;Y$6),AND(Y$7&gt;0,$A438&gt;Y$7)),0,MAX(0,ROUND((INDEX($E438:$G438,Y$5)-SUMIFS(TF_Timer,TF_Tekniker,Y$4,TF_Dato,$A438))*2,0)/2)))</f>
        <v/>
      </c>
      <c r="Z438">
        <f>IF(OR(Z$4="",$A438&gt;TODAY()),0,IF(OR(INDEX($B438:$D438,Z$5)="F",AND(Z$6&gt;0,$A438&lt;Z$6),AND(Z$7&gt;0,$A438&gt;Z$7)),0,MAX(0,ROUND((INDEX($E438:$G438,Z$5)-SUMIFS(TF_Timer,TF_Tekniker,Z$4,TF_Dato,$A438))*2,0)/2)))</f>
        <v/>
      </c>
      <c r="AA438">
        <f>IF(OR(AA$4="",$A438&gt;TODAY()),0,IF(OR(INDEX($B438:$D438,AA$5)="F",AND(AA$6&gt;0,$A438&lt;AA$6),AND(AA$7&gt;0,$A438&gt;AA$7)),0,MAX(0,ROUND((INDEX($E438:$G438,AA$5)-SUMIFS(TF_Timer,TF_Tekniker,AA$4,TF_Dato,$A438))*2,0)/2)))</f>
        <v/>
      </c>
      <c r="AB438">
        <f>IF(OR(AB$4="",$A438&gt;TODAY()),0,IF(OR(INDEX($B438:$D438,AB$5)="F",AND(AB$6&gt;0,$A438&lt;AB$6),AND(AB$7&gt;0,$A438&gt;AB$7)),0,MAX(0,ROUND((INDEX($E438:$G438,AB$5)-SUMIFS(TF_Timer,TF_Tekniker,AB$4,TF_Dato,$A438))*2,0)/2)))</f>
        <v/>
      </c>
      <c r="AC438">
        <f>IF(OR(AC$4="",$A438&gt;TODAY()),0,IF(OR(INDEX($B438:$D438,AC$5)="F",AND(AC$6&gt;0,$A438&lt;AC$6),AND(AC$7&gt;0,$A438&gt;AC$7)),0,MAX(0,ROUND((INDEX($E438:$G438,AC$5)-SUMIFS(TF_Timer,TF_Tekniker,AC$4,TF_Dato,$A438))*2,0)/2)))</f>
        <v/>
      </c>
      <c r="AD438">
        <f>IF(OR(AD$4="",$A438&gt;TODAY()),0,IF(OR(INDEX($B438:$D438,AD$5)="F",AND(AD$6&gt;0,$A438&lt;AD$6),AND(AD$7&gt;0,$A438&gt;AD$7)),0,MAX(0,ROUND((INDEX($E438:$G438,AD$5)-SUMIFS(TF_Timer,TF_Tekniker,AD$4,TF_Dato,$A438))*2,0)/2)))</f>
        <v/>
      </c>
      <c r="AE438">
        <f>IF(OR(AE$4="",$A438&gt;TODAY()),0,IF(OR(INDEX($B438:$D438,AE$5)="F",AND(AE$6&gt;0,$A438&lt;AE$6),AND(AE$7&gt;0,$A438&gt;AE$7)),0,MAX(0,ROUND((INDEX($E438:$G438,AE$5)-SUMIFS(TF_Timer,TF_Tekniker,AE$4,TF_Dato,$A438))*2,0)/2)))</f>
        <v/>
      </c>
      <c r="AF438">
        <f>IF(OR(AF$4="",$A438&gt;TODAY()),0,IF(OR(INDEX($B438:$D438,AF$5)="F",AND(AF$6&gt;0,$A438&lt;AF$6),AND(AF$7&gt;0,$A438&gt;AF$7)),0,MAX(0,ROUND((INDEX($E438:$G438,AF$5)-SUMIFS(TF_Timer,TF_Tekniker,AF$4,TF_Dato,$A438))*2,0)/2)))</f>
        <v/>
      </c>
      <c r="AG438">
        <f>IF(OR(AG$4="",$A438&gt;TODAY()),0,IF(OR(INDEX($B438:$D438,AG$5)="F",AND(AG$6&gt;0,$A438&lt;AG$6),AND(AG$7&gt;0,$A438&gt;AG$7)),0,MAX(0,ROUND((INDEX($E438:$G438,AG$5)-SUMIFS(TF_Timer,TF_Tekniker,AG$4,TF_Dato,$A438))*2,0)/2)))</f>
        <v/>
      </c>
      <c r="AH438">
        <f>IF(OR(AH$4="",$A438&gt;TODAY()),0,IF(OR(INDEX($B438:$D438,AH$5)="F",AND(AH$6&gt;0,$A438&lt;AH$6),AND(AH$7&gt;0,$A438&gt;AH$7)),0,MAX(0,ROUND((INDEX($E438:$G438,AH$5)-SUMIFS(TF_Timer,TF_Tekniker,AH$4,TF_Dato,$A438))*2,0)/2)))</f>
        <v/>
      </c>
      <c r="AI438">
        <f>IF(OR(AI$4="",$A438&gt;TODAY()),0,IF(OR(INDEX($B438:$D438,AI$5)="F",AND(AI$6&gt;0,$A438&lt;AI$6),AND(AI$7&gt;0,$A438&gt;AI$7)),0,MAX(0,ROUND((INDEX($E438:$G438,AI$5)-SUMIFS(TF_Timer,TF_Tekniker,AI$4,TF_Dato,$A438))*2,0)/2)))</f>
        <v/>
      </c>
      <c r="AJ438">
        <f>IF(OR(AJ$4="",$A438&gt;TODAY()),0,IF(OR(INDEX($B438:$D438,AJ$5)="F",AND(AJ$6&gt;0,$A438&lt;AJ$6),AND(AJ$7&gt;0,$A438&gt;AJ$7)),0,MAX(0,ROUND((INDEX($E438:$G438,AJ$5)-SUMIFS(TF_Timer,TF_Tekniker,AJ$4,TF_Dato,$A438))*2,0)/2)))</f>
        <v/>
      </c>
      <c r="AK438">
        <f>IF(OR(AK$4="",$A438&gt;TODAY()),0,IF(OR(INDEX($B438:$D438,AK$5)="F",AND(AK$6&gt;0,$A438&lt;AK$6),AND(AK$7&gt;0,$A438&gt;AK$7)),0,MAX(0,ROUND((INDEX($E438:$G438,AK$5)-SUMIFS(TF_Timer,TF_Tekniker,AK$4,TF_Dato,$A438))*2,0)/2)))</f>
        <v/>
      </c>
      <c r="AL438">
        <f>IF(OR(AL$4="",$A438&gt;TODAY()),0,IF(OR(INDEX($B438:$D438,AL$5)="F",AND(AL$6&gt;0,$A438&lt;AL$6),AND(AL$7&gt;0,$A438&gt;AL$7)),0,MAX(0,ROUND((INDEX($E438:$G438,AL$5)-SUMIFS(TF_Timer,TF_Tekniker,AL$4,TF_Dato,$A438))*2,0)/2)))</f>
        <v/>
      </c>
      <c r="AM438">
        <f>IF(OR(AM$4="",$A438&gt;TODAY()),0,IF(OR(INDEX($B438:$D438,AM$5)="F",AND(AM$6&gt;0,$A438&lt;AM$6),AND(AM$7&gt;0,$A438&gt;AM$7)),0,MAX(0,ROUND((INDEX($E438:$G438,AM$5)-SUMIFS(TF_Timer,TF_Tekniker,AM$4,TF_Dato,$A438))*2,0)/2)))</f>
        <v/>
      </c>
      <c r="AN438">
        <f>IF(OR(AN$4="",$A438&gt;TODAY()),0,IF(OR(INDEX($B438:$D438,AN$5)="F",AND(AN$6&gt;0,$A438&lt;AN$6),AND(AN$7&gt;0,$A438&gt;AN$7)),0,MAX(0,ROUND((INDEX($E438:$G438,AN$5)-SUMIFS(TF_Timer,TF_Tekniker,AN$4,TF_Dato,$A438))*2,0)/2)))</f>
        <v/>
      </c>
      <c r="AO438">
        <f>IF(OR(AO$4="",$A438&gt;TODAY()),0,IF(OR(INDEX($B438:$D438,AO$5)="F",AND(AO$6&gt;0,$A438&lt;AO$6),AND(AO$7&gt;0,$A438&gt;AO$7)),0,MAX(0,ROUND((INDEX($E438:$G438,AO$5)-SUMIFS(TF_Timer,TF_Tekniker,AO$4,TF_Dato,$A438))*2,0)/2)))</f>
        <v/>
      </c>
      <c r="AP438">
        <f>IF(OR(AP$4="",$A438&gt;TODAY()),0,IF(OR(INDEX($B438:$D438,AP$5)="F",AND(AP$6&gt;0,$A438&lt;AP$6),AND(AP$7&gt;0,$A438&gt;AP$7)),0,MAX(0,ROUND((INDEX($E438:$G438,AP$5)-SUMIFS(TF_Timer,TF_Tekniker,AP$4,TF_Dato,$A438))*2,0)/2)))</f>
        <v/>
      </c>
      <c r="AQ438">
        <f>IF(OR(AQ$4="",$A438&gt;TODAY()),0,IF(OR(INDEX($B438:$D438,AQ$5)="F",AND(AQ$6&gt;0,$A438&lt;AQ$6),AND(AQ$7&gt;0,$A438&gt;AQ$7)),0,MAX(0,ROUND((INDEX($E438:$G438,AQ$5)-SUMIFS(TF_Timer,TF_Tekniker,AQ$4,TF_Dato,$A438))*2,0)/2)))</f>
        <v/>
      </c>
      <c r="AR438">
        <f>IF(OR(AR$4="",$A438&gt;TODAY()),0,IF(OR(INDEX($B438:$D438,AR$5)="F",AND(AR$6&gt;0,$A438&lt;AR$6),AND(AR$7&gt;0,$A438&gt;AR$7)),0,MAX(0,ROUND((INDEX($E438:$G438,AR$5)-SUMIFS(TF_Timer,TF_Tekniker,AR$4,TF_Dato,$A438))*2,0)/2)))</f>
        <v/>
      </c>
      <c r="AS438">
        <f>IF(OR(AS$4="",$A438&gt;TODAY()),0,IF(OR(INDEX($B438:$D438,AS$5)="F",AND(AS$6&gt;0,$A438&lt;AS$6),AND(AS$7&gt;0,$A438&gt;AS$7)),0,MAX(0,ROUND((INDEX($E438:$G438,AS$5)-SUMIFS(TF_Timer,TF_Tekniker,AS$4,TF_Dato,$A438))*2,0)/2)))</f>
        <v/>
      </c>
      <c r="AT438">
        <f>IF(OR(AT$4="",$A438&gt;TODAY()),0,IF(OR(INDEX($B438:$D438,AT$5)="F",AND(AT$6&gt;0,$A438&lt;AT$6),AND(AT$7&gt;0,$A438&gt;AT$7)),0,MAX(0,ROUND((INDEX($E438:$G438,AT$5)-SUMIFS(TF_Timer,TF_Tekniker,AT$4,TF_Dato,$A438))*2,0)/2)))</f>
        <v/>
      </c>
      <c r="AU438">
        <f>IF(OR(AU$4="",$A438&gt;TODAY()),0,IF(OR(INDEX($B438:$D438,AU$5)="F",AND(AU$6&gt;0,$A438&lt;AU$6),AND(AU$7&gt;0,$A438&gt;AU$7)),0,MAX(0,ROUND((INDEX($E438:$G438,AU$5)-SUMIFS(TF_Timer,TF_Tekniker,AU$4,TF_Dato,$A438))*2,0)/2)))</f>
        <v/>
      </c>
      <c r="AV438">
        <f>IF(OR(AV$4="",$A438&gt;TODAY()),0,IF(OR(INDEX($B438:$D438,AV$5)="F",AND(AV$6&gt;0,$A438&lt;AV$6),AND(AV$7&gt;0,$A438&gt;AV$7)),0,MAX(0,ROUND((INDEX($E438:$G438,AV$5)-SUMIFS(TF_Timer,TF_Tekniker,AV$4,TF_Dato,$A438))*2,0)/2)))</f>
        <v/>
      </c>
      <c r="AW438">
        <f>IF(OR(AW$4="",$A438&gt;TODAY()),0,IF(OR(INDEX($B438:$D438,AW$5)="F",AND(AW$6&gt;0,$A438&lt;AW$6),AND(AW$7&gt;0,$A438&gt;AW$7)),0,MAX(0,ROUND((INDEX($E438:$G438,AW$5)-SUMIFS(TF_Timer,TF_Tekniker,AW$4,TF_Dato,$A438))*2,0)/2)))</f>
        <v/>
      </c>
      <c r="AX438">
        <f>IF(OR(AX$4="",$A438&gt;TODAY()),0,IF(OR(INDEX($B438:$D438,AX$5)="F",AND(AX$6&gt;0,$A438&lt;AX$6),AND(AX$7&gt;0,$A438&gt;AX$7)),0,MAX(0,ROUND((INDEX($E438:$G438,AX$5)-SUMIFS(TF_Timer,TF_Tekniker,AX$4,TF_Dato,$A438))*2,0)/2)))</f>
        <v/>
      </c>
      <c r="AY438">
        <f>IF(OR(AY$4="",$A438&gt;TODAY()),0,IF(OR(INDEX($B438:$D438,AY$5)="F",AND(AY$6&gt;0,$A438&lt;AY$6),AND(AY$7&gt;0,$A438&gt;AY$7)),0,MAX(0,ROUND((INDEX($E438:$G438,AY$5)-SUMIFS(TF_Timer,TF_Tekniker,AY$4,TF_Dato,$A438))*2,0)/2)))</f>
        <v/>
      </c>
      <c r="AZ438">
        <f>IF(OR(AZ$4="",$A438&gt;TODAY()),0,IF(OR(INDEX($B438:$D438,AZ$5)="F",AND(AZ$6&gt;0,$A438&lt;AZ$6),AND(AZ$7&gt;0,$A438&gt;AZ$7)),0,MAX(0,ROUND((INDEX($E438:$G438,AZ$5)-SUMIFS(TF_Timer,TF_Tekniker,AZ$4,TF_Dato,$A438))*2,0)/2)))</f>
        <v/>
      </c>
      <c r="BA438">
        <f>IF(OR(BA$4="",$A438&gt;TODAY()),0,IF(OR(INDEX($B438:$D438,BA$5)="F",AND(BA$6&gt;0,$A438&lt;BA$6),AND(BA$7&gt;0,$A438&gt;BA$7)),0,MAX(0,ROUND((INDEX($E438:$G438,BA$5)-SUMIFS(TF_Timer,TF_Tekniker,BA$4,TF_Dato,$A438))*2,0)/2)))</f>
        <v/>
      </c>
      <c r="BB438">
        <f>IF(OR(BB$4="",$A438&gt;TODAY()),0,IF(OR(INDEX($B438:$D438,BB$5)="F",AND(BB$6&gt;0,$A438&lt;BB$6),AND(BB$7&gt;0,$A438&gt;BB$7)),0,MAX(0,ROUND((INDEX($E438:$G438,BB$5)-SUMIFS(TF_Timer,TF_Tekniker,BB$4,TF_Dato,$A438))*2,0)/2)))</f>
        <v/>
      </c>
      <c r="BC438">
        <f>IF(OR(BC$4="",$A438&gt;TODAY()),0,IF(OR(INDEX($B438:$D438,BC$5)="F",AND(BC$6&gt;0,$A438&lt;BC$6),AND(BC$7&gt;0,$A438&gt;BC$7)),0,MAX(0,ROUND((INDEX($E438:$G438,BC$5)-SUMIFS(TF_Timer,TF_Tekniker,BC$4,TF_Dato,$A438))*2,0)/2)))</f>
        <v/>
      </c>
      <c r="BD438">
        <f>IF(OR(BD$4="",$A438&gt;TODAY()),0,IF(OR(INDEX($B438:$D438,BD$5)="F",AND(BD$6&gt;0,$A438&lt;BD$6),AND(BD$7&gt;0,$A438&gt;BD$7)),0,MAX(0,ROUND((INDEX($E438:$G438,BD$5)-SUMIFS(TF_Timer,TF_Tekniker,BD$4,TF_Dato,$A438))*2,0)/2)))</f>
        <v/>
      </c>
      <c r="BE438">
        <f>IF(OR(BE$4="",$A438&gt;TODAY()),0,IF(OR(INDEX($B438:$D438,BE$5)="F",AND(BE$6&gt;0,$A438&lt;BE$6),AND(BE$7&gt;0,$A438&gt;BE$7)),0,MAX(0,ROUND((INDEX($E438:$G438,BE$5)-SUMIFS(TF_Timer,TF_Tekniker,BE$4,TF_Dato,$A438))*2,0)/2)))</f>
        <v/>
      </c>
      <c r="BF438">
        <f>IF(OR(BF$4="",$A438&gt;TODAY()),0,IF(OR(INDEX($B438:$D438,BF$5)="F",AND(BF$6&gt;0,$A438&lt;BF$6),AND(BF$7&gt;0,$A438&gt;BF$7)),0,MAX(0,ROUND((INDEX($E438:$G438,BF$5)-SUMIFS(TF_Timer,TF_Tekniker,BF$4,TF_Dato,$A438))*2,0)/2)))</f>
        <v/>
      </c>
      <c r="BG438">
        <f>IF(OR(BG$4="",$A438&gt;TODAY()),0,IF(OR(INDEX($B438:$D438,BG$5)="F",AND(BG$6&gt;0,$A438&lt;BG$6),AND(BG$7&gt;0,$A438&gt;BG$7)),0,MAX(0,ROUND((INDEX($E438:$G438,BG$5)-SUMIFS(TF_Timer,TF_Tekniker,BG$4,TF_Dato,$A438))*2,0)/2)))</f>
        <v/>
      </c>
      <c r="BH438">
        <f>IF(OR(BH$4="",$A438&gt;TODAY()),0,IF(OR(INDEX($B438:$D438,BH$5)="F",AND(BH$6&gt;0,$A438&lt;BH$6),AND(BH$7&gt;0,$A438&gt;BH$7)),0,MAX(0,ROUND((INDEX($E438:$G438,BH$5)-SUMIFS(TF_Timer,TF_Tekniker,BH$4,TF_Dato,$A438))*2,0)/2)))</f>
        <v/>
      </c>
      <c r="BI438">
        <f>IF(OR(BI$4="",$A438&gt;TODAY()),0,IF(OR(INDEX($B438:$D438,BI$5)="F",AND(BI$6&gt;0,$A438&lt;BI$6),AND(BI$7&gt;0,$A438&gt;BI$7)),0,MAX(0,ROUND((INDEX($E438:$G438,BI$5)-SUMIFS(TF_Timer,TF_Tekniker,BI$4,TF_Dato,$A438))*2,0)/2)))</f>
        <v/>
      </c>
    </row>
    <row r="439">
      <c r="A439" s="64">
        <f>A438+1</f>
        <v/>
      </c>
      <c r="B439">
        <f>IF(MOD($A439-INDEX(SkiftStart,1),Syklus)&lt;DagK,"K",IF(MOD($A439-INDEX(SkiftStart,1),Syklus)&lt;DagK+DagH,"H",IF(MOD($A439-INDEX(SkiftStart,1),Syklus)&lt;DagK+DagH+DagD,"D","F")))</f>
        <v/>
      </c>
      <c r="C439">
        <f>IF(MOD($A439-INDEX(SkiftStart,2),Syklus)&lt;DagK,"K",IF(MOD($A439-INDEX(SkiftStart,2),Syklus)&lt;DagK+DagH,"H",IF(MOD($A439-INDEX(SkiftStart,2),Syklus)&lt;DagK+DagH+DagD,"D","F")))</f>
        <v/>
      </c>
      <c r="D439">
        <f>IF(MOD($A439-INDEX(SkiftStart,3),Syklus)&lt;DagK,"K",IF(MOD($A439-INDEX(SkiftStart,3),Syklus)&lt;DagK+DagH,"H",IF(MOD($A439-INDEX(SkiftStart,3),Syklus)&lt;DagK+DagH+DagD,"D","F")))</f>
        <v/>
      </c>
      <c r="E439">
        <f>IF(B439="F",0,IF(WEEKDAY($A439,2)=5,INDEX(TimerFr,MATCH(B439,FaseKode,0)),INDEX(TimerMT,MATCH(B439,FaseKode,0))))</f>
        <v/>
      </c>
      <c r="F439">
        <f>IF(C439="F",0,IF(WEEKDAY($A439,2)=5,INDEX(TimerFr,MATCH(C439,FaseKode,0)),INDEX(TimerMT,MATCH(C439,FaseKode,0))))</f>
        <v/>
      </c>
      <c r="G439">
        <f>IF(D439="F",0,IF(WEEKDAY($A439,2)=5,INDEX(TimerFr,MATCH(D439,FaseKode,0)),INDEX(TimerMT,MATCH(D439,FaseKode,0))))</f>
        <v/>
      </c>
      <c r="H439">
        <f>IF(OR(H$4="",$A439&gt;TODAY()),0,IF(OR(INDEX($B439:$D439,H$5)="F",AND(H$6&gt;0,$A439&lt;H$6),AND(H$7&gt;0,$A439&gt;H$7)),0,MAX(0,ROUND((INDEX($E439:$G439,H$5)-SUMIFS(TF_Timer,TF_Tekniker,H$4,TF_Dato,$A439))*2,0)/2)))</f>
        <v/>
      </c>
      <c r="I439">
        <f>IF(OR(I$4="",$A439&gt;TODAY()),0,IF(OR(INDEX($B439:$D439,I$5)="F",AND(I$6&gt;0,$A439&lt;I$6),AND(I$7&gt;0,$A439&gt;I$7)),0,MAX(0,ROUND((INDEX($E439:$G439,I$5)-SUMIFS(TF_Timer,TF_Tekniker,I$4,TF_Dato,$A439))*2,0)/2)))</f>
        <v/>
      </c>
      <c r="J439">
        <f>IF(OR(J$4="",$A439&gt;TODAY()),0,IF(OR(INDEX($B439:$D439,J$5)="F",AND(J$6&gt;0,$A439&lt;J$6),AND(J$7&gt;0,$A439&gt;J$7)),0,MAX(0,ROUND((INDEX($E439:$G439,J$5)-SUMIFS(TF_Timer,TF_Tekniker,J$4,TF_Dato,$A439))*2,0)/2)))</f>
        <v/>
      </c>
      <c r="K439">
        <f>IF(OR(K$4="",$A439&gt;TODAY()),0,IF(OR(INDEX($B439:$D439,K$5)="F",AND(K$6&gt;0,$A439&lt;K$6),AND(K$7&gt;0,$A439&gt;K$7)),0,MAX(0,ROUND((INDEX($E439:$G439,K$5)-SUMIFS(TF_Timer,TF_Tekniker,K$4,TF_Dato,$A439))*2,0)/2)))</f>
        <v/>
      </c>
      <c r="L439">
        <f>IF(OR(L$4="",$A439&gt;TODAY()),0,IF(OR(INDEX($B439:$D439,L$5)="F",AND(L$6&gt;0,$A439&lt;L$6),AND(L$7&gt;0,$A439&gt;L$7)),0,MAX(0,ROUND((INDEX($E439:$G439,L$5)-SUMIFS(TF_Timer,TF_Tekniker,L$4,TF_Dato,$A439))*2,0)/2)))</f>
        <v/>
      </c>
      <c r="M439">
        <f>IF(OR(M$4="",$A439&gt;TODAY()),0,IF(OR(INDEX($B439:$D439,M$5)="F",AND(M$6&gt;0,$A439&lt;M$6),AND(M$7&gt;0,$A439&gt;M$7)),0,MAX(0,ROUND((INDEX($E439:$G439,M$5)-SUMIFS(TF_Timer,TF_Tekniker,M$4,TF_Dato,$A439))*2,0)/2)))</f>
        <v/>
      </c>
      <c r="N439">
        <f>IF(OR(N$4="",$A439&gt;TODAY()),0,IF(OR(INDEX($B439:$D439,N$5)="F",AND(N$6&gt;0,$A439&lt;N$6),AND(N$7&gt;0,$A439&gt;N$7)),0,MAX(0,ROUND((INDEX($E439:$G439,N$5)-SUMIFS(TF_Timer,TF_Tekniker,N$4,TF_Dato,$A439))*2,0)/2)))</f>
        <v/>
      </c>
      <c r="O439">
        <f>IF(OR(O$4="",$A439&gt;TODAY()),0,IF(OR(INDEX($B439:$D439,O$5)="F",AND(O$6&gt;0,$A439&lt;O$6),AND(O$7&gt;0,$A439&gt;O$7)),0,MAX(0,ROUND((INDEX($E439:$G439,O$5)-SUMIFS(TF_Timer,TF_Tekniker,O$4,TF_Dato,$A439))*2,0)/2)))</f>
        <v/>
      </c>
      <c r="P439">
        <f>IF(OR(P$4="",$A439&gt;TODAY()),0,IF(OR(INDEX($B439:$D439,P$5)="F",AND(P$6&gt;0,$A439&lt;P$6),AND(P$7&gt;0,$A439&gt;P$7)),0,MAX(0,ROUND((INDEX($E439:$G439,P$5)-SUMIFS(TF_Timer,TF_Tekniker,P$4,TF_Dato,$A439))*2,0)/2)))</f>
        <v/>
      </c>
      <c r="Q439">
        <f>IF(OR(Q$4="",$A439&gt;TODAY()),0,IF(OR(INDEX($B439:$D439,Q$5)="F",AND(Q$6&gt;0,$A439&lt;Q$6),AND(Q$7&gt;0,$A439&gt;Q$7)),0,MAX(0,ROUND((INDEX($E439:$G439,Q$5)-SUMIFS(TF_Timer,TF_Tekniker,Q$4,TF_Dato,$A439))*2,0)/2)))</f>
        <v/>
      </c>
      <c r="R439">
        <f>IF(OR(R$4="",$A439&gt;TODAY()),0,IF(OR(INDEX($B439:$D439,R$5)="F",AND(R$6&gt;0,$A439&lt;R$6),AND(R$7&gt;0,$A439&gt;R$7)),0,MAX(0,ROUND((INDEX($E439:$G439,R$5)-SUMIFS(TF_Timer,TF_Tekniker,R$4,TF_Dato,$A439))*2,0)/2)))</f>
        <v/>
      </c>
      <c r="S439">
        <f>IF(OR(S$4="",$A439&gt;TODAY()),0,IF(OR(INDEX($B439:$D439,S$5)="F",AND(S$6&gt;0,$A439&lt;S$6),AND(S$7&gt;0,$A439&gt;S$7)),0,MAX(0,ROUND((INDEX($E439:$G439,S$5)-SUMIFS(TF_Timer,TF_Tekniker,S$4,TF_Dato,$A439))*2,0)/2)))</f>
        <v/>
      </c>
      <c r="T439">
        <f>IF(OR(T$4="",$A439&gt;TODAY()),0,IF(OR(INDEX($B439:$D439,T$5)="F",AND(T$6&gt;0,$A439&lt;T$6),AND(T$7&gt;0,$A439&gt;T$7)),0,MAX(0,ROUND((INDEX($E439:$G439,T$5)-SUMIFS(TF_Timer,TF_Tekniker,T$4,TF_Dato,$A439))*2,0)/2)))</f>
        <v/>
      </c>
      <c r="U439">
        <f>IF(OR(U$4="",$A439&gt;TODAY()),0,IF(OR(INDEX($B439:$D439,U$5)="F",AND(U$6&gt;0,$A439&lt;U$6),AND(U$7&gt;0,$A439&gt;U$7)),0,MAX(0,ROUND((INDEX($E439:$G439,U$5)-SUMIFS(TF_Timer,TF_Tekniker,U$4,TF_Dato,$A439))*2,0)/2)))</f>
        <v/>
      </c>
      <c r="V439">
        <f>IF(OR(V$4="",$A439&gt;TODAY()),0,IF(OR(INDEX($B439:$D439,V$5)="F",AND(V$6&gt;0,$A439&lt;V$6),AND(V$7&gt;0,$A439&gt;V$7)),0,MAX(0,ROUND((INDEX($E439:$G439,V$5)-SUMIFS(TF_Timer,TF_Tekniker,V$4,TF_Dato,$A439))*2,0)/2)))</f>
        <v/>
      </c>
      <c r="W439">
        <f>IF(OR(W$4="",$A439&gt;TODAY()),0,IF(OR(INDEX($B439:$D439,W$5)="F",AND(W$6&gt;0,$A439&lt;W$6),AND(W$7&gt;0,$A439&gt;W$7)),0,MAX(0,ROUND((INDEX($E439:$G439,W$5)-SUMIFS(TF_Timer,TF_Tekniker,W$4,TF_Dato,$A439))*2,0)/2)))</f>
        <v/>
      </c>
      <c r="X439">
        <f>IF(OR(X$4="",$A439&gt;TODAY()),0,IF(OR(INDEX($B439:$D439,X$5)="F",AND(X$6&gt;0,$A439&lt;X$6),AND(X$7&gt;0,$A439&gt;X$7)),0,MAX(0,ROUND((INDEX($E439:$G439,X$5)-SUMIFS(TF_Timer,TF_Tekniker,X$4,TF_Dato,$A439))*2,0)/2)))</f>
        <v/>
      </c>
      <c r="Y439">
        <f>IF(OR(Y$4="",$A439&gt;TODAY()),0,IF(OR(INDEX($B439:$D439,Y$5)="F",AND(Y$6&gt;0,$A439&lt;Y$6),AND(Y$7&gt;0,$A439&gt;Y$7)),0,MAX(0,ROUND((INDEX($E439:$G439,Y$5)-SUMIFS(TF_Timer,TF_Tekniker,Y$4,TF_Dato,$A439))*2,0)/2)))</f>
        <v/>
      </c>
      <c r="Z439">
        <f>IF(OR(Z$4="",$A439&gt;TODAY()),0,IF(OR(INDEX($B439:$D439,Z$5)="F",AND(Z$6&gt;0,$A439&lt;Z$6),AND(Z$7&gt;0,$A439&gt;Z$7)),0,MAX(0,ROUND((INDEX($E439:$G439,Z$5)-SUMIFS(TF_Timer,TF_Tekniker,Z$4,TF_Dato,$A439))*2,0)/2)))</f>
        <v/>
      </c>
      <c r="AA439">
        <f>IF(OR(AA$4="",$A439&gt;TODAY()),0,IF(OR(INDEX($B439:$D439,AA$5)="F",AND(AA$6&gt;0,$A439&lt;AA$6),AND(AA$7&gt;0,$A439&gt;AA$7)),0,MAX(0,ROUND((INDEX($E439:$G439,AA$5)-SUMIFS(TF_Timer,TF_Tekniker,AA$4,TF_Dato,$A439))*2,0)/2)))</f>
        <v/>
      </c>
      <c r="AB439">
        <f>IF(OR(AB$4="",$A439&gt;TODAY()),0,IF(OR(INDEX($B439:$D439,AB$5)="F",AND(AB$6&gt;0,$A439&lt;AB$6),AND(AB$7&gt;0,$A439&gt;AB$7)),0,MAX(0,ROUND((INDEX($E439:$G439,AB$5)-SUMIFS(TF_Timer,TF_Tekniker,AB$4,TF_Dato,$A439))*2,0)/2)))</f>
        <v/>
      </c>
      <c r="AC439">
        <f>IF(OR(AC$4="",$A439&gt;TODAY()),0,IF(OR(INDEX($B439:$D439,AC$5)="F",AND(AC$6&gt;0,$A439&lt;AC$6),AND(AC$7&gt;0,$A439&gt;AC$7)),0,MAX(0,ROUND((INDEX($E439:$G439,AC$5)-SUMIFS(TF_Timer,TF_Tekniker,AC$4,TF_Dato,$A439))*2,0)/2)))</f>
        <v/>
      </c>
      <c r="AD439">
        <f>IF(OR(AD$4="",$A439&gt;TODAY()),0,IF(OR(INDEX($B439:$D439,AD$5)="F",AND(AD$6&gt;0,$A439&lt;AD$6),AND(AD$7&gt;0,$A439&gt;AD$7)),0,MAX(0,ROUND((INDEX($E439:$G439,AD$5)-SUMIFS(TF_Timer,TF_Tekniker,AD$4,TF_Dato,$A439))*2,0)/2)))</f>
        <v/>
      </c>
      <c r="AE439">
        <f>IF(OR(AE$4="",$A439&gt;TODAY()),0,IF(OR(INDEX($B439:$D439,AE$5)="F",AND(AE$6&gt;0,$A439&lt;AE$6),AND(AE$7&gt;0,$A439&gt;AE$7)),0,MAX(0,ROUND((INDEX($E439:$G439,AE$5)-SUMIFS(TF_Timer,TF_Tekniker,AE$4,TF_Dato,$A439))*2,0)/2)))</f>
        <v/>
      </c>
      <c r="AF439">
        <f>IF(OR(AF$4="",$A439&gt;TODAY()),0,IF(OR(INDEX($B439:$D439,AF$5)="F",AND(AF$6&gt;0,$A439&lt;AF$6),AND(AF$7&gt;0,$A439&gt;AF$7)),0,MAX(0,ROUND((INDEX($E439:$G439,AF$5)-SUMIFS(TF_Timer,TF_Tekniker,AF$4,TF_Dato,$A439))*2,0)/2)))</f>
        <v/>
      </c>
      <c r="AG439">
        <f>IF(OR(AG$4="",$A439&gt;TODAY()),0,IF(OR(INDEX($B439:$D439,AG$5)="F",AND(AG$6&gt;0,$A439&lt;AG$6),AND(AG$7&gt;0,$A439&gt;AG$7)),0,MAX(0,ROUND((INDEX($E439:$G439,AG$5)-SUMIFS(TF_Timer,TF_Tekniker,AG$4,TF_Dato,$A439))*2,0)/2)))</f>
        <v/>
      </c>
      <c r="AH439">
        <f>IF(OR(AH$4="",$A439&gt;TODAY()),0,IF(OR(INDEX($B439:$D439,AH$5)="F",AND(AH$6&gt;0,$A439&lt;AH$6),AND(AH$7&gt;0,$A439&gt;AH$7)),0,MAX(0,ROUND((INDEX($E439:$G439,AH$5)-SUMIFS(TF_Timer,TF_Tekniker,AH$4,TF_Dato,$A439))*2,0)/2)))</f>
        <v/>
      </c>
      <c r="AI439">
        <f>IF(OR(AI$4="",$A439&gt;TODAY()),0,IF(OR(INDEX($B439:$D439,AI$5)="F",AND(AI$6&gt;0,$A439&lt;AI$6),AND(AI$7&gt;0,$A439&gt;AI$7)),0,MAX(0,ROUND((INDEX($E439:$G439,AI$5)-SUMIFS(TF_Timer,TF_Tekniker,AI$4,TF_Dato,$A439))*2,0)/2)))</f>
        <v/>
      </c>
      <c r="AJ439">
        <f>IF(OR(AJ$4="",$A439&gt;TODAY()),0,IF(OR(INDEX($B439:$D439,AJ$5)="F",AND(AJ$6&gt;0,$A439&lt;AJ$6),AND(AJ$7&gt;0,$A439&gt;AJ$7)),0,MAX(0,ROUND((INDEX($E439:$G439,AJ$5)-SUMIFS(TF_Timer,TF_Tekniker,AJ$4,TF_Dato,$A439))*2,0)/2)))</f>
        <v/>
      </c>
      <c r="AK439">
        <f>IF(OR(AK$4="",$A439&gt;TODAY()),0,IF(OR(INDEX($B439:$D439,AK$5)="F",AND(AK$6&gt;0,$A439&lt;AK$6),AND(AK$7&gt;0,$A439&gt;AK$7)),0,MAX(0,ROUND((INDEX($E439:$G439,AK$5)-SUMIFS(TF_Timer,TF_Tekniker,AK$4,TF_Dato,$A439))*2,0)/2)))</f>
        <v/>
      </c>
      <c r="AL439">
        <f>IF(OR(AL$4="",$A439&gt;TODAY()),0,IF(OR(INDEX($B439:$D439,AL$5)="F",AND(AL$6&gt;0,$A439&lt;AL$6),AND(AL$7&gt;0,$A439&gt;AL$7)),0,MAX(0,ROUND((INDEX($E439:$G439,AL$5)-SUMIFS(TF_Timer,TF_Tekniker,AL$4,TF_Dato,$A439))*2,0)/2)))</f>
        <v/>
      </c>
      <c r="AM439">
        <f>IF(OR(AM$4="",$A439&gt;TODAY()),0,IF(OR(INDEX($B439:$D439,AM$5)="F",AND(AM$6&gt;0,$A439&lt;AM$6),AND(AM$7&gt;0,$A439&gt;AM$7)),0,MAX(0,ROUND((INDEX($E439:$G439,AM$5)-SUMIFS(TF_Timer,TF_Tekniker,AM$4,TF_Dato,$A439))*2,0)/2)))</f>
        <v/>
      </c>
      <c r="AN439">
        <f>IF(OR(AN$4="",$A439&gt;TODAY()),0,IF(OR(INDEX($B439:$D439,AN$5)="F",AND(AN$6&gt;0,$A439&lt;AN$6),AND(AN$7&gt;0,$A439&gt;AN$7)),0,MAX(0,ROUND((INDEX($E439:$G439,AN$5)-SUMIFS(TF_Timer,TF_Tekniker,AN$4,TF_Dato,$A439))*2,0)/2)))</f>
        <v/>
      </c>
      <c r="AO439">
        <f>IF(OR(AO$4="",$A439&gt;TODAY()),0,IF(OR(INDEX($B439:$D439,AO$5)="F",AND(AO$6&gt;0,$A439&lt;AO$6),AND(AO$7&gt;0,$A439&gt;AO$7)),0,MAX(0,ROUND((INDEX($E439:$G439,AO$5)-SUMIFS(TF_Timer,TF_Tekniker,AO$4,TF_Dato,$A439))*2,0)/2)))</f>
        <v/>
      </c>
      <c r="AP439">
        <f>IF(OR(AP$4="",$A439&gt;TODAY()),0,IF(OR(INDEX($B439:$D439,AP$5)="F",AND(AP$6&gt;0,$A439&lt;AP$6),AND(AP$7&gt;0,$A439&gt;AP$7)),0,MAX(0,ROUND((INDEX($E439:$G439,AP$5)-SUMIFS(TF_Timer,TF_Tekniker,AP$4,TF_Dato,$A439))*2,0)/2)))</f>
        <v/>
      </c>
      <c r="AQ439">
        <f>IF(OR(AQ$4="",$A439&gt;TODAY()),0,IF(OR(INDEX($B439:$D439,AQ$5)="F",AND(AQ$6&gt;0,$A439&lt;AQ$6),AND(AQ$7&gt;0,$A439&gt;AQ$7)),0,MAX(0,ROUND((INDEX($E439:$G439,AQ$5)-SUMIFS(TF_Timer,TF_Tekniker,AQ$4,TF_Dato,$A439))*2,0)/2)))</f>
        <v/>
      </c>
      <c r="AR439">
        <f>IF(OR(AR$4="",$A439&gt;TODAY()),0,IF(OR(INDEX($B439:$D439,AR$5)="F",AND(AR$6&gt;0,$A439&lt;AR$6),AND(AR$7&gt;0,$A439&gt;AR$7)),0,MAX(0,ROUND((INDEX($E439:$G439,AR$5)-SUMIFS(TF_Timer,TF_Tekniker,AR$4,TF_Dato,$A439))*2,0)/2)))</f>
        <v/>
      </c>
      <c r="AS439">
        <f>IF(OR(AS$4="",$A439&gt;TODAY()),0,IF(OR(INDEX($B439:$D439,AS$5)="F",AND(AS$6&gt;0,$A439&lt;AS$6),AND(AS$7&gt;0,$A439&gt;AS$7)),0,MAX(0,ROUND((INDEX($E439:$G439,AS$5)-SUMIFS(TF_Timer,TF_Tekniker,AS$4,TF_Dato,$A439))*2,0)/2)))</f>
        <v/>
      </c>
      <c r="AT439">
        <f>IF(OR(AT$4="",$A439&gt;TODAY()),0,IF(OR(INDEX($B439:$D439,AT$5)="F",AND(AT$6&gt;0,$A439&lt;AT$6),AND(AT$7&gt;0,$A439&gt;AT$7)),0,MAX(0,ROUND((INDEX($E439:$G439,AT$5)-SUMIFS(TF_Timer,TF_Tekniker,AT$4,TF_Dato,$A439))*2,0)/2)))</f>
        <v/>
      </c>
      <c r="AU439">
        <f>IF(OR(AU$4="",$A439&gt;TODAY()),0,IF(OR(INDEX($B439:$D439,AU$5)="F",AND(AU$6&gt;0,$A439&lt;AU$6),AND(AU$7&gt;0,$A439&gt;AU$7)),0,MAX(0,ROUND((INDEX($E439:$G439,AU$5)-SUMIFS(TF_Timer,TF_Tekniker,AU$4,TF_Dato,$A439))*2,0)/2)))</f>
        <v/>
      </c>
      <c r="AV439">
        <f>IF(OR(AV$4="",$A439&gt;TODAY()),0,IF(OR(INDEX($B439:$D439,AV$5)="F",AND(AV$6&gt;0,$A439&lt;AV$6),AND(AV$7&gt;0,$A439&gt;AV$7)),0,MAX(0,ROUND((INDEX($E439:$G439,AV$5)-SUMIFS(TF_Timer,TF_Tekniker,AV$4,TF_Dato,$A439))*2,0)/2)))</f>
        <v/>
      </c>
      <c r="AW439">
        <f>IF(OR(AW$4="",$A439&gt;TODAY()),0,IF(OR(INDEX($B439:$D439,AW$5)="F",AND(AW$6&gt;0,$A439&lt;AW$6),AND(AW$7&gt;0,$A439&gt;AW$7)),0,MAX(0,ROUND((INDEX($E439:$G439,AW$5)-SUMIFS(TF_Timer,TF_Tekniker,AW$4,TF_Dato,$A439))*2,0)/2)))</f>
        <v/>
      </c>
      <c r="AX439">
        <f>IF(OR(AX$4="",$A439&gt;TODAY()),0,IF(OR(INDEX($B439:$D439,AX$5)="F",AND(AX$6&gt;0,$A439&lt;AX$6),AND(AX$7&gt;0,$A439&gt;AX$7)),0,MAX(0,ROUND((INDEX($E439:$G439,AX$5)-SUMIFS(TF_Timer,TF_Tekniker,AX$4,TF_Dato,$A439))*2,0)/2)))</f>
        <v/>
      </c>
      <c r="AY439">
        <f>IF(OR(AY$4="",$A439&gt;TODAY()),0,IF(OR(INDEX($B439:$D439,AY$5)="F",AND(AY$6&gt;0,$A439&lt;AY$6),AND(AY$7&gt;0,$A439&gt;AY$7)),0,MAX(0,ROUND((INDEX($E439:$G439,AY$5)-SUMIFS(TF_Timer,TF_Tekniker,AY$4,TF_Dato,$A439))*2,0)/2)))</f>
        <v/>
      </c>
      <c r="AZ439">
        <f>IF(OR(AZ$4="",$A439&gt;TODAY()),0,IF(OR(INDEX($B439:$D439,AZ$5)="F",AND(AZ$6&gt;0,$A439&lt;AZ$6),AND(AZ$7&gt;0,$A439&gt;AZ$7)),0,MAX(0,ROUND((INDEX($E439:$G439,AZ$5)-SUMIFS(TF_Timer,TF_Tekniker,AZ$4,TF_Dato,$A439))*2,0)/2)))</f>
        <v/>
      </c>
      <c r="BA439">
        <f>IF(OR(BA$4="",$A439&gt;TODAY()),0,IF(OR(INDEX($B439:$D439,BA$5)="F",AND(BA$6&gt;0,$A439&lt;BA$6),AND(BA$7&gt;0,$A439&gt;BA$7)),0,MAX(0,ROUND((INDEX($E439:$G439,BA$5)-SUMIFS(TF_Timer,TF_Tekniker,BA$4,TF_Dato,$A439))*2,0)/2)))</f>
        <v/>
      </c>
      <c r="BB439">
        <f>IF(OR(BB$4="",$A439&gt;TODAY()),0,IF(OR(INDEX($B439:$D439,BB$5)="F",AND(BB$6&gt;0,$A439&lt;BB$6),AND(BB$7&gt;0,$A439&gt;BB$7)),0,MAX(0,ROUND((INDEX($E439:$G439,BB$5)-SUMIFS(TF_Timer,TF_Tekniker,BB$4,TF_Dato,$A439))*2,0)/2)))</f>
        <v/>
      </c>
      <c r="BC439">
        <f>IF(OR(BC$4="",$A439&gt;TODAY()),0,IF(OR(INDEX($B439:$D439,BC$5)="F",AND(BC$6&gt;0,$A439&lt;BC$6),AND(BC$7&gt;0,$A439&gt;BC$7)),0,MAX(0,ROUND((INDEX($E439:$G439,BC$5)-SUMIFS(TF_Timer,TF_Tekniker,BC$4,TF_Dato,$A439))*2,0)/2)))</f>
        <v/>
      </c>
      <c r="BD439">
        <f>IF(OR(BD$4="",$A439&gt;TODAY()),0,IF(OR(INDEX($B439:$D439,BD$5)="F",AND(BD$6&gt;0,$A439&lt;BD$6),AND(BD$7&gt;0,$A439&gt;BD$7)),0,MAX(0,ROUND((INDEX($E439:$G439,BD$5)-SUMIFS(TF_Timer,TF_Tekniker,BD$4,TF_Dato,$A439))*2,0)/2)))</f>
        <v/>
      </c>
      <c r="BE439">
        <f>IF(OR(BE$4="",$A439&gt;TODAY()),0,IF(OR(INDEX($B439:$D439,BE$5)="F",AND(BE$6&gt;0,$A439&lt;BE$6),AND(BE$7&gt;0,$A439&gt;BE$7)),0,MAX(0,ROUND((INDEX($E439:$G439,BE$5)-SUMIFS(TF_Timer,TF_Tekniker,BE$4,TF_Dato,$A439))*2,0)/2)))</f>
        <v/>
      </c>
      <c r="BF439">
        <f>IF(OR(BF$4="",$A439&gt;TODAY()),0,IF(OR(INDEX($B439:$D439,BF$5)="F",AND(BF$6&gt;0,$A439&lt;BF$6),AND(BF$7&gt;0,$A439&gt;BF$7)),0,MAX(0,ROUND((INDEX($E439:$G439,BF$5)-SUMIFS(TF_Timer,TF_Tekniker,BF$4,TF_Dato,$A439))*2,0)/2)))</f>
        <v/>
      </c>
      <c r="BG439">
        <f>IF(OR(BG$4="",$A439&gt;TODAY()),0,IF(OR(INDEX($B439:$D439,BG$5)="F",AND(BG$6&gt;0,$A439&lt;BG$6),AND(BG$7&gt;0,$A439&gt;BG$7)),0,MAX(0,ROUND((INDEX($E439:$G439,BG$5)-SUMIFS(TF_Timer,TF_Tekniker,BG$4,TF_Dato,$A439))*2,0)/2)))</f>
        <v/>
      </c>
      <c r="BH439">
        <f>IF(OR(BH$4="",$A439&gt;TODAY()),0,IF(OR(INDEX($B439:$D439,BH$5)="F",AND(BH$6&gt;0,$A439&lt;BH$6),AND(BH$7&gt;0,$A439&gt;BH$7)),0,MAX(0,ROUND((INDEX($E439:$G439,BH$5)-SUMIFS(TF_Timer,TF_Tekniker,BH$4,TF_Dato,$A439))*2,0)/2)))</f>
        <v/>
      </c>
      <c r="BI439">
        <f>IF(OR(BI$4="",$A439&gt;TODAY()),0,IF(OR(INDEX($B439:$D439,BI$5)="F",AND(BI$6&gt;0,$A439&lt;BI$6),AND(BI$7&gt;0,$A439&gt;BI$7)),0,MAX(0,ROUND((INDEX($E439:$G439,BI$5)-SUMIFS(TF_Timer,TF_Tekniker,BI$4,TF_Dato,$A439))*2,0)/2)))</f>
        <v/>
      </c>
    </row>
    <row r="440">
      <c r="A440" s="64">
        <f>A439+1</f>
        <v/>
      </c>
      <c r="B440">
        <f>IF(MOD($A440-INDEX(SkiftStart,1),Syklus)&lt;DagK,"K",IF(MOD($A440-INDEX(SkiftStart,1),Syklus)&lt;DagK+DagH,"H",IF(MOD($A440-INDEX(SkiftStart,1),Syklus)&lt;DagK+DagH+DagD,"D","F")))</f>
        <v/>
      </c>
      <c r="C440">
        <f>IF(MOD($A440-INDEX(SkiftStart,2),Syklus)&lt;DagK,"K",IF(MOD($A440-INDEX(SkiftStart,2),Syklus)&lt;DagK+DagH,"H",IF(MOD($A440-INDEX(SkiftStart,2),Syklus)&lt;DagK+DagH+DagD,"D","F")))</f>
        <v/>
      </c>
      <c r="D440">
        <f>IF(MOD($A440-INDEX(SkiftStart,3),Syklus)&lt;DagK,"K",IF(MOD($A440-INDEX(SkiftStart,3),Syklus)&lt;DagK+DagH,"H",IF(MOD($A440-INDEX(SkiftStart,3),Syklus)&lt;DagK+DagH+DagD,"D","F")))</f>
        <v/>
      </c>
      <c r="E440">
        <f>IF(B440="F",0,IF(WEEKDAY($A440,2)=5,INDEX(TimerFr,MATCH(B440,FaseKode,0)),INDEX(TimerMT,MATCH(B440,FaseKode,0))))</f>
        <v/>
      </c>
      <c r="F440">
        <f>IF(C440="F",0,IF(WEEKDAY($A440,2)=5,INDEX(TimerFr,MATCH(C440,FaseKode,0)),INDEX(TimerMT,MATCH(C440,FaseKode,0))))</f>
        <v/>
      </c>
      <c r="G440">
        <f>IF(D440="F",0,IF(WEEKDAY($A440,2)=5,INDEX(TimerFr,MATCH(D440,FaseKode,0)),INDEX(TimerMT,MATCH(D440,FaseKode,0))))</f>
        <v/>
      </c>
      <c r="H440">
        <f>IF(OR(H$4="",$A440&gt;TODAY()),0,IF(OR(INDEX($B440:$D440,H$5)="F",AND(H$6&gt;0,$A440&lt;H$6),AND(H$7&gt;0,$A440&gt;H$7)),0,MAX(0,ROUND((INDEX($E440:$G440,H$5)-SUMIFS(TF_Timer,TF_Tekniker,H$4,TF_Dato,$A440))*2,0)/2)))</f>
        <v/>
      </c>
      <c r="I440">
        <f>IF(OR(I$4="",$A440&gt;TODAY()),0,IF(OR(INDEX($B440:$D440,I$5)="F",AND(I$6&gt;0,$A440&lt;I$6),AND(I$7&gt;0,$A440&gt;I$7)),0,MAX(0,ROUND((INDEX($E440:$G440,I$5)-SUMIFS(TF_Timer,TF_Tekniker,I$4,TF_Dato,$A440))*2,0)/2)))</f>
        <v/>
      </c>
      <c r="J440">
        <f>IF(OR(J$4="",$A440&gt;TODAY()),0,IF(OR(INDEX($B440:$D440,J$5)="F",AND(J$6&gt;0,$A440&lt;J$6),AND(J$7&gt;0,$A440&gt;J$7)),0,MAX(0,ROUND((INDEX($E440:$G440,J$5)-SUMIFS(TF_Timer,TF_Tekniker,J$4,TF_Dato,$A440))*2,0)/2)))</f>
        <v/>
      </c>
      <c r="K440">
        <f>IF(OR(K$4="",$A440&gt;TODAY()),0,IF(OR(INDEX($B440:$D440,K$5)="F",AND(K$6&gt;0,$A440&lt;K$6),AND(K$7&gt;0,$A440&gt;K$7)),0,MAX(0,ROUND((INDEX($E440:$G440,K$5)-SUMIFS(TF_Timer,TF_Tekniker,K$4,TF_Dato,$A440))*2,0)/2)))</f>
        <v/>
      </c>
      <c r="L440">
        <f>IF(OR(L$4="",$A440&gt;TODAY()),0,IF(OR(INDEX($B440:$D440,L$5)="F",AND(L$6&gt;0,$A440&lt;L$6),AND(L$7&gt;0,$A440&gt;L$7)),0,MAX(0,ROUND((INDEX($E440:$G440,L$5)-SUMIFS(TF_Timer,TF_Tekniker,L$4,TF_Dato,$A440))*2,0)/2)))</f>
        <v/>
      </c>
      <c r="M440">
        <f>IF(OR(M$4="",$A440&gt;TODAY()),0,IF(OR(INDEX($B440:$D440,M$5)="F",AND(M$6&gt;0,$A440&lt;M$6),AND(M$7&gt;0,$A440&gt;M$7)),0,MAX(0,ROUND((INDEX($E440:$G440,M$5)-SUMIFS(TF_Timer,TF_Tekniker,M$4,TF_Dato,$A440))*2,0)/2)))</f>
        <v/>
      </c>
      <c r="N440">
        <f>IF(OR(N$4="",$A440&gt;TODAY()),0,IF(OR(INDEX($B440:$D440,N$5)="F",AND(N$6&gt;0,$A440&lt;N$6),AND(N$7&gt;0,$A440&gt;N$7)),0,MAX(0,ROUND((INDEX($E440:$G440,N$5)-SUMIFS(TF_Timer,TF_Tekniker,N$4,TF_Dato,$A440))*2,0)/2)))</f>
        <v/>
      </c>
      <c r="O440">
        <f>IF(OR(O$4="",$A440&gt;TODAY()),0,IF(OR(INDEX($B440:$D440,O$5)="F",AND(O$6&gt;0,$A440&lt;O$6),AND(O$7&gt;0,$A440&gt;O$7)),0,MAX(0,ROUND((INDEX($E440:$G440,O$5)-SUMIFS(TF_Timer,TF_Tekniker,O$4,TF_Dato,$A440))*2,0)/2)))</f>
        <v/>
      </c>
      <c r="P440">
        <f>IF(OR(P$4="",$A440&gt;TODAY()),0,IF(OR(INDEX($B440:$D440,P$5)="F",AND(P$6&gt;0,$A440&lt;P$6),AND(P$7&gt;0,$A440&gt;P$7)),0,MAX(0,ROUND((INDEX($E440:$G440,P$5)-SUMIFS(TF_Timer,TF_Tekniker,P$4,TF_Dato,$A440))*2,0)/2)))</f>
        <v/>
      </c>
      <c r="Q440">
        <f>IF(OR(Q$4="",$A440&gt;TODAY()),0,IF(OR(INDEX($B440:$D440,Q$5)="F",AND(Q$6&gt;0,$A440&lt;Q$6),AND(Q$7&gt;0,$A440&gt;Q$7)),0,MAX(0,ROUND((INDEX($E440:$G440,Q$5)-SUMIFS(TF_Timer,TF_Tekniker,Q$4,TF_Dato,$A440))*2,0)/2)))</f>
        <v/>
      </c>
      <c r="R440">
        <f>IF(OR(R$4="",$A440&gt;TODAY()),0,IF(OR(INDEX($B440:$D440,R$5)="F",AND(R$6&gt;0,$A440&lt;R$6),AND(R$7&gt;0,$A440&gt;R$7)),0,MAX(0,ROUND((INDEX($E440:$G440,R$5)-SUMIFS(TF_Timer,TF_Tekniker,R$4,TF_Dato,$A440))*2,0)/2)))</f>
        <v/>
      </c>
      <c r="S440">
        <f>IF(OR(S$4="",$A440&gt;TODAY()),0,IF(OR(INDEX($B440:$D440,S$5)="F",AND(S$6&gt;0,$A440&lt;S$6),AND(S$7&gt;0,$A440&gt;S$7)),0,MAX(0,ROUND((INDEX($E440:$G440,S$5)-SUMIFS(TF_Timer,TF_Tekniker,S$4,TF_Dato,$A440))*2,0)/2)))</f>
        <v/>
      </c>
      <c r="T440">
        <f>IF(OR(T$4="",$A440&gt;TODAY()),0,IF(OR(INDEX($B440:$D440,T$5)="F",AND(T$6&gt;0,$A440&lt;T$6),AND(T$7&gt;0,$A440&gt;T$7)),0,MAX(0,ROUND((INDEX($E440:$G440,T$5)-SUMIFS(TF_Timer,TF_Tekniker,T$4,TF_Dato,$A440))*2,0)/2)))</f>
        <v/>
      </c>
      <c r="U440">
        <f>IF(OR(U$4="",$A440&gt;TODAY()),0,IF(OR(INDEX($B440:$D440,U$5)="F",AND(U$6&gt;0,$A440&lt;U$6),AND(U$7&gt;0,$A440&gt;U$7)),0,MAX(0,ROUND((INDEX($E440:$G440,U$5)-SUMIFS(TF_Timer,TF_Tekniker,U$4,TF_Dato,$A440))*2,0)/2)))</f>
        <v/>
      </c>
      <c r="V440">
        <f>IF(OR(V$4="",$A440&gt;TODAY()),0,IF(OR(INDEX($B440:$D440,V$5)="F",AND(V$6&gt;0,$A440&lt;V$6),AND(V$7&gt;0,$A440&gt;V$7)),0,MAX(0,ROUND((INDEX($E440:$G440,V$5)-SUMIFS(TF_Timer,TF_Tekniker,V$4,TF_Dato,$A440))*2,0)/2)))</f>
        <v/>
      </c>
      <c r="W440">
        <f>IF(OR(W$4="",$A440&gt;TODAY()),0,IF(OR(INDEX($B440:$D440,W$5)="F",AND(W$6&gt;0,$A440&lt;W$6),AND(W$7&gt;0,$A440&gt;W$7)),0,MAX(0,ROUND((INDEX($E440:$G440,W$5)-SUMIFS(TF_Timer,TF_Tekniker,W$4,TF_Dato,$A440))*2,0)/2)))</f>
        <v/>
      </c>
      <c r="X440">
        <f>IF(OR(X$4="",$A440&gt;TODAY()),0,IF(OR(INDEX($B440:$D440,X$5)="F",AND(X$6&gt;0,$A440&lt;X$6),AND(X$7&gt;0,$A440&gt;X$7)),0,MAX(0,ROUND((INDEX($E440:$G440,X$5)-SUMIFS(TF_Timer,TF_Tekniker,X$4,TF_Dato,$A440))*2,0)/2)))</f>
        <v/>
      </c>
      <c r="Y440">
        <f>IF(OR(Y$4="",$A440&gt;TODAY()),0,IF(OR(INDEX($B440:$D440,Y$5)="F",AND(Y$6&gt;0,$A440&lt;Y$6),AND(Y$7&gt;0,$A440&gt;Y$7)),0,MAX(0,ROUND((INDEX($E440:$G440,Y$5)-SUMIFS(TF_Timer,TF_Tekniker,Y$4,TF_Dato,$A440))*2,0)/2)))</f>
        <v/>
      </c>
      <c r="Z440">
        <f>IF(OR(Z$4="",$A440&gt;TODAY()),0,IF(OR(INDEX($B440:$D440,Z$5)="F",AND(Z$6&gt;0,$A440&lt;Z$6),AND(Z$7&gt;0,$A440&gt;Z$7)),0,MAX(0,ROUND((INDEX($E440:$G440,Z$5)-SUMIFS(TF_Timer,TF_Tekniker,Z$4,TF_Dato,$A440))*2,0)/2)))</f>
        <v/>
      </c>
      <c r="AA440">
        <f>IF(OR(AA$4="",$A440&gt;TODAY()),0,IF(OR(INDEX($B440:$D440,AA$5)="F",AND(AA$6&gt;0,$A440&lt;AA$6),AND(AA$7&gt;0,$A440&gt;AA$7)),0,MAX(0,ROUND((INDEX($E440:$G440,AA$5)-SUMIFS(TF_Timer,TF_Tekniker,AA$4,TF_Dato,$A440))*2,0)/2)))</f>
        <v/>
      </c>
      <c r="AB440">
        <f>IF(OR(AB$4="",$A440&gt;TODAY()),0,IF(OR(INDEX($B440:$D440,AB$5)="F",AND(AB$6&gt;0,$A440&lt;AB$6),AND(AB$7&gt;0,$A440&gt;AB$7)),0,MAX(0,ROUND((INDEX($E440:$G440,AB$5)-SUMIFS(TF_Timer,TF_Tekniker,AB$4,TF_Dato,$A440))*2,0)/2)))</f>
        <v/>
      </c>
      <c r="AC440">
        <f>IF(OR(AC$4="",$A440&gt;TODAY()),0,IF(OR(INDEX($B440:$D440,AC$5)="F",AND(AC$6&gt;0,$A440&lt;AC$6),AND(AC$7&gt;0,$A440&gt;AC$7)),0,MAX(0,ROUND((INDEX($E440:$G440,AC$5)-SUMIFS(TF_Timer,TF_Tekniker,AC$4,TF_Dato,$A440))*2,0)/2)))</f>
        <v/>
      </c>
      <c r="AD440">
        <f>IF(OR(AD$4="",$A440&gt;TODAY()),0,IF(OR(INDEX($B440:$D440,AD$5)="F",AND(AD$6&gt;0,$A440&lt;AD$6),AND(AD$7&gt;0,$A440&gt;AD$7)),0,MAX(0,ROUND((INDEX($E440:$G440,AD$5)-SUMIFS(TF_Timer,TF_Tekniker,AD$4,TF_Dato,$A440))*2,0)/2)))</f>
        <v/>
      </c>
      <c r="AE440">
        <f>IF(OR(AE$4="",$A440&gt;TODAY()),0,IF(OR(INDEX($B440:$D440,AE$5)="F",AND(AE$6&gt;0,$A440&lt;AE$6),AND(AE$7&gt;0,$A440&gt;AE$7)),0,MAX(0,ROUND((INDEX($E440:$G440,AE$5)-SUMIFS(TF_Timer,TF_Tekniker,AE$4,TF_Dato,$A440))*2,0)/2)))</f>
        <v/>
      </c>
      <c r="AF440">
        <f>IF(OR(AF$4="",$A440&gt;TODAY()),0,IF(OR(INDEX($B440:$D440,AF$5)="F",AND(AF$6&gt;0,$A440&lt;AF$6),AND(AF$7&gt;0,$A440&gt;AF$7)),0,MAX(0,ROUND((INDEX($E440:$G440,AF$5)-SUMIFS(TF_Timer,TF_Tekniker,AF$4,TF_Dato,$A440))*2,0)/2)))</f>
        <v/>
      </c>
      <c r="AG440">
        <f>IF(OR(AG$4="",$A440&gt;TODAY()),0,IF(OR(INDEX($B440:$D440,AG$5)="F",AND(AG$6&gt;0,$A440&lt;AG$6),AND(AG$7&gt;0,$A440&gt;AG$7)),0,MAX(0,ROUND((INDEX($E440:$G440,AG$5)-SUMIFS(TF_Timer,TF_Tekniker,AG$4,TF_Dato,$A440))*2,0)/2)))</f>
        <v/>
      </c>
      <c r="AH440">
        <f>IF(OR(AH$4="",$A440&gt;TODAY()),0,IF(OR(INDEX($B440:$D440,AH$5)="F",AND(AH$6&gt;0,$A440&lt;AH$6),AND(AH$7&gt;0,$A440&gt;AH$7)),0,MAX(0,ROUND((INDEX($E440:$G440,AH$5)-SUMIFS(TF_Timer,TF_Tekniker,AH$4,TF_Dato,$A440))*2,0)/2)))</f>
        <v/>
      </c>
      <c r="AI440">
        <f>IF(OR(AI$4="",$A440&gt;TODAY()),0,IF(OR(INDEX($B440:$D440,AI$5)="F",AND(AI$6&gt;0,$A440&lt;AI$6),AND(AI$7&gt;0,$A440&gt;AI$7)),0,MAX(0,ROUND((INDEX($E440:$G440,AI$5)-SUMIFS(TF_Timer,TF_Tekniker,AI$4,TF_Dato,$A440))*2,0)/2)))</f>
        <v/>
      </c>
      <c r="AJ440">
        <f>IF(OR(AJ$4="",$A440&gt;TODAY()),0,IF(OR(INDEX($B440:$D440,AJ$5)="F",AND(AJ$6&gt;0,$A440&lt;AJ$6),AND(AJ$7&gt;0,$A440&gt;AJ$7)),0,MAX(0,ROUND((INDEX($E440:$G440,AJ$5)-SUMIFS(TF_Timer,TF_Tekniker,AJ$4,TF_Dato,$A440))*2,0)/2)))</f>
        <v/>
      </c>
      <c r="AK440">
        <f>IF(OR(AK$4="",$A440&gt;TODAY()),0,IF(OR(INDEX($B440:$D440,AK$5)="F",AND(AK$6&gt;0,$A440&lt;AK$6),AND(AK$7&gt;0,$A440&gt;AK$7)),0,MAX(0,ROUND((INDEX($E440:$G440,AK$5)-SUMIFS(TF_Timer,TF_Tekniker,AK$4,TF_Dato,$A440))*2,0)/2)))</f>
        <v/>
      </c>
      <c r="AL440">
        <f>IF(OR(AL$4="",$A440&gt;TODAY()),0,IF(OR(INDEX($B440:$D440,AL$5)="F",AND(AL$6&gt;0,$A440&lt;AL$6),AND(AL$7&gt;0,$A440&gt;AL$7)),0,MAX(0,ROUND((INDEX($E440:$G440,AL$5)-SUMIFS(TF_Timer,TF_Tekniker,AL$4,TF_Dato,$A440))*2,0)/2)))</f>
        <v/>
      </c>
      <c r="AM440">
        <f>IF(OR(AM$4="",$A440&gt;TODAY()),0,IF(OR(INDEX($B440:$D440,AM$5)="F",AND(AM$6&gt;0,$A440&lt;AM$6),AND(AM$7&gt;0,$A440&gt;AM$7)),0,MAX(0,ROUND((INDEX($E440:$G440,AM$5)-SUMIFS(TF_Timer,TF_Tekniker,AM$4,TF_Dato,$A440))*2,0)/2)))</f>
        <v/>
      </c>
      <c r="AN440">
        <f>IF(OR(AN$4="",$A440&gt;TODAY()),0,IF(OR(INDEX($B440:$D440,AN$5)="F",AND(AN$6&gt;0,$A440&lt;AN$6),AND(AN$7&gt;0,$A440&gt;AN$7)),0,MAX(0,ROUND((INDEX($E440:$G440,AN$5)-SUMIFS(TF_Timer,TF_Tekniker,AN$4,TF_Dato,$A440))*2,0)/2)))</f>
        <v/>
      </c>
      <c r="AO440">
        <f>IF(OR(AO$4="",$A440&gt;TODAY()),0,IF(OR(INDEX($B440:$D440,AO$5)="F",AND(AO$6&gt;0,$A440&lt;AO$6),AND(AO$7&gt;0,$A440&gt;AO$7)),0,MAX(0,ROUND((INDEX($E440:$G440,AO$5)-SUMIFS(TF_Timer,TF_Tekniker,AO$4,TF_Dato,$A440))*2,0)/2)))</f>
        <v/>
      </c>
      <c r="AP440">
        <f>IF(OR(AP$4="",$A440&gt;TODAY()),0,IF(OR(INDEX($B440:$D440,AP$5)="F",AND(AP$6&gt;0,$A440&lt;AP$6),AND(AP$7&gt;0,$A440&gt;AP$7)),0,MAX(0,ROUND((INDEX($E440:$G440,AP$5)-SUMIFS(TF_Timer,TF_Tekniker,AP$4,TF_Dato,$A440))*2,0)/2)))</f>
        <v/>
      </c>
      <c r="AQ440">
        <f>IF(OR(AQ$4="",$A440&gt;TODAY()),0,IF(OR(INDEX($B440:$D440,AQ$5)="F",AND(AQ$6&gt;0,$A440&lt;AQ$6),AND(AQ$7&gt;0,$A440&gt;AQ$7)),0,MAX(0,ROUND((INDEX($E440:$G440,AQ$5)-SUMIFS(TF_Timer,TF_Tekniker,AQ$4,TF_Dato,$A440))*2,0)/2)))</f>
        <v/>
      </c>
      <c r="AR440">
        <f>IF(OR(AR$4="",$A440&gt;TODAY()),0,IF(OR(INDEX($B440:$D440,AR$5)="F",AND(AR$6&gt;0,$A440&lt;AR$6),AND(AR$7&gt;0,$A440&gt;AR$7)),0,MAX(0,ROUND((INDEX($E440:$G440,AR$5)-SUMIFS(TF_Timer,TF_Tekniker,AR$4,TF_Dato,$A440))*2,0)/2)))</f>
        <v/>
      </c>
      <c r="AS440">
        <f>IF(OR(AS$4="",$A440&gt;TODAY()),0,IF(OR(INDEX($B440:$D440,AS$5)="F",AND(AS$6&gt;0,$A440&lt;AS$6),AND(AS$7&gt;0,$A440&gt;AS$7)),0,MAX(0,ROUND((INDEX($E440:$G440,AS$5)-SUMIFS(TF_Timer,TF_Tekniker,AS$4,TF_Dato,$A440))*2,0)/2)))</f>
        <v/>
      </c>
      <c r="AT440">
        <f>IF(OR(AT$4="",$A440&gt;TODAY()),0,IF(OR(INDEX($B440:$D440,AT$5)="F",AND(AT$6&gt;0,$A440&lt;AT$6),AND(AT$7&gt;0,$A440&gt;AT$7)),0,MAX(0,ROUND((INDEX($E440:$G440,AT$5)-SUMIFS(TF_Timer,TF_Tekniker,AT$4,TF_Dato,$A440))*2,0)/2)))</f>
        <v/>
      </c>
      <c r="AU440">
        <f>IF(OR(AU$4="",$A440&gt;TODAY()),0,IF(OR(INDEX($B440:$D440,AU$5)="F",AND(AU$6&gt;0,$A440&lt;AU$6),AND(AU$7&gt;0,$A440&gt;AU$7)),0,MAX(0,ROUND((INDEX($E440:$G440,AU$5)-SUMIFS(TF_Timer,TF_Tekniker,AU$4,TF_Dato,$A440))*2,0)/2)))</f>
        <v/>
      </c>
      <c r="AV440">
        <f>IF(OR(AV$4="",$A440&gt;TODAY()),0,IF(OR(INDEX($B440:$D440,AV$5)="F",AND(AV$6&gt;0,$A440&lt;AV$6),AND(AV$7&gt;0,$A440&gt;AV$7)),0,MAX(0,ROUND((INDEX($E440:$G440,AV$5)-SUMIFS(TF_Timer,TF_Tekniker,AV$4,TF_Dato,$A440))*2,0)/2)))</f>
        <v/>
      </c>
      <c r="AW440">
        <f>IF(OR(AW$4="",$A440&gt;TODAY()),0,IF(OR(INDEX($B440:$D440,AW$5)="F",AND(AW$6&gt;0,$A440&lt;AW$6),AND(AW$7&gt;0,$A440&gt;AW$7)),0,MAX(0,ROUND((INDEX($E440:$G440,AW$5)-SUMIFS(TF_Timer,TF_Tekniker,AW$4,TF_Dato,$A440))*2,0)/2)))</f>
        <v/>
      </c>
      <c r="AX440">
        <f>IF(OR(AX$4="",$A440&gt;TODAY()),0,IF(OR(INDEX($B440:$D440,AX$5)="F",AND(AX$6&gt;0,$A440&lt;AX$6),AND(AX$7&gt;0,$A440&gt;AX$7)),0,MAX(0,ROUND((INDEX($E440:$G440,AX$5)-SUMIFS(TF_Timer,TF_Tekniker,AX$4,TF_Dato,$A440))*2,0)/2)))</f>
        <v/>
      </c>
      <c r="AY440">
        <f>IF(OR(AY$4="",$A440&gt;TODAY()),0,IF(OR(INDEX($B440:$D440,AY$5)="F",AND(AY$6&gt;0,$A440&lt;AY$6),AND(AY$7&gt;0,$A440&gt;AY$7)),0,MAX(0,ROUND((INDEX($E440:$G440,AY$5)-SUMIFS(TF_Timer,TF_Tekniker,AY$4,TF_Dato,$A440))*2,0)/2)))</f>
        <v/>
      </c>
      <c r="AZ440">
        <f>IF(OR(AZ$4="",$A440&gt;TODAY()),0,IF(OR(INDEX($B440:$D440,AZ$5)="F",AND(AZ$6&gt;0,$A440&lt;AZ$6),AND(AZ$7&gt;0,$A440&gt;AZ$7)),0,MAX(0,ROUND((INDEX($E440:$G440,AZ$5)-SUMIFS(TF_Timer,TF_Tekniker,AZ$4,TF_Dato,$A440))*2,0)/2)))</f>
        <v/>
      </c>
      <c r="BA440">
        <f>IF(OR(BA$4="",$A440&gt;TODAY()),0,IF(OR(INDEX($B440:$D440,BA$5)="F",AND(BA$6&gt;0,$A440&lt;BA$6),AND(BA$7&gt;0,$A440&gt;BA$7)),0,MAX(0,ROUND((INDEX($E440:$G440,BA$5)-SUMIFS(TF_Timer,TF_Tekniker,BA$4,TF_Dato,$A440))*2,0)/2)))</f>
        <v/>
      </c>
      <c r="BB440">
        <f>IF(OR(BB$4="",$A440&gt;TODAY()),0,IF(OR(INDEX($B440:$D440,BB$5)="F",AND(BB$6&gt;0,$A440&lt;BB$6),AND(BB$7&gt;0,$A440&gt;BB$7)),0,MAX(0,ROUND((INDEX($E440:$G440,BB$5)-SUMIFS(TF_Timer,TF_Tekniker,BB$4,TF_Dato,$A440))*2,0)/2)))</f>
        <v/>
      </c>
      <c r="BC440">
        <f>IF(OR(BC$4="",$A440&gt;TODAY()),0,IF(OR(INDEX($B440:$D440,BC$5)="F",AND(BC$6&gt;0,$A440&lt;BC$6),AND(BC$7&gt;0,$A440&gt;BC$7)),0,MAX(0,ROUND((INDEX($E440:$G440,BC$5)-SUMIFS(TF_Timer,TF_Tekniker,BC$4,TF_Dato,$A440))*2,0)/2)))</f>
        <v/>
      </c>
      <c r="BD440">
        <f>IF(OR(BD$4="",$A440&gt;TODAY()),0,IF(OR(INDEX($B440:$D440,BD$5)="F",AND(BD$6&gt;0,$A440&lt;BD$6),AND(BD$7&gt;0,$A440&gt;BD$7)),0,MAX(0,ROUND((INDEX($E440:$G440,BD$5)-SUMIFS(TF_Timer,TF_Tekniker,BD$4,TF_Dato,$A440))*2,0)/2)))</f>
        <v/>
      </c>
      <c r="BE440">
        <f>IF(OR(BE$4="",$A440&gt;TODAY()),0,IF(OR(INDEX($B440:$D440,BE$5)="F",AND(BE$6&gt;0,$A440&lt;BE$6),AND(BE$7&gt;0,$A440&gt;BE$7)),0,MAX(0,ROUND((INDEX($E440:$G440,BE$5)-SUMIFS(TF_Timer,TF_Tekniker,BE$4,TF_Dato,$A440))*2,0)/2)))</f>
        <v/>
      </c>
      <c r="BF440">
        <f>IF(OR(BF$4="",$A440&gt;TODAY()),0,IF(OR(INDEX($B440:$D440,BF$5)="F",AND(BF$6&gt;0,$A440&lt;BF$6),AND(BF$7&gt;0,$A440&gt;BF$7)),0,MAX(0,ROUND((INDEX($E440:$G440,BF$5)-SUMIFS(TF_Timer,TF_Tekniker,BF$4,TF_Dato,$A440))*2,0)/2)))</f>
        <v/>
      </c>
      <c r="BG440">
        <f>IF(OR(BG$4="",$A440&gt;TODAY()),0,IF(OR(INDEX($B440:$D440,BG$5)="F",AND(BG$6&gt;0,$A440&lt;BG$6),AND(BG$7&gt;0,$A440&gt;BG$7)),0,MAX(0,ROUND((INDEX($E440:$G440,BG$5)-SUMIFS(TF_Timer,TF_Tekniker,BG$4,TF_Dato,$A440))*2,0)/2)))</f>
        <v/>
      </c>
      <c r="BH440">
        <f>IF(OR(BH$4="",$A440&gt;TODAY()),0,IF(OR(INDEX($B440:$D440,BH$5)="F",AND(BH$6&gt;0,$A440&lt;BH$6),AND(BH$7&gt;0,$A440&gt;BH$7)),0,MAX(0,ROUND((INDEX($E440:$G440,BH$5)-SUMIFS(TF_Timer,TF_Tekniker,BH$4,TF_Dato,$A440))*2,0)/2)))</f>
        <v/>
      </c>
      <c r="BI440">
        <f>IF(OR(BI$4="",$A440&gt;TODAY()),0,IF(OR(INDEX($B440:$D440,BI$5)="F",AND(BI$6&gt;0,$A440&lt;BI$6),AND(BI$7&gt;0,$A440&gt;BI$7)),0,MAX(0,ROUND((INDEX($E440:$G440,BI$5)-SUMIFS(TF_Timer,TF_Tekniker,BI$4,TF_Dato,$A440))*2,0)/2)))</f>
        <v/>
      </c>
    </row>
    <row r="441">
      <c r="A441" s="64">
        <f>A440+1</f>
        <v/>
      </c>
      <c r="B441">
        <f>IF(MOD($A441-INDEX(SkiftStart,1),Syklus)&lt;DagK,"K",IF(MOD($A441-INDEX(SkiftStart,1),Syklus)&lt;DagK+DagH,"H",IF(MOD($A441-INDEX(SkiftStart,1),Syklus)&lt;DagK+DagH+DagD,"D","F")))</f>
        <v/>
      </c>
      <c r="C441">
        <f>IF(MOD($A441-INDEX(SkiftStart,2),Syklus)&lt;DagK,"K",IF(MOD($A441-INDEX(SkiftStart,2),Syklus)&lt;DagK+DagH,"H",IF(MOD($A441-INDEX(SkiftStart,2),Syklus)&lt;DagK+DagH+DagD,"D","F")))</f>
        <v/>
      </c>
      <c r="D441">
        <f>IF(MOD($A441-INDEX(SkiftStart,3),Syklus)&lt;DagK,"K",IF(MOD($A441-INDEX(SkiftStart,3),Syklus)&lt;DagK+DagH,"H",IF(MOD($A441-INDEX(SkiftStart,3),Syklus)&lt;DagK+DagH+DagD,"D","F")))</f>
        <v/>
      </c>
      <c r="E441">
        <f>IF(B441="F",0,IF(WEEKDAY($A441,2)=5,INDEX(TimerFr,MATCH(B441,FaseKode,0)),INDEX(TimerMT,MATCH(B441,FaseKode,0))))</f>
        <v/>
      </c>
      <c r="F441">
        <f>IF(C441="F",0,IF(WEEKDAY($A441,2)=5,INDEX(TimerFr,MATCH(C441,FaseKode,0)),INDEX(TimerMT,MATCH(C441,FaseKode,0))))</f>
        <v/>
      </c>
      <c r="G441">
        <f>IF(D441="F",0,IF(WEEKDAY($A441,2)=5,INDEX(TimerFr,MATCH(D441,FaseKode,0)),INDEX(TimerMT,MATCH(D441,FaseKode,0))))</f>
        <v/>
      </c>
      <c r="H441">
        <f>IF(OR(H$4="",$A441&gt;TODAY()),0,IF(OR(INDEX($B441:$D441,H$5)="F",AND(H$6&gt;0,$A441&lt;H$6),AND(H$7&gt;0,$A441&gt;H$7)),0,MAX(0,ROUND((INDEX($E441:$G441,H$5)-SUMIFS(TF_Timer,TF_Tekniker,H$4,TF_Dato,$A441))*2,0)/2)))</f>
        <v/>
      </c>
      <c r="I441">
        <f>IF(OR(I$4="",$A441&gt;TODAY()),0,IF(OR(INDEX($B441:$D441,I$5)="F",AND(I$6&gt;0,$A441&lt;I$6),AND(I$7&gt;0,$A441&gt;I$7)),0,MAX(0,ROUND((INDEX($E441:$G441,I$5)-SUMIFS(TF_Timer,TF_Tekniker,I$4,TF_Dato,$A441))*2,0)/2)))</f>
        <v/>
      </c>
      <c r="J441">
        <f>IF(OR(J$4="",$A441&gt;TODAY()),0,IF(OR(INDEX($B441:$D441,J$5)="F",AND(J$6&gt;0,$A441&lt;J$6),AND(J$7&gt;0,$A441&gt;J$7)),0,MAX(0,ROUND((INDEX($E441:$G441,J$5)-SUMIFS(TF_Timer,TF_Tekniker,J$4,TF_Dato,$A441))*2,0)/2)))</f>
        <v/>
      </c>
      <c r="K441">
        <f>IF(OR(K$4="",$A441&gt;TODAY()),0,IF(OR(INDEX($B441:$D441,K$5)="F",AND(K$6&gt;0,$A441&lt;K$6),AND(K$7&gt;0,$A441&gt;K$7)),0,MAX(0,ROUND((INDEX($E441:$G441,K$5)-SUMIFS(TF_Timer,TF_Tekniker,K$4,TF_Dato,$A441))*2,0)/2)))</f>
        <v/>
      </c>
      <c r="L441">
        <f>IF(OR(L$4="",$A441&gt;TODAY()),0,IF(OR(INDEX($B441:$D441,L$5)="F",AND(L$6&gt;0,$A441&lt;L$6),AND(L$7&gt;0,$A441&gt;L$7)),0,MAX(0,ROUND((INDEX($E441:$G441,L$5)-SUMIFS(TF_Timer,TF_Tekniker,L$4,TF_Dato,$A441))*2,0)/2)))</f>
        <v/>
      </c>
      <c r="M441">
        <f>IF(OR(M$4="",$A441&gt;TODAY()),0,IF(OR(INDEX($B441:$D441,M$5)="F",AND(M$6&gt;0,$A441&lt;M$6),AND(M$7&gt;0,$A441&gt;M$7)),0,MAX(0,ROUND((INDEX($E441:$G441,M$5)-SUMIFS(TF_Timer,TF_Tekniker,M$4,TF_Dato,$A441))*2,0)/2)))</f>
        <v/>
      </c>
      <c r="N441">
        <f>IF(OR(N$4="",$A441&gt;TODAY()),0,IF(OR(INDEX($B441:$D441,N$5)="F",AND(N$6&gt;0,$A441&lt;N$6),AND(N$7&gt;0,$A441&gt;N$7)),0,MAX(0,ROUND((INDEX($E441:$G441,N$5)-SUMIFS(TF_Timer,TF_Tekniker,N$4,TF_Dato,$A441))*2,0)/2)))</f>
        <v/>
      </c>
      <c r="O441">
        <f>IF(OR(O$4="",$A441&gt;TODAY()),0,IF(OR(INDEX($B441:$D441,O$5)="F",AND(O$6&gt;0,$A441&lt;O$6),AND(O$7&gt;0,$A441&gt;O$7)),0,MAX(0,ROUND((INDEX($E441:$G441,O$5)-SUMIFS(TF_Timer,TF_Tekniker,O$4,TF_Dato,$A441))*2,0)/2)))</f>
        <v/>
      </c>
      <c r="P441">
        <f>IF(OR(P$4="",$A441&gt;TODAY()),0,IF(OR(INDEX($B441:$D441,P$5)="F",AND(P$6&gt;0,$A441&lt;P$6),AND(P$7&gt;0,$A441&gt;P$7)),0,MAX(0,ROUND((INDEX($E441:$G441,P$5)-SUMIFS(TF_Timer,TF_Tekniker,P$4,TF_Dato,$A441))*2,0)/2)))</f>
        <v/>
      </c>
      <c r="Q441">
        <f>IF(OR(Q$4="",$A441&gt;TODAY()),0,IF(OR(INDEX($B441:$D441,Q$5)="F",AND(Q$6&gt;0,$A441&lt;Q$6),AND(Q$7&gt;0,$A441&gt;Q$7)),0,MAX(0,ROUND((INDEX($E441:$G441,Q$5)-SUMIFS(TF_Timer,TF_Tekniker,Q$4,TF_Dato,$A441))*2,0)/2)))</f>
        <v/>
      </c>
      <c r="R441">
        <f>IF(OR(R$4="",$A441&gt;TODAY()),0,IF(OR(INDEX($B441:$D441,R$5)="F",AND(R$6&gt;0,$A441&lt;R$6),AND(R$7&gt;0,$A441&gt;R$7)),0,MAX(0,ROUND((INDEX($E441:$G441,R$5)-SUMIFS(TF_Timer,TF_Tekniker,R$4,TF_Dato,$A441))*2,0)/2)))</f>
        <v/>
      </c>
      <c r="S441">
        <f>IF(OR(S$4="",$A441&gt;TODAY()),0,IF(OR(INDEX($B441:$D441,S$5)="F",AND(S$6&gt;0,$A441&lt;S$6),AND(S$7&gt;0,$A441&gt;S$7)),0,MAX(0,ROUND((INDEX($E441:$G441,S$5)-SUMIFS(TF_Timer,TF_Tekniker,S$4,TF_Dato,$A441))*2,0)/2)))</f>
        <v/>
      </c>
      <c r="T441">
        <f>IF(OR(T$4="",$A441&gt;TODAY()),0,IF(OR(INDEX($B441:$D441,T$5)="F",AND(T$6&gt;0,$A441&lt;T$6),AND(T$7&gt;0,$A441&gt;T$7)),0,MAX(0,ROUND((INDEX($E441:$G441,T$5)-SUMIFS(TF_Timer,TF_Tekniker,T$4,TF_Dato,$A441))*2,0)/2)))</f>
        <v/>
      </c>
      <c r="U441">
        <f>IF(OR(U$4="",$A441&gt;TODAY()),0,IF(OR(INDEX($B441:$D441,U$5)="F",AND(U$6&gt;0,$A441&lt;U$6),AND(U$7&gt;0,$A441&gt;U$7)),0,MAX(0,ROUND((INDEX($E441:$G441,U$5)-SUMIFS(TF_Timer,TF_Tekniker,U$4,TF_Dato,$A441))*2,0)/2)))</f>
        <v/>
      </c>
      <c r="V441">
        <f>IF(OR(V$4="",$A441&gt;TODAY()),0,IF(OR(INDEX($B441:$D441,V$5)="F",AND(V$6&gt;0,$A441&lt;V$6),AND(V$7&gt;0,$A441&gt;V$7)),0,MAX(0,ROUND((INDEX($E441:$G441,V$5)-SUMIFS(TF_Timer,TF_Tekniker,V$4,TF_Dato,$A441))*2,0)/2)))</f>
        <v/>
      </c>
      <c r="W441">
        <f>IF(OR(W$4="",$A441&gt;TODAY()),0,IF(OR(INDEX($B441:$D441,W$5)="F",AND(W$6&gt;0,$A441&lt;W$6),AND(W$7&gt;0,$A441&gt;W$7)),0,MAX(0,ROUND((INDEX($E441:$G441,W$5)-SUMIFS(TF_Timer,TF_Tekniker,W$4,TF_Dato,$A441))*2,0)/2)))</f>
        <v/>
      </c>
      <c r="X441">
        <f>IF(OR(X$4="",$A441&gt;TODAY()),0,IF(OR(INDEX($B441:$D441,X$5)="F",AND(X$6&gt;0,$A441&lt;X$6),AND(X$7&gt;0,$A441&gt;X$7)),0,MAX(0,ROUND((INDEX($E441:$G441,X$5)-SUMIFS(TF_Timer,TF_Tekniker,X$4,TF_Dato,$A441))*2,0)/2)))</f>
        <v/>
      </c>
      <c r="Y441">
        <f>IF(OR(Y$4="",$A441&gt;TODAY()),0,IF(OR(INDEX($B441:$D441,Y$5)="F",AND(Y$6&gt;0,$A441&lt;Y$6),AND(Y$7&gt;0,$A441&gt;Y$7)),0,MAX(0,ROUND((INDEX($E441:$G441,Y$5)-SUMIFS(TF_Timer,TF_Tekniker,Y$4,TF_Dato,$A441))*2,0)/2)))</f>
        <v/>
      </c>
      <c r="Z441">
        <f>IF(OR(Z$4="",$A441&gt;TODAY()),0,IF(OR(INDEX($B441:$D441,Z$5)="F",AND(Z$6&gt;0,$A441&lt;Z$6),AND(Z$7&gt;0,$A441&gt;Z$7)),0,MAX(0,ROUND((INDEX($E441:$G441,Z$5)-SUMIFS(TF_Timer,TF_Tekniker,Z$4,TF_Dato,$A441))*2,0)/2)))</f>
        <v/>
      </c>
      <c r="AA441">
        <f>IF(OR(AA$4="",$A441&gt;TODAY()),0,IF(OR(INDEX($B441:$D441,AA$5)="F",AND(AA$6&gt;0,$A441&lt;AA$6),AND(AA$7&gt;0,$A441&gt;AA$7)),0,MAX(0,ROUND((INDEX($E441:$G441,AA$5)-SUMIFS(TF_Timer,TF_Tekniker,AA$4,TF_Dato,$A441))*2,0)/2)))</f>
        <v/>
      </c>
      <c r="AB441">
        <f>IF(OR(AB$4="",$A441&gt;TODAY()),0,IF(OR(INDEX($B441:$D441,AB$5)="F",AND(AB$6&gt;0,$A441&lt;AB$6),AND(AB$7&gt;0,$A441&gt;AB$7)),0,MAX(0,ROUND((INDEX($E441:$G441,AB$5)-SUMIFS(TF_Timer,TF_Tekniker,AB$4,TF_Dato,$A441))*2,0)/2)))</f>
        <v/>
      </c>
      <c r="AC441">
        <f>IF(OR(AC$4="",$A441&gt;TODAY()),0,IF(OR(INDEX($B441:$D441,AC$5)="F",AND(AC$6&gt;0,$A441&lt;AC$6),AND(AC$7&gt;0,$A441&gt;AC$7)),0,MAX(0,ROUND((INDEX($E441:$G441,AC$5)-SUMIFS(TF_Timer,TF_Tekniker,AC$4,TF_Dato,$A441))*2,0)/2)))</f>
        <v/>
      </c>
      <c r="AD441">
        <f>IF(OR(AD$4="",$A441&gt;TODAY()),0,IF(OR(INDEX($B441:$D441,AD$5)="F",AND(AD$6&gt;0,$A441&lt;AD$6),AND(AD$7&gt;0,$A441&gt;AD$7)),0,MAX(0,ROUND((INDEX($E441:$G441,AD$5)-SUMIFS(TF_Timer,TF_Tekniker,AD$4,TF_Dato,$A441))*2,0)/2)))</f>
        <v/>
      </c>
      <c r="AE441">
        <f>IF(OR(AE$4="",$A441&gt;TODAY()),0,IF(OR(INDEX($B441:$D441,AE$5)="F",AND(AE$6&gt;0,$A441&lt;AE$6),AND(AE$7&gt;0,$A441&gt;AE$7)),0,MAX(0,ROUND((INDEX($E441:$G441,AE$5)-SUMIFS(TF_Timer,TF_Tekniker,AE$4,TF_Dato,$A441))*2,0)/2)))</f>
        <v/>
      </c>
      <c r="AF441">
        <f>IF(OR(AF$4="",$A441&gt;TODAY()),0,IF(OR(INDEX($B441:$D441,AF$5)="F",AND(AF$6&gt;0,$A441&lt;AF$6),AND(AF$7&gt;0,$A441&gt;AF$7)),0,MAX(0,ROUND((INDEX($E441:$G441,AF$5)-SUMIFS(TF_Timer,TF_Tekniker,AF$4,TF_Dato,$A441))*2,0)/2)))</f>
        <v/>
      </c>
      <c r="AG441">
        <f>IF(OR(AG$4="",$A441&gt;TODAY()),0,IF(OR(INDEX($B441:$D441,AG$5)="F",AND(AG$6&gt;0,$A441&lt;AG$6),AND(AG$7&gt;0,$A441&gt;AG$7)),0,MAX(0,ROUND((INDEX($E441:$G441,AG$5)-SUMIFS(TF_Timer,TF_Tekniker,AG$4,TF_Dato,$A441))*2,0)/2)))</f>
        <v/>
      </c>
      <c r="AH441">
        <f>IF(OR(AH$4="",$A441&gt;TODAY()),0,IF(OR(INDEX($B441:$D441,AH$5)="F",AND(AH$6&gt;0,$A441&lt;AH$6),AND(AH$7&gt;0,$A441&gt;AH$7)),0,MAX(0,ROUND((INDEX($E441:$G441,AH$5)-SUMIFS(TF_Timer,TF_Tekniker,AH$4,TF_Dato,$A441))*2,0)/2)))</f>
        <v/>
      </c>
      <c r="AI441">
        <f>IF(OR(AI$4="",$A441&gt;TODAY()),0,IF(OR(INDEX($B441:$D441,AI$5)="F",AND(AI$6&gt;0,$A441&lt;AI$6),AND(AI$7&gt;0,$A441&gt;AI$7)),0,MAX(0,ROUND((INDEX($E441:$G441,AI$5)-SUMIFS(TF_Timer,TF_Tekniker,AI$4,TF_Dato,$A441))*2,0)/2)))</f>
        <v/>
      </c>
      <c r="AJ441">
        <f>IF(OR(AJ$4="",$A441&gt;TODAY()),0,IF(OR(INDEX($B441:$D441,AJ$5)="F",AND(AJ$6&gt;0,$A441&lt;AJ$6),AND(AJ$7&gt;0,$A441&gt;AJ$7)),0,MAX(0,ROUND((INDEX($E441:$G441,AJ$5)-SUMIFS(TF_Timer,TF_Tekniker,AJ$4,TF_Dato,$A441))*2,0)/2)))</f>
        <v/>
      </c>
      <c r="AK441">
        <f>IF(OR(AK$4="",$A441&gt;TODAY()),0,IF(OR(INDEX($B441:$D441,AK$5)="F",AND(AK$6&gt;0,$A441&lt;AK$6),AND(AK$7&gt;0,$A441&gt;AK$7)),0,MAX(0,ROUND((INDEX($E441:$G441,AK$5)-SUMIFS(TF_Timer,TF_Tekniker,AK$4,TF_Dato,$A441))*2,0)/2)))</f>
        <v/>
      </c>
      <c r="AL441">
        <f>IF(OR(AL$4="",$A441&gt;TODAY()),0,IF(OR(INDEX($B441:$D441,AL$5)="F",AND(AL$6&gt;0,$A441&lt;AL$6),AND(AL$7&gt;0,$A441&gt;AL$7)),0,MAX(0,ROUND((INDEX($E441:$G441,AL$5)-SUMIFS(TF_Timer,TF_Tekniker,AL$4,TF_Dato,$A441))*2,0)/2)))</f>
        <v/>
      </c>
      <c r="AM441">
        <f>IF(OR(AM$4="",$A441&gt;TODAY()),0,IF(OR(INDEX($B441:$D441,AM$5)="F",AND(AM$6&gt;0,$A441&lt;AM$6),AND(AM$7&gt;0,$A441&gt;AM$7)),0,MAX(0,ROUND((INDEX($E441:$G441,AM$5)-SUMIFS(TF_Timer,TF_Tekniker,AM$4,TF_Dato,$A441))*2,0)/2)))</f>
        <v/>
      </c>
      <c r="AN441">
        <f>IF(OR(AN$4="",$A441&gt;TODAY()),0,IF(OR(INDEX($B441:$D441,AN$5)="F",AND(AN$6&gt;0,$A441&lt;AN$6),AND(AN$7&gt;0,$A441&gt;AN$7)),0,MAX(0,ROUND((INDEX($E441:$G441,AN$5)-SUMIFS(TF_Timer,TF_Tekniker,AN$4,TF_Dato,$A441))*2,0)/2)))</f>
        <v/>
      </c>
      <c r="AO441">
        <f>IF(OR(AO$4="",$A441&gt;TODAY()),0,IF(OR(INDEX($B441:$D441,AO$5)="F",AND(AO$6&gt;0,$A441&lt;AO$6),AND(AO$7&gt;0,$A441&gt;AO$7)),0,MAX(0,ROUND((INDEX($E441:$G441,AO$5)-SUMIFS(TF_Timer,TF_Tekniker,AO$4,TF_Dato,$A441))*2,0)/2)))</f>
        <v/>
      </c>
      <c r="AP441">
        <f>IF(OR(AP$4="",$A441&gt;TODAY()),0,IF(OR(INDEX($B441:$D441,AP$5)="F",AND(AP$6&gt;0,$A441&lt;AP$6),AND(AP$7&gt;0,$A441&gt;AP$7)),0,MAX(0,ROUND((INDEX($E441:$G441,AP$5)-SUMIFS(TF_Timer,TF_Tekniker,AP$4,TF_Dato,$A441))*2,0)/2)))</f>
        <v/>
      </c>
      <c r="AQ441">
        <f>IF(OR(AQ$4="",$A441&gt;TODAY()),0,IF(OR(INDEX($B441:$D441,AQ$5)="F",AND(AQ$6&gt;0,$A441&lt;AQ$6),AND(AQ$7&gt;0,$A441&gt;AQ$7)),0,MAX(0,ROUND((INDEX($E441:$G441,AQ$5)-SUMIFS(TF_Timer,TF_Tekniker,AQ$4,TF_Dato,$A441))*2,0)/2)))</f>
        <v/>
      </c>
      <c r="AR441">
        <f>IF(OR(AR$4="",$A441&gt;TODAY()),0,IF(OR(INDEX($B441:$D441,AR$5)="F",AND(AR$6&gt;0,$A441&lt;AR$6),AND(AR$7&gt;0,$A441&gt;AR$7)),0,MAX(0,ROUND((INDEX($E441:$G441,AR$5)-SUMIFS(TF_Timer,TF_Tekniker,AR$4,TF_Dato,$A441))*2,0)/2)))</f>
        <v/>
      </c>
      <c r="AS441">
        <f>IF(OR(AS$4="",$A441&gt;TODAY()),0,IF(OR(INDEX($B441:$D441,AS$5)="F",AND(AS$6&gt;0,$A441&lt;AS$6),AND(AS$7&gt;0,$A441&gt;AS$7)),0,MAX(0,ROUND((INDEX($E441:$G441,AS$5)-SUMIFS(TF_Timer,TF_Tekniker,AS$4,TF_Dato,$A441))*2,0)/2)))</f>
        <v/>
      </c>
      <c r="AT441">
        <f>IF(OR(AT$4="",$A441&gt;TODAY()),0,IF(OR(INDEX($B441:$D441,AT$5)="F",AND(AT$6&gt;0,$A441&lt;AT$6),AND(AT$7&gt;0,$A441&gt;AT$7)),0,MAX(0,ROUND((INDEX($E441:$G441,AT$5)-SUMIFS(TF_Timer,TF_Tekniker,AT$4,TF_Dato,$A441))*2,0)/2)))</f>
        <v/>
      </c>
      <c r="AU441">
        <f>IF(OR(AU$4="",$A441&gt;TODAY()),0,IF(OR(INDEX($B441:$D441,AU$5)="F",AND(AU$6&gt;0,$A441&lt;AU$6),AND(AU$7&gt;0,$A441&gt;AU$7)),0,MAX(0,ROUND((INDEX($E441:$G441,AU$5)-SUMIFS(TF_Timer,TF_Tekniker,AU$4,TF_Dato,$A441))*2,0)/2)))</f>
        <v/>
      </c>
      <c r="AV441">
        <f>IF(OR(AV$4="",$A441&gt;TODAY()),0,IF(OR(INDEX($B441:$D441,AV$5)="F",AND(AV$6&gt;0,$A441&lt;AV$6),AND(AV$7&gt;0,$A441&gt;AV$7)),0,MAX(0,ROUND((INDEX($E441:$G441,AV$5)-SUMIFS(TF_Timer,TF_Tekniker,AV$4,TF_Dato,$A441))*2,0)/2)))</f>
        <v/>
      </c>
      <c r="AW441">
        <f>IF(OR(AW$4="",$A441&gt;TODAY()),0,IF(OR(INDEX($B441:$D441,AW$5)="F",AND(AW$6&gt;0,$A441&lt;AW$6),AND(AW$7&gt;0,$A441&gt;AW$7)),0,MAX(0,ROUND((INDEX($E441:$G441,AW$5)-SUMIFS(TF_Timer,TF_Tekniker,AW$4,TF_Dato,$A441))*2,0)/2)))</f>
        <v/>
      </c>
      <c r="AX441">
        <f>IF(OR(AX$4="",$A441&gt;TODAY()),0,IF(OR(INDEX($B441:$D441,AX$5)="F",AND(AX$6&gt;0,$A441&lt;AX$6),AND(AX$7&gt;0,$A441&gt;AX$7)),0,MAX(0,ROUND((INDEX($E441:$G441,AX$5)-SUMIFS(TF_Timer,TF_Tekniker,AX$4,TF_Dato,$A441))*2,0)/2)))</f>
        <v/>
      </c>
      <c r="AY441">
        <f>IF(OR(AY$4="",$A441&gt;TODAY()),0,IF(OR(INDEX($B441:$D441,AY$5)="F",AND(AY$6&gt;0,$A441&lt;AY$6),AND(AY$7&gt;0,$A441&gt;AY$7)),0,MAX(0,ROUND((INDEX($E441:$G441,AY$5)-SUMIFS(TF_Timer,TF_Tekniker,AY$4,TF_Dato,$A441))*2,0)/2)))</f>
        <v/>
      </c>
      <c r="AZ441">
        <f>IF(OR(AZ$4="",$A441&gt;TODAY()),0,IF(OR(INDEX($B441:$D441,AZ$5)="F",AND(AZ$6&gt;0,$A441&lt;AZ$6),AND(AZ$7&gt;0,$A441&gt;AZ$7)),0,MAX(0,ROUND((INDEX($E441:$G441,AZ$5)-SUMIFS(TF_Timer,TF_Tekniker,AZ$4,TF_Dato,$A441))*2,0)/2)))</f>
        <v/>
      </c>
      <c r="BA441">
        <f>IF(OR(BA$4="",$A441&gt;TODAY()),0,IF(OR(INDEX($B441:$D441,BA$5)="F",AND(BA$6&gt;0,$A441&lt;BA$6),AND(BA$7&gt;0,$A441&gt;BA$7)),0,MAX(0,ROUND((INDEX($E441:$G441,BA$5)-SUMIFS(TF_Timer,TF_Tekniker,BA$4,TF_Dato,$A441))*2,0)/2)))</f>
        <v/>
      </c>
      <c r="BB441">
        <f>IF(OR(BB$4="",$A441&gt;TODAY()),0,IF(OR(INDEX($B441:$D441,BB$5)="F",AND(BB$6&gt;0,$A441&lt;BB$6),AND(BB$7&gt;0,$A441&gt;BB$7)),0,MAX(0,ROUND((INDEX($E441:$G441,BB$5)-SUMIFS(TF_Timer,TF_Tekniker,BB$4,TF_Dato,$A441))*2,0)/2)))</f>
        <v/>
      </c>
      <c r="BC441">
        <f>IF(OR(BC$4="",$A441&gt;TODAY()),0,IF(OR(INDEX($B441:$D441,BC$5)="F",AND(BC$6&gt;0,$A441&lt;BC$6),AND(BC$7&gt;0,$A441&gt;BC$7)),0,MAX(0,ROUND((INDEX($E441:$G441,BC$5)-SUMIFS(TF_Timer,TF_Tekniker,BC$4,TF_Dato,$A441))*2,0)/2)))</f>
        <v/>
      </c>
      <c r="BD441">
        <f>IF(OR(BD$4="",$A441&gt;TODAY()),0,IF(OR(INDEX($B441:$D441,BD$5)="F",AND(BD$6&gt;0,$A441&lt;BD$6),AND(BD$7&gt;0,$A441&gt;BD$7)),0,MAX(0,ROUND((INDEX($E441:$G441,BD$5)-SUMIFS(TF_Timer,TF_Tekniker,BD$4,TF_Dato,$A441))*2,0)/2)))</f>
        <v/>
      </c>
      <c r="BE441">
        <f>IF(OR(BE$4="",$A441&gt;TODAY()),0,IF(OR(INDEX($B441:$D441,BE$5)="F",AND(BE$6&gt;0,$A441&lt;BE$6),AND(BE$7&gt;0,$A441&gt;BE$7)),0,MAX(0,ROUND((INDEX($E441:$G441,BE$5)-SUMIFS(TF_Timer,TF_Tekniker,BE$4,TF_Dato,$A441))*2,0)/2)))</f>
        <v/>
      </c>
      <c r="BF441">
        <f>IF(OR(BF$4="",$A441&gt;TODAY()),0,IF(OR(INDEX($B441:$D441,BF$5)="F",AND(BF$6&gt;0,$A441&lt;BF$6),AND(BF$7&gt;0,$A441&gt;BF$7)),0,MAX(0,ROUND((INDEX($E441:$G441,BF$5)-SUMIFS(TF_Timer,TF_Tekniker,BF$4,TF_Dato,$A441))*2,0)/2)))</f>
        <v/>
      </c>
      <c r="BG441">
        <f>IF(OR(BG$4="",$A441&gt;TODAY()),0,IF(OR(INDEX($B441:$D441,BG$5)="F",AND(BG$6&gt;0,$A441&lt;BG$6),AND(BG$7&gt;0,$A441&gt;BG$7)),0,MAX(0,ROUND((INDEX($E441:$G441,BG$5)-SUMIFS(TF_Timer,TF_Tekniker,BG$4,TF_Dato,$A441))*2,0)/2)))</f>
        <v/>
      </c>
      <c r="BH441">
        <f>IF(OR(BH$4="",$A441&gt;TODAY()),0,IF(OR(INDEX($B441:$D441,BH$5)="F",AND(BH$6&gt;0,$A441&lt;BH$6),AND(BH$7&gt;0,$A441&gt;BH$7)),0,MAX(0,ROUND((INDEX($E441:$G441,BH$5)-SUMIFS(TF_Timer,TF_Tekniker,BH$4,TF_Dato,$A441))*2,0)/2)))</f>
        <v/>
      </c>
      <c r="BI441">
        <f>IF(OR(BI$4="",$A441&gt;TODAY()),0,IF(OR(INDEX($B441:$D441,BI$5)="F",AND(BI$6&gt;0,$A441&lt;BI$6),AND(BI$7&gt;0,$A441&gt;BI$7)),0,MAX(0,ROUND((INDEX($E441:$G441,BI$5)-SUMIFS(TF_Timer,TF_Tekniker,BI$4,TF_Dato,$A441))*2,0)/2)))</f>
        <v/>
      </c>
    </row>
    <row r="442">
      <c r="A442" s="64">
        <f>A441+1</f>
        <v/>
      </c>
      <c r="B442">
        <f>IF(MOD($A442-INDEX(SkiftStart,1),Syklus)&lt;DagK,"K",IF(MOD($A442-INDEX(SkiftStart,1),Syklus)&lt;DagK+DagH,"H",IF(MOD($A442-INDEX(SkiftStart,1),Syklus)&lt;DagK+DagH+DagD,"D","F")))</f>
        <v/>
      </c>
      <c r="C442">
        <f>IF(MOD($A442-INDEX(SkiftStart,2),Syklus)&lt;DagK,"K",IF(MOD($A442-INDEX(SkiftStart,2),Syklus)&lt;DagK+DagH,"H",IF(MOD($A442-INDEX(SkiftStart,2),Syklus)&lt;DagK+DagH+DagD,"D","F")))</f>
        <v/>
      </c>
      <c r="D442">
        <f>IF(MOD($A442-INDEX(SkiftStart,3),Syklus)&lt;DagK,"K",IF(MOD($A442-INDEX(SkiftStart,3),Syklus)&lt;DagK+DagH,"H",IF(MOD($A442-INDEX(SkiftStart,3),Syklus)&lt;DagK+DagH+DagD,"D","F")))</f>
        <v/>
      </c>
      <c r="E442">
        <f>IF(B442="F",0,IF(WEEKDAY($A442,2)=5,INDEX(TimerFr,MATCH(B442,FaseKode,0)),INDEX(TimerMT,MATCH(B442,FaseKode,0))))</f>
        <v/>
      </c>
      <c r="F442">
        <f>IF(C442="F",0,IF(WEEKDAY($A442,2)=5,INDEX(TimerFr,MATCH(C442,FaseKode,0)),INDEX(TimerMT,MATCH(C442,FaseKode,0))))</f>
        <v/>
      </c>
      <c r="G442">
        <f>IF(D442="F",0,IF(WEEKDAY($A442,2)=5,INDEX(TimerFr,MATCH(D442,FaseKode,0)),INDEX(TimerMT,MATCH(D442,FaseKode,0))))</f>
        <v/>
      </c>
      <c r="H442">
        <f>IF(OR(H$4="",$A442&gt;TODAY()),0,IF(OR(INDEX($B442:$D442,H$5)="F",AND(H$6&gt;0,$A442&lt;H$6),AND(H$7&gt;0,$A442&gt;H$7)),0,MAX(0,ROUND((INDEX($E442:$G442,H$5)-SUMIFS(TF_Timer,TF_Tekniker,H$4,TF_Dato,$A442))*2,0)/2)))</f>
        <v/>
      </c>
      <c r="I442">
        <f>IF(OR(I$4="",$A442&gt;TODAY()),0,IF(OR(INDEX($B442:$D442,I$5)="F",AND(I$6&gt;0,$A442&lt;I$6),AND(I$7&gt;0,$A442&gt;I$7)),0,MAX(0,ROUND((INDEX($E442:$G442,I$5)-SUMIFS(TF_Timer,TF_Tekniker,I$4,TF_Dato,$A442))*2,0)/2)))</f>
        <v/>
      </c>
      <c r="J442">
        <f>IF(OR(J$4="",$A442&gt;TODAY()),0,IF(OR(INDEX($B442:$D442,J$5)="F",AND(J$6&gt;0,$A442&lt;J$6),AND(J$7&gt;0,$A442&gt;J$7)),0,MAX(0,ROUND((INDEX($E442:$G442,J$5)-SUMIFS(TF_Timer,TF_Tekniker,J$4,TF_Dato,$A442))*2,0)/2)))</f>
        <v/>
      </c>
      <c r="K442">
        <f>IF(OR(K$4="",$A442&gt;TODAY()),0,IF(OR(INDEX($B442:$D442,K$5)="F",AND(K$6&gt;0,$A442&lt;K$6),AND(K$7&gt;0,$A442&gt;K$7)),0,MAX(0,ROUND((INDEX($E442:$G442,K$5)-SUMIFS(TF_Timer,TF_Tekniker,K$4,TF_Dato,$A442))*2,0)/2)))</f>
        <v/>
      </c>
      <c r="L442">
        <f>IF(OR(L$4="",$A442&gt;TODAY()),0,IF(OR(INDEX($B442:$D442,L$5)="F",AND(L$6&gt;0,$A442&lt;L$6),AND(L$7&gt;0,$A442&gt;L$7)),0,MAX(0,ROUND((INDEX($E442:$G442,L$5)-SUMIFS(TF_Timer,TF_Tekniker,L$4,TF_Dato,$A442))*2,0)/2)))</f>
        <v/>
      </c>
      <c r="M442">
        <f>IF(OR(M$4="",$A442&gt;TODAY()),0,IF(OR(INDEX($B442:$D442,M$5)="F",AND(M$6&gt;0,$A442&lt;M$6),AND(M$7&gt;0,$A442&gt;M$7)),0,MAX(0,ROUND((INDEX($E442:$G442,M$5)-SUMIFS(TF_Timer,TF_Tekniker,M$4,TF_Dato,$A442))*2,0)/2)))</f>
        <v/>
      </c>
      <c r="N442">
        <f>IF(OR(N$4="",$A442&gt;TODAY()),0,IF(OR(INDEX($B442:$D442,N$5)="F",AND(N$6&gt;0,$A442&lt;N$6),AND(N$7&gt;0,$A442&gt;N$7)),0,MAX(0,ROUND((INDEX($E442:$G442,N$5)-SUMIFS(TF_Timer,TF_Tekniker,N$4,TF_Dato,$A442))*2,0)/2)))</f>
        <v/>
      </c>
      <c r="O442">
        <f>IF(OR(O$4="",$A442&gt;TODAY()),0,IF(OR(INDEX($B442:$D442,O$5)="F",AND(O$6&gt;0,$A442&lt;O$6),AND(O$7&gt;0,$A442&gt;O$7)),0,MAX(0,ROUND((INDEX($E442:$G442,O$5)-SUMIFS(TF_Timer,TF_Tekniker,O$4,TF_Dato,$A442))*2,0)/2)))</f>
        <v/>
      </c>
      <c r="P442">
        <f>IF(OR(P$4="",$A442&gt;TODAY()),0,IF(OR(INDEX($B442:$D442,P$5)="F",AND(P$6&gt;0,$A442&lt;P$6),AND(P$7&gt;0,$A442&gt;P$7)),0,MAX(0,ROUND((INDEX($E442:$G442,P$5)-SUMIFS(TF_Timer,TF_Tekniker,P$4,TF_Dato,$A442))*2,0)/2)))</f>
        <v/>
      </c>
      <c r="Q442">
        <f>IF(OR(Q$4="",$A442&gt;TODAY()),0,IF(OR(INDEX($B442:$D442,Q$5)="F",AND(Q$6&gt;0,$A442&lt;Q$6),AND(Q$7&gt;0,$A442&gt;Q$7)),0,MAX(0,ROUND((INDEX($E442:$G442,Q$5)-SUMIFS(TF_Timer,TF_Tekniker,Q$4,TF_Dato,$A442))*2,0)/2)))</f>
        <v/>
      </c>
      <c r="R442">
        <f>IF(OR(R$4="",$A442&gt;TODAY()),0,IF(OR(INDEX($B442:$D442,R$5)="F",AND(R$6&gt;0,$A442&lt;R$6),AND(R$7&gt;0,$A442&gt;R$7)),0,MAX(0,ROUND((INDEX($E442:$G442,R$5)-SUMIFS(TF_Timer,TF_Tekniker,R$4,TF_Dato,$A442))*2,0)/2)))</f>
        <v/>
      </c>
      <c r="S442">
        <f>IF(OR(S$4="",$A442&gt;TODAY()),0,IF(OR(INDEX($B442:$D442,S$5)="F",AND(S$6&gt;0,$A442&lt;S$6),AND(S$7&gt;0,$A442&gt;S$7)),0,MAX(0,ROUND((INDEX($E442:$G442,S$5)-SUMIFS(TF_Timer,TF_Tekniker,S$4,TF_Dato,$A442))*2,0)/2)))</f>
        <v/>
      </c>
      <c r="T442">
        <f>IF(OR(T$4="",$A442&gt;TODAY()),0,IF(OR(INDEX($B442:$D442,T$5)="F",AND(T$6&gt;0,$A442&lt;T$6),AND(T$7&gt;0,$A442&gt;T$7)),0,MAX(0,ROUND((INDEX($E442:$G442,T$5)-SUMIFS(TF_Timer,TF_Tekniker,T$4,TF_Dato,$A442))*2,0)/2)))</f>
        <v/>
      </c>
      <c r="U442">
        <f>IF(OR(U$4="",$A442&gt;TODAY()),0,IF(OR(INDEX($B442:$D442,U$5)="F",AND(U$6&gt;0,$A442&lt;U$6),AND(U$7&gt;0,$A442&gt;U$7)),0,MAX(0,ROUND((INDEX($E442:$G442,U$5)-SUMIFS(TF_Timer,TF_Tekniker,U$4,TF_Dato,$A442))*2,0)/2)))</f>
        <v/>
      </c>
      <c r="V442">
        <f>IF(OR(V$4="",$A442&gt;TODAY()),0,IF(OR(INDEX($B442:$D442,V$5)="F",AND(V$6&gt;0,$A442&lt;V$6),AND(V$7&gt;0,$A442&gt;V$7)),0,MAX(0,ROUND((INDEX($E442:$G442,V$5)-SUMIFS(TF_Timer,TF_Tekniker,V$4,TF_Dato,$A442))*2,0)/2)))</f>
        <v/>
      </c>
      <c r="W442">
        <f>IF(OR(W$4="",$A442&gt;TODAY()),0,IF(OR(INDEX($B442:$D442,W$5)="F",AND(W$6&gt;0,$A442&lt;W$6),AND(W$7&gt;0,$A442&gt;W$7)),0,MAX(0,ROUND((INDEX($E442:$G442,W$5)-SUMIFS(TF_Timer,TF_Tekniker,W$4,TF_Dato,$A442))*2,0)/2)))</f>
        <v/>
      </c>
      <c r="X442">
        <f>IF(OR(X$4="",$A442&gt;TODAY()),0,IF(OR(INDEX($B442:$D442,X$5)="F",AND(X$6&gt;0,$A442&lt;X$6),AND(X$7&gt;0,$A442&gt;X$7)),0,MAX(0,ROUND((INDEX($E442:$G442,X$5)-SUMIFS(TF_Timer,TF_Tekniker,X$4,TF_Dato,$A442))*2,0)/2)))</f>
        <v/>
      </c>
      <c r="Y442">
        <f>IF(OR(Y$4="",$A442&gt;TODAY()),0,IF(OR(INDEX($B442:$D442,Y$5)="F",AND(Y$6&gt;0,$A442&lt;Y$6),AND(Y$7&gt;0,$A442&gt;Y$7)),0,MAX(0,ROUND((INDEX($E442:$G442,Y$5)-SUMIFS(TF_Timer,TF_Tekniker,Y$4,TF_Dato,$A442))*2,0)/2)))</f>
        <v/>
      </c>
      <c r="Z442">
        <f>IF(OR(Z$4="",$A442&gt;TODAY()),0,IF(OR(INDEX($B442:$D442,Z$5)="F",AND(Z$6&gt;0,$A442&lt;Z$6),AND(Z$7&gt;0,$A442&gt;Z$7)),0,MAX(0,ROUND((INDEX($E442:$G442,Z$5)-SUMIFS(TF_Timer,TF_Tekniker,Z$4,TF_Dato,$A442))*2,0)/2)))</f>
        <v/>
      </c>
      <c r="AA442">
        <f>IF(OR(AA$4="",$A442&gt;TODAY()),0,IF(OR(INDEX($B442:$D442,AA$5)="F",AND(AA$6&gt;0,$A442&lt;AA$6),AND(AA$7&gt;0,$A442&gt;AA$7)),0,MAX(0,ROUND((INDEX($E442:$G442,AA$5)-SUMIFS(TF_Timer,TF_Tekniker,AA$4,TF_Dato,$A442))*2,0)/2)))</f>
        <v/>
      </c>
      <c r="AB442">
        <f>IF(OR(AB$4="",$A442&gt;TODAY()),0,IF(OR(INDEX($B442:$D442,AB$5)="F",AND(AB$6&gt;0,$A442&lt;AB$6),AND(AB$7&gt;0,$A442&gt;AB$7)),0,MAX(0,ROUND((INDEX($E442:$G442,AB$5)-SUMIFS(TF_Timer,TF_Tekniker,AB$4,TF_Dato,$A442))*2,0)/2)))</f>
        <v/>
      </c>
      <c r="AC442">
        <f>IF(OR(AC$4="",$A442&gt;TODAY()),0,IF(OR(INDEX($B442:$D442,AC$5)="F",AND(AC$6&gt;0,$A442&lt;AC$6),AND(AC$7&gt;0,$A442&gt;AC$7)),0,MAX(0,ROUND((INDEX($E442:$G442,AC$5)-SUMIFS(TF_Timer,TF_Tekniker,AC$4,TF_Dato,$A442))*2,0)/2)))</f>
        <v/>
      </c>
      <c r="AD442">
        <f>IF(OR(AD$4="",$A442&gt;TODAY()),0,IF(OR(INDEX($B442:$D442,AD$5)="F",AND(AD$6&gt;0,$A442&lt;AD$6),AND(AD$7&gt;0,$A442&gt;AD$7)),0,MAX(0,ROUND((INDEX($E442:$G442,AD$5)-SUMIFS(TF_Timer,TF_Tekniker,AD$4,TF_Dato,$A442))*2,0)/2)))</f>
        <v/>
      </c>
      <c r="AE442">
        <f>IF(OR(AE$4="",$A442&gt;TODAY()),0,IF(OR(INDEX($B442:$D442,AE$5)="F",AND(AE$6&gt;0,$A442&lt;AE$6),AND(AE$7&gt;0,$A442&gt;AE$7)),0,MAX(0,ROUND((INDEX($E442:$G442,AE$5)-SUMIFS(TF_Timer,TF_Tekniker,AE$4,TF_Dato,$A442))*2,0)/2)))</f>
        <v/>
      </c>
      <c r="AF442">
        <f>IF(OR(AF$4="",$A442&gt;TODAY()),0,IF(OR(INDEX($B442:$D442,AF$5)="F",AND(AF$6&gt;0,$A442&lt;AF$6),AND(AF$7&gt;0,$A442&gt;AF$7)),0,MAX(0,ROUND((INDEX($E442:$G442,AF$5)-SUMIFS(TF_Timer,TF_Tekniker,AF$4,TF_Dato,$A442))*2,0)/2)))</f>
        <v/>
      </c>
      <c r="AG442">
        <f>IF(OR(AG$4="",$A442&gt;TODAY()),0,IF(OR(INDEX($B442:$D442,AG$5)="F",AND(AG$6&gt;0,$A442&lt;AG$6),AND(AG$7&gt;0,$A442&gt;AG$7)),0,MAX(0,ROUND((INDEX($E442:$G442,AG$5)-SUMIFS(TF_Timer,TF_Tekniker,AG$4,TF_Dato,$A442))*2,0)/2)))</f>
        <v/>
      </c>
      <c r="AH442">
        <f>IF(OR(AH$4="",$A442&gt;TODAY()),0,IF(OR(INDEX($B442:$D442,AH$5)="F",AND(AH$6&gt;0,$A442&lt;AH$6),AND(AH$7&gt;0,$A442&gt;AH$7)),0,MAX(0,ROUND((INDEX($E442:$G442,AH$5)-SUMIFS(TF_Timer,TF_Tekniker,AH$4,TF_Dato,$A442))*2,0)/2)))</f>
        <v/>
      </c>
      <c r="AI442">
        <f>IF(OR(AI$4="",$A442&gt;TODAY()),0,IF(OR(INDEX($B442:$D442,AI$5)="F",AND(AI$6&gt;0,$A442&lt;AI$6),AND(AI$7&gt;0,$A442&gt;AI$7)),0,MAX(0,ROUND((INDEX($E442:$G442,AI$5)-SUMIFS(TF_Timer,TF_Tekniker,AI$4,TF_Dato,$A442))*2,0)/2)))</f>
        <v/>
      </c>
      <c r="AJ442">
        <f>IF(OR(AJ$4="",$A442&gt;TODAY()),0,IF(OR(INDEX($B442:$D442,AJ$5)="F",AND(AJ$6&gt;0,$A442&lt;AJ$6),AND(AJ$7&gt;0,$A442&gt;AJ$7)),0,MAX(0,ROUND((INDEX($E442:$G442,AJ$5)-SUMIFS(TF_Timer,TF_Tekniker,AJ$4,TF_Dato,$A442))*2,0)/2)))</f>
        <v/>
      </c>
      <c r="AK442">
        <f>IF(OR(AK$4="",$A442&gt;TODAY()),0,IF(OR(INDEX($B442:$D442,AK$5)="F",AND(AK$6&gt;0,$A442&lt;AK$6),AND(AK$7&gt;0,$A442&gt;AK$7)),0,MAX(0,ROUND((INDEX($E442:$G442,AK$5)-SUMIFS(TF_Timer,TF_Tekniker,AK$4,TF_Dato,$A442))*2,0)/2)))</f>
        <v/>
      </c>
      <c r="AL442">
        <f>IF(OR(AL$4="",$A442&gt;TODAY()),0,IF(OR(INDEX($B442:$D442,AL$5)="F",AND(AL$6&gt;0,$A442&lt;AL$6),AND(AL$7&gt;0,$A442&gt;AL$7)),0,MAX(0,ROUND((INDEX($E442:$G442,AL$5)-SUMIFS(TF_Timer,TF_Tekniker,AL$4,TF_Dato,$A442))*2,0)/2)))</f>
        <v/>
      </c>
      <c r="AM442">
        <f>IF(OR(AM$4="",$A442&gt;TODAY()),0,IF(OR(INDEX($B442:$D442,AM$5)="F",AND(AM$6&gt;0,$A442&lt;AM$6),AND(AM$7&gt;0,$A442&gt;AM$7)),0,MAX(0,ROUND((INDEX($E442:$G442,AM$5)-SUMIFS(TF_Timer,TF_Tekniker,AM$4,TF_Dato,$A442))*2,0)/2)))</f>
        <v/>
      </c>
      <c r="AN442">
        <f>IF(OR(AN$4="",$A442&gt;TODAY()),0,IF(OR(INDEX($B442:$D442,AN$5)="F",AND(AN$6&gt;0,$A442&lt;AN$6),AND(AN$7&gt;0,$A442&gt;AN$7)),0,MAX(0,ROUND((INDEX($E442:$G442,AN$5)-SUMIFS(TF_Timer,TF_Tekniker,AN$4,TF_Dato,$A442))*2,0)/2)))</f>
        <v/>
      </c>
      <c r="AO442">
        <f>IF(OR(AO$4="",$A442&gt;TODAY()),0,IF(OR(INDEX($B442:$D442,AO$5)="F",AND(AO$6&gt;0,$A442&lt;AO$6),AND(AO$7&gt;0,$A442&gt;AO$7)),0,MAX(0,ROUND((INDEX($E442:$G442,AO$5)-SUMIFS(TF_Timer,TF_Tekniker,AO$4,TF_Dato,$A442))*2,0)/2)))</f>
        <v/>
      </c>
      <c r="AP442">
        <f>IF(OR(AP$4="",$A442&gt;TODAY()),0,IF(OR(INDEX($B442:$D442,AP$5)="F",AND(AP$6&gt;0,$A442&lt;AP$6),AND(AP$7&gt;0,$A442&gt;AP$7)),0,MAX(0,ROUND((INDEX($E442:$G442,AP$5)-SUMIFS(TF_Timer,TF_Tekniker,AP$4,TF_Dato,$A442))*2,0)/2)))</f>
        <v/>
      </c>
      <c r="AQ442">
        <f>IF(OR(AQ$4="",$A442&gt;TODAY()),0,IF(OR(INDEX($B442:$D442,AQ$5)="F",AND(AQ$6&gt;0,$A442&lt;AQ$6),AND(AQ$7&gt;0,$A442&gt;AQ$7)),0,MAX(0,ROUND((INDEX($E442:$G442,AQ$5)-SUMIFS(TF_Timer,TF_Tekniker,AQ$4,TF_Dato,$A442))*2,0)/2)))</f>
        <v/>
      </c>
      <c r="AR442">
        <f>IF(OR(AR$4="",$A442&gt;TODAY()),0,IF(OR(INDEX($B442:$D442,AR$5)="F",AND(AR$6&gt;0,$A442&lt;AR$6),AND(AR$7&gt;0,$A442&gt;AR$7)),0,MAX(0,ROUND((INDEX($E442:$G442,AR$5)-SUMIFS(TF_Timer,TF_Tekniker,AR$4,TF_Dato,$A442))*2,0)/2)))</f>
        <v/>
      </c>
      <c r="AS442">
        <f>IF(OR(AS$4="",$A442&gt;TODAY()),0,IF(OR(INDEX($B442:$D442,AS$5)="F",AND(AS$6&gt;0,$A442&lt;AS$6),AND(AS$7&gt;0,$A442&gt;AS$7)),0,MAX(0,ROUND((INDEX($E442:$G442,AS$5)-SUMIFS(TF_Timer,TF_Tekniker,AS$4,TF_Dato,$A442))*2,0)/2)))</f>
        <v/>
      </c>
      <c r="AT442">
        <f>IF(OR(AT$4="",$A442&gt;TODAY()),0,IF(OR(INDEX($B442:$D442,AT$5)="F",AND(AT$6&gt;0,$A442&lt;AT$6),AND(AT$7&gt;0,$A442&gt;AT$7)),0,MAX(0,ROUND((INDEX($E442:$G442,AT$5)-SUMIFS(TF_Timer,TF_Tekniker,AT$4,TF_Dato,$A442))*2,0)/2)))</f>
        <v/>
      </c>
      <c r="AU442">
        <f>IF(OR(AU$4="",$A442&gt;TODAY()),0,IF(OR(INDEX($B442:$D442,AU$5)="F",AND(AU$6&gt;0,$A442&lt;AU$6),AND(AU$7&gt;0,$A442&gt;AU$7)),0,MAX(0,ROUND((INDEX($E442:$G442,AU$5)-SUMIFS(TF_Timer,TF_Tekniker,AU$4,TF_Dato,$A442))*2,0)/2)))</f>
        <v/>
      </c>
      <c r="AV442">
        <f>IF(OR(AV$4="",$A442&gt;TODAY()),0,IF(OR(INDEX($B442:$D442,AV$5)="F",AND(AV$6&gt;0,$A442&lt;AV$6),AND(AV$7&gt;0,$A442&gt;AV$7)),0,MAX(0,ROUND((INDEX($E442:$G442,AV$5)-SUMIFS(TF_Timer,TF_Tekniker,AV$4,TF_Dato,$A442))*2,0)/2)))</f>
        <v/>
      </c>
      <c r="AW442">
        <f>IF(OR(AW$4="",$A442&gt;TODAY()),0,IF(OR(INDEX($B442:$D442,AW$5)="F",AND(AW$6&gt;0,$A442&lt;AW$6),AND(AW$7&gt;0,$A442&gt;AW$7)),0,MAX(0,ROUND((INDEX($E442:$G442,AW$5)-SUMIFS(TF_Timer,TF_Tekniker,AW$4,TF_Dato,$A442))*2,0)/2)))</f>
        <v/>
      </c>
      <c r="AX442">
        <f>IF(OR(AX$4="",$A442&gt;TODAY()),0,IF(OR(INDEX($B442:$D442,AX$5)="F",AND(AX$6&gt;0,$A442&lt;AX$6),AND(AX$7&gt;0,$A442&gt;AX$7)),0,MAX(0,ROUND((INDEX($E442:$G442,AX$5)-SUMIFS(TF_Timer,TF_Tekniker,AX$4,TF_Dato,$A442))*2,0)/2)))</f>
        <v/>
      </c>
      <c r="AY442">
        <f>IF(OR(AY$4="",$A442&gt;TODAY()),0,IF(OR(INDEX($B442:$D442,AY$5)="F",AND(AY$6&gt;0,$A442&lt;AY$6),AND(AY$7&gt;0,$A442&gt;AY$7)),0,MAX(0,ROUND((INDEX($E442:$G442,AY$5)-SUMIFS(TF_Timer,TF_Tekniker,AY$4,TF_Dato,$A442))*2,0)/2)))</f>
        <v/>
      </c>
      <c r="AZ442">
        <f>IF(OR(AZ$4="",$A442&gt;TODAY()),0,IF(OR(INDEX($B442:$D442,AZ$5)="F",AND(AZ$6&gt;0,$A442&lt;AZ$6),AND(AZ$7&gt;0,$A442&gt;AZ$7)),0,MAX(0,ROUND((INDEX($E442:$G442,AZ$5)-SUMIFS(TF_Timer,TF_Tekniker,AZ$4,TF_Dato,$A442))*2,0)/2)))</f>
        <v/>
      </c>
      <c r="BA442">
        <f>IF(OR(BA$4="",$A442&gt;TODAY()),0,IF(OR(INDEX($B442:$D442,BA$5)="F",AND(BA$6&gt;0,$A442&lt;BA$6),AND(BA$7&gt;0,$A442&gt;BA$7)),0,MAX(0,ROUND((INDEX($E442:$G442,BA$5)-SUMIFS(TF_Timer,TF_Tekniker,BA$4,TF_Dato,$A442))*2,0)/2)))</f>
        <v/>
      </c>
      <c r="BB442">
        <f>IF(OR(BB$4="",$A442&gt;TODAY()),0,IF(OR(INDEX($B442:$D442,BB$5)="F",AND(BB$6&gt;0,$A442&lt;BB$6),AND(BB$7&gt;0,$A442&gt;BB$7)),0,MAX(0,ROUND((INDEX($E442:$G442,BB$5)-SUMIFS(TF_Timer,TF_Tekniker,BB$4,TF_Dato,$A442))*2,0)/2)))</f>
        <v/>
      </c>
      <c r="BC442">
        <f>IF(OR(BC$4="",$A442&gt;TODAY()),0,IF(OR(INDEX($B442:$D442,BC$5)="F",AND(BC$6&gt;0,$A442&lt;BC$6),AND(BC$7&gt;0,$A442&gt;BC$7)),0,MAX(0,ROUND((INDEX($E442:$G442,BC$5)-SUMIFS(TF_Timer,TF_Tekniker,BC$4,TF_Dato,$A442))*2,0)/2)))</f>
        <v/>
      </c>
      <c r="BD442">
        <f>IF(OR(BD$4="",$A442&gt;TODAY()),0,IF(OR(INDEX($B442:$D442,BD$5)="F",AND(BD$6&gt;0,$A442&lt;BD$6),AND(BD$7&gt;0,$A442&gt;BD$7)),0,MAX(0,ROUND((INDEX($E442:$G442,BD$5)-SUMIFS(TF_Timer,TF_Tekniker,BD$4,TF_Dato,$A442))*2,0)/2)))</f>
        <v/>
      </c>
      <c r="BE442">
        <f>IF(OR(BE$4="",$A442&gt;TODAY()),0,IF(OR(INDEX($B442:$D442,BE$5)="F",AND(BE$6&gt;0,$A442&lt;BE$6),AND(BE$7&gt;0,$A442&gt;BE$7)),0,MAX(0,ROUND((INDEX($E442:$G442,BE$5)-SUMIFS(TF_Timer,TF_Tekniker,BE$4,TF_Dato,$A442))*2,0)/2)))</f>
        <v/>
      </c>
      <c r="BF442">
        <f>IF(OR(BF$4="",$A442&gt;TODAY()),0,IF(OR(INDEX($B442:$D442,BF$5)="F",AND(BF$6&gt;0,$A442&lt;BF$6),AND(BF$7&gt;0,$A442&gt;BF$7)),0,MAX(0,ROUND((INDEX($E442:$G442,BF$5)-SUMIFS(TF_Timer,TF_Tekniker,BF$4,TF_Dato,$A442))*2,0)/2)))</f>
        <v/>
      </c>
      <c r="BG442">
        <f>IF(OR(BG$4="",$A442&gt;TODAY()),0,IF(OR(INDEX($B442:$D442,BG$5)="F",AND(BG$6&gt;0,$A442&lt;BG$6),AND(BG$7&gt;0,$A442&gt;BG$7)),0,MAX(0,ROUND((INDEX($E442:$G442,BG$5)-SUMIFS(TF_Timer,TF_Tekniker,BG$4,TF_Dato,$A442))*2,0)/2)))</f>
        <v/>
      </c>
      <c r="BH442">
        <f>IF(OR(BH$4="",$A442&gt;TODAY()),0,IF(OR(INDEX($B442:$D442,BH$5)="F",AND(BH$6&gt;0,$A442&lt;BH$6),AND(BH$7&gt;0,$A442&gt;BH$7)),0,MAX(0,ROUND((INDEX($E442:$G442,BH$5)-SUMIFS(TF_Timer,TF_Tekniker,BH$4,TF_Dato,$A442))*2,0)/2)))</f>
        <v/>
      </c>
      <c r="BI442">
        <f>IF(OR(BI$4="",$A442&gt;TODAY()),0,IF(OR(INDEX($B442:$D442,BI$5)="F",AND(BI$6&gt;0,$A442&lt;BI$6),AND(BI$7&gt;0,$A442&gt;BI$7)),0,MAX(0,ROUND((INDEX($E442:$G442,BI$5)-SUMIFS(TF_Timer,TF_Tekniker,BI$4,TF_Dato,$A442))*2,0)/2)))</f>
        <v/>
      </c>
    </row>
    <row r="443">
      <c r="A443" s="64">
        <f>A442+1</f>
        <v/>
      </c>
      <c r="B443">
        <f>IF(MOD($A443-INDEX(SkiftStart,1),Syklus)&lt;DagK,"K",IF(MOD($A443-INDEX(SkiftStart,1),Syklus)&lt;DagK+DagH,"H",IF(MOD($A443-INDEX(SkiftStart,1),Syklus)&lt;DagK+DagH+DagD,"D","F")))</f>
        <v/>
      </c>
      <c r="C443">
        <f>IF(MOD($A443-INDEX(SkiftStart,2),Syklus)&lt;DagK,"K",IF(MOD($A443-INDEX(SkiftStart,2),Syklus)&lt;DagK+DagH,"H",IF(MOD($A443-INDEX(SkiftStart,2),Syklus)&lt;DagK+DagH+DagD,"D","F")))</f>
        <v/>
      </c>
      <c r="D443">
        <f>IF(MOD($A443-INDEX(SkiftStart,3),Syklus)&lt;DagK,"K",IF(MOD($A443-INDEX(SkiftStart,3),Syklus)&lt;DagK+DagH,"H",IF(MOD($A443-INDEX(SkiftStart,3),Syklus)&lt;DagK+DagH+DagD,"D","F")))</f>
        <v/>
      </c>
      <c r="E443">
        <f>IF(B443="F",0,IF(WEEKDAY($A443,2)=5,INDEX(TimerFr,MATCH(B443,FaseKode,0)),INDEX(TimerMT,MATCH(B443,FaseKode,0))))</f>
        <v/>
      </c>
      <c r="F443">
        <f>IF(C443="F",0,IF(WEEKDAY($A443,2)=5,INDEX(TimerFr,MATCH(C443,FaseKode,0)),INDEX(TimerMT,MATCH(C443,FaseKode,0))))</f>
        <v/>
      </c>
      <c r="G443">
        <f>IF(D443="F",0,IF(WEEKDAY($A443,2)=5,INDEX(TimerFr,MATCH(D443,FaseKode,0)),INDEX(TimerMT,MATCH(D443,FaseKode,0))))</f>
        <v/>
      </c>
      <c r="H443">
        <f>IF(OR(H$4="",$A443&gt;TODAY()),0,IF(OR(INDEX($B443:$D443,H$5)="F",AND(H$6&gt;0,$A443&lt;H$6),AND(H$7&gt;0,$A443&gt;H$7)),0,MAX(0,ROUND((INDEX($E443:$G443,H$5)-SUMIFS(TF_Timer,TF_Tekniker,H$4,TF_Dato,$A443))*2,0)/2)))</f>
        <v/>
      </c>
      <c r="I443">
        <f>IF(OR(I$4="",$A443&gt;TODAY()),0,IF(OR(INDEX($B443:$D443,I$5)="F",AND(I$6&gt;0,$A443&lt;I$6),AND(I$7&gt;0,$A443&gt;I$7)),0,MAX(0,ROUND((INDEX($E443:$G443,I$5)-SUMIFS(TF_Timer,TF_Tekniker,I$4,TF_Dato,$A443))*2,0)/2)))</f>
        <v/>
      </c>
      <c r="J443">
        <f>IF(OR(J$4="",$A443&gt;TODAY()),0,IF(OR(INDEX($B443:$D443,J$5)="F",AND(J$6&gt;0,$A443&lt;J$6),AND(J$7&gt;0,$A443&gt;J$7)),0,MAX(0,ROUND((INDEX($E443:$G443,J$5)-SUMIFS(TF_Timer,TF_Tekniker,J$4,TF_Dato,$A443))*2,0)/2)))</f>
        <v/>
      </c>
      <c r="K443">
        <f>IF(OR(K$4="",$A443&gt;TODAY()),0,IF(OR(INDEX($B443:$D443,K$5)="F",AND(K$6&gt;0,$A443&lt;K$6),AND(K$7&gt;0,$A443&gt;K$7)),0,MAX(0,ROUND((INDEX($E443:$G443,K$5)-SUMIFS(TF_Timer,TF_Tekniker,K$4,TF_Dato,$A443))*2,0)/2)))</f>
        <v/>
      </c>
      <c r="L443">
        <f>IF(OR(L$4="",$A443&gt;TODAY()),0,IF(OR(INDEX($B443:$D443,L$5)="F",AND(L$6&gt;0,$A443&lt;L$6),AND(L$7&gt;0,$A443&gt;L$7)),0,MAX(0,ROUND((INDEX($E443:$G443,L$5)-SUMIFS(TF_Timer,TF_Tekniker,L$4,TF_Dato,$A443))*2,0)/2)))</f>
        <v/>
      </c>
      <c r="M443">
        <f>IF(OR(M$4="",$A443&gt;TODAY()),0,IF(OR(INDEX($B443:$D443,M$5)="F",AND(M$6&gt;0,$A443&lt;M$6),AND(M$7&gt;0,$A443&gt;M$7)),0,MAX(0,ROUND((INDEX($E443:$G443,M$5)-SUMIFS(TF_Timer,TF_Tekniker,M$4,TF_Dato,$A443))*2,0)/2)))</f>
        <v/>
      </c>
      <c r="N443">
        <f>IF(OR(N$4="",$A443&gt;TODAY()),0,IF(OR(INDEX($B443:$D443,N$5)="F",AND(N$6&gt;0,$A443&lt;N$6),AND(N$7&gt;0,$A443&gt;N$7)),0,MAX(0,ROUND((INDEX($E443:$G443,N$5)-SUMIFS(TF_Timer,TF_Tekniker,N$4,TF_Dato,$A443))*2,0)/2)))</f>
        <v/>
      </c>
      <c r="O443">
        <f>IF(OR(O$4="",$A443&gt;TODAY()),0,IF(OR(INDEX($B443:$D443,O$5)="F",AND(O$6&gt;0,$A443&lt;O$6),AND(O$7&gt;0,$A443&gt;O$7)),0,MAX(0,ROUND((INDEX($E443:$G443,O$5)-SUMIFS(TF_Timer,TF_Tekniker,O$4,TF_Dato,$A443))*2,0)/2)))</f>
        <v/>
      </c>
      <c r="P443">
        <f>IF(OR(P$4="",$A443&gt;TODAY()),0,IF(OR(INDEX($B443:$D443,P$5)="F",AND(P$6&gt;0,$A443&lt;P$6),AND(P$7&gt;0,$A443&gt;P$7)),0,MAX(0,ROUND((INDEX($E443:$G443,P$5)-SUMIFS(TF_Timer,TF_Tekniker,P$4,TF_Dato,$A443))*2,0)/2)))</f>
        <v/>
      </c>
      <c r="Q443">
        <f>IF(OR(Q$4="",$A443&gt;TODAY()),0,IF(OR(INDEX($B443:$D443,Q$5)="F",AND(Q$6&gt;0,$A443&lt;Q$6),AND(Q$7&gt;0,$A443&gt;Q$7)),0,MAX(0,ROUND((INDEX($E443:$G443,Q$5)-SUMIFS(TF_Timer,TF_Tekniker,Q$4,TF_Dato,$A443))*2,0)/2)))</f>
        <v/>
      </c>
      <c r="R443">
        <f>IF(OR(R$4="",$A443&gt;TODAY()),0,IF(OR(INDEX($B443:$D443,R$5)="F",AND(R$6&gt;0,$A443&lt;R$6),AND(R$7&gt;0,$A443&gt;R$7)),0,MAX(0,ROUND((INDEX($E443:$G443,R$5)-SUMIFS(TF_Timer,TF_Tekniker,R$4,TF_Dato,$A443))*2,0)/2)))</f>
        <v/>
      </c>
      <c r="S443">
        <f>IF(OR(S$4="",$A443&gt;TODAY()),0,IF(OR(INDEX($B443:$D443,S$5)="F",AND(S$6&gt;0,$A443&lt;S$6),AND(S$7&gt;0,$A443&gt;S$7)),0,MAX(0,ROUND((INDEX($E443:$G443,S$5)-SUMIFS(TF_Timer,TF_Tekniker,S$4,TF_Dato,$A443))*2,0)/2)))</f>
        <v/>
      </c>
      <c r="T443">
        <f>IF(OR(T$4="",$A443&gt;TODAY()),0,IF(OR(INDEX($B443:$D443,T$5)="F",AND(T$6&gt;0,$A443&lt;T$6),AND(T$7&gt;0,$A443&gt;T$7)),0,MAX(0,ROUND((INDEX($E443:$G443,T$5)-SUMIFS(TF_Timer,TF_Tekniker,T$4,TF_Dato,$A443))*2,0)/2)))</f>
        <v/>
      </c>
      <c r="U443">
        <f>IF(OR(U$4="",$A443&gt;TODAY()),0,IF(OR(INDEX($B443:$D443,U$5)="F",AND(U$6&gt;0,$A443&lt;U$6),AND(U$7&gt;0,$A443&gt;U$7)),0,MAX(0,ROUND((INDEX($E443:$G443,U$5)-SUMIFS(TF_Timer,TF_Tekniker,U$4,TF_Dato,$A443))*2,0)/2)))</f>
        <v/>
      </c>
      <c r="V443">
        <f>IF(OR(V$4="",$A443&gt;TODAY()),0,IF(OR(INDEX($B443:$D443,V$5)="F",AND(V$6&gt;0,$A443&lt;V$6),AND(V$7&gt;0,$A443&gt;V$7)),0,MAX(0,ROUND((INDEX($E443:$G443,V$5)-SUMIFS(TF_Timer,TF_Tekniker,V$4,TF_Dato,$A443))*2,0)/2)))</f>
        <v/>
      </c>
      <c r="W443">
        <f>IF(OR(W$4="",$A443&gt;TODAY()),0,IF(OR(INDEX($B443:$D443,W$5)="F",AND(W$6&gt;0,$A443&lt;W$6),AND(W$7&gt;0,$A443&gt;W$7)),0,MAX(0,ROUND((INDEX($E443:$G443,W$5)-SUMIFS(TF_Timer,TF_Tekniker,W$4,TF_Dato,$A443))*2,0)/2)))</f>
        <v/>
      </c>
      <c r="X443">
        <f>IF(OR(X$4="",$A443&gt;TODAY()),0,IF(OR(INDEX($B443:$D443,X$5)="F",AND(X$6&gt;0,$A443&lt;X$6),AND(X$7&gt;0,$A443&gt;X$7)),0,MAX(0,ROUND((INDEX($E443:$G443,X$5)-SUMIFS(TF_Timer,TF_Tekniker,X$4,TF_Dato,$A443))*2,0)/2)))</f>
        <v/>
      </c>
      <c r="Y443">
        <f>IF(OR(Y$4="",$A443&gt;TODAY()),0,IF(OR(INDEX($B443:$D443,Y$5)="F",AND(Y$6&gt;0,$A443&lt;Y$6),AND(Y$7&gt;0,$A443&gt;Y$7)),0,MAX(0,ROUND((INDEX($E443:$G443,Y$5)-SUMIFS(TF_Timer,TF_Tekniker,Y$4,TF_Dato,$A443))*2,0)/2)))</f>
        <v/>
      </c>
      <c r="Z443">
        <f>IF(OR(Z$4="",$A443&gt;TODAY()),0,IF(OR(INDEX($B443:$D443,Z$5)="F",AND(Z$6&gt;0,$A443&lt;Z$6),AND(Z$7&gt;0,$A443&gt;Z$7)),0,MAX(0,ROUND((INDEX($E443:$G443,Z$5)-SUMIFS(TF_Timer,TF_Tekniker,Z$4,TF_Dato,$A443))*2,0)/2)))</f>
        <v/>
      </c>
      <c r="AA443">
        <f>IF(OR(AA$4="",$A443&gt;TODAY()),0,IF(OR(INDEX($B443:$D443,AA$5)="F",AND(AA$6&gt;0,$A443&lt;AA$6),AND(AA$7&gt;0,$A443&gt;AA$7)),0,MAX(0,ROUND((INDEX($E443:$G443,AA$5)-SUMIFS(TF_Timer,TF_Tekniker,AA$4,TF_Dato,$A443))*2,0)/2)))</f>
        <v/>
      </c>
      <c r="AB443">
        <f>IF(OR(AB$4="",$A443&gt;TODAY()),0,IF(OR(INDEX($B443:$D443,AB$5)="F",AND(AB$6&gt;0,$A443&lt;AB$6),AND(AB$7&gt;0,$A443&gt;AB$7)),0,MAX(0,ROUND((INDEX($E443:$G443,AB$5)-SUMIFS(TF_Timer,TF_Tekniker,AB$4,TF_Dato,$A443))*2,0)/2)))</f>
        <v/>
      </c>
      <c r="AC443">
        <f>IF(OR(AC$4="",$A443&gt;TODAY()),0,IF(OR(INDEX($B443:$D443,AC$5)="F",AND(AC$6&gt;0,$A443&lt;AC$6),AND(AC$7&gt;0,$A443&gt;AC$7)),0,MAX(0,ROUND((INDEX($E443:$G443,AC$5)-SUMIFS(TF_Timer,TF_Tekniker,AC$4,TF_Dato,$A443))*2,0)/2)))</f>
        <v/>
      </c>
      <c r="AD443">
        <f>IF(OR(AD$4="",$A443&gt;TODAY()),0,IF(OR(INDEX($B443:$D443,AD$5)="F",AND(AD$6&gt;0,$A443&lt;AD$6),AND(AD$7&gt;0,$A443&gt;AD$7)),0,MAX(0,ROUND((INDEX($E443:$G443,AD$5)-SUMIFS(TF_Timer,TF_Tekniker,AD$4,TF_Dato,$A443))*2,0)/2)))</f>
        <v/>
      </c>
      <c r="AE443">
        <f>IF(OR(AE$4="",$A443&gt;TODAY()),0,IF(OR(INDEX($B443:$D443,AE$5)="F",AND(AE$6&gt;0,$A443&lt;AE$6),AND(AE$7&gt;0,$A443&gt;AE$7)),0,MAX(0,ROUND((INDEX($E443:$G443,AE$5)-SUMIFS(TF_Timer,TF_Tekniker,AE$4,TF_Dato,$A443))*2,0)/2)))</f>
        <v/>
      </c>
      <c r="AF443">
        <f>IF(OR(AF$4="",$A443&gt;TODAY()),0,IF(OR(INDEX($B443:$D443,AF$5)="F",AND(AF$6&gt;0,$A443&lt;AF$6),AND(AF$7&gt;0,$A443&gt;AF$7)),0,MAX(0,ROUND((INDEX($E443:$G443,AF$5)-SUMIFS(TF_Timer,TF_Tekniker,AF$4,TF_Dato,$A443))*2,0)/2)))</f>
        <v/>
      </c>
      <c r="AG443">
        <f>IF(OR(AG$4="",$A443&gt;TODAY()),0,IF(OR(INDEX($B443:$D443,AG$5)="F",AND(AG$6&gt;0,$A443&lt;AG$6),AND(AG$7&gt;0,$A443&gt;AG$7)),0,MAX(0,ROUND((INDEX($E443:$G443,AG$5)-SUMIFS(TF_Timer,TF_Tekniker,AG$4,TF_Dato,$A443))*2,0)/2)))</f>
        <v/>
      </c>
      <c r="AH443">
        <f>IF(OR(AH$4="",$A443&gt;TODAY()),0,IF(OR(INDEX($B443:$D443,AH$5)="F",AND(AH$6&gt;0,$A443&lt;AH$6),AND(AH$7&gt;0,$A443&gt;AH$7)),0,MAX(0,ROUND((INDEX($E443:$G443,AH$5)-SUMIFS(TF_Timer,TF_Tekniker,AH$4,TF_Dato,$A443))*2,0)/2)))</f>
        <v/>
      </c>
      <c r="AI443">
        <f>IF(OR(AI$4="",$A443&gt;TODAY()),0,IF(OR(INDEX($B443:$D443,AI$5)="F",AND(AI$6&gt;0,$A443&lt;AI$6),AND(AI$7&gt;0,$A443&gt;AI$7)),0,MAX(0,ROUND((INDEX($E443:$G443,AI$5)-SUMIFS(TF_Timer,TF_Tekniker,AI$4,TF_Dato,$A443))*2,0)/2)))</f>
        <v/>
      </c>
      <c r="AJ443">
        <f>IF(OR(AJ$4="",$A443&gt;TODAY()),0,IF(OR(INDEX($B443:$D443,AJ$5)="F",AND(AJ$6&gt;0,$A443&lt;AJ$6),AND(AJ$7&gt;0,$A443&gt;AJ$7)),0,MAX(0,ROUND((INDEX($E443:$G443,AJ$5)-SUMIFS(TF_Timer,TF_Tekniker,AJ$4,TF_Dato,$A443))*2,0)/2)))</f>
        <v/>
      </c>
      <c r="AK443">
        <f>IF(OR(AK$4="",$A443&gt;TODAY()),0,IF(OR(INDEX($B443:$D443,AK$5)="F",AND(AK$6&gt;0,$A443&lt;AK$6),AND(AK$7&gt;0,$A443&gt;AK$7)),0,MAX(0,ROUND((INDEX($E443:$G443,AK$5)-SUMIFS(TF_Timer,TF_Tekniker,AK$4,TF_Dato,$A443))*2,0)/2)))</f>
        <v/>
      </c>
      <c r="AL443">
        <f>IF(OR(AL$4="",$A443&gt;TODAY()),0,IF(OR(INDEX($B443:$D443,AL$5)="F",AND(AL$6&gt;0,$A443&lt;AL$6),AND(AL$7&gt;0,$A443&gt;AL$7)),0,MAX(0,ROUND((INDEX($E443:$G443,AL$5)-SUMIFS(TF_Timer,TF_Tekniker,AL$4,TF_Dato,$A443))*2,0)/2)))</f>
        <v/>
      </c>
      <c r="AM443">
        <f>IF(OR(AM$4="",$A443&gt;TODAY()),0,IF(OR(INDEX($B443:$D443,AM$5)="F",AND(AM$6&gt;0,$A443&lt;AM$6),AND(AM$7&gt;0,$A443&gt;AM$7)),0,MAX(0,ROUND((INDEX($E443:$G443,AM$5)-SUMIFS(TF_Timer,TF_Tekniker,AM$4,TF_Dato,$A443))*2,0)/2)))</f>
        <v/>
      </c>
      <c r="AN443">
        <f>IF(OR(AN$4="",$A443&gt;TODAY()),0,IF(OR(INDEX($B443:$D443,AN$5)="F",AND(AN$6&gt;0,$A443&lt;AN$6),AND(AN$7&gt;0,$A443&gt;AN$7)),0,MAX(0,ROUND((INDEX($E443:$G443,AN$5)-SUMIFS(TF_Timer,TF_Tekniker,AN$4,TF_Dato,$A443))*2,0)/2)))</f>
        <v/>
      </c>
      <c r="AO443">
        <f>IF(OR(AO$4="",$A443&gt;TODAY()),0,IF(OR(INDEX($B443:$D443,AO$5)="F",AND(AO$6&gt;0,$A443&lt;AO$6),AND(AO$7&gt;0,$A443&gt;AO$7)),0,MAX(0,ROUND((INDEX($E443:$G443,AO$5)-SUMIFS(TF_Timer,TF_Tekniker,AO$4,TF_Dato,$A443))*2,0)/2)))</f>
        <v/>
      </c>
      <c r="AP443">
        <f>IF(OR(AP$4="",$A443&gt;TODAY()),0,IF(OR(INDEX($B443:$D443,AP$5)="F",AND(AP$6&gt;0,$A443&lt;AP$6),AND(AP$7&gt;0,$A443&gt;AP$7)),0,MAX(0,ROUND((INDEX($E443:$G443,AP$5)-SUMIFS(TF_Timer,TF_Tekniker,AP$4,TF_Dato,$A443))*2,0)/2)))</f>
        <v/>
      </c>
      <c r="AQ443">
        <f>IF(OR(AQ$4="",$A443&gt;TODAY()),0,IF(OR(INDEX($B443:$D443,AQ$5)="F",AND(AQ$6&gt;0,$A443&lt;AQ$6),AND(AQ$7&gt;0,$A443&gt;AQ$7)),0,MAX(0,ROUND((INDEX($E443:$G443,AQ$5)-SUMIFS(TF_Timer,TF_Tekniker,AQ$4,TF_Dato,$A443))*2,0)/2)))</f>
        <v/>
      </c>
      <c r="AR443">
        <f>IF(OR(AR$4="",$A443&gt;TODAY()),0,IF(OR(INDEX($B443:$D443,AR$5)="F",AND(AR$6&gt;0,$A443&lt;AR$6),AND(AR$7&gt;0,$A443&gt;AR$7)),0,MAX(0,ROUND((INDEX($E443:$G443,AR$5)-SUMIFS(TF_Timer,TF_Tekniker,AR$4,TF_Dato,$A443))*2,0)/2)))</f>
        <v/>
      </c>
      <c r="AS443">
        <f>IF(OR(AS$4="",$A443&gt;TODAY()),0,IF(OR(INDEX($B443:$D443,AS$5)="F",AND(AS$6&gt;0,$A443&lt;AS$6),AND(AS$7&gt;0,$A443&gt;AS$7)),0,MAX(0,ROUND((INDEX($E443:$G443,AS$5)-SUMIFS(TF_Timer,TF_Tekniker,AS$4,TF_Dato,$A443))*2,0)/2)))</f>
        <v/>
      </c>
      <c r="AT443">
        <f>IF(OR(AT$4="",$A443&gt;TODAY()),0,IF(OR(INDEX($B443:$D443,AT$5)="F",AND(AT$6&gt;0,$A443&lt;AT$6),AND(AT$7&gt;0,$A443&gt;AT$7)),0,MAX(0,ROUND((INDEX($E443:$G443,AT$5)-SUMIFS(TF_Timer,TF_Tekniker,AT$4,TF_Dato,$A443))*2,0)/2)))</f>
        <v/>
      </c>
      <c r="AU443">
        <f>IF(OR(AU$4="",$A443&gt;TODAY()),0,IF(OR(INDEX($B443:$D443,AU$5)="F",AND(AU$6&gt;0,$A443&lt;AU$6),AND(AU$7&gt;0,$A443&gt;AU$7)),0,MAX(0,ROUND((INDEX($E443:$G443,AU$5)-SUMIFS(TF_Timer,TF_Tekniker,AU$4,TF_Dato,$A443))*2,0)/2)))</f>
        <v/>
      </c>
      <c r="AV443">
        <f>IF(OR(AV$4="",$A443&gt;TODAY()),0,IF(OR(INDEX($B443:$D443,AV$5)="F",AND(AV$6&gt;0,$A443&lt;AV$6),AND(AV$7&gt;0,$A443&gt;AV$7)),0,MAX(0,ROUND((INDEX($E443:$G443,AV$5)-SUMIFS(TF_Timer,TF_Tekniker,AV$4,TF_Dato,$A443))*2,0)/2)))</f>
        <v/>
      </c>
      <c r="AW443">
        <f>IF(OR(AW$4="",$A443&gt;TODAY()),0,IF(OR(INDEX($B443:$D443,AW$5)="F",AND(AW$6&gt;0,$A443&lt;AW$6),AND(AW$7&gt;0,$A443&gt;AW$7)),0,MAX(0,ROUND((INDEX($E443:$G443,AW$5)-SUMIFS(TF_Timer,TF_Tekniker,AW$4,TF_Dato,$A443))*2,0)/2)))</f>
        <v/>
      </c>
      <c r="AX443">
        <f>IF(OR(AX$4="",$A443&gt;TODAY()),0,IF(OR(INDEX($B443:$D443,AX$5)="F",AND(AX$6&gt;0,$A443&lt;AX$6),AND(AX$7&gt;0,$A443&gt;AX$7)),0,MAX(0,ROUND((INDEX($E443:$G443,AX$5)-SUMIFS(TF_Timer,TF_Tekniker,AX$4,TF_Dato,$A443))*2,0)/2)))</f>
        <v/>
      </c>
      <c r="AY443">
        <f>IF(OR(AY$4="",$A443&gt;TODAY()),0,IF(OR(INDEX($B443:$D443,AY$5)="F",AND(AY$6&gt;0,$A443&lt;AY$6),AND(AY$7&gt;0,$A443&gt;AY$7)),0,MAX(0,ROUND((INDEX($E443:$G443,AY$5)-SUMIFS(TF_Timer,TF_Tekniker,AY$4,TF_Dato,$A443))*2,0)/2)))</f>
        <v/>
      </c>
      <c r="AZ443">
        <f>IF(OR(AZ$4="",$A443&gt;TODAY()),0,IF(OR(INDEX($B443:$D443,AZ$5)="F",AND(AZ$6&gt;0,$A443&lt;AZ$6),AND(AZ$7&gt;0,$A443&gt;AZ$7)),0,MAX(0,ROUND((INDEX($E443:$G443,AZ$5)-SUMIFS(TF_Timer,TF_Tekniker,AZ$4,TF_Dato,$A443))*2,0)/2)))</f>
        <v/>
      </c>
      <c r="BA443">
        <f>IF(OR(BA$4="",$A443&gt;TODAY()),0,IF(OR(INDEX($B443:$D443,BA$5)="F",AND(BA$6&gt;0,$A443&lt;BA$6),AND(BA$7&gt;0,$A443&gt;BA$7)),0,MAX(0,ROUND((INDEX($E443:$G443,BA$5)-SUMIFS(TF_Timer,TF_Tekniker,BA$4,TF_Dato,$A443))*2,0)/2)))</f>
        <v/>
      </c>
      <c r="BB443">
        <f>IF(OR(BB$4="",$A443&gt;TODAY()),0,IF(OR(INDEX($B443:$D443,BB$5)="F",AND(BB$6&gt;0,$A443&lt;BB$6),AND(BB$7&gt;0,$A443&gt;BB$7)),0,MAX(0,ROUND((INDEX($E443:$G443,BB$5)-SUMIFS(TF_Timer,TF_Tekniker,BB$4,TF_Dato,$A443))*2,0)/2)))</f>
        <v/>
      </c>
      <c r="BC443">
        <f>IF(OR(BC$4="",$A443&gt;TODAY()),0,IF(OR(INDEX($B443:$D443,BC$5)="F",AND(BC$6&gt;0,$A443&lt;BC$6),AND(BC$7&gt;0,$A443&gt;BC$7)),0,MAX(0,ROUND((INDEX($E443:$G443,BC$5)-SUMIFS(TF_Timer,TF_Tekniker,BC$4,TF_Dato,$A443))*2,0)/2)))</f>
        <v/>
      </c>
      <c r="BD443">
        <f>IF(OR(BD$4="",$A443&gt;TODAY()),0,IF(OR(INDEX($B443:$D443,BD$5)="F",AND(BD$6&gt;0,$A443&lt;BD$6),AND(BD$7&gt;0,$A443&gt;BD$7)),0,MAX(0,ROUND((INDEX($E443:$G443,BD$5)-SUMIFS(TF_Timer,TF_Tekniker,BD$4,TF_Dato,$A443))*2,0)/2)))</f>
        <v/>
      </c>
      <c r="BE443">
        <f>IF(OR(BE$4="",$A443&gt;TODAY()),0,IF(OR(INDEX($B443:$D443,BE$5)="F",AND(BE$6&gt;0,$A443&lt;BE$6),AND(BE$7&gt;0,$A443&gt;BE$7)),0,MAX(0,ROUND((INDEX($E443:$G443,BE$5)-SUMIFS(TF_Timer,TF_Tekniker,BE$4,TF_Dato,$A443))*2,0)/2)))</f>
        <v/>
      </c>
      <c r="BF443">
        <f>IF(OR(BF$4="",$A443&gt;TODAY()),0,IF(OR(INDEX($B443:$D443,BF$5)="F",AND(BF$6&gt;0,$A443&lt;BF$6),AND(BF$7&gt;0,$A443&gt;BF$7)),0,MAX(0,ROUND((INDEX($E443:$G443,BF$5)-SUMIFS(TF_Timer,TF_Tekniker,BF$4,TF_Dato,$A443))*2,0)/2)))</f>
        <v/>
      </c>
      <c r="BG443">
        <f>IF(OR(BG$4="",$A443&gt;TODAY()),0,IF(OR(INDEX($B443:$D443,BG$5)="F",AND(BG$6&gt;0,$A443&lt;BG$6),AND(BG$7&gt;0,$A443&gt;BG$7)),0,MAX(0,ROUND((INDEX($E443:$G443,BG$5)-SUMIFS(TF_Timer,TF_Tekniker,BG$4,TF_Dato,$A443))*2,0)/2)))</f>
        <v/>
      </c>
      <c r="BH443">
        <f>IF(OR(BH$4="",$A443&gt;TODAY()),0,IF(OR(INDEX($B443:$D443,BH$5)="F",AND(BH$6&gt;0,$A443&lt;BH$6),AND(BH$7&gt;0,$A443&gt;BH$7)),0,MAX(0,ROUND((INDEX($E443:$G443,BH$5)-SUMIFS(TF_Timer,TF_Tekniker,BH$4,TF_Dato,$A443))*2,0)/2)))</f>
        <v/>
      </c>
      <c r="BI443">
        <f>IF(OR(BI$4="",$A443&gt;TODAY()),0,IF(OR(INDEX($B443:$D443,BI$5)="F",AND(BI$6&gt;0,$A443&lt;BI$6),AND(BI$7&gt;0,$A443&gt;BI$7)),0,MAX(0,ROUND((INDEX($E443:$G443,BI$5)-SUMIFS(TF_Timer,TF_Tekniker,BI$4,TF_Dato,$A443))*2,0)/2)))</f>
        <v/>
      </c>
    </row>
    <row r="444">
      <c r="A444" s="64">
        <f>A443+1</f>
        <v/>
      </c>
      <c r="B444">
        <f>IF(MOD($A444-INDEX(SkiftStart,1),Syklus)&lt;DagK,"K",IF(MOD($A444-INDEX(SkiftStart,1),Syklus)&lt;DagK+DagH,"H",IF(MOD($A444-INDEX(SkiftStart,1),Syklus)&lt;DagK+DagH+DagD,"D","F")))</f>
        <v/>
      </c>
      <c r="C444">
        <f>IF(MOD($A444-INDEX(SkiftStart,2),Syklus)&lt;DagK,"K",IF(MOD($A444-INDEX(SkiftStart,2),Syklus)&lt;DagK+DagH,"H",IF(MOD($A444-INDEX(SkiftStart,2),Syklus)&lt;DagK+DagH+DagD,"D","F")))</f>
        <v/>
      </c>
      <c r="D444">
        <f>IF(MOD($A444-INDEX(SkiftStart,3),Syklus)&lt;DagK,"K",IF(MOD($A444-INDEX(SkiftStart,3),Syklus)&lt;DagK+DagH,"H",IF(MOD($A444-INDEX(SkiftStart,3),Syklus)&lt;DagK+DagH+DagD,"D","F")))</f>
        <v/>
      </c>
      <c r="E444">
        <f>IF(B444="F",0,IF(WEEKDAY($A444,2)=5,INDEX(TimerFr,MATCH(B444,FaseKode,0)),INDEX(TimerMT,MATCH(B444,FaseKode,0))))</f>
        <v/>
      </c>
      <c r="F444">
        <f>IF(C444="F",0,IF(WEEKDAY($A444,2)=5,INDEX(TimerFr,MATCH(C444,FaseKode,0)),INDEX(TimerMT,MATCH(C444,FaseKode,0))))</f>
        <v/>
      </c>
      <c r="G444">
        <f>IF(D444="F",0,IF(WEEKDAY($A444,2)=5,INDEX(TimerFr,MATCH(D444,FaseKode,0)),INDEX(TimerMT,MATCH(D444,FaseKode,0))))</f>
        <v/>
      </c>
      <c r="H444">
        <f>IF(OR(H$4="",$A444&gt;TODAY()),0,IF(OR(INDEX($B444:$D444,H$5)="F",AND(H$6&gt;0,$A444&lt;H$6),AND(H$7&gt;0,$A444&gt;H$7)),0,MAX(0,ROUND((INDEX($E444:$G444,H$5)-SUMIFS(TF_Timer,TF_Tekniker,H$4,TF_Dato,$A444))*2,0)/2)))</f>
        <v/>
      </c>
      <c r="I444">
        <f>IF(OR(I$4="",$A444&gt;TODAY()),0,IF(OR(INDEX($B444:$D444,I$5)="F",AND(I$6&gt;0,$A444&lt;I$6),AND(I$7&gt;0,$A444&gt;I$7)),0,MAX(0,ROUND((INDEX($E444:$G444,I$5)-SUMIFS(TF_Timer,TF_Tekniker,I$4,TF_Dato,$A444))*2,0)/2)))</f>
        <v/>
      </c>
      <c r="J444">
        <f>IF(OR(J$4="",$A444&gt;TODAY()),0,IF(OR(INDEX($B444:$D444,J$5)="F",AND(J$6&gt;0,$A444&lt;J$6),AND(J$7&gt;0,$A444&gt;J$7)),0,MAX(0,ROUND((INDEX($E444:$G444,J$5)-SUMIFS(TF_Timer,TF_Tekniker,J$4,TF_Dato,$A444))*2,0)/2)))</f>
        <v/>
      </c>
      <c r="K444">
        <f>IF(OR(K$4="",$A444&gt;TODAY()),0,IF(OR(INDEX($B444:$D444,K$5)="F",AND(K$6&gt;0,$A444&lt;K$6),AND(K$7&gt;0,$A444&gt;K$7)),0,MAX(0,ROUND((INDEX($E444:$G444,K$5)-SUMIFS(TF_Timer,TF_Tekniker,K$4,TF_Dato,$A444))*2,0)/2)))</f>
        <v/>
      </c>
      <c r="L444">
        <f>IF(OR(L$4="",$A444&gt;TODAY()),0,IF(OR(INDEX($B444:$D444,L$5)="F",AND(L$6&gt;0,$A444&lt;L$6),AND(L$7&gt;0,$A444&gt;L$7)),0,MAX(0,ROUND((INDEX($E444:$G444,L$5)-SUMIFS(TF_Timer,TF_Tekniker,L$4,TF_Dato,$A444))*2,0)/2)))</f>
        <v/>
      </c>
      <c r="M444">
        <f>IF(OR(M$4="",$A444&gt;TODAY()),0,IF(OR(INDEX($B444:$D444,M$5)="F",AND(M$6&gt;0,$A444&lt;M$6),AND(M$7&gt;0,$A444&gt;M$7)),0,MAX(0,ROUND((INDEX($E444:$G444,M$5)-SUMIFS(TF_Timer,TF_Tekniker,M$4,TF_Dato,$A444))*2,0)/2)))</f>
        <v/>
      </c>
      <c r="N444">
        <f>IF(OR(N$4="",$A444&gt;TODAY()),0,IF(OR(INDEX($B444:$D444,N$5)="F",AND(N$6&gt;0,$A444&lt;N$6),AND(N$7&gt;0,$A444&gt;N$7)),0,MAX(0,ROUND((INDEX($E444:$G444,N$5)-SUMIFS(TF_Timer,TF_Tekniker,N$4,TF_Dato,$A444))*2,0)/2)))</f>
        <v/>
      </c>
      <c r="O444">
        <f>IF(OR(O$4="",$A444&gt;TODAY()),0,IF(OR(INDEX($B444:$D444,O$5)="F",AND(O$6&gt;0,$A444&lt;O$6),AND(O$7&gt;0,$A444&gt;O$7)),0,MAX(0,ROUND((INDEX($E444:$G444,O$5)-SUMIFS(TF_Timer,TF_Tekniker,O$4,TF_Dato,$A444))*2,0)/2)))</f>
        <v/>
      </c>
      <c r="P444">
        <f>IF(OR(P$4="",$A444&gt;TODAY()),0,IF(OR(INDEX($B444:$D444,P$5)="F",AND(P$6&gt;0,$A444&lt;P$6),AND(P$7&gt;0,$A444&gt;P$7)),0,MAX(0,ROUND((INDEX($E444:$G444,P$5)-SUMIFS(TF_Timer,TF_Tekniker,P$4,TF_Dato,$A444))*2,0)/2)))</f>
        <v/>
      </c>
      <c r="Q444">
        <f>IF(OR(Q$4="",$A444&gt;TODAY()),0,IF(OR(INDEX($B444:$D444,Q$5)="F",AND(Q$6&gt;0,$A444&lt;Q$6),AND(Q$7&gt;0,$A444&gt;Q$7)),0,MAX(0,ROUND((INDEX($E444:$G444,Q$5)-SUMIFS(TF_Timer,TF_Tekniker,Q$4,TF_Dato,$A444))*2,0)/2)))</f>
        <v/>
      </c>
      <c r="R444">
        <f>IF(OR(R$4="",$A444&gt;TODAY()),0,IF(OR(INDEX($B444:$D444,R$5)="F",AND(R$6&gt;0,$A444&lt;R$6),AND(R$7&gt;0,$A444&gt;R$7)),0,MAX(0,ROUND((INDEX($E444:$G444,R$5)-SUMIFS(TF_Timer,TF_Tekniker,R$4,TF_Dato,$A444))*2,0)/2)))</f>
        <v/>
      </c>
      <c r="S444">
        <f>IF(OR(S$4="",$A444&gt;TODAY()),0,IF(OR(INDEX($B444:$D444,S$5)="F",AND(S$6&gt;0,$A444&lt;S$6),AND(S$7&gt;0,$A444&gt;S$7)),0,MAX(0,ROUND((INDEX($E444:$G444,S$5)-SUMIFS(TF_Timer,TF_Tekniker,S$4,TF_Dato,$A444))*2,0)/2)))</f>
        <v/>
      </c>
      <c r="T444">
        <f>IF(OR(T$4="",$A444&gt;TODAY()),0,IF(OR(INDEX($B444:$D444,T$5)="F",AND(T$6&gt;0,$A444&lt;T$6),AND(T$7&gt;0,$A444&gt;T$7)),0,MAX(0,ROUND((INDEX($E444:$G444,T$5)-SUMIFS(TF_Timer,TF_Tekniker,T$4,TF_Dato,$A444))*2,0)/2)))</f>
        <v/>
      </c>
      <c r="U444">
        <f>IF(OR(U$4="",$A444&gt;TODAY()),0,IF(OR(INDEX($B444:$D444,U$5)="F",AND(U$6&gt;0,$A444&lt;U$6),AND(U$7&gt;0,$A444&gt;U$7)),0,MAX(0,ROUND((INDEX($E444:$G444,U$5)-SUMIFS(TF_Timer,TF_Tekniker,U$4,TF_Dato,$A444))*2,0)/2)))</f>
        <v/>
      </c>
      <c r="V444">
        <f>IF(OR(V$4="",$A444&gt;TODAY()),0,IF(OR(INDEX($B444:$D444,V$5)="F",AND(V$6&gt;0,$A444&lt;V$6),AND(V$7&gt;0,$A444&gt;V$7)),0,MAX(0,ROUND((INDEX($E444:$G444,V$5)-SUMIFS(TF_Timer,TF_Tekniker,V$4,TF_Dato,$A444))*2,0)/2)))</f>
        <v/>
      </c>
      <c r="W444">
        <f>IF(OR(W$4="",$A444&gt;TODAY()),0,IF(OR(INDEX($B444:$D444,W$5)="F",AND(W$6&gt;0,$A444&lt;W$6),AND(W$7&gt;0,$A444&gt;W$7)),0,MAX(0,ROUND((INDEX($E444:$G444,W$5)-SUMIFS(TF_Timer,TF_Tekniker,W$4,TF_Dato,$A444))*2,0)/2)))</f>
        <v/>
      </c>
      <c r="X444">
        <f>IF(OR(X$4="",$A444&gt;TODAY()),0,IF(OR(INDEX($B444:$D444,X$5)="F",AND(X$6&gt;0,$A444&lt;X$6),AND(X$7&gt;0,$A444&gt;X$7)),0,MAX(0,ROUND((INDEX($E444:$G444,X$5)-SUMIFS(TF_Timer,TF_Tekniker,X$4,TF_Dato,$A444))*2,0)/2)))</f>
        <v/>
      </c>
      <c r="Y444">
        <f>IF(OR(Y$4="",$A444&gt;TODAY()),0,IF(OR(INDEX($B444:$D444,Y$5)="F",AND(Y$6&gt;0,$A444&lt;Y$6),AND(Y$7&gt;0,$A444&gt;Y$7)),0,MAX(0,ROUND((INDEX($E444:$G444,Y$5)-SUMIFS(TF_Timer,TF_Tekniker,Y$4,TF_Dato,$A444))*2,0)/2)))</f>
        <v/>
      </c>
      <c r="Z444">
        <f>IF(OR(Z$4="",$A444&gt;TODAY()),0,IF(OR(INDEX($B444:$D444,Z$5)="F",AND(Z$6&gt;0,$A444&lt;Z$6),AND(Z$7&gt;0,$A444&gt;Z$7)),0,MAX(0,ROUND((INDEX($E444:$G444,Z$5)-SUMIFS(TF_Timer,TF_Tekniker,Z$4,TF_Dato,$A444))*2,0)/2)))</f>
        <v/>
      </c>
      <c r="AA444">
        <f>IF(OR(AA$4="",$A444&gt;TODAY()),0,IF(OR(INDEX($B444:$D444,AA$5)="F",AND(AA$6&gt;0,$A444&lt;AA$6),AND(AA$7&gt;0,$A444&gt;AA$7)),0,MAX(0,ROUND((INDEX($E444:$G444,AA$5)-SUMIFS(TF_Timer,TF_Tekniker,AA$4,TF_Dato,$A444))*2,0)/2)))</f>
        <v/>
      </c>
      <c r="AB444">
        <f>IF(OR(AB$4="",$A444&gt;TODAY()),0,IF(OR(INDEX($B444:$D444,AB$5)="F",AND(AB$6&gt;0,$A444&lt;AB$6),AND(AB$7&gt;0,$A444&gt;AB$7)),0,MAX(0,ROUND((INDEX($E444:$G444,AB$5)-SUMIFS(TF_Timer,TF_Tekniker,AB$4,TF_Dato,$A444))*2,0)/2)))</f>
        <v/>
      </c>
      <c r="AC444">
        <f>IF(OR(AC$4="",$A444&gt;TODAY()),0,IF(OR(INDEX($B444:$D444,AC$5)="F",AND(AC$6&gt;0,$A444&lt;AC$6),AND(AC$7&gt;0,$A444&gt;AC$7)),0,MAX(0,ROUND((INDEX($E444:$G444,AC$5)-SUMIFS(TF_Timer,TF_Tekniker,AC$4,TF_Dato,$A444))*2,0)/2)))</f>
        <v/>
      </c>
      <c r="AD444">
        <f>IF(OR(AD$4="",$A444&gt;TODAY()),0,IF(OR(INDEX($B444:$D444,AD$5)="F",AND(AD$6&gt;0,$A444&lt;AD$6),AND(AD$7&gt;0,$A444&gt;AD$7)),0,MAX(0,ROUND((INDEX($E444:$G444,AD$5)-SUMIFS(TF_Timer,TF_Tekniker,AD$4,TF_Dato,$A444))*2,0)/2)))</f>
        <v/>
      </c>
      <c r="AE444">
        <f>IF(OR(AE$4="",$A444&gt;TODAY()),0,IF(OR(INDEX($B444:$D444,AE$5)="F",AND(AE$6&gt;0,$A444&lt;AE$6),AND(AE$7&gt;0,$A444&gt;AE$7)),0,MAX(0,ROUND((INDEX($E444:$G444,AE$5)-SUMIFS(TF_Timer,TF_Tekniker,AE$4,TF_Dato,$A444))*2,0)/2)))</f>
        <v/>
      </c>
      <c r="AF444">
        <f>IF(OR(AF$4="",$A444&gt;TODAY()),0,IF(OR(INDEX($B444:$D444,AF$5)="F",AND(AF$6&gt;0,$A444&lt;AF$6),AND(AF$7&gt;0,$A444&gt;AF$7)),0,MAX(0,ROUND((INDEX($E444:$G444,AF$5)-SUMIFS(TF_Timer,TF_Tekniker,AF$4,TF_Dato,$A444))*2,0)/2)))</f>
        <v/>
      </c>
      <c r="AG444">
        <f>IF(OR(AG$4="",$A444&gt;TODAY()),0,IF(OR(INDEX($B444:$D444,AG$5)="F",AND(AG$6&gt;0,$A444&lt;AG$6),AND(AG$7&gt;0,$A444&gt;AG$7)),0,MAX(0,ROUND((INDEX($E444:$G444,AG$5)-SUMIFS(TF_Timer,TF_Tekniker,AG$4,TF_Dato,$A444))*2,0)/2)))</f>
        <v/>
      </c>
      <c r="AH444">
        <f>IF(OR(AH$4="",$A444&gt;TODAY()),0,IF(OR(INDEX($B444:$D444,AH$5)="F",AND(AH$6&gt;0,$A444&lt;AH$6),AND(AH$7&gt;0,$A444&gt;AH$7)),0,MAX(0,ROUND((INDEX($E444:$G444,AH$5)-SUMIFS(TF_Timer,TF_Tekniker,AH$4,TF_Dato,$A444))*2,0)/2)))</f>
        <v/>
      </c>
      <c r="AI444">
        <f>IF(OR(AI$4="",$A444&gt;TODAY()),0,IF(OR(INDEX($B444:$D444,AI$5)="F",AND(AI$6&gt;0,$A444&lt;AI$6),AND(AI$7&gt;0,$A444&gt;AI$7)),0,MAX(0,ROUND((INDEX($E444:$G444,AI$5)-SUMIFS(TF_Timer,TF_Tekniker,AI$4,TF_Dato,$A444))*2,0)/2)))</f>
        <v/>
      </c>
      <c r="AJ444">
        <f>IF(OR(AJ$4="",$A444&gt;TODAY()),0,IF(OR(INDEX($B444:$D444,AJ$5)="F",AND(AJ$6&gt;0,$A444&lt;AJ$6),AND(AJ$7&gt;0,$A444&gt;AJ$7)),0,MAX(0,ROUND((INDEX($E444:$G444,AJ$5)-SUMIFS(TF_Timer,TF_Tekniker,AJ$4,TF_Dato,$A444))*2,0)/2)))</f>
        <v/>
      </c>
      <c r="AK444">
        <f>IF(OR(AK$4="",$A444&gt;TODAY()),0,IF(OR(INDEX($B444:$D444,AK$5)="F",AND(AK$6&gt;0,$A444&lt;AK$6),AND(AK$7&gt;0,$A444&gt;AK$7)),0,MAX(0,ROUND((INDEX($E444:$G444,AK$5)-SUMIFS(TF_Timer,TF_Tekniker,AK$4,TF_Dato,$A444))*2,0)/2)))</f>
        <v/>
      </c>
      <c r="AL444">
        <f>IF(OR(AL$4="",$A444&gt;TODAY()),0,IF(OR(INDEX($B444:$D444,AL$5)="F",AND(AL$6&gt;0,$A444&lt;AL$6),AND(AL$7&gt;0,$A444&gt;AL$7)),0,MAX(0,ROUND((INDEX($E444:$G444,AL$5)-SUMIFS(TF_Timer,TF_Tekniker,AL$4,TF_Dato,$A444))*2,0)/2)))</f>
        <v/>
      </c>
      <c r="AM444">
        <f>IF(OR(AM$4="",$A444&gt;TODAY()),0,IF(OR(INDEX($B444:$D444,AM$5)="F",AND(AM$6&gt;0,$A444&lt;AM$6),AND(AM$7&gt;0,$A444&gt;AM$7)),0,MAX(0,ROUND((INDEX($E444:$G444,AM$5)-SUMIFS(TF_Timer,TF_Tekniker,AM$4,TF_Dato,$A444))*2,0)/2)))</f>
        <v/>
      </c>
      <c r="AN444">
        <f>IF(OR(AN$4="",$A444&gt;TODAY()),0,IF(OR(INDEX($B444:$D444,AN$5)="F",AND(AN$6&gt;0,$A444&lt;AN$6),AND(AN$7&gt;0,$A444&gt;AN$7)),0,MAX(0,ROUND((INDEX($E444:$G444,AN$5)-SUMIFS(TF_Timer,TF_Tekniker,AN$4,TF_Dato,$A444))*2,0)/2)))</f>
        <v/>
      </c>
      <c r="AO444">
        <f>IF(OR(AO$4="",$A444&gt;TODAY()),0,IF(OR(INDEX($B444:$D444,AO$5)="F",AND(AO$6&gt;0,$A444&lt;AO$6),AND(AO$7&gt;0,$A444&gt;AO$7)),0,MAX(0,ROUND((INDEX($E444:$G444,AO$5)-SUMIFS(TF_Timer,TF_Tekniker,AO$4,TF_Dato,$A444))*2,0)/2)))</f>
        <v/>
      </c>
      <c r="AP444">
        <f>IF(OR(AP$4="",$A444&gt;TODAY()),0,IF(OR(INDEX($B444:$D444,AP$5)="F",AND(AP$6&gt;0,$A444&lt;AP$6),AND(AP$7&gt;0,$A444&gt;AP$7)),0,MAX(0,ROUND((INDEX($E444:$G444,AP$5)-SUMIFS(TF_Timer,TF_Tekniker,AP$4,TF_Dato,$A444))*2,0)/2)))</f>
        <v/>
      </c>
      <c r="AQ444">
        <f>IF(OR(AQ$4="",$A444&gt;TODAY()),0,IF(OR(INDEX($B444:$D444,AQ$5)="F",AND(AQ$6&gt;0,$A444&lt;AQ$6),AND(AQ$7&gt;0,$A444&gt;AQ$7)),0,MAX(0,ROUND((INDEX($E444:$G444,AQ$5)-SUMIFS(TF_Timer,TF_Tekniker,AQ$4,TF_Dato,$A444))*2,0)/2)))</f>
        <v/>
      </c>
      <c r="AR444">
        <f>IF(OR(AR$4="",$A444&gt;TODAY()),0,IF(OR(INDEX($B444:$D444,AR$5)="F",AND(AR$6&gt;0,$A444&lt;AR$6),AND(AR$7&gt;0,$A444&gt;AR$7)),0,MAX(0,ROUND((INDEX($E444:$G444,AR$5)-SUMIFS(TF_Timer,TF_Tekniker,AR$4,TF_Dato,$A444))*2,0)/2)))</f>
        <v/>
      </c>
      <c r="AS444">
        <f>IF(OR(AS$4="",$A444&gt;TODAY()),0,IF(OR(INDEX($B444:$D444,AS$5)="F",AND(AS$6&gt;0,$A444&lt;AS$6),AND(AS$7&gt;0,$A444&gt;AS$7)),0,MAX(0,ROUND((INDEX($E444:$G444,AS$5)-SUMIFS(TF_Timer,TF_Tekniker,AS$4,TF_Dato,$A444))*2,0)/2)))</f>
        <v/>
      </c>
      <c r="AT444">
        <f>IF(OR(AT$4="",$A444&gt;TODAY()),0,IF(OR(INDEX($B444:$D444,AT$5)="F",AND(AT$6&gt;0,$A444&lt;AT$6),AND(AT$7&gt;0,$A444&gt;AT$7)),0,MAX(0,ROUND((INDEX($E444:$G444,AT$5)-SUMIFS(TF_Timer,TF_Tekniker,AT$4,TF_Dato,$A444))*2,0)/2)))</f>
        <v/>
      </c>
      <c r="AU444">
        <f>IF(OR(AU$4="",$A444&gt;TODAY()),0,IF(OR(INDEX($B444:$D444,AU$5)="F",AND(AU$6&gt;0,$A444&lt;AU$6),AND(AU$7&gt;0,$A444&gt;AU$7)),0,MAX(0,ROUND((INDEX($E444:$G444,AU$5)-SUMIFS(TF_Timer,TF_Tekniker,AU$4,TF_Dato,$A444))*2,0)/2)))</f>
        <v/>
      </c>
      <c r="AV444">
        <f>IF(OR(AV$4="",$A444&gt;TODAY()),0,IF(OR(INDEX($B444:$D444,AV$5)="F",AND(AV$6&gt;0,$A444&lt;AV$6),AND(AV$7&gt;0,$A444&gt;AV$7)),0,MAX(0,ROUND((INDEX($E444:$G444,AV$5)-SUMIFS(TF_Timer,TF_Tekniker,AV$4,TF_Dato,$A444))*2,0)/2)))</f>
        <v/>
      </c>
      <c r="AW444">
        <f>IF(OR(AW$4="",$A444&gt;TODAY()),0,IF(OR(INDEX($B444:$D444,AW$5)="F",AND(AW$6&gt;0,$A444&lt;AW$6),AND(AW$7&gt;0,$A444&gt;AW$7)),0,MAX(0,ROUND((INDEX($E444:$G444,AW$5)-SUMIFS(TF_Timer,TF_Tekniker,AW$4,TF_Dato,$A444))*2,0)/2)))</f>
        <v/>
      </c>
      <c r="AX444">
        <f>IF(OR(AX$4="",$A444&gt;TODAY()),0,IF(OR(INDEX($B444:$D444,AX$5)="F",AND(AX$6&gt;0,$A444&lt;AX$6),AND(AX$7&gt;0,$A444&gt;AX$7)),0,MAX(0,ROUND((INDEX($E444:$G444,AX$5)-SUMIFS(TF_Timer,TF_Tekniker,AX$4,TF_Dato,$A444))*2,0)/2)))</f>
        <v/>
      </c>
      <c r="AY444">
        <f>IF(OR(AY$4="",$A444&gt;TODAY()),0,IF(OR(INDEX($B444:$D444,AY$5)="F",AND(AY$6&gt;0,$A444&lt;AY$6),AND(AY$7&gt;0,$A444&gt;AY$7)),0,MAX(0,ROUND((INDEX($E444:$G444,AY$5)-SUMIFS(TF_Timer,TF_Tekniker,AY$4,TF_Dato,$A444))*2,0)/2)))</f>
        <v/>
      </c>
      <c r="AZ444">
        <f>IF(OR(AZ$4="",$A444&gt;TODAY()),0,IF(OR(INDEX($B444:$D444,AZ$5)="F",AND(AZ$6&gt;0,$A444&lt;AZ$6),AND(AZ$7&gt;0,$A444&gt;AZ$7)),0,MAX(0,ROUND((INDEX($E444:$G444,AZ$5)-SUMIFS(TF_Timer,TF_Tekniker,AZ$4,TF_Dato,$A444))*2,0)/2)))</f>
        <v/>
      </c>
      <c r="BA444">
        <f>IF(OR(BA$4="",$A444&gt;TODAY()),0,IF(OR(INDEX($B444:$D444,BA$5)="F",AND(BA$6&gt;0,$A444&lt;BA$6),AND(BA$7&gt;0,$A444&gt;BA$7)),0,MAX(0,ROUND((INDEX($E444:$G444,BA$5)-SUMIFS(TF_Timer,TF_Tekniker,BA$4,TF_Dato,$A444))*2,0)/2)))</f>
        <v/>
      </c>
      <c r="BB444">
        <f>IF(OR(BB$4="",$A444&gt;TODAY()),0,IF(OR(INDEX($B444:$D444,BB$5)="F",AND(BB$6&gt;0,$A444&lt;BB$6),AND(BB$7&gt;0,$A444&gt;BB$7)),0,MAX(0,ROUND((INDEX($E444:$G444,BB$5)-SUMIFS(TF_Timer,TF_Tekniker,BB$4,TF_Dato,$A444))*2,0)/2)))</f>
        <v/>
      </c>
      <c r="BC444">
        <f>IF(OR(BC$4="",$A444&gt;TODAY()),0,IF(OR(INDEX($B444:$D444,BC$5)="F",AND(BC$6&gt;0,$A444&lt;BC$6),AND(BC$7&gt;0,$A444&gt;BC$7)),0,MAX(0,ROUND((INDEX($E444:$G444,BC$5)-SUMIFS(TF_Timer,TF_Tekniker,BC$4,TF_Dato,$A444))*2,0)/2)))</f>
        <v/>
      </c>
      <c r="BD444">
        <f>IF(OR(BD$4="",$A444&gt;TODAY()),0,IF(OR(INDEX($B444:$D444,BD$5)="F",AND(BD$6&gt;0,$A444&lt;BD$6),AND(BD$7&gt;0,$A444&gt;BD$7)),0,MAX(0,ROUND((INDEX($E444:$G444,BD$5)-SUMIFS(TF_Timer,TF_Tekniker,BD$4,TF_Dato,$A444))*2,0)/2)))</f>
        <v/>
      </c>
      <c r="BE444">
        <f>IF(OR(BE$4="",$A444&gt;TODAY()),0,IF(OR(INDEX($B444:$D444,BE$5)="F",AND(BE$6&gt;0,$A444&lt;BE$6),AND(BE$7&gt;0,$A444&gt;BE$7)),0,MAX(0,ROUND((INDEX($E444:$G444,BE$5)-SUMIFS(TF_Timer,TF_Tekniker,BE$4,TF_Dato,$A444))*2,0)/2)))</f>
        <v/>
      </c>
      <c r="BF444">
        <f>IF(OR(BF$4="",$A444&gt;TODAY()),0,IF(OR(INDEX($B444:$D444,BF$5)="F",AND(BF$6&gt;0,$A444&lt;BF$6),AND(BF$7&gt;0,$A444&gt;BF$7)),0,MAX(0,ROUND((INDEX($E444:$G444,BF$5)-SUMIFS(TF_Timer,TF_Tekniker,BF$4,TF_Dato,$A444))*2,0)/2)))</f>
        <v/>
      </c>
      <c r="BG444">
        <f>IF(OR(BG$4="",$A444&gt;TODAY()),0,IF(OR(INDEX($B444:$D444,BG$5)="F",AND(BG$6&gt;0,$A444&lt;BG$6),AND(BG$7&gt;0,$A444&gt;BG$7)),0,MAX(0,ROUND((INDEX($E444:$G444,BG$5)-SUMIFS(TF_Timer,TF_Tekniker,BG$4,TF_Dato,$A444))*2,0)/2)))</f>
        <v/>
      </c>
      <c r="BH444">
        <f>IF(OR(BH$4="",$A444&gt;TODAY()),0,IF(OR(INDEX($B444:$D444,BH$5)="F",AND(BH$6&gt;0,$A444&lt;BH$6),AND(BH$7&gt;0,$A444&gt;BH$7)),0,MAX(0,ROUND((INDEX($E444:$G444,BH$5)-SUMIFS(TF_Timer,TF_Tekniker,BH$4,TF_Dato,$A444))*2,0)/2)))</f>
        <v/>
      </c>
      <c r="BI444">
        <f>IF(OR(BI$4="",$A444&gt;TODAY()),0,IF(OR(INDEX($B444:$D444,BI$5)="F",AND(BI$6&gt;0,$A444&lt;BI$6),AND(BI$7&gt;0,$A444&gt;BI$7)),0,MAX(0,ROUND((INDEX($E444:$G444,BI$5)-SUMIFS(TF_Timer,TF_Tekniker,BI$4,TF_Dato,$A444))*2,0)/2)))</f>
        <v/>
      </c>
    </row>
    <row r="445">
      <c r="A445" s="64">
        <f>A444+1</f>
        <v/>
      </c>
      <c r="B445">
        <f>IF(MOD($A445-INDEX(SkiftStart,1),Syklus)&lt;DagK,"K",IF(MOD($A445-INDEX(SkiftStart,1),Syklus)&lt;DagK+DagH,"H",IF(MOD($A445-INDEX(SkiftStart,1),Syklus)&lt;DagK+DagH+DagD,"D","F")))</f>
        <v/>
      </c>
      <c r="C445">
        <f>IF(MOD($A445-INDEX(SkiftStart,2),Syklus)&lt;DagK,"K",IF(MOD($A445-INDEX(SkiftStart,2),Syklus)&lt;DagK+DagH,"H",IF(MOD($A445-INDEX(SkiftStart,2),Syklus)&lt;DagK+DagH+DagD,"D","F")))</f>
        <v/>
      </c>
      <c r="D445">
        <f>IF(MOD($A445-INDEX(SkiftStart,3),Syklus)&lt;DagK,"K",IF(MOD($A445-INDEX(SkiftStart,3),Syklus)&lt;DagK+DagH,"H",IF(MOD($A445-INDEX(SkiftStart,3),Syklus)&lt;DagK+DagH+DagD,"D","F")))</f>
        <v/>
      </c>
      <c r="E445">
        <f>IF(B445="F",0,IF(WEEKDAY($A445,2)=5,INDEX(TimerFr,MATCH(B445,FaseKode,0)),INDEX(TimerMT,MATCH(B445,FaseKode,0))))</f>
        <v/>
      </c>
      <c r="F445">
        <f>IF(C445="F",0,IF(WEEKDAY($A445,2)=5,INDEX(TimerFr,MATCH(C445,FaseKode,0)),INDEX(TimerMT,MATCH(C445,FaseKode,0))))</f>
        <v/>
      </c>
      <c r="G445">
        <f>IF(D445="F",0,IF(WEEKDAY($A445,2)=5,INDEX(TimerFr,MATCH(D445,FaseKode,0)),INDEX(TimerMT,MATCH(D445,FaseKode,0))))</f>
        <v/>
      </c>
      <c r="H445">
        <f>IF(OR(H$4="",$A445&gt;TODAY()),0,IF(OR(INDEX($B445:$D445,H$5)="F",AND(H$6&gt;0,$A445&lt;H$6),AND(H$7&gt;0,$A445&gt;H$7)),0,MAX(0,ROUND((INDEX($E445:$G445,H$5)-SUMIFS(TF_Timer,TF_Tekniker,H$4,TF_Dato,$A445))*2,0)/2)))</f>
        <v/>
      </c>
      <c r="I445">
        <f>IF(OR(I$4="",$A445&gt;TODAY()),0,IF(OR(INDEX($B445:$D445,I$5)="F",AND(I$6&gt;0,$A445&lt;I$6),AND(I$7&gt;0,$A445&gt;I$7)),0,MAX(0,ROUND((INDEX($E445:$G445,I$5)-SUMIFS(TF_Timer,TF_Tekniker,I$4,TF_Dato,$A445))*2,0)/2)))</f>
        <v/>
      </c>
      <c r="J445">
        <f>IF(OR(J$4="",$A445&gt;TODAY()),0,IF(OR(INDEX($B445:$D445,J$5)="F",AND(J$6&gt;0,$A445&lt;J$6),AND(J$7&gt;0,$A445&gt;J$7)),0,MAX(0,ROUND((INDEX($E445:$G445,J$5)-SUMIFS(TF_Timer,TF_Tekniker,J$4,TF_Dato,$A445))*2,0)/2)))</f>
        <v/>
      </c>
      <c r="K445">
        <f>IF(OR(K$4="",$A445&gt;TODAY()),0,IF(OR(INDEX($B445:$D445,K$5)="F",AND(K$6&gt;0,$A445&lt;K$6),AND(K$7&gt;0,$A445&gt;K$7)),0,MAX(0,ROUND((INDEX($E445:$G445,K$5)-SUMIFS(TF_Timer,TF_Tekniker,K$4,TF_Dato,$A445))*2,0)/2)))</f>
        <v/>
      </c>
      <c r="L445">
        <f>IF(OR(L$4="",$A445&gt;TODAY()),0,IF(OR(INDEX($B445:$D445,L$5)="F",AND(L$6&gt;0,$A445&lt;L$6),AND(L$7&gt;0,$A445&gt;L$7)),0,MAX(0,ROUND((INDEX($E445:$G445,L$5)-SUMIFS(TF_Timer,TF_Tekniker,L$4,TF_Dato,$A445))*2,0)/2)))</f>
        <v/>
      </c>
      <c r="M445">
        <f>IF(OR(M$4="",$A445&gt;TODAY()),0,IF(OR(INDEX($B445:$D445,M$5)="F",AND(M$6&gt;0,$A445&lt;M$6),AND(M$7&gt;0,$A445&gt;M$7)),0,MAX(0,ROUND((INDEX($E445:$G445,M$5)-SUMIFS(TF_Timer,TF_Tekniker,M$4,TF_Dato,$A445))*2,0)/2)))</f>
        <v/>
      </c>
      <c r="N445">
        <f>IF(OR(N$4="",$A445&gt;TODAY()),0,IF(OR(INDEX($B445:$D445,N$5)="F",AND(N$6&gt;0,$A445&lt;N$6),AND(N$7&gt;0,$A445&gt;N$7)),0,MAX(0,ROUND((INDEX($E445:$G445,N$5)-SUMIFS(TF_Timer,TF_Tekniker,N$4,TF_Dato,$A445))*2,0)/2)))</f>
        <v/>
      </c>
      <c r="O445">
        <f>IF(OR(O$4="",$A445&gt;TODAY()),0,IF(OR(INDEX($B445:$D445,O$5)="F",AND(O$6&gt;0,$A445&lt;O$6),AND(O$7&gt;0,$A445&gt;O$7)),0,MAX(0,ROUND((INDEX($E445:$G445,O$5)-SUMIFS(TF_Timer,TF_Tekniker,O$4,TF_Dato,$A445))*2,0)/2)))</f>
        <v/>
      </c>
      <c r="P445">
        <f>IF(OR(P$4="",$A445&gt;TODAY()),0,IF(OR(INDEX($B445:$D445,P$5)="F",AND(P$6&gt;0,$A445&lt;P$6),AND(P$7&gt;0,$A445&gt;P$7)),0,MAX(0,ROUND((INDEX($E445:$G445,P$5)-SUMIFS(TF_Timer,TF_Tekniker,P$4,TF_Dato,$A445))*2,0)/2)))</f>
        <v/>
      </c>
      <c r="Q445">
        <f>IF(OR(Q$4="",$A445&gt;TODAY()),0,IF(OR(INDEX($B445:$D445,Q$5)="F",AND(Q$6&gt;0,$A445&lt;Q$6),AND(Q$7&gt;0,$A445&gt;Q$7)),0,MAX(0,ROUND((INDEX($E445:$G445,Q$5)-SUMIFS(TF_Timer,TF_Tekniker,Q$4,TF_Dato,$A445))*2,0)/2)))</f>
        <v/>
      </c>
      <c r="R445">
        <f>IF(OR(R$4="",$A445&gt;TODAY()),0,IF(OR(INDEX($B445:$D445,R$5)="F",AND(R$6&gt;0,$A445&lt;R$6),AND(R$7&gt;0,$A445&gt;R$7)),0,MAX(0,ROUND((INDEX($E445:$G445,R$5)-SUMIFS(TF_Timer,TF_Tekniker,R$4,TF_Dato,$A445))*2,0)/2)))</f>
        <v/>
      </c>
      <c r="S445">
        <f>IF(OR(S$4="",$A445&gt;TODAY()),0,IF(OR(INDEX($B445:$D445,S$5)="F",AND(S$6&gt;0,$A445&lt;S$6),AND(S$7&gt;0,$A445&gt;S$7)),0,MAX(0,ROUND((INDEX($E445:$G445,S$5)-SUMIFS(TF_Timer,TF_Tekniker,S$4,TF_Dato,$A445))*2,0)/2)))</f>
        <v/>
      </c>
      <c r="T445">
        <f>IF(OR(T$4="",$A445&gt;TODAY()),0,IF(OR(INDEX($B445:$D445,T$5)="F",AND(T$6&gt;0,$A445&lt;T$6),AND(T$7&gt;0,$A445&gt;T$7)),0,MAX(0,ROUND((INDEX($E445:$G445,T$5)-SUMIFS(TF_Timer,TF_Tekniker,T$4,TF_Dato,$A445))*2,0)/2)))</f>
        <v/>
      </c>
      <c r="U445">
        <f>IF(OR(U$4="",$A445&gt;TODAY()),0,IF(OR(INDEX($B445:$D445,U$5)="F",AND(U$6&gt;0,$A445&lt;U$6),AND(U$7&gt;0,$A445&gt;U$7)),0,MAX(0,ROUND((INDEX($E445:$G445,U$5)-SUMIFS(TF_Timer,TF_Tekniker,U$4,TF_Dato,$A445))*2,0)/2)))</f>
        <v/>
      </c>
      <c r="V445">
        <f>IF(OR(V$4="",$A445&gt;TODAY()),0,IF(OR(INDEX($B445:$D445,V$5)="F",AND(V$6&gt;0,$A445&lt;V$6),AND(V$7&gt;0,$A445&gt;V$7)),0,MAX(0,ROUND((INDEX($E445:$G445,V$5)-SUMIFS(TF_Timer,TF_Tekniker,V$4,TF_Dato,$A445))*2,0)/2)))</f>
        <v/>
      </c>
      <c r="W445">
        <f>IF(OR(W$4="",$A445&gt;TODAY()),0,IF(OR(INDEX($B445:$D445,W$5)="F",AND(W$6&gt;0,$A445&lt;W$6),AND(W$7&gt;0,$A445&gt;W$7)),0,MAX(0,ROUND((INDEX($E445:$G445,W$5)-SUMIFS(TF_Timer,TF_Tekniker,W$4,TF_Dato,$A445))*2,0)/2)))</f>
        <v/>
      </c>
      <c r="X445">
        <f>IF(OR(X$4="",$A445&gt;TODAY()),0,IF(OR(INDEX($B445:$D445,X$5)="F",AND(X$6&gt;0,$A445&lt;X$6),AND(X$7&gt;0,$A445&gt;X$7)),0,MAX(0,ROUND((INDEX($E445:$G445,X$5)-SUMIFS(TF_Timer,TF_Tekniker,X$4,TF_Dato,$A445))*2,0)/2)))</f>
        <v/>
      </c>
      <c r="Y445">
        <f>IF(OR(Y$4="",$A445&gt;TODAY()),0,IF(OR(INDEX($B445:$D445,Y$5)="F",AND(Y$6&gt;0,$A445&lt;Y$6),AND(Y$7&gt;0,$A445&gt;Y$7)),0,MAX(0,ROUND((INDEX($E445:$G445,Y$5)-SUMIFS(TF_Timer,TF_Tekniker,Y$4,TF_Dato,$A445))*2,0)/2)))</f>
        <v/>
      </c>
      <c r="Z445">
        <f>IF(OR(Z$4="",$A445&gt;TODAY()),0,IF(OR(INDEX($B445:$D445,Z$5)="F",AND(Z$6&gt;0,$A445&lt;Z$6),AND(Z$7&gt;0,$A445&gt;Z$7)),0,MAX(0,ROUND((INDEX($E445:$G445,Z$5)-SUMIFS(TF_Timer,TF_Tekniker,Z$4,TF_Dato,$A445))*2,0)/2)))</f>
        <v/>
      </c>
      <c r="AA445">
        <f>IF(OR(AA$4="",$A445&gt;TODAY()),0,IF(OR(INDEX($B445:$D445,AA$5)="F",AND(AA$6&gt;0,$A445&lt;AA$6),AND(AA$7&gt;0,$A445&gt;AA$7)),0,MAX(0,ROUND((INDEX($E445:$G445,AA$5)-SUMIFS(TF_Timer,TF_Tekniker,AA$4,TF_Dato,$A445))*2,0)/2)))</f>
        <v/>
      </c>
      <c r="AB445">
        <f>IF(OR(AB$4="",$A445&gt;TODAY()),0,IF(OR(INDEX($B445:$D445,AB$5)="F",AND(AB$6&gt;0,$A445&lt;AB$6),AND(AB$7&gt;0,$A445&gt;AB$7)),0,MAX(0,ROUND((INDEX($E445:$G445,AB$5)-SUMIFS(TF_Timer,TF_Tekniker,AB$4,TF_Dato,$A445))*2,0)/2)))</f>
        <v/>
      </c>
      <c r="AC445">
        <f>IF(OR(AC$4="",$A445&gt;TODAY()),0,IF(OR(INDEX($B445:$D445,AC$5)="F",AND(AC$6&gt;0,$A445&lt;AC$6),AND(AC$7&gt;0,$A445&gt;AC$7)),0,MAX(0,ROUND((INDEX($E445:$G445,AC$5)-SUMIFS(TF_Timer,TF_Tekniker,AC$4,TF_Dato,$A445))*2,0)/2)))</f>
        <v/>
      </c>
      <c r="AD445">
        <f>IF(OR(AD$4="",$A445&gt;TODAY()),0,IF(OR(INDEX($B445:$D445,AD$5)="F",AND(AD$6&gt;0,$A445&lt;AD$6),AND(AD$7&gt;0,$A445&gt;AD$7)),0,MAX(0,ROUND((INDEX($E445:$G445,AD$5)-SUMIFS(TF_Timer,TF_Tekniker,AD$4,TF_Dato,$A445))*2,0)/2)))</f>
        <v/>
      </c>
      <c r="AE445">
        <f>IF(OR(AE$4="",$A445&gt;TODAY()),0,IF(OR(INDEX($B445:$D445,AE$5)="F",AND(AE$6&gt;0,$A445&lt;AE$6),AND(AE$7&gt;0,$A445&gt;AE$7)),0,MAX(0,ROUND((INDEX($E445:$G445,AE$5)-SUMIFS(TF_Timer,TF_Tekniker,AE$4,TF_Dato,$A445))*2,0)/2)))</f>
        <v/>
      </c>
      <c r="AF445">
        <f>IF(OR(AF$4="",$A445&gt;TODAY()),0,IF(OR(INDEX($B445:$D445,AF$5)="F",AND(AF$6&gt;0,$A445&lt;AF$6),AND(AF$7&gt;0,$A445&gt;AF$7)),0,MAX(0,ROUND((INDEX($E445:$G445,AF$5)-SUMIFS(TF_Timer,TF_Tekniker,AF$4,TF_Dato,$A445))*2,0)/2)))</f>
        <v/>
      </c>
      <c r="AG445">
        <f>IF(OR(AG$4="",$A445&gt;TODAY()),0,IF(OR(INDEX($B445:$D445,AG$5)="F",AND(AG$6&gt;0,$A445&lt;AG$6),AND(AG$7&gt;0,$A445&gt;AG$7)),0,MAX(0,ROUND((INDEX($E445:$G445,AG$5)-SUMIFS(TF_Timer,TF_Tekniker,AG$4,TF_Dato,$A445))*2,0)/2)))</f>
        <v/>
      </c>
      <c r="AH445">
        <f>IF(OR(AH$4="",$A445&gt;TODAY()),0,IF(OR(INDEX($B445:$D445,AH$5)="F",AND(AH$6&gt;0,$A445&lt;AH$6),AND(AH$7&gt;0,$A445&gt;AH$7)),0,MAX(0,ROUND((INDEX($E445:$G445,AH$5)-SUMIFS(TF_Timer,TF_Tekniker,AH$4,TF_Dato,$A445))*2,0)/2)))</f>
        <v/>
      </c>
      <c r="AI445">
        <f>IF(OR(AI$4="",$A445&gt;TODAY()),0,IF(OR(INDEX($B445:$D445,AI$5)="F",AND(AI$6&gt;0,$A445&lt;AI$6),AND(AI$7&gt;0,$A445&gt;AI$7)),0,MAX(0,ROUND((INDEX($E445:$G445,AI$5)-SUMIFS(TF_Timer,TF_Tekniker,AI$4,TF_Dato,$A445))*2,0)/2)))</f>
        <v/>
      </c>
      <c r="AJ445">
        <f>IF(OR(AJ$4="",$A445&gt;TODAY()),0,IF(OR(INDEX($B445:$D445,AJ$5)="F",AND(AJ$6&gt;0,$A445&lt;AJ$6),AND(AJ$7&gt;0,$A445&gt;AJ$7)),0,MAX(0,ROUND((INDEX($E445:$G445,AJ$5)-SUMIFS(TF_Timer,TF_Tekniker,AJ$4,TF_Dato,$A445))*2,0)/2)))</f>
        <v/>
      </c>
      <c r="AK445">
        <f>IF(OR(AK$4="",$A445&gt;TODAY()),0,IF(OR(INDEX($B445:$D445,AK$5)="F",AND(AK$6&gt;0,$A445&lt;AK$6),AND(AK$7&gt;0,$A445&gt;AK$7)),0,MAX(0,ROUND((INDEX($E445:$G445,AK$5)-SUMIFS(TF_Timer,TF_Tekniker,AK$4,TF_Dato,$A445))*2,0)/2)))</f>
        <v/>
      </c>
      <c r="AL445">
        <f>IF(OR(AL$4="",$A445&gt;TODAY()),0,IF(OR(INDEX($B445:$D445,AL$5)="F",AND(AL$6&gt;0,$A445&lt;AL$6),AND(AL$7&gt;0,$A445&gt;AL$7)),0,MAX(0,ROUND((INDEX($E445:$G445,AL$5)-SUMIFS(TF_Timer,TF_Tekniker,AL$4,TF_Dato,$A445))*2,0)/2)))</f>
        <v/>
      </c>
      <c r="AM445">
        <f>IF(OR(AM$4="",$A445&gt;TODAY()),0,IF(OR(INDEX($B445:$D445,AM$5)="F",AND(AM$6&gt;0,$A445&lt;AM$6),AND(AM$7&gt;0,$A445&gt;AM$7)),0,MAX(0,ROUND((INDEX($E445:$G445,AM$5)-SUMIFS(TF_Timer,TF_Tekniker,AM$4,TF_Dato,$A445))*2,0)/2)))</f>
        <v/>
      </c>
      <c r="AN445">
        <f>IF(OR(AN$4="",$A445&gt;TODAY()),0,IF(OR(INDEX($B445:$D445,AN$5)="F",AND(AN$6&gt;0,$A445&lt;AN$6),AND(AN$7&gt;0,$A445&gt;AN$7)),0,MAX(0,ROUND((INDEX($E445:$G445,AN$5)-SUMIFS(TF_Timer,TF_Tekniker,AN$4,TF_Dato,$A445))*2,0)/2)))</f>
        <v/>
      </c>
      <c r="AO445">
        <f>IF(OR(AO$4="",$A445&gt;TODAY()),0,IF(OR(INDEX($B445:$D445,AO$5)="F",AND(AO$6&gt;0,$A445&lt;AO$6),AND(AO$7&gt;0,$A445&gt;AO$7)),0,MAX(0,ROUND((INDEX($E445:$G445,AO$5)-SUMIFS(TF_Timer,TF_Tekniker,AO$4,TF_Dato,$A445))*2,0)/2)))</f>
        <v/>
      </c>
      <c r="AP445">
        <f>IF(OR(AP$4="",$A445&gt;TODAY()),0,IF(OR(INDEX($B445:$D445,AP$5)="F",AND(AP$6&gt;0,$A445&lt;AP$6),AND(AP$7&gt;0,$A445&gt;AP$7)),0,MAX(0,ROUND((INDEX($E445:$G445,AP$5)-SUMIFS(TF_Timer,TF_Tekniker,AP$4,TF_Dato,$A445))*2,0)/2)))</f>
        <v/>
      </c>
      <c r="AQ445">
        <f>IF(OR(AQ$4="",$A445&gt;TODAY()),0,IF(OR(INDEX($B445:$D445,AQ$5)="F",AND(AQ$6&gt;0,$A445&lt;AQ$6),AND(AQ$7&gt;0,$A445&gt;AQ$7)),0,MAX(0,ROUND((INDEX($E445:$G445,AQ$5)-SUMIFS(TF_Timer,TF_Tekniker,AQ$4,TF_Dato,$A445))*2,0)/2)))</f>
        <v/>
      </c>
      <c r="AR445">
        <f>IF(OR(AR$4="",$A445&gt;TODAY()),0,IF(OR(INDEX($B445:$D445,AR$5)="F",AND(AR$6&gt;0,$A445&lt;AR$6),AND(AR$7&gt;0,$A445&gt;AR$7)),0,MAX(0,ROUND((INDEX($E445:$G445,AR$5)-SUMIFS(TF_Timer,TF_Tekniker,AR$4,TF_Dato,$A445))*2,0)/2)))</f>
        <v/>
      </c>
      <c r="AS445">
        <f>IF(OR(AS$4="",$A445&gt;TODAY()),0,IF(OR(INDEX($B445:$D445,AS$5)="F",AND(AS$6&gt;0,$A445&lt;AS$6),AND(AS$7&gt;0,$A445&gt;AS$7)),0,MAX(0,ROUND((INDEX($E445:$G445,AS$5)-SUMIFS(TF_Timer,TF_Tekniker,AS$4,TF_Dato,$A445))*2,0)/2)))</f>
        <v/>
      </c>
      <c r="AT445">
        <f>IF(OR(AT$4="",$A445&gt;TODAY()),0,IF(OR(INDEX($B445:$D445,AT$5)="F",AND(AT$6&gt;0,$A445&lt;AT$6),AND(AT$7&gt;0,$A445&gt;AT$7)),0,MAX(0,ROUND((INDEX($E445:$G445,AT$5)-SUMIFS(TF_Timer,TF_Tekniker,AT$4,TF_Dato,$A445))*2,0)/2)))</f>
        <v/>
      </c>
      <c r="AU445">
        <f>IF(OR(AU$4="",$A445&gt;TODAY()),0,IF(OR(INDEX($B445:$D445,AU$5)="F",AND(AU$6&gt;0,$A445&lt;AU$6),AND(AU$7&gt;0,$A445&gt;AU$7)),0,MAX(0,ROUND((INDEX($E445:$G445,AU$5)-SUMIFS(TF_Timer,TF_Tekniker,AU$4,TF_Dato,$A445))*2,0)/2)))</f>
        <v/>
      </c>
      <c r="AV445">
        <f>IF(OR(AV$4="",$A445&gt;TODAY()),0,IF(OR(INDEX($B445:$D445,AV$5)="F",AND(AV$6&gt;0,$A445&lt;AV$6),AND(AV$7&gt;0,$A445&gt;AV$7)),0,MAX(0,ROUND((INDEX($E445:$G445,AV$5)-SUMIFS(TF_Timer,TF_Tekniker,AV$4,TF_Dato,$A445))*2,0)/2)))</f>
        <v/>
      </c>
      <c r="AW445">
        <f>IF(OR(AW$4="",$A445&gt;TODAY()),0,IF(OR(INDEX($B445:$D445,AW$5)="F",AND(AW$6&gt;0,$A445&lt;AW$6),AND(AW$7&gt;0,$A445&gt;AW$7)),0,MAX(0,ROUND((INDEX($E445:$G445,AW$5)-SUMIFS(TF_Timer,TF_Tekniker,AW$4,TF_Dato,$A445))*2,0)/2)))</f>
        <v/>
      </c>
      <c r="AX445">
        <f>IF(OR(AX$4="",$A445&gt;TODAY()),0,IF(OR(INDEX($B445:$D445,AX$5)="F",AND(AX$6&gt;0,$A445&lt;AX$6),AND(AX$7&gt;0,$A445&gt;AX$7)),0,MAX(0,ROUND((INDEX($E445:$G445,AX$5)-SUMIFS(TF_Timer,TF_Tekniker,AX$4,TF_Dato,$A445))*2,0)/2)))</f>
        <v/>
      </c>
      <c r="AY445">
        <f>IF(OR(AY$4="",$A445&gt;TODAY()),0,IF(OR(INDEX($B445:$D445,AY$5)="F",AND(AY$6&gt;0,$A445&lt;AY$6),AND(AY$7&gt;0,$A445&gt;AY$7)),0,MAX(0,ROUND((INDEX($E445:$G445,AY$5)-SUMIFS(TF_Timer,TF_Tekniker,AY$4,TF_Dato,$A445))*2,0)/2)))</f>
        <v/>
      </c>
      <c r="AZ445">
        <f>IF(OR(AZ$4="",$A445&gt;TODAY()),0,IF(OR(INDEX($B445:$D445,AZ$5)="F",AND(AZ$6&gt;0,$A445&lt;AZ$6),AND(AZ$7&gt;0,$A445&gt;AZ$7)),0,MAX(0,ROUND((INDEX($E445:$G445,AZ$5)-SUMIFS(TF_Timer,TF_Tekniker,AZ$4,TF_Dato,$A445))*2,0)/2)))</f>
        <v/>
      </c>
      <c r="BA445">
        <f>IF(OR(BA$4="",$A445&gt;TODAY()),0,IF(OR(INDEX($B445:$D445,BA$5)="F",AND(BA$6&gt;0,$A445&lt;BA$6),AND(BA$7&gt;0,$A445&gt;BA$7)),0,MAX(0,ROUND((INDEX($E445:$G445,BA$5)-SUMIFS(TF_Timer,TF_Tekniker,BA$4,TF_Dato,$A445))*2,0)/2)))</f>
        <v/>
      </c>
      <c r="BB445">
        <f>IF(OR(BB$4="",$A445&gt;TODAY()),0,IF(OR(INDEX($B445:$D445,BB$5)="F",AND(BB$6&gt;0,$A445&lt;BB$6),AND(BB$7&gt;0,$A445&gt;BB$7)),0,MAX(0,ROUND((INDEX($E445:$G445,BB$5)-SUMIFS(TF_Timer,TF_Tekniker,BB$4,TF_Dato,$A445))*2,0)/2)))</f>
        <v/>
      </c>
      <c r="BC445">
        <f>IF(OR(BC$4="",$A445&gt;TODAY()),0,IF(OR(INDEX($B445:$D445,BC$5)="F",AND(BC$6&gt;0,$A445&lt;BC$6),AND(BC$7&gt;0,$A445&gt;BC$7)),0,MAX(0,ROUND((INDEX($E445:$G445,BC$5)-SUMIFS(TF_Timer,TF_Tekniker,BC$4,TF_Dato,$A445))*2,0)/2)))</f>
        <v/>
      </c>
      <c r="BD445">
        <f>IF(OR(BD$4="",$A445&gt;TODAY()),0,IF(OR(INDEX($B445:$D445,BD$5)="F",AND(BD$6&gt;0,$A445&lt;BD$6),AND(BD$7&gt;0,$A445&gt;BD$7)),0,MAX(0,ROUND((INDEX($E445:$G445,BD$5)-SUMIFS(TF_Timer,TF_Tekniker,BD$4,TF_Dato,$A445))*2,0)/2)))</f>
        <v/>
      </c>
      <c r="BE445">
        <f>IF(OR(BE$4="",$A445&gt;TODAY()),0,IF(OR(INDEX($B445:$D445,BE$5)="F",AND(BE$6&gt;0,$A445&lt;BE$6),AND(BE$7&gt;0,$A445&gt;BE$7)),0,MAX(0,ROUND((INDEX($E445:$G445,BE$5)-SUMIFS(TF_Timer,TF_Tekniker,BE$4,TF_Dato,$A445))*2,0)/2)))</f>
        <v/>
      </c>
      <c r="BF445">
        <f>IF(OR(BF$4="",$A445&gt;TODAY()),0,IF(OR(INDEX($B445:$D445,BF$5)="F",AND(BF$6&gt;0,$A445&lt;BF$6),AND(BF$7&gt;0,$A445&gt;BF$7)),0,MAX(0,ROUND((INDEX($E445:$G445,BF$5)-SUMIFS(TF_Timer,TF_Tekniker,BF$4,TF_Dato,$A445))*2,0)/2)))</f>
        <v/>
      </c>
      <c r="BG445">
        <f>IF(OR(BG$4="",$A445&gt;TODAY()),0,IF(OR(INDEX($B445:$D445,BG$5)="F",AND(BG$6&gt;0,$A445&lt;BG$6),AND(BG$7&gt;0,$A445&gt;BG$7)),0,MAX(0,ROUND((INDEX($E445:$G445,BG$5)-SUMIFS(TF_Timer,TF_Tekniker,BG$4,TF_Dato,$A445))*2,0)/2)))</f>
        <v/>
      </c>
      <c r="BH445">
        <f>IF(OR(BH$4="",$A445&gt;TODAY()),0,IF(OR(INDEX($B445:$D445,BH$5)="F",AND(BH$6&gt;0,$A445&lt;BH$6),AND(BH$7&gt;0,$A445&gt;BH$7)),0,MAX(0,ROUND((INDEX($E445:$G445,BH$5)-SUMIFS(TF_Timer,TF_Tekniker,BH$4,TF_Dato,$A445))*2,0)/2)))</f>
        <v/>
      </c>
      <c r="BI445">
        <f>IF(OR(BI$4="",$A445&gt;TODAY()),0,IF(OR(INDEX($B445:$D445,BI$5)="F",AND(BI$6&gt;0,$A445&lt;BI$6),AND(BI$7&gt;0,$A445&gt;BI$7)),0,MAX(0,ROUND((INDEX($E445:$G445,BI$5)-SUMIFS(TF_Timer,TF_Tekniker,BI$4,TF_Dato,$A445))*2,0)/2)))</f>
        <v/>
      </c>
    </row>
    <row r="446">
      <c r="A446" s="64">
        <f>A445+1</f>
        <v/>
      </c>
      <c r="B446">
        <f>IF(MOD($A446-INDEX(SkiftStart,1),Syklus)&lt;DagK,"K",IF(MOD($A446-INDEX(SkiftStart,1),Syklus)&lt;DagK+DagH,"H",IF(MOD($A446-INDEX(SkiftStart,1),Syklus)&lt;DagK+DagH+DagD,"D","F")))</f>
        <v/>
      </c>
      <c r="C446">
        <f>IF(MOD($A446-INDEX(SkiftStart,2),Syklus)&lt;DagK,"K",IF(MOD($A446-INDEX(SkiftStart,2),Syklus)&lt;DagK+DagH,"H",IF(MOD($A446-INDEX(SkiftStart,2),Syklus)&lt;DagK+DagH+DagD,"D","F")))</f>
        <v/>
      </c>
      <c r="D446">
        <f>IF(MOD($A446-INDEX(SkiftStart,3),Syklus)&lt;DagK,"K",IF(MOD($A446-INDEX(SkiftStart,3),Syklus)&lt;DagK+DagH,"H",IF(MOD($A446-INDEX(SkiftStart,3),Syklus)&lt;DagK+DagH+DagD,"D","F")))</f>
        <v/>
      </c>
      <c r="E446">
        <f>IF(B446="F",0,IF(WEEKDAY($A446,2)=5,INDEX(TimerFr,MATCH(B446,FaseKode,0)),INDEX(TimerMT,MATCH(B446,FaseKode,0))))</f>
        <v/>
      </c>
      <c r="F446">
        <f>IF(C446="F",0,IF(WEEKDAY($A446,2)=5,INDEX(TimerFr,MATCH(C446,FaseKode,0)),INDEX(TimerMT,MATCH(C446,FaseKode,0))))</f>
        <v/>
      </c>
      <c r="G446">
        <f>IF(D446="F",0,IF(WEEKDAY($A446,2)=5,INDEX(TimerFr,MATCH(D446,FaseKode,0)),INDEX(TimerMT,MATCH(D446,FaseKode,0))))</f>
        <v/>
      </c>
      <c r="H446">
        <f>IF(OR(H$4="",$A446&gt;TODAY()),0,IF(OR(INDEX($B446:$D446,H$5)="F",AND(H$6&gt;0,$A446&lt;H$6),AND(H$7&gt;0,$A446&gt;H$7)),0,MAX(0,ROUND((INDEX($E446:$G446,H$5)-SUMIFS(TF_Timer,TF_Tekniker,H$4,TF_Dato,$A446))*2,0)/2)))</f>
        <v/>
      </c>
      <c r="I446">
        <f>IF(OR(I$4="",$A446&gt;TODAY()),0,IF(OR(INDEX($B446:$D446,I$5)="F",AND(I$6&gt;0,$A446&lt;I$6),AND(I$7&gt;0,$A446&gt;I$7)),0,MAX(0,ROUND((INDEX($E446:$G446,I$5)-SUMIFS(TF_Timer,TF_Tekniker,I$4,TF_Dato,$A446))*2,0)/2)))</f>
        <v/>
      </c>
      <c r="J446">
        <f>IF(OR(J$4="",$A446&gt;TODAY()),0,IF(OR(INDEX($B446:$D446,J$5)="F",AND(J$6&gt;0,$A446&lt;J$6),AND(J$7&gt;0,$A446&gt;J$7)),0,MAX(0,ROUND((INDEX($E446:$G446,J$5)-SUMIFS(TF_Timer,TF_Tekniker,J$4,TF_Dato,$A446))*2,0)/2)))</f>
        <v/>
      </c>
      <c r="K446">
        <f>IF(OR(K$4="",$A446&gt;TODAY()),0,IF(OR(INDEX($B446:$D446,K$5)="F",AND(K$6&gt;0,$A446&lt;K$6),AND(K$7&gt;0,$A446&gt;K$7)),0,MAX(0,ROUND((INDEX($E446:$G446,K$5)-SUMIFS(TF_Timer,TF_Tekniker,K$4,TF_Dato,$A446))*2,0)/2)))</f>
        <v/>
      </c>
      <c r="L446">
        <f>IF(OR(L$4="",$A446&gt;TODAY()),0,IF(OR(INDEX($B446:$D446,L$5)="F",AND(L$6&gt;0,$A446&lt;L$6),AND(L$7&gt;0,$A446&gt;L$7)),0,MAX(0,ROUND((INDEX($E446:$G446,L$5)-SUMIFS(TF_Timer,TF_Tekniker,L$4,TF_Dato,$A446))*2,0)/2)))</f>
        <v/>
      </c>
      <c r="M446">
        <f>IF(OR(M$4="",$A446&gt;TODAY()),0,IF(OR(INDEX($B446:$D446,M$5)="F",AND(M$6&gt;0,$A446&lt;M$6),AND(M$7&gt;0,$A446&gt;M$7)),0,MAX(0,ROUND((INDEX($E446:$G446,M$5)-SUMIFS(TF_Timer,TF_Tekniker,M$4,TF_Dato,$A446))*2,0)/2)))</f>
        <v/>
      </c>
      <c r="N446">
        <f>IF(OR(N$4="",$A446&gt;TODAY()),0,IF(OR(INDEX($B446:$D446,N$5)="F",AND(N$6&gt;0,$A446&lt;N$6),AND(N$7&gt;0,$A446&gt;N$7)),0,MAX(0,ROUND((INDEX($E446:$G446,N$5)-SUMIFS(TF_Timer,TF_Tekniker,N$4,TF_Dato,$A446))*2,0)/2)))</f>
        <v/>
      </c>
      <c r="O446">
        <f>IF(OR(O$4="",$A446&gt;TODAY()),0,IF(OR(INDEX($B446:$D446,O$5)="F",AND(O$6&gt;0,$A446&lt;O$6),AND(O$7&gt;0,$A446&gt;O$7)),0,MAX(0,ROUND((INDEX($E446:$G446,O$5)-SUMIFS(TF_Timer,TF_Tekniker,O$4,TF_Dato,$A446))*2,0)/2)))</f>
        <v/>
      </c>
      <c r="P446">
        <f>IF(OR(P$4="",$A446&gt;TODAY()),0,IF(OR(INDEX($B446:$D446,P$5)="F",AND(P$6&gt;0,$A446&lt;P$6),AND(P$7&gt;0,$A446&gt;P$7)),0,MAX(0,ROUND((INDEX($E446:$G446,P$5)-SUMIFS(TF_Timer,TF_Tekniker,P$4,TF_Dato,$A446))*2,0)/2)))</f>
        <v/>
      </c>
      <c r="Q446">
        <f>IF(OR(Q$4="",$A446&gt;TODAY()),0,IF(OR(INDEX($B446:$D446,Q$5)="F",AND(Q$6&gt;0,$A446&lt;Q$6),AND(Q$7&gt;0,$A446&gt;Q$7)),0,MAX(0,ROUND((INDEX($E446:$G446,Q$5)-SUMIFS(TF_Timer,TF_Tekniker,Q$4,TF_Dato,$A446))*2,0)/2)))</f>
        <v/>
      </c>
      <c r="R446">
        <f>IF(OR(R$4="",$A446&gt;TODAY()),0,IF(OR(INDEX($B446:$D446,R$5)="F",AND(R$6&gt;0,$A446&lt;R$6),AND(R$7&gt;0,$A446&gt;R$7)),0,MAX(0,ROUND((INDEX($E446:$G446,R$5)-SUMIFS(TF_Timer,TF_Tekniker,R$4,TF_Dato,$A446))*2,0)/2)))</f>
        <v/>
      </c>
      <c r="S446">
        <f>IF(OR(S$4="",$A446&gt;TODAY()),0,IF(OR(INDEX($B446:$D446,S$5)="F",AND(S$6&gt;0,$A446&lt;S$6),AND(S$7&gt;0,$A446&gt;S$7)),0,MAX(0,ROUND((INDEX($E446:$G446,S$5)-SUMIFS(TF_Timer,TF_Tekniker,S$4,TF_Dato,$A446))*2,0)/2)))</f>
        <v/>
      </c>
      <c r="T446">
        <f>IF(OR(T$4="",$A446&gt;TODAY()),0,IF(OR(INDEX($B446:$D446,T$5)="F",AND(T$6&gt;0,$A446&lt;T$6),AND(T$7&gt;0,$A446&gt;T$7)),0,MAX(0,ROUND((INDEX($E446:$G446,T$5)-SUMIFS(TF_Timer,TF_Tekniker,T$4,TF_Dato,$A446))*2,0)/2)))</f>
        <v/>
      </c>
      <c r="U446">
        <f>IF(OR(U$4="",$A446&gt;TODAY()),0,IF(OR(INDEX($B446:$D446,U$5)="F",AND(U$6&gt;0,$A446&lt;U$6),AND(U$7&gt;0,$A446&gt;U$7)),0,MAX(0,ROUND((INDEX($E446:$G446,U$5)-SUMIFS(TF_Timer,TF_Tekniker,U$4,TF_Dato,$A446))*2,0)/2)))</f>
        <v/>
      </c>
      <c r="V446">
        <f>IF(OR(V$4="",$A446&gt;TODAY()),0,IF(OR(INDEX($B446:$D446,V$5)="F",AND(V$6&gt;0,$A446&lt;V$6),AND(V$7&gt;0,$A446&gt;V$7)),0,MAX(0,ROUND((INDEX($E446:$G446,V$5)-SUMIFS(TF_Timer,TF_Tekniker,V$4,TF_Dato,$A446))*2,0)/2)))</f>
        <v/>
      </c>
      <c r="W446">
        <f>IF(OR(W$4="",$A446&gt;TODAY()),0,IF(OR(INDEX($B446:$D446,W$5)="F",AND(W$6&gt;0,$A446&lt;W$6),AND(W$7&gt;0,$A446&gt;W$7)),0,MAX(0,ROUND((INDEX($E446:$G446,W$5)-SUMIFS(TF_Timer,TF_Tekniker,W$4,TF_Dato,$A446))*2,0)/2)))</f>
        <v/>
      </c>
      <c r="X446">
        <f>IF(OR(X$4="",$A446&gt;TODAY()),0,IF(OR(INDEX($B446:$D446,X$5)="F",AND(X$6&gt;0,$A446&lt;X$6),AND(X$7&gt;0,$A446&gt;X$7)),0,MAX(0,ROUND((INDEX($E446:$G446,X$5)-SUMIFS(TF_Timer,TF_Tekniker,X$4,TF_Dato,$A446))*2,0)/2)))</f>
        <v/>
      </c>
      <c r="Y446">
        <f>IF(OR(Y$4="",$A446&gt;TODAY()),0,IF(OR(INDEX($B446:$D446,Y$5)="F",AND(Y$6&gt;0,$A446&lt;Y$6),AND(Y$7&gt;0,$A446&gt;Y$7)),0,MAX(0,ROUND((INDEX($E446:$G446,Y$5)-SUMIFS(TF_Timer,TF_Tekniker,Y$4,TF_Dato,$A446))*2,0)/2)))</f>
        <v/>
      </c>
      <c r="Z446">
        <f>IF(OR(Z$4="",$A446&gt;TODAY()),0,IF(OR(INDEX($B446:$D446,Z$5)="F",AND(Z$6&gt;0,$A446&lt;Z$6),AND(Z$7&gt;0,$A446&gt;Z$7)),0,MAX(0,ROUND((INDEX($E446:$G446,Z$5)-SUMIFS(TF_Timer,TF_Tekniker,Z$4,TF_Dato,$A446))*2,0)/2)))</f>
        <v/>
      </c>
      <c r="AA446">
        <f>IF(OR(AA$4="",$A446&gt;TODAY()),0,IF(OR(INDEX($B446:$D446,AA$5)="F",AND(AA$6&gt;0,$A446&lt;AA$6),AND(AA$7&gt;0,$A446&gt;AA$7)),0,MAX(0,ROUND((INDEX($E446:$G446,AA$5)-SUMIFS(TF_Timer,TF_Tekniker,AA$4,TF_Dato,$A446))*2,0)/2)))</f>
        <v/>
      </c>
      <c r="AB446">
        <f>IF(OR(AB$4="",$A446&gt;TODAY()),0,IF(OR(INDEX($B446:$D446,AB$5)="F",AND(AB$6&gt;0,$A446&lt;AB$6),AND(AB$7&gt;0,$A446&gt;AB$7)),0,MAX(0,ROUND((INDEX($E446:$G446,AB$5)-SUMIFS(TF_Timer,TF_Tekniker,AB$4,TF_Dato,$A446))*2,0)/2)))</f>
        <v/>
      </c>
      <c r="AC446">
        <f>IF(OR(AC$4="",$A446&gt;TODAY()),0,IF(OR(INDEX($B446:$D446,AC$5)="F",AND(AC$6&gt;0,$A446&lt;AC$6),AND(AC$7&gt;0,$A446&gt;AC$7)),0,MAX(0,ROUND((INDEX($E446:$G446,AC$5)-SUMIFS(TF_Timer,TF_Tekniker,AC$4,TF_Dato,$A446))*2,0)/2)))</f>
        <v/>
      </c>
      <c r="AD446">
        <f>IF(OR(AD$4="",$A446&gt;TODAY()),0,IF(OR(INDEX($B446:$D446,AD$5)="F",AND(AD$6&gt;0,$A446&lt;AD$6),AND(AD$7&gt;0,$A446&gt;AD$7)),0,MAX(0,ROUND((INDEX($E446:$G446,AD$5)-SUMIFS(TF_Timer,TF_Tekniker,AD$4,TF_Dato,$A446))*2,0)/2)))</f>
        <v/>
      </c>
      <c r="AE446">
        <f>IF(OR(AE$4="",$A446&gt;TODAY()),0,IF(OR(INDEX($B446:$D446,AE$5)="F",AND(AE$6&gt;0,$A446&lt;AE$6),AND(AE$7&gt;0,$A446&gt;AE$7)),0,MAX(0,ROUND((INDEX($E446:$G446,AE$5)-SUMIFS(TF_Timer,TF_Tekniker,AE$4,TF_Dato,$A446))*2,0)/2)))</f>
        <v/>
      </c>
      <c r="AF446">
        <f>IF(OR(AF$4="",$A446&gt;TODAY()),0,IF(OR(INDEX($B446:$D446,AF$5)="F",AND(AF$6&gt;0,$A446&lt;AF$6),AND(AF$7&gt;0,$A446&gt;AF$7)),0,MAX(0,ROUND((INDEX($E446:$G446,AF$5)-SUMIFS(TF_Timer,TF_Tekniker,AF$4,TF_Dato,$A446))*2,0)/2)))</f>
        <v/>
      </c>
      <c r="AG446">
        <f>IF(OR(AG$4="",$A446&gt;TODAY()),0,IF(OR(INDEX($B446:$D446,AG$5)="F",AND(AG$6&gt;0,$A446&lt;AG$6),AND(AG$7&gt;0,$A446&gt;AG$7)),0,MAX(0,ROUND((INDEX($E446:$G446,AG$5)-SUMIFS(TF_Timer,TF_Tekniker,AG$4,TF_Dato,$A446))*2,0)/2)))</f>
        <v/>
      </c>
      <c r="AH446">
        <f>IF(OR(AH$4="",$A446&gt;TODAY()),0,IF(OR(INDEX($B446:$D446,AH$5)="F",AND(AH$6&gt;0,$A446&lt;AH$6),AND(AH$7&gt;0,$A446&gt;AH$7)),0,MAX(0,ROUND((INDEX($E446:$G446,AH$5)-SUMIFS(TF_Timer,TF_Tekniker,AH$4,TF_Dato,$A446))*2,0)/2)))</f>
        <v/>
      </c>
      <c r="AI446">
        <f>IF(OR(AI$4="",$A446&gt;TODAY()),0,IF(OR(INDEX($B446:$D446,AI$5)="F",AND(AI$6&gt;0,$A446&lt;AI$6),AND(AI$7&gt;0,$A446&gt;AI$7)),0,MAX(0,ROUND((INDEX($E446:$G446,AI$5)-SUMIFS(TF_Timer,TF_Tekniker,AI$4,TF_Dato,$A446))*2,0)/2)))</f>
        <v/>
      </c>
      <c r="AJ446">
        <f>IF(OR(AJ$4="",$A446&gt;TODAY()),0,IF(OR(INDEX($B446:$D446,AJ$5)="F",AND(AJ$6&gt;0,$A446&lt;AJ$6),AND(AJ$7&gt;0,$A446&gt;AJ$7)),0,MAX(0,ROUND((INDEX($E446:$G446,AJ$5)-SUMIFS(TF_Timer,TF_Tekniker,AJ$4,TF_Dato,$A446))*2,0)/2)))</f>
        <v/>
      </c>
      <c r="AK446">
        <f>IF(OR(AK$4="",$A446&gt;TODAY()),0,IF(OR(INDEX($B446:$D446,AK$5)="F",AND(AK$6&gt;0,$A446&lt;AK$6),AND(AK$7&gt;0,$A446&gt;AK$7)),0,MAX(0,ROUND((INDEX($E446:$G446,AK$5)-SUMIFS(TF_Timer,TF_Tekniker,AK$4,TF_Dato,$A446))*2,0)/2)))</f>
        <v/>
      </c>
      <c r="AL446">
        <f>IF(OR(AL$4="",$A446&gt;TODAY()),0,IF(OR(INDEX($B446:$D446,AL$5)="F",AND(AL$6&gt;0,$A446&lt;AL$6),AND(AL$7&gt;0,$A446&gt;AL$7)),0,MAX(0,ROUND((INDEX($E446:$G446,AL$5)-SUMIFS(TF_Timer,TF_Tekniker,AL$4,TF_Dato,$A446))*2,0)/2)))</f>
        <v/>
      </c>
      <c r="AM446">
        <f>IF(OR(AM$4="",$A446&gt;TODAY()),0,IF(OR(INDEX($B446:$D446,AM$5)="F",AND(AM$6&gt;0,$A446&lt;AM$6),AND(AM$7&gt;0,$A446&gt;AM$7)),0,MAX(0,ROUND((INDEX($E446:$G446,AM$5)-SUMIFS(TF_Timer,TF_Tekniker,AM$4,TF_Dato,$A446))*2,0)/2)))</f>
        <v/>
      </c>
      <c r="AN446">
        <f>IF(OR(AN$4="",$A446&gt;TODAY()),0,IF(OR(INDEX($B446:$D446,AN$5)="F",AND(AN$6&gt;0,$A446&lt;AN$6),AND(AN$7&gt;0,$A446&gt;AN$7)),0,MAX(0,ROUND((INDEX($E446:$G446,AN$5)-SUMIFS(TF_Timer,TF_Tekniker,AN$4,TF_Dato,$A446))*2,0)/2)))</f>
        <v/>
      </c>
      <c r="AO446">
        <f>IF(OR(AO$4="",$A446&gt;TODAY()),0,IF(OR(INDEX($B446:$D446,AO$5)="F",AND(AO$6&gt;0,$A446&lt;AO$6),AND(AO$7&gt;0,$A446&gt;AO$7)),0,MAX(0,ROUND((INDEX($E446:$G446,AO$5)-SUMIFS(TF_Timer,TF_Tekniker,AO$4,TF_Dato,$A446))*2,0)/2)))</f>
        <v/>
      </c>
      <c r="AP446">
        <f>IF(OR(AP$4="",$A446&gt;TODAY()),0,IF(OR(INDEX($B446:$D446,AP$5)="F",AND(AP$6&gt;0,$A446&lt;AP$6),AND(AP$7&gt;0,$A446&gt;AP$7)),0,MAX(0,ROUND((INDEX($E446:$G446,AP$5)-SUMIFS(TF_Timer,TF_Tekniker,AP$4,TF_Dato,$A446))*2,0)/2)))</f>
        <v/>
      </c>
      <c r="AQ446">
        <f>IF(OR(AQ$4="",$A446&gt;TODAY()),0,IF(OR(INDEX($B446:$D446,AQ$5)="F",AND(AQ$6&gt;0,$A446&lt;AQ$6),AND(AQ$7&gt;0,$A446&gt;AQ$7)),0,MAX(0,ROUND((INDEX($E446:$G446,AQ$5)-SUMIFS(TF_Timer,TF_Tekniker,AQ$4,TF_Dato,$A446))*2,0)/2)))</f>
        <v/>
      </c>
      <c r="AR446">
        <f>IF(OR(AR$4="",$A446&gt;TODAY()),0,IF(OR(INDEX($B446:$D446,AR$5)="F",AND(AR$6&gt;0,$A446&lt;AR$6),AND(AR$7&gt;0,$A446&gt;AR$7)),0,MAX(0,ROUND((INDEX($E446:$G446,AR$5)-SUMIFS(TF_Timer,TF_Tekniker,AR$4,TF_Dato,$A446))*2,0)/2)))</f>
        <v/>
      </c>
      <c r="AS446">
        <f>IF(OR(AS$4="",$A446&gt;TODAY()),0,IF(OR(INDEX($B446:$D446,AS$5)="F",AND(AS$6&gt;0,$A446&lt;AS$6),AND(AS$7&gt;0,$A446&gt;AS$7)),0,MAX(0,ROUND((INDEX($E446:$G446,AS$5)-SUMIFS(TF_Timer,TF_Tekniker,AS$4,TF_Dato,$A446))*2,0)/2)))</f>
        <v/>
      </c>
      <c r="AT446">
        <f>IF(OR(AT$4="",$A446&gt;TODAY()),0,IF(OR(INDEX($B446:$D446,AT$5)="F",AND(AT$6&gt;0,$A446&lt;AT$6),AND(AT$7&gt;0,$A446&gt;AT$7)),0,MAX(0,ROUND((INDEX($E446:$G446,AT$5)-SUMIFS(TF_Timer,TF_Tekniker,AT$4,TF_Dato,$A446))*2,0)/2)))</f>
        <v/>
      </c>
      <c r="AU446">
        <f>IF(OR(AU$4="",$A446&gt;TODAY()),0,IF(OR(INDEX($B446:$D446,AU$5)="F",AND(AU$6&gt;0,$A446&lt;AU$6),AND(AU$7&gt;0,$A446&gt;AU$7)),0,MAX(0,ROUND((INDEX($E446:$G446,AU$5)-SUMIFS(TF_Timer,TF_Tekniker,AU$4,TF_Dato,$A446))*2,0)/2)))</f>
        <v/>
      </c>
      <c r="AV446">
        <f>IF(OR(AV$4="",$A446&gt;TODAY()),0,IF(OR(INDEX($B446:$D446,AV$5)="F",AND(AV$6&gt;0,$A446&lt;AV$6),AND(AV$7&gt;0,$A446&gt;AV$7)),0,MAX(0,ROUND((INDEX($E446:$G446,AV$5)-SUMIFS(TF_Timer,TF_Tekniker,AV$4,TF_Dato,$A446))*2,0)/2)))</f>
        <v/>
      </c>
      <c r="AW446">
        <f>IF(OR(AW$4="",$A446&gt;TODAY()),0,IF(OR(INDEX($B446:$D446,AW$5)="F",AND(AW$6&gt;0,$A446&lt;AW$6),AND(AW$7&gt;0,$A446&gt;AW$7)),0,MAX(0,ROUND((INDEX($E446:$G446,AW$5)-SUMIFS(TF_Timer,TF_Tekniker,AW$4,TF_Dato,$A446))*2,0)/2)))</f>
        <v/>
      </c>
      <c r="AX446">
        <f>IF(OR(AX$4="",$A446&gt;TODAY()),0,IF(OR(INDEX($B446:$D446,AX$5)="F",AND(AX$6&gt;0,$A446&lt;AX$6),AND(AX$7&gt;0,$A446&gt;AX$7)),0,MAX(0,ROUND((INDEX($E446:$G446,AX$5)-SUMIFS(TF_Timer,TF_Tekniker,AX$4,TF_Dato,$A446))*2,0)/2)))</f>
        <v/>
      </c>
      <c r="AY446">
        <f>IF(OR(AY$4="",$A446&gt;TODAY()),0,IF(OR(INDEX($B446:$D446,AY$5)="F",AND(AY$6&gt;0,$A446&lt;AY$6),AND(AY$7&gt;0,$A446&gt;AY$7)),0,MAX(0,ROUND((INDEX($E446:$G446,AY$5)-SUMIFS(TF_Timer,TF_Tekniker,AY$4,TF_Dato,$A446))*2,0)/2)))</f>
        <v/>
      </c>
      <c r="AZ446">
        <f>IF(OR(AZ$4="",$A446&gt;TODAY()),0,IF(OR(INDEX($B446:$D446,AZ$5)="F",AND(AZ$6&gt;0,$A446&lt;AZ$6),AND(AZ$7&gt;0,$A446&gt;AZ$7)),0,MAX(0,ROUND((INDEX($E446:$G446,AZ$5)-SUMIFS(TF_Timer,TF_Tekniker,AZ$4,TF_Dato,$A446))*2,0)/2)))</f>
        <v/>
      </c>
      <c r="BA446">
        <f>IF(OR(BA$4="",$A446&gt;TODAY()),0,IF(OR(INDEX($B446:$D446,BA$5)="F",AND(BA$6&gt;0,$A446&lt;BA$6),AND(BA$7&gt;0,$A446&gt;BA$7)),0,MAX(0,ROUND((INDEX($E446:$G446,BA$5)-SUMIFS(TF_Timer,TF_Tekniker,BA$4,TF_Dato,$A446))*2,0)/2)))</f>
        <v/>
      </c>
      <c r="BB446">
        <f>IF(OR(BB$4="",$A446&gt;TODAY()),0,IF(OR(INDEX($B446:$D446,BB$5)="F",AND(BB$6&gt;0,$A446&lt;BB$6),AND(BB$7&gt;0,$A446&gt;BB$7)),0,MAX(0,ROUND((INDEX($E446:$G446,BB$5)-SUMIFS(TF_Timer,TF_Tekniker,BB$4,TF_Dato,$A446))*2,0)/2)))</f>
        <v/>
      </c>
      <c r="BC446">
        <f>IF(OR(BC$4="",$A446&gt;TODAY()),0,IF(OR(INDEX($B446:$D446,BC$5)="F",AND(BC$6&gt;0,$A446&lt;BC$6),AND(BC$7&gt;0,$A446&gt;BC$7)),0,MAX(0,ROUND((INDEX($E446:$G446,BC$5)-SUMIFS(TF_Timer,TF_Tekniker,BC$4,TF_Dato,$A446))*2,0)/2)))</f>
        <v/>
      </c>
      <c r="BD446">
        <f>IF(OR(BD$4="",$A446&gt;TODAY()),0,IF(OR(INDEX($B446:$D446,BD$5)="F",AND(BD$6&gt;0,$A446&lt;BD$6),AND(BD$7&gt;0,$A446&gt;BD$7)),0,MAX(0,ROUND((INDEX($E446:$G446,BD$5)-SUMIFS(TF_Timer,TF_Tekniker,BD$4,TF_Dato,$A446))*2,0)/2)))</f>
        <v/>
      </c>
      <c r="BE446">
        <f>IF(OR(BE$4="",$A446&gt;TODAY()),0,IF(OR(INDEX($B446:$D446,BE$5)="F",AND(BE$6&gt;0,$A446&lt;BE$6),AND(BE$7&gt;0,$A446&gt;BE$7)),0,MAX(0,ROUND((INDEX($E446:$G446,BE$5)-SUMIFS(TF_Timer,TF_Tekniker,BE$4,TF_Dato,$A446))*2,0)/2)))</f>
        <v/>
      </c>
      <c r="BF446">
        <f>IF(OR(BF$4="",$A446&gt;TODAY()),0,IF(OR(INDEX($B446:$D446,BF$5)="F",AND(BF$6&gt;0,$A446&lt;BF$6),AND(BF$7&gt;0,$A446&gt;BF$7)),0,MAX(0,ROUND((INDEX($E446:$G446,BF$5)-SUMIFS(TF_Timer,TF_Tekniker,BF$4,TF_Dato,$A446))*2,0)/2)))</f>
        <v/>
      </c>
      <c r="BG446">
        <f>IF(OR(BG$4="",$A446&gt;TODAY()),0,IF(OR(INDEX($B446:$D446,BG$5)="F",AND(BG$6&gt;0,$A446&lt;BG$6),AND(BG$7&gt;0,$A446&gt;BG$7)),0,MAX(0,ROUND((INDEX($E446:$G446,BG$5)-SUMIFS(TF_Timer,TF_Tekniker,BG$4,TF_Dato,$A446))*2,0)/2)))</f>
        <v/>
      </c>
      <c r="BH446">
        <f>IF(OR(BH$4="",$A446&gt;TODAY()),0,IF(OR(INDEX($B446:$D446,BH$5)="F",AND(BH$6&gt;0,$A446&lt;BH$6),AND(BH$7&gt;0,$A446&gt;BH$7)),0,MAX(0,ROUND((INDEX($E446:$G446,BH$5)-SUMIFS(TF_Timer,TF_Tekniker,BH$4,TF_Dato,$A446))*2,0)/2)))</f>
        <v/>
      </c>
      <c r="BI446">
        <f>IF(OR(BI$4="",$A446&gt;TODAY()),0,IF(OR(INDEX($B446:$D446,BI$5)="F",AND(BI$6&gt;0,$A446&lt;BI$6),AND(BI$7&gt;0,$A446&gt;BI$7)),0,MAX(0,ROUND((INDEX($E446:$G446,BI$5)-SUMIFS(TF_Timer,TF_Tekniker,BI$4,TF_Dato,$A446))*2,0)/2)))</f>
        <v/>
      </c>
    </row>
    <row r="447">
      <c r="A447" s="64">
        <f>A446+1</f>
        <v/>
      </c>
      <c r="B447">
        <f>IF(MOD($A447-INDEX(SkiftStart,1),Syklus)&lt;DagK,"K",IF(MOD($A447-INDEX(SkiftStart,1),Syklus)&lt;DagK+DagH,"H",IF(MOD($A447-INDEX(SkiftStart,1),Syklus)&lt;DagK+DagH+DagD,"D","F")))</f>
        <v/>
      </c>
      <c r="C447">
        <f>IF(MOD($A447-INDEX(SkiftStart,2),Syklus)&lt;DagK,"K",IF(MOD($A447-INDEX(SkiftStart,2),Syklus)&lt;DagK+DagH,"H",IF(MOD($A447-INDEX(SkiftStart,2),Syklus)&lt;DagK+DagH+DagD,"D","F")))</f>
        <v/>
      </c>
      <c r="D447">
        <f>IF(MOD($A447-INDEX(SkiftStart,3),Syklus)&lt;DagK,"K",IF(MOD($A447-INDEX(SkiftStart,3),Syklus)&lt;DagK+DagH,"H",IF(MOD($A447-INDEX(SkiftStart,3),Syklus)&lt;DagK+DagH+DagD,"D","F")))</f>
        <v/>
      </c>
      <c r="E447">
        <f>IF(B447="F",0,IF(WEEKDAY($A447,2)=5,INDEX(TimerFr,MATCH(B447,FaseKode,0)),INDEX(TimerMT,MATCH(B447,FaseKode,0))))</f>
        <v/>
      </c>
      <c r="F447">
        <f>IF(C447="F",0,IF(WEEKDAY($A447,2)=5,INDEX(TimerFr,MATCH(C447,FaseKode,0)),INDEX(TimerMT,MATCH(C447,FaseKode,0))))</f>
        <v/>
      </c>
      <c r="G447">
        <f>IF(D447="F",0,IF(WEEKDAY($A447,2)=5,INDEX(TimerFr,MATCH(D447,FaseKode,0)),INDEX(TimerMT,MATCH(D447,FaseKode,0))))</f>
        <v/>
      </c>
      <c r="H447">
        <f>IF(OR(H$4="",$A447&gt;TODAY()),0,IF(OR(INDEX($B447:$D447,H$5)="F",AND(H$6&gt;0,$A447&lt;H$6),AND(H$7&gt;0,$A447&gt;H$7)),0,MAX(0,ROUND((INDEX($E447:$G447,H$5)-SUMIFS(TF_Timer,TF_Tekniker,H$4,TF_Dato,$A447))*2,0)/2)))</f>
        <v/>
      </c>
      <c r="I447">
        <f>IF(OR(I$4="",$A447&gt;TODAY()),0,IF(OR(INDEX($B447:$D447,I$5)="F",AND(I$6&gt;0,$A447&lt;I$6),AND(I$7&gt;0,$A447&gt;I$7)),0,MAX(0,ROUND((INDEX($E447:$G447,I$5)-SUMIFS(TF_Timer,TF_Tekniker,I$4,TF_Dato,$A447))*2,0)/2)))</f>
        <v/>
      </c>
      <c r="J447">
        <f>IF(OR(J$4="",$A447&gt;TODAY()),0,IF(OR(INDEX($B447:$D447,J$5)="F",AND(J$6&gt;0,$A447&lt;J$6),AND(J$7&gt;0,$A447&gt;J$7)),0,MAX(0,ROUND((INDEX($E447:$G447,J$5)-SUMIFS(TF_Timer,TF_Tekniker,J$4,TF_Dato,$A447))*2,0)/2)))</f>
        <v/>
      </c>
      <c r="K447">
        <f>IF(OR(K$4="",$A447&gt;TODAY()),0,IF(OR(INDEX($B447:$D447,K$5)="F",AND(K$6&gt;0,$A447&lt;K$6),AND(K$7&gt;0,$A447&gt;K$7)),0,MAX(0,ROUND((INDEX($E447:$G447,K$5)-SUMIFS(TF_Timer,TF_Tekniker,K$4,TF_Dato,$A447))*2,0)/2)))</f>
        <v/>
      </c>
      <c r="L447">
        <f>IF(OR(L$4="",$A447&gt;TODAY()),0,IF(OR(INDEX($B447:$D447,L$5)="F",AND(L$6&gt;0,$A447&lt;L$6),AND(L$7&gt;0,$A447&gt;L$7)),0,MAX(0,ROUND((INDEX($E447:$G447,L$5)-SUMIFS(TF_Timer,TF_Tekniker,L$4,TF_Dato,$A447))*2,0)/2)))</f>
        <v/>
      </c>
      <c r="M447">
        <f>IF(OR(M$4="",$A447&gt;TODAY()),0,IF(OR(INDEX($B447:$D447,M$5)="F",AND(M$6&gt;0,$A447&lt;M$6),AND(M$7&gt;0,$A447&gt;M$7)),0,MAX(0,ROUND((INDEX($E447:$G447,M$5)-SUMIFS(TF_Timer,TF_Tekniker,M$4,TF_Dato,$A447))*2,0)/2)))</f>
        <v/>
      </c>
      <c r="N447">
        <f>IF(OR(N$4="",$A447&gt;TODAY()),0,IF(OR(INDEX($B447:$D447,N$5)="F",AND(N$6&gt;0,$A447&lt;N$6),AND(N$7&gt;0,$A447&gt;N$7)),0,MAX(0,ROUND((INDEX($E447:$G447,N$5)-SUMIFS(TF_Timer,TF_Tekniker,N$4,TF_Dato,$A447))*2,0)/2)))</f>
        <v/>
      </c>
      <c r="O447">
        <f>IF(OR(O$4="",$A447&gt;TODAY()),0,IF(OR(INDEX($B447:$D447,O$5)="F",AND(O$6&gt;0,$A447&lt;O$6),AND(O$7&gt;0,$A447&gt;O$7)),0,MAX(0,ROUND((INDEX($E447:$G447,O$5)-SUMIFS(TF_Timer,TF_Tekniker,O$4,TF_Dato,$A447))*2,0)/2)))</f>
        <v/>
      </c>
      <c r="P447">
        <f>IF(OR(P$4="",$A447&gt;TODAY()),0,IF(OR(INDEX($B447:$D447,P$5)="F",AND(P$6&gt;0,$A447&lt;P$6),AND(P$7&gt;0,$A447&gt;P$7)),0,MAX(0,ROUND((INDEX($E447:$G447,P$5)-SUMIFS(TF_Timer,TF_Tekniker,P$4,TF_Dato,$A447))*2,0)/2)))</f>
        <v/>
      </c>
      <c r="Q447">
        <f>IF(OR(Q$4="",$A447&gt;TODAY()),0,IF(OR(INDEX($B447:$D447,Q$5)="F",AND(Q$6&gt;0,$A447&lt;Q$6),AND(Q$7&gt;0,$A447&gt;Q$7)),0,MAX(0,ROUND((INDEX($E447:$G447,Q$5)-SUMIFS(TF_Timer,TF_Tekniker,Q$4,TF_Dato,$A447))*2,0)/2)))</f>
        <v/>
      </c>
      <c r="R447">
        <f>IF(OR(R$4="",$A447&gt;TODAY()),0,IF(OR(INDEX($B447:$D447,R$5)="F",AND(R$6&gt;0,$A447&lt;R$6),AND(R$7&gt;0,$A447&gt;R$7)),0,MAX(0,ROUND((INDEX($E447:$G447,R$5)-SUMIFS(TF_Timer,TF_Tekniker,R$4,TF_Dato,$A447))*2,0)/2)))</f>
        <v/>
      </c>
      <c r="S447">
        <f>IF(OR(S$4="",$A447&gt;TODAY()),0,IF(OR(INDEX($B447:$D447,S$5)="F",AND(S$6&gt;0,$A447&lt;S$6),AND(S$7&gt;0,$A447&gt;S$7)),0,MAX(0,ROUND((INDEX($E447:$G447,S$5)-SUMIFS(TF_Timer,TF_Tekniker,S$4,TF_Dato,$A447))*2,0)/2)))</f>
        <v/>
      </c>
      <c r="T447">
        <f>IF(OR(T$4="",$A447&gt;TODAY()),0,IF(OR(INDEX($B447:$D447,T$5)="F",AND(T$6&gt;0,$A447&lt;T$6),AND(T$7&gt;0,$A447&gt;T$7)),0,MAX(0,ROUND((INDEX($E447:$G447,T$5)-SUMIFS(TF_Timer,TF_Tekniker,T$4,TF_Dato,$A447))*2,0)/2)))</f>
        <v/>
      </c>
      <c r="U447">
        <f>IF(OR(U$4="",$A447&gt;TODAY()),0,IF(OR(INDEX($B447:$D447,U$5)="F",AND(U$6&gt;0,$A447&lt;U$6),AND(U$7&gt;0,$A447&gt;U$7)),0,MAX(0,ROUND((INDEX($E447:$G447,U$5)-SUMIFS(TF_Timer,TF_Tekniker,U$4,TF_Dato,$A447))*2,0)/2)))</f>
        <v/>
      </c>
      <c r="V447">
        <f>IF(OR(V$4="",$A447&gt;TODAY()),0,IF(OR(INDEX($B447:$D447,V$5)="F",AND(V$6&gt;0,$A447&lt;V$6),AND(V$7&gt;0,$A447&gt;V$7)),0,MAX(0,ROUND((INDEX($E447:$G447,V$5)-SUMIFS(TF_Timer,TF_Tekniker,V$4,TF_Dato,$A447))*2,0)/2)))</f>
        <v/>
      </c>
      <c r="W447">
        <f>IF(OR(W$4="",$A447&gt;TODAY()),0,IF(OR(INDEX($B447:$D447,W$5)="F",AND(W$6&gt;0,$A447&lt;W$6),AND(W$7&gt;0,$A447&gt;W$7)),0,MAX(0,ROUND((INDEX($E447:$G447,W$5)-SUMIFS(TF_Timer,TF_Tekniker,W$4,TF_Dato,$A447))*2,0)/2)))</f>
        <v/>
      </c>
      <c r="X447">
        <f>IF(OR(X$4="",$A447&gt;TODAY()),0,IF(OR(INDEX($B447:$D447,X$5)="F",AND(X$6&gt;0,$A447&lt;X$6),AND(X$7&gt;0,$A447&gt;X$7)),0,MAX(0,ROUND((INDEX($E447:$G447,X$5)-SUMIFS(TF_Timer,TF_Tekniker,X$4,TF_Dato,$A447))*2,0)/2)))</f>
        <v/>
      </c>
      <c r="Y447">
        <f>IF(OR(Y$4="",$A447&gt;TODAY()),0,IF(OR(INDEX($B447:$D447,Y$5)="F",AND(Y$6&gt;0,$A447&lt;Y$6),AND(Y$7&gt;0,$A447&gt;Y$7)),0,MAX(0,ROUND((INDEX($E447:$G447,Y$5)-SUMIFS(TF_Timer,TF_Tekniker,Y$4,TF_Dato,$A447))*2,0)/2)))</f>
        <v/>
      </c>
      <c r="Z447">
        <f>IF(OR(Z$4="",$A447&gt;TODAY()),0,IF(OR(INDEX($B447:$D447,Z$5)="F",AND(Z$6&gt;0,$A447&lt;Z$6),AND(Z$7&gt;0,$A447&gt;Z$7)),0,MAX(0,ROUND((INDEX($E447:$G447,Z$5)-SUMIFS(TF_Timer,TF_Tekniker,Z$4,TF_Dato,$A447))*2,0)/2)))</f>
        <v/>
      </c>
      <c r="AA447">
        <f>IF(OR(AA$4="",$A447&gt;TODAY()),0,IF(OR(INDEX($B447:$D447,AA$5)="F",AND(AA$6&gt;0,$A447&lt;AA$6),AND(AA$7&gt;0,$A447&gt;AA$7)),0,MAX(0,ROUND((INDEX($E447:$G447,AA$5)-SUMIFS(TF_Timer,TF_Tekniker,AA$4,TF_Dato,$A447))*2,0)/2)))</f>
        <v/>
      </c>
      <c r="AB447">
        <f>IF(OR(AB$4="",$A447&gt;TODAY()),0,IF(OR(INDEX($B447:$D447,AB$5)="F",AND(AB$6&gt;0,$A447&lt;AB$6),AND(AB$7&gt;0,$A447&gt;AB$7)),0,MAX(0,ROUND((INDEX($E447:$G447,AB$5)-SUMIFS(TF_Timer,TF_Tekniker,AB$4,TF_Dato,$A447))*2,0)/2)))</f>
        <v/>
      </c>
      <c r="AC447">
        <f>IF(OR(AC$4="",$A447&gt;TODAY()),0,IF(OR(INDEX($B447:$D447,AC$5)="F",AND(AC$6&gt;0,$A447&lt;AC$6),AND(AC$7&gt;0,$A447&gt;AC$7)),0,MAX(0,ROUND((INDEX($E447:$G447,AC$5)-SUMIFS(TF_Timer,TF_Tekniker,AC$4,TF_Dato,$A447))*2,0)/2)))</f>
        <v/>
      </c>
      <c r="AD447">
        <f>IF(OR(AD$4="",$A447&gt;TODAY()),0,IF(OR(INDEX($B447:$D447,AD$5)="F",AND(AD$6&gt;0,$A447&lt;AD$6),AND(AD$7&gt;0,$A447&gt;AD$7)),0,MAX(0,ROUND((INDEX($E447:$G447,AD$5)-SUMIFS(TF_Timer,TF_Tekniker,AD$4,TF_Dato,$A447))*2,0)/2)))</f>
        <v/>
      </c>
      <c r="AE447">
        <f>IF(OR(AE$4="",$A447&gt;TODAY()),0,IF(OR(INDEX($B447:$D447,AE$5)="F",AND(AE$6&gt;0,$A447&lt;AE$6),AND(AE$7&gt;0,$A447&gt;AE$7)),0,MAX(0,ROUND((INDEX($E447:$G447,AE$5)-SUMIFS(TF_Timer,TF_Tekniker,AE$4,TF_Dato,$A447))*2,0)/2)))</f>
        <v/>
      </c>
      <c r="AF447">
        <f>IF(OR(AF$4="",$A447&gt;TODAY()),0,IF(OR(INDEX($B447:$D447,AF$5)="F",AND(AF$6&gt;0,$A447&lt;AF$6),AND(AF$7&gt;0,$A447&gt;AF$7)),0,MAX(0,ROUND((INDEX($E447:$G447,AF$5)-SUMIFS(TF_Timer,TF_Tekniker,AF$4,TF_Dato,$A447))*2,0)/2)))</f>
        <v/>
      </c>
      <c r="AG447">
        <f>IF(OR(AG$4="",$A447&gt;TODAY()),0,IF(OR(INDEX($B447:$D447,AG$5)="F",AND(AG$6&gt;0,$A447&lt;AG$6),AND(AG$7&gt;0,$A447&gt;AG$7)),0,MAX(0,ROUND((INDEX($E447:$G447,AG$5)-SUMIFS(TF_Timer,TF_Tekniker,AG$4,TF_Dato,$A447))*2,0)/2)))</f>
        <v/>
      </c>
      <c r="AH447">
        <f>IF(OR(AH$4="",$A447&gt;TODAY()),0,IF(OR(INDEX($B447:$D447,AH$5)="F",AND(AH$6&gt;0,$A447&lt;AH$6),AND(AH$7&gt;0,$A447&gt;AH$7)),0,MAX(0,ROUND((INDEX($E447:$G447,AH$5)-SUMIFS(TF_Timer,TF_Tekniker,AH$4,TF_Dato,$A447))*2,0)/2)))</f>
        <v/>
      </c>
      <c r="AI447">
        <f>IF(OR(AI$4="",$A447&gt;TODAY()),0,IF(OR(INDEX($B447:$D447,AI$5)="F",AND(AI$6&gt;0,$A447&lt;AI$6),AND(AI$7&gt;0,$A447&gt;AI$7)),0,MAX(0,ROUND((INDEX($E447:$G447,AI$5)-SUMIFS(TF_Timer,TF_Tekniker,AI$4,TF_Dato,$A447))*2,0)/2)))</f>
        <v/>
      </c>
      <c r="AJ447">
        <f>IF(OR(AJ$4="",$A447&gt;TODAY()),0,IF(OR(INDEX($B447:$D447,AJ$5)="F",AND(AJ$6&gt;0,$A447&lt;AJ$6),AND(AJ$7&gt;0,$A447&gt;AJ$7)),0,MAX(0,ROUND((INDEX($E447:$G447,AJ$5)-SUMIFS(TF_Timer,TF_Tekniker,AJ$4,TF_Dato,$A447))*2,0)/2)))</f>
        <v/>
      </c>
      <c r="AK447">
        <f>IF(OR(AK$4="",$A447&gt;TODAY()),0,IF(OR(INDEX($B447:$D447,AK$5)="F",AND(AK$6&gt;0,$A447&lt;AK$6),AND(AK$7&gt;0,$A447&gt;AK$7)),0,MAX(0,ROUND((INDEX($E447:$G447,AK$5)-SUMIFS(TF_Timer,TF_Tekniker,AK$4,TF_Dato,$A447))*2,0)/2)))</f>
        <v/>
      </c>
      <c r="AL447">
        <f>IF(OR(AL$4="",$A447&gt;TODAY()),0,IF(OR(INDEX($B447:$D447,AL$5)="F",AND(AL$6&gt;0,$A447&lt;AL$6),AND(AL$7&gt;0,$A447&gt;AL$7)),0,MAX(0,ROUND((INDEX($E447:$G447,AL$5)-SUMIFS(TF_Timer,TF_Tekniker,AL$4,TF_Dato,$A447))*2,0)/2)))</f>
        <v/>
      </c>
      <c r="AM447">
        <f>IF(OR(AM$4="",$A447&gt;TODAY()),0,IF(OR(INDEX($B447:$D447,AM$5)="F",AND(AM$6&gt;0,$A447&lt;AM$6),AND(AM$7&gt;0,$A447&gt;AM$7)),0,MAX(0,ROUND((INDEX($E447:$G447,AM$5)-SUMIFS(TF_Timer,TF_Tekniker,AM$4,TF_Dato,$A447))*2,0)/2)))</f>
        <v/>
      </c>
      <c r="AN447">
        <f>IF(OR(AN$4="",$A447&gt;TODAY()),0,IF(OR(INDEX($B447:$D447,AN$5)="F",AND(AN$6&gt;0,$A447&lt;AN$6),AND(AN$7&gt;0,$A447&gt;AN$7)),0,MAX(0,ROUND((INDEX($E447:$G447,AN$5)-SUMIFS(TF_Timer,TF_Tekniker,AN$4,TF_Dato,$A447))*2,0)/2)))</f>
        <v/>
      </c>
      <c r="AO447">
        <f>IF(OR(AO$4="",$A447&gt;TODAY()),0,IF(OR(INDEX($B447:$D447,AO$5)="F",AND(AO$6&gt;0,$A447&lt;AO$6),AND(AO$7&gt;0,$A447&gt;AO$7)),0,MAX(0,ROUND((INDEX($E447:$G447,AO$5)-SUMIFS(TF_Timer,TF_Tekniker,AO$4,TF_Dato,$A447))*2,0)/2)))</f>
        <v/>
      </c>
      <c r="AP447">
        <f>IF(OR(AP$4="",$A447&gt;TODAY()),0,IF(OR(INDEX($B447:$D447,AP$5)="F",AND(AP$6&gt;0,$A447&lt;AP$6),AND(AP$7&gt;0,$A447&gt;AP$7)),0,MAX(0,ROUND((INDEX($E447:$G447,AP$5)-SUMIFS(TF_Timer,TF_Tekniker,AP$4,TF_Dato,$A447))*2,0)/2)))</f>
        <v/>
      </c>
      <c r="AQ447">
        <f>IF(OR(AQ$4="",$A447&gt;TODAY()),0,IF(OR(INDEX($B447:$D447,AQ$5)="F",AND(AQ$6&gt;0,$A447&lt;AQ$6),AND(AQ$7&gt;0,$A447&gt;AQ$7)),0,MAX(0,ROUND((INDEX($E447:$G447,AQ$5)-SUMIFS(TF_Timer,TF_Tekniker,AQ$4,TF_Dato,$A447))*2,0)/2)))</f>
        <v/>
      </c>
      <c r="AR447">
        <f>IF(OR(AR$4="",$A447&gt;TODAY()),0,IF(OR(INDEX($B447:$D447,AR$5)="F",AND(AR$6&gt;0,$A447&lt;AR$6),AND(AR$7&gt;0,$A447&gt;AR$7)),0,MAX(0,ROUND((INDEX($E447:$G447,AR$5)-SUMIFS(TF_Timer,TF_Tekniker,AR$4,TF_Dato,$A447))*2,0)/2)))</f>
        <v/>
      </c>
      <c r="AS447">
        <f>IF(OR(AS$4="",$A447&gt;TODAY()),0,IF(OR(INDEX($B447:$D447,AS$5)="F",AND(AS$6&gt;0,$A447&lt;AS$6),AND(AS$7&gt;0,$A447&gt;AS$7)),0,MAX(0,ROUND((INDEX($E447:$G447,AS$5)-SUMIFS(TF_Timer,TF_Tekniker,AS$4,TF_Dato,$A447))*2,0)/2)))</f>
        <v/>
      </c>
      <c r="AT447">
        <f>IF(OR(AT$4="",$A447&gt;TODAY()),0,IF(OR(INDEX($B447:$D447,AT$5)="F",AND(AT$6&gt;0,$A447&lt;AT$6),AND(AT$7&gt;0,$A447&gt;AT$7)),0,MAX(0,ROUND((INDEX($E447:$G447,AT$5)-SUMIFS(TF_Timer,TF_Tekniker,AT$4,TF_Dato,$A447))*2,0)/2)))</f>
        <v/>
      </c>
      <c r="AU447">
        <f>IF(OR(AU$4="",$A447&gt;TODAY()),0,IF(OR(INDEX($B447:$D447,AU$5)="F",AND(AU$6&gt;0,$A447&lt;AU$6),AND(AU$7&gt;0,$A447&gt;AU$7)),0,MAX(0,ROUND((INDEX($E447:$G447,AU$5)-SUMIFS(TF_Timer,TF_Tekniker,AU$4,TF_Dato,$A447))*2,0)/2)))</f>
        <v/>
      </c>
      <c r="AV447">
        <f>IF(OR(AV$4="",$A447&gt;TODAY()),0,IF(OR(INDEX($B447:$D447,AV$5)="F",AND(AV$6&gt;0,$A447&lt;AV$6),AND(AV$7&gt;0,$A447&gt;AV$7)),0,MAX(0,ROUND((INDEX($E447:$G447,AV$5)-SUMIFS(TF_Timer,TF_Tekniker,AV$4,TF_Dato,$A447))*2,0)/2)))</f>
        <v/>
      </c>
      <c r="AW447">
        <f>IF(OR(AW$4="",$A447&gt;TODAY()),0,IF(OR(INDEX($B447:$D447,AW$5)="F",AND(AW$6&gt;0,$A447&lt;AW$6),AND(AW$7&gt;0,$A447&gt;AW$7)),0,MAX(0,ROUND((INDEX($E447:$G447,AW$5)-SUMIFS(TF_Timer,TF_Tekniker,AW$4,TF_Dato,$A447))*2,0)/2)))</f>
        <v/>
      </c>
      <c r="AX447">
        <f>IF(OR(AX$4="",$A447&gt;TODAY()),0,IF(OR(INDEX($B447:$D447,AX$5)="F",AND(AX$6&gt;0,$A447&lt;AX$6),AND(AX$7&gt;0,$A447&gt;AX$7)),0,MAX(0,ROUND((INDEX($E447:$G447,AX$5)-SUMIFS(TF_Timer,TF_Tekniker,AX$4,TF_Dato,$A447))*2,0)/2)))</f>
        <v/>
      </c>
      <c r="AY447">
        <f>IF(OR(AY$4="",$A447&gt;TODAY()),0,IF(OR(INDEX($B447:$D447,AY$5)="F",AND(AY$6&gt;0,$A447&lt;AY$6),AND(AY$7&gt;0,$A447&gt;AY$7)),0,MAX(0,ROUND((INDEX($E447:$G447,AY$5)-SUMIFS(TF_Timer,TF_Tekniker,AY$4,TF_Dato,$A447))*2,0)/2)))</f>
        <v/>
      </c>
      <c r="AZ447">
        <f>IF(OR(AZ$4="",$A447&gt;TODAY()),0,IF(OR(INDEX($B447:$D447,AZ$5)="F",AND(AZ$6&gt;0,$A447&lt;AZ$6),AND(AZ$7&gt;0,$A447&gt;AZ$7)),0,MAX(0,ROUND((INDEX($E447:$G447,AZ$5)-SUMIFS(TF_Timer,TF_Tekniker,AZ$4,TF_Dato,$A447))*2,0)/2)))</f>
        <v/>
      </c>
      <c r="BA447">
        <f>IF(OR(BA$4="",$A447&gt;TODAY()),0,IF(OR(INDEX($B447:$D447,BA$5)="F",AND(BA$6&gt;0,$A447&lt;BA$6),AND(BA$7&gt;0,$A447&gt;BA$7)),0,MAX(0,ROUND((INDEX($E447:$G447,BA$5)-SUMIFS(TF_Timer,TF_Tekniker,BA$4,TF_Dato,$A447))*2,0)/2)))</f>
        <v/>
      </c>
      <c r="BB447">
        <f>IF(OR(BB$4="",$A447&gt;TODAY()),0,IF(OR(INDEX($B447:$D447,BB$5)="F",AND(BB$6&gt;0,$A447&lt;BB$6),AND(BB$7&gt;0,$A447&gt;BB$7)),0,MAX(0,ROUND((INDEX($E447:$G447,BB$5)-SUMIFS(TF_Timer,TF_Tekniker,BB$4,TF_Dato,$A447))*2,0)/2)))</f>
        <v/>
      </c>
      <c r="BC447">
        <f>IF(OR(BC$4="",$A447&gt;TODAY()),0,IF(OR(INDEX($B447:$D447,BC$5)="F",AND(BC$6&gt;0,$A447&lt;BC$6),AND(BC$7&gt;0,$A447&gt;BC$7)),0,MAX(0,ROUND((INDEX($E447:$G447,BC$5)-SUMIFS(TF_Timer,TF_Tekniker,BC$4,TF_Dato,$A447))*2,0)/2)))</f>
        <v/>
      </c>
      <c r="BD447">
        <f>IF(OR(BD$4="",$A447&gt;TODAY()),0,IF(OR(INDEX($B447:$D447,BD$5)="F",AND(BD$6&gt;0,$A447&lt;BD$6),AND(BD$7&gt;0,$A447&gt;BD$7)),0,MAX(0,ROUND((INDEX($E447:$G447,BD$5)-SUMIFS(TF_Timer,TF_Tekniker,BD$4,TF_Dato,$A447))*2,0)/2)))</f>
        <v/>
      </c>
      <c r="BE447">
        <f>IF(OR(BE$4="",$A447&gt;TODAY()),0,IF(OR(INDEX($B447:$D447,BE$5)="F",AND(BE$6&gt;0,$A447&lt;BE$6),AND(BE$7&gt;0,$A447&gt;BE$7)),0,MAX(0,ROUND((INDEX($E447:$G447,BE$5)-SUMIFS(TF_Timer,TF_Tekniker,BE$4,TF_Dato,$A447))*2,0)/2)))</f>
        <v/>
      </c>
      <c r="BF447">
        <f>IF(OR(BF$4="",$A447&gt;TODAY()),0,IF(OR(INDEX($B447:$D447,BF$5)="F",AND(BF$6&gt;0,$A447&lt;BF$6),AND(BF$7&gt;0,$A447&gt;BF$7)),0,MAX(0,ROUND((INDEX($E447:$G447,BF$5)-SUMIFS(TF_Timer,TF_Tekniker,BF$4,TF_Dato,$A447))*2,0)/2)))</f>
        <v/>
      </c>
      <c r="BG447">
        <f>IF(OR(BG$4="",$A447&gt;TODAY()),0,IF(OR(INDEX($B447:$D447,BG$5)="F",AND(BG$6&gt;0,$A447&lt;BG$6),AND(BG$7&gt;0,$A447&gt;BG$7)),0,MAX(0,ROUND((INDEX($E447:$G447,BG$5)-SUMIFS(TF_Timer,TF_Tekniker,BG$4,TF_Dato,$A447))*2,0)/2)))</f>
        <v/>
      </c>
      <c r="BH447">
        <f>IF(OR(BH$4="",$A447&gt;TODAY()),0,IF(OR(INDEX($B447:$D447,BH$5)="F",AND(BH$6&gt;0,$A447&lt;BH$6),AND(BH$7&gt;0,$A447&gt;BH$7)),0,MAX(0,ROUND((INDEX($E447:$G447,BH$5)-SUMIFS(TF_Timer,TF_Tekniker,BH$4,TF_Dato,$A447))*2,0)/2)))</f>
        <v/>
      </c>
      <c r="BI447">
        <f>IF(OR(BI$4="",$A447&gt;TODAY()),0,IF(OR(INDEX($B447:$D447,BI$5)="F",AND(BI$6&gt;0,$A447&lt;BI$6),AND(BI$7&gt;0,$A447&gt;BI$7)),0,MAX(0,ROUND((INDEX($E447:$G447,BI$5)-SUMIFS(TF_Timer,TF_Tekniker,BI$4,TF_Dato,$A447))*2,0)/2)))</f>
        <v/>
      </c>
    </row>
    <row r="448">
      <c r="A448" s="64">
        <f>A447+1</f>
        <v/>
      </c>
      <c r="B448">
        <f>IF(MOD($A448-INDEX(SkiftStart,1),Syklus)&lt;DagK,"K",IF(MOD($A448-INDEX(SkiftStart,1),Syklus)&lt;DagK+DagH,"H",IF(MOD($A448-INDEX(SkiftStart,1),Syklus)&lt;DagK+DagH+DagD,"D","F")))</f>
        <v/>
      </c>
      <c r="C448">
        <f>IF(MOD($A448-INDEX(SkiftStart,2),Syklus)&lt;DagK,"K",IF(MOD($A448-INDEX(SkiftStart,2),Syklus)&lt;DagK+DagH,"H",IF(MOD($A448-INDEX(SkiftStart,2),Syklus)&lt;DagK+DagH+DagD,"D","F")))</f>
        <v/>
      </c>
      <c r="D448">
        <f>IF(MOD($A448-INDEX(SkiftStart,3),Syklus)&lt;DagK,"K",IF(MOD($A448-INDEX(SkiftStart,3),Syklus)&lt;DagK+DagH,"H",IF(MOD($A448-INDEX(SkiftStart,3),Syklus)&lt;DagK+DagH+DagD,"D","F")))</f>
        <v/>
      </c>
      <c r="E448">
        <f>IF(B448="F",0,IF(WEEKDAY($A448,2)=5,INDEX(TimerFr,MATCH(B448,FaseKode,0)),INDEX(TimerMT,MATCH(B448,FaseKode,0))))</f>
        <v/>
      </c>
      <c r="F448">
        <f>IF(C448="F",0,IF(WEEKDAY($A448,2)=5,INDEX(TimerFr,MATCH(C448,FaseKode,0)),INDEX(TimerMT,MATCH(C448,FaseKode,0))))</f>
        <v/>
      </c>
      <c r="G448">
        <f>IF(D448="F",0,IF(WEEKDAY($A448,2)=5,INDEX(TimerFr,MATCH(D448,FaseKode,0)),INDEX(TimerMT,MATCH(D448,FaseKode,0))))</f>
        <v/>
      </c>
      <c r="H448">
        <f>IF(OR(H$4="",$A448&gt;TODAY()),0,IF(OR(INDEX($B448:$D448,H$5)="F",AND(H$6&gt;0,$A448&lt;H$6),AND(H$7&gt;0,$A448&gt;H$7)),0,MAX(0,ROUND((INDEX($E448:$G448,H$5)-SUMIFS(TF_Timer,TF_Tekniker,H$4,TF_Dato,$A448))*2,0)/2)))</f>
        <v/>
      </c>
      <c r="I448">
        <f>IF(OR(I$4="",$A448&gt;TODAY()),0,IF(OR(INDEX($B448:$D448,I$5)="F",AND(I$6&gt;0,$A448&lt;I$6),AND(I$7&gt;0,$A448&gt;I$7)),0,MAX(0,ROUND((INDEX($E448:$G448,I$5)-SUMIFS(TF_Timer,TF_Tekniker,I$4,TF_Dato,$A448))*2,0)/2)))</f>
        <v/>
      </c>
      <c r="J448">
        <f>IF(OR(J$4="",$A448&gt;TODAY()),0,IF(OR(INDEX($B448:$D448,J$5)="F",AND(J$6&gt;0,$A448&lt;J$6),AND(J$7&gt;0,$A448&gt;J$7)),0,MAX(0,ROUND((INDEX($E448:$G448,J$5)-SUMIFS(TF_Timer,TF_Tekniker,J$4,TF_Dato,$A448))*2,0)/2)))</f>
        <v/>
      </c>
      <c r="K448">
        <f>IF(OR(K$4="",$A448&gt;TODAY()),0,IF(OR(INDEX($B448:$D448,K$5)="F",AND(K$6&gt;0,$A448&lt;K$6),AND(K$7&gt;0,$A448&gt;K$7)),0,MAX(0,ROUND((INDEX($E448:$G448,K$5)-SUMIFS(TF_Timer,TF_Tekniker,K$4,TF_Dato,$A448))*2,0)/2)))</f>
        <v/>
      </c>
      <c r="L448">
        <f>IF(OR(L$4="",$A448&gt;TODAY()),0,IF(OR(INDEX($B448:$D448,L$5)="F",AND(L$6&gt;0,$A448&lt;L$6),AND(L$7&gt;0,$A448&gt;L$7)),0,MAX(0,ROUND((INDEX($E448:$G448,L$5)-SUMIFS(TF_Timer,TF_Tekniker,L$4,TF_Dato,$A448))*2,0)/2)))</f>
        <v/>
      </c>
      <c r="M448">
        <f>IF(OR(M$4="",$A448&gt;TODAY()),0,IF(OR(INDEX($B448:$D448,M$5)="F",AND(M$6&gt;0,$A448&lt;M$6),AND(M$7&gt;0,$A448&gt;M$7)),0,MAX(0,ROUND((INDEX($E448:$G448,M$5)-SUMIFS(TF_Timer,TF_Tekniker,M$4,TF_Dato,$A448))*2,0)/2)))</f>
        <v/>
      </c>
      <c r="N448">
        <f>IF(OR(N$4="",$A448&gt;TODAY()),0,IF(OR(INDEX($B448:$D448,N$5)="F",AND(N$6&gt;0,$A448&lt;N$6),AND(N$7&gt;0,$A448&gt;N$7)),0,MAX(0,ROUND((INDEX($E448:$G448,N$5)-SUMIFS(TF_Timer,TF_Tekniker,N$4,TF_Dato,$A448))*2,0)/2)))</f>
        <v/>
      </c>
      <c r="O448">
        <f>IF(OR(O$4="",$A448&gt;TODAY()),0,IF(OR(INDEX($B448:$D448,O$5)="F",AND(O$6&gt;0,$A448&lt;O$6),AND(O$7&gt;0,$A448&gt;O$7)),0,MAX(0,ROUND((INDEX($E448:$G448,O$5)-SUMIFS(TF_Timer,TF_Tekniker,O$4,TF_Dato,$A448))*2,0)/2)))</f>
        <v/>
      </c>
      <c r="P448">
        <f>IF(OR(P$4="",$A448&gt;TODAY()),0,IF(OR(INDEX($B448:$D448,P$5)="F",AND(P$6&gt;0,$A448&lt;P$6),AND(P$7&gt;0,$A448&gt;P$7)),0,MAX(0,ROUND((INDEX($E448:$G448,P$5)-SUMIFS(TF_Timer,TF_Tekniker,P$4,TF_Dato,$A448))*2,0)/2)))</f>
        <v/>
      </c>
      <c r="Q448">
        <f>IF(OR(Q$4="",$A448&gt;TODAY()),0,IF(OR(INDEX($B448:$D448,Q$5)="F",AND(Q$6&gt;0,$A448&lt;Q$6),AND(Q$7&gt;0,$A448&gt;Q$7)),0,MAX(0,ROUND((INDEX($E448:$G448,Q$5)-SUMIFS(TF_Timer,TF_Tekniker,Q$4,TF_Dato,$A448))*2,0)/2)))</f>
        <v/>
      </c>
      <c r="R448">
        <f>IF(OR(R$4="",$A448&gt;TODAY()),0,IF(OR(INDEX($B448:$D448,R$5)="F",AND(R$6&gt;0,$A448&lt;R$6),AND(R$7&gt;0,$A448&gt;R$7)),0,MAX(0,ROUND((INDEX($E448:$G448,R$5)-SUMIFS(TF_Timer,TF_Tekniker,R$4,TF_Dato,$A448))*2,0)/2)))</f>
        <v/>
      </c>
      <c r="S448">
        <f>IF(OR(S$4="",$A448&gt;TODAY()),0,IF(OR(INDEX($B448:$D448,S$5)="F",AND(S$6&gt;0,$A448&lt;S$6),AND(S$7&gt;0,$A448&gt;S$7)),0,MAX(0,ROUND((INDEX($E448:$G448,S$5)-SUMIFS(TF_Timer,TF_Tekniker,S$4,TF_Dato,$A448))*2,0)/2)))</f>
        <v/>
      </c>
      <c r="T448">
        <f>IF(OR(T$4="",$A448&gt;TODAY()),0,IF(OR(INDEX($B448:$D448,T$5)="F",AND(T$6&gt;0,$A448&lt;T$6),AND(T$7&gt;0,$A448&gt;T$7)),0,MAX(0,ROUND((INDEX($E448:$G448,T$5)-SUMIFS(TF_Timer,TF_Tekniker,T$4,TF_Dato,$A448))*2,0)/2)))</f>
        <v/>
      </c>
      <c r="U448">
        <f>IF(OR(U$4="",$A448&gt;TODAY()),0,IF(OR(INDEX($B448:$D448,U$5)="F",AND(U$6&gt;0,$A448&lt;U$6),AND(U$7&gt;0,$A448&gt;U$7)),0,MAX(0,ROUND((INDEX($E448:$G448,U$5)-SUMIFS(TF_Timer,TF_Tekniker,U$4,TF_Dato,$A448))*2,0)/2)))</f>
        <v/>
      </c>
      <c r="V448">
        <f>IF(OR(V$4="",$A448&gt;TODAY()),0,IF(OR(INDEX($B448:$D448,V$5)="F",AND(V$6&gt;0,$A448&lt;V$6),AND(V$7&gt;0,$A448&gt;V$7)),0,MAX(0,ROUND((INDEX($E448:$G448,V$5)-SUMIFS(TF_Timer,TF_Tekniker,V$4,TF_Dato,$A448))*2,0)/2)))</f>
        <v/>
      </c>
      <c r="W448">
        <f>IF(OR(W$4="",$A448&gt;TODAY()),0,IF(OR(INDEX($B448:$D448,W$5)="F",AND(W$6&gt;0,$A448&lt;W$6),AND(W$7&gt;0,$A448&gt;W$7)),0,MAX(0,ROUND((INDEX($E448:$G448,W$5)-SUMIFS(TF_Timer,TF_Tekniker,W$4,TF_Dato,$A448))*2,0)/2)))</f>
        <v/>
      </c>
      <c r="X448">
        <f>IF(OR(X$4="",$A448&gt;TODAY()),0,IF(OR(INDEX($B448:$D448,X$5)="F",AND(X$6&gt;0,$A448&lt;X$6),AND(X$7&gt;0,$A448&gt;X$7)),0,MAX(0,ROUND((INDEX($E448:$G448,X$5)-SUMIFS(TF_Timer,TF_Tekniker,X$4,TF_Dato,$A448))*2,0)/2)))</f>
        <v/>
      </c>
      <c r="Y448">
        <f>IF(OR(Y$4="",$A448&gt;TODAY()),0,IF(OR(INDEX($B448:$D448,Y$5)="F",AND(Y$6&gt;0,$A448&lt;Y$6),AND(Y$7&gt;0,$A448&gt;Y$7)),0,MAX(0,ROUND((INDEX($E448:$G448,Y$5)-SUMIFS(TF_Timer,TF_Tekniker,Y$4,TF_Dato,$A448))*2,0)/2)))</f>
        <v/>
      </c>
      <c r="Z448">
        <f>IF(OR(Z$4="",$A448&gt;TODAY()),0,IF(OR(INDEX($B448:$D448,Z$5)="F",AND(Z$6&gt;0,$A448&lt;Z$6),AND(Z$7&gt;0,$A448&gt;Z$7)),0,MAX(0,ROUND((INDEX($E448:$G448,Z$5)-SUMIFS(TF_Timer,TF_Tekniker,Z$4,TF_Dato,$A448))*2,0)/2)))</f>
        <v/>
      </c>
      <c r="AA448">
        <f>IF(OR(AA$4="",$A448&gt;TODAY()),0,IF(OR(INDEX($B448:$D448,AA$5)="F",AND(AA$6&gt;0,$A448&lt;AA$6),AND(AA$7&gt;0,$A448&gt;AA$7)),0,MAX(0,ROUND((INDEX($E448:$G448,AA$5)-SUMIFS(TF_Timer,TF_Tekniker,AA$4,TF_Dato,$A448))*2,0)/2)))</f>
        <v/>
      </c>
      <c r="AB448">
        <f>IF(OR(AB$4="",$A448&gt;TODAY()),0,IF(OR(INDEX($B448:$D448,AB$5)="F",AND(AB$6&gt;0,$A448&lt;AB$6),AND(AB$7&gt;0,$A448&gt;AB$7)),0,MAX(0,ROUND((INDEX($E448:$G448,AB$5)-SUMIFS(TF_Timer,TF_Tekniker,AB$4,TF_Dato,$A448))*2,0)/2)))</f>
        <v/>
      </c>
      <c r="AC448">
        <f>IF(OR(AC$4="",$A448&gt;TODAY()),0,IF(OR(INDEX($B448:$D448,AC$5)="F",AND(AC$6&gt;0,$A448&lt;AC$6),AND(AC$7&gt;0,$A448&gt;AC$7)),0,MAX(0,ROUND((INDEX($E448:$G448,AC$5)-SUMIFS(TF_Timer,TF_Tekniker,AC$4,TF_Dato,$A448))*2,0)/2)))</f>
        <v/>
      </c>
      <c r="AD448">
        <f>IF(OR(AD$4="",$A448&gt;TODAY()),0,IF(OR(INDEX($B448:$D448,AD$5)="F",AND(AD$6&gt;0,$A448&lt;AD$6),AND(AD$7&gt;0,$A448&gt;AD$7)),0,MAX(0,ROUND((INDEX($E448:$G448,AD$5)-SUMIFS(TF_Timer,TF_Tekniker,AD$4,TF_Dato,$A448))*2,0)/2)))</f>
        <v/>
      </c>
      <c r="AE448">
        <f>IF(OR(AE$4="",$A448&gt;TODAY()),0,IF(OR(INDEX($B448:$D448,AE$5)="F",AND(AE$6&gt;0,$A448&lt;AE$6),AND(AE$7&gt;0,$A448&gt;AE$7)),0,MAX(0,ROUND((INDEX($E448:$G448,AE$5)-SUMIFS(TF_Timer,TF_Tekniker,AE$4,TF_Dato,$A448))*2,0)/2)))</f>
        <v/>
      </c>
      <c r="AF448">
        <f>IF(OR(AF$4="",$A448&gt;TODAY()),0,IF(OR(INDEX($B448:$D448,AF$5)="F",AND(AF$6&gt;0,$A448&lt;AF$6),AND(AF$7&gt;0,$A448&gt;AF$7)),0,MAX(0,ROUND((INDEX($E448:$G448,AF$5)-SUMIFS(TF_Timer,TF_Tekniker,AF$4,TF_Dato,$A448))*2,0)/2)))</f>
        <v/>
      </c>
      <c r="AG448">
        <f>IF(OR(AG$4="",$A448&gt;TODAY()),0,IF(OR(INDEX($B448:$D448,AG$5)="F",AND(AG$6&gt;0,$A448&lt;AG$6),AND(AG$7&gt;0,$A448&gt;AG$7)),0,MAX(0,ROUND((INDEX($E448:$G448,AG$5)-SUMIFS(TF_Timer,TF_Tekniker,AG$4,TF_Dato,$A448))*2,0)/2)))</f>
        <v/>
      </c>
      <c r="AH448">
        <f>IF(OR(AH$4="",$A448&gt;TODAY()),0,IF(OR(INDEX($B448:$D448,AH$5)="F",AND(AH$6&gt;0,$A448&lt;AH$6),AND(AH$7&gt;0,$A448&gt;AH$7)),0,MAX(0,ROUND((INDEX($E448:$G448,AH$5)-SUMIFS(TF_Timer,TF_Tekniker,AH$4,TF_Dato,$A448))*2,0)/2)))</f>
        <v/>
      </c>
      <c r="AI448">
        <f>IF(OR(AI$4="",$A448&gt;TODAY()),0,IF(OR(INDEX($B448:$D448,AI$5)="F",AND(AI$6&gt;0,$A448&lt;AI$6),AND(AI$7&gt;0,$A448&gt;AI$7)),0,MAX(0,ROUND((INDEX($E448:$G448,AI$5)-SUMIFS(TF_Timer,TF_Tekniker,AI$4,TF_Dato,$A448))*2,0)/2)))</f>
        <v/>
      </c>
      <c r="AJ448">
        <f>IF(OR(AJ$4="",$A448&gt;TODAY()),0,IF(OR(INDEX($B448:$D448,AJ$5)="F",AND(AJ$6&gt;0,$A448&lt;AJ$6),AND(AJ$7&gt;0,$A448&gt;AJ$7)),0,MAX(0,ROUND((INDEX($E448:$G448,AJ$5)-SUMIFS(TF_Timer,TF_Tekniker,AJ$4,TF_Dato,$A448))*2,0)/2)))</f>
        <v/>
      </c>
      <c r="AK448">
        <f>IF(OR(AK$4="",$A448&gt;TODAY()),0,IF(OR(INDEX($B448:$D448,AK$5)="F",AND(AK$6&gt;0,$A448&lt;AK$6),AND(AK$7&gt;0,$A448&gt;AK$7)),0,MAX(0,ROUND((INDEX($E448:$G448,AK$5)-SUMIFS(TF_Timer,TF_Tekniker,AK$4,TF_Dato,$A448))*2,0)/2)))</f>
        <v/>
      </c>
      <c r="AL448">
        <f>IF(OR(AL$4="",$A448&gt;TODAY()),0,IF(OR(INDEX($B448:$D448,AL$5)="F",AND(AL$6&gt;0,$A448&lt;AL$6),AND(AL$7&gt;0,$A448&gt;AL$7)),0,MAX(0,ROUND((INDEX($E448:$G448,AL$5)-SUMIFS(TF_Timer,TF_Tekniker,AL$4,TF_Dato,$A448))*2,0)/2)))</f>
        <v/>
      </c>
      <c r="AM448">
        <f>IF(OR(AM$4="",$A448&gt;TODAY()),0,IF(OR(INDEX($B448:$D448,AM$5)="F",AND(AM$6&gt;0,$A448&lt;AM$6),AND(AM$7&gt;0,$A448&gt;AM$7)),0,MAX(0,ROUND((INDEX($E448:$G448,AM$5)-SUMIFS(TF_Timer,TF_Tekniker,AM$4,TF_Dato,$A448))*2,0)/2)))</f>
        <v/>
      </c>
      <c r="AN448">
        <f>IF(OR(AN$4="",$A448&gt;TODAY()),0,IF(OR(INDEX($B448:$D448,AN$5)="F",AND(AN$6&gt;0,$A448&lt;AN$6),AND(AN$7&gt;0,$A448&gt;AN$7)),0,MAX(0,ROUND((INDEX($E448:$G448,AN$5)-SUMIFS(TF_Timer,TF_Tekniker,AN$4,TF_Dato,$A448))*2,0)/2)))</f>
        <v/>
      </c>
      <c r="AO448">
        <f>IF(OR(AO$4="",$A448&gt;TODAY()),0,IF(OR(INDEX($B448:$D448,AO$5)="F",AND(AO$6&gt;0,$A448&lt;AO$6),AND(AO$7&gt;0,$A448&gt;AO$7)),0,MAX(0,ROUND((INDEX($E448:$G448,AO$5)-SUMIFS(TF_Timer,TF_Tekniker,AO$4,TF_Dato,$A448))*2,0)/2)))</f>
        <v/>
      </c>
      <c r="AP448">
        <f>IF(OR(AP$4="",$A448&gt;TODAY()),0,IF(OR(INDEX($B448:$D448,AP$5)="F",AND(AP$6&gt;0,$A448&lt;AP$6),AND(AP$7&gt;0,$A448&gt;AP$7)),0,MAX(0,ROUND((INDEX($E448:$G448,AP$5)-SUMIFS(TF_Timer,TF_Tekniker,AP$4,TF_Dato,$A448))*2,0)/2)))</f>
        <v/>
      </c>
      <c r="AQ448">
        <f>IF(OR(AQ$4="",$A448&gt;TODAY()),0,IF(OR(INDEX($B448:$D448,AQ$5)="F",AND(AQ$6&gt;0,$A448&lt;AQ$6),AND(AQ$7&gt;0,$A448&gt;AQ$7)),0,MAX(0,ROUND((INDEX($E448:$G448,AQ$5)-SUMIFS(TF_Timer,TF_Tekniker,AQ$4,TF_Dato,$A448))*2,0)/2)))</f>
        <v/>
      </c>
      <c r="AR448">
        <f>IF(OR(AR$4="",$A448&gt;TODAY()),0,IF(OR(INDEX($B448:$D448,AR$5)="F",AND(AR$6&gt;0,$A448&lt;AR$6),AND(AR$7&gt;0,$A448&gt;AR$7)),0,MAX(0,ROUND((INDEX($E448:$G448,AR$5)-SUMIFS(TF_Timer,TF_Tekniker,AR$4,TF_Dato,$A448))*2,0)/2)))</f>
        <v/>
      </c>
      <c r="AS448">
        <f>IF(OR(AS$4="",$A448&gt;TODAY()),0,IF(OR(INDEX($B448:$D448,AS$5)="F",AND(AS$6&gt;0,$A448&lt;AS$6),AND(AS$7&gt;0,$A448&gt;AS$7)),0,MAX(0,ROUND((INDEX($E448:$G448,AS$5)-SUMIFS(TF_Timer,TF_Tekniker,AS$4,TF_Dato,$A448))*2,0)/2)))</f>
        <v/>
      </c>
      <c r="AT448">
        <f>IF(OR(AT$4="",$A448&gt;TODAY()),0,IF(OR(INDEX($B448:$D448,AT$5)="F",AND(AT$6&gt;0,$A448&lt;AT$6),AND(AT$7&gt;0,$A448&gt;AT$7)),0,MAX(0,ROUND((INDEX($E448:$G448,AT$5)-SUMIFS(TF_Timer,TF_Tekniker,AT$4,TF_Dato,$A448))*2,0)/2)))</f>
        <v/>
      </c>
      <c r="AU448">
        <f>IF(OR(AU$4="",$A448&gt;TODAY()),0,IF(OR(INDEX($B448:$D448,AU$5)="F",AND(AU$6&gt;0,$A448&lt;AU$6),AND(AU$7&gt;0,$A448&gt;AU$7)),0,MAX(0,ROUND((INDEX($E448:$G448,AU$5)-SUMIFS(TF_Timer,TF_Tekniker,AU$4,TF_Dato,$A448))*2,0)/2)))</f>
        <v/>
      </c>
      <c r="AV448">
        <f>IF(OR(AV$4="",$A448&gt;TODAY()),0,IF(OR(INDEX($B448:$D448,AV$5)="F",AND(AV$6&gt;0,$A448&lt;AV$6),AND(AV$7&gt;0,$A448&gt;AV$7)),0,MAX(0,ROUND((INDEX($E448:$G448,AV$5)-SUMIFS(TF_Timer,TF_Tekniker,AV$4,TF_Dato,$A448))*2,0)/2)))</f>
        <v/>
      </c>
      <c r="AW448">
        <f>IF(OR(AW$4="",$A448&gt;TODAY()),0,IF(OR(INDEX($B448:$D448,AW$5)="F",AND(AW$6&gt;0,$A448&lt;AW$6),AND(AW$7&gt;0,$A448&gt;AW$7)),0,MAX(0,ROUND((INDEX($E448:$G448,AW$5)-SUMIFS(TF_Timer,TF_Tekniker,AW$4,TF_Dato,$A448))*2,0)/2)))</f>
        <v/>
      </c>
      <c r="AX448">
        <f>IF(OR(AX$4="",$A448&gt;TODAY()),0,IF(OR(INDEX($B448:$D448,AX$5)="F",AND(AX$6&gt;0,$A448&lt;AX$6),AND(AX$7&gt;0,$A448&gt;AX$7)),0,MAX(0,ROUND((INDEX($E448:$G448,AX$5)-SUMIFS(TF_Timer,TF_Tekniker,AX$4,TF_Dato,$A448))*2,0)/2)))</f>
        <v/>
      </c>
      <c r="AY448">
        <f>IF(OR(AY$4="",$A448&gt;TODAY()),0,IF(OR(INDEX($B448:$D448,AY$5)="F",AND(AY$6&gt;0,$A448&lt;AY$6),AND(AY$7&gt;0,$A448&gt;AY$7)),0,MAX(0,ROUND((INDEX($E448:$G448,AY$5)-SUMIFS(TF_Timer,TF_Tekniker,AY$4,TF_Dato,$A448))*2,0)/2)))</f>
        <v/>
      </c>
      <c r="AZ448">
        <f>IF(OR(AZ$4="",$A448&gt;TODAY()),0,IF(OR(INDEX($B448:$D448,AZ$5)="F",AND(AZ$6&gt;0,$A448&lt;AZ$6),AND(AZ$7&gt;0,$A448&gt;AZ$7)),0,MAX(0,ROUND((INDEX($E448:$G448,AZ$5)-SUMIFS(TF_Timer,TF_Tekniker,AZ$4,TF_Dato,$A448))*2,0)/2)))</f>
        <v/>
      </c>
      <c r="BA448">
        <f>IF(OR(BA$4="",$A448&gt;TODAY()),0,IF(OR(INDEX($B448:$D448,BA$5)="F",AND(BA$6&gt;0,$A448&lt;BA$6),AND(BA$7&gt;0,$A448&gt;BA$7)),0,MAX(0,ROUND((INDEX($E448:$G448,BA$5)-SUMIFS(TF_Timer,TF_Tekniker,BA$4,TF_Dato,$A448))*2,0)/2)))</f>
        <v/>
      </c>
      <c r="BB448">
        <f>IF(OR(BB$4="",$A448&gt;TODAY()),0,IF(OR(INDEX($B448:$D448,BB$5)="F",AND(BB$6&gt;0,$A448&lt;BB$6),AND(BB$7&gt;0,$A448&gt;BB$7)),0,MAX(0,ROUND((INDEX($E448:$G448,BB$5)-SUMIFS(TF_Timer,TF_Tekniker,BB$4,TF_Dato,$A448))*2,0)/2)))</f>
        <v/>
      </c>
      <c r="BC448">
        <f>IF(OR(BC$4="",$A448&gt;TODAY()),0,IF(OR(INDEX($B448:$D448,BC$5)="F",AND(BC$6&gt;0,$A448&lt;BC$6),AND(BC$7&gt;0,$A448&gt;BC$7)),0,MAX(0,ROUND((INDEX($E448:$G448,BC$5)-SUMIFS(TF_Timer,TF_Tekniker,BC$4,TF_Dato,$A448))*2,0)/2)))</f>
        <v/>
      </c>
      <c r="BD448">
        <f>IF(OR(BD$4="",$A448&gt;TODAY()),0,IF(OR(INDEX($B448:$D448,BD$5)="F",AND(BD$6&gt;0,$A448&lt;BD$6),AND(BD$7&gt;0,$A448&gt;BD$7)),0,MAX(0,ROUND((INDEX($E448:$G448,BD$5)-SUMIFS(TF_Timer,TF_Tekniker,BD$4,TF_Dato,$A448))*2,0)/2)))</f>
        <v/>
      </c>
      <c r="BE448">
        <f>IF(OR(BE$4="",$A448&gt;TODAY()),0,IF(OR(INDEX($B448:$D448,BE$5)="F",AND(BE$6&gt;0,$A448&lt;BE$6),AND(BE$7&gt;0,$A448&gt;BE$7)),0,MAX(0,ROUND((INDEX($E448:$G448,BE$5)-SUMIFS(TF_Timer,TF_Tekniker,BE$4,TF_Dato,$A448))*2,0)/2)))</f>
        <v/>
      </c>
      <c r="BF448">
        <f>IF(OR(BF$4="",$A448&gt;TODAY()),0,IF(OR(INDEX($B448:$D448,BF$5)="F",AND(BF$6&gt;0,$A448&lt;BF$6),AND(BF$7&gt;0,$A448&gt;BF$7)),0,MAX(0,ROUND((INDEX($E448:$G448,BF$5)-SUMIFS(TF_Timer,TF_Tekniker,BF$4,TF_Dato,$A448))*2,0)/2)))</f>
        <v/>
      </c>
      <c r="BG448">
        <f>IF(OR(BG$4="",$A448&gt;TODAY()),0,IF(OR(INDEX($B448:$D448,BG$5)="F",AND(BG$6&gt;0,$A448&lt;BG$6),AND(BG$7&gt;0,$A448&gt;BG$7)),0,MAX(0,ROUND((INDEX($E448:$G448,BG$5)-SUMIFS(TF_Timer,TF_Tekniker,BG$4,TF_Dato,$A448))*2,0)/2)))</f>
        <v/>
      </c>
      <c r="BH448">
        <f>IF(OR(BH$4="",$A448&gt;TODAY()),0,IF(OR(INDEX($B448:$D448,BH$5)="F",AND(BH$6&gt;0,$A448&lt;BH$6),AND(BH$7&gt;0,$A448&gt;BH$7)),0,MAX(0,ROUND((INDEX($E448:$G448,BH$5)-SUMIFS(TF_Timer,TF_Tekniker,BH$4,TF_Dato,$A448))*2,0)/2)))</f>
        <v/>
      </c>
      <c r="BI448">
        <f>IF(OR(BI$4="",$A448&gt;TODAY()),0,IF(OR(INDEX($B448:$D448,BI$5)="F",AND(BI$6&gt;0,$A448&lt;BI$6),AND(BI$7&gt;0,$A448&gt;BI$7)),0,MAX(0,ROUND((INDEX($E448:$G448,BI$5)-SUMIFS(TF_Timer,TF_Tekniker,BI$4,TF_Dato,$A448))*2,0)/2)))</f>
        <v/>
      </c>
    </row>
    <row r="449">
      <c r="A449" s="64">
        <f>A448+1</f>
        <v/>
      </c>
      <c r="B449">
        <f>IF(MOD($A449-INDEX(SkiftStart,1),Syklus)&lt;DagK,"K",IF(MOD($A449-INDEX(SkiftStart,1),Syklus)&lt;DagK+DagH,"H",IF(MOD($A449-INDEX(SkiftStart,1),Syklus)&lt;DagK+DagH+DagD,"D","F")))</f>
        <v/>
      </c>
      <c r="C449">
        <f>IF(MOD($A449-INDEX(SkiftStart,2),Syklus)&lt;DagK,"K",IF(MOD($A449-INDEX(SkiftStart,2),Syklus)&lt;DagK+DagH,"H",IF(MOD($A449-INDEX(SkiftStart,2),Syklus)&lt;DagK+DagH+DagD,"D","F")))</f>
        <v/>
      </c>
      <c r="D449">
        <f>IF(MOD($A449-INDEX(SkiftStart,3),Syklus)&lt;DagK,"K",IF(MOD($A449-INDEX(SkiftStart,3),Syklus)&lt;DagK+DagH,"H",IF(MOD($A449-INDEX(SkiftStart,3),Syklus)&lt;DagK+DagH+DagD,"D","F")))</f>
        <v/>
      </c>
      <c r="E449">
        <f>IF(B449="F",0,IF(WEEKDAY($A449,2)=5,INDEX(TimerFr,MATCH(B449,FaseKode,0)),INDEX(TimerMT,MATCH(B449,FaseKode,0))))</f>
        <v/>
      </c>
      <c r="F449">
        <f>IF(C449="F",0,IF(WEEKDAY($A449,2)=5,INDEX(TimerFr,MATCH(C449,FaseKode,0)),INDEX(TimerMT,MATCH(C449,FaseKode,0))))</f>
        <v/>
      </c>
      <c r="G449">
        <f>IF(D449="F",0,IF(WEEKDAY($A449,2)=5,INDEX(TimerFr,MATCH(D449,FaseKode,0)),INDEX(TimerMT,MATCH(D449,FaseKode,0))))</f>
        <v/>
      </c>
      <c r="H449">
        <f>IF(OR(H$4="",$A449&gt;TODAY()),0,IF(OR(INDEX($B449:$D449,H$5)="F",AND(H$6&gt;0,$A449&lt;H$6),AND(H$7&gt;0,$A449&gt;H$7)),0,MAX(0,ROUND((INDEX($E449:$G449,H$5)-SUMIFS(TF_Timer,TF_Tekniker,H$4,TF_Dato,$A449))*2,0)/2)))</f>
        <v/>
      </c>
      <c r="I449">
        <f>IF(OR(I$4="",$A449&gt;TODAY()),0,IF(OR(INDEX($B449:$D449,I$5)="F",AND(I$6&gt;0,$A449&lt;I$6),AND(I$7&gt;0,$A449&gt;I$7)),0,MAX(0,ROUND((INDEX($E449:$G449,I$5)-SUMIFS(TF_Timer,TF_Tekniker,I$4,TF_Dato,$A449))*2,0)/2)))</f>
        <v/>
      </c>
      <c r="J449">
        <f>IF(OR(J$4="",$A449&gt;TODAY()),0,IF(OR(INDEX($B449:$D449,J$5)="F",AND(J$6&gt;0,$A449&lt;J$6),AND(J$7&gt;0,$A449&gt;J$7)),0,MAX(0,ROUND((INDEX($E449:$G449,J$5)-SUMIFS(TF_Timer,TF_Tekniker,J$4,TF_Dato,$A449))*2,0)/2)))</f>
        <v/>
      </c>
      <c r="K449">
        <f>IF(OR(K$4="",$A449&gt;TODAY()),0,IF(OR(INDEX($B449:$D449,K$5)="F",AND(K$6&gt;0,$A449&lt;K$6),AND(K$7&gt;0,$A449&gt;K$7)),0,MAX(0,ROUND((INDEX($E449:$G449,K$5)-SUMIFS(TF_Timer,TF_Tekniker,K$4,TF_Dato,$A449))*2,0)/2)))</f>
        <v/>
      </c>
      <c r="L449">
        <f>IF(OR(L$4="",$A449&gt;TODAY()),0,IF(OR(INDEX($B449:$D449,L$5)="F",AND(L$6&gt;0,$A449&lt;L$6),AND(L$7&gt;0,$A449&gt;L$7)),0,MAX(0,ROUND((INDEX($E449:$G449,L$5)-SUMIFS(TF_Timer,TF_Tekniker,L$4,TF_Dato,$A449))*2,0)/2)))</f>
        <v/>
      </c>
      <c r="M449">
        <f>IF(OR(M$4="",$A449&gt;TODAY()),0,IF(OR(INDEX($B449:$D449,M$5)="F",AND(M$6&gt;0,$A449&lt;M$6),AND(M$7&gt;0,$A449&gt;M$7)),0,MAX(0,ROUND((INDEX($E449:$G449,M$5)-SUMIFS(TF_Timer,TF_Tekniker,M$4,TF_Dato,$A449))*2,0)/2)))</f>
        <v/>
      </c>
      <c r="N449">
        <f>IF(OR(N$4="",$A449&gt;TODAY()),0,IF(OR(INDEX($B449:$D449,N$5)="F",AND(N$6&gt;0,$A449&lt;N$6),AND(N$7&gt;0,$A449&gt;N$7)),0,MAX(0,ROUND((INDEX($E449:$G449,N$5)-SUMIFS(TF_Timer,TF_Tekniker,N$4,TF_Dato,$A449))*2,0)/2)))</f>
        <v/>
      </c>
      <c r="O449">
        <f>IF(OR(O$4="",$A449&gt;TODAY()),0,IF(OR(INDEX($B449:$D449,O$5)="F",AND(O$6&gt;0,$A449&lt;O$6),AND(O$7&gt;0,$A449&gt;O$7)),0,MAX(0,ROUND((INDEX($E449:$G449,O$5)-SUMIFS(TF_Timer,TF_Tekniker,O$4,TF_Dato,$A449))*2,0)/2)))</f>
        <v/>
      </c>
      <c r="P449">
        <f>IF(OR(P$4="",$A449&gt;TODAY()),0,IF(OR(INDEX($B449:$D449,P$5)="F",AND(P$6&gt;0,$A449&lt;P$6),AND(P$7&gt;0,$A449&gt;P$7)),0,MAX(0,ROUND((INDEX($E449:$G449,P$5)-SUMIFS(TF_Timer,TF_Tekniker,P$4,TF_Dato,$A449))*2,0)/2)))</f>
        <v/>
      </c>
      <c r="Q449">
        <f>IF(OR(Q$4="",$A449&gt;TODAY()),0,IF(OR(INDEX($B449:$D449,Q$5)="F",AND(Q$6&gt;0,$A449&lt;Q$6),AND(Q$7&gt;0,$A449&gt;Q$7)),0,MAX(0,ROUND((INDEX($E449:$G449,Q$5)-SUMIFS(TF_Timer,TF_Tekniker,Q$4,TF_Dato,$A449))*2,0)/2)))</f>
        <v/>
      </c>
      <c r="R449">
        <f>IF(OR(R$4="",$A449&gt;TODAY()),0,IF(OR(INDEX($B449:$D449,R$5)="F",AND(R$6&gt;0,$A449&lt;R$6),AND(R$7&gt;0,$A449&gt;R$7)),0,MAX(0,ROUND((INDEX($E449:$G449,R$5)-SUMIFS(TF_Timer,TF_Tekniker,R$4,TF_Dato,$A449))*2,0)/2)))</f>
        <v/>
      </c>
      <c r="S449">
        <f>IF(OR(S$4="",$A449&gt;TODAY()),0,IF(OR(INDEX($B449:$D449,S$5)="F",AND(S$6&gt;0,$A449&lt;S$6),AND(S$7&gt;0,$A449&gt;S$7)),0,MAX(0,ROUND((INDEX($E449:$G449,S$5)-SUMIFS(TF_Timer,TF_Tekniker,S$4,TF_Dato,$A449))*2,0)/2)))</f>
        <v/>
      </c>
      <c r="T449">
        <f>IF(OR(T$4="",$A449&gt;TODAY()),0,IF(OR(INDEX($B449:$D449,T$5)="F",AND(T$6&gt;0,$A449&lt;T$6),AND(T$7&gt;0,$A449&gt;T$7)),0,MAX(0,ROUND((INDEX($E449:$G449,T$5)-SUMIFS(TF_Timer,TF_Tekniker,T$4,TF_Dato,$A449))*2,0)/2)))</f>
        <v/>
      </c>
      <c r="U449">
        <f>IF(OR(U$4="",$A449&gt;TODAY()),0,IF(OR(INDEX($B449:$D449,U$5)="F",AND(U$6&gt;0,$A449&lt;U$6),AND(U$7&gt;0,$A449&gt;U$7)),0,MAX(0,ROUND((INDEX($E449:$G449,U$5)-SUMIFS(TF_Timer,TF_Tekniker,U$4,TF_Dato,$A449))*2,0)/2)))</f>
        <v/>
      </c>
      <c r="V449">
        <f>IF(OR(V$4="",$A449&gt;TODAY()),0,IF(OR(INDEX($B449:$D449,V$5)="F",AND(V$6&gt;0,$A449&lt;V$6),AND(V$7&gt;0,$A449&gt;V$7)),0,MAX(0,ROUND((INDEX($E449:$G449,V$5)-SUMIFS(TF_Timer,TF_Tekniker,V$4,TF_Dato,$A449))*2,0)/2)))</f>
        <v/>
      </c>
      <c r="W449">
        <f>IF(OR(W$4="",$A449&gt;TODAY()),0,IF(OR(INDEX($B449:$D449,W$5)="F",AND(W$6&gt;0,$A449&lt;W$6),AND(W$7&gt;0,$A449&gt;W$7)),0,MAX(0,ROUND((INDEX($E449:$G449,W$5)-SUMIFS(TF_Timer,TF_Tekniker,W$4,TF_Dato,$A449))*2,0)/2)))</f>
        <v/>
      </c>
      <c r="X449">
        <f>IF(OR(X$4="",$A449&gt;TODAY()),0,IF(OR(INDEX($B449:$D449,X$5)="F",AND(X$6&gt;0,$A449&lt;X$6),AND(X$7&gt;0,$A449&gt;X$7)),0,MAX(0,ROUND((INDEX($E449:$G449,X$5)-SUMIFS(TF_Timer,TF_Tekniker,X$4,TF_Dato,$A449))*2,0)/2)))</f>
        <v/>
      </c>
      <c r="Y449">
        <f>IF(OR(Y$4="",$A449&gt;TODAY()),0,IF(OR(INDEX($B449:$D449,Y$5)="F",AND(Y$6&gt;0,$A449&lt;Y$6),AND(Y$7&gt;0,$A449&gt;Y$7)),0,MAX(0,ROUND((INDEX($E449:$G449,Y$5)-SUMIFS(TF_Timer,TF_Tekniker,Y$4,TF_Dato,$A449))*2,0)/2)))</f>
        <v/>
      </c>
      <c r="Z449">
        <f>IF(OR(Z$4="",$A449&gt;TODAY()),0,IF(OR(INDEX($B449:$D449,Z$5)="F",AND(Z$6&gt;0,$A449&lt;Z$6),AND(Z$7&gt;0,$A449&gt;Z$7)),0,MAX(0,ROUND((INDEX($E449:$G449,Z$5)-SUMIFS(TF_Timer,TF_Tekniker,Z$4,TF_Dato,$A449))*2,0)/2)))</f>
        <v/>
      </c>
      <c r="AA449">
        <f>IF(OR(AA$4="",$A449&gt;TODAY()),0,IF(OR(INDEX($B449:$D449,AA$5)="F",AND(AA$6&gt;0,$A449&lt;AA$6),AND(AA$7&gt;0,$A449&gt;AA$7)),0,MAX(0,ROUND((INDEX($E449:$G449,AA$5)-SUMIFS(TF_Timer,TF_Tekniker,AA$4,TF_Dato,$A449))*2,0)/2)))</f>
        <v/>
      </c>
      <c r="AB449">
        <f>IF(OR(AB$4="",$A449&gt;TODAY()),0,IF(OR(INDEX($B449:$D449,AB$5)="F",AND(AB$6&gt;0,$A449&lt;AB$6),AND(AB$7&gt;0,$A449&gt;AB$7)),0,MAX(0,ROUND((INDEX($E449:$G449,AB$5)-SUMIFS(TF_Timer,TF_Tekniker,AB$4,TF_Dato,$A449))*2,0)/2)))</f>
        <v/>
      </c>
      <c r="AC449">
        <f>IF(OR(AC$4="",$A449&gt;TODAY()),0,IF(OR(INDEX($B449:$D449,AC$5)="F",AND(AC$6&gt;0,$A449&lt;AC$6),AND(AC$7&gt;0,$A449&gt;AC$7)),0,MAX(0,ROUND((INDEX($E449:$G449,AC$5)-SUMIFS(TF_Timer,TF_Tekniker,AC$4,TF_Dato,$A449))*2,0)/2)))</f>
        <v/>
      </c>
      <c r="AD449">
        <f>IF(OR(AD$4="",$A449&gt;TODAY()),0,IF(OR(INDEX($B449:$D449,AD$5)="F",AND(AD$6&gt;0,$A449&lt;AD$6),AND(AD$7&gt;0,$A449&gt;AD$7)),0,MAX(0,ROUND((INDEX($E449:$G449,AD$5)-SUMIFS(TF_Timer,TF_Tekniker,AD$4,TF_Dato,$A449))*2,0)/2)))</f>
        <v/>
      </c>
      <c r="AE449">
        <f>IF(OR(AE$4="",$A449&gt;TODAY()),0,IF(OR(INDEX($B449:$D449,AE$5)="F",AND(AE$6&gt;0,$A449&lt;AE$6),AND(AE$7&gt;0,$A449&gt;AE$7)),0,MAX(0,ROUND((INDEX($E449:$G449,AE$5)-SUMIFS(TF_Timer,TF_Tekniker,AE$4,TF_Dato,$A449))*2,0)/2)))</f>
        <v/>
      </c>
      <c r="AF449">
        <f>IF(OR(AF$4="",$A449&gt;TODAY()),0,IF(OR(INDEX($B449:$D449,AF$5)="F",AND(AF$6&gt;0,$A449&lt;AF$6),AND(AF$7&gt;0,$A449&gt;AF$7)),0,MAX(0,ROUND((INDEX($E449:$G449,AF$5)-SUMIFS(TF_Timer,TF_Tekniker,AF$4,TF_Dato,$A449))*2,0)/2)))</f>
        <v/>
      </c>
      <c r="AG449">
        <f>IF(OR(AG$4="",$A449&gt;TODAY()),0,IF(OR(INDEX($B449:$D449,AG$5)="F",AND(AG$6&gt;0,$A449&lt;AG$6),AND(AG$7&gt;0,$A449&gt;AG$7)),0,MAX(0,ROUND((INDEX($E449:$G449,AG$5)-SUMIFS(TF_Timer,TF_Tekniker,AG$4,TF_Dato,$A449))*2,0)/2)))</f>
        <v/>
      </c>
      <c r="AH449">
        <f>IF(OR(AH$4="",$A449&gt;TODAY()),0,IF(OR(INDEX($B449:$D449,AH$5)="F",AND(AH$6&gt;0,$A449&lt;AH$6),AND(AH$7&gt;0,$A449&gt;AH$7)),0,MAX(0,ROUND((INDEX($E449:$G449,AH$5)-SUMIFS(TF_Timer,TF_Tekniker,AH$4,TF_Dato,$A449))*2,0)/2)))</f>
        <v/>
      </c>
      <c r="AI449">
        <f>IF(OR(AI$4="",$A449&gt;TODAY()),0,IF(OR(INDEX($B449:$D449,AI$5)="F",AND(AI$6&gt;0,$A449&lt;AI$6),AND(AI$7&gt;0,$A449&gt;AI$7)),0,MAX(0,ROUND((INDEX($E449:$G449,AI$5)-SUMIFS(TF_Timer,TF_Tekniker,AI$4,TF_Dato,$A449))*2,0)/2)))</f>
        <v/>
      </c>
      <c r="AJ449">
        <f>IF(OR(AJ$4="",$A449&gt;TODAY()),0,IF(OR(INDEX($B449:$D449,AJ$5)="F",AND(AJ$6&gt;0,$A449&lt;AJ$6),AND(AJ$7&gt;0,$A449&gt;AJ$7)),0,MAX(0,ROUND((INDEX($E449:$G449,AJ$5)-SUMIFS(TF_Timer,TF_Tekniker,AJ$4,TF_Dato,$A449))*2,0)/2)))</f>
        <v/>
      </c>
      <c r="AK449">
        <f>IF(OR(AK$4="",$A449&gt;TODAY()),0,IF(OR(INDEX($B449:$D449,AK$5)="F",AND(AK$6&gt;0,$A449&lt;AK$6),AND(AK$7&gt;0,$A449&gt;AK$7)),0,MAX(0,ROUND((INDEX($E449:$G449,AK$5)-SUMIFS(TF_Timer,TF_Tekniker,AK$4,TF_Dato,$A449))*2,0)/2)))</f>
        <v/>
      </c>
      <c r="AL449">
        <f>IF(OR(AL$4="",$A449&gt;TODAY()),0,IF(OR(INDEX($B449:$D449,AL$5)="F",AND(AL$6&gt;0,$A449&lt;AL$6),AND(AL$7&gt;0,$A449&gt;AL$7)),0,MAX(0,ROUND((INDEX($E449:$G449,AL$5)-SUMIFS(TF_Timer,TF_Tekniker,AL$4,TF_Dato,$A449))*2,0)/2)))</f>
        <v/>
      </c>
      <c r="AM449">
        <f>IF(OR(AM$4="",$A449&gt;TODAY()),0,IF(OR(INDEX($B449:$D449,AM$5)="F",AND(AM$6&gt;0,$A449&lt;AM$6),AND(AM$7&gt;0,$A449&gt;AM$7)),0,MAX(0,ROUND((INDEX($E449:$G449,AM$5)-SUMIFS(TF_Timer,TF_Tekniker,AM$4,TF_Dato,$A449))*2,0)/2)))</f>
        <v/>
      </c>
      <c r="AN449">
        <f>IF(OR(AN$4="",$A449&gt;TODAY()),0,IF(OR(INDEX($B449:$D449,AN$5)="F",AND(AN$6&gt;0,$A449&lt;AN$6),AND(AN$7&gt;0,$A449&gt;AN$7)),0,MAX(0,ROUND((INDEX($E449:$G449,AN$5)-SUMIFS(TF_Timer,TF_Tekniker,AN$4,TF_Dato,$A449))*2,0)/2)))</f>
        <v/>
      </c>
      <c r="AO449">
        <f>IF(OR(AO$4="",$A449&gt;TODAY()),0,IF(OR(INDEX($B449:$D449,AO$5)="F",AND(AO$6&gt;0,$A449&lt;AO$6),AND(AO$7&gt;0,$A449&gt;AO$7)),0,MAX(0,ROUND((INDEX($E449:$G449,AO$5)-SUMIFS(TF_Timer,TF_Tekniker,AO$4,TF_Dato,$A449))*2,0)/2)))</f>
        <v/>
      </c>
      <c r="AP449">
        <f>IF(OR(AP$4="",$A449&gt;TODAY()),0,IF(OR(INDEX($B449:$D449,AP$5)="F",AND(AP$6&gt;0,$A449&lt;AP$6),AND(AP$7&gt;0,$A449&gt;AP$7)),0,MAX(0,ROUND((INDEX($E449:$G449,AP$5)-SUMIFS(TF_Timer,TF_Tekniker,AP$4,TF_Dato,$A449))*2,0)/2)))</f>
        <v/>
      </c>
      <c r="AQ449">
        <f>IF(OR(AQ$4="",$A449&gt;TODAY()),0,IF(OR(INDEX($B449:$D449,AQ$5)="F",AND(AQ$6&gt;0,$A449&lt;AQ$6),AND(AQ$7&gt;0,$A449&gt;AQ$7)),0,MAX(0,ROUND((INDEX($E449:$G449,AQ$5)-SUMIFS(TF_Timer,TF_Tekniker,AQ$4,TF_Dato,$A449))*2,0)/2)))</f>
        <v/>
      </c>
      <c r="AR449">
        <f>IF(OR(AR$4="",$A449&gt;TODAY()),0,IF(OR(INDEX($B449:$D449,AR$5)="F",AND(AR$6&gt;0,$A449&lt;AR$6),AND(AR$7&gt;0,$A449&gt;AR$7)),0,MAX(0,ROUND((INDEX($E449:$G449,AR$5)-SUMIFS(TF_Timer,TF_Tekniker,AR$4,TF_Dato,$A449))*2,0)/2)))</f>
        <v/>
      </c>
      <c r="AS449">
        <f>IF(OR(AS$4="",$A449&gt;TODAY()),0,IF(OR(INDEX($B449:$D449,AS$5)="F",AND(AS$6&gt;0,$A449&lt;AS$6),AND(AS$7&gt;0,$A449&gt;AS$7)),0,MAX(0,ROUND((INDEX($E449:$G449,AS$5)-SUMIFS(TF_Timer,TF_Tekniker,AS$4,TF_Dato,$A449))*2,0)/2)))</f>
        <v/>
      </c>
      <c r="AT449">
        <f>IF(OR(AT$4="",$A449&gt;TODAY()),0,IF(OR(INDEX($B449:$D449,AT$5)="F",AND(AT$6&gt;0,$A449&lt;AT$6),AND(AT$7&gt;0,$A449&gt;AT$7)),0,MAX(0,ROUND((INDEX($E449:$G449,AT$5)-SUMIFS(TF_Timer,TF_Tekniker,AT$4,TF_Dato,$A449))*2,0)/2)))</f>
        <v/>
      </c>
      <c r="AU449">
        <f>IF(OR(AU$4="",$A449&gt;TODAY()),0,IF(OR(INDEX($B449:$D449,AU$5)="F",AND(AU$6&gt;0,$A449&lt;AU$6),AND(AU$7&gt;0,$A449&gt;AU$7)),0,MAX(0,ROUND((INDEX($E449:$G449,AU$5)-SUMIFS(TF_Timer,TF_Tekniker,AU$4,TF_Dato,$A449))*2,0)/2)))</f>
        <v/>
      </c>
      <c r="AV449">
        <f>IF(OR(AV$4="",$A449&gt;TODAY()),0,IF(OR(INDEX($B449:$D449,AV$5)="F",AND(AV$6&gt;0,$A449&lt;AV$6),AND(AV$7&gt;0,$A449&gt;AV$7)),0,MAX(0,ROUND((INDEX($E449:$G449,AV$5)-SUMIFS(TF_Timer,TF_Tekniker,AV$4,TF_Dato,$A449))*2,0)/2)))</f>
        <v/>
      </c>
      <c r="AW449">
        <f>IF(OR(AW$4="",$A449&gt;TODAY()),0,IF(OR(INDEX($B449:$D449,AW$5)="F",AND(AW$6&gt;0,$A449&lt;AW$6),AND(AW$7&gt;0,$A449&gt;AW$7)),0,MAX(0,ROUND((INDEX($E449:$G449,AW$5)-SUMIFS(TF_Timer,TF_Tekniker,AW$4,TF_Dato,$A449))*2,0)/2)))</f>
        <v/>
      </c>
      <c r="AX449">
        <f>IF(OR(AX$4="",$A449&gt;TODAY()),0,IF(OR(INDEX($B449:$D449,AX$5)="F",AND(AX$6&gt;0,$A449&lt;AX$6),AND(AX$7&gt;0,$A449&gt;AX$7)),0,MAX(0,ROUND((INDEX($E449:$G449,AX$5)-SUMIFS(TF_Timer,TF_Tekniker,AX$4,TF_Dato,$A449))*2,0)/2)))</f>
        <v/>
      </c>
      <c r="AY449">
        <f>IF(OR(AY$4="",$A449&gt;TODAY()),0,IF(OR(INDEX($B449:$D449,AY$5)="F",AND(AY$6&gt;0,$A449&lt;AY$6),AND(AY$7&gt;0,$A449&gt;AY$7)),0,MAX(0,ROUND((INDEX($E449:$G449,AY$5)-SUMIFS(TF_Timer,TF_Tekniker,AY$4,TF_Dato,$A449))*2,0)/2)))</f>
        <v/>
      </c>
      <c r="AZ449">
        <f>IF(OR(AZ$4="",$A449&gt;TODAY()),0,IF(OR(INDEX($B449:$D449,AZ$5)="F",AND(AZ$6&gt;0,$A449&lt;AZ$6),AND(AZ$7&gt;0,$A449&gt;AZ$7)),0,MAX(0,ROUND((INDEX($E449:$G449,AZ$5)-SUMIFS(TF_Timer,TF_Tekniker,AZ$4,TF_Dato,$A449))*2,0)/2)))</f>
        <v/>
      </c>
      <c r="BA449">
        <f>IF(OR(BA$4="",$A449&gt;TODAY()),0,IF(OR(INDEX($B449:$D449,BA$5)="F",AND(BA$6&gt;0,$A449&lt;BA$6),AND(BA$7&gt;0,$A449&gt;BA$7)),0,MAX(0,ROUND((INDEX($E449:$G449,BA$5)-SUMIFS(TF_Timer,TF_Tekniker,BA$4,TF_Dato,$A449))*2,0)/2)))</f>
        <v/>
      </c>
      <c r="BB449">
        <f>IF(OR(BB$4="",$A449&gt;TODAY()),0,IF(OR(INDEX($B449:$D449,BB$5)="F",AND(BB$6&gt;0,$A449&lt;BB$6),AND(BB$7&gt;0,$A449&gt;BB$7)),0,MAX(0,ROUND((INDEX($E449:$G449,BB$5)-SUMIFS(TF_Timer,TF_Tekniker,BB$4,TF_Dato,$A449))*2,0)/2)))</f>
        <v/>
      </c>
      <c r="BC449">
        <f>IF(OR(BC$4="",$A449&gt;TODAY()),0,IF(OR(INDEX($B449:$D449,BC$5)="F",AND(BC$6&gt;0,$A449&lt;BC$6),AND(BC$7&gt;0,$A449&gt;BC$7)),0,MAX(0,ROUND((INDEX($E449:$G449,BC$5)-SUMIFS(TF_Timer,TF_Tekniker,BC$4,TF_Dato,$A449))*2,0)/2)))</f>
        <v/>
      </c>
      <c r="BD449">
        <f>IF(OR(BD$4="",$A449&gt;TODAY()),0,IF(OR(INDEX($B449:$D449,BD$5)="F",AND(BD$6&gt;0,$A449&lt;BD$6),AND(BD$7&gt;0,$A449&gt;BD$7)),0,MAX(0,ROUND((INDEX($E449:$G449,BD$5)-SUMIFS(TF_Timer,TF_Tekniker,BD$4,TF_Dato,$A449))*2,0)/2)))</f>
        <v/>
      </c>
      <c r="BE449">
        <f>IF(OR(BE$4="",$A449&gt;TODAY()),0,IF(OR(INDEX($B449:$D449,BE$5)="F",AND(BE$6&gt;0,$A449&lt;BE$6),AND(BE$7&gt;0,$A449&gt;BE$7)),0,MAX(0,ROUND((INDEX($E449:$G449,BE$5)-SUMIFS(TF_Timer,TF_Tekniker,BE$4,TF_Dato,$A449))*2,0)/2)))</f>
        <v/>
      </c>
      <c r="BF449">
        <f>IF(OR(BF$4="",$A449&gt;TODAY()),0,IF(OR(INDEX($B449:$D449,BF$5)="F",AND(BF$6&gt;0,$A449&lt;BF$6),AND(BF$7&gt;0,$A449&gt;BF$7)),0,MAX(0,ROUND((INDEX($E449:$G449,BF$5)-SUMIFS(TF_Timer,TF_Tekniker,BF$4,TF_Dato,$A449))*2,0)/2)))</f>
        <v/>
      </c>
      <c r="BG449">
        <f>IF(OR(BG$4="",$A449&gt;TODAY()),0,IF(OR(INDEX($B449:$D449,BG$5)="F",AND(BG$6&gt;0,$A449&lt;BG$6),AND(BG$7&gt;0,$A449&gt;BG$7)),0,MAX(0,ROUND((INDEX($E449:$G449,BG$5)-SUMIFS(TF_Timer,TF_Tekniker,BG$4,TF_Dato,$A449))*2,0)/2)))</f>
        <v/>
      </c>
      <c r="BH449">
        <f>IF(OR(BH$4="",$A449&gt;TODAY()),0,IF(OR(INDEX($B449:$D449,BH$5)="F",AND(BH$6&gt;0,$A449&lt;BH$6),AND(BH$7&gt;0,$A449&gt;BH$7)),0,MAX(0,ROUND((INDEX($E449:$G449,BH$5)-SUMIFS(TF_Timer,TF_Tekniker,BH$4,TF_Dato,$A449))*2,0)/2)))</f>
        <v/>
      </c>
      <c r="BI449">
        <f>IF(OR(BI$4="",$A449&gt;TODAY()),0,IF(OR(INDEX($B449:$D449,BI$5)="F",AND(BI$6&gt;0,$A449&lt;BI$6),AND(BI$7&gt;0,$A449&gt;BI$7)),0,MAX(0,ROUND((INDEX($E449:$G449,BI$5)-SUMIFS(TF_Timer,TF_Tekniker,BI$4,TF_Dato,$A449))*2,0)/2)))</f>
        <v/>
      </c>
    </row>
    <row r="450">
      <c r="A450" s="64">
        <f>A449+1</f>
        <v/>
      </c>
      <c r="B450">
        <f>IF(MOD($A450-INDEX(SkiftStart,1),Syklus)&lt;DagK,"K",IF(MOD($A450-INDEX(SkiftStart,1),Syklus)&lt;DagK+DagH,"H",IF(MOD($A450-INDEX(SkiftStart,1),Syklus)&lt;DagK+DagH+DagD,"D","F")))</f>
        <v/>
      </c>
      <c r="C450">
        <f>IF(MOD($A450-INDEX(SkiftStart,2),Syklus)&lt;DagK,"K",IF(MOD($A450-INDEX(SkiftStart,2),Syklus)&lt;DagK+DagH,"H",IF(MOD($A450-INDEX(SkiftStart,2),Syklus)&lt;DagK+DagH+DagD,"D","F")))</f>
        <v/>
      </c>
      <c r="D450">
        <f>IF(MOD($A450-INDEX(SkiftStart,3),Syklus)&lt;DagK,"K",IF(MOD($A450-INDEX(SkiftStart,3),Syklus)&lt;DagK+DagH,"H",IF(MOD($A450-INDEX(SkiftStart,3),Syklus)&lt;DagK+DagH+DagD,"D","F")))</f>
        <v/>
      </c>
      <c r="E450">
        <f>IF(B450="F",0,IF(WEEKDAY($A450,2)=5,INDEX(TimerFr,MATCH(B450,FaseKode,0)),INDEX(TimerMT,MATCH(B450,FaseKode,0))))</f>
        <v/>
      </c>
      <c r="F450">
        <f>IF(C450="F",0,IF(WEEKDAY($A450,2)=5,INDEX(TimerFr,MATCH(C450,FaseKode,0)),INDEX(TimerMT,MATCH(C450,FaseKode,0))))</f>
        <v/>
      </c>
      <c r="G450">
        <f>IF(D450="F",0,IF(WEEKDAY($A450,2)=5,INDEX(TimerFr,MATCH(D450,FaseKode,0)),INDEX(TimerMT,MATCH(D450,FaseKode,0))))</f>
        <v/>
      </c>
      <c r="H450">
        <f>IF(OR(H$4="",$A450&gt;TODAY()),0,IF(OR(INDEX($B450:$D450,H$5)="F",AND(H$6&gt;0,$A450&lt;H$6),AND(H$7&gt;0,$A450&gt;H$7)),0,MAX(0,ROUND((INDEX($E450:$G450,H$5)-SUMIFS(TF_Timer,TF_Tekniker,H$4,TF_Dato,$A450))*2,0)/2)))</f>
        <v/>
      </c>
      <c r="I450">
        <f>IF(OR(I$4="",$A450&gt;TODAY()),0,IF(OR(INDEX($B450:$D450,I$5)="F",AND(I$6&gt;0,$A450&lt;I$6),AND(I$7&gt;0,$A450&gt;I$7)),0,MAX(0,ROUND((INDEX($E450:$G450,I$5)-SUMIFS(TF_Timer,TF_Tekniker,I$4,TF_Dato,$A450))*2,0)/2)))</f>
        <v/>
      </c>
      <c r="J450">
        <f>IF(OR(J$4="",$A450&gt;TODAY()),0,IF(OR(INDEX($B450:$D450,J$5)="F",AND(J$6&gt;0,$A450&lt;J$6),AND(J$7&gt;0,$A450&gt;J$7)),0,MAX(0,ROUND((INDEX($E450:$G450,J$5)-SUMIFS(TF_Timer,TF_Tekniker,J$4,TF_Dato,$A450))*2,0)/2)))</f>
        <v/>
      </c>
      <c r="K450">
        <f>IF(OR(K$4="",$A450&gt;TODAY()),0,IF(OR(INDEX($B450:$D450,K$5)="F",AND(K$6&gt;0,$A450&lt;K$6),AND(K$7&gt;0,$A450&gt;K$7)),0,MAX(0,ROUND((INDEX($E450:$G450,K$5)-SUMIFS(TF_Timer,TF_Tekniker,K$4,TF_Dato,$A450))*2,0)/2)))</f>
        <v/>
      </c>
      <c r="L450">
        <f>IF(OR(L$4="",$A450&gt;TODAY()),0,IF(OR(INDEX($B450:$D450,L$5)="F",AND(L$6&gt;0,$A450&lt;L$6),AND(L$7&gt;0,$A450&gt;L$7)),0,MAX(0,ROUND((INDEX($E450:$G450,L$5)-SUMIFS(TF_Timer,TF_Tekniker,L$4,TF_Dato,$A450))*2,0)/2)))</f>
        <v/>
      </c>
      <c r="M450">
        <f>IF(OR(M$4="",$A450&gt;TODAY()),0,IF(OR(INDEX($B450:$D450,M$5)="F",AND(M$6&gt;0,$A450&lt;M$6),AND(M$7&gt;0,$A450&gt;M$7)),0,MAX(0,ROUND((INDEX($E450:$G450,M$5)-SUMIFS(TF_Timer,TF_Tekniker,M$4,TF_Dato,$A450))*2,0)/2)))</f>
        <v/>
      </c>
      <c r="N450">
        <f>IF(OR(N$4="",$A450&gt;TODAY()),0,IF(OR(INDEX($B450:$D450,N$5)="F",AND(N$6&gt;0,$A450&lt;N$6),AND(N$7&gt;0,$A450&gt;N$7)),0,MAX(0,ROUND((INDEX($E450:$G450,N$5)-SUMIFS(TF_Timer,TF_Tekniker,N$4,TF_Dato,$A450))*2,0)/2)))</f>
        <v/>
      </c>
      <c r="O450">
        <f>IF(OR(O$4="",$A450&gt;TODAY()),0,IF(OR(INDEX($B450:$D450,O$5)="F",AND(O$6&gt;0,$A450&lt;O$6),AND(O$7&gt;0,$A450&gt;O$7)),0,MAX(0,ROUND((INDEX($E450:$G450,O$5)-SUMIFS(TF_Timer,TF_Tekniker,O$4,TF_Dato,$A450))*2,0)/2)))</f>
        <v/>
      </c>
      <c r="P450">
        <f>IF(OR(P$4="",$A450&gt;TODAY()),0,IF(OR(INDEX($B450:$D450,P$5)="F",AND(P$6&gt;0,$A450&lt;P$6),AND(P$7&gt;0,$A450&gt;P$7)),0,MAX(0,ROUND((INDEX($E450:$G450,P$5)-SUMIFS(TF_Timer,TF_Tekniker,P$4,TF_Dato,$A450))*2,0)/2)))</f>
        <v/>
      </c>
      <c r="Q450">
        <f>IF(OR(Q$4="",$A450&gt;TODAY()),0,IF(OR(INDEX($B450:$D450,Q$5)="F",AND(Q$6&gt;0,$A450&lt;Q$6),AND(Q$7&gt;0,$A450&gt;Q$7)),0,MAX(0,ROUND((INDEX($E450:$G450,Q$5)-SUMIFS(TF_Timer,TF_Tekniker,Q$4,TF_Dato,$A450))*2,0)/2)))</f>
        <v/>
      </c>
      <c r="R450">
        <f>IF(OR(R$4="",$A450&gt;TODAY()),0,IF(OR(INDEX($B450:$D450,R$5)="F",AND(R$6&gt;0,$A450&lt;R$6),AND(R$7&gt;0,$A450&gt;R$7)),0,MAX(0,ROUND((INDEX($E450:$G450,R$5)-SUMIFS(TF_Timer,TF_Tekniker,R$4,TF_Dato,$A450))*2,0)/2)))</f>
        <v/>
      </c>
      <c r="S450">
        <f>IF(OR(S$4="",$A450&gt;TODAY()),0,IF(OR(INDEX($B450:$D450,S$5)="F",AND(S$6&gt;0,$A450&lt;S$6),AND(S$7&gt;0,$A450&gt;S$7)),0,MAX(0,ROUND((INDEX($E450:$G450,S$5)-SUMIFS(TF_Timer,TF_Tekniker,S$4,TF_Dato,$A450))*2,0)/2)))</f>
        <v/>
      </c>
      <c r="T450">
        <f>IF(OR(T$4="",$A450&gt;TODAY()),0,IF(OR(INDEX($B450:$D450,T$5)="F",AND(T$6&gt;0,$A450&lt;T$6),AND(T$7&gt;0,$A450&gt;T$7)),0,MAX(0,ROUND((INDEX($E450:$G450,T$5)-SUMIFS(TF_Timer,TF_Tekniker,T$4,TF_Dato,$A450))*2,0)/2)))</f>
        <v/>
      </c>
      <c r="U450">
        <f>IF(OR(U$4="",$A450&gt;TODAY()),0,IF(OR(INDEX($B450:$D450,U$5)="F",AND(U$6&gt;0,$A450&lt;U$6),AND(U$7&gt;0,$A450&gt;U$7)),0,MAX(0,ROUND((INDEX($E450:$G450,U$5)-SUMIFS(TF_Timer,TF_Tekniker,U$4,TF_Dato,$A450))*2,0)/2)))</f>
        <v/>
      </c>
      <c r="V450">
        <f>IF(OR(V$4="",$A450&gt;TODAY()),0,IF(OR(INDEX($B450:$D450,V$5)="F",AND(V$6&gt;0,$A450&lt;V$6),AND(V$7&gt;0,$A450&gt;V$7)),0,MAX(0,ROUND((INDEX($E450:$G450,V$5)-SUMIFS(TF_Timer,TF_Tekniker,V$4,TF_Dato,$A450))*2,0)/2)))</f>
        <v/>
      </c>
      <c r="W450">
        <f>IF(OR(W$4="",$A450&gt;TODAY()),0,IF(OR(INDEX($B450:$D450,W$5)="F",AND(W$6&gt;0,$A450&lt;W$6),AND(W$7&gt;0,$A450&gt;W$7)),0,MAX(0,ROUND((INDEX($E450:$G450,W$5)-SUMIFS(TF_Timer,TF_Tekniker,W$4,TF_Dato,$A450))*2,0)/2)))</f>
        <v/>
      </c>
      <c r="X450">
        <f>IF(OR(X$4="",$A450&gt;TODAY()),0,IF(OR(INDEX($B450:$D450,X$5)="F",AND(X$6&gt;0,$A450&lt;X$6),AND(X$7&gt;0,$A450&gt;X$7)),0,MAX(0,ROUND((INDEX($E450:$G450,X$5)-SUMIFS(TF_Timer,TF_Tekniker,X$4,TF_Dato,$A450))*2,0)/2)))</f>
        <v/>
      </c>
      <c r="Y450">
        <f>IF(OR(Y$4="",$A450&gt;TODAY()),0,IF(OR(INDEX($B450:$D450,Y$5)="F",AND(Y$6&gt;0,$A450&lt;Y$6),AND(Y$7&gt;0,$A450&gt;Y$7)),0,MAX(0,ROUND((INDEX($E450:$G450,Y$5)-SUMIFS(TF_Timer,TF_Tekniker,Y$4,TF_Dato,$A450))*2,0)/2)))</f>
        <v/>
      </c>
      <c r="Z450">
        <f>IF(OR(Z$4="",$A450&gt;TODAY()),0,IF(OR(INDEX($B450:$D450,Z$5)="F",AND(Z$6&gt;0,$A450&lt;Z$6),AND(Z$7&gt;0,$A450&gt;Z$7)),0,MAX(0,ROUND((INDEX($E450:$G450,Z$5)-SUMIFS(TF_Timer,TF_Tekniker,Z$4,TF_Dato,$A450))*2,0)/2)))</f>
        <v/>
      </c>
      <c r="AA450">
        <f>IF(OR(AA$4="",$A450&gt;TODAY()),0,IF(OR(INDEX($B450:$D450,AA$5)="F",AND(AA$6&gt;0,$A450&lt;AA$6),AND(AA$7&gt;0,$A450&gt;AA$7)),0,MAX(0,ROUND((INDEX($E450:$G450,AA$5)-SUMIFS(TF_Timer,TF_Tekniker,AA$4,TF_Dato,$A450))*2,0)/2)))</f>
        <v/>
      </c>
      <c r="AB450">
        <f>IF(OR(AB$4="",$A450&gt;TODAY()),0,IF(OR(INDEX($B450:$D450,AB$5)="F",AND(AB$6&gt;0,$A450&lt;AB$6),AND(AB$7&gt;0,$A450&gt;AB$7)),0,MAX(0,ROUND((INDEX($E450:$G450,AB$5)-SUMIFS(TF_Timer,TF_Tekniker,AB$4,TF_Dato,$A450))*2,0)/2)))</f>
        <v/>
      </c>
      <c r="AC450">
        <f>IF(OR(AC$4="",$A450&gt;TODAY()),0,IF(OR(INDEX($B450:$D450,AC$5)="F",AND(AC$6&gt;0,$A450&lt;AC$6),AND(AC$7&gt;0,$A450&gt;AC$7)),0,MAX(0,ROUND((INDEX($E450:$G450,AC$5)-SUMIFS(TF_Timer,TF_Tekniker,AC$4,TF_Dato,$A450))*2,0)/2)))</f>
        <v/>
      </c>
      <c r="AD450">
        <f>IF(OR(AD$4="",$A450&gt;TODAY()),0,IF(OR(INDEX($B450:$D450,AD$5)="F",AND(AD$6&gt;0,$A450&lt;AD$6),AND(AD$7&gt;0,$A450&gt;AD$7)),0,MAX(0,ROUND((INDEX($E450:$G450,AD$5)-SUMIFS(TF_Timer,TF_Tekniker,AD$4,TF_Dato,$A450))*2,0)/2)))</f>
        <v/>
      </c>
      <c r="AE450">
        <f>IF(OR(AE$4="",$A450&gt;TODAY()),0,IF(OR(INDEX($B450:$D450,AE$5)="F",AND(AE$6&gt;0,$A450&lt;AE$6),AND(AE$7&gt;0,$A450&gt;AE$7)),0,MAX(0,ROUND((INDEX($E450:$G450,AE$5)-SUMIFS(TF_Timer,TF_Tekniker,AE$4,TF_Dato,$A450))*2,0)/2)))</f>
        <v/>
      </c>
      <c r="AF450">
        <f>IF(OR(AF$4="",$A450&gt;TODAY()),0,IF(OR(INDEX($B450:$D450,AF$5)="F",AND(AF$6&gt;0,$A450&lt;AF$6),AND(AF$7&gt;0,$A450&gt;AF$7)),0,MAX(0,ROUND((INDEX($E450:$G450,AF$5)-SUMIFS(TF_Timer,TF_Tekniker,AF$4,TF_Dato,$A450))*2,0)/2)))</f>
        <v/>
      </c>
      <c r="AG450">
        <f>IF(OR(AG$4="",$A450&gt;TODAY()),0,IF(OR(INDEX($B450:$D450,AG$5)="F",AND(AG$6&gt;0,$A450&lt;AG$6),AND(AG$7&gt;0,$A450&gt;AG$7)),0,MAX(0,ROUND((INDEX($E450:$G450,AG$5)-SUMIFS(TF_Timer,TF_Tekniker,AG$4,TF_Dato,$A450))*2,0)/2)))</f>
        <v/>
      </c>
      <c r="AH450">
        <f>IF(OR(AH$4="",$A450&gt;TODAY()),0,IF(OR(INDEX($B450:$D450,AH$5)="F",AND(AH$6&gt;0,$A450&lt;AH$6),AND(AH$7&gt;0,$A450&gt;AH$7)),0,MAX(0,ROUND((INDEX($E450:$G450,AH$5)-SUMIFS(TF_Timer,TF_Tekniker,AH$4,TF_Dato,$A450))*2,0)/2)))</f>
        <v/>
      </c>
      <c r="AI450">
        <f>IF(OR(AI$4="",$A450&gt;TODAY()),0,IF(OR(INDEX($B450:$D450,AI$5)="F",AND(AI$6&gt;0,$A450&lt;AI$6),AND(AI$7&gt;0,$A450&gt;AI$7)),0,MAX(0,ROUND((INDEX($E450:$G450,AI$5)-SUMIFS(TF_Timer,TF_Tekniker,AI$4,TF_Dato,$A450))*2,0)/2)))</f>
        <v/>
      </c>
      <c r="AJ450">
        <f>IF(OR(AJ$4="",$A450&gt;TODAY()),0,IF(OR(INDEX($B450:$D450,AJ$5)="F",AND(AJ$6&gt;0,$A450&lt;AJ$6),AND(AJ$7&gt;0,$A450&gt;AJ$7)),0,MAX(0,ROUND((INDEX($E450:$G450,AJ$5)-SUMIFS(TF_Timer,TF_Tekniker,AJ$4,TF_Dato,$A450))*2,0)/2)))</f>
        <v/>
      </c>
      <c r="AK450">
        <f>IF(OR(AK$4="",$A450&gt;TODAY()),0,IF(OR(INDEX($B450:$D450,AK$5)="F",AND(AK$6&gt;0,$A450&lt;AK$6),AND(AK$7&gt;0,$A450&gt;AK$7)),0,MAX(0,ROUND((INDEX($E450:$G450,AK$5)-SUMIFS(TF_Timer,TF_Tekniker,AK$4,TF_Dato,$A450))*2,0)/2)))</f>
        <v/>
      </c>
      <c r="AL450">
        <f>IF(OR(AL$4="",$A450&gt;TODAY()),0,IF(OR(INDEX($B450:$D450,AL$5)="F",AND(AL$6&gt;0,$A450&lt;AL$6),AND(AL$7&gt;0,$A450&gt;AL$7)),0,MAX(0,ROUND((INDEX($E450:$G450,AL$5)-SUMIFS(TF_Timer,TF_Tekniker,AL$4,TF_Dato,$A450))*2,0)/2)))</f>
        <v/>
      </c>
      <c r="AM450">
        <f>IF(OR(AM$4="",$A450&gt;TODAY()),0,IF(OR(INDEX($B450:$D450,AM$5)="F",AND(AM$6&gt;0,$A450&lt;AM$6),AND(AM$7&gt;0,$A450&gt;AM$7)),0,MAX(0,ROUND((INDEX($E450:$G450,AM$5)-SUMIFS(TF_Timer,TF_Tekniker,AM$4,TF_Dato,$A450))*2,0)/2)))</f>
        <v/>
      </c>
      <c r="AN450">
        <f>IF(OR(AN$4="",$A450&gt;TODAY()),0,IF(OR(INDEX($B450:$D450,AN$5)="F",AND(AN$6&gt;0,$A450&lt;AN$6),AND(AN$7&gt;0,$A450&gt;AN$7)),0,MAX(0,ROUND((INDEX($E450:$G450,AN$5)-SUMIFS(TF_Timer,TF_Tekniker,AN$4,TF_Dato,$A450))*2,0)/2)))</f>
        <v/>
      </c>
      <c r="AO450">
        <f>IF(OR(AO$4="",$A450&gt;TODAY()),0,IF(OR(INDEX($B450:$D450,AO$5)="F",AND(AO$6&gt;0,$A450&lt;AO$6),AND(AO$7&gt;0,$A450&gt;AO$7)),0,MAX(0,ROUND((INDEX($E450:$G450,AO$5)-SUMIFS(TF_Timer,TF_Tekniker,AO$4,TF_Dato,$A450))*2,0)/2)))</f>
        <v/>
      </c>
      <c r="AP450">
        <f>IF(OR(AP$4="",$A450&gt;TODAY()),0,IF(OR(INDEX($B450:$D450,AP$5)="F",AND(AP$6&gt;0,$A450&lt;AP$6),AND(AP$7&gt;0,$A450&gt;AP$7)),0,MAX(0,ROUND((INDEX($E450:$G450,AP$5)-SUMIFS(TF_Timer,TF_Tekniker,AP$4,TF_Dato,$A450))*2,0)/2)))</f>
        <v/>
      </c>
      <c r="AQ450">
        <f>IF(OR(AQ$4="",$A450&gt;TODAY()),0,IF(OR(INDEX($B450:$D450,AQ$5)="F",AND(AQ$6&gt;0,$A450&lt;AQ$6),AND(AQ$7&gt;0,$A450&gt;AQ$7)),0,MAX(0,ROUND((INDEX($E450:$G450,AQ$5)-SUMIFS(TF_Timer,TF_Tekniker,AQ$4,TF_Dato,$A450))*2,0)/2)))</f>
        <v/>
      </c>
      <c r="AR450">
        <f>IF(OR(AR$4="",$A450&gt;TODAY()),0,IF(OR(INDEX($B450:$D450,AR$5)="F",AND(AR$6&gt;0,$A450&lt;AR$6),AND(AR$7&gt;0,$A450&gt;AR$7)),0,MAX(0,ROUND((INDEX($E450:$G450,AR$5)-SUMIFS(TF_Timer,TF_Tekniker,AR$4,TF_Dato,$A450))*2,0)/2)))</f>
        <v/>
      </c>
      <c r="AS450">
        <f>IF(OR(AS$4="",$A450&gt;TODAY()),0,IF(OR(INDEX($B450:$D450,AS$5)="F",AND(AS$6&gt;0,$A450&lt;AS$6),AND(AS$7&gt;0,$A450&gt;AS$7)),0,MAX(0,ROUND((INDEX($E450:$G450,AS$5)-SUMIFS(TF_Timer,TF_Tekniker,AS$4,TF_Dato,$A450))*2,0)/2)))</f>
        <v/>
      </c>
      <c r="AT450">
        <f>IF(OR(AT$4="",$A450&gt;TODAY()),0,IF(OR(INDEX($B450:$D450,AT$5)="F",AND(AT$6&gt;0,$A450&lt;AT$6),AND(AT$7&gt;0,$A450&gt;AT$7)),0,MAX(0,ROUND((INDEX($E450:$G450,AT$5)-SUMIFS(TF_Timer,TF_Tekniker,AT$4,TF_Dato,$A450))*2,0)/2)))</f>
        <v/>
      </c>
      <c r="AU450">
        <f>IF(OR(AU$4="",$A450&gt;TODAY()),0,IF(OR(INDEX($B450:$D450,AU$5)="F",AND(AU$6&gt;0,$A450&lt;AU$6),AND(AU$7&gt;0,$A450&gt;AU$7)),0,MAX(0,ROUND((INDEX($E450:$G450,AU$5)-SUMIFS(TF_Timer,TF_Tekniker,AU$4,TF_Dato,$A450))*2,0)/2)))</f>
        <v/>
      </c>
      <c r="AV450">
        <f>IF(OR(AV$4="",$A450&gt;TODAY()),0,IF(OR(INDEX($B450:$D450,AV$5)="F",AND(AV$6&gt;0,$A450&lt;AV$6),AND(AV$7&gt;0,$A450&gt;AV$7)),0,MAX(0,ROUND((INDEX($E450:$G450,AV$5)-SUMIFS(TF_Timer,TF_Tekniker,AV$4,TF_Dato,$A450))*2,0)/2)))</f>
        <v/>
      </c>
      <c r="AW450">
        <f>IF(OR(AW$4="",$A450&gt;TODAY()),0,IF(OR(INDEX($B450:$D450,AW$5)="F",AND(AW$6&gt;0,$A450&lt;AW$6),AND(AW$7&gt;0,$A450&gt;AW$7)),0,MAX(0,ROUND((INDEX($E450:$G450,AW$5)-SUMIFS(TF_Timer,TF_Tekniker,AW$4,TF_Dato,$A450))*2,0)/2)))</f>
        <v/>
      </c>
      <c r="AX450">
        <f>IF(OR(AX$4="",$A450&gt;TODAY()),0,IF(OR(INDEX($B450:$D450,AX$5)="F",AND(AX$6&gt;0,$A450&lt;AX$6),AND(AX$7&gt;0,$A450&gt;AX$7)),0,MAX(0,ROUND((INDEX($E450:$G450,AX$5)-SUMIFS(TF_Timer,TF_Tekniker,AX$4,TF_Dato,$A450))*2,0)/2)))</f>
        <v/>
      </c>
      <c r="AY450">
        <f>IF(OR(AY$4="",$A450&gt;TODAY()),0,IF(OR(INDEX($B450:$D450,AY$5)="F",AND(AY$6&gt;0,$A450&lt;AY$6),AND(AY$7&gt;0,$A450&gt;AY$7)),0,MAX(0,ROUND((INDEX($E450:$G450,AY$5)-SUMIFS(TF_Timer,TF_Tekniker,AY$4,TF_Dato,$A450))*2,0)/2)))</f>
        <v/>
      </c>
      <c r="AZ450">
        <f>IF(OR(AZ$4="",$A450&gt;TODAY()),0,IF(OR(INDEX($B450:$D450,AZ$5)="F",AND(AZ$6&gt;0,$A450&lt;AZ$6),AND(AZ$7&gt;0,$A450&gt;AZ$7)),0,MAX(0,ROUND((INDEX($E450:$G450,AZ$5)-SUMIFS(TF_Timer,TF_Tekniker,AZ$4,TF_Dato,$A450))*2,0)/2)))</f>
        <v/>
      </c>
      <c r="BA450">
        <f>IF(OR(BA$4="",$A450&gt;TODAY()),0,IF(OR(INDEX($B450:$D450,BA$5)="F",AND(BA$6&gt;0,$A450&lt;BA$6),AND(BA$7&gt;0,$A450&gt;BA$7)),0,MAX(0,ROUND((INDEX($E450:$G450,BA$5)-SUMIFS(TF_Timer,TF_Tekniker,BA$4,TF_Dato,$A450))*2,0)/2)))</f>
        <v/>
      </c>
      <c r="BB450">
        <f>IF(OR(BB$4="",$A450&gt;TODAY()),0,IF(OR(INDEX($B450:$D450,BB$5)="F",AND(BB$6&gt;0,$A450&lt;BB$6),AND(BB$7&gt;0,$A450&gt;BB$7)),0,MAX(0,ROUND((INDEX($E450:$G450,BB$5)-SUMIFS(TF_Timer,TF_Tekniker,BB$4,TF_Dato,$A450))*2,0)/2)))</f>
        <v/>
      </c>
      <c r="BC450">
        <f>IF(OR(BC$4="",$A450&gt;TODAY()),0,IF(OR(INDEX($B450:$D450,BC$5)="F",AND(BC$6&gt;0,$A450&lt;BC$6),AND(BC$7&gt;0,$A450&gt;BC$7)),0,MAX(0,ROUND((INDEX($E450:$G450,BC$5)-SUMIFS(TF_Timer,TF_Tekniker,BC$4,TF_Dato,$A450))*2,0)/2)))</f>
        <v/>
      </c>
      <c r="BD450">
        <f>IF(OR(BD$4="",$A450&gt;TODAY()),0,IF(OR(INDEX($B450:$D450,BD$5)="F",AND(BD$6&gt;0,$A450&lt;BD$6),AND(BD$7&gt;0,$A450&gt;BD$7)),0,MAX(0,ROUND((INDEX($E450:$G450,BD$5)-SUMIFS(TF_Timer,TF_Tekniker,BD$4,TF_Dato,$A450))*2,0)/2)))</f>
        <v/>
      </c>
      <c r="BE450">
        <f>IF(OR(BE$4="",$A450&gt;TODAY()),0,IF(OR(INDEX($B450:$D450,BE$5)="F",AND(BE$6&gt;0,$A450&lt;BE$6),AND(BE$7&gt;0,$A450&gt;BE$7)),0,MAX(0,ROUND((INDEX($E450:$G450,BE$5)-SUMIFS(TF_Timer,TF_Tekniker,BE$4,TF_Dato,$A450))*2,0)/2)))</f>
        <v/>
      </c>
      <c r="BF450">
        <f>IF(OR(BF$4="",$A450&gt;TODAY()),0,IF(OR(INDEX($B450:$D450,BF$5)="F",AND(BF$6&gt;0,$A450&lt;BF$6),AND(BF$7&gt;0,$A450&gt;BF$7)),0,MAX(0,ROUND((INDEX($E450:$G450,BF$5)-SUMIFS(TF_Timer,TF_Tekniker,BF$4,TF_Dato,$A450))*2,0)/2)))</f>
        <v/>
      </c>
      <c r="BG450">
        <f>IF(OR(BG$4="",$A450&gt;TODAY()),0,IF(OR(INDEX($B450:$D450,BG$5)="F",AND(BG$6&gt;0,$A450&lt;BG$6),AND(BG$7&gt;0,$A450&gt;BG$7)),0,MAX(0,ROUND((INDEX($E450:$G450,BG$5)-SUMIFS(TF_Timer,TF_Tekniker,BG$4,TF_Dato,$A450))*2,0)/2)))</f>
        <v/>
      </c>
      <c r="BH450">
        <f>IF(OR(BH$4="",$A450&gt;TODAY()),0,IF(OR(INDEX($B450:$D450,BH$5)="F",AND(BH$6&gt;0,$A450&lt;BH$6),AND(BH$7&gt;0,$A450&gt;BH$7)),0,MAX(0,ROUND((INDEX($E450:$G450,BH$5)-SUMIFS(TF_Timer,TF_Tekniker,BH$4,TF_Dato,$A450))*2,0)/2)))</f>
        <v/>
      </c>
      <c r="BI450">
        <f>IF(OR(BI$4="",$A450&gt;TODAY()),0,IF(OR(INDEX($B450:$D450,BI$5)="F",AND(BI$6&gt;0,$A450&lt;BI$6),AND(BI$7&gt;0,$A450&gt;BI$7)),0,MAX(0,ROUND((INDEX($E450:$G450,BI$5)-SUMIFS(TF_Timer,TF_Tekniker,BI$4,TF_Dato,$A450))*2,0)/2)))</f>
        <v/>
      </c>
    </row>
    <row r="451">
      <c r="A451" s="64">
        <f>A450+1</f>
        <v/>
      </c>
      <c r="B451">
        <f>IF(MOD($A451-INDEX(SkiftStart,1),Syklus)&lt;DagK,"K",IF(MOD($A451-INDEX(SkiftStart,1),Syklus)&lt;DagK+DagH,"H",IF(MOD($A451-INDEX(SkiftStart,1),Syklus)&lt;DagK+DagH+DagD,"D","F")))</f>
        <v/>
      </c>
      <c r="C451">
        <f>IF(MOD($A451-INDEX(SkiftStart,2),Syklus)&lt;DagK,"K",IF(MOD($A451-INDEX(SkiftStart,2),Syklus)&lt;DagK+DagH,"H",IF(MOD($A451-INDEX(SkiftStart,2),Syklus)&lt;DagK+DagH+DagD,"D","F")))</f>
        <v/>
      </c>
      <c r="D451">
        <f>IF(MOD($A451-INDEX(SkiftStart,3),Syklus)&lt;DagK,"K",IF(MOD($A451-INDEX(SkiftStart,3),Syklus)&lt;DagK+DagH,"H",IF(MOD($A451-INDEX(SkiftStart,3),Syklus)&lt;DagK+DagH+DagD,"D","F")))</f>
        <v/>
      </c>
      <c r="E451">
        <f>IF(B451="F",0,IF(WEEKDAY($A451,2)=5,INDEX(TimerFr,MATCH(B451,FaseKode,0)),INDEX(TimerMT,MATCH(B451,FaseKode,0))))</f>
        <v/>
      </c>
      <c r="F451">
        <f>IF(C451="F",0,IF(WEEKDAY($A451,2)=5,INDEX(TimerFr,MATCH(C451,FaseKode,0)),INDEX(TimerMT,MATCH(C451,FaseKode,0))))</f>
        <v/>
      </c>
      <c r="G451">
        <f>IF(D451="F",0,IF(WEEKDAY($A451,2)=5,INDEX(TimerFr,MATCH(D451,FaseKode,0)),INDEX(TimerMT,MATCH(D451,FaseKode,0))))</f>
        <v/>
      </c>
      <c r="H451">
        <f>IF(OR(H$4="",$A451&gt;TODAY()),0,IF(OR(INDEX($B451:$D451,H$5)="F",AND(H$6&gt;0,$A451&lt;H$6),AND(H$7&gt;0,$A451&gt;H$7)),0,MAX(0,ROUND((INDEX($E451:$G451,H$5)-SUMIFS(TF_Timer,TF_Tekniker,H$4,TF_Dato,$A451))*2,0)/2)))</f>
        <v/>
      </c>
      <c r="I451">
        <f>IF(OR(I$4="",$A451&gt;TODAY()),0,IF(OR(INDEX($B451:$D451,I$5)="F",AND(I$6&gt;0,$A451&lt;I$6),AND(I$7&gt;0,$A451&gt;I$7)),0,MAX(0,ROUND((INDEX($E451:$G451,I$5)-SUMIFS(TF_Timer,TF_Tekniker,I$4,TF_Dato,$A451))*2,0)/2)))</f>
        <v/>
      </c>
      <c r="J451">
        <f>IF(OR(J$4="",$A451&gt;TODAY()),0,IF(OR(INDEX($B451:$D451,J$5)="F",AND(J$6&gt;0,$A451&lt;J$6),AND(J$7&gt;0,$A451&gt;J$7)),0,MAX(0,ROUND((INDEX($E451:$G451,J$5)-SUMIFS(TF_Timer,TF_Tekniker,J$4,TF_Dato,$A451))*2,0)/2)))</f>
        <v/>
      </c>
      <c r="K451">
        <f>IF(OR(K$4="",$A451&gt;TODAY()),0,IF(OR(INDEX($B451:$D451,K$5)="F",AND(K$6&gt;0,$A451&lt;K$6),AND(K$7&gt;0,$A451&gt;K$7)),0,MAX(0,ROUND((INDEX($E451:$G451,K$5)-SUMIFS(TF_Timer,TF_Tekniker,K$4,TF_Dato,$A451))*2,0)/2)))</f>
        <v/>
      </c>
      <c r="L451">
        <f>IF(OR(L$4="",$A451&gt;TODAY()),0,IF(OR(INDEX($B451:$D451,L$5)="F",AND(L$6&gt;0,$A451&lt;L$6),AND(L$7&gt;0,$A451&gt;L$7)),0,MAX(0,ROUND((INDEX($E451:$G451,L$5)-SUMIFS(TF_Timer,TF_Tekniker,L$4,TF_Dato,$A451))*2,0)/2)))</f>
        <v/>
      </c>
      <c r="M451">
        <f>IF(OR(M$4="",$A451&gt;TODAY()),0,IF(OR(INDEX($B451:$D451,M$5)="F",AND(M$6&gt;0,$A451&lt;M$6),AND(M$7&gt;0,$A451&gt;M$7)),0,MAX(0,ROUND((INDEX($E451:$G451,M$5)-SUMIFS(TF_Timer,TF_Tekniker,M$4,TF_Dato,$A451))*2,0)/2)))</f>
        <v/>
      </c>
      <c r="N451">
        <f>IF(OR(N$4="",$A451&gt;TODAY()),0,IF(OR(INDEX($B451:$D451,N$5)="F",AND(N$6&gt;0,$A451&lt;N$6),AND(N$7&gt;0,$A451&gt;N$7)),0,MAX(0,ROUND((INDEX($E451:$G451,N$5)-SUMIFS(TF_Timer,TF_Tekniker,N$4,TF_Dato,$A451))*2,0)/2)))</f>
        <v/>
      </c>
      <c r="O451">
        <f>IF(OR(O$4="",$A451&gt;TODAY()),0,IF(OR(INDEX($B451:$D451,O$5)="F",AND(O$6&gt;0,$A451&lt;O$6),AND(O$7&gt;0,$A451&gt;O$7)),0,MAX(0,ROUND((INDEX($E451:$G451,O$5)-SUMIFS(TF_Timer,TF_Tekniker,O$4,TF_Dato,$A451))*2,0)/2)))</f>
        <v/>
      </c>
      <c r="P451">
        <f>IF(OR(P$4="",$A451&gt;TODAY()),0,IF(OR(INDEX($B451:$D451,P$5)="F",AND(P$6&gt;0,$A451&lt;P$6),AND(P$7&gt;0,$A451&gt;P$7)),0,MAX(0,ROUND((INDEX($E451:$G451,P$5)-SUMIFS(TF_Timer,TF_Tekniker,P$4,TF_Dato,$A451))*2,0)/2)))</f>
        <v/>
      </c>
      <c r="Q451">
        <f>IF(OR(Q$4="",$A451&gt;TODAY()),0,IF(OR(INDEX($B451:$D451,Q$5)="F",AND(Q$6&gt;0,$A451&lt;Q$6),AND(Q$7&gt;0,$A451&gt;Q$7)),0,MAX(0,ROUND((INDEX($E451:$G451,Q$5)-SUMIFS(TF_Timer,TF_Tekniker,Q$4,TF_Dato,$A451))*2,0)/2)))</f>
        <v/>
      </c>
      <c r="R451">
        <f>IF(OR(R$4="",$A451&gt;TODAY()),0,IF(OR(INDEX($B451:$D451,R$5)="F",AND(R$6&gt;0,$A451&lt;R$6),AND(R$7&gt;0,$A451&gt;R$7)),0,MAX(0,ROUND((INDEX($E451:$G451,R$5)-SUMIFS(TF_Timer,TF_Tekniker,R$4,TF_Dato,$A451))*2,0)/2)))</f>
        <v/>
      </c>
      <c r="S451">
        <f>IF(OR(S$4="",$A451&gt;TODAY()),0,IF(OR(INDEX($B451:$D451,S$5)="F",AND(S$6&gt;0,$A451&lt;S$6),AND(S$7&gt;0,$A451&gt;S$7)),0,MAX(0,ROUND((INDEX($E451:$G451,S$5)-SUMIFS(TF_Timer,TF_Tekniker,S$4,TF_Dato,$A451))*2,0)/2)))</f>
        <v/>
      </c>
      <c r="T451">
        <f>IF(OR(T$4="",$A451&gt;TODAY()),0,IF(OR(INDEX($B451:$D451,T$5)="F",AND(T$6&gt;0,$A451&lt;T$6),AND(T$7&gt;0,$A451&gt;T$7)),0,MAX(0,ROUND((INDEX($E451:$G451,T$5)-SUMIFS(TF_Timer,TF_Tekniker,T$4,TF_Dato,$A451))*2,0)/2)))</f>
        <v/>
      </c>
      <c r="U451">
        <f>IF(OR(U$4="",$A451&gt;TODAY()),0,IF(OR(INDEX($B451:$D451,U$5)="F",AND(U$6&gt;0,$A451&lt;U$6),AND(U$7&gt;0,$A451&gt;U$7)),0,MAX(0,ROUND((INDEX($E451:$G451,U$5)-SUMIFS(TF_Timer,TF_Tekniker,U$4,TF_Dato,$A451))*2,0)/2)))</f>
        <v/>
      </c>
      <c r="V451">
        <f>IF(OR(V$4="",$A451&gt;TODAY()),0,IF(OR(INDEX($B451:$D451,V$5)="F",AND(V$6&gt;0,$A451&lt;V$6),AND(V$7&gt;0,$A451&gt;V$7)),0,MAX(0,ROUND((INDEX($E451:$G451,V$5)-SUMIFS(TF_Timer,TF_Tekniker,V$4,TF_Dato,$A451))*2,0)/2)))</f>
        <v/>
      </c>
      <c r="W451">
        <f>IF(OR(W$4="",$A451&gt;TODAY()),0,IF(OR(INDEX($B451:$D451,W$5)="F",AND(W$6&gt;0,$A451&lt;W$6),AND(W$7&gt;0,$A451&gt;W$7)),0,MAX(0,ROUND((INDEX($E451:$G451,W$5)-SUMIFS(TF_Timer,TF_Tekniker,W$4,TF_Dato,$A451))*2,0)/2)))</f>
        <v/>
      </c>
      <c r="X451">
        <f>IF(OR(X$4="",$A451&gt;TODAY()),0,IF(OR(INDEX($B451:$D451,X$5)="F",AND(X$6&gt;0,$A451&lt;X$6),AND(X$7&gt;0,$A451&gt;X$7)),0,MAX(0,ROUND((INDEX($E451:$G451,X$5)-SUMIFS(TF_Timer,TF_Tekniker,X$4,TF_Dato,$A451))*2,0)/2)))</f>
        <v/>
      </c>
      <c r="Y451">
        <f>IF(OR(Y$4="",$A451&gt;TODAY()),0,IF(OR(INDEX($B451:$D451,Y$5)="F",AND(Y$6&gt;0,$A451&lt;Y$6),AND(Y$7&gt;0,$A451&gt;Y$7)),0,MAX(0,ROUND((INDEX($E451:$G451,Y$5)-SUMIFS(TF_Timer,TF_Tekniker,Y$4,TF_Dato,$A451))*2,0)/2)))</f>
        <v/>
      </c>
      <c r="Z451">
        <f>IF(OR(Z$4="",$A451&gt;TODAY()),0,IF(OR(INDEX($B451:$D451,Z$5)="F",AND(Z$6&gt;0,$A451&lt;Z$6),AND(Z$7&gt;0,$A451&gt;Z$7)),0,MAX(0,ROUND((INDEX($E451:$G451,Z$5)-SUMIFS(TF_Timer,TF_Tekniker,Z$4,TF_Dato,$A451))*2,0)/2)))</f>
        <v/>
      </c>
      <c r="AA451">
        <f>IF(OR(AA$4="",$A451&gt;TODAY()),0,IF(OR(INDEX($B451:$D451,AA$5)="F",AND(AA$6&gt;0,$A451&lt;AA$6),AND(AA$7&gt;0,$A451&gt;AA$7)),0,MAX(0,ROUND((INDEX($E451:$G451,AA$5)-SUMIFS(TF_Timer,TF_Tekniker,AA$4,TF_Dato,$A451))*2,0)/2)))</f>
        <v/>
      </c>
      <c r="AB451">
        <f>IF(OR(AB$4="",$A451&gt;TODAY()),0,IF(OR(INDEX($B451:$D451,AB$5)="F",AND(AB$6&gt;0,$A451&lt;AB$6),AND(AB$7&gt;0,$A451&gt;AB$7)),0,MAX(0,ROUND((INDEX($E451:$G451,AB$5)-SUMIFS(TF_Timer,TF_Tekniker,AB$4,TF_Dato,$A451))*2,0)/2)))</f>
        <v/>
      </c>
      <c r="AC451">
        <f>IF(OR(AC$4="",$A451&gt;TODAY()),0,IF(OR(INDEX($B451:$D451,AC$5)="F",AND(AC$6&gt;0,$A451&lt;AC$6),AND(AC$7&gt;0,$A451&gt;AC$7)),0,MAX(0,ROUND((INDEX($E451:$G451,AC$5)-SUMIFS(TF_Timer,TF_Tekniker,AC$4,TF_Dato,$A451))*2,0)/2)))</f>
        <v/>
      </c>
      <c r="AD451">
        <f>IF(OR(AD$4="",$A451&gt;TODAY()),0,IF(OR(INDEX($B451:$D451,AD$5)="F",AND(AD$6&gt;0,$A451&lt;AD$6),AND(AD$7&gt;0,$A451&gt;AD$7)),0,MAX(0,ROUND((INDEX($E451:$G451,AD$5)-SUMIFS(TF_Timer,TF_Tekniker,AD$4,TF_Dato,$A451))*2,0)/2)))</f>
        <v/>
      </c>
      <c r="AE451">
        <f>IF(OR(AE$4="",$A451&gt;TODAY()),0,IF(OR(INDEX($B451:$D451,AE$5)="F",AND(AE$6&gt;0,$A451&lt;AE$6),AND(AE$7&gt;0,$A451&gt;AE$7)),0,MAX(0,ROUND((INDEX($E451:$G451,AE$5)-SUMIFS(TF_Timer,TF_Tekniker,AE$4,TF_Dato,$A451))*2,0)/2)))</f>
        <v/>
      </c>
      <c r="AF451">
        <f>IF(OR(AF$4="",$A451&gt;TODAY()),0,IF(OR(INDEX($B451:$D451,AF$5)="F",AND(AF$6&gt;0,$A451&lt;AF$6),AND(AF$7&gt;0,$A451&gt;AF$7)),0,MAX(0,ROUND((INDEX($E451:$G451,AF$5)-SUMIFS(TF_Timer,TF_Tekniker,AF$4,TF_Dato,$A451))*2,0)/2)))</f>
        <v/>
      </c>
      <c r="AG451">
        <f>IF(OR(AG$4="",$A451&gt;TODAY()),0,IF(OR(INDEX($B451:$D451,AG$5)="F",AND(AG$6&gt;0,$A451&lt;AG$6),AND(AG$7&gt;0,$A451&gt;AG$7)),0,MAX(0,ROUND((INDEX($E451:$G451,AG$5)-SUMIFS(TF_Timer,TF_Tekniker,AG$4,TF_Dato,$A451))*2,0)/2)))</f>
        <v/>
      </c>
      <c r="AH451">
        <f>IF(OR(AH$4="",$A451&gt;TODAY()),0,IF(OR(INDEX($B451:$D451,AH$5)="F",AND(AH$6&gt;0,$A451&lt;AH$6),AND(AH$7&gt;0,$A451&gt;AH$7)),0,MAX(0,ROUND((INDEX($E451:$G451,AH$5)-SUMIFS(TF_Timer,TF_Tekniker,AH$4,TF_Dato,$A451))*2,0)/2)))</f>
        <v/>
      </c>
      <c r="AI451">
        <f>IF(OR(AI$4="",$A451&gt;TODAY()),0,IF(OR(INDEX($B451:$D451,AI$5)="F",AND(AI$6&gt;0,$A451&lt;AI$6),AND(AI$7&gt;0,$A451&gt;AI$7)),0,MAX(0,ROUND((INDEX($E451:$G451,AI$5)-SUMIFS(TF_Timer,TF_Tekniker,AI$4,TF_Dato,$A451))*2,0)/2)))</f>
        <v/>
      </c>
      <c r="AJ451">
        <f>IF(OR(AJ$4="",$A451&gt;TODAY()),0,IF(OR(INDEX($B451:$D451,AJ$5)="F",AND(AJ$6&gt;0,$A451&lt;AJ$6),AND(AJ$7&gt;0,$A451&gt;AJ$7)),0,MAX(0,ROUND((INDEX($E451:$G451,AJ$5)-SUMIFS(TF_Timer,TF_Tekniker,AJ$4,TF_Dato,$A451))*2,0)/2)))</f>
        <v/>
      </c>
      <c r="AK451">
        <f>IF(OR(AK$4="",$A451&gt;TODAY()),0,IF(OR(INDEX($B451:$D451,AK$5)="F",AND(AK$6&gt;0,$A451&lt;AK$6),AND(AK$7&gt;0,$A451&gt;AK$7)),0,MAX(0,ROUND((INDEX($E451:$G451,AK$5)-SUMIFS(TF_Timer,TF_Tekniker,AK$4,TF_Dato,$A451))*2,0)/2)))</f>
        <v/>
      </c>
      <c r="AL451">
        <f>IF(OR(AL$4="",$A451&gt;TODAY()),0,IF(OR(INDEX($B451:$D451,AL$5)="F",AND(AL$6&gt;0,$A451&lt;AL$6),AND(AL$7&gt;0,$A451&gt;AL$7)),0,MAX(0,ROUND((INDEX($E451:$G451,AL$5)-SUMIFS(TF_Timer,TF_Tekniker,AL$4,TF_Dato,$A451))*2,0)/2)))</f>
        <v/>
      </c>
      <c r="AM451">
        <f>IF(OR(AM$4="",$A451&gt;TODAY()),0,IF(OR(INDEX($B451:$D451,AM$5)="F",AND(AM$6&gt;0,$A451&lt;AM$6),AND(AM$7&gt;0,$A451&gt;AM$7)),0,MAX(0,ROUND((INDEX($E451:$G451,AM$5)-SUMIFS(TF_Timer,TF_Tekniker,AM$4,TF_Dato,$A451))*2,0)/2)))</f>
        <v/>
      </c>
      <c r="AN451">
        <f>IF(OR(AN$4="",$A451&gt;TODAY()),0,IF(OR(INDEX($B451:$D451,AN$5)="F",AND(AN$6&gt;0,$A451&lt;AN$6),AND(AN$7&gt;0,$A451&gt;AN$7)),0,MAX(0,ROUND((INDEX($E451:$G451,AN$5)-SUMIFS(TF_Timer,TF_Tekniker,AN$4,TF_Dato,$A451))*2,0)/2)))</f>
        <v/>
      </c>
      <c r="AO451">
        <f>IF(OR(AO$4="",$A451&gt;TODAY()),0,IF(OR(INDEX($B451:$D451,AO$5)="F",AND(AO$6&gt;0,$A451&lt;AO$6),AND(AO$7&gt;0,$A451&gt;AO$7)),0,MAX(0,ROUND((INDEX($E451:$G451,AO$5)-SUMIFS(TF_Timer,TF_Tekniker,AO$4,TF_Dato,$A451))*2,0)/2)))</f>
        <v/>
      </c>
      <c r="AP451">
        <f>IF(OR(AP$4="",$A451&gt;TODAY()),0,IF(OR(INDEX($B451:$D451,AP$5)="F",AND(AP$6&gt;0,$A451&lt;AP$6),AND(AP$7&gt;0,$A451&gt;AP$7)),0,MAX(0,ROUND((INDEX($E451:$G451,AP$5)-SUMIFS(TF_Timer,TF_Tekniker,AP$4,TF_Dato,$A451))*2,0)/2)))</f>
        <v/>
      </c>
      <c r="AQ451">
        <f>IF(OR(AQ$4="",$A451&gt;TODAY()),0,IF(OR(INDEX($B451:$D451,AQ$5)="F",AND(AQ$6&gt;0,$A451&lt;AQ$6),AND(AQ$7&gt;0,$A451&gt;AQ$7)),0,MAX(0,ROUND((INDEX($E451:$G451,AQ$5)-SUMIFS(TF_Timer,TF_Tekniker,AQ$4,TF_Dato,$A451))*2,0)/2)))</f>
        <v/>
      </c>
      <c r="AR451">
        <f>IF(OR(AR$4="",$A451&gt;TODAY()),0,IF(OR(INDEX($B451:$D451,AR$5)="F",AND(AR$6&gt;0,$A451&lt;AR$6),AND(AR$7&gt;0,$A451&gt;AR$7)),0,MAX(0,ROUND((INDEX($E451:$G451,AR$5)-SUMIFS(TF_Timer,TF_Tekniker,AR$4,TF_Dato,$A451))*2,0)/2)))</f>
        <v/>
      </c>
      <c r="AS451">
        <f>IF(OR(AS$4="",$A451&gt;TODAY()),0,IF(OR(INDEX($B451:$D451,AS$5)="F",AND(AS$6&gt;0,$A451&lt;AS$6),AND(AS$7&gt;0,$A451&gt;AS$7)),0,MAX(0,ROUND((INDEX($E451:$G451,AS$5)-SUMIFS(TF_Timer,TF_Tekniker,AS$4,TF_Dato,$A451))*2,0)/2)))</f>
        <v/>
      </c>
      <c r="AT451">
        <f>IF(OR(AT$4="",$A451&gt;TODAY()),0,IF(OR(INDEX($B451:$D451,AT$5)="F",AND(AT$6&gt;0,$A451&lt;AT$6),AND(AT$7&gt;0,$A451&gt;AT$7)),0,MAX(0,ROUND((INDEX($E451:$G451,AT$5)-SUMIFS(TF_Timer,TF_Tekniker,AT$4,TF_Dato,$A451))*2,0)/2)))</f>
        <v/>
      </c>
      <c r="AU451">
        <f>IF(OR(AU$4="",$A451&gt;TODAY()),0,IF(OR(INDEX($B451:$D451,AU$5)="F",AND(AU$6&gt;0,$A451&lt;AU$6),AND(AU$7&gt;0,$A451&gt;AU$7)),0,MAX(0,ROUND((INDEX($E451:$G451,AU$5)-SUMIFS(TF_Timer,TF_Tekniker,AU$4,TF_Dato,$A451))*2,0)/2)))</f>
        <v/>
      </c>
      <c r="AV451">
        <f>IF(OR(AV$4="",$A451&gt;TODAY()),0,IF(OR(INDEX($B451:$D451,AV$5)="F",AND(AV$6&gt;0,$A451&lt;AV$6),AND(AV$7&gt;0,$A451&gt;AV$7)),0,MAX(0,ROUND((INDEX($E451:$G451,AV$5)-SUMIFS(TF_Timer,TF_Tekniker,AV$4,TF_Dato,$A451))*2,0)/2)))</f>
        <v/>
      </c>
      <c r="AW451">
        <f>IF(OR(AW$4="",$A451&gt;TODAY()),0,IF(OR(INDEX($B451:$D451,AW$5)="F",AND(AW$6&gt;0,$A451&lt;AW$6),AND(AW$7&gt;0,$A451&gt;AW$7)),0,MAX(0,ROUND((INDEX($E451:$G451,AW$5)-SUMIFS(TF_Timer,TF_Tekniker,AW$4,TF_Dato,$A451))*2,0)/2)))</f>
        <v/>
      </c>
      <c r="AX451">
        <f>IF(OR(AX$4="",$A451&gt;TODAY()),0,IF(OR(INDEX($B451:$D451,AX$5)="F",AND(AX$6&gt;0,$A451&lt;AX$6),AND(AX$7&gt;0,$A451&gt;AX$7)),0,MAX(0,ROUND((INDEX($E451:$G451,AX$5)-SUMIFS(TF_Timer,TF_Tekniker,AX$4,TF_Dato,$A451))*2,0)/2)))</f>
        <v/>
      </c>
      <c r="AY451">
        <f>IF(OR(AY$4="",$A451&gt;TODAY()),0,IF(OR(INDEX($B451:$D451,AY$5)="F",AND(AY$6&gt;0,$A451&lt;AY$6),AND(AY$7&gt;0,$A451&gt;AY$7)),0,MAX(0,ROUND((INDEX($E451:$G451,AY$5)-SUMIFS(TF_Timer,TF_Tekniker,AY$4,TF_Dato,$A451))*2,0)/2)))</f>
        <v/>
      </c>
      <c r="AZ451">
        <f>IF(OR(AZ$4="",$A451&gt;TODAY()),0,IF(OR(INDEX($B451:$D451,AZ$5)="F",AND(AZ$6&gt;0,$A451&lt;AZ$6),AND(AZ$7&gt;0,$A451&gt;AZ$7)),0,MAX(0,ROUND((INDEX($E451:$G451,AZ$5)-SUMIFS(TF_Timer,TF_Tekniker,AZ$4,TF_Dato,$A451))*2,0)/2)))</f>
        <v/>
      </c>
      <c r="BA451">
        <f>IF(OR(BA$4="",$A451&gt;TODAY()),0,IF(OR(INDEX($B451:$D451,BA$5)="F",AND(BA$6&gt;0,$A451&lt;BA$6),AND(BA$7&gt;0,$A451&gt;BA$7)),0,MAX(0,ROUND((INDEX($E451:$G451,BA$5)-SUMIFS(TF_Timer,TF_Tekniker,BA$4,TF_Dato,$A451))*2,0)/2)))</f>
        <v/>
      </c>
      <c r="BB451">
        <f>IF(OR(BB$4="",$A451&gt;TODAY()),0,IF(OR(INDEX($B451:$D451,BB$5)="F",AND(BB$6&gt;0,$A451&lt;BB$6),AND(BB$7&gt;0,$A451&gt;BB$7)),0,MAX(0,ROUND((INDEX($E451:$G451,BB$5)-SUMIFS(TF_Timer,TF_Tekniker,BB$4,TF_Dato,$A451))*2,0)/2)))</f>
        <v/>
      </c>
      <c r="BC451">
        <f>IF(OR(BC$4="",$A451&gt;TODAY()),0,IF(OR(INDEX($B451:$D451,BC$5)="F",AND(BC$6&gt;0,$A451&lt;BC$6),AND(BC$7&gt;0,$A451&gt;BC$7)),0,MAX(0,ROUND((INDEX($E451:$G451,BC$5)-SUMIFS(TF_Timer,TF_Tekniker,BC$4,TF_Dato,$A451))*2,0)/2)))</f>
        <v/>
      </c>
      <c r="BD451">
        <f>IF(OR(BD$4="",$A451&gt;TODAY()),0,IF(OR(INDEX($B451:$D451,BD$5)="F",AND(BD$6&gt;0,$A451&lt;BD$6),AND(BD$7&gt;0,$A451&gt;BD$7)),0,MAX(0,ROUND((INDEX($E451:$G451,BD$5)-SUMIFS(TF_Timer,TF_Tekniker,BD$4,TF_Dato,$A451))*2,0)/2)))</f>
        <v/>
      </c>
      <c r="BE451">
        <f>IF(OR(BE$4="",$A451&gt;TODAY()),0,IF(OR(INDEX($B451:$D451,BE$5)="F",AND(BE$6&gt;0,$A451&lt;BE$6),AND(BE$7&gt;0,$A451&gt;BE$7)),0,MAX(0,ROUND((INDEX($E451:$G451,BE$5)-SUMIFS(TF_Timer,TF_Tekniker,BE$4,TF_Dato,$A451))*2,0)/2)))</f>
        <v/>
      </c>
      <c r="BF451">
        <f>IF(OR(BF$4="",$A451&gt;TODAY()),0,IF(OR(INDEX($B451:$D451,BF$5)="F",AND(BF$6&gt;0,$A451&lt;BF$6),AND(BF$7&gt;0,$A451&gt;BF$7)),0,MAX(0,ROUND((INDEX($E451:$G451,BF$5)-SUMIFS(TF_Timer,TF_Tekniker,BF$4,TF_Dato,$A451))*2,0)/2)))</f>
        <v/>
      </c>
      <c r="BG451">
        <f>IF(OR(BG$4="",$A451&gt;TODAY()),0,IF(OR(INDEX($B451:$D451,BG$5)="F",AND(BG$6&gt;0,$A451&lt;BG$6),AND(BG$7&gt;0,$A451&gt;BG$7)),0,MAX(0,ROUND((INDEX($E451:$G451,BG$5)-SUMIFS(TF_Timer,TF_Tekniker,BG$4,TF_Dato,$A451))*2,0)/2)))</f>
        <v/>
      </c>
      <c r="BH451">
        <f>IF(OR(BH$4="",$A451&gt;TODAY()),0,IF(OR(INDEX($B451:$D451,BH$5)="F",AND(BH$6&gt;0,$A451&lt;BH$6),AND(BH$7&gt;0,$A451&gt;BH$7)),0,MAX(0,ROUND((INDEX($E451:$G451,BH$5)-SUMIFS(TF_Timer,TF_Tekniker,BH$4,TF_Dato,$A451))*2,0)/2)))</f>
        <v/>
      </c>
      <c r="BI451">
        <f>IF(OR(BI$4="",$A451&gt;TODAY()),0,IF(OR(INDEX($B451:$D451,BI$5)="F",AND(BI$6&gt;0,$A451&lt;BI$6),AND(BI$7&gt;0,$A451&gt;BI$7)),0,MAX(0,ROUND((INDEX($E451:$G451,BI$5)-SUMIFS(TF_Timer,TF_Tekniker,BI$4,TF_Dato,$A451))*2,0)/2)))</f>
        <v/>
      </c>
    </row>
    <row r="452">
      <c r="A452" s="64">
        <f>A451+1</f>
        <v/>
      </c>
      <c r="B452">
        <f>IF(MOD($A452-INDEX(SkiftStart,1),Syklus)&lt;DagK,"K",IF(MOD($A452-INDEX(SkiftStart,1),Syklus)&lt;DagK+DagH,"H",IF(MOD($A452-INDEX(SkiftStart,1),Syklus)&lt;DagK+DagH+DagD,"D","F")))</f>
        <v/>
      </c>
      <c r="C452">
        <f>IF(MOD($A452-INDEX(SkiftStart,2),Syklus)&lt;DagK,"K",IF(MOD($A452-INDEX(SkiftStart,2),Syklus)&lt;DagK+DagH,"H",IF(MOD($A452-INDEX(SkiftStart,2),Syklus)&lt;DagK+DagH+DagD,"D","F")))</f>
        <v/>
      </c>
      <c r="D452">
        <f>IF(MOD($A452-INDEX(SkiftStart,3),Syklus)&lt;DagK,"K",IF(MOD($A452-INDEX(SkiftStart,3),Syklus)&lt;DagK+DagH,"H",IF(MOD($A452-INDEX(SkiftStart,3),Syklus)&lt;DagK+DagH+DagD,"D","F")))</f>
        <v/>
      </c>
      <c r="E452">
        <f>IF(B452="F",0,IF(WEEKDAY($A452,2)=5,INDEX(TimerFr,MATCH(B452,FaseKode,0)),INDEX(TimerMT,MATCH(B452,FaseKode,0))))</f>
        <v/>
      </c>
      <c r="F452">
        <f>IF(C452="F",0,IF(WEEKDAY($A452,2)=5,INDEX(TimerFr,MATCH(C452,FaseKode,0)),INDEX(TimerMT,MATCH(C452,FaseKode,0))))</f>
        <v/>
      </c>
      <c r="G452">
        <f>IF(D452="F",0,IF(WEEKDAY($A452,2)=5,INDEX(TimerFr,MATCH(D452,FaseKode,0)),INDEX(TimerMT,MATCH(D452,FaseKode,0))))</f>
        <v/>
      </c>
      <c r="H452">
        <f>IF(OR(H$4="",$A452&gt;TODAY()),0,IF(OR(INDEX($B452:$D452,H$5)="F",AND(H$6&gt;0,$A452&lt;H$6),AND(H$7&gt;0,$A452&gt;H$7)),0,MAX(0,ROUND((INDEX($E452:$G452,H$5)-SUMIFS(TF_Timer,TF_Tekniker,H$4,TF_Dato,$A452))*2,0)/2)))</f>
        <v/>
      </c>
      <c r="I452">
        <f>IF(OR(I$4="",$A452&gt;TODAY()),0,IF(OR(INDEX($B452:$D452,I$5)="F",AND(I$6&gt;0,$A452&lt;I$6),AND(I$7&gt;0,$A452&gt;I$7)),0,MAX(0,ROUND((INDEX($E452:$G452,I$5)-SUMIFS(TF_Timer,TF_Tekniker,I$4,TF_Dato,$A452))*2,0)/2)))</f>
        <v/>
      </c>
      <c r="J452">
        <f>IF(OR(J$4="",$A452&gt;TODAY()),0,IF(OR(INDEX($B452:$D452,J$5)="F",AND(J$6&gt;0,$A452&lt;J$6),AND(J$7&gt;0,$A452&gt;J$7)),0,MAX(0,ROUND((INDEX($E452:$G452,J$5)-SUMIFS(TF_Timer,TF_Tekniker,J$4,TF_Dato,$A452))*2,0)/2)))</f>
        <v/>
      </c>
      <c r="K452">
        <f>IF(OR(K$4="",$A452&gt;TODAY()),0,IF(OR(INDEX($B452:$D452,K$5)="F",AND(K$6&gt;0,$A452&lt;K$6),AND(K$7&gt;0,$A452&gt;K$7)),0,MAX(0,ROUND((INDEX($E452:$G452,K$5)-SUMIFS(TF_Timer,TF_Tekniker,K$4,TF_Dato,$A452))*2,0)/2)))</f>
        <v/>
      </c>
      <c r="L452">
        <f>IF(OR(L$4="",$A452&gt;TODAY()),0,IF(OR(INDEX($B452:$D452,L$5)="F",AND(L$6&gt;0,$A452&lt;L$6),AND(L$7&gt;0,$A452&gt;L$7)),0,MAX(0,ROUND((INDEX($E452:$G452,L$5)-SUMIFS(TF_Timer,TF_Tekniker,L$4,TF_Dato,$A452))*2,0)/2)))</f>
        <v/>
      </c>
      <c r="M452">
        <f>IF(OR(M$4="",$A452&gt;TODAY()),0,IF(OR(INDEX($B452:$D452,M$5)="F",AND(M$6&gt;0,$A452&lt;M$6),AND(M$7&gt;0,$A452&gt;M$7)),0,MAX(0,ROUND((INDEX($E452:$G452,M$5)-SUMIFS(TF_Timer,TF_Tekniker,M$4,TF_Dato,$A452))*2,0)/2)))</f>
        <v/>
      </c>
      <c r="N452">
        <f>IF(OR(N$4="",$A452&gt;TODAY()),0,IF(OR(INDEX($B452:$D452,N$5)="F",AND(N$6&gt;0,$A452&lt;N$6),AND(N$7&gt;0,$A452&gt;N$7)),0,MAX(0,ROUND((INDEX($E452:$G452,N$5)-SUMIFS(TF_Timer,TF_Tekniker,N$4,TF_Dato,$A452))*2,0)/2)))</f>
        <v/>
      </c>
      <c r="O452">
        <f>IF(OR(O$4="",$A452&gt;TODAY()),0,IF(OR(INDEX($B452:$D452,O$5)="F",AND(O$6&gt;0,$A452&lt;O$6),AND(O$7&gt;0,$A452&gt;O$7)),0,MAX(0,ROUND((INDEX($E452:$G452,O$5)-SUMIFS(TF_Timer,TF_Tekniker,O$4,TF_Dato,$A452))*2,0)/2)))</f>
        <v/>
      </c>
      <c r="P452">
        <f>IF(OR(P$4="",$A452&gt;TODAY()),0,IF(OR(INDEX($B452:$D452,P$5)="F",AND(P$6&gt;0,$A452&lt;P$6),AND(P$7&gt;0,$A452&gt;P$7)),0,MAX(0,ROUND((INDEX($E452:$G452,P$5)-SUMIFS(TF_Timer,TF_Tekniker,P$4,TF_Dato,$A452))*2,0)/2)))</f>
        <v/>
      </c>
      <c r="Q452">
        <f>IF(OR(Q$4="",$A452&gt;TODAY()),0,IF(OR(INDEX($B452:$D452,Q$5)="F",AND(Q$6&gt;0,$A452&lt;Q$6),AND(Q$7&gt;0,$A452&gt;Q$7)),0,MAX(0,ROUND((INDEX($E452:$G452,Q$5)-SUMIFS(TF_Timer,TF_Tekniker,Q$4,TF_Dato,$A452))*2,0)/2)))</f>
        <v/>
      </c>
      <c r="R452">
        <f>IF(OR(R$4="",$A452&gt;TODAY()),0,IF(OR(INDEX($B452:$D452,R$5)="F",AND(R$6&gt;0,$A452&lt;R$6),AND(R$7&gt;0,$A452&gt;R$7)),0,MAX(0,ROUND((INDEX($E452:$G452,R$5)-SUMIFS(TF_Timer,TF_Tekniker,R$4,TF_Dato,$A452))*2,0)/2)))</f>
        <v/>
      </c>
      <c r="S452">
        <f>IF(OR(S$4="",$A452&gt;TODAY()),0,IF(OR(INDEX($B452:$D452,S$5)="F",AND(S$6&gt;0,$A452&lt;S$6),AND(S$7&gt;0,$A452&gt;S$7)),0,MAX(0,ROUND((INDEX($E452:$G452,S$5)-SUMIFS(TF_Timer,TF_Tekniker,S$4,TF_Dato,$A452))*2,0)/2)))</f>
        <v/>
      </c>
      <c r="T452">
        <f>IF(OR(T$4="",$A452&gt;TODAY()),0,IF(OR(INDEX($B452:$D452,T$5)="F",AND(T$6&gt;0,$A452&lt;T$6),AND(T$7&gt;0,$A452&gt;T$7)),0,MAX(0,ROUND((INDEX($E452:$G452,T$5)-SUMIFS(TF_Timer,TF_Tekniker,T$4,TF_Dato,$A452))*2,0)/2)))</f>
        <v/>
      </c>
      <c r="U452">
        <f>IF(OR(U$4="",$A452&gt;TODAY()),0,IF(OR(INDEX($B452:$D452,U$5)="F",AND(U$6&gt;0,$A452&lt;U$6),AND(U$7&gt;0,$A452&gt;U$7)),0,MAX(0,ROUND((INDEX($E452:$G452,U$5)-SUMIFS(TF_Timer,TF_Tekniker,U$4,TF_Dato,$A452))*2,0)/2)))</f>
        <v/>
      </c>
      <c r="V452">
        <f>IF(OR(V$4="",$A452&gt;TODAY()),0,IF(OR(INDEX($B452:$D452,V$5)="F",AND(V$6&gt;0,$A452&lt;V$6),AND(V$7&gt;0,$A452&gt;V$7)),0,MAX(0,ROUND((INDEX($E452:$G452,V$5)-SUMIFS(TF_Timer,TF_Tekniker,V$4,TF_Dato,$A452))*2,0)/2)))</f>
        <v/>
      </c>
      <c r="W452">
        <f>IF(OR(W$4="",$A452&gt;TODAY()),0,IF(OR(INDEX($B452:$D452,W$5)="F",AND(W$6&gt;0,$A452&lt;W$6),AND(W$7&gt;0,$A452&gt;W$7)),0,MAX(0,ROUND((INDEX($E452:$G452,W$5)-SUMIFS(TF_Timer,TF_Tekniker,W$4,TF_Dato,$A452))*2,0)/2)))</f>
        <v/>
      </c>
      <c r="X452">
        <f>IF(OR(X$4="",$A452&gt;TODAY()),0,IF(OR(INDEX($B452:$D452,X$5)="F",AND(X$6&gt;0,$A452&lt;X$6),AND(X$7&gt;0,$A452&gt;X$7)),0,MAX(0,ROUND((INDEX($E452:$G452,X$5)-SUMIFS(TF_Timer,TF_Tekniker,X$4,TF_Dato,$A452))*2,0)/2)))</f>
        <v/>
      </c>
      <c r="Y452">
        <f>IF(OR(Y$4="",$A452&gt;TODAY()),0,IF(OR(INDEX($B452:$D452,Y$5)="F",AND(Y$6&gt;0,$A452&lt;Y$6),AND(Y$7&gt;0,$A452&gt;Y$7)),0,MAX(0,ROUND((INDEX($E452:$G452,Y$5)-SUMIFS(TF_Timer,TF_Tekniker,Y$4,TF_Dato,$A452))*2,0)/2)))</f>
        <v/>
      </c>
      <c r="Z452">
        <f>IF(OR(Z$4="",$A452&gt;TODAY()),0,IF(OR(INDEX($B452:$D452,Z$5)="F",AND(Z$6&gt;0,$A452&lt;Z$6),AND(Z$7&gt;0,$A452&gt;Z$7)),0,MAX(0,ROUND((INDEX($E452:$G452,Z$5)-SUMIFS(TF_Timer,TF_Tekniker,Z$4,TF_Dato,$A452))*2,0)/2)))</f>
        <v/>
      </c>
      <c r="AA452">
        <f>IF(OR(AA$4="",$A452&gt;TODAY()),0,IF(OR(INDEX($B452:$D452,AA$5)="F",AND(AA$6&gt;0,$A452&lt;AA$6),AND(AA$7&gt;0,$A452&gt;AA$7)),0,MAX(0,ROUND((INDEX($E452:$G452,AA$5)-SUMIFS(TF_Timer,TF_Tekniker,AA$4,TF_Dato,$A452))*2,0)/2)))</f>
        <v/>
      </c>
      <c r="AB452">
        <f>IF(OR(AB$4="",$A452&gt;TODAY()),0,IF(OR(INDEX($B452:$D452,AB$5)="F",AND(AB$6&gt;0,$A452&lt;AB$6),AND(AB$7&gt;0,$A452&gt;AB$7)),0,MAX(0,ROUND((INDEX($E452:$G452,AB$5)-SUMIFS(TF_Timer,TF_Tekniker,AB$4,TF_Dato,$A452))*2,0)/2)))</f>
        <v/>
      </c>
      <c r="AC452">
        <f>IF(OR(AC$4="",$A452&gt;TODAY()),0,IF(OR(INDEX($B452:$D452,AC$5)="F",AND(AC$6&gt;0,$A452&lt;AC$6),AND(AC$7&gt;0,$A452&gt;AC$7)),0,MAX(0,ROUND((INDEX($E452:$G452,AC$5)-SUMIFS(TF_Timer,TF_Tekniker,AC$4,TF_Dato,$A452))*2,0)/2)))</f>
        <v/>
      </c>
      <c r="AD452">
        <f>IF(OR(AD$4="",$A452&gt;TODAY()),0,IF(OR(INDEX($B452:$D452,AD$5)="F",AND(AD$6&gt;0,$A452&lt;AD$6),AND(AD$7&gt;0,$A452&gt;AD$7)),0,MAX(0,ROUND((INDEX($E452:$G452,AD$5)-SUMIFS(TF_Timer,TF_Tekniker,AD$4,TF_Dato,$A452))*2,0)/2)))</f>
        <v/>
      </c>
      <c r="AE452">
        <f>IF(OR(AE$4="",$A452&gt;TODAY()),0,IF(OR(INDEX($B452:$D452,AE$5)="F",AND(AE$6&gt;0,$A452&lt;AE$6),AND(AE$7&gt;0,$A452&gt;AE$7)),0,MAX(0,ROUND((INDEX($E452:$G452,AE$5)-SUMIFS(TF_Timer,TF_Tekniker,AE$4,TF_Dato,$A452))*2,0)/2)))</f>
        <v/>
      </c>
      <c r="AF452">
        <f>IF(OR(AF$4="",$A452&gt;TODAY()),0,IF(OR(INDEX($B452:$D452,AF$5)="F",AND(AF$6&gt;0,$A452&lt;AF$6),AND(AF$7&gt;0,$A452&gt;AF$7)),0,MAX(0,ROUND((INDEX($E452:$G452,AF$5)-SUMIFS(TF_Timer,TF_Tekniker,AF$4,TF_Dato,$A452))*2,0)/2)))</f>
        <v/>
      </c>
      <c r="AG452">
        <f>IF(OR(AG$4="",$A452&gt;TODAY()),0,IF(OR(INDEX($B452:$D452,AG$5)="F",AND(AG$6&gt;0,$A452&lt;AG$6),AND(AG$7&gt;0,$A452&gt;AG$7)),0,MAX(0,ROUND((INDEX($E452:$G452,AG$5)-SUMIFS(TF_Timer,TF_Tekniker,AG$4,TF_Dato,$A452))*2,0)/2)))</f>
        <v/>
      </c>
      <c r="AH452">
        <f>IF(OR(AH$4="",$A452&gt;TODAY()),0,IF(OR(INDEX($B452:$D452,AH$5)="F",AND(AH$6&gt;0,$A452&lt;AH$6),AND(AH$7&gt;0,$A452&gt;AH$7)),0,MAX(0,ROUND((INDEX($E452:$G452,AH$5)-SUMIFS(TF_Timer,TF_Tekniker,AH$4,TF_Dato,$A452))*2,0)/2)))</f>
        <v/>
      </c>
      <c r="AI452">
        <f>IF(OR(AI$4="",$A452&gt;TODAY()),0,IF(OR(INDEX($B452:$D452,AI$5)="F",AND(AI$6&gt;0,$A452&lt;AI$6),AND(AI$7&gt;0,$A452&gt;AI$7)),0,MAX(0,ROUND((INDEX($E452:$G452,AI$5)-SUMIFS(TF_Timer,TF_Tekniker,AI$4,TF_Dato,$A452))*2,0)/2)))</f>
        <v/>
      </c>
      <c r="AJ452">
        <f>IF(OR(AJ$4="",$A452&gt;TODAY()),0,IF(OR(INDEX($B452:$D452,AJ$5)="F",AND(AJ$6&gt;0,$A452&lt;AJ$6),AND(AJ$7&gt;0,$A452&gt;AJ$7)),0,MAX(0,ROUND((INDEX($E452:$G452,AJ$5)-SUMIFS(TF_Timer,TF_Tekniker,AJ$4,TF_Dato,$A452))*2,0)/2)))</f>
        <v/>
      </c>
      <c r="AK452">
        <f>IF(OR(AK$4="",$A452&gt;TODAY()),0,IF(OR(INDEX($B452:$D452,AK$5)="F",AND(AK$6&gt;0,$A452&lt;AK$6),AND(AK$7&gt;0,$A452&gt;AK$7)),0,MAX(0,ROUND((INDEX($E452:$G452,AK$5)-SUMIFS(TF_Timer,TF_Tekniker,AK$4,TF_Dato,$A452))*2,0)/2)))</f>
        <v/>
      </c>
      <c r="AL452">
        <f>IF(OR(AL$4="",$A452&gt;TODAY()),0,IF(OR(INDEX($B452:$D452,AL$5)="F",AND(AL$6&gt;0,$A452&lt;AL$6),AND(AL$7&gt;0,$A452&gt;AL$7)),0,MAX(0,ROUND((INDEX($E452:$G452,AL$5)-SUMIFS(TF_Timer,TF_Tekniker,AL$4,TF_Dato,$A452))*2,0)/2)))</f>
        <v/>
      </c>
      <c r="AM452">
        <f>IF(OR(AM$4="",$A452&gt;TODAY()),0,IF(OR(INDEX($B452:$D452,AM$5)="F",AND(AM$6&gt;0,$A452&lt;AM$6),AND(AM$7&gt;0,$A452&gt;AM$7)),0,MAX(0,ROUND((INDEX($E452:$G452,AM$5)-SUMIFS(TF_Timer,TF_Tekniker,AM$4,TF_Dato,$A452))*2,0)/2)))</f>
        <v/>
      </c>
      <c r="AN452">
        <f>IF(OR(AN$4="",$A452&gt;TODAY()),0,IF(OR(INDEX($B452:$D452,AN$5)="F",AND(AN$6&gt;0,$A452&lt;AN$6),AND(AN$7&gt;0,$A452&gt;AN$7)),0,MAX(0,ROUND((INDEX($E452:$G452,AN$5)-SUMIFS(TF_Timer,TF_Tekniker,AN$4,TF_Dato,$A452))*2,0)/2)))</f>
        <v/>
      </c>
      <c r="AO452">
        <f>IF(OR(AO$4="",$A452&gt;TODAY()),0,IF(OR(INDEX($B452:$D452,AO$5)="F",AND(AO$6&gt;0,$A452&lt;AO$6),AND(AO$7&gt;0,$A452&gt;AO$7)),0,MAX(0,ROUND((INDEX($E452:$G452,AO$5)-SUMIFS(TF_Timer,TF_Tekniker,AO$4,TF_Dato,$A452))*2,0)/2)))</f>
        <v/>
      </c>
      <c r="AP452">
        <f>IF(OR(AP$4="",$A452&gt;TODAY()),0,IF(OR(INDEX($B452:$D452,AP$5)="F",AND(AP$6&gt;0,$A452&lt;AP$6),AND(AP$7&gt;0,$A452&gt;AP$7)),0,MAX(0,ROUND((INDEX($E452:$G452,AP$5)-SUMIFS(TF_Timer,TF_Tekniker,AP$4,TF_Dato,$A452))*2,0)/2)))</f>
        <v/>
      </c>
      <c r="AQ452">
        <f>IF(OR(AQ$4="",$A452&gt;TODAY()),0,IF(OR(INDEX($B452:$D452,AQ$5)="F",AND(AQ$6&gt;0,$A452&lt;AQ$6),AND(AQ$7&gt;0,$A452&gt;AQ$7)),0,MAX(0,ROUND((INDEX($E452:$G452,AQ$5)-SUMIFS(TF_Timer,TF_Tekniker,AQ$4,TF_Dato,$A452))*2,0)/2)))</f>
        <v/>
      </c>
      <c r="AR452">
        <f>IF(OR(AR$4="",$A452&gt;TODAY()),0,IF(OR(INDEX($B452:$D452,AR$5)="F",AND(AR$6&gt;0,$A452&lt;AR$6),AND(AR$7&gt;0,$A452&gt;AR$7)),0,MAX(0,ROUND((INDEX($E452:$G452,AR$5)-SUMIFS(TF_Timer,TF_Tekniker,AR$4,TF_Dato,$A452))*2,0)/2)))</f>
        <v/>
      </c>
      <c r="AS452">
        <f>IF(OR(AS$4="",$A452&gt;TODAY()),0,IF(OR(INDEX($B452:$D452,AS$5)="F",AND(AS$6&gt;0,$A452&lt;AS$6),AND(AS$7&gt;0,$A452&gt;AS$7)),0,MAX(0,ROUND((INDEX($E452:$G452,AS$5)-SUMIFS(TF_Timer,TF_Tekniker,AS$4,TF_Dato,$A452))*2,0)/2)))</f>
        <v/>
      </c>
      <c r="AT452">
        <f>IF(OR(AT$4="",$A452&gt;TODAY()),0,IF(OR(INDEX($B452:$D452,AT$5)="F",AND(AT$6&gt;0,$A452&lt;AT$6),AND(AT$7&gt;0,$A452&gt;AT$7)),0,MAX(0,ROUND((INDEX($E452:$G452,AT$5)-SUMIFS(TF_Timer,TF_Tekniker,AT$4,TF_Dato,$A452))*2,0)/2)))</f>
        <v/>
      </c>
      <c r="AU452">
        <f>IF(OR(AU$4="",$A452&gt;TODAY()),0,IF(OR(INDEX($B452:$D452,AU$5)="F",AND(AU$6&gt;0,$A452&lt;AU$6),AND(AU$7&gt;0,$A452&gt;AU$7)),0,MAX(0,ROUND((INDEX($E452:$G452,AU$5)-SUMIFS(TF_Timer,TF_Tekniker,AU$4,TF_Dato,$A452))*2,0)/2)))</f>
        <v/>
      </c>
      <c r="AV452">
        <f>IF(OR(AV$4="",$A452&gt;TODAY()),0,IF(OR(INDEX($B452:$D452,AV$5)="F",AND(AV$6&gt;0,$A452&lt;AV$6),AND(AV$7&gt;0,$A452&gt;AV$7)),0,MAX(0,ROUND((INDEX($E452:$G452,AV$5)-SUMIFS(TF_Timer,TF_Tekniker,AV$4,TF_Dato,$A452))*2,0)/2)))</f>
        <v/>
      </c>
      <c r="AW452">
        <f>IF(OR(AW$4="",$A452&gt;TODAY()),0,IF(OR(INDEX($B452:$D452,AW$5)="F",AND(AW$6&gt;0,$A452&lt;AW$6),AND(AW$7&gt;0,$A452&gt;AW$7)),0,MAX(0,ROUND((INDEX($E452:$G452,AW$5)-SUMIFS(TF_Timer,TF_Tekniker,AW$4,TF_Dato,$A452))*2,0)/2)))</f>
        <v/>
      </c>
      <c r="AX452">
        <f>IF(OR(AX$4="",$A452&gt;TODAY()),0,IF(OR(INDEX($B452:$D452,AX$5)="F",AND(AX$6&gt;0,$A452&lt;AX$6),AND(AX$7&gt;0,$A452&gt;AX$7)),0,MAX(0,ROUND((INDEX($E452:$G452,AX$5)-SUMIFS(TF_Timer,TF_Tekniker,AX$4,TF_Dato,$A452))*2,0)/2)))</f>
        <v/>
      </c>
      <c r="AY452">
        <f>IF(OR(AY$4="",$A452&gt;TODAY()),0,IF(OR(INDEX($B452:$D452,AY$5)="F",AND(AY$6&gt;0,$A452&lt;AY$6),AND(AY$7&gt;0,$A452&gt;AY$7)),0,MAX(0,ROUND((INDEX($E452:$G452,AY$5)-SUMIFS(TF_Timer,TF_Tekniker,AY$4,TF_Dato,$A452))*2,0)/2)))</f>
        <v/>
      </c>
      <c r="AZ452">
        <f>IF(OR(AZ$4="",$A452&gt;TODAY()),0,IF(OR(INDEX($B452:$D452,AZ$5)="F",AND(AZ$6&gt;0,$A452&lt;AZ$6),AND(AZ$7&gt;0,$A452&gt;AZ$7)),0,MAX(0,ROUND((INDEX($E452:$G452,AZ$5)-SUMIFS(TF_Timer,TF_Tekniker,AZ$4,TF_Dato,$A452))*2,0)/2)))</f>
        <v/>
      </c>
      <c r="BA452">
        <f>IF(OR(BA$4="",$A452&gt;TODAY()),0,IF(OR(INDEX($B452:$D452,BA$5)="F",AND(BA$6&gt;0,$A452&lt;BA$6),AND(BA$7&gt;0,$A452&gt;BA$7)),0,MAX(0,ROUND((INDEX($E452:$G452,BA$5)-SUMIFS(TF_Timer,TF_Tekniker,BA$4,TF_Dato,$A452))*2,0)/2)))</f>
        <v/>
      </c>
      <c r="BB452">
        <f>IF(OR(BB$4="",$A452&gt;TODAY()),0,IF(OR(INDEX($B452:$D452,BB$5)="F",AND(BB$6&gt;0,$A452&lt;BB$6),AND(BB$7&gt;0,$A452&gt;BB$7)),0,MAX(0,ROUND((INDEX($E452:$G452,BB$5)-SUMIFS(TF_Timer,TF_Tekniker,BB$4,TF_Dato,$A452))*2,0)/2)))</f>
        <v/>
      </c>
      <c r="BC452">
        <f>IF(OR(BC$4="",$A452&gt;TODAY()),0,IF(OR(INDEX($B452:$D452,BC$5)="F",AND(BC$6&gt;0,$A452&lt;BC$6),AND(BC$7&gt;0,$A452&gt;BC$7)),0,MAX(0,ROUND((INDEX($E452:$G452,BC$5)-SUMIFS(TF_Timer,TF_Tekniker,BC$4,TF_Dato,$A452))*2,0)/2)))</f>
        <v/>
      </c>
      <c r="BD452">
        <f>IF(OR(BD$4="",$A452&gt;TODAY()),0,IF(OR(INDEX($B452:$D452,BD$5)="F",AND(BD$6&gt;0,$A452&lt;BD$6),AND(BD$7&gt;0,$A452&gt;BD$7)),0,MAX(0,ROUND((INDEX($E452:$G452,BD$5)-SUMIFS(TF_Timer,TF_Tekniker,BD$4,TF_Dato,$A452))*2,0)/2)))</f>
        <v/>
      </c>
      <c r="BE452">
        <f>IF(OR(BE$4="",$A452&gt;TODAY()),0,IF(OR(INDEX($B452:$D452,BE$5)="F",AND(BE$6&gt;0,$A452&lt;BE$6),AND(BE$7&gt;0,$A452&gt;BE$7)),0,MAX(0,ROUND((INDEX($E452:$G452,BE$5)-SUMIFS(TF_Timer,TF_Tekniker,BE$4,TF_Dato,$A452))*2,0)/2)))</f>
        <v/>
      </c>
      <c r="BF452">
        <f>IF(OR(BF$4="",$A452&gt;TODAY()),0,IF(OR(INDEX($B452:$D452,BF$5)="F",AND(BF$6&gt;0,$A452&lt;BF$6),AND(BF$7&gt;0,$A452&gt;BF$7)),0,MAX(0,ROUND((INDEX($E452:$G452,BF$5)-SUMIFS(TF_Timer,TF_Tekniker,BF$4,TF_Dato,$A452))*2,0)/2)))</f>
        <v/>
      </c>
      <c r="BG452">
        <f>IF(OR(BG$4="",$A452&gt;TODAY()),0,IF(OR(INDEX($B452:$D452,BG$5)="F",AND(BG$6&gt;0,$A452&lt;BG$6),AND(BG$7&gt;0,$A452&gt;BG$7)),0,MAX(0,ROUND((INDEX($E452:$G452,BG$5)-SUMIFS(TF_Timer,TF_Tekniker,BG$4,TF_Dato,$A452))*2,0)/2)))</f>
        <v/>
      </c>
      <c r="BH452">
        <f>IF(OR(BH$4="",$A452&gt;TODAY()),0,IF(OR(INDEX($B452:$D452,BH$5)="F",AND(BH$6&gt;0,$A452&lt;BH$6),AND(BH$7&gt;0,$A452&gt;BH$7)),0,MAX(0,ROUND((INDEX($E452:$G452,BH$5)-SUMIFS(TF_Timer,TF_Tekniker,BH$4,TF_Dato,$A452))*2,0)/2)))</f>
        <v/>
      </c>
      <c r="BI452">
        <f>IF(OR(BI$4="",$A452&gt;TODAY()),0,IF(OR(INDEX($B452:$D452,BI$5)="F",AND(BI$6&gt;0,$A452&lt;BI$6),AND(BI$7&gt;0,$A452&gt;BI$7)),0,MAX(0,ROUND((INDEX($E452:$G452,BI$5)-SUMIFS(TF_Timer,TF_Tekniker,BI$4,TF_Dato,$A452))*2,0)/2)))</f>
        <v/>
      </c>
    </row>
    <row r="453">
      <c r="A453" s="64">
        <f>A452+1</f>
        <v/>
      </c>
      <c r="B453">
        <f>IF(MOD($A453-INDEX(SkiftStart,1),Syklus)&lt;DagK,"K",IF(MOD($A453-INDEX(SkiftStart,1),Syklus)&lt;DagK+DagH,"H",IF(MOD($A453-INDEX(SkiftStart,1),Syklus)&lt;DagK+DagH+DagD,"D","F")))</f>
        <v/>
      </c>
      <c r="C453">
        <f>IF(MOD($A453-INDEX(SkiftStart,2),Syklus)&lt;DagK,"K",IF(MOD($A453-INDEX(SkiftStart,2),Syklus)&lt;DagK+DagH,"H",IF(MOD($A453-INDEX(SkiftStart,2),Syklus)&lt;DagK+DagH+DagD,"D","F")))</f>
        <v/>
      </c>
      <c r="D453">
        <f>IF(MOD($A453-INDEX(SkiftStart,3),Syklus)&lt;DagK,"K",IF(MOD($A453-INDEX(SkiftStart,3),Syklus)&lt;DagK+DagH,"H",IF(MOD($A453-INDEX(SkiftStart,3),Syklus)&lt;DagK+DagH+DagD,"D","F")))</f>
        <v/>
      </c>
      <c r="E453">
        <f>IF(B453="F",0,IF(WEEKDAY($A453,2)=5,INDEX(TimerFr,MATCH(B453,FaseKode,0)),INDEX(TimerMT,MATCH(B453,FaseKode,0))))</f>
        <v/>
      </c>
      <c r="F453">
        <f>IF(C453="F",0,IF(WEEKDAY($A453,2)=5,INDEX(TimerFr,MATCH(C453,FaseKode,0)),INDEX(TimerMT,MATCH(C453,FaseKode,0))))</f>
        <v/>
      </c>
      <c r="G453">
        <f>IF(D453="F",0,IF(WEEKDAY($A453,2)=5,INDEX(TimerFr,MATCH(D453,FaseKode,0)),INDEX(TimerMT,MATCH(D453,FaseKode,0))))</f>
        <v/>
      </c>
      <c r="H453">
        <f>IF(OR(H$4="",$A453&gt;TODAY()),0,IF(OR(INDEX($B453:$D453,H$5)="F",AND(H$6&gt;0,$A453&lt;H$6),AND(H$7&gt;0,$A453&gt;H$7)),0,MAX(0,ROUND((INDEX($E453:$G453,H$5)-SUMIFS(TF_Timer,TF_Tekniker,H$4,TF_Dato,$A453))*2,0)/2)))</f>
        <v/>
      </c>
      <c r="I453">
        <f>IF(OR(I$4="",$A453&gt;TODAY()),0,IF(OR(INDEX($B453:$D453,I$5)="F",AND(I$6&gt;0,$A453&lt;I$6),AND(I$7&gt;0,$A453&gt;I$7)),0,MAX(0,ROUND((INDEX($E453:$G453,I$5)-SUMIFS(TF_Timer,TF_Tekniker,I$4,TF_Dato,$A453))*2,0)/2)))</f>
        <v/>
      </c>
      <c r="J453">
        <f>IF(OR(J$4="",$A453&gt;TODAY()),0,IF(OR(INDEX($B453:$D453,J$5)="F",AND(J$6&gt;0,$A453&lt;J$6),AND(J$7&gt;0,$A453&gt;J$7)),0,MAX(0,ROUND((INDEX($E453:$G453,J$5)-SUMIFS(TF_Timer,TF_Tekniker,J$4,TF_Dato,$A453))*2,0)/2)))</f>
        <v/>
      </c>
      <c r="K453">
        <f>IF(OR(K$4="",$A453&gt;TODAY()),0,IF(OR(INDEX($B453:$D453,K$5)="F",AND(K$6&gt;0,$A453&lt;K$6),AND(K$7&gt;0,$A453&gt;K$7)),0,MAX(0,ROUND((INDEX($E453:$G453,K$5)-SUMIFS(TF_Timer,TF_Tekniker,K$4,TF_Dato,$A453))*2,0)/2)))</f>
        <v/>
      </c>
      <c r="L453">
        <f>IF(OR(L$4="",$A453&gt;TODAY()),0,IF(OR(INDEX($B453:$D453,L$5)="F",AND(L$6&gt;0,$A453&lt;L$6),AND(L$7&gt;0,$A453&gt;L$7)),0,MAX(0,ROUND((INDEX($E453:$G453,L$5)-SUMIFS(TF_Timer,TF_Tekniker,L$4,TF_Dato,$A453))*2,0)/2)))</f>
        <v/>
      </c>
      <c r="M453">
        <f>IF(OR(M$4="",$A453&gt;TODAY()),0,IF(OR(INDEX($B453:$D453,M$5)="F",AND(M$6&gt;0,$A453&lt;M$6),AND(M$7&gt;0,$A453&gt;M$7)),0,MAX(0,ROUND((INDEX($E453:$G453,M$5)-SUMIFS(TF_Timer,TF_Tekniker,M$4,TF_Dato,$A453))*2,0)/2)))</f>
        <v/>
      </c>
      <c r="N453">
        <f>IF(OR(N$4="",$A453&gt;TODAY()),0,IF(OR(INDEX($B453:$D453,N$5)="F",AND(N$6&gt;0,$A453&lt;N$6),AND(N$7&gt;0,$A453&gt;N$7)),0,MAX(0,ROUND((INDEX($E453:$G453,N$5)-SUMIFS(TF_Timer,TF_Tekniker,N$4,TF_Dato,$A453))*2,0)/2)))</f>
        <v/>
      </c>
      <c r="O453">
        <f>IF(OR(O$4="",$A453&gt;TODAY()),0,IF(OR(INDEX($B453:$D453,O$5)="F",AND(O$6&gt;0,$A453&lt;O$6),AND(O$7&gt;0,$A453&gt;O$7)),0,MAX(0,ROUND((INDEX($E453:$G453,O$5)-SUMIFS(TF_Timer,TF_Tekniker,O$4,TF_Dato,$A453))*2,0)/2)))</f>
        <v/>
      </c>
      <c r="P453">
        <f>IF(OR(P$4="",$A453&gt;TODAY()),0,IF(OR(INDEX($B453:$D453,P$5)="F",AND(P$6&gt;0,$A453&lt;P$6),AND(P$7&gt;0,$A453&gt;P$7)),0,MAX(0,ROUND((INDEX($E453:$G453,P$5)-SUMIFS(TF_Timer,TF_Tekniker,P$4,TF_Dato,$A453))*2,0)/2)))</f>
        <v/>
      </c>
      <c r="Q453">
        <f>IF(OR(Q$4="",$A453&gt;TODAY()),0,IF(OR(INDEX($B453:$D453,Q$5)="F",AND(Q$6&gt;0,$A453&lt;Q$6),AND(Q$7&gt;0,$A453&gt;Q$7)),0,MAX(0,ROUND((INDEX($E453:$G453,Q$5)-SUMIFS(TF_Timer,TF_Tekniker,Q$4,TF_Dato,$A453))*2,0)/2)))</f>
        <v/>
      </c>
      <c r="R453">
        <f>IF(OR(R$4="",$A453&gt;TODAY()),0,IF(OR(INDEX($B453:$D453,R$5)="F",AND(R$6&gt;0,$A453&lt;R$6),AND(R$7&gt;0,$A453&gt;R$7)),0,MAX(0,ROUND((INDEX($E453:$G453,R$5)-SUMIFS(TF_Timer,TF_Tekniker,R$4,TF_Dato,$A453))*2,0)/2)))</f>
        <v/>
      </c>
      <c r="S453">
        <f>IF(OR(S$4="",$A453&gt;TODAY()),0,IF(OR(INDEX($B453:$D453,S$5)="F",AND(S$6&gt;0,$A453&lt;S$6),AND(S$7&gt;0,$A453&gt;S$7)),0,MAX(0,ROUND((INDEX($E453:$G453,S$5)-SUMIFS(TF_Timer,TF_Tekniker,S$4,TF_Dato,$A453))*2,0)/2)))</f>
        <v/>
      </c>
      <c r="T453">
        <f>IF(OR(T$4="",$A453&gt;TODAY()),0,IF(OR(INDEX($B453:$D453,T$5)="F",AND(T$6&gt;0,$A453&lt;T$6),AND(T$7&gt;0,$A453&gt;T$7)),0,MAX(0,ROUND((INDEX($E453:$G453,T$5)-SUMIFS(TF_Timer,TF_Tekniker,T$4,TF_Dato,$A453))*2,0)/2)))</f>
        <v/>
      </c>
      <c r="U453">
        <f>IF(OR(U$4="",$A453&gt;TODAY()),0,IF(OR(INDEX($B453:$D453,U$5)="F",AND(U$6&gt;0,$A453&lt;U$6),AND(U$7&gt;0,$A453&gt;U$7)),0,MAX(0,ROUND((INDEX($E453:$G453,U$5)-SUMIFS(TF_Timer,TF_Tekniker,U$4,TF_Dato,$A453))*2,0)/2)))</f>
        <v/>
      </c>
      <c r="V453">
        <f>IF(OR(V$4="",$A453&gt;TODAY()),0,IF(OR(INDEX($B453:$D453,V$5)="F",AND(V$6&gt;0,$A453&lt;V$6),AND(V$7&gt;0,$A453&gt;V$7)),0,MAX(0,ROUND((INDEX($E453:$G453,V$5)-SUMIFS(TF_Timer,TF_Tekniker,V$4,TF_Dato,$A453))*2,0)/2)))</f>
        <v/>
      </c>
      <c r="W453">
        <f>IF(OR(W$4="",$A453&gt;TODAY()),0,IF(OR(INDEX($B453:$D453,W$5)="F",AND(W$6&gt;0,$A453&lt;W$6),AND(W$7&gt;0,$A453&gt;W$7)),0,MAX(0,ROUND((INDEX($E453:$G453,W$5)-SUMIFS(TF_Timer,TF_Tekniker,W$4,TF_Dato,$A453))*2,0)/2)))</f>
        <v/>
      </c>
      <c r="X453">
        <f>IF(OR(X$4="",$A453&gt;TODAY()),0,IF(OR(INDEX($B453:$D453,X$5)="F",AND(X$6&gt;0,$A453&lt;X$6),AND(X$7&gt;0,$A453&gt;X$7)),0,MAX(0,ROUND((INDEX($E453:$G453,X$5)-SUMIFS(TF_Timer,TF_Tekniker,X$4,TF_Dato,$A453))*2,0)/2)))</f>
        <v/>
      </c>
      <c r="Y453">
        <f>IF(OR(Y$4="",$A453&gt;TODAY()),0,IF(OR(INDEX($B453:$D453,Y$5)="F",AND(Y$6&gt;0,$A453&lt;Y$6),AND(Y$7&gt;0,$A453&gt;Y$7)),0,MAX(0,ROUND((INDEX($E453:$G453,Y$5)-SUMIFS(TF_Timer,TF_Tekniker,Y$4,TF_Dato,$A453))*2,0)/2)))</f>
        <v/>
      </c>
      <c r="Z453">
        <f>IF(OR(Z$4="",$A453&gt;TODAY()),0,IF(OR(INDEX($B453:$D453,Z$5)="F",AND(Z$6&gt;0,$A453&lt;Z$6),AND(Z$7&gt;0,$A453&gt;Z$7)),0,MAX(0,ROUND((INDEX($E453:$G453,Z$5)-SUMIFS(TF_Timer,TF_Tekniker,Z$4,TF_Dato,$A453))*2,0)/2)))</f>
        <v/>
      </c>
      <c r="AA453">
        <f>IF(OR(AA$4="",$A453&gt;TODAY()),0,IF(OR(INDEX($B453:$D453,AA$5)="F",AND(AA$6&gt;0,$A453&lt;AA$6),AND(AA$7&gt;0,$A453&gt;AA$7)),0,MAX(0,ROUND((INDEX($E453:$G453,AA$5)-SUMIFS(TF_Timer,TF_Tekniker,AA$4,TF_Dato,$A453))*2,0)/2)))</f>
        <v/>
      </c>
      <c r="AB453">
        <f>IF(OR(AB$4="",$A453&gt;TODAY()),0,IF(OR(INDEX($B453:$D453,AB$5)="F",AND(AB$6&gt;0,$A453&lt;AB$6),AND(AB$7&gt;0,$A453&gt;AB$7)),0,MAX(0,ROUND((INDEX($E453:$G453,AB$5)-SUMIFS(TF_Timer,TF_Tekniker,AB$4,TF_Dato,$A453))*2,0)/2)))</f>
        <v/>
      </c>
      <c r="AC453">
        <f>IF(OR(AC$4="",$A453&gt;TODAY()),0,IF(OR(INDEX($B453:$D453,AC$5)="F",AND(AC$6&gt;0,$A453&lt;AC$6),AND(AC$7&gt;0,$A453&gt;AC$7)),0,MAX(0,ROUND((INDEX($E453:$G453,AC$5)-SUMIFS(TF_Timer,TF_Tekniker,AC$4,TF_Dato,$A453))*2,0)/2)))</f>
        <v/>
      </c>
      <c r="AD453">
        <f>IF(OR(AD$4="",$A453&gt;TODAY()),0,IF(OR(INDEX($B453:$D453,AD$5)="F",AND(AD$6&gt;0,$A453&lt;AD$6),AND(AD$7&gt;0,$A453&gt;AD$7)),0,MAX(0,ROUND((INDEX($E453:$G453,AD$5)-SUMIFS(TF_Timer,TF_Tekniker,AD$4,TF_Dato,$A453))*2,0)/2)))</f>
        <v/>
      </c>
      <c r="AE453">
        <f>IF(OR(AE$4="",$A453&gt;TODAY()),0,IF(OR(INDEX($B453:$D453,AE$5)="F",AND(AE$6&gt;0,$A453&lt;AE$6),AND(AE$7&gt;0,$A453&gt;AE$7)),0,MAX(0,ROUND((INDEX($E453:$G453,AE$5)-SUMIFS(TF_Timer,TF_Tekniker,AE$4,TF_Dato,$A453))*2,0)/2)))</f>
        <v/>
      </c>
      <c r="AF453">
        <f>IF(OR(AF$4="",$A453&gt;TODAY()),0,IF(OR(INDEX($B453:$D453,AF$5)="F",AND(AF$6&gt;0,$A453&lt;AF$6),AND(AF$7&gt;0,$A453&gt;AF$7)),0,MAX(0,ROUND((INDEX($E453:$G453,AF$5)-SUMIFS(TF_Timer,TF_Tekniker,AF$4,TF_Dato,$A453))*2,0)/2)))</f>
        <v/>
      </c>
      <c r="AG453">
        <f>IF(OR(AG$4="",$A453&gt;TODAY()),0,IF(OR(INDEX($B453:$D453,AG$5)="F",AND(AG$6&gt;0,$A453&lt;AG$6),AND(AG$7&gt;0,$A453&gt;AG$7)),0,MAX(0,ROUND((INDEX($E453:$G453,AG$5)-SUMIFS(TF_Timer,TF_Tekniker,AG$4,TF_Dato,$A453))*2,0)/2)))</f>
        <v/>
      </c>
      <c r="AH453">
        <f>IF(OR(AH$4="",$A453&gt;TODAY()),0,IF(OR(INDEX($B453:$D453,AH$5)="F",AND(AH$6&gt;0,$A453&lt;AH$6),AND(AH$7&gt;0,$A453&gt;AH$7)),0,MAX(0,ROUND((INDEX($E453:$G453,AH$5)-SUMIFS(TF_Timer,TF_Tekniker,AH$4,TF_Dato,$A453))*2,0)/2)))</f>
        <v/>
      </c>
      <c r="AI453">
        <f>IF(OR(AI$4="",$A453&gt;TODAY()),0,IF(OR(INDEX($B453:$D453,AI$5)="F",AND(AI$6&gt;0,$A453&lt;AI$6),AND(AI$7&gt;0,$A453&gt;AI$7)),0,MAX(0,ROUND((INDEX($E453:$G453,AI$5)-SUMIFS(TF_Timer,TF_Tekniker,AI$4,TF_Dato,$A453))*2,0)/2)))</f>
        <v/>
      </c>
      <c r="AJ453">
        <f>IF(OR(AJ$4="",$A453&gt;TODAY()),0,IF(OR(INDEX($B453:$D453,AJ$5)="F",AND(AJ$6&gt;0,$A453&lt;AJ$6),AND(AJ$7&gt;0,$A453&gt;AJ$7)),0,MAX(0,ROUND((INDEX($E453:$G453,AJ$5)-SUMIFS(TF_Timer,TF_Tekniker,AJ$4,TF_Dato,$A453))*2,0)/2)))</f>
        <v/>
      </c>
      <c r="AK453">
        <f>IF(OR(AK$4="",$A453&gt;TODAY()),0,IF(OR(INDEX($B453:$D453,AK$5)="F",AND(AK$6&gt;0,$A453&lt;AK$6),AND(AK$7&gt;0,$A453&gt;AK$7)),0,MAX(0,ROUND((INDEX($E453:$G453,AK$5)-SUMIFS(TF_Timer,TF_Tekniker,AK$4,TF_Dato,$A453))*2,0)/2)))</f>
        <v/>
      </c>
      <c r="AL453">
        <f>IF(OR(AL$4="",$A453&gt;TODAY()),0,IF(OR(INDEX($B453:$D453,AL$5)="F",AND(AL$6&gt;0,$A453&lt;AL$6),AND(AL$7&gt;0,$A453&gt;AL$7)),0,MAX(0,ROUND((INDEX($E453:$G453,AL$5)-SUMIFS(TF_Timer,TF_Tekniker,AL$4,TF_Dato,$A453))*2,0)/2)))</f>
        <v/>
      </c>
      <c r="AM453">
        <f>IF(OR(AM$4="",$A453&gt;TODAY()),0,IF(OR(INDEX($B453:$D453,AM$5)="F",AND(AM$6&gt;0,$A453&lt;AM$6),AND(AM$7&gt;0,$A453&gt;AM$7)),0,MAX(0,ROUND((INDEX($E453:$G453,AM$5)-SUMIFS(TF_Timer,TF_Tekniker,AM$4,TF_Dato,$A453))*2,0)/2)))</f>
        <v/>
      </c>
      <c r="AN453">
        <f>IF(OR(AN$4="",$A453&gt;TODAY()),0,IF(OR(INDEX($B453:$D453,AN$5)="F",AND(AN$6&gt;0,$A453&lt;AN$6),AND(AN$7&gt;0,$A453&gt;AN$7)),0,MAX(0,ROUND((INDEX($E453:$G453,AN$5)-SUMIFS(TF_Timer,TF_Tekniker,AN$4,TF_Dato,$A453))*2,0)/2)))</f>
        <v/>
      </c>
      <c r="AO453">
        <f>IF(OR(AO$4="",$A453&gt;TODAY()),0,IF(OR(INDEX($B453:$D453,AO$5)="F",AND(AO$6&gt;0,$A453&lt;AO$6),AND(AO$7&gt;0,$A453&gt;AO$7)),0,MAX(0,ROUND((INDEX($E453:$G453,AO$5)-SUMIFS(TF_Timer,TF_Tekniker,AO$4,TF_Dato,$A453))*2,0)/2)))</f>
        <v/>
      </c>
      <c r="AP453">
        <f>IF(OR(AP$4="",$A453&gt;TODAY()),0,IF(OR(INDEX($B453:$D453,AP$5)="F",AND(AP$6&gt;0,$A453&lt;AP$6),AND(AP$7&gt;0,$A453&gt;AP$7)),0,MAX(0,ROUND((INDEX($E453:$G453,AP$5)-SUMIFS(TF_Timer,TF_Tekniker,AP$4,TF_Dato,$A453))*2,0)/2)))</f>
        <v/>
      </c>
      <c r="AQ453">
        <f>IF(OR(AQ$4="",$A453&gt;TODAY()),0,IF(OR(INDEX($B453:$D453,AQ$5)="F",AND(AQ$6&gt;0,$A453&lt;AQ$6),AND(AQ$7&gt;0,$A453&gt;AQ$7)),0,MAX(0,ROUND((INDEX($E453:$G453,AQ$5)-SUMIFS(TF_Timer,TF_Tekniker,AQ$4,TF_Dato,$A453))*2,0)/2)))</f>
        <v/>
      </c>
      <c r="AR453">
        <f>IF(OR(AR$4="",$A453&gt;TODAY()),0,IF(OR(INDEX($B453:$D453,AR$5)="F",AND(AR$6&gt;0,$A453&lt;AR$6),AND(AR$7&gt;0,$A453&gt;AR$7)),0,MAX(0,ROUND((INDEX($E453:$G453,AR$5)-SUMIFS(TF_Timer,TF_Tekniker,AR$4,TF_Dato,$A453))*2,0)/2)))</f>
        <v/>
      </c>
      <c r="AS453">
        <f>IF(OR(AS$4="",$A453&gt;TODAY()),0,IF(OR(INDEX($B453:$D453,AS$5)="F",AND(AS$6&gt;0,$A453&lt;AS$6),AND(AS$7&gt;0,$A453&gt;AS$7)),0,MAX(0,ROUND((INDEX($E453:$G453,AS$5)-SUMIFS(TF_Timer,TF_Tekniker,AS$4,TF_Dato,$A453))*2,0)/2)))</f>
        <v/>
      </c>
      <c r="AT453">
        <f>IF(OR(AT$4="",$A453&gt;TODAY()),0,IF(OR(INDEX($B453:$D453,AT$5)="F",AND(AT$6&gt;0,$A453&lt;AT$6),AND(AT$7&gt;0,$A453&gt;AT$7)),0,MAX(0,ROUND((INDEX($E453:$G453,AT$5)-SUMIFS(TF_Timer,TF_Tekniker,AT$4,TF_Dato,$A453))*2,0)/2)))</f>
        <v/>
      </c>
      <c r="AU453">
        <f>IF(OR(AU$4="",$A453&gt;TODAY()),0,IF(OR(INDEX($B453:$D453,AU$5)="F",AND(AU$6&gt;0,$A453&lt;AU$6),AND(AU$7&gt;0,$A453&gt;AU$7)),0,MAX(0,ROUND((INDEX($E453:$G453,AU$5)-SUMIFS(TF_Timer,TF_Tekniker,AU$4,TF_Dato,$A453))*2,0)/2)))</f>
        <v/>
      </c>
      <c r="AV453">
        <f>IF(OR(AV$4="",$A453&gt;TODAY()),0,IF(OR(INDEX($B453:$D453,AV$5)="F",AND(AV$6&gt;0,$A453&lt;AV$6),AND(AV$7&gt;0,$A453&gt;AV$7)),0,MAX(0,ROUND((INDEX($E453:$G453,AV$5)-SUMIFS(TF_Timer,TF_Tekniker,AV$4,TF_Dato,$A453))*2,0)/2)))</f>
        <v/>
      </c>
      <c r="AW453">
        <f>IF(OR(AW$4="",$A453&gt;TODAY()),0,IF(OR(INDEX($B453:$D453,AW$5)="F",AND(AW$6&gt;0,$A453&lt;AW$6),AND(AW$7&gt;0,$A453&gt;AW$7)),0,MAX(0,ROUND((INDEX($E453:$G453,AW$5)-SUMIFS(TF_Timer,TF_Tekniker,AW$4,TF_Dato,$A453))*2,0)/2)))</f>
        <v/>
      </c>
      <c r="AX453">
        <f>IF(OR(AX$4="",$A453&gt;TODAY()),0,IF(OR(INDEX($B453:$D453,AX$5)="F",AND(AX$6&gt;0,$A453&lt;AX$6),AND(AX$7&gt;0,$A453&gt;AX$7)),0,MAX(0,ROUND((INDEX($E453:$G453,AX$5)-SUMIFS(TF_Timer,TF_Tekniker,AX$4,TF_Dato,$A453))*2,0)/2)))</f>
        <v/>
      </c>
      <c r="AY453">
        <f>IF(OR(AY$4="",$A453&gt;TODAY()),0,IF(OR(INDEX($B453:$D453,AY$5)="F",AND(AY$6&gt;0,$A453&lt;AY$6),AND(AY$7&gt;0,$A453&gt;AY$7)),0,MAX(0,ROUND((INDEX($E453:$G453,AY$5)-SUMIFS(TF_Timer,TF_Tekniker,AY$4,TF_Dato,$A453))*2,0)/2)))</f>
        <v/>
      </c>
      <c r="AZ453">
        <f>IF(OR(AZ$4="",$A453&gt;TODAY()),0,IF(OR(INDEX($B453:$D453,AZ$5)="F",AND(AZ$6&gt;0,$A453&lt;AZ$6),AND(AZ$7&gt;0,$A453&gt;AZ$7)),0,MAX(0,ROUND((INDEX($E453:$G453,AZ$5)-SUMIFS(TF_Timer,TF_Tekniker,AZ$4,TF_Dato,$A453))*2,0)/2)))</f>
        <v/>
      </c>
      <c r="BA453">
        <f>IF(OR(BA$4="",$A453&gt;TODAY()),0,IF(OR(INDEX($B453:$D453,BA$5)="F",AND(BA$6&gt;0,$A453&lt;BA$6),AND(BA$7&gt;0,$A453&gt;BA$7)),0,MAX(0,ROUND((INDEX($E453:$G453,BA$5)-SUMIFS(TF_Timer,TF_Tekniker,BA$4,TF_Dato,$A453))*2,0)/2)))</f>
        <v/>
      </c>
      <c r="BB453">
        <f>IF(OR(BB$4="",$A453&gt;TODAY()),0,IF(OR(INDEX($B453:$D453,BB$5)="F",AND(BB$6&gt;0,$A453&lt;BB$6),AND(BB$7&gt;0,$A453&gt;BB$7)),0,MAX(0,ROUND((INDEX($E453:$G453,BB$5)-SUMIFS(TF_Timer,TF_Tekniker,BB$4,TF_Dato,$A453))*2,0)/2)))</f>
        <v/>
      </c>
      <c r="BC453">
        <f>IF(OR(BC$4="",$A453&gt;TODAY()),0,IF(OR(INDEX($B453:$D453,BC$5)="F",AND(BC$6&gt;0,$A453&lt;BC$6),AND(BC$7&gt;0,$A453&gt;BC$7)),0,MAX(0,ROUND((INDEX($E453:$G453,BC$5)-SUMIFS(TF_Timer,TF_Tekniker,BC$4,TF_Dato,$A453))*2,0)/2)))</f>
        <v/>
      </c>
      <c r="BD453">
        <f>IF(OR(BD$4="",$A453&gt;TODAY()),0,IF(OR(INDEX($B453:$D453,BD$5)="F",AND(BD$6&gt;0,$A453&lt;BD$6),AND(BD$7&gt;0,$A453&gt;BD$7)),0,MAX(0,ROUND((INDEX($E453:$G453,BD$5)-SUMIFS(TF_Timer,TF_Tekniker,BD$4,TF_Dato,$A453))*2,0)/2)))</f>
        <v/>
      </c>
      <c r="BE453">
        <f>IF(OR(BE$4="",$A453&gt;TODAY()),0,IF(OR(INDEX($B453:$D453,BE$5)="F",AND(BE$6&gt;0,$A453&lt;BE$6),AND(BE$7&gt;0,$A453&gt;BE$7)),0,MAX(0,ROUND((INDEX($E453:$G453,BE$5)-SUMIFS(TF_Timer,TF_Tekniker,BE$4,TF_Dato,$A453))*2,0)/2)))</f>
        <v/>
      </c>
      <c r="BF453">
        <f>IF(OR(BF$4="",$A453&gt;TODAY()),0,IF(OR(INDEX($B453:$D453,BF$5)="F",AND(BF$6&gt;0,$A453&lt;BF$6),AND(BF$7&gt;0,$A453&gt;BF$7)),0,MAX(0,ROUND((INDEX($E453:$G453,BF$5)-SUMIFS(TF_Timer,TF_Tekniker,BF$4,TF_Dato,$A453))*2,0)/2)))</f>
        <v/>
      </c>
      <c r="BG453">
        <f>IF(OR(BG$4="",$A453&gt;TODAY()),0,IF(OR(INDEX($B453:$D453,BG$5)="F",AND(BG$6&gt;0,$A453&lt;BG$6),AND(BG$7&gt;0,$A453&gt;BG$7)),0,MAX(0,ROUND((INDEX($E453:$G453,BG$5)-SUMIFS(TF_Timer,TF_Tekniker,BG$4,TF_Dato,$A453))*2,0)/2)))</f>
        <v/>
      </c>
      <c r="BH453">
        <f>IF(OR(BH$4="",$A453&gt;TODAY()),0,IF(OR(INDEX($B453:$D453,BH$5)="F",AND(BH$6&gt;0,$A453&lt;BH$6),AND(BH$7&gt;0,$A453&gt;BH$7)),0,MAX(0,ROUND((INDEX($E453:$G453,BH$5)-SUMIFS(TF_Timer,TF_Tekniker,BH$4,TF_Dato,$A453))*2,0)/2)))</f>
        <v/>
      </c>
      <c r="BI453">
        <f>IF(OR(BI$4="",$A453&gt;TODAY()),0,IF(OR(INDEX($B453:$D453,BI$5)="F",AND(BI$6&gt;0,$A453&lt;BI$6),AND(BI$7&gt;0,$A453&gt;BI$7)),0,MAX(0,ROUND((INDEX($E453:$G453,BI$5)-SUMIFS(TF_Timer,TF_Tekniker,BI$4,TF_Dato,$A453))*2,0)/2)))</f>
        <v/>
      </c>
    </row>
    <row r="454">
      <c r="A454" s="64">
        <f>A453+1</f>
        <v/>
      </c>
      <c r="B454">
        <f>IF(MOD($A454-INDEX(SkiftStart,1),Syklus)&lt;DagK,"K",IF(MOD($A454-INDEX(SkiftStart,1),Syklus)&lt;DagK+DagH,"H",IF(MOD($A454-INDEX(SkiftStart,1),Syklus)&lt;DagK+DagH+DagD,"D","F")))</f>
        <v/>
      </c>
      <c r="C454">
        <f>IF(MOD($A454-INDEX(SkiftStart,2),Syklus)&lt;DagK,"K",IF(MOD($A454-INDEX(SkiftStart,2),Syklus)&lt;DagK+DagH,"H",IF(MOD($A454-INDEX(SkiftStart,2),Syklus)&lt;DagK+DagH+DagD,"D","F")))</f>
        <v/>
      </c>
      <c r="D454">
        <f>IF(MOD($A454-INDEX(SkiftStart,3),Syklus)&lt;DagK,"K",IF(MOD($A454-INDEX(SkiftStart,3),Syklus)&lt;DagK+DagH,"H",IF(MOD($A454-INDEX(SkiftStart,3),Syklus)&lt;DagK+DagH+DagD,"D","F")))</f>
        <v/>
      </c>
      <c r="E454">
        <f>IF(B454="F",0,IF(WEEKDAY($A454,2)=5,INDEX(TimerFr,MATCH(B454,FaseKode,0)),INDEX(TimerMT,MATCH(B454,FaseKode,0))))</f>
        <v/>
      </c>
      <c r="F454">
        <f>IF(C454="F",0,IF(WEEKDAY($A454,2)=5,INDEX(TimerFr,MATCH(C454,FaseKode,0)),INDEX(TimerMT,MATCH(C454,FaseKode,0))))</f>
        <v/>
      </c>
      <c r="G454">
        <f>IF(D454="F",0,IF(WEEKDAY($A454,2)=5,INDEX(TimerFr,MATCH(D454,FaseKode,0)),INDEX(TimerMT,MATCH(D454,FaseKode,0))))</f>
        <v/>
      </c>
      <c r="H454">
        <f>IF(OR(H$4="",$A454&gt;TODAY()),0,IF(OR(INDEX($B454:$D454,H$5)="F",AND(H$6&gt;0,$A454&lt;H$6),AND(H$7&gt;0,$A454&gt;H$7)),0,MAX(0,ROUND((INDEX($E454:$G454,H$5)-SUMIFS(TF_Timer,TF_Tekniker,H$4,TF_Dato,$A454))*2,0)/2)))</f>
        <v/>
      </c>
      <c r="I454">
        <f>IF(OR(I$4="",$A454&gt;TODAY()),0,IF(OR(INDEX($B454:$D454,I$5)="F",AND(I$6&gt;0,$A454&lt;I$6),AND(I$7&gt;0,$A454&gt;I$7)),0,MAX(0,ROUND((INDEX($E454:$G454,I$5)-SUMIFS(TF_Timer,TF_Tekniker,I$4,TF_Dato,$A454))*2,0)/2)))</f>
        <v/>
      </c>
      <c r="J454">
        <f>IF(OR(J$4="",$A454&gt;TODAY()),0,IF(OR(INDEX($B454:$D454,J$5)="F",AND(J$6&gt;0,$A454&lt;J$6),AND(J$7&gt;0,$A454&gt;J$7)),0,MAX(0,ROUND((INDEX($E454:$G454,J$5)-SUMIFS(TF_Timer,TF_Tekniker,J$4,TF_Dato,$A454))*2,0)/2)))</f>
        <v/>
      </c>
      <c r="K454">
        <f>IF(OR(K$4="",$A454&gt;TODAY()),0,IF(OR(INDEX($B454:$D454,K$5)="F",AND(K$6&gt;0,$A454&lt;K$6),AND(K$7&gt;0,$A454&gt;K$7)),0,MAX(0,ROUND((INDEX($E454:$G454,K$5)-SUMIFS(TF_Timer,TF_Tekniker,K$4,TF_Dato,$A454))*2,0)/2)))</f>
        <v/>
      </c>
      <c r="L454">
        <f>IF(OR(L$4="",$A454&gt;TODAY()),0,IF(OR(INDEX($B454:$D454,L$5)="F",AND(L$6&gt;0,$A454&lt;L$6),AND(L$7&gt;0,$A454&gt;L$7)),0,MAX(0,ROUND((INDEX($E454:$G454,L$5)-SUMIFS(TF_Timer,TF_Tekniker,L$4,TF_Dato,$A454))*2,0)/2)))</f>
        <v/>
      </c>
      <c r="M454">
        <f>IF(OR(M$4="",$A454&gt;TODAY()),0,IF(OR(INDEX($B454:$D454,M$5)="F",AND(M$6&gt;0,$A454&lt;M$6),AND(M$7&gt;0,$A454&gt;M$7)),0,MAX(0,ROUND((INDEX($E454:$G454,M$5)-SUMIFS(TF_Timer,TF_Tekniker,M$4,TF_Dato,$A454))*2,0)/2)))</f>
        <v/>
      </c>
      <c r="N454">
        <f>IF(OR(N$4="",$A454&gt;TODAY()),0,IF(OR(INDEX($B454:$D454,N$5)="F",AND(N$6&gt;0,$A454&lt;N$6),AND(N$7&gt;0,$A454&gt;N$7)),0,MAX(0,ROUND((INDEX($E454:$G454,N$5)-SUMIFS(TF_Timer,TF_Tekniker,N$4,TF_Dato,$A454))*2,0)/2)))</f>
        <v/>
      </c>
      <c r="O454">
        <f>IF(OR(O$4="",$A454&gt;TODAY()),0,IF(OR(INDEX($B454:$D454,O$5)="F",AND(O$6&gt;0,$A454&lt;O$6),AND(O$7&gt;0,$A454&gt;O$7)),0,MAX(0,ROUND((INDEX($E454:$G454,O$5)-SUMIFS(TF_Timer,TF_Tekniker,O$4,TF_Dato,$A454))*2,0)/2)))</f>
        <v/>
      </c>
      <c r="P454">
        <f>IF(OR(P$4="",$A454&gt;TODAY()),0,IF(OR(INDEX($B454:$D454,P$5)="F",AND(P$6&gt;0,$A454&lt;P$6),AND(P$7&gt;0,$A454&gt;P$7)),0,MAX(0,ROUND((INDEX($E454:$G454,P$5)-SUMIFS(TF_Timer,TF_Tekniker,P$4,TF_Dato,$A454))*2,0)/2)))</f>
        <v/>
      </c>
      <c r="Q454">
        <f>IF(OR(Q$4="",$A454&gt;TODAY()),0,IF(OR(INDEX($B454:$D454,Q$5)="F",AND(Q$6&gt;0,$A454&lt;Q$6),AND(Q$7&gt;0,$A454&gt;Q$7)),0,MAX(0,ROUND((INDEX($E454:$G454,Q$5)-SUMIFS(TF_Timer,TF_Tekniker,Q$4,TF_Dato,$A454))*2,0)/2)))</f>
        <v/>
      </c>
      <c r="R454">
        <f>IF(OR(R$4="",$A454&gt;TODAY()),0,IF(OR(INDEX($B454:$D454,R$5)="F",AND(R$6&gt;0,$A454&lt;R$6),AND(R$7&gt;0,$A454&gt;R$7)),0,MAX(0,ROUND((INDEX($E454:$G454,R$5)-SUMIFS(TF_Timer,TF_Tekniker,R$4,TF_Dato,$A454))*2,0)/2)))</f>
        <v/>
      </c>
      <c r="S454">
        <f>IF(OR(S$4="",$A454&gt;TODAY()),0,IF(OR(INDEX($B454:$D454,S$5)="F",AND(S$6&gt;0,$A454&lt;S$6),AND(S$7&gt;0,$A454&gt;S$7)),0,MAX(0,ROUND((INDEX($E454:$G454,S$5)-SUMIFS(TF_Timer,TF_Tekniker,S$4,TF_Dato,$A454))*2,0)/2)))</f>
        <v/>
      </c>
      <c r="T454">
        <f>IF(OR(T$4="",$A454&gt;TODAY()),0,IF(OR(INDEX($B454:$D454,T$5)="F",AND(T$6&gt;0,$A454&lt;T$6),AND(T$7&gt;0,$A454&gt;T$7)),0,MAX(0,ROUND((INDEX($E454:$G454,T$5)-SUMIFS(TF_Timer,TF_Tekniker,T$4,TF_Dato,$A454))*2,0)/2)))</f>
        <v/>
      </c>
      <c r="U454">
        <f>IF(OR(U$4="",$A454&gt;TODAY()),0,IF(OR(INDEX($B454:$D454,U$5)="F",AND(U$6&gt;0,$A454&lt;U$6),AND(U$7&gt;0,$A454&gt;U$7)),0,MAX(0,ROUND((INDEX($E454:$G454,U$5)-SUMIFS(TF_Timer,TF_Tekniker,U$4,TF_Dato,$A454))*2,0)/2)))</f>
        <v/>
      </c>
      <c r="V454">
        <f>IF(OR(V$4="",$A454&gt;TODAY()),0,IF(OR(INDEX($B454:$D454,V$5)="F",AND(V$6&gt;0,$A454&lt;V$6),AND(V$7&gt;0,$A454&gt;V$7)),0,MAX(0,ROUND((INDEX($E454:$G454,V$5)-SUMIFS(TF_Timer,TF_Tekniker,V$4,TF_Dato,$A454))*2,0)/2)))</f>
        <v/>
      </c>
      <c r="W454">
        <f>IF(OR(W$4="",$A454&gt;TODAY()),0,IF(OR(INDEX($B454:$D454,W$5)="F",AND(W$6&gt;0,$A454&lt;W$6),AND(W$7&gt;0,$A454&gt;W$7)),0,MAX(0,ROUND((INDEX($E454:$G454,W$5)-SUMIFS(TF_Timer,TF_Tekniker,W$4,TF_Dato,$A454))*2,0)/2)))</f>
        <v/>
      </c>
      <c r="X454">
        <f>IF(OR(X$4="",$A454&gt;TODAY()),0,IF(OR(INDEX($B454:$D454,X$5)="F",AND(X$6&gt;0,$A454&lt;X$6),AND(X$7&gt;0,$A454&gt;X$7)),0,MAX(0,ROUND((INDEX($E454:$G454,X$5)-SUMIFS(TF_Timer,TF_Tekniker,X$4,TF_Dato,$A454))*2,0)/2)))</f>
        <v/>
      </c>
      <c r="Y454">
        <f>IF(OR(Y$4="",$A454&gt;TODAY()),0,IF(OR(INDEX($B454:$D454,Y$5)="F",AND(Y$6&gt;0,$A454&lt;Y$6),AND(Y$7&gt;0,$A454&gt;Y$7)),0,MAX(0,ROUND((INDEX($E454:$G454,Y$5)-SUMIFS(TF_Timer,TF_Tekniker,Y$4,TF_Dato,$A454))*2,0)/2)))</f>
        <v/>
      </c>
      <c r="Z454">
        <f>IF(OR(Z$4="",$A454&gt;TODAY()),0,IF(OR(INDEX($B454:$D454,Z$5)="F",AND(Z$6&gt;0,$A454&lt;Z$6),AND(Z$7&gt;0,$A454&gt;Z$7)),0,MAX(0,ROUND((INDEX($E454:$G454,Z$5)-SUMIFS(TF_Timer,TF_Tekniker,Z$4,TF_Dato,$A454))*2,0)/2)))</f>
        <v/>
      </c>
      <c r="AA454">
        <f>IF(OR(AA$4="",$A454&gt;TODAY()),0,IF(OR(INDEX($B454:$D454,AA$5)="F",AND(AA$6&gt;0,$A454&lt;AA$6),AND(AA$7&gt;0,$A454&gt;AA$7)),0,MAX(0,ROUND((INDEX($E454:$G454,AA$5)-SUMIFS(TF_Timer,TF_Tekniker,AA$4,TF_Dato,$A454))*2,0)/2)))</f>
        <v/>
      </c>
      <c r="AB454">
        <f>IF(OR(AB$4="",$A454&gt;TODAY()),0,IF(OR(INDEX($B454:$D454,AB$5)="F",AND(AB$6&gt;0,$A454&lt;AB$6),AND(AB$7&gt;0,$A454&gt;AB$7)),0,MAX(0,ROUND((INDEX($E454:$G454,AB$5)-SUMIFS(TF_Timer,TF_Tekniker,AB$4,TF_Dato,$A454))*2,0)/2)))</f>
        <v/>
      </c>
      <c r="AC454">
        <f>IF(OR(AC$4="",$A454&gt;TODAY()),0,IF(OR(INDEX($B454:$D454,AC$5)="F",AND(AC$6&gt;0,$A454&lt;AC$6),AND(AC$7&gt;0,$A454&gt;AC$7)),0,MAX(0,ROUND((INDEX($E454:$G454,AC$5)-SUMIFS(TF_Timer,TF_Tekniker,AC$4,TF_Dato,$A454))*2,0)/2)))</f>
        <v/>
      </c>
      <c r="AD454">
        <f>IF(OR(AD$4="",$A454&gt;TODAY()),0,IF(OR(INDEX($B454:$D454,AD$5)="F",AND(AD$6&gt;0,$A454&lt;AD$6),AND(AD$7&gt;0,$A454&gt;AD$7)),0,MAX(0,ROUND((INDEX($E454:$G454,AD$5)-SUMIFS(TF_Timer,TF_Tekniker,AD$4,TF_Dato,$A454))*2,0)/2)))</f>
        <v/>
      </c>
      <c r="AE454">
        <f>IF(OR(AE$4="",$A454&gt;TODAY()),0,IF(OR(INDEX($B454:$D454,AE$5)="F",AND(AE$6&gt;0,$A454&lt;AE$6),AND(AE$7&gt;0,$A454&gt;AE$7)),0,MAX(0,ROUND((INDEX($E454:$G454,AE$5)-SUMIFS(TF_Timer,TF_Tekniker,AE$4,TF_Dato,$A454))*2,0)/2)))</f>
        <v/>
      </c>
      <c r="AF454">
        <f>IF(OR(AF$4="",$A454&gt;TODAY()),0,IF(OR(INDEX($B454:$D454,AF$5)="F",AND(AF$6&gt;0,$A454&lt;AF$6),AND(AF$7&gt;0,$A454&gt;AF$7)),0,MAX(0,ROUND((INDEX($E454:$G454,AF$5)-SUMIFS(TF_Timer,TF_Tekniker,AF$4,TF_Dato,$A454))*2,0)/2)))</f>
        <v/>
      </c>
      <c r="AG454">
        <f>IF(OR(AG$4="",$A454&gt;TODAY()),0,IF(OR(INDEX($B454:$D454,AG$5)="F",AND(AG$6&gt;0,$A454&lt;AG$6),AND(AG$7&gt;0,$A454&gt;AG$7)),0,MAX(0,ROUND((INDEX($E454:$G454,AG$5)-SUMIFS(TF_Timer,TF_Tekniker,AG$4,TF_Dato,$A454))*2,0)/2)))</f>
        <v/>
      </c>
      <c r="AH454">
        <f>IF(OR(AH$4="",$A454&gt;TODAY()),0,IF(OR(INDEX($B454:$D454,AH$5)="F",AND(AH$6&gt;0,$A454&lt;AH$6),AND(AH$7&gt;0,$A454&gt;AH$7)),0,MAX(0,ROUND((INDEX($E454:$G454,AH$5)-SUMIFS(TF_Timer,TF_Tekniker,AH$4,TF_Dato,$A454))*2,0)/2)))</f>
        <v/>
      </c>
      <c r="AI454">
        <f>IF(OR(AI$4="",$A454&gt;TODAY()),0,IF(OR(INDEX($B454:$D454,AI$5)="F",AND(AI$6&gt;0,$A454&lt;AI$6),AND(AI$7&gt;0,$A454&gt;AI$7)),0,MAX(0,ROUND((INDEX($E454:$G454,AI$5)-SUMIFS(TF_Timer,TF_Tekniker,AI$4,TF_Dato,$A454))*2,0)/2)))</f>
        <v/>
      </c>
      <c r="AJ454">
        <f>IF(OR(AJ$4="",$A454&gt;TODAY()),0,IF(OR(INDEX($B454:$D454,AJ$5)="F",AND(AJ$6&gt;0,$A454&lt;AJ$6),AND(AJ$7&gt;0,$A454&gt;AJ$7)),0,MAX(0,ROUND((INDEX($E454:$G454,AJ$5)-SUMIFS(TF_Timer,TF_Tekniker,AJ$4,TF_Dato,$A454))*2,0)/2)))</f>
        <v/>
      </c>
      <c r="AK454">
        <f>IF(OR(AK$4="",$A454&gt;TODAY()),0,IF(OR(INDEX($B454:$D454,AK$5)="F",AND(AK$6&gt;0,$A454&lt;AK$6),AND(AK$7&gt;0,$A454&gt;AK$7)),0,MAX(0,ROUND((INDEX($E454:$G454,AK$5)-SUMIFS(TF_Timer,TF_Tekniker,AK$4,TF_Dato,$A454))*2,0)/2)))</f>
        <v/>
      </c>
      <c r="AL454">
        <f>IF(OR(AL$4="",$A454&gt;TODAY()),0,IF(OR(INDEX($B454:$D454,AL$5)="F",AND(AL$6&gt;0,$A454&lt;AL$6),AND(AL$7&gt;0,$A454&gt;AL$7)),0,MAX(0,ROUND((INDEX($E454:$G454,AL$5)-SUMIFS(TF_Timer,TF_Tekniker,AL$4,TF_Dato,$A454))*2,0)/2)))</f>
        <v/>
      </c>
      <c r="AM454">
        <f>IF(OR(AM$4="",$A454&gt;TODAY()),0,IF(OR(INDEX($B454:$D454,AM$5)="F",AND(AM$6&gt;0,$A454&lt;AM$6),AND(AM$7&gt;0,$A454&gt;AM$7)),0,MAX(0,ROUND((INDEX($E454:$G454,AM$5)-SUMIFS(TF_Timer,TF_Tekniker,AM$4,TF_Dato,$A454))*2,0)/2)))</f>
        <v/>
      </c>
      <c r="AN454">
        <f>IF(OR(AN$4="",$A454&gt;TODAY()),0,IF(OR(INDEX($B454:$D454,AN$5)="F",AND(AN$6&gt;0,$A454&lt;AN$6),AND(AN$7&gt;0,$A454&gt;AN$7)),0,MAX(0,ROUND((INDEX($E454:$G454,AN$5)-SUMIFS(TF_Timer,TF_Tekniker,AN$4,TF_Dato,$A454))*2,0)/2)))</f>
        <v/>
      </c>
      <c r="AO454">
        <f>IF(OR(AO$4="",$A454&gt;TODAY()),0,IF(OR(INDEX($B454:$D454,AO$5)="F",AND(AO$6&gt;0,$A454&lt;AO$6),AND(AO$7&gt;0,$A454&gt;AO$7)),0,MAX(0,ROUND((INDEX($E454:$G454,AO$5)-SUMIFS(TF_Timer,TF_Tekniker,AO$4,TF_Dato,$A454))*2,0)/2)))</f>
        <v/>
      </c>
      <c r="AP454">
        <f>IF(OR(AP$4="",$A454&gt;TODAY()),0,IF(OR(INDEX($B454:$D454,AP$5)="F",AND(AP$6&gt;0,$A454&lt;AP$6),AND(AP$7&gt;0,$A454&gt;AP$7)),0,MAX(0,ROUND((INDEX($E454:$G454,AP$5)-SUMIFS(TF_Timer,TF_Tekniker,AP$4,TF_Dato,$A454))*2,0)/2)))</f>
        <v/>
      </c>
      <c r="AQ454">
        <f>IF(OR(AQ$4="",$A454&gt;TODAY()),0,IF(OR(INDEX($B454:$D454,AQ$5)="F",AND(AQ$6&gt;0,$A454&lt;AQ$6),AND(AQ$7&gt;0,$A454&gt;AQ$7)),0,MAX(0,ROUND((INDEX($E454:$G454,AQ$5)-SUMIFS(TF_Timer,TF_Tekniker,AQ$4,TF_Dato,$A454))*2,0)/2)))</f>
        <v/>
      </c>
      <c r="AR454">
        <f>IF(OR(AR$4="",$A454&gt;TODAY()),0,IF(OR(INDEX($B454:$D454,AR$5)="F",AND(AR$6&gt;0,$A454&lt;AR$6),AND(AR$7&gt;0,$A454&gt;AR$7)),0,MAX(0,ROUND((INDEX($E454:$G454,AR$5)-SUMIFS(TF_Timer,TF_Tekniker,AR$4,TF_Dato,$A454))*2,0)/2)))</f>
        <v/>
      </c>
      <c r="AS454">
        <f>IF(OR(AS$4="",$A454&gt;TODAY()),0,IF(OR(INDEX($B454:$D454,AS$5)="F",AND(AS$6&gt;0,$A454&lt;AS$6),AND(AS$7&gt;0,$A454&gt;AS$7)),0,MAX(0,ROUND((INDEX($E454:$G454,AS$5)-SUMIFS(TF_Timer,TF_Tekniker,AS$4,TF_Dato,$A454))*2,0)/2)))</f>
        <v/>
      </c>
      <c r="AT454">
        <f>IF(OR(AT$4="",$A454&gt;TODAY()),0,IF(OR(INDEX($B454:$D454,AT$5)="F",AND(AT$6&gt;0,$A454&lt;AT$6),AND(AT$7&gt;0,$A454&gt;AT$7)),0,MAX(0,ROUND((INDEX($E454:$G454,AT$5)-SUMIFS(TF_Timer,TF_Tekniker,AT$4,TF_Dato,$A454))*2,0)/2)))</f>
        <v/>
      </c>
      <c r="AU454">
        <f>IF(OR(AU$4="",$A454&gt;TODAY()),0,IF(OR(INDEX($B454:$D454,AU$5)="F",AND(AU$6&gt;0,$A454&lt;AU$6),AND(AU$7&gt;0,$A454&gt;AU$7)),0,MAX(0,ROUND((INDEX($E454:$G454,AU$5)-SUMIFS(TF_Timer,TF_Tekniker,AU$4,TF_Dato,$A454))*2,0)/2)))</f>
        <v/>
      </c>
      <c r="AV454">
        <f>IF(OR(AV$4="",$A454&gt;TODAY()),0,IF(OR(INDEX($B454:$D454,AV$5)="F",AND(AV$6&gt;0,$A454&lt;AV$6),AND(AV$7&gt;0,$A454&gt;AV$7)),0,MAX(0,ROUND((INDEX($E454:$G454,AV$5)-SUMIFS(TF_Timer,TF_Tekniker,AV$4,TF_Dato,$A454))*2,0)/2)))</f>
        <v/>
      </c>
      <c r="AW454">
        <f>IF(OR(AW$4="",$A454&gt;TODAY()),0,IF(OR(INDEX($B454:$D454,AW$5)="F",AND(AW$6&gt;0,$A454&lt;AW$6),AND(AW$7&gt;0,$A454&gt;AW$7)),0,MAX(0,ROUND((INDEX($E454:$G454,AW$5)-SUMIFS(TF_Timer,TF_Tekniker,AW$4,TF_Dato,$A454))*2,0)/2)))</f>
        <v/>
      </c>
      <c r="AX454">
        <f>IF(OR(AX$4="",$A454&gt;TODAY()),0,IF(OR(INDEX($B454:$D454,AX$5)="F",AND(AX$6&gt;0,$A454&lt;AX$6),AND(AX$7&gt;0,$A454&gt;AX$7)),0,MAX(0,ROUND((INDEX($E454:$G454,AX$5)-SUMIFS(TF_Timer,TF_Tekniker,AX$4,TF_Dato,$A454))*2,0)/2)))</f>
        <v/>
      </c>
      <c r="AY454">
        <f>IF(OR(AY$4="",$A454&gt;TODAY()),0,IF(OR(INDEX($B454:$D454,AY$5)="F",AND(AY$6&gt;0,$A454&lt;AY$6),AND(AY$7&gt;0,$A454&gt;AY$7)),0,MAX(0,ROUND((INDEX($E454:$G454,AY$5)-SUMIFS(TF_Timer,TF_Tekniker,AY$4,TF_Dato,$A454))*2,0)/2)))</f>
        <v/>
      </c>
      <c r="AZ454">
        <f>IF(OR(AZ$4="",$A454&gt;TODAY()),0,IF(OR(INDEX($B454:$D454,AZ$5)="F",AND(AZ$6&gt;0,$A454&lt;AZ$6),AND(AZ$7&gt;0,$A454&gt;AZ$7)),0,MAX(0,ROUND((INDEX($E454:$G454,AZ$5)-SUMIFS(TF_Timer,TF_Tekniker,AZ$4,TF_Dato,$A454))*2,0)/2)))</f>
        <v/>
      </c>
      <c r="BA454">
        <f>IF(OR(BA$4="",$A454&gt;TODAY()),0,IF(OR(INDEX($B454:$D454,BA$5)="F",AND(BA$6&gt;0,$A454&lt;BA$6),AND(BA$7&gt;0,$A454&gt;BA$7)),0,MAX(0,ROUND((INDEX($E454:$G454,BA$5)-SUMIFS(TF_Timer,TF_Tekniker,BA$4,TF_Dato,$A454))*2,0)/2)))</f>
        <v/>
      </c>
      <c r="BB454">
        <f>IF(OR(BB$4="",$A454&gt;TODAY()),0,IF(OR(INDEX($B454:$D454,BB$5)="F",AND(BB$6&gt;0,$A454&lt;BB$6),AND(BB$7&gt;0,$A454&gt;BB$7)),0,MAX(0,ROUND((INDEX($E454:$G454,BB$5)-SUMIFS(TF_Timer,TF_Tekniker,BB$4,TF_Dato,$A454))*2,0)/2)))</f>
        <v/>
      </c>
      <c r="BC454">
        <f>IF(OR(BC$4="",$A454&gt;TODAY()),0,IF(OR(INDEX($B454:$D454,BC$5)="F",AND(BC$6&gt;0,$A454&lt;BC$6),AND(BC$7&gt;0,$A454&gt;BC$7)),0,MAX(0,ROUND((INDEX($E454:$G454,BC$5)-SUMIFS(TF_Timer,TF_Tekniker,BC$4,TF_Dato,$A454))*2,0)/2)))</f>
        <v/>
      </c>
      <c r="BD454">
        <f>IF(OR(BD$4="",$A454&gt;TODAY()),0,IF(OR(INDEX($B454:$D454,BD$5)="F",AND(BD$6&gt;0,$A454&lt;BD$6),AND(BD$7&gt;0,$A454&gt;BD$7)),0,MAX(0,ROUND((INDEX($E454:$G454,BD$5)-SUMIFS(TF_Timer,TF_Tekniker,BD$4,TF_Dato,$A454))*2,0)/2)))</f>
        <v/>
      </c>
      <c r="BE454">
        <f>IF(OR(BE$4="",$A454&gt;TODAY()),0,IF(OR(INDEX($B454:$D454,BE$5)="F",AND(BE$6&gt;0,$A454&lt;BE$6),AND(BE$7&gt;0,$A454&gt;BE$7)),0,MAX(0,ROUND((INDEX($E454:$G454,BE$5)-SUMIFS(TF_Timer,TF_Tekniker,BE$4,TF_Dato,$A454))*2,0)/2)))</f>
        <v/>
      </c>
      <c r="BF454">
        <f>IF(OR(BF$4="",$A454&gt;TODAY()),0,IF(OR(INDEX($B454:$D454,BF$5)="F",AND(BF$6&gt;0,$A454&lt;BF$6),AND(BF$7&gt;0,$A454&gt;BF$7)),0,MAX(0,ROUND((INDEX($E454:$G454,BF$5)-SUMIFS(TF_Timer,TF_Tekniker,BF$4,TF_Dato,$A454))*2,0)/2)))</f>
        <v/>
      </c>
      <c r="BG454">
        <f>IF(OR(BG$4="",$A454&gt;TODAY()),0,IF(OR(INDEX($B454:$D454,BG$5)="F",AND(BG$6&gt;0,$A454&lt;BG$6),AND(BG$7&gt;0,$A454&gt;BG$7)),0,MAX(0,ROUND((INDEX($E454:$G454,BG$5)-SUMIFS(TF_Timer,TF_Tekniker,BG$4,TF_Dato,$A454))*2,0)/2)))</f>
        <v/>
      </c>
      <c r="BH454">
        <f>IF(OR(BH$4="",$A454&gt;TODAY()),0,IF(OR(INDEX($B454:$D454,BH$5)="F",AND(BH$6&gt;0,$A454&lt;BH$6),AND(BH$7&gt;0,$A454&gt;BH$7)),0,MAX(0,ROUND((INDEX($E454:$G454,BH$5)-SUMIFS(TF_Timer,TF_Tekniker,BH$4,TF_Dato,$A454))*2,0)/2)))</f>
        <v/>
      </c>
      <c r="BI454">
        <f>IF(OR(BI$4="",$A454&gt;TODAY()),0,IF(OR(INDEX($B454:$D454,BI$5)="F",AND(BI$6&gt;0,$A454&lt;BI$6),AND(BI$7&gt;0,$A454&gt;BI$7)),0,MAX(0,ROUND((INDEX($E454:$G454,BI$5)-SUMIFS(TF_Timer,TF_Tekniker,BI$4,TF_Dato,$A454))*2,0)/2)))</f>
        <v/>
      </c>
    </row>
    <row r="455">
      <c r="A455" s="64">
        <f>A454+1</f>
        <v/>
      </c>
      <c r="B455">
        <f>IF(MOD($A455-INDEX(SkiftStart,1),Syklus)&lt;DagK,"K",IF(MOD($A455-INDEX(SkiftStart,1),Syklus)&lt;DagK+DagH,"H",IF(MOD($A455-INDEX(SkiftStart,1),Syklus)&lt;DagK+DagH+DagD,"D","F")))</f>
        <v/>
      </c>
      <c r="C455">
        <f>IF(MOD($A455-INDEX(SkiftStart,2),Syklus)&lt;DagK,"K",IF(MOD($A455-INDEX(SkiftStart,2),Syklus)&lt;DagK+DagH,"H",IF(MOD($A455-INDEX(SkiftStart,2),Syklus)&lt;DagK+DagH+DagD,"D","F")))</f>
        <v/>
      </c>
      <c r="D455">
        <f>IF(MOD($A455-INDEX(SkiftStart,3),Syklus)&lt;DagK,"K",IF(MOD($A455-INDEX(SkiftStart,3),Syklus)&lt;DagK+DagH,"H",IF(MOD($A455-INDEX(SkiftStart,3),Syklus)&lt;DagK+DagH+DagD,"D","F")))</f>
        <v/>
      </c>
      <c r="E455">
        <f>IF(B455="F",0,IF(WEEKDAY($A455,2)=5,INDEX(TimerFr,MATCH(B455,FaseKode,0)),INDEX(TimerMT,MATCH(B455,FaseKode,0))))</f>
        <v/>
      </c>
      <c r="F455">
        <f>IF(C455="F",0,IF(WEEKDAY($A455,2)=5,INDEX(TimerFr,MATCH(C455,FaseKode,0)),INDEX(TimerMT,MATCH(C455,FaseKode,0))))</f>
        <v/>
      </c>
      <c r="G455">
        <f>IF(D455="F",0,IF(WEEKDAY($A455,2)=5,INDEX(TimerFr,MATCH(D455,FaseKode,0)),INDEX(TimerMT,MATCH(D455,FaseKode,0))))</f>
        <v/>
      </c>
      <c r="H455">
        <f>IF(OR(H$4="",$A455&gt;TODAY()),0,IF(OR(INDEX($B455:$D455,H$5)="F",AND(H$6&gt;0,$A455&lt;H$6),AND(H$7&gt;0,$A455&gt;H$7)),0,MAX(0,ROUND((INDEX($E455:$G455,H$5)-SUMIFS(TF_Timer,TF_Tekniker,H$4,TF_Dato,$A455))*2,0)/2)))</f>
        <v/>
      </c>
      <c r="I455">
        <f>IF(OR(I$4="",$A455&gt;TODAY()),0,IF(OR(INDEX($B455:$D455,I$5)="F",AND(I$6&gt;0,$A455&lt;I$6),AND(I$7&gt;0,$A455&gt;I$7)),0,MAX(0,ROUND((INDEX($E455:$G455,I$5)-SUMIFS(TF_Timer,TF_Tekniker,I$4,TF_Dato,$A455))*2,0)/2)))</f>
        <v/>
      </c>
      <c r="J455">
        <f>IF(OR(J$4="",$A455&gt;TODAY()),0,IF(OR(INDEX($B455:$D455,J$5)="F",AND(J$6&gt;0,$A455&lt;J$6),AND(J$7&gt;0,$A455&gt;J$7)),0,MAX(0,ROUND((INDEX($E455:$G455,J$5)-SUMIFS(TF_Timer,TF_Tekniker,J$4,TF_Dato,$A455))*2,0)/2)))</f>
        <v/>
      </c>
      <c r="K455">
        <f>IF(OR(K$4="",$A455&gt;TODAY()),0,IF(OR(INDEX($B455:$D455,K$5)="F",AND(K$6&gt;0,$A455&lt;K$6),AND(K$7&gt;0,$A455&gt;K$7)),0,MAX(0,ROUND((INDEX($E455:$G455,K$5)-SUMIFS(TF_Timer,TF_Tekniker,K$4,TF_Dato,$A455))*2,0)/2)))</f>
        <v/>
      </c>
      <c r="L455">
        <f>IF(OR(L$4="",$A455&gt;TODAY()),0,IF(OR(INDEX($B455:$D455,L$5)="F",AND(L$6&gt;0,$A455&lt;L$6),AND(L$7&gt;0,$A455&gt;L$7)),0,MAX(0,ROUND((INDEX($E455:$G455,L$5)-SUMIFS(TF_Timer,TF_Tekniker,L$4,TF_Dato,$A455))*2,0)/2)))</f>
        <v/>
      </c>
      <c r="M455">
        <f>IF(OR(M$4="",$A455&gt;TODAY()),0,IF(OR(INDEX($B455:$D455,M$5)="F",AND(M$6&gt;0,$A455&lt;M$6),AND(M$7&gt;0,$A455&gt;M$7)),0,MAX(0,ROUND((INDEX($E455:$G455,M$5)-SUMIFS(TF_Timer,TF_Tekniker,M$4,TF_Dato,$A455))*2,0)/2)))</f>
        <v/>
      </c>
      <c r="N455">
        <f>IF(OR(N$4="",$A455&gt;TODAY()),0,IF(OR(INDEX($B455:$D455,N$5)="F",AND(N$6&gt;0,$A455&lt;N$6),AND(N$7&gt;0,$A455&gt;N$7)),0,MAX(0,ROUND((INDEX($E455:$G455,N$5)-SUMIFS(TF_Timer,TF_Tekniker,N$4,TF_Dato,$A455))*2,0)/2)))</f>
        <v/>
      </c>
      <c r="O455">
        <f>IF(OR(O$4="",$A455&gt;TODAY()),0,IF(OR(INDEX($B455:$D455,O$5)="F",AND(O$6&gt;0,$A455&lt;O$6),AND(O$7&gt;0,$A455&gt;O$7)),0,MAX(0,ROUND((INDEX($E455:$G455,O$5)-SUMIFS(TF_Timer,TF_Tekniker,O$4,TF_Dato,$A455))*2,0)/2)))</f>
        <v/>
      </c>
      <c r="P455">
        <f>IF(OR(P$4="",$A455&gt;TODAY()),0,IF(OR(INDEX($B455:$D455,P$5)="F",AND(P$6&gt;0,$A455&lt;P$6),AND(P$7&gt;0,$A455&gt;P$7)),0,MAX(0,ROUND((INDEX($E455:$G455,P$5)-SUMIFS(TF_Timer,TF_Tekniker,P$4,TF_Dato,$A455))*2,0)/2)))</f>
        <v/>
      </c>
      <c r="Q455">
        <f>IF(OR(Q$4="",$A455&gt;TODAY()),0,IF(OR(INDEX($B455:$D455,Q$5)="F",AND(Q$6&gt;0,$A455&lt;Q$6),AND(Q$7&gt;0,$A455&gt;Q$7)),0,MAX(0,ROUND((INDEX($E455:$G455,Q$5)-SUMIFS(TF_Timer,TF_Tekniker,Q$4,TF_Dato,$A455))*2,0)/2)))</f>
        <v/>
      </c>
      <c r="R455">
        <f>IF(OR(R$4="",$A455&gt;TODAY()),0,IF(OR(INDEX($B455:$D455,R$5)="F",AND(R$6&gt;0,$A455&lt;R$6),AND(R$7&gt;0,$A455&gt;R$7)),0,MAX(0,ROUND((INDEX($E455:$G455,R$5)-SUMIFS(TF_Timer,TF_Tekniker,R$4,TF_Dato,$A455))*2,0)/2)))</f>
        <v/>
      </c>
      <c r="S455">
        <f>IF(OR(S$4="",$A455&gt;TODAY()),0,IF(OR(INDEX($B455:$D455,S$5)="F",AND(S$6&gt;0,$A455&lt;S$6),AND(S$7&gt;0,$A455&gt;S$7)),0,MAX(0,ROUND((INDEX($E455:$G455,S$5)-SUMIFS(TF_Timer,TF_Tekniker,S$4,TF_Dato,$A455))*2,0)/2)))</f>
        <v/>
      </c>
      <c r="T455">
        <f>IF(OR(T$4="",$A455&gt;TODAY()),0,IF(OR(INDEX($B455:$D455,T$5)="F",AND(T$6&gt;0,$A455&lt;T$6),AND(T$7&gt;0,$A455&gt;T$7)),0,MAX(0,ROUND((INDEX($E455:$G455,T$5)-SUMIFS(TF_Timer,TF_Tekniker,T$4,TF_Dato,$A455))*2,0)/2)))</f>
        <v/>
      </c>
      <c r="U455">
        <f>IF(OR(U$4="",$A455&gt;TODAY()),0,IF(OR(INDEX($B455:$D455,U$5)="F",AND(U$6&gt;0,$A455&lt;U$6),AND(U$7&gt;0,$A455&gt;U$7)),0,MAX(0,ROUND((INDEX($E455:$G455,U$5)-SUMIFS(TF_Timer,TF_Tekniker,U$4,TF_Dato,$A455))*2,0)/2)))</f>
        <v/>
      </c>
      <c r="V455">
        <f>IF(OR(V$4="",$A455&gt;TODAY()),0,IF(OR(INDEX($B455:$D455,V$5)="F",AND(V$6&gt;0,$A455&lt;V$6),AND(V$7&gt;0,$A455&gt;V$7)),0,MAX(0,ROUND((INDEX($E455:$G455,V$5)-SUMIFS(TF_Timer,TF_Tekniker,V$4,TF_Dato,$A455))*2,0)/2)))</f>
        <v/>
      </c>
      <c r="W455">
        <f>IF(OR(W$4="",$A455&gt;TODAY()),0,IF(OR(INDEX($B455:$D455,W$5)="F",AND(W$6&gt;0,$A455&lt;W$6),AND(W$7&gt;0,$A455&gt;W$7)),0,MAX(0,ROUND((INDEX($E455:$G455,W$5)-SUMIFS(TF_Timer,TF_Tekniker,W$4,TF_Dato,$A455))*2,0)/2)))</f>
        <v/>
      </c>
      <c r="X455">
        <f>IF(OR(X$4="",$A455&gt;TODAY()),0,IF(OR(INDEX($B455:$D455,X$5)="F",AND(X$6&gt;0,$A455&lt;X$6),AND(X$7&gt;0,$A455&gt;X$7)),0,MAX(0,ROUND((INDEX($E455:$G455,X$5)-SUMIFS(TF_Timer,TF_Tekniker,X$4,TF_Dato,$A455))*2,0)/2)))</f>
        <v/>
      </c>
      <c r="Y455">
        <f>IF(OR(Y$4="",$A455&gt;TODAY()),0,IF(OR(INDEX($B455:$D455,Y$5)="F",AND(Y$6&gt;0,$A455&lt;Y$6),AND(Y$7&gt;0,$A455&gt;Y$7)),0,MAX(0,ROUND((INDEX($E455:$G455,Y$5)-SUMIFS(TF_Timer,TF_Tekniker,Y$4,TF_Dato,$A455))*2,0)/2)))</f>
        <v/>
      </c>
      <c r="Z455">
        <f>IF(OR(Z$4="",$A455&gt;TODAY()),0,IF(OR(INDEX($B455:$D455,Z$5)="F",AND(Z$6&gt;0,$A455&lt;Z$6),AND(Z$7&gt;0,$A455&gt;Z$7)),0,MAX(0,ROUND((INDEX($E455:$G455,Z$5)-SUMIFS(TF_Timer,TF_Tekniker,Z$4,TF_Dato,$A455))*2,0)/2)))</f>
        <v/>
      </c>
      <c r="AA455">
        <f>IF(OR(AA$4="",$A455&gt;TODAY()),0,IF(OR(INDEX($B455:$D455,AA$5)="F",AND(AA$6&gt;0,$A455&lt;AA$6),AND(AA$7&gt;0,$A455&gt;AA$7)),0,MAX(0,ROUND((INDEX($E455:$G455,AA$5)-SUMIFS(TF_Timer,TF_Tekniker,AA$4,TF_Dato,$A455))*2,0)/2)))</f>
        <v/>
      </c>
      <c r="AB455">
        <f>IF(OR(AB$4="",$A455&gt;TODAY()),0,IF(OR(INDEX($B455:$D455,AB$5)="F",AND(AB$6&gt;0,$A455&lt;AB$6),AND(AB$7&gt;0,$A455&gt;AB$7)),0,MAX(0,ROUND((INDEX($E455:$G455,AB$5)-SUMIFS(TF_Timer,TF_Tekniker,AB$4,TF_Dato,$A455))*2,0)/2)))</f>
        <v/>
      </c>
      <c r="AC455">
        <f>IF(OR(AC$4="",$A455&gt;TODAY()),0,IF(OR(INDEX($B455:$D455,AC$5)="F",AND(AC$6&gt;0,$A455&lt;AC$6),AND(AC$7&gt;0,$A455&gt;AC$7)),0,MAX(0,ROUND((INDEX($E455:$G455,AC$5)-SUMIFS(TF_Timer,TF_Tekniker,AC$4,TF_Dato,$A455))*2,0)/2)))</f>
        <v/>
      </c>
      <c r="AD455">
        <f>IF(OR(AD$4="",$A455&gt;TODAY()),0,IF(OR(INDEX($B455:$D455,AD$5)="F",AND(AD$6&gt;0,$A455&lt;AD$6),AND(AD$7&gt;0,$A455&gt;AD$7)),0,MAX(0,ROUND((INDEX($E455:$G455,AD$5)-SUMIFS(TF_Timer,TF_Tekniker,AD$4,TF_Dato,$A455))*2,0)/2)))</f>
        <v/>
      </c>
      <c r="AE455">
        <f>IF(OR(AE$4="",$A455&gt;TODAY()),0,IF(OR(INDEX($B455:$D455,AE$5)="F",AND(AE$6&gt;0,$A455&lt;AE$6),AND(AE$7&gt;0,$A455&gt;AE$7)),0,MAX(0,ROUND((INDEX($E455:$G455,AE$5)-SUMIFS(TF_Timer,TF_Tekniker,AE$4,TF_Dato,$A455))*2,0)/2)))</f>
        <v/>
      </c>
      <c r="AF455">
        <f>IF(OR(AF$4="",$A455&gt;TODAY()),0,IF(OR(INDEX($B455:$D455,AF$5)="F",AND(AF$6&gt;0,$A455&lt;AF$6),AND(AF$7&gt;0,$A455&gt;AF$7)),0,MAX(0,ROUND((INDEX($E455:$G455,AF$5)-SUMIFS(TF_Timer,TF_Tekniker,AF$4,TF_Dato,$A455))*2,0)/2)))</f>
        <v/>
      </c>
      <c r="AG455">
        <f>IF(OR(AG$4="",$A455&gt;TODAY()),0,IF(OR(INDEX($B455:$D455,AG$5)="F",AND(AG$6&gt;0,$A455&lt;AG$6),AND(AG$7&gt;0,$A455&gt;AG$7)),0,MAX(0,ROUND((INDEX($E455:$G455,AG$5)-SUMIFS(TF_Timer,TF_Tekniker,AG$4,TF_Dato,$A455))*2,0)/2)))</f>
        <v/>
      </c>
      <c r="AH455">
        <f>IF(OR(AH$4="",$A455&gt;TODAY()),0,IF(OR(INDEX($B455:$D455,AH$5)="F",AND(AH$6&gt;0,$A455&lt;AH$6),AND(AH$7&gt;0,$A455&gt;AH$7)),0,MAX(0,ROUND((INDEX($E455:$G455,AH$5)-SUMIFS(TF_Timer,TF_Tekniker,AH$4,TF_Dato,$A455))*2,0)/2)))</f>
        <v/>
      </c>
      <c r="AI455">
        <f>IF(OR(AI$4="",$A455&gt;TODAY()),0,IF(OR(INDEX($B455:$D455,AI$5)="F",AND(AI$6&gt;0,$A455&lt;AI$6),AND(AI$7&gt;0,$A455&gt;AI$7)),0,MAX(0,ROUND((INDEX($E455:$G455,AI$5)-SUMIFS(TF_Timer,TF_Tekniker,AI$4,TF_Dato,$A455))*2,0)/2)))</f>
        <v/>
      </c>
      <c r="AJ455">
        <f>IF(OR(AJ$4="",$A455&gt;TODAY()),0,IF(OR(INDEX($B455:$D455,AJ$5)="F",AND(AJ$6&gt;0,$A455&lt;AJ$6),AND(AJ$7&gt;0,$A455&gt;AJ$7)),0,MAX(0,ROUND((INDEX($E455:$G455,AJ$5)-SUMIFS(TF_Timer,TF_Tekniker,AJ$4,TF_Dato,$A455))*2,0)/2)))</f>
        <v/>
      </c>
      <c r="AK455">
        <f>IF(OR(AK$4="",$A455&gt;TODAY()),0,IF(OR(INDEX($B455:$D455,AK$5)="F",AND(AK$6&gt;0,$A455&lt;AK$6),AND(AK$7&gt;0,$A455&gt;AK$7)),0,MAX(0,ROUND((INDEX($E455:$G455,AK$5)-SUMIFS(TF_Timer,TF_Tekniker,AK$4,TF_Dato,$A455))*2,0)/2)))</f>
        <v/>
      </c>
      <c r="AL455">
        <f>IF(OR(AL$4="",$A455&gt;TODAY()),0,IF(OR(INDEX($B455:$D455,AL$5)="F",AND(AL$6&gt;0,$A455&lt;AL$6),AND(AL$7&gt;0,$A455&gt;AL$7)),0,MAX(0,ROUND((INDEX($E455:$G455,AL$5)-SUMIFS(TF_Timer,TF_Tekniker,AL$4,TF_Dato,$A455))*2,0)/2)))</f>
        <v/>
      </c>
      <c r="AM455">
        <f>IF(OR(AM$4="",$A455&gt;TODAY()),0,IF(OR(INDEX($B455:$D455,AM$5)="F",AND(AM$6&gt;0,$A455&lt;AM$6),AND(AM$7&gt;0,$A455&gt;AM$7)),0,MAX(0,ROUND((INDEX($E455:$G455,AM$5)-SUMIFS(TF_Timer,TF_Tekniker,AM$4,TF_Dato,$A455))*2,0)/2)))</f>
        <v/>
      </c>
      <c r="AN455">
        <f>IF(OR(AN$4="",$A455&gt;TODAY()),0,IF(OR(INDEX($B455:$D455,AN$5)="F",AND(AN$6&gt;0,$A455&lt;AN$6),AND(AN$7&gt;0,$A455&gt;AN$7)),0,MAX(0,ROUND((INDEX($E455:$G455,AN$5)-SUMIFS(TF_Timer,TF_Tekniker,AN$4,TF_Dato,$A455))*2,0)/2)))</f>
        <v/>
      </c>
      <c r="AO455">
        <f>IF(OR(AO$4="",$A455&gt;TODAY()),0,IF(OR(INDEX($B455:$D455,AO$5)="F",AND(AO$6&gt;0,$A455&lt;AO$6),AND(AO$7&gt;0,$A455&gt;AO$7)),0,MAX(0,ROUND((INDEX($E455:$G455,AO$5)-SUMIFS(TF_Timer,TF_Tekniker,AO$4,TF_Dato,$A455))*2,0)/2)))</f>
        <v/>
      </c>
      <c r="AP455">
        <f>IF(OR(AP$4="",$A455&gt;TODAY()),0,IF(OR(INDEX($B455:$D455,AP$5)="F",AND(AP$6&gt;0,$A455&lt;AP$6),AND(AP$7&gt;0,$A455&gt;AP$7)),0,MAX(0,ROUND((INDEX($E455:$G455,AP$5)-SUMIFS(TF_Timer,TF_Tekniker,AP$4,TF_Dato,$A455))*2,0)/2)))</f>
        <v/>
      </c>
      <c r="AQ455">
        <f>IF(OR(AQ$4="",$A455&gt;TODAY()),0,IF(OR(INDEX($B455:$D455,AQ$5)="F",AND(AQ$6&gt;0,$A455&lt;AQ$6),AND(AQ$7&gt;0,$A455&gt;AQ$7)),0,MAX(0,ROUND((INDEX($E455:$G455,AQ$5)-SUMIFS(TF_Timer,TF_Tekniker,AQ$4,TF_Dato,$A455))*2,0)/2)))</f>
        <v/>
      </c>
      <c r="AR455">
        <f>IF(OR(AR$4="",$A455&gt;TODAY()),0,IF(OR(INDEX($B455:$D455,AR$5)="F",AND(AR$6&gt;0,$A455&lt;AR$6),AND(AR$7&gt;0,$A455&gt;AR$7)),0,MAX(0,ROUND((INDEX($E455:$G455,AR$5)-SUMIFS(TF_Timer,TF_Tekniker,AR$4,TF_Dato,$A455))*2,0)/2)))</f>
        <v/>
      </c>
      <c r="AS455">
        <f>IF(OR(AS$4="",$A455&gt;TODAY()),0,IF(OR(INDEX($B455:$D455,AS$5)="F",AND(AS$6&gt;0,$A455&lt;AS$6),AND(AS$7&gt;0,$A455&gt;AS$7)),0,MAX(0,ROUND((INDEX($E455:$G455,AS$5)-SUMIFS(TF_Timer,TF_Tekniker,AS$4,TF_Dato,$A455))*2,0)/2)))</f>
        <v/>
      </c>
      <c r="AT455">
        <f>IF(OR(AT$4="",$A455&gt;TODAY()),0,IF(OR(INDEX($B455:$D455,AT$5)="F",AND(AT$6&gt;0,$A455&lt;AT$6),AND(AT$7&gt;0,$A455&gt;AT$7)),0,MAX(0,ROUND((INDEX($E455:$G455,AT$5)-SUMIFS(TF_Timer,TF_Tekniker,AT$4,TF_Dato,$A455))*2,0)/2)))</f>
        <v/>
      </c>
      <c r="AU455">
        <f>IF(OR(AU$4="",$A455&gt;TODAY()),0,IF(OR(INDEX($B455:$D455,AU$5)="F",AND(AU$6&gt;0,$A455&lt;AU$6),AND(AU$7&gt;0,$A455&gt;AU$7)),0,MAX(0,ROUND((INDEX($E455:$G455,AU$5)-SUMIFS(TF_Timer,TF_Tekniker,AU$4,TF_Dato,$A455))*2,0)/2)))</f>
        <v/>
      </c>
      <c r="AV455">
        <f>IF(OR(AV$4="",$A455&gt;TODAY()),0,IF(OR(INDEX($B455:$D455,AV$5)="F",AND(AV$6&gt;0,$A455&lt;AV$6),AND(AV$7&gt;0,$A455&gt;AV$7)),0,MAX(0,ROUND((INDEX($E455:$G455,AV$5)-SUMIFS(TF_Timer,TF_Tekniker,AV$4,TF_Dato,$A455))*2,0)/2)))</f>
        <v/>
      </c>
      <c r="AW455">
        <f>IF(OR(AW$4="",$A455&gt;TODAY()),0,IF(OR(INDEX($B455:$D455,AW$5)="F",AND(AW$6&gt;0,$A455&lt;AW$6),AND(AW$7&gt;0,$A455&gt;AW$7)),0,MAX(0,ROUND((INDEX($E455:$G455,AW$5)-SUMIFS(TF_Timer,TF_Tekniker,AW$4,TF_Dato,$A455))*2,0)/2)))</f>
        <v/>
      </c>
      <c r="AX455">
        <f>IF(OR(AX$4="",$A455&gt;TODAY()),0,IF(OR(INDEX($B455:$D455,AX$5)="F",AND(AX$6&gt;0,$A455&lt;AX$6),AND(AX$7&gt;0,$A455&gt;AX$7)),0,MAX(0,ROUND((INDEX($E455:$G455,AX$5)-SUMIFS(TF_Timer,TF_Tekniker,AX$4,TF_Dato,$A455))*2,0)/2)))</f>
        <v/>
      </c>
      <c r="AY455">
        <f>IF(OR(AY$4="",$A455&gt;TODAY()),0,IF(OR(INDEX($B455:$D455,AY$5)="F",AND(AY$6&gt;0,$A455&lt;AY$6),AND(AY$7&gt;0,$A455&gt;AY$7)),0,MAX(0,ROUND((INDEX($E455:$G455,AY$5)-SUMIFS(TF_Timer,TF_Tekniker,AY$4,TF_Dato,$A455))*2,0)/2)))</f>
        <v/>
      </c>
      <c r="AZ455">
        <f>IF(OR(AZ$4="",$A455&gt;TODAY()),0,IF(OR(INDEX($B455:$D455,AZ$5)="F",AND(AZ$6&gt;0,$A455&lt;AZ$6),AND(AZ$7&gt;0,$A455&gt;AZ$7)),0,MAX(0,ROUND((INDEX($E455:$G455,AZ$5)-SUMIFS(TF_Timer,TF_Tekniker,AZ$4,TF_Dato,$A455))*2,0)/2)))</f>
        <v/>
      </c>
      <c r="BA455">
        <f>IF(OR(BA$4="",$A455&gt;TODAY()),0,IF(OR(INDEX($B455:$D455,BA$5)="F",AND(BA$6&gt;0,$A455&lt;BA$6),AND(BA$7&gt;0,$A455&gt;BA$7)),0,MAX(0,ROUND((INDEX($E455:$G455,BA$5)-SUMIFS(TF_Timer,TF_Tekniker,BA$4,TF_Dato,$A455))*2,0)/2)))</f>
        <v/>
      </c>
      <c r="BB455">
        <f>IF(OR(BB$4="",$A455&gt;TODAY()),0,IF(OR(INDEX($B455:$D455,BB$5)="F",AND(BB$6&gt;0,$A455&lt;BB$6),AND(BB$7&gt;0,$A455&gt;BB$7)),0,MAX(0,ROUND((INDEX($E455:$G455,BB$5)-SUMIFS(TF_Timer,TF_Tekniker,BB$4,TF_Dato,$A455))*2,0)/2)))</f>
        <v/>
      </c>
      <c r="BC455">
        <f>IF(OR(BC$4="",$A455&gt;TODAY()),0,IF(OR(INDEX($B455:$D455,BC$5)="F",AND(BC$6&gt;0,$A455&lt;BC$6),AND(BC$7&gt;0,$A455&gt;BC$7)),0,MAX(0,ROUND((INDEX($E455:$G455,BC$5)-SUMIFS(TF_Timer,TF_Tekniker,BC$4,TF_Dato,$A455))*2,0)/2)))</f>
        <v/>
      </c>
      <c r="BD455">
        <f>IF(OR(BD$4="",$A455&gt;TODAY()),0,IF(OR(INDEX($B455:$D455,BD$5)="F",AND(BD$6&gt;0,$A455&lt;BD$6),AND(BD$7&gt;0,$A455&gt;BD$7)),0,MAX(0,ROUND((INDEX($E455:$G455,BD$5)-SUMIFS(TF_Timer,TF_Tekniker,BD$4,TF_Dato,$A455))*2,0)/2)))</f>
        <v/>
      </c>
      <c r="BE455">
        <f>IF(OR(BE$4="",$A455&gt;TODAY()),0,IF(OR(INDEX($B455:$D455,BE$5)="F",AND(BE$6&gt;0,$A455&lt;BE$6),AND(BE$7&gt;0,$A455&gt;BE$7)),0,MAX(0,ROUND((INDEX($E455:$G455,BE$5)-SUMIFS(TF_Timer,TF_Tekniker,BE$4,TF_Dato,$A455))*2,0)/2)))</f>
        <v/>
      </c>
      <c r="BF455">
        <f>IF(OR(BF$4="",$A455&gt;TODAY()),0,IF(OR(INDEX($B455:$D455,BF$5)="F",AND(BF$6&gt;0,$A455&lt;BF$6),AND(BF$7&gt;0,$A455&gt;BF$7)),0,MAX(0,ROUND((INDEX($E455:$G455,BF$5)-SUMIFS(TF_Timer,TF_Tekniker,BF$4,TF_Dato,$A455))*2,0)/2)))</f>
        <v/>
      </c>
      <c r="BG455">
        <f>IF(OR(BG$4="",$A455&gt;TODAY()),0,IF(OR(INDEX($B455:$D455,BG$5)="F",AND(BG$6&gt;0,$A455&lt;BG$6),AND(BG$7&gt;0,$A455&gt;BG$7)),0,MAX(0,ROUND((INDEX($E455:$G455,BG$5)-SUMIFS(TF_Timer,TF_Tekniker,BG$4,TF_Dato,$A455))*2,0)/2)))</f>
        <v/>
      </c>
      <c r="BH455">
        <f>IF(OR(BH$4="",$A455&gt;TODAY()),0,IF(OR(INDEX($B455:$D455,BH$5)="F",AND(BH$6&gt;0,$A455&lt;BH$6),AND(BH$7&gt;0,$A455&gt;BH$7)),0,MAX(0,ROUND((INDEX($E455:$G455,BH$5)-SUMIFS(TF_Timer,TF_Tekniker,BH$4,TF_Dato,$A455))*2,0)/2)))</f>
        <v/>
      </c>
      <c r="BI455">
        <f>IF(OR(BI$4="",$A455&gt;TODAY()),0,IF(OR(INDEX($B455:$D455,BI$5)="F",AND(BI$6&gt;0,$A455&lt;BI$6),AND(BI$7&gt;0,$A455&gt;BI$7)),0,MAX(0,ROUND((INDEX($E455:$G455,BI$5)-SUMIFS(TF_Timer,TF_Tekniker,BI$4,TF_Dato,$A455))*2,0)/2)))</f>
        <v/>
      </c>
    </row>
    <row r="456">
      <c r="A456" s="64">
        <f>A455+1</f>
        <v/>
      </c>
      <c r="B456">
        <f>IF(MOD($A456-INDEX(SkiftStart,1),Syklus)&lt;DagK,"K",IF(MOD($A456-INDEX(SkiftStart,1),Syklus)&lt;DagK+DagH,"H",IF(MOD($A456-INDEX(SkiftStart,1),Syklus)&lt;DagK+DagH+DagD,"D","F")))</f>
        <v/>
      </c>
      <c r="C456">
        <f>IF(MOD($A456-INDEX(SkiftStart,2),Syklus)&lt;DagK,"K",IF(MOD($A456-INDEX(SkiftStart,2),Syklus)&lt;DagK+DagH,"H",IF(MOD($A456-INDEX(SkiftStart,2),Syklus)&lt;DagK+DagH+DagD,"D","F")))</f>
        <v/>
      </c>
      <c r="D456">
        <f>IF(MOD($A456-INDEX(SkiftStart,3),Syklus)&lt;DagK,"K",IF(MOD($A456-INDEX(SkiftStart,3),Syklus)&lt;DagK+DagH,"H",IF(MOD($A456-INDEX(SkiftStart,3),Syklus)&lt;DagK+DagH+DagD,"D","F")))</f>
        <v/>
      </c>
      <c r="E456">
        <f>IF(B456="F",0,IF(WEEKDAY($A456,2)=5,INDEX(TimerFr,MATCH(B456,FaseKode,0)),INDEX(TimerMT,MATCH(B456,FaseKode,0))))</f>
        <v/>
      </c>
      <c r="F456">
        <f>IF(C456="F",0,IF(WEEKDAY($A456,2)=5,INDEX(TimerFr,MATCH(C456,FaseKode,0)),INDEX(TimerMT,MATCH(C456,FaseKode,0))))</f>
        <v/>
      </c>
      <c r="G456">
        <f>IF(D456="F",0,IF(WEEKDAY($A456,2)=5,INDEX(TimerFr,MATCH(D456,FaseKode,0)),INDEX(TimerMT,MATCH(D456,FaseKode,0))))</f>
        <v/>
      </c>
      <c r="H456">
        <f>IF(OR(H$4="",$A456&gt;TODAY()),0,IF(OR(INDEX($B456:$D456,H$5)="F",AND(H$6&gt;0,$A456&lt;H$6),AND(H$7&gt;0,$A456&gt;H$7)),0,MAX(0,ROUND((INDEX($E456:$G456,H$5)-SUMIFS(TF_Timer,TF_Tekniker,H$4,TF_Dato,$A456))*2,0)/2)))</f>
        <v/>
      </c>
      <c r="I456">
        <f>IF(OR(I$4="",$A456&gt;TODAY()),0,IF(OR(INDEX($B456:$D456,I$5)="F",AND(I$6&gt;0,$A456&lt;I$6),AND(I$7&gt;0,$A456&gt;I$7)),0,MAX(0,ROUND((INDEX($E456:$G456,I$5)-SUMIFS(TF_Timer,TF_Tekniker,I$4,TF_Dato,$A456))*2,0)/2)))</f>
        <v/>
      </c>
      <c r="J456">
        <f>IF(OR(J$4="",$A456&gt;TODAY()),0,IF(OR(INDEX($B456:$D456,J$5)="F",AND(J$6&gt;0,$A456&lt;J$6),AND(J$7&gt;0,$A456&gt;J$7)),0,MAX(0,ROUND((INDEX($E456:$G456,J$5)-SUMIFS(TF_Timer,TF_Tekniker,J$4,TF_Dato,$A456))*2,0)/2)))</f>
        <v/>
      </c>
      <c r="K456">
        <f>IF(OR(K$4="",$A456&gt;TODAY()),0,IF(OR(INDEX($B456:$D456,K$5)="F",AND(K$6&gt;0,$A456&lt;K$6),AND(K$7&gt;0,$A456&gt;K$7)),0,MAX(0,ROUND((INDEX($E456:$G456,K$5)-SUMIFS(TF_Timer,TF_Tekniker,K$4,TF_Dato,$A456))*2,0)/2)))</f>
        <v/>
      </c>
      <c r="L456">
        <f>IF(OR(L$4="",$A456&gt;TODAY()),0,IF(OR(INDEX($B456:$D456,L$5)="F",AND(L$6&gt;0,$A456&lt;L$6),AND(L$7&gt;0,$A456&gt;L$7)),0,MAX(0,ROUND((INDEX($E456:$G456,L$5)-SUMIFS(TF_Timer,TF_Tekniker,L$4,TF_Dato,$A456))*2,0)/2)))</f>
        <v/>
      </c>
      <c r="M456">
        <f>IF(OR(M$4="",$A456&gt;TODAY()),0,IF(OR(INDEX($B456:$D456,M$5)="F",AND(M$6&gt;0,$A456&lt;M$6),AND(M$7&gt;0,$A456&gt;M$7)),0,MAX(0,ROUND((INDEX($E456:$G456,M$5)-SUMIFS(TF_Timer,TF_Tekniker,M$4,TF_Dato,$A456))*2,0)/2)))</f>
        <v/>
      </c>
      <c r="N456">
        <f>IF(OR(N$4="",$A456&gt;TODAY()),0,IF(OR(INDEX($B456:$D456,N$5)="F",AND(N$6&gt;0,$A456&lt;N$6),AND(N$7&gt;0,$A456&gt;N$7)),0,MAX(0,ROUND((INDEX($E456:$G456,N$5)-SUMIFS(TF_Timer,TF_Tekniker,N$4,TF_Dato,$A456))*2,0)/2)))</f>
        <v/>
      </c>
      <c r="O456">
        <f>IF(OR(O$4="",$A456&gt;TODAY()),0,IF(OR(INDEX($B456:$D456,O$5)="F",AND(O$6&gt;0,$A456&lt;O$6),AND(O$7&gt;0,$A456&gt;O$7)),0,MAX(0,ROUND((INDEX($E456:$G456,O$5)-SUMIFS(TF_Timer,TF_Tekniker,O$4,TF_Dato,$A456))*2,0)/2)))</f>
        <v/>
      </c>
      <c r="P456">
        <f>IF(OR(P$4="",$A456&gt;TODAY()),0,IF(OR(INDEX($B456:$D456,P$5)="F",AND(P$6&gt;0,$A456&lt;P$6),AND(P$7&gt;0,$A456&gt;P$7)),0,MAX(0,ROUND((INDEX($E456:$G456,P$5)-SUMIFS(TF_Timer,TF_Tekniker,P$4,TF_Dato,$A456))*2,0)/2)))</f>
        <v/>
      </c>
      <c r="Q456">
        <f>IF(OR(Q$4="",$A456&gt;TODAY()),0,IF(OR(INDEX($B456:$D456,Q$5)="F",AND(Q$6&gt;0,$A456&lt;Q$6),AND(Q$7&gt;0,$A456&gt;Q$7)),0,MAX(0,ROUND((INDEX($E456:$G456,Q$5)-SUMIFS(TF_Timer,TF_Tekniker,Q$4,TF_Dato,$A456))*2,0)/2)))</f>
        <v/>
      </c>
      <c r="R456">
        <f>IF(OR(R$4="",$A456&gt;TODAY()),0,IF(OR(INDEX($B456:$D456,R$5)="F",AND(R$6&gt;0,$A456&lt;R$6),AND(R$7&gt;0,$A456&gt;R$7)),0,MAX(0,ROUND((INDEX($E456:$G456,R$5)-SUMIFS(TF_Timer,TF_Tekniker,R$4,TF_Dato,$A456))*2,0)/2)))</f>
        <v/>
      </c>
      <c r="S456">
        <f>IF(OR(S$4="",$A456&gt;TODAY()),0,IF(OR(INDEX($B456:$D456,S$5)="F",AND(S$6&gt;0,$A456&lt;S$6),AND(S$7&gt;0,$A456&gt;S$7)),0,MAX(0,ROUND((INDEX($E456:$G456,S$5)-SUMIFS(TF_Timer,TF_Tekniker,S$4,TF_Dato,$A456))*2,0)/2)))</f>
        <v/>
      </c>
      <c r="T456">
        <f>IF(OR(T$4="",$A456&gt;TODAY()),0,IF(OR(INDEX($B456:$D456,T$5)="F",AND(T$6&gt;0,$A456&lt;T$6),AND(T$7&gt;0,$A456&gt;T$7)),0,MAX(0,ROUND((INDEX($E456:$G456,T$5)-SUMIFS(TF_Timer,TF_Tekniker,T$4,TF_Dato,$A456))*2,0)/2)))</f>
        <v/>
      </c>
      <c r="U456">
        <f>IF(OR(U$4="",$A456&gt;TODAY()),0,IF(OR(INDEX($B456:$D456,U$5)="F",AND(U$6&gt;0,$A456&lt;U$6),AND(U$7&gt;0,$A456&gt;U$7)),0,MAX(0,ROUND((INDEX($E456:$G456,U$5)-SUMIFS(TF_Timer,TF_Tekniker,U$4,TF_Dato,$A456))*2,0)/2)))</f>
        <v/>
      </c>
      <c r="V456">
        <f>IF(OR(V$4="",$A456&gt;TODAY()),0,IF(OR(INDEX($B456:$D456,V$5)="F",AND(V$6&gt;0,$A456&lt;V$6),AND(V$7&gt;0,$A456&gt;V$7)),0,MAX(0,ROUND((INDEX($E456:$G456,V$5)-SUMIFS(TF_Timer,TF_Tekniker,V$4,TF_Dato,$A456))*2,0)/2)))</f>
        <v/>
      </c>
      <c r="W456">
        <f>IF(OR(W$4="",$A456&gt;TODAY()),0,IF(OR(INDEX($B456:$D456,W$5)="F",AND(W$6&gt;0,$A456&lt;W$6),AND(W$7&gt;0,$A456&gt;W$7)),0,MAX(0,ROUND((INDEX($E456:$G456,W$5)-SUMIFS(TF_Timer,TF_Tekniker,W$4,TF_Dato,$A456))*2,0)/2)))</f>
        <v/>
      </c>
      <c r="X456">
        <f>IF(OR(X$4="",$A456&gt;TODAY()),0,IF(OR(INDEX($B456:$D456,X$5)="F",AND(X$6&gt;0,$A456&lt;X$6),AND(X$7&gt;0,$A456&gt;X$7)),0,MAX(0,ROUND((INDEX($E456:$G456,X$5)-SUMIFS(TF_Timer,TF_Tekniker,X$4,TF_Dato,$A456))*2,0)/2)))</f>
        <v/>
      </c>
      <c r="Y456">
        <f>IF(OR(Y$4="",$A456&gt;TODAY()),0,IF(OR(INDEX($B456:$D456,Y$5)="F",AND(Y$6&gt;0,$A456&lt;Y$6),AND(Y$7&gt;0,$A456&gt;Y$7)),0,MAX(0,ROUND((INDEX($E456:$G456,Y$5)-SUMIFS(TF_Timer,TF_Tekniker,Y$4,TF_Dato,$A456))*2,0)/2)))</f>
        <v/>
      </c>
      <c r="Z456">
        <f>IF(OR(Z$4="",$A456&gt;TODAY()),0,IF(OR(INDEX($B456:$D456,Z$5)="F",AND(Z$6&gt;0,$A456&lt;Z$6),AND(Z$7&gt;0,$A456&gt;Z$7)),0,MAX(0,ROUND((INDEX($E456:$G456,Z$5)-SUMIFS(TF_Timer,TF_Tekniker,Z$4,TF_Dato,$A456))*2,0)/2)))</f>
        <v/>
      </c>
      <c r="AA456">
        <f>IF(OR(AA$4="",$A456&gt;TODAY()),0,IF(OR(INDEX($B456:$D456,AA$5)="F",AND(AA$6&gt;0,$A456&lt;AA$6),AND(AA$7&gt;0,$A456&gt;AA$7)),0,MAX(0,ROUND((INDEX($E456:$G456,AA$5)-SUMIFS(TF_Timer,TF_Tekniker,AA$4,TF_Dato,$A456))*2,0)/2)))</f>
        <v/>
      </c>
      <c r="AB456">
        <f>IF(OR(AB$4="",$A456&gt;TODAY()),0,IF(OR(INDEX($B456:$D456,AB$5)="F",AND(AB$6&gt;0,$A456&lt;AB$6),AND(AB$7&gt;0,$A456&gt;AB$7)),0,MAX(0,ROUND((INDEX($E456:$G456,AB$5)-SUMIFS(TF_Timer,TF_Tekniker,AB$4,TF_Dato,$A456))*2,0)/2)))</f>
        <v/>
      </c>
      <c r="AC456">
        <f>IF(OR(AC$4="",$A456&gt;TODAY()),0,IF(OR(INDEX($B456:$D456,AC$5)="F",AND(AC$6&gt;0,$A456&lt;AC$6),AND(AC$7&gt;0,$A456&gt;AC$7)),0,MAX(0,ROUND((INDEX($E456:$G456,AC$5)-SUMIFS(TF_Timer,TF_Tekniker,AC$4,TF_Dato,$A456))*2,0)/2)))</f>
        <v/>
      </c>
      <c r="AD456">
        <f>IF(OR(AD$4="",$A456&gt;TODAY()),0,IF(OR(INDEX($B456:$D456,AD$5)="F",AND(AD$6&gt;0,$A456&lt;AD$6),AND(AD$7&gt;0,$A456&gt;AD$7)),0,MAX(0,ROUND((INDEX($E456:$G456,AD$5)-SUMIFS(TF_Timer,TF_Tekniker,AD$4,TF_Dato,$A456))*2,0)/2)))</f>
        <v/>
      </c>
      <c r="AE456">
        <f>IF(OR(AE$4="",$A456&gt;TODAY()),0,IF(OR(INDEX($B456:$D456,AE$5)="F",AND(AE$6&gt;0,$A456&lt;AE$6),AND(AE$7&gt;0,$A456&gt;AE$7)),0,MAX(0,ROUND((INDEX($E456:$G456,AE$5)-SUMIFS(TF_Timer,TF_Tekniker,AE$4,TF_Dato,$A456))*2,0)/2)))</f>
        <v/>
      </c>
      <c r="AF456">
        <f>IF(OR(AF$4="",$A456&gt;TODAY()),0,IF(OR(INDEX($B456:$D456,AF$5)="F",AND(AF$6&gt;0,$A456&lt;AF$6),AND(AF$7&gt;0,$A456&gt;AF$7)),0,MAX(0,ROUND((INDEX($E456:$G456,AF$5)-SUMIFS(TF_Timer,TF_Tekniker,AF$4,TF_Dato,$A456))*2,0)/2)))</f>
        <v/>
      </c>
      <c r="AG456">
        <f>IF(OR(AG$4="",$A456&gt;TODAY()),0,IF(OR(INDEX($B456:$D456,AG$5)="F",AND(AG$6&gt;0,$A456&lt;AG$6),AND(AG$7&gt;0,$A456&gt;AG$7)),0,MAX(0,ROUND((INDEX($E456:$G456,AG$5)-SUMIFS(TF_Timer,TF_Tekniker,AG$4,TF_Dato,$A456))*2,0)/2)))</f>
        <v/>
      </c>
      <c r="AH456">
        <f>IF(OR(AH$4="",$A456&gt;TODAY()),0,IF(OR(INDEX($B456:$D456,AH$5)="F",AND(AH$6&gt;0,$A456&lt;AH$6),AND(AH$7&gt;0,$A456&gt;AH$7)),0,MAX(0,ROUND((INDEX($E456:$G456,AH$5)-SUMIFS(TF_Timer,TF_Tekniker,AH$4,TF_Dato,$A456))*2,0)/2)))</f>
        <v/>
      </c>
      <c r="AI456">
        <f>IF(OR(AI$4="",$A456&gt;TODAY()),0,IF(OR(INDEX($B456:$D456,AI$5)="F",AND(AI$6&gt;0,$A456&lt;AI$6),AND(AI$7&gt;0,$A456&gt;AI$7)),0,MAX(0,ROUND((INDEX($E456:$G456,AI$5)-SUMIFS(TF_Timer,TF_Tekniker,AI$4,TF_Dato,$A456))*2,0)/2)))</f>
        <v/>
      </c>
      <c r="AJ456">
        <f>IF(OR(AJ$4="",$A456&gt;TODAY()),0,IF(OR(INDEX($B456:$D456,AJ$5)="F",AND(AJ$6&gt;0,$A456&lt;AJ$6),AND(AJ$7&gt;0,$A456&gt;AJ$7)),0,MAX(0,ROUND((INDEX($E456:$G456,AJ$5)-SUMIFS(TF_Timer,TF_Tekniker,AJ$4,TF_Dato,$A456))*2,0)/2)))</f>
        <v/>
      </c>
      <c r="AK456">
        <f>IF(OR(AK$4="",$A456&gt;TODAY()),0,IF(OR(INDEX($B456:$D456,AK$5)="F",AND(AK$6&gt;0,$A456&lt;AK$6),AND(AK$7&gt;0,$A456&gt;AK$7)),0,MAX(0,ROUND((INDEX($E456:$G456,AK$5)-SUMIFS(TF_Timer,TF_Tekniker,AK$4,TF_Dato,$A456))*2,0)/2)))</f>
        <v/>
      </c>
      <c r="AL456">
        <f>IF(OR(AL$4="",$A456&gt;TODAY()),0,IF(OR(INDEX($B456:$D456,AL$5)="F",AND(AL$6&gt;0,$A456&lt;AL$6),AND(AL$7&gt;0,$A456&gt;AL$7)),0,MAX(0,ROUND((INDEX($E456:$G456,AL$5)-SUMIFS(TF_Timer,TF_Tekniker,AL$4,TF_Dato,$A456))*2,0)/2)))</f>
        <v/>
      </c>
      <c r="AM456">
        <f>IF(OR(AM$4="",$A456&gt;TODAY()),0,IF(OR(INDEX($B456:$D456,AM$5)="F",AND(AM$6&gt;0,$A456&lt;AM$6),AND(AM$7&gt;0,$A456&gt;AM$7)),0,MAX(0,ROUND((INDEX($E456:$G456,AM$5)-SUMIFS(TF_Timer,TF_Tekniker,AM$4,TF_Dato,$A456))*2,0)/2)))</f>
        <v/>
      </c>
      <c r="AN456">
        <f>IF(OR(AN$4="",$A456&gt;TODAY()),0,IF(OR(INDEX($B456:$D456,AN$5)="F",AND(AN$6&gt;0,$A456&lt;AN$6),AND(AN$7&gt;0,$A456&gt;AN$7)),0,MAX(0,ROUND((INDEX($E456:$G456,AN$5)-SUMIFS(TF_Timer,TF_Tekniker,AN$4,TF_Dato,$A456))*2,0)/2)))</f>
        <v/>
      </c>
      <c r="AO456">
        <f>IF(OR(AO$4="",$A456&gt;TODAY()),0,IF(OR(INDEX($B456:$D456,AO$5)="F",AND(AO$6&gt;0,$A456&lt;AO$6),AND(AO$7&gt;0,$A456&gt;AO$7)),0,MAX(0,ROUND((INDEX($E456:$G456,AO$5)-SUMIFS(TF_Timer,TF_Tekniker,AO$4,TF_Dato,$A456))*2,0)/2)))</f>
        <v/>
      </c>
      <c r="AP456">
        <f>IF(OR(AP$4="",$A456&gt;TODAY()),0,IF(OR(INDEX($B456:$D456,AP$5)="F",AND(AP$6&gt;0,$A456&lt;AP$6),AND(AP$7&gt;0,$A456&gt;AP$7)),0,MAX(0,ROUND((INDEX($E456:$G456,AP$5)-SUMIFS(TF_Timer,TF_Tekniker,AP$4,TF_Dato,$A456))*2,0)/2)))</f>
        <v/>
      </c>
      <c r="AQ456">
        <f>IF(OR(AQ$4="",$A456&gt;TODAY()),0,IF(OR(INDEX($B456:$D456,AQ$5)="F",AND(AQ$6&gt;0,$A456&lt;AQ$6),AND(AQ$7&gt;0,$A456&gt;AQ$7)),0,MAX(0,ROUND((INDEX($E456:$G456,AQ$5)-SUMIFS(TF_Timer,TF_Tekniker,AQ$4,TF_Dato,$A456))*2,0)/2)))</f>
        <v/>
      </c>
      <c r="AR456">
        <f>IF(OR(AR$4="",$A456&gt;TODAY()),0,IF(OR(INDEX($B456:$D456,AR$5)="F",AND(AR$6&gt;0,$A456&lt;AR$6),AND(AR$7&gt;0,$A456&gt;AR$7)),0,MAX(0,ROUND((INDEX($E456:$G456,AR$5)-SUMIFS(TF_Timer,TF_Tekniker,AR$4,TF_Dato,$A456))*2,0)/2)))</f>
        <v/>
      </c>
      <c r="AS456">
        <f>IF(OR(AS$4="",$A456&gt;TODAY()),0,IF(OR(INDEX($B456:$D456,AS$5)="F",AND(AS$6&gt;0,$A456&lt;AS$6),AND(AS$7&gt;0,$A456&gt;AS$7)),0,MAX(0,ROUND((INDEX($E456:$G456,AS$5)-SUMIFS(TF_Timer,TF_Tekniker,AS$4,TF_Dato,$A456))*2,0)/2)))</f>
        <v/>
      </c>
      <c r="AT456">
        <f>IF(OR(AT$4="",$A456&gt;TODAY()),0,IF(OR(INDEX($B456:$D456,AT$5)="F",AND(AT$6&gt;0,$A456&lt;AT$6),AND(AT$7&gt;0,$A456&gt;AT$7)),0,MAX(0,ROUND((INDEX($E456:$G456,AT$5)-SUMIFS(TF_Timer,TF_Tekniker,AT$4,TF_Dato,$A456))*2,0)/2)))</f>
        <v/>
      </c>
      <c r="AU456">
        <f>IF(OR(AU$4="",$A456&gt;TODAY()),0,IF(OR(INDEX($B456:$D456,AU$5)="F",AND(AU$6&gt;0,$A456&lt;AU$6),AND(AU$7&gt;0,$A456&gt;AU$7)),0,MAX(0,ROUND((INDEX($E456:$G456,AU$5)-SUMIFS(TF_Timer,TF_Tekniker,AU$4,TF_Dato,$A456))*2,0)/2)))</f>
        <v/>
      </c>
      <c r="AV456">
        <f>IF(OR(AV$4="",$A456&gt;TODAY()),0,IF(OR(INDEX($B456:$D456,AV$5)="F",AND(AV$6&gt;0,$A456&lt;AV$6),AND(AV$7&gt;0,$A456&gt;AV$7)),0,MAX(0,ROUND((INDEX($E456:$G456,AV$5)-SUMIFS(TF_Timer,TF_Tekniker,AV$4,TF_Dato,$A456))*2,0)/2)))</f>
        <v/>
      </c>
      <c r="AW456">
        <f>IF(OR(AW$4="",$A456&gt;TODAY()),0,IF(OR(INDEX($B456:$D456,AW$5)="F",AND(AW$6&gt;0,$A456&lt;AW$6),AND(AW$7&gt;0,$A456&gt;AW$7)),0,MAX(0,ROUND((INDEX($E456:$G456,AW$5)-SUMIFS(TF_Timer,TF_Tekniker,AW$4,TF_Dato,$A456))*2,0)/2)))</f>
        <v/>
      </c>
      <c r="AX456">
        <f>IF(OR(AX$4="",$A456&gt;TODAY()),0,IF(OR(INDEX($B456:$D456,AX$5)="F",AND(AX$6&gt;0,$A456&lt;AX$6),AND(AX$7&gt;0,$A456&gt;AX$7)),0,MAX(0,ROUND((INDEX($E456:$G456,AX$5)-SUMIFS(TF_Timer,TF_Tekniker,AX$4,TF_Dato,$A456))*2,0)/2)))</f>
        <v/>
      </c>
      <c r="AY456">
        <f>IF(OR(AY$4="",$A456&gt;TODAY()),0,IF(OR(INDEX($B456:$D456,AY$5)="F",AND(AY$6&gt;0,$A456&lt;AY$6),AND(AY$7&gt;0,$A456&gt;AY$7)),0,MAX(0,ROUND((INDEX($E456:$G456,AY$5)-SUMIFS(TF_Timer,TF_Tekniker,AY$4,TF_Dato,$A456))*2,0)/2)))</f>
        <v/>
      </c>
      <c r="AZ456">
        <f>IF(OR(AZ$4="",$A456&gt;TODAY()),0,IF(OR(INDEX($B456:$D456,AZ$5)="F",AND(AZ$6&gt;0,$A456&lt;AZ$6),AND(AZ$7&gt;0,$A456&gt;AZ$7)),0,MAX(0,ROUND((INDEX($E456:$G456,AZ$5)-SUMIFS(TF_Timer,TF_Tekniker,AZ$4,TF_Dato,$A456))*2,0)/2)))</f>
        <v/>
      </c>
      <c r="BA456">
        <f>IF(OR(BA$4="",$A456&gt;TODAY()),0,IF(OR(INDEX($B456:$D456,BA$5)="F",AND(BA$6&gt;0,$A456&lt;BA$6),AND(BA$7&gt;0,$A456&gt;BA$7)),0,MAX(0,ROUND((INDEX($E456:$G456,BA$5)-SUMIFS(TF_Timer,TF_Tekniker,BA$4,TF_Dato,$A456))*2,0)/2)))</f>
        <v/>
      </c>
      <c r="BB456">
        <f>IF(OR(BB$4="",$A456&gt;TODAY()),0,IF(OR(INDEX($B456:$D456,BB$5)="F",AND(BB$6&gt;0,$A456&lt;BB$6),AND(BB$7&gt;0,$A456&gt;BB$7)),0,MAX(0,ROUND((INDEX($E456:$G456,BB$5)-SUMIFS(TF_Timer,TF_Tekniker,BB$4,TF_Dato,$A456))*2,0)/2)))</f>
        <v/>
      </c>
      <c r="BC456">
        <f>IF(OR(BC$4="",$A456&gt;TODAY()),0,IF(OR(INDEX($B456:$D456,BC$5)="F",AND(BC$6&gt;0,$A456&lt;BC$6),AND(BC$7&gt;0,$A456&gt;BC$7)),0,MAX(0,ROUND((INDEX($E456:$G456,BC$5)-SUMIFS(TF_Timer,TF_Tekniker,BC$4,TF_Dato,$A456))*2,0)/2)))</f>
        <v/>
      </c>
      <c r="BD456">
        <f>IF(OR(BD$4="",$A456&gt;TODAY()),0,IF(OR(INDEX($B456:$D456,BD$5)="F",AND(BD$6&gt;0,$A456&lt;BD$6),AND(BD$7&gt;0,$A456&gt;BD$7)),0,MAX(0,ROUND((INDEX($E456:$G456,BD$5)-SUMIFS(TF_Timer,TF_Tekniker,BD$4,TF_Dato,$A456))*2,0)/2)))</f>
        <v/>
      </c>
      <c r="BE456">
        <f>IF(OR(BE$4="",$A456&gt;TODAY()),0,IF(OR(INDEX($B456:$D456,BE$5)="F",AND(BE$6&gt;0,$A456&lt;BE$6),AND(BE$7&gt;0,$A456&gt;BE$7)),0,MAX(0,ROUND((INDEX($E456:$G456,BE$5)-SUMIFS(TF_Timer,TF_Tekniker,BE$4,TF_Dato,$A456))*2,0)/2)))</f>
        <v/>
      </c>
      <c r="BF456">
        <f>IF(OR(BF$4="",$A456&gt;TODAY()),0,IF(OR(INDEX($B456:$D456,BF$5)="F",AND(BF$6&gt;0,$A456&lt;BF$6),AND(BF$7&gt;0,$A456&gt;BF$7)),0,MAX(0,ROUND((INDEX($E456:$G456,BF$5)-SUMIFS(TF_Timer,TF_Tekniker,BF$4,TF_Dato,$A456))*2,0)/2)))</f>
        <v/>
      </c>
      <c r="BG456">
        <f>IF(OR(BG$4="",$A456&gt;TODAY()),0,IF(OR(INDEX($B456:$D456,BG$5)="F",AND(BG$6&gt;0,$A456&lt;BG$6),AND(BG$7&gt;0,$A456&gt;BG$7)),0,MAX(0,ROUND((INDEX($E456:$G456,BG$5)-SUMIFS(TF_Timer,TF_Tekniker,BG$4,TF_Dato,$A456))*2,0)/2)))</f>
        <v/>
      </c>
      <c r="BH456">
        <f>IF(OR(BH$4="",$A456&gt;TODAY()),0,IF(OR(INDEX($B456:$D456,BH$5)="F",AND(BH$6&gt;0,$A456&lt;BH$6),AND(BH$7&gt;0,$A456&gt;BH$7)),0,MAX(0,ROUND((INDEX($E456:$G456,BH$5)-SUMIFS(TF_Timer,TF_Tekniker,BH$4,TF_Dato,$A456))*2,0)/2)))</f>
        <v/>
      </c>
      <c r="BI456">
        <f>IF(OR(BI$4="",$A456&gt;TODAY()),0,IF(OR(INDEX($B456:$D456,BI$5)="F",AND(BI$6&gt;0,$A456&lt;BI$6),AND(BI$7&gt;0,$A456&gt;BI$7)),0,MAX(0,ROUND((INDEX($E456:$G456,BI$5)-SUMIFS(TF_Timer,TF_Tekniker,BI$4,TF_Dato,$A456))*2,0)/2)))</f>
        <v/>
      </c>
    </row>
    <row r="457">
      <c r="A457" s="64">
        <f>A456+1</f>
        <v/>
      </c>
      <c r="B457">
        <f>IF(MOD($A457-INDEX(SkiftStart,1),Syklus)&lt;DagK,"K",IF(MOD($A457-INDEX(SkiftStart,1),Syklus)&lt;DagK+DagH,"H",IF(MOD($A457-INDEX(SkiftStart,1),Syklus)&lt;DagK+DagH+DagD,"D","F")))</f>
        <v/>
      </c>
      <c r="C457">
        <f>IF(MOD($A457-INDEX(SkiftStart,2),Syklus)&lt;DagK,"K",IF(MOD($A457-INDEX(SkiftStart,2),Syklus)&lt;DagK+DagH,"H",IF(MOD($A457-INDEX(SkiftStart,2),Syklus)&lt;DagK+DagH+DagD,"D","F")))</f>
        <v/>
      </c>
      <c r="D457">
        <f>IF(MOD($A457-INDEX(SkiftStart,3),Syklus)&lt;DagK,"K",IF(MOD($A457-INDEX(SkiftStart,3),Syklus)&lt;DagK+DagH,"H",IF(MOD($A457-INDEX(SkiftStart,3),Syklus)&lt;DagK+DagH+DagD,"D","F")))</f>
        <v/>
      </c>
      <c r="E457">
        <f>IF(B457="F",0,IF(WEEKDAY($A457,2)=5,INDEX(TimerFr,MATCH(B457,FaseKode,0)),INDEX(TimerMT,MATCH(B457,FaseKode,0))))</f>
        <v/>
      </c>
      <c r="F457">
        <f>IF(C457="F",0,IF(WEEKDAY($A457,2)=5,INDEX(TimerFr,MATCH(C457,FaseKode,0)),INDEX(TimerMT,MATCH(C457,FaseKode,0))))</f>
        <v/>
      </c>
      <c r="G457">
        <f>IF(D457="F",0,IF(WEEKDAY($A457,2)=5,INDEX(TimerFr,MATCH(D457,FaseKode,0)),INDEX(TimerMT,MATCH(D457,FaseKode,0))))</f>
        <v/>
      </c>
      <c r="H457">
        <f>IF(OR(H$4="",$A457&gt;TODAY()),0,IF(OR(INDEX($B457:$D457,H$5)="F",AND(H$6&gt;0,$A457&lt;H$6),AND(H$7&gt;0,$A457&gt;H$7)),0,MAX(0,ROUND((INDEX($E457:$G457,H$5)-SUMIFS(TF_Timer,TF_Tekniker,H$4,TF_Dato,$A457))*2,0)/2)))</f>
        <v/>
      </c>
      <c r="I457">
        <f>IF(OR(I$4="",$A457&gt;TODAY()),0,IF(OR(INDEX($B457:$D457,I$5)="F",AND(I$6&gt;0,$A457&lt;I$6),AND(I$7&gt;0,$A457&gt;I$7)),0,MAX(0,ROUND((INDEX($E457:$G457,I$5)-SUMIFS(TF_Timer,TF_Tekniker,I$4,TF_Dato,$A457))*2,0)/2)))</f>
        <v/>
      </c>
      <c r="J457">
        <f>IF(OR(J$4="",$A457&gt;TODAY()),0,IF(OR(INDEX($B457:$D457,J$5)="F",AND(J$6&gt;0,$A457&lt;J$6),AND(J$7&gt;0,$A457&gt;J$7)),0,MAX(0,ROUND((INDEX($E457:$G457,J$5)-SUMIFS(TF_Timer,TF_Tekniker,J$4,TF_Dato,$A457))*2,0)/2)))</f>
        <v/>
      </c>
      <c r="K457">
        <f>IF(OR(K$4="",$A457&gt;TODAY()),0,IF(OR(INDEX($B457:$D457,K$5)="F",AND(K$6&gt;0,$A457&lt;K$6),AND(K$7&gt;0,$A457&gt;K$7)),0,MAX(0,ROUND((INDEX($E457:$G457,K$5)-SUMIFS(TF_Timer,TF_Tekniker,K$4,TF_Dato,$A457))*2,0)/2)))</f>
        <v/>
      </c>
      <c r="L457">
        <f>IF(OR(L$4="",$A457&gt;TODAY()),0,IF(OR(INDEX($B457:$D457,L$5)="F",AND(L$6&gt;0,$A457&lt;L$6),AND(L$7&gt;0,$A457&gt;L$7)),0,MAX(0,ROUND((INDEX($E457:$G457,L$5)-SUMIFS(TF_Timer,TF_Tekniker,L$4,TF_Dato,$A457))*2,0)/2)))</f>
        <v/>
      </c>
      <c r="M457">
        <f>IF(OR(M$4="",$A457&gt;TODAY()),0,IF(OR(INDEX($B457:$D457,M$5)="F",AND(M$6&gt;0,$A457&lt;M$6),AND(M$7&gt;0,$A457&gt;M$7)),0,MAX(0,ROUND((INDEX($E457:$G457,M$5)-SUMIFS(TF_Timer,TF_Tekniker,M$4,TF_Dato,$A457))*2,0)/2)))</f>
        <v/>
      </c>
      <c r="N457">
        <f>IF(OR(N$4="",$A457&gt;TODAY()),0,IF(OR(INDEX($B457:$D457,N$5)="F",AND(N$6&gt;0,$A457&lt;N$6),AND(N$7&gt;0,$A457&gt;N$7)),0,MAX(0,ROUND((INDEX($E457:$G457,N$5)-SUMIFS(TF_Timer,TF_Tekniker,N$4,TF_Dato,$A457))*2,0)/2)))</f>
        <v/>
      </c>
      <c r="O457">
        <f>IF(OR(O$4="",$A457&gt;TODAY()),0,IF(OR(INDEX($B457:$D457,O$5)="F",AND(O$6&gt;0,$A457&lt;O$6),AND(O$7&gt;0,$A457&gt;O$7)),0,MAX(0,ROUND((INDEX($E457:$G457,O$5)-SUMIFS(TF_Timer,TF_Tekniker,O$4,TF_Dato,$A457))*2,0)/2)))</f>
        <v/>
      </c>
      <c r="P457">
        <f>IF(OR(P$4="",$A457&gt;TODAY()),0,IF(OR(INDEX($B457:$D457,P$5)="F",AND(P$6&gt;0,$A457&lt;P$6),AND(P$7&gt;0,$A457&gt;P$7)),0,MAX(0,ROUND((INDEX($E457:$G457,P$5)-SUMIFS(TF_Timer,TF_Tekniker,P$4,TF_Dato,$A457))*2,0)/2)))</f>
        <v/>
      </c>
      <c r="Q457">
        <f>IF(OR(Q$4="",$A457&gt;TODAY()),0,IF(OR(INDEX($B457:$D457,Q$5)="F",AND(Q$6&gt;0,$A457&lt;Q$6),AND(Q$7&gt;0,$A457&gt;Q$7)),0,MAX(0,ROUND((INDEX($E457:$G457,Q$5)-SUMIFS(TF_Timer,TF_Tekniker,Q$4,TF_Dato,$A457))*2,0)/2)))</f>
        <v/>
      </c>
      <c r="R457">
        <f>IF(OR(R$4="",$A457&gt;TODAY()),0,IF(OR(INDEX($B457:$D457,R$5)="F",AND(R$6&gt;0,$A457&lt;R$6),AND(R$7&gt;0,$A457&gt;R$7)),0,MAX(0,ROUND((INDEX($E457:$G457,R$5)-SUMIFS(TF_Timer,TF_Tekniker,R$4,TF_Dato,$A457))*2,0)/2)))</f>
        <v/>
      </c>
      <c r="S457">
        <f>IF(OR(S$4="",$A457&gt;TODAY()),0,IF(OR(INDEX($B457:$D457,S$5)="F",AND(S$6&gt;0,$A457&lt;S$6),AND(S$7&gt;0,$A457&gt;S$7)),0,MAX(0,ROUND((INDEX($E457:$G457,S$5)-SUMIFS(TF_Timer,TF_Tekniker,S$4,TF_Dato,$A457))*2,0)/2)))</f>
        <v/>
      </c>
      <c r="T457">
        <f>IF(OR(T$4="",$A457&gt;TODAY()),0,IF(OR(INDEX($B457:$D457,T$5)="F",AND(T$6&gt;0,$A457&lt;T$6),AND(T$7&gt;0,$A457&gt;T$7)),0,MAX(0,ROUND((INDEX($E457:$G457,T$5)-SUMIFS(TF_Timer,TF_Tekniker,T$4,TF_Dato,$A457))*2,0)/2)))</f>
        <v/>
      </c>
      <c r="U457">
        <f>IF(OR(U$4="",$A457&gt;TODAY()),0,IF(OR(INDEX($B457:$D457,U$5)="F",AND(U$6&gt;0,$A457&lt;U$6),AND(U$7&gt;0,$A457&gt;U$7)),0,MAX(0,ROUND((INDEX($E457:$G457,U$5)-SUMIFS(TF_Timer,TF_Tekniker,U$4,TF_Dato,$A457))*2,0)/2)))</f>
        <v/>
      </c>
      <c r="V457">
        <f>IF(OR(V$4="",$A457&gt;TODAY()),0,IF(OR(INDEX($B457:$D457,V$5)="F",AND(V$6&gt;0,$A457&lt;V$6),AND(V$7&gt;0,$A457&gt;V$7)),0,MAX(0,ROUND((INDEX($E457:$G457,V$5)-SUMIFS(TF_Timer,TF_Tekniker,V$4,TF_Dato,$A457))*2,0)/2)))</f>
        <v/>
      </c>
      <c r="W457">
        <f>IF(OR(W$4="",$A457&gt;TODAY()),0,IF(OR(INDEX($B457:$D457,W$5)="F",AND(W$6&gt;0,$A457&lt;W$6),AND(W$7&gt;0,$A457&gt;W$7)),0,MAX(0,ROUND((INDEX($E457:$G457,W$5)-SUMIFS(TF_Timer,TF_Tekniker,W$4,TF_Dato,$A457))*2,0)/2)))</f>
        <v/>
      </c>
      <c r="X457">
        <f>IF(OR(X$4="",$A457&gt;TODAY()),0,IF(OR(INDEX($B457:$D457,X$5)="F",AND(X$6&gt;0,$A457&lt;X$6),AND(X$7&gt;0,$A457&gt;X$7)),0,MAX(0,ROUND((INDEX($E457:$G457,X$5)-SUMIFS(TF_Timer,TF_Tekniker,X$4,TF_Dato,$A457))*2,0)/2)))</f>
        <v/>
      </c>
      <c r="Y457">
        <f>IF(OR(Y$4="",$A457&gt;TODAY()),0,IF(OR(INDEX($B457:$D457,Y$5)="F",AND(Y$6&gt;0,$A457&lt;Y$6),AND(Y$7&gt;0,$A457&gt;Y$7)),0,MAX(0,ROUND((INDEX($E457:$G457,Y$5)-SUMIFS(TF_Timer,TF_Tekniker,Y$4,TF_Dato,$A457))*2,0)/2)))</f>
        <v/>
      </c>
      <c r="Z457">
        <f>IF(OR(Z$4="",$A457&gt;TODAY()),0,IF(OR(INDEX($B457:$D457,Z$5)="F",AND(Z$6&gt;0,$A457&lt;Z$6),AND(Z$7&gt;0,$A457&gt;Z$7)),0,MAX(0,ROUND((INDEX($E457:$G457,Z$5)-SUMIFS(TF_Timer,TF_Tekniker,Z$4,TF_Dato,$A457))*2,0)/2)))</f>
        <v/>
      </c>
      <c r="AA457">
        <f>IF(OR(AA$4="",$A457&gt;TODAY()),0,IF(OR(INDEX($B457:$D457,AA$5)="F",AND(AA$6&gt;0,$A457&lt;AA$6),AND(AA$7&gt;0,$A457&gt;AA$7)),0,MAX(0,ROUND((INDEX($E457:$G457,AA$5)-SUMIFS(TF_Timer,TF_Tekniker,AA$4,TF_Dato,$A457))*2,0)/2)))</f>
        <v/>
      </c>
      <c r="AB457">
        <f>IF(OR(AB$4="",$A457&gt;TODAY()),0,IF(OR(INDEX($B457:$D457,AB$5)="F",AND(AB$6&gt;0,$A457&lt;AB$6),AND(AB$7&gt;0,$A457&gt;AB$7)),0,MAX(0,ROUND((INDEX($E457:$G457,AB$5)-SUMIFS(TF_Timer,TF_Tekniker,AB$4,TF_Dato,$A457))*2,0)/2)))</f>
        <v/>
      </c>
      <c r="AC457">
        <f>IF(OR(AC$4="",$A457&gt;TODAY()),0,IF(OR(INDEX($B457:$D457,AC$5)="F",AND(AC$6&gt;0,$A457&lt;AC$6),AND(AC$7&gt;0,$A457&gt;AC$7)),0,MAX(0,ROUND((INDEX($E457:$G457,AC$5)-SUMIFS(TF_Timer,TF_Tekniker,AC$4,TF_Dato,$A457))*2,0)/2)))</f>
        <v/>
      </c>
      <c r="AD457">
        <f>IF(OR(AD$4="",$A457&gt;TODAY()),0,IF(OR(INDEX($B457:$D457,AD$5)="F",AND(AD$6&gt;0,$A457&lt;AD$6),AND(AD$7&gt;0,$A457&gt;AD$7)),0,MAX(0,ROUND((INDEX($E457:$G457,AD$5)-SUMIFS(TF_Timer,TF_Tekniker,AD$4,TF_Dato,$A457))*2,0)/2)))</f>
        <v/>
      </c>
      <c r="AE457">
        <f>IF(OR(AE$4="",$A457&gt;TODAY()),0,IF(OR(INDEX($B457:$D457,AE$5)="F",AND(AE$6&gt;0,$A457&lt;AE$6),AND(AE$7&gt;0,$A457&gt;AE$7)),0,MAX(0,ROUND((INDEX($E457:$G457,AE$5)-SUMIFS(TF_Timer,TF_Tekniker,AE$4,TF_Dato,$A457))*2,0)/2)))</f>
        <v/>
      </c>
      <c r="AF457">
        <f>IF(OR(AF$4="",$A457&gt;TODAY()),0,IF(OR(INDEX($B457:$D457,AF$5)="F",AND(AF$6&gt;0,$A457&lt;AF$6),AND(AF$7&gt;0,$A457&gt;AF$7)),0,MAX(0,ROUND((INDEX($E457:$G457,AF$5)-SUMIFS(TF_Timer,TF_Tekniker,AF$4,TF_Dato,$A457))*2,0)/2)))</f>
        <v/>
      </c>
      <c r="AG457">
        <f>IF(OR(AG$4="",$A457&gt;TODAY()),0,IF(OR(INDEX($B457:$D457,AG$5)="F",AND(AG$6&gt;0,$A457&lt;AG$6),AND(AG$7&gt;0,$A457&gt;AG$7)),0,MAX(0,ROUND((INDEX($E457:$G457,AG$5)-SUMIFS(TF_Timer,TF_Tekniker,AG$4,TF_Dato,$A457))*2,0)/2)))</f>
        <v/>
      </c>
      <c r="AH457">
        <f>IF(OR(AH$4="",$A457&gt;TODAY()),0,IF(OR(INDEX($B457:$D457,AH$5)="F",AND(AH$6&gt;0,$A457&lt;AH$6),AND(AH$7&gt;0,$A457&gt;AH$7)),0,MAX(0,ROUND((INDEX($E457:$G457,AH$5)-SUMIFS(TF_Timer,TF_Tekniker,AH$4,TF_Dato,$A457))*2,0)/2)))</f>
        <v/>
      </c>
      <c r="AI457">
        <f>IF(OR(AI$4="",$A457&gt;TODAY()),0,IF(OR(INDEX($B457:$D457,AI$5)="F",AND(AI$6&gt;0,$A457&lt;AI$6),AND(AI$7&gt;0,$A457&gt;AI$7)),0,MAX(0,ROUND((INDEX($E457:$G457,AI$5)-SUMIFS(TF_Timer,TF_Tekniker,AI$4,TF_Dato,$A457))*2,0)/2)))</f>
        <v/>
      </c>
      <c r="AJ457">
        <f>IF(OR(AJ$4="",$A457&gt;TODAY()),0,IF(OR(INDEX($B457:$D457,AJ$5)="F",AND(AJ$6&gt;0,$A457&lt;AJ$6),AND(AJ$7&gt;0,$A457&gt;AJ$7)),0,MAX(0,ROUND((INDEX($E457:$G457,AJ$5)-SUMIFS(TF_Timer,TF_Tekniker,AJ$4,TF_Dato,$A457))*2,0)/2)))</f>
        <v/>
      </c>
      <c r="AK457">
        <f>IF(OR(AK$4="",$A457&gt;TODAY()),0,IF(OR(INDEX($B457:$D457,AK$5)="F",AND(AK$6&gt;0,$A457&lt;AK$6),AND(AK$7&gt;0,$A457&gt;AK$7)),0,MAX(0,ROUND((INDEX($E457:$G457,AK$5)-SUMIFS(TF_Timer,TF_Tekniker,AK$4,TF_Dato,$A457))*2,0)/2)))</f>
        <v/>
      </c>
      <c r="AL457">
        <f>IF(OR(AL$4="",$A457&gt;TODAY()),0,IF(OR(INDEX($B457:$D457,AL$5)="F",AND(AL$6&gt;0,$A457&lt;AL$6),AND(AL$7&gt;0,$A457&gt;AL$7)),0,MAX(0,ROUND((INDEX($E457:$G457,AL$5)-SUMIFS(TF_Timer,TF_Tekniker,AL$4,TF_Dato,$A457))*2,0)/2)))</f>
        <v/>
      </c>
      <c r="AM457">
        <f>IF(OR(AM$4="",$A457&gt;TODAY()),0,IF(OR(INDEX($B457:$D457,AM$5)="F",AND(AM$6&gt;0,$A457&lt;AM$6),AND(AM$7&gt;0,$A457&gt;AM$7)),0,MAX(0,ROUND((INDEX($E457:$G457,AM$5)-SUMIFS(TF_Timer,TF_Tekniker,AM$4,TF_Dato,$A457))*2,0)/2)))</f>
        <v/>
      </c>
      <c r="AN457">
        <f>IF(OR(AN$4="",$A457&gt;TODAY()),0,IF(OR(INDEX($B457:$D457,AN$5)="F",AND(AN$6&gt;0,$A457&lt;AN$6),AND(AN$7&gt;0,$A457&gt;AN$7)),0,MAX(0,ROUND((INDEX($E457:$G457,AN$5)-SUMIFS(TF_Timer,TF_Tekniker,AN$4,TF_Dato,$A457))*2,0)/2)))</f>
        <v/>
      </c>
      <c r="AO457">
        <f>IF(OR(AO$4="",$A457&gt;TODAY()),0,IF(OR(INDEX($B457:$D457,AO$5)="F",AND(AO$6&gt;0,$A457&lt;AO$6),AND(AO$7&gt;0,$A457&gt;AO$7)),0,MAX(0,ROUND((INDEX($E457:$G457,AO$5)-SUMIFS(TF_Timer,TF_Tekniker,AO$4,TF_Dato,$A457))*2,0)/2)))</f>
        <v/>
      </c>
      <c r="AP457">
        <f>IF(OR(AP$4="",$A457&gt;TODAY()),0,IF(OR(INDEX($B457:$D457,AP$5)="F",AND(AP$6&gt;0,$A457&lt;AP$6),AND(AP$7&gt;0,$A457&gt;AP$7)),0,MAX(0,ROUND((INDEX($E457:$G457,AP$5)-SUMIFS(TF_Timer,TF_Tekniker,AP$4,TF_Dato,$A457))*2,0)/2)))</f>
        <v/>
      </c>
      <c r="AQ457">
        <f>IF(OR(AQ$4="",$A457&gt;TODAY()),0,IF(OR(INDEX($B457:$D457,AQ$5)="F",AND(AQ$6&gt;0,$A457&lt;AQ$6),AND(AQ$7&gt;0,$A457&gt;AQ$7)),0,MAX(0,ROUND((INDEX($E457:$G457,AQ$5)-SUMIFS(TF_Timer,TF_Tekniker,AQ$4,TF_Dato,$A457))*2,0)/2)))</f>
        <v/>
      </c>
      <c r="AR457">
        <f>IF(OR(AR$4="",$A457&gt;TODAY()),0,IF(OR(INDEX($B457:$D457,AR$5)="F",AND(AR$6&gt;0,$A457&lt;AR$6),AND(AR$7&gt;0,$A457&gt;AR$7)),0,MAX(0,ROUND((INDEX($E457:$G457,AR$5)-SUMIFS(TF_Timer,TF_Tekniker,AR$4,TF_Dato,$A457))*2,0)/2)))</f>
        <v/>
      </c>
      <c r="AS457">
        <f>IF(OR(AS$4="",$A457&gt;TODAY()),0,IF(OR(INDEX($B457:$D457,AS$5)="F",AND(AS$6&gt;0,$A457&lt;AS$6),AND(AS$7&gt;0,$A457&gt;AS$7)),0,MAX(0,ROUND((INDEX($E457:$G457,AS$5)-SUMIFS(TF_Timer,TF_Tekniker,AS$4,TF_Dato,$A457))*2,0)/2)))</f>
        <v/>
      </c>
      <c r="AT457">
        <f>IF(OR(AT$4="",$A457&gt;TODAY()),0,IF(OR(INDEX($B457:$D457,AT$5)="F",AND(AT$6&gt;0,$A457&lt;AT$6),AND(AT$7&gt;0,$A457&gt;AT$7)),0,MAX(0,ROUND((INDEX($E457:$G457,AT$5)-SUMIFS(TF_Timer,TF_Tekniker,AT$4,TF_Dato,$A457))*2,0)/2)))</f>
        <v/>
      </c>
      <c r="AU457">
        <f>IF(OR(AU$4="",$A457&gt;TODAY()),0,IF(OR(INDEX($B457:$D457,AU$5)="F",AND(AU$6&gt;0,$A457&lt;AU$6),AND(AU$7&gt;0,$A457&gt;AU$7)),0,MAX(0,ROUND((INDEX($E457:$G457,AU$5)-SUMIFS(TF_Timer,TF_Tekniker,AU$4,TF_Dato,$A457))*2,0)/2)))</f>
        <v/>
      </c>
      <c r="AV457">
        <f>IF(OR(AV$4="",$A457&gt;TODAY()),0,IF(OR(INDEX($B457:$D457,AV$5)="F",AND(AV$6&gt;0,$A457&lt;AV$6),AND(AV$7&gt;0,$A457&gt;AV$7)),0,MAX(0,ROUND((INDEX($E457:$G457,AV$5)-SUMIFS(TF_Timer,TF_Tekniker,AV$4,TF_Dato,$A457))*2,0)/2)))</f>
        <v/>
      </c>
      <c r="AW457">
        <f>IF(OR(AW$4="",$A457&gt;TODAY()),0,IF(OR(INDEX($B457:$D457,AW$5)="F",AND(AW$6&gt;0,$A457&lt;AW$6),AND(AW$7&gt;0,$A457&gt;AW$7)),0,MAX(0,ROUND((INDEX($E457:$G457,AW$5)-SUMIFS(TF_Timer,TF_Tekniker,AW$4,TF_Dato,$A457))*2,0)/2)))</f>
        <v/>
      </c>
      <c r="AX457">
        <f>IF(OR(AX$4="",$A457&gt;TODAY()),0,IF(OR(INDEX($B457:$D457,AX$5)="F",AND(AX$6&gt;0,$A457&lt;AX$6),AND(AX$7&gt;0,$A457&gt;AX$7)),0,MAX(0,ROUND((INDEX($E457:$G457,AX$5)-SUMIFS(TF_Timer,TF_Tekniker,AX$4,TF_Dato,$A457))*2,0)/2)))</f>
        <v/>
      </c>
      <c r="AY457">
        <f>IF(OR(AY$4="",$A457&gt;TODAY()),0,IF(OR(INDEX($B457:$D457,AY$5)="F",AND(AY$6&gt;0,$A457&lt;AY$6),AND(AY$7&gt;0,$A457&gt;AY$7)),0,MAX(0,ROUND((INDEX($E457:$G457,AY$5)-SUMIFS(TF_Timer,TF_Tekniker,AY$4,TF_Dato,$A457))*2,0)/2)))</f>
        <v/>
      </c>
      <c r="AZ457">
        <f>IF(OR(AZ$4="",$A457&gt;TODAY()),0,IF(OR(INDEX($B457:$D457,AZ$5)="F",AND(AZ$6&gt;0,$A457&lt;AZ$6),AND(AZ$7&gt;0,$A457&gt;AZ$7)),0,MAX(0,ROUND((INDEX($E457:$G457,AZ$5)-SUMIFS(TF_Timer,TF_Tekniker,AZ$4,TF_Dato,$A457))*2,0)/2)))</f>
        <v/>
      </c>
      <c r="BA457">
        <f>IF(OR(BA$4="",$A457&gt;TODAY()),0,IF(OR(INDEX($B457:$D457,BA$5)="F",AND(BA$6&gt;0,$A457&lt;BA$6),AND(BA$7&gt;0,$A457&gt;BA$7)),0,MAX(0,ROUND((INDEX($E457:$G457,BA$5)-SUMIFS(TF_Timer,TF_Tekniker,BA$4,TF_Dato,$A457))*2,0)/2)))</f>
        <v/>
      </c>
      <c r="BB457">
        <f>IF(OR(BB$4="",$A457&gt;TODAY()),0,IF(OR(INDEX($B457:$D457,BB$5)="F",AND(BB$6&gt;0,$A457&lt;BB$6),AND(BB$7&gt;0,$A457&gt;BB$7)),0,MAX(0,ROUND((INDEX($E457:$G457,BB$5)-SUMIFS(TF_Timer,TF_Tekniker,BB$4,TF_Dato,$A457))*2,0)/2)))</f>
        <v/>
      </c>
      <c r="BC457">
        <f>IF(OR(BC$4="",$A457&gt;TODAY()),0,IF(OR(INDEX($B457:$D457,BC$5)="F",AND(BC$6&gt;0,$A457&lt;BC$6),AND(BC$7&gt;0,$A457&gt;BC$7)),0,MAX(0,ROUND((INDEX($E457:$G457,BC$5)-SUMIFS(TF_Timer,TF_Tekniker,BC$4,TF_Dato,$A457))*2,0)/2)))</f>
        <v/>
      </c>
      <c r="BD457">
        <f>IF(OR(BD$4="",$A457&gt;TODAY()),0,IF(OR(INDEX($B457:$D457,BD$5)="F",AND(BD$6&gt;0,$A457&lt;BD$6),AND(BD$7&gt;0,$A457&gt;BD$7)),0,MAX(0,ROUND((INDEX($E457:$G457,BD$5)-SUMIFS(TF_Timer,TF_Tekniker,BD$4,TF_Dato,$A457))*2,0)/2)))</f>
        <v/>
      </c>
      <c r="BE457">
        <f>IF(OR(BE$4="",$A457&gt;TODAY()),0,IF(OR(INDEX($B457:$D457,BE$5)="F",AND(BE$6&gt;0,$A457&lt;BE$6),AND(BE$7&gt;0,$A457&gt;BE$7)),0,MAX(0,ROUND((INDEX($E457:$G457,BE$5)-SUMIFS(TF_Timer,TF_Tekniker,BE$4,TF_Dato,$A457))*2,0)/2)))</f>
        <v/>
      </c>
      <c r="BF457">
        <f>IF(OR(BF$4="",$A457&gt;TODAY()),0,IF(OR(INDEX($B457:$D457,BF$5)="F",AND(BF$6&gt;0,$A457&lt;BF$6),AND(BF$7&gt;0,$A457&gt;BF$7)),0,MAX(0,ROUND((INDEX($E457:$G457,BF$5)-SUMIFS(TF_Timer,TF_Tekniker,BF$4,TF_Dato,$A457))*2,0)/2)))</f>
        <v/>
      </c>
      <c r="BG457">
        <f>IF(OR(BG$4="",$A457&gt;TODAY()),0,IF(OR(INDEX($B457:$D457,BG$5)="F",AND(BG$6&gt;0,$A457&lt;BG$6),AND(BG$7&gt;0,$A457&gt;BG$7)),0,MAX(0,ROUND((INDEX($E457:$G457,BG$5)-SUMIFS(TF_Timer,TF_Tekniker,BG$4,TF_Dato,$A457))*2,0)/2)))</f>
        <v/>
      </c>
      <c r="BH457">
        <f>IF(OR(BH$4="",$A457&gt;TODAY()),0,IF(OR(INDEX($B457:$D457,BH$5)="F",AND(BH$6&gt;0,$A457&lt;BH$6),AND(BH$7&gt;0,$A457&gt;BH$7)),0,MAX(0,ROUND((INDEX($E457:$G457,BH$5)-SUMIFS(TF_Timer,TF_Tekniker,BH$4,TF_Dato,$A457))*2,0)/2)))</f>
        <v/>
      </c>
      <c r="BI457">
        <f>IF(OR(BI$4="",$A457&gt;TODAY()),0,IF(OR(INDEX($B457:$D457,BI$5)="F",AND(BI$6&gt;0,$A457&lt;BI$6),AND(BI$7&gt;0,$A457&gt;BI$7)),0,MAX(0,ROUND((INDEX($E457:$G457,BI$5)-SUMIFS(TF_Timer,TF_Tekniker,BI$4,TF_Dato,$A457))*2,0)/2)))</f>
        <v/>
      </c>
    </row>
    <row r="458">
      <c r="A458" s="64">
        <f>A457+1</f>
        <v/>
      </c>
      <c r="B458">
        <f>IF(MOD($A458-INDEX(SkiftStart,1),Syklus)&lt;DagK,"K",IF(MOD($A458-INDEX(SkiftStart,1),Syklus)&lt;DagK+DagH,"H",IF(MOD($A458-INDEX(SkiftStart,1),Syklus)&lt;DagK+DagH+DagD,"D","F")))</f>
        <v/>
      </c>
      <c r="C458">
        <f>IF(MOD($A458-INDEX(SkiftStart,2),Syklus)&lt;DagK,"K",IF(MOD($A458-INDEX(SkiftStart,2),Syklus)&lt;DagK+DagH,"H",IF(MOD($A458-INDEX(SkiftStart,2),Syklus)&lt;DagK+DagH+DagD,"D","F")))</f>
        <v/>
      </c>
      <c r="D458">
        <f>IF(MOD($A458-INDEX(SkiftStart,3),Syklus)&lt;DagK,"K",IF(MOD($A458-INDEX(SkiftStart,3),Syklus)&lt;DagK+DagH,"H",IF(MOD($A458-INDEX(SkiftStart,3),Syklus)&lt;DagK+DagH+DagD,"D","F")))</f>
        <v/>
      </c>
      <c r="E458">
        <f>IF(B458="F",0,IF(WEEKDAY($A458,2)=5,INDEX(TimerFr,MATCH(B458,FaseKode,0)),INDEX(TimerMT,MATCH(B458,FaseKode,0))))</f>
        <v/>
      </c>
      <c r="F458">
        <f>IF(C458="F",0,IF(WEEKDAY($A458,2)=5,INDEX(TimerFr,MATCH(C458,FaseKode,0)),INDEX(TimerMT,MATCH(C458,FaseKode,0))))</f>
        <v/>
      </c>
      <c r="G458">
        <f>IF(D458="F",0,IF(WEEKDAY($A458,2)=5,INDEX(TimerFr,MATCH(D458,FaseKode,0)),INDEX(TimerMT,MATCH(D458,FaseKode,0))))</f>
        <v/>
      </c>
      <c r="H458">
        <f>IF(OR(H$4="",$A458&gt;TODAY()),0,IF(OR(INDEX($B458:$D458,H$5)="F",AND(H$6&gt;0,$A458&lt;H$6),AND(H$7&gt;0,$A458&gt;H$7)),0,MAX(0,ROUND((INDEX($E458:$G458,H$5)-SUMIFS(TF_Timer,TF_Tekniker,H$4,TF_Dato,$A458))*2,0)/2)))</f>
        <v/>
      </c>
      <c r="I458">
        <f>IF(OR(I$4="",$A458&gt;TODAY()),0,IF(OR(INDEX($B458:$D458,I$5)="F",AND(I$6&gt;0,$A458&lt;I$6),AND(I$7&gt;0,$A458&gt;I$7)),0,MAX(0,ROUND((INDEX($E458:$G458,I$5)-SUMIFS(TF_Timer,TF_Tekniker,I$4,TF_Dato,$A458))*2,0)/2)))</f>
        <v/>
      </c>
      <c r="J458">
        <f>IF(OR(J$4="",$A458&gt;TODAY()),0,IF(OR(INDEX($B458:$D458,J$5)="F",AND(J$6&gt;0,$A458&lt;J$6),AND(J$7&gt;0,$A458&gt;J$7)),0,MAX(0,ROUND((INDEX($E458:$G458,J$5)-SUMIFS(TF_Timer,TF_Tekniker,J$4,TF_Dato,$A458))*2,0)/2)))</f>
        <v/>
      </c>
      <c r="K458">
        <f>IF(OR(K$4="",$A458&gt;TODAY()),0,IF(OR(INDEX($B458:$D458,K$5)="F",AND(K$6&gt;0,$A458&lt;K$6),AND(K$7&gt;0,$A458&gt;K$7)),0,MAX(0,ROUND((INDEX($E458:$G458,K$5)-SUMIFS(TF_Timer,TF_Tekniker,K$4,TF_Dato,$A458))*2,0)/2)))</f>
        <v/>
      </c>
      <c r="L458">
        <f>IF(OR(L$4="",$A458&gt;TODAY()),0,IF(OR(INDEX($B458:$D458,L$5)="F",AND(L$6&gt;0,$A458&lt;L$6),AND(L$7&gt;0,$A458&gt;L$7)),0,MAX(0,ROUND((INDEX($E458:$G458,L$5)-SUMIFS(TF_Timer,TF_Tekniker,L$4,TF_Dato,$A458))*2,0)/2)))</f>
        <v/>
      </c>
      <c r="M458">
        <f>IF(OR(M$4="",$A458&gt;TODAY()),0,IF(OR(INDEX($B458:$D458,M$5)="F",AND(M$6&gt;0,$A458&lt;M$6),AND(M$7&gt;0,$A458&gt;M$7)),0,MAX(0,ROUND((INDEX($E458:$G458,M$5)-SUMIFS(TF_Timer,TF_Tekniker,M$4,TF_Dato,$A458))*2,0)/2)))</f>
        <v/>
      </c>
      <c r="N458">
        <f>IF(OR(N$4="",$A458&gt;TODAY()),0,IF(OR(INDEX($B458:$D458,N$5)="F",AND(N$6&gt;0,$A458&lt;N$6),AND(N$7&gt;0,$A458&gt;N$7)),0,MAX(0,ROUND((INDEX($E458:$G458,N$5)-SUMIFS(TF_Timer,TF_Tekniker,N$4,TF_Dato,$A458))*2,0)/2)))</f>
        <v/>
      </c>
      <c r="O458">
        <f>IF(OR(O$4="",$A458&gt;TODAY()),0,IF(OR(INDEX($B458:$D458,O$5)="F",AND(O$6&gt;0,$A458&lt;O$6),AND(O$7&gt;0,$A458&gt;O$7)),0,MAX(0,ROUND((INDEX($E458:$G458,O$5)-SUMIFS(TF_Timer,TF_Tekniker,O$4,TF_Dato,$A458))*2,0)/2)))</f>
        <v/>
      </c>
      <c r="P458">
        <f>IF(OR(P$4="",$A458&gt;TODAY()),0,IF(OR(INDEX($B458:$D458,P$5)="F",AND(P$6&gt;0,$A458&lt;P$6),AND(P$7&gt;0,$A458&gt;P$7)),0,MAX(0,ROUND((INDEX($E458:$G458,P$5)-SUMIFS(TF_Timer,TF_Tekniker,P$4,TF_Dato,$A458))*2,0)/2)))</f>
        <v/>
      </c>
      <c r="Q458">
        <f>IF(OR(Q$4="",$A458&gt;TODAY()),0,IF(OR(INDEX($B458:$D458,Q$5)="F",AND(Q$6&gt;0,$A458&lt;Q$6),AND(Q$7&gt;0,$A458&gt;Q$7)),0,MAX(0,ROUND((INDEX($E458:$G458,Q$5)-SUMIFS(TF_Timer,TF_Tekniker,Q$4,TF_Dato,$A458))*2,0)/2)))</f>
        <v/>
      </c>
      <c r="R458">
        <f>IF(OR(R$4="",$A458&gt;TODAY()),0,IF(OR(INDEX($B458:$D458,R$5)="F",AND(R$6&gt;0,$A458&lt;R$6),AND(R$7&gt;0,$A458&gt;R$7)),0,MAX(0,ROUND((INDEX($E458:$G458,R$5)-SUMIFS(TF_Timer,TF_Tekniker,R$4,TF_Dato,$A458))*2,0)/2)))</f>
        <v/>
      </c>
      <c r="S458">
        <f>IF(OR(S$4="",$A458&gt;TODAY()),0,IF(OR(INDEX($B458:$D458,S$5)="F",AND(S$6&gt;0,$A458&lt;S$6),AND(S$7&gt;0,$A458&gt;S$7)),0,MAX(0,ROUND((INDEX($E458:$G458,S$5)-SUMIFS(TF_Timer,TF_Tekniker,S$4,TF_Dato,$A458))*2,0)/2)))</f>
        <v/>
      </c>
      <c r="T458">
        <f>IF(OR(T$4="",$A458&gt;TODAY()),0,IF(OR(INDEX($B458:$D458,T$5)="F",AND(T$6&gt;0,$A458&lt;T$6),AND(T$7&gt;0,$A458&gt;T$7)),0,MAX(0,ROUND((INDEX($E458:$G458,T$5)-SUMIFS(TF_Timer,TF_Tekniker,T$4,TF_Dato,$A458))*2,0)/2)))</f>
        <v/>
      </c>
      <c r="U458">
        <f>IF(OR(U$4="",$A458&gt;TODAY()),0,IF(OR(INDEX($B458:$D458,U$5)="F",AND(U$6&gt;0,$A458&lt;U$6),AND(U$7&gt;0,$A458&gt;U$7)),0,MAX(0,ROUND((INDEX($E458:$G458,U$5)-SUMIFS(TF_Timer,TF_Tekniker,U$4,TF_Dato,$A458))*2,0)/2)))</f>
        <v/>
      </c>
      <c r="V458">
        <f>IF(OR(V$4="",$A458&gt;TODAY()),0,IF(OR(INDEX($B458:$D458,V$5)="F",AND(V$6&gt;0,$A458&lt;V$6),AND(V$7&gt;0,$A458&gt;V$7)),0,MAX(0,ROUND((INDEX($E458:$G458,V$5)-SUMIFS(TF_Timer,TF_Tekniker,V$4,TF_Dato,$A458))*2,0)/2)))</f>
        <v/>
      </c>
      <c r="W458">
        <f>IF(OR(W$4="",$A458&gt;TODAY()),0,IF(OR(INDEX($B458:$D458,W$5)="F",AND(W$6&gt;0,$A458&lt;W$6),AND(W$7&gt;0,$A458&gt;W$7)),0,MAX(0,ROUND((INDEX($E458:$G458,W$5)-SUMIFS(TF_Timer,TF_Tekniker,W$4,TF_Dato,$A458))*2,0)/2)))</f>
        <v/>
      </c>
      <c r="X458">
        <f>IF(OR(X$4="",$A458&gt;TODAY()),0,IF(OR(INDEX($B458:$D458,X$5)="F",AND(X$6&gt;0,$A458&lt;X$6),AND(X$7&gt;0,$A458&gt;X$7)),0,MAX(0,ROUND((INDEX($E458:$G458,X$5)-SUMIFS(TF_Timer,TF_Tekniker,X$4,TF_Dato,$A458))*2,0)/2)))</f>
        <v/>
      </c>
      <c r="Y458">
        <f>IF(OR(Y$4="",$A458&gt;TODAY()),0,IF(OR(INDEX($B458:$D458,Y$5)="F",AND(Y$6&gt;0,$A458&lt;Y$6),AND(Y$7&gt;0,$A458&gt;Y$7)),0,MAX(0,ROUND((INDEX($E458:$G458,Y$5)-SUMIFS(TF_Timer,TF_Tekniker,Y$4,TF_Dato,$A458))*2,0)/2)))</f>
        <v/>
      </c>
      <c r="Z458">
        <f>IF(OR(Z$4="",$A458&gt;TODAY()),0,IF(OR(INDEX($B458:$D458,Z$5)="F",AND(Z$6&gt;0,$A458&lt;Z$6),AND(Z$7&gt;0,$A458&gt;Z$7)),0,MAX(0,ROUND((INDEX($E458:$G458,Z$5)-SUMIFS(TF_Timer,TF_Tekniker,Z$4,TF_Dato,$A458))*2,0)/2)))</f>
        <v/>
      </c>
      <c r="AA458">
        <f>IF(OR(AA$4="",$A458&gt;TODAY()),0,IF(OR(INDEX($B458:$D458,AA$5)="F",AND(AA$6&gt;0,$A458&lt;AA$6),AND(AA$7&gt;0,$A458&gt;AA$7)),0,MAX(0,ROUND((INDEX($E458:$G458,AA$5)-SUMIFS(TF_Timer,TF_Tekniker,AA$4,TF_Dato,$A458))*2,0)/2)))</f>
        <v/>
      </c>
      <c r="AB458">
        <f>IF(OR(AB$4="",$A458&gt;TODAY()),0,IF(OR(INDEX($B458:$D458,AB$5)="F",AND(AB$6&gt;0,$A458&lt;AB$6),AND(AB$7&gt;0,$A458&gt;AB$7)),0,MAX(0,ROUND((INDEX($E458:$G458,AB$5)-SUMIFS(TF_Timer,TF_Tekniker,AB$4,TF_Dato,$A458))*2,0)/2)))</f>
        <v/>
      </c>
      <c r="AC458">
        <f>IF(OR(AC$4="",$A458&gt;TODAY()),0,IF(OR(INDEX($B458:$D458,AC$5)="F",AND(AC$6&gt;0,$A458&lt;AC$6),AND(AC$7&gt;0,$A458&gt;AC$7)),0,MAX(0,ROUND((INDEX($E458:$G458,AC$5)-SUMIFS(TF_Timer,TF_Tekniker,AC$4,TF_Dato,$A458))*2,0)/2)))</f>
        <v/>
      </c>
      <c r="AD458">
        <f>IF(OR(AD$4="",$A458&gt;TODAY()),0,IF(OR(INDEX($B458:$D458,AD$5)="F",AND(AD$6&gt;0,$A458&lt;AD$6),AND(AD$7&gt;0,$A458&gt;AD$7)),0,MAX(0,ROUND((INDEX($E458:$G458,AD$5)-SUMIFS(TF_Timer,TF_Tekniker,AD$4,TF_Dato,$A458))*2,0)/2)))</f>
        <v/>
      </c>
      <c r="AE458">
        <f>IF(OR(AE$4="",$A458&gt;TODAY()),0,IF(OR(INDEX($B458:$D458,AE$5)="F",AND(AE$6&gt;0,$A458&lt;AE$6),AND(AE$7&gt;0,$A458&gt;AE$7)),0,MAX(0,ROUND((INDEX($E458:$G458,AE$5)-SUMIFS(TF_Timer,TF_Tekniker,AE$4,TF_Dato,$A458))*2,0)/2)))</f>
        <v/>
      </c>
      <c r="AF458">
        <f>IF(OR(AF$4="",$A458&gt;TODAY()),0,IF(OR(INDEX($B458:$D458,AF$5)="F",AND(AF$6&gt;0,$A458&lt;AF$6),AND(AF$7&gt;0,$A458&gt;AF$7)),0,MAX(0,ROUND((INDEX($E458:$G458,AF$5)-SUMIFS(TF_Timer,TF_Tekniker,AF$4,TF_Dato,$A458))*2,0)/2)))</f>
        <v/>
      </c>
      <c r="AG458">
        <f>IF(OR(AG$4="",$A458&gt;TODAY()),0,IF(OR(INDEX($B458:$D458,AG$5)="F",AND(AG$6&gt;0,$A458&lt;AG$6),AND(AG$7&gt;0,$A458&gt;AG$7)),0,MAX(0,ROUND((INDEX($E458:$G458,AG$5)-SUMIFS(TF_Timer,TF_Tekniker,AG$4,TF_Dato,$A458))*2,0)/2)))</f>
        <v/>
      </c>
      <c r="AH458">
        <f>IF(OR(AH$4="",$A458&gt;TODAY()),0,IF(OR(INDEX($B458:$D458,AH$5)="F",AND(AH$6&gt;0,$A458&lt;AH$6),AND(AH$7&gt;0,$A458&gt;AH$7)),0,MAX(0,ROUND((INDEX($E458:$G458,AH$5)-SUMIFS(TF_Timer,TF_Tekniker,AH$4,TF_Dato,$A458))*2,0)/2)))</f>
        <v/>
      </c>
      <c r="AI458">
        <f>IF(OR(AI$4="",$A458&gt;TODAY()),0,IF(OR(INDEX($B458:$D458,AI$5)="F",AND(AI$6&gt;0,$A458&lt;AI$6),AND(AI$7&gt;0,$A458&gt;AI$7)),0,MAX(0,ROUND((INDEX($E458:$G458,AI$5)-SUMIFS(TF_Timer,TF_Tekniker,AI$4,TF_Dato,$A458))*2,0)/2)))</f>
        <v/>
      </c>
      <c r="AJ458">
        <f>IF(OR(AJ$4="",$A458&gt;TODAY()),0,IF(OR(INDEX($B458:$D458,AJ$5)="F",AND(AJ$6&gt;0,$A458&lt;AJ$6),AND(AJ$7&gt;0,$A458&gt;AJ$7)),0,MAX(0,ROUND((INDEX($E458:$G458,AJ$5)-SUMIFS(TF_Timer,TF_Tekniker,AJ$4,TF_Dato,$A458))*2,0)/2)))</f>
        <v/>
      </c>
      <c r="AK458">
        <f>IF(OR(AK$4="",$A458&gt;TODAY()),0,IF(OR(INDEX($B458:$D458,AK$5)="F",AND(AK$6&gt;0,$A458&lt;AK$6),AND(AK$7&gt;0,$A458&gt;AK$7)),0,MAX(0,ROUND((INDEX($E458:$G458,AK$5)-SUMIFS(TF_Timer,TF_Tekniker,AK$4,TF_Dato,$A458))*2,0)/2)))</f>
        <v/>
      </c>
      <c r="AL458">
        <f>IF(OR(AL$4="",$A458&gt;TODAY()),0,IF(OR(INDEX($B458:$D458,AL$5)="F",AND(AL$6&gt;0,$A458&lt;AL$6),AND(AL$7&gt;0,$A458&gt;AL$7)),0,MAX(0,ROUND((INDEX($E458:$G458,AL$5)-SUMIFS(TF_Timer,TF_Tekniker,AL$4,TF_Dato,$A458))*2,0)/2)))</f>
        <v/>
      </c>
      <c r="AM458">
        <f>IF(OR(AM$4="",$A458&gt;TODAY()),0,IF(OR(INDEX($B458:$D458,AM$5)="F",AND(AM$6&gt;0,$A458&lt;AM$6),AND(AM$7&gt;0,$A458&gt;AM$7)),0,MAX(0,ROUND((INDEX($E458:$G458,AM$5)-SUMIFS(TF_Timer,TF_Tekniker,AM$4,TF_Dato,$A458))*2,0)/2)))</f>
        <v/>
      </c>
      <c r="AN458">
        <f>IF(OR(AN$4="",$A458&gt;TODAY()),0,IF(OR(INDEX($B458:$D458,AN$5)="F",AND(AN$6&gt;0,$A458&lt;AN$6),AND(AN$7&gt;0,$A458&gt;AN$7)),0,MAX(0,ROUND((INDEX($E458:$G458,AN$5)-SUMIFS(TF_Timer,TF_Tekniker,AN$4,TF_Dato,$A458))*2,0)/2)))</f>
        <v/>
      </c>
      <c r="AO458">
        <f>IF(OR(AO$4="",$A458&gt;TODAY()),0,IF(OR(INDEX($B458:$D458,AO$5)="F",AND(AO$6&gt;0,$A458&lt;AO$6),AND(AO$7&gt;0,$A458&gt;AO$7)),0,MAX(0,ROUND((INDEX($E458:$G458,AO$5)-SUMIFS(TF_Timer,TF_Tekniker,AO$4,TF_Dato,$A458))*2,0)/2)))</f>
        <v/>
      </c>
      <c r="AP458">
        <f>IF(OR(AP$4="",$A458&gt;TODAY()),0,IF(OR(INDEX($B458:$D458,AP$5)="F",AND(AP$6&gt;0,$A458&lt;AP$6),AND(AP$7&gt;0,$A458&gt;AP$7)),0,MAX(0,ROUND((INDEX($E458:$G458,AP$5)-SUMIFS(TF_Timer,TF_Tekniker,AP$4,TF_Dato,$A458))*2,0)/2)))</f>
        <v/>
      </c>
      <c r="AQ458">
        <f>IF(OR(AQ$4="",$A458&gt;TODAY()),0,IF(OR(INDEX($B458:$D458,AQ$5)="F",AND(AQ$6&gt;0,$A458&lt;AQ$6),AND(AQ$7&gt;0,$A458&gt;AQ$7)),0,MAX(0,ROUND((INDEX($E458:$G458,AQ$5)-SUMIFS(TF_Timer,TF_Tekniker,AQ$4,TF_Dato,$A458))*2,0)/2)))</f>
        <v/>
      </c>
      <c r="AR458">
        <f>IF(OR(AR$4="",$A458&gt;TODAY()),0,IF(OR(INDEX($B458:$D458,AR$5)="F",AND(AR$6&gt;0,$A458&lt;AR$6),AND(AR$7&gt;0,$A458&gt;AR$7)),0,MAX(0,ROUND((INDEX($E458:$G458,AR$5)-SUMIFS(TF_Timer,TF_Tekniker,AR$4,TF_Dato,$A458))*2,0)/2)))</f>
        <v/>
      </c>
      <c r="AS458">
        <f>IF(OR(AS$4="",$A458&gt;TODAY()),0,IF(OR(INDEX($B458:$D458,AS$5)="F",AND(AS$6&gt;0,$A458&lt;AS$6),AND(AS$7&gt;0,$A458&gt;AS$7)),0,MAX(0,ROUND((INDEX($E458:$G458,AS$5)-SUMIFS(TF_Timer,TF_Tekniker,AS$4,TF_Dato,$A458))*2,0)/2)))</f>
        <v/>
      </c>
      <c r="AT458">
        <f>IF(OR(AT$4="",$A458&gt;TODAY()),0,IF(OR(INDEX($B458:$D458,AT$5)="F",AND(AT$6&gt;0,$A458&lt;AT$6),AND(AT$7&gt;0,$A458&gt;AT$7)),0,MAX(0,ROUND((INDEX($E458:$G458,AT$5)-SUMIFS(TF_Timer,TF_Tekniker,AT$4,TF_Dato,$A458))*2,0)/2)))</f>
        <v/>
      </c>
      <c r="AU458">
        <f>IF(OR(AU$4="",$A458&gt;TODAY()),0,IF(OR(INDEX($B458:$D458,AU$5)="F",AND(AU$6&gt;0,$A458&lt;AU$6),AND(AU$7&gt;0,$A458&gt;AU$7)),0,MAX(0,ROUND((INDEX($E458:$G458,AU$5)-SUMIFS(TF_Timer,TF_Tekniker,AU$4,TF_Dato,$A458))*2,0)/2)))</f>
        <v/>
      </c>
      <c r="AV458">
        <f>IF(OR(AV$4="",$A458&gt;TODAY()),0,IF(OR(INDEX($B458:$D458,AV$5)="F",AND(AV$6&gt;0,$A458&lt;AV$6),AND(AV$7&gt;0,$A458&gt;AV$7)),0,MAX(0,ROUND((INDEX($E458:$G458,AV$5)-SUMIFS(TF_Timer,TF_Tekniker,AV$4,TF_Dato,$A458))*2,0)/2)))</f>
        <v/>
      </c>
      <c r="AW458">
        <f>IF(OR(AW$4="",$A458&gt;TODAY()),0,IF(OR(INDEX($B458:$D458,AW$5)="F",AND(AW$6&gt;0,$A458&lt;AW$6),AND(AW$7&gt;0,$A458&gt;AW$7)),0,MAX(0,ROUND((INDEX($E458:$G458,AW$5)-SUMIFS(TF_Timer,TF_Tekniker,AW$4,TF_Dato,$A458))*2,0)/2)))</f>
        <v/>
      </c>
      <c r="AX458">
        <f>IF(OR(AX$4="",$A458&gt;TODAY()),0,IF(OR(INDEX($B458:$D458,AX$5)="F",AND(AX$6&gt;0,$A458&lt;AX$6),AND(AX$7&gt;0,$A458&gt;AX$7)),0,MAX(0,ROUND((INDEX($E458:$G458,AX$5)-SUMIFS(TF_Timer,TF_Tekniker,AX$4,TF_Dato,$A458))*2,0)/2)))</f>
        <v/>
      </c>
      <c r="AY458">
        <f>IF(OR(AY$4="",$A458&gt;TODAY()),0,IF(OR(INDEX($B458:$D458,AY$5)="F",AND(AY$6&gt;0,$A458&lt;AY$6),AND(AY$7&gt;0,$A458&gt;AY$7)),0,MAX(0,ROUND((INDEX($E458:$G458,AY$5)-SUMIFS(TF_Timer,TF_Tekniker,AY$4,TF_Dato,$A458))*2,0)/2)))</f>
        <v/>
      </c>
      <c r="AZ458">
        <f>IF(OR(AZ$4="",$A458&gt;TODAY()),0,IF(OR(INDEX($B458:$D458,AZ$5)="F",AND(AZ$6&gt;0,$A458&lt;AZ$6),AND(AZ$7&gt;0,$A458&gt;AZ$7)),0,MAX(0,ROUND((INDEX($E458:$G458,AZ$5)-SUMIFS(TF_Timer,TF_Tekniker,AZ$4,TF_Dato,$A458))*2,0)/2)))</f>
        <v/>
      </c>
      <c r="BA458">
        <f>IF(OR(BA$4="",$A458&gt;TODAY()),0,IF(OR(INDEX($B458:$D458,BA$5)="F",AND(BA$6&gt;0,$A458&lt;BA$6),AND(BA$7&gt;0,$A458&gt;BA$7)),0,MAX(0,ROUND((INDEX($E458:$G458,BA$5)-SUMIFS(TF_Timer,TF_Tekniker,BA$4,TF_Dato,$A458))*2,0)/2)))</f>
        <v/>
      </c>
      <c r="BB458">
        <f>IF(OR(BB$4="",$A458&gt;TODAY()),0,IF(OR(INDEX($B458:$D458,BB$5)="F",AND(BB$6&gt;0,$A458&lt;BB$6),AND(BB$7&gt;0,$A458&gt;BB$7)),0,MAX(0,ROUND((INDEX($E458:$G458,BB$5)-SUMIFS(TF_Timer,TF_Tekniker,BB$4,TF_Dato,$A458))*2,0)/2)))</f>
        <v/>
      </c>
      <c r="BC458">
        <f>IF(OR(BC$4="",$A458&gt;TODAY()),0,IF(OR(INDEX($B458:$D458,BC$5)="F",AND(BC$6&gt;0,$A458&lt;BC$6),AND(BC$7&gt;0,$A458&gt;BC$7)),0,MAX(0,ROUND((INDEX($E458:$G458,BC$5)-SUMIFS(TF_Timer,TF_Tekniker,BC$4,TF_Dato,$A458))*2,0)/2)))</f>
        <v/>
      </c>
      <c r="BD458">
        <f>IF(OR(BD$4="",$A458&gt;TODAY()),0,IF(OR(INDEX($B458:$D458,BD$5)="F",AND(BD$6&gt;0,$A458&lt;BD$6),AND(BD$7&gt;0,$A458&gt;BD$7)),0,MAX(0,ROUND((INDEX($E458:$G458,BD$5)-SUMIFS(TF_Timer,TF_Tekniker,BD$4,TF_Dato,$A458))*2,0)/2)))</f>
        <v/>
      </c>
      <c r="BE458">
        <f>IF(OR(BE$4="",$A458&gt;TODAY()),0,IF(OR(INDEX($B458:$D458,BE$5)="F",AND(BE$6&gt;0,$A458&lt;BE$6),AND(BE$7&gt;0,$A458&gt;BE$7)),0,MAX(0,ROUND((INDEX($E458:$G458,BE$5)-SUMIFS(TF_Timer,TF_Tekniker,BE$4,TF_Dato,$A458))*2,0)/2)))</f>
        <v/>
      </c>
      <c r="BF458">
        <f>IF(OR(BF$4="",$A458&gt;TODAY()),0,IF(OR(INDEX($B458:$D458,BF$5)="F",AND(BF$6&gt;0,$A458&lt;BF$6),AND(BF$7&gt;0,$A458&gt;BF$7)),0,MAX(0,ROUND((INDEX($E458:$G458,BF$5)-SUMIFS(TF_Timer,TF_Tekniker,BF$4,TF_Dato,$A458))*2,0)/2)))</f>
        <v/>
      </c>
      <c r="BG458">
        <f>IF(OR(BG$4="",$A458&gt;TODAY()),0,IF(OR(INDEX($B458:$D458,BG$5)="F",AND(BG$6&gt;0,$A458&lt;BG$6),AND(BG$7&gt;0,$A458&gt;BG$7)),0,MAX(0,ROUND((INDEX($E458:$G458,BG$5)-SUMIFS(TF_Timer,TF_Tekniker,BG$4,TF_Dato,$A458))*2,0)/2)))</f>
        <v/>
      </c>
      <c r="BH458">
        <f>IF(OR(BH$4="",$A458&gt;TODAY()),0,IF(OR(INDEX($B458:$D458,BH$5)="F",AND(BH$6&gt;0,$A458&lt;BH$6),AND(BH$7&gt;0,$A458&gt;BH$7)),0,MAX(0,ROUND((INDEX($E458:$G458,BH$5)-SUMIFS(TF_Timer,TF_Tekniker,BH$4,TF_Dato,$A458))*2,0)/2)))</f>
        <v/>
      </c>
      <c r="BI458">
        <f>IF(OR(BI$4="",$A458&gt;TODAY()),0,IF(OR(INDEX($B458:$D458,BI$5)="F",AND(BI$6&gt;0,$A458&lt;BI$6),AND(BI$7&gt;0,$A458&gt;BI$7)),0,MAX(0,ROUND((INDEX($E458:$G458,BI$5)-SUMIFS(TF_Timer,TF_Tekniker,BI$4,TF_Dato,$A458))*2,0)/2)))</f>
        <v/>
      </c>
    </row>
    <row r="459">
      <c r="A459" s="64">
        <f>A458+1</f>
        <v/>
      </c>
      <c r="B459">
        <f>IF(MOD($A459-INDEX(SkiftStart,1),Syklus)&lt;DagK,"K",IF(MOD($A459-INDEX(SkiftStart,1),Syklus)&lt;DagK+DagH,"H",IF(MOD($A459-INDEX(SkiftStart,1),Syklus)&lt;DagK+DagH+DagD,"D","F")))</f>
        <v/>
      </c>
      <c r="C459">
        <f>IF(MOD($A459-INDEX(SkiftStart,2),Syklus)&lt;DagK,"K",IF(MOD($A459-INDEX(SkiftStart,2),Syklus)&lt;DagK+DagH,"H",IF(MOD($A459-INDEX(SkiftStart,2),Syklus)&lt;DagK+DagH+DagD,"D","F")))</f>
        <v/>
      </c>
      <c r="D459">
        <f>IF(MOD($A459-INDEX(SkiftStart,3),Syklus)&lt;DagK,"K",IF(MOD($A459-INDEX(SkiftStart,3),Syklus)&lt;DagK+DagH,"H",IF(MOD($A459-INDEX(SkiftStart,3),Syklus)&lt;DagK+DagH+DagD,"D","F")))</f>
        <v/>
      </c>
      <c r="E459">
        <f>IF(B459="F",0,IF(WEEKDAY($A459,2)=5,INDEX(TimerFr,MATCH(B459,FaseKode,0)),INDEX(TimerMT,MATCH(B459,FaseKode,0))))</f>
        <v/>
      </c>
      <c r="F459">
        <f>IF(C459="F",0,IF(WEEKDAY($A459,2)=5,INDEX(TimerFr,MATCH(C459,FaseKode,0)),INDEX(TimerMT,MATCH(C459,FaseKode,0))))</f>
        <v/>
      </c>
      <c r="G459">
        <f>IF(D459="F",0,IF(WEEKDAY($A459,2)=5,INDEX(TimerFr,MATCH(D459,FaseKode,0)),INDEX(TimerMT,MATCH(D459,FaseKode,0))))</f>
        <v/>
      </c>
      <c r="H459">
        <f>IF(OR(H$4="",$A459&gt;TODAY()),0,IF(OR(INDEX($B459:$D459,H$5)="F",AND(H$6&gt;0,$A459&lt;H$6),AND(H$7&gt;0,$A459&gt;H$7)),0,MAX(0,ROUND((INDEX($E459:$G459,H$5)-SUMIFS(TF_Timer,TF_Tekniker,H$4,TF_Dato,$A459))*2,0)/2)))</f>
        <v/>
      </c>
      <c r="I459">
        <f>IF(OR(I$4="",$A459&gt;TODAY()),0,IF(OR(INDEX($B459:$D459,I$5)="F",AND(I$6&gt;0,$A459&lt;I$6),AND(I$7&gt;0,$A459&gt;I$7)),0,MAX(0,ROUND((INDEX($E459:$G459,I$5)-SUMIFS(TF_Timer,TF_Tekniker,I$4,TF_Dato,$A459))*2,0)/2)))</f>
        <v/>
      </c>
      <c r="J459">
        <f>IF(OR(J$4="",$A459&gt;TODAY()),0,IF(OR(INDEX($B459:$D459,J$5)="F",AND(J$6&gt;0,$A459&lt;J$6),AND(J$7&gt;0,$A459&gt;J$7)),0,MAX(0,ROUND((INDEX($E459:$G459,J$5)-SUMIFS(TF_Timer,TF_Tekniker,J$4,TF_Dato,$A459))*2,0)/2)))</f>
        <v/>
      </c>
      <c r="K459">
        <f>IF(OR(K$4="",$A459&gt;TODAY()),0,IF(OR(INDEX($B459:$D459,K$5)="F",AND(K$6&gt;0,$A459&lt;K$6),AND(K$7&gt;0,$A459&gt;K$7)),0,MAX(0,ROUND((INDEX($E459:$G459,K$5)-SUMIFS(TF_Timer,TF_Tekniker,K$4,TF_Dato,$A459))*2,0)/2)))</f>
        <v/>
      </c>
      <c r="L459">
        <f>IF(OR(L$4="",$A459&gt;TODAY()),0,IF(OR(INDEX($B459:$D459,L$5)="F",AND(L$6&gt;0,$A459&lt;L$6),AND(L$7&gt;0,$A459&gt;L$7)),0,MAX(0,ROUND((INDEX($E459:$G459,L$5)-SUMIFS(TF_Timer,TF_Tekniker,L$4,TF_Dato,$A459))*2,0)/2)))</f>
        <v/>
      </c>
      <c r="M459">
        <f>IF(OR(M$4="",$A459&gt;TODAY()),0,IF(OR(INDEX($B459:$D459,M$5)="F",AND(M$6&gt;0,$A459&lt;M$6),AND(M$7&gt;0,$A459&gt;M$7)),0,MAX(0,ROUND((INDEX($E459:$G459,M$5)-SUMIFS(TF_Timer,TF_Tekniker,M$4,TF_Dato,$A459))*2,0)/2)))</f>
        <v/>
      </c>
      <c r="N459">
        <f>IF(OR(N$4="",$A459&gt;TODAY()),0,IF(OR(INDEX($B459:$D459,N$5)="F",AND(N$6&gt;0,$A459&lt;N$6),AND(N$7&gt;0,$A459&gt;N$7)),0,MAX(0,ROUND((INDEX($E459:$G459,N$5)-SUMIFS(TF_Timer,TF_Tekniker,N$4,TF_Dato,$A459))*2,0)/2)))</f>
        <v/>
      </c>
      <c r="O459">
        <f>IF(OR(O$4="",$A459&gt;TODAY()),0,IF(OR(INDEX($B459:$D459,O$5)="F",AND(O$6&gt;0,$A459&lt;O$6),AND(O$7&gt;0,$A459&gt;O$7)),0,MAX(0,ROUND((INDEX($E459:$G459,O$5)-SUMIFS(TF_Timer,TF_Tekniker,O$4,TF_Dato,$A459))*2,0)/2)))</f>
        <v/>
      </c>
      <c r="P459">
        <f>IF(OR(P$4="",$A459&gt;TODAY()),0,IF(OR(INDEX($B459:$D459,P$5)="F",AND(P$6&gt;0,$A459&lt;P$6),AND(P$7&gt;0,$A459&gt;P$7)),0,MAX(0,ROUND((INDEX($E459:$G459,P$5)-SUMIFS(TF_Timer,TF_Tekniker,P$4,TF_Dato,$A459))*2,0)/2)))</f>
        <v/>
      </c>
      <c r="Q459">
        <f>IF(OR(Q$4="",$A459&gt;TODAY()),0,IF(OR(INDEX($B459:$D459,Q$5)="F",AND(Q$6&gt;0,$A459&lt;Q$6),AND(Q$7&gt;0,$A459&gt;Q$7)),0,MAX(0,ROUND((INDEX($E459:$G459,Q$5)-SUMIFS(TF_Timer,TF_Tekniker,Q$4,TF_Dato,$A459))*2,0)/2)))</f>
        <v/>
      </c>
      <c r="R459">
        <f>IF(OR(R$4="",$A459&gt;TODAY()),0,IF(OR(INDEX($B459:$D459,R$5)="F",AND(R$6&gt;0,$A459&lt;R$6),AND(R$7&gt;0,$A459&gt;R$7)),0,MAX(0,ROUND((INDEX($E459:$G459,R$5)-SUMIFS(TF_Timer,TF_Tekniker,R$4,TF_Dato,$A459))*2,0)/2)))</f>
        <v/>
      </c>
      <c r="S459">
        <f>IF(OR(S$4="",$A459&gt;TODAY()),0,IF(OR(INDEX($B459:$D459,S$5)="F",AND(S$6&gt;0,$A459&lt;S$6),AND(S$7&gt;0,$A459&gt;S$7)),0,MAX(0,ROUND((INDEX($E459:$G459,S$5)-SUMIFS(TF_Timer,TF_Tekniker,S$4,TF_Dato,$A459))*2,0)/2)))</f>
        <v/>
      </c>
      <c r="T459">
        <f>IF(OR(T$4="",$A459&gt;TODAY()),0,IF(OR(INDEX($B459:$D459,T$5)="F",AND(T$6&gt;0,$A459&lt;T$6),AND(T$7&gt;0,$A459&gt;T$7)),0,MAX(0,ROUND((INDEX($E459:$G459,T$5)-SUMIFS(TF_Timer,TF_Tekniker,T$4,TF_Dato,$A459))*2,0)/2)))</f>
        <v/>
      </c>
      <c r="U459">
        <f>IF(OR(U$4="",$A459&gt;TODAY()),0,IF(OR(INDEX($B459:$D459,U$5)="F",AND(U$6&gt;0,$A459&lt;U$6),AND(U$7&gt;0,$A459&gt;U$7)),0,MAX(0,ROUND((INDEX($E459:$G459,U$5)-SUMIFS(TF_Timer,TF_Tekniker,U$4,TF_Dato,$A459))*2,0)/2)))</f>
        <v/>
      </c>
      <c r="V459">
        <f>IF(OR(V$4="",$A459&gt;TODAY()),0,IF(OR(INDEX($B459:$D459,V$5)="F",AND(V$6&gt;0,$A459&lt;V$6),AND(V$7&gt;0,$A459&gt;V$7)),0,MAX(0,ROUND((INDEX($E459:$G459,V$5)-SUMIFS(TF_Timer,TF_Tekniker,V$4,TF_Dato,$A459))*2,0)/2)))</f>
        <v/>
      </c>
      <c r="W459">
        <f>IF(OR(W$4="",$A459&gt;TODAY()),0,IF(OR(INDEX($B459:$D459,W$5)="F",AND(W$6&gt;0,$A459&lt;W$6),AND(W$7&gt;0,$A459&gt;W$7)),0,MAX(0,ROUND((INDEX($E459:$G459,W$5)-SUMIFS(TF_Timer,TF_Tekniker,W$4,TF_Dato,$A459))*2,0)/2)))</f>
        <v/>
      </c>
      <c r="X459">
        <f>IF(OR(X$4="",$A459&gt;TODAY()),0,IF(OR(INDEX($B459:$D459,X$5)="F",AND(X$6&gt;0,$A459&lt;X$6),AND(X$7&gt;0,$A459&gt;X$7)),0,MAX(0,ROUND((INDEX($E459:$G459,X$5)-SUMIFS(TF_Timer,TF_Tekniker,X$4,TF_Dato,$A459))*2,0)/2)))</f>
        <v/>
      </c>
      <c r="Y459">
        <f>IF(OR(Y$4="",$A459&gt;TODAY()),0,IF(OR(INDEX($B459:$D459,Y$5)="F",AND(Y$6&gt;0,$A459&lt;Y$6),AND(Y$7&gt;0,$A459&gt;Y$7)),0,MAX(0,ROUND((INDEX($E459:$G459,Y$5)-SUMIFS(TF_Timer,TF_Tekniker,Y$4,TF_Dato,$A459))*2,0)/2)))</f>
        <v/>
      </c>
      <c r="Z459">
        <f>IF(OR(Z$4="",$A459&gt;TODAY()),0,IF(OR(INDEX($B459:$D459,Z$5)="F",AND(Z$6&gt;0,$A459&lt;Z$6),AND(Z$7&gt;0,$A459&gt;Z$7)),0,MAX(0,ROUND((INDEX($E459:$G459,Z$5)-SUMIFS(TF_Timer,TF_Tekniker,Z$4,TF_Dato,$A459))*2,0)/2)))</f>
        <v/>
      </c>
      <c r="AA459">
        <f>IF(OR(AA$4="",$A459&gt;TODAY()),0,IF(OR(INDEX($B459:$D459,AA$5)="F",AND(AA$6&gt;0,$A459&lt;AA$6),AND(AA$7&gt;0,$A459&gt;AA$7)),0,MAX(0,ROUND((INDEX($E459:$G459,AA$5)-SUMIFS(TF_Timer,TF_Tekniker,AA$4,TF_Dato,$A459))*2,0)/2)))</f>
        <v/>
      </c>
      <c r="AB459">
        <f>IF(OR(AB$4="",$A459&gt;TODAY()),0,IF(OR(INDEX($B459:$D459,AB$5)="F",AND(AB$6&gt;0,$A459&lt;AB$6),AND(AB$7&gt;0,$A459&gt;AB$7)),0,MAX(0,ROUND((INDEX($E459:$G459,AB$5)-SUMIFS(TF_Timer,TF_Tekniker,AB$4,TF_Dato,$A459))*2,0)/2)))</f>
        <v/>
      </c>
      <c r="AC459">
        <f>IF(OR(AC$4="",$A459&gt;TODAY()),0,IF(OR(INDEX($B459:$D459,AC$5)="F",AND(AC$6&gt;0,$A459&lt;AC$6),AND(AC$7&gt;0,$A459&gt;AC$7)),0,MAX(0,ROUND((INDEX($E459:$G459,AC$5)-SUMIFS(TF_Timer,TF_Tekniker,AC$4,TF_Dato,$A459))*2,0)/2)))</f>
        <v/>
      </c>
      <c r="AD459">
        <f>IF(OR(AD$4="",$A459&gt;TODAY()),0,IF(OR(INDEX($B459:$D459,AD$5)="F",AND(AD$6&gt;0,$A459&lt;AD$6),AND(AD$7&gt;0,$A459&gt;AD$7)),0,MAX(0,ROUND((INDEX($E459:$G459,AD$5)-SUMIFS(TF_Timer,TF_Tekniker,AD$4,TF_Dato,$A459))*2,0)/2)))</f>
        <v/>
      </c>
      <c r="AE459">
        <f>IF(OR(AE$4="",$A459&gt;TODAY()),0,IF(OR(INDEX($B459:$D459,AE$5)="F",AND(AE$6&gt;0,$A459&lt;AE$6),AND(AE$7&gt;0,$A459&gt;AE$7)),0,MAX(0,ROUND((INDEX($E459:$G459,AE$5)-SUMIFS(TF_Timer,TF_Tekniker,AE$4,TF_Dato,$A459))*2,0)/2)))</f>
        <v/>
      </c>
      <c r="AF459">
        <f>IF(OR(AF$4="",$A459&gt;TODAY()),0,IF(OR(INDEX($B459:$D459,AF$5)="F",AND(AF$6&gt;0,$A459&lt;AF$6),AND(AF$7&gt;0,$A459&gt;AF$7)),0,MAX(0,ROUND((INDEX($E459:$G459,AF$5)-SUMIFS(TF_Timer,TF_Tekniker,AF$4,TF_Dato,$A459))*2,0)/2)))</f>
        <v/>
      </c>
      <c r="AG459">
        <f>IF(OR(AG$4="",$A459&gt;TODAY()),0,IF(OR(INDEX($B459:$D459,AG$5)="F",AND(AG$6&gt;0,$A459&lt;AG$6),AND(AG$7&gt;0,$A459&gt;AG$7)),0,MAX(0,ROUND((INDEX($E459:$G459,AG$5)-SUMIFS(TF_Timer,TF_Tekniker,AG$4,TF_Dato,$A459))*2,0)/2)))</f>
        <v/>
      </c>
      <c r="AH459">
        <f>IF(OR(AH$4="",$A459&gt;TODAY()),0,IF(OR(INDEX($B459:$D459,AH$5)="F",AND(AH$6&gt;0,$A459&lt;AH$6),AND(AH$7&gt;0,$A459&gt;AH$7)),0,MAX(0,ROUND((INDEX($E459:$G459,AH$5)-SUMIFS(TF_Timer,TF_Tekniker,AH$4,TF_Dato,$A459))*2,0)/2)))</f>
        <v/>
      </c>
      <c r="AI459">
        <f>IF(OR(AI$4="",$A459&gt;TODAY()),0,IF(OR(INDEX($B459:$D459,AI$5)="F",AND(AI$6&gt;0,$A459&lt;AI$6),AND(AI$7&gt;0,$A459&gt;AI$7)),0,MAX(0,ROUND((INDEX($E459:$G459,AI$5)-SUMIFS(TF_Timer,TF_Tekniker,AI$4,TF_Dato,$A459))*2,0)/2)))</f>
        <v/>
      </c>
      <c r="AJ459">
        <f>IF(OR(AJ$4="",$A459&gt;TODAY()),0,IF(OR(INDEX($B459:$D459,AJ$5)="F",AND(AJ$6&gt;0,$A459&lt;AJ$6),AND(AJ$7&gt;0,$A459&gt;AJ$7)),0,MAX(0,ROUND((INDEX($E459:$G459,AJ$5)-SUMIFS(TF_Timer,TF_Tekniker,AJ$4,TF_Dato,$A459))*2,0)/2)))</f>
        <v/>
      </c>
      <c r="AK459">
        <f>IF(OR(AK$4="",$A459&gt;TODAY()),0,IF(OR(INDEX($B459:$D459,AK$5)="F",AND(AK$6&gt;0,$A459&lt;AK$6),AND(AK$7&gt;0,$A459&gt;AK$7)),0,MAX(0,ROUND((INDEX($E459:$G459,AK$5)-SUMIFS(TF_Timer,TF_Tekniker,AK$4,TF_Dato,$A459))*2,0)/2)))</f>
        <v/>
      </c>
      <c r="AL459">
        <f>IF(OR(AL$4="",$A459&gt;TODAY()),0,IF(OR(INDEX($B459:$D459,AL$5)="F",AND(AL$6&gt;0,$A459&lt;AL$6),AND(AL$7&gt;0,$A459&gt;AL$7)),0,MAX(0,ROUND((INDEX($E459:$G459,AL$5)-SUMIFS(TF_Timer,TF_Tekniker,AL$4,TF_Dato,$A459))*2,0)/2)))</f>
        <v/>
      </c>
      <c r="AM459">
        <f>IF(OR(AM$4="",$A459&gt;TODAY()),0,IF(OR(INDEX($B459:$D459,AM$5)="F",AND(AM$6&gt;0,$A459&lt;AM$6),AND(AM$7&gt;0,$A459&gt;AM$7)),0,MAX(0,ROUND((INDEX($E459:$G459,AM$5)-SUMIFS(TF_Timer,TF_Tekniker,AM$4,TF_Dato,$A459))*2,0)/2)))</f>
        <v/>
      </c>
      <c r="AN459">
        <f>IF(OR(AN$4="",$A459&gt;TODAY()),0,IF(OR(INDEX($B459:$D459,AN$5)="F",AND(AN$6&gt;0,$A459&lt;AN$6),AND(AN$7&gt;0,$A459&gt;AN$7)),0,MAX(0,ROUND((INDEX($E459:$G459,AN$5)-SUMIFS(TF_Timer,TF_Tekniker,AN$4,TF_Dato,$A459))*2,0)/2)))</f>
        <v/>
      </c>
      <c r="AO459">
        <f>IF(OR(AO$4="",$A459&gt;TODAY()),0,IF(OR(INDEX($B459:$D459,AO$5)="F",AND(AO$6&gt;0,$A459&lt;AO$6),AND(AO$7&gt;0,$A459&gt;AO$7)),0,MAX(0,ROUND((INDEX($E459:$G459,AO$5)-SUMIFS(TF_Timer,TF_Tekniker,AO$4,TF_Dato,$A459))*2,0)/2)))</f>
        <v/>
      </c>
      <c r="AP459">
        <f>IF(OR(AP$4="",$A459&gt;TODAY()),0,IF(OR(INDEX($B459:$D459,AP$5)="F",AND(AP$6&gt;0,$A459&lt;AP$6),AND(AP$7&gt;0,$A459&gt;AP$7)),0,MAX(0,ROUND((INDEX($E459:$G459,AP$5)-SUMIFS(TF_Timer,TF_Tekniker,AP$4,TF_Dato,$A459))*2,0)/2)))</f>
        <v/>
      </c>
      <c r="AQ459">
        <f>IF(OR(AQ$4="",$A459&gt;TODAY()),0,IF(OR(INDEX($B459:$D459,AQ$5)="F",AND(AQ$6&gt;0,$A459&lt;AQ$6),AND(AQ$7&gt;0,$A459&gt;AQ$7)),0,MAX(0,ROUND((INDEX($E459:$G459,AQ$5)-SUMIFS(TF_Timer,TF_Tekniker,AQ$4,TF_Dato,$A459))*2,0)/2)))</f>
        <v/>
      </c>
      <c r="AR459">
        <f>IF(OR(AR$4="",$A459&gt;TODAY()),0,IF(OR(INDEX($B459:$D459,AR$5)="F",AND(AR$6&gt;0,$A459&lt;AR$6),AND(AR$7&gt;0,$A459&gt;AR$7)),0,MAX(0,ROUND((INDEX($E459:$G459,AR$5)-SUMIFS(TF_Timer,TF_Tekniker,AR$4,TF_Dato,$A459))*2,0)/2)))</f>
        <v/>
      </c>
      <c r="AS459">
        <f>IF(OR(AS$4="",$A459&gt;TODAY()),0,IF(OR(INDEX($B459:$D459,AS$5)="F",AND(AS$6&gt;0,$A459&lt;AS$6),AND(AS$7&gt;0,$A459&gt;AS$7)),0,MAX(0,ROUND((INDEX($E459:$G459,AS$5)-SUMIFS(TF_Timer,TF_Tekniker,AS$4,TF_Dato,$A459))*2,0)/2)))</f>
        <v/>
      </c>
      <c r="AT459">
        <f>IF(OR(AT$4="",$A459&gt;TODAY()),0,IF(OR(INDEX($B459:$D459,AT$5)="F",AND(AT$6&gt;0,$A459&lt;AT$6),AND(AT$7&gt;0,$A459&gt;AT$7)),0,MAX(0,ROUND((INDEX($E459:$G459,AT$5)-SUMIFS(TF_Timer,TF_Tekniker,AT$4,TF_Dato,$A459))*2,0)/2)))</f>
        <v/>
      </c>
      <c r="AU459">
        <f>IF(OR(AU$4="",$A459&gt;TODAY()),0,IF(OR(INDEX($B459:$D459,AU$5)="F",AND(AU$6&gt;0,$A459&lt;AU$6),AND(AU$7&gt;0,$A459&gt;AU$7)),0,MAX(0,ROUND((INDEX($E459:$G459,AU$5)-SUMIFS(TF_Timer,TF_Tekniker,AU$4,TF_Dato,$A459))*2,0)/2)))</f>
        <v/>
      </c>
      <c r="AV459">
        <f>IF(OR(AV$4="",$A459&gt;TODAY()),0,IF(OR(INDEX($B459:$D459,AV$5)="F",AND(AV$6&gt;0,$A459&lt;AV$6),AND(AV$7&gt;0,$A459&gt;AV$7)),0,MAX(0,ROUND((INDEX($E459:$G459,AV$5)-SUMIFS(TF_Timer,TF_Tekniker,AV$4,TF_Dato,$A459))*2,0)/2)))</f>
        <v/>
      </c>
      <c r="AW459">
        <f>IF(OR(AW$4="",$A459&gt;TODAY()),0,IF(OR(INDEX($B459:$D459,AW$5)="F",AND(AW$6&gt;0,$A459&lt;AW$6),AND(AW$7&gt;0,$A459&gt;AW$7)),0,MAX(0,ROUND((INDEX($E459:$G459,AW$5)-SUMIFS(TF_Timer,TF_Tekniker,AW$4,TF_Dato,$A459))*2,0)/2)))</f>
        <v/>
      </c>
      <c r="AX459">
        <f>IF(OR(AX$4="",$A459&gt;TODAY()),0,IF(OR(INDEX($B459:$D459,AX$5)="F",AND(AX$6&gt;0,$A459&lt;AX$6),AND(AX$7&gt;0,$A459&gt;AX$7)),0,MAX(0,ROUND((INDEX($E459:$G459,AX$5)-SUMIFS(TF_Timer,TF_Tekniker,AX$4,TF_Dato,$A459))*2,0)/2)))</f>
        <v/>
      </c>
      <c r="AY459">
        <f>IF(OR(AY$4="",$A459&gt;TODAY()),0,IF(OR(INDEX($B459:$D459,AY$5)="F",AND(AY$6&gt;0,$A459&lt;AY$6),AND(AY$7&gt;0,$A459&gt;AY$7)),0,MAX(0,ROUND((INDEX($E459:$G459,AY$5)-SUMIFS(TF_Timer,TF_Tekniker,AY$4,TF_Dato,$A459))*2,0)/2)))</f>
        <v/>
      </c>
      <c r="AZ459">
        <f>IF(OR(AZ$4="",$A459&gt;TODAY()),0,IF(OR(INDEX($B459:$D459,AZ$5)="F",AND(AZ$6&gt;0,$A459&lt;AZ$6),AND(AZ$7&gt;0,$A459&gt;AZ$7)),0,MAX(0,ROUND((INDEX($E459:$G459,AZ$5)-SUMIFS(TF_Timer,TF_Tekniker,AZ$4,TF_Dato,$A459))*2,0)/2)))</f>
        <v/>
      </c>
      <c r="BA459">
        <f>IF(OR(BA$4="",$A459&gt;TODAY()),0,IF(OR(INDEX($B459:$D459,BA$5)="F",AND(BA$6&gt;0,$A459&lt;BA$6),AND(BA$7&gt;0,$A459&gt;BA$7)),0,MAX(0,ROUND((INDEX($E459:$G459,BA$5)-SUMIFS(TF_Timer,TF_Tekniker,BA$4,TF_Dato,$A459))*2,0)/2)))</f>
        <v/>
      </c>
      <c r="BB459">
        <f>IF(OR(BB$4="",$A459&gt;TODAY()),0,IF(OR(INDEX($B459:$D459,BB$5)="F",AND(BB$6&gt;0,$A459&lt;BB$6),AND(BB$7&gt;0,$A459&gt;BB$7)),0,MAX(0,ROUND((INDEX($E459:$G459,BB$5)-SUMIFS(TF_Timer,TF_Tekniker,BB$4,TF_Dato,$A459))*2,0)/2)))</f>
        <v/>
      </c>
      <c r="BC459">
        <f>IF(OR(BC$4="",$A459&gt;TODAY()),0,IF(OR(INDEX($B459:$D459,BC$5)="F",AND(BC$6&gt;0,$A459&lt;BC$6),AND(BC$7&gt;0,$A459&gt;BC$7)),0,MAX(0,ROUND((INDEX($E459:$G459,BC$5)-SUMIFS(TF_Timer,TF_Tekniker,BC$4,TF_Dato,$A459))*2,0)/2)))</f>
        <v/>
      </c>
      <c r="BD459">
        <f>IF(OR(BD$4="",$A459&gt;TODAY()),0,IF(OR(INDEX($B459:$D459,BD$5)="F",AND(BD$6&gt;0,$A459&lt;BD$6),AND(BD$7&gt;0,$A459&gt;BD$7)),0,MAX(0,ROUND((INDEX($E459:$G459,BD$5)-SUMIFS(TF_Timer,TF_Tekniker,BD$4,TF_Dato,$A459))*2,0)/2)))</f>
        <v/>
      </c>
      <c r="BE459">
        <f>IF(OR(BE$4="",$A459&gt;TODAY()),0,IF(OR(INDEX($B459:$D459,BE$5)="F",AND(BE$6&gt;0,$A459&lt;BE$6),AND(BE$7&gt;0,$A459&gt;BE$7)),0,MAX(0,ROUND((INDEX($E459:$G459,BE$5)-SUMIFS(TF_Timer,TF_Tekniker,BE$4,TF_Dato,$A459))*2,0)/2)))</f>
        <v/>
      </c>
      <c r="BF459">
        <f>IF(OR(BF$4="",$A459&gt;TODAY()),0,IF(OR(INDEX($B459:$D459,BF$5)="F",AND(BF$6&gt;0,$A459&lt;BF$6),AND(BF$7&gt;0,$A459&gt;BF$7)),0,MAX(0,ROUND((INDEX($E459:$G459,BF$5)-SUMIFS(TF_Timer,TF_Tekniker,BF$4,TF_Dato,$A459))*2,0)/2)))</f>
        <v/>
      </c>
      <c r="BG459">
        <f>IF(OR(BG$4="",$A459&gt;TODAY()),0,IF(OR(INDEX($B459:$D459,BG$5)="F",AND(BG$6&gt;0,$A459&lt;BG$6),AND(BG$7&gt;0,$A459&gt;BG$7)),0,MAX(0,ROUND((INDEX($E459:$G459,BG$5)-SUMIFS(TF_Timer,TF_Tekniker,BG$4,TF_Dato,$A459))*2,0)/2)))</f>
        <v/>
      </c>
      <c r="BH459">
        <f>IF(OR(BH$4="",$A459&gt;TODAY()),0,IF(OR(INDEX($B459:$D459,BH$5)="F",AND(BH$6&gt;0,$A459&lt;BH$6),AND(BH$7&gt;0,$A459&gt;BH$7)),0,MAX(0,ROUND((INDEX($E459:$G459,BH$5)-SUMIFS(TF_Timer,TF_Tekniker,BH$4,TF_Dato,$A459))*2,0)/2)))</f>
        <v/>
      </c>
      <c r="BI459">
        <f>IF(OR(BI$4="",$A459&gt;TODAY()),0,IF(OR(INDEX($B459:$D459,BI$5)="F",AND(BI$6&gt;0,$A459&lt;BI$6),AND(BI$7&gt;0,$A459&gt;BI$7)),0,MAX(0,ROUND((INDEX($E459:$G459,BI$5)-SUMIFS(TF_Timer,TF_Tekniker,BI$4,TF_Dato,$A459))*2,0)/2)))</f>
        <v/>
      </c>
    </row>
    <row r="460">
      <c r="A460" s="64">
        <f>A459+1</f>
        <v/>
      </c>
      <c r="B460">
        <f>IF(MOD($A460-INDEX(SkiftStart,1),Syklus)&lt;DagK,"K",IF(MOD($A460-INDEX(SkiftStart,1),Syklus)&lt;DagK+DagH,"H",IF(MOD($A460-INDEX(SkiftStart,1),Syklus)&lt;DagK+DagH+DagD,"D","F")))</f>
        <v/>
      </c>
      <c r="C460">
        <f>IF(MOD($A460-INDEX(SkiftStart,2),Syklus)&lt;DagK,"K",IF(MOD($A460-INDEX(SkiftStart,2),Syklus)&lt;DagK+DagH,"H",IF(MOD($A460-INDEX(SkiftStart,2),Syklus)&lt;DagK+DagH+DagD,"D","F")))</f>
        <v/>
      </c>
      <c r="D460">
        <f>IF(MOD($A460-INDEX(SkiftStart,3),Syklus)&lt;DagK,"K",IF(MOD($A460-INDEX(SkiftStart,3),Syklus)&lt;DagK+DagH,"H",IF(MOD($A460-INDEX(SkiftStart,3),Syklus)&lt;DagK+DagH+DagD,"D","F")))</f>
        <v/>
      </c>
      <c r="E460">
        <f>IF(B460="F",0,IF(WEEKDAY($A460,2)=5,INDEX(TimerFr,MATCH(B460,FaseKode,0)),INDEX(TimerMT,MATCH(B460,FaseKode,0))))</f>
        <v/>
      </c>
      <c r="F460">
        <f>IF(C460="F",0,IF(WEEKDAY($A460,2)=5,INDEX(TimerFr,MATCH(C460,FaseKode,0)),INDEX(TimerMT,MATCH(C460,FaseKode,0))))</f>
        <v/>
      </c>
      <c r="G460">
        <f>IF(D460="F",0,IF(WEEKDAY($A460,2)=5,INDEX(TimerFr,MATCH(D460,FaseKode,0)),INDEX(TimerMT,MATCH(D460,FaseKode,0))))</f>
        <v/>
      </c>
      <c r="H460">
        <f>IF(OR(H$4="",$A460&gt;TODAY()),0,IF(OR(INDEX($B460:$D460,H$5)="F",AND(H$6&gt;0,$A460&lt;H$6),AND(H$7&gt;0,$A460&gt;H$7)),0,MAX(0,ROUND((INDEX($E460:$G460,H$5)-SUMIFS(TF_Timer,TF_Tekniker,H$4,TF_Dato,$A460))*2,0)/2)))</f>
        <v/>
      </c>
      <c r="I460">
        <f>IF(OR(I$4="",$A460&gt;TODAY()),0,IF(OR(INDEX($B460:$D460,I$5)="F",AND(I$6&gt;0,$A460&lt;I$6),AND(I$7&gt;0,$A460&gt;I$7)),0,MAX(0,ROUND((INDEX($E460:$G460,I$5)-SUMIFS(TF_Timer,TF_Tekniker,I$4,TF_Dato,$A460))*2,0)/2)))</f>
        <v/>
      </c>
      <c r="J460">
        <f>IF(OR(J$4="",$A460&gt;TODAY()),0,IF(OR(INDEX($B460:$D460,J$5)="F",AND(J$6&gt;0,$A460&lt;J$6),AND(J$7&gt;0,$A460&gt;J$7)),0,MAX(0,ROUND((INDEX($E460:$G460,J$5)-SUMIFS(TF_Timer,TF_Tekniker,J$4,TF_Dato,$A460))*2,0)/2)))</f>
        <v/>
      </c>
      <c r="K460">
        <f>IF(OR(K$4="",$A460&gt;TODAY()),0,IF(OR(INDEX($B460:$D460,K$5)="F",AND(K$6&gt;0,$A460&lt;K$6),AND(K$7&gt;0,$A460&gt;K$7)),0,MAX(0,ROUND((INDEX($E460:$G460,K$5)-SUMIFS(TF_Timer,TF_Tekniker,K$4,TF_Dato,$A460))*2,0)/2)))</f>
        <v/>
      </c>
      <c r="L460">
        <f>IF(OR(L$4="",$A460&gt;TODAY()),0,IF(OR(INDEX($B460:$D460,L$5)="F",AND(L$6&gt;0,$A460&lt;L$6),AND(L$7&gt;0,$A460&gt;L$7)),0,MAX(0,ROUND((INDEX($E460:$G460,L$5)-SUMIFS(TF_Timer,TF_Tekniker,L$4,TF_Dato,$A460))*2,0)/2)))</f>
        <v/>
      </c>
      <c r="M460">
        <f>IF(OR(M$4="",$A460&gt;TODAY()),0,IF(OR(INDEX($B460:$D460,M$5)="F",AND(M$6&gt;0,$A460&lt;M$6),AND(M$7&gt;0,$A460&gt;M$7)),0,MAX(0,ROUND((INDEX($E460:$G460,M$5)-SUMIFS(TF_Timer,TF_Tekniker,M$4,TF_Dato,$A460))*2,0)/2)))</f>
        <v/>
      </c>
      <c r="N460">
        <f>IF(OR(N$4="",$A460&gt;TODAY()),0,IF(OR(INDEX($B460:$D460,N$5)="F",AND(N$6&gt;0,$A460&lt;N$6),AND(N$7&gt;0,$A460&gt;N$7)),0,MAX(0,ROUND((INDEX($E460:$G460,N$5)-SUMIFS(TF_Timer,TF_Tekniker,N$4,TF_Dato,$A460))*2,0)/2)))</f>
        <v/>
      </c>
      <c r="O460">
        <f>IF(OR(O$4="",$A460&gt;TODAY()),0,IF(OR(INDEX($B460:$D460,O$5)="F",AND(O$6&gt;0,$A460&lt;O$6),AND(O$7&gt;0,$A460&gt;O$7)),0,MAX(0,ROUND((INDEX($E460:$G460,O$5)-SUMIFS(TF_Timer,TF_Tekniker,O$4,TF_Dato,$A460))*2,0)/2)))</f>
        <v/>
      </c>
      <c r="P460">
        <f>IF(OR(P$4="",$A460&gt;TODAY()),0,IF(OR(INDEX($B460:$D460,P$5)="F",AND(P$6&gt;0,$A460&lt;P$6),AND(P$7&gt;0,$A460&gt;P$7)),0,MAX(0,ROUND((INDEX($E460:$G460,P$5)-SUMIFS(TF_Timer,TF_Tekniker,P$4,TF_Dato,$A460))*2,0)/2)))</f>
        <v/>
      </c>
      <c r="Q460">
        <f>IF(OR(Q$4="",$A460&gt;TODAY()),0,IF(OR(INDEX($B460:$D460,Q$5)="F",AND(Q$6&gt;0,$A460&lt;Q$6),AND(Q$7&gt;0,$A460&gt;Q$7)),0,MAX(0,ROUND((INDEX($E460:$G460,Q$5)-SUMIFS(TF_Timer,TF_Tekniker,Q$4,TF_Dato,$A460))*2,0)/2)))</f>
        <v/>
      </c>
      <c r="R460">
        <f>IF(OR(R$4="",$A460&gt;TODAY()),0,IF(OR(INDEX($B460:$D460,R$5)="F",AND(R$6&gt;0,$A460&lt;R$6),AND(R$7&gt;0,$A460&gt;R$7)),0,MAX(0,ROUND((INDEX($E460:$G460,R$5)-SUMIFS(TF_Timer,TF_Tekniker,R$4,TF_Dato,$A460))*2,0)/2)))</f>
        <v/>
      </c>
      <c r="S460">
        <f>IF(OR(S$4="",$A460&gt;TODAY()),0,IF(OR(INDEX($B460:$D460,S$5)="F",AND(S$6&gt;0,$A460&lt;S$6),AND(S$7&gt;0,$A460&gt;S$7)),0,MAX(0,ROUND((INDEX($E460:$G460,S$5)-SUMIFS(TF_Timer,TF_Tekniker,S$4,TF_Dato,$A460))*2,0)/2)))</f>
        <v/>
      </c>
      <c r="T460">
        <f>IF(OR(T$4="",$A460&gt;TODAY()),0,IF(OR(INDEX($B460:$D460,T$5)="F",AND(T$6&gt;0,$A460&lt;T$6),AND(T$7&gt;0,$A460&gt;T$7)),0,MAX(0,ROUND((INDEX($E460:$G460,T$5)-SUMIFS(TF_Timer,TF_Tekniker,T$4,TF_Dato,$A460))*2,0)/2)))</f>
        <v/>
      </c>
      <c r="U460">
        <f>IF(OR(U$4="",$A460&gt;TODAY()),0,IF(OR(INDEX($B460:$D460,U$5)="F",AND(U$6&gt;0,$A460&lt;U$6),AND(U$7&gt;0,$A460&gt;U$7)),0,MAX(0,ROUND((INDEX($E460:$G460,U$5)-SUMIFS(TF_Timer,TF_Tekniker,U$4,TF_Dato,$A460))*2,0)/2)))</f>
        <v/>
      </c>
      <c r="V460">
        <f>IF(OR(V$4="",$A460&gt;TODAY()),0,IF(OR(INDEX($B460:$D460,V$5)="F",AND(V$6&gt;0,$A460&lt;V$6),AND(V$7&gt;0,$A460&gt;V$7)),0,MAX(0,ROUND((INDEX($E460:$G460,V$5)-SUMIFS(TF_Timer,TF_Tekniker,V$4,TF_Dato,$A460))*2,0)/2)))</f>
        <v/>
      </c>
      <c r="W460">
        <f>IF(OR(W$4="",$A460&gt;TODAY()),0,IF(OR(INDEX($B460:$D460,W$5)="F",AND(W$6&gt;0,$A460&lt;W$6),AND(W$7&gt;0,$A460&gt;W$7)),0,MAX(0,ROUND((INDEX($E460:$G460,W$5)-SUMIFS(TF_Timer,TF_Tekniker,W$4,TF_Dato,$A460))*2,0)/2)))</f>
        <v/>
      </c>
      <c r="X460">
        <f>IF(OR(X$4="",$A460&gt;TODAY()),0,IF(OR(INDEX($B460:$D460,X$5)="F",AND(X$6&gt;0,$A460&lt;X$6),AND(X$7&gt;0,$A460&gt;X$7)),0,MAX(0,ROUND((INDEX($E460:$G460,X$5)-SUMIFS(TF_Timer,TF_Tekniker,X$4,TF_Dato,$A460))*2,0)/2)))</f>
        <v/>
      </c>
      <c r="Y460">
        <f>IF(OR(Y$4="",$A460&gt;TODAY()),0,IF(OR(INDEX($B460:$D460,Y$5)="F",AND(Y$6&gt;0,$A460&lt;Y$6),AND(Y$7&gt;0,$A460&gt;Y$7)),0,MAX(0,ROUND((INDEX($E460:$G460,Y$5)-SUMIFS(TF_Timer,TF_Tekniker,Y$4,TF_Dato,$A460))*2,0)/2)))</f>
        <v/>
      </c>
      <c r="Z460">
        <f>IF(OR(Z$4="",$A460&gt;TODAY()),0,IF(OR(INDEX($B460:$D460,Z$5)="F",AND(Z$6&gt;0,$A460&lt;Z$6),AND(Z$7&gt;0,$A460&gt;Z$7)),0,MAX(0,ROUND((INDEX($E460:$G460,Z$5)-SUMIFS(TF_Timer,TF_Tekniker,Z$4,TF_Dato,$A460))*2,0)/2)))</f>
        <v/>
      </c>
      <c r="AA460">
        <f>IF(OR(AA$4="",$A460&gt;TODAY()),0,IF(OR(INDEX($B460:$D460,AA$5)="F",AND(AA$6&gt;0,$A460&lt;AA$6),AND(AA$7&gt;0,$A460&gt;AA$7)),0,MAX(0,ROUND((INDEX($E460:$G460,AA$5)-SUMIFS(TF_Timer,TF_Tekniker,AA$4,TF_Dato,$A460))*2,0)/2)))</f>
        <v/>
      </c>
      <c r="AB460">
        <f>IF(OR(AB$4="",$A460&gt;TODAY()),0,IF(OR(INDEX($B460:$D460,AB$5)="F",AND(AB$6&gt;0,$A460&lt;AB$6),AND(AB$7&gt;0,$A460&gt;AB$7)),0,MAX(0,ROUND((INDEX($E460:$G460,AB$5)-SUMIFS(TF_Timer,TF_Tekniker,AB$4,TF_Dato,$A460))*2,0)/2)))</f>
        <v/>
      </c>
      <c r="AC460">
        <f>IF(OR(AC$4="",$A460&gt;TODAY()),0,IF(OR(INDEX($B460:$D460,AC$5)="F",AND(AC$6&gt;0,$A460&lt;AC$6),AND(AC$7&gt;0,$A460&gt;AC$7)),0,MAX(0,ROUND((INDEX($E460:$G460,AC$5)-SUMIFS(TF_Timer,TF_Tekniker,AC$4,TF_Dato,$A460))*2,0)/2)))</f>
        <v/>
      </c>
      <c r="AD460">
        <f>IF(OR(AD$4="",$A460&gt;TODAY()),0,IF(OR(INDEX($B460:$D460,AD$5)="F",AND(AD$6&gt;0,$A460&lt;AD$6),AND(AD$7&gt;0,$A460&gt;AD$7)),0,MAX(0,ROUND((INDEX($E460:$G460,AD$5)-SUMIFS(TF_Timer,TF_Tekniker,AD$4,TF_Dato,$A460))*2,0)/2)))</f>
        <v/>
      </c>
      <c r="AE460">
        <f>IF(OR(AE$4="",$A460&gt;TODAY()),0,IF(OR(INDEX($B460:$D460,AE$5)="F",AND(AE$6&gt;0,$A460&lt;AE$6),AND(AE$7&gt;0,$A460&gt;AE$7)),0,MAX(0,ROUND((INDEX($E460:$G460,AE$5)-SUMIFS(TF_Timer,TF_Tekniker,AE$4,TF_Dato,$A460))*2,0)/2)))</f>
        <v/>
      </c>
      <c r="AF460">
        <f>IF(OR(AF$4="",$A460&gt;TODAY()),0,IF(OR(INDEX($B460:$D460,AF$5)="F",AND(AF$6&gt;0,$A460&lt;AF$6),AND(AF$7&gt;0,$A460&gt;AF$7)),0,MAX(0,ROUND((INDEX($E460:$G460,AF$5)-SUMIFS(TF_Timer,TF_Tekniker,AF$4,TF_Dato,$A460))*2,0)/2)))</f>
        <v/>
      </c>
      <c r="AG460">
        <f>IF(OR(AG$4="",$A460&gt;TODAY()),0,IF(OR(INDEX($B460:$D460,AG$5)="F",AND(AG$6&gt;0,$A460&lt;AG$6),AND(AG$7&gt;0,$A460&gt;AG$7)),0,MAX(0,ROUND((INDEX($E460:$G460,AG$5)-SUMIFS(TF_Timer,TF_Tekniker,AG$4,TF_Dato,$A460))*2,0)/2)))</f>
        <v/>
      </c>
      <c r="AH460">
        <f>IF(OR(AH$4="",$A460&gt;TODAY()),0,IF(OR(INDEX($B460:$D460,AH$5)="F",AND(AH$6&gt;0,$A460&lt;AH$6),AND(AH$7&gt;0,$A460&gt;AH$7)),0,MAX(0,ROUND((INDEX($E460:$G460,AH$5)-SUMIFS(TF_Timer,TF_Tekniker,AH$4,TF_Dato,$A460))*2,0)/2)))</f>
        <v/>
      </c>
      <c r="AI460">
        <f>IF(OR(AI$4="",$A460&gt;TODAY()),0,IF(OR(INDEX($B460:$D460,AI$5)="F",AND(AI$6&gt;0,$A460&lt;AI$6),AND(AI$7&gt;0,$A460&gt;AI$7)),0,MAX(0,ROUND((INDEX($E460:$G460,AI$5)-SUMIFS(TF_Timer,TF_Tekniker,AI$4,TF_Dato,$A460))*2,0)/2)))</f>
        <v/>
      </c>
      <c r="AJ460">
        <f>IF(OR(AJ$4="",$A460&gt;TODAY()),0,IF(OR(INDEX($B460:$D460,AJ$5)="F",AND(AJ$6&gt;0,$A460&lt;AJ$6),AND(AJ$7&gt;0,$A460&gt;AJ$7)),0,MAX(0,ROUND((INDEX($E460:$G460,AJ$5)-SUMIFS(TF_Timer,TF_Tekniker,AJ$4,TF_Dato,$A460))*2,0)/2)))</f>
        <v/>
      </c>
      <c r="AK460">
        <f>IF(OR(AK$4="",$A460&gt;TODAY()),0,IF(OR(INDEX($B460:$D460,AK$5)="F",AND(AK$6&gt;0,$A460&lt;AK$6),AND(AK$7&gt;0,$A460&gt;AK$7)),0,MAX(0,ROUND((INDEX($E460:$G460,AK$5)-SUMIFS(TF_Timer,TF_Tekniker,AK$4,TF_Dato,$A460))*2,0)/2)))</f>
        <v/>
      </c>
      <c r="AL460">
        <f>IF(OR(AL$4="",$A460&gt;TODAY()),0,IF(OR(INDEX($B460:$D460,AL$5)="F",AND(AL$6&gt;0,$A460&lt;AL$6),AND(AL$7&gt;0,$A460&gt;AL$7)),0,MAX(0,ROUND((INDEX($E460:$G460,AL$5)-SUMIFS(TF_Timer,TF_Tekniker,AL$4,TF_Dato,$A460))*2,0)/2)))</f>
        <v/>
      </c>
      <c r="AM460">
        <f>IF(OR(AM$4="",$A460&gt;TODAY()),0,IF(OR(INDEX($B460:$D460,AM$5)="F",AND(AM$6&gt;0,$A460&lt;AM$6),AND(AM$7&gt;0,$A460&gt;AM$7)),0,MAX(0,ROUND((INDEX($E460:$G460,AM$5)-SUMIFS(TF_Timer,TF_Tekniker,AM$4,TF_Dato,$A460))*2,0)/2)))</f>
        <v/>
      </c>
      <c r="AN460">
        <f>IF(OR(AN$4="",$A460&gt;TODAY()),0,IF(OR(INDEX($B460:$D460,AN$5)="F",AND(AN$6&gt;0,$A460&lt;AN$6),AND(AN$7&gt;0,$A460&gt;AN$7)),0,MAX(0,ROUND((INDEX($E460:$G460,AN$5)-SUMIFS(TF_Timer,TF_Tekniker,AN$4,TF_Dato,$A460))*2,0)/2)))</f>
        <v/>
      </c>
      <c r="AO460">
        <f>IF(OR(AO$4="",$A460&gt;TODAY()),0,IF(OR(INDEX($B460:$D460,AO$5)="F",AND(AO$6&gt;0,$A460&lt;AO$6),AND(AO$7&gt;0,$A460&gt;AO$7)),0,MAX(0,ROUND((INDEX($E460:$G460,AO$5)-SUMIFS(TF_Timer,TF_Tekniker,AO$4,TF_Dato,$A460))*2,0)/2)))</f>
        <v/>
      </c>
      <c r="AP460">
        <f>IF(OR(AP$4="",$A460&gt;TODAY()),0,IF(OR(INDEX($B460:$D460,AP$5)="F",AND(AP$6&gt;0,$A460&lt;AP$6),AND(AP$7&gt;0,$A460&gt;AP$7)),0,MAX(0,ROUND((INDEX($E460:$G460,AP$5)-SUMIFS(TF_Timer,TF_Tekniker,AP$4,TF_Dato,$A460))*2,0)/2)))</f>
        <v/>
      </c>
      <c r="AQ460">
        <f>IF(OR(AQ$4="",$A460&gt;TODAY()),0,IF(OR(INDEX($B460:$D460,AQ$5)="F",AND(AQ$6&gt;0,$A460&lt;AQ$6),AND(AQ$7&gt;0,$A460&gt;AQ$7)),0,MAX(0,ROUND((INDEX($E460:$G460,AQ$5)-SUMIFS(TF_Timer,TF_Tekniker,AQ$4,TF_Dato,$A460))*2,0)/2)))</f>
        <v/>
      </c>
      <c r="AR460">
        <f>IF(OR(AR$4="",$A460&gt;TODAY()),0,IF(OR(INDEX($B460:$D460,AR$5)="F",AND(AR$6&gt;0,$A460&lt;AR$6),AND(AR$7&gt;0,$A460&gt;AR$7)),0,MAX(0,ROUND((INDEX($E460:$G460,AR$5)-SUMIFS(TF_Timer,TF_Tekniker,AR$4,TF_Dato,$A460))*2,0)/2)))</f>
        <v/>
      </c>
      <c r="AS460">
        <f>IF(OR(AS$4="",$A460&gt;TODAY()),0,IF(OR(INDEX($B460:$D460,AS$5)="F",AND(AS$6&gt;0,$A460&lt;AS$6),AND(AS$7&gt;0,$A460&gt;AS$7)),0,MAX(0,ROUND((INDEX($E460:$G460,AS$5)-SUMIFS(TF_Timer,TF_Tekniker,AS$4,TF_Dato,$A460))*2,0)/2)))</f>
        <v/>
      </c>
      <c r="AT460">
        <f>IF(OR(AT$4="",$A460&gt;TODAY()),0,IF(OR(INDEX($B460:$D460,AT$5)="F",AND(AT$6&gt;0,$A460&lt;AT$6),AND(AT$7&gt;0,$A460&gt;AT$7)),0,MAX(0,ROUND((INDEX($E460:$G460,AT$5)-SUMIFS(TF_Timer,TF_Tekniker,AT$4,TF_Dato,$A460))*2,0)/2)))</f>
        <v/>
      </c>
      <c r="AU460">
        <f>IF(OR(AU$4="",$A460&gt;TODAY()),0,IF(OR(INDEX($B460:$D460,AU$5)="F",AND(AU$6&gt;0,$A460&lt;AU$6),AND(AU$7&gt;0,$A460&gt;AU$7)),0,MAX(0,ROUND((INDEX($E460:$G460,AU$5)-SUMIFS(TF_Timer,TF_Tekniker,AU$4,TF_Dato,$A460))*2,0)/2)))</f>
        <v/>
      </c>
      <c r="AV460">
        <f>IF(OR(AV$4="",$A460&gt;TODAY()),0,IF(OR(INDEX($B460:$D460,AV$5)="F",AND(AV$6&gt;0,$A460&lt;AV$6),AND(AV$7&gt;0,$A460&gt;AV$7)),0,MAX(0,ROUND((INDEX($E460:$G460,AV$5)-SUMIFS(TF_Timer,TF_Tekniker,AV$4,TF_Dato,$A460))*2,0)/2)))</f>
        <v/>
      </c>
      <c r="AW460">
        <f>IF(OR(AW$4="",$A460&gt;TODAY()),0,IF(OR(INDEX($B460:$D460,AW$5)="F",AND(AW$6&gt;0,$A460&lt;AW$6),AND(AW$7&gt;0,$A460&gt;AW$7)),0,MAX(0,ROUND((INDEX($E460:$G460,AW$5)-SUMIFS(TF_Timer,TF_Tekniker,AW$4,TF_Dato,$A460))*2,0)/2)))</f>
        <v/>
      </c>
      <c r="AX460">
        <f>IF(OR(AX$4="",$A460&gt;TODAY()),0,IF(OR(INDEX($B460:$D460,AX$5)="F",AND(AX$6&gt;0,$A460&lt;AX$6),AND(AX$7&gt;0,$A460&gt;AX$7)),0,MAX(0,ROUND((INDEX($E460:$G460,AX$5)-SUMIFS(TF_Timer,TF_Tekniker,AX$4,TF_Dato,$A460))*2,0)/2)))</f>
        <v/>
      </c>
      <c r="AY460">
        <f>IF(OR(AY$4="",$A460&gt;TODAY()),0,IF(OR(INDEX($B460:$D460,AY$5)="F",AND(AY$6&gt;0,$A460&lt;AY$6),AND(AY$7&gt;0,$A460&gt;AY$7)),0,MAX(0,ROUND((INDEX($E460:$G460,AY$5)-SUMIFS(TF_Timer,TF_Tekniker,AY$4,TF_Dato,$A460))*2,0)/2)))</f>
        <v/>
      </c>
      <c r="AZ460">
        <f>IF(OR(AZ$4="",$A460&gt;TODAY()),0,IF(OR(INDEX($B460:$D460,AZ$5)="F",AND(AZ$6&gt;0,$A460&lt;AZ$6),AND(AZ$7&gt;0,$A460&gt;AZ$7)),0,MAX(0,ROUND((INDEX($E460:$G460,AZ$5)-SUMIFS(TF_Timer,TF_Tekniker,AZ$4,TF_Dato,$A460))*2,0)/2)))</f>
        <v/>
      </c>
      <c r="BA460">
        <f>IF(OR(BA$4="",$A460&gt;TODAY()),0,IF(OR(INDEX($B460:$D460,BA$5)="F",AND(BA$6&gt;0,$A460&lt;BA$6),AND(BA$7&gt;0,$A460&gt;BA$7)),0,MAX(0,ROUND((INDEX($E460:$G460,BA$5)-SUMIFS(TF_Timer,TF_Tekniker,BA$4,TF_Dato,$A460))*2,0)/2)))</f>
        <v/>
      </c>
      <c r="BB460">
        <f>IF(OR(BB$4="",$A460&gt;TODAY()),0,IF(OR(INDEX($B460:$D460,BB$5)="F",AND(BB$6&gt;0,$A460&lt;BB$6),AND(BB$7&gt;0,$A460&gt;BB$7)),0,MAX(0,ROUND((INDEX($E460:$G460,BB$5)-SUMIFS(TF_Timer,TF_Tekniker,BB$4,TF_Dato,$A460))*2,0)/2)))</f>
        <v/>
      </c>
      <c r="BC460">
        <f>IF(OR(BC$4="",$A460&gt;TODAY()),0,IF(OR(INDEX($B460:$D460,BC$5)="F",AND(BC$6&gt;0,$A460&lt;BC$6),AND(BC$7&gt;0,$A460&gt;BC$7)),0,MAX(0,ROUND((INDEX($E460:$G460,BC$5)-SUMIFS(TF_Timer,TF_Tekniker,BC$4,TF_Dato,$A460))*2,0)/2)))</f>
        <v/>
      </c>
      <c r="BD460">
        <f>IF(OR(BD$4="",$A460&gt;TODAY()),0,IF(OR(INDEX($B460:$D460,BD$5)="F",AND(BD$6&gt;0,$A460&lt;BD$6),AND(BD$7&gt;0,$A460&gt;BD$7)),0,MAX(0,ROUND((INDEX($E460:$G460,BD$5)-SUMIFS(TF_Timer,TF_Tekniker,BD$4,TF_Dato,$A460))*2,0)/2)))</f>
        <v/>
      </c>
      <c r="BE460">
        <f>IF(OR(BE$4="",$A460&gt;TODAY()),0,IF(OR(INDEX($B460:$D460,BE$5)="F",AND(BE$6&gt;0,$A460&lt;BE$6),AND(BE$7&gt;0,$A460&gt;BE$7)),0,MAX(0,ROUND((INDEX($E460:$G460,BE$5)-SUMIFS(TF_Timer,TF_Tekniker,BE$4,TF_Dato,$A460))*2,0)/2)))</f>
        <v/>
      </c>
      <c r="BF460">
        <f>IF(OR(BF$4="",$A460&gt;TODAY()),0,IF(OR(INDEX($B460:$D460,BF$5)="F",AND(BF$6&gt;0,$A460&lt;BF$6),AND(BF$7&gt;0,$A460&gt;BF$7)),0,MAX(0,ROUND((INDEX($E460:$G460,BF$5)-SUMIFS(TF_Timer,TF_Tekniker,BF$4,TF_Dato,$A460))*2,0)/2)))</f>
        <v/>
      </c>
      <c r="BG460">
        <f>IF(OR(BG$4="",$A460&gt;TODAY()),0,IF(OR(INDEX($B460:$D460,BG$5)="F",AND(BG$6&gt;0,$A460&lt;BG$6),AND(BG$7&gt;0,$A460&gt;BG$7)),0,MAX(0,ROUND((INDEX($E460:$G460,BG$5)-SUMIFS(TF_Timer,TF_Tekniker,BG$4,TF_Dato,$A460))*2,0)/2)))</f>
        <v/>
      </c>
      <c r="BH460">
        <f>IF(OR(BH$4="",$A460&gt;TODAY()),0,IF(OR(INDEX($B460:$D460,BH$5)="F",AND(BH$6&gt;0,$A460&lt;BH$6),AND(BH$7&gt;0,$A460&gt;BH$7)),0,MAX(0,ROUND((INDEX($E460:$G460,BH$5)-SUMIFS(TF_Timer,TF_Tekniker,BH$4,TF_Dato,$A460))*2,0)/2)))</f>
        <v/>
      </c>
      <c r="BI460">
        <f>IF(OR(BI$4="",$A460&gt;TODAY()),0,IF(OR(INDEX($B460:$D460,BI$5)="F",AND(BI$6&gt;0,$A460&lt;BI$6),AND(BI$7&gt;0,$A460&gt;BI$7)),0,MAX(0,ROUND((INDEX($E460:$G460,BI$5)-SUMIFS(TF_Timer,TF_Tekniker,BI$4,TF_Dato,$A460))*2,0)/2)))</f>
        <v/>
      </c>
    </row>
    <row r="461">
      <c r="A461" s="64">
        <f>A460+1</f>
        <v/>
      </c>
      <c r="B461">
        <f>IF(MOD($A461-INDEX(SkiftStart,1),Syklus)&lt;DagK,"K",IF(MOD($A461-INDEX(SkiftStart,1),Syklus)&lt;DagK+DagH,"H",IF(MOD($A461-INDEX(SkiftStart,1),Syklus)&lt;DagK+DagH+DagD,"D","F")))</f>
        <v/>
      </c>
      <c r="C461">
        <f>IF(MOD($A461-INDEX(SkiftStart,2),Syklus)&lt;DagK,"K",IF(MOD($A461-INDEX(SkiftStart,2),Syklus)&lt;DagK+DagH,"H",IF(MOD($A461-INDEX(SkiftStart,2),Syklus)&lt;DagK+DagH+DagD,"D","F")))</f>
        <v/>
      </c>
      <c r="D461">
        <f>IF(MOD($A461-INDEX(SkiftStart,3),Syklus)&lt;DagK,"K",IF(MOD($A461-INDEX(SkiftStart,3),Syklus)&lt;DagK+DagH,"H",IF(MOD($A461-INDEX(SkiftStart,3),Syklus)&lt;DagK+DagH+DagD,"D","F")))</f>
        <v/>
      </c>
      <c r="E461">
        <f>IF(B461="F",0,IF(WEEKDAY($A461,2)=5,INDEX(TimerFr,MATCH(B461,FaseKode,0)),INDEX(TimerMT,MATCH(B461,FaseKode,0))))</f>
        <v/>
      </c>
      <c r="F461">
        <f>IF(C461="F",0,IF(WEEKDAY($A461,2)=5,INDEX(TimerFr,MATCH(C461,FaseKode,0)),INDEX(TimerMT,MATCH(C461,FaseKode,0))))</f>
        <v/>
      </c>
      <c r="G461">
        <f>IF(D461="F",0,IF(WEEKDAY($A461,2)=5,INDEX(TimerFr,MATCH(D461,FaseKode,0)),INDEX(TimerMT,MATCH(D461,FaseKode,0))))</f>
        <v/>
      </c>
      <c r="H461">
        <f>IF(OR(H$4="",$A461&gt;TODAY()),0,IF(OR(INDEX($B461:$D461,H$5)="F",AND(H$6&gt;0,$A461&lt;H$6),AND(H$7&gt;0,$A461&gt;H$7)),0,MAX(0,ROUND((INDEX($E461:$G461,H$5)-SUMIFS(TF_Timer,TF_Tekniker,H$4,TF_Dato,$A461))*2,0)/2)))</f>
        <v/>
      </c>
      <c r="I461">
        <f>IF(OR(I$4="",$A461&gt;TODAY()),0,IF(OR(INDEX($B461:$D461,I$5)="F",AND(I$6&gt;0,$A461&lt;I$6),AND(I$7&gt;0,$A461&gt;I$7)),0,MAX(0,ROUND((INDEX($E461:$G461,I$5)-SUMIFS(TF_Timer,TF_Tekniker,I$4,TF_Dato,$A461))*2,0)/2)))</f>
        <v/>
      </c>
      <c r="J461">
        <f>IF(OR(J$4="",$A461&gt;TODAY()),0,IF(OR(INDEX($B461:$D461,J$5)="F",AND(J$6&gt;0,$A461&lt;J$6),AND(J$7&gt;0,$A461&gt;J$7)),0,MAX(0,ROUND((INDEX($E461:$G461,J$5)-SUMIFS(TF_Timer,TF_Tekniker,J$4,TF_Dato,$A461))*2,0)/2)))</f>
        <v/>
      </c>
      <c r="K461">
        <f>IF(OR(K$4="",$A461&gt;TODAY()),0,IF(OR(INDEX($B461:$D461,K$5)="F",AND(K$6&gt;0,$A461&lt;K$6),AND(K$7&gt;0,$A461&gt;K$7)),0,MAX(0,ROUND((INDEX($E461:$G461,K$5)-SUMIFS(TF_Timer,TF_Tekniker,K$4,TF_Dato,$A461))*2,0)/2)))</f>
        <v/>
      </c>
      <c r="L461">
        <f>IF(OR(L$4="",$A461&gt;TODAY()),0,IF(OR(INDEX($B461:$D461,L$5)="F",AND(L$6&gt;0,$A461&lt;L$6),AND(L$7&gt;0,$A461&gt;L$7)),0,MAX(0,ROUND((INDEX($E461:$G461,L$5)-SUMIFS(TF_Timer,TF_Tekniker,L$4,TF_Dato,$A461))*2,0)/2)))</f>
        <v/>
      </c>
      <c r="M461">
        <f>IF(OR(M$4="",$A461&gt;TODAY()),0,IF(OR(INDEX($B461:$D461,M$5)="F",AND(M$6&gt;0,$A461&lt;M$6),AND(M$7&gt;0,$A461&gt;M$7)),0,MAX(0,ROUND((INDEX($E461:$G461,M$5)-SUMIFS(TF_Timer,TF_Tekniker,M$4,TF_Dato,$A461))*2,0)/2)))</f>
        <v/>
      </c>
      <c r="N461">
        <f>IF(OR(N$4="",$A461&gt;TODAY()),0,IF(OR(INDEX($B461:$D461,N$5)="F",AND(N$6&gt;0,$A461&lt;N$6),AND(N$7&gt;0,$A461&gt;N$7)),0,MAX(0,ROUND((INDEX($E461:$G461,N$5)-SUMIFS(TF_Timer,TF_Tekniker,N$4,TF_Dato,$A461))*2,0)/2)))</f>
        <v/>
      </c>
      <c r="O461">
        <f>IF(OR(O$4="",$A461&gt;TODAY()),0,IF(OR(INDEX($B461:$D461,O$5)="F",AND(O$6&gt;0,$A461&lt;O$6),AND(O$7&gt;0,$A461&gt;O$7)),0,MAX(0,ROUND((INDEX($E461:$G461,O$5)-SUMIFS(TF_Timer,TF_Tekniker,O$4,TF_Dato,$A461))*2,0)/2)))</f>
        <v/>
      </c>
      <c r="P461">
        <f>IF(OR(P$4="",$A461&gt;TODAY()),0,IF(OR(INDEX($B461:$D461,P$5)="F",AND(P$6&gt;0,$A461&lt;P$6),AND(P$7&gt;0,$A461&gt;P$7)),0,MAX(0,ROUND((INDEX($E461:$G461,P$5)-SUMIFS(TF_Timer,TF_Tekniker,P$4,TF_Dato,$A461))*2,0)/2)))</f>
        <v/>
      </c>
      <c r="Q461">
        <f>IF(OR(Q$4="",$A461&gt;TODAY()),0,IF(OR(INDEX($B461:$D461,Q$5)="F",AND(Q$6&gt;0,$A461&lt;Q$6),AND(Q$7&gt;0,$A461&gt;Q$7)),0,MAX(0,ROUND((INDEX($E461:$G461,Q$5)-SUMIFS(TF_Timer,TF_Tekniker,Q$4,TF_Dato,$A461))*2,0)/2)))</f>
        <v/>
      </c>
      <c r="R461">
        <f>IF(OR(R$4="",$A461&gt;TODAY()),0,IF(OR(INDEX($B461:$D461,R$5)="F",AND(R$6&gt;0,$A461&lt;R$6),AND(R$7&gt;0,$A461&gt;R$7)),0,MAX(0,ROUND((INDEX($E461:$G461,R$5)-SUMIFS(TF_Timer,TF_Tekniker,R$4,TF_Dato,$A461))*2,0)/2)))</f>
        <v/>
      </c>
      <c r="S461">
        <f>IF(OR(S$4="",$A461&gt;TODAY()),0,IF(OR(INDEX($B461:$D461,S$5)="F",AND(S$6&gt;0,$A461&lt;S$6),AND(S$7&gt;0,$A461&gt;S$7)),0,MAX(0,ROUND((INDEX($E461:$G461,S$5)-SUMIFS(TF_Timer,TF_Tekniker,S$4,TF_Dato,$A461))*2,0)/2)))</f>
        <v/>
      </c>
      <c r="T461">
        <f>IF(OR(T$4="",$A461&gt;TODAY()),0,IF(OR(INDEX($B461:$D461,T$5)="F",AND(T$6&gt;0,$A461&lt;T$6),AND(T$7&gt;0,$A461&gt;T$7)),0,MAX(0,ROUND((INDEX($E461:$G461,T$5)-SUMIFS(TF_Timer,TF_Tekniker,T$4,TF_Dato,$A461))*2,0)/2)))</f>
        <v/>
      </c>
      <c r="U461">
        <f>IF(OR(U$4="",$A461&gt;TODAY()),0,IF(OR(INDEX($B461:$D461,U$5)="F",AND(U$6&gt;0,$A461&lt;U$6),AND(U$7&gt;0,$A461&gt;U$7)),0,MAX(0,ROUND((INDEX($E461:$G461,U$5)-SUMIFS(TF_Timer,TF_Tekniker,U$4,TF_Dato,$A461))*2,0)/2)))</f>
        <v/>
      </c>
      <c r="V461">
        <f>IF(OR(V$4="",$A461&gt;TODAY()),0,IF(OR(INDEX($B461:$D461,V$5)="F",AND(V$6&gt;0,$A461&lt;V$6),AND(V$7&gt;0,$A461&gt;V$7)),0,MAX(0,ROUND((INDEX($E461:$G461,V$5)-SUMIFS(TF_Timer,TF_Tekniker,V$4,TF_Dato,$A461))*2,0)/2)))</f>
        <v/>
      </c>
      <c r="W461">
        <f>IF(OR(W$4="",$A461&gt;TODAY()),0,IF(OR(INDEX($B461:$D461,W$5)="F",AND(W$6&gt;0,$A461&lt;W$6),AND(W$7&gt;0,$A461&gt;W$7)),0,MAX(0,ROUND((INDEX($E461:$G461,W$5)-SUMIFS(TF_Timer,TF_Tekniker,W$4,TF_Dato,$A461))*2,0)/2)))</f>
        <v/>
      </c>
      <c r="X461">
        <f>IF(OR(X$4="",$A461&gt;TODAY()),0,IF(OR(INDEX($B461:$D461,X$5)="F",AND(X$6&gt;0,$A461&lt;X$6),AND(X$7&gt;0,$A461&gt;X$7)),0,MAX(0,ROUND((INDEX($E461:$G461,X$5)-SUMIFS(TF_Timer,TF_Tekniker,X$4,TF_Dato,$A461))*2,0)/2)))</f>
        <v/>
      </c>
      <c r="Y461">
        <f>IF(OR(Y$4="",$A461&gt;TODAY()),0,IF(OR(INDEX($B461:$D461,Y$5)="F",AND(Y$6&gt;0,$A461&lt;Y$6),AND(Y$7&gt;0,$A461&gt;Y$7)),0,MAX(0,ROUND((INDEX($E461:$G461,Y$5)-SUMIFS(TF_Timer,TF_Tekniker,Y$4,TF_Dato,$A461))*2,0)/2)))</f>
        <v/>
      </c>
      <c r="Z461">
        <f>IF(OR(Z$4="",$A461&gt;TODAY()),0,IF(OR(INDEX($B461:$D461,Z$5)="F",AND(Z$6&gt;0,$A461&lt;Z$6),AND(Z$7&gt;0,$A461&gt;Z$7)),0,MAX(0,ROUND((INDEX($E461:$G461,Z$5)-SUMIFS(TF_Timer,TF_Tekniker,Z$4,TF_Dato,$A461))*2,0)/2)))</f>
        <v/>
      </c>
      <c r="AA461">
        <f>IF(OR(AA$4="",$A461&gt;TODAY()),0,IF(OR(INDEX($B461:$D461,AA$5)="F",AND(AA$6&gt;0,$A461&lt;AA$6),AND(AA$7&gt;0,$A461&gt;AA$7)),0,MAX(0,ROUND((INDEX($E461:$G461,AA$5)-SUMIFS(TF_Timer,TF_Tekniker,AA$4,TF_Dato,$A461))*2,0)/2)))</f>
        <v/>
      </c>
      <c r="AB461">
        <f>IF(OR(AB$4="",$A461&gt;TODAY()),0,IF(OR(INDEX($B461:$D461,AB$5)="F",AND(AB$6&gt;0,$A461&lt;AB$6),AND(AB$7&gt;0,$A461&gt;AB$7)),0,MAX(0,ROUND((INDEX($E461:$G461,AB$5)-SUMIFS(TF_Timer,TF_Tekniker,AB$4,TF_Dato,$A461))*2,0)/2)))</f>
        <v/>
      </c>
      <c r="AC461">
        <f>IF(OR(AC$4="",$A461&gt;TODAY()),0,IF(OR(INDEX($B461:$D461,AC$5)="F",AND(AC$6&gt;0,$A461&lt;AC$6),AND(AC$7&gt;0,$A461&gt;AC$7)),0,MAX(0,ROUND((INDEX($E461:$G461,AC$5)-SUMIFS(TF_Timer,TF_Tekniker,AC$4,TF_Dato,$A461))*2,0)/2)))</f>
        <v/>
      </c>
      <c r="AD461">
        <f>IF(OR(AD$4="",$A461&gt;TODAY()),0,IF(OR(INDEX($B461:$D461,AD$5)="F",AND(AD$6&gt;0,$A461&lt;AD$6),AND(AD$7&gt;0,$A461&gt;AD$7)),0,MAX(0,ROUND((INDEX($E461:$G461,AD$5)-SUMIFS(TF_Timer,TF_Tekniker,AD$4,TF_Dato,$A461))*2,0)/2)))</f>
        <v/>
      </c>
      <c r="AE461">
        <f>IF(OR(AE$4="",$A461&gt;TODAY()),0,IF(OR(INDEX($B461:$D461,AE$5)="F",AND(AE$6&gt;0,$A461&lt;AE$6),AND(AE$7&gt;0,$A461&gt;AE$7)),0,MAX(0,ROUND((INDEX($E461:$G461,AE$5)-SUMIFS(TF_Timer,TF_Tekniker,AE$4,TF_Dato,$A461))*2,0)/2)))</f>
        <v/>
      </c>
      <c r="AF461">
        <f>IF(OR(AF$4="",$A461&gt;TODAY()),0,IF(OR(INDEX($B461:$D461,AF$5)="F",AND(AF$6&gt;0,$A461&lt;AF$6),AND(AF$7&gt;0,$A461&gt;AF$7)),0,MAX(0,ROUND((INDEX($E461:$G461,AF$5)-SUMIFS(TF_Timer,TF_Tekniker,AF$4,TF_Dato,$A461))*2,0)/2)))</f>
        <v/>
      </c>
      <c r="AG461">
        <f>IF(OR(AG$4="",$A461&gt;TODAY()),0,IF(OR(INDEX($B461:$D461,AG$5)="F",AND(AG$6&gt;0,$A461&lt;AG$6),AND(AG$7&gt;0,$A461&gt;AG$7)),0,MAX(0,ROUND((INDEX($E461:$G461,AG$5)-SUMIFS(TF_Timer,TF_Tekniker,AG$4,TF_Dato,$A461))*2,0)/2)))</f>
        <v/>
      </c>
      <c r="AH461">
        <f>IF(OR(AH$4="",$A461&gt;TODAY()),0,IF(OR(INDEX($B461:$D461,AH$5)="F",AND(AH$6&gt;0,$A461&lt;AH$6),AND(AH$7&gt;0,$A461&gt;AH$7)),0,MAX(0,ROUND((INDEX($E461:$G461,AH$5)-SUMIFS(TF_Timer,TF_Tekniker,AH$4,TF_Dato,$A461))*2,0)/2)))</f>
        <v/>
      </c>
      <c r="AI461">
        <f>IF(OR(AI$4="",$A461&gt;TODAY()),0,IF(OR(INDEX($B461:$D461,AI$5)="F",AND(AI$6&gt;0,$A461&lt;AI$6),AND(AI$7&gt;0,$A461&gt;AI$7)),0,MAX(0,ROUND((INDEX($E461:$G461,AI$5)-SUMIFS(TF_Timer,TF_Tekniker,AI$4,TF_Dato,$A461))*2,0)/2)))</f>
        <v/>
      </c>
      <c r="AJ461">
        <f>IF(OR(AJ$4="",$A461&gt;TODAY()),0,IF(OR(INDEX($B461:$D461,AJ$5)="F",AND(AJ$6&gt;0,$A461&lt;AJ$6),AND(AJ$7&gt;0,$A461&gt;AJ$7)),0,MAX(0,ROUND((INDEX($E461:$G461,AJ$5)-SUMIFS(TF_Timer,TF_Tekniker,AJ$4,TF_Dato,$A461))*2,0)/2)))</f>
        <v/>
      </c>
      <c r="AK461">
        <f>IF(OR(AK$4="",$A461&gt;TODAY()),0,IF(OR(INDEX($B461:$D461,AK$5)="F",AND(AK$6&gt;0,$A461&lt;AK$6),AND(AK$7&gt;0,$A461&gt;AK$7)),0,MAX(0,ROUND((INDEX($E461:$G461,AK$5)-SUMIFS(TF_Timer,TF_Tekniker,AK$4,TF_Dato,$A461))*2,0)/2)))</f>
        <v/>
      </c>
      <c r="AL461">
        <f>IF(OR(AL$4="",$A461&gt;TODAY()),0,IF(OR(INDEX($B461:$D461,AL$5)="F",AND(AL$6&gt;0,$A461&lt;AL$6),AND(AL$7&gt;0,$A461&gt;AL$7)),0,MAX(0,ROUND((INDEX($E461:$G461,AL$5)-SUMIFS(TF_Timer,TF_Tekniker,AL$4,TF_Dato,$A461))*2,0)/2)))</f>
        <v/>
      </c>
      <c r="AM461">
        <f>IF(OR(AM$4="",$A461&gt;TODAY()),0,IF(OR(INDEX($B461:$D461,AM$5)="F",AND(AM$6&gt;0,$A461&lt;AM$6),AND(AM$7&gt;0,$A461&gt;AM$7)),0,MAX(0,ROUND((INDEX($E461:$G461,AM$5)-SUMIFS(TF_Timer,TF_Tekniker,AM$4,TF_Dato,$A461))*2,0)/2)))</f>
        <v/>
      </c>
      <c r="AN461">
        <f>IF(OR(AN$4="",$A461&gt;TODAY()),0,IF(OR(INDEX($B461:$D461,AN$5)="F",AND(AN$6&gt;0,$A461&lt;AN$6),AND(AN$7&gt;0,$A461&gt;AN$7)),0,MAX(0,ROUND((INDEX($E461:$G461,AN$5)-SUMIFS(TF_Timer,TF_Tekniker,AN$4,TF_Dato,$A461))*2,0)/2)))</f>
        <v/>
      </c>
      <c r="AO461">
        <f>IF(OR(AO$4="",$A461&gt;TODAY()),0,IF(OR(INDEX($B461:$D461,AO$5)="F",AND(AO$6&gt;0,$A461&lt;AO$6),AND(AO$7&gt;0,$A461&gt;AO$7)),0,MAX(0,ROUND((INDEX($E461:$G461,AO$5)-SUMIFS(TF_Timer,TF_Tekniker,AO$4,TF_Dato,$A461))*2,0)/2)))</f>
        <v/>
      </c>
      <c r="AP461">
        <f>IF(OR(AP$4="",$A461&gt;TODAY()),0,IF(OR(INDEX($B461:$D461,AP$5)="F",AND(AP$6&gt;0,$A461&lt;AP$6),AND(AP$7&gt;0,$A461&gt;AP$7)),0,MAX(0,ROUND((INDEX($E461:$G461,AP$5)-SUMIFS(TF_Timer,TF_Tekniker,AP$4,TF_Dato,$A461))*2,0)/2)))</f>
        <v/>
      </c>
      <c r="AQ461">
        <f>IF(OR(AQ$4="",$A461&gt;TODAY()),0,IF(OR(INDEX($B461:$D461,AQ$5)="F",AND(AQ$6&gt;0,$A461&lt;AQ$6),AND(AQ$7&gt;0,$A461&gt;AQ$7)),0,MAX(0,ROUND((INDEX($E461:$G461,AQ$5)-SUMIFS(TF_Timer,TF_Tekniker,AQ$4,TF_Dato,$A461))*2,0)/2)))</f>
        <v/>
      </c>
      <c r="AR461">
        <f>IF(OR(AR$4="",$A461&gt;TODAY()),0,IF(OR(INDEX($B461:$D461,AR$5)="F",AND(AR$6&gt;0,$A461&lt;AR$6),AND(AR$7&gt;0,$A461&gt;AR$7)),0,MAX(0,ROUND((INDEX($E461:$G461,AR$5)-SUMIFS(TF_Timer,TF_Tekniker,AR$4,TF_Dato,$A461))*2,0)/2)))</f>
        <v/>
      </c>
      <c r="AS461">
        <f>IF(OR(AS$4="",$A461&gt;TODAY()),0,IF(OR(INDEX($B461:$D461,AS$5)="F",AND(AS$6&gt;0,$A461&lt;AS$6),AND(AS$7&gt;0,$A461&gt;AS$7)),0,MAX(0,ROUND((INDEX($E461:$G461,AS$5)-SUMIFS(TF_Timer,TF_Tekniker,AS$4,TF_Dato,$A461))*2,0)/2)))</f>
        <v/>
      </c>
      <c r="AT461">
        <f>IF(OR(AT$4="",$A461&gt;TODAY()),0,IF(OR(INDEX($B461:$D461,AT$5)="F",AND(AT$6&gt;0,$A461&lt;AT$6),AND(AT$7&gt;0,$A461&gt;AT$7)),0,MAX(0,ROUND((INDEX($E461:$G461,AT$5)-SUMIFS(TF_Timer,TF_Tekniker,AT$4,TF_Dato,$A461))*2,0)/2)))</f>
        <v/>
      </c>
      <c r="AU461">
        <f>IF(OR(AU$4="",$A461&gt;TODAY()),0,IF(OR(INDEX($B461:$D461,AU$5)="F",AND(AU$6&gt;0,$A461&lt;AU$6),AND(AU$7&gt;0,$A461&gt;AU$7)),0,MAX(0,ROUND((INDEX($E461:$G461,AU$5)-SUMIFS(TF_Timer,TF_Tekniker,AU$4,TF_Dato,$A461))*2,0)/2)))</f>
        <v/>
      </c>
      <c r="AV461">
        <f>IF(OR(AV$4="",$A461&gt;TODAY()),0,IF(OR(INDEX($B461:$D461,AV$5)="F",AND(AV$6&gt;0,$A461&lt;AV$6),AND(AV$7&gt;0,$A461&gt;AV$7)),0,MAX(0,ROUND((INDEX($E461:$G461,AV$5)-SUMIFS(TF_Timer,TF_Tekniker,AV$4,TF_Dato,$A461))*2,0)/2)))</f>
        <v/>
      </c>
      <c r="AW461">
        <f>IF(OR(AW$4="",$A461&gt;TODAY()),0,IF(OR(INDEX($B461:$D461,AW$5)="F",AND(AW$6&gt;0,$A461&lt;AW$6),AND(AW$7&gt;0,$A461&gt;AW$7)),0,MAX(0,ROUND((INDEX($E461:$G461,AW$5)-SUMIFS(TF_Timer,TF_Tekniker,AW$4,TF_Dato,$A461))*2,0)/2)))</f>
        <v/>
      </c>
      <c r="AX461">
        <f>IF(OR(AX$4="",$A461&gt;TODAY()),0,IF(OR(INDEX($B461:$D461,AX$5)="F",AND(AX$6&gt;0,$A461&lt;AX$6),AND(AX$7&gt;0,$A461&gt;AX$7)),0,MAX(0,ROUND((INDEX($E461:$G461,AX$5)-SUMIFS(TF_Timer,TF_Tekniker,AX$4,TF_Dato,$A461))*2,0)/2)))</f>
        <v/>
      </c>
      <c r="AY461">
        <f>IF(OR(AY$4="",$A461&gt;TODAY()),0,IF(OR(INDEX($B461:$D461,AY$5)="F",AND(AY$6&gt;0,$A461&lt;AY$6),AND(AY$7&gt;0,$A461&gt;AY$7)),0,MAX(0,ROUND((INDEX($E461:$G461,AY$5)-SUMIFS(TF_Timer,TF_Tekniker,AY$4,TF_Dato,$A461))*2,0)/2)))</f>
        <v/>
      </c>
      <c r="AZ461">
        <f>IF(OR(AZ$4="",$A461&gt;TODAY()),0,IF(OR(INDEX($B461:$D461,AZ$5)="F",AND(AZ$6&gt;0,$A461&lt;AZ$6),AND(AZ$7&gt;0,$A461&gt;AZ$7)),0,MAX(0,ROUND((INDEX($E461:$G461,AZ$5)-SUMIFS(TF_Timer,TF_Tekniker,AZ$4,TF_Dato,$A461))*2,0)/2)))</f>
        <v/>
      </c>
      <c r="BA461">
        <f>IF(OR(BA$4="",$A461&gt;TODAY()),0,IF(OR(INDEX($B461:$D461,BA$5)="F",AND(BA$6&gt;0,$A461&lt;BA$6),AND(BA$7&gt;0,$A461&gt;BA$7)),0,MAX(0,ROUND((INDEX($E461:$G461,BA$5)-SUMIFS(TF_Timer,TF_Tekniker,BA$4,TF_Dato,$A461))*2,0)/2)))</f>
        <v/>
      </c>
      <c r="BB461">
        <f>IF(OR(BB$4="",$A461&gt;TODAY()),0,IF(OR(INDEX($B461:$D461,BB$5)="F",AND(BB$6&gt;0,$A461&lt;BB$6),AND(BB$7&gt;0,$A461&gt;BB$7)),0,MAX(0,ROUND((INDEX($E461:$G461,BB$5)-SUMIFS(TF_Timer,TF_Tekniker,BB$4,TF_Dato,$A461))*2,0)/2)))</f>
        <v/>
      </c>
      <c r="BC461">
        <f>IF(OR(BC$4="",$A461&gt;TODAY()),0,IF(OR(INDEX($B461:$D461,BC$5)="F",AND(BC$6&gt;0,$A461&lt;BC$6),AND(BC$7&gt;0,$A461&gt;BC$7)),0,MAX(0,ROUND((INDEX($E461:$G461,BC$5)-SUMIFS(TF_Timer,TF_Tekniker,BC$4,TF_Dato,$A461))*2,0)/2)))</f>
        <v/>
      </c>
      <c r="BD461">
        <f>IF(OR(BD$4="",$A461&gt;TODAY()),0,IF(OR(INDEX($B461:$D461,BD$5)="F",AND(BD$6&gt;0,$A461&lt;BD$6),AND(BD$7&gt;0,$A461&gt;BD$7)),0,MAX(0,ROUND((INDEX($E461:$G461,BD$5)-SUMIFS(TF_Timer,TF_Tekniker,BD$4,TF_Dato,$A461))*2,0)/2)))</f>
        <v/>
      </c>
      <c r="BE461">
        <f>IF(OR(BE$4="",$A461&gt;TODAY()),0,IF(OR(INDEX($B461:$D461,BE$5)="F",AND(BE$6&gt;0,$A461&lt;BE$6),AND(BE$7&gt;0,$A461&gt;BE$7)),0,MAX(0,ROUND((INDEX($E461:$G461,BE$5)-SUMIFS(TF_Timer,TF_Tekniker,BE$4,TF_Dato,$A461))*2,0)/2)))</f>
        <v/>
      </c>
      <c r="BF461">
        <f>IF(OR(BF$4="",$A461&gt;TODAY()),0,IF(OR(INDEX($B461:$D461,BF$5)="F",AND(BF$6&gt;0,$A461&lt;BF$6),AND(BF$7&gt;0,$A461&gt;BF$7)),0,MAX(0,ROUND((INDEX($E461:$G461,BF$5)-SUMIFS(TF_Timer,TF_Tekniker,BF$4,TF_Dato,$A461))*2,0)/2)))</f>
        <v/>
      </c>
      <c r="BG461">
        <f>IF(OR(BG$4="",$A461&gt;TODAY()),0,IF(OR(INDEX($B461:$D461,BG$5)="F",AND(BG$6&gt;0,$A461&lt;BG$6),AND(BG$7&gt;0,$A461&gt;BG$7)),0,MAX(0,ROUND((INDEX($E461:$G461,BG$5)-SUMIFS(TF_Timer,TF_Tekniker,BG$4,TF_Dato,$A461))*2,0)/2)))</f>
        <v/>
      </c>
      <c r="BH461">
        <f>IF(OR(BH$4="",$A461&gt;TODAY()),0,IF(OR(INDEX($B461:$D461,BH$5)="F",AND(BH$6&gt;0,$A461&lt;BH$6),AND(BH$7&gt;0,$A461&gt;BH$7)),0,MAX(0,ROUND((INDEX($E461:$G461,BH$5)-SUMIFS(TF_Timer,TF_Tekniker,BH$4,TF_Dato,$A461))*2,0)/2)))</f>
        <v/>
      </c>
      <c r="BI461">
        <f>IF(OR(BI$4="",$A461&gt;TODAY()),0,IF(OR(INDEX($B461:$D461,BI$5)="F",AND(BI$6&gt;0,$A461&lt;BI$6),AND(BI$7&gt;0,$A461&gt;BI$7)),0,MAX(0,ROUND((INDEX($E461:$G461,BI$5)-SUMIFS(TF_Timer,TF_Tekniker,BI$4,TF_Dato,$A461))*2,0)/2)))</f>
        <v/>
      </c>
    </row>
    <row r="462">
      <c r="A462" s="64">
        <f>A461+1</f>
        <v/>
      </c>
      <c r="B462">
        <f>IF(MOD($A462-INDEX(SkiftStart,1),Syklus)&lt;DagK,"K",IF(MOD($A462-INDEX(SkiftStart,1),Syklus)&lt;DagK+DagH,"H",IF(MOD($A462-INDEX(SkiftStart,1),Syklus)&lt;DagK+DagH+DagD,"D","F")))</f>
        <v/>
      </c>
      <c r="C462">
        <f>IF(MOD($A462-INDEX(SkiftStart,2),Syklus)&lt;DagK,"K",IF(MOD($A462-INDEX(SkiftStart,2),Syklus)&lt;DagK+DagH,"H",IF(MOD($A462-INDEX(SkiftStart,2),Syklus)&lt;DagK+DagH+DagD,"D","F")))</f>
        <v/>
      </c>
      <c r="D462">
        <f>IF(MOD($A462-INDEX(SkiftStart,3),Syklus)&lt;DagK,"K",IF(MOD($A462-INDEX(SkiftStart,3),Syklus)&lt;DagK+DagH,"H",IF(MOD($A462-INDEX(SkiftStart,3),Syklus)&lt;DagK+DagH+DagD,"D","F")))</f>
        <v/>
      </c>
      <c r="E462">
        <f>IF(B462="F",0,IF(WEEKDAY($A462,2)=5,INDEX(TimerFr,MATCH(B462,FaseKode,0)),INDEX(TimerMT,MATCH(B462,FaseKode,0))))</f>
        <v/>
      </c>
      <c r="F462">
        <f>IF(C462="F",0,IF(WEEKDAY($A462,2)=5,INDEX(TimerFr,MATCH(C462,FaseKode,0)),INDEX(TimerMT,MATCH(C462,FaseKode,0))))</f>
        <v/>
      </c>
      <c r="G462">
        <f>IF(D462="F",0,IF(WEEKDAY($A462,2)=5,INDEX(TimerFr,MATCH(D462,FaseKode,0)),INDEX(TimerMT,MATCH(D462,FaseKode,0))))</f>
        <v/>
      </c>
      <c r="H462">
        <f>IF(OR(H$4="",$A462&gt;TODAY()),0,IF(OR(INDEX($B462:$D462,H$5)="F",AND(H$6&gt;0,$A462&lt;H$6),AND(H$7&gt;0,$A462&gt;H$7)),0,MAX(0,ROUND((INDEX($E462:$G462,H$5)-SUMIFS(TF_Timer,TF_Tekniker,H$4,TF_Dato,$A462))*2,0)/2)))</f>
        <v/>
      </c>
      <c r="I462">
        <f>IF(OR(I$4="",$A462&gt;TODAY()),0,IF(OR(INDEX($B462:$D462,I$5)="F",AND(I$6&gt;0,$A462&lt;I$6),AND(I$7&gt;0,$A462&gt;I$7)),0,MAX(0,ROUND((INDEX($E462:$G462,I$5)-SUMIFS(TF_Timer,TF_Tekniker,I$4,TF_Dato,$A462))*2,0)/2)))</f>
        <v/>
      </c>
      <c r="J462">
        <f>IF(OR(J$4="",$A462&gt;TODAY()),0,IF(OR(INDEX($B462:$D462,J$5)="F",AND(J$6&gt;0,$A462&lt;J$6),AND(J$7&gt;0,$A462&gt;J$7)),0,MAX(0,ROUND((INDEX($E462:$G462,J$5)-SUMIFS(TF_Timer,TF_Tekniker,J$4,TF_Dato,$A462))*2,0)/2)))</f>
        <v/>
      </c>
      <c r="K462">
        <f>IF(OR(K$4="",$A462&gt;TODAY()),0,IF(OR(INDEX($B462:$D462,K$5)="F",AND(K$6&gt;0,$A462&lt;K$6),AND(K$7&gt;0,$A462&gt;K$7)),0,MAX(0,ROUND((INDEX($E462:$G462,K$5)-SUMIFS(TF_Timer,TF_Tekniker,K$4,TF_Dato,$A462))*2,0)/2)))</f>
        <v/>
      </c>
      <c r="L462">
        <f>IF(OR(L$4="",$A462&gt;TODAY()),0,IF(OR(INDEX($B462:$D462,L$5)="F",AND(L$6&gt;0,$A462&lt;L$6),AND(L$7&gt;0,$A462&gt;L$7)),0,MAX(0,ROUND((INDEX($E462:$G462,L$5)-SUMIFS(TF_Timer,TF_Tekniker,L$4,TF_Dato,$A462))*2,0)/2)))</f>
        <v/>
      </c>
      <c r="M462">
        <f>IF(OR(M$4="",$A462&gt;TODAY()),0,IF(OR(INDEX($B462:$D462,M$5)="F",AND(M$6&gt;0,$A462&lt;M$6),AND(M$7&gt;0,$A462&gt;M$7)),0,MAX(0,ROUND((INDEX($E462:$G462,M$5)-SUMIFS(TF_Timer,TF_Tekniker,M$4,TF_Dato,$A462))*2,0)/2)))</f>
        <v/>
      </c>
      <c r="N462">
        <f>IF(OR(N$4="",$A462&gt;TODAY()),0,IF(OR(INDEX($B462:$D462,N$5)="F",AND(N$6&gt;0,$A462&lt;N$6),AND(N$7&gt;0,$A462&gt;N$7)),0,MAX(0,ROUND((INDEX($E462:$G462,N$5)-SUMIFS(TF_Timer,TF_Tekniker,N$4,TF_Dato,$A462))*2,0)/2)))</f>
        <v/>
      </c>
      <c r="O462">
        <f>IF(OR(O$4="",$A462&gt;TODAY()),0,IF(OR(INDEX($B462:$D462,O$5)="F",AND(O$6&gt;0,$A462&lt;O$6),AND(O$7&gt;0,$A462&gt;O$7)),0,MAX(0,ROUND((INDEX($E462:$G462,O$5)-SUMIFS(TF_Timer,TF_Tekniker,O$4,TF_Dato,$A462))*2,0)/2)))</f>
        <v/>
      </c>
      <c r="P462">
        <f>IF(OR(P$4="",$A462&gt;TODAY()),0,IF(OR(INDEX($B462:$D462,P$5)="F",AND(P$6&gt;0,$A462&lt;P$6),AND(P$7&gt;0,$A462&gt;P$7)),0,MAX(0,ROUND((INDEX($E462:$G462,P$5)-SUMIFS(TF_Timer,TF_Tekniker,P$4,TF_Dato,$A462))*2,0)/2)))</f>
        <v/>
      </c>
      <c r="Q462">
        <f>IF(OR(Q$4="",$A462&gt;TODAY()),0,IF(OR(INDEX($B462:$D462,Q$5)="F",AND(Q$6&gt;0,$A462&lt;Q$6),AND(Q$7&gt;0,$A462&gt;Q$7)),0,MAX(0,ROUND((INDEX($E462:$G462,Q$5)-SUMIFS(TF_Timer,TF_Tekniker,Q$4,TF_Dato,$A462))*2,0)/2)))</f>
        <v/>
      </c>
      <c r="R462">
        <f>IF(OR(R$4="",$A462&gt;TODAY()),0,IF(OR(INDEX($B462:$D462,R$5)="F",AND(R$6&gt;0,$A462&lt;R$6),AND(R$7&gt;0,$A462&gt;R$7)),0,MAX(0,ROUND((INDEX($E462:$G462,R$5)-SUMIFS(TF_Timer,TF_Tekniker,R$4,TF_Dato,$A462))*2,0)/2)))</f>
        <v/>
      </c>
      <c r="S462">
        <f>IF(OR(S$4="",$A462&gt;TODAY()),0,IF(OR(INDEX($B462:$D462,S$5)="F",AND(S$6&gt;0,$A462&lt;S$6),AND(S$7&gt;0,$A462&gt;S$7)),0,MAX(0,ROUND((INDEX($E462:$G462,S$5)-SUMIFS(TF_Timer,TF_Tekniker,S$4,TF_Dato,$A462))*2,0)/2)))</f>
        <v/>
      </c>
      <c r="T462">
        <f>IF(OR(T$4="",$A462&gt;TODAY()),0,IF(OR(INDEX($B462:$D462,T$5)="F",AND(T$6&gt;0,$A462&lt;T$6),AND(T$7&gt;0,$A462&gt;T$7)),0,MAX(0,ROUND((INDEX($E462:$G462,T$5)-SUMIFS(TF_Timer,TF_Tekniker,T$4,TF_Dato,$A462))*2,0)/2)))</f>
        <v/>
      </c>
      <c r="U462">
        <f>IF(OR(U$4="",$A462&gt;TODAY()),0,IF(OR(INDEX($B462:$D462,U$5)="F",AND(U$6&gt;0,$A462&lt;U$6),AND(U$7&gt;0,$A462&gt;U$7)),0,MAX(0,ROUND((INDEX($E462:$G462,U$5)-SUMIFS(TF_Timer,TF_Tekniker,U$4,TF_Dato,$A462))*2,0)/2)))</f>
        <v/>
      </c>
      <c r="V462">
        <f>IF(OR(V$4="",$A462&gt;TODAY()),0,IF(OR(INDEX($B462:$D462,V$5)="F",AND(V$6&gt;0,$A462&lt;V$6),AND(V$7&gt;0,$A462&gt;V$7)),0,MAX(0,ROUND((INDEX($E462:$G462,V$5)-SUMIFS(TF_Timer,TF_Tekniker,V$4,TF_Dato,$A462))*2,0)/2)))</f>
        <v/>
      </c>
      <c r="W462">
        <f>IF(OR(W$4="",$A462&gt;TODAY()),0,IF(OR(INDEX($B462:$D462,W$5)="F",AND(W$6&gt;0,$A462&lt;W$6),AND(W$7&gt;0,$A462&gt;W$7)),0,MAX(0,ROUND((INDEX($E462:$G462,W$5)-SUMIFS(TF_Timer,TF_Tekniker,W$4,TF_Dato,$A462))*2,0)/2)))</f>
        <v/>
      </c>
      <c r="X462">
        <f>IF(OR(X$4="",$A462&gt;TODAY()),0,IF(OR(INDEX($B462:$D462,X$5)="F",AND(X$6&gt;0,$A462&lt;X$6),AND(X$7&gt;0,$A462&gt;X$7)),0,MAX(0,ROUND((INDEX($E462:$G462,X$5)-SUMIFS(TF_Timer,TF_Tekniker,X$4,TF_Dato,$A462))*2,0)/2)))</f>
        <v/>
      </c>
      <c r="Y462">
        <f>IF(OR(Y$4="",$A462&gt;TODAY()),0,IF(OR(INDEX($B462:$D462,Y$5)="F",AND(Y$6&gt;0,$A462&lt;Y$6),AND(Y$7&gt;0,$A462&gt;Y$7)),0,MAX(0,ROUND((INDEX($E462:$G462,Y$5)-SUMIFS(TF_Timer,TF_Tekniker,Y$4,TF_Dato,$A462))*2,0)/2)))</f>
        <v/>
      </c>
      <c r="Z462">
        <f>IF(OR(Z$4="",$A462&gt;TODAY()),0,IF(OR(INDEX($B462:$D462,Z$5)="F",AND(Z$6&gt;0,$A462&lt;Z$6),AND(Z$7&gt;0,$A462&gt;Z$7)),0,MAX(0,ROUND((INDEX($E462:$G462,Z$5)-SUMIFS(TF_Timer,TF_Tekniker,Z$4,TF_Dato,$A462))*2,0)/2)))</f>
        <v/>
      </c>
      <c r="AA462">
        <f>IF(OR(AA$4="",$A462&gt;TODAY()),0,IF(OR(INDEX($B462:$D462,AA$5)="F",AND(AA$6&gt;0,$A462&lt;AA$6),AND(AA$7&gt;0,$A462&gt;AA$7)),0,MAX(0,ROUND((INDEX($E462:$G462,AA$5)-SUMIFS(TF_Timer,TF_Tekniker,AA$4,TF_Dato,$A462))*2,0)/2)))</f>
        <v/>
      </c>
      <c r="AB462">
        <f>IF(OR(AB$4="",$A462&gt;TODAY()),0,IF(OR(INDEX($B462:$D462,AB$5)="F",AND(AB$6&gt;0,$A462&lt;AB$6),AND(AB$7&gt;0,$A462&gt;AB$7)),0,MAX(0,ROUND((INDEX($E462:$G462,AB$5)-SUMIFS(TF_Timer,TF_Tekniker,AB$4,TF_Dato,$A462))*2,0)/2)))</f>
        <v/>
      </c>
      <c r="AC462">
        <f>IF(OR(AC$4="",$A462&gt;TODAY()),0,IF(OR(INDEX($B462:$D462,AC$5)="F",AND(AC$6&gt;0,$A462&lt;AC$6),AND(AC$7&gt;0,$A462&gt;AC$7)),0,MAX(0,ROUND((INDEX($E462:$G462,AC$5)-SUMIFS(TF_Timer,TF_Tekniker,AC$4,TF_Dato,$A462))*2,0)/2)))</f>
        <v/>
      </c>
      <c r="AD462">
        <f>IF(OR(AD$4="",$A462&gt;TODAY()),0,IF(OR(INDEX($B462:$D462,AD$5)="F",AND(AD$6&gt;0,$A462&lt;AD$6),AND(AD$7&gt;0,$A462&gt;AD$7)),0,MAX(0,ROUND((INDEX($E462:$G462,AD$5)-SUMIFS(TF_Timer,TF_Tekniker,AD$4,TF_Dato,$A462))*2,0)/2)))</f>
        <v/>
      </c>
      <c r="AE462">
        <f>IF(OR(AE$4="",$A462&gt;TODAY()),0,IF(OR(INDEX($B462:$D462,AE$5)="F",AND(AE$6&gt;0,$A462&lt;AE$6),AND(AE$7&gt;0,$A462&gt;AE$7)),0,MAX(0,ROUND((INDEX($E462:$G462,AE$5)-SUMIFS(TF_Timer,TF_Tekniker,AE$4,TF_Dato,$A462))*2,0)/2)))</f>
        <v/>
      </c>
      <c r="AF462">
        <f>IF(OR(AF$4="",$A462&gt;TODAY()),0,IF(OR(INDEX($B462:$D462,AF$5)="F",AND(AF$6&gt;0,$A462&lt;AF$6),AND(AF$7&gt;0,$A462&gt;AF$7)),0,MAX(0,ROUND((INDEX($E462:$G462,AF$5)-SUMIFS(TF_Timer,TF_Tekniker,AF$4,TF_Dato,$A462))*2,0)/2)))</f>
        <v/>
      </c>
      <c r="AG462">
        <f>IF(OR(AG$4="",$A462&gt;TODAY()),0,IF(OR(INDEX($B462:$D462,AG$5)="F",AND(AG$6&gt;0,$A462&lt;AG$6),AND(AG$7&gt;0,$A462&gt;AG$7)),0,MAX(0,ROUND((INDEX($E462:$G462,AG$5)-SUMIFS(TF_Timer,TF_Tekniker,AG$4,TF_Dato,$A462))*2,0)/2)))</f>
        <v/>
      </c>
      <c r="AH462">
        <f>IF(OR(AH$4="",$A462&gt;TODAY()),0,IF(OR(INDEX($B462:$D462,AH$5)="F",AND(AH$6&gt;0,$A462&lt;AH$6),AND(AH$7&gt;0,$A462&gt;AH$7)),0,MAX(0,ROUND((INDEX($E462:$G462,AH$5)-SUMIFS(TF_Timer,TF_Tekniker,AH$4,TF_Dato,$A462))*2,0)/2)))</f>
        <v/>
      </c>
      <c r="AI462">
        <f>IF(OR(AI$4="",$A462&gt;TODAY()),0,IF(OR(INDEX($B462:$D462,AI$5)="F",AND(AI$6&gt;0,$A462&lt;AI$6),AND(AI$7&gt;0,$A462&gt;AI$7)),0,MAX(0,ROUND((INDEX($E462:$G462,AI$5)-SUMIFS(TF_Timer,TF_Tekniker,AI$4,TF_Dato,$A462))*2,0)/2)))</f>
        <v/>
      </c>
      <c r="AJ462">
        <f>IF(OR(AJ$4="",$A462&gt;TODAY()),0,IF(OR(INDEX($B462:$D462,AJ$5)="F",AND(AJ$6&gt;0,$A462&lt;AJ$6),AND(AJ$7&gt;0,$A462&gt;AJ$7)),0,MAX(0,ROUND((INDEX($E462:$G462,AJ$5)-SUMIFS(TF_Timer,TF_Tekniker,AJ$4,TF_Dato,$A462))*2,0)/2)))</f>
        <v/>
      </c>
      <c r="AK462">
        <f>IF(OR(AK$4="",$A462&gt;TODAY()),0,IF(OR(INDEX($B462:$D462,AK$5)="F",AND(AK$6&gt;0,$A462&lt;AK$6),AND(AK$7&gt;0,$A462&gt;AK$7)),0,MAX(0,ROUND((INDEX($E462:$G462,AK$5)-SUMIFS(TF_Timer,TF_Tekniker,AK$4,TF_Dato,$A462))*2,0)/2)))</f>
        <v/>
      </c>
      <c r="AL462">
        <f>IF(OR(AL$4="",$A462&gt;TODAY()),0,IF(OR(INDEX($B462:$D462,AL$5)="F",AND(AL$6&gt;0,$A462&lt;AL$6),AND(AL$7&gt;0,$A462&gt;AL$7)),0,MAX(0,ROUND((INDEX($E462:$G462,AL$5)-SUMIFS(TF_Timer,TF_Tekniker,AL$4,TF_Dato,$A462))*2,0)/2)))</f>
        <v/>
      </c>
      <c r="AM462">
        <f>IF(OR(AM$4="",$A462&gt;TODAY()),0,IF(OR(INDEX($B462:$D462,AM$5)="F",AND(AM$6&gt;0,$A462&lt;AM$6),AND(AM$7&gt;0,$A462&gt;AM$7)),0,MAX(0,ROUND((INDEX($E462:$G462,AM$5)-SUMIFS(TF_Timer,TF_Tekniker,AM$4,TF_Dato,$A462))*2,0)/2)))</f>
        <v/>
      </c>
      <c r="AN462">
        <f>IF(OR(AN$4="",$A462&gt;TODAY()),0,IF(OR(INDEX($B462:$D462,AN$5)="F",AND(AN$6&gt;0,$A462&lt;AN$6),AND(AN$7&gt;0,$A462&gt;AN$7)),0,MAX(0,ROUND((INDEX($E462:$G462,AN$5)-SUMIFS(TF_Timer,TF_Tekniker,AN$4,TF_Dato,$A462))*2,0)/2)))</f>
        <v/>
      </c>
      <c r="AO462">
        <f>IF(OR(AO$4="",$A462&gt;TODAY()),0,IF(OR(INDEX($B462:$D462,AO$5)="F",AND(AO$6&gt;0,$A462&lt;AO$6),AND(AO$7&gt;0,$A462&gt;AO$7)),0,MAX(0,ROUND((INDEX($E462:$G462,AO$5)-SUMIFS(TF_Timer,TF_Tekniker,AO$4,TF_Dato,$A462))*2,0)/2)))</f>
        <v/>
      </c>
      <c r="AP462">
        <f>IF(OR(AP$4="",$A462&gt;TODAY()),0,IF(OR(INDEX($B462:$D462,AP$5)="F",AND(AP$6&gt;0,$A462&lt;AP$6),AND(AP$7&gt;0,$A462&gt;AP$7)),0,MAX(0,ROUND((INDEX($E462:$G462,AP$5)-SUMIFS(TF_Timer,TF_Tekniker,AP$4,TF_Dato,$A462))*2,0)/2)))</f>
        <v/>
      </c>
      <c r="AQ462">
        <f>IF(OR(AQ$4="",$A462&gt;TODAY()),0,IF(OR(INDEX($B462:$D462,AQ$5)="F",AND(AQ$6&gt;0,$A462&lt;AQ$6),AND(AQ$7&gt;0,$A462&gt;AQ$7)),0,MAX(0,ROUND((INDEX($E462:$G462,AQ$5)-SUMIFS(TF_Timer,TF_Tekniker,AQ$4,TF_Dato,$A462))*2,0)/2)))</f>
        <v/>
      </c>
      <c r="AR462">
        <f>IF(OR(AR$4="",$A462&gt;TODAY()),0,IF(OR(INDEX($B462:$D462,AR$5)="F",AND(AR$6&gt;0,$A462&lt;AR$6),AND(AR$7&gt;0,$A462&gt;AR$7)),0,MAX(0,ROUND((INDEX($E462:$G462,AR$5)-SUMIFS(TF_Timer,TF_Tekniker,AR$4,TF_Dato,$A462))*2,0)/2)))</f>
        <v/>
      </c>
      <c r="AS462">
        <f>IF(OR(AS$4="",$A462&gt;TODAY()),0,IF(OR(INDEX($B462:$D462,AS$5)="F",AND(AS$6&gt;0,$A462&lt;AS$6),AND(AS$7&gt;0,$A462&gt;AS$7)),0,MAX(0,ROUND((INDEX($E462:$G462,AS$5)-SUMIFS(TF_Timer,TF_Tekniker,AS$4,TF_Dato,$A462))*2,0)/2)))</f>
        <v/>
      </c>
      <c r="AT462">
        <f>IF(OR(AT$4="",$A462&gt;TODAY()),0,IF(OR(INDEX($B462:$D462,AT$5)="F",AND(AT$6&gt;0,$A462&lt;AT$6),AND(AT$7&gt;0,$A462&gt;AT$7)),0,MAX(0,ROUND((INDEX($E462:$G462,AT$5)-SUMIFS(TF_Timer,TF_Tekniker,AT$4,TF_Dato,$A462))*2,0)/2)))</f>
        <v/>
      </c>
      <c r="AU462">
        <f>IF(OR(AU$4="",$A462&gt;TODAY()),0,IF(OR(INDEX($B462:$D462,AU$5)="F",AND(AU$6&gt;0,$A462&lt;AU$6),AND(AU$7&gt;0,$A462&gt;AU$7)),0,MAX(0,ROUND((INDEX($E462:$G462,AU$5)-SUMIFS(TF_Timer,TF_Tekniker,AU$4,TF_Dato,$A462))*2,0)/2)))</f>
        <v/>
      </c>
      <c r="AV462">
        <f>IF(OR(AV$4="",$A462&gt;TODAY()),0,IF(OR(INDEX($B462:$D462,AV$5)="F",AND(AV$6&gt;0,$A462&lt;AV$6),AND(AV$7&gt;0,$A462&gt;AV$7)),0,MAX(0,ROUND((INDEX($E462:$G462,AV$5)-SUMIFS(TF_Timer,TF_Tekniker,AV$4,TF_Dato,$A462))*2,0)/2)))</f>
        <v/>
      </c>
      <c r="AW462">
        <f>IF(OR(AW$4="",$A462&gt;TODAY()),0,IF(OR(INDEX($B462:$D462,AW$5)="F",AND(AW$6&gt;0,$A462&lt;AW$6),AND(AW$7&gt;0,$A462&gt;AW$7)),0,MAX(0,ROUND((INDEX($E462:$G462,AW$5)-SUMIFS(TF_Timer,TF_Tekniker,AW$4,TF_Dato,$A462))*2,0)/2)))</f>
        <v/>
      </c>
      <c r="AX462">
        <f>IF(OR(AX$4="",$A462&gt;TODAY()),0,IF(OR(INDEX($B462:$D462,AX$5)="F",AND(AX$6&gt;0,$A462&lt;AX$6),AND(AX$7&gt;0,$A462&gt;AX$7)),0,MAX(0,ROUND((INDEX($E462:$G462,AX$5)-SUMIFS(TF_Timer,TF_Tekniker,AX$4,TF_Dato,$A462))*2,0)/2)))</f>
        <v/>
      </c>
      <c r="AY462">
        <f>IF(OR(AY$4="",$A462&gt;TODAY()),0,IF(OR(INDEX($B462:$D462,AY$5)="F",AND(AY$6&gt;0,$A462&lt;AY$6),AND(AY$7&gt;0,$A462&gt;AY$7)),0,MAX(0,ROUND((INDEX($E462:$G462,AY$5)-SUMIFS(TF_Timer,TF_Tekniker,AY$4,TF_Dato,$A462))*2,0)/2)))</f>
        <v/>
      </c>
      <c r="AZ462">
        <f>IF(OR(AZ$4="",$A462&gt;TODAY()),0,IF(OR(INDEX($B462:$D462,AZ$5)="F",AND(AZ$6&gt;0,$A462&lt;AZ$6),AND(AZ$7&gt;0,$A462&gt;AZ$7)),0,MAX(0,ROUND((INDEX($E462:$G462,AZ$5)-SUMIFS(TF_Timer,TF_Tekniker,AZ$4,TF_Dato,$A462))*2,0)/2)))</f>
        <v/>
      </c>
      <c r="BA462">
        <f>IF(OR(BA$4="",$A462&gt;TODAY()),0,IF(OR(INDEX($B462:$D462,BA$5)="F",AND(BA$6&gt;0,$A462&lt;BA$6),AND(BA$7&gt;0,$A462&gt;BA$7)),0,MAX(0,ROUND((INDEX($E462:$G462,BA$5)-SUMIFS(TF_Timer,TF_Tekniker,BA$4,TF_Dato,$A462))*2,0)/2)))</f>
        <v/>
      </c>
      <c r="BB462">
        <f>IF(OR(BB$4="",$A462&gt;TODAY()),0,IF(OR(INDEX($B462:$D462,BB$5)="F",AND(BB$6&gt;0,$A462&lt;BB$6),AND(BB$7&gt;0,$A462&gt;BB$7)),0,MAX(0,ROUND((INDEX($E462:$G462,BB$5)-SUMIFS(TF_Timer,TF_Tekniker,BB$4,TF_Dato,$A462))*2,0)/2)))</f>
        <v/>
      </c>
      <c r="BC462">
        <f>IF(OR(BC$4="",$A462&gt;TODAY()),0,IF(OR(INDEX($B462:$D462,BC$5)="F",AND(BC$6&gt;0,$A462&lt;BC$6),AND(BC$7&gt;0,$A462&gt;BC$7)),0,MAX(0,ROUND((INDEX($E462:$G462,BC$5)-SUMIFS(TF_Timer,TF_Tekniker,BC$4,TF_Dato,$A462))*2,0)/2)))</f>
        <v/>
      </c>
      <c r="BD462">
        <f>IF(OR(BD$4="",$A462&gt;TODAY()),0,IF(OR(INDEX($B462:$D462,BD$5)="F",AND(BD$6&gt;0,$A462&lt;BD$6),AND(BD$7&gt;0,$A462&gt;BD$7)),0,MAX(0,ROUND((INDEX($E462:$G462,BD$5)-SUMIFS(TF_Timer,TF_Tekniker,BD$4,TF_Dato,$A462))*2,0)/2)))</f>
        <v/>
      </c>
      <c r="BE462">
        <f>IF(OR(BE$4="",$A462&gt;TODAY()),0,IF(OR(INDEX($B462:$D462,BE$5)="F",AND(BE$6&gt;0,$A462&lt;BE$6),AND(BE$7&gt;0,$A462&gt;BE$7)),0,MAX(0,ROUND((INDEX($E462:$G462,BE$5)-SUMIFS(TF_Timer,TF_Tekniker,BE$4,TF_Dato,$A462))*2,0)/2)))</f>
        <v/>
      </c>
      <c r="BF462">
        <f>IF(OR(BF$4="",$A462&gt;TODAY()),0,IF(OR(INDEX($B462:$D462,BF$5)="F",AND(BF$6&gt;0,$A462&lt;BF$6),AND(BF$7&gt;0,$A462&gt;BF$7)),0,MAX(0,ROUND((INDEX($E462:$G462,BF$5)-SUMIFS(TF_Timer,TF_Tekniker,BF$4,TF_Dato,$A462))*2,0)/2)))</f>
        <v/>
      </c>
      <c r="BG462">
        <f>IF(OR(BG$4="",$A462&gt;TODAY()),0,IF(OR(INDEX($B462:$D462,BG$5)="F",AND(BG$6&gt;0,$A462&lt;BG$6),AND(BG$7&gt;0,$A462&gt;BG$7)),0,MAX(0,ROUND((INDEX($E462:$G462,BG$5)-SUMIFS(TF_Timer,TF_Tekniker,BG$4,TF_Dato,$A462))*2,0)/2)))</f>
        <v/>
      </c>
      <c r="BH462">
        <f>IF(OR(BH$4="",$A462&gt;TODAY()),0,IF(OR(INDEX($B462:$D462,BH$5)="F",AND(BH$6&gt;0,$A462&lt;BH$6),AND(BH$7&gt;0,$A462&gt;BH$7)),0,MAX(0,ROUND((INDEX($E462:$G462,BH$5)-SUMIFS(TF_Timer,TF_Tekniker,BH$4,TF_Dato,$A462))*2,0)/2)))</f>
        <v/>
      </c>
      <c r="BI462">
        <f>IF(OR(BI$4="",$A462&gt;TODAY()),0,IF(OR(INDEX($B462:$D462,BI$5)="F",AND(BI$6&gt;0,$A462&lt;BI$6),AND(BI$7&gt;0,$A462&gt;BI$7)),0,MAX(0,ROUND((INDEX($E462:$G462,BI$5)-SUMIFS(TF_Timer,TF_Tekniker,BI$4,TF_Dato,$A462))*2,0)/2)))</f>
        <v/>
      </c>
    </row>
    <row r="463">
      <c r="A463" s="64">
        <f>A462+1</f>
        <v/>
      </c>
      <c r="B463">
        <f>IF(MOD($A463-INDEX(SkiftStart,1),Syklus)&lt;DagK,"K",IF(MOD($A463-INDEX(SkiftStart,1),Syklus)&lt;DagK+DagH,"H",IF(MOD($A463-INDEX(SkiftStart,1),Syklus)&lt;DagK+DagH+DagD,"D","F")))</f>
        <v/>
      </c>
      <c r="C463">
        <f>IF(MOD($A463-INDEX(SkiftStart,2),Syklus)&lt;DagK,"K",IF(MOD($A463-INDEX(SkiftStart,2),Syklus)&lt;DagK+DagH,"H",IF(MOD($A463-INDEX(SkiftStart,2),Syklus)&lt;DagK+DagH+DagD,"D","F")))</f>
        <v/>
      </c>
      <c r="D463">
        <f>IF(MOD($A463-INDEX(SkiftStart,3),Syklus)&lt;DagK,"K",IF(MOD($A463-INDEX(SkiftStart,3),Syklus)&lt;DagK+DagH,"H",IF(MOD($A463-INDEX(SkiftStart,3),Syklus)&lt;DagK+DagH+DagD,"D","F")))</f>
        <v/>
      </c>
      <c r="E463">
        <f>IF(B463="F",0,IF(WEEKDAY($A463,2)=5,INDEX(TimerFr,MATCH(B463,FaseKode,0)),INDEX(TimerMT,MATCH(B463,FaseKode,0))))</f>
        <v/>
      </c>
      <c r="F463">
        <f>IF(C463="F",0,IF(WEEKDAY($A463,2)=5,INDEX(TimerFr,MATCH(C463,FaseKode,0)),INDEX(TimerMT,MATCH(C463,FaseKode,0))))</f>
        <v/>
      </c>
      <c r="G463">
        <f>IF(D463="F",0,IF(WEEKDAY($A463,2)=5,INDEX(TimerFr,MATCH(D463,FaseKode,0)),INDEX(TimerMT,MATCH(D463,FaseKode,0))))</f>
        <v/>
      </c>
      <c r="H463">
        <f>IF(OR(H$4="",$A463&gt;TODAY()),0,IF(OR(INDEX($B463:$D463,H$5)="F",AND(H$6&gt;0,$A463&lt;H$6),AND(H$7&gt;0,$A463&gt;H$7)),0,MAX(0,ROUND((INDEX($E463:$G463,H$5)-SUMIFS(TF_Timer,TF_Tekniker,H$4,TF_Dato,$A463))*2,0)/2)))</f>
        <v/>
      </c>
      <c r="I463">
        <f>IF(OR(I$4="",$A463&gt;TODAY()),0,IF(OR(INDEX($B463:$D463,I$5)="F",AND(I$6&gt;0,$A463&lt;I$6),AND(I$7&gt;0,$A463&gt;I$7)),0,MAX(0,ROUND((INDEX($E463:$G463,I$5)-SUMIFS(TF_Timer,TF_Tekniker,I$4,TF_Dato,$A463))*2,0)/2)))</f>
        <v/>
      </c>
      <c r="J463">
        <f>IF(OR(J$4="",$A463&gt;TODAY()),0,IF(OR(INDEX($B463:$D463,J$5)="F",AND(J$6&gt;0,$A463&lt;J$6),AND(J$7&gt;0,$A463&gt;J$7)),0,MAX(0,ROUND((INDEX($E463:$G463,J$5)-SUMIFS(TF_Timer,TF_Tekniker,J$4,TF_Dato,$A463))*2,0)/2)))</f>
        <v/>
      </c>
      <c r="K463">
        <f>IF(OR(K$4="",$A463&gt;TODAY()),0,IF(OR(INDEX($B463:$D463,K$5)="F",AND(K$6&gt;0,$A463&lt;K$6),AND(K$7&gt;0,$A463&gt;K$7)),0,MAX(0,ROUND((INDEX($E463:$G463,K$5)-SUMIFS(TF_Timer,TF_Tekniker,K$4,TF_Dato,$A463))*2,0)/2)))</f>
        <v/>
      </c>
      <c r="L463">
        <f>IF(OR(L$4="",$A463&gt;TODAY()),0,IF(OR(INDEX($B463:$D463,L$5)="F",AND(L$6&gt;0,$A463&lt;L$6),AND(L$7&gt;0,$A463&gt;L$7)),0,MAX(0,ROUND((INDEX($E463:$G463,L$5)-SUMIFS(TF_Timer,TF_Tekniker,L$4,TF_Dato,$A463))*2,0)/2)))</f>
        <v/>
      </c>
      <c r="M463">
        <f>IF(OR(M$4="",$A463&gt;TODAY()),0,IF(OR(INDEX($B463:$D463,M$5)="F",AND(M$6&gt;0,$A463&lt;M$6),AND(M$7&gt;0,$A463&gt;M$7)),0,MAX(0,ROUND((INDEX($E463:$G463,M$5)-SUMIFS(TF_Timer,TF_Tekniker,M$4,TF_Dato,$A463))*2,0)/2)))</f>
        <v/>
      </c>
      <c r="N463">
        <f>IF(OR(N$4="",$A463&gt;TODAY()),0,IF(OR(INDEX($B463:$D463,N$5)="F",AND(N$6&gt;0,$A463&lt;N$6),AND(N$7&gt;0,$A463&gt;N$7)),0,MAX(0,ROUND((INDEX($E463:$G463,N$5)-SUMIFS(TF_Timer,TF_Tekniker,N$4,TF_Dato,$A463))*2,0)/2)))</f>
        <v/>
      </c>
      <c r="O463">
        <f>IF(OR(O$4="",$A463&gt;TODAY()),0,IF(OR(INDEX($B463:$D463,O$5)="F",AND(O$6&gt;0,$A463&lt;O$6),AND(O$7&gt;0,$A463&gt;O$7)),0,MAX(0,ROUND((INDEX($E463:$G463,O$5)-SUMIFS(TF_Timer,TF_Tekniker,O$4,TF_Dato,$A463))*2,0)/2)))</f>
        <v/>
      </c>
      <c r="P463">
        <f>IF(OR(P$4="",$A463&gt;TODAY()),0,IF(OR(INDEX($B463:$D463,P$5)="F",AND(P$6&gt;0,$A463&lt;P$6),AND(P$7&gt;0,$A463&gt;P$7)),0,MAX(0,ROUND((INDEX($E463:$G463,P$5)-SUMIFS(TF_Timer,TF_Tekniker,P$4,TF_Dato,$A463))*2,0)/2)))</f>
        <v/>
      </c>
      <c r="Q463">
        <f>IF(OR(Q$4="",$A463&gt;TODAY()),0,IF(OR(INDEX($B463:$D463,Q$5)="F",AND(Q$6&gt;0,$A463&lt;Q$6),AND(Q$7&gt;0,$A463&gt;Q$7)),0,MAX(0,ROUND((INDEX($E463:$G463,Q$5)-SUMIFS(TF_Timer,TF_Tekniker,Q$4,TF_Dato,$A463))*2,0)/2)))</f>
        <v/>
      </c>
      <c r="R463">
        <f>IF(OR(R$4="",$A463&gt;TODAY()),0,IF(OR(INDEX($B463:$D463,R$5)="F",AND(R$6&gt;0,$A463&lt;R$6),AND(R$7&gt;0,$A463&gt;R$7)),0,MAX(0,ROUND((INDEX($E463:$G463,R$5)-SUMIFS(TF_Timer,TF_Tekniker,R$4,TF_Dato,$A463))*2,0)/2)))</f>
        <v/>
      </c>
      <c r="S463">
        <f>IF(OR(S$4="",$A463&gt;TODAY()),0,IF(OR(INDEX($B463:$D463,S$5)="F",AND(S$6&gt;0,$A463&lt;S$6),AND(S$7&gt;0,$A463&gt;S$7)),0,MAX(0,ROUND((INDEX($E463:$G463,S$5)-SUMIFS(TF_Timer,TF_Tekniker,S$4,TF_Dato,$A463))*2,0)/2)))</f>
        <v/>
      </c>
      <c r="T463">
        <f>IF(OR(T$4="",$A463&gt;TODAY()),0,IF(OR(INDEX($B463:$D463,T$5)="F",AND(T$6&gt;0,$A463&lt;T$6),AND(T$7&gt;0,$A463&gt;T$7)),0,MAX(0,ROUND((INDEX($E463:$G463,T$5)-SUMIFS(TF_Timer,TF_Tekniker,T$4,TF_Dato,$A463))*2,0)/2)))</f>
        <v/>
      </c>
      <c r="U463">
        <f>IF(OR(U$4="",$A463&gt;TODAY()),0,IF(OR(INDEX($B463:$D463,U$5)="F",AND(U$6&gt;0,$A463&lt;U$6),AND(U$7&gt;0,$A463&gt;U$7)),0,MAX(0,ROUND((INDEX($E463:$G463,U$5)-SUMIFS(TF_Timer,TF_Tekniker,U$4,TF_Dato,$A463))*2,0)/2)))</f>
        <v/>
      </c>
      <c r="V463">
        <f>IF(OR(V$4="",$A463&gt;TODAY()),0,IF(OR(INDEX($B463:$D463,V$5)="F",AND(V$6&gt;0,$A463&lt;V$6),AND(V$7&gt;0,$A463&gt;V$7)),0,MAX(0,ROUND((INDEX($E463:$G463,V$5)-SUMIFS(TF_Timer,TF_Tekniker,V$4,TF_Dato,$A463))*2,0)/2)))</f>
        <v/>
      </c>
      <c r="W463">
        <f>IF(OR(W$4="",$A463&gt;TODAY()),0,IF(OR(INDEX($B463:$D463,W$5)="F",AND(W$6&gt;0,$A463&lt;W$6),AND(W$7&gt;0,$A463&gt;W$7)),0,MAX(0,ROUND((INDEX($E463:$G463,W$5)-SUMIFS(TF_Timer,TF_Tekniker,W$4,TF_Dato,$A463))*2,0)/2)))</f>
        <v/>
      </c>
      <c r="X463">
        <f>IF(OR(X$4="",$A463&gt;TODAY()),0,IF(OR(INDEX($B463:$D463,X$5)="F",AND(X$6&gt;0,$A463&lt;X$6),AND(X$7&gt;0,$A463&gt;X$7)),0,MAX(0,ROUND((INDEX($E463:$G463,X$5)-SUMIFS(TF_Timer,TF_Tekniker,X$4,TF_Dato,$A463))*2,0)/2)))</f>
        <v/>
      </c>
      <c r="Y463">
        <f>IF(OR(Y$4="",$A463&gt;TODAY()),0,IF(OR(INDEX($B463:$D463,Y$5)="F",AND(Y$6&gt;0,$A463&lt;Y$6),AND(Y$7&gt;0,$A463&gt;Y$7)),0,MAX(0,ROUND((INDEX($E463:$G463,Y$5)-SUMIFS(TF_Timer,TF_Tekniker,Y$4,TF_Dato,$A463))*2,0)/2)))</f>
        <v/>
      </c>
      <c r="Z463">
        <f>IF(OR(Z$4="",$A463&gt;TODAY()),0,IF(OR(INDEX($B463:$D463,Z$5)="F",AND(Z$6&gt;0,$A463&lt;Z$6),AND(Z$7&gt;0,$A463&gt;Z$7)),0,MAX(0,ROUND((INDEX($E463:$G463,Z$5)-SUMIFS(TF_Timer,TF_Tekniker,Z$4,TF_Dato,$A463))*2,0)/2)))</f>
        <v/>
      </c>
      <c r="AA463">
        <f>IF(OR(AA$4="",$A463&gt;TODAY()),0,IF(OR(INDEX($B463:$D463,AA$5)="F",AND(AA$6&gt;0,$A463&lt;AA$6),AND(AA$7&gt;0,$A463&gt;AA$7)),0,MAX(0,ROUND((INDEX($E463:$G463,AA$5)-SUMIFS(TF_Timer,TF_Tekniker,AA$4,TF_Dato,$A463))*2,0)/2)))</f>
        <v/>
      </c>
      <c r="AB463">
        <f>IF(OR(AB$4="",$A463&gt;TODAY()),0,IF(OR(INDEX($B463:$D463,AB$5)="F",AND(AB$6&gt;0,$A463&lt;AB$6),AND(AB$7&gt;0,$A463&gt;AB$7)),0,MAX(0,ROUND((INDEX($E463:$G463,AB$5)-SUMIFS(TF_Timer,TF_Tekniker,AB$4,TF_Dato,$A463))*2,0)/2)))</f>
        <v/>
      </c>
      <c r="AC463">
        <f>IF(OR(AC$4="",$A463&gt;TODAY()),0,IF(OR(INDEX($B463:$D463,AC$5)="F",AND(AC$6&gt;0,$A463&lt;AC$6),AND(AC$7&gt;0,$A463&gt;AC$7)),0,MAX(0,ROUND((INDEX($E463:$G463,AC$5)-SUMIFS(TF_Timer,TF_Tekniker,AC$4,TF_Dato,$A463))*2,0)/2)))</f>
        <v/>
      </c>
      <c r="AD463">
        <f>IF(OR(AD$4="",$A463&gt;TODAY()),0,IF(OR(INDEX($B463:$D463,AD$5)="F",AND(AD$6&gt;0,$A463&lt;AD$6),AND(AD$7&gt;0,$A463&gt;AD$7)),0,MAX(0,ROUND((INDEX($E463:$G463,AD$5)-SUMIFS(TF_Timer,TF_Tekniker,AD$4,TF_Dato,$A463))*2,0)/2)))</f>
        <v/>
      </c>
      <c r="AE463">
        <f>IF(OR(AE$4="",$A463&gt;TODAY()),0,IF(OR(INDEX($B463:$D463,AE$5)="F",AND(AE$6&gt;0,$A463&lt;AE$6),AND(AE$7&gt;0,$A463&gt;AE$7)),0,MAX(0,ROUND((INDEX($E463:$G463,AE$5)-SUMIFS(TF_Timer,TF_Tekniker,AE$4,TF_Dato,$A463))*2,0)/2)))</f>
        <v/>
      </c>
      <c r="AF463">
        <f>IF(OR(AF$4="",$A463&gt;TODAY()),0,IF(OR(INDEX($B463:$D463,AF$5)="F",AND(AF$6&gt;0,$A463&lt;AF$6),AND(AF$7&gt;0,$A463&gt;AF$7)),0,MAX(0,ROUND((INDEX($E463:$G463,AF$5)-SUMIFS(TF_Timer,TF_Tekniker,AF$4,TF_Dato,$A463))*2,0)/2)))</f>
        <v/>
      </c>
      <c r="AG463">
        <f>IF(OR(AG$4="",$A463&gt;TODAY()),0,IF(OR(INDEX($B463:$D463,AG$5)="F",AND(AG$6&gt;0,$A463&lt;AG$6),AND(AG$7&gt;0,$A463&gt;AG$7)),0,MAX(0,ROUND((INDEX($E463:$G463,AG$5)-SUMIFS(TF_Timer,TF_Tekniker,AG$4,TF_Dato,$A463))*2,0)/2)))</f>
        <v/>
      </c>
      <c r="AH463">
        <f>IF(OR(AH$4="",$A463&gt;TODAY()),0,IF(OR(INDEX($B463:$D463,AH$5)="F",AND(AH$6&gt;0,$A463&lt;AH$6),AND(AH$7&gt;0,$A463&gt;AH$7)),0,MAX(0,ROUND((INDEX($E463:$G463,AH$5)-SUMIFS(TF_Timer,TF_Tekniker,AH$4,TF_Dato,$A463))*2,0)/2)))</f>
        <v/>
      </c>
      <c r="AI463">
        <f>IF(OR(AI$4="",$A463&gt;TODAY()),0,IF(OR(INDEX($B463:$D463,AI$5)="F",AND(AI$6&gt;0,$A463&lt;AI$6),AND(AI$7&gt;0,$A463&gt;AI$7)),0,MAX(0,ROUND((INDEX($E463:$G463,AI$5)-SUMIFS(TF_Timer,TF_Tekniker,AI$4,TF_Dato,$A463))*2,0)/2)))</f>
        <v/>
      </c>
      <c r="AJ463">
        <f>IF(OR(AJ$4="",$A463&gt;TODAY()),0,IF(OR(INDEX($B463:$D463,AJ$5)="F",AND(AJ$6&gt;0,$A463&lt;AJ$6),AND(AJ$7&gt;0,$A463&gt;AJ$7)),0,MAX(0,ROUND((INDEX($E463:$G463,AJ$5)-SUMIFS(TF_Timer,TF_Tekniker,AJ$4,TF_Dato,$A463))*2,0)/2)))</f>
        <v/>
      </c>
      <c r="AK463">
        <f>IF(OR(AK$4="",$A463&gt;TODAY()),0,IF(OR(INDEX($B463:$D463,AK$5)="F",AND(AK$6&gt;0,$A463&lt;AK$6),AND(AK$7&gt;0,$A463&gt;AK$7)),0,MAX(0,ROUND((INDEX($E463:$G463,AK$5)-SUMIFS(TF_Timer,TF_Tekniker,AK$4,TF_Dato,$A463))*2,0)/2)))</f>
        <v/>
      </c>
      <c r="AL463">
        <f>IF(OR(AL$4="",$A463&gt;TODAY()),0,IF(OR(INDEX($B463:$D463,AL$5)="F",AND(AL$6&gt;0,$A463&lt;AL$6),AND(AL$7&gt;0,$A463&gt;AL$7)),0,MAX(0,ROUND((INDEX($E463:$G463,AL$5)-SUMIFS(TF_Timer,TF_Tekniker,AL$4,TF_Dato,$A463))*2,0)/2)))</f>
        <v/>
      </c>
      <c r="AM463">
        <f>IF(OR(AM$4="",$A463&gt;TODAY()),0,IF(OR(INDEX($B463:$D463,AM$5)="F",AND(AM$6&gt;0,$A463&lt;AM$6),AND(AM$7&gt;0,$A463&gt;AM$7)),0,MAX(0,ROUND((INDEX($E463:$G463,AM$5)-SUMIFS(TF_Timer,TF_Tekniker,AM$4,TF_Dato,$A463))*2,0)/2)))</f>
        <v/>
      </c>
      <c r="AN463">
        <f>IF(OR(AN$4="",$A463&gt;TODAY()),0,IF(OR(INDEX($B463:$D463,AN$5)="F",AND(AN$6&gt;0,$A463&lt;AN$6),AND(AN$7&gt;0,$A463&gt;AN$7)),0,MAX(0,ROUND((INDEX($E463:$G463,AN$5)-SUMIFS(TF_Timer,TF_Tekniker,AN$4,TF_Dato,$A463))*2,0)/2)))</f>
        <v/>
      </c>
      <c r="AO463">
        <f>IF(OR(AO$4="",$A463&gt;TODAY()),0,IF(OR(INDEX($B463:$D463,AO$5)="F",AND(AO$6&gt;0,$A463&lt;AO$6),AND(AO$7&gt;0,$A463&gt;AO$7)),0,MAX(0,ROUND((INDEX($E463:$G463,AO$5)-SUMIFS(TF_Timer,TF_Tekniker,AO$4,TF_Dato,$A463))*2,0)/2)))</f>
        <v/>
      </c>
      <c r="AP463">
        <f>IF(OR(AP$4="",$A463&gt;TODAY()),0,IF(OR(INDEX($B463:$D463,AP$5)="F",AND(AP$6&gt;0,$A463&lt;AP$6),AND(AP$7&gt;0,$A463&gt;AP$7)),0,MAX(0,ROUND((INDEX($E463:$G463,AP$5)-SUMIFS(TF_Timer,TF_Tekniker,AP$4,TF_Dato,$A463))*2,0)/2)))</f>
        <v/>
      </c>
      <c r="AQ463">
        <f>IF(OR(AQ$4="",$A463&gt;TODAY()),0,IF(OR(INDEX($B463:$D463,AQ$5)="F",AND(AQ$6&gt;0,$A463&lt;AQ$6),AND(AQ$7&gt;0,$A463&gt;AQ$7)),0,MAX(0,ROUND((INDEX($E463:$G463,AQ$5)-SUMIFS(TF_Timer,TF_Tekniker,AQ$4,TF_Dato,$A463))*2,0)/2)))</f>
        <v/>
      </c>
      <c r="AR463">
        <f>IF(OR(AR$4="",$A463&gt;TODAY()),0,IF(OR(INDEX($B463:$D463,AR$5)="F",AND(AR$6&gt;0,$A463&lt;AR$6),AND(AR$7&gt;0,$A463&gt;AR$7)),0,MAX(0,ROUND((INDEX($E463:$G463,AR$5)-SUMIFS(TF_Timer,TF_Tekniker,AR$4,TF_Dato,$A463))*2,0)/2)))</f>
        <v/>
      </c>
      <c r="AS463">
        <f>IF(OR(AS$4="",$A463&gt;TODAY()),0,IF(OR(INDEX($B463:$D463,AS$5)="F",AND(AS$6&gt;0,$A463&lt;AS$6),AND(AS$7&gt;0,$A463&gt;AS$7)),0,MAX(0,ROUND((INDEX($E463:$G463,AS$5)-SUMIFS(TF_Timer,TF_Tekniker,AS$4,TF_Dato,$A463))*2,0)/2)))</f>
        <v/>
      </c>
      <c r="AT463">
        <f>IF(OR(AT$4="",$A463&gt;TODAY()),0,IF(OR(INDEX($B463:$D463,AT$5)="F",AND(AT$6&gt;0,$A463&lt;AT$6),AND(AT$7&gt;0,$A463&gt;AT$7)),0,MAX(0,ROUND((INDEX($E463:$G463,AT$5)-SUMIFS(TF_Timer,TF_Tekniker,AT$4,TF_Dato,$A463))*2,0)/2)))</f>
        <v/>
      </c>
      <c r="AU463">
        <f>IF(OR(AU$4="",$A463&gt;TODAY()),0,IF(OR(INDEX($B463:$D463,AU$5)="F",AND(AU$6&gt;0,$A463&lt;AU$6),AND(AU$7&gt;0,$A463&gt;AU$7)),0,MAX(0,ROUND((INDEX($E463:$G463,AU$5)-SUMIFS(TF_Timer,TF_Tekniker,AU$4,TF_Dato,$A463))*2,0)/2)))</f>
        <v/>
      </c>
      <c r="AV463">
        <f>IF(OR(AV$4="",$A463&gt;TODAY()),0,IF(OR(INDEX($B463:$D463,AV$5)="F",AND(AV$6&gt;0,$A463&lt;AV$6),AND(AV$7&gt;0,$A463&gt;AV$7)),0,MAX(0,ROUND((INDEX($E463:$G463,AV$5)-SUMIFS(TF_Timer,TF_Tekniker,AV$4,TF_Dato,$A463))*2,0)/2)))</f>
        <v/>
      </c>
      <c r="AW463">
        <f>IF(OR(AW$4="",$A463&gt;TODAY()),0,IF(OR(INDEX($B463:$D463,AW$5)="F",AND(AW$6&gt;0,$A463&lt;AW$6),AND(AW$7&gt;0,$A463&gt;AW$7)),0,MAX(0,ROUND((INDEX($E463:$G463,AW$5)-SUMIFS(TF_Timer,TF_Tekniker,AW$4,TF_Dato,$A463))*2,0)/2)))</f>
        <v/>
      </c>
      <c r="AX463">
        <f>IF(OR(AX$4="",$A463&gt;TODAY()),0,IF(OR(INDEX($B463:$D463,AX$5)="F",AND(AX$6&gt;0,$A463&lt;AX$6),AND(AX$7&gt;0,$A463&gt;AX$7)),0,MAX(0,ROUND((INDEX($E463:$G463,AX$5)-SUMIFS(TF_Timer,TF_Tekniker,AX$4,TF_Dato,$A463))*2,0)/2)))</f>
        <v/>
      </c>
      <c r="AY463">
        <f>IF(OR(AY$4="",$A463&gt;TODAY()),0,IF(OR(INDEX($B463:$D463,AY$5)="F",AND(AY$6&gt;0,$A463&lt;AY$6),AND(AY$7&gt;0,$A463&gt;AY$7)),0,MAX(0,ROUND((INDEX($E463:$G463,AY$5)-SUMIFS(TF_Timer,TF_Tekniker,AY$4,TF_Dato,$A463))*2,0)/2)))</f>
        <v/>
      </c>
      <c r="AZ463">
        <f>IF(OR(AZ$4="",$A463&gt;TODAY()),0,IF(OR(INDEX($B463:$D463,AZ$5)="F",AND(AZ$6&gt;0,$A463&lt;AZ$6),AND(AZ$7&gt;0,$A463&gt;AZ$7)),0,MAX(0,ROUND((INDEX($E463:$G463,AZ$5)-SUMIFS(TF_Timer,TF_Tekniker,AZ$4,TF_Dato,$A463))*2,0)/2)))</f>
        <v/>
      </c>
      <c r="BA463">
        <f>IF(OR(BA$4="",$A463&gt;TODAY()),0,IF(OR(INDEX($B463:$D463,BA$5)="F",AND(BA$6&gt;0,$A463&lt;BA$6),AND(BA$7&gt;0,$A463&gt;BA$7)),0,MAX(0,ROUND((INDEX($E463:$G463,BA$5)-SUMIFS(TF_Timer,TF_Tekniker,BA$4,TF_Dato,$A463))*2,0)/2)))</f>
        <v/>
      </c>
      <c r="BB463">
        <f>IF(OR(BB$4="",$A463&gt;TODAY()),0,IF(OR(INDEX($B463:$D463,BB$5)="F",AND(BB$6&gt;0,$A463&lt;BB$6),AND(BB$7&gt;0,$A463&gt;BB$7)),0,MAX(0,ROUND((INDEX($E463:$G463,BB$5)-SUMIFS(TF_Timer,TF_Tekniker,BB$4,TF_Dato,$A463))*2,0)/2)))</f>
        <v/>
      </c>
      <c r="BC463">
        <f>IF(OR(BC$4="",$A463&gt;TODAY()),0,IF(OR(INDEX($B463:$D463,BC$5)="F",AND(BC$6&gt;0,$A463&lt;BC$6),AND(BC$7&gt;0,$A463&gt;BC$7)),0,MAX(0,ROUND((INDEX($E463:$G463,BC$5)-SUMIFS(TF_Timer,TF_Tekniker,BC$4,TF_Dato,$A463))*2,0)/2)))</f>
        <v/>
      </c>
      <c r="BD463">
        <f>IF(OR(BD$4="",$A463&gt;TODAY()),0,IF(OR(INDEX($B463:$D463,BD$5)="F",AND(BD$6&gt;0,$A463&lt;BD$6),AND(BD$7&gt;0,$A463&gt;BD$7)),0,MAX(0,ROUND((INDEX($E463:$G463,BD$5)-SUMIFS(TF_Timer,TF_Tekniker,BD$4,TF_Dato,$A463))*2,0)/2)))</f>
        <v/>
      </c>
      <c r="BE463">
        <f>IF(OR(BE$4="",$A463&gt;TODAY()),0,IF(OR(INDEX($B463:$D463,BE$5)="F",AND(BE$6&gt;0,$A463&lt;BE$6),AND(BE$7&gt;0,$A463&gt;BE$7)),0,MAX(0,ROUND((INDEX($E463:$G463,BE$5)-SUMIFS(TF_Timer,TF_Tekniker,BE$4,TF_Dato,$A463))*2,0)/2)))</f>
        <v/>
      </c>
      <c r="BF463">
        <f>IF(OR(BF$4="",$A463&gt;TODAY()),0,IF(OR(INDEX($B463:$D463,BF$5)="F",AND(BF$6&gt;0,$A463&lt;BF$6),AND(BF$7&gt;0,$A463&gt;BF$7)),0,MAX(0,ROUND((INDEX($E463:$G463,BF$5)-SUMIFS(TF_Timer,TF_Tekniker,BF$4,TF_Dato,$A463))*2,0)/2)))</f>
        <v/>
      </c>
      <c r="BG463">
        <f>IF(OR(BG$4="",$A463&gt;TODAY()),0,IF(OR(INDEX($B463:$D463,BG$5)="F",AND(BG$6&gt;0,$A463&lt;BG$6),AND(BG$7&gt;0,$A463&gt;BG$7)),0,MAX(0,ROUND((INDEX($E463:$G463,BG$5)-SUMIFS(TF_Timer,TF_Tekniker,BG$4,TF_Dato,$A463))*2,0)/2)))</f>
        <v/>
      </c>
      <c r="BH463">
        <f>IF(OR(BH$4="",$A463&gt;TODAY()),0,IF(OR(INDEX($B463:$D463,BH$5)="F",AND(BH$6&gt;0,$A463&lt;BH$6),AND(BH$7&gt;0,$A463&gt;BH$7)),0,MAX(0,ROUND((INDEX($E463:$G463,BH$5)-SUMIFS(TF_Timer,TF_Tekniker,BH$4,TF_Dato,$A463))*2,0)/2)))</f>
        <v/>
      </c>
      <c r="BI463">
        <f>IF(OR(BI$4="",$A463&gt;TODAY()),0,IF(OR(INDEX($B463:$D463,BI$5)="F",AND(BI$6&gt;0,$A463&lt;BI$6),AND(BI$7&gt;0,$A463&gt;BI$7)),0,MAX(0,ROUND((INDEX($E463:$G463,BI$5)-SUMIFS(TF_Timer,TF_Tekniker,BI$4,TF_Dato,$A463))*2,0)/2)))</f>
        <v/>
      </c>
    </row>
    <row r="464">
      <c r="A464" s="64">
        <f>A463+1</f>
        <v/>
      </c>
      <c r="B464">
        <f>IF(MOD($A464-INDEX(SkiftStart,1),Syklus)&lt;DagK,"K",IF(MOD($A464-INDEX(SkiftStart,1),Syklus)&lt;DagK+DagH,"H",IF(MOD($A464-INDEX(SkiftStart,1),Syklus)&lt;DagK+DagH+DagD,"D","F")))</f>
        <v/>
      </c>
      <c r="C464">
        <f>IF(MOD($A464-INDEX(SkiftStart,2),Syklus)&lt;DagK,"K",IF(MOD($A464-INDEX(SkiftStart,2),Syklus)&lt;DagK+DagH,"H",IF(MOD($A464-INDEX(SkiftStart,2),Syklus)&lt;DagK+DagH+DagD,"D","F")))</f>
        <v/>
      </c>
      <c r="D464">
        <f>IF(MOD($A464-INDEX(SkiftStart,3),Syklus)&lt;DagK,"K",IF(MOD($A464-INDEX(SkiftStart,3),Syklus)&lt;DagK+DagH,"H",IF(MOD($A464-INDEX(SkiftStart,3),Syklus)&lt;DagK+DagH+DagD,"D","F")))</f>
        <v/>
      </c>
      <c r="E464">
        <f>IF(B464="F",0,IF(WEEKDAY($A464,2)=5,INDEX(TimerFr,MATCH(B464,FaseKode,0)),INDEX(TimerMT,MATCH(B464,FaseKode,0))))</f>
        <v/>
      </c>
      <c r="F464">
        <f>IF(C464="F",0,IF(WEEKDAY($A464,2)=5,INDEX(TimerFr,MATCH(C464,FaseKode,0)),INDEX(TimerMT,MATCH(C464,FaseKode,0))))</f>
        <v/>
      </c>
      <c r="G464">
        <f>IF(D464="F",0,IF(WEEKDAY($A464,2)=5,INDEX(TimerFr,MATCH(D464,FaseKode,0)),INDEX(TimerMT,MATCH(D464,FaseKode,0))))</f>
        <v/>
      </c>
      <c r="H464">
        <f>IF(OR(H$4="",$A464&gt;TODAY()),0,IF(OR(INDEX($B464:$D464,H$5)="F",AND(H$6&gt;0,$A464&lt;H$6),AND(H$7&gt;0,$A464&gt;H$7)),0,MAX(0,ROUND((INDEX($E464:$G464,H$5)-SUMIFS(TF_Timer,TF_Tekniker,H$4,TF_Dato,$A464))*2,0)/2)))</f>
        <v/>
      </c>
      <c r="I464">
        <f>IF(OR(I$4="",$A464&gt;TODAY()),0,IF(OR(INDEX($B464:$D464,I$5)="F",AND(I$6&gt;0,$A464&lt;I$6),AND(I$7&gt;0,$A464&gt;I$7)),0,MAX(0,ROUND((INDEX($E464:$G464,I$5)-SUMIFS(TF_Timer,TF_Tekniker,I$4,TF_Dato,$A464))*2,0)/2)))</f>
        <v/>
      </c>
      <c r="J464">
        <f>IF(OR(J$4="",$A464&gt;TODAY()),0,IF(OR(INDEX($B464:$D464,J$5)="F",AND(J$6&gt;0,$A464&lt;J$6),AND(J$7&gt;0,$A464&gt;J$7)),0,MAX(0,ROUND((INDEX($E464:$G464,J$5)-SUMIFS(TF_Timer,TF_Tekniker,J$4,TF_Dato,$A464))*2,0)/2)))</f>
        <v/>
      </c>
      <c r="K464">
        <f>IF(OR(K$4="",$A464&gt;TODAY()),0,IF(OR(INDEX($B464:$D464,K$5)="F",AND(K$6&gt;0,$A464&lt;K$6),AND(K$7&gt;0,$A464&gt;K$7)),0,MAX(0,ROUND((INDEX($E464:$G464,K$5)-SUMIFS(TF_Timer,TF_Tekniker,K$4,TF_Dato,$A464))*2,0)/2)))</f>
        <v/>
      </c>
      <c r="L464">
        <f>IF(OR(L$4="",$A464&gt;TODAY()),0,IF(OR(INDEX($B464:$D464,L$5)="F",AND(L$6&gt;0,$A464&lt;L$6),AND(L$7&gt;0,$A464&gt;L$7)),0,MAX(0,ROUND((INDEX($E464:$G464,L$5)-SUMIFS(TF_Timer,TF_Tekniker,L$4,TF_Dato,$A464))*2,0)/2)))</f>
        <v/>
      </c>
      <c r="M464">
        <f>IF(OR(M$4="",$A464&gt;TODAY()),0,IF(OR(INDEX($B464:$D464,M$5)="F",AND(M$6&gt;0,$A464&lt;M$6),AND(M$7&gt;0,$A464&gt;M$7)),0,MAX(0,ROUND((INDEX($E464:$G464,M$5)-SUMIFS(TF_Timer,TF_Tekniker,M$4,TF_Dato,$A464))*2,0)/2)))</f>
        <v/>
      </c>
      <c r="N464">
        <f>IF(OR(N$4="",$A464&gt;TODAY()),0,IF(OR(INDEX($B464:$D464,N$5)="F",AND(N$6&gt;0,$A464&lt;N$6),AND(N$7&gt;0,$A464&gt;N$7)),0,MAX(0,ROUND((INDEX($E464:$G464,N$5)-SUMIFS(TF_Timer,TF_Tekniker,N$4,TF_Dato,$A464))*2,0)/2)))</f>
        <v/>
      </c>
      <c r="O464">
        <f>IF(OR(O$4="",$A464&gt;TODAY()),0,IF(OR(INDEX($B464:$D464,O$5)="F",AND(O$6&gt;0,$A464&lt;O$6),AND(O$7&gt;0,$A464&gt;O$7)),0,MAX(0,ROUND((INDEX($E464:$G464,O$5)-SUMIFS(TF_Timer,TF_Tekniker,O$4,TF_Dato,$A464))*2,0)/2)))</f>
        <v/>
      </c>
      <c r="P464">
        <f>IF(OR(P$4="",$A464&gt;TODAY()),0,IF(OR(INDEX($B464:$D464,P$5)="F",AND(P$6&gt;0,$A464&lt;P$6),AND(P$7&gt;0,$A464&gt;P$7)),0,MAX(0,ROUND((INDEX($E464:$G464,P$5)-SUMIFS(TF_Timer,TF_Tekniker,P$4,TF_Dato,$A464))*2,0)/2)))</f>
        <v/>
      </c>
      <c r="Q464">
        <f>IF(OR(Q$4="",$A464&gt;TODAY()),0,IF(OR(INDEX($B464:$D464,Q$5)="F",AND(Q$6&gt;0,$A464&lt;Q$6),AND(Q$7&gt;0,$A464&gt;Q$7)),0,MAX(0,ROUND((INDEX($E464:$G464,Q$5)-SUMIFS(TF_Timer,TF_Tekniker,Q$4,TF_Dato,$A464))*2,0)/2)))</f>
        <v/>
      </c>
      <c r="R464">
        <f>IF(OR(R$4="",$A464&gt;TODAY()),0,IF(OR(INDEX($B464:$D464,R$5)="F",AND(R$6&gt;0,$A464&lt;R$6),AND(R$7&gt;0,$A464&gt;R$7)),0,MAX(0,ROUND((INDEX($E464:$G464,R$5)-SUMIFS(TF_Timer,TF_Tekniker,R$4,TF_Dato,$A464))*2,0)/2)))</f>
        <v/>
      </c>
      <c r="S464">
        <f>IF(OR(S$4="",$A464&gt;TODAY()),0,IF(OR(INDEX($B464:$D464,S$5)="F",AND(S$6&gt;0,$A464&lt;S$6),AND(S$7&gt;0,$A464&gt;S$7)),0,MAX(0,ROUND((INDEX($E464:$G464,S$5)-SUMIFS(TF_Timer,TF_Tekniker,S$4,TF_Dato,$A464))*2,0)/2)))</f>
        <v/>
      </c>
      <c r="T464">
        <f>IF(OR(T$4="",$A464&gt;TODAY()),0,IF(OR(INDEX($B464:$D464,T$5)="F",AND(T$6&gt;0,$A464&lt;T$6),AND(T$7&gt;0,$A464&gt;T$7)),0,MAX(0,ROUND((INDEX($E464:$G464,T$5)-SUMIFS(TF_Timer,TF_Tekniker,T$4,TF_Dato,$A464))*2,0)/2)))</f>
        <v/>
      </c>
      <c r="U464">
        <f>IF(OR(U$4="",$A464&gt;TODAY()),0,IF(OR(INDEX($B464:$D464,U$5)="F",AND(U$6&gt;0,$A464&lt;U$6),AND(U$7&gt;0,$A464&gt;U$7)),0,MAX(0,ROUND((INDEX($E464:$G464,U$5)-SUMIFS(TF_Timer,TF_Tekniker,U$4,TF_Dato,$A464))*2,0)/2)))</f>
        <v/>
      </c>
      <c r="V464">
        <f>IF(OR(V$4="",$A464&gt;TODAY()),0,IF(OR(INDEX($B464:$D464,V$5)="F",AND(V$6&gt;0,$A464&lt;V$6),AND(V$7&gt;0,$A464&gt;V$7)),0,MAX(0,ROUND((INDEX($E464:$G464,V$5)-SUMIFS(TF_Timer,TF_Tekniker,V$4,TF_Dato,$A464))*2,0)/2)))</f>
        <v/>
      </c>
      <c r="W464">
        <f>IF(OR(W$4="",$A464&gt;TODAY()),0,IF(OR(INDEX($B464:$D464,W$5)="F",AND(W$6&gt;0,$A464&lt;W$6),AND(W$7&gt;0,$A464&gt;W$7)),0,MAX(0,ROUND((INDEX($E464:$G464,W$5)-SUMIFS(TF_Timer,TF_Tekniker,W$4,TF_Dato,$A464))*2,0)/2)))</f>
        <v/>
      </c>
      <c r="X464">
        <f>IF(OR(X$4="",$A464&gt;TODAY()),0,IF(OR(INDEX($B464:$D464,X$5)="F",AND(X$6&gt;0,$A464&lt;X$6),AND(X$7&gt;0,$A464&gt;X$7)),0,MAX(0,ROUND((INDEX($E464:$G464,X$5)-SUMIFS(TF_Timer,TF_Tekniker,X$4,TF_Dato,$A464))*2,0)/2)))</f>
        <v/>
      </c>
      <c r="Y464">
        <f>IF(OR(Y$4="",$A464&gt;TODAY()),0,IF(OR(INDEX($B464:$D464,Y$5)="F",AND(Y$6&gt;0,$A464&lt;Y$6),AND(Y$7&gt;0,$A464&gt;Y$7)),0,MAX(0,ROUND((INDEX($E464:$G464,Y$5)-SUMIFS(TF_Timer,TF_Tekniker,Y$4,TF_Dato,$A464))*2,0)/2)))</f>
        <v/>
      </c>
      <c r="Z464">
        <f>IF(OR(Z$4="",$A464&gt;TODAY()),0,IF(OR(INDEX($B464:$D464,Z$5)="F",AND(Z$6&gt;0,$A464&lt;Z$6),AND(Z$7&gt;0,$A464&gt;Z$7)),0,MAX(0,ROUND((INDEX($E464:$G464,Z$5)-SUMIFS(TF_Timer,TF_Tekniker,Z$4,TF_Dato,$A464))*2,0)/2)))</f>
        <v/>
      </c>
      <c r="AA464">
        <f>IF(OR(AA$4="",$A464&gt;TODAY()),0,IF(OR(INDEX($B464:$D464,AA$5)="F",AND(AA$6&gt;0,$A464&lt;AA$6),AND(AA$7&gt;0,$A464&gt;AA$7)),0,MAX(0,ROUND((INDEX($E464:$G464,AA$5)-SUMIFS(TF_Timer,TF_Tekniker,AA$4,TF_Dato,$A464))*2,0)/2)))</f>
        <v/>
      </c>
      <c r="AB464">
        <f>IF(OR(AB$4="",$A464&gt;TODAY()),0,IF(OR(INDEX($B464:$D464,AB$5)="F",AND(AB$6&gt;0,$A464&lt;AB$6),AND(AB$7&gt;0,$A464&gt;AB$7)),0,MAX(0,ROUND((INDEX($E464:$G464,AB$5)-SUMIFS(TF_Timer,TF_Tekniker,AB$4,TF_Dato,$A464))*2,0)/2)))</f>
        <v/>
      </c>
      <c r="AC464">
        <f>IF(OR(AC$4="",$A464&gt;TODAY()),0,IF(OR(INDEX($B464:$D464,AC$5)="F",AND(AC$6&gt;0,$A464&lt;AC$6),AND(AC$7&gt;0,$A464&gt;AC$7)),0,MAX(0,ROUND((INDEX($E464:$G464,AC$5)-SUMIFS(TF_Timer,TF_Tekniker,AC$4,TF_Dato,$A464))*2,0)/2)))</f>
        <v/>
      </c>
      <c r="AD464">
        <f>IF(OR(AD$4="",$A464&gt;TODAY()),0,IF(OR(INDEX($B464:$D464,AD$5)="F",AND(AD$6&gt;0,$A464&lt;AD$6),AND(AD$7&gt;0,$A464&gt;AD$7)),0,MAX(0,ROUND((INDEX($E464:$G464,AD$5)-SUMIFS(TF_Timer,TF_Tekniker,AD$4,TF_Dato,$A464))*2,0)/2)))</f>
        <v/>
      </c>
      <c r="AE464">
        <f>IF(OR(AE$4="",$A464&gt;TODAY()),0,IF(OR(INDEX($B464:$D464,AE$5)="F",AND(AE$6&gt;0,$A464&lt;AE$6),AND(AE$7&gt;0,$A464&gt;AE$7)),0,MAX(0,ROUND((INDEX($E464:$G464,AE$5)-SUMIFS(TF_Timer,TF_Tekniker,AE$4,TF_Dato,$A464))*2,0)/2)))</f>
        <v/>
      </c>
      <c r="AF464">
        <f>IF(OR(AF$4="",$A464&gt;TODAY()),0,IF(OR(INDEX($B464:$D464,AF$5)="F",AND(AF$6&gt;0,$A464&lt;AF$6),AND(AF$7&gt;0,$A464&gt;AF$7)),0,MAX(0,ROUND((INDEX($E464:$G464,AF$5)-SUMIFS(TF_Timer,TF_Tekniker,AF$4,TF_Dato,$A464))*2,0)/2)))</f>
        <v/>
      </c>
      <c r="AG464">
        <f>IF(OR(AG$4="",$A464&gt;TODAY()),0,IF(OR(INDEX($B464:$D464,AG$5)="F",AND(AG$6&gt;0,$A464&lt;AG$6),AND(AG$7&gt;0,$A464&gt;AG$7)),0,MAX(0,ROUND((INDEX($E464:$G464,AG$5)-SUMIFS(TF_Timer,TF_Tekniker,AG$4,TF_Dato,$A464))*2,0)/2)))</f>
        <v/>
      </c>
      <c r="AH464">
        <f>IF(OR(AH$4="",$A464&gt;TODAY()),0,IF(OR(INDEX($B464:$D464,AH$5)="F",AND(AH$6&gt;0,$A464&lt;AH$6),AND(AH$7&gt;0,$A464&gt;AH$7)),0,MAX(0,ROUND((INDEX($E464:$G464,AH$5)-SUMIFS(TF_Timer,TF_Tekniker,AH$4,TF_Dato,$A464))*2,0)/2)))</f>
        <v/>
      </c>
      <c r="AI464">
        <f>IF(OR(AI$4="",$A464&gt;TODAY()),0,IF(OR(INDEX($B464:$D464,AI$5)="F",AND(AI$6&gt;0,$A464&lt;AI$6),AND(AI$7&gt;0,$A464&gt;AI$7)),0,MAX(0,ROUND((INDEX($E464:$G464,AI$5)-SUMIFS(TF_Timer,TF_Tekniker,AI$4,TF_Dato,$A464))*2,0)/2)))</f>
        <v/>
      </c>
      <c r="AJ464">
        <f>IF(OR(AJ$4="",$A464&gt;TODAY()),0,IF(OR(INDEX($B464:$D464,AJ$5)="F",AND(AJ$6&gt;0,$A464&lt;AJ$6),AND(AJ$7&gt;0,$A464&gt;AJ$7)),0,MAX(0,ROUND((INDEX($E464:$G464,AJ$5)-SUMIFS(TF_Timer,TF_Tekniker,AJ$4,TF_Dato,$A464))*2,0)/2)))</f>
        <v/>
      </c>
      <c r="AK464">
        <f>IF(OR(AK$4="",$A464&gt;TODAY()),0,IF(OR(INDEX($B464:$D464,AK$5)="F",AND(AK$6&gt;0,$A464&lt;AK$6),AND(AK$7&gt;0,$A464&gt;AK$7)),0,MAX(0,ROUND((INDEX($E464:$G464,AK$5)-SUMIFS(TF_Timer,TF_Tekniker,AK$4,TF_Dato,$A464))*2,0)/2)))</f>
        <v/>
      </c>
      <c r="AL464">
        <f>IF(OR(AL$4="",$A464&gt;TODAY()),0,IF(OR(INDEX($B464:$D464,AL$5)="F",AND(AL$6&gt;0,$A464&lt;AL$6),AND(AL$7&gt;0,$A464&gt;AL$7)),0,MAX(0,ROUND((INDEX($E464:$G464,AL$5)-SUMIFS(TF_Timer,TF_Tekniker,AL$4,TF_Dato,$A464))*2,0)/2)))</f>
        <v/>
      </c>
      <c r="AM464">
        <f>IF(OR(AM$4="",$A464&gt;TODAY()),0,IF(OR(INDEX($B464:$D464,AM$5)="F",AND(AM$6&gt;0,$A464&lt;AM$6),AND(AM$7&gt;0,$A464&gt;AM$7)),0,MAX(0,ROUND((INDEX($E464:$G464,AM$5)-SUMIFS(TF_Timer,TF_Tekniker,AM$4,TF_Dato,$A464))*2,0)/2)))</f>
        <v/>
      </c>
      <c r="AN464">
        <f>IF(OR(AN$4="",$A464&gt;TODAY()),0,IF(OR(INDEX($B464:$D464,AN$5)="F",AND(AN$6&gt;0,$A464&lt;AN$6),AND(AN$7&gt;0,$A464&gt;AN$7)),0,MAX(0,ROUND((INDEX($E464:$G464,AN$5)-SUMIFS(TF_Timer,TF_Tekniker,AN$4,TF_Dato,$A464))*2,0)/2)))</f>
        <v/>
      </c>
      <c r="AO464">
        <f>IF(OR(AO$4="",$A464&gt;TODAY()),0,IF(OR(INDEX($B464:$D464,AO$5)="F",AND(AO$6&gt;0,$A464&lt;AO$6),AND(AO$7&gt;0,$A464&gt;AO$7)),0,MAX(0,ROUND((INDEX($E464:$G464,AO$5)-SUMIFS(TF_Timer,TF_Tekniker,AO$4,TF_Dato,$A464))*2,0)/2)))</f>
        <v/>
      </c>
      <c r="AP464">
        <f>IF(OR(AP$4="",$A464&gt;TODAY()),0,IF(OR(INDEX($B464:$D464,AP$5)="F",AND(AP$6&gt;0,$A464&lt;AP$6),AND(AP$7&gt;0,$A464&gt;AP$7)),0,MAX(0,ROUND((INDEX($E464:$G464,AP$5)-SUMIFS(TF_Timer,TF_Tekniker,AP$4,TF_Dato,$A464))*2,0)/2)))</f>
        <v/>
      </c>
      <c r="AQ464">
        <f>IF(OR(AQ$4="",$A464&gt;TODAY()),0,IF(OR(INDEX($B464:$D464,AQ$5)="F",AND(AQ$6&gt;0,$A464&lt;AQ$6),AND(AQ$7&gt;0,$A464&gt;AQ$7)),0,MAX(0,ROUND((INDEX($E464:$G464,AQ$5)-SUMIFS(TF_Timer,TF_Tekniker,AQ$4,TF_Dato,$A464))*2,0)/2)))</f>
        <v/>
      </c>
      <c r="AR464">
        <f>IF(OR(AR$4="",$A464&gt;TODAY()),0,IF(OR(INDEX($B464:$D464,AR$5)="F",AND(AR$6&gt;0,$A464&lt;AR$6),AND(AR$7&gt;0,$A464&gt;AR$7)),0,MAX(0,ROUND((INDEX($E464:$G464,AR$5)-SUMIFS(TF_Timer,TF_Tekniker,AR$4,TF_Dato,$A464))*2,0)/2)))</f>
        <v/>
      </c>
      <c r="AS464">
        <f>IF(OR(AS$4="",$A464&gt;TODAY()),0,IF(OR(INDEX($B464:$D464,AS$5)="F",AND(AS$6&gt;0,$A464&lt;AS$6),AND(AS$7&gt;0,$A464&gt;AS$7)),0,MAX(0,ROUND((INDEX($E464:$G464,AS$5)-SUMIFS(TF_Timer,TF_Tekniker,AS$4,TF_Dato,$A464))*2,0)/2)))</f>
        <v/>
      </c>
      <c r="AT464">
        <f>IF(OR(AT$4="",$A464&gt;TODAY()),0,IF(OR(INDEX($B464:$D464,AT$5)="F",AND(AT$6&gt;0,$A464&lt;AT$6),AND(AT$7&gt;0,$A464&gt;AT$7)),0,MAX(0,ROUND((INDEX($E464:$G464,AT$5)-SUMIFS(TF_Timer,TF_Tekniker,AT$4,TF_Dato,$A464))*2,0)/2)))</f>
        <v/>
      </c>
      <c r="AU464">
        <f>IF(OR(AU$4="",$A464&gt;TODAY()),0,IF(OR(INDEX($B464:$D464,AU$5)="F",AND(AU$6&gt;0,$A464&lt;AU$6),AND(AU$7&gt;0,$A464&gt;AU$7)),0,MAX(0,ROUND((INDEX($E464:$G464,AU$5)-SUMIFS(TF_Timer,TF_Tekniker,AU$4,TF_Dato,$A464))*2,0)/2)))</f>
        <v/>
      </c>
      <c r="AV464">
        <f>IF(OR(AV$4="",$A464&gt;TODAY()),0,IF(OR(INDEX($B464:$D464,AV$5)="F",AND(AV$6&gt;0,$A464&lt;AV$6),AND(AV$7&gt;0,$A464&gt;AV$7)),0,MAX(0,ROUND((INDEX($E464:$G464,AV$5)-SUMIFS(TF_Timer,TF_Tekniker,AV$4,TF_Dato,$A464))*2,0)/2)))</f>
        <v/>
      </c>
      <c r="AW464">
        <f>IF(OR(AW$4="",$A464&gt;TODAY()),0,IF(OR(INDEX($B464:$D464,AW$5)="F",AND(AW$6&gt;0,$A464&lt;AW$6),AND(AW$7&gt;0,$A464&gt;AW$7)),0,MAX(0,ROUND((INDEX($E464:$G464,AW$5)-SUMIFS(TF_Timer,TF_Tekniker,AW$4,TF_Dato,$A464))*2,0)/2)))</f>
        <v/>
      </c>
      <c r="AX464">
        <f>IF(OR(AX$4="",$A464&gt;TODAY()),0,IF(OR(INDEX($B464:$D464,AX$5)="F",AND(AX$6&gt;0,$A464&lt;AX$6),AND(AX$7&gt;0,$A464&gt;AX$7)),0,MAX(0,ROUND((INDEX($E464:$G464,AX$5)-SUMIFS(TF_Timer,TF_Tekniker,AX$4,TF_Dato,$A464))*2,0)/2)))</f>
        <v/>
      </c>
      <c r="AY464">
        <f>IF(OR(AY$4="",$A464&gt;TODAY()),0,IF(OR(INDEX($B464:$D464,AY$5)="F",AND(AY$6&gt;0,$A464&lt;AY$6),AND(AY$7&gt;0,$A464&gt;AY$7)),0,MAX(0,ROUND((INDEX($E464:$G464,AY$5)-SUMIFS(TF_Timer,TF_Tekniker,AY$4,TF_Dato,$A464))*2,0)/2)))</f>
        <v/>
      </c>
      <c r="AZ464">
        <f>IF(OR(AZ$4="",$A464&gt;TODAY()),0,IF(OR(INDEX($B464:$D464,AZ$5)="F",AND(AZ$6&gt;0,$A464&lt;AZ$6),AND(AZ$7&gt;0,$A464&gt;AZ$7)),0,MAX(0,ROUND((INDEX($E464:$G464,AZ$5)-SUMIFS(TF_Timer,TF_Tekniker,AZ$4,TF_Dato,$A464))*2,0)/2)))</f>
        <v/>
      </c>
      <c r="BA464">
        <f>IF(OR(BA$4="",$A464&gt;TODAY()),0,IF(OR(INDEX($B464:$D464,BA$5)="F",AND(BA$6&gt;0,$A464&lt;BA$6),AND(BA$7&gt;0,$A464&gt;BA$7)),0,MAX(0,ROUND((INDEX($E464:$G464,BA$5)-SUMIFS(TF_Timer,TF_Tekniker,BA$4,TF_Dato,$A464))*2,0)/2)))</f>
        <v/>
      </c>
      <c r="BB464">
        <f>IF(OR(BB$4="",$A464&gt;TODAY()),0,IF(OR(INDEX($B464:$D464,BB$5)="F",AND(BB$6&gt;0,$A464&lt;BB$6),AND(BB$7&gt;0,$A464&gt;BB$7)),0,MAX(0,ROUND((INDEX($E464:$G464,BB$5)-SUMIFS(TF_Timer,TF_Tekniker,BB$4,TF_Dato,$A464))*2,0)/2)))</f>
        <v/>
      </c>
      <c r="BC464">
        <f>IF(OR(BC$4="",$A464&gt;TODAY()),0,IF(OR(INDEX($B464:$D464,BC$5)="F",AND(BC$6&gt;0,$A464&lt;BC$6),AND(BC$7&gt;0,$A464&gt;BC$7)),0,MAX(0,ROUND((INDEX($E464:$G464,BC$5)-SUMIFS(TF_Timer,TF_Tekniker,BC$4,TF_Dato,$A464))*2,0)/2)))</f>
        <v/>
      </c>
      <c r="BD464">
        <f>IF(OR(BD$4="",$A464&gt;TODAY()),0,IF(OR(INDEX($B464:$D464,BD$5)="F",AND(BD$6&gt;0,$A464&lt;BD$6),AND(BD$7&gt;0,$A464&gt;BD$7)),0,MAX(0,ROUND((INDEX($E464:$G464,BD$5)-SUMIFS(TF_Timer,TF_Tekniker,BD$4,TF_Dato,$A464))*2,0)/2)))</f>
        <v/>
      </c>
      <c r="BE464">
        <f>IF(OR(BE$4="",$A464&gt;TODAY()),0,IF(OR(INDEX($B464:$D464,BE$5)="F",AND(BE$6&gt;0,$A464&lt;BE$6),AND(BE$7&gt;0,$A464&gt;BE$7)),0,MAX(0,ROUND((INDEX($E464:$G464,BE$5)-SUMIFS(TF_Timer,TF_Tekniker,BE$4,TF_Dato,$A464))*2,0)/2)))</f>
        <v/>
      </c>
      <c r="BF464">
        <f>IF(OR(BF$4="",$A464&gt;TODAY()),0,IF(OR(INDEX($B464:$D464,BF$5)="F",AND(BF$6&gt;0,$A464&lt;BF$6),AND(BF$7&gt;0,$A464&gt;BF$7)),0,MAX(0,ROUND((INDEX($E464:$G464,BF$5)-SUMIFS(TF_Timer,TF_Tekniker,BF$4,TF_Dato,$A464))*2,0)/2)))</f>
        <v/>
      </c>
      <c r="BG464">
        <f>IF(OR(BG$4="",$A464&gt;TODAY()),0,IF(OR(INDEX($B464:$D464,BG$5)="F",AND(BG$6&gt;0,$A464&lt;BG$6),AND(BG$7&gt;0,$A464&gt;BG$7)),0,MAX(0,ROUND((INDEX($E464:$G464,BG$5)-SUMIFS(TF_Timer,TF_Tekniker,BG$4,TF_Dato,$A464))*2,0)/2)))</f>
        <v/>
      </c>
      <c r="BH464">
        <f>IF(OR(BH$4="",$A464&gt;TODAY()),0,IF(OR(INDEX($B464:$D464,BH$5)="F",AND(BH$6&gt;0,$A464&lt;BH$6),AND(BH$7&gt;0,$A464&gt;BH$7)),0,MAX(0,ROUND((INDEX($E464:$G464,BH$5)-SUMIFS(TF_Timer,TF_Tekniker,BH$4,TF_Dato,$A464))*2,0)/2)))</f>
        <v/>
      </c>
      <c r="BI464">
        <f>IF(OR(BI$4="",$A464&gt;TODAY()),0,IF(OR(INDEX($B464:$D464,BI$5)="F",AND(BI$6&gt;0,$A464&lt;BI$6),AND(BI$7&gt;0,$A464&gt;BI$7)),0,MAX(0,ROUND((INDEX($E464:$G464,BI$5)-SUMIFS(TF_Timer,TF_Tekniker,BI$4,TF_Dato,$A464))*2,0)/2)))</f>
        <v/>
      </c>
    </row>
    <row r="465">
      <c r="A465" s="64">
        <f>A464+1</f>
        <v/>
      </c>
      <c r="B465">
        <f>IF(MOD($A465-INDEX(SkiftStart,1),Syklus)&lt;DagK,"K",IF(MOD($A465-INDEX(SkiftStart,1),Syklus)&lt;DagK+DagH,"H",IF(MOD($A465-INDEX(SkiftStart,1),Syklus)&lt;DagK+DagH+DagD,"D","F")))</f>
        <v/>
      </c>
      <c r="C465">
        <f>IF(MOD($A465-INDEX(SkiftStart,2),Syklus)&lt;DagK,"K",IF(MOD($A465-INDEX(SkiftStart,2),Syklus)&lt;DagK+DagH,"H",IF(MOD($A465-INDEX(SkiftStart,2),Syklus)&lt;DagK+DagH+DagD,"D","F")))</f>
        <v/>
      </c>
      <c r="D465">
        <f>IF(MOD($A465-INDEX(SkiftStart,3),Syklus)&lt;DagK,"K",IF(MOD($A465-INDEX(SkiftStart,3),Syklus)&lt;DagK+DagH,"H",IF(MOD($A465-INDEX(SkiftStart,3),Syklus)&lt;DagK+DagH+DagD,"D","F")))</f>
        <v/>
      </c>
      <c r="E465">
        <f>IF(B465="F",0,IF(WEEKDAY($A465,2)=5,INDEX(TimerFr,MATCH(B465,FaseKode,0)),INDEX(TimerMT,MATCH(B465,FaseKode,0))))</f>
        <v/>
      </c>
      <c r="F465">
        <f>IF(C465="F",0,IF(WEEKDAY($A465,2)=5,INDEX(TimerFr,MATCH(C465,FaseKode,0)),INDEX(TimerMT,MATCH(C465,FaseKode,0))))</f>
        <v/>
      </c>
      <c r="G465">
        <f>IF(D465="F",0,IF(WEEKDAY($A465,2)=5,INDEX(TimerFr,MATCH(D465,FaseKode,0)),INDEX(TimerMT,MATCH(D465,FaseKode,0))))</f>
        <v/>
      </c>
      <c r="H465">
        <f>IF(OR(H$4="",$A465&gt;TODAY()),0,IF(OR(INDEX($B465:$D465,H$5)="F",AND(H$6&gt;0,$A465&lt;H$6),AND(H$7&gt;0,$A465&gt;H$7)),0,MAX(0,ROUND((INDEX($E465:$G465,H$5)-SUMIFS(TF_Timer,TF_Tekniker,H$4,TF_Dato,$A465))*2,0)/2)))</f>
        <v/>
      </c>
      <c r="I465">
        <f>IF(OR(I$4="",$A465&gt;TODAY()),0,IF(OR(INDEX($B465:$D465,I$5)="F",AND(I$6&gt;0,$A465&lt;I$6),AND(I$7&gt;0,$A465&gt;I$7)),0,MAX(0,ROUND((INDEX($E465:$G465,I$5)-SUMIFS(TF_Timer,TF_Tekniker,I$4,TF_Dato,$A465))*2,0)/2)))</f>
        <v/>
      </c>
      <c r="J465">
        <f>IF(OR(J$4="",$A465&gt;TODAY()),0,IF(OR(INDEX($B465:$D465,J$5)="F",AND(J$6&gt;0,$A465&lt;J$6),AND(J$7&gt;0,$A465&gt;J$7)),0,MAX(0,ROUND((INDEX($E465:$G465,J$5)-SUMIFS(TF_Timer,TF_Tekniker,J$4,TF_Dato,$A465))*2,0)/2)))</f>
        <v/>
      </c>
      <c r="K465">
        <f>IF(OR(K$4="",$A465&gt;TODAY()),0,IF(OR(INDEX($B465:$D465,K$5)="F",AND(K$6&gt;0,$A465&lt;K$6),AND(K$7&gt;0,$A465&gt;K$7)),0,MAX(0,ROUND((INDEX($E465:$G465,K$5)-SUMIFS(TF_Timer,TF_Tekniker,K$4,TF_Dato,$A465))*2,0)/2)))</f>
        <v/>
      </c>
      <c r="L465">
        <f>IF(OR(L$4="",$A465&gt;TODAY()),0,IF(OR(INDEX($B465:$D465,L$5)="F",AND(L$6&gt;0,$A465&lt;L$6),AND(L$7&gt;0,$A465&gt;L$7)),0,MAX(0,ROUND((INDEX($E465:$G465,L$5)-SUMIFS(TF_Timer,TF_Tekniker,L$4,TF_Dato,$A465))*2,0)/2)))</f>
        <v/>
      </c>
      <c r="M465">
        <f>IF(OR(M$4="",$A465&gt;TODAY()),0,IF(OR(INDEX($B465:$D465,M$5)="F",AND(M$6&gt;0,$A465&lt;M$6),AND(M$7&gt;0,$A465&gt;M$7)),0,MAX(0,ROUND((INDEX($E465:$G465,M$5)-SUMIFS(TF_Timer,TF_Tekniker,M$4,TF_Dato,$A465))*2,0)/2)))</f>
        <v/>
      </c>
      <c r="N465">
        <f>IF(OR(N$4="",$A465&gt;TODAY()),0,IF(OR(INDEX($B465:$D465,N$5)="F",AND(N$6&gt;0,$A465&lt;N$6),AND(N$7&gt;0,$A465&gt;N$7)),0,MAX(0,ROUND((INDEX($E465:$G465,N$5)-SUMIFS(TF_Timer,TF_Tekniker,N$4,TF_Dato,$A465))*2,0)/2)))</f>
        <v/>
      </c>
      <c r="O465">
        <f>IF(OR(O$4="",$A465&gt;TODAY()),0,IF(OR(INDEX($B465:$D465,O$5)="F",AND(O$6&gt;0,$A465&lt;O$6),AND(O$7&gt;0,$A465&gt;O$7)),0,MAX(0,ROUND((INDEX($E465:$G465,O$5)-SUMIFS(TF_Timer,TF_Tekniker,O$4,TF_Dato,$A465))*2,0)/2)))</f>
        <v/>
      </c>
      <c r="P465">
        <f>IF(OR(P$4="",$A465&gt;TODAY()),0,IF(OR(INDEX($B465:$D465,P$5)="F",AND(P$6&gt;0,$A465&lt;P$6),AND(P$7&gt;0,$A465&gt;P$7)),0,MAX(0,ROUND((INDEX($E465:$G465,P$5)-SUMIFS(TF_Timer,TF_Tekniker,P$4,TF_Dato,$A465))*2,0)/2)))</f>
        <v/>
      </c>
      <c r="Q465">
        <f>IF(OR(Q$4="",$A465&gt;TODAY()),0,IF(OR(INDEX($B465:$D465,Q$5)="F",AND(Q$6&gt;0,$A465&lt;Q$6),AND(Q$7&gt;0,$A465&gt;Q$7)),0,MAX(0,ROUND((INDEX($E465:$G465,Q$5)-SUMIFS(TF_Timer,TF_Tekniker,Q$4,TF_Dato,$A465))*2,0)/2)))</f>
        <v/>
      </c>
      <c r="R465">
        <f>IF(OR(R$4="",$A465&gt;TODAY()),0,IF(OR(INDEX($B465:$D465,R$5)="F",AND(R$6&gt;0,$A465&lt;R$6),AND(R$7&gt;0,$A465&gt;R$7)),0,MAX(0,ROUND((INDEX($E465:$G465,R$5)-SUMIFS(TF_Timer,TF_Tekniker,R$4,TF_Dato,$A465))*2,0)/2)))</f>
        <v/>
      </c>
      <c r="S465">
        <f>IF(OR(S$4="",$A465&gt;TODAY()),0,IF(OR(INDEX($B465:$D465,S$5)="F",AND(S$6&gt;0,$A465&lt;S$6),AND(S$7&gt;0,$A465&gt;S$7)),0,MAX(0,ROUND((INDEX($E465:$G465,S$5)-SUMIFS(TF_Timer,TF_Tekniker,S$4,TF_Dato,$A465))*2,0)/2)))</f>
        <v/>
      </c>
      <c r="T465">
        <f>IF(OR(T$4="",$A465&gt;TODAY()),0,IF(OR(INDEX($B465:$D465,T$5)="F",AND(T$6&gt;0,$A465&lt;T$6),AND(T$7&gt;0,$A465&gt;T$7)),0,MAX(0,ROUND((INDEX($E465:$G465,T$5)-SUMIFS(TF_Timer,TF_Tekniker,T$4,TF_Dato,$A465))*2,0)/2)))</f>
        <v/>
      </c>
      <c r="U465">
        <f>IF(OR(U$4="",$A465&gt;TODAY()),0,IF(OR(INDEX($B465:$D465,U$5)="F",AND(U$6&gt;0,$A465&lt;U$6),AND(U$7&gt;0,$A465&gt;U$7)),0,MAX(0,ROUND((INDEX($E465:$G465,U$5)-SUMIFS(TF_Timer,TF_Tekniker,U$4,TF_Dato,$A465))*2,0)/2)))</f>
        <v/>
      </c>
      <c r="V465">
        <f>IF(OR(V$4="",$A465&gt;TODAY()),0,IF(OR(INDEX($B465:$D465,V$5)="F",AND(V$6&gt;0,$A465&lt;V$6),AND(V$7&gt;0,$A465&gt;V$7)),0,MAX(0,ROUND((INDEX($E465:$G465,V$5)-SUMIFS(TF_Timer,TF_Tekniker,V$4,TF_Dato,$A465))*2,0)/2)))</f>
        <v/>
      </c>
      <c r="W465">
        <f>IF(OR(W$4="",$A465&gt;TODAY()),0,IF(OR(INDEX($B465:$D465,W$5)="F",AND(W$6&gt;0,$A465&lt;W$6),AND(W$7&gt;0,$A465&gt;W$7)),0,MAX(0,ROUND((INDEX($E465:$G465,W$5)-SUMIFS(TF_Timer,TF_Tekniker,W$4,TF_Dato,$A465))*2,0)/2)))</f>
        <v/>
      </c>
      <c r="X465">
        <f>IF(OR(X$4="",$A465&gt;TODAY()),0,IF(OR(INDEX($B465:$D465,X$5)="F",AND(X$6&gt;0,$A465&lt;X$6),AND(X$7&gt;0,$A465&gt;X$7)),0,MAX(0,ROUND((INDEX($E465:$G465,X$5)-SUMIFS(TF_Timer,TF_Tekniker,X$4,TF_Dato,$A465))*2,0)/2)))</f>
        <v/>
      </c>
      <c r="Y465">
        <f>IF(OR(Y$4="",$A465&gt;TODAY()),0,IF(OR(INDEX($B465:$D465,Y$5)="F",AND(Y$6&gt;0,$A465&lt;Y$6),AND(Y$7&gt;0,$A465&gt;Y$7)),0,MAX(0,ROUND((INDEX($E465:$G465,Y$5)-SUMIFS(TF_Timer,TF_Tekniker,Y$4,TF_Dato,$A465))*2,0)/2)))</f>
        <v/>
      </c>
      <c r="Z465">
        <f>IF(OR(Z$4="",$A465&gt;TODAY()),0,IF(OR(INDEX($B465:$D465,Z$5)="F",AND(Z$6&gt;0,$A465&lt;Z$6),AND(Z$7&gt;0,$A465&gt;Z$7)),0,MAX(0,ROUND((INDEX($E465:$G465,Z$5)-SUMIFS(TF_Timer,TF_Tekniker,Z$4,TF_Dato,$A465))*2,0)/2)))</f>
        <v/>
      </c>
      <c r="AA465">
        <f>IF(OR(AA$4="",$A465&gt;TODAY()),0,IF(OR(INDEX($B465:$D465,AA$5)="F",AND(AA$6&gt;0,$A465&lt;AA$6),AND(AA$7&gt;0,$A465&gt;AA$7)),0,MAX(0,ROUND((INDEX($E465:$G465,AA$5)-SUMIFS(TF_Timer,TF_Tekniker,AA$4,TF_Dato,$A465))*2,0)/2)))</f>
        <v/>
      </c>
      <c r="AB465">
        <f>IF(OR(AB$4="",$A465&gt;TODAY()),0,IF(OR(INDEX($B465:$D465,AB$5)="F",AND(AB$6&gt;0,$A465&lt;AB$6),AND(AB$7&gt;0,$A465&gt;AB$7)),0,MAX(0,ROUND((INDEX($E465:$G465,AB$5)-SUMIFS(TF_Timer,TF_Tekniker,AB$4,TF_Dato,$A465))*2,0)/2)))</f>
        <v/>
      </c>
      <c r="AC465">
        <f>IF(OR(AC$4="",$A465&gt;TODAY()),0,IF(OR(INDEX($B465:$D465,AC$5)="F",AND(AC$6&gt;0,$A465&lt;AC$6),AND(AC$7&gt;0,$A465&gt;AC$7)),0,MAX(0,ROUND((INDEX($E465:$G465,AC$5)-SUMIFS(TF_Timer,TF_Tekniker,AC$4,TF_Dato,$A465))*2,0)/2)))</f>
        <v/>
      </c>
      <c r="AD465">
        <f>IF(OR(AD$4="",$A465&gt;TODAY()),0,IF(OR(INDEX($B465:$D465,AD$5)="F",AND(AD$6&gt;0,$A465&lt;AD$6),AND(AD$7&gt;0,$A465&gt;AD$7)),0,MAX(0,ROUND((INDEX($E465:$G465,AD$5)-SUMIFS(TF_Timer,TF_Tekniker,AD$4,TF_Dato,$A465))*2,0)/2)))</f>
        <v/>
      </c>
      <c r="AE465">
        <f>IF(OR(AE$4="",$A465&gt;TODAY()),0,IF(OR(INDEX($B465:$D465,AE$5)="F",AND(AE$6&gt;0,$A465&lt;AE$6),AND(AE$7&gt;0,$A465&gt;AE$7)),0,MAX(0,ROUND((INDEX($E465:$G465,AE$5)-SUMIFS(TF_Timer,TF_Tekniker,AE$4,TF_Dato,$A465))*2,0)/2)))</f>
        <v/>
      </c>
      <c r="AF465">
        <f>IF(OR(AF$4="",$A465&gt;TODAY()),0,IF(OR(INDEX($B465:$D465,AF$5)="F",AND(AF$6&gt;0,$A465&lt;AF$6),AND(AF$7&gt;0,$A465&gt;AF$7)),0,MAX(0,ROUND((INDEX($E465:$G465,AF$5)-SUMIFS(TF_Timer,TF_Tekniker,AF$4,TF_Dato,$A465))*2,0)/2)))</f>
        <v/>
      </c>
      <c r="AG465">
        <f>IF(OR(AG$4="",$A465&gt;TODAY()),0,IF(OR(INDEX($B465:$D465,AG$5)="F",AND(AG$6&gt;0,$A465&lt;AG$6),AND(AG$7&gt;0,$A465&gt;AG$7)),0,MAX(0,ROUND((INDEX($E465:$G465,AG$5)-SUMIFS(TF_Timer,TF_Tekniker,AG$4,TF_Dato,$A465))*2,0)/2)))</f>
        <v/>
      </c>
      <c r="AH465">
        <f>IF(OR(AH$4="",$A465&gt;TODAY()),0,IF(OR(INDEX($B465:$D465,AH$5)="F",AND(AH$6&gt;0,$A465&lt;AH$6),AND(AH$7&gt;0,$A465&gt;AH$7)),0,MAX(0,ROUND((INDEX($E465:$G465,AH$5)-SUMIFS(TF_Timer,TF_Tekniker,AH$4,TF_Dato,$A465))*2,0)/2)))</f>
        <v/>
      </c>
      <c r="AI465">
        <f>IF(OR(AI$4="",$A465&gt;TODAY()),0,IF(OR(INDEX($B465:$D465,AI$5)="F",AND(AI$6&gt;0,$A465&lt;AI$6),AND(AI$7&gt;0,$A465&gt;AI$7)),0,MAX(0,ROUND((INDEX($E465:$G465,AI$5)-SUMIFS(TF_Timer,TF_Tekniker,AI$4,TF_Dato,$A465))*2,0)/2)))</f>
        <v/>
      </c>
      <c r="AJ465">
        <f>IF(OR(AJ$4="",$A465&gt;TODAY()),0,IF(OR(INDEX($B465:$D465,AJ$5)="F",AND(AJ$6&gt;0,$A465&lt;AJ$6),AND(AJ$7&gt;0,$A465&gt;AJ$7)),0,MAX(0,ROUND((INDEX($E465:$G465,AJ$5)-SUMIFS(TF_Timer,TF_Tekniker,AJ$4,TF_Dato,$A465))*2,0)/2)))</f>
        <v/>
      </c>
      <c r="AK465">
        <f>IF(OR(AK$4="",$A465&gt;TODAY()),0,IF(OR(INDEX($B465:$D465,AK$5)="F",AND(AK$6&gt;0,$A465&lt;AK$6),AND(AK$7&gt;0,$A465&gt;AK$7)),0,MAX(0,ROUND((INDEX($E465:$G465,AK$5)-SUMIFS(TF_Timer,TF_Tekniker,AK$4,TF_Dato,$A465))*2,0)/2)))</f>
        <v/>
      </c>
      <c r="AL465">
        <f>IF(OR(AL$4="",$A465&gt;TODAY()),0,IF(OR(INDEX($B465:$D465,AL$5)="F",AND(AL$6&gt;0,$A465&lt;AL$6),AND(AL$7&gt;0,$A465&gt;AL$7)),0,MAX(0,ROUND((INDEX($E465:$G465,AL$5)-SUMIFS(TF_Timer,TF_Tekniker,AL$4,TF_Dato,$A465))*2,0)/2)))</f>
        <v/>
      </c>
      <c r="AM465">
        <f>IF(OR(AM$4="",$A465&gt;TODAY()),0,IF(OR(INDEX($B465:$D465,AM$5)="F",AND(AM$6&gt;0,$A465&lt;AM$6),AND(AM$7&gt;0,$A465&gt;AM$7)),0,MAX(0,ROUND((INDEX($E465:$G465,AM$5)-SUMIFS(TF_Timer,TF_Tekniker,AM$4,TF_Dato,$A465))*2,0)/2)))</f>
        <v/>
      </c>
      <c r="AN465">
        <f>IF(OR(AN$4="",$A465&gt;TODAY()),0,IF(OR(INDEX($B465:$D465,AN$5)="F",AND(AN$6&gt;0,$A465&lt;AN$6),AND(AN$7&gt;0,$A465&gt;AN$7)),0,MAX(0,ROUND((INDEX($E465:$G465,AN$5)-SUMIFS(TF_Timer,TF_Tekniker,AN$4,TF_Dato,$A465))*2,0)/2)))</f>
        <v/>
      </c>
      <c r="AO465">
        <f>IF(OR(AO$4="",$A465&gt;TODAY()),0,IF(OR(INDEX($B465:$D465,AO$5)="F",AND(AO$6&gt;0,$A465&lt;AO$6),AND(AO$7&gt;0,$A465&gt;AO$7)),0,MAX(0,ROUND((INDEX($E465:$G465,AO$5)-SUMIFS(TF_Timer,TF_Tekniker,AO$4,TF_Dato,$A465))*2,0)/2)))</f>
        <v/>
      </c>
      <c r="AP465">
        <f>IF(OR(AP$4="",$A465&gt;TODAY()),0,IF(OR(INDEX($B465:$D465,AP$5)="F",AND(AP$6&gt;0,$A465&lt;AP$6),AND(AP$7&gt;0,$A465&gt;AP$7)),0,MAX(0,ROUND((INDEX($E465:$G465,AP$5)-SUMIFS(TF_Timer,TF_Tekniker,AP$4,TF_Dato,$A465))*2,0)/2)))</f>
        <v/>
      </c>
      <c r="AQ465">
        <f>IF(OR(AQ$4="",$A465&gt;TODAY()),0,IF(OR(INDEX($B465:$D465,AQ$5)="F",AND(AQ$6&gt;0,$A465&lt;AQ$6),AND(AQ$7&gt;0,$A465&gt;AQ$7)),0,MAX(0,ROUND((INDEX($E465:$G465,AQ$5)-SUMIFS(TF_Timer,TF_Tekniker,AQ$4,TF_Dato,$A465))*2,0)/2)))</f>
        <v/>
      </c>
      <c r="AR465">
        <f>IF(OR(AR$4="",$A465&gt;TODAY()),0,IF(OR(INDEX($B465:$D465,AR$5)="F",AND(AR$6&gt;0,$A465&lt;AR$6),AND(AR$7&gt;0,$A465&gt;AR$7)),0,MAX(0,ROUND((INDEX($E465:$G465,AR$5)-SUMIFS(TF_Timer,TF_Tekniker,AR$4,TF_Dato,$A465))*2,0)/2)))</f>
        <v/>
      </c>
      <c r="AS465">
        <f>IF(OR(AS$4="",$A465&gt;TODAY()),0,IF(OR(INDEX($B465:$D465,AS$5)="F",AND(AS$6&gt;0,$A465&lt;AS$6),AND(AS$7&gt;0,$A465&gt;AS$7)),0,MAX(0,ROUND((INDEX($E465:$G465,AS$5)-SUMIFS(TF_Timer,TF_Tekniker,AS$4,TF_Dato,$A465))*2,0)/2)))</f>
        <v/>
      </c>
      <c r="AT465">
        <f>IF(OR(AT$4="",$A465&gt;TODAY()),0,IF(OR(INDEX($B465:$D465,AT$5)="F",AND(AT$6&gt;0,$A465&lt;AT$6),AND(AT$7&gt;0,$A465&gt;AT$7)),0,MAX(0,ROUND((INDEX($E465:$G465,AT$5)-SUMIFS(TF_Timer,TF_Tekniker,AT$4,TF_Dato,$A465))*2,0)/2)))</f>
        <v/>
      </c>
      <c r="AU465">
        <f>IF(OR(AU$4="",$A465&gt;TODAY()),0,IF(OR(INDEX($B465:$D465,AU$5)="F",AND(AU$6&gt;0,$A465&lt;AU$6),AND(AU$7&gt;0,$A465&gt;AU$7)),0,MAX(0,ROUND((INDEX($E465:$G465,AU$5)-SUMIFS(TF_Timer,TF_Tekniker,AU$4,TF_Dato,$A465))*2,0)/2)))</f>
        <v/>
      </c>
      <c r="AV465">
        <f>IF(OR(AV$4="",$A465&gt;TODAY()),0,IF(OR(INDEX($B465:$D465,AV$5)="F",AND(AV$6&gt;0,$A465&lt;AV$6),AND(AV$7&gt;0,$A465&gt;AV$7)),0,MAX(0,ROUND((INDEX($E465:$G465,AV$5)-SUMIFS(TF_Timer,TF_Tekniker,AV$4,TF_Dato,$A465))*2,0)/2)))</f>
        <v/>
      </c>
      <c r="AW465">
        <f>IF(OR(AW$4="",$A465&gt;TODAY()),0,IF(OR(INDEX($B465:$D465,AW$5)="F",AND(AW$6&gt;0,$A465&lt;AW$6),AND(AW$7&gt;0,$A465&gt;AW$7)),0,MAX(0,ROUND((INDEX($E465:$G465,AW$5)-SUMIFS(TF_Timer,TF_Tekniker,AW$4,TF_Dato,$A465))*2,0)/2)))</f>
        <v/>
      </c>
      <c r="AX465">
        <f>IF(OR(AX$4="",$A465&gt;TODAY()),0,IF(OR(INDEX($B465:$D465,AX$5)="F",AND(AX$6&gt;0,$A465&lt;AX$6),AND(AX$7&gt;0,$A465&gt;AX$7)),0,MAX(0,ROUND((INDEX($E465:$G465,AX$5)-SUMIFS(TF_Timer,TF_Tekniker,AX$4,TF_Dato,$A465))*2,0)/2)))</f>
        <v/>
      </c>
      <c r="AY465">
        <f>IF(OR(AY$4="",$A465&gt;TODAY()),0,IF(OR(INDEX($B465:$D465,AY$5)="F",AND(AY$6&gt;0,$A465&lt;AY$6),AND(AY$7&gt;0,$A465&gt;AY$7)),0,MAX(0,ROUND((INDEX($E465:$G465,AY$5)-SUMIFS(TF_Timer,TF_Tekniker,AY$4,TF_Dato,$A465))*2,0)/2)))</f>
        <v/>
      </c>
      <c r="AZ465">
        <f>IF(OR(AZ$4="",$A465&gt;TODAY()),0,IF(OR(INDEX($B465:$D465,AZ$5)="F",AND(AZ$6&gt;0,$A465&lt;AZ$6),AND(AZ$7&gt;0,$A465&gt;AZ$7)),0,MAX(0,ROUND((INDEX($E465:$G465,AZ$5)-SUMIFS(TF_Timer,TF_Tekniker,AZ$4,TF_Dato,$A465))*2,0)/2)))</f>
        <v/>
      </c>
      <c r="BA465">
        <f>IF(OR(BA$4="",$A465&gt;TODAY()),0,IF(OR(INDEX($B465:$D465,BA$5)="F",AND(BA$6&gt;0,$A465&lt;BA$6),AND(BA$7&gt;0,$A465&gt;BA$7)),0,MAX(0,ROUND((INDEX($E465:$G465,BA$5)-SUMIFS(TF_Timer,TF_Tekniker,BA$4,TF_Dato,$A465))*2,0)/2)))</f>
        <v/>
      </c>
      <c r="BB465">
        <f>IF(OR(BB$4="",$A465&gt;TODAY()),0,IF(OR(INDEX($B465:$D465,BB$5)="F",AND(BB$6&gt;0,$A465&lt;BB$6),AND(BB$7&gt;0,$A465&gt;BB$7)),0,MAX(0,ROUND((INDEX($E465:$G465,BB$5)-SUMIFS(TF_Timer,TF_Tekniker,BB$4,TF_Dato,$A465))*2,0)/2)))</f>
        <v/>
      </c>
      <c r="BC465">
        <f>IF(OR(BC$4="",$A465&gt;TODAY()),0,IF(OR(INDEX($B465:$D465,BC$5)="F",AND(BC$6&gt;0,$A465&lt;BC$6),AND(BC$7&gt;0,$A465&gt;BC$7)),0,MAX(0,ROUND((INDEX($E465:$G465,BC$5)-SUMIFS(TF_Timer,TF_Tekniker,BC$4,TF_Dato,$A465))*2,0)/2)))</f>
        <v/>
      </c>
      <c r="BD465">
        <f>IF(OR(BD$4="",$A465&gt;TODAY()),0,IF(OR(INDEX($B465:$D465,BD$5)="F",AND(BD$6&gt;0,$A465&lt;BD$6),AND(BD$7&gt;0,$A465&gt;BD$7)),0,MAX(0,ROUND((INDEX($E465:$G465,BD$5)-SUMIFS(TF_Timer,TF_Tekniker,BD$4,TF_Dato,$A465))*2,0)/2)))</f>
        <v/>
      </c>
      <c r="BE465">
        <f>IF(OR(BE$4="",$A465&gt;TODAY()),0,IF(OR(INDEX($B465:$D465,BE$5)="F",AND(BE$6&gt;0,$A465&lt;BE$6),AND(BE$7&gt;0,$A465&gt;BE$7)),0,MAX(0,ROUND((INDEX($E465:$G465,BE$5)-SUMIFS(TF_Timer,TF_Tekniker,BE$4,TF_Dato,$A465))*2,0)/2)))</f>
        <v/>
      </c>
      <c r="BF465">
        <f>IF(OR(BF$4="",$A465&gt;TODAY()),0,IF(OR(INDEX($B465:$D465,BF$5)="F",AND(BF$6&gt;0,$A465&lt;BF$6),AND(BF$7&gt;0,$A465&gt;BF$7)),0,MAX(0,ROUND((INDEX($E465:$G465,BF$5)-SUMIFS(TF_Timer,TF_Tekniker,BF$4,TF_Dato,$A465))*2,0)/2)))</f>
        <v/>
      </c>
      <c r="BG465">
        <f>IF(OR(BG$4="",$A465&gt;TODAY()),0,IF(OR(INDEX($B465:$D465,BG$5)="F",AND(BG$6&gt;0,$A465&lt;BG$6),AND(BG$7&gt;0,$A465&gt;BG$7)),0,MAX(0,ROUND((INDEX($E465:$G465,BG$5)-SUMIFS(TF_Timer,TF_Tekniker,BG$4,TF_Dato,$A465))*2,0)/2)))</f>
        <v/>
      </c>
      <c r="BH465">
        <f>IF(OR(BH$4="",$A465&gt;TODAY()),0,IF(OR(INDEX($B465:$D465,BH$5)="F",AND(BH$6&gt;0,$A465&lt;BH$6),AND(BH$7&gt;0,$A465&gt;BH$7)),0,MAX(0,ROUND((INDEX($E465:$G465,BH$5)-SUMIFS(TF_Timer,TF_Tekniker,BH$4,TF_Dato,$A465))*2,0)/2)))</f>
        <v/>
      </c>
      <c r="BI465">
        <f>IF(OR(BI$4="",$A465&gt;TODAY()),0,IF(OR(INDEX($B465:$D465,BI$5)="F",AND(BI$6&gt;0,$A465&lt;BI$6),AND(BI$7&gt;0,$A465&gt;BI$7)),0,MAX(0,ROUND((INDEX($E465:$G465,BI$5)-SUMIFS(TF_Timer,TF_Tekniker,BI$4,TF_Dato,$A465))*2,0)/2)))</f>
        <v/>
      </c>
    </row>
    <row r="466">
      <c r="A466" s="64">
        <f>A465+1</f>
        <v/>
      </c>
      <c r="B466">
        <f>IF(MOD($A466-INDEX(SkiftStart,1),Syklus)&lt;DagK,"K",IF(MOD($A466-INDEX(SkiftStart,1),Syklus)&lt;DagK+DagH,"H",IF(MOD($A466-INDEX(SkiftStart,1),Syklus)&lt;DagK+DagH+DagD,"D","F")))</f>
        <v/>
      </c>
      <c r="C466">
        <f>IF(MOD($A466-INDEX(SkiftStart,2),Syklus)&lt;DagK,"K",IF(MOD($A466-INDEX(SkiftStart,2),Syklus)&lt;DagK+DagH,"H",IF(MOD($A466-INDEX(SkiftStart,2),Syklus)&lt;DagK+DagH+DagD,"D","F")))</f>
        <v/>
      </c>
      <c r="D466">
        <f>IF(MOD($A466-INDEX(SkiftStart,3),Syklus)&lt;DagK,"K",IF(MOD($A466-INDEX(SkiftStart,3),Syklus)&lt;DagK+DagH,"H",IF(MOD($A466-INDEX(SkiftStart,3),Syklus)&lt;DagK+DagH+DagD,"D","F")))</f>
        <v/>
      </c>
      <c r="E466">
        <f>IF(B466="F",0,IF(WEEKDAY($A466,2)=5,INDEX(TimerFr,MATCH(B466,FaseKode,0)),INDEX(TimerMT,MATCH(B466,FaseKode,0))))</f>
        <v/>
      </c>
      <c r="F466">
        <f>IF(C466="F",0,IF(WEEKDAY($A466,2)=5,INDEX(TimerFr,MATCH(C466,FaseKode,0)),INDEX(TimerMT,MATCH(C466,FaseKode,0))))</f>
        <v/>
      </c>
      <c r="G466">
        <f>IF(D466="F",0,IF(WEEKDAY($A466,2)=5,INDEX(TimerFr,MATCH(D466,FaseKode,0)),INDEX(TimerMT,MATCH(D466,FaseKode,0))))</f>
        <v/>
      </c>
      <c r="H466">
        <f>IF(OR(H$4="",$A466&gt;TODAY()),0,IF(OR(INDEX($B466:$D466,H$5)="F",AND(H$6&gt;0,$A466&lt;H$6),AND(H$7&gt;0,$A466&gt;H$7)),0,MAX(0,ROUND((INDEX($E466:$G466,H$5)-SUMIFS(TF_Timer,TF_Tekniker,H$4,TF_Dato,$A466))*2,0)/2)))</f>
        <v/>
      </c>
      <c r="I466">
        <f>IF(OR(I$4="",$A466&gt;TODAY()),0,IF(OR(INDEX($B466:$D466,I$5)="F",AND(I$6&gt;0,$A466&lt;I$6),AND(I$7&gt;0,$A466&gt;I$7)),0,MAX(0,ROUND((INDEX($E466:$G466,I$5)-SUMIFS(TF_Timer,TF_Tekniker,I$4,TF_Dato,$A466))*2,0)/2)))</f>
        <v/>
      </c>
      <c r="J466">
        <f>IF(OR(J$4="",$A466&gt;TODAY()),0,IF(OR(INDEX($B466:$D466,J$5)="F",AND(J$6&gt;0,$A466&lt;J$6),AND(J$7&gt;0,$A466&gt;J$7)),0,MAX(0,ROUND((INDEX($E466:$G466,J$5)-SUMIFS(TF_Timer,TF_Tekniker,J$4,TF_Dato,$A466))*2,0)/2)))</f>
        <v/>
      </c>
      <c r="K466">
        <f>IF(OR(K$4="",$A466&gt;TODAY()),0,IF(OR(INDEX($B466:$D466,K$5)="F",AND(K$6&gt;0,$A466&lt;K$6),AND(K$7&gt;0,$A466&gt;K$7)),0,MAX(0,ROUND((INDEX($E466:$G466,K$5)-SUMIFS(TF_Timer,TF_Tekniker,K$4,TF_Dato,$A466))*2,0)/2)))</f>
        <v/>
      </c>
      <c r="L466">
        <f>IF(OR(L$4="",$A466&gt;TODAY()),0,IF(OR(INDEX($B466:$D466,L$5)="F",AND(L$6&gt;0,$A466&lt;L$6),AND(L$7&gt;0,$A466&gt;L$7)),0,MAX(0,ROUND((INDEX($E466:$G466,L$5)-SUMIFS(TF_Timer,TF_Tekniker,L$4,TF_Dato,$A466))*2,0)/2)))</f>
        <v/>
      </c>
      <c r="M466">
        <f>IF(OR(M$4="",$A466&gt;TODAY()),0,IF(OR(INDEX($B466:$D466,M$5)="F",AND(M$6&gt;0,$A466&lt;M$6),AND(M$7&gt;0,$A466&gt;M$7)),0,MAX(0,ROUND((INDEX($E466:$G466,M$5)-SUMIFS(TF_Timer,TF_Tekniker,M$4,TF_Dato,$A466))*2,0)/2)))</f>
        <v/>
      </c>
      <c r="N466">
        <f>IF(OR(N$4="",$A466&gt;TODAY()),0,IF(OR(INDEX($B466:$D466,N$5)="F",AND(N$6&gt;0,$A466&lt;N$6),AND(N$7&gt;0,$A466&gt;N$7)),0,MAX(0,ROUND((INDEX($E466:$G466,N$5)-SUMIFS(TF_Timer,TF_Tekniker,N$4,TF_Dato,$A466))*2,0)/2)))</f>
        <v/>
      </c>
      <c r="O466">
        <f>IF(OR(O$4="",$A466&gt;TODAY()),0,IF(OR(INDEX($B466:$D466,O$5)="F",AND(O$6&gt;0,$A466&lt;O$6),AND(O$7&gt;0,$A466&gt;O$7)),0,MAX(0,ROUND((INDEX($E466:$G466,O$5)-SUMIFS(TF_Timer,TF_Tekniker,O$4,TF_Dato,$A466))*2,0)/2)))</f>
        <v/>
      </c>
      <c r="P466">
        <f>IF(OR(P$4="",$A466&gt;TODAY()),0,IF(OR(INDEX($B466:$D466,P$5)="F",AND(P$6&gt;0,$A466&lt;P$6),AND(P$7&gt;0,$A466&gt;P$7)),0,MAX(0,ROUND((INDEX($E466:$G466,P$5)-SUMIFS(TF_Timer,TF_Tekniker,P$4,TF_Dato,$A466))*2,0)/2)))</f>
        <v/>
      </c>
      <c r="Q466">
        <f>IF(OR(Q$4="",$A466&gt;TODAY()),0,IF(OR(INDEX($B466:$D466,Q$5)="F",AND(Q$6&gt;0,$A466&lt;Q$6),AND(Q$7&gt;0,$A466&gt;Q$7)),0,MAX(0,ROUND((INDEX($E466:$G466,Q$5)-SUMIFS(TF_Timer,TF_Tekniker,Q$4,TF_Dato,$A466))*2,0)/2)))</f>
        <v/>
      </c>
      <c r="R466">
        <f>IF(OR(R$4="",$A466&gt;TODAY()),0,IF(OR(INDEX($B466:$D466,R$5)="F",AND(R$6&gt;0,$A466&lt;R$6),AND(R$7&gt;0,$A466&gt;R$7)),0,MAX(0,ROUND((INDEX($E466:$G466,R$5)-SUMIFS(TF_Timer,TF_Tekniker,R$4,TF_Dato,$A466))*2,0)/2)))</f>
        <v/>
      </c>
      <c r="S466">
        <f>IF(OR(S$4="",$A466&gt;TODAY()),0,IF(OR(INDEX($B466:$D466,S$5)="F",AND(S$6&gt;0,$A466&lt;S$6),AND(S$7&gt;0,$A466&gt;S$7)),0,MAX(0,ROUND((INDEX($E466:$G466,S$5)-SUMIFS(TF_Timer,TF_Tekniker,S$4,TF_Dato,$A466))*2,0)/2)))</f>
        <v/>
      </c>
      <c r="T466">
        <f>IF(OR(T$4="",$A466&gt;TODAY()),0,IF(OR(INDEX($B466:$D466,T$5)="F",AND(T$6&gt;0,$A466&lt;T$6),AND(T$7&gt;0,$A466&gt;T$7)),0,MAX(0,ROUND((INDEX($E466:$G466,T$5)-SUMIFS(TF_Timer,TF_Tekniker,T$4,TF_Dato,$A466))*2,0)/2)))</f>
        <v/>
      </c>
      <c r="U466">
        <f>IF(OR(U$4="",$A466&gt;TODAY()),0,IF(OR(INDEX($B466:$D466,U$5)="F",AND(U$6&gt;0,$A466&lt;U$6),AND(U$7&gt;0,$A466&gt;U$7)),0,MAX(0,ROUND((INDEX($E466:$G466,U$5)-SUMIFS(TF_Timer,TF_Tekniker,U$4,TF_Dato,$A466))*2,0)/2)))</f>
        <v/>
      </c>
      <c r="V466">
        <f>IF(OR(V$4="",$A466&gt;TODAY()),0,IF(OR(INDEX($B466:$D466,V$5)="F",AND(V$6&gt;0,$A466&lt;V$6),AND(V$7&gt;0,$A466&gt;V$7)),0,MAX(0,ROUND((INDEX($E466:$G466,V$5)-SUMIFS(TF_Timer,TF_Tekniker,V$4,TF_Dato,$A466))*2,0)/2)))</f>
        <v/>
      </c>
      <c r="W466">
        <f>IF(OR(W$4="",$A466&gt;TODAY()),0,IF(OR(INDEX($B466:$D466,W$5)="F",AND(W$6&gt;0,$A466&lt;W$6),AND(W$7&gt;0,$A466&gt;W$7)),0,MAX(0,ROUND((INDEX($E466:$G466,W$5)-SUMIFS(TF_Timer,TF_Tekniker,W$4,TF_Dato,$A466))*2,0)/2)))</f>
        <v/>
      </c>
      <c r="X466">
        <f>IF(OR(X$4="",$A466&gt;TODAY()),0,IF(OR(INDEX($B466:$D466,X$5)="F",AND(X$6&gt;0,$A466&lt;X$6),AND(X$7&gt;0,$A466&gt;X$7)),0,MAX(0,ROUND((INDEX($E466:$G466,X$5)-SUMIFS(TF_Timer,TF_Tekniker,X$4,TF_Dato,$A466))*2,0)/2)))</f>
        <v/>
      </c>
      <c r="Y466">
        <f>IF(OR(Y$4="",$A466&gt;TODAY()),0,IF(OR(INDEX($B466:$D466,Y$5)="F",AND(Y$6&gt;0,$A466&lt;Y$6),AND(Y$7&gt;0,$A466&gt;Y$7)),0,MAX(0,ROUND((INDEX($E466:$G466,Y$5)-SUMIFS(TF_Timer,TF_Tekniker,Y$4,TF_Dato,$A466))*2,0)/2)))</f>
        <v/>
      </c>
      <c r="Z466">
        <f>IF(OR(Z$4="",$A466&gt;TODAY()),0,IF(OR(INDEX($B466:$D466,Z$5)="F",AND(Z$6&gt;0,$A466&lt;Z$6),AND(Z$7&gt;0,$A466&gt;Z$7)),0,MAX(0,ROUND((INDEX($E466:$G466,Z$5)-SUMIFS(TF_Timer,TF_Tekniker,Z$4,TF_Dato,$A466))*2,0)/2)))</f>
        <v/>
      </c>
      <c r="AA466">
        <f>IF(OR(AA$4="",$A466&gt;TODAY()),0,IF(OR(INDEX($B466:$D466,AA$5)="F",AND(AA$6&gt;0,$A466&lt;AA$6),AND(AA$7&gt;0,$A466&gt;AA$7)),0,MAX(0,ROUND((INDEX($E466:$G466,AA$5)-SUMIFS(TF_Timer,TF_Tekniker,AA$4,TF_Dato,$A466))*2,0)/2)))</f>
        <v/>
      </c>
      <c r="AB466">
        <f>IF(OR(AB$4="",$A466&gt;TODAY()),0,IF(OR(INDEX($B466:$D466,AB$5)="F",AND(AB$6&gt;0,$A466&lt;AB$6),AND(AB$7&gt;0,$A466&gt;AB$7)),0,MAX(0,ROUND((INDEX($E466:$G466,AB$5)-SUMIFS(TF_Timer,TF_Tekniker,AB$4,TF_Dato,$A466))*2,0)/2)))</f>
        <v/>
      </c>
      <c r="AC466">
        <f>IF(OR(AC$4="",$A466&gt;TODAY()),0,IF(OR(INDEX($B466:$D466,AC$5)="F",AND(AC$6&gt;0,$A466&lt;AC$6),AND(AC$7&gt;0,$A466&gt;AC$7)),0,MAX(0,ROUND((INDEX($E466:$G466,AC$5)-SUMIFS(TF_Timer,TF_Tekniker,AC$4,TF_Dato,$A466))*2,0)/2)))</f>
        <v/>
      </c>
      <c r="AD466">
        <f>IF(OR(AD$4="",$A466&gt;TODAY()),0,IF(OR(INDEX($B466:$D466,AD$5)="F",AND(AD$6&gt;0,$A466&lt;AD$6),AND(AD$7&gt;0,$A466&gt;AD$7)),0,MAX(0,ROUND((INDEX($E466:$G466,AD$5)-SUMIFS(TF_Timer,TF_Tekniker,AD$4,TF_Dato,$A466))*2,0)/2)))</f>
        <v/>
      </c>
      <c r="AE466">
        <f>IF(OR(AE$4="",$A466&gt;TODAY()),0,IF(OR(INDEX($B466:$D466,AE$5)="F",AND(AE$6&gt;0,$A466&lt;AE$6),AND(AE$7&gt;0,$A466&gt;AE$7)),0,MAX(0,ROUND((INDEX($E466:$G466,AE$5)-SUMIFS(TF_Timer,TF_Tekniker,AE$4,TF_Dato,$A466))*2,0)/2)))</f>
        <v/>
      </c>
      <c r="AF466">
        <f>IF(OR(AF$4="",$A466&gt;TODAY()),0,IF(OR(INDEX($B466:$D466,AF$5)="F",AND(AF$6&gt;0,$A466&lt;AF$6),AND(AF$7&gt;0,$A466&gt;AF$7)),0,MAX(0,ROUND((INDEX($E466:$G466,AF$5)-SUMIFS(TF_Timer,TF_Tekniker,AF$4,TF_Dato,$A466))*2,0)/2)))</f>
        <v/>
      </c>
      <c r="AG466">
        <f>IF(OR(AG$4="",$A466&gt;TODAY()),0,IF(OR(INDEX($B466:$D466,AG$5)="F",AND(AG$6&gt;0,$A466&lt;AG$6),AND(AG$7&gt;0,$A466&gt;AG$7)),0,MAX(0,ROUND((INDEX($E466:$G466,AG$5)-SUMIFS(TF_Timer,TF_Tekniker,AG$4,TF_Dato,$A466))*2,0)/2)))</f>
        <v/>
      </c>
      <c r="AH466">
        <f>IF(OR(AH$4="",$A466&gt;TODAY()),0,IF(OR(INDEX($B466:$D466,AH$5)="F",AND(AH$6&gt;0,$A466&lt;AH$6),AND(AH$7&gt;0,$A466&gt;AH$7)),0,MAX(0,ROUND((INDEX($E466:$G466,AH$5)-SUMIFS(TF_Timer,TF_Tekniker,AH$4,TF_Dato,$A466))*2,0)/2)))</f>
        <v/>
      </c>
      <c r="AI466">
        <f>IF(OR(AI$4="",$A466&gt;TODAY()),0,IF(OR(INDEX($B466:$D466,AI$5)="F",AND(AI$6&gt;0,$A466&lt;AI$6),AND(AI$7&gt;0,$A466&gt;AI$7)),0,MAX(0,ROUND((INDEX($E466:$G466,AI$5)-SUMIFS(TF_Timer,TF_Tekniker,AI$4,TF_Dato,$A466))*2,0)/2)))</f>
        <v/>
      </c>
      <c r="AJ466">
        <f>IF(OR(AJ$4="",$A466&gt;TODAY()),0,IF(OR(INDEX($B466:$D466,AJ$5)="F",AND(AJ$6&gt;0,$A466&lt;AJ$6),AND(AJ$7&gt;0,$A466&gt;AJ$7)),0,MAX(0,ROUND((INDEX($E466:$G466,AJ$5)-SUMIFS(TF_Timer,TF_Tekniker,AJ$4,TF_Dato,$A466))*2,0)/2)))</f>
        <v/>
      </c>
      <c r="AK466">
        <f>IF(OR(AK$4="",$A466&gt;TODAY()),0,IF(OR(INDEX($B466:$D466,AK$5)="F",AND(AK$6&gt;0,$A466&lt;AK$6),AND(AK$7&gt;0,$A466&gt;AK$7)),0,MAX(0,ROUND((INDEX($E466:$G466,AK$5)-SUMIFS(TF_Timer,TF_Tekniker,AK$4,TF_Dato,$A466))*2,0)/2)))</f>
        <v/>
      </c>
      <c r="AL466">
        <f>IF(OR(AL$4="",$A466&gt;TODAY()),0,IF(OR(INDEX($B466:$D466,AL$5)="F",AND(AL$6&gt;0,$A466&lt;AL$6),AND(AL$7&gt;0,$A466&gt;AL$7)),0,MAX(0,ROUND((INDEX($E466:$G466,AL$5)-SUMIFS(TF_Timer,TF_Tekniker,AL$4,TF_Dato,$A466))*2,0)/2)))</f>
        <v/>
      </c>
      <c r="AM466">
        <f>IF(OR(AM$4="",$A466&gt;TODAY()),0,IF(OR(INDEX($B466:$D466,AM$5)="F",AND(AM$6&gt;0,$A466&lt;AM$6),AND(AM$7&gt;0,$A466&gt;AM$7)),0,MAX(0,ROUND((INDEX($E466:$G466,AM$5)-SUMIFS(TF_Timer,TF_Tekniker,AM$4,TF_Dato,$A466))*2,0)/2)))</f>
        <v/>
      </c>
      <c r="AN466">
        <f>IF(OR(AN$4="",$A466&gt;TODAY()),0,IF(OR(INDEX($B466:$D466,AN$5)="F",AND(AN$6&gt;0,$A466&lt;AN$6),AND(AN$7&gt;0,$A466&gt;AN$7)),0,MAX(0,ROUND((INDEX($E466:$G466,AN$5)-SUMIFS(TF_Timer,TF_Tekniker,AN$4,TF_Dato,$A466))*2,0)/2)))</f>
        <v/>
      </c>
      <c r="AO466">
        <f>IF(OR(AO$4="",$A466&gt;TODAY()),0,IF(OR(INDEX($B466:$D466,AO$5)="F",AND(AO$6&gt;0,$A466&lt;AO$6),AND(AO$7&gt;0,$A466&gt;AO$7)),0,MAX(0,ROUND((INDEX($E466:$G466,AO$5)-SUMIFS(TF_Timer,TF_Tekniker,AO$4,TF_Dato,$A466))*2,0)/2)))</f>
        <v/>
      </c>
      <c r="AP466">
        <f>IF(OR(AP$4="",$A466&gt;TODAY()),0,IF(OR(INDEX($B466:$D466,AP$5)="F",AND(AP$6&gt;0,$A466&lt;AP$6),AND(AP$7&gt;0,$A466&gt;AP$7)),0,MAX(0,ROUND((INDEX($E466:$G466,AP$5)-SUMIFS(TF_Timer,TF_Tekniker,AP$4,TF_Dato,$A466))*2,0)/2)))</f>
        <v/>
      </c>
      <c r="AQ466">
        <f>IF(OR(AQ$4="",$A466&gt;TODAY()),0,IF(OR(INDEX($B466:$D466,AQ$5)="F",AND(AQ$6&gt;0,$A466&lt;AQ$6),AND(AQ$7&gt;0,$A466&gt;AQ$7)),0,MAX(0,ROUND((INDEX($E466:$G466,AQ$5)-SUMIFS(TF_Timer,TF_Tekniker,AQ$4,TF_Dato,$A466))*2,0)/2)))</f>
        <v/>
      </c>
      <c r="AR466">
        <f>IF(OR(AR$4="",$A466&gt;TODAY()),0,IF(OR(INDEX($B466:$D466,AR$5)="F",AND(AR$6&gt;0,$A466&lt;AR$6),AND(AR$7&gt;0,$A466&gt;AR$7)),0,MAX(0,ROUND((INDEX($E466:$G466,AR$5)-SUMIFS(TF_Timer,TF_Tekniker,AR$4,TF_Dato,$A466))*2,0)/2)))</f>
        <v/>
      </c>
      <c r="AS466">
        <f>IF(OR(AS$4="",$A466&gt;TODAY()),0,IF(OR(INDEX($B466:$D466,AS$5)="F",AND(AS$6&gt;0,$A466&lt;AS$6),AND(AS$7&gt;0,$A466&gt;AS$7)),0,MAX(0,ROUND((INDEX($E466:$G466,AS$5)-SUMIFS(TF_Timer,TF_Tekniker,AS$4,TF_Dato,$A466))*2,0)/2)))</f>
        <v/>
      </c>
      <c r="AT466">
        <f>IF(OR(AT$4="",$A466&gt;TODAY()),0,IF(OR(INDEX($B466:$D466,AT$5)="F",AND(AT$6&gt;0,$A466&lt;AT$6),AND(AT$7&gt;0,$A466&gt;AT$7)),0,MAX(0,ROUND((INDEX($E466:$G466,AT$5)-SUMIFS(TF_Timer,TF_Tekniker,AT$4,TF_Dato,$A466))*2,0)/2)))</f>
        <v/>
      </c>
      <c r="AU466">
        <f>IF(OR(AU$4="",$A466&gt;TODAY()),0,IF(OR(INDEX($B466:$D466,AU$5)="F",AND(AU$6&gt;0,$A466&lt;AU$6),AND(AU$7&gt;0,$A466&gt;AU$7)),0,MAX(0,ROUND((INDEX($E466:$G466,AU$5)-SUMIFS(TF_Timer,TF_Tekniker,AU$4,TF_Dato,$A466))*2,0)/2)))</f>
        <v/>
      </c>
      <c r="AV466">
        <f>IF(OR(AV$4="",$A466&gt;TODAY()),0,IF(OR(INDEX($B466:$D466,AV$5)="F",AND(AV$6&gt;0,$A466&lt;AV$6),AND(AV$7&gt;0,$A466&gt;AV$7)),0,MAX(0,ROUND((INDEX($E466:$G466,AV$5)-SUMIFS(TF_Timer,TF_Tekniker,AV$4,TF_Dato,$A466))*2,0)/2)))</f>
        <v/>
      </c>
      <c r="AW466">
        <f>IF(OR(AW$4="",$A466&gt;TODAY()),0,IF(OR(INDEX($B466:$D466,AW$5)="F",AND(AW$6&gt;0,$A466&lt;AW$6),AND(AW$7&gt;0,$A466&gt;AW$7)),0,MAX(0,ROUND((INDEX($E466:$G466,AW$5)-SUMIFS(TF_Timer,TF_Tekniker,AW$4,TF_Dato,$A466))*2,0)/2)))</f>
        <v/>
      </c>
      <c r="AX466">
        <f>IF(OR(AX$4="",$A466&gt;TODAY()),0,IF(OR(INDEX($B466:$D466,AX$5)="F",AND(AX$6&gt;0,$A466&lt;AX$6),AND(AX$7&gt;0,$A466&gt;AX$7)),0,MAX(0,ROUND((INDEX($E466:$G466,AX$5)-SUMIFS(TF_Timer,TF_Tekniker,AX$4,TF_Dato,$A466))*2,0)/2)))</f>
        <v/>
      </c>
      <c r="AY466">
        <f>IF(OR(AY$4="",$A466&gt;TODAY()),0,IF(OR(INDEX($B466:$D466,AY$5)="F",AND(AY$6&gt;0,$A466&lt;AY$6),AND(AY$7&gt;0,$A466&gt;AY$7)),0,MAX(0,ROUND((INDEX($E466:$G466,AY$5)-SUMIFS(TF_Timer,TF_Tekniker,AY$4,TF_Dato,$A466))*2,0)/2)))</f>
        <v/>
      </c>
      <c r="AZ466">
        <f>IF(OR(AZ$4="",$A466&gt;TODAY()),0,IF(OR(INDEX($B466:$D466,AZ$5)="F",AND(AZ$6&gt;0,$A466&lt;AZ$6),AND(AZ$7&gt;0,$A466&gt;AZ$7)),0,MAX(0,ROUND((INDEX($E466:$G466,AZ$5)-SUMIFS(TF_Timer,TF_Tekniker,AZ$4,TF_Dato,$A466))*2,0)/2)))</f>
        <v/>
      </c>
      <c r="BA466">
        <f>IF(OR(BA$4="",$A466&gt;TODAY()),0,IF(OR(INDEX($B466:$D466,BA$5)="F",AND(BA$6&gt;0,$A466&lt;BA$6),AND(BA$7&gt;0,$A466&gt;BA$7)),0,MAX(0,ROUND((INDEX($E466:$G466,BA$5)-SUMIFS(TF_Timer,TF_Tekniker,BA$4,TF_Dato,$A466))*2,0)/2)))</f>
        <v/>
      </c>
      <c r="BB466">
        <f>IF(OR(BB$4="",$A466&gt;TODAY()),0,IF(OR(INDEX($B466:$D466,BB$5)="F",AND(BB$6&gt;0,$A466&lt;BB$6),AND(BB$7&gt;0,$A466&gt;BB$7)),0,MAX(0,ROUND((INDEX($E466:$G466,BB$5)-SUMIFS(TF_Timer,TF_Tekniker,BB$4,TF_Dato,$A466))*2,0)/2)))</f>
        <v/>
      </c>
      <c r="BC466">
        <f>IF(OR(BC$4="",$A466&gt;TODAY()),0,IF(OR(INDEX($B466:$D466,BC$5)="F",AND(BC$6&gt;0,$A466&lt;BC$6),AND(BC$7&gt;0,$A466&gt;BC$7)),0,MAX(0,ROUND((INDEX($E466:$G466,BC$5)-SUMIFS(TF_Timer,TF_Tekniker,BC$4,TF_Dato,$A466))*2,0)/2)))</f>
        <v/>
      </c>
      <c r="BD466">
        <f>IF(OR(BD$4="",$A466&gt;TODAY()),0,IF(OR(INDEX($B466:$D466,BD$5)="F",AND(BD$6&gt;0,$A466&lt;BD$6),AND(BD$7&gt;0,$A466&gt;BD$7)),0,MAX(0,ROUND((INDEX($E466:$G466,BD$5)-SUMIFS(TF_Timer,TF_Tekniker,BD$4,TF_Dato,$A466))*2,0)/2)))</f>
        <v/>
      </c>
      <c r="BE466">
        <f>IF(OR(BE$4="",$A466&gt;TODAY()),0,IF(OR(INDEX($B466:$D466,BE$5)="F",AND(BE$6&gt;0,$A466&lt;BE$6),AND(BE$7&gt;0,$A466&gt;BE$7)),0,MAX(0,ROUND((INDEX($E466:$G466,BE$5)-SUMIFS(TF_Timer,TF_Tekniker,BE$4,TF_Dato,$A466))*2,0)/2)))</f>
        <v/>
      </c>
      <c r="BF466">
        <f>IF(OR(BF$4="",$A466&gt;TODAY()),0,IF(OR(INDEX($B466:$D466,BF$5)="F",AND(BF$6&gt;0,$A466&lt;BF$6),AND(BF$7&gt;0,$A466&gt;BF$7)),0,MAX(0,ROUND((INDEX($E466:$G466,BF$5)-SUMIFS(TF_Timer,TF_Tekniker,BF$4,TF_Dato,$A466))*2,0)/2)))</f>
        <v/>
      </c>
      <c r="BG466">
        <f>IF(OR(BG$4="",$A466&gt;TODAY()),0,IF(OR(INDEX($B466:$D466,BG$5)="F",AND(BG$6&gt;0,$A466&lt;BG$6),AND(BG$7&gt;0,$A466&gt;BG$7)),0,MAX(0,ROUND((INDEX($E466:$G466,BG$5)-SUMIFS(TF_Timer,TF_Tekniker,BG$4,TF_Dato,$A466))*2,0)/2)))</f>
        <v/>
      </c>
      <c r="BH466">
        <f>IF(OR(BH$4="",$A466&gt;TODAY()),0,IF(OR(INDEX($B466:$D466,BH$5)="F",AND(BH$6&gt;0,$A466&lt;BH$6),AND(BH$7&gt;0,$A466&gt;BH$7)),0,MAX(0,ROUND((INDEX($E466:$G466,BH$5)-SUMIFS(TF_Timer,TF_Tekniker,BH$4,TF_Dato,$A466))*2,0)/2)))</f>
        <v/>
      </c>
      <c r="BI466">
        <f>IF(OR(BI$4="",$A466&gt;TODAY()),0,IF(OR(INDEX($B466:$D466,BI$5)="F",AND(BI$6&gt;0,$A466&lt;BI$6),AND(BI$7&gt;0,$A466&gt;BI$7)),0,MAX(0,ROUND((INDEX($E466:$G466,BI$5)-SUMIFS(TF_Timer,TF_Tekniker,BI$4,TF_Dato,$A466))*2,0)/2)))</f>
        <v/>
      </c>
    </row>
    <row r="467">
      <c r="A467" s="64">
        <f>A466+1</f>
        <v/>
      </c>
      <c r="B467">
        <f>IF(MOD($A467-INDEX(SkiftStart,1),Syklus)&lt;DagK,"K",IF(MOD($A467-INDEX(SkiftStart,1),Syklus)&lt;DagK+DagH,"H",IF(MOD($A467-INDEX(SkiftStart,1),Syklus)&lt;DagK+DagH+DagD,"D","F")))</f>
        <v/>
      </c>
      <c r="C467">
        <f>IF(MOD($A467-INDEX(SkiftStart,2),Syklus)&lt;DagK,"K",IF(MOD($A467-INDEX(SkiftStart,2),Syklus)&lt;DagK+DagH,"H",IF(MOD($A467-INDEX(SkiftStart,2),Syklus)&lt;DagK+DagH+DagD,"D","F")))</f>
        <v/>
      </c>
      <c r="D467">
        <f>IF(MOD($A467-INDEX(SkiftStart,3),Syklus)&lt;DagK,"K",IF(MOD($A467-INDEX(SkiftStart,3),Syklus)&lt;DagK+DagH,"H",IF(MOD($A467-INDEX(SkiftStart,3),Syklus)&lt;DagK+DagH+DagD,"D","F")))</f>
        <v/>
      </c>
      <c r="E467">
        <f>IF(B467="F",0,IF(WEEKDAY($A467,2)=5,INDEX(TimerFr,MATCH(B467,FaseKode,0)),INDEX(TimerMT,MATCH(B467,FaseKode,0))))</f>
        <v/>
      </c>
      <c r="F467">
        <f>IF(C467="F",0,IF(WEEKDAY($A467,2)=5,INDEX(TimerFr,MATCH(C467,FaseKode,0)),INDEX(TimerMT,MATCH(C467,FaseKode,0))))</f>
        <v/>
      </c>
      <c r="G467">
        <f>IF(D467="F",0,IF(WEEKDAY($A467,2)=5,INDEX(TimerFr,MATCH(D467,FaseKode,0)),INDEX(TimerMT,MATCH(D467,FaseKode,0))))</f>
        <v/>
      </c>
      <c r="H467">
        <f>IF(OR(H$4="",$A467&gt;TODAY()),0,IF(OR(INDEX($B467:$D467,H$5)="F",AND(H$6&gt;0,$A467&lt;H$6),AND(H$7&gt;0,$A467&gt;H$7)),0,MAX(0,ROUND((INDEX($E467:$G467,H$5)-SUMIFS(TF_Timer,TF_Tekniker,H$4,TF_Dato,$A467))*2,0)/2)))</f>
        <v/>
      </c>
      <c r="I467">
        <f>IF(OR(I$4="",$A467&gt;TODAY()),0,IF(OR(INDEX($B467:$D467,I$5)="F",AND(I$6&gt;0,$A467&lt;I$6),AND(I$7&gt;0,$A467&gt;I$7)),0,MAX(0,ROUND((INDEX($E467:$G467,I$5)-SUMIFS(TF_Timer,TF_Tekniker,I$4,TF_Dato,$A467))*2,0)/2)))</f>
        <v/>
      </c>
      <c r="J467">
        <f>IF(OR(J$4="",$A467&gt;TODAY()),0,IF(OR(INDEX($B467:$D467,J$5)="F",AND(J$6&gt;0,$A467&lt;J$6),AND(J$7&gt;0,$A467&gt;J$7)),0,MAX(0,ROUND((INDEX($E467:$G467,J$5)-SUMIFS(TF_Timer,TF_Tekniker,J$4,TF_Dato,$A467))*2,0)/2)))</f>
        <v/>
      </c>
      <c r="K467">
        <f>IF(OR(K$4="",$A467&gt;TODAY()),0,IF(OR(INDEX($B467:$D467,K$5)="F",AND(K$6&gt;0,$A467&lt;K$6),AND(K$7&gt;0,$A467&gt;K$7)),0,MAX(0,ROUND((INDEX($E467:$G467,K$5)-SUMIFS(TF_Timer,TF_Tekniker,K$4,TF_Dato,$A467))*2,0)/2)))</f>
        <v/>
      </c>
      <c r="L467">
        <f>IF(OR(L$4="",$A467&gt;TODAY()),0,IF(OR(INDEX($B467:$D467,L$5)="F",AND(L$6&gt;0,$A467&lt;L$6),AND(L$7&gt;0,$A467&gt;L$7)),0,MAX(0,ROUND((INDEX($E467:$G467,L$5)-SUMIFS(TF_Timer,TF_Tekniker,L$4,TF_Dato,$A467))*2,0)/2)))</f>
        <v/>
      </c>
      <c r="M467">
        <f>IF(OR(M$4="",$A467&gt;TODAY()),0,IF(OR(INDEX($B467:$D467,M$5)="F",AND(M$6&gt;0,$A467&lt;M$6),AND(M$7&gt;0,$A467&gt;M$7)),0,MAX(0,ROUND((INDEX($E467:$G467,M$5)-SUMIFS(TF_Timer,TF_Tekniker,M$4,TF_Dato,$A467))*2,0)/2)))</f>
        <v/>
      </c>
      <c r="N467">
        <f>IF(OR(N$4="",$A467&gt;TODAY()),0,IF(OR(INDEX($B467:$D467,N$5)="F",AND(N$6&gt;0,$A467&lt;N$6),AND(N$7&gt;0,$A467&gt;N$7)),0,MAX(0,ROUND((INDEX($E467:$G467,N$5)-SUMIFS(TF_Timer,TF_Tekniker,N$4,TF_Dato,$A467))*2,0)/2)))</f>
        <v/>
      </c>
      <c r="O467">
        <f>IF(OR(O$4="",$A467&gt;TODAY()),0,IF(OR(INDEX($B467:$D467,O$5)="F",AND(O$6&gt;0,$A467&lt;O$6),AND(O$7&gt;0,$A467&gt;O$7)),0,MAX(0,ROUND((INDEX($E467:$G467,O$5)-SUMIFS(TF_Timer,TF_Tekniker,O$4,TF_Dato,$A467))*2,0)/2)))</f>
        <v/>
      </c>
      <c r="P467">
        <f>IF(OR(P$4="",$A467&gt;TODAY()),0,IF(OR(INDEX($B467:$D467,P$5)="F",AND(P$6&gt;0,$A467&lt;P$6),AND(P$7&gt;0,$A467&gt;P$7)),0,MAX(0,ROUND((INDEX($E467:$G467,P$5)-SUMIFS(TF_Timer,TF_Tekniker,P$4,TF_Dato,$A467))*2,0)/2)))</f>
        <v/>
      </c>
      <c r="Q467">
        <f>IF(OR(Q$4="",$A467&gt;TODAY()),0,IF(OR(INDEX($B467:$D467,Q$5)="F",AND(Q$6&gt;0,$A467&lt;Q$6),AND(Q$7&gt;0,$A467&gt;Q$7)),0,MAX(0,ROUND((INDEX($E467:$G467,Q$5)-SUMIFS(TF_Timer,TF_Tekniker,Q$4,TF_Dato,$A467))*2,0)/2)))</f>
        <v/>
      </c>
      <c r="R467">
        <f>IF(OR(R$4="",$A467&gt;TODAY()),0,IF(OR(INDEX($B467:$D467,R$5)="F",AND(R$6&gt;0,$A467&lt;R$6),AND(R$7&gt;0,$A467&gt;R$7)),0,MAX(0,ROUND((INDEX($E467:$G467,R$5)-SUMIFS(TF_Timer,TF_Tekniker,R$4,TF_Dato,$A467))*2,0)/2)))</f>
        <v/>
      </c>
      <c r="S467">
        <f>IF(OR(S$4="",$A467&gt;TODAY()),0,IF(OR(INDEX($B467:$D467,S$5)="F",AND(S$6&gt;0,$A467&lt;S$6),AND(S$7&gt;0,$A467&gt;S$7)),0,MAX(0,ROUND((INDEX($E467:$G467,S$5)-SUMIFS(TF_Timer,TF_Tekniker,S$4,TF_Dato,$A467))*2,0)/2)))</f>
        <v/>
      </c>
      <c r="T467">
        <f>IF(OR(T$4="",$A467&gt;TODAY()),0,IF(OR(INDEX($B467:$D467,T$5)="F",AND(T$6&gt;0,$A467&lt;T$6),AND(T$7&gt;0,$A467&gt;T$7)),0,MAX(0,ROUND((INDEX($E467:$G467,T$5)-SUMIFS(TF_Timer,TF_Tekniker,T$4,TF_Dato,$A467))*2,0)/2)))</f>
        <v/>
      </c>
      <c r="U467">
        <f>IF(OR(U$4="",$A467&gt;TODAY()),0,IF(OR(INDEX($B467:$D467,U$5)="F",AND(U$6&gt;0,$A467&lt;U$6),AND(U$7&gt;0,$A467&gt;U$7)),0,MAX(0,ROUND((INDEX($E467:$G467,U$5)-SUMIFS(TF_Timer,TF_Tekniker,U$4,TF_Dato,$A467))*2,0)/2)))</f>
        <v/>
      </c>
      <c r="V467">
        <f>IF(OR(V$4="",$A467&gt;TODAY()),0,IF(OR(INDEX($B467:$D467,V$5)="F",AND(V$6&gt;0,$A467&lt;V$6),AND(V$7&gt;0,$A467&gt;V$7)),0,MAX(0,ROUND((INDEX($E467:$G467,V$5)-SUMIFS(TF_Timer,TF_Tekniker,V$4,TF_Dato,$A467))*2,0)/2)))</f>
        <v/>
      </c>
      <c r="W467">
        <f>IF(OR(W$4="",$A467&gt;TODAY()),0,IF(OR(INDEX($B467:$D467,W$5)="F",AND(W$6&gt;0,$A467&lt;W$6),AND(W$7&gt;0,$A467&gt;W$7)),0,MAX(0,ROUND((INDEX($E467:$G467,W$5)-SUMIFS(TF_Timer,TF_Tekniker,W$4,TF_Dato,$A467))*2,0)/2)))</f>
        <v/>
      </c>
      <c r="X467">
        <f>IF(OR(X$4="",$A467&gt;TODAY()),0,IF(OR(INDEX($B467:$D467,X$5)="F",AND(X$6&gt;0,$A467&lt;X$6),AND(X$7&gt;0,$A467&gt;X$7)),0,MAX(0,ROUND((INDEX($E467:$G467,X$5)-SUMIFS(TF_Timer,TF_Tekniker,X$4,TF_Dato,$A467))*2,0)/2)))</f>
        <v/>
      </c>
      <c r="Y467">
        <f>IF(OR(Y$4="",$A467&gt;TODAY()),0,IF(OR(INDEX($B467:$D467,Y$5)="F",AND(Y$6&gt;0,$A467&lt;Y$6),AND(Y$7&gt;0,$A467&gt;Y$7)),0,MAX(0,ROUND((INDEX($E467:$G467,Y$5)-SUMIFS(TF_Timer,TF_Tekniker,Y$4,TF_Dato,$A467))*2,0)/2)))</f>
        <v/>
      </c>
      <c r="Z467">
        <f>IF(OR(Z$4="",$A467&gt;TODAY()),0,IF(OR(INDEX($B467:$D467,Z$5)="F",AND(Z$6&gt;0,$A467&lt;Z$6),AND(Z$7&gt;0,$A467&gt;Z$7)),0,MAX(0,ROUND((INDEX($E467:$G467,Z$5)-SUMIFS(TF_Timer,TF_Tekniker,Z$4,TF_Dato,$A467))*2,0)/2)))</f>
        <v/>
      </c>
      <c r="AA467">
        <f>IF(OR(AA$4="",$A467&gt;TODAY()),0,IF(OR(INDEX($B467:$D467,AA$5)="F",AND(AA$6&gt;0,$A467&lt;AA$6),AND(AA$7&gt;0,$A467&gt;AA$7)),0,MAX(0,ROUND((INDEX($E467:$G467,AA$5)-SUMIFS(TF_Timer,TF_Tekniker,AA$4,TF_Dato,$A467))*2,0)/2)))</f>
        <v/>
      </c>
      <c r="AB467">
        <f>IF(OR(AB$4="",$A467&gt;TODAY()),0,IF(OR(INDEX($B467:$D467,AB$5)="F",AND(AB$6&gt;0,$A467&lt;AB$6),AND(AB$7&gt;0,$A467&gt;AB$7)),0,MAX(0,ROUND((INDEX($E467:$G467,AB$5)-SUMIFS(TF_Timer,TF_Tekniker,AB$4,TF_Dato,$A467))*2,0)/2)))</f>
        <v/>
      </c>
      <c r="AC467">
        <f>IF(OR(AC$4="",$A467&gt;TODAY()),0,IF(OR(INDEX($B467:$D467,AC$5)="F",AND(AC$6&gt;0,$A467&lt;AC$6),AND(AC$7&gt;0,$A467&gt;AC$7)),0,MAX(0,ROUND((INDEX($E467:$G467,AC$5)-SUMIFS(TF_Timer,TF_Tekniker,AC$4,TF_Dato,$A467))*2,0)/2)))</f>
        <v/>
      </c>
      <c r="AD467">
        <f>IF(OR(AD$4="",$A467&gt;TODAY()),0,IF(OR(INDEX($B467:$D467,AD$5)="F",AND(AD$6&gt;0,$A467&lt;AD$6),AND(AD$7&gt;0,$A467&gt;AD$7)),0,MAX(0,ROUND((INDEX($E467:$G467,AD$5)-SUMIFS(TF_Timer,TF_Tekniker,AD$4,TF_Dato,$A467))*2,0)/2)))</f>
        <v/>
      </c>
      <c r="AE467">
        <f>IF(OR(AE$4="",$A467&gt;TODAY()),0,IF(OR(INDEX($B467:$D467,AE$5)="F",AND(AE$6&gt;0,$A467&lt;AE$6),AND(AE$7&gt;0,$A467&gt;AE$7)),0,MAX(0,ROUND((INDEX($E467:$G467,AE$5)-SUMIFS(TF_Timer,TF_Tekniker,AE$4,TF_Dato,$A467))*2,0)/2)))</f>
        <v/>
      </c>
      <c r="AF467">
        <f>IF(OR(AF$4="",$A467&gt;TODAY()),0,IF(OR(INDEX($B467:$D467,AF$5)="F",AND(AF$6&gt;0,$A467&lt;AF$6),AND(AF$7&gt;0,$A467&gt;AF$7)),0,MAX(0,ROUND((INDEX($E467:$G467,AF$5)-SUMIFS(TF_Timer,TF_Tekniker,AF$4,TF_Dato,$A467))*2,0)/2)))</f>
        <v/>
      </c>
      <c r="AG467">
        <f>IF(OR(AG$4="",$A467&gt;TODAY()),0,IF(OR(INDEX($B467:$D467,AG$5)="F",AND(AG$6&gt;0,$A467&lt;AG$6),AND(AG$7&gt;0,$A467&gt;AG$7)),0,MAX(0,ROUND((INDEX($E467:$G467,AG$5)-SUMIFS(TF_Timer,TF_Tekniker,AG$4,TF_Dato,$A467))*2,0)/2)))</f>
        <v/>
      </c>
      <c r="AH467">
        <f>IF(OR(AH$4="",$A467&gt;TODAY()),0,IF(OR(INDEX($B467:$D467,AH$5)="F",AND(AH$6&gt;0,$A467&lt;AH$6),AND(AH$7&gt;0,$A467&gt;AH$7)),0,MAX(0,ROUND((INDEX($E467:$G467,AH$5)-SUMIFS(TF_Timer,TF_Tekniker,AH$4,TF_Dato,$A467))*2,0)/2)))</f>
        <v/>
      </c>
      <c r="AI467">
        <f>IF(OR(AI$4="",$A467&gt;TODAY()),0,IF(OR(INDEX($B467:$D467,AI$5)="F",AND(AI$6&gt;0,$A467&lt;AI$6),AND(AI$7&gt;0,$A467&gt;AI$7)),0,MAX(0,ROUND((INDEX($E467:$G467,AI$5)-SUMIFS(TF_Timer,TF_Tekniker,AI$4,TF_Dato,$A467))*2,0)/2)))</f>
        <v/>
      </c>
      <c r="AJ467">
        <f>IF(OR(AJ$4="",$A467&gt;TODAY()),0,IF(OR(INDEX($B467:$D467,AJ$5)="F",AND(AJ$6&gt;0,$A467&lt;AJ$6),AND(AJ$7&gt;0,$A467&gt;AJ$7)),0,MAX(0,ROUND((INDEX($E467:$G467,AJ$5)-SUMIFS(TF_Timer,TF_Tekniker,AJ$4,TF_Dato,$A467))*2,0)/2)))</f>
        <v/>
      </c>
      <c r="AK467">
        <f>IF(OR(AK$4="",$A467&gt;TODAY()),0,IF(OR(INDEX($B467:$D467,AK$5)="F",AND(AK$6&gt;0,$A467&lt;AK$6),AND(AK$7&gt;0,$A467&gt;AK$7)),0,MAX(0,ROUND((INDEX($E467:$G467,AK$5)-SUMIFS(TF_Timer,TF_Tekniker,AK$4,TF_Dato,$A467))*2,0)/2)))</f>
        <v/>
      </c>
      <c r="AL467">
        <f>IF(OR(AL$4="",$A467&gt;TODAY()),0,IF(OR(INDEX($B467:$D467,AL$5)="F",AND(AL$6&gt;0,$A467&lt;AL$6),AND(AL$7&gt;0,$A467&gt;AL$7)),0,MAX(0,ROUND((INDEX($E467:$G467,AL$5)-SUMIFS(TF_Timer,TF_Tekniker,AL$4,TF_Dato,$A467))*2,0)/2)))</f>
        <v/>
      </c>
      <c r="AM467">
        <f>IF(OR(AM$4="",$A467&gt;TODAY()),0,IF(OR(INDEX($B467:$D467,AM$5)="F",AND(AM$6&gt;0,$A467&lt;AM$6),AND(AM$7&gt;0,$A467&gt;AM$7)),0,MAX(0,ROUND((INDEX($E467:$G467,AM$5)-SUMIFS(TF_Timer,TF_Tekniker,AM$4,TF_Dato,$A467))*2,0)/2)))</f>
        <v/>
      </c>
      <c r="AN467">
        <f>IF(OR(AN$4="",$A467&gt;TODAY()),0,IF(OR(INDEX($B467:$D467,AN$5)="F",AND(AN$6&gt;0,$A467&lt;AN$6),AND(AN$7&gt;0,$A467&gt;AN$7)),0,MAX(0,ROUND((INDEX($E467:$G467,AN$5)-SUMIFS(TF_Timer,TF_Tekniker,AN$4,TF_Dato,$A467))*2,0)/2)))</f>
        <v/>
      </c>
      <c r="AO467">
        <f>IF(OR(AO$4="",$A467&gt;TODAY()),0,IF(OR(INDEX($B467:$D467,AO$5)="F",AND(AO$6&gt;0,$A467&lt;AO$6),AND(AO$7&gt;0,$A467&gt;AO$7)),0,MAX(0,ROUND((INDEX($E467:$G467,AO$5)-SUMIFS(TF_Timer,TF_Tekniker,AO$4,TF_Dato,$A467))*2,0)/2)))</f>
        <v/>
      </c>
      <c r="AP467">
        <f>IF(OR(AP$4="",$A467&gt;TODAY()),0,IF(OR(INDEX($B467:$D467,AP$5)="F",AND(AP$6&gt;0,$A467&lt;AP$6),AND(AP$7&gt;0,$A467&gt;AP$7)),0,MAX(0,ROUND((INDEX($E467:$G467,AP$5)-SUMIFS(TF_Timer,TF_Tekniker,AP$4,TF_Dato,$A467))*2,0)/2)))</f>
        <v/>
      </c>
      <c r="AQ467">
        <f>IF(OR(AQ$4="",$A467&gt;TODAY()),0,IF(OR(INDEX($B467:$D467,AQ$5)="F",AND(AQ$6&gt;0,$A467&lt;AQ$6),AND(AQ$7&gt;0,$A467&gt;AQ$7)),0,MAX(0,ROUND((INDEX($E467:$G467,AQ$5)-SUMIFS(TF_Timer,TF_Tekniker,AQ$4,TF_Dato,$A467))*2,0)/2)))</f>
        <v/>
      </c>
      <c r="AR467">
        <f>IF(OR(AR$4="",$A467&gt;TODAY()),0,IF(OR(INDEX($B467:$D467,AR$5)="F",AND(AR$6&gt;0,$A467&lt;AR$6),AND(AR$7&gt;0,$A467&gt;AR$7)),0,MAX(0,ROUND((INDEX($E467:$G467,AR$5)-SUMIFS(TF_Timer,TF_Tekniker,AR$4,TF_Dato,$A467))*2,0)/2)))</f>
        <v/>
      </c>
      <c r="AS467">
        <f>IF(OR(AS$4="",$A467&gt;TODAY()),0,IF(OR(INDEX($B467:$D467,AS$5)="F",AND(AS$6&gt;0,$A467&lt;AS$6),AND(AS$7&gt;0,$A467&gt;AS$7)),0,MAX(0,ROUND((INDEX($E467:$G467,AS$5)-SUMIFS(TF_Timer,TF_Tekniker,AS$4,TF_Dato,$A467))*2,0)/2)))</f>
        <v/>
      </c>
      <c r="AT467">
        <f>IF(OR(AT$4="",$A467&gt;TODAY()),0,IF(OR(INDEX($B467:$D467,AT$5)="F",AND(AT$6&gt;0,$A467&lt;AT$6),AND(AT$7&gt;0,$A467&gt;AT$7)),0,MAX(0,ROUND((INDEX($E467:$G467,AT$5)-SUMIFS(TF_Timer,TF_Tekniker,AT$4,TF_Dato,$A467))*2,0)/2)))</f>
        <v/>
      </c>
      <c r="AU467">
        <f>IF(OR(AU$4="",$A467&gt;TODAY()),0,IF(OR(INDEX($B467:$D467,AU$5)="F",AND(AU$6&gt;0,$A467&lt;AU$6),AND(AU$7&gt;0,$A467&gt;AU$7)),0,MAX(0,ROUND((INDEX($E467:$G467,AU$5)-SUMIFS(TF_Timer,TF_Tekniker,AU$4,TF_Dato,$A467))*2,0)/2)))</f>
        <v/>
      </c>
      <c r="AV467">
        <f>IF(OR(AV$4="",$A467&gt;TODAY()),0,IF(OR(INDEX($B467:$D467,AV$5)="F",AND(AV$6&gt;0,$A467&lt;AV$6),AND(AV$7&gt;0,$A467&gt;AV$7)),0,MAX(0,ROUND((INDEX($E467:$G467,AV$5)-SUMIFS(TF_Timer,TF_Tekniker,AV$4,TF_Dato,$A467))*2,0)/2)))</f>
        <v/>
      </c>
      <c r="AW467">
        <f>IF(OR(AW$4="",$A467&gt;TODAY()),0,IF(OR(INDEX($B467:$D467,AW$5)="F",AND(AW$6&gt;0,$A467&lt;AW$6),AND(AW$7&gt;0,$A467&gt;AW$7)),0,MAX(0,ROUND((INDEX($E467:$G467,AW$5)-SUMIFS(TF_Timer,TF_Tekniker,AW$4,TF_Dato,$A467))*2,0)/2)))</f>
        <v/>
      </c>
      <c r="AX467">
        <f>IF(OR(AX$4="",$A467&gt;TODAY()),0,IF(OR(INDEX($B467:$D467,AX$5)="F",AND(AX$6&gt;0,$A467&lt;AX$6),AND(AX$7&gt;0,$A467&gt;AX$7)),0,MAX(0,ROUND((INDEX($E467:$G467,AX$5)-SUMIFS(TF_Timer,TF_Tekniker,AX$4,TF_Dato,$A467))*2,0)/2)))</f>
        <v/>
      </c>
      <c r="AY467">
        <f>IF(OR(AY$4="",$A467&gt;TODAY()),0,IF(OR(INDEX($B467:$D467,AY$5)="F",AND(AY$6&gt;0,$A467&lt;AY$6),AND(AY$7&gt;0,$A467&gt;AY$7)),0,MAX(0,ROUND((INDEX($E467:$G467,AY$5)-SUMIFS(TF_Timer,TF_Tekniker,AY$4,TF_Dato,$A467))*2,0)/2)))</f>
        <v/>
      </c>
      <c r="AZ467">
        <f>IF(OR(AZ$4="",$A467&gt;TODAY()),0,IF(OR(INDEX($B467:$D467,AZ$5)="F",AND(AZ$6&gt;0,$A467&lt;AZ$6),AND(AZ$7&gt;0,$A467&gt;AZ$7)),0,MAX(0,ROUND((INDEX($E467:$G467,AZ$5)-SUMIFS(TF_Timer,TF_Tekniker,AZ$4,TF_Dato,$A467))*2,0)/2)))</f>
        <v/>
      </c>
      <c r="BA467">
        <f>IF(OR(BA$4="",$A467&gt;TODAY()),0,IF(OR(INDEX($B467:$D467,BA$5)="F",AND(BA$6&gt;0,$A467&lt;BA$6),AND(BA$7&gt;0,$A467&gt;BA$7)),0,MAX(0,ROUND((INDEX($E467:$G467,BA$5)-SUMIFS(TF_Timer,TF_Tekniker,BA$4,TF_Dato,$A467))*2,0)/2)))</f>
        <v/>
      </c>
      <c r="BB467">
        <f>IF(OR(BB$4="",$A467&gt;TODAY()),0,IF(OR(INDEX($B467:$D467,BB$5)="F",AND(BB$6&gt;0,$A467&lt;BB$6),AND(BB$7&gt;0,$A467&gt;BB$7)),0,MAX(0,ROUND((INDEX($E467:$G467,BB$5)-SUMIFS(TF_Timer,TF_Tekniker,BB$4,TF_Dato,$A467))*2,0)/2)))</f>
        <v/>
      </c>
      <c r="BC467">
        <f>IF(OR(BC$4="",$A467&gt;TODAY()),0,IF(OR(INDEX($B467:$D467,BC$5)="F",AND(BC$6&gt;0,$A467&lt;BC$6),AND(BC$7&gt;0,$A467&gt;BC$7)),0,MAX(0,ROUND((INDEX($E467:$G467,BC$5)-SUMIFS(TF_Timer,TF_Tekniker,BC$4,TF_Dato,$A467))*2,0)/2)))</f>
        <v/>
      </c>
      <c r="BD467">
        <f>IF(OR(BD$4="",$A467&gt;TODAY()),0,IF(OR(INDEX($B467:$D467,BD$5)="F",AND(BD$6&gt;0,$A467&lt;BD$6),AND(BD$7&gt;0,$A467&gt;BD$7)),0,MAX(0,ROUND((INDEX($E467:$G467,BD$5)-SUMIFS(TF_Timer,TF_Tekniker,BD$4,TF_Dato,$A467))*2,0)/2)))</f>
        <v/>
      </c>
      <c r="BE467">
        <f>IF(OR(BE$4="",$A467&gt;TODAY()),0,IF(OR(INDEX($B467:$D467,BE$5)="F",AND(BE$6&gt;0,$A467&lt;BE$6),AND(BE$7&gt;0,$A467&gt;BE$7)),0,MAX(0,ROUND((INDEX($E467:$G467,BE$5)-SUMIFS(TF_Timer,TF_Tekniker,BE$4,TF_Dato,$A467))*2,0)/2)))</f>
        <v/>
      </c>
      <c r="BF467">
        <f>IF(OR(BF$4="",$A467&gt;TODAY()),0,IF(OR(INDEX($B467:$D467,BF$5)="F",AND(BF$6&gt;0,$A467&lt;BF$6),AND(BF$7&gt;0,$A467&gt;BF$7)),0,MAX(0,ROUND((INDEX($E467:$G467,BF$5)-SUMIFS(TF_Timer,TF_Tekniker,BF$4,TF_Dato,$A467))*2,0)/2)))</f>
        <v/>
      </c>
      <c r="BG467">
        <f>IF(OR(BG$4="",$A467&gt;TODAY()),0,IF(OR(INDEX($B467:$D467,BG$5)="F",AND(BG$6&gt;0,$A467&lt;BG$6),AND(BG$7&gt;0,$A467&gt;BG$7)),0,MAX(0,ROUND((INDEX($E467:$G467,BG$5)-SUMIFS(TF_Timer,TF_Tekniker,BG$4,TF_Dato,$A467))*2,0)/2)))</f>
        <v/>
      </c>
      <c r="BH467">
        <f>IF(OR(BH$4="",$A467&gt;TODAY()),0,IF(OR(INDEX($B467:$D467,BH$5)="F",AND(BH$6&gt;0,$A467&lt;BH$6),AND(BH$7&gt;0,$A467&gt;BH$7)),0,MAX(0,ROUND((INDEX($E467:$G467,BH$5)-SUMIFS(TF_Timer,TF_Tekniker,BH$4,TF_Dato,$A467))*2,0)/2)))</f>
        <v/>
      </c>
      <c r="BI467">
        <f>IF(OR(BI$4="",$A467&gt;TODAY()),0,IF(OR(INDEX($B467:$D467,BI$5)="F",AND(BI$6&gt;0,$A467&lt;BI$6),AND(BI$7&gt;0,$A467&gt;BI$7)),0,MAX(0,ROUND((INDEX($E467:$G467,BI$5)-SUMIFS(TF_Timer,TF_Tekniker,BI$4,TF_Dato,$A467))*2,0)/2)))</f>
        <v/>
      </c>
    </row>
    <row r="468">
      <c r="A468" s="64">
        <f>A467+1</f>
        <v/>
      </c>
      <c r="B468">
        <f>IF(MOD($A468-INDEX(SkiftStart,1),Syklus)&lt;DagK,"K",IF(MOD($A468-INDEX(SkiftStart,1),Syklus)&lt;DagK+DagH,"H",IF(MOD($A468-INDEX(SkiftStart,1),Syklus)&lt;DagK+DagH+DagD,"D","F")))</f>
        <v/>
      </c>
      <c r="C468">
        <f>IF(MOD($A468-INDEX(SkiftStart,2),Syklus)&lt;DagK,"K",IF(MOD($A468-INDEX(SkiftStart,2),Syklus)&lt;DagK+DagH,"H",IF(MOD($A468-INDEX(SkiftStart,2),Syklus)&lt;DagK+DagH+DagD,"D","F")))</f>
        <v/>
      </c>
      <c r="D468">
        <f>IF(MOD($A468-INDEX(SkiftStart,3),Syklus)&lt;DagK,"K",IF(MOD($A468-INDEX(SkiftStart,3),Syklus)&lt;DagK+DagH,"H",IF(MOD($A468-INDEX(SkiftStart,3),Syklus)&lt;DagK+DagH+DagD,"D","F")))</f>
        <v/>
      </c>
      <c r="E468">
        <f>IF(B468="F",0,IF(WEEKDAY($A468,2)=5,INDEX(TimerFr,MATCH(B468,FaseKode,0)),INDEX(TimerMT,MATCH(B468,FaseKode,0))))</f>
        <v/>
      </c>
      <c r="F468">
        <f>IF(C468="F",0,IF(WEEKDAY($A468,2)=5,INDEX(TimerFr,MATCH(C468,FaseKode,0)),INDEX(TimerMT,MATCH(C468,FaseKode,0))))</f>
        <v/>
      </c>
      <c r="G468">
        <f>IF(D468="F",0,IF(WEEKDAY($A468,2)=5,INDEX(TimerFr,MATCH(D468,FaseKode,0)),INDEX(TimerMT,MATCH(D468,FaseKode,0))))</f>
        <v/>
      </c>
      <c r="H468">
        <f>IF(OR(H$4="",$A468&gt;TODAY()),0,IF(OR(INDEX($B468:$D468,H$5)="F",AND(H$6&gt;0,$A468&lt;H$6),AND(H$7&gt;0,$A468&gt;H$7)),0,MAX(0,ROUND((INDEX($E468:$G468,H$5)-SUMIFS(TF_Timer,TF_Tekniker,H$4,TF_Dato,$A468))*2,0)/2)))</f>
        <v/>
      </c>
      <c r="I468">
        <f>IF(OR(I$4="",$A468&gt;TODAY()),0,IF(OR(INDEX($B468:$D468,I$5)="F",AND(I$6&gt;0,$A468&lt;I$6),AND(I$7&gt;0,$A468&gt;I$7)),0,MAX(0,ROUND((INDEX($E468:$G468,I$5)-SUMIFS(TF_Timer,TF_Tekniker,I$4,TF_Dato,$A468))*2,0)/2)))</f>
        <v/>
      </c>
      <c r="J468">
        <f>IF(OR(J$4="",$A468&gt;TODAY()),0,IF(OR(INDEX($B468:$D468,J$5)="F",AND(J$6&gt;0,$A468&lt;J$6),AND(J$7&gt;0,$A468&gt;J$7)),0,MAX(0,ROUND((INDEX($E468:$G468,J$5)-SUMIFS(TF_Timer,TF_Tekniker,J$4,TF_Dato,$A468))*2,0)/2)))</f>
        <v/>
      </c>
      <c r="K468">
        <f>IF(OR(K$4="",$A468&gt;TODAY()),0,IF(OR(INDEX($B468:$D468,K$5)="F",AND(K$6&gt;0,$A468&lt;K$6),AND(K$7&gt;0,$A468&gt;K$7)),0,MAX(0,ROUND((INDEX($E468:$G468,K$5)-SUMIFS(TF_Timer,TF_Tekniker,K$4,TF_Dato,$A468))*2,0)/2)))</f>
        <v/>
      </c>
      <c r="L468">
        <f>IF(OR(L$4="",$A468&gt;TODAY()),0,IF(OR(INDEX($B468:$D468,L$5)="F",AND(L$6&gt;0,$A468&lt;L$6),AND(L$7&gt;0,$A468&gt;L$7)),0,MAX(0,ROUND((INDEX($E468:$G468,L$5)-SUMIFS(TF_Timer,TF_Tekniker,L$4,TF_Dato,$A468))*2,0)/2)))</f>
        <v/>
      </c>
      <c r="M468">
        <f>IF(OR(M$4="",$A468&gt;TODAY()),0,IF(OR(INDEX($B468:$D468,M$5)="F",AND(M$6&gt;0,$A468&lt;M$6),AND(M$7&gt;0,$A468&gt;M$7)),0,MAX(0,ROUND((INDEX($E468:$G468,M$5)-SUMIFS(TF_Timer,TF_Tekniker,M$4,TF_Dato,$A468))*2,0)/2)))</f>
        <v/>
      </c>
      <c r="N468">
        <f>IF(OR(N$4="",$A468&gt;TODAY()),0,IF(OR(INDEX($B468:$D468,N$5)="F",AND(N$6&gt;0,$A468&lt;N$6),AND(N$7&gt;0,$A468&gt;N$7)),0,MAX(0,ROUND((INDEX($E468:$G468,N$5)-SUMIFS(TF_Timer,TF_Tekniker,N$4,TF_Dato,$A468))*2,0)/2)))</f>
        <v/>
      </c>
      <c r="O468">
        <f>IF(OR(O$4="",$A468&gt;TODAY()),0,IF(OR(INDEX($B468:$D468,O$5)="F",AND(O$6&gt;0,$A468&lt;O$6),AND(O$7&gt;0,$A468&gt;O$7)),0,MAX(0,ROUND((INDEX($E468:$G468,O$5)-SUMIFS(TF_Timer,TF_Tekniker,O$4,TF_Dato,$A468))*2,0)/2)))</f>
        <v/>
      </c>
      <c r="P468">
        <f>IF(OR(P$4="",$A468&gt;TODAY()),0,IF(OR(INDEX($B468:$D468,P$5)="F",AND(P$6&gt;0,$A468&lt;P$6),AND(P$7&gt;0,$A468&gt;P$7)),0,MAX(0,ROUND((INDEX($E468:$G468,P$5)-SUMIFS(TF_Timer,TF_Tekniker,P$4,TF_Dato,$A468))*2,0)/2)))</f>
        <v/>
      </c>
      <c r="Q468">
        <f>IF(OR(Q$4="",$A468&gt;TODAY()),0,IF(OR(INDEX($B468:$D468,Q$5)="F",AND(Q$6&gt;0,$A468&lt;Q$6),AND(Q$7&gt;0,$A468&gt;Q$7)),0,MAX(0,ROUND((INDEX($E468:$G468,Q$5)-SUMIFS(TF_Timer,TF_Tekniker,Q$4,TF_Dato,$A468))*2,0)/2)))</f>
        <v/>
      </c>
      <c r="R468">
        <f>IF(OR(R$4="",$A468&gt;TODAY()),0,IF(OR(INDEX($B468:$D468,R$5)="F",AND(R$6&gt;0,$A468&lt;R$6),AND(R$7&gt;0,$A468&gt;R$7)),0,MAX(0,ROUND((INDEX($E468:$G468,R$5)-SUMIFS(TF_Timer,TF_Tekniker,R$4,TF_Dato,$A468))*2,0)/2)))</f>
        <v/>
      </c>
      <c r="S468">
        <f>IF(OR(S$4="",$A468&gt;TODAY()),0,IF(OR(INDEX($B468:$D468,S$5)="F",AND(S$6&gt;0,$A468&lt;S$6),AND(S$7&gt;0,$A468&gt;S$7)),0,MAX(0,ROUND((INDEX($E468:$G468,S$5)-SUMIFS(TF_Timer,TF_Tekniker,S$4,TF_Dato,$A468))*2,0)/2)))</f>
        <v/>
      </c>
      <c r="T468">
        <f>IF(OR(T$4="",$A468&gt;TODAY()),0,IF(OR(INDEX($B468:$D468,T$5)="F",AND(T$6&gt;0,$A468&lt;T$6),AND(T$7&gt;0,$A468&gt;T$7)),0,MAX(0,ROUND((INDEX($E468:$G468,T$5)-SUMIFS(TF_Timer,TF_Tekniker,T$4,TF_Dato,$A468))*2,0)/2)))</f>
        <v/>
      </c>
      <c r="U468">
        <f>IF(OR(U$4="",$A468&gt;TODAY()),0,IF(OR(INDEX($B468:$D468,U$5)="F",AND(U$6&gt;0,$A468&lt;U$6),AND(U$7&gt;0,$A468&gt;U$7)),0,MAX(0,ROUND((INDEX($E468:$G468,U$5)-SUMIFS(TF_Timer,TF_Tekniker,U$4,TF_Dato,$A468))*2,0)/2)))</f>
        <v/>
      </c>
      <c r="V468">
        <f>IF(OR(V$4="",$A468&gt;TODAY()),0,IF(OR(INDEX($B468:$D468,V$5)="F",AND(V$6&gt;0,$A468&lt;V$6),AND(V$7&gt;0,$A468&gt;V$7)),0,MAX(0,ROUND((INDEX($E468:$G468,V$5)-SUMIFS(TF_Timer,TF_Tekniker,V$4,TF_Dato,$A468))*2,0)/2)))</f>
        <v/>
      </c>
      <c r="W468">
        <f>IF(OR(W$4="",$A468&gt;TODAY()),0,IF(OR(INDEX($B468:$D468,W$5)="F",AND(W$6&gt;0,$A468&lt;W$6),AND(W$7&gt;0,$A468&gt;W$7)),0,MAX(0,ROUND((INDEX($E468:$G468,W$5)-SUMIFS(TF_Timer,TF_Tekniker,W$4,TF_Dato,$A468))*2,0)/2)))</f>
        <v/>
      </c>
      <c r="X468">
        <f>IF(OR(X$4="",$A468&gt;TODAY()),0,IF(OR(INDEX($B468:$D468,X$5)="F",AND(X$6&gt;0,$A468&lt;X$6),AND(X$7&gt;0,$A468&gt;X$7)),0,MAX(0,ROUND((INDEX($E468:$G468,X$5)-SUMIFS(TF_Timer,TF_Tekniker,X$4,TF_Dato,$A468))*2,0)/2)))</f>
        <v/>
      </c>
      <c r="Y468">
        <f>IF(OR(Y$4="",$A468&gt;TODAY()),0,IF(OR(INDEX($B468:$D468,Y$5)="F",AND(Y$6&gt;0,$A468&lt;Y$6),AND(Y$7&gt;0,$A468&gt;Y$7)),0,MAX(0,ROUND((INDEX($E468:$G468,Y$5)-SUMIFS(TF_Timer,TF_Tekniker,Y$4,TF_Dato,$A468))*2,0)/2)))</f>
        <v/>
      </c>
      <c r="Z468">
        <f>IF(OR(Z$4="",$A468&gt;TODAY()),0,IF(OR(INDEX($B468:$D468,Z$5)="F",AND(Z$6&gt;0,$A468&lt;Z$6),AND(Z$7&gt;0,$A468&gt;Z$7)),0,MAX(0,ROUND((INDEX($E468:$G468,Z$5)-SUMIFS(TF_Timer,TF_Tekniker,Z$4,TF_Dato,$A468))*2,0)/2)))</f>
        <v/>
      </c>
      <c r="AA468">
        <f>IF(OR(AA$4="",$A468&gt;TODAY()),0,IF(OR(INDEX($B468:$D468,AA$5)="F",AND(AA$6&gt;0,$A468&lt;AA$6),AND(AA$7&gt;0,$A468&gt;AA$7)),0,MAX(0,ROUND((INDEX($E468:$G468,AA$5)-SUMIFS(TF_Timer,TF_Tekniker,AA$4,TF_Dato,$A468))*2,0)/2)))</f>
        <v/>
      </c>
      <c r="AB468">
        <f>IF(OR(AB$4="",$A468&gt;TODAY()),0,IF(OR(INDEX($B468:$D468,AB$5)="F",AND(AB$6&gt;0,$A468&lt;AB$6),AND(AB$7&gt;0,$A468&gt;AB$7)),0,MAX(0,ROUND((INDEX($E468:$G468,AB$5)-SUMIFS(TF_Timer,TF_Tekniker,AB$4,TF_Dato,$A468))*2,0)/2)))</f>
        <v/>
      </c>
      <c r="AC468">
        <f>IF(OR(AC$4="",$A468&gt;TODAY()),0,IF(OR(INDEX($B468:$D468,AC$5)="F",AND(AC$6&gt;0,$A468&lt;AC$6),AND(AC$7&gt;0,$A468&gt;AC$7)),0,MAX(0,ROUND((INDEX($E468:$G468,AC$5)-SUMIFS(TF_Timer,TF_Tekniker,AC$4,TF_Dato,$A468))*2,0)/2)))</f>
        <v/>
      </c>
      <c r="AD468">
        <f>IF(OR(AD$4="",$A468&gt;TODAY()),0,IF(OR(INDEX($B468:$D468,AD$5)="F",AND(AD$6&gt;0,$A468&lt;AD$6),AND(AD$7&gt;0,$A468&gt;AD$7)),0,MAX(0,ROUND((INDEX($E468:$G468,AD$5)-SUMIFS(TF_Timer,TF_Tekniker,AD$4,TF_Dato,$A468))*2,0)/2)))</f>
        <v/>
      </c>
      <c r="AE468">
        <f>IF(OR(AE$4="",$A468&gt;TODAY()),0,IF(OR(INDEX($B468:$D468,AE$5)="F",AND(AE$6&gt;0,$A468&lt;AE$6),AND(AE$7&gt;0,$A468&gt;AE$7)),0,MAX(0,ROUND((INDEX($E468:$G468,AE$5)-SUMIFS(TF_Timer,TF_Tekniker,AE$4,TF_Dato,$A468))*2,0)/2)))</f>
        <v/>
      </c>
      <c r="AF468">
        <f>IF(OR(AF$4="",$A468&gt;TODAY()),0,IF(OR(INDEX($B468:$D468,AF$5)="F",AND(AF$6&gt;0,$A468&lt;AF$6),AND(AF$7&gt;0,$A468&gt;AF$7)),0,MAX(0,ROUND((INDEX($E468:$G468,AF$5)-SUMIFS(TF_Timer,TF_Tekniker,AF$4,TF_Dato,$A468))*2,0)/2)))</f>
        <v/>
      </c>
      <c r="AG468">
        <f>IF(OR(AG$4="",$A468&gt;TODAY()),0,IF(OR(INDEX($B468:$D468,AG$5)="F",AND(AG$6&gt;0,$A468&lt;AG$6),AND(AG$7&gt;0,$A468&gt;AG$7)),0,MAX(0,ROUND((INDEX($E468:$G468,AG$5)-SUMIFS(TF_Timer,TF_Tekniker,AG$4,TF_Dato,$A468))*2,0)/2)))</f>
        <v/>
      </c>
      <c r="AH468">
        <f>IF(OR(AH$4="",$A468&gt;TODAY()),0,IF(OR(INDEX($B468:$D468,AH$5)="F",AND(AH$6&gt;0,$A468&lt;AH$6),AND(AH$7&gt;0,$A468&gt;AH$7)),0,MAX(0,ROUND((INDEX($E468:$G468,AH$5)-SUMIFS(TF_Timer,TF_Tekniker,AH$4,TF_Dato,$A468))*2,0)/2)))</f>
        <v/>
      </c>
      <c r="AI468">
        <f>IF(OR(AI$4="",$A468&gt;TODAY()),0,IF(OR(INDEX($B468:$D468,AI$5)="F",AND(AI$6&gt;0,$A468&lt;AI$6),AND(AI$7&gt;0,$A468&gt;AI$7)),0,MAX(0,ROUND((INDEX($E468:$G468,AI$5)-SUMIFS(TF_Timer,TF_Tekniker,AI$4,TF_Dato,$A468))*2,0)/2)))</f>
        <v/>
      </c>
      <c r="AJ468">
        <f>IF(OR(AJ$4="",$A468&gt;TODAY()),0,IF(OR(INDEX($B468:$D468,AJ$5)="F",AND(AJ$6&gt;0,$A468&lt;AJ$6),AND(AJ$7&gt;0,$A468&gt;AJ$7)),0,MAX(0,ROUND((INDEX($E468:$G468,AJ$5)-SUMIFS(TF_Timer,TF_Tekniker,AJ$4,TF_Dato,$A468))*2,0)/2)))</f>
        <v/>
      </c>
      <c r="AK468">
        <f>IF(OR(AK$4="",$A468&gt;TODAY()),0,IF(OR(INDEX($B468:$D468,AK$5)="F",AND(AK$6&gt;0,$A468&lt;AK$6),AND(AK$7&gt;0,$A468&gt;AK$7)),0,MAX(0,ROUND((INDEX($E468:$G468,AK$5)-SUMIFS(TF_Timer,TF_Tekniker,AK$4,TF_Dato,$A468))*2,0)/2)))</f>
        <v/>
      </c>
      <c r="AL468">
        <f>IF(OR(AL$4="",$A468&gt;TODAY()),0,IF(OR(INDEX($B468:$D468,AL$5)="F",AND(AL$6&gt;0,$A468&lt;AL$6),AND(AL$7&gt;0,$A468&gt;AL$7)),0,MAX(0,ROUND((INDEX($E468:$G468,AL$5)-SUMIFS(TF_Timer,TF_Tekniker,AL$4,TF_Dato,$A468))*2,0)/2)))</f>
        <v/>
      </c>
      <c r="AM468">
        <f>IF(OR(AM$4="",$A468&gt;TODAY()),0,IF(OR(INDEX($B468:$D468,AM$5)="F",AND(AM$6&gt;0,$A468&lt;AM$6),AND(AM$7&gt;0,$A468&gt;AM$7)),0,MAX(0,ROUND((INDEX($E468:$G468,AM$5)-SUMIFS(TF_Timer,TF_Tekniker,AM$4,TF_Dato,$A468))*2,0)/2)))</f>
        <v/>
      </c>
      <c r="AN468">
        <f>IF(OR(AN$4="",$A468&gt;TODAY()),0,IF(OR(INDEX($B468:$D468,AN$5)="F",AND(AN$6&gt;0,$A468&lt;AN$6),AND(AN$7&gt;0,$A468&gt;AN$7)),0,MAX(0,ROUND((INDEX($E468:$G468,AN$5)-SUMIFS(TF_Timer,TF_Tekniker,AN$4,TF_Dato,$A468))*2,0)/2)))</f>
        <v/>
      </c>
      <c r="AO468">
        <f>IF(OR(AO$4="",$A468&gt;TODAY()),0,IF(OR(INDEX($B468:$D468,AO$5)="F",AND(AO$6&gt;0,$A468&lt;AO$6),AND(AO$7&gt;0,$A468&gt;AO$7)),0,MAX(0,ROUND((INDEX($E468:$G468,AO$5)-SUMIFS(TF_Timer,TF_Tekniker,AO$4,TF_Dato,$A468))*2,0)/2)))</f>
        <v/>
      </c>
      <c r="AP468">
        <f>IF(OR(AP$4="",$A468&gt;TODAY()),0,IF(OR(INDEX($B468:$D468,AP$5)="F",AND(AP$6&gt;0,$A468&lt;AP$6),AND(AP$7&gt;0,$A468&gt;AP$7)),0,MAX(0,ROUND((INDEX($E468:$G468,AP$5)-SUMIFS(TF_Timer,TF_Tekniker,AP$4,TF_Dato,$A468))*2,0)/2)))</f>
        <v/>
      </c>
      <c r="AQ468">
        <f>IF(OR(AQ$4="",$A468&gt;TODAY()),0,IF(OR(INDEX($B468:$D468,AQ$5)="F",AND(AQ$6&gt;0,$A468&lt;AQ$6),AND(AQ$7&gt;0,$A468&gt;AQ$7)),0,MAX(0,ROUND((INDEX($E468:$G468,AQ$5)-SUMIFS(TF_Timer,TF_Tekniker,AQ$4,TF_Dato,$A468))*2,0)/2)))</f>
        <v/>
      </c>
      <c r="AR468">
        <f>IF(OR(AR$4="",$A468&gt;TODAY()),0,IF(OR(INDEX($B468:$D468,AR$5)="F",AND(AR$6&gt;0,$A468&lt;AR$6),AND(AR$7&gt;0,$A468&gt;AR$7)),0,MAX(0,ROUND((INDEX($E468:$G468,AR$5)-SUMIFS(TF_Timer,TF_Tekniker,AR$4,TF_Dato,$A468))*2,0)/2)))</f>
        <v/>
      </c>
      <c r="AS468">
        <f>IF(OR(AS$4="",$A468&gt;TODAY()),0,IF(OR(INDEX($B468:$D468,AS$5)="F",AND(AS$6&gt;0,$A468&lt;AS$6),AND(AS$7&gt;0,$A468&gt;AS$7)),0,MAX(0,ROUND((INDEX($E468:$G468,AS$5)-SUMIFS(TF_Timer,TF_Tekniker,AS$4,TF_Dato,$A468))*2,0)/2)))</f>
        <v/>
      </c>
      <c r="AT468">
        <f>IF(OR(AT$4="",$A468&gt;TODAY()),0,IF(OR(INDEX($B468:$D468,AT$5)="F",AND(AT$6&gt;0,$A468&lt;AT$6),AND(AT$7&gt;0,$A468&gt;AT$7)),0,MAX(0,ROUND((INDEX($E468:$G468,AT$5)-SUMIFS(TF_Timer,TF_Tekniker,AT$4,TF_Dato,$A468))*2,0)/2)))</f>
        <v/>
      </c>
      <c r="AU468">
        <f>IF(OR(AU$4="",$A468&gt;TODAY()),0,IF(OR(INDEX($B468:$D468,AU$5)="F",AND(AU$6&gt;0,$A468&lt;AU$6),AND(AU$7&gt;0,$A468&gt;AU$7)),0,MAX(0,ROUND((INDEX($E468:$G468,AU$5)-SUMIFS(TF_Timer,TF_Tekniker,AU$4,TF_Dato,$A468))*2,0)/2)))</f>
        <v/>
      </c>
      <c r="AV468">
        <f>IF(OR(AV$4="",$A468&gt;TODAY()),0,IF(OR(INDEX($B468:$D468,AV$5)="F",AND(AV$6&gt;0,$A468&lt;AV$6),AND(AV$7&gt;0,$A468&gt;AV$7)),0,MAX(0,ROUND((INDEX($E468:$G468,AV$5)-SUMIFS(TF_Timer,TF_Tekniker,AV$4,TF_Dato,$A468))*2,0)/2)))</f>
        <v/>
      </c>
      <c r="AW468">
        <f>IF(OR(AW$4="",$A468&gt;TODAY()),0,IF(OR(INDEX($B468:$D468,AW$5)="F",AND(AW$6&gt;0,$A468&lt;AW$6),AND(AW$7&gt;0,$A468&gt;AW$7)),0,MAX(0,ROUND((INDEX($E468:$G468,AW$5)-SUMIFS(TF_Timer,TF_Tekniker,AW$4,TF_Dato,$A468))*2,0)/2)))</f>
        <v/>
      </c>
      <c r="AX468">
        <f>IF(OR(AX$4="",$A468&gt;TODAY()),0,IF(OR(INDEX($B468:$D468,AX$5)="F",AND(AX$6&gt;0,$A468&lt;AX$6),AND(AX$7&gt;0,$A468&gt;AX$7)),0,MAX(0,ROUND((INDEX($E468:$G468,AX$5)-SUMIFS(TF_Timer,TF_Tekniker,AX$4,TF_Dato,$A468))*2,0)/2)))</f>
        <v/>
      </c>
      <c r="AY468">
        <f>IF(OR(AY$4="",$A468&gt;TODAY()),0,IF(OR(INDEX($B468:$D468,AY$5)="F",AND(AY$6&gt;0,$A468&lt;AY$6),AND(AY$7&gt;0,$A468&gt;AY$7)),0,MAX(0,ROUND((INDEX($E468:$G468,AY$5)-SUMIFS(TF_Timer,TF_Tekniker,AY$4,TF_Dato,$A468))*2,0)/2)))</f>
        <v/>
      </c>
      <c r="AZ468">
        <f>IF(OR(AZ$4="",$A468&gt;TODAY()),0,IF(OR(INDEX($B468:$D468,AZ$5)="F",AND(AZ$6&gt;0,$A468&lt;AZ$6),AND(AZ$7&gt;0,$A468&gt;AZ$7)),0,MAX(0,ROUND((INDEX($E468:$G468,AZ$5)-SUMIFS(TF_Timer,TF_Tekniker,AZ$4,TF_Dato,$A468))*2,0)/2)))</f>
        <v/>
      </c>
      <c r="BA468">
        <f>IF(OR(BA$4="",$A468&gt;TODAY()),0,IF(OR(INDEX($B468:$D468,BA$5)="F",AND(BA$6&gt;0,$A468&lt;BA$6),AND(BA$7&gt;0,$A468&gt;BA$7)),0,MAX(0,ROUND((INDEX($E468:$G468,BA$5)-SUMIFS(TF_Timer,TF_Tekniker,BA$4,TF_Dato,$A468))*2,0)/2)))</f>
        <v/>
      </c>
      <c r="BB468">
        <f>IF(OR(BB$4="",$A468&gt;TODAY()),0,IF(OR(INDEX($B468:$D468,BB$5)="F",AND(BB$6&gt;0,$A468&lt;BB$6),AND(BB$7&gt;0,$A468&gt;BB$7)),0,MAX(0,ROUND((INDEX($E468:$G468,BB$5)-SUMIFS(TF_Timer,TF_Tekniker,BB$4,TF_Dato,$A468))*2,0)/2)))</f>
        <v/>
      </c>
      <c r="BC468">
        <f>IF(OR(BC$4="",$A468&gt;TODAY()),0,IF(OR(INDEX($B468:$D468,BC$5)="F",AND(BC$6&gt;0,$A468&lt;BC$6),AND(BC$7&gt;0,$A468&gt;BC$7)),0,MAX(0,ROUND((INDEX($E468:$G468,BC$5)-SUMIFS(TF_Timer,TF_Tekniker,BC$4,TF_Dato,$A468))*2,0)/2)))</f>
        <v/>
      </c>
      <c r="BD468">
        <f>IF(OR(BD$4="",$A468&gt;TODAY()),0,IF(OR(INDEX($B468:$D468,BD$5)="F",AND(BD$6&gt;0,$A468&lt;BD$6),AND(BD$7&gt;0,$A468&gt;BD$7)),0,MAX(0,ROUND((INDEX($E468:$G468,BD$5)-SUMIFS(TF_Timer,TF_Tekniker,BD$4,TF_Dato,$A468))*2,0)/2)))</f>
        <v/>
      </c>
      <c r="BE468">
        <f>IF(OR(BE$4="",$A468&gt;TODAY()),0,IF(OR(INDEX($B468:$D468,BE$5)="F",AND(BE$6&gt;0,$A468&lt;BE$6),AND(BE$7&gt;0,$A468&gt;BE$7)),0,MAX(0,ROUND((INDEX($E468:$G468,BE$5)-SUMIFS(TF_Timer,TF_Tekniker,BE$4,TF_Dato,$A468))*2,0)/2)))</f>
        <v/>
      </c>
      <c r="BF468">
        <f>IF(OR(BF$4="",$A468&gt;TODAY()),0,IF(OR(INDEX($B468:$D468,BF$5)="F",AND(BF$6&gt;0,$A468&lt;BF$6),AND(BF$7&gt;0,$A468&gt;BF$7)),0,MAX(0,ROUND((INDEX($E468:$G468,BF$5)-SUMIFS(TF_Timer,TF_Tekniker,BF$4,TF_Dato,$A468))*2,0)/2)))</f>
        <v/>
      </c>
      <c r="BG468">
        <f>IF(OR(BG$4="",$A468&gt;TODAY()),0,IF(OR(INDEX($B468:$D468,BG$5)="F",AND(BG$6&gt;0,$A468&lt;BG$6),AND(BG$7&gt;0,$A468&gt;BG$7)),0,MAX(0,ROUND((INDEX($E468:$G468,BG$5)-SUMIFS(TF_Timer,TF_Tekniker,BG$4,TF_Dato,$A468))*2,0)/2)))</f>
        <v/>
      </c>
      <c r="BH468">
        <f>IF(OR(BH$4="",$A468&gt;TODAY()),0,IF(OR(INDEX($B468:$D468,BH$5)="F",AND(BH$6&gt;0,$A468&lt;BH$6),AND(BH$7&gt;0,$A468&gt;BH$7)),0,MAX(0,ROUND((INDEX($E468:$G468,BH$5)-SUMIFS(TF_Timer,TF_Tekniker,BH$4,TF_Dato,$A468))*2,0)/2)))</f>
        <v/>
      </c>
      <c r="BI468">
        <f>IF(OR(BI$4="",$A468&gt;TODAY()),0,IF(OR(INDEX($B468:$D468,BI$5)="F",AND(BI$6&gt;0,$A468&lt;BI$6),AND(BI$7&gt;0,$A468&gt;BI$7)),0,MAX(0,ROUND((INDEX($E468:$G468,BI$5)-SUMIFS(TF_Timer,TF_Tekniker,BI$4,TF_Dato,$A468))*2,0)/2)))</f>
        <v/>
      </c>
    </row>
    <row r="469">
      <c r="A469" s="64">
        <f>A468+1</f>
        <v/>
      </c>
      <c r="B469">
        <f>IF(MOD($A469-INDEX(SkiftStart,1),Syklus)&lt;DagK,"K",IF(MOD($A469-INDEX(SkiftStart,1),Syklus)&lt;DagK+DagH,"H",IF(MOD($A469-INDEX(SkiftStart,1),Syklus)&lt;DagK+DagH+DagD,"D","F")))</f>
        <v/>
      </c>
      <c r="C469">
        <f>IF(MOD($A469-INDEX(SkiftStart,2),Syklus)&lt;DagK,"K",IF(MOD($A469-INDEX(SkiftStart,2),Syklus)&lt;DagK+DagH,"H",IF(MOD($A469-INDEX(SkiftStart,2),Syklus)&lt;DagK+DagH+DagD,"D","F")))</f>
        <v/>
      </c>
      <c r="D469">
        <f>IF(MOD($A469-INDEX(SkiftStart,3),Syklus)&lt;DagK,"K",IF(MOD($A469-INDEX(SkiftStart,3),Syklus)&lt;DagK+DagH,"H",IF(MOD($A469-INDEX(SkiftStart,3),Syklus)&lt;DagK+DagH+DagD,"D","F")))</f>
        <v/>
      </c>
      <c r="E469">
        <f>IF(B469="F",0,IF(WEEKDAY($A469,2)=5,INDEX(TimerFr,MATCH(B469,FaseKode,0)),INDEX(TimerMT,MATCH(B469,FaseKode,0))))</f>
        <v/>
      </c>
      <c r="F469">
        <f>IF(C469="F",0,IF(WEEKDAY($A469,2)=5,INDEX(TimerFr,MATCH(C469,FaseKode,0)),INDEX(TimerMT,MATCH(C469,FaseKode,0))))</f>
        <v/>
      </c>
      <c r="G469">
        <f>IF(D469="F",0,IF(WEEKDAY($A469,2)=5,INDEX(TimerFr,MATCH(D469,FaseKode,0)),INDEX(TimerMT,MATCH(D469,FaseKode,0))))</f>
        <v/>
      </c>
      <c r="H469">
        <f>IF(OR(H$4="",$A469&gt;TODAY()),0,IF(OR(INDEX($B469:$D469,H$5)="F",AND(H$6&gt;0,$A469&lt;H$6),AND(H$7&gt;0,$A469&gt;H$7)),0,MAX(0,ROUND((INDEX($E469:$G469,H$5)-SUMIFS(TF_Timer,TF_Tekniker,H$4,TF_Dato,$A469))*2,0)/2)))</f>
        <v/>
      </c>
      <c r="I469">
        <f>IF(OR(I$4="",$A469&gt;TODAY()),0,IF(OR(INDEX($B469:$D469,I$5)="F",AND(I$6&gt;0,$A469&lt;I$6),AND(I$7&gt;0,$A469&gt;I$7)),0,MAX(0,ROUND((INDEX($E469:$G469,I$5)-SUMIFS(TF_Timer,TF_Tekniker,I$4,TF_Dato,$A469))*2,0)/2)))</f>
        <v/>
      </c>
      <c r="J469">
        <f>IF(OR(J$4="",$A469&gt;TODAY()),0,IF(OR(INDEX($B469:$D469,J$5)="F",AND(J$6&gt;0,$A469&lt;J$6),AND(J$7&gt;0,$A469&gt;J$7)),0,MAX(0,ROUND((INDEX($E469:$G469,J$5)-SUMIFS(TF_Timer,TF_Tekniker,J$4,TF_Dato,$A469))*2,0)/2)))</f>
        <v/>
      </c>
      <c r="K469">
        <f>IF(OR(K$4="",$A469&gt;TODAY()),0,IF(OR(INDEX($B469:$D469,K$5)="F",AND(K$6&gt;0,$A469&lt;K$6),AND(K$7&gt;0,$A469&gt;K$7)),0,MAX(0,ROUND((INDEX($E469:$G469,K$5)-SUMIFS(TF_Timer,TF_Tekniker,K$4,TF_Dato,$A469))*2,0)/2)))</f>
        <v/>
      </c>
      <c r="L469">
        <f>IF(OR(L$4="",$A469&gt;TODAY()),0,IF(OR(INDEX($B469:$D469,L$5)="F",AND(L$6&gt;0,$A469&lt;L$6),AND(L$7&gt;0,$A469&gt;L$7)),0,MAX(0,ROUND((INDEX($E469:$G469,L$5)-SUMIFS(TF_Timer,TF_Tekniker,L$4,TF_Dato,$A469))*2,0)/2)))</f>
        <v/>
      </c>
      <c r="M469">
        <f>IF(OR(M$4="",$A469&gt;TODAY()),0,IF(OR(INDEX($B469:$D469,M$5)="F",AND(M$6&gt;0,$A469&lt;M$6),AND(M$7&gt;0,$A469&gt;M$7)),0,MAX(0,ROUND((INDEX($E469:$G469,M$5)-SUMIFS(TF_Timer,TF_Tekniker,M$4,TF_Dato,$A469))*2,0)/2)))</f>
        <v/>
      </c>
      <c r="N469">
        <f>IF(OR(N$4="",$A469&gt;TODAY()),0,IF(OR(INDEX($B469:$D469,N$5)="F",AND(N$6&gt;0,$A469&lt;N$6),AND(N$7&gt;0,$A469&gt;N$7)),0,MAX(0,ROUND((INDEX($E469:$G469,N$5)-SUMIFS(TF_Timer,TF_Tekniker,N$4,TF_Dato,$A469))*2,0)/2)))</f>
        <v/>
      </c>
      <c r="O469">
        <f>IF(OR(O$4="",$A469&gt;TODAY()),0,IF(OR(INDEX($B469:$D469,O$5)="F",AND(O$6&gt;0,$A469&lt;O$6),AND(O$7&gt;0,$A469&gt;O$7)),0,MAX(0,ROUND((INDEX($E469:$G469,O$5)-SUMIFS(TF_Timer,TF_Tekniker,O$4,TF_Dato,$A469))*2,0)/2)))</f>
        <v/>
      </c>
      <c r="P469">
        <f>IF(OR(P$4="",$A469&gt;TODAY()),0,IF(OR(INDEX($B469:$D469,P$5)="F",AND(P$6&gt;0,$A469&lt;P$6),AND(P$7&gt;0,$A469&gt;P$7)),0,MAX(0,ROUND((INDEX($E469:$G469,P$5)-SUMIFS(TF_Timer,TF_Tekniker,P$4,TF_Dato,$A469))*2,0)/2)))</f>
        <v/>
      </c>
      <c r="Q469">
        <f>IF(OR(Q$4="",$A469&gt;TODAY()),0,IF(OR(INDEX($B469:$D469,Q$5)="F",AND(Q$6&gt;0,$A469&lt;Q$6),AND(Q$7&gt;0,$A469&gt;Q$7)),0,MAX(0,ROUND((INDEX($E469:$G469,Q$5)-SUMIFS(TF_Timer,TF_Tekniker,Q$4,TF_Dato,$A469))*2,0)/2)))</f>
        <v/>
      </c>
      <c r="R469">
        <f>IF(OR(R$4="",$A469&gt;TODAY()),0,IF(OR(INDEX($B469:$D469,R$5)="F",AND(R$6&gt;0,$A469&lt;R$6),AND(R$7&gt;0,$A469&gt;R$7)),0,MAX(0,ROUND((INDEX($E469:$G469,R$5)-SUMIFS(TF_Timer,TF_Tekniker,R$4,TF_Dato,$A469))*2,0)/2)))</f>
        <v/>
      </c>
      <c r="S469">
        <f>IF(OR(S$4="",$A469&gt;TODAY()),0,IF(OR(INDEX($B469:$D469,S$5)="F",AND(S$6&gt;0,$A469&lt;S$6),AND(S$7&gt;0,$A469&gt;S$7)),0,MAX(0,ROUND((INDEX($E469:$G469,S$5)-SUMIFS(TF_Timer,TF_Tekniker,S$4,TF_Dato,$A469))*2,0)/2)))</f>
        <v/>
      </c>
      <c r="T469">
        <f>IF(OR(T$4="",$A469&gt;TODAY()),0,IF(OR(INDEX($B469:$D469,T$5)="F",AND(T$6&gt;0,$A469&lt;T$6),AND(T$7&gt;0,$A469&gt;T$7)),0,MAX(0,ROUND((INDEX($E469:$G469,T$5)-SUMIFS(TF_Timer,TF_Tekniker,T$4,TF_Dato,$A469))*2,0)/2)))</f>
        <v/>
      </c>
      <c r="U469">
        <f>IF(OR(U$4="",$A469&gt;TODAY()),0,IF(OR(INDEX($B469:$D469,U$5)="F",AND(U$6&gt;0,$A469&lt;U$6),AND(U$7&gt;0,$A469&gt;U$7)),0,MAX(0,ROUND((INDEX($E469:$G469,U$5)-SUMIFS(TF_Timer,TF_Tekniker,U$4,TF_Dato,$A469))*2,0)/2)))</f>
        <v/>
      </c>
      <c r="V469">
        <f>IF(OR(V$4="",$A469&gt;TODAY()),0,IF(OR(INDEX($B469:$D469,V$5)="F",AND(V$6&gt;0,$A469&lt;V$6),AND(V$7&gt;0,$A469&gt;V$7)),0,MAX(0,ROUND((INDEX($E469:$G469,V$5)-SUMIFS(TF_Timer,TF_Tekniker,V$4,TF_Dato,$A469))*2,0)/2)))</f>
        <v/>
      </c>
      <c r="W469">
        <f>IF(OR(W$4="",$A469&gt;TODAY()),0,IF(OR(INDEX($B469:$D469,W$5)="F",AND(W$6&gt;0,$A469&lt;W$6),AND(W$7&gt;0,$A469&gt;W$7)),0,MAX(0,ROUND((INDEX($E469:$G469,W$5)-SUMIFS(TF_Timer,TF_Tekniker,W$4,TF_Dato,$A469))*2,0)/2)))</f>
        <v/>
      </c>
      <c r="X469">
        <f>IF(OR(X$4="",$A469&gt;TODAY()),0,IF(OR(INDEX($B469:$D469,X$5)="F",AND(X$6&gt;0,$A469&lt;X$6),AND(X$7&gt;0,$A469&gt;X$7)),0,MAX(0,ROUND((INDEX($E469:$G469,X$5)-SUMIFS(TF_Timer,TF_Tekniker,X$4,TF_Dato,$A469))*2,0)/2)))</f>
        <v/>
      </c>
      <c r="Y469">
        <f>IF(OR(Y$4="",$A469&gt;TODAY()),0,IF(OR(INDEX($B469:$D469,Y$5)="F",AND(Y$6&gt;0,$A469&lt;Y$6),AND(Y$7&gt;0,$A469&gt;Y$7)),0,MAX(0,ROUND((INDEX($E469:$G469,Y$5)-SUMIFS(TF_Timer,TF_Tekniker,Y$4,TF_Dato,$A469))*2,0)/2)))</f>
        <v/>
      </c>
      <c r="Z469">
        <f>IF(OR(Z$4="",$A469&gt;TODAY()),0,IF(OR(INDEX($B469:$D469,Z$5)="F",AND(Z$6&gt;0,$A469&lt;Z$6),AND(Z$7&gt;0,$A469&gt;Z$7)),0,MAX(0,ROUND((INDEX($E469:$G469,Z$5)-SUMIFS(TF_Timer,TF_Tekniker,Z$4,TF_Dato,$A469))*2,0)/2)))</f>
        <v/>
      </c>
      <c r="AA469">
        <f>IF(OR(AA$4="",$A469&gt;TODAY()),0,IF(OR(INDEX($B469:$D469,AA$5)="F",AND(AA$6&gt;0,$A469&lt;AA$6),AND(AA$7&gt;0,$A469&gt;AA$7)),0,MAX(0,ROUND((INDEX($E469:$G469,AA$5)-SUMIFS(TF_Timer,TF_Tekniker,AA$4,TF_Dato,$A469))*2,0)/2)))</f>
        <v/>
      </c>
      <c r="AB469">
        <f>IF(OR(AB$4="",$A469&gt;TODAY()),0,IF(OR(INDEX($B469:$D469,AB$5)="F",AND(AB$6&gt;0,$A469&lt;AB$6),AND(AB$7&gt;0,$A469&gt;AB$7)),0,MAX(0,ROUND((INDEX($E469:$G469,AB$5)-SUMIFS(TF_Timer,TF_Tekniker,AB$4,TF_Dato,$A469))*2,0)/2)))</f>
        <v/>
      </c>
      <c r="AC469">
        <f>IF(OR(AC$4="",$A469&gt;TODAY()),0,IF(OR(INDEX($B469:$D469,AC$5)="F",AND(AC$6&gt;0,$A469&lt;AC$6),AND(AC$7&gt;0,$A469&gt;AC$7)),0,MAX(0,ROUND((INDEX($E469:$G469,AC$5)-SUMIFS(TF_Timer,TF_Tekniker,AC$4,TF_Dato,$A469))*2,0)/2)))</f>
        <v/>
      </c>
      <c r="AD469">
        <f>IF(OR(AD$4="",$A469&gt;TODAY()),0,IF(OR(INDEX($B469:$D469,AD$5)="F",AND(AD$6&gt;0,$A469&lt;AD$6),AND(AD$7&gt;0,$A469&gt;AD$7)),0,MAX(0,ROUND((INDEX($E469:$G469,AD$5)-SUMIFS(TF_Timer,TF_Tekniker,AD$4,TF_Dato,$A469))*2,0)/2)))</f>
        <v/>
      </c>
      <c r="AE469">
        <f>IF(OR(AE$4="",$A469&gt;TODAY()),0,IF(OR(INDEX($B469:$D469,AE$5)="F",AND(AE$6&gt;0,$A469&lt;AE$6),AND(AE$7&gt;0,$A469&gt;AE$7)),0,MAX(0,ROUND((INDEX($E469:$G469,AE$5)-SUMIFS(TF_Timer,TF_Tekniker,AE$4,TF_Dato,$A469))*2,0)/2)))</f>
        <v/>
      </c>
      <c r="AF469">
        <f>IF(OR(AF$4="",$A469&gt;TODAY()),0,IF(OR(INDEX($B469:$D469,AF$5)="F",AND(AF$6&gt;0,$A469&lt;AF$6),AND(AF$7&gt;0,$A469&gt;AF$7)),0,MAX(0,ROUND((INDEX($E469:$G469,AF$5)-SUMIFS(TF_Timer,TF_Tekniker,AF$4,TF_Dato,$A469))*2,0)/2)))</f>
        <v/>
      </c>
      <c r="AG469">
        <f>IF(OR(AG$4="",$A469&gt;TODAY()),0,IF(OR(INDEX($B469:$D469,AG$5)="F",AND(AG$6&gt;0,$A469&lt;AG$6),AND(AG$7&gt;0,$A469&gt;AG$7)),0,MAX(0,ROUND((INDEX($E469:$G469,AG$5)-SUMIFS(TF_Timer,TF_Tekniker,AG$4,TF_Dato,$A469))*2,0)/2)))</f>
        <v/>
      </c>
      <c r="AH469">
        <f>IF(OR(AH$4="",$A469&gt;TODAY()),0,IF(OR(INDEX($B469:$D469,AH$5)="F",AND(AH$6&gt;0,$A469&lt;AH$6),AND(AH$7&gt;0,$A469&gt;AH$7)),0,MAX(0,ROUND((INDEX($E469:$G469,AH$5)-SUMIFS(TF_Timer,TF_Tekniker,AH$4,TF_Dato,$A469))*2,0)/2)))</f>
        <v/>
      </c>
      <c r="AI469">
        <f>IF(OR(AI$4="",$A469&gt;TODAY()),0,IF(OR(INDEX($B469:$D469,AI$5)="F",AND(AI$6&gt;0,$A469&lt;AI$6),AND(AI$7&gt;0,$A469&gt;AI$7)),0,MAX(0,ROUND((INDEX($E469:$G469,AI$5)-SUMIFS(TF_Timer,TF_Tekniker,AI$4,TF_Dato,$A469))*2,0)/2)))</f>
        <v/>
      </c>
      <c r="AJ469">
        <f>IF(OR(AJ$4="",$A469&gt;TODAY()),0,IF(OR(INDEX($B469:$D469,AJ$5)="F",AND(AJ$6&gt;0,$A469&lt;AJ$6),AND(AJ$7&gt;0,$A469&gt;AJ$7)),0,MAX(0,ROUND((INDEX($E469:$G469,AJ$5)-SUMIFS(TF_Timer,TF_Tekniker,AJ$4,TF_Dato,$A469))*2,0)/2)))</f>
        <v/>
      </c>
      <c r="AK469">
        <f>IF(OR(AK$4="",$A469&gt;TODAY()),0,IF(OR(INDEX($B469:$D469,AK$5)="F",AND(AK$6&gt;0,$A469&lt;AK$6),AND(AK$7&gt;0,$A469&gt;AK$7)),0,MAX(0,ROUND((INDEX($E469:$G469,AK$5)-SUMIFS(TF_Timer,TF_Tekniker,AK$4,TF_Dato,$A469))*2,0)/2)))</f>
        <v/>
      </c>
      <c r="AL469">
        <f>IF(OR(AL$4="",$A469&gt;TODAY()),0,IF(OR(INDEX($B469:$D469,AL$5)="F",AND(AL$6&gt;0,$A469&lt;AL$6),AND(AL$7&gt;0,$A469&gt;AL$7)),0,MAX(0,ROUND((INDEX($E469:$G469,AL$5)-SUMIFS(TF_Timer,TF_Tekniker,AL$4,TF_Dato,$A469))*2,0)/2)))</f>
        <v/>
      </c>
      <c r="AM469">
        <f>IF(OR(AM$4="",$A469&gt;TODAY()),0,IF(OR(INDEX($B469:$D469,AM$5)="F",AND(AM$6&gt;0,$A469&lt;AM$6),AND(AM$7&gt;0,$A469&gt;AM$7)),0,MAX(0,ROUND((INDEX($E469:$G469,AM$5)-SUMIFS(TF_Timer,TF_Tekniker,AM$4,TF_Dato,$A469))*2,0)/2)))</f>
        <v/>
      </c>
      <c r="AN469">
        <f>IF(OR(AN$4="",$A469&gt;TODAY()),0,IF(OR(INDEX($B469:$D469,AN$5)="F",AND(AN$6&gt;0,$A469&lt;AN$6),AND(AN$7&gt;0,$A469&gt;AN$7)),0,MAX(0,ROUND((INDEX($E469:$G469,AN$5)-SUMIFS(TF_Timer,TF_Tekniker,AN$4,TF_Dato,$A469))*2,0)/2)))</f>
        <v/>
      </c>
      <c r="AO469">
        <f>IF(OR(AO$4="",$A469&gt;TODAY()),0,IF(OR(INDEX($B469:$D469,AO$5)="F",AND(AO$6&gt;0,$A469&lt;AO$6),AND(AO$7&gt;0,$A469&gt;AO$7)),0,MAX(0,ROUND((INDEX($E469:$G469,AO$5)-SUMIFS(TF_Timer,TF_Tekniker,AO$4,TF_Dato,$A469))*2,0)/2)))</f>
        <v/>
      </c>
      <c r="AP469">
        <f>IF(OR(AP$4="",$A469&gt;TODAY()),0,IF(OR(INDEX($B469:$D469,AP$5)="F",AND(AP$6&gt;0,$A469&lt;AP$6),AND(AP$7&gt;0,$A469&gt;AP$7)),0,MAX(0,ROUND((INDEX($E469:$G469,AP$5)-SUMIFS(TF_Timer,TF_Tekniker,AP$4,TF_Dato,$A469))*2,0)/2)))</f>
        <v/>
      </c>
      <c r="AQ469">
        <f>IF(OR(AQ$4="",$A469&gt;TODAY()),0,IF(OR(INDEX($B469:$D469,AQ$5)="F",AND(AQ$6&gt;0,$A469&lt;AQ$6),AND(AQ$7&gt;0,$A469&gt;AQ$7)),0,MAX(0,ROUND((INDEX($E469:$G469,AQ$5)-SUMIFS(TF_Timer,TF_Tekniker,AQ$4,TF_Dato,$A469))*2,0)/2)))</f>
        <v/>
      </c>
      <c r="AR469">
        <f>IF(OR(AR$4="",$A469&gt;TODAY()),0,IF(OR(INDEX($B469:$D469,AR$5)="F",AND(AR$6&gt;0,$A469&lt;AR$6),AND(AR$7&gt;0,$A469&gt;AR$7)),0,MAX(0,ROUND((INDEX($E469:$G469,AR$5)-SUMIFS(TF_Timer,TF_Tekniker,AR$4,TF_Dato,$A469))*2,0)/2)))</f>
        <v/>
      </c>
      <c r="AS469">
        <f>IF(OR(AS$4="",$A469&gt;TODAY()),0,IF(OR(INDEX($B469:$D469,AS$5)="F",AND(AS$6&gt;0,$A469&lt;AS$6),AND(AS$7&gt;0,$A469&gt;AS$7)),0,MAX(0,ROUND((INDEX($E469:$G469,AS$5)-SUMIFS(TF_Timer,TF_Tekniker,AS$4,TF_Dato,$A469))*2,0)/2)))</f>
        <v/>
      </c>
      <c r="AT469">
        <f>IF(OR(AT$4="",$A469&gt;TODAY()),0,IF(OR(INDEX($B469:$D469,AT$5)="F",AND(AT$6&gt;0,$A469&lt;AT$6),AND(AT$7&gt;0,$A469&gt;AT$7)),0,MAX(0,ROUND((INDEX($E469:$G469,AT$5)-SUMIFS(TF_Timer,TF_Tekniker,AT$4,TF_Dato,$A469))*2,0)/2)))</f>
        <v/>
      </c>
      <c r="AU469">
        <f>IF(OR(AU$4="",$A469&gt;TODAY()),0,IF(OR(INDEX($B469:$D469,AU$5)="F",AND(AU$6&gt;0,$A469&lt;AU$6),AND(AU$7&gt;0,$A469&gt;AU$7)),0,MAX(0,ROUND((INDEX($E469:$G469,AU$5)-SUMIFS(TF_Timer,TF_Tekniker,AU$4,TF_Dato,$A469))*2,0)/2)))</f>
        <v/>
      </c>
      <c r="AV469">
        <f>IF(OR(AV$4="",$A469&gt;TODAY()),0,IF(OR(INDEX($B469:$D469,AV$5)="F",AND(AV$6&gt;0,$A469&lt;AV$6),AND(AV$7&gt;0,$A469&gt;AV$7)),0,MAX(0,ROUND((INDEX($E469:$G469,AV$5)-SUMIFS(TF_Timer,TF_Tekniker,AV$4,TF_Dato,$A469))*2,0)/2)))</f>
        <v/>
      </c>
      <c r="AW469">
        <f>IF(OR(AW$4="",$A469&gt;TODAY()),0,IF(OR(INDEX($B469:$D469,AW$5)="F",AND(AW$6&gt;0,$A469&lt;AW$6),AND(AW$7&gt;0,$A469&gt;AW$7)),0,MAX(0,ROUND((INDEX($E469:$G469,AW$5)-SUMIFS(TF_Timer,TF_Tekniker,AW$4,TF_Dato,$A469))*2,0)/2)))</f>
        <v/>
      </c>
      <c r="AX469">
        <f>IF(OR(AX$4="",$A469&gt;TODAY()),0,IF(OR(INDEX($B469:$D469,AX$5)="F",AND(AX$6&gt;0,$A469&lt;AX$6),AND(AX$7&gt;0,$A469&gt;AX$7)),0,MAX(0,ROUND((INDEX($E469:$G469,AX$5)-SUMIFS(TF_Timer,TF_Tekniker,AX$4,TF_Dato,$A469))*2,0)/2)))</f>
        <v/>
      </c>
      <c r="AY469">
        <f>IF(OR(AY$4="",$A469&gt;TODAY()),0,IF(OR(INDEX($B469:$D469,AY$5)="F",AND(AY$6&gt;0,$A469&lt;AY$6),AND(AY$7&gt;0,$A469&gt;AY$7)),0,MAX(0,ROUND((INDEX($E469:$G469,AY$5)-SUMIFS(TF_Timer,TF_Tekniker,AY$4,TF_Dato,$A469))*2,0)/2)))</f>
        <v/>
      </c>
      <c r="AZ469">
        <f>IF(OR(AZ$4="",$A469&gt;TODAY()),0,IF(OR(INDEX($B469:$D469,AZ$5)="F",AND(AZ$6&gt;0,$A469&lt;AZ$6),AND(AZ$7&gt;0,$A469&gt;AZ$7)),0,MAX(0,ROUND((INDEX($E469:$G469,AZ$5)-SUMIFS(TF_Timer,TF_Tekniker,AZ$4,TF_Dato,$A469))*2,0)/2)))</f>
        <v/>
      </c>
      <c r="BA469">
        <f>IF(OR(BA$4="",$A469&gt;TODAY()),0,IF(OR(INDEX($B469:$D469,BA$5)="F",AND(BA$6&gt;0,$A469&lt;BA$6),AND(BA$7&gt;0,$A469&gt;BA$7)),0,MAX(0,ROUND((INDEX($E469:$G469,BA$5)-SUMIFS(TF_Timer,TF_Tekniker,BA$4,TF_Dato,$A469))*2,0)/2)))</f>
        <v/>
      </c>
      <c r="BB469">
        <f>IF(OR(BB$4="",$A469&gt;TODAY()),0,IF(OR(INDEX($B469:$D469,BB$5)="F",AND(BB$6&gt;0,$A469&lt;BB$6),AND(BB$7&gt;0,$A469&gt;BB$7)),0,MAX(0,ROUND((INDEX($E469:$G469,BB$5)-SUMIFS(TF_Timer,TF_Tekniker,BB$4,TF_Dato,$A469))*2,0)/2)))</f>
        <v/>
      </c>
      <c r="BC469">
        <f>IF(OR(BC$4="",$A469&gt;TODAY()),0,IF(OR(INDEX($B469:$D469,BC$5)="F",AND(BC$6&gt;0,$A469&lt;BC$6),AND(BC$7&gt;0,$A469&gt;BC$7)),0,MAX(0,ROUND((INDEX($E469:$G469,BC$5)-SUMIFS(TF_Timer,TF_Tekniker,BC$4,TF_Dato,$A469))*2,0)/2)))</f>
        <v/>
      </c>
      <c r="BD469">
        <f>IF(OR(BD$4="",$A469&gt;TODAY()),0,IF(OR(INDEX($B469:$D469,BD$5)="F",AND(BD$6&gt;0,$A469&lt;BD$6),AND(BD$7&gt;0,$A469&gt;BD$7)),0,MAX(0,ROUND((INDEX($E469:$G469,BD$5)-SUMIFS(TF_Timer,TF_Tekniker,BD$4,TF_Dato,$A469))*2,0)/2)))</f>
        <v/>
      </c>
      <c r="BE469">
        <f>IF(OR(BE$4="",$A469&gt;TODAY()),0,IF(OR(INDEX($B469:$D469,BE$5)="F",AND(BE$6&gt;0,$A469&lt;BE$6),AND(BE$7&gt;0,$A469&gt;BE$7)),0,MAX(0,ROUND((INDEX($E469:$G469,BE$5)-SUMIFS(TF_Timer,TF_Tekniker,BE$4,TF_Dato,$A469))*2,0)/2)))</f>
        <v/>
      </c>
      <c r="BF469">
        <f>IF(OR(BF$4="",$A469&gt;TODAY()),0,IF(OR(INDEX($B469:$D469,BF$5)="F",AND(BF$6&gt;0,$A469&lt;BF$6),AND(BF$7&gt;0,$A469&gt;BF$7)),0,MAX(0,ROUND((INDEX($E469:$G469,BF$5)-SUMIFS(TF_Timer,TF_Tekniker,BF$4,TF_Dato,$A469))*2,0)/2)))</f>
        <v/>
      </c>
      <c r="BG469">
        <f>IF(OR(BG$4="",$A469&gt;TODAY()),0,IF(OR(INDEX($B469:$D469,BG$5)="F",AND(BG$6&gt;0,$A469&lt;BG$6),AND(BG$7&gt;0,$A469&gt;BG$7)),0,MAX(0,ROUND((INDEX($E469:$G469,BG$5)-SUMIFS(TF_Timer,TF_Tekniker,BG$4,TF_Dato,$A469))*2,0)/2)))</f>
        <v/>
      </c>
      <c r="BH469">
        <f>IF(OR(BH$4="",$A469&gt;TODAY()),0,IF(OR(INDEX($B469:$D469,BH$5)="F",AND(BH$6&gt;0,$A469&lt;BH$6),AND(BH$7&gt;0,$A469&gt;BH$7)),0,MAX(0,ROUND((INDEX($E469:$G469,BH$5)-SUMIFS(TF_Timer,TF_Tekniker,BH$4,TF_Dato,$A469))*2,0)/2)))</f>
        <v/>
      </c>
      <c r="BI469">
        <f>IF(OR(BI$4="",$A469&gt;TODAY()),0,IF(OR(INDEX($B469:$D469,BI$5)="F",AND(BI$6&gt;0,$A469&lt;BI$6),AND(BI$7&gt;0,$A469&gt;BI$7)),0,MAX(0,ROUND((INDEX($E469:$G469,BI$5)-SUMIFS(TF_Timer,TF_Tekniker,BI$4,TF_Dato,$A469))*2,0)/2)))</f>
        <v/>
      </c>
    </row>
    <row r="470">
      <c r="A470" s="64">
        <f>A469+1</f>
        <v/>
      </c>
      <c r="B470">
        <f>IF(MOD($A470-INDEX(SkiftStart,1),Syklus)&lt;DagK,"K",IF(MOD($A470-INDEX(SkiftStart,1),Syklus)&lt;DagK+DagH,"H",IF(MOD($A470-INDEX(SkiftStart,1),Syklus)&lt;DagK+DagH+DagD,"D","F")))</f>
        <v/>
      </c>
      <c r="C470">
        <f>IF(MOD($A470-INDEX(SkiftStart,2),Syklus)&lt;DagK,"K",IF(MOD($A470-INDEX(SkiftStart,2),Syklus)&lt;DagK+DagH,"H",IF(MOD($A470-INDEX(SkiftStart,2),Syklus)&lt;DagK+DagH+DagD,"D","F")))</f>
        <v/>
      </c>
      <c r="D470">
        <f>IF(MOD($A470-INDEX(SkiftStart,3),Syklus)&lt;DagK,"K",IF(MOD($A470-INDEX(SkiftStart,3),Syklus)&lt;DagK+DagH,"H",IF(MOD($A470-INDEX(SkiftStart,3),Syklus)&lt;DagK+DagH+DagD,"D","F")))</f>
        <v/>
      </c>
      <c r="E470">
        <f>IF(B470="F",0,IF(WEEKDAY($A470,2)=5,INDEX(TimerFr,MATCH(B470,FaseKode,0)),INDEX(TimerMT,MATCH(B470,FaseKode,0))))</f>
        <v/>
      </c>
      <c r="F470">
        <f>IF(C470="F",0,IF(WEEKDAY($A470,2)=5,INDEX(TimerFr,MATCH(C470,FaseKode,0)),INDEX(TimerMT,MATCH(C470,FaseKode,0))))</f>
        <v/>
      </c>
      <c r="G470">
        <f>IF(D470="F",0,IF(WEEKDAY($A470,2)=5,INDEX(TimerFr,MATCH(D470,FaseKode,0)),INDEX(TimerMT,MATCH(D470,FaseKode,0))))</f>
        <v/>
      </c>
      <c r="H470">
        <f>IF(OR(H$4="",$A470&gt;TODAY()),0,IF(OR(INDEX($B470:$D470,H$5)="F",AND(H$6&gt;0,$A470&lt;H$6),AND(H$7&gt;0,$A470&gt;H$7)),0,MAX(0,ROUND((INDEX($E470:$G470,H$5)-SUMIFS(TF_Timer,TF_Tekniker,H$4,TF_Dato,$A470))*2,0)/2)))</f>
        <v/>
      </c>
      <c r="I470">
        <f>IF(OR(I$4="",$A470&gt;TODAY()),0,IF(OR(INDEX($B470:$D470,I$5)="F",AND(I$6&gt;0,$A470&lt;I$6),AND(I$7&gt;0,$A470&gt;I$7)),0,MAX(0,ROUND((INDEX($E470:$G470,I$5)-SUMIFS(TF_Timer,TF_Tekniker,I$4,TF_Dato,$A470))*2,0)/2)))</f>
        <v/>
      </c>
      <c r="J470">
        <f>IF(OR(J$4="",$A470&gt;TODAY()),0,IF(OR(INDEX($B470:$D470,J$5)="F",AND(J$6&gt;0,$A470&lt;J$6),AND(J$7&gt;0,$A470&gt;J$7)),0,MAX(0,ROUND((INDEX($E470:$G470,J$5)-SUMIFS(TF_Timer,TF_Tekniker,J$4,TF_Dato,$A470))*2,0)/2)))</f>
        <v/>
      </c>
      <c r="K470">
        <f>IF(OR(K$4="",$A470&gt;TODAY()),0,IF(OR(INDEX($B470:$D470,K$5)="F",AND(K$6&gt;0,$A470&lt;K$6),AND(K$7&gt;0,$A470&gt;K$7)),0,MAX(0,ROUND((INDEX($E470:$G470,K$5)-SUMIFS(TF_Timer,TF_Tekniker,K$4,TF_Dato,$A470))*2,0)/2)))</f>
        <v/>
      </c>
      <c r="L470">
        <f>IF(OR(L$4="",$A470&gt;TODAY()),0,IF(OR(INDEX($B470:$D470,L$5)="F",AND(L$6&gt;0,$A470&lt;L$6),AND(L$7&gt;0,$A470&gt;L$7)),0,MAX(0,ROUND((INDEX($E470:$G470,L$5)-SUMIFS(TF_Timer,TF_Tekniker,L$4,TF_Dato,$A470))*2,0)/2)))</f>
        <v/>
      </c>
      <c r="M470">
        <f>IF(OR(M$4="",$A470&gt;TODAY()),0,IF(OR(INDEX($B470:$D470,M$5)="F",AND(M$6&gt;0,$A470&lt;M$6),AND(M$7&gt;0,$A470&gt;M$7)),0,MAX(0,ROUND((INDEX($E470:$G470,M$5)-SUMIFS(TF_Timer,TF_Tekniker,M$4,TF_Dato,$A470))*2,0)/2)))</f>
        <v/>
      </c>
      <c r="N470">
        <f>IF(OR(N$4="",$A470&gt;TODAY()),0,IF(OR(INDEX($B470:$D470,N$5)="F",AND(N$6&gt;0,$A470&lt;N$6),AND(N$7&gt;0,$A470&gt;N$7)),0,MAX(0,ROUND((INDEX($E470:$G470,N$5)-SUMIFS(TF_Timer,TF_Tekniker,N$4,TF_Dato,$A470))*2,0)/2)))</f>
        <v/>
      </c>
      <c r="O470">
        <f>IF(OR(O$4="",$A470&gt;TODAY()),0,IF(OR(INDEX($B470:$D470,O$5)="F",AND(O$6&gt;0,$A470&lt;O$6),AND(O$7&gt;0,$A470&gt;O$7)),0,MAX(0,ROUND((INDEX($E470:$G470,O$5)-SUMIFS(TF_Timer,TF_Tekniker,O$4,TF_Dato,$A470))*2,0)/2)))</f>
        <v/>
      </c>
      <c r="P470">
        <f>IF(OR(P$4="",$A470&gt;TODAY()),0,IF(OR(INDEX($B470:$D470,P$5)="F",AND(P$6&gt;0,$A470&lt;P$6),AND(P$7&gt;0,$A470&gt;P$7)),0,MAX(0,ROUND((INDEX($E470:$G470,P$5)-SUMIFS(TF_Timer,TF_Tekniker,P$4,TF_Dato,$A470))*2,0)/2)))</f>
        <v/>
      </c>
      <c r="Q470">
        <f>IF(OR(Q$4="",$A470&gt;TODAY()),0,IF(OR(INDEX($B470:$D470,Q$5)="F",AND(Q$6&gt;0,$A470&lt;Q$6),AND(Q$7&gt;0,$A470&gt;Q$7)),0,MAX(0,ROUND((INDEX($E470:$G470,Q$5)-SUMIFS(TF_Timer,TF_Tekniker,Q$4,TF_Dato,$A470))*2,0)/2)))</f>
        <v/>
      </c>
      <c r="R470">
        <f>IF(OR(R$4="",$A470&gt;TODAY()),0,IF(OR(INDEX($B470:$D470,R$5)="F",AND(R$6&gt;0,$A470&lt;R$6),AND(R$7&gt;0,$A470&gt;R$7)),0,MAX(0,ROUND((INDEX($E470:$G470,R$5)-SUMIFS(TF_Timer,TF_Tekniker,R$4,TF_Dato,$A470))*2,0)/2)))</f>
        <v/>
      </c>
      <c r="S470">
        <f>IF(OR(S$4="",$A470&gt;TODAY()),0,IF(OR(INDEX($B470:$D470,S$5)="F",AND(S$6&gt;0,$A470&lt;S$6),AND(S$7&gt;0,$A470&gt;S$7)),0,MAX(0,ROUND((INDEX($E470:$G470,S$5)-SUMIFS(TF_Timer,TF_Tekniker,S$4,TF_Dato,$A470))*2,0)/2)))</f>
        <v/>
      </c>
      <c r="T470">
        <f>IF(OR(T$4="",$A470&gt;TODAY()),0,IF(OR(INDEX($B470:$D470,T$5)="F",AND(T$6&gt;0,$A470&lt;T$6),AND(T$7&gt;0,$A470&gt;T$7)),0,MAX(0,ROUND((INDEX($E470:$G470,T$5)-SUMIFS(TF_Timer,TF_Tekniker,T$4,TF_Dato,$A470))*2,0)/2)))</f>
        <v/>
      </c>
      <c r="U470">
        <f>IF(OR(U$4="",$A470&gt;TODAY()),0,IF(OR(INDEX($B470:$D470,U$5)="F",AND(U$6&gt;0,$A470&lt;U$6),AND(U$7&gt;0,$A470&gt;U$7)),0,MAX(0,ROUND((INDEX($E470:$G470,U$5)-SUMIFS(TF_Timer,TF_Tekniker,U$4,TF_Dato,$A470))*2,0)/2)))</f>
        <v/>
      </c>
      <c r="V470">
        <f>IF(OR(V$4="",$A470&gt;TODAY()),0,IF(OR(INDEX($B470:$D470,V$5)="F",AND(V$6&gt;0,$A470&lt;V$6),AND(V$7&gt;0,$A470&gt;V$7)),0,MAX(0,ROUND((INDEX($E470:$G470,V$5)-SUMIFS(TF_Timer,TF_Tekniker,V$4,TF_Dato,$A470))*2,0)/2)))</f>
        <v/>
      </c>
      <c r="W470">
        <f>IF(OR(W$4="",$A470&gt;TODAY()),0,IF(OR(INDEX($B470:$D470,W$5)="F",AND(W$6&gt;0,$A470&lt;W$6),AND(W$7&gt;0,$A470&gt;W$7)),0,MAX(0,ROUND((INDEX($E470:$G470,W$5)-SUMIFS(TF_Timer,TF_Tekniker,W$4,TF_Dato,$A470))*2,0)/2)))</f>
        <v/>
      </c>
      <c r="X470">
        <f>IF(OR(X$4="",$A470&gt;TODAY()),0,IF(OR(INDEX($B470:$D470,X$5)="F",AND(X$6&gt;0,$A470&lt;X$6),AND(X$7&gt;0,$A470&gt;X$7)),0,MAX(0,ROUND((INDEX($E470:$G470,X$5)-SUMIFS(TF_Timer,TF_Tekniker,X$4,TF_Dato,$A470))*2,0)/2)))</f>
        <v/>
      </c>
      <c r="Y470">
        <f>IF(OR(Y$4="",$A470&gt;TODAY()),0,IF(OR(INDEX($B470:$D470,Y$5)="F",AND(Y$6&gt;0,$A470&lt;Y$6),AND(Y$7&gt;0,$A470&gt;Y$7)),0,MAX(0,ROUND((INDEX($E470:$G470,Y$5)-SUMIFS(TF_Timer,TF_Tekniker,Y$4,TF_Dato,$A470))*2,0)/2)))</f>
        <v/>
      </c>
      <c r="Z470">
        <f>IF(OR(Z$4="",$A470&gt;TODAY()),0,IF(OR(INDEX($B470:$D470,Z$5)="F",AND(Z$6&gt;0,$A470&lt;Z$6),AND(Z$7&gt;0,$A470&gt;Z$7)),0,MAX(0,ROUND((INDEX($E470:$G470,Z$5)-SUMIFS(TF_Timer,TF_Tekniker,Z$4,TF_Dato,$A470))*2,0)/2)))</f>
        <v/>
      </c>
      <c r="AA470">
        <f>IF(OR(AA$4="",$A470&gt;TODAY()),0,IF(OR(INDEX($B470:$D470,AA$5)="F",AND(AA$6&gt;0,$A470&lt;AA$6),AND(AA$7&gt;0,$A470&gt;AA$7)),0,MAX(0,ROUND((INDEX($E470:$G470,AA$5)-SUMIFS(TF_Timer,TF_Tekniker,AA$4,TF_Dato,$A470))*2,0)/2)))</f>
        <v/>
      </c>
      <c r="AB470">
        <f>IF(OR(AB$4="",$A470&gt;TODAY()),0,IF(OR(INDEX($B470:$D470,AB$5)="F",AND(AB$6&gt;0,$A470&lt;AB$6),AND(AB$7&gt;0,$A470&gt;AB$7)),0,MAX(0,ROUND((INDEX($E470:$G470,AB$5)-SUMIFS(TF_Timer,TF_Tekniker,AB$4,TF_Dato,$A470))*2,0)/2)))</f>
        <v/>
      </c>
      <c r="AC470">
        <f>IF(OR(AC$4="",$A470&gt;TODAY()),0,IF(OR(INDEX($B470:$D470,AC$5)="F",AND(AC$6&gt;0,$A470&lt;AC$6),AND(AC$7&gt;0,$A470&gt;AC$7)),0,MAX(0,ROUND((INDEX($E470:$G470,AC$5)-SUMIFS(TF_Timer,TF_Tekniker,AC$4,TF_Dato,$A470))*2,0)/2)))</f>
        <v/>
      </c>
      <c r="AD470">
        <f>IF(OR(AD$4="",$A470&gt;TODAY()),0,IF(OR(INDEX($B470:$D470,AD$5)="F",AND(AD$6&gt;0,$A470&lt;AD$6),AND(AD$7&gt;0,$A470&gt;AD$7)),0,MAX(0,ROUND((INDEX($E470:$G470,AD$5)-SUMIFS(TF_Timer,TF_Tekniker,AD$4,TF_Dato,$A470))*2,0)/2)))</f>
        <v/>
      </c>
      <c r="AE470">
        <f>IF(OR(AE$4="",$A470&gt;TODAY()),0,IF(OR(INDEX($B470:$D470,AE$5)="F",AND(AE$6&gt;0,$A470&lt;AE$6),AND(AE$7&gt;0,$A470&gt;AE$7)),0,MAX(0,ROUND((INDEX($E470:$G470,AE$5)-SUMIFS(TF_Timer,TF_Tekniker,AE$4,TF_Dato,$A470))*2,0)/2)))</f>
        <v/>
      </c>
      <c r="AF470">
        <f>IF(OR(AF$4="",$A470&gt;TODAY()),0,IF(OR(INDEX($B470:$D470,AF$5)="F",AND(AF$6&gt;0,$A470&lt;AF$6),AND(AF$7&gt;0,$A470&gt;AF$7)),0,MAX(0,ROUND((INDEX($E470:$G470,AF$5)-SUMIFS(TF_Timer,TF_Tekniker,AF$4,TF_Dato,$A470))*2,0)/2)))</f>
        <v/>
      </c>
      <c r="AG470">
        <f>IF(OR(AG$4="",$A470&gt;TODAY()),0,IF(OR(INDEX($B470:$D470,AG$5)="F",AND(AG$6&gt;0,$A470&lt;AG$6),AND(AG$7&gt;0,$A470&gt;AG$7)),0,MAX(0,ROUND((INDEX($E470:$G470,AG$5)-SUMIFS(TF_Timer,TF_Tekniker,AG$4,TF_Dato,$A470))*2,0)/2)))</f>
        <v/>
      </c>
      <c r="AH470">
        <f>IF(OR(AH$4="",$A470&gt;TODAY()),0,IF(OR(INDEX($B470:$D470,AH$5)="F",AND(AH$6&gt;0,$A470&lt;AH$6),AND(AH$7&gt;0,$A470&gt;AH$7)),0,MAX(0,ROUND((INDEX($E470:$G470,AH$5)-SUMIFS(TF_Timer,TF_Tekniker,AH$4,TF_Dato,$A470))*2,0)/2)))</f>
        <v/>
      </c>
      <c r="AI470">
        <f>IF(OR(AI$4="",$A470&gt;TODAY()),0,IF(OR(INDEX($B470:$D470,AI$5)="F",AND(AI$6&gt;0,$A470&lt;AI$6),AND(AI$7&gt;0,$A470&gt;AI$7)),0,MAX(0,ROUND((INDEX($E470:$G470,AI$5)-SUMIFS(TF_Timer,TF_Tekniker,AI$4,TF_Dato,$A470))*2,0)/2)))</f>
        <v/>
      </c>
      <c r="AJ470">
        <f>IF(OR(AJ$4="",$A470&gt;TODAY()),0,IF(OR(INDEX($B470:$D470,AJ$5)="F",AND(AJ$6&gt;0,$A470&lt;AJ$6),AND(AJ$7&gt;0,$A470&gt;AJ$7)),0,MAX(0,ROUND((INDEX($E470:$G470,AJ$5)-SUMIFS(TF_Timer,TF_Tekniker,AJ$4,TF_Dato,$A470))*2,0)/2)))</f>
        <v/>
      </c>
      <c r="AK470">
        <f>IF(OR(AK$4="",$A470&gt;TODAY()),0,IF(OR(INDEX($B470:$D470,AK$5)="F",AND(AK$6&gt;0,$A470&lt;AK$6),AND(AK$7&gt;0,$A470&gt;AK$7)),0,MAX(0,ROUND((INDEX($E470:$G470,AK$5)-SUMIFS(TF_Timer,TF_Tekniker,AK$4,TF_Dato,$A470))*2,0)/2)))</f>
        <v/>
      </c>
      <c r="AL470">
        <f>IF(OR(AL$4="",$A470&gt;TODAY()),0,IF(OR(INDEX($B470:$D470,AL$5)="F",AND(AL$6&gt;0,$A470&lt;AL$6),AND(AL$7&gt;0,$A470&gt;AL$7)),0,MAX(0,ROUND((INDEX($E470:$G470,AL$5)-SUMIFS(TF_Timer,TF_Tekniker,AL$4,TF_Dato,$A470))*2,0)/2)))</f>
        <v/>
      </c>
      <c r="AM470">
        <f>IF(OR(AM$4="",$A470&gt;TODAY()),0,IF(OR(INDEX($B470:$D470,AM$5)="F",AND(AM$6&gt;0,$A470&lt;AM$6),AND(AM$7&gt;0,$A470&gt;AM$7)),0,MAX(0,ROUND((INDEX($E470:$G470,AM$5)-SUMIFS(TF_Timer,TF_Tekniker,AM$4,TF_Dato,$A470))*2,0)/2)))</f>
        <v/>
      </c>
      <c r="AN470">
        <f>IF(OR(AN$4="",$A470&gt;TODAY()),0,IF(OR(INDEX($B470:$D470,AN$5)="F",AND(AN$6&gt;0,$A470&lt;AN$6),AND(AN$7&gt;0,$A470&gt;AN$7)),0,MAX(0,ROUND((INDEX($E470:$G470,AN$5)-SUMIFS(TF_Timer,TF_Tekniker,AN$4,TF_Dato,$A470))*2,0)/2)))</f>
        <v/>
      </c>
      <c r="AO470">
        <f>IF(OR(AO$4="",$A470&gt;TODAY()),0,IF(OR(INDEX($B470:$D470,AO$5)="F",AND(AO$6&gt;0,$A470&lt;AO$6),AND(AO$7&gt;0,$A470&gt;AO$7)),0,MAX(0,ROUND((INDEX($E470:$G470,AO$5)-SUMIFS(TF_Timer,TF_Tekniker,AO$4,TF_Dato,$A470))*2,0)/2)))</f>
        <v/>
      </c>
      <c r="AP470">
        <f>IF(OR(AP$4="",$A470&gt;TODAY()),0,IF(OR(INDEX($B470:$D470,AP$5)="F",AND(AP$6&gt;0,$A470&lt;AP$6),AND(AP$7&gt;0,$A470&gt;AP$7)),0,MAX(0,ROUND((INDEX($E470:$G470,AP$5)-SUMIFS(TF_Timer,TF_Tekniker,AP$4,TF_Dato,$A470))*2,0)/2)))</f>
        <v/>
      </c>
      <c r="AQ470">
        <f>IF(OR(AQ$4="",$A470&gt;TODAY()),0,IF(OR(INDEX($B470:$D470,AQ$5)="F",AND(AQ$6&gt;0,$A470&lt;AQ$6),AND(AQ$7&gt;0,$A470&gt;AQ$7)),0,MAX(0,ROUND((INDEX($E470:$G470,AQ$5)-SUMIFS(TF_Timer,TF_Tekniker,AQ$4,TF_Dato,$A470))*2,0)/2)))</f>
        <v/>
      </c>
      <c r="AR470">
        <f>IF(OR(AR$4="",$A470&gt;TODAY()),0,IF(OR(INDEX($B470:$D470,AR$5)="F",AND(AR$6&gt;0,$A470&lt;AR$6),AND(AR$7&gt;0,$A470&gt;AR$7)),0,MAX(0,ROUND((INDEX($E470:$G470,AR$5)-SUMIFS(TF_Timer,TF_Tekniker,AR$4,TF_Dato,$A470))*2,0)/2)))</f>
        <v/>
      </c>
      <c r="AS470">
        <f>IF(OR(AS$4="",$A470&gt;TODAY()),0,IF(OR(INDEX($B470:$D470,AS$5)="F",AND(AS$6&gt;0,$A470&lt;AS$6),AND(AS$7&gt;0,$A470&gt;AS$7)),0,MAX(0,ROUND((INDEX($E470:$G470,AS$5)-SUMIFS(TF_Timer,TF_Tekniker,AS$4,TF_Dato,$A470))*2,0)/2)))</f>
        <v/>
      </c>
      <c r="AT470">
        <f>IF(OR(AT$4="",$A470&gt;TODAY()),0,IF(OR(INDEX($B470:$D470,AT$5)="F",AND(AT$6&gt;0,$A470&lt;AT$6),AND(AT$7&gt;0,$A470&gt;AT$7)),0,MAX(0,ROUND((INDEX($E470:$G470,AT$5)-SUMIFS(TF_Timer,TF_Tekniker,AT$4,TF_Dato,$A470))*2,0)/2)))</f>
        <v/>
      </c>
      <c r="AU470">
        <f>IF(OR(AU$4="",$A470&gt;TODAY()),0,IF(OR(INDEX($B470:$D470,AU$5)="F",AND(AU$6&gt;0,$A470&lt;AU$6),AND(AU$7&gt;0,$A470&gt;AU$7)),0,MAX(0,ROUND((INDEX($E470:$G470,AU$5)-SUMIFS(TF_Timer,TF_Tekniker,AU$4,TF_Dato,$A470))*2,0)/2)))</f>
        <v/>
      </c>
      <c r="AV470">
        <f>IF(OR(AV$4="",$A470&gt;TODAY()),0,IF(OR(INDEX($B470:$D470,AV$5)="F",AND(AV$6&gt;0,$A470&lt;AV$6),AND(AV$7&gt;0,$A470&gt;AV$7)),0,MAX(0,ROUND((INDEX($E470:$G470,AV$5)-SUMIFS(TF_Timer,TF_Tekniker,AV$4,TF_Dato,$A470))*2,0)/2)))</f>
        <v/>
      </c>
      <c r="AW470">
        <f>IF(OR(AW$4="",$A470&gt;TODAY()),0,IF(OR(INDEX($B470:$D470,AW$5)="F",AND(AW$6&gt;0,$A470&lt;AW$6),AND(AW$7&gt;0,$A470&gt;AW$7)),0,MAX(0,ROUND((INDEX($E470:$G470,AW$5)-SUMIFS(TF_Timer,TF_Tekniker,AW$4,TF_Dato,$A470))*2,0)/2)))</f>
        <v/>
      </c>
      <c r="AX470">
        <f>IF(OR(AX$4="",$A470&gt;TODAY()),0,IF(OR(INDEX($B470:$D470,AX$5)="F",AND(AX$6&gt;0,$A470&lt;AX$6),AND(AX$7&gt;0,$A470&gt;AX$7)),0,MAX(0,ROUND((INDEX($E470:$G470,AX$5)-SUMIFS(TF_Timer,TF_Tekniker,AX$4,TF_Dato,$A470))*2,0)/2)))</f>
        <v/>
      </c>
      <c r="AY470">
        <f>IF(OR(AY$4="",$A470&gt;TODAY()),0,IF(OR(INDEX($B470:$D470,AY$5)="F",AND(AY$6&gt;0,$A470&lt;AY$6),AND(AY$7&gt;0,$A470&gt;AY$7)),0,MAX(0,ROUND((INDEX($E470:$G470,AY$5)-SUMIFS(TF_Timer,TF_Tekniker,AY$4,TF_Dato,$A470))*2,0)/2)))</f>
        <v/>
      </c>
      <c r="AZ470">
        <f>IF(OR(AZ$4="",$A470&gt;TODAY()),0,IF(OR(INDEX($B470:$D470,AZ$5)="F",AND(AZ$6&gt;0,$A470&lt;AZ$6),AND(AZ$7&gt;0,$A470&gt;AZ$7)),0,MAX(0,ROUND((INDEX($E470:$G470,AZ$5)-SUMIFS(TF_Timer,TF_Tekniker,AZ$4,TF_Dato,$A470))*2,0)/2)))</f>
        <v/>
      </c>
      <c r="BA470">
        <f>IF(OR(BA$4="",$A470&gt;TODAY()),0,IF(OR(INDEX($B470:$D470,BA$5)="F",AND(BA$6&gt;0,$A470&lt;BA$6),AND(BA$7&gt;0,$A470&gt;BA$7)),0,MAX(0,ROUND((INDEX($E470:$G470,BA$5)-SUMIFS(TF_Timer,TF_Tekniker,BA$4,TF_Dato,$A470))*2,0)/2)))</f>
        <v/>
      </c>
      <c r="BB470">
        <f>IF(OR(BB$4="",$A470&gt;TODAY()),0,IF(OR(INDEX($B470:$D470,BB$5)="F",AND(BB$6&gt;0,$A470&lt;BB$6),AND(BB$7&gt;0,$A470&gt;BB$7)),0,MAX(0,ROUND((INDEX($E470:$G470,BB$5)-SUMIFS(TF_Timer,TF_Tekniker,BB$4,TF_Dato,$A470))*2,0)/2)))</f>
        <v/>
      </c>
      <c r="BC470">
        <f>IF(OR(BC$4="",$A470&gt;TODAY()),0,IF(OR(INDEX($B470:$D470,BC$5)="F",AND(BC$6&gt;0,$A470&lt;BC$6),AND(BC$7&gt;0,$A470&gt;BC$7)),0,MAX(0,ROUND((INDEX($E470:$G470,BC$5)-SUMIFS(TF_Timer,TF_Tekniker,BC$4,TF_Dato,$A470))*2,0)/2)))</f>
        <v/>
      </c>
      <c r="BD470">
        <f>IF(OR(BD$4="",$A470&gt;TODAY()),0,IF(OR(INDEX($B470:$D470,BD$5)="F",AND(BD$6&gt;0,$A470&lt;BD$6),AND(BD$7&gt;0,$A470&gt;BD$7)),0,MAX(0,ROUND((INDEX($E470:$G470,BD$5)-SUMIFS(TF_Timer,TF_Tekniker,BD$4,TF_Dato,$A470))*2,0)/2)))</f>
        <v/>
      </c>
      <c r="BE470">
        <f>IF(OR(BE$4="",$A470&gt;TODAY()),0,IF(OR(INDEX($B470:$D470,BE$5)="F",AND(BE$6&gt;0,$A470&lt;BE$6),AND(BE$7&gt;0,$A470&gt;BE$7)),0,MAX(0,ROUND((INDEX($E470:$G470,BE$5)-SUMIFS(TF_Timer,TF_Tekniker,BE$4,TF_Dato,$A470))*2,0)/2)))</f>
        <v/>
      </c>
      <c r="BF470">
        <f>IF(OR(BF$4="",$A470&gt;TODAY()),0,IF(OR(INDEX($B470:$D470,BF$5)="F",AND(BF$6&gt;0,$A470&lt;BF$6),AND(BF$7&gt;0,$A470&gt;BF$7)),0,MAX(0,ROUND((INDEX($E470:$G470,BF$5)-SUMIFS(TF_Timer,TF_Tekniker,BF$4,TF_Dato,$A470))*2,0)/2)))</f>
        <v/>
      </c>
      <c r="BG470">
        <f>IF(OR(BG$4="",$A470&gt;TODAY()),0,IF(OR(INDEX($B470:$D470,BG$5)="F",AND(BG$6&gt;0,$A470&lt;BG$6),AND(BG$7&gt;0,$A470&gt;BG$7)),0,MAX(0,ROUND((INDEX($E470:$G470,BG$5)-SUMIFS(TF_Timer,TF_Tekniker,BG$4,TF_Dato,$A470))*2,0)/2)))</f>
        <v/>
      </c>
      <c r="BH470">
        <f>IF(OR(BH$4="",$A470&gt;TODAY()),0,IF(OR(INDEX($B470:$D470,BH$5)="F",AND(BH$6&gt;0,$A470&lt;BH$6),AND(BH$7&gt;0,$A470&gt;BH$7)),0,MAX(0,ROUND((INDEX($E470:$G470,BH$5)-SUMIFS(TF_Timer,TF_Tekniker,BH$4,TF_Dato,$A470))*2,0)/2)))</f>
        <v/>
      </c>
      <c r="BI470">
        <f>IF(OR(BI$4="",$A470&gt;TODAY()),0,IF(OR(INDEX($B470:$D470,BI$5)="F",AND(BI$6&gt;0,$A470&lt;BI$6),AND(BI$7&gt;0,$A470&gt;BI$7)),0,MAX(0,ROUND((INDEX($E470:$G470,BI$5)-SUMIFS(TF_Timer,TF_Tekniker,BI$4,TF_Dato,$A470))*2,0)/2)))</f>
        <v/>
      </c>
    </row>
    <row r="471">
      <c r="A471" s="64">
        <f>A470+1</f>
        <v/>
      </c>
      <c r="B471">
        <f>IF(MOD($A471-INDEX(SkiftStart,1),Syklus)&lt;DagK,"K",IF(MOD($A471-INDEX(SkiftStart,1),Syklus)&lt;DagK+DagH,"H",IF(MOD($A471-INDEX(SkiftStart,1),Syklus)&lt;DagK+DagH+DagD,"D","F")))</f>
        <v/>
      </c>
      <c r="C471">
        <f>IF(MOD($A471-INDEX(SkiftStart,2),Syklus)&lt;DagK,"K",IF(MOD($A471-INDEX(SkiftStart,2),Syklus)&lt;DagK+DagH,"H",IF(MOD($A471-INDEX(SkiftStart,2),Syklus)&lt;DagK+DagH+DagD,"D","F")))</f>
        <v/>
      </c>
      <c r="D471">
        <f>IF(MOD($A471-INDEX(SkiftStart,3),Syklus)&lt;DagK,"K",IF(MOD($A471-INDEX(SkiftStart,3),Syklus)&lt;DagK+DagH,"H",IF(MOD($A471-INDEX(SkiftStart,3),Syklus)&lt;DagK+DagH+DagD,"D","F")))</f>
        <v/>
      </c>
      <c r="E471">
        <f>IF(B471="F",0,IF(WEEKDAY($A471,2)=5,INDEX(TimerFr,MATCH(B471,FaseKode,0)),INDEX(TimerMT,MATCH(B471,FaseKode,0))))</f>
        <v/>
      </c>
      <c r="F471">
        <f>IF(C471="F",0,IF(WEEKDAY($A471,2)=5,INDEX(TimerFr,MATCH(C471,FaseKode,0)),INDEX(TimerMT,MATCH(C471,FaseKode,0))))</f>
        <v/>
      </c>
      <c r="G471">
        <f>IF(D471="F",0,IF(WEEKDAY($A471,2)=5,INDEX(TimerFr,MATCH(D471,FaseKode,0)),INDEX(TimerMT,MATCH(D471,FaseKode,0))))</f>
        <v/>
      </c>
      <c r="H471">
        <f>IF(OR(H$4="",$A471&gt;TODAY()),0,IF(OR(INDEX($B471:$D471,H$5)="F",AND(H$6&gt;0,$A471&lt;H$6),AND(H$7&gt;0,$A471&gt;H$7)),0,MAX(0,ROUND((INDEX($E471:$G471,H$5)-SUMIFS(TF_Timer,TF_Tekniker,H$4,TF_Dato,$A471))*2,0)/2)))</f>
        <v/>
      </c>
      <c r="I471">
        <f>IF(OR(I$4="",$A471&gt;TODAY()),0,IF(OR(INDEX($B471:$D471,I$5)="F",AND(I$6&gt;0,$A471&lt;I$6),AND(I$7&gt;0,$A471&gt;I$7)),0,MAX(0,ROUND((INDEX($E471:$G471,I$5)-SUMIFS(TF_Timer,TF_Tekniker,I$4,TF_Dato,$A471))*2,0)/2)))</f>
        <v/>
      </c>
      <c r="J471">
        <f>IF(OR(J$4="",$A471&gt;TODAY()),0,IF(OR(INDEX($B471:$D471,J$5)="F",AND(J$6&gt;0,$A471&lt;J$6),AND(J$7&gt;0,$A471&gt;J$7)),0,MAX(0,ROUND((INDEX($E471:$G471,J$5)-SUMIFS(TF_Timer,TF_Tekniker,J$4,TF_Dato,$A471))*2,0)/2)))</f>
        <v/>
      </c>
      <c r="K471">
        <f>IF(OR(K$4="",$A471&gt;TODAY()),0,IF(OR(INDEX($B471:$D471,K$5)="F",AND(K$6&gt;0,$A471&lt;K$6),AND(K$7&gt;0,$A471&gt;K$7)),0,MAX(0,ROUND((INDEX($E471:$G471,K$5)-SUMIFS(TF_Timer,TF_Tekniker,K$4,TF_Dato,$A471))*2,0)/2)))</f>
        <v/>
      </c>
      <c r="L471">
        <f>IF(OR(L$4="",$A471&gt;TODAY()),0,IF(OR(INDEX($B471:$D471,L$5)="F",AND(L$6&gt;0,$A471&lt;L$6),AND(L$7&gt;0,$A471&gt;L$7)),0,MAX(0,ROUND((INDEX($E471:$G471,L$5)-SUMIFS(TF_Timer,TF_Tekniker,L$4,TF_Dato,$A471))*2,0)/2)))</f>
        <v/>
      </c>
      <c r="M471">
        <f>IF(OR(M$4="",$A471&gt;TODAY()),0,IF(OR(INDEX($B471:$D471,M$5)="F",AND(M$6&gt;0,$A471&lt;M$6),AND(M$7&gt;0,$A471&gt;M$7)),0,MAX(0,ROUND((INDEX($E471:$G471,M$5)-SUMIFS(TF_Timer,TF_Tekniker,M$4,TF_Dato,$A471))*2,0)/2)))</f>
        <v/>
      </c>
      <c r="N471">
        <f>IF(OR(N$4="",$A471&gt;TODAY()),0,IF(OR(INDEX($B471:$D471,N$5)="F",AND(N$6&gt;0,$A471&lt;N$6),AND(N$7&gt;0,$A471&gt;N$7)),0,MAX(0,ROUND((INDEX($E471:$G471,N$5)-SUMIFS(TF_Timer,TF_Tekniker,N$4,TF_Dato,$A471))*2,0)/2)))</f>
        <v/>
      </c>
      <c r="O471">
        <f>IF(OR(O$4="",$A471&gt;TODAY()),0,IF(OR(INDEX($B471:$D471,O$5)="F",AND(O$6&gt;0,$A471&lt;O$6),AND(O$7&gt;0,$A471&gt;O$7)),0,MAX(0,ROUND((INDEX($E471:$G471,O$5)-SUMIFS(TF_Timer,TF_Tekniker,O$4,TF_Dato,$A471))*2,0)/2)))</f>
        <v/>
      </c>
      <c r="P471">
        <f>IF(OR(P$4="",$A471&gt;TODAY()),0,IF(OR(INDEX($B471:$D471,P$5)="F",AND(P$6&gt;0,$A471&lt;P$6),AND(P$7&gt;0,$A471&gt;P$7)),0,MAX(0,ROUND((INDEX($E471:$G471,P$5)-SUMIFS(TF_Timer,TF_Tekniker,P$4,TF_Dato,$A471))*2,0)/2)))</f>
        <v/>
      </c>
      <c r="Q471">
        <f>IF(OR(Q$4="",$A471&gt;TODAY()),0,IF(OR(INDEX($B471:$D471,Q$5)="F",AND(Q$6&gt;0,$A471&lt;Q$6),AND(Q$7&gt;0,$A471&gt;Q$7)),0,MAX(0,ROUND((INDEX($E471:$G471,Q$5)-SUMIFS(TF_Timer,TF_Tekniker,Q$4,TF_Dato,$A471))*2,0)/2)))</f>
        <v/>
      </c>
      <c r="R471">
        <f>IF(OR(R$4="",$A471&gt;TODAY()),0,IF(OR(INDEX($B471:$D471,R$5)="F",AND(R$6&gt;0,$A471&lt;R$6),AND(R$7&gt;0,$A471&gt;R$7)),0,MAX(0,ROUND((INDEX($E471:$G471,R$5)-SUMIFS(TF_Timer,TF_Tekniker,R$4,TF_Dato,$A471))*2,0)/2)))</f>
        <v/>
      </c>
      <c r="S471">
        <f>IF(OR(S$4="",$A471&gt;TODAY()),0,IF(OR(INDEX($B471:$D471,S$5)="F",AND(S$6&gt;0,$A471&lt;S$6),AND(S$7&gt;0,$A471&gt;S$7)),0,MAX(0,ROUND((INDEX($E471:$G471,S$5)-SUMIFS(TF_Timer,TF_Tekniker,S$4,TF_Dato,$A471))*2,0)/2)))</f>
        <v/>
      </c>
      <c r="T471">
        <f>IF(OR(T$4="",$A471&gt;TODAY()),0,IF(OR(INDEX($B471:$D471,T$5)="F",AND(T$6&gt;0,$A471&lt;T$6),AND(T$7&gt;0,$A471&gt;T$7)),0,MAX(0,ROUND((INDEX($E471:$G471,T$5)-SUMIFS(TF_Timer,TF_Tekniker,T$4,TF_Dato,$A471))*2,0)/2)))</f>
        <v/>
      </c>
      <c r="U471">
        <f>IF(OR(U$4="",$A471&gt;TODAY()),0,IF(OR(INDEX($B471:$D471,U$5)="F",AND(U$6&gt;0,$A471&lt;U$6),AND(U$7&gt;0,$A471&gt;U$7)),0,MAX(0,ROUND((INDEX($E471:$G471,U$5)-SUMIFS(TF_Timer,TF_Tekniker,U$4,TF_Dato,$A471))*2,0)/2)))</f>
        <v/>
      </c>
      <c r="V471">
        <f>IF(OR(V$4="",$A471&gt;TODAY()),0,IF(OR(INDEX($B471:$D471,V$5)="F",AND(V$6&gt;0,$A471&lt;V$6),AND(V$7&gt;0,$A471&gt;V$7)),0,MAX(0,ROUND((INDEX($E471:$G471,V$5)-SUMIFS(TF_Timer,TF_Tekniker,V$4,TF_Dato,$A471))*2,0)/2)))</f>
        <v/>
      </c>
      <c r="W471">
        <f>IF(OR(W$4="",$A471&gt;TODAY()),0,IF(OR(INDEX($B471:$D471,W$5)="F",AND(W$6&gt;0,$A471&lt;W$6),AND(W$7&gt;0,$A471&gt;W$7)),0,MAX(0,ROUND((INDEX($E471:$G471,W$5)-SUMIFS(TF_Timer,TF_Tekniker,W$4,TF_Dato,$A471))*2,0)/2)))</f>
        <v/>
      </c>
      <c r="X471">
        <f>IF(OR(X$4="",$A471&gt;TODAY()),0,IF(OR(INDEX($B471:$D471,X$5)="F",AND(X$6&gt;0,$A471&lt;X$6),AND(X$7&gt;0,$A471&gt;X$7)),0,MAX(0,ROUND((INDEX($E471:$G471,X$5)-SUMIFS(TF_Timer,TF_Tekniker,X$4,TF_Dato,$A471))*2,0)/2)))</f>
        <v/>
      </c>
      <c r="Y471">
        <f>IF(OR(Y$4="",$A471&gt;TODAY()),0,IF(OR(INDEX($B471:$D471,Y$5)="F",AND(Y$6&gt;0,$A471&lt;Y$6),AND(Y$7&gt;0,$A471&gt;Y$7)),0,MAX(0,ROUND((INDEX($E471:$G471,Y$5)-SUMIFS(TF_Timer,TF_Tekniker,Y$4,TF_Dato,$A471))*2,0)/2)))</f>
        <v/>
      </c>
      <c r="Z471">
        <f>IF(OR(Z$4="",$A471&gt;TODAY()),0,IF(OR(INDEX($B471:$D471,Z$5)="F",AND(Z$6&gt;0,$A471&lt;Z$6),AND(Z$7&gt;0,$A471&gt;Z$7)),0,MAX(0,ROUND((INDEX($E471:$G471,Z$5)-SUMIFS(TF_Timer,TF_Tekniker,Z$4,TF_Dato,$A471))*2,0)/2)))</f>
        <v/>
      </c>
      <c r="AA471">
        <f>IF(OR(AA$4="",$A471&gt;TODAY()),0,IF(OR(INDEX($B471:$D471,AA$5)="F",AND(AA$6&gt;0,$A471&lt;AA$6),AND(AA$7&gt;0,$A471&gt;AA$7)),0,MAX(0,ROUND((INDEX($E471:$G471,AA$5)-SUMIFS(TF_Timer,TF_Tekniker,AA$4,TF_Dato,$A471))*2,0)/2)))</f>
        <v/>
      </c>
      <c r="AB471">
        <f>IF(OR(AB$4="",$A471&gt;TODAY()),0,IF(OR(INDEX($B471:$D471,AB$5)="F",AND(AB$6&gt;0,$A471&lt;AB$6),AND(AB$7&gt;0,$A471&gt;AB$7)),0,MAX(0,ROUND((INDEX($E471:$G471,AB$5)-SUMIFS(TF_Timer,TF_Tekniker,AB$4,TF_Dato,$A471))*2,0)/2)))</f>
        <v/>
      </c>
      <c r="AC471">
        <f>IF(OR(AC$4="",$A471&gt;TODAY()),0,IF(OR(INDEX($B471:$D471,AC$5)="F",AND(AC$6&gt;0,$A471&lt;AC$6),AND(AC$7&gt;0,$A471&gt;AC$7)),0,MAX(0,ROUND((INDEX($E471:$G471,AC$5)-SUMIFS(TF_Timer,TF_Tekniker,AC$4,TF_Dato,$A471))*2,0)/2)))</f>
        <v/>
      </c>
      <c r="AD471">
        <f>IF(OR(AD$4="",$A471&gt;TODAY()),0,IF(OR(INDEX($B471:$D471,AD$5)="F",AND(AD$6&gt;0,$A471&lt;AD$6),AND(AD$7&gt;0,$A471&gt;AD$7)),0,MAX(0,ROUND((INDEX($E471:$G471,AD$5)-SUMIFS(TF_Timer,TF_Tekniker,AD$4,TF_Dato,$A471))*2,0)/2)))</f>
        <v/>
      </c>
      <c r="AE471">
        <f>IF(OR(AE$4="",$A471&gt;TODAY()),0,IF(OR(INDEX($B471:$D471,AE$5)="F",AND(AE$6&gt;0,$A471&lt;AE$6),AND(AE$7&gt;0,$A471&gt;AE$7)),0,MAX(0,ROUND((INDEX($E471:$G471,AE$5)-SUMIFS(TF_Timer,TF_Tekniker,AE$4,TF_Dato,$A471))*2,0)/2)))</f>
        <v/>
      </c>
      <c r="AF471">
        <f>IF(OR(AF$4="",$A471&gt;TODAY()),0,IF(OR(INDEX($B471:$D471,AF$5)="F",AND(AF$6&gt;0,$A471&lt;AF$6),AND(AF$7&gt;0,$A471&gt;AF$7)),0,MAX(0,ROUND((INDEX($E471:$G471,AF$5)-SUMIFS(TF_Timer,TF_Tekniker,AF$4,TF_Dato,$A471))*2,0)/2)))</f>
        <v/>
      </c>
      <c r="AG471">
        <f>IF(OR(AG$4="",$A471&gt;TODAY()),0,IF(OR(INDEX($B471:$D471,AG$5)="F",AND(AG$6&gt;0,$A471&lt;AG$6),AND(AG$7&gt;0,$A471&gt;AG$7)),0,MAX(0,ROUND((INDEX($E471:$G471,AG$5)-SUMIFS(TF_Timer,TF_Tekniker,AG$4,TF_Dato,$A471))*2,0)/2)))</f>
        <v/>
      </c>
      <c r="AH471">
        <f>IF(OR(AH$4="",$A471&gt;TODAY()),0,IF(OR(INDEX($B471:$D471,AH$5)="F",AND(AH$6&gt;0,$A471&lt;AH$6),AND(AH$7&gt;0,$A471&gt;AH$7)),0,MAX(0,ROUND((INDEX($E471:$G471,AH$5)-SUMIFS(TF_Timer,TF_Tekniker,AH$4,TF_Dato,$A471))*2,0)/2)))</f>
        <v/>
      </c>
      <c r="AI471">
        <f>IF(OR(AI$4="",$A471&gt;TODAY()),0,IF(OR(INDEX($B471:$D471,AI$5)="F",AND(AI$6&gt;0,$A471&lt;AI$6),AND(AI$7&gt;0,$A471&gt;AI$7)),0,MAX(0,ROUND((INDEX($E471:$G471,AI$5)-SUMIFS(TF_Timer,TF_Tekniker,AI$4,TF_Dato,$A471))*2,0)/2)))</f>
        <v/>
      </c>
      <c r="AJ471">
        <f>IF(OR(AJ$4="",$A471&gt;TODAY()),0,IF(OR(INDEX($B471:$D471,AJ$5)="F",AND(AJ$6&gt;0,$A471&lt;AJ$6),AND(AJ$7&gt;0,$A471&gt;AJ$7)),0,MAX(0,ROUND((INDEX($E471:$G471,AJ$5)-SUMIFS(TF_Timer,TF_Tekniker,AJ$4,TF_Dato,$A471))*2,0)/2)))</f>
        <v/>
      </c>
      <c r="AK471">
        <f>IF(OR(AK$4="",$A471&gt;TODAY()),0,IF(OR(INDEX($B471:$D471,AK$5)="F",AND(AK$6&gt;0,$A471&lt;AK$6),AND(AK$7&gt;0,$A471&gt;AK$7)),0,MAX(0,ROUND((INDEX($E471:$G471,AK$5)-SUMIFS(TF_Timer,TF_Tekniker,AK$4,TF_Dato,$A471))*2,0)/2)))</f>
        <v/>
      </c>
      <c r="AL471">
        <f>IF(OR(AL$4="",$A471&gt;TODAY()),0,IF(OR(INDEX($B471:$D471,AL$5)="F",AND(AL$6&gt;0,$A471&lt;AL$6),AND(AL$7&gt;0,$A471&gt;AL$7)),0,MAX(0,ROUND((INDEX($E471:$G471,AL$5)-SUMIFS(TF_Timer,TF_Tekniker,AL$4,TF_Dato,$A471))*2,0)/2)))</f>
        <v/>
      </c>
      <c r="AM471">
        <f>IF(OR(AM$4="",$A471&gt;TODAY()),0,IF(OR(INDEX($B471:$D471,AM$5)="F",AND(AM$6&gt;0,$A471&lt;AM$6),AND(AM$7&gt;0,$A471&gt;AM$7)),0,MAX(0,ROUND((INDEX($E471:$G471,AM$5)-SUMIFS(TF_Timer,TF_Tekniker,AM$4,TF_Dato,$A471))*2,0)/2)))</f>
        <v/>
      </c>
      <c r="AN471">
        <f>IF(OR(AN$4="",$A471&gt;TODAY()),0,IF(OR(INDEX($B471:$D471,AN$5)="F",AND(AN$6&gt;0,$A471&lt;AN$6),AND(AN$7&gt;0,$A471&gt;AN$7)),0,MAX(0,ROUND((INDEX($E471:$G471,AN$5)-SUMIFS(TF_Timer,TF_Tekniker,AN$4,TF_Dato,$A471))*2,0)/2)))</f>
        <v/>
      </c>
      <c r="AO471">
        <f>IF(OR(AO$4="",$A471&gt;TODAY()),0,IF(OR(INDEX($B471:$D471,AO$5)="F",AND(AO$6&gt;0,$A471&lt;AO$6),AND(AO$7&gt;0,$A471&gt;AO$7)),0,MAX(0,ROUND((INDEX($E471:$G471,AO$5)-SUMIFS(TF_Timer,TF_Tekniker,AO$4,TF_Dato,$A471))*2,0)/2)))</f>
        <v/>
      </c>
      <c r="AP471">
        <f>IF(OR(AP$4="",$A471&gt;TODAY()),0,IF(OR(INDEX($B471:$D471,AP$5)="F",AND(AP$6&gt;0,$A471&lt;AP$6),AND(AP$7&gt;0,$A471&gt;AP$7)),0,MAX(0,ROUND((INDEX($E471:$G471,AP$5)-SUMIFS(TF_Timer,TF_Tekniker,AP$4,TF_Dato,$A471))*2,0)/2)))</f>
        <v/>
      </c>
      <c r="AQ471">
        <f>IF(OR(AQ$4="",$A471&gt;TODAY()),0,IF(OR(INDEX($B471:$D471,AQ$5)="F",AND(AQ$6&gt;0,$A471&lt;AQ$6),AND(AQ$7&gt;0,$A471&gt;AQ$7)),0,MAX(0,ROUND((INDEX($E471:$G471,AQ$5)-SUMIFS(TF_Timer,TF_Tekniker,AQ$4,TF_Dato,$A471))*2,0)/2)))</f>
        <v/>
      </c>
      <c r="AR471">
        <f>IF(OR(AR$4="",$A471&gt;TODAY()),0,IF(OR(INDEX($B471:$D471,AR$5)="F",AND(AR$6&gt;0,$A471&lt;AR$6),AND(AR$7&gt;0,$A471&gt;AR$7)),0,MAX(0,ROUND((INDEX($E471:$G471,AR$5)-SUMIFS(TF_Timer,TF_Tekniker,AR$4,TF_Dato,$A471))*2,0)/2)))</f>
        <v/>
      </c>
      <c r="AS471">
        <f>IF(OR(AS$4="",$A471&gt;TODAY()),0,IF(OR(INDEX($B471:$D471,AS$5)="F",AND(AS$6&gt;0,$A471&lt;AS$6),AND(AS$7&gt;0,$A471&gt;AS$7)),0,MAX(0,ROUND((INDEX($E471:$G471,AS$5)-SUMIFS(TF_Timer,TF_Tekniker,AS$4,TF_Dato,$A471))*2,0)/2)))</f>
        <v/>
      </c>
      <c r="AT471">
        <f>IF(OR(AT$4="",$A471&gt;TODAY()),0,IF(OR(INDEX($B471:$D471,AT$5)="F",AND(AT$6&gt;0,$A471&lt;AT$6),AND(AT$7&gt;0,$A471&gt;AT$7)),0,MAX(0,ROUND((INDEX($E471:$G471,AT$5)-SUMIFS(TF_Timer,TF_Tekniker,AT$4,TF_Dato,$A471))*2,0)/2)))</f>
        <v/>
      </c>
      <c r="AU471">
        <f>IF(OR(AU$4="",$A471&gt;TODAY()),0,IF(OR(INDEX($B471:$D471,AU$5)="F",AND(AU$6&gt;0,$A471&lt;AU$6),AND(AU$7&gt;0,$A471&gt;AU$7)),0,MAX(0,ROUND((INDEX($E471:$G471,AU$5)-SUMIFS(TF_Timer,TF_Tekniker,AU$4,TF_Dato,$A471))*2,0)/2)))</f>
        <v/>
      </c>
      <c r="AV471">
        <f>IF(OR(AV$4="",$A471&gt;TODAY()),0,IF(OR(INDEX($B471:$D471,AV$5)="F",AND(AV$6&gt;0,$A471&lt;AV$6),AND(AV$7&gt;0,$A471&gt;AV$7)),0,MAX(0,ROUND((INDEX($E471:$G471,AV$5)-SUMIFS(TF_Timer,TF_Tekniker,AV$4,TF_Dato,$A471))*2,0)/2)))</f>
        <v/>
      </c>
      <c r="AW471">
        <f>IF(OR(AW$4="",$A471&gt;TODAY()),0,IF(OR(INDEX($B471:$D471,AW$5)="F",AND(AW$6&gt;0,$A471&lt;AW$6),AND(AW$7&gt;0,$A471&gt;AW$7)),0,MAX(0,ROUND((INDEX($E471:$G471,AW$5)-SUMIFS(TF_Timer,TF_Tekniker,AW$4,TF_Dato,$A471))*2,0)/2)))</f>
        <v/>
      </c>
      <c r="AX471">
        <f>IF(OR(AX$4="",$A471&gt;TODAY()),0,IF(OR(INDEX($B471:$D471,AX$5)="F",AND(AX$6&gt;0,$A471&lt;AX$6),AND(AX$7&gt;0,$A471&gt;AX$7)),0,MAX(0,ROUND((INDEX($E471:$G471,AX$5)-SUMIFS(TF_Timer,TF_Tekniker,AX$4,TF_Dato,$A471))*2,0)/2)))</f>
        <v/>
      </c>
      <c r="AY471">
        <f>IF(OR(AY$4="",$A471&gt;TODAY()),0,IF(OR(INDEX($B471:$D471,AY$5)="F",AND(AY$6&gt;0,$A471&lt;AY$6),AND(AY$7&gt;0,$A471&gt;AY$7)),0,MAX(0,ROUND((INDEX($E471:$G471,AY$5)-SUMIFS(TF_Timer,TF_Tekniker,AY$4,TF_Dato,$A471))*2,0)/2)))</f>
        <v/>
      </c>
      <c r="AZ471">
        <f>IF(OR(AZ$4="",$A471&gt;TODAY()),0,IF(OR(INDEX($B471:$D471,AZ$5)="F",AND(AZ$6&gt;0,$A471&lt;AZ$6),AND(AZ$7&gt;0,$A471&gt;AZ$7)),0,MAX(0,ROUND((INDEX($E471:$G471,AZ$5)-SUMIFS(TF_Timer,TF_Tekniker,AZ$4,TF_Dato,$A471))*2,0)/2)))</f>
        <v/>
      </c>
      <c r="BA471">
        <f>IF(OR(BA$4="",$A471&gt;TODAY()),0,IF(OR(INDEX($B471:$D471,BA$5)="F",AND(BA$6&gt;0,$A471&lt;BA$6),AND(BA$7&gt;0,$A471&gt;BA$7)),0,MAX(0,ROUND((INDEX($E471:$G471,BA$5)-SUMIFS(TF_Timer,TF_Tekniker,BA$4,TF_Dato,$A471))*2,0)/2)))</f>
        <v/>
      </c>
      <c r="BB471">
        <f>IF(OR(BB$4="",$A471&gt;TODAY()),0,IF(OR(INDEX($B471:$D471,BB$5)="F",AND(BB$6&gt;0,$A471&lt;BB$6),AND(BB$7&gt;0,$A471&gt;BB$7)),0,MAX(0,ROUND((INDEX($E471:$G471,BB$5)-SUMIFS(TF_Timer,TF_Tekniker,BB$4,TF_Dato,$A471))*2,0)/2)))</f>
        <v/>
      </c>
      <c r="BC471">
        <f>IF(OR(BC$4="",$A471&gt;TODAY()),0,IF(OR(INDEX($B471:$D471,BC$5)="F",AND(BC$6&gt;0,$A471&lt;BC$6),AND(BC$7&gt;0,$A471&gt;BC$7)),0,MAX(0,ROUND((INDEX($E471:$G471,BC$5)-SUMIFS(TF_Timer,TF_Tekniker,BC$4,TF_Dato,$A471))*2,0)/2)))</f>
        <v/>
      </c>
      <c r="BD471">
        <f>IF(OR(BD$4="",$A471&gt;TODAY()),0,IF(OR(INDEX($B471:$D471,BD$5)="F",AND(BD$6&gt;0,$A471&lt;BD$6),AND(BD$7&gt;0,$A471&gt;BD$7)),0,MAX(0,ROUND((INDEX($E471:$G471,BD$5)-SUMIFS(TF_Timer,TF_Tekniker,BD$4,TF_Dato,$A471))*2,0)/2)))</f>
        <v/>
      </c>
      <c r="BE471">
        <f>IF(OR(BE$4="",$A471&gt;TODAY()),0,IF(OR(INDEX($B471:$D471,BE$5)="F",AND(BE$6&gt;0,$A471&lt;BE$6),AND(BE$7&gt;0,$A471&gt;BE$7)),0,MAX(0,ROUND((INDEX($E471:$G471,BE$5)-SUMIFS(TF_Timer,TF_Tekniker,BE$4,TF_Dato,$A471))*2,0)/2)))</f>
        <v/>
      </c>
      <c r="BF471">
        <f>IF(OR(BF$4="",$A471&gt;TODAY()),0,IF(OR(INDEX($B471:$D471,BF$5)="F",AND(BF$6&gt;0,$A471&lt;BF$6),AND(BF$7&gt;0,$A471&gt;BF$7)),0,MAX(0,ROUND((INDEX($E471:$G471,BF$5)-SUMIFS(TF_Timer,TF_Tekniker,BF$4,TF_Dato,$A471))*2,0)/2)))</f>
        <v/>
      </c>
      <c r="BG471">
        <f>IF(OR(BG$4="",$A471&gt;TODAY()),0,IF(OR(INDEX($B471:$D471,BG$5)="F",AND(BG$6&gt;0,$A471&lt;BG$6),AND(BG$7&gt;0,$A471&gt;BG$7)),0,MAX(0,ROUND((INDEX($E471:$G471,BG$5)-SUMIFS(TF_Timer,TF_Tekniker,BG$4,TF_Dato,$A471))*2,0)/2)))</f>
        <v/>
      </c>
      <c r="BH471">
        <f>IF(OR(BH$4="",$A471&gt;TODAY()),0,IF(OR(INDEX($B471:$D471,BH$5)="F",AND(BH$6&gt;0,$A471&lt;BH$6),AND(BH$7&gt;0,$A471&gt;BH$7)),0,MAX(0,ROUND((INDEX($E471:$G471,BH$5)-SUMIFS(TF_Timer,TF_Tekniker,BH$4,TF_Dato,$A471))*2,0)/2)))</f>
        <v/>
      </c>
      <c r="BI471">
        <f>IF(OR(BI$4="",$A471&gt;TODAY()),0,IF(OR(INDEX($B471:$D471,BI$5)="F",AND(BI$6&gt;0,$A471&lt;BI$6),AND(BI$7&gt;0,$A471&gt;BI$7)),0,MAX(0,ROUND((INDEX($E471:$G471,BI$5)-SUMIFS(TF_Timer,TF_Tekniker,BI$4,TF_Dato,$A471))*2,0)/2)))</f>
        <v/>
      </c>
    </row>
    <row r="472">
      <c r="A472" s="64">
        <f>A471+1</f>
        <v/>
      </c>
      <c r="B472">
        <f>IF(MOD($A472-INDEX(SkiftStart,1),Syklus)&lt;DagK,"K",IF(MOD($A472-INDEX(SkiftStart,1),Syklus)&lt;DagK+DagH,"H",IF(MOD($A472-INDEX(SkiftStart,1),Syklus)&lt;DagK+DagH+DagD,"D","F")))</f>
        <v/>
      </c>
      <c r="C472">
        <f>IF(MOD($A472-INDEX(SkiftStart,2),Syklus)&lt;DagK,"K",IF(MOD($A472-INDEX(SkiftStart,2),Syklus)&lt;DagK+DagH,"H",IF(MOD($A472-INDEX(SkiftStart,2),Syklus)&lt;DagK+DagH+DagD,"D","F")))</f>
        <v/>
      </c>
      <c r="D472">
        <f>IF(MOD($A472-INDEX(SkiftStart,3),Syklus)&lt;DagK,"K",IF(MOD($A472-INDEX(SkiftStart,3),Syklus)&lt;DagK+DagH,"H",IF(MOD($A472-INDEX(SkiftStart,3),Syklus)&lt;DagK+DagH+DagD,"D","F")))</f>
        <v/>
      </c>
      <c r="E472">
        <f>IF(B472="F",0,IF(WEEKDAY($A472,2)=5,INDEX(TimerFr,MATCH(B472,FaseKode,0)),INDEX(TimerMT,MATCH(B472,FaseKode,0))))</f>
        <v/>
      </c>
      <c r="F472">
        <f>IF(C472="F",0,IF(WEEKDAY($A472,2)=5,INDEX(TimerFr,MATCH(C472,FaseKode,0)),INDEX(TimerMT,MATCH(C472,FaseKode,0))))</f>
        <v/>
      </c>
      <c r="G472">
        <f>IF(D472="F",0,IF(WEEKDAY($A472,2)=5,INDEX(TimerFr,MATCH(D472,FaseKode,0)),INDEX(TimerMT,MATCH(D472,FaseKode,0))))</f>
        <v/>
      </c>
      <c r="H472">
        <f>IF(OR(H$4="",$A472&gt;TODAY()),0,IF(OR(INDEX($B472:$D472,H$5)="F",AND(H$6&gt;0,$A472&lt;H$6),AND(H$7&gt;0,$A472&gt;H$7)),0,MAX(0,ROUND((INDEX($E472:$G472,H$5)-SUMIFS(TF_Timer,TF_Tekniker,H$4,TF_Dato,$A472))*2,0)/2)))</f>
        <v/>
      </c>
      <c r="I472">
        <f>IF(OR(I$4="",$A472&gt;TODAY()),0,IF(OR(INDEX($B472:$D472,I$5)="F",AND(I$6&gt;0,$A472&lt;I$6),AND(I$7&gt;0,$A472&gt;I$7)),0,MAX(0,ROUND((INDEX($E472:$G472,I$5)-SUMIFS(TF_Timer,TF_Tekniker,I$4,TF_Dato,$A472))*2,0)/2)))</f>
        <v/>
      </c>
      <c r="J472">
        <f>IF(OR(J$4="",$A472&gt;TODAY()),0,IF(OR(INDEX($B472:$D472,J$5)="F",AND(J$6&gt;0,$A472&lt;J$6),AND(J$7&gt;0,$A472&gt;J$7)),0,MAX(0,ROUND((INDEX($E472:$G472,J$5)-SUMIFS(TF_Timer,TF_Tekniker,J$4,TF_Dato,$A472))*2,0)/2)))</f>
        <v/>
      </c>
      <c r="K472">
        <f>IF(OR(K$4="",$A472&gt;TODAY()),0,IF(OR(INDEX($B472:$D472,K$5)="F",AND(K$6&gt;0,$A472&lt;K$6),AND(K$7&gt;0,$A472&gt;K$7)),0,MAX(0,ROUND((INDEX($E472:$G472,K$5)-SUMIFS(TF_Timer,TF_Tekniker,K$4,TF_Dato,$A472))*2,0)/2)))</f>
        <v/>
      </c>
      <c r="L472">
        <f>IF(OR(L$4="",$A472&gt;TODAY()),0,IF(OR(INDEX($B472:$D472,L$5)="F",AND(L$6&gt;0,$A472&lt;L$6),AND(L$7&gt;0,$A472&gt;L$7)),0,MAX(0,ROUND((INDEX($E472:$G472,L$5)-SUMIFS(TF_Timer,TF_Tekniker,L$4,TF_Dato,$A472))*2,0)/2)))</f>
        <v/>
      </c>
      <c r="M472">
        <f>IF(OR(M$4="",$A472&gt;TODAY()),0,IF(OR(INDEX($B472:$D472,M$5)="F",AND(M$6&gt;0,$A472&lt;M$6),AND(M$7&gt;0,$A472&gt;M$7)),0,MAX(0,ROUND((INDEX($E472:$G472,M$5)-SUMIFS(TF_Timer,TF_Tekniker,M$4,TF_Dato,$A472))*2,0)/2)))</f>
        <v/>
      </c>
      <c r="N472">
        <f>IF(OR(N$4="",$A472&gt;TODAY()),0,IF(OR(INDEX($B472:$D472,N$5)="F",AND(N$6&gt;0,$A472&lt;N$6),AND(N$7&gt;0,$A472&gt;N$7)),0,MAX(0,ROUND((INDEX($E472:$G472,N$5)-SUMIFS(TF_Timer,TF_Tekniker,N$4,TF_Dato,$A472))*2,0)/2)))</f>
        <v/>
      </c>
      <c r="O472">
        <f>IF(OR(O$4="",$A472&gt;TODAY()),0,IF(OR(INDEX($B472:$D472,O$5)="F",AND(O$6&gt;0,$A472&lt;O$6),AND(O$7&gt;0,$A472&gt;O$7)),0,MAX(0,ROUND((INDEX($E472:$G472,O$5)-SUMIFS(TF_Timer,TF_Tekniker,O$4,TF_Dato,$A472))*2,0)/2)))</f>
        <v/>
      </c>
      <c r="P472">
        <f>IF(OR(P$4="",$A472&gt;TODAY()),0,IF(OR(INDEX($B472:$D472,P$5)="F",AND(P$6&gt;0,$A472&lt;P$6),AND(P$7&gt;0,$A472&gt;P$7)),0,MAX(0,ROUND((INDEX($E472:$G472,P$5)-SUMIFS(TF_Timer,TF_Tekniker,P$4,TF_Dato,$A472))*2,0)/2)))</f>
        <v/>
      </c>
      <c r="Q472">
        <f>IF(OR(Q$4="",$A472&gt;TODAY()),0,IF(OR(INDEX($B472:$D472,Q$5)="F",AND(Q$6&gt;0,$A472&lt;Q$6),AND(Q$7&gt;0,$A472&gt;Q$7)),0,MAX(0,ROUND((INDEX($E472:$G472,Q$5)-SUMIFS(TF_Timer,TF_Tekniker,Q$4,TF_Dato,$A472))*2,0)/2)))</f>
        <v/>
      </c>
      <c r="R472">
        <f>IF(OR(R$4="",$A472&gt;TODAY()),0,IF(OR(INDEX($B472:$D472,R$5)="F",AND(R$6&gt;0,$A472&lt;R$6),AND(R$7&gt;0,$A472&gt;R$7)),0,MAX(0,ROUND((INDEX($E472:$G472,R$5)-SUMIFS(TF_Timer,TF_Tekniker,R$4,TF_Dato,$A472))*2,0)/2)))</f>
        <v/>
      </c>
      <c r="S472">
        <f>IF(OR(S$4="",$A472&gt;TODAY()),0,IF(OR(INDEX($B472:$D472,S$5)="F",AND(S$6&gt;0,$A472&lt;S$6),AND(S$7&gt;0,$A472&gt;S$7)),0,MAX(0,ROUND((INDEX($E472:$G472,S$5)-SUMIFS(TF_Timer,TF_Tekniker,S$4,TF_Dato,$A472))*2,0)/2)))</f>
        <v/>
      </c>
      <c r="T472">
        <f>IF(OR(T$4="",$A472&gt;TODAY()),0,IF(OR(INDEX($B472:$D472,T$5)="F",AND(T$6&gt;0,$A472&lt;T$6),AND(T$7&gt;0,$A472&gt;T$7)),0,MAX(0,ROUND((INDEX($E472:$G472,T$5)-SUMIFS(TF_Timer,TF_Tekniker,T$4,TF_Dato,$A472))*2,0)/2)))</f>
        <v/>
      </c>
      <c r="U472">
        <f>IF(OR(U$4="",$A472&gt;TODAY()),0,IF(OR(INDEX($B472:$D472,U$5)="F",AND(U$6&gt;0,$A472&lt;U$6),AND(U$7&gt;0,$A472&gt;U$7)),0,MAX(0,ROUND((INDEX($E472:$G472,U$5)-SUMIFS(TF_Timer,TF_Tekniker,U$4,TF_Dato,$A472))*2,0)/2)))</f>
        <v/>
      </c>
      <c r="V472">
        <f>IF(OR(V$4="",$A472&gt;TODAY()),0,IF(OR(INDEX($B472:$D472,V$5)="F",AND(V$6&gt;0,$A472&lt;V$6),AND(V$7&gt;0,$A472&gt;V$7)),0,MAX(0,ROUND((INDEX($E472:$G472,V$5)-SUMIFS(TF_Timer,TF_Tekniker,V$4,TF_Dato,$A472))*2,0)/2)))</f>
        <v/>
      </c>
      <c r="W472">
        <f>IF(OR(W$4="",$A472&gt;TODAY()),0,IF(OR(INDEX($B472:$D472,W$5)="F",AND(W$6&gt;0,$A472&lt;W$6),AND(W$7&gt;0,$A472&gt;W$7)),0,MAX(0,ROUND((INDEX($E472:$G472,W$5)-SUMIFS(TF_Timer,TF_Tekniker,W$4,TF_Dato,$A472))*2,0)/2)))</f>
        <v/>
      </c>
      <c r="X472">
        <f>IF(OR(X$4="",$A472&gt;TODAY()),0,IF(OR(INDEX($B472:$D472,X$5)="F",AND(X$6&gt;0,$A472&lt;X$6),AND(X$7&gt;0,$A472&gt;X$7)),0,MAX(0,ROUND((INDEX($E472:$G472,X$5)-SUMIFS(TF_Timer,TF_Tekniker,X$4,TF_Dato,$A472))*2,0)/2)))</f>
        <v/>
      </c>
      <c r="Y472">
        <f>IF(OR(Y$4="",$A472&gt;TODAY()),0,IF(OR(INDEX($B472:$D472,Y$5)="F",AND(Y$6&gt;0,$A472&lt;Y$6),AND(Y$7&gt;0,$A472&gt;Y$7)),0,MAX(0,ROUND((INDEX($E472:$G472,Y$5)-SUMIFS(TF_Timer,TF_Tekniker,Y$4,TF_Dato,$A472))*2,0)/2)))</f>
        <v/>
      </c>
      <c r="Z472">
        <f>IF(OR(Z$4="",$A472&gt;TODAY()),0,IF(OR(INDEX($B472:$D472,Z$5)="F",AND(Z$6&gt;0,$A472&lt;Z$6),AND(Z$7&gt;0,$A472&gt;Z$7)),0,MAX(0,ROUND((INDEX($E472:$G472,Z$5)-SUMIFS(TF_Timer,TF_Tekniker,Z$4,TF_Dato,$A472))*2,0)/2)))</f>
        <v/>
      </c>
      <c r="AA472">
        <f>IF(OR(AA$4="",$A472&gt;TODAY()),0,IF(OR(INDEX($B472:$D472,AA$5)="F",AND(AA$6&gt;0,$A472&lt;AA$6),AND(AA$7&gt;0,$A472&gt;AA$7)),0,MAX(0,ROUND((INDEX($E472:$G472,AA$5)-SUMIFS(TF_Timer,TF_Tekniker,AA$4,TF_Dato,$A472))*2,0)/2)))</f>
        <v/>
      </c>
      <c r="AB472">
        <f>IF(OR(AB$4="",$A472&gt;TODAY()),0,IF(OR(INDEX($B472:$D472,AB$5)="F",AND(AB$6&gt;0,$A472&lt;AB$6),AND(AB$7&gt;0,$A472&gt;AB$7)),0,MAX(0,ROUND((INDEX($E472:$G472,AB$5)-SUMIFS(TF_Timer,TF_Tekniker,AB$4,TF_Dato,$A472))*2,0)/2)))</f>
        <v/>
      </c>
      <c r="AC472">
        <f>IF(OR(AC$4="",$A472&gt;TODAY()),0,IF(OR(INDEX($B472:$D472,AC$5)="F",AND(AC$6&gt;0,$A472&lt;AC$6),AND(AC$7&gt;0,$A472&gt;AC$7)),0,MAX(0,ROUND((INDEX($E472:$G472,AC$5)-SUMIFS(TF_Timer,TF_Tekniker,AC$4,TF_Dato,$A472))*2,0)/2)))</f>
        <v/>
      </c>
      <c r="AD472">
        <f>IF(OR(AD$4="",$A472&gt;TODAY()),0,IF(OR(INDEX($B472:$D472,AD$5)="F",AND(AD$6&gt;0,$A472&lt;AD$6),AND(AD$7&gt;0,$A472&gt;AD$7)),0,MAX(0,ROUND((INDEX($E472:$G472,AD$5)-SUMIFS(TF_Timer,TF_Tekniker,AD$4,TF_Dato,$A472))*2,0)/2)))</f>
        <v/>
      </c>
      <c r="AE472">
        <f>IF(OR(AE$4="",$A472&gt;TODAY()),0,IF(OR(INDEX($B472:$D472,AE$5)="F",AND(AE$6&gt;0,$A472&lt;AE$6),AND(AE$7&gt;0,$A472&gt;AE$7)),0,MAX(0,ROUND((INDEX($E472:$G472,AE$5)-SUMIFS(TF_Timer,TF_Tekniker,AE$4,TF_Dato,$A472))*2,0)/2)))</f>
        <v/>
      </c>
      <c r="AF472">
        <f>IF(OR(AF$4="",$A472&gt;TODAY()),0,IF(OR(INDEX($B472:$D472,AF$5)="F",AND(AF$6&gt;0,$A472&lt;AF$6),AND(AF$7&gt;0,$A472&gt;AF$7)),0,MAX(0,ROUND((INDEX($E472:$G472,AF$5)-SUMIFS(TF_Timer,TF_Tekniker,AF$4,TF_Dato,$A472))*2,0)/2)))</f>
        <v/>
      </c>
      <c r="AG472">
        <f>IF(OR(AG$4="",$A472&gt;TODAY()),0,IF(OR(INDEX($B472:$D472,AG$5)="F",AND(AG$6&gt;0,$A472&lt;AG$6),AND(AG$7&gt;0,$A472&gt;AG$7)),0,MAX(0,ROUND((INDEX($E472:$G472,AG$5)-SUMIFS(TF_Timer,TF_Tekniker,AG$4,TF_Dato,$A472))*2,0)/2)))</f>
        <v/>
      </c>
      <c r="AH472">
        <f>IF(OR(AH$4="",$A472&gt;TODAY()),0,IF(OR(INDEX($B472:$D472,AH$5)="F",AND(AH$6&gt;0,$A472&lt;AH$6),AND(AH$7&gt;0,$A472&gt;AH$7)),0,MAX(0,ROUND((INDEX($E472:$G472,AH$5)-SUMIFS(TF_Timer,TF_Tekniker,AH$4,TF_Dato,$A472))*2,0)/2)))</f>
        <v/>
      </c>
      <c r="AI472">
        <f>IF(OR(AI$4="",$A472&gt;TODAY()),0,IF(OR(INDEX($B472:$D472,AI$5)="F",AND(AI$6&gt;0,$A472&lt;AI$6),AND(AI$7&gt;0,$A472&gt;AI$7)),0,MAX(0,ROUND((INDEX($E472:$G472,AI$5)-SUMIFS(TF_Timer,TF_Tekniker,AI$4,TF_Dato,$A472))*2,0)/2)))</f>
        <v/>
      </c>
      <c r="AJ472">
        <f>IF(OR(AJ$4="",$A472&gt;TODAY()),0,IF(OR(INDEX($B472:$D472,AJ$5)="F",AND(AJ$6&gt;0,$A472&lt;AJ$6),AND(AJ$7&gt;0,$A472&gt;AJ$7)),0,MAX(0,ROUND((INDEX($E472:$G472,AJ$5)-SUMIFS(TF_Timer,TF_Tekniker,AJ$4,TF_Dato,$A472))*2,0)/2)))</f>
        <v/>
      </c>
      <c r="AK472">
        <f>IF(OR(AK$4="",$A472&gt;TODAY()),0,IF(OR(INDEX($B472:$D472,AK$5)="F",AND(AK$6&gt;0,$A472&lt;AK$6),AND(AK$7&gt;0,$A472&gt;AK$7)),0,MAX(0,ROUND((INDEX($E472:$G472,AK$5)-SUMIFS(TF_Timer,TF_Tekniker,AK$4,TF_Dato,$A472))*2,0)/2)))</f>
        <v/>
      </c>
      <c r="AL472">
        <f>IF(OR(AL$4="",$A472&gt;TODAY()),0,IF(OR(INDEX($B472:$D472,AL$5)="F",AND(AL$6&gt;0,$A472&lt;AL$6),AND(AL$7&gt;0,$A472&gt;AL$7)),0,MAX(0,ROUND((INDEX($E472:$G472,AL$5)-SUMIFS(TF_Timer,TF_Tekniker,AL$4,TF_Dato,$A472))*2,0)/2)))</f>
        <v/>
      </c>
      <c r="AM472">
        <f>IF(OR(AM$4="",$A472&gt;TODAY()),0,IF(OR(INDEX($B472:$D472,AM$5)="F",AND(AM$6&gt;0,$A472&lt;AM$6),AND(AM$7&gt;0,$A472&gt;AM$7)),0,MAX(0,ROUND((INDEX($E472:$G472,AM$5)-SUMIFS(TF_Timer,TF_Tekniker,AM$4,TF_Dato,$A472))*2,0)/2)))</f>
        <v/>
      </c>
      <c r="AN472">
        <f>IF(OR(AN$4="",$A472&gt;TODAY()),0,IF(OR(INDEX($B472:$D472,AN$5)="F",AND(AN$6&gt;0,$A472&lt;AN$6),AND(AN$7&gt;0,$A472&gt;AN$7)),0,MAX(0,ROUND((INDEX($E472:$G472,AN$5)-SUMIFS(TF_Timer,TF_Tekniker,AN$4,TF_Dato,$A472))*2,0)/2)))</f>
        <v/>
      </c>
      <c r="AO472">
        <f>IF(OR(AO$4="",$A472&gt;TODAY()),0,IF(OR(INDEX($B472:$D472,AO$5)="F",AND(AO$6&gt;0,$A472&lt;AO$6),AND(AO$7&gt;0,$A472&gt;AO$7)),0,MAX(0,ROUND((INDEX($E472:$G472,AO$5)-SUMIFS(TF_Timer,TF_Tekniker,AO$4,TF_Dato,$A472))*2,0)/2)))</f>
        <v/>
      </c>
      <c r="AP472">
        <f>IF(OR(AP$4="",$A472&gt;TODAY()),0,IF(OR(INDEX($B472:$D472,AP$5)="F",AND(AP$6&gt;0,$A472&lt;AP$6),AND(AP$7&gt;0,$A472&gt;AP$7)),0,MAX(0,ROUND((INDEX($E472:$G472,AP$5)-SUMIFS(TF_Timer,TF_Tekniker,AP$4,TF_Dato,$A472))*2,0)/2)))</f>
        <v/>
      </c>
      <c r="AQ472">
        <f>IF(OR(AQ$4="",$A472&gt;TODAY()),0,IF(OR(INDEX($B472:$D472,AQ$5)="F",AND(AQ$6&gt;0,$A472&lt;AQ$6),AND(AQ$7&gt;0,$A472&gt;AQ$7)),0,MAX(0,ROUND((INDEX($E472:$G472,AQ$5)-SUMIFS(TF_Timer,TF_Tekniker,AQ$4,TF_Dato,$A472))*2,0)/2)))</f>
        <v/>
      </c>
      <c r="AR472">
        <f>IF(OR(AR$4="",$A472&gt;TODAY()),0,IF(OR(INDEX($B472:$D472,AR$5)="F",AND(AR$6&gt;0,$A472&lt;AR$6),AND(AR$7&gt;0,$A472&gt;AR$7)),0,MAX(0,ROUND((INDEX($E472:$G472,AR$5)-SUMIFS(TF_Timer,TF_Tekniker,AR$4,TF_Dato,$A472))*2,0)/2)))</f>
        <v/>
      </c>
      <c r="AS472">
        <f>IF(OR(AS$4="",$A472&gt;TODAY()),0,IF(OR(INDEX($B472:$D472,AS$5)="F",AND(AS$6&gt;0,$A472&lt;AS$6),AND(AS$7&gt;0,$A472&gt;AS$7)),0,MAX(0,ROUND((INDEX($E472:$G472,AS$5)-SUMIFS(TF_Timer,TF_Tekniker,AS$4,TF_Dato,$A472))*2,0)/2)))</f>
        <v/>
      </c>
      <c r="AT472">
        <f>IF(OR(AT$4="",$A472&gt;TODAY()),0,IF(OR(INDEX($B472:$D472,AT$5)="F",AND(AT$6&gt;0,$A472&lt;AT$6),AND(AT$7&gt;0,$A472&gt;AT$7)),0,MAX(0,ROUND((INDEX($E472:$G472,AT$5)-SUMIFS(TF_Timer,TF_Tekniker,AT$4,TF_Dato,$A472))*2,0)/2)))</f>
        <v/>
      </c>
      <c r="AU472">
        <f>IF(OR(AU$4="",$A472&gt;TODAY()),0,IF(OR(INDEX($B472:$D472,AU$5)="F",AND(AU$6&gt;0,$A472&lt;AU$6),AND(AU$7&gt;0,$A472&gt;AU$7)),0,MAX(0,ROUND((INDEX($E472:$G472,AU$5)-SUMIFS(TF_Timer,TF_Tekniker,AU$4,TF_Dato,$A472))*2,0)/2)))</f>
        <v/>
      </c>
      <c r="AV472">
        <f>IF(OR(AV$4="",$A472&gt;TODAY()),0,IF(OR(INDEX($B472:$D472,AV$5)="F",AND(AV$6&gt;0,$A472&lt;AV$6),AND(AV$7&gt;0,$A472&gt;AV$7)),0,MAX(0,ROUND((INDEX($E472:$G472,AV$5)-SUMIFS(TF_Timer,TF_Tekniker,AV$4,TF_Dato,$A472))*2,0)/2)))</f>
        <v/>
      </c>
      <c r="AW472">
        <f>IF(OR(AW$4="",$A472&gt;TODAY()),0,IF(OR(INDEX($B472:$D472,AW$5)="F",AND(AW$6&gt;0,$A472&lt;AW$6),AND(AW$7&gt;0,$A472&gt;AW$7)),0,MAX(0,ROUND((INDEX($E472:$G472,AW$5)-SUMIFS(TF_Timer,TF_Tekniker,AW$4,TF_Dato,$A472))*2,0)/2)))</f>
        <v/>
      </c>
      <c r="AX472">
        <f>IF(OR(AX$4="",$A472&gt;TODAY()),0,IF(OR(INDEX($B472:$D472,AX$5)="F",AND(AX$6&gt;0,$A472&lt;AX$6),AND(AX$7&gt;0,$A472&gt;AX$7)),0,MAX(0,ROUND((INDEX($E472:$G472,AX$5)-SUMIFS(TF_Timer,TF_Tekniker,AX$4,TF_Dato,$A472))*2,0)/2)))</f>
        <v/>
      </c>
      <c r="AY472">
        <f>IF(OR(AY$4="",$A472&gt;TODAY()),0,IF(OR(INDEX($B472:$D472,AY$5)="F",AND(AY$6&gt;0,$A472&lt;AY$6),AND(AY$7&gt;0,$A472&gt;AY$7)),0,MAX(0,ROUND((INDEX($E472:$G472,AY$5)-SUMIFS(TF_Timer,TF_Tekniker,AY$4,TF_Dato,$A472))*2,0)/2)))</f>
        <v/>
      </c>
      <c r="AZ472">
        <f>IF(OR(AZ$4="",$A472&gt;TODAY()),0,IF(OR(INDEX($B472:$D472,AZ$5)="F",AND(AZ$6&gt;0,$A472&lt;AZ$6),AND(AZ$7&gt;0,$A472&gt;AZ$7)),0,MAX(0,ROUND((INDEX($E472:$G472,AZ$5)-SUMIFS(TF_Timer,TF_Tekniker,AZ$4,TF_Dato,$A472))*2,0)/2)))</f>
        <v/>
      </c>
      <c r="BA472">
        <f>IF(OR(BA$4="",$A472&gt;TODAY()),0,IF(OR(INDEX($B472:$D472,BA$5)="F",AND(BA$6&gt;0,$A472&lt;BA$6),AND(BA$7&gt;0,$A472&gt;BA$7)),0,MAX(0,ROUND((INDEX($E472:$G472,BA$5)-SUMIFS(TF_Timer,TF_Tekniker,BA$4,TF_Dato,$A472))*2,0)/2)))</f>
        <v/>
      </c>
      <c r="BB472">
        <f>IF(OR(BB$4="",$A472&gt;TODAY()),0,IF(OR(INDEX($B472:$D472,BB$5)="F",AND(BB$6&gt;0,$A472&lt;BB$6),AND(BB$7&gt;0,$A472&gt;BB$7)),0,MAX(0,ROUND((INDEX($E472:$G472,BB$5)-SUMIFS(TF_Timer,TF_Tekniker,BB$4,TF_Dato,$A472))*2,0)/2)))</f>
        <v/>
      </c>
      <c r="BC472">
        <f>IF(OR(BC$4="",$A472&gt;TODAY()),0,IF(OR(INDEX($B472:$D472,BC$5)="F",AND(BC$6&gt;0,$A472&lt;BC$6),AND(BC$7&gt;0,$A472&gt;BC$7)),0,MAX(0,ROUND((INDEX($E472:$G472,BC$5)-SUMIFS(TF_Timer,TF_Tekniker,BC$4,TF_Dato,$A472))*2,0)/2)))</f>
        <v/>
      </c>
      <c r="BD472">
        <f>IF(OR(BD$4="",$A472&gt;TODAY()),0,IF(OR(INDEX($B472:$D472,BD$5)="F",AND(BD$6&gt;0,$A472&lt;BD$6),AND(BD$7&gt;0,$A472&gt;BD$7)),0,MAX(0,ROUND((INDEX($E472:$G472,BD$5)-SUMIFS(TF_Timer,TF_Tekniker,BD$4,TF_Dato,$A472))*2,0)/2)))</f>
        <v/>
      </c>
      <c r="BE472">
        <f>IF(OR(BE$4="",$A472&gt;TODAY()),0,IF(OR(INDEX($B472:$D472,BE$5)="F",AND(BE$6&gt;0,$A472&lt;BE$6),AND(BE$7&gt;0,$A472&gt;BE$7)),0,MAX(0,ROUND((INDEX($E472:$G472,BE$5)-SUMIFS(TF_Timer,TF_Tekniker,BE$4,TF_Dato,$A472))*2,0)/2)))</f>
        <v/>
      </c>
      <c r="BF472">
        <f>IF(OR(BF$4="",$A472&gt;TODAY()),0,IF(OR(INDEX($B472:$D472,BF$5)="F",AND(BF$6&gt;0,$A472&lt;BF$6),AND(BF$7&gt;0,$A472&gt;BF$7)),0,MAX(0,ROUND((INDEX($E472:$G472,BF$5)-SUMIFS(TF_Timer,TF_Tekniker,BF$4,TF_Dato,$A472))*2,0)/2)))</f>
        <v/>
      </c>
      <c r="BG472">
        <f>IF(OR(BG$4="",$A472&gt;TODAY()),0,IF(OR(INDEX($B472:$D472,BG$5)="F",AND(BG$6&gt;0,$A472&lt;BG$6),AND(BG$7&gt;0,$A472&gt;BG$7)),0,MAX(0,ROUND((INDEX($E472:$G472,BG$5)-SUMIFS(TF_Timer,TF_Tekniker,BG$4,TF_Dato,$A472))*2,0)/2)))</f>
        <v/>
      </c>
      <c r="BH472">
        <f>IF(OR(BH$4="",$A472&gt;TODAY()),0,IF(OR(INDEX($B472:$D472,BH$5)="F",AND(BH$6&gt;0,$A472&lt;BH$6),AND(BH$7&gt;0,$A472&gt;BH$7)),0,MAX(0,ROUND((INDEX($E472:$G472,BH$5)-SUMIFS(TF_Timer,TF_Tekniker,BH$4,TF_Dato,$A472))*2,0)/2)))</f>
        <v/>
      </c>
      <c r="BI472">
        <f>IF(OR(BI$4="",$A472&gt;TODAY()),0,IF(OR(INDEX($B472:$D472,BI$5)="F",AND(BI$6&gt;0,$A472&lt;BI$6),AND(BI$7&gt;0,$A472&gt;BI$7)),0,MAX(0,ROUND((INDEX($E472:$G472,BI$5)-SUMIFS(TF_Timer,TF_Tekniker,BI$4,TF_Dato,$A472))*2,0)/2)))</f>
        <v/>
      </c>
    </row>
    <row r="473">
      <c r="A473" s="64">
        <f>A472+1</f>
        <v/>
      </c>
      <c r="B473">
        <f>IF(MOD($A473-INDEX(SkiftStart,1),Syklus)&lt;DagK,"K",IF(MOD($A473-INDEX(SkiftStart,1),Syklus)&lt;DagK+DagH,"H",IF(MOD($A473-INDEX(SkiftStart,1),Syklus)&lt;DagK+DagH+DagD,"D","F")))</f>
        <v/>
      </c>
      <c r="C473">
        <f>IF(MOD($A473-INDEX(SkiftStart,2),Syklus)&lt;DagK,"K",IF(MOD($A473-INDEX(SkiftStart,2),Syklus)&lt;DagK+DagH,"H",IF(MOD($A473-INDEX(SkiftStart,2),Syklus)&lt;DagK+DagH+DagD,"D","F")))</f>
        <v/>
      </c>
      <c r="D473">
        <f>IF(MOD($A473-INDEX(SkiftStart,3),Syklus)&lt;DagK,"K",IF(MOD($A473-INDEX(SkiftStart,3),Syklus)&lt;DagK+DagH,"H",IF(MOD($A473-INDEX(SkiftStart,3),Syklus)&lt;DagK+DagH+DagD,"D","F")))</f>
        <v/>
      </c>
      <c r="E473">
        <f>IF(B473="F",0,IF(WEEKDAY($A473,2)=5,INDEX(TimerFr,MATCH(B473,FaseKode,0)),INDEX(TimerMT,MATCH(B473,FaseKode,0))))</f>
        <v/>
      </c>
      <c r="F473">
        <f>IF(C473="F",0,IF(WEEKDAY($A473,2)=5,INDEX(TimerFr,MATCH(C473,FaseKode,0)),INDEX(TimerMT,MATCH(C473,FaseKode,0))))</f>
        <v/>
      </c>
      <c r="G473">
        <f>IF(D473="F",0,IF(WEEKDAY($A473,2)=5,INDEX(TimerFr,MATCH(D473,FaseKode,0)),INDEX(TimerMT,MATCH(D473,FaseKode,0))))</f>
        <v/>
      </c>
      <c r="H473">
        <f>IF(OR(H$4="",$A473&gt;TODAY()),0,IF(OR(INDEX($B473:$D473,H$5)="F",AND(H$6&gt;0,$A473&lt;H$6),AND(H$7&gt;0,$A473&gt;H$7)),0,MAX(0,ROUND((INDEX($E473:$G473,H$5)-SUMIFS(TF_Timer,TF_Tekniker,H$4,TF_Dato,$A473))*2,0)/2)))</f>
        <v/>
      </c>
      <c r="I473">
        <f>IF(OR(I$4="",$A473&gt;TODAY()),0,IF(OR(INDEX($B473:$D473,I$5)="F",AND(I$6&gt;0,$A473&lt;I$6),AND(I$7&gt;0,$A473&gt;I$7)),0,MAX(0,ROUND((INDEX($E473:$G473,I$5)-SUMIFS(TF_Timer,TF_Tekniker,I$4,TF_Dato,$A473))*2,0)/2)))</f>
        <v/>
      </c>
      <c r="J473">
        <f>IF(OR(J$4="",$A473&gt;TODAY()),0,IF(OR(INDEX($B473:$D473,J$5)="F",AND(J$6&gt;0,$A473&lt;J$6),AND(J$7&gt;0,$A473&gt;J$7)),0,MAX(0,ROUND((INDEX($E473:$G473,J$5)-SUMIFS(TF_Timer,TF_Tekniker,J$4,TF_Dato,$A473))*2,0)/2)))</f>
        <v/>
      </c>
      <c r="K473">
        <f>IF(OR(K$4="",$A473&gt;TODAY()),0,IF(OR(INDEX($B473:$D473,K$5)="F",AND(K$6&gt;0,$A473&lt;K$6),AND(K$7&gt;0,$A473&gt;K$7)),0,MAX(0,ROUND((INDEX($E473:$G473,K$5)-SUMIFS(TF_Timer,TF_Tekniker,K$4,TF_Dato,$A473))*2,0)/2)))</f>
        <v/>
      </c>
      <c r="L473">
        <f>IF(OR(L$4="",$A473&gt;TODAY()),0,IF(OR(INDEX($B473:$D473,L$5)="F",AND(L$6&gt;0,$A473&lt;L$6),AND(L$7&gt;0,$A473&gt;L$7)),0,MAX(0,ROUND((INDEX($E473:$G473,L$5)-SUMIFS(TF_Timer,TF_Tekniker,L$4,TF_Dato,$A473))*2,0)/2)))</f>
        <v/>
      </c>
      <c r="M473">
        <f>IF(OR(M$4="",$A473&gt;TODAY()),0,IF(OR(INDEX($B473:$D473,M$5)="F",AND(M$6&gt;0,$A473&lt;M$6),AND(M$7&gt;0,$A473&gt;M$7)),0,MAX(0,ROUND((INDEX($E473:$G473,M$5)-SUMIFS(TF_Timer,TF_Tekniker,M$4,TF_Dato,$A473))*2,0)/2)))</f>
        <v/>
      </c>
      <c r="N473">
        <f>IF(OR(N$4="",$A473&gt;TODAY()),0,IF(OR(INDEX($B473:$D473,N$5)="F",AND(N$6&gt;0,$A473&lt;N$6),AND(N$7&gt;0,$A473&gt;N$7)),0,MAX(0,ROUND((INDEX($E473:$G473,N$5)-SUMIFS(TF_Timer,TF_Tekniker,N$4,TF_Dato,$A473))*2,0)/2)))</f>
        <v/>
      </c>
      <c r="O473">
        <f>IF(OR(O$4="",$A473&gt;TODAY()),0,IF(OR(INDEX($B473:$D473,O$5)="F",AND(O$6&gt;0,$A473&lt;O$6),AND(O$7&gt;0,$A473&gt;O$7)),0,MAX(0,ROUND((INDEX($E473:$G473,O$5)-SUMIFS(TF_Timer,TF_Tekniker,O$4,TF_Dato,$A473))*2,0)/2)))</f>
        <v/>
      </c>
      <c r="P473">
        <f>IF(OR(P$4="",$A473&gt;TODAY()),0,IF(OR(INDEX($B473:$D473,P$5)="F",AND(P$6&gt;0,$A473&lt;P$6),AND(P$7&gt;0,$A473&gt;P$7)),0,MAX(0,ROUND((INDEX($E473:$G473,P$5)-SUMIFS(TF_Timer,TF_Tekniker,P$4,TF_Dato,$A473))*2,0)/2)))</f>
        <v/>
      </c>
      <c r="Q473">
        <f>IF(OR(Q$4="",$A473&gt;TODAY()),0,IF(OR(INDEX($B473:$D473,Q$5)="F",AND(Q$6&gt;0,$A473&lt;Q$6),AND(Q$7&gt;0,$A473&gt;Q$7)),0,MAX(0,ROUND((INDEX($E473:$G473,Q$5)-SUMIFS(TF_Timer,TF_Tekniker,Q$4,TF_Dato,$A473))*2,0)/2)))</f>
        <v/>
      </c>
      <c r="R473">
        <f>IF(OR(R$4="",$A473&gt;TODAY()),0,IF(OR(INDEX($B473:$D473,R$5)="F",AND(R$6&gt;0,$A473&lt;R$6),AND(R$7&gt;0,$A473&gt;R$7)),0,MAX(0,ROUND((INDEX($E473:$G473,R$5)-SUMIFS(TF_Timer,TF_Tekniker,R$4,TF_Dato,$A473))*2,0)/2)))</f>
        <v/>
      </c>
      <c r="S473">
        <f>IF(OR(S$4="",$A473&gt;TODAY()),0,IF(OR(INDEX($B473:$D473,S$5)="F",AND(S$6&gt;0,$A473&lt;S$6),AND(S$7&gt;0,$A473&gt;S$7)),0,MAX(0,ROUND((INDEX($E473:$G473,S$5)-SUMIFS(TF_Timer,TF_Tekniker,S$4,TF_Dato,$A473))*2,0)/2)))</f>
        <v/>
      </c>
      <c r="T473">
        <f>IF(OR(T$4="",$A473&gt;TODAY()),0,IF(OR(INDEX($B473:$D473,T$5)="F",AND(T$6&gt;0,$A473&lt;T$6),AND(T$7&gt;0,$A473&gt;T$7)),0,MAX(0,ROUND((INDEX($E473:$G473,T$5)-SUMIFS(TF_Timer,TF_Tekniker,T$4,TF_Dato,$A473))*2,0)/2)))</f>
        <v/>
      </c>
      <c r="U473">
        <f>IF(OR(U$4="",$A473&gt;TODAY()),0,IF(OR(INDEX($B473:$D473,U$5)="F",AND(U$6&gt;0,$A473&lt;U$6),AND(U$7&gt;0,$A473&gt;U$7)),0,MAX(0,ROUND((INDEX($E473:$G473,U$5)-SUMIFS(TF_Timer,TF_Tekniker,U$4,TF_Dato,$A473))*2,0)/2)))</f>
        <v/>
      </c>
      <c r="V473">
        <f>IF(OR(V$4="",$A473&gt;TODAY()),0,IF(OR(INDEX($B473:$D473,V$5)="F",AND(V$6&gt;0,$A473&lt;V$6),AND(V$7&gt;0,$A473&gt;V$7)),0,MAX(0,ROUND((INDEX($E473:$G473,V$5)-SUMIFS(TF_Timer,TF_Tekniker,V$4,TF_Dato,$A473))*2,0)/2)))</f>
        <v/>
      </c>
      <c r="W473">
        <f>IF(OR(W$4="",$A473&gt;TODAY()),0,IF(OR(INDEX($B473:$D473,W$5)="F",AND(W$6&gt;0,$A473&lt;W$6),AND(W$7&gt;0,$A473&gt;W$7)),0,MAX(0,ROUND((INDEX($E473:$G473,W$5)-SUMIFS(TF_Timer,TF_Tekniker,W$4,TF_Dato,$A473))*2,0)/2)))</f>
        <v/>
      </c>
      <c r="X473">
        <f>IF(OR(X$4="",$A473&gt;TODAY()),0,IF(OR(INDEX($B473:$D473,X$5)="F",AND(X$6&gt;0,$A473&lt;X$6),AND(X$7&gt;0,$A473&gt;X$7)),0,MAX(0,ROUND((INDEX($E473:$G473,X$5)-SUMIFS(TF_Timer,TF_Tekniker,X$4,TF_Dato,$A473))*2,0)/2)))</f>
        <v/>
      </c>
      <c r="Y473">
        <f>IF(OR(Y$4="",$A473&gt;TODAY()),0,IF(OR(INDEX($B473:$D473,Y$5)="F",AND(Y$6&gt;0,$A473&lt;Y$6),AND(Y$7&gt;0,$A473&gt;Y$7)),0,MAX(0,ROUND((INDEX($E473:$G473,Y$5)-SUMIFS(TF_Timer,TF_Tekniker,Y$4,TF_Dato,$A473))*2,0)/2)))</f>
        <v/>
      </c>
      <c r="Z473">
        <f>IF(OR(Z$4="",$A473&gt;TODAY()),0,IF(OR(INDEX($B473:$D473,Z$5)="F",AND(Z$6&gt;0,$A473&lt;Z$6),AND(Z$7&gt;0,$A473&gt;Z$7)),0,MAX(0,ROUND((INDEX($E473:$G473,Z$5)-SUMIFS(TF_Timer,TF_Tekniker,Z$4,TF_Dato,$A473))*2,0)/2)))</f>
        <v/>
      </c>
      <c r="AA473">
        <f>IF(OR(AA$4="",$A473&gt;TODAY()),0,IF(OR(INDEX($B473:$D473,AA$5)="F",AND(AA$6&gt;0,$A473&lt;AA$6),AND(AA$7&gt;0,$A473&gt;AA$7)),0,MAX(0,ROUND((INDEX($E473:$G473,AA$5)-SUMIFS(TF_Timer,TF_Tekniker,AA$4,TF_Dato,$A473))*2,0)/2)))</f>
        <v/>
      </c>
      <c r="AB473">
        <f>IF(OR(AB$4="",$A473&gt;TODAY()),0,IF(OR(INDEX($B473:$D473,AB$5)="F",AND(AB$6&gt;0,$A473&lt;AB$6),AND(AB$7&gt;0,$A473&gt;AB$7)),0,MAX(0,ROUND((INDEX($E473:$G473,AB$5)-SUMIFS(TF_Timer,TF_Tekniker,AB$4,TF_Dato,$A473))*2,0)/2)))</f>
        <v/>
      </c>
      <c r="AC473">
        <f>IF(OR(AC$4="",$A473&gt;TODAY()),0,IF(OR(INDEX($B473:$D473,AC$5)="F",AND(AC$6&gt;0,$A473&lt;AC$6),AND(AC$7&gt;0,$A473&gt;AC$7)),0,MAX(0,ROUND((INDEX($E473:$G473,AC$5)-SUMIFS(TF_Timer,TF_Tekniker,AC$4,TF_Dato,$A473))*2,0)/2)))</f>
        <v/>
      </c>
      <c r="AD473">
        <f>IF(OR(AD$4="",$A473&gt;TODAY()),0,IF(OR(INDEX($B473:$D473,AD$5)="F",AND(AD$6&gt;0,$A473&lt;AD$6),AND(AD$7&gt;0,$A473&gt;AD$7)),0,MAX(0,ROUND((INDEX($E473:$G473,AD$5)-SUMIFS(TF_Timer,TF_Tekniker,AD$4,TF_Dato,$A473))*2,0)/2)))</f>
        <v/>
      </c>
      <c r="AE473">
        <f>IF(OR(AE$4="",$A473&gt;TODAY()),0,IF(OR(INDEX($B473:$D473,AE$5)="F",AND(AE$6&gt;0,$A473&lt;AE$6),AND(AE$7&gt;0,$A473&gt;AE$7)),0,MAX(0,ROUND((INDEX($E473:$G473,AE$5)-SUMIFS(TF_Timer,TF_Tekniker,AE$4,TF_Dato,$A473))*2,0)/2)))</f>
        <v/>
      </c>
      <c r="AF473">
        <f>IF(OR(AF$4="",$A473&gt;TODAY()),0,IF(OR(INDEX($B473:$D473,AF$5)="F",AND(AF$6&gt;0,$A473&lt;AF$6),AND(AF$7&gt;0,$A473&gt;AF$7)),0,MAX(0,ROUND((INDEX($E473:$G473,AF$5)-SUMIFS(TF_Timer,TF_Tekniker,AF$4,TF_Dato,$A473))*2,0)/2)))</f>
        <v/>
      </c>
      <c r="AG473">
        <f>IF(OR(AG$4="",$A473&gt;TODAY()),0,IF(OR(INDEX($B473:$D473,AG$5)="F",AND(AG$6&gt;0,$A473&lt;AG$6),AND(AG$7&gt;0,$A473&gt;AG$7)),0,MAX(0,ROUND((INDEX($E473:$G473,AG$5)-SUMIFS(TF_Timer,TF_Tekniker,AG$4,TF_Dato,$A473))*2,0)/2)))</f>
        <v/>
      </c>
      <c r="AH473">
        <f>IF(OR(AH$4="",$A473&gt;TODAY()),0,IF(OR(INDEX($B473:$D473,AH$5)="F",AND(AH$6&gt;0,$A473&lt;AH$6),AND(AH$7&gt;0,$A473&gt;AH$7)),0,MAX(0,ROUND((INDEX($E473:$G473,AH$5)-SUMIFS(TF_Timer,TF_Tekniker,AH$4,TF_Dato,$A473))*2,0)/2)))</f>
        <v/>
      </c>
      <c r="AI473">
        <f>IF(OR(AI$4="",$A473&gt;TODAY()),0,IF(OR(INDEX($B473:$D473,AI$5)="F",AND(AI$6&gt;0,$A473&lt;AI$6),AND(AI$7&gt;0,$A473&gt;AI$7)),0,MAX(0,ROUND((INDEX($E473:$G473,AI$5)-SUMIFS(TF_Timer,TF_Tekniker,AI$4,TF_Dato,$A473))*2,0)/2)))</f>
        <v/>
      </c>
      <c r="AJ473">
        <f>IF(OR(AJ$4="",$A473&gt;TODAY()),0,IF(OR(INDEX($B473:$D473,AJ$5)="F",AND(AJ$6&gt;0,$A473&lt;AJ$6),AND(AJ$7&gt;0,$A473&gt;AJ$7)),0,MAX(0,ROUND((INDEX($E473:$G473,AJ$5)-SUMIFS(TF_Timer,TF_Tekniker,AJ$4,TF_Dato,$A473))*2,0)/2)))</f>
        <v/>
      </c>
      <c r="AK473">
        <f>IF(OR(AK$4="",$A473&gt;TODAY()),0,IF(OR(INDEX($B473:$D473,AK$5)="F",AND(AK$6&gt;0,$A473&lt;AK$6),AND(AK$7&gt;0,$A473&gt;AK$7)),0,MAX(0,ROUND((INDEX($E473:$G473,AK$5)-SUMIFS(TF_Timer,TF_Tekniker,AK$4,TF_Dato,$A473))*2,0)/2)))</f>
        <v/>
      </c>
      <c r="AL473">
        <f>IF(OR(AL$4="",$A473&gt;TODAY()),0,IF(OR(INDEX($B473:$D473,AL$5)="F",AND(AL$6&gt;0,$A473&lt;AL$6),AND(AL$7&gt;0,$A473&gt;AL$7)),0,MAX(0,ROUND((INDEX($E473:$G473,AL$5)-SUMIFS(TF_Timer,TF_Tekniker,AL$4,TF_Dato,$A473))*2,0)/2)))</f>
        <v/>
      </c>
      <c r="AM473">
        <f>IF(OR(AM$4="",$A473&gt;TODAY()),0,IF(OR(INDEX($B473:$D473,AM$5)="F",AND(AM$6&gt;0,$A473&lt;AM$6),AND(AM$7&gt;0,$A473&gt;AM$7)),0,MAX(0,ROUND((INDEX($E473:$G473,AM$5)-SUMIFS(TF_Timer,TF_Tekniker,AM$4,TF_Dato,$A473))*2,0)/2)))</f>
        <v/>
      </c>
      <c r="AN473">
        <f>IF(OR(AN$4="",$A473&gt;TODAY()),0,IF(OR(INDEX($B473:$D473,AN$5)="F",AND(AN$6&gt;0,$A473&lt;AN$6),AND(AN$7&gt;0,$A473&gt;AN$7)),0,MAX(0,ROUND((INDEX($E473:$G473,AN$5)-SUMIFS(TF_Timer,TF_Tekniker,AN$4,TF_Dato,$A473))*2,0)/2)))</f>
        <v/>
      </c>
      <c r="AO473">
        <f>IF(OR(AO$4="",$A473&gt;TODAY()),0,IF(OR(INDEX($B473:$D473,AO$5)="F",AND(AO$6&gt;0,$A473&lt;AO$6),AND(AO$7&gt;0,$A473&gt;AO$7)),0,MAX(0,ROUND((INDEX($E473:$G473,AO$5)-SUMIFS(TF_Timer,TF_Tekniker,AO$4,TF_Dato,$A473))*2,0)/2)))</f>
        <v/>
      </c>
      <c r="AP473">
        <f>IF(OR(AP$4="",$A473&gt;TODAY()),0,IF(OR(INDEX($B473:$D473,AP$5)="F",AND(AP$6&gt;0,$A473&lt;AP$6),AND(AP$7&gt;0,$A473&gt;AP$7)),0,MAX(0,ROUND((INDEX($E473:$G473,AP$5)-SUMIFS(TF_Timer,TF_Tekniker,AP$4,TF_Dato,$A473))*2,0)/2)))</f>
        <v/>
      </c>
      <c r="AQ473">
        <f>IF(OR(AQ$4="",$A473&gt;TODAY()),0,IF(OR(INDEX($B473:$D473,AQ$5)="F",AND(AQ$6&gt;0,$A473&lt;AQ$6),AND(AQ$7&gt;0,$A473&gt;AQ$7)),0,MAX(0,ROUND((INDEX($E473:$G473,AQ$5)-SUMIFS(TF_Timer,TF_Tekniker,AQ$4,TF_Dato,$A473))*2,0)/2)))</f>
        <v/>
      </c>
      <c r="AR473">
        <f>IF(OR(AR$4="",$A473&gt;TODAY()),0,IF(OR(INDEX($B473:$D473,AR$5)="F",AND(AR$6&gt;0,$A473&lt;AR$6),AND(AR$7&gt;0,$A473&gt;AR$7)),0,MAX(0,ROUND((INDEX($E473:$G473,AR$5)-SUMIFS(TF_Timer,TF_Tekniker,AR$4,TF_Dato,$A473))*2,0)/2)))</f>
        <v/>
      </c>
      <c r="AS473">
        <f>IF(OR(AS$4="",$A473&gt;TODAY()),0,IF(OR(INDEX($B473:$D473,AS$5)="F",AND(AS$6&gt;0,$A473&lt;AS$6),AND(AS$7&gt;0,$A473&gt;AS$7)),0,MAX(0,ROUND((INDEX($E473:$G473,AS$5)-SUMIFS(TF_Timer,TF_Tekniker,AS$4,TF_Dato,$A473))*2,0)/2)))</f>
        <v/>
      </c>
      <c r="AT473">
        <f>IF(OR(AT$4="",$A473&gt;TODAY()),0,IF(OR(INDEX($B473:$D473,AT$5)="F",AND(AT$6&gt;0,$A473&lt;AT$6),AND(AT$7&gt;0,$A473&gt;AT$7)),0,MAX(0,ROUND((INDEX($E473:$G473,AT$5)-SUMIFS(TF_Timer,TF_Tekniker,AT$4,TF_Dato,$A473))*2,0)/2)))</f>
        <v/>
      </c>
      <c r="AU473">
        <f>IF(OR(AU$4="",$A473&gt;TODAY()),0,IF(OR(INDEX($B473:$D473,AU$5)="F",AND(AU$6&gt;0,$A473&lt;AU$6),AND(AU$7&gt;0,$A473&gt;AU$7)),0,MAX(0,ROUND((INDEX($E473:$G473,AU$5)-SUMIFS(TF_Timer,TF_Tekniker,AU$4,TF_Dato,$A473))*2,0)/2)))</f>
        <v/>
      </c>
      <c r="AV473">
        <f>IF(OR(AV$4="",$A473&gt;TODAY()),0,IF(OR(INDEX($B473:$D473,AV$5)="F",AND(AV$6&gt;0,$A473&lt;AV$6),AND(AV$7&gt;0,$A473&gt;AV$7)),0,MAX(0,ROUND((INDEX($E473:$G473,AV$5)-SUMIFS(TF_Timer,TF_Tekniker,AV$4,TF_Dato,$A473))*2,0)/2)))</f>
        <v/>
      </c>
      <c r="AW473">
        <f>IF(OR(AW$4="",$A473&gt;TODAY()),0,IF(OR(INDEX($B473:$D473,AW$5)="F",AND(AW$6&gt;0,$A473&lt;AW$6),AND(AW$7&gt;0,$A473&gt;AW$7)),0,MAX(0,ROUND((INDEX($E473:$G473,AW$5)-SUMIFS(TF_Timer,TF_Tekniker,AW$4,TF_Dato,$A473))*2,0)/2)))</f>
        <v/>
      </c>
      <c r="AX473">
        <f>IF(OR(AX$4="",$A473&gt;TODAY()),0,IF(OR(INDEX($B473:$D473,AX$5)="F",AND(AX$6&gt;0,$A473&lt;AX$6),AND(AX$7&gt;0,$A473&gt;AX$7)),0,MAX(0,ROUND((INDEX($E473:$G473,AX$5)-SUMIFS(TF_Timer,TF_Tekniker,AX$4,TF_Dato,$A473))*2,0)/2)))</f>
        <v/>
      </c>
      <c r="AY473">
        <f>IF(OR(AY$4="",$A473&gt;TODAY()),0,IF(OR(INDEX($B473:$D473,AY$5)="F",AND(AY$6&gt;0,$A473&lt;AY$6),AND(AY$7&gt;0,$A473&gt;AY$7)),0,MAX(0,ROUND((INDEX($E473:$G473,AY$5)-SUMIFS(TF_Timer,TF_Tekniker,AY$4,TF_Dato,$A473))*2,0)/2)))</f>
        <v/>
      </c>
      <c r="AZ473">
        <f>IF(OR(AZ$4="",$A473&gt;TODAY()),0,IF(OR(INDEX($B473:$D473,AZ$5)="F",AND(AZ$6&gt;0,$A473&lt;AZ$6),AND(AZ$7&gt;0,$A473&gt;AZ$7)),0,MAX(0,ROUND((INDEX($E473:$G473,AZ$5)-SUMIFS(TF_Timer,TF_Tekniker,AZ$4,TF_Dato,$A473))*2,0)/2)))</f>
        <v/>
      </c>
      <c r="BA473">
        <f>IF(OR(BA$4="",$A473&gt;TODAY()),0,IF(OR(INDEX($B473:$D473,BA$5)="F",AND(BA$6&gt;0,$A473&lt;BA$6),AND(BA$7&gt;0,$A473&gt;BA$7)),0,MAX(0,ROUND((INDEX($E473:$G473,BA$5)-SUMIFS(TF_Timer,TF_Tekniker,BA$4,TF_Dato,$A473))*2,0)/2)))</f>
        <v/>
      </c>
      <c r="BB473">
        <f>IF(OR(BB$4="",$A473&gt;TODAY()),0,IF(OR(INDEX($B473:$D473,BB$5)="F",AND(BB$6&gt;0,$A473&lt;BB$6),AND(BB$7&gt;0,$A473&gt;BB$7)),0,MAX(0,ROUND((INDEX($E473:$G473,BB$5)-SUMIFS(TF_Timer,TF_Tekniker,BB$4,TF_Dato,$A473))*2,0)/2)))</f>
        <v/>
      </c>
      <c r="BC473">
        <f>IF(OR(BC$4="",$A473&gt;TODAY()),0,IF(OR(INDEX($B473:$D473,BC$5)="F",AND(BC$6&gt;0,$A473&lt;BC$6),AND(BC$7&gt;0,$A473&gt;BC$7)),0,MAX(0,ROUND((INDEX($E473:$G473,BC$5)-SUMIFS(TF_Timer,TF_Tekniker,BC$4,TF_Dato,$A473))*2,0)/2)))</f>
        <v/>
      </c>
      <c r="BD473">
        <f>IF(OR(BD$4="",$A473&gt;TODAY()),0,IF(OR(INDEX($B473:$D473,BD$5)="F",AND(BD$6&gt;0,$A473&lt;BD$6),AND(BD$7&gt;0,$A473&gt;BD$7)),0,MAX(0,ROUND((INDEX($E473:$G473,BD$5)-SUMIFS(TF_Timer,TF_Tekniker,BD$4,TF_Dato,$A473))*2,0)/2)))</f>
        <v/>
      </c>
      <c r="BE473">
        <f>IF(OR(BE$4="",$A473&gt;TODAY()),0,IF(OR(INDEX($B473:$D473,BE$5)="F",AND(BE$6&gt;0,$A473&lt;BE$6),AND(BE$7&gt;0,$A473&gt;BE$7)),0,MAX(0,ROUND((INDEX($E473:$G473,BE$5)-SUMIFS(TF_Timer,TF_Tekniker,BE$4,TF_Dato,$A473))*2,0)/2)))</f>
        <v/>
      </c>
      <c r="BF473">
        <f>IF(OR(BF$4="",$A473&gt;TODAY()),0,IF(OR(INDEX($B473:$D473,BF$5)="F",AND(BF$6&gt;0,$A473&lt;BF$6),AND(BF$7&gt;0,$A473&gt;BF$7)),0,MAX(0,ROUND((INDEX($E473:$G473,BF$5)-SUMIFS(TF_Timer,TF_Tekniker,BF$4,TF_Dato,$A473))*2,0)/2)))</f>
        <v/>
      </c>
      <c r="BG473">
        <f>IF(OR(BG$4="",$A473&gt;TODAY()),0,IF(OR(INDEX($B473:$D473,BG$5)="F",AND(BG$6&gt;0,$A473&lt;BG$6),AND(BG$7&gt;0,$A473&gt;BG$7)),0,MAX(0,ROUND((INDEX($E473:$G473,BG$5)-SUMIFS(TF_Timer,TF_Tekniker,BG$4,TF_Dato,$A473))*2,0)/2)))</f>
        <v/>
      </c>
      <c r="BH473">
        <f>IF(OR(BH$4="",$A473&gt;TODAY()),0,IF(OR(INDEX($B473:$D473,BH$5)="F",AND(BH$6&gt;0,$A473&lt;BH$6),AND(BH$7&gt;0,$A473&gt;BH$7)),0,MAX(0,ROUND((INDEX($E473:$G473,BH$5)-SUMIFS(TF_Timer,TF_Tekniker,BH$4,TF_Dato,$A473))*2,0)/2)))</f>
        <v/>
      </c>
      <c r="BI473">
        <f>IF(OR(BI$4="",$A473&gt;TODAY()),0,IF(OR(INDEX($B473:$D473,BI$5)="F",AND(BI$6&gt;0,$A473&lt;BI$6),AND(BI$7&gt;0,$A473&gt;BI$7)),0,MAX(0,ROUND((INDEX($E473:$G473,BI$5)-SUMIFS(TF_Timer,TF_Tekniker,BI$4,TF_Dato,$A473))*2,0)/2)))</f>
        <v/>
      </c>
    </row>
    <row r="474">
      <c r="A474" s="64">
        <f>A473+1</f>
        <v/>
      </c>
      <c r="B474">
        <f>IF(MOD($A474-INDEX(SkiftStart,1),Syklus)&lt;DagK,"K",IF(MOD($A474-INDEX(SkiftStart,1),Syklus)&lt;DagK+DagH,"H",IF(MOD($A474-INDEX(SkiftStart,1),Syklus)&lt;DagK+DagH+DagD,"D","F")))</f>
        <v/>
      </c>
      <c r="C474">
        <f>IF(MOD($A474-INDEX(SkiftStart,2),Syklus)&lt;DagK,"K",IF(MOD($A474-INDEX(SkiftStart,2),Syklus)&lt;DagK+DagH,"H",IF(MOD($A474-INDEX(SkiftStart,2),Syklus)&lt;DagK+DagH+DagD,"D","F")))</f>
        <v/>
      </c>
      <c r="D474">
        <f>IF(MOD($A474-INDEX(SkiftStart,3),Syklus)&lt;DagK,"K",IF(MOD($A474-INDEX(SkiftStart,3),Syklus)&lt;DagK+DagH,"H",IF(MOD($A474-INDEX(SkiftStart,3),Syklus)&lt;DagK+DagH+DagD,"D","F")))</f>
        <v/>
      </c>
      <c r="E474">
        <f>IF(B474="F",0,IF(WEEKDAY($A474,2)=5,INDEX(TimerFr,MATCH(B474,FaseKode,0)),INDEX(TimerMT,MATCH(B474,FaseKode,0))))</f>
        <v/>
      </c>
      <c r="F474">
        <f>IF(C474="F",0,IF(WEEKDAY($A474,2)=5,INDEX(TimerFr,MATCH(C474,FaseKode,0)),INDEX(TimerMT,MATCH(C474,FaseKode,0))))</f>
        <v/>
      </c>
      <c r="G474">
        <f>IF(D474="F",0,IF(WEEKDAY($A474,2)=5,INDEX(TimerFr,MATCH(D474,FaseKode,0)),INDEX(TimerMT,MATCH(D474,FaseKode,0))))</f>
        <v/>
      </c>
      <c r="H474">
        <f>IF(OR(H$4="",$A474&gt;TODAY()),0,IF(OR(INDEX($B474:$D474,H$5)="F",AND(H$6&gt;0,$A474&lt;H$6),AND(H$7&gt;0,$A474&gt;H$7)),0,MAX(0,ROUND((INDEX($E474:$G474,H$5)-SUMIFS(TF_Timer,TF_Tekniker,H$4,TF_Dato,$A474))*2,0)/2)))</f>
        <v/>
      </c>
      <c r="I474">
        <f>IF(OR(I$4="",$A474&gt;TODAY()),0,IF(OR(INDEX($B474:$D474,I$5)="F",AND(I$6&gt;0,$A474&lt;I$6),AND(I$7&gt;0,$A474&gt;I$7)),0,MAX(0,ROUND((INDEX($E474:$G474,I$5)-SUMIFS(TF_Timer,TF_Tekniker,I$4,TF_Dato,$A474))*2,0)/2)))</f>
        <v/>
      </c>
      <c r="J474">
        <f>IF(OR(J$4="",$A474&gt;TODAY()),0,IF(OR(INDEX($B474:$D474,J$5)="F",AND(J$6&gt;0,$A474&lt;J$6),AND(J$7&gt;0,$A474&gt;J$7)),0,MAX(0,ROUND((INDEX($E474:$G474,J$5)-SUMIFS(TF_Timer,TF_Tekniker,J$4,TF_Dato,$A474))*2,0)/2)))</f>
        <v/>
      </c>
      <c r="K474">
        <f>IF(OR(K$4="",$A474&gt;TODAY()),0,IF(OR(INDEX($B474:$D474,K$5)="F",AND(K$6&gt;0,$A474&lt;K$6),AND(K$7&gt;0,$A474&gt;K$7)),0,MAX(0,ROUND((INDEX($E474:$G474,K$5)-SUMIFS(TF_Timer,TF_Tekniker,K$4,TF_Dato,$A474))*2,0)/2)))</f>
        <v/>
      </c>
      <c r="L474">
        <f>IF(OR(L$4="",$A474&gt;TODAY()),0,IF(OR(INDEX($B474:$D474,L$5)="F",AND(L$6&gt;0,$A474&lt;L$6),AND(L$7&gt;0,$A474&gt;L$7)),0,MAX(0,ROUND((INDEX($E474:$G474,L$5)-SUMIFS(TF_Timer,TF_Tekniker,L$4,TF_Dato,$A474))*2,0)/2)))</f>
        <v/>
      </c>
      <c r="M474">
        <f>IF(OR(M$4="",$A474&gt;TODAY()),0,IF(OR(INDEX($B474:$D474,M$5)="F",AND(M$6&gt;0,$A474&lt;M$6),AND(M$7&gt;0,$A474&gt;M$7)),0,MAX(0,ROUND((INDEX($E474:$G474,M$5)-SUMIFS(TF_Timer,TF_Tekniker,M$4,TF_Dato,$A474))*2,0)/2)))</f>
        <v/>
      </c>
      <c r="N474">
        <f>IF(OR(N$4="",$A474&gt;TODAY()),0,IF(OR(INDEX($B474:$D474,N$5)="F",AND(N$6&gt;0,$A474&lt;N$6),AND(N$7&gt;0,$A474&gt;N$7)),0,MAX(0,ROUND((INDEX($E474:$G474,N$5)-SUMIFS(TF_Timer,TF_Tekniker,N$4,TF_Dato,$A474))*2,0)/2)))</f>
        <v/>
      </c>
      <c r="O474">
        <f>IF(OR(O$4="",$A474&gt;TODAY()),0,IF(OR(INDEX($B474:$D474,O$5)="F",AND(O$6&gt;0,$A474&lt;O$6),AND(O$7&gt;0,$A474&gt;O$7)),0,MAX(0,ROUND((INDEX($E474:$G474,O$5)-SUMIFS(TF_Timer,TF_Tekniker,O$4,TF_Dato,$A474))*2,0)/2)))</f>
        <v/>
      </c>
      <c r="P474">
        <f>IF(OR(P$4="",$A474&gt;TODAY()),0,IF(OR(INDEX($B474:$D474,P$5)="F",AND(P$6&gt;0,$A474&lt;P$6),AND(P$7&gt;0,$A474&gt;P$7)),0,MAX(0,ROUND((INDEX($E474:$G474,P$5)-SUMIFS(TF_Timer,TF_Tekniker,P$4,TF_Dato,$A474))*2,0)/2)))</f>
        <v/>
      </c>
      <c r="Q474">
        <f>IF(OR(Q$4="",$A474&gt;TODAY()),0,IF(OR(INDEX($B474:$D474,Q$5)="F",AND(Q$6&gt;0,$A474&lt;Q$6),AND(Q$7&gt;0,$A474&gt;Q$7)),0,MAX(0,ROUND((INDEX($E474:$G474,Q$5)-SUMIFS(TF_Timer,TF_Tekniker,Q$4,TF_Dato,$A474))*2,0)/2)))</f>
        <v/>
      </c>
      <c r="R474">
        <f>IF(OR(R$4="",$A474&gt;TODAY()),0,IF(OR(INDEX($B474:$D474,R$5)="F",AND(R$6&gt;0,$A474&lt;R$6),AND(R$7&gt;0,$A474&gt;R$7)),0,MAX(0,ROUND((INDEX($E474:$G474,R$5)-SUMIFS(TF_Timer,TF_Tekniker,R$4,TF_Dato,$A474))*2,0)/2)))</f>
        <v/>
      </c>
      <c r="S474">
        <f>IF(OR(S$4="",$A474&gt;TODAY()),0,IF(OR(INDEX($B474:$D474,S$5)="F",AND(S$6&gt;0,$A474&lt;S$6),AND(S$7&gt;0,$A474&gt;S$7)),0,MAX(0,ROUND((INDEX($E474:$G474,S$5)-SUMIFS(TF_Timer,TF_Tekniker,S$4,TF_Dato,$A474))*2,0)/2)))</f>
        <v/>
      </c>
      <c r="T474">
        <f>IF(OR(T$4="",$A474&gt;TODAY()),0,IF(OR(INDEX($B474:$D474,T$5)="F",AND(T$6&gt;0,$A474&lt;T$6),AND(T$7&gt;0,$A474&gt;T$7)),0,MAX(0,ROUND((INDEX($E474:$G474,T$5)-SUMIFS(TF_Timer,TF_Tekniker,T$4,TF_Dato,$A474))*2,0)/2)))</f>
        <v/>
      </c>
      <c r="U474">
        <f>IF(OR(U$4="",$A474&gt;TODAY()),0,IF(OR(INDEX($B474:$D474,U$5)="F",AND(U$6&gt;0,$A474&lt;U$6),AND(U$7&gt;0,$A474&gt;U$7)),0,MAX(0,ROUND((INDEX($E474:$G474,U$5)-SUMIFS(TF_Timer,TF_Tekniker,U$4,TF_Dato,$A474))*2,0)/2)))</f>
        <v/>
      </c>
      <c r="V474">
        <f>IF(OR(V$4="",$A474&gt;TODAY()),0,IF(OR(INDEX($B474:$D474,V$5)="F",AND(V$6&gt;0,$A474&lt;V$6),AND(V$7&gt;0,$A474&gt;V$7)),0,MAX(0,ROUND((INDEX($E474:$G474,V$5)-SUMIFS(TF_Timer,TF_Tekniker,V$4,TF_Dato,$A474))*2,0)/2)))</f>
        <v/>
      </c>
      <c r="W474">
        <f>IF(OR(W$4="",$A474&gt;TODAY()),0,IF(OR(INDEX($B474:$D474,W$5)="F",AND(W$6&gt;0,$A474&lt;W$6),AND(W$7&gt;0,$A474&gt;W$7)),0,MAX(0,ROUND((INDEX($E474:$G474,W$5)-SUMIFS(TF_Timer,TF_Tekniker,W$4,TF_Dato,$A474))*2,0)/2)))</f>
        <v/>
      </c>
      <c r="X474">
        <f>IF(OR(X$4="",$A474&gt;TODAY()),0,IF(OR(INDEX($B474:$D474,X$5)="F",AND(X$6&gt;0,$A474&lt;X$6),AND(X$7&gt;0,$A474&gt;X$7)),0,MAX(0,ROUND((INDEX($E474:$G474,X$5)-SUMIFS(TF_Timer,TF_Tekniker,X$4,TF_Dato,$A474))*2,0)/2)))</f>
        <v/>
      </c>
      <c r="Y474">
        <f>IF(OR(Y$4="",$A474&gt;TODAY()),0,IF(OR(INDEX($B474:$D474,Y$5)="F",AND(Y$6&gt;0,$A474&lt;Y$6),AND(Y$7&gt;0,$A474&gt;Y$7)),0,MAX(0,ROUND((INDEX($E474:$G474,Y$5)-SUMIFS(TF_Timer,TF_Tekniker,Y$4,TF_Dato,$A474))*2,0)/2)))</f>
        <v/>
      </c>
      <c r="Z474">
        <f>IF(OR(Z$4="",$A474&gt;TODAY()),0,IF(OR(INDEX($B474:$D474,Z$5)="F",AND(Z$6&gt;0,$A474&lt;Z$6),AND(Z$7&gt;0,$A474&gt;Z$7)),0,MAX(0,ROUND((INDEX($E474:$G474,Z$5)-SUMIFS(TF_Timer,TF_Tekniker,Z$4,TF_Dato,$A474))*2,0)/2)))</f>
        <v/>
      </c>
      <c r="AA474">
        <f>IF(OR(AA$4="",$A474&gt;TODAY()),0,IF(OR(INDEX($B474:$D474,AA$5)="F",AND(AA$6&gt;0,$A474&lt;AA$6),AND(AA$7&gt;0,$A474&gt;AA$7)),0,MAX(0,ROUND((INDEX($E474:$G474,AA$5)-SUMIFS(TF_Timer,TF_Tekniker,AA$4,TF_Dato,$A474))*2,0)/2)))</f>
        <v/>
      </c>
      <c r="AB474">
        <f>IF(OR(AB$4="",$A474&gt;TODAY()),0,IF(OR(INDEX($B474:$D474,AB$5)="F",AND(AB$6&gt;0,$A474&lt;AB$6),AND(AB$7&gt;0,$A474&gt;AB$7)),0,MAX(0,ROUND((INDEX($E474:$G474,AB$5)-SUMIFS(TF_Timer,TF_Tekniker,AB$4,TF_Dato,$A474))*2,0)/2)))</f>
        <v/>
      </c>
      <c r="AC474">
        <f>IF(OR(AC$4="",$A474&gt;TODAY()),0,IF(OR(INDEX($B474:$D474,AC$5)="F",AND(AC$6&gt;0,$A474&lt;AC$6),AND(AC$7&gt;0,$A474&gt;AC$7)),0,MAX(0,ROUND((INDEX($E474:$G474,AC$5)-SUMIFS(TF_Timer,TF_Tekniker,AC$4,TF_Dato,$A474))*2,0)/2)))</f>
        <v/>
      </c>
      <c r="AD474">
        <f>IF(OR(AD$4="",$A474&gt;TODAY()),0,IF(OR(INDEX($B474:$D474,AD$5)="F",AND(AD$6&gt;0,$A474&lt;AD$6),AND(AD$7&gt;0,$A474&gt;AD$7)),0,MAX(0,ROUND((INDEX($E474:$G474,AD$5)-SUMIFS(TF_Timer,TF_Tekniker,AD$4,TF_Dato,$A474))*2,0)/2)))</f>
        <v/>
      </c>
      <c r="AE474">
        <f>IF(OR(AE$4="",$A474&gt;TODAY()),0,IF(OR(INDEX($B474:$D474,AE$5)="F",AND(AE$6&gt;0,$A474&lt;AE$6),AND(AE$7&gt;0,$A474&gt;AE$7)),0,MAX(0,ROUND((INDEX($E474:$G474,AE$5)-SUMIFS(TF_Timer,TF_Tekniker,AE$4,TF_Dato,$A474))*2,0)/2)))</f>
        <v/>
      </c>
      <c r="AF474">
        <f>IF(OR(AF$4="",$A474&gt;TODAY()),0,IF(OR(INDEX($B474:$D474,AF$5)="F",AND(AF$6&gt;0,$A474&lt;AF$6),AND(AF$7&gt;0,$A474&gt;AF$7)),0,MAX(0,ROUND((INDEX($E474:$G474,AF$5)-SUMIFS(TF_Timer,TF_Tekniker,AF$4,TF_Dato,$A474))*2,0)/2)))</f>
        <v/>
      </c>
      <c r="AG474">
        <f>IF(OR(AG$4="",$A474&gt;TODAY()),0,IF(OR(INDEX($B474:$D474,AG$5)="F",AND(AG$6&gt;0,$A474&lt;AG$6),AND(AG$7&gt;0,$A474&gt;AG$7)),0,MAX(0,ROUND((INDEX($E474:$G474,AG$5)-SUMIFS(TF_Timer,TF_Tekniker,AG$4,TF_Dato,$A474))*2,0)/2)))</f>
        <v/>
      </c>
      <c r="AH474">
        <f>IF(OR(AH$4="",$A474&gt;TODAY()),0,IF(OR(INDEX($B474:$D474,AH$5)="F",AND(AH$6&gt;0,$A474&lt;AH$6),AND(AH$7&gt;0,$A474&gt;AH$7)),0,MAX(0,ROUND((INDEX($E474:$G474,AH$5)-SUMIFS(TF_Timer,TF_Tekniker,AH$4,TF_Dato,$A474))*2,0)/2)))</f>
        <v/>
      </c>
      <c r="AI474">
        <f>IF(OR(AI$4="",$A474&gt;TODAY()),0,IF(OR(INDEX($B474:$D474,AI$5)="F",AND(AI$6&gt;0,$A474&lt;AI$6),AND(AI$7&gt;0,$A474&gt;AI$7)),0,MAX(0,ROUND((INDEX($E474:$G474,AI$5)-SUMIFS(TF_Timer,TF_Tekniker,AI$4,TF_Dato,$A474))*2,0)/2)))</f>
        <v/>
      </c>
      <c r="AJ474">
        <f>IF(OR(AJ$4="",$A474&gt;TODAY()),0,IF(OR(INDEX($B474:$D474,AJ$5)="F",AND(AJ$6&gt;0,$A474&lt;AJ$6),AND(AJ$7&gt;0,$A474&gt;AJ$7)),0,MAX(0,ROUND((INDEX($E474:$G474,AJ$5)-SUMIFS(TF_Timer,TF_Tekniker,AJ$4,TF_Dato,$A474))*2,0)/2)))</f>
        <v/>
      </c>
      <c r="AK474">
        <f>IF(OR(AK$4="",$A474&gt;TODAY()),0,IF(OR(INDEX($B474:$D474,AK$5)="F",AND(AK$6&gt;0,$A474&lt;AK$6),AND(AK$7&gt;0,$A474&gt;AK$7)),0,MAX(0,ROUND((INDEX($E474:$G474,AK$5)-SUMIFS(TF_Timer,TF_Tekniker,AK$4,TF_Dato,$A474))*2,0)/2)))</f>
        <v/>
      </c>
      <c r="AL474">
        <f>IF(OR(AL$4="",$A474&gt;TODAY()),0,IF(OR(INDEX($B474:$D474,AL$5)="F",AND(AL$6&gt;0,$A474&lt;AL$6),AND(AL$7&gt;0,$A474&gt;AL$7)),0,MAX(0,ROUND((INDEX($E474:$G474,AL$5)-SUMIFS(TF_Timer,TF_Tekniker,AL$4,TF_Dato,$A474))*2,0)/2)))</f>
        <v/>
      </c>
      <c r="AM474">
        <f>IF(OR(AM$4="",$A474&gt;TODAY()),0,IF(OR(INDEX($B474:$D474,AM$5)="F",AND(AM$6&gt;0,$A474&lt;AM$6),AND(AM$7&gt;0,$A474&gt;AM$7)),0,MAX(0,ROUND((INDEX($E474:$G474,AM$5)-SUMIFS(TF_Timer,TF_Tekniker,AM$4,TF_Dato,$A474))*2,0)/2)))</f>
        <v/>
      </c>
      <c r="AN474">
        <f>IF(OR(AN$4="",$A474&gt;TODAY()),0,IF(OR(INDEX($B474:$D474,AN$5)="F",AND(AN$6&gt;0,$A474&lt;AN$6),AND(AN$7&gt;0,$A474&gt;AN$7)),0,MAX(0,ROUND((INDEX($E474:$G474,AN$5)-SUMIFS(TF_Timer,TF_Tekniker,AN$4,TF_Dato,$A474))*2,0)/2)))</f>
        <v/>
      </c>
      <c r="AO474">
        <f>IF(OR(AO$4="",$A474&gt;TODAY()),0,IF(OR(INDEX($B474:$D474,AO$5)="F",AND(AO$6&gt;0,$A474&lt;AO$6),AND(AO$7&gt;0,$A474&gt;AO$7)),0,MAX(0,ROUND((INDEX($E474:$G474,AO$5)-SUMIFS(TF_Timer,TF_Tekniker,AO$4,TF_Dato,$A474))*2,0)/2)))</f>
        <v/>
      </c>
      <c r="AP474">
        <f>IF(OR(AP$4="",$A474&gt;TODAY()),0,IF(OR(INDEX($B474:$D474,AP$5)="F",AND(AP$6&gt;0,$A474&lt;AP$6),AND(AP$7&gt;0,$A474&gt;AP$7)),0,MAX(0,ROUND((INDEX($E474:$G474,AP$5)-SUMIFS(TF_Timer,TF_Tekniker,AP$4,TF_Dato,$A474))*2,0)/2)))</f>
        <v/>
      </c>
      <c r="AQ474">
        <f>IF(OR(AQ$4="",$A474&gt;TODAY()),0,IF(OR(INDEX($B474:$D474,AQ$5)="F",AND(AQ$6&gt;0,$A474&lt;AQ$6),AND(AQ$7&gt;0,$A474&gt;AQ$7)),0,MAX(0,ROUND((INDEX($E474:$G474,AQ$5)-SUMIFS(TF_Timer,TF_Tekniker,AQ$4,TF_Dato,$A474))*2,0)/2)))</f>
        <v/>
      </c>
      <c r="AR474">
        <f>IF(OR(AR$4="",$A474&gt;TODAY()),0,IF(OR(INDEX($B474:$D474,AR$5)="F",AND(AR$6&gt;0,$A474&lt;AR$6),AND(AR$7&gt;0,$A474&gt;AR$7)),0,MAX(0,ROUND((INDEX($E474:$G474,AR$5)-SUMIFS(TF_Timer,TF_Tekniker,AR$4,TF_Dato,$A474))*2,0)/2)))</f>
        <v/>
      </c>
      <c r="AS474">
        <f>IF(OR(AS$4="",$A474&gt;TODAY()),0,IF(OR(INDEX($B474:$D474,AS$5)="F",AND(AS$6&gt;0,$A474&lt;AS$6),AND(AS$7&gt;0,$A474&gt;AS$7)),0,MAX(0,ROUND((INDEX($E474:$G474,AS$5)-SUMIFS(TF_Timer,TF_Tekniker,AS$4,TF_Dato,$A474))*2,0)/2)))</f>
        <v/>
      </c>
      <c r="AT474">
        <f>IF(OR(AT$4="",$A474&gt;TODAY()),0,IF(OR(INDEX($B474:$D474,AT$5)="F",AND(AT$6&gt;0,$A474&lt;AT$6),AND(AT$7&gt;0,$A474&gt;AT$7)),0,MAX(0,ROUND((INDEX($E474:$G474,AT$5)-SUMIFS(TF_Timer,TF_Tekniker,AT$4,TF_Dato,$A474))*2,0)/2)))</f>
        <v/>
      </c>
      <c r="AU474">
        <f>IF(OR(AU$4="",$A474&gt;TODAY()),0,IF(OR(INDEX($B474:$D474,AU$5)="F",AND(AU$6&gt;0,$A474&lt;AU$6),AND(AU$7&gt;0,$A474&gt;AU$7)),0,MAX(0,ROUND((INDEX($E474:$G474,AU$5)-SUMIFS(TF_Timer,TF_Tekniker,AU$4,TF_Dato,$A474))*2,0)/2)))</f>
        <v/>
      </c>
      <c r="AV474">
        <f>IF(OR(AV$4="",$A474&gt;TODAY()),0,IF(OR(INDEX($B474:$D474,AV$5)="F",AND(AV$6&gt;0,$A474&lt;AV$6),AND(AV$7&gt;0,$A474&gt;AV$7)),0,MAX(0,ROUND((INDEX($E474:$G474,AV$5)-SUMIFS(TF_Timer,TF_Tekniker,AV$4,TF_Dato,$A474))*2,0)/2)))</f>
        <v/>
      </c>
      <c r="AW474">
        <f>IF(OR(AW$4="",$A474&gt;TODAY()),0,IF(OR(INDEX($B474:$D474,AW$5)="F",AND(AW$6&gt;0,$A474&lt;AW$6),AND(AW$7&gt;0,$A474&gt;AW$7)),0,MAX(0,ROUND((INDEX($E474:$G474,AW$5)-SUMIFS(TF_Timer,TF_Tekniker,AW$4,TF_Dato,$A474))*2,0)/2)))</f>
        <v/>
      </c>
      <c r="AX474">
        <f>IF(OR(AX$4="",$A474&gt;TODAY()),0,IF(OR(INDEX($B474:$D474,AX$5)="F",AND(AX$6&gt;0,$A474&lt;AX$6),AND(AX$7&gt;0,$A474&gt;AX$7)),0,MAX(0,ROUND((INDEX($E474:$G474,AX$5)-SUMIFS(TF_Timer,TF_Tekniker,AX$4,TF_Dato,$A474))*2,0)/2)))</f>
        <v/>
      </c>
      <c r="AY474">
        <f>IF(OR(AY$4="",$A474&gt;TODAY()),0,IF(OR(INDEX($B474:$D474,AY$5)="F",AND(AY$6&gt;0,$A474&lt;AY$6),AND(AY$7&gt;0,$A474&gt;AY$7)),0,MAX(0,ROUND((INDEX($E474:$G474,AY$5)-SUMIFS(TF_Timer,TF_Tekniker,AY$4,TF_Dato,$A474))*2,0)/2)))</f>
        <v/>
      </c>
      <c r="AZ474">
        <f>IF(OR(AZ$4="",$A474&gt;TODAY()),0,IF(OR(INDEX($B474:$D474,AZ$5)="F",AND(AZ$6&gt;0,$A474&lt;AZ$6),AND(AZ$7&gt;0,$A474&gt;AZ$7)),0,MAX(0,ROUND((INDEX($E474:$G474,AZ$5)-SUMIFS(TF_Timer,TF_Tekniker,AZ$4,TF_Dato,$A474))*2,0)/2)))</f>
        <v/>
      </c>
      <c r="BA474">
        <f>IF(OR(BA$4="",$A474&gt;TODAY()),0,IF(OR(INDEX($B474:$D474,BA$5)="F",AND(BA$6&gt;0,$A474&lt;BA$6),AND(BA$7&gt;0,$A474&gt;BA$7)),0,MAX(0,ROUND((INDEX($E474:$G474,BA$5)-SUMIFS(TF_Timer,TF_Tekniker,BA$4,TF_Dato,$A474))*2,0)/2)))</f>
        <v/>
      </c>
      <c r="BB474">
        <f>IF(OR(BB$4="",$A474&gt;TODAY()),0,IF(OR(INDEX($B474:$D474,BB$5)="F",AND(BB$6&gt;0,$A474&lt;BB$6),AND(BB$7&gt;0,$A474&gt;BB$7)),0,MAX(0,ROUND((INDEX($E474:$G474,BB$5)-SUMIFS(TF_Timer,TF_Tekniker,BB$4,TF_Dato,$A474))*2,0)/2)))</f>
        <v/>
      </c>
      <c r="BC474">
        <f>IF(OR(BC$4="",$A474&gt;TODAY()),0,IF(OR(INDEX($B474:$D474,BC$5)="F",AND(BC$6&gt;0,$A474&lt;BC$6),AND(BC$7&gt;0,$A474&gt;BC$7)),0,MAX(0,ROUND((INDEX($E474:$G474,BC$5)-SUMIFS(TF_Timer,TF_Tekniker,BC$4,TF_Dato,$A474))*2,0)/2)))</f>
        <v/>
      </c>
      <c r="BD474">
        <f>IF(OR(BD$4="",$A474&gt;TODAY()),0,IF(OR(INDEX($B474:$D474,BD$5)="F",AND(BD$6&gt;0,$A474&lt;BD$6),AND(BD$7&gt;0,$A474&gt;BD$7)),0,MAX(0,ROUND((INDEX($E474:$G474,BD$5)-SUMIFS(TF_Timer,TF_Tekniker,BD$4,TF_Dato,$A474))*2,0)/2)))</f>
        <v/>
      </c>
      <c r="BE474">
        <f>IF(OR(BE$4="",$A474&gt;TODAY()),0,IF(OR(INDEX($B474:$D474,BE$5)="F",AND(BE$6&gt;0,$A474&lt;BE$6),AND(BE$7&gt;0,$A474&gt;BE$7)),0,MAX(0,ROUND((INDEX($E474:$G474,BE$5)-SUMIFS(TF_Timer,TF_Tekniker,BE$4,TF_Dato,$A474))*2,0)/2)))</f>
        <v/>
      </c>
      <c r="BF474">
        <f>IF(OR(BF$4="",$A474&gt;TODAY()),0,IF(OR(INDEX($B474:$D474,BF$5)="F",AND(BF$6&gt;0,$A474&lt;BF$6),AND(BF$7&gt;0,$A474&gt;BF$7)),0,MAX(0,ROUND((INDEX($E474:$G474,BF$5)-SUMIFS(TF_Timer,TF_Tekniker,BF$4,TF_Dato,$A474))*2,0)/2)))</f>
        <v/>
      </c>
      <c r="BG474">
        <f>IF(OR(BG$4="",$A474&gt;TODAY()),0,IF(OR(INDEX($B474:$D474,BG$5)="F",AND(BG$6&gt;0,$A474&lt;BG$6),AND(BG$7&gt;0,$A474&gt;BG$7)),0,MAX(0,ROUND((INDEX($E474:$G474,BG$5)-SUMIFS(TF_Timer,TF_Tekniker,BG$4,TF_Dato,$A474))*2,0)/2)))</f>
        <v/>
      </c>
      <c r="BH474">
        <f>IF(OR(BH$4="",$A474&gt;TODAY()),0,IF(OR(INDEX($B474:$D474,BH$5)="F",AND(BH$6&gt;0,$A474&lt;BH$6),AND(BH$7&gt;0,$A474&gt;BH$7)),0,MAX(0,ROUND((INDEX($E474:$G474,BH$5)-SUMIFS(TF_Timer,TF_Tekniker,BH$4,TF_Dato,$A474))*2,0)/2)))</f>
        <v/>
      </c>
      <c r="BI474">
        <f>IF(OR(BI$4="",$A474&gt;TODAY()),0,IF(OR(INDEX($B474:$D474,BI$5)="F",AND(BI$6&gt;0,$A474&lt;BI$6),AND(BI$7&gt;0,$A474&gt;BI$7)),0,MAX(0,ROUND((INDEX($E474:$G474,BI$5)-SUMIFS(TF_Timer,TF_Tekniker,BI$4,TF_Dato,$A474))*2,0)/2)))</f>
        <v/>
      </c>
    </row>
    <row r="475">
      <c r="A475" s="64">
        <f>A474+1</f>
        <v/>
      </c>
      <c r="B475">
        <f>IF(MOD($A475-INDEX(SkiftStart,1),Syklus)&lt;DagK,"K",IF(MOD($A475-INDEX(SkiftStart,1),Syklus)&lt;DagK+DagH,"H",IF(MOD($A475-INDEX(SkiftStart,1),Syklus)&lt;DagK+DagH+DagD,"D","F")))</f>
        <v/>
      </c>
      <c r="C475">
        <f>IF(MOD($A475-INDEX(SkiftStart,2),Syklus)&lt;DagK,"K",IF(MOD($A475-INDEX(SkiftStart,2),Syklus)&lt;DagK+DagH,"H",IF(MOD($A475-INDEX(SkiftStart,2),Syklus)&lt;DagK+DagH+DagD,"D","F")))</f>
        <v/>
      </c>
      <c r="D475">
        <f>IF(MOD($A475-INDEX(SkiftStart,3),Syklus)&lt;DagK,"K",IF(MOD($A475-INDEX(SkiftStart,3),Syklus)&lt;DagK+DagH,"H",IF(MOD($A475-INDEX(SkiftStart,3),Syklus)&lt;DagK+DagH+DagD,"D","F")))</f>
        <v/>
      </c>
      <c r="E475">
        <f>IF(B475="F",0,IF(WEEKDAY($A475,2)=5,INDEX(TimerFr,MATCH(B475,FaseKode,0)),INDEX(TimerMT,MATCH(B475,FaseKode,0))))</f>
        <v/>
      </c>
      <c r="F475">
        <f>IF(C475="F",0,IF(WEEKDAY($A475,2)=5,INDEX(TimerFr,MATCH(C475,FaseKode,0)),INDEX(TimerMT,MATCH(C475,FaseKode,0))))</f>
        <v/>
      </c>
      <c r="G475">
        <f>IF(D475="F",0,IF(WEEKDAY($A475,2)=5,INDEX(TimerFr,MATCH(D475,FaseKode,0)),INDEX(TimerMT,MATCH(D475,FaseKode,0))))</f>
        <v/>
      </c>
      <c r="H475">
        <f>IF(OR(H$4="",$A475&gt;TODAY()),0,IF(OR(INDEX($B475:$D475,H$5)="F",AND(H$6&gt;0,$A475&lt;H$6),AND(H$7&gt;0,$A475&gt;H$7)),0,MAX(0,ROUND((INDEX($E475:$G475,H$5)-SUMIFS(TF_Timer,TF_Tekniker,H$4,TF_Dato,$A475))*2,0)/2)))</f>
        <v/>
      </c>
      <c r="I475">
        <f>IF(OR(I$4="",$A475&gt;TODAY()),0,IF(OR(INDEX($B475:$D475,I$5)="F",AND(I$6&gt;0,$A475&lt;I$6),AND(I$7&gt;0,$A475&gt;I$7)),0,MAX(0,ROUND((INDEX($E475:$G475,I$5)-SUMIFS(TF_Timer,TF_Tekniker,I$4,TF_Dato,$A475))*2,0)/2)))</f>
        <v/>
      </c>
      <c r="J475">
        <f>IF(OR(J$4="",$A475&gt;TODAY()),0,IF(OR(INDEX($B475:$D475,J$5)="F",AND(J$6&gt;0,$A475&lt;J$6),AND(J$7&gt;0,$A475&gt;J$7)),0,MAX(0,ROUND((INDEX($E475:$G475,J$5)-SUMIFS(TF_Timer,TF_Tekniker,J$4,TF_Dato,$A475))*2,0)/2)))</f>
        <v/>
      </c>
      <c r="K475">
        <f>IF(OR(K$4="",$A475&gt;TODAY()),0,IF(OR(INDEX($B475:$D475,K$5)="F",AND(K$6&gt;0,$A475&lt;K$6),AND(K$7&gt;0,$A475&gt;K$7)),0,MAX(0,ROUND((INDEX($E475:$G475,K$5)-SUMIFS(TF_Timer,TF_Tekniker,K$4,TF_Dato,$A475))*2,0)/2)))</f>
        <v/>
      </c>
      <c r="L475">
        <f>IF(OR(L$4="",$A475&gt;TODAY()),0,IF(OR(INDEX($B475:$D475,L$5)="F",AND(L$6&gt;0,$A475&lt;L$6),AND(L$7&gt;0,$A475&gt;L$7)),0,MAX(0,ROUND((INDEX($E475:$G475,L$5)-SUMIFS(TF_Timer,TF_Tekniker,L$4,TF_Dato,$A475))*2,0)/2)))</f>
        <v/>
      </c>
      <c r="M475">
        <f>IF(OR(M$4="",$A475&gt;TODAY()),0,IF(OR(INDEX($B475:$D475,M$5)="F",AND(M$6&gt;0,$A475&lt;M$6),AND(M$7&gt;0,$A475&gt;M$7)),0,MAX(0,ROUND((INDEX($E475:$G475,M$5)-SUMIFS(TF_Timer,TF_Tekniker,M$4,TF_Dato,$A475))*2,0)/2)))</f>
        <v/>
      </c>
      <c r="N475">
        <f>IF(OR(N$4="",$A475&gt;TODAY()),0,IF(OR(INDEX($B475:$D475,N$5)="F",AND(N$6&gt;0,$A475&lt;N$6),AND(N$7&gt;0,$A475&gt;N$7)),0,MAX(0,ROUND((INDEX($E475:$G475,N$5)-SUMIFS(TF_Timer,TF_Tekniker,N$4,TF_Dato,$A475))*2,0)/2)))</f>
        <v/>
      </c>
      <c r="O475">
        <f>IF(OR(O$4="",$A475&gt;TODAY()),0,IF(OR(INDEX($B475:$D475,O$5)="F",AND(O$6&gt;0,$A475&lt;O$6),AND(O$7&gt;0,$A475&gt;O$7)),0,MAX(0,ROUND((INDEX($E475:$G475,O$5)-SUMIFS(TF_Timer,TF_Tekniker,O$4,TF_Dato,$A475))*2,0)/2)))</f>
        <v/>
      </c>
      <c r="P475">
        <f>IF(OR(P$4="",$A475&gt;TODAY()),0,IF(OR(INDEX($B475:$D475,P$5)="F",AND(P$6&gt;0,$A475&lt;P$6),AND(P$7&gt;0,$A475&gt;P$7)),0,MAX(0,ROUND((INDEX($E475:$G475,P$5)-SUMIFS(TF_Timer,TF_Tekniker,P$4,TF_Dato,$A475))*2,0)/2)))</f>
        <v/>
      </c>
      <c r="Q475">
        <f>IF(OR(Q$4="",$A475&gt;TODAY()),0,IF(OR(INDEX($B475:$D475,Q$5)="F",AND(Q$6&gt;0,$A475&lt;Q$6),AND(Q$7&gt;0,$A475&gt;Q$7)),0,MAX(0,ROUND((INDEX($E475:$G475,Q$5)-SUMIFS(TF_Timer,TF_Tekniker,Q$4,TF_Dato,$A475))*2,0)/2)))</f>
        <v/>
      </c>
      <c r="R475">
        <f>IF(OR(R$4="",$A475&gt;TODAY()),0,IF(OR(INDEX($B475:$D475,R$5)="F",AND(R$6&gt;0,$A475&lt;R$6),AND(R$7&gt;0,$A475&gt;R$7)),0,MAX(0,ROUND((INDEX($E475:$G475,R$5)-SUMIFS(TF_Timer,TF_Tekniker,R$4,TF_Dato,$A475))*2,0)/2)))</f>
        <v/>
      </c>
      <c r="S475">
        <f>IF(OR(S$4="",$A475&gt;TODAY()),0,IF(OR(INDEX($B475:$D475,S$5)="F",AND(S$6&gt;0,$A475&lt;S$6),AND(S$7&gt;0,$A475&gt;S$7)),0,MAX(0,ROUND((INDEX($E475:$G475,S$5)-SUMIFS(TF_Timer,TF_Tekniker,S$4,TF_Dato,$A475))*2,0)/2)))</f>
        <v/>
      </c>
      <c r="T475">
        <f>IF(OR(T$4="",$A475&gt;TODAY()),0,IF(OR(INDEX($B475:$D475,T$5)="F",AND(T$6&gt;0,$A475&lt;T$6),AND(T$7&gt;0,$A475&gt;T$7)),0,MAX(0,ROUND((INDEX($E475:$G475,T$5)-SUMIFS(TF_Timer,TF_Tekniker,T$4,TF_Dato,$A475))*2,0)/2)))</f>
        <v/>
      </c>
      <c r="U475">
        <f>IF(OR(U$4="",$A475&gt;TODAY()),0,IF(OR(INDEX($B475:$D475,U$5)="F",AND(U$6&gt;0,$A475&lt;U$6),AND(U$7&gt;0,$A475&gt;U$7)),0,MAX(0,ROUND((INDEX($E475:$G475,U$5)-SUMIFS(TF_Timer,TF_Tekniker,U$4,TF_Dato,$A475))*2,0)/2)))</f>
        <v/>
      </c>
      <c r="V475">
        <f>IF(OR(V$4="",$A475&gt;TODAY()),0,IF(OR(INDEX($B475:$D475,V$5)="F",AND(V$6&gt;0,$A475&lt;V$6),AND(V$7&gt;0,$A475&gt;V$7)),0,MAX(0,ROUND((INDEX($E475:$G475,V$5)-SUMIFS(TF_Timer,TF_Tekniker,V$4,TF_Dato,$A475))*2,0)/2)))</f>
        <v/>
      </c>
      <c r="W475">
        <f>IF(OR(W$4="",$A475&gt;TODAY()),0,IF(OR(INDEX($B475:$D475,W$5)="F",AND(W$6&gt;0,$A475&lt;W$6),AND(W$7&gt;0,$A475&gt;W$7)),0,MAX(0,ROUND((INDEX($E475:$G475,W$5)-SUMIFS(TF_Timer,TF_Tekniker,W$4,TF_Dato,$A475))*2,0)/2)))</f>
        <v/>
      </c>
      <c r="X475">
        <f>IF(OR(X$4="",$A475&gt;TODAY()),0,IF(OR(INDEX($B475:$D475,X$5)="F",AND(X$6&gt;0,$A475&lt;X$6),AND(X$7&gt;0,$A475&gt;X$7)),0,MAX(0,ROUND((INDEX($E475:$G475,X$5)-SUMIFS(TF_Timer,TF_Tekniker,X$4,TF_Dato,$A475))*2,0)/2)))</f>
        <v/>
      </c>
      <c r="Y475">
        <f>IF(OR(Y$4="",$A475&gt;TODAY()),0,IF(OR(INDEX($B475:$D475,Y$5)="F",AND(Y$6&gt;0,$A475&lt;Y$6),AND(Y$7&gt;0,$A475&gt;Y$7)),0,MAX(0,ROUND((INDEX($E475:$G475,Y$5)-SUMIFS(TF_Timer,TF_Tekniker,Y$4,TF_Dato,$A475))*2,0)/2)))</f>
        <v/>
      </c>
      <c r="Z475">
        <f>IF(OR(Z$4="",$A475&gt;TODAY()),0,IF(OR(INDEX($B475:$D475,Z$5)="F",AND(Z$6&gt;0,$A475&lt;Z$6),AND(Z$7&gt;0,$A475&gt;Z$7)),0,MAX(0,ROUND((INDEX($E475:$G475,Z$5)-SUMIFS(TF_Timer,TF_Tekniker,Z$4,TF_Dato,$A475))*2,0)/2)))</f>
        <v/>
      </c>
      <c r="AA475">
        <f>IF(OR(AA$4="",$A475&gt;TODAY()),0,IF(OR(INDEX($B475:$D475,AA$5)="F",AND(AA$6&gt;0,$A475&lt;AA$6),AND(AA$7&gt;0,$A475&gt;AA$7)),0,MAX(0,ROUND((INDEX($E475:$G475,AA$5)-SUMIFS(TF_Timer,TF_Tekniker,AA$4,TF_Dato,$A475))*2,0)/2)))</f>
        <v/>
      </c>
      <c r="AB475">
        <f>IF(OR(AB$4="",$A475&gt;TODAY()),0,IF(OR(INDEX($B475:$D475,AB$5)="F",AND(AB$6&gt;0,$A475&lt;AB$6),AND(AB$7&gt;0,$A475&gt;AB$7)),0,MAX(0,ROUND((INDEX($E475:$G475,AB$5)-SUMIFS(TF_Timer,TF_Tekniker,AB$4,TF_Dato,$A475))*2,0)/2)))</f>
        <v/>
      </c>
      <c r="AC475">
        <f>IF(OR(AC$4="",$A475&gt;TODAY()),0,IF(OR(INDEX($B475:$D475,AC$5)="F",AND(AC$6&gt;0,$A475&lt;AC$6),AND(AC$7&gt;0,$A475&gt;AC$7)),0,MAX(0,ROUND((INDEX($E475:$G475,AC$5)-SUMIFS(TF_Timer,TF_Tekniker,AC$4,TF_Dato,$A475))*2,0)/2)))</f>
        <v/>
      </c>
      <c r="AD475">
        <f>IF(OR(AD$4="",$A475&gt;TODAY()),0,IF(OR(INDEX($B475:$D475,AD$5)="F",AND(AD$6&gt;0,$A475&lt;AD$6),AND(AD$7&gt;0,$A475&gt;AD$7)),0,MAX(0,ROUND((INDEX($E475:$G475,AD$5)-SUMIFS(TF_Timer,TF_Tekniker,AD$4,TF_Dato,$A475))*2,0)/2)))</f>
        <v/>
      </c>
      <c r="AE475">
        <f>IF(OR(AE$4="",$A475&gt;TODAY()),0,IF(OR(INDEX($B475:$D475,AE$5)="F",AND(AE$6&gt;0,$A475&lt;AE$6),AND(AE$7&gt;0,$A475&gt;AE$7)),0,MAX(0,ROUND((INDEX($E475:$G475,AE$5)-SUMIFS(TF_Timer,TF_Tekniker,AE$4,TF_Dato,$A475))*2,0)/2)))</f>
        <v/>
      </c>
      <c r="AF475">
        <f>IF(OR(AF$4="",$A475&gt;TODAY()),0,IF(OR(INDEX($B475:$D475,AF$5)="F",AND(AF$6&gt;0,$A475&lt;AF$6),AND(AF$7&gt;0,$A475&gt;AF$7)),0,MAX(0,ROUND((INDEX($E475:$G475,AF$5)-SUMIFS(TF_Timer,TF_Tekniker,AF$4,TF_Dato,$A475))*2,0)/2)))</f>
        <v/>
      </c>
      <c r="AG475">
        <f>IF(OR(AG$4="",$A475&gt;TODAY()),0,IF(OR(INDEX($B475:$D475,AG$5)="F",AND(AG$6&gt;0,$A475&lt;AG$6),AND(AG$7&gt;0,$A475&gt;AG$7)),0,MAX(0,ROUND((INDEX($E475:$G475,AG$5)-SUMIFS(TF_Timer,TF_Tekniker,AG$4,TF_Dato,$A475))*2,0)/2)))</f>
        <v/>
      </c>
      <c r="AH475">
        <f>IF(OR(AH$4="",$A475&gt;TODAY()),0,IF(OR(INDEX($B475:$D475,AH$5)="F",AND(AH$6&gt;0,$A475&lt;AH$6),AND(AH$7&gt;0,$A475&gt;AH$7)),0,MAX(0,ROUND((INDEX($E475:$G475,AH$5)-SUMIFS(TF_Timer,TF_Tekniker,AH$4,TF_Dato,$A475))*2,0)/2)))</f>
        <v/>
      </c>
      <c r="AI475">
        <f>IF(OR(AI$4="",$A475&gt;TODAY()),0,IF(OR(INDEX($B475:$D475,AI$5)="F",AND(AI$6&gt;0,$A475&lt;AI$6),AND(AI$7&gt;0,$A475&gt;AI$7)),0,MAX(0,ROUND((INDEX($E475:$G475,AI$5)-SUMIFS(TF_Timer,TF_Tekniker,AI$4,TF_Dato,$A475))*2,0)/2)))</f>
        <v/>
      </c>
      <c r="AJ475">
        <f>IF(OR(AJ$4="",$A475&gt;TODAY()),0,IF(OR(INDEX($B475:$D475,AJ$5)="F",AND(AJ$6&gt;0,$A475&lt;AJ$6),AND(AJ$7&gt;0,$A475&gt;AJ$7)),0,MAX(0,ROUND((INDEX($E475:$G475,AJ$5)-SUMIFS(TF_Timer,TF_Tekniker,AJ$4,TF_Dato,$A475))*2,0)/2)))</f>
        <v/>
      </c>
      <c r="AK475">
        <f>IF(OR(AK$4="",$A475&gt;TODAY()),0,IF(OR(INDEX($B475:$D475,AK$5)="F",AND(AK$6&gt;0,$A475&lt;AK$6),AND(AK$7&gt;0,$A475&gt;AK$7)),0,MAX(0,ROUND((INDEX($E475:$G475,AK$5)-SUMIFS(TF_Timer,TF_Tekniker,AK$4,TF_Dato,$A475))*2,0)/2)))</f>
        <v/>
      </c>
      <c r="AL475">
        <f>IF(OR(AL$4="",$A475&gt;TODAY()),0,IF(OR(INDEX($B475:$D475,AL$5)="F",AND(AL$6&gt;0,$A475&lt;AL$6),AND(AL$7&gt;0,$A475&gt;AL$7)),0,MAX(0,ROUND((INDEX($E475:$G475,AL$5)-SUMIFS(TF_Timer,TF_Tekniker,AL$4,TF_Dato,$A475))*2,0)/2)))</f>
        <v/>
      </c>
      <c r="AM475">
        <f>IF(OR(AM$4="",$A475&gt;TODAY()),0,IF(OR(INDEX($B475:$D475,AM$5)="F",AND(AM$6&gt;0,$A475&lt;AM$6),AND(AM$7&gt;0,$A475&gt;AM$7)),0,MAX(0,ROUND((INDEX($E475:$G475,AM$5)-SUMIFS(TF_Timer,TF_Tekniker,AM$4,TF_Dato,$A475))*2,0)/2)))</f>
        <v/>
      </c>
      <c r="AN475">
        <f>IF(OR(AN$4="",$A475&gt;TODAY()),0,IF(OR(INDEX($B475:$D475,AN$5)="F",AND(AN$6&gt;0,$A475&lt;AN$6),AND(AN$7&gt;0,$A475&gt;AN$7)),0,MAX(0,ROUND((INDEX($E475:$G475,AN$5)-SUMIFS(TF_Timer,TF_Tekniker,AN$4,TF_Dato,$A475))*2,0)/2)))</f>
        <v/>
      </c>
      <c r="AO475">
        <f>IF(OR(AO$4="",$A475&gt;TODAY()),0,IF(OR(INDEX($B475:$D475,AO$5)="F",AND(AO$6&gt;0,$A475&lt;AO$6),AND(AO$7&gt;0,$A475&gt;AO$7)),0,MAX(0,ROUND((INDEX($E475:$G475,AO$5)-SUMIFS(TF_Timer,TF_Tekniker,AO$4,TF_Dato,$A475))*2,0)/2)))</f>
        <v/>
      </c>
      <c r="AP475">
        <f>IF(OR(AP$4="",$A475&gt;TODAY()),0,IF(OR(INDEX($B475:$D475,AP$5)="F",AND(AP$6&gt;0,$A475&lt;AP$6),AND(AP$7&gt;0,$A475&gt;AP$7)),0,MAX(0,ROUND((INDEX($E475:$G475,AP$5)-SUMIFS(TF_Timer,TF_Tekniker,AP$4,TF_Dato,$A475))*2,0)/2)))</f>
        <v/>
      </c>
      <c r="AQ475">
        <f>IF(OR(AQ$4="",$A475&gt;TODAY()),0,IF(OR(INDEX($B475:$D475,AQ$5)="F",AND(AQ$6&gt;0,$A475&lt;AQ$6),AND(AQ$7&gt;0,$A475&gt;AQ$7)),0,MAX(0,ROUND((INDEX($E475:$G475,AQ$5)-SUMIFS(TF_Timer,TF_Tekniker,AQ$4,TF_Dato,$A475))*2,0)/2)))</f>
        <v/>
      </c>
      <c r="AR475">
        <f>IF(OR(AR$4="",$A475&gt;TODAY()),0,IF(OR(INDEX($B475:$D475,AR$5)="F",AND(AR$6&gt;0,$A475&lt;AR$6),AND(AR$7&gt;0,$A475&gt;AR$7)),0,MAX(0,ROUND((INDEX($E475:$G475,AR$5)-SUMIFS(TF_Timer,TF_Tekniker,AR$4,TF_Dato,$A475))*2,0)/2)))</f>
        <v/>
      </c>
      <c r="AS475">
        <f>IF(OR(AS$4="",$A475&gt;TODAY()),0,IF(OR(INDEX($B475:$D475,AS$5)="F",AND(AS$6&gt;0,$A475&lt;AS$6),AND(AS$7&gt;0,$A475&gt;AS$7)),0,MAX(0,ROUND((INDEX($E475:$G475,AS$5)-SUMIFS(TF_Timer,TF_Tekniker,AS$4,TF_Dato,$A475))*2,0)/2)))</f>
        <v/>
      </c>
      <c r="AT475">
        <f>IF(OR(AT$4="",$A475&gt;TODAY()),0,IF(OR(INDEX($B475:$D475,AT$5)="F",AND(AT$6&gt;0,$A475&lt;AT$6),AND(AT$7&gt;0,$A475&gt;AT$7)),0,MAX(0,ROUND((INDEX($E475:$G475,AT$5)-SUMIFS(TF_Timer,TF_Tekniker,AT$4,TF_Dato,$A475))*2,0)/2)))</f>
        <v/>
      </c>
      <c r="AU475">
        <f>IF(OR(AU$4="",$A475&gt;TODAY()),0,IF(OR(INDEX($B475:$D475,AU$5)="F",AND(AU$6&gt;0,$A475&lt;AU$6),AND(AU$7&gt;0,$A475&gt;AU$7)),0,MAX(0,ROUND((INDEX($E475:$G475,AU$5)-SUMIFS(TF_Timer,TF_Tekniker,AU$4,TF_Dato,$A475))*2,0)/2)))</f>
        <v/>
      </c>
      <c r="AV475">
        <f>IF(OR(AV$4="",$A475&gt;TODAY()),0,IF(OR(INDEX($B475:$D475,AV$5)="F",AND(AV$6&gt;0,$A475&lt;AV$6),AND(AV$7&gt;0,$A475&gt;AV$7)),0,MAX(0,ROUND((INDEX($E475:$G475,AV$5)-SUMIFS(TF_Timer,TF_Tekniker,AV$4,TF_Dato,$A475))*2,0)/2)))</f>
        <v/>
      </c>
      <c r="AW475">
        <f>IF(OR(AW$4="",$A475&gt;TODAY()),0,IF(OR(INDEX($B475:$D475,AW$5)="F",AND(AW$6&gt;0,$A475&lt;AW$6),AND(AW$7&gt;0,$A475&gt;AW$7)),0,MAX(0,ROUND((INDEX($E475:$G475,AW$5)-SUMIFS(TF_Timer,TF_Tekniker,AW$4,TF_Dato,$A475))*2,0)/2)))</f>
        <v/>
      </c>
      <c r="AX475">
        <f>IF(OR(AX$4="",$A475&gt;TODAY()),0,IF(OR(INDEX($B475:$D475,AX$5)="F",AND(AX$6&gt;0,$A475&lt;AX$6),AND(AX$7&gt;0,$A475&gt;AX$7)),0,MAX(0,ROUND((INDEX($E475:$G475,AX$5)-SUMIFS(TF_Timer,TF_Tekniker,AX$4,TF_Dato,$A475))*2,0)/2)))</f>
        <v/>
      </c>
      <c r="AY475">
        <f>IF(OR(AY$4="",$A475&gt;TODAY()),0,IF(OR(INDEX($B475:$D475,AY$5)="F",AND(AY$6&gt;0,$A475&lt;AY$6),AND(AY$7&gt;0,$A475&gt;AY$7)),0,MAX(0,ROUND((INDEX($E475:$G475,AY$5)-SUMIFS(TF_Timer,TF_Tekniker,AY$4,TF_Dato,$A475))*2,0)/2)))</f>
        <v/>
      </c>
      <c r="AZ475">
        <f>IF(OR(AZ$4="",$A475&gt;TODAY()),0,IF(OR(INDEX($B475:$D475,AZ$5)="F",AND(AZ$6&gt;0,$A475&lt;AZ$6),AND(AZ$7&gt;0,$A475&gt;AZ$7)),0,MAX(0,ROUND((INDEX($E475:$G475,AZ$5)-SUMIFS(TF_Timer,TF_Tekniker,AZ$4,TF_Dato,$A475))*2,0)/2)))</f>
        <v/>
      </c>
      <c r="BA475">
        <f>IF(OR(BA$4="",$A475&gt;TODAY()),0,IF(OR(INDEX($B475:$D475,BA$5)="F",AND(BA$6&gt;0,$A475&lt;BA$6),AND(BA$7&gt;0,$A475&gt;BA$7)),0,MAX(0,ROUND((INDEX($E475:$G475,BA$5)-SUMIFS(TF_Timer,TF_Tekniker,BA$4,TF_Dato,$A475))*2,0)/2)))</f>
        <v/>
      </c>
      <c r="BB475">
        <f>IF(OR(BB$4="",$A475&gt;TODAY()),0,IF(OR(INDEX($B475:$D475,BB$5)="F",AND(BB$6&gt;0,$A475&lt;BB$6),AND(BB$7&gt;0,$A475&gt;BB$7)),0,MAX(0,ROUND((INDEX($E475:$G475,BB$5)-SUMIFS(TF_Timer,TF_Tekniker,BB$4,TF_Dato,$A475))*2,0)/2)))</f>
        <v/>
      </c>
      <c r="BC475">
        <f>IF(OR(BC$4="",$A475&gt;TODAY()),0,IF(OR(INDEX($B475:$D475,BC$5)="F",AND(BC$6&gt;0,$A475&lt;BC$6),AND(BC$7&gt;0,$A475&gt;BC$7)),0,MAX(0,ROUND((INDEX($E475:$G475,BC$5)-SUMIFS(TF_Timer,TF_Tekniker,BC$4,TF_Dato,$A475))*2,0)/2)))</f>
        <v/>
      </c>
      <c r="BD475">
        <f>IF(OR(BD$4="",$A475&gt;TODAY()),0,IF(OR(INDEX($B475:$D475,BD$5)="F",AND(BD$6&gt;0,$A475&lt;BD$6),AND(BD$7&gt;0,$A475&gt;BD$7)),0,MAX(0,ROUND((INDEX($E475:$G475,BD$5)-SUMIFS(TF_Timer,TF_Tekniker,BD$4,TF_Dato,$A475))*2,0)/2)))</f>
        <v/>
      </c>
      <c r="BE475">
        <f>IF(OR(BE$4="",$A475&gt;TODAY()),0,IF(OR(INDEX($B475:$D475,BE$5)="F",AND(BE$6&gt;0,$A475&lt;BE$6),AND(BE$7&gt;0,$A475&gt;BE$7)),0,MAX(0,ROUND((INDEX($E475:$G475,BE$5)-SUMIFS(TF_Timer,TF_Tekniker,BE$4,TF_Dato,$A475))*2,0)/2)))</f>
        <v/>
      </c>
      <c r="BF475">
        <f>IF(OR(BF$4="",$A475&gt;TODAY()),0,IF(OR(INDEX($B475:$D475,BF$5)="F",AND(BF$6&gt;0,$A475&lt;BF$6),AND(BF$7&gt;0,$A475&gt;BF$7)),0,MAX(0,ROUND((INDEX($E475:$G475,BF$5)-SUMIFS(TF_Timer,TF_Tekniker,BF$4,TF_Dato,$A475))*2,0)/2)))</f>
        <v/>
      </c>
      <c r="BG475">
        <f>IF(OR(BG$4="",$A475&gt;TODAY()),0,IF(OR(INDEX($B475:$D475,BG$5)="F",AND(BG$6&gt;0,$A475&lt;BG$6),AND(BG$7&gt;0,$A475&gt;BG$7)),0,MAX(0,ROUND((INDEX($E475:$G475,BG$5)-SUMIFS(TF_Timer,TF_Tekniker,BG$4,TF_Dato,$A475))*2,0)/2)))</f>
        <v/>
      </c>
      <c r="BH475">
        <f>IF(OR(BH$4="",$A475&gt;TODAY()),0,IF(OR(INDEX($B475:$D475,BH$5)="F",AND(BH$6&gt;0,$A475&lt;BH$6),AND(BH$7&gt;0,$A475&gt;BH$7)),0,MAX(0,ROUND((INDEX($E475:$G475,BH$5)-SUMIFS(TF_Timer,TF_Tekniker,BH$4,TF_Dato,$A475))*2,0)/2)))</f>
        <v/>
      </c>
      <c r="BI475">
        <f>IF(OR(BI$4="",$A475&gt;TODAY()),0,IF(OR(INDEX($B475:$D475,BI$5)="F",AND(BI$6&gt;0,$A475&lt;BI$6),AND(BI$7&gt;0,$A475&gt;BI$7)),0,MAX(0,ROUND((INDEX($E475:$G475,BI$5)-SUMIFS(TF_Timer,TF_Tekniker,BI$4,TF_Dato,$A475))*2,0)/2)))</f>
        <v/>
      </c>
    </row>
    <row r="476">
      <c r="A476" s="64">
        <f>A475+1</f>
        <v/>
      </c>
      <c r="B476">
        <f>IF(MOD($A476-INDEX(SkiftStart,1),Syklus)&lt;DagK,"K",IF(MOD($A476-INDEX(SkiftStart,1),Syklus)&lt;DagK+DagH,"H",IF(MOD($A476-INDEX(SkiftStart,1),Syklus)&lt;DagK+DagH+DagD,"D","F")))</f>
        <v/>
      </c>
      <c r="C476">
        <f>IF(MOD($A476-INDEX(SkiftStart,2),Syklus)&lt;DagK,"K",IF(MOD($A476-INDEX(SkiftStart,2),Syklus)&lt;DagK+DagH,"H",IF(MOD($A476-INDEX(SkiftStart,2),Syklus)&lt;DagK+DagH+DagD,"D","F")))</f>
        <v/>
      </c>
      <c r="D476">
        <f>IF(MOD($A476-INDEX(SkiftStart,3),Syklus)&lt;DagK,"K",IF(MOD($A476-INDEX(SkiftStart,3),Syklus)&lt;DagK+DagH,"H",IF(MOD($A476-INDEX(SkiftStart,3),Syklus)&lt;DagK+DagH+DagD,"D","F")))</f>
        <v/>
      </c>
      <c r="E476">
        <f>IF(B476="F",0,IF(WEEKDAY($A476,2)=5,INDEX(TimerFr,MATCH(B476,FaseKode,0)),INDEX(TimerMT,MATCH(B476,FaseKode,0))))</f>
        <v/>
      </c>
      <c r="F476">
        <f>IF(C476="F",0,IF(WEEKDAY($A476,2)=5,INDEX(TimerFr,MATCH(C476,FaseKode,0)),INDEX(TimerMT,MATCH(C476,FaseKode,0))))</f>
        <v/>
      </c>
      <c r="G476">
        <f>IF(D476="F",0,IF(WEEKDAY($A476,2)=5,INDEX(TimerFr,MATCH(D476,FaseKode,0)),INDEX(TimerMT,MATCH(D476,FaseKode,0))))</f>
        <v/>
      </c>
      <c r="H476">
        <f>IF(OR(H$4="",$A476&gt;TODAY()),0,IF(OR(INDEX($B476:$D476,H$5)="F",AND(H$6&gt;0,$A476&lt;H$6),AND(H$7&gt;0,$A476&gt;H$7)),0,MAX(0,ROUND((INDEX($E476:$G476,H$5)-SUMIFS(TF_Timer,TF_Tekniker,H$4,TF_Dato,$A476))*2,0)/2)))</f>
        <v/>
      </c>
      <c r="I476">
        <f>IF(OR(I$4="",$A476&gt;TODAY()),0,IF(OR(INDEX($B476:$D476,I$5)="F",AND(I$6&gt;0,$A476&lt;I$6),AND(I$7&gt;0,$A476&gt;I$7)),0,MAX(0,ROUND((INDEX($E476:$G476,I$5)-SUMIFS(TF_Timer,TF_Tekniker,I$4,TF_Dato,$A476))*2,0)/2)))</f>
        <v/>
      </c>
      <c r="J476">
        <f>IF(OR(J$4="",$A476&gt;TODAY()),0,IF(OR(INDEX($B476:$D476,J$5)="F",AND(J$6&gt;0,$A476&lt;J$6),AND(J$7&gt;0,$A476&gt;J$7)),0,MAX(0,ROUND((INDEX($E476:$G476,J$5)-SUMIFS(TF_Timer,TF_Tekniker,J$4,TF_Dato,$A476))*2,0)/2)))</f>
        <v/>
      </c>
      <c r="K476">
        <f>IF(OR(K$4="",$A476&gt;TODAY()),0,IF(OR(INDEX($B476:$D476,K$5)="F",AND(K$6&gt;0,$A476&lt;K$6),AND(K$7&gt;0,$A476&gt;K$7)),0,MAX(0,ROUND((INDEX($E476:$G476,K$5)-SUMIFS(TF_Timer,TF_Tekniker,K$4,TF_Dato,$A476))*2,0)/2)))</f>
        <v/>
      </c>
      <c r="L476">
        <f>IF(OR(L$4="",$A476&gt;TODAY()),0,IF(OR(INDEX($B476:$D476,L$5)="F",AND(L$6&gt;0,$A476&lt;L$6),AND(L$7&gt;0,$A476&gt;L$7)),0,MAX(0,ROUND((INDEX($E476:$G476,L$5)-SUMIFS(TF_Timer,TF_Tekniker,L$4,TF_Dato,$A476))*2,0)/2)))</f>
        <v/>
      </c>
      <c r="M476">
        <f>IF(OR(M$4="",$A476&gt;TODAY()),0,IF(OR(INDEX($B476:$D476,M$5)="F",AND(M$6&gt;0,$A476&lt;M$6),AND(M$7&gt;0,$A476&gt;M$7)),0,MAX(0,ROUND((INDEX($E476:$G476,M$5)-SUMIFS(TF_Timer,TF_Tekniker,M$4,TF_Dato,$A476))*2,0)/2)))</f>
        <v/>
      </c>
      <c r="N476">
        <f>IF(OR(N$4="",$A476&gt;TODAY()),0,IF(OR(INDEX($B476:$D476,N$5)="F",AND(N$6&gt;0,$A476&lt;N$6),AND(N$7&gt;0,$A476&gt;N$7)),0,MAX(0,ROUND((INDEX($E476:$G476,N$5)-SUMIFS(TF_Timer,TF_Tekniker,N$4,TF_Dato,$A476))*2,0)/2)))</f>
        <v/>
      </c>
      <c r="O476">
        <f>IF(OR(O$4="",$A476&gt;TODAY()),0,IF(OR(INDEX($B476:$D476,O$5)="F",AND(O$6&gt;0,$A476&lt;O$6),AND(O$7&gt;0,$A476&gt;O$7)),0,MAX(0,ROUND((INDEX($E476:$G476,O$5)-SUMIFS(TF_Timer,TF_Tekniker,O$4,TF_Dato,$A476))*2,0)/2)))</f>
        <v/>
      </c>
      <c r="P476">
        <f>IF(OR(P$4="",$A476&gt;TODAY()),0,IF(OR(INDEX($B476:$D476,P$5)="F",AND(P$6&gt;0,$A476&lt;P$6),AND(P$7&gt;0,$A476&gt;P$7)),0,MAX(0,ROUND((INDEX($E476:$G476,P$5)-SUMIFS(TF_Timer,TF_Tekniker,P$4,TF_Dato,$A476))*2,0)/2)))</f>
        <v/>
      </c>
      <c r="Q476">
        <f>IF(OR(Q$4="",$A476&gt;TODAY()),0,IF(OR(INDEX($B476:$D476,Q$5)="F",AND(Q$6&gt;0,$A476&lt;Q$6),AND(Q$7&gt;0,$A476&gt;Q$7)),0,MAX(0,ROUND((INDEX($E476:$G476,Q$5)-SUMIFS(TF_Timer,TF_Tekniker,Q$4,TF_Dato,$A476))*2,0)/2)))</f>
        <v/>
      </c>
      <c r="R476">
        <f>IF(OR(R$4="",$A476&gt;TODAY()),0,IF(OR(INDEX($B476:$D476,R$5)="F",AND(R$6&gt;0,$A476&lt;R$6),AND(R$7&gt;0,$A476&gt;R$7)),0,MAX(0,ROUND((INDEX($E476:$G476,R$5)-SUMIFS(TF_Timer,TF_Tekniker,R$4,TF_Dato,$A476))*2,0)/2)))</f>
        <v/>
      </c>
      <c r="S476">
        <f>IF(OR(S$4="",$A476&gt;TODAY()),0,IF(OR(INDEX($B476:$D476,S$5)="F",AND(S$6&gt;0,$A476&lt;S$6),AND(S$7&gt;0,$A476&gt;S$7)),0,MAX(0,ROUND((INDEX($E476:$G476,S$5)-SUMIFS(TF_Timer,TF_Tekniker,S$4,TF_Dato,$A476))*2,0)/2)))</f>
        <v/>
      </c>
      <c r="T476">
        <f>IF(OR(T$4="",$A476&gt;TODAY()),0,IF(OR(INDEX($B476:$D476,T$5)="F",AND(T$6&gt;0,$A476&lt;T$6),AND(T$7&gt;0,$A476&gt;T$7)),0,MAX(0,ROUND((INDEX($E476:$G476,T$5)-SUMIFS(TF_Timer,TF_Tekniker,T$4,TF_Dato,$A476))*2,0)/2)))</f>
        <v/>
      </c>
      <c r="U476">
        <f>IF(OR(U$4="",$A476&gt;TODAY()),0,IF(OR(INDEX($B476:$D476,U$5)="F",AND(U$6&gt;0,$A476&lt;U$6),AND(U$7&gt;0,$A476&gt;U$7)),0,MAX(0,ROUND((INDEX($E476:$G476,U$5)-SUMIFS(TF_Timer,TF_Tekniker,U$4,TF_Dato,$A476))*2,0)/2)))</f>
        <v/>
      </c>
      <c r="V476">
        <f>IF(OR(V$4="",$A476&gt;TODAY()),0,IF(OR(INDEX($B476:$D476,V$5)="F",AND(V$6&gt;0,$A476&lt;V$6),AND(V$7&gt;0,$A476&gt;V$7)),0,MAX(0,ROUND((INDEX($E476:$G476,V$5)-SUMIFS(TF_Timer,TF_Tekniker,V$4,TF_Dato,$A476))*2,0)/2)))</f>
        <v/>
      </c>
      <c r="W476">
        <f>IF(OR(W$4="",$A476&gt;TODAY()),0,IF(OR(INDEX($B476:$D476,W$5)="F",AND(W$6&gt;0,$A476&lt;W$6),AND(W$7&gt;0,$A476&gt;W$7)),0,MAX(0,ROUND((INDEX($E476:$G476,W$5)-SUMIFS(TF_Timer,TF_Tekniker,W$4,TF_Dato,$A476))*2,0)/2)))</f>
        <v/>
      </c>
      <c r="X476">
        <f>IF(OR(X$4="",$A476&gt;TODAY()),0,IF(OR(INDEX($B476:$D476,X$5)="F",AND(X$6&gt;0,$A476&lt;X$6),AND(X$7&gt;0,$A476&gt;X$7)),0,MAX(0,ROUND((INDEX($E476:$G476,X$5)-SUMIFS(TF_Timer,TF_Tekniker,X$4,TF_Dato,$A476))*2,0)/2)))</f>
        <v/>
      </c>
      <c r="Y476">
        <f>IF(OR(Y$4="",$A476&gt;TODAY()),0,IF(OR(INDEX($B476:$D476,Y$5)="F",AND(Y$6&gt;0,$A476&lt;Y$6),AND(Y$7&gt;0,$A476&gt;Y$7)),0,MAX(0,ROUND((INDEX($E476:$G476,Y$5)-SUMIFS(TF_Timer,TF_Tekniker,Y$4,TF_Dato,$A476))*2,0)/2)))</f>
        <v/>
      </c>
      <c r="Z476">
        <f>IF(OR(Z$4="",$A476&gt;TODAY()),0,IF(OR(INDEX($B476:$D476,Z$5)="F",AND(Z$6&gt;0,$A476&lt;Z$6),AND(Z$7&gt;0,$A476&gt;Z$7)),0,MAX(0,ROUND((INDEX($E476:$G476,Z$5)-SUMIFS(TF_Timer,TF_Tekniker,Z$4,TF_Dato,$A476))*2,0)/2)))</f>
        <v/>
      </c>
      <c r="AA476">
        <f>IF(OR(AA$4="",$A476&gt;TODAY()),0,IF(OR(INDEX($B476:$D476,AA$5)="F",AND(AA$6&gt;0,$A476&lt;AA$6),AND(AA$7&gt;0,$A476&gt;AA$7)),0,MAX(0,ROUND((INDEX($E476:$G476,AA$5)-SUMIFS(TF_Timer,TF_Tekniker,AA$4,TF_Dato,$A476))*2,0)/2)))</f>
        <v/>
      </c>
      <c r="AB476">
        <f>IF(OR(AB$4="",$A476&gt;TODAY()),0,IF(OR(INDEX($B476:$D476,AB$5)="F",AND(AB$6&gt;0,$A476&lt;AB$6),AND(AB$7&gt;0,$A476&gt;AB$7)),0,MAX(0,ROUND((INDEX($E476:$G476,AB$5)-SUMIFS(TF_Timer,TF_Tekniker,AB$4,TF_Dato,$A476))*2,0)/2)))</f>
        <v/>
      </c>
      <c r="AC476">
        <f>IF(OR(AC$4="",$A476&gt;TODAY()),0,IF(OR(INDEX($B476:$D476,AC$5)="F",AND(AC$6&gt;0,$A476&lt;AC$6),AND(AC$7&gt;0,$A476&gt;AC$7)),0,MAX(0,ROUND((INDEX($E476:$G476,AC$5)-SUMIFS(TF_Timer,TF_Tekniker,AC$4,TF_Dato,$A476))*2,0)/2)))</f>
        <v/>
      </c>
      <c r="AD476">
        <f>IF(OR(AD$4="",$A476&gt;TODAY()),0,IF(OR(INDEX($B476:$D476,AD$5)="F",AND(AD$6&gt;0,$A476&lt;AD$6),AND(AD$7&gt;0,$A476&gt;AD$7)),0,MAX(0,ROUND((INDEX($E476:$G476,AD$5)-SUMIFS(TF_Timer,TF_Tekniker,AD$4,TF_Dato,$A476))*2,0)/2)))</f>
        <v/>
      </c>
      <c r="AE476">
        <f>IF(OR(AE$4="",$A476&gt;TODAY()),0,IF(OR(INDEX($B476:$D476,AE$5)="F",AND(AE$6&gt;0,$A476&lt;AE$6),AND(AE$7&gt;0,$A476&gt;AE$7)),0,MAX(0,ROUND((INDEX($E476:$G476,AE$5)-SUMIFS(TF_Timer,TF_Tekniker,AE$4,TF_Dato,$A476))*2,0)/2)))</f>
        <v/>
      </c>
      <c r="AF476">
        <f>IF(OR(AF$4="",$A476&gt;TODAY()),0,IF(OR(INDEX($B476:$D476,AF$5)="F",AND(AF$6&gt;0,$A476&lt;AF$6),AND(AF$7&gt;0,$A476&gt;AF$7)),0,MAX(0,ROUND((INDEX($E476:$G476,AF$5)-SUMIFS(TF_Timer,TF_Tekniker,AF$4,TF_Dato,$A476))*2,0)/2)))</f>
        <v/>
      </c>
      <c r="AG476">
        <f>IF(OR(AG$4="",$A476&gt;TODAY()),0,IF(OR(INDEX($B476:$D476,AG$5)="F",AND(AG$6&gt;0,$A476&lt;AG$6),AND(AG$7&gt;0,$A476&gt;AG$7)),0,MAX(0,ROUND((INDEX($E476:$G476,AG$5)-SUMIFS(TF_Timer,TF_Tekniker,AG$4,TF_Dato,$A476))*2,0)/2)))</f>
        <v/>
      </c>
      <c r="AH476">
        <f>IF(OR(AH$4="",$A476&gt;TODAY()),0,IF(OR(INDEX($B476:$D476,AH$5)="F",AND(AH$6&gt;0,$A476&lt;AH$6),AND(AH$7&gt;0,$A476&gt;AH$7)),0,MAX(0,ROUND((INDEX($E476:$G476,AH$5)-SUMIFS(TF_Timer,TF_Tekniker,AH$4,TF_Dato,$A476))*2,0)/2)))</f>
        <v/>
      </c>
      <c r="AI476">
        <f>IF(OR(AI$4="",$A476&gt;TODAY()),0,IF(OR(INDEX($B476:$D476,AI$5)="F",AND(AI$6&gt;0,$A476&lt;AI$6),AND(AI$7&gt;0,$A476&gt;AI$7)),0,MAX(0,ROUND((INDEX($E476:$G476,AI$5)-SUMIFS(TF_Timer,TF_Tekniker,AI$4,TF_Dato,$A476))*2,0)/2)))</f>
        <v/>
      </c>
      <c r="AJ476">
        <f>IF(OR(AJ$4="",$A476&gt;TODAY()),0,IF(OR(INDEX($B476:$D476,AJ$5)="F",AND(AJ$6&gt;0,$A476&lt;AJ$6),AND(AJ$7&gt;0,$A476&gt;AJ$7)),0,MAX(0,ROUND((INDEX($E476:$G476,AJ$5)-SUMIFS(TF_Timer,TF_Tekniker,AJ$4,TF_Dato,$A476))*2,0)/2)))</f>
        <v/>
      </c>
      <c r="AK476">
        <f>IF(OR(AK$4="",$A476&gt;TODAY()),0,IF(OR(INDEX($B476:$D476,AK$5)="F",AND(AK$6&gt;0,$A476&lt;AK$6),AND(AK$7&gt;0,$A476&gt;AK$7)),0,MAX(0,ROUND((INDEX($E476:$G476,AK$5)-SUMIFS(TF_Timer,TF_Tekniker,AK$4,TF_Dato,$A476))*2,0)/2)))</f>
        <v/>
      </c>
      <c r="AL476">
        <f>IF(OR(AL$4="",$A476&gt;TODAY()),0,IF(OR(INDEX($B476:$D476,AL$5)="F",AND(AL$6&gt;0,$A476&lt;AL$6),AND(AL$7&gt;0,$A476&gt;AL$7)),0,MAX(0,ROUND((INDEX($E476:$G476,AL$5)-SUMIFS(TF_Timer,TF_Tekniker,AL$4,TF_Dato,$A476))*2,0)/2)))</f>
        <v/>
      </c>
      <c r="AM476">
        <f>IF(OR(AM$4="",$A476&gt;TODAY()),0,IF(OR(INDEX($B476:$D476,AM$5)="F",AND(AM$6&gt;0,$A476&lt;AM$6),AND(AM$7&gt;0,$A476&gt;AM$7)),0,MAX(0,ROUND((INDEX($E476:$G476,AM$5)-SUMIFS(TF_Timer,TF_Tekniker,AM$4,TF_Dato,$A476))*2,0)/2)))</f>
        <v/>
      </c>
      <c r="AN476">
        <f>IF(OR(AN$4="",$A476&gt;TODAY()),0,IF(OR(INDEX($B476:$D476,AN$5)="F",AND(AN$6&gt;0,$A476&lt;AN$6),AND(AN$7&gt;0,$A476&gt;AN$7)),0,MAX(0,ROUND((INDEX($E476:$G476,AN$5)-SUMIFS(TF_Timer,TF_Tekniker,AN$4,TF_Dato,$A476))*2,0)/2)))</f>
        <v/>
      </c>
      <c r="AO476">
        <f>IF(OR(AO$4="",$A476&gt;TODAY()),0,IF(OR(INDEX($B476:$D476,AO$5)="F",AND(AO$6&gt;0,$A476&lt;AO$6),AND(AO$7&gt;0,$A476&gt;AO$7)),0,MAX(0,ROUND((INDEX($E476:$G476,AO$5)-SUMIFS(TF_Timer,TF_Tekniker,AO$4,TF_Dato,$A476))*2,0)/2)))</f>
        <v/>
      </c>
      <c r="AP476">
        <f>IF(OR(AP$4="",$A476&gt;TODAY()),0,IF(OR(INDEX($B476:$D476,AP$5)="F",AND(AP$6&gt;0,$A476&lt;AP$6),AND(AP$7&gt;0,$A476&gt;AP$7)),0,MAX(0,ROUND((INDEX($E476:$G476,AP$5)-SUMIFS(TF_Timer,TF_Tekniker,AP$4,TF_Dato,$A476))*2,0)/2)))</f>
        <v/>
      </c>
      <c r="AQ476">
        <f>IF(OR(AQ$4="",$A476&gt;TODAY()),0,IF(OR(INDEX($B476:$D476,AQ$5)="F",AND(AQ$6&gt;0,$A476&lt;AQ$6),AND(AQ$7&gt;0,$A476&gt;AQ$7)),0,MAX(0,ROUND((INDEX($E476:$G476,AQ$5)-SUMIFS(TF_Timer,TF_Tekniker,AQ$4,TF_Dato,$A476))*2,0)/2)))</f>
        <v/>
      </c>
      <c r="AR476">
        <f>IF(OR(AR$4="",$A476&gt;TODAY()),0,IF(OR(INDEX($B476:$D476,AR$5)="F",AND(AR$6&gt;0,$A476&lt;AR$6),AND(AR$7&gt;0,$A476&gt;AR$7)),0,MAX(0,ROUND((INDEX($E476:$G476,AR$5)-SUMIFS(TF_Timer,TF_Tekniker,AR$4,TF_Dato,$A476))*2,0)/2)))</f>
        <v/>
      </c>
      <c r="AS476">
        <f>IF(OR(AS$4="",$A476&gt;TODAY()),0,IF(OR(INDEX($B476:$D476,AS$5)="F",AND(AS$6&gt;0,$A476&lt;AS$6),AND(AS$7&gt;0,$A476&gt;AS$7)),0,MAX(0,ROUND((INDEX($E476:$G476,AS$5)-SUMIFS(TF_Timer,TF_Tekniker,AS$4,TF_Dato,$A476))*2,0)/2)))</f>
        <v/>
      </c>
      <c r="AT476">
        <f>IF(OR(AT$4="",$A476&gt;TODAY()),0,IF(OR(INDEX($B476:$D476,AT$5)="F",AND(AT$6&gt;0,$A476&lt;AT$6),AND(AT$7&gt;0,$A476&gt;AT$7)),0,MAX(0,ROUND((INDEX($E476:$G476,AT$5)-SUMIFS(TF_Timer,TF_Tekniker,AT$4,TF_Dato,$A476))*2,0)/2)))</f>
        <v/>
      </c>
      <c r="AU476">
        <f>IF(OR(AU$4="",$A476&gt;TODAY()),0,IF(OR(INDEX($B476:$D476,AU$5)="F",AND(AU$6&gt;0,$A476&lt;AU$6),AND(AU$7&gt;0,$A476&gt;AU$7)),0,MAX(0,ROUND((INDEX($E476:$G476,AU$5)-SUMIFS(TF_Timer,TF_Tekniker,AU$4,TF_Dato,$A476))*2,0)/2)))</f>
        <v/>
      </c>
      <c r="AV476">
        <f>IF(OR(AV$4="",$A476&gt;TODAY()),0,IF(OR(INDEX($B476:$D476,AV$5)="F",AND(AV$6&gt;0,$A476&lt;AV$6),AND(AV$7&gt;0,$A476&gt;AV$7)),0,MAX(0,ROUND((INDEX($E476:$G476,AV$5)-SUMIFS(TF_Timer,TF_Tekniker,AV$4,TF_Dato,$A476))*2,0)/2)))</f>
        <v/>
      </c>
      <c r="AW476">
        <f>IF(OR(AW$4="",$A476&gt;TODAY()),0,IF(OR(INDEX($B476:$D476,AW$5)="F",AND(AW$6&gt;0,$A476&lt;AW$6),AND(AW$7&gt;0,$A476&gt;AW$7)),0,MAX(0,ROUND((INDEX($E476:$G476,AW$5)-SUMIFS(TF_Timer,TF_Tekniker,AW$4,TF_Dato,$A476))*2,0)/2)))</f>
        <v/>
      </c>
      <c r="AX476">
        <f>IF(OR(AX$4="",$A476&gt;TODAY()),0,IF(OR(INDEX($B476:$D476,AX$5)="F",AND(AX$6&gt;0,$A476&lt;AX$6),AND(AX$7&gt;0,$A476&gt;AX$7)),0,MAX(0,ROUND((INDEX($E476:$G476,AX$5)-SUMIFS(TF_Timer,TF_Tekniker,AX$4,TF_Dato,$A476))*2,0)/2)))</f>
        <v/>
      </c>
      <c r="AY476">
        <f>IF(OR(AY$4="",$A476&gt;TODAY()),0,IF(OR(INDEX($B476:$D476,AY$5)="F",AND(AY$6&gt;0,$A476&lt;AY$6),AND(AY$7&gt;0,$A476&gt;AY$7)),0,MAX(0,ROUND((INDEX($E476:$G476,AY$5)-SUMIFS(TF_Timer,TF_Tekniker,AY$4,TF_Dato,$A476))*2,0)/2)))</f>
        <v/>
      </c>
      <c r="AZ476">
        <f>IF(OR(AZ$4="",$A476&gt;TODAY()),0,IF(OR(INDEX($B476:$D476,AZ$5)="F",AND(AZ$6&gt;0,$A476&lt;AZ$6),AND(AZ$7&gt;0,$A476&gt;AZ$7)),0,MAX(0,ROUND((INDEX($E476:$G476,AZ$5)-SUMIFS(TF_Timer,TF_Tekniker,AZ$4,TF_Dato,$A476))*2,0)/2)))</f>
        <v/>
      </c>
      <c r="BA476">
        <f>IF(OR(BA$4="",$A476&gt;TODAY()),0,IF(OR(INDEX($B476:$D476,BA$5)="F",AND(BA$6&gt;0,$A476&lt;BA$6),AND(BA$7&gt;0,$A476&gt;BA$7)),0,MAX(0,ROUND((INDEX($E476:$G476,BA$5)-SUMIFS(TF_Timer,TF_Tekniker,BA$4,TF_Dato,$A476))*2,0)/2)))</f>
        <v/>
      </c>
      <c r="BB476">
        <f>IF(OR(BB$4="",$A476&gt;TODAY()),0,IF(OR(INDEX($B476:$D476,BB$5)="F",AND(BB$6&gt;0,$A476&lt;BB$6),AND(BB$7&gt;0,$A476&gt;BB$7)),0,MAX(0,ROUND((INDEX($E476:$G476,BB$5)-SUMIFS(TF_Timer,TF_Tekniker,BB$4,TF_Dato,$A476))*2,0)/2)))</f>
        <v/>
      </c>
      <c r="BC476">
        <f>IF(OR(BC$4="",$A476&gt;TODAY()),0,IF(OR(INDEX($B476:$D476,BC$5)="F",AND(BC$6&gt;0,$A476&lt;BC$6),AND(BC$7&gt;0,$A476&gt;BC$7)),0,MAX(0,ROUND((INDEX($E476:$G476,BC$5)-SUMIFS(TF_Timer,TF_Tekniker,BC$4,TF_Dato,$A476))*2,0)/2)))</f>
        <v/>
      </c>
      <c r="BD476">
        <f>IF(OR(BD$4="",$A476&gt;TODAY()),0,IF(OR(INDEX($B476:$D476,BD$5)="F",AND(BD$6&gt;0,$A476&lt;BD$6),AND(BD$7&gt;0,$A476&gt;BD$7)),0,MAX(0,ROUND((INDEX($E476:$G476,BD$5)-SUMIFS(TF_Timer,TF_Tekniker,BD$4,TF_Dato,$A476))*2,0)/2)))</f>
        <v/>
      </c>
      <c r="BE476">
        <f>IF(OR(BE$4="",$A476&gt;TODAY()),0,IF(OR(INDEX($B476:$D476,BE$5)="F",AND(BE$6&gt;0,$A476&lt;BE$6),AND(BE$7&gt;0,$A476&gt;BE$7)),0,MAX(0,ROUND((INDEX($E476:$G476,BE$5)-SUMIFS(TF_Timer,TF_Tekniker,BE$4,TF_Dato,$A476))*2,0)/2)))</f>
        <v/>
      </c>
      <c r="BF476">
        <f>IF(OR(BF$4="",$A476&gt;TODAY()),0,IF(OR(INDEX($B476:$D476,BF$5)="F",AND(BF$6&gt;0,$A476&lt;BF$6),AND(BF$7&gt;0,$A476&gt;BF$7)),0,MAX(0,ROUND((INDEX($E476:$G476,BF$5)-SUMIFS(TF_Timer,TF_Tekniker,BF$4,TF_Dato,$A476))*2,0)/2)))</f>
        <v/>
      </c>
      <c r="BG476">
        <f>IF(OR(BG$4="",$A476&gt;TODAY()),0,IF(OR(INDEX($B476:$D476,BG$5)="F",AND(BG$6&gt;0,$A476&lt;BG$6),AND(BG$7&gt;0,$A476&gt;BG$7)),0,MAX(0,ROUND((INDEX($E476:$G476,BG$5)-SUMIFS(TF_Timer,TF_Tekniker,BG$4,TF_Dato,$A476))*2,0)/2)))</f>
        <v/>
      </c>
      <c r="BH476">
        <f>IF(OR(BH$4="",$A476&gt;TODAY()),0,IF(OR(INDEX($B476:$D476,BH$5)="F",AND(BH$6&gt;0,$A476&lt;BH$6),AND(BH$7&gt;0,$A476&gt;BH$7)),0,MAX(0,ROUND((INDEX($E476:$G476,BH$5)-SUMIFS(TF_Timer,TF_Tekniker,BH$4,TF_Dato,$A476))*2,0)/2)))</f>
        <v/>
      </c>
      <c r="BI476">
        <f>IF(OR(BI$4="",$A476&gt;TODAY()),0,IF(OR(INDEX($B476:$D476,BI$5)="F",AND(BI$6&gt;0,$A476&lt;BI$6),AND(BI$7&gt;0,$A476&gt;BI$7)),0,MAX(0,ROUND((INDEX($E476:$G476,BI$5)-SUMIFS(TF_Timer,TF_Tekniker,BI$4,TF_Dato,$A476))*2,0)/2)))</f>
        <v/>
      </c>
    </row>
    <row r="477">
      <c r="A477" s="64">
        <f>A476+1</f>
        <v/>
      </c>
      <c r="B477">
        <f>IF(MOD($A477-INDEX(SkiftStart,1),Syklus)&lt;DagK,"K",IF(MOD($A477-INDEX(SkiftStart,1),Syklus)&lt;DagK+DagH,"H",IF(MOD($A477-INDEX(SkiftStart,1),Syklus)&lt;DagK+DagH+DagD,"D","F")))</f>
        <v/>
      </c>
      <c r="C477">
        <f>IF(MOD($A477-INDEX(SkiftStart,2),Syklus)&lt;DagK,"K",IF(MOD($A477-INDEX(SkiftStart,2),Syklus)&lt;DagK+DagH,"H",IF(MOD($A477-INDEX(SkiftStart,2),Syklus)&lt;DagK+DagH+DagD,"D","F")))</f>
        <v/>
      </c>
      <c r="D477">
        <f>IF(MOD($A477-INDEX(SkiftStart,3),Syklus)&lt;DagK,"K",IF(MOD($A477-INDEX(SkiftStart,3),Syklus)&lt;DagK+DagH,"H",IF(MOD($A477-INDEX(SkiftStart,3),Syklus)&lt;DagK+DagH+DagD,"D","F")))</f>
        <v/>
      </c>
      <c r="E477">
        <f>IF(B477="F",0,IF(WEEKDAY($A477,2)=5,INDEX(TimerFr,MATCH(B477,FaseKode,0)),INDEX(TimerMT,MATCH(B477,FaseKode,0))))</f>
        <v/>
      </c>
      <c r="F477">
        <f>IF(C477="F",0,IF(WEEKDAY($A477,2)=5,INDEX(TimerFr,MATCH(C477,FaseKode,0)),INDEX(TimerMT,MATCH(C477,FaseKode,0))))</f>
        <v/>
      </c>
      <c r="G477">
        <f>IF(D477="F",0,IF(WEEKDAY($A477,2)=5,INDEX(TimerFr,MATCH(D477,FaseKode,0)),INDEX(TimerMT,MATCH(D477,FaseKode,0))))</f>
        <v/>
      </c>
      <c r="H477">
        <f>IF(OR(H$4="",$A477&gt;TODAY()),0,IF(OR(INDEX($B477:$D477,H$5)="F",AND(H$6&gt;0,$A477&lt;H$6),AND(H$7&gt;0,$A477&gt;H$7)),0,MAX(0,ROUND((INDEX($E477:$G477,H$5)-SUMIFS(TF_Timer,TF_Tekniker,H$4,TF_Dato,$A477))*2,0)/2)))</f>
        <v/>
      </c>
      <c r="I477">
        <f>IF(OR(I$4="",$A477&gt;TODAY()),0,IF(OR(INDEX($B477:$D477,I$5)="F",AND(I$6&gt;0,$A477&lt;I$6),AND(I$7&gt;0,$A477&gt;I$7)),0,MAX(0,ROUND((INDEX($E477:$G477,I$5)-SUMIFS(TF_Timer,TF_Tekniker,I$4,TF_Dato,$A477))*2,0)/2)))</f>
        <v/>
      </c>
      <c r="J477">
        <f>IF(OR(J$4="",$A477&gt;TODAY()),0,IF(OR(INDEX($B477:$D477,J$5)="F",AND(J$6&gt;0,$A477&lt;J$6),AND(J$7&gt;0,$A477&gt;J$7)),0,MAX(0,ROUND((INDEX($E477:$G477,J$5)-SUMIFS(TF_Timer,TF_Tekniker,J$4,TF_Dato,$A477))*2,0)/2)))</f>
        <v/>
      </c>
      <c r="K477">
        <f>IF(OR(K$4="",$A477&gt;TODAY()),0,IF(OR(INDEX($B477:$D477,K$5)="F",AND(K$6&gt;0,$A477&lt;K$6),AND(K$7&gt;0,$A477&gt;K$7)),0,MAX(0,ROUND((INDEX($E477:$G477,K$5)-SUMIFS(TF_Timer,TF_Tekniker,K$4,TF_Dato,$A477))*2,0)/2)))</f>
        <v/>
      </c>
      <c r="L477">
        <f>IF(OR(L$4="",$A477&gt;TODAY()),0,IF(OR(INDEX($B477:$D477,L$5)="F",AND(L$6&gt;0,$A477&lt;L$6),AND(L$7&gt;0,$A477&gt;L$7)),0,MAX(0,ROUND((INDEX($E477:$G477,L$5)-SUMIFS(TF_Timer,TF_Tekniker,L$4,TF_Dato,$A477))*2,0)/2)))</f>
        <v/>
      </c>
      <c r="M477">
        <f>IF(OR(M$4="",$A477&gt;TODAY()),0,IF(OR(INDEX($B477:$D477,M$5)="F",AND(M$6&gt;0,$A477&lt;M$6),AND(M$7&gt;0,$A477&gt;M$7)),0,MAX(0,ROUND((INDEX($E477:$G477,M$5)-SUMIFS(TF_Timer,TF_Tekniker,M$4,TF_Dato,$A477))*2,0)/2)))</f>
        <v/>
      </c>
      <c r="N477">
        <f>IF(OR(N$4="",$A477&gt;TODAY()),0,IF(OR(INDEX($B477:$D477,N$5)="F",AND(N$6&gt;0,$A477&lt;N$6),AND(N$7&gt;0,$A477&gt;N$7)),0,MAX(0,ROUND((INDEX($E477:$G477,N$5)-SUMIFS(TF_Timer,TF_Tekniker,N$4,TF_Dato,$A477))*2,0)/2)))</f>
        <v/>
      </c>
      <c r="O477">
        <f>IF(OR(O$4="",$A477&gt;TODAY()),0,IF(OR(INDEX($B477:$D477,O$5)="F",AND(O$6&gt;0,$A477&lt;O$6),AND(O$7&gt;0,$A477&gt;O$7)),0,MAX(0,ROUND((INDEX($E477:$G477,O$5)-SUMIFS(TF_Timer,TF_Tekniker,O$4,TF_Dato,$A477))*2,0)/2)))</f>
        <v/>
      </c>
      <c r="P477">
        <f>IF(OR(P$4="",$A477&gt;TODAY()),0,IF(OR(INDEX($B477:$D477,P$5)="F",AND(P$6&gt;0,$A477&lt;P$6),AND(P$7&gt;0,$A477&gt;P$7)),0,MAX(0,ROUND((INDEX($E477:$G477,P$5)-SUMIFS(TF_Timer,TF_Tekniker,P$4,TF_Dato,$A477))*2,0)/2)))</f>
        <v/>
      </c>
      <c r="Q477">
        <f>IF(OR(Q$4="",$A477&gt;TODAY()),0,IF(OR(INDEX($B477:$D477,Q$5)="F",AND(Q$6&gt;0,$A477&lt;Q$6),AND(Q$7&gt;0,$A477&gt;Q$7)),0,MAX(0,ROUND((INDEX($E477:$G477,Q$5)-SUMIFS(TF_Timer,TF_Tekniker,Q$4,TF_Dato,$A477))*2,0)/2)))</f>
        <v/>
      </c>
      <c r="R477">
        <f>IF(OR(R$4="",$A477&gt;TODAY()),0,IF(OR(INDEX($B477:$D477,R$5)="F",AND(R$6&gt;0,$A477&lt;R$6),AND(R$7&gt;0,$A477&gt;R$7)),0,MAX(0,ROUND((INDEX($E477:$G477,R$5)-SUMIFS(TF_Timer,TF_Tekniker,R$4,TF_Dato,$A477))*2,0)/2)))</f>
        <v/>
      </c>
      <c r="S477">
        <f>IF(OR(S$4="",$A477&gt;TODAY()),0,IF(OR(INDEX($B477:$D477,S$5)="F",AND(S$6&gt;0,$A477&lt;S$6),AND(S$7&gt;0,$A477&gt;S$7)),0,MAX(0,ROUND((INDEX($E477:$G477,S$5)-SUMIFS(TF_Timer,TF_Tekniker,S$4,TF_Dato,$A477))*2,0)/2)))</f>
        <v/>
      </c>
      <c r="T477">
        <f>IF(OR(T$4="",$A477&gt;TODAY()),0,IF(OR(INDEX($B477:$D477,T$5)="F",AND(T$6&gt;0,$A477&lt;T$6),AND(T$7&gt;0,$A477&gt;T$7)),0,MAX(0,ROUND((INDEX($E477:$G477,T$5)-SUMIFS(TF_Timer,TF_Tekniker,T$4,TF_Dato,$A477))*2,0)/2)))</f>
        <v/>
      </c>
      <c r="U477">
        <f>IF(OR(U$4="",$A477&gt;TODAY()),0,IF(OR(INDEX($B477:$D477,U$5)="F",AND(U$6&gt;0,$A477&lt;U$6),AND(U$7&gt;0,$A477&gt;U$7)),0,MAX(0,ROUND((INDEX($E477:$G477,U$5)-SUMIFS(TF_Timer,TF_Tekniker,U$4,TF_Dato,$A477))*2,0)/2)))</f>
        <v/>
      </c>
      <c r="V477">
        <f>IF(OR(V$4="",$A477&gt;TODAY()),0,IF(OR(INDEX($B477:$D477,V$5)="F",AND(V$6&gt;0,$A477&lt;V$6),AND(V$7&gt;0,$A477&gt;V$7)),0,MAX(0,ROUND((INDEX($E477:$G477,V$5)-SUMIFS(TF_Timer,TF_Tekniker,V$4,TF_Dato,$A477))*2,0)/2)))</f>
        <v/>
      </c>
      <c r="W477">
        <f>IF(OR(W$4="",$A477&gt;TODAY()),0,IF(OR(INDEX($B477:$D477,W$5)="F",AND(W$6&gt;0,$A477&lt;W$6),AND(W$7&gt;0,$A477&gt;W$7)),0,MAX(0,ROUND((INDEX($E477:$G477,W$5)-SUMIFS(TF_Timer,TF_Tekniker,W$4,TF_Dato,$A477))*2,0)/2)))</f>
        <v/>
      </c>
      <c r="X477">
        <f>IF(OR(X$4="",$A477&gt;TODAY()),0,IF(OR(INDEX($B477:$D477,X$5)="F",AND(X$6&gt;0,$A477&lt;X$6),AND(X$7&gt;0,$A477&gt;X$7)),0,MAX(0,ROUND((INDEX($E477:$G477,X$5)-SUMIFS(TF_Timer,TF_Tekniker,X$4,TF_Dato,$A477))*2,0)/2)))</f>
        <v/>
      </c>
      <c r="Y477">
        <f>IF(OR(Y$4="",$A477&gt;TODAY()),0,IF(OR(INDEX($B477:$D477,Y$5)="F",AND(Y$6&gt;0,$A477&lt;Y$6),AND(Y$7&gt;0,$A477&gt;Y$7)),0,MAX(0,ROUND((INDEX($E477:$G477,Y$5)-SUMIFS(TF_Timer,TF_Tekniker,Y$4,TF_Dato,$A477))*2,0)/2)))</f>
        <v/>
      </c>
      <c r="Z477">
        <f>IF(OR(Z$4="",$A477&gt;TODAY()),0,IF(OR(INDEX($B477:$D477,Z$5)="F",AND(Z$6&gt;0,$A477&lt;Z$6),AND(Z$7&gt;0,$A477&gt;Z$7)),0,MAX(0,ROUND((INDEX($E477:$G477,Z$5)-SUMIFS(TF_Timer,TF_Tekniker,Z$4,TF_Dato,$A477))*2,0)/2)))</f>
        <v/>
      </c>
      <c r="AA477">
        <f>IF(OR(AA$4="",$A477&gt;TODAY()),0,IF(OR(INDEX($B477:$D477,AA$5)="F",AND(AA$6&gt;0,$A477&lt;AA$6),AND(AA$7&gt;0,$A477&gt;AA$7)),0,MAX(0,ROUND((INDEX($E477:$G477,AA$5)-SUMIFS(TF_Timer,TF_Tekniker,AA$4,TF_Dato,$A477))*2,0)/2)))</f>
        <v/>
      </c>
      <c r="AB477">
        <f>IF(OR(AB$4="",$A477&gt;TODAY()),0,IF(OR(INDEX($B477:$D477,AB$5)="F",AND(AB$6&gt;0,$A477&lt;AB$6),AND(AB$7&gt;0,$A477&gt;AB$7)),0,MAX(0,ROUND((INDEX($E477:$G477,AB$5)-SUMIFS(TF_Timer,TF_Tekniker,AB$4,TF_Dato,$A477))*2,0)/2)))</f>
        <v/>
      </c>
      <c r="AC477">
        <f>IF(OR(AC$4="",$A477&gt;TODAY()),0,IF(OR(INDEX($B477:$D477,AC$5)="F",AND(AC$6&gt;0,$A477&lt;AC$6),AND(AC$7&gt;0,$A477&gt;AC$7)),0,MAX(0,ROUND((INDEX($E477:$G477,AC$5)-SUMIFS(TF_Timer,TF_Tekniker,AC$4,TF_Dato,$A477))*2,0)/2)))</f>
        <v/>
      </c>
      <c r="AD477">
        <f>IF(OR(AD$4="",$A477&gt;TODAY()),0,IF(OR(INDEX($B477:$D477,AD$5)="F",AND(AD$6&gt;0,$A477&lt;AD$6),AND(AD$7&gt;0,$A477&gt;AD$7)),0,MAX(0,ROUND((INDEX($E477:$G477,AD$5)-SUMIFS(TF_Timer,TF_Tekniker,AD$4,TF_Dato,$A477))*2,0)/2)))</f>
        <v/>
      </c>
      <c r="AE477">
        <f>IF(OR(AE$4="",$A477&gt;TODAY()),0,IF(OR(INDEX($B477:$D477,AE$5)="F",AND(AE$6&gt;0,$A477&lt;AE$6),AND(AE$7&gt;0,$A477&gt;AE$7)),0,MAX(0,ROUND((INDEX($E477:$G477,AE$5)-SUMIFS(TF_Timer,TF_Tekniker,AE$4,TF_Dato,$A477))*2,0)/2)))</f>
        <v/>
      </c>
      <c r="AF477">
        <f>IF(OR(AF$4="",$A477&gt;TODAY()),0,IF(OR(INDEX($B477:$D477,AF$5)="F",AND(AF$6&gt;0,$A477&lt;AF$6),AND(AF$7&gt;0,$A477&gt;AF$7)),0,MAX(0,ROUND((INDEX($E477:$G477,AF$5)-SUMIFS(TF_Timer,TF_Tekniker,AF$4,TF_Dato,$A477))*2,0)/2)))</f>
        <v/>
      </c>
      <c r="AG477">
        <f>IF(OR(AG$4="",$A477&gt;TODAY()),0,IF(OR(INDEX($B477:$D477,AG$5)="F",AND(AG$6&gt;0,$A477&lt;AG$6),AND(AG$7&gt;0,$A477&gt;AG$7)),0,MAX(0,ROUND((INDEX($E477:$G477,AG$5)-SUMIFS(TF_Timer,TF_Tekniker,AG$4,TF_Dato,$A477))*2,0)/2)))</f>
        <v/>
      </c>
      <c r="AH477">
        <f>IF(OR(AH$4="",$A477&gt;TODAY()),0,IF(OR(INDEX($B477:$D477,AH$5)="F",AND(AH$6&gt;0,$A477&lt;AH$6),AND(AH$7&gt;0,$A477&gt;AH$7)),0,MAX(0,ROUND((INDEX($E477:$G477,AH$5)-SUMIFS(TF_Timer,TF_Tekniker,AH$4,TF_Dato,$A477))*2,0)/2)))</f>
        <v/>
      </c>
      <c r="AI477">
        <f>IF(OR(AI$4="",$A477&gt;TODAY()),0,IF(OR(INDEX($B477:$D477,AI$5)="F",AND(AI$6&gt;0,$A477&lt;AI$6),AND(AI$7&gt;0,$A477&gt;AI$7)),0,MAX(0,ROUND((INDEX($E477:$G477,AI$5)-SUMIFS(TF_Timer,TF_Tekniker,AI$4,TF_Dato,$A477))*2,0)/2)))</f>
        <v/>
      </c>
      <c r="AJ477">
        <f>IF(OR(AJ$4="",$A477&gt;TODAY()),0,IF(OR(INDEX($B477:$D477,AJ$5)="F",AND(AJ$6&gt;0,$A477&lt;AJ$6),AND(AJ$7&gt;0,$A477&gt;AJ$7)),0,MAX(0,ROUND((INDEX($E477:$G477,AJ$5)-SUMIFS(TF_Timer,TF_Tekniker,AJ$4,TF_Dato,$A477))*2,0)/2)))</f>
        <v/>
      </c>
      <c r="AK477">
        <f>IF(OR(AK$4="",$A477&gt;TODAY()),0,IF(OR(INDEX($B477:$D477,AK$5)="F",AND(AK$6&gt;0,$A477&lt;AK$6),AND(AK$7&gt;0,$A477&gt;AK$7)),0,MAX(0,ROUND((INDEX($E477:$G477,AK$5)-SUMIFS(TF_Timer,TF_Tekniker,AK$4,TF_Dato,$A477))*2,0)/2)))</f>
        <v/>
      </c>
      <c r="AL477">
        <f>IF(OR(AL$4="",$A477&gt;TODAY()),0,IF(OR(INDEX($B477:$D477,AL$5)="F",AND(AL$6&gt;0,$A477&lt;AL$6),AND(AL$7&gt;0,$A477&gt;AL$7)),0,MAX(0,ROUND((INDEX($E477:$G477,AL$5)-SUMIFS(TF_Timer,TF_Tekniker,AL$4,TF_Dato,$A477))*2,0)/2)))</f>
        <v/>
      </c>
      <c r="AM477">
        <f>IF(OR(AM$4="",$A477&gt;TODAY()),0,IF(OR(INDEX($B477:$D477,AM$5)="F",AND(AM$6&gt;0,$A477&lt;AM$6),AND(AM$7&gt;0,$A477&gt;AM$7)),0,MAX(0,ROUND((INDEX($E477:$G477,AM$5)-SUMIFS(TF_Timer,TF_Tekniker,AM$4,TF_Dato,$A477))*2,0)/2)))</f>
        <v/>
      </c>
      <c r="AN477">
        <f>IF(OR(AN$4="",$A477&gt;TODAY()),0,IF(OR(INDEX($B477:$D477,AN$5)="F",AND(AN$6&gt;0,$A477&lt;AN$6),AND(AN$7&gt;0,$A477&gt;AN$7)),0,MAX(0,ROUND((INDEX($E477:$G477,AN$5)-SUMIFS(TF_Timer,TF_Tekniker,AN$4,TF_Dato,$A477))*2,0)/2)))</f>
        <v/>
      </c>
      <c r="AO477">
        <f>IF(OR(AO$4="",$A477&gt;TODAY()),0,IF(OR(INDEX($B477:$D477,AO$5)="F",AND(AO$6&gt;0,$A477&lt;AO$6),AND(AO$7&gt;0,$A477&gt;AO$7)),0,MAX(0,ROUND((INDEX($E477:$G477,AO$5)-SUMIFS(TF_Timer,TF_Tekniker,AO$4,TF_Dato,$A477))*2,0)/2)))</f>
        <v/>
      </c>
      <c r="AP477">
        <f>IF(OR(AP$4="",$A477&gt;TODAY()),0,IF(OR(INDEX($B477:$D477,AP$5)="F",AND(AP$6&gt;0,$A477&lt;AP$6),AND(AP$7&gt;0,$A477&gt;AP$7)),0,MAX(0,ROUND((INDEX($E477:$G477,AP$5)-SUMIFS(TF_Timer,TF_Tekniker,AP$4,TF_Dato,$A477))*2,0)/2)))</f>
        <v/>
      </c>
      <c r="AQ477">
        <f>IF(OR(AQ$4="",$A477&gt;TODAY()),0,IF(OR(INDEX($B477:$D477,AQ$5)="F",AND(AQ$6&gt;0,$A477&lt;AQ$6),AND(AQ$7&gt;0,$A477&gt;AQ$7)),0,MAX(0,ROUND((INDEX($E477:$G477,AQ$5)-SUMIFS(TF_Timer,TF_Tekniker,AQ$4,TF_Dato,$A477))*2,0)/2)))</f>
        <v/>
      </c>
      <c r="AR477">
        <f>IF(OR(AR$4="",$A477&gt;TODAY()),0,IF(OR(INDEX($B477:$D477,AR$5)="F",AND(AR$6&gt;0,$A477&lt;AR$6),AND(AR$7&gt;0,$A477&gt;AR$7)),0,MAX(0,ROUND((INDEX($E477:$G477,AR$5)-SUMIFS(TF_Timer,TF_Tekniker,AR$4,TF_Dato,$A477))*2,0)/2)))</f>
        <v/>
      </c>
      <c r="AS477">
        <f>IF(OR(AS$4="",$A477&gt;TODAY()),0,IF(OR(INDEX($B477:$D477,AS$5)="F",AND(AS$6&gt;0,$A477&lt;AS$6),AND(AS$7&gt;0,$A477&gt;AS$7)),0,MAX(0,ROUND((INDEX($E477:$G477,AS$5)-SUMIFS(TF_Timer,TF_Tekniker,AS$4,TF_Dato,$A477))*2,0)/2)))</f>
        <v/>
      </c>
      <c r="AT477">
        <f>IF(OR(AT$4="",$A477&gt;TODAY()),0,IF(OR(INDEX($B477:$D477,AT$5)="F",AND(AT$6&gt;0,$A477&lt;AT$6),AND(AT$7&gt;0,$A477&gt;AT$7)),0,MAX(0,ROUND((INDEX($E477:$G477,AT$5)-SUMIFS(TF_Timer,TF_Tekniker,AT$4,TF_Dato,$A477))*2,0)/2)))</f>
        <v/>
      </c>
      <c r="AU477">
        <f>IF(OR(AU$4="",$A477&gt;TODAY()),0,IF(OR(INDEX($B477:$D477,AU$5)="F",AND(AU$6&gt;0,$A477&lt;AU$6),AND(AU$7&gt;0,$A477&gt;AU$7)),0,MAX(0,ROUND((INDEX($E477:$G477,AU$5)-SUMIFS(TF_Timer,TF_Tekniker,AU$4,TF_Dato,$A477))*2,0)/2)))</f>
        <v/>
      </c>
      <c r="AV477">
        <f>IF(OR(AV$4="",$A477&gt;TODAY()),0,IF(OR(INDEX($B477:$D477,AV$5)="F",AND(AV$6&gt;0,$A477&lt;AV$6),AND(AV$7&gt;0,$A477&gt;AV$7)),0,MAX(0,ROUND((INDEX($E477:$G477,AV$5)-SUMIFS(TF_Timer,TF_Tekniker,AV$4,TF_Dato,$A477))*2,0)/2)))</f>
        <v/>
      </c>
      <c r="AW477">
        <f>IF(OR(AW$4="",$A477&gt;TODAY()),0,IF(OR(INDEX($B477:$D477,AW$5)="F",AND(AW$6&gt;0,$A477&lt;AW$6),AND(AW$7&gt;0,$A477&gt;AW$7)),0,MAX(0,ROUND((INDEX($E477:$G477,AW$5)-SUMIFS(TF_Timer,TF_Tekniker,AW$4,TF_Dato,$A477))*2,0)/2)))</f>
        <v/>
      </c>
      <c r="AX477">
        <f>IF(OR(AX$4="",$A477&gt;TODAY()),0,IF(OR(INDEX($B477:$D477,AX$5)="F",AND(AX$6&gt;0,$A477&lt;AX$6),AND(AX$7&gt;0,$A477&gt;AX$7)),0,MAX(0,ROUND((INDEX($E477:$G477,AX$5)-SUMIFS(TF_Timer,TF_Tekniker,AX$4,TF_Dato,$A477))*2,0)/2)))</f>
        <v/>
      </c>
      <c r="AY477">
        <f>IF(OR(AY$4="",$A477&gt;TODAY()),0,IF(OR(INDEX($B477:$D477,AY$5)="F",AND(AY$6&gt;0,$A477&lt;AY$6),AND(AY$7&gt;0,$A477&gt;AY$7)),0,MAX(0,ROUND((INDEX($E477:$G477,AY$5)-SUMIFS(TF_Timer,TF_Tekniker,AY$4,TF_Dato,$A477))*2,0)/2)))</f>
        <v/>
      </c>
      <c r="AZ477">
        <f>IF(OR(AZ$4="",$A477&gt;TODAY()),0,IF(OR(INDEX($B477:$D477,AZ$5)="F",AND(AZ$6&gt;0,$A477&lt;AZ$6),AND(AZ$7&gt;0,$A477&gt;AZ$7)),0,MAX(0,ROUND((INDEX($E477:$G477,AZ$5)-SUMIFS(TF_Timer,TF_Tekniker,AZ$4,TF_Dato,$A477))*2,0)/2)))</f>
        <v/>
      </c>
      <c r="BA477">
        <f>IF(OR(BA$4="",$A477&gt;TODAY()),0,IF(OR(INDEX($B477:$D477,BA$5)="F",AND(BA$6&gt;0,$A477&lt;BA$6),AND(BA$7&gt;0,$A477&gt;BA$7)),0,MAX(0,ROUND((INDEX($E477:$G477,BA$5)-SUMIFS(TF_Timer,TF_Tekniker,BA$4,TF_Dato,$A477))*2,0)/2)))</f>
        <v/>
      </c>
      <c r="BB477">
        <f>IF(OR(BB$4="",$A477&gt;TODAY()),0,IF(OR(INDEX($B477:$D477,BB$5)="F",AND(BB$6&gt;0,$A477&lt;BB$6),AND(BB$7&gt;0,$A477&gt;BB$7)),0,MAX(0,ROUND((INDEX($E477:$G477,BB$5)-SUMIFS(TF_Timer,TF_Tekniker,BB$4,TF_Dato,$A477))*2,0)/2)))</f>
        <v/>
      </c>
      <c r="BC477">
        <f>IF(OR(BC$4="",$A477&gt;TODAY()),0,IF(OR(INDEX($B477:$D477,BC$5)="F",AND(BC$6&gt;0,$A477&lt;BC$6),AND(BC$7&gt;0,$A477&gt;BC$7)),0,MAX(0,ROUND((INDEX($E477:$G477,BC$5)-SUMIFS(TF_Timer,TF_Tekniker,BC$4,TF_Dato,$A477))*2,0)/2)))</f>
        <v/>
      </c>
      <c r="BD477">
        <f>IF(OR(BD$4="",$A477&gt;TODAY()),0,IF(OR(INDEX($B477:$D477,BD$5)="F",AND(BD$6&gt;0,$A477&lt;BD$6),AND(BD$7&gt;0,$A477&gt;BD$7)),0,MAX(0,ROUND((INDEX($E477:$G477,BD$5)-SUMIFS(TF_Timer,TF_Tekniker,BD$4,TF_Dato,$A477))*2,0)/2)))</f>
        <v/>
      </c>
      <c r="BE477">
        <f>IF(OR(BE$4="",$A477&gt;TODAY()),0,IF(OR(INDEX($B477:$D477,BE$5)="F",AND(BE$6&gt;0,$A477&lt;BE$6),AND(BE$7&gt;0,$A477&gt;BE$7)),0,MAX(0,ROUND((INDEX($E477:$G477,BE$5)-SUMIFS(TF_Timer,TF_Tekniker,BE$4,TF_Dato,$A477))*2,0)/2)))</f>
        <v/>
      </c>
      <c r="BF477">
        <f>IF(OR(BF$4="",$A477&gt;TODAY()),0,IF(OR(INDEX($B477:$D477,BF$5)="F",AND(BF$6&gt;0,$A477&lt;BF$6),AND(BF$7&gt;0,$A477&gt;BF$7)),0,MAX(0,ROUND((INDEX($E477:$G477,BF$5)-SUMIFS(TF_Timer,TF_Tekniker,BF$4,TF_Dato,$A477))*2,0)/2)))</f>
        <v/>
      </c>
      <c r="BG477">
        <f>IF(OR(BG$4="",$A477&gt;TODAY()),0,IF(OR(INDEX($B477:$D477,BG$5)="F",AND(BG$6&gt;0,$A477&lt;BG$6),AND(BG$7&gt;0,$A477&gt;BG$7)),0,MAX(0,ROUND((INDEX($E477:$G477,BG$5)-SUMIFS(TF_Timer,TF_Tekniker,BG$4,TF_Dato,$A477))*2,0)/2)))</f>
        <v/>
      </c>
      <c r="BH477">
        <f>IF(OR(BH$4="",$A477&gt;TODAY()),0,IF(OR(INDEX($B477:$D477,BH$5)="F",AND(BH$6&gt;0,$A477&lt;BH$6),AND(BH$7&gt;0,$A477&gt;BH$7)),0,MAX(0,ROUND((INDEX($E477:$G477,BH$5)-SUMIFS(TF_Timer,TF_Tekniker,BH$4,TF_Dato,$A477))*2,0)/2)))</f>
        <v/>
      </c>
      <c r="BI477">
        <f>IF(OR(BI$4="",$A477&gt;TODAY()),0,IF(OR(INDEX($B477:$D477,BI$5)="F",AND(BI$6&gt;0,$A477&lt;BI$6),AND(BI$7&gt;0,$A477&gt;BI$7)),0,MAX(0,ROUND((INDEX($E477:$G477,BI$5)-SUMIFS(TF_Timer,TF_Tekniker,BI$4,TF_Dato,$A477))*2,0)/2)))</f>
        <v/>
      </c>
    </row>
    <row r="478">
      <c r="A478" s="64">
        <f>A477+1</f>
        <v/>
      </c>
      <c r="B478">
        <f>IF(MOD($A478-INDEX(SkiftStart,1),Syklus)&lt;DagK,"K",IF(MOD($A478-INDEX(SkiftStart,1),Syklus)&lt;DagK+DagH,"H",IF(MOD($A478-INDEX(SkiftStart,1),Syklus)&lt;DagK+DagH+DagD,"D","F")))</f>
        <v/>
      </c>
      <c r="C478">
        <f>IF(MOD($A478-INDEX(SkiftStart,2),Syklus)&lt;DagK,"K",IF(MOD($A478-INDEX(SkiftStart,2),Syklus)&lt;DagK+DagH,"H",IF(MOD($A478-INDEX(SkiftStart,2),Syklus)&lt;DagK+DagH+DagD,"D","F")))</f>
        <v/>
      </c>
      <c r="D478">
        <f>IF(MOD($A478-INDEX(SkiftStart,3),Syklus)&lt;DagK,"K",IF(MOD($A478-INDEX(SkiftStart,3),Syklus)&lt;DagK+DagH,"H",IF(MOD($A478-INDEX(SkiftStart,3),Syklus)&lt;DagK+DagH+DagD,"D","F")))</f>
        <v/>
      </c>
      <c r="E478">
        <f>IF(B478="F",0,IF(WEEKDAY($A478,2)=5,INDEX(TimerFr,MATCH(B478,FaseKode,0)),INDEX(TimerMT,MATCH(B478,FaseKode,0))))</f>
        <v/>
      </c>
      <c r="F478">
        <f>IF(C478="F",0,IF(WEEKDAY($A478,2)=5,INDEX(TimerFr,MATCH(C478,FaseKode,0)),INDEX(TimerMT,MATCH(C478,FaseKode,0))))</f>
        <v/>
      </c>
      <c r="G478">
        <f>IF(D478="F",0,IF(WEEKDAY($A478,2)=5,INDEX(TimerFr,MATCH(D478,FaseKode,0)),INDEX(TimerMT,MATCH(D478,FaseKode,0))))</f>
        <v/>
      </c>
      <c r="H478">
        <f>IF(OR(H$4="",$A478&gt;TODAY()),0,IF(OR(INDEX($B478:$D478,H$5)="F",AND(H$6&gt;0,$A478&lt;H$6),AND(H$7&gt;0,$A478&gt;H$7)),0,MAX(0,ROUND((INDEX($E478:$G478,H$5)-SUMIFS(TF_Timer,TF_Tekniker,H$4,TF_Dato,$A478))*2,0)/2)))</f>
        <v/>
      </c>
      <c r="I478">
        <f>IF(OR(I$4="",$A478&gt;TODAY()),0,IF(OR(INDEX($B478:$D478,I$5)="F",AND(I$6&gt;0,$A478&lt;I$6),AND(I$7&gt;0,$A478&gt;I$7)),0,MAX(0,ROUND((INDEX($E478:$G478,I$5)-SUMIFS(TF_Timer,TF_Tekniker,I$4,TF_Dato,$A478))*2,0)/2)))</f>
        <v/>
      </c>
      <c r="J478">
        <f>IF(OR(J$4="",$A478&gt;TODAY()),0,IF(OR(INDEX($B478:$D478,J$5)="F",AND(J$6&gt;0,$A478&lt;J$6),AND(J$7&gt;0,$A478&gt;J$7)),0,MAX(0,ROUND((INDEX($E478:$G478,J$5)-SUMIFS(TF_Timer,TF_Tekniker,J$4,TF_Dato,$A478))*2,0)/2)))</f>
        <v/>
      </c>
      <c r="K478">
        <f>IF(OR(K$4="",$A478&gt;TODAY()),0,IF(OR(INDEX($B478:$D478,K$5)="F",AND(K$6&gt;0,$A478&lt;K$6),AND(K$7&gt;0,$A478&gt;K$7)),0,MAX(0,ROUND((INDEX($E478:$G478,K$5)-SUMIFS(TF_Timer,TF_Tekniker,K$4,TF_Dato,$A478))*2,0)/2)))</f>
        <v/>
      </c>
      <c r="L478">
        <f>IF(OR(L$4="",$A478&gt;TODAY()),0,IF(OR(INDEX($B478:$D478,L$5)="F",AND(L$6&gt;0,$A478&lt;L$6),AND(L$7&gt;0,$A478&gt;L$7)),0,MAX(0,ROUND((INDEX($E478:$G478,L$5)-SUMIFS(TF_Timer,TF_Tekniker,L$4,TF_Dato,$A478))*2,0)/2)))</f>
        <v/>
      </c>
      <c r="M478">
        <f>IF(OR(M$4="",$A478&gt;TODAY()),0,IF(OR(INDEX($B478:$D478,M$5)="F",AND(M$6&gt;0,$A478&lt;M$6),AND(M$7&gt;0,$A478&gt;M$7)),0,MAX(0,ROUND((INDEX($E478:$G478,M$5)-SUMIFS(TF_Timer,TF_Tekniker,M$4,TF_Dato,$A478))*2,0)/2)))</f>
        <v/>
      </c>
      <c r="N478">
        <f>IF(OR(N$4="",$A478&gt;TODAY()),0,IF(OR(INDEX($B478:$D478,N$5)="F",AND(N$6&gt;0,$A478&lt;N$6),AND(N$7&gt;0,$A478&gt;N$7)),0,MAX(0,ROUND((INDEX($E478:$G478,N$5)-SUMIFS(TF_Timer,TF_Tekniker,N$4,TF_Dato,$A478))*2,0)/2)))</f>
        <v/>
      </c>
      <c r="O478">
        <f>IF(OR(O$4="",$A478&gt;TODAY()),0,IF(OR(INDEX($B478:$D478,O$5)="F",AND(O$6&gt;0,$A478&lt;O$6),AND(O$7&gt;0,$A478&gt;O$7)),0,MAX(0,ROUND((INDEX($E478:$G478,O$5)-SUMIFS(TF_Timer,TF_Tekniker,O$4,TF_Dato,$A478))*2,0)/2)))</f>
        <v/>
      </c>
      <c r="P478">
        <f>IF(OR(P$4="",$A478&gt;TODAY()),0,IF(OR(INDEX($B478:$D478,P$5)="F",AND(P$6&gt;0,$A478&lt;P$6),AND(P$7&gt;0,$A478&gt;P$7)),0,MAX(0,ROUND((INDEX($E478:$G478,P$5)-SUMIFS(TF_Timer,TF_Tekniker,P$4,TF_Dato,$A478))*2,0)/2)))</f>
        <v/>
      </c>
      <c r="Q478">
        <f>IF(OR(Q$4="",$A478&gt;TODAY()),0,IF(OR(INDEX($B478:$D478,Q$5)="F",AND(Q$6&gt;0,$A478&lt;Q$6),AND(Q$7&gt;0,$A478&gt;Q$7)),0,MAX(0,ROUND((INDEX($E478:$G478,Q$5)-SUMIFS(TF_Timer,TF_Tekniker,Q$4,TF_Dato,$A478))*2,0)/2)))</f>
        <v/>
      </c>
      <c r="R478">
        <f>IF(OR(R$4="",$A478&gt;TODAY()),0,IF(OR(INDEX($B478:$D478,R$5)="F",AND(R$6&gt;0,$A478&lt;R$6),AND(R$7&gt;0,$A478&gt;R$7)),0,MAX(0,ROUND((INDEX($E478:$G478,R$5)-SUMIFS(TF_Timer,TF_Tekniker,R$4,TF_Dato,$A478))*2,0)/2)))</f>
        <v/>
      </c>
      <c r="S478">
        <f>IF(OR(S$4="",$A478&gt;TODAY()),0,IF(OR(INDEX($B478:$D478,S$5)="F",AND(S$6&gt;0,$A478&lt;S$6),AND(S$7&gt;0,$A478&gt;S$7)),0,MAX(0,ROUND((INDEX($E478:$G478,S$5)-SUMIFS(TF_Timer,TF_Tekniker,S$4,TF_Dato,$A478))*2,0)/2)))</f>
        <v/>
      </c>
      <c r="T478">
        <f>IF(OR(T$4="",$A478&gt;TODAY()),0,IF(OR(INDEX($B478:$D478,T$5)="F",AND(T$6&gt;0,$A478&lt;T$6),AND(T$7&gt;0,$A478&gt;T$7)),0,MAX(0,ROUND((INDEX($E478:$G478,T$5)-SUMIFS(TF_Timer,TF_Tekniker,T$4,TF_Dato,$A478))*2,0)/2)))</f>
        <v/>
      </c>
      <c r="U478">
        <f>IF(OR(U$4="",$A478&gt;TODAY()),0,IF(OR(INDEX($B478:$D478,U$5)="F",AND(U$6&gt;0,$A478&lt;U$6),AND(U$7&gt;0,$A478&gt;U$7)),0,MAX(0,ROUND((INDEX($E478:$G478,U$5)-SUMIFS(TF_Timer,TF_Tekniker,U$4,TF_Dato,$A478))*2,0)/2)))</f>
        <v/>
      </c>
      <c r="V478">
        <f>IF(OR(V$4="",$A478&gt;TODAY()),0,IF(OR(INDEX($B478:$D478,V$5)="F",AND(V$6&gt;0,$A478&lt;V$6),AND(V$7&gt;0,$A478&gt;V$7)),0,MAX(0,ROUND((INDEX($E478:$G478,V$5)-SUMIFS(TF_Timer,TF_Tekniker,V$4,TF_Dato,$A478))*2,0)/2)))</f>
        <v/>
      </c>
      <c r="W478">
        <f>IF(OR(W$4="",$A478&gt;TODAY()),0,IF(OR(INDEX($B478:$D478,W$5)="F",AND(W$6&gt;0,$A478&lt;W$6),AND(W$7&gt;0,$A478&gt;W$7)),0,MAX(0,ROUND((INDEX($E478:$G478,W$5)-SUMIFS(TF_Timer,TF_Tekniker,W$4,TF_Dato,$A478))*2,0)/2)))</f>
        <v/>
      </c>
      <c r="X478">
        <f>IF(OR(X$4="",$A478&gt;TODAY()),0,IF(OR(INDEX($B478:$D478,X$5)="F",AND(X$6&gt;0,$A478&lt;X$6),AND(X$7&gt;0,$A478&gt;X$7)),0,MAX(0,ROUND((INDEX($E478:$G478,X$5)-SUMIFS(TF_Timer,TF_Tekniker,X$4,TF_Dato,$A478))*2,0)/2)))</f>
        <v/>
      </c>
      <c r="Y478">
        <f>IF(OR(Y$4="",$A478&gt;TODAY()),0,IF(OR(INDEX($B478:$D478,Y$5)="F",AND(Y$6&gt;0,$A478&lt;Y$6),AND(Y$7&gt;0,$A478&gt;Y$7)),0,MAX(0,ROUND((INDEX($E478:$G478,Y$5)-SUMIFS(TF_Timer,TF_Tekniker,Y$4,TF_Dato,$A478))*2,0)/2)))</f>
        <v/>
      </c>
      <c r="Z478">
        <f>IF(OR(Z$4="",$A478&gt;TODAY()),0,IF(OR(INDEX($B478:$D478,Z$5)="F",AND(Z$6&gt;0,$A478&lt;Z$6),AND(Z$7&gt;0,$A478&gt;Z$7)),0,MAX(0,ROUND((INDEX($E478:$G478,Z$5)-SUMIFS(TF_Timer,TF_Tekniker,Z$4,TF_Dato,$A478))*2,0)/2)))</f>
        <v/>
      </c>
      <c r="AA478">
        <f>IF(OR(AA$4="",$A478&gt;TODAY()),0,IF(OR(INDEX($B478:$D478,AA$5)="F",AND(AA$6&gt;0,$A478&lt;AA$6),AND(AA$7&gt;0,$A478&gt;AA$7)),0,MAX(0,ROUND((INDEX($E478:$G478,AA$5)-SUMIFS(TF_Timer,TF_Tekniker,AA$4,TF_Dato,$A478))*2,0)/2)))</f>
        <v/>
      </c>
      <c r="AB478">
        <f>IF(OR(AB$4="",$A478&gt;TODAY()),0,IF(OR(INDEX($B478:$D478,AB$5)="F",AND(AB$6&gt;0,$A478&lt;AB$6),AND(AB$7&gt;0,$A478&gt;AB$7)),0,MAX(0,ROUND((INDEX($E478:$G478,AB$5)-SUMIFS(TF_Timer,TF_Tekniker,AB$4,TF_Dato,$A478))*2,0)/2)))</f>
        <v/>
      </c>
      <c r="AC478">
        <f>IF(OR(AC$4="",$A478&gt;TODAY()),0,IF(OR(INDEX($B478:$D478,AC$5)="F",AND(AC$6&gt;0,$A478&lt;AC$6),AND(AC$7&gt;0,$A478&gt;AC$7)),0,MAX(0,ROUND((INDEX($E478:$G478,AC$5)-SUMIFS(TF_Timer,TF_Tekniker,AC$4,TF_Dato,$A478))*2,0)/2)))</f>
        <v/>
      </c>
      <c r="AD478">
        <f>IF(OR(AD$4="",$A478&gt;TODAY()),0,IF(OR(INDEX($B478:$D478,AD$5)="F",AND(AD$6&gt;0,$A478&lt;AD$6),AND(AD$7&gt;0,$A478&gt;AD$7)),0,MAX(0,ROUND((INDEX($E478:$G478,AD$5)-SUMIFS(TF_Timer,TF_Tekniker,AD$4,TF_Dato,$A478))*2,0)/2)))</f>
        <v/>
      </c>
      <c r="AE478">
        <f>IF(OR(AE$4="",$A478&gt;TODAY()),0,IF(OR(INDEX($B478:$D478,AE$5)="F",AND(AE$6&gt;0,$A478&lt;AE$6),AND(AE$7&gt;0,$A478&gt;AE$7)),0,MAX(0,ROUND((INDEX($E478:$G478,AE$5)-SUMIFS(TF_Timer,TF_Tekniker,AE$4,TF_Dato,$A478))*2,0)/2)))</f>
        <v/>
      </c>
      <c r="AF478">
        <f>IF(OR(AF$4="",$A478&gt;TODAY()),0,IF(OR(INDEX($B478:$D478,AF$5)="F",AND(AF$6&gt;0,$A478&lt;AF$6),AND(AF$7&gt;0,$A478&gt;AF$7)),0,MAX(0,ROUND((INDEX($E478:$G478,AF$5)-SUMIFS(TF_Timer,TF_Tekniker,AF$4,TF_Dato,$A478))*2,0)/2)))</f>
        <v/>
      </c>
      <c r="AG478">
        <f>IF(OR(AG$4="",$A478&gt;TODAY()),0,IF(OR(INDEX($B478:$D478,AG$5)="F",AND(AG$6&gt;0,$A478&lt;AG$6),AND(AG$7&gt;0,$A478&gt;AG$7)),0,MAX(0,ROUND((INDEX($E478:$G478,AG$5)-SUMIFS(TF_Timer,TF_Tekniker,AG$4,TF_Dato,$A478))*2,0)/2)))</f>
        <v/>
      </c>
      <c r="AH478">
        <f>IF(OR(AH$4="",$A478&gt;TODAY()),0,IF(OR(INDEX($B478:$D478,AH$5)="F",AND(AH$6&gt;0,$A478&lt;AH$6),AND(AH$7&gt;0,$A478&gt;AH$7)),0,MAX(0,ROUND((INDEX($E478:$G478,AH$5)-SUMIFS(TF_Timer,TF_Tekniker,AH$4,TF_Dato,$A478))*2,0)/2)))</f>
        <v/>
      </c>
      <c r="AI478">
        <f>IF(OR(AI$4="",$A478&gt;TODAY()),0,IF(OR(INDEX($B478:$D478,AI$5)="F",AND(AI$6&gt;0,$A478&lt;AI$6),AND(AI$7&gt;0,$A478&gt;AI$7)),0,MAX(0,ROUND((INDEX($E478:$G478,AI$5)-SUMIFS(TF_Timer,TF_Tekniker,AI$4,TF_Dato,$A478))*2,0)/2)))</f>
        <v/>
      </c>
      <c r="AJ478">
        <f>IF(OR(AJ$4="",$A478&gt;TODAY()),0,IF(OR(INDEX($B478:$D478,AJ$5)="F",AND(AJ$6&gt;0,$A478&lt;AJ$6),AND(AJ$7&gt;0,$A478&gt;AJ$7)),0,MAX(0,ROUND((INDEX($E478:$G478,AJ$5)-SUMIFS(TF_Timer,TF_Tekniker,AJ$4,TF_Dato,$A478))*2,0)/2)))</f>
        <v/>
      </c>
      <c r="AK478">
        <f>IF(OR(AK$4="",$A478&gt;TODAY()),0,IF(OR(INDEX($B478:$D478,AK$5)="F",AND(AK$6&gt;0,$A478&lt;AK$6),AND(AK$7&gt;0,$A478&gt;AK$7)),0,MAX(0,ROUND((INDEX($E478:$G478,AK$5)-SUMIFS(TF_Timer,TF_Tekniker,AK$4,TF_Dato,$A478))*2,0)/2)))</f>
        <v/>
      </c>
      <c r="AL478">
        <f>IF(OR(AL$4="",$A478&gt;TODAY()),0,IF(OR(INDEX($B478:$D478,AL$5)="F",AND(AL$6&gt;0,$A478&lt;AL$6),AND(AL$7&gt;0,$A478&gt;AL$7)),0,MAX(0,ROUND((INDEX($E478:$G478,AL$5)-SUMIFS(TF_Timer,TF_Tekniker,AL$4,TF_Dato,$A478))*2,0)/2)))</f>
        <v/>
      </c>
      <c r="AM478">
        <f>IF(OR(AM$4="",$A478&gt;TODAY()),0,IF(OR(INDEX($B478:$D478,AM$5)="F",AND(AM$6&gt;0,$A478&lt;AM$6),AND(AM$7&gt;0,$A478&gt;AM$7)),0,MAX(0,ROUND((INDEX($E478:$G478,AM$5)-SUMIFS(TF_Timer,TF_Tekniker,AM$4,TF_Dato,$A478))*2,0)/2)))</f>
        <v/>
      </c>
      <c r="AN478">
        <f>IF(OR(AN$4="",$A478&gt;TODAY()),0,IF(OR(INDEX($B478:$D478,AN$5)="F",AND(AN$6&gt;0,$A478&lt;AN$6),AND(AN$7&gt;0,$A478&gt;AN$7)),0,MAX(0,ROUND((INDEX($E478:$G478,AN$5)-SUMIFS(TF_Timer,TF_Tekniker,AN$4,TF_Dato,$A478))*2,0)/2)))</f>
        <v/>
      </c>
      <c r="AO478">
        <f>IF(OR(AO$4="",$A478&gt;TODAY()),0,IF(OR(INDEX($B478:$D478,AO$5)="F",AND(AO$6&gt;0,$A478&lt;AO$6),AND(AO$7&gt;0,$A478&gt;AO$7)),0,MAX(0,ROUND((INDEX($E478:$G478,AO$5)-SUMIFS(TF_Timer,TF_Tekniker,AO$4,TF_Dato,$A478))*2,0)/2)))</f>
        <v/>
      </c>
      <c r="AP478">
        <f>IF(OR(AP$4="",$A478&gt;TODAY()),0,IF(OR(INDEX($B478:$D478,AP$5)="F",AND(AP$6&gt;0,$A478&lt;AP$6),AND(AP$7&gt;0,$A478&gt;AP$7)),0,MAX(0,ROUND((INDEX($E478:$G478,AP$5)-SUMIFS(TF_Timer,TF_Tekniker,AP$4,TF_Dato,$A478))*2,0)/2)))</f>
        <v/>
      </c>
      <c r="AQ478">
        <f>IF(OR(AQ$4="",$A478&gt;TODAY()),0,IF(OR(INDEX($B478:$D478,AQ$5)="F",AND(AQ$6&gt;0,$A478&lt;AQ$6),AND(AQ$7&gt;0,$A478&gt;AQ$7)),0,MAX(0,ROUND((INDEX($E478:$G478,AQ$5)-SUMIFS(TF_Timer,TF_Tekniker,AQ$4,TF_Dato,$A478))*2,0)/2)))</f>
        <v/>
      </c>
      <c r="AR478">
        <f>IF(OR(AR$4="",$A478&gt;TODAY()),0,IF(OR(INDEX($B478:$D478,AR$5)="F",AND(AR$6&gt;0,$A478&lt;AR$6),AND(AR$7&gt;0,$A478&gt;AR$7)),0,MAX(0,ROUND((INDEX($E478:$G478,AR$5)-SUMIFS(TF_Timer,TF_Tekniker,AR$4,TF_Dato,$A478))*2,0)/2)))</f>
        <v/>
      </c>
      <c r="AS478">
        <f>IF(OR(AS$4="",$A478&gt;TODAY()),0,IF(OR(INDEX($B478:$D478,AS$5)="F",AND(AS$6&gt;0,$A478&lt;AS$6),AND(AS$7&gt;0,$A478&gt;AS$7)),0,MAX(0,ROUND((INDEX($E478:$G478,AS$5)-SUMIFS(TF_Timer,TF_Tekniker,AS$4,TF_Dato,$A478))*2,0)/2)))</f>
        <v/>
      </c>
      <c r="AT478">
        <f>IF(OR(AT$4="",$A478&gt;TODAY()),0,IF(OR(INDEX($B478:$D478,AT$5)="F",AND(AT$6&gt;0,$A478&lt;AT$6),AND(AT$7&gt;0,$A478&gt;AT$7)),0,MAX(0,ROUND((INDEX($E478:$G478,AT$5)-SUMIFS(TF_Timer,TF_Tekniker,AT$4,TF_Dato,$A478))*2,0)/2)))</f>
        <v/>
      </c>
      <c r="AU478">
        <f>IF(OR(AU$4="",$A478&gt;TODAY()),0,IF(OR(INDEX($B478:$D478,AU$5)="F",AND(AU$6&gt;0,$A478&lt;AU$6),AND(AU$7&gt;0,$A478&gt;AU$7)),0,MAX(0,ROUND((INDEX($E478:$G478,AU$5)-SUMIFS(TF_Timer,TF_Tekniker,AU$4,TF_Dato,$A478))*2,0)/2)))</f>
        <v/>
      </c>
      <c r="AV478">
        <f>IF(OR(AV$4="",$A478&gt;TODAY()),0,IF(OR(INDEX($B478:$D478,AV$5)="F",AND(AV$6&gt;0,$A478&lt;AV$6),AND(AV$7&gt;0,$A478&gt;AV$7)),0,MAX(0,ROUND((INDEX($E478:$G478,AV$5)-SUMIFS(TF_Timer,TF_Tekniker,AV$4,TF_Dato,$A478))*2,0)/2)))</f>
        <v/>
      </c>
      <c r="AW478">
        <f>IF(OR(AW$4="",$A478&gt;TODAY()),0,IF(OR(INDEX($B478:$D478,AW$5)="F",AND(AW$6&gt;0,$A478&lt;AW$6),AND(AW$7&gt;0,$A478&gt;AW$7)),0,MAX(0,ROUND((INDEX($E478:$G478,AW$5)-SUMIFS(TF_Timer,TF_Tekniker,AW$4,TF_Dato,$A478))*2,0)/2)))</f>
        <v/>
      </c>
      <c r="AX478">
        <f>IF(OR(AX$4="",$A478&gt;TODAY()),0,IF(OR(INDEX($B478:$D478,AX$5)="F",AND(AX$6&gt;0,$A478&lt;AX$6),AND(AX$7&gt;0,$A478&gt;AX$7)),0,MAX(0,ROUND((INDEX($E478:$G478,AX$5)-SUMIFS(TF_Timer,TF_Tekniker,AX$4,TF_Dato,$A478))*2,0)/2)))</f>
        <v/>
      </c>
      <c r="AY478">
        <f>IF(OR(AY$4="",$A478&gt;TODAY()),0,IF(OR(INDEX($B478:$D478,AY$5)="F",AND(AY$6&gt;0,$A478&lt;AY$6),AND(AY$7&gt;0,$A478&gt;AY$7)),0,MAX(0,ROUND((INDEX($E478:$G478,AY$5)-SUMIFS(TF_Timer,TF_Tekniker,AY$4,TF_Dato,$A478))*2,0)/2)))</f>
        <v/>
      </c>
      <c r="AZ478">
        <f>IF(OR(AZ$4="",$A478&gt;TODAY()),0,IF(OR(INDEX($B478:$D478,AZ$5)="F",AND(AZ$6&gt;0,$A478&lt;AZ$6),AND(AZ$7&gt;0,$A478&gt;AZ$7)),0,MAX(0,ROUND((INDEX($E478:$G478,AZ$5)-SUMIFS(TF_Timer,TF_Tekniker,AZ$4,TF_Dato,$A478))*2,0)/2)))</f>
        <v/>
      </c>
      <c r="BA478">
        <f>IF(OR(BA$4="",$A478&gt;TODAY()),0,IF(OR(INDEX($B478:$D478,BA$5)="F",AND(BA$6&gt;0,$A478&lt;BA$6),AND(BA$7&gt;0,$A478&gt;BA$7)),0,MAX(0,ROUND((INDEX($E478:$G478,BA$5)-SUMIFS(TF_Timer,TF_Tekniker,BA$4,TF_Dato,$A478))*2,0)/2)))</f>
        <v/>
      </c>
      <c r="BB478">
        <f>IF(OR(BB$4="",$A478&gt;TODAY()),0,IF(OR(INDEX($B478:$D478,BB$5)="F",AND(BB$6&gt;0,$A478&lt;BB$6),AND(BB$7&gt;0,$A478&gt;BB$7)),0,MAX(0,ROUND((INDEX($E478:$G478,BB$5)-SUMIFS(TF_Timer,TF_Tekniker,BB$4,TF_Dato,$A478))*2,0)/2)))</f>
        <v/>
      </c>
      <c r="BC478">
        <f>IF(OR(BC$4="",$A478&gt;TODAY()),0,IF(OR(INDEX($B478:$D478,BC$5)="F",AND(BC$6&gt;0,$A478&lt;BC$6),AND(BC$7&gt;0,$A478&gt;BC$7)),0,MAX(0,ROUND((INDEX($E478:$G478,BC$5)-SUMIFS(TF_Timer,TF_Tekniker,BC$4,TF_Dato,$A478))*2,0)/2)))</f>
        <v/>
      </c>
      <c r="BD478">
        <f>IF(OR(BD$4="",$A478&gt;TODAY()),0,IF(OR(INDEX($B478:$D478,BD$5)="F",AND(BD$6&gt;0,$A478&lt;BD$6),AND(BD$7&gt;0,$A478&gt;BD$7)),0,MAX(0,ROUND((INDEX($E478:$G478,BD$5)-SUMIFS(TF_Timer,TF_Tekniker,BD$4,TF_Dato,$A478))*2,0)/2)))</f>
        <v/>
      </c>
      <c r="BE478">
        <f>IF(OR(BE$4="",$A478&gt;TODAY()),0,IF(OR(INDEX($B478:$D478,BE$5)="F",AND(BE$6&gt;0,$A478&lt;BE$6),AND(BE$7&gt;0,$A478&gt;BE$7)),0,MAX(0,ROUND((INDEX($E478:$G478,BE$5)-SUMIFS(TF_Timer,TF_Tekniker,BE$4,TF_Dato,$A478))*2,0)/2)))</f>
        <v/>
      </c>
      <c r="BF478">
        <f>IF(OR(BF$4="",$A478&gt;TODAY()),0,IF(OR(INDEX($B478:$D478,BF$5)="F",AND(BF$6&gt;0,$A478&lt;BF$6),AND(BF$7&gt;0,$A478&gt;BF$7)),0,MAX(0,ROUND((INDEX($E478:$G478,BF$5)-SUMIFS(TF_Timer,TF_Tekniker,BF$4,TF_Dato,$A478))*2,0)/2)))</f>
        <v/>
      </c>
      <c r="BG478">
        <f>IF(OR(BG$4="",$A478&gt;TODAY()),0,IF(OR(INDEX($B478:$D478,BG$5)="F",AND(BG$6&gt;0,$A478&lt;BG$6),AND(BG$7&gt;0,$A478&gt;BG$7)),0,MAX(0,ROUND((INDEX($E478:$G478,BG$5)-SUMIFS(TF_Timer,TF_Tekniker,BG$4,TF_Dato,$A478))*2,0)/2)))</f>
        <v/>
      </c>
      <c r="BH478">
        <f>IF(OR(BH$4="",$A478&gt;TODAY()),0,IF(OR(INDEX($B478:$D478,BH$5)="F",AND(BH$6&gt;0,$A478&lt;BH$6),AND(BH$7&gt;0,$A478&gt;BH$7)),0,MAX(0,ROUND((INDEX($E478:$G478,BH$5)-SUMIFS(TF_Timer,TF_Tekniker,BH$4,TF_Dato,$A478))*2,0)/2)))</f>
        <v/>
      </c>
      <c r="BI478">
        <f>IF(OR(BI$4="",$A478&gt;TODAY()),0,IF(OR(INDEX($B478:$D478,BI$5)="F",AND(BI$6&gt;0,$A478&lt;BI$6),AND(BI$7&gt;0,$A478&gt;BI$7)),0,MAX(0,ROUND((INDEX($E478:$G478,BI$5)-SUMIFS(TF_Timer,TF_Tekniker,BI$4,TF_Dato,$A478))*2,0)/2)))</f>
        <v/>
      </c>
    </row>
    <row r="479">
      <c r="A479" s="64">
        <f>A478+1</f>
        <v/>
      </c>
      <c r="B479">
        <f>IF(MOD($A479-INDEX(SkiftStart,1),Syklus)&lt;DagK,"K",IF(MOD($A479-INDEX(SkiftStart,1),Syklus)&lt;DagK+DagH,"H",IF(MOD($A479-INDEX(SkiftStart,1),Syklus)&lt;DagK+DagH+DagD,"D","F")))</f>
        <v/>
      </c>
      <c r="C479">
        <f>IF(MOD($A479-INDEX(SkiftStart,2),Syklus)&lt;DagK,"K",IF(MOD($A479-INDEX(SkiftStart,2),Syklus)&lt;DagK+DagH,"H",IF(MOD($A479-INDEX(SkiftStart,2),Syklus)&lt;DagK+DagH+DagD,"D","F")))</f>
        <v/>
      </c>
      <c r="D479">
        <f>IF(MOD($A479-INDEX(SkiftStart,3),Syklus)&lt;DagK,"K",IF(MOD($A479-INDEX(SkiftStart,3),Syklus)&lt;DagK+DagH,"H",IF(MOD($A479-INDEX(SkiftStart,3),Syklus)&lt;DagK+DagH+DagD,"D","F")))</f>
        <v/>
      </c>
      <c r="E479">
        <f>IF(B479="F",0,IF(WEEKDAY($A479,2)=5,INDEX(TimerFr,MATCH(B479,FaseKode,0)),INDEX(TimerMT,MATCH(B479,FaseKode,0))))</f>
        <v/>
      </c>
      <c r="F479">
        <f>IF(C479="F",0,IF(WEEKDAY($A479,2)=5,INDEX(TimerFr,MATCH(C479,FaseKode,0)),INDEX(TimerMT,MATCH(C479,FaseKode,0))))</f>
        <v/>
      </c>
      <c r="G479">
        <f>IF(D479="F",0,IF(WEEKDAY($A479,2)=5,INDEX(TimerFr,MATCH(D479,FaseKode,0)),INDEX(TimerMT,MATCH(D479,FaseKode,0))))</f>
        <v/>
      </c>
      <c r="H479">
        <f>IF(OR(H$4="",$A479&gt;TODAY()),0,IF(OR(INDEX($B479:$D479,H$5)="F",AND(H$6&gt;0,$A479&lt;H$6),AND(H$7&gt;0,$A479&gt;H$7)),0,MAX(0,ROUND((INDEX($E479:$G479,H$5)-SUMIFS(TF_Timer,TF_Tekniker,H$4,TF_Dato,$A479))*2,0)/2)))</f>
        <v/>
      </c>
      <c r="I479">
        <f>IF(OR(I$4="",$A479&gt;TODAY()),0,IF(OR(INDEX($B479:$D479,I$5)="F",AND(I$6&gt;0,$A479&lt;I$6),AND(I$7&gt;0,$A479&gt;I$7)),0,MAX(0,ROUND((INDEX($E479:$G479,I$5)-SUMIFS(TF_Timer,TF_Tekniker,I$4,TF_Dato,$A479))*2,0)/2)))</f>
        <v/>
      </c>
      <c r="J479">
        <f>IF(OR(J$4="",$A479&gt;TODAY()),0,IF(OR(INDEX($B479:$D479,J$5)="F",AND(J$6&gt;0,$A479&lt;J$6),AND(J$7&gt;0,$A479&gt;J$7)),0,MAX(0,ROUND((INDEX($E479:$G479,J$5)-SUMIFS(TF_Timer,TF_Tekniker,J$4,TF_Dato,$A479))*2,0)/2)))</f>
        <v/>
      </c>
      <c r="K479">
        <f>IF(OR(K$4="",$A479&gt;TODAY()),0,IF(OR(INDEX($B479:$D479,K$5)="F",AND(K$6&gt;0,$A479&lt;K$6),AND(K$7&gt;0,$A479&gt;K$7)),0,MAX(0,ROUND((INDEX($E479:$G479,K$5)-SUMIFS(TF_Timer,TF_Tekniker,K$4,TF_Dato,$A479))*2,0)/2)))</f>
        <v/>
      </c>
      <c r="L479">
        <f>IF(OR(L$4="",$A479&gt;TODAY()),0,IF(OR(INDEX($B479:$D479,L$5)="F",AND(L$6&gt;0,$A479&lt;L$6),AND(L$7&gt;0,$A479&gt;L$7)),0,MAX(0,ROUND((INDEX($E479:$G479,L$5)-SUMIFS(TF_Timer,TF_Tekniker,L$4,TF_Dato,$A479))*2,0)/2)))</f>
        <v/>
      </c>
      <c r="M479">
        <f>IF(OR(M$4="",$A479&gt;TODAY()),0,IF(OR(INDEX($B479:$D479,M$5)="F",AND(M$6&gt;0,$A479&lt;M$6),AND(M$7&gt;0,$A479&gt;M$7)),0,MAX(0,ROUND((INDEX($E479:$G479,M$5)-SUMIFS(TF_Timer,TF_Tekniker,M$4,TF_Dato,$A479))*2,0)/2)))</f>
        <v/>
      </c>
      <c r="N479">
        <f>IF(OR(N$4="",$A479&gt;TODAY()),0,IF(OR(INDEX($B479:$D479,N$5)="F",AND(N$6&gt;0,$A479&lt;N$6),AND(N$7&gt;0,$A479&gt;N$7)),0,MAX(0,ROUND((INDEX($E479:$G479,N$5)-SUMIFS(TF_Timer,TF_Tekniker,N$4,TF_Dato,$A479))*2,0)/2)))</f>
        <v/>
      </c>
      <c r="O479">
        <f>IF(OR(O$4="",$A479&gt;TODAY()),0,IF(OR(INDEX($B479:$D479,O$5)="F",AND(O$6&gt;0,$A479&lt;O$6),AND(O$7&gt;0,$A479&gt;O$7)),0,MAX(0,ROUND((INDEX($E479:$G479,O$5)-SUMIFS(TF_Timer,TF_Tekniker,O$4,TF_Dato,$A479))*2,0)/2)))</f>
        <v/>
      </c>
      <c r="P479">
        <f>IF(OR(P$4="",$A479&gt;TODAY()),0,IF(OR(INDEX($B479:$D479,P$5)="F",AND(P$6&gt;0,$A479&lt;P$6),AND(P$7&gt;0,$A479&gt;P$7)),0,MAX(0,ROUND((INDEX($E479:$G479,P$5)-SUMIFS(TF_Timer,TF_Tekniker,P$4,TF_Dato,$A479))*2,0)/2)))</f>
        <v/>
      </c>
      <c r="Q479">
        <f>IF(OR(Q$4="",$A479&gt;TODAY()),0,IF(OR(INDEX($B479:$D479,Q$5)="F",AND(Q$6&gt;0,$A479&lt;Q$6),AND(Q$7&gt;0,$A479&gt;Q$7)),0,MAX(0,ROUND((INDEX($E479:$G479,Q$5)-SUMIFS(TF_Timer,TF_Tekniker,Q$4,TF_Dato,$A479))*2,0)/2)))</f>
        <v/>
      </c>
      <c r="R479">
        <f>IF(OR(R$4="",$A479&gt;TODAY()),0,IF(OR(INDEX($B479:$D479,R$5)="F",AND(R$6&gt;0,$A479&lt;R$6),AND(R$7&gt;0,$A479&gt;R$7)),0,MAX(0,ROUND((INDEX($E479:$G479,R$5)-SUMIFS(TF_Timer,TF_Tekniker,R$4,TF_Dato,$A479))*2,0)/2)))</f>
        <v/>
      </c>
      <c r="S479">
        <f>IF(OR(S$4="",$A479&gt;TODAY()),0,IF(OR(INDEX($B479:$D479,S$5)="F",AND(S$6&gt;0,$A479&lt;S$6),AND(S$7&gt;0,$A479&gt;S$7)),0,MAX(0,ROUND((INDEX($E479:$G479,S$5)-SUMIFS(TF_Timer,TF_Tekniker,S$4,TF_Dato,$A479))*2,0)/2)))</f>
        <v/>
      </c>
      <c r="T479">
        <f>IF(OR(T$4="",$A479&gt;TODAY()),0,IF(OR(INDEX($B479:$D479,T$5)="F",AND(T$6&gt;0,$A479&lt;T$6),AND(T$7&gt;0,$A479&gt;T$7)),0,MAX(0,ROUND((INDEX($E479:$G479,T$5)-SUMIFS(TF_Timer,TF_Tekniker,T$4,TF_Dato,$A479))*2,0)/2)))</f>
        <v/>
      </c>
      <c r="U479">
        <f>IF(OR(U$4="",$A479&gt;TODAY()),0,IF(OR(INDEX($B479:$D479,U$5)="F",AND(U$6&gt;0,$A479&lt;U$6),AND(U$7&gt;0,$A479&gt;U$7)),0,MAX(0,ROUND((INDEX($E479:$G479,U$5)-SUMIFS(TF_Timer,TF_Tekniker,U$4,TF_Dato,$A479))*2,0)/2)))</f>
        <v/>
      </c>
      <c r="V479">
        <f>IF(OR(V$4="",$A479&gt;TODAY()),0,IF(OR(INDEX($B479:$D479,V$5)="F",AND(V$6&gt;0,$A479&lt;V$6),AND(V$7&gt;0,$A479&gt;V$7)),0,MAX(0,ROUND((INDEX($E479:$G479,V$5)-SUMIFS(TF_Timer,TF_Tekniker,V$4,TF_Dato,$A479))*2,0)/2)))</f>
        <v/>
      </c>
      <c r="W479">
        <f>IF(OR(W$4="",$A479&gt;TODAY()),0,IF(OR(INDEX($B479:$D479,W$5)="F",AND(W$6&gt;0,$A479&lt;W$6),AND(W$7&gt;0,$A479&gt;W$7)),0,MAX(0,ROUND((INDEX($E479:$G479,W$5)-SUMIFS(TF_Timer,TF_Tekniker,W$4,TF_Dato,$A479))*2,0)/2)))</f>
        <v/>
      </c>
      <c r="X479">
        <f>IF(OR(X$4="",$A479&gt;TODAY()),0,IF(OR(INDEX($B479:$D479,X$5)="F",AND(X$6&gt;0,$A479&lt;X$6),AND(X$7&gt;0,$A479&gt;X$7)),0,MAX(0,ROUND((INDEX($E479:$G479,X$5)-SUMIFS(TF_Timer,TF_Tekniker,X$4,TF_Dato,$A479))*2,0)/2)))</f>
        <v/>
      </c>
      <c r="Y479">
        <f>IF(OR(Y$4="",$A479&gt;TODAY()),0,IF(OR(INDEX($B479:$D479,Y$5)="F",AND(Y$6&gt;0,$A479&lt;Y$6),AND(Y$7&gt;0,$A479&gt;Y$7)),0,MAX(0,ROUND((INDEX($E479:$G479,Y$5)-SUMIFS(TF_Timer,TF_Tekniker,Y$4,TF_Dato,$A479))*2,0)/2)))</f>
        <v/>
      </c>
      <c r="Z479">
        <f>IF(OR(Z$4="",$A479&gt;TODAY()),0,IF(OR(INDEX($B479:$D479,Z$5)="F",AND(Z$6&gt;0,$A479&lt;Z$6),AND(Z$7&gt;0,$A479&gt;Z$7)),0,MAX(0,ROUND((INDEX($E479:$G479,Z$5)-SUMIFS(TF_Timer,TF_Tekniker,Z$4,TF_Dato,$A479))*2,0)/2)))</f>
        <v/>
      </c>
      <c r="AA479">
        <f>IF(OR(AA$4="",$A479&gt;TODAY()),0,IF(OR(INDEX($B479:$D479,AA$5)="F",AND(AA$6&gt;0,$A479&lt;AA$6),AND(AA$7&gt;0,$A479&gt;AA$7)),0,MAX(0,ROUND((INDEX($E479:$G479,AA$5)-SUMIFS(TF_Timer,TF_Tekniker,AA$4,TF_Dato,$A479))*2,0)/2)))</f>
        <v/>
      </c>
      <c r="AB479">
        <f>IF(OR(AB$4="",$A479&gt;TODAY()),0,IF(OR(INDEX($B479:$D479,AB$5)="F",AND(AB$6&gt;0,$A479&lt;AB$6),AND(AB$7&gt;0,$A479&gt;AB$7)),0,MAX(0,ROUND((INDEX($E479:$G479,AB$5)-SUMIFS(TF_Timer,TF_Tekniker,AB$4,TF_Dato,$A479))*2,0)/2)))</f>
        <v/>
      </c>
      <c r="AC479">
        <f>IF(OR(AC$4="",$A479&gt;TODAY()),0,IF(OR(INDEX($B479:$D479,AC$5)="F",AND(AC$6&gt;0,$A479&lt;AC$6),AND(AC$7&gt;0,$A479&gt;AC$7)),0,MAX(0,ROUND((INDEX($E479:$G479,AC$5)-SUMIFS(TF_Timer,TF_Tekniker,AC$4,TF_Dato,$A479))*2,0)/2)))</f>
        <v/>
      </c>
      <c r="AD479">
        <f>IF(OR(AD$4="",$A479&gt;TODAY()),0,IF(OR(INDEX($B479:$D479,AD$5)="F",AND(AD$6&gt;0,$A479&lt;AD$6),AND(AD$7&gt;0,$A479&gt;AD$7)),0,MAX(0,ROUND((INDEX($E479:$G479,AD$5)-SUMIFS(TF_Timer,TF_Tekniker,AD$4,TF_Dato,$A479))*2,0)/2)))</f>
        <v/>
      </c>
      <c r="AE479">
        <f>IF(OR(AE$4="",$A479&gt;TODAY()),0,IF(OR(INDEX($B479:$D479,AE$5)="F",AND(AE$6&gt;0,$A479&lt;AE$6),AND(AE$7&gt;0,$A479&gt;AE$7)),0,MAX(0,ROUND((INDEX($E479:$G479,AE$5)-SUMIFS(TF_Timer,TF_Tekniker,AE$4,TF_Dato,$A479))*2,0)/2)))</f>
        <v/>
      </c>
      <c r="AF479">
        <f>IF(OR(AF$4="",$A479&gt;TODAY()),0,IF(OR(INDEX($B479:$D479,AF$5)="F",AND(AF$6&gt;0,$A479&lt;AF$6),AND(AF$7&gt;0,$A479&gt;AF$7)),0,MAX(0,ROUND((INDEX($E479:$G479,AF$5)-SUMIFS(TF_Timer,TF_Tekniker,AF$4,TF_Dato,$A479))*2,0)/2)))</f>
        <v/>
      </c>
      <c r="AG479">
        <f>IF(OR(AG$4="",$A479&gt;TODAY()),0,IF(OR(INDEX($B479:$D479,AG$5)="F",AND(AG$6&gt;0,$A479&lt;AG$6),AND(AG$7&gt;0,$A479&gt;AG$7)),0,MAX(0,ROUND((INDEX($E479:$G479,AG$5)-SUMIFS(TF_Timer,TF_Tekniker,AG$4,TF_Dato,$A479))*2,0)/2)))</f>
        <v/>
      </c>
      <c r="AH479">
        <f>IF(OR(AH$4="",$A479&gt;TODAY()),0,IF(OR(INDEX($B479:$D479,AH$5)="F",AND(AH$6&gt;0,$A479&lt;AH$6),AND(AH$7&gt;0,$A479&gt;AH$7)),0,MAX(0,ROUND((INDEX($E479:$G479,AH$5)-SUMIFS(TF_Timer,TF_Tekniker,AH$4,TF_Dato,$A479))*2,0)/2)))</f>
        <v/>
      </c>
      <c r="AI479">
        <f>IF(OR(AI$4="",$A479&gt;TODAY()),0,IF(OR(INDEX($B479:$D479,AI$5)="F",AND(AI$6&gt;0,$A479&lt;AI$6),AND(AI$7&gt;0,$A479&gt;AI$7)),0,MAX(0,ROUND((INDEX($E479:$G479,AI$5)-SUMIFS(TF_Timer,TF_Tekniker,AI$4,TF_Dato,$A479))*2,0)/2)))</f>
        <v/>
      </c>
      <c r="AJ479">
        <f>IF(OR(AJ$4="",$A479&gt;TODAY()),0,IF(OR(INDEX($B479:$D479,AJ$5)="F",AND(AJ$6&gt;0,$A479&lt;AJ$6),AND(AJ$7&gt;0,$A479&gt;AJ$7)),0,MAX(0,ROUND((INDEX($E479:$G479,AJ$5)-SUMIFS(TF_Timer,TF_Tekniker,AJ$4,TF_Dato,$A479))*2,0)/2)))</f>
        <v/>
      </c>
      <c r="AK479">
        <f>IF(OR(AK$4="",$A479&gt;TODAY()),0,IF(OR(INDEX($B479:$D479,AK$5)="F",AND(AK$6&gt;0,$A479&lt;AK$6),AND(AK$7&gt;0,$A479&gt;AK$7)),0,MAX(0,ROUND((INDEX($E479:$G479,AK$5)-SUMIFS(TF_Timer,TF_Tekniker,AK$4,TF_Dato,$A479))*2,0)/2)))</f>
        <v/>
      </c>
      <c r="AL479">
        <f>IF(OR(AL$4="",$A479&gt;TODAY()),0,IF(OR(INDEX($B479:$D479,AL$5)="F",AND(AL$6&gt;0,$A479&lt;AL$6),AND(AL$7&gt;0,$A479&gt;AL$7)),0,MAX(0,ROUND((INDEX($E479:$G479,AL$5)-SUMIFS(TF_Timer,TF_Tekniker,AL$4,TF_Dato,$A479))*2,0)/2)))</f>
        <v/>
      </c>
      <c r="AM479">
        <f>IF(OR(AM$4="",$A479&gt;TODAY()),0,IF(OR(INDEX($B479:$D479,AM$5)="F",AND(AM$6&gt;0,$A479&lt;AM$6),AND(AM$7&gt;0,$A479&gt;AM$7)),0,MAX(0,ROUND((INDEX($E479:$G479,AM$5)-SUMIFS(TF_Timer,TF_Tekniker,AM$4,TF_Dato,$A479))*2,0)/2)))</f>
        <v/>
      </c>
      <c r="AN479">
        <f>IF(OR(AN$4="",$A479&gt;TODAY()),0,IF(OR(INDEX($B479:$D479,AN$5)="F",AND(AN$6&gt;0,$A479&lt;AN$6),AND(AN$7&gt;0,$A479&gt;AN$7)),0,MAX(0,ROUND((INDEX($E479:$G479,AN$5)-SUMIFS(TF_Timer,TF_Tekniker,AN$4,TF_Dato,$A479))*2,0)/2)))</f>
        <v/>
      </c>
      <c r="AO479">
        <f>IF(OR(AO$4="",$A479&gt;TODAY()),0,IF(OR(INDEX($B479:$D479,AO$5)="F",AND(AO$6&gt;0,$A479&lt;AO$6),AND(AO$7&gt;0,$A479&gt;AO$7)),0,MAX(0,ROUND((INDEX($E479:$G479,AO$5)-SUMIFS(TF_Timer,TF_Tekniker,AO$4,TF_Dato,$A479))*2,0)/2)))</f>
        <v/>
      </c>
      <c r="AP479">
        <f>IF(OR(AP$4="",$A479&gt;TODAY()),0,IF(OR(INDEX($B479:$D479,AP$5)="F",AND(AP$6&gt;0,$A479&lt;AP$6),AND(AP$7&gt;0,$A479&gt;AP$7)),0,MAX(0,ROUND((INDEX($E479:$G479,AP$5)-SUMIFS(TF_Timer,TF_Tekniker,AP$4,TF_Dato,$A479))*2,0)/2)))</f>
        <v/>
      </c>
      <c r="AQ479">
        <f>IF(OR(AQ$4="",$A479&gt;TODAY()),0,IF(OR(INDEX($B479:$D479,AQ$5)="F",AND(AQ$6&gt;0,$A479&lt;AQ$6),AND(AQ$7&gt;0,$A479&gt;AQ$7)),0,MAX(0,ROUND((INDEX($E479:$G479,AQ$5)-SUMIFS(TF_Timer,TF_Tekniker,AQ$4,TF_Dato,$A479))*2,0)/2)))</f>
        <v/>
      </c>
      <c r="AR479">
        <f>IF(OR(AR$4="",$A479&gt;TODAY()),0,IF(OR(INDEX($B479:$D479,AR$5)="F",AND(AR$6&gt;0,$A479&lt;AR$6),AND(AR$7&gt;0,$A479&gt;AR$7)),0,MAX(0,ROUND((INDEX($E479:$G479,AR$5)-SUMIFS(TF_Timer,TF_Tekniker,AR$4,TF_Dato,$A479))*2,0)/2)))</f>
        <v/>
      </c>
      <c r="AS479">
        <f>IF(OR(AS$4="",$A479&gt;TODAY()),0,IF(OR(INDEX($B479:$D479,AS$5)="F",AND(AS$6&gt;0,$A479&lt;AS$6),AND(AS$7&gt;0,$A479&gt;AS$7)),0,MAX(0,ROUND((INDEX($E479:$G479,AS$5)-SUMIFS(TF_Timer,TF_Tekniker,AS$4,TF_Dato,$A479))*2,0)/2)))</f>
        <v/>
      </c>
      <c r="AT479">
        <f>IF(OR(AT$4="",$A479&gt;TODAY()),0,IF(OR(INDEX($B479:$D479,AT$5)="F",AND(AT$6&gt;0,$A479&lt;AT$6),AND(AT$7&gt;0,$A479&gt;AT$7)),0,MAX(0,ROUND((INDEX($E479:$G479,AT$5)-SUMIFS(TF_Timer,TF_Tekniker,AT$4,TF_Dato,$A479))*2,0)/2)))</f>
        <v/>
      </c>
      <c r="AU479">
        <f>IF(OR(AU$4="",$A479&gt;TODAY()),0,IF(OR(INDEX($B479:$D479,AU$5)="F",AND(AU$6&gt;0,$A479&lt;AU$6),AND(AU$7&gt;0,$A479&gt;AU$7)),0,MAX(0,ROUND((INDEX($E479:$G479,AU$5)-SUMIFS(TF_Timer,TF_Tekniker,AU$4,TF_Dato,$A479))*2,0)/2)))</f>
        <v/>
      </c>
      <c r="AV479">
        <f>IF(OR(AV$4="",$A479&gt;TODAY()),0,IF(OR(INDEX($B479:$D479,AV$5)="F",AND(AV$6&gt;0,$A479&lt;AV$6),AND(AV$7&gt;0,$A479&gt;AV$7)),0,MAX(0,ROUND((INDEX($E479:$G479,AV$5)-SUMIFS(TF_Timer,TF_Tekniker,AV$4,TF_Dato,$A479))*2,0)/2)))</f>
        <v/>
      </c>
      <c r="AW479">
        <f>IF(OR(AW$4="",$A479&gt;TODAY()),0,IF(OR(INDEX($B479:$D479,AW$5)="F",AND(AW$6&gt;0,$A479&lt;AW$6),AND(AW$7&gt;0,$A479&gt;AW$7)),0,MAX(0,ROUND((INDEX($E479:$G479,AW$5)-SUMIFS(TF_Timer,TF_Tekniker,AW$4,TF_Dato,$A479))*2,0)/2)))</f>
        <v/>
      </c>
      <c r="AX479">
        <f>IF(OR(AX$4="",$A479&gt;TODAY()),0,IF(OR(INDEX($B479:$D479,AX$5)="F",AND(AX$6&gt;0,$A479&lt;AX$6),AND(AX$7&gt;0,$A479&gt;AX$7)),0,MAX(0,ROUND((INDEX($E479:$G479,AX$5)-SUMIFS(TF_Timer,TF_Tekniker,AX$4,TF_Dato,$A479))*2,0)/2)))</f>
        <v/>
      </c>
      <c r="AY479">
        <f>IF(OR(AY$4="",$A479&gt;TODAY()),0,IF(OR(INDEX($B479:$D479,AY$5)="F",AND(AY$6&gt;0,$A479&lt;AY$6),AND(AY$7&gt;0,$A479&gt;AY$7)),0,MAX(0,ROUND((INDEX($E479:$G479,AY$5)-SUMIFS(TF_Timer,TF_Tekniker,AY$4,TF_Dato,$A479))*2,0)/2)))</f>
        <v/>
      </c>
      <c r="AZ479">
        <f>IF(OR(AZ$4="",$A479&gt;TODAY()),0,IF(OR(INDEX($B479:$D479,AZ$5)="F",AND(AZ$6&gt;0,$A479&lt;AZ$6),AND(AZ$7&gt;0,$A479&gt;AZ$7)),0,MAX(0,ROUND((INDEX($E479:$G479,AZ$5)-SUMIFS(TF_Timer,TF_Tekniker,AZ$4,TF_Dato,$A479))*2,0)/2)))</f>
        <v/>
      </c>
      <c r="BA479">
        <f>IF(OR(BA$4="",$A479&gt;TODAY()),0,IF(OR(INDEX($B479:$D479,BA$5)="F",AND(BA$6&gt;0,$A479&lt;BA$6),AND(BA$7&gt;0,$A479&gt;BA$7)),0,MAX(0,ROUND((INDEX($E479:$G479,BA$5)-SUMIFS(TF_Timer,TF_Tekniker,BA$4,TF_Dato,$A479))*2,0)/2)))</f>
        <v/>
      </c>
      <c r="BB479">
        <f>IF(OR(BB$4="",$A479&gt;TODAY()),0,IF(OR(INDEX($B479:$D479,BB$5)="F",AND(BB$6&gt;0,$A479&lt;BB$6),AND(BB$7&gt;0,$A479&gt;BB$7)),0,MAX(0,ROUND((INDEX($E479:$G479,BB$5)-SUMIFS(TF_Timer,TF_Tekniker,BB$4,TF_Dato,$A479))*2,0)/2)))</f>
        <v/>
      </c>
      <c r="BC479">
        <f>IF(OR(BC$4="",$A479&gt;TODAY()),0,IF(OR(INDEX($B479:$D479,BC$5)="F",AND(BC$6&gt;0,$A479&lt;BC$6),AND(BC$7&gt;0,$A479&gt;BC$7)),0,MAX(0,ROUND((INDEX($E479:$G479,BC$5)-SUMIFS(TF_Timer,TF_Tekniker,BC$4,TF_Dato,$A479))*2,0)/2)))</f>
        <v/>
      </c>
      <c r="BD479">
        <f>IF(OR(BD$4="",$A479&gt;TODAY()),0,IF(OR(INDEX($B479:$D479,BD$5)="F",AND(BD$6&gt;0,$A479&lt;BD$6),AND(BD$7&gt;0,$A479&gt;BD$7)),0,MAX(0,ROUND((INDEX($E479:$G479,BD$5)-SUMIFS(TF_Timer,TF_Tekniker,BD$4,TF_Dato,$A479))*2,0)/2)))</f>
        <v/>
      </c>
      <c r="BE479">
        <f>IF(OR(BE$4="",$A479&gt;TODAY()),0,IF(OR(INDEX($B479:$D479,BE$5)="F",AND(BE$6&gt;0,$A479&lt;BE$6),AND(BE$7&gt;0,$A479&gt;BE$7)),0,MAX(0,ROUND((INDEX($E479:$G479,BE$5)-SUMIFS(TF_Timer,TF_Tekniker,BE$4,TF_Dato,$A479))*2,0)/2)))</f>
        <v/>
      </c>
      <c r="BF479">
        <f>IF(OR(BF$4="",$A479&gt;TODAY()),0,IF(OR(INDEX($B479:$D479,BF$5)="F",AND(BF$6&gt;0,$A479&lt;BF$6),AND(BF$7&gt;0,$A479&gt;BF$7)),0,MAX(0,ROUND((INDEX($E479:$G479,BF$5)-SUMIFS(TF_Timer,TF_Tekniker,BF$4,TF_Dato,$A479))*2,0)/2)))</f>
        <v/>
      </c>
      <c r="BG479">
        <f>IF(OR(BG$4="",$A479&gt;TODAY()),0,IF(OR(INDEX($B479:$D479,BG$5)="F",AND(BG$6&gt;0,$A479&lt;BG$6),AND(BG$7&gt;0,$A479&gt;BG$7)),0,MAX(0,ROUND((INDEX($E479:$G479,BG$5)-SUMIFS(TF_Timer,TF_Tekniker,BG$4,TF_Dato,$A479))*2,0)/2)))</f>
        <v/>
      </c>
      <c r="BH479">
        <f>IF(OR(BH$4="",$A479&gt;TODAY()),0,IF(OR(INDEX($B479:$D479,BH$5)="F",AND(BH$6&gt;0,$A479&lt;BH$6),AND(BH$7&gt;0,$A479&gt;BH$7)),0,MAX(0,ROUND((INDEX($E479:$G479,BH$5)-SUMIFS(TF_Timer,TF_Tekniker,BH$4,TF_Dato,$A479))*2,0)/2)))</f>
        <v/>
      </c>
      <c r="BI479">
        <f>IF(OR(BI$4="",$A479&gt;TODAY()),0,IF(OR(INDEX($B479:$D479,BI$5)="F",AND(BI$6&gt;0,$A479&lt;BI$6),AND(BI$7&gt;0,$A479&gt;BI$7)),0,MAX(0,ROUND((INDEX($E479:$G479,BI$5)-SUMIFS(TF_Timer,TF_Tekniker,BI$4,TF_Dato,$A479))*2,0)/2)))</f>
        <v/>
      </c>
    </row>
    <row r="480">
      <c r="A480" s="64">
        <f>A479+1</f>
        <v/>
      </c>
      <c r="B480">
        <f>IF(MOD($A480-INDEX(SkiftStart,1),Syklus)&lt;DagK,"K",IF(MOD($A480-INDEX(SkiftStart,1),Syklus)&lt;DagK+DagH,"H",IF(MOD($A480-INDEX(SkiftStart,1),Syklus)&lt;DagK+DagH+DagD,"D","F")))</f>
        <v/>
      </c>
      <c r="C480">
        <f>IF(MOD($A480-INDEX(SkiftStart,2),Syklus)&lt;DagK,"K",IF(MOD($A480-INDEX(SkiftStart,2),Syklus)&lt;DagK+DagH,"H",IF(MOD($A480-INDEX(SkiftStart,2),Syklus)&lt;DagK+DagH+DagD,"D","F")))</f>
        <v/>
      </c>
      <c r="D480">
        <f>IF(MOD($A480-INDEX(SkiftStart,3),Syklus)&lt;DagK,"K",IF(MOD($A480-INDEX(SkiftStart,3),Syklus)&lt;DagK+DagH,"H",IF(MOD($A480-INDEX(SkiftStart,3),Syklus)&lt;DagK+DagH+DagD,"D","F")))</f>
        <v/>
      </c>
      <c r="E480">
        <f>IF(B480="F",0,IF(WEEKDAY($A480,2)=5,INDEX(TimerFr,MATCH(B480,FaseKode,0)),INDEX(TimerMT,MATCH(B480,FaseKode,0))))</f>
        <v/>
      </c>
      <c r="F480">
        <f>IF(C480="F",0,IF(WEEKDAY($A480,2)=5,INDEX(TimerFr,MATCH(C480,FaseKode,0)),INDEX(TimerMT,MATCH(C480,FaseKode,0))))</f>
        <v/>
      </c>
      <c r="G480">
        <f>IF(D480="F",0,IF(WEEKDAY($A480,2)=5,INDEX(TimerFr,MATCH(D480,FaseKode,0)),INDEX(TimerMT,MATCH(D480,FaseKode,0))))</f>
        <v/>
      </c>
      <c r="H480">
        <f>IF(OR(H$4="",$A480&gt;TODAY()),0,IF(OR(INDEX($B480:$D480,H$5)="F",AND(H$6&gt;0,$A480&lt;H$6),AND(H$7&gt;0,$A480&gt;H$7)),0,MAX(0,ROUND((INDEX($E480:$G480,H$5)-SUMIFS(TF_Timer,TF_Tekniker,H$4,TF_Dato,$A480))*2,0)/2)))</f>
        <v/>
      </c>
      <c r="I480">
        <f>IF(OR(I$4="",$A480&gt;TODAY()),0,IF(OR(INDEX($B480:$D480,I$5)="F",AND(I$6&gt;0,$A480&lt;I$6),AND(I$7&gt;0,$A480&gt;I$7)),0,MAX(0,ROUND((INDEX($E480:$G480,I$5)-SUMIFS(TF_Timer,TF_Tekniker,I$4,TF_Dato,$A480))*2,0)/2)))</f>
        <v/>
      </c>
      <c r="J480">
        <f>IF(OR(J$4="",$A480&gt;TODAY()),0,IF(OR(INDEX($B480:$D480,J$5)="F",AND(J$6&gt;0,$A480&lt;J$6),AND(J$7&gt;0,$A480&gt;J$7)),0,MAX(0,ROUND((INDEX($E480:$G480,J$5)-SUMIFS(TF_Timer,TF_Tekniker,J$4,TF_Dato,$A480))*2,0)/2)))</f>
        <v/>
      </c>
      <c r="K480">
        <f>IF(OR(K$4="",$A480&gt;TODAY()),0,IF(OR(INDEX($B480:$D480,K$5)="F",AND(K$6&gt;0,$A480&lt;K$6),AND(K$7&gt;0,$A480&gt;K$7)),0,MAX(0,ROUND((INDEX($E480:$G480,K$5)-SUMIFS(TF_Timer,TF_Tekniker,K$4,TF_Dato,$A480))*2,0)/2)))</f>
        <v/>
      </c>
      <c r="L480">
        <f>IF(OR(L$4="",$A480&gt;TODAY()),0,IF(OR(INDEX($B480:$D480,L$5)="F",AND(L$6&gt;0,$A480&lt;L$6),AND(L$7&gt;0,$A480&gt;L$7)),0,MAX(0,ROUND((INDEX($E480:$G480,L$5)-SUMIFS(TF_Timer,TF_Tekniker,L$4,TF_Dato,$A480))*2,0)/2)))</f>
        <v/>
      </c>
      <c r="M480">
        <f>IF(OR(M$4="",$A480&gt;TODAY()),0,IF(OR(INDEX($B480:$D480,M$5)="F",AND(M$6&gt;0,$A480&lt;M$6),AND(M$7&gt;0,$A480&gt;M$7)),0,MAX(0,ROUND((INDEX($E480:$G480,M$5)-SUMIFS(TF_Timer,TF_Tekniker,M$4,TF_Dato,$A480))*2,0)/2)))</f>
        <v/>
      </c>
      <c r="N480">
        <f>IF(OR(N$4="",$A480&gt;TODAY()),0,IF(OR(INDEX($B480:$D480,N$5)="F",AND(N$6&gt;0,$A480&lt;N$6),AND(N$7&gt;0,$A480&gt;N$7)),0,MAX(0,ROUND((INDEX($E480:$G480,N$5)-SUMIFS(TF_Timer,TF_Tekniker,N$4,TF_Dato,$A480))*2,0)/2)))</f>
        <v/>
      </c>
      <c r="O480">
        <f>IF(OR(O$4="",$A480&gt;TODAY()),0,IF(OR(INDEX($B480:$D480,O$5)="F",AND(O$6&gt;0,$A480&lt;O$6),AND(O$7&gt;0,$A480&gt;O$7)),0,MAX(0,ROUND((INDEX($E480:$G480,O$5)-SUMIFS(TF_Timer,TF_Tekniker,O$4,TF_Dato,$A480))*2,0)/2)))</f>
        <v/>
      </c>
      <c r="P480">
        <f>IF(OR(P$4="",$A480&gt;TODAY()),0,IF(OR(INDEX($B480:$D480,P$5)="F",AND(P$6&gt;0,$A480&lt;P$6),AND(P$7&gt;0,$A480&gt;P$7)),0,MAX(0,ROUND((INDEX($E480:$G480,P$5)-SUMIFS(TF_Timer,TF_Tekniker,P$4,TF_Dato,$A480))*2,0)/2)))</f>
        <v/>
      </c>
      <c r="Q480">
        <f>IF(OR(Q$4="",$A480&gt;TODAY()),0,IF(OR(INDEX($B480:$D480,Q$5)="F",AND(Q$6&gt;0,$A480&lt;Q$6),AND(Q$7&gt;0,$A480&gt;Q$7)),0,MAX(0,ROUND((INDEX($E480:$G480,Q$5)-SUMIFS(TF_Timer,TF_Tekniker,Q$4,TF_Dato,$A480))*2,0)/2)))</f>
        <v/>
      </c>
      <c r="R480">
        <f>IF(OR(R$4="",$A480&gt;TODAY()),0,IF(OR(INDEX($B480:$D480,R$5)="F",AND(R$6&gt;0,$A480&lt;R$6),AND(R$7&gt;0,$A480&gt;R$7)),0,MAX(0,ROUND((INDEX($E480:$G480,R$5)-SUMIFS(TF_Timer,TF_Tekniker,R$4,TF_Dato,$A480))*2,0)/2)))</f>
        <v/>
      </c>
      <c r="S480">
        <f>IF(OR(S$4="",$A480&gt;TODAY()),0,IF(OR(INDEX($B480:$D480,S$5)="F",AND(S$6&gt;0,$A480&lt;S$6),AND(S$7&gt;0,$A480&gt;S$7)),0,MAX(0,ROUND((INDEX($E480:$G480,S$5)-SUMIFS(TF_Timer,TF_Tekniker,S$4,TF_Dato,$A480))*2,0)/2)))</f>
        <v/>
      </c>
      <c r="T480">
        <f>IF(OR(T$4="",$A480&gt;TODAY()),0,IF(OR(INDEX($B480:$D480,T$5)="F",AND(T$6&gt;0,$A480&lt;T$6),AND(T$7&gt;0,$A480&gt;T$7)),0,MAX(0,ROUND((INDEX($E480:$G480,T$5)-SUMIFS(TF_Timer,TF_Tekniker,T$4,TF_Dato,$A480))*2,0)/2)))</f>
        <v/>
      </c>
      <c r="U480">
        <f>IF(OR(U$4="",$A480&gt;TODAY()),0,IF(OR(INDEX($B480:$D480,U$5)="F",AND(U$6&gt;0,$A480&lt;U$6),AND(U$7&gt;0,$A480&gt;U$7)),0,MAX(0,ROUND((INDEX($E480:$G480,U$5)-SUMIFS(TF_Timer,TF_Tekniker,U$4,TF_Dato,$A480))*2,0)/2)))</f>
        <v/>
      </c>
      <c r="V480">
        <f>IF(OR(V$4="",$A480&gt;TODAY()),0,IF(OR(INDEX($B480:$D480,V$5)="F",AND(V$6&gt;0,$A480&lt;V$6),AND(V$7&gt;0,$A480&gt;V$7)),0,MAX(0,ROUND((INDEX($E480:$G480,V$5)-SUMIFS(TF_Timer,TF_Tekniker,V$4,TF_Dato,$A480))*2,0)/2)))</f>
        <v/>
      </c>
      <c r="W480">
        <f>IF(OR(W$4="",$A480&gt;TODAY()),0,IF(OR(INDEX($B480:$D480,W$5)="F",AND(W$6&gt;0,$A480&lt;W$6),AND(W$7&gt;0,$A480&gt;W$7)),0,MAX(0,ROUND((INDEX($E480:$G480,W$5)-SUMIFS(TF_Timer,TF_Tekniker,W$4,TF_Dato,$A480))*2,0)/2)))</f>
        <v/>
      </c>
      <c r="X480">
        <f>IF(OR(X$4="",$A480&gt;TODAY()),0,IF(OR(INDEX($B480:$D480,X$5)="F",AND(X$6&gt;0,$A480&lt;X$6),AND(X$7&gt;0,$A480&gt;X$7)),0,MAX(0,ROUND((INDEX($E480:$G480,X$5)-SUMIFS(TF_Timer,TF_Tekniker,X$4,TF_Dato,$A480))*2,0)/2)))</f>
        <v/>
      </c>
      <c r="Y480">
        <f>IF(OR(Y$4="",$A480&gt;TODAY()),0,IF(OR(INDEX($B480:$D480,Y$5)="F",AND(Y$6&gt;0,$A480&lt;Y$6),AND(Y$7&gt;0,$A480&gt;Y$7)),0,MAX(0,ROUND((INDEX($E480:$G480,Y$5)-SUMIFS(TF_Timer,TF_Tekniker,Y$4,TF_Dato,$A480))*2,0)/2)))</f>
        <v/>
      </c>
      <c r="Z480">
        <f>IF(OR(Z$4="",$A480&gt;TODAY()),0,IF(OR(INDEX($B480:$D480,Z$5)="F",AND(Z$6&gt;0,$A480&lt;Z$6),AND(Z$7&gt;0,$A480&gt;Z$7)),0,MAX(0,ROUND((INDEX($E480:$G480,Z$5)-SUMIFS(TF_Timer,TF_Tekniker,Z$4,TF_Dato,$A480))*2,0)/2)))</f>
        <v/>
      </c>
      <c r="AA480">
        <f>IF(OR(AA$4="",$A480&gt;TODAY()),0,IF(OR(INDEX($B480:$D480,AA$5)="F",AND(AA$6&gt;0,$A480&lt;AA$6),AND(AA$7&gt;0,$A480&gt;AA$7)),0,MAX(0,ROUND((INDEX($E480:$G480,AA$5)-SUMIFS(TF_Timer,TF_Tekniker,AA$4,TF_Dato,$A480))*2,0)/2)))</f>
        <v/>
      </c>
      <c r="AB480">
        <f>IF(OR(AB$4="",$A480&gt;TODAY()),0,IF(OR(INDEX($B480:$D480,AB$5)="F",AND(AB$6&gt;0,$A480&lt;AB$6),AND(AB$7&gt;0,$A480&gt;AB$7)),0,MAX(0,ROUND((INDEX($E480:$G480,AB$5)-SUMIFS(TF_Timer,TF_Tekniker,AB$4,TF_Dato,$A480))*2,0)/2)))</f>
        <v/>
      </c>
      <c r="AC480">
        <f>IF(OR(AC$4="",$A480&gt;TODAY()),0,IF(OR(INDEX($B480:$D480,AC$5)="F",AND(AC$6&gt;0,$A480&lt;AC$6),AND(AC$7&gt;0,$A480&gt;AC$7)),0,MAX(0,ROUND((INDEX($E480:$G480,AC$5)-SUMIFS(TF_Timer,TF_Tekniker,AC$4,TF_Dato,$A480))*2,0)/2)))</f>
        <v/>
      </c>
      <c r="AD480">
        <f>IF(OR(AD$4="",$A480&gt;TODAY()),0,IF(OR(INDEX($B480:$D480,AD$5)="F",AND(AD$6&gt;0,$A480&lt;AD$6),AND(AD$7&gt;0,$A480&gt;AD$7)),0,MAX(0,ROUND((INDEX($E480:$G480,AD$5)-SUMIFS(TF_Timer,TF_Tekniker,AD$4,TF_Dato,$A480))*2,0)/2)))</f>
        <v/>
      </c>
      <c r="AE480">
        <f>IF(OR(AE$4="",$A480&gt;TODAY()),0,IF(OR(INDEX($B480:$D480,AE$5)="F",AND(AE$6&gt;0,$A480&lt;AE$6),AND(AE$7&gt;0,$A480&gt;AE$7)),0,MAX(0,ROUND((INDEX($E480:$G480,AE$5)-SUMIFS(TF_Timer,TF_Tekniker,AE$4,TF_Dato,$A480))*2,0)/2)))</f>
        <v/>
      </c>
      <c r="AF480">
        <f>IF(OR(AF$4="",$A480&gt;TODAY()),0,IF(OR(INDEX($B480:$D480,AF$5)="F",AND(AF$6&gt;0,$A480&lt;AF$6),AND(AF$7&gt;0,$A480&gt;AF$7)),0,MAX(0,ROUND((INDEX($E480:$G480,AF$5)-SUMIFS(TF_Timer,TF_Tekniker,AF$4,TF_Dato,$A480))*2,0)/2)))</f>
        <v/>
      </c>
      <c r="AG480">
        <f>IF(OR(AG$4="",$A480&gt;TODAY()),0,IF(OR(INDEX($B480:$D480,AG$5)="F",AND(AG$6&gt;0,$A480&lt;AG$6),AND(AG$7&gt;0,$A480&gt;AG$7)),0,MAX(0,ROUND((INDEX($E480:$G480,AG$5)-SUMIFS(TF_Timer,TF_Tekniker,AG$4,TF_Dato,$A480))*2,0)/2)))</f>
        <v/>
      </c>
      <c r="AH480">
        <f>IF(OR(AH$4="",$A480&gt;TODAY()),0,IF(OR(INDEX($B480:$D480,AH$5)="F",AND(AH$6&gt;0,$A480&lt;AH$6),AND(AH$7&gt;0,$A480&gt;AH$7)),0,MAX(0,ROUND((INDEX($E480:$G480,AH$5)-SUMIFS(TF_Timer,TF_Tekniker,AH$4,TF_Dato,$A480))*2,0)/2)))</f>
        <v/>
      </c>
      <c r="AI480">
        <f>IF(OR(AI$4="",$A480&gt;TODAY()),0,IF(OR(INDEX($B480:$D480,AI$5)="F",AND(AI$6&gt;0,$A480&lt;AI$6),AND(AI$7&gt;0,$A480&gt;AI$7)),0,MAX(0,ROUND((INDEX($E480:$G480,AI$5)-SUMIFS(TF_Timer,TF_Tekniker,AI$4,TF_Dato,$A480))*2,0)/2)))</f>
        <v/>
      </c>
      <c r="AJ480">
        <f>IF(OR(AJ$4="",$A480&gt;TODAY()),0,IF(OR(INDEX($B480:$D480,AJ$5)="F",AND(AJ$6&gt;0,$A480&lt;AJ$6),AND(AJ$7&gt;0,$A480&gt;AJ$7)),0,MAX(0,ROUND((INDEX($E480:$G480,AJ$5)-SUMIFS(TF_Timer,TF_Tekniker,AJ$4,TF_Dato,$A480))*2,0)/2)))</f>
        <v/>
      </c>
      <c r="AK480">
        <f>IF(OR(AK$4="",$A480&gt;TODAY()),0,IF(OR(INDEX($B480:$D480,AK$5)="F",AND(AK$6&gt;0,$A480&lt;AK$6),AND(AK$7&gt;0,$A480&gt;AK$7)),0,MAX(0,ROUND((INDEX($E480:$G480,AK$5)-SUMIFS(TF_Timer,TF_Tekniker,AK$4,TF_Dato,$A480))*2,0)/2)))</f>
        <v/>
      </c>
      <c r="AL480">
        <f>IF(OR(AL$4="",$A480&gt;TODAY()),0,IF(OR(INDEX($B480:$D480,AL$5)="F",AND(AL$6&gt;0,$A480&lt;AL$6),AND(AL$7&gt;0,$A480&gt;AL$7)),0,MAX(0,ROUND((INDEX($E480:$G480,AL$5)-SUMIFS(TF_Timer,TF_Tekniker,AL$4,TF_Dato,$A480))*2,0)/2)))</f>
        <v/>
      </c>
      <c r="AM480">
        <f>IF(OR(AM$4="",$A480&gt;TODAY()),0,IF(OR(INDEX($B480:$D480,AM$5)="F",AND(AM$6&gt;0,$A480&lt;AM$6),AND(AM$7&gt;0,$A480&gt;AM$7)),0,MAX(0,ROUND((INDEX($E480:$G480,AM$5)-SUMIFS(TF_Timer,TF_Tekniker,AM$4,TF_Dato,$A480))*2,0)/2)))</f>
        <v/>
      </c>
      <c r="AN480">
        <f>IF(OR(AN$4="",$A480&gt;TODAY()),0,IF(OR(INDEX($B480:$D480,AN$5)="F",AND(AN$6&gt;0,$A480&lt;AN$6),AND(AN$7&gt;0,$A480&gt;AN$7)),0,MAX(0,ROUND((INDEX($E480:$G480,AN$5)-SUMIFS(TF_Timer,TF_Tekniker,AN$4,TF_Dato,$A480))*2,0)/2)))</f>
        <v/>
      </c>
      <c r="AO480">
        <f>IF(OR(AO$4="",$A480&gt;TODAY()),0,IF(OR(INDEX($B480:$D480,AO$5)="F",AND(AO$6&gt;0,$A480&lt;AO$6),AND(AO$7&gt;0,$A480&gt;AO$7)),0,MAX(0,ROUND((INDEX($E480:$G480,AO$5)-SUMIFS(TF_Timer,TF_Tekniker,AO$4,TF_Dato,$A480))*2,0)/2)))</f>
        <v/>
      </c>
      <c r="AP480">
        <f>IF(OR(AP$4="",$A480&gt;TODAY()),0,IF(OR(INDEX($B480:$D480,AP$5)="F",AND(AP$6&gt;0,$A480&lt;AP$6),AND(AP$7&gt;0,$A480&gt;AP$7)),0,MAX(0,ROUND((INDEX($E480:$G480,AP$5)-SUMIFS(TF_Timer,TF_Tekniker,AP$4,TF_Dato,$A480))*2,0)/2)))</f>
        <v/>
      </c>
      <c r="AQ480">
        <f>IF(OR(AQ$4="",$A480&gt;TODAY()),0,IF(OR(INDEX($B480:$D480,AQ$5)="F",AND(AQ$6&gt;0,$A480&lt;AQ$6),AND(AQ$7&gt;0,$A480&gt;AQ$7)),0,MAX(0,ROUND((INDEX($E480:$G480,AQ$5)-SUMIFS(TF_Timer,TF_Tekniker,AQ$4,TF_Dato,$A480))*2,0)/2)))</f>
        <v/>
      </c>
      <c r="AR480">
        <f>IF(OR(AR$4="",$A480&gt;TODAY()),0,IF(OR(INDEX($B480:$D480,AR$5)="F",AND(AR$6&gt;0,$A480&lt;AR$6),AND(AR$7&gt;0,$A480&gt;AR$7)),0,MAX(0,ROUND((INDEX($E480:$G480,AR$5)-SUMIFS(TF_Timer,TF_Tekniker,AR$4,TF_Dato,$A480))*2,0)/2)))</f>
        <v/>
      </c>
      <c r="AS480">
        <f>IF(OR(AS$4="",$A480&gt;TODAY()),0,IF(OR(INDEX($B480:$D480,AS$5)="F",AND(AS$6&gt;0,$A480&lt;AS$6),AND(AS$7&gt;0,$A480&gt;AS$7)),0,MAX(0,ROUND((INDEX($E480:$G480,AS$5)-SUMIFS(TF_Timer,TF_Tekniker,AS$4,TF_Dato,$A480))*2,0)/2)))</f>
        <v/>
      </c>
      <c r="AT480">
        <f>IF(OR(AT$4="",$A480&gt;TODAY()),0,IF(OR(INDEX($B480:$D480,AT$5)="F",AND(AT$6&gt;0,$A480&lt;AT$6),AND(AT$7&gt;0,$A480&gt;AT$7)),0,MAX(0,ROUND((INDEX($E480:$G480,AT$5)-SUMIFS(TF_Timer,TF_Tekniker,AT$4,TF_Dato,$A480))*2,0)/2)))</f>
        <v/>
      </c>
      <c r="AU480">
        <f>IF(OR(AU$4="",$A480&gt;TODAY()),0,IF(OR(INDEX($B480:$D480,AU$5)="F",AND(AU$6&gt;0,$A480&lt;AU$6),AND(AU$7&gt;0,$A480&gt;AU$7)),0,MAX(0,ROUND((INDEX($E480:$G480,AU$5)-SUMIFS(TF_Timer,TF_Tekniker,AU$4,TF_Dato,$A480))*2,0)/2)))</f>
        <v/>
      </c>
      <c r="AV480">
        <f>IF(OR(AV$4="",$A480&gt;TODAY()),0,IF(OR(INDEX($B480:$D480,AV$5)="F",AND(AV$6&gt;0,$A480&lt;AV$6),AND(AV$7&gt;0,$A480&gt;AV$7)),0,MAX(0,ROUND((INDEX($E480:$G480,AV$5)-SUMIFS(TF_Timer,TF_Tekniker,AV$4,TF_Dato,$A480))*2,0)/2)))</f>
        <v/>
      </c>
      <c r="AW480">
        <f>IF(OR(AW$4="",$A480&gt;TODAY()),0,IF(OR(INDEX($B480:$D480,AW$5)="F",AND(AW$6&gt;0,$A480&lt;AW$6),AND(AW$7&gt;0,$A480&gt;AW$7)),0,MAX(0,ROUND((INDEX($E480:$G480,AW$5)-SUMIFS(TF_Timer,TF_Tekniker,AW$4,TF_Dato,$A480))*2,0)/2)))</f>
        <v/>
      </c>
      <c r="AX480">
        <f>IF(OR(AX$4="",$A480&gt;TODAY()),0,IF(OR(INDEX($B480:$D480,AX$5)="F",AND(AX$6&gt;0,$A480&lt;AX$6),AND(AX$7&gt;0,$A480&gt;AX$7)),0,MAX(0,ROUND((INDEX($E480:$G480,AX$5)-SUMIFS(TF_Timer,TF_Tekniker,AX$4,TF_Dato,$A480))*2,0)/2)))</f>
        <v/>
      </c>
      <c r="AY480">
        <f>IF(OR(AY$4="",$A480&gt;TODAY()),0,IF(OR(INDEX($B480:$D480,AY$5)="F",AND(AY$6&gt;0,$A480&lt;AY$6),AND(AY$7&gt;0,$A480&gt;AY$7)),0,MAX(0,ROUND((INDEX($E480:$G480,AY$5)-SUMIFS(TF_Timer,TF_Tekniker,AY$4,TF_Dato,$A480))*2,0)/2)))</f>
        <v/>
      </c>
      <c r="AZ480">
        <f>IF(OR(AZ$4="",$A480&gt;TODAY()),0,IF(OR(INDEX($B480:$D480,AZ$5)="F",AND(AZ$6&gt;0,$A480&lt;AZ$6),AND(AZ$7&gt;0,$A480&gt;AZ$7)),0,MAX(0,ROUND((INDEX($E480:$G480,AZ$5)-SUMIFS(TF_Timer,TF_Tekniker,AZ$4,TF_Dato,$A480))*2,0)/2)))</f>
        <v/>
      </c>
      <c r="BA480">
        <f>IF(OR(BA$4="",$A480&gt;TODAY()),0,IF(OR(INDEX($B480:$D480,BA$5)="F",AND(BA$6&gt;0,$A480&lt;BA$6),AND(BA$7&gt;0,$A480&gt;BA$7)),0,MAX(0,ROUND((INDEX($E480:$G480,BA$5)-SUMIFS(TF_Timer,TF_Tekniker,BA$4,TF_Dato,$A480))*2,0)/2)))</f>
        <v/>
      </c>
      <c r="BB480">
        <f>IF(OR(BB$4="",$A480&gt;TODAY()),0,IF(OR(INDEX($B480:$D480,BB$5)="F",AND(BB$6&gt;0,$A480&lt;BB$6),AND(BB$7&gt;0,$A480&gt;BB$7)),0,MAX(0,ROUND((INDEX($E480:$G480,BB$5)-SUMIFS(TF_Timer,TF_Tekniker,BB$4,TF_Dato,$A480))*2,0)/2)))</f>
        <v/>
      </c>
      <c r="BC480">
        <f>IF(OR(BC$4="",$A480&gt;TODAY()),0,IF(OR(INDEX($B480:$D480,BC$5)="F",AND(BC$6&gt;0,$A480&lt;BC$6),AND(BC$7&gt;0,$A480&gt;BC$7)),0,MAX(0,ROUND((INDEX($E480:$G480,BC$5)-SUMIFS(TF_Timer,TF_Tekniker,BC$4,TF_Dato,$A480))*2,0)/2)))</f>
        <v/>
      </c>
      <c r="BD480">
        <f>IF(OR(BD$4="",$A480&gt;TODAY()),0,IF(OR(INDEX($B480:$D480,BD$5)="F",AND(BD$6&gt;0,$A480&lt;BD$6),AND(BD$7&gt;0,$A480&gt;BD$7)),0,MAX(0,ROUND((INDEX($E480:$G480,BD$5)-SUMIFS(TF_Timer,TF_Tekniker,BD$4,TF_Dato,$A480))*2,0)/2)))</f>
        <v/>
      </c>
      <c r="BE480">
        <f>IF(OR(BE$4="",$A480&gt;TODAY()),0,IF(OR(INDEX($B480:$D480,BE$5)="F",AND(BE$6&gt;0,$A480&lt;BE$6),AND(BE$7&gt;0,$A480&gt;BE$7)),0,MAX(0,ROUND((INDEX($E480:$G480,BE$5)-SUMIFS(TF_Timer,TF_Tekniker,BE$4,TF_Dato,$A480))*2,0)/2)))</f>
        <v/>
      </c>
      <c r="BF480">
        <f>IF(OR(BF$4="",$A480&gt;TODAY()),0,IF(OR(INDEX($B480:$D480,BF$5)="F",AND(BF$6&gt;0,$A480&lt;BF$6),AND(BF$7&gt;0,$A480&gt;BF$7)),0,MAX(0,ROUND((INDEX($E480:$G480,BF$5)-SUMIFS(TF_Timer,TF_Tekniker,BF$4,TF_Dato,$A480))*2,0)/2)))</f>
        <v/>
      </c>
      <c r="BG480">
        <f>IF(OR(BG$4="",$A480&gt;TODAY()),0,IF(OR(INDEX($B480:$D480,BG$5)="F",AND(BG$6&gt;0,$A480&lt;BG$6),AND(BG$7&gt;0,$A480&gt;BG$7)),0,MAX(0,ROUND((INDEX($E480:$G480,BG$5)-SUMIFS(TF_Timer,TF_Tekniker,BG$4,TF_Dato,$A480))*2,0)/2)))</f>
        <v/>
      </c>
      <c r="BH480">
        <f>IF(OR(BH$4="",$A480&gt;TODAY()),0,IF(OR(INDEX($B480:$D480,BH$5)="F",AND(BH$6&gt;0,$A480&lt;BH$6),AND(BH$7&gt;0,$A480&gt;BH$7)),0,MAX(0,ROUND((INDEX($E480:$G480,BH$5)-SUMIFS(TF_Timer,TF_Tekniker,BH$4,TF_Dato,$A480))*2,0)/2)))</f>
        <v/>
      </c>
      <c r="BI480">
        <f>IF(OR(BI$4="",$A480&gt;TODAY()),0,IF(OR(INDEX($B480:$D480,BI$5)="F",AND(BI$6&gt;0,$A480&lt;BI$6),AND(BI$7&gt;0,$A480&gt;BI$7)),0,MAX(0,ROUND((INDEX($E480:$G480,BI$5)-SUMIFS(TF_Timer,TF_Tekniker,BI$4,TF_Dato,$A480))*2,0)/2)))</f>
        <v/>
      </c>
    </row>
    <row r="481">
      <c r="A481" s="64">
        <f>A480+1</f>
        <v/>
      </c>
      <c r="B481">
        <f>IF(MOD($A481-INDEX(SkiftStart,1),Syklus)&lt;DagK,"K",IF(MOD($A481-INDEX(SkiftStart,1),Syklus)&lt;DagK+DagH,"H",IF(MOD($A481-INDEX(SkiftStart,1),Syklus)&lt;DagK+DagH+DagD,"D","F")))</f>
        <v/>
      </c>
      <c r="C481">
        <f>IF(MOD($A481-INDEX(SkiftStart,2),Syklus)&lt;DagK,"K",IF(MOD($A481-INDEX(SkiftStart,2),Syklus)&lt;DagK+DagH,"H",IF(MOD($A481-INDEX(SkiftStart,2),Syklus)&lt;DagK+DagH+DagD,"D","F")))</f>
        <v/>
      </c>
      <c r="D481">
        <f>IF(MOD($A481-INDEX(SkiftStart,3),Syklus)&lt;DagK,"K",IF(MOD($A481-INDEX(SkiftStart,3),Syklus)&lt;DagK+DagH,"H",IF(MOD($A481-INDEX(SkiftStart,3),Syklus)&lt;DagK+DagH+DagD,"D","F")))</f>
        <v/>
      </c>
      <c r="E481">
        <f>IF(B481="F",0,IF(WEEKDAY($A481,2)=5,INDEX(TimerFr,MATCH(B481,FaseKode,0)),INDEX(TimerMT,MATCH(B481,FaseKode,0))))</f>
        <v/>
      </c>
      <c r="F481">
        <f>IF(C481="F",0,IF(WEEKDAY($A481,2)=5,INDEX(TimerFr,MATCH(C481,FaseKode,0)),INDEX(TimerMT,MATCH(C481,FaseKode,0))))</f>
        <v/>
      </c>
      <c r="G481">
        <f>IF(D481="F",0,IF(WEEKDAY($A481,2)=5,INDEX(TimerFr,MATCH(D481,FaseKode,0)),INDEX(TimerMT,MATCH(D481,FaseKode,0))))</f>
        <v/>
      </c>
      <c r="H481">
        <f>IF(OR(H$4="",$A481&gt;TODAY()),0,IF(OR(INDEX($B481:$D481,H$5)="F",AND(H$6&gt;0,$A481&lt;H$6),AND(H$7&gt;0,$A481&gt;H$7)),0,MAX(0,ROUND((INDEX($E481:$G481,H$5)-SUMIFS(TF_Timer,TF_Tekniker,H$4,TF_Dato,$A481))*2,0)/2)))</f>
        <v/>
      </c>
      <c r="I481">
        <f>IF(OR(I$4="",$A481&gt;TODAY()),0,IF(OR(INDEX($B481:$D481,I$5)="F",AND(I$6&gt;0,$A481&lt;I$6),AND(I$7&gt;0,$A481&gt;I$7)),0,MAX(0,ROUND((INDEX($E481:$G481,I$5)-SUMIFS(TF_Timer,TF_Tekniker,I$4,TF_Dato,$A481))*2,0)/2)))</f>
        <v/>
      </c>
      <c r="J481">
        <f>IF(OR(J$4="",$A481&gt;TODAY()),0,IF(OR(INDEX($B481:$D481,J$5)="F",AND(J$6&gt;0,$A481&lt;J$6),AND(J$7&gt;0,$A481&gt;J$7)),0,MAX(0,ROUND((INDEX($E481:$G481,J$5)-SUMIFS(TF_Timer,TF_Tekniker,J$4,TF_Dato,$A481))*2,0)/2)))</f>
        <v/>
      </c>
      <c r="K481">
        <f>IF(OR(K$4="",$A481&gt;TODAY()),0,IF(OR(INDEX($B481:$D481,K$5)="F",AND(K$6&gt;0,$A481&lt;K$6),AND(K$7&gt;0,$A481&gt;K$7)),0,MAX(0,ROUND((INDEX($E481:$G481,K$5)-SUMIFS(TF_Timer,TF_Tekniker,K$4,TF_Dato,$A481))*2,0)/2)))</f>
        <v/>
      </c>
      <c r="L481">
        <f>IF(OR(L$4="",$A481&gt;TODAY()),0,IF(OR(INDEX($B481:$D481,L$5)="F",AND(L$6&gt;0,$A481&lt;L$6),AND(L$7&gt;0,$A481&gt;L$7)),0,MAX(0,ROUND((INDEX($E481:$G481,L$5)-SUMIFS(TF_Timer,TF_Tekniker,L$4,TF_Dato,$A481))*2,0)/2)))</f>
        <v/>
      </c>
      <c r="M481">
        <f>IF(OR(M$4="",$A481&gt;TODAY()),0,IF(OR(INDEX($B481:$D481,M$5)="F",AND(M$6&gt;0,$A481&lt;M$6),AND(M$7&gt;0,$A481&gt;M$7)),0,MAX(0,ROUND((INDEX($E481:$G481,M$5)-SUMIFS(TF_Timer,TF_Tekniker,M$4,TF_Dato,$A481))*2,0)/2)))</f>
        <v/>
      </c>
      <c r="N481">
        <f>IF(OR(N$4="",$A481&gt;TODAY()),0,IF(OR(INDEX($B481:$D481,N$5)="F",AND(N$6&gt;0,$A481&lt;N$6),AND(N$7&gt;0,$A481&gt;N$7)),0,MAX(0,ROUND((INDEX($E481:$G481,N$5)-SUMIFS(TF_Timer,TF_Tekniker,N$4,TF_Dato,$A481))*2,0)/2)))</f>
        <v/>
      </c>
      <c r="O481">
        <f>IF(OR(O$4="",$A481&gt;TODAY()),0,IF(OR(INDEX($B481:$D481,O$5)="F",AND(O$6&gt;0,$A481&lt;O$6),AND(O$7&gt;0,$A481&gt;O$7)),0,MAX(0,ROUND((INDEX($E481:$G481,O$5)-SUMIFS(TF_Timer,TF_Tekniker,O$4,TF_Dato,$A481))*2,0)/2)))</f>
        <v/>
      </c>
      <c r="P481">
        <f>IF(OR(P$4="",$A481&gt;TODAY()),0,IF(OR(INDEX($B481:$D481,P$5)="F",AND(P$6&gt;0,$A481&lt;P$6),AND(P$7&gt;0,$A481&gt;P$7)),0,MAX(0,ROUND((INDEX($E481:$G481,P$5)-SUMIFS(TF_Timer,TF_Tekniker,P$4,TF_Dato,$A481))*2,0)/2)))</f>
        <v/>
      </c>
      <c r="Q481">
        <f>IF(OR(Q$4="",$A481&gt;TODAY()),0,IF(OR(INDEX($B481:$D481,Q$5)="F",AND(Q$6&gt;0,$A481&lt;Q$6),AND(Q$7&gt;0,$A481&gt;Q$7)),0,MAX(0,ROUND((INDEX($E481:$G481,Q$5)-SUMIFS(TF_Timer,TF_Tekniker,Q$4,TF_Dato,$A481))*2,0)/2)))</f>
        <v/>
      </c>
      <c r="R481">
        <f>IF(OR(R$4="",$A481&gt;TODAY()),0,IF(OR(INDEX($B481:$D481,R$5)="F",AND(R$6&gt;0,$A481&lt;R$6),AND(R$7&gt;0,$A481&gt;R$7)),0,MAX(0,ROUND((INDEX($E481:$G481,R$5)-SUMIFS(TF_Timer,TF_Tekniker,R$4,TF_Dato,$A481))*2,0)/2)))</f>
        <v/>
      </c>
      <c r="S481">
        <f>IF(OR(S$4="",$A481&gt;TODAY()),0,IF(OR(INDEX($B481:$D481,S$5)="F",AND(S$6&gt;0,$A481&lt;S$6),AND(S$7&gt;0,$A481&gt;S$7)),0,MAX(0,ROUND((INDEX($E481:$G481,S$5)-SUMIFS(TF_Timer,TF_Tekniker,S$4,TF_Dato,$A481))*2,0)/2)))</f>
        <v/>
      </c>
      <c r="T481">
        <f>IF(OR(T$4="",$A481&gt;TODAY()),0,IF(OR(INDEX($B481:$D481,T$5)="F",AND(T$6&gt;0,$A481&lt;T$6),AND(T$7&gt;0,$A481&gt;T$7)),0,MAX(0,ROUND((INDEX($E481:$G481,T$5)-SUMIFS(TF_Timer,TF_Tekniker,T$4,TF_Dato,$A481))*2,0)/2)))</f>
        <v/>
      </c>
      <c r="U481">
        <f>IF(OR(U$4="",$A481&gt;TODAY()),0,IF(OR(INDEX($B481:$D481,U$5)="F",AND(U$6&gt;0,$A481&lt;U$6),AND(U$7&gt;0,$A481&gt;U$7)),0,MAX(0,ROUND((INDEX($E481:$G481,U$5)-SUMIFS(TF_Timer,TF_Tekniker,U$4,TF_Dato,$A481))*2,0)/2)))</f>
        <v/>
      </c>
      <c r="V481">
        <f>IF(OR(V$4="",$A481&gt;TODAY()),0,IF(OR(INDEX($B481:$D481,V$5)="F",AND(V$6&gt;0,$A481&lt;V$6),AND(V$7&gt;0,$A481&gt;V$7)),0,MAX(0,ROUND((INDEX($E481:$G481,V$5)-SUMIFS(TF_Timer,TF_Tekniker,V$4,TF_Dato,$A481))*2,0)/2)))</f>
        <v/>
      </c>
      <c r="W481">
        <f>IF(OR(W$4="",$A481&gt;TODAY()),0,IF(OR(INDEX($B481:$D481,W$5)="F",AND(W$6&gt;0,$A481&lt;W$6),AND(W$7&gt;0,$A481&gt;W$7)),0,MAX(0,ROUND((INDEX($E481:$G481,W$5)-SUMIFS(TF_Timer,TF_Tekniker,W$4,TF_Dato,$A481))*2,0)/2)))</f>
        <v/>
      </c>
      <c r="X481">
        <f>IF(OR(X$4="",$A481&gt;TODAY()),0,IF(OR(INDEX($B481:$D481,X$5)="F",AND(X$6&gt;0,$A481&lt;X$6),AND(X$7&gt;0,$A481&gt;X$7)),0,MAX(0,ROUND((INDEX($E481:$G481,X$5)-SUMIFS(TF_Timer,TF_Tekniker,X$4,TF_Dato,$A481))*2,0)/2)))</f>
        <v/>
      </c>
      <c r="Y481">
        <f>IF(OR(Y$4="",$A481&gt;TODAY()),0,IF(OR(INDEX($B481:$D481,Y$5)="F",AND(Y$6&gt;0,$A481&lt;Y$6),AND(Y$7&gt;0,$A481&gt;Y$7)),0,MAX(0,ROUND((INDEX($E481:$G481,Y$5)-SUMIFS(TF_Timer,TF_Tekniker,Y$4,TF_Dato,$A481))*2,0)/2)))</f>
        <v/>
      </c>
      <c r="Z481">
        <f>IF(OR(Z$4="",$A481&gt;TODAY()),0,IF(OR(INDEX($B481:$D481,Z$5)="F",AND(Z$6&gt;0,$A481&lt;Z$6),AND(Z$7&gt;0,$A481&gt;Z$7)),0,MAX(0,ROUND((INDEX($E481:$G481,Z$5)-SUMIFS(TF_Timer,TF_Tekniker,Z$4,TF_Dato,$A481))*2,0)/2)))</f>
        <v/>
      </c>
      <c r="AA481">
        <f>IF(OR(AA$4="",$A481&gt;TODAY()),0,IF(OR(INDEX($B481:$D481,AA$5)="F",AND(AA$6&gt;0,$A481&lt;AA$6),AND(AA$7&gt;0,$A481&gt;AA$7)),0,MAX(0,ROUND((INDEX($E481:$G481,AA$5)-SUMIFS(TF_Timer,TF_Tekniker,AA$4,TF_Dato,$A481))*2,0)/2)))</f>
        <v/>
      </c>
      <c r="AB481">
        <f>IF(OR(AB$4="",$A481&gt;TODAY()),0,IF(OR(INDEX($B481:$D481,AB$5)="F",AND(AB$6&gt;0,$A481&lt;AB$6),AND(AB$7&gt;0,$A481&gt;AB$7)),0,MAX(0,ROUND((INDEX($E481:$G481,AB$5)-SUMIFS(TF_Timer,TF_Tekniker,AB$4,TF_Dato,$A481))*2,0)/2)))</f>
        <v/>
      </c>
      <c r="AC481">
        <f>IF(OR(AC$4="",$A481&gt;TODAY()),0,IF(OR(INDEX($B481:$D481,AC$5)="F",AND(AC$6&gt;0,$A481&lt;AC$6),AND(AC$7&gt;0,$A481&gt;AC$7)),0,MAX(0,ROUND((INDEX($E481:$G481,AC$5)-SUMIFS(TF_Timer,TF_Tekniker,AC$4,TF_Dato,$A481))*2,0)/2)))</f>
        <v/>
      </c>
      <c r="AD481">
        <f>IF(OR(AD$4="",$A481&gt;TODAY()),0,IF(OR(INDEX($B481:$D481,AD$5)="F",AND(AD$6&gt;0,$A481&lt;AD$6),AND(AD$7&gt;0,$A481&gt;AD$7)),0,MAX(0,ROUND((INDEX($E481:$G481,AD$5)-SUMIFS(TF_Timer,TF_Tekniker,AD$4,TF_Dato,$A481))*2,0)/2)))</f>
        <v/>
      </c>
      <c r="AE481">
        <f>IF(OR(AE$4="",$A481&gt;TODAY()),0,IF(OR(INDEX($B481:$D481,AE$5)="F",AND(AE$6&gt;0,$A481&lt;AE$6),AND(AE$7&gt;0,$A481&gt;AE$7)),0,MAX(0,ROUND((INDEX($E481:$G481,AE$5)-SUMIFS(TF_Timer,TF_Tekniker,AE$4,TF_Dato,$A481))*2,0)/2)))</f>
        <v/>
      </c>
      <c r="AF481">
        <f>IF(OR(AF$4="",$A481&gt;TODAY()),0,IF(OR(INDEX($B481:$D481,AF$5)="F",AND(AF$6&gt;0,$A481&lt;AF$6),AND(AF$7&gt;0,$A481&gt;AF$7)),0,MAX(0,ROUND((INDEX($E481:$G481,AF$5)-SUMIFS(TF_Timer,TF_Tekniker,AF$4,TF_Dato,$A481))*2,0)/2)))</f>
        <v/>
      </c>
      <c r="AG481">
        <f>IF(OR(AG$4="",$A481&gt;TODAY()),0,IF(OR(INDEX($B481:$D481,AG$5)="F",AND(AG$6&gt;0,$A481&lt;AG$6),AND(AG$7&gt;0,$A481&gt;AG$7)),0,MAX(0,ROUND((INDEX($E481:$G481,AG$5)-SUMIFS(TF_Timer,TF_Tekniker,AG$4,TF_Dato,$A481))*2,0)/2)))</f>
        <v/>
      </c>
      <c r="AH481">
        <f>IF(OR(AH$4="",$A481&gt;TODAY()),0,IF(OR(INDEX($B481:$D481,AH$5)="F",AND(AH$6&gt;0,$A481&lt;AH$6),AND(AH$7&gt;0,$A481&gt;AH$7)),0,MAX(0,ROUND((INDEX($E481:$G481,AH$5)-SUMIFS(TF_Timer,TF_Tekniker,AH$4,TF_Dato,$A481))*2,0)/2)))</f>
        <v/>
      </c>
      <c r="AI481">
        <f>IF(OR(AI$4="",$A481&gt;TODAY()),0,IF(OR(INDEX($B481:$D481,AI$5)="F",AND(AI$6&gt;0,$A481&lt;AI$6),AND(AI$7&gt;0,$A481&gt;AI$7)),0,MAX(0,ROUND((INDEX($E481:$G481,AI$5)-SUMIFS(TF_Timer,TF_Tekniker,AI$4,TF_Dato,$A481))*2,0)/2)))</f>
        <v/>
      </c>
      <c r="AJ481">
        <f>IF(OR(AJ$4="",$A481&gt;TODAY()),0,IF(OR(INDEX($B481:$D481,AJ$5)="F",AND(AJ$6&gt;0,$A481&lt;AJ$6),AND(AJ$7&gt;0,$A481&gt;AJ$7)),0,MAX(0,ROUND((INDEX($E481:$G481,AJ$5)-SUMIFS(TF_Timer,TF_Tekniker,AJ$4,TF_Dato,$A481))*2,0)/2)))</f>
        <v/>
      </c>
      <c r="AK481">
        <f>IF(OR(AK$4="",$A481&gt;TODAY()),0,IF(OR(INDEX($B481:$D481,AK$5)="F",AND(AK$6&gt;0,$A481&lt;AK$6),AND(AK$7&gt;0,$A481&gt;AK$7)),0,MAX(0,ROUND((INDEX($E481:$G481,AK$5)-SUMIFS(TF_Timer,TF_Tekniker,AK$4,TF_Dato,$A481))*2,0)/2)))</f>
        <v/>
      </c>
      <c r="AL481">
        <f>IF(OR(AL$4="",$A481&gt;TODAY()),0,IF(OR(INDEX($B481:$D481,AL$5)="F",AND(AL$6&gt;0,$A481&lt;AL$6),AND(AL$7&gt;0,$A481&gt;AL$7)),0,MAX(0,ROUND((INDEX($E481:$G481,AL$5)-SUMIFS(TF_Timer,TF_Tekniker,AL$4,TF_Dato,$A481))*2,0)/2)))</f>
        <v/>
      </c>
      <c r="AM481">
        <f>IF(OR(AM$4="",$A481&gt;TODAY()),0,IF(OR(INDEX($B481:$D481,AM$5)="F",AND(AM$6&gt;0,$A481&lt;AM$6),AND(AM$7&gt;0,$A481&gt;AM$7)),0,MAX(0,ROUND((INDEX($E481:$G481,AM$5)-SUMIFS(TF_Timer,TF_Tekniker,AM$4,TF_Dato,$A481))*2,0)/2)))</f>
        <v/>
      </c>
      <c r="AN481">
        <f>IF(OR(AN$4="",$A481&gt;TODAY()),0,IF(OR(INDEX($B481:$D481,AN$5)="F",AND(AN$6&gt;0,$A481&lt;AN$6),AND(AN$7&gt;0,$A481&gt;AN$7)),0,MAX(0,ROUND((INDEX($E481:$G481,AN$5)-SUMIFS(TF_Timer,TF_Tekniker,AN$4,TF_Dato,$A481))*2,0)/2)))</f>
        <v/>
      </c>
      <c r="AO481">
        <f>IF(OR(AO$4="",$A481&gt;TODAY()),0,IF(OR(INDEX($B481:$D481,AO$5)="F",AND(AO$6&gt;0,$A481&lt;AO$6),AND(AO$7&gt;0,$A481&gt;AO$7)),0,MAX(0,ROUND((INDEX($E481:$G481,AO$5)-SUMIFS(TF_Timer,TF_Tekniker,AO$4,TF_Dato,$A481))*2,0)/2)))</f>
        <v/>
      </c>
      <c r="AP481">
        <f>IF(OR(AP$4="",$A481&gt;TODAY()),0,IF(OR(INDEX($B481:$D481,AP$5)="F",AND(AP$6&gt;0,$A481&lt;AP$6),AND(AP$7&gt;0,$A481&gt;AP$7)),0,MAX(0,ROUND((INDEX($E481:$G481,AP$5)-SUMIFS(TF_Timer,TF_Tekniker,AP$4,TF_Dato,$A481))*2,0)/2)))</f>
        <v/>
      </c>
      <c r="AQ481">
        <f>IF(OR(AQ$4="",$A481&gt;TODAY()),0,IF(OR(INDEX($B481:$D481,AQ$5)="F",AND(AQ$6&gt;0,$A481&lt;AQ$6),AND(AQ$7&gt;0,$A481&gt;AQ$7)),0,MAX(0,ROUND((INDEX($E481:$G481,AQ$5)-SUMIFS(TF_Timer,TF_Tekniker,AQ$4,TF_Dato,$A481))*2,0)/2)))</f>
        <v/>
      </c>
      <c r="AR481">
        <f>IF(OR(AR$4="",$A481&gt;TODAY()),0,IF(OR(INDEX($B481:$D481,AR$5)="F",AND(AR$6&gt;0,$A481&lt;AR$6),AND(AR$7&gt;0,$A481&gt;AR$7)),0,MAX(0,ROUND((INDEX($E481:$G481,AR$5)-SUMIFS(TF_Timer,TF_Tekniker,AR$4,TF_Dato,$A481))*2,0)/2)))</f>
        <v/>
      </c>
      <c r="AS481">
        <f>IF(OR(AS$4="",$A481&gt;TODAY()),0,IF(OR(INDEX($B481:$D481,AS$5)="F",AND(AS$6&gt;0,$A481&lt;AS$6),AND(AS$7&gt;0,$A481&gt;AS$7)),0,MAX(0,ROUND((INDEX($E481:$G481,AS$5)-SUMIFS(TF_Timer,TF_Tekniker,AS$4,TF_Dato,$A481))*2,0)/2)))</f>
        <v/>
      </c>
      <c r="AT481">
        <f>IF(OR(AT$4="",$A481&gt;TODAY()),0,IF(OR(INDEX($B481:$D481,AT$5)="F",AND(AT$6&gt;0,$A481&lt;AT$6),AND(AT$7&gt;0,$A481&gt;AT$7)),0,MAX(0,ROUND((INDEX($E481:$G481,AT$5)-SUMIFS(TF_Timer,TF_Tekniker,AT$4,TF_Dato,$A481))*2,0)/2)))</f>
        <v/>
      </c>
      <c r="AU481">
        <f>IF(OR(AU$4="",$A481&gt;TODAY()),0,IF(OR(INDEX($B481:$D481,AU$5)="F",AND(AU$6&gt;0,$A481&lt;AU$6),AND(AU$7&gt;0,$A481&gt;AU$7)),0,MAX(0,ROUND((INDEX($E481:$G481,AU$5)-SUMIFS(TF_Timer,TF_Tekniker,AU$4,TF_Dato,$A481))*2,0)/2)))</f>
        <v/>
      </c>
      <c r="AV481">
        <f>IF(OR(AV$4="",$A481&gt;TODAY()),0,IF(OR(INDEX($B481:$D481,AV$5)="F",AND(AV$6&gt;0,$A481&lt;AV$6),AND(AV$7&gt;0,$A481&gt;AV$7)),0,MAX(0,ROUND((INDEX($E481:$G481,AV$5)-SUMIFS(TF_Timer,TF_Tekniker,AV$4,TF_Dato,$A481))*2,0)/2)))</f>
        <v/>
      </c>
      <c r="AW481">
        <f>IF(OR(AW$4="",$A481&gt;TODAY()),0,IF(OR(INDEX($B481:$D481,AW$5)="F",AND(AW$6&gt;0,$A481&lt;AW$6),AND(AW$7&gt;0,$A481&gt;AW$7)),0,MAX(0,ROUND((INDEX($E481:$G481,AW$5)-SUMIFS(TF_Timer,TF_Tekniker,AW$4,TF_Dato,$A481))*2,0)/2)))</f>
        <v/>
      </c>
      <c r="AX481">
        <f>IF(OR(AX$4="",$A481&gt;TODAY()),0,IF(OR(INDEX($B481:$D481,AX$5)="F",AND(AX$6&gt;0,$A481&lt;AX$6),AND(AX$7&gt;0,$A481&gt;AX$7)),0,MAX(0,ROUND((INDEX($E481:$G481,AX$5)-SUMIFS(TF_Timer,TF_Tekniker,AX$4,TF_Dato,$A481))*2,0)/2)))</f>
        <v/>
      </c>
      <c r="AY481">
        <f>IF(OR(AY$4="",$A481&gt;TODAY()),0,IF(OR(INDEX($B481:$D481,AY$5)="F",AND(AY$6&gt;0,$A481&lt;AY$6),AND(AY$7&gt;0,$A481&gt;AY$7)),0,MAX(0,ROUND((INDEX($E481:$G481,AY$5)-SUMIFS(TF_Timer,TF_Tekniker,AY$4,TF_Dato,$A481))*2,0)/2)))</f>
        <v/>
      </c>
      <c r="AZ481">
        <f>IF(OR(AZ$4="",$A481&gt;TODAY()),0,IF(OR(INDEX($B481:$D481,AZ$5)="F",AND(AZ$6&gt;0,$A481&lt;AZ$6),AND(AZ$7&gt;0,$A481&gt;AZ$7)),0,MAX(0,ROUND((INDEX($E481:$G481,AZ$5)-SUMIFS(TF_Timer,TF_Tekniker,AZ$4,TF_Dato,$A481))*2,0)/2)))</f>
        <v/>
      </c>
      <c r="BA481">
        <f>IF(OR(BA$4="",$A481&gt;TODAY()),0,IF(OR(INDEX($B481:$D481,BA$5)="F",AND(BA$6&gt;0,$A481&lt;BA$6),AND(BA$7&gt;0,$A481&gt;BA$7)),0,MAX(0,ROUND((INDEX($E481:$G481,BA$5)-SUMIFS(TF_Timer,TF_Tekniker,BA$4,TF_Dato,$A481))*2,0)/2)))</f>
        <v/>
      </c>
      <c r="BB481">
        <f>IF(OR(BB$4="",$A481&gt;TODAY()),0,IF(OR(INDEX($B481:$D481,BB$5)="F",AND(BB$6&gt;0,$A481&lt;BB$6),AND(BB$7&gt;0,$A481&gt;BB$7)),0,MAX(0,ROUND((INDEX($E481:$G481,BB$5)-SUMIFS(TF_Timer,TF_Tekniker,BB$4,TF_Dato,$A481))*2,0)/2)))</f>
        <v/>
      </c>
      <c r="BC481">
        <f>IF(OR(BC$4="",$A481&gt;TODAY()),0,IF(OR(INDEX($B481:$D481,BC$5)="F",AND(BC$6&gt;0,$A481&lt;BC$6),AND(BC$7&gt;0,$A481&gt;BC$7)),0,MAX(0,ROUND((INDEX($E481:$G481,BC$5)-SUMIFS(TF_Timer,TF_Tekniker,BC$4,TF_Dato,$A481))*2,0)/2)))</f>
        <v/>
      </c>
      <c r="BD481">
        <f>IF(OR(BD$4="",$A481&gt;TODAY()),0,IF(OR(INDEX($B481:$D481,BD$5)="F",AND(BD$6&gt;0,$A481&lt;BD$6),AND(BD$7&gt;0,$A481&gt;BD$7)),0,MAX(0,ROUND((INDEX($E481:$G481,BD$5)-SUMIFS(TF_Timer,TF_Tekniker,BD$4,TF_Dato,$A481))*2,0)/2)))</f>
        <v/>
      </c>
      <c r="BE481">
        <f>IF(OR(BE$4="",$A481&gt;TODAY()),0,IF(OR(INDEX($B481:$D481,BE$5)="F",AND(BE$6&gt;0,$A481&lt;BE$6),AND(BE$7&gt;0,$A481&gt;BE$7)),0,MAX(0,ROUND((INDEX($E481:$G481,BE$5)-SUMIFS(TF_Timer,TF_Tekniker,BE$4,TF_Dato,$A481))*2,0)/2)))</f>
        <v/>
      </c>
      <c r="BF481">
        <f>IF(OR(BF$4="",$A481&gt;TODAY()),0,IF(OR(INDEX($B481:$D481,BF$5)="F",AND(BF$6&gt;0,$A481&lt;BF$6),AND(BF$7&gt;0,$A481&gt;BF$7)),0,MAX(0,ROUND((INDEX($E481:$G481,BF$5)-SUMIFS(TF_Timer,TF_Tekniker,BF$4,TF_Dato,$A481))*2,0)/2)))</f>
        <v/>
      </c>
      <c r="BG481">
        <f>IF(OR(BG$4="",$A481&gt;TODAY()),0,IF(OR(INDEX($B481:$D481,BG$5)="F",AND(BG$6&gt;0,$A481&lt;BG$6),AND(BG$7&gt;0,$A481&gt;BG$7)),0,MAX(0,ROUND((INDEX($E481:$G481,BG$5)-SUMIFS(TF_Timer,TF_Tekniker,BG$4,TF_Dato,$A481))*2,0)/2)))</f>
        <v/>
      </c>
      <c r="BH481">
        <f>IF(OR(BH$4="",$A481&gt;TODAY()),0,IF(OR(INDEX($B481:$D481,BH$5)="F",AND(BH$6&gt;0,$A481&lt;BH$6),AND(BH$7&gt;0,$A481&gt;BH$7)),0,MAX(0,ROUND((INDEX($E481:$G481,BH$5)-SUMIFS(TF_Timer,TF_Tekniker,BH$4,TF_Dato,$A481))*2,0)/2)))</f>
        <v/>
      </c>
      <c r="BI481">
        <f>IF(OR(BI$4="",$A481&gt;TODAY()),0,IF(OR(INDEX($B481:$D481,BI$5)="F",AND(BI$6&gt;0,$A481&lt;BI$6),AND(BI$7&gt;0,$A481&gt;BI$7)),0,MAX(0,ROUND((INDEX($E481:$G481,BI$5)-SUMIFS(TF_Timer,TF_Tekniker,BI$4,TF_Dato,$A481))*2,0)/2)))</f>
        <v/>
      </c>
    </row>
    <row r="482">
      <c r="A482" s="64">
        <f>A481+1</f>
        <v/>
      </c>
      <c r="B482">
        <f>IF(MOD($A482-INDEX(SkiftStart,1),Syklus)&lt;DagK,"K",IF(MOD($A482-INDEX(SkiftStart,1),Syklus)&lt;DagK+DagH,"H",IF(MOD($A482-INDEX(SkiftStart,1),Syklus)&lt;DagK+DagH+DagD,"D","F")))</f>
        <v/>
      </c>
      <c r="C482">
        <f>IF(MOD($A482-INDEX(SkiftStart,2),Syklus)&lt;DagK,"K",IF(MOD($A482-INDEX(SkiftStart,2),Syklus)&lt;DagK+DagH,"H",IF(MOD($A482-INDEX(SkiftStart,2),Syklus)&lt;DagK+DagH+DagD,"D","F")))</f>
        <v/>
      </c>
      <c r="D482">
        <f>IF(MOD($A482-INDEX(SkiftStart,3),Syklus)&lt;DagK,"K",IF(MOD($A482-INDEX(SkiftStart,3),Syklus)&lt;DagK+DagH,"H",IF(MOD($A482-INDEX(SkiftStart,3),Syklus)&lt;DagK+DagH+DagD,"D","F")))</f>
        <v/>
      </c>
      <c r="E482">
        <f>IF(B482="F",0,IF(WEEKDAY($A482,2)=5,INDEX(TimerFr,MATCH(B482,FaseKode,0)),INDEX(TimerMT,MATCH(B482,FaseKode,0))))</f>
        <v/>
      </c>
      <c r="F482">
        <f>IF(C482="F",0,IF(WEEKDAY($A482,2)=5,INDEX(TimerFr,MATCH(C482,FaseKode,0)),INDEX(TimerMT,MATCH(C482,FaseKode,0))))</f>
        <v/>
      </c>
      <c r="G482">
        <f>IF(D482="F",0,IF(WEEKDAY($A482,2)=5,INDEX(TimerFr,MATCH(D482,FaseKode,0)),INDEX(TimerMT,MATCH(D482,FaseKode,0))))</f>
        <v/>
      </c>
      <c r="H482">
        <f>IF(OR(H$4="",$A482&gt;TODAY()),0,IF(OR(INDEX($B482:$D482,H$5)="F",AND(H$6&gt;0,$A482&lt;H$6),AND(H$7&gt;0,$A482&gt;H$7)),0,MAX(0,ROUND((INDEX($E482:$G482,H$5)-SUMIFS(TF_Timer,TF_Tekniker,H$4,TF_Dato,$A482))*2,0)/2)))</f>
        <v/>
      </c>
      <c r="I482">
        <f>IF(OR(I$4="",$A482&gt;TODAY()),0,IF(OR(INDEX($B482:$D482,I$5)="F",AND(I$6&gt;0,$A482&lt;I$6),AND(I$7&gt;0,$A482&gt;I$7)),0,MAX(0,ROUND((INDEX($E482:$G482,I$5)-SUMIFS(TF_Timer,TF_Tekniker,I$4,TF_Dato,$A482))*2,0)/2)))</f>
        <v/>
      </c>
      <c r="J482">
        <f>IF(OR(J$4="",$A482&gt;TODAY()),0,IF(OR(INDEX($B482:$D482,J$5)="F",AND(J$6&gt;0,$A482&lt;J$6),AND(J$7&gt;0,$A482&gt;J$7)),0,MAX(0,ROUND((INDEX($E482:$G482,J$5)-SUMIFS(TF_Timer,TF_Tekniker,J$4,TF_Dato,$A482))*2,0)/2)))</f>
        <v/>
      </c>
      <c r="K482">
        <f>IF(OR(K$4="",$A482&gt;TODAY()),0,IF(OR(INDEX($B482:$D482,K$5)="F",AND(K$6&gt;0,$A482&lt;K$6),AND(K$7&gt;0,$A482&gt;K$7)),0,MAX(0,ROUND((INDEX($E482:$G482,K$5)-SUMIFS(TF_Timer,TF_Tekniker,K$4,TF_Dato,$A482))*2,0)/2)))</f>
        <v/>
      </c>
      <c r="L482">
        <f>IF(OR(L$4="",$A482&gt;TODAY()),0,IF(OR(INDEX($B482:$D482,L$5)="F",AND(L$6&gt;0,$A482&lt;L$6),AND(L$7&gt;0,$A482&gt;L$7)),0,MAX(0,ROUND((INDEX($E482:$G482,L$5)-SUMIFS(TF_Timer,TF_Tekniker,L$4,TF_Dato,$A482))*2,0)/2)))</f>
        <v/>
      </c>
      <c r="M482">
        <f>IF(OR(M$4="",$A482&gt;TODAY()),0,IF(OR(INDEX($B482:$D482,M$5)="F",AND(M$6&gt;0,$A482&lt;M$6),AND(M$7&gt;0,$A482&gt;M$7)),0,MAX(0,ROUND((INDEX($E482:$G482,M$5)-SUMIFS(TF_Timer,TF_Tekniker,M$4,TF_Dato,$A482))*2,0)/2)))</f>
        <v/>
      </c>
      <c r="N482">
        <f>IF(OR(N$4="",$A482&gt;TODAY()),0,IF(OR(INDEX($B482:$D482,N$5)="F",AND(N$6&gt;0,$A482&lt;N$6),AND(N$7&gt;0,$A482&gt;N$7)),0,MAX(0,ROUND((INDEX($E482:$G482,N$5)-SUMIFS(TF_Timer,TF_Tekniker,N$4,TF_Dato,$A482))*2,0)/2)))</f>
        <v/>
      </c>
      <c r="O482">
        <f>IF(OR(O$4="",$A482&gt;TODAY()),0,IF(OR(INDEX($B482:$D482,O$5)="F",AND(O$6&gt;0,$A482&lt;O$6),AND(O$7&gt;0,$A482&gt;O$7)),0,MAX(0,ROUND((INDEX($E482:$G482,O$5)-SUMIFS(TF_Timer,TF_Tekniker,O$4,TF_Dato,$A482))*2,0)/2)))</f>
        <v/>
      </c>
      <c r="P482">
        <f>IF(OR(P$4="",$A482&gt;TODAY()),0,IF(OR(INDEX($B482:$D482,P$5)="F",AND(P$6&gt;0,$A482&lt;P$6),AND(P$7&gt;0,$A482&gt;P$7)),0,MAX(0,ROUND((INDEX($E482:$G482,P$5)-SUMIFS(TF_Timer,TF_Tekniker,P$4,TF_Dato,$A482))*2,0)/2)))</f>
        <v/>
      </c>
      <c r="Q482">
        <f>IF(OR(Q$4="",$A482&gt;TODAY()),0,IF(OR(INDEX($B482:$D482,Q$5)="F",AND(Q$6&gt;0,$A482&lt;Q$6),AND(Q$7&gt;0,$A482&gt;Q$7)),0,MAX(0,ROUND((INDEX($E482:$G482,Q$5)-SUMIFS(TF_Timer,TF_Tekniker,Q$4,TF_Dato,$A482))*2,0)/2)))</f>
        <v/>
      </c>
      <c r="R482">
        <f>IF(OR(R$4="",$A482&gt;TODAY()),0,IF(OR(INDEX($B482:$D482,R$5)="F",AND(R$6&gt;0,$A482&lt;R$6),AND(R$7&gt;0,$A482&gt;R$7)),0,MAX(0,ROUND((INDEX($E482:$G482,R$5)-SUMIFS(TF_Timer,TF_Tekniker,R$4,TF_Dato,$A482))*2,0)/2)))</f>
        <v/>
      </c>
      <c r="S482">
        <f>IF(OR(S$4="",$A482&gt;TODAY()),0,IF(OR(INDEX($B482:$D482,S$5)="F",AND(S$6&gt;0,$A482&lt;S$6),AND(S$7&gt;0,$A482&gt;S$7)),0,MAX(0,ROUND((INDEX($E482:$G482,S$5)-SUMIFS(TF_Timer,TF_Tekniker,S$4,TF_Dato,$A482))*2,0)/2)))</f>
        <v/>
      </c>
      <c r="T482">
        <f>IF(OR(T$4="",$A482&gt;TODAY()),0,IF(OR(INDEX($B482:$D482,T$5)="F",AND(T$6&gt;0,$A482&lt;T$6),AND(T$7&gt;0,$A482&gt;T$7)),0,MAX(0,ROUND((INDEX($E482:$G482,T$5)-SUMIFS(TF_Timer,TF_Tekniker,T$4,TF_Dato,$A482))*2,0)/2)))</f>
        <v/>
      </c>
      <c r="U482">
        <f>IF(OR(U$4="",$A482&gt;TODAY()),0,IF(OR(INDEX($B482:$D482,U$5)="F",AND(U$6&gt;0,$A482&lt;U$6),AND(U$7&gt;0,$A482&gt;U$7)),0,MAX(0,ROUND((INDEX($E482:$G482,U$5)-SUMIFS(TF_Timer,TF_Tekniker,U$4,TF_Dato,$A482))*2,0)/2)))</f>
        <v/>
      </c>
      <c r="V482">
        <f>IF(OR(V$4="",$A482&gt;TODAY()),0,IF(OR(INDEX($B482:$D482,V$5)="F",AND(V$6&gt;0,$A482&lt;V$6),AND(V$7&gt;0,$A482&gt;V$7)),0,MAX(0,ROUND((INDEX($E482:$G482,V$5)-SUMIFS(TF_Timer,TF_Tekniker,V$4,TF_Dato,$A482))*2,0)/2)))</f>
        <v/>
      </c>
      <c r="W482">
        <f>IF(OR(W$4="",$A482&gt;TODAY()),0,IF(OR(INDEX($B482:$D482,W$5)="F",AND(W$6&gt;0,$A482&lt;W$6),AND(W$7&gt;0,$A482&gt;W$7)),0,MAX(0,ROUND((INDEX($E482:$G482,W$5)-SUMIFS(TF_Timer,TF_Tekniker,W$4,TF_Dato,$A482))*2,0)/2)))</f>
        <v/>
      </c>
      <c r="X482">
        <f>IF(OR(X$4="",$A482&gt;TODAY()),0,IF(OR(INDEX($B482:$D482,X$5)="F",AND(X$6&gt;0,$A482&lt;X$6),AND(X$7&gt;0,$A482&gt;X$7)),0,MAX(0,ROUND((INDEX($E482:$G482,X$5)-SUMIFS(TF_Timer,TF_Tekniker,X$4,TF_Dato,$A482))*2,0)/2)))</f>
        <v/>
      </c>
      <c r="Y482">
        <f>IF(OR(Y$4="",$A482&gt;TODAY()),0,IF(OR(INDEX($B482:$D482,Y$5)="F",AND(Y$6&gt;0,$A482&lt;Y$6),AND(Y$7&gt;0,$A482&gt;Y$7)),0,MAX(0,ROUND((INDEX($E482:$G482,Y$5)-SUMIFS(TF_Timer,TF_Tekniker,Y$4,TF_Dato,$A482))*2,0)/2)))</f>
        <v/>
      </c>
      <c r="Z482">
        <f>IF(OR(Z$4="",$A482&gt;TODAY()),0,IF(OR(INDEX($B482:$D482,Z$5)="F",AND(Z$6&gt;0,$A482&lt;Z$6),AND(Z$7&gt;0,$A482&gt;Z$7)),0,MAX(0,ROUND((INDEX($E482:$G482,Z$5)-SUMIFS(TF_Timer,TF_Tekniker,Z$4,TF_Dato,$A482))*2,0)/2)))</f>
        <v/>
      </c>
      <c r="AA482">
        <f>IF(OR(AA$4="",$A482&gt;TODAY()),0,IF(OR(INDEX($B482:$D482,AA$5)="F",AND(AA$6&gt;0,$A482&lt;AA$6),AND(AA$7&gt;0,$A482&gt;AA$7)),0,MAX(0,ROUND((INDEX($E482:$G482,AA$5)-SUMIFS(TF_Timer,TF_Tekniker,AA$4,TF_Dato,$A482))*2,0)/2)))</f>
        <v/>
      </c>
      <c r="AB482">
        <f>IF(OR(AB$4="",$A482&gt;TODAY()),0,IF(OR(INDEX($B482:$D482,AB$5)="F",AND(AB$6&gt;0,$A482&lt;AB$6),AND(AB$7&gt;0,$A482&gt;AB$7)),0,MAX(0,ROUND((INDEX($E482:$G482,AB$5)-SUMIFS(TF_Timer,TF_Tekniker,AB$4,TF_Dato,$A482))*2,0)/2)))</f>
        <v/>
      </c>
      <c r="AC482">
        <f>IF(OR(AC$4="",$A482&gt;TODAY()),0,IF(OR(INDEX($B482:$D482,AC$5)="F",AND(AC$6&gt;0,$A482&lt;AC$6),AND(AC$7&gt;0,$A482&gt;AC$7)),0,MAX(0,ROUND((INDEX($E482:$G482,AC$5)-SUMIFS(TF_Timer,TF_Tekniker,AC$4,TF_Dato,$A482))*2,0)/2)))</f>
        <v/>
      </c>
      <c r="AD482">
        <f>IF(OR(AD$4="",$A482&gt;TODAY()),0,IF(OR(INDEX($B482:$D482,AD$5)="F",AND(AD$6&gt;0,$A482&lt;AD$6),AND(AD$7&gt;0,$A482&gt;AD$7)),0,MAX(0,ROUND((INDEX($E482:$G482,AD$5)-SUMIFS(TF_Timer,TF_Tekniker,AD$4,TF_Dato,$A482))*2,0)/2)))</f>
        <v/>
      </c>
      <c r="AE482">
        <f>IF(OR(AE$4="",$A482&gt;TODAY()),0,IF(OR(INDEX($B482:$D482,AE$5)="F",AND(AE$6&gt;0,$A482&lt;AE$6),AND(AE$7&gt;0,$A482&gt;AE$7)),0,MAX(0,ROUND((INDEX($E482:$G482,AE$5)-SUMIFS(TF_Timer,TF_Tekniker,AE$4,TF_Dato,$A482))*2,0)/2)))</f>
        <v/>
      </c>
      <c r="AF482">
        <f>IF(OR(AF$4="",$A482&gt;TODAY()),0,IF(OR(INDEX($B482:$D482,AF$5)="F",AND(AF$6&gt;0,$A482&lt;AF$6),AND(AF$7&gt;0,$A482&gt;AF$7)),0,MAX(0,ROUND((INDEX($E482:$G482,AF$5)-SUMIFS(TF_Timer,TF_Tekniker,AF$4,TF_Dato,$A482))*2,0)/2)))</f>
        <v/>
      </c>
      <c r="AG482">
        <f>IF(OR(AG$4="",$A482&gt;TODAY()),0,IF(OR(INDEX($B482:$D482,AG$5)="F",AND(AG$6&gt;0,$A482&lt;AG$6),AND(AG$7&gt;0,$A482&gt;AG$7)),0,MAX(0,ROUND((INDEX($E482:$G482,AG$5)-SUMIFS(TF_Timer,TF_Tekniker,AG$4,TF_Dato,$A482))*2,0)/2)))</f>
        <v/>
      </c>
      <c r="AH482">
        <f>IF(OR(AH$4="",$A482&gt;TODAY()),0,IF(OR(INDEX($B482:$D482,AH$5)="F",AND(AH$6&gt;0,$A482&lt;AH$6),AND(AH$7&gt;0,$A482&gt;AH$7)),0,MAX(0,ROUND((INDEX($E482:$G482,AH$5)-SUMIFS(TF_Timer,TF_Tekniker,AH$4,TF_Dato,$A482))*2,0)/2)))</f>
        <v/>
      </c>
      <c r="AI482">
        <f>IF(OR(AI$4="",$A482&gt;TODAY()),0,IF(OR(INDEX($B482:$D482,AI$5)="F",AND(AI$6&gt;0,$A482&lt;AI$6),AND(AI$7&gt;0,$A482&gt;AI$7)),0,MAX(0,ROUND((INDEX($E482:$G482,AI$5)-SUMIFS(TF_Timer,TF_Tekniker,AI$4,TF_Dato,$A482))*2,0)/2)))</f>
        <v/>
      </c>
      <c r="AJ482">
        <f>IF(OR(AJ$4="",$A482&gt;TODAY()),0,IF(OR(INDEX($B482:$D482,AJ$5)="F",AND(AJ$6&gt;0,$A482&lt;AJ$6),AND(AJ$7&gt;0,$A482&gt;AJ$7)),0,MAX(0,ROUND((INDEX($E482:$G482,AJ$5)-SUMIFS(TF_Timer,TF_Tekniker,AJ$4,TF_Dato,$A482))*2,0)/2)))</f>
        <v/>
      </c>
      <c r="AK482">
        <f>IF(OR(AK$4="",$A482&gt;TODAY()),0,IF(OR(INDEX($B482:$D482,AK$5)="F",AND(AK$6&gt;0,$A482&lt;AK$6),AND(AK$7&gt;0,$A482&gt;AK$7)),0,MAX(0,ROUND((INDEX($E482:$G482,AK$5)-SUMIFS(TF_Timer,TF_Tekniker,AK$4,TF_Dato,$A482))*2,0)/2)))</f>
        <v/>
      </c>
      <c r="AL482">
        <f>IF(OR(AL$4="",$A482&gt;TODAY()),0,IF(OR(INDEX($B482:$D482,AL$5)="F",AND(AL$6&gt;0,$A482&lt;AL$6),AND(AL$7&gt;0,$A482&gt;AL$7)),0,MAX(0,ROUND((INDEX($E482:$G482,AL$5)-SUMIFS(TF_Timer,TF_Tekniker,AL$4,TF_Dato,$A482))*2,0)/2)))</f>
        <v/>
      </c>
      <c r="AM482">
        <f>IF(OR(AM$4="",$A482&gt;TODAY()),0,IF(OR(INDEX($B482:$D482,AM$5)="F",AND(AM$6&gt;0,$A482&lt;AM$6),AND(AM$7&gt;0,$A482&gt;AM$7)),0,MAX(0,ROUND((INDEX($E482:$G482,AM$5)-SUMIFS(TF_Timer,TF_Tekniker,AM$4,TF_Dato,$A482))*2,0)/2)))</f>
        <v/>
      </c>
      <c r="AN482">
        <f>IF(OR(AN$4="",$A482&gt;TODAY()),0,IF(OR(INDEX($B482:$D482,AN$5)="F",AND(AN$6&gt;0,$A482&lt;AN$6),AND(AN$7&gt;0,$A482&gt;AN$7)),0,MAX(0,ROUND((INDEX($E482:$G482,AN$5)-SUMIFS(TF_Timer,TF_Tekniker,AN$4,TF_Dato,$A482))*2,0)/2)))</f>
        <v/>
      </c>
      <c r="AO482">
        <f>IF(OR(AO$4="",$A482&gt;TODAY()),0,IF(OR(INDEX($B482:$D482,AO$5)="F",AND(AO$6&gt;0,$A482&lt;AO$6),AND(AO$7&gt;0,$A482&gt;AO$7)),0,MAX(0,ROUND((INDEX($E482:$G482,AO$5)-SUMIFS(TF_Timer,TF_Tekniker,AO$4,TF_Dato,$A482))*2,0)/2)))</f>
        <v/>
      </c>
      <c r="AP482">
        <f>IF(OR(AP$4="",$A482&gt;TODAY()),0,IF(OR(INDEX($B482:$D482,AP$5)="F",AND(AP$6&gt;0,$A482&lt;AP$6),AND(AP$7&gt;0,$A482&gt;AP$7)),0,MAX(0,ROUND((INDEX($E482:$G482,AP$5)-SUMIFS(TF_Timer,TF_Tekniker,AP$4,TF_Dato,$A482))*2,0)/2)))</f>
        <v/>
      </c>
      <c r="AQ482">
        <f>IF(OR(AQ$4="",$A482&gt;TODAY()),0,IF(OR(INDEX($B482:$D482,AQ$5)="F",AND(AQ$6&gt;0,$A482&lt;AQ$6),AND(AQ$7&gt;0,$A482&gt;AQ$7)),0,MAX(0,ROUND((INDEX($E482:$G482,AQ$5)-SUMIFS(TF_Timer,TF_Tekniker,AQ$4,TF_Dato,$A482))*2,0)/2)))</f>
        <v/>
      </c>
      <c r="AR482">
        <f>IF(OR(AR$4="",$A482&gt;TODAY()),0,IF(OR(INDEX($B482:$D482,AR$5)="F",AND(AR$6&gt;0,$A482&lt;AR$6),AND(AR$7&gt;0,$A482&gt;AR$7)),0,MAX(0,ROUND((INDEX($E482:$G482,AR$5)-SUMIFS(TF_Timer,TF_Tekniker,AR$4,TF_Dato,$A482))*2,0)/2)))</f>
        <v/>
      </c>
      <c r="AS482">
        <f>IF(OR(AS$4="",$A482&gt;TODAY()),0,IF(OR(INDEX($B482:$D482,AS$5)="F",AND(AS$6&gt;0,$A482&lt;AS$6),AND(AS$7&gt;0,$A482&gt;AS$7)),0,MAX(0,ROUND((INDEX($E482:$G482,AS$5)-SUMIFS(TF_Timer,TF_Tekniker,AS$4,TF_Dato,$A482))*2,0)/2)))</f>
        <v/>
      </c>
      <c r="AT482">
        <f>IF(OR(AT$4="",$A482&gt;TODAY()),0,IF(OR(INDEX($B482:$D482,AT$5)="F",AND(AT$6&gt;0,$A482&lt;AT$6),AND(AT$7&gt;0,$A482&gt;AT$7)),0,MAX(0,ROUND((INDEX($E482:$G482,AT$5)-SUMIFS(TF_Timer,TF_Tekniker,AT$4,TF_Dato,$A482))*2,0)/2)))</f>
        <v/>
      </c>
      <c r="AU482">
        <f>IF(OR(AU$4="",$A482&gt;TODAY()),0,IF(OR(INDEX($B482:$D482,AU$5)="F",AND(AU$6&gt;0,$A482&lt;AU$6),AND(AU$7&gt;0,$A482&gt;AU$7)),0,MAX(0,ROUND((INDEX($E482:$G482,AU$5)-SUMIFS(TF_Timer,TF_Tekniker,AU$4,TF_Dato,$A482))*2,0)/2)))</f>
        <v/>
      </c>
      <c r="AV482">
        <f>IF(OR(AV$4="",$A482&gt;TODAY()),0,IF(OR(INDEX($B482:$D482,AV$5)="F",AND(AV$6&gt;0,$A482&lt;AV$6),AND(AV$7&gt;0,$A482&gt;AV$7)),0,MAX(0,ROUND((INDEX($E482:$G482,AV$5)-SUMIFS(TF_Timer,TF_Tekniker,AV$4,TF_Dato,$A482))*2,0)/2)))</f>
        <v/>
      </c>
      <c r="AW482">
        <f>IF(OR(AW$4="",$A482&gt;TODAY()),0,IF(OR(INDEX($B482:$D482,AW$5)="F",AND(AW$6&gt;0,$A482&lt;AW$6),AND(AW$7&gt;0,$A482&gt;AW$7)),0,MAX(0,ROUND((INDEX($E482:$G482,AW$5)-SUMIFS(TF_Timer,TF_Tekniker,AW$4,TF_Dato,$A482))*2,0)/2)))</f>
        <v/>
      </c>
      <c r="AX482">
        <f>IF(OR(AX$4="",$A482&gt;TODAY()),0,IF(OR(INDEX($B482:$D482,AX$5)="F",AND(AX$6&gt;0,$A482&lt;AX$6),AND(AX$7&gt;0,$A482&gt;AX$7)),0,MAX(0,ROUND((INDEX($E482:$G482,AX$5)-SUMIFS(TF_Timer,TF_Tekniker,AX$4,TF_Dato,$A482))*2,0)/2)))</f>
        <v/>
      </c>
      <c r="AY482">
        <f>IF(OR(AY$4="",$A482&gt;TODAY()),0,IF(OR(INDEX($B482:$D482,AY$5)="F",AND(AY$6&gt;0,$A482&lt;AY$6),AND(AY$7&gt;0,$A482&gt;AY$7)),0,MAX(0,ROUND((INDEX($E482:$G482,AY$5)-SUMIFS(TF_Timer,TF_Tekniker,AY$4,TF_Dato,$A482))*2,0)/2)))</f>
        <v/>
      </c>
      <c r="AZ482">
        <f>IF(OR(AZ$4="",$A482&gt;TODAY()),0,IF(OR(INDEX($B482:$D482,AZ$5)="F",AND(AZ$6&gt;0,$A482&lt;AZ$6),AND(AZ$7&gt;0,$A482&gt;AZ$7)),0,MAX(0,ROUND((INDEX($E482:$G482,AZ$5)-SUMIFS(TF_Timer,TF_Tekniker,AZ$4,TF_Dato,$A482))*2,0)/2)))</f>
        <v/>
      </c>
      <c r="BA482">
        <f>IF(OR(BA$4="",$A482&gt;TODAY()),0,IF(OR(INDEX($B482:$D482,BA$5)="F",AND(BA$6&gt;0,$A482&lt;BA$6),AND(BA$7&gt;0,$A482&gt;BA$7)),0,MAX(0,ROUND((INDEX($E482:$G482,BA$5)-SUMIFS(TF_Timer,TF_Tekniker,BA$4,TF_Dato,$A482))*2,0)/2)))</f>
        <v/>
      </c>
      <c r="BB482">
        <f>IF(OR(BB$4="",$A482&gt;TODAY()),0,IF(OR(INDEX($B482:$D482,BB$5)="F",AND(BB$6&gt;0,$A482&lt;BB$6),AND(BB$7&gt;0,$A482&gt;BB$7)),0,MAX(0,ROUND((INDEX($E482:$G482,BB$5)-SUMIFS(TF_Timer,TF_Tekniker,BB$4,TF_Dato,$A482))*2,0)/2)))</f>
        <v/>
      </c>
      <c r="BC482">
        <f>IF(OR(BC$4="",$A482&gt;TODAY()),0,IF(OR(INDEX($B482:$D482,BC$5)="F",AND(BC$6&gt;0,$A482&lt;BC$6),AND(BC$7&gt;0,$A482&gt;BC$7)),0,MAX(0,ROUND((INDEX($E482:$G482,BC$5)-SUMIFS(TF_Timer,TF_Tekniker,BC$4,TF_Dato,$A482))*2,0)/2)))</f>
        <v/>
      </c>
      <c r="BD482">
        <f>IF(OR(BD$4="",$A482&gt;TODAY()),0,IF(OR(INDEX($B482:$D482,BD$5)="F",AND(BD$6&gt;0,$A482&lt;BD$6),AND(BD$7&gt;0,$A482&gt;BD$7)),0,MAX(0,ROUND((INDEX($E482:$G482,BD$5)-SUMIFS(TF_Timer,TF_Tekniker,BD$4,TF_Dato,$A482))*2,0)/2)))</f>
        <v/>
      </c>
      <c r="BE482">
        <f>IF(OR(BE$4="",$A482&gt;TODAY()),0,IF(OR(INDEX($B482:$D482,BE$5)="F",AND(BE$6&gt;0,$A482&lt;BE$6),AND(BE$7&gt;0,$A482&gt;BE$7)),0,MAX(0,ROUND((INDEX($E482:$G482,BE$5)-SUMIFS(TF_Timer,TF_Tekniker,BE$4,TF_Dato,$A482))*2,0)/2)))</f>
        <v/>
      </c>
      <c r="BF482">
        <f>IF(OR(BF$4="",$A482&gt;TODAY()),0,IF(OR(INDEX($B482:$D482,BF$5)="F",AND(BF$6&gt;0,$A482&lt;BF$6),AND(BF$7&gt;0,$A482&gt;BF$7)),0,MAX(0,ROUND((INDEX($E482:$G482,BF$5)-SUMIFS(TF_Timer,TF_Tekniker,BF$4,TF_Dato,$A482))*2,0)/2)))</f>
        <v/>
      </c>
      <c r="BG482">
        <f>IF(OR(BG$4="",$A482&gt;TODAY()),0,IF(OR(INDEX($B482:$D482,BG$5)="F",AND(BG$6&gt;0,$A482&lt;BG$6),AND(BG$7&gt;0,$A482&gt;BG$7)),0,MAX(0,ROUND((INDEX($E482:$G482,BG$5)-SUMIFS(TF_Timer,TF_Tekniker,BG$4,TF_Dato,$A482))*2,0)/2)))</f>
        <v/>
      </c>
      <c r="BH482">
        <f>IF(OR(BH$4="",$A482&gt;TODAY()),0,IF(OR(INDEX($B482:$D482,BH$5)="F",AND(BH$6&gt;0,$A482&lt;BH$6),AND(BH$7&gt;0,$A482&gt;BH$7)),0,MAX(0,ROUND((INDEX($E482:$G482,BH$5)-SUMIFS(TF_Timer,TF_Tekniker,BH$4,TF_Dato,$A482))*2,0)/2)))</f>
        <v/>
      </c>
      <c r="BI482">
        <f>IF(OR(BI$4="",$A482&gt;TODAY()),0,IF(OR(INDEX($B482:$D482,BI$5)="F",AND(BI$6&gt;0,$A482&lt;BI$6),AND(BI$7&gt;0,$A482&gt;BI$7)),0,MAX(0,ROUND((INDEX($E482:$G482,BI$5)-SUMIFS(TF_Timer,TF_Tekniker,BI$4,TF_Dato,$A482))*2,0)/2)))</f>
        <v/>
      </c>
    </row>
    <row r="483">
      <c r="A483" s="64">
        <f>A482+1</f>
        <v/>
      </c>
      <c r="B483">
        <f>IF(MOD($A483-INDEX(SkiftStart,1),Syklus)&lt;DagK,"K",IF(MOD($A483-INDEX(SkiftStart,1),Syklus)&lt;DagK+DagH,"H",IF(MOD($A483-INDEX(SkiftStart,1),Syklus)&lt;DagK+DagH+DagD,"D","F")))</f>
        <v/>
      </c>
      <c r="C483">
        <f>IF(MOD($A483-INDEX(SkiftStart,2),Syklus)&lt;DagK,"K",IF(MOD($A483-INDEX(SkiftStart,2),Syklus)&lt;DagK+DagH,"H",IF(MOD($A483-INDEX(SkiftStart,2),Syklus)&lt;DagK+DagH+DagD,"D","F")))</f>
        <v/>
      </c>
      <c r="D483">
        <f>IF(MOD($A483-INDEX(SkiftStart,3),Syklus)&lt;DagK,"K",IF(MOD($A483-INDEX(SkiftStart,3),Syklus)&lt;DagK+DagH,"H",IF(MOD($A483-INDEX(SkiftStart,3),Syklus)&lt;DagK+DagH+DagD,"D","F")))</f>
        <v/>
      </c>
      <c r="E483">
        <f>IF(B483="F",0,IF(WEEKDAY($A483,2)=5,INDEX(TimerFr,MATCH(B483,FaseKode,0)),INDEX(TimerMT,MATCH(B483,FaseKode,0))))</f>
        <v/>
      </c>
      <c r="F483">
        <f>IF(C483="F",0,IF(WEEKDAY($A483,2)=5,INDEX(TimerFr,MATCH(C483,FaseKode,0)),INDEX(TimerMT,MATCH(C483,FaseKode,0))))</f>
        <v/>
      </c>
      <c r="G483">
        <f>IF(D483="F",0,IF(WEEKDAY($A483,2)=5,INDEX(TimerFr,MATCH(D483,FaseKode,0)),INDEX(TimerMT,MATCH(D483,FaseKode,0))))</f>
        <v/>
      </c>
      <c r="H483">
        <f>IF(OR(H$4="",$A483&gt;TODAY()),0,IF(OR(INDEX($B483:$D483,H$5)="F",AND(H$6&gt;0,$A483&lt;H$6),AND(H$7&gt;0,$A483&gt;H$7)),0,MAX(0,ROUND((INDEX($E483:$G483,H$5)-SUMIFS(TF_Timer,TF_Tekniker,H$4,TF_Dato,$A483))*2,0)/2)))</f>
        <v/>
      </c>
      <c r="I483">
        <f>IF(OR(I$4="",$A483&gt;TODAY()),0,IF(OR(INDEX($B483:$D483,I$5)="F",AND(I$6&gt;0,$A483&lt;I$6),AND(I$7&gt;0,$A483&gt;I$7)),0,MAX(0,ROUND((INDEX($E483:$G483,I$5)-SUMIFS(TF_Timer,TF_Tekniker,I$4,TF_Dato,$A483))*2,0)/2)))</f>
        <v/>
      </c>
      <c r="J483">
        <f>IF(OR(J$4="",$A483&gt;TODAY()),0,IF(OR(INDEX($B483:$D483,J$5)="F",AND(J$6&gt;0,$A483&lt;J$6),AND(J$7&gt;0,$A483&gt;J$7)),0,MAX(0,ROUND((INDEX($E483:$G483,J$5)-SUMIFS(TF_Timer,TF_Tekniker,J$4,TF_Dato,$A483))*2,0)/2)))</f>
        <v/>
      </c>
      <c r="K483">
        <f>IF(OR(K$4="",$A483&gt;TODAY()),0,IF(OR(INDEX($B483:$D483,K$5)="F",AND(K$6&gt;0,$A483&lt;K$6),AND(K$7&gt;0,$A483&gt;K$7)),0,MAX(0,ROUND((INDEX($E483:$G483,K$5)-SUMIFS(TF_Timer,TF_Tekniker,K$4,TF_Dato,$A483))*2,0)/2)))</f>
        <v/>
      </c>
      <c r="L483">
        <f>IF(OR(L$4="",$A483&gt;TODAY()),0,IF(OR(INDEX($B483:$D483,L$5)="F",AND(L$6&gt;0,$A483&lt;L$6),AND(L$7&gt;0,$A483&gt;L$7)),0,MAX(0,ROUND((INDEX($E483:$G483,L$5)-SUMIFS(TF_Timer,TF_Tekniker,L$4,TF_Dato,$A483))*2,0)/2)))</f>
        <v/>
      </c>
      <c r="M483">
        <f>IF(OR(M$4="",$A483&gt;TODAY()),0,IF(OR(INDEX($B483:$D483,M$5)="F",AND(M$6&gt;0,$A483&lt;M$6),AND(M$7&gt;0,$A483&gt;M$7)),0,MAX(0,ROUND((INDEX($E483:$G483,M$5)-SUMIFS(TF_Timer,TF_Tekniker,M$4,TF_Dato,$A483))*2,0)/2)))</f>
        <v/>
      </c>
      <c r="N483">
        <f>IF(OR(N$4="",$A483&gt;TODAY()),0,IF(OR(INDEX($B483:$D483,N$5)="F",AND(N$6&gt;0,$A483&lt;N$6),AND(N$7&gt;0,$A483&gt;N$7)),0,MAX(0,ROUND((INDEX($E483:$G483,N$5)-SUMIFS(TF_Timer,TF_Tekniker,N$4,TF_Dato,$A483))*2,0)/2)))</f>
        <v/>
      </c>
      <c r="O483">
        <f>IF(OR(O$4="",$A483&gt;TODAY()),0,IF(OR(INDEX($B483:$D483,O$5)="F",AND(O$6&gt;0,$A483&lt;O$6),AND(O$7&gt;0,$A483&gt;O$7)),0,MAX(0,ROUND((INDEX($E483:$G483,O$5)-SUMIFS(TF_Timer,TF_Tekniker,O$4,TF_Dato,$A483))*2,0)/2)))</f>
        <v/>
      </c>
      <c r="P483">
        <f>IF(OR(P$4="",$A483&gt;TODAY()),0,IF(OR(INDEX($B483:$D483,P$5)="F",AND(P$6&gt;0,$A483&lt;P$6),AND(P$7&gt;0,$A483&gt;P$7)),0,MAX(0,ROUND((INDEX($E483:$G483,P$5)-SUMIFS(TF_Timer,TF_Tekniker,P$4,TF_Dato,$A483))*2,0)/2)))</f>
        <v/>
      </c>
      <c r="Q483">
        <f>IF(OR(Q$4="",$A483&gt;TODAY()),0,IF(OR(INDEX($B483:$D483,Q$5)="F",AND(Q$6&gt;0,$A483&lt;Q$6),AND(Q$7&gt;0,$A483&gt;Q$7)),0,MAX(0,ROUND((INDEX($E483:$G483,Q$5)-SUMIFS(TF_Timer,TF_Tekniker,Q$4,TF_Dato,$A483))*2,0)/2)))</f>
        <v/>
      </c>
      <c r="R483">
        <f>IF(OR(R$4="",$A483&gt;TODAY()),0,IF(OR(INDEX($B483:$D483,R$5)="F",AND(R$6&gt;0,$A483&lt;R$6),AND(R$7&gt;0,$A483&gt;R$7)),0,MAX(0,ROUND((INDEX($E483:$G483,R$5)-SUMIFS(TF_Timer,TF_Tekniker,R$4,TF_Dato,$A483))*2,0)/2)))</f>
        <v/>
      </c>
      <c r="S483">
        <f>IF(OR(S$4="",$A483&gt;TODAY()),0,IF(OR(INDEX($B483:$D483,S$5)="F",AND(S$6&gt;0,$A483&lt;S$6),AND(S$7&gt;0,$A483&gt;S$7)),0,MAX(0,ROUND((INDEX($E483:$G483,S$5)-SUMIFS(TF_Timer,TF_Tekniker,S$4,TF_Dato,$A483))*2,0)/2)))</f>
        <v/>
      </c>
      <c r="T483">
        <f>IF(OR(T$4="",$A483&gt;TODAY()),0,IF(OR(INDEX($B483:$D483,T$5)="F",AND(T$6&gt;0,$A483&lt;T$6),AND(T$7&gt;0,$A483&gt;T$7)),0,MAX(0,ROUND((INDEX($E483:$G483,T$5)-SUMIFS(TF_Timer,TF_Tekniker,T$4,TF_Dato,$A483))*2,0)/2)))</f>
        <v/>
      </c>
      <c r="U483">
        <f>IF(OR(U$4="",$A483&gt;TODAY()),0,IF(OR(INDEX($B483:$D483,U$5)="F",AND(U$6&gt;0,$A483&lt;U$6),AND(U$7&gt;0,$A483&gt;U$7)),0,MAX(0,ROUND((INDEX($E483:$G483,U$5)-SUMIFS(TF_Timer,TF_Tekniker,U$4,TF_Dato,$A483))*2,0)/2)))</f>
        <v/>
      </c>
      <c r="V483">
        <f>IF(OR(V$4="",$A483&gt;TODAY()),0,IF(OR(INDEX($B483:$D483,V$5)="F",AND(V$6&gt;0,$A483&lt;V$6),AND(V$7&gt;0,$A483&gt;V$7)),0,MAX(0,ROUND((INDEX($E483:$G483,V$5)-SUMIFS(TF_Timer,TF_Tekniker,V$4,TF_Dato,$A483))*2,0)/2)))</f>
        <v/>
      </c>
      <c r="W483">
        <f>IF(OR(W$4="",$A483&gt;TODAY()),0,IF(OR(INDEX($B483:$D483,W$5)="F",AND(W$6&gt;0,$A483&lt;W$6),AND(W$7&gt;0,$A483&gt;W$7)),0,MAX(0,ROUND((INDEX($E483:$G483,W$5)-SUMIFS(TF_Timer,TF_Tekniker,W$4,TF_Dato,$A483))*2,0)/2)))</f>
        <v/>
      </c>
      <c r="X483">
        <f>IF(OR(X$4="",$A483&gt;TODAY()),0,IF(OR(INDEX($B483:$D483,X$5)="F",AND(X$6&gt;0,$A483&lt;X$6),AND(X$7&gt;0,$A483&gt;X$7)),0,MAX(0,ROUND((INDEX($E483:$G483,X$5)-SUMIFS(TF_Timer,TF_Tekniker,X$4,TF_Dato,$A483))*2,0)/2)))</f>
        <v/>
      </c>
      <c r="Y483">
        <f>IF(OR(Y$4="",$A483&gt;TODAY()),0,IF(OR(INDEX($B483:$D483,Y$5)="F",AND(Y$6&gt;0,$A483&lt;Y$6),AND(Y$7&gt;0,$A483&gt;Y$7)),0,MAX(0,ROUND((INDEX($E483:$G483,Y$5)-SUMIFS(TF_Timer,TF_Tekniker,Y$4,TF_Dato,$A483))*2,0)/2)))</f>
        <v/>
      </c>
      <c r="Z483">
        <f>IF(OR(Z$4="",$A483&gt;TODAY()),0,IF(OR(INDEX($B483:$D483,Z$5)="F",AND(Z$6&gt;0,$A483&lt;Z$6),AND(Z$7&gt;0,$A483&gt;Z$7)),0,MAX(0,ROUND((INDEX($E483:$G483,Z$5)-SUMIFS(TF_Timer,TF_Tekniker,Z$4,TF_Dato,$A483))*2,0)/2)))</f>
        <v/>
      </c>
      <c r="AA483">
        <f>IF(OR(AA$4="",$A483&gt;TODAY()),0,IF(OR(INDEX($B483:$D483,AA$5)="F",AND(AA$6&gt;0,$A483&lt;AA$6),AND(AA$7&gt;0,$A483&gt;AA$7)),0,MAX(0,ROUND((INDEX($E483:$G483,AA$5)-SUMIFS(TF_Timer,TF_Tekniker,AA$4,TF_Dato,$A483))*2,0)/2)))</f>
        <v/>
      </c>
      <c r="AB483">
        <f>IF(OR(AB$4="",$A483&gt;TODAY()),0,IF(OR(INDEX($B483:$D483,AB$5)="F",AND(AB$6&gt;0,$A483&lt;AB$6),AND(AB$7&gt;0,$A483&gt;AB$7)),0,MAX(0,ROUND((INDEX($E483:$G483,AB$5)-SUMIFS(TF_Timer,TF_Tekniker,AB$4,TF_Dato,$A483))*2,0)/2)))</f>
        <v/>
      </c>
      <c r="AC483">
        <f>IF(OR(AC$4="",$A483&gt;TODAY()),0,IF(OR(INDEX($B483:$D483,AC$5)="F",AND(AC$6&gt;0,$A483&lt;AC$6),AND(AC$7&gt;0,$A483&gt;AC$7)),0,MAX(0,ROUND((INDEX($E483:$G483,AC$5)-SUMIFS(TF_Timer,TF_Tekniker,AC$4,TF_Dato,$A483))*2,0)/2)))</f>
        <v/>
      </c>
      <c r="AD483">
        <f>IF(OR(AD$4="",$A483&gt;TODAY()),0,IF(OR(INDEX($B483:$D483,AD$5)="F",AND(AD$6&gt;0,$A483&lt;AD$6),AND(AD$7&gt;0,$A483&gt;AD$7)),0,MAX(0,ROUND((INDEX($E483:$G483,AD$5)-SUMIFS(TF_Timer,TF_Tekniker,AD$4,TF_Dato,$A483))*2,0)/2)))</f>
        <v/>
      </c>
      <c r="AE483">
        <f>IF(OR(AE$4="",$A483&gt;TODAY()),0,IF(OR(INDEX($B483:$D483,AE$5)="F",AND(AE$6&gt;0,$A483&lt;AE$6),AND(AE$7&gt;0,$A483&gt;AE$7)),0,MAX(0,ROUND((INDEX($E483:$G483,AE$5)-SUMIFS(TF_Timer,TF_Tekniker,AE$4,TF_Dato,$A483))*2,0)/2)))</f>
        <v/>
      </c>
      <c r="AF483">
        <f>IF(OR(AF$4="",$A483&gt;TODAY()),0,IF(OR(INDEX($B483:$D483,AF$5)="F",AND(AF$6&gt;0,$A483&lt;AF$6),AND(AF$7&gt;0,$A483&gt;AF$7)),0,MAX(0,ROUND((INDEX($E483:$G483,AF$5)-SUMIFS(TF_Timer,TF_Tekniker,AF$4,TF_Dato,$A483))*2,0)/2)))</f>
        <v/>
      </c>
      <c r="AG483">
        <f>IF(OR(AG$4="",$A483&gt;TODAY()),0,IF(OR(INDEX($B483:$D483,AG$5)="F",AND(AG$6&gt;0,$A483&lt;AG$6),AND(AG$7&gt;0,$A483&gt;AG$7)),0,MAX(0,ROUND((INDEX($E483:$G483,AG$5)-SUMIFS(TF_Timer,TF_Tekniker,AG$4,TF_Dato,$A483))*2,0)/2)))</f>
        <v/>
      </c>
      <c r="AH483">
        <f>IF(OR(AH$4="",$A483&gt;TODAY()),0,IF(OR(INDEX($B483:$D483,AH$5)="F",AND(AH$6&gt;0,$A483&lt;AH$6),AND(AH$7&gt;0,$A483&gt;AH$7)),0,MAX(0,ROUND((INDEX($E483:$G483,AH$5)-SUMIFS(TF_Timer,TF_Tekniker,AH$4,TF_Dato,$A483))*2,0)/2)))</f>
        <v/>
      </c>
      <c r="AI483">
        <f>IF(OR(AI$4="",$A483&gt;TODAY()),0,IF(OR(INDEX($B483:$D483,AI$5)="F",AND(AI$6&gt;0,$A483&lt;AI$6),AND(AI$7&gt;0,$A483&gt;AI$7)),0,MAX(0,ROUND((INDEX($E483:$G483,AI$5)-SUMIFS(TF_Timer,TF_Tekniker,AI$4,TF_Dato,$A483))*2,0)/2)))</f>
        <v/>
      </c>
      <c r="AJ483">
        <f>IF(OR(AJ$4="",$A483&gt;TODAY()),0,IF(OR(INDEX($B483:$D483,AJ$5)="F",AND(AJ$6&gt;0,$A483&lt;AJ$6),AND(AJ$7&gt;0,$A483&gt;AJ$7)),0,MAX(0,ROUND((INDEX($E483:$G483,AJ$5)-SUMIFS(TF_Timer,TF_Tekniker,AJ$4,TF_Dato,$A483))*2,0)/2)))</f>
        <v/>
      </c>
      <c r="AK483">
        <f>IF(OR(AK$4="",$A483&gt;TODAY()),0,IF(OR(INDEX($B483:$D483,AK$5)="F",AND(AK$6&gt;0,$A483&lt;AK$6),AND(AK$7&gt;0,$A483&gt;AK$7)),0,MAX(0,ROUND((INDEX($E483:$G483,AK$5)-SUMIFS(TF_Timer,TF_Tekniker,AK$4,TF_Dato,$A483))*2,0)/2)))</f>
        <v/>
      </c>
      <c r="AL483">
        <f>IF(OR(AL$4="",$A483&gt;TODAY()),0,IF(OR(INDEX($B483:$D483,AL$5)="F",AND(AL$6&gt;0,$A483&lt;AL$6),AND(AL$7&gt;0,$A483&gt;AL$7)),0,MAX(0,ROUND((INDEX($E483:$G483,AL$5)-SUMIFS(TF_Timer,TF_Tekniker,AL$4,TF_Dato,$A483))*2,0)/2)))</f>
        <v/>
      </c>
      <c r="AM483">
        <f>IF(OR(AM$4="",$A483&gt;TODAY()),0,IF(OR(INDEX($B483:$D483,AM$5)="F",AND(AM$6&gt;0,$A483&lt;AM$6),AND(AM$7&gt;0,$A483&gt;AM$7)),0,MAX(0,ROUND((INDEX($E483:$G483,AM$5)-SUMIFS(TF_Timer,TF_Tekniker,AM$4,TF_Dato,$A483))*2,0)/2)))</f>
        <v/>
      </c>
      <c r="AN483">
        <f>IF(OR(AN$4="",$A483&gt;TODAY()),0,IF(OR(INDEX($B483:$D483,AN$5)="F",AND(AN$6&gt;0,$A483&lt;AN$6),AND(AN$7&gt;0,$A483&gt;AN$7)),0,MAX(0,ROUND((INDEX($E483:$G483,AN$5)-SUMIFS(TF_Timer,TF_Tekniker,AN$4,TF_Dato,$A483))*2,0)/2)))</f>
        <v/>
      </c>
      <c r="AO483">
        <f>IF(OR(AO$4="",$A483&gt;TODAY()),0,IF(OR(INDEX($B483:$D483,AO$5)="F",AND(AO$6&gt;0,$A483&lt;AO$6),AND(AO$7&gt;0,$A483&gt;AO$7)),0,MAX(0,ROUND((INDEX($E483:$G483,AO$5)-SUMIFS(TF_Timer,TF_Tekniker,AO$4,TF_Dato,$A483))*2,0)/2)))</f>
        <v/>
      </c>
      <c r="AP483">
        <f>IF(OR(AP$4="",$A483&gt;TODAY()),0,IF(OR(INDEX($B483:$D483,AP$5)="F",AND(AP$6&gt;0,$A483&lt;AP$6),AND(AP$7&gt;0,$A483&gt;AP$7)),0,MAX(0,ROUND((INDEX($E483:$G483,AP$5)-SUMIFS(TF_Timer,TF_Tekniker,AP$4,TF_Dato,$A483))*2,0)/2)))</f>
        <v/>
      </c>
      <c r="AQ483">
        <f>IF(OR(AQ$4="",$A483&gt;TODAY()),0,IF(OR(INDEX($B483:$D483,AQ$5)="F",AND(AQ$6&gt;0,$A483&lt;AQ$6),AND(AQ$7&gt;0,$A483&gt;AQ$7)),0,MAX(0,ROUND((INDEX($E483:$G483,AQ$5)-SUMIFS(TF_Timer,TF_Tekniker,AQ$4,TF_Dato,$A483))*2,0)/2)))</f>
        <v/>
      </c>
      <c r="AR483">
        <f>IF(OR(AR$4="",$A483&gt;TODAY()),0,IF(OR(INDEX($B483:$D483,AR$5)="F",AND(AR$6&gt;0,$A483&lt;AR$6),AND(AR$7&gt;0,$A483&gt;AR$7)),0,MAX(0,ROUND((INDEX($E483:$G483,AR$5)-SUMIFS(TF_Timer,TF_Tekniker,AR$4,TF_Dato,$A483))*2,0)/2)))</f>
        <v/>
      </c>
      <c r="AS483">
        <f>IF(OR(AS$4="",$A483&gt;TODAY()),0,IF(OR(INDEX($B483:$D483,AS$5)="F",AND(AS$6&gt;0,$A483&lt;AS$6),AND(AS$7&gt;0,$A483&gt;AS$7)),0,MAX(0,ROUND((INDEX($E483:$G483,AS$5)-SUMIFS(TF_Timer,TF_Tekniker,AS$4,TF_Dato,$A483))*2,0)/2)))</f>
        <v/>
      </c>
      <c r="AT483">
        <f>IF(OR(AT$4="",$A483&gt;TODAY()),0,IF(OR(INDEX($B483:$D483,AT$5)="F",AND(AT$6&gt;0,$A483&lt;AT$6),AND(AT$7&gt;0,$A483&gt;AT$7)),0,MAX(0,ROUND((INDEX($E483:$G483,AT$5)-SUMIFS(TF_Timer,TF_Tekniker,AT$4,TF_Dato,$A483))*2,0)/2)))</f>
        <v/>
      </c>
      <c r="AU483">
        <f>IF(OR(AU$4="",$A483&gt;TODAY()),0,IF(OR(INDEX($B483:$D483,AU$5)="F",AND(AU$6&gt;0,$A483&lt;AU$6),AND(AU$7&gt;0,$A483&gt;AU$7)),0,MAX(0,ROUND((INDEX($E483:$G483,AU$5)-SUMIFS(TF_Timer,TF_Tekniker,AU$4,TF_Dato,$A483))*2,0)/2)))</f>
        <v/>
      </c>
      <c r="AV483">
        <f>IF(OR(AV$4="",$A483&gt;TODAY()),0,IF(OR(INDEX($B483:$D483,AV$5)="F",AND(AV$6&gt;0,$A483&lt;AV$6),AND(AV$7&gt;0,$A483&gt;AV$7)),0,MAX(0,ROUND((INDEX($E483:$G483,AV$5)-SUMIFS(TF_Timer,TF_Tekniker,AV$4,TF_Dato,$A483))*2,0)/2)))</f>
        <v/>
      </c>
      <c r="AW483">
        <f>IF(OR(AW$4="",$A483&gt;TODAY()),0,IF(OR(INDEX($B483:$D483,AW$5)="F",AND(AW$6&gt;0,$A483&lt;AW$6),AND(AW$7&gt;0,$A483&gt;AW$7)),0,MAX(0,ROUND((INDEX($E483:$G483,AW$5)-SUMIFS(TF_Timer,TF_Tekniker,AW$4,TF_Dato,$A483))*2,0)/2)))</f>
        <v/>
      </c>
      <c r="AX483">
        <f>IF(OR(AX$4="",$A483&gt;TODAY()),0,IF(OR(INDEX($B483:$D483,AX$5)="F",AND(AX$6&gt;0,$A483&lt;AX$6),AND(AX$7&gt;0,$A483&gt;AX$7)),0,MAX(0,ROUND((INDEX($E483:$G483,AX$5)-SUMIFS(TF_Timer,TF_Tekniker,AX$4,TF_Dato,$A483))*2,0)/2)))</f>
        <v/>
      </c>
      <c r="AY483">
        <f>IF(OR(AY$4="",$A483&gt;TODAY()),0,IF(OR(INDEX($B483:$D483,AY$5)="F",AND(AY$6&gt;0,$A483&lt;AY$6),AND(AY$7&gt;0,$A483&gt;AY$7)),0,MAX(0,ROUND((INDEX($E483:$G483,AY$5)-SUMIFS(TF_Timer,TF_Tekniker,AY$4,TF_Dato,$A483))*2,0)/2)))</f>
        <v/>
      </c>
      <c r="AZ483">
        <f>IF(OR(AZ$4="",$A483&gt;TODAY()),0,IF(OR(INDEX($B483:$D483,AZ$5)="F",AND(AZ$6&gt;0,$A483&lt;AZ$6),AND(AZ$7&gt;0,$A483&gt;AZ$7)),0,MAX(0,ROUND((INDEX($E483:$G483,AZ$5)-SUMIFS(TF_Timer,TF_Tekniker,AZ$4,TF_Dato,$A483))*2,0)/2)))</f>
        <v/>
      </c>
      <c r="BA483">
        <f>IF(OR(BA$4="",$A483&gt;TODAY()),0,IF(OR(INDEX($B483:$D483,BA$5)="F",AND(BA$6&gt;0,$A483&lt;BA$6),AND(BA$7&gt;0,$A483&gt;BA$7)),0,MAX(0,ROUND((INDEX($E483:$G483,BA$5)-SUMIFS(TF_Timer,TF_Tekniker,BA$4,TF_Dato,$A483))*2,0)/2)))</f>
        <v/>
      </c>
      <c r="BB483">
        <f>IF(OR(BB$4="",$A483&gt;TODAY()),0,IF(OR(INDEX($B483:$D483,BB$5)="F",AND(BB$6&gt;0,$A483&lt;BB$6),AND(BB$7&gt;0,$A483&gt;BB$7)),0,MAX(0,ROUND((INDEX($E483:$G483,BB$5)-SUMIFS(TF_Timer,TF_Tekniker,BB$4,TF_Dato,$A483))*2,0)/2)))</f>
        <v/>
      </c>
      <c r="BC483">
        <f>IF(OR(BC$4="",$A483&gt;TODAY()),0,IF(OR(INDEX($B483:$D483,BC$5)="F",AND(BC$6&gt;0,$A483&lt;BC$6),AND(BC$7&gt;0,$A483&gt;BC$7)),0,MAX(0,ROUND((INDEX($E483:$G483,BC$5)-SUMIFS(TF_Timer,TF_Tekniker,BC$4,TF_Dato,$A483))*2,0)/2)))</f>
        <v/>
      </c>
      <c r="BD483">
        <f>IF(OR(BD$4="",$A483&gt;TODAY()),0,IF(OR(INDEX($B483:$D483,BD$5)="F",AND(BD$6&gt;0,$A483&lt;BD$6),AND(BD$7&gt;0,$A483&gt;BD$7)),0,MAX(0,ROUND((INDEX($E483:$G483,BD$5)-SUMIFS(TF_Timer,TF_Tekniker,BD$4,TF_Dato,$A483))*2,0)/2)))</f>
        <v/>
      </c>
      <c r="BE483">
        <f>IF(OR(BE$4="",$A483&gt;TODAY()),0,IF(OR(INDEX($B483:$D483,BE$5)="F",AND(BE$6&gt;0,$A483&lt;BE$6),AND(BE$7&gt;0,$A483&gt;BE$7)),0,MAX(0,ROUND((INDEX($E483:$G483,BE$5)-SUMIFS(TF_Timer,TF_Tekniker,BE$4,TF_Dato,$A483))*2,0)/2)))</f>
        <v/>
      </c>
      <c r="BF483">
        <f>IF(OR(BF$4="",$A483&gt;TODAY()),0,IF(OR(INDEX($B483:$D483,BF$5)="F",AND(BF$6&gt;0,$A483&lt;BF$6),AND(BF$7&gt;0,$A483&gt;BF$7)),0,MAX(0,ROUND((INDEX($E483:$G483,BF$5)-SUMIFS(TF_Timer,TF_Tekniker,BF$4,TF_Dato,$A483))*2,0)/2)))</f>
        <v/>
      </c>
      <c r="BG483">
        <f>IF(OR(BG$4="",$A483&gt;TODAY()),0,IF(OR(INDEX($B483:$D483,BG$5)="F",AND(BG$6&gt;0,$A483&lt;BG$6),AND(BG$7&gt;0,$A483&gt;BG$7)),0,MAX(0,ROUND((INDEX($E483:$G483,BG$5)-SUMIFS(TF_Timer,TF_Tekniker,BG$4,TF_Dato,$A483))*2,0)/2)))</f>
        <v/>
      </c>
      <c r="BH483">
        <f>IF(OR(BH$4="",$A483&gt;TODAY()),0,IF(OR(INDEX($B483:$D483,BH$5)="F",AND(BH$6&gt;0,$A483&lt;BH$6),AND(BH$7&gt;0,$A483&gt;BH$7)),0,MAX(0,ROUND((INDEX($E483:$G483,BH$5)-SUMIFS(TF_Timer,TF_Tekniker,BH$4,TF_Dato,$A483))*2,0)/2)))</f>
        <v/>
      </c>
      <c r="BI483">
        <f>IF(OR(BI$4="",$A483&gt;TODAY()),0,IF(OR(INDEX($B483:$D483,BI$5)="F",AND(BI$6&gt;0,$A483&lt;BI$6),AND(BI$7&gt;0,$A483&gt;BI$7)),0,MAX(0,ROUND((INDEX($E483:$G483,BI$5)-SUMIFS(TF_Timer,TF_Tekniker,BI$4,TF_Dato,$A483))*2,0)/2)))</f>
        <v/>
      </c>
    </row>
    <row r="484">
      <c r="A484" s="64">
        <f>A483+1</f>
        <v/>
      </c>
      <c r="B484">
        <f>IF(MOD($A484-INDEX(SkiftStart,1),Syklus)&lt;DagK,"K",IF(MOD($A484-INDEX(SkiftStart,1),Syklus)&lt;DagK+DagH,"H",IF(MOD($A484-INDEX(SkiftStart,1),Syklus)&lt;DagK+DagH+DagD,"D","F")))</f>
        <v/>
      </c>
      <c r="C484">
        <f>IF(MOD($A484-INDEX(SkiftStart,2),Syklus)&lt;DagK,"K",IF(MOD($A484-INDEX(SkiftStart,2),Syklus)&lt;DagK+DagH,"H",IF(MOD($A484-INDEX(SkiftStart,2),Syklus)&lt;DagK+DagH+DagD,"D","F")))</f>
        <v/>
      </c>
      <c r="D484">
        <f>IF(MOD($A484-INDEX(SkiftStart,3),Syklus)&lt;DagK,"K",IF(MOD($A484-INDEX(SkiftStart,3),Syklus)&lt;DagK+DagH,"H",IF(MOD($A484-INDEX(SkiftStart,3),Syklus)&lt;DagK+DagH+DagD,"D","F")))</f>
        <v/>
      </c>
      <c r="E484">
        <f>IF(B484="F",0,IF(WEEKDAY($A484,2)=5,INDEX(TimerFr,MATCH(B484,FaseKode,0)),INDEX(TimerMT,MATCH(B484,FaseKode,0))))</f>
        <v/>
      </c>
      <c r="F484">
        <f>IF(C484="F",0,IF(WEEKDAY($A484,2)=5,INDEX(TimerFr,MATCH(C484,FaseKode,0)),INDEX(TimerMT,MATCH(C484,FaseKode,0))))</f>
        <v/>
      </c>
      <c r="G484">
        <f>IF(D484="F",0,IF(WEEKDAY($A484,2)=5,INDEX(TimerFr,MATCH(D484,FaseKode,0)),INDEX(TimerMT,MATCH(D484,FaseKode,0))))</f>
        <v/>
      </c>
      <c r="H484">
        <f>IF(OR(H$4="",$A484&gt;TODAY()),0,IF(OR(INDEX($B484:$D484,H$5)="F",AND(H$6&gt;0,$A484&lt;H$6),AND(H$7&gt;0,$A484&gt;H$7)),0,MAX(0,ROUND((INDEX($E484:$G484,H$5)-SUMIFS(TF_Timer,TF_Tekniker,H$4,TF_Dato,$A484))*2,0)/2)))</f>
        <v/>
      </c>
      <c r="I484">
        <f>IF(OR(I$4="",$A484&gt;TODAY()),0,IF(OR(INDEX($B484:$D484,I$5)="F",AND(I$6&gt;0,$A484&lt;I$6),AND(I$7&gt;0,$A484&gt;I$7)),0,MAX(0,ROUND((INDEX($E484:$G484,I$5)-SUMIFS(TF_Timer,TF_Tekniker,I$4,TF_Dato,$A484))*2,0)/2)))</f>
        <v/>
      </c>
      <c r="J484">
        <f>IF(OR(J$4="",$A484&gt;TODAY()),0,IF(OR(INDEX($B484:$D484,J$5)="F",AND(J$6&gt;0,$A484&lt;J$6),AND(J$7&gt;0,$A484&gt;J$7)),0,MAX(0,ROUND((INDEX($E484:$G484,J$5)-SUMIFS(TF_Timer,TF_Tekniker,J$4,TF_Dato,$A484))*2,0)/2)))</f>
        <v/>
      </c>
      <c r="K484">
        <f>IF(OR(K$4="",$A484&gt;TODAY()),0,IF(OR(INDEX($B484:$D484,K$5)="F",AND(K$6&gt;0,$A484&lt;K$6),AND(K$7&gt;0,$A484&gt;K$7)),0,MAX(0,ROUND((INDEX($E484:$G484,K$5)-SUMIFS(TF_Timer,TF_Tekniker,K$4,TF_Dato,$A484))*2,0)/2)))</f>
        <v/>
      </c>
      <c r="L484">
        <f>IF(OR(L$4="",$A484&gt;TODAY()),0,IF(OR(INDEX($B484:$D484,L$5)="F",AND(L$6&gt;0,$A484&lt;L$6),AND(L$7&gt;0,$A484&gt;L$7)),0,MAX(0,ROUND((INDEX($E484:$G484,L$5)-SUMIFS(TF_Timer,TF_Tekniker,L$4,TF_Dato,$A484))*2,0)/2)))</f>
        <v/>
      </c>
      <c r="M484">
        <f>IF(OR(M$4="",$A484&gt;TODAY()),0,IF(OR(INDEX($B484:$D484,M$5)="F",AND(M$6&gt;0,$A484&lt;M$6),AND(M$7&gt;0,$A484&gt;M$7)),0,MAX(0,ROUND((INDEX($E484:$G484,M$5)-SUMIFS(TF_Timer,TF_Tekniker,M$4,TF_Dato,$A484))*2,0)/2)))</f>
        <v/>
      </c>
      <c r="N484">
        <f>IF(OR(N$4="",$A484&gt;TODAY()),0,IF(OR(INDEX($B484:$D484,N$5)="F",AND(N$6&gt;0,$A484&lt;N$6),AND(N$7&gt;0,$A484&gt;N$7)),0,MAX(0,ROUND((INDEX($E484:$G484,N$5)-SUMIFS(TF_Timer,TF_Tekniker,N$4,TF_Dato,$A484))*2,0)/2)))</f>
        <v/>
      </c>
      <c r="O484">
        <f>IF(OR(O$4="",$A484&gt;TODAY()),0,IF(OR(INDEX($B484:$D484,O$5)="F",AND(O$6&gt;0,$A484&lt;O$6),AND(O$7&gt;0,$A484&gt;O$7)),0,MAX(0,ROUND((INDEX($E484:$G484,O$5)-SUMIFS(TF_Timer,TF_Tekniker,O$4,TF_Dato,$A484))*2,0)/2)))</f>
        <v/>
      </c>
      <c r="P484">
        <f>IF(OR(P$4="",$A484&gt;TODAY()),0,IF(OR(INDEX($B484:$D484,P$5)="F",AND(P$6&gt;0,$A484&lt;P$6),AND(P$7&gt;0,$A484&gt;P$7)),0,MAX(0,ROUND((INDEX($E484:$G484,P$5)-SUMIFS(TF_Timer,TF_Tekniker,P$4,TF_Dato,$A484))*2,0)/2)))</f>
        <v/>
      </c>
      <c r="Q484">
        <f>IF(OR(Q$4="",$A484&gt;TODAY()),0,IF(OR(INDEX($B484:$D484,Q$5)="F",AND(Q$6&gt;0,$A484&lt;Q$6),AND(Q$7&gt;0,$A484&gt;Q$7)),0,MAX(0,ROUND((INDEX($E484:$G484,Q$5)-SUMIFS(TF_Timer,TF_Tekniker,Q$4,TF_Dato,$A484))*2,0)/2)))</f>
        <v/>
      </c>
      <c r="R484">
        <f>IF(OR(R$4="",$A484&gt;TODAY()),0,IF(OR(INDEX($B484:$D484,R$5)="F",AND(R$6&gt;0,$A484&lt;R$6),AND(R$7&gt;0,$A484&gt;R$7)),0,MAX(0,ROUND((INDEX($E484:$G484,R$5)-SUMIFS(TF_Timer,TF_Tekniker,R$4,TF_Dato,$A484))*2,0)/2)))</f>
        <v/>
      </c>
      <c r="S484">
        <f>IF(OR(S$4="",$A484&gt;TODAY()),0,IF(OR(INDEX($B484:$D484,S$5)="F",AND(S$6&gt;0,$A484&lt;S$6),AND(S$7&gt;0,$A484&gt;S$7)),0,MAX(0,ROUND((INDEX($E484:$G484,S$5)-SUMIFS(TF_Timer,TF_Tekniker,S$4,TF_Dato,$A484))*2,0)/2)))</f>
        <v/>
      </c>
      <c r="T484">
        <f>IF(OR(T$4="",$A484&gt;TODAY()),0,IF(OR(INDEX($B484:$D484,T$5)="F",AND(T$6&gt;0,$A484&lt;T$6),AND(T$7&gt;0,$A484&gt;T$7)),0,MAX(0,ROUND((INDEX($E484:$G484,T$5)-SUMIFS(TF_Timer,TF_Tekniker,T$4,TF_Dato,$A484))*2,0)/2)))</f>
        <v/>
      </c>
      <c r="U484">
        <f>IF(OR(U$4="",$A484&gt;TODAY()),0,IF(OR(INDEX($B484:$D484,U$5)="F",AND(U$6&gt;0,$A484&lt;U$6),AND(U$7&gt;0,$A484&gt;U$7)),0,MAX(0,ROUND((INDEX($E484:$G484,U$5)-SUMIFS(TF_Timer,TF_Tekniker,U$4,TF_Dato,$A484))*2,0)/2)))</f>
        <v/>
      </c>
      <c r="V484">
        <f>IF(OR(V$4="",$A484&gt;TODAY()),0,IF(OR(INDEX($B484:$D484,V$5)="F",AND(V$6&gt;0,$A484&lt;V$6),AND(V$7&gt;0,$A484&gt;V$7)),0,MAX(0,ROUND((INDEX($E484:$G484,V$5)-SUMIFS(TF_Timer,TF_Tekniker,V$4,TF_Dato,$A484))*2,0)/2)))</f>
        <v/>
      </c>
      <c r="W484">
        <f>IF(OR(W$4="",$A484&gt;TODAY()),0,IF(OR(INDEX($B484:$D484,W$5)="F",AND(W$6&gt;0,$A484&lt;W$6),AND(W$7&gt;0,$A484&gt;W$7)),0,MAX(0,ROUND((INDEX($E484:$G484,W$5)-SUMIFS(TF_Timer,TF_Tekniker,W$4,TF_Dato,$A484))*2,0)/2)))</f>
        <v/>
      </c>
      <c r="X484">
        <f>IF(OR(X$4="",$A484&gt;TODAY()),0,IF(OR(INDEX($B484:$D484,X$5)="F",AND(X$6&gt;0,$A484&lt;X$6),AND(X$7&gt;0,$A484&gt;X$7)),0,MAX(0,ROUND((INDEX($E484:$G484,X$5)-SUMIFS(TF_Timer,TF_Tekniker,X$4,TF_Dato,$A484))*2,0)/2)))</f>
        <v/>
      </c>
      <c r="Y484">
        <f>IF(OR(Y$4="",$A484&gt;TODAY()),0,IF(OR(INDEX($B484:$D484,Y$5)="F",AND(Y$6&gt;0,$A484&lt;Y$6),AND(Y$7&gt;0,$A484&gt;Y$7)),0,MAX(0,ROUND((INDEX($E484:$G484,Y$5)-SUMIFS(TF_Timer,TF_Tekniker,Y$4,TF_Dato,$A484))*2,0)/2)))</f>
        <v/>
      </c>
      <c r="Z484">
        <f>IF(OR(Z$4="",$A484&gt;TODAY()),0,IF(OR(INDEX($B484:$D484,Z$5)="F",AND(Z$6&gt;0,$A484&lt;Z$6),AND(Z$7&gt;0,$A484&gt;Z$7)),0,MAX(0,ROUND((INDEX($E484:$G484,Z$5)-SUMIFS(TF_Timer,TF_Tekniker,Z$4,TF_Dato,$A484))*2,0)/2)))</f>
        <v/>
      </c>
      <c r="AA484">
        <f>IF(OR(AA$4="",$A484&gt;TODAY()),0,IF(OR(INDEX($B484:$D484,AA$5)="F",AND(AA$6&gt;0,$A484&lt;AA$6),AND(AA$7&gt;0,$A484&gt;AA$7)),0,MAX(0,ROUND((INDEX($E484:$G484,AA$5)-SUMIFS(TF_Timer,TF_Tekniker,AA$4,TF_Dato,$A484))*2,0)/2)))</f>
        <v/>
      </c>
      <c r="AB484">
        <f>IF(OR(AB$4="",$A484&gt;TODAY()),0,IF(OR(INDEX($B484:$D484,AB$5)="F",AND(AB$6&gt;0,$A484&lt;AB$6),AND(AB$7&gt;0,$A484&gt;AB$7)),0,MAX(0,ROUND((INDEX($E484:$G484,AB$5)-SUMIFS(TF_Timer,TF_Tekniker,AB$4,TF_Dato,$A484))*2,0)/2)))</f>
        <v/>
      </c>
      <c r="AC484">
        <f>IF(OR(AC$4="",$A484&gt;TODAY()),0,IF(OR(INDEX($B484:$D484,AC$5)="F",AND(AC$6&gt;0,$A484&lt;AC$6),AND(AC$7&gt;0,$A484&gt;AC$7)),0,MAX(0,ROUND((INDEX($E484:$G484,AC$5)-SUMIFS(TF_Timer,TF_Tekniker,AC$4,TF_Dato,$A484))*2,0)/2)))</f>
        <v/>
      </c>
      <c r="AD484">
        <f>IF(OR(AD$4="",$A484&gt;TODAY()),0,IF(OR(INDEX($B484:$D484,AD$5)="F",AND(AD$6&gt;0,$A484&lt;AD$6),AND(AD$7&gt;0,$A484&gt;AD$7)),0,MAX(0,ROUND((INDEX($E484:$G484,AD$5)-SUMIFS(TF_Timer,TF_Tekniker,AD$4,TF_Dato,$A484))*2,0)/2)))</f>
        <v/>
      </c>
      <c r="AE484">
        <f>IF(OR(AE$4="",$A484&gt;TODAY()),0,IF(OR(INDEX($B484:$D484,AE$5)="F",AND(AE$6&gt;0,$A484&lt;AE$6),AND(AE$7&gt;0,$A484&gt;AE$7)),0,MAX(0,ROUND((INDEX($E484:$G484,AE$5)-SUMIFS(TF_Timer,TF_Tekniker,AE$4,TF_Dato,$A484))*2,0)/2)))</f>
        <v/>
      </c>
      <c r="AF484">
        <f>IF(OR(AF$4="",$A484&gt;TODAY()),0,IF(OR(INDEX($B484:$D484,AF$5)="F",AND(AF$6&gt;0,$A484&lt;AF$6),AND(AF$7&gt;0,$A484&gt;AF$7)),0,MAX(0,ROUND((INDEX($E484:$G484,AF$5)-SUMIFS(TF_Timer,TF_Tekniker,AF$4,TF_Dato,$A484))*2,0)/2)))</f>
        <v/>
      </c>
      <c r="AG484">
        <f>IF(OR(AG$4="",$A484&gt;TODAY()),0,IF(OR(INDEX($B484:$D484,AG$5)="F",AND(AG$6&gt;0,$A484&lt;AG$6),AND(AG$7&gt;0,$A484&gt;AG$7)),0,MAX(0,ROUND((INDEX($E484:$G484,AG$5)-SUMIFS(TF_Timer,TF_Tekniker,AG$4,TF_Dato,$A484))*2,0)/2)))</f>
        <v/>
      </c>
      <c r="AH484">
        <f>IF(OR(AH$4="",$A484&gt;TODAY()),0,IF(OR(INDEX($B484:$D484,AH$5)="F",AND(AH$6&gt;0,$A484&lt;AH$6),AND(AH$7&gt;0,$A484&gt;AH$7)),0,MAX(0,ROUND((INDEX($E484:$G484,AH$5)-SUMIFS(TF_Timer,TF_Tekniker,AH$4,TF_Dato,$A484))*2,0)/2)))</f>
        <v/>
      </c>
      <c r="AI484">
        <f>IF(OR(AI$4="",$A484&gt;TODAY()),0,IF(OR(INDEX($B484:$D484,AI$5)="F",AND(AI$6&gt;0,$A484&lt;AI$6),AND(AI$7&gt;0,$A484&gt;AI$7)),0,MAX(0,ROUND((INDEX($E484:$G484,AI$5)-SUMIFS(TF_Timer,TF_Tekniker,AI$4,TF_Dato,$A484))*2,0)/2)))</f>
        <v/>
      </c>
      <c r="AJ484">
        <f>IF(OR(AJ$4="",$A484&gt;TODAY()),0,IF(OR(INDEX($B484:$D484,AJ$5)="F",AND(AJ$6&gt;0,$A484&lt;AJ$6),AND(AJ$7&gt;0,$A484&gt;AJ$7)),0,MAX(0,ROUND((INDEX($E484:$G484,AJ$5)-SUMIFS(TF_Timer,TF_Tekniker,AJ$4,TF_Dato,$A484))*2,0)/2)))</f>
        <v/>
      </c>
      <c r="AK484">
        <f>IF(OR(AK$4="",$A484&gt;TODAY()),0,IF(OR(INDEX($B484:$D484,AK$5)="F",AND(AK$6&gt;0,$A484&lt;AK$6),AND(AK$7&gt;0,$A484&gt;AK$7)),0,MAX(0,ROUND((INDEX($E484:$G484,AK$5)-SUMIFS(TF_Timer,TF_Tekniker,AK$4,TF_Dato,$A484))*2,0)/2)))</f>
        <v/>
      </c>
      <c r="AL484">
        <f>IF(OR(AL$4="",$A484&gt;TODAY()),0,IF(OR(INDEX($B484:$D484,AL$5)="F",AND(AL$6&gt;0,$A484&lt;AL$6),AND(AL$7&gt;0,$A484&gt;AL$7)),0,MAX(0,ROUND((INDEX($E484:$G484,AL$5)-SUMIFS(TF_Timer,TF_Tekniker,AL$4,TF_Dato,$A484))*2,0)/2)))</f>
        <v/>
      </c>
      <c r="AM484">
        <f>IF(OR(AM$4="",$A484&gt;TODAY()),0,IF(OR(INDEX($B484:$D484,AM$5)="F",AND(AM$6&gt;0,$A484&lt;AM$6),AND(AM$7&gt;0,$A484&gt;AM$7)),0,MAX(0,ROUND((INDEX($E484:$G484,AM$5)-SUMIFS(TF_Timer,TF_Tekniker,AM$4,TF_Dato,$A484))*2,0)/2)))</f>
        <v/>
      </c>
      <c r="AN484">
        <f>IF(OR(AN$4="",$A484&gt;TODAY()),0,IF(OR(INDEX($B484:$D484,AN$5)="F",AND(AN$6&gt;0,$A484&lt;AN$6),AND(AN$7&gt;0,$A484&gt;AN$7)),0,MAX(0,ROUND((INDEX($E484:$G484,AN$5)-SUMIFS(TF_Timer,TF_Tekniker,AN$4,TF_Dato,$A484))*2,0)/2)))</f>
        <v/>
      </c>
      <c r="AO484">
        <f>IF(OR(AO$4="",$A484&gt;TODAY()),0,IF(OR(INDEX($B484:$D484,AO$5)="F",AND(AO$6&gt;0,$A484&lt;AO$6),AND(AO$7&gt;0,$A484&gt;AO$7)),0,MAX(0,ROUND((INDEX($E484:$G484,AO$5)-SUMIFS(TF_Timer,TF_Tekniker,AO$4,TF_Dato,$A484))*2,0)/2)))</f>
        <v/>
      </c>
      <c r="AP484">
        <f>IF(OR(AP$4="",$A484&gt;TODAY()),0,IF(OR(INDEX($B484:$D484,AP$5)="F",AND(AP$6&gt;0,$A484&lt;AP$6),AND(AP$7&gt;0,$A484&gt;AP$7)),0,MAX(0,ROUND((INDEX($E484:$G484,AP$5)-SUMIFS(TF_Timer,TF_Tekniker,AP$4,TF_Dato,$A484))*2,0)/2)))</f>
        <v/>
      </c>
      <c r="AQ484">
        <f>IF(OR(AQ$4="",$A484&gt;TODAY()),0,IF(OR(INDEX($B484:$D484,AQ$5)="F",AND(AQ$6&gt;0,$A484&lt;AQ$6),AND(AQ$7&gt;0,$A484&gt;AQ$7)),0,MAX(0,ROUND((INDEX($E484:$G484,AQ$5)-SUMIFS(TF_Timer,TF_Tekniker,AQ$4,TF_Dato,$A484))*2,0)/2)))</f>
        <v/>
      </c>
      <c r="AR484">
        <f>IF(OR(AR$4="",$A484&gt;TODAY()),0,IF(OR(INDEX($B484:$D484,AR$5)="F",AND(AR$6&gt;0,$A484&lt;AR$6),AND(AR$7&gt;0,$A484&gt;AR$7)),0,MAX(0,ROUND((INDEX($E484:$G484,AR$5)-SUMIFS(TF_Timer,TF_Tekniker,AR$4,TF_Dato,$A484))*2,0)/2)))</f>
        <v/>
      </c>
      <c r="AS484">
        <f>IF(OR(AS$4="",$A484&gt;TODAY()),0,IF(OR(INDEX($B484:$D484,AS$5)="F",AND(AS$6&gt;0,$A484&lt;AS$6),AND(AS$7&gt;0,$A484&gt;AS$7)),0,MAX(0,ROUND((INDEX($E484:$G484,AS$5)-SUMIFS(TF_Timer,TF_Tekniker,AS$4,TF_Dato,$A484))*2,0)/2)))</f>
        <v/>
      </c>
      <c r="AT484">
        <f>IF(OR(AT$4="",$A484&gt;TODAY()),0,IF(OR(INDEX($B484:$D484,AT$5)="F",AND(AT$6&gt;0,$A484&lt;AT$6),AND(AT$7&gt;0,$A484&gt;AT$7)),0,MAX(0,ROUND((INDEX($E484:$G484,AT$5)-SUMIFS(TF_Timer,TF_Tekniker,AT$4,TF_Dato,$A484))*2,0)/2)))</f>
        <v/>
      </c>
      <c r="AU484">
        <f>IF(OR(AU$4="",$A484&gt;TODAY()),0,IF(OR(INDEX($B484:$D484,AU$5)="F",AND(AU$6&gt;0,$A484&lt;AU$6),AND(AU$7&gt;0,$A484&gt;AU$7)),0,MAX(0,ROUND((INDEX($E484:$G484,AU$5)-SUMIFS(TF_Timer,TF_Tekniker,AU$4,TF_Dato,$A484))*2,0)/2)))</f>
        <v/>
      </c>
      <c r="AV484">
        <f>IF(OR(AV$4="",$A484&gt;TODAY()),0,IF(OR(INDEX($B484:$D484,AV$5)="F",AND(AV$6&gt;0,$A484&lt;AV$6),AND(AV$7&gt;0,$A484&gt;AV$7)),0,MAX(0,ROUND((INDEX($E484:$G484,AV$5)-SUMIFS(TF_Timer,TF_Tekniker,AV$4,TF_Dato,$A484))*2,0)/2)))</f>
        <v/>
      </c>
      <c r="AW484">
        <f>IF(OR(AW$4="",$A484&gt;TODAY()),0,IF(OR(INDEX($B484:$D484,AW$5)="F",AND(AW$6&gt;0,$A484&lt;AW$6),AND(AW$7&gt;0,$A484&gt;AW$7)),0,MAX(0,ROUND((INDEX($E484:$G484,AW$5)-SUMIFS(TF_Timer,TF_Tekniker,AW$4,TF_Dato,$A484))*2,0)/2)))</f>
        <v/>
      </c>
      <c r="AX484">
        <f>IF(OR(AX$4="",$A484&gt;TODAY()),0,IF(OR(INDEX($B484:$D484,AX$5)="F",AND(AX$6&gt;0,$A484&lt;AX$6),AND(AX$7&gt;0,$A484&gt;AX$7)),0,MAX(0,ROUND((INDEX($E484:$G484,AX$5)-SUMIFS(TF_Timer,TF_Tekniker,AX$4,TF_Dato,$A484))*2,0)/2)))</f>
        <v/>
      </c>
      <c r="AY484">
        <f>IF(OR(AY$4="",$A484&gt;TODAY()),0,IF(OR(INDEX($B484:$D484,AY$5)="F",AND(AY$6&gt;0,$A484&lt;AY$6),AND(AY$7&gt;0,$A484&gt;AY$7)),0,MAX(0,ROUND((INDEX($E484:$G484,AY$5)-SUMIFS(TF_Timer,TF_Tekniker,AY$4,TF_Dato,$A484))*2,0)/2)))</f>
        <v/>
      </c>
      <c r="AZ484">
        <f>IF(OR(AZ$4="",$A484&gt;TODAY()),0,IF(OR(INDEX($B484:$D484,AZ$5)="F",AND(AZ$6&gt;0,$A484&lt;AZ$6),AND(AZ$7&gt;0,$A484&gt;AZ$7)),0,MAX(0,ROUND((INDEX($E484:$G484,AZ$5)-SUMIFS(TF_Timer,TF_Tekniker,AZ$4,TF_Dato,$A484))*2,0)/2)))</f>
        <v/>
      </c>
      <c r="BA484">
        <f>IF(OR(BA$4="",$A484&gt;TODAY()),0,IF(OR(INDEX($B484:$D484,BA$5)="F",AND(BA$6&gt;0,$A484&lt;BA$6),AND(BA$7&gt;0,$A484&gt;BA$7)),0,MAX(0,ROUND((INDEX($E484:$G484,BA$5)-SUMIFS(TF_Timer,TF_Tekniker,BA$4,TF_Dato,$A484))*2,0)/2)))</f>
        <v/>
      </c>
      <c r="BB484">
        <f>IF(OR(BB$4="",$A484&gt;TODAY()),0,IF(OR(INDEX($B484:$D484,BB$5)="F",AND(BB$6&gt;0,$A484&lt;BB$6),AND(BB$7&gt;0,$A484&gt;BB$7)),0,MAX(0,ROUND((INDEX($E484:$G484,BB$5)-SUMIFS(TF_Timer,TF_Tekniker,BB$4,TF_Dato,$A484))*2,0)/2)))</f>
        <v/>
      </c>
      <c r="BC484">
        <f>IF(OR(BC$4="",$A484&gt;TODAY()),0,IF(OR(INDEX($B484:$D484,BC$5)="F",AND(BC$6&gt;0,$A484&lt;BC$6),AND(BC$7&gt;0,$A484&gt;BC$7)),0,MAX(0,ROUND((INDEX($E484:$G484,BC$5)-SUMIFS(TF_Timer,TF_Tekniker,BC$4,TF_Dato,$A484))*2,0)/2)))</f>
        <v/>
      </c>
      <c r="BD484">
        <f>IF(OR(BD$4="",$A484&gt;TODAY()),0,IF(OR(INDEX($B484:$D484,BD$5)="F",AND(BD$6&gt;0,$A484&lt;BD$6),AND(BD$7&gt;0,$A484&gt;BD$7)),0,MAX(0,ROUND((INDEX($E484:$G484,BD$5)-SUMIFS(TF_Timer,TF_Tekniker,BD$4,TF_Dato,$A484))*2,0)/2)))</f>
        <v/>
      </c>
      <c r="BE484">
        <f>IF(OR(BE$4="",$A484&gt;TODAY()),0,IF(OR(INDEX($B484:$D484,BE$5)="F",AND(BE$6&gt;0,$A484&lt;BE$6),AND(BE$7&gt;0,$A484&gt;BE$7)),0,MAX(0,ROUND((INDEX($E484:$G484,BE$5)-SUMIFS(TF_Timer,TF_Tekniker,BE$4,TF_Dato,$A484))*2,0)/2)))</f>
        <v/>
      </c>
      <c r="BF484">
        <f>IF(OR(BF$4="",$A484&gt;TODAY()),0,IF(OR(INDEX($B484:$D484,BF$5)="F",AND(BF$6&gt;0,$A484&lt;BF$6),AND(BF$7&gt;0,$A484&gt;BF$7)),0,MAX(0,ROUND((INDEX($E484:$G484,BF$5)-SUMIFS(TF_Timer,TF_Tekniker,BF$4,TF_Dato,$A484))*2,0)/2)))</f>
        <v/>
      </c>
      <c r="BG484">
        <f>IF(OR(BG$4="",$A484&gt;TODAY()),0,IF(OR(INDEX($B484:$D484,BG$5)="F",AND(BG$6&gt;0,$A484&lt;BG$6),AND(BG$7&gt;0,$A484&gt;BG$7)),0,MAX(0,ROUND((INDEX($E484:$G484,BG$5)-SUMIFS(TF_Timer,TF_Tekniker,BG$4,TF_Dato,$A484))*2,0)/2)))</f>
        <v/>
      </c>
      <c r="BH484">
        <f>IF(OR(BH$4="",$A484&gt;TODAY()),0,IF(OR(INDEX($B484:$D484,BH$5)="F",AND(BH$6&gt;0,$A484&lt;BH$6),AND(BH$7&gt;0,$A484&gt;BH$7)),0,MAX(0,ROUND((INDEX($E484:$G484,BH$5)-SUMIFS(TF_Timer,TF_Tekniker,BH$4,TF_Dato,$A484))*2,0)/2)))</f>
        <v/>
      </c>
      <c r="BI484">
        <f>IF(OR(BI$4="",$A484&gt;TODAY()),0,IF(OR(INDEX($B484:$D484,BI$5)="F",AND(BI$6&gt;0,$A484&lt;BI$6),AND(BI$7&gt;0,$A484&gt;BI$7)),0,MAX(0,ROUND((INDEX($E484:$G484,BI$5)-SUMIFS(TF_Timer,TF_Tekniker,BI$4,TF_Dato,$A484))*2,0)/2)))</f>
        <v/>
      </c>
    </row>
    <row r="485">
      <c r="A485" s="64">
        <f>A484+1</f>
        <v/>
      </c>
      <c r="B485">
        <f>IF(MOD($A485-INDEX(SkiftStart,1),Syklus)&lt;DagK,"K",IF(MOD($A485-INDEX(SkiftStart,1),Syklus)&lt;DagK+DagH,"H",IF(MOD($A485-INDEX(SkiftStart,1),Syklus)&lt;DagK+DagH+DagD,"D","F")))</f>
        <v/>
      </c>
      <c r="C485">
        <f>IF(MOD($A485-INDEX(SkiftStart,2),Syklus)&lt;DagK,"K",IF(MOD($A485-INDEX(SkiftStart,2),Syklus)&lt;DagK+DagH,"H",IF(MOD($A485-INDEX(SkiftStart,2),Syklus)&lt;DagK+DagH+DagD,"D","F")))</f>
        <v/>
      </c>
      <c r="D485">
        <f>IF(MOD($A485-INDEX(SkiftStart,3),Syklus)&lt;DagK,"K",IF(MOD($A485-INDEX(SkiftStart,3),Syklus)&lt;DagK+DagH,"H",IF(MOD($A485-INDEX(SkiftStart,3),Syklus)&lt;DagK+DagH+DagD,"D","F")))</f>
        <v/>
      </c>
      <c r="E485">
        <f>IF(B485="F",0,IF(WEEKDAY($A485,2)=5,INDEX(TimerFr,MATCH(B485,FaseKode,0)),INDEX(TimerMT,MATCH(B485,FaseKode,0))))</f>
        <v/>
      </c>
      <c r="F485">
        <f>IF(C485="F",0,IF(WEEKDAY($A485,2)=5,INDEX(TimerFr,MATCH(C485,FaseKode,0)),INDEX(TimerMT,MATCH(C485,FaseKode,0))))</f>
        <v/>
      </c>
      <c r="G485">
        <f>IF(D485="F",0,IF(WEEKDAY($A485,2)=5,INDEX(TimerFr,MATCH(D485,FaseKode,0)),INDEX(TimerMT,MATCH(D485,FaseKode,0))))</f>
        <v/>
      </c>
      <c r="H485">
        <f>IF(OR(H$4="",$A485&gt;TODAY()),0,IF(OR(INDEX($B485:$D485,H$5)="F",AND(H$6&gt;0,$A485&lt;H$6),AND(H$7&gt;0,$A485&gt;H$7)),0,MAX(0,ROUND((INDEX($E485:$G485,H$5)-SUMIFS(TF_Timer,TF_Tekniker,H$4,TF_Dato,$A485))*2,0)/2)))</f>
        <v/>
      </c>
      <c r="I485">
        <f>IF(OR(I$4="",$A485&gt;TODAY()),0,IF(OR(INDEX($B485:$D485,I$5)="F",AND(I$6&gt;0,$A485&lt;I$6),AND(I$7&gt;0,$A485&gt;I$7)),0,MAX(0,ROUND((INDEX($E485:$G485,I$5)-SUMIFS(TF_Timer,TF_Tekniker,I$4,TF_Dato,$A485))*2,0)/2)))</f>
        <v/>
      </c>
      <c r="J485">
        <f>IF(OR(J$4="",$A485&gt;TODAY()),0,IF(OR(INDEX($B485:$D485,J$5)="F",AND(J$6&gt;0,$A485&lt;J$6),AND(J$7&gt;0,$A485&gt;J$7)),0,MAX(0,ROUND((INDEX($E485:$G485,J$5)-SUMIFS(TF_Timer,TF_Tekniker,J$4,TF_Dato,$A485))*2,0)/2)))</f>
        <v/>
      </c>
      <c r="K485">
        <f>IF(OR(K$4="",$A485&gt;TODAY()),0,IF(OR(INDEX($B485:$D485,K$5)="F",AND(K$6&gt;0,$A485&lt;K$6),AND(K$7&gt;0,$A485&gt;K$7)),0,MAX(0,ROUND((INDEX($E485:$G485,K$5)-SUMIFS(TF_Timer,TF_Tekniker,K$4,TF_Dato,$A485))*2,0)/2)))</f>
        <v/>
      </c>
      <c r="L485">
        <f>IF(OR(L$4="",$A485&gt;TODAY()),0,IF(OR(INDEX($B485:$D485,L$5)="F",AND(L$6&gt;0,$A485&lt;L$6),AND(L$7&gt;0,$A485&gt;L$7)),0,MAX(0,ROUND((INDEX($E485:$G485,L$5)-SUMIFS(TF_Timer,TF_Tekniker,L$4,TF_Dato,$A485))*2,0)/2)))</f>
        <v/>
      </c>
      <c r="M485">
        <f>IF(OR(M$4="",$A485&gt;TODAY()),0,IF(OR(INDEX($B485:$D485,M$5)="F",AND(M$6&gt;0,$A485&lt;M$6),AND(M$7&gt;0,$A485&gt;M$7)),0,MAX(0,ROUND((INDEX($E485:$G485,M$5)-SUMIFS(TF_Timer,TF_Tekniker,M$4,TF_Dato,$A485))*2,0)/2)))</f>
        <v/>
      </c>
      <c r="N485">
        <f>IF(OR(N$4="",$A485&gt;TODAY()),0,IF(OR(INDEX($B485:$D485,N$5)="F",AND(N$6&gt;0,$A485&lt;N$6),AND(N$7&gt;0,$A485&gt;N$7)),0,MAX(0,ROUND((INDEX($E485:$G485,N$5)-SUMIFS(TF_Timer,TF_Tekniker,N$4,TF_Dato,$A485))*2,0)/2)))</f>
        <v/>
      </c>
      <c r="O485">
        <f>IF(OR(O$4="",$A485&gt;TODAY()),0,IF(OR(INDEX($B485:$D485,O$5)="F",AND(O$6&gt;0,$A485&lt;O$6),AND(O$7&gt;0,$A485&gt;O$7)),0,MAX(0,ROUND((INDEX($E485:$G485,O$5)-SUMIFS(TF_Timer,TF_Tekniker,O$4,TF_Dato,$A485))*2,0)/2)))</f>
        <v/>
      </c>
      <c r="P485">
        <f>IF(OR(P$4="",$A485&gt;TODAY()),0,IF(OR(INDEX($B485:$D485,P$5)="F",AND(P$6&gt;0,$A485&lt;P$6),AND(P$7&gt;0,$A485&gt;P$7)),0,MAX(0,ROUND((INDEX($E485:$G485,P$5)-SUMIFS(TF_Timer,TF_Tekniker,P$4,TF_Dato,$A485))*2,0)/2)))</f>
        <v/>
      </c>
      <c r="Q485">
        <f>IF(OR(Q$4="",$A485&gt;TODAY()),0,IF(OR(INDEX($B485:$D485,Q$5)="F",AND(Q$6&gt;0,$A485&lt;Q$6),AND(Q$7&gt;0,$A485&gt;Q$7)),0,MAX(0,ROUND((INDEX($E485:$G485,Q$5)-SUMIFS(TF_Timer,TF_Tekniker,Q$4,TF_Dato,$A485))*2,0)/2)))</f>
        <v/>
      </c>
      <c r="R485">
        <f>IF(OR(R$4="",$A485&gt;TODAY()),0,IF(OR(INDEX($B485:$D485,R$5)="F",AND(R$6&gt;0,$A485&lt;R$6),AND(R$7&gt;0,$A485&gt;R$7)),0,MAX(0,ROUND((INDEX($E485:$G485,R$5)-SUMIFS(TF_Timer,TF_Tekniker,R$4,TF_Dato,$A485))*2,0)/2)))</f>
        <v/>
      </c>
      <c r="S485">
        <f>IF(OR(S$4="",$A485&gt;TODAY()),0,IF(OR(INDEX($B485:$D485,S$5)="F",AND(S$6&gt;0,$A485&lt;S$6),AND(S$7&gt;0,$A485&gt;S$7)),0,MAX(0,ROUND((INDEX($E485:$G485,S$5)-SUMIFS(TF_Timer,TF_Tekniker,S$4,TF_Dato,$A485))*2,0)/2)))</f>
        <v/>
      </c>
      <c r="T485">
        <f>IF(OR(T$4="",$A485&gt;TODAY()),0,IF(OR(INDEX($B485:$D485,T$5)="F",AND(T$6&gt;0,$A485&lt;T$6),AND(T$7&gt;0,$A485&gt;T$7)),0,MAX(0,ROUND((INDEX($E485:$G485,T$5)-SUMIFS(TF_Timer,TF_Tekniker,T$4,TF_Dato,$A485))*2,0)/2)))</f>
        <v/>
      </c>
      <c r="U485">
        <f>IF(OR(U$4="",$A485&gt;TODAY()),0,IF(OR(INDEX($B485:$D485,U$5)="F",AND(U$6&gt;0,$A485&lt;U$6),AND(U$7&gt;0,$A485&gt;U$7)),0,MAX(0,ROUND((INDEX($E485:$G485,U$5)-SUMIFS(TF_Timer,TF_Tekniker,U$4,TF_Dato,$A485))*2,0)/2)))</f>
        <v/>
      </c>
      <c r="V485">
        <f>IF(OR(V$4="",$A485&gt;TODAY()),0,IF(OR(INDEX($B485:$D485,V$5)="F",AND(V$6&gt;0,$A485&lt;V$6),AND(V$7&gt;0,$A485&gt;V$7)),0,MAX(0,ROUND((INDEX($E485:$G485,V$5)-SUMIFS(TF_Timer,TF_Tekniker,V$4,TF_Dato,$A485))*2,0)/2)))</f>
        <v/>
      </c>
      <c r="W485">
        <f>IF(OR(W$4="",$A485&gt;TODAY()),0,IF(OR(INDEX($B485:$D485,W$5)="F",AND(W$6&gt;0,$A485&lt;W$6),AND(W$7&gt;0,$A485&gt;W$7)),0,MAX(0,ROUND((INDEX($E485:$G485,W$5)-SUMIFS(TF_Timer,TF_Tekniker,W$4,TF_Dato,$A485))*2,0)/2)))</f>
        <v/>
      </c>
      <c r="X485">
        <f>IF(OR(X$4="",$A485&gt;TODAY()),0,IF(OR(INDEX($B485:$D485,X$5)="F",AND(X$6&gt;0,$A485&lt;X$6),AND(X$7&gt;0,$A485&gt;X$7)),0,MAX(0,ROUND((INDEX($E485:$G485,X$5)-SUMIFS(TF_Timer,TF_Tekniker,X$4,TF_Dato,$A485))*2,0)/2)))</f>
        <v/>
      </c>
      <c r="Y485">
        <f>IF(OR(Y$4="",$A485&gt;TODAY()),0,IF(OR(INDEX($B485:$D485,Y$5)="F",AND(Y$6&gt;0,$A485&lt;Y$6),AND(Y$7&gt;0,$A485&gt;Y$7)),0,MAX(0,ROUND((INDEX($E485:$G485,Y$5)-SUMIFS(TF_Timer,TF_Tekniker,Y$4,TF_Dato,$A485))*2,0)/2)))</f>
        <v/>
      </c>
      <c r="Z485">
        <f>IF(OR(Z$4="",$A485&gt;TODAY()),0,IF(OR(INDEX($B485:$D485,Z$5)="F",AND(Z$6&gt;0,$A485&lt;Z$6),AND(Z$7&gt;0,$A485&gt;Z$7)),0,MAX(0,ROUND((INDEX($E485:$G485,Z$5)-SUMIFS(TF_Timer,TF_Tekniker,Z$4,TF_Dato,$A485))*2,0)/2)))</f>
        <v/>
      </c>
      <c r="AA485">
        <f>IF(OR(AA$4="",$A485&gt;TODAY()),0,IF(OR(INDEX($B485:$D485,AA$5)="F",AND(AA$6&gt;0,$A485&lt;AA$6),AND(AA$7&gt;0,$A485&gt;AA$7)),0,MAX(0,ROUND((INDEX($E485:$G485,AA$5)-SUMIFS(TF_Timer,TF_Tekniker,AA$4,TF_Dato,$A485))*2,0)/2)))</f>
        <v/>
      </c>
      <c r="AB485">
        <f>IF(OR(AB$4="",$A485&gt;TODAY()),0,IF(OR(INDEX($B485:$D485,AB$5)="F",AND(AB$6&gt;0,$A485&lt;AB$6),AND(AB$7&gt;0,$A485&gt;AB$7)),0,MAX(0,ROUND((INDEX($E485:$G485,AB$5)-SUMIFS(TF_Timer,TF_Tekniker,AB$4,TF_Dato,$A485))*2,0)/2)))</f>
        <v/>
      </c>
      <c r="AC485">
        <f>IF(OR(AC$4="",$A485&gt;TODAY()),0,IF(OR(INDEX($B485:$D485,AC$5)="F",AND(AC$6&gt;0,$A485&lt;AC$6),AND(AC$7&gt;0,$A485&gt;AC$7)),0,MAX(0,ROUND((INDEX($E485:$G485,AC$5)-SUMIFS(TF_Timer,TF_Tekniker,AC$4,TF_Dato,$A485))*2,0)/2)))</f>
        <v/>
      </c>
      <c r="AD485">
        <f>IF(OR(AD$4="",$A485&gt;TODAY()),0,IF(OR(INDEX($B485:$D485,AD$5)="F",AND(AD$6&gt;0,$A485&lt;AD$6),AND(AD$7&gt;0,$A485&gt;AD$7)),0,MAX(0,ROUND((INDEX($E485:$G485,AD$5)-SUMIFS(TF_Timer,TF_Tekniker,AD$4,TF_Dato,$A485))*2,0)/2)))</f>
        <v/>
      </c>
      <c r="AE485">
        <f>IF(OR(AE$4="",$A485&gt;TODAY()),0,IF(OR(INDEX($B485:$D485,AE$5)="F",AND(AE$6&gt;0,$A485&lt;AE$6),AND(AE$7&gt;0,$A485&gt;AE$7)),0,MAX(0,ROUND((INDEX($E485:$G485,AE$5)-SUMIFS(TF_Timer,TF_Tekniker,AE$4,TF_Dato,$A485))*2,0)/2)))</f>
        <v/>
      </c>
      <c r="AF485">
        <f>IF(OR(AF$4="",$A485&gt;TODAY()),0,IF(OR(INDEX($B485:$D485,AF$5)="F",AND(AF$6&gt;0,$A485&lt;AF$6),AND(AF$7&gt;0,$A485&gt;AF$7)),0,MAX(0,ROUND((INDEX($E485:$G485,AF$5)-SUMIFS(TF_Timer,TF_Tekniker,AF$4,TF_Dato,$A485))*2,0)/2)))</f>
        <v/>
      </c>
      <c r="AG485">
        <f>IF(OR(AG$4="",$A485&gt;TODAY()),0,IF(OR(INDEX($B485:$D485,AG$5)="F",AND(AG$6&gt;0,$A485&lt;AG$6),AND(AG$7&gt;0,$A485&gt;AG$7)),0,MAX(0,ROUND((INDEX($E485:$G485,AG$5)-SUMIFS(TF_Timer,TF_Tekniker,AG$4,TF_Dato,$A485))*2,0)/2)))</f>
        <v/>
      </c>
      <c r="AH485">
        <f>IF(OR(AH$4="",$A485&gt;TODAY()),0,IF(OR(INDEX($B485:$D485,AH$5)="F",AND(AH$6&gt;0,$A485&lt;AH$6),AND(AH$7&gt;0,$A485&gt;AH$7)),0,MAX(0,ROUND((INDEX($E485:$G485,AH$5)-SUMIFS(TF_Timer,TF_Tekniker,AH$4,TF_Dato,$A485))*2,0)/2)))</f>
        <v/>
      </c>
      <c r="AI485">
        <f>IF(OR(AI$4="",$A485&gt;TODAY()),0,IF(OR(INDEX($B485:$D485,AI$5)="F",AND(AI$6&gt;0,$A485&lt;AI$6),AND(AI$7&gt;0,$A485&gt;AI$7)),0,MAX(0,ROUND((INDEX($E485:$G485,AI$5)-SUMIFS(TF_Timer,TF_Tekniker,AI$4,TF_Dato,$A485))*2,0)/2)))</f>
        <v/>
      </c>
      <c r="AJ485">
        <f>IF(OR(AJ$4="",$A485&gt;TODAY()),0,IF(OR(INDEX($B485:$D485,AJ$5)="F",AND(AJ$6&gt;0,$A485&lt;AJ$6),AND(AJ$7&gt;0,$A485&gt;AJ$7)),0,MAX(0,ROUND((INDEX($E485:$G485,AJ$5)-SUMIFS(TF_Timer,TF_Tekniker,AJ$4,TF_Dato,$A485))*2,0)/2)))</f>
        <v/>
      </c>
      <c r="AK485">
        <f>IF(OR(AK$4="",$A485&gt;TODAY()),0,IF(OR(INDEX($B485:$D485,AK$5)="F",AND(AK$6&gt;0,$A485&lt;AK$6),AND(AK$7&gt;0,$A485&gt;AK$7)),0,MAX(0,ROUND((INDEX($E485:$G485,AK$5)-SUMIFS(TF_Timer,TF_Tekniker,AK$4,TF_Dato,$A485))*2,0)/2)))</f>
        <v/>
      </c>
      <c r="AL485">
        <f>IF(OR(AL$4="",$A485&gt;TODAY()),0,IF(OR(INDEX($B485:$D485,AL$5)="F",AND(AL$6&gt;0,$A485&lt;AL$6),AND(AL$7&gt;0,$A485&gt;AL$7)),0,MAX(0,ROUND((INDEX($E485:$G485,AL$5)-SUMIFS(TF_Timer,TF_Tekniker,AL$4,TF_Dato,$A485))*2,0)/2)))</f>
        <v/>
      </c>
      <c r="AM485">
        <f>IF(OR(AM$4="",$A485&gt;TODAY()),0,IF(OR(INDEX($B485:$D485,AM$5)="F",AND(AM$6&gt;0,$A485&lt;AM$6),AND(AM$7&gt;0,$A485&gt;AM$7)),0,MAX(0,ROUND((INDEX($E485:$G485,AM$5)-SUMIFS(TF_Timer,TF_Tekniker,AM$4,TF_Dato,$A485))*2,0)/2)))</f>
        <v/>
      </c>
      <c r="AN485">
        <f>IF(OR(AN$4="",$A485&gt;TODAY()),0,IF(OR(INDEX($B485:$D485,AN$5)="F",AND(AN$6&gt;0,$A485&lt;AN$6),AND(AN$7&gt;0,$A485&gt;AN$7)),0,MAX(0,ROUND((INDEX($E485:$G485,AN$5)-SUMIFS(TF_Timer,TF_Tekniker,AN$4,TF_Dato,$A485))*2,0)/2)))</f>
        <v/>
      </c>
      <c r="AO485">
        <f>IF(OR(AO$4="",$A485&gt;TODAY()),0,IF(OR(INDEX($B485:$D485,AO$5)="F",AND(AO$6&gt;0,$A485&lt;AO$6),AND(AO$7&gt;0,$A485&gt;AO$7)),0,MAX(0,ROUND((INDEX($E485:$G485,AO$5)-SUMIFS(TF_Timer,TF_Tekniker,AO$4,TF_Dato,$A485))*2,0)/2)))</f>
        <v/>
      </c>
      <c r="AP485">
        <f>IF(OR(AP$4="",$A485&gt;TODAY()),0,IF(OR(INDEX($B485:$D485,AP$5)="F",AND(AP$6&gt;0,$A485&lt;AP$6),AND(AP$7&gt;0,$A485&gt;AP$7)),0,MAX(0,ROUND((INDEX($E485:$G485,AP$5)-SUMIFS(TF_Timer,TF_Tekniker,AP$4,TF_Dato,$A485))*2,0)/2)))</f>
        <v/>
      </c>
      <c r="AQ485">
        <f>IF(OR(AQ$4="",$A485&gt;TODAY()),0,IF(OR(INDEX($B485:$D485,AQ$5)="F",AND(AQ$6&gt;0,$A485&lt;AQ$6),AND(AQ$7&gt;0,$A485&gt;AQ$7)),0,MAX(0,ROUND((INDEX($E485:$G485,AQ$5)-SUMIFS(TF_Timer,TF_Tekniker,AQ$4,TF_Dato,$A485))*2,0)/2)))</f>
        <v/>
      </c>
      <c r="AR485">
        <f>IF(OR(AR$4="",$A485&gt;TODAY()),0,IF(OR(INDEX($B485:$D485,AR$5)="F",AND(AR$6&gt;0,$A485&lt;AR$6),AND(AR$7&gt;0,$A485&gt;AR$7)),0,MAX(0,ROUND((INDEX($E485:$G485,AR$5)-SUMIFS(TF_Timer,TF_Tekniker,AR$4,TF_Dato,$A485))*2,0)/2)))</f>
        <v/>
      </c>
      <c r="AS485">
        <f>IF(OR(AS$4="",$A485&gt;TODAY()),0,IF(OR(INDEX($B485:$D485,AS$5)="F",AND(AS$6&gt;0,$A485&lt;AS$6),AND(AS$7&gt;0,$A485&gt;AS$7)),0,MAX(0,ROUND((INDEX($E485:$G485,AS$5)-SUMIFS(TF_Timer,TF_Tekniker,AS$4,TF_Dato,$A485))*2,0)/2)))</f>
        <v/>
      </c>
      <c r="AT485">
        <f>IF(OR(AT$4="",$A485&gt;TODAY()),0,IF(OR(INDEX($B485:$D485,AT$5)="F",AND(AT$6&gt;0,$A485&lt;AT$6),AND(AT$7&gt;0,$A485&gt;AT$7)),0,MAX(0,ROUND((INDEX($E485:$G485,AT$5)-SUMIFS(TF_Timer,TF_Tekniker,AT$4,TF_Dato,$A485))*2,0)/2)))</f>
        <v/>
      </c>
      <c r="AU485">
        <f>IF(OR(AU$4="",$A485&gt;TODAY()),0,IF(OR(INDEX($B485:$D485,AU$5)="F",AND(AU$6&gt;0,$A485&lt;AU$6),AND(AU$7&gt;0,$A485&gt;AU$7)),0,MAX(0,ROUND((INDEX($E485:$G485,AU$5)-SUMIFS(TF_Timer,TF_Tekniker,AU$4,TF_Dato,$A485))*2,0)/2)))</f>
        <v/>
      </c>
      <c r="AV485">
        <f>IF(OR(AV$4="",$A485&gt;TODAY()),0,IF(OR(INDEX($B485:$D485,AV$5)="F",AND(AV$6&gt;0,$A485&lt;AV$6),AND(AV$7&gt;0,$A485&gt;AV$7)),0,MAX(0,ROUND((INDEX($E485:$G485,AV$5)-SUMIFS(TF_Timer,TF_Tekniker,AV$4,TF_Dato,$A485))*2,0)/2)))</f>
        <v/>
      </c>
      <c r="AW485">
        <f>IF(OR(AW$4="",$A485&gt;TODAY()),0,IF(OR(INDEX($B485:$D485,AW$5)="F",AND(AW$6&gt;0,$A485&lt;AW$6),AND(AW$7&gt;0,$A485&gt;AW$7)),0,MAX(0,ROUND((INDEX($E485:$G485,AW$5)-SUMIFS(TF_Timer,TF_Tekniker,AW$4,TF_Dato,$A485))*2,0)/2)))</f>
        <v/>
      </c>
      <c r="AX485">
        <f>IF(OR(AX$4="",$A485&gt;TODAY()),0,IF(OR(INDEX($B485:$D485,AX$5)="F",AND(AX$6&gt;0,$A485&lt;AX$6),AND(AX$7&gt;0,$A485&gt;AX$7)),0,MAX(0,ROUND((INDEX($E485:$G485,AX$5)-SUMIFS(TF_Timer,TF_Tekniker,AX$4,TF_Dato,$A485))*2,0)/2)))</f>
        <v/>
      </c>
      <c r="AY485">
        <f>IF(OR(AY$4="",$A485&gt;TODAY()),0,IF(OR(INDEX($B485:$D485,AY$5)="F",AND(AY$6&gt;0,$A485&lt;AY$6),AND(AY$7&gt;0,$A485&gt;AY$7)),0,MAX(0,ROUND((INDEX($E485:$G485,AY$5)-SUMIFS(TF_Timer,TF_Tekniker,AY$4,TF_Dato,$A485))*2,0)/2)))</f>
        <v/>
      </c>
      <c r="AZ485">
        <f>IF(OR(AZ$4="",$A485&gt;TODAY()),0,IF(OR(INDEX($B485:$D485,AZ$5)="F",AND(AZ$6&gt;0,$A485&lt;AZ$6),AND(AZ$7&gt;0,$A485&gt;AZ$7)),0,MAX(0,ROUND((INDEX($E485:$G485,AZ$5)-SUMIFS(TF_Timer,TF_Tekniker,AZ$4,TF_Dato,$A485))*2,0)/2)))</f>
        <v/>
      </c>
      <c r="BA485">
        <f>IF(OR(BA$4="",$A485&gt;TODAY()),0,IF(OR(INDEX($B485:$D485,BA$5)="F",AND(BA$6&gt;0,$A485&lt;BA$6),AND(BA$7&gt;0,$A485&gt;BA$7)),0,MAX(0,ROUND((INDEX($E485:$G485,BA$5)-SUMIFS(TF_Timer,TF_Tekniker,BA$4,TF_Dato,$A485))*2,0)/2)))</f>
        <v/>
      </c>
      <c r="BB485">
        <f>IF(OR(BB$4="",$A485&gt;TODAY()),0,IF(OR(INDEX($B485:$D485,BB$5)="F",AND(BB$6&gt;0,$A485&lt;BB$6),AND(BB$7&gt;0,$A485&gt;BB$7)),0,MAX(0,ROUND((INDEX($E485:$G485,BB$5)-SUMIFS(TF_Timer,TF_Tekniker,BB$4,TF_Dato,$A485))*2,0)/2)))</f>
        <v/>
      </c>
      <c r="BC485">
        <f>IF(OR(BC$4="",$A485&gt;TODAY()),0,IF(OR(INDEX($B485:$D485,BC$5)="F",AND(BC$6&gt;0,$A485&lt;BC$6),AND(BC$7&gt;0,$A485&gt;BC$7)),0,MAX(0,ROUND((INDEX($E485:$G485,BC$5)-SUMIFS(TF_Timer,TF_Tekniker,BC$4,TF_Dato,$A485))*2,0)/2)))</f>
        <v/>
      </c>
      <c r="BD485">
        <f>IF(OR(BD$4="",$A485&gt;TODAY()),0,IF(OR(INDEX($B485:$D485,BD$5)="F",AND(BD$6&gt;0,$A485&lt;BD$6),AND(BD$7&gt;0,$A485&gt;BD$7)),0,MAX(0,ROUND((INDEX($E485:$G485,BD$5)-SUMIFS(TF_Timer,TF_Tekniker,BD$4,TF_Dato,$A485))*2,0)/2)))</f>
        <v/>
      </c>
      <c r="BE485">
        <f>IF(OR(BE$4="",$A485&gt;TODAY()),0,IF(OR(INDEX($B485:$D485,BE$5)="F",AND(BE$6&gt;0,$A485&lt;BE$6),AND(BE$7&gt;0,$A485&gt;BE$7)),0,MAX(0,ROUND((INDEX($E485:$G485,BE$5)-SUMIFS(TF_Timer,TF_Tekniker,BE$4,TF_Dato,$A485))*2,0)/2)))</f>
        <v/>
      </c>
      <c r="BF485">
        <f>IF(OR(BF$4="",$A485&gt;TODAY()),0,IF(OR(INDEX($B485:$D485,BF$5)="F",AND(BF$6&gt;0,$A485&lt;BF$6),AND(BF$7&gt;0,$A485&gt;BF$7)),0,MAX(0,ROUND((INDEX($E485:$G485,BF$5)-SUMIFS(TF_Timer,TF_Tekniker,BF$4,TF_Dato,$A485))*2,0)/2)))</f>
        <v/>
      </c>
      <c r="BG485">
        <f>IF(OR(BG$4="",$A485&gt;TODAY()),0,IF(OR(INDEX($B485:$D485,BG$5)="F",AND(BG$6&gt;0,$A485&lt;BG$6),AND(BG$7&gt;0,$A485&gt;BG$7)),0,MAX(0,ROUND((INDEX($E485:$G485,BG$5)-SUMIFS(TF_Timer,TF_Tekniker,BG$4,TF_Dato,$A485))*2,0)/2)))</f>
        <v/>
      </c>
      <c r="BH485">
        <f>IF(OR(BH$4="",$A485&gt;TODAY()),0,IF(OR(INDEX($B485:$D485,BH$5)="F",AND(BH$6&gt;0,$A485&lt;BH$6),AND(BH$7&gt;0,$A485&gt;BH$7)),0,MAX(0,ROUND((INDEX($E485:$G485,BH$5)-SUMIFS(TF_Timer,TF_Tekniker,BH$4,TF_Dato,$A485))*2,0)/2)))</f>
        <v/>
      </c>
      <c r="BI485">
        <f>IF(OR(BI$4="",$A485&gt;TODAY()),0,IF(OR(INDEX($B485:$D485,BI$5)="F",AND(BI$6&gt;0,$A485&lt;BI$6),AND(BI$7&gt;0,$A485&gt;BI$7)),0,MAX(0,ROUND((INDEX($E485:$G485,BI$5)-SUMIFS(TF_Timer,TF_Tekniker,BI$4,TF_Dato,$A485))*2,0)/2)))</f>
        <v/>
      </c>
    </row>
    <row r="486">
      <c r="A486" s="64">
        <f>A485+1</f>
        <v/>
      </c>
      <c r="B486">
        <f>IF(MOD($A486-INDEX(SkiftStart,1),Syklus)&lt;DagK,"K",IF(MOD($A486-INDEX(SkiftStart,1),Syklus)&lt;DagK+DagH,"H",IF(MOD($A486-INDEX(SkiftStart,1),Syklus)&lt;DagK+DagH+DagD,"D","F")))</f>
        <v/>
      </c>
      <c r="C486">
        <f>IF(MOD($A486-INDEX(SkiftStart,2),Syklus)&lt;DagK,"K",IF(MOD($A486-INDEX(SkiftStart,2),Syklus)&lt;DagK+DagH,"H",IF(MOD($A486-INDEX(SkiftStart,2),Syklus)&lt;DagK+DagH+DagD,"D","F")))</f>
        <v/>
      </c>
      <c r="D486">
        <f>IF(MOD($A486-INDEX(SkiftStart,3),Syklus)&lt;DagK,"K",IF(MOD($A486-INDEX(SkiftStart,3),Syklus)&lt;DagK+DagH,"H",IF(MOD($A486-INDEX(SkiftStart,3),Syklus)&lt;DagK+DagH+DagD,"D","F")))</f>
        <v/>
      </c>
      <c r="E486">
        <f>IF(B486="F",0,IF(WEEKDAY($A486,2)=5,INDEX(TimerFr,MATCH(B486,FaseKode,0)),INDEX(TimerMT,MATCH(B486,FaseKode,0))))</f>
        <v/>
      </c>
      <c r="F486">
        <f>IF(C486="F",0,IF(WEEKDAY($A486,2)=5,INDEX(TimerFr,MATCH(C486,FaseKode,0)),INDEX(TimerMT,MATCH(C486,FaseKode,0))))</f>
        <v/>
      </c>
      <c r="G486">
        <f>IF(D486="F",0,IF(WEEKDAY($A486,2)=5,INDEX(TimerFr,MATCH(D486,FaseKode,0)),INDEX(TimerMT,MATCH(D486,FaseKode,0))))</f>
        <v/>
      </c>
      <c r="H486">
        <f>IF(OR(H$4="",$A486&gt;TODAY()),0,IF(OR(INDEX($B486:$D486,H$5)="F",AND(H$6&gt;0,$A486&lt;H$6),AND(H$7&gt;0,$A486&gt;H$7)),0,MAX(0,ROUND((INDEX($E486:$G486,H$5)-SUMIFS(TF_Timer,TF_Tekniker,H$4,TF_Dato,$A486))*2,0)/2)))</f>
        <v/>
      </c>
      <c r="I486">
        <f>IF(OR(I$4="",$A486&gt;TODAY()),0,IF(OR(INDEX($B486:$D486,I$5)="F",AND(I$6&gt;0,$A486&lt;I$6),AND(I$7&gt;0,$A486&gt;I$7)),0,MAX(0,ROUND((INDEX($E486:$G486,I$5)-SUMIFS(TF_Timer,TF_Tekniker,I$4,TF_Dato,$A486))*2,0)/2)))</f>
        <v/>
      </c>
      <c r="J486">
        <f>IF(OR(J$4="",$A486&gt;TODAY()),0,IF(OR(INDEX($B486:$D486,J$5)="F",AND(J$6&gt;0,$A486&lt;J$6),AND(J$7&gt;0,$A486&gt;J$7)),0,MAX(0,ROUND((INDEX($E486:$G486,J$5)-SUMIFS(TF_Timer,TF_Tekniker,J$4,TF_Dato,$A486))*2,0)/2)))</f>
        <v/>
      </c>
      <c r="K486">
        <f>IF(OR(K$4="",$A486&gt;TODAY()),0,IF(OR(INDEX($B486:$D486,K$5)="F",AND(K$6&gt;0,$A486&lt;K$6),AND(K$7&gt;0,$A486&gt;K$7)),0,MAX(0,ROUND((INDEX($E486:$G486,K$5)-SUMIFS(TF_Timer,TF_Tekniker,K$4,TF_Dato,$A486))*2,0)/2)))</f>
        <v/>
      </c>
      <c r="L486">
        <f>IF(OR(L$4="",$A486&gt;TODAY()),0,IF(OR(INDEX($B486:$D486,L$5)="F",AND(L$6&gt;0,$A486&lt;L$6),AND(L$7&gt;0,$A486&gt;L$7)),0,MAX(0,ROUND((INDEX($E486:$G486,L$5)-SUMIFS(TF_Timer,TF_Tekniker,L$4,TF_Dato,$A486))*2,0)/2)))</f>
        <v/>
      </c>
      <c r="M486">
        <f>IF(OR(M$4="",$A486&gt;TODAY()),0,IF(OR(INDEX($B486:$D486,M$5)="F",AND(M$6&gt;0,$A486&lt;M$6),AND(M$7&gt;0,$A486&gt;M$7)),0,MAX(0,ROUND((INDEX($E486:$G486,M$5)-SUMIFS(TF_Timer,TF_Tekniker,M$4,TF_Dato,$A486))*2,0)/2)))</f>
        <v/>
      </c>
      <c r="N486">
        <f>IF(OR(N$4="",$A486&gt;TODAY()),0,IF(OR(INDEX($B486:$D486,N$5)="F",AND(N$6&gt;0,$A486&lt;N$6),AND(N$7&gt;0,$A486&gt;N$7)),0,MAX(0,ROUND((INDEX($E486:$G486,N$5)-SUMIFS(TF_Timer,TF_Tekniker,N$4,TF_Dato,$A486))*2,0)/2)))</f>
        <v/>
      </c>
      <c r="O486">
        <f>IF(OR(O$4="",$A486&gt;TODAY()),0,IF(OR(INDEX($B486:$D486,O$5)="F",AND(O$6&gt;0,$A486&lt;O$6),AND(O$7&gt;0,$A486&gt;O$7)),0,MAX(0,ROUND((INDEX($E486:$G486,O$5)-SUMIFS(TF_Timer,TF_Tekniker,O$4,TF_Dato,$A486))*2,0)/2)))</f>
        <v/>
      </c>
      <c r="P486">
        <f>IF(OR(P$4="",$A486&gt;TODAY()),0,IF(OR(INDEX($B486:$D486,P$5)="F",AND(P$6&gt;0,$A486&lt;P$6),AND(P$7&gt;0,$A486&gt;P$7)),0,MAX(0,ROUND((INDEX($E486:$G486,P$5)-SUMIFS(TF_Timer,TF_Tekniker,P$4,TF_Dato,$A486))*2,0)/2)))</f>
        <v/>
      </c>
      <c r="Q486">
        <f>IF(OR(Q$4="",$A486&gt;TODAY()),0,IF(OR(INDEX($B486:$D486,Q$5)="F",AND(Q$6&gt;0,$A486&lt;Q$6),AND(Q$7&gt;0,$A486&gt;Q$7)),0,MAX(0,ROUND((INDEX($E486:$G486,Q$5)-SUMIFS(TF_Timer,TF_Tekniker,Q$4,TF_Dato,$A486))*2,0)/2)))</f>
        <v/>
      </c>
      <c r="R486">
        <f>IF(OR(R$4="",$A486&gt;TODAY()),0,IF(OR(INDEX($B486:$D486,R$5)="F",AND(R$6&gt;0,$A486&lt;R$6),AND(R$7&gt;0,$A486&gt;R$7)),0,MAX(0,ROUND((INDEX($E486:$G486,R$5)-SUMIFS(TF_Timer,TF_Tekniker,R$4,TF_Dato,$A486))*2,0)/2)))</f>
        <v/>
      </c>
      <c r="S486">
        <f>IF(OR(S$4="",$A486&gt;TODAY()),0,IF(OR(INDEX($B486:$D486,S$5)="F",AND(S$6&gt;0,$A486&lt;S$6),AND(S$7&gt;0,$A486&gt;S$7)),0,MAX(0,ROUND((INDEX($E486:$G486,S$5)-SUMIFS(TF_Timer,TF_Tekniker,S$4,TF_Dato,$A486))*2,0)/2)))</f>
        <v/>
      </c>
      <c r="T486">
        <f>IF(OR(T$4="",$A486&gt;TODAY()),0,IF(OR(INDEX($B486:$D486,T$5)="F",AND(T$6&gt;0,$A486&lt;T$6),AND(T$7&gt;0,$A486&gt;T$7)),0,MAX(0,ROUND((INDEX($E486:$G486,T$5)-SUMIFS(TF_Timer,TF_Tekniker,T$4,TF_Dato,$A486))*2,0)/2)))</f>
        <v/>
      </c>
      <c r="U486">
        <f>IF(OR(U$4="",$A486&gt;TODAY()),0,IF(OR(INDEX($B486:$D486,U$5)="F",AND(U$6&gt;0,$A486&lt;U$6),AND(U$7&gt;0,$A486&gt;U$7)),0,MAX(0,ROUND((INDEX($E486:$G486,U$5)-SUMIFS(TF_Timer,TF_Tekniker,U$4,TF_Dato,$A486))*2,0)/2)))</f>
        <v/>
      </c>
      <c r="V486">
        <f>IF(OR(V$4="",$A486&gt;TODAY()),0,IF(OR(INDEX($B486:$D486,V$5)="F",AND(V$6&gt;0,$A486&lt;V$6),AND(V$7&gt;0,$A486&gt;V$7)),0,MAX(0,ROUND((INDEX($E486:$G486,V$5)-SUMIFS(TF_Timer,TF_Tekniker,V$4,TF_Dato,$A486))*2,0)/2)))</f>
        <v/>
      </c>
      <c r="W486">
        <f>IF(OR(W$4="",$A486&gt;TODAY()),0,IF(OR(INDEX($B486:$D486,W$5)="F",AND(W$6&gt;0,$A486&lt;W$6),AND(W$7&gt;0,$A486&gt;W$7)),0,MAX(0,ROUND((INDEX($E486:$G486,W$5)-SUMIFS(TF_Timer,TF_Tekniker,W$4,TF_Dato,$A486))*2,0)/2)))</f>
        <v/>
      </c>
      <c r="X486">
        <f>IF(OR(X$4="",$A486&gt;TODAY()),0,IF(OR(INDEX($B486:$D486,X$5)="F",AND(X$6&gt;0,$A486&lt;X$6),AND(X$7&gt;0,$A486&gt;X$7)),0,MAX(0,ROUND((INDEX($E486:$G486,X$5)-SUMIFS(TF_Timer,TF_Tekniker,X$4,TF_Dato,$A486))*2,0)/2)))</f>
        <v/>
      </c>
      <c r="Y486">
        <f>IF(OR(Y$4="",$A486&gt;TODAY()),0,IF(OR(INDEX($B486:$D486,Y$5)="F",AND(Y$6&gt;0,$A486&lt;Y$6),AND(Y$7&gt;0,$A486&gt;Y$7)),0,MAX(0,ROUND((INDEX($E486:$G486,Y$5)-SUMIFS(TF_Timer,TF_Tekniker,Y$4,TF_Dato,$A486))*2,0)/2)))</f>
        <v/>
      </c>
      <c r="Z486">
        <f>IF(OR(Z$4="",$A486&gt;TODAY()),0,IF(OR(INDEX($B486:$D486,Z$5)="F",AND(Z$6&gt;0,$A486&lt;Z$6),AND(Z$7&gt;0,$A486&gt;Z$7)),0,MAX(0,ROUND((INDEX($E486:$G486,Z$5)-SUMIFS(TF_Timer,TF_Tekniker,Z$4,TF_Dato,$A486))*2,0)/2)))</f>
        <v/>
      </c>
      <c r="AA486">
        <f>IF(OR(AA$4="",$A486&gt;TODAY()),0,IF(OR(INDEX($B486:$D486,AA$5)="F",AND(AA$6&gt;0,$A486&lt;AA$6),AND(AA$7&gt;0,$A486&gt;AA$7)),0,MAX(0,ROUND((INDEX($E486:$G486,AA$5)-SUMIFS(TF_Timer,TF_Tekniker,AA$4,TF_Dato,$A486))*2,0)/2)))</f>
        <v/>
      </c>
      <c r="AB486">
        <f>IF(OR(AB$4="",$A486&gt;TODAY()),0,IF(OR(INDEX($B486:$D486,AB$5)="F",AND(AB$6&gt;0,$A486&lt;AB$6),AND(AB$7&gt;0,$A486&gt;AB$7)),0,MAX(0,ROUND((INDEX($E486:$G486,AB$5)-SUMIFS(TF_Timer,TF_Tekniker,AB$4,TF_Dato,$A486))*2,0)/2)))</f>
        <v/>
      </c>
      <c r="AC486">
        <f>IF(OR(AC$4="",$A486&gt;TODAY()),0,IF(OR(INDEX($B486:$D486,AC$5)="F",AND(AC$6&gt;0,$A486&lt;AC$6),AND(AC$7&gt;0,$A486&gt;AC$7)),0,MAX(0,ROUND((INDEX($E486:$G486,AC$5)-SUMIFS(TF_Timer,TF_Tekniker,AC$4,TF_Dato,$A486))*2,0)/2)))</f>
        <v/>
      </c>
      <c r="AD486">
        <f>IF(OR(AD$4="",$A486&gt;TODAY()),0,IF(OR(INDEX($B486:$D486,AD$5)="F",AND(AD$6&gt;0,$A486&lt;AD$6),AND(AD$7&gt;0,$A486&gt;AD$7)),0,MAX(0,ROUND((INDEX($E486:$G486,AD$5)-SUMIFS(TF_Timer,TF_Tekniker,AD$4,TF_Dato,$A486))*2,0)/2)))</f>
        <v/>
      </c>
      <c r="AE486">
        <f>IF(OR(AE$4="",$A486&gt;TODAY()),0,IF(OR(INDEX($B486:$D486,AE$5)="F",AND(AE$6&gt;0,$A486&lt;AE$6),AND(AE$7&gt;0,$A486&gt;AE$7)),0,MAX(0,ROUND((INDEX($E486:$G486,AE$5)-SUMIFS(TF_Timer,TF_Tekniker,AE$4,TF_Dato,$A486))*2,0)/2)))</f>
        <v/>
      </c>
      <c r="AF486">
        <f>IF(OR(AF$4="",$A486&gt;TODAY()),0,IF(OR(INDEX($B486:$D486,AF$5)="F",AND(AF$6&gt;0,$A486&lt;AF$6),AND(AF$7&gt;0,$A486&gt;AF$7)),0,MAX(0,ROUND((INDEX($E486:$G486,AF$5)-SUMIFS(TF_Timer,TF_Tekniker,AF$4,TF_Dato,$A486))*2,0)/2)))</f>
        <v/>
      </c>
      <c r="AG486">
        <f>IF(OR(AG$4="",$A486&gt;TODAY()),0,IF(OR(INDEX($B486:$D486,AG$5)="F",AND(AG$6&gt;0,$A486&lt;AG$6),AND(AG$7&gt;0,$A486&gt;AG$7)),0,MAX(0,ROUND((INDEX($E486:$G486,AG$5)-SUMIFS(TF_Timer,TF_Tekniker,AG$4,TF_Dato,$A486))*2,0)/2)))</f>
        <v/>
      </c>
      <c r="AH486">
        <f>IF(OR(AH$4="",$A486&gt;TODAY()),0,IF(OR(INDEX($B486:$D486,AH$5)="F",AND(AH$6&gt;0,$A486&lt;AH$6),AND(AH$7&gt;0,$A486&gt;AH$7)),0,MAX(0,ROUND((INDEX($E486:$G486,AH$5)-SUMIFS(TF_Timer,TF_Tekniker,AH$4,TF_Dato,$A486))*2,0)/2)))</f>
        <v/>
      </c>
      <c r="AI486">
        <f>IF(OR(AI$4="",$A486&gt;TODAY()),0,IF(OR(INDEX($B486:$D486,AI$5)="F",AND(AI$6&gt;0,$A486&lt;AI$6),AND(AI$7&gt;0,$A486&gt;AI$7)),0,MAX(0,ROUND((INDEX($E486:$G486,AI$5)-SUMIFS(TF_Timer,TF_Tekniker,AI$4,TF_Dato,$A486))*2,0)/2)))</f>
        <v/>
      </c>
      <c r="AJ486">
        <f>IF(OR(AJ$4="",$A486&gt;TODAY()),0,IF(OR(INDEX($B486:$D486,AJ$5)="F",AND(AJ$6&gt;0,$A486&lt;AJ$6),AND(AJ$7&gt;0,$A486&gt;AJ$7)),0,MAX(0,ROUND((INDEX($E486:$G486,AJ$5)-SUMIFS(TF_Timer,TF_Tekniker,AJ$4,TF_Dato,$A486))*2,0)/2)))</f>
        <v/>
      </c>
      <c r="AK486">
        <f>IF(OR(AK$4="",$A486&gt;TODAY()),0,IF(OR(INDEX($B486:$D486,AK$5)="F",AND(AK$6&gt;0,$A486&lt;AK$6),AND(AK$7&gt;0,$A486&gt;AK$7)),0,MAX(0,ROUND((INDEX($E486:$G486,AK$5)-SUMIFS(TF_Timer,TF_Tekniker,AK$4,TF_Dato,$A486))*2,0)/2)))</f>
        <v/>
      </c>
      <c r="AL486">
        <f>IF(OR(AL$4="",$A486&gt;TODAY()),0,IF(OR(INDEX($B486:$D486,AL$5)="F",AND(AL$6&gt;0,$A486&lt;AL$6),AND(AL$7&gt;0,$A486&gt;AL$7)),0,MAX(0,ROUND((INDEX($E486:$G486,AL$5)-SUMIFS(TF_Timer,TF_Tekniker,AL$4,TF_Dato,$A486))*2,0)/2)))</f>
        <v/>
      </c>
      <c r="AM486">
        <f>IF(OR(AM$4="",$A486&gt;TODAY()),0,IF(OR(INDEX($B486:$D486,AM$5)="F",AND(AM$6&gt;0,$A486&lt;AM$6),AND(AM$7&gt;0,$A486&gt;AM$7)),0,MAX(0,ROUND((INDEX($E486:$G486,AM$5)-SUMIFS(TF_Timer,TF_Tekniker,AM$4,TF_Dato,$A486))*2,0)/2)))</f>
        <v/>
      </c>
      <c r="AN486">
        <f>IF(OR(AN$4="",$A486&gt;TODAY()),0,IF(OR(INDEX($B486:$D486,AN$5)="F",AND(AN$6&gt;0,$A486&lt;AN$6),AND(AN$7&gt;0,$A486&gt;AN$7)),0,MAX(0,ROUND((INDEX($E486:$G486,AN$5)-SUMIFS(TF_Timer,TF_Tekniker,AN$4,TF_Dato,$A486))*2,0)/2)))</f>
        <v/>
      </c>
      <c r="AO486">
        <f>IF(OR(AO$4="",$A486&gt;TODAY()),0,IF(OR(INDEX($B486:$D486,AO$5)="F",AND(AO$6&gt;0,$A486&lt;AO$6),AND(AO$7&gt;0,$A486&gt;AO$7)),0,MAX(0,ROUND((INDEX($E486:$G486,AO$5)-SUMIFS(TF_Timer,TF_Tekniker,AO$4,TF_Dato,$A486))*2,0)/2)))</f>
        <v/>
      </c>
      <c r="AP486">
        <f>IF(OR(AP$4="",$A486&gt;TODAY()),0,IF(OR(INDEX($B486:$D486,AP$5)="F",AND(AP$6&gt;0,$A486&lt;AP$6),AND(AP$7&gt;0,$A486&gt;AP$7)),0,MAX(0,ROUND((INDEX($E486:$G486,AP$5)-SUMIFS(TF_Timer,TF_Tekniker,AP$4,TF_Dato,$A486))*2,0)/2)))</f>
        <v/>
      </c>
      <c r="AQ486">
        <f>IF(OR(AQ$4="",$A486&gt;TODAY()),0,IF(OR(INDEX($B486:$D486,AQ$5)="F",AND(AQ$6&gt;0,$A486&lt;AQ$6),AND(AQ$7&gt;0,$A486&gt;AQ$7)),0,MAX(0,ROUND((INDEX($E486:$G486,AQ$5)-SUMIFS(TF_Timer,TF_Tekniker,AQ$4,TF_Dato,$A486))*2,0)/2)))</f>
        <v/>
      </c>
      <c r="AR486">
        <f>IF(OR(AR$4="",$A486&gt;TODAY()),0,IF(OR(INDEX($B486:$D486,AR$5)="F",AND(AR$6&gt;0,$A486&lt;AR$6),AND(AR$7&gt;0,$A486&gt;AR$7)),0,MAX(0,ROUND((INDEX($E486:$G486,AR$5)-SUMIFS(TF_Timer,TF_Tekniker,AR$4,TF_Dato,$A486))*2,0)/2)))</f>
        <v/>
      </c>
      <c r="AS486">
        <f>IF(OR(AS$4="",$A486&gt;TODAY()),0,IF(OR(INDEX($B486:$D486,AS$5)="F",AND(AS$6&gt;0,$A486&lt;AS$6),AND(AS$7&gt;0,$A486&gt;AS$7)),0,MAX(0,ROUND((INDEX($E486:$G486,AS$5)-SUMIFS(TF_Timer,TF_Tekniker,AS$4,TF_Dato,$A486))*2,0)/2)))</f>
        <v/>
      </c>
      <c r="AT486">
        <f>IF(OR(AT$4="",$A486&gt;TODAY()),0,IF(OR(INDEX($B486:$D486,AT$5)="F",AND(AT$6&gt;0,$A486&lt;AT$6),AND(AT$7&gt;0,$A486&gt;AT$7)),0,MAX(0,ROUND((INDEX($E486:$G486,AT$5)-SUMIFS(TF_Timer,TF_Tekniker,AT$4,TF_Dato,$A486))*2,0)/2)))</f>
        <v/>
      </c>
      <c r="AU486">
        <f>IF(OR(AU$4="",$A486&gt;TODAY()),0,IF(OR(INDEX($B486:$D486,AU$5)="F",AND(AU$6&gt;0,$A486&lt;AU$6),AND(AU$7&gt;0,$A486&gt;AU$7)),0,MAX(0,ROUND((INDEX($E486:$G486,AU$5)-SUMIFS(TF_Timer,TF_Tekniker,AU$4,TF_Dato,$A486))*2,0)/2)))</f>
        <v/>
      </c>
      <c r="AV486">
        <f>IF(OR(AV$4="",$A486&gt;TODAY()),0,IF(OR(INDEX($B486:$D486,AV$5)="F",AND(AV$6&gt;0,$A486&lt;AV$6),AND(AV$7&gt;0,$A486&gt;AV$7)),0,MAX(0,ROUND((INDEX($E486:$G486,AV$5)-SUMIFS(TF_Timer,TF_Tekniker,AV$4,TF_Dato,$A486))*2,0)/2)))</f>
        <v/>
      </c>
      <c r="AW486">
        <f>IF(OR(AW$4="",$A486&gt;TODAY()),0,IF(OR(INDEX($B486:$D486,AW$5)="F",AND(AW$6&gt;0,$A486&lt;AW$6),AND(AW$7&gt;0,$A486&gt;AW$7)),0,MAX(0,ROUND((INDEX($E486:$G486,AW$5)-SUMIFS(TF_Timer,TF_Tekniker,AW$4,TF_Dato,$A486))*2,0)/2)))</f>
        <v/>
      </c>
      <c r="AX486">
        <f>IF(OR(AX$4="",$A486&gt;TODAY()),0,IF(OR(INDEX($B486:$D486,AX$5)="F",AND(AX$6&gt;0,$A486&lt;AX$6),AND(AX$7&gt;0,$A486&gt;AX$7)),0,MAX(0,ROUND((INDEX($E486:$G486,AX$5)-SUMIFS(TF_Timer,TF_Tekniker,AX$4,TF_Dato,$A486))*2,0)/2)))</f>
        <v/>
      </c>
      <c r="AY486">
        <f>IF(OR(AY$4="",$A486&gt;TODAY()),0,IF(OR(INDEX($B486:$D486,AY$5)="F",AND(AY$6&gt;0,$A486&lt;AY$6),AND(AY$7&gt;0,$A486&gt;AY$7)),0,MAX(0,ROUND((INDEX($E486:$G486,AY$5)-SUMIFS(TF_Timer,TF_Tekniker,AY$4,TF_Dato,$A486))*2,0)/2)))</f>
        <v/>
      </c>
      <c r="AZ486">
        <f>IF(OR(AZ$4="",$A486&gt;TODAY()),0,IF(OR(INDEX($B486:$D486,AZ$5)="F",AND(AZ$6&gt;0,$A486&lt;AZ$6),AND(AZ$7&gt;0,$A486&gt;AZ$7)),0,MAX(0,ROUND((INDEX($E486:$G486,AZ$5)-SUMIFS(TF_Timer,TF_Tekniker,AZ$4,TF_Dato,$A486))*2,0)/2)))</f>
        <v/>
      </c>
      <c r="BA486">
        <f>IF(OR(BA$4="",$A486&gt;TODAY()),0,IF(OR(INDEX($B486:$D486,BA$5)="F",AND(BA$6&gt;0,$A486&lt;BA$6),AND(BA$7&gt;0,$A486&gt;BA$7)),0,MAX(0,ROUND((INDEX($E486:$G486,BA$5)-SUMIFS(TF_Timer,TF_Tekniker,BA$4,TF_Dato,$A486))*2,0)/2)))</f>
        <v/>
      </c>
      <c r="BB486">
        <f>IF(OR(BB$4="",$A486&gt;TODAY()),0,IF(OR(INDEX($B486:$D486,BB$5)="F",AND(BB$6&gt;0,$A486&lt;BB$6),AND(BB$7&gt;0,$A486&gt;BB$7)),0,MAX(0,ROUND((INDEX($E486:$G486,BB$5)-SUMIFS(TF_Timer,TF_Tekniker,BB$4,TF_Dato,$A486))*2,0)/2)))</f>
        <v/>
      </c>
      <c r="BC486">
        <f>IF(OR(BC$4="",$A486&gt;TODAY()),0,IF(OR(INDEX($B486:$D486,BC$5)="F",AND(BC$6&gt;0,$A486&lt;BC$6),AND(BC$7&gt;0,$A486&gt;BC$7)),0,MAX(0,ROUND((INDEX($E486:$G486,BC$5)-SUMIFS(TF_Timer,TF_Tekniker,BC$4,TF_Dato,$A486))*2,0)/2)))</f>
        <v/>
      </c>
      <c r="BD486">
        <f>IF(OR(BD$4="",$A486&gt;TODAY()),0,IF(OR(INDEX($B486:$D486,BD$5)="F",AND(BD$6&gt;0,$A486&lt;BD$6),AND(BD$7&gt;0,$A486&gt;BD$7)),0,MAX(0,ROUND((INDEX($E486:$G486,BD$5)-SUMIFS(TF_Timer,TF_Tekniker,BD$4,TF_Dato,$A486))*2,0)/2)))</f>
        <v/>
      </c>
      <c r="BE486">
        <f>IF(OR(BE$4="",$A486&gt;TODAY()),0,IF(OR(INDEX($B486:$D486,BE$5)="F",AND(BE$6&gt;0,$A486&lt;BE$6),AND(BE$7&gt;0,$A486&gt;BE$7)),0,MAX(0,ROUND((INDEX($E486:$G486,BE$5)-SUMIFS(TF_Timer,TF_Tekniker,BE$4,TF_Dato,$A486))*2,0)/2)))</f>
        <v/>
      </c>
      <c r="BF486">
        <f>IF(OR(BF$4="",$A486&gt;TODAY()),0,IF(OR(INDEX($B486:$D486,BF$5)="F",AND(BF$6&gt;0,$A486&lt;BF$6),AND(BF$7&gt;0,$A486&gt;BF$7)),0,MAX(0,ROUND((INDEX($E486:$G486,BF$5)-SUMIFS(TF_Timer,TF_Tekniker,BF$4,TF_Dato,$A486))*2,0)/2)))</f>
        <v/>
      </c>
      <c r="BG486">
        <f>IF(OR(BG$4="",$A486&gt;TODAY()),0,IF(OR(INDEX($B486:$D486,BG$5)="F",AND(BG$6&gt;0,$A486&lt;BG$6),AND(BG$7&gt;0,$A486&gt;BG$7)),0,MAX(0,ROUND((INDEX($E486:$G486,BG$5)-SUMIFS(TF_Timer,TF_Tekniker,BG$4,TF_Dato,$A486))*2,0)/2)))</f>
        <v/>
      </c>
      <c r="BH486">
        <f>IF(OR(BH$4="",$A486&gt;TODAY()),0,IF(OR(INDEX($B486:$D486,BH$5)="F",AND(BH$6&gt;0,$A486&lt;BH$6),AND(BH$7&gt;0,$A486&gt;BH$7)),0,MAX(0,ROUND((INDEX($E486:$G486,BH$5)-SUMIFS(TF_Timer,TF_Tekniker,BH$4,TF_Dato,$A486))*2,0)/2)))</f>
        <v/>
      </c>
      <c r="BI486">
        <f>IF(OR(BI$4="",$A486&gt;TODAY()),0,IF(OR(INDEX($B486:$D486,BI$5)="F",AND(BI$6&gt;0,$A486&lt;BI$6),AND(BI$7&gt;0,$A486&gt;BI$7)),0,MAX(0,ROUND((INDEX($E486:$G486,BI$5)-SUMIFS(TF_Timer,TF_Tekniker,BI$4,TF_Dato,$A486))*2,0)/2)))</f>
        <v/>
      </c>
    </row>
    <row r="487">
      <c r="A487" s="64">
        <f>A486+1</f>
        <v/>
      </c>
      <c r="B487">
        <f>IF(MOD($A487-INDEX(SkiftStart,1),Syklus)&lt;DagK,"K",IF(MOD($A487-INDEX(SkiftStart,1),Syklus)&lt;DagK+DagH,"H",IF(MOD($A487-INDEX(SkiftStart,1),Syklus)&lt;DagK+DagH+DagD,"D","F")))</f>
        <v/>
      </c>
      <c r="C487">
        <f>IF(MOD($A487-INDEX(SkiftStart,2),Syklus)&lt;DagK,"K",IF(MOD($A487-INDEX(SkiftStart,2),Syklus)&lt;DagK+DagH,"H",IF(MOD($A487-INDEX(SkiftStart,2),Syklus)&lt;DagK+DagH+DagD,"D","F")))</f>
        <v/>
      </c>
      <c r="D487">
        <f>IF(MOD($A487-INDEX(SkiftStart,3),Syklus)&lt;DagK,"K",IF(MOD($A487-INDEX(SkiftStart,3),Syklus)&lt;DagK+DagH,"H",IF(MOD($A487-INDEX(SkiftStart,3),Syklus)&lt;DagK+DagH+DagD,"D","F")))</f>
        <v/>
      </c>
      <c r="E487">
        <f>IF(B487="F",0,IF(WEEKDAY($A487,2)=5,INDEX(TimerFr,MATCH(B487,FaseKode,0)),INDEX(TimerMT,MATCH(B487,FaseKode,0))))</f>
        <v/>
      </c>
      <c r="F487">
        <f>IF(C487="F",0,IF(WEEKDAY($A487,2)=5,INDEX(TimerFr,MATCH(C487,FaseKode,0)),INDEX(TimerMT,MATCH(C487,FaseKode,0))))</f>
        <v/>
      </c>
      <c r="G487">
        <f>IF(D487="F",0,IF(WEEKDAY($A487,2)=5,INDEX(TimerFr,MATCH(D487,FaseKode,0)),INDEX(TimerMT,MATCH(D487,FaseKode,0))))</f>
        <v/>
      </c>
      <c r="H487">
        <f>IF(OR(H$4="",$A487&gt;TODAY()),0,IF(OR(INDEX($B487:$D487,H$5)="F",AND(H$6&gt;0,$A487&lt;H$6),AND(H$7&gt;0,$A487&gt;H$7)),0,MAX(0,ROUND((INDEX($E487:$G487,H$5)-SUMIFS(TF_Timer,TF_Tekniker,H$4,TF_Dato,$A487))*2,0)/2)))</f>
        <v/>
      </c>
      <c r="I487">
        <f>IF(OR(I$4="",$A487&gt;TODAY()),0,IF(OR(INDEX($B487:$D487,I$5)="F",AND(I$6&gt;0,$A487&lt;I$6),AND(I$7&gt;0,$A487&gt;I$7)),0,MAX(0,ROUND((INDEX($E487:$G487,I$5)-SUMIFS(TF_Timer,TF_Tekniker,I$4,TF_Dato,$A487))*2,0)/2)))</f>
        <v/>
      </c>
      <c r="J487">
        <f>IF(OR(J$4="",$A487&gt;TODAY()),0,IF(OR(INDEX($B487:$D487,J$5)="F",AND(J$6&gt;0,$A487&lt;J$6),AND(J$7&gt;0,$A487&gt;J$7)),0,MAX(0,ROUND((INDEX($E487:$G487,J$5)-SUMIFS(TF_Timer,TF_Tekniker,J$4,TF_Dato,$A487))*2,0)/2)))</f>
        <v/>
      </c>
      <c r="K487">
        <f>IF(OR(K$4="",$A487&gt;TODAY()),0,IF(OR(INDEX($B487:$D487,K$5)="F",AND(K$6&gt;0,$A487&lt;K$6),AND(K$7&gt;0,$A487&gt;K$7)),0,MAX(0,ROUND((INDEX($E487:$G487,K$5)-SUMIFS(TF_Timer,TF_Tekniker,K$4,TF_Dato,$A487))*2,0)/2)))</f>
        <v/>
      </c>
      <c r="L487">
        <f>IF(OR(L$4="",$A487&gt;TODAY()),0,IF(OR(INDEX($B487:$D487,L$5)="F",AND(L$6&gt;0,$A487&lt;L$6),AND(L$7&gt;0,$A487&gt;L$7)),0,MAX(0,ROUND((INDEX($E487:$G487,L$5)-SUMIFS(TF_Timer,TF_Tekniker,L$4,TF_Dato,$A487))*2,0)/2)))</f>
        <v/>
      </c>
      <c r="M487">
        <f>IF(OR(M$4="",$A487&gt;TODAY()),0,IF(OR(INDEX($B487:$D487,M$5)="F",AND(M$6&gt;0,$A487&lt;M$6),AND(M$7&gt;0,$A487&gt;M$7)),0,MAX(0,ROUND((INDEX($E487:$G487,M$5)-SUMIFS(TF_Timer,TF_Tekniker,M$4,TF_Dato,$A487))*2,0)/2)))</f>
        <v/>
      </c>
      <c r="N487">
        <f>IF(OR(N$4="",$A487&gt;TODAY()),0,IF(OR(INDEX($B487:$D487,N$5)="F",AND(N$6&gt;0,$A487&lt;N$6),AND(N$7&gt;0,$A487&gt;N$7)),0,MAX(0,ROUND((INDEX($E487:$G487,N$5)-SUMIFS(TF_Timer,TF_Tekniker,N$4,TF_Dato,$A487))*2,0)/2)))</f>
        <v/>
      </c>
      <c r="O487">
        <f>IF(OR(O$4="",$A487&gt;TODAY()),0,IF(OR(INDEX($B487:$D487,O$5)="F",AND(O$6&gt;0,$A487&lt;O$6),AND(O$7&gt;0,$A487&gt;O$7)),0,MAX(0,ROUND((INDEX($E487:$G487,O$5)-SUMIFS(TF_Timer,TF_Tekniker,O$4,TF_Dato,$A487))*2,0)/2)))</f>
        <v/>
      </c>
      <c r="P487">
        <f>IF(OR(P$4="",$A487&gt;TODAY()),0,IF(OR(INDEX($B487:$D487,P$5)="F",AND(P$6&gt;0,$A487&lt;P$6),AND(P$7&gt;0,$A487&gt;P$7)),0,MAX(0,ROUND((INDEX($E487:$G487,P$5)-SUMIFS(TF_Timer,TF_Tekniker,P$4,TF_Dato,$A487))*2,0)/2)))</f>
        <v/>
      </c>
      <c r="Q487">
        <f>IF(OR(Q$4="",$A487&gt;TODAY()),0,IF(OR(INDEX($B487:$D487,Q$5)="F",AND(Q$6&gt;0,$A487&lt;Q$6),AND(Q$7&gt;0,$A487&gt;Q$7)),0,MAX(0,ROUND((INDEX($E487:$G487,Q$5)-SUMIFS(TF_Timer,TF_Tekniker,Q$4,TF_Dato,$A487))*2,0)/2)))</f>
        <v/>
      </c>
      <c r="R487">
        <f>IF(OR(R$4="",$A487&gt;TODAY()),0,IF(OR(INDEX($B487:$D487,R$5)="F",AND(R$6&gt;0,$A487&lt;R$6),AND(R$7&gt;0,$A487&gt;R$7)),0,MAX(0,ROUND((INDEX($E487:$G487,R$5)-SUMIFS(TF_Timer,TF_Tekniker,R$4,TF_Dato,$A487))*2,0)/2)))</f>
        <v/>
      </c>
      <c r="S487">
        <f>IF(OR(S$4="",$A487&gt;TODAY()),0,IF(OR(INDEX($B487:$D487,S$5)="F",AND(S$6&gt;0,$A487&lt;S$6),AND(S$7&gt;0,$A487&gt;S$7)),0,MAX(0,ROUND((INDEX($E487:$G487,S$5)-SUMIFS(TF_Timer,TF_Tekniker,S$4,TF_Dato,$A487))*2,0)/2)))</f>
        <v/>
      </c>
      <c r="T487">
        <f>IF(OR(T$4="",$A487&gt;TODAY()),0,IF(OR(INDEX($B487:$D487,T$5)="F",AND(T$6&gt;0,$A487&lt;T$6),AND(T$7&gt;0,$A487&gt;T$7)),0,MAX(0,ROUND((INDEX($E487:$G487,T$5)-SUMIFS(TF_Timer,TF_Tekniker,T$4,TF_Dato,$A487))*2,0)/2)))</f>
        <v/>
      </c>
      <c r="U487">
        <f>IF(OR(U$4="",$A487&gt;TODAY()),0,IF(OR(INDEX($B487:$D487,U$5)="F",AND(U$6&gt;0,$A487&lt;U$6),AND(U$7&gt;0,$A487&gt;U$7)),0,MAX(0,ROUND((INDEX($E487:$G487,U$5)-SUMIFS(TF_Timer,TF_Tekniker,U$4,TF_Dato,$A487))*2,0)/2)))</f>
        <v/>
      </c>
      <c r="V487">
        <f>IF(OR(V$4="",$A487&gt;TODAY()),0,IF(OR(INDEX($B487:$D487,V$5)="F",AND(V$6&gt;0,$A487&lt;V$6),AND(V$7&gt;0,$A487&gt;V$7)),0,MAX(0,ROUND((INDEX($E487:$G487,V$5)-SUMIFS(TF_Timer,TF_Tekniker,V$4,TF_Dato,$A487))*2,0)/2)))</f>
        <v/>
      </c>
      <c r="W487">
        <f>IF(OR(W$4="",$A487&gt;TODAY()),0,IF(OR(INDEX($B487:$D487,W$5)="F",AND(W$6&gt;0,$A487&lt;W$6),AND(W$7&gt;0,$A487&gt;W$7)),0,MAX(0,ROUND((INDEX($E487:$G487,W$5)-SUMIFS(TF_Timer,TF_Tekniker,W$4,TF_Dato,$A487))*2,0)/2)))</f>
        <v/>
      </c>
      <c r="X487">
        <f>IF(OR(X$4="",$A487&gt;TODAY()),0,IF(OR(INDEX($B487:$D487,X$5)="F",AND(X$6&gt;0,$A487&lt;X$6),AND(X$7&gt;0,$A487&gt;X$7)),0,MAX(0,ROUND((INDEX($E487:$G487,X$5)-SUMIFS(TF_Timer,TF_Tekniker,X$4,TF_Dato,$A487))*2,0)/2)))</f>
        <v/>
      </c>
      <c r="Y487">
        <f>IF(OR(Y$4="",$A487&gt;TODAY()),0,IF(OR(INDEX($B487:$D487,Y$5)="F",AND(Y$6&gt;0,$A487&lt;Y$6),AND(Y$7&gt;0,$A487&gt;Y$7)),0,MAX(0,ROUND((INDEX($E487:$G487,Y$5)-SUMIFS(TF_Timer,TF_Tekniker,Y$4,TF_Dato,$A487))*2,0)/2)))</f>
        <v/>
      </c>
      <c r="Z487">
        <f>IF(OR(Z$4="",$A487&gt;TODAY()),0,IF(OR(INDEX($B487:$D487,Z$5)="F",AND(Z$6&gt;0,$A487&lt;Z$6),AND(Z$7&gt;0,$A487&gt;Z$7)),0,MAX(0,ROUND((INDEX($E487:$G487,Z$5)-SUMIFS(TF_Timer,TF_Tekniker,Z$4,TF_Dato,$A487))*2,0)/2)))</f>
        <v/>
      </c>
      <c r="AA487">
        <f>IF(OR(AA$4="",$A487&gt;TODAY()),0,IF(OR(INDEX($B487:$D487,AA$5)="F",AND(AA$6&gt;0,$A487&lt;AA$6),AND(AA$7&gt;0,$A487&gt;AA$7)),0,MAX(0,ROUND((INDEX($E487:$G487,AA$5)-SUMIFS(TF_Timer,TF_Tekniker,AA$4,TF_Dato,$A487))*2,0)/2)))</f>
        <v/>
      </c>
      <c r="AB487">
        <f>IF(OR(AB$4="",$A487&gt;TODAY()),0,IF(OR(INDEX($B487:$D487,AB$5)="F",AND(AB$6&gt;0,$A487&lt;AB$6),AND(AB$7&gt;0,$A487&gt;AB$7)),0,MAX(0,ROUND((INDEX($E487:$G487,AB$5)-SUMIFS(TF_Timer,TF_Tekniker,AB$4,TF_Dato,$A487))*2,0)/2)))</f>
        <v/>
      </c>
      <c r="AC487">
        <f>IF(OR(AC$4="",$A487&gt;TODAY()),0,IF(OR(INDEX($B487:$D487,AC$5)="F",AND(AC$6&gt;0,$A487&lt;AC$6),AND(AC$7&gt;0,$A487&gt;AC$7)),0,MAX(0,ROUND((INDEX($E487:$G487,AC$5)-SUMIFS(TF_Timer,TF_Tekniker,AC$4,TF_Dato,$A487))*2,0)/2)))</f>
        <v/>
      </c>
      <c r="AD487">
        <f>IF(OR(AD$4="",$A487&gt;TODAY()),0,IF(OR(INDEX($B487:$D487,AD$5)="F",AND(AD$6&gt;0,$A487&lt;AD$6),AND(AD$7&gt;0,$A487&gt;AD$7)),0,MAX(0,ROUND((INDEX($E487:$G487,AD$5)-SUMIFS(TF_Timer,TF_Tekniker,AD$4,TF_Dato,$A487))*2,0)/2)))</f>
        <v/>
      </c>
      <c r="AE487">
        <f>IF(OR(AE$4="",$A487&gt;TODAY()),0,IF(OR(INDEX($B487:$D487,AE$5)="F",AND(AE$6&gt;0,$A487&lt;AE$6),AND(AE$7&gt;0,$A487&gt;AE$7)),0,MAX(0,ROUND((INDEX($E487:$G487,AE$5)-SUMIFS(TF_Timer,TF_Tekniker,AE$4,TF_Dato,$A487))*2,0)/2)))</f>
        <v/>
      </c>
      <c r="AF487">
        <f>IF(OR(AF$4="",$A487&gt;TODAY()),0,IF(OR(INDEX($B487:$D487,AF$5)="F",AND(AF$6&gt;0,$A487&lt;AF$6),AND(AF$7&gt;0,$A487&gt;AF$7)),0,MAX(0,ROUND((INDEX($E487:$G487,AF$5)-SUMIFS(TF_Timer,TF_Tekniker,AF$4,TF_Dato,$A487))*2,0)/2)))</f>
        <v/>
      </c>
      <c r="AG487">
        <f>IF(OR(AG$4="",$A487&gt;TODAY()),0,IF(OR(INDEX($B487:$D487,AG$5)="F",AND(AG$6&gt;0,$A487&lt;AG$6),AND(AG$7&gt;0,$A487&gt;AG$7)),0,MAX(0,ROUND((INDEX($E487:$G487,AG$5)-SUMIFS(TF_Timer,TF_Tekniker,AG$4,TF_Dato,$A487))*2,0)/2)))</f>
        <v/>
      </c>
      <c r="AH487">
        <f>IF(OR(AH$4="",$A487&gt;TODAY()),0,IF(OR(INDEX($B487:$D487,AH$5)="F",AND(AH$6&gt;0,$A487&lt;AH$6),AND(AH$7&gt;0,$A487&gt;AH$7)),0,MAX(0,ROUND((INDEX($E487:$G487,AH$5)-SUMIFS(TF_Timer,TF_Tekniker,AH$4,TF_Dato,$A487))*2,0)/2)))</f>
        <v/>
      </c>
      <c r="AI487">
        <f>IF(OR(AI$4="",$A487&gt;TODAY()),0,IF(OR(INDEX($B487:$D487,AI$5)="F",AND(AI$6&gt;0,$A487&lt;AI$6),AND(AI$7&gt;0,$A487&gt;AI$7)),0,MAX(0,ROUND((INDEX($E487:$G487,AI$5)-SUMIFS(TF_Timer,TF_Tekniker,AI$4,TF_Dato,$A487))*2,0)/2)))</f>
        <v/>
      </c>
      <c r="AJ487">
        <f>IF(OR(AJ$4="",$A487&gt;TODAY()),0,IF(OR(INDEX($B487:$D487,AJ$5)="F",AND(AJ$6&gt;0,$A487&lt;AJ$6),AND(AJ$7&gt;0,$A487&gt;AJ$7)),0,MAX(0,ROUND((INDEX($E487:$G487,AJ$5)-SUMIFS(TF_Timer,TF_Tekniker,AJ$4,TF_Dato,$A487))*2,0)/2)))</f>
        <v/>
      </c>
      <c r="AK487">
        <f>IF(OR(AK$4="",$A487&gt;TODAY()),0,IF(OR(INDEX($B487:$D487,AK$5)="F",AND(AK$6&gt;0,$A487&lt;AK$6),AND(AK$7&gt;0,$A487&gt;AK$7)),0,MAX(0,ROUND((INDEX($E487:$G487,AK$5)-SUMIFS(TF_Timer,TF_Tekniker,AK$4,TF_Dato,$A487))*2,0)/2)))</f>
        <v/>
      </c>
      <c r="AL487">
        <f>IF(OR(AL$4="",$A487&gt;TODAY()),0,IF(OR(INDEX($B487:$D487,AL$5)="F",AND(AL$6&gt;0,$A487&lt;AL$6),AND(AL$7&gt;0,$A487&gt;AL$7)),0,MAX(0,ROUND((INDEX($E487:$G487,AL$5)-SUMIFS(TF_Timer,TF_Tekniker,AL$4,TF_Dato,$A487))*2,0)/2)))</f>
        <v/>
      </c>
      <c r="AM487">
        <f>IF(OR(AM$4="",$A487&gt;TODAY()),0,IF(OR(INDEX($B487:$D487,AM$5)="F",AND(AM$6&gt;0,$A487&lt;AM$6),AND(AM$7&gt;0,$A487&gt;AM$7)),0,MAX(0,ROUND((INDEX($E487:$G487,AM$5)-SUMIFS(TF_Timer,TF_Tekniker,AM$4,TF_Dato,$A487))*2,0)/2)))</f>
        <v/>
      </c>
      <c r="AN487">
        <f>IF(OR(AN$4="",$A487&gt;TODAY()),0,IF(OR(INDEX($B487:$D487,AN$5)="F",AND(AN$6&gt;0,$A487&lt;AN$6),AND(AN$7&gt;0,$A487&gt;AN$7)),0,MAX(0,ROUND((INDEX($E487:$G487,AN$5)-SUMIFS(TF_Timer,TF_Tekniker,AN$4,TF_Dato,$A487))*2,0)/2)))</f>
        <v/>
      </c>
      <c r="AO487">
        <f>IF(OR(AO$4="",$A487&gt;TODAY()),0,IF(OR(INDEX($B487:$D487,AO$5)="F",AND(AO$6&gt;0,$A487&lt;AO$6),AND(AO$7&gt;0,$A487&gt;AO$7)),0,MAX(0,ROUND((INDEX($E487:$G487,AO$5)-SUMIFS(TF_Timer,TF_Tekniker,AO$4,TF_Dato,$A487))*2,0)/2)))</f>
        <v/>
      </c>
      <c r="AP487">
        <f>IF(OR(AP$4="",$A487&gt;TODAY()),0,IF(OR(INDEX($B487:$D487,AP$5)="F",AND(AP$6&gt;0,$A487&lt;AP$6),AND(AP$7&gt;0,$A487&gt;AP$7)),0,MAX(0,ROUND((INDEX($E487:$G487,AP$5)-SUMIFS(TF_Timer,TF_Tekniker,AP$4,TF_Dato,$A487))*2,0)/2)))</f>
        <v/>
      </c>
      <c r="AQ487">
        <f>IF(OR(AQ$4="",$A487&gt;TODAY()),0,IF(OR(INDEX($B487:$D487,AQ$5)="F",AND(AQ$6&gt;0,$A487&lt;AQ$6),AND(AQ$7&gt;0,$A487&gt;AQ$7)),0,MAX(0,ROUND((INDEX($E487:$G487,AQ$5)-SUMIFS(TF_Timer,TF_Tekniker,AQ$4,TF_Dato,$A487))*2,0)/2)))</f>
        <v/>
      </c>
      <c r="AR487">
        <f>IF(OR(AR$4="",$A487&gt;TODAY()),0,IF(OR(INDEX($B487:$D487,AR$5)="F",AND(AR$6&gt;0,$A487&lt;AR$6),AND(AR$7&gt;0,$A487&gt;AR$7)),0,MAX(0,ROUND((INDEX($E487:$G487,AR$5)-SUMIFS(TF_Timer,TF_Tekniker,AR$4,TF_Dato,$A487))*2,0)/2)))</f>
        <v/>
      </c>
      <c r="AS487">
        <f>IF(OR(AS$4="",$A487&gt;TODAY()),0,IF(OR(INDEX($B487:$D487,AS$5)="F",AND(AS$6&gt;0,$A487&lt;AS$6),AND(AS$7&gt;0,$A487&gt;AS$7)),0,MAX(0,ROUND((INDEX($E487:$G487,AS$5)-SUMIFS(TF_Timer,TF_Tekniker,AS$4,TF_Dato,$A487))*2,0)/2)))</f>
        <v/>
      </c>
      <c r="AT487">
        <f>IF(OR(AT$4="",$A487&gt;TODAY()),0,IF(OR(INDEX($B487:$D487,AT$5)="F",AND(AT$6&gt;0,$A487&lt;AT$6),AND(AT$7&gt;0,$A487&gt;AT$7)),0,MAX(0,ROUND((INDEX($E487:$G487,AT$5)-SUMIFS(TF_Timer,TF_Tekniker,AT$4,TF_Dato,$A487))*2,0)/2)))</f>
        <v/>
      </c>
      <c r="AU487">
        <f>IF(OR(AU$4="",$A487&gt;TODAY()),0,IF(OR(INDEX($B487:$D487,AU$5)="F",AND(AU$6&gt;0,$A487&lt;AU$6),AND(AU$7&gt;0,$A487&gt;AU$7)),0,MAX(0,ROUND((INDEX($E487:$G487,AU$5)-SUMIFS(TF_Timer,TF_Tekniker,AU$4,TF_Dato,$A487))*2,0)/2)))</f>
        <v/>
      </c>
      <c r="AV487">
        <f>IF(OR(AV$4="",$A487&gt;TODAY()),0,IF(OR(INDEX($B487:$D487,AV$5)="F",AND(AV$6&gt;0,$A487&lt;AV$6),AND(AV$7&gt;0,$A487&gt;AV$7)),0,MAX(0,ROUND((INDEX($E487:$G487,AV$5)-SUMIFS(TF_Timer,TF_Tekniker,AV$4,TF_Dato,$A487))*2,0)/2)))</f>
        <v/>
      </c>
      <c r="AW487">
        <f>IF(OR(AW$4="",$A487&gt;TODAY()),0,IF(OR(INDEX($B487:$D487,AW$5)="F",AND(AW$6&gt;0,$A487&lt;AW$6),AND(AW$7&gt;0,$A487&gt;AW$7)),0,MAX(0,ROUND((INDEX($E487:$G487,AW$5)-SUMIFS(TF_Timer,TF_Tekniker,AW$4,TF_Dato,$A487))*2,0)/2)))</f>
        <v/>
      </c>
      <c r="AX487">
        <f>IF(OR(AX$4="",$A487&gt;TODAY()),0,IF(OR(INDEX($B487:$D487,AX$5)="F",AND(AX$6&gt;0,$A487&lt;AX$6),AND(AX$7&gt;0,$A487&gt;AX$7)),0,MAX(0,ROUND((INDEX($E487:$G487,AX$5)-SUMIFS(TF_Timer,TF_Tekniker,AX$4,TF_Dato,$A487))*2,0)/2)))</f>
        <v/>
      </c>
      <c r="AY487">
        <f>IF(OR(AY$4="",$A487&gt;TODAY()),0,IF(OR(INDEX($B487:$D487,AY$5)="F",AND(AY$6&gt;0,$A487&lt;AY$6),AND(AY$7&gt;0,$A487&gt;AY$7)),0,MAX(0,ROUND((INDEX($E487:$G487,AY$5)-SUMIFS(TF_Timer,TF_Tekniker,AY$4,TF_Dato,$A487))*2,0)/2)))</f>
        <v/>
      </c>
      <c r="AZ487">
        <f>IF(OR(AZ$4="",$A487&gt;TODAY()),0,IF(OR(INDEX($B487:$D487,AZ$5)="F",AND(AZ$6&gt;0,$A487&lt;AZ$6),AND(AZ$7&gt;0,$A487&gt;AZ$7)),0,MAX(0,ROUND((INDEX($E487:$G487,AZ$5)-SUMIFS(TF_Timer,TF_Tekniker,AZ$4,TF_Dato,$A487))*2,0)/2)))</f>
        <v/>
      </c>
      <c r="BA487">
        <f>IF(OR(BA$4="",$A487&gt;TODAY()),0,IF(OR(INDEX($B487:$D487,BA$5)="F",AND(BA$6&gt;0,$A487&lt;BA$6),AND(BA$7&gt;0,$A487&gt;BA$7)),0,MAX(0,ROUND((INDEX($E487:$G487,BA$5)-SUMIFS(TF_Timer,TF_Tekniker,BA$4,TF_Dato,$A487))*2,0)/2)))</f>
        <v/>
      </c>
      <c r="BB487">
        <f>IF(OR(BB$4="",$A487&gt;TODAY()),0,IF(OR(INDEX($B487:$D487,BB$5)="F",AND(BB$6&gt;0,$A487&lt;BB$6),AND(BB$7&gt;0,$A487&gt;BB$7)),0,MAX(0,ROUND((INDEX($E487:$G487,BB$5)-SUMIFS(TF_Timer,TF_Tekniker,BB$4,TF_Dato,$A487))*2,0)/2)))</f>
        <v/>
      </c>
      <c r="BC487">
        <f>IF(OR(BC$4="",$A487&gt;TODAY()),0,IF(OR(INDEX($B487:$D487,BC$5)="F",AND(BC$6&gt;0,$A487&lt;BC$6),AND(BC$7&gt;0,$A487&gt;BC$7)),0,MAX(0,ROUND((INDEX($E487:$G487,BC$5)-SUMIFS(TF_Timer,TF_Tekniker,BC$4,TF_Dato,$A487))*2,0)/2)))</f>
        <v/>
      </c>
      <c r="BD487">
        <f>IF(OR(BD$4="",$A487&gt;TODAY()),0,IF(OR(INDEX($B487:$D487,BD$5)="F",AND(BD$6&gt;0,$A487&lt;BD$6),AND(BD$7&gt;0,$A487&gt;BD$7)),0,MAX(0,ROUND((INDEX($E487:$G487,BD$5)-SUMIFS(TF_Timer,TF_Tekniker,BD$4,TF_Dato,$A487))*2,0)/2)))</f>
        <v/>
      </c>
      <c r="BE487">
        <f>IF(OR(BE$4="",$A487&gt;TODAY()),0,IF(OR(INDEX($B487:$D487,BE$5)="F",AND(BE$6&gt;0,$A487&lt;BE$6),AND(BE$7&gt;0,$A487&gt;BE$7)),0,MAX(0,ROUND((INDEX($E487:$G487,BE$5)-SUMIFS(TF_Timer,TF_Tekniker,BE$4,TF_Dato,$A487))*2,0)/2)))</f>
        <v/>
      </c>
      <c r="BF487">
        <f>IF(OR(BF$4="",$A487&gt;TODAY()),0,IF(OR(INDEX($B487:$D487,BF$5)="F",AND(BF$6&gt;0,$A487&lt;BF$6),AND(BF$7&gt;0,$A487&gt;BF$7)),0,MAX(0,ROUND((INDEX($E487:$G487,BF$5)-SUMIFS(TF_Timer,TF_Tekniker,BF$4,TF_Dato,$A487))*2,0)/2)))</f>
        <v/>
      </c>
      <c r="BG487">
        <f>IF(OR(BG$4="",$A487&gt;TODAY()),0,IF(OR(INDEX($B487:$D487,BG$5)="F",AND(BG$6&gt;0,$A487&lt;BG$6),AND(BG$7&gt;0,$A487&gt;BG$7)),0,MAX(0,ROUND((INDEX($E487:$G487,BG$5)-SUMIFS(TF_Timer,TF_Tekniker,BG$4,TF_Dato,$A487))*2,0)/2)))</f>
        <v/>
      </c>
      <c r="BH487">
        <f>IF(OR(BH$4="",$A487&gt;TODAY()),0,IF(OR(INDEX($B487:$D487,BH$5)="F",AND(BH$6&gt;0,$A487&lt;BH$6),AND(BH$7&gt;0,$A487&gt;BH$7)),0,MAX(0,ROUND((INDEX($E487:$G487,BH$5)-SUMIFS(TF_Timer,TF_Tekniker,BH$4,TF_Dato,$A487))*2,0)/2)))</f>
        <v/>
      </c>
      <c r="BI487">
        <f>IF(OR(BI$4="",$A487&gt;TODAY()),0,IF(OR(INDEX($B487:$D487,BI$5)="F",AND(BI$6&gt;0,$A487&lt;BI$6),AND(BI$7&gt;0,$A487&gt;BI$7)),0,MAX(0,ROUND((INDEX($E487:$G487,BI$5)-SUMIFS(TF_Timer,TF_Tekniker,BI$4,TF_Dato,$A487))*2,0)/2)))</f>
        <v/>
      </c>
    </row>
    <row r="488">
      <c r="A488" s="64">
        <f>A487+1</f>
        <v/>
      </c>
      <c r="B488">
        <f>IF(MOD($A488-INDEX(SkiftStart,1),Syklus)&lt;DagK,"K",IF(MOD($A488-INDEX(SkiftStart,1),Syklus)&lt;DagK+DagH,"H",IF(MOD($A488-INDEX(SkiftStart,1),Syklus)&lt;DagK+DagH+DagD,"D","F")))</f>
        <v/>
      </c>
      <c r="C488">
        <f>IF(MOD($A488-INDEX(SkiftStart,2),Syklus)&lt;DagK,"K",IF(MOD($A488-INDEX(SkiftStart,2),Syklus)&lt;DagK+DagH,"H",IF(MOD($A488-INDEX(SkiftStart,2),Syklus)&lt;DagK+DagH+DagD,"D","F")))</f>
        <v/>
      </c>
      <c r="D488">
        <f>IF(MOD($A488-INDEX(SkiftStart,3),Syklus)&lt;DagK,"K",IF(MOD($A488-INDEX(SkiftStart,3),Syklus)&lt;DagK+DagH,"H",IF(MOD($A488-INDEX(SkiftStart,3),Syklus)&lt;DagK+DagH+DagD,"D","F")))</f>
        <v/>
      </c>
      <c r="E488">
        <f>IF(B488="F",0,IF(WEEKDAY($A488,2)=5,INDEX(TimerFr,MATCH(B488,FaseKode,0)),INDEX(TimerMT,MATCH(B488,FaseKode,0))))</f>
        <v/>
      </c>
      <c r="F488">
        <f>IF(C488="F",0,IF(WEEKDAY($A488,2)=5,INDEX(TimerFr,MATCH(C488,FaseKode,0)),INDEX(TimerMT,MATCH(C488,FaseKode,0))))</f>
        <v/>
      </c>
      <c r="G488">
        <f>IF(D488="F",0,IF(WEEKDAY($A488,2)=5,INDEX(TimerFr,MATCH(D488,FaseKode,0)),INDEX(TimerMT,MATCH(D488,FaseKode,0))))</f>
        <v/>
      </c>
      <c r="H488">
        <f>IF(OR(H$4="",$A488&gt;TODAY()),0,IF(OR(INDEX($B488:$D488,H$5)="F",AND(H$6&gt;0,$A488&lt;H$6),AND(H$7&gt;0,$A488&gt;H$7)),0,MAX(0,ROUND((INDEX($E488:$G488,H$5)-SUMIFS(TF_Timer,TF_Tekniker,H$4,TF_Dato,$A488))*2,0)/2)))</f>
        <v/>
      </c>
      <c r="I488">
        <f>IF(OR(I$4="",$A488&gt;TODAY()),0,IF(OR(INDEX($B488:$D488,I$5)="F",AND(I$6&gt;0,$A488&lt;I$6),AND(I$7&gt;0,$A488&gt;I$7)),0,MAX(0,ROUND((INDEX($E488:$G488,I$5)-SUMIFS(TF_Timer,TF_Tekniker,I$4,TF_Dato,$A488))*2,0)/2)))</f>
        <v/>
      </c>
      <c r="J488">
        <f>IF(OR(J$4="",$A488&gt;TODAY()),0,IF(OR(INDEX($B488:$D488,J$5)="F",AND(J$6&gt;0,$A488&lt;J$6),AND(J$7&gt;0,$A488&gt;J$7)),0,MAX(0,ROUND((INDEX($E488:$G488,J$5)-SUMIFS(TF_Timer,TF_Tekniker,J$4,TF_Dato,$A488))*2,0)/2)))</f>
        <v/>
      </c>
      <c r="K488">
        <f>IF(OR(K$4="",$A488&gt;TODAY()),0,IF(OR(INDEX($B488:$D488,K$5)="F",AND(K$6&gt;0,$A488&lt;K$6),AND(K$7&gt;0,$A488&gt;K$7)),0,MAX(0,ROUND((INDEX($E488:$G488,K$5)-SUMIFS(TF_Timer,TF_Tekniker,K$4,TF_Dato,$A488))*2,0)/2)))</f>
        <v/>
      </c>
      <c r="L488">
        <f>IF(OR(L$4="",$A488&gt;TODAY()),0,IF(OR(INDEX($B488:$D488,L$5)="F",AND(L$6&gt;0,$A488&lt;L$6),AND(L$7&gt;0,$A488&gt;L$7)),0,MAX(0,ROUND((INDEX($E488:$G488,L$5)-SUMIFS(TF_Timer,TF_Tekniker,L$4,TF_Dato,$A488))*2,0)/2)))</f>
        <v/>
      </c>
      <c r="M488">
        <f>IF(OR(M$4="",$A488&gt;TODAY()),0,IF(OR(INDEX($B488:$D488,M$5)="F",AND(M$6&gt;0,$A488&lt;M$6),AND(M$7&gt;0,$A488&gt;M$7)),0,MAX(0,ROUND((INDEX($E488:$G488,M$5)-SUMIFS(TF_Timer,TF_Tekniker,M$4,TF_Dato,$A488))*2,0)/2)))</f>
        <v/>
      </c>
      <c r="N488">
        <f>IF(OR(N$4="",$A488&gt;TODAY()),0,IF(OR(INDEX($B488:$D488,N$5)="F",AND(N$6&gt;0,$A488&lt;N$6),AND(N$7&gt;0,$A488&gt;N$7)),0,MAX(0,ROUND((INDEX($E488:$G488,N$5)-SUMIFS(TF_Timer,TF_Tekniker,N$4,TF_Dato,$A488))*2,0)/2)))</f>
        <v/>
      </c>
      <c r="O488">
        <f>IF(OR(O$4="",$A488&gt;TODAY()),0,IF(OR(INDEX($B488:$D488,O$5)="F",AND(O$6&gt;0,$A488&lt;O$6),AND(O$7&gt;0,$A488&gt;O$7)),0,MAX(0,ROUND((INDEX($E488:$G488,O$5)-SUMIFS(TF_Timer,TF_Tekniker,O$4,TF_Dato,$A488))*2,0)/2)))</f>
        <v/>
      </c>
      <c r="P488">
        <f>IF(OR(P$4="",$A488&gt;TODAY()),0,IF(OR(INDEX($B488:$D488,P$5)="F",AND(P$6&gt;0,$A488&lt;P$6),AND(P$7&gt;0,$A488&gt;P$7)),0,MAX(0,ROUND((INDEX($E488:$G488,P$5)-SUMIFS(TF_Timer,TF_Tekniker,P$4,TF_Dato,$A488))*2,0)/2)))</f>
        <v/>
      </c>
      <c r="Q488">
        <f>IF(OR(Q$4="",$A488&gt;TODAY()),0,IF(OR(INDEX($B488:$D488,Q$5)="F",AND(Q$6&gt;0,$A488&lt;Q$6),AND(Q$7&gt;0,$A488&gt;Q$7)),0,MAX(0,ROUND((INDEX($E488:$G488,Q$5)-SUMIFS(TF_Timer,TF_Tekniker,Q$4,TF_Dato,$A488))*2,0)/2)))</f>
        <v/>
      </c>
      <c r="R488">
        <f>IF(OR(R$4="",$A488&gt;TODAY()),0,IF(OR(INDEX($B488:$D488,R$5)="F",AND(R$6&gt;0,$A488&lt;R$6),AND(R$7&gt;0,$A488&gt;R$7)),0,MAX(0,ROUND((INDEX($E488:$G488,R$5)-SUMIFS(TF_Timer,TF_Tekniker,R$4,TF_Dato,$A488))*2,0)/2)))</f>
        <v/>
      </c>
      <c r="S488">
        <f>IF(OR(S$4="",$A488&gt;TODAY()),0,IF(OR(INDEX($B488:$D488,S$5)="F",AND(S$6&gt;0,$A488&lt;S$6),AND(S$7&gt;0,$A488&gt;S$7)),0,MAX(0,ROUND((INDEX($E488:$G488,S$5)-SUMIFS(TF_Timer,TF_Tekniker,S$4,TF_Dato,$A488))*2,0)/2)))</f>
        <v/>
      </c>
      <c r="T488">
        <f>IF(OR(T$4="",$A488&gt;TODAY()),0,IF(OR(INDEX($B488:$D488,T$5)="F",AND(T$6&gt;0,$A488&lt;T$6),AND(T$7&gt;0,$A488&gt;T$7)),0,MAX(0,ROUND((INDEX($E488:$G488,T$5)-SUMIFS(TF_Timer,TF_Tekniker,T$4,TF_Dato,$A488))*2,0)/2)))</f>
        <v/>
      </c>
      <c r="U488">
        <f>IF(OR(U$4="",$A488&gt;TODAY()),0,IF(OR(INDEX($B488:$D488,U$5)="F",AND(U$6&gt;0,$A488&lt;U$6),AND(U$7&gt;0,$A488&gt;U$7)),0,MAX(0,ROUND((INDEX($E488:$G488,U$5)-SUMIFS(TF_Timer,TF_Tekniker,U$4,TF_Dato,$A488))*2,0)/2)))</f>
        <v/>
      </c>
      <c r="V488">
        <f>IF(OR(V$4="",$A488&gt;TODAY()),0,IF(OR(INDEX($B488:$D488,V$5)="F",AND(V$6&gt;0,$A488&lt;V$6),AND(V$7&gt;0,$A488&gt;V$7)),0,MAX(0,ROUND((INDEX($E488:$G488,V$5)-SUMIFS(TF_Timer,TF_Tekniker,V$4,TF_Dato,$A488))*2,0)/2)))</f>
        <v/>
      </c>
      <c r="W488">
        <f>IF(OR(W$4="",$A488&gt;TODAY()),0,IF(OR(INDEX($B488:$D488,W$5)="F",AND(W$6&gt;0,$A488&lt;W$6),AND(W$7&gt;0,$A488&gt;W$7)),0,MAX(0,ROUND((INDEX($E488:$G488,W$5)-SUMIFS(TF_Timer,TF_Tekniker,W$4,TF_Dato,$A488))*2,0)/2)))</f>
        <v/>
      </c>
      <c r="X488">
        <f>IF(OR(X$4="",$A488&gt;TODAY()),0,IF(OR(INDEX($B488:$D488,X$5)="F",AND(X$6&gt;0,$A488&lt;X$6),AND(X$7&gt;0,$A488&gt;X$7)),0,MAX(0,ROUND((INDEX($E488:$G488,X$5)-SUMIFS(TF_Timer,TF_Tekniker,X$4,TF_Dato,$A488))*2,0)/2)))</f>
        <v/>
      </c>
      <c r="Y488">
        <f>IF(OR(Y$4="",$A488&gt;TODAY()),0,IF(OR(INDEX($B488:$D488,Y$5)="F",AND(Y$6&gt;0,$A488&lt;Y$6),AND(Y$7&gt;0,$A488&gt;Y$7)),0,MAX(0,ROUND((INDEX($E488:$G488,Y$5)-SUMIFS(TF_Timer,TF_Tekniker,Y$4,TF_Dato,$A488))*2,0)/2)))</f>
        <v/>
      </c>
      <c r="Z488">
        <f>IF(OR(Z$4="",$A488&gt;TODAY()),0,IF(OR(INDEX($B488:$D488,Z$5)="F",AND(Z$6&gt;0,$A488&lt;Z$6),AND(Z$7&gt;0,$A488&gt;Z$7)),0,MAX(0,ROUND((INDEX($E488:$G488,Z$5)-SUMIFS(TF_Timer,TF_Tekniker,Z$4,TF_Dato,$A488))*2,0)/2)))</f>
        <v/>
      </c>
      <c r="AA488">
        <f>IF(OR(AA$4="",$A488&gt;TODAY()),0,IF(OR(INDEX($B488:$D488,AA$5)="F",AND(AA$6&gt;0,$A488&lt;AA$6),AND(AA$7&gt;0,$A488&gt;AA$7)),0,MAX(0,ROUND((INDEX($E488:$G488,AA$5)-SUMIFS(TF_Timer,TF_Tekniker,AA$4,TF_Dato,$A488))*2,0)/2)))</f>
        <v/>
      </c>
      <c r="AB488">
        <f>IF(OR(AB$4="",$A488&gt;TODAY()),0,IF(OR(INDEX($B488:$D488,AB$5)="F",AND(AB$6&gt;0,$A488&lt;AB$6),AND(AB$7&gt;0,$A488&gt;AB$7)),0,MAX(0,ROUND((INDEX($E488:$G488,AB$5)-SUMIFS(TF_Timer,TF_Tekniker,AB$4,TF_Dato,$A488))*2,0)/2)))</f>
        <v/>
      </c>
      <c r="AC488">
        <f>IF(OR(AC$4="",$A488&gt;TODAY()),0,IF(OR(INDEX($B488:$D488,AC$5)="F",AND(AC$6&gt;0,$A488&lt;AC$6),AND(AC$7&gt;0,$A488&gt;AC$7)),0,MAX(0,ROUND((INDEX($E488:$G488,AC$5)-SUMIFS(TF_Timer,TF_Tekniker,AC$4,TF_Dato,$A488))*2,0)/2)))</f>
        <v/>
      </c>
      <c r="AD488">
        <f>IF(OR(AD$4="",$A488&gt;TODAY()),0,IF(OR(INDEX($B488:$D488,AD$5)="F",AND(AD$6&gt;0,$A488&lt;AD$6),AND(AD$7&gt;0,$A488&gt;AD$7)),0,MAX(0,ROUND((INDEX($E488:$G488,AD$5)-SUMIFS(TF_Timer,TF_Tekniker,AD$4,TF_Dato,$A488))*2,0)/2)))</f>
        <v/>
      </c>
      <c r="AE488">
        <f>IF(OR(AE$4="",$A488&gt;TODAY()),0,IF(OR(INDEX($B488:$D488,AE$5)="F",AND(AE$6&gt;0,$A488&lt;AE$6),AND(AE$7&gt;0,$A488&gt;AE$7)),0,MAX(0,ROUND((INDEX($E488:$G488,AE$5)-SUMIFS(TF_Timer,TF_Tekniker,AE$4,TF_Dato,$A488))*2,0)/2)))</f>
        <v/>
      </c>
      <c r="AF488">
        <f>IF(OR(AF$4="",$A488&gt;TODAY()),0,IF(OR(INDEX($B488:$D488,AF$5)="F",AND(AF$6&gt;0,$A488&lt;AF$6),AND(AF$7&gt;0,$A488&gt;AF$7)),0,MAX(0,ROUND((INDEX($E488:$G488,AF$5)-SUMIFS(TF_Timer,TF_Tekniker,AF$4,TF_Dato,$A488))*2,0)/2)))</f>
        <v/>
      </c>
      <c r="AG488">
        <f>IF(OR(AG$4="",$A488&gt;TODAY()),0,IF(OR(INDEX($B488:$D488,AG$5)="F",AND(AG$6&gt;0,$A488&lt;AG$6),AND(AG$7&gt;0,$A488&gt;AG$7)),0,MAX(0,ROUND((INDEX($E488:$G488,AG$5)-SUMIFS(TF_Timer,TF_Tekniker,AG$4,TF_Dato,$A488))*2,0)/2)))</f>
        <v/>
      </c>
      <c r="AH488">
        <f>IF(OR(AH$4="",$A488&gt;TODAY()),0,IF(OR(INDEX($B488:$D488,AH$5)="F",AND(AH$6&gt;0,$A488&lt;AH$6),AND(AH$7&gt;0,$A488&gt;AH$7)),0,MAX(0,ROUND((INDEX($E488:$G488,AH$5)-SUMIFS(TF_Timer,TF_Tekniker,AH$4,TF_Dato,$A488))*2,0)/2)))</f>
        <v/>
      </c>
      <c r="AI488">
        <f>IF(OR(AI$4="",$A488&gt;TODAY()),0,IF(OR(INDEX($B488:$D488,AI$5)="F",AND(AI$6&gt;0,$A488&lt;AI$6),AND(AI$7&gt;0,$A488&gt;AI$7)),0,MAX(0,ROUND((INDEX($E488:$G488,AI$5)-SUMIFS(TF_Timer,TF_Tekniker,AI$4,TF_Dato,$A488))*2,0)/2)))</f>
        <v/>
      </c>
      <c r="AJ488">
        <f>IF(OR(AJ$4="",$A488&gt;TODAY()),0,IF(OR(INDEX($B488:$D488,AJ$5)="F",AND(AJ$6&gt;0,$A488&lt;AJ$6),AND(AJ$7&gt;0,$A488&gt;AJ$7)),0,MAX(0,ROUND((INDEX($E488:$G488,AJ$5)-SUMIFS(TF_Timer,TF_Tekniker,AJ$4,TF_Dato,$A488))*2,0)/2)))</f>
        <v/>
      </c>
      <c r="AK488">
        <f>IF(OR(AK$4="",$A488&gt;TODAY()),0,IF(OR(INDEX($B488:$D488,AK$5)="F",AND(AK$6&gt;0,$A488&lt;AK$6),AND(AK$7&gt;0,$A488&gt;AK$7)),0,MAX(0,ROUND((INDEX($E488:$G488,AK$5)-SUMIFS(TF_Timer,TF_Tekniker,AK$4,TF_Dato,$A488))*2,0)/2)))</f>
        <v/>
      </c>
      <c r="AL488">
        <f>IF(OR(AL$4="",$A488&gt;TODAY()),0,IF(OR(INDEX($B488:$D488,AL$5)="F",AND(AL$6&gt;0,$A488&lt;AL$6),AND(AL$7&gt;0,$A488&gt;AL$7)),0,MAX(0,ROUND((INDEX($E488:$G488,AL$5)-SUMIFS(TF_Timer,TF_Tekniker,AL$4,TF_Dato,$A488))*2,0)/2)))</f>
        <v/>
      </c>
      <c r="AM488">
        <f>IF(OR(AM$4="",$A488&gt;TODAY()),0,IF(OR(INDEX($B488:$D488,AM$5)="F",AND(AM$6&gt;0,$A488&lt;AM$6),AND(AM$7&gt;0,$A488&gt;AM$7)),0,MAX(0,ROUND((INDEX($E488:$G488,AM$5)-SUMIFS(TF_Timer,TF_Tekniker,AM$4,TF_Dato,$A488))*2,0)/2)))</f>
        <v/>
      </c>
      <c r="AN488">
        <f>IF(OR(AN$4="",$A488&gt;TODAY()),0,IF(OR(INDEX($B488:$D488,AN$5)="F",AND(AN$6&gt;0,$A488&lt;AN$6),AND(AN$7&gt;0,$A488&gt;AN$7)),0,MAX(0,ROUND((INDEX($E488:$G488,AN$5)-SUMIFS(TF_Timer,TF_Tekniker,AN$4,TF_Dato,$A488))*2,0)/2)))</f>
        <v/>
      </c>
      <c r="AO488">
        <f>IF(OR(AO$4="",$A488&gt;TODAY()),0,IF(OR(INDEX($B488:$D488,AO$5)="F",AND(AO$6&gt;0,$A488&lt;AO$6),AND(AO$7&gt;0,$A488&gt;AO$7)),0,MAX(0,ROUND((INDEX($E488:$G488,AO$5)-SUMIFS(TF_Timer,TF_Tekniker,AO$4,TF_Dato,$A488))*2,0)/2)))</f>
        <v/>
      </c>
      <c r="AP488">
        <f>IF(OR(AP$4="",$A488&gt;TODAY()),0,IF(OR(INDEX($B488:$D488,AP$5)="F",AND(AP$6&gt;0,$A488&lt;AP$6),AND(AP$7&gt;0,$A488&gt;AP$7)),0,MAX(0,ROUND((INDEX($E488:$G488,AP$5)-SUMIFS(TF_Timer,TF_Tekniker,AP$4,TF_Dato,$A488))*2,0)/2)))</f>
        <v/>
      </c>
      <c r="AQ488">
        <f>IF(OR(AQ$4="",$A488&gt;TODAY()),0,IF(OR(INDEX($B488:$D488,AQ$5)="F",AND(AQ$6&gt;0,$A488&lt;AQ$6),AND(AQ$7&gt;0,$A488&gt;AQ$7)),0,MAX(0,ROUND((INDEX($E488:$G488,AQ$5)-SUMIFS(TF_Timer,TF_Tekniker,AQ$4,TF_Dato,$A488))*2,0)/2)))</f>
        <v/>
      </c>
      <c r="AR488">
        <f>IF(OR(AR$4="",$A488&gt;TODAY()),0,IF(OR(INDEX($B488:$D488,AR$5)="F",AND(AR$6&gt;0,$A488&lt;AR$6),AND(AR$7&gt;0,$A488&gt;AR$7)),0,MAX(0,ROUND((INDEX($E488:$G488,AR$5)-SUMIFS(TF_Timer,TF_Tekniker,AR$4,TF_Dato,$A488))*2,0)/2)))</f>
        <v/>
      </c>
      <c r="AS488">
        <f>IF(OR(AS$4="",$A488&gt;TODAY()),0,IF(OR(INDEX($B488:$D488,AS$5)="F",AND(AS$6&gt;0,$A488&lt;AS$6),AND(AS$7&gt;0,$A488&gt;AS$7)),0,MAX(0,ROUND((INDEX($E488:$G488,AS$5)-SUMIFS(TF_Timer,TF_Tekniker,AS$4,TF_Dato,$A488))*2,0)/2)))</f>
        <v/>
      </c>
      <c r="AT488">
        <f>IF(OR(AT$4="",$A488&gt;TODAY()),0,IF(OR(INDEX($B488:$D488,AT$5)="F",AND(AT$6&gt;0,$A488&lt;AT$6),AND(AT$7&gt;0,$A488&gt;AT$7)),0,MAX(0,ROUND((INDEX($E488:$G488,AT$5)-SUMIFS(TF_Timer,TF_Tekniker,AT$4,TF_Dato,$A488))*2,0)/2)))</f>
        <v/>
      </c>
      <c r="AU488">
        <f>IF(OR(AU$4="",$A488&gt;TODAY()),0,IF(OR(INDEX($B488:$D488,AU$5)="F",AND(AU$6&gt;0,$A488&lt;AU$6),AND(AU$7&gt;0,$A488&gt;AU$7)),0,MAX(0,ROUND((INDEX($E488:$G488,AU$5)-SUMIFS(TF_Timer,TF_Tekniker,AU$4,TF_Dato,$A488))*2,0)/2)))</f>
        <v/>
      </c>
      <c r="AV488">
        <f>IF(OR(AV$4="",$A488&gt;TODAY()),0,IF(OR(INDEX($B488:$D488,AV$5)="F",AND(AV$6&gt;0,$A488&lt;AV$6),AND(AV$7&gt;0,$A488&gt;AV$7)),0,MAX(0,ROUND((INDEX($E488:$G488,AV$5)-SUMIFS(TF_Timer,TF_Tekniker,AV$4,TF_Dato,$A488))*2,0)/2)))</f>
        <v/>
      </c>
      <c r="AW488">
        <f>IF(OR(AW$4="",$A488&gt;TODAY()),0,IF(OR(INDEX($B488:$D488,AW$5)="F",AND(AW$6&gt;0,$A488&lt;AW$6),AND(AW$7&gt;0,$A488&gt;AW$7)),0,MAX(0,ROUND((INDEX($E488:$G488,AW$5)-SUMIFS(TF_Timer,TF_Tekniker,AW$4,TF_Dato,$A488))*2,0)/2)))</f>
        <v/>
      </c>
      <c r="AX488">
        <f>IF(OR(AX$4="",$A488&gt;TODAY()),0,IF(OR(INDEX($B488:$D488,AX$5)="F",AND(AX$6&gt;0,$A488&lt;AX$6),AND(AX$7&gt;0,$A488&gt;AX$7)),0,MAX(0,ROUND((INDEX($E488:$G488,AX$5)-SUMIFS(TF_Timer,TF_Tekniker,AX$4,TF_Dato,$A488))*2,0)/2)))</f>
        <v/>
      </c>
      <c r="AY488">
        <f>IF(OR(AY$4="",$A488&gt;TODAY()),0,IF(OR(INDEX($B488:$D488,AY$5)="F",AND(AY$6&gt;0,$A488&lt;AY$6),AND(AY$7&gt;0,$A488&gt;AY$7)),0,MAX(0,ROUND((INDEX($E488:$G488,AY$5)-SUMIFS(TF_Timer,TF_Tekniker,AY$4,TF_Dato,$A488))*2,0)/2)))</f>
        <v/>
      </c>
      <c r="AZ488">
        <f>IF(OR(AZ$4="",$A488&gt;TODAY()),0,IF(OR(INDEX($B488:$D488,AZ$5)="F",AND(AZ$6&gt;0,$A488&lt;AZ$6),AND(AZ$7&gt;0,$A488&gt;AZ$7)),0,MAX(0,ROUND((INDEX($E488:$G488,AZ$5)-SUMIFS(TF_Timer,TF_Tekniker,AZ$4,TF_Dato,$A488))*2,0)/2)))</f>
        <v/>
      </c>
      <c r="BA488">
        <f>IF(OR(BA$4="",$A488&gt;TODAY()),0,IF(OR(INDEX($B488:$D488,BA$5)="F",AND(BA$6&gt;0,$A488&lt;BA$6),AND(BA$7&gt;0,$A488&gt;BA$7)),0,MAX(0,ROUND((INDEX($E488:$G488,BA$5)-SUMIFS(TF_Timer,TF_Tekniker,BA$4,TF_Dato,$A488))*2,0)/2)))</f>
        <v/>
      </c>
      <c r="BB488">
        <f>IF(OR(BB$4="",$A488&gt;TODAY()),0,IF(OR(INDEX($B488:$D488,BB$5)="F",AND(BB$6&gt;0,$A488&lt;BB$6),AND(BB$7&gt;0,$A488&gt;BB$7)),0,MAX(0,ROUND((INDEX($E488:$G488,BB$5)-SUMIFS(TF_Timer,TF_Tekniker,BB$4,TF_Dato,$A488))*2,0)/2)))</f>
        <v/>
      </c>
      <c r="BC488">
        <f>IF(OR(BC$4="",$A488&gt;TODAY()),0,IF(OR(INDEX($B488:$D488,BC$5)="F",AND(BC$6&gt;0,$A488&lt;BC$6),AND(BC$7&gt;0,$A488&gt;BC$7)),0,MAX(0,ROUND((INDEX($E488:$G488,BC$5)-SUMIFS(TF_Timer,TF_Tekniker,BC$4,TF_Dato,$A488))*2,0)/2)))</f>
        <v/>
      </c>
      <c r="BD488">
        <f>IF(OR(BD$4="",$A488&gt;TODAY()),0,IF(OR(INDEX($B488:$D488,BD$5)="F",AND(BD$6&gt;0,$A488&lt;BD$6),AND(BD$7&gt;0,$A488&gt;BD$7)),0,MAX(0,ROUND((INDEX($E488:$G488,BD$5)-SUMIFS(TF_Timer,TF_Tekniker,BD$4,TF_Dato,$A488))*2,0)/2)))</f>
        <v/>
      </c>
      <c r="BE488">
        <f>IF(OR(BE$4="",$A488&gt;TODAY()),0,IF(OR(INDEX($B488:$D488,BE$5)="F",AND(BE$6&gt;0,$A488&lt;BE$6),AND(BE$7&gt;0,$A488&gt;BE$7)),0,MAX(0,ROUND((INDEX($E488:$G488,BE$5)-SUMIFS(TF_Timer,TF_Tekniker,BE$4,TF_Dato,$A488))*2,0)/2)))</f>
        <v/>
      </c>
      <c r="BF488">
        <f>IF(OR(BF$4="",$A488&gt;TODAY()),0,IF(OR(INDEX($B488:$D488,BF$5)="F",AND(BF$6&gt;0,$A488&lt;BF$6),AND(BF$7&gt;0,$A488&gt;BF$7)),0,MAX(0,ROUND((INDEX($E488:$G488,BF$5)-SUMIFS(TF_Timer,TF_Tekniker,BF$4,TF_Dato,$A488))*2,0)/2)))</f>
        <v/>
      </c>
      <c r="BG488">
        <f>IF(OR(BG$4="",$A488&gt;TODAY()),0,IF(OR(INDEX($B488:$D488,BG$5)="F",AND(BG$6&gt;0,$A488&lt;BG$6),AND(BG$7&gt;0,$A488&gt;BG$7)),0,MAX(0,ROUND((INDEX($E488:$G488,BG$5)-SUMIFS(TF_Timer,TF_Tekniker,BG$4,TF_Dato,$A488))*2,0)/2)))</f>
        <v/>
      </c>
      <c r="BH488">
        <f>IF(OR(BH$4="",$A488&gt;TODAY()),0,IF(OR(INDEX($B488:$D488,BH$5)="F",AND(BH$6&gt;0,$A488&lt;BH$6),AND(BH$7&gt;0,$A488&gt;BH$7)),0,MAX(0,ROUND((INDEX($E488:$G488,BH$5)-SUMIFS(TF_Timer,TF_Tekniker,BH$4,TF_Dato,$A488))*2,0)/2)))</f>
        <v/>
      </c>
      <c r="BI488">
        <f>IF(OR(BI$4="",$A488&gt;TODAY()),0,IF(OR(INDEX($B488:$D488,BI$5)="F",AND(BI$6&gt;0,$A488&lt;BI$6),AND(BI$7&gt;0,$A488&gt;BI$7)),0,MAX(0,ROUND((INDEX($E488:$G488,BI$5)-SUMIFS(TF_Timer,TF_Tekniker,BI$4,TF_Dato,$A488))*2,0)/2)))</f>
        <v/>
      </c>
    </row>
    <row r="489">
      <c r="A489" s="64">
        <f>A488+1</f>
        <v/>
      </c>
      <c r="B489">
        <f>IF(MOD($A489-INDEX(SkiftStart,1),Syklus)&lt;DagK,"K",IF(MOD($A489-INDEX(SkiftStart,1),Syklus)&lt;DagK+DagH,"H",IF(MOD($A489-INDEX(SkiftStart,1),Syklus)&lt;DagK+DagH+DagD,"D","F")))</f>
        <v/>
      </c>
      <c r="C489">
        <f>IF(MOD($A489-INDEX(SkiftStart,2),Syklus)&lt;DagK,"K",IF(MOD($A489-INDEX(SkiftStart,2),Syklus)&lt;DagK+DagH,"H",IF(MOD($A489-INDEX(SkiftStart,2),Syklus)&lt;DagK+DagH+DagD,"D","F")))</f>
        <v/>
      </c>
      <c r="D489">
        <f>IF(MOD($A489-INDEX(SkiftStart,3),Syklus)&lt;DagK,"K",IF(MOD($A489-INDEX(SkiftStart,3),Syklus)&lt;DagK+DagH,"H",IF(MOD($A489-INDEX(SkiftStart,3),Syklus)&lt;DagK+DagH+DagD,"D","F")))</f>
        <v/>
      </c>
      <c r="E489">
        <f>IF(B489="F",0,IF(WEEKDAY($A489,2)=5,INDEX(TimerFr,MATCH(B489,FaseKode,0)),INDEX(TimerMT,MATCH(B489,FaseKode,0))))</f>
        <v/>
      </c>
      <c r="F489">
        <f>IF(C489="F",0,IF(WEEKDAY($A489,2)=5,INDEX(TimerFr,MATCH(C489,FaseKode,0)),INDEX(TimerMT,MATCH(C489,FaseKode,0))))</f>
        <v/>
      </c>
      <c r="G489">
        <f>IF(D489="F",0,IF(WEEKDAY($A489,2)=5,INDEX(TimerFr,MATCH(D489,FaseKode,0)),INDEX(TimerMT,MATCH(D489,FaseKode,0))))</f>
        <v/>
      </c>
      <c r="H489">
        <f>IF(OR(H$4="",$A489&gt;TODAY()),0,IF(OR(INDEX($B489:$D489,H$5)="F",AND(H$6&gt;0,$A489&lt;H$6),AND(H$7&gt;0,$A489&gt;H$7)),0,MAX(0,ROUND((INDEX($E489:$G489,H$5)-SUMIFS(TF_Timer,TF_Tekniker,H$4,TF_Dato,$A489))*2,0)/2)))</f>
        <v/>
      </c>
      <c r="I489">
        <f>IF(OR(I$4="",$A489&gt;TODAY()),0,IF(OR(INDEX($B489:$D489,I$5)="F",AND(I$6&gt;0,$A489&lt;I$6),AND(I$7&gt;0,$A489&gt;I$7)),0,MAX(0,ROUND((INDEX($E489:$G489,I$5)-SUMIFS(TF_Timer,TF_Tekniker,I$4,TF_Dato,$A489))*2,0)/2)))</f>
        <v/>
      </c>
      <c r="J489">
        <f>IF(OR(J$4="",$A489&gt;TODAY()),0,IF(OR(INDEX($B489:$D489,J$5)="F",AND(J$6&gt;0,$A489&lt;J$6),AND(J$7&gt;0,$A489&gt;J$7)),0,MAX(0,ROUND((INDEX($E489:$G489,J$5)-SUMIFS(TF_Timer,TF_Tekniker,J$4,TF_Dato,$A489))*2,0)/2)))</f>
        <v/>
      </c>
      <c r="K489">
        <f>IF(OR(K$4="",$A489&gt;TODAY()),0,IF(OR(INDEX($B489:$D489,K$5)="F",AND(K$6&gt;0,$A489&lt;K$6),AND(K$7&gt;0,$A489&gt;K$7)),0,MAX(0,ROUND((INDEX($E489:$G489,K$5)-SUMIFS(TF_Timer,TF_Tekniker,K$4,TF_Dato,$A489))*2,0)/2)))</f>
        <v/>
      </c>
      <c r="L489">
        <f>IF(OR(L$4="",$A489&gt;TODAY()),0,IF(OR(INDEX($B489:$D489,L$5)="F",AND(L$6&gt;0,$A489&lt;L$6),AND(L$7&gt;0,$A489&gt;L$7)),0,MAX(0,ROUND((INDEX($E489:$G489,L$5)-SUMIFS(TF_Timer,TF_Tekniker,L$4,TF_Dato,$A489))*2,0)/2)))</f>
        <v/>
      </c>
      <c r="M489">
        <f>IF(OR(M$4="",$A489&gt;TODAY()),0,IF(OR(INDEX($B489:$D489,M$5)="F",AND(M$6&gt;0,$A489&lt;M$6),AND(M$7&gt;0,$A489&gt;M$7)),0,MAX(0,ROUND((INDEX($E489:$G489,M$5)-SUMIFS(TF_Timer,TF_Tekniker,M$4,TF_Dato,$A489))*2,0)/2)))</f>
        <v/>
      </c>
      <c r="N489">
        <f>IF(OR(N$4="",$A489&gt;TODAY()),0,IF(OR(INDEX($B489:$D489,N$5)="F",AND(N$6&gt;0,$A489&lt;N$6),AND(N$7&gt;0,$A489&gt;N$7)),0,MAX(0,ROUND((INDEX($E489:$G489,N$5)-SUMIFS(TF_Timer,TF_Tekniker,N$4,TF_Dato,$A489))*2,0)/2)))</f>
        <v/>
      </c>
      <c r="O489">
        <f>IF(OR(O$4="",$A489&gt;TODAY()),0,IF(OR(INDEX($B489:$D489,O$5)="F",AND(O$6&gt;0,$A489&lt;O$6),AND(O$7&gt;0,$A489&gt;O$7)),0,MAX(0,ROUND((INDEX($E489:$G489,O$5)-SUMIFS(TF_Timer,TF_Tekniker,O$4,TF_Dato,$A489))*2,0)/2)))</f>
        <v/>
      </c>
      <c r="P489">
        <f>IF(OR(P$4="",$A489&gt;TODAY()),0,IF(OR(INDEX($B489:$D489,P$5)="F",AND(P$6&gt;0,$A489&lt;P$6),AND(P$7&gt;0,$A489&gt;P$7)),0,MAX(0,ROUND((INDEX($E489:$G489,P$5)-SUMIFS(TF_Timer,TF_Tekniker,P$4,TF_Dato,$A489))*2,0)/2)))</f>
        <v/>
      </c>
      <c r="Q489">
        <f>IF(OR(Q$4="",$A489&gt;TODAY()),0,IF(OR(INDEX($B489:$D489,Q$5)="F",AND(Q$6&gt;0,$A489&lt;Q$6),AND(Q$7&gt;0,$A489&gt;Q$7)),0,MAX(0,ROUND((INDEX($E489:$G489,Q$5)-SUMIFS(TF_Timer,TF_Tekniker,Q$4,TF_Dato,$A489))*2,0)/2)))</f>
        <v/>
      </c>
      <c r="R489">
        <f>IF(OR(R$4="",$A489&gt;TODAY()),0,IF(OR(INDEX($B489:$D489,R$5)="F",AND(R$6&gt;0,$A489&lt;R$6),AND(R$7&gt;0,$A489&gt;R$7)),0,MAX(0,ROUND((INDEX($E489:$G489,R$5)-SUMIFS(TF_Timer,TF_Tekniker,R$4,TF_Dato,$A489))*2,0)/2)))</f>
        <v/>
      </c>
      <c r="S489">
        <f>IF(OR(S$4="",$A489&gt;TODAY()),0,IF(OR(INDEX($B489:$D489,S$5)="F",AND(S$6&gt;0,$A489&lt;S$6),AND(S$7&gt;0,$A489&gt;S$7)),0,MAX(0,ROUND((INDEX($E489:$G489,S$5)-SUMIFS(TF_Timer,TF_Tekniker,S$4,TF_Dato,$A489))*2,0)/2)))</f>
        <v/>
      </c>
      <c r="T489">
        <f>IF(OR(T$4="",$A489&gt;TODAY()),0,IF(OR(INDEX($B489:$D489,T$5)="F",AND(T$6&gt;0,$A489&lt;T$6),AND(T$7&gt;0,$A489&gt;T$7)),0,MAX(0,ROUND((INDEX($E489:$G489,T$5)-SUMIFS(TF_Timer,TF_Tekniker,T$4,TF_Dato,$A489))*2,0)/2)))</f>
        <v/>
      </c>
      <c r="U489">
        <f>IF(OR(U$4="",$A489&gt;TODAY()),0,IF(OR(INDEX($B489:$D489,U$5)="F",AND(U$6&gt;0,$A489&lt;U$6),AND(U$7&gt;0,$A489&gt;U$7)),0,MAX(0,ROUND((INDEX($E489:$G489,U$5)-SUMIFS(TF_Timer,TF_Tekniker,U$4,TF_Dato,$A489))*2,0)/2)))</f>
        <v/>
      </c>
      <c r="V489">
        <f>IF(OR(V$4="",$A489&gt;TODAY()),0,IF(OR(INDEX($B489:$D489,V$5)="F",AND(V$6&gt;0,$A489&lt;V$6),AND(V$7&gt;0,$A489&gt;V$7)),0,MAX(0,ROUND((INDEX($E489:$G489,V$5)-SUMIFS(TF_Timer,TF_Tekniker,V$4,TF_Dato,$A489))*2,0)/2)))</f>
        <v/>
      </c>
      <c r="W489">
        <f>IF(OR(W$4="",$A489&gt;TODAY()),0,IF(OR(INDEX($B489:$D489,W$5)="F",AND(W$6&gt;0,$A489&lt;W$6),AND(W$7&gt;0,$A489&gt;W$7)),0,MAX(0,ROUND((INDEX($E489:$G489,W$5)-SUMIFS(TF_Timer,TF_Tekniker,W$4,TF_Dato,$A489))*2,0)/2)))</f>
        <v/>
      </c>
      <c r="X489">
        <f>IF(OR(X$4="",$A489&gt;TODAY()),0,IF(OR(INDEX($B489:$D489,X$5)="F",AND(X$6&gt;0,$A489&lt;X$6),AND(X$7&gt;0,$A489&gt;X$7)),0,MAX(0,ROUND((INDEX($E489:$G489,X$5)-SUMIFS(TF_Timer,TF_Tekniker,X$4,TF_Dato,$A489))*2,0)/2)))</f>
        <v/>
      </c>
      <c r="Y489">
        <f>IF(OR(Y$4="",$A489&gt;TODAY()),0,IF(OR(INDEX($B489:$D489,Y$5)="F",AND(Y$6&gt;0,$A489&lt;Y$6),AND(Y$7&gt;0,$A489&gt;Y$7)),0,MAX(0,ROUND((INDEX($E489:$G489,Y$5)-SUMIFS(TF_Timer,TF_Tekniker,Y$4,TF_Dato,$A489))*2,0)/2)))</f>
        <v/>
      </c>
      <c r="Z489">
        <f>IF(OR(Z$4="",$A489&gt;TODAY()),0,IF(OR(INDEX($B489:$D489,Z$5)="F",AND(Z$6&gt;0,$A489&lt;Z$6),AND(Z$7&gt;0,$A489&gt;Z$7)),0,MAX(0,ROUND((INDEX($E489:$G489,Z$5)-SUMIFS(TF_Timer,TF_Tekniker,Z$4,TF_Dato,$A489))*2,0)/2)))</f>
        <v/>
      </c>
      <c r="AA489">
        <f>IF(OR(AA$4="",$A489&gt;TODAY()),0,IF(OR(INDEX($B489:$D489,AA$5)="F",AND(AA$6&gt;0,$A489&lt;AA$6),AND(AA$7&gt;0,$A489&gt;AA$7)),0,MAX(0,ROUND((INDEX($E489:$G489,AA$5)-SUMIFS(TF_Timer,TF_Tekniker,AA$4,TF_Dato,$A489))*2,0)/2)))</f>
        <v/>
      </c>
      <c r="AB489">
        <f>IF(OR(AB$4="",$A489&gt;TODAY()),0,IF(OR(INDEX($B489:$D489,AB$5)="F",AND(AB$6&gt;0,$A489&lt;AB$6),AND(AB$7&gt;0,$A489&gt;AB$7)),0,MAX(0,ROUND((INDEX($E489:$G489,AB$5)-SUMIFS(TF_Timer,TF_Tekniker,AB$4,TF_Dato,$A489))*2,0)/2)))</f>
        <v/>
      </c>
      <c r="AC489">
        <f>IF(OR(AC$4="",$A489&gt;TODAY()),0,IF(OR(INDEX($B489:$D489,AC$5)="F",AND(AC$6&gt;0,$A489&lt;AC$6),AND(AC$7&gt;0,$A489&gt;AC$7)),0,MAX(0,ROUND((INDEX($E489:$G489,AC$5)-SUMIFS(TF_Timer,TF_Tekniker,AC$4,TF_Dato,$A489))*2,0)/2)))</f>
        <v/>
      </c>
      <c r="AD489">
        <f>IF(OR(AD$4="",$A489&gt;TODAY()),0,IF(OR(INDEX($B489:$D489,AD$5)="F",AND(AD$6&gt;0,$A489&lt;AD$6),AND(AD$7&gt;0,$A489&gt;AD$7)),0,MAX(0,ROUND((INDEX($E489:$G489,AD$5)-SUMIFS(TF_Timer,TF_Tekniker,AD$4,TF_Dato,$A489))*2,0)/2)))</f>
        <v/>
      </c>
      <c r="AE489">
        <f>IF(OR(AE$4="",$A489&gt;TODAY()),0,IF(OR(INDEX($B489:$D489,AE$5)="F",AND(AE$6&gt;0,$A489&lt;AE$6),AND(AE$7&gt;0,$A489&gt;AE$7)),0,MAX(0,ROUND((INDEX($E489:$G489,AE$5)-SUMIFS(TF_Timer,TF_Tekniker,AE$4,TF_Dato,$A489))*2,0)/2)))</f>
        <v/>
      </c>
      <c r="AF489">
        <f>IF(OR(AF$4="",$A489&gt;TODAY()),0,IF(OR(INDEX($B489:$D489,AF$5)="F",AND(AF$6&gt;0,$A489&lt;AF$6),AND(AF$7&gt;0,$A489&gt;AF$7)),0,MAX(0,ROUND((INDEX($E489:$G489,AF$5)-SUMIFS(TF_Timer,TF_Tekniker,AF$4,TF_Dato,$A489))*2,0)/2)))</f>
        <v/>
      </c>
      <c r="AG489">
        <f>IF(OR(AG$4="",$A489&gt;TODAY()),0,IF(OR(INDEX($B489:$D489,AG$5)="F",AND(AG$6&gt;0,$A489&lt;AG$6),AND(AG$7&gt;0,$A489&gt;AG$7)),0,MAX(0,ROUND((INDEX($E489:$G489,AG$5)-SUMIFS(TF_Timer,TF_Tekniker,AG$4,TF_Dato,$A489))*2,0)/2)))</f>
        <v/>
      </c>
      <c r="AH489">
        <f>IF(OR(AH$4="",$A489&gt;TODAY()),0,IF(OR(INDEX($B489:$D489,AH$5)="F",AND(AH$6&gt;0,$A489&lt;AH$6),AND(AH$7&gt;0,$A489&gt;AH$7)),0,MAX(0,ROUND((INDEX($E489:$G489,AH$5)-SUMIFS(TF_Timer,TF_Tekniker,AH$4,TF_Dato,$A489))*2,0)/2)))</f>
        <v/>
      </c>
      <c r="AI489">
        <f>IF(OR(AI$4="",$A489&gt;TODAY()),0,IF(OR(INDEX($B489:$D489,AI$5)="F",AND(AI$6&gt;0,$A489&lt;AI$6),AND(AI$7&gt;0,$A489&gt;AI$7)),0,MAX(0,ROUND((INDEX($E489:$G489,AI$5)-SUMIFS(TF_Timer,TF_Tekniker,AI$4,TF_Dato,$A489))*2,0)/2)))</f>
        <v/>
      </c>
      <c r="AJ489">
        <f>IF(OR(AJ$4="",$A489&gt;TODAY()),0,IF(OR(INDEX($B489:$D489,AJ$5)="F",AND(AJ$6&gt;0,$A489&lt;AJ$6),AND(AJ$7&gt;0,$A489&gt;AJ$7)),0,MAX(0,ROUND((INDEX($E489:$G489,AJ$5)-SUMIFS(TF_Timer,TF_Tekniker,AJ$4,TF_Dato,$A489))*2,0)/2)))</f>
        <v/>
      </c>
      <c r="AK489">
        <f>IF(OR(AK$4="",$A489&gt;TODAY()),0,IF(OR(INDEX($B489:$D489,AK$5)="F",AND(AK$6&gt;0,$A489&lt;AK$6),AND(AK$7&gt;0,$A489&gt;AK$7)),0,MAX(0,ROUND((INDEX($E489:$G489,AK$5)-SUMIFS(TF_Timer,TF_Tekniker,AK$4,TF_Dato,$A489))*2,0)/2)))</f>
        <v/>
      </c>
      <c r="AL489">
        <f>IF(OR(AL$4="",$A489&gt;TODAY()),0,IF(OR(INDEX($B489:$D489,AL$5)="F",AND(AL$6&gt;0,$A489&lt;AL$6),AND(AL$7&gt;0,$A489&gt;AL$7)),0,MAX(0,ROUND((INDEX($E489:$G489,AL$5)-SUMIFS(TF_Timer,TF_Tekniker,AL$4,TF_Dato,$A489))*2,0)/2)))</f>
        <v/>
      </c>
      <c r="AM489">
        <f>IF(OR(AM$4="",$A489&gt;TODAY()),0,IF(OR(INDEX($B489:$D489,AM$5)="F",AND(AM$6&gt;0,$A489&lt;AM$6),AND(AM$7&gt;0,$A489&gt;AM$7)),0,MAX(0,ROUND((INDEX($E489:$G489,AM$5)-SUMIFS(TF_Timer,TF_Tekniker,AM$4,TF_Dato,$A489))*2,0)/2)))</f>
        <v/>
      </c>
      <c r="AN489">
        <f>IF(OR(AN$4="",$A489&gt;TODAY()),0,IF(OR(INDEX($B489:$D489,AN$5)="F",AND(AN$6&gt;0,$A489&lt;AN$6),AND(AN$7&gt;0,$A489&gt;AN$7)),0,MAX(0,ROUND((INDEX($E489:$G489,AN$5)-SUMIFS(TF_Timer,TF_Tekniker,AN$4,TF_Dato,$A489))*2,0)/2)))</f>
        <v/>
      </c>
      <c r="AO489">
        <f>IF(OR(AO$4="",$A489&gt;TODAY()),0,IF(OR(INDEX($B489:$D489,AO$5)="F",AND(AO$6&gt;0,$A489&lt;AO$6),AND(AO$7&gt;0,$A489&gt;AO$7)),0,MAX(0,ROUND((INDEX($E489:$G489,AO$5)-SUMIFS(TF_Timer,TF_Tekniker,AO$4,TF_Dato,$A489))*2,0)/2)))</f>
        <v/>
      </c>
      <c r="AP489">
        <f>IF(OR(AP$4="",$A489&gt;TODAY()),0,IF(OR(INDEX($B489:$D489,AP$5)="F",AND(AP$6&gt;0,$A489&lt;AP$6),AND(AP$7&gt;0,$A489&gt;AP$7)),0,MAX(0,ROUND((INDEX($E489:$G489,AP$5)-SUMIFS(TF_Timer,TF_Tekniker,AP$4,TF_Dato,$A489))*2,0)/2)))</f>
        <v/>
      </c>
      <c r="AQ489">
        <f>IF(OR(AQ$4="",$A489&gt;TODAY()),0,IF(OR(INDEX($B489:$D489,AQ$5)="F",AND(AQ$6&gt;0,$A489&lt;AQ$6),AND(AQ$7&gt;0,$A489&gt;AQ$7)),0,MAX(0,ROUND((INDEX($E489:$G489,AQ$5)-SUMIFS(TF_Timer,TF_Tekniker,AQ$4,TF_Dato,$A489))*2,0)/2)))</f>
        <v/>
      </c>
      <c r="AR489">
        <f>IF(OR(AR$4="",$A489&gt;TODAY()),0,IF(OR(INDEX($B489:$D489,AR$5)="F",AND(AR$6&gt;0,$A489&lt;AR$6),AND(AR$7&gt;0,$A489&gt;AR$7)),0,MAX(0,ROUND((INDEX($E489:$G489,AR$5)-SUMIFS(TF_Timer,TF_Tekniker,AR$4,TF_Dato,$A489))*2,0)/2)))</f>
        <v/>
      </c>
      <c r="AS489">
        <f>IF(OR(AS$4="",$A489&gt;TODAY()),0,IF(OR(INDEX($B489:$D489,AS$5)="F",AND(AS$6&gt;0,$A489&lt;AS$6),AND(AS$7&gt;0,$A489&gt;AS$7)),0,MAX(0,ROUND((INDEX($E489:$G489,AS$5)-SUMIFS(TF_Timer,TF_Tekniker,AS$4,TF_Dato,$A489))*2,0)/2)))</f>
        <v/>
      </c>
      <c r="AT489">
        <f>IF(OR(AT$4="",$A489&gt;TODAY()),0,IF(OR(INDEX($B489:$D489,AT$5)="F",AND(AT$6&gt;0,$A489&lt;AT$6),AND(AT$7&gt;0,$A489&gt;AT$7)),0,MAX(0,ROUND((INDEX($E489:$G489,AT$5)-SUMIFS(TF_Timer,TF_Tekniker,AT$4,TF_Dato,$A489))*2,0)/2)))</f>
        <v/>
      </c>
      <c r="AU489">
        <f>IF(OR(AU$4="",$A489&gt;TODAY()),0,IF(OR(INDEX($B489:$D489,AU$5)="F",AND(AU$6&gt;0,$A489&lt;AU$6),AND(AU$7&gt;0,$A489&gt;AU$7)),0,MAX(0,ROUND((INDEX($E489:$G489,AU$5)-SUMIFS(TF_Timer,TF_Tekniker,AU$4,TF_Dato,$A489))*2,0)/2)))</f>
        <v/>
      </c>
      <c r="AV489">
        <f>IF(OR(AV$4="",$A489&gt;TODAY()),0,IF(OR(INDEX($B489:$D489,AV$5)="F",AND(AV$6&gt;0,$A489&lt;AV$6),AND(AV$7&gt;0,$A489&gt;AV$7)),0,MAX(0,ROUND((INDEX($E489:$G489,AV$5)-SUMIFS(TF_Timer,TF_Tekniker,AV$4,TF_Dato,$A489))*2,0)/2)))</f>
        <v/>
      </c>
      <c r="AW489">
        <f>IF(OR(AW$4="",$A489&gt;TODAY()),0,IF(OR(INDEX($B489:$D489,AW$5)="F",AND(AW$6&gt;0,$A489&lt;AW$6),AND(AW$7&gt;0,$A489&gt;AW$7)),0,MAX(0,ROUND((INDEX($E489:$G489,AW$5)-SUMIFS(TF_Timer,TF_Tekniker,AW$4,TF_Dato,$A489))*2,0)/2)))</f>
        <v/>
      </c>
      <c r="AX489">
        <f>IF(OR(AX$4="",$A489&gt;TODAY()),0,IF(OR(INDEX($B489:$D489,AX$5)="F",AND(AX$6&gt;0,$A489&lt;AX$6),AND(AX$7&gt;0,$A489&gt;AX$7)),0,MAX(0,ROUND((INDEX($E489:$G489,AX$5)-SUMIFS(TF_Timer,TF_Tekniker,AX$4,TF_Dato,$A489))*2,0)/2)))</f>
        <v/>
      </c>
      <c r="AY489">
        <f>IF(OR(AY$4="",$A489&gt;TODAY()),0,IF(OR(INDEX($B489:$D489,AY$5)="F",AND(AY$6&gt;0,$A489&lt;AY$6),AND(AY$7&gt;0,$A489&gt;AY$7)),0,MAX(0,ROUND((INDEX($E489:$G489,AY$5)-SUMIFS(TF_Timer,TF_Tekniker,AY$4,TF_Dato,$A489))*2,0)/2)))</f>
        <v/>
      </c>
      <c r="AZ489">
        <f>IF(OR(AZ$4="",$A489&gt;TODAY()),0,IF(OR(INDEX($B489:$D489,AZ$5)="F",AND(AZ$6&gt;0,$A489&lt;AZ$6),AND(AZ$7&gt;0,$A489&gt;AZ$7)),0,MAX(0,ROUND((INDEX($E489:$G489,AZ$5)-SUMIFS(TF_Timer,TF_Tekniker,AZ$4,TF_Dato,$A489))*2,0)/2)))</f>
        <v/>
      </c>
      <c r="BA489">
        <f>IF(OR(BA$4="",$A489&gt;TODAY()),0,IF(OR(INDEX($B489:$D489,BA$5)="F",AND(BA$6&gt;0,$A489&lt;BA$6),AND(BA$7&gt;0,$A489&gt;BA$7)),0,MAX(0,ROUND((INDEX($E489:$G489,BA$5)-SUMIFS(TF_Timer,TF_Tekniker,BA$4,TF_Dato,$A489))*2,0)/2)))</f>
        <v/>
      </c>
      <c r="BB489">
        <f>IF(OR(BB$4="",$A489&gt;TODAY()),0,IF(OR(INDEX($B489:$D489,BB$5)="F",AND(BB$6&gt;0,$A489&lt;BB$6),AND(BB$7&gt;0,$A489&gt;BB$7)),0,MAX(0,ROUND((INDEX($E489:$G489,BB$5)-SUMIFS(TF_Timer,TF_Tekniker,BB$4,TF_Dato,$A489))*2,0)/2)))</f>
        <v/>
      </c>
      <c r="BC489">
        <f>IF(OR(BC$4="",$A489&gt;TODAY()),0,IF(OR(INDEX($B489:$D489,BC$5)="F",AND(BC$6&gt;0,$A489&lt;BC$6),AND(BC$7&gt;0,$A489&gt;BC$7)),0,MAX(0,ROUND((INDEX($E489:$G489,BC$5)-SUMIFS(TF_Timer,TF_Tekniker,BC$4,TF_Dato,$A489))*2,0)/2)))</f>
        <v/>
      </c>
      <c r="BD489">
        <f>IF(OR(BD$4="",$A489&gt;TODAY()),0,IF(OR(INDEX($B489:$D489,BD$5)="F",AND(BD$6&gt;0,$A489&lt;BD$6),AND(BD$7&gt;0,$A489&gt;BD$7)),0,MAX(0,ROUND((INDEX($E489:$G489,BD$5)-SUMIFS(TF_Timer,TF_Tekniker,BD$4,TF_Dato,$A489))*2,0)/2)))</f>
        <v/>
      </c>
      <c r="BE489">
        <f>IF(OR(BE$4="",$A489&gt;TODAY()),0,IF(OR(INDEX($B489:$D489,BE$5)="F",AND(BE$6&gt;0,$A489&lt;BE$6),AND(BE$7&gt;0,$A489&gt;BE$7)),0,MAX(0,ROUND((INDEX($E489:$G489,BE$5)-SUMIFS(TF_Timer,TF_Tekniker,BE$4,TF_Dato,$A489))*2,0)/2)))</f>
        <v/>
      </c>
      <c r="BF489">
        <f>IF(OR(BF$4="",$A489&gt;TODAY()),0,IF(OR(INDEX($B489:$D489,BF$5)="F",AND(BF$6&gt;0,$A489&lt;BF$6),AND(BF$7&gt;0,$A489&gt;BF$7)),0,MAX(0,ROUND((INDEX($E489:$G489,BF$5)-SUMIFS(TF_Timer,TF_Tekniker,BF$4,TF_Dato,$A489))*2,0)/2)))</f>
        <v/>
      </c>
      <c r="BG489">
        <f>IF(OR(BG$4="",$A489&gt;TODAY()),0,IF(OR(INDEX($B489:$D489,BG$5)="F",AND(BG$6&gt;0,$A489&lt;BG$6),AND(BG$7&gt;0,$A489&gt;BG$7)),0,MAX(0,ROUND((INDEX($E489:$G489,BG$5)-SUMIFS(TF_Timer,TF_Tekniker,BG$4,TF_Dato,$A489))*2,0)/2)))</f>
        <v/>
      </c>
      <c r="BH489">
        <f>IF(OR(BH$4="",$A489&gt;TODAY()),0,IF(OR(INDEX($B489:$D489,BH$5)="F",AND(BH$6&gt;0,$A489&lt;BH$6),AND(BH$7&gt;0,$A489&gt;BH$7)),0,MAX(0,ROUND((INDEX($E489:$G489,BH$5)-SUMIFS(TF_Timer,TF_Tekniker,BH$4,TF_Dato,$A489))*2,0)/2)))</f>
        <v/>
      </c>
      <c r="BI489">
        <f>IF(OR(BI$4="",$A489&gt;TODAY()),0,IF(OR(INDEX($B489:$D489,BI$5)="F",AND(BI$6&gt;0,$A489&lt;BI$6),AND(BI$7&gt;0,$A489&gt;BI$7)),0,MAX(0,ROUND((INDEX($E489:$G489,BI$5)-SUMIFS(TF_Timer,TF_Tekniker,BI$4,TF_Dato,$A489))*2,0)/2)))</f>
        <v/>
      </c>
    </row>
    <row r="490">
      <c r="A490" s="64">
        <f>A489+1</f>
        <v/>
      </c>
      <c r="B490">
        <f>IF(MOD($A490-INDEX(SkiftStart,1),Syklus)&lt;DagK,"K",IF(MOD($A490-INDEX(SkiftStart,1),Syklus)&lt;DagK+DagH,"H",IF(MOD($A490-INDEX(SkiftStart,1),Syklus)&lt;DagK+DagH+DagD,"D","F")))</f>
        <v/>
      </c>
      <c r="C490">
        <f>IF(MOD($A490-INDEX(SkiftStart,2),Syklus)&lt;DagK,"K",IF(MOD($A490-INDEX(SkiftStart,2),Syklus)&lt;DagK+DagH,"H",IF(MOD($A490-INDEX(SkiftStart,2),Syklus)&lt;DagK+DagH+DagD,"D","F")))</f>
        <v/>
      </c>
      <c r="D490">
        <f>IF(MOD($A490-INDEX(SkiftStart,3),Syklus)&lt;DagK,"K",IF(MOD($A490-INDEX(SkiftStart,3),Syklus)&lt;DagK+DagH,"H",IF(MOD($A490-INDEX(SkiftStart,3),Syklus)&lt;DagK+DagH+DagD,"D","F")))</f>
        <v/>
      </c>
      <c r="E490">
        <f>IF(B490="F",0,IF(WEEKDAY($A490,2)=5,INDEX(TimerFr,MATCH(B490,FaseKode,0)),INDEX(TimerMT,MATCH(B490,FaseKode,0))))</f>
        <v/>
      </c>
      <c r="F490">
        <f>IF(C490="F",0,IF(WEEKDAY($A490,2)=5,INDEX(TimerFr,MATCH(C490,FaseKode,0)),INDEX(TimerMT,MATCH(C490,FaseKode,0))))</f>
        <v/>
      </c>
      <c r="G490">
        <f>IF(D490="F",0,IF(WEEKDAY($A490,2)=5,INDEX(TimerFr,MATCH(D490,FaseKode,0)),INDEX(TimerMT,MATCH(D490,FaseKode,0))))</f>
        <v/>
      </c>
      <c r="H490">
        <f>IF(OR(H$4="",$A490&gt;TODAY()),0,IF(OR(INDEX($B490:$D490,H$5)="F",AND(H$6&gt;0,$A490&lt;H$6),AND(H$7&gt;0,$A490&gt;H$7)),0,MAX(0,ROUND((INDEX($E490:$G490,H$5)-SUMIFS(TF_Timer,TF_Tekniker,H$4,TF_Dato,$A490))*2,0)/2)))</f>
        <v/>
      </c>
      <c r="I490">
        <f>IF(OR(I$4="",$A490&gt;TODAY()),0,IF(OR(INDEX($B490:$D490,I$5)="F",AND(I$6&gt;0,$A490&lt;I$6),AND(I$7&gt;0,$A490&gt;I$7)),0,MAX(0,ROUND((INDEX($E490:$G490,I$5)-SUMIFS(TF_Timer,TF_Tekniker,I$4,TF_Dato,$A490))*2,0)/2)))</f>
        <v/>
      </c>
      <c r="J490">
        <f>IF(OR(J$4="",$A490&gt;TODAY()),0,IF(OR(INDEX($B490:$D490,J$5)="F",AND(J$6&gt;0,$A490&lt;J$6),AND(J$7&gt;0,$A490&gt;J$7)),0,MAX(0,ROUND((INDEX($E490:$G490,J$5)-SUMIFS(TF_Timer,TF_Tekniker,J$4,TF_Dato,$A490))*2,0)/2)))</f>
        <v/>
      </c>
      <c r="K490">
        <f>IF(OR(K$4="",$A490&gt;TODAY()),0,IF(OR(INDEX($B490:$D490,K$5)="F",AND(K$6&gt;0,$A490&lt;K$6),AND(K$7&gt;0,$A490&gt;K$7)),0,MAX(0,ROUND((INDEX($E490:$G490,K$5)-SUMIFS(TF_Timer,TF_Tekniker,K$4,TF_Dato,$A490))*2,0)/2)))</f>
        <v/>
      </c>
      <c r="L490">
        <f>IF(OR(L$4="",$A490&gt;TODAY()),0,IF(OR(INDEX($B490:$D490,L$5)="F",AND(L$6&gt;0,$A490&lt;L$6),AND(L$7&gt;0,$A490&gt;L$7)),0,MAX(0,ROUND((INDEX($E490:$G490,L$5)-SUMIFS(TF_Timer,TF_Tekniker,L$4,TF_Dato,$A490))*2,0)/2)))</f>
        <v/>
      </c>
      <c r="M490">
        <f>IF(OR(M$4="",$A490&gt;TODAY()),0,IF(OR(INDEX($B490:$D490,M$5)="F",AND(M$6&gt;0,$A490&lt;M$6),AND(M$7&gt;0,$A490&gt;M$7)),0,MAX(0,ROUND((INDEX($E490:$G490,M$5)-SUMIFS(TF_Timer,TF_Tekniker,M$4,TF_Dato,$A490))*2,0)/2)))</f>
        <v/>
      </c>
      <c r="N490">
        <f>IF(OR(N$4="",$A490&gt;TODAY()),0,IF(OR(INDEX($B490:$D490,N$5)="F",AND(N$6&gt;0,$A490&lt;N$6),AND(N$7&gt;0,$A490&gt;N$7)),0,MAX(0,ROUND((INDEX($E490:$G490,N$5)-SUMIFS(TF_Timer,TF_Tekniker,N$4,TF_Dato,$A490))*2,0)/2)))</f>
        <v/>
      </c>
      <c r="O490">
        <f>IF(OR(O$4="",$A490&gt;TODAY()),0,IF(OR(INDEX($B490:$D490,O$5)="F",AND(O$6&gt;0,$A490&lt;O$6),AND(O$7&gt;0,$A490&gt;O$7)),0,MAX(0,ROUND((INDEX($E490:$G490,O$5)-SUMIFS(TF_Timer,TF_Tekniker,O$4,TF_Dato,$A490))*2,0)/2)))</f>
        <v/>
      </c>
      <c r="P490">
        <f>IF(OR(P$4="",$A490&gt;TODAY()),0,IF(OR(INDEX($B490:$D490,P$5)="F",AND(P$6&gt;0,$A490&lt;P$6),AND(P$7&gt;0,$A490&gt;P$7)),0,MAX(0,ROUND((INDEX($E490:$G490,P$5)-SUMIFS(TF_Timer,TF_Tekniker,P$4,TF_Dato,$A490))*2,0)/2)))</f>
        <v/>
      </c>
      <c r="Q490">
        <f>IF(OR(Q$4="",$A490&gt;TODAY()),0,IF(OR(INDEX($B490:$D490,Q$5)="F",AND(Q$6&gt;0,$A490&lt;Q$6),AND(Q$7&gt;0,$A490&gt;Q$7)),0,MAX(0,ROUND((INDEX($E490:$G490,Q$5)-SUMIFS(TF_Timer,TF_Tekniker,Q$4,TF_Dato,$A490))*2,0)/2)))</f>
        <v/>
      </c>
      <c r="R490">
        <f>IF(OR(R$4="",$A490&gt;TODAY()),0,IF(OR(INDEX($B490:$D490,R$5)="F",AND(R$6&gt;0,$A490&lt;R$6),AND(R$7&gt;0,$A490&gt;R$7)),0,MAX(0,ROUND((INDEX($E490:$G490,R$5)-SUMIFS(TF_Timer,TF_Tekniker,R$4,TF_Dato,$A490))*2,0)/2)))</f>
        <v/>
      </c>
      <c r="S490">
        <f>IF(OR(S$4="",$A490&gt;TODAY()),0,IF(OR(INDEX($B490:$D490,S$5)="F",AND(S$6&gt;0,$A490&lt;S$6),AND(S$7&gt;0,$A490&gt;S$7)),0,MAX(0,ROUND((INDEX($E490:$G490,S$5)-SUMIFS(TF_Timer,TF_Tekniker,S$4,TF_Dato,$A490))*2,0)/2)))</f>
        <v/>
      </c>
      <c r="T490">
        <f>IF(OR(T$4="",$A490&gt;TODAY()),0,IF(OR(INDEX($B490:$D490,T$5)="F",AND(T$6&gt;0,$A490&lt;T$6),AND(T$7&gt;0,$A490&gt;T$7)),0,MAX(0,ROUND((INDEX($E490:$G490,T$5)-SUMIFS(TF_Timer,TF_Tekniker,T$4,TF_Dato,$A490))*2,0)/2)))</f>
        <v/>
      </c>
      <c r="U490">
        <f>IF(OR(U$4="",$A490&gt;TODAY()),0,IF(OR(INDEX($B490:$D490,U$5)="F",AND(U$6&gt;0,$A490&lt;U$6),AND(U$7&gt;0,$A490&gt;U$7)),0,MAX(0,ROUND((INDEX($E490:$G490,U$5)-SUMIFS(TF_Timer,TF_Tekniker,U$4,TF_Dato,$A490))*2,0)/2)))</f>
        <v/>
      </c>
      <c r="V490">
        <f>IF(OR(V$4="",$A490&gt;TODAY()),0,IF(OR(INDEX($B490:$D490,V$5)="F",AND(V$6&gt;0,$A490&lt;V$6),AND(V$7&gt;0,$A490&gt;V$7)),0,MAX(0,ROUND((INDEX($E490:$G490,V$5)-SUMIFS(TF_Timer,TF_Tekniker,V$4,TF_Dato,$A490))*2,0)/2)))</f>
        <v/>
      </c>
      <c r="W490">
        <f>IF(OR(W$4="",$A490&gt;TODAY()),0,IF(OR(INDEX($B490:$D490,W$5)="F",AND(W$6&gt;0,$A490&lt;W$6),AND(W$7&gt;0,$A490&gt;W$7)),0,MAX(0,ROUND((INDEX($E490:$G490,W$5)-SUMIFS(TF_Timer,TF_Tekniker,W$4,TF_Dato,$A490))*2,0)/2)))</f>
        <v/>
      </c>
      <c r="X490">
        <f>IF(OR(X$4="",$A490&gt;TODAY()),0,IF(OR(INDEX($B490:$D490,X$5)="F",AND(X$6&gt;0,$A490&lt;X$6),AND(X$7&gt;0,$A490&gt;X$7)),0,MAX(0,ROUND((INDEX($E490:$G490,X$5)-SUMIFS(TF_Timer,TF_Tekniker,X$4,TF_Dato,$A490))*2,0)/2)))</f>
        <v/>
      </c>
      <c r="Y490">
        <f>IF(OR(Y$4="",$A490&gt;TODAY()),0,IF(OR(INDEX($B490:$D490,Y$5)="F",AND(Y$6&gt;0,$A490&lt;Y$6),AND(Y$7&gt;0,$A490&gt;Y$7)),0,MAX(0,ROUND((INDEX($E490:$G490,Y$5)-SUMIFS(TF_Timer,TF_Tekniker,Y$4,TF_Dato,$A490))*2,0)/2)))</f>
        <v/>
      </c>
      <c r="Z490">
        <f>IF(OR(Z$4="",$A490&gt;TODAY()),0,IF(OR(INDEX($B490:$D490,Z$5)="F",AND(Z$6&gt;0,$A490&lt;Z$6),AND(Z$7&gt;0,$A490&gt;Z$7)),0,MAX(0,ROUND((INDEX($E490:$G490,Z$5)-SUMIFS(TF_Timer,TF_Tekniker,Z$4,TF_Dato,$A490))*2,0)/2)))</f>
        <v/>
      </c>
      <c r="AA490">
        <f>IF(OR(AA$4="",$A490&gt;TODAY()),0,IF(OR(INDEX($B490:$D490,AA$5)="F",AND(AA$6&gt;0,$A490&lt;AA$6),AND(AA$7&gt;0,$A490&gt;AA$7)),0,MAX(0,ROUND((INDEX($E490:$G490,AA$5)-SUMIFS(TF_Timer,TF_Tekniker,AA$4,TF_Dato,$A490))*2,0)/2)))</f>
        <v/>
      </c>
      <c r="AB490">
        <f>IF(OR(AB$4="",$A490&gt;TODAY()),0,IF(OR(INDEX($B490:$D490,AB$5)="F",AND(AB$6&gt;0,$A490&lt;AB$6),AND(AB$7&gt;0,$A490&gt;AB$7)),0,MAX(0,ROUND((INDEX($E490:$G490,AB$5)-SUMIFS(TF_Timer,TF_Tekniker,AB$4,TF_Dato,$A490))*2,0)/2)))</f>
        <v/>
      </c>
      <c r="AC490">
        <f>IF(OR(AC$4="",$A490&gt;TODAY()),0,IF(OR(INDEX($B490:$D490,AC$5)="F",AND(AC$6&gt;0,$A490&lt;AC$6),AND(AC$7&gt;0,$A490&gt;AC$7)),0,MAX(0,ROUND((INDEX($E490:$G490,AC$5)-SUMIFS(TF_Timer,TF_Tekniker,AC$4,TF_Dato,$A490))*2,0)/2)))</f>
        <v/>
      </c>
      <c r="AD490">
        <f>IF(OR(AD$4="",$A490&gt;TODAY()),0,IF(OR(INDEX($B490:$D490,AD$5)="F",AND(AD$6&gt;0,$A490&lt;AD$6),AND(AD$7&gt;0,$A490&gt;AD$7)),0,MAX(0,ROUND((INDEX($E490:$G490,AD$5)-SUMIFS(TF_Timer,TF_Tekniker,AD$4,TF_Dato,$A490))*2,0)/2)))</f>
        <v/>
      </c>
      <c r="AE490">
        <f>IF(OR(AE$4="",$A490&gt;TODAY()),0,IF(OR(INDEX($B490:$D490,AE$5)="F",AND(AE$6&gt;0,$A490&lt;AE$6),AND(AE$7&gt;0,$A490&gt;AE$7)),0,MAX(0,ROUND((INDEX($E490:$G490,AE$5)-SUMIFS(TF_Timer,TF_Tekniker,AE$4,TF_Dato,$A490))*2,0)/2)))</f>
        <v/>
      </c>
      <c r="AF490">
        <f>IF(OR(AF$4="",$A490&gt;TODAY()),0,IF(OR(INDEX($B490:$D490,AF$5)="F",AND(AF$6&gt;0,$A490&lt;AF$6),AND(AF$7&gt;0,$A490&gt;AF$7)),0,MAX(0,ROUND((INDEX($E490:$G490,AF$5)-SUMIFS(TF_Timer,TF_Tekniker,AF$4,TF_Dato,$A490))*2,0)/2)))</f>
        <v/>
      </c>
      <c r="AG490">
        <f>IF(OR(AG$4="",$A490&gt;TODAY()),0,IF(OR(INDEX($B490:$D490,AG$5)="F",AND(AG$6&gt;0,$A490&lt;AG$6),AND(AG$7&gt;0,$A490&gt;AG$7)),0,MAX(0,ROUND((INDEX($E490:$G490,AG$5)-SUMIFS(TF_Timer,TF_Tekniker,AG$4,TF_Dato,$A490))*2,0)/2)))</f>
        <v/>
      </c>
      <c r="AH490">
        <f>IF(OR(AH$4="",$A490&gt;TODAY()),0,IF(OR(INDEX($B490:$D490,AH$5)="F",AND(AH$6&gt;0,$A490&lt;AH$6),AND(AH$7&gt;0,$A490&gt;AH$7)),0,MAX(0,ROUND((INDEX($E490:$G490,AH$5)-SUMIFS(TF_Timer,TF_Tekniker,AH$4,TF_Dato,$A490))*2,0)/2)))</f>
        <v/>
      </c>
      <c r="AI490">
        <f>IF(OR(AI$4="",$A490&gt;TODAY()),0,IF(OR(INDEX($B490:$D490,AI$5)="F",AND(AI$6&gt;0,$A490&lt;AI$6),AND(AI$7&gt;0,$A490&gt;AI$7)),0,MAX(0,ROUND((INDEX($E490:$G490,AI$5)-SUMIFS(TF_Timer,TF_Tekniker,AI$4,TF_Dato,$A490))*2,0)/2)))</f>
        <v/>
      </c>
      <c r="AJ490">
        <f>IF(OR(AJ$4="",$A490&gt;TODAY()),0,IF(OR(INDEX($B490:$D490,AJ$5)="F",AND(AJ$6&gt;0,$A490&lt;AJ$6),AND(AJ$7&gt;0,$A490&gt;AJ$7)),0,MAX(0,ROUND((INDEX($E490:$G490,AJ$5)-SUMIFS(TF_Timer,TF_Tekniker,AJ$4,TF_Dato,$A490))*2,0)/2)))</f>
        <v/>
      </c>
      <c r="AK490">
        <f>IF(OR(AK$4="",$A490&gt;TODAY()),0,IF(OR(INDEX($B490:$D490,AK$5)="F",AND(AK$6&gt;0,$A490&lt;AK$6),AND(AK$7&gt;0,$A490&gt;AK$7)),0,MAX(0,ROUND((INDEX($E490:$G490,AK$5)-SUMIFS(TF_Timer,TF_Tekniker,AK$4,TF_Dato,$A490))*2,0)/2)))</f>
        <v/>
      </c>
      <c r="AL490">
        <f>IF(OR(AL$4="",$A490&gt;TODAY()),0,IF(OR(INDEX($B490:$D490,AL$5)="F",AND(AL$6&gt;0,$A490&lt;AL$6),AND(AL$7&gt;0,$A490&gt;AL$7)),0,MAX(0,ROUND((INDEX($E490:$G490,AL$5)-SUMIFS(TF_Timer,TF_Tekniker,AL$4,TF_Dato,$A490))*2,0)/2)))</f>
        <v/>
      </c>
      <c r="AM490">
        <f>IF(OR(AM$4="",$A490&gt;TODAY()),0,IF(OR(INDEX($B490:$D490,AM$5)="F",AND(AM$6&gt;0,$A490&lt;AM$6),AND(AM$7&gt;0,$A490&gt;AM$7)),0,MAX(0,ROUND((INDEX($E490:$G490,AM$5)-SUMIFS(TF_Timer,TF_Tekniker,AM$4,TF_Dato,$A490))*2,0)/2)))</f>
        <v/>
      </c>
      <c r="AN490">
        <f>IF(OR(AN$4="",$A490&gt;TODAY()),0,IF(OR(INDEX($B490:$D490,AN$5)="F",AND(AN$6&gt;0,$A490&lt;AN$6),AND(AN$7&gt;0,$A490&gt;AN$7)),0,MAX(0,ROUND((INDEX($E490:$G490,AN$5)-SUMIFS(TF_Timer,TF_Tekniker,AN$4,TF_Dato,$A490))*2,0)/2)))</f>
        <v/>
      </c>
      <c r="AO490">
        <f>IF(OR(AO$4="",$A490&gt;TODAY()),0,IF(OR(INDEX($B490:$D490,AO$5)="F",AND(AO$6&gt;0,$A490&lt;AO$6),AND(AO$7&gt;0,$A490&gt;AO$7)),0,MAX(0,ROUND((INDEX($E490:$G490,AO$5)-SUMIFS(TF_Timer,TF_Tekniker,AO$4,TF_Dato,$A490))*2,0)/2)))</f>
        <v/>
      </c>
      <c r="AP490">
        <f>IF(OR(AP$4="",$A490&gt;TODAY()),0,IF(OR(INDEX($B490:$D490,AP$5)="F",AND(AP$6&gt;0,$A490&lt;AP$6),AND(AP$7&gt;0,$A490&gt;AP$7)),0,MAX(0,ROUND((INDEX($E490:$G490,AP$5)-SUMIFS(TF_Timer,TF_Tekniker,AP$4,TF_Dato,$A490))*2,0)/2)))</f>
        <v/>
      </c>
      <c r="AQ490">
        <f>IF(OR(AQ$4="",$A490&gt;TODAY()),0,IF(OR(INDEX($B490:$D490,AQ$5)="F",AND(AQ$6&gt;0,$A490&lt;AQ$6),AND(AQ$7&gt;0,$A490&gt;AQ$7)),0,MAX(0,ROUND((INDEX($E490:$G490,AQ$5)-SUMIFS(TF_Timer,TF_Tekniker,AQ$4,TF_Dato,$A490))*2,0)/2)))</f>
        <v/>
      </c>
      <c r="AR490">
        <f>IF(OR(AR$4="",$A490&gt;TODAY()),0,IF(OR(INDEX($B490:$D490,AR$5)="F",AND(AR$6&gt;0,$A490&lt;AR$6),AND(AR$7&gt;0,$A490&gt;AR$7)),0,MAX(0,ROUND((INDEX($E490:$G490,AR$5)-SUMIFS(TF_Timer,TF_Tekniker,AR$4,TF_Dato,$A490))*2,0)/2)))</f>
        <v/>
      </c>
      <c r="AS490">
        <f>IF(OR(AS$4="",$A490&gt;TODAY()),0,IF(OR(INDEX($B490:$D490,AS$5)="F",AND(AS$6&gt;0,$A490&lt;AS$6),AND(AS$7&gt;0,$A490&gt;AS$7)),0,MAX(0,ROUND((INDEX($E490:$G490,AS$5)-SUMIFS(TF_Timer,TF_Tekniker,AS$4,TF_Dato,$A490))*2,0)/2)))</f>
        <v/>
      </c>
      <c r="AT490">
        <f>IF(OR(AT$4="",$A490&gt;TODAY()),0,IF(OR(INDEX($B490:$D490,AT$5)="F",AND(AT$6&gt;0,$A490&lt;AT$6),AND(AT$7&gt;0,$A490&gt;AT$7)),0,MAX(0,ROUND((INDEX($E490:$G490,AT$5)-SUMIFS(TF_Timer,TF_Tekniker,AT$4,TF_Dato,$A490))*2,0)/2)))</f>
        <v/>
      </c>
      <c r="AU490">
        <f>IF(OR(AU$4="",$A490&gt;TODAY()),0,IF(OR(INDEX($B490:$D490,AU$5)="F",AND(AU$6&gt;0,$A490&lt;AU$6),AND(AU$7&gt;0,$A490&gt;AU$7)),0,MAX(0,ROUND((INDEX($E490:$G490,AU$5)-SUMIFS(TF_Timer,TF_Tekniker,AU$4,TF_Dato,$A490))*2,0)/2)))</f>
        <v/>
      </c>
      <c r="AV490">
        <f>IF(OR(AV$4="",$A490&gt;TODAY()),0,IF(OR(INDEX($B490:$D490,AV$5)="F",AND(AV$6&gt;0,$A490&lt;AV$6),AND(AV$7&gt;0,$A490&gt;AV$7)),0,MAX(0,ROUND((INDEX($E490:$G490,AV$5)-SUMIFS(TF_Timer,TF_Tekniker,AV$4,TF_Dato,$A490))*2,0)/2)))</f>
        <v/>
      </c>
      <c r="AW490">
        <f>IF(OR(AW$4="",$A490&gt;TODAY()),0,IF(OR(INDEX($B490:$D490,AW$5)="F",AND(AW$6&gt;0,$A490&lt;AW$6),AND(AW$7&gt;0,$A490&gt;AW$7)),0,MAX(0,ROUND((INDEX($E490:$G490,AW$5)-SUMIFS(TF_Timer,TF_Tekniker,AW$4,TF_Dato,$A490))*2,0)/2)))</f>
        <v/>
      </c>
      <c r="AX490">
        <f>IF(OR(AX$4="",$A490&gt;TODAY()),0,IF(OR(INDEX($B490:$D490,AX$5)="F",AND(AX$6&gt;0,$A490&lt;AX$6),AND(AX$7&gt;0,$A490&gt;AX$7)),0,MAX(0,ROUND((INDEX($E490:$G490,AX$5)-SUMIFS(TF_Timer,TF_Tekniker,AX$4,TF_Dato,$A490))*2,0)/2)))</f>
        <v/>
      </c>
      <c r="AY490">
        <f>IF(OR(AY$4="",$A490&gt;TODAY()),0,IF(OR(INDEX($B490:$D490,AY$5)="F",AND(AY$6&gt;0,$A490&lt;AY$6),AND(AY$7&gt;0,$A490&gt;AY$7)),0,MAX(0,ROUND((INDEX($E490:$G490,AY$5)-SUMIFS(TF_Timer,TF_Tekniker,AY$4,TF_Dato,$A490))*2,0)/2)))</f>
        <v/>
      </c>
      <c r="AZ490">
        <f>IF(OR(AZ$4="",$A490&gt;TODAY()),0,IF(OR(INDEX($B490:$D490,AZ$5)="F",AND(AZ$6&gt;0,$A490&lt;AZ$6),AND(AZ$7&gt;0,$A490&gt;AZ$7)),0,MAX(0,ROUND((INDEX($E490:$G490,AZ$5)-SUMIFS(TF_Timer,TF_Tekniker,AZ$4,TF_Dato,$A490))*2,0)/2)))</f>
        <v/>
      </c>
      <c r="BA490">
        <f>IF(OR(BA$4="",$A490&gt;TODAY()),0,IF(OR(INDEX($B490:$D490,BA$5)="F",AND(BA$6&gt;0,$A490&lt;BA$6),AND(BA$7&gt;0,$A490&gt;BA$7)),0,MAX(0,ROUND((INDEX($E490:$G490,BA$5)-SUMIFS(TF_Timer,TF_Tekniker,BA$4,TF_Dato,$A490))*2,0)/2)))</f>
        <v/>
      </c>
      <c r="BB490">
        <f>IF(OR(BB$4="",$A490&gt;TODAY()),0,IF(OR(INDEX($B490:$D490,BB$5)="F",AND(BB$6&gt;0,$A490&lt;BB$6),AND(BB$7&gt;0,$A490&gt;BB$7)),0,MAX(0,ROUND((INDEX($E490:$G490,BB$5)-SUMIFS(TF_Timer,TF_Tekniker,BB$4,TF_Dato,$A490))*2,0)/2)))</f>
        <v/>
      </c>
      <c r="BC490">
        <f>IF(OR(BC$4="",$A490&gt;TODAY()),0,IF(OR(INDEX($B490:$D490,BC$5)="F",AND(BC$6&gt;0,$A490&lt;BC$6),AND(BC$7&gt;0,$A490&gt;BC$7)),0,MAX(0,ROUND((INDEX($E490:$G490,BC$5)-SUMIFS(TF_Timer,TF_Tekniker,BC$4,TF_Dato,$A490))*2,0)/2)))</f>
        <v/>
      </c>
      <c r="BD490">
        <f>IF(OR(BD$4="",$A490&gt;TODAY()),0,IF(OR(INDEX($B490:$D490,BD$5)="F",AND(BD$6&gt;0,$A490&lt;BD$6),AND(BD$7&gt;0,$A490&gt;BD$7)),0,MAX(0,ROUND((INDEX($E490:$G490,BD$5)-SUMIFS(TF_Timer,TF_Tekniker,BD$4,TF_Dato,$A490))*2,0)/2)))</f>
        <v/>
      </c>
      <c r="BE490">
        <f>IF(OR(BE$4="",$A490&gt;TODAY()),0,IF(OR(INDEX($B490:$D490,BE$5)="F",AND(BE$6&gt;0,$A490&lt;BE$6),AND(BE$7&gt;0,$A490&gt;BE$7)),0,MAX(0,ROUND((INDEX($E490:$G490,BE$5)-SUMIFS(TF_Timer,TF_Tekniker,BE$4,TF_Dato,$A490))*2,0)/2)))</f>
        <v/>
      </c>
      <c r="BF490">
        <f>IF(OR(BF$4="",$A490&gt;TODAY()),0,IF(OR(INDEX($B490:$D490,BF$5)="F",AND(BF$6&gt;0,$A490&lt;BF$6),AND(BF$7&gt;0,$A490&gt;BF$7)),0,MAX(0,ROUND((INDEX($E490:$G490,BF$5)-SUMIFS(TF_Timer,TF_Tekniker,BF$4,TF_Dato,$A490))*2,0)/2)))</f>
        <v/>
      </c>
      <c r="BG490">
        <f>IF(OR(BG$4="",$A490&gt;TODAY()),0,IF(OR(INDEX($B490:$D490,BG$5)="F",AND(BG$6&gt;0,$A490&lt;BG$6),AND(BG$7&gt;0,$A490&gt;BG$7)),0,MAX(0,ROUND((INDEX($E490:$G490,BG$5)-SUMIFS(TF_Timer,TF_Tekniker,BG$4,TF_Dato,$A490))*2,0)/2)))</f>
        <v/>
      </c>
      <c r="BH490">
        <f>IF(OR(BH$4="",$A490&gt;TODAY()),0,IF(OR(INDEX($B490:$D490,BH$5)="F",AND(BH$6&gt;0,$A490&lt;BH$6),AND(BH$7&gt;0,$A490&gt;BH$7)),0,MAX(0,ROUND((INDEX($E490:$G490,BH$5)-SUMIFS(TF_Timer,TF_Tekniker,BH$4,TF_Dato,$A490))*2,0)/2)))</f>
        <v/>
      </c>
      <c r="BI490">
        <f>IF(OR(BI$4="",$A490&gt;TODAY()),0,IF(OR(INDEX($B490:$D490,BI$5)="F",AND(BI$6&gt;0,$A490&lt;BI$6),AND(BI$7&gt;0,$A490&gt;BI$7)),0,MAX(0,ROUND((INDEX($E490:$G490,BI$5)-SUMIFS(TF_Timer,TF_Tekniker,BI$4,TF_Dato,$A490))*2,0)/2)))</f>
        <v/>
      </c>
    </row>
    <row r="491">
      <c r="A491" s="64">
        <f>A490+1</f>
        <v/>
      </c>
      <c r="B491">
        <f>IF(MOD($A491-INDEX(SkiftStart,1),Syklus)&lt;DagK,"K",IF(MOD($A491-INDEX(SkiftStart,1),Syklus)&lt;DagK+DagH,"H",IF(MOD($A491-INDEX(SkiftStart,1),Syklus)&lt;DagK+DagH+DagD,"D","F")))</f>
        <v/>
      </c>
      <c r="C491">
        <f>IF(MOD($A491-INDEX(SkiftStart,2),Syklus)&lt;DagK,"K",IF(MOD($A491-INDEX(SkiftStart,2),Syklus)&lt;DagK+DagH,"H",IF(MOD($A491-INDEX(SkiftStart,2),Syklus)&lt;DagK+DagH+DagD,"D","F")))</f>
        <v/>
      </c>
      <c r="D491">
        <f>IF(MOD($A491-INDEX(SkiftStart,3),Syklus)&lt;DagK,"K",IF(MOD($A491-INDEX(SkiftStart,3),Syklus)&lt;DagK+DagH,"H",IF(MOD($A491-INDEX(SkiftStart,3),Syklus)&lt;DagK+DagH+DagD,"D","F")))</f>
        <v/>
      </c>
      <c r="E491">
        <f>IF(B491="F",0,IF(WEEKDAY($A491,2)=5,INDEX(TimerFr,MATCH(B491,FaseKode,0)),INDEX(TimerMT,MATCH(B491,FaseKode,0))))</f>
        <v/>
      </c>
      <c r="F491">
        <f>IF(C491="F",0,IF(WEEKDAY($A491,2)=5,INDEX(TimerFr,MATCH(C491,FaseKode,0)),INDEX(TimerMT,MATCH(C491,FaseKode,0))))</f>
        <v/>
      </c>
      <c r="G491">
        <f>IF(D491="F",0,IF(WEEKDAY($A491,2)=5,INDEX(TimerFr,MATCH(D491,FaseKode,0)),INDEX(TimerMT,MATCH(D491,FaseKode,0))))</f>
        <v/>
      </c>
      <c r="H491">
        <f>IF(OR(H$4="",$A491&gt;TODAY()),0,IF(OR(INDEX($B491:$D491,H$5)="F",AND(H$6&gt;0,$A491&lt;H$6),AND(H$7&gt;0,$A491&gt;H$7)),0,MAX(0,ROUND((INDEX($E491:$G491,H$5)-SUMIFS(TF_Timer,TF_Tekniker,H$4,TF_Dato,$A491))*2,0)/2)))</f>
        <v/>
      </c>
      <c r="I491">
        <f>IF(OR(I$4="",$A491&gt;TODAY()),0,IF(OR(INDEX($B491:$D491,I$5)="F",AND(I$6&gt;0,$A491&lt;I$6),AND(I$7&gt;0,$A491&gt;I$7)),0,MAX(0,ROUND((INDEX($E491:$G491,I$5)-SUMIFS(TF_Timer,TF_Tekniker,I$4,TF_Dato,$A491))*2,0)/2)))</f>
        <v/>
      </c>
      <c r="J491">
        <f>IF(OR(J$4="",$A491&gt;TODAY()),0,IF(OR(INDEX($B491:$D491,J$5)="F",AND(J$6&gt;0,$A491&lt;J$6),AND(J$7&gt;0,$A491&gt;J$7)),0,MAX(0,ROUND((INDEX($E491:$G491,J$5)-SUMIFS(TF_Timer,TF_Tekniker,J$4,TF_Dato,$A491))*2,0)/2)))</f>
        <v/>
      </c>
      <c r="K491">
        <f>IF(OR(K$4="",$A491&gt;TODAY()),0,IF(OR(INDEX($B491:$D491,K$5)="F",AND(K$6&gt;0,$A491&lt;K$6),AND(K$7&gt;0,$A491&gt;K$7)),0,MAX(0,ROUND((INDEX($E491:$G491,K$5)-SUMIFS(TF_Timer,TF_Tekniker,K$4,TF_Dato,$A491))*2,0)/2)))</f>
        <v/>
      </c>
      <c r="L491">
        <f>IF(OR(L$4="",$A491&gt;TODAY()),0,IF(OR(INDEX($B491:$D491,L$5)="F",AND(L$6&gt;0,$A491&lt;L$6),AND(L$7&gt;0,$A491&gt;L$7)),0,MAX(0,ROUND((INDEX($E491:$G491,L$5)-SUMIFS(TF_Timer,TF_Tekniker,L$4,TF_Dato,$A491))*2,0)/2)))</f>
        <v/>
      </c>
      <c r="M491">
        <f>IF(OR(M$4="",$A491&gt;TODAY()),0,IF(OR(INDEX($B491:$D491,M$5)="F",AND(M$6&gt;0,$A491&lt;M$6),AND(M$7&gt;0,$A491&gt;M$7)),0,MAX(0,ROUND((INDEX($E491:$G491,M$5)-SUMIFS(TF_Timer,TF_Tekniker,M$4,TF_Dato,$A491))*2,0)/2)))</f>
        <v/>
      </c>
      <c r="N491">
        <f>IF(OR(N$4="",$A491&gt;TODAY()),0,IF(OR(INDEX($B491:$D491,N$5)="F",AND(N$6&gt;0,$A491&lt;N$6),AND(N$7&gt;0,$A491&gt;N$7)),0,MAX(0,ROUND((INDEX($E491:$G491,N$5)-SUMIFS(TF_Timer,TF_Tekniker,N$4,TF_Dato,$A491))*2,0)/2)))</f>
        <v/>
      </c>
      <c r="O491">
        <f>IF(OR(O$4="",$A491&gt;TODAY()),0,IF(OR(INDEX($B491:$D491,O$5)="F",AND(O$6&gt;0,$A491&lt;O$6),AND(O$7&gt;0,$A491&gt;O$7)),0,MAX(0,ROUND((INDEX($E491:$G491,O$5)-SUMIFS(TF_Timer,TF_Tekniker,O$4,TF_Dato,$A491))*2,0)/2)))</f>
        <v/>
      </c>
      <c r="P491">
        <f>IF(OR(P$4="",$A491&gt;TODAY()),0,IF(OR(INDEX($B491:$D491,P$5)="F",AND(P$6&gt;0,$A491&lt;P$6),AND(P$7&gt;0,$A491&gt;P$7)),0,MAX(0,ROUND((INDEX($E491:$G491,P$5)-SUMIFS(TF_Timer,TF_Tekniker,P$4,TF_Dato,$A491))*2,0)/2)))</f>
        <v/>
      </c>
      <c r="Q491">
        <f>IF(OR(Q$4="",$A491&gt;TODAY()),0,IF(OR(INDEX($B491:$D491,Q$5)="F",AND(Q$6&gt;0,$A491&lt;Q$6),AND(Q$7&gt;0,$A491&gt;Q$7)),0,MAX(0,ROUND((INDEX($E491:$G491,Q$5)-SUMIFS(TF_Timer,TF_Tekniker,Q$4,TF_Dato,$A491))*2,0)/2)))</f>
        <v/>
      </c>
      <c r="R491">
        <f>IF(OR(R$4="",$A491&gt;TODAY()),0,IF(OR(INDEX($B491:$D491,R$5)="F",AND(R$6&gt;0,$A491&lt;R$6),AND(R$7&gt;0,$A491&gt;R$7)),0,MAX(0,ROUND((INDEX($E491:$G491,R$5)-SUMIFS(TF_Timer,TF_Tekniker,R$4,TF_Dato,$A491))*2,0)/2)))</f>
        <v/>
      </c>
      <c r="S491">
        <f>IF(OR(S$4="",$A491&gt;TODAY()),0,IF(OR(INDEX($B491:$D491,S$5)="F",AND(S$6&gt;0,$A491&lt;S$6),AND(S$7&gt;0,$A491&gt;S$7)),0,MAX(0,ROUND((INDEX($E491:$G491,S$5)-SUMIFS(TF_Timer,TF_Tekniker,S$4,TF_Dato,$A491))*2,0)/2)))</f>
        <v/>
      </c>
      <c r="T491">
        <f>IF(OR(T$4="",$A491&gt;TODAY()),0,IF(OR(INDEX($B491:$D491,T$5)="F",AND(T$6&gt;0,$A491&lt;T$6),AND(T$7&gt;0,$A491&gt;T$7)),0,MAX(0,ROUND((INDEX($E491:$G491,T$5)-SUMIFS(TF_Timer,TF_Tekniker,T$4,TF_Dato,$A491))*2,0)/2)))</f>
        <v/>
      </c>
      <c r="U491">
        <f>IF(OR(U$4="",$A491&gt;TODAY()),0,IF(OR(INDEX($B491:$D491,U$5)="F",AND(U$6&gt;0,$A491&lt;U$6),AND(U$7&gt;0,$A491&gt;U$7)),0,MAX(0,ROUND((INDEX($E491:$G491,U$5)-SUMIFS(TF_Timer,TF_Tekniker,U$4,TF_Dato,$A491))*2,0)/2)))</f>
        <v/>
      </c>
      <c r="V491">
        <f>IF(OR(V$4="",$A491&gt;TODAY()),0,IF(OR(INDEX($B491:$D491,V$5)="F",AND(V$6&gt;0,$A491&lt;V$6),AND(V$7&gt;0,$A491&gt;V$7)),0,MAX(0,ROUND((INDEX($E491:$G491,V$5)-SUMIFS(TF_Timer,TF_Tekniker,V$4,TF_Dato,$A491))*2,0)/2)))</f>
        <v/>
      </c>
      <c r="W491">
        <f>IF(OR(W$4="",$A491&gt;TODAY()),0,IF(OR(INDEX($B491:$D491,W$5)="F",AND(W$6&gt;0,$A491&lt;W$6),AND(W$7&gt;0,$A491&gt;W$7)),0,MAX(0,ROUND((INDEX($E491:$G491,W$5)-SUMIFS(TF_Timer,TF_Tekniker,W$4,TF_Dato,$A491))*2,0)/2)))</f>
        <v/>
      </c>
      <c r="X491">
        <f>IF(OR(X$4="",$A491&gt;TODAY()),0,IF(OR(INDEX($B491:$D491,X$5)="F",AND(X$6&gt;0,$A491&lt;X$6),AND(X$7&gt;0,$A491&gt;X$7)),0,MAX(0,ROUND((INDEX($E491:$G491,X$5)-SUMIFS(TF_Timer,TF_Tekniker,X$4,TF_Dato,$A491))*2,0)/2)))</f>
        <v/>
      </c>
      <c r="Y491">
        <f>IF(OR(Y$4="",$A491&gt;TODAY()),0,IF(OR(INDEX($B491:$D491,Y$5)="F",AND(Y$6&gt;0,$A491&lt;Y$6),AND(Y$7&gt;0,$A491&gt;Y$7)),0,MAX(0,ROUND((INDEX($E491:$G491,Y$5)-SUMIFS(TF_Timer,TF_Tekniker,Y$4,TF_Dato,$A491))*2,0)/2)))</f>
        <v/>
      </c>
      <c r="Z491">
        <f>IF(OR(Z$4="",$A491&gt;TODAY()),0,IF(OR(INDEX($B491:$D491,Z$5)="F",AND(Z$6&gt;0,$A491&lt;Z$6),AND(Z$7&gt;0,$A491&gt;Z$7)),0,MAX(0,ROUND((INDEX($E491:$G491,Z$5)-SUMIFS(TF_Timer,TF_Tekniker,Z$4,TF_Dato,$A491))*2,0)/2)))</f>
        <v/>
      </c>
      <c r="AA491">
        <f>IF(OR(AA$4="",$A491&gt;TODAY()),0,IF(OR(INDEX($B491:$D491,AA$5)="F",AND(AA$6&gt;0,$A491&lt;AA$6),AND(AA$7&gt;0,$A491&gt;AA$7)),0,MAX(0,ROUND((INDEX($E491:$G491,AA$5)-SUMIFS(TF_Timer,TF_Tekniker,AA$4,TF_Dato,$A491))*2,0)/2)))</f>
        <v/>
      </c>
      <c r="AB491">
        <f>IF(OR(AB$4="",$A491&gt;TODAY()),0,IF(OR(INDEX($B491:$D491,AB$5)="F",AND(AB$6&gt;0,$A491&lt;AB$6),AND(AB$7&gt;0,$A491&gt;AB$7)),0,MAX(0,ROUND((INDEX($E491:$G491,AB$5)-SUMIFS(TF_Timer,TF_Tekniker,AB$4,TF_Dato,$A491))*2,0)/2)))</f>
        <v/>
      </c>
      <c r="AC491">
        <f>IF(OR(AC$4="",$A491&gt;TODAY()),0,IF(OR(INDEX($B491:$D491,AC$5)="F",AND(AC$6&gt;0,$A491&lt;AC$6),AND(AC$7&gt;0,$A491&gt;AC$7)),0,MAX(0,ROUND((INDEX($E491:$G491,AC$5)-SUMIFS(TF_Timer,TF_Tekniker,AC$4,TF_Dato,$A491))*2,0)/2)))</f>
        <v/>
      </c>
      <c r="AD491">
        <f>IF(OR(AD$4="",$A491&gt;TODAY()),0,IF(OR(INDEX($B491:$D491,AD$5)="F",AND(AD$6&gt;0,$A491&lt;AD$6),AND(AD$7&gt;0,$A491&gt;AD$7)),0,MAX(0,ROUND((INDEX($E491:$G491,AD$5)-SUMIFS(TF_Timer,TF_Tekniker,AD$4,TF_Dato,$A491))*2,0)/2)))</f>
        <v/>
      </c>
      <c r="AE491">
        <f>IF(OR(AE$4="",$A491&gt;TODAY()),0,IF(OR(INDEX($B491:$D491,AE$5)="F",AND(AE$6&gt;0,$A491&lt;AE$6),AND(AE$7&gt;0,$A491&gt;AE$7)),0,MAX(0,ROUND((INDEX($E491:$G491,AE$5)-SUMIFS(TF_Timer,TF_Tekniker,AE$4,TF_Dato,$A491))*2,0)/2)))</f>
        <v/>
      </c>
      <c r="AF491">
        <f>IF(OR(AF$4="",$A491&gt;TODAY()),0,IF(OR(INDEX($B491:$D491,AF$5)="F",AND(AF$6&gt;0,$A491&lt;AF$6),AND(AF$7&gt;0,$A491&gt;AF$7)),0,MAX(0,ROUND((INDEX($E491:$G491,AF$5)-SUMIFS(TF_Timer,TF_Tekniker,AF$4,TF_Dato,$A491))*2,0)/2)))</f>
        <v/>
      </c>
      <c r="AG491">
        <f>IF(OR(AG$4="",$A491&gt;TODAY()),0,IF(OR(INDEX($B491:$D491,AG$5)="F",AND(AG$6&gt;0,$A491&lt;AG$6),AND(AG$7&gt;0,$A491&gt;AG$7)),0,MAX(0,ROUND((INDEX($E491:$G491,AG$5)-SUMIFS(TF_Timer,TF_Tekniker,AG$4,TF_Dato,$A491))*2,0)/2)))</f>
        <v/>
      </c>
      <c r="AH491">
        <f>IF(OR(AH$4="",$A491&gt;TODAY()),0,IF(OR(INDEX($B491:$D491,AH$5)="F",AND(AH$6&gt;0,$A491&lt;AH$6),AND(AH$7&gt;0,$A491&gt;AH$7)),0,MAX(0,ROUND((INDEX($E491:$G491,AH$5)-SUMIFS(TF_Timer,TF_Tekniker,AH$4,TF_Dato,$A491))*2,0)/2)))</f>
        <v/>
      </c>
      <c r="AI491">
        <f>IF(OR(AI$4="",$A491&gt;TODAY()),0,IF(OR(INDEX($B491:$D491,AI$5)="F",AND(AI$6&gt;0,$A491&lt;AI$6),AND(AI$7&gt;0,$A491&gt;AI$7)),0,MAX(0,ROUND((INDEX($E491:$G491,AI$5)-SUMIFS(TF_Timer,TF_Tekniker,AI$4,TF_Dato,$A491))*2,0)/2)))</f>
        <v/>
      </c>
      <c r="AJ491">
        <f>IF(OR(AJ$4="",$A491&gt;TODAY()),0,IF(OR(INDEX($B491:$D491,AJ$5)="F",AND(AJ$6&gt;0,$A491&lt;AJ$6),AND(AJ$7&gt;0,$A491&gt;AJ$7)),0,MAX(0,ROUND((INDEX($E491:$G491,AJ$5)-SUMIFS(TF_Timer,TF_Tekniker,AJ$4,TF_Dato,$A491))*2,0)/2)))</f>
        <v/>
      </c>
      <c r="AK491">
        <f>IF(OR(AK$4="",$A491&gt;TODAY()),0,IF(OR(INDEX($B491:$D491,AK$5)="F",AND(AK$6&gt;0,$A491&lt;AK$6),AND(AK$7&gt;0,$A491&gt;AK$7)),0,MAX(0,ROUND((INDEX($E491:$G491,AK$5)-SUMIFS(TF_Timer,TF_Tekniker,AK$4,TF_Dato,$A491))*2,0)/2)))</f>
        <v/>
      </c>
      <c r="AL491">
        <f>IF(OR(AL$4="",$A491&gt;TODAY()),0,IF(OR(INDEX($B491:$D491,AL$5)="F",AND(AL$6&gt;0,$A491&lt;AL$6),AND(AL$7&gt;0,$A491&gt;AL$7)),0,MAX(0,ROUND((INDEX($E491:$G491,AL$5)-SUMIFS(TF_Timer,TF_Tekniker,AL$4,TF_Dato,$A491))*2,0)/2)))</f>
        <v/>
      </c>
      <c r="AM491">
        <f>IF(OR(AM$4="",$A491&gt;TODAY()),0,IF(OR(INDEX($B491:$D491,AM$5)="F",AND(AM$6&gt;0,$A491&lt;AM$6),AND(AM$7&gt;0,$A491&gt;AM$7)),0,MAX(0,ROUND((INDEX($E491:$G491,AM$5)-SUMIFS(TF_Timer,TF_Tekniker,AM$4,TF_Dato,$A491))*2,0)/2)))</f>
        <v/>
      </c>
      <c r="AN491">
        <f>IF(OR(AN$4="",$A491&gt;TODAY()),0,IF(OR(INDEX($B491:$D491,AN$5)="F",AND(AN$6&gt;0,$A491&lt;AN$6),AND(AN$7&gt;0,$A491&gt;AN$7)),0,MAX(0,ROUND((INDEX($E491:$G491,AN$5)-SUMIFS(TF_Timer,TF_Tekniker,AN$4,TF_Dato,$A491))*2,0)/2)))</f>
        <v/>
      </c>
      <c r="AO491">
        <f>IF(OR(AO$4="",$A491&gt;TODAY()),0,IF(OR(INDEX($B491:$D491,AO$5)="F",AND(AO$6&gt;0,$A491&lt;AO$6),AND(AO$7&gt;0,$A491&gt;AO$7)),0,MAX(0,ROUND((INDEX($E491:$G491,AO$5)-SUMIFS(TF_Timer,TF_Tekniker,AO$4,TF_Dato,$A491))*2,0)/2)))</f>
        <v/>
      </c>
      <c r="AP491">
        <f>IF(OR(AP$4="",$A491&gt;TODAY()),0,IF(OR(INDEX($B491:$D491,AP$5)="F",AND(AP$6&gt;0,$A491&lt;AP$6),AND(AP$7&gt;0,$A491&gt;AP$7)),0,MAX(0,ROUND((INDEX($E491:$G491,AP$5)-SUMIFS(TF_Timer,TF_Tekniker,AP$4,TF_Dato,$A491))*2,0)/2)))</f>
        <v/>
      </c>
      <c r="AQ491">
        <f>IF(OR(AQ$4="",$A491&gt;TODAY()),0,IF(OR(INDEX($B491:$D491,AQ$5)="F",AND(AQ$6&gt;0,$A491&lt;AQ$6),AND(AQ$7&gt;0,$A491&gt;AQ$7)),0,MAX(0,ROUND((INDEX($E491:$G491,AQ$5)-SUMIFS(TF_Timer,TF_Tekniker,AQ$4,TF_Dato,$A491))*2,0)/2)))</f>
        <v/>
      </c>
      <c r="AR491">
        <f>IF(OR(AR$4="",$A491&gt;TODAY()),0,IF(OR(INDEX($B491:$D491,AR$5)="F",AND(AR$6&gt;0,$A491&lt;AR$6),AND(AR$7&gt;0,$A491&gt;AR$7)),0,MAX(0,ROUND((INDEX($E491:$G491,AR$5)-SUMIFS(TF_Timer,TF_Tekniker,AR$4,TF_Dato,$A491))*2,0)/2)))</f>
        <v/>
      </c>
      <c r="AS491">
        <f>IF(OR(AS$4="",$A491&gt;TODAY()),0,IF(OR(INDEX($B491:$D491,AS$5)="F",AND(AS$6&gt;0,$A491&lt;AS$6),AND(AS$7&gt;0,$A491&gt;AS$7)),0,MAX(0,ROUND((INDEX($E491:$G491,AS$5)-SUMIFS(TF_Timer,TF_Tekniker,AS$4,TF_Dato,$A491))*2,0)/2)))</f>
        <v/>
      </c>
      <c r="AT491">
        <f>IF(OR(AT$4="",$A491&gt;TODAY()),0,IF(OR(INDEX($B491:$D491,AT$5)="F",AND(AT$6&gt;0,$A491&lt;AT$6),AND(AT$7&gt;0,$A491&gt;AT$7)),0,MAX(0,ROUND((INDEX($E491:$G491,AT$5)-SUMIFS(TF_Timer,TF_Tekniker,AT$4,TF_Dato,$A491))*2,0)/2)))</f>
        <v/>
      </c>
      <c r="AU491">
        <f>IF(OR(AU$4="",$A491&gt;TODAY()),0,IF(OR(INDEX($B491:$D491,AU$5)="F",AND(AU$6&gt;0,$A491&lt;AU$6),AND(AU$7&gt;0,$A491&gt;AU$7)),0,MAX(0,ROUND((INDEX($E491:$G491,AU$5)-SUMIFS(TF_Timer,TF_Tekniker,AU$4,TF_Dato,$A491))*2,0)/2)))</f>
        <v/>
      </c>
      <c r="AV491">
        <f>IF(OR(AV$4="",$A491&gt;TODAY()),0,IF(OR(INDEX($B491:$D491,AV$5)="F",AND(AV$6&gt;0,$A491&lt;AV$6),AND(AV$7&gt;0,$A491&gt;AV$7)),0,MAX(0,ROUND((INDEX($E491:$G491,AV$5)-SUMIFS(TF_Timer,TF_Tekniker,AV$4,TF_Dato,$A491))*2,0)/2)))</f>
        <v/>
      </c>
      <c r="AW491">
        <f>IF(OR(AW$4="",$A491&gt;TODAY()),0,IF(OR(INDEX($B491:$D491,AW$5)="F",AND(AW$6&gt;0,$A491&lt;AW$6),AND(AW$7&gt;0,$A491&gt;AW$7)),0,MAX(0,ROUND((INDEX($E491:$G491,AW$5)-SUMIFS(TF_Timer,TF_Tekniker,AW$4,TF_Dato,$A491))*2,0)/2)))</f>
        <v/>
      </c>
      <c r="AX491">
        <f>IF(OR(AX$4="",$A491&gt;TODAY()),0,IF(OR(INDEX($B491:$D491,AX$5)="F",AND(AX$6&gt;0,$A491&lt;AX$6),AND(AX$7&gt;0,$A491&gt;AX$7)),0,MAX(0,ROUND((INDEX($E491:$G491,AX$5)-SUMIFS(TF_Timer,TF_Tekniker,AX$4,TF_Dato,$A491))*2,0)/2)))</f>
        <v/>
      </c>
      <c r="AY491">
        <f>IF(OR(AY$4="",$A491&gt;TODAY()),0,IF(OR(INDEX($B491:$D491,AY$5)="F",AND(AY$6&gt;0,$A491&lt;AY$6),AND(AY$7&gt;0,$A491&gt;AY$7)),0,MAX(0,ROUND((INDEX($E491:$G491,AY$5)-SUMIFS(TF_Timer,TF_Tekniker,AY$4,TF_Dato,$A491))*2,0)/2)))</f>
        <v/>
      </c>
      <c r="AZ491">
        <f>IF(OR(AZ$4="",$A491&gt;TODAY()),0,IF(OR(INDEX($B491:$D491,AZ$5)="F",AND(AZ$6&gt;0,$A491&lt;AZ$6),AND(AZ$7&gt;0,$A491&gt;AZ$7)),0,MAX(0,ROUND((INDEX($E491:$G491,AZ$5)-SUMIFS(TF_Timer,TF_Tekniker,AZ$4,TF_Dato,$A491))*2,0)/2)))</f>
        <v/>
      </c>
      <c r="BA491">
        <f>IF(OR(BA$4="",$A491&gt;TODAY()),0,IF(OR(INDEX($B491:$D491,BA$5)="F",AND(BA$6&gt;0,$A491&lt;BA$6),AND(BA$7&gt;0,$A491&gt;BA$7)),0,MAX(0,ROUND((INDEX($E491:$G491,BA$5)-SUMIFS(TF_Timer,TF_Tekniker,BA$4,TF_Dato,$A491))*2,0)/2)))</f>
        <v/>
      </c>
      <c r="BB491">
        <f>IF(OR(BB$4="",$A491&gt;TODAY()),0,IF(OR(INDEX($B491:$D491,BB$5)="F",AND(BB$6&gt;0,$A491&lt;BB$6),AND(BB$7&gt;0,$A491&gt;BB$7)),0,MAX(0,ROUND((INDEX($E491:$G491,BB$5)-SUMIFS(TF_Timer,TF_Tekniker,BB$4,TF_Dato,$A491))*2,0)/2)))</f>
        <v/>
      </c>
      <c r="BC491">
        <f>IF(OR(BC$4="",$A491&gt;TODAY()),0,IF(OR(INDEX($B491:$D491,BC$5)="F",AND(BC$6&gt;0,$A491&lt;BC$6),AND(BC$7&gt;0,$A491&gt;BC$7)),0,MAX(0,ROUND((INDEX($E491:$G491,BC$5)-SUMIFS(TF_Timer,TF_Tekniker,BC$4,TF_Dato,$A491))*2,0)/2)))</f>
        <v/>
      </c>
      <c r="BD491">
        <f>IF(OR(BD$4="",$A491&gt;TODAY()),0,IF(OR(INDEX($B491:$D491,BD$5)="F",AND(BD$6&gt;0,$A491&lt;BD$6),AND(BD$7&gt;0,$A491&gt;BD$7)),0,MAX(0,ROUND((INDEX($E491:$G491,BD$5)-SUMIFS(TF_Timer,TF_Tekniker,BD$4,TF_Dato,$A491))*2,0)/2)))</f>
        <v/>
      </c>
      <c r="BE491">
        <f>IF(OR(BE$4="",$A491&gt;TODAY()),0,IF(OR(INDEX($B491:$D491,BE$5)="F",AND(BE$6&gt;0,$A491&lt;BE$6),AND(BE$7&gt;0,$A491&gt;BE$7)),0,MAX(0,ROUND((INDEX($E491:$G491,BE$5)-SUMIFS(TF_Timer,TF_Tekniker,BE$4,TF_Dato,$A491))*2,0)/2)))</f>
        <v/>
      </c>
      <c r="BF491">
        <f>IF(OR(BF$4="",$A491&gt;TODAY()),0,IF(OR(INDEX($B491:$D491,BF$5)="F",AND(BF$6&gt;0,$A491&lt;BF$6),AND(BF$7&gt;0,$A491&gt;BF$7)),0,MAX(0,ROUND((INDEX($E491:$G491,BF$5)-SUMIFS(TF_Timer,TF_Tekniker,BF$4,TF_Dato,$A491))*2,0)/2)))</f>
        <v/>
      </c>
      <c r="BG491">
        <f>IF(OR(BG$4="",$A491&gt;TODAY()),0,IF(OR(INDEX($B491:$D491,BG$5)="F",AND(BG$6&gt;0,$A491&lt;BG$6),AND(BG$7&gt;0,$A491&gt;BG$7)),0,MAX(0,ROUND((INDEX($E491:$G491,BG$5)-SUMIFS(TF_Timer,TF_Tekniker,BG$4,TF_Dato,$A491))*2,0)/2)))</f>
        <v/>
      </c>
      <c r="BH491">
        <f>IF(OR(BH$4="",$A491&gt;TODAY()),0,IF(OR(INDEX($B491:$D491,BH$5)="F",AND(BH$6&gt;0,$A491&lt;BH$6),AND(BH$7&gt;0,$A491&gt;BH$7)),0,MAX(0,ROUND((INDEX($E491:$G491,BH$5)-SUMIFS(TF_Timer,TF_Tekniker,BH$4,TF_Dato,$A491))*2,0)/2)))</f>
        <v/>
      </c>
      <c r="BI491">
        <f>IF(OR(BI$4="",$A491&gt;TODAY()),0,IF(OR(INDEX($B491:$D491,BI$5)="F",AND(BI$6&gt;0,$A491&lt;BI$6),AND(BI$7&gt;0,$A491&gt;BI$7)),0,MAX(0,ROUND((INDEX($E491:$G491,BI$5)-SUMIFS(TF_Timer,TF_Tekniker,BI$4,TF_Dato,$A491))*2,0)/2)))</f>
        <v/>
      </c>
    </row>
    <row r="492">
      <c r="A492" s="64">
        <f>A491+1</f>
        <v/>
      </c>
      <c r="B492">
        <f>IF(MOD($A492-INDEX(SkiftStart,1),Syklus)&lt;DagK,"K",IF(MOD($A492-INDEX(SkiftStart,1),Syklus)&lt;DagK+DagH,"H",IF(MOD($A492-INDEX(SkiftStart,1),Syklus)&lt;DagK+DagH+DagD,"D","F")))</f>
        <v/>
      </c>
      <c r="C492">
        <f>IF(MOD($A492-INDEX(SkiftStart,2),Syklus)&lt;DagK,"K",IF(MOD($A492-INDEX(SkiftStart,2),Syklus)&lt;DagK+DagH,"H",IF(MOD($A492-INDEX(SkiftStart,2),Syklus)&lt;DagK+DagH+DagD,"D","F")))</f>
        <v/>
      </c>
      <c r="D492">
        <f>IF(MOD($A492-INDEX(SkiftStart,3),Syklus)&lt;DagK,"K",IF(MOD($A492-INDEX(SkiftStart,3),Syklus)&lt;DagK+DagH,"H",IF(MOD($A492-INDEX(SkiftStart,3),Syklus)&lt;DagK+DagH+DagD,"D","F")))</f>
        <v/>
      </c>
      <c r="E492">
        <f>IF(B492="F",0,IF(WEEKDAY($A492,2)=5,INDEX(TimerFr,MATCH(B492,FaseKode,0)),INDEX(TimerMT,MATCH(B492,FaseKode,0))))</f>
        <v/>
      </c>
      <c r="F492">
        <f>IF(C492="F",0,IF(WEEKDAY($A492,2)=5,INDEX(TimerFr,MATCH(C492,FaseKode,0)),INDEX(TimerMT,MATCH(C492,FaseKode,0))))</f>
        <v/>
      </c>
      <c r="G492">
        <f>IF(D492="F",0,IF(WEEKDAY($A492,2)=5,INDEX(TimerFr,MATCH(D492,FaseKode,0)),INDEX(TimerMT,MATCH(D492,FaseKode,0))))</f>
        <v/>
      </c>
      <c r="H492">
        <f>IF(OR(H$4="",$A492&gt;TODAY()),0,IF(OR(INDEX($B492:$D492,H$5)="F",AND(H$6&gt;0,$A492&lt;H$6),AND(H$7&gt;0,$A492&gt;H$7)),0,MAX(0,ROUND((INDEX($E492:$G492,H$5)-SUMIFS(TF_Timer,TF_Tekniker,H$4,TF_Dato,$A492))*2,0)/2)))</f>
        <v/>
      </c>
      <c r="I492">
        <f>IF(OR(I$4="",$A492&gt;TODAY()),0,IF(OR(INDEX($B492:$D492,I$5)="F",AND(I$6&gt;0,$A492&lt;I$6),AND(I$7&gt;0,$A492&gt;I$7)),0,MAX(0,ROUND((INDEX($E492:$G492,I$5)-SUMIFS(TF_Timer,TF_Tekniker,I$4,TF_Dato,$A492))*2,0)/2)))</f>
        <v/>
      </c>
      <c r="J492">
        <f>IF(OR(J$4="",$A492&gt;TODAY()),0,IF(OR(INDEX($B492:$D492,J$5)="F",AND(J$6&gt;0,$A492&lt;J$6),AND(J$7&gt;0,$A492&gt;J$7)),0,MAX(0,ROUND((INDEX($E492:$G492,J$5)-SUMIFS(TF_Timer,TF_Tekniker,J$4,TF_Dato,$A492))*2,0)/2)))</f>
        <v/>
      </c>
      <c r="K492">
        <f>IF(OR(K$4="",$A492&gt;TODAY()),0,IF(OR(INDEX($B492:$D492,K$5)="F",AND(K$6&gt;0,$A492&lt;K$6),AND(K$7&gt;0,$A492&gt;K$7)),0,MAX(0,ROUND((INDEX($E492:$G492,K$5)-SUMIFS(TF_Timer,TF_Tekniker,K$4,TF_Dato,$A492))*2,0)/2)))</f>
        <v/>
      </c>
      <c r="L492">
        <f>IF(OR(L$4="",$A492&gt;TODAY()),0,IF(OR(INDEX($B492:$D492,L$5)="F",AND(L$6&gt;0,$A492&lt;L$6),AND(L$7&gt;0,$A492&gt;L$7)),0,MAX(0,ROUND((INDEX($E492:$G492,L$5)-SUMIFS(TF_Timer,TF_Tekniker,L$4,TF_Dato,$A492))*2,0)/2)))</f>
        <v/>
      </c>
      <c r="M492">
        <f>IF(OR(M$4="",$A492&gt;TODAY()),0,IF(OR(INDEX($B492:$D492,M$5)="F",AND(M$6&gt;0,$A492&lt;M$6),AND(M$7&gt;0,$A492&gt;M$7)),0,MAX(0,ROUND((INDEX($E492:$G492,M$5)-SUMIFS(TF_Timer,TF_Tekniker,M$4,TF_Dato,$A492))*2,0)/2)))</f>
        <v/>
      </c>
      <c r="N492">
        <f>IF(OR(N$4="",$A492&gt;TODAY()),0,IF(OR(INDEX($B492:$D492,N$5)="F",AND(N$6&gt;0,$A492&lt;N$6),AND(N$7&gt;0,$A492&gt;N$7)),0,MAX(0,ROUND((INDEX($E492:$G492,N$5)-SUMIFS(TF_Timer,TF_Tekniker,N$4,TF_Dato,$A492))*2,0)/2)))</f>
        <v/>
      </c>
      <c r="O492">
        <f>IF(OR(O$4="",$A492&gt;TODAY()),0,IF(OR(INDEX($B492:$D492,O$5)="F",AND(O$6&gt;0,$A492&lt;O$6),AND(O$7&gt;0,$A492&gt;O$7)),0,MAX(0,ROUND((INDEX($E492:$G492,O$5)-SUMIFS(TF_Timer,TF_Tekniker,O$4,TF_Dato,$A492))*2,0)/2)))</f>
        <v/>
      </c>
      <c r="P492">
        <f>IF(OR(P$4="",$A492&gt;TODAY()),0,IF(OR(INDEX($B492:$D492,P$5)="F",AND(P$6&gt;0,$A492&lt;P$6),AND(P$7&gt;0,$A492&gt;P$7)),0,MAX(0,ROUND((INDEX($E492:$G492,P$5)-SUMIFS(TF_Timer,TF_Tekniker,P$4,TF_Dato,$A492))*2,0)/2)))</f>
        <v/>
      </c>
      <c r="Q492">
        <f>IF(OR(Q$4="",$A492&gt;TODAY()),0,IF(OR(INDEX($B492:$D492,Q$5)="F",AND(Q$6&gt;0,$A492&lt;Q$6),AND(Q$7&gt;0,$A492&gt;Q$7)),0,MAX(0,ROUND((INDEX($E492:$G492,Q$5)-SUMIFS(TF_Timer,TF_Tekniker,Q$4,TF_Dato,$A492))*2,0)/2)))</f>
        <v/>
      </c>
      <c r="R492">
        <f>IF(OR(R$4="",$A492&gt;TODAY()),0,IF(OR(INDEX($B492:$D492,R$5)="F",AND(R$6&gt;0,$A492&lt;R$6),AND(R$7&gt;0,$A492&gt;R$7)),0,MAX(0,ROUND((INDEX($E492:$G492,R$5)-SUMIFS(TF_Timer,TF_Tekniker,R$4,TF_Dato,$A492))*2,0)/2)))</f>
        <v/>
      </c>
      <c r="S492">
        <f>IF(OR(S$4="",$A492&gt;TODAY()),0,IF(OR(INDEX($B492:$D492,S$5)="F",AND(S$6&gt;0,$A492&lt;S$6),AND(S$7&gt;0,$A492&gt;S$7)),0,MAX(0,ROUND((INDEX($E492:$G492,S$5)-SUMIFS(TF_Timer,TF_Tekniker,S$4,TF_Dato,$A492))*2,0)/2)))</f>
        <v/>
      </c>
      <c r="T492">
        <f>IF(OR(T$4="",$A492&gt;TODAY()),0,IF(OR(INDEX($B492:$D492,T$5)="F",AND(T$6&gt;0,$A492&lt;T$6),AND(T$7&gt;0,$A492&gt;T$7)),0,MAX(0,ROUND((INDEX($E492:$G492,T$5)-SUMIFS(TF_Timer,TF_Tekniker,T$4,TF_Dato,$A492))*2,0)/2)))</f>
        <v/>
      </c>
      <c r="U492">
        <f>IF(OR(U$4="",$A492&gt;TODAY()),0,IF(OR(INDEX($B492:$D492,U$5)="F",AND(U$6&gt;0,$A492&lt;U$6),AND(U$7&gt;0,$A492&gt;U$7)),0,MAX(0,ROUND((INDEX($E492:$G492,U$5)-SUMIFS(TF_Timer,TF_Tekniker,U$4,TF_Dato,$A492))*2,0)/2)))</f>
        <v/>
      </c>
      <c r="V492">
        <f>IF(OR(V$4="",$A492&gt;TODAY()),0,IF(OR(INDEX($B492:$D492,V$5)="F",AND(V$6&gt;0,$A492&lt;V$6),AND(V$7&gt;0,$A492&gt;V$7)),0,MAX(0,ROUND((INDEX($E492:$G492,V$5)-SUMIFS(TF_Timer,TF_Tekniker,V$4,TF_Dato,$A492))*2,0)/2)))</f>
        <v/>
      </c>
      <c r="W492">
        <f>IF(OR(W$4="",$A492&gt;TODAY()),0,IF(OR(INDEX($B492:$D492,W$5)="F",AND(W$6&gt;0,$A492&lt;W$6),AND(W$7&gt;0,$A492&gt;W$7)),0,MAX(0,ROUND((INDEX($E492:$G492,W$5)-SUMIFS(TF_Timer,TF_Tekniker,W$4,TF_Dato,$A492))*2,0)/2)))</f>
        <v/>
      </c>
      <c r="X492">
        <f>IF(OR(X$4="",$A492&gt;TODAY()),0,IF(OR(INDEX($B492:$D492,X$5)="F",AND(X$6&gt;0,$A492&lt;X$6),AND(X$7&gt;0,$A492&gt;X$7)),0,MAX(0,ROUND((INDEX($E492:$G492,X$5)-SUMIFS(TF_Timer,TF_Tekniker,X$4,TF_Dato,$A492))*2,0)/2)))</f>
        <v/>
      </c>
      <c r="Y492">
        <f>IF(OR(Y$4="",$A492&gt;TODAY()),0,IF(OR(INDEX($B492:$D492,Y$5)="F",AND(Y$6&gt;0,$A492&lt;Y$6),AND(Y$7&gt;0,$A492&gt;Y$7)),0,MAX(0,ROUND((INDEX($E492:$G492,Y$5)-SUMIFS(TF_Timer,TF_Tekniker,Y$4,TF_Dato,$A492))*2,0)/2)))</f>
        <v/>
      </c>
      <c r="Z492">
        <f>IF(OR(Z$4="",$A492&gt;TODAY()),0,IF(OR(INDEX($B492:$D492,Z$5)="F",AND(Z$6&gt;0,$A492&lt;Z$6),AND(Z$7&gt;0,$A492&gt;Z$7)),0,MAX(0,ROUND((INDEX($E492:$G492,Z$5)-SUMIFS(TF_Timer,TF_Tekniker,Z$4,TF_Dato,$A492))*2,0)/2)))</f>
        <v/>
      </c>
      <c r="AA492">
        <f>IF(OR(AA$4="",$A492&gt;TODAY()),0,IF(OR(INDEX($B492:$D492,AA$5)="F",AND(AA$6&gt;0,$A492&lt;AA$6),AND(AA$7&gt;0,$A492&gt;AA$7)),0,MAX(0,ROUND((INDEX($E492:$G492,AA$5)-SUMIFS(TF_Timer,TF_Tekniker,AA$4,TF_Dato,$A492))*2,0)/2)))</f>
        <v/>
      </c>
      <c r="AB492">
        <f>IF(OR(AB$4="",$A492&gt;TODAY()),0,IF(OR(INDEX($B492:$D492,AB$5)="F",AND(AB$6&gt;0,$A492&lt;AB$6),AND(AB$7&gt;0,$A492&gt;AB$7)),0,MAX(0,ROUND((INDEX($E492:$G492,AB$5)-SUMIFS(TF_Timer,TF_Tekniker,AB$4,TF_Dato,$A492))*2,0)/2)))</f>
        <v/>
      </c>
      <c r="AC492">
        <f>IF(OR(AC$4="",$A492&gt;TODAY()),0,IF(OR(INDEX($B492:$D492,AC$5)="F",AND(AC$6&gt;0,$A492&lt;AC$6),AND(AC$7&gt;0,$A492&gt;AC$7)),0,MAX(0,ROUND((INDEX($E492:$G492,AC$5)-SUMIFS(TF_Timer,TF_Tekniker,AC$4,TF_Dato,$A492))*2,0)/2)))</f>
        <v/>
      </c>
      <c r="AD492">
        <f>IF(OR(AD$4="",$A492&gt;TODAY()),0,IF(OR(INDEX($B492:$D492,AD$5)="F",AND(AD$6&gt;0,$A492&lt;AD$6),AND(AD$7&gt;0,$A492&gt;AD$7)),0,MAX(0,ROUND((INDEX($E492:$G492,AD$5)-SUMIFS(TF_Timer,TF_Tekniker,AD$4,TF_Dato,$A492))*2,0)/2)))</f>
        <v/>
      </c>
      <c r="AE492">
        <f>IF(OR(AE$4="",$A492&gt;TODAY()),0,IF(OR(INDEX($B492:$D492,AE$5)="F",AND(AE$6&gt;0,$A492&lt;AE$6),AND(AE$7&gt;0,$A492&gt;AE$7)),0,MAX(0,ROUND((INDEX($E492:$G492,AE$5)-SUMIFS(TF_Timer,TF_Tekniker,AE$4,TF_Dato,$A492))*2,0)/2)))</f>
        <v/>
      </c>
      <c r="AF492">
        <f>IF(OR(AF$4="",$A492&gt;TODAY()),0,IF(OR(INDEX($B492:$D492,AF$5)="F",AND(AF$6&gt;0,$A492&lt;AF$6),AND(AF$7&gt;0,$A492&gt;AF$7)),0,MAX(0,ROUND((INDEX($E492:$G492,AF$5)-SUMIFS(TF_Timer,TF_Tekniker,AF$4,TF_Dato,$A492))*2,0)/2)))</f>
        <v/>
      </c>
      <c r="AG492">
        <f>IF(OR(AG$4="",$A492&gt;TODAY()),0,IF(OR(INDEX($B492:$D492,AG$5)="F",AND(AG$6&gt;0,$A492&lt;AG$6),AND(AG$7&gt;0,$A492&gt;AG$7)),0,MAX(0,ROUND((INDEX($E492:$G492,AG$5)-SUMIFS(TF_Timer,TF_Tekniker,AG$4,TF_Dato,$A492))*2,0)/2)))</f>
        <v/>
      </c>
      <c r="AH492">
        <f>IF(OR(AH$4="",$A492&gt;TODAY()),0,IF(OR(INDEX($B492:$D492,AH$5)="F",AND(AH$6&gt;0,$A492&lt;AH$6),AND(AH$7&gt;0,$A492&gt;AH$7)),0,MAX(0,ROUND((INDEX($E492:$G492,AH$5)-SUMIFS(TF_Timer,TF_Tekniker,AH$4,TF_Dato,$A492))*2,0)/2)))</f>
        <v/>
      </c>
      <c r="AI492">
        <f>IF(OR(AI$4="",$A492&gt;TODAY()),0,IF(OR(INDEX($B492:$D492,AI$5)="F",AND(AI$6&gt;0,$A492&lt;AI$6),AND(AI$7&gt;0,$A492&gt;AI$7)),0,MAX(0,ROUND((INDEX($E492:$G492,AI$5)-SUMIFS(TF_Timer,TF_Tekniker,AI$4,TF_Dato,$A492))*2,0)/2)))</f>
        <v/>
      </c>
      <c r="AJ492">
        <f>IF(OR(AJ$4="",$A492&gt;TODAY()),0,IF(OR(INDEX($B492:$D492,AJ$5)="F",AND(AJ$6&gt;0,$A492&lt;AJ$6),AND(AJ$7&gt;0,$A492&gt;AJ$7)),0,MAX(0,ROUND((INDEX($E492:$G492,AJ$5)-SUMIFS(TF_Timer,TF_Tekniker,AJ$4,TF_Dato,$A492))*2,0)/2)))</f>
        <v/>
      </c>
      <c r="AK492">
        <f>IF(OR(AK$4="",$A492&gt;TODAY()),0,IF(OR(INDEX($B492:$D492,AK$5)="F",AND(AK$6&gt;0,$A492&lt;AK$6),AND(AK$7&gt;0,$A492&gt;AK$7)),0,MAX(0,ROUND((INDEX($E492:$G492,AK$5)-SUMIFS(TF_Timer,TF_Tekniker,AK$4,TF_Dato,$A492))*2,0)/2)))</f>
        <v/>
      </c>
      <c r="AL492">
        <f>IF(OR(AL$4="",$A492&gt;TODAY()),0,IF(OR(INDEX($B492:$D492,AL$5)="F",AND(AL$6&gt;0,$A492&lt;AL$6),AND(AL$7&gt;0,$A492&gt;AL$7)),0,MAX(0,ROUND((INDEX($E492:$G492,AL$5)-SUMIFS(TF_Timer,TF_Tekniker,AL$4,TF_Dato,$A492))*2,0)/2)))</f>
        <v/>
      </c>
      <c r="AM492">
        <f>IF(OR(AM$4="",$A492&gt;TODAY()),0,IF(OR(INDEX($B492:$D492,AM$5)="F",AND(AM$6&gt;0,$A492&lt;AM$6),AND(AM$7&gt;0,$A492&gt;AM$7)),0,MAX(0,ROUND((INDEX($E492:$G492,AM$5)-SUMIFS(TF_Timer,TF_Tekniker,AM$4,TF_Dato,$A492))*2,0)/2)))</f>
        <v/>
      </c>
      <c r="AN492">
        <f>IF(OR(AN$4="",$A492&gt;TODAY()),0,IF(OR(INDEX($B492:$D492,AN$5)="F",AND(AN$6&gt;0,$A492&lt;AN$6),AND(AN$7&gt;0,$A492&gt;AN$7)),0,MAX(0,ROUND((INDEX($E492:$G492,AN$5)-SUMIFS(TF_Timer,TF_Tekniker,AN$4,TF_Dato,$A492))*2,0)/2)))</f>
        <v/>
      </c>
      <c r="AO492">
        <f>IF(OR(AO$4="",$A492&gt;TODAY()),0,IF(OR(INDEX($B492:$D492,AO$5)="F",AND(AO$6&gt;0,$A492&lt;AO$6),AND(AO$7&gt;0,$A492&gt;AO$7)),0,MAX(0,ROUND((INDEX($E492:$G492,AO$5)-SUMIFS(TF_Timer,TF_Tekniker,AO$4,TF_Dato,$A492))*2,0)/2)))</f>
        <v/>
      </c>
      <c r="AP492">
        <f>IF(OR(AP$4="",$A492&gt;TODAY()),0,IF(OR(INDEX($B492:$D492,AP$5)="F",AND(AP$6&gt;0,$A492&lt;AP$6),AND(AP$7&gt;0,$A492&gt;AP$7)),0,MAX(0,ROUND((INDEX($E492:$G492,AP$5)-SUMIFS(TF_Timer,TF_Tekniker,AP$4,TF_Dato,$A492))*2,0)/2)))</f>
        <v/>
      </c>
      <c r="AQ492">
        <f>IF(OR(AQ$4="",$A492&gt;TODAY()),0,IF(OR(INDEX($B492:$D492,AQ$5)="F",AND(AQ$6&gt;0,$A492&lt;AQ$6),AND(AQ$7&gt;0,$A492&gt;AQ$7)),0,MAX(0,ROUND((INDEX($E492:$G492,AQ$5)-SUMIFS(TF_Timer,TF_Tekniker,AQ$4,TF_Dato,$A492))*2,0)/2)))</f>
        <v/>
      </c>
      <c r="AR492">
        <f>IF(OR(AR$4="",$A492&gt;TODAY()),0,IF(OR(INDEX($B492:$D492,AR$5)="F",AND(AR$6&gt;0,$A492&lt;AR$6),AND(AR$7&gt;0,$A492&gt;AR$7)),0,MAX(0,ROUND((INDEX($E492:$G492,AR$5)-SUMIFS(TF_Timer,TF_Tekniker,AR$4,TF_Dato,$A492))*2,0)/2)))</f>
        <v/>
      </c>
      <c r="AS492">
        <f>IF(OR(AS$4="",$A492&gt;TODAY()),0,IF(OR(INDEX($B492:$D492,AS$5)="F",AND(AS$6&gt;0,$A492&lt;AS$6),AND(AS$7&gt;0,$A492&gt;AS$7)),0,MAX(0,ROUND((INDEX($E492:$G492,AS$5)-SUMIFS(TF_Timer,TF_Tekniker,AS$4,TF_Dato,$A492))*2,0)/2)))</f>
        <v/>
      </c>
      <c r="AT492">
        <f>IF(OR(AT$4="",$A492&gt;TODAY()),0,IF(OR(INDEX($B492:$D492,AT$5)="F",AND(AT$6&gt;0,$A492&lt;AT$6),AND(AT$7&gt;0,$A492&gt;AT$7)),0,MAX(0,ROUND((INDEX($E492:$G492,AT$5)-SUMIFS(TF_Timer,TF_Tekniker,AT$4,TF_Dato,$A492))*2,0)/2)))</f>
        <v/>
      </c>
      <c r="AU492">
        <f>IF(OR(AU$4="",$A492&gt;TODAY()),0,IF(OR(INDEX($B492:$D492,AU$5)="F",AND(AU$6&gt;0,$A492&lt;AU$6),AND(AU$7&gt;0,$A492&gt;AU$7)),0,MAX(0,ROUND((INDEX($E492:$G492,AU$5)-SUMIFS(TF_Timer,TF_Tekniker,AU$4,TF_Dato,$A492))*2,0)/2)))</f>
        <v/>
      </c>
      <c r="AV492">
        <f>IF(OR(AV$4="",$A492&gt;TODAY()),0,IF(OR(INDEX($B492:$D492,AV$5)="F",AND(AV$6&gt;0,$A492&lt;AV$6),AND(AV$7&gt;0,$A492&gt;AV$7)),0,MAX(0,ROUND((INDEX($E492:$G492,AV$5)-SUMIFS(TF_Timer,TF_Tekniker,AV$4,TF_Dato,$A492))*2,0)/2)))</f>
        <v/>
      </c>
      <c r="AW492">
        <f>IF(OR(AW$4="",$A492&gt;TODAY()),0,IF(OR(INDEX($B492:$D492,AW$5)="F",AND(AW$6&gt;0,$A492&lt;AW$6),AND(AW$7&gt;0,$A492&gt;AW$7)),0,MAX(0,ROUND((INDEX($E492:$G492,AW$5)-SUMIFS(TF_Timer,TF_Tekniker,AW$4,TF_Dato,$A492))*2,0)/2)))</f>
        <v/>
      </c>
      <c r="AX492">
        <f>IF(OR(AX$4="",$A492&gt;TODAY()),0,IF(OR(INDEX($B492:$D492,AX$5)="F",AND(AX$6&gt;0,$A492&lt;AX$6),AND(AX$7&gt;0,$A492&gt;AX$7)),0,MAX(0,ROUND((INDEX($E492:$G492,AX$5)-SUMIFS(TF_Timer,TF_Tekniker,AX$4,TF_Dato,$A492))*2,0)/2)))</f>
        <v/>
      </c>
      <c r="AY492">
        <f>IF(OR(AY$4="",$A492&gt;TODAY()),0,IF(OR(INDEX($B492:$D492,AY$5)="F",AND(AY$6&gt;0,$A492&lt;AY$6),AND(AY$7&gt;0,$A492&gt;AY$7)),0,MAX(0,ROUND((INDEX($E492:$G492,AY$5)-SUMIFS(TF_Timer,TF_Tekniker,AY$4,TF_Dato,$A492))*2,0)/2)))</f>
        <v/>
      </c>
      <c r="AZ492">
        <f>IF(OR(AZ$4="",$A492&gt;TODAY()),0,IF(OR(INDEX($B492:$D492,AZ$5)="F",AND(AZ$6&gt;0,$A492&lt;AZ$6),AND(AZ$7&gt;0,$A492&gt;AZ$7)),0,MAX(0,ROUND((INDEX($E492:$G492,AZ$5)-SUMIFS(TF_Timer,TF_Tekniker,AZ$4,TF_Dato,$A492))*2,0)/2)))</f>
        <v/>
      </c>
      <c r="BA492">
        <f>IF(OR(BA$4="",$A492&gt;TODAY()),0,IF(OR(INDEX($B492:$D492,BA$5)="F",AND(BA$6&gt;0,$A492&lt;BA$6),AND(BA$7&gt;0,$A492&gt;BA$7)),0,MAX(0,ROUND((INDEX($E492:$G492,BA$5)-SUMIFS(TF_Timer,TF_Tekniker,BA$4,TF_Dato,$A492))*2,0)/2)))</f>
        <v/>
      </c>
      <c r="BB492">
        <f>IF(OR(BB$4="",$A492&gt;TODAY()),0,IF(OR(INDEX($B492:$D492,BB$5)="F",AND(BB$6&gt;0,$A492&lt;BB$6),AND(BB$7&gt;0,$A492&gt;BB$7)),0,MAX(0,ROUND((INDEX($E492:$G492,BB$5)-SUMIFS(TF_Timer,TF_Tekniker,BB$4,TF_Dato,$A492))*2,0)/2)))</f>
        <v/>
      </c>
      <c r="BC492">
        <f>IF(OR(BC$4="",$A492&gt;TODAY()),0,IF(OR(INDEX($B492:$D492,BC$5)="F",AND(BC$6&gt;0,$A492&lt;BC$6),AND(BC$7&gt;0,$A492&gt;BC$7)),0,MAX(0,ROUND((INDEX($E492:$G492,BC$5)-SUMIFS(TF_Timer,TF_Tekniker,BC$4,TF_Dato,$A492))*2,0)/2)))</f>
        <v/>
      </c>
      <c r="BD492">
        <f>IF(OR(BD$4="",$A492&gt;TODAY()),0,IF(OR(INDEX($B492:$D492,BD$5)="F",AND(BD$6&gt;0,$A492&lt;BD$6),AND(BD$7&gt;0,$A492&gt;BD$7)),0,MAX(0,ROUND((INDEX($E492:$G492,BD$5)-SUMIFS(TF_Timer,TF_Tekniker,BD$4,TF_Dato,$A492))*2,0)/2)))</f>
        <v/>
      </c>
      <c r="BE492">
        <f>IF(OR(BE$4="",$A492&gt;TODAY()),0,IF(OR(INDEX($B492:$D492,BE$5)="F",AND(BE$6&gt;0,$A492&lt;BE$6),AND(BE$7&gt;0,$A492&gt;BE$7)),0,MAX(0,ROUND((INDEX($E492:$G492,BE$5)-SUMIFS(TF_Timer,TF_Tekniker,BE$4,TF_Dato,$A492))*2,0)/2)))</f>
        <v/>
      </c>
      <c r="BF492">
        <f>IF(OR(BF$4="",$A492&gt;TODAY()),0,IF(OR(INDEX($B492:$D492,BF$5)="F",AND(BF$6&gt;0,$A492&lt;BF$6),AND(BF$7&gt;0,$A492&gt;BF$7)),0,MAX(0,ROUND((INDEX($E492:$G492,BF$5)-SUMIFS(TF_Timer,TF_Tekniker,BF$4,TF_Dato,$A492))*2,0)/2)))</f>
        <v/>
      </c>
      <c r="BG492">
        <f>IF(OR(BG$4="",$A492&gt;TODAY()),0,IF(OR(INDEX($B492:$D492,BG$5)="F",AND(BG$6&gt;0,$A492&lt;BG$6),AND(BG$7&gt;0,$A492&gt;BG$7)),0,MAX(0,ROUND((INDEX($E492:$G492,BG$5)-SUMIFS(TF_Timer,TF_Tekniker,BG$4,TF_Dato,$A492))*2,0)/2)))</f>
        <v/>
      </c>
      <c r="BH492">
        <f>IF(OR(BH$4="",$A492&gt;TODAY()),0,IF(OR(INDEX($B492:$D492,BH$5)="F",AND(BH$6&gt;0,$A492&lt;BH$6),AND(BH$7&gt;0,$A492&gt;BH$7)),0,MAX(0,ROUND((INDEX($E492:$G492,BH$5)-SUMIFS(TF_Timer,TF_Tekniker,BH$4,TF_Dato,$A492))*2,0)/2)))</f>
        <v/>
      </c>
      <c r="BI492">
        <f>IF(OR(BI$4="",$A492&gt;TODAY()),0,IF(OR(INDEX($B492:$D492,BI$5)="F",AND(BI$6&gt;0,$A492&lt;BI$6),AND(BI$7&gt;0,$A492&gt;BI$7)),0,MAX(0,ROUND((INDEX($E492:$G492,BI$5)-SUMIFS(TF_Timer,TF_Tekniker,BI$4,TF_Dato,$A492))*2,0)/2)))</f>
        <v/>
      </c>
    </row>
    <row r="493">
      <c r="A493" s="64">
        <f>A492+1</f>
        <v/>
      </c>
      <c r="B493">
        <f>IF(MOD($A493-INDEX(SkiftStart,1),Syklus)&lt;DagK,"K",IF(MOD($A493-INDEX(SkiftStart,1),Syklus)&lt;DagK+DagH,"H",IF(MOD($A493-INDEX(SkiftStart,1),Syklus)&lt;DagK+DagH+DagD,"D","F")))</f>
        <v/>
      </c>
      <c r="C493">
        <f>IF(MOD($A493-INDEX(SkiftStart,2),Syklus)&lt;DagK,"K",IF(MOD($A493-INDEX(SkiftStart,2),Syklus)&lt;DagK+DagH,"H",IF(MOD($A493-INDEX(SkiftStart,2),Syklus)&lt;DagK+DagH+DagD,"D","F")))</f>
        <v/>
      </c>
      <c r="D493">
        <f>IF(MOD($A493-INDEX(SkiftStart,3),Syklus)&lt;DagK,"K",IF(MOD($A493-INDEX(SkiftStart,3),Syklus)&lt;DagK+DagH,"H",IF(MOD($A493-INDEX(SkiftStart,3),Syklus)&lt;DagK+DagH+DagD,"D","F")))</f>
        <v/>
      </c>
      <c r="E493">
        <f>IF(B493="F",0,IF(WEEKDAY($A493,2)=5,INDEX(TimerFr,MATCH(B493,FaseKode,0)),INDEX(TimerMT,MATCH(B493,FaseKode,0))))</f>
        <v/>
      </c>
      <c r="F493">
        <f>IF(C493="F",0,IF(WEEKDAY($A493,2)=5,INDEX(TimerFr,MATCH(C493,FaseKode,0)),INDEX(TimerMT,MATCH(C493,FaseKode,0))))</f>
        <v/>
      </c>
      <c r="G493">
        <f>IF(D493="F",0,IF(WEEKDAY($A493,2)=5,INDEX(TimerFr,MATCH(D493,FaseKode,0)),INDEX(TimerMT,MATCH(D493,FaseKode,0))))</f>
        <v/>
      </c>
      <c r="H493">
        <f>IF(OR(H$4="",$A493&gt;TODAY()),0,IF(OR(INDEX($B493:$D493,H$5)="F",AND(H$6&gt;0,$A493&lt;H$6),AND(H$7&gt;0,$A493&gt;H$7)),0,MAX(0,ROUND((INDEX($E493:$G493,H$5)-SUMIFS(TF_Timer,TF_Tekniker,H$4,TF_Dato,$A493))*2,0)/2)))</f>
        <v/>
      </c>
      <c r="I493">
        <f>IF(OR(I$4="",$A493&gt;TODAY()),0,IF(OR(INDEX($B493:$D493,I$5)="F",AND(I$6&gt;0,$A493&lt;I$6),AND(I$7&gt;0,$A493&gt;I$7)),0,MAX(0,ROUND((INDEX($E493:$G493,I$5)-SUMIFS(TF_Timer,TF_Tekniker,I$4,TF_Dato,$A493))*2,0)/2)))</f>
        <v/>
      </c>
      <c r="J493">
        <f>IF(OR(J$4="",$A493&gt;TODAY()),0,IF(OR(INDEX($B493:$D493,J$5)="F",AND(J$6&gt;0,$A493&lt;J$6),AND(J$7&gt;0,$A493&gt;J$7)),0,MAX(0,ROUND((INDEX($E493:$G493,J$5)-SUMIFS(TF_Timer,TF_Tekniker,J$4,TF_Dato,$A493))*2,0)/2)))</f>
        <v/>
      </c>
      <c r="K493">
        <f>IF(OR(K$4="",$A493&gt;TODAY()),0,IF(OR(INDEX($B493:$D493,K$5)="F",AND(K$6&gt;0,$A493&lt;K$6),AND(K$7&gt;0,$A493&gt;K$7)),0,MAX(0,ROUND((INDEX($E493:$G493,K$5)-SUMIFS(TF_Timer,TF_Tekniker,K$4,TF_Dato,$A493))*2,0)/2)))</f>
        <v/>
      </c>
      <c r="L493">
        <f>IF(OR(L$4="",$A493&gt;TODAY()),0,IF(OR(INDEX($B493:$D493,L$5)="F",AND(L$6&gt;0,$A493&lt;L$6),AND(L$7&gt;0,$A493&gt;L$7)),0,MAX(0,ROUND((INDEX($E493:$G493,L$5)-SUMIFS(TF_Timer,TF_Tekniker,L$4,TF_Dato,$A493))*2,0)/2)))</f>
        <v/>
      </c>
      <c r="M493">
        <f>IF(OR(M$4="",$A493&gt;TODAY()),0,IF(OR(INDEX($B493:$D493,M$5)="F",AND(M$6&gt;0,$A493&lt;M$6),AND(M$7&gt;0,$A493&gt;M$7)),0,MAX(0,ROUND((INDEX($E493:$G493,M$5)-SUMIFS(TF_Timer,TF_Tekniker,M$4,TF_Dato,$A493))*2,0)/2)))</f>
        <v/>
      </c>
      <c r="N493">
        <f>IF(OR(N$4="",$A493&gt;TODAY()),0,IF(OR(INDEX($B493:$D493,N$5)="F",AND(N$6&gt;0,$A493&lt;N$6),AND(N$7&gt;0,$A493&gt;N$7)),0,MAX(0,ROUND((INDEX($E493:$G493,N$5)-SUMIFS(TF_Timer,TF_Tekniker,N$4,TF_Dato,$A493))*2,0)/2)))</f>
        <v/>
      </c>
      <c r="O493">
        <f>IF(OR(O$4="",$A493&gt;TODAY()),0,IF(OR(INDEX($B493:$D493,O$5)="F",AND(O$6&gt;0,$A493&lt;O$6),AND(O$7&gt;0,$A493&gt;O$7)),0,MAX(0,ROUND((INDEX($E493:$G493,O$5)-SUMIFS(TF_Timer,TF_Tekniker,O$4,TF_Dato,$A493))*2,0)/2)))</f>
        <v/>
      </c>
      <c r="P493">
        <f>IF(OR(P$4="",$A493&gt;TODAY()),0,IF(OR(INDEX($B493:$D493,P$5)="F",AND(P$6&gt;0,$A493&lt;P$6),AND(P$7&gt;0,$A493&gt;P$7)),0,MAX(0,ROUND((INDEX($E493:$G493,P$5)-SUMIFS(TF_Timer,TF_Tekniker,P$4,TF_Dato,$A493))*2,0)/2)))</f>
        <v/>
      </c>
      <c r="Q493">
        <f>IF(OR(Q$4="",$A493&gt;TODAY()),0,IF(OR(INDEX($B493:$D493,Q$5)="F",AND(Q$6&gt;0,$A493&lt;Q$6),AND(Q$7&gt;0,$A493&gt;Q$7)),0,MAX(0,ROUND((INDEX($E493:$G493,Q$5)-SUMIFS(TF_Timer,TF_Tekniker,Q$4,TF_Dato,$A493))*2,0)/2)))</f>
        <v/>
      </c>
      <c r="R493">
        <f>IF(OR(R$4="",$A493&gt;TODAY()),0,IF(OR(INDEX($B493:$D493,R$5)="F",AND(R$6&gt;0,$A493&lt;R$6),AND(R$7&gt;0,$A493&gt;R$7)),0,MAX(0,ROUND((INDEX($E493:$G493,R$5)-SUMIFS(TF_Timer,TF_Tekniker,R$4,TF_Dato,$A493))*2,0)/2)))</f>
        <v/>
      </c>
      <c r="S493">
        <f>IF(OR(S$4="",$A493&gt;TODAY()),0,IF(OR(INDEX($B493:$D493,S$5)="F",AND(S$6&gt;0,$A493&lt;S$6),AND(S$7&gt;0,$A493&gt;S$7)),0,MAX(0,ROUND((INDEX($E493:$G493,S$5)-SUMIFS(TF_Timer,TF_Tekniker,S$4,TF_Dato,$A493))*2,0)/2)))</f>
        <v/>
      </c>
      <c r="T493">
        <f>IF(OR(T$4="",$A493&gt;TODAY()),0,IF(OR(INDEX($B493:$D493,T$5)="F",AND(T$6&gt;0,$A493&lt;T$6),AND(T$7&gt;0,$A493&gt;T$7)),0,MAX(0,ROUND((INDEX($E493:$G493,T$5)-SUMIFS(TF_Timer,TF_Tekniker,T$4,TF_Dato,$A493))*2,0)/2)))</f>
        <v/>
      </c>
      <c r="U493">
        <f>IF(OR(U$4="",$A493&gt;TODAY()),0,IF(OR(INDEX($B493:$D493,U$5)="F",AND(U$6&gt;0,$A493&lt;U$6),AND(U$7&gt;0,$A493&gt;U$7)),0,MAX(0,ROUND((INDEX($E493:$G493,U$5)-SUMIFS(TF_Timer,TF_Tekniker,U$4,TF_Dato,$A493))*2,0)/2)))</f>
        <v/>
      </c>
      <c r="V493">
        <f>IF(OR(V$4="",$A493&gt;TODAY()),0,IF(OR(INDEX($B493:$D493,V$5)="F",AND(V$6&gt;0,$A493&lt;V$6),AND(V$7&gt;0,$A493&gt;V$7)),0,MAX(0,ROUND((INDEX($E493:$G493,V$5)-SUMIFS(TF_Timer,TF_Tekniker,V$4,TF_Dato,$A493))*2,0)/2)))</f>
        <v/>
      </c>
      <c r="W493">
        <f>IF(OR(W$4="",$A493&gt;TODAY()),0,IF(OR(INDEX($B493:$D493,W$5)="F",AND(W$6&gt;0,$A493&lt;W$6),AND(W$7&gt;0,$A493&gt;W$7)),0,MAX(0,ROUND((INDEX($E493:$G493,W$5)-SUMIFS(TF_Timer,TF_Tekniker,W$4,TF_Dato,$A493))*2,0)/2)))</f>
        <v/>
      </c>
      <c r="X493">
        <f>IF(OR(X$4="",$A493&gt;TODAY()),0,IF(OR(INDEX($B493:$D493,X$5)="F",AND(X$6&gt;0,$A493&lt;X$6),AND(X$7&gt;0,$A493&gt;X$7)),0,MAX(0,ROUND((INDEX($E493:$G493,X$5)-SUMIFS(TF_Timer,TF_Tekniker,X$4,TF_Dato,$A493))*2,0)/2)))</f>
        <v/>
      </c>
      <c r="Y493">
        <f>IF(OR(Y$4="",$A493&gt;TODAY()),0,IF(OR(INDEX($B493:$D493,Y$5)="F",AND(Y$6&gt;0,$A493&lt;Y$6),AND(Y$7&gt;0,$A493&gt;Y$7)),0,MAX(0,ROUND((INDEX($E493:$G493,Y$5)-SUMIFS(TF_Timer,TF_Tekniker,Y$4,TF_Dato,$A493))*2,0)/2)))</f>
        <v/>
      </c>
      <c r="Z493">
        <f>IF(OR(Z$4="",$A493&gt;TODAY()),0,IF(OR(INDEX($B493:$D493,Z$5)="F",AND(Z$6&gt;0,$A493&lt;Z$6),AND(Z$7&gt;0,$A493&gt;Z$7)),0,MAX(0,ROUND((INDEX($E493:$G493,Z$5)-SUMIFS(TF_Timer,TF_Tekniker,Z$4,TF_Dato,$A493))*2,0)/2)))</f>
        <v/>
      </c>
      <c r="AA493">
        <f>IF(OR(AA$4="",$A493&gt;TODAY()),0,IF(OR(INDEX($B493:$D493,AA$5)="F",AND(AA$6&gt;0,$A493&lt;AA$6),AND(AA$7&gt;0,$A493&gt;AA$7)),0,MAX(0,ROUND((INDEX($E493:$G493,AA$5)-SUMIFS(TF_Timer,TF_Tekniker,AA$4,TF_Dato,$A493))*2,0)/2)))</f>
        <v/>
      </c>
      <c r="AB493">
        <f>IF(OR(AB$4="",$A493&gt;TODAY()),0,IF(OR(INDEX($B493:$D493,AB$5)="F",AND(AB$6&gt;0,$A493&lt;AB$6),AND(AB$7&gt;0,$A493&gt;AB$7)),0,MAX(0,ROUND((INDEX($E493:$G493,AB$5)-SUMIFS(TF_Timer,TF_Tekniker,AB$4,TF_Dato,$A493))*2,0)/2)))</f>
        <v/>
      </c>
      <c r="AC493">
        <f>IF(OR(AC$4="",$A493&gt;TODAY()),0,IF(OR(INDEX($B493:$D493,AC$5)="F",AND(AC$6&gt;0,$A493&lt;AC$6),AND(AC$7&gt;0,$A493&gt;AC$7)),0,MAX(0,ROUND((INDEX($E493:$G493,AC$5)-SUMIFS(TF_Timer,TF_Tekniker,AC$4,TF_Dato,$A493))*2,0)/2)))</f>
        <v/>
      </c>
      <c r="AD493">
        <f>IF(OR(AD$4="",$A493&gt;TODAY()),0,IF(OR(INDEX($B493:$D493,AD$5)="F",AND(AD$6&gt;0,$A493&lt;AD$6),AND(AD$7&gt;0,$A493&gt;AD$7)),0,MAX(0,ROUND((INDEX($E493:$G493,AD$5)-SUMIFS(TF_Timer,TF_Tekniker,AD$4,TF_Dato,$A493))*2,0)/2)))</f>
        <v/>
      </c>
      <c r="AE493">
        <f>IF(OR(AE$4="",$A493&gt;TODAY()),0,IF(OR(INDEX($B493:$D493,AE$5)="F",AND(AE$6&gt;0,$A493&lt;AE$6),AND(AE$7&gt;0,$A493&gt;AE$7)),0,MAX(0,ROUND((INDEX($E493:$G493,AE$5)-SUMIFS(TF_Timer,TF_Tekniker,AE$4,TF_Dato,$A493))*2,0)/2)))</f>
        <v/>
      </c>
      <c r="AF493">
        <f>IF(OR(AF$4="",$A493&gt;TODAY()),0,IF(OR(INDEX($B493:$D493,AF$5)="F",AND(AF$6&gt;0,$A493&lt;AF$6),AND(AF$7&gt;0,$A493&gt;AF$7)),0,MAX(0,ROUND((INDEX($E493:$G493,AF$5)-SUMIFS(TF_Timer,TF_Tekniker,AF$4,TF_Dato,$A493))*2,0)/2)))</f>
        <v/>
      </c>
      <c r="AG493">
        <f>IF(OR(AG$4="",$A493&gt;TODAY()),0,IF(OR(INDEX($B493:$D493,AG$5)="F",AND(AG$6&gt;0,$A493&lt;AG$6),AND(AG$7&gt;0,$A493&gt;AG$7)),0,MAX(0,ROUND((INDEX($E493:$G493,AG$5)-SUMIFS(TF_Timer,TF_Tekniker,AG$4,TF_Dato,$A493))*2,0)/2)))</f>
        <v/>
      </c>
      <c r="AH493">
        <f>IF(OR(AH$4="",$A493&gt;TODAY()),0,IF(OR(INDEX($B493:$D493,AH$5)="F",AND(AH$6&gt;0,$A493&lt;AH$6),AND(AH$7&gt;0,$A493&gt;AH$7)),0,MAX(0,ROUND((INDEX($E493:$G493,AH$5)-SUMIFS(TF_Timer,TF_Tekniker,AH$4,TF_Dato,$A493))*2,0)/2)))</f>
        <v/>
      </c>
      <c r="AI493">
        <f>IF(OR(AI$4="",$A493&gt;TODAY()),0,IF(OR(INDEX($B493:$D493,AI$5)="F",AND(AI$6&gt;0,$A493&lt;AI$6),AND(AI$7&gt;0,$A493&gt;AI$7)),0,MAX(0,ROUND((INDEX($E493:$G493,AI$5)-SUMIFS(TF_Timer,TF_Tekniker,AI$4,TF_Dato,$A493))*2,0)/2)))</f>
        <v/>
      </c>
      <c r="AJ493">
        <f>IF(OR(AJ$4="",$A493&gt;TODAY()),0,IF(OR(INDEX($B493:$D493,AJ$5)="F",AND(AJ$6&gt;0,$A493&lt;AJ$6),AND(AJ$7&gt;0,$A493&gt;AJ$7)),0,MAX(0,ROUND((INDEX($E493:$G493,AJ$5)-SUMIFS(TF_Timer,TF_Tekniker,AJ$4,TF_Dato,$A493))*2,0)/2)))</f>
        <v/>
      </c>
      <c r="AK493">
        <f>IF(OR(AK$4="",$A493&gt;TODAY()),0,IF(OR(INDEX($B493:$D493,AK$5)="F",AND(AK$6&gt;0,$A493&lt;AK$6),AND(AK$7&gt;0,$A493&gt;AK$7)),0,MAX(0,ROUND((INDEX($E493:$G493,AK$5)-SUMIFS(TF_Timer,TF_Tekniker,AK$4,TF_Dato,$A493))*2,0)/2)))</f>
        <v/>
      </c>
      <c r="AL493">
        <f>IF(OR(AL$4="",$A493&gt;TODAY()),0,IF(OR(INDEX($B493:$D493,AL$5)="F",AND(AL$6&gt;0,$A493&lt;AL$6),AND(AL$7&gt;0,$A493&gt;AL$7)),0,MAX(0,ROUND((INDEX($E493:$G493,AL$5)-SUMIFS(TF_Timer,TF_Tekniker,AL$4,TF_Dato,$A493))*2,0)/2)))</f>
        <v/>
      </c>
      <c r="AM493">
        <f>IF(OR(AM$4="",$A493&gt;TODAY()),0,IF(OR(INDEX($B493:$D493,AM$5)="F",AND(AM$6&gt;0,$A493&lt;AM$6),AND(AM$7&gt;0,$A493&gt;AM$7)),0,MAX(0,ROUND((INDEX($E493:$G493,AM$5)-SUMIFS(TF_Timer,TF_Tekniker,AM$4,TF_Dato,$A493))*2,0)/2)))</f>
        <v/>
      </c>
      <c r="AN493">
        <f>IF(OR(AN$4="",$A493&gt;TODAY()),0,IF(OR(INDEX($B493:$D493,AN$5)="F",AND(AN$6&gt;0,$A493&lt;AN$6),AND(AN$7&gt;0,$A493&gt;AN$7)),0,MAX(0,ROUND((INDEX($E493:$G493,AN$5)-SUMIFS(TF_Timer,TF_Tekniker,AN$4,TF_Dato,$A493))*2,0)/2)))</f>
        <v/>
      </c>
      <c r="AO493">
        <f>IF(OR(AO$4="",$A493&gt;TODAY()),0,IF(OR(INDEX($B493:$D493,AO$5)="F",AND(AO$6&gt;0,$A493&lt;AO$6),AND(AO$7&gt;0,$A493&gt;AO$7)),0,MAX(0,ROUND((INDEX($E493:$G493,AO$5)-SUMIFS(TF_Timer,TF_Tekniker,AO$4,TF_Dato,$A493))*2,0)/2)))</f>
        <v/>
      </c>
      <c r="AP493">
        <f>IF(OR(AP$4="",$A493&gt;TODAY()),0,IF(OR(INDEX($B493:$D493,AP$5)="F",AND(AP$6&gt;0,$A493&lt;AP$6),AND(AP$7&gt;0,$A493&gt;AP$7)),0,MAX(0,ROUND((INDEX($E493:$G493,AP$5)-SUMIFS(TF_Timer,TF_Tekniker,AP$4,TF_Dato,$A493))*2,0)/2)))</f>
        <v/>
      </c>
      <c r="AQ493">
        <f>IF(OR(AQ$4="",$A493&gt;TODAY()),0,IF(OR(INDEX($B493:$D493,AQ$5)="F",AND(AQ$6&gt;0,$A493&lt;AQ$6),AND(AQ$7&gt;0,$A493&gt;AQ$7)),0,MAX(0,ROUND((INDEX($E493:$G493,AQ$5)-SUMIFS(TF_Timer,TF_Tekniker,AQ$4,TF_Dato,$A493))*2,0)/2)))</f>
        <v/>
      </c>
      <c r="AR493">
        <f>IF(OR(AR$4="",$A493&gt;TODAY()),0,IF(OR(INDEX($B493:$D493,AR$5)="F",AND(AR$6&gt;0,$A493&lt;AR$6),AND(AR$7&gt;0,$A493&gt;AR$7)),0,MAX(0,ROUND((INDEX($E493:$G493,AR$5)-SUMIFS(TF_Timer,TF_Tekniker,AR$4,TF_Dato,$A493))*2,0)/2)))</f>
        <v/>
      </c>
      <c r="AS493">
        <f>IF(OR(AS$4="",$A493&gt;TODAY()),0,IF(OR(INDEX($B493:$D493,AS$5)="F",AND(AS$6&gt;0,$A493&lt;AS$6),AND(AS$7&gt;0,$A493&gt;AS$7)),0,MAX(0,ROUND((INDEX($E493:$G493,AS$5)-SUMIFS(TF_Timer,TF_Tekniker,AS$4,TF_Dato,$A493))*2,0)/2)))</f>
        <v/>
      </c>
      <c r="AT493">
        <f>IF(OR(AT$4="",$A493&gt;TODAY()),0,IF(OR(INDEX($B493:$D493,AT$5)="F",AND(AT$6&gt;0,$A493&lt;AT$6),AND(AT$7&gt;0,$A493&gt;AT$7)),0,MAX(0,ROUND((INDEX($E493:$G493,AT$5)-SUMIFS(TF_Timer,TF_Tekniker,AT$4,TF_Dato,$A493))*2,0)/2)))</f>
        <v/>
      </c>
      <c r="AU493">
        <f>IF(OR(AU$4="",$A493&gt;TODAY()),0,IF(OR(INDEX($B493:$D493,AU$5)="F",AND(AU$6&gt;0,$A493&lt;AU$6),AND(AU$7&gt;0,$A493&gt;AU$7)),0,MAX(0,ROUND((INDEX($E493:$G493,AU$5)-SUMIFS(TF_Timer,TF_Tekniker,AU$4,TF_Dato,$A493))*2,0)/2)))</f>
        <v/>
      </c>
      <c r="AV493">
        <f>IF(OR(AV$4="",$A493&gt;TODAY()),0,IF(OR(INDEX($B493:$D493,AV$5)="F",AND(AV$6&gt;0,$A493&lt;AV$6),AND(AV$7&gt;0,$A493&gt;AV$7)),0,MAX(0,ROUND((INDEX($E493:$G493,AV$5)-SUMIFS(TF_Timer,TF_Tekniker,AV$4,TF_Dato,$A493))*2,0)/2)))</f>
        <v/>
      </c>
      <c r="AW493">
        <f>IF(OR(AW$4="",$A493&gt;TODAY()),0,IF(OR(INDEX($B493:$D493,AW$5)="F",AND(AW$6&gt;0,$A493&lt;AW$6),AND(AW$7&gt;0,$A493&gt;AW$7)),0,MAX(0,ROUND((INDEX($E493:$G493,AW$5)-SUMIFS(TF_Timer,TF_Tekniker,AW$4,TF_Dato,$A493))*2,0)/2)))</f>
        <v/>
      </c>
      <c r="AX493">
        <f>IF(OR(AX$4="",$A493&gt;TODAY()),0,IF(OR(INDEX($B493:$D493,AX$5)="F",AND(AX$6&gt;0,$A493&lt;AX$6),AND(AX$7&gt;0,$A493&gt;AX$7)),0,MAX(0,ROUND((INDEX($E493:$G493,AX$5)-SUMIFS(TF_Timer,TF_Tekniker,AX$4,TF_Dato,$A493))*2,0)/2)))</f>
        <v/>
      </c>
      <c r="AY493">
        <f>IF(OR(AY$4="",$A493&gt;TODAY()),0,IF(OR(INDEX($B493:$D493,AY$5)="F",AND(AY$6&gt;0,$A493&lt;AY$6),AND(AY$7&gt;0,$A493&gt;AY$7)),0,MAX(0,ROUND((INDEX($E493:$G493,AY$5)-SUMIFS(TF_Timer,TF_Tekniker,AY$4,TF_Dato,$A493))*2,0)/2)))</f>
        <v/>
      </c>
      <c r="AZ493">
        <f>IF(OR(AZ$4="",$A493&gt;TODAY()),0,IF(OR(INDEX($B493:$D493,AZ$5)="F",AND(AZ$6&gt;0,$A493&lt;AZ$6),AND(AZ$7&gt;0,$A493&gt;AZ$7)),0,MAX(0,ROUND((INDEX($E493:$G493,AZ$5)-SUMIFS(TF_Timer,TF_Tekniker,AZ$4,TF_Dato,$A493))*2,0)/2)))</f>
        <v/>
      </c>
      <c r="BA493">
        <f>IF(OR(BA$4="",$A493&gt;TODAY()),0,IF(OR(INDEX($B493:$D493,BA$5)="F",AND(BA$6&gt;0,$A493&lt;BA$6),AND(BA$7&gt;0,$A493&gt;BA$7)),0,MAX(0,ROUND((INDEX($E493:$G493,BA$5)-SUMIFS(TF_Timer,TF_Tekniker,BA$4,TF_Dato,$A493))*2,0)/2)))</f>
        <v/>
      </c>
      <c r="BB493">
        <f>IF(OR(BB$4="",$A493&gt;TODAY()),0,IF(OR(INDEX($B493:$D493,BB$5)="F",AND(BB$6&gt;0,$A493&lt;BB$6),AND(BB$7&gt;0,$A493&gt;BB$7)),0,MAX(0,ROUND((INDEX($E493:$G493,BB$5)-SUMIFS(TF_Timer,TF_Tekniker,BB$4,TF_Dato,$A493))*2,0)/2)))</f>
        <v/>
      </c>
      <c r="BC493">
        <f>IF(OR(BC$4="",$A493&gt;TODAY()),0,IF(OR(INDEX($B493:$D493,BC$5)="F",AND(BC$6&gt;0,$A493&lt;BC$6),AND(BC$7&gt;0,$A493&gt;BC$7)),0,MAX(0,ROUND((INDEX($E493:$G493,BC$5)-SUMIFS(TF_Timer,TF_Tekniker,BC$4,TF_Dato,$A493))*2,0)/2)))</f>
        <v/>
      </c>
      <c r="BD493">
        <f>IF(OR(BD$4="",$A493&gt;TODAY()),0,IF(OR(INDEX($B493:$D493,BD$5)="F",AND(BD$6&gt;0,$A493&lt;BD$6),AND(BD$7&gt;0,$A493&gt;BD$7)),0,MAX(0,ROUND((INDEX($E493:$G493,BD$5)-SUMIFS(TF_Timer,TF_Tekniker,BD$4,TF_Dato,$A493))*2,0)/2)))</f>
        <v/>
      </c>
      <c r="BE493">
        <f>IF(OR(BE$4="",$A493&gt;TODAY()),0,IF(OR(INDEX($B493:$D493,BE$5)="F",AND(BE$6&gt;0,$A493&lt;BE$6),AND(BE$7&gt;0,$A493&gt;BE$7)),0,MAX(0,ROUND((INDEX($E493:$G493,BE$5)-SUMIFS(TF_Timer,TF_Tekniker,BE$4,TF_Dato,$A493))*2,0)/2)))</f>
        <v/>
      </c>
      <c r="BF493">
        <f>IF(OR(BF$4="",$A493&gt;TODAY()),0,IF(OR(INDEX($B493:$D493,BF$5)="F",AND(BF$6&gt;0,$A493&lt;BF$6),AND(BF$7&gt;0,$A493&gt;BF$7)),0,MAX(0,ROUND((INDEX($E493:$G493,BF$5)-SUMIFS(TF_Timer,TF_Tekniker,BF$4,TF_Dato,$A493))*2,0)/2)))</f>
        <v/>
      </c>
      <c r="BG493">
        <f>IF(OR(BG$4="",$A493&gt;TODAY()),0,IF(OR(INDEX($B493:$D493,BG$5)="F",AND(BG$6&gt;0,$A493&lt;BG$6),AND(BG$7&gt;0,$A493&gt;BG$7)),0,MAX(0,ROUND((INDEX($E493:$G493,BG$5)-SUMIFS(TF_Timer,TF_Tekniker,BG$4,TF_Dato,$A493))*2,0)/2)))</f>
        <v/>
      </c>
      <c r="BH493">
        <f>IF(OR(BH$4="",$A493&gt;TODAY()),0,IF(OR(INDEX($B493:$D493,BH$5)="F",AND(BH$6&gt;0,$A493&lt;BH$6),AND(BH$7&gt;0,$A493&gt;BH$7)),0,MAX(0,ROUND((INDEX($E493:$G493,BH$5)-SUMIFS(TF_Timer,TF_Tekniker,BH$4,TF_Dato,$A493))*2,0)/2)))</f>
        <v/>
      </c>
      <c r="BI493">
        <f>IF(OR(BI$4="",$A493&gt;TODAY()),0,IF(OR(INDEX($B493:$D493,BI$5)="F",AND(BI$6&gt;0,$A493&lt;BI$6),AND(BI$7&gt;0,$A493&gt;BI$7)),0,MAX(0,ROUND((INDEX($E493:$G493,BI$5)-SUMIFS(TF_Timer,TF_Tekniker,BI$4,TF_Dato,$A493))*2,0)/2)))</f>
        <v/>
      </c>
    </row>
    <row r="494">
      <c r="A494" s="64">
        <f>A493+1</f>
        <v/>
      </c>
      <c r="B494">
        <f>IF(MOD($A494-INDEX(SkiftStart,1),Syklus)&lt;DagK,"K",IF(MOD($A494-INDEX(SkiftStart,1),Syklus)&lt;DagK+DagH,"H",IF(MOD($A494-INDEX(SkiftStart,1),Syklus)&lt;DagK+DagH+DagD,"D","F")))</f>
        <v/>
      </c>
      <c r="C494">
        <f>IF(MOD($A494-INDEX(SkiftStart,2),Syklus)&lt;DagK,"K",IF(MOD($A494-INDEX(SkiftStart,2),Syklus)&lt;DagK+DagH,"H",IF(MOD($A494-INDEX(SkiftStart,2),Syklus)&lt;DagK+DagH+DagD,"D","F")))</f>
        <v/>
      </c>
      <c r="D494">
        <f>IF(MOD($A494-INDEX(SkiftStart,3),Syklus)&lt;DagK,"K",IF(MOD($A494-INDEX(SkiftStart,3),Syklus)&lt;DagK+DagH,"H",IF(MOD($A494-INDEX(SkiftStart,3),Syklus)&lt;DagK+DagH+DagD,"D","F")))</f>
        <v/>
      </c>
      <c r="E494">
        <f>IF(B494="F",0,IF(WEEKDAY($A494,2)=5,INDEX(TimerFr,MATCH(B494,FaseKode,0)),INDEX(TimerMT,MATCH(B494,FaseKode,0))))</f>
        <v/>
      </c>
      <c r="F494">
        <f>IF(C494="F",0,IF(WEEKDAY($A494,2)=5,INDEX(TimerFr,MATCH(C494,FaseKode,0)),INDEX(TimerMT,MATCH(C494,FaseKode,0))))</f>
        <v/>
      </c>
      <c r="G494">
        <f>IF(D494="F",0,IF(WEEKDAY($A494,2)=5,INDEX(TimerFr,MATCH(D494,FaseKode,0)),INDEX(TimerMT,MATCH(D494,FaseKode,0))))</f>
        <v/>
      </c>
      <c r="H494">
        <f>IF(OR(H$4="",$A494&gt;TODAY()),0,IF(OR(INDEX($B494:$D494,H$5)="F",AND(H$6&gt;0,$A494&lt;H$6),AND(H$7&gt;0,$A494&gt;H$7)),0,MAX(0,ROUND((INDEX($E494:$G494,H$5)-SUMIFS(TF_Timer,TF_Tekniker,H$4,TF_Dato,$A494))*2,0)/2)))</f>
        <v/>
      </c>
      <c r="I494">
        <f>IF(OR(I$4="",$A494&gt;TODAY()),0,IF(OR(INDEX($B494:$D494,I$5)="F",AND(I$6&gt;0,$A494&lt;I$6),AND(I$7&gt;0,$A494&gt;I$7)),0,MAX(0,ROUND((INDEX($E494:$G494,I$5)-SUMIFS(TF_Timer,TF_Tekniker,I$4,TF_Dato,$A494))*2,0)/2)))</f>
        <v/>
      </c>
      <c r="J494">
        <f>IF(OR(J$4="",$A494&gt;TODAY()),0,IF(OR(INDEX($B494:$D494,J$5)="F",AND(J$6&gt;0,$A494&lt;J$6),AND(J$7&gt;0,$A494&gt;J$7)),0,MAX(0,ROUND((INDEX($E494:$G494,J$5)-SUMIFS(TF_Timer,TF_Tekniker,J$4,TF_Dato,$A494))*2,0)/2)))</f>
        <v/>
      </c>
      <c r="K494">
        <f>IF(OR(K$4="",$A494&gt;TODAY()),0,IF(OR(INDEX($B494:$D494,K$5)="F",AND(K$6&gt;0,$A494&lt;K$6),AND(K$7&gt;0,$A494&gt;K$7)),0,MAX(0,ROUND((INDEX($E494:$G494,K$5)-SUMIFS(TF_Timer,TF_Tekniker,K$4,TF_Dato,$A494))*2,0)/2)))</f>
        <v/>
      </c>
      <c r="L494">
        <f>IF(OR(L$4="",$A494&gt;TODAY()),0,IF(OR(INDEX($B494:$D494,L$5)="F",AND(L$6&gt;0,$A494&lt;L$6),AND(L$7&gt;0,$A494&gt;L$7)),0,MAX(0,ROUND((INDEX($E494:$G494,L$5)-SUMIFS(TF_Timer,TF_Tekniker,L$4,TF_Dato,$A494))*2,0)/2)))</f>
        <v/>
      </c>
      <c r="M494">
        <f>IF(OR(M$4="",$A494&gt;TODAY()),0,IF(OR(INDEX($B494:$D494,M$5)="F",AND(M$6&gt;0,$A494&lt;M$6),AND(M$7&gt;0,$A494&gt;M$7)),0,MAX(0,ROUND((INDEX($E494:$G494,M$5)-SUMIFS(TF_Timer,TF_Tekniker,M$4,TF_Dato,$A494))*2,0)/2)))</f>
        <v/>
      </c>
      <c r="N494">
        <f>IF(OR(N$4="",$A494&gt;TODAY()),0,IF(OR(INDEX($B494:$D494,N$5)="F",AND(N$6&gt;0,$A494&lt;N$6),AND(N$7&gt;0,$A494&gt;N$7)),0,MAX(0,ROUND((INDEX($E494:$G494,N$5)-SUMIFS(TF_Timer,TF_Tekniker,N$4,TF_Dato,$A494))*2,0)/2)))</f>
        <v/>
      </c>
      <c r="O494">
        <f>IF(OR(O$4="",$A494&gt;TODAY()),0,IF(OR(INDEX($B494:$D494,O$5)="F",AND(O$6&gt;0,$A494&lt;O$6),AND(O$7&gt;0,$A494&gt;O$7)),0,MAX(0,ROUND((INDEX($E494:$G494,O$5)-SUMIFS(TF_Timer,TF_Tekniker,O$4,TF_Dato,$A494))*2,0)/2)))</f>
        <v/>
      </c>
      <c r="P494">
        <f>IF(OR(P$4="",$A494&gt;TODAY()),0,IF(OR(INDEX($B494:$D494,P$5)="F",AND(P$6&gt;0,$A494&lt;P$6),AND(P$7&gt;0,$A494&gt;P$7)),0,MAX(0,ROUND((INDEX($E494:$G494,P$5)-SUMIFS(TF_Timer,TF_Tekniker,P$4,TF_Dato,$A494))*2,0)/2)))</f>
        <v/>
      </c>
      <c r="Q494">
        <f>IF(OR(Q$4="",$A494&gt;TODAY()),0,IF(OR(INDEX($B494:$D494,Q$5)="F",AND(Q$6&gt;0,$A494&lt;Q$6),AND(Q$7&gt;0,$A494&gt;Q$7)),0,MAX(0,ROUND((INDEX($E494:$G494,Q$5)-SUMIFS(TF_Timer,TF_Tekniker,Q$4,TF_Dato,$A494))*2,0)/2)))</f>
        <v/>
      </c>
      <c r="R494">
        <f>IF(OR(R$4="",$A494&gt;TODAY()),0,IF(OR(INDEX($B494:$D494,R$5)="F",AND(R$6&gt;0,$A494&lt;R$6),AND(R$7&gt;0,$A494&gt;R$7)),0,MAX(0,ROUND((INDEX($E494:$G494,R$5)-SUMIFS(TF_Timer,TF_Tekniker,R$4,TF_Dato,$A494))*2,0)/2)))</f>
        <v/>
      </c>
      <c r="S494">
        <f>IF(OR(S$4="",$A494&gt;TODAY()),0,IF(OR(INDEX($B494:$D494,S$5)="F",AND(S$6&gt;0,$A494&lt;S$6),AND(S$7&gt;0,$A494&gt;S$7)),0,MAX(0,ROUND((INDEX($E494:$G494,S$5)-SUMIFS(TF_Timer,TF_Tekniker,S$4,TF_Dato,$A494))*2,0)/2)))</f>
        <v/>
      </c>
      <c r="T494">
        <f>IF(OR(T$4="",$A494&gt;TODAY()),0,IF(OR(INDEX($B494:$D494,T$5)="F",AND(T$6&gt;0,$A494&lt;T$6),AND(T$7&gt;0,$A494&gt;T$7)),0,MAX(0,ROUND((INDEX($E494:$G494,T$5)-SUMIFS(TF_Timer,TF_Tekniker,T$4,TF_Dato,$A494))*2,0)/2)))</f>
        <v/>
      </c>
      <c r="U494">
        <f>IF(OR(U$4="",$A494&gt;TODAY()),0,IF(OR(INDEX($B494:$D494,U$5)="F",AND(U$6&gt;0,$A494&lt;U$6),AND(U$7&gt;0,$A494&gt;U$7)),0,MAX(0,ROUND((INDEX($E494:$G494,U$5)-SUMIFS(TF_Timer,TF_Tekniker,U$4,TF_Dato,$A494))*2,0)/2)))</f>
        <v/>
      </c>
      <c r="V494">
        <f>IF(OR(V$4="",$A494&gt;TODAY()),0,IF(OR(INDEX($B494:$D494,V$5)="F",AND(V$6&gt;0,$A494&lt;V$6),AND(V$7&gt;0,$A494&gt;V$7)),0,MAX(0,ROUND((INDEX($E494:$G494,V$5)-SUMIFS(TF_Timer,TF_Tekniker,V$4,TF_Dato,$A494))*2,0)/2)))</f>
        <v/>
      </c>
      <c r="W494">
        <f>IF(OR(W$4="",$A494&gt;TODAY()),0,IF(OR(INDEX($B494:$D494,W$5)="F",AND(W$6&gt;0,$A494&lt;W$6),AND(W$7&gt;0,$A494&gt;W$7)),0,MAX(0,ROUND((INDEX($E494:$G494,W$5)-SUMIFS(TF_Timer,TF_Tekniker,W$4,TF_Dato,$A494))*2,0)/2)))</f>
        <v/>
      </c>
      <c r="X494">
        <f>IF(OR(X$4="",$A494&gt;TODAY()),0,IF(OR(INDEX($B494:$D494,X$5)="F",AND(X$6&gt;0,$A494&lt;X$6),AND(X$7&gt;0,$A494&gt;X$7)),0,MAX(0,ROUND((INDEX($E494:$G494,X$5)-SUMIFS(TF_Timer,TF_Tekniker,X$4,TF_Dato,$A494))*2,0)/2)))</f>
        <v/>
      </c>
      <c r="Y494">
        <f>IF(OR(Y$4="",$A494&gt;TODAY()),0,IF(OR(INDEX($B494:$D494,Y$5)="F",AND(Y$6&gt;0,$A494&lt;Y$6),AND(Y$7&gt;0,$A494&gt;Y$7)),0,MAX(0,ROUND((INDEX($E494:$G494,Y$5)-SUMIFS(TF_Timer,TF_Tekniker,Y$4,TF_Dato,$A494))*2,0)/2)))</f>
        <v/>
      </c>
      <c r="Z494">
        <f>IF(OR(Z$4="",$A494&gt;TODAY()),0,IF(OR(INDEX($B494:$D494,Z$5)="F",AND(Z$6&gt;0,$A494&lt;Z$6),AND(Z$7&gt;0,$A494&gt;Z$7)),0,MAX(0,ROUND((INDEX($E494:$G494,Z$5)-SUMIFS(TF_Timer,TF_Tekniker,Z$4,TF_Dato,$A494))*2,0)/2)))</f>
        <v/>
      </c>
      <c r="AA494">
        <f>IF(OR(AA$4="",$A494&gt;TODAY()),0,IF(OR(INDEX($B494:$D494,AA$5)="F",AND(AA$6&gt;0,$A494&lt;AA$6),AND(AA$7&gt;0,$A494&gt;AA$7)),0,MAX(0,ROUND((INDEX($E494:$G494,AA$5)-SUMIFS(TF_Timer,TF_Tekniker,AA$4,TF_Dato,$A494))*2,0)/2)))</f>
        <v/>
      </c>
      <c r="AB494">
        <f>IF(OR(AB$4="",$A494&gt;TODAY()),0,IF(OR(INDEX($B494:$D494,AB$5)="F",AND(AB$6&gt;0,$A494&lt;AB$6),AND(AB$7&gt;0,$A494&gt;AB$7)),0,MAX(0,ROUND((INDEX($E494:$G494,AB$5)-SUMIFS(TF_Timer,TF_Tekniker,AB$4,TF_Dato,$A494))*2,0)/2)))</f>
        <v/>
      </c>
      <c r="AC494">
        <f>IF(OR(AC$4="",$A494&gt;TODAY()),0,IF(OR(INDEX($B494:$D494,AC$5)="F",AND(AC$6&gt;0,$A494&lt;AC$6),AND(AC$7&gt;0,$A494&gt;AC$7)),0,MAX(0,ROUND((INDEX($E494:$G494,AC$5)-SUMIFS(TF_Timer,TF_Tekniker,AC$4,TF_Dato,$A494))*2,0)/2)))</f>
        <v/>
      </c>
      <c r="AD494">
        <f>IF(OR(AD$4="",$A494&gt;TODAY()),0,IF(OR(INDEX($B494:$D494,AD$5)="F",AND(AD$6&gt;0,$A494&lt;AD$6),AND(AD$7&gt;0,$A494&gt;AD$7)),0,MAX(0,ROUND((INDEX($E494:$G494,AD$5)-SUMIFS(TF_Timer,TF_Tekniker,AD$4,TF_Dato,$A494))*2,0)/2)))</f>
        <v/>
      </c>
      <c r="AE494">
        <f>IF(OR(AE$4="",$A494&gt;TODAY()),0,IF(OR(INDEX($B494:$D494,AE$5)="F",AND(AE$6&gt;0,$A494&lt;AE$6),AND(AE$7&gt;0,$A494&gt;AE$7)),0,MAX(0,ROUND((INDEX($E494:$G494,AE$5)-SUMIFS(TF_Timer,TF_Tekniker,AE$4,TF_Dato,$A494))*2,0)/2)))</f>
        <v/>
      </c>
      <c r="AF494">
        <f>IF(OR(AF$4="",$A494&gt;TODAY()),0,IF(OR(INDEX($B494:$D494,AF$5)="F",AND(AF$6&gt;0,$A494&lt;AF$6),AND(AF$7&gt;0,$A494&gt;AF$7)),0,MAX(0,ROUND((INDEX($E494:$G494,AF$5)-SUMIFS(TF_Timer,TF_Tekniker,AF$4,TF_Dato,$A494))*2,0)/2)))</f>
        <v/>
      </c>
      <c r="AG494">
        <f>IF(OR(AG$4="",$A494&gt;TODAY()),0,IF(OR(INDEX($B494:$D494,AG$5)="F",AND(AG$6&gt;0,$A494&lt;AG$6),AND(AG$7&gt;0,$A494&gt;AG$7)),0,MAX(0,ROUND((INDEX($E494:$G494,AG$5)-SUMIFS(TF_Timer,TF_Tekniker,AG$4,TF_Dato,$A494))*2,0)/2)))</f>
        <v/>
      </c>
      <c r="AH494">
        <f>IF(OR(AH$4="",$A494&gt;TODAY()),0,IF(OR(INDEX($B494:$D494,AH$5)="F",AND(AH$6&gt;0,$A494&lt;AH$6),AND(AH$7&gt;0,$A494&gt;AH$7)),0,MAX(0,ROUND((INDEX($E494:$G494,AH$5)-SUMIFS(TF_Timer,TF_Tekniker,AH$4,TF_Dato,$A494))*2,0)/2)))</f>
        <v/>
      </c>
      <c r="AI494">
        <f>IF(OR(AI$4="",$A494&gt;TODAY()),0,IF(OR(INDEX($B494:$D494,AI$5)="F",AND(AI$6&gt;0,$A494&lt;AI$6),AND(AI$7&gt;0,$A494&gt;AI$7)),0,MAX(0,ROUND((INDEX($E494:$G494,AI$5)-SUMIFS(TF_Timer,TF_Tekniker,AI$4,TF_Dato,$A494))*2,0)/2)))</f>
        <v/>
      </c>
      <c r="AJ494">
        <f>IF(OR(AJ$4="",$A494&gt;TODAY()),0,IF(OR(INDEX($B494:$D494,AJ$5)="F",AND(AJ$6&gt;0,$A494&lt;AJ$6),AND(AJ$7&gt;0,$A494&gt;AJ$7)),0,MAX(0,ROUND((INDEX($E494:$G494,AJ$5)-SUMIFS(TF_Timer,TF_Tekniker,AJ$4,TF_Dato,$A494))*2,0)/2)))</f>
        <v/>
      </c>
      <c r="AK494">
        <f>IF(OR(AK$4="",$A494&gt;TODAY()),0,IF(OR(INDEX($B494:$D494,AK$5)="F",AND(AK$6&gt;0,$A494&lt;AK$6),AND(AK$7&gt;0,$A494&gt;AK$7)),0,MAX(0,ROUND((INDEX($E494:$G494,AK$5)-SUMIFS(TF_Timer,TF_Tekniker,AK$4,TF_Dato,$A494))*2,0)/2)))</f>
        <v/>
      </c>
      <c r="AL494">
        <f>IF(OR(AL$4="",$A494&gt;TODAY()),0,IF(OR(INDEX($B494:$D494,AL$5)="F",AND(AL$6&gt;0,$A494&lt;AL$6),AND(AL$7&gt;0,$A494&gt;AL$7)),0,MAX(0,ROUND((INDEX($E494:$G494,AL$5)-SUMIFS(TF_Timer,TF_Tekniker,AL$4,TF_Dato,$A494))*2,0)/2)))</f>
        <v/>
      </c>
      <c r="AM494">
        <f>IF(OR(AM$4="",$A494&gt;TODAY()),0,IF(OR(INDEX($B494:$D494,AM$5)="F",AND(AM$6&gt;0,$A494&lt;AM$6),AND(AM$7&gt;0,$A494&gt;AM$7)),0,MAX(0,ROUND((INDEX($E494:$G494,AM$5)-SUMIFS(TF_Timer,TF_Tekniker,AM$4,TF_Dato,$A494))*2,0)/2)))</f>
        <v/>
      </c>
      <c r="AN494">
        <f>IF(OR(AN$4="",$A494&gt;TODAY()),0,IF(OR(INDEX($B494:$D494,AN$5)="F",AND(AN$6&gt;0,$A494&lt;AN$6),AND(AN$7&gt;0,$A494&gt;AN$7)),0,MAX(0,ROUND((INDEX($E494:$G494,AN$5)-SUMIFS(TF_Timer,TF_Tekniker,AN$4,TF_Dato,$A494))*2,0)/2)))</f>
        <v/>
      </c>
      <c r="AO494">
        <f>IF(OR(AO$4="",$A494&gt;TODAY()),0,IF(OR(INDEX($B494:$D494,AO$5)="F",AND(AO$6&gt;0,$A494&lt;AO$6),AND(AO$7&gt;0,$A494&gt;AO$7)),0,MAX(0,ROUND((INDEX($E494:$G494,AO$5)-SUMIFS(TF_Timer,TF_Tekniker,AO$4,TF_Dato,$A494))*2,0)/2)))</f>
        <v/>
      </c>
      <c r="AP494">
        <f>IF(OR(AP$4="",$A494&gt;TODAY()),0,IF(OR(INDEX($B494:$D494,AP$5)="F",AND(AP$6&gt;0,$A494&lt;AP$6),AND(AP$7&gt;0,$A494&gt;AP$7)),0,MAX(0,ROUND((INDEX($E494:$G494,AP$5)-SUMIFS(TF_Timer,TF_Tekniker,AP$4,TF_Dato,$A494))*2,0)/2)))</f>
        <v/>
      </c>
      <c r="AQ494">
        <f>IF(OR(AQ$4="",$A494&gt;TODAY()),0,IF(OR(INDEX($B494:$D494,AQ$5)="F",AND(AQ$6&gt;0,$A494&lt;AQ$6),AND(AQ$7&gt;0,$A494&gt;AQ$7)),0,MAX(0,ROUND((INDEX($E494:$G494,AQ$5)-SUMIFS(TF_Timer,TF_Tekniker,AQ$4,TF_Dato,$A494))*2,0)/2)))</f>
        <v/>
      </c>
      <c r="AR494">
        <f>IF(OR(AR$4="",$A494&gt;TODAY()),0,IF(OR(INDEX($B494:$D494,AR$5)="F",AND(AR$6&gt;0,$A494&lt;AR$6),AND(AR$7&gt;0,$A494&gt;AR$7)),0,MAX(0,ROUND((INDEX($E494:$G494,AR$5)-SUMIFS(TF_Timer,TF_Tekniker,AR$4,TF_Dato,$A494))*2,0)/2)))</f>
        <v/>
      </c>
      <c r="AS494">
        <f>IF(OR(AS$4="",$A494&gt;TODAY()),0,IF(OR(INDEX($B494:$D494,AS$5)="F",AND(AS$6&gt;0,$A494&lt;AS$6),AND(AS$7&gt;0,$A494&gt;AS$7)),0,MAX(0,ROUND((INDEX($E494:$G494,AS$5)-SUMIFS(TF_Timer,TF_Tekniker,AS$4,TF_Dato,$A494))*2,0)/2)))</f>
        <v/>
      </c>
      <c r="AT494">
        <f>IF(OR(AT$4="",$A494&gt;TODAY()),0,IF(OR(INDEX($B494:$D494,AT$5)="F",AND(AT$6&gt;0,$A494&lt;AT$6),AND(AT$7&gt;0,$A494&gt;AT$7)),0,MAX(0,ROUND((INDEX($E494:$G494,AT$5)-SUMIFS(TF_Timer,TF_Tekniker,AT$4,TF_Dato,$A494))*2,0)/2)))</f>
        <v/>
      </c>
      <c r="AU494">
        <f>IF(OR(AU$4="",$A494&gt;TODAY()),0,IF(OR(INDEX($B494:$D494,AU$5)="F",AND(AU$6&gt;0,$A494&lt;AU$6),AND(AU$7&gt;0,$A494&gt;AU$7)),0,MAX(0,ROUND((INDEX($E494:$G494,AU$5)-SUMIFS(TF_Timer,TF_Tekniker,AU$4,TF_Dato,$A494))*2,0)/2)))</f>
        <v/>
      </c>
      <c r="AV494">
        <f>IF(OR(AV$4="",$A494&gt;TODAY()),0,IF(OR(INDEX($B494:$D494,AV$5)="F",AND(AV$6&gt;0,$A494&lt;AV$6),AND(AV$7&gt;0,$A494&gt;AV$7)),0,MAX(0,ROUND((INDEX($E494:$G494,AV$5)-SUMIFS(TF_Timer,TF_Tekniker,AV$4,TF_Dato,$A494))*2,0)/2)))</f>
        <v/>
      </c>
      <c r="AW494">
        <f>IF(OR(AW$4="",$A494&gt;TODAY()),0,IF(OR(INDEX($B494:$D494,AW$5)="F",AND(AW$6&gt;0,$A494&lt;AW$6),AND(AW$7&gt;0,$A494&gt;AW$7)),0,MAX(0,ROUND((INDEX($E494:$G494,AW$5)-SUMIFS(TF_Timer,TF_Tekniker,AW$4,TF_Dato,$A494))*2,0)/2)))</f>
        <v/>
      </c>
      <c r="AX494">
        <f>IF(OR(AX$4="",$A494&gt;TODAY()),0,IF(OR(INDEX($B494:$D494,AX$5)="F",AND(AX$6&gt;0,$A494&lt;AX$6),AND(AX$7&gt;0,$A494&gt;AX$7)),0,MAX(0,ROUND((INDEX($E494:$G494,AX$5)-SUMIFS(TF_Timer,TF_Tekniker,AX$4,TF_Dato,$A494))*2,0)/2)))</f>
        <v/>
      </c>
      <c r="AY494">
        <f>IF(OR(AY$4="",$A494&gt;TODAY()),0,IF(OR(INDEX($B494:$D494,AY$5)="F",AND(AY$6&gt;0,$A494&lt;AY$6),AND(AY$7&gt;0,$A494&gt;AY$7)),0,MAX(0,ROUND((INDEX($E494:$G494,AY$5)-SUMIFS(TF_Timer,TF_Tekniker,AY$4,TF_Dato,$A494))*2,0)/2)))</f>
        <v/>
      </c>
      <c r="AZ494">
        <f>IF(OR(AZ$4="",$A494&gt;TODAY()),0,IF(OR(INDEX($B494:$D494,AZ$5)="F",AND(AZ$6&gt;0,$A494&lt;AZ$6),AND(AZ$7&gt;0,$A494&gt;AZ$7)),0,MAX(0,ROUND((INDEX($E494:$G494,AZ$5)-SUMIFS(TF_Timer,TF_Tekniker,AZ$4,TF_Dato,$A494))*2,0)/2)))</f>
        <v/>
      </c>
      <c r="BA494">
        <f>IF(OR(BA$4="",$A494&gt;TODAY()),0,IF(OR(INDEX($B494:$D494,BA$5)="F",AND(BA$6&gt;0,$A494&lt;BA$6),AND(BA$7&gt;0,$A494&gt;BA$7)),0,MAX(0,ROUND((INDEX($E494:$G494,BA$5)-SUMIFS(TF_Timer,TF_Tekniker,BA$4,TF_Dato,$A494))*2,0)/2)))</f>
        <v/>
      </c>
      <c r="BB494">
        <f>IF(OR(BB$4="",$A494&gt;TODAY()),0,IF(OR(INDEX($B494:$D494,BB$5)="F",AND(BB$6&gt;0,$A494&lt;BB$6),AND(BB$7&gt;0,$A494&gt;BB$7)),0,MAX(0,ROUND((INDEX($E494:$G494,BB$5)-SUMIFS(TF_Timer,TF_Tekniker,BB$4,TF_Dato,$A494))*2,0)/2)))</f>
        <v/>
      </c>
      <c r="BC494">
        <f>IF(OR(BC$4="",$A494&gt;TODAY()),0,IF(OR(INDEX($B494:$D494,BC$5)="F",AND(BC$6&gt;0,$A494&lt;BC$6),AND(BC$7&gt;0,$A494&gt;BC$7)),0,MAX(0,ROUND((INDEX($E494:$G494,BC$5)-SUMIFS(TF_Timer,TF_Tekniker,BC$4,TF_Dato,$A494))*2,0)/2)))</f>
        <v/>
      </c>
      <c r="BD494">
        <f>IF(OR(BD$4="",$A494&gt;TODAY()),0,IF(OR(INDEX($B494:$D494,BD$5)="F",AND(BD$6&gt;0,$A494&lt;BD$6),AND(BD$7&gt;0,$A494&gt;BD$7)),0,MAX(0,ROUND((INDEX($E494:$G494,BD$5)-SUMIFS(TF_Timer,TF_Tekniker,BD$4,TF_Dato,$A494))*2,0)/2)))</f>
        <v/>
      </c>
      <c r="BE494">
        <f>IF(OR(BE$4="",$A494&gt;TODAY()),0,IF(OR(INDEX($B494:$D494,BE$5)="F",AND(BE$6&gt;0,$A494&lt;BE$6),AND(BE$7&gt;0,$A494&gt;BE$7)),0,MAX(0,ROUND((INDEX($E494:$G494,BE$5)-SUMIFS(TF_Timer,TF_Tekniker,BE$4,TF_Dato,$A494))*2,0)/2)))</f>
        <v/>
      </c>
      <c r="BF494">
        <f>IF(OR(BF$4="",$A494&gt;TODAY()),0,IF(OR(INDEX($B494:$D494,BF$5)="F",AND(BF$6&gt;0,$A494&lt;BF$6),AND(BF$7&gt;0,$A494&gt;BF$7)),0,MAX(0,ROUND((INDEX($E494:$G494,BF$5)-SUMIFS(TF_Timer,TF_Tekniker,BF$4,TF_Dato,$A494))*2,0)/2)))</f>
        <v/>
      </c>
      <c r="BG494">
        <f>IF(OR(BG$4="",$A494&gt;TODAY()),0,IF(OR(INDEX($B494:$D494,BG$5)="F",AND(BG$6&gt;0,$A494&lt;BG$6),AND(BG$7&gt;0,$A494&gt;BG$7)),0,MAX(0,ROUND((INDEX($E494:$G494,BG$5)-SUMIFS(TF_Timer,TF_Tekniker,BG$4,TF_Dato,$A494))*2,0)/2)))</f>
        <v/>
      </c>
      <c r="BH494">
        <f>IF(OR(BH$4="",$A494&gt;TODAY()),0,IF(OR(INDEX($B494:$D494,BH$5)="F",AND(BH$6&gt;0,$A494&lt;BH$6),AND(BH$7&gt;0,$A494&gt;BH$7)),0,MAX(0,ROUND((INDEX($E494:$G494,BH$5)-SUMIFS(TF_Timer,TF_Tekniker,BH$4,TF_Dato,$A494))*2,0)/2)))</f>
        <v/>
      </c>
      <c r="BI494">
        <f>IF(OR(BI$4="",$A494&gt;TODAY()),0,IF(OR(INDEX($B494:$D494,BI$5)="F",AND(BI$6&gt;0,$A494&lt;BI$6),AND(BI$7&gt;0,$A494&gt;BI$7)),0,MAX(0,ROUND((INDEX($E494:$G494,BI$5)-SUMIFS(TF_Timer,TF_Tekniker,BI$4,TF_Dato,$A494))*2,0)/2)))</f>
        <v/>
      </c>
    </row>
    <row r="495">
      <c r="A495" s="64">
        <f>A494+1</f>
        <v/>
      </c>
      <c r="B495">
        <f>IF(MOD($A495-INDEX(SkiftStart,1),Syklus)&lt;DagK,"K",IF(MOD($A495-INDEX(SkiftStart,1),Syklus)&lt;DagK+DagH,"H",IF(MOD($A495-INDEX(SkiftStart,1),Syklus)&lt;DagK+DagH+DagD,"D","F")))</f>
        <v/>
      </c>
      <c r="C495">
        <f>IF(MOD($A495-INDEX(SkiftStart,2),Syklus)&lt;DagK,"K",IF(MOD($A495-INDEX(SkiftStart,2),Syklus)&lt;DagK+DagH,"H",IF(MOD($A495-INDEX(SkiftStart,2),Syklus)&lt;DagK+DagH+DagD,"D","F")))</f>
        <v/>
      </c>
      <c r="D495">
        <f>IF(MOD($A495-INDEX(SkiftStart,3),Syklus)&lt;DagK,"K",IF(MOD($A495-INDEX(SkiftStart,3),Syklus)&lt;DagK+DagH,"H",IF(MOD($A495-INDEX(SkiftStart,3),Syklus)&lt;DagK+DagH+DagD,"D","F")))</f>
        <v/>
      </c>
      <c r="E495">
        <f>IF(B495="F",0,IF(WEEKDAY($A495,2)=5,INDEX(TimerFr,MATCH(B495,FaseKode,0)),INDEX(TimerMT,MATCH(B495,FaseKode,0))))</f>
        <v/>
      </c>
      <c r="F495">
        <f>IF(C495="F",0,IF(WEEKDAY($A495,2)=5,INDEX(TimerFr,MATCH(C495,FaseKode,0)),INDEX(TimerMT,MATCH(C495,FaseKode,0))))</f>
        <v/>
      </c>
      <c r="G495">
        <f>IF(D495="F",0,IF(WEEKDAY($A495,2)=5,INDEX(TimerFr,MATCH(D495,FaseKode,0)),INDEX(TimerMT,MATCH(D495,FaseKode,0))))</f>
        <v/>
      </c>
      <c r="H495">
        <f>IF(OR(H$4="",$A495&gt;TODAY()),0,IF(OR(INDEX($B495:$D495,H$5)="F",AND(H$6&gt;0,$A495&lt;H$6),AND(H$7&gt;0,$A495&gt;H$7)),0,MAX(0,ROUND((INDEX($E495:$G495,H$5)-SUMIFS(TF_Timer,TF_Tekniker,H$4,TF_Dato,$A495))*2,0)/2)))</f>
        <v/>
      </c>
      <c r="I495">
        <f>IF(OR(I$4="",$A495&gt;TODAY()),0,IF(OR(INDEX($B495:$D495,I$5)="F",AND(I$6&gt;0,$A495&lt;I$6),AND(I$7&gt;0,$A495&gt;I$7)),0,MAX(0,ROUND((INDEX($E495:$G495,I$5)-SUMIFS(TF_Timer,TF_Tekniker,I$4,TF_Dato,$A495))*2,0)/2)))</f>
        <v/>
      </c>
      <c r="J495">
        <f>IF(OR(J$4="",$A495&gt;TODAY()),0,IF(OR(INDEX($B495:$D495,J$5)="F",AND(J$6&gt;0,$A495&lt;J$6),AND(J$7&gt;0,$A495&gt;J$7)),0,MAX(0,ROUND((INDEX($E495:$G495,J$5)-SUMIFS(TF_Timer,TF_Tekniker,J$4,TF_Dato,$A495))*2,0)/2)))</f>
        <v/>
      </c>
      <c r="K495">
        <f>IF(OR(K$4="",$A495&gt;TODAY()),0,IF(OR(INDEX($B495:$D495,K$5)="F",AND(K$6&gt;0,$A495&lt;K$6),AND(K$7&gt;0,$A495&gt;K$7)),0,MAX(0,ROUND((INDEX($E495:$G495,K$5)-SUMIFS(TF_Timer,TF_Tekniker,K$4,TF_Dato,$A495))*2,0)/2)))</f>
        <v/>
      </c>
      <c r="L495">
        <f>IF(OR(L$4="",$A495&gt;TODAY()),0,IF(OR(INDEX($B495:$D495,L$5)="F",AND(L$6&gt;0,$A495&lt;L$6),AND(L$7&gt;0,$A495&gt;L$7)),0,MAX(0,ROUND((INDEX($E495:$G495,L$5)-SUMIFS(TF_Timer,TF_Tekniker,L$4,TF_Dato,$A495))*2,0)/2)))</f>
        <v/>
      </c>
      <c r="M495">
        <f>IF(OR(M$4="",$A495&gt;TODAY()),0,IF(OR(INDEX($B495:$D495,M$5)="F",AND(M$6&gt;0,$A495&lt;M$6),AND(M$7&gt;0,$A495&gt;M$7)),0,MAX(0,ROUND((INDEX($E495:$G495,M$5)-SUMIFS(TF_Timer,TF_Tekniker,M$4,TF_Dato,$A495))*2,0)/2)))</f>
        <v/>
      </c>
      <c r="N495">
        <f>IF(OR(N$4="",$A495&gt;TODAY()),0,IF(OR(INDEX($B495:$D495,N$5)="F",AND(N$6&gt;0,$A495&lt;N$6),AND(N$7&gt;0,$A495&gt;N$7)),0,MAX(0,ROUND((INDEX($E495:$G495,N$5)-SUMIFS(TF_Timer,TF_Tekniker,N$4,TF_Dato,$A495))*2,0)/2)))</f>
        <v/>
      </c>
      <c r="O495">
        <f>IF(OR(O$4="",$A495&gt;TODAY()),0,IF(OR(INDEX($B495:$D495,O$5)="F",AND(O$6&gt;0,$A495&lt;O$6),AND(O$7&gt;0,$A495&gt;O$7)),0,MAX(0,ROUND((INDEX($E495:$G495,O$5)-SUMIFS(TF_Timer,TF_Tekniker,O$4,TF_Dato,$A495))*2,0)/2)))</f>
        <v/>
      </c>
      <c r="P495">
        <f>IF(OR(P$4="",$A495&gt;TODAY()),0,IF(OR(INDEX($B495:$D495,P$5)="F",AND(P$6&gt;0,$A495&lt;P$6),AND(P$7&gt;0,$A495&gt;P$7)),0,MAX(0,ROUND((INDEX($E495:$G495,P$5)-SUMIFS(TF_Timer,TF_Tekniker,P$4,TF_Dato,$A495))*2,0)/2)))</f>
        <v/>
      </c>
      <c r="Q495">
        <f>IF(OR(Q$4="",$A495&gt;TODAY()),0,IF(OR(INDEX($B495:$D495,Q$5)="F",AND(Q$6&gt;0,$A495&lt;Q$6),AND(Q$7&gt;0,$A495&gt;Q$7)),0,MAX(0,ROUND((INDEX($E495:$G495,Q$5)-SUMIFS(TF_Timer,TF_Tekniker,Q$4,TF_Dato,$A495))*2,0)/2)))</f>
        <v/>
      </c>
      <c r="R495">
        <f>IF(OR(R$4="",$A495&gt;TODAY()),0,IF(OR(INDEX($B495:$D495,R$5)="F",AND(R$6&gt;0,$A495&lt;R$6),AND(R$7&gt;0,$A495&gt;R$7)),0,MAX(0,ROUND((INDEX($E495:$G495,R$5)-SUMIFS(TF_Timer,TF_Tekniker,R$4,TF_Dato,$A495))*2,0)/2)))</f>
        <v/>
      </c>
      <c r="S495">
        <f>IF(OR(S$4="",$A495&gt;TODAY()),0,IF(OR(INDEX($B495:$D495,S$5)="F",AND(S$6&gt;0,$A495&lt;S$6),AND(S$7&gt;0,$A495&gt;S$7)),0,MAX(0,ROUND((INDEX($E495:$G495,S$5)-SUMIFS(TF_Timer,TF_Tekniker,S$4,TF_Dato,$A495))*2,0)/2)))</f>
        <v/>
      </c>
      <c r="T495">
        <f>IF(OR(T$4="",$A495&gt;TODAY()),0,IF(OR(INDEX($B495:$D495,T$5)="F",AND(T$6&gt;0,$A495&lt;T$6),AND(T$7&gt;0,$A495&gt;T$7)),0,MAX(0,ROUND((INDEX($E495:$G495,T$5)-SUMIFS(TF_Timer,TF_Tekniker,T$4,TF_Dato,$A495))*2,0)/2)))</f>
        <v/>
      </c>
      <c r="U495">
        <f>IF(OR(U$4="",$A495&gt;TODAY()),0,IF(OR(INDEX($B495:$D495,U$5)="F",AND(U$6&gt;0,$A495&lt;U$6),AND(U$7&gt;0,$A495&gt;U$7)),0,MAX(0,ROUND((INDEX($E495:$G495,U$5)-SUMIFS(TF_Timer,TF_Tekniker,U$4,TF_Dato,$A495))*2,0)/2)))</f>
        <v/>
      </c>
      <c r="V495">
        <f>IF(OR(V$4="",$A495&gt;TODAY()),0,IF(OR(INDEX($B495:$D495,V$5)="F",AND(V$6&gt;0,$A495&lt;V$6),AND(V$7&gt;0,$A495&gt;V$7)),0,MAX(0,ROUND((INDEX($E495:$G495,V$5)-SUMIFS(TF_Timer,TF_Tekniker,V$4,TF_Dato,$A495))*2,0)/2)))</f>
        <v/>
      </c>
      <c r="W495">
        <f>IF(OR(W$4="",$A495&gt;TODAY()),0,IF(OR(INDEX($B495:$D495,W$5)="F",AND(W$6&gt;0,$A495&lt;W$6),AND(W$7&gt;0,$A495&gt;W$7)),0,MAX(0,ROUND((INDEX($E495:$G495,W$5)-SUMIFS(TF_Timer,TF_Tekniker,W$4,TF_Dato,$A495))*2,0)/2)))</f>
        <v/>
      </c>
      <c r="X495">
        <f>IF(OR(X$4="",$A495&gt;TODAY()),0,IF(OR(INDEX($B495:$D495,X$5)="F",AND(X$6&gt;0,$A495&lt;X$6),AND(X$7&gt;0,$A495&gt;X$7)),0,MAX(0,ROUND((INDEX($E495:$G495,X$5)-SUMIFS(TF_Timer,TF_Tekniker,X$4,TF_Dato,$A495))*2,0)/2)))</f>
        <v/>
      </c>
      <c r="Y495">
        <f>IF(OR(Y$4="",$A495&gt;TODAY()),0,IF(OR(INDEX($B495:$D495,Y$5)="F",AND(Y$6&gt;0,$A495&lt;Y$6),AND(Y$7&gt;0,$A495&gt;Y$7)),0,MAX(0,ROUND((INDEX($E495:$G495,Y$5)-SUMIFS(TF_Timer,TF_Tekniker,Y$4,TF_Dato,$A495))*2,0)/2)))</f>
        <v/>
      </c>
      <c r="Z495">
        <f>IF(OR(Z$4="",$A495&gt;TODAY()),0,IF(OR(INDEX($B495:$D495,Z$5)="F",AND(Z$6&gt;0,$A495&lt;Z$6),AND(Z$7&gt;0,$A495&gt;Z$7)),0,MAX(0,ROUND((INDEX($E495:$G495,Z$5)-SUMIFS(TF_Timer,TF_Tekniker,Z$4,TF_Dato,$A495))*2,0)/2)))</f>
        <v/>
      </c>
      <c r="AA495">
        <f>IF(OR(AA$4="",$A495&gt;TODAY()),0,IF(OR(INDEX($B495:$D495,AA$5)="F",AND(AA$6&gt;0,$A495&lt;AA$6),AND(AA$7&gt;0,$A495&gt;AA$7)),0,MAX(0,ROUND((INDEX($E495:$G495,AA$5)-SUMIFS(TF_Timer,TF_Tekniker,AA$4,TF_Dato,$A495))*2,0)/2)))</f>
        <v/>
      </c>
      <c r="AB495">
        <f>IF(OR(AB$4="",$A495&gt;TODAY()),0,IF(OR(INDEX($B495:$D495,AB$5)="F",AND(AB$6&gt;0,$A495&lt;AB$6),AND(AB$7&gt;0,$A495&gt;AB$7)),0,MAX(0,ROUND((INDEX($E495:$G495,AB$5)-SUMIFS(TF_Timer,TF_Tekniker,AB$4,TF_Dato,$A495))*2,0)/2)))</f>
        <v/>
      </c>
      <c r="AC495">
        <f>IF(OR(AC$4="",$A495&gt;TODAY()),0,IF(OR(INDEX($B495:$D495,AC$5)="F",AND(AC$6&gt;0,$A495&lt;AC$6),AND(AC$7&gt;0,$A495&gt;AC$7)),0,MAX(0,ROUND((INDEX($E495:$G495,AC$5)-SUMIFS(TF_Timer,TF_Tekniker,AC$4,TF_Dato,$A495))*2,0)/2)))</f>
        <v/>
      </c>
      <c r="AD495">
        <f>IF(OR(AD$4="",$A495&gt;TODAY()),0,IF(OR(INDEX($B495:$D495,AD$5)="F",AND(AD$6&gt;0,$A495&lt;AD$6),AND(AD$7&gt;0,$A495&gt;AD$7)),0,MAX(0,ROUND((INDEX($E495:$G495,AD$5)-SUMIFS(TF_Timer,TF_Tekniker,AD$4,TF_Dato,$A495))*2,0)/2)))</f>
        <v/>
      </c>
      <c r="AE495">
        <f>IF(OR(AE$4="",$A495&gt;TODAY()),0,IF(OR(INDEX($B495:$D495,AE$5)="F",AND(AE$6&gt;0,$A495&lt;AE$6),AND(AE$7&gt;0,$A495&gt;AE$7)),0,MAX(0,ROUND((INDEX($E495:$G495,AE$5)-SUMIFS(TF_Timer,TF_Tekniker,AE$4,TF_Dato,$A495))*2,0)/2)))</f>
        <v/>
      </c>
      <c r="AF495">
        <f>IF(OR(AF$4="",$A495&gt;TODAY()),0,IF(OR(INDEX($B495:$D495,AF$5)="F",AND(AF$6&gt;0,$A495&lt;AF$6),AND(AF$7&gt;0,$A495&gt;AF$7)),0,MAX(0,ROUND((INDEX($E495:$G495,AF$5)-SUMIFS(TF_Timer,TF_Tekniker,AF$4,TF_Dato,$A495))*2,0)/2)))</f>
        <v/>
      </c>
      <c r="AG495">
        <f>IF(OR(AG$4="",$A495&gt;TODAY()),0,IF(OR(INDEX($B495:$D495,AG$5)="F",AND(AG$6&gt;0,$A495&lt;AG$6),AND(AG$7&gt;0,$A495&gt;AG$7)),0,MAX(0,ROUND((INDEX($E495:$G495,AG$5)-SUMIFS(TF_Timer,TF_Tekniker,AG$4,TF_Dato,$A495))*2,0)/2)))</f>
        <v/>
      </c>
      <c r="AH495">
        <f>IF(OR(AH$4="",$A495&gt;TODAY()),0,IF(OR(INDEX($B495:$D495,AH$5)="F",AND(AH$6&gt;0,$A495&lt;AH$6),AND(AH$7&gt;0,$A495&gt;AH$7)),0,MAX(0,ROUND((INDEX($E495:$G495,AH$5)-SUMIFS(TF_Timer,TF_Tekniker,AH$4,TF_Dato,$A495))*2,0)/2)))</f>
        <v/>
      </c>
      <c r="AI495">
        <f>IF(OR(AI$4="",$A495&gt;TODAY()),0,IF(OR(INDEX($B495:$D495,AI$5)="F",AND(AI$6&gt;0,$A495&lt;AI$6),AND(AI$7&gt;0,$A495&gt;AI$7)),0,MAX(0,ROUND((INDEX($E495:$G495,AI$5)-SUMIFS(TF_Timer,TF_Tekniker,AI$4,TF_Dato,$A495))*2,0)/2)))</f>
        <v/>
      </c>
      <c r="AJ495">
        <f>IF(OR(AJ$4="",$A495&gt;TODAY()),0,IF(OR(INDEX($B495:$D495,AJ$5)="F",AND(AJ$6&gt;0,$A495&lt;AJ$6),AND(AJ$7&gt;0,$A495&gt;AJ$7)),0,MAX(0,ROUND((INDEX($E495:$G495,AJ$5)-SUMIFS(TF_Timer,TF_Tekniker,AJ$4,TF_Dato,$A495))*2,0)/2)))</f>
        <v/>
      </c>
      <c r="AK495">
        <f>IF(OR(AK$4="",$A495&gt;TODAY()),0,IF(OR(INDEX($B495:$D495,AK$5)="F",AND(AK$6&gt;0,$A495&lt;AK$6),AND(AK$7&gt;0,$A495&gt;AK$7)),0,MAX(0,ROUND((INDEX($E495:$G495,AK$5)-SUMIFS(TF_Timer,TF_Tekniker,AK$4,TF_Dato,$A495))*2,0)/2)))</f>
        <v/>
      </c>
      <c r="AL495">
        <f>IF(OR(AL$4="",$A495&gt;TODAY()),0,IF(OR(INDEX($B495:$D495,AL$5)="F",AND(AL$6&gt;0,$A495&lt;AL$6),AND(AL$7&gt;0,$A495&gt;AL$7)),0,MAX(0,ROUND((INDEX($E495:$G495,AL$5)-SUMIFS(TF_Timer,TF_Tekniker,AL$4,TF_Dato,$A495))*2,0)/2)))</f>
        <v/>
      </c>
      <c r="AM495">
        <f>IF(OR(AM$4="",$A495&gt;TODAY()),0,IF(OR(INDEX($B495:$D495,AM$5)="F",AND(AM$6&gt;0,$A495&lt;AM$6),AND(AM$7&gt;0,$A495&gt;AM$7)),0,MAX(0,ROUND((INDEX($E495:$G495,AM$5)-SUMIFS(TF_Timer,TF_Tekniker,AM$4,TF_Dato,$A495))*2,0)/2)))</f>
        <v/>
      </c>
      <c r="AN495">
        <f>IF(OR(AN$4="",$A495&gt;TODAY()),0,IF(OR(INDEX($B495:$D495,AN$5)="F",AND(AN$6&gt;0,$A495&lt;AN$6),AND(AN$7&gt;0,$A495&gt;AN$7)),0,MAX(0,ROUND((INDEX($E495:$G495,AN$5)-SUMIFS(TF_Timer,TF_Tekniker,AN$4,TF_Dato,$A495))*2,0)/2)))</f>
        <v/>
      </c>
      <c r="AO495">
        <f>IF(OR(AO$4="",$A495&gt;TODAY()),0,IF(OR(INDEX($B495:$D495,AO$5)="F",AND(AO$6&gt;0,$A495&lt;AO$6),AND(AO$7&gt;0,$A495&gt;AO$7)),0,MAX(0,ROUND((INDEX($E495:$G495,AO$5)-SUMIFS(TF_Timer,TF_Tekniker,AO$4,TF_Dato,$A495))*2,0)/2)))</f>
        <v/>
      </c>
      <c r="AP495">
        <f>IF(OR(AP$4="",$A495&gt;TODAY()),0,IF(OR(INDEX($B495:$D495,AP$5)="F",AND(AP$6&gt;0,$A495&lt;AP$6),AND(AP$7&gt;0,$A495&gt;AP$7)),0,MAX(0,ROUND((INDEX($E495:$G495,AP$5)-SUMIFS(TF_Timer,TF_Tekniker,AP$4,TF_Dato,$A495))*2,0)/2)))</f>
        <v/>
      </c>
      <c r="AQ495">
        <f>IF(OR(AQ$4="",$A495&gt;TODAY()),0,IF(OR(INDEX($B495:$D495,AQ$5)="F",AND(AQ$6&gt;0,$A495&lt;AQ$6),AND(AQ$7&gt;0,$A495&gt;AQ$7)),0,MAX(0,ROUND((INDEX($E495:$G495,AQ$5)-SUMIFS(TF_Timer,TF_Tekniker,AQ$4,TF_Dato,$A495))*2,0)/2)))</f>
        <v/>
      </c>
      <c r="AR495">
        <f>IF(OR(AR$4="",$A495&gt;TODAY()),0,IF(OR(INDEX($B495:$D495,AR$5)="F",AND(AR$6&gt;0,$A495&lt;AR$6),AND(AR$7&gt;0,$A495&gt;AR$7)),0,MAX(0,ROUND((INDEX($E495:$G495,AR$5)-SUMIFS(TF_Timer,TF_Tekniker,AR$4,TF_Dato,$A495))*2,0)/2)))</f>
        <v/>
      </c>
      <c r="AS495">
        <f>IF(OR(AS$4="",$A495&gt;TODAY()),0,IF(OR(INDEX($B495:$D495,AS$5)="F",AND(AS$6&gt;0,$A495&lt;AS$6),AND(AS$7&gt;0,$A495&gt;AS$7)),0,MAX(0,ROUND((INDEX($E495:$G495,AS$5)-SUMIFS(TF_Timer,TF_Tekniker,AS$4,TF_Dato,$A495))*2,0)/2)))</f>
        <v/>
      </c>
      <c r="AT495">
        <f>IF(OR(AT$4="",$A495&gt;TODAY()),0,IF(OR(INDEX($B495:$D495,AT$5)="F",AND(AT$6&gt;0,$A495&lt;AT$6),AND(AT$7&gt;0,$A495&gt;AT$7)),0,MAX(0,ROUND((INDEX($E495:$G495,AT$5)-SUMIFS(TF_Timer,TF_Tekniker,AT$4,TF_Dato,$A495))*2,0)/2)))</f>
        <v/>
      </c>
      <c r="AU495">
        <f>IF(OR(AU$4="",$A495&gt;TODAY()),0,IF(OR(INDEX($B495:$D495,AU$5)="F",AND(AU$6&gt;0,$A495&lt;AU$6),AND(AU$7&gt;0,$A495&gt;AU$7)),0,MAX(0,ROUND((INDEX($E495:$G495,AU$5)-SUMIFS(TF_Timer,TF_Tekniker,AU$4,TF_Dato,$A495))*2,0)/2)))</f>
        <v/>
      </c>
      <c r="AV495">
        <f>IF(OR(AV$4="",$A495&gt;TODAY()),0,IF(OR(INDEX($B495:$D495,AV$5)="F",AND(AV$6&gt;0,$A495&lt;AV$6),AND(AV$7&gt;0,$A495&gt;AV$7)),0,MAX(0,ROUND((INDEX($E495:$G495,AV$5)-SUMIFS(TF_Timer,TF_Tekniker,AV$4,TF_Dato,$A495))*2,0)/2)))</f>
        <v/>
      </c>
      <c r="AW495">
        <f>IF(OR(AW$4="",$A495&gt;TODAY()),0,IF(OR(INDEX($B495:$D495,AW$5)="F",AND(AW$6&gt;0,$A495&lt;AW$6),AND(AW$7&gt;0,$A495&gt;AW$7)),0,MAX(0,ROUND((INDEX($E495:$G495,AW$5)-SUMIFS(TF_Timer,TF_Tekniker,AW$4,TF_Dato,$A495))*2,0)/2)))</f>
        <v/>
      </c>
      <c r="AX495">
        <f>IF(OR(AX$4="",$A495&gt;TODAY()),0,IF(OR(INDEX($B495:$D495,AX$5)="F",AND(AX$6&gt;0,$A495&lt;AX$6),AND(AX$7&gt;0,$A495&gt;AX$7)),0,MAX(0,ROUND((INDEX($E495:$G495,AX$5)-SUMIFS(TF_Timer,TF_Tekniker,AX$4,TF_Dato,$A495))*2,0)/2)))</f>
        <v/>
      </c>
      <c r="AY495">
        <f>IF(OR(AY$4="",$A495&gt;TODAY()),0,IF(OR(INDEX($B495:$D495,AY$5)="F",AND(AY$6&gt;0,$A495&lt;AY$6),AND(AY$7&gt;0,$A495&gt;AY$7)),0,MAX(0,ROUND((INDEX($E495:$G495,AY$5)-SUMIFS(TF_Timer,TF_Tekniker,AY$4,TF_Dato,$A495))*2,0)/2)))</f>
        <v/>
      </c>
      <c r="AZ495">
        <f>IF(OR(AZ$4="",$A495&gt;TODAY()),0,IF(OR(INDEX($B495:$D495,AZ$5)="F",AND(AZ$6&gt;0,$A495&lt;AZ$6),AND(AZ$7&gt;0,$A495&gt;AZ$7)),0,MAX(0,ROUND((INDEX($E495:$G495,AZ$5)-SUMIFS(TF_Timer,TF_Tekniker,AZ$4,TF_Dato,$A495))*2,0)/2)))</f>
        <v/>
      </c>
      <c r="BA495">
        <f>IF(OR(BA$4="",$A495&gt;TODAY()),0,IF(OR(INDEX($B495:$D495,BA$5)="F",AND(BA$6&gt;0,$A495&lt;BA$6),AND(BA$7&gt;0,$A495&gt;BA$7)),0,MAX(0,ROUND((INDEX($E495:$G495,BA$5)-SUMIFS(TF_Timer,TF_Tekniker,BA$4,TF_Dato,$A495))*2,0)/2)))</f>
        <v/>
      </c>
      <c r="BB495">
        <f>IF(OR(BB$4="",$A495&gt;TODAY()),0,IF(OR(INDEX($B495:$D495,BB$5)="F",AND(BB$6&gt;0,$A495&lt;BB$6),AND(BB$7&gt;0,$A495&gt;BB$7)),0,MAX(0,ROUND((INDEX($E495:$G495,BB$5)-SUMIFS(TF_Timer,TF_Tekniker,BB$4,TF_Dato,$A495))*2,0)/2)))</f>
        <v/>
      </c>
      <c r="BC495">
        <f>IF(OR(BC$4="",$A495&gt;TODAY()),0,IF(OR(INDEX($B495:$D495,BC$5)="F",AND(BC$6&gt;0,$A495&lt;BC$6),AND(BC$7&gt;0,$A495&gt;BC$7)),0,MAX(0,ROUND((INDEX($E495:$G495,BC$5)-SUMIFS(TF_Timer,TF_Tekniker,BC$4,TF_Dato,$A495))*2,0)/2)))</f>
        <v/>
      </c>
      <c r="BD495">
        <f>IF(OR(BD$4="",$A495&gt;TODAY()),0,IF(OR(INDEX($B495:$D495,BD$5)="F",AND(BD$6&gt;0,$A495&lt;BD$6),AND(BD$7&gt;0,$A495&gt;BD$7)),0,MAX(0,ROUND((INDEX($E495:$G495,BD$5)-SUMIFS(TF_Timer,TF_Tekniker,BD$4,TF_Dato,$A495))*2,0)/2)))</f>
        <v/>
      </c>
      <c r="BE495">
        <f>IF(OR(BE$4="",$A495&gt;TODAY()),0,IF(OR(INDEX($B495:$D495,BE$5)="F",AND(BE$6&gt;0,$A495&lt;BE$6),AND(BE$7&gt;0,$A495&gt;BE$7)),0,MAX(0,ROUND((INDEX($E495:$G495,BE$5)-SUMIFS(TF_Timer,TF_Tekniker,BE$4,TF_Dato,$A495))*2,0)/2)))</f>
        <v/>
      </c>
      <c r="BF495">
        <f>IF(OR(BF$4="",$A495&gt;TODAY()),0,IF(OR(INDEX($B495:$D495,BF$5)="F",AND(BF$6&gt;0,$A495&lt;BF$6),AND(BF$7&gt;0,$A495&gt;BF$7)),0,MAX(0,ROUND((INDEX($E495:$G495,BF$5)-SUMIFS(TF_Timer,TF_Tekniker,BF$4,TF_Dato,$A495))*2,0)/2)))</f>
        <v/>
      </c>
      <c r="BG495">
        <f>IF(OR(BG$4="",$A495&gt;TODAY()),0,IF(OR(INDEX($B495:$D495,BG$5)="F",AND(BG$6&gt;0,$A495&lt;BG$6),AND(BG$7&gt;0,$A495&gt;BG$7)),0,MAX(0,ROUND((INDEX($E495:$G495,BG$5)-SUMIFS(TF_Timer,TF_Tekniker,BG$4,TF_Dato,$A495))*2,0)/2)))</f>
        <v/>
      </c>
      <c r="BH495">
        <f>IF(OR(BH$4="",$A495&gt;TODAY()),0,IF(OR(INDEX($B495:$D495,BH$5)="F",AND(BH$6&gt;0,$A495&lt;BH$6),AND(BH$7&gt;0,$A495&gt;BH$7)),0,MAX(0,ROUND((INDEX($E495:$G495,BH$5)-SUMIFS(TF_Timer,TF_Tekniker,BH$4,TF_Dato,$A495))*2,0)/2)))</f>
        <v/>
      </c>
      <c r="BI495">
        <f>IF(OR(BI$4="",$A495&gt;TODAY()),0,IF(OR(INDEX($B495:$D495,BI$5)="F",AND(BI$6&gt;0,$A495&lt;BI$6),AND(BI$7&gt;0,$A495&gt;BI$7)),0,MAX(0,ROUND((INDEX($E495:$G495,BI$5)-SUMIFS(TF_Timer,TF_Tekniker,BI$4,TF_Dato,$A495))*2,0)/2)))</f>
        <v/>
      </c>
    </row>
    <row r="496">
      <c r="A496" s="64">
        <f>A495+1</f>
        <v/>
      </c>
      <c r="B496">
        <f>IF(MOD($A496-INDEX(SkiftStart,1),Syklus)&lt;DagK,"K",IF(MOD($A496-INDEX(SkiftStart,1),Syklus)&lt;DagK+DagH,"H",IF(MOD($A496-INDEX(SkiftStart,1),Syklus)&lt;DagK+DagH+DagD,"D","F")))</f>
        <v/>
      </c>
      <c r="C496">
        <f>IF(MOD($A496-INDEX(SkiftStart,2),Syklus)&lt;DagK,"K",IF(MOD($A496-INDEX(SkiftStart,2),Syklus)&lt;DagK+DagH,"H",IF(MOD($A496-INDEX(SkiftStart,2),Syklus)&lt;DagK+DagH+DagD,"D","F")))</f>
        <v/>
      </c>
      <c r="D496">
        <f>IF(MOD($A496-INDEX(SkiftStart,3),Syklus)&lt;DagK,"K",IF(MOD($A496-INDEX(SkiftStart,3),Syklus)&lt;DagK+DagH,"H",IF(MOD($A496-INDEX(SkiftStart,3),Syklus)&lt;DagK+DagH+DagD,"D","F")))</f>
        <v/>
      </c>
      <c r="E496">
        <f>IF(B496="F",0,IF(WEEKDAY($A496,2)=5,INDEX(TimerFr,MATCH(B496,FaseKode,0)),INDEX(TimerMT,MATCH(B496,FaseKode,0))))</f>
        <v/>
      </c>
      <c r="F496">
        <f>IF(C496="F",0,IF(WEEKDAY($A496,2)=5,INDEX(TimerFr,MATCH(C496,FaseKode,0)),INDEX(TimerMT,MATCH(C496,FaseKode,0))))</f>
        <v/>
      </c>
      <c r="G496">
        <f>IF(D496="F",0,IF(WEEKDAY($A496,2)=5,INDEX(TimerFr,MATCH(D496,FaseKode,0)),INDEX(TimerMT,MATCH(D496,FaseKode,0))))</f>
        <v/>
      </c>
      <c r="H496">
        <f>IF(OR(H$4="",$A496&gt;TODAY()),0,IF(OR(INDEX($B496:$D496,H$5)="F",AND(H$6&gt;0,$A496&lt;H$6),AND(H$7&gt;0,$A496&gt;H$7)),0,MAX(0,ROUND((INDEX($E496:$G496,H$5)-SUMIFS(TF_Timer,TF_Tekniker,H$4,TF_Dato,$A496))*2,0)/2)))</f>
        <v/>
      </c>
      <c r="I496">
        <f>IF(OR(I$4="",$A496&gt;TODAY()),0,IF(OR(INDEX($B496:$D496,I$5)="F",AND(I$6&gt;0,$A496&lt;I$6),AND(I$7&gt;0,$A496&gt;I$7)),0,MAX(0,ROUND((INDEX($E496:$G496,I$5)-SUMIFS(TF_Timer,TF_Tekniker,I$4,TF_Dato,$A496))*2,0)/2)))</f>
        <v/>
      </c>
      <c r="J496">
        <f>IF(OR(J$4="",$A496&gt;TODAY()),0,IF(OR(INDEX($B496:$D496,J$5)="F",AND(J$6&gt;0,$A496&lt;J$6),AND(J$7&gt;0,$A496&gt;J$7)),0,MAX(0,ROUND((INDEX($E496:$G496,J$5)-SUMIFS(TF_Timer,TF_Tekniker,J$4,TF_Dato,$A496))*2,0)/2)))</f>
        <v/>
      </c>
      <c r="K496">
        <f>IF(OR(K$4="",$A496&gt;TODAY()),0,IF(OR(INDEX($B496:$D496,K$5)="F",AND(K$6&gt;0,$A496&lt;K$6),AND(K$7&gt;0,$A496&gt;K$7)),0,MAX(0,ROUND((INDEX($E496:$G496,K$5)-SUMIFS(TF_Timer,TF_Tekniker,K$4,TF_Dato,$A496))*2,0)/2)))</f>
        <v/>
      </c>
      <c r="L496">
        <f>IF(OR(L$4="",$A496&gt;TODAY()),0,IF(OR(INDEX($B496:$D496,L$5)="F",AND(L$6&gt;0,$A496&lt;L$6),AND(L$7&gt;0,$A496&gt;L$7)),0,MAX(0,ROUND((INDEX($E496:$G496,L$5)-SUMIFS(TF_Timer,TF_Tekniker,L$4,TF_Dato,$A496))*2,0)/2)))</f>
        <v/>
      </c>
      <c r="M496">
        <f>IF(OR(M$4="",$A496&gt;TODAY()),0,IF(OR(INDEX($B496:$D496,M$5)="F",AND(M$6&gt;0,$A496&lt;M$6),AND(M$7&gt;0,$A496&gt;M$7)),0,MAX(0,ROUND((INDEX($E496:$G496,M$5)-SUMIFS(TF_Timer,TF_Tekniker,M$4,TF_Dato,$A496))*2,0)/2)))</f>
        <v/>
      </c>
      <c r="N496">
        <f>IF(OR(N$4="",$A496&gt;TODAY()),0,IF(OR(INDEX($B496:$D496,N$5)="F",AND(N$6&gt;0,$A496&lt;N$6),AND(N$7&gt;0,$A496&gt;N$7)),0,MAX(0,ROUND((INDEX($E496:$G496,N$5)-SUMIFS(TF_Timer,TF_Tekniker,N$4,TF_Dato,$A496))*2,0)/2)))</f>
        <v/>
      </c>
      <c r="O496">
        <f>IF(OR(O$4="",$A496&gt;TODAY()),0,IF(OR(INDEX($B496:$D496,O$5)="F",AND(O$6&gt;0,$A496&lt;O$6),AND(O$7&gt;0,$A496&gt;O$7)),0,MAX(0,ROUND((INDEX($E496:$G496,O$5)-SUMIFS(TF_Timer,TF_Tekniker,O$4,TF_Dato,$A496))*2,0)/2)))</f>
        <v/>
      </c>
      <c r="P496">
        <f>IF(OR(P$4="",$A496&gt;TODAY()),0,IF(OR(INDEX($B496:$D496,P$5)="F",AND(P$6&gt;0,$A496&lt;P$6),AND(P$7&gt;0,$A496&gt;P$7)),0,MAX(0,ROUND((INDEX($E496:$G496,P$5)-SUMIFS(TF_Timer,TF_Tekniker,P$4,TF_Dato,$A496))*2,0)/2)))</f>
        <v/>
      </c>
      <c r="Q496">
        <f>IF(OR(Q$4="",$A496&gt;TODAY()),0,IF(OR(INDEX($B496:$D496,Q$5)="F",AND(Q$6&gt;0,$A496&lt;Q$6),AND(Q$7&gt;0,$A496&gt;Q$7)),0,MAX(0,ROUND((INDEX($E496:$G496,Q$5)-SUMIFS(TF_Timer,TF_Tekniker,Q$4,TF_Dato,$A496))*2,0)/2)))</f>
        <v/>
      </c>
      <c r="R496">
        <f>IF(OR(R$4="",$A496&gt;TODAY()),0,IF(OR(INDEX($B496:$D496,R$5)="F",AND(R$6&gt;0,$A496&lt;R$6),AND(R$7&gt;0,$A496&gt;R$7)),0,MAX(0,ROUND((INDEX($E496:$G496,R$5)-SUMIFS(TF_Timer,TF_Tekniker,R$4,TF_Dato,$A496))*2,0)/2)))</f>
        <v/>
      </c>
      <c r="S496">
        <f>IF(OR(S$4="",$A496&gt;TODAY()),0,IF(OR(INDEX($B496:$D496,S$5)="F",AND(S$6&gt;0,$A496&lt;S$6),AND(S$7&gt;0,$A496&gt;S$7)),0,MAX(0,ROUND((INDEX($E496:$G496,S$5)-SUMIFS(TF_Timer,TF_Tekniker,S$4,TF_Dato,$A496))*2,0)/2)))</f>
        <v/>
      </c>
      <c r="T496">
        <f>IF(OR(T$4="",$A496&gt;TODAY()),0,IF(OR(INDEX($B496:$D496,T$5)="F",AND(T$6&gt;0,$A496&lt;T$6),AND(T$7&gt;0,$A496&gt;T$7)),0,MAX(0,ROUND((INDEX($E496:$G496,T$5)-SUMIFS(TF_Timer,TF_Tekniker,T$4,TF_Dato,$A496))*2,0)/2)))</f>
        <v/>
      </c>
      <c r="U496">
        <f>IF(OR(U$4="",$A496&gt;TODAY()),0,IF(OR(INDEX($B496:$D496,U$5)="F",AND(U$6&gt;0,$A496&lt;U$6),AND(U$7&gt;0,$A496&gt;U$7)),0,MAX(0,ROUND((INDEX($E496:$G496,U$5)-SUMIFS(TF_Timer,TF_Tekniker,U$4,TF_Dato,$A496))*2,0)/2)))</f>
        <v/>
      </c>
      <c r="V496">
        <f>IF(OR(V$4="",$A496&gt;TODAY()),0,IF(OR(INDEX($B496:$D496,V$5)="F",AND(V$6&gt;0,$A496&lt;V$6),AND(V$7&gt;0,$A496&gt;V$7)),0,MAX(0,ROUND((INDEX($E496:$G496,V$5)-SUMIFS(TF_Timer,TF_Tekniker,V$4,TF_Dato,$A496))*2,0)/2)))</f>
        <v/>
      </c>
      <c r="W496">
        <f>IF(OR(W$4="",$A496&gt;TODAY()),0,IF(OR(INDEX($B496:$D496,W$5)="F",AND(W$6&gt;0,$A496&lt;W$6),AND(W$7&gt;0,$A496&gt;W$7)),0,MAX(0,ROUND((INDEX($E496:$G496,W$5)-SUMIFS(TF_Timer,TF_Tekniker,W$4,TF_Dato,$A496))*2,0)/2)))</f>
        <v/>
      </c>
      <c r="X496">
        <f>IF(OR(X$4="",$A496&gt;TODAY()),0,IF(OR(INDEX($B496:$D496,X$5)="F",AND(X$6&gt;0,$A496&lt;X$6),AND(X$7&gt;0,$A496&gt;X$7)),0,MAX(0,ROUND((INDEX($E496:$G496,X$5)-SUMIFS(TF_Timer,TF_Tekniker,X$4,TF_Dato,$A496))*2,0)/2)))</f>
        <v/>
      </c>
      <c r="Y496">
        <f>IF(OR(Y$4="",$A496&gt;TODAY()),0,IF(OR(INDEX($B496:$D496,Y$5)="F",AND(Y$6&gt;0,$A496&lt;Y$6),AND(Y$7&gt;0,$A496&gt;Y$7)),0,MAX(0,ROUND((INDEX($E496:$G496,Y$5)-SUMIFS(TF_Timer,TF_Tekniker,Y$4,TF_Dato,$A496))*2,0)/2)))</f>
        <v/>
      </c>
      <c r="Z496">
        <f>IF(OR(Z$4="",$A496&gt;TODAY()),0,IF(OR(INDEX($B496:$D496,Z$5)="F",AND(Z$6&gt;0,$A496&lt;Z$6),AND(Z$7&gt;0,$A496&gt;Z$7)),0,MAX(0,ROUND((INDEX($E496:$G496,Z$5)-SUMIFS(TF_Timer,TF_Tekniker,Z$4,TF_Dato,$A496))*2,0)/2)))</f>
        <v/>
      </c>
      <c r="AA496">
        <f>IF(OR(AA$4="",$A496&gt;TODAY()),0,IF(OR(INDEX($B496:$D496,AA$5)="F",AND(AA$6&gt;0,$A496&lt;AA$6),AND(AA$7&gt;0,$A496&gt;AA$7)),0,MAX(0,ROUND((INDEX($E496:$G496,AA$5)-SUMIFS(TF_Timer,TF_Tekniker,AA$4,TF_Dato,$A496))*2,0)/2)))</f>
        <v/>
      </c>
      <c r="AB496">
        <f>IF(OR(AB$4="",$A496&gt;TODAY()),0,IF(OR(INDEX($B496:$D496,AB$5)="F",AND(AB$6&gt;0,$A496&lt;AB$6),AND(AB$7&gt;0,$A496&gt;AB$7)),0,MAX(0,ROUND((INDEX($E496:$G496,AB$5)-SUMIFS(TF_Timer,TF_Tekniker,AB$4,TF_Dato,$A496))*2,0)/2)))</f>
        <v/>
      </c>
      <c r="AC496">
        <f>IF(OR(AC$4="",$A496&gt;TODAY()),0,IF(OR(INDEX($B496:$D496,AC$5)="F",AND(AC$6&gt;0,$A496&lt;AC$6),AND(AC$7&gt;0,$A496&gt;AC$7)),0,MAX(0,ROUND((INDEX($E496:$G496,AC$5)-SUMIFS(TF_Timer,TF_Tekniker,AC$4,TF_Dato,$A496))*2,0)/2)))</f>
        <v/>
      </c>
      <c r="AD496">
        <f>IF(OR(AD$4="",$A496&gt;TODAY()),0,IF(OR(INDEX($B496:$D496,AD$5)="F",AND(AD$6&gt;0,$A496&lt;AD$6),AND(AD$7&gt;0,$A496&gt;AD$7)),0,MAX(0,ROUND((INDEX($E496:$G496,AD$5)-SUMIFS(TF_Timer,TF_Tekniker,AD$4,TF_Dato,$A496))*2,0)/2)))</f>
        <v/>
      </c>
      <c r="AE496">
        <f>IF(OR(AE$4="",$A496&gt;TODAY()),0,IF(OR(INDEX($B496:$D496,AE$5)="F",AND(AE$6&gt;0,$A496&lt;AE$6),AND(AE$7&gt;0,$A496&gt;AE$7)),0,MAX(0,ROUND((INDEX($E496:$G496,AE$5)-SUMIFS(TF_Timer,TF_Tekniker,AE$4,TF_Dato,$A496))*2,0)/2)))</f>
        <v/>
      </c>
      <c r="AF496">
        <f>IF(OR(AF$4="",$A496&gt;TODAY()),0,IF(OR(INDEX($B496:$D496,AF$5)="F",AND(AF$6&gt;0,$A496&lt;AF$6),AND(AF$7&gt;0,$A496&gt;AF$7)),0,MAX(0,ROUND((INDEX($E496:$G496,AF$5)-SUMIFS(TF_Timer,TF_Tekniker,AF$4,TF_Dato,$A496))*2,0)/2)))</f>
        <v/>
      </c>
      <c r="AG496">
        <f>IF(OR(AG$4="",$A496&gt;TODAY()),0,IF(OR(INDEX($B496:$D496,AG$5)="F",AND(AG$6&gt;0,$A496&lt;AG$6),AND(AG$7&gt;0,$A496&gt;AG$7)),0,MAX(0,ROUND((INDEX($E496:$G496,AG$5)-SUMIFS(TF_Timer,TF_Tekniker,AG$4,TF_Dato,$A496))*2,0)/2)))</f>
        <v/>
      </c>
      <c r="AH496">
        <f>IF(OR(AH$4="",$A496&gt;TODAY()),0,IF(OR(INDEX($B496:$D496,AH$5)="F",AND(AH$6&gt;0,$A496&lt;AH$6),AND(AH$7&gt;0,$A496&gt;AH$7)),0,MAX(0,ROUND((INDEX($E496:$G496,AH$5)-SUMIFS(TF_Timer,TF_Tekniker,AH$4,TF_Dato,$A496))*2,0)/2)))</f>
        <v/>
      </c>
      <c r="AI496">
        <f>IF(OR(AI$4="",$A496&gt;TODAY()),0,IF(OR(INDEX($B496:$D496,AI$5)="F",AND(AI$6&gt;0,$A496&lt;AI$6),AND(AI$7&gt;0,$A496&gt;AI$7)),0,MAX(0,ROUND((INDEX($E496:$G496,AI$5)-SUMIFS(TF_Timer,TF_Tekniker,AI$4,TF_Dato,$A496))*2,0)/2)))</f>
        <v/>
      </c>
      <c r="AJ496">
        <f>IF(OR(AJ$4="",$A496&gt;TODAY()),0,IF(OR(INDEX($B496:$D496,AJ$5)="F",AND(AJ$6&gt;0,$A496&lt;AJ$6),AND(AJ$7&gt;0,$A496&gt;AJ$7)),0,MAX(0,ROUND((INDEX($E496:$G496,AJ$5)-SUMIFS(TF_Timer,TF_Tekniker,AJ$4,TF_Dato,$A496))*2,0)/2)))</f>
        <v/>
      </c>
      <c r="AK496">
        <f>IF(OR(AK$4="",$A496&gt;TODAY()),0,IF(OR(INDEX($B496:$D496,AK$5)="F",AND(AK$6&gt;0,$A496&lt;AK$6),AND(AK$7&gt;0,$A496&gt;AK$7)),0,MAX(0,ROUND((INDEX($E496:$G496,AK$5)-SUMIFS(TF_Timer,TF_Tekniker,AK$4,TF_Dato,$A496))*2,0)/2)))</f>
        <v/>
      </c>
      <c r="AL496">
        <f>IF(OR(AL$4="",$A496&gt;TODAY()),0,IF(OR(INDEX($B496:$D496,AL$5)="F",AND(AL$6&gt;0,$A496&lt;AL$6),AND(AL$7&gt;0,$A496&gt;AL$7)),0,MAX(0,ROUND((INDEX($E496:$G496,AL$5)-SUMIFS(TF_Timer,TF_Tekniker,AL$4,TF_Dato,$A496))*2,0)/2)))</f>
        <v/>
      </c>
      <c r="AM496">
        <f>IF(OR(AM$4="",$A496&gt;TODAY()),0,IF(OR(INDEX($B496:$D496,AM$5)="F",AND(AM$6&gt;0,$A496&lt;AM$6),AND(AM$7&gt;0,$A496&gt;AM$7)),0,MAX(0,ROUND((INDEX($E496:$G496,AM$5)-SUMIFS(TF_Timer,TF_Tekniker,AM$4,TF_Dato,$A496))*2,0)/2)))</f>
        <v/>
      </c>
      <c r="AN496">
        <f>IF(OR(AN$4="",$A496&gt;TODAY()),0,IF(OR(INDEX($B496:$D496,AN$5)="F",AND(AN$6&gt;0,$A496&lt;AN$6),AND(AN$7&gt;0,$A496&gt;AN$7)),0,MAX(0,ROUND((INDEX($E496:$G496,AN$5)-SUMIFS(TF_Timer,TF_Tekniker,AN$4,TF_Dato,$A496))*2,0)/2)))</f>
        <v/>
      </c>
      <c r="AO496">
        <f>IF(OR(AO$4="",$A496&gt;TODAY()),0,IF(OR(INDEX($B496:$D496,AO$5)="F",AND(AO$6&gt;0,$A496&lt;AO$6),AND(AO$7&gt;0,$A496&gt;AO$7)),0,MAX(0,ROUND((INDEX($E496:$G496,AO$5)-SUMIFS(TF_Timer,TF_Tekniker,AO$4,TF_Dato,$A496))*2,0)/2)))</f>
        <v/>
      </c>
      <c r="AP496">
        <f>IF(OR(AP$4="",$A496&gt;TODAY()),0,IF(OR(INDEX($B496:$D496,AP$5)="F",AND(AP$6&gt;0,$A496&lt;AP$6),AND(AP$7&gt;0,$A496&gt;AP$7)),0,MAX(0,ROUND((INDEX($E496:$G496,AP$5)-SUMIFS(TF_Timer,TF_Tekniker,AP$4,TF_Dato,$A496))*2,0)/2)))</f>
        <v/>
      </c>
      <c r="AQ496">
        <f>IF(OR(AQ$4="",$A496&gt;TODAY()),0,IF(OR(INDEX($B496:$D496,AQ$5)="F",AND(AQ$6&gt;0,$A496&lt;AQ$6),AND(AQ$7&gt;0,$A496&gt;AQ$7)),0,MAX(0,ROUND((INDEX($E496:$G496,AQ$5)-SUMIFS(TF_Timer,TF_Tekniker,AQ$4,TF_Dato,$A496))*2,0)/2)))</f>
        <v/>
      </c>
      <c r="AR496">
        <f>IF(OR(AR$4="",$A496&gt;TODAY()),0,IF(OR(INDEX($B496:$D496,AR$5)="F",AND(AR$6&gt;0,$A496&lt;AR$6),AND(AR$7&gt;0,$A496&gt;AR$7)),0,MAX(0,ROUND((INDEX($E496:$G496,AR$5)-SUMIFS(TF_Timer,TF_Tekniker,AR$4,TF_Dato,$A496))*2,0)/2)))</f>
        <v/>
      </c>
      <c r="AS496">
        <f>IF(OR(AS$4="",$A496&gt;TODAY()),0,IF(OR(INDEX($B496:$D496,AS$5)="F",AND(AS$6&gt;0,$A496&lt;AS$6),AND(AS$7&gt;0,$A496&gt;AS$7)),0,MAX(0,ROUND((INDEX($E496:$G496,AS$5)-SUMIFS(TF_Timer,TF_Tekniker,AS$4,TF_Dato,$A496))*2,0)/2)))</f>
        <v/>
      </c>
      <c r="AT496">
        <f>IF(OR(AT$4="",$A496&gt;TODAY()),0,IF(OR(INDEX($B496:$D496,AT$5)="F",AND(AT$6&gt;0,$A496&lt;AT$6),AND(AT$7&gt;0,$A496&gt;AT$7)),0,MAX(0,ROUND((INDEX($E496:$G496,AT$5)-SUMIFS(TF_Timer,TF_Tekniker,AT$4,TF_Dato,$A496))*2,0)/2)))</f>
        <v/>
      </c>
      <c r="AU496">
        <f>IF(OR(AU$4="",$A496&gt;TODAY()),0,IF(OR(INDEX($B496:$D496,AU$5)="F",AND(AU$6&gt;0,$A496&lt;AU$6),AND(AU$7&gt;0,$A496&gt;AU$7)),0,MAX(0,ROUND((INDEX($E496:$G496,AU$5)-SUMIFS(TF_Timer,TF_Tekniker,AU$4,TF_Dato,$A496))*2,0)/2)))</f>
        <v/>
      </c>
      <c r="AV496">
        <f>IF(OR(AV$4="",$A496&gt;TODAY()),0,IF(OR(INDEX($B496:$D496,AV$5)="F",AND(AV$6&gt;0,$A496&lt;AV$6),AND(AV$7&gt;0,$A496&gt;AV$7)),0,MAX(0,ROUND((INDEX($E496:$G496,AV$5)-SUMIFS(TF_Timer,TF_Tekniker,AV$4,TF_Dato,$A496))*2,0)/2)))</f>
        <v/>
      </c>
      <c r="AW496">
        <f>IF(OR(AW$4="",$A496&gt;TODAY()),0,IF(OR(INDEX($B496:$D496,AW$5)="F",AND(AW$6&gt;0,$A496&lt;AW$6),AND(AW$7&gt;0,$A496&gt;AW$7)),0,MAX(0,ROUND((INDEX($E496:$G496,AW$5)-SUMIFS(TF_Timer,TF_Tekniker,AW$4,TF_Dato,$A496))*2,0)/2)))</f>
        <v/>
      </c>
      <c r="AX496">
        <f>IF(OR(AX$4="",$A496&gt;TODAY()),0,IF(OR(INDEX($B496:$D496,AX$5)="F",AND(AX$6&gt;0,$A496&lt;AX$6),AND(AX$7&gt;0,$A496&gt;AX$7)),0,MAX(0,ROUND((INDEX($E496:$G496,AX$5)-SUMIFS(TF_Timer,TF_Tekniker,AX$4,TF_Dato,$A496))*2,0)/2)))</f>
        <v/>
      </c>
      <c r="AY496">
        <f>IF(OR(AY$4="",$A496&gt;TODAY()),0,IF(OR(INDEX($B496:$D496,AY$5)="F",AND(AY$6&gt;0,$A496&lt;AY$6),AND(AY$7&gt;0,$A496&gt;AY$7)),0,MAX(0,ROUND((INDEX($E496:$G496,AY$5)-SUMIFS(TF_Timer,TF_Tekniker,AY$4,TF_Dato,$A496))*2,0)/2)))</f>
        <v/>
      </c>
      <c r="AZ496">
        <f>IF(OR(AZ$4="",$A496&gt;TODAY()),0,IF(OR(INDEX($B496:$D496,AZ$5)="F",AND(AZ$6&gt;0,$A496&lt;AZ$6),AND(AZ$7&gt;0,$A496&gt;AZ$7)),0,MAX(0,ROUND((INDEX($E496:$G496,AZ$5)-SUMIFS(TF_Timer,TF_Tekniker,AZ$4,TF_Dato,$A496))*2,0)/2)))</f>
        <v/>
      </c>
      <c r="BA496">
        <f>IF(OR(BA$4="",$A496&gt;TODAY()),0,IF(OR(INDEX($B496:$D496,BA$5)="F",AND(BA$6&gt;0,$A496&lt;BA$6),AND(BA$7&gt;0,$A496&gt;BA$7)),0,MAX(0,ROUND((INDEX($E496:$G496,BA$5)-SUMIFS(TF_Timer,TF_Tekniker,BA$4,TF_Dato,$A496))*2,0)/2)))</f>
        <v/>
      </c>
      <c r="BB496">
        <f>IF(OR(BB$4="",$A496&gt;TODAY()),0,IF(OR(INDEX($B496:$D496,BB$5)="F",AND(BB$6&gt;0,$A496&lt;BB$6),AND(BB$7&gt;0,$A496&gt;BB$7)),0,MAX(0,ROUND((INDEX($E496:$G496,BB$5)-SUMIFS(TF_Timer,TF_Tekniker,BB$4,TF_Dato,$A496))*2,0)/2)))</f>
        <v/>
      </c>
      <c r="BC496">
        <f>IF(OR(BC$4="",$A496&gt;TODAY()),0,IF(OR(INDEX($B496:$D496,BC$5)="F",AND(BC$6&gt;0,$A496&lt;BC$6),AND(BC$7&gt;0,$A496&gt;BC$7)),0,MAX(0,ROUND((INDEX($E496:$G496,BC$5)-SUMIFS(TF_Timer,TF_Tekniker,BC$4,TF_Dato,$A496))*2,0)/2)))</f>
        <v/>
      </c>
      <c r="BD496">
        <f>IF(OR(BD$4="",$A496&gt;TODAY()),0,IF(OR(INDEX($B496:$D496,BD$5)="F",AND(BD$6&gt;0,$A496&lt;BD$6),AND(BD$7&gt;0,$A496&gt;BD$7)),0,MAX(0,ROUND((INDEX($E496:$G496,BD$5)-SUMIFS(TF_Timer,TF_Tekniker,BD$4,TF_Dato,$A496))*2,0)/2)))</f>
        <v/>
      </c>
      <c r="BE496">
        <f>IF(OR(BE$4="",$A496&gt;TODAY()),0,IF(OR(INDEX($B496:$D496,BE$5)="F",AND(BE$6&gt;0,$A496&lt;BE$6),AND(BE$7&gt;0,$A496&gt;BE$7)),0,MAX(0,ROUND((INDEX($E496:$G496,BE$5)-SUMIFS(TF_Timer,TF_Tekniker,BE$4,TF_Dato,$A496))*2,0)/2)))</f>
        <v/>
      </c>
      <c r="BF496">
        <f>IF(OR(BF$4="",$A496&gt;TODAY()),0,IF(OR(INDEX($B496:$D496,BF$5)="F",AND(BF$6&gt;0,$A496&lt;BF$6),AND(BF$7&gt;0,$A496&gt;BF$7)),0,MAX(0,ROUND((INDEX($E496:$G496,BF$5)-SUMIFS(TF_Timer,TF_Tekniker,BF$4,TF_Dato,$A496))*2,0)/2)))</f>
        <v/>
      </c>
      <c r="BG496">
        <f>IF(OR(BG$4="",$A496&gt;TODAY()),0,IF(OR(INDEX($B496:$D496,BG$5)="F",AND(BG$6&gt;0,$A496&lt;BG$6),AND(BG$7&gt;0,$A496&gt;BG$7)),0,MAX(0,ROUND((INDEX($E496:$G496,BG$5)-SUMIFS(TF_Timer,TF_Tekniker,BG$4,TF_Dato,$A496))*2,0)/2)))</f>
        <v/>
      </c>
      <c r="BH496">
        <f>IF(OR(BH$4="",$A496&gt;TODAY()),0,IF(OR(INDEX($B496:$D496,BH$5)="F",AND(BH$6&gt;0,$A496&lt;BH$6),AND(BH$7&gt;0,$A496&gt;BH$7)),0,MAX(0,ROUND((INDEX($E496:$G496,BH$5)-SUMIFS(TF_Timer,TF_Tekniker,BH$4,TF_Dato,$A496))*2,0)/2)))</f>
        <v/>
      </c>
      <c r="BI496">
        <f>IF(OR(BI$4="",$A496&gt;TODAY()),0,IF(OR(INDEX($B496:$D496,BI$5)="F",AND(BI$6&gt;0,$A496&lt;BI$6),AND(BI$7&gt;0,$A496&gt;BI$7)),0,MAX(0,ROUND((INDEX($E496:$G496,BI$5)-SUMIFS(TF_Timer,TF_Tekniker,BI$4,TF_Dato,$A496))*2,0)/2)))</f>
        <v/>
      </c>
    </row>
    <row r="497">
      <c r="A497" s="64">
        <f>A496+1</f>
        <v/>
      </c>
      <c r="B497">
        <f>IF(MOD($A497-INDEX(SkiftStart,1),Syklus)&lt;DagK,"K",IF(MOD($A497-INDEX(SkiftStart,1),Syklus)&lt;DagK+DagH,"H",IF(MOD($A497-INDEX(SkiftStart,1),Syklus)&lt;DagK+DagH+DagD,"D","F")))</f>
        <v/>
      </c>
      <c r="C497">
        <f>IF(MOD($A497-INDEX(SkiftStart,2),Syklus)&lt;DagK,"K",IF(MOD($A497-INDEX(SkiftStart,2),Syklus)&lt;DagK+DagH,"H",IF(MOD($A497-INDEX(SkiftStart,2),Syklus)&lt;DagK+DagH+DagD,"D","F")))</f>
        <v/>
      </c>
      <c r="D497">
        <f>IF(MOD($A497-INDEX(SkiftStart,3),Syklus)&lt;DagK,"K",IF(MOD($A497-INDEX(SkiftStart,3),Syklus)&lt;DagK+DagH,"H",IF(MOD($A497-INDEX(SkiftStart,3),Syklus)&lt;DagK+DagH+DagD,"D","F")))</f>
        <v/>
      </c>
      <c r="E497">
        <f>IF(B497="F",0,IF(WEEKDAY($A497,2)=5,INDEX(TimerFr,MATCH(B497,FaseKode,0)),INDEX(TimerMT,MATCH(B497,FaseKode,0))))</f>
        <v/>
      </c>
      <c r="F497">
        <f>IF(C497="F",0,IF(WEEKDAY($A497,2)=5,INDEX(TimerFr,MATCH(C497,FaseKode,0)),INDEX(TimerMT,MATCH(C497,FaseKode,0))))</f>
        <v/>
      </c>
      <c r="G497">
        <f>IF(D497="F",0,IF(WEEKDAY($A497,2)=5,INDEX(TimerFr,MATCH(D497,FaseKode,0)),INDEX(TimerMT,MATCH(D497,FaseKode,0))))</f>
        <v/>
      </c>
      <c r="H497">
        <f>IF(OR(H$4="",$A497&gt;TODAY()),0,IF(OR(INDEX($B497:$D497,H$5)="F",AND(H$6&gt;0,$A497&lt;H$6),AND(H$7&gt;0,$A497&gt;H$7)),0,MAX(0,ROUND((INDEX($E497:$G497,H$5)-SUMIFS(TF_Timer,TF_Tekniker,H$4,TF_Dato,$A497))*2,0)/2)))</f>
        <v/>
      </c>
      <c r="I497">
        <f>IF(OR(I$4="",$A497&gt;TODAY()),0,IF(OR(INDEX($B497:$D497,I$5)="F",AND(I$6&gt;0,$A497&lt;I$6),AND(I$7&gt;0,$A497&gt;I$7)),0,MAX(0,ROUND((INDEX($E497:$G497,I$5)-SUMIFS(TF_Timer,TF_Tekniker,I$4,TF_Dato,$A497))*2,0)/2)))</f>
        <v/>
      </c>
      <c r="J497">
        <f>IF(OR(J$4="",$A497&gt;TODAY()),0,IF(OR(INDEX($B497:$D497,J$5)="F",AND(J$6&gt;0,$A497&lt;J$6),AND(J$7&gt;0,$A497&gt;J$7)),0,MAX(0,ROUND((INDEX($E497:$G497,J$5)-SUMIFS(TF_Timer,TF_Tekniker,J$4,TF_Dato,$A497))*2,0)/2)))</f>
        <v/>
      </c>
      <c r="K497">
        <f>IF(OR(K$4="",$A497&gt;TODAY()),0,IF(OR(INDEX($B497:$D497,K$5)="F",AND(K$6&gt;0,$A497&lt;K$6),AND(K$7&gt;0,$A497&gt;K$7)),0,MAX(0,ROUND((INDEX($E497:$G497,K$5)-SUMIFS(TF_Timer,TF_Tekniker,K$4,TF_Dato,$A497))*2,0)/2)))</f>
        <v/>
      </c>
      <c r="L497">
        <f>IF(OR(L$4="",$A497&gt;TODAY()),0,IF(OR(INDEX($B497:$D497,L$5)="F",AND(L$6&gt;0,$A497&lt;L$6),AND(L$7&gt;0,$A497&gt;L$7)),0,MAX(0,ROUND((INDEX($E497:$G497,L$5)-SUMIFS(TF_Timer,TF_Tekniker,L$4,TF_Dato,$A497))*2,0)/2)))</f>
        <v/>
      </c>
      <c r="M497">
        <f>IF(OR(M$4="",$A497&gt;TODAY()),0,IF(OR(INDEX($B497:$D497,M$5)="F",AND(M$6&gt;0,$A497&lt;M$6),AND(M$7&gt;0,$A497&gt;M$7)),0,MAX(0,ROUND((INDEX($E497:$G497,M$5)-SUMIFS(TF_Timer,TF_Tekniker,M$4,TF_Dato,$A497))*2,0)/2)))</f>
        <v/>
      </c>
      <c r="N497">
        <f>IF(OR(N$4="",$A497&gt;TODAY()),0,IF(OR(INDEX($B497:$D497,N$5)="F",AND(N$6&gt;0,$A497&lt;N$6),AND(N$7&gt;0,$A497&gt;N$7)),0,MAX(0,ROUND((INDEX($E497:$G497,N$5)-SUMIFS(TF_Timer,TF_Tekniker,N$4,TF_Dato,$A497))*2,0)/2)))</f>
        <v/>
      </c>
      <c r="O497">
        <f>IF(OR(O$4="",$A497&gt;TODAY()),0,IF(OR(INDEX($B497:$D497,O$5)="F",AND(O$6&gt;0,$A497&lt;O$6),AND(O$7&gt;0,$A497&gt;O$7)),0,MAX(0,ROUND((INDEX($E497:$G497,O$5)-SUMIFS(TF_Timer,TF_Tekniker,O$4,TF_Dato,$A497))*2,0)/2)))</f>
        <v/>
      </c>
      <c r="P497">
        <f>IF(OR(P$4="",$A497&gt;TODAY()),0,IF(OR(INDEX($B497:$D497,P$5)="F",AND(P$6&gt;0,$A497&lt;P$6),AND(P$7&gt;0,$A497&gt;P$7)),0,MAX(0,ROUND((INDEX($E497:$G497,P$5)-SUMIFS(TF_Timer,TF_Tekniker,P$4,TF_Dato,$A497))*2,0)/2)))</f>
        <v/>
      </c>
      <c r="Q497">
        <f>IF(OR(Q$4="",$A497&gt;TODAY()),0,IF(OR(INDEX($B497:$D497,Q$5)="F",AND(Q$6&gt;0,$A497&lt;Q$6),AND(Q$7&gt;0,$A497&gt;Q$7)),0,MAX(0,ROUND((INDEX($E497:$G497,Q$5)-SUMIFS(TF_Timer,TF_Tekniker,Q$4,TF_Dato,$A497))*2,0)/2)))</f>
        <v/>
      </c>
      <c r="R497">
        <f>IF(OR(R$4="",$A497&gt;TODAY()),0,IF(OR(INDEX($B497:$D497,R$5)="F",AND(R$6&gt;0,$A497&lt;R$6),AND(R$7&gt;0,$A497&gt;R$7)),0,MAX(0,ROUND((INDEX($E497:$G497,R$5)-SUMIFS(TF_Timer,TF_Tekniker,R$4,TF_Dato,$A497))*2,0)/2)))</f>
        <v/>
      </c>
      <c r="S497">
        <f>IF(OR(S$4="",$A497&gt;TODAY()),0,IF(OR(INDEX($B497:$D497,S$5)="F",AND(S$6&gt;0,$A497&lt;S$6),AND(S$7&gt;0,$A497&gt;S$7)),0,MAX(0,ROUND((INDEX($E497:$G497,S$5)-SUMIFS(TF_Timer,TF_Tekniker,S$4,TF_Dato,$A497))*2,0)/2)))</f>
        <v/>
      </c>
      <c r="T497">
        <f>IF(OR(T$4="",$A497&gt;TODAY()),0,IF(OR(INDEX($B497:$D497,T$5)="F",AND(T$6&gt;0,$A497&lt;T$6),AND(T$7&gt;0,$A497&gt;T$7)),0,MAX(0,ROUND((INDEX($E497:$G497,T$5)-SUMIFS(TF_Timer,TF_Tekniker,T$4,TF_Dato,$A497))*2,0)/2)))</f>
        <v/>
      </c>
      <c r="U497">
        <f>IF(OR(U$4="",$A497&gt;TODAY()),0,IF(OR(INDEX($B497:$D497,U$5)="F",AND(U$6&gt;0,$A497&lt;U$6),AND(U$7&gt;0,$A497&gt;U$7)),0,MAX(0,ROUND((INDEX($E497:$G497,U$5)-SUMIFS(TF_Timer,TF_Tekniker,U$4,TF_Dato,$A497))*2,0)/2)))</f>
        <v/>
      </c>
      <c r="V497">
        <f>IF(OR(V$4="",$A497&gt;TODAY()),0,IF(OR(INDEX($B497:$D497,V$5)="F",AND(V$6&gt;0,$A497&lt;V$6),AND(V$7&gt;0,$A497&gt;V$7)),0,MAX(0,ROUND((INDEX($E497:$G497,V$5)-SUMIFS(TF_Timer,TF_Tekniker,V$4,TF_Dato,$A497))*2,0)/2)))</f>
        <v/>
      </c>
      <c r="W497">
        <f>IF(OR(W$4="",$A497&gt;TODAY()),0,IF(OR(INDEX($B497:$D497,W$5)="F",AND(W$6&gt;0,$A497&lt;W$6),AND(W$7&gt;0,$A497&gt;W$7)),0,MAX(0,ROUND((INDEX($E497:$G497,W$5)-SUMIFS(TF_Timer,TF_Tekniker,W$4,TF_Dato,$A497))*2,0)/2)))</f>
        <v/>
      </c>
      <c r="X497">
        <f>IF(OR(X$4="",$A497&gt;TODAY()),0,IF(OR(INDEX($B497:$D497,X$5)="F",AND(X$6&gt;0,$A497&lt;X$6),AND(X$7&gt;0,$A497&gt;X$7)),0,MAX(0,ROUND((INDEX($E497:$G497,X$5)-SUMIFS(TF_Timer,TF_Tekniker,X$4,TF_Dato,$A497))*2,0)/2)))</f>
        <v/>
      </c>
      <c r="Y497">
        <f>IF(OR(Y$4="",$A497&gt;TODAY()),0,IF(OR(INDEX($B497:$D497,Y$5)="F",AND(Y$6&gt;0,$A497&lt;Y$6),AND(Y$7&gt;0,$A497&gt;Y$7)),0,MAX(0,ROUND((INDEX($E497:$G497,Y$5)-SUMIFS(TF_Timer,TF_Tekniker,Y$4,TF_Dato,$A497))*2,0)/2)))</f>
        <v/>
      </c>
      <c r="Z497">
        <f>IF(OR(Z$4="",$A497&gt;TODAY()),0,IF(OR(INDEX($B497:$D497,Z$5)="F",AND(Z$6&gt;0,$A497&lt;Z$6),AND(Z$7&gt;0,$A497&gt;Z$7)),0,MAX(0,ROUND((INDEX($E497:$G497,Z$5)-SUMIFS(TF_Timer,TF_Tekniker,Z$4,TF_Dato,$A497))*2,0)/2)))</f>
        <v/>
      </c>
      <c r="AA497">
        <f>IF(OR(AA$4="",$A497&gt;TODAY()),0,IF(OR(INDEX($B497:$D497,AA$5)="F",AND(AA$6&gt;0,$A497&lt;AA$6),AND(AA$7&gt;0,$A497&gt;AA$7)),0,MAX(0,ROUND((INDEX($E497:$G497,AA$5)-SUMIFS(TF_Timer,TF_Tekniker,AA$4,TF_Dato,$A497))*2,0)/2)))</f>
        <v/>
      </c>
      <c r="AB497">
        <f>IF(OR(AB$4="",$A497&gt;TODAY()),0,IF(OR(INDEX($B497:$D497,AB$5)="F",AND(AB$6&gt;0,$A497&lt;AB$6),AND(AB$7&gt;0,$A497&gt;AB$7)),0,MAX(0,ROUND((INDEX($E497:$G497,AB$5)-SUMIFS(TF_Timer,TF_Tekniker,AB$4,TF_Dato,$A497))*2,0)/2)))</f>
        <v/>
      </c>
      <c r="AC497">
        <f>IF(OR(AC$4="",$A497&gt;TODAY()),0,IF(OR(INDEX($B497:$D497,AC$5)="F",AND(AC$6&gt;0,$A497&lt;AC$6),AND(AC$7&gt;0,$A497&gt;AC$7)),0,MAX(0,ROUND((INDEX($E497:$G497,AC$5)-SUMIFS(TF_Timer,TF_Tekniker,AC$4,TF_Dato,$A497))*2,0)/2)))</f>
        <v/>
      </c>
      <c r="AD497">
        <f>IF(OR(AD$4="",$A497&gt;TODAY()),0,IF(OR(INDEX($B497:$D497,AD$5)="F",AND(AD$6&gt;0,$A497&lt;AD$6),AND(AD$7&gt;0,$A497&gt;AD$7)),0,MAX(0,ROUND((INDEX($E497:$G497,AD$5)-SUMIFS(TF_Timer,TF_Tekniker,AD$4,TF_Dato,$A497))*2,0)/2)))</f>
        <v/>
      </c>
      <c r="AE497">
        <f>IF(OR(AE$4="",$A497&gt;TODAY()),0,IF(OR(INDEX($B497:$D497,AE$5)="F",AND(AE$6&gt;0,$A497&lt;AE$6),AND(AE$7&gt;0,$A497&gt;AE$7)),0,MAX(0,ROUND((INDEX($E497:$G497,AE$5)-SUMIFS(TF_Timer,TF_Tekniker,AE$4,TF_Dato,$A497))*2,0)/2)))</f>
        <v/>
      </c>
      <c r="AF497">
        <f>IF(OR(AF$4="",$A497&gt;TODAY()),0,IF(OR(INDEX($B497:$D497,AF$5)="F",AND(AF$6&gt;0,$A497&lt;AF$6),AND(AF$7&gt;0,$A497&gt;AF$7)),0,MAX(0,ROUND((INDEX($E497:$G497,AF$5)-SUMIFS(TF_Timer,TF_Tekniker,AF$4,TF_Dato,$A497))*2,0)/2)))</f>
        <v/>
      </c>
      <c r="AG497">
        <f>IF(OR(AG$4="",$A497&gt;TODAY()),0,IF(OR(INDEX($B497:$D497,AG$5)="F",AND(AG$6&gt;0,$A497&lt;AG$6),AND(AG$7&gt;0,$A497&gt;AG$7)),0,MAX(0,ROUND((INDEX($E497:$G497,AG$5)-SUMIFS(TF_Timer,TF_Tekniker,AG$4,TF_Dato,$A497))*2,0)/2)))</f>
        <v/>
      </c>
      <c r="AH497">
        <f>IF(OR(AH$4="",$A497&gt;TODAY()),0,IF(OR(INDEX($B497:$D497,AH$5)="F",AND(AH$6&gt;0,$A497&lt;AH$6),AND(AH$7&gt;0,$A497&gt;AH$7)),0,MAX(0,ROUND((INDEX($E497:$G497,AH$5)-SUMIFS(TF_Timer,TF_Tekniker,AH$4,TF_Dato,$A497))*2,0)/2)))</f>
        <v/>
      </c>
      <c r="AI497">
        <f>IF(OR(AI$4="",$A497&gt;TODAY()),0,IF(OR(INDEX($B497:$D497,AI$5)="F",AND(AI$6&gt;0,$A497&lt;AI$6),AND(AI$7&gt;0,$A497&gt;AI$7)),0,MAX(0,ROUND((INDEX($E497:$G497,AI$5)-SUMIFS(TF_Timer,TF_Tekniker,AI$4,TF_Dato,$A497))*2,0)/2)))</f>
        <v/>
      </c>
      <c r="AJ497">
        <f>IF(OR(AJ$4="",$A497&gt;TODAY()),0,IF(OR(INDEX($B497:$D497,AJ$5)="F",AND(AJ$6&gt;0,$A497&lt;AJ$6),AND(AJ$7&gt;0,$A497&gt;AJ$7)),0,MAX(0,ROUND((INDEX($E497:$G497,AJ$5)-SUMIFS(TF_Timer,TF_Tekniker,AJ$4,TF_Dato,$A497))*2,0)/2)))</f>
        <v/>
      </c>
      <c r="AK497">
        <f>IF(OR(AK$4="",$A497&gt;TODAY()),0,IF(OR(INDEX($B497:$D497,AK$5)="F",AND(AK$6&gt;0,$A497&lt;AK$6),AND(AK$7&gt;0,$A497&gt;AK$7)),0,MAX(0,ROUND((INDEX($E497:$G497,AK$5)-SUMIFS(TF_Timer,TF_Tekniker,AK$4,TF_Dato,$A497))*2,0)/2)))</f>
        <v/>
      </c>
      <c r="AL497">
        <f>IF(OR(AL$4="",$A497&gt;TODAY()),0,IF(OR(INDEX($B497:$D497,AL$5)="F",AND(AL$6&gt;0,$A497&lt;AL$6),AND(AL$7&gt;0,$A497&gt;AL$7)),0,MAX(0,ROUND((INDEX($E497:$G497,AL$5)-SUMIFS(TF_Timer,TF_Tekniker,AL$4,TF_Dato,$A497))*2,0)/2)))</f>
        <v/>
      </c>
      <c r="AM497">
        <f>IF(OR(AM$4="",$A497&gt;TODAY()),0,IF(OR(INDEX($B497:$D497,AM$5)="F",AND(AM$6&gt;0,$A497&lt;AM$6),AND(AM$7&gt;0,$A497&gt;AM$7)),0,MAX(0,ROUND((INDEX($E497:$G497,AM$5)-SUMIFS(TF_Timer,TF_Tekniker,AM$4,TF_Dato,$A497))*2,0)/2)))</f>
        <v/>
      </c>
      <c r="AN497">
        <f>IF(OR(AN$4="",$A497&gt;TODAY()),0,IF(OR(INDEX($B497:$D497,AN$5)="F",AND(AN$6&gt;0,$A497&lt;AN$6),AND(AN$7&gt;0,$A497&gt;AN$7)),0,MAX(0,ROUND((INDEX($E497:$G497,AN$5)-SUMIFS(TF_Timer,TF_Tekniker,AN$4,TF_Dato,$A497))*2,0)/2)))</f>
        <v/>
      </c>
      <c r="AO497">
        <f>IF(OR(AO$4="",$A497&gt;TODAY()),0,IF(OR(INDEX($B497:$D497,AO$5)="F",AND(AO$6&gt;0,$A497&lt;AO$6),AND(AO$7&gt;0,$A497&gt;AO$7)),0,MAX(0,ROUND((INDEX($E497:$G497,AO$5)-SUMIFS(TF_Timer,TF_Tekniker,AO$4,TF_Dato,$A497))*2,0)/2)))</f>
        <v/>
      </c>
      <c r="AP497">
        <f>IF(OR(AP$4="",$A497&gt;TODAY()),0,IF(OR(INDEX($B497:$D497,AP$5)="F",AND(AP$6&gt;0,$A497&lt;AP$6),AND(AP$7&gt;0,$A497&gt;AP$7)),0,MAX(0,ROUND((INDEX($E497:$G497,AP$5)-SUMIFS(TF_Timer,TF_Tekniker,AP$4,TF_Dato,$A497))*2,0)/2)))</f>
        <v/>
      </c>
      <c r="AQ497">
        <f>IF(OR(AQ$4="",$A497&gt;TODAY()),0,IF(OR(INDEX($B497:$D497,AQ$5)="F",AND(AQ$6&gt;0,$A497&lt;AQ$6),AND(AQ$7&gt;0,$A497&gt;AQ$7)),0,MAX(0,ROUND((INDEX($E497:$G497,AQ$5)-SUMIFS(TF_Timer,TF_Tekniker,AQ$4,TF_Dato,$A497))*2,0)/2)))</f>
        <v/>
      </c>
      <c r="AR497">
        <f>IF(OR(AR$4="",$A497&gt;TODAY()),0,IF(OR(INDEX($B497:$D497,AR$5)="F",AND(AR$6&gt;0,$A497&lt;AR$6),AND(AR$7&gt;0,$A497&gt;AR$7)),0,MAX(0,ROUND((INDEX($E497:$G497,AR$5)-SUMIFS(TF_Timer,TF_Tekniker,AR$4,TF_Dato,$A497))*2,0)/2)))</f>
        <v/>
      </c>
      <c r="AS497">
        <f>IF(OR(AS$4="",$A497&gt;TODAY()),0,IF(OR(INDEX($B497:$D497,AS$5)="F",AND(AS$6&gt;0,$A497&lt;AS$6),AND(AS$7&gt;0,$A497&gt;AS$7)),0,MAX(0,ROUND((INDEX($E497:$G497,AS$5)-SUMIFS(TF_Timer,TF_Tekniker,AS$4,TF_Dato,$A497))*2,0)/2)))</f>
        <v/>
      </c>
      <c r="AT497">
        <f>IF(OR(AT$4="",$A497&gt;TODAY()),0,IF(OR(INDEX($B497:$D497,AT$5)="F",AND(AT$6&gt;0,$A497&lt;AT$6),AND(AT$7&gt;0,$A497&gt;AT$7)),0,MAX(0,ROUND((INDEX($E497:$G497,AT$5)-SUMIFS(TF_Timer,TF_Tekniker,AT$4,TF_Dato,$A497))*2,0)/2)))</f>
        <v/>
      </c>
      <c r="AU497">
        <f>IF(OR(AU$4="",$A497&gt;TODAY()),0,IF(OR(INDEX($B497:$D497,AU$5)="F",AND(AU$6&gt;0,$A497&lt;AU$6),AND(AU$7&gt;0,$A497&gt;AU$7)),0,MAX(0,ROUND((INDEX($E497:$G497,AU$5)-SUMIFS(TF_Timer,TF_Tekniker,AU$4,TF_Dato,$A497))*2,0)/2)))</f>
        <v/>
      </c>
      <c r="AV497">
        <f>IF(OR(AV$4="",$A497&gt;TODAY()),0,IF(OR(INDEX($B497:$D497,AV$5)="F",AND(AV$6&gt;0,$A497&lt;AV$6),AND(AV$7&gt;0,$A497&gt;AV$7)),0,MAX(0,ROUND((INDEX($E497:$G497,AV$5)-SUMIFS(TF_Timer,TF_Tekniker,AV$4,TF_Dato,$A497))*2,0)/2)))</f>
        <v/>
      </c>
      <c r="AW497">
        <f>IF(OR(AW$4="",$A497&gt;TODAY()),0,IF(OR(INDEX($B497:$D497,AW$5)="F",AND(AW$6&gt;0,$A497&lt;AW$6),AND(AW$7&gt;0,$A497&gt;AW$7)),0,MAX(0,ROUND((INDEX($E497:$G497,AW$5)-SUMIFS(TF_Timer,TF_Tekniker,AW$4,TF_Dato,$A497))*2,0)/2)))</f>
        <v/>
      </c>
      <c r="AX497">
        <f>IF(OR(AX$4="",$A497&gt;TODAY()),0,IF(OR(INDEX($B497:$D497,AX$5)="F",AND(AX$6&gt;0,$A497&lt;AX$6),AND(AX$7&gt;0,$A497&gt;AX$7)),0,MAX(0,ROUND((INDEX($E497:$G497,AX$5)-SUMIFS(TF_Timer,TF_Tekniker,AX$4,TF_Dato,$A497))*2,0)/2)))</f>
        <v/>
      </c>
      <c r="AY497">
        <f>IF(OR(AY$4="",$A497&gt;TODAY()),0,IF(OR(INDEX($B497:$D497,AY$5)="F",AND(AY$6&gt;0,$A497&lt;AY$6),AND(AY$7&gt;0,$A497&gt;AY$7)),0,MAX(0,ROUND((INDEX($E497:$G497,AY$5)-SUMIFS(TF_Timer,TF_Tekniker,AY$4,TF_Dato,$A497))*2,0)/2)))</f>
        <v/>
      </c>
      <c r="AZ497">
        <f>IF(OR(AZ$4="",$A497&gt;TODAY()),0,IF(OR(INDEX($B497:$D497,AZ$5)="F",AND(AZ$6&gt;0,$A497&lt;AZ$6),AND(AZ$7&gt;0,$A497&gt;AZ$7)),0,MAX(0,ROUND((INDEX($E497:$G497,AZ$5)-SUMIFS(TF_Timer,TF_Tekniker,AZ$4,TF_Dato,$A497))*2,0)/2)))</f>
        <v/>
      </c>
      <c r="BA497">
        <f>IF(OR(BA$4="",$A497&gt;TODAY()),0,IF(OR(INDEX($B497:$D497,BA$5)="F",AND(BA$6&gt;0,$A497&lt;BA$6),AND(BA$7&gt;0,$A497&gt;BA$7)),0,MAX(0,ROUND((INDEX($E497:$G497,BA$5)-SUMIFS(TF_Timer,TF_Tekniker,BA$4,TF_Dato,$A497))*2,0)/2)))</f>
        <v/>
      </c>
      <c r="BB497">
        <f>IF(OR(BB$4="",$A497&gt;TODAY()),0,IF(OR(INDEX($B497:$D497,BB$5)="F",AND(BB$6&gt;0,$A497&lt;BB$6),AND(BB$7&gt;0,$A497&gt;BB$7)),0,MAX(0,ROUND((INDEX($E497:$G497,BB$5)-SUMIFS(TF_Timer,TF_Tekniker,BB$4,TF_Dato,$A497))*2,0)/2)))</f>
        <v/>
      </c>
      <c r="BC497">
        <f>IF(OR(BC$4="",$A497&gt;TODAY()),0,IF(OR(INDEX($B497:$D497,BC$5)="F",AND(BC$6&gt;0,$A497&lt;BC$6),AND(BC$7&gt;0,$A497&gt;BC$7)),0,MAX(0,ROUND((INDEX($E497:$G497,BC$5)-SUMIFS(TF_Timer,TF_Tekniker,BC$4,TF_Dato,$A497))*2,0)/2)))</f>
        <v/>
      </c>
      <c r="BD497">
        <f>IF(OR(BD$4="",$A497&gt;TODAY()),0,IF(OR(INDEX($B497:$D497,BD$5)="F",AND(BD$6&gt;0,$A497&lt;BD$6),AND(BD$7&gt;0,$A497&gt;BD$7)),0,MAX(0,ROUND((INDEX($E497:$G497,BD$5)-SUMIFS(TF_Timer,TF_Tekniker,BD$4,TF_Dato,$A497))*2,0)/2)))</f>
        <v/>
      </c>
      <c r="BE497">
        <f>IF(OR(BE$4="",$A497&gt;TODAY()),0,IF(OR(INDEX($B497:$D497,BE$5)="F",AND(BE$6&gt;0,$A497&lt;BE$6),AND(BE$7&gt;0,$A497&gt;BE$7)),0,MAX(0,ROUND((INDEX($E497:$G497,BE$5)-SUMIFS(TF_Timer,TF_Tekniker,BE$4,TF_Dato,$A497))*2,0)/2)))</f>
        <v/>
      </c>
      <c r="BF497">
        <f>IF(OR(BF$4="",$A497&gt;TODAY()),0,IF(OR(INDEX($B497:$D497,BF$5)="F",AND(BF$6&gt;0,$A497&lt;BF$6),AND(BF$7&gt;0,$A497&gt;BF$7)),0,MAX(0,ROUND((INDEX($E497:$G497,BF$5)-SUMIFS(TF_Timer,TF_Tekniker,BF$4,TF_Dato,$A497))*2,0)/2)))</f>
        <v/>
      </c>
      <c r="BG497">
        <f>IF(OR(BG$4="",$A497&gt;TODAY()),0,IF(OR(INDEX($B497:$D497,BG$5)="F",AND(BG$6&gt;0,$A497&lt;BG$6),AND(BG$7&gt;0,$A497&gt;BG$7)),0,MAX(0,ROUND((INDEX($E497:$G497,BG$5)-SUMIFS(TF_Timer,TF_Tekniker,BG$4,TF_Dato,$A497))*2,0)/2)))</f>
        <v/>
      </c>
      <c r="BH497">
        <f>IF(OR(BH$4="",$A497&gt;TODAY()),0,IF(OR(INDEX($B497:$D497,BH$5)="F",AND(BH$6&gt;0,$A497&lt;BH$6),AND(BH$7&gt;0,$A497&gt;BH$7)),0,MAX(0,ROUND((INDEX($E497:$G497,BH$5)-SUMIFS(TF_Timer,TF_Tekniker,BH$4,TF_Dato,$A497))*2,0)/2)))</f>
        <v/>
      </c>
      <c r="BI497">
        <f>IF(OR(BI$4="",$A497&gt;TODAY()),0,IF(OR(INDEX($B497:$D497,BI$5)="F",AND(BI$6&gt;0,$A497&lt;BI$6),AND(BI$7&gt;0,$A497&gt;BI$7)),0,MAX(0,ROUND((INDEX($E497:$G497,BI$5)-SUMIFS(TF_Timer,TF_Tekniker,BI$4,TF_Dato,$A497))*2,0)/2)))</f>
        <v/>
      </c>
    </row>
    <row r="498">
      <c r="A498" s="64">
        <f>A497+1</f>
        <v/>
      </c>
      <c r="B498">
        <f>IF(MOD($A498-INDEX(SkiftStart,1),Syklus)&lt;DagK,"K",IF(MOD($A498-INDEX(SkiftStart,1),Syklus)&lt;DagK+DagH,"H",IF(MOD($A498-INDEX(SkiftStart,1),Syklus)&lt;DagK+DagH+DagD,"D","F")))</f>
        <v/>
      </c>
      <c r="C498">
        <f>IF(MOD($A498-INDEX(SkiftStart,2),Syklus)&lt;DagK,"K",IF(MOD($A498-INDEX(SkiftStart,2),Syklus)&lt;DagK+DagH,"H",IF(MOD($A498-INDEX(SkiftStart,2),Syklus)&lt;DagK+DagH+DagD,"D","F")))</f>
        <v/>
      </c>
      <c r="D498">
        <f>IF(MOD($A498-INDEX(SkiftStart,3),Syklus)&lt;DagK,"K",IF(MOD($A498-INDEX(SkiftStart,3),Syklus)&lt;DagK+DagH,"H",IF(MOD($A498-INDEX(SkiftStart,3),Syklus)&lt;DagK+DagH+DagD,"D","F")))</f>
        <v/>
      </c>
      <c r="E498">
        <f>IF(B498="F",0,IF(WEEKDAY($A498,2)=5,INDEX(TimerFr,MATCH(B498,FaseKode,0)),INDEX(TimerMT,MATCH(B498,FaseKode,0))))</f>
        <v/>
      </c>
      <c r="F498">
        <f>IF(C498="F",0,IF(WEEKDAY($A498,2)=5,INDEX(TimerFr,MATCH(C498,FaseKode,0)),INDEX(TimerMT,MATCH(C498,FaseKode,0))))</f>
        <v/>
      </c>
      <c r="G498">
        <f>IF(D498="F",0,IF(WEEKDAY($A498,2)=5,INDEX(TimerFr,MATCH(D498,FaseKode,0)),INDEX(TimerMT,MATCH(D498,FaseKode,0))))</f>
        <v/>
      </c>
      <c r="H498">
        <f>IF(OR(H$4="",$A498&gt;TODAY()),0,IF(OR(INDEX($B498:$D498,H$5)="F",AND(H$6&gt;0,$A498&lt;H$6),AND(H$7&gt;0,$A498&gt;H$7)),0,MAX(0,ROUND((INDEX($E498:$G498,H$5)-SUMIFS(TF_Timer,TF_Tekniker,H$4,TF_Dato,$A498))*2,0)/2)))</f>
        <v/>
      </c>
      <c r="I498">
        <f>IF(OR(I$4="",$A498&gt;TODAY()),0,IF(OR(INDEX($B498:$D498,I$5)="F",AND(I$6&gt;0,$A498&lt;I$6),AND(I$7&gt;0,$A498&gt;I$7)),0,MAX(0,ROUND((INDEX($E498:$G498,I$5)-SUMIFS(TF_Timer,TF_Tekniker,I$4,TF_Dato,$A498))*2,0)/2)))</f>
        <v/>
      </c>
      <c r="J498">
        <f>IF(OR(J$4="",$A498&gt;TODAY()),0,IF(OR(INDEX($B498:$D498,J$5)="F",AND(J$6&gt;0,$A498&lt;J$6),AND(J$7&gt;0,$A498&gt;J$7)),0,MAX(0,ROUND((INDEX($E498:$G498,J$5)-SUMIFS(TF_Timer,TF_Tekniker,J$4,TF_Dato,$A498))*2,0)/2)))</f>
        <v/>
      </c>
      <c r="K498">
        <f>IF(OR(K$4="",$A498&gt;TODAY()),0,IF(OR(INDEX($B498:$D498,K$5)="F",AND(K$6&gt;0,$A498&lt;K$6),AND(K$7&gt;0,$A498&gt;K$7)),0,MAX(0,ROUND((INDEX($E498:$G498,K$5)-SUMIFS(TF_Timer,TF_Tekniker,K$4,TF_Dato,$A498))*2,0)/2)))</f>
        <v/>
      </c>
      <c r="L498">
        <f>IF(OR(L$4="",$A498&gt;TODAY()),0,IF(OR(INDEX($B498:$D498,L$5)="F",AND(L$6&gt;0,$A498&lt;L$6),AND(L$7&gt;0,$A498&gt;L$7)),0,MAX(0,ROUND((INDEX($E498:$G498,L$5)-SUMIFS(TF_Timer,TF_Tekniker,L$4,TF_Dato,$A498))*2,0)/2)))</f>
        <v/>
      </c>
      <c r="M498">
        <f>IF(OR(M$4="",$A498&gt;TODAY()),0,IF(OR(INDEX($B498:$D498,M$5)="F",AND(M$6&gt;0,$A498&lt;M$6),AND(M$7&gt;0,$A498&gt;M$7)),0,MAX(0,ROUND((INDEX($E498:$G498,M$5)-SUMIFS(TF_Timer,TF_Tekniker,M$4,TF_Dato,$A498))*2,0)/2)))</f>
        <v/>
      </c>
      <c r="N498">
        <f>IF(OR(N$4="",$A498&gt;TODAY()),0,IF(OR(INDEX($B498:$D498,N$5)="F",AND(N$6&gt;0,$A498&lt;N$6),AND(N$7&gt;0,$A498&gt;N$7)),0,MAX(0,ROUND((INDEX($E498:$G498,N$5)-SUMIFS(TF_Timer,TF_Tekniker,N$4,TF_Dato,$A498))*2,0)/2)))</f>
        <v/>
      </c>
      <c r="O498">
        <f>IF(OR(O$4="",$A498&gt;TODAY()),0,IF(OR(INDEX($B498:$D498,O$5)="F",AND(O$6&gt;0,$A498&lt;O$6),AND(O$7&gt;0,$A498&gt;O$7)),0,MAX(0,ROUND((INDEX($E498:$G498,O$5)-SUMIFS(TF_Timer,TF_Tekniker,O$4,TF_Dato,$A498))*2,0)/2)))</f>
        <v/>
      </c>
      <c r="P498">
        <f>IF(OR(P$4="",$A498&gt;TODAY()),0,IF(OR(INDEX($B498:$D498,P$5)="F",AND(P$6&gt;0,$A498&lt;P$6),AND(P$7&gt;0,$A498&gt;P$7)),0,MAX(0,ROUND((INDEX($E498:$G498,P$5)-SUMIFS(TF_Timer,TF_Tekniker,P$4,TF_Dato,$A498))*2,0)/2)))</f>
        <v/>
      </c>
      <c r="Q498">
        <f>IF(OR(Q$4="",$A498&gt;TODAY()),0,IF(OR(INDEX($B498:$D498,Q$5)="F",AND(Q$6&gt;0,$A498&lt;Q$6),AND(Q$7&gt;0,$A498&gt;Q$7)),0,MAX(0,ROUND((INDEX($E498:$G498,Q$5)-SUMIFS(TF_Timer,TF_Tekniker,Q$4,TF_Dato,$A498))*2,0)/2)))</f>
        <v/>
      </c>
      <c r="R498">
        <f>IF(OR(R$4="",$A498&gt;TODAY()),0,IF(OR(INDEX($B498:$D498,R$5)="F",AND(R$6&gt;0,$A498&lt;R$6),AND(R$7&gt;0,$A498&gt;R$7)),0,MAX(0,ROUND((INDEX($E498:$G498,R$5)-SUMIFS(TF_Timer,TF_Tekniker,R$4,TF_Dato,$A498))*2,0)/2)))</f>
        <v/>
      </c>
      <c r="S498">
        <f>IF(OR(S$4="",$A498&gt;TODAY()),0,IF(OR(INDEX($B498:$D498,S$5)="F",AND(S$6&gt;0,$A498&lt;S$6),AND(S$7&gt;0,$A498&gt;S$7)),0,MAX(0,ROUND((INDEX($E498:$G498,S$5)-SUMIFS(TF_Timer,TF_Tekniker,S$4,TF_Dato,$A498))*2,0)/2)))</f>
        <v/>
      </c>
      <c r="T498">
        <f>IF(OR(T$4="",$A498&gt;TODAY()),0,IF(OR(INDEX($B498:$D498,T$5)="F",AND(T$6&gt;0,$A498&lt;T$6),AND(T$7&gt;0,$A498&gt;T$7)),0,MAX(0,ROUND((INDEX($E498:$G498,T$5)-SUMIFS(TF_Timer,TF_Tekniker,T$4,TF_Dato,$A498))*2,0)/2)))</f>
        <v/>
      </c>
      <c r="U498">
        <f>IF(OR(U$4="",$A498&gt;TODAY()),0,IF(OR(INDEX($B498:$D498,U$5)="F",AND(U$6&gt;0,$A498&lt;U$6),AND(U$7&gt;0,$A498&gt;U$7)),0,MAX(0,ROUND((INDEX($E498:$G498,U$5)-SUMIFS(TF_Timer,TF_Tekniker,U$4,TF_Dato,$A498))*2,0)/2)))</f>
        <v/>
      </c>
      <c r="V498">
        <f>IF(OR(V$4="",$A498&gt;TODAY()),0,IF(OR(INDEX($B498:$D498,V$5)="F",AND(V$6&gt;0,$A498&lt;V$6),AND(V$7&gt;0,$A498&gt;V$7)),0,MAX(0,ROUND((INDEX($E498:$G498,V$5)-SUMIFS(TF_Timer,TF_Tekniker,V$4,TF_Dato,$A498))*2,0)/2)))</f>
        <v/>
      </c>
      <c r="W498">
        <f>IF(OR(W$4="",$A498&gt;TODAY()),0,IF(OR(INDEX($B498:$D498,W$5)="F",AND(W$6&gt;0,$A498&lt;W$6),AND(W$7&gt;0,$A498&gt;W$7)),0,MAX(0,ROUND((INDEX($E498:$G498,W$5)-SUMIFS(TF_Timer,TF_Tekniker,W$4,TF_Dato,$A498))*2,0)/2)))</f>
        <v/>
      </c>
      <c r="X498">
        <f>IF(OR(X$4="",$A498&gt;TODAY()),0,IF(OR(INDEX($B498:$D498,X$5)="F",AND(X$6&gt;0,$A498&lt;X$6),AND(X$7&gt;0,$A498&gt;X$7)),0,MAX(0,ROUND((INDEX($E498:$G498,X$5)-SUMIFS(TF_Timer,TF_Tekniker,X$4,TF_Dato,$A498))*2,0)/2)))</f>
        <v/>
      </c>
      <c r="Y498">
        <f>IF(OR(Y$4="",$A498&gt;TODAY()),0,IF(OR(INDEX($B498:$D498,Y$5)="F",AND(Y$6&gt;0,$A498&lt;Y$6),AND(Y$7&gt;0,$A498&gt;Y$7)),0,MAX(0,ROUND((INDEX($E498:$G498,Y$5)-SUMIFS(TF_Timer,TF_Tekniker,Y$4,TF_Dato,$A498))*2,0)/2)))</f>
        <v/>
      </c>
      <c r="Z498">
        <f>IF(OR(Z$4="",$A498&gt;TODAY()),0,IF(OR(INDEX($B498:$D498,Z$5)="F",AND(Z$6&gt;0,$A498&lt;Z$6),AND(Z$7&gt;0,$A498&gt;Z$7)),0,MAX(0,ROUND((INDEX($E498:$G498,Z$5)-SUMIFS(TF_Timer,TF_Tekniker,Z$4,TF_Dato,$A498))*2,0)/2)))</f>
        <v/>
      </c>
      <c r="AA498">
        <f>IF(OR(AA$4="",$A498&gt;TODAY()),0,IF(OR(INDEX($B498:$D498,AA$5)="F",AND(AA$6&gt;0,$A498&lt;AA$6),AND(AA$7&gt;0,$A498&gt;AA$7)),0,MAX(0,ROUND((INDEX($E498:$G498,AA$5)-SUMIFS(TF_Timer,TF_Tekniker,AA$4,TF_Dato,$A498))*2,0)/2)))</f>
        <v/>
      </c>
      <c r="AB498">
        <f>IF(OR(AB$4="",$A498&gt;TODAY()),0,IF(OR(INDEX($B498:$D498,AB$5)="F",AND(AB$6&gt;0,$A498&lt;AB$6),AND(AB$7&gt;0,$A498&gt;AB$7)),0,MAX(0,ROUND((INDEX($E498:$G498,AB$5)-SUMIFS(TF_Timer,TF_Tekniker,AB$4,TF_Dato,$A498))*2,0)/2)))</f>
        <v/>
      </c>
      <c r="AC498">
        <f>IF(OR(AC$4="",$A498&gt;TODAY()),0,IF(OR(INDEX($B498:$D498,AC$5)="F",AND(AC$6&gt;0,$A498&lt;AC$6),AND(AC$7&gt;0,$A498&gt;AC$7)),0,MAX(0,ROUND((INDEX($E498:$G498,AC$5)-SUMIFS(TF_Timer,TF_Tekniker,AC$4,TF_Dato,$A498))*2,0)/2)))</f>
        <v/>
      </c>
      <c r="AD498">
        <f>IF(OR(AD$4="",$A498&gt;TODAY()),0,IF(OR(INDEX($B498:$D498,AD$5)="F",AND(AD$6&gt;0,$A498&lt;AD$6),AND(AD$7&gt;0,$A498&gt;AD$7)),0,MAX(0,ROUND((INDEX($E498:$G498,AD$5)-SUMIFS(TF_Timer,TF_Tekniker,AD$4,TF_Dato,$A498))*2,0)/2)))</f>
        <v/>
      </c>
      <c r="AE498">
        <f>IF(OR(AE$4="",$A498&gt;TODAY()),0,IF(OR(INDEX($B498:$D498,AE$5)="F",AND(AE$6&gt;0,$A498&lt;AE$6),AND(AE$7&gt;0,$A498&gt;AE$7)),0,MAX(0,ROUND((INDEX($E498:$G498,AE$5)-SUMIFS(TF_Timer,TF_Tekniker,AE$4,TF_Dato,$A498))*2,0)/2)))</f>
        <v/>
      </c>
      <c r="AF498">
        <f>IF(OR(AF$4="",$A498&gt;TODAY()),0,IF(OR(INDEX($B498:$D498,AF$5)="F",AND(AF$6&gt;0,$A498&lt;AF$6),AND(AF$7&gt;0,$A498&gt;AF$7)),0,MAX(0,ROUND((INDEX($E498:$G498,AF$5)-SUMIFS(TF_Timer,TF_Tekniker,AF$4,TF_Dato,$A498))*2,0)/2)))</f>
        <v/>
      </c>
      <c r="AG498">
        <f>IF(OR(AG$4="",$A498&gt;TODAY()),0,IF(OR(INDEX($B498:$D498,AG$5)="F",AND(AG$6&gt;0,$A498&lt;AG$6),AND(AG$7&gt;0,$A498&gt;AG$7)),0,MAX(0,ROUND((INDEX($E498:$G498,AG$5)-SUMIFS(TF_Timer,TF_Tekniker,AG$4,TF_Dato,$A498))*2,0)/2)))</f>
        <v/>
      </c>
      <c r="AH498">
        <f>IF(OR(AH$4="",$A498&gt;TODAY()),0,IF(OR(INDEX($B498:$D498,AH$5)="F",AND(AH$6&gt;0,$A498&lt;AH$6),AND(AH$7&gt;0,$A498&gt;AH$7)),0,MAX(0,ROUND((INDEX($E498:$G498,AH$5)-SUMIFS(TF_Timer,TF_Tekniker,AH$4,TF_Dato,$A498))*2,0)/2)))</f>
        <v/>
      </c>
      <c r="AI498">
        <f>IF(OR(AI$4="",$A498&gt;TODAY()),0,IF(OR(INDEX($B498:$D498,AI$5)="F",AND(AI$6&gt;0,$A498&lt;AI$6),AND(AI$7&gt;0,$A498&gt;AI$7)),0,MAX(0,ROUND((INDEX($E498:$G498,AI$5)-SUMIFS(TF_Timer,TF_Tekniker,AI$4,TF_Dato,$A498))*2,0)/2)))</f>
        <v/>
      </c>
      <c r="AJ498">
        <f>IF(OR(AJ$4="",$A498&gt;TODAY()),0,IF(OR(INDEX($B498:$D498,AJ$5)="F",AND(AJ$6&gt;0,$A498&lt;AJ$6),AND(AJ$7&gt;0,$A498&gt;AJ$7)),0,MAX(0,ROUND((INDEX($E498:$G498,AJ$5)-SUMIFS(TF_Timer,TF_Tekniker,AJ$4,TF_Dato,$A498))*2,0)/2)))</f>
        <v/>
      </c>
      <c r="AK498">
        <f>IF(OR(AK$4="",$A498&gt;TODAY()),0,IF(OR(INDEX($B498:$D498,AK$5)="F",AND(AK$6&gt;0,$A498&lt;AK$6),AND(AK$7&gt;0,$A498&gt;AK$7)),0,MAX(0,ROUND((INDEX($E498:$G498,AK$5)-SUMIFS(TF_Timer,TF_Tekniker,AK$4,TF_Dato,$A498))*2,0)/2)))</f>
        <v/>
      </c>
      <c r="AL498">
        <f>IF(OR(AL$4="",$A498&gt;TODAY()),0,IF(OR(INDEX($B498:$D498,AL$5)="F",AND(AL$6&gt;0,$A498&lt;AL$6),AND(AL$7&gt;0,$A498&gt;AL$7)),0,MAX(0,ROUND((INDEX($E498:$G498,AL$5)-SUMIFS(TF_Timer,TF_Tekniker,AL$4,TF_Dato,$A498))*2,0)/2)))</f>
        <v/>
      </c>
      <c r="AM498">
        <f>IF(OR(AM$4="",$A498&gt;TODAY()),0,IF(OR(INDEX($B498:$D498,AM$5)="F",AND(AM$6&gt;0,$A498&lt;AM$6),AND(AM$7&gt;0,$A498&gt;AM$7)),0,MAX(0,ROUND((INDEX($E498:$G498,AM$5)-SUMIFS(TF_Timer,TF_Tekniker,AM$4,TF_Dato,$A498))*2,0)/2)))</f>
        <v/>
      </c>
      <c r="AN498">
        <f>IF(OR(AN$4="",$A498&gt;TODAY()),0,IF(OR(INDEX($B498:$D498,AN$5)="F",AND(AN$6&gt;0,$A498&lt;AN$6),AND(AN$7&gt;0,$A498&gt;AN$7)),0,MAX(0,ROUND((INDEX($E498:$G498,AN$5)-SUMIFS(TF_Timer,TF_Tekniker,AN$4,TF_Dato,$A498))*2,0)/2)))</f>
        <v/>
      </c>
      <c r="AO498">
        <f>IF(OR(AO$4="",$A498&gt;TODAY()),0,IF(OR(INDEX($B498:$D498,AO$5)="F",AND(AO$6&gt;0,$A498&lt;AO$6),AND(AO$7&gt;0,$A498&gt;AO$7)),0,MAX(0,ROUND((INDEX($E498:$G498,AO$5)-SUMIFS(TF_Timer,TF_Tekniker,AO$4,TF_Dato,$A498))*2,0)/2)))</f>
        <v/>
      </c>
      <c r="AP498">
        <f>IF(OR(AP$4="",$A498&gt;TODAY()),0,IF(OR(INDEX($B498:$D498,AP$5)="F",AND(AP$6&gt;0,$A498&lt;AP$6),AND(AP$7&gt;0,$A498&gt;AP$7)),0,MAX(0,ROUND((INDEX($E498:$G498,AP$5)-SUMIFS(TF_Timer,TF_Tekniker,AP$4,TF_Dato,$A498))*2,0)/2)))</f>
        <v/>
      </c>
      <c r="AQ498">
        <f>IF(OR(AQ$4="",$A498&gt;TODAY()),0,IF(OR(INDEX($B498:$D498,AQ$5)="F",AND(AQ$6&gt;0,$A498&lt;AQ$6),AND(AQ$7&gt;0,$A498&gt;AQ$7)),0,MAX(0,ROUND((INDEX($E498:$G498,AQ$5)-SUMIFS(TF_Timer,TF_Tekniker,AQ$4,TF_Dato,$A498))*2,0)/2)))</f>
        <v/>
      </c>
      <c r="AR498">
        <f>IF(OR(AR$4="",$A498&gt;TODAY()),0,IF(OR(INDEX($B498:$D498,AR$5)="F",AND(AR$6&gt;0,$A498&lt;AR$6),AND(AR$7&gt;0,$A498&gt;AR$7)),0,MAX(0,ROUND((INDEX($E498:$G498,AR$5)-SUMIFS(TF_Timer,TF_Tekniker,AR$4,TF_Dato,$A498))*2,0)/2)))</f>
        <v/>
      </c>
      <c r="AS498">
        <f>IF(OR(AS$4="",$A498&gt;TODAY()),0,IF(OR(INDEX($B498:$D498,AS$5)="F",AND(AS$6&gt;0,$A498&lt;AS$6),AND(AS$7&gt;0,$A498&gt;AS$7)),0,MAX(0,ROUND((INDEX($E498:$G498,AS$5)-SUMIFS(TF_Timer,TF_Tekniker,AS$4,TF_Dato,$A498))*2,0)/2)))</f>
        <v/>
      </c>
      <c r="AT498">
        <f>IF(OR(AT$4="",$A498&gt;TODAY()),0,IF(OR(INDEX($B498:$D498,AT$5)="F",AND(AT$6&gt;0,$A498&lt;AT$6),AND(AT$7&gt;0,$A498&gt;AT$7)),0,MAX(0,ROUND((INDEX($E498:$G498,AT$5)-SUMIFS(TF_Timer,TF_Tekniker,AT$4,TF_Dato,$A498))*2,0)/2)))</f>
        <v/>
      </c>
      <c r="AU498">
        <f>IF(OR(AU$4="",$A498&gt;TODAY()),0,IF(OR(INDEX($B498:$D498,AU$5)="F",AND(AU$6&gt;0,$A498&lt;AU$6),AND(AU$7&gt;0,$A498&gt;AU$7)),0,MAX(0,ROUND((INDEX($E498:$G498,AU$5)-SUMIFS(TF_Timer,TF_Tekniker,AU$4,TF_Dato,$A498))*2,0)/2)))</f>
        <v/>
      </c>
      <c r="AV498">
        <f>IF(OR(AV$4="",$A498&gt;TODAY()),0,IF(OR(INDEX($B498:$D498,AV$5)="F",AND(AV$6&gt;0,$A498&lt;AV$6),AND(AV$7&gt;0,$A498&gt;AV$7)),0,MAX(0,ROUND((INDEX($E498:$G498,AV$5)-SUMIFS(TF_Timer,TF_Tekniker,AV$4,TF_Dato,$A498))*2,0)/2)))</f>
        <v/>
      </c>
      <c r="AW498">
        <f>IF(OR(AW$4="",$A498&gt;TODAY()),0,IF(OR(INDEX($B498:$D498,AW$5)="F",AND(AW$6&gt;0,$A498&lt;AW$6),AND(AW$7&gt;0,$A498&gt;AW$7)),0,MAX(0,ROUND((INDEX($E498:$G498,AW$5)-SUMIFS(TF_Timer,TF_Tekniker,AW$4,TF_Dato,$A498))*2,0)/2)))</f>
        <v/>
      </c>
      <c r="AX498">
        <f>IF(OR(AX$4="",$A498&gt;TODAY()),0,IF(OR(INDEX($B498:$D498,AX$5)="F",AND(AX$6&gt;0,$A498&lt;AX$6),AND(AX$7&gt;0,$A498&gt;AX$7)),0,MAX(0,ROUND((INDEX($E498:$G498,AX$5)-SUMIFS(TF_Timer,TF_Tekniker,AX$4,TF_Dato,$A498))*2,0)/2)))</f>
        <v/>
      </c>
      <c r="AY498">
        <f>IF(OR(AY$4="",$A498&gt;TODAY()),0,IF(OR(INDEX($B498:$D498,AY$5)="F",AND(AY$6&gt;0,$A498&lt;AY$6),AND(AY$7&gt;0,$A498&gt;AY$7)),0,MAX(0,ROUND((INDEX($E498:$G498,AY$5)-SUMIFS(TF_Timer,TF_Tekniker,AY$4,TF_Dato,$A498))*2,0)/2)))</f>
        <v/>
      </c>
      <c r="AZ498">
        <f>IF(OR(AZ$4="",$A498&gt;TODAY()),0,IF(OR(INDEX($B498:$D498,AZ$5)="F",AND(AZ$6&gt;0,$A498&lt;AZ$6),AND(AZ$7&gt;0,$A498&gt;AZ$7)),0,MAX(0,ROUND((INDEX($E498:$G498,AZ$5)-SUMIFS(TF_Timer,TF_Tekniker,AZ$4,TF_Dato,$A498))*2,0)/2)))</f>
        <v/>
      </c>
      <c r="BA498">
        <f>IF(OR(BA$4="",$A498&gt;TODAY()),0,IF(OR(INDEX($B498:$D498,BA$5)="F",AND(BA$6&gt;0,$A498&lt;BA$6),AND(BA$7&gt;0,$A498&gt;BA$7)),0,MAX(0,ROUND((INDEX($E498:$G498,BA$5)-SUMIFS(TF_Timer,TF_Tekniker,BA$4,TF_Dato,$A498))*2,0)/2)))</f>
        <v/>
      </c>
      <c r="BB498">
        <f>IF(OR(BB$4="",$A498&gt;TODAY()),0,IF(OR(INDEX($B498:$D498,BB$5)="F",AND(BB$6&gt;0,$A498&lt;BB$6),AND(BB$7&gt;0,$A498&gt;BB$7)),0,MAX(0,ROUND((INDEX($E498:$G498,BB$5)-SUMIFS(TF_Timer,TF_Tekniker,BB$4,TF_Dato,$A498))*2,0)/2)))</f>
        <v/>
      </c>
      <c r="BC498">
        <f>IF(OR(BC$4="",$A498&gt;TODAY()),0,IF(OR(INDEX($B498:$D498,BC$5)="F",AND(BC$6&gt;0,$A498&lt;BC$6),AND(BC$7&gt;0,$A498&gt;BC$7)),0,MAX(0,ROUND((INDEX($E498:$G498,BC$5)-SUMIFS(TF_Timer,TF_Tekniker,BC$4,TF_Dato,$A498))*2,0)/2)))</f>
        <v/>
      </c>
      <c r="BD498">
        <f>IF(OR(BD$4="",$A498&gt;TODAY()),0,IF(OR(INDEX($B498:$D498,BD$5)="F",AND(BD$6&gt;0,$A498&lt;BD$6),AND(BD$7&gt;0,$A498&gt;BD$7)),0,MAX(0,ROUND((INDEX($E498:$G498,BD$5)-SUMIFS(TF_Timer,TF_Tekniker,BD$4,TF_Dato,$A498))*2,0)/2)))</f>
        <v/>
      </c>
      <c r="BE498">
        <f>IF(OR(BE$4="",$A498&gt;TODAY()),0,IF(OR(INDEX($B498:$D498,BE$5)="F",AND(BE$6&gt;0,$A498&lt;BE$6),AND(BE$7&gt;0,$A498&gt;BE$7)),0,MAX(0,ROUND((INDEX($E498:$G498,BE$5)-SUMIFS(TF_Timer,TF_Tekniker,BE$4,TF_Dato,$A498))*2,0)/2)))</f>
        <v/>
      </c>
      <c r="BF498">
        <f>IF(OR(BF$4="",$A498&gt;TODAY()),0,IF(OR(INDEX($B498:$D498,BF$5)="F",AND(BF$6&gt;0,$A498&lt;BF$6),AND(BF$7&gt;0,$A498&gt;BF$7)),0,MAX(0,ROUND((INDEX($E498:$G498,BF$5)-SUMIFS(TF_Timer,TF_Tekniker,BF$4,TF_Dato,$A498))*2,0)/2)))</f>
        <v/>
      </c>
      <c r="BG498">
        <f>IF(OR(BG$4="",$A498&gt;TODAY()),0,IF(OR(INDEX($B498:$D498,BG$5)="F",AND(BG$6&gt;0,$A498&lt;BG$6),AND(BG$7&gt;0,$A498&gt;BG$7)),0,MAX(0,ROUND((INDEX($E498:$G498,BG$5)-SUMIFS(TF_Timer,TF_Tekniker,BG$4,TF_Dato,$A498))*2,0)/2)))</f>
        <v/>
      </c>
      <c r="BH498">
        <f>IF(OR(BH$4="",$A498&gt;TODAY()),0,IF(OR(INDEX($B498:$D498,BH$5)="F",AND(BH$6&gt;0,$A498&lt;BH$6),AND(BH$7&gt;0,$A498&gt;BH$7)),0,MAX(0,ROUND((INDEX($E498:$G498,BH$5)-SUMIFS(TF_Timer,TF_Tekniker,BH$4,TF_Dato,$A498))*2,0)/2)))</f>
        <v/>
      </c>
      <c r="BI498">
        <f>IF(OR(BI$4="",$A498&gt;TODAY()),0,IF(OR(INDEX($B498:$D498,BI$5)="F",AND(BI$6&gt;0,$A498&lt;BI$6),AND(BI$7&gt;0,$A498&gt;BI$7)),0,MAX(0,ROUND((INDEX($E498:$G498,BI$5)-SUMIFS(TF_Timer,TF_Tekniker,BI$4,TF_Dato,$A498))*2,0)/2)))</f>
        <v/>
      </c>
    </row>
    <row r="499">
      <c r="A499" s="64">
        <f>A498+1</f>
        <v/>
      </c>
      <c r="B499">
        <f>IF(MOD($A499-INDEX(SkiftStart,1),Syklus)&lt;DagK,"K",IF(MOD($A499-INDEX(SkiftStart,1),Syklus)&lt;DagK+DagH,"H",IF(MOD($A499-INDEX(SkiftStart,1),Syklus)&lt;DagK+DagH+DagD,"D","F")))</f>
        <v/>
      </c>
      <c r="C499">
        <f>IF(MOD($A499-INDEX(SkiftStart,2),Syklus)&lt;DagK,"K",IF(MOD($A499-INDEX(SkiftStart,2),Syklus)&lt;DagK+DagH,"H",IF(MOD($A499-INDEX(SkiftStart,2),Syklus)&lt;DagK+DagH+DagD,"D","F")))</f>
        <v/>
      </c>
      <c r="D499">
        <f>IF(MOD($A499-INDEX(SkiftStart,3),Syklus)&lt;DagK,"K",IF(MOD($A499-INDEX(SkiftStart,3),Syklus)&lt;DagK+DagH,"H",IF(MOD($A499-INDEX(SkiftStart,3),Syklus)&lt;DagK+DagH+DagD,"D","F")))</f>
        <v/>
      </c>
      <c r="E499">
        <f>IF(B499="F",0,IF(WEEKDAY($A499,2)=5,INDEX(TimerFr,MATCH(B499,FaseKode,0)),INDEX(TimerMT,MATCH(B499,FaseKode,0))))</f>
        <v/>
      </c>
      <c r="F499">
        <f>IF(C499="F",0,IF(WEEKDAY($A499,2)=5,INDEX(TimerFr,MATCH(C499,FaseKode,0)),INDEX(TimerMT,MATCH(C499,FaseKode,0))))</f>
        <v/>
      </c>
      <c r="G499">
        <f>IF(D499="F",0,IF(WEEKDAY($A499,2)=5,INDEX(TimerFr,MATCH(D499,FaseKode,0)),INDEX(TimerMT,MATCH(D499,FaseKode,0))))</f>
        <v/>
      </c>
      <c r="H499">
        <f>IF(OR(H$4="",$A499&gt;TODAY()),0,IF(OR(INDEX($B499:$D499,H$5)="F",AND(H$6&gt;0,$A499&lt;H$6),AND(H$7&gt;0,$A499&gt;H$7)),0,MAX(0,ROUND((INDEX($E499:$G499,H$5)-SUMIFS(TF_Timer,TF_Tekniker,H$4,TF_Dato,$A499))*2,0)/2)))</f>
        <v/>
      </c>
      <c r="I499">
        <f>IF(OR(I$4="",$A499&gt;TODAY()),0,IF(OR(INDEX($B499:$D499,I$5)="F",AND(I$6&gt;0,$A499&lt;I$6),AND(I$7&gt;0,$A499&gt;I$7)),0,MAX(0,ROUND((INDEX($E499:$G499,I$5)-SUMIFS(TF_Timer,TF_Tekniker,I$4,TF_Dato,$A499))*2,0)/2)))</f>
        <v/>
      </c>
      <c r="J499">
        <f>IF(OR(J$4="",$A499&gt;TODAY()),0,IF(OR(INDEX($B499:$D499,J$5)="F",AND(J$6&gt;0,$A499&lt;J$6),AND(J$7&gt;0,$A499&gt;J$7)),0,MAX(0,ROUND((INDEX($E499:$G499,J$5)-SUMIFS(TF_Timer,TF_Tekniker,J$4,TF_Dato,$A499))*2,0)/2)))</f>
        <v/>
      </c>
      <c r="K499">
        <f>IF(OR(K$4="",$A499&gt;TODAY()),0,IF(OR(INDEX($B499:$D499,K$5)="F",AND(K$6&gt;0,$A499&lt;K$6),AND(K$7&gt;0,$A499&gt;K$7)),0,MAX(0,ROUND((INDEX($E499:$G499,K$5)-SUMIFS(TF_Timer,TF_Tekniker,K$4,TF_Dato,$A499))*2,0)/2)))</f>
        <v/>
      </c>
      <c r="L499">
        <f>IF(OR(L$4="",$A499&gt;TODAY()),0,IF(OR(INDEX($B499:$D499,L$5)="F",AND(L$6&gt;0,$A499&lt;L$6),AND(L$7&gt;0,$A499&gt;L$7)),0,MAX(0,ROUND((INDEX($E499:$G499,L$5)-SUMIFS(TF_Timer,TF_Tekniker,L$4,TF_Dato,$A499))*2,0)/2)))</f>
        <v/>
      </c>
      <c r="M499">
        <f>IF(OR(M$4="",$A499&gt;TODAY()),0,IF(OR(INDEX($B499:$D499,M$5)="F",AND(M$6&gt;0,$A499&lt;M$6),AND(M$7&gt;0,$A499&gt;M$7)),0,MAX(0,ROUND((INDEX($E499:$G499,M$5)-SUMIFS(TF_Timer,TF_Tekniker,M$4,TF_Dato,$A499))*2,0)/2)))</f>
        <v/>
      </c>
      <c r="N499">
        <f>IF(OR(N$4="",$A499&gt;TODAY()),0,IF(OR(INDEX($B499:$D499,N$5)="F",AND(N$6&gt;0,$A499&lt;N$6),AND(N$7&gt;0,$A499&gt;N$7)),0,MAX(0,ROUND((INDEX($E499:$G499,N$5)-SUMIFS(TF_Timer,TF_Tekniker,N$4,TF_Dato,$A499))*2,0)/2)))</f>
        <v/>
      </c>
      <c r="O499">
        <f>IF(OR(O$4="",$A499&gt;TODAY()),0,IF(OR(INDEX($B499:$D499,O$5)="F",AND(O$6&gt;0,$A499&lt;O$6),AND(O$7&gt;0,$A499&gt;O$7)),0,MAX(0,ROUND((INDEX($E499:$G499,O$5)-SUMIFS(TF_Timer,TF_Tekniker,O$4,TF_Dato,$A499))*2,0)/2)))</f>
        <v/>
      </c>
      <c r="P499">
        <f>IF(OR(P$4="",$A499&gt;TODAY()),0,IF(OR(INDEX($B499:$D499,P$5)="F",AND(P$6&gt;0,$A499&lt;P$6),AND(P$7&gt;0,$A499&gt;P$7)),0,MAX(0,ROUND((INDEX($E499:$G499,P$5)-SUMIFS(TF_Timer,TF_Tekniker,P$4,TF_Dato,$A499))*2,0)/2)))</f>
        <v/>
      </c>
      <c r="Q499">
        <f>IF(OR(Q$4="",$A499&gt;TODAY()),0,IF(OR(INDEX($B499:$D499,Q$5)="F",AND(Q$6&gt;0,$A499&lt;Q$6),AND(Q$7&gt;0,$A499&gt;Q$7)),0,MAX(0,ROUND((INDEX($E499:$G499,Q$5)-SUMIFS(TF_Timer,TF_Tekniker,Q$4,TF_Dato,$A499))*2,0)/2)))</f>
        <v/>
      </c>
      <c r="R499">
        <f>IF(OR(R$4="",$A499&gt;TODAY()),0,IF(OR(INDEX($B499:$D499,R$5)="F",AND(R$6&gt;0,$A499&lt;R$6),AND(R$7&gt;0,$A499&gt;R$7)),0,MAX(0,ROUND((INDEX($E499:$G499,R$5)-SUMIFS(TF_Timer,TF_Tekniker,R$4,TF_Dato,$A499))*2,0)/2)))</f>
        <v/>
      </c>
      <c r="S499">
        <f>IF(OR(S$4="",$A499&gt;TODAY()),0,IF(OR(INDEX($B499:$D499,S$5)="F",AND(S$6&gt;0,$A499&lt;S$6),AND(S$7&gt;0,$A499&gt;S$7)),0,MAX(0,ROUND((INDEX($E499:$G499,S$5)-SUMIFS(TF_Timer,TF_Tekniker,S$4,TF_Dato,$A499))*2,0)/2)))</f>
        <v/>
      </c>
      <c r="T499">
        <f>IF(OR(T$4="",$A499&gt;TODAY()),0,IF(OR(INDEX($B499:$D499,T$5)="F",AND(T$6&gt;0,$A499&lt;T$6),AND(T$7&gt;0,$A499&gt;T$7)),0,MAX(0,ROUND((INDEX($E499:$G499,T$5)-SUMIFS(TF_Timer,TF_Tekniker,T$4,TF_Dato,$A499))*2,0)/2)))</f>
        <v/>
      </c>
      <c r="U499">
        <f>IF(OR(U$4="",$A499&gt;TODAY()),0,IF(OR(INDEX($B499:$D499,U$5)="F",AND(U$6&gt;0,$A499&lt;U$6),AND(U$7&gt;0,$A499&gt;U$7)),0,MAX(0,ROUND((INDEX($E499:$G499,U$5)-SUMIFS(TF_Timer,TF_Tekniker,U$4,TF_Dato,$A499))*2,0)/2)))</f>
        <v/>
      </c>
      <c r="V499">
        <f>IF(OR(V$4="",$A499&gt;TODAY()),0,IF(OR(INDEX($B499:$D499,V$5)="F",AND(V$6&gt;0,$A499&lt;V$6),AND(V$7&gt;0,$A499&gt;V$7)),0,MAX(0,ROUND((INDEX($E499:$G499,V$5)-SUMIFS(TF_Timer,TF_Tekniker,V$4,TF_Dato,$A499))*2,0)/2)))</f>
        <v/>
      </c>
      <c r="W499">
        <f>IF(OR(W$4="",$A499&gt;TODAY()),0,IF(OR(INDEX($B499:$D499,W$5)="F",AND(W$6&gt;0,$A499&lt;W$6),AND(W$7&gt;0,$A499&gt;W$7)),0,MAX(0,ROUND((INDEX($E499:$G499,W$5)-SUMIFS(TF_Timer,TF_Tekniker,W$4,TF_Dato,$A499))*2,0)/2)))</f>
        <v/>
      </c>
      <c r="X499">
        <f>IF(OR(X$4="",$A499&gt;TODAY()),0,IF(OR(INDEX($B499:$D499,X$5)="F",AND(X$6&gt;0,$A499&lt;X$6),AND(X$7&gt;0,$A499&gt;X$7)),0,MAX(0,ROUND((INDEX($E499:$G499,X$5)-SUMIFS(TF_Timer,TF_Tekniker,X$4,TF_Dato,$A499))*2,0)/2)))</f>
        <v/>
      </c>
      <c r="Y499">
        <f>IF(OR(Y$4="",$A499&gt;TODAY()),0,IF(OR(INDEX($B499:$D499,Y$5)="F",AND(Y$6&gt;0,$A499&lt;Y$6),AND(Y$7&gt;0,$A499&gt;Y$7)),0,MAX(0,ROUND((INDEX($E499:$G499,Y$5)-SUMIFS(TF_Timer,TF_Tekniker,Y$4,TF_Dato,$A499))*2,0)/2)))</f>
        <v/>
      </c>
      <c r="Z499">
        <f>IF(OR(Z$4="",$A499&gt;TODAY()),0,IF(OR(INDEX($B499:$D499,Z$5)="F",AND(Z$6&gt;0,$A499&lt;Z$6),AND(Z$7&gt;0,$A499&gt;Z$7)),0,MAX(0,ROUND((INDEX($E499:$G499,Z$5)-SUMIFS(TF_Timer,TF_Tekniker,Z$4,TF_Dato,$A499))*2,0)/2)))</f>
        <v/>
      </c>
      <c r="AA499">
        <f>IF(OR(AA$4="",$A499&gt;TODAY()),0,IF(OR(INDEX($B499:$D499,AA$5)="F",AND(AA$6&gt;0,$A499&lt;AA$6),AND(AA$7&gt;0,$A499&gt;AA$7)),0,MAX(0,ROUND((INDEX($E499:$G499,AA$5)-SUMIFS(TF_Timer,TF_Tekniker,AA$4,TF_Dato,$A499))*2,0)/2)))</f>
        <v/>
      </c>
      <c r="AB499">
        <f>IF(OR(AB$4="",$A499&gt;TODAY()),0,IF(OR(INDEX($B499:$D499,AB$5)="F",AND(AB$6&gt;0,$A499&lt;AB$6),AND(AB$7&gt;0,$A499&gt;AB$7)),0,MAX(0,ROUND((INDEX($E499:$G499,AB$5)-SUMIFS(TF_Timer,TF_Tekniker,AB$4,TF_Dato,$A499))*2,0)/2)))</f>
        <v/>
      </c>
      <c r="AC499">
        <f>IF(OR(AC$4="",$A499&gt;TODAY()),0,IF(OR(INDEX($B499:$D499,AC$5)="F",AND(AC$6&gt;0,$A499&lt;AC$6),AND(AC$7&gt;0,$A499&gt;AC$7)),0,MAX(0,ROUND((INDEX($E499:$G499,AC$5)-SUMIFS(TF_Timer,TF_Tekniker,AC$4,TF_Dato,$A499))*2,0)/2)))</f>
        <v/>
      </c>
      <c r="AD499">
        <f>IF(OR(AD$4="",$A499&gt;TODAY()),0,IF(OR(INDEX($B499:$D499,AD$5)="F",AND(AD$6&gt;0,$A499&lt;AD$6),AND(AD$7&gt;0,$A499&gt;AD$7)),0,MAX(0,ROUND((INDEX($E499:$G499,AD$5)-SUMIFS(TF_Timer,TF_Tekniker,AD$4,TF_Dato,$A499))*2,0)/2)))</f>
        <v/>
      </c>
      <c r="AE499">
        <f>IF(OR(AE$4="",$A499&gt;TODAY()),0,IF(OR(INDEX($B499:$D499,AE$5)="F",AND(AE$6&gt;0,$A499&lt;AE$6),AND(AE$7&gt;0,$A499&gt;AE$7)),0,MAX(0,ROUND((INDEX($E499:$G499,AE$5)-SUMIFS(TF_Timer,TF_Tekniker,AE$4,TF_Dato,$A499))*2,0)/2)))</f>
        <v/>
      </c>
      <c r="AF499">
        <f>IF(OR(AF$4="",$A499&gt;TODAY()),0,IF(OR(INDEX($B499:$D499,AF$5)="F",AND(AF$6&gt;0,$A499&lt;AF$6),AND(AF$7&gt;0,$A499&gt;AF$7)),0,MAX(0,ROUND((INDEX($E499:$G499,AF$5)-SUMIFS(TF_Timer,TF_Tekniker,AF$4,TF_Dato,$A499))*2,0)/2)))</f>
        <v/>
      </c>
      <c r="AG499">
        <f>IF(OR(AG$4="",$A499&gt;TODAY()),0,IF(OR(INDEX($B499:$D499,AG$5)="F",AND(AG$6&gt;0,$A499&lt;AG$6),AND(AG$7&gt;0,$A499&gt;AG$7)),0,MAX(0,ROUND((INDEX($E499:$G499,AG$5)-SUMIFS(TF_Timer,TF_Tekniker,AG$4,TF_Dato,$A499))*2,0)/2)))</f>
        <v/>
      </c>
      <c r="AH499">
        <f>IF(OR(AH$4="",$A499&gt;TODAY()),0,IF(OR(INDEX($B499:$D499,AH$5)="F",AND(AH$6&gt;0,$A499&lt;AH$6),AND(AH$7&gt;0,$A499&gt;AH$7)),0,MAX(0,ROUND((INDEX($E499:$G499,AH$5)-SUMIFS(TF_Timer,TF_Tekniker,AH$4,TF_Dato,$A499))*2,0)/2)))</f>
        <v/>
      </c>
      <c r="AI499">
        <f>IF(OR(AI$4="",$A499&gt;TODAY()),0,IF(OR(INDEX($B499:$D499,AI$5)="F",AND(AI$6&gt;0,$A499&lt;AI$6),AND(AI$7&gt;0,$A499&gt;AI$7)),0,MAX(0,ROUND((INDEX($E499:$G499,AI$5)-SUMIFS(TF_Timer,TF_Tekniker,AI$4,TF_Dato,$A499))*2,0)/2)))</f>
        <v/>
      </c>
      <c r="AJ499">
        <f>IF(OR(AJ$4="",$A499&gt;TODAY()),0,IF(OR(INDEX($B499:$D499,AJ$5)="F",AND(AJ$6&gt;0,$A499&lt;AJ$6),AND(AJ$7&gt;0,$A499&gt;AJ$7)),0,MAX(0,ROUND((INDEX($E499:$G499,AJ$5)-SUMIFS(TF_Timer,TF_Tekniker,AJ$4,TF_Dato,$A499))*2,0)/2)))</f>
        <v/>
      </c>
      <c r="AK499">
        <f>IF(OR(AK$4="",$A499&gt;TODAY()),0,IF(OR(INDEX($B499:$D499,AK$5)="F",AND(AK$6&gt;0,$A499&lt;AK$6),AND(AK$7&gt;0,$A499&gt;AK$7)),0,MAX(0,ROUND((INDEX($E499:$G499,AK$5)-SUMIFS(TF_Timer,TF_Tekniker,AK$4,TF_Dato,$A499))*2,0)/2)))</f>
        <v/>
      </c>
      <c r="AL499">
        <f>IF(OR(AL$4="",$A499&gt;TODAY()),0,IF(OR(INDEX($B499:$D499,AL$5)="F",AND(AL$6&gt;0,$A499&lt;AL$6),AND(AL$7&gt;0,$A499&gt;AL$7)),0,MAX(0,ROUND((INDEX($E499:$G499,AL$5)-SUMIFS(TF_Timer,TF_Tekniker,AL$4,TF_Dato,$A499))*2,0)/2)))</f>
        <v/>
      </c>
      <c r="AM499">
        <f>IF(OR(AM$4="",$A499&gt;TODAY()),0,IF(OR(INDEX($B499:$D499,AM$5)="F",AND(AM$6&gt;0,$A499&lt;AM$6),AND(AM$7&gt;0,$A499&gt;AM$7)),0,MAX(0,ROUND((INDEX($E499:$G499,AM$5)-SUMIFS(TF_Timer,TF_Tekniker,AM$4,TF_Dato,$A499))*2,0)/2)))</f>
        <v/>
      </c>
      <c r="AN499">
        <f>IF(OR(AN$4="",$A499&gt;TODAY()),0,IF(OR(INDEX($B499:$D499,AN$5)="F",AND(AN$6&gt;0,$A499&lt;AN$6),AND(AN$7&gt;0,$A499&gt;AN$7)),0,MAX(0,ROUND((INDEX($E499:$G499,AN$5)-SUMIFS(TF_Timer,TF_Tekniker,AN$4,TF_Dato,$A499))*2,0)/2)))</f>
        <v/>
      </c>
      <c r="AO499">
        <f>IF(OR(AO$4="",$A499&gt;TODAY()),0,IF(OR(INDEX($B499:$D499,AO$5)="F",AND(AO$6&gt;0,$A499&lt;AO$6),AND(AO$7&gt;0,$A499&gt;AO$7)),0,MAX(0,ROUND((INDEX($E499:$G499,AO$5)-SUMIFS(TF_Timer,TF_Tekniker,AO$4,TF_Dato,$A499))*2,0)/2)))</f>
        <v/>
      </c>
      <c r="AP499">
        <f>IF(OR(AP$4="",$A499&gt;TODAY()),0,IF(OR(INDEX($B499:$D499,AP$5)="F",AND(AP$6&gt;0,$A499&lt;AP$6),AND(AP$7&gt;0,$A499&gt;AP$7)),0,MAX(0,ROUND((INDEX($E499:$G499,AP$5)-SUMIFS(TF_Timer,TF_Tekniker,AP$4,TF_Dato,$A499))*2,0)/2)))</f>
        <v/>
      </c>
      <c r="AQ499">
        <f>IF(OR(AQ$4="",$A499&gt;TODAY()),0,IF(OR(INDEX($B499:$D499,AQ$5)="F",AND(AQ$6&gt;0,$A499&lt;AQ$6),AND(AQ$7&gt;0,$A499&gt;AQ$7)),0,MAX(0,ROUND((INDEX($E499:$G499,AQ$5)-SUMIFS(TF_Timer,TF_Tekniker,AQ$4,TF_Dato,$A499))*2,0)/2)))</f>
        <v/>
      </c>
      <c r="AR499">
        <f>IF(OR(AR$4="",$A499&gt;TODAY()),0,IF(OR(INDEX($B499:$D499,AR$5)="F",AND(AR$6&gt;0,$A499&lt;AR$6),AND(AR$7&gt;0,$A499&gt;AR$7)),0,MAX(0,ROUND((INDEX($E499:$G499,AR$5)-SUMIFS(TF_Timer,TF_Tekniker,AR$4,TF_Dato,$A499))*2,0)/2)))</f>
        <v/>
      </c>
      <c r="AS499">
        <f>IF(OR(AS$4="",$A499&gt;TODAY()),0,IF(OR(INDEX($B499:$D499,AS$5)="F",AND(AS$6&gt;0,$A499&lt;AS$6),AND(AS$7&gt;0,$A499&gt;AS$7)),0,MAX(0,ROUND((INDEX($E499:$G499,AS$5)-SUMIFS(TF_Timer,TF_Tekniker,AS$4,TF_Dato,$A499))*2,0)/2)))</f>
        <v/>
      </c>
      <c r="AT499">
        <f>IF(OR(AT$4="",$A499&gt;TODAY()),0,IF(OR(INDEX($B499:$D499,AT$5)="F",AND(AT$6&gt;0,$A499&lt;AT$6),AND(AT$7&gt;0,$A499&gt;AT$7)),0,MAX(0,ROUND((INDEX($E499:$G499,AT$5)-SUMIFS(TF_Timer,TF_Tekniker,AT$4,TF_Dato,$A499))*2,0)/2)))</f>
        <v/>
      </c>
      <c r="AU499">
        <f>IF(OR(AU$4="",$A499&gt;TODAY()),0,IF(OR(INDEX($B499:$D499,AU$5)="F",AND(AU$6&gt;0,$A499&lt;AU$6),AND(AU$7&gt;0,$A499&gt;AU$7)),0,MAX(0,ROUND((INDEX($E499:$G499,AU$5)-SUMIFS(TF_Timer,TF_Tekniker,AU$4,TF_Dato,$A499))*2,0)/2)))</f>
        <v/>
      </c>
      <c r="AV499">
        <f>IF(OR(AV$4="",$A499&gt;TODAY()),0,IF(OR(INDEX($B499:$D499,AV$5)="F",AND(AV$6&gt;0,$A499&lt;AV$6),AND(AV$7&gt;0,$A499&gt;AV$7)),0,MAX(0,ROUND((INDEX($E499:$G499,AV$5)-SUMIFS(TF_Timer,TF_Tekniker,AV$4,TF_Dato,$A499))*2,0)/2)))</f>
        <v/>
      </c>
      <c r="AW499">
        <f>IF(OR(AW$4="",$A499&gt;TODAY()),0,IF(OR(INDEX($B499:$D499,AW$5)="F",AND(AW$6&gt;0,$A499&lt;AW$6),AND(AW$7&gt;0,$A499&gt;AW$7)),0,MAX(0,ROUND((INDEX($E499:$G499,AW$5)-SUMIFS(TF_Timer,TF_Tekniker,AW$4,TF_Dato,$A499))*2,0)/2)))</f>
        <v/>
      </c>
      <c r="AX499">
        <f>IF(OR(AX$4="",$A499&gt;TODAY()),0,IF(OR(INDEX($B499:$D499,AX$5)="F",AND(AX$6&gt;0,$A499&lt;AX$6),AND(AX$7&gt;0,$A499&gt;AX$7)),0,MAX(0,ROUND((INDEX($E499:$G499,AX$5)-SUMIFS(TF_Timer,TF_Tekniker,AX$4,TF_Dato,$A499))*2,0)/2)))</f>
        <v/>
      </c>
      <c r="AY499">
        <f>IF(OR(AY$4="",$A499&gt;TODAY()),0,IF(OR(INDEX($B499:$D499,AY$5)="F",AND(AY$6&gt;0,$A499&lt;AY$6),AND(AY$7&gt;0,$A499&gt;AY$7)),0,MAX(0,ROUND((INDEX($E499:$G499,AY$5)-SUMIFS(TF_Timer,TF_Tekniker,AY$4,TF_Dato,$A499))*2,0)/2)))</f>
        <v/>
      </c>
      <c r="AZ499">
        <f>IF(OR(AZ$4="",$A499&gt;TODAY()),0,IF(OR(INDEX($B499:$D499,AZ$5)="F",AND(AZ$6&gt;0,$A499&lt;AZ$6),AND(AZ$7&gt;0,$A499&gt;AZ$7)),0,MAX(0,ROUND((INDEX($E499:$G499,AZ$5)-SUMIFS(TF_Timer,TF_Tekniker,AZ$4,TF_Dato,$A499))*2,0)/2)))</f>
        <v/>
      </c>
      <c r="BA499">
        <f>IF(OR(BA$4="",$A499&gt;TODAY()),0,IF(OR(INDEX($B499:$D499,BA$5)="F",AND(BA$6&gt;0,$A499&lt;BA$6),AND(BA$7&gt;0,$A499&gt;BA$7)),0,MAX(0,ROUND((INDEX($E499:$G499,BA$5)-SUMIFS(TF_Timer,TF_Tekniker,BA$4,TF_Dato,$A499))*2,0)/2)))</f>
        <v/>
      </c>
      <c r="BB499">
        <f>IF(OR(BB$4="",$A499&gt;TODAY()),0,IF(OR(INDEX($B499:$D499,BB$5)="F",AND(BB$6&gt;0,$A499&lt;BB$6),AND(BB$7&gt;0,$A499&gt;BB$7)),0,MAX(0,ROUND((INDEX($E499:$G499,BB$5)-SUMIFS(TF_Timer,TF_Tekniker,BB$4,TF_Dato,$A499))*2,0)/2)))</f>
        <v/>
      </c>
      <c r="BC499">
        <f>IF(OR(BC$4="",$A499&gt;TODAY()),0,IF(OR(INDEX($B499:$D499,BC$5)="F",AND(BC$6&gt;0,$A499&lt;BC$6),AND(BC$7&gt;0,$A499&gt;BC$7)),0,MAX(0,ROUND((INDEX($E499:$G499,BC$5)-SUMIFS(TF_Timer,TF_Tekniker,BC$4,TF_Dato,$A499))*2,0)/2)))</f>
        <v/>
      </c>
      <c r="BD499">
        <f>IF(OR(BD$4="",$A499&gt;TODAY()),0,IF(OR(INDEX($B499:$D499,BD$5)="F",AND(BD$6&gt;0,$A499&lt;BD$6),AND(BD$7&gt;0,$A499&gt;BD$7)),0,MAX(0,ROUND((INDEX($E499:$G499,BD$5)-SUMIFS(TF_Timer,TF_Tekniker,BD$4,TF_Dato,$A499))*2,0)/2)))</f>
        <v/>
      </c>
      <c r="BE499">
        <f>IF(OR(BE$4="",$A499&gt;TODAY()),0,IF(OR(INDEX($B499:$D499,BE$5)="F",AND(BE$6&gt;0,$A499&lt;BE$6),AND(BE$7&gt;0,$A499&gt;BE$7)),0,MAX(0,ROUND((INDEX($E499:$G499,BE$5)-SUMIFS(TF_Timer,TF_Tekniker,BE$4,TF_Dato,$A499))*2,0)/2)))</f>
        <v/>
      </c>
      <c r="BF499">
        <f>IF(OR(BF$4="",$A499&gt;TODAY()),0,IF(OR(INDEX($B499:$D499,BF$5)="F",AND(BF$6&gt;0,$A499&lt;BF$6),AND(BF$7&gt;0,$A499&gt;BF$7)),0,MAX(0,ROUND((INDEX($E499:$G499,BF$5)-SUMIFS(TF_Timer,TF_Tekniker,BF$4,TF_Dato,$A499))*2,0)/2)))</f>
        <v/>
      </c>
      <c r="BG499">
        <f>IF(OR(BG$4="",$A499&gt;TODAY()),0,IF(OR(INDEX($B499:$D499,BG$5)="F",AND(BG$6&gt;0,$A499&lt;BG$6),AND(BG$7&gt;0,$A499&gt;BG$7)),0,MAX(0,ROUND((INDEX($E499:$G499,BG$5)-SUMIFS(TF_Timer,TF_Tekniker,BG$4,TF_Dato,$A499))*2,0)/2)))</f>
        <v/>
      </c>
      <c r="BH499">
        <f>IF(OR(BH$4="",$A499&gt;TODAY()),0,IF(OR(INDEX($B499:$D499,BH$5)="F",AND(BH$6&gt;0,$A499&lt;BH$6),AND(BH$7&gt;0,$A499&gt;BH$7)),0,MAX(0,ROUND((INDEX($E499:$G499,BH$5)-SUMIFS(TF_Timer,TF_Tekniker,BH$4,TF_Dato,$A499))*2,0)/2)))</f>
        <v/>
      </c>
      <c r="BI499">
        <f>IF(OR(BI$4="",$A499&gt;TODAY()),0,IF(OR(INDEX($B499:$D499,BI$5)="F",AND(BI$6&gt;0,$A499&lt;BI$6),AND(BI$7&gt;0,$A499&gt;BI$7)),0,MAX(0,ROUND((INDEX($E499:$G499,BI$5)-SUMIFS(TF_Timer,TF_Tekniker,BI$4,TF_Dato,$A499))*2,0)/2)))</f>
        <v/>
      </c>
    </row>
    <row r="500">
      <c r="A500" s="64">
        <f>A499+1</f>
        <v/>
      </c>
      <c r="B500">
        <f>IF(MOD($A500-INDEX(SkiftStart,1),Syklus)&lt;DagK,"K",IF(MOD($A500-INDEX(SkiftStart,1),Syklus)&lt;DagK+DagH,"H",IF(MOD($A500-INDEX(SkiftStart,1),Syklus)&lt;DagK+DagH+DagD,"D","F")))</f>
        <v/>
      </c>
      <c r="C500">
        <f>IF(MOD($A500-INDEX(SkiftStart,2),Syklus)&lt;DagK,"K",IF(MOD($A500-INDEX(SkiftStart,2),Syklus)&lt;DagK+DagH,"H",IF(MOD($A500-INDEX(SkiftStart,2),Syklus)&lt;DagK+DagH+DagD,"D","F")))</f>
        <v/>
      </c>
      <c r="D500">
        <f>IF(MOD($A500-INDEX(SkiftStart,3),Syklus)&lt;DagK,"K",IF(MOD($A500-INDEX(SkiftStart,3),Syklus)&lt;DagK+DagH,"H",IF(MOD($A500-INDEX(SkiftStart,3),Syklus)&lt;DagK+DagH+DagD,"D","F")))</f>
        <v/>
      </c>
      <c r="E500">
        <f>IF(B500="F",0,IF(WEEKDAY($A500,2)=5,INDEX(TimerFr,MATCH(B500,FaseKode,0)),INDEX(TimerMT,MATCH(B500,FaseKode,0))))</f>
        <v/>
      </c>
      <c r="F500">
        <f>IF(C500="F",0,IF(WEEKDAY($A500,2)=5,INDEX(TimerFr,MATCH(C500,FaseKode,0)),INDEX(TimerMT,MATCH(C500,FaseKode,0))))</f>
        <v/>
      </c>
      <c r="G500">
        <f>IF(D500="F",0,IF(WEEKDAY($A500,2)=5,INDEX(TimerFr,MATCH(D500,FaseKode,0)),INDEX(TimerMT,MATCH(D500,FaseKode,0))))</f>
        <v/>
      </c>
      <c r="H500">
        <f>IF(OR(H$4="",$A500&gt;TODAY()),0,IF(OR(INDEX($B500:$D500,H$5)="F",AND(H$6&gt;0,$A500&lt;H$6),AND(H$7&gt;0,$A500&gt;H$7)),0,MAX(0,ROUND((INDEX($E500:$G500,H$5)-SUMIFS(TF_Timer,TF_Tekniker,H$4,TF_Dato,$A500))*2,0)/2)))</f>
        <v/>
      </c>
      <c r="I500">
        <f>IF(OR(I$4="",$A500&gt;TODAY()),0,IF(OR(INDEX($B500:$D500,I$5)="F",AND(I$6&gt;0,$A500&lt;I$6),AND(I$7&gt;0,$A500&gt;I$7)),0,MAX(0,ROUND((INDEX($E500:$G500,I$5)-SUMIFS(TF_Timer,TF_Tekniker,I$4,TF_Dato,$A500))*2,0)/2)))</f>
        <v/>
      </c>
      <c r="J500">
        <f>IF(OR(J$4="",$A500&gt;TODAY()),0,IF(OR(INDEX($B500:$D500,J$5)="F",AND(J$6&gt;0,$A500&lt;J$6),AND(J$7&gt;0,$A500&gt;J$7)),0,MAX(0,ROUND((INDEX($E500:$G500,J$5)-SUMIFS(TF_Timer,TF_Tekniker,J$4,TF_Dato,$A500))*2,0)/2)))</f>
        <v/>
      </c>
      <c r="K500">
        <f>IF(OR(K$4="",$A500&gt;TODAY()),0,IF(OR(INDEX($B500:$D500,K$5)="F",AND(K$6&gt;0,$A500&lt;K$6),AND(K$7&gt;0,$A500&gt;K$7)),0,MAX(0,ROUND((INDEX($E500:$G500,K$5)-SUMIFS(TF_Timer,TF_Tekniker,K$4,TF_Dato,$A500))*2,0)/2)))</f>
        <v/>
      </c>
      <c r="L500">
        <f>IF(OR(L$4="",$A500&gt;TODAY()),0,IF(OR(INDEX($B500:$D500,L$5)="F",AND(L$6&gt;0,$A500&lt;L$6),AND(L$7&gt;0,$A500&gt;L$7)),0,MAX(0,ROUND((INDEX($E500:$G500,L$5)-SUMIFS(TF_Timer,TF_Tekniker,L$4,TF_Dato,$A500))*2,0)/2)))</f>
        <v/>
      </c>
      <c r="M500">
        <f>IF(OR(M$4="",$A500&gt;TODAY()),0,IF(OR(INDEX($B500:$D500,M$5)="F",AND(M$6&gt;0,$A500&lt;M$6),AND(M$7&gt;0,$A500&gt;M$7)),0,MAX(0,ROUND((INDEX($E500:$G500,M$5)-SUMIFS(TF_Timer,TF_Tekniker,M$4,TF_Dato,$A500))*2,0)/2)))</f>
        <v/>
      </c>
      <c r="N500">
        <f>IF(OR(N$4="",$A500&gt;TODAY()),0,IF(OR(INDEX($B500:$D500,N$5)="F",AND(N$6&gt;0,$A500&lt;N$6),AND(N$7&gt;0,$A500&gt;N$7)),0,MAX(0,ROUND((INDEX($E500:$G500,N$5)-SUMIFS(TF_Timer,TF_Tekniker,N$4,TF_Dato,$A500))*2,0)/2)))</f>
        <v/>
      </c>
      <c r="O500">
        <f>IF(OR(O$4="",$A500&gt;TODAY()),0,IF(OR(INDEX($B500:$D500,O$5)="F",AND(O$6&gt;0,$A500&lt;O$6),AND(O$7&gt;0,$A500&gt;O$7)),0,MAX(0,ROUND((INDEX($E500:$G500,O$5)-SUMIFS(TF_Timer,TF_Tekniker,O$4,TF_Dato,$A500))*2,0)/2)))</f>
        <v/>
      </c>
      <c r="P500">
        <f>IF(OR(P$4="",$A500&gt;TODAY()),0,IF(OR(INDEX($B500:$D500,P$5)="F",AND(P$6&gt;0,$A500&lt;P$6),AND(P$7&gt;0,$A500&gt;P$7)),0,MAX(0,ROUND((INDEX($E500:$G500,P$5)-SUMIFS(TF_Timer,TF_Tekniker,P$4,TF_Dato,$A500))*2,0)/2)))</f>
        <v/>
      </c>
      <c r="Q500">
        <f>IF(OR(Q$4="",$A500&gt;TODAY()),0,IF(OR(INDEX($B500:$D500,Q$5)="F",AND(Q$6&gt;0,$A500&lt;Q$6),AND(Q$7&gt;0,$A500&gt;Q$7)),0,MAX(0,ROUND((INDEX($E500:$G500,Q$5)-SUMIFS(TF_Timer,TF_Tekniker,Q$4,TF_Dato,$A500))*2,0)/2)))</f>
        <v/>
      </c>
      <c r="R500">
        <f>IF(OR(R$4="",$A500&gt;TODAY()),0,IF(OR(INDEX($B500:$D500,R$5)="F",AND(R$6&gt;0,$A500&lt;R$6),AND(R$7&gt;0,$A500&gt;R$7)),0,MAX(0,ROUND((INDEX($E500:$G500,R$5)-SUMIFS(TF_Timer,TF_Tekniker,R$4,TF_Dato,$A500))*2,0)/2)))</f>
        <v/>
      </c>
      <c r="S500">
        <f>IF(OR(S$4="",$A500&gt;TODAY()),0,IF(OR(INDEX($B500:$D500,S$5)="F",AND(S$6&gt;0,$A500&lt;S$6),AND(S$7&gt;0,$A500&gt;S$7)),0,MAX(0,ROUND((INDEX($E500:$G500,S$5)-SUMIFS(TF_Timer,TF_Tekniker,S$4,TF_Dato,$A500))*2,0)/2)))</f>
        <v/>
      </c>
      <c r="T500">
        <f>IF(OR(T$4="",$A500&gt;TODAY()),0,IF(OR(INDEX($B500:$D500,T$5)="F",AND(T$6&gt;0,$A500&lt;T$6),AND(T$7&gt;0,$A500&gt;T$7)),0,MAX(0,ROUND((INDEX($E500:$G500,T$5)-SUMIFS(TF_Timer,TF_Tekniker,T$4,TF_Dato,$A500))*2,0)/2)))</f>
        <v/>
      </c>
      <c r="U500">
        <f>IF(OR(U$4="",$A500&gt;TODAY()),0,IF(OR(INDEX($B500:$D500,U$5)="F",AND(U$6&gt;0,$A500&lt;U$6),AND(U$7&gt;0,$A500&gt;U$7)),0,MAX(0,ROUND((INDEX($E500:$G500,U$5)-SUMIFS(TF_Timer,TF_Tekniker,U$4,TF_Dato,$A500))*2,0)/2)))</f>
        <v/>
      </c>
      <c r="V500">
        <f>IF(OR(V$4="",$A500&gt;TODAY()),0,IF(OR(INDEX($B500:$D500,V$5)="F",AND(V$6&gt;0,$A500&lt;V$6),AND(V$7&gt;0,$A500&gt;V$7)),0,MAX(0,ROUND((INDEX($E500:$G500,V$5)-SUMIFS(TF_Timer,TF_Tekniker,V$4,TF_Dato,$A500))*2,0)/2)))</f>
        <v/>
      </c>
      <c r="W500">
        <f>IF(OR(W$4="",$A500&gt;TODAY()),0,IF(OR(INDEX($B500:$D500,W$5)="F",AND(W$6&gt;0,$A500&lt;W$6),AND(W$7&gt;0,$A500&gt;W$7)),0,MAX(0,ROUND((INDEX($E500:$G500,W$5)-SUMIFS(TF_Timer,TF_Tekniker,W$4,TF_Dato,$A500))*2,0)/2)))</f>
        <v/>
      </c>
      <c r="X500">
        <f>IF(OR(X$4="",$A500&gt;TODAY()),0,IF(OR(INDEX($B500:$D500,X$5)="F",AND(X$6&gt;0,$A500&lt;X$6),AND(X$7&gt;0,$A500&gt;X$7)),0,MAX(0,ROUND((INDEX($E500:$G500,X$5)-SUMIFS(TF_Timer,TF_Tekniker,X$4,TF_Dato,$A500))*2,0)/2)))</f>
        <v/>
      </c>
      <c r="Y500">
        <f>IF(OR(Y$4="",$A500&gt;TODAY()),0,IF(OR(INDEX($B500:$D500,Y$5)="F",AND(Y$6&gt;0,$A500&lt;Y$6),AND(Y$7&gt;0,$A500&gt;Y$7)),0,MAX(0,ROUND((INDEX($E500:$G500,Y$5)-SUMIFS(TF_Timer,TF_Tekniker,Y$4,TF_Dato,$A500))*2,0)/2)))</f>
        <v/>
      </c>
      <c r="Z500">
        <f>IF(OR(Z$4="",$A500&gt;TODAY()),0,IF(OR(INDEX($B500:$D500,Z$5)="F",AND(Z$6&gt;0,$A500&lt;Z$6),AND(Z$7&gt;0,$A500&gt;Z$7)),0,MAX(0,ROUND((INDEX($E500:$G500,Z$5)-SUMIFS(TF_Timer,TF_Tekniker,Z$4,TF_Dato,$A500))*2,0)/2)))</f>
        <v/>
      </c>
      <c r="AA500">
        <f>IF(OR(AA$4="",$A500&gt;TODAY()),0,IF(OR(INDEX($B500:$D500,AA$5)="F",AND(AA$6&gt;0,$A500&lt;AA$6),AND(AA$7&gt;0,$A500&gt;AA$7)),0,MAX(0,ROUND((INDEX($E500:$G500,AA$5)-SUMIFS(TF_Timer,TF_Tekniker,AA$4,TF_Dato,$A500))*2,0)/2)))</f>
        <v/>
      </c>
      <c r="AB500">
        <f>IF(OR(AB$4="",$A500&gt;TODAY()),0,IF(OR(INDEX($B500:$D500,AB$5)="F",AND(AB$6&gt;0,$A500&lt;AB$6),AND(AB$7&gt;0,$A500&gt;AB$7)),0,MAX(0,ROUND((INDEX($E500:$G500,AB$5)-SUMIFS(TF_Timer,TF_Tekniker,AB$4,TF_Dato,$A500))*2,0)/2)))</f>
        <v/>
      </c>
      <c r="AC500">
        <f>IF(OR(AC$4="",$A500&gt;TODAY()),0,IF(OR(INDEX($B500:$D500,AC$5)="F",AND(AC$6&gt;0,$A500&lt;AC$6),AND(AC$7&gt;0,$A500&gt;AC$7)),0,MAX(0,ROUND((INDEX($E500:$G500,AC$5)-SUMIFS(TF_Timer,TF_Tekniker,AC$4,TF_Dato,$A500))*2,0)/2)))</f>
        <v/>
      </c>
      <c r="AD500">
        <f>IF(OR(AD$4="",$A500&gt;TODAY()),0,IF(OR(INDEX($B500:$D500,AD$5)="F",AND(AD$6&gt;0,$A500&lt;AD$6),AND(AD$7&gt;0,$A500&gt;AD$7)),0,MAX(0,ROUND((INDEX($E500:$G500,AD$5)-SUMIFS(TF_Timer,TF_Tekniker,AD$4,TF_Dato,$A500))*2,0)/2)))</f>
        <v/>
      </c>
      <c r="AE500">
        <f>IF(OR(AE$4="",$A500&gt;TODAY()),0,IF(OR(INDEX($B500:$D500,AE$5)="F",AND(AE$6&gt;0,$A500&lt;AE$6),AND(AE$7&gt;0,$A500&gt;AE$7)),0,MAX(0,ROUND((INDEX($E500:$G500,AE$5)-SUMIFS(TF_Timer,TF_Tekniker,AE$4,TF_Dato,$A500))*2,0)/2)))</f>
        <v/>
      </c>
      <c r="AF500">
        <f>IF(OR(AF$4="",$A500&gt;TODAY()),0,IF(OR(INDEX($B500:$D500,AF$5)="F",AND(AF$6&gt;0,$A500&lt;AF$6),AND(AF$7&gt;0,$A500&gt;AF$7)),0,MAX(0,ROUND((INDEX($E500:$G500,AF$5)-SUMIFS(TF_Timer,TF_Tekniker,AF$4,TF_Dato,$A500))*2,0)/2)))</f>
        <v/>
      </c>
      <c r="AG500">
        <f>IF(OR(AG$4="",$A500&gt;TODAY()),0,IF(OR(INDEX($B500:$D500,AG$5)="F",AND(AG$6&gt;0,$A500&lt;AG$6),AND(AG$7&gt;0,$A500&gt;AG$7)),0,MAX(0,ROUND((INDEX($E500:$G500,AG$5)-SUMIFS(TF_Timer,TF_Tekniker,AG$4,TF_Dato,$A500))*2,0)/2)))</f>
        <v/>
      </c>
      <c r="AH500">
        <f>IF(OR(AH$4="",$A500&gt;TODAY()),0,IF(OR(INDEX($B500:$D500,AH$5)="F",AND(AH$6&gt;0,$A500&lt;AH$6),AND(AH$7&gt;0,$A500&gt;AH$7)),0,MAX(0,ROUND((INDEX($E500:$G500,AH$5)-SUMIFS(TF_Timer,TF_Tekniker,AH$4,TF_Dato,$A500))*2,0)/2)))</f>
        <v/>
      </c>
      <c r="AI500">
        <f>IF(OR(AI$4="",$A500&gt;TODAY()),0,IF(OR(INDEX($B500:$D500,AI$5)="F",AND(AI$6&gt;0,$A500&lt;AI$6),AND(AI$7&gt;0,$A500&gt;AI$7)),0,MAX(0,ROUND((INDEX($E500:$G500,AI$5)-SUMIFS(TF_Timer,TF_Tekniker,AI$4,TF_Dato,$A500))*2,0)/2)))</f>
        <v/>
      </c>
      <c r="AJ500">
        <f>IF(OR(AJ$4="",$A500&gt;TODAY()),0,IF(OR(INDEX($B500:$D500,AJ$5)="F",AND(AJ$6&gt;0,$A500&lt;AJ$6),AND(AJ$7&gt;0,$A500&gt;AJ$7)),0,MAX(0,ROUND((INDEX($E500:$G500,AJ$5)-SUMIFS(TF_Timer,TF_Tekniker,AJ$4,TF_Dato,$A500))*2,0)/2)))</f>
        <v/>
      </c>
      <c r="AK500">
        <f>IF(OR(AK$4="",$A500&gt;TODAY()),0,IF(OR(INDEX($B500:$D500,AK$5)="F",AND(AK$6&gt;0,$A500&lt;AK$6),AND(AK$7&gt;0,$A500&gt;AK$7)),0,MAX(0,ROUND((INDEX($E500:$G500,AK$5)-SUMIFS(TF_Timer,TF_Tekniker,AK$4,TF_Dato,$A500))*2,0)/2)))</f>
        <v/>
      </c>
      <c r="AL500">
        <f>IF(OR(AL$4="",$A500&gt;TODAY()),0,IF(OR(INDEX($B500:$D500,AL$5)="F",AND(AL$6&gt;0,$A500&lt;AL$6),AND(AL$7&gt;0,$A500&gt;AL$7)),0,MAX(0,ROUND((INDEX($E500:$G500,AL$5)-SUMIFS(TF_Timer,TF_Tekniker,AL$4,TF_Dato,$A500))*2,0)/2)))</f>
        <v/>
      </c>
      <c r="AM500">
        <f>IF(OR(AM$4="",$A500&gt;TODAY()),0,IF(OR(INDEX($B500:$D500,AM$5)="F",AND(AM$6&gt;0,$A500&lt;AM$6),AND(AM$7&gt;0,$A500&gt;AM$7)),0,MAX(0,ROUND((INDEX($E500:$G500,AM$5)-SUMIFS(TF_Timer,TF_Tekniker,AM$4,TF_Dato,$A500))*2,0)/2)))</f>
        <v/>
      </c>
      <c r="AN500">
        <f>IF(OR(AN$4="",$A500&gt;TODAY()),0,IF(OR(INDEX($B500:$D500,AN$5)="F",AND(AN$6&gt;0,$A500&lt;AN$6),AND(AN$7&gt;0,$A500&gt;AN$7)),0,MAX(0,ROUND((INDEX($E500:$G500,AN$5)-SUMIFS(TF_Timer,TF_Tekniker,AN$4,TF_Dato,$A500))*2,0)/2)))</f>
        <v/>
      </c>
      <c r="AO500">
        <f>IF(OR(AO$4="",$A500&gt;TODAY()),0,IF(OR(INDEX($B500:$D500,AO$5)="F",AND(AO$6&gt;0,$A500&lt;AO$6),AND(AO$7&gt;0,$A500&gt;AO$7)),0,MAX(0,ROUND((INDEX($E500:$G500,AO$5)-SUMIFS(TF_Timer,TF_Tekniker,AO$4,TF_Dato,$A500))*2,0)/2)))</f>
        <v/>
      </c>
      <c r="AP500">
        <f>IF(OR(AP$4="",$A500&gt;TODAY()),0,IF(OR(INDEX($B500:$D500,AP$5)="F",AND(AP$6&gt;0,$A500&lt;AP$6),AND(AP$7&gt;0,$A500&gt;AP$7)),0,MAX(0,ROUND((INDEX($E500:$G500,AP$5)-SUMIFS(TF_Timer,TF_Tekniker,AP$4,TF_Dato,$A500))*2,0)/2)))</f>
        <v/>
      </c>
      <c r="AQ500">
        <f>IF(OR(AQ$4="",$A500&gt;TODAY()),0,IF(OR(INDEX($B500:$D500,AQ$5)="F",AND(AQ$6&gt;0,$A500&lt;AQ$6),AND(AQ$7&gt;0,$A500&gt;AQ$7)),0,MAX(0,ROUND((INDEX($E500:$G500,AQ$5)-SUMIFS(TF_Timer,TF_Tekniker,AQ$4,TF_Dato,$A500))*2,0)/2)))</f>
        <v/>
      </c>
      <c r="AR500">
        <f>IF(OR(AR$4="",$A500&gt;TODAY()),0,IF(OR(INDEX($B500:$D500,AR$5)="F",AND(AR$6&gt;0,$A500&lt;AR$6),AND(AR$7&gt;0,$A500&gt;AR$7)),0,MAX(0,ROUND((INDEX($E500:$G500,AR$5)-SUMIFS(TF_Timer,TF_Tekniker,AR$4,TF_Dato,$A500))*2,0)/2)))</f>
        <v/>
      </c>
      <c r="AS500">
        <f>IF(OR(AS$4="",$A500&gt;TODAY()),0,IF(OR(INDEX($B500:$D500,AS$5)="F",AND(AS$6&gt;0,$A500&lt;AS$6),AND(AS$7&gt;0,$A500&gt;AS$7)),0,MAX(0,ROUND((INDEX($E500:$G500,AS$5)-SUMIFS(TF_Timer,TF_Tekniker,AS$4,TF_Dato,$A500))*2,0)/2)))</f>
        <v/>
      </c>
      <c r="AT500">
        <f>IF(OR(AT$4="",$A500&gt;TODAY()),0,IF(OR(INDEX($B500:$D500,AT$5)="F",AND(AT$6&gt;0,$A500&lt;AT$6),AND(AT$7&gt;0,$A500&gt;AT$7)),0,MAX(0,ROUND((INDEX($E500:$G500,AT$5)-SUMIFS(TF_Timer,TF_Tekniker,AT$4,TF_Dato,$A500))*2,0)/2)))</f>
        <v/>
      </c>
      <c r="AU500">
        <f>IF(OR(AU$4="",$A500&gt;TODAY()),0,IF(OR(INDEX($B500:$D500,AU$5)="F",AND(AU$6&gt;0,$A500&lt;AU$6),AND(AU$7&gt;0,$A500&gt;AU$7)),0,MAX(0,ROUND((INDEX($E500:$G500,AU$5)-SUMIFS(TF_Timer,TF_Tekniker,AU$4,TF_Dato,$A500))*2,0)/2)))</f>
        <v/>
      </c>
      <c r="AV500">
        <f>IF(OR(AV$4="",$A500&gt;TODAY()),0,IF(OR(INDEX($B500:$D500,AV$5)="F",AND(AV$6&gt;0,$A500&lt;AV$6),AND(AV$7&gt;0,$A500&gt;AV$7)),0,MAX(0,ROUND((INDEX($E500:$G500,AV$5)-SUMIFS(TF_Timer,TF_Tekniker,AV$4,TF_Dato,$A500))*2,0)/2)))</f>
        <v/>
      </c>
      <c r="AW500">
        <f>IF(OR(AW$4="",$A500&gt;TODAY()),0,IF(OR(INDEX($B500:$D500,AW$5)="F",AND(AW$6&gt;0,$A500&lt;AW$6),AND(AW$7&gt;0,$A500&gt;AW$7)),0,MAX(0,ROUND((INDEX($E500:$G500,AW$5)-SUMIFS(TF_Timer,TF_Tekniker,AW$4,TF_Dato,$A500))*2,0)/2)))</f>
        <v/>
      </c>
      <c r="AX500">
        <f>IF(OR(AX$4="",$A500&gt;TODAY()),0,IF(OR(INDEX($B500:$D500,AX$5)="F",AND(AX$6&gt;0,$A500&lt;AX$6),AND(AX$7&gt;0,$A500&gt;AX$7)),0,MAX(0,ROUND((INDEX($E500:$G500,AX$5)-SUMIFS(TF_Timer,TF_Tekniker,AX$4,TF_Dato,$A500))*2,0)/2)))</f>
        <v/>
      </c>
      <c r="AY500">
        <f>IF(OR(AY$4="",$A500&gt;TODAY()),0,IF(OR(INDEX($B500:$D500,AY$5)="F",AND(AY$6&gt;0,$A500&lt;AY$6),AND(AY$7&gt;0,$A500&gt;AY$7)),0,MAX(0,ROUND((INDEX($E500:$G500,AY$5)-SUMIFS(TF_Timer,TF_Tekniker,AY$4,TF_Dato,$A500))*2,0)/2)))</f>
        <v/>
      </c>
      <c r="AZ500">
        <f>IF(OR(AZ$4="",$A500&gt;TODAY()),0,IF(OR(INDEX($B500:$D500,AZ$5)="F",AND(AZ$6&gt;0,$A500&lt;AZ$6),AND(AZ$7&gt;0,$A500&gt;AZ$7)),0,MAX(0,ROUND((INDEX($E500:$G500,AZ$5)-SUMIFS(TF_Timer,TF_Tekniker,AZ$4,TF_Dato,$A500))*2,0)/2)))</f>
        <v/>
      </c>
      <c r="BA500">
        <f>IF(OR(BA$4="",$A500&gt;TODAY()),0,IF(OR(INDEX($B500:$D500,BA$5)="F",AND(BA$6&gt;0,$A500&lt;BA$6),AND(BA$7&gt;0,$A500&gt;BA$7)),0,MAX(0,ROUND((INDEX($E500:$G500,BA$5)-SUMIFS(TF_Timer,TF_Tekniker,BA$4,TF_Dato,$A500))*2,0)/2)))</f>
        <v/>
      </c>
      <c r="BB500">
        <f>IF(OR(BB$4="",$A500&gt;TODAY()),0,IF(OR(INDEX($B500:$D500,BB$5)="F",AND(BB$6&gt;0,$A500&lt;BB$6),AND(BB$7&gt;0,$A500&gt;BB$7)),0,MAX(0,ROUND((INDEX($E500:$G500,BB$5)-SUMIFS(TF_Timer,TF_Tekniker,BB$4,TF_Dato,$A500))*2,0)/2)))</f>
        <v/>
      </c>
      <c r="BC500">
        <f>IF(OR(BC$4="",$A500&gt;TODAY()),0,IF(OR(INDEX($B500:$D500,BC$5)="F",AND(BC$6&gt;0,$A500&lt;BC$6),AND(BC$7&gt;0,$A500&gt;BC$7)),0,MAX(0,ROUND((INDEX($E500:$G500,BC$5)-SUMIFS(TF_Timer,TF_Tekniker,BC$4,TF_Dato,$A500))*2,0)/2)))</f>
        <v/>
      </c>
      <c r="BD500">
        <f>IF(OR(BD$4="",$A500&gt;TODAY()),0,IF(OR(INDEX($B500:$D500,BD$5)="F",AND(BD$6&gt;0,$A500&lt;BD$6),AND(BD$7&gt;0,$A500&gt;BD$7)),0,MAX(0,ROUND((INDEX($E500:$G500,BD$5)-SUMIFS(TF_Timer,TF_Tekniker,BD$4,TF_Dato,$A500))*2,0)/2)))</f>
        <v/>
      </c>
      <c r="BE500">
        <f>IF(OR(BE$4="",$A500&gt;TODAY()),0,IF(OR(INDEX($B500:$D500,BE$5)="F",AND(BE$6&gt;0,$A500&lt;BE$6),AND(BE$7&gt;0,$A500&gt;BE$7)),0,MAX(0,ROUND((INDEX($E500:$G500,BE$5)-SUMIFS(TF_Timer,TF_Tekniker,BE$4,TF_Dato,$A500))*2,0)/2)))</f>
        <v/>
      </c>
      <c r="BF500">
        <f>IF(OR(BF$4="",$A500&gt;TODAY()),0,IF(OR(INDEX($B500:$D500,BF$5)="F",AND(BF$6&gt;0,$A500&lt;BF$6),AND(BF$7&gt;0,$A500&gt;BF$7)),0,MAX(0,ROUND((INDEX($E500:$G500,BF$5)-SUMIFS(TF_Timer,TF_Tekniker,BF$4,TF_Dato,$A500))*2,0)/2)))</f>
        <v/>
      </c>
      <c r="BG500">
        <f>IF(OR(BG$4="",$A500&gt;TODAY()),0,IF(OR(INDEX($B500:$D500,BG$5)="F",AND(BG$6&gt;0,$A500&lt;BG$6),AND(BG$7&gt;0,$A500&gt;BG$7)),0,MAX(0,ROUND((INDEX($E500:$G500,BG$5)-SUMIFS(TF_Timer,TF_Tekniker,BG$4,TF_Dato,$A500))*2,0)/2)))</f>
        <v/>
      </c>
      <c r="BH500">
        <f>IF(OR(BH$4="",$A500&gt;TODAY()),0,IF(OR(INDEX($B500:$D500,BH$5)="F",AND(BH$6&gt;0,$A500&lt;BH$6),AND(BH$7&gt;0,$A500&gt;BH$7)),0,MAX(0,ROUND((INDEX($E500:$G500,BH$5)-SUMIFS(TF_Timer,TF_Tekniker,BH$4,TF_Dato,$A500))*2,0)/2)))</f>
        <v/>
      </c>
      <c r="BI500">
        <f>IF(OR(BI$4="",$A500&gt;TODAY()),0,IF(OR(INDEX($B500:$D500,BI$5)="F",AND(BI$6&gt;0,$A500&lt;BI$6),AND(BI$7&gt;0,$A500&gt;BI$7)),0,MAX(0,ROUND((INDEX($E500:$G500,BI$5)-SUMIFS(TF_Timer,TF_Tekniker,BI$4,TF_Dato,$A500))*2,0)/2)))</f>
        <v/>
      </c>
    </row>
    <row r="501">
      <c r="A501" s="64">
        <f>A500+1</f>
        <v/>
      </c>
      <c r="B501">
        <f>IF(MOD($A501-INDEX(SkiftStart,1),Syklus)&lt;DagK,"K",IF(MOD($A501-INDEX(SkiftStart,1),Syklus)&lt;DagK+DagH,"H",IF(MOD($A501-INDEX(SkiftStart,1),Syklus)&lt;DagK+DagH+DagD,"D","F")))</f>
        <v/>
      </c>
      <c r="C501">
        <f>IF(MOD($A501-INDEX(SkiftStart,2),Syklus)&lt;DagK,"K",IF(MOD($A501-INDEX(SkiftStart,2),Syklus)&lt;DagK+DagH,"H",IF(MOD($A501-INDEX(SkiftStart,2),Syklus)&lt;DagK+DagH+DagD,"D","F")))</f>
        <v/>
      </c>
      <c r="D501">
        <f>IF(MOD($A501-INDEX(SkiftStart,3),Syklus)&lt;DagK,"K",IF(MOD($A501-INDEX(SkiftStart,3),Syklus)&lt;DagK+DagH,"H",IF(MOD($A501-INDEX(SkiftStart,3),Syklus)&lt;DagK+DagH+DagD,"D","F")))</f>
        <v/>
      </c>
      <c r="E501">
        <f>IF(B501="F",0,IF(WEEKDAY($A501,2)=5,INDEX(TimerFr,MATCH(B501,FaseKode,0)),INDEX(TimerMT,MATCH(B501,FaseKode,0))))</f>
        <v/>
      </c>
      <c r="F501">
        <f>IF(C501="F",0,IF(WEEKDAY($A501,2)=5,INDEX(TimerFr,MATCH(C501,FaseKode,0)),INDEX(TimerMT,MATCH(C501,FaseKode,0))))</f>
        <v/>
      </c>
      <c r="G501">
        <f>IF(D501="F",0,IF(WEEKDAY($A501,2)=5,INDEX(TimerFr,MATCH(D501,FaseKode,0)),INDEX(TimerMT,MATCH(D501,FaseKode,0))))</f>
        <v/>
      </c>
      <c r="H501">
        <f>IF(OR(H$4="",$A501&gt;TODAY()),0,IF(OR(INDEX($B501:$D501,H$5)="F",AND(H$6&gt;0,$A501&lt;H$6),AND(H$7&gt;0,$A501&gt;H$7)),0,MAX(0,ROUND((INDEX($E501:$G501,H$5)-SUMIFS(TF_Timer,TF_Tekniker,H$4,TF_Dato,$A501))*2,0)/2)))</f>
        <v/>
      </c>
      <c r="I501">
        <f>IF(OR(I$4="",$A501&gt;TODAY()),0,IF(OR(INDEX($B501:$D501,I$5)="F",AND(I$6&gt;0,$A501&lt;I$6),AND(I$7&gt;0,$A501&gt;I$7)),0,MAX(0,ROUND((INDEX($E501:$G501,I$5)-SUMIFS(TF_Timer,TF_Tekniker,I$4,TF_Dato,$A501))*2,0)/2)))</f>
        <v/>
      </c>
      <c r="J501">
        <f>IF(OR(J$4="",$A501&gt;TODAY()),0,IF(OR(INDEX($B501:$D501,J$5)="F",AND(J$6&gt;0,$A501&lt;J$6),AND(J$7&gt;0,$A501&gt;J$7)),0,MAX(0,ROUND((INDEX($E501:$G501,J$5)-SUMIFS(TF_Timer,TF_Tekniker,J$4,TF_Dato,$A501))*2,0)/2)))</f>
        <v/>
      </c>
      <c r="K501">
        <f>IF(OR(K$4="",$A501&gt;TODAY()),0,IF(OR(INDEX($B501:$D501,K$5)="F",AND(K$6&gt;0,$A501&lt;K$6),AND(K$7&gt;0,$A501&gt;K$7)),0,MAX(0,ROUND((INDEX($E501:$G501,K$5)-SUMIFS(TF_Timer,TF_Tekniker,K$4,TF_Dato,$A501))*2,0)/2)))</f>
        <v/>
      </c>
      <c r="L501">
        <f>IF(OR(L$4="",$A501&gt;TODAY()),0,IF(OR(INDEX($B501:$D501,L$5)="F",AND(L$6&gt;0,$A501&lt;L$6),AND(L$7&gt;0,$A501&gt;L$7)),0,MAX(0,ROUND((INDEX($E501:$G501,L$5)-SUMIFS(TF_Timer,TF_Tekniker,L$4,TF_Dato,$A501))*2,0)/2)))</f>
        <v/>
      </c>
      <c r="M501">
        <f>IF(OR(M$4="",$A501&gt;TODAY()),0,IF(OR(INDEX($B501:$D501,M$5)="F",AND(M$6&gt;0,$A501&lt;M$6),AND(M$7&gt;0,$A501&gt;M$7)),0,MAX(0,ROUND((INDEX($E501:$G501,M$5)-SUMIFS(TF_Timer,TF_Tekniker,M$4,TF_Dato,$A501))*2,0)/2)))</f>
        <v/>
      </c>
      <c r="N501">
        <f>IF(OR(N$4="",$A501&gt;TODAY()),0,IF(OR(INDEX($B501:$D501,N$5)="F",AND(N$6&gt;0,$A501&lt;N$6),AND(N$7&gt;0,$A501&gt;N$7)),0,MAX(0,ROUND((INDEX($E501:$G501,N$5)-SUMIFS(TF_Timer,TF_Tekniker,N$4,TF_Dato,$A501))*2,0)/2)))</f>
        <v/>
      </c>
      <c r="O501">
        <f>IF(OR(O$4="",$A501&gt;TODAY()),0,IF(OR(INDEX($B501:$D501,O$5)="F",AND(O$6&gt;0,$A501&lt;O$6),AND(O$7&gt;0,$A501&gt;O$7)),0,MAX(0,ROUND((INDEX($E501:$G501,O$5)-SUMIFS(TF_Timer,TF_Tekniker,O$4,TF_Dato,$A501))*2,0)/2)))</f>
        <v/>
      </c>
      <c r="P501">
        <f>IF(OR(P$4="",$A501&gt;TODAY()),0,IF(OR(INDEX($B501:$D501,P$5)="F",AND(P$6&gt;0,$A501&lt;P$6),AND(P$7&gt;0,$A501&gt;P$7)),0,MAX(0,ROUND((INDEX($E501:$G501,P$5)-SUMIFS(TF_Timer,TF_Tekniker,P$4,TF_Dato,$A501))*2,0)/2)))</f>
        <v/>
      </c>
      <c r="Q501">
        <f>IF(OR(Q$4="",$A501&gt;TODAY()),0,IF(OR(INDEX($B501:$D501,Q$5)="F",AND(Q$6&gt;0,$A501&lt;Q$6),AND(Q$7&gt;0,$A501&gt;Q$7)),0,MAX(0,ROUND((INDEX($E501:$G501,Q$5)-SUMIFS(TF_Timer,TF_Tekniker,Q$4,TF_Dato,$A501))*2,0)/2)))</f>
        <v/>
      </c>
      <c r="R501">
        <f>IF(OR(R$4="",$A501&gt;TODAY()),0,IF(OR(INDEX($B501:$D501,R$5)="F",AND(R$6&gt;0,$A501&lt;R$6),AND(R$7&gt;0,$A501&gt;R$7)),0,MAX(0,ROUND((INDEX($E501:$G501,R$5)-SUMIFS(TF_Timer,TF_Tekniker,R$4,TF_Dato,$A501))*2,0)/2)))</f>
        <v/>
      </c>
      <c r="S501">
        <f>IF(OR(S$4="",$A501&gt;TODAY()),0,IF(OR(INDEX($B501:$D501,S$5)="F",AND(S$6&gt;0,$A501&lt;S$6),AND(S$7&gt;0,$A501&gt;S$7)),0,MAX(0,ROUND((INDEX($E501:$G501,S$5)-SUMIFS(TF_Timer,TF_Tekniker,S$4,TF_Dato,$A501))*2,0)/2)))</f>
        <v/>
      </c>
      <c r="T501">
        <f>IF(OR(T$4="",$A501&gt;TODAY()),0,IF(OR(INDEX($B501:$D501,T$5)="F",AND(T$6&gt;0,$A501&lt;T$6),AND(T$7&gt;0,$A501&gt;T$7)),0,MAX(0,ROUND((INDEX($E501:$G501,T$5)-SUMIFS(TF_Timer,TF_Tekniker,T$4,TF_Dato,$A501))*2,0)/2)))</f>
        <v/>
      </c>
      <c r="U501">
        <f>IF(OR(U$4="",$A501&gt;TODAY()),0,IF(OR(INDEX($B501:$D501,U$5)="F",AND(U$6&gt;0,$A501&lt;U$6),AND(U$7&gt;0,$A501&gt;U$7)),0,MAX(0,ROUND((INDEX($E501:$G501,U$5)-SUMIFS(TF_Timer,TF_Tekniker,U$4,TF_Dato,$A501))*2,0)/2)))</f>
        <v/>
      </c>
      <c r="V501">
        <f>IF(OR(V$4="",$A501&gt;TODAY()),0,IF(OR(INDEX($B501:$D501,V$5)="F",AND(V$6&gt;0,$A501&lt;V$6),AND(V$7&gt;0,$A501&gt;V$7)),0,MAX(0,ROUND((INDEX($E501:$G501,V$5)-SUMIFS(TF_Timer,TF_Tekniker,V$4,TF_Dato,$A501))*2,0)/2)))</f>
        <v/>
      </c>
      <c r="W501">
        <f>IF(OR(W$4="",$A501&gt;TODAY()),0,IF(OR(INDEX($B501:$D501,W$5)="F",AND(W$6&gt;0,$A501&lt;W$6),AND(W$7&gt;0,$A501&gt;W$7)),0,MAX(0,ROUND((INDEX($E501:$G501,W$5)-SUMIFS(TF_Timer,TF_Tekniker,W$4,TF_Dato,$A501))*2,0)/2)))</f>
        <v/>
      </c>
      <c r="X501">
        <f>IF(OR(X$4="",$A501&gt;TODAY()),0,IF(OR(INDEX($B501:$D501,X$5)="F",AND(X$6&gt;0,$A501&lt;X$6),AND(X$7&gt;0,$A501&gt;X$7)),0,MAX(0,ROUND((INDEX($E501:$G501,X$5)-SUMIFS(TF_Timer,TF_Tekniker,X$4,TF_Dato,$A501))*2,0)/2)))</f>
        <v/>
      </c>
      <c r="Y501">
        <f>IF(OR(Y$4="",$A501&gt;TODAY()),0,IF(OR(INDEX($B501:$D501,Y$5)="F",AND(Y$6&gt;0,$A501&lt;Y$6),AND(Y$7&gt;0,$A501&gt;Y$7)),0,MAX(0,ROUND((INDEX($E501:$G501,Y$5)-SUMIFS(TF_Timer,TF_Tekniker,Y$4,TF_Dato,$A501))*2,0)/2)))</f>
        <v/>
      </c>
      <c r="Z501">
        <f>IF(OR(Z$4="",$A501&gt;TODAY()),0,IF(OR(INDEX($B501:$D501,Z$5)="F",AND(Z$6&gt;0,$A501&lt;Z$6),AND(Z$7&gt;0,$A501&gt;Z$7)),0,MAX(0,ROUND((INDEX($E501:$G501,Z$5)-SUMIFS(TF_Timer,TF_Tekniker,Z$4,TF_Dato,$A501))*2,0)/2)))</f>
        <v/>
      </c>
      <c r="AA501">
        <f>IF(OR(AA$4="",$A501&gt;TODAY()),0,IF(OR(INDEX($B501:$D501,AA$5)="F",AND(AA$6&gt;0,$A501&lt;AA$6),AND(AA$7&gt;0,$A501&gt;AA$7)),0,MAX(0,ROUND((INDEX($E501:$G501,AA$5)-SUMIFS(TF_Timer,TF_Tekniker,AA$4,TF_Dato,$A501))*2,0)/2)))</f>
        <v/>
      </c>
      <c r="AB501">
        <f>IF(OR(AB$4="",$A501&gt;TODAY()),0,IF(OR(INDEX($B501:$D501,AB$5)="F",AND(AB$6&gt;0,$A501&lt;AB$6),AND(AB$7&gt;0,$A501&gt;AB$7)),0,MAX(0,ROUND((INDEX($E501:$G501,AB$5)-SUMIFS(TF_Timer,TF_Tekniker,AB$4,TF_Dato,$A501))*2,0)/2)))</f>
        <v/>
      </c>
      <c r="AC501">
        <f>IF(OR(AC$4="",$A501&gt;TODAY()),0,IF(OR(INDEX($B501:$D501,AC$5)="F",AND(AC$6&gt;0,$A501&lt;AC$6),AND(AC$7&gt;0,$A501&gt;AC$7)),0,MAX(0,ROUND((INDEX($E501:$G501,AC$5)-SUMIFS(TF_Timer,TF_Tekniker,AC$4,TF_Dato,$A501))*2,0)/2)))</f>
        <v/>
      </c>
      <c r="AD501">
        <f>IF(OR(AD$4="",$A501&gt;TODAY()),0,IF(OR(INDEX($B501:$D501,AD$5)="F",AND(AD$6&gt;0,$A501&lt;AD$6),AND(AD$7&gt;0,$A501&gt;AD$7)),0,MAX(0,ROUND((INDEX($E501:$G501,AD$5)-SUMIFS(TF_Timer,TF_Tekniker,AD$4,TF_Dato,$A501))*2,0)/2)))</f>
        <v/>
      </c>
      <c r="AE501">
        <f>IF(OR(AE$4="",$A501&gt;TODAY()),0,IF(OR(INDEX($B501:$D501,AE$5)="F",AND(AE$6&gt;0,$A501&lt;AE$6),AND(AE$7&gt;0,$A501&gt;AE$7)),0,MAX(0,ROUND((INDEX($E501:$G501,AE$5)-SUMIFS(TF_Timer,TF_Tekniker,AE$4,TF_Dato,$A501))*2,0)/2)))</f>
        <v/>
      </c>
      <c r="AF501">
        <f>IF(OR(AF$4="",$A501&gt;TODAY()),0,IF(OR(INDEX($B501:$D501,AF$5)="F",AND(AF$6&gt;0,$A501&lt;AF$6),AND(AF$7&gt;0,$A501&gt;AF$7)),0,MAX(0,ROUND((INDEX($E501:$G501,AF$5)-SUMIFS(TF_Timer,TF_Tekniker,AF$4,TF_Dato,$A501))*2,0)/2)))</f>
        <v/>
      </c>
      <c r="AG501">
        <f>IF(OR(AG$4="",$A501&gt;TODAY()),0,IF(OR(INDEX($B501:$D501,AG$5)="F",AND(AG$6&gt;0,$A501&lt;AG$6),AND(AG$7&gt;0,$A501&gt;AG$7)),0,MAX(0,ROUND((INDEX($E501:$G501,AG$5)-SUMIFS(TF_Timer,TF_Tekniker,AG$4,TF_Dato,$A501))*2,0)/2)))</f>
        <v/>
      </c>
      <c r="AH501">
        <f>IF(OR(AH$4="",$A501&gt;TODAY()),0,IF(OR(INDEX($B501:$D501,AH$5)="F",AND(AH$6&gt;0,$A501&lt;AH$6),AND(AH$7&gt;0,$A501&gt;AH$7)),0,MAX(0,ROUND((INDEX($E501:$G501,AH$5)-SUMIFS(TF_Timer,TF_Tekniker,AH$4,TF_Dato,$A501))*2,0)/2)))</f>
        <v/>
      </c>
      <c r="AI501">
        <f>IF(OR(AI$4="",$A501&gt;TODAY()),0,IF(OR(INDEX($B501:$D501,AI$5)="F",AND(AI$6&gt;0,$A501&lt;AI$6),AND(AI$7&gt;0,$A501&gt;AI$7)),0,MAX(0,ROUND((INDEX($E501:$G501,AI$5)-SUMIFS(TF_Timer,TF_Tekniker,AI$4,TF_Dato,$A501))*2,0)/2)))</f>
        <v/>
      </c>
      <c r="AJ501">
        <f>IF(OR(AJ$4="",$A501&gt;TODAY()),0,IF(OR(INDEX($B501:$D501,AJ$5)="F",AND(AJ$6&gt;0,$A501&lt;AJ$6),AND(AJ$7&gt;0,$A501&gt;AJ$7)),0,MAX(0,ROUND((INDEX($E501:$G501,AJ$5)-SUMIFS(TF_Timer,TF_Tekniker,AJ$4,TF_Dato,$A501))*2,0)/2)))</f>
        <v/>
      </c>
      <c r="AK501">
        <f>IF(OR(AK$4="",$A501&gt;TODAY()),0,IF(OR(INDEX($B501:$D501,AK$5)="F",AND(AK$6&gt;0,$A501&lt;AK$6),AND(AK$7&gt;0,$A501&gt;AK$7)),0,MAX(0,ROUND((INDEX($E501:$G501,AK$5)-SUMIFS(TF_Timer,TF_Tekniker,AK$4,TF_Dato,$A501))*2,0)/2)))</f>
        <v/>
      </c>
      <c r="AL501">
        <f>IF(OR(AL$4="",$A501&gt;TODAY()),0,IF(OR(INDEX($B501:$D501,AL$5)="F",AND(AL$6&gt;0,$A501&lt;AL$6),AND(AL$7&gt;0,$A501&gt;AL$7)),0,MAX(0,ROUND((INDEX($E501:$G501,AL$5)-SUMIFS(TF_Timer,TF_Tekniker,AL$4,TF_Dato,$A501))*2,0)/2)))</f>
        <v/>
      </c>
      <c r="AM501">
        <f>IF(OR(AM$4="",$A501&gt;TODAY()),0,IF(OR(INDEX($B501:$D501,AM$5)="F",AND(AM$6&gt;0,$A501&lt;AM$6),AND(AM$7&gt;0,$A501&gt;AM$7)),0,MAX(0,ROUND((INDEX($E501:$G501,AM$5)-SUMIFS(TF_Timer,TF_Tekniker,AM$4,TF_Dato,$A501))*2,0)/2)))</f>
        <v/>
      </c>
      <c r="AN501">
        <f>IF(OR(AN$4="",$A501&gt;TODAY()),0,IF(OR(INDEX($B501:$D501,AN$5)="F",AND(AN$6&gt;0,$A501&lt;AN$6),AND(AN$7&gt;0,$A501&gt;AN$7)),0,MAX(0,ROUND((INDEX($E501:$G501,AN$5)-SUMIFS(TF_Timer,TF_Tekniker,AN$4,TF_Dato,$A501))*2,0)/2)))</f>
        <v/>
      </c>
      <c r="AO501">
        <f>IF(OR(AO$4="",$A501&gt;TODAY()),0,IF(OR(INDEX($B501:$D501,AO$5)="F",AND(AO$6&gt;0,$A501&lt;AO$6),AND(AO$7&gt;0,$A501&gt;AO$7)),0,MAX(0,ROUND((INDEX($E501:$G501,AO$5)-SUMIFS(TF_Timer,TF_Tekniker,AO$4,TF_Dato,$A501))*2,0)/2)))</f>
        <v/>
      </c>
      <c r="AP501">
        <f>IF(OR(AP$4="",$A501&gt;TODAY()),0,IF(OR(INDEX($B501:$D501,AP$5)="F",AND(AP$6&gt;0,$A501&lt;AP$6),AND(AP$7&gt;0,$A501&gt;AP$7)),0,MAX(0,ROUND((INDEX($E501:$G501,AP$5)-SUMIFS(TF_Timer,TF_Tekniker,AP$4,TF_Dato,$A501))*2,0)/2)))</f>
        <v/>
      </c>
      <c r="AQ501">
        <f>IF(OR(AQ$4="",$A501&gt;TODAY()),0,IF(OR(INDEX($B501:$D501,AQ$5)="F",AND(AQ$6&gt;0,$A501&lt;AQ$6),AND(AQ$7&gt;0,$A501&gt;AQ$7)),0,MAX(0,ROUND((INDEX($E501:$G501,AQ$5)-SUMIFS(TF_Timer,TF_Tekniker,AQ$4,TF_Dato,$A501))*2,0)/2)))</f>
        <v/>
      </c>
      <c r="AR501">
        <f>IF(OR(AR$4="",$A501&gt;TODAY()),0,IF(OR(INDEX($B501:$D501,AR$5)="F",AND(AR$6&gt;0,$A501&lt;AR$6),AND(AR$7&gt;0,$A501&gt;AR$7)),0,MAX(0,ROUND((INDEX($E501:$G501,AR$5)-SUMIFS(TF_Timer,TF_Tekniker,AR$4,TF_Dato,$A501))*2,0)/2)))</f>
        <v/>
      </c>
      <c r="AS501">
        <f>IF(OR(AS$4="",$A501&gt;TODAY()),0,IF(OR(INDEX($B501:$D501,AS$5)="F",AND(AS$6&gt;0,$A501&lt;AS$6),AND(AS$7&gt;0,$A501&gt;AS$7)),0,MAX(0,ROUND((INDEX($E501:$G501,AS$5)-SUMIFS(TF_Timer,TF_Tekniker,AS$4,TF_Dato,$A501))*2,0)/2)))</f>
        <v/>
      </c>
      <c r="AT501">
        <f>IF(OR(AT$4="",$A501&gt;TODAY()),0,IF(OR(INDEX($B501:$D501,AT$5)="F",AND(AT$6&gt;0,$A501&lt;AT$6),AND(AT$7&gt;0,$A501&gt;AT$7)),0,MAX(0,ROUND((INDEX($E501:$G501,AT$5)-SUMIFS(TF_Timer,TF_Tekniker,AT$4,TF_Dato,$A501))*2,0)/2)))</f>
        <v/>
      </c>
      <c r="AU501">
        <f>IF(OR(AU$4="",$A501&gt;TODAY()),0,IF(OR(INDEX($B501:$D501,AU$5)="F",AND(AU$6&gt;0,$A501&lt;AU$6),AND(AU$7&gt;0,$A501&gt;AU$7)),0,MAX(0,ROUND((INDEX($E501:$G501,AU$5)-SUMIFS(TF_Timer,TF_Tekniker,AU$4,TF_Dato,$A501))*2,0)/2)))</f>
        <v/>
      </c>
      <c r="AV501">
        <f>IF(OR(AV$4="",$A501&gt;TODAY()),0,IF(OR(INDEX($B501:$D501,AV$5)="F",AND(AV$6&gt;0,$A501&lt;AV$6),AND(AV$7&gt;0,$A501&gt;AV$7)),0,MAX(0,ROUND((INDEX($E501:$G501,AV$5)-SUMIFS(TF_Timer,TF_Tekniker,AV$4,TF_Dato,$A501))*2,0)/2)))</f>
        <v/>
      </c>
      <c r="AW501">
        <f>IF(OR(AW$4="",$A501&gt;TODAY()),0,IF(OR(INDEX($B501:$D501,AW$5)="F",AND(AW$6&gt;0,$A501&lt;AW$6),AND(AW$7&gt;0,$A501&gt;AW$7)),0,MAX(0,ROUND((INDEX($E501:$G501,AW$5)-SUMIFS(TF_Timer,TF_Tekniker,AW$4,TF_Dato,$A501))*2,0)/2)))</f>
        <v/>
      </c>
      <c r="AX501">
        <f>IF(OR(AX$4="",$A501&gt;TODAY()),0,IF(OR(INDEX($B501:$D501,AX$5)="F",AND(AX$6&gt;0,$A501&lt;AX$6),AND(AX$7&gt;0,$A501&gt;AX$7)),0,MAX(0,ROUND((INDEX($E501:$G501,AX$5)-SUMIFS(TF_Timer,TF_Tekniker,AX$4,TF_Dato,$A501))*2,0)/2)))</f>
        <v/>
      </c>
      <c r="AY501">
        <f>IF(OR(AY$4="",$A501&gt;TODAY()),0,IF(OR(INDEX($B501:$D501,AY$5)="F",AND(AY$6&gt;0,$A501&lt;AY$6),AND(AY$7&gt;0,$A501&gt;AY$7)),0,MAX(0,ROUND((INDEX($E501:$G501,AY$5)-SUMIFS(TF_Timer,TF_Tekniker,AY$4,TF_Dato,$A501))*2,0)/2)))</f>
        <v/>
      </c>
      <c r="AZ501">
        <f>IF(OR(AZ$4="",$A501&gt;TODAY()),0,IF(OR(INDEX($B501:$D501,AZ$5)="F",AND(AZ$6&gt;0,$A501&lt;AZ$6),AND(AZ$7&gt;0,$A501&gt;AZ$7)),0,MAX(0,ROUND((INDEX($E501:$G501,AZ$5)-SUMIFS(TF_Timer,TF_Tekniker,AZ$4,TF_Dato,$A501))*2,0)/2)))</f>
        <v/>
      </c>
      <c r="BA501">
        <f>IF(OR(BA$4="",$A501&gt;TODAY()),0,IF(OR(INDEX($B501:$D501,BA$5)="F",AND(BA$6&gt;0,$A501&lt;BA$6),AND(BA$7&gt;0,$A501&gt;BA$7)),0,MAX(0,ROUND((INDEX($E501:$G501,BA$5)-SUMIFS(TF_Timer,TF_Tekniker,BA$4,TF_Dato,$A501))*2,0)/2)))</f>
        <v/>
      </c>
      <c r="BB501">
        <f>IF(OR(BB$4="",$A501&gt;TODAY()),0,IF(OR(INDEX($B501:$D501,BB$5)="F",AND(BB$6&gt;0,$A501&lt;BB$6),AND(BB$7&gt;0,$A501&gt;BB$7)),0,MAX(0,ROUND((INDEX($E501:$G501,BB$5)-SUMIFS(TF_Timer,TF_Tekniker,BB$4,TF_Dato,$A501))*2,0)/2)))</f>
        <v/>
      </c>
      <c r="BC501">
        <f>IF(OR(BC$4="",$A501&gt;TODAY()),0,IF(OR(INDEX($B501:$D501,BC$5)="F",AND(BC$6&gt;0,$A501&lt;BC$6),AND(BC$7&gt;0,$A501&gt;BC$7)),0,MAX(0,ROUND((INDEX($E501:$G501,BC$5)-SUMIFS(TF_Timer,TF_Tekniker,BC$4,TF_Dato,$A501))*2,0)/2)))</f>
        <v/>
      </c>
      <c r="BD501">
        <f>IF(OR(BD$4="",$A501&gt;TODAY()),0,IF(OR(INDEX($B501:$D501,BD$5)="F",AND(BD$6&gt;0,$A501&lt;BD$6),AND(BD$7&gt;0,$A501&gt;BD$7)),0,MAX(0,ROUND((INDEX($E501:$G501,BD$5)-SUMIFS(TF_Timer,TF_Tekniker,BD$4,TF_Dato,$A501))*2,0)/2)))</f>
        <v/>
      </c>
      <c r="BE501">
        <f>IF(OR(BE$4="",$A501&gt;TODAY()),0,IF(OR(INDEX($B501:$D501,BE$5)="F",AND(BE$6&gt;0,$A501&lt;BE$6),AND(BE$7&gt;0,$A501&gt;BE$7)),0,MAX(0,ROUND((INDEX($E501:$G501,BE$5)-SUMIFS(TF_Timer,TF_Tekniker,BE$4,TF_Dato,$A501))*2,0)/2)))</f>
        <v/>
      </c>
      <c r="BF501">
        <f>IF(OR(BF$4="",$A501&gt;TODAY()),0,IF(OR(INDEX($B501:$D501,BF$5)="F",AND(BF$6&gt;0,$A501&lt;BF$6),AND(BF$7&gt;0,$A501&gt;BF$7)),0,MAX(0,ROUND((INDEX($E501:$G501,BF$5)-SUMIFS(TF_Timer,TF_Tekniker,BF$4,TF_Dato,$A501))*2,0)/2)))</f>
        <v/>
      </c>
      <c r="BG501">
        <f>IF(OR(BG$4="",$A501&gt;TODAY()),0,IF(OR(INDEX($B501:$D501,BG$5)="F",AND(BG$6&gt;0,$A501&lt;BG$6),AND(BG$7&gt;0,$A501&gt;BG$7)),0,MAX(0,ROUND((INDEX($E501:$G501,BG$5)-SUMIFS(TF_Timer,TF_Tekniker,BG$4,TF_Dato,$A501))*2,0)/2)))</f>
        <v/>
      </c>
      <c r="BH501">
        <f>IF(OR(BH$4="",$A501&gt;TODAY()),0,IF(OR(INDEX($B501:$D501,BH$5)="F",AND(BH$6&gt;0,$A501&lt;BH$6),AND(BH$7&gt;0,$A501&gt;BH$7)),0,MAX(0,ROUND((INDEX($E501:$G501,BH$5)-SUMIFS(TF_Timer,TF_Tekniker,BH$4,TF_Dato,$A501))*2,0)/2)))</f>
        <v/>
      </c>
      <c r="BI501">
        <f>IF(OR(BI$4="",$A501&gt;TODAY()),0,IF(OR(INDEX($B501:$D501,BI$5)="F",AND(BI$6&gt;0,$A501&lt;BI$6),AND(BI$7&gt;0,$A501&gt;BI$7)),0,MAX(0,ROUND((INDEX($E501:$G501,BI$5)-SUMIFS(TF_Timer,TF_Tekniker,BI$4,TF_Dato,$A501))*2,0)/2)))</f>
        <v/>
      </c>
    </row>
    <row r="502">
      <c r="A502" s="64">
        <f>A501+1</f>
        <v/>
      </c>
      <c r="B502">
        <f>IF(MOD($A502-INDEX(SkiftStart,1),Syklus)&lt;DagK,"K",IF(MOD($A502-INDEX(SkiftStart,1),Syklus)&lt;DagK+DagH,"H",IF(MOD($A502-INDEX(SkiftStart,1),Syklus)&lt;DagK+DagH+DagD,"D","F")))</f>
        <v/>
      </c>
      <c r="C502">
        <f>IF(MOD($A502-INDEX(SkiftStart,2),Syklus)&lt;DagK,"K",IF(MOD($A502-INDEX(SkiftStart,2),Syklus)&lt;DagK+DagH,"H",IF(MOD($A502-INDEX(SkiftStart,2),Syklus)&lt;DagK+DagH+DagD,"D","F")))</f>
        <v/>
      </c>
      <c r="D502">
        <f>IF(MOD($A502-INDEX(SkiftStart,3),Syklus)&lt;DagK,"K",IF(MOD($A502-INDEX(SkiftStart,3),Syklus)&lt;DagK+DagH,"H",IF(MOD($A502-INDEX(SkiftStart,3),Syklus)&lt;DagK+DagH+DagD,"D","F")))</f>
        <v/>
      </c>
      <c r="E502">
        <f>IF(B502="F",0,IF(WEEKDAY($A502,2)=5,INDEX(TimerFr,MATCH(B502,FaseKode,0)),INDEX(TimerMT,MATCH(B502,FaseKode,0))))</f>
        <v/>
      </c>
      <c r="F502">
        <f>IF(C502="F",0,IF(WEEKDAY($A502,2)=5,INDEX(TimerFr,MATCH(C502,FaseKode,0)),INDEX(TimerMT,MATCH(C502,FaseKode,0))))</f>
        <v/>
      </c>
      <c r="G502">
        <f>IF(D502="F",0,IF(WEEKDAY($A502,2)=5,INDEX(TimerFr,MATCH(D502,FaseKode,0)),INDEX(TimerMT,MATCH(D502,FaseKode,0))))</f>
        <v/>
      </c>
      <c r="H502">
        <f>IF(OR(H$4="",$A502&gt;TODAY()),0,IF(OR(INDEX($B502:$D502,H$5)="F",AND(H$6&gt;0,$A502&lt;H$6),AND(H$7&gt;0,$A502&gt;H$7)),0,MAX(0,ROUND((INDEX($E502:$G502,H$5)-SUMIFS(TF_Timer,TF_Tekniker,H$4,TF_Dato,$A502))*2,0)/2)))</f>
        <v/>
      </c>
      <c r="I502">
        <f>IF(OR(I$4="",$A502&gt;TODAY()),0,IF(OR(INDEX($B502:$D502,I$5)="F",AND(I$6&gt;0,$A502&lt;I$6),AND(I$7&gt;0,$A502&gt;I$7)),0,MAX(0,ROUND((INDEX($E502:$G502,I$5)-SUMIFS(TF_Timer,TF_Tekniker,I$4,TF_Dato,$A502))*2,0)/2)))</f>
        <v/>
      </c>
      <c r="J502">
        <f>IF(OR(J$4="",$A502&gt;TODAY()),0,IF(OR(INDEX($B502:$D502,J$5)="F",AND(J$6&gt;0,$A502&lt;J$6),AND(J$7&gt;0,$A502&gt;J$7)),0,MAX(0,ROUND((INDEX($E502:$G502,J$5)-SUMIFS(TF_Timer,TF_Tekniker,J$4,TF_Dato,$A502))*2,0)/2)))</f>
        <v/>
      </c>
      <c r="K502">
        <f>IF(OR(K$4="",$A502&gt;TODAY()),0,IF(OR(INDEX($B502:$D502,K$5)="F",AND(K$6&gt;0,$A502&lt;K$6),AND(K$7&gt;0,$A502&gt;K$7)),0,MAX(0,ROUND((INDEX($E502:$G502,K$5)-SUMIFS(TF_Timer,TF_Tekniker,K$4,TF_Dato,$A502))*2,0)/2)))</f>
        <v/>
      </c>
      <c r="L502">
        <f>IF(OR(L$4="",$A502&gt;TODAY()),0,IF(OR(INDEX($B502:$D502,L$5)="F",AND(L$6&gt;0,$A502&lt;L$6),AND(L$7&gt;0,$A502&gt;L$7)),0,MAX(0,ROUND((INDEX($E502:$G502,L$5)-SUMIFS(TF_Timer,TF_Tekniker,L$4,TF_Dato,$A502))*2,0)/2)))</f>
        <v/>
      </c>
      <c r="M502">
        <f>IF(OR(M$4="",$A502&gt;TODAY()),0,IF(OR(INDEX($B502:$D502,M$5)="F",AND(M$6&gt;0,$A502&lt;M$6),AND(M$7&gt;0,$A502&gt;M$7)),0,MAX(0,ROUND((INDEX($E502:$G502,M$5)-SUMIFS(TF_Timer,TF_Tekniker,M$4,TF_Dato,$A502))*2,0)/2)))</f>
        <v/>
      </c>
      <c r="N502">
        <f>IF(OR(N$4="",$A502&gt;TODAY()),0,IF(OR(INDEX($B502:$D502,N$5)="F",AND(N$6&gt;0,$A502&lt;N$6),AND(N$7&gt;0,$A502&gt;N$7)),0,MAX(0,ROUND((INDEX($E502:$G502,N$5)-SUMIFS(TF_Timer,TF_Tekniker,N$4,TF_Dato,$A502))*2,0)/2)))</f>
        <v/>
      </c>
      <c r="O502">
        <f>IF(OR(O$4="",$A502&gt;TODAY()),0,IF(OR(INDEX($B502:$D502,O$5)="F",AND(O$6&gt;0,$A502&lt;O$6),AND(O$7&gt;0,$A502&gt;O$7)),0,MAX(0,ROUND((INDEX($E502:$G502,O$5)-SUMIFS(TF_Timer,TF_Tekniker,O$4,TF_Dato,$A502))*2,0)/2)))</f>
        <v/>
      </c>
      <c r="P502">
        <f>IF(OR(P$4="",$A502&gt;TODAY()),0,IF(OR(INDEX($B502:$D502,P$5)="F",AND(P$6&gt;0,$A502&lt;P$6),AND(P$7&gt;0,$A502&gt;P$7)),0,MAX(0,ROUND((INDEX($E502:$G502,P$5)-SUMIFS(TF_Timer,TF_Tekniker,P$4,TF_Dato,$A502))*2,0)/2)))</f>
        <v/>
      </c>
      <c r="Q502">
        <f>IF(OR(Q$4="",$A502&gt;TODAY()),0,IF(OR(INDEX($B502:$D502,Q$5)="F",AND(Q$6&gt;0,$A502&lt;Q$6),AND(Q$7&gt;0,$A502&gt;Q$7)),0,MAX(0,ROUND((INDEX($E502:$G502,Q$5)-SUMIFS(TF_Timer,TF_Tekniker,Q$4,TF_Dato,$A502))*2,0)/2)))</f>
        <v/>
      </c>
      <c r="R502">
        <f>IF(OR(R$4="",$A502&gt;TODAY()),0,IF(OR(INDEX($B502:$D502,R$5)="F",AND(R$6&gt;0,$A502&lt;R$6),AND(R$7&gt;0,$A502&gt;R$7)),0,MAX(0,ROUND((INDEX($E502:$G502,R$5)-SUMIFS(TF_Timer,TF_Tekniker,R$4,TF_Dato,$A502))*2,0)/2)))</f>
        <v/>
      </c>
      <c r="S502">
        <f>IF(OR(S$4="",$A502&gt;TODAY()),0,IF(OR(INDEX($B502:$D502,S$5)="F",AND(S$6&gt;0,$A502&lt;S$6),AND(S$7&gt;0,$A502&gt;S$7)),0,MAX(0,ROUND((INDEX($E502:$G502,S$5)-SUMIFS(TF_Timer,TF_Tekniker,S$4,TF_Dato,$A502))*2,0)/2)))</f>
        <v/>
      </c>
      <c r="T502">
        <f>IF(OR(T$4="",$A502&gt;TODAY()),0,IF(OR(INDEX($B502:$D502,T$5)="F",AND(T$6&gt;0,$A502&lt;T$6),AND(T$7&gt;0,$A502&gt;T$7)),0,MAX(0,ROUND((INDEX($E502:$G502,T$5)-SUMIFS(TF_Timer,TF_Tekniker,T$4,TF_Dato,$A502))*2,0)/2)))</f>
        <v/>
      </c>
      <c r="U502">
        <f>IF(OR(U$4="",$A502&gt;TODAY()),0,IF(OR(INDEX($B502:$D502,U$5)="F",AND(U$6&gt;0,$A502&lt;U$6),AND(U$7&gt;0,$A502&gt;U$7)),0,MAX(0,ROUND((INDEX($E502:$G502,U$5)-SUMIFS(TF_Timer,TF_Tekniker,U$4,TF_Dato,$A502))*2,0)/2)))</f>
        <v/>
      </c>
      <c r="V502">
        <f>IF(OR(V$4="",$A502&gt;TODAY()),0,IF(OR(INDEX($B502:$D502,V$5)="F",AND(V$6&gt;0,$A502&lt;V$6),AND(V$7&gt;0,$A502&gt;V$7)),0,MAX(0,ROUND((INDEX($E502:$G502,V$5)-SUMIFS(TF_Timer,TF_Tekniker,V$4,TF_Dato,$A502))*2,0)/2)))</f>
        <v/>
      </c>
      <c r="W502">
        <f>IF(OR(W$4="",$A502&gt;TODAY()),0,IF(OR(INDEX($B502:$D502,W$5)="F",AND(W$6&gt;0,$A502&lt;W$6),AND(W$7&gt;0,$A502&gt;W$7)),0,MAX(0,ROUND((INDEX($E502:$G502,W$5)-SUMIFS(TF_Timer,TF_Tekniker,W$4,TF_Dato,$A502))*2,0)/2)))</f>
        <v/>
      </c>
      <c r="X502">
        <f>IF(OR(X$4="",$A502&gt;TODAY()),0,IF(OR(INDEX($B502:$D502,X$5)="F",AND(X$6&gt;0,$A502&lt;X$6),AND(X$7&gt;0,$A502&gt;X$7)),0,MAX(0,ROUND((INDEX($E502:$G502,X$5)-SUMIFS(TF_Timer,TF_Tekniker,X$4,TF_Dato,$A502))*2,0)/2)))</f>
        <v/>
      </c>
      <c r="Y502">
        <f>IF(OR(Y$4="",$A502&gt;TODAY()),0,IF(OR(INDEX($B502:$D502,Y$5)="F",AND(Y$6&gt;0,$A502&lt;Y$6),AND(Y$7&gt;0,$A502&gt;Y$7)),0,MAX(0,ROUND((INDEX($E502:$G502,Y$5)-SUMIFS(TF_Timer,TF_Tekniker,Y$4,TF_Dato,$A502))*2,0)/2)))</f>
        <v/>
      </c>
      <c r="Z502">
        <f>IF(OR(Z$4="",$A502&gt;TODAY()),0,IF(OR(INDEX($B502:$D502,Z$5)="F",AND(Z$6&gt;0,$A502&lt;Z$6),AND(Z$7&gt;0,$A502&gt;Z$7)),0,MAX(0,ROUND((INDEX($E502:$G502,Z$5)-SUMIFS(TF_Timer,TF_Tekniker,Z$4,TF_Dato,$A502))*2,0)/2)))</f>
        <v/>
      </c>
      <c r="AA502">
        <f>IF(OR(AA$4="",$A502&gt;TODAY()),0,IF(OR(INDEX($B502:$D502,AA$5)="F",AND(AA$6&gt;0,$A502&lt;AA$6),AND(AA$7&gt;0,$A502&gt;AA$7)),0,MAX(0,ROUND((INDEX($E502:$G502,AA$5)-SUMIFS(TF_Timer,TF_Tekniker,AA$4,TF_Dato,$A502))*2,0)/2)))</f>
        <v/>
      </c>
      <c r="AB502">
        <f>IF(OR(AB$4="",$A502&gt;TODAY()),0,IF(OR(INDEX($B502:$D502,AB$5)="F",AND(AB$6&gt;0,$A502&lt;AB$6),AND(AB$7&gt;0,$A502&gt;AB$7)),0,MAX(0,ROUND((INDEX($E502:$G502,AB$5)-SUMIFS(TF_Timer,TF_Tekniker,AB$4,TF_Dato,$A502))*2,0)/2)))</f>
        <v/>
      </c>
      <c r="AC502">
        <f>IF(OR(AC$4="",$A502&gt;TODAY()),0,IF(OR(INDEX($B502:$D502,AC$5)="F",AND(AC$6&gt;0,$A502&lt;AC$6),AND(AC$7&gt;0,$A502&gt;AC$7)),0,MAX(0,ROUND((INDEX($E502:$G502,AC$5)-SUMIFS(TF_Timer,TF_Tekniker,AC$4,TF_Dato,$A502))*2,0)/2)))</f>
        <v/>
      </c>
      <c r="AD502">
        <f>IF(OR(AD$4="",$A502&gt;TODAY()),0,IF(OR(INDEX($B502:$D502,AD$5)="F",AND(AD$6&gt;0,$A502&lt;AD$6),AND(AD$7&gt;0,$A502&gt;AD$7)),0,MAX(0,ROUND((INDEX($E502:$G502,AD$5)-SUMIFS(TF_Timer,TF_Tekniker,AD$4,TF_Dato,$A502))*2,0)/2)))</f>
        <v/>
      </c>
      <c r="AE502">
        <f>IF(OR(AE$4="",$A502&gt;TODAY()),0,IF(OR(INDEX($B502:$D502,AE$5)="F",AND(AE$6&gt;0,$A502&lt;AE$6),AND(AE$7&gt;0,$A502&gt;AE$7)),0,MAX(0,ROUND((INDEX($E502:$G502,AE$5)-SUMIFS(TF_Timer,TF_Tekniker,AE$4,TF_Dato,$A502))*2,0)/2)))</f>
        <v/>
      </c>
      <c r="AF502">
        <f>IF(OR(AF$4="",$A502&gt;TODAY()),0,IF(OR(INDEX($B502:$D502,AF$5)="F",AND(AF$6&gt;0,$A502&lt;AF$6),AND(AF$7&gt;0,$A502&gt;AF$7)),0,MAX(0,ROUND((INDEX($E502:$G502,AF$5)-SUMIFS(TF_Timer,TF_Tekniker,AF$4,TF_Dato,$A502))*2,0)/2)))</f>
        <v/>
      </c>
      <c r="AG502">
        <f>IF(OR(AG$4="",$A502&gt;TODAY()),0,IF(OR(INDEX($B502:$D502,AG$5)="F",AND(AG$6&gt;0,$A502&lt;AG$6),AND(AG$7&gt;0,$A502&gt;AG$7)),0,MAX(0,ROUND((INDEX($E502:$G502,AG$5)-SUMIFS(TF_Timer,TF_Tekniker,AG$4,TF_Dato,$A502))*2,0)/2)))</f>
        <v/>
      </c>
      <c r="AH502">
        <f>IF(OR(AH$4="",$A502&gt;TODAY()),0,IF(OR(INDEX($B502:$D502,AH$5)="F",AND(AH$6&gt;0,$A502&lt;AH$6),AND(AH$7&gt;0,$A502&gt;AH$7)),0,MAX(0,ROUND((INDEX($E502:$G502,AH$5)-SUMIFS(TF_Timer,TF_Tekniker,AH$4,TF_Dato,$A502))*2,0)/2)))</f>
        <v/>
      </c>
      <c r="AI502">
        <f>IF(OR(AI$4="",$A502&gt;TODAY()),0,IF(OR(INDEX($B502:$D502,AI$5)="F",AND(AI$6&gt;0,$A502&lt;AI$6),AND(AI$7&gt;0,$A502&gt;AI$7)),0,MAX(0,ROUND((INDEX($E502:$G502,AI$5)-SUMIFS(TF_Timer,TF_Tekniker,AI$4,TF_Dato,$A502))*2,0)/2)))</f>
        <v/>
      </c>
      <c r="AJ502">
        <f>IF(OR(AJ$4="",$A502&gt;TODAY()),0,IF(OR(INDEX($B502:$D502,AJ$5)="F",AND(AJ$6&gt;0,$A502&lt;AJ$6),AND(AJ$7&gt;0,$A502&gt;AJ$7)),0,MAX(0,ROUND((INDEX($E502:$G502,AJ$5)-SUMIFS(TF_Timer,TF_Tekniker,AJ$4,TF_Dato,$A502))*2,0)/2)))</f>
        <v/>
      </c>
      <c r="AK502">
        <f>IF(OR(AK$4="",$A502&gt;TODAY()),0,IF(OR(INDEX($B502:$D502,AK$5)="F",AND(AK$6&gt;0,$A502&lt;AK$6),AND(AK$7&gt;0,$A502&gt;AK$7)),0,MAX(0,ROUND((INDEX($E502:$G502,AK$5)-SUMIFS(TF_Timer,TF_Tekniker,AK$4,TF_Dato,$A502))*2,0)/2)))</f>
        <v/>
      </c>
      <c r="AL502">
        <f>IF(OR(AL$4="",$A502&gt;TODAY()),0,IF(OR(INDEX($B502:$D502,AL$5)="F",AND(AL$6&gt;0,$A502&lt;AL$6),AND(AL$7&gt;0,$A502&gt;AL$7)),0,MAX(0,ROUND((INDEX($E502:$G502,AL$5)-SUMIFS(TF_Timer,TF_Tekniker,AL$4,TF_Dato,$A502))*2,0)/2)))</f>
        <v/>
      </c>
      <c r="AM502">
        <f>IF(OR(AM$4="",$A502&gt;TODAY()),0,IF(OR(INDEX($B502:$D502,AM$5)="F",AND(AM$6&gt;0,$A502&lt;AM$6),AND(AM$7&gt;0,$A502&gt;AM$7)),0,MAX(0,ROUND((INDEX($E502:$G502,AM$5)-SUMIFS(TF_Timer,TF_Tekniker,AM$4,TF_Dato,$A502))*2,0)/2)))</f>
        <v/>
      </c>
      <c r="AN502">
        <f>IF(OR(AN$4="",$A502&gt;TODAY()),0,IF(OR(INDEX($B502:$D502,AN$5)="F",AND(AN$6&gt;0,$A502&lt;AN$6),AND(AN$7&gt;0,$A502&gt;AN$7)),0,MAX(0,ROUND((INDEX($E502:$G502,AN$5)-SUMIFS(TF_Timer,TF_Tekniker,AN$4,TF_Dato,$A502))*2,0)/2)))</f>
        <v/>
      </c>
      <c r="AO502">
        <f>IF(OR(AO$4="",$A502&gt;TODAY()),0,IF(OR(INDEX($B502:$D502,AO$5)="F",AND(AO$6&gt;0,$A502&lt;AO$6),AND(AO$7&gt;0,$A502&gt;AO$7)),0,MAX(0,ROUND((INDEX($E502:$G502,AO$5)-SUMIFS(TF_Timer,TF_Tekniker,AO$4,TF_Dato,$A502))*2,0)/2)))</f>
        <v/>
      </c>
      <c r="AP502">
        <f>IF(OR(AP$4="",$A502&gt;TODAY()),0,IF(OR(INDEX($B502:$D502,AP$5)="F",AND(AP$6&gt;0,$A502&lt;AP$6),AND(AP$7&gt;0,$A502&gt;AP$7)),0,MAX(0,ROUND((INDEX($E502:$G502,AP$5)-SUMIFS(TF_Timer,TF_Tekniker,AP$4,TF_Dato,$A502))*2,0)/2)))</f>
        <v/>
      </c>
      <c r="AQ502">
        <f>IF(OR(AQ$4="",$A502&gt;TODAY()),0,IF(OR(INDEX($B502:$D502,AQ$5)="F",AND(AQ$6&gt;0,$A502&lt;AQ$6),AND(AQ$7&gt;0,$A502&gt;AQ$7)),0,MAX(0,ROUND((INDEX($E502:$G502,AQ$5)-SUMIFS(TF_Timer,TF_Tekniker,AQ$4,TF_Dato,$A502))*2,0)/2)))</f>
        <v/>
      </c>
      <c r="AR502">
        <f>IF(OR(AR$4="",$A502&gt;TODAY()),0,IF(OR(INDEX($B502:$D502,AR$5)="F",AND(AR$6&gt;0,$A502&lt;AR$6),AND(AR$7&gt;0,$A502&gt;AR$7)),0,MAX(0,ROUND((INDEX($E502:$G502,AR$5)-SUMIFS(TF_Timer,TF_Tekniker,AR$4,TF_Dato,$A502))*2,0)/2)))</f>
        <v/>
      </c>
      <c r="AS502">
        <f>IF(OR(AS$4="",$A502&gt;TODAY()),0,IF(OR(INDEX($B502:$D502,AS$5)="F",AND(AS$6&gt;0,$A502&lt;AS$6),AND(AS$7&gt;0,$A502&gt;AS$7)),0,MAX(0,ROUND((INDEX($E502:$G502,AS$5)-SUMIFS(TF_Timer,TF_Tekniker,AS$4,TF_Dato,$A502))*2,0)/2)))</f>
        <v/>
      </c>
      <c r="AT502">
        <f>IF(OR(AT$4="",$A502&gt;TODAY()),0,IF(OR(INDEX($B502:$D502,AT$5)="F",AND(AT$6&gt;0,$A502&lt;AT$6),AND(AT$7&gt;0,$A502&gt;AT$7)),0,MAX(0,ROUND((INDEX($E502:$G502,AT$5)-SUMIFS(TF_Timer,TF_Tekniker,AT$4,TF_Dato,$A502))*2,0)/2)))</f>
        <v/>
      </c>
      <c r="AU502">
        <f>IF(OR(AU$4="",$A502&gt;TODAY()),0,IF(OR(INDEX($B502:$D502,AU$5)="F",AND(AU$6&gt;0,$A502&lt;AU$6),AND(AU$7&gt;0,$A502&gt;AU$7)),0,MAX(0,ROUND((INDEX($E502:$G502,AU$5)-SUMIFS(TF_Timer,TF_Tekniker,AU$4,TF_Dato,$A502))*2,0)/2)))</f>
        <v/>
      </c>
      <c r="AV502">
        <f>IF(OR(AV$4="",$A502&gt;TODAY()),0,IF(OR(INDEX($B502:$D502,AV$5)="F",AND(AV$6&gt;0,$A502&lt;AV$6),AND(AV$7&gt;0,$A502&gt;AV$7)),0,MAX(0,ROUND((INDEX($E502:$G502,AV$5)-SUMIFS(TF_Timer,TF_Tekniker,AV$4,TF_Dato,$A502))*2,0)/2)))</f>
        <v/>
      </c>
      <c r="AW502">
        <f>IF(OR(AW$4="",$A502&gt;TODAY()),0,IF(OR(INDEX($B502:$D502,AW$5)="F",AND(AW$6&gt;0,$A502&lt;AW$6),AND(AW$7&gt;0,$A502&gt;AW$7)),0,MAX(0,ROUND((INDEX($E502:$G502,AW$5)-SUMIFS(TF_Timer,TF_Tekniker,AW$4,TF_Dato,$A502))*2,0)/2)))</f>
        <v/>
      </c>
      <c r="AX502">
        <f>IF(OR(AX$4="",$A502&gt;TODAY()),0,IF(OR(INDEX($B502:$D502,AX$5)="F",AND(AX$6&gt;0,$A502&lt;AX$6),AND(AX$7&gt;0,$A502&gt;AX$7)),0,MAX(0,ROUND((INDEX($E502:$G502,AX$5)-SUMIFS(TF_Timer,TF_Tekniker,AX$4,TF_Dato,$A502))*2,0)/2)))</f>
        <v/>
      </c>
      <c r="AY502">
        <f>IF(OR(AY$4="",$A502&gt;TODAY()),0,IF(OR(INDEX($B502:$D502,AY$5)="F",AND(AY$6&gt;0,$A502&lt;AY$6),AND(AY$7&gt;0,$A502&gt;AY$7)),0,MAX(0,ROUND((INDEX($E502:$G502,AY$5)-SUMIFS(TF_Timer,TF_Tekniker,AY$4,TF_Dato,$A502))*2,0)/2)))</f>
        <v/>
      </c>
      <c r="AZ502">
        <f>IF(OR(AZ$4="",$A502&gt;TODAY()),0,IF(OR(INDEX($B502:$D502,AZ$5)="F",AND(AZ$6&gt;0,$A502&lt;AZ$6),AND(AZ$7&gt;0,$A502&gt;AZ$7)),0,MAX(0,ROUND((INDEX($E502:$G502,AZ$5)-SUMIFS(TF_Timer,TF_Tekniker,AZ$4,TF_Dato,$A502))*2,0)/2)))</f>
        <v/>
      </c>
      <c r="BA502">
        <f>IF(OR(BA$4="",$A502&gt;TODAY()),0,IF(OR(INDEX($B502:$D502,BA$5)="F",AND(BA$6&gt;0,$A502&lt;BA$6),AND(BA$7&gt;0,$A502&gt;BA$7)),0,MAX(0,ROUND((INDEX($E502:$G502,BA$5)-SUMIFS(TF_Timer,TF_Tekniker,BA$4,TF_Dato,$A502))*2,0)/2)))</f>
        <v/>
      </c>
      <c r="BB502">
        <f>IF(OR(BB$4="",$A502&gt;TODAY()),0,IF(OR(INDEX($B502:$D502,BB$5)="F",AND(BB$6&gt;0,$A502&lt;BB$6),AND(BB$7&gt;0,$A502&gt;BB$7)),0,MAX(0,ROUND((INDEX($E502:$G502,BB$5)-SUMIFS(TF_Timer,TF_Tekniker,BB$4,TF_Dato,$A502))*2,0)/2)))</f>
        <v/>
      </c>
      <c r="BC502">
        <f>IF(OR(BC$4="",$A502&gt;TODAY()),0,IF(OR(INDEX($B502:$D502,BC$5)="F",AND(BC$6&gt;0,$A502&lt;BC$6),AND(BC$7&gt;0,$A502&gt;BC$7)),0,MAX(0,ROUND((INDEX($E502:$G502,BC$5)-SUMIFS(TF_Timer,TF_Tekniker,BC$4,TF_Dato,$A502))*2,0)/2)))</f>
        <v/>
      </c>
      <c r="BD502">
        <f>IF(OR(BD$4="",$A502&gt;TODAY()),0,IF(OR(INDEX($B502:$D502,BD$5)="F",AND(BD$6&gt;0,$A502&lt;BD$6),AND(BD$7&gt;0,$A502&gt;BD$7)),0,MAX(0,ROUND((INDEX($E502:$G502,BD$5)-SUMIFS(TF_Timer,TF_Tekniker,BD$4,TF_Dato,$A502))*2,0)/2)))</f>
        <v/>
      </c>
      <c r="BE502">
        <f>IF(OR(BE$4="",$A502&gt;TODAY()),0,IF(OR(INDEX($B502:$D502,BE$5)="F",AND(BE$6&gt;0,$A502&lt;BE$6),AND(BE$7&gt;0,$A502&gt;BE$7)),0,MAX(0,ROUND((INDEX($E502:$G502,BE$5)-SUMIFS(TF_Timer,TF_Tekniker,BE$4,TF_Dato,$A502))*2,0)/2)))</f>
        <v/>
      </c>
      <c r="BF502">
        <f>IF(OR(BF$4="",$A502&gt;TODAY()),0,IF(OR(INDEX($B502:$D502,BF$5)="F",AND(BF$6&gt;0,$A502&lt;BF$6),AND(BF$7&gt;0,$A502&gt;BF$7)),0,MAX(0,ROUND((INDEX($E502:$G502,BF$5)-SUMIFS(TF_Timer,TF_Tekniker,BF$4,TF_Dato,$A502))*2,0)/2)))</f>
        <v/>
      </c>
      <c r="BG502">
        <f>IF(OR(BG$4="",$A502&gt;TODAY()),0,IF(OR(INDEX($B502:$D502,BG$5)="F",AND(BG$6&gt;0,$A502&lt;BG$6),AND(BG$7&gt;0,$A502&gt;BG$7)),0,MAX(0,ROUND((INDEX($E502:$G502,BG$5)-SUMIFS(TF_Timer,TF_Tekniker,BG$4,TF_Dato,$A502))*2,0)/2)))</f>
        <v/>
      </c>
      <c r="BH502">
        <f>IF(OR(BH$4="",$A502&gt;TODAY()),0,IF(OR(INDEX($B502:$D502,BH$5)="F",AND(BH$6&gt;0,$A502&lt;BH$6),AND(BH$7&gt;0,$A502&gt;BH$7)),0,MAX(0,ROUND((INDEX($E502:$G502,BH$5)-SUMIFS(TF_Timer,TF_Tekniker,BH$4,TF_Dato,$A502))*2,0)/2)))</f>
        <v/>
      </c>
      <c r="BI502">
        <f>IF(OR(BI$4="",$A502&gt;TODAY()),0,IF(OR(INDEX($B502:$D502,BI$5)="F",AND(BI$6&gt;0,$A502&lt;BI$6),AND(BI$7&gt;0,$A502&gt;BI$7)),0,MAX(0,ROUND((INDEX($E502:$G502,BI$5)-SUMIFS(TF_Timer,TF_Tekniker,BI$4,TF_Dato,$A502))*2,0)/2)))</f>
        <v/>
      </c>
    </row>
    <row r="503">
      <c r="A503" s="64">
        <f>A502+1</f>
        <v/>
      </c>
      <c r="B503">
        <f>IF(MOD($A503-INDEX(SkiftStart,1),Syklus)&lt;DagK,"K",IF(MOD($A503-INDEX(SkiftStart,1),Syklus)&lt;DagK+DagH,"H",IF(MOD($A503-INDEX(SkiftStart,1),Syklus)&lt;DagK+DagH+DagD,"D","F")))</f>
        <v/>
      </c>
      <c r="C503">
        <f>IF(MOD($A503-INDEX(SkiftStart,2),Syklus)&lt;DagK,"K",IF(MOD($A503-INDEX(SkiftStart,2),Syklus)&lt;DagK+DagH,"H",IF(MOD($A503-INDEX(SkiftStart,2),Syklus)&lt;DagK+DagH+DagD,"D","F")))</f>
        <v/>
      </c>
      <c r="D503">
        <f>IF(MOD($A503-INDEX(SkiftStart,3),Syklus)&lt;DagK,"K",IF(MOD($A503-INDEX(SkiftStart,3),Syklus)&lt;DagK+DagH,"H",IF(MOD($A503-INDEX(SkiftStart,3),Syklus)&lt;DagK+DagH+DagD,"D","F")))</f>
        <v/>
      </c>
      <c r="E503">
        <f>IF(B503="F",0,IF(WEEKDAY($A503,2)=5,INDEX(TimerFr,MATCH(B503,FaseKode,0)),INDEX(TimerMT,MATCH(B503,FaseKode,0))))</f>
        <v/>
      </c>
      <c r="F503">
        <f>IF(C503="F",0,IF(WEEKDAY($A503,2)=5,INDEX(TimerFr,MATCH(C503,FaseKode,0)),INDEX(TimerMT,MATCH(C503,FaseKode,0))))</f>
        <v/>
      </c>
      <c r="G503">
        <f>IF(D503="F",0,IF(WEEKDAY($A503,2)=5,INDEX(TimerFr,MATCH(D503,FaseKode,0)),INDEX(TimerMT,MATCH(D503,FaseKode,0))))</f>
        <v/>
      </c>
      <c r="H503">
        <f>IF(OR(H$4="",$A503&gt;TODAY()),0,IF(OR(INDEX($B503:$D503,H$5)="F",AND(H$6&gt;0,$A503&lt;H$6),AND(H$7&gt;0,$A503&gt;H$7)),0,MAX(0,ROUND((INDEX($E503:$G503,H$5)-SUMIFS(TF_Timer,TF_Tekniker,H$4,TF_Dato,$A503))*2,0)/2)))</f>
        <v/>
      </c>
      <c r="I503">
        <f>IF(OR(I$4="",$A503&gt;TODAY()),0,IF(OR(INDEX($B503:$D503,I$5)="F",AND(I$6&gt;0,$A503&lt;I$6),AND(I$7&gt;0,$A503&gt;I$7)),0,MAX(0,ROUND((INDEX($E503:$G503,I$5)-SUMIFS(TF_Timer,TF_Tekniker,I$4,TF_Dato,$A503))*2,0)/2)))</f>
        <v/>
      </c>
      <c r="J503">
        <f>IF(OR(J$4="",$A503&gt;TODAY()),0,IF(OR(INDEX($B503:$D503,J$5)="F",AND(J$6&gt;0,$A503&lt;J$6),AND(J$7&gt;0,$A503&gt;J$7)),0,MAX(0,ROUND((INDEX($E503:$G503,J$5)-SUMIFS(TF_Timer,TF_Tekniker,J$4,TF_Dato,$A503))*2,0)/2)))</f>
        <v/>
      </c>
      <c r="K503">
        <f>IF(OR(K$4="",$A503&gt;TODAY()),0,IF(OR(INDEX($B503:$D503,K$5)="F",AND(K$6&gt;0,$A503&lt;K$6),AND(K$7&gt;0,$A503&gt;K$7)),0,MAX(0,ROUND((INDEX($E503:$G503,K$5)-SUMIFS(TF_Timer,TF_Tekniker,K$4,TF_Dato,$A503))*2,0)/2)))</f>
        <v/>
      </c>
      <c r="L503">
        <f>IF(OR(L$4="",$A503&gt;TODAY()),0,IF(OR(INDEX($B503:$D503,L$5)="F",AND(L$6&gt;0,$A503&lt;L$6),AND(L$7&gt;0,$A503&gt;L$7)),0,MAX(0,ROUND((INDEX($E503:$G503,L$5)-SUMIFS(TF_Timer,TF_Tekniker,L$4,TF_Dato,$A503))*2,0)/2)))</f>
        <v/>
      </c>
      <c r="M503">
        <f>IF(OR(M$4="",$A503&gt;TODAY()),0,IF(OR(INDEX($B503:$D503,M$5)="F",AND(M$6&gt;0,$A503&lt;M$6),AND(M$7&gt;0,$A503&gt;M$7)),0,MAX(0,ROUND((INDEX($E503:$G503,M$5)-SUMIFS(TF_Timer,TF_Tekniker,M$4,TF_Dato,$A503))*2,0)/2)))</f>
        <v/>
      </c>
      <c r="N503">
        <f>IF(OR(N$4="",$A503&gt;TODAY()),0,IF(OR(INDEX($B503:$D503,N$5)="F",AND(N$6&gt;0,$A503&lt;N$6),AND(N$7&gt;0,$A503&gt;N$7)),0,MAX(0,ROUND((INDEX($E503:$G503,N$5)-SUMIFS(TF_Timer,TF_Tekniker,N$4,TF_Dato,$A503))*2,0)/2)))</f>
        <v/>
      </c>
      <c r="O503">
        <f>IF(OR(O$4="",$A503&gt;TODAY()),0,IF(OR(INDEX($B503:$D503,O$5)="F",AND(O$6&gt;0,$A503&lt;O$6),AND(O$7&gt;0,$A503&gt;O$7)),0,MAX(0,ROUND((INDEX($E503:$G503,O$5)-SUMIFS(TF_Timer,TF_Tekniker,O$4,TF_Dato,$A503))*2,0)/2)))</f>
        <v/>
      </c>
      <c r="P503">
        <f>IF(OR(P$4="",$A503&gt;TODAY()),0,IF(OR(INDEX($B503:$D503,P$5)="F",AND(P$6&gt;0,$A503&lt;P$6),AND(P$7&gt;0,$A503&gt;P$7)),0,MAX(0,ROUND((INDEX($E503:$G503,P$5)-SUMIFS(TF_Timer,TF_Tekniker,P$4,TF_Dato,$A503))*2,0)/2)))</f>
        <v/>
      </c>
      <c r="Q503">
        <f>IF(OR(Q$4="",$A503&gt;TODAY()),0,IF(OR(INDEX($B503:$D503,Q$5)="F",AND(Q$6&gt;0,$A503&lt;Q$6),AND(Q$7&gt;0,$A503&gt;Q$7)),0,MAX(0,ROUND((INDEX($E503:$G503,Q$5)-SUMIFS(TF_Timer,TF_Tekniker,Q$4,TF_Dato,$A503))*2,0)/2)))</f>
        <v/>
      </c>
      <c r="R503">
        <f>IF(OR(R$4="",$A503&gt;TODAY()),0,IF(OR(INDEX($B503:$D503,R$5)="F",AND(R$6&gt;0,$A503&lt;R$6),AND(R$7&gt;0,$A503&gt;R$7)),0,MAX(0,ROUND((INDEX($E503:$G503,R$5)-SUMIFS(TF_Timer,TF_Tekniker,R$4,TF_Dato,$A503))*2,0)/2)))</f>
        <v/>
      </c>
      <c r="S503">
        <f>IF(OR(S$4="",$A503&gt;TODAY()),0,IF(OR(INDEX($B503:$D503,S$5)="F",AND(S$6&gt;0,$A503&lt;S$6),AND(S$7&gt;0,$A503&gt;S$7)),0,MAX(0,ROUND((INDEX($E503:$G503,S$5)-SUMIFS(TF_Timer,TF_Tekniker,S$4,TF_Dato,$A503))*2,0)/2)))</f>
        <v/>
      </c>
      <c r="T503">
        <f>IF(OR(T$4="",$A503&gt;TODAY()),0,IF(OR(INDEX($B503:$D503,T$5)="F",AND(T$6&gt;0,$A503&lt;T$6),AND(T$7&gt;0,$A503&gt;T$7)),0,MAX(0,ROUND((INDEX($E503:$G503,T$5)-SUMIFS(TF_Timer,TF_Tekniker,T$4,TF_Dato,$A503))*2,0)/2)))</f>
        <v/>
      </c>
      <c r="U503">
        <f>IF(OR(U$4="",$A503&gt;TODAY()),0,IF(OR(INDEX($B503:$D503,U$5)="F",AND(U$6&gt;0,$A503&lt;U$6),AND(U$7&gt;0,$A503&gt;U$7)),0,MAX(0,ROUND((INDEX($E503:$G503,U$5)-SUMIFS(TF_Timer,TF_Tekniker,U$4,TF_Dato,$A503))*2,0)/2)))</f>
        <v/>
      </c>
      <c r="V503">
        <f>IF(OR(V$4="",$A503&gt;TODAY()),0,IF(OR(INDEX($B503:$D503,V$5)="F",AND(V$6&gt;0,$A503&lt;V$6),AND(V$7&gt;0,$A503&gt;V$7)),0,MAX(0,ROUND((INDEX($E503:$G503,V$5)-SUMIFS(TF_Timer,TF_Tekniker,V$4,TF_Dato,$A503))*2,0)/2)))</f>
        <v/>
      </c>
      <c r="W503">
        <f>IF(OR(W$4="",$A503&gt;TODAY()),0,IF(OR(INDEX($B503:$D503,W$5)="F",AND(W$6&gt;0,$A503&lt;W$6),AND(W$7&gt;0,$A503&gt;W$7)),0,MAX(0,ROUND((INDEX($E503:$G503,W$5)-SUMIFS(TF_Timer,TF_Tekniker,W$4,TF_Dato,$A503))*2,0)/2)))</f>
        <v/>
      </c>
      <c r="X503">
        <f>IF(OR(X$4="",$A503&gt;TODAY()),0,IF(OR(INDEX($B503:$D503,X$5)="F",AND(X$6&gt;0,$A503&lt;X$6),AND(X$7&gt;0,$A503&gt;X$7)),0,MAX(0,ROUND((INDEX($E503:$G503,X$5)-SUMIFS(TF_Timer,TF_Tekniker,X$4,TF_Dato,$A503))*2,0)/2)))</f>
        <v/>
      </c>
      <c r="Y503">
        <f>IF(OR(Y$4="",$A503&gt;TODAY()),0,IF(OR(INDEX($B503:$D503,Y$5)="F",AND(Y$6&gt;0,$A503&lt;Y$6),AND(Y$7&gt;0,$A503&gt;Y$7)),0,MAX(0,ROUND((INDEX($E503:$G503,Y$5)-SUMIFS(TF_Timer,TF_Tekniker,Y$4,TF_Dato,$A503))*2,0)/2)))</f>
        <v/>
      </c>
      <c r="Z503">
        <f>IF(OR(Z$4="",$A503&gt;TODAY()),0,IF(OR(INDEX($B503:$D503,Z$5)="F",AND(Z$6&gt;0,$A503&lt;Z$6),AND(Z$7&gt;0,$A503&gt;Z$7)),0,MAX(0,ROUND((INDEX($E503:$G503,Z$5)-SUMIFS(TF_Timer,TF_Tekniker,Z$4,TF_Dato,$A503))*2,0)/2)))</f>
        <v/>
      </c>
      <c r="AA503">
        <f>IF(OR(AA$4="",$A503&gt;TODAY()),0,IF(OR(INDEX($B503:$D503,AA$5)="F",AND(AA$6&gt;0,$A503&lt;AA$6),AND(AA$7&gt;0,$A503&gt;AA$7)),0,MAX(0,ROUND((INDEX($E503:$G503,AA$5)-SUMIFS(TF_Timer,TF_Tekniker,AA$4,TF_Dato,$A503))*2,0)/2)))</f>
        <v/>
      </c>
      <c r="AB503">
        <f>IF(OR(AB$4="",$A503&gt;TODAY()),0,IF(OR(INDEX($B503:$D503,AB$5)="F",AND(AB$6&gt;0,$A503&lt;AB$6),AND(AB$7&gt;0,$A503&gt;AB$7)),0,MAX(0,ROUND((INDEX($E503:$G503,AB$5)-SUMIFS(TF_Timer,TF_Tekniker,AB$4,TF_Dato,$A503))*2,0)/2)))</f>
        <v/>
      </c>
      <c r="AC503">
        <f>IF(OR(AC$4="",$A503&gt;TODAY()),0,IF(OR(INDEX($B503:$D503,AC$5)="F",AND(AC$6&gt;0,$A503&lt;AC$6),AND(AC$7&gt;0,$A503&gt;AC$7)),0,MAX(0,ROUND((INDEX($E503:$G503,AC$5)-SUMIFS(TF_Timer,TF_Tekniker,AC$4,TF_Dato,$A503))*2,0)/2)))</f>
        <v/>
      </c>
      <c r="AD503">
        <f>IF(OR(AD$4="",$A503&gt;TODAY()),0,IF(OR(INDEX($B503:$D503,AD$5)="F",AND(AD$6&gt;0,$A503&lt;AD$6),AND(AD$7&gt;0,$A503&gt;AD$7)),0,MAX(0,ROUND((INDEX($E503:$G503,AD$5)-SUMIFS(TF_Timer,TF_Tekniker,AD$4,TF_Dato,$A503))*2,0)/2)))</f>
        <v/>
      </c>
      <c r="AE503">
        <f>IF(OR(AE$4="",$A503&gt;TODAY()),0,IF(OR(INDEX($B503:$D503,AE$5)="F",AND(AE$6&gt;0,$A503&lt;AE$6),AND(AE$7&gt;0,$A503&gt;AE$7)),0,MAX(0,ROUND((INDEX($E503:$G503,AE$5)-SUMIFS(TF_Timer,TF_Tekniker,AE$4,TF_Dato,$A503))*2,0)/2)))</f>
        <v/>
      </c>
      <c r="AF503">
        <f>IF(OR(AF$4="",$A503&gt;TODAY()),0,IF(OR(INDEX($B503:$D503,AF$5)="F",AND(AF$6&gt;0,$A503&lt;AF$6),AND(AF$7&gt;0,$A503&gt;AF$7)),0,MAX(0,ROUND((INDEX($E503:$G503,AF$5)-SUMIFS(TF_Timer,TF_Tekniker,AF$4,TF_Dato,$A503))*2,0)/2)))</f>
        <v/>
      </c>
      <c r="AG503">
        <f>IF(OR(AG$4="",$A503&gt;TODAY()),0,IF(OR(INDEX($B503:$D503,AG$5)="F",AND(AG$6&gt;0,$A503&lt;AG$6),AND(AG$7&gt;0,$A503&gt;AG$7)),0,MAX(0,ROUND((INDEX($E503:$G503,AG$5)-SUMIFS(TF_Timer,TF_Tekniker,AG$4,TF_Dato,$A503))*2,0)/2)))</f>
        <v/>
      </c>
      <c r="AH503">
        <f>IF(OR(AH$4="",$A503&gt;TODAY()),0,IF(OR(INDEX($B503:$D503,AH$5)="F",AND(AH$6&gt;0,$A503&lt;AH$6),AND(AH$7&gt;0,$A503&gt;AH$7)),0,MAX(0,ROUND((INDEX($E503:$G503,AH$5)-SUMIFS(TF_Timer,TF_Tekniker,AH$4,TF_Dato,$A503))*2,0)/2)))</f>
        <v/>
      </c>
      <c r="AI503">
        <f>IF(OR(AI$4="",$A503&gt;TODAY()),0,IF(OR(INDEX($B503:$D503,AI$5)="F",AND(AI$6&gt;0,$A503&lt;AI$6),AND(AI$7&gt;0,$A503&gt;AI$7)),0,MAX(0,ROUND((INDEX($E503:$G503,AI$5)-SUMIFS(TF_Timer,TF_Tekniker,AI$4,TF_Dato,$A503))*2,0)/2)))</f>
        <v/>
      </c>
      <c r="AJ503">
        <f>IF(OR(AJ$4="",$A503&gt;TODAY()),0,IF(OR(INDEX($B503:$D503,AJ$5)="F",AND(AJ$6&gt;0,$A503&lt;AJ$6),AND(AJ$7&gt;0,$A503&gt;AJ$7)),0,MAX(0,ROUND((INDEX($E503:$G503,AJ$5)-SUMIFS(TF_Timer,TF_Tekniker,AJ$4,TF_Dato,$A503))*2,0)/2)))</f>
        <v/>
      </c>
      <c r="AK503">
        <f>IF(OR(AK$4="",$A503&gt;TODAY()),0,IF(OR(INDEX($B503:$D503,AK$5)="F",AND(AK$6&gt;0,$A503&lt;AK$6),AND(AK$7&gt;0,$A503&gt;AK$7)),0,MAX(0,ROUND((INDEX($E503:$G503,AK$5)-SUMIFS(TF_Timer,TF_Tekniker,AK$4,TF_Dato,$A503))*2,0)/2)))</f>
        <v/>
      </c>
      <c r="AL503">
        <f>IF(OR(AL$4="",$A503&gt;TODAY()),0,IF(OR(INDEX($B503:$D503,AL$5)="F",AND(AL$6&gt;0,$A503&lt;AL$6),AND(AL$7&gt;0,$A503&gt;AL$7)),0,MAX(0,ROUND((INDEX($E503:$G503,AL$5)-SUMIFS(TF_Timer,TF_Tekniker,AL$4,TF_Dato,$A503))*2,0)/2)))</f>
        <v/>
      </c>
      <c r="AM503">
        <f>IF(OR(AM$4="",$A503&gt;TODAY()),0,IF(OR(INDEX($B503:$D503,AM$5)="F",AND(AM$6&gt;0,$A503&lt;AM$6),AND(AM$7&gt;0,$A503&gt;AM$7)),0,MAX(0,ROUND((INDEX($E503:$G503,AM$5)-SUMIFS(TF_Timer,TF_Tekniker,AM$4,TF_Dato,$A503))*2,0)/2)))</f>
        <v/>
      </c>
      <c r="AN503">
        <f>IF(OR(AN$4="",$A503&gt;TODAY()),0,IF(OR(INDEX($B503:$D503,AN$5)="F",AND(AN$6&gt;0,$A503&lt;AN$6),AND(AN$7&gt;0,$A503&gt;AN$7)),0,MAX(0,ROUND((INDEX($E503:$G503,AN$5)-SUMIFS(TF_Timer,TF_Tekniker,AN$4,TF_Dato,$A503))*2,0)/2)))</f>
        <v/>
      </c>
      <c r="AO503">
        <f>IF(OR(AO$4="",$A503&gt;TODAY()),0,IF(OR(INDEX($B503:$D503,AO$5)="F",AND(AO$6&gt;0,$A503&lt;AO$6),AND(AO$7&gt;0,$A503&gt;AO$7)),0,MAX(0,ROUND((INDEX($E503:$G503,AO$5)-SUMIFS(TF_Timer,TF_Tekniker,AO$4,TF_Dato,$A503))*2,0)/2)))</f>
        <v/>
      </c>
      <c r="AP503">
        <f>IF(OR(AP$4="",$A503&gt;TODAY()),0,IF(OR(INDEX($B503:$D503,AP$5)="F",AND(AP$6&gt;0,$A503&lt;AP$6),AND(AP$7&gt;0,$A503&gt;AP$7)),0,MAX(0,ROUND((INDEX($E503:$G503,AP$5)-SUMIFS(TF_Timer,TF_Tekniker,AP$4,TF_Dato,$A503))*2,0)/2)))</f>
        <v/>
      </c>
      <c r="AQ503">
        <f>IF(OR(AQ$4="",$A503&gt;TODAY()),0,IF(OR(INDEX($B503:$D503,AQ$5)="F",AND(AQ$6&gt;0,$A503&lt;AQ$6),AND(AQ$7&gt;0,$A503&gt;AQ$7)),0,MAX(0,ROUND((INDEX($E503:$G503,AQ$5)-SUMIFS(TF_Timer,TF_Tekniker,AQ$4,TF_Dato,$A503))*2,0)/2)))</f>
        <v/>
      </c>
      <c r="AR503">
        <f>IF(OR(AR$4="",$A503&gt;TODAY()),0,IF(OR(INDEX($B503:$D503,AR$5)="F",AND(AR$6&gt;0,$A503&lt;AR$6),AND(AR$7&gt;0,$A503&gt;AR$7)),0,MAX(0,ROUND((INDEX($E503:$G503,AR$5)-SUMIFS(TF_Timer,TF_Tekniker,AR$4,TF_Dato,$A503))*2,0)/2)))</f>
        <v/>
      </c>
      <c r="AS503">
        <f>IF(OR(AS$4="",$A503&gt;TODAY()),0,IF(OR(INDEX($B503:$D503,AS$5)="F",AND(AS$6&gt;0,$A503&lt;AS$6),AND(AS$7&gt;0,$A503&gt;AS$7)),0,MAX(0,ROUND((INDEX($E503:$G503,AS$5)-SUMIFS(TF_Timer,TF_Tekniker,AS$4,TF_Dato,$A503))*2,0)/2)))</f>
        <v/>
      </c>
      <c r="AT503">
        <f>IF(OR(AT$4="",$A503&gt;TODAY()),0,IF(OR(INDEX($B503:$D503,AT$5)="F",AND(AT$6&gt;0,$A503&lt;AT$6),AND(AT$7&gt;0,$A503&gt;AT$7)),0,MAX(0,ROUND((INDEX($E503:$G503,AT$5)-SUMIFS(TF_Timer,TF_Tekniker,AT$4,TF_Dato,$A503))*2,0)/2)))</f>
        <v/>
      </c>
      <c r="AU503">
        <f>IF(OR(AU$4="",$A503&gt;TODAY()),0,IF(OR(INDEX($B503:$D503,AU$5)="F",AND(AU$6&gt;0,$A503&lt;AU$6),AND(AU$7&gt;0,$A503&gt;AU$7)),0,MAX(0,ROUND((INDEX($E503:$G503,AU$5)-SUMIFS(TF_Timer,TF_Tekniker,AU$4,TF_Dato,$A503))*2,0)/2)))</f>
        <v/>
      </c>
      <c r="AV503">
        <f>IF(OR(AV$4="",$A503&gt;TODAY()),0,IF(OR(INDEX($B503:$D503,AV$5)="F",AND(AV$6&gt;0,$A503&lt;AV$6),AND(AV$7&gt;0,$A503&gt;AV$7)),0,MAX(0,ROUND((INDEX($E503:$G503,AV$5)-SUMIFS(TF_Timer,TF_Tekniker,AV$4,TF_Dato,$A503))*2,0)/2)))</f>
        <v/>
      </c>
      <c r="AW503">
        <f>IF(OR(AW$4="",$A503&gt;TODAY()),0,IF(OR(INDEX($B503:$D503,AW$5)="F",AND(AW$6&gt;0,$A503&lt;AW$6),AND(AW$7&gt;0,$A503&gt;AW$7)),0,MAX(0,ROUND((INDEX($E503:$G503,AW$5)-SUMIFS(TF_Timer,TF_Tekniker,AW$4,TF_Dato,$A503))*2,0)/2)))</f>
        <v/>
      </c>
      <c r="AX503">
        <f>IF(OR(AX$4="",$A503&gt;TODAY()),0,IF(OR(INDEX($B503:$D503,AX$5)="F",AND(AX$6&gt;0,$A503&lt;AX$6),AND(AX$7&gt;0,$A503&gt;AX$7)),0,MAX(0,ROUND((INDEX($E503:$G503,AX$5)-SUMIFS(TF_Timer,TF_Tekniker,AX$4,TF_Dato,$A503))*2,0)/2)))</f>
        <v/>
      </c>
      <c r="AY503">
        <f>IF(OR(AY$4="",$A503&gt;TODAY()),0,IF(OR(INDEX($B503:$D503,AY$5)="F",AND(AY$6&gt;0,$A503&lt;AY$6),AND(AY$7&gt;0,$A503&gt;AY$7)),0,MAX(0,ROUND((INDEX($E503:$G503,AY$5)-SUMIFS(TF_Timer,TF_Tekniker,AY$4,TF_Dato,$A503))*2,0)/2)))</f>
        <v/>
      </c>
      <c r="AZ503">
        <f>IF(OR(AZ$4="",$A503&gt;TODAY()),0,IF(OR(INDEX($B503:$D503,AZ$5)="F",AND(AZ$6&gt;0,$A503&lt;AZ$6),AND(AZ$7&gt;0,$A503&gt;AZ$7)),0,MAX(0,ROUND((INDEX($E503:$G503,AZ$5)-SUMIFS(TF_Timer,TF_Tekniker,AZ$4,TF_Dato,$A503))*2,0)/2)))</f>
        <v/>
      </c>
      <c r="BA503">
        <f>IF(OR(BA$4="",$A503&gt;TODAY()),0,IF(OR(INDEX($B503:$D503,BA$5)="F",AND(BA$6&gt;0,$A503&lt;BA$6),AND(BA$7&gt;0,$A503&gt;BA$7)),0,MAX(0,ROUND((INDEX($E503:$G503,BA$5)-SUMIFS(TF_Timer,TF_Tekniker,BA$4,TF_Dato,$A503))*2,0)/2)))</f>
        <v/>
      </c>
      <c r="BB503">
        <f>IF(OR(BB$4="",$A503&gt;TODAY()),0,IF(OR(INDEX($B503:$D503,BB$5)="F",AND(BB$6&gt;0,$A503&lt;BB$6),AND(BB$7&gt;0,$A503&gt;BB$7)),0,MAX(0,ROUND((INDEX($E503:$G503,BB$5)-SUMIFS(TF_Timer,TF_Tekniker,BB$4,TF_Dato,$A503))*2,0)/2)))</f>
        <v/>
      </c>
      <c r="BC503">
        <f>IF(OR(BC$4="",$A503&gt;TODAY()),0,IF(OR(INDEX($B503:$D503,BC$5)="F",AND(BC$6&gt;0,$A503&lt;BC$6),AND(BC$7&gt;0,$A503&gt;BC$7)),0,MAX(0,ROUND((INDEX($E503:$G503,BC$5)-SUMIFS(TF_Timer,TF_Tekniker,BC$4,TF_Dato,$A503))*2,0)/2)))</f>
        <v/>
      </c>
      <c r="BD503">
        <f>IF(OR(BD$4="",$A503&gt;TODAY()),0,IF(OR(INDEX($B503:$D503,BD$5)="F",AND(BD$6&gt;0,$A503&lt;BD$6),AND(BD$7&gt;0,$A503&gt;BD$7)),0,MAX(0,ROUND((INDEX($E503:$G503,BD$5)-SUMIFS(TF_Timer,TF_Tekniker,BD$4,TF_Dato,$A503))*2,0)/2)))</f>
        <v/>
      </c>
      <c r="BE503">
        <f>IF(OR(BE$4="",$A503&gt;TODAY()),0,IF(OR(INDEX($B503:$D503,BE$5)="F",AND(BE$6&gt;0,$A503&lt;BE$6),AND(BE$7&gt;0,$A503&gt;BE$7)),0,MAX(0,ROUND((INDEX($E503:$G503,BE$5)-SUMIFS(TF_Timer,TF_Tekniker,BE$4,TF_Dato,$A503))*2,0)/2)))</f>
        <v/>
      </c>
      <c r="BF503">
        <f>IF(OR(BF$4="",$A503&gt;TODAY()),0,IF(OR(INDEX($B503:$D503,BF$5)="F",AND(BF$6&gt;0,$A503&lt;BF$6),AND(BF$7&gt;0,$A503&gt;BF$7)),0,MAX(0,ROUND((INDEX($E503:$G503,BF$5)-SUMIFS(TF_Timer,TF_Tekniker,BF$4,TF_Dato,$A503))*2,0)/2)))</f>
        <v/>
      </c>
      <c r="BG503">
        <f>IF(OR(BG$4="",$A503&gt;TODAY()),0,IF(OR(INDEX($B503:$D503,BG$5)="F",AND(BG$6&gt;0,$A503&lt;BG$6),AND(BG$7&gt;0,$A503&gt;BG$7)),0,MAX(0,ROUND((INDEX($E503:$G503,BG$5)-SUMIFS(TF_Timer,TF_Tekniker,BG$4,TF_Dato,$A503))*2,0)/2)))</f>
        <v/>
      </c>
      <c r="BH503">
        <f>IF(OR(BH$4="",$A503&gt;TODAY()),0,IF(OR(INDEX($B503:$D503,BH$5)="F",AND(BH$6&gt;0,$A503&lt;BH$6),AND(BH$7&gt;0,$A503&gt;BH$7)),0,MAX(0,ROUND((INDEX($E503:$G503,BH$5)-SUMIFS(TF_Timer,TF_Tekniker,BH$4,TF_Dato,$A503))*2,0)/2)))</f>
        <v/>
      </c>
      <c r="BI503">
        <f>IF(OR(BI$4="",$A503&gt;TODAY()),0,IF(OR(INDEX($B503:$D503,BI$5)="F",AND(BI$6&gt;0,$A503&lt;BI$6),AND(BI$7&gt;0,$A503&gt;BI$7)),0,MAX(0,ROUND((INDEX($E503:$G503,BI$5)-SUMIFS(TF_Timer,TF_Tekniker,BI$4,TF_Dato,$A503))*2,0)/2)))</f>
        <v/>
      </c>
    </row>
    <row r="504">
      <c r="A504" s="64">
        <f>A503+1</f>
        <v/>
      </c>
      <c r="B504">
        <f>IF(MOD($A504-INDEX(SkiftStart,1),Syklus)&lt;DagK,"K",IF(MOD($A504-INDEX(SkiftStart,1),Syklus)&lt;DagK+DagH,"H",IF(MOD($A504-INDEX(SkiftStart,1),Syklus)&lt;DagK+DagH+DagD,"D","F")))</f>
        <v/>
      </c>
      <c r="C504">
        <f>IF(MOD($A504-INDEX(SkiftStart,2),Syklus)&lt;DagK,"K",IF(MOD($A504-INDEX(SkiftStart,2),Syklus)&lt;DagK+DagH,"H",IF(MOD($A504-INDEX(SkiftStart,2),Syklus)&lt;DagK+DagH+DagD,"D","F")))</f>
        <v/>
      </c>
      <c r="D504">
        <f>IF(MOD($A504-INDEX(SkiftStart,3),Syklus)&lt;DagK,"K",IF(MOD($A504-INDEX(SkiftStart,3),Syklus)&lt;DagK+DagH,"H",IF(MOD($A504-INDEX(SkiftStart,3),Syklus)&lt;DagK+DagH+DagD,"D","F")))</f>
        <v/>
      </c>
      <c r="E504">
        <f>IF(B504="F",0,IF(WEEKDAY($A504,2)=5,INDEX(TimerFr,MATCH(B504,FaseKode,0)),INDEX(TimerMT,MATCH(B504,FaseKode,0))))</f>
        <v/>
      </c>
      <c r="F504">
        <f>IF(C504="F",0,IF(WEEKDAY($A504,2)=5,INDEX(TimerFr,MATCH(C504,FaseKode,0)),INDEX(TimerMT,MATCH(C504,FaseKode,0))))</f>
        <v/>
      </c>
      <c r="G504">
        <f>IF(D504="F",0,IF(WEEKDAY($A504,2)=5,INDEX(TimerFr,MATCH(D504,FaseKode,0)),INDEX(TimerMT,MATCH(D504,FaseKode,0))))</f>
        <v/>
      </c>
      <c r="H504">
        <f>IF(OR(H$4="",$A504&gt;TODAY()),0,IF(OR(INDEX($B504:$D504,H$5)="F",AND(H$6&gt;0,$A504&lt;H$6),AND(H$7&gt;0,$A504&gt;H$7)),0,MAX(0,ROUND((INDEX($E504:$G504,H$5)-SUMIFS(TF_Timer,TF_Tekniker,H$4,TF_Dato,$A504))*2,0)/2)))</f>
        <v/>
      </c>
      <c r="I504">
        <f>IF(OR(I$4="",$A504&gt;TODAY()),0,IF(OR(INDEX($B504:$D504,I$5)="F",AND(I$6&gt;0,$A504&lt;I$6),AND(I$7&gt;0,$A504&gt;I$7)),0,MAX(0,ROUND((INDEX($E504:$G504,I$5)-SUMIFS(TF_Timer,TF_Tekniker,I$4,TF_Dato,$A504))*2,0)/2)))</f>
        <v/>
      </c>
      <c r="J504">
        <f>IF(OR(J$4="",$A504&gt;TODAY()),0,IF(OR(INDEX($B504:$D504,J$5)="F",AND(J$6&gt;0,$A504&lt;J$6),AND(J$7&gt;0,$A504&gt;J$7)),0,MAX(0,ROUND((INDEX($E504:$G504,J$5)-SUMIFS(TF_Timer,TF_Tekniker,J$4,TF_Dato,$A504))*2,0)/2)))</f>
        <v/>
      </c>
      <c r="K504">
        <f>IF(OR(K$4="",$A504&gt;TODAY()),0,IF(OR(INDEX($B504:$D504,K$5)="F",AND(K$6&gt;0,$A504&lt;K$6),AND(K$7&gt;0,$A504&gt;K$7)),0,MAX(0,ROUND((INDEX($E504:$G504,K$5)-SUMIFS(TF_Timer,TF_Tekniker,K$4,TF_Dato,$A504))*2,0)/2)))</f>
        <v/>
      </c>
      <c r="L504">
        <f>IF(OR(L$4="",$A504&gt;TODAY()),0,IF(OR(INDEX($B504:$D504,L$5)="F",AND(L$6&gt;0,$A504&lt;L$6),AND(L$7&gt;0,$A504&gt;L$7)),0,MAX(0,ROUND((INDEX($E504:$G504,L$5)-SUMIFS(TF_Timer,TF_Tekniker,L$4,TF_Dato,$A504))*2,0)/2)))</f>
        <v/>
      </c>
      <c r="M504">
        <f>IF(OR(M$4="",$A504&gt;TODAY()),0,IF(OR(INDEX($B504:$D504,M$5)="F",AND(M$6&gt;0,$A504&lt;M$6),AND(M$7&gt;0,$A504&gt;M$7)),0,MAX(0,ROUND((INDEX($E504:$G504,M$5)-SUMIFS(TF_Timer,TF_Tekniker,M$4,TF_Dato,$A504))*2,0)/2)))</f>
        <v/>
      </c>
      <c r="N504">
        <f>IF(OR(N$4="",$A504&gt;TODAY()),0,IF(OR(INDEX($B504:$D504,N$5)="F",AND(N$6&gt;0,$A504&lt;N$6),AND(N$7&gt;0,$A504&gt;N$7)),0,MAX(0,ROUND((INDEX($E504:$G504,N$5)-SUMIFS(TF_Timer,TF_Tekniker,N$4,TF_Dato,$A504))*2,0)/2)))</f>
        <v/>
      </c>
      <c r="O504">
        <f>IF(OR(O$4="",$A504&gt;TODAY()),0,IF(OR(INDEX($B504:$D504,O$5)="F",AND(O$6&gt;0,$A504&lt;O$6),AND(O$7&gt;0,$A504&gt;O$7)),0,MAX(0,ROUND((INDEX($E504:$G504,O$5)-SUMIFS(TF_Timer,TF_Tekniker,O$4,TF_Dato,$A504))*2,0)/2)))</f>
        <v/>
      </c>
      <c r="P504">
        <f>IF(OR(P$4="",$A504&gt;TODAY()),0,IF(OR(INDEX($B504:$D504,P$5)="F",AND(P$6&gt;0,$A504&lt;P$6),AND(P$7&gt;0,$A504&gt;P$7)),0,MAX(0,ROUND((INDEX($E504:$G504,P$5)-SUMIFS(TF_Timer,TF_Tekniker,P$4,TF_Dato,$A504))*2,0)/2)))</f>
        <v/>
      </c>
      <c r="Q504">
        <f>IF(OR(Q$4="",$A504&gt;TODAY()),0,IF(OR(INDEX($B504:$D504,Q$5)="F",AND(Q$6&gt;0,$A504&lt;Q$6),AND(Q$7&gt;0,$A504&gt;Q$7)),0,MAX(0,ROUND((INDEX($E504:$G504,Q$5)-SUMIFS(TF_Timer,TF_Tekniker,Q$4,TF_Dato,$A504))*2,0)/2)))</f>
        <v/>
      </c>
      <c r="R504">
        <f>IF(OR(R$4="",$A504&gt;TODAY()),0,IF(OR(INDEX($B504:$D504,R$5)="F",AND(R$6&gt;0,$A504&lt;R$6),AND(R$7&gt;0,$A504&gt;R$7)),0,MAX(0,ROUND((INDEX($E504:$G504,R$5)-SUMIFS(TF_Timer,TF_Tekniker,R$4,TF_Dato,$A504))*2,0)/2)))</f>
        <v/>
      </c>
      <c r="S504">
        <f>IF(OR(S$4="",$A504&gt;TODAY()),0,IF(OR(INDEX($B504:$D504,S$5)="F",AND(S$6&gt;0,$A504&lt;S$6),AND(S$7&gt;0,$A504&gt;S$7)),0,MAX(0,ROUND((INDEX($E504:$G504,S$5)-SUMIFS(TF_Timer,TF_Tekniker,S$4,TF_Dato,$A504))*2,0)/2)))</f>
        <v/>
      </c>
      <c r="T504">
        <f>IF(OR(T$4="",$A504&gt;TODAY()),0,IF(OR(INDEX($B504:$D504,T$5)="F",AND(T$6&gt;0,$A504&lt;T$6),AND(T$7&gt;0,$A504&gt;T$7)),0,MAX(0,ROUND((INDEX($E504:$G504,T$5)-SUMIFS(TF_Timer,TF_Tekniker,T$4,TF_Dato,$A504))*2,0)/2)))</f>
        <v/>
      </c>
      <c r="U504">
        <f>IF(OR(U$4="",$A504&gt;TODAY()),0,IF(OR(INDEX($B504:$D504,U$5)="F",AND(U$6&gt;0,$A504&lt;U$6),AND(U$7&gt;0,$A504&gt;U$7)),0,MAX(0,ROUND((INDEX($E504:$G504,U$5)-SUMIFS(TF_Timer,TF_Tekniker,U$4,TF_Dato,$A504))*2,0)/2)))</f>
        <v/>
      </c>
      <c r="V504">
        <f>IF(OR(V$4="",$A504&gt;TODAY()),0,IF(OR(INDEX($B504:$D504,V$5)="F",AND(V$6&gt;0,$A504&lt;V$6),AND(V$7&gt;0,$A504&gt;V$7)),0,MAX(0,ROUND((INDEX($E504:$G504,V$5)-SUMIFS(TF_Timer,TF_Tekniker,V$4,TF_Dato,$A504))*2,0)/2)))</f>
        <v/>
      </c>
      <c r="W504">
        <f>IF(OR(W$4="",$A504&gt;TODAY()),0,IF(OR(INDEX($B504:$D504,W$5)="F",AND(W$6&gt;0,$A504&lt;W$6),AND(W$7&gt;0,$A504&gt;W$7)),0,MAX(0,ROUND((INDEX($E504:$G504,W$5)-SUMIFS(TF_Timer,TF_Tekniker,W$4,TF_Dato,$A504))*2,0)/2)))</f>
        <v/>
      </c>
      <c r="X504">
        <f>IF(OR(X$4="",$A504&gt;TODAY()),0,IF(OR(INDEX($B504:$D504,X$5)="F",AND(X$6&gt;0,$A504&lt;X$6),AND(X$7&gt;0,$A504&gt;X$7)),0,MAX(0,ROUND((INDEX($E504:$G504,X$5)-SUMIFS(TF_Timer,TF_Tekniker,X$4,TF_Dato,$A504))*2,0)/2)))</f>
        <v/>
      </c>
      <c r="Y504">
        <f>IF(OR(Y$4="",$A504&gt;TODAY()),0,IF(OR(INDEX($B504:$D504,Y$5)="F",AND(Y$6&gt;0,$A504&lt;Y$6),AND(Y$7&gt;0,$A504&gt;Y$7)),0,MAX(0,ROUND((INDEX($E504:$G504,Y$5)-SUMIFS(TF_Timer,TF_Tekniker,Y$4,TF_Dato,$A504))*2,0)/2)))</f>
        <v/>
      </c>
      <c r="Z504">
        <f>IF(OR(Z$4="",$A504&gt;TODAY()),0,IF(OR(INDEX($B504:$D504,Z$5)="F",AND(Z$6&gt;0,$A504&lt;Z$6),AND(Z$7&gt;0,$A504&gt;Z$7)),0,MAX(0,ROUND((INDEX($E504:$G504,Z$5)-SUMIFS(TF_Timer,TF_Tekniker,Z$4,TF_Dato,$A504))*2,0)/2)))</f>
        <v/>
      </c>
      <c r="AA504">
        <f>IF(OR(AA$4="",$A504&gt;TODAY()),0,IF(OR(INDEX($B504:$D504,AA$5)="F",AND(AA$6&gt;0,$A504&lt;AA$6),AND(AA$7&gt;0,$A504&gt;AA$7)),0,MAX(0,ROUND((INDEX($E504:$G504,AA$5)-SUMIFS(TF_Timer,TF_Tekniker,AA$4,TF_Dato,$A504))*2,0)/2)))</f>
        <v/>
      </c>
      <c r="AB504">
        <f>IF(OR(AB$4="",$A504&gt;TODAY()),0,IF(OR(INDEX($B504:$D504,AB$5)="F",AND(AB$6&gt;0,$A504&lt;AB$6),AND(AB$7&gt;0,$A504&gt;AB$7)),0,MAX(0,ROUND((INDEX($E504:$G504,AB$5)-SUMIFS(TF_Timer,TF_Tekniker,AB$4,TF_Dato,$A504))*2,0)/2)))</f>
        <v/>
      </c>
      <c r="AC504">
        <f>IF(OR(AC$4="",$A504&gt;TODAY()),0,IF(OR(INDEX($B504:$D504,AC$5)="F",AND(AC$6&gt;0,$A504&lt;AC$6),AND(AC$7&gt;0,$A504&gt;AC$7)),0,MAX(0,ROUND((INDEX($E504:$G504,AC$5)-SUMIFS(TF_Timer,TF_Tekniker,AC$4,TF_Dato,$A504))*2,0)/2)))</f>
        <v/>
      </c>
      <c r="AD504">
        <f>IF(OR(AD$4="",$A504&gt;TODAY()),0,IF(OR(INDEX($B504:$D504,AD$5)="F",AND(AD$6&gt;0,$A504&lt;AD$6),AND(AD$7&gt;0,$A504&gt;AD$7)),0,MAX(0,ROUND((INDEX($E504:$G504,AD$5)-SUMIFS(TF_Timer,TF_Tekniker,AD$4,TF_Dato,$A504))*2,0)/2)))</f>
        <v/>
      </c>
      <c r="AE504">
        <f>IF(OR(AE$4="",$A504&gt;TODAY()),0,IF(OR(INDEX($B504:$D504,AE$5)="F",AND(AE$6&gt;0,$A504&lt;AE$6),AND(AE$7&gt;0,$A504&gt;AE$7)),0,MAX(0,ROUND((INDEX($E504:$G504,AE$5)-SUMIFS(TF_Timer,TF_Tekniker,AE$4,TF_Dato,$A504))*2,0)/2)))</f>
        <v/>
      </c>
      <c r="AF504">
        <f>IF(OR(AF$4="",$A504&gt;TODAY()),0,IF(OR(INDEX($B504:$D504,AF$5)="F",AND(AF$6&gt;0,$A504&lt;AF$6),AND(AF$7&gt;0,$A504&gt;AF$7)),0,MAX(0,ROUND((INDEX($E504:$G504,AF$5)-SUMIFS(TF_Timer,TF_Tekniker,AF$4,TF_Dato,$A504))*2,0)/2)))</f>
        <v/>
      </c>
      <c r="AG504">
        <f>IF(OR(AG$4="",$A504&gt;TODAY()),0,IF(OR(INDEX($B504:$D504,AG$5)="F",AND(AG$6&gt;0,$A504&lt;AG$6),AND(AG$7&gt;0,$A504&gt;AG$7)),0,MAX(0,ROUND((INDEX($E504:$G504,AG$5)-SUMIFS(TF_Timer,TF_Tekniker,AG$4,TF_Dato,$A504))*2,0)/2)))</f>
        <v/>
      </c>
      <c r="AH504">
        <f>IF(OR(AH$4="",$A504&gt;TODAY()),0,IF(OR(INDEX($B504:$D504,AH$5)="F",AND(AH$6&gt;0,$A504&lt;AH$6),AND(AH$7&gt;0,$A504&gt;AH$7)),0,MAX(0,ROUND((INDEX($E504:$G504,AH$5)-SUMIFS(TF_Timer,TF_Tekniker,AH$4,TF_Dato,$A504))*2,0)/2)))</f>
        <v/>
      </c>
      <c r="AI504">
        <f>IF(OR(AI$4="",$A504&gt;TODAY()),0,IF(OR(INDEX($B504:$D504,AI$5)="F",AND(AI$6&gt;0,$A504&lt;AI$6),AND(AI$7&gt;0,$A504&gt;AI$7)),0,MAX(0,ROUND((INDEX($E504:$G504,AI$5)-SUMIFS(TF_Timer,TF_Tekniker,AI$4,TF_Dato,$A504))*2,0)/2)))</f>
        <v/>
      </c>
      <c r="AJ504">
        <f>IF(OR(AJ$4="",$A504&gt;TODAY()),0,IF(OR(INDEX($B504:$D504,AJ$5)="F",AND(AJ$6&gt;0,$A504&lt;AJ$6),AND(AJ$7&gt;0,$A504&gt;AJ$7)),0,MAX(0,ROUND((INDEX($E504:$G504,AJ$5)-SUMIFS(TF_Timer,TF_Tekniker,AJ$4,TF_Dato,$A504))*2,0)/2)))</f>
        <v/>
      </c>
      <c r="AK504">
        <f>IF(OR(AK$4="",$A504&gt;TODAY()),0,IF(OR(INDEX($B504:$D504,AK$5)="F",AND(AK$6&gt;0,$A504&lt;AK$6),AND(AK$7&gt;0,$A504&gt;AK$7)),0,MAX(0,ROUND((INDEX($E504:$G504,AK$5)-SUMIFS(TF_Timer,TF_Tekniker,AK$4,TF_Dato,$A504))*2,0)/2)))</f>
        <v/>
      </c>
      <c r="AL504">
        <f>IF(OR(AL$4="",$A504&gt;TODAY()),0,IF(OR(INDEX($B504:$D504,AL$5)="F",AND(AL$6&gt;0,$A504&lt;AL$6),AND(AL$7&gt;0,$A504&gt;AL$7)),0,MAX(0,ROUND((INDEX($E504:$G504,AL$5)-SUMIFS(TF_Timer,TF_Tekniker,AL$4,TF_Dato,$A504))*2,0)/2)))</f>
        <v/>
      </c>
      <c r="AM504">
        <f>IF(OR(AM$4="",$A504&gt;TODAY()),0,IF(OR(INDEX($B504:$D504,AM$5)="F",AND(AM$6&gt;0,$A504&lt;AM$6),AND(AM$7&gt;0,$A504&gt;AM$7)),0,MAX(0,ROUND((INDEX($E504:$G504,AM$5)-SUMIFS(TF_Timer,TF_Tekniker,AM$4,TF_Dato,$A504))*2,0)/2)))</f>
        <v/>
      </c>
      <c r="AN504">
        <f>IF(OR(AN$4="",$A504&gt;TODAY()),0,IF(OR(INDEX($B504:$D504,AN$5)="F",AND(AN$6&gt;0,$A504&lt;AN$6),AND(AN$7&gt;0,$A504&gt;AN$7)),0,MAX(0,ROUND((INDEX($E504:$G504,AN$5)-SUMIFS(TF_Timer,TF_Tekniker,AN$4,TF_Dato,$A504))*2,0)/2)))</f>
        <v/>
      </c>
      <c r="AO504">
        <f>IF(OR(AO$4="",$A504&gt;TODAY()),0,IF(OR(INDEX($B504:$D504,AO$5)="F",AND(AO$6&gt;0,$A504&lt;AO$6),AND(AO$7&gt;0,$A504&gt;AO$7)),0,MAX(0,ROUND((INDEX($E504:$G504,AO$5)-SUMIFS(TF_Timer,TF_Tekniker,AO$4,TF_Dato,$A504))*2,0)/2)))</f>
        <v/>
      </c>
      <c r="AP504">
        <f>IF(OR(AP$4="",$A504&gt;TODAY()),0,IF(OR(INDEX($B504:$D504,AP$5)="F",AND(AP$6&gt;0,$A504&lt;AP$6),AND(AP$7&gt;0,$A504&gt;AP$7)),0,MAX(0,ROUND((INDEX($E504:$G504,AP$5)-SUMIFS(TF_Timer,TF_Tekniker,AP$4,TF_Dato,$A504))*2,0)/2)))</f>
        <v/>
      </c>
      <c r="AQ504">
        <f>IF(OR(AQ$4="",$A504&gt;TODAY()),0,IF(OR(INDEX($B504:$D504,AQ$5)="F",AND(AQ$6&gt;0,$A504&lt;AQ$6),AND(AQ$7&gt;0,$A504&gt;AQ$7)),0,MAX(0,ROUND((INDEX($E504:$G504,AQ$5)-SUMIFS(TF_Timer,TF_Tekniker,AQ$4,TF_Dato,$A504))*2,0)/2)))</f>
        <v/>
      </c>
      <c r="AR504">
        <f>IF(OR(AR$4="",$A504&gt;TODAY()),0,IF(OR(INDEX($B504:$D504,AR$5)="F",AND(AR$6&gt;0,$A504&lt;AR$6),AND(AR$7&gt;0,$A504&gt;AR$7)),0,MAX(0,ROUND((INDEX($E504:$G504,AR$5)-SUMIFS(TF_Timer,TF_Tekniker,AR$4,TF_Dato,$A504))*2,0)/2)))</f>
        <v/>
      </c>
      <c r="AS504">
        <f>IF(OR(AS$4="",$A504&gt;TODAY()),0,IF(OR(INDEX($B504:$D504,AS$5)="F",AND(AS$6&gt;0,$A504&lt;AS$6),AND(AS$7&gt;0,$A504&gt;AS$7)),0,MAX(0,ROUND((INDEX($E504:$G504,AS$5)-SUMIFS(TF_Timer,TF_Tekniker,AS$4,TF_Dato,$A504))*2,0)/2)))</f>
        <v/>
      </c>
      <c r="AT504">
        <f>IF(OR(AT$4="",$A504&gt;TODAY()),0,IF(OR(INDEX($B504:$D504,AT$5)="F",AND(AT$6&gt;0,$A504&lt;AT$6),AND(AT$7&gt;0,$A504&gt;AT$7)),0,MAX(0,ROUND((INDEX($E504:$G504,AT$5)-SUMIFS(TF_Timer,TF_Tekniker,AT$4,TF_Dato,$A504))*2,0)/2)))</f>
        <v/>
      </c>
      <c r="AU504">
        <f>IF(OR(AU$4="",$A504&gt;TODAY()),0,IF(OR(INDEX($B504:$D504,AU$5)="F",AND(AU$6&gt;0,$A504&lt;AU$6),AND(AU$7&gt;0,$A504&gt;AU$7)),0,MAX(0,ROUND((INDEX($E504:$G504,AU$5)-SUMIFS(TF_Timer,TF_Tekniker,AU$4,TF_Dato,$A504))*2,0)/2)))</f>
        <v/>
      </c>
      <c r="AV504">
        <f>IF(OR(AV$4="",$A504&gt;TODAY()),0,IF(OR(INDEX($B504:$D504,AV$5)="F",AND(AV$6&gt;0,$A504&lt;AV$6),AND(AV$7&gt;0,$A504&gt;AV$7)),0,MAX(0,ROUND((INDEX($E504:$G504,AV$5)-SUMIFS(TF_Timer,TF_Tekniker,AV$4,TF_Dato,$A504))*2,0)/2)))</f>
        <v/>
      </c>
      <c r="AW504">
        <f>IF(OR(AW$4="",$A504&gt;TODAY()),0,IF(OR(INDEX($B504:$D504,AW$5)="F",AND(AW$6&gt;0,$A504&lt;AW$6),AND(AW$7&gt;0,$A504&gt;AW$7)),0,MAX(0,ROUND((INDEX($E504:$G504,AW$5)-SUMIFS(TF_Timer,TF_Tekniker,AW$4,TF_Dato,$A504))*2,0)/2)))</f>
        <v/>
      </c>
      <c r="AX504">
        <f>IF(OR(AX$4="",$A504&gt;TODAY()),0,IF(OR(INDEX($B504:$D504,AX$5)="F",AND(AX$6&gt;0,$A504&lt;AX$6),AND(AX$7&gt;0,$A504&gt;AX$7)),0,MAX(0,ROUND((INDEX($E504:$G504,AX$5)-SUMIFS(TF_Timer,TF_Tekniker,AX$4,TF_Dato,$A504))*2,0)/2)))</f>
        <v/>
      </c>
      <c r="AY504">
        <f>IF(OR(AY$4="",$A504&gt;TODAY()),0,IF(OR(INDEX($B504:$D504,AY$5)="F",AND(AY$6&gt;0,$A504&lt;AY$6),AND(AY$7&gt;0,$A504&gt;AY$7)),0,MAX(0,ROUND((INDEX($E504:$G504,AY$5)-SUMIFS(TF_Timer,TF_Tekniker,AY$4,TF_Dato,$A504))*2,0)/2)))</f>
        <v/>
      </c>
      <c r="AZ504">
        <f>IF(OR(AZ$4="",$A504&gt;TODAY()),0,IF(OR(INDEX($B504:$D504,AZ$5)="F",AND(AZ$6&gt;0,$A504&lt;AZ$6),AND(AZ$7&gt;0,$A504&gt;AZ$7)),0,MAX(0,ROUND((INDEX($E504:$G504,AZ$5)-SUMIFS(TF_Timer,TF_Tekniker,AZ$4,TF_Dato,$A504))*2,0)/2)))</f>
        <v/>
      </c>
      <c r="BA504">
        <f>IF(OR(BA$4="",$A504&gt;TODAY()),0,IF(OR(INDEX($B504:$D504,BA$5)="F",AND(BA$6&gt;0,$A504&lt;BA$6),AND(BA$7&gt;0,$A504&gt;BA$7)),0,MAX(0,ROUND((INDEX($E504:$G504,BA$5)-SUMIFS(TF_Timer,TF_Tekniker,BA$4,TF_Dato,$A504))*2,0)/2)))</f>
        <v/>
      </c>
      <c r="BB504">
        <f>IF(OR(BB$4="",$A504&gt;TODAY()),0,IF(OR(INDEX($B504:$D504,BB$5)="F",AND(BB$6&gt;0,$A504&lt;BB$6),AND(BB$7&gt;0,$A504&gt;BB$7)),0,MAX(0,ROUND((INDEX($E504:$G504,BB$5)-SUMIFS(TF_Timer,TF_Tekniker,BB$4,TF_Dato,$A504))*2,0)/2)))</f>
        <v/>
      </c>
      <c r="BC504">
        <f>IF(OR(BC$4="",$A504&gt;TODAY()),0,IF(OR(INDEX($B504:$D504,BC$5)="F",AND(BC$6&gt;0,$A504&lt;BC$6),AND(BC$7&gt;0,$A504&gt;BC$7)),0,MAX(0,ROUND((INDEX($E504:$G504,BC$5)-SUMIFS(TF_Timer,TF_Tekniker,BC$4,TF_Dato,$A504))*2,0)/2)))</f>
        <v/>
      </c>
      <c r="BD504">
        <f>IF(OR(BD$4="",$A504&gt;TODAY()),0,IF(OR(INDEX($B504:$D504,BD$5)="F",AND(BD$6&gt;0,$A504&lt;BD$6),AND(BD$7&gt;0,$A504&gt;BD$7)),0,MAX(0,ROUND((INDEX($E504:$G504,BD$5)-SUMIFS(TF_Timer,TF_Tekniker,BD$4,TF_Dato,$A504))*2,0)/2)))</f>
        <v/>
      </c>
      <c r="BE504">
        <f>IF(OR(BE$4="",$A504&gt;TODAY()),0,IF(OR(INDEX($B504:$D504,BE$5)="F",AND(BE$6&gt;0,$A504&lt;BE$6),AND(BE$7&gt;0,$A504&gt;BE$7)),0,MAX(0,ROUND((INDEX($E504:$G504,BE$5)-SUMIFS(TF_Timer,TF_Tekniker,BE$4,TF_Dato,$A504))*2,0)/2)))</f>
        <v/>
      </c>
      <c r="BF504">
        <f>IF(OR(BF$4="",$A504&gt;TODAY()),0,IF(OR(INDEX($B504:$D504,BF$5)="F",AND(BF$6&gt;0,$A504&lt;BF$6),AND(BF$7&gt;0,$A504&gt;BF$7)),0,MAX(0,ROUND((INDEX($E504:$G504,BF$5)-SUMIFS(TF_Timer,TF_Tekniker,BF$4,TF_Dato,$A504))*2,0)/2)))</f>
        <v/>
      </c>
      <c r="BG504">
        <f>IF(OR(BG$4="",$A504&gt;TODAY()),0,IF(OR(INDEX($B504:$D504,BG$5)="F",AND(BG$6&gt;0,$A504&lt;BG$6),AND(BG$7&gt;0,$A504&gt;BG$7)),0,MAX(0,ROUND((INDEX($E504:$G504,BG$5)-SUMIFS(TF_Timer,TF_Tekniker,BG$4,TF_Dato,$A504))*2,0)/2)))</f>
        <v/>
      </c>
      <c r="BH504">
        <f>IF(OR(BH$4="",$A504&gt;TODAY()),0,IF(OR(INDEX($B504:$D504,BH$5)="F",AND(BH$6&gt;0,$A504&lt;BH$6),AND(BH$7&gt;0,$A504&gt;BH$7)),0,MAX(0,ROUND((INDEX($E504:$G504,BH$5)-SUMIFS(TF_Timer,TF_Tekniker,BH$4,TF_Dato,$A504))*2,0)/2)))</f>
        <v/>
      </c>
      <c r="BI504">
        <f>IF(OR(BI$4="",$A504&gt;TODAY()),0,IF(OR(INDEX($B504:$D504,BI$5)="F",AND(BI$6&gt;0,$A504&lt;BI$6),AND(BI$7&gt;0,$A504&gt;BI$7)),0,MAX(0,ROUND((INDEX($E504:$G504,BI$5)-SUMIFS(TF_Timer,TF_Tekniker,BI$4,TF_Dato,$A504))*2,0)/2)))</f>
        <v/>
      </c>
    </row>
    <row r="505">
      <c r="A505" s="64">
        <f>A504+1</f>
        <v/>
      </c>
      <c r="B505">
        <f>IF(MOD($A505-INDEX(SkiftStart,1),Syklus)&lt;DagK,"K",IF(MOD($A505-INDEX(SkiftStart,1),Syklus)&lt;DagK+DagH,"H",IF(MOD($A505-INDEX(SkiftStart,1),Syklus)&lt;DagK+DagH+DagD,"D","F")))</f>
        <v/>
      </c>
      <c r="C505">
        <f>IF(MOD($A505-INDEX(SkiftStart,2),Syklus)&lt;DagK,"K",IF(MOD($A505-INDEX(SkiftStart,2),Syklus)&lt;DagK+DagH,"H",IF(MOD($A505-INDEX(SkiftStart,2),Syklus)&lt;DagK+DagH+DagD,"D","F")))</f>
        <v/>
      </c>
      <c r="D505">
        <f>IF(MOD($A505-INDEX(SkiftStart,3),Syklus)&lt;DagK,"K",IF(MOD($A505-INDEX(SkiftStart,3),Syklus)&lt;DagK+DagH,"H",IF(MOD($A505-INDEX(SkiftStart,3),Syklus)&lt;DagK+DagH+DagD,"D","F")))</f>
        <v/>
      </c>
      <c r="E505">
        <f>IF(B505="F",0,IF(WEEKDAY($A505,2)=5,INDEX(TimerFr,MATCH(B505,FaseKode,0)),INDEX(TimerMT,MATCH(B505,FaseKode,0))))</f>
        <v/>
      </c>
      <c r="F505">
        <f>IF(C505="F",0,IF(WEEKDAY($A505,2)=5,INDEX(TimerFr,MATCH(C505,FaseKode,0)),INDEX(TimerMT,MATCH(C505,FaseKode,0))))</f>
        <v/>
      </c>
      <c r="G505">
        <f>IF(D505="F",0,IF(WEEKDAY($A505,2)=5,INDEX(TimerFr,MATCH(D505,FaseKode,0)),INDEX(TimerMT,MATCH(D505,FaseKode,0))))</f>
        <v/>
      </c>
      <c r="H505">
        <f>IF(OR(H$4="",$A505&gt;TODAY()),0,IF(OR(INDEX($B505:$D505,H$5)="F",AND(H$6&gt;0,$A505&lt;H$6),AND(H$7&gt;0,$A505&gt;H$7)),0,MAX(0,ROUND((INDEX($E505:$G505,H$5)-SUMIFS(TF_Timer,TF_Tekniker,H$4,TF_Dato,$A505))*2,0)/2)))</f>
        <v/>
      </c>
      <c r="I505">
        <f>IF(OR(I$4="",$A505&gt;TODAY()),0,IF(OR(INDEX($B505:$D505,I$5)="F",AND(I$6&gt;0,$A505&lt;I$6),AND(I$7&gt;0,$A505&gt;I$7)),0,MAX(0,ROUND((INDEX($E505:$G505,I$5)-SUMIFS(TF_Timer,TF_Tekniker,I$4,TF_Dato,$A505))*2,0)/2)))</f>
        <v/>
      </c>
      <c r="J505">
        <f>IF(OR(J$4="",$A505&gt;TODAY()),0,IF(OR(INDEX($B505:$D505,J$5)="F",AND(J$6&gt;0,$A505&lt;J$6),AND(J$7&gt;0,$A505&gt;J$7)),0,MAX(0,ROUND((INDEX($E505:$G505,J$5)-SUMIFS(TF_Timer,TF_Tekniker,J$4,TF_Dato,$A505))*2,0)/2)))</f>
        <v/>
      </c>
      <c r="K505">
        <f>IF(OR(K$4="",$A505&gt;TODAY()),0,IF(OR(INDEX($B505:$D505,K$5)="F",AND(K$6&gt;0,$A505&lt;K$6),AND(K$7&gt;0,$A505&gt;K$7)),0,MAX(0,ROUND((INDEX($E505:$G505,K$5)-SUMIFS(TF_Timer,TF_Tekniker,K$4,TF_Dato,$A505))*2,0)/2)))</f>
        <v/>
      </c>
      <c r="L505">
        <f>IF(OR(L$4="",$A505&gt;TODAY()),0,IF(OR(INDEX($B505:$D505,L$5)="F",AND(L$6&gt;0,$A505&lt;L$6),AND(L$7&gt;0,$A505&gt;L$7)),0,MAX(0,ROUND((INDEX($E505:$G505,L$5)-SUMIFS(TF_Timer,TF_Tekniker,L$4,TF_Dato,$A505))*2,0)/2)))</f>
        <v/>
      </c>
      <c r="M505">
        <f>IF(OR(M$4="",$A505&gt;TODAY()),0,IF(OR(INDEX($B505:$D505,M$5)="F",AND(M$6&gt;0,$A505&lt;M$6),AND(M$7&gt;0,$A505&gt;M$7)),0,MAX(0,ROUND((INDEX($E505:$G505,M$5)-SUMIFS(TF_Timer,TF_Tekniker,M$4,TF_Dato,$A505))*2,0)/2)))</f>
        <v/>
      </c>
      <c r="N505">
        <f>IF(OR(N$4="",$A505&gt;TODAY()),0,IF(OR(INDEX($B505:$D505,N$5)="F",AND(N$6&gt;0,$A505&lt;N$6),AND(N$7&gt;0,$A505&gt;N$7)),0,MAX(0,ROUND((INDEX($E505:$G505,N$5)-SUMIFS(TF_Timer,TF_Tekniker,N$4,TF_Dato,$A505))*2,0)/2)))</f>
        <v/>
      </c>
      <c r="O505">
        <f>IF(OR(O$4="",$A505&gt;TODAY()),0,IF(OR(INDEX($B505:$D505,O$5)="F",AND(O$6&gt;0,$A505&lt;O$6),AND(O$7&gt;0,$A505&gt;O$7)),0,MAX(0,ROUND((INDEX($E505:$G505,O$5)-SUMIFS(TF_Timer,TF_Tekniker,O$4,TF_Dato,$A505))*2,0)/2)))</f>
        <v/>
      </c>
      <c r="P505">
        <f>IF(OR(P$4="",$A505&gt;TODAY()),0,IF(OR(INDEX($B505:$D505,P$5)="F",AND(P$6&gt;0,$A505&lt;P$6),AND(P$7&gt;0,$A505&gt;P$7)),0,MAX(0,ROUND((INDEX($E505:$G505,P$5)-SUMIFS(TF_Timer,TF_Tekniker,P$4,TF_Dato,$A505))*2,0)/2)))</f>
        <v/>
      </c>
      <c r="Q505">
        <f>IF(OR(Q$4="",$A505&gt;TODAY()),0,IF(OR(INDEX($B505:$D505,Q$5)="F",AND(Q$6&gt;0,$A505&lt;Q$6),AND(Q$7&gt;0,$A505&gt;Q$7)),0,MAX(0,ROUND((INDEX($E505:$G505,Q$5)-SUMIFS(TF_Timer,TF_Tekniker,Q$4,TF_Dato,$A505))*2,0)/2)))</f>
        <v/>
      </c>
      <c r="R505">
        <f>IF(OR(R$4="",$A505&gt;TODAY()),0,IF(OR(INDEX($B505:$D505,R$5)="F",AND(R$6&gt;0,$A505&lt;R$6),AND(R$7&gt;0,$A505&gt;R$7)),0,MAX(0,ROUND((INDEX($E505:$G505,R$5)-SUMIFS(TF_Timer,TF_Tekniker,R$4,TF_Dato,$A505))*2,0)/2)))</f>
        <v/>
      </c>
      <c r="S505">
        <f>IF(OR(S$4="",$A505&gt;TODAY()),0,IF(OR(INDEX($B505:$D505,S$5)="F",AND(S$6&gt;0,$A505&lt;S$6),AND(S$7&gt;0,$A505&gt;S$7)),0,MAX(0,ROUND((INDEX($E505:$G505,S$5)-SUMIFS(TF_Timer,TF_Tekniker,S$4,TF_Dato,$A505))*2,0)/2)))</f>
        <v/>
      </c>
      <c r="T505">
        <f>IF(OR(T$4="",$A505&gt;TODAY()),0,IF(OR(INDEX($B505:$D505,T$5)="F",AND(T$6&gt;0,$A505&lt;T$6),AND(T$7&gt;0,$A505&gt;T$7)),0,MAX(0,ROUND((INDEX($E505:$G505,T$5)-SUMIFS(TF_Timer,TF_Tekniker,T$4,TF_Dato,$A505))*2,0)/2)))</f>
        <v/>
      </c>
      <c r="U505">
        <f>IF(OR(U$4="",$A505&gt;TODAY()),0,IF(OR(INDEX($B505:$D505,U$5)="F",AND(U$6&gt;0,$A505&lt;U$6),AND(U$7&gt;0,$A505&gt;U$7)),0,MAX(0,ROUND((INDEX($E505:$G505,U$5)-SUMIFS(TF_Timer,TF_Tekniker,U$4,TF_Dato,$A505))*2,0)/2)))</f>
        <v/>
      </c>
      <c r="V505">
        <f>IF(OR(V$4="",$A505&gt;TODAY()),0,IF(OR(INDEX($B505:$D505,V$5)="F",AND(V$6&gt;0,$A505&lt;V$6),AND(V$7&gt;0,$A505&gt;V$7)),0,MAX(0,ROUND((INDEX($E505:$G505,V$5)-SUMIFS(TF_Timer,TF_Tekniker,V$4,TF_Dato,$A505))*2,0)/2)))</f>
        <v/>
      </c>
      <c r="W505">
        <f>IF(OR(W$4="",$A505&gt;TODAY()),0,IF(OR(INDEX($B505:$D505,W$5)="F",AND(W$6&gt;0,$A505&lt;W$6),AND(W$7&gt;0,$A505&gt;W$7)),0,MAX(0,ROUND((INDEX($E505:$G505,W$5)-SUMIFS(TF_Timer,TF_Tekniker,W$4,TF_Dato,$A505))*2,0)/2)))</f>
        <v/>
      </c>
      <c r="X505">
        <f>IF(OR(X$4="",$A505&gt;TODAY()),0,IF(OR(INDEX($B505:$D505,X$5)="F",AND(X$6&gt;0,$A505&lt;X$6),AND(X$7&gt;0,$A505&gt;X$7)),0,MAX(0,ROUND((INDEX($E505:$G505,X$5)-SUMIFS(TF_Timer,TF_Tekniker,X$4,TF_Dato,$A505))*2,0)/2)))</f>
        <v/>
      </c>
      <c r="Y505">
        <f>IF(OR(Y$4="",$A505&gt;TODAY()),0,IF(OR(INDEX($B505:$D505,Y$5)="F",AND(Y$6&gt;0,$A505&lt;Y$6),AND(Y$7&gt;0,$A505&gt;Y$7)),0,MAX(0,ROUND((INDEX($E505:$G505,Y$5)-SUMIFS(TF_Timer,TF_Tekniker,Y$4,TF_Dato,$A505))*2,0)/2)))</f>
        <v/>
      </c>
      <c r="Z505">
        <f>IF(OR(Z$4="",$A505&gt;TODAY()),0,IF(OR(INDEX($B505:$D505,Z$5)="F",AND(Z$6&gt;0,$A505&lt;Z$6),AND(Z$7&gt;0,$A505&gt;Z$7)),0,MAX(0,ROUND((INDEX($E505:$G505,Z$5)-SUMIFS(TF_Timer,TF_Tekniker,Z$4,TF_Dato,$A505))*2,0)/2)))</f>
        <v/>
      </c>
      <c r="AA505">
        <f>IF(OR(AA$4="",$A505&gt;TODAY()),0,IF(OR(INDEX($B505:$D505,AA$5)="F",AND(AA$6&gt;0,$A505&lt;AA$6),AND(AA$7&gt;0,$A505&gt;AA$7)),0,MAX(0,ROUND((INDEX($E505:$G505,AA$5)-SUMIFS(TF_Timer,TF_Tekniker,AA$4,TF_Dato,$A505))*2,0)/2)))</f>
        <v/>
      </c>
      <c r="AB505">
        <f>IF(OR(AB$4="",$A505&gt;TODAY()),0,IF(OR(INDEX($B505:$D505,AB$5)="F",AND(AB$6&gt;0,$A505&lt;AB$6),AND(AB$7&gt;0,$A505&gt;AB$7)),0,MAX(0,ROUND((INDEX($E505:$G505,AB$5)-SUMIFS(TF_Timer,TF_Tekniker,AB$4,TF_Dato,$A505))*2,0)/2)))</f>
        <v/>
      </c>
      <c r="AC505">
        <f>IF(OR(AC$4="",$A505&gt;TODAY()),0,IF(OR(INDEX($B505:$D505,AC$5)="F",AND(AC$6&gt;0,$A505&lt;AC$6),AND(AC$7&gt;0,$A505&gt;AC$7)),0,MAX(0,ROUND((INDEX($E505:$G505,AC$5)-SUMIFS(TF_Timer,TF_Tekniker,AC$4,TF_Dato,$A505))*2,0)/2)))</f>
        <v/>
      </c>
      <c r="AD505">
        <f>IF(OR(AD$4="",$A505&gt;TODAY()),0,IF(OR(INDEX($B505:$D505,AD$5)="F",AND(AD$6&gt;0,$A505&lt;AD$6),AND(AD$7&gt;0,$A505&gt;AD$7)),0,MAX(0,ROUND((INDEX($E505:$G505,AD$5)-SUMIFS(TF_Timer,TF_Tekniker,AD$4,TF_Dato,$A505))*2,0)/2)))</f>
        <v/>
      </c>
      <c r="AE505">
        <f>IF(OR(AE$4="",$A505&gt;TODAY()),0,IF(OR(INDEX($B505:$D505,AE$5)="F",AND(AE$6&gt;0,$A505&lt;AE$6),AND(AE$7&gt;0,$A505&gt;AE$7)),0,MAX(0,ROUND((INDEX($E505:$G505,AE$5)-SUMIFS(TF_Timer,TF_Tekniker,AE$4,TF_Dato,$A505))*2,0)/2)))</f>
        <v/>
      </c>
      <c r="AF505">
        <f>IF(OR(AF$4="",$A505&gt;TODAY()),0,IF(OR(INDEX($B505:$D505,AF$5)="F",AND(AF$6&gt;0,$A505&lt;AF$6),AND(AF$7&gt;0,$A505&gt;AF$7)),0,MAX(0,ROUND((INDEX($E505:$G505,AF$5)-SUMIFS(TF_Timer,TF_Tekniker,AF$4,TF_Dato,$A505))*2,0)/2)))</f>
        <v/>
      </c>
      <c r="AG505">
        <f>IF(OR(AG$4="",$A505&gt;TODAY()),0,IF(OR(INDEX($B505:$D505,AG$5)="F",AND(AG$6&gt;0,$A505&lt;AG$6),AND(AG$7&gt;0,$A505&gt;AG$7)),0,MAX(0,ROUND((INDEX($E505:$G505,AG$5)-SUMIFS(TF_Timer,TF_Tekniker,AG$4,TF_Dato,$A505))*2,0)/2)))</f>
        <v/>
      </c>
      <c r="AH505">
        <f>IF(OR(AH$4="",$A505&gt;TODAY()),0,IF(OR(INDEX($B505:$D505,AH$5)="F",AND(AH$6&gt;0,$A505&lt;AH$6),AND(AH$7&gt;0,$A505&gt;AH$7)),0,MAX(0,ROUND((INDEX($E505:$G505,AH$5)-SUMIFS(TF_Timer,TF_Tekniker,AH$4,TF_Dato,$A505))*2,0)/2)))</f>
        <v/>
      </c>
      <c r="AI505">
        <f>IF(OR(AI$4="",$A505&gt;TODAY()),0,IF(OR(INDEX($B505:$D505,AI$5)="F",AND(AI$6&gt;0,$A505&lt;AI$6),AND(AI$7&gt;0,$A505&gt;AI$7)),0,MAX(0,ROUND((INDEX($E505:$G505,AI$5)-SUMIFS(TF_Timer,TF_Tekniker,AI$4,TF_Dato,$A505))*2,0)/2)))</f>
        <v/>
      </c>
      <c r="AJ505">
        <f>IF(OR(AJ$4="",$A505&gt;TODAY()),0,IF(OR(INDEX($B505:$D505,AJ$5)="F",AND(AJ$6&gt;0,$A505&lt;AJ$6),AND(AJ$7&gt;0,$A505&gt;AJ$7)),0,MAX(0,ROUND((INDEX($E505:$G505,AJ$5)-SUMIFS(TF_Timer,TF_Tekniker,AJ$4,TF_Dato,$A505))*2,0)/2)))</f>
        <v/>
      </c>
      <c r="AK505">
        <f>IF(OR(AK$4="",$A505&gt;TODAY()),0,IF(OR(INDEX($B505:$D505,AK$5)="F",AND(AK$6&gt;0,$A505&lt;AK$6),AND(AK$7&gt;0,$A505&gt;AK$7)),0,MAX(0,ROUND((INDEX($E505:$G505,AK$5)-SUMIFS(TF_Timer,TF_Tekniker,AK$4,TF_Dato,$A505))*2,0)/2)))</f>
        <v/>
      </c>
      <c r="AL505">
        <f>IF(OR(AL$4="",$A505&gt;TODAY()),0,IF(OR(INDEX($B505:$D505,AL$5)="F",AND(AL$6&gt;0,$A505&lt;AL$6),AND(AL$7&gt;0,$A505&gt;AL$7)),0,MAX(0,ROUND((INDEX($E505:$G505,AL$5)-SUMIFS(TF_Timer,TF_Tekniker,AL$4,TF_Dato,$A505))*2,0)/2)))</f>
        <v/>
      </c>
      <c r="AM505">
        <f>IF(OR(AM$4="",$A505&gt;TODAY()),0,IF(OR(INDEX($B505:$D505,AM$5)="F",AND(AM$6&gt;0,$A505&lt;AM$6),AND(AM$7&gt;0,$A505&gt;AM$7)),0,MAX(0,ROUND((INDEX($E505:$G505,AM$5)-SUMIFS(TF_Timer,TF_Tekniker,AM$4,TF_Dato,$A505))*2,0)/2)))</f>
        <v/>
      </c>
      <c r="AN505">
        <f>IF(OR(AN$4="",$A505&gt;TODAY()),0,IF(OR(INDEX($B505:$D505,AN$5)="F",AND(AN$6&gt;0,$A505&lt;AN$6),AND(AN$7&gt;0,$A505&gt;AN$7)),0,MAX(0,ROUND((INDEX($E505:$G505,AN$5)-SUMIFS(TF_Timer,TF_Tekniker,AN$4,TF_Dato,$A505))*2,0)/2)))</f>
        <v/>
      </c>
      <c r="AO505">
        <f>IF(OR(AO$4="",$A505&gt;TODAY()),0,IF(OR(INDEX($B505:$D505,AO$5)="F",AND(AO$6&gt;0,$A505&lt;AO$6),AND(AO$7&gt;0,$A505&gt;AO$7)),0,MAX(0,ROUND((INDEX($E505:$G505,AO$5)-SUMIFS(TF_Timer,TF_Tekniker,AO$4,TF_Dato,$A505))*2,0)/2)))</f>
        <v/>
      </c>
      <c r="AP505">
        <f>IF(OR(AP$4="",$A505&gt;TODAY()),0,IF(OR(INDEX($B505:$D505,AP$5)="F",AND(AP$6&gt;0,$A505&lt;AP$6),AND(AP$7&gt;0,$A505&gt;AP$7)),0,MAX(0,ROUND((INDEX($E505:$G505,AP$5)-SUMIFS(TF_Timer,TF_Tekniker,AP$4,TF_Dato,$A505))*2,0)/2)))</f>
        <v/>
      </c>
      <c r="AQ505">
        <f>IF(OR(AQ$4="",$A505&gt;TODAY()),0,IF(OR(INDEX($B505:$D505,AQ$5)="F",AND(AQ$6&gt;0,$A505&lt;AQ$6),AND(AQ$7&gt;0,$A505&gt;AQ$7)),0,MAX(0,ROUND((INDEX($E505:$G505,AQ$5)-SUMIFS(TF_Timer,TF_Tekniker,AQ$4,TF_Dato,$A505))*2,0)/2)))</f>
        <v/>
      </c>
      <c r="AR505">
        <f>IF(OR(AR$4="",$A505&gt;TODAY()),0,IF(OR(INDEX($B505:$D505,AR$5)="F",AND(AR$6&gt;0,$A505&lt;AR$6),AND(AR$7&gt;0,$A505&gt;AR$7)),0,MAX(0,ROUND((INDEX($E505:$G505,AR$5)-SUMIFS(TF_Timer,TF_Tekniker,AR$4,TF_Dato,$A505))*2,0)/2)))</f>
        <v/>
      </c>
      <c r="AS505">
        <f>IF(OR(AS$4="",$A505&gt;TODAY()),0,IF(OR(INDEX($B505:$D505,AS$5)="F",AND(AS$6&gt;0,$A505&lt;AS$6),AND(AS$7&gt;0,$A505&gt;AS$7)),0,MAX(0,ROUND((INDEX($E505:$G505,AS$5)-SUMIFS(TF_Timer,TF_Tekniker,AS$4,TF_Dato,$A505))*2,0)/2)))</f>
        <v/>
      </c>
      <c r="AT505">
        <f>IF(OR(AT$4="",$A505&gt;TODAY()),0,IF(OR(INDEX($B505:$D505,AT$5)="F",AND(AT$6&gt;0,$A505&lt;AT$6),AND(AT$7&gt;0,$A505&gt;AT$7)),0,MAX(0,ROUND((INDEX($E505:$G505,AT$5)-SUMIFS(TF_Timer,TF_Tekniker,AT$4,TF_Dato,$A505))*2,0)/2)))</f>
        <v/>
      </c>
      <c r="AU505">
        <f>IF(OR(AU$4="",$A505&gt;TODAY()),0,IF(OR(INDEX($B505:$D505,AU$5)="F",AND(AU$6&gt;0,$A505&lt;AU$6),AND(AU$7&gt;0,$A505&gt;AU$7)),0,MAX(0,ROUND((INDEX($E505:$G505,AU$5)-SUMIFS(TF_Timer,TF_Tekniker,AU$4,TF_Dato,$A505))*2,0)/2)))</f>
        <v/>
      </c>
      <c r="AV505">
        <f>IF(OR(AV$4="",$A505&gt;TODAY()),0,IF(OR(INDEX($B505:$D505,AV$5)="F",AND(AV$6&gt;0,$A505&lt;AV$6),AND(AV$7&gt;0,$A505&gt;AV$7)),0,MAX(0,ROUND((INDEX($E505:$G505,AV$5)-SUMIFS(TF_Timer,TF_Tekniker,AV$4,TF_Dato,$A505))*2,0)/2)))</f>
        <v/>
      </c>
      <c r="AW505">
        <f>IF(OR(AW$4="",$A505&gt;TODAY()),0,IF(OR(INDEX($B505:$D505,AW$5)="F",AND(AW$6&gt;0,$A505&lt;AW$6),AND(AW$7&gt;0,$A505&gt;AW$7)),0,MAX(0,ROUND((INDEX($E505:$G505,AW$5)-SUMIFS(TF_Timer,TF_Tekniker,AW$4,TF_Dato,$A505))*2,0)/2)))</f>
        <v/>
      </c>
      <c r="AX505">
        <f>IF(OR(AX$4="",$A505&gt;TODAY()),0,IF(OR(INDEX($B505:$D505,AX$5)="F",AND(AX$6&gt;0,$A505&lt;AX$6),AND(AX$7&gt;0,$A505&gt;AX$7)),0,MAX(0,ROUND((INDEX($E505:$G505,AX$5)-SUMIFS(TF_Timer,TF_Tekniker,AX$4,TF_Dato,$A505))*2,0)/2)))</f>
        <v/>
      </c>
      <c r="AY505">
        <f>IF(OR(AY$4="",$A505&gt;TODAY()),0,IF(OR(INDEX($B505:$D505,AY$5)="F",AND(AY$6&gt;0,$A505&lt;AY$6),AND(AY$7&gt;0,$A505&gt;AY$7)),0,MAX(0,ROUND((INDEX($E505:$G505,AY$5)-SUMIFS(TF_Timer,TF_Tekniker,AY$4,TF_Dato,$A505))*2,0)/2)))</f>
        <v/>
      </c>
      <c r="AZ505">
        <f>IF(OR(AZ$4="",$A505&gt;TODAY()),0,IF(OR(INDEX($B505:$D505,AZ$5)="F",AND(AZ$6&gt;0,$A505&lt;AZ$6),AND(AZ$7&gt;0,$A505&gt;AZ$7)),0,MAX(0,ROUND((INDEX($E505:$G505,AZ$5)-SUMIFS(TF_Timer,TF_Tekniker,AZ$4,TF_Dato,$A505))*2,0)/2)))</f>
        <v/>
      </c>
      <c r="BA505">
        <f>IF(OR(BA$4="",$A505&gt;TODAY()),0,IF(OR(INDEX($B505:$D505,BA$5)="F",AND(BA$6&gt;0,$A505&lt;BA$6),AND(BA$7&gt;0,$A505&gt;BA$7)),0,MAX(0,ROUND((INDEX($E505:$G505,BA$5)-SUMIFS(TF_Timer,TF_Tekniker,BA$4,TF_Dato,$A505))*2,0)/2)))</f>
        <v/>
      </c>
      <c r="BB505">
        <f>IF(OR(BB$4="",$A505&gt;TODAY()),0,IF(OR(INDEX($B505:$D505,BB$5)="F",AND(BB$6&gt;0,$A505&lt;BB$6),AND(BB$7&gt;0,$A505&gt;BB$7)),0,MAX(0,ROUND((INDEX($E505:$G505,BB$5)-SUMIFS(TF_Timer,TF_Tekniker,BB$4,TF_Dato,$A505))*2,0)/2)))</f>
        <v/>
      </c>
      <c r="BC505">
        <f>IF(OR(BC$4="",$A505&gt;TODAY()),0,IF(OR(INDEX($B505:$D505,BC$5)="F",AND(BC$6&gt;0,$A505&lt;BC$6),AND(BC$7&gt;0,$A505&gt;BC$7)),0,MAX(0,ROUND((INDEX($E505:$G505,BC$5)-SUMIFS(TF_Timer,TF_Tekniker,BC$4,TF_Dato,$A505))*2,0)/2)))</f>
        <v/>
      </c>
      <c r="BD505">
        <f>IF(OR(BD$4="",$A505&gt;TODAY()),0,IF(OR(INDEX($B505:$D505,BD$5)="F",AND(BD$6&gt;0,$A505&lt;BD$6),AND(BD$7&gt;0,$A505&gt;BD$7)),0,MAX(0,ROUND((INDEX($E505:$G505,BD$5)-SUMIFS(TF_Timer,TF_Tekniker,BD$4,TF_Dato,$A505))*2,0)/2)))</f>
        <v/>
      </c>
      <c r="BE505">
        <f>IF(OR(BE$4="",$A505&gt;TODAY()),0,IF(OR(INDEX($B505:$D505,BE$5)="F",AND(BE$6&gt;0,$A505&lt;BE$6),AND(BE$7&gt;0,$A505&gt;BE$7)),0,MAX(0,ROUND((INDEX($E505:$G505,BE$5)-SUMIFS(TF_Timer,TF_Tekniker,BE$4,TF_Dato,$A505))*2,0)/2)))</f>
        <v/>
      </c>
      <c r="BF505">
        <f>IF(OR(BF$4="",$A505&gt;TODAY()),0,IF(OR(INDEX($B505:$D505,BF$5)="F",AND(BF$6&gt;0,$A505&lt;BF$6),AND(BF$7&gt;0,$A505&gt;BF$7)),0,MAX(0,ROUND((INDEX($E505:$G505,BF$5)-SUMIFS(TF_Timer,TF_Tekniker,BF$4,TF_Dato,$A505))*2,0)/2)))</f>
        <v/>
      </c>
      <c r="BG505">
        <f>IF(OR(BG$4="",$A505&gt;TODAY()),0,IF(OR(INDEX($B505:$D505,BG$5)="F",AND(BG$6&gt;0,$A505&lt;BG$6),AND(BG$7&gt;0,$A505&gt;BG$7)),0,MAX(0,ROUND((INDEX($E505:$G505,BG$5)-SUMIFS(TF_Timer,TF_Tekniker,BG$4,TF_Dato,$A505))*2,0)/2)))</f>
        <v/>
      </c>
      <c r="BH505">
        <f>IF(OR(BH$4="",$A505&gt;TODAY()),0,IF(OR(INDEX($B505:$D505,BH$5)="F",AND(BH$6&gt;0,$A505&lt;BH$6),AND(BH$7&gt;0,$A505&gt;BH$7)),0,MAX(0,ROUND((INDEX($E505:$G505,BH$5)-SUMIFS(TF_Timer,TF_Tekniker,BH$4,TF_Dato,$A505))*2,0)/2)))</f>
        <v/>
      </c>
      <c r="BI505">
        <f>IF(OR(BI$4="",$A505&gt;TODAY()),0,IF(OR(INDEX($B505:$D505,BI$5)="F",AND(BI$6&gt;0,$A505&lt;BI$6),AND(BI$7&gt;0,$A505&gt;BI$7)),0,MAX(0,ROUND((INDEX($E505:$G505,BI$5)-SUMIFS(TF_Timer,TF_Tekniker,BI$4,TF_Dato,$A505))*2,0)/2)))</f>
        <v/>
      </c>
    </row>
    <row r="506">
      <c r="A506" s="64">
        <f>A505+1</f>
        <v/>
      </c>
      <c r="B506">
        <f>IF(MOD($A506-INDEX(SkiftStart,1),Syklus)&lt;DagK,"K",IF(MOD($A506-INDEX(SkiftStart,1),Syklus)&lt;DagK+DagH,"H",IF(MOD($A506-INDEX(SkiftStart,1),Syklus)&lt;DagK+DagH+DagD,"D","F")))</f>
        <v/>
      </c>
      <c r="C506">
        <f>IF(MOD($A506-INDEX(SkiftStart,2),Syklus)&lt;DagK,"K",IF(MOD($A506-INDEX(SkiftStart,2),Syklus)&lt;DagK+DagH,"H",IF(MOD($A506-INDEX(SkiftStart,2),Syklus)&lt;DagK+DagH+DagD,"D","F")))</f>
        <v/>
      </c>
      <c r="D506">
        <f>IF(MOD($A506-INDEX(SkiftStart,3),Syklus)&lt;DagK,"K",IF(MOD($A506-INDEX(SkiftStart,3),Syklus)&lt;DagK+DagH,"H",IF(MOD($A506-INDEX(SkiftStart,3),Syklus)&lt;DagK+DagH+DagD,"D","F")))</f>
        <v/>
      </c>
      <c r="E506">
        <f>IF(B506="F",0,IF(WEEKDAY($A506,2)=5,INDEX(TimerFr,MATCH(B506,FaseKode,0)),INDEX(TimerMT,MATCH(B506,FaseKode,0))))</f>
        <v/>
      </c>
      <c r="F506">
        <f>IF(C506="F",0,IF(WEEKDAY($A506,2)=5,INDEX(TimerFr,MATCH(C506,FaseKode,0)),INDEX(TimerMT,MATCH(C506,FaseKode,0))))</f>
        <v/>
      </c>
      <c r="G506">
        <f>IF(D506="F",0,IF(WEEKDAY($A506,2)=5,INDEX(TimerFr,MATCH(D506,FaseKode,0)),INDEX(TimerMT,MATCH(D506,FaseKode,0))))</f>
        <v/>
      </c>
      <c r="H506">
        <f>IF(OR(H$4="",$A506&gt;TODAY()),0,IF(OR(INDEX($B506:$D506,H$5)="F",AND(H$6&gt;0,$A506&lt;H$6),AND(H$7&gt;0,$A506&gt;H$7)),0,MAX(0,ROUND((INDEX($E506:$G506,H$5)-SUMIFS(TF_Timer,TF_Tekniker,H$4,TF_Dato,$A506))*2,0)/2)))</f>
        <v/>
      </c>
      <c r="I506">
        <f>IF(OR(I$4="",$A506&gt;TODAY()),0,IF(OR(INDEX($B506:$D506,I$5)="F",AND(I$6&gt;0,$A506&lt;I$6),AND(I$7&gt;0,$A506&gt;I$7)),0,MAX(0,ROUND((INDEX($E506:$G506,I$5)-SUMIFS(TF_Timer,TF_Tekniker,I$4,TF_Dato,$A506))*2,0)/2)))</f>
        <v/>
      </c>
      <c r="J506">
        <f>IF(OR(J$4="",$A506&gt;TODAY()),0,IF(OR(INDEX($B506:$D506,J$5)="F",AND(J$6&gt;0,$A506&lt;J$6),AND(J$7&gt;0,$A506&gt;J$7)),0,MAX(0,ROUND((INDEX($E506:$G506,J$5)-SUMIFS(TF_Timer,TF_Tekniker,J$4,TF_Dato,$A506))*2,0)/2)))</f>
        <v/>
      </c>
      <c r="K506">
        <f>IF(OR(K$4="",$A506&gt;TODAY()),0,IF(OR(INDEX($B506:$D506,K$5)="F",AND(K$6&gt;0,$A506&lt;K$6),AND(K$7&gt;0,$A506&gt;K$7)),0,MAX(0,ROUND((INDEX($E506:$G506,K$5)-SUMIFS(TF_Timer,TF_Tekniker,K$4,TF_Dato,$A506))*2,0)/2)))</f>
        <v/>
      </c>
      <c r="L506">
        <f>IF(OR(L$4="",$A506&gt;TODAY()),0,IF(OR(INDEX($B506:$D506,L$5)="F",AND(L$6&gt;0,$A506&lt;L$6),AND(L$7&gt;0,$A506&gt;L$7)),0,MAX(0,ROUND((INDEX($E506:$G506,L$5)-SUMIFS(TF_Timer,TF_Tekniker,L$4,TF_Dato,$A506))*2,0)/2)))</f>
        <v/>
      </c>
      <c r="M506">
        <f>IF(OR(M$4="",$A506&gt;TODAY()),0,IF(OR(INDEX($B506:$D506,M$5)="F",AND(M$6&gt;0,$A506&lt;M$6),AND(M$7&gt;0,$A506&gt;M$7)),0,MAX(0,ROUND((INDEX($E506:$G506,M$5)-SUMIFS(TF_Timer,TF_Tekniker,M$4,TF_Dato,$A506))*2,0)/2)))</f>
        <v/>
      </c>
      <c r="N506">
        <f>IF(OR(N$4="",$A506&gt;TODAY()),0,IF(OR(INDEX($B506:$D506,N$5)="F",AND(N$6&gt;0,$A506&lt;N$6),AND(N$7&gt;0,$A506&gt;N$7)),0,MAX(0,ROUND((INDEX($E506:$G506,N$5)-SUMIFS(TF_Timer,TF_Tekniker,N$4,TF_Dato,$A506))*2,0)/2)))</f>
        <v/>
      </c>
      <c r="O506">
        <f>IF(OR(O$4="",$A506&gt;TODAY()),0,IF(OR(INDEX($B506:$D506,O$5)="F",AND(O$6&gt;0,$A506&lt;O$6),AND(O$7&gt;0,$A506&gt;O$7)),0,MAX(0,ROUND((INDEX($E506:$G506,O$5)-SUMIFS(TF_Timer,TF_Tekniker,O$4,TF_Dato,$A506))*2,0)/2)))</f>
        <v/>
      </c>
      <c r="P506">
        <f>IF(OR(P$4="",$A506&gt;TODAY()),0,IF(OR(INDEX($B506:$D506,P$5)="F",AND(P$6&gt;0,$A506&lt;P$6),AND(P$7&gt;0,$A506&gt;P$7)),0,MAX(0,ROUND((INDEX($E506:$G506,P$5)-SUMIFS(TF_Timer,TF_Tekniker,P$4,TF_Dato,$A506))*2,0)/2)))</f>
        <v/>
      </c>
      <c r="Q506">
        <f>IF(OR(Q$4="",$A506&gt;TODAY()),0,IF(OR(INDEX($B506:$D506,Q$5)="F",AND(Q$6&gt;0,$A506&lt;Q$6),AND(Q$7&gt;0,$A506&gt;Q$7)),0,MAX(0,ROUND((INDEX($E506:$G506,Q$5)-SUMIFS(TF_Timer,TF_Tekniker,Q$4,TF_Dato,$A506))*2,0)/2)))</f>
        <v/>
      </c>
      <c r="R506">
        <f>IF(OR(R$4="",$A506&gt;TODAY()),0,IF(OR(INDEX($B506:$D506,R$5)="F",AND(R$6&gt;0,$A506&lt;R$6),AND(R$7&gt;0,$A506&gt;R$7)),0,MAX(0,ROUND((INDEX($E506:$G506,R$5)-SUMIFS(TF_Timer,TF_Tekniker,R$4,TF_Dato,$A506))*2,0)/2)))</f>
        <v/>
      </c>
      <c r="S506">
        <f>IF(OR(S$4="",$A506&gt;TODAY()),0,IF(OR(INDEX($B506:$D506,S$5)="F",AND(S$6&gt;0,$A506&lt;S$6),AND(S$7&gt;0,$A506&gt;S$7)),0,MAX(0,ROUND((INDEX($E506:$G506,S$5)-SUMIFS(TF_Timer,TF_Tekniker,S$4,TF_Dato,$A506))*2,0)/2)))</f>
        <v/>
      </c>
      <c r="T506">
        <f>IF(OR(T$4="",$A506&gt;TODAY()),0,IF(OR(INDEX($B506:$D506,T$5)="F",AND(T$6&gt;0,$A506&lt;T$6),AND(T$7&gt;0,$A506&gt;T$7)),0,MAX(0,ROUND((INDEX($E506:$G506,T$5)-SUMIFS(TF_Timer,TF_Tekniker,T$4,TF_Dato,$A506))*2,0)/2)))</f>
        <v/>
      </c>
      <c r="U506">
        <f>IF(OR(U$4="",$A506&gt;TODAY()),0,IF(OR(INDEX($B506:$D506,U$5)="F",AND(U$6&gt;0,$A506&lt;U$6),AND(U$7&gt;0,$A506&gt;U$7)),0,MAX(0,ROUND((INDEX($E506:$G506,U$5)-SUMIFS(TF_Timer,TF_Tekniker,U$4,TF_Dato,$A506))*2,0)/2)))</f>
        <v/>
      </c>
      <c r="V506">
        <f>IF(OR(V$4="",$A506&gt;TODAY()),0,IF(OR(INDEX($B506:$D506,V$5)="F",AND(V$6&gt;0,$A506&lt;V$6),AND(V$7&gt;0,$A506&gt;V$7)),0,MAX(0,ROUND((INDEX($E506:$G506,V$5)-SUMIFS(TF_Timer,TF_Tekniker,V$4,TF_Dato,$A506))*2,0)/2)))</f>
        <v/>
      </c>
      <c r="W506">
        <f>IF(OR(W$4="",$A506&gt;TODAY()),0,IF(OR(INDEX($B506:$D506,W$5)="F",AND(W$6&gt;0,$A506&lt;W$6),AND(W$7&gt;0,$A506&gt;W$7)),0,MAX(0,ROUND((INDEX($E506:$G506,W$5)-SUMIFS(TF_Timer,TF_Tekniker,W$4,TF_Dato,$A506))*2,0)/2)))</f>
        <v/>
      </c>
      <c r="X506">
        <f>IF(OR(X$4="",$A506&gt;TODAY()),0,IF(OR(INDEX($B506:$D506,X$5)="F",AND(X$6&gt;0,$A506&lt;X$6),AND(X$7&gt;0,$A506&gt;X$7)),0,MAX(0,ROUND((INDEX($E506:$G506,X$5)-SUMIFS(TF_Timer,TF_Tekniker,X$4,TF_Dato,$A506))*2,0)/2)))</f>
        <v/>
      </c>
      <c r="Y506">
        <f>IF(OR(Y$4="",$A506&gt;TODAY()),0,IF(OR(INDEX($B506:$D506,Y$5)="F",AND(Y$6&gt;0,$A506&lt;Y$6),AND(Y$7&gt;0,$A506&gt;Y$7)),0,MAX(0,ROUND((INDEX($E506:$G506,Y$5)-SUMIFS(TF_Timer,TF_Tekniker,Y$4,TF_Dato,$A506))*2,0)/2)))</f>
        <v/>
      </c>
      <c r="Z506">
        <f>IF(OR(Z$4="",$A506&gt;TODAY()),0,IF(OR(INDEX($B506:$D506,Z$5)="F",AND(Z$6&gt;0,$A506&lt;Z$6),AND(Z$7&gt;0,$A506&gt;Z$7)),0,MAX(0,ROUND((INDEX($E506:$G506,Z$5)-SUMIFS(TF_Timer,TF_Tekniker,Z$4,TF_Dato,$A506))*2,0)/2)))</f>
        <v/>
      </c>
      <c r="AA506">
        <f>IF(OR(AA$4="",$A506&gt;TODAY()),0,IF(OR(INDEX($B506:$D506,AA$5)="F",AND(AA$6&gt;0,$A506&lt;AA$6),AND(AA$7&gt;0,$A506&gt;AA$7)),0,MAX(0,ROUND((INDEX($E506:$G506,AA$5)-SUMIFS(TF_Timer,TF_Tekniker,AA$4,TF_Dato,$A506))*2,0)/2)))</f>
        <v/>
      </c>
      <c r="AB506">
        <f>IF(OR(AB$4="",$A506&gt;TODAY()),0,IF(OR(INDEX($B506:$D506,AB$5)="F",AND(AB$6&gt;0,$A506&lt;AB$6),AND(AB$7&gt;0,$A506&gt;AB$7)),0,MAX(0,ROUND((INDEX($E506:$G506,AB$5)-SUMIFS(TF_Timer,TF_Tekniker,AB$4,TF_Dato,$A506))*2,0)/2)))</f>
        <v/>
      </c>
      <c r="AC506">
        <f>IF(OR(AC$4="",$A506&gt;TODAY()),0,IF(OR(INDEX($B506:$D506,AC$5)="F",AND(AC$6&gt;0,$A506&lt;AC$6),AND(AC$7&gt;0,$A506&gt;AC$7)),0,MAX(0,ROUND((INDEX($E506:$G506,AC$5)-SUMIFS(TF_Timer,TF_Tekniker,AC$4,TF_Dato,$A506))*2,0)/2)))</f>
        <v/>
      </c>
      <c r="AD506">
        <f>IF(OR(AD$4="",$A506&gt;TODAY()),0,IF(OR(INDEX($B506:$D506,AD$5)="F",AND(AD$6&gt;0,$A506&lt;AD$6),AND(AD$7&gt;0,$A506&gt;AD$7)),0,MAX(0,ROUND((INDEX($E506:$G506,AD$5)-SUMIFS(TF_Timer,TF_Tekniker,AD$4,TF_Dato,$A506))*2,0)/2)))</f>
        <v/>
      </c>
      <c r="AE506">
        <f>IF(OR(AE$4="",$A506&gt;TODAY()),0,IF(OR(INDEX($B506:$D506,AE$5)="F",AND(AE$6&gt;0,$A506&lt;AE$6),AND(AE$7&gt;0,$A506&gt;AE$7)),0,MAX(0,ROUND((INDEX($E506:$G506,AE$5)-SUMIFS(TF_Timer,TF_Tekniker,AE$4,TF_Dato,$A506))*2,0)/2)))</f>
        <v/>
      </c>
      <c r="AF506">
        <f>IF(OR(AF$4="",$A506&gt;TODAY()),0,IF(OR(INDEX($B506:$D506,AF$5)="F",AND(AF$6&gt;0,$A506&lt;AF$6),AND(AF$7&gt;0,$A506&gt;AF$7)),0,MAX(0,ROUND((INDEX($E506:$G506,AF$5)-SUMIFS(TF_Timer,TF_Tekniker,AF$4,TF_Dato,$A506))*2,0)/2)))</f>
        <v/>
      </c>
      <c r="AG506">
        <f>IF(OR(AG$4="",$A506&gt;TODAY()),0,IF(OR(INDEX($B506:$D506,AG$5)="F",AND(AG$6&gt;0,$A506&lt;AG$6),AND(AG$7&gt;0,$A506&gt;AG$7)),0,MAX(0,ROUND((INDEX($E506:$G506,AG$5)-SUMIFS(TF_Timer,TF_Tekniker,AG$4,TF_Dato,$A506))*2,0)/2)))</f>
        <v/>
      </c>
      <c r="AH506">
        <f>IF(OR(AH$4="",$A506&gt;TODAY()),0,IF(OR(INDEX($B506:$D506,AH$5)="F",AND(AH$6&gt;0,$A506&lt;AH$6),AND(AH$7&gt;0,$A506&gt;AH$7)),0,MAX(0,ROUND((INDEX($E506:$G506,AH$5)-SUMIFS(TF_Timer,TF_Tekniker,AH$4,TF_Dato,$A506))*2,0)/2)))</f>
        <v/>
      </c>
      <c r="AI506">
        <f>IF(OR(AI$4="",$A506&gt;TODAY()),0,IF(OR(INDEX($B506:$D506,AI$5)="F",AND(AI$6&gt;0,$A506&lt;AI$6),AND(AI$7&gt;0,$A506&gt;AI$7)),0,MAX(0,ROUND((INDEX($E506:$G506,AI$5)-SUMIFS(TF_Timer,TF_Tekniker,AI$4,TF_Dato,$A506))*2,0)/2)))</f>
        <v/>
      </c>
      <c r="AJ506">
        <f>IF(OR(AJ$4="",$A506&gt;TODAY()),0,IF(OR(INDEX($B506:$D506,AJ$5)="F",AND(AJ$6&gt;0,$A506&lt;AJ$6),AND(AJ$7&gt;0,$A506&gt;AJ$7)),0,MAX(0,ROUND((INDEX($E506:$G506,AJ$5)-SUMIFS(TF_Timer,TF_Tekniker,AJ$4,TF_Dato,$A506))*2,0)/2)))</f>
        <v/>
      </c>
      <c r="AK506">
        <f>IF(OR(AK$4="",$A506&gt;TODAY()),0,IF(OR(INDEX($B506:$D506,AK$5)="F",AND(AK$6&gt;0,$A506&lt;AK$6),AND(AK$7&gt;0,$A506&gt;AK$7)),0,MAX(0,ROUND((INDEX($E506:$G506,AK$5)-SUMIFS(TF_Timer,TF_Tekniker,AK$4,TF_Dato,$A506))*2,0)/2)))</f>
        <v/>
      </c>
      <c r="AL506">
        <f>IF(OR(AL$4="",$A506&gt;TODAY()),0,IF(OR(INDEX($B506:$D506,AL$5)="F",AND(AL$6&gt;0,$A506&lt;AL$6),AND(AL$7&gt;0,$A506&gt;AL$7)),0,MAX(0,ROUND((INDEX($E506:$G506,AL$5)-SUMIFS(TF_Timer,TF_Tekniker,AL$4,TF_Dato,$A506))*2,0)/2)))</f>
        <v/>
      </c>
      <c r="AM506">
        <f>IF(OR(AM$4="",$A506&gt;TODAY()),0,IF(OR(INDEX($B506:$D506,AM$5)="F",AND(AM$6&gt;0,$A506&lt;AM$6),AND(AM$7&gt;0,$A506&gt;AM$7)),0,MAX(0,ROUND((INDEX($E506:$G506,AM$5)-SUMIFS(TF_Timer,TF_Tekniker,AM$4,TF_Dato,$A506))*2,0)/2)))</f>
        <v/>
      </c>
      <c r="AN506">
        <f>IF(OR(AN$4="",$A506&gt;TODAY()),0,IF(OR(INDEX($B506:$D506,AN$5)="F",AND(AN$6&gt;0,$A506&lt;AN$6),AND(AN$7&gt;0,$A506&gt;AN$7)),0,MAX(0,ROUND((INDEX($E506:$G506,AN$5)-SUMIFS(TF_Timer,TF_Tekniker,AN$4,TF_Dato,$A506))*2,0)/2)))</f>
        <v/>
      </c>
      <c r="AO506">
        <f>IF(OR(AO$4="",$A506&gt;TODAY()),0,IF(OR(INDEX($B506:$D506,AO$5)="F",AND(AO$6&gt;0,$A506&lt;AO$6),AND(AO$7&gt;0,$A506&gt;AO$7)),0,MAX(0,ROUND((INDEX($E506:$G506,AO$5)-SUMIFS(TF_Timer,TF_Tekniker,AO$4,TF_Dato,$A506))*2,0)/2)))</f>
        <v/>
      </c>
      <c r="AP506">
        <f>IF(OR(AP$4="",$A506&gt;TODAY()),0,IF(OR(INDEX($B506:$D506,AP$5)="F",AND(AP$6&gt;0,$A506&lt;AP$6),AND(AP$7&gt;0,$A506&gt;AP$7)),0,MAX(0,ROUND((INDEX($E506:$G506,AP$5)-SUMIFS(TF_Timer,TF_Tekniker,AP$4,TF_Dato,$A506))*2,0)/2)))</f>
        <v/>
      </c>
      <c r="AQ506">
        <f>IF(OR(AQ$4="",$A506&gt;TODAY()),0,IF(OR(INDEX($B506:$D506,AQ$5)="F",AND(AQ$6&gt;0,$A506&lt;AQ$6),AND(AQ$7&gt;0,$A506&gt;AQ$7)),0,MAX(0,ROUND((INDEX($E506:$G506,AQ$5)-SUMIFS(TF_Timer,TF_Tekniker,AQ$4,TF_Dato,$A506))*2,0)/2)))</f>
        <v/>
      </c>
      <c r="AR506">
        <f>IF(OR(AR$4="",$A506&gt;TODAY()),0,IF(OR(INDEX($B506:$D506,AR$5)="F",AND(AR$6&gt;0,$A506&lt;AR$6),AND(AR$7&gt;0,$A506&gt;AR$7)),0,MAX(0,ROUND((INDEX($E506:$G506,AR$5)-SUMIFS(TF_Timer,TF_Tekniker,AR$4,TF_Dato,$A506))*2,0)/2)))</f>
        <v/>
      </c>
      <c r="AS506">
        <f>IF(OR(AS$4="",$A506&gt;TODAY()),0,IF(OR(INDEX($B506:$D506,AS$5)="F",AND(AS$6&gt;0,$A506&lt;AS$6),AND(AS$7&gt;0,$A506&gt;AS$7)),0,MAX(0,ROUND((INDEX($E506:$G506,AS$5)-SUMIFS(TF_Timer,TF_Tekniker,AS$4,TF_Dato,$A506))*2,0)/2)))</f>
        <v/>
      </c>
      <c r="AT506">
        <f>IF(OR(AT$4="",$A506&gt;TODAY()),0,IF(OR(INDEX($B506:$D506,AT$5)="F",AND(AT$6&gt;0,$A506&lt;AT$6),AND(AT$7&gt;0,$A506&gt;AT$7)),0,MAX(0,ROUND((INDEX($E506:$G506,AT$5)-SUMIFS(TF_Timer,TF_Tekniker,AT$4,TF_Dato,$A506))*2,0)/2)))</f>
        <v/>
      </c>
      <c r="AU506">
        <f>IF(OR(AU$4="",$A506&gt;TODAY()),0,IF(OR(INDEX($B506:$D506,AU$5)="F",AND(AU$6&gt;0,$A506&lt;AU$6),AND(AU$7&gt;0,$A506&gt;AU$7)),0,MAX(0,ROUND((INDEX($E506:$G506,AU$5)-SUMIFS(TF_Timer,TF_Tekniker,AU$4,TF_Dato,$A506))*2,0)/2)))</f>
        <v/>
      </c>
      <c r="AV506">
        <f>IF(OR(AV$4="",$A506&gt;TODAY()),0,IF(OR(INDEX($B506:$D506,AV$5)="F",AND(AV$6&gt;0,$A506&lt;AV$6),AND(AV$7&gt;0,$A506&gt;AV$7)),0,MAX(0,ROUND((INDEX($E506:$G506,AV$5)-SUMIFS(TF_Timer,TF_Tekniker,AV$4,TF_Dato,$A506))*2,0)/2)))</f>
        <v/>
      </c>
      <c r="AW506">
        <f>IF(OR(AW$4="",$A506&gt;TODAY()),0,IF(OR(INDEX($B506:$D506,AW$5)="F",AND(AW$6&gt;0,$A506&lt;AW$6),AND(AW$7&gt;0,$A506&gt;AW$7)),0,MAX(0,ROUND((INDEX($E506:$G506,AW$5)-SUMIFS(TF_Timer,TF_Tekniker,AW$4,TF_Dato,$A506))*2,0)/2)))</f>
        <v/>
      </c>
      <c r="AX506">
        <f>IF(OR(AX$4="",$A506&gt;TODAY()),0,IF(OR(INDEX($B506:$D506,AX$5)="F",AND(AX$6&gt;0,$A506&lt;AX$6),AND(AX$7&gt;0,$A506&gt;AX$7)),0,MAX(0,ROUND((INDEX($E506:$G506,AX$5)-SUMIFS(TF_Timer,TF_Tekniker,AX$4,TF_Dato,$A506))*2,0)/2)))</f>
        <v/>
      </c>
      <c r="AY506">
        <f>IF(OR(AY$4="",$A506&gt;TODAY()),0,IF(OR(INDEX($B506:$D506,AY$5)="F",AND(AY$6&gt;0,$A506&lt;AY$6),AND(AY$7&gt;0,$A506&gt;AY$7)),0,MAX(0,ROUND((INDEX($E506:$G506,AY$5)-SUMIFS(TF_Timer,TF_Tekniker,AY$4,TF_Dato,$A506))*2,0)/2)))</f>
        <v/>
      </c>
      <c r="AZ506">
        <f>IF(OR(AZ$4="",$A506&gt;TODAY()),0,IF(OR(INDEX($B506:$D506,AZ$5)="F",AND(AZ$6&gt;0,$A506&lt;AZ$6),AND(AZ$7&gt;0,$A506&gt;AZ$7)),0,MAX(0,ROUND((INDEX($E506:$G506,AZ$5)-SUMIFS(TF_Timer,TF_Tekniker,AZ$4,TF_Dato,$A506))*2,0)/2)))</f>
        <v/>
      </c>
      <c r="BA506">
        <f>IF(OR(BA$4="",$A506&gt;TODAY()),0,IF(OR(INDEX($B506:$D506,BA$5)="F",AND(BA$6&gt;0,$A506&lt;BA$6),AND(BA$7&gt;0,$A506&gt;BA$7)),0,MAX(0,ROUND((INDEX($E506:$G506,BA$5)-SUMIFS(TF_Timer,TF_Tekniker,BA$4,TF_Dato,$A506))*2,0)/2)))</f>
        <v/>
      </c>
      <c r="BB506">
        <f>IF(OR(BB$4="",$A506&gt;TODAY()),0,IF(OR(INDEX($B506:$D506,BB$5)="F",AND(BB$6&gt;0,$A506&lt;BB$6),AND(BB$7&gt;0,$A506&gt;BB$7)),0,MAX(0,ROUND((INDEX($E506:$G506,BB$5)-SUMIFS(TF_Timer,TF_Tekniker,BB$4,TF_Dato,$A506))*2,0)/2)))</f>
        <v/>
      </c>
      <c r="BC506">
        <f>IF(OR(BC$4="",$A506&gt;TODAY()),0,IF(OR(INDEX($B506:$D506,BC$5)="F",AND(BC$6&gt;0,$A506&lt;BC$6),AND(BC$7&gt;0,$A506&gt;BC$7)),0,MAX(0,ROUND((INDEX($E506:$G506,BC$5)-SUMIFS(TF_Timer,TF_Tekniker,BC$4,TF_Dato,$A506))*2,0)/2)))</f>
        <v/>
      </c>
      <c r="BD506">
        <f>IF(OR(BD$4="",$A506&gt;TODAY()),0,IF(OR(INDEX($B506:$D506,BD$5)="F",AND(BD$6&gt;0,$A506&lt;BD$6),AND(BD$7&gt;0,$A506&gt;BD$7)),0,MAX(0,ROUND((INDEX($E506:$G506,BD$5)-SUMIFS(TF_Timer,TF_Tekniker,BD$4,TF_Dato,$A506))*2,0)/2)))</f>
        <v/>
      </c>
      <c r="BE506">
        <f>IF(OR(BE$4="",$A506&gt;TODAY()),0,IF(OR(INDEX($B506:$D506,BE$5)="F",AND(BE$6&gt;0,$A506&lt;BE$6),AND(BE$7&gt;0,$A506&gt;BE$7)),0,MAX(0,ROUND((INDEX($E506:$G506,BE$5)-SUMIFS(TF_Timer,TF_Tekniker,BE$4,TF_Dato,$A506))*2,0)/2)))</f>
        <v/>
      </c>
      <c r="BF506">
        <f>IF(OR(BF$4="",$A506&gt;TODAY()),0,IF(OR(INDEX($B506:$D506,BF$5)="F",AND(BF$6&gt;0,$A506&lt;BF$6),AND(BF$7&gt;0,$A506&gt;BF$7)),0,MAX(0,ROUND((INDEX($E506:$G506,BF$5)-SUMIFS(TF_Timer,TF_Tekniker,BF$4,TF_Dato,$A506))*2,0)/2)))</f>
        <v/>
      </c>
      <c r="BG506">
        <f>IF(OR(BG$4="",$A506&gt;TODAY()),0,IF(OR(INDEX($B506:$D506,BG$5)="F",AND(BG$6&gt;0,$A506&lt;BG$6),AND(BG$7&gt;0,$A506&gt;BG$7)),0,MAX(0,ROUND((INDEX($E506:$G506,BG$5)-SUMIFS(TF_Timer,TF_Tekniker,BG$4,TF_Dato,$A506))*2,0)/2)))</f>
        <v/>
      </c>
      <c r="BH506">
        <f>IF(OR(BH$4="",$A506&gt;TODAY()),0,IF(OR(INDEX($B506:$D506,BH$5)="F",AND(BH$6&gt;0,$A506&lt;BH$6),AND(BH$7&gt;0,$A506&gt;BH$7)),0,MAX(0,ROUND((INDEX($E506:$G506,BH$5)-SUMIFS(TF_Timer,TF_Tekniker,BH$4,TF_Dato,$A506))*2,0)/2)))</f>
        <v/>
      </c>
      <c r="BI506">
        <f>IF(OR(BI$4="",$A506&gt;TODAY()),0,IF(OR(INDEX($B506:$D506,BI$5)="F",AND(BI$6&gt;0,$A506&lt;BI$6),AND(BI$7&gt;0,$A506&gt;BI$7)),0,MAX(0,ROUND((INDEX($E506:$G506,BI$5)-SUMIFS(TF_Timer,TF_Tekniker,BI$4,TF_Dato,$A506))*2,0)/2)))</f>
        <v/>
      </c>
    </row>
    <row r="507">
      <c r="A507" s="64">
        <f>A506+1</f>
        <v/>
      </c>
      <c r="B507">
        <f>IF(MOD($A507-INDEX(SkiftStart,1),Syklus)&lt;DagK,"K",IF(MOD($A507-INDEX(SkiftStart,1),Syklus)&lt;DagK+DagH,"H",IF(MOD($A507-INDEX(SkiftStart,1),Syklus)&lt;DagK+DagH+DagD,"D","F")))</f>
        <v/>
      </c>
      <c r="C507">
        <f>IF(MOD($A507-INDEX(SkiftStart,2),Syklus)&lt;DagK,"K",IF(MOD($A507-INDEX(SkiftStart,2),Syklus)&lt;DagK+DagH,"H",IF(MOD($A507-INDEX(SkiftStart,2),Syklus)&lt;DagK+DagH+DagD,"D","F")))</f>
        <v/>
      </c>
      <c r="D507">
        <f>IF(MOD($A507-INDEX(SkiftStart,3),Syklus)&lt;DagK,"K",IF(MOD($A507-INDEX(SkiftStart,3),Syklus)&lt;DagK+DagH,"H",IF(MOD($A507-INDEX(SkiftStart,3),Syklus)&lt;DagK+DagH+DagD,"D","F")))</f>
        <v/>
      </c>
      <c r="E507">
        <f>IF(B507="F",0,IF(WEEKDAY($A507,2)=5,INDEX(TimerFr,MATCH(B507,FaseKode,0)),INDEX(TimerMT,MATCH(B507,FaseKode,0))))</f>
        <v/>
      </c>
      <c r="F507">
        <f>IF(C507="F",0,IF(WEEKDAY($A507,2)=5,INDEX(TimerFr,MATCH(C507,FaseKode,0)),INDEX(TimerMT,MATCH(C507,FaseKode,0))))</f>
        <v/>
      </c>
      <c r="G507">
        <f>IF(D507="F",0,IF(WEEKDAY($A507,2)=5,INDEX(TimerFr,MATCH(D507,FaseKode,0)),INDEX(TimerMT,MATCH(D507,FaseKode,0))))</f>
        <v/>
      </c>
      <c r="H507">
        <f>IF(OR(H$4="",$A507&gt;TODAY()),0,IF(OR(INDEX($B507:$D507,H$5)="F",AND(H$6&gt;0,$A507&lt;H$6),AND(H$7&gt;0,$A507&gt;H$7)),0,MAX(0,ROUND((INDEX($E507:$G507,H$5)-SUMIFS(TF_Timer,TF_Tekniker,H$4,TF_Dato,$A507))*2,0)/2)))</f>
        <v/>
      </c>
      <c r="I507">
        <f>IF(OR(I$4="",$A507&gt;TODAY()),0,IF(OR(INDEX($B507:$D507,I$5)="F",AND(I$6&gt;0,$A507&lt;I$6),AND(I$7&gt;0,$A507&gt;I$7)),0,MAX(0,ROUND((INDEX($E507:$G507,I$5)-SUMIFS(TF_Timer,TF_Tekniker,I$4,TF_Dato,$A507))*2,0)/2)))</f>
        <v/>
      </c>
      <c r="J507">
        <f>IF(OR(J$4="",$A507&gt;TODAY()),0,IF(OR(INDEX($B507:$D507,J$5)="F",AND(J$6&gt;0,$A507&lt;J$6),AND(J$7&gt;0,$A507&gt;J$7)),0,MAX(0,ROUND((INDEX($E507:$G507,J$5)-SUMIFS(TF_Timer,TF_Tekniker,J$4,TF_Dato,$A507))*2,0)/2)))</f>
        <v/>
      </c>
      <c r="K507">
        <f>IF(OR(K$4="",$A507&gt;TODAY()),0,IF(OR(INDEX($B507:$D507,K$5)="F",AND(K$6&gt;0,$A507&lt;K$6),AND(K$7&gt;0,$A507&gt;K$7)),0,MAX(0,ROUND((INDEX($E507:$G507,K$5)-SUMIFS(TF_Timer,TF_Tekniker,K$4,TF_Dato,$A507))*2,0)/2)))</f>
        <v/>
      </c>
      <c r="L507">
        <f>IF(OR(L$4="",$A507&gt;TODAY()),0,IF(OR(INDEX($B507:$D507,L$5)="F",AND(L$6&gt;0,$A507&lt;L$6),AND(L$7&gt;0,$A507&gt;L$7)),0,MAX(0,ROUND((INDEX($E507:$G507,L$5)-SUMIFS(TF_Timer,TF_Tekniker,L$4,TF_Dato,$A507))*2,0)/2)))</f>
        <v/>
      </c>
      <c r="M507">
        <f>IF(OR(M$4="",$A507&gt;TODAY()),0,IF(OR(INDEX($B507:$D507,M$5)="F",AND(M$6&gt;0,$A507&lt;M$6),AND(M$7&gt;0,$A507&gt;M$7)),0,MAX(0,ROUND((INDEX($E507:$G507,M$5)-SUMIFS(TF_Timer,TF_Tekniker,M$4,TF_Dato,$A507))*2,0)/2)))</f>
        <v/>
      </c>
      <c r="N507">
        <f>IF(OR(N$4="",$A507&gt;TODAY()),0,IF(OR(INDEX($B507:$D507,N$5)="F",AND(N$6&gt;0,$A507&lt;N$6),AND(N$7&gt;0,$A507&gt;N$7)),0,MAX(0,ROUND((INDEX($E507:$G507,N$5)-SUMIFS(TF_Timer,TF_Tekniker,N$4,TF_Dato,$A507))*2,0)/2)))</f>
        <v/>
      </c>
      <c r="O507">
        <f>IF(OR(O$4="",$A507&gt;TODAY()),0,IF(OR(INDEX($B507:$D507,O$5)="F",AND(O$6&gt;0,$A507&lt;O$6),AND(O$7&gt;0,$A507&gt;O$7)),0,MAX(0,ROUND((INDEX($E507:$G507,O$5)-SUMIFS(TF_Timer,TF_Tekniker,O$4,TF_Dato,$A507))*2,0)/2)))</f>
        <v/>
      </c>
      <c r="P507">
        <f>IF(OR(P$4="",$A507&gt;TODAY()),0,IF(OR(INDEX($B507:$D507,P$5)="F",AND(P$6&gt;0,$A507&lt;P$6),AND(P$7&gt;0,$A507&gt;P$7)),0,MAX(0,ROUND((INDEX($E507:$G507,P$5)-SUMIFS(TF_Timer,TF_Tekniker,P$4,TF_Dato,$A507))*2,0)/2)))</f>
        <v/>
      </c>
      <c r="Q507">
        <f>IF(OR(Q$4="",$A507&gt;TODAY()),0,IF(OR(INDEX($B507:$D507,Q$5)="F",AND(Q$6&gt;0,$A507&lt;Q$6),AND(Q$7&gt;0,$A507&gt;Q$7)),0,MAX(0,ROUND((INDEX($E507:$G507,Q$5)-SUMIFS(TF_Timer,TF_Tekniker,Q$4,TF_Dato,$A507))*2,0)/2)))</f>
        <v/>
      </c>
      <c r="R507">
        <f>IF(OR(R$4="",$A507&gt;TODAY()),0,IF(OR(INDEX($B507:$D507,R$5)="F",AND(R$6&gt;0,$A507&lt;R$6),AND(R$7&gt;0,$A507&gt;R$7)),0,MAX(0,ROUND((INDEX($E507:$G507,R$5)-SUMIFS(TF_Timer,TF_Tekniker,R$4,TF_Dato,$A507))*2,0)/2)))</f>
        <v/>
      </c>
      <c r="S507">
        <f>IF(OR(S$4="",$A507&gt;TODAY()),0,IF(OR(INDEX($B507:$D507,S$5)="F",AND(S$6&gt;0,$A507&lt;S$6),AND(S$7&gt;0,$A507&gt;S$7)),0,MAX(0,ROUND((INDEX($E507:$G507,S$5)-SUMIFS(TF_Timer,TF_Tekniker,S$4,TF_Dato,$A507))*2,0)/2)))</f>
        <v/>
      </c>
      <c r="T507">
        <f>IF(OR(T$4="",$A507&gt;TODAY()),0,IF(OR(INDEX($B507:$D507,T$5)="F",AND(T$6&gt;0,$A507&lt;T$6),AND(T$7&gt;0,$A507&gt;T$7)),0,MAX(0,ROUND((INDEX($E507:$G507,T$5)-SUMIFS(TF_Timer,TF_Tekniker,T$4,TF_Dato,$A507))*2,0)/2)))</f>
        <v/>
      </c>
      <c r="U507">
        <f>IF(OR(U$4="",$A507&gt;TODAY()),0,IF(OR(INDEX($B507:$D507,U$5)="F",AND(U$6&gt;0,$A507&lt;U$6),AND(U$7&gt;0,$A507&gt;U$7)),0,MAX(0,ROUND((INDEX($E507:$G507,U$5)-SUMIFS(TF_Timer,TF_Tekniker,U$4,TF_Dato,$A507))*2,0)/2)))</f>
        <v/>
      </c>
      <c r="V507">
        <f>IF(OR(V$4="",$A507&gt;TODAY()),0,IF(OR(INDEX($B507:$D507,V$5)="F",AND(V$6&gt;0,$A507&lt;V$6),AND(V$7&gt;0,$A507&gt;V$7)),0,MAX(0,ROUND((INDEX($E507:$G507,V$5)-SUMIFS(TF_Timer,TF_Tekniker,V$4,TF_Dato,$A507))*2,0)/2)))</f>
        <v/>
      </c>
      <c r="W507">
        <f>IF(OR(W$4="",$A507&gt;TODAY()),0,IF(OR(INDEX($B507:$D507,W$5)="F",AND(W$6&gt;0,$A507&lt;W$6),AND(W$7&gt;0,$A507&gt;W$7)),0,MAX(0,ROUND((INDEX($E507:$G507,W$5)-SUMIFS(TF_Timer,TF_Tekniker,W$4,TF_Dato,$A507))*2,0)/2)))</f>
        <v/>
      </c>
      <c r="X507">
        <f>IF(OR(X$4="",$A507&gt;TODAY()),0,IF(OR(INDEX($B507:$D507,X$5)="F",AND(X$6&gt;0,$A507&lt;X$6),AND(X$7&gt;0,$A507&gt;X$7)),0,MAX(0,ROUND((INDEX($E507:$G507,X$5)-SUMIFS(TF_Timer,TF_Tekniker,X$4,TF_Dato,$A507))*2,0)/2)))</f>
        <v/>
      </c>
      <c r="Y507">
        <f>IF(OR(Y$4="",$A507&gt;TODAY()),0,IF(OR(INDEX($B507:$D507,Y$5)="F",AND(Y$6&gt;0,$A507&lt;Y$6),AND(Y$7&gt;0,$A507&gt;Y$7)),0,MAX(0,ROUND((INDEX($E507:$G507,Y$5)-SUMIFS(TF_Timer,TF_Tekniker,Y$4,TF_Dato,$A507))*2,0)/2)))</f>
        <v/>
      </c>
      <c r="Z507">
        <f>IF(OR(Z$4="",$A507&gt;TODAY()),0,IF(OR(INDEX($B507:$D507,Z$5)="F",AND(Z$6&gt;0,$A507&lt;Z$6),AND(Z$7&gt;0,$A507&gt;Z$7)),0,MAX(0,ROUND((INDEX($E507:$G507,Z$5)-SUMIFS(TF_Timer,TF_Tekniker,Z$4,TF_Dato,$A507))*2,0)/2)))</f>
        <v/>
      </c>
      <c r="AA507">
        <f>IF(OR(AA$4="",$A507&gt;TODAY()),0,IF(OR(INDEX($B507:$D507,AA$5)="F",AND(AA$6&gt;0,$A507&lt;AA$6),AND(AA$7&gt;0,$A507&gt;AA$7)),0,MAX(0,ROUND((INDEX($E507:$G507,AA$5)-SUMIFS(TF_Timer,TF_Tekniker,AA$4,TF_Dato,$A507))*2,0)/2)))</f>
        <v/>
      </c>
      <c r="AB507">
        <f>IF(OR(AB$4="",$A507&gt;TODAY()),0,IF(OR(INDEX($B507:$D507,AB$5)="F",AND(AB$6&gt;0,$A507&lt;AB$6),AND(AB$7&gt;0,$A507&gt;AB$7)),0,MAX(0,ROUND((INDEX($E507:$G507,AB$5)-SUMIFS(TF_Timer,TF_Tekniker,AB$4,TF_Dato,$A507))*2,0)/2)))</f>
        <v/>
      </c>
      <c r="AC507">
        <f>IF(OR(AC$4="",$A507&gt;TODAY()),0,IF(OR(INDEX($B507:$D507,AC$5)="F",AND(AC$6&gt;0,$A507&lt;AC$6),AND(AC$7&gt;0,$A507&gt;AC$7)),0,MAX(0,ROUND((INDEX($E507:$G507,AC$5)-SUMIFS(TF_Timer,TF_Tekniker,AC$4,TF_Dato,$A507))*2,0)/2)))</f>
        <v/>
      </c>
      <c r="AD507">
        <f>IF(OR(AD$4="",$A507&gt;TODAY()),0,IF(OR(INDEX($B507:$D507,AD$5)="F",AND(AD$6&gt;0,$A507&lt;AD$6),AND(AD$7&gt;0,$A507&gt;AD$7)),0,MAX(0,ROUND((INDEX($E507:$G507,AD$5)-SUMIFS(TF_Timer,TF_Tekniker,AD$4,TF_Dato,$A507))*2,0)/2)))</f>
        <v/>
      </c>
      <c r="AE507">
        <f>IF(OR(AE$4="",$A507&gt;TODAY()),0,IF(OR(INDEX($B507:$D507,AE$5)="F",AND(AE$6&gt;0,$A507&lt;AE$6),AND(AE$7&gt;0,$A507&gt;AE$7)),0,MAX(0,ROUND((INDEX($E507:$G507,AE$5)-SUMIFS(TF_Timer,TF_Tekniker,AE$4,TF_Dato,$A507))*2,0)/2)))</f>
        <v/>
      </c>
      <c r="AF507">
        <f>IF(OR(AF$4="",$A507&gt;TODAY()),0,IF(OR(INDEX($B507:$D507,AF$5)="F",AND(AF$6&gt;0,$A507&lt;AF$6),AND(AF$7&gt;0,$A507&gt;AF$7)),0,MAX(0,ROUND((INDEX($E507:$G507,AF$5)-SUMIFS(TF_Timer,TF_Tekniker,AF$4,TF_Dato,$A507))*2,0)/2)))</f>
        <v/>
      </c>
      <c r="AG507">
        <f>IF(OR(AG$4="",$A507&gt;TODAY()),0,IF(OR(INDEX($B507:$D507,AG$5)="F",AND(AG$6&gt;0,$A507&lt;AG$6),AND(AG$7&gt;0,$A507&gt;AG$7)),0,MAX(0,ROUND((INDEX($E507:$G507,AG$5)-SUMIFS(TF_Timer,TF_Tekniker,AG$4,TF_Dato,$A507))*2,0)/2)))</f>
        <v/>
      </c>
      <c r="AH507">
        <f>IF(OR(AH$4="",$A507&gt;TODAY()),0,IF(OR(INDEX($B507:$D507,AH$5)="F",AND(AH$6&gt;0,$A507&lt;AH$6),AND(AH$7&gt;0,$A507&gt;AH$7)),0,MAX(0,ROUND((INDEX($E507:$G507,AH$5)-SUMIFS(TF_Timer,TF_Tekniker,AH$4,TF_Dato,$A507))*2,0)/2)))</f>
        <v/>
      </c>
      <c r="AI507">
        <f>IF(OR(AI$4="",$A507&gt;TODAY()),0,IF(OR(INDEX($B507:$D507,AI$5)="F",AND(AI$6&gt;0,$A507&lt;AI$6),AND(AI$7&gt;0,$A507&gt;AI$7)),0,MAX(0,ROUND((INDEX($E507:$G507,AI$5)-SUMIFS(TF_Timer,TF_Tekniker,AI$4,TF_Dato,$A507))*2,0)/2)))</f>
        <v/>
      </c>
      <c r="AJ507">
        <f>IF(OR(AJ$4="",$A507&gt;TODAY()),0,IF(OR(INDEX($B507:$D507,AJ$5)="F",AND(AJ$6&gt;0,$A507&lt;AJ$6),AND(AJ$7&gt;0,$A507&gt;AJ$7)),0,MAX(0,ROUND((INDEX($E507:$G507,AJ$5)-SUMIFS(TF_Timer,TF_Tekniker,AJ$4,TF_Dato,$A507))*2,0)/2)))</f>
        <v/>
      </c>
      <c r="AK507">
        <f>IF(OR(AK$4="",$A507&gt;TODAY()),0,IF(OR(INDEX($B507:$D507,AK$5)="F",AND(AK$6&gt;0,$A507&lt;AK$6),AND(AK$7&gt;0,$A507&gt;AK$7)),0,MAX(0,ROUND((INDEX($E507:$G507,AK$5)-SUMIFS(TF_Timer,TF_Tekniker,AK$4,TF_Dato,$A507))*2,0)/2)))</f>
        <v/>
      </c>
      <c r="AL507">
        <f>IF(OR(AL$4="",$A507&gt;TODAY()),0,IF(OR(INDEX($B507:$D507,AL$5)="F",AND(AL$6&gt;0,$A507&lt;AL$6),AND(AL$7&gt;0,$A507&gt;AL$7)),0,MAX(0,ROUND((INDEX($E507:$G507,AL$5)-SUMIFS(TF_Timer,TF_Tekniker,AL$4,TF_Dato,$A507))*2,0)/2)))</f>
        <v/>
      </c>
      <c r="AM507">
        <f>IF(OR(AM$4="",$A507&gt;TODAY()),0,IF(OR(INDEX($B507:$D507,AM$5)="F",AND(AM$6&gt;0,$A507&lt;AM$6),AND(AM$7&gt;0,$A507&gt;AM$7)),0,MAX(0,ROUND((INDEX($E507:$G507,AM$5)-SUMIFS(TF_Timer,TF_Tekniker,AM$4,TF_Dato,$A507))*2,0)/2)))</f>
        <v/>
      </c>
      <c r="AN507">
        <f>IF(OR(AN$4="",$A507&gt;TODAY()),0,IF(OR(INDEX($B507:$D507,AN$5)="F",AND(AN$6&gt;0,$A507&lt;AN$6),AND(AN$7&gt;0,$A507&gt;AN$7)),0,MAX(0,ROUND((INDEX($E507:$G507,AN$5)-SUMIFS(TF_Timer,TF_Tekniker,AN$4,TF_Dato,$A507))*2,0)/2)))</f>
        <v/>
      </c>
      <c r="AO507">
        <f>IF(OR(AO$4="",$A507&gt;TODAY()),0,IF(OR(INDEX($B507:$D507,AO$5)="F",AND(AO$6&gt;0,$A507&lt;AO$6),AND(AO$7&gt;0,$A507&gt;AO$7)),0,MAX(0,ROUND((INDEX($E507:$G507,AO$5)-SUMIFS(TF_Timer,TF_Tekniker,AO$4,TF_Dato,$A507))*2,0)/2)))</f>
        <v/>
      </c>
      <c r="AP507">
        <f>IF(OR(AP$4="",$A507&gt;TODAY()),0,IF(OR(INDEX($B507:$D507,AP$5)="F",AND(AP$6&gt;0,$A507&lt;AP$6),AND(AP$7&gt;0,$A507&gt;AP$7)),0,MAX(0,ROUND((INDEX($E507:$G507,AP$5)-SUMIFS(TF_Timer,TF_Tekniker,AP$4,TF_Dato,$A507))*2,0)/2)))</f>
        <v/>
      </c>
      <c r="AQ507">
        <f>IF(OR(AQ$4="",$A507&gt;TODAY()),0,IF(OR(INDEX($B507:$D507,AQ$5)="F",AND(AQ$6&gt;0,$A507&lt;AQ$6),AND(AQ$7&gt;0,$A507&gt;AQ$7)),0,MAX(0,ROUND((INDEX($E507:$G507,AQ$5)-SUMIFS(TF_Timer,TF_Tekniker,AQ$4,TF_Dato,$A507))*2,0)/2)))</f>
        <v/>
      </c>
      <c r="AR507">
        <f>IF(OR(AR$4="",$A507&gt;TODAY()),0,IF(OR(INDEX($B507:$D507,AR$5)="F",AND(AR$6&gt;0,$A507&lt;AR$6),AND(AR$7&gt;0,$A507&gt;AR$7)),0,MAX(0,ROUND((INDEX($E507:$G507,AR$5)-SUMIFS(TF_Timer,TF_Tekniker,AR$4,TF_Dato,$A507))*2,0)/2)))</f>
        <v/>
      </c>
      <c r="AS507">
        <f>IF(OR(AS$4="",$A507&gt;TODAY()),0,IF(OR(INDEX($B507:$D507,AS$5)="F",AND(AS$6&gt;0,$A507&lt;AS$6),AND(AS$7&gt;0,$A507&gt;AS$7)),0,MAX(0,ROUND((INDEX($E507:$G507,AS$5)-SUMIFS(TF_Timer,TF_Tekniker,AS$4,TF_Dato,$A507))*2,0)/2)))</f>
        <v/>
      </c>
      <c r="AT507">
        <f>IF(OR(AT$4="",$A507&gt;TODAY()),0,IF(OR(INDEX($B507:$D507,AT$5)="F",AND(AT$6&gt;0,$A507&lt;AT$6),AND(AT$7&gt;0,$A507&gt;AT$7)),0,MAX(0,ROUND((INDEX($E507:$G507,AT$5)-SUMIFS(TF_Timer,TF_Tekniker,AT$4,TF_Dato,$A507))*2,0)/2)))</f>
        <v/>
      </c>
      <c r="AU507">
        <f>IF(OR(AU$4="",$A507&gt;TODAY()),0,IF(OR(INDEX($B507:$D507,AU$5)="F",AND(AU$6&gt;0,$A507&lt;AU$6),AND(AU$7&gt;0,$A507&gt;AU$7)),0,MAX(0,ROUND((INDEX($E507:$G507,AU$5)-SUMIFS(TF_Timer,TF_Tekniker,AU$4,TF_Dato,$A507))*2,0)/2)))</f>
        <v/>
      </c>
      <c r="AV507">
        <f>IF(OR(AV$4="",$A507&gt;TODAY()),0,IF(OR(INDEX($B507:$D507,AV$5)="F",AND(AV$6&gt;0,$A507&lt;AV$6),AND(AV$7&gt;0,$A507&gt;AV$7)),0,MAX(0,ROUND((INDEX($E507:$G507,AV$5)-SUMIFS(TF_Timer,TF_Tekniker,AV$4,TF_Dato,$A507))*2,0)/2)))</f>
        <v/>
      </c>
      <c r="AW507">
        <f>IF(OR(AW$4="",$A507&gt;TODAY()),0,IF(OR(INDEX($B507:$D507,AW$5)="F",AND(AW$6&gt;0,$A507&lt;AW$6),AND(AW$7&gt;0,$A507&gt;AW$7)),0,MAX(0,ROUND((INDEX($E507:$G507,AW$5)-SUMIFS(TF_Timer,TF_Tekniker,AW$4,TF_Dato,$A507))*2,0)/2)))</f>
        <v/>
      </c>
      <c r="AX507">
        <f>IF(OR(AX$4="",$A507&gt;TODAY()),0,IF(OR(INDEX($B507:$D507,AX$5)="F",AND(AX$6&gt;0,$A507&lt;AX$6),AND(AX$7&gt;0,$A507&gt;AX$7)),0,MAX(0,ROUND((INDEX($E507:$G507,AX$5)-SUMIFS(TF_Timer,TF_Tekniker,AX$4,TF_Dato,$A507))*2,0)/2)))</f>
        <v/>
      </c>
      <c r="AY507">
        <f>IF(OR(AY$4="",$A507&gt;TODAY()),0,IF(OR(INDEX($B507:$D507,AY$5)="F",AND(AY$6&gt;0,$A507&lt;AY$6),AND(AY$7&gt;0,$A507&gt;AY$7)),0,MAX(0,ROUND((INDEX($E507:$G507,AY$5)-SUMIFS(TF_Timer,TF_Tekniker,AY$4,TF_Dato,$A507))*2,0)/2)))</f>
        <v/>
      </c>
      <c r="AZ507">
        <f>IF(OR(AZ$4="",$A507&gt;TODAY()),0,IF(OR(INDEX($B507:$D507,AZ$5)="F",AND(AZ$6&gt;0,$A507&lt;AZ$6),AND(AZ$7&gt;0,$A507&gt;AZ$7)),0,MAX(0,ROUND((INDEX($E507:$G507,AZ$5)-SUMIFS(TF_Timer,TF_Tekniker,AZ$4,TF_Dato,$A507))*2,0)/2)))</f>
        <v/>
      </c>
      <c r="BA507">
        <f>IF(OR(BA$4="",$A507&gt;TODAY()),0,IF(OR(INDEX($B507:$D507,BA$5)="F",AND(BA$6&gt;0,$A507&lt;BA$6),AND(BA$7&gt;0,$A507&gt;BA$7)),0,MAX(0,ROUND((INDEX($E507:$G507,BA$5)-SUMIFS(TF_Timer,TF_Tekniker,BA$4,TF_Dato,$A507))*2,0)/2)))</f>
        <v/>
      </c>
      <c r="BB507">
        <f>IF(OR(BB$4="",$A507&gt;TODAY()),0,IF(OR(INDEX($B507:$D507,BB$5)="F",AND(BB$6&gt;0,$A507&lt;BB$6),AND(BB$7&gt;0,$A507&gt;BB$7)),0,MAX(0,ROUND((INDEX($E507:$G507,BB$5)-SUMIFS(TF_Timer,TF_Tekniker,BB$4,TF_Dato,$A507))*2,0)/2)))</f>
        <v/>
      </c>
      <c r="BC507">
        <f>IF(OR(BC$4="",$A507&gt;TODAY()),0,IF(OR(INDEX($B507:$D507,BC$5)="F",AND(BC$6&gt;0,$A507&lt;BC$6),AND(BC$7&gt;0,$A507&gt;BC$7)),0,MAX(0,ROUND((INDEX($E507:$G507,BC$5)-SUMIFS(TF_Timer,TF_Tekniker,BC$4,TF_Dato,$A507))*2,0)/2)))</f>
        <v/>
      </c>
      <c r="BD507">
        <f>IF(OR(BD$4="",$A507&gt;TODAY()),0,IF(OR(INDEX($B507:$D507,BD$5)="F",AND(BD$6&gt;0,$A507&lt;BD$6),AND(BD$7&gt;0,$A507&gt;BD$7)),0,MAX(0,ROUND((INDEX($E507:$G507,BD$5)-SUMIFS(TF_Timer,TF_Tekniker,BD$4,TF_Dato,$A507))*2,0)/2)))</f>
        <v/>
      </c>
      <c r="BE507">
        <f>IF(OR(BE$4="",$A507&gt;TODAY()),0,IF(OR(INDEX($B507:$D507,BE$5)="F",AND(BE$6&gt;0,$A507&lt;BE$6),AND(BE$7&gt;0,$A507&gt;BE$7)),0,MAX(0,ROUND((INDEX($E507:$G507,BE$5)-SUMIFS(TF_Timer,TF_Tekniker,BE$4,TF_Dato,$A507))*2,0)/2)))</f>
        <v/>
      </c>
      <c r="BF507">
        <f>IF(OR(BF$4="",$A507&gt;TODAY()),0,IF(OR(INDEX($B507:$D507,BF$5)="F",AND(BF$6&gt;0,$A507&lt;BF$6),AND(BF$7&gt;0,$A507&gt;BF$7)),0,MAX(0,ROUND((INDEX($E507:$G507,BF$5)-SUMIFS(TF_Timer,TF_Tekniker,BF$4,TF_Dato,$A507))*2,0)/2)))</f>
        <v/>
      </c>
      <c r="BG507">
        <f>IF(OR(BG$4="",$A507&gt;TODAY()),0,IF(OR(INDEX($B507:$D507,BG$5)="F",AND(BG$6&gt;0,$A507&lt;BG$6),AND(BG$7&gt;0,$A507&gt;BG$7)),0,MAX(0,ROUND((INDEX($E507:$G507,BG$5)-SUMIFS(TF_Timer,TF_Tekniker,BG$4,TF_Dato,$A507))*2,0)/2)))</f>
        <v/>
      </c>
      <c r="BH507">
        <f>IF(OR(BH$4="",$A507&gt;TODAY()),0,IF(OR(INDEX($B507:$D507,BH$5)="F",AND(BH$6&gt;0,$A507&lt;BH$6),AND(BH$7&gt;0,$A507&gt;BH$7)),0,MAX(0,ROUND((INDEX($E507:$G507,BH$5)-SUMIFS(TF_Timer,TF_Tekniker,BH$4,TF_Dato,$A507))*2,0)/2)))</f>
        <v/>
      </c>
      <c r="BI507">
        <f>IF(OR(BI$4="",$A507&gt;TODAY()),0,IF(OR(INDEX($B507:$D507,BI$5)="F",AND(BI$6&gt;0,$A507&lt;BI$6),AND(BI$7&gt;0,$A507&gt;BI$7)),0,MAX(0,ROUND((INDEX($E507:$G507,BI$5)-SUMIFS(TF_Timer,TF_Tekniker,BI$4,TF_Dato,$A507))*2,0)/2)))</f>
        <v/>
      </c>
    </row>
    <row r="508">
      <c r="A508" s="64">
        <f>A507+1</f>
        <v/>
      </c>
      <c r="B508">
        <f>IF(MOD($A508-INDEX(SkiftStart,1),Syklus)&lt;DagK,"K",IF(MOD($A508-INDEX(SkiftStart,1),Syklus)&lt;DagK+DagH,"H",IF(MOD($A508-INDEX(SkiftStart,1),Syklus)&lt;DagK+DagH+DagD,"D","F")))</f>
        <v/>
      </c>
      <c r="C508">
        <f>IF(MOD($A508-INDEX(SkiftStart,2),Syklus)&lt;DagK,"K",IF(MOD($A508-INDEX(SkiftStart,2),Syklus)&lt;DagK+DagH,"H",IF(MOD($A508-INDEX(SkiftStart,2),Syklus)&lt;DagK+DagH+DagD,"D","F")))</f>
        <v/>
      </c>
      <c r="D508">
        <f>IF(MOD($A508-INDEX(SkiftStart,3),Syklus)&lt;DagK,"K",IF(MOD($A508-INDEX(SkiftStart,3),Syklus)&lt;DagK+DagH,"H",IF(MOD($A508-INDEX(SkiftStart,3),Syklus)&lt;DagK+DagH+DagD,"D","F")))</f>
        <v/>
      </c>
      <c r="E508">
        <f>IF(B508="F",0,IF(WEEKDAY($A508,2)=5,INDEX(TimerFr,MATCH(B508,FaseKode,0)),INDEX(TimerMT,MATCH(B508,FaseKode,0))))</f>
        <v/>
      </c>
      <c r="F508">
        <f>IF(C508="F",0,IF(WEEKDAY($A508,2)=5,INDEX(TimerFr,MATCH(C508,FaseKode,0)),INDEX(TimerMT,MATCH(C508,FaseKode,0))))</f>
        <v/>
      </c>
      <c r="G508">
        <f>IF(D508="F",0,IF(WEEKDAY($A508,2)=5,INDEX(TimerFr,MATCH(D508,FaseKode,0)),INDEX(TimerMT,MATCH(D508,FaseKode,0))))</f>
        <v/>
      </c>
      <c r="H508">
        <f>IF(OR(H$4="",$A508&gt;TODAY()),0,IF(OR(INDEX($B508:$D508,H$5)="F",AND(H$6&gt;0,$A508&lt;H$6),AND(H$7&gt;0,$A508&gt;H$7)),0,MAX(0,ROUND((INDEX($E508:$G508,H$5)-SUMIFS(TF_Timer,TF_Tekniker,H$4,TF_Dato,$A508))*2,0)/2)))</f>
        <v/>
      </c>
      <c r="I508">
        <f>IF(OR(I$4="",$A508&gt;TODAY()),0,IF(OR(INDEX($B508:$D508,I$5)="F",AND(I$6&gt;0,$A508&lt;I$6),AND(I$7&gt;0,$A508&gt;I$7)),0,MAX(0,ROUND((INDEX($E508:$G508,I$5)-SUMIFS(TF_Timer,TF_Tekniker,I$4,TF_Dato,$A508))*2,0)/2)))</f>
        <v/>
      </c>
      <c r="J508">
        <f>IF(OR(J$4="",$A508&gt;TODAY()),0,IF(OR(INDEX($B508:$D508,J$5)="F",AND(J$6&gt;0,$A508&lt;J$6),AND(J$7&gt;0,$A508&gt;J$7)),0,MAX(0,ROUND((INDEX($E508:$G508,J$5)-SUMIFS(TF_Timer,TF_Tekniker,J$4,TF_Dato,$A508))*2,0)/2)))</f>
        <v/>
      </c>
      <c r="K508">
        <f>IF(OR(K$4="",$A508&gt;TODAY()),0,IF(OR(INDEX($B508:$D508,K$5)="F",AND(K$6&gt;0,$A508&lt;K$6),AND(K$7&gt;0,$A508&gt;K$7)),0,MAX(0,ROUND((INDEX($E508:$G508,K$5)-SUMIFS(TF_Timer,TF_Tekniker,K$4,TF_Dato,$A508))*2,0)/2)))</f>
        <v/>
      </c>
      <c r="L508">
        <f>IF(OR(L$4="",$A508&gt;TODAY()),0,IF(OR(INDEX($B508:$D508,L$5)="F",AND(L$6&gt;0,$A508&lt;L$6),AND(L$7&gt;0,$A508&gt;L$7)),0,MAX(0,ROUND((INDEX($E508:$G508,L$5)-SUMIFS(TF_Timer,TF_Tekniker,L$4,TF_Dato,$A508))*2,0)/2)))</f>
        <v/>
      </c>
      <c r="M508">
        <f>IF(OR(M$4="",$A508&gt;TODAY()),0,IF(OR(INDEX($B508:$D508,M$5)="F",AND(M$6&gt;0,$A508&lt;M$6),AND(M$7&gt;0,$A508&gt;M$7)),0,MAX(0,ROUND((INDEX($E508:$G508,M$5)-SUMIFS(TF_Timer,TF_Tekniker,M$4,TF_Dato,$A508))*2,0)/2)))</f>
        <v/>
      </c>
      <c r="N508">
        <f>IF(OR(N$4="",$A508&gt;TODAY()),0,IF(OR(INDEX($B508:$D508,N$5)="F",AND(N$6&gt;0,$A508&lt;N$6),AND(N$7&gt;0,$A508&gt;N$7)),0,MAX(0,ROUND((INDEX($E508:$G508,N$5)-SUMIFS(TF_Timer,TF_Tekniker,N$4,TF_Dato,$A508))*2,0)/2)))</f>
        <v/>
      </c>
      <c r="O508">
        <f>IF(OR(O$4="",$A508&gt;TODAY()),0,IF(OR(INDEX($B508:$D508,O$5)="F",AND(O$6&gt;0,$A508&lt;O$6),AND(O$7&gt;0,$A508&gt;O$7)),0,MAX(0,ROUND((INDEX($E508:$G508,O$5)-SUMIFS(TF_Timer,TF_Tekniker,O$4,TF_Dato,$A508))*2,0)/2)))</f>
        <v/>
      </c>
      <c r="P508">
        <f>IF(OR(P$4="",$A508&gt;TODAY()),0,IF(OR(INDEX($B508:$D508,P$5)="F",AND(P$6&gt;0,$A508&lt;P$6),AND(P$7&gt;0,$A508&gt;P$7)),0,MAX(0,ROUND((INDEX($E508:$G508,P$5)-SUMIFS(TF_Timer,TF_Tekniker,P$4,TF_Dato,$A508))*2,0)/2)))</f>
        <v/>
      </c>
      <c r="Q508">
        <f>IF(OR(Q$4="",$A508&gt;TODAY()),0,IF(OR(INDEX($B508:$D508,Q$5)="F",AND(Q$6&gt;0,$A508&lt;Q$6),AND(Q$7&gt;0,$A508&gt;Q$7)),0,MAX(0,ROUND((INDEX($E508:$G508,Q$5)-SUMIFS(TF_Timer,TF_Tekniker,Q$4,TF_Dato,$A508))*2,0)/2)))</f>
        <v/>
      </c>
      <c r="R508">
        <f>IF(OR(R$4="",$A508&gt;TODAY()),0,IF(OR(INDEX($B508:$D508,R$5)="F",AND(R$6&gt;0,$A508&lt;R$6),AND(R$7&gt;0,$A508&gt;R$7)),0,MAX(0,ROUND((INDEX($E508:$G508,R$5)-SUMIFS(TF_Timer,TF_Tekniker,R$4,TF_Dato,$A508))*2,0)/2)))</f>
        <v/>
      </c>
      <c r="S508">
        <f>IF(OR(S$4="",$A508&gt;TODAY()),0,IF(OR(INDEX($B508:$D508,S$5)="F",AND(S$6&gt;0,$A508&lt;S$6),AND(S$7&gt;0,$A508&gt;S$7)),0,MAX(0,ROUND((INDEX($E508:$G508,S$5)-SUMIFS(TF_Timer,TF_Tekniker,S$4,TF_Dato,$A508))*2,0)/2)))</f>
        <v/>
      </c>
      <c r="T508">
        <f>IF(OR(T$4="",$A508&gt;TODAY()),0,IF(OR(INDEX($B508:$D508,T$5)="F",AND(T$6&gt;0,$A508&lt;T$6),AND(T$7&gt;0,$A508&gt;T$7)),0,MAX(0,ROUND((INDEX($E508:$G508,T$5)-SUMIFS(TF_Timer,TF_Tekniker,T$4,TF_Dato,$A508))*2,0)/2)))</f>
        <v/>
      </c>
      <c r="U508">
        <f>IF(OR(U$4="",$A508&gt;TODAY()),0,IF(OR(INDEX($B508:$D508,U$5)="F",AND(U$6&gt;0,$A508&lt;U$6),AND(U$7&gt;0,$A508&gt;U$7)),0,MAX(0,ROUND((INDEX($E508:$G508,U$5)-SUMIFS(TF_Timer,TF_Tekniker,U$4,TF_Dato,$A508))*2,0)/2)))</f>
        <v/>
      </c>
      <c r="V508">
        <f>IF(OR(V$4="",$A508&gt;TODAY()),0,IF(OR(INDEX($B508:$D508,V$5)="F",AND(V$6&gt;0,$A508&lt;V$6),AND(V$7&gt;0,$A508&gt;V$7)),0,MAX(0,ROUND((INDEX($E508:$G508,V$5)-SUMIFS(TF_Timer,TF_Tekniker,V$4,TF_Dato,$A508))*2,0)/2)))</f>
        <v/>
      </c>
      <c r="W508">
        <f>IF(OR(W$4="",$A508&gt;TODAY()),0,IF(OR(INDEX($B508:$D508,W$5)="F",AND(W$6&gt;0,$A508&lt;W$6),AND(W$7&gt;0,$A508&gt;W$7)),0,MAX(0,ROUND((INDEX($E508:$G508,W$5)-SUMIFS(TF_Timer,TF_Tekniker,W$4,TF_Dato,$A508))*2,0)/2)))</f>
        <v/>
      </c>
      <c r="X508">
        <f>IF(OR(X$4="",$A508&gt;TODAY()),0,IF(OR(INDEX($B508:$D508,X$5)="F",AND(X$6&gt;0,$A508&lt;X$6),AND(X$7&gt;0,$A508&gt;X$7)),0,MAX(0,ROUND((INDEX($E508:$G508,X$5)-SUMIFS(TF_Timer,TF_Tekniker,X$4,TF_Dato,$A508))*2,0)/2)))</f>
        <v/>
      </c>
      <c r="Y508">
        <f>IF(OR(Y$4="",$A508&gt;TODAY()),0,IF(OR(INDEX($B508:$D508,Y$5)="F",AND(Y$6&gt;0,$A508&lt;Y$6),AND(Y$7&gt;0,$A508&gt;Y$7)),0,MAX(0,ROUND((INDEX($E508:$G508,Y$5)-SUMIFS(TF_Timer,TF_Tekniker,Y$4,TF_Dato,$A508))*2,0)/2)))</f>
        <v/>
      </c>
      <c r="Z508">
        <f>IF(OR(Z$4="",$A508&gt;TODAY()),0,IF(OR(INDEX($B508:$D508,Z$5)="F",AND(Z$6&gt;0,$A508&lt;Z$6),AND(Z$7&gt;0,$A508&gt;Z$7)),0,MAX(0,ROUND((INDEX($E508:$G508,Z$5)-SUMIFS(TF_Timer,TF_Tekniker,Z$4,TF_Dato,$A508))*2,0)/2)))</f>
        <v/>
      </c>
      <c r="AA508">
        <f>IF(OR(AA$4="",$A508&gt;TODAY()),0,IF(OR(INDEX($B508:$D508,AA$5)="F",AND(AA$6&gt;0,$A508&lt;AA$6),AND(AA$7&gt;0,$A508&gt;AA$7)),0,MAX(0,ROUND((INDEX($E508:$G508,AA$5)-SUMIFS(TF_Timer,TF_Tekniker,AA$4,TF_Dato,$A508))*2,0)/2)))</f>
        <v/>
      </c>
      <c r="AB508">
        <f>IF(OR(AB$4="",$A508&gt;TODAY()),0,IF(OR(INDEX($B508:$D508,AB$5)="F",AND(AB$6&gt;0,$A508&lt;AB$6),AND(AB$7&gt;0,$A508&gt;AB$7)),0,MAX(0,ROUND((INDEX($E508:$G508,AB$5)-SUMIFS(TF_Timer,TF_Tekniker,AB$4,TF_Dato,$A508))*2,0)/2)))</f>
        <v/>
      </c>
      <c r="AC508">
        <f>IF(OR(AC$4="",$A508&gt;TODAY()),0,IF(OR(INDEX($B508:$D508,AC$5)="F",AND(AC$6&gt;0,$A508&lt;AC$6),AND(AC$7&gt;0,$A508&gt;AC$7)),0,MAX(0,ROUND((INDEX($E508:$G508,AC$5)-SUMIFS(TF_Timer,TF_Tekniker,AC$4,TF_Dato,$A508))*2,0)/2)))</f>
        <v/>
      </c>
      <c r="AD508">
        <f>IF(OR(AD$4="",$A508&gt;TODAY()),0,IF(OR(INDEX($B508:$D508,AD$5)="F",AND(AD$6&gt;0,$A508&lt;AD$6),AND(AD$7&gt;0,$A508&gt;AD$7)),0,MAX(0,ROUND((INDEX($E508:$G508,AD$5)-SUMIFS(TF_Timer,TF_Tekniker,AD$4,TF_Dato,$A508))*2,0)/2)))</f>
        <v/>
      </c>
      <c r="AE508">
        <f>IF(OR(AE$4="",$A508&gt;TODAY()),0,IF(OR(INDEX($B508:$D508,AE$5)="F",AND(AE$6&gt;0,$A508&lt;AE$6),AND(AE$7&gt;0,$A508&gt;AE$7)),0,MAX(0,ROUND((INDEX($E508:$G508,AE$5)-SUMIFS(TF_Timer,TF_Tekniker,AE$4,TF_Dato,$A508))*2,0)/2)))</f>
        <v/>
      </c>
      <c r="AF508">
        <f>IF(OR(AF$4="",$A508&gt;TODAY()),0,IF(OR(INDEX($B508:$D508,AF$5)="F",AND(AF$6&gt;0,$A508&lt;AF$6),AND(AF$7&gt;0,$A508&gt;AF$7)),0,MAX(0,ROUND((INDEX($E508:$G508,AF$5)-SUMIFS(TF_Timer,TF_Tekniker,AF$4,TF_Dato,$A508))*2,0)/2)))</f>
        <v/>
      </c>
      <c r="AG508">
        <f>IF(OR(AG$4="",$A508&gt;TODAY()),0,IF(OR(INDEX($B508:$D508,AG$5)="F",AND(AG$6&gt;0,$A508&lt;AG$6),AND(AG$7&gt;0,$A508&gt;AG$7)),0,MAX(0,ROUND((INDEX($E508:$G508,AG$5)-SUMIFS(TF_Timer,TF_Tekniker,AG$4,TF_Dato,$A508))*2,0)/2)))</f>
        <v/>
      </c>
      <c r="AH508">
        <f>IF(OR(AH$4="",$A508&gt;TODAY()),0,IF(OR(INDEX($B508:$D508,AH$5)="F",AND(AH$6&gt;0,$A508&lt;AH$6),AND(AH$7&gt;0,$A508&gt;AH$7)),0,MAX(0,ROUND((INDEX($E508:$G508,AH$5)-SUMIFS(TF_Timer,TF_Tekniker,AH$4,TF_Dato,$A508))*2,0)/2)))</f>
        <v/>
      </c>
      <c r="AI508">
        <f>IF(OR(AI$4="",$A508&gt;TODAY()),0,IF(OR(INDEX($B508:$D508,AI$5)="F",AND(AI$6&gt;0,$A508&lt;AI$6),AND(AI$7&gt;0,$A508&gt;AI$7)),0,MAX(0,ROUND((INDEX($E508:$G508,AI$5)-SUMIFS(TF_Timer,TF_Tekniker,AI$4,TF_Dato,$A508))*2,0)/2)))</f>
        <v/>
      </c>
      <c r="AJ508">
        <f>IF(OR(AJ$4="",$A508&gt;TODAY()),0,IF(OR(INDEX($B508:$D508,AJ$5)="F",AND(AJ$6&gt;0,$A508&lt;AJ$6),AND(AJ$7&gt;0,$A508&gt;AJ$7)),0,MAX(0,ROUND((INDEX($E508:$G508,AJ$5)-SUMIFS(TF_Timer,TF_Tekniker,AJ$4,TF_Dato,$A508))*2,0)/2)))</f>
        <v/>
      </c>
      <c r="AK508">
        <f>IF(OR(AK$4="",$A508&gt;TODAY()),0,IF(OR(INDEX($B508:$D508,AK$5)="F",AND(AK$6&gt;0,$A508&lt;AK$6),AND(AK$7&gt;0,$A508&gt;AK$7)),0,MAX(0,ROUND((INDEX($E508:$G508,AK$5)-SUMIFS(TF_Timer,TF_Tekniker,AK$4,TF_Dato,$A508))*2,0)/2)))</f>
        <v/>
      </c>
      <c r="AL508">
        <f>IF(OR(AL$4="",$A508&gt;TODAY()),0,IF(OR(INDEX($B508:$D508,AL$5)="F",AND(AL$6&gt;0,$A508&lt;AL$6),AND(AL$7&gt;0,$A508&gt;AL$7)),0,MAX(0,ROUND((INDEX($E508:$G508,AL$5)-SUMIFS(TF_Timer,TF_Tekniker,AL$4,TF_Dato,$A508))*2,0)/2)))</f>
        <v/>
      </c>
      <c r="AM508">
        <f>IF(OR(AM$4="",$A508&gt;TODAY()),0,IF(OR(INDEX($B508:$D508,AM$5)="F",AND(AM$6&gt;0,$A508&lt;AM$6),AND(AM$7&gt;0,$A508&gt;AM$7)),0,MAX(0,ROUND((INDEX($E508:$G508,AM$5)-SUMIFS(TF_Timer,TF_Tekniker,AM$4,TF_Dato,$A508))*2,0)/2)))</f>
        <v/>
      </c>
      <c r="AN508">
        <f>IF(OR(AN$4="",$A508&gt;TODAY()),0,IF(OR(INDEX($B508:$D508,AN$5)="F",AND(AN$6&gt;0,$A508&lt;AN$6),AND(AN$7&gt;0,$A508&gt;AN$7)),0,MAX(0,ROUND((INDEX($E508:$G508,AN$5)-SUMIFS(TF_Timer,TF_Tekniker,AN$4,TF_Dato,$A508))*2,0)/2)))</f>
        <v/>
      </c>
      <c r="AO508">
        <f>IF(OR(AO$4="",$A508&gt;TODAY()),0,IF(OR(INDEX($B508:$D508,AO$5)="F",AND(AO$6&gt;0,$A508&lt;AO$6),AND(AO$7&gt;0,$A508&gt;AO$7)),0,MAX(0,ROUND((INDEX($E508:$G508,AO$5)-SUMIFS(TF_Timer,TF_Tekniker,AO$4,TF_Dato,$A508))*2,0)/2)))</f>
        <v/>
      </c>
      <c r="AP508">
        <f>IF(OR(AP$4="",$A508&gt;TODAY()),0,IF(OR(INDEX($B508:$D508,AP$5)="F",AND(AP$6&gt;0,$A508&lt;AP$6),AND(AP$7&gt;0,$A508&gt;AP$7)),0,MAX(0,ROUND((INDEX($E508:$G508,AP$5)-SUMIFS(TF_Timer,TF_Tekniker,AP$4,TF_Dato,$A508))*2,0)/2)))</f>
        <v/>
      </c>
      <c r="AQ508">
        <f>IF(OR(AQ$4="",$A508&gt;TODAY()),0,IF(OR(INDEX($B508:$D508,AQ$5)="F",AND(AQ$6&gt;0,$A508&lt;AQ$6),AND(AQ$7&gt;0,$A508&gt;AQ$7)),0,MAX(0,ROUND((INDEX($E508:$G508,AQ$5)-SUMIFS(TF_Timer,TF_Tekniker,AQ$4,TF_Dato,$A508))*2,0)/2)))</f>
        <v/>
      </c>
      <c r="AR508">
        <f>IF(OR(AR$4="",$A508&gt;TODAY()),0,IF(OR(INDEX($B508:$D508,AR$5)="F",AND(AR$6&gt;0,$A508&lt;AR$6),AND(AR$7&gt;0,$A508&gt;AR$7)),0,MAX(0,ROUND((INDEX($E508:$G508,AR$5)-SUMIFS(TF_Timer,TF_Tekniker,AR$4,TF_Dato,$A508))*2,0)/2)))</f>
        <v/>
      </c>
      <c r="AS508">
        <f>IF(OR(AS$4="",$A508&gt;TODAY()),0,IF(OR(INDEX($B508:$D508,AS$5)="F",AND(AS$6&gt;0,$A508&lt;AS$6),AND(AS$7&gt;0,$A508&gt;AS$7)),0,MAX(0,ROUND((INDEX($E508:$G508,AS$5)-SUMIFS(TF_Timer,TF_Tekniker,AS$4,TF_Dato,$A508))*2,0)/2)))</f>
        <v/>
      </c>
      <c r="AT508">
        <f>IF(OR(AT$4="",$A508&gt;TODAY()),0,IF(OR(INDEX($B508:$D508,AT$5)="F",AND(AT$6&gt;0,$A508&lt;AT$6),AND(AT$7&gt;0,$A508&gt;AT$7)),0,MAX(0,ROUND((INDEX($E508:$G508,AT$5)-SUMIFS(TF_Timer,TF_Tekniker,AT$4,TF_Dato,$A508))*2,0)/2)))</f>
        <v/>
      </c>
      <c r="AU508">
        <f>IF(OR(AU$4="",$A508&gt;TODAY()),0,IF(OR(INDEX($B508:$D508,AU$5)="F",AND(AU$6&gt;0,$A508&lt;AU$6),AND(AU$7&gt;0,$A508&gt;AU$7)),0,MAX(0,ROUND((INDEX($E508:$G508,AU$5)-SUMIFS(TF_Timer,TF_Tekniker,AU$4,TF_Dato,$A508))*2,0)/2)))</f>
        <v/>
      </c>
      <c r="AV508">
        <f>IF(OR(AV$4="",$A508&gt;TODAY()),0,IF(OR(INDEX($B508:$D508,AV$5)="F",AND(AV$6&gt;0,$A508&lt;AV$6),AND(AV$7&gt;0,$A508&gt;AV$7)),0,MAX(0,ROUND((INDEX($E508:$G508,AV$5)-SUMIFS(TF_Timer,TF_Tekniker,AV$4,TF_Dato,$A508))*2,0)/2)))</f>
        <v/>
      </c>
      <c r="AW508">
        <f>IF(OR(AW$4="",$A508&gt;TODAY()),0,IF(OR(INDEX($B508:$D508,AW$5)="F",AND(AW$6&gt;0,$A508&lt;AW$6),AND(AW$7&gt;0,$A508&gt;AW$7)),0,MAX(0,ROUND((INDEX($E508:$G508,AW$5)-SUMIFS(TF_Timer,TF_Tekniker,AW$4,TF_Dato,$A508))*2,0)/2)))</f>
        <v/>
      </c>
      <c r="AX508">
        <f>IF(OR(AX$4="",$A508&gt;TODAY()),0,IF(OR(INDEX($B508:$D508,AX$5)="F",AND(AX$6&gt;0,$A508&lt;AX$6),AND(AX$7&gt;0,$A508&gt;AX$7)),0,MAX(0,ROUND((INDEX($E508:$G508,AX$5)-SUMIFS(TF_Timer,TF_Tekniker,AX$4,TF_Dato,$A508))*2,0)/2)))</f>
        <v/>
      </c>
      <c r="AY508">
        <f>IF(OR(AY$4="",$A508&gt;TODAY()),0,IF(OR(INDEX($B508:$D508,AY$5)="F",AND(AY$6&gt;0,$A508&lt;AY$6),AND(AY$7&gt;0,$A508&gt;AY$7)),0,MAX(0,ROUND((INDEX($E508:$G508,AY$5)-SUMIFS(TF_Timer,TF_Tekniker,AY$4,TF_Dato,$A508))*2,0)/2)))</f>
        <v/>
      </c>
      <c r="AZ508">
        <f>IF(OR(AZ$4="",$A508&gt;TODAY()),0,IF(OR(INDEX($B508:$D508,AZ$5)="F",AND(AZ$6&gt;0,$A508&lt;AZ$6),AND(AZ$7&gt;0,$A508&gt;AZ$7)),0,MAX(0,ROUND((INDEX($E508:$G508,AZ$5)-SUMIFS(TF_Timer,TF_Tekniker,AZ$4,TF_Dato,$A508))*2,0)/2)))</f>
        <v/>
      </c>
      <c r="BA508">
        <f>IF(OR(BA$4="",$A508&gt;TODAY()),0,IF(OR(INDEX($B508:$D508,BA$5)="F",AND(BA$6&gt;0,$A508&lt;BA$6),AND(BA$7&gt;0,$A508&gt;BA$7)),0,MAX(0,ROUND((INDEX($E508:$G508,BA$5)-SUMIFS(TF_Timer,TF_Tekniker,BA$4,TF_Dato,$A508))*2,0)/2)))</f>
        <v/>
      </c>
      <c r="BB508">
        <f>IF(OR(BB$4="",$A508&gt;TODAY()),0,IF(OR(INDEX($B508:$D508,BB$5)="F",AND(BB$6&gt;0,$A508&lt;BB$6),AND(BB$7&gt;0,$A508&gt;BB$7)),0,MAX(0,ROUND((INDEX($E508:$G508,BB$5)-SUMIFS(TF_Timer,TF_Tekniker,BB$4,TF_Dato,$A508))*2,0)/2)))</f>
        <v/>
      </c>
      <c r="BC508">
        <f>IF(OR(BC$4="",$A508&gt;TODAY()),0,IF(OR(INDEX($B508:$D508,BC$5)="F",AND(BC$6&gt;0,$A508&lt;BC$6),AND(BC$7&gt;0,$A508&gt;BC$7)),0,MAX(0,ROUND((INDEX($E508:$G508,BC$5)-SUMIFS(TF_Timer,TF_Tekniker,BC$4,TF_Dato,$A508))*2,0)/2)))</f>
        <v/>
      </c>
      <c r="BD508">
        <f>IF(OR(BD$4="",$A508&gt;TODAY()),0,IF(OR(INDEX($B508:$D508,BD$5)="F",AND(BD$6&gt;0,$A508&lt;BD$6),AND(BD$7&gt;0,$A508&gt;BD$7)),0,MAX(0,ROUND((INDEX($E508:$G508,BD$5)-SUMIFS(TF_Timer,TF_Tekniker,BD$4,TF_Dato,$A508))*2,0)/2)))</f>
        <v/>
      </c>
      <c r="BE508">
        <f>IF(OR(BE$4="",$A508&gt;TODAY()),0,IF(OR(INDEX($B508:$D508,BE$5)="F",AND(BE$6&gt;0,$A508&lt;BE$6),AND(BE$7&gt;0,$A508&gt;BE$7)),0,MAX(0,ROUND((INDEX($E508:$G508,BE$5)-SUMIFS(TF_Timer,TF_Tekniker,BE$4,TF_Dato,$A508))*2,0)/2)))</f>
        <v/>
      </c>
      <c r="BF508">
        <f>IF(OR(BF$4="",$A508&gt;TODAY()),0,IF(OR(INDEX($B508:$D508,BF$5)="F",AND(BF$6&gt;0,$A508&lt;BF$6),AND(BF$7&gt;0,$A508&gt;BF$7)),0,MAX(0,ROUND((INDEX($E508:$G508,BF$5)-SUMIFS(TF_Timer,TF_Tekniker,BF$4,TF_Dato,$A508))*2,0)/2)))</f>
        <v/>
      </c>
      <c r="BG508">
        <f>IF(OR(BG$4="",$A508&gt;TODAY()),0,IF(OR(INDEX($B508:$D508,BG$5)="F",AND(BG$6&gt;0,$A508&lt;BG$6),AND(BG$7&gt;0,$A508&gt;BG$7)),0,MAX(0,ROUND((INDEX($E508:$G508,BG$5)-SUMIFS(TF_Timer,TF_Tekniker,BG$4,TF_Dato,$A508))*2,0)/2)))</f>
        <v/>
      </c>
      <c r="BH508">
        <f>IF(OR(BH$4="",$A508&gt;TODAY()),0,IF(OR(INDEX($B508:$D508,BH$5)="F",AND(BH$6&gt;0,$A508&lt;BH$6),AND(BH$7&gt;0,$A508&gt;BH$7)),0,MAX(0,ROUND((INDEX($E508:$G508,BH$5)-SUMIFS(TF_Timer,TF_Tekniker,BH$4,TF_Dato,$A508))*2,0)/2)))</f>
        <v/>
      </c>
      <c r="BI508">
        <f>IF(OR(BI$4="",$A508&gt;TODAY()),0,IF(OR(INDEX($B508:$D508,BI$5)="F",AND(BI$6&gt;0,$A508&lt;BI$6),AND(BI$7&gt;0,$A508&gt;BI$7)),0,MAX(0,ROUND((INDEX($E508:$G508,BI$5)-SUMIFS(TF_Timer,TF_Tekniker,BI$4,TF_Dato,$A508))*2,0)/2)))</f>
        <v/>
      </c>
    </row>
    <row r="509">
      <c r="A509" s="64">
        <f>A508+1</f>
        <v/>
      </c>
      <c r="B509">
        <f>IF(MOD($A509-INDEX(SkiftStart,1),Syklus)&lt;DagK,"K",IF(MOD($A509-INDEX(SkiftStart,1),Syklus)&lt;DagK+DagH,"H",IF(MOD($A509-INDEX(SkiftStart,1),Syklus)&lt;DagK+DagH+DagD,"D","F")))</f>
        <v/>
      </c>
      <c r="C509">
        <f>IF(MOD($A509-INDEX(SkiftStart,2),Syklus)&lt;DagK,"K",IF(MOD($A509-INDEX(SkiftStart,2),Syklus)&lt;DagK+DagH,"H",IF(MOD($A509-INDEX(SkiftStart,2),Syklus)&lt;DagK+DagH+DagD,"D","F")))</f>
        <v/>
      </c>
      <c r="D509">
        <f>IF(MOD($A509-INDEX(SkiftStart,3),Syklus)&lt;DagK,"K",IF(MOD($A509-INDEX(SkiftStart,3),Syklus)&lt;DagK+DagH,"H",IF(MOD($A509-INDEX(SkiftStart,3),Syklus)&lt;DagK+DagH+DagD,"D","F")))</f>
        <v/>
      </c>
      <c r="E509">
        <f>IF(B509="F",0,IF(WEEKDAY($A509,2)=5,INDEX(TimerFr,MATCH(B509,FaseKode,0)),INDEX(TimerMT,MATCH(B509,FaseKode,0))))</f>
        <v/>
      </c>
      <c r="F509">
        <f>IF(C509="F",0,IF(WEEKDAY($A509,2)=5,INDEX(TimerFr,MATCH(C509,FaseKode,0)),INDEX(TimerMT,MATCH(C509,FaseKode,0))))</f>
        <v/>
      </c>
      <c r="G509">
        <f>IF(D509="F",0,IF(WEEKDAY($A509,2)=5,INDEX(TimerFr,MATCH(D509,FaseKode,0)),INDEX(TimerMT,MATCH(D509,FaseKode,0))))</f>
        <v/>
      </c>
      <c r="H509">
        <f>IF(OR(H$4="",$A509&gt;TODAY()),0,IF(OR(INDEX($B509:$D509,H$5)="F",AND(H$6&gt;0,$A509&lt;H$6),AND(H$7&gt;0,$A509&gt;H$7)),0,MAX(0,ROUND((INDEX($E509:$G509,H$5)-SUMIFS(TF_Timer,TF_Tekniker,H$4,TF_Dato,$A509))*2,0)/2)))</f>
        <v/>
      </c>
      <c r="I509">
        <f>IF(OR(I$4="",$A509&gt;TODAY()),0,IF(OR(INDEX($B509:$D509,I$5)="F",AND(I$6&gt;0,$A509&lt;I$6),AND(I$7&gt;0,$A509&gt;I$7)),0,MAX(0,ROUND((INDEX($E509:$G509,I$5)-SUMIFS(TF_Timer,TF_Tekniker,I$4,TF_Dato,$A509))*2,0)/2)))</f>
        <v/>
      </c>
      <c r="J509">
        <f>IF(OR(J$4="",$A509&gt;TODAY()),0,IF(OR(INDEX($B509:$D509,J$5)="F",AND(J$6&gt;0,$A509&lt;J$6),AND(J$7&gt;0,$A509&gt;J$7)),0,MAX(0,ROUND((INDEX($E509:$G509,J$5)-SUMIFS(TF_Timer,TF_Tekniker,J$4,TF_Dato,$A509))*2,0)/2)))</f>
        <v/>
      </c>
      <c r="K509">
        <f>IF(OR(K$4="",$A509&gt;TODAY()),0,IF(OR(INDEX($B509:$D509,K$5)="F",AND(K$6&gt;0,$A509&lt;K$6),AND(K$7&gt;0,$A509&gt;K$7)),0,MAX(0,ROUND((INDEX($E509:$G509,K$5)-SUMIFS(TF_Timer,TF_Tekniker,K$4,TF_Dato,$A509))*2,0)/2)))</f>
        <v/>
      </c>
      <c r="L509">
        <f>IF(OR(L$4="",$A509&gt;TODAY()),0,IF(OR(INDEX($B509:$D509,L$5)="F",AND(L$6&gt;0,$A509&lt;L$6),AND(L$7&gt;0,$A509&gt;L$7)),0,MAX(0,ROUND((INDEX($E509:$G509,L$5)-SUMIFS(TF_Timer,TF_Tekniker,L$4,TF_Dato,$A509))*2,0)/2)))</f>
        <v/>
      </c>
      <c r="M509">
        <f>IF(OR(M$4="",$A509&gt;TODAY()),0,IF(OR(INDEX($B509:$D509,M$5)="F",AND(M$6&gt;0,$A509&lt;M$6),AND(M$7&gt;0,$A509&gt;M$7)),0,MAX(0,ROUND((INDEX($E509:$G509,M$5)-SUMIFS(TF_Timer,TF_Tekniker,M$4,TF_Dato,$A509))*2,0)/2)))</f>
        <v/>
      </c>
      <c r="N509">
        <f>IF(OR(N$4="",$A509&gt;TODAY()),0,IF(OR(INDEX($B509:$D509,N$5)="F",AND(N$6&gt;0,$A509&lt;N$6),AND(N$7&gt;0,$A509&gt;N$7)),0,MAX(0,ROUND((INDEX($E509:$G509,N$5)-SUMIFS(TF_Timer,TF_Tekniker,N$4,TF_Dato,$A509))*2,0)/2)))</f>
        <v/>
      </c>
      <c r="O509">
        <f>IF(OR(O$4="",$A509&gt;TODAY()),0,IF(OR(INDEX($B509:$D509,O$5)="F",AND(O$6&gt;0,$A509&lt;O$6),AND(O$7&gt;0,$A509&gt;O$7)),0,MAX(0,ROUND((INDEX($E509:$G509,O$5)-SUMIFS(TF_Timer,TF_Tekniker,O$4,TF_Dato,$A509))*2,0)/2)))</f>
        <v/>
      </c>
      <c r="P509">
        <f>IF(OR(P$4="",$A509&gt;TODAY()),0,IF(OR(INDEX($B509:$D509,P$5)="F",AND(P$6&gt;0,$A509&lt;P$6),AND(P$7&gt;0,$A509&gt;P$7)),0,MAX(0,ROUND((INDEX($E509:$G509,P$5)-SUMIFS(TF_Timer,TF_Tekniker,P$4,TF_Dato,$A509))*2,0)/2)))</f>
        <v/>
      </c>
      <c r="Q509">
        <f>IF(OR(Q$4="",$A509&gt;TODAY()),0,IF(OR(INDEX($B509:$D509,Q$5)="F",AND(Q$6&gt;0,$A509&lt;Q$6),AND(Q$7&gt;0,$A509&gt;Q$7)),0,MAX(0,ROUND((INDEX($E509:$G509,Q$5)-SUMIFS(TF_Timer,TF_Tekniker,Q$4,TF_Dato,$A509))*2,0)/2)))</f>
        <v/>
      </c>
      <c r="R509">
        <f>IF(OR(R$4="",$A509&gt;TODAY()),0,IF(OR(INDEX($B509:$D509,R$5)="F",AND(R$6&gt;0,$A509&lt;R$6),AND(R$7&gt;0,$A509&gt;R$7)),0,MAX(0,ROUND((INDEX($E509:$G509,R$5)-SUMIFS(TF_Timer,TF_Tekniker,R$4,TF_Dato,$A509))*2,0)/2)))</f>
        <v/>
      </c>
      <c r="S509">
        <f>IF(OR(S$4="",$A509&gt;TODAY()),0,IF(OR(INDEX($B509:$D509,S$5)="F",AND(S$6&gt;0,$A509&lt;S$6),AND(S$7&gt;0,$A509&gt;S$7)),0,MAX(0,ROUND((INDEX($E509:$G509,S$5)-SUMIFS(TF_Timer,TF_Tekniker,S$4,TF_Dato,$A509))*2,0)/2)))</f>
        <v/>
      </c>
      <c r="T509">
        <f>IF(OR(T$4="",$A509&gt;TODAY()),0,IF(OR(INDEX($B509:$D509,T$5)="F",AND(T$6&gt;0,$A509&lt;T$6),AND(T$7&gt;0,$A509&gt;T$7)),0,MAX(0,ROUND((INDEX($E509:$G509,T$5)-SUMIFS(TF_Timer,TF_Tekniker,T$4,TF_Dato,$A509))*2,0)/2)))</f>
        <v/>
      </c>
      <c r="U509">
        <f>IF(OR(U$4="",$A509&gt;TODAY()),0,IF(OR(INDEX($B509:$D509,U$5)="F",AND(U$6&gt;0,$A509&lt;U$6),AND(U$7&gt;0,$A509&gt;U$7)),0,MAX(0,ROUND((INDEX($E509:$G509,U$5)-SUMIFS(TF_Timer,TF_Tekniker,U$4,TF_Dato,$A509))*2,0)/2)))</f>
        <v/>
      </c>
      <c r="V509">
        <f>IF(OR(V$4="",$A509&gt;TODAY()),0,IF(OR(INDEX($B509:$D509,V$5)="F",AND(V$6&gt;0,$A509&lt;V$6),AND(V$7&gt;0,$A509&gt;V$7)),0,MAX(0,ROUND((INDEX($E509:$G509,V$5)-SUMIFS(TF_Timer,TF_Tekniker,V$4,TF_Dato,$A509))*2,0)/2)))</f>
        <v/>
      </c>
      <c r="W509">
        <f>IF(OR(W$4="",$A509&gt;TODAY()),0,IF(OR(INDEX($B509:$D509,W$5)="F",AND(W$6&gt;0,$A509&lt;W$6),AND(W$7&gt;0,$A509&gt;W$7)),0,MAX(0,ROUND((INDEX($E509:$G509,W$5)-SUMIFS(TF_Timer,TF_Tekniker,W$4,TF_Dato,$A509))*2,0)/2)))</f>
        <v/>
      </c>
      <c r="X509">
        <f>IF(OR(X$4="",$A509&gt;TODAY()),0,IF(OR(INDEX($B509:$D509,X$5)="F",AND(X$6&gt;0,$A509&lt;X$6),AND(X$7&gt;0,$A509&gt;X$7)),0,MAX(0,ROUND((INDEX($E509:$G509,X$5)-SUMIFS(TF_Timer,TF_Tekniker,X$4,TF_Dato,$A509))*2,0)/2)))</f>
        <v/>
      </c>
      <c r="Y509">
        <f>IF(OR(Y$4="",$A509&gt;TODAY()),0,IF(OR(INDEX($B509:$D509,Y$5)="F",AND(Y$6&gt;0,$A509&lt;Y$6),AND(Y$7&gt;0,$A509&gt;Y$7)),0,MAX(0,ROUND((INDEX($E509:$G509,Y$5)-SUMIFS(TF_Timer,TF_Tekniker,Y$4,TF_Dato,$A509))*2,0)/2)))</f>
        <v/>
      </c>
      <c r="Z509">
        <f>IF(OR(Z$4="",$A509&gt;TODAY()),0,IF(OR(INDEX($B509:$D509,Z$5)="F",AND(Z$6&gt;0,$A509&lt;Z$6),AND(Z$7&gt;0,$A509&gt;Z$7)),0,MAX(0,ROUND((INDEX($E509:$G509,Z$5)-SUMIFS(TF_Timer,TF_Tekniker,Z$4,TF_Dato,$A509))*2,0)/2)))</f>
        <v/>
      </c>
      <c r="AA509">
        <f>IF(OR(AA$4="",$A509&gt;TODAY()),0,IF(OR(INDEX($B509:$D509,AA$5)="F",AND(AA$6&gt;0,$A509&lt;AA$6),AND(AA$7&gt;0,$A509&gt;AA$7)),0,MAX(0,ROUND((INDEX($E509:$G509,AA$5)-SUMIFS(TF_Timer,TF_Tekniker,AA$4,TF_Dato,$A509))*2,0)/2)))</f>
        <v/>
      </c>
      <c r="AB509">
        <f>IF(OR(AB$4="",$A509&gt;TODAY()),0,IF(OR(INDEX($B509:$D509,AB$5)="F",AND(AB$6&gt;0,$A509&lt;AB$6),AND(AB$7&gt;0,$A509&gt;AB$7)),0,MAX(0,ROUND((INDEX($E509:$G509,AB$5)-SUMIFS(TF_Timer,TF_Tekniker,AB$4,TF_Dato,$A509))*2,0)/2)))</f>
        <v/>
      </c>
      <c r="AC509">
        <f>IF(OR(AC$4="",$A509&gt;TODAY()),0,IF(OR(INDEX($B509:$D509,AC$5)="F",AND(AC$6&gt;0,$A509&lt;AC$6),AND(AC$7&gt;0,$A509&gt;AC$7)),0,MAX(0,ROUND((INDEX($E509:$G509,AC$5)-SUMIFS(TF_Timer,TF_Tekniker,AC$4,TF_Dato,$A509))*2,0)/2)))</f>
        <v/>
      </c>
      <c r="AD509">
        <f>IF(OR(AD$4="",$A509&gt;TODAY()),0,IF(OR(INDEX($B509:$D509,AD$5)="F",AND(AD$6&gt;0,$A509&lt;AD$6),AND(AD$7&gt;0,$A509&gt;AD$7)),0,MAX(0,ROUND((INDEX($E509:$G509,AD$5)-SUMIFS(TF_Timer,TF_Tekniker,AD$4,TF_Dato,$A509))*2,0)/2)))</f>
        <v/>
      </c>
      <c r="AE509">
        <f>IF(OR(AE$4="",$A509&gt;TODAY()),0,IF(OR(INDEX($B509:$D509,AE$5)="F",AND(AE$6&gt;0,$A509&lt;AE$6),AND(AE$7&gt;0,$A509&gt;AE$7)),0,MAX(0,ROUND((INDEX($E509:$G509,AE$5)-SUMIFS(TF_Timer,TF_Tekniker,AE$4,TF_Dato,$A509))*2,0)/2)))</f>
        <v/>
      </c>
      <c r="AF509">
        <f>IF(OR(AF$4="",$A509&gt;TODAY()),0,IF(OR(INDEX($B509:$D509,AF$5)="F",AND(AF$6&gt;0,$A509&lt;AF$6),AND(AF$7&gt;0,$A509&gt;AF$7)),0,MAX(0,ROUND((INDEX($E509:$G509,AF$5)-SUMIFS(TF_Timer,TF_Tekniker,AF$4,TF_Dato,$A509))*2,0)/2)))</f>
        <v/>
      </c>
      <c r="AG509">
        <f>IF(OR(AG$4="",$A509&gt;TODAY()),0,IF(OR(INDEX($B509:$D509,AG$5)="F",AND(AG$6&gt;0,$A509&lt;AG$6),AND(AG$7&gt;0,$A509&gt;AG$7)),0,MAX(0,ROUND((INDEX($E509:$G509,AG$5)-SUMIFS(TF_Timer,TF_Tekniker,AG$4,TF_Dato,$A509))*2,0)/2)))</f>
        <v/>
      </c>
      <c r="AH509">
        <f>IF(OR(AH$4="",$A509&gt;TODAY()),0,IF(OR(INDEX($B509:$D509,AH$5)="F",AND(AH$6&gt;0,$A509&lt;AH$6),AND(AH$7&gt;0,$A509&gt;AH$7)),0,MAX(0,ROUND((INDEX($E509:$G509,AH$5)-SUMIFS(TF_Timer,TF_Tekniker,AH$4,TF_Dato,$A509))*2,0)/2)))</f>
        <v/>
      </c>
      <c r="AI509">
        <f>IF(OR(AI$4="",$A509&gt;TODAY()),0,IF(OR(INDEX($B509:$D509,AI$5)="F",AND(AI$6&gt;0,$A509&lt;AI$6),AND(AI$7&gt;0,$A509&gt;AI$7)),0,MAX(0,ROUND((INDEX($E509:$G509,AI$5)-SUMIFS(TF_Timer,TF_Tekniker,AI$4,TF_Dato,$A509))*2,0)/2)))</f>
        <v/>
      </c>
      <c r="AJ509">
        <f>IF(OR(AJ$4="",$A509&gt;TODAY()),0,IF(OR(INDEX($B509:$D509,AJ$5)="F",AND(AJ$6&gt;0,$A509&lt;AJ$6),AND(AJ$7&gt;0,$A509&gt;AJ$7)),0,MAX(0,ROUND((INDEX($E509:$G509,AJ$5)-SUMIFS(TF_Timer,TF_Tekniker,AJ$4,TF_Dato,$A509))*2,0)/2)))</f>
        <v/>
      </c>
      <c r="AK509">
        <f>IF(OR(AK$4="",$A509&gt;TODAY()),0,IF(OR(INDEX($B509:$D509,AK$5)="F",AND(AK$6&gt;0,$A509&lt;AK$6),AND(AK$7&gt;0,$A509&gt;AK$7)),0,MAX(0,ROUND((INDEX($E509:$G509,AK$5)-SUMIFS(TF_Timer,TF_Tekniker,AK$4,TF_Dato,$A509))*2,0)/2)))</f>
        <v/>
      </c>
      <c r="AL509">
        <f>IF(OR(AL$4="",$A509&gt;TODAY()),0,IF(OR(INDEX($B509:$D509,AL$5)="F",AND(AL$6&gt;0,$A509&lt;AL$6),AND(AL$7&gt;0,$A509&gt;AL$7)),0,MAX(0,ROUND((INDEX($E509:$G509,AL$5)-SUMIFS(TF_Timer,TF_Tekniker,AL$4,TF_Dato,$A509))*2,0)/2)))</f>
        <v/>
      </c>
      <c r="AM509">
        <f>IF(OR(AM$4="",$A509&gt;TODAY()),0,IF(OR(INDEX($B509:$D509,AM$5)="F",AND(AM$6&gt;0,$A509&lt;AM$6),AND(AM$7&gt;0,$A509&gt;AM$7)),0,MAX(0,ROUND((INDEX($E509:$G509,AM$5)-SUMIFS(TF_Timer,TF_Tekniker,AM$4,TF_Dato,$A509))*2,0)/2)))</f>
        <v/>
      </c>
      <c r="AN509">
        <f>IF(OR(AN$4="",$A509&gt;TODAY()),0,IF(OR(INDEX($B509:$D509,AN$5)="F",AND(AN$6&gt;0,$A509&lt;AN$6),AND(AN$7&gt;0,$A509&gt;AN$7)),0,MAX(0,ROUND((INDEX($E509:$G509,AN$5)-SUMIFS(TF_Timer,TF_Tekniker,AN$4,TF_Dato,$A509))*2,0)/2)))</f>
        <v/>
      </c>
      <c r="AO509">
        <f>IF(OR(AO$4="",$A509&gt;TODAY()),0,IF(OR(INDEX($B509:$D509,AO$5)="F",AND(AO$6&gt;0,$A509&lt;AO$6),AND(AO$7&gt;0,$A509&gt;AO$7)),0,MAX(0,ROUND((INDEX($E509:$G509,AO$5)-SUMIFS(TF_Timer,TF_Tekniker,AO$4,TF_Dato,$A509))*2,0)/2)))</f>
        <v/>
      </c>
      <c r="AP509">
        <f>IF(OR(AP$4="",$A509&gt;TODAY()),0,IF(OR(INDEX($B509:$D509,AP$5)="F",AND(AP$6&gt;0,$A509&lt;AP$6),AND(AP$7&gt;0,$A509&gt;AP$7)),0,MAX(0,ROUND((INDEX($E509:$G509,AP$5)-SUMIFS(TF_Timer,TF_Tekniker,AP$4,TF_Dato,$A509))*2,0)/2)))</f>
        <v/>
      </c>
      <c r="AQ509">
        <f>IF(OR(AQ$4="",$A509&gt;TODAY()),0,IF(OR(INDEX($B509:$D509,AQ$5)="F",AND(AQ$6&gt;0,$A509&lt;AQ$6),AND(AQ$7&gt;0,$A509&gt;AQ$7)),0,MAX(0,ROUND((INDEX($E509:$G509,AQ$5)-SUMIFS(TF_Timer,TF_Tekniker,AQ$4,TF_Dato,$A509))*2,0)/2)))</f>
        <v/>
      </c>
      <c r="AR509">
        <f>IF(OR(AR$4="",$A509&gt;TODAY()),0,IF(OR(INDEX($B509:$D509,AR$5)="F",AND(AR$6&gt;0,$A509&lt;AR$6),AND(AR$7&gt;0,$A509&gt;AR$7)),0,MAX(0,ROUND((INDEX($E509:$G509,AR$5)-SUMIFS(TF_Timer,TF_Tekniker,AR$4,TF_Dato,$A509))*2,0)/2)))</f>
        <v/>
      </c>
      <c r="AS509">
        <f>IF(OR(AS$4="",$A509&gt;TODAY()),0,IF(OR(INDEX($B509:$D509,AS$5)="F",AND(AS$6&gt;0,$A509&lt;AS$6),AND(AS$7&gt;0,$A509&gt;AS$7)),0,MAX(0,ROUND((INDEX($E509:$G509,AS$5)-SUMIFS(TF_Timer,TF_Tekniker,AS$4,TF_Dato,$A509))*2,0)/2)))</f>
        <v/>
      </c>
      <c r="AT509">
        <f>IF(OR(AT$4="",$A509&gt;TODAY()),0,IF(OR(INDEX($B509:$D509,AT$5)="F",AND(AT$6&gt;0,$A509&lt;AT$6),AND(AT$7&gt;0,$A509&gt;AT$7)),0,MAX(0,ROUND((INDEX($E509:$G509,AT$5)-SUMIFS(TF_Timer,TF_Tekniker,AT$4,TF_Dato,$A509))*2,0)/2)))</f>
        <v/>
      </c>
      <c r="AU509">
        <f>IF(OR(AU$4="",$A509&gt;TODAY()),0,IF(OR(INDEX($B509:$D509,AU$5)="F",AND(AU$6&gt;0,$A509&lt;AU$6),AND(AU$7&gt;0,$A509&gt;AU$7)),0,MAX(0,ROUND((INDEX($E509:$G509,AU$5)-SUMIFS(TF_Timer,TF_Tekniker,AU$4,TF_Dato,$A509))*2,0)/2)))</f>
        <v/>
      </c>
      <c r="AV509">
        <f>IF(OR(AV$4="",$A509&gt;TODAY()),0,IF(OR(INDEX($B509:$D509,AV$5)="F",AND(AV$6&gt;0,$A509&lt;AV$6),AND(AV$7&gt;0,$A509&gt;AV$7)),0,MAX(0,ROUND((INDEX($E509:$G509,AV$5)-SUMIFS(TF_Timer,TF_Tekniker,AV$4,TF_Dato,$A509))*2,0)/2)))</f>
        <v/>
      </c>
      <c r="AW509">
        <f>IF(OR(AW$4="",$A509&gt;TODAY()),0,IF(OR(INDEX($B509:$D509,AW$5)="F",AND(AW$6&gt;0,$A509&lt;AW$6),AND(AW$7&gt;0,$A509&gt;AW$7)),0,MAX(0,ROUND((INDEX($E509:$G509,AW$5)-SUMIFS(TF_Timer,TF_Tekniker,AW$4,TF_Dato,$A509))*2,0)/2)))</f>
        <v/>
      </c>
      <c r="AX509">
        <f>IF(OR(AX$4="",$A509&gt;TODAY()),0,IF(OR(INDEX($B509:$D509,AX$5)="F",AND(AX$6&gt;0,$A509&lt;AX$6),AND(AX$7&gt;0,$A509&gt;AX$7)),0,MAX(0,ROUND((INDEX($E509:$G509,AX$5)-SUMIFS(TF_Timer,TF_Tekniker,AX$4,TF_Dato,$A509))*2,0)/2)))</f>
        <v/>
      </c>
      <c r="AY509">
        <f>IF(OR(AY$4="",$A509&gt;TODAY()),0,IF(OR(INDEX($B509:$D509,AY$5)="F",AND(AY$6&gt;0,$A509&lt;AY$6),AND(AY$7&gt;0,$A509&gt;AY$7)),0,MAX(0,ROUND((INDEX($E509:$G509,AY$5)-SUMIFS(TF_Timer,TF_Tekniker,AY$4,TF_Dato,$A509))*2,0)/2)))</f>
        <v/>
      </c>
      <c r="AZ509">
        <f>IF(OR(AZ$4="",$A509&gt;TODAY()),0,IF(OR(INDEX($B509:$D509,AZ$5)="F",AND(AZ$6&gt;0,$A509&lt;AZ$6),AND(AZ$7&gt;0,$A509&gt;AZ$7)),0,MAX(0,ROUND((INDEX($E509:$G509,AZ$5)-SUMIFS(TF_Timer,TF_Tekniker,AZ$4,TF_Dato,$A509))*2,0)/2)))</f>
        <v/>
      </c>
      <c r="BA509">
        <f>IF(OR(BA$4="",$A509&gt;TODAY()),0,IF(OR(INDEX($B509:$D509,BA$5)="F",AND(BA$6&gt;0,$A509&lt;BA$6),AND(BA$7&gt;0,$A509&gt;BA$7)),0,MAX(0,ROUND((INDEX($E509:$G509,BA$5)-SUMIFS(TF_Timer,TF_Tekniker,BA$4,TF_Dato,$A509))*2,0)/2)))</f>
        <v/>
      </c>
      <c r="BB509">
        <f>IF(OR(BB$4="",$A509&gt;TODAY()),0,IF(OR(INDEX($B509:$D509,BB$5)="F",AND(BB$6&gt;0,$A509&lt;BB$6),AND(BB$7&gt;0,$A509&gt;BB$7)),0,MAX(0,ROUND((INDEX($E509:$G509,BB$5)-SUMIFS(TF_Timer,TF_Tekniker,BB$4,TF_Dato,$A509))*2,0)/2)))</f>
        <v/>
      </c>
      <c r="BC509">
        <f>IF(OR(BC$4="",$A509&gt;TODAY()),0,IF(OR(INDEX($B509:$D509,BC$5)="F",AND(BC$6&gt;0,$A509&lt;BC$6),AND(BC$7&gt;0,$A509&gt;BC$7)),0,MAX(0,ROUND((INDEX($E509:$G509,BC$5)-SUMIFS(TF_Timer,TF_Tekniker,BC$4,TF_Dato,$A509))*2,0)/2)))</f>
        <v/>
      </c>
      <c r="BD509">
        <f>IF(OR(BD$4="",$A509&gt;TODAY()),0,IF(OR(INDEX($B509:$D509,BD$5)="F",AND(BD$6&gt;0,$A509&lt;BD$6),AND(BD$7&gt;0,$A509&gt;BD$7)),0,MAX(0,ROUND((INDEX($E509:$G509,BD$5)-SUMIFS(TF_Timer,TF_Tekniker,BD$4,TF_Dato,$A509))*2,0)/2)))</f>
        <v/>
      </c>
      <c r="BE509">
        <f>IF(OR(BE$4="",$A509&gt;TODAY()),0,IF(OR(INDEX($B509:$D509,BE$5)="F",AND(BE$6&gt;0,$A509&lt;BE$6),AND(BE$7&gt;0,$A509&gt;BE$7)),0,MAX(0,ROUND((INDEX($E509:$G509,BE$5)-SUMIFS(TF_Timer,TF_Tekniker,BE$4,TF_Dato,$A509))*2,0)/2)))</f>
        <v/>
      </c>
      <c r="BF509">
        <f>IF(OR(BF$4="",$A509&gt;TODAY()),0,IF(OR(INDEX($B509:$D509,BF$5)="F",AND(BF$6&gt;0,$A509&lt;BF$6),AND(BF$7&gt;0,$A509&gt;BF$7)),0,MAX(0,ROUND((INDEX($E509:$G509,BF$5)-SUMIFS(TF_Timer,TF_Tekniker,BF$4,TF_Dato,$A509))*2,0)/2)))</f>
        <v/>
      </c>
      <c r="BG509">
        <f>IF(OR(BG$4="",$A509&gt;TODAY()),0,IF(OR(INDEX($B509:$D509,BG$5)="F",AND(BG$6&gt;0,$A509&lt;BG$6),AND(BG$7&gt;0,$A509&gt;BG$7)),0,MAX(0,ROUND((INDEX($E509:$G509,BG$5)-SUMIFS(TF_Timer,TF_Tekniker,BG$4,TF_Dato,$A509))*2,0)/2)))</f>
        <v/>
      </c>
      <c r="BH509">
        <f>IF(OR(BH$4="",$A509&gt;TODAY()),0,IF(OR(INDEX($B509:$D509,BH$5)="F",AND(BH$6&gt;0,$A509&lt;BH$6),AND(BH$7&gt;0,$A509&gt;BH$7)),0,MAX(0,ROUND((INDEX($E509:$G509,BH$5)-SUMIFS(TF_Timer,TF_Tekniker,BH$4,TF_Dato,$A509))*2,0)/2)))</f>
        <v/>
      </c>
      <c r="BI509">
        <f>IF(OR(BI$4="",$A509&gt;TODAY()),0,IF(OR(INDEX($B509:$D509,BI$5)="F",AND(BI$6&gt;0,$A509&lt;BI$6),AND(BI$7&gt;0,$A509&gt;BI$7)),0,MAX(0,ROUND((INDEX($E509:$G509,BI$5)-SUMIFS(TF_Timer,TF_Tekniker,BI$4,TF_Dato,$A509))*2,0)/2)))</f>
        <v/>
      </c>
    </row>
    <row r="510">
      <c r="A510" s="64">
        <f>A509+1</f>
        <v/>
      </c>
      <c r="B510">
        <f>IF(MOD($A510-INDEX(SkiftStart,1),Syklus)&lt;DagK,"K",IF(MOD($A510-INDEX(SkiftStart,1),Syklus)&lt;DagK+DagH,"H",IF(MOD($A510-INDEX(SkiftStart,1),Syklus)&lt;DagK+DagH+DagD,"D","F")))</f>
        <v/>
      </c>
      <c r="C510">
        <f>IF(MOD($A510-INDEX(SkiftStart,2),Syklus)&lt;DagK,"K",IF(MOD($A510-INDEX(SkiftStart,2),Syklus)&lt;DagK+DagH,"H",IF(MOD($A510-INDEX(SkiftStart,2),Syklus)&lt;DagK+DagH+DagD,"D","F")))</f>
        <v/>
      </c>
      <c r="D510">
        <f>IF(MOD($A510-INDEX(SkiftStart,3),Syklus)&lt;DagK,"K",IF(MOD($A510-INDEX(SkiftStart,3),Syklus)&lt;DagK+DagH,"H",IF(MOD($A510-INDEX(SkiftStart,3),Syklus)&lt;DagK+DagH+DagD,"D","F")))</f>
        <v/>
      </c>
      <c r="E510">
        <f>IF(B510="F",0,IF(WEEKDAY($A510,2)=5,INDEX(TimerFr,MATCH(B510,FaseKode,0)),INDEX(TimerMT,MATCH(B510,FaseKode,0))))</f>
        <v/>
      </c>
      <c r="F510">
        <f>IF(C510="F",0,IF(WEEKDAY($A510,2)=5,INDEX(TimerFr,MATCH(C510,FaseKode,0)),INDEX(TimerMT,MATCH(C510,FaseKode,0))))</f>
        <v/>
      </c>
      <c r="G510">
        <f>IF(D510="F",0,IF(WEEKDAY($A510,2)=5,INDEX(TimerFr,MATCH(D510,FaseKode,0)),INDEX(TimerMT,MATCH(D510,FaseKode,0))))</f>
        <v/>
      </c>
      <c r="H510">
        <f>IF(OR(H$4="",$A510&gt;TODAY()),0,IF(OR(INDEX($B510:$D510,H$5)="F",AND(H$6&gt;0,$A510&lt;H$6),AND(H$7&gt;0,$A510&gt;H$7)),0,MAX(0,ROUND((INDEX($E510:$G510,H$5)-SUMIFS(TF_Timer,TF_Tekniker,H$4,TF_Dato,$A510))*2,0)/2)))</f>
        <v/>
      </c>
      <c r="I510">
        <f>IF(OR(I$4="",$A510&gt;TODAY()),0,IF(OR(INDEX($B510:$D510,I$5)="F",AND(I$6&gt;0,$A510&lt;I$6),AND(I$7&gt;0,$A510&gt;I$7)),0,MAX(0,ROUND((INDEX($E510:$G510,I$5)-SUMIFS(TF_Timer,TF_Tekniker,I$4,TF_Dato,$A510))*2,0)/2)))</f>
        <v/>
      </c>
      <c r="J510">
        <f>IF(OR(J$4="",$A510&gt;TODAY()),0,IF(OR(INDEX($B510:$D510,J$5)="F",AND(J$6&gt;0,$A510&lt;J$6),AND(J$7&gt;0,$A510&gt;J$7)),0,MAX(0,ROUND((INDEX($E510:$G510,J$5)-SUMIFS(TF_Timer,TF_Tekniker,J$4,TF_Dato,$A510))*2,0)/2)))</f>
        <v/>
      </c>
      <c r="K510">
        <f>IF(OR(K$4="",$A510&gt;TODAY()),0,IF(OR(INDEX($B510:$D510,K$5)="F",AND(K$6&gt;0,$A510&lt;K$6),AND(K$7&gt;0,$A510&gt;K$7)),0,MAX(0,ROUND((INDEX($E510:$G510,K$5)-SUMIFS(TF_Timer,TF_Tekniker,K$4,TF_Dato,$A510))*2,0)/2)))</f>
        <v/>
      </c>
      <c r="L510">
        <f>IF(OR(L$4="",$A510&gt;TODAY()),0,IF(OR(INDEX($B510:$D510,L$5)="F",AND(L$6&gt;0,$A510&lt;L$6),AND(L$7&gt;0,$A510&gt;L$7)),0,MAX(0,ROUND((INDEX($E510:$G510,L$5)-SUMIFS(TF_Timer,TF_Tekniker,L$4,TF_Dato,$A510))*2,0)/2)))</f>
        <v/>
      </c>
      <c r="M510">
        <f>IF(OR(M$4="",$A510&gt;TODAY()),0,IF(OR(INDEX($B510:$D510,M$5)="F",AND(M$6&gt;0,$A510&lt;M$6),AND(M$7&gt;0,$A510&gt;M$7)),0,MAX(0,ROUND((INDEX($E510:$G510,M$5)-SUMIFS(TF_Timer,TF_Tekniker,M$4,TF_Dato,$A510))*2,0)/2)))</f>
        <v/>
      </c>
      <c r="N510">
        <f>IF(OR(N$4="",$A510&gt;TODAY()),0,IF(OR(INDEX($B510:$D510,N$5)="F",AND(N$6&gt;0,$A510&lt;N$6),AND(N$7&gt;0,$A510&gt;N$7)),0,MAX(0,ROUND((INDEX($E510:$G510,N$5)-SUMIFS(TF_Timer,TF_Tekniker,N$4,TF_Dato,$A510))*2,0)/2)))</f>
        <v/>
      </c>
      <c r="O510">
        <f>IF(OR(O$4="",$A510&gt;TODAY()),0,IF(OR(INDEX($B510:$D510,O$5)="F",AND(O$6&gt;0,$A510&lt;O$6),AND(O$7&gt;0,$A510&gt;O$7)),0,MAX(0,ROUND((INDEX($E510:$G510,O$5)-SUMIFS(TF_Timer,TF_Tekniker,O$4,TF_Dato,$A510))*2,0)/2)))</f>
        <v/>
      </c>
      <c r="P510">
        <f>IF(OR(P$4="",$A510&gt;TODAY()),0,IF(OR(INDEX($B510:$D510,P$5)="F",AND(P$6&gt;0,$A510&lt;P$6),AND(P$7&gt;0,$A510&gt;P$7)),0,MAX(0,ROUND((INDEX($E510:$G510,P$5)-SUMIFS(TF_Timer,TF_Tekniker,P$4,TF_Dato,$A510))*2,0)/2)))</f>
        <v/>
      </c>
      <c r="Q510">
        <f>IF(OR(Q$4="",$A510&gt;TODAY()),0,IF(OR(INDEX($B510:$D510,Q$5)="F",AND(Q$6&gt;0,$A510&lt;Q$6),AND(Q$7&gt;0,$A510&gt;Q$7)),0,MAX(0,ROUND((INDEX($E510:$G510,Q$5)-SUMIFS(TF_Timer,TF_Tekniker,Q$4,TF_Dato,$A510))*2,0)/2)))</f>
        <v/>
      </c>
      <c r="R510">
        <f>IF(OR(R$4="",$A510&gt;TODAY()),0,IF(OR(INDEX($B510:$D510,R$5)="F",AND(R$6&gt;0,$A510&lt;R$6),AND(R$7&gt;0,$A510&gt;R$7)),0,MAX(0,ROUND((INDEX($E510:$G510,R$5)-SUMIFS(TF_Timer,TF_Tekniker,R$4,TF_Dato,$A510))*2,0)/2)))</f>
        <v/>
      </c>
      <c r="S510">
        <f>IF(OR(S$4="",$A510&gt;TODAY()),0,IF(OR(INDEX($B510:$D510,S$5)="F",AND(S$6&gt;0,$A510&lt;S$6),AND(S$7&gt;0,$A510&gt;S$7)),0,MAX(0,ROUND((INDEX($E510:$G510,S$5)-SUMIFS(TF_Timer,TF_Tekniker,S$4,TF_Dato,$A510))*2,0)/2)))</f>
        <v/>
      </c>
      <c r="T510">
        <f>IF(OR(T$4="",$A510&gt;TODAY()),0,IF(OR(INDEX($B510:$D510,T$5)="F",AND(T$6&gt;0,$A510&lt;T$6),AND(T$7&gt;0,$A510&gt;T$7)),0,MAX(0,ROUND((INDEX($E510:$G510,T$5)-SUMIFS(TF_Timer,TF_Tekniker,T$4,TF_Dato,$A510))*2,0)/2)))</f>
        <v/>
      </c>
      <c r="U510">
        <f>IF(OR(U$4="",$A510&gt;TODAY()),0,IF(OR(INDEX($B510:$D510,U$5)="F",AND(U$6&gt;0,$A510&lt;U$6),AND(U$7&gt;0,$A510&gt;U$7)),0,MAX(0,ROUND((INDEX($E510:$G510,U$5)-SUMIFS(TF_Timer,TF_Tekniker,U$4,TF_Dato,$A510))*2,0)/2)))</f>
        <v/>
      </c>
      <c r="V510">
        <f>IF(OR(V$4="",$A510&gt;TODAY()),0,IF(OR(INDEX($B510:$D510,V$5)="F",AND(V$6&gt;0,$A510&lt;V$6),AND(V$7&gt;0,$A510&gt;V$7)),0,MAX(0,ROUND((INDEX($E510:$G510,V$5)-SUMIFS(TF_Timer,TF_Tekniker,V$4,TF_Dato,$A510))*2,0)/2)))</f>
        <v/>
      </c>
      <c r="W510">
        <f>IF(OR(W$4="",$A510&gt;TODAY()),0,IF(OR(INDEX($B510:$D510,W$5)="F",AND(W$6&gt;0,$A510&lt;W$6),AND(W$7&gt;0,$A510&gt;W$7)),0,MAX(0,ROUND((INDEX($E510:$G510,W$5)-SUMIFS(TF_Timer,TF_Tekniker,W$4,TF_Dato,$A510))*2,0)/2)))</f>
        <v/>
      </c>
      <c r="X510">
        <f>IF(OR(X$4="",$A510&gt;TODAY()),0,IF(OR(INDEX($B510:$D510,X$5)="F",AND(X$6&gt;0,$A510&lt;X$6),AND(X$7&gt;0,$A510&gt;X$7)),0,MAX(0,ROUND((INDEX($E510:$G510,X$5)-SUMIFS(TF_Timer,TF_Tekniker,X$4,TF_Dato,$A510))*2,0)/2)))</f>
        <v/>
      </c>
      <c r="Y510">
        <f>IF(OR(Y$4="",$A510&gt;TODAY()),0,IF(OR(INDEX($B510:$D510,Y$5)="F",AND(Y$6&gt;0,$A510&lt;Y$6),AND(Y$7&gt;0,$A510&gt;Y$7)),0,MAX(0,ROUND((INDEX($E510:$G510,Y$5)-SUMIFS(TF_Timer,TF_Tekniker,Y$4,TF_Dato,$A510))*2,0)/2)))</f>
        <v/>
      </c>
      <c r="Z510">
        <f>IF(OR(Z$4="",$A510&gt;TODAY()),0,IF(OR(INDEX($B510:$D510,Z$5)="F",AND(Z$6&gt;0,$A510&lt;Z$6),AND(Z$7&gt;0,$A510&gt;Z$7)),0,MAX(0,ROUND((INDEX($E510:$G510,Z$5)-SUMIFS(TF_Timer,TF_Tekniker,Z$4,TF_Dato,$A510))*2,0)/2)))</f>
        <v/>
      </c>
      <c r="AA510">
        <f>IF(OR(AA$4="",$A510&gt;TODAY()),0,IF(OR(INDEX($B510:$D510,AA$5)="F",AND(AA$6&gt;0,$A510&lt;AA$6),AND(AA$7&gt;0,$A510&gt;AA$7)),0,MAX(0,ROUND((INDEX($E510:$G510,AA$5)-SUMIFS(TF_Timer,TF_Tekniker,AA$4,TF_Dato,$A510))*2,0)/2)))</f>
        <v/>
      </c>
      <c r="AB510">
        <f>IF(OR(AB$4="",$A510&gt;TODAY()),0,IF(OR(INDEX($B510:$D510,AB$5)="F",AND(AB$6&gt;0,$A510&lt;AB$6),AND(AB$7&gt;0,$A510&gt;AB$7)),0,MAX(0,ROUND((INDEX($E510:$G510,AB$5)-SUMIFS(TF_Timer,TF_Tekniker,AB$4,TF_Dato,$A510))*2,0)/2)))</f>
        <v/>
      </c>
      <c r="AC510">
        <f>IF(OR(AC$4="",$A510&gt;TODAY()),0,IF(OR(INDEX($B510:$D510,AC$5)="F",AND(AC$6&gt;0,$A510&lt;AC$6),AND(AC$7&gt;0,$A510&gt;AC$7)),0,MAX(0,ROUND((INDEX($E510:$G510,AC$5)-SUMIFS(TF_Timer,TF_Tekniker,AC$4,TF_Dato,$A510))*2,0)/2)))</f>
        <v/>
      </c>
      <c r="AD510">
        <f>IF(OR(AD$4="",$A510&gt;TODAY()),0,IF(OR(INDEX($B510:$D510,AD$5)="F",AND(AD$6&gt;0,$A510&lt;AD$6),AND(AD$7&gt;0,$A510&gt;AD$7)),0,MAX(0,ROUND((INDEX($E510:$G510,AD$5)-SUMIFS(TF_Timer,TF_Tekniker,AD$4,TF_Dato,$A510))*2,0)/2)))</f>
        <v/>
      </c>
      <c r="AE510">
        <f>IF(OR(AE$4="",$A510&gt;TODAY()),0,IF(OR(INDEX($B510:$D510,AE$5)="F",AND(AE$6&gt;0,$A510&lt;AE$6),AND(AE$7&gt;0,$A510&gt;AE$7)),0,MAX(0,ROUND((INDEX($E510:$G510,AE$5)-SUMIFS(TF_Timer,TF_Tekniker,AE$4,TF_Dato,$A510))*2,0)/2)))</f>
        <v/>
      </c>
      <c r="AF510">
        <f>IF(OR(AF$4="",$A510&gt;TODAY()),0,IF(OR(INDEX($B510:$D510,AF$5)="F",AND(AF$6&gt;0,$A510&lt;AF$6),AND(AF$7&gt;0,$A510&gt;AF$7)),0,MAX(0,ROUND((INDEX($E510:$G510,AF$5)-SUMIFS(TF_Timer,TF_Tekniker,AF$4,TF_Dato,$A510))*2,0)/2)))</f>
        <v/>
      </c>
      <c r="AG510">
        <f>IF(OR(AG$4="",$A510&gt;TODAY()),0,IF(OR(INDEX($B510:$D510,AG$5)="F",AND(AG$6&gt;0,$A510&lt;AG$6),AND(AG$7&gt;0,$A510&gt;AG$7)),0,MAX(0,ROUND((INDEX($E510:$G510,AG$5)-SUMIFS(TF_Timer,TF_Tekniker,AG$4,TF_Dato,$A510))*2,0)/2)))</f>
        <v/>
      </c>
      <c r="AH510">
        <f>IF(OR(AH$4="",$A510&gt;TODAY()),0,IF(OR(INDEX($B510:$D510,AH$5)="F",AND(AH$6&gt;0,$A510&lt;AH$6),AND(AH$7&gt;0,$A510&gt;AH$7)),0,MAX(0,ROUND((INDEX($E510:$G510,AH$5)-SUMIFS(TF_Timer,TF_Tekniker,AH$4,TF_Dato,$A510))*2,0)/2)))</f>
        <v/>
      </c>
      <c r="AI510">
        <f>IF(OR(AI$4="",$A510&gt;TODAY()),0,IF(OR(INDEX($B510:$D510,AI$5)="F",AND(AI$6&gt;0,$A510&lt;AI$6),AND(AI$7&gt;0,$A510&gt;AI$7)),0,MAX(0,ROUND((INDEX($E510:$G510,AI$5)-SUMIFS(TF_Timer,TF_Tekniker,AI$4,TF_Dato,$A510))*2,0)/2)))</f>
        <v/>
      </c>
      <c r="AJ510">
        <f>IF(OR(AJ$4="",$A510&gt;TODAY()),0,IF(OR(INDEX($B510:$D510,AJ$5)="F",AND(AJ$6&gt;0,$A510&lt;AJ$6),AND(AJ$7&gt;0,$A510&gt;AJ$7)),0,MAX(0,ROUND((INDEX($E510:$G510,AJ$5)-SUMIFS(TF_Timer,TF_Tekniker,AJ$4,TF_Dato,$A510))*2,0)/2)))</f>
        <v/>
      </c>
      <c r="AK510">
        <f>IF(OR(AK$4="",$A510&gt;TODAY()),0,IF(OR(INDEX($B510:$D510,AK$5)="F",AND(AK$6&gt;0,$A510&lt;AK$6),AND(AK$7&gt;0,$A510&gt;AK$7)),0,MAX(0,ROUND((INDEX($E510:$G510,AK$5)-SUMIFS(TF_Timer,TF_Tekniker,AK$4,TF_Dato,$A510))*2,0)/2)))</f>
        <v/>
      </c>
      <c r="AL510">
        <f>IF(OR(AL$4="",$A510&gt;TODAY()),0,IF(OR(INDEX($B510:$D510,AL$5)="F",AND(AL$6&gt;0,$A510&lt;AL$6),AND(AL$7&gt;0,$A510&gt;AL$7)),0,MAX(0,ROUND((INDEX($E510:$G510,AL$5)-SUMIFS(TF_Timer,TF_Tekniker,AL$4,TF_Dato,$A510))*2,0)/2)))</f>
        <v/>
      </c>
      <c r="AM510">
        <f>IF(OR(AM$4="",$A510&gt;TODAY()),0,IF(OR(INDEX($B510:$D510,AM$5)="F",AND(AM$6&gt;0,$A510&lt;AM$6),AND(AM$7&gt;0,$A510&gt;AM$7)),0,MAX(0,ROUND((INDEX($E510:$G510,AM$5)-SUMIFS(TF_Timer,TF_Tekniker,AM$4,TF_Dato,$A510))*2,0)/2)))</f>
        <v/>
      </c>
      <c r="AN510">
        <f>IF(OR(AN$4="",$A510&gt;TODAY()),0,IF(OR(INDEX($B510:$D510,AN$5)="F",AND(AN$6&gt;0,$A510&lt;AN$6),AND(AN$7&gt;0,$A510&gt;AN$7)),0,MAX(0,ROUND((INDEX($E510:$G510,AN$5)-SUMIFS(TF_Timer,TF_Tekniker,AN$4,TF_Dato,$A510))*2,0)/2)))</f>
        <v/>
      </c>
      <c r="AO510">
        <f>IF(OR(AO$4="",$A510&gt;TODAY()),0,IF(OR(INDEX($B510:$D510,AO$5)="F",AND(AO$6&gt;0,$A510&lt;AO$6),AND(AO$7&gt;0,$A510&gt;AO$7)),0,MAX(0,ROUND((INDEX($E510:$G510,AO$5)-SUMIFS(TF_Timer,TF_Tekniker,AO$4,TF_Dato,$A510))*2,0)/2)))</f>
        <v/>
      </c>
      <c r="AP510">
        <f>IF(OR(AP$4="",$A510&gt;TODAY()),0,IF(OR(INDEX($B510:$D510,AP$5)="F",AND(AP$6&gt;0,$A510&lt;AP$6),AND(AP$7&gt;0,$A510&gt;AP$7)),0,MAX(0,ROUND((INDEX($E510:$G510,AP$5)-SUMIFS(TF_Timer,TF_Tekniker,AP$4,TF_Dato,$A510))*2,0)/2)))</f>
        <v/>
      </c>
      <c r="AQ510">
        <f>IF(OR(AQ$4="",$A510&gt;TODAY()),0,IF(OR(INDEX($B510:$D510,AQ$5)="F",AND(AQ$6&gt;0,$A510&lt;AQ$6),AND(AQ$7&gt;0,$A510&gt;AQ$7)),0,MAX(0,ROUND((INDEX($E510:$G510,AQ$5)-SUMIFS(TF_Timer,TF_Tekniker,AQ$4,TF_Dato,$A510))*2,0)/2)))</f>
        <v/>
      </c>
      <c r="AR510">
        <f>IF(OR(AR$4="",$A510&gt;TODAY()),0,IF(OR(INDEX($B510:$D510,AR$5)="F",AND(AR$6&gt;0,$A510&lt;AR$6),AND(AR$7&gt;0,$A510&gt;AR$7)),0,MAX(0,ROUND((INDEX($E510:$G510,AR$5)-SUMIFS(TF_Timer,TF_Tekniker,AR$4,TF_Dato,$A510))*2,0)/2)))</f>
        <v/>
      </c>
      <c r="AS510">
        <f>IF(OR(AS$4="",$A510&gt;TODAY()),0,IF(OR(INDEX($B510:$D510,AS$5)="F",AND(AS$6&gt;0,$A510&lt;AS$6),AND(AS$7&gt;0,$A510&gt;AS$7)),0,MAX(0,ROUND((INDEX($E510:$G510,AS$5)-SUMIFS(TF_Timer,TF_Tekniker,AS$4,TF_Dato,$A510))*2,0)/2)))</f>
        <v/>
      </c>
      <c r="AT510">
        <f>IF(OR(AT$4="",$A510&gt;TODAY()),0,IF(OR(INDEX($B510:$D510,AT$5)="F",AND(AT$6&gt;0,$A510&lt;AT$6),AND(AT$7&gt;0,$A510&gt;AT$7)),0,MAX(0,ROUND((INDEX($E510:$G510,AT$5)-SUMIFS(TF_Timer,TF_Tekniker,AT$4,TF_Dato,$A510))*2,0)/2)))</f>
        <v/>
      </c>
      <c r="AU510">
        <f>IF(OR(AU$4="",$A510&gt;TODAY()),0,IF(OR(INDEX($B510:$D510,AU$5)="F",AND(AU$6&gt;0,$A510&lt;AU$6),AND(AU$7&gt;0,$A510&gt;AU$7)),0,MAX(0,ROUND((INDEX($E510:$G510,AU$5)-SUMIFS(TF_Timer,TF_Tekniker,AU$4,TF_Dato,$A510))*2,0)/2)))</f>
        <v/>
      </c>
      <c r="AV510">
        <f>IF(OR(AV$4="",$A510&gt;TODAY()),0,IF(OR(INDEX($B510:$D510,AV$5)="F",AND(AV$6&gt;0,$A510&lt;AV$6),AND(AV$7&gt;0,$A510&gt;AV$7)),0,MAX(0,ROUND((INDEX($E510:$G510,AV$5)-SUMIFS(TF_Timer,TF_Tekniker,AV$4,TF_Dato,$A510))*2,0)/2)))</f>
        <v/>
      </c>
      <c r="AW510">
        <f>IF(OR(AW$4="",$A510&gt;TODAY()),0,IF(OR(INDEX($B510:$D510,AW$5)="F",AND(AW$6&gt;0,$A510&lt;AW$6),AND(AW$7&gt;0,$A510&gt;AW$7)),0,MAX(0,ROUND((INDEX($E510:$G510,AW$5)-SUMIFS(TF_Timer,TF_Tekniker,AW$4,TF_Dato,$A510))*2,0)/2)))</f>
        <v/>
      </c>
      <c r="AX510">
        <f>IF(OR(AX$4="",$A510&gt;TODAY()),0,IF(OR(INDEX($B510:$D510,AX$5)="F",AND(AX$6&gt;0,$A510&lt;AX$6),AND(AX$7&gt;0,$A510&gt;AX$7)),0,MAX(0,ROUND((INDEX($E510:$G510,AX$5)-SUMIFS(TF_Timer,TF_Tekniker,AX$4,TF_Dato,$A510))*2,0)/2)))</f>
        <v/>
      </c>
      <c r="AY510">
        <f>IF(OR(AY$4="",$A510&gt;TODAY()),0,IF(OR(INDEX($B510:$D510,AY$5)="F",AND(AY$6&gt;0,$A510&lt;AY$6),AND(AY$7&gt;0,$A510&gt;AY$7)),0,MAX(0,ROUND((INDEX($E510:$G510,AY$5)-SUMIFS(TF_Timer,TF_Tekniker,AY$4,TF_Dato,$A510))*2,0)/2)))</f>
        <v/>
      </c>
      <c r="AZ510">
        <f>IF(OR(AZ$4="",$A510&gt;TODAY()),0,IF(OR(INDEX($B510:$D510,AZ$5)="F",AND(AZ$6&gt;0,$A510&lt;AZ$6),AND(AZ$7&gt;0,$A510&gt;AZ$7)),0,MAX(0,ROUND((INDEX($E510:$G510,AZ$5)-SUMIFS(TF_Timer,TF_Tekniker,AZ$4,TF_Dato,$A510))*2,0)/2)))</f>
        <v/>
      </c>
      <c r="BA510">
        <f>IF(OR(BA$4="",$A510&gt;TODAY()),0,IF(OR(INDEX($B510:$D510,BA$5)="F",AND(BA$6&gt;0,$A510&lt;BA$6),AND(BA$7&gt;0,$A510&gt;BA$7)),0,MAX(0,ROUND((INDEX($E510:$G510,BA$5)-SUMIFS(TF_Timer,TF_Tekniker,BA$4,TF_Dato,$A510))*2,0)/2)))</f>
        <v/>
      </c>
      <c r="BB510">
        <f>IF(OR(BB$4="",$A510&gt;TODAY()),0,IF(OR(INDEX($B510:$D510,BB$5)="F",AND(BB$6&gt;0,$A510&lt;BB$6),AND(BB$7&gt;0,$A510&gt;BB$7)),0,MAX(0,ROUND((INDEX($E510:$G510,BB$5)-SUMIFS(TF_Timer,TF_Tekniker,BB$4,TF_Dato,$A510))*2,0)/2)))</f>
        <v/>
      </c>
      <c r="BC510">
        <f>IF(OR(BC$4="",$A510&gt;TODAY()),0,IF(OR(INDEX($B510:$D510,BC$5)="F",AND(BC$6&gt;0,$A510&lt;BC$6),AND(BC$7&gt;0,$A510&gt;BC$7)),0,MAX(0,ROUND((INDEX($E510:$G510,BC$5)-SUMIFS(TF_Timer,TF_Tekniker,BC$4,TF_Dato,$A510))*2,0)/2)))</f>
        <v/>
      </c>
      <c r="BD510">
        <f>IF(OR(BD$4="",$A510&gt;TODAY()),0,IF(OR(INDEX($B510:$D510,BD$5)="F",AND(BD$6&gt;0,$A510&lt;BD$6),AND(BD$7&gt;0,$A510&gt;BD$7)),0,MAX(0,ROUND((INDEX($E510:$G510,BD$5)-SUMIFS(TF_Timer,TF_Tekniker,BD$4,TF_Dato,$A510))*2,0)/2)))</f>
        <v/>
      </c>
      <c r="BE510">
        <f>IF(OR(BE$4="",$A510&gt;TODAY()),0,IF(OR(INDEX($B510:$D510,BE$5)="F",AND(BE$6&gt;0,$A510&lt;BE$6),AND(BE$7&gt;0,$A510&gt;BE$7)),0,MAX(0,ROUND((INDEX($E510:$G510,BE$5)-SUMIFS(TF_Timer,TF_Tekniker,BE$4,TF_Dato,$A510))*2,0)/2)))</f>
        <v/>
      </c>
      <c r="BF510">
        <f>IF(OR(BF$4="",$A510&gt;TODAY()),0,IF(OR(INDEX($B510:$D510,BF$5)="F",AND(BF$6&gt;0,$A510&lt;BF$6),AND(BF$7&gt;0,$A510&gt;BF$7)),0,MAX(0,ROUND((INDEX($E510:$G510,BF$5)-SUMIFS(TF_Timer,TF_Tekniker,BF$4,TF_Dato,$A510))*2,0)/2)))</f>
        <v/>
      </c>
      <c r="BG510">
        <f>IF(OR(BG$4="",$A510&gt;TODAY()),0,IF(OR(INDEX($B510:$D510,BG$5)="F",AND(BG$6&gt;0,$A510&lt;BG$6),AND(BG$7&gt;0,$A510&gt;BG$7)),0,MAX(0,ROUND((INDEX($E510:$G510,BG$5)-SUMIFS(TF_Timer,TF_Tekniker,BG$4,TF_Dato,$A510))*2,0)/2)))</f>
        <v/>
      </c>
      <c r="BH510">
        <f>IF(OR(BH$4="",$A510&gt;TODAY()),0,IF(OR(INDEX($B510:$D510,BH$5)="F",AND(BH$6&gt;0,$A510&lt;BH$6),AND(BH$7&gt;0,$A510&gt;BH$7)),0,MAX(0,ROUND((INDEX($E510:$G510,BH$5)-SUMIFS(TF_Timer,TF_Tekniker,BH$4,TF_Dato,$A510))*2,0)/2)))</f>
        <v/>
      </c>
      <c r="BI510">
        <f>IF(OR(BI$4="",$A510&gt;TODAY()),0,IF(OR(INDEX($B510:$D510,BI$5)="F",AND(BI$6&gt;0,$A510&lt;BI$6),AND(BI$7&gt;0,$A510&gt;BI$7)),0,MAX(0,ROUND((INDEX($E510:$G510,BI$5)-SUMIFS(TF_Timer,TF_Tekniker,BI$4,TF_Dato,$A510))*2,0)/2)))</f>
        <v/>
      </c>
    </row>
    <row r="511">
      <c r="A511" s="64">
        <f>A510+1</f>
        <v/>
      </c>
      <c r="B511">
        <f>IF(MOD($A511-INDEX(SkiftStart,1),Syklus)&lt;DagK,"K",IF(MOD($A511-INDEX(SkiftStart,1),Syklus)&lt;DagK+DagH,"H",IF(MOD($A511-INDEX(SkiftStart,1),Syklus)&lt;DagK+DagH+DagD,"D","F")))</f>
        <v/>
      </c>
      <c r="C511">
        <f>IF(MOD($A511-INDEX(SkiftStart,2),Syklus)&lt;DagK,"K",IF(MOD($A511-INDEX(SkiftStart,2),Syklus)&lt;DagK+DagH,"H",IF(MOD($A511-INDEX(SkiftStart,2),Syklus)&lt;DagK+DagH+DagD,"D","F")))</f>
        <v/>
      </c>
      <c r="D511">
        <f>IF(MOD($A511-INDEX(SkiftStart,3),Syklus)&lt;DagK,"K",IF(MOD($A511-INDEX(SkiftStart,3),Syklus)&lt;DagK+DagH,"H",IF(MOD($A511-INDEX(SkiftStart,3),Syklus)&lt;DagK+DagH+DagD,"D","F")))</f>
        <v/>
      </c>
      <c r="E511">
        <f>IF(B511="F",0,IF(WEEKDAY($A511,2)=5,INDEX(TimerFr,MATCH(B511,FaseKode,0)),INDEX(TimerMT,MATCH(B511,FaseKode,0))))</f>
        <v/>
      </c>
      <c r="F511">
        <f>IF(C511="F",0,IF(WEEKDAY($A511,2)=5,INDEX(TimerFr,MATCH(C511,FaseKode,0)),INDEX(TimerMT,MATCH(C511,FaseKode,0))))</f>
        <v/>
      </c>
      <c r="G511">
        <f>IF(D511="F",0,IF(WEEKDAY($A511,2)=5,INDEX(TimerFr,MATCH(D511,FaseKode,0)),INDEX(TimerMT,MATCH(D511,FaseKode,0))))</f>
        <v/>
      </c>
      <c r="H511">
        <f>IF(OR(H$4="",$A511&gt;TODAY()),0,IF(OR(INDEX($B511:$D511,H$5)="F",AND(H$6&gt;0,$A511&lt;H$6),AND(H$7&gt;0,$A511&gt;H$7)),0,MAX(0,ROUND((INDEX($E511:$G511,H$5)-SUMIFS(TF_Timer,TF_Tekniker,H$4,TF_Dato,$A511))*2,0)/2)))</f>
        <v/>
      </c>
      <c r="I511">
        <f>IF(OR(I$4="",$A511&gt;TODAY()),0,IF(OR(INDEX($B511:$D511,I$5)="F",AND(I$6&gt;0,$A511&lt;I$6),AND(I$7&gt;0,$A511&gt;I$7)),0,MAX(0,ROUND((INDEX($E511:$G511,I$5)-SUMIFS(TF_Timer,TF_Tekniker,I$4,TF_Dato,$A511))*2,0)/2)))</f>
        <v/>
      </c>
      <c r="J511">
        <f>IF(OR(J$4="",$A511&gt;TODAY()),0,IF(OR(INDEX($B511:$D511,J$5)="F",AND(J$6&gt;0,$A511&lt;J$6),AND(J$7&gt;0,$A511&gt;J$7)),0,MAX(0,ROUND((INDEX($E511:$G511,J$5)-SUMIFS(TF_Timer,TF_Tekniker,J$4,TF_Dato,$A511))*2,0)/2)))</f>
        <v/>
      </c>
      <c r="K511">
        <f>IF(OR(K$4="",$A511&gt;TODAY()),0,IF(OR(INDEX($B511:$D511,K$5)="F",AND(K$6&gt;0,$A511&lt;K$6),AND(K$7&gt;0,$A511&gt;K$7)),0,MAX(0,ROUND((INDEX($E511:$G511,K$5)-SUMIFS(TF_Timer,TF_Tekniker,K$4,TF_Dato,$A511))*2,0)/2)))</f>
        <v/>
      </c>
      <c r="L511">
        <f>IF(OR(L$4="",$A511&gt;TODAY()),0,IF(OR(INDEX($B511:$D511,L$5)="F",AND(L$6&gt;0,$A511&lt;L$6),AND(L$7&gt;0,$A511&gt;L$7)),0,MAX(0,ROUND((INDEX($E511:$G511,L$5)-SUMIFS(TF_Timer,TF_Tekniker,L$4,TF_Dato,$A511))*2,0)/2)))</f>
        <v/>
      </c>
      <c r="M511">
        <f>IF(OR(M$4="",$A511&gt;TODAY()),0,IF(OR(INDEX($B511:$D511,M$5)="F",AND(M$6&gt;0,$A511&lt;M$6),AND(M$7&gt;0,$A511&gt;M$7)),0,MAX(0,ROUND((INDEX($E511:$G511,M$5)-SUMIFS(TF_Timer,TF_Tekniker,M$4,TF_Dato,$A511))*2,0)/2)))</f>
        <v/>
      </c>
      <c r="N511">
        <f>IF(OR(N$4="",$A511&gt;TODAY()),0,IF(OR(INDEX($B511:$D511,N$5)="F",AND(N$6&gt;0,$A511&lt;N$6),AND(N$7&gt;0,$A511&gt;N$7)),0,MAX(0,ROUND((INDEX($E511:$G511,N$5)-SUMIFS(TF_Timer,TF_Tekniker,N$4,TF_Dato,$A511))*2,0)/2)))</f>
        <v/>
      </c>
      <c r="O511">
        <f>IF(OR(O$4="",$A511&gt;TODAY()),0,IF(OR(INDEX($B511:$D511,O$5)="F",AND(O$6&gt;0,$A511&lt;O$6),AND(O$7&gt;0,$A511&gt;O$7)),0,MAX(0,ROUND((INDEX($E511:$G511,O$5)-SUMIFS(TF_Timer,TF_Tekniker,O$4,TF_Dato,$A511))*2,0)/2)))</f>
        <v/>
      </c>
      <c r="P511">
        <f>IF(OR(P$4="",$A511&gt;TODAY()),0,IF(OR(INDEX($B511:$D511,P$5)="F",AND(P$6&gt;0,$A511&lt;P$6),AND(P$7&gt;0,$A511&gt;P$7)),0,MAX(0,ROUND((INDEX($E511:$G511,P$5)-SUMIFS(TF_Timer,TF_Tekniker,P$4,TF_Dato,$A511))*2,0)/2)))</f>
        <v/>
      </c>
      <c r="Q511">
        <f>IF(OR(Q$4="",$A511&gt;TODAY()),0,IF(OR(INDEX($B511:$D511,Q$5)="F",AND(Q$6&gt;0,$A511&lt;Q$6),AND(Q$7&gt;0,$A511&gt;Q$7)),0,MAX(0,ROUND((INDEX($E511:$G511,Q$5)-SUMIFS(TF_Timer,TF_Tekniker,Q$4,TF_Dato,$A511))*2,0)/2)))</f>
        <v/>
      </c>
      <c r="R511">
        <f>IF(OR(R$4="",$A511&gt;TODAY()),0,IF(OR(INDEX($B511:$D511,R$5)="F",AND(R$6&gt;0,$A511&lt;R$6),AND(R$7&gt;0,$A511&gt;R$7)),0,MAX(0,ROUND((INDEX($E511:$G511,R$5)-SUMIFS(TF_Timer,TF_Tekniker,R$4,TF_Dato,$A511))*2,0)/2)))</f>
        <v/>
      </c>
      <c r="S511">
        <f>IF(OR(S$4="",$A511&gt;TODAY()),0,IF(OR(INDEX($B511:$D511,S$5)="F",AND(S$6&gt;0,$A511&lt;S$6),AND(S$7&gt;0,$A511&gt;S$7)),0,MAX(0,ROUND((INDEX($E511:$G511,S$5)-SUMIFS(TF_Timer,TF_Tekniker,S$4,TF_Dato,$A511))*2,0)/2)))</f>
        <v/>
      </c>
      <c r="T511">
        <f>IF(OR(T$4="",$A511&gt;TODAY()),0,IF(OR(INDEX($B511:$D511,T$5)="F",AND(T$6&gt;0,$A511&lt;T$6),AND(T$7&gt;0,$A511&gt;T$7)),0,MAX(0,ROUND((INDEX($E511:$G511,T$5)-SUMIFS(TF_Timer,TF_Tekniker,T$4,TF_Dato,$A511))*2,0)/2)))</f>
        <v/>
      </c>
      <c r="U511">
        <f>IF(OR(U$4="",$A511&gt;TODAY()),0,IF(OR(INDEX($B511:$D511,U$5)="F",AND(U$6&gt;0,$A511&lt;U$6),AND(U$7&gt;0,$A511&gt;U$7)),0,MAX(0,ROUND((INDEX($E511:$G511,U$5)-SUMIFS(TF_Timer,TF_Tekniker,U$4,TF_Dato,$A511))*2,0)/2)))</f>
        <v/>
      </c>
      <c r="V511">
        <f>IF(OR(V$4="",$A511&gt;TODAY()),0,IF(OR(INDEX($B511:$D511,V$5)="F",AND(V$6&gt;0,$A511&lt;V$6),AND(V$7&gt;0,$A511&gt;V$7)),0,MAX(0,ROUND((INDEX($E511:$G511,V$5)-SUMIFS(TF_Timer,TF_Tekniker,V$4,TF_Dato,$A511))*2,0)/2)))</f>
        <v/>
      </c>
      <c r="W511">
        <f>IF(OR(W$4="",$A511&gt;TODAY()),0,IF(OR(INDEX($B511:$D511,W$5)="F",AND(W$6&gt;0,$A511&lt;W$6),AND(W$7&gt;0,$A511&gt;W$7)),0,MAX(0,ROUND((INDEX($E511:$G511,W$5)-SUMIFS(TF_Timer,TF_Tekniker,W$4,TF_Dato,$A511))*2,0)/2)))</f>
        <v/>
      </c>
      <c r="X511">
        <f>IF(OR(X$4="",$A511&gt;TODAY()),0,IF(OR(INDEX($B511:$D511,X$5)="F",AND(X$6&gt;0,$A511&lt;X$6),AND(X$7&gt;0,$A511&gt;X$7)),0,MAX(0,ROUND((INDEX($E511:$G511,X$5)-SUMIFS(TF_Timer,TF_Tekniker,X$4,TF_Dato,$A511))*2,0)/2)))</f>
        <v/>
      </c>
      <c r="Y511">
        <f>IF(OR(Y$4="",$A511&gt;TODAY()),0,IF(OR(INDEX($B511:$D511,Y$5)="F",AND(Y$6&gt;0,$A511&lt;Y$6),AND(Y$7&gt;0,$A511&gt;Y$7)),0,MAX(0,ROUND((INDEX($E511:$G511,Y$5)-SUMIFS(TF_Timer,TF_Tekniker,Y$4,TF_Dato,$A511))*2,0)/2)))</f>
        <v/>
      </c>
      <c r="Z511">
        <f>IF(OR(Z$4="",$A511&gt;TODAY()),0,IF(OR(INDEX($B511:$D511,Z$5)="F",AND(Z$6&gt;0,$A511&lt;Z$6),AND(Z$7&gt;0,$A511&gt;Z$7)),0,MAX(0,ROUND((INDEX($E511:$G511,Z$5)-SUMIFS(TF_Timer,TF_Tekniker,Z$4,TF_Dato,$A511))*2,0)/2)))</f>
        <v/>
      </c>
      <c r="AA511">
        <f>IF(OR(AA$4="",$A511&gt;TODAY()),0,IF(OR(INDEX($B511:$D511,AA$5)="F",AND(AA$6&gt;0,$A511&lt;AA$6),AND(AA$7&gt;0,$A511&gt;AA$7)),0,MAX(0,ROUND((INDEX($E511:$G511,AA$5)-SUMIFS(TF_Timer,TF_Tekniker,AA$4,TF_Dato,$A511))*2,0)/2)))</f>
        <v/>
      </c>
      <c r="AB511">
        <f>IF(OR(AB$4="",$A511&gt;TODAY()),0,IF(OR(INDEX($B511:$D511,AB$5)="F",AND(AB$6&gt;0,$A511&lt;AB$6),AND(AB$7&gt;0,$A511&gt;AB$7)),0,MAX(0,ROUND((INDEX($E511:$G511,AB$5)-SUMIFS(TF_Timer,TF_Tekniker,AB$4,TF_Dato,$A511))*2,0)/2)))</f>
        <v/>
      </c>
      <c r="AC511">
        <f>IF(OR(AC$4="",$A511&gt;TODAY()),0,IF(OR(INDEX($B511:$D511,AC$5)="F",AND(AC$6&gt;0,$A511&lt;AC$6),AND(AC$7&gt;0,$A511&gt;AC$7)),0,MAX(0,ROUND((INDEX($E511:$G511,AC$5)-SUMIFS(TF_Timer,TF_Tekniker,AC$4,TF_Dato,$A511))*2,0)/2)))</f>
        <v/>
      </c>
      <c r="AD511">
        <f>IF(OR(AD$4="",$A511&gt;TODAY()),0,IF(OR(INDEX($B511:$D511,AD$5)="F",AND(AD$6&gt;0,$A511&lt;AD$6),AND(AD$7&gt;0,$A511&gt;AD$7)),0,MAX(0,ROUND((INDEX($E511:$G511,AD$5)-SUMIFS(TF_Timer,TF_Tekniker,AD$4,TF_Dato,$A511))*2,0)/2)))</f>
        <v/>
      </c>
      <c r="AE511">
        <f>IF(OR(AE$4="",$A511&gt;TODAY()),0,IF(OR(INDEX($B511:$D511,AE$5)="F",AND(AE$6&gt;0,$A511&lt;AE$6),AND(AE$7&gt;0,$A511&gt;AE$7)),0,MAX(0,ROUND((INDEX($E511:$G511,AE$5)-SUMIFS(TF_Timer,TF_Tekniker,AE$4,TF_Dato,$A511))*2,0)/2)))</f>
        <v/>
      </c>
      <c r="AF511">
        <f>IF(OR(AF$4="",$A511&gt;TODAY()),0,IF(OR(INDEX($B511:$D511,AF$5)="F",AND(AF$6&gt;0,$A511&lt;AF$6),AND(AF$7&gt;0,$A511&gt;AF$7)),0,MAX(0,ROUND((INDEX($E511:$G511,AF$5)-SUMIFS(TF_Timer,TF_Tekniker,AF$4,TF_Dato,$A511))*2,0)/2)))</f>
        <v/>
      </c>
      <c r="AG511">
        <f>IF(OR(AG$4="",$A511&gt;TODAY()),0,IF(OR(INDEX($B511:$D511,AG$5)="F",AND(AG$6&gt;0,$A511&lt;AG$6),AND(AG$7&gt;0,$A511&gt;AG$7)),0,MAX(0,ROUND((INDEX($E511:$G511,AG$5)-SUMIFS(TF_Timer,TF_Tekniker,AG$4,TF_Dato,$A511))*2,0)/2)))</f>
        <v/>
      </c>
      <c r="AH511">
        <f>IF(OR(AH$4="",$A511&gt;TODAY()),0,IF(OR(INDEX($B511:$D511,AH$5)="F",AND(AH$6&gt;0,$A511&lt;AH$6),AND(AH$7&gt;0,$A511&gt;AH$7)),0,MAX(0,ROUND((INDEX($E511:$G511,AH$5)-SUMIFS(TF_Timer,TF_Tekniker,AH$4,TF_Dato,$A511))*2,0)/2)))</f>
        <v/>
      </c>
      <c r="AI511">
        <f>IF(OR(AI$4="",$A511&gt;TODAY()),0,IF(OR(INDEX($B511:$D511,AI$5)="F",AND(AI$6&gt;0,$A511&lt;AI$6),AND(AI$7&gt;0,$A511&gt;AI$7)),0,MAX(0,ROUND((INDEX($E511:$G511,AI$5)-SUMIFS(TF_Timer,TF_Tekniker,AI$4,TF_Dato,$A511))*2,0)/2)))</f>
        <v/>
      </c>
      <c r="AJ511">
        <f>IF(OR(AJ$4="",$A511&gt;TODAY()),0,IF(OR(INDEX($B511:$D511,AJ$5)="F",AND(AJ$6&gt;0,$A511&lt;AJ$6),AND(AJ$7&gt;0,$A511&gt;AJ$7)),0,MAX(0,ROUND((INDEX($E511:$G511,AJ$5)-SUMIFS(TF_Timer,TF_Tekniker,AJ$4,TF_Dato,$A511))*2,0)/2)))</f>
        <v/>
      </c>
      <c r="AK511">
        <f>IF(OR(AK$4="",$A511&gt;TODAY()),0,IF(OR(INDEX($B511:$D511,AK$5)="F",AND(AK$6&gt;0,$A511&lt;AK$6),AND(AK$7&gt;0,$A511&gt;AK$7)),0,MAX(0,ROUND((INDEX($E511:$G511,AK$5)-SUMIFS(TF_Timer,TF_Tekniker,AK$4,TF_Dato,$A511))*2,0)/2)))</f>
        <v/>
      </c>
      <c r="AL511">
        <f>IF(OR(AL$4="",$A511&gt;TODAY()),0,IF(OR(INDEX($B511:$D511,AL$5)="F",AND(AL$6&gt;0,$A511&lt;AL$6),AND(AL$7&gt;0,$A511&gt;AL$7)),0,MAX(0,ROUND((INDEX($E511:$G511,AL$5)-SUMIFS(TF_Timer,TF_Tekniker,AL$4,TF_Dato,$A511))*2,0)/2)))</f>
        <v/>
      </c>
      <c r="AM511">
        <f>IF(OR(AM$4="",$A511&gt;TODAY()),0,IF(OR(INDEX($B511:$D511,AM$5)="F",AND(AM$6&gt;0,$A511&lt;AM$6),AND(AM$7&gt;0,$A511&gt;AM$7)),0,MAX(0,ROUND((INDEX($E511:$G511,AM$5)-SUMIFS(TF_Timer,TF_Tekniker,AM$4,TF_Dato,$A511))*2,0)/2)))</f>
        <v/>
      </c>
      <c r="AN511">
        <f>IF(OR(AN$4="",$A511&gt;TODAY()),0,IF(OR(INDEX($B511:$D511,AN$5)="F",AND(AN$6&gt;0,$A511&lt;AN$6),AND(AN$7&gt;0,$A511&gt;AN$7)),0,MAX(0,ROUND((INDEX($E511:$G511,AN$5)-SUMIFS(TF_Timer,TF_Tekniker,AN$4,TF_Dato,$A511))*2,0)/2)))</f>
        <v/>
      </c>
      <c r="AO511">
        <f>IF(OR(AO$4="",$A511&gt;TODAY()),0,IF(OR(INDEX($B511:$D511,AO$5)="F",AND(AO$6&gt;0,$A511&lt;AO$6),AND(AO$7&gt;0,$A511&gt;AO$7)),0,MAX(0,ROUND((INDEX($E511:$G511,AO$5)-SUMIFS(TF_Timer,TF_Tekniker,AO$4,TF_Dato,$A511))*2,0)/2)))</f>
        <v/>
      </c>
      <c r="AP511">
        <f>IF(OR(AP$4="",$A511&gt;TODAY()),0,IF(OR(INDEX($B511:$D511,AP$5)="F",AND(AP$6&gt;0,$A511&lt;AP$6),AND(AP$7&gt;0,$A511&gt;AP$7)),0,MAX(0,ROUND((INDEX($E511:$G511,AP$5)-SUMIFS(TF_Timer,TF_Tekniker,AP$4,TF_Dato,$A511))*2,0)/2)))</f>
        <v/>
      </c>
      <c r="AQ511">
        <f>IF(OR(AQ$4="",$A511&gt;TODAY()),0,IF(OR(INDEX($B511:$D511,AQ$5)="F",AND(AQ$6&gt;0,$A511&lt;AQ$6),AND(AQ$7&gt;0,$A511&gt;AQ$7)),0,MAX(0,ROUND((INDEX($E511:$G511,AQ$5)-SUMIFS(TF_Timer,TF_Tekniker,AQ$4,TF_Dato,$A511))*2,0)/2)))</f>
        <v/>
      </c>
      <c r="AR511">
        <f>IF(OR(AR$4="",$A511&gt;TODAY()),0,IF(OR(INDEX($B511:$D511,AR$5)="F",AND(AR$6&gt;0,$A511&lt;AR$6),AND(AR$7&gt;0,$A511&gt;AR$7)),0,MAX(0,ROUND((INDEX($E511:$G511,AR$5)-SUMIFS(TF_Timer,TF_Tekniker,AR$4,TF_Dato,$A511))*2,0)/2)))</f>
        <v/>
      </c>
      <c r="AS511">
        <f>IF(OR(AS$4="",$A511&gt;TODAY()),0,IF(OR(INDEX($B511:$D511,AS$5)="F",AND(AS$6&gt;0,$A511&lt;AS$6),AND(AS$7&gt;0,$A511&gt;AS$7)),0,MAX(0,ROUND((INDEX($E511:$G511,AS$5)-SUMIFS(TF_Timer,TF_Tekniker,AS$4,TF_Dato,$A511))*2,0)/2)))</f>
        <v/>
      </c>
      <c r="AT511">
        <f>IF(OR(AT$4="",$A511&gt;TODAY()),0,IF(OR(INDEX($B511:$D511,AT$5)="F",AND(AT$6&gt;0,$A511&lt;AT$6),AND(AT$7&gt;0,$A511&gt;AT$7)),0,MAX(0,ROUND((INDEX($E511:$G511,AT$5)-SUMIFS(TF_Timer,TF_Tekniker,AT$4,TF_Dato,$A511))*2,0)/2)))</f>
        <v/>
      </c>
      <c r="AU511">
        <f>IF(OR(AU$4="",$A511&gt;TODAY()),0,IF(OR(INDEX($B511:$D511,AU$5)="F",AND(AU$6&gt;0,$A511&lt;AU$6),AND(AU$7&gt;0,$A511&gt;AU$7)),0,MAX(0,ROUND((INDEX($E511:$G511,AU$5)-SUMIFS(TF_Timer,TF_Tekniker,AU$4,TF_Dato,$A511))*2,0)/2)))</f>
        <v/>
      </c>
      <c r="AV511">
        <f>IF(OR(AV$4="",$A511&gt;TODAY()),0,IF(OR(INDEX($B511:$D511,AV$5)="F",AND(AV$6&gt;0,$A511&lt;AV$6),AND(AV$7&gt;0,$A511&gt;AV$7)),0,MAX(0,ROUND((INDEX($E511:$G511,AV$5)-SUMIFS(TF_Timer,TF_Tekniker,AV$4,TF_Dato,$A511))*2,0)/2)))</f>
        <v/>
      </c>
      <c r="AW511">
        <f>IF(OR(AW$4="",$A511&gt;TODAY()),0,IF(OR(INDEX($B511:$D511,AW$5)="F",AND(AW$6&gt;0,$A511&lt;AW$6),AND(AW$7&gt;0,$A511&gt;AW$7)),0,MAX(0,ROUND((INDEX($E511:$G511,AW$5)-SUMIFS(TF_Timer,TF_Tekniker,AW$4,TF_Dato,$A511))*2,0)/2)))</f>
        <v/>
      </c>
      <c r="AX511">
        <f>IF(OR(AX$4="",$A511&gt;TODAY()),0,IF(OR(INDEX($B511:$D511,AX$5)="F",AND(AX$6&gt;0,$A511&lt;AX$6),AND(AX$7&gt;0,$A511&gt;AX$7)),0,MAX(0,ROUND((INDEX($E511:$G511,AX$5)-SUMIFS(TF_Timer,TF_Tekniker,AX$4,TF_Dato,$A511))*2,0)/2)))</f>
        <v/>
      </c>
      <c r="AY511">
        <f>IF(OR(AY$4="",$A511&gt;TODAY()),0,IF(OR(INDEX($B511:$D511,AY$5)="F",AND(AY$6&gt;0,$A511&lt;AY$6),AND(AY$7&gt;0,$A511&gt;AY$7)),0,MAX(0,ROUND((INDEX($E511:$G511,AY$5)-SUMIFS(TF_Timer,TF_Tekniker,AY$4,TF_Dato,$A511))*2,0)/2)))</f>
        <v/>
      </c>
      <c r="AZ511">
        <f>IF(OR(AZ$4="",$A511&gt;TODAY()),0,IF(OR(INDEX($B511:$D511,AZ$5)="F",AND(AZ$6&gt;0,$A511&lt;AZ$6),AND(AZ$7&gt;0,$A511&gt;AZ$7)),0,MAX(0,ROUND((INDEX($E511:$G511,AZ$5)-SUMIFS(TF_Timer,TF_Tekniker,AZ$4,TF_Dato,$A511))*2,0)/2)))</f>
        <v/>
      </c>
      <c r="BA511">
        <f>IF(OR(BA$4="",$A511&gt;TODAY()),0,IF(OR(INDEX($B511:$D511,BA$5)="F",AND(BA$6&gt;0,$A511&lt;BA$6),AND(BA$7&gt;0,$A511&gt;BA$7)),0,MAX(0,ROUND((INDEX($E511:$G511,BA$5)-SUMIFS(TF_Timer,TF_Tekniker,BA$4,TF_Dato,$A511))*2,0)/2)))</f>
        <v/>
      </c>
      <c r="BB511">
        <f>IF(OR(BB$4="",$A511&gt;TODAY()),0,IF(OR(INDEX($B511:$D511,BB$5)="F",AND(BB$6&gt;0,$A511&lt;BB$6),AND(BB$7&gt;0,$A511&gt;BB$7)),0,MAX(0,ROUND((INDEX($E511:$G511,BB$5)-SUMIFS(TF_Timer,TF_Tekniker,BB$4,TF_Dato,$A511))*2,0)/2)))</f>
        <v/>
      </c>
      <c r="BC511">
        <f>IF(OR(BC$4="",$A511&gt;TODAY()),0,IF(OR(INDEX($B511:$D511,BC$5)="F",AND(BC$6&gt;0,$A511&lt;BC$6),AND(BC$7&gt;0,$A511&gt;BC$7)),0,MAX(0,ROUND((INDEX($E511:$G511,BC$5)-SUMIFS(TF_Timer,TF_Tekniker,BC$4,TF_Dato,$A511))*2,0)/2)))</f>
        <v/>
      </c>
      <c r="BD511">
        <f>IF(OR(BD$4="",$A511&gt;TODAY()),0,IF(OR(INDEX($B511:$D511,BD$5)="F",AND(BD$6&gt;0,$A511&lt;BD$6),AND(BD$7&gt;0,$A511&gt;BD$7)),0,MAX(0,ROUND((INDEX($E511:$G511,BD$5)-SUMIFS(TF_Timer,TF_Tekniker,BD$4,TF_Dato,$A511))*2,0)/2)))</f>
        <v/>
      </c>
      <c r="BE511">
        <f>IF(OR(BE$4="",$A511&gt;TODAY()),0,IF(OR(INDEX($B511:$D511,BE$5)="F",AND(BE$6&gt;0,$A511&lt;BE$6),AND(BE$7&gt;0,$A511&gt;BE$7)),0,MAX(0,ROUND((INDEX($E511:$G511,BE$5)-SUMIFS(TF_Timer,TF_Tekniker,BE$4,TF_Dato,$A511))*2,0)/2)))</f>
        <v/>
      </c>
      <c r="BF511">
        <f>IF(OR(BF$4="",$A511&gt;TODAY()),0,IF(OR(INDEX($B511:$D511,BF$5)="F",AND(BF$6&gt;0,$A511&lt;BF$6),AND(BF$7&gt;0,$A511&gt;BF$7)),0,MAX(0,ROUND((INDEX($E511:$G511,BF$5)-SUMIFS(TF_Timer,TF_Tekniker,BF$4,TF_Dato,$A511))*2,0)/2)))</f>
        <v/>
      </c>
      <c r="BG511">
        <f>IF(OR(BG$4="",$A511&gt;TODAY()),0,IF(OR(INDEX($B511:$D511,BG$5)="F",AND(BG$6&gt;0,$A511&lt;BG$6),AND(BG$7&gt;0,$A511&gt;BG$7)),0,MAX(0,ROUND((INDEX($E511:$G511,BG$5)-SUMIFS(TF_Timer,TF_Tekniker,BG$4,TF_Dato,$A511))*2,0)/2)))</f>
        <v/>
      </c>
      <c r="BH511">
        <f>IF(OR(BH$4="",$A511&gt;TODAY()),0,IF(OR(INDEX($B511:$D511,BH$5)="F",AND(BH$6&gt;0,$A511&lt;BH$6),AND(BH$7&gt;0,$A511&gt;BH$7)),0,MAX(0,ROUND((INDEX($E511:$G511,BH$5)-SUMIFS(TF_Timer,TF_Tekniker,BH$4,TF_Dato,$A511))*2,0)/2)))</f>
        <v/>
      </c>
      <c r="BI511">
        <f>IF(OR(BI$4="",$A511&gt;TODAY()),0,IF(OR(INDEX($B511:$D511,BI$5)="F",AND(BI$6&gt;0,$A511&lt;BI$6),AND(BI$7&gt;0,$A511&gt;BI$7)),0,MAX(0,ROUND((INDEX($E511:$G511,BI$5)-SUMIFS(TF_Timer,TF_Tekniker,BI$4,TF_Dato,$A511))*2,0)/2)))</f>
        <v/>
      </c>
    </row>
    <row r="512">
      <c r="A512" s="64">
        <f>A511+1</f>
        <v/>
      </c>
      <c r="B512">
        <f>IF(MOD($A512-INDEX(SkiftStart,1),Syklus)&lt;DagK,"K",IF(MOD($A512-INDEX(SkiftStart,1),Syklus)&lt;DagK+DagH,"H",IF(MOD($A512-INDEX(SkiftStart,1),Syklus)&lt;DagK+DagH+DagD,"D","F")))</f>
        <v/>
      </c>
      <c r="C512">
        <f>IF(MOD($A512-INDEX(SkiftStart,2),Syklus)&lt;DagK,"K",IF(MOD($A512-INDEX(SkiftStart,2),Syklus)&lt;DagK+DagH,"H",IF(MOD($A512-INDEX(SkiftStart,2),Syklus)&lt;DagK+DagH+DagD,"D","F")))</f>
        <v/>
      </c>
      <c r="D512">
        <f>IF(MOD($A512-INDEX(SkiftStart,3),Syklus)&lt;DagK,"K",IF(MOD($A512-INDEX(SkiftStart,3),Syklus)&lt;DagK+DagH,"H",IF(MOD($A512-INDEX(SkiftStart,3),Syklus)&lt;DagK+DagH+DagD,"D","F")))</f>
        <v/>
      </c>
      <c r="E512">
        <f>IF(B512="F",0,IF(WEEKDAY($A512,2)=5,INDEX(TimerFr,MATCH(B512,FaseKode,0)),INDEX(TimerMT,MATCH(B512,FaseKode,0))))</f>
        <v/>
      </c>
      <c r="F512">
        <f>IF(C512="F",0,IF(WEEKDAY($A512,2)=5,INDEX(TimerFr,MATCH(C512,FaseKode,0)),INDEX(TimerMT,MATCH(C512,FaseKode,0))))</f>
        <v/>
      </c>
      <c r="G512">
        <f>IF(D512="F",0,IF(WEEKDAY($A512,2)=5,INDEX(TimerFr,MATCH(D512,FaseKode,0)),INDEX(TimerMT,MATCH(D512,FaseKode,0))))</f>
        <v/>
      </c>
      <c r="H512">
        <f>IF(OR(H$4="",$A512&gt;TODAY()),0,IF(OR(INDEX($B512:$D512,H$5)="F",AND(H$6&gt;0,$A512&lt;H$6),AND(H$7&gt;0,$A512&gt;H$7)),0,MAX(0,ROUND((INDEX($E512:$G512,H$5)-SUMIFS(TF_Timer,TF_Tekniker,H$4,TF_Dato,$A512))*2,0)/2)))</f>
        <v/>
      </c>
      <c r="I512">
        <f>IF(OR(I$4="",$A512&gt;TODAY()),0,IF(OR(INDEX($B512:$D512,I$5)="F",AND(I$6&gt;0,$A512&lt;I$6),AND(I$7&gt;0,$A512&gt;I$7)),0,MAX(0,ROUND((INDEX($E512:$G512,I$5)-SUMIFS(TF_Timer,TF_Tekniker,I$4,TF_Dato,$A512))*2,0)/2)))</f>
        <v/>
      </c>
      <c r="J512">
        <f>IF(OR(J$4="",$A512&gt;TODAY()),0,IF(OR(INDEX($B512:$D512,J$5)="F",AND(J$6&gt;0,$A512&lt;J$6),AND(J$7&gt;0,$A512&gt;J$7)),0,MAX(0,ROUND((INDEX($E512:$G512,J$5)-SUMIFS(TF_Timer,TF_Tekniker,J$4,TF_Dato,$A512))*2,0)/2)))</f>
        <v/>
      </c>
      <c r="K512">
        <f>IF(OR(K$4="",$A512&gt;TODAY()),0,IF(OR(INDEX($B512:$D512,K$5)="F",AND(K$6&gt;0,$A512&lt;K$6),AND(K$7&gt;0,$A512&gt;K$7)),0,MAX(0,ROUND((INDEX($E512:$G512,K$5)-SUMIFS(TF_Timer,TF_Tekniker,K$4,TF_Dato,$A512))*2,0)/2)))</f>
        <v/>
      </c>
      <c r="L512">
        <f>IF(OR(L$4="",$A512&gt;TODAY()),0,IF(OR(INDEX($B512:$D512,L$5)="F",AND(L$6&gt;0,$A512&lt;L$6),AND(L$7&gt;0,$A512&gt;L$7)),0,MAX(0,ROUND((INDEX($E512:$G512,L$5)-SUMIFS(TF_Timer,TF_Tekniker,L$4,TF_Dato,$A512))*2,0)/2)))</f>
        <v/>
      </c>
      <c r="M512">
        <f>IF(OR(M$4="",$A512&gt;TODAY()),0,IF(OR(INDEX($B512:$D512,M$5)="F",AND(M$6&gt;0,$A512&lt;M$6),AND(M$7&gt;0,$A512&gt;M$7)),0,MAX(0,ROUND((INDEX($E512:$G512,M$5)-SUMIFS(TF_Timer,TF_Tekniker,M$4,TF_Dato,$A512))*2,0)/2)))</f>
        <v/>
      </c>
      <c r="N512">
        <f>IF(OR(N$4="",$A512&gt;TODAY()),0,IF(OR(INDEX($B512:$D512,N$5)="F",AND(N$6&gt;0,$A512&lt;N$6),AND(N$7&gt;0,$A512&gt;N$7)),0,MAX(0,ROUND((INDEX($E512:$G512,N$5)-SUMIFS(TF_Timer,TF_Tekniker,N$4,TF_Dato,$A512))*2,0)/2)))</f>
        <v/>
      </c>
      <c r="O512">
        <f>IF(OR(O$4="",$A512&gt;TODAY()),0,IF(OR(INDEX($B512:$D512,O$5)="F",AND(O$6&gt;0,$A512&lt;O$6),AND(O$7&gt;0,$A512&gt;O$7)),0,MAX(0,ROUND((INDEX($E512:$G512,O$5)-SUMIFS(TF_Timer,TF_Tekniker,O$4,TF_Dato,$A512))*2,0)/2)))</f>
        <v/>
      </c>
      <c r="P512">
        <f>IF(OR(P$4="",$A512&gt;TODAY()),0,IF(OR(INDEX($B512:$D512,P$5)="F",AND(P$6&gt;0,$A512&lt;P$6),AND(P$7&gt;0,$A512&gt;P$7)),0,MAX(0,ROUND((INDEX($E512:$G512,P$5)-SUMIFS(TF_Timer,TF_Tekniker,P$4,TF_Dato,$A512))*2,0)/2)))</f>
        <v/>
      </c>
      <c r="Q512">
        <f>IF(OR(Q$4="",$A512&gt;TODAY()),0,IF(OR(INDEX($B512:$D512,Q$5)="F",AND(Q$6&gt;0,$A512&lt;Q$6),AND(Q$7&gt;0,$A512&gt;Q$7)),0,MAX(0,ROUND((INDEX($E512:$G512,Q$5)-SUMIFS(TF_Timer,TF_Tekniker,Q$4,TF_Dato,$A512))*2,0)/2)))</f>
        <v/>
      </c>
      <c r="R512">
        <f>IF(OR(R$4="",$A512&gt;TODAY()),0,IF(OR(INDEX($B512:$D512,R$5)="F",AND(R$6&gt;0,$A512&lt;R$6),AND(R$7&gt;0,$A512&gt;R$7)),0,MAX(0,ROUND((INDEX($E512:$G512,R$5)-SUMIFS(TF_Timer,TF_Tekniker,R$4,TF_Dato,$A512))*2,0)/2)))</f>
        <v/>
      </c>
      <c r="S512">
        <f>IF(OR(S$4="",$A512&gt;TODAY()),0,IF(OR(INDEX($B512:$D512,S$5)="F",AND(S$6&gt;0,$A512&lt;S$6),AND(S$7&gt;0,$A512&gt;S$7)),0,MAX(0,ROUND((INDEX($E512:$G512,S$5)-SUMIFS(TF_Timer,TF_Tekniker,S$4,TF_Dato,$A512))*2,0)/2)))</f>
        <v/>
      </c>
      <c r="T512">
        <f>IF(OR(T$4="",$A512&gt;TODAY()),0,IF(OR(INDEX($B512:$D512,T$5)="F",AND(T$6&gt;0,$A512&lt;T$6),AND(T$7&gt;0,$A512&gt;T$7)),0,MAX(0,ROUND((INDEX($E512:$G512,T$5)-SUMIFS(TF_Timer,TF_Tekniker,T$4,TF_Dato,$A512))*2,0)/2)))</f>
        <v/>
      </c>
      <c r="U512">
        <f>IF(OR(U$4="",$A512&gt;TODAY()),0,IF(OR(INDEX($B512:$D512,U$5)="F",AND(U$6&gt;0,$A512&lt;U$6),AND(U$7&gt;0,$A512&gt;U$7)),0,MAX(0,ROUND((INDEX($E512:$G512,U$5)-SUMIFS(TF_Timer,TF_Tekniker,U$4,TF_Dato,$A512))*2,0)/2)))</f>
        <v/>
      </c>
      <c r="V512">
        <f>IF(OR(V$4="",$A512&gt;TODAY()),0,IF(OR(INDEX($B512:$D512,V$5)="F",AND(V$6&gt;0,$A512&lt;V$6),AND(V$7&gt;0,$A512&gt;V$7)),0,MAX(0,ROUND((INDEX($E512:$G512,V$5)-SUMIFS(TF_Timer,TF_Tekniker,V$4,TF_Dato,$A512))*2,0)/2)))</f>
        <v/>
      </c>
      <c r="W512">
        <f>IF(OR(W$4="",$A512&gt;TODAY()),0,IF(OR(INDEX($B512:$D512,W$5)="F",AND(W$6&gt;0,$A512&lt;W$6),AND(W$7&gt;0,$A512&gt;W$7)),0,MAX(0,ROUND((INDEX($E512:$G512,W$5)-SUMIFS(TF_Timer,TF_Tekniker,W$4,TF_Dato,$A512))*2,0)/2)))</f>
        <v/>
      </c>
      <c r="X512">
        <f>IF(OR(X$4="",$A512&gt;TODAY()),0,IF(OR(INDEX($B512:$D512,X$5)="F",AND(X$6&gt;0,$A512&lt;X$6),AND(X$7&gt;0,$A512&gt;X$7)),0,MAX(0,ROUND((INDEX($E512:$G512,X$5)-SUMIFS(TF_Timer,TF_Tekniker,X$4,TF_Dato,$A512))*2,0)/2)))</f>
        <v/>
      </c>
      <c r="Y512">
        <f>IF(OR(Y$4="",$A512&gt;TODAY()),0,IF(OR(INDEX($B512:$D512,Y$5)="F",AND(Y$6&gt;0,$A512&lt;Y$6),AND(Y$7&gt;0,$A512&gt;Y$7)),0,MAX(0,ROUND((INDEX($E512:$G512,Y$5)-SUMIFS(TF_Timer,TF_Tekniker,Y$4,TF_Dato,$A512))*2,0)/2)))</f>
        <v/>
      </c>
      <c r="Z512">
        <f>IF(OR(Z$4="",$A512&gt;TODAY()),0,IF(OR(INDEX($B512:$D512,Z$5)="F",AND(Z$6&gt;0,$A512&lt;Z$6),AND(Z$7&gt;0,$A512&gt;Z$7)),0,MAX(0,ROUND((INDEX($E512:$G512,Z$5)-SUMIFS(TF_Timer,TF_Tekniker,Z$4,TF_Dato,$A512))*2,0)/2)))</f>
        <v/>
      </c>
      <c r="AA512">
        <f>IF(OR(AA$4="",$A512&gt;TODAY()),0,IF(OR(INDEX($B512:$D512,AA$5)="F",AND(AA$6&gt;0,$A512&lt;AA$6),AND(AA$7&gt;0,$A512&gt;AA$7)),0,MAX(0,ROUND((INDEX($E512:$G512,AA$5)-SUMIFS(TF_Timer,TF_Tekniker,AA$4,TF_Dato,$A512))*2,0)/2)))</f>
        <v/>
      </c>
      <c r="AB512">
        <f>IF(OR(AB$4="",$A512&gt;TODAY()),0,IF(OR(INDEX($B512:$D512,AB$5)="F",AND(AB$6&gt;0,$A512&lt;AB$6),AND(AB$7&gt;0,$A512&gt;AB$7)),0,MAX(0,ROUND((INDEX($E512:$G512,AB$5)-SUMIFS(TF_Timer,TF_Tekniker,AB$4,TF_Dato,$A512))*2,0)/2)))</f>
        <v/>
      </c>
      <c r="AC512">
        <f>IF(OR(AC$4="",$A512&gt;TODAY()),0,IF(OR(INDEX($B512:$D512,AC$5)="F",AND(AC$6&gt;0,$A512&lt;AC$6),AND(AC$7&gt;0,$A512&gt;AC$7)),0,MAX(0,ROUND((INDEX($E512:$G512,AC$5)-SUMIFS(TF_Timer,TF_Tekniker,AC$4,TF_Dato,$A512))*2,0)/2)))</f>
        <v/>
      </c>
      <c r="AD512">
        <f>IF(OR(AD$4="",$A512&gt;TODAY()),0,IF(OR(INDEX($B512:$D512,AD$5)="F",AND(AD$6&gt;0,$A512&lt;AD$6),AND(AD$7&gt;0,$A512&gt;AD$7)),0,MAX(0,ROUND((INDEX($E512:$G512,AD$5)-SUMIFS(TF_Timer,TF_Tekniker,AD$4,TF_Dato,$A512))*2,0)/2)))</f>
        <v/>
      </c>
      <c r="AE512">
        <f>IF(OR(AE$4="",$A512&gt;TODAY()),0,IF(OR(INDEX($B512:$D512,AE$5)="F",AND(AE$6&gt;0,$A512&lt;AE$6),AND(AE$7&gt;0,$A512&gt;AE$7)),0,MAX(0,ROUND((INDEX($E512:$G512,AE$5)-SUMIFS(TF_Timer,TF_Tekniker,AE$4,TF_Dato,$A512))*2,0)/2)))</f>
        <v/>
      </c>
      <c r="AF512">
        <f>IF(OR(AF$4="",$A512&gt;TODAY()),0,IF(OR(INDEX($B512:$D512,AF$5)="F",AND(AF$6&gt;0,$A512&lt;AF$6),AND(AF$7&gt;0,$A512&gt;AF$7)),0,MAX(0,ROUND((INDEX($E512:$G512,AF$5)-SUMIFS(TF_Timer,TF_Tekniker,AF$4,TF_Dato,$A512))*2,0)/2)))</f>
        <v/>
      </c>
      <c r="AG512">
        <f>IF(OR(AG$4="",$A512&gt;TODAY()),0,IF(OR(INDEX($B512:$D512,AG$5)="F",AND(AG$6&gt;0,$A512&lt;AG$6),AND(AG$7&gt;0,$A512&gt;AG$7)),0,MAX(0,ROUND((INDEX($E512:$G512,AG$5)-SUMIFS(TF_Timer,TF_Tekniker,AG$4,TF_Dato,$A512))*2,0)/2)))</f>
        <v/>
      </c>
      <c r="AH512">
        <f>IF(OR(AH$4="",$A512&gt;TODAY()),0,IF(OR(INDEX($B512:$D512,AH$5)="F",AND(AH$6&gt;0,$A512&lt;AH$6),AND(AH$7&gt;0,$A512&gt;AH$7)),0,MAX(0,ROUND((INDEX($E512:$G512,AH$5)-SUMIFS(TF_Timer,TF_Tekniker,AH$4,TF_Dato,$A512))*2,0)/2)))</f>
        <v/>
      </c>
      <c r="AI512">
        <f>IF(OR(AI$4="",$A512&gt;TODAY()),0,IF(OR(INDEX($B512:$D512,AI$5)="F",AND(AI$6&gt;0,$A512&lt;AI$6),AND(AI$7&gt;0,$A512&gt;AI$7)),0,MAX(0,ROUND((INDEX($E512:$G512,AI$5)-SUMIFS(TF_Timer,TF_Tekniker,AI$4,TF_Dato,$A512))*2,0)/2)))</f>
        <v/>
      </c>
      <c r="AJ512">
        <f>IF(OR(AJ$4="",$A512&gt;TODAY()),0,IF(OR(INDEX($B512:$D512,AJ$5)="F",AND(AJ$6&gt;0,$A512&lt;AJ$6),AND(AJ$7&gt;0,$A512&gt;AJ$7)),0,MAX(0,ROUND((INDEX($E512:$G512,AJ$5)-SUMIFS(TF_Timer,TF_Tekniker,AJ$4,TF_Dato,$A512))*2,0)/2)))</f>
        <v/>
      </c>
      <c r="AK512">
        <f>IF(OR(AK$4="",$A512&gt;TODAY()),0,IF(OR(INDEX($B512:$D512,AK$5)="F",AND(AK$6&gt;0,$A512&lt;AK$6),AND(AK$7&gt;0,$A512&gt;AK$7)),0,MAX(0,ROUND((INDEX($E512:$G512,AK$5)-SUMIFS(TF_Timer,TF_Tekniker,AK$4,TF_Dato,$A512))*2,0)/2)))</f>
        <v/>
      </c>
      <c r="AL512">
        <f>IF(OR(AL$4="",$A512&gt;TODAY()),0,IF(OR(INDEX($B512:$D512,AL$5)="F",AND(AL$6&gt;0,$A512&lt;AL$6),AND(AL$7&gt;0,$A512&gt;AL$7)),0,MAX(0,ROUND((INDEX($E512:$G512,AL$5)-SUMIFS(TF_Timer,TF_Tekniker,AL$4,TF_Dato,$A512))*2,0)/2)))</f>
        <v/>
      </c>
      <c r="AM512">
        <f>IF(OR(AM$4="",$A512&gt;TODAY()),0,IF(OR(INDEX($B512:$D512,AM$5)="F",AND(AM$6&gt;0,$A512&lt;AM$6),AND(AM$7&gt;0,$A512&gt;AM$7)),0,MAX(0,ROUND((INDEX($E512:$G512,AM$5)-SUMIFS(TF_Timer,TF_Tekniker,AM$4,TF_Dato,$A512))*2,0)/2)))</f>
        <v/>
      </c>
      <c r="AN512">
        <f>IF(OR(AN$4="",$A512&gt;TODAY()),0,IF(OR(INDEX($B512:$D512,AN$5)="F",AND(AN$6&gt;0,$A512&lt;AN$6),AND(AN$7&gt;0,$A512&gt;AN$7)),0,MAX(0,ROUND((INDEX($E512:$G512,AN$5)-SUMIFS(TF_Timer,TF_Tekniker,AN$4,TF_Dato,$A512))*2,0)/2)))</f>
        <v/>
      </c>
      <c r="AO512">
        <f>IF(OR(AO$4="",$A512&gt;TODAY()),0,IF(OR(INDEX($B512:$D512,AO$5)="F",AND(AO$6&gt;0,$A512&lt;AO$6),AND(AO$7&gt;0,$A512&gt;AO$7)),0,MAX(0,ROUND((INDEX($E512:$G512,AO$5)-SUMIFS(TF_Timer,TF_Tekniker,AO$4,TF_Dato,$A512))*2,0)/2)))</f>
        <v/>
      </c>
      <c r="AP512">
        <f>IF(OR(AP$4="",$A512&gt;TODAY()),0,IF(OR(INDEX($B512:$D512,AP$5)="F",AND(AP$6&gt;0,$A512&lt;AP$6),AND(AP$7&gt;0,$A512&gt;AP$7)),0,MAX(0,ROUND((INDEX($E512:$G512,AP$5)-SUMIFS(TF_Timer,TF_Tekniker,AP$4,TF_Dato,$A512))*2,0)/2)))</f>
        <v/>
      </c>
      <c r="AQ512">
        <f>IF(OR(AQ$4="",$A512&gt;TODAY()),0,IF(OR(INDEX($B512:$D512,AQ$5)="F",AND(AQ$6&gt;0,$A512&lt;AQ$6),AND(AQ$7&gt;0,$A512&gt;AQ$7)),0,MAX(0,ROUND((INDEX($E512:$G512,AQ$5)-SUMIFS(TF_Timer,TF_Tekniker,AQ$4,TF_Dato,$A512))*2,0)/2)))</f>
        <v/>
      </c>
      <c r="AR512">
        <f>IF(OR(AR$4="",$A512&gt;TODAY()),0,IF(OR(INDEX($B512:$D512,AR$5)="F",AND(AR$6&gt;0,$A512&lt;AR$6),AND(AR$7&gt;0,$A512&gt;AR$7)),0,MAX(0,ROUND((INDEX($E512:$G512,AR$5)-SUMIFS(TF_Timer,TF_Tekniker,AR$4,TF_Dato,$A512))*2,0)/2)))</f>
        <v/>
      </c>
      <c r="AS512">
        <f>IF(OR(AS$4="",$A512&gt;TODAY()),0,IF(OR(INDEX($B512:$D512,AS$5)="F",AND(AS$6&gt;0,$A512&lt;AS$6),AND(AS$7&gt;0,$A512&gt;AS$7)),0,MAX(0,ROUND((INDEX($E512:$G512,AS$5)-SUMIFS(TF_Timer,TF_Tekniker,AS$4,TF_Dato,$A512))*2,0)/2)))</f>
        <v/>
      </c>
      <c r="AT512">
        <f>IF(OR(AT$4="",$A512&gt;TODAY()),0,IF(OR(INDEX($B512:$D512,AT$5)="F",AND(AT$6&gt;0,$A512&lt;AT$6),AND(AT$7&gt;0,$A512&gt;AT$7)),0,MAX(0,ROUND((INDEX($E512:$G512,AT$5)-SUMIFS(TF_Timer,TF_Tekniker,AT$4,TF_Dato,$A512))*2,0)/2)))</f>
        <v/>
      </c>
      <c r="AU512">
        <f>IF(OR(AU$4="",$A512&gt;TODAY()),0,IF(OR(INDEX($B512:$D512,AU$5)="F",AND(AU$6&gt;0,$A512&lt;AU$6),AND(AU$7&gt;0,$A512&gt;AU$7)),0,MAX(0,ROUND((INDEX($E512:$G512,AU$5)-SUMIFS(TF_Timer,TF_Tekniker,AU$4,TF_Dato,$A512))*2,0)/2)))</f>
        <v/>
      </c>
      <c r="AV512">
        <f>IF(OR(AV$4="",$A512&gt;TODAY()),0,IF(OR(INDEX($B512:$D512,AV$5)="F",AND(AV$6&gt;0,$A512&lt;AV$6),AND(AV$7&gt;0,$A512&gt;AV$7)),0,MAX(0,ROUND((INDEX($E512:$G512,AV$5)-SUMIFS(TF_Timer,TF_Tekniker,AV$4,TF_Dato,$A512))*2,0)/2)))</f>
        <v/>
      </c>
      <c r="AW512">
        <f>IF(OR(AW$4="",$A512&gt;TODAY()),0,IF(OR(INDEX($B512:$D512,AW$5)="F",AND(AW$6&gt;0,$A512&lt;AW$6),AND(AW$7&gt;0,$A512&gt;AW$7)),0,MAX(0,ROUND((INDEX($E512:$G512,AW$5)-SUMIFS(TF_Timer,TF_Tekniker,AW$4,TF_Dato,$A512))*2,0)/2)))</f>
        <v/>
      </c>
      <c r="AX512">
        <f>IF(OR(AX$4="",$A512&gt;TODAY()),0,IF(OR(INDEX($B512:$D512,AX$5)="F",AND(AX$6&gt;0,$A512&lt;AX$6),AND(AX$7&gt;0,$A512&gt;AX$7)),0,MAX(0,ROUND((INDEX($E512:$G512,AX$5)-SUMIFS(TF_Timer,TF_Tekniker,AX$4,TF_Dato,$A512))*2,0)/2)))</f>
        <v/>
      </c>
      <c r="AY512">
        <f>IF(OR(AY$4="",$A512&gt;TODAY()),0,IF(OR(INDEX($B512:$D512,AY$5)="F",AND(AY$6&gt;0,$A512&lt;AY$6),AND(AY$7&gt;0,$A512&gt;AY$7)),0,MAX(0,ROUND((INDEX($E512:$G512,AY$5)-SUMIFS(TF_Timer,TF_Tekniker,AY$4,TF_Dato,$A512))*2,0)/2)))</f>
        <v/>
      </c>
      <c r="AZ512">
        <f>IF(OR(AZ$4="",$A512&gt;TODAY()),0,IF(OR(INDEX($B512:$D512,AZ$5)="F",AND(AZ$6&gt;0,$A512&lt;AZ$6),AND(AZ$7&gt;0,$A512&gt;AZ$7)),0,MAX(0,ROUND((INDEX($E512:$G512,AZ$5)-SUMIFS(TF_Timer,TF_Tekniker,AZ$4,TF_Dato,$A512))*2,0)/2)))</f>
        <v/>
      </c>
      <c r="BA512">
        <f>IF(OR(BA$4="",$A512&gt;TODAY()),0,IF(OR(INDEX($B512:$D512,BA$5)="F",AND(BA$6&gt;0,$A512&lt;BA$6),AND(BA$7&gt;0,$A512&gt;BA$7)),0,MAX(0,ROUND((INDEX($E512:$G512,BA$5)-SUMIFS(TF_Timer,TF_Tekniker,BA$4,TF_Dato,$A512))*2,0)/2)))</f>
        <v/>
      </c>
      <c r="BB512">
        <f>IF(OR(BB$4="",$A512&gt;TODAY()),0,IF(OR(INDEX($B512:$D512,BB$5)="F",AND(BB$6&gt;0,$A512&lt;BB$6),AND(BB$7&gt;0,$A512&gt;BB$7)),0,MAX(0,ROUND((INDEX($E512:$G512,BB$5)-SUMIFS(TF_Timer,TF_Tekniker,BB$4,TF_Dato,$A512))*2,0)/2)))</f>
        <v/>
      </c>
      <c r="BC512">
        <f>IF(OR(BC$4="",$A512&gt;TODAY()),0,IF(OR(INDEX($B512:$D512,BC$5)="F",AND(BC$6&gt;0,$A512&lt;BC$6),AND(BC$7&gt;0,$A512&gt;BC$7)),0,MAX(0,ROUND((INDEX($E512:$G512,BC$5)-SUMIFS(TF_Timer,TF_Tekniker,BC$4,TF_Dato,$A512))*2,0)/2)))</f>
        <v/>
      </c>
      <c r="BD512">
        <f>IF(OR(BD$4="",$A512&gt;TODAY()),0,IF(OR(INDEX($B512:$D512,BD$5)="F",AND(BD$6&gt;0,$A512&lt;BD$6),AND(BD$7&gt;0,$A512&gt;BD$7)),0,MAX(0,ROUND((INDEX($E512:$G512,BD$5)-SUMIFS(TF_Timer,TF_Tekniker,BD$4,TF_Dato,$A512))*2,0)/2)))</f>
        <v/>
      </c>
      <c r="BE512">
        <f>IF(OR(BE$4="",$A512&gt;TODAY()),0,IF(OR(INDEX($B512:$D512,BE$5)="F",AND(BE$6&gt;0,$A512&lt;BE$6),AND(BE$7&gt;0,$A512&gt;BE$7)),0,MAX(0,ROUND((INDEX($E512:$G512,BE$5)-SUMIFS(TF_Timer,TF_Tekniker,BE$4,TF_Dato,$A512))*2,0)/2)))</f>
        <v/>
      </c>
      <c r="BF512">
        <f>IF(OR(BF$4="",$A512&gt;TODAY()),0,IF(OR(INDEX($B512:$D512,BF$5)="F",AND(BF$6&gt;0,$A512&lt;BF$6),AND(BF$7&gt;0,$A512&gt;BF$7)),0,MAX(0,ROUND((INDEX($E512:$G512,BF$5)-SUMIFS(TF_Timer,TF_Tekniker,BF$4,TF_Dato,$A512))*2,0)/2)))</f>
        <v/>
      </c>
      <c r="BG512">
        <f>IF(OR(BG$4="",$A512&gt;TODAY()),0,IF(OR(INDEX($B512:$D512,BG$5)="F",AND(BG$6&gt;0,$A512&lt;BG$6),AND(BG$7&gt;0,$A512&gt;BG$7)),0,MAX(0,ROUND((INDEX($E512:$G512,BG$5)-SUMIFS(TF_Timer,TF_Tekniker,BG$4,TF_Dato,$A512))*2,0)/2)))</f>
        <v/>
      </c>
      <c r="BH512">
        <f>IF(OR(BH$4="",$A512&gt;TODAY()),0,IF(OR(INDEX($B512:$D512,BH$5)="F",AND(BH$6&gt;0,$A512&lt;BH$6),AND(BH$7&gt;0,$A512&gt;BH$7)),0,MAX(0,ROUND((INDEX($E512:$G512,BH$5)-SUMIFS(TF_Timer,TF_Tekniker,BH$4,TF_Dato,$A512))*2,0)/2)))</f>
        <v/>
      </c>
      <c r="BI512">
        <f>IF(OR(BI$4="",$A512&gt;TODAY()),0,IF(OR(INDEX($B512:$D512,BI$5)="F",AND(BI$6&gt;0,$A512&lt;BI$6),AND(BI$7&gt;0,$A512&gt;BI$7)),0,MAX(0,ROUND((INDEX($E512:$G512,BI$5)-SUMIFS(TF_Timer,TF_Tekniker,BI$4,TF_Dato,$A512))*2,0)/2)))</f>
        <v/>
      </c>
    </row>
    <row r="513">
      <c r="A513" s="64">
        <f>A512+1</f>
        <v/>
      </c>
      <c r="B513">
        <f>IF(MOD($A513-INDEX(SkiftStart,1),Syklus)&lt;DagK,"K",IF(MOD($A513-INDEX(SkiftStart,1),Syklus)&lt;DagK+DagH,"H",IF(MOD($A513-INDEX(SkiftStart,1),Syklus)&lt;DagK+DagH+DagD,"D","F")))</f>
        <v/>
      </c>
      <c r="C513">
        <f>IF(MOD($A513-INDEX(SkiftStart,2),Syklus)&lt;DagK,"K",IF(MOD($A513-INDEX(SkiftStart,2),Syklus)&lt;DagK+DagH,"H",IF(MOD($A513-INDEX(SkiftStart,2),Syklus)&lt;DagK+DagH+DagD,"D","F")))</f>
        <v/>
      </c>
      <c r="D513">
        <f>IF(MOD($A513-INDEX(SkiftStart,3),Syklus)&lt;DagK,"K",IF(MOD($A513-INDEX(SkiftStart,3),Syklus)&lt;DagK+DagH,"H",IF(MOD($A513-INDEX(SkiftStart,3),Syklus)&lt;DagK+DagH+DagD,"D","F")))</f>
        <v/>
      </c>
      <c r="E513">
        <f>IF(B513="F",0,IF(WEEKDAY($A513,2)=5,INDEX(TimerFr,MATCH(B513,FaseKode,0)),INDEX(TimerMT,MATCH(B513,FaseKode,0))))</f>
        <v/>
      </c>
      <c r="F513">
        <f>IF(C513="F",0,IF(WEEKDAY($A513,2)=5,INDEX(TimerFr,MATCH(C513,FaseKode,0)),INDEX(TimerMT,MATCH(C513,FaseKode,0))))</f>
        <v/>
      </c>
      <c r="G513">
        <f>IF(D513="F",0,IF(WEEKDAY($A513,2)=5,INDEX(TimerFr,MATCH(D513,FaseKode,0)),INDEX(TimerMT,MATCH(D513,FaseKode,0))))</f>
        <v/>
      </c>
      <c r="H513">
        <f>IF(OR(H$4="",$A513&gt;TODAY()),0,IF(OR(INDEX($B513:$D513,H$5)="F",AND(H$6&gt;0,$A513&lt;H$6),AND(H$7&gt;0,$A513&gt;H$7)),0,MAX(0,ROUND((INDEX($E513:$G513,H$5)-SUMIFS(TF_Timer,TF_Tekniker,H$4,TF_Dato,$A513))*2,0)/2)))</f>
        <v/>
      </c>
      <c r="I513">
        <f>IF(OR(I$4="",$A513&gt;TODAY()),0,IF(OR(INDEX($B513:$D513,I$5)="F",AND(I$6&gt;0,$A513&lt;I$6),AND(I$7&gt;0,$A513&gt;I$7)),0,MAX(0,ROUND((INDEX($E513:$G513,I$5)-SUMIFS(TF_Timer,TF_Tekniker,I$4,TF_Dato,$A513))*2,0)/2)))</f>
        <v/>
      </c>
      <c r="J513">
        <f>IF(OR(J$4="",$A513&gt;TODAY()),0,IF(OR(INDEX($B513:$D513,J$5)="F",AND(J$6&gt;0,$A513&lt;J$6),AND(J$7&gt;0,$A513&gt;J$7)),0,MAX(0,ROUND((INDEX($E513:$G513,J$5)-SUMIFS(TF_Timer,TF_Tekniker,J$4,TF_Dato,$A513))*2,0)/2)))</f>
        <v/>
      </c>
      <c r="K513">
        <f>IF(OR(K$4="",$A513&gt;TODAY()),0,IF(OR(INDEX($B513:$D513,K$5)="F",AND(K$6&gt;0,$A513&lt;K$6),AND(K$7&gt;0,$A513&gt;K$7)),0,MAX(0,ROUND((INDEX($E513:$G513,K$5)-SUMIFS(TF_Timer,TF_Tekniker,K$4,TF_Dato,$A513))*2,0)/2)))</f>
        <v/>
      </c>
      <c r="L513">
        <f>IF(OR(L$4="",$A513&gt;TODAY()),0,IF(OR(INDEX($B513:$D513,L$5)="F",AND(L$6&gt;0,$A513&lt;L$6),AND(L$7&gt;0,$A513&gt;L$7)),0,MAX(0,ROUND((INDEX($E513:$G513,L$5)-SUMIFS(TF_Timer,TF_Tekniker,L$4,TF_Dato,$A513))*2,0)/2)))</f>
        <v/>
      </c>
      <c r="M513">
        <f>IF(OR(M$4="",$A513&gt;TODAY()),0,IF(OR(INDEX($B513:$D513,M$5)="F",AND(M$6&gt;0,$A513&lt;M$6),AND(M$7&gt;0,$A513&gt;M$7)),0,MAX(0,ROUND((INDEX($E513:$G513,M$5)-SUMIFS(TF_Timer,TF_Tekniker,M$4,TF_Dato,$A513))*2,0)/2)))</f>
        <v/>
      </c>
      <c r="N513">
        <f>IF(OR(N$4="",$A513&gt;TODAY()),0,IF(OR(INDEX($B513:$D513,N$5)="F",AND(N$6&gt;0,$A513&lt;N$6),AND(N$7&gt;0,$A513&gt;N$7)),0,MAX(0,ROUND((INDEX($E513:$G513,N$5)-SUMIFS(TF_Timer,TF_Tekniker,N$4,TF_Dato,$A513))*2,0)/2)))</f>
        <v/>
      </c>
      <c r="O513">
        <f>IF(OR(O$4="",$A513&gt;TODAY()),0,IF(OR(INDEX($B513:$D513,O$5)="F",AND(O$6&gt;0,$A513&lt;O$6),AND(O$7&gt;0,$A513&gt;O$7)),0,MAX(0,ROUND((INDEX($E513:$G513,O$5)-SUMIFS(TF_Timer,TF_Tekniker,O$4,TF_Dato,$A513))*2,0)/2)))</f>
        <v/>
      </c>
      <c r="P513">
        <f>IF(OR(P$4="",$A513&gt;TODAY()),0,IF(OR(INDEX($B513:$D513,P$5)="F",AND(P$6&gt;0,$A513&lt;P$6),AND(P$7&gt;0,$A513&gt;P$7)),0,MAX(0,ROUND((INDEX($E513:$G513,P$5)-SUMIFS(TF_Timer,TF_Tekniker,P$4,TF_Dato,$A513))*2,0)/2)))</f>
        <v/>
      </c>
      <c r="Q513">
        <f>IF(OR(Q$4="",$A513&gt;TODAY()),0,IF(OR(INDEX($B513:$D513,Q$5)="F",AND(Q$6&gt;0,$A513&lt;Q$6),AND(Q$7&gt;0,$A513&gt;Q$7)),0,MAX(0,ROUND((INDEX($E513:$G513,Q$5)-SUMIFS(TF_Timer,TF_Tekniker,Q$4,TF_Dato,$A513))*2,0)/2)))</f>
        <v/>
      </c>
      <c r="R513">
        <f>IF(OR(R$4="",$A513&gt;TODAY()),0,IF(OR(INDEX($B513:$D513,R$5)="F",AND(R$6&gt;0,$A513&lt;R$6),AND(R$7&gt;0,$A513&gt;R$7)),0,MAX(0,ROUND((INDEX($E513:$G513,R$5)-SUMIFS(TF_Timer,TF_Tekniker,R$4,TF_Dato,$A513))*2,0)/2)))</f>
        <v/>
      </c>
      <c r="S513">
        <f>IF(OR(S$4="",$A513&gt;TODAY()),0,IF(OR(INDEX($B513:$D513,S$5)="F",AND(S$6&gt;0,$A513&lt;S$6),AND(S$7&gt;0,$A513&gt;S$7)),0,MAX(0,ROUND((INDEX($E513:$G513,S$5)-SUMIFS(TF_Timer,TF_Tekniker,S$4,TF_Dato,$A513))*2,0)/2)))</f>
        <v/>
      </c>
      <c r="T513">
        <f>IF(OR(T$4="",$A513&gt;TODAY()),0,IF(OR(INDEX($B513:$D513,T$5)="F",AND(T$6&gt;0,$A513&lt;T$6),AND(T$7&gt;0,$A513&gt;T$7)),0,MAX(0,ROUND((INDEX($E513:$G513,T$5)-SUMIFS(TF_Timer,TF_Tekniker,T$4,TF_Dato,$A513))*2,0)/2)))</f>
        <v/>
      </c>
      <c r="U513">
        <f>IF(OR(U$4="",$A513&gt;TODAY()),0,IF(OR(INDEX($B513:$D513,U$5)="F",AND(U$6&gt;0,$A513&lt;U$6),AND(U$7&gt;0,$A513&gt;U$7)),0,MAX(0,ROUND((INDEX($E513:$G513,U$5)-SUMIFS(TF_Timer,TF_Tekniker,U$4,TF_Dato,$A513))*2,0)/2)))</f>
        <v/>
      </c>
      <c r="V513">
        <f>IF(OR(V$4="",$A513&gt;TODAY()),0,IF(OR(INDEX($B513:$D513,V$5)="F",AND(V$6&gt;0,$A513&lt;V$6),AND(V$7&gt;0,$A513&gt;V$7)),0,MAX(0,ROUND((INDEX($E513:$G513,V$5)-SUMIFS(TF_Timer,TF_Tekniker,V$4,TF_Dato,$A513))*2,0)/2)))</f>
        <v/>
      </c>
      <c r="W513">
        <f>IF(OR(W$4="",$A513&gt;TODAY()),0,IF(OR(INDEX($B513:$D513,W$5)="F",AND(W$6&gt;0,$A513&lt;W$6),AND(W$7&gt;0,$A513&gt;W$7)),0,MAX(0,ROUND((INDEX($E513:$G513,W$5)-SUMIFS(TF_Timer,TF_Tekniker,W$4,TF_Dato,$A513))*2,0)/2)))</f>
        <v/>
      </c>
      <c r="X513">
        <f>IF(OR(X$4="",$A513&gt;TODAY()),0,IF(OR(INDEX($B513:$D513,X$5)="F",AND(X$6&gt;0,$A513&lt;X$6),AND(X$7&gt;0,$A513&gt;X$7)),0,MAX(0,ROUND((INDEX($E513:$G513,X$5)-SUMIFS(TF_Timer,TF_Tekniker,X$4,TF_Dato,$A513))*2,0)/2)))</f>
        <v/>
      </c>
      <c r="Y513">
        <f>IF(OR(Y$4="",$A513&gt;TODAY()),0,IF(OR(INDEX($B513:$D513,Y$5)="F",AND(Y$6&gt;0,$A513&lt;Y$6),AND(Y$7&gt;0,$A513&gt;Y$7)),0,MAX(0,ROUND((INDEX($E513:$G513,Y$5)-SUMIFS(TF_Timer,TF_Tekniker,Y$4,TF_Dato,$A513))*2,0)/2)))</f>
        <v/>
      </c>
      <c r="Z513">
        <f>IF(OR(Z$4="",$A513&gt;TODAY()),0,IF(OR(INDEX($B513:$D513,Z$5)="F",AND(Z$6&gt;0,$A513&lt;Z$6),AND(Z$7&gt;0,$A513&gt;Z$7)),0,MAX(0,ROUND((INDEX($E513:$G513,Z$5)-SUMIFS(TF_Timer,TF_Tekniker,Z$4,TF_Dato,$A513))*2,0)/2)))</f>
        <v/>
      </c>
      <c r="AA513">
        <f>IF(OR(AA$4="",$A513&gt;TODAY()),0,IF(OR(INDEX($B513:$D513,AA$5)="F",AND(AA$6&gt;0,$A513&lt;AA$6),AND(AA$7&gt;0,$A513&gt;AA$7)),0,MAX(0,ROUND((INDEX($E513:$G513,AA$5)-SUMIFS(TF_Timer,TF_Tekniker,AA$4,TF_Dato,$A513))*2,0)/2)))</f>
        <v/>
      </c>
      <c r="AB513">
        <f>IF(OR(AB$4="",$A513&gt;TODAY()),0,IF(OR(INDEX($B513:$D513,AB$5)="F",AND(AB$6&gt;0,$A513&lt;AB$6),AND(AB$7&gt;0,$A513&gt;AB$7)),0,MAX(0,ROUND((INDEX($E513:$G513,AB$5)-SUMIFS(TF_Timer,TF_Tekniker,AB$4,TF_Dato,$A513))*2,0)/2)))</f>
        <v/>
      </c>
      <c r="AC513">
        <f>IF(OR(AC$4="",$A513&gt;TODAY()),0,IF(OR(INDEX($B513:$D513,AC$5)="F",AND(AC$6&gt;0,$A513&lt;AC$6),AND(AC$7&gt;0,$A513&gt;AC$7)),0,MAX(0,ROUND((INDEX($E513:$G513,AC$5)-SUMIFS(TF_Timer,TF_Tekniker,AC$4,TF_Dato,$A513))*2,0)/2)))</f>
        <v/>
      </c>
      <c r="AD513">
        <f>IF(OR(AD$4="",$A513&gt;TODAY()),0,IF(OR(INDEX($B513:$D513,AD$5)="F",AND(AD$6&gt;0,$A513&lt;AD$6),AND(AD$7&gt;0,$A513&gt;AD$7)),0,MAX(0,ROUND((INDEX($E513:$G513,AD$5)-SUMIFS(TF_Timer,TF_Tekniker,AD$4,TF_Dato,$A513))*2,0)/2)))</f>
        <v/>
      </c>
      <c r="AE513">
        <f>IF(OR(AE$4="",$A513&gt;TODAY()),0,IF(OR(INDEX($B513:$D513,AE$5)="F",AND(AE$6&gt;0,$A513&lt;AE$6),AND(AE$7&gt;0,$A513&gt;AE$7)),0,MAX(0,ROUND((INDEX($E513:$G513,AE$5)-SUMIFS(TF_Timer,TF_Tekniker,AE$4,TF_Dato,$A513))*2,0)/2)))</f>
        <v/>
      </c>
      <c r="AF513">
        <f>IF(OR(AF$4="",$A513&gt;TODAY()),0,IF(OR(INDEX($B513:$D513,AF$5)="F",AND(AF$6&gt;0,$A513&lt;AF$6),AND(AF$7&gt;0,$A513&gt;AF$7)),0,MAX(0,ROUND((INDEX($E513:$G513,AF$5)-SUMIFS(TF_Timer,TF_Tekniker,AF$4,TF_Dato,$A513))*2,0)/2)))</f>
        <v/>
      </c>
      <c r="AG513">
        <f>IF(OR(AG$4="",$A513&gt;TODAY()),0,IF(OR(INDEX($B513:$D513,AG$5)="F",AND(AG$6&gt;0,$A513&lt;AG$6),AND(AG$7&gt;0,$A513&gt;AG$7)),0,MAX(0,ROUND((INDEX($E513:$G513,AG$5)-SUMIFS(TF_Timer,TF_Tekniker,AG$4,TF_Dato,$A513))*2,0)/2)))</f>
        <v/>
      </c>
      <c r="AH513">
        <f>IF(OR(AH$4="",$A513&gt;TODAY()),0,IF(OR(INDEX($B513:$D513,AH$5)="F",AND(AH$6&gt;0,$A513&lt;AH$6),AND(AH$7&gt;0,$A513&gt;AH$7)),0,MAX(0,ROUND((INDEX($E513:$G513,AH$5)-SUMIFS(TF_Timer,TF_Tekniker,AH$4,TF_Dato,$A513))*2,0)/2)))</f>
        <v/>
      </c>
      <c r="AI513">
        <f>IF(OR(AI$4="",$A513&gt;TODAY()),0,IF(OR(INDEX($B513:$D513,AI$5)="F",AND(AI$6&gt;0,$A513&lt;AI$6),AND(AI$7&gt;0,$A513&gt;AI$7)),0,MAX(0,ROUND((INDEX($E513:$G513,AI$5)-SUMIFS(TF_Timer,TF_Tekniker,AI$4,TF_Dato,$A513))*2,0)/2)))</f>
        <v/>
      </c>
      <c r="AJ513">
        <f>IF(OR(AJ$4="",$A513&gt;TODAY()),0,IF(OR(INDEX($B513:$D513,AJ$5)="F",AND(AJ$6&gt;0,$A513&lt;AJ$6),AND(AJ$7&gt;0,$A513&gt;AJ$7)),0,MAX(0,ROUND((INDEX($E513:$G513,AJ$5)-SUMIFS(TF_Timer,TF_Tekniker,AJ$4,TF_Dato,$A513))*2,0)/2)))</f>
        <v/>
      </c>
      <c r="AK513">
        <f>IF(OR(AK$4="",$A513&gt;TODAY()),0,IF(OR(INDEX($B513:$D513,AK$5)="F",AND(AK$6&gt;0,$A513&lt;AK$6),AND(AK$7&gt;0,$A513&gt;AK$7)),0,MAX(0,ROUND((INDEX($E513:$G513,AK$5)-SUMIFS(TF_Timer,TF_Tekniker,AK$4,TF_Dato,$A513))*2,0)/2)))</f>
        <v/>
      </c>
      <c r="AL513">
        <f>IF(OR(AL$4="",$A513&gt;TODAY()),0,IF(OR(INDEX($B513:$D513,AL$5)="F",AND(AL$6&gt;0,$A513&lt;AL$6),AND(AL$7&gt;0,$A513&gt;AL$7)),0,MAX(0,ROUND((INDEX($E513:$G513,AL$5)-SUMIFS(TF_Timer,TF_Tekniker,AL$4,TF_Dato,$A513))*2,0)/2)))</f>
        <v/>
      </c>
      <c r="AM513">
        <f>IF(OR(AM$4="",$A513&gt;TODAY()),0,IF(OR(INDEX($B513:$D513,AM$5)="F",AND(AM$6&gt;0,$A513&lt;AM$6),AND(AM$7&gt;0,$A513&gt;AM$7)),0,MAX(0,ROUND((INDEX($E513:$G513,AM$5)-SUMIFS(TF_Timer,TF_Tekniker,AM$4,TF_Dato,$A513))*2,0)/2)))</f>
        <v/>
      </c>
      <c r="AN513">
        <f>IF(OR(AN$4="",$A513&gt;TODAY()),0,IF(OR(INDEX($B513:$D513,AN$5)="F",AND(AN$6&gt;0,$A513&lt;AN$6),AND(AN$7&gt;0,$A513&gt;AN$7)),0,MAX(0,ROUND((INDEX($E513:$G513,AN$5)-SUMIFS(TF_Timer,TF_Tekniker,AN$4,TF_Dato,$A513))*2,0)/2)))</f>
        <v/>
      </c>
      <c r="AO513">
        <f>IF(OR(AO$4="",$A513&gt;TODAY()),0,IF(OR(INDEX($B513:$D513,AO$5)="F",AND(AO$6&gt;0,$A513&lt;AO$6),AND(AO$7&gt;0,$A513&gt;AO$7)),0,MAX(0,ROUND((INDEX($E513:$G513,AO$5)-SUMIFS(TF_Timer,TF_Tekniker,AO$4,TF_Dato,$A513))*2,0)/2)))</f>
        <v/>
      </c>
      <c r="AP513">
        <f>IF(OR(AP$4="",$A513&gt;TODAY()),0,IF(OR(INDEX($B513:$D513,AP$5)="F",AND(AP$6&gt;0,$A513&lt;AP$6),AND(AP$7&gt;0,$A513&gt;AP$7)),0,MAX(0,ROUND((INDEX($E513:$G513,AP$5)-SUMIFS(TF_Timer,TF_Tekniker,AP$4,TF_Dato,$A513))*2,0)/2)))</f>
        <v/>
      </c>
      <c r="AQ513">
        <f>IF(OR(AQ$4="",$A513&gt;TODAY()),0,IF(OR(INDEX($B513:$D513,AQ$5)="F",AND(AQ$6&gt;0,$A513&lt;AQ$6),AND(AQ$7&gt;0,$A513&gt;AQ$7)),0,MAX(0,ROUND((INDEX($E513:$G513,AQ$5)-SUMIFS(TF_Timer,TF_Tekniker,AQ$4,TF_Dato,$A513))*2,0)/2)))</f>
        <v/>
      </c>
      <c r="AR513">
        <f>IF(OR(AR$4="",$A513&gt;TODAY()),0,IF(OR(INDEX($B513:$D513,AR$5)="F",AND(AR$6&gt;0,$A513&lt;AR$6),AND(AR$7&gt;0,$A513&gt;AR$7)),0,MAX(0,ROUND((INDEX($E513:$G513,AR$5)-SUMIFS(TF_Timer,TF_Tekniker,AR$4,TF_Dato,$A513))*2,0)/2)))</f>
        <v/>
      </c>
      <c r="AS513">
        <f>IF(OR(AS$4="",$A513&gt;TODAY()),0,IF(OR(INDEX($B513:$D513,AS$5)="F",AND(AS$6&gt;0,$A513&lt;AS$6),AND(AS$7&gt;0,$A513&gt;AS$7)),0,MAX(0,ROUND((INDEX($E513:$G513,AS$5)-SUMIFS(TF_Timer,TF_Tekniker,AS$4,TF_Dato,$A513))*2,0)/2)))</f>
        <v/>
      </c>
      <c r="AT513">
        <f>IF(OR(AT$4="",$A513&gt;TODAY()),0,IF(OR(INDEX($B513:$D513,AT$5)="F",AND(AT$6&gt;0,$A513&lt;AT$6),AND(AT$7&gt;0,$A513&gt;AT$7)),0,MAX(0,ROUND((INDEX($E513:$G513,AT$5)-SUMIFS(TF_Timer,TF_Tekniker,AT$4,TF_Dato,$A513))*2,0)/2)))</f>
        <v/>
      </c>
      <c r="AU513">
        <f>IF(OR(AU$4="",$A513&gt;TODAY()),0,IF(OR(INDEX($B513:$D513,AU$5)="F",AND(AU$6&gt;0,$A513&lt;AU$6),AND(AU$7&gt;0,$A513&gt;AU$7)),0,MAX(0,ROUND((INDEX($E513:$G513,AU$5)-SUMIFS(TF_Timer,TF_Tekniker,AU$4,TF_Dato,$A513))*2,0)/2)))</f>
        <v/>
      </c>
      <c r="AV513">
        <f>IF(OR(AV$4="",$A513&gt;TODAY()),0,IF(OR(INDEX($B513:$D513,AV$5)="F",AND(AV$6&gt;0,$A513&lt;AV$6),AND(AV$7&gt;0,$A513&gt;AV$7)),0,MAX(0,ROUND((INDEX($E513:$G513,AV$5)-SUMIFS(TF_Timer,TF_Tekniker,AV$4,TF_Dato,$A513))*2,0)/2)))</f>
        <v/>
      </c>
      <c r="AW513">
        <f>IF(OR(AW$4="",$A513&gt;TODAY()),0,IF(OR(INDEX($B513:$D513,AW$5)="F",AND(AW$6&gt;0,$A513&lt;AW$6),AND(AW$7&gt;0,$A513&gt;AW$7)),0,MAX(0,ROUND((INDEX($E513:$G513,AW$5)-SUMIFS(TF_Timer,TF_Tekniker,AW$4,TF_Dato,$A513))*2,0)/2)))</f>
        <v/>
      </c>
      <c r="AX513">
        <f>IF(OR(AX$4="",$A513&gt;TODAY()),0,IF(OR(INDEX($B513:$D513,AX$5)="F",AND(AX$6&gt;0,$A513&lt;AX$6),AND(AX$7&gt;0,$A513&gt;AX$7)),0,MAX(0,ROUND((INDEX($E513:$G513,AX$5)-SUMIFS(TF_Timer,TF_Tekniker,AX$4,TF_Dato,$A513))*2,0)/2)))</f>
        <v/>
      </c>
      <c r="AY513">
        <f>IF(OR(AY$4="",$A513&gt;TODAY()),0,IF(OR(INDEX($B513:$D513,AY$5)="F",AND(AY$6&gt;0,$A513&lt;AY$6),AND(AY$7&gt;0,$A513&gt;AY$7)),0,MAX(0,ROUND((INDEX($E513:$G513,AY$5)-SUMIFS(TF_Timer,TF_Tekniker,AY$4,TF_Dato,$A513))*2,0)/2)))</f>
        <v/>
      </c>
      <c r="AZ513">
        <f>IF(OR(AZ$4="",$A513&gt;TODAY()),0,IF(OR(INDEX($B513:$D513,AZ$5)="F",AND(AZ$6&gt;0,$A513&lt;AZ$6),AND(AZ$7&gt;0,$A513&gt;AZ$7)),0,MAX(0,ROUND((INDEX($E513:$G513,AZ$5)-SUMIFS(TF_Timer,TF_Tekniker,AZ$4,TF_Dato,$A513))*2,0)/2)))</f>
        <v/>
      </c>
      <c r="BA513">
        <f>IF(OR(BA$4="",$A513&gt;TODAY()),0,IF(OR(INDEX($B513:$D513,BA$5)="F",AND(BA$6&gt;0,$A513&lt;BA$6),AND(BA$7&gt;0,$A513&gt;BA$7)),0,MAX(0,ROUND((INDEX($E513:$G513,BA$5)-SUMIFS(TF_Timer,TF_Tekniker,BA$4,TF_Dato,$A513))*2,0)/2)))</f>
        <v/>
      </c>
      <c r="BB513">
        <f>IF(OR(BB$4="",$A513&gt;TODAY()),0,IF(OR(INDEX($B513:$D513,BB$5)="F",AND(BB$6&gt;0,$A513&lt;BB$6),AND(BB$7&gt;0,$A513&gt;BB$7)),0,MAX(0,ROUND((INDEX($E513:$G513,BB$5)-SUMIFS(TF_Timer,TF_Tekniker,BB$4,TF_Dato,$A513))*2,0)/2)))</f>
        <v/>
      </c>
      <c r="BC513">
        <f>IF(OR(BC$4="",$A513&gt;TODAY()),0,IF(OR(INDEX($B513:$D513,BC$5)="F",AND(BC$6&gt;0,$A513&lt;BC$6),AND(BC$7&gt;0,$A513&gt;BC$7)),0,MAX(0,ROUND((INDEX($E513:$G513,BC$5)-SUMIFS(TF_Timer,TF_Tekniker,BC$4,TF_Dato,$A513))*2,0)/2)))</f>
        <v/>
      </c>
      <c r="BD513">
        <f>IF(OR(BD$4="",$A513&gt;TODAY()),0,IF(OR(INDEX($B513:$D513,BD$5)="F",AND(BD$6&gt;0,$A513&lt;BD$6),AND(BD$7&gt;0,$A513&gt;BD$7)),0,MAX(0,ROUND((INDEX($E513:$G513,BD$5)-SUMIFS(TF_Timer,TF_Tekniker,BD$4,TF_Dato,$A513))*2,0)/2)))</f>
        <v/>
      </c>
      <c r="BE513">
        <f>IF(OR(BE$4="",$A513&gt;TODAY()),0,IF(OR(INDEX($B513:$D513,BE$5)="F",AND(BE$6&gt;0,$A513&lt;BE$6),AND(BE$7&gt;0,$A513&gt;BE$7)),0,MAX(0,ROUND((INDEX($E513:$G513,BE$5)-SUMIFS(TF_Timer,TF_Tekniker,BE$4,TF_Dato,$A513))*2,0)/2)))</f>
        <v/>
      </c>
      <c r="BF513">
        <f>IF(OR(BF$4="",$A513&gt;TODAY()),0,IF(OR(INDEX($B513:$D513,BF$5)="F",AND(BF$6&gt;0,$A513&lt;BF$6),AND(BF$7&gt;0,$A513&gt;BF$7)),0,MAX(0,ROUND((INDEX($E513:$G513,BF$5)-SUMIFS(TF_Timer,TF_Tekniker,BF$4,TF_Dato,$A513))*2,0)/2)))</f>
        <v/>
      </c>
      <c r="BG513">
        <f>IF(OR(BG$4="",$A513&gt;TODAY()),0,IF(OR(INDEX($B513:$D513,BG$5)="F",AND(BG$6&gt;0,$A513&lt;BG$6),AND(BG$7&gt;0,$A513&gt;BG$7)),0,MAX(0,ROUND((INDEX($E513:$G513,BG$5)-SUMIFS(TF_Timer,TF_Tekniker,BG$4,TF_Dato,$A513))*2,0)/2)))</f>
        <v/>
      </c>
      <c r="BH513">
        <f>IF(OR(BH$4="",$A513&gt;TODAY()),0,IF(OR(INDEX($B513:$D513,BH$5)="F",AND(BH$6&gt;0,$A513&lt;BH$6),AND(BH$7&gt;0,$A513&gt;BH$7)),0,MAX(0,ROUND((INDEX($E513:$G513,BH$5)-SUMIFS(TF_Timer,TF_Tekniker,BH$4,TF_Dato,$A513))*2,0)/2)))</f>
        <v/>
      </c>
      <c r="BI513">
        <f>IF(OR(BI$4="",$A513&gt;TODAY()),0,IF(OR(INDEX($B513:$D513,BI$5)="F",AND(BI$6&gt;0,$A513&lt;BI$6),AND(BI$7&gt;0,$A513&gt;BI$7)),0,MAX(0,ROUND((INDEX($E513:$G513,BI$5)-SUMIFS(TF_Timer,TF_Tekniker,BI$4,TF_Dato,$A513))*2,0)/2)))</f>
        <v/>
      </c>
    </row>
    <row r="514">
      <c r="A514" s="64">
        <f>A513+1</f>
        <v/>
      </c>
      <c r="B514">
        <f>IF(MOD($A514-INDEX(SkiftStart,1),Syklus)&lt;DagK,"K",IF(MOD($A514-INDEX(SkiftStart,1),Syklus)&lt;DagK+DagH,"H",IF(MOD($A514-INDEX(SkiftStart,1),Syklus)&lt;DagK+DagH+DagD,"D","F")))</f>
        <v/>
      </c>
      <c r="C514">
        <f>IF(MOD($A514-INDEX(SkiftStart,2),Syklus)&lt;DagK,"K",IF(MOD($A514-INDEX(SkiftStart,2),Syklus)&lt;DagK+DagH,"H",IF(MOD($A514-INDEX(SkiftStart,2),Syklus)&lt;DagK+DagH+DagD,"D","F")))</f>
        <v/>
      </c>
      <c r="D514">
        <f>IF(MOD($A514-INDEX(SkiftStart,3),Syklus)&lt;DagK,"K",IF(MOD($A514-INDEX(SkiftStart,3),Syklus)&lt;DagK+DagH,"H",IF(MOD($A514-INDEX(SkiftStart,3),Syklus)&lt;DagK+DagH+DagD,"D","F")))</f>
        <v/>
      </c>
      <c r="E514">
        <f>IF(B514="F",0,IF(WEEKDAY($A514,2)=5,INDEX(TimerFr,MATCH(B514,FaseKode,0)),INDEX(TimerMT,MATCH(B514,FaseKode,0))))</f>
        <v/>
      </c>
      <c r="F514">
        <f>IF(C514="F",0,IF(WEEKDAY($A514,2)=5,INDEX(TimerFr,MATCH(C514,FaseKode,0)),INDEX(TimerMT,MATCH(C514,FaseKode,0))))</f>
        <v/>
      </c>
      <c r="G514">
        <f>IF(D514="F",0,IF(WEEKDAY($A514,2)=5,INDEX(TimerFr,MATCH(D514,FaseKode,0)),INDEX(TimerMT,MATCH(D514,FaseKode,0))))</f>
        <v/>
      </c>
      <c r="H514">
        <f>IF(OR(H$4="",$A514&gt;TODAY()),0,IF(OR(INDEX($B514:$D514,H$5)="F",AND(H$6&gt;0,$A514&lt;H$6),AND(H$7&gt;0,$A514&gt;H$7)),0,MAX(0,ROUND((INDEX($E514:$G514,H$5)-SUMIFS(TF_Timer,TF_Tekniker,H$4,TF_Dato,$A514))*2,0)/2)))</f>
        <v/>
      </c>
      <c r="I514">
        <f>IF(OR(I$4="",$A514&gt;TODAY()),0,IF(OR(INDEX($B514:$D514,I$5)="F",AND(I$6&gt;0,$A514&lt;I$6),AND(I$7&gt;0,$A514&gt;I$7)),0,MAX(0,ROUND((INDEX($E514:$G514,I$5)-SUMIFS(TF_Timer,TF_Tekniker,I$4,TF_Dato,$A514))*2,0)/2)))</f>
        <v/>
      </c>
      <c r="J514">
        <f>IF(OR(J$4="",$A514&gt;TODAY()),0,IF(OR(INDEX($B514:$D514,J$5)="F",AND(J$6&gt;0,$A514&lt;J$6),AND(J$7&gt;0,$A514&gt;J$7)),0,MAX(0,ROUND((INDEX($E514:$G514,J$5)-SUMIFS(TF_Timer,TF_Tekniker,J$4,TF_Dato,$A514))*2,0)/2)))</f>
        <v/>
      </c>
      <c r="K514">
        <f>IF(OR(K$4="",$A514&gt;TODAY()),0,IF(OR(INDEX($B514:$D514,K$5)="F",AND(K$6&gt;0,$A514&lt;K$6),AND(K$7&gt;0,$A514&gt;K$7)),0,MAX(0,ROUND((INDEX($E514:$G514,K$5)-SUMIFS(TF_Timer,TF_Tekniker,K$4,TF_Dato,$A514))*2,0)/2)))</f>
        <v/>
      </c>
      <c r="L514">
        <f>IF(OR(L$4="",$A514&gt;TODAY()),0,IF(OR(INDEX($B514:$D514,L$5)="F",AND(L$6&gt;0,$A514&lt;L$6),AND(L$7&gt;0,$A514&gt;L$7)),0,MAX(0,ROUND((INDEX($E514:$G514,L$5)-SUMIFS(TF_Timer,TF_Tekniker,L$4,TF_Dato,$A514))*2,0)/2)))</f>
        <v/>
      </c>
      <c r="M514">
        <f>IF(OR(M$4="",$A514&gt;TODAY()),0,IF(OR(INDEX($B514:$D514,M$5)="F",AND(M$6&gt;0,$A514&lt;M$6),AND(M$7&gt;0,$A514&gt;M$7)),0,MAX(0,ROUND((INDEX($E514:$G514,M$5)-SUMIFS(TF_Timer,TF_Tekniker,M$4,TF_Dato,$A514))*2,0)/2)))</f>
        <v/>
      </c>
      <c r="N514">
        <f>IF(OR(N$4="",$A514&gt;TODAY()),0,IF(OR(INDEX($B514:$D514,N$5)="F",AND(N$6&gt;0,$A514&lt;N$6),AND(N$7&gt;0,$A514&gt;N$7)),0,MAX(0,ROUND((INDEX($E514:$G514,N$5)-SUMIFS(TF_Timer,TF_Tekniker,N$4,TF_Dato,$A514))*2,0)/2)))</f>
        <v/>
      </c>
      <c r="O514">
        <f>IF(OR(O$4="",$A514&gt;TODAY()),0,IF(OR(INDEX($B514:$D514,O$5)="F",AND(O$6&gt;0,$A514&lt;O$6),AND(O$7&gt;0,$A514&gt;O$7)),0,MAX(0,ROUND((INDEX($E514:$G514,O$5)-SUMIFS(TF_Timer,TF_Tekniker,O$4,TF_Dato,$A514))*2,0)/2)))</f>
        <v/>
      </c>
      <c r="P514">
        <f>IF(OR(P$4="",$A514&gt;TODAY()),0,IF(OR(INDEX($B514:$D514,P$5)="F",AND(P$6&gt;0,$A514&lt;P$6),AND(P$7&gt;0,$A514&gt;P$7)),0,MAX(0,ROUND((INDEX($E514:$G514,P$5)-SUMIFS(TF_Timer,TF_Tekniker,P$4,TF_Dato,$A514))*2,0)/2)))</f>
        <v/>
      </c>
      <c r="Q514">
        <f>IF(OR(Q$4="",$A514&gt;TODAY()),0,IF(OR(INDEX($B514:$D514,Q$5)="F",AND(Q$6&gt;0,$A514&lt;Q$6),AND(Q$7&gt;0,$A514&gt;Q$7)),0,MAX(0,ROUND((INDEX($E514:$G514,Q$5)-SUMIFS(TF_Timer,TF_Tekniker,Q$4,TF_Dato,$A514))*2,0)/2)))</f>
        <v/>
      </c>
      <c r="R514">
        <f>IF(OR(R$4="",$A514&gt;TODAY()),0,IF(OR(INDEX($B514:$D514,R$5)="F",AND(R$6&gt;0,$A514&lt;R$6),AND(R$7&gt;0,$A514&gt;R$7)),0,MAX(0,ROUND((INDEX($E514:$G514,R$5)-SUMIFS(TF_Timer,TF_Tekniker,R$4,TF_Dato,$A514))*2,0)/2)))</f>
        <v/>
      </c>
      <c r="S514">
        <f>IF(OR(S$4="",$A514&gt;TODAY()),0,IF(OR(INDEX($B514:$D514,S$5)="F",AND(S$6&gt;0,$A514&lt;S$6),AND(S$7&gt;0,$A514&gt;S$7)),0,MAX(0,ROUND((INDEX($E514:$G514,S$5)-SUMIFS(TF_Timer,TF_Tekniker,S$4,TF_Dato,$A514))*2,0)/2)))</f>
        <v/>
      </c>
      <c r="T514">
        <f>IF(OR(T$4="",$A514&gt;TODAY()),0,IF(OR(INDEX($B514:$D514,T$5)="F",AND(T$6&gt;0,$A514&lt;T$6),AND(T$7&gt;0,$A514&gt;T$7)),0,MAX(0,ROUND((INDEX($E514:$G514,T$5)-SUMIFS(TF_Timer,TF_Tekniker,T$4,TF_Dato,$A514))*2,0)/2)))</f>
        <v/>
      </c>
      <c r="U514">
        <f>IF(OR(U$4="",$A514&gt;TODAY()),0,IF(OR(INDEX($B514:$D514,U$5)="F",AND(U$6&gt;0,$A514&lt;U$6),AND(U$7&gt;0,$A514&gt;U$7)),0,MAX(0,ROUND((INDEX($E514:$G514,U$5)-SUMIFS(TF_Timer,TF_Tekniker,U$4,TF_Dato,$A514))*2,0)/2)))</f>
        <v/>
      </c>
      <c r="V514">
        <f>IF(OR(V$4="",$A514&gt;TODAY()),0,IF(OR(INDEX($B514:$D514,V$5)="F",AND(V$6&gt;0,$A514&lt;V$6),AND(V$7&gt;0,$A514&gt;V$7)),0,MAX(0,ROUND((INDEX($E514:$G514,V$5)-SUMIFS(TF_Timer,TF_Tekniker,V$4,TF_Dato,$A514))*2,0)/2)))</f>
        <v/>
      </c>
      <c r="W514">
        <f>IF(OR(W$4="",$A514&gt;TODAY()),0,IF(OR(INDEX($B514:$D514,W$5)="F",AND(W$6&gt;0,$A514&lt;W$6),AND(W$7&gt;0,$A514&gt;W$7)),0,MAX(0,ROUND((INDEX($E514:$G514,W$5)-SUMIFS(TF_Timer,TF_Tekniker,W$4,TF_Dato,$A514))*2,0)/2)))</f>
        <v/>
      </c>
      <c r="X514">
        <f>IF(OR(X$4="",$A514&gt;TODAY()),0,IF(OR(INDEX($B514:$D514,X$5)="F",AND(X$6&gt;0,$A514&lt;X$6),AND(X$7&gt;0,$A514&gt;X$7)),0,MAX(0,ROUND((INDEX($E514:$G514,X$5)-SUMIFS(TF_Timer,TF_Tekniker,X$4,TF_Dato,$A514))*2,0)/2)))</f>
        <v/>
      </c>
      <c r="Y514">
        <f>IF(OR(Y$4="",$A514&gt;TODAY()),0,IF(OR(INDEX($B514:$D514,Y$5)="F",AND(Y$6&gt;0,$A514&lt;Y$6),AND(Y$7&gt;0,$A514&gt;Y$7)),0,MAX(0,ROUND((INDEX($E514:$G514,Y$5)-SUMIFS(TF_Timer,TF_Tekniker,Y$4,TF_Dato,$A514))*2,0)/2)))</f>
        <v/>
      </c>
      <c r="Z514">
        <f>IF(OR(Z$4="",$A514&gt;TODAY()),0,IF(OR(INDEX($B514:$D514,Z$5)="F",AND(Z$6&gt;0,$A514&lt;Z$6),AND(Z$7&gt;0,$A514&gt;Z$7)),0,MAX(0,ROUND((INDEX($E514:$G514,Z$5)-SUMIFS(TF_Timer,TF_Tekniker,Z$4,TF_Dato,$A514))*2,0)/2)))</f>
        <v/>
      </c>
      <c r="AA514">
        <f>IF(OR(AA$4="",$A514&gt;TODAY()),0,IF(OR(INDEX($B514:$D514,AA$5)="F",AND(AA$6&gt;0,$A514&lt;AA$6),AND(AA$7&gt;0,$A514&gt;AA$7)),0,MAX(0,ROUND((INDEX($E514:$G514,AA$5)-SUMIFS(TF_Timer,TF_Tekniker,AA$4,TF_Dato,$A514))*2,0)/2)))</f>
        <v/>
      </c>
      <c r="AB514">
        <f>IF(OR(AB$4="",$A514&gt;TODAY()),0,IF(OR(INDEX($B514:$D514,AB$5)="F",AND(AB$6&gt;0,$A514&lt;AB$6),AND(AB$7&gt;0,$A514&gt;AB$7)),0,MAX(0,ROUND((INDEX($E514:$G514,AB$5)-SUMIFS(TF_Timer,TF_Tekniker,AB$4,TF_Dato,$A514))*2,0)/2)))</f>
        <v/>
      </c>
      <c r="AC514">
        <f>IF(OR(AC$4="",$A514&gt;TODAY()),0,IF(OR(INDEX($B514:$D514,AC$5)="F",AND(AC$6&gt;0,$A514&lt;AC$6),AND(AC$7&gt;0,$A514&gt;AC$7)),0,MAX(0,ROUND((INDEX($E514:$G514,AC$5)-SUMIFS(TF_Timer,TF_Tekniker,AC$4,TF_Dato,$A514))*2,0)/2)))</f>
        <v/>
      </c>
      <c r="AD514">
        <f>IF(OR(AD$4="",$A514&gt;TODAY()),0,IF(OR(INDEX($B514:$D514,AD$5)="F",AND(AD$6&gt;0,$A514&lt;AD$6),AND(AD$7&gt;0,$A514&gt;AD$7)),0,MAX(0,ROUND((INDEX($E514:$G514,AD$5)-SUMIFS(TF_Timer,TF_Tekniker,AD$4,TF_Dato,$A514))*2,0)/2)))</f>
        <v/>
      </c>
      <c r="AE514">
        <f>IF(OR(AE$4="",$A514&gt;TODAY()),0,IF(OR(INDEX($B514:$D514,AE$5)="F",AND(AE$6&gt;0,$A514&lt;AE$6),AND(AE$7&gt;0,$A514&gt;AE$7)),0,MAX(0,ROUND((INDEX($E514:$G514,AE$5)-SUMIFS(TF_Timer,TF_Tekniker,AE$4,TF_Dato,$A514))*2,0)/2)))</f>
        <v/>
      </c>
      <c r="AF514">
        <f>IF(OR(AF$4="",$A514&gt;TODAY()),0,IF(OR(INDEX($B514:$D514,AF$5)="F",AND(AF$6&gt;0,$A514&lt;AF$6),AND(AF$7&gt;0,$A514&gt;AF$7)),0,MAX(0,ROUND((INDEX($E514:$G514,AF$5)-SUMIFS(TF_Timer,TF_Tekniker,AF$4,TF_Dato,$A514))*2,0)/2)))</f>
        <v/>
      </c>
      <c r="AG514">
        <f>IF(OR(AG$4="",$A514&gt;TODAY()),0,IF(OR(INDEX($B514:$D514,AG$5)="F",AND(AG$6&gt;0,$A514&lt;AG$6),AND(AG$7&gt;0,$A514&gt;AG$7)),0,MAX(0,ROUND((INDEX($E514:$G514,AG$5)-SUMIFS(TF_Timer,TF_Tekniker,AG$4,TF_Dato,$A514))*2,0)/2)))</f>
        <v/>
      </c>
      <c r="AH514">
        <f>IF(OR(AH$4="",$A514&gt;TODAY()),0,IF(OR(INDEX($B514:$D514,AH$5)="F",AND(AH$6&gt;0,$A514&lt;AH$6),AND(AH$7&gt;0,$A514&gt;AH$7)),0,MAX(0,ROUND((INDEX($E514:$G514,AH$5)-SUMIFS(TF_Timer,TF_Tekniker,AH$4,TF_Dato,$A514))*2,0)/2)))</f>
        <v/>
      </c>
      <c r="AI514">
        <f>IF(OR(AI$4="",$A514&gt;TODAY()),0,IF(OR(INDEX($B514:$D514,AI$5)="F",AND(AI$6&gt;0,$A514&lt;AI$6),AND(AI$7&gt;0,$A514&gt;AI$7)),0,MAX(0,ROUND((INDEX($E514:$G514,AI$5)-SUMIFS(TF_Timer,TF_Tekniker,AI$4,TF_Dato,$A514))*2,0)/2)))</f>
        <v/>
      </c>
      <c r="AJ514">
        <f>IF(OR(AJ$4="",$A514&gt;TODAY()),0,IF(OR(INDEX($B514:$D514,AJ$5)="F",AND(AJ$6&gt;0,$A514&lt;AJ$6),AND(AJ$7&gt;0,$A514&gt;AJ$7)),0,MAX(0,ROUND((INDEX($E514:$G514,AJ$5)-SUMIFS(TF_Timer,TF_Tekniker,AJ$4,TF_Dato,$A514))*2,0)/2)))</f>
        <v/>
      </c>
      <c r="AK514">
        <f>IF(OR(AK$4="",$A514&gt;TODAY()),0,IF(OR(INDEX($B514:$D514,AK$5)="F",AND(AK$6&gt;0,$A514&lt;AK$6),AND(AK$7&gt;0,$A514&gt;AK$7)),0,MAX(0,ROUND((INDEX($E514:$G514,AK$5)-SUMIFS(TF_Timer,TF_Tekniker,AK$4,TF_Dato,$A514))*2,0)/2)))</f>
        <v/>
      </c>
      <c r="AL514">
        <f>IF(OR(AL$4="",$A514&gt;TODAY()),0,IF(OR(INDEX($B514:$D514,AL$5)="F",AND(AL$6&gt;0,$A514&lt;AL$6),AND(AL$7&gt;0,$A514&gt;AL$7)),0,MAX(0,ROUND((INDEX($E514:$G514,AL$5)-SUMIFS(TF_Timer,TF_Tekniker,AL$4,TF_Dato,$A514))*2,0)/2)))</f>
        <v/>
      </c>
      <c r="AM514">
        <f>IF(OR(AM$4="",$A514&gt;TODAY()),0,IF(OR(INDEX($B514:$D514,AM$5)="F",AND(AM$6&gt;0,$A514&lt;AM$6),AND(AM$7&gt;0,$A514&gt;AM$7)),0,MAX(0,ROUND((INDEX($E514:$G514,AM$5)-SUMIFS(TF_Timer,TF_Tekniker,AM$4,TF_Dato,$A514))*2,0)/2)))</f>
        <v/>
      </c>
      <c r="AN514">
        <f>IF(OR(AN$4="",$A514&gt;TODAY()),0,IF(OR(INDEX($B514:$D514,AN$5)="F",AND(AN$6&gt;0,$A514&lt;AN$6),AND(AN$7&gt;0,$A514&gt;AN$7)),0,MAX(0,ROUND((INDEX($E514:$G514,AN$5)-SUMIFS(TF_Timer,TF_Tekniker,AN$4,TF_Dato,$A514))*2,0)/2)))</f>
        <v/>
      </c>
      <c r="AO514">
        <f>IF(OR(AO$4="",$A514&gt;TODAY()),0,IF(OR(INDEX($B514:$D514,AO$5)="F",AND(AO$6&gt;0,$A514&lt;AO$6),AND(AO$7&gt;0,$A514&gt;AO$7)),0,MAX(0,ROUND((INDEX($E514:$G514,AO$5)-SUMIFS(TF_Timer,TF_Tekniker,AO$4,TF_Dato,$A514))*2,0)/2)))</f>
        <v/>
      </c>
      <c r="AP514">
        <f>IF(OR(AP$4="",$A514&gt;TODAY()),0,IF(OR(INDEX($B514:$D514,AP$5)="F",AND(AP$6&gt;0,$A514&lt;AP$6),AND(AP$7&gt;0,$A514&gt;AP$7)),0,MAX(0,ROUND((INDEX($E514:$G514,AP$5)-SUMIFS(TF_Timer,TF_Tekniker,AP$4,TF_Dato,$A514))*2,0)/2)))</f>
        <v/>
      </c>
      <c r="AQ514">
        <f>IF(OR(AQ$4="",$A514&gt;TODAY()),0,IF(OR(INDEX($B514:$D514,AQ$5)="F",AND(AQ$6&gt;0,$A514&lt;AQ$6),AND(AQ$7&gt;0,$A514&gt;AQ$7)),0,MAX(0,ROUND((INDEX($E514:$G514,AQ$5)-SUMIFS(TF_Timer,TF_Tekniker,AQ$4,TF_Dato,$A514))*2,0)/2)))</f>
        <v/>
      </c>
      <c r="AR514">
        <f>IF(OR(AR$4="",$A514&gt;TODAY()),0,IF(OR(INDEX($B514:$D514,AR$5)="F",AND(AR$6&gt;0,$A514&lt;AR$6),AND(AR$7&gt;0,$A514&gt;AR$7)),0,MAX(0,ROUND((INDEX($E514:$G514,AR$5)-SUMIFS(TF_Timer,TF_Tekniker,AR$4,TF_Dato,$A514))*2,0)/2)))</f>
        <v/>
      </c>
      <c r="AS514">
        <f>IF(OR(AS$4="",$A514&gt;TODAY()),0,IF(OR(INDEX($B514:$D514,AS$5)="F",AND(AS$6&gt;0,$A514&lt;AS$6),AND(AS$7&gt;0,$A514&gt;AS$7)),0,MAX(0,ROUND((INDEX($E514:$G514,AS$5)-SUMIFS(TF_Timer,TF_Tekniker,AS$4,TF_Dato,$A514))*2,0)/2)))</f>
        <v/>
      </c>
      <c r="AT514">
        <f>IF(OR(AT$4="",$A514&gt;TODAY()),0,IF(OR(INDEX($B514:$D514,AT$5)="F",AND(AT$6&gt;0,$A514&lt;AT$6),AND(AT$7&gt;0,$A514&gt;AT$7)),0,MAX(0,ROUND((INDEX($E514:$G514,AT$5)-SUMIFS(TF_Timer,TF_Tekniker,AT$4,TF_Dato,$A514))*2,0)/2)))</f>
        <v/>
      </c>
      <c r="AU514">
        <f>IF(OR(AU$4="",$A514&gt;TODAY()),0,IF(OR(INDEX($B514:$D514,AU$5)="F",AND(AU$6&gt;0,$A514&lt;AU$6),AND(AU$7&gt;0,$A514&gt;AU$7)),0,MAX(0,ROUND((INDEX($E514:$G514,AU$5)-SUMIFS(TF_Timer,TF_Tekniker,AU$4,TF_Dato,$A514))*2,0)/2)))</f>
        <v/>
      </c>
      <c r="AV514">
        <f>IF(OR(AV$4="",$A514&gt;TODAY()),0,IF(OR(INDEX($B514:$D514,AV$5)="F",AND(AV$6&gt;0,$A514&lt;AV$6),AND(AV$7&gt;0,$A514&gt;AV$7)),0,MAX(0,ROUND((INDEX($E514:$G514,AV$5)-SUMIFS(TF_Timer,TF_Tekniker,AV$4,TF_Dato,$A514))*2,0)/2)))</f>
        <v/>
      </c>
      <c r="AW514">
        <f>IF(OR(AW$4="",$A514&gt;TODAY()),0,IF(OR(INDEX($B514:$D514,AW$5)="F",AND(AW$6&gt;0,$A514&lt;AW$6),AND(AW$7&gt;0,$A514&gt;AW$7)),0,MAX(0,ROUND((INDEX($E514:$G514,AW$5)-SUMIFS(TF_Timer,TF_Tekniker,AW$4,TF_Dato,$A514))*2,0)/2)))</f>
        <v/>
      </c>
      <c r="AX514">
        <f>IF(OR(AX$4="",$A514&gt;TODAY()),0,IF(OR(INDEX($B514:$D514,AX$5)="F",AND(AX$6&gt;0,$A514&lt;AX$6),AND(AX$7&gt;0,$A514&gt;AX$7)),0,MAX(0,ROUND((INDEX($E514:$G514,AX$5)-SUMIFS(TF_Timer,TF_Tekniker,AX$4,TF_Dato,$A514))*2,0)/2)))</f>
        <v/>
      </c>
      <c r="AY514">
        <f>IF(OR(AY$4="",$A514&gt;TODAY()),0,IF(OR(INDEX($B514:$D514,AY$5)="F",AND(AY$6&gt;0,$A514&lt;AY$6),AND(AY$7&gt;0,$A514&gt;AY$7)),0,MAX(0,ROUND((INDEX($E514:$G514,AY$5)-SUMIFS(TF_Timer,TF_Tekniker,AY$4,TF_Dato,$A514))*2,0)/2)))</f>
        <v/>
      </c>
      <c r="AZ514">
        <f>IF(OR(AZ$4="",$A514&gt;TODAY()),0,IF(OR(INDEX($B514:$D514,AZ$5)="F",AND(AZ$6&gt;0,$A514&lt;AZ$6),AND(AZ$7&gt;0,$A514&gt;AZ$7)),0,MAX(0,ROUND((INDEX($E514:$G514,AZ$5)-SUMIFS(TF_Timer,TF_Tekniker,AZ$4,TF_Dato,$A514))*2,0)/2)))</f>
        <v/>
      </c>
      <c r="BA514">
        <f>IF(OR(BA$4="",$A514&gt;TODAY()),0,IF(OR(INDEX($B514:$D514,BA$5)="F",AND(BA$6&gt;0,$A514&lt;BA$6),AND(BA$7&gt;0,$A514&gt;BA$7)),0,MAX(0,ROUND((INDEX($E514:$G514,BA$5)-SUMIFS(TF_Timer,TF_Tekniker,BA$4,TF_Dato,$A514))*2,0)/2)))</f>
        <v/>
      </c>
      <c r="BB514">
        <f>IF(OR(BB$4="",$A514&gt;TODAY()),0,IF(OR(INDEX($B514:$D514,BB$5)="F",AND(BB$6&gt;0,$A514&lt;BB$6),AND(BB$7&gt;0,$A514&gt;BB$7)),0,MAX(0,ROUND((INDEX($E514:$G514,BB$5)-SUMIFS(TF_Timer,TF_Tekniker,BB$4,TF_Dato,$A514))*2,0)/2)))</f>
        <v/>
      </c>
      <c r="BC514">
        <f>IF(OR(BC$4="",$A514&gt;TODAY()),0,IF(OR(INDEX($B514:$D514,BC$5)="F",AND(BC$6&gt;0,$A514&lt;BC$6),AND(BC$7&gt;0,$A514&gt;BC$7)),0,MAX(0,ROUND((INDEX($E514:$G514,BC$5)-SUMIFS(TF_Timer,TF_Tekniker,BC$4,TF_Dato,$A514))*2,0)/2)))</f>
        <v/>
      </c>
      <c r="BD514">
        <f>IF(OR(BD$4="",$A514&gt;TODAY()),0,IF(OR(INDEX($B514:$D514,BD$5)="F",AND(BD$6&gt;0,$A514&lt;BD$6),AND(BD$7&gt;0,$A514&gt;BD$7)),0,MAX(0,ROUND((INDEX($E514:$G514,BD$5)-SUMIFS(TF_Timer,TF_Tekniker,BD$4,TF_Dato,$A514))*2,0)/2)))</f>
        <v/>
      </c>
      <c r="BE514">
        <f>IF(OR(BE$4="",$A514&gt;TODAY()),0,IF(OR(INDEX($B514:$D514,BE$5)="F",AND(BE$6&gt;0,$A514&lt;BE$6),AND(BE$7&gt;0,$A514&gt;BE$7)),0,MAX(0,ROUND((INDEX($E514:$G514,BE$5)-SUMIFS(TF_Timer,TF_Tekniker,BE$4,TF_Dato,$A514))*2,0)/2)))</f>
        <v/>
      </c>
      <c r="BF514">
        <f>IF(OR(BF$4="",$A514&gt;TODAY()),0,IF(OR(INDEX($B514:$D514,BF$5)="F",AND(BF$6&gt;0,$A514&lt;BF$6),AND(BF$7&gt;0,$A514&gt;BF$7)),0,MAX(0,ROUND((INDEX($E514:$G514,BF$5)-SUMIFS(TF_Timer,TF_Tekniker,BF$4,TF_Dato,$A514))*2,0)/2)))</f>
        <v/>
      </c>
      <c r="BG514">
        <f>IF(OR(BG$4="",$A514&gt;TODAY()),0,IF(OR(INDEX($B514:$D514,BG$5)="F",AND(BG$6&gt;0,$A514&lt;BG$6),AND(BG$7&gt;0,$A514&gt;BG$7)),0,MAX(0,ROUND((INDEX($E514:$G514,BG$5)-SUMIFS(TF_Timer,TF_Tekniker,BG$4,TF_Dato,$A514))*2,0)/2)))</f>
        <v/>
      </c>
      <c r="BH514">
        <f>IF(OR(BH$4="",$A514&gt;TODAY()),0,IF(OR(INDEX($B514:$D514,BH$5)="F",AND(BH$6&gt;0,$A514&lt;BH$6),AND(BH$7&gt;0,$A514&gt;BH$7)),0,MAX(0,ROUND((INDEX($E514:$G514,BH$5)-SUMIFS(TF_Timer,TF_Tekniker,BH$4,TF_Dato,$A514))*2,0)/2)))</f>
        <v/>
      </c>
      <c r="BI514">
        <f>IF(OR(BI$4="",$A514&gt;TODAY()),0,IF(OR(INDEX($B514:$D514,BI$5)="F",AND(BI$6&gt;0,$A514&lt;BI$6),AND(BI$7&gt;0,$A514&gt;BI$7)),0,MAX(0,ROUND((INDEX($E514:$G514,BI$5)-SUMIFS(TF_Timer,TF_Tekniker,BI$4,TF_Dato,$A514))*2,0)/2)))</f>
        <v/>
      </c>
    </row>
    <row r="515">
      <c r="A515" s="64">
        <f>A514+1</f>
        <v/>
      </c>
      <c r="B515">
        <f>IF(MOD($A515-INDEX(SkiftStart,1),Syklus)&lt;DagK,"K",IF(MOD($A515-INDEX(SkiftStart,1),Syklus)&lt;DagK+DagH,"H",IF(MOD($A515-INDEX(SkiftStart,1),Syklus)&lt;DagK+DagH+DagD,"D","F")))</f>
        <v/>
      </c>
      <c r="C515">
        <f>IF(MOD($A515-INDEX(SkiftStart,2),Syklus)&lt;DagK,"K",IF(MOD($A515-INDEX(SkiftStart,2),Syklus)&lt;DagK+DagH,"H",IF(MOD($A515-INDEX(SkiftStart,2),Syklus)&lt;DagK+DagH+DagD,"D","F")))</f>
        <v/>
      </c>
      <c r="D515">
        <f>IF(MOD($A515-INDEX(SkiftStart,3),Syklus)&lt;DagK,"K",IF(MOD($A515-INDEX(SkiftStart,3),Syklus)&lt;DagK+DagH,"H",IF(MOD($A515-INDEX(SkiftStart,3),Syklus)&lt;DagK+DagH+DagD,"D","F")))</f>
        <v/>
      </c>
      <c r="E515">
        <f>IF(B515="F",0,IF(WEEKDAY($A515,2)=5,INDEX(TimerFr,MATCH(B515,FaseKode,0)),INDEX(TimerMT,MATCH(B515,FaseKode,0))))</f>
        <v/>
      </c>
      <c r="F515">
        <f>IF(C515="F",0,IF(WEEKDAY($A515,2)=5,INDEX(TimerFr,MATCH(C515,FaseKode,0)),INDEX(TimerMT,MATCH(C515,FaseKode,0))))</f>
        <v/>
      </c>
      <c r="G515">
        <f>IF(D515="F",0,IF(WEEKDAY($A515,2)=5,INDEX(TimerFr,MATCH(D515,FaseKode,0)),INDEX(TimerMT,MATCH(D515,FaseKode,0))))</f>
        <v/>
      </c>
      <c r="H515">
        <f>IF(OR(H$4="",$A515&gt;TODAY()),0,IF(OR(INDEX($B515:$D515,H$5)="F",AND(H$6&gt;0,$A515&lt;H$6),AND(H$7&gt;0,$A515&gt;H$7)),0,MAX(0,ROUND((INDEX($E515:$G515,H$5)-SUMIFS(TF_Timer,TF_Tekniker,H$4,TF_Dato,$A515))*2,0)/2)))</f>
        <v/>
      </c>
      <c r="I515">
        <f>IF(OR(I$4="",$A515&gt;TODAY()),0,IF(OR(INDEX($B515:$D515,I$5)="F",AND(I$6&gt;0,$A515&lt;I$6),AND(I$7&gt;0,$A515&gt;I$7)),0,MAX(0,ROUND((INDEX($E515:$G515,I$5)-SUMIFS(TF_Timer,TF_Tekniker,I$4,TF_Dato,$A515))*2,0)/2)))</f>
        <v/>
      </c>
      <c r="J515">
        <f>IF(OR(J$4="",$A515&gt;TODAY()),0,IF(OR(INDEX($B515:$D515,J$5)="F",AND(J$6&gt;0,$A515&lt;J$6),AND(J$7&gt;0,$A515&gt;J$7)),0,MAX(0,ROUND((INDEX($E515:$G515,J$5)-SUMIFS(TF_Timer,TF_Tekniker,J$4,TF_Dato,$A515))*2,0)/2)))</f>
        <v/>
      </c>
      <c r="K515">
        <f>IF(OR(K$4="",$A515&gt;TODAY()),0,IF(OR(INDEX($B515:$D515,K$5)="F",AND(K$6&gt;0,$A515&lt;K$6),AND(K$7&gt;0,$A515&gt;K$7)),0,MAX(0,ROUND((INDEX($E515:$G515,K$5)-SUMIFS(TF_Timer,TF_Tekniker,K$4,TF_Dato,$A515))*2,0)/2)))</f>
        <v/>
      </c>
      <c r="L515">
        <f>IF(OR(L$4="",$A515&gt;TODAY()),0,IF(OR(INDEX($B515:$D515,L$5)="F",AND(L$6&gt;0,$A515&lt;L$6),AND(L$7&gt;0,$A515&gt;L$7)),0,MAX(0,ROUND((INDEX($E515:$G515,L$5)-SUMIFS(TF_Timer,TF_Tekniker,L$4,TF_Dato,$A515))*2,0)/2)))</f>
        <v/>
      </c>
      <c r="M515">
        <f>IF(OR(M$4="",$A515&gt;TODAY()),0,IF(OR(INDEX($B515:$D515,M$5)="F",AND(M$6&gt;0,$A515&lt;M$6),AND(M$7&gt;0,$A515&gt;M$7)),0,MAX(0,ROUND((INDEX($E515:$G515,M$5)-SUMIFS(TF_Timer,TF_Tekniker,M$4,TF_Dato,$A515))*2,0)/2)))</f>
        <v/>
      </c>
      <c r="N515">
        <f>IF(OR(N$4="",$A515&gt;TODAY()),0,IF(OR(INDEX($B515:$D515,N$5)="F",AND(N$6&gt;0,$A515&lt;N$6),AND(N$7&gt;0,$A515&gt;N$7)),0,MAX(0,ROUND((INDEX($E515:$G515,N$5)-SUMIFS(TF_Timer,TF_Tekniker,N$4,TF_Dato,$A515))*2,0)/2)))</f>
        <v/>
      </c>
      <c r="O515">
        <f>IF(OR(O$4="",$A515&gt;TODAY()),0,IF(OR(INDEX($B515:$D515,O$5)="F",AND(O$6&gt;0,$A515&lt;O$6),AND(O$7&gt;0,$A515&gt;O$7)),0,MAX(0,ROUND((INDEX($E515:$G515,O$5)-SUMIFS(TF_Timer,TF_Tekniker,O$4,TF_Dato,$A515))*2,0)/2)))</f>
        <v/>
      </c>
      <c r="P515">
        <f>IF(OR(P$4="",$A515&gt;TODAY()),0,IF(OR(INDEX($B515:$D515,P$5)="F",AND(P$6&gt;0,$A515&lt;P$6),AND(P$7&gt;0,$A515&gt;P$7)),0,MAX(0,ROUND((INDEX($E515:$G515,P$5)-SUMIFS(TF_Timer,TF_Tekniker,P$4,TF_Dato,$A515))*2,0)/2)))</f>
        <v/>
      </c>
      <c r="Q515">
        <f>IF(OR(Q$4="",$A515&gt;TODAY()),0,IF(OR(INDEX($B515:$D515,Q$5)="F",AND(Q$6&gt;0,$A515&lt;Q$6),AND(Q$7&gt;0,$A515&gt;Q$7)),0,MAX(0,ROUND((INDEX($E515:$G515,Q$5)-SUMIFS(TF_Timer,TF_Tekniker,Q$4,TF_Dato,$A515))*2,0)/2)))</f>
        <v/>
      </c>
      <c r="R515">
        <f>IF(OR(R$4="",$A515&gt;TODAY()),0,IF(OR(INDEX($B515:$D515,R$5)="F",AND(R$6&gt;0,$A515&lt;R$6),AND(R$7&gt;0,$A515&gt;R$7)),0,MAX(0,ROUND((INDEX($E515:$G515,R$5)-SUMIFS(TF_Timer,TF_Tekniker,R$4,TF_Dato,$A515))*2,0)/2)))</f>
        <v/>
      </c>
      <c r="S515">
        <f>IF(OR(S$4="",$A515&gt;TODAY()),0,IF(OR(INDEX($B515:$D515,S$5)="F",AND(S$6&gt;0,$A515&lt;S$6),AND(S$7&gt;0,$A515&gt;S$7)),0,MAX(0,ROUND((INDEX($E515:$G515,S$5)-SUMIFS(TF_Timer,TF_Tekniker,S$4,TF_Dato,$A515))*2,0)/2)))</f>
        <v/>
      </c>
      <c r="T515">
        <f>IF(OR(T$4="",$A515&gt;TODAY()),0,IF(OR(INDEX($B515:$D515,T$5)="F",AND(T$6&gt;0,$A515&lt;T$6),AND(T$7&gt;0,$A515&gt;T$7)),0,MAX(0,ROUND((INDEX($E515:$G515,T$5)-SUMIFS(TF_Timer,TF_Tekniker,T$4,TF_Dato,$A515))*2,0)/2)))</f>
        <v/>
      </c>
      <c r="U515">
        <f>IF(OR(U$4="",$A515&gt;TODAY()),0,IF(OR(INDEX($B515:$D515,U$5)="F",AND(U$6&gt;0,$A515&lt;U$6),AND(U$7&gt;0,$A515&gt;U$7)),0,MAX(0,ROUND((INDEX($E515:$G515,U$5)-SUMIFS(TF_Timer,TF_Tekniker,U$4,TF_Dato,$A515))*2,0)/2)))</f>
        <v/>
      </c>
      <c r="V515">
        <f>IF(OR(V$4="",$A515&gt;TODAY()),0,IF(OR(INDEX($B515:$D515,V$5)="F",AND(V$6&gt;0,$A515&lt;V$6),AND(V$7&gt;0,$A515&gt;V$7)),0,MAX(0,ROUND((INDEX($E515:$G515,V$5)-SUMIFS(TF_Timer,TF_Tekniker,V$4,TF_Dato,$A515))*2,0)/2)))</f>
        <v/>
      </c>
      <c r="W515">
        <f>IF(OR(W$4="",$A515&gt;TODAY()),0,IF(OR(INDEX($B515:$D515,W$5)="F",AND(W$6&gt;0,$A515&lt;W$6),AND(W$7&gt;0,$A515&gt;W$7)),0,MAX(0,ROUND((INDEX($E515:$G515,W$5)-SUMIFS(TF_Timer,TF_Tekniker,W$4,TF_Dato,$A515))*2,0)/2)))</f>
        <v/>
      </c>
      <c r="X515">
        <f>IF(OR(X$4="",$A515&gt;TODAY()),0,IF(OR(INDEX($B515:$D515,X$5)="F",AND(X$6&gt;0,$A515&lt;X$6),AND(X$7&gt;0,$A515&gt;X$7)),0,MAX(0,ROUND((INDEX($E515:$G515,X$5)-SUMIFS(TF_Timer,TF_Tekniker,X$4,TF_Dato,$A515))*2,0)/2)))</f>
        <v/>
      </c>
      <c r="Y515">
        <f>IF(OR(Y$4="",$A515&gt;TODAY()),0,IF(OR(INDEX($B515:$D515,Y$5)="F",AND(Y$6&gt;0,$A515&lt;Y$6),AND(Y$7&gt;0,$A515&gt;Y$7)),0,MAX(0,ROUND((INDEX($E515:$G515,Y$5)-SUMIFS(TF_Timer,TF_Tekniker,Y$4,TF_Dato,$A515))*2,0)/2)))</f>
        <v/>
      </c>
      <c r="Z515">
        <f>IF(OR(Z$4="",$A515&gt;TODAY()),0,IF(OR(INDEX($B515:$D515,Z$5)="F",AND(Z$6&gt;0,$A515&lt;Z$6),AND(Z$7&gt;0,$A515&gt;Z$7)),0,MAX(0,ROUND((INDEX($E515:$G515,Z$5)-SUMIFS(TF_Timer,TF_Tekniker,Z$4,TF_Dato,$A515))*2,0)/2)))</f>
        <v/>
      </c>
      <c r="AA515">
        <f>IF(OR(AA$4="",$A515&gt;TODAY()),0,IF(OR(INDEX($B515:$D515,AA$5)="F",AND(AA$6&gt;0,$A515&lt;AA$6),AND(AA$7&gt;0,$A515&gt;AA$7)),0,MAX(0,ROUND((INDEX($E515:$G515,AA$5)-SUMIFS(TF_Timer,TF_Tekniker,AA$4,TF_Dato,$A515))*2,0)/2)))</f>
        <v/>
      </c>
      <c r="AB515">
        <f>IF(OR(AB$4="",$A515&gt;TODAY()),0,IF(OR(INDEX($B515:$D515,AB$5)="F",AND(AB$6&gt;0,$A515&lt;AB$6),AND(AB$7&gt;0,$A515&gt;AB$7)),0,MAX(0,ROUND((INDEX($E515:$G515,AB$5)-SUMIFS(TF_Timer,TF_Tekniker,AB$4,TF_Dato,$A515))*2,0)/2)))</f>
        <v/>
      </c>
      <c r="AC515">
        <f>IF(OR(AC$4="",$A515&gt;TODAY()),0,IF(OR(INDEX($B515:$D515,AC$5)="F",AND(AC$6&gt;0,$A515&lt;AC$6),AND(AC$7&gt;0,$A515&gt;AC$7)),0,MAX(0,ROUND((INDEX($E515:$G515,AC$5)-SUMIFS(TF_Timer,TF_Tekniker,AC$4,TF_Dato,$A515))*2,0)/2)))</f>
        <v/>
      </c>
      <c r="AD515">
        <f>IF(OR(AD$4="",$A515&gt;TODAY()),0,IF(OR(INDEX($B515:$D515,AD$5)="F",AND(AD$6&gt;0,$A515&lt;AD$6),AND(AD$7&gt;0,$A515&gt;AD$7)),0,MAX(0,ROUND((INDEX($E515:$G515,AD$5)-SUMIFS(TF_Timer,TF_Tekniker,AD$4,TF_Dato,$A515))*2,0)/2)))</f>
        <v/>
      </c>
      <c r="AE515">
        <f>IF(OR(AE$4="",$A515&gt;TODAY()),0,IF(OR(INDEX($B515:$D515,AE$5)="F",AND(AE$6&gt;0,$A515&lt;AE$6),AND(AE$7&gt;0,$A515&gt;AE$7)),0,MAX(0,ROUND((INDEX($E515:$G515,AE$5)-SUMIFS(TF_Timer,TF_Tekniker,AE$4,TF_Dato,$A515))*2,0)/2)))</f>
        <v/>
      </c>
      <c r="AF515">
        <f>IF(OR(AF$4="",$A515&gt;TODAY()),0,IF(OR(INDEX($B515:$D515,AF$5)="F",AND(AF$6&gt;0,$A515&lt;AF$6),AND(AF$7&gt;0,$A515&gt;AF$7)),0,MAX(0,ROUND((INDEX($E515:$G515,AF$5)-SUMIFS(TF_Timer,TF_Tekniker,AF$4,TF_Dato,$A515))*2,0)/2)))</f>
        <v/>
      </c>
      <c r="AG515">
        <f>IF(OR(AG$4="",$A515&gt;TODAY()),0,IF(OR(INDEX($B515:$D515,AG$5)="F",AND(AG$6&gt;0,$A515&lt;AG$6),AND(AG$7&gt;0,$A515&gt;AG$7)),0,MAX(0,ROUND((INDEX($E515:$G515,AG$5)-SUMIFS(TF_Timer,TF_Tekniker,AG$4,TF_Dato,$A515))*2,0)/2)))</f>
        <v/>
      </c>
      <c r="AH515">
        <f>IF(OR(AH$4="",$A515&gt;TODAY()),0,IF(OR(INDEX($B515:$D515,AH$5)="F",AND(AH$6&gt;0,$A515&lt;AH$6),AND(AH$7&gt;0,$A515&gt;AH$7)),0,MAX(0,ROUND((INDEX($E515:$G515,AH$5)-SUMIFS(TF_Timer,TF_Tekniker,AH$4,TF_Dato,$A515))*2,0)/2)))</f>
        <v/>
      </c>
      <c r="AI515">
        <f>IF(OR(AI$4="",$A515&gt;TODAY()),0,IF(OR(INDEX($B515:$D515,AI$5)="F",AND(AI$6&gt;0,$A515&lt;AI$6),AND(AI$7&gt;0,$A515&gt;AI$7)),0,MAX(0,ROUND((INDEX($E515:$G515,AI$5)-SUMIFS(TF_Timer,TF_Tekniker,AI$4,TF_Dato,$A515))*2,0)/2)))</f>
        <v/>
      </c>
      <c r="AJ515">
        <f>IF(OR(AJ$4="",$A515&gt;TODAY()),0,IF(OR(INDEX($B515:$D515,AJ$5)="F",AND(AJ$6&gt;0,$A515&lt;AJ$6),AND(AJ$7&gt;0,$A515&gt;AJ$7)),0,MAX(0,ROUND((INDEX($E515:$G515,AJ$5)-SUMIFS(TF_Timer,TF_Tekniker,AJ$4,TF_Dato,$A515))*2,0)/2)))</f>
        <v/>
      </c>
      <c r="AK515">
        <f>IF(OR(AK$4="",$A515&gt;TODAY()),0,IF(OR(INDEX($B515:$D515,AK$5)="F",AND(AK$6&gt;0,$A515&lt;AK$6),AND(AK$7&gt;0,$A515&gt;AK$7)),0,MAX(0,ROUND((INDEX($E515:$G515,AK$5)-SUMIFS(TF_Timer,TF_Tekniker,AK$4,TF_Dato,$A515))*2,0)/2)))</f>
        <v/>
      </c>
      <c r="AL515">
        <f>IF(OR(AL$4="",$A515&gt;TODAY()),0,IF(OR(INDEX($B515:$D515,AL$5)="F",AND(AL$6&gt;0,$A515&lt;AL$6),AND(AL$7&gt;0,$A515&gt;AL$7)),0,MAX(0,ROUND((INDEX($E515:$G515,AL$5)-SUMIFS(TF_Timer,TF_Tekniker,AL$4,TF_Dato,$A515))*2,0)/2)))</f>
        <v/>
      </c>
      <c r="AM515">
        <f>IF(OR(AM$4="",$A515&gt;TODAY()),0,IF(OR(INDEX($B515:$D515,AM$5)="F",AND(AM$6&gt;0,$A515&lt;AM$6),AND(AM$7&gt;0,$A515&gt;AM$7)),0,MAX(0,ROUND((INDEX($E515:$G515,AM$5)-SUMIFS(TF_Timer,TF_Tekniker,AM$4,TF_Dato,$A515))*2,0)/2)))</f>
        <v/>
      </c>
      <c r="AN515">
        <f>IF(OR(AN$4="",$A515&gt;TODAY()),0,IF(OR(INDEX($B515:$D515,AN$5)="F",AND(AN$6&gt;0,$A515&lt;AN$6),AND(AN$7&gt;0,$A515&gt;AN$7)),0,MAX(0,ROUND((INDEX($E515:$G515,AN$5)-SUMIFS(TF_Timer,TF_Tekniker,AN$4,TF_Dato,$A515))*2,0)/2)))</f>
        <v/>
      </c>
      <c r="AO515">
        <f>IF(OR(AO$4="",$A515&gt;TODAY()),0,IF(OR(INDEX($B515:$D515,AO$5)="F",AND(AO$6&gt;0,$A515&lt;AO$6),AND(AO$7&gt;0,$A515&gt;AO$7)),0,MAX(0,ROUND((INDEX($E515:$G515,AO$5)-SUMIFS(TF_Timer,TF_Tekniker,AO$4,TF_Dato,$A515))*2,0)/2)))</f>
        <v/>
      </c>
      <c r="AP515">
        <f>IF(OR(AP$4="",$A515&gt;TODAY()),0,IF(OR(INDEX($B515:$D515,AP$5)="F",AND(AP$6&gt;0,$A515&lt;AP$6),AND(AP$7&gt;0,$A515&gt;AP$7)),0,MAX(0,ROUND((INDEX($E515:$G515,AP$5)-SUMIFS(TF_Timer,TF_Tekniker,AP$4,TF_Dato,$A515))*2,0)/2)))</f>
        <v/>
      </c>
      <c r="AQ515">
        <f>IF(OR(AQ$4="",$A515&gt;TODAY()),0,IF(OR(INDEX($B515:$D515,AQ$5)="F",AND(AQ$6&gt;0,$A515&lt;AQ$6),AND(AQ$7&gt;0,$A515&gt;AQ$7)),0,MAX(0,ROUND((INDEX($E515:$G515,AQ$5)-SUMIFS(TF_Timer,TF_Tekniker,AQ$4,TF_Dato,$A515))*2,0)/2)))</f>
        <v/>
      </c>
      <c r="AR515">
        <f>IF(OR(AR$4="",$A515&gt;TODAY()),0,IF(OR(INDEX($B515:$D515,AR$5)="F",AND(AR$6&gt;0,$A515&lt;AR$6),AND(AR$7&gt;0,$A515&gt;AR$7)),0,MAX(0,ROUND((INDEX($E515:$G515,AR$5)-SUMIFS(TF_Timer,TF_Tekniker,AR$4,TF_Dato,$A515))*2,0)/2)))</f>
        <v/>
      </c>
      <c r="AS515">
        <f>IF(OR(AS$4="",$A515&gt;TODAY()),0,IF(OR(INDEX($B515:$D515,AS$5)="F",AND(AS$6&gt;0,$A515&lt;AS$6),AND(AS$7&gt;0,$A515&gt;AS$7)),0,MAX(0,ROUND((INDEX($E515:$G515,AS$5)-SUMIFS(TF_Timer,TF_Tekniker,AS$4,TF_Dato,$A515))*2,0)/2)))</f>
        <v/>
      </c>
      <c r="AT515">
        <f>IF(OR(AT$4="",$A515&gt;TODAY()),0,IF(OR(INDEX($B515:$D515,AT$5)="F",AND(AT$6&gt;0,$A515&lt;AT$6),AND(AT$7&gt;0,$A515&gt;AT$7)),0,MAX(0,ROUND((INDEX($E515:$G515,AT$5)-SUMIFS(TF_Timer,TF_Tekniker,AT$4,TF_Dato,$A515))*2,0)/2)))</f>
        <v/>
      </c>
      <c r="AU515">
        <f>IF(OR(AU$4="",$A515&gt;TODAY()),0,IF(OR(INDEX($B515:$D515,AU$5)="F",AND(AU$6&gt;0,$A515&lt;AU$6),AND(AU$7&gt;0,$A515&gt;AU$7)),0,MAX(0,ROUND((INDEX($E515:$G515,AU$5)-SUMIFS(TF_Timer,TF_Tekniker,AU$4,TF_Dato,$A515))*2,0)/2)))</f>
        <v/>
      </c>
      <c r="AV515">
        <f>IF(OR(AV$4="",$A515&gt;TODAY()),0,IF(OR(INDEX($B515:$D515,AV$5)="F",AND(AV$6&gt;0,$A515&lt;AV$6),AND(AV$7&gt;0,$A515&gt;AV$7)),0,MAX(0,ROUND((INDEX($E515:$G515,AV$5)-SUMIFS(TF_Timer,TF_Tekniker,AV$4,TF_Dato,$A515))*2,0)/2)))</f>
        <v/>
      </c>
      <c r="AW515">
        <f>IF(OR(AW$4="",$A515&gt;TODAY()),0,IF(OR(INDEX($B515:$D515,AW$5)="F",AND(AW$6&gt;0,$A515&lt;AW$6),AND(AW$7&gt;0,$A515&gt;AW$7)),0,MAX(0,ROUND((INDEX($E515:$G515,AW$5)-SUMIFS(TF_Timer,TF_Tekniker,AW$4,TF_Dato,$A515))*2,0)/2)))</f>
        <v/>
      </c>
      <c r="AX515">
        <f>IF(OR(AX$4="",$A515&gt;TODAY()),0,IF(OR(INDEX($B515:$D515,AX$5)="F",AND(AX$6&gt;0,$A515&lt;AX$6),AND(AX$7&gt;0,$A515&gt;AX$7)),0,MAX(0,ROUND((INDEX($E515:$G515,AX$5)-SUMIFS(TF_Timer,TF_Tekniker,AX$4,TF_Dato,$A515))*2,0)/2)))</f>
        <v/>
      </c>
      <c r="AY515">
        <f>IF(OR(AY$4="",$A515&gt;TODAY()),0,IF(OR(INDEX($B515:$D515,AY$5)="F",AND(AY$6&gt;0,$A515&lt;AY$6),AND(AY$7&gt;0,$A515&gt;AY$7)),0,MAX(0,ROUND((INDEX($E515:$G515,AY$5)-SUMIFS(TF_Timer,TF_Tekniker,AY$4,TF_Dato,$A515))*2,0)/2)))</f>
        <v/>
      </c>
      <c r="AZ515">
        <f>IF(OR(AZ$4="",$A515&gt;TODAY()),0,IF(OR(INDEX($B515:$D515,AZ$5)="F",AND(AZ$6&gt;0,$A515&lt;AZ$6),AND(AZ$7&gt;0,$A515&gt;AZ$7)),0,MAX(0,ROUND((INDEX($E515:$G515,AZ$5)-SUMIFS(TF_Timer,TF_Tekniker,AZ$4,TF_Dato,$A515))*2,0)/2)))</f>
        <v/>
      </c>
      <c r="BA515">
        <f>IF(OR(BA$4="",$A515&gt;TODAY()),0,IF(OR(INDEX($B515:$D515,BA$5)="F",AND(BA$6&gt;0,$A515&lt;BA$6),AND(BA$7&gt;0,$A515&gt;BA$7)),0,MAX(0,ROUND((INDEX($E515:$G515,BA$5)-SUMIFS(TF_Timer,TF_Tekniker,BA$4,TF_Dato,$A515))*2,0)/2)))</f>
        <v/>
      </c>
      <c r="BB515">
        <f>IF(OR(BB$4="",$A515&gt;TODAY()),0,IF(OR(INDEX($B515:$D515,BB$5)="F",AND(BB$6&gt;0,$A515&lt;BB$6),AND(BB$7&gt;0,$A515&gt;BB$7)),0,MAX(0,ROUND((INDEX($E515:$G515,BB$5)-SUMIFS(TF_Timer,TF_Tekniker,BB$4,TF_Dato,$A515))*2,0)/2)))</f>
        <v/>
      </c>
      <c r="BC515">
        <f>IF(OR(BC$4="",$A515&gt;TODAY()),0,IF(OR(INDEX($B515:$D515,BC$5)="F",AND(BC$6&gt;0,$A515&lt;BC$6),AND(BC$7&gt;0,$A515&gt;BC$7)),0,MAX(0,ROUND((INDEX($E515:$G515,BC$5)-SUMIFS(TF_Timer,TF_Tekniker,BC$4,TF_Dato,$A515))*2,0)/2)))</f>
        <v/>
      </c>
      <c r="BD515">
        <f>IF(OR(BD$4="",$A515&gt;TODAY()),0,IF(OR(INDEX($B515:$D515,BD$5)="F",AND(BD$6&gt;0,$A515&lt;BD$6),AND(BD$7&gt;0,$A515&gt;BD$7)),0,MAX(0,ROUND((INDEX($E515:$G515,BD$5)-SUMIFS(TF_Timer,TF_Tekniker,BD$4,TF_Dato,$A515))*2,0)/2)))</f>
        <v/>
      </c>
      <c r="BE515">
        <f>IF(OR(BE$4="",$A515&gt;TODAY()),0,IF(OR(INDEX($B515:$D515,BE$5)="F",AND(BE$6&gt;0,$A515&lt;BE$6),AND(BE$7&gt;0,$A515&gt;BE$7)),0,MAX(0,ROUND((INDEX($E515:$G515,BE$5)-SUMIFS(TF_Timer,TF_Tekniker,BE$4,TF_Dato,$A515))*2,0)/2)))</f>
        <v/>
      </c>
      <c r="BF515">
        <f>IF(OR(BF$4="",$A515&gt;TODAY()),0,IF(OR(INDEX($B515:$D515,BF$5)="F",AND(BF$6&gt;0,$A515&lt;BF$6),AND(BF$7&gt;0,$A515&gt;BF$7)),0,MAX(0,ROUND((INDEX($E515:$G515,BF$5)-SUMIFS(TF_Timer,TF_Tekniker,BF$4,TF_Dato,$A515))*2,0)/2)))</f>
        <v/>
      </c>
      <c r="BG515">
        <f>IF(OR(BG$4="",$A515&gt;TODAY()),0,IF(OR(INDEX($B515:$D515,BG$5)="F",AND(BG$6&gt;0,$A515&lt;BG$6),AND(BG$7&gt;0,$A515&gt;BG$7)),0,MAX(0,ROUND((INDEX($E515:$G515,BG$5)-SUMIFS(TF_Timer,TF_Tekniker,BG$4,TF_Dato,$A515))*2,0)/2)))</f>
        <v/>
      </c>
      <c r="BH515">
        <f>IF(OR(BH$4="",$A515&gt;TODAY()),0,IF(OR(INDEX($B515:$D515,BH$5)="F",AND(BH$6&gt;0,$A515&lt;BH$6),AND(BH$7&gt;0,$A515&gt;BH$7)),0,MAX(0,ROUND((INDEX($E515:$G515,BH$5)-SUMIFS(TF_Timer,TF_Tekniker,BH$4,TF_Dato,$A515))*2,0)/2)))</f>
        <v/>
      </c>
      <c r="BI515">
        <f>IF(OR(BI$4="",$A515&gt;TODAY()),0,IF(OR(INDEX($B515:$D515,BI$5)="F",AND(BI$6&gt;0,$A515&lt;BI$6),AND(BI$7&gt;0,$A515&gt;BI$7)),0,MAX(0,ROUND((INDEX($E515:$G515,BI$5)-SUMIFS(TF_Timer,TF_Tekniker,BI$4,TF_Dato,$A515))*2,0)/2)))</f>
        <v/>
      </c>
    </row>
    <row r="516">
      <c r="A516" s="64">
        <f>A515+1</f>
        <v/>
      </c>
      <c r="B516">
        <f>IF(MOD($A516-INDEX(SkiftStart,1),Syklus)&lt;DagK,"K",IF(MOD($A516-INDEX(SkiftStart,1),Syklus)&lt;DagK+DagH,"H",IF(MOD($A516-INDEX(SkiftStart,1),Syklus)&lt;DagK+DagH+DagD,"D","F")))</f>
        <v/>
      </c>
      <c r="C516">
        <f>IF(MOD($A516-INDEX(SkiftStart,2),Syklus)&lt;DagK,"K",IF(MOD($A516-INDEX(SkiftStart,2),Syklus)&lt;DagK+DagH,"H",IF(MOD($A516-INDEX(SkiftStart,2),Syklus)&lt;DagK+DagH+DagD,"D","F")))</f>
        <v/>
      </c>
      <c r="D516">
        <f>IF(MOD($A516-INDEX(SkiftStart,3),Syklus)&lt;DagK,"K",IF(MOD($A516-INDEX(SkiftStart,3),Syklus)&lt;DagK+DagH,"H",IF(MOD($A516-INDEX(SkiftStart,3),Syklus)&lt;DagK+DagH+DagD,"D","F")))</f>
        <v/>
      </c>
      <c r="E516">
        <f>IF(B516="F",0,IF(WEEKDAY($A516,2)=5,INDEX(TimerFr,MATCH(B516,FaseKode,0)),INDEX(TimerMT,MATCH(B516,FaseKode,0))))</f>
        <v/>
      </c>
      <c r="F516">
        <f>IF(C516="F",0,IF(WEEKDAY($A516,2)=5,INDEX(TimerFr,MATCH(C516,FaseKode,0)),INDEX(TimerMT,MATCH(C516,FaseKode,0))))</f>
        <v/>
      </c>
      <c r="G516">
        <f>IF(D516="F",0,IF(WEEKDAY($A516,2)=5,INDEX(TimerFr,MATCH(D516,FaseKode,0)),INDEX(TimerMT,MATCH(D516,FaseKode,0))))</f>
        <v/>
      </c>
      <c r="H516">
        <f>IF(OR(H$4="",$A516&gt;TODAY()),0,IF(OR(INDEX($B516:$D516,H$5)="F",AND(H$6&gt;0,$A516&lt;H$6),AND(H$7&gt;0,$A516&gt;H$7)),0,MAX(0,ROUND((INDEX($E516:$G516,H$5)-SUMIFS(TF_Timer,TF_Tekniker,H$4,TF_Dato,$A516))*2,0)/2)))</f>
        <v/>
      </c>
      <c r="I516">
        <f>IF(OR(I$4="",$A516&gt;TODAY()),0,IF(OR(INDEX($B516:$D516,I$5)="F",AND(I$6&gt;0,$A516&lt;I$6),AND(I$7&gt;0,$A516&gt;I$7)),0,MAX(0,ROUND((INDEX($E516:$G516,I$5)-SUMIFS(TF_Timer,TF_Tekniker,I$4,TF_Dato,$A516))*2,0)/2)))</f>
        <v/>
      </c>
      <c r="J516">
        <f>IF(OR(J$4="",$A516&gt;TODAY()),0,IF(OR(INDEX($B516:$D516,J$5)="F",AND(J$6&gt;0,$A516&lt;J$6),AND(J$7&gt;0,$A516&gt;J$7)),0,MAX(0,ROUND((INDEX($E516:$G516,J$5)-SUMIFS(TF_Timer,TF_Tekniker,J$4,TF_Dato,$A516))*2,0)/2)))</f>
        <v/>
      </c>
      <c r="K516">
        <f>IF(OR(K$4="",$A516&gt;TODAY()),0,IF(OR(INDEX($B516:$D516,K$5)="F",AND(K$6&gt;0,$A516&lt;K$6),AND(K$7&gt;0,$A516&gt;K$7)),0,MAX(0,ROUND((INDEX($E516:$G516,K$5)-SUMIFS(TF_Timer,TF_Tekniker,K$4,TF_Dato,$A516))*2,0)/2)))</f>
        <v/>
      </c>
      <c r="L516">
        <f>IF(OR(L$4="",$A516&gt;TODAY()),0,IF(OR(INDEX($B516:$D516,L$5)="F",AND(L$6&gt;0,$A516&lt;L$6),AND(L$7&gt;0,$A516&gt;L$7)),0,MAX(0,ROUND((INDEX($E516:$G516,L$5)-SUMIFS(TF_Timer,TF_Tekniker,L$4,TF_Dato,$A516))*2,0)/2)))</f>
        <v/>
      </c>
      <c r="M516">
        <f>IF(OR(M$4="",$A516&gt;TODAY()),0,IF(OR(INDEX($B516:$D516,M$5)="F",AND(M$6&gt;0,$A516&lt;M$6),AND(M$7&gt;0,$A516&gt;M$7)),0,MAX(0,ROUND((INDEX($E516:$G516,M$5)-SUMIFS(TF_Timer,TF_Tekniker,M$4,TF_Dato,$A516))*2,0)/2)))</f>
        <v/>
      </c>
      <c r="N516">
        <f>IF(OR(N$4="",$A516&gt;TODAY()),0,IF(OR(INDEX($B516:$D516,N$5)="F",AND(N$6&gt;0,$A516&lt;N$6),AND(N$7&gt;0,$A516&gt;N$7)),0,MAX(0,ROUND((INDEX($E516:$G516,N$5)-SUMIFS(TF_Timer,TF_Tekniker,N$4,TF_Dato,$A516))*2,0)/2)))</f>
        <v/>
      </c>
      <c r="O516">
        <f>IF(OR(O$4="",$A516&gt;TODAY()),0,IF(OR(INDEX($B516:$D516,O$5)="F",AND(O$6&gt;0,$A516&lt;O$6),AND(O$7&gt;0,$A516&gt;O$7)),0,MAX(0,ROUND((INDEX($E516:$G516,O$5)-SUMIFS(TF_Timer,TF_Tekniker,O$4,TF_Dato,$A516))*2,0)/2)))</f>
        <v/>
      </c>
      <c r="P516">
        <f>IF(OR(P$4="",$A516&gt;TODAY()),0,IF(OR(INDEX($B516:$D516,P$5)="F",AND(P$6&gt;0,$A516&lt;P$6),AND(P$7&gt;0,$A516&gt;P$7)),0,MAX(0,ROUND((INDEX($E516:$G516,P$5)-SUMIFS(TF_Timer,TF_Tekniker,P$4,TF_Dato,$A516))*2,0)/2)))</f>
        <v/>
      </c>
      <c r="Q516">
        <f>IF(OR(Q$4="",$A516&gt;TODAY()),0,IF(OR(INDEX($B516:$D516,Q$5)="F",AND(Q$6&gt;0,$A516&lt;Q$6),AND(Q$7&gt;0,$A516&gt;Q$7)),0,MAX(0,ROUND((INDEX($E516:$G516,Q$5)-SUMIFS(TF_Timer,TF_Tekniker,Q$4,TF_Dato,$A516))*2,0)/2)))</f>
        <v/>
      </c>
      <c r="R516">
        <f>IF(OR(R$4="",$A516&gt;TODAY()),0,IF(OR(INDEX($B516:$D516,R$5)="F",AND(R$6&gt;0,$A516&lt;R$6),AND(R$7&gt;0,$A516&gt;R$7)),0,MAX(0,ROUND((INDEX($E516:$G516,R$5)-SUMIFS(TF_Timer,TF_Tekniker,R$4,TF_Dato,$A516))*2,0)/2)))</f>
        <v/>
      </c>
      <c r="S516">
        <f>IF(OR(S$4="",$A516&gt;TODAY()),0,IF(OR(INDEX($B516:$D516,S$5)="F",AND(S$6&gt;0,$A516&lt;S$6),AND(S$7&gt;0,$A516&gt;S$7)),0,MAX(0,ROUND((INDEX($E516:$G516,S$5)-SUMIFS(TF_Timer,TF_Tekniker,S$4,TF_Dato,$A516))*2,0)/2)))</f>
        <v/>
      </c>
      <c r="T516">
        <f>IF(OR(T$4="",$A516&gt;TODAY()),0,IF(OR(INDEX($B516:$D516,T$5)="F",AND(T$6&gt;0,$A516&lt;T$6),AND(T$7&gt;0,$A516&gt;T$7)),0,MAX(0,ROUND((INDEX($E516:$G516,T$5)-SUMIFS(TF_Timer,TF_Tekniker,T$4,TF_Dato,$A516))*2,0)/2)))</f>
        <v/>
      </c>
      <c r="U516">
        <f>IF(OR(U$4="",$A516&gt;TODAY()),0,IF(OR(INDEX($B516:$D516,U$5)="F",AND(U$6&gt;0,$A516&lt;U$6),AND(U$7&gt;0,$A516&gt;U$7)),0,MAX(0,ROUND((INDEX($E516:$G516,U$5)-SUMIFS(TF_Timer,TF_Tekniker,U$4,TF_Dato,$A516))*2,0)/2)))</f>
        <v/>
      </c>
      <c r="V516">
        <f>IF(OR(V$4="",$A516&gt;TODAY()),0,IF(OR(INDEX($B516:$D516,V$5)="F",AND(V$6&gt;0,$A516&lt;V$6),AND(V$7&gt;0,$A516&gt;V$7)),0,MAX(0,ROUND((INDEX($E516:$G516,V$5)-SUMIFS(TF_Timer,TF_Tekniker,V$4,TF_Dato,$A516))*2,0)/2)))</f>
        <v/>
      </c>
      <c r="W516">
        <f>IF(OR(W$4="",$A516&gt;TODAY()),0,IF(OR(INDEX($B516:$D516,W$5)="F",AND(W$6&gt;0,$A516&lt;W$6),AND(W$7&gt;0,$A516&gt;W$7)),0,MAX(0,ROUND((INDEX($E516:$G516,W$5)-SUMIFS(TF_Timer,TF_Tekniker,W$4,TF_Dato,$A516))*2,0)/2)))</f>
        <v/>
      </c>
      <c r="X516">
        <f>IF(OR(X$4="",$A516&gt;TODAY()),0,IF(OR(INDEX($B516:$D516,X$5)="F",AND(X$6&gt;0,$A516&lt;X$6),AND(X$7&gt;0,$A516&gt;X$7)),0,MAX(0,ROUND((INDEX($E516:$G516,X$5)-SUMIFS(TF_Timer,TF_Tekniker,X$4,TF_Dato,$A516))*2,0)/2)))</f>
        <v/>
      </c>
      <c r="Y516">
        <f>IF(OR(Y$4="",$A516&gt;TODAY()),0,IF(OR(INDEX($B516:$D516,Y$5)="F",AND(Y$6&gt;0,$A516&lt;Y$6),AND(Y$7&gt;0,$A516&gt;Y$7)),0,MAX(0,ROUND((INDEX($E516:$G516,Y$5)-SUMIFS(TF_Timer,TF_Tekniker,Y$4,TF_Dato,$A516))*2,0)/2)))</f>
        <v/>
      </c>
      <c r="Z516">
        <f>IF(OR(Z$4="",$A516&gt;TODAY()),0,IF(OR(INDEX($B516:$D516,Z$5)="F",AND(Z$6&gt;0,$A516&lt;Z$6),AND(Z$7&gt;0,$A516&gt;Z$7)),0,MAX(0,ROUND((INDEX($E516:$G516,Z$5)-SUMIFS(TF_Timer,TF_Tekniker,Z$4,TF_Dato,$A516))*2,0)/2)))</f>
        <v/>
      </c>
      <c r="AA516">
        <f>IF(OR(AA$4="",$A516&gt;TODAY()),0,IF(OR(INDEX($B516:$D516,AA$5)="F",AND(AA$6&gt;0,$A516&lt;AA$6),AND(AA$7&gt;0,$A516&gt;AA$7)),0,MAX(0,ROUND((INDEX($E516:$G516,AA$5)-SUMIFS(TF_Timer,TF_Tekniker,AA$4,TF_Dato,$A516))*2,0)/2)))</f>
        <v/>
      </c>
      <c r="AB516">
        <f>IF(OR(AB$4="",$A516&gt;TODAY()),0,IF(OR(INDEX($B516:$D516,AB$5)="F",AND(AB$6&gt;0,$A516&lt;AB$6),AND(AB$7&gt;0,$A516&gt;AB$7)),0,MAX(0,ROUND((INDEX($E516:$G516,AB$5)-SUMIFS(TF_Timer,TF_Tekniker,AB$4,TF_Dato,$A516))*2,0)/2)))</f>
        <v/>
      </c>
      <c r="AC516">
        <f>IF(OR(AC$4="",$A516&gt;TODAY()),0,IF(OR(INDEX($B516:$D516,AC$5)="F",AND(AC$6&gt;0,$A516&lt;AC$6),AND(AC$7&gt;0,$A516&gt;AC$7)),0,MAX(0,ROUND((INDEX($E516:$G516,AC$5)-SUMIFS(TF_Timer,TF_Tekniker,AC$4,TF_Dato,$A516))*2,0)/2)))</f>
        <v/>
      </c>
      <c r="AD516">
        <f>IF(OR(AD$4="",$A516&gt;TODAY()),0,IF(OR(INDEX($B516:$D516,AD$5)="F",AND(AD$6&gt;0,$A516&lt;AD$6),AND(AD$7&gt;0,$A516&gt;AD$7)),0,MAX(0,ROUND((INDEX($E516:$G516,AD$5)-SUMIFS(TF_Timer,TF_Tekniker,AD$4,TF_Dato,$A516))*2,0)/2)))</f>
        <v/>
      </c>
      <c r="AE516">
        <f>IF(OR(AE$4="",$A516&gt;TODAY()),0,IF(OR(INDEX($B516:$D516,AE$5)="F",AND(AE$6&gt;0,$A516&lt;AE$6),AND(AE$7&gt;0,$A516&gt;AE$7)),0,MAX(0,ROUND((INDEX($E516:$G516,AE$5)-SUMIFS(TF_Timer,TF_Tekniker,AE$4,TF_Dato,$A516))*2,0)/2)))</f>
        <v/>
      </c>
      <c r="AF516">
        <f>IF(OR(AF$4="",$A516&gt;TODAY()),0,IF(OR(INDEX($B516:$D516,AF$5)="F",AND(AF$6&gt;0,$A516&lt;AF$6),AND(AF$7&gt;0,$A516&gt;AF$7)),0,MAX(0,ROUND((INDEX($E516:$G516,AF$5)-SUMIFS(TF_Timer,TF_Tekniker,AF$4,TF_Dato,$A516))*2,0)/2)))</f>
        <v/>
      </c>
      <c r="AG516">
        <f>IF(OR(AG$4="",$A516&gt;TODAY()),0,IF(OR(INDEX($B516:$D516,AG$5)="F",AND(AG$6&gt;0,$A516&lt;AG$6),AND(AG$7&gt;0,$A516&gt;AG$7)),0,MAX(0,ROUND((INDEX($E516:$G516,AG$5)-SUMIFS(TF_Timer,TF_Tekniker,AG$4,TF_Dato,$A516))*2,0)/2)))</f>
        <v/>
      </c>
      <c r="AH516">
        <f>IF(OR(AH$4="",$A516&gt;TODAY()),0,IF(OR(INDEX($B516:$D516,AH$5)="F",AND(AH$6&gt;0,$A516&lt;AH$6),AND(AH$7&gt;0,$A516&gt;AH$7)),0,MAX(0,ROUND((INDEX($E516:$G516,AH$5)-SUMIFS(TF_Timer,TF_Tekniker,AH$4,TF_Dato,$A516))*2,0)/2)))</f>
        <v/>
      </c>
      <c r="AI516">
        <f>IF(OR(AI$4="",$A516&gt;TODAY()),0,IF(OR(INDEX($B516:$D516,AI$5)="F",AND(AI$6&gt;0,$A516&lt;AI$6),AND(AI$7&gt;0,$A516&gt;AI$7)),0,MAX(0,ROUND((INDEX($E516:$G516,AI$5)-SUMIFS(TF_Timer,TF_Tekniker,AI$4,TF_Dato,$A516))*2,0)/2)))</f>
        <v/>
      </c>
      <c r="AJ516">
        <f>IF(OR(AJ$4="",$A516&gt;TODAY()),0,IF(OR(INDEX($B516:$D516,AJ$5)="F",AND(AJ$6&gt;0,$A516&lt;AJ$6),AND(AJ$7&gt;0,$A516&gt;AJ$7)),0,MAX(0,ROUND((INDEX($E516:$G516,AJ$5)-SUMIFS(TF_Timer,TF_Tekniker,AJ$4,TF_Dato,$A516))*2,0)/2)))</f>
        <v/>
      </c>
      <c r="AK516">
        <f>IF(OR(AK$4="",$A516&gt;TODAY()),0,IF(OR(INDEX($B516:$D516,AK$5)="F",AND(AK$6&gt;0,$A516&lt;AK$6),AND(AK$7&gt;0,$A516&gt;AK$7)),0,MAX(0,ROUND((INDEX($E516:$G516,AK$5)-SUMIFS(TF_Timer,TF_Tekniker,AK$4,TF_Dato,$A516))*2,0)/2)))</f>
        <v/>
      </c>
      <c r="AL516">
        <f>IF(OR(AL$4="",$A516&gt;TODAY()),0,IF(OR(INDEX($B516:$D516,AL$5)="F",AND(AL$6&gt;0,$A516&lt;AL$6),AND(AL$7&gt;0,$A516&gt;AL$7)),0,MAX(0,ROUND((INDEX($E516:$G516,AL$5)-SUMIFS(TF_Timer,TF_Tekniker,AL$4,TF_Dato,$A516))*2,0)/2)))</f>
        <v/>
      </c>
      <c r="AM516">
        <f>IF(OR(AM$4="",$A516&gt;TODAY()),0,IF(OR(INDEX($B516:$D516,AM$5)="F",AND(AM$6&gt;0,$A516&lt;AM$6),AND(AM$7&gt;0,$A516&gt;AM$7)),0,MAX(0,ROUND((INDEX($E516:$G516,AM$5)-SUMIFS(TF_Timer,TF_Tekniker,AM$4,TF_Dato,$A516))*2,0)/2)))</f>
        <v/>
      </c>
      <c r="AN516">
        <f>IF(OR(AN$4="",$A516&gt;TODAY()),0,IF(OR(INDEX($B516:$D516,AN$5)="F",AND(AN$6&gt;0,$A516&lt;AN$6),AND(AN$7&gt;0,$A516&gt;AN$7)),0,MAX(0,ROUND((INDEX($E516:$G516,AN$5)-SUMIFS(TF_Timer,TF_Tekniker,AN$4,TF_Dato,$A516))*2,0)/2)))</f>
        <v/>
      </c>
      <c r="AO516">
        <f>IF(OR(AO$4="",$A516&gt;TODAY()),0,IF(OR(INDEX($B516:$D516,AO$5)="F",AND(AO$6&gt;0,$A516&lt;AO$6),AND(AO$7&gt;0,$A516&gt;AO$7)),0,MAX(0,ROUND((INDEX($E516:$G516,AO$5)-SUMIFS(TF_Timer,TF_Tekniker,AO$4,TF_Dato,$A516))*2,0)/2)))</f>
        <v/>
      </c>
      <c r="AP516">
        <f>IF(OR(AP$4="",$A516&gt;TODAY()),0,IF(OR(INDEX($B516:$D516,AP$5)="F",AND(AP$6&gt;0,$A516&lt;AP$6),AND(AP$7&gt;0,$A516&gt;AP$7)),0,MAX(0,ROUND((INDEX($E516:$G516,AP$5)-SUMIFS(TF_Timer,TF_Tekniker,AP$4,TF_Dato,$A516))*2,0)/2)))</f>
        <v/>
      </c>
      <c r="AQ516">
        <f>IF(OR(AQ$4="",$A516&gt;TODAY()),0,IF(OR(INDEX($B516:$D516,AQ$5)="F",AND(AQ$6&gt;0,$A516&lt;AQ$6),AND(AQ$7&gt;0,$A516&gt;AQ$7)),0,MAX(0,ROUND((INDEX($E516:$G516,AQ$5)-SUMIFS(TF_Timer,TF_Tekniker,AQ$4,TF_Dato,$A516))*2,0)/2)))</f>
        <v/>
      </c>
      <c r="AR516">
        <f>IF(OR(AR$4="",$A516&gt;TODAY()),0,IF(OR(INDEX($B516:$D516,AR$5)="F",AND(AR$6&gt;0,$A516&lt;AR$6),AND(AR$7&gt;0,$A516&gt;AR$7)),0,MAX(0,ROUND((INDEX($E516:$G516,AR$5)-SUMIFS(TF_Timer,TF_Tekniker,AR$4,TF_Dato,$A516))*2,0)/2)))</f>
        <v/>
      </c>
      <c r="AS516">
        <f>IF(OR(AS$4="",$A516&gt;TODAY()),0,IF(OR(INDEX($B516:$D516,AS$5)="F",AND(AS$6&gt;0,$A516&lt;AS$6),AND(AS$7&gt;0,$A516&gt;AS$7)),0,MAX(0,ROUND((INDEX($E516:$G516,AS$5)-SUMIFS(TF_Timer,TF_Tekniker,AS$4,TF_Dato,$A516))*2,0)/2)))</f>
        <v/>
      </c>
      <c r="AT516">
        <f>IF(OR(AT$4="",$A516&gt;TODAY()),0,IF(OR(INDEX($B516:$D516,AT$5)="F",AND(AT$6&gt;0,$A516&lt;AT$6),AND(AT$7&gt;0,$A516&gt;AT$7)),0,MAX(0,ROUND((INDEX($E516:$G516,AT$5)-SUMIFS(TF_Timer,TF_Tekniker,AT$4,TF_Dato,$A516))*2,0)/2)))</f>
        <v/>
      </c>
      <c r="AU516">
        <f>IF(OR(AU$4="",$A516&gt;TODAY()),0,IF(OR(INDEX($B516:$D516,AU$5)="F",AND(AU$6&gt;0,$A516&lt;AU$6),AND(AU$7&gt;0,$A516&gt;AU$7)),0,MAX(0,ROUND((INDEX($E516:$G516,AU$5)-SUMIFS(TF_Timer,TF_Tekniker,AU$4,TF_Dato,$A516))*2,0)/2)))</f>
        <v/>
      </c>
      <c r="AV516">
        <f>IF(OR(AV$4="",$A516&gt;TODAY()),0,IF(OR(INDEX($B516:$D516,AV$5)="F",AND(AV$6&gt;0,$A516&lt;AV$6),AND(AV$7&gt;0,$A516&gt;AV$7)),0,MAX(0,ROUND((INDEX($E516:$G516,AV$5)-SUMIFS(TF_Timer,TF_Tekniker,AV$4,TF_Dato,$A516))*2,0)/2)))</f>
        <v/>
      </c>
      <c r="AW516">
        <f>IF(OR(AW$4="",$A516&gt;TODAY()),0,IF(OR(INDEX($B516:$D516,AW$5)="F",AND(AW$6&gt;0,$A516&lt;AW$6),AND(AW$7&gt;0,$A516&gt;AW$7)),0,MAX(0,ROUND((INDEX($E516:$G516,AW$5)-SUMIFS(TF_Timer,TF_Tekniker,AW$4,TF_Dato,$A516))*2,0)/2)))</f>
        <v/>
      </c>
      <c r="AX516">
        <f>IF(OR(AX$4="",$A516&gt;TODAY()),0,IF(OR(INDEX($B516:$D516,AX$5)="F",AND(AX$6&gt;0,$A516&lt;AX$6),AND(AX$7&gt;0,$A516&gt;AX$7)),0,MAX(0,ROUND((INDEX($E516:$G516,AX$5)-SUMIFS(TF_Timer,TF_Tekniker,AX$4,TF_Dato,$A516))*2,0)/2)))</f>
        <v/>
      </c>
      <c r="AY516">
        <f>IF(OR(AY$4="",$A516&gt;TODAY()),0,IF(OR(INDEX($B516:$D516,AY$5)="F",AND(AY$6&gt;0,$A516&lt;AY$6),AND(AY$7&gt;0,$A516&gt;AY$7)),0,MAX(0,ROUND((INDEX($E516:$G516,AY$5)-SUMIFS(TF_Timer,TF_Tekniker,AY$4,TF_Dato,$A516))*2,0)/2)))</f>
        <v/>
      </c>
      <c r="AZ516">
        <f>IF(OR(AZ$4="",$A516&gt;TODAY()),0,IF(OR(INDEX($B516:$D516,AZ$5)="F",AND(AZ$6&gt;0,$A516&lt;AZ$6),AND(AZ$7&gt;0,$A516&gt;AZ$7)),0,MAX(0,ROUND((INDEX($E516:$G516,AZ$5)-SUMIFS(TF_Timer,TF_Tekniker,AZ$4,TF_Dato,$A516))*2,0)/2)))</f>
        <v/>
      </c>
      <c r="BA516">
        <f>IF(OR(BA$4="",$A516&gt;TODAY()),0,IF(OR(INDEX($B516:$D516,BA$5)="F",AND(BA$6&gt;0,$A516&lt;BA$6),AND(BA$7&gt;0,$A516&gt;BA$7)),0,MAX(0,ROUND((INDEX($E516:$G516,BA$5)-SUMIFS(TF_Timer,TF_Tekniker,BA$4,TF_Dato,$A516))*2,0)/2)))</f>
        <v/>
      </c>
      <c r="BB516">
        <f>IF(OR(BB$4="",$A516&gt;TODAY()),0,IF(OR(INDEX($B516:$D516,BB$5)="F",AND(BB$6&gt;0,$A516&lt;BB$6),AND(BB$7&gt;0,$A516&gt;BB$7)),0,MAX(0,ROUND((INDEX($E516:$G516,BB$5)-SUMIFS(TF_Timer,TF_Tekniker,BB$4,TF_Dato,$A516))*2,0)/2)))</f>
        <v/>
      </c>
      <c r="BC516">
        <f>IF(OR(BC$4="",$A516&gt;TODAY()),0,IF(OR(INDEX($B516:$D516,BC$5)="F",AND(BC$6&gt;0,$A516&lt;BC$6),AND(BC$7&gt;0,$A516&gt;BC$7)),0,MAX(0,ROUND((INDEX($E516:$G516,BC$5)-SUMIFS(TF_Timer,TF_Tekniker,BC$4,TF_Dato,$A516))*2,0)/2)))</f>
        <v/>
      </c>
      <c r="BD516">
        <f>IF(OR(BD$4="",$A516&gt;TODAY()),0,IF(OR(INDEX($B516:$D516,BD$5)="F",AND(BD$6&gt;0,$A516&lt;BD$6),AND(BD$7&gt;0,$A516&gt;BD$7)),0,MAX(0,ROUND((INDEX($E516:$G516,BD$5)-SUMIFS(TF_Timer,TF_Tekniker,BD$4,TF_Dato,$A516))*2,0)/2)))</f>
        <v/>
      </c>
      <c r="BE516">
        <f>IF(OR(BE$4="",$A516&gt;TODAY()),0,IF(OR(INDEX($B516:$D516,BE$5)="F",AND(BE$6&gt;0,$A516&lt;BE$6),AND(BE$7&gt;0,$A516&gt;BE$7)),0,MAX(0,ROUND((INDEX($E516:$G516,BE$5)-SUMIFS(TF_Timer,TF_Tekniker,BE$4,TF_Dato,$A516))*2,0)/2)))</f>
        <v/>
      </c>
      <c r="BF516">
        <f>IF(OR(BF$4="",$A516&gt;TODAY()),0,IF(OR(INDEX($B516:$D516,BF$5)="F",AND(BF$6&gt;0,$A516&lt;BF$6),AND(BF$7&gt;0,$A516&gt;BF$7)),0,MAX(0,ROUND((INDEX($E516:$G516,BF$5)-SUMIFS(TF_Timer,TF_Tekniker,BF$4,TF_Dato,$A516))*2,0)/2)))</f>
        <v/>
      </c>
      <c r="BG516">
        <f>IF(OR(BG$4="",$A516&gt;TODAY()),0,IF(OR(INDEX($B516:$D516,BG$5)="F",AND(BG$6&gt;0,$A516&lt;BG$6),AND(BG$7&gt;0,$A516&gt;BG$7)),0,MAX(0,ROUND((INDEX($E516:$G516,BG$5)-SUMIFS(TF_Timer,TF_Tekniker,BG$4,TF_Dato,$A516))*2,0)/2)))</f>
        <v/>
      </c>
      <c r="BH516">
        <f>IF(OR(BH$4="",$A516&gt;TODAY()),0,IF(OR(INDEX($B516:$D516,BH$5)="F",AND(BH$6&gt;0,$A516&lt;BH$6),AND(BH$7&gt;0,$A516&gt;BH$7)),0,MAX(0,ROUND((INDEX($E516:$G516,BH$5)-SUMIFS(TF_Timer,TF_Tekniker,BH$4,TF_Dato,$A516))*2,0)/2)))</f>
        <v/>
      </c>
      <c r="BI516">
        <f>IF(OR(BI$4="",$A516&gt;TODAY()),0,IF(OR(INDEX($B516:$D516,BI$5)="F",AND(BI$6&gt;0,$A516&lt;BI$6),AND(BI$7&gt;0,$A516&gt;BI$7)),0,MAX(0,ROUND((INDEX($E516:$G516,BI$5)-SUMIFS(TF_Timer,TF_Tekniker,BI$4,TF_Dato,$A516))*2,0)/2)))</f>
        <v/>
      </c>
    </row>
    <row r="517">
      <c r="A517" s="64">
        <f>A516+1</f>
        <v/>
      </c>
      <c r="B517">
        <f>IF(MOD($A517-INDEX(SkiftStart,1),Syklus)&lt;DagK,"K",IF(MOD($A517-INDEX(SkiftStart,1),Syklus)&lt;DagK+DagH,"H",IF(MOD($A517-INDEX(SkiftStart,1),Syklus)&lt;DagK+DagH+DagD,"D","F")))</f>
        <v/>
      </c>
      <c r="C517">
        <f>IF(MOD($A517-INDEX(SkiftStart,2),Syklus)&lt;DagK,"K",IF(MOD($A517-INDEX(SkiftStart,2),Syklus)&lt;DagK+DagH,"H",IF(MOD($A517-INDEX(SkiftStart,2),Syklus)&lt;DagK+DagH+DagD,"D","F")))</f>
        <v/>
      </c>
      <c r="D517">
        <f>IF(MOD($A517-INDEX(SkiftStart,3),Syklus)&lt;DagK,"K",IF(MOD($A517-INDEX(SkiftStart,3),Syklus)&lt;DagK+DagH,"H",IF(MOD($A517-INDEX(SkiftStart,3),Syklus)&lt;DagK+DagH+DagD,"D","F")))</f>
        <v/>
      </c>
      <c r="E517">
        <f>IF(B517="F",0,IF(WEEKDAY($A517,2)=5,INDEX(TimerFr,MATCH(B517,FaseKode,0)),INDEX(TimerMT,MATCH(B517,FaseKode,0))))</f>
        <v/>
      </c>
      <c r="F517">
        <f>IF(C517="F",0,IF(WEEKDAY($A517,2)=5,INDEX(TimerFr,MATCH(C517,FaseKode,0)),INDEX(TimerMT,MATCH(C517,FaseKode,0))))</f>
        <v/>
      </c>
      <c r="G517">
        <f>IF(D517="F",0,IF(WEEKDAY($A517,2)=5,INDEX(TimerFr,MATCH(D517,FaseKode,0)),INDEX(TimerMT,MATCH(D517,FaseKode,0))))</f>
        <v/>
      </c>
      <c r="H517">
        <f>IF(OR(H$4="",$A517&gt;TODAY()),0,IF(OR(INDEX($B517:$D517,H$5)="F",AND(H$6&gt;0,$A517&lt;H$6),AND(H$7&gt;0,$A517&gt;H$7)),0,MAX(0,ROUND((INDEX($E517:$G517,H$5)-SUMIFS(TF_Timer,TF_Tekniker,H$4,TF_Dato,$A517))*2,0)/2)))</f>
        <v/>
      </c>
      <c r="I517">
        <f>IF(OR(I$4="",$A517&gt;TODAY()),0,IF(OR(INDEX($B517:$D517,I$5)="F",AND(I$6&gt;0,$A517&lt;I$6),AND(I$7&gt;0,$A517&gt;I$7)),0,MAX(0,ROUND((INDEX($E517:$G517,I$5)-SUMIFS(TF_Timer,TF_Tekniker,I$4,TF_Dato,$A517))*2,0)/2)))</f>
        <v/>
      </c>
      <c r="J517">
        <f>IF(OR(J$4="",$A517&gt;TODAY()),0,IF(OR(INDEX($B517:$D517,J$5)="F",AND(J$6&gt;0,$A517&lt;J$6),AND(J$7&gt;0,$A517&gt;J$7)),0,MAX(0,ROUND((INDEX($E517:$G517,J$5)-SUMIFS(TF_Timer,TF_Tekniker,J$4,TF_Dato,$A517))*2,0)/2)))</f>
        <v/>
      </c>
      <c r="K517">
        <f>IF(OR(K$4="",$A517&gt;TODAY()),0,IF(OR(INDEX($B517:$D517,K$5)="F",AND(K$6&gt;0,$A517&lt;K$6),AND(K$7&gt;0,$A517&gt;K$7)),0,MAX(0,ROUND((INDEX($E517:$G517,K$5)-SUMIFS(TF_Timer,TF_Tekniker,K$4,TF_Dato,$A517))*2,0)/2)))</f>
        <v/>
      </c>
      <c r="L517">
        <f>IF(OR(L$4="",$A517&gt;TODAY()),0,IF(OR(INDEX($B517:$D517,L$5)="F",AND(L$6&gt;0,$A517&lt;L$6),AND(L$7&gt;0,$A517&gt;L$7)),0,MAX(0,ROUND((INDEX($E517:$G517,L$5)-SUMIFS(TF_Timer,TF_Tekniker,L$4,TF_Dato,$A517))*2,0)/2)))</f>
        <v/>
      </c>
      <c r="M517">
        <f>IF(OR(M$4="",$A517&gt;TODAY()),0,IF(OR(INDEX($B517:$D517,M$5)="F",AND(M$6&gt;0,$A517&lt;M$6),AND(M$7&gt;0,$A517&gt;M$7)),0,MAX(0,ROUND((INDEX($E517:$G517,M$5)-SUMIFS(TF_Timer,TF_Tekniker,M$4,TF_Dato,$A517))*2,0)/2)))</f>
        <v/>
      </c>
      <c r="N517">
        <f>IF(OR(N$4="",$A517&gt;TODAY()),0,IF(OR(INDEX($B517:$D517,N$5)="F",AND(N$6&gt;0,$A517&lt;N$6),AND(N$7&gt;0,$A517&gt;N$7)),0,MAX(0,ROUND((INDEX($E517:$G517,N$5)-SUMIFS(TF_Timer,TF_Tekniker,N$4,TF_Dato,$A517))*2,0)/2)))</f>
        <v/>
      </c>
      <c r="O517">
        <f>IF(OR(O$4="",$A517&gt;TODAY()),0,IF(OR(INDEX($B517:$D517,O$5)="F",AND(O$6&gt;0,$A517&lt;O$6),AND(O$7&gt;0,$A517&gt;O$7)),0,MAX(0,ROUND((INDEX($E517:$G517,O$5)-SUMIFS(TF_Timer,TF_Tekniker,O$4,TF_Dato,$A517))*2,0)/2)))</f>
        <v/>
      </c>
      <c r="P517">
        <f>IF(OR(P$4="",$A517&gt;TODAY()),0,IF(OR(INDEX($B517:$D517,P$5)="F",AND(P$6&gt;0,$A517&lt;P$6),AND(P$7&gt;0,$A517&gt;P$7)),0,MAX(0,ROUND((INDEX($E517:$G517,P$5)-SUMIFS(TF_Timer,TF_Tekniker,P$4,TF_Dato,$A517))*2,0)/2)))</f>
        <v/>
      </c>
      <c r="Q517">
        <f>IF(OR(Q$4="",$A517&gt;TODAY()),0,IF(OR(INDEX($B517:$D517,Q$5)="F",AND(Q$6&gt;0,$A517&lt;Q$6),AND(Q$7&gt;0,$A517&gt;Q$7)),0,MAX(0,ROUND((INDEX($E517:$G517,Q$5)-SUMIFS(TF_Timer,TF_Tekniker,Q$4,TF_Dato,$A517))*2,0)/2)))</f>
        <v/>
      </c>
      <c r="R517">
        <f>IF(OR(R$4="",$A517&gt;TODAY()),0,IF(OR(INDEX($B517:$D517,R$5)="F",AND(R$6&gt;0,$A517&lt;R$6),AND(R$7&gt;0,$A517&gt;R$7)),0,MAX(0,ROUND((INDEX($E517:$G517,R$5)-SUMIFS(TF_Timer,TF_Tekniker,R$4,TF_Dato,$A517))*2,0)/2)))</f>
        <v/>
      </c>
      <c r="S517">
        <f>IF(OR(S$4="",$A517&gt;TODAY()),0,IF(OR(INDEX($B517:$D517,S$5)="F",AND(S$6&gt;0,$A517&lt;S$6),AND(S$7&gt;0,$A517&gt;S$7)),0,MAX(0,ROUND((INDEX($E517:$G517,S$5)-SUMIFS(TF_Timer,TF_Tekniker,S$4,TF_Dato,$A517))*2,0)/2)))</f>
        <v/>
      </c>
      <c r="T517">
        <f>IF(OR(T$4="",$A517&gt;TODAY()),0,IF(OR(INDEX($B517:$D517,T$5)="F",AND(T$6&gt;0,$A517&lt;T$6),AND(T$7&gt;0,$A517&gt;T$7)),0,MAX(0,ROUND((INDEX($E517:$G517,T$5)-SUMIFS(TF_Timer,TF_Tekniker,T$4,TF_Dato,$A517))*2,0)/2)))</f>
        <v/>
      </c>
      <c r="U517">
        <f>IF(OR(U$4="",$A517&gt;TODAY()),0,IF(OR(INDEX($B517:$D517,U$5)="F",AND(U$6&gt;0,$A517&lt;U$6),AND(U$7&gt;0,$A517&gt;U$7)),0,MAX(0,ROUND((INDEX($E517:$G517,U$5)-SUMIFS(TF_Timer,TF_Tekniker,U$4,TF_Dato,$A517))*2,0)/2)))</f>
        <v/>
      </c>
      <c r="V517">
        <f>IF(OR(V$4="",$A517&gt;TODAY()),0,IF(OR(INDEX($B517:$D517,V$5)="F",AND(V$6&gt;0,$A517&lt;V$6),AND(V$7&gt;0,$A517&gt;V$7)),0,MAX(0,ROUND((INDEX($E517:$G517,V$5)-SUMIFS(TF_Timer,TF_Tekniker,V$4,TF_Dato,$A517))*2,0)/2)))</f>
        <v/>
      </c>
      <c r="W517">
        <f>IF(OR(W$4="",$A517&gt;TODAY()),0,IF(OR(INDEX($B517:$D517,W$5)="F",AND(W$6&gt;0,$A517&lt;W$6),AND(W$7&gt;0,$A517&gt;W$7)),0,MAX(0,ROUND((INDEX($E517:$G517,W$5)-SUMIFS(TF_Timer,TF_Tekniker,W$4,TF_Dato,$A517))*2,0)/2)))</f>
        <v/>
      </c>
      <c r="X517">
        <f>IF(OR(X$4="",$A517&gt;TODAY()),0,IF(OR(INDEX($B517:$D517,X$5)="F",AND(X$6&gt;0,$A517&lt;X$6),AND(X$7&gt;0,$A517&gt;X$7)),0,MAX(0,ROUND((INDEX($E517:$G517,X$5)-SUMIFS(TF_Timer,TF_Tekniker,X$4,TF_Dato,$A517))*2,0)/2)))</f>
        <v/>
      </c>
      <c r="Y517">
        <f>IF(OR(Y$4="",$A517&gt;TODAY()),0,IF(OR(INDEX($B517:$D517,Y$5)="F",AND(Y$6&gt;0,$A517&lt;Y$6),AND(Y$7&gt;0,$A517&gt;Y$7)),0,MAX(0,ROUND((INDEX($E517:$G517,Y$5)-SUMIFS(TF_Timer,TF_Tekniker,Y$4,TF_Dato,$A517))*2,0)/2)))</f>
        <v/>
      </c>
      <c r="Z517">
        <f>IF(OR(Z$4="",$A517&gt;TODAY()),0,IF(OR(INDEX($B517:$D517,Z$5)="F",AND(Z$6&gt;0,$A517&lt;Z$6),AND(Z$7&gt;0,$A517&gt;Z$7)),0,MAX(0,ROUND((INDEX($E517:$G517,Z$5)-SUMIFS(TF_Timer,TF_Tekniker,Z$4,TF_Dato,$A517))*2,0)/2)))</f>
        <v/>
      </c>
      <c r="AA517">
        <f>IF(OR(AA$4="",$A517&gt;TODAY()),0,IF(OR(INDEX($B517:$D517,AA$5)="F",AND(AA$6&gt;0,$A517&lt;AA$6),AND(AA$7&gt;0,$A517&gt;AA$7)),0,MAX(0,ROUND((INDEX($E517:$G517,AA$5)-SUMIFS(TF_Timer,TF_Tekniker,AA$4,TF_Dato,$A517))*2,0)/2)))</f>
        <v/>
      </c>
      <c r="AB517">
        <f>IF(OR(AB$4="",$A517&gt;TODAY()),0,IF(OR(INDEX($B517:$D517,AB$5)="F",AND(AB$6&gt;0,$A517&lt;AB$6),AND(AB$7&gt;0,$A517&gt;AB$7)),0,MAX(0,ROUND((INDEX($E517:$G517,AB$5)-SUMIFS(TF_Timer,TF_Tekniker,AB$4,TF_Dato,$A517))*2,0)/2)))</f>
        <v/>
      </c>
      <c r="AC517">
        <f>IF(OR(AC$4="",$A517&gt;TODAY()),0,IF(OR(INDEX($B517:$D517,AC$5)="F",AND(AC$6&gt;0,$A517&lt;AC$6),AND(AC$7&gt;0,$A517&gt;AC$7)),0,MAX(0,ROUND((INDEX($E517:$G517,AC$5)-SUMIFS(TF_Timer,TF_Tekniker,AC$4,TF_Dato,$A517))*2,0)/2)))</f>
        <v/>
      </c>
      <c r="AD517">
        <f>IF(OR(AD$4="",$A517&gt;TODAY()),0,IF(OR(INDEX($B517:$D517,AD$5)="F",AND(AD$6&gt;0,$A517&lt;AD$6),AND(AD$7&gt;0,$A517&gt;AD$7)),0,MAX(0,ROUND((INDEX($E517:$G517,AD$5)-SUMIFS(TF_Timer,TF_Tekniker,AD$4,TF_Dato,$A517))*2,0)/2)))</f>
        <v/>
      </c>
      <c r="AE517">
        <f>IF(OR(AE$4="",$A517&gt;TODAY()),0,IF(OR(INDEX($B517:$D517,AE$5)="F",AND(AE$6&gt;0,$A517&lt;AE$6),AND(AE$7&gt;0,$A517&gt;AE$7)),0,MAX(0,ROUND((INDEX($E517:$G517,AE$5)-SUMIFS(TF_Timer,TF_Tekniker,AE$4,TF_Dato,$A517))*2,0)/2)))</f>
        <v/>
      </c>
      <c r="AF517">
        <f>IF(OR(AF$4="",$A517&gt;TODAY()),0,IF(OR(INDEX($B517:$D517,AF$5)="F",AND(AF$6&gt;0,$A517&lt;AF$6),AND(AF$7&gt;0,$A517&gt;AF$7)),0,MAX(0,ROUND((INDEX($E517:$G517,AF$5)-SUMIFS(TF_Timer,TF_Tekniker,AF$4,TF_Dato,$A517))*2,0)/2)))</f>
        <v/>
      </c>
      <c r="AG517">
        <f>IF(OR(AG$4="",$A517&gt;TODAY()),0,IF(OR(INDEX($B517:$D517,AG$5)="F",AND(AG$6&gt;0,$A517&lt;AG$6),AND(AG$7&gt;0,$A517&gt;AG$7)),0,MAX(0,ROUND((INDEX($E517:$G517,AG$5)-SUMIFS(TF_Timer,TF_Tekniker,AG$4,TF_Dato,$A517))*2,0)/2)))</f>
        <v/>
      </c>
      <c r="AH517">
        <f>IF(OR(AH$4="",$A517&gt;TODAY()),0,IF(OR(INDEX($B517:$D517,AH$5)="F",AND(AH$6&gt;0,$A517&lt;AH$6),AND(AH$7&gt;0,$A517&gt;AH$7)),0,MAX(0,ROUND((INDEX($E517:$G517,AH$5)-SUMIFS(TF_Timer,TF_Tekniker,AH$4,TF_Dato,$A517))*2,0)/2)))</f>
        <v/>
      </c>
      <c r="AI517">
        <f>IF(OR(AI$4="",$A517&gt;TODAY()),0,IF(OR(INDEX($B517:$D517,AI$5)="F",AND(AI$6&gt;0,$A517&lt;AI$6),AND(AI$7&gt;0,$A517&gt;AI$7)),0,MAX(0,ROUND((INDEX($E517:$G517,AI$5)-SUMIFS(TF_Timer,TF_Tekniker,AI$4,TF_Dato,$A517))*2,0)/2)))</f>
        <v/>
      </c>
      <c r="AJ517">
        <f>IF(OR(AJ$4="",$A517&gt;TODAY()),0,IF(OR(INDEX($B517:$D517,AJ$5)="F",AND(AJ$6&gt;0,$A517&lt;AJ$6),AND(AJ$7&gt;0,$A517&gt;AJ$7)),0,MAX(0,ROUND((INDEX($E517:$G517,AJ$5)-SUMIFS(TF_Timer,TF_Tekniker,AJ$4,TF_Dato,$A517))*2,0)/2)))</f>
        <v/>
      </c>
      <c r="AK517">
        <f>IF(OR(AK$4="",$A517&gt;TODAY()),0,IF(OR(INDEX($B517:$D517,AK$5)="F",AND(AK$6&gt;0,$A517&lt;AK$6),AND(AK$7&gt;0,$A517&gt;AK$7)),0,MAX(0,ROUND((INDEX($E517:$G517,AK$5)-SUMIFS(TF_Timer,TF_Tekniker,AK$4,TF_Dato,$A517))*2,0)/2)))</f>
        <v/>
      </c>
      <c r="AL517">
        <f>IF(OR(AL$4="",$A517&gt;TODAY()),0,IF(OR(INDEX($B517:$D517,AL$5)="F",AND(AL$6&gt;0,$A517&lt;AL$6),AND(AL$7&gt;0,$A517&gt;AL$7)),0,MAX(0,ROUND((INDEX($E517:$G517,AL$5)-SUMIFS(TF_Timer,TF_Tekniker,AL$4,TF_Dato,$A517))*2,0)/2)))</f>
        <v/>
      </c>
      <c r="AM517">
        <f>IF(OR(AM$4="",$A517&gt;TODAY()),0,IF(OR(INDEX($B517:$D517,AM$5)="F",AND(AM$6&gt;0,$A517&lt;AM$6),AND(AM$7&gt;0,$A517&gt;AM$7)),0,MAX(0,ROUND((INDEX($E517:$G517,AM$5)-SUMIFS(TF_Timer,TF_Tekniker,AM$4,TF_Dato,$A517))*2,0)/2)))</f>
        <v/>
      </c>
      <c r="AN517">
        <f>IF(OR(AN$4="",$A517&gt;TODAY()),0,IF(OR(INDEX($B517:$D517,AN$5)="F",AND(AN$6&gt;0,$A517&lt;AN$6),AND(AN$7&gt;0,$A517&gt;AN$7)),0,MAX(0,ROUND((INDEX($E517:$G517,AN$5)-SUMIFS(TF_Timer,TF_Tekniker,AN$4,TF_Dato,$A517))*2,0)/2)))</f>
        <v/>
      </c>
      <c r="AO517">
        <f>IF(OR(AO$4="",$A517&gt;TODAY()),0,IF(OR(INDEX($B517:$D517,AO$5)="F",AND(AO$6&gt;0,$A517&lt;AO$6),AND(AO$7&gt;0,$A517&gt;AO$7)),0,MAX(0,ROUND((INDEX($E517:$G517,AO$5)-SUMIFS(TF_Timer,TF_Tekniker,AO$4,TF_Dato,$A517))*2,0)/2)))</f>
        <v/>
      </c>
      <c r="AP517">
        <f>IF(OR(AP$4="",$A517&gt;TODAY()),0,IF(OR(INDEX($B517:$D517,AP$5)="F",AND(AP$6&gt;0,$A517&lt;AP$6),AND(AP$7&gt;0,$A517&gt;AP$7)),0,MAX(0,ROUND((INDEX($E517:$G517,AP$5)-SUMIFS(TF_Timer,TF_Tekniker,AP$4,TF_Dato,$A517))*2,0)/2)))</f>
        <v/>
      </c>
      <c r="AQ517">
        <f>IF(OR(AQ$4="",$A517&gt;TODAY()),0,IF(OR(INDEX($B517:$D517,AQ$5)="F",AND(AQ$6&gt;0,$A517&lt;AQ$6),AND(AQ$7&gt;0,$A517&gt;AQ$7)),0,MAX(0,ROUND((INDEX($E517:$G517,AQ$5)-SUMIFS(TF_Timer,TF_Tekniker,AQ$4,TF_Dato,$A517))*2,0)/2)))</f>
        <v/>
      </c>
      <c r="AR517">
        <f>IF(OR(AR$4="",$A517&gt;TODAY()),0,IF(OR(INDEX($B517:$D517,AR$5)="F",AND(AR$6&gt;0,$A517&lt;AR$6),AND(AR$7&gt;0,$A517&gt;AR$7)),0,MAX(0,ROUND((INDEX($E517:$G517,AR$5)-SUMIFS(TF_Timer,TF_Tekniker,AR$4,TF_Dato,$A517))*2,0)/2)))</f>
        <v/>
      </c>
      <c r="AS517">
        <f>IF(OR(AS$4="",$A517&gt;TODAY()),0,IF(OR(INDEX($B517:$D517,AS$5)="F",AND(AS$6&gt;0,$A517&lt;AS$6),AND(AS$7&gt;0,$A517&gt;AS$7)),0,MAX(0,ROUND((INDEX($E517:$G517,AS$5)-SUMIFS(TF_Timer,TF_Tekniker,AS$4,TF_Dato,$A517))*2,0)/2)))</f>
        <v/>
      </c>
      <c r="AT517">
        <f>IF(OR(AT$4="",$A517&gt;TODAY()),0,IF(OR(INDEX($B517:$D517,AT$5)="F",AND(AT$6&gt;0,$A517&lt;AT$6),AND(AT$7&gt;0,$A517&gt;AT$7)),0,MAX(0,ROUND((INDEX($E517:$G517,AT$5)-SUMIFS(TF_Timer,TF_Tekniker,AT$4,TF_Dato,$A517))*2,0)/2)))</f>
        <v/>
      </c>
      <c r="AU517">
        <f>IF(OR(AU$4="",$A517&gt;TODAY()),0,IF(OR(INDEX($B517:$D517,AU$5)="F",AND(AU$6&gt;0,$A517&lt;AU$6),AND(AU$7&gt;0,$A517&gt;AU$7)),0,MAX(0,ROUND((INDEX($E517:$G517,AU$5)-SUMIFS(TF_Timer,TF_Tekniker,AU$4,TF_Dato,$A517))*2,0)/2)))</f>
        <v/>
      </c>
      <c r="AV517">
        <f>IF(OR(AV$4="",$A517&gt;TODAY()),0,IF(OR(INDEX($B517:$D517,AV$5)="F",AND(AV$6&gt;0,$A517&lt;AV$6),AND(AV$7&gt;0,$A517&gt;AV$7)),0,MAX(0,ROUND((INDEX($E517:$G517,AV$5)-SUMIFS(TF_Timer,TF_Tekniker,AV$4,TF_Dato,$A517))*2,0)/2)))</f>
        <v/>
      </c>
      <c r="AW517">
        <f>IF(OR(AW$4="",$A517&gt;TODAY()),0,IF(OR(INDEX($B517:$D517,AW$5)="F",AND(AW$6&gt;0,$A517&lt;AW$6),AND(AW$7&gt;0,$A517&gt;AW$7)),0,MAX(0,ROUND((INDEX($E517:$G517,AW$5)-SUMIFS(TF_Timer,TF_Tekniker,AW$4,TF_Dato,$A517))*2,0)/2)))</f>
        <v/>
      </c>
      <c r="AX517">
        <f>IF(OR(AX$4="",$A517&gt;TODAY()),0,IF(OR(INDEX($B517:$D517,AX$5)="F",AND(AX$6&gt;0,$A517&lt;AX$6),AND(AX$7&gt;0,$A517&gt;AX$7)),0,MAX(0,ROUND((INDEX($E517:$G517,AX$5)-SUMIFS(TF_Timer,TF_Tekniker,AX$4,TF_Dato,$A517))*2,0)/2)))</f>
        <v/>
      </c>
      <c r="AY517">
        <f>IF(OR(AY$4="",$A517&gt;TODAY()),0,IF(OR(INDEX($B517:$D517,AY$5)="F",AND(AY$6&gt;0,$A517&lt;AY$6),AND(AY$7&gt;0,$A517&gt;AY$7)),0,MAX(0,ROUND((INDEX($E517:$G517,AY$5)-SUMIFS(TF_Timer,TF_Tekniker,AY$4,TF_Dato,$A517))*2,0)/2)))</f>
        <v/>
      </c>
      <c r="AZ517">
        <f>IF(OR(AZ$4="",$A517&gt;TODAY()),0,IF(OR(INDEX($B517:$D517,AZ$5)="F",AND(AZ$6&gt;0,$A517&lt;AZ$6),AND(AZ$7&gt;0,$A517&gt;AZ$7)),0,MAX(0,ROUND((INDEX($E517:$G517,AZ$5)-SUMIFS(TF_Timer,TF_Tekniker,AZ$4,TF_Dato,$A517))*2,0)/2)))</f>
        <v/>
      </c>
      <c r="BA517">
        <f>IF(OR(BA$4="",$A517&gt;TODAY()),0,IF(OR(INDEX($B517:$D517,BA$5)="F",AND(BA$6&gt;0,$A517&lt;BA$6),AND(BA$7&gt;0,$A517&gt;BA$7)),0,MAX(0,ROUND((INDEX($E517:$G517,BA$5)-SUMIFS(TF_Timer,TF_Tekniker,BA$4,TF_Dato,$A517))*2,0)/2)))</f>
        <v/>
      </c>
      <c r="BB517">
        <f>IF(OR(BB$4="",$A517&gt;TODAY()),0,IF(OR(INDEX($B517:$D517,BB$5)="F",AND(BB$6&gt;0,$A517&lt;BB$6),AND(BB$7&gt;0,$A517&gt;BB$7)),0,MAX(0,ROUND((INDEX($E517:$G517,BB$5)-SUMIFS(TF_Timer,TF_Tekniker,BB$4,TF_Dato,$A517))*2,0)/2)))</f>
        <v/>
      </c>
      <c r="BC517">
        <f>IF(OR(BC$4="",$A517&gt;TODAY()),0,IF(OR(INDEX($B517:$D517,BC$5)="F",AND(BC$6&gt;0,$A517&lt;BC$6),AND(BC$7&gt;0,$A517&gt;BC$7)),0,MAX(0,ROUND((INDEX($E517:$G517,BC$5)-SUMIFS(TF_Timer,TF_Tekniker,BC$4,TF_Dato,$A517))*2,0)/2)))</f>
        <v/>
      </c>
      <c r="BD517">
        <f>IF(OR(BD$4="",$A517&gt;TODAY()),0,IF(OR(INDEX($B517:$D517,BD$5)="F",AND(BD$6&gt;0,$A517&lt;BD$6),AND(BD$7&gt;0,$A517&gt;BD$7)),0,MAX(0,ROUND((INDEX($E517:$G517,BD$5)-SUMIFS(TF_Timer,TF_Tekniker,BD$4,TF_Dato,$A517))*2,0)/2)))</f>
        <v/>
      </c>
      <c r="BE517">
        <f>IF(OR(BE$4="",$A517&gt;TODAY()),0,IF(OR(INDEX($B517:$D517,BE$5)="F",AND(BE$6&gt;0,$A517&lt;BE$6),AND(BE$7&gt;0,$A517&gt;BE$7)),0,MAX(0,ROUND((INDEX($E517:$G517,BE$5)-SUMIFS(TF_Timer,TF_Tekniker,BE$4,TF_Dato,$A517))*2,0)/2)))</f>
        <v/>
      </c>
      <c r="BF517">
        <f>IF(OR(BF$4="",$A517&gt;TODAY()),0,IF(OR(INDEX($B517:$D517,BF$5)="F",AND(BF$6&gt;0,$A517&lt;BF$6),AND(BF$7&gt;0,$A517&gt;BF$7)),0,MAX(0,ROUND((INDEX($E517:$G517,BF$5)-SUMIFS(TF_Timer,TF_Tekniker,BF$4,TF_Dato,$A517))*2,0)/2)))</f>
        <v/>
      </c>
      <c r="BG517">
        <f>IF(OR(BG$4="",$A517&gt;TODAY()),0,IF(OR(INDEX($B517:$D517,BG$5)="F",AND(BG$6&gt;0,$A517&lt;BG$6),AND(BG$7&gt;0,$A517&gt;BG$7)),0,MAX(0,ROUND((INDEX($E517:$G517,BG$5)-SUMIFS(TF_Timer,TF_Tekniker,BG$4,TF_Dato,$A517))*2,0)/2)))</f>
        <v/>
      </c>
      <c r="BH517">
        <f>IF(OR(BH$4="",$A517&gt;TODAY()),0,IF(OR(INDEX($B517:$D517,BH$5)="F",AND(BH$6&gt;0,$A517&lt;BH$6),AND(BH$7&gt;0,$A517&gt;BH$7)),0,MAX(0,ROUND((INDEX($E517:$G517,BH$5)-SUMIFS(TF_Timer,TF_Tekniker,BH$4,TF_Dato,$A517))*2,0)/2)))</f>
        <v/>
      </c>
      <c r="BI517">
        <f>IF(OR(BI$4="",$A517&gt;TODAY()),0,IF(OR(INDEX($B517:$D517,BI$5)="F",AND(BI$6&gt;0,$A517&lt;BI$6),AND(BI$7&gt;0,$A517&gt;BI$7)),0,MAX(0,ROUND((INDEX($E517:$G517,BI$5)-SUMIFS(TF_Timer,TF_Tekniker,BI$4,TF_Dato,$A517))*2,0)/2)))</f>
        <v/>
      </c>
    </row>
    <row r="518">
      <c r="A518" s="64">
        <f>A517+1</f>
        <v/>
      </c>
      <c r="B518">
        <f>IF(MOD($A518-INDEX(SkiftStart,1),Syklus)&lt;DagK,"K",IF(MOD($A518-INDEX(SkiftStart,1),Syklus)&lt;DagK+DagH,"H",IF(MOD($A518-INDEX(SkiftStart,1),Syklus)&lt;DagK+DagH+DagD,"D","F")))</f>
        <v/>
      </c>
      <c r="C518">
        <f>IF(MOD($A518-INDEX(SkiftStart,2),Syklus)&lt;DagK,"K",IF(MOD($A518-INDEX(SkiftStart,2),Syklus)&lt;DagK+DagH,"H",IF(MOD($A518-INDEX(SkiftStart,2),Syklus)&lt;DagK+DagH+DagD,"D","F")))</f>
        <v/>
      </c>
      <c r="D518">
        <f>IF(MOD($A518-INDEX(SkiftStart,3),Syklus)&lt;DagK,"K",IF(MOD($A518-INDEX(SkiftStart,3),Syklus)&lt;DagK+DagH,"H",IF(MOD($A518-INDEX(SkiftStart,3),Syklus)&lt;DagK+DagH+DagD,"D","F")))</f>
        <v/>
      </c>
      <c r="E518">
        <f>IF(B518="F",0,IF(WEEKDAY($A518,2)=5,INDEX(TimerFr,MATCH(B518,FaseKode,0)),INDEX(TimerMT,MATCH(B518,FaseKode,0))))</f>
        <v/>
      </c>
      <c r="F518">
        <f>IF(C518="F",0,IF(WEEKDAY($A518,2)=5,INDEX(TimerFr,MATCH(C518,FaseKode,0)),INDEX(TimerMT,MATCH(C518,FaseKode,0))))</f>
        <v/>
      </c>
      <c r="G518">
        <f>IF(D518="F",0,IF(WEEKDAY($A518,2)=5,INDEX(TimerFr,MATCH(D518,FaseKode,0)),INDEX(TimerMT,MATCH(D518,FaseKode,0))))</f>
        <v/>
      </c>
      <c r="H518">
        <f>IF(OR(H$4="",$A518&gt;TODAY()),0,IF(OR(INDEX($B518:$D518,H$5)="F",AND(H$6&gt;0,$A518&lt;H$6),AND(H$7&gt;0,$A518&gt;H$7)),0,MAX(0,ROUND((INDEX($E518:$G518,H$5)-SUMIFS(TF_Timer,TF_Tekniker,H$4,TF_Dato,$A518))*2,0)/2)))</f>
        <v/>
      </c>
      <c r="I518">
        <f>IF(OR(I$4="",$A518&gt;TODAY()),0,IF(OR(INDEX($B518:$D518,I$5)="F",AND(I$6&gt;0,$A518&lt;I$6),AND(I$7&gt;0,$A518&gt;I$7)),0,MAX(0,ROUND((INDEX($E518:$G518,I$5)-SUMIFS(TF_Timer,TF_Tekniker,I$4,TF_Dato,$A518))*2,0)/2)))</f>
        <v/>
      </c>
      <c r="J518">
        <f>IF(OR(J$4="",$A518&gt;TODAY()),0,IF(OR(INDEX($B518:$D518,J$5)="F",AND(J$6&gt;0,$A518&lt;J$6),AND(J$7&gt;0,$A518&gt;J$7)),0,MAX(0,ROUND((INDEX($E518:$G518,J$5)-SUMIFS(TF_Timer,TF_Tekniker,J$4,TF_Dato,$A518))*2,0)/2)))</f>
        <v/>
      </c>
      <c r="K518">
        <f>IF(OR(K$4="",$A518&gt;TODAY()),0,IF(OR(INDEX($B518:$D518,K$5)="F",AND(K$6&gt;0,$A518&lt;K$6),AND(K$7&gt;0,$A518&gt;K$7)),0,MAX(0,ROUND((INDEX($E518:$G518,K$5)-SUMIFS(TF_Timer,TF_Tekniker,K$4,TF_Dato,$A518))*2,0)/2)))</f>
        <v/>
      </c>
      <c r="L518">
        <f>IF(OR(L$4="",$A518&gt;TODAY()),0,IF(OR(INDEX($B518:$D518,L$5)="F",AND(L$6&gt;0,$A518&lt;L$6),AND(L$7&gt;0,$A518&gt;L$7)),0,MAX(0,ROUND((INDEX($E518:$G518,L$5)-SUMIFS(TF_Timer,TF_Tekniker,L$4,TF_Dato,$A518))*2,0)/2)))</f>
        <v/>
      </c>
      <c r="M518">
        <f>IF(OR(M$4="",$A518&gt;TODAY()),0,IF(OR(INDEX($B518:$D518,M$5)="F",AND(M$6&gt;0,$A518&lt;M$6),AND(M$7&gt;0,$A518&gt;M$7)),0,MAX(0,ROUND((INDEX($E518:$G518,M$5)-SUMIFS(TF_Timer,TF_Tekniker,M$4,TF_Dato,$A518))*2,0)/2)))</f>
        <v/>
      </c>
      <c r="N518">
        <f>IF(OR(N$4="",$A518&gt;TODAY()),0,IF(OR(INDEX($B518:$D518,N$5)="F",AND(N$6&gt;0,$A518&lt;N$6),AND(N$7&gt;0,$A518&gt;N$7)),0,MAX(0,ROUND((INDEX($E518:$G518,N$5)-SUMIFS(TF_Timer,TF_Tekniker,N$4,TF_Dato,$A518))*2,0)/2)))</f>
        <v/>
      </c>
      <c r="O518">
        <f>IF(OR(O$4="",$A518&gt;TODAY()),0,IF(OR(INDEX($B518:$D518,O$5)="F",AND(O$6&gt;0,$A518&lt;O$6),AND(O$7&gt;0,$A518&gt;O$7)),0,MAX(0,ROUND((INDEX($E518:$G518,O$5)-SUMIFS(TF_Timer,TF_Tekniker,O$4,TF_Dato,$A518))*2,0)/2)))</f>
        <v/>
      </c>
      <c r="P518">
        <f>IF(OR(P$4="",$A518&gt;TODAY()),0,IF(OR(INDEX($B518:$D518,P$5)="F",AND(P$6&gt;0,$A518&lt;P$6),AND(P$7&gt;0,$A518&gt;P$7)),0,MAX(0,ROUND((INDEX($E518:$G518,P$5)-SUMIFS(TF_Timer,TF_Tekniker,P$4,TF_Dato,$A518))*2,0)/2)))</f>
        <v/>
      </c>
      <c r="Q518">
        <f>IF(OR(Q$4="",$A518&gt;TODAY()),0,IF(OR(INDEX($B518:$D518,Q$5)="F",AND(Q$6&gt;0,$A518&lt;Q$6),AND(Q$7&gt;0,$A518&gt;Q$7)),0,MAX(0,ROUND((INDEX($E518:$G518,Q$5)-SUMIFS(TF_Timer,TF_Tekniker,Q$4,TF_Dato,$A518))*2,0)/2)))</f>
        <v/>
      </c>
      <c r="R518">
        <f>IF(OR(R$4="",$A518&gt;TODAY()),0,IF(OR(INDEX($B518:$D518,R$5)="F",AND(R$6&gt;0,$A518&lt;R$6),AND(R$7&gt;0,$A518&gt;R$7)),0,MAX(0,ROUND((INDEX($E518:$G518,R$5)-SUMIFS(TF_Timer,TF_Tekniker,R$4,TF_Dato,$A518))*2,0)/2)))</f>
        <v/>
      </c>
      <c r="S518">
        <f>IF(OR(S$4="",$A518&gt;TODAY()),0,IF(OR(INDEX($B518:$D518,S$5)="F",AND(S$6&gt;0,$A518&lt;S$6),AND(S$7&gt;0,$A518&gt;S$7)),0,MAX(0,ROUND((INDEX($E518:$G518,S$5)-SUMIFS(TF_Timer,TF_Tekniker,S$4,TF_Dato,$A518))*2,0)/2)))</f>
        <v/>
      </c>
      <c r="T518">
        <f>IF(OR(T$4="",$A518&gt;TODAY()),0,IF(OR(INDEX($B518:$D518,T$5)="F",AND(T$6&gt;0,$A518&lt;T$6),AND(T$7&gt;0,$A518&gt;T$7)),0,MAX(0,ROUND((INDEX($E518:$G518,T$5)-SUMIFS(TF_Timer,TF_Tekniker,T$4,TF_Dato,$A518))*2,0)/2)))</f>
        <v/>
      </c>
      <c r="U518">
        <f>IF(OR(U$4="",$A518&gt;TODAY()),0,IF(OR(INDEX($B518:$D518,U$5)="F",AND(U$6&gt;0,$A518&lt;U$6),AND(U$7&gt;0,$A518&gt;U$7)),0,MAX(0,ROUND((INDEX($E518:$G518,U$5)-SUMIFS(TF_Timer,TF_Tekniker,U$4,TF_Dato,$A518))*2,0)/2)))</f>
        <v/>
      </c>
      <c r="V518">
        <f>IF(OR(V$4="",$A518&gt;TODAY()),0,IF(OR(INDEX($B518:$D518,V$5)="F",AND(V$6&gt;0,$A518&lt;V$6),AND(V$7&gt;0,$A518&gt;V$7)),0,MAX(0,ROUND((INDEX($E518:$G518,V$5)-SUMIFS(TF_Timer,TF_Tekniker,V$4,TF_Dato,$A518))*2,0)/2)))</f>
        <v/>
      </c>
      <c r="W518">
        <f>IF(OR(W$4="",$A518&gt;TODAY()),0,IF(OR(INDEX($B518:$D518,W$5)="F",AND(W$6&gt;0,$A518&lt;W$6),AND(W$7&gt;0,$A518&gt;W$7)),0,MAX(0,ROUND((INDEX($E518:$G518,W$5)-SUMIFS(TF_Timer,TF_Tekniker,W$4,TF_Dato,$A518))*2,0)/2)))</f>
        <v/>
      </c>
      <c r="X518">
        <f>IF(OR(X$4="",$A518&gt;TODAY()),0,IF(OR(INDEX($B518:$D518,X$5)="F",AND(X$6&gt;0,$A518&lt;X$6),AND(X$7&gt;0,$A518&gt;X$7)),0,MAX(0,ROUND((INDEX($E518:$G518,X$5)-SUMIFS(TF_Timer,TF_Tekniker,X$4,TF_Dato,$A518))*2,0)/2)))</f>
        <v/>
      </c>
      <c r="Y518">
        <f>IF(OR(Y$4="",$A518&gt;TODAY()),0,IF(OR(INDEX($B518:$D518,Y$5)="F",AND(Y$6&gt;0,$A518&lt;Y$6),AND(Y$7&gt;0,$A518&gt;Y$7)),0,MAX(0,ROUND((INDEX($E518:$G518,Y$5)-SUMIFS(TF_Timer,TF_Tekniker,Y$4,TF_Dato,$A518))*2,0)/2)))</f>
        <v/>
      </c>
      <c r="Z518">
        <f>IF(OR(Z$4="",$A518&gt;TODAY()),0,IF(OR(INDEX($B518:$D518,Z$5)="F",AND(Z$6&gt;0,$A518&lt;Z$6),AND(Z$7&gt;0,$A518&gt;Z$7)),0,MAX(0,ROUND((INDEX($E518:$G518,Z$5)-SUMIFS(TF_Timer,TF_Tekniker,Z$4,TF_Dato,$A518))*2,0)/2)))</f>
        <v/>
      </c>
      <c r="AA518">
        <f>IF(OR(AA$4="",$A518&gt;TODAY()),0,IF(OR(INDEX($B518:$D518,AA$5)="F",AND(AA$6&gt;0,$A518&lt;AA$6),AND(AA$7&gt;0,$A518&gt;AA$7)),0,MAX(0,ROUND((INDEX($E518:$G518,AA$5)-SUMIFS(TF_Timer,TF_Tekniker,AA$4,TF_Dato,$A518))*2,0)/2)))</f>
        <v/>
      </c>
      <c r="AB518">
        <f>IF(OR(AB$4="",$A518&gt;TODAY()),0,IF(OR(INDEX($B518:$D518,AB$5)="F",AND(AB$6&gt;0,$A518&lt;AB$6),AND(AB$7&gt;0,$A518&gt;AB$7)),0,MAX(0,ROUND((INDEX($E518:$G518,AB$5)-SUMIFS(TF_Timer,TF_Tekniker,AB$4,TF_Dato,$A518))*2,0)/2)))</f>
        <v/>
      </c>
      <c r="AC518">
        <f>IF(OR(AC$4="",$A518&gt;TODAY()),0,IF(OR(INDEX($B518:$D518,AC$5)="F",AND(AC$6&gt;0,$A518&lt;AC$6),AND(AC$7&gt;0,$A518&gt;AC$7)),0,MAX(0,ROUND((INDEX($E518:$G518,AC$5)-SUMIFS(TF_Timer,TF_Tekniker,AC$4,TF_Dato,$A518))*2,0)/2)))</f>
        <v/>
      </c>
      <c r="AD518">
        <f>IF(OR(AD$4="",$A518&gt;TODAY()),0,IF(OR(INDEX($B518:$D518,AD$5)="F",AND(AD$6&gt;0,$A518&lt;AD$6),AND(AD$7&gt;0,$A518&gt;AD$7)),0,MAX(0,ROUND((INDEX($E518:$G518,AD$5)-SUMIFS(TF_Timer,TF_Tekniker,AD$4,TF_Dato,$A518))*2,0)/2)))</f>
        <v/>
      </c>
      <c r="AE518">
        <f>IF(OR(AE$4="",$A518&gt;TODAY()),0,IF(OR(INDEX($B518:$D518,AE$5)="F",AND(AE$6&gt;0,$A518&lt;AE$6),AND(AE$7&gt;0,$A518&gt;AE$7)),0,MAX(0,ROUND((INDEX($E518:$G518,AE$5)-SUMIFS(TF_Timer,TF_Tekniker,AE$4,TF_Dato,$A518))*2,0)/2)))</f>
        <v/>
      </c>
      <c r="AF518">
        <f>IF(OR(AF$4="",$A518&gt;TODAY()),0,IF(OR(INDEX($B518:$D518,AF$5)="F",AND(AF$6&gt;0,$A518&lt;AF$6),AND(AF$7&gt;0,$A518&gt;AF$7)),0,MAX(0,ROUND((INDEX($E518:$G518,AF$5)-SUMIFS(TF_Timer,TF_Tekniker,AF$4,TF_Dato,$A518))*2,0)/2)))</f>
        <v/>
      </c>
      <c r="AG518">
        <f>IF(OR(AG$4="",$A518&gt;TODAY()),0,IF(OR(INDEX($B518:$D518,AG$5)="F",AND(AG$6&gt;0,$A518&lt;AG$6),AND(AG$7&gt;0,$A518&gt;AG$7)),0,MAX(0,ROUND((INDEX($E518:$G518,AG$5)-SUMIFS(TF_Timer,TF_Tekniker,AG$4,TF_Dato,$A518))*2,0)/2)))</f>
        <v/>
      </c>
      <c r="AH518">
        <f>IF(OR(AH$4="",$A518&gt;TODAY()),0,IF(OR(INDEX($B518:$D518,AH$5)="F",AND(AH$6&gt;0,$A518&lt;AH$6),AND(AH$7&gt;0,$A518&gt;AH$7)),0,MAX(0,ROUND((INDEX($E518:$G518,AH$5)-SUMIFS(TF_Timer,TF_Tekniker,AH$4,TF_Dato,$A518))*2,0)/2)))</f>
        <v/>
      </c>
      <c r="AI518">
        <f>IF(OR(AI$4="",$A518&gt;TODAY()),0,IF(OR(INDEX($B518:$D518,AI$5)="F",AND(AI$6&gt;0,$A518&lt;AI$6),AND(AI$7&gt;0,$A518&gt;AI$7)),0,MAX(0,ROUND((INDEX($E518:$G518,AI$5)-SUMIFS(TF_Timer,TF_Tekniker,AI$4,TF_Dato,$A518))*2,0)/2)))</f>
        <v/>
      </c>
      <c r="AJ518">
        <f>IF(OR(AJ$4="",$A518&gt;TODAY()),0,IF(OR(INDEX($B518:$D518,AJ$5)="F",AND(AJ$6&gt;0,$A518&lt;AJ$6),AND(AJ$7&gt;0,$A518&gt;AJ$7)),0,MAX(0,ROUND((INDEX($E518:$G518,AJ$5)-SUMIFS(TF_Timer,TF_Tekniker,AJ$4,TF_Dato,$A518))*2,0)/2)))</f>
        <v/>
      </c>
      <c r="AK518">
        <f>IF(OR(AK$4="",$A518&gt;TODAY()),0,IF(OR(INDEX($B518:$D518,AK$5)="F",AND(AK$6&gt;0,$A518&lt;AK$6),AND(AK$7&gt;0,$A518&gt;AK$7)),0,MAX(0,ROUND((INDEX($E518:$G518,AK$5)-SUMIFS(TF_Timer,TF_Tekniker,AK$4,TF_Dato,$A518))*2,0)/2)))</f>
        <v/>
      </c>
      <c r="AL518">
        <f>IF(OR(AL$4="",$A518&gt;TODAY()),0,IF(OR(INDEX($B518:$D518,AL$5)="F",AND(AL$6&gt;0,$A518&lt;AL$6),AND(AL$7&gt;0,$A518&gt;AL$7)),0,MAX(0,ROUND((INDEX($E518:$G518,AL$5)-SUMIFS(TF_Timer,TF_Tekniker,AL$4,TF_Dato,$A518))*2,0)/2)))</f>
        <v/>
      </c>
      <c r="AM518">
        <f>IF(OR(AM$4="",$A518&gt;TODAY()),0,IF(OR(INDEX($B518:$D518,AM$5)="F",AND(AM$6&gt;0,$A518&lt;AM$6),AND(AM$7&gt;0,$A518&gt;AM$7)),0,MAX(0,ROUND((INDEX($E518:$G518,AM$5)-SUMIFS(TF_Timer,TF_Tekniker,AM$4,TF_Dato,$A518))*2,0)/2)))</f>
        <v/>
      </c>
      <c r="AN518">
        <f>IF(OR(AN$4="",$A518&gt;TODAY()),0,IF(OR(INDEX($B518:$D518,AN$5)="F",AND(AN$6&gt;0,$A518&lt;AN$6),AND(AN$7&gt;0,$A518&gt;AN$7)),0,MAX(0,ROUND((INDEX($E518:$G518,AN$5)-SUMIFS(TF_Timer,TF_Tekniker,AN$4,TF_Dato,$A518))*2,0)/2)))</f>
        <v/>
      </c>
      <c r="AO518">
        <f>IF(OR(AO$4="",$A518&gt;TODAY()),0,IF(OR(INDEX($B518:$D518,AO$5)="F",AND(AO$6&gt;0,$A518&lt;AO$6),AND(AO$7&gt;0,$A518&gt;AO$7)),0,MAX(0,ROUND((INDEX($E518:$G518,AO$5)-SUMIFS(TF_Timer,TF_Tekniker,AO$4,TF_Dato,$A518))*2,0)/2)))</f>
        <v/>
      </c>
      <c r="AP518">
        <f>IF(OR(AP$4="",$A518&gt;TODAY()),0,IF(OR(INDEX($B518:$D518,AP$5)="F",AND(AP$6&gt;0,$A518&lt;AP$6),AND(AP$7&gt;0,$A518&gt;AP$7)),0,MAX(0,ROUND((INDEX($E518:$G518,AP$5)-SUMIFS(TF_Timer,TF_Tekniker,AP$4,TF_Dato,$A518))*2,0)/2)))</f>
        <v/>
      </c>
      <c r="AQ518">
        <f>IF(OR(AQ$4="",$A518&gt;TODAY()),0,IF(OR(INDEX($B518:$D518,AQ$5)="F",AND(AQ$6&gt;0,$A518&lt;AQ$6),AND(AQ$7&gt;0,$A518&gt;AQ$7)),0,MAX(0,ROUND((INDEX($E518:$G518,AQ$5)-SUMIFS(TF_Timer,TF_Tekniker,AQ$4,TF_Dato,$A518))*2,0)/2)))</f>
        <v/>
      </c>
      <c r="AR518">
        <f>IF(OR(AR$4="",$A518&gt;TODAY()),0,IF(OR(INDEX($B518:$D518,AR$5)="F",AND(AR$6&gt;0,$A518&lt;AR$6),AND(AR$7&gt;0,$A518&gt;AR$7)),0,MAX(0,ROUND((INDEX($E518:$G518,AR$5)-SUMIFS(TF_Timer,TF_Tekniker,AR$4,TF_Dato,$A518))*2,0)/2)))</f>
        <v/>
      </c>
      <c r="AS518">
        <f>IF(OR(AS$4="",$A518&gt;TODAY()),0,IF(OR(INDEX($B518:$D518,AS$5)="F",AND(AS$6&gt;0,$A518&lt;AS$6),AND(AS$7&gt;0,$A518&gt;AS$7)),0,MAX(0,ROUND((INDEX($E518:$G518,AS$5)-SUMIFS(TF_Timer,TF_Tekniker,AS$4,TF_Dato,$A518))*2,0)/2)))</f>
        <v/>
      </c>
      <c r="AT518">
        <f>IF(OR(AT$4="",$A518&gt;TODAY()),0,IF(OR(INDEX($B518:$D518,AT$5)="F",AND(AT$6&gt;0,$A518&lt;AT$6),AND(AT$7&gt;0,$A518&gt;AT$7)),0,MAX(0,ROUND((INDEX($E518:$G518,AT$5)-SUMIFS(TF_Timer,TF_Tekniker,AT$4,TF_Dato,$A518))*2,0)/2)))</f>
        <v/>
      </c>
      <c r="AU518">
        <f>IF(OR(AU$4="",$A518&gt;TODAY()),0,IF(OR(INDEX($B518:$D518,AU$5)="F",AND(AU$6&gt;0,$A518&lt;AU$6),AND(AU$7&gt;0,$A518&gt;AU$7)),0,MAX(0,ROUND((INDEX($E518:$G518,AU$5)-SUMIFS(TF_Timer,TF_Tekniker,AU$4,TF_Dato,$A518))*2,0)/2)))</f>
        <v/>
      </c>
      <c r="AV518">
        <f>IF(OR(AV$4="",$A518&gt;TODAY()),0,IF(OR(INDEX($B518:$D518,AV$5)="F",AND(AV$6&gt;0,$A518&lt;AV$6),AND(AV$7&gt;0,$A518&gt;AV$7)),0,MAX(0,ROUND((INDEX($E518:$G518,AV$5)-SUMIFS(TF_Timer,TF_Tekniker,AV$4,TF_Dato,$A518))*2,0)/2)))</f>
        <v/>
      </c>
      <c r="AW518">
        <f>IF(OR(AW$4="",$A518&gt;TODAY()),0,IF(OR(INDEX($B518:$D518,AW$5)="F",AND(AW$6&gt;0,$A518&lt;AW$6),AND(AW$7&gt;0,$A518&gt;AW$7)),0,MAX(0,ROUND((INDEX($E518:$G518,AW$5)-SUMIFS(TF_Timer,TF_Tekniker,AW$4,TF_Dato,$A518))*2,0)/2)))</f>
        <v/>
      </c>
      <c r="AX518">
        <f>IF(OR(AX$4="",$A518&gt;TODAY()),0,IF(OR(INDEX($B518:$D518,AX$5)="F",AND(AX$6&gt;0,$A518&lt;AX$6),AND(AX$7&gt;0,$A518&gt;AX$7)),0,MAX(0,ROUND((INDEX($E518:$G518,AX$5)-SUMIFS(TF_Timer,TF_Tekniker,AX$4,TF_Dato,$A518))*2,0)/2)))</f>
        <v/>
      </c>
      <c r="AY518">
        <f>IF(OR(AY$4="",$A518&gt;TODAY()),0,IF(OR(INDEX($B518:$D518,AY$5)="F",AND(AY$6&gt;0,$A518&lt;AY$6),AND(AY$7&gt;0,$A518&gt;AY$7)),0,MAX(0,ROUND((INDEX($E518:$G518,AY$5)-SUMIFS(TF_Timer,TF_Tekniker,AY$4,TF_Dato,$A518))*2,0)/2)))</f>
        <v/>
      </c>
      <c r="AZ518">
        <f>IF(OR(AZ$4="",$A518&gt;TODAY()),0,IF(OR(INDEX($B518:$D518,AZ$5)="F",AND(AZ$6&gt;0,$A518&lt;AZ$6),AND(AZ$7&gt;0,$A518&gt;AZ$7)),0,MAX(0,ROUND((INDEX($E518:$G518,AZ$5)-SUMIFS(TF_Timer,TF_Tekniker,AZ$4,TF_Dato,$A518))*2,0)/2)))</f>
        <v/>
      </c>
      <c r="BA518">
        <f>IF(OR(BA$4="",$A518&gt;TODAY()),0,IF(OR(INDEX($B518:$D518,BA$5)="F",AND(BA$6&gt;0,$A518&lt;BA$6),AND(BA$7&gt;0,$A518&gt;BA$7)),0,MAX(0,ROUND((INDEX($E518:$G518,BA$5)-SUMIFS(TF_Timer,TF_Tekniker,BA$4,TF_Dato,$A518))*2,0)/2)))</f>
        <v/>
      </c>
      <c r="BB518">
        <f>IF(OR(BB$4="",$A518&gt;TODAY()),0,IF(OR(INDEX($B518:$D518,BB$5)="F",AND(BB$6&gt;0,$A518&lt;BB$6),AND(BB$7&gt;0,$A518&gt;BB$7)),0,MAX(0,ROUND((INDEX($E518:$G518,BB$5)-SUMIFS(TF_Timer,TF_Tekniker,BB$4,TF_Dato,$A518))*2,0)/2)))</f>
        <v/>
      </c>
      <c r="BC518">
        <f>IF(OR(BC$4="",$A518&gt;TODAY()),0,IF(OR(INDEX($B518:$D518,BC$5)="F",AND(BC$6&gt;0,$A518&lt;BC$6),AND(BC$7&gt;0,$A518&gt;BC$7)),0,MAX(0,ROUND((INDEX($E518:$G518,BC$5)-SUMIFS(TF_Timer,TF_Tekniker,BC$4,TF_Dato,$A518))*2,0)/2)))</f>
        <v/>
      </c>
      <c r="BD518">
        <f>IF(OR(BD$4="",$A518&gt;TODAY()),0,IF(OR(INDEX($B518:$D518,BD$5)="F",AND(BD$6&gt;0,$A518&lt;BD$6),AND(BD$7&gt;0,$A518&gt;BD$7)),0,MAX(0,ROUND((INDEX($E518:$G518,BD$5)-SUMIFS(TF_Timer,TF_Tekniker,BD$4,TF_Dato,$A518))*2,0)/2)))</f>
        <v/>
      </c>
      <c r="BE518">
        <f>IF(OR(BE$4="",$A518&gt;TODAY()),0,IF(OR(INDEX($B518:$D518,BE$5)="F",AND(BE$6&gt;0,$A518&lt;BE$6),AND(BE$7&gt;0,$A518&gt;BE$7)),0,MAX(0,ROUND((INDEX($E518:$G518,BE$5)-SUMIFS(TF_Timer,TF_Tekniker,BE$4,TF_Dato,$A518))*2,0)/2)))</f>
        <v/>
      </c>
      <c r="BF518">
        <f>IF(OR(BF$4="",$A518&gt;TODAY()),0,IF(OR(INDEX($B518:$D518,BF$5)="F",AND(BF$6&gt;0,$A518&lt;BF$6),AND(BF$7&gt;0,$A518&gt;BF$7)),0,MAX(0,ROUND((INDEX($E518:$G518,BF$5)-SUMIFS(TF_Timer,TF_Tekniker,BF$4,TF_Dato,$A518))*2,0)/2)))</f>
        <v/>
      </c>
      <c r="BG518">
        <f>IF(OR(BG$4="",$A518&gt;TODAY()),0,IF(OR(INDEX($B518:$D518,BG$5)="F",AND(BG$6&gt;0,$A518&lt;BG$6),AND(BG$7&gt;0,$A518&gt;BG$7)),0,MAX(0,ROUND((INDEX($E518:$G518,BG$5)-SUMIFS(TF_Timer,TF_Tekniker,BG$4,TF_Dato,$A518))*2,0)/2)))</f>
        <v/>
      </c>
      <c r="BH518">
        <f>IF(OR(BH$4="",$A518&gt;TODAY()),0,IF(OR(INDEX($B518:$D518,BH$5)="F",AND(BH$6&gt;0,$A518&lt;BH$6),AND(BH$7&gt;0,$A518&gt;BH$7)),0,MAX(0,ROUND((INDEX($E518:$G518,BH$5)-SUMIFS(TF_Timer,TF_Tekniker,BH$4,TF_Dato,$A518))*2,0)/2)))</f>
        <v/>
      </c>
      <c r="BI518">
        <f>IF(OR(BI$4="",$A518&gt;TODAY()),0,IF(OR(INDEX($B518:$D518,BI$5)="F",AND(BI$6&gt;0,$A518&lt;BI$6),AND(BI$7&gt;0,$A518&gt;BI$7)),0,MAX(0,ROUND((INDEX($E518:$G518,BI$5)-SUMIFS(TF_Timer,TF_Tekniker,BI$4,TF_Dato,$A518))*2,0)/2)))</f>
        <v/>
      </c>
    </row>
    <row r="519">
      <c r="A519" s="64">
        <f>A518+1</f>
        <v/>
      </c>
      <c r="B519">
        <f>IF(MOD($A519-INDEX(SkiftStart,1),Syklus)&lt;DagK,"K",IF(MOD($A519-INDEX(SkiftStart,1),Syklus)&lt;DagK+DagH,"H",IF(MOD($A519-INDEX(SkiftStart,1),Syklus)&lt;DagK+DagH+DagD,"D","F")))</f>
        <v/>
      </c>
      <c r="C519">
        <f>IF(MOD($A519-INDEX(SkiftStart,2),Syklus)&lt;DagK,"K",IF(MOD($A519-INDEX(SkiftStart,2),Syklus)&lt;DagK+DagH,"H",IF(MOD($A519-INDEX(SkiftStart,2),Syklus)&lt;DagK+DagH+DagD,"D","F")))</f>
        <v/>
      </c>
      <c r="D519">
        <f>IF(MOD($A519-INDEX(SkiftStart,3),Syklus)&lt;DagK,"K",IF(MOD($A519-INDEX(SkiftStart,3),Syklus)&lt;DagK+DagH,"H",IF(MOD($A519-INDEX(SkiftStart,3),Syklus)&lt;DagK+DagH+DagD,"D","F")))</f>
        <v/>
      </c>
      <c r="E519">
        <f>IF(B519="F",0,IF(WEEKDAY($A519,2)=5,INDEX(TimerFr,MATCH(B519,FaseKode,0)),INDEX(TimerMT,MATCH(B519,FaseKode,0))))</f>
        <v/>
      </c>
      <c r="F519">
        <f>IF(C519="F",0,IF(WEEKDAY($A519,2)=5,INDEX(TimerFr,MATCH(C519,FaseKode,0)),INDEX(TimerMT,MATCH(C519,FaseKode,0))))</f>
        <v/>
      </c>
      <c r="G519">
        <f>IF(D519="F",0,IF(WEEKDAY($A519,2)=5,INDEX(TimerFr,MATCH(D519,FaseKode,0)),INDEX(TimerMT,MATCH(D519,FaseKode,0))))</f>
        <v/>
      </c>
      <c r="H519">
        <f>IF(OR(H$4="",$A519&gt;TODAY()),0,IF(OR(INDEX($B519:$D519,H$5)="F",AND(H$6&gt;0,$A519&lt;H$6),AND(H$7&gt;0,$A519&gt;H$7)),0,MAX(0,ROUND((INDEX($E519:$G519,H$5)-SUMIFS(TF_Timer,TF_Tekniker,H$4,TF_Dato,$A519))*2,0)/2)))</f>
        <v/>
      </c>
      <c r="I519">
        <f>IF(OR(I$4="",$A519&gt;TODAY()),0,IF(OR(INDEX($B519:$D519,I$5)="F",AND(I$6&gt;0,$A519&lt;I$6),AND(I$7&gt;0,$A519&gt;I$7)),0,MAX(0,ROUND((INDEX($E519:$G519,I$5)-SUMIFS(TF_Timer,TF_Tekniker,I$4,TF_Dato,$A519))*2,0)/2)))</f>
        <v/>
      </c>
      <c r="J519">
        <f>IF(OR(J$4="",$A519&gt;TODAY()),0,IF(OR(INDEX($B519:$D519,J$5)="F",AND(J$6&gt;0,$A519&lt;J$6),AND(J$7&gt;0,$A519&gt;J$7)),0,MAX(0,ROUND((INDEX($E519:$G519,J$5)-SUMIFS(TF_Timer,TF_Tekniker,J$4,TF_Dato,$A519))*2,0)/2)))</f>
        <v/>
      </c>
      <c r="K519">
        <f>IF(OR(K$4="",$A519&gt;TODAY()),0,IF(OR(INDEX($B519:$D519,K$5)="F",AND(K$6&gt;0,$A519&lt;K$6),AND(K$7&gt;0,$A519&gt;K$7)),0,MAX(0,ROUND((INDEX($E519:$G519,K$5)-SUMIFS(TF_Timer,TF_Tekniker,K$4,TF_Dato,$A519))*2,0)/2)))</f>
        <v/>
      </c>
      <c r="L519">
        <f>IF(OR(L$4="",$A519&gt;TODAY()),0,IF(OR(INDEX($B519:$D519,L$5)="F",AND(L$6&gt;0,$A519&lt;L$6),AND(L$7&gt;0,$A519&gt;L$7)),0,MAX(0,ROUND((INDEX($E519:$G519,L$5)-SUMIFS(TF_Timer,TF_Tekniker,L$4,TF_Dato,$A519))*2,0)/2)))</f>
        <v/>
      </c>
      <c r="M519">
        <f>IF(OR(M$4="",$A519&gt;TODAY()),0,IF(OR(INDEX($B519:$D519,M$5)="F",AND(M$6&gt;0,$A519&lt;M$6),AND(M$7&gt;0,$A519&gt;M$7)),0,MAX(0,ROUND((INDEX($E519:$G519,M$5)-SUMIFS(TF_Timer,TF_Tekniker,M$4,TF_Dato,$A519))*2,0)/2)))</f>
        <v/>
      </c>
      <c r="N519">
        <f>IF(OR(N$4="",$A519&gt;TODAY()),0,IF(OR(INDEX($B519:$D519,N$5)="F",AND(N$6&gt;0,$A519&lt;N$6),AND(N$7&gt;0,$A519&gt;N$7)),0,MAX(0,ROUND((INDEX($E519:$G519,N$5)-SUMIFS(TF_Timer,TF_Tekniker,N$4,TF_Dato,$A519))*2,0)/2)))</f>
        <v/>
      </c>
      <c r="O519">
        <f>IF(OR(O$4="",$A519&gt;TODAY()),0,IF(OR(INDEX($B519:$D519,O$5)="F",AND(O$6&gt;0,$A519&lt;O$6),AND(O$7&gt;0,$A519&gt;O$7)),0,MAX(0,ROUND((INDEX($E519:$G519,O$5)-SUMIFS(TF_Timer,TF_Tekniker,O$4,TF_Dato,$A519))*2,0)/2)))</f>
        <v/>
      </c>
      <c r="P519">
        <f>IF(OR(P$4="",$A519&gt;TODAY()),0,IF(OR(INDEX($B519:$D519,P$5)="F",AND(P$6&gt;0,$A519&lt;P$6),AND(P$7&gt;0,$A519&gt;P$7)),0,MAX(0,ROUND((INDEX($E519:$G519,P$5)-SUMIFS(TF_Timer,TF_Tekniker,P$4,TF_Dato,$A519))*2,0)/2)))</f>
        <v/>
      </c>
      <c r="Q519">
        <f>IF(OR(Q$4="",$A519&gt;TODAY()),0,IF(OR(INDEX($B519:$D519,Q$5)="F",AND(Q$6&gt;0,$A519&lt;Q$6),AND(Q$7&gt;0,$A519&gt;Q$7)),0,MAX(0,ROUND((INDEX($E519:$G519,Q$5)-SUMIFS(TF_Timer,TF_Tekniker,Q$4,TF_Dato,$A519))*2,0)/2)))</f>
        <v/>
      </c>
      <c r="R519">
        <f>IF(OR(R$4="",$A519&gt;TODAY()),0,IF(OR(INDEX($B519:$D519,R$5)="F",AND(R$6&gt;0,$A519&lt;R$6),AND(R$7&gt;0,$A519&gt;R$7)),0,MAX(0,ROUND((INDEX($E519:$G519,R$5)-SUMIFS(TF_Timer,TF_Tekniker,R$4,TF_Dato,$A519))*2,0)/2)))</f>
        <v/>
      </c>
      <c r="S519">
        <f>IF(OR(S$4="",$A519&gt;TODAY()),0,IF(OR(INDEX($B519:$D519,S$5)="F",AND(S$6&gt;0,$A519&lt;S$6),AND(S$7&gt;0,$A519&gt;S$7)),0,MAX(0,ROUND((INDEX($E519:$G519,S$5)-SUMIFS(TF_Timer,TF_Tekniker,S$4,TF_Dato,$A519))*2,0)/2)))</f>
        <v/>
      </c>
      <c r="T519">
        <f>IF(OR(T$4="",$A519&gt;TODAY()),0,IF(OR(INDEX($B519:$D519,T$5)="F",AND(T$6&gt;0,$A519&lt;T$6),AND(T$7&gt;0,$A519&gt;T$7)),0,MAX(0,ROUND((INDEX($E519:$G519,T$5)-SUMIFS(TF_Timer,TF_Tekniker,T$4,TF_Dato,$A519))*2,0)/2)))</f>
        <v/>
      </c>
      <c r="U519">
        <f>IF(OR(U$4="",$A519&gt;TODAY()),0,IF(OR(INDEX($B519:$D519,U$5)="F",AND(U$6&gt;0,$A519&lt;U$6),AND(U$7&gt;0,$A519&gt;U$7)),0,MAX(0,ROUND((INDEX($E519:$G519,U$5)-SUMIFS(TF_Timer,TF_Tekniker,U$4,TF_Dato,$A519))*2,0)/2)))</f>
        <v/>
      </c>
      <c r="V519">
        <f>IF(OR(V$4="",$A519&gt;TODAY()),0,IF(OR(INDEX($B519:$D519,V$5)="F",AND(V$6&gt;0,$A519&lt;V$6),AND(V$7&gt;0,$A519&gt;V$7)),0,MAX(0,ROUND((INDEX($E519:$G519,V$5)-SUMIFS(TF_Timer,TF_Tekniker,V$4,TF_Dato,$A519))*2,0)/2)))</f>
        <v/>
      </c>
      <c r="W519">
        <f>IF(OR(W$4="",$A519&gt;TODAY()),0,IF(OR(INDEX($B519:$D519,W$5)="F",AND(W$6&gt;0,$A519&lt;W$6),AND(W$7&gt;0,$A519&gt;W$7)),0,MAX(0,ROUND((INDEX($E519:$G519,W$5)-SUMIFS(TF_Timer,TF_Tekniker,W$4,TF_Dato,$A519))*2,0)/2)))</f>
        <v/>
      </c>
      <c r="X519">
        <f>IF(OR(X$4="",$A519&gt;TODAY()),0,IF(OR(INDEX($B519:$D519,X$5)="F",AND(X$6&gt;0,$A519&lt;X$6),AND(X$7&gt;0,$A519&gt;X$7)),0,MAX(0,ROUND((INDEX($E519:$G519,X$5)-SUMIFS(TF_Timer,TF_Tekniker,X$4,TF_Dato,$A519))*2,0)/2)))</f>
        <v/>
      </c>
      <c r="Y519">
        <f>IF(OR(Y$4="",$A519&gt;TODAY()),0,IF(OR(INDEX($B519:$D519,Y$5)="F",AND(Y$6&gt;0,$A519&lt;Y$6),AND(Y$7&gt;0,$A519&gt;Y$7)),0,MAX(0,ROUND((INDEX($E519:$G519,Y$5)-SUMIFS(TF_Timer,TF_Tekniker,Y$4,TF_Dato,$A519))*2,0)/2)))</f>
        <v/>
      </c>
      <c r="Z519">
        <f>IF(OR(Z$4="",$A519&gt;TODAY()),0,IF(OR(INDEX($B519:$D519,Z$5)="F",AND(Z$6&gt;0,$A519&lt;Z$6),AND(Z$7&gt;0,$A519&gt;Z$7)),0,MAX(0,ROUND((INDEX($E519:$G519,Z$5)-SUMIFS(TF_Timer,TF_Tekniker,Z$4,TF_Dato,$A519))*2,0)/2)))</f>
        <v/>
      </c>
      <c r="AA519">
        <f>IF(OR(AA$4="",$A519&gt;TODAY()),0,IF(OR(INDEX($B519:$D519,AA$5)="F",AND(AA$6&gt;0,$A519&lt;AA$6),AND(AA$7&gt;0,$A519&gt;AA$7)),0,MAX(0,ROUND((INDEX($E519:$G519,AA$5)-SUMIFS(TF_Timer,TF_Tekniker,AA$4,TF_Dato,$A519))*2,0)/2)))</f>
        <v/>
      </c>
      <c r="AB519">
        <f>IF(OR(AB$4="",$A519&gt;TODAY()),0,IF(OR(INDEX($B519:$D519,AB$5)="F",AND(AB$6&gt;0,$A519&lt;AB$6),AND(AB$7&gt;0,$A519&gt;AB$7)),0,MAX(0,ROUND((INDEX($E519:$G519,AB$5)-SUMIFS(TF_Timer,TF_Tekniker,AB$4,TF_Dato,$A519))*2,0)/2)))</f>
        <v/>
      </c>
      <c r="AC519">
        <f>IF(OR(AC$4="",$A519&gt;TODAY()),0,IF(OR(INDEX($B519:$D519,AC$5)="F",AND(AC$6&gt;0,$A519&lt;AC$6),AND(AC$7&gt;0,$A519&gt;AC$7)),0,MAX(0,ROUND((INDEX($E519:$G519,AC$5)-SUMIFS(TF_Timer,TF_Tekniker,AC$4,TF_Dato,$A519))*2,0)/2)))</f>
        <v/>
      </c>
      <c r="AD519">
        <f>IF(OR(AD$4="",$A519&gt;TODAY()),0,IF(OR(INDEX($B519:$D519,AD$5)="F",AND(AD$6&gt;0,$A519&lt;AD$6),AND(AD$7&gt;0,$A519&gt;AD$7)),0,MAX(0,ROUND((INDEX($E519:$G519,AD$5)-SUMIFS(TF_Timer,TF_Tekniker,AD$4,TF_Dato,$A519))*2,0)/2)))</f>
        <v/>
      </c>
      <c r="AE519">
        <f>IF(OR(AE$4="",$A519&gt;TODAY()),0,IF(OR(INDEX($B519:$D519,AE$5)="F",AND(AE$6&gt;0,$A519&lt;AE$6),AND(AE$7&gt;0,$A519&gt;AE$7)),0,MAX(0,ROUND((INDEX($E519:$G519,AE$5)-SUMIFS(TF_Timer,TF_Tekniker,AE$4,TF_Dato,$A519))*2,0)/2)))</f>
        <v/>
      </c>
      <c r="AF519">
        <f>IF(OR(AF$4="",$A519&gt;TODAY()),0,IF(OR(INDEX($B519:$D519,AF$5)="F",AND(AF$6&gt;0,$A519&lt;AF$6),AND(AF$7&gt;0,$A519&gt;AF$7)),0,MAX(0,ROUND((INDEX($E519:$G519,AF$5)-SUMIFS(TF_Timer,TF_Tekniker,AF$4,TF_Dato,$A519))*2,0)/2)))</f>
        <v/>
      </c>
      <c r="AG519">
        <f>IF(OR(AG$4="",$A519&gt;TODAY()),0,IF(OR(INDEX($B519:$D519,AG$5)="F",AND(AG$6&gt;0,$A519&lt;AG$6),AND(AG$7&gt;0,$A519&gt;AG$7)),0,MAX(0,ROUND((INDEX($E519:$G519,AG$5)-SUMIFS(TF_Timer,TF_Tekniker,AG$4,TF_Dato,$A519))*2,0)/2)))</f>
        <v/>
      </c>
      <c r="AH519">
        <f>IF(OR(AH$4="",$A519&gt;TODAY()),0,IF(OR(INDEX($B519:$D519,AH$5)="F",AND(AH$6&gt;0,$A519&lt;AH$6),AND(AH$7&gt;0,$A519&gt;AH$7)),0,MAX(0,ROUND((INDEX($E519:$G519,AH$5)-SUMIFS(TF_Timer,TF_Tekniker,AH$4,TF_Dato,$A519))*2,0)/2)))</f>
        <v/>
      </c>
      <c r="AI519">
        <f>IF(OR(AI$4="",$A519&gt;TODAY()),0,IF(OR(INDEX($B519:$D519,AI$5)="F",AND(AI$6&gt;0,$A519&lt;AI$6),AND(AI$7&gt;0,$A519&gt;AI$7)),0,MAX(0,ROUND((INDEX($E519:$G519,AI$5)-SUMIFS(TF_Timer,TF_Tekniker,AI$4,TF_Dato,$A519))*2,0)/2)))</f>
        <v/>
      </c>
      <c r="AJ519">
        <f>IF(OR(AJ$4="",$A519&gt;TODAY()),0,IF(OR(INDEX($B519:$D519,AJ$5)="F",AND(AJ$6&gt;0,$A519&lt;AJ$6),AND(AJ$7&gt;0,$A519&gt;AJ$7)),0,MAX(0,ROUND((INDEX($E519:$G519,AJ$5)-SUMIFS(TF_Timer,TF_Tekniker,AJ$4,TF_Dato,$A519))*2,0)/2)))</f>
        <v/>
      </c>
      <c r="AK519">
        <f>IF(OR(AK$4="",$A519&gt;TODAY()),0,IF(OR(INDEX($B519:$D519,AK$5)="F",AND(AK$6&gt;0,$A519&lt;AK$6),AND(AK$7&gt;0,$A519&gt;AK$7)),0,MAX(0,ROUND((INDEX($E519:$G519,AK$5)-SUMIFS(TF_Timer,TF_Tekniker,AK$4,TF_Dato,$A519))*2,0)/2)))</f>
        <v/>
      </c>
      <c r="AL519">
        <f>IF(OR(AL$4="",$A519&gt;TODAY()),0,IF(OR(INDEX($B519:$D519,AL$5)="F",AND(AL$6&gt;0,$A519&lt;AL$6),AND(AL$7&gt;0,$A519&gt;AL$7)),0,MAX(0,ROUND((INDEX($E519:$G519,AL$5)-SUMIFS(TF_Timer,TF_Tekniker,AL$4,TF_Dato,$A519))*2,0)/2)))</f>
        <v/>
      </c>
      <c r="AM519">
        <f>IF(OR(AM$4="",$A519&gt;TODAY()),0,IF(OR(INDEX($B519:$D519,AM$5)="F",AND(AM$6&gt;0,$A519&lt;AM$6),AND(AM$7&gt;0,$A519&gt;AM$7)),0,MAX(0,ROUND((INDEX($E519:$G519,AM$5)-SUMIFS(TF_Timer,TF_Tekniker,AM$4,TF_Dato,$A519))*2,0)/2)))</f>
        <v/>
      </c>
      <c r="AN519">
        <f>IF(OR(AN$4="",$A519&gt;TODAY()),0,IF(OR(INDEX($B519:$D519,AN$5)="F",AND(AN$6&gt;0,$A519&lt;AN$6),AND(AN$7&gt;0,$A519&gt;AN$7)),0,MAX(0,ROUND((INDEX($E519:$G519,AN$5)-SUMIFS(TF_Timer,TF_Tekniker,AN$4,TF_Dato,$A519))*2,0)/2)))</f>
        <v/>
      </c>
      <c r="AO519">
        <f>IF(OR(AO$4="",$A519&gt;TODAY()),0,IF(OR(INDEX($B519:$D519,AO$5)="F",AND(AO$6&gt;0,$A519&lt;AO$6),AND(AO$7&gt;0,$A519&gt;AO$7)),0,MAX(0,ROUND((INDEX($E519:$G519,AO$5)-SUMIFS(TF_Timer,TF_Tekniker,AO$4,TF_Dato,$A519))*2,0)/2)))</f>
        <v/>
      </c>
      <c r="AP519">
        <f>IF(OR(AP$4="",$A519&gt;TODAY()),0,IF(OR(INDEX($B519:$D519,AP$5)="F",AND(AP$6&gt;0,$A519&lt;AP$6),AND(AP$7&gt;0,$A519&gt;AP$7)),0,MAX(0,ROUND((INDEX($E519:$G519,AP$5)-SUMIFS(TF_Timer,TF_Tekniker,AP$4,TF_Dato,$A519))*2,0)/2)))</f>
        <v/>
      </c>
      <c r="AQ519">
        <f>IF(OR(AQ$4="",$A519&gt;TODAY()),0,IF(OR(INDEX($B519:$D519,AQ$5)="F",AND(AQ$6&gt;0,$A519&lt;AQ$6),AND(AQ$7&gt;0,$A519&gt;AQ$7)),0,MAX(0,ROUND((INDEX($E519:$G519,AQ$5)-SUMIFS(TF_Timer,TF_Tekniker,AQ$4,TF_Dato,$A519))*2,0)/2)))</f>
        <v/>
      </c>
      <c r="AR519">
        <f>IF(OR(AR$4="",$A519&gt;TODAY()),0,IF(OR(INDEX($B519:$D519,AR$5)="F",AND(AR$6&gt;0,$A519&lt;AR$6),AND(AR$7&gt;0,$A519&gt;AR$7)),0,MAX(0,ROUND((INDEX($E519:$G519,AR$5)-SUMIFS(TF_Timer,TF_Tekniker,AR$4,TF_Dato,$A519))*2,0)/2)))</f>
        <v/>
      </c>
      <c r="AS519">
        <f>IF(OR(AS$4="",$A519&gt;TODAY()),0,IF(OR(INDEX($B519:$D519,AS$5)="F",AND(AS$6&gt;0,$A519&lt;AS$6),AND(AS$7&gt;0,$A519&gt;AS$7)),0,MAX(0,ROUND((INDEX($E519:$G519,AS$5)-SUMIFS(TF_Timer,TF_Tekniker,AS$4,TF_Dato,$A519))*2,0)/2)))</f>
        <v/>
      </c>
      <c r="AT519">
        <f>IF(OR(AT$4="",$A519&gt;TODAY()),0,IF(OR(INDEX($B519:$D519,AT$5)="F",AND(AT$6&gt;0,$A519&lt;AT$6),AND(AT$7&gt;0,$A519&gt;AT$7)),0,MAX(0,ROUND((INDEX($E519:$G519,AT$5)-SUMIFS(TF_Timer,TF_Tekniker,AT$4,TF_Dato,$A519))*2,0)/2)))</f>
        <v/>
      </c>
      <c r="AU519">
        <f>IF(OR(AU$4="",$A519&gt;TODAY()),0,IF(OR(INDEX($B519:$D519,AU$5)="F",AND(AU$6&gt;0,$A519&lt;AU$6),AND(AU$7&gt;0,$A519&gt;AU$7)),0,MAX(0,ROUND((INDEX($E519:$G519,AU$5)-SUMIFS(TF_Timer,TF_Tekniker,AU$4,TF_Dato,$A519))*2,0)/2)))</f>
        <v/>
      </c>
      <c r="AV519">
        <f>IF(OR(AV$4="",$A519&gt;TODAY()),0,IF(OR(INDEX($B519:$D519,AV$5)="F",AND(AV$6&gt;0,$A519&lt;AV$6),AND(AV$7&gt;0,$A519&gt;AV$7)),0,MAX(0,ROUND((INDEX($E519:$G519,AV$5)-SUMIFS(TF_Timer,TF_Tekniker,AV$4,TF_Dato,$A519))*2,0)/2)))</f>
        <v/>
      </c>
      <c r="AW519">
        <f>IF(OR(AW$4="",$A519&gt;TODAY()),0,IF(OR(INDEX($B519:$D519,AW$5)="F",AND(AW$6&gt;0,$A519&lt;AW$6),AND(AW$7&gt;0,$A519&gt;AW$7)),0,MAX(0,ROUND((INDEX($E519:$G519,AW$5)-SUMIFS(TF_Timer,TF_Tekniker,AW$4,TF_Dato,$A519))*2,0)/2)))</f>
        <v/>
      </c>
      <c r="AX519">
        <f>IF(OR(AX$4="",$A519&gt;TODAY()),0,IF(OR(INDEX($B519:$D519,AX$5)="F",AND(AX$6&gt;0,$A519&lt;AX$6),AND(AX$7&gt;0,$A519&gt;AX$7)),0,MAX(0,ROUND((INDEX($E519:$G519,AX$5)-SUMIFS(TF_Timer,TF_Tekniker,AX$4,TF_Dato,$A519))*2,0)/2)))</f>
        <v/>
      </c>
      <c r="AY519">
        <f>IF(OR(AY$4="",$A519&gt;TODAY()),0,IF(OR(INDEX($B519:$D519,AY$5)="F",AND(AY$6&gt;0,$A519&lt;AY$6),AND(AY$7&gt;0,$A519&gt;AY$7)),0,MAX(0,ROUND((INDEX($E519:$G519,AY$5)-SUMIFS(TF_Timer,TF_Tekniker,AY$4,TF_Dato,$A519))*2,0)/2)))</f>
        <v/>
      </c>
      <c r="AZ519">
        <f>IF(OR(AZ$4="",$A519&gt;TODAY()),0,IF(OR(INDEX($B519:$D519,AZ$5)="F",AND(AZ$6&gt;0,$A519&lt;AZ$6),AND(AZ$7&gt;0,$A519&gt;AZ$7)),0,MAX(0,ROUND((INDEX($E519:$G519,AZ$5)-SUMIFS(TF_Timer,TF_Tekniker,AZ$4,TF_Dato,$A519))*2,0)/2)))</f>
        <v/>
      </c>
      <c r="BA519">
        <f>IF(OR(BA$4="",$A519&gt;TODAY()),0,IF(OR(INDEX($B519:$D519,BA$5)="F",AND(BA$6&gt;0,$A519&lt;BA$6),AND(BA$7&gt;0,$A519&gt;BA$7)),0,MAX(0,ROUND((INDEX($E519:$G519,BA$5)-SUMIFS(TF_Timer,TF_Tekniker,BA$4,TF_Dato,$A519))*2,0)/2)))</f>
        <v/>
      </c>
      <c r="BB519">
        <f>IF(OR(BB$4="",$A519&gt;TODAY()),0,IF(OR(INDEX($B519:$D519,BB$5)="F",AND(BB$6&gt;0,$A519&lt;BB$6),AND(BB$7&gt;0,$A519&gt;BB$7)),0,MAX(0,ROUND((INDEX($E519:$G519,BB$5)-SUMIFS(TF_Timer,TF_Tekniker,BB$4,TF_Dato,$A519))*2,0)/2)))</f>
        <v/>
      </c>
      <c r="BC519">
        <f>IF(OR(BC$4="",$A519&gt;TODAY()),0,IF(OR(INDEX($B519:$D519,BC$5)="F",AND(BC$6&gt;0,$A519&lt;BC$6),AND(BC$7&gt;0,$A519&gt;BC$7)),0,MAX(0,ROUND((INDEX($E519:$G519,BC$5)-SUMIFS(TF_Timer,TF_Tekniker,BC$4,TF_Dato,$A519))*2,0)/2)))</f>
        <v/>
      </c>
      <c r="BD519">
        <f>IF(OR(BD$4="",$A519&gt;TODAY()),0,IF(OR(INDEX($B519:$D519,BD$5)="F",AND(BD$6&gt;0,$A519&lt;BD$6),AND(BD$7&gt;0,$A519&gt;BD$7)),0,MAX(0,ROUND((INDEX($E519:$G519,BD$5)-SUMIFS(TF_Timer,TF_Tekniker,BD$4,TF_Dato,$A519))*2,0)/2)))</f>
        <v/>
      </c>
      <c r="BE519">
        <f>IF(OR(BE$4="",$A519&gt;TODAY()),0,IF(OR(INDEX($B519:$D519,BE$5)="F",AND(BE$6&gt;0,$A519&lt;BE$6),AND(BE$7&gt;0,$A519&gt;BE$7)),0,MAX(0,ROUND((INDEX($E519:$G519,BE$5)-SUMIFS(TF_Timer,TF_Tekniker,BE$4,TF_Dato,$A519))*2,0)/2)))</f>
        <v/>
      </c>
      <c r="BF519">
        <f>IF(OR(BF$4="",$A519&gt;TODAY()),0,IF(OR(INDEX($B519:$D519,BF$5)="F",AND(BF$6&gt;0,$A519&lt;BF$6),AND(BF$7&gt;0,$A519&gt;BF$7)),0,MAX(0,ROUND((INDEX($E519:$G519,BF$5)-SUMIFS(TF_Timer,TF_Tekniker,BF$4,TF_Dato,$A519))*2,0)/2)))</f>
        <v/>
      </c>
      <c r="BG519">
        <f>IF(OR(BG$4="",$A519&gt;TODAY()),0,IF(OR(INDEX($B519:$D519,BG$5)="F",AND(BG$6&gt;0,$A519&lt;BG$6),AND(BG$7&gt;0,$A519&gt;BG$7)),0,MAX(0,ROUND((INDEX($E519:$G519,BG$5)-SUMIFS(TF_Timer,TF_Tekniker,BG$4,TF_Dato,$A519))*2,0)/2)))</f>
        <v/>
      </c>
      <c r="BH519">
        <f>IF(OR(BH$4="",$A519&gt;TODAY()),0,IF(OR(INDEX($B519:$D519,BH$5)="F",AND(BH$6&gt;0,$A519&lt;BH$6),AND(BH$7&gt;0,$A519&gt;BH$7)),0,MAX(0,ROUND((INDEX($E519:$G519,BH$5)-SUMIFS(TF_Timer,TF_Tekniker,BH$4,TF_Dato,$A519))*2,0)/2)))</f>
        <v/>
      </c>
      <c r="BI519">
        <f>IF(OR(BI$4="",$A519&gt;TODAY()),0,IF(OR(INDEX($B519:$D519,BI$5)="F",AND(BI$6&gt;0,$A519&lt;BI$6),AND(BI$7&gt;0,$A519&gt;BI$7)),0,MAX(0,ROUND((INDEX($E519:$G519,BI$5)-SUMIFS(TF_Timer,TF_Tekniker,BI$4,TF_Dato,$A519))*2,0)/2)))</f>
        <v/>
      </c>
    </row>
    <row r="520">
      <c r="A520" s="64">
        <f>A519+1</f>
        <v/>
      </c>
      <c r="B520">
        <f>IF(MOD($A520-INDEX(SkiftStart,1),Syklus)&lt;DagK,"K",IF(MOD($A520-INDEX(SkiftStart,1),Syklus)&lt;DagK+DagH,"H",IF(MOD($A520-INDEX(SkiftStart,1),Syklus)&lt;DagK+DagH+DagD,"D","F")))</f>
        <v/>
      </c>
      <c r="C520">
        <f>IF(MOD($A520-INDEX(SkiftStart,2),Syklus)&lt;DagK,"K",IF(MOD($A520-INDEX(SkiftStart,2),Syklus)&lt;DagK+DagH,"H",IF(MOD($A520-INDEX(SkiftStart,2),Syklus)&lt;DagK+DagH+DagD,"D","F")))</f>
        <v/>
      </c>
      <c r="D520">
        <f>IF(MOD($A520-INDEX(SkiftStart,3),Syklus)&lt;DagK,"K",IF(MOD($A520-INDEX(SkiftStart,3),Syklus)&lt;DagK+DagH,"H",IF(MOD($A520-INDEX(SkiftStart,3),Syklus)&lt;DagK+DagH+DagD,"D","F")))</f>
        <v/>
      </c>
      <c r="E520">
        <f>IF(B520="F",0,IF(WEEKDAY($A520,2)=5,INDEX(TimerFr,MATCH(B520,FaseKode,0)),INDEX(TimerMT,MATCH(B520,FaseKode,0))))</f>
        <v/>
      </c>
      <c r="F520">
        <f>IF(C520="F",0,IF(WEEKDAY($A520,2)=5,INDEX(TimerFr,MATCH(C520,FaseKode,0)),INDEX(TimerMT,MATCH(C520,FaseKode,0))))</f>
        <v/>
      </c>
      <c r="G520">
        <f>IF(D520="F",0,IF(WEEKDAY($A520,2)=5,INDEX(TimerFr,MATCH(D520,FaseKode,0)),INDEX(TimerMT,MATCH(D520,FaseKode,0))))</f>
        <v/>
      </c>
      <c r="H520">
        <f>IF(OR(H$4="",$A520&gt;TODAY()),0,IF(OR(INDEX($B520:$D520,H$5)="F",AND(H$6&gt;0,$A520&lt;H$6),AND(H$7&gt;0,$A520&gt;H$7)),0,MAX(0,ROUND((INDEX($E520:$G520,H$5)-SUMIFS(TF_Timer,TF_Tekniker,H$4,TF_Dato,$A520))*2,0)/2)))</f>
        <v/>
      </c>
      <c r="I520">
        <f>IF(OR(I$4="",$A520&gt;TODAY()),0,IF(OR(INDEX($B520:$D520,I$5)="F",AND(I$6&gt;0,$A520&lt;I$6),AND(I$7&gt;0,$A520&gt;I$7)),0,MAX(0,ROUND((INDEX($E520:$G520,I$5)-SUMIFS(TF_Timer,TF_Tekniker,I$4,TF_Dato,$A520))*2,0)/2)))</f>
        <v/>
      </c>
      <c r="J520">
        <f>IF(OR(J$4="",$A520&gt;TODAY()),0,IF(OR(INDEX($B520:$D520,J$5)="F",AND(J$6&gt;0,$A520&lt;J$6),AND(J$7&gt;0,$A520&gt;J$7)),0,MAX(0,ROUND((INDEX($E520:$G520,J$5)-SUMIFS(TF_Timer,TF_Tekniker,J$4,TF_Dato,$A520))*2,0)/2)))</f>
        <v/>
      </c>
      <c r="K520">
        <f>IF(OR(K$4="",$A520&gt;TODAY()),0,IF(OR(INDEX($B520:$D520,K$5)="F",AND(K$6&gt;0,$A520&lt;K$6),AND(K$7&gt;0,$A520&gt;K$7)),0,MAX(0,ROUND((INDEX($E520:$G520,K$5)-SUMIFS(TF_Timer,TF_Tekniker,K$4,TF_Dato,$A520))*2,0)/2)))</f>
        <v/>
      </c>
      <c r="L520">
        <f>IF(OR(L$4="",$A520&gt;TODAY()),0,IF(OR(INDEX($B520:$D520,L$5)="F",AND(L$6&gt;0,$A520&lt;L$6),AND(L$7&gt;0,$A520&gt;L$7)),0,MAX(0,ROUND((INDEX($E520:$G520,L$5)-SUMIFS(TF_Timer,TF_Tekniker,L$4,TF_Dato,$A520))*2,0)/2)))</f>
        <v/>
      </c>
      <c r="M520">
        <f>IF(OR(M$4="",$A520&gt;TODAY()),0,IF(OR(INDEX($B520:$D520,M$5)="F",AND(M$6&gt;0,$A520&lt;M$6),AND(M$7&gt;0,$A520&gt;M$7)),0,MAX(0,ROUND((INDEX($E520:$G520,M$5)-SUMIFS(TF_Timer,TF_Tekniker,M$4,TF_Dato,$A520))*2,0)/2)))</f>
        <v/>
      </c>
      <c r="N520">
        <f>IF(OR(N$4="",$A520&gt;TODAY()),0,IF(OR(INDEX($B520:$D520,N$5)="F",AND(N$6&gt;0,$A520&lt;N$6),AND(N$7&gt;0,$A520&gt;N$7)),0,MAX(0,ROUND((INDEX($E520:$G520,N$5)-SUMIFS(TF_Timer,TF_Tekniker,N$4,TF_Dato,$A520))*2,0)/2)))</f>
        <v/>
      </c>
      <c r="O520">
        <f>IF(OR(O$4="",$A520&gt;TODAY()),0,IF(OR(INDEX($B520:$D520,O$5)="F",AND(O$6&gt;0,$A520&lt;O$6),AND(O$7&gt;0,$A520&gt;O$7)),0,MAX(0,ROUND((INDEX($E520:$G520,O$5)-SUMIFS(TF_Timer,TF_Tekniker,O$4,TF_Dato,$A520))*2,0)/2)))</f>
        <v/>
      </c>
      <c r="P520">
        <f>IF(OR(P$4="",$A520&gt;TODAY()),0,IF(OR(INDEX($B520:$D520,P$5)="F",AND(P$6&gt;0,$A520&lt;P$6),AND(P$7&gt;0,$A520&gt;P$7)),0,MAX(0,ROUND((INDEX($E520:$G520,P$5)-SUMIFS(TF_Timer,TF_Tekniker,P$4,TF_Dato,$A520))*2,0)/2)))</f>
        <v/>
      </c>
      <c r="Q520">
        <f>IF(OR(Q$4="",$A520&gt;TODAY()),0,IF(OR(INDEX($B520:$D520,Q$5)="F",AND(Q$6&gt;0,$A520&lt;Q$6),AND(Q$7&gt;0,$A520&gt;Q$7)),0,MAX(0,ROUND((INDEX($E520:$G520,Q$5)-SUMIFS(TF_Timer,TF_Tekniker,Q$4,TF_Dato,$A520))*2,0)/2)))</f>
        <v/>
      </c>
      <c r="R520">
        <f>IF(OR(R$4="",$A520&gt;TODAY()),0,IF(OR(INDEX($B520:$D520,R$5)="F",AND(R$6&gt;0,$A520&lt;R$6),AND(R$7&gt;0,$A520&gt;R$7)),0,MAX(0,ROUND((INDEX($E520:$G520,R$5)-SUMIFS(TF_Timer,TF_Tekniker,R$4,TF_Dato,$A520))*2,0)/2)))</f>
        <v/>
      </c>
      <c r="S520">
        <f>IF(OR(S$4="",$A520&gt;TODAY()),0,IF(OR(INDEX($B520:$D520,S$5)="F",AND(S$6&gt;0,$A520&lt;S$6),AND(S$7&gt;0,$A520&gt;S$7)),0,MAX(0,ROUND((INDEX($E520:$G520,S$5)-SUMIFS(TF_Timer,TF_Tekniker,S$4,TF_Dato,$A520))*2,0)/2)))</f>
        <v/>
      </c>
      <c r="T520">
        <f>IF(OR(T$4="",$A520&gt;TODAY()),0,IF(OR(INDEX($B520:$D520,T$5)="F",AND(T$6&gt;0,$A520&lt;T$6),AND(T$7&gt;0,$A520&gt;T$7)),0,MAX(0,ROUND((INDEX($E520:$G520,T$5)-SUMIFS(TF_Timer,TF_Tekniker,T$4,TF_Dato,$A520))*2,0)/2)))</f>
        <v/>
      </c>
      <c r="U520">
        <f>IF(OR(U$4="",$A520&gt;TODAY()),0,IF(OR(INDEX($B520:$D520,U$5)="F",AND(U$6&gt;0,$A520&lt;U$6),AND(U$7&gt;0,$A520&gt;U$7)),0,MAX(0,ROUND((INDEX($E520:$G520,U$5)-SUMIFS(TF_Timer,TF_Tekniker,U$4,TF_Dato,$A520))*2,0)/2)))</f>
        <v/>
      </c>
      <c r="V520">
        <f>IF(OR(V$4="",$A520&gt;TODAY()),0,IF(OR(INDEX($B520:$D520,V$5)="F",AND(V$6&gt;0,$A520&lt;V$6),AND(V$7&gt;0,$A520&gt;V$7)),0,MAX(0,ROUND((INDEX($E520:$G520,V$5)-SUMIFS(TF_Timer,TF_Tekniker,V$4,TF_Dato,$A520))*2,0)/2)))</f>
        <v/>
      </c>
      <c r="W520">
        <f>IF(OR(W$4="",$A520&gt;TODAY()),0,IF(OR(INDEX($B520:$D520,W$5)="F",AND(W$6&gt;0,$A520&lt;W$6),AND(W$7&gt;0,$A520&gt;W$7)),0,MAX(0,ROUND((INDEX($E520:$G520,W$5)-SUMIFS(TF_Timer,TF_Tekniker,W$4,TF_Dato,$A520))*2,0)/2)))</f>
        <v/>
      </c>
      <c r="X520">
        <f>IF(OR(X$4="",$A520&gt;TODAY()),0,IF(OR(INDEX($B520:$D520,X$5)="F",AND(X$6&gt;0,$A520&lt;X$6),AND(X$7&gt;0,$A520&gt;X$7)),0,MAX(0,ROUND((INDEX($E520:$G520,X$5)-SUMIFS(TF_Timer,TF_Tekniker,X$4,TF_Dato,$A520))*2,0)/2)))</f>
        <v/>
      </c>
      <c r="Y520">
        <f>IF(OR(Y$4="",$A520&gt;TODAY()),0,IF(OR(INDEX($B520:$D520,Y$5)="F",AND(Y$6&gt;0,$A520&lt;Y$6),AND(Y$7&gt;0,$A520&gt;Y$7)),0,MAX(0,ROUND((INDEX($E520:$G520,Y$5)-SUMIFS(TF_Timer,TF_Tekniker,Y$4,TF_Dato,$A520))*2,0)/2)))</f>
        <v/>
      </c>
      <c r="Z520">
        <f>IF(OR(Z$4="",$A520&gt;TODAY()),0,IF(OR(INDEX($B520:$D520,Z$5)="F",AND(Z$6&gt;0,$A520&lt;Z$6),AND(Z$7&gt;0,$A520&gt;Z$7)),0,MAX(0,ROUND((INDEX($E520:$G520,Z$5)-SUMIFS(TF_Timer,TF_Tekniker,Z$4,TF_Dato,$A520))*2,0)/2)))</f>
        <v/>
      </c>
      <c r="AA520">
        <f>IF(OR(AA$4="",$A520&gt;TODAY()),0,IF(OR(INDEX($B520:$D520,AA$5)="F",AND(AA$6&gt;0,$A520&lt;AA$6),AND(AA$7&gt;0,$A520&gt;AA$7)),0,MAX(0,ROUND((INDEX($E520:$G520,AA$5)-SUMIFS(TF_Timer,TF_Tekniker,AA$4,TF_Dato,$A520))*2,0)/2)))</f>
        <v/>
      </c>
      <c r="AB520">
        <f>IF(OR(AB$4="",$A520&gt;TODAY()),0,IF(OR(INDEX($B520:$D520,AB$5)="F",AND(AB$6&gt;0,$A520&lt;AB$6),AND(AB$7&gt;0,$A520&gt;AB$7)),0,MAX(0,ROUND((INDEX($E520:$G520,AB$5)-SUMIFS(TF_Timer,TF_Tekniker,AB$4,TF_Dato,$A520))*2,0)/2)))</f>
        <v/>
      </c>
      <c r="AC520">
        <f>IF(OR(AC$4="",$A520&gt;TODAY()),0,IF(OR(INDEX($B520:$D520,AC$5)="F",AND(AC$6&gt;0,$A520&lt;AC$6),AND(AC$7&gt;0,$A520&gt;AC$7)),0,MAX(0,ROUND((INDEX($E520:$G520,AC$5)-SUMIFS(TF_Timer,TF_Tekniker,AC$4,TF_Dato,$A520))*2,0)/2)))</f>
        <v/>
      </c>
      <c r="AD520">
        <f>IF(OR(AD$4="",$A520&gt;TODAY()),0,IF(OR(INDEX($B520:$D520,AD$5)="F",AND(AD$6&gt;0,$A520&lt;AD$6),AND(AD$7&gt;0,$A520&gt;AD$7)),0,MAX(0,ROUND((INDEX($E520:$G520,AD$5)-SUMIFS(TF_Timer,TF_Tekniker,AD$4,TF_Dato,$A520))*2,0)/2)))</f>
        <v/>
      </c>
      <c r="AE520">
        <f>IF(OR(AE$4="",$A520&gt;TODAY()),0,IF(OR(INDEX($B520:$D520,AE$5)="F",AND(AE$6&gt;0,$A520&lt;AE$6),AND(AE$7&gt;0,$A520&gt;AE$7)),0,MAX(0,ROUND((INDEX($E520:$G520,AE$5)-SUMIFS(TF_Timer,TF_Tekniker,AE$4,TF_Dato,$A520))*2,0)/2)))</f>
        <v/>
      </c>
      <c r="AF520">
        <f>IF(OR(AF$4="",$A520&gt;TODAY()),0,IF(OR(INDEX($B520:$D520,AF$5)="F",AND(AF$6&gt;0,$A520&lt;AF$6),AND(AF$7&gt;0,$A520&gt;AF$7)),0,MAX(0,ROUND((INDEX($E520:$G520,AF$5)-SUMIFS(TF_Timer,TF_Tekniker,AF$4,TF_Dato,$A520))*2,0)/2)))</f>
        <v/>
      </c>
      <c r="AG520">
        <f>IF(OR(AG$4="",$A520&gt;TODAY()),0,IF(OR(INDEX($B520:$D520,AG$5)="F",AND(AG$6&gt;0,$A520&lt;AG$6),AND(AG$7&gt;0,$A520&gt;AG$7)),0,MAX(0,ROUND((INDEX($E520:$G520,AG$5)-SUMIFS(TF_Timer,TF_Tekniker,AG$4,TF_Dato,$A520))*2,0)/2)))</f>
        <v/>
      </c>
      <c r="AH520">
        <f>IF(OR(AH$4="",$A520&gt;TODAY()),0,IF(OR(INDEX($B520:$D520,AH$5)="F",AND(AH$6&gt;0,$A520&lt;AH$6),AND(AH$7&gt;0,$A520&gt;AH$7)),0,MAX(0,ROUND((INDEX($E520:$G520,AH$5)-SUMIFS(TF_Timer,TF_Tekniker,AH$4,TF_Dato,$A520))*2,0)/2)))</f>
        <v/>
      </c>
      <c r="AI520">
        <f>IF(OR(AI$4="",$A520&gt;TODAY()),0,IF(OR(INDEX($B520:$D520,AI$5)="F",AND(AI$6&gt;0,$A520&lt;AI$6),AND(AI$7&gt;0,$A520&gt;AI$7)),0,MAX(0,ROUND((INDEX($E520:$G520,AI$5)-SUMIFS(TF_Timer,TF_Tekniker,AI$4,TF_Dato,$A520))*2,0)/2)))</f>
        <v/>
      </c>
      <c r="AJ520">
        <f>IF(OR(AJ$4="",$A520&gt;TODAY()),0,IF(OR(INDEX($B520:$D520,AJ$5)="F",AND(AJ$6&gt;0,$A520&lt;AJ$6),AND(AJ$7&gt;0,$A520&gt;AJ$7)),0,MAX(0,ROUND((INDEX($E520:$G520,AJ$5)-SUMIFS(TF_Timer,TF_Tekniker,AJ$4,TF_Dato,$A520))*2,0)/2)))</f>
        <v/>
      </c>
      <c r="AK520">
        <f>IF(OR(AK$4="",$A520&gt;TODAY()),0,IF(OR(INDEX($B520:$D520,AK$5)="F",AND(AK$6&gt;0,$A520&lt;AK$6),AND(AK$7&gt;0,$A520&gt;AK$7)),0,MAX(0,ROUND((INDEX($E520:$G520,AK$5)-SUMIFS(TF_Timer,TF_Tekniker,AK$4,TF_Dato,$A520))*2,0)/2)))</f>
        <v/>
      </c>
      <c r="AL520">
        <f>IF(OR(AL$4="",$A520&gt;TODAY()),0,IF(OR(INDEX($B520:$D520,AL$5)="F",AND(AL$6&gt;0,$A520&lt;AL$6),AND(AL$7&gt;0,$A520&gt;AL$7)),0,MAX(0,ROUND((INDEX($E520:$G520,AL$5)-SUMIFS(TF_Timer,TF_Tekniker,AL$4,TF_Dato,$A520))*2,0)/2)))</f>
        <v/>
      </c>
      <c r="AM520">
        <f>IF(OR(AM$4="",$A520&gt;TODAY()),0,IF(OR(INDEX($B520:$D520,AM$5)="F",AND(AM$6&gt;0,$A520&lt;AM$6),AND(AM$7&gt;0,$A520&gt;AM$7)),0,MAX(0,ROUND((INDEX($E520:$G520,AM$5)-SUMIFS(TF_Timer,TF_Tekniker,AM$4,TF_Dato,$A520))*2,0)/2)))</f>
        <v/>
      </c>
      <c r="AN520">
        <f>IF(OR(AN$4="",$A520&gt;TODAY()),0,IF(OR(INDEX($B520:$D520,AN$5)="F",AND(AN$6&gt;0,$A520&lt;AN$6),AND(AN$7&gt;0,$A520&gt;AN$7)),0,MAX(0,ROUND((INDEX($E520:$G520,AN$5)-SUMIFS(TF_Timer,TF_Tekniker,AN$4,TF_Dato,$A520))*2,0)/2)))</f>
        <v/>
      </c>
      <c r="AO520">
        <f>IF(OR(AO$4="",$A520&gt;TODAY()),0,IF(OR(INDEX($B520:$D520,AO$5)="F",AND(AO$6&gt;0,$A520&lt;AO$6),AND(AO$7&gt;0,$A520&gt;AO$7)),0,MAX(0,ROUND((INDEX($E520:$G520,AO$5)-SUMIFS(TF_Timer,TF_Tekniker,AO$4,TF_Dato,$A520))*2,0)/2)))</f>
        <v/>
      </c>
      <c r="AP520">
        <f>IF(OR(AP$4="",$A520&gt;TODAY()),0,IF(OR(INDEX($B520:$D520,AP$5)="F",AND(AP$6&gt;0,$A520&lt;AP$6),AND(AP$7&gt;0,$A520&gt;AP$7)),0,MAX(0,ROUND((INDEX($E520:$G520,AP$5)-SUMIFS(TF_Timer,TF_Tekniker,AP$4,TF_Dato,$A520))*2,0)/2)))</f>
        <v/>
      </c>
      <c r="AQ520">
        <f>IF(OR(AQ$4="",$A520&gt;TODAY()),0,IF(OR(INDEX($B520:$D520,AQ$5)="F",AND(AQ$6&gt;0,$A520&lt;AQ$6),AND(AQ$7&gt;0,$A520&gt;AQ$7)),0,MAX(0,ROUND((INDEX($E520:$G520,AQ$5)-SUMIFS(TF_Timer,TF_Tekniker,AQ$4,TF_Dato,$A520))*2,0)/2)))</f>
        <v/>
      </c>
      <c r="AR520">
        <f>IF(OR(AR$4="",$A520&gt;TODAY()),0,IF(OR(INDEX($B520:$D520,AR$5)="F",AND(AR$6&gt;0,$A520&lt;AR$6),AND(AR$7&gt;0,$A520&gt;AR$7)),0,MAX(0,ROUND((INDEX($E520:$G520,AR$5)-SUMIFS(TF_Timer,TF_Tekniker,AR$4,TF_Dato,$A520))*2,0)/2)))</f>
        <v/>
      </c>
      <c r="AS520">
        <f>IF(OR(AS$4="",$A520&gt;TODAY()),0,IF(OR(INDEX($B520:$D520,AS$5)="F",AND(AS$6&gt;0,$A520&lt;AS$6),AND(AS$7&gt;0,$A520&gt;AS$7)),0,MAX(0,ROUND((INDEX($E520:$G520,AS$5)-SUMIFS(TF_Timer,TF_Tekniker,AS$4,TF_Dato,$A520))*2,0)/2)))</f>
        <v/>
      </c>
      <c r="AT520">
        <f>IF(OR(AT$4="",$A520&gt;TODAY()),0,IF(OR(INDEX($B520:$D520,AT$5)="F",AND(AT$6&gt;0,$A520&lt;AT$6),AND(AT$7&gt;0,$A520&gt;AT$7)),0,MAX(0,ROUND((INDEX($E520:$G520,AT$5)-SUMIFS(TF_Timer,TF_Tekniker,AT$4,TF_Dato,$A520))*2,0)/2)))</f>
        <v/>
      </c>
      <c r="AU520">
        <f>IF(OR(AU$4="",$A520&gt;TODAY()),0,IF(OR(INDEX($B520:$D520,AU$5)="F",AND(AU$6&gt;0,$A520&lt;AU$6),AND(AU$7&gt;0,$A520&gt;AU$7)),0,MAX(0,ROUND((INDEX($E520:$G520,AU$5)-SUMIFS(TF_Timer,TF_Tekniker,AU$4,TF_Dato,$A520))*2,0)/2)))</f>
        <v/>
      </c>
      <c r="AV520">
        <f>IF(OR(AV$4="",$A520&gt;TODAY()),0,IF(OR(INDEX($B520:$D520,AV$5)="F",AND(AV$6&gt;0,$A520&lt;AV$6),AND(AV$7&gt;0,$A520&gt;AV$7)),0,MAX(0,ROUND((INDEX($E520:$G520,AV$5)-SUMIFS(TF_Timer,TF_Tekniker,AV$4,TF_Dato,$A520))*2,0)/2)))</f>
        <v/>
      </c>
      <c r="AW520">
        <f>IF(OR(AW$4="",$A520&gt;TODAY()),0,IF(OR(INDEX($B520:$D520,AW$5)="F",AND(AW$6&gt;0,$A520&lt;AW$6),AND(AW$7&gt;0,$A520&gt;AW$7)),0,MAX(0,ROUND((INDEX($E520:$G520,AW$5)-SUMIFS(TF_Timer,TF_Tekniker,AW$4,TF_Dato,$A520))*2,0)/2)))</f>
        <v/>
      </c>
      <c r="AX520">
        <f>IF(OR(AX$4="",$A520&gt;TODAY()),0,IF(OR(INDEX($B520:$D520,AX$5)="F",AND(AX$6&gt;0,$A520&lt;AX$6),AND(AX$7&gt;0,$A520&gt;AX$7)),0,MAX(0,ROUND((INDEX($E520:$G520,AX$5)-SUMIFS(TF_Timer,TF_Tekniker,AX$4,TF_Dato,$A520))*2,0)/2)))</f>
        <v/>
      </c>
      <c r="AY520">
        <f>IF(OR(AY$4="",$A520&gt;TODAY()),0,IF(OR(INDEX($B520:$D520,AY$5)="F",AND(AY$6&gt;0,$A520&lt;AY$6),AND(AY$7&gt;0,$A520&gt;AY$7)),0,MAX(0,ROUND((INDEX($E520:$G520,AY$5)-SUMIFS(TF_Timer,TF_Tekniker,AY$4,TF_Dato,$A520))*2,0)/2)))</f>
        <v/>
      </c>
      <c r="AZ520">
        <f>IF(OR(AZ$4="",$A520&gt;TODAY()),0,IF(OR(INDEX($B520:$D520,AZ$5)="F",AND(AZ$6&gt;0,$A520&lt;AZ$6),AND(AZ$7&gt;0,$A520&gt;AZ$7)),0,MAX(0,ROUND((INDEX($E520:$G520,AZ$5)-SUMIFS(TF_Timer,TF_Tekniker,AZ$4,TF_Dato,$A520))*2,0)/2)))</f>
        <v/>
      </c>
      <c r="BA520">
        <f>IF(OR(BA$4="",$A520&gt;TODAY()),0,IF(OR(INDEX($B520:$D520,BA$5)="F",AND(BA$6&gt;0,$A520&lt;BA$6),AND(BA$7&gt;0,$A520&gt;BA$7)),0,MAX(0,ROUND((INDEX($E520:$G520,BA$5)-SUMIFS(TF_Timer,TF_Tekniker,BA$4,TF_Dato,$A520))*2,0)/2)))</f>
        <v/>
      </c>
      <c r="BB520">
        <f>IF(OR(BB$4="",$A520&gt;TODAY()),0,IF(OR(INDEX($B520:$D520,BB$5)="F",AND(BB$6&gt;0,$A520&lt;BB$6),AND(BB$7&gt;0,$A520&gt;BB$7)),0,MAX(0,ROUND((INDEX($E520:$G520,BB$5)-SUMIFS(TF_Timer,TF_Tekniker,BB$4,TF_Dato,$A520))*2,0)/2)))</f>
        <v/>
      </c>
      <c r="BC520">
        <f>IF(OR(BC$4="",$A520&gt;TODAY()),0,IF(OR(INDEX($B520:$D520,BC$5)="F",AND(BC$6&gt;0,$A520&lt;BC$6),AND(BC$7&gt;0,$A520&gt;BC$7)),0,MAX(0,ROUND((INDEX($E520:$G520,BC$5)-SUMIFS(TF_Timer,TF_Tekniker,BC$4,TF_Dato,$A520))*2,0)/2)))</f>
        <v/>
      </c>
      <c r="BD520">
        <f>IF(OR(BD$4="",$A520&gt;TODAY()),0,IF(OR(INDEX($B520:$D520,BD$5)="F",AND(BD$6&gt;0,$A520&lt;BD$6),AND(BD$7&gt;0,$A520&gt;BD$7)),0,MAX(0,ROUND((INDEX($E520:$G520,BD$5)-SUMIFS(TF_Timer,TF_Tekniker,BD$4,TF_Dato,$A520))*2,0)/2)))</f>
        <v/>
      </c>
      <c r="BE520">
        <f>IF(OR(BE$4="",$A520&gt;TODAY()),0,IF(OR(INDEX($B520:$D520,BE$5)="F",AND(BE$6&gt;0,$A520&lt;BE$6),AND(BE$7&gt;0,$A520&gt;BE$7)),0,MAX(0,ROUND((INDEX($E520:$G520,BE$5)-SUMIFS(TF_Timer,TF_Tekniker,BE$4,TF_Dato,$A520))*2,0)/2)))</f>
        <v/>
      </c>
      <c r="BF520">
        <f>IF(OR(BF$4="",$A520&gt;TODAY()),0,IF(OR(INDEX($B520:$D520,BF$5)="F",AND(BF$6&gt;0,$A520&lt;BF$6),AND(BF$7&gt;0,$A520&gt;BF$7)),0,MAX(0,ROUND((INDEX($E520:$G520,BF$5)-SUMIFS(TF_Timer,TF_Tekniker,BF$4,TF_Dato,$A520))*2,0)/2)))</f>
        <v/>
      </c>
      <c r="BG520">
        <f>IF(OR(BG$4="",$A520&gt;TODAY()),0,IF(OR(INDEX($B520:$D520,BG$5)="F",AND(BG$6&gt;0,$A520&lt;BG$6),AND(BG$7&gt;0,$A520&gt;BG$7)),0,MAX(0,ROUND((INDEX($E520:$G520,BG$5)-SUMIFS(TF_Timer,TF_Tekniker,BG$4,TF_Dato,$A520))*2,0)/2)))</f>
        <v/>
      </c>
      <c r="BH520">
        <f>IF(OR(BH$4="",$A520&gt;TODAY()),0,IF(OR(INDEX($B520:$D520,BH$5)="F",AND(BH$6&gt;0,$A520&lt;BH$6),AND(BH$7&gt;0,$A520&gt;BH$7)),0,MAX(0,ROUND((INDEX($E520:$G520,BH$5)-SUMIFS(TF_Timer,TF_Tekniker,BH$4,TF_Dato,$A520))*2,0)/2)))</f>
        <v/>
      </c>
      <c r="BI520">
        <f>IF(OR(BI$4="",$A520&gt;TODAY()),0,IF(OR(INDEX($B520:$D520,BI$5)="F",AND(BI$6&gt;0,$A520&lt;BI$6),AND(BI$7&gt;0,$A520&gt;BI$7)),0,MAX(0,ROUND((INDEX($E520:$G520,BI$5)-SUMIFS(TF_Timer,TF_Tekniker,BI$4,TF_Dato,$A520))*2,0)/2)))</f>
        <v/>
      </c>
    </row>
    <row r="521">
      <c r="A521" s="64">
        <f>A520+1</f>
        <v/>
      </c>
      <c r="B521">
        <f>IF(MOD($A521-INDEX(SkiftStart,1),Syklus)&lt;DagK,"K",IF(MOD($A521-INDEX(SkiftStart,1),Syklus)&lt;DagK+DagH,"H",IF(MOD($A521-INDEX(SkiftStart,1),Syklus)&lt;DagK+DagH+DagD,"D","F")))</f>
        <v/>
      </c>
      <c r="C521">
        <f>IF(MOD($A521-INDEX(SkiftStart,2),Syklus)&lt;DagK,"K",IF(MOD($A521-INDEX(SkiftStart,2),Syklus)&lt;DagK+DagH,"H",IF(MOD($A521-INDEX(SkiftStart,2),Syklus)&lt;DagK+DagH+DagD,"D","F")))</f>
        <v/>
      </c>
      <c r="D521">
        <f>IF(MOD($A521-INDEX(SkiftStart,3),Syklus)&lt;DagK,"K",IF(MOD($A521-INDEX(SkiftStart,3),Syklus)&lt;DagK+DagH,"H",IF(MOD($A521-INDEX(SkiftStart,3),Syklus)&lt;DagK+DagH+DagD,"D","F")))</f>
        <v/>
      </c>
      <c r="E521">
        <f>IF(B521="F",0,IF(WEEKDAY($A521,2)=5,INDEX(TimerFr,MATCH(B521,FaseKode,0)),INDEX(TimerMT,MATCH(B521,FaseKode,0))))</f>
        <v/>
      </c>
      <c r="F521">
        <f>IF(C521="F",0,IF(WEEKDAY($A521,2)=5,INDEX(TimerFr,MATCH(C521,FaseKode,0)),INDEX(TimerMT,MATCH(C521,FaseKode,0))))</f>
        <v/>
      </c>
      <c r="G521">
        <f>IF(D521="F",0,IF(WEEKDAY($A521,2)=5,INDEX(TimerFr,MATCH(D521,FaseKode,0)),INDEX(TimerMT,MATCH(D521,FaseKode,0))))</f>
        <v/>
      </c>
      <c r="H521">
        <f>IF(OR(H$4="",$A521&gt;TODAY()),0,IF(OR(INDEX($B521:$D521,H$5)="F",AND(H$6&gt;0,$A521&lt;H$6),AND(H$7&gt;0,$A521&gt;H$7)),0,MAX(0,ROUND((INDEX($E521:$G521,H$5)-SUMIFS(TF_Timer,TF_Tekniker,H$4,TF_Dato,$A521))*2,0)/2)))</f>
        <v/>
      </c>
      <c r="I521">
        <f>IF(OR(I$4="",$A521&gt;TODAY()),0,IF(OR(INDEX($B521:$D521,I$5)="F",AND(I$6&gt;0,$A521&lt;I$6),AND(I$7&gt;0,$A521&gt;I$7)),0,MAX(0,ROUND((INDEX($E521:$G521,I$5)-SUMIFS(TF_Timer,TF_Tekniker,I$4,TF_Dato,$A521))*2,0)/2)))</f>
        <v/>
      </c>
      <c r="J521">
        <f>IF(OR(J$4="",$A521&gt;TODAY()),0,IF(OR(INDEX($B521:$D521,J$5)="F",AND(J$6&gt;0,$A521&lt;J$6),AND(J$7&gt;0,$A521&gt;J$7)),0,MAX(0,ROUND((INDEX($E521:$G521,J$5)-SUMIFS(TF_Timer,TF_Tekniker,J$4,TF_Dato,$A521))*2,0)/2)))</f>
        <v/>
      </c>
      <c r="K521">
        <f>IF(OR(K$4="",$A521&gt;TODAY()),0,IF(OR(INDEX($B521:$D521,K$5)="F",AND(K$6&gt;0,$A521&lt;K$6),AND(K$7&gt;0,$A521&gt;K$7)),0,MAX(0,ROUND((INDEX($E521:$G521,K$5)-SUMIFS(TF_Timer,TF_Tekniker,K$4,TF_Dato,$A521))*2,0)/2)))</f>
        <v/>
      </c>
      <c r="L521">
        <f>IF(OR(L$4="",$A521&gt;TODAY()),0,IF(OR(INDEX($B521:$D521,L$5)="F",AND(L$6&gt;0,$A521&lt;L$6),AND(L$7&gt;0,$A521&gt;L$7)),0,MAX(0,ROUND((INDEX($E521:$G521,L$5)-SUMIFS(TF_Timer,TF_Tekniker,L$4,TF_Dato,$A521))*2,0)/2)))</f>
        <v/>
      </c>
      <c r="M521">
        <f>IF(OR(M$4="",$A521&gt;TODAY()),0,IF(OR(INDEX($B521:$D521,M$5)="F",AND(M$6&gt;0,$A521&lt;M$6),AND(M$7&gt;0,$A521&gt;M$7)),0,MAX(0,ROUND((INDEX($E521:$G521,M$5)-SUMIFS(TF_Timer,TF_Tekniker,M$4,TF_Dato,$A521))*2,0)/2)))</f>
        <v/>
      </c>
      <c r="N521">
        <f>IF(OR(N$4="",$A521&gt;TODAY()),0,IF(OR(INDEX($B521:$D521,N$5)="F",AND(N$6&gt;0,$A521&lt;N$6),AND(N$7&gt;0,$A521&gt;N$7)),0,MAX(0,ROUND((INDEX($E521:$G521,N$5)-SUMIFS(TF_Timer,TF_Tekniker,N$4,TF_Dato,$A521))*2,0)/2)))</f>
        <v/>
      </c>
      <c r="O521">
        <f>IF(OR(O$4="",$A521&gt;TODAY()),0,IF(OR(INDEX($B521:$D521,O$5)="F",AND(O$6&gt;0,$A521&lt;O$6),AND(O$7&gt;0,$A521&gt;O$7)),0,MAX(0,ROUND((INDEX($E521:$G521,O$5)-SUMIFS(TF_Timer,TF_Tekniker,O$4,TF_Dato,$A521))*2,0)/2)))</f>
        <v/>
      </c>
      <c r="P521">
        <f>IF(OR(P$4="",$A521&gt;TODAY()),0,IF(OR(INDEX($B521:$D521,P$5)="F",AND(P$6&gt;0,$A521&lt;P$6),AND(P$7&gt;0,$A521&gt;P$7)),0,MAX(0,ROUND((INDEX($E521:$G521,P$5)-SUMIFS(TF_Timer,TF_Tekniker,P$4,TF_Dato,$A521))*2,0)/2)))</f>
        <v/>
      </c>
      <c r="Q521">
        <f>IF(OR(Q$4="",$A521&gt;TODAY()),0,IF(OR(INDEX($B521:$D521,Q$5)="F",AND(Q$6&gt;0,$A521&lt;Q$6),AND(Q$7&gt;0,$A521&gt;Q$7)),0,MAX(0,ROUND((INDEX($E521:$G521,Q$5)-SUMIFS(TF_Timer,TF_Tekniker,Q$4,TF_Dato,$A521))*2,0)/2)))</f>
        <v/>
      </c>
      <c r="R521">
        <f>IF(OR(R$4="",$A521&gt;TODAY()),0,IF(OR(INDEX($B521:$D521,R$5)="F",AND(R$6&gt;0,$A521&lt;R$6),AND(R$7&gt;0,$A521&gt;R$7)),0,MAX(0,ROUND((INDEX($E521:$G521,R$5)-SUMIFS(TF_Timer,TF_Tekniker,R$4,TF_Dato,$A521))*2,0)/2)))</f>
        <v/>
      </c>
      <c r="S521">
        <f>IF(OR(S$4="",$A521&gt;TODAY()),0,IF(OR(INDEX($B521:$D521,S$5)="F",AND(S$6&gt;0,$A521&lt;S$6),AND(S$7&gt;0,$A521&gt;S$7)),0,MAX(0,ROUND((INDEX($E521:$G521,S$5)-SUMIFS(TF_Timer,TF_Tekniker,S$4,TF_Dato,$A521))*2,0)/2)))</f>
        <v/>
      </c>
      <c r="T521">
        <f>IF(OR(T$4="",$A521&gt;TODAY()),0,IF(OR(INDEX($B521:$D521,T$5)="F",AND(T$6&gt;0,$A521&lt;T$6),AND(T$7&gt;0,$A521&gt;T$7)),0,MAX(0,ROUND((INDEX($E521:$G521,T$5)-SUMIFS(TF_Timer,TF_Tekniker,T$4,TF_Dato,$A521))*2,0)/2)))</f>
        <v/>
      </c>
      <c r="U521">
        <f>IF(OR(U$4="",$A521&gt;TODAY()),0,IF(OR(INDEX($B521:$D521,U$5)="F",AND(U$6&gt;0,$A521&lt;U$6),AND(U$7&gt;0,$A521&gt;U$7)),0,MAX(0,ROUND((INDEX($E521:$G521,U$5)-SUMIFS(TF_Timer,TF_Tekniker,U$4,TF_Dato,$A521))*2,0)/2)))</f>
        <v/>
      </c>
      <c r="V521">
        <f>IF(OR(V$4="",$A521&gt;TODAY()),0,IF(OR(INDEX($B521:$D521,V$5)="F",AND(V$6&gt;0,$A521&lt;V$6),AND(V$7&gt;0,$A521&gt;V$7)),0,MAX(0,ROUND((INDEX($E521:$G521,V$5)-SUMIFS(TF_Timer,TF_Tekniker,V$4,TF_Dato,$A521))*2,0)/2)))</f>
        <v/>
      </c>
      <c r="W521">
        <f>IF(OR(W$4="",$A521&gt;TODAY()),0,IF(OR(INDEX($B521:$D521,W$5)="F",AND(W$6&gt;0,$A521&lt;W$6),AND(W$7&gt;0,$A521&gt;W$7)),0,MAX(0,ROUND((INDEX($E521:$G521,W$5)-SUMIFS(TF_Timer,TF_Tekniker,W$4,TF_Dato,$A521))*2,0)/2)))</f>
        <v/>
      </c>
      <c r="X521">
        <f>IF(OR(X$4="",$A521&gt;TODAY()),0,IF(OR(INDEX($B521:$D521,X$5)="F",AND(X$6&gt;0,$A521&lt;X$6),AND(X$7&gt;0,$A521&gt;X$7)),0,MAX(0,ROUND((INDEX($E521:$G521,X$5)-SUMIFS(TF_Timer,TF_Tekniker,X$4,TF_Dato,$A521))*2,0)/2)))</f>
        <v/>
      </c>
      <c r="Y521">
        <f>IF(OR(Y$4="",$A521&gt;TODAY()),0,IF(OR(INDEX($B521:$D521,Y$5)="F",AND(Y$6&gt;0,$A521&lt;Y$6),AND(Y$7&gt;0,$A521&gt;Y$7)),0,MAX(0,ROUND((INDEX($E521:$G521,Y$5)-SUMIFS(TF_Timer,TF_Tekniker,Y$4,TF_Dato,$A521))*2,0)/2)))</f>
        <v/>
      </c>
      <c r="Z521">
        <f>IF(OR(Z$4="",$A521&gt;TODAY()),0,IF(OR(INDEX($B521:$D521,Z$5)="F",AND(Z$6&gt;0,$A521&lt;Z$6),AND(Z$7&gt;0,$A521&gt;Z$7)),0,MAX(0,ROUND((INDEX($E521:$G521,Z$5)-SUMIFS(TF_Timer,TF_Tekniker,Z$4,TF_Dato,$A521))*2,0)/2)))</f>
        <v/>
      </c>
      <c r="AA521">
        <f>IF(OR(AA$4="",$A521&gt;TODAY()),0,IF(OR(INDEX($B521:$D521,AA$5)="F",AND(AA$6&gt;0,$A521&lt;AA$6),AND(AA$7&gt;0,$A521&gt;AA$7)),0,MAX(0,ROUND((INDEX($E521:$G521,AA$5)-SUMIFS(TF_Timer,TF_Tekniker,AA$4,TF_Dato,$A521))*2,0)/2)))</f>
        <v/>
      </c>
      <c r="AB521">
        <f>IF(OR(AB$4="",$A521&gt;TODAY()),0,IF(OR(INDEX($B521:$D521,AB$5)="F",AND(AB$6&gt;0,$A521&lt;AB$6),AND(AB$7&gt;0,$A521&gt;AB$7)),0,MAX(0,ROUND((INDEX($E521:$G521,AB$5)-SUMIFS(TF_Timer,TF_Tekniker,AB$4,TF_Dato,$A521))*2,0)/2)))</f>
        <v/>
      </c>
      <c r="AC521">
        <f>IF(OR(AC$4="",$A521&gt;TODAY()),0,IF(OR(INDEX($B521:$D521,AC$5)="F",AND(AC$6&gt;0,$A521&lt;AC$6),AND(AC$7&gt;0,$A521&gt;AC$7)),0,MAX(0,ROUND((INDEX($E521:$G521,AC$5)-SUMIFS(TF_Timer,TF_Tekniker,AC$4,TF_Dato,$A521))*2,0)/2)))</f>
        <v/>
      </c>
      <c r="AD521">
        <f>IF(OR(AD$4="",$A521&gt;TODAY()),0,IF(OR(INDEX($B521:$D521,AD$5)="F",AND(AD$6&gt;0,$A521&lt;AD$6),AND(AD$7&gt;0,$A521&gt;AD$7)),0,MAX(0,ROUND((INDEX($E521:$G521,AD$5)-SUMIFS(TF_Timer,TF_Tekniker,AD$4,TF_Dato,$A521))*2,0)/2)))</f>
        <v/>
      </c>
      <c r="AE521">
        <f>IF(OR(AE$4="",$A521&gt;TODAY()),0,IF(OR(INDEX($B521:$D521,AE$5)="F",AND(AE$6&gt;0,$A521&lt;AE$6),AND(AE$7&gt;0,$A521&gt;AE$7)),0,MAX(0,ROUND((INDEX($E521:$G521,AE$5)-SUMIFS(TF_Timer,TF_Tekniker,AE$4,TF_Dato,$A521))*2,0)/2)))</f>
        <v/>
      </c>
      <c r="AF521">
        <f>IF(OR(AF$4="",$A521&gt;TODAY()),0,IF(OR(INDEX($B521:$D521,AF$5)="F",AND(AF$6&gt;0,$A521&lt;AF$6),AND(AF$7&gt;0,$A521&gt;AF$7)),0,MAX(0,ROUND((INDEX($E521:$G521,AF$5)-SUMIFS(TF_Timer,TF_Tekniker,AF$4,TF_Dato,$A521))*2,0)/2)))</f>
        <v/>
      </c>
      <c r="AG521">
        <f>IF(OR(AG$4="",$A521&gt;TODAY()),0,IF(OR(INDEX($B521:$D521,AG$5)="F",AND(AG$6&gt;0,$A521&lt;AG$6),AND(AG$7&gt;0,$A521&gt;AG$7)),0,MAX(0,ROUND((INDEX($E521:$G521,AG$5)-SUMIFS(TF_Timer,TF_Tekniker,AG$4,TF_Dato,$A521))*2,0)/2)))</f>
        <v/>
      </c>
      <c r="AH521">
        <f>IF(OR(AH$4="",$A521&gt;TODAY()),0,IF(OR(INDEX($B521:$D521,AH$5)="F",AND(AH$6&gt;0,$A521&lt;AH$6),AND(AH$7&gt;0,$A521&gt;AH$7)),0,MAX(0,ROUND((INDEX($E521:$G521,AH$5)-SUMIFS(TF_Timer,TF_Tekniker,AH$4,TF_Dato,$A521))*2,0)/2)))</f>
        <v/>
      </c>
      <c r="AI521">
        <f>IF(OR(AI$4="",$A521&gt;TODAY()),0,IF(OR(INDEX($B521:$D521,AI$5)="F",AND(AI$6&gt;0,$A521&lt;AI$6),AND(AI$7&gt;0,$A521&gt;AI$7)),0,MAX(0,ROUND((INDEX($E521:$G521,AI$5)-SUMIFS(TF_Timer,TF_Tekniker,AI$4,TF_Dato,$A521))*2,0)/2)))</f>
        <v/>
      </c>
      <c r="AJ521">
        <f>IF(OR(AJ$4="",$A521&gt;TODAY()),0,IF(OR(INDEX($B521:$D521,AJ$5)="F",AND(AJ$6&gt;0,$A521&lt;AJ$6),AND(AJ$7&gt;0,$A521&gt;AJ$7)),0,MAX(0,ROUND((INDEX($E521:$G521,AJ$5)-SUMIFS(TF_Timer,TF_Tekniker,AJ$4,TF_Dato,$A521))*2,0)/2)))</f>
        <v/>
      </c>
      <c r="AK521">
        <f>IF(OR(AK$4="",$A521&gt;TODAY()),0,IF(OR(INDEX($B521:$D521,AK$5)="F",AND(AK$6&gt;0,$A521&lt;AK$6),AND(AK$7&gt;0,$A521&gt;AK$7)),0,MAX(0,ROUND((INDEX($E521:$G521,AK$5)-SUMIFS(TF_Timer,TF_Tekniker,AK$4,TF_Dato,$A521))*2,0)/2)))</f>
        <v/>
      </c>
      <c r="AL521">
        <f>IF(OR(AL$4="",$A521&gt;TODAY()),0,IF(OR(INDEX($B521:$D521,AL$5)="F",AND(AL$6&gt;0,$A521&lt;AL$6),AND(AL$7&gt;0,$A521&gt;AL$7)),0,MAX(0,ROUND((INDEX($E521:$G521,AL$5)-SUMIFS(TF_Timer,TF_Tekniker,AL$4,TF_Dato,$A521))*2,0)/2)))</f>
        <v/>
      </c>
      <c r="AM521">
        <f>IF(OR(AM$4="",$A521&gt;TODAY()),0,IF(OR(INDEX($B521:$D521,AM$5)="F",AND(AM$6&gt;0,$A521&lt;AM$6),AND(AM$7&gt;0,$A521&gt;AM$7)),0,MAX(0,ROUND((INDEX($E521:$G521,AM$5)-SUMIFS(TF_Timer,TF_Tekniker,AM$4,TF_Dato,$A521))*2,0)/2)))</f>
        <v/>
      </c>
      <c r="AN521">
        <f>IF(OR(AN$4="",$A521&gt;TODAY()),0,IF(OR(INDEX($B521:$D521,AN$5)="F",AND(AN$6&gt;0,$A521&lt;AN$6),AND(AN$7&gt;0,$A521&gt;AN$7)),0,MAX(0,ROUND((INDEX($E521:$G521,AN$5)-SUMIFS(TF_Timer,TF_Tekniker,AN$4,TF_Dato,$A521))*2,0)/2)))</f>
        <v/>
      </c>
      <c r="AO521">
        <f>IF(OR(AO$4="",$A521&gt;TODAY()),0,IF(OR(INDEX($B521:$D521,AO$5)="F",AND(AO$6&gt;0,$A521&lt;AO$6),AND(AO$7&gt;0,$A521&gt;AO$7)),0,MAX(0,ROUND((INDEX($E521:$G521,AO$5)-SUMIFS(TF_Timer,TF_Tekniker,AO$4,TF_Dato,$A521))*2,0)/2)))</f>
        <v/>
      </c>
      <c r="AP521">
        <f>IF(OR(AP$4="",$A521&gt;TODAY()),0,IF(OR(INDEX($B521:$D521,AP$5)="F",AND(AP$6&gt;0,$A521&lt;AP$6),AND(AP$7&gt;0,$A521&gt;AP$7)),0,MAX(0,ROUND((INDEX($E521:$G521,AP$5)-SUMIFS(TF_Timer,TF_Tekniker,AP$4,TF_Dato,$A521))*2,0)/2)))</f>
        <v/>
      </c>
      <c r="AQ521">
        <f>IF(OR(AQ$4="",$A521&gt;TODAY()),0,IF(OR(INDEX($B521:$D521,AQ$5)="F",AND(AQ$6&gt;0,$A521&lt;AQ$6),AND(AQ$7&gt;0,$A521&gt;AQ$7)),0,MAX(0,ROUND((INDEX($E521:$G521,AQ$5)-SUMIFS(TF_Timer,TF_Tekniker,AQ$4,TF_Dato,$A521))*2,0)/2)))</f>
        <v/>
      </c>
      <c r="AR521">
        <f>IF(OR(AR$4="",$A521&gt;TODAY()),0,IF(OR(INDEX($B521:$D521,AR$5)="F",AND(AR$6&gt;0,$A521&lt;AR$6),AND(AR$7&gt;0,$A521&gt;AR$7)),0,MAX(0,ROUND((INDEX($E521:$G521,AR$5)-SUMIFS(TF_Timer,TF_Tekniker,AR$4,TF_Dato,$A521))*2,0)/2)))</f>
        <v/>
      </c>
      <c r="AS521">
        <f>IF(OR(AS$4="",$A521&gt;TODAY()),0,IF(OR(INDEX($B521:$D521,AS$5)="F",AND(AS$6&gt;0,$A521&lt;AS$6),AND(AS$7&gt;0,$A521&gt;AS$7)),0,MAX(0,ROUND((INDEX($E521:$G521,AS$5)-SUMIFS(TF_Timer,TF_Tekniker,AS$4,TF_Dato,$A521))*2,0)/2)))</f>
        <v/>
      </c>
      <c r="AT521">
        <f>IF(OR(AT$4="",$A521&gt;TODAY()),0,IF(OR(INDEX($B521:$D521,AT$5)="F",AND(AT$6&gt;0,$A521&lt;AT$6),AND(AT$7&gt;0,$A521&gt;AT$7)),0,MAX(0,ROUND((INDEX($E521:$G521,AT$5)-SUMIFS(TF_Timer,TF_Tekniker,AT$4,TF_Dato,$A521))*2,0)/2)))</f>
        <v/>
      </c>
      <c r="AU521">
        <f>IF(OR(AU$4="",$A521&gt;TODAY()),0,IF(OR(INDEX($B521:$D521,AU$5)="F",AND(AU$6&gt;0,$A521&lt;AU$6),AND(AU$7&gt;0,$A521&gt;AU$7)),0,MAX(0,ROUND((INDEX($E521:$G521,AU$5)-SUMIFS(TF_Timer,TF_Tekniker,AU$4,TF_Dato,$A521))*2,0)/2)))</f>
        <v/>
      </c>
      <c r="AV521">
        <f>IF(OR(AV$4="",$A521&gt;TODAY()),0,IF(OR(INDEX($B521:$D521,AV$5)="F",AND(AV$6&gt;0,$A521&lt;AV$6),AND(AV$7&gt;0,$A521&gt;AV$7)),0,MAX(0,ROUND((INDEX($E521:$G521,AV$5)-SUMIFS(TF_Timer,TF_Tekniker,AV$4,TF_Dato,$A521))*2,0)/2)))</f>
        <v/>
      </c>
      <c r="AW521">
        <f>IF(OR(AW$4="",$A521&gt;TODAY()),0,IF(OR(INDEX($B521:$D521,AW$5)="F",AND(AW$6&gt;0,$A521&lt;AW$6),AND(AW$7&gt;0,$A521&gt;AW$7)),0,MAX(0,ROUND((INDEX($E521:$G521,AW$5)-SUMIFS(TF_Timer,TF_Tekniker,AW$4,TF_Dato,$A521))*2,0)/2)))</f>
        <v/>
      </c>
      <c r="AX521">
        <f>IF(OR(AX$4="",$A521&gt;TODAY()),0,IF(OR(INDEX($B521:$D521,AX$5)="F",AND(AX$6&gt;0,$A521&lt;AX$6),AND(AX$7&gt;0,$A521&gt;AX$7)),0,MAX(0,ROUND((INDEX($E521:$G521,AX$5)-SUMIFS(TF_Timer,TF_Tekniker,AX$4,TF_Dato,$A521))*2,0)/2)))</f>
        <v/>
      </c>
      <c r="AY521">
        <f>IF(OR(AY$4="",$A521&gt;TODAY()),0,IF(OR(INDEX($B521:$D521,AY$5)="F",AND(AY$6&gt;0,$A521&lt;AY$6),AND(AY$7&gt;0,$A521&gt;AY$7)),0,MAX(0,ROUND((INDEX($E521:$G521,AY$5)-SUMIFS(TF_Timer,TF_Tekniker,AY$4,TF_Dato,$A521))*2,0)/2)))</f>
        <v/>
      </c>
      <c r="AZ521">
        <f>IF(OR(AZ$4="",$A521&gt;TODAY()),0,IF(OR(INDEX($B521:$D521,AZ$5)="F",AND(AZ$6&gt;0,$A521&lt;AZ$6),AND(AZ$7&gt;0,$A521&gt;AZ$7)),0,MAX(0,ROUND((INDEX($E521:$G521,AZ$5)-SUMIFS(TF_Timer,TF_Tekniker,AZ$4,TF_Dato,$A521))*2,0)/2)))</f>
        <v/>
      </c>
      <c r="BA521">
        <f>IF(OR(BA$4="",$A521&gt;TODAY()),0,IF(OR(INDEX($B521:$D521,BA$5)="F",AND(BA$6&gt;0,$A521&lt;BA$6),AND(BA$7&gt;0,$A521&gt;BA$7)),0,MAX(0,ROUND((INDEX($E521:$G521,BA$5)-SUMIFS(TF_Timer,TF_Tekniker,BA$4,TF_Dato,$A521))*2,0)/2)))</f>
        <v/>
      </c>
      <c r="BB521">
        <f>IF(OR(BB$4="",$A521&gt;TODAY()),0,IF(OR(INDEX($B521:$D521,BB$5)="F",AND(BB$6&gt;0,$A521&lt;BB$6),AND(BB$7&gt;0,$A521&gt;BB$7)),0,MAX(0,ROUND((INDEX($E521:$G521,BB$5)-SUMIFS(TF_Timer,TF_Tekniker,BB$4,TF_Dato,$A521))*2,0)/2)))</f>
        <v/>
      </c>
      <c r="BC521">
        <f>IF(OR(BC$4="",$A521&gt;TODAY()),0,IF(OR(INDEX($B521:$D521,BC$5)="F",AND(BC$6&gt;0,$A521&lt;BC$6),AND(BC$7&gt;0,$A521&gt;BC$7)),0,MAX(0,ROUND((INDEX($E521:$G521,BC$5)-SUMIFS(TF_Timer,TF_Tekniker,BC$4,TF_Dato,$A521))*2,0)/2)))</f>
        <v/>
      </c>
      <c r="BD521">
        <f>IF(OR(BD$4="",$A521&gt;TODAY()),0,IF(OR(INDEX($B521:$D521,BD$5)="F",AND(BD$6&gt;0,$A521&lt;BD$6),AND(BD$7&gt;0,$A521&gt;BD$7)),0,MAX(0,ROUND((INDEX($E521:$G521,BD$5)-SUMIFS(TF_Timer,TF_Tekniker,BD$4,TF_Dato,$A521))*2,0)/2)))</f>
        <v/>
      </c>
      <c r="BE521">
        <f>IF(OR(BE$4="",$A521&gt;TODAY()),0,IF(OR(INDEX($B521:$D521,BE$5)="F",AND(BE$6&gt;0,$A521&lt;BE$6),AND(BE$7&gt;0,$A521&gt;BE$7)),0,MAX(0,ROUND((INDEX($E521:$G521,BE$5)-SUMIFS(TF_Timer,TF_Tekniker,BE$4,TF_Dato,$A521))*2,0)/2)))</f>
        <v/>
      </c>
      <c r="BF521">
        <f>IF(OR(BF$4="",$A521&gt;TODAY()),0,IF(OR(INDEX($B521:$D521,BF$5)="F",AND(BF$6&gt;0,$A521&lt;BF$6),AND(BF$7&gt;0,$A521&gt;BF$7)),0,MAX(0,ROUND((INDEX($E521:$G521,BF$5)-SUMIFS(TF_Timer,TF_Tekniker,BF$4,TF_Dato,$A521))*2,0)/2)))</f>
        <v/>
      </c>
      <c r="BG521">
        <f>IF(OR(BG$4="",$A521&gt;TODAY()),0,IF(OR(INDEX($B521:$D521,BG$5)="F",AND(BG$6&gt;0,$A521&lt;BG$6),AND(BG$7&gt;0,$A521&gt;BG$7)),0,MAX(0,ROUND((INDEX($E521:$G521,BG$5)-SUMIFS(TF_Timer,TF_Tekniker,BG$4,TF_Dato,$A521))*2,0)/2)))</f>
        <v/>
      </c>
      <c r="BH521">
        <f>IF(OR(BH$4="",$A521&gt;TODAY()),0,IF(OR(INDEX($B521:$D521,BH$5)="F",AND(BH$6&gt;0,$A521&lt;BH$6),AND(BH$7&gt;0,$A521&gt;BH$7)),0,MAX(0,ROUND((INDEX($E521:$G521,BH$5)-SUMIFS(TF_Timer,TF_Tekniker,BH$4,TF_Dato,$A521))*2,0)/2)))</f>
        <v/>
      </c>
      <c r="BI521">
        <f>IF(OR(BI$4="",$A521&gt;TODAY()),0,IF(OR(INDEX($B521:$D521,BI$5)="F",AND(BI$6&gt;0,$A521&lt;BI$6),AND(BI$7&gt;0,$A521&gt;BI$7)),0,MAX(0,ROUND((INDEX($E521:$G521,BI$5)-SUMIFS(TF_Timer,TF_Tekniker,BI$4,TF_Dato,$A521))*2,0)/2)))</f>
        <v/>
      </c>
    </row>
    <row r="522">
      <c r="A522" s="64">
        <f>A521+1</f>
        <v/>
      </c>
      <c r="B522">
        <f>IF(MOD($A522-INDEX(SkiftStart,1),Syklus)&lt;DagK,"K",IF(MOD($A522-INDEX(SkiftStart,1),Syklus)&lt;DagK+DagH,"H",IF(MOD($A522-INDEX(SkiftStart,1),Syklus)&lt;DagK+DagH+DagD,"D","F")))</f>
        <v/>
      </c>
      <c r="C522">
        <f>IF(MOD($A522-INDEX(SkiftStart,2),Syklus)&lt;DagK,"K",IF(MOD($A522-INDEX(SkiftStart,2),Syklus)&lt;DagK+DagH,"H",IF(MOD($A522-INDEX(SkiftStart,2),Syklus)&lt;DagK+DagH+DagD,"D","F")))</f>
        <v/>
      </c>
      <c r="D522">
        <f>IF(MOD($A522-INDEX(SkiftStart,3),Syklus)&lt;DagK,"K",IF(MOD($A522-INDEX(SkiftStart,3),Syklus)&lt;DagK+DagH,"H",IF(MOD($A522-INDEX(SkiftStart,3),Syklus)&lt;DagK+DagH+DagD,"D","F")))</f>
        <v/>
      </c>
      <c r="E522">
        <f>IF(B522="F",0,IF(WEEKDAY($A522,2)=5,INDEX(TimerFr,MATCH(B522,FaseKode,0)),INDEX(TimerMT,MATCH(B522,FaseKode,0))))</f>
        <v/>
      </c>
      <c r="F522">
        <f>IF(C522="F",0,IF(WEEKDAY($A522,2)=5,INDEX(TimerFr,MATCH(C522,FaseKode,0)),INDEX(TimerMT,MATCH(C522,FaseKode,0))))</f>
        <v/>
      </c>
      <c r="G522">
        <f>IF(D522="F",0,IF(WEEKDAY($A522,2)=5,INDEX(TimerFr,MATCH(D522,FaseKode,0)),INDEX(TimerMT,MATCH(D522,FaseKode,0))))</f>
        <v/>
      </c>
      <c r="H522">
        <f>IF(OR(H$4="",$A522&gt;TODAY()),0,IF(OR(INDEX($B522:$D522,H$5)="F",AND(H$6&gt;0,$A522&lt;H$6),AND(H$7&gt;0,$A522&gt;H$7)),0,MAX(0,ROUND((INDEX($E522:$G522,H$5)-SUMIFS(TF_Timer,TF_Tekniker,H$4,TF_Dato,$A522))*2,0)/2)))</f>
        <v/>
      </c>
      <c r="I522">
        <f>IF(OR(I$4="",$A522&gt;TODAY()),0,IF(OR(INDEX($B522:$D522,I$5)="F",AND(I$6&gt;0,$A522&lt;I$6),AND(I$7&gt;0,$A522&gt;I$7)),0,MAX(0,ROUND((INDEX($E522:$G522,I$5)-SUMIFS(TF_Timer,TF_Tekniker,I$4,TF_Dato,$A522))*2,0)/2)))</f>
        <v/>
      </c>
      <c r="J522">
        <f>IF(OR(J$4="",$A522&gt;TODAY()),0,IF(OR(INDEX($B522:$D522,J$5)="F",AND(J$6&gt;0,$A522&lt;J$6),AND(J$7&gt;0,$A522&gt;J$7)),0,MAX(0,ROUND((INDEX($E522:$G522,J$5)-SUMIFS(TF_Timer,TF_Tekniker,J$4,TF_Dato,$A522))*2,0)/2)))</f>
        <v/>
      </c>
      <c r="K522">
        <f>IF(OR(K$4="",$A522&gt;TODAY()),0,IF(OR(INDEX($B522:$D522,K$5)="F",AND(K$6&gt;0,$A522&lt;K$6),AND(K$7&gt;0,$A522&gt;K$7)),0,MAX(0,ROUND((INDEX($E522:$G522,K$5)-SUMIFS(TF_Timer,TF_Tekniker,K$4,TF_Dato,$A522))*2,0)/2)))</f>
        <v/>
      </c>
      <c r="L522">
        <f>IF(OR(L$4="",$A522&gt;TODAY()),0,IF(OR(INDEX($B522:$D522,L$5)="F",AND(L$6&gt;0,$A522&lt;L$6),AND(L$7&gt;0,$A522&gt;L$7)),0,MAX(0,ROUND((INDEX($E522:$G522,L$5)-SUMIFS(TF_Timer,TF_Tekniker,L$4,TF_Dato,$A522))*2,0)/2)))</f>
        <v/>
      </c>
      <c r="M522">
        <f>IF(OR(M$4="",$A522&gt;TODAY()),0,IF(OR(INDEX($B522:$D522,M$5)="F",AND(M$6&gt;0,$A522&lt;M$6),AND(M$7&gt;0,$A522&gt;M$7)),0,MAX(0,ROUND((INDEX($E522:$G522,M$5)-SUMIFS(TF_Timer,TF_Tekniker,M$4,TF_Dato,$A522))*2,0)/2)))</f>
        <v/>
      </c>
      <c r="N522">
        <f>IF(OR(N$4="",$A522&gt;TODAY()),0,IF(OR(INDEX($B522:$D522,N$5)="F",AND(N$6&gt;0,$A522&lt;N$6),AND(N$7&gt;0,$A522&gt;N$7)),0,MAX(0,ROUND((INDEX($E522:$G522,N$5)-SUMIFS(TF_Timer,TF_Tekniker,N$4,TF_Dato,$A522))*2,0)/2)))</f>
        <v/>
      </c>
      <c r="O522">
        <f>IF(OR(O$4="",$A522&gt;TODAY()),0,IF(OR(INDEX($B522:$D522,O$5)="F",AND(O$6&gt;0,$A522&lt;O$6),AND(O$7&gt;0,$A522&gt;O$7)),0,MAX(0,ROUND((INDEX($E522:$G522,O$5)-SUMIFS(TF_Timer,TF_Tekniker,O$4,TF_Dato,$A522))*2,0)/2)))</f>
        <v/>
      </c>
      <c r="P522">
        <f>IF(OR(P$4="",$A522&gt;TODAY()),0,IF(OR(INDEX($B522:$D522,P$5)="F",AND(P$6&gt;0,$A522&lt;P$6),AND(P$7&gt;0,$A522&gt;P$7)),0,MAX(0,ROUND((INDEX($E522:$G522,P$5)-SUMIFS(TF_Timer,TF_Tekniker,P$4,TF_Dato,$A522))*2,0)/2)))</f>
        <v/>
      </c>
      <c r="Q522">
        <f>IF(OR(Q$4="",$A522&gt;TODAY()),0,IF(OR(INDEX($B522:$D522,Q$5)="F",AND(Q$6&gt;0,$A522&lt;Q$6),AND(Q$7&gt;0,$A522&gt;Q$7)),0,MAX(0,ROUND((INDEX($E522:$G522,Q$5)-SUMIFS(TF_Timer,TF_Tekniker,Q$4,TF_Dato,$A522))*2,0)/2)))</f>
        <v/>
      </c>
      <c r="R522">
        <f>IF(OR(R$4="",$A522&gt;TODAY()),0,IF(OR(INDEX($B522:$D522,R$5)="F",AND(R$6&gt;0,$A522&lt;R$6),AND(R$7&gt;0,$A522&gt;R$7)),0,MAX(0,ROUND((INDEX($E522:$G522,R$5)-SUMIFS(TF_Timer,TF_Tekniker,R$4,TF_Dato,$A522))*2,0)/2)))</f>
        <v/>
      </c>
      <c r="S522">
        <f>IF(OR(S$4="",$A522&gt;TODAY()),0,IF(OR(INDEX($B522:$D522,S$5)="F",AND(S$6&gt;0,$A522&lt;S$6),AND(S$7&gt;0,$A522&gt;S$7)),0,MAX(0,ROUND((INDEX($E522:$G522,S$5)-SUMIFS(TF_Timer,TF_Tekniker,S$4,TF_Dato,$A522))*2,0)/2)))</f>
        <v/>
      </c>
      <c r="T522">
        <f>IF(OR(T$4="",$A522&gt;TODAY()),0,IF(OR(INDEX($B522:$D522,T$5)="F",AND(T$6&gt;0,$A522&lt;T$6),AND(T$7&gt;0,$A522&gt;T$7)),0,MAX(0,ROUND((INDEX($E522:$G522,T$5)-SUMIFS(TF_Timer,TF_Tekniker,T$4,TF_Dato,$A522))*2,0)/2)))</f>
        <v/>
      </c>
      <c r="U522">
        <f>IF(OR(U$4="",$A522&gt;TODAY()),0,IF(OR(INDEX($B522:$D522,U$5)="F",AND(U$6&gt;0,$A522&lt;U$6),AND(U$7&gt;0,$A522&gt;U$7)),0,MAX(0,ROUND((INDEX($E522:$G522,U$5)-SUMIFS(TF_Timer,TF_Tekniker,U$4,TF_Dato,$A522))*2,0)/2)))</f>
        <v/>
      </c>
      <c r="V522">
        <f>IF(OR(V$4="",$A522&gt;TODAY()),0,IF(OR(INDEX($B522:$D522,V$5)="F",AND(V$6&gt;0,$A522&lt;V$6),AND(V$7&gt;0,$A522&gt;V$7)),0,MAX(0,ROUND((INDEX($E522:$G522,V$5)-SUMIFS(TF_Timer,TF_Tekniker,V$4,TF_Dato,$A522))*2,0)/2)))</f>
        <v/>
      </c>
      <c r="W522">
        <f>IF(OR(W$4="",$A522&gt;TODAY()),0,IF(OR(INDEX($B522:$D522,W$5)="F",AND(W$6&gt;0,$A522&lt;W$6),AND(W$7&gt;0,$A522&gt;W$7)),0,MAX(0,ROUND((INDEX($E522:$G522,W$5)-SUMIFS(TF_Timer,TF_Tekniker,W$4,TF_Dato,$A522))*2,0)/2)))</f>
        <v/>
      </c>
      <c r="X522">
        <f>IF(OR(X$4="",$A522&gt;TODAY()),0,IF(OR(INDEX($B522:$D522,X$5)="F",AND(X$6&gt;0,$A522&lt;X$6),AND(X$7&gt;0,$A522&gt;X$7)),0,MAX(0,ROUND((INDEX($E522:$G522,X$5)-SUMIFS(TF_Timer,TF_Tekniker,X$4,TF_Dato,$A522))*2,0)/2)))</f>
        <v/>
      </c>
      <c r="Y522">
        <f>IF(OR(Y$4="",$A522&gt;TODAY()),0,IF(OR(INDEX($B522:$D522,Y$5)="F",AND(Y$6&gt;0,$A522&lt;Y$6),AND(Y$7&gt;0,$A522&gt;Y$7)),0,MAX(0,ROUND((INDEX($E522:$G522,Y$5)-SUMIFS(TF_Timer,TF_Tekniker,Y$4,TF_Dato,$A522))*2,0)/2)))</f>
        <v/>
      </c>
      <c r="Z522">
        <f>IF(OR(Z$4="",$A522&gt;TODAY()),0,IF(OR(INDEX($B522:$D522,Z$5)="F",AND(Z$6&gt;0,$A522&lt;Z$6),AND(Z$7&gt;0,$A522&gt;Z$7)),0,MAX(0,ROUND((INDEX($E522:$G522,Z$5)-SUMIFS(TF_Timer,TF_Tekniker,Z$4,TF_Dato,$A522))*2,0)/2)))</f>
        <v/>
      </c>
      <c r="AA522">
        <f>IF(OR(AA$4="",$A522&gt;TODAY()),0,IF(OR(INDEX($B522:$D522,AA$5)="F",AND(AA$6&gt;0,$A522&lt;AA$6),AND(AA$7&gt;0,$A522&gt;AA$7)),0,MAX(0,ROUND((INDEX($E522:$G522,AA$5)-SUMIFS(TF_Timer,TF_Tekniker,AA$4,TF_Dato,$A522))*2,0)/2)))</f>
        <v/>
      </c>
      <c r="AB522">
        <f>IF(OR(AB$4="",$A522&gt;TODAY()),0,IF(OR(INDEX($B522:$D522,AB$5)="F",AND(AB$6&gt;0,$A522&lt;AB$6),AND(AB$7&gt;0,$A522&gt;AB$7)),0,MAX(0,ROUND((INDEX($E522:$G522,AB$5)-SUMIFS(TF_Timer,TF_Tekniker,AB$4,TF_Dato,$A522))*2,0)/2)))</f>
        <v/>
      </c>
      <c r="AC522">
        <f>IF(OR(AC$4="",$A522&gt;TODAY()),0,IF(OR(INDEX($B522:$D522,AC$5)="F",AND(AC$6&gt;0,$A522&lt;AC$6),AND(AC$7&gt;0,$A522&gt;AC$7)),0,MAX(0,ROUND((INDEX($E522:$G522,AC$5)-SUMIFS(TF_Timer,TF_Tekniker,AC$4,TF_Dato,$A522))*2,0)/2)))</f>
        <v/>
      </c>
      <c r="AD522">
        <f>IF(OR(AD$4="",$A522&gt;TODAY()),0,IF(OR(INDEX($B522:$D522,AD$5)="F",AND(AD$6&gt;0,$A522&lt;AD$6),AND(AD$7&gt;0,$A522&gt;AD$7)),0,MAX(0,ROUND((INDEX($E522:$G522,AD$5)-SUMIFS(TF_Timer,TF_Tekniker,AD$4,TF_Dato,$A522))*2,0)/2)))</f>
        <v/>
      </c>
      <c r="AE522">
        <f>IF(OR(AE$4="",$A522&gt;TODAY()),0,IF(OR(INDEX($B522:$D522,AE$5)="F",AND(AE$6&gt;0,$A522&lt;AE$6),AND(AE$7&gt;0,$A522&gt;AE$7)),0,MAX(0,ROUND((INDEX($E522:$G522,AE$5)-SUMIFS(TF_Timer,TF_Tekniker,AE$4,TF_Dato,$A522))*2,0)/2)))</f>
        <v/>
      </c>
      <c r="AF522">
        <f>IF(OR(AF$4="",$A522&gt;TODAY()),0,IF(OR(INDEX($B522:$D522,AF$5)="F",AND(AF$6&gt;0,$A522&lt;AF$6),AND(AF$7&gt;0,$A522&gt;AF$7)),0,MAX(0,ROUND((INDEX($E522:$G522,AF$5)-SUMIFS(TF_Timer,TF_Tekniker,AF$4,TF_Dato,$A522))*2,0)/2)))</f>
        <v/>
      </c>
      <c r="AG522">
        <f>IF(OR(AG$4="",$A522&gt;TODAY()),0,IF(OR(INDEX($B522:$D522,AG$5)="F",AND(AG$6&gt;0,$A522&lt;AG$6),AND(AG$7&gt;0,$A522&gt;AG$7)),0,MAX(0,ROUND((INDEX($E522:$G522,AG$5)-SUMIFS(TF_Timer,TF_Tekniker,AG$4,TF_Dato,$A522))*2,0)/2)))</f>
        <v/>
      </c>
      <c r="AH522">
        <f>IF(OR(AH$4="",$A522&gt;TODAY()),0,IF(OR(INDEX($B522:$D522,AH$5)="F",AND(AH$6&gt;0,$A522&lt;AH$6),AND(AH$7&gt;0,$A522&gt;AH$7)),0,MAX(0,ROUND((INDEX($E522:$G522,AH$5)-SUMIFS(TF_Timer,TF_Tekniker,AH$4,TF_Dato,$A522))*2,0)/2)))</f>
        <v/>
      </c>
      <c r="AI522">
        <f>IF(OR(AI$4="",$A522&gt;TODAY()),0,IF(OR(INDEX($B522:$D522,AI$5)="F",AND(AI$6&gt;0,$A522&lt;AI$6),AND(AI$7&gt;0,$A522&gt;AI$7)),0,MAX(0,ROUND((INDEX($E522:$G522,AI$5)-SUMIFS(TF_Timer,TF_Tekniker,AI$4,TF_Dato,$A522))*2,0)/2)))</f>
        <v/>
      </c>
      <c r="AJ522">
        <f>IF(OR(AJ$4="",$A522&gt;TODAY()),0,IF(OR(INDEX($B522:$D522,AJ$5)="F",AND(AJ$6&gt;0,$A522&lt;AJ$6),AND(AJ$7&gt;0,$A522&gt;AJ$7)),0,MAX(0,ROUND((INDEX($E522:$G522,AJ$5)-SUMIFS(TF_Timer,TF_Tekniker,AJ$4,TF_Dato,$A522))*2,0)/2)))</f>
        <v/>
      </c>
      <c r="AK522">
        <f>IF(OR(AK$4="",$A522&gt;TODAY()),0,IF(OR(INDEX($B522:$D522,AK$5)="F",AND(AK$6&gt;0,$A522&lt;AK$6),AND(AK$7&gt;0,$A522&gt;AK$7)),0,MAX(0,ROUND((INDEX($E522:$G522,AK$5)-SUMIFS(TF_Timer,TF_Tekniker,AK$4,TF_Dato,$A522))*2,0)/2)))</f>
        <v/>
      </c>
      <c r="AL522">
        <f>IF(OR(AL$4="",$A522&gt;TODAY()),0,IF(OR(INDEX($B522:$D522,AL$5)="F",AND(AL$6&gt;0,$A522&lt;AL$6),AND(AL$7&gt;0,$A522&gt;AL$7)),0,MAX(0,ROUND((INDEX($E522:$G522,AL$5)-SUMIFS(TF_Timer,TF_Tekniker,AL$4,TF_Dato,$A522))*2,0)/2)))</f>
        <v/>
      </c>
      <c r="AM522">
        <f>IF(OR(AM$4="",$A522&gt;TODAY()),0,IF(OR(INDEX($B522:$D522,AM$5)="F",AND(AM$6&gt;0,$A522&lt;AM$6),AND(AM$7&gt;0,$A522&gt;AM$7)),0,MAX(0,ROUND((INDEX($E522:$G522,AM$5)-SUMIFS(TF_Timer,TF_Tekniker,AM$4,TF_Dato,$A522))*2,0)/2)))</f>
        <v/>
      </c>
      <c r="AN522">
        <f>IF(OR(AN$4="",$A522&gt;TODAY()),0,IF(OR(INDEX($B522:$D522,AN$5)="F",AND(AN$6&gt;0,$A522&lt;AN$6),AND(AN$7&gt;0,$A522&gt;AN$7)),0,MAX(0,ROUND((INDEX($E522:$G522,AN$5)-SUMIFS(TF_Timer,TF_Tekniker,AN$4,TF_Dato,$A522))*2,0)/2)))</f>
        <v/>
      </c>
      <c r="AO522">
        <f>IF(OR(AO$4="",$A522&gt;TODAY()),0,IF(OR(INDEX($B522:$D522,AO$5)="F",AND(AO$6&gt;0,$A522&lt;AO$6),AND(AO$7&gt;0,$A522&gt;AO$7)),0,MAX(0,ROUND((INDEX($E522:$G522,AO$5)-SUMIFS(TF_Timer,TF_Tekniker,AO$4,TF_Dato,$A522))*2,0)/2)))</f>
        <v/>
      </c>
      <c r="AP522">
        <f>IF(OR(AP$4="",$A522&gt;TODAY()),0,IF(OR(INDEX($B522:$D522,AP$5)="F",AND(AP$6&gt;0,$A522&lt;AP$6),AND(AP$7&gt;0,$A522&gt;AP$7)),0,MAX(0,ROUND((INDEX($E522:$G522,AP$5)-SUMIFS(TF_Timer,TF_Tekniker,AP$4,TF_Dato,$A522))*2,0)/2)))</f>
        <v/>
      </c>
      <c r="AQ522">
        <f>IF(OR(AQ$4="",$A522&gt;TODAY()),0,IF(OR(INDEX($B522:$D522,AQ$5)="F",AND(AQ$6&gt;0,$A522&lt;AQ$6),AND(AQ$7&gt;0,$A522&gt;AQ$7)),0,MAX(0,ROUND((INDEX($E522:$G522,AQ$5)-SUMIFS(TF_Timer,TF_Tekniker,AQ$4,TF_Dato,$A522))*2,0)/2)))</f>
        <v/>
      </c>
      <c r="AR522">
        <f>IF(OR(AR$4="",$A522&gt;TODAY()),0,IF(OR(INDEX($B522:$D522,AR$5)="F",AND(AR$6&gt;0,$A522&lt;AR$6),AND(AR$7&gt;0,$A522&gt;AR$7)),0,MAX(0,ROUND((INDEX($E522:$G522,AR$5)-SUMIFS(TF_Timer,TF_Tekniker,AR$4,TF_Dato,$A522))*2,0)/2)))</f>
        <v/>
      </c>
      <c r="AS522">
        <f>IF(OR(AS$4="",$A522&gt;TODAY()),0,IF(OR(INDEX($B522:$D522,AS$5)="F",AND(AS$6&gt;0,$A522&lt;AS$6),AND(AS$7&gt;0,$A522&gt;AS$7)),0,MAX(0,ROUND((INDEX($E522:$G522,AS$5)-SUMIFS(TF_Timer,TF_Tekniker,AS$4,TF_Dato,$A522))*2,0)/2)))</f>
        <v/>
      </c>
      <c r="AT522">
        <f>IF(OR(AT$4="",$A522&gt;TODAY()),0,IF(OR(INDEX($B522:$D522,AT$5)="F",AND(AT$6&gt;0,$A522&lt;AT$6),AND(AT$7&gt;0,$A522&gt;AT$7)),0,MAX(0,ROUND((INDEX($E522:$G522,AT$5)-SUMIFS(TF_Timer,TF_Tekniker,AT$4,TF_Dato,$A522))*2,0)/2)))</f>
        <v/>
      </c>
      <c r="AU522">
        <f>IF(OR(AU$4="",$A522&gt;TODAY()),0,IF(OR(INDEX($B522:$D522,AU$5)="F",AND(AU$6&gt;0,$A522&lt;AU$6),AND(AU$7&gt;0,$A522&gt;AU$7)),0,MAX(0,ROUND((INDEX($E522:$G522,AU$5)-SUMIFS(TF_Timer,TF_Tekniker,AU$4,TF_Dato,$A522))*2,0)/2)))</f>
        <v/>
      </c>
      <c r="AV522">
        <f>IF(OR(AV$4="",$A522&gt;TODAY()),0,IF(OR(INDEX($B522:$D522,AV$5)="F",AND(AV$6&gt;0,$A522&lt;AV$6),AND(AV$7&gt;0,$A522&gt;AV$7)),0,MAX(0,ROUND((INDEX($E522:$G522,AV$5)-SUMIFS(TF_Timer,TF_Tekniker,AV$4,TF_Dato,$A522))*2,0)/2)))</f>
        <v/>
      </c>
      <c r="AW522">
        <f>IF(OR(AW$4="",$A522&gt;TODAY()),0,IF(OR(INDEX($B522:$D522,AW$5)="F",AND(AW$6&gt;0,$A522&lt;AW$6),AND(AW$7&gt;0,$A522&gt;AW$7)),0,MAX(0,ROUND((INDEX($E522:$G522,AW$5)-SUMIFS(TF_Timer,TF_Tekniker,AW$4,TF_Dato,$A522))*2,0)/2)))</f>
        <v/>
      </c>
      <c r="AX522">
        <f>IF(OR(AX$4="",$A522&gt;TODAY()),0,IF(OR(INDEX($B522:$D522,AX$5)="F",AND(AX$6&gt;0,$A522&lt;AX$6),AND(AX$7&gt;0,$A522&gt;AX$7)),0,MAX(0,ROUND((INDEX($E522:$G522,AX$5)-SUMIFS(TF_Timer,TF_Tekniker,AX$4,TF_Dato,$A522))*2,0)/2)))</f>
        <v/>
      </c>
      <c r="AY522">
        <f>IF(OR(AY$4="",$A522&gt;TODAY()),0,IF(OR(INDEX($B522:$D522,AY$5)="F",AND(AY$6&gt;0,$A522&lt;AY$6),AND(AY$7&gt;0,$A522&gt;AY$7)),0,MAX(0,ROUND((INDEX($E522:$G522,AY$5)-SUMIFS(TF_Timer,TF_Tekniker,AY$4,TF_Dato,$A522))*2,0)/2)))</f>
        <v/>
      </c>
      <c r="AZ522">
        <f>IF(OR(AZ$4="",$A522&gt;TODAY()),0,IF(OR(INDEX($B522:$D522,AZ$5)="F",AND(AZ$6&gt;0,$A522&lt;AZ$6),AND(AZ$7&gt;0,$A522&gt;AZ$7)),0,MAX(0,ROUND((INDEX($E522:$G522,AZ$5)-SUMIFS(TF_Timer,TF_Tekniker,AZ$4,TF_Dato,$A522))*2,0)/2)))</f>
        <v/>
      </c>
      <c r="BA522">
        <f>IF(OR(BA$4="",$A522&gt;TODAY()),0,IF(OR(INDEX($B522:$D522,BA$5)="F",AND(BA$6&gt;0,$A522&lt;BA$6),AND(BA$7&gt;0,$A522&gt;BA$7)),0,MAX(0,ROUND((INDEX($E522:$G522,BA$5)-SUMIFS(TF_Timer,TF_Tekniker,BA$4,TF_Dato,$A522))*2,0)/2)))</f>
        <v/>
      </c>
      <c r="BB522">
        <f>IF(OR(BB$4="",$A522&gt;TODAY()),0,IF(OR(INDEX($B522:$D522,BB$5)="F",AND(BB$6&gt;0,$A522&lt;BB$6),AND(BB$7&gt;0,$A522&gt;BB$7)),0,MAX(0,ROUND((INDEX($E522:$G522,BB$5)-SUMIFS(TF_Timer,TF_Tekniker,BB$4,TF_Dato,$A522))*2,0)/2)))</f>
        <v/>
      </c>
      <c r="BC522">
        <f>IF(OR(BC$4="",$A522&gt;TODAY()),0,IF(OR(INDEX($B522:$D522,BC$5)="F",AND(BC$6&gt;0,$A522&lt;BC$6),AND(BC$7&gt;0,$A522&gt;BC$7)),0,MAX(0,ROUND((INDEX($E522:$G522,BC$5)-SUMIFS(TF_Timer,TF_Tekniker,BC$4,TF_Dato,$A522))*2,0)/2)))</f>
        <v/>
      </c>
      <c r="BD522">
        <f>IF(OR(BD$4="",$A522&gt;TODAY()),0,IF(OR(INDEX($B522:$D522,BD$5)="F",AND(BD$6&gt;0,$A522&lt;BD$6),AND(BD$7&gt;0,$A522&gt;BD$7)),0,MAX(0,ROUND((INDEX($E522:$G522,BD$5)-SUMIFS(TF_Timer,TF_Tekniker,BD$4,TF_Dato,$A522))*2,0)/2)))</f>
        <v/>
      </c>
      <c r="BE522">
        <f>IF(OR(BE$4="",$A522&gt;TODAY()),0,IF(OR(INDEX($B522:$D522,BE$5)="F",AND(BE$6&gt;0,$A522&lt;BE$6),AND(BE$7&gt;0,$A522&gt;BE$7)),0,MAX(0,ROUND((INDEX($E522:$G522,BE$5)-SUMIFS(TF_Timer,TF_Tekniker,BE$4,TF_Dato,$A522))*2,0)/2)))</f>
        <v/>
      </c>
      <c r="BF522">
        <f>IF(OR(BF$4="",$A522&gt;TODAY()),0,IF(OR(INDEX($B522:$D522,BF$5)="F",AND(BF$6&gt;0,$A522&lt;BF$6),AND(BF$7&gt;0,$A522&gt;BF$7)),0,MAX(0,ROUND((INDEX($E522:$G522,BF$5)-SUMIFS(TF_Timer,TF_Tekniker,BF$4,TF_Dato,$A522))*2,0)/2)))</f>
        <v/>
      </c>
      <c r="BG522">
        <f>IF(OR(BG$4="",$A522&gt;TODAY()),0,IF(OR(INDEX($B522:$D522,BG$5)="F",AND(BG$6&gt;0,$A522&lt;BG$6),AND(BG$7&gt;0,$A522&gt;BG$7)),0,MAX(0,ROUND((INDEX($E522:$G522,BG$5)-SUMIFS(TF_Timer,TF_Tekniker,BG$4,TF_Dato,$A522))*2,0)/2)))</f>
        <v/>
      </c>
      <c r="BH522">
        <f>IF(OR(BH$4="",$A522&gt;TODAY()),0,IF(OR(INDEX($B522:$D522,BH$5)="F",AND(BH$6&gt;0,$A522&lt;BH$6),AND(BH$7&gt;0,$A522&gt;BH$7)),0,MAX(0,ROUND((INDEX($E522:$G522,BH$5)-SUMIFS(TF_Timer,TF_Tekniker,BH$4,TF_Dato,$A522))*2,0)/2)))</f>
        <v/>
      </c>
      <c r="BI522">
        <f>IF(OR(BI$4="",$A522&gt;TODAY()),0,IF(OR(INDEX($B522:$D522,BI$5)="F",AND(BI$6&gt;0,$A522&lt;BI$6),AND(BI$7&gt;0,$A522&gt;BI$7)),0,MAX(0,ROUND((INDEX($E522:$G522,BI$5)-SUMIFS(TF_Timer,TF_Tekniker,BI$4,TF_Dato,$A522))*2,0)/2)))</f>
        <v/>
      </c>
    </row>
    <row r="523">
      <c r="A523" s="64">
        <f>A522+1</f>
        <v/>
      </c>
      <c r="B523">
        <f>IF(MOD($A523-INDEX(SkiftStart,1),Syklus)&lt;DagK,"K",IF(MOD($A523-INDEX(SkiftStart,1),Syklus)&lt;DagK+DagH,"H",IF(MOD($A523-INDEX(SkiftStart,1),Syklus)&lt;DagK+DagH+DagD,"D","F")))</f>
        <v/>
      </c>
      <c r="C523">
        <f>IF(MOD($A523-INDEX(SkiftStart,2),Syklus)&lt;DagK,"K",IF(MOD($A523-INDEX(SkiftStart,2),Syklus)&lt;DagK+DagH,"H",IF(MOD($A523-INDEX(SkiftStart,2),Syklus)&lt;DagK+DagH+DagD,"D","F")))</f>
        <v/>
      </c>
      <c r="D523">
        <f>IF(MOD($A523-INDEX(SkiftStart,3),Syklus)&lt;DagK,"K",IF(MOD($A523-INDEX(SkiftStart,3),Syklus)&lt;DagK+DagH,"H",IF(MOD($A523-INDEX(SkiftStart,3),Syklus)&lt;DagK+DagH+DagD,"D","F")))</f>
        <v/>
      </c>
      <c r="E523">
        <f>IF(B523="F",0,IF(WEEKDAY($A523,2)=5,INDEX(TimerFr,MATCH(B523,FaseKode,0)),INDEX(TimerMT,MATCH(B523,FaseKode,0))))</f>
        <v/>
      </c>
      <c r="F523">
        <f>IF(C523="F",0,IF(WEEKDAY($A523,2)=5,INDEX(TimerFr,MATCH(C523,FaseKode,0)),INDEX(TimerMT,MATCH(C523,FaseKode,0))))</f>
        <v/>
      </c>
      <c r="G523">
        <f>IF(D523="F",0,IF(WEEKDAY($A523,2)=5,INDEX(TimerFr,MATCH(D523,FaseKode,0)),INDEX(TimerMT,MATCH(D523,FaseKode,0))))</f>
        <v/>
      </c>
      <c r="H523">
        <f>IF(OR(H$4="",$A523&gt;TODAY()),0,IF(OR(INDEX($B523:$D523,H$5)="F",AND(H$6&gt;0,$A523&lt;H$6),AND(H$7&gt;0,$A523&gt;H$7)),0,MAX(0,ROUND((INDEX($E523:$G523,H$5)-SUMIFS(TF_Timer,TF_Tekniker,H$4,TF_Dato,$A523))*2,0)/2)))</f>
        <v/>
      </c>
      <c r="I523">
        <f>IF(OR(I$4="",$A523&gt;TODAY()),0,IF(OR(INDEX($B523:$D523,I$5)="F",AND(I$6&gt;0,$A523&lt;I$6),AND(I$7&gt;0,$A523&gt;I$7)),0,MAX(0,ROUND((INDEX($E523:$G523,I$5)-SUMIFS(TF_Timer,TF_Tekniker,I$4,TF_Dato,$A523))*2,0)/2)))</f>
        <v/>
      </c>
      <c r="J523">
        <f>IF(OR(J$4="",$A523&gt;TODAY()),0,IF(OR(INDEX($B523:$D523,J$5)="F",AND(J$6&gt;0,$A523&lt;J$6),AND(J$7&gt;0,$A523&gt;J$7)),0,MAX(0,ROUND((INDEX($E523:$G523,J$5)-SUMIFS(TF_Timer,TF_Tekniker,J$4,TF_Dato,$A523))*2,0)/2)))</f>
        <v/>
      </c>
      <c r="K523">
        <f>IF(OR(K$4="",$A523&gt;TODAY()),0,IF(OR(INDEX($B523:$D523,K$5)="F",AND(K$6&gt;0,$A523&lt;K$6),AND(K$7&gt;0,$A523&gt;K$7)),0,MAX(0,ROUND((INDEX($E523:$G523,K$5)-SUMIFS(TF_Timer,TF_Tekniker,K$4,TF_Dato,$A523))*2,0)/2)))</f>
        <v/>
      </c>
      <c r="L523">
        <f>IF(OR(L$4="",$A523&gt;TODAY()),0,IF(OR(INDEX($B523:$D523,L$5)="F",AND(L$6&gt;0,$A523&lt;L$6),AND(L$7&gt;0,$A523&gt;L$7)),0,MAX(0,ROUND((INDEX($E523:$G523,L$5)-SUMIFS(TF_Timer,TF_Tekniker,L$4,TF_Dato,$A523))*2,0)/2)))</f>
        <v/>
      </c>
      <c r="M523">
        <f>IF(OR(M$4="",$A523&gt;TODAY()),0,IF(OR(INDEX($B523:$D523,M$5)="F",AND(M$6&gt;0,$A523&lt;M$6),AND(M$7&gt;0,$A523&gt;M$7)),0,MAX(0,ROUND((INDEX($E523:$G523,M$5)-SUMIFS(TF_Timer,TF_Tekniker,M$4,TF_Dato,$A523))*2,0)/2)))</f>
        <v/>
      </c>
      <c r="N523">
        <f>IF(OR(N$4="",$A523&gt;TODAY()),0,IF(OR(INDEX($B523:$D523,N$5)="F",AND(N$6&gt;0,$A523&lt;N$6),AND(N$7&gt;0,$A523&gt;N$7)),0,MAX(0,ROUND((INDEX($E523:$G523,N$5)-SUMIFS(TF_Timer,TF_Tekniker,N$4,TF_Dato,$A523))*2,0)/2)))</f>
        <v/>
      </c>
      <c r="O523">
        <f>IF(OR(O$4="",$A523&gt;TODAY()),0,IF(OR(INDEX($B523:$D523,O$5)="F",AND(O$6&gt;0,$A523&lt;O$6),AND(O$7&gt;0,$A523&gt;O$7)),0,MAX(0,ROUND((INDEX($E523:$G523,O$5)-SUMIFS(TF_Timer,TF_Tekniker,O$4,TF_Dato,$A523))*2,0)/2)))</f>
        <v/>
      </c>
      <c r="P523">
        <f>IF(OR(P$4="",$A523&gt;TODAY()),0,IF(OR(INDEX($B523:$D523,P$5)="F",AND(P$6&gt;0,$A523&lt;P$6),AND(P$7&gt;0,$A523&gt;P$7)),0,MAX(0,ROUND((INDEX($E523:$G523,P$5)-SUMIFS(TF_Timer,TF_Tekniker,P$4,TF_Dato,$A523))*2,0)/2)))</f>
        <v/>
      </c>
      <c r="Q523">
        <f>IF(OR(Q$4="",$A523&gt;TODAY()),0,IF(OR(INDEX($B523:$D523,Q$5)="F",AND(Q$6&gt;0,$A523&lt;Q$6),AND(Q$7&gt;0,$A523&gt;Q$7)),0,MAX(0,ROUND((INDEX($E523:$G523,Q$5)-SUMIFS(TF_Timer,TF_Tekniker,Q$4,TF_Dato,$A523))*2,0)/2)))</f>
        <v/>
      </c>
      <c r="R523">
        <f>IF(OR(R$4="",$A523&gt;TODAY()),0,IF(OR(INDEX($B523:$D523,R$5)="F",AND(R$6&gt;0,$A523&lt;R$6),AND(R$7&gt;0,$A523&gt;R$7)),0,MAX(0,ROUND((INDEX($E523:$G523,R$5)-SUMIFS(TF_Timer,TF_Tekniker,R$4,TF_Dato,$A523))*2,0)/2)))</f>
        <v/>
      </c>
      <c r="S523">
        <f>IF(OR(S$4="",$A523&gt;TODAY()),0,IF(OR(INDEX($B523:$D523,S$5)="F",AND(S$6&gt;0,$A523&lt;S$6),AND(S$7&gt;0,$A523&gt;S$7)),0,MAX(0,ROUND((INDEX($E523:$G523,S$5)-SUMIFS(TF_Timer,TF_Tekniker,S$4,TF_Dato,$A523))*2,0)/2)))</f>
        <v/>
      </c>
      <c r="T523">
        <f>IF(OR(T$4="",$A523&gt;TODAY()),0,IF(OR(INDEX($B523:$D523,T$5)="F",AND(T$6&gt;0,$A523&lt;T$6),AND(T$7&gt;0,$A523&gt;T$7)),0,MAX(0,ROUND((INDEX($E523:$G523,T$5)-SUMIFS(TF_Timer,TF_Tekniker,T$4,TF_Dato,$A523))*2,0)/2)))</f>
        <v/>
      </c>
      <c r="U523">
        <f>IF(OR(U$4="",$A523&gt;TODAY()),0,IF(OR(INDEX($B523:$D523,U$5)="F",AND(U$6&gt;0,$A523&lt;U$6),AND(U$7&gt;0,$A523&gt;U$7)),0,MAX(0,ROUND((INDEX($E523:$G523,U$5)-SUMIFS(TF_Timer,TF_Tekniker,U$4,TF_Dato,$A523))*2,0)/2)))</f>
        <v/>
      </c>
      <c r="V523">
        <f>IF(OR(V$4="",$A523&gt;TODAY()),0,IF(OR(INDEX($B523:$D523,V$5)="F",AND(V$6&gt;0,$A523&lt;V$6),AND(V$7&gt;0,$A523&gt;V$7)),0,MAX(0,ROUND((INDEX($E523:$G523,V$5)-SUMIFS(TF_Timer,TF_Tekniker,V$4,TF_Dato,$A523))*2,0)/2)))</f>
        <v/>
      </c>
      <c r="W523">
        <f>IF(OR(W$4="",$A523&gt;TODAY()),0,IF(OR(INDEX($B523:$D523,W$5)="F",AND(W$6&gt;0,$A523&lt;W$6),AND(W$7&gt;0,$A523&gt;W$7)),0,MAX(0,ROUND((INDEX($E523:$G523,W$5)-SUMIFS(TF_Timer,TF_Tekniker,W$4,TF_Dato,$A523))*2,0)/2)))</f>
        <v/>
      </c>
      <c r="X523">
        <f>IF(OR(X$4="",$A523&gt;TODAY()),0,IF(OR(INDEX($B523:$D523,X$5)="F",AND(X$6&gt;0,$A523&lt;X$6),AND(X$7&gt;0,$A523&gt;X$7)),0,MAX(0,ROUND((INDEX($E523:$G523,X$5)-SUMIFS(TF_Timer,TF_Tekniker,X$4,TF_Dato,$A523))*2,0)/2)))</f>
        <v/>
      </c>
      <c r="Y523">
        <f>IF(OR(Y$4="",$A523&gt;TODAY()),0,IF(OR(INDEX($B523:$D523,Y$5)="F",AND(Y$6&gt;0,$A523&lt;Y$6),AND(Y$7&gt;0,$A523&gt;Y$7)),0,MAX(0,ROUND((INDEX($E523:$G523,Y$5)-SUMIFS(TF_Timer,TF_Tekniker,Y$4,TF_Dato,$A523))*2,0)/2)))</f>
        <v/>
      </c>
      <c r="Z523">
        <f>IF(OR(Z$4="",$A523&gt;TODAY()),0,IF(OR(INDEX($B523:$D523,Z$5)="F",AND(Z$6&gt;0,$A523&lt;Z$6),AND(Z$7&gt;0,$A523&gt;Z$7)),0,MAX(0,ROUND((INDEX($E523:$G523,Z$5)-SUMIFS(TF_Timer,TF_Tekniker,Z$4,TF_Dato,$A523))*2,0)/2)))</f>
        <v/>
      </c>
      <c r="AA523">
        <f>IF(OR(AA$4="",$A523&gt;TODAY()),0,IF(OR(INDEX($B523:$D523,AA$5)="F",AND(AA$6&gt;0,$A523&lt;AA$6),AND(AA$7&gt;0,$A523&gt;AA$7)),0,MAX(0,ROUND((INDEX($E523:$G523,AA$5)-SUMIFS(TF_Timer,TF_Tekniker,AA$4,TF_Dato,$A523))*2,0)/2)))</f>
        <v/>
      </c>
      <c r="AB523">
        <f>IF(OR(AB$4="",$A523&gt;TODAY()),0,IF(OR(INDEX($B523:$D523,AB$5)="F",AND(AB$6&gt;0,$A523&lt;AB$6),AND(AB$7&gt;0,$A523&gt;AB$7)),0,MAX(0,ROUND((INDEX($E523:$G523,AB$5)-SUMIFS(TF_Timer,TF_Tekniker,AB$4,TF_Dato,$A523))*2,0)/2)))</f>
        <v/>
      </c>
      <c r="AC523">
        <f>IF(OR(AC$4="",$A523&gt;TODAY()),0,IF(OR(INDEX($B523:$D523,AC$5)="F",AND(AC$6&gt;0,$A523&lt;AC$6),AND(AC$7&gt;0,$A523&gt;AC$7)),0,MAX(0,ROUND((INDEX($E523:$G523,AC$5)-SUMIFS(TF_Timer,TF_Tekniker,AC$4,TF_Dato,$A523))*2,0)/2)))</f>
        <v/>
      </c>
      <c r="AD523">
        <f>IF(OR(AD$4="",$A523&gt;TODAY()),0,IF(OR(INDEX($B523:$D523,AD$5)="F",AND(AD$6&gt;0,$A523&lt;AD$6),AND(AD$7&gt;0,$A523&gt;AD$7)),0,MAX(0,ROUND((INDEX($E523:$G523,AD$5)-SUMIFS(TF_Timer,TF_Tekniker,AD$4,TF_Dato,$A523))*2,0)/2)))</f>
        <v/>
      </c>
      <c r="AE523">
        <f>IF(OR(AE$4="",$A523&gt;TODAY()),0,IF(OR(INDEX($B523:$D523,AE$5)="F",AND(AE$6&gt;0,$A523&lt;AE$6),AND(AE$7&gt;0,$A523&gt;AE$7)),0,MAX(0,ROUND((INDEX($E523:$G523,AE$5)-SUMIFS(TF_Timer,TF_Tekniker,AE$4,TF_Dato,$A523))*2,0)/2)))</f>
        <v/>
      </c>
      <c r="AF523">
        <f>IF(OR(AF$4="",$A523&gt;TODAY()),0,IF(OR(INDEX($B523:$D523,AF$5)="F",AND(AF$6&gt;0,$A523&lt;AF$6),AND(AF$7&gt;0,$A523&gt;AF$7)),0,MAX(0,ROUND((INDEX($E523:$G523,AF$5)-SUMIFS(TF_Timer,TF_Tekniker,AF$4,TF_Dato,$A523))*2,0)/2)))</f>
        <v/>
      </c>
      <c r="AG523">
        <f>IF(OR(AG$4="",$A523&gt;TODAY()),0,IF(OR(INDEX($B523:$D523,AG$5)="F",AND(AG$6&gt;0,$A523&lt;AG$6),AND(AG$7&gt;0,$A523&gt;AG$7)),0,MAX(0,ROUND((INDEX($E523:$G523,AG$5)-SUMIFS(TF_Timer,TF_Tekniker,AG$4,TF_Dato,$A523))*2,0)/2)))</f>
        <v/>
      </c>
      <c r="AH523">
        <f>IF(OR(AH$4="",$A523&gt;TODAY()),0,IF(OR(INDEX($B523:$D523,AH$5)="F",AND(AH$6&gt;0,$A523&lt;AH$6),AND(AH$7&gt;0,$A523&gt;AH$7)),0,MAX(0,ROUND((INDEX($E523:$G523,AH$5)-SUMIFS(TF_Timer,TF_Tekniker,AH$4,TF_Dato,$A523))*2,0)/2)))</f>
        <v/>
      </c>
      <c r="AI523">
        <f>IF(OR(AI$4="",$A523&gt;TODAY()),0,IF(OR(INDEX($B523:$D523,AI$5)="F",AND(AI$6&gt;0,$A523&lt;AI$6),AND(AI$7&gt;0,$A523&gt;AI$7)),0,MAX(0,ROUND((INDEX($E523:$G523,AI$5)-SUMIFS(TF_Timer,TF_Tekniker,AI$4,TF_Dato,$A523))*2,0)/2)))</f>
        <v/>
      </c>
      <c r="AJ523">
        <f>IF(OR(AJ$4="",$A523&gt;TODAY()),0,IF(OR(INDEX($B523:$D523,AJ$5)="F",AND(AJ$6&gt;0,$A523&lt;AJ$6),AND(AJ$7&gt;0,$A523&gt;AJ$7)),0,MAX(0,ROUND((INDEX($E523:$G523,AJ$5)-SUMIFS(TF_Timer,TF_Tekniker,AJ$4,TF_Dato,$A523))*2,0)/2)))</f>
        <v/>
      </c>
      <c r="AK523">
        <f>IF(OR(AK$4="",$A523&gt;TODAY()),0,IF(OR(INDEX($B523:$D523,AK$5)="F",AND(AK$6&gt;0,$A523&lt;AK$6),AND(AK$7&gt;0,$A523&gt;AK$7)),0,MAX(0,ROUND((INDEX($E523:$G523,AK$5)-SUMIFS(TF_Timer,TF_Tekniker,AK$4,TF_Dato,$A523))*2,0)/2)))</f>
        <v/>
      </c>
      <c r="AL523">
        <f>IF(OR(AL$4="",$A523&gt;TODAY()),0,IF(OR(INDEX($B523:$D523,AL$5)="F",AND(AL$6&gt;0,$A523&lt;AL$6),AND(AL$7&gt;0,$A523&gt;AL$7)),0,MAX(0,ROUND((INDEX($E523:$G523,AL$5)-SUMIFS(TF_Timer,TF_Tekniker,AL$4,TF_Dato,$A523))*2,0)/2)))</f>
        <v/>
      </c>
      <c r="AM523">
        <f>IF(OR(AM$4="",$A523&gt;TODAY()),0,IF(OR(INDEX($B523:$D523,AM$5)="F",AND(AM$6&gt;0,$A523&lt;AM$6),AND(AM$7&gt;0,$A523&gt;AM$7)),0,MAX(0,ROUND((INDEX($E523:$G523,AM$5)-SUMIFS(TF_Timer,TF_Tekniker,AM$4,TF_Dato,$A523))*2,0)/2)))</f>
        <v/>
      </c>
      <c r="AN523">
        <f>IF(OR(AN$4="",$A523&gt;TODAY()),0,IF(OR(INDEX($B523:$D523,AN$5)="F",AND(AN$6&gt;0,$A523&lt;AN$6),AND(AN$7&gt;0,$A523&gt;AN$7)),0,MAX(0,ROUND((INDEX($E523:$G523,AN$5)-SUMIFS(TF_Timer,TF_Tekniker,AN$4,TF_Dato,$A523))*2,0)/2)))</f>
        <v/>
      </c>
      <c r="AO523">
        <f>IF(OR(AO$4="",$A523&gt;TODAY()),0,IF(OR(INDEX($B523:$D523,AO$5)="F",AND(AO$6&gt;0,$A523&lt;AO$6),AND(AO$7&gt;0,$A523&gt;AO$7)),0,MAX(0,ROUND((INDEX($E523:$G523,AO$5)-SUMIFS(TF_Timer,TF_Tekniker,AO$4,TF_Dato,$A523))*2,0)/2)))</f>
        <v/>
      </c>
      <c r="AP523">
        <f>IF(OR(AP$4="",$A523&gt;TODAY()),0,IF(OR(INDEX($B523:$D523,AP$5)="F",AND(AP$6&gt;0,$A523&lt;AP$6),AND(AP$7&gt;0,$A523&gt;AP$7)),0,MAX(0,ROUND((INDEX($E523:$G523,AP$5)-SUMIFS(TF_Timer,TF_Tekniker,AP$4,TF_Dato,$A523))*2,0)/2)))</f>
        <v/>
      </c>
      <c r="AQ523">
        <f>IF(OR(AQ$4="",$A523&gt;TODAY()),0,IF(OR(INDEX($B523:$D523,AQ$5)="F",AND(AQ$6&gt;0,$A523&lt;AQ$6),AND(AQ$7&gt;0,$A523&gt;AQ$7)),0,MAX(0,ROUND((INDEX($E523:$G523,AQ$5)-SUMIFS(TF_Timer,TF_Tekniker,AQ$4,TF_Dato,$A523))*2,0)/2)))</f>
        <v/>
      </c>
      <c r="AR523">
        <f>IF(OR(AR$4="",$A523&gt;TODAY()),0,IF(OR(INDEX($B523:$D523,AR$5)="F",AND(AR$6&gt;0,$A523&lt;AR$6),AND(AR$7&gt;0,$A523&gt;AR$7)),0,MAX(0,ROUND((INDEX($E523:$G523,AR$5)-SUMIFS(TF_Timer,TF_Tekniker,AR$4,TF_Dato,$A523))*2,0)/2)))</f>
        <v/>
      </c>
      <c r="AS523">
        <f>IF(OR(AS$4="",$A523&gt;TODAY()),0,IF(OR(INDEX($B523:$D523,AS$5)="F",AND(AS$6&gt;0,$A523&lt;AS$6),AND(AS$7&gt;0,$A523&gt;AS$7)),0,MAX(0,ROUND((INDEX($E523:$G523,AS$5)-SUMIFS(TF_Timer,TF_Tekniker,AS$4,TF_Dato,$A523))*2,0)/2)))</f>
        <v/>
      </c>
      <c r="AT523">
        <f>IF(OR(AT$4="",$A523&gt;TODAY()),0,IF(OR(INDEX($B523:$D523,AT$5)="F",AND(AT$6&gt;0,$A523&lt;AT$6),AND(AT$7&gt;0,$A523&gt;AT$7)),0,MAX(0,ROUND((INDEX($E523:$G523,AT$5)-SUMIFS(TF_Timer,TF_Tekniker,AT$4,TF_Dato,$A523))*2,0)/2)))</f>
        <v/>
      </c>
      <c r="AU523">
        <f>IF(OR(AU$4="",$A523&gt;TODAY()),0,IF(OR(INDEX($B523:$D523,AU$5)="F",AND(AU$6&gt;0,$A523&lt;AU$6),AND(AU$7&gt;0,$A523&gt;AU$7)),0,MAX(0,ROUND((INDEX($E523:$G523,AU$5)-SUMIFS(TF_Timer,TF_Tekniker,AU$4,TF_Dato,$A523))*2,0)/2)))</f>
        <v/>
      </c>
      <c r="AV523">
        <f>IF(OR(AV$4="",$A523&gt;TODAY()),0,IF(OR(INDEX($B523:$D523,AV$5)="F",AND(AV$6&gt;0,$A523&lt;AV$6),AND(AV$7&gt;0,$A523&gt;AV$7)),0,MAX(0,ROUND((INDEX($E523:$G523,AV$5)-SUMIFS(TF_Timer,TF_Tekniker,AV$4,TF_Dato,$A523))*2,0)/2)))</f>
        <v/>
      </c>
      <c r="AW523">
        <f>IF(OR(AW$4="",$A523&gt;TODAY()),0,IF(OR(INDEX($B523:$D523,AW$5)="F",AND(AW$6&gt;0,$A523&lt;AW$6),AND(AW$7&gt;0,$A523&gt;AW$7)),0,MAX(0,ROUND((INDEX($E523:$G523,AW$5)-SUMIFS(TF_Timer,TF_Tekniker,AW$4,TF_Dato,$A523))*2,0)/2)))</f>
        <v/>
      </c>
      <c r="AX523">
        <f>IF(OR(AX$4="",$A523&gt;TODAY()),0,IF(OR(INDEX($B523:$D523,AX$5)="F",AND(AX$6&gt;0,$A523&lt;AX$6),AND(AX$7&gt;0,$A523&gt;AX$7)),0,MAX(0,ROUND((INDEX($E523:$G523,AX$5)-SUMIFS(TF_Timer,TF_Tekniker,AX$4,TF_Dato,$A523))*2,0)/2)))</f>
        <v/>
      </c>
      <c r="AY523">
        <f>IF(OR(AY$4="",$A523&gt;TODAY()),0,IF(OR(INDEX($B523:$D523,AY$5)="F",AND(AY$6&gt;0,$A523&lt;AY$6),AND(AY$7&gt;0,$A523&gt;AY$7)),0,MAX(0,ROUND((INDEX($E523:$G523,AY$5)-SUMIFS(TF_Timer,TF_Tekniker,AY$4,TF_Dato,$A523))*2,0)/2)))</f>
        <v/>
      </c>
      <c r="AZ523">
        <f>IF(OR(AZ$4="",$A523&gt;TODAY()),0,IF(OR(INDEX($B523:$D523,AZ$5)="F",AND(AZ$6&gt;0,$A523&lt;AZ$6),AND(AZ$7&gt;0,$A523&gt;AZ$7)),0,MAX(0,ROUND((INDEX($E523:$G523,AZ$5)-SUMIFS(TF_Timer,TF_Tekniker,AZ$4,TF_Dato,$A523))*2,0)/2)))</f>
        <v/>
      </c>
      <c r="BA523">
        <f>IF(OR(BA$4="",$A523&gt;TODAY()),0,IF(OR(INDEX($B523:$D523,BA$5)="F",AND(BA$6&gt;0,$A523&lt;BA$6),AND(BA$7&gt;0,$A523&gt;BA$7)),0,MAX(0,ROUND((INDEX($E523:$G523,BA$5)-SUMIFS(TF_Timer,TF_Tekniker,BA$4,TF_Dato,$A523))*2,0)/2)))</f>
        <v/>
      </c>
      <c r="BB523">
        <f>IF(OR(BB$4="",$A523&gt;TODAY()),0,IF(OR(INDEX($B523:$D523,BB$5)="F",AND(BB$6&gt;0,$A523&lt;BB$6),AND(BB$7&gt;0,$A523&gt;BB$7)),0,MAX(0,ROUND((INDEX($E523:$G523,BB$5)-SUMIFS(TF_Timer,TF_Tekniker,BB$4,TF_Dato,$A523))*2,0)/2)))</f>
        <v/>
      </c>
      <c r="BC523">
        <f>IF(OR(BC$4="",$A523&gt;TODAY()),0,IF(OR(INDEX($B523:$D523,BC$5)="F",AND(BC$6&gt;0,$A523&lt;BC$6),AND(BC$7&gt;0,$A523&gt;BC$7)),0,MAX(0,ROUND((INDEX($E523:$G523,BC$5)-SUMIFS(TF_Timer,TF_Tekniker,BC$4,TF_Dato,$A523))*2,0)/2)))</f>
        <v/>
      </c>
      <c r="BD523">
        <f>IF(OR(BD$4="",$A523&gt;TODAY()),0,IF(OR(INDEX($B523:$D523,BD$5)="F",AND(BD$6&gt;0,$A523&lt;BD$6),AND(BD$7&gt;0,$A523&gt;BD$7)),0,MAX(0,ROUND((INDEX($E523:$G523,BD$5)-SUMIFS(TF_Timer,TF_Tekniker,BD$4,TF_Dato,$A523))*2,0)/2)))</f>
        <v/>
      </c>
      <c r="BE523">
        <f>IF(OR(BE$4="",$A523&gt;TODAY()),0,IF(OR(INDEX($B523:$D523,BE$5)="F",AND(BE$6&gt;0,$A523&lt;BE$6),AND(BE$7&gt;0,$A523&gt;BE$7)),0,MAX(0,ROUND((INDEX($E523:$G523,BE$5)-SUMIFS(TF_Timer,TF_Tekniker,BE$4,TF_Dato,$A523))*2,0)/2)))</f>
        <v/>
      </c>
      <c r="BF523">
        <f>IF(OR(BF$4="",$A523&gt;TODAY()),0,IF(OR(INDEX($B523:$D523,BF$5)="F",AND(BF$6&gt;0,$A523&lt;BF$6),AND(BF$7&gt;0,$A523&gt;BF$7)),0,MAX(0,ROUND((INDEX($E523:$G523,BF$5)-SUMIFS(TF_Timer,TF_Tekniker,BF$4,TF_Dato,$A523))*2,0)/2)))</f>
        <v/>
      </c>
      <c r="BG523">
        <f>IF(OR(BG$4="",$A523&gt;TODAY()),0,IF(OR(INDEX($B523:$D523,BG$5)="F",AND(BG$6&gt;0,$A523&lt;BG$6),AND(BG$7&gt;0,$A523&gt;BG$7)),0,MAX(0,ROUND((INDEX($E523:$G523,BG$5)-SUMIFS(TF_Timer,TF_Tekniker,BG$4,TF_Dato,$A523))*2,0)/2)))</f>
        <v/>
      </c>
      <c r="BH523">
        <f>IF(OR(BH$4="",$A523&gt;TODAY()),0,IF(OR(INDEX($B523:$D523,BH$5)="F",AND(BH$6&gt;0,$A523&lt;BH$6),AND(BH$7&gt;0,$A523&gt;BH$7)),0,MAX(0,ROUND((INDEX($E523:$G523,BH$5)-SUMIFS(TF_Timer,TF_Tekniker,BH$4,TF_Dato,$A523))*2,0)/2)))</f>
        <v/>
      </c>
      <c r="BI523">
        <f>IF(OR(BI$4="",$A523&gt;TODAY()),0,IF(OR(INDEX($B523:$D523,BI$5)="F",AND(BI$6&gt;0,$A523&lt;BI$6),AND(BI$7&gt;0,$A523&gt;BI$7)),0,MAX(0,ROUND((INDEX($E523:$G523,BI$5)-SUMIFS(TF_Timer,TF_Tekniker,BI$4,TF_Dato,$A523))*2,0)/2)))</f>
        <v/>
      </c>
    </row>
    <row r="524">
      <c r="A524" s="64">
        <f>A523+1</f>
        <v/>
      </c>
      <c r="B524">
        <f>IF(MOD($A524-INDEX(SkiftStart,1),Syklus)&lt;DagK,"K",IF(MOD($A524-INDEX(SkiftStart,1),Syklus)&lt;DagK+DagH,"H",IF(MOD($A524-INDEX(SkiftStart,1),Syklus)&lt;DagK+DagH+DagD,"D","F")))</f>
        <v/>
      </c>
      <c r="C524">
        <f>IF(MOD($A524-INDEX(SkiftStart,2),Syklus)&lt;DagK,"K",IF(MOD($A524-INDEX(SkiftStart,2),Syklus)&lt;DagK+DagH,"H",IF(MOD($A524-INDEX(SkiftStart,2),Syklus)&lt;DagK+DagH+DagD,"D","F")))</f>
        <v/>
      </c>
      <c r="D524">
        <f>IF(MOD($A524-INDEX(SkiftStart,3),Syklus)&lt;DagK,"K",IF(MOD($A524-INDEX(SkiftStart,3),Syklus)&lt;DagK+DagH,"H",IF(MOD($A524-INDEX(SkiftStart,3),Syklus)&lt;DagK+DagH+DagD,"D","F")))</f>
        <v/>
      </c>
      <c r="E524">
        <f>IF(B524="F",0,IF(WEEKDAY($A524,2)=5,INDEX(TimerFr,MATCH(B524,FaseKode,0)),INDEX(TimerMT,MATCH(B524,FaseKode,0))))</f>
        <v/>
      </c>
      <c r="F524">
        <f>IF(C524="F",0,IF(WEEKDAY($A524,2)=5,INDEX(TimerFr,MATCH(C524,FaseKode,0)),INDEX(TimerMT,MATCH(C524,FaseKode,0))))</f>
        <v/>
      </c>
      <c r="G524">
        <f>IF(D524="F",0,IF(WEEKDAY($A524,2)=5,INDEX(TimerFr,MATCH(D524,FaseKode,0)),INDEX(TimerMT,MATCH(D524,FaseKode,0))))</f>
        <v/>
      </c>
      <c r="H524">
        <f>IF(OR(H$4="",$A524&gt;TODAY()),0,IF(OR(INDEX($B524:$D524,H$5)="F",AND(H$6&gt;0,$A524&lt;H$6),AND(H$7&gt;0,$A524&gt;H$7)),0,MAX(0,ROUND((INDEX($E524:$G524,H$5)-SUMIFS(TF_Timer,TF_Tekniker,H$4,TF_Dato,$A524))*2,0)/2)))</f>
        <v/>
      </c>
      <c r="I524">
        <f>IF(OR(I$4="",$A524&gt;TODAY()),0,IF(OR(INDEX($B524:$D524,I$5)="F",AND(I$6&gt;0,$A524&lt;I$6),AND(I$7&gt;0,$A524&gt;I$7)),0,MAX(0,ROUND((INDEX($E524:$G524,I$5)-SUMIFS(TF_Timer,TF_Tekniker,I$4,TF_Dato,$A524))*2,0)/2)))</f>
        <v/>
      </c>
      <c r="J524">
        <f>IF(OR(J$4="",$A524&gt;TODAY()),0,IF(OR(INDEX($B524:$D524,J$5)="F",AND(J$6&gt;0,$A524&lt;J$6),AND(J$7&gt;0,$A524&gt;J$7)),0,MAX(0,ROUND((INDEX($E524:$G524,J$5)-SUMIFS(TF_Timer,TF_Tekniker,J$4,TF_Dato,$A524))*2,0)/2)))</f>
        <v/>
      </c>
      <c r="K524">
        <f>IF(OR(K$4="",$A524&gt;TODAY()),0,IF(OR(INDEX($B524:$D524,K$5)="F",AND(K$6&gt;0,$A524&lt;K$6),AND(K$7&gt;0,$A524&gt;K$7)),0,MAX(0,ROUND((INDEX($E524:$G524,K$5)-SUMIFS(TF_Timer,TF_Tekniker,K$4,TF_Dato,$A524))*2,0)/2)))</f>
        <v/>
      </c>
      <c r="L524">
        <f>IF(OR(L$4="",$A524&gt;TODAY()),0,IF(OR(INDEX($B524:$D524,L$5)="F",AND(L$6&gt;0,$A524&lt;L$6),AND(L$7&gt;0,$A524&gt;L$7)),0,MAX(0,ROUND((INDEX($E524:$G524,L$5)-SUMIFS(TF_Timer,TF_Tekniker,L$4,TF_Dato,$A524))*2,0)/2)))</f>
        <v/>
      </c>
      <c r="M524">
        <f>IF(OR(M$4="",$A524&gt;TODAY()),0,IF(OR(INDEX($B524:$D524,M$5)="F",AND(M$6&gt;0,$A524&lt;M$6),AND(M$7&gt;0,$A524&gt;M$7)),0,MAX(0,ROUND((INDEX($E524:$G524,M$5)-SUMIFS(TF_Timer,TF_Tekniker,M$4,TF_Dato,$A524))*2,0)/2)))</f>
        <v/>
      </c>
      <c r="N524">
        <f>IF(OR(N$4="",$A524&gt;TODAY()),0,IF(OR(INDEX($B524:$D524,N$5)="F",AND(N$6&gt;0,$A524&lt;N$6),AND(N$7&gt;0,$A524&gt;N$7)),0,MAX(0,ROUND((INDEX($E524:$G524,N$5)-SUMIFS(TF_Timer,TF_Tekniker,N$4,TF_Dato,$A524))*2,0)/2)))</f>
        <v/>
      </c>
      <c r="O524">
        <f>IF(OR(O$4="",$A524&gt;TODAY()),0,IF(OR(INDEX($B524:$D524,O$5)="F",AND(O$6&gt;0,$A524&lt;O$6),AND(O$7&gt;0,$A524&gt;O$7)),0,MAX(0,ROUND((INDEX($E524:$G524,O$5)-SUMIFS(TF_Timer,TF_Tekniker,O$4,TF_Dato,$A524))*2,0)/2)))</f>
        <v/>
      </c>
      <c r="P524">
        <f>IF(OR(P$4="",$A524&gt;TODAY()),0,IF(OR(INDEX($B524:$D524,P$5)="F",AND(P$6&gt;0,$A524&lt;P$6),AND(P$7&gt;0,$A524&gt;P$7)),0,MAX(0,ROUND((INDEX($E524:$G524,P$5)-SUMIFS(TF_Timer,TF_Tekniker,P$4,TF_Dato,$A524))*2,0)/2)))</f>
        <v/>
      </c>
      <c r="Q524">
        <f>IF(OR(Q$4="",$A524&gt;TODAY()),0,IF(OR(INDEX($B524:$D524,Q$5)="F",AND(Q$6&gt;0,$A524&lt;Q$6),AND(Q$7&gt;0,$A524&gt;Q$7)),0,MAX(0,ROUND((INDEX($E524:$G524,Q$5)-SUMIFS(TF_Timer,TF_Tekniker,Q$4,TF_Dato,$A524))*2,0)/2)))</f>
        <v/>
      </c>
      <c r="R524">
        <f>IF(OR(R$4="",$A524&gt;TODAY()),0,IF(OR(INDEX($B524:$D524,R$5)="F",AND(R$6&gt;0,$A524&lt;R$6),AND(R$7&gt;0,$A524&gt;R$7)),0,MAX(0,ROUND((INDEX($E524:$G524,R$5)-SUMIFS(TF_Timer,TF_Tekniker,R$4,TF_Dato,$A524))*2,0)/2)))</f>
        <v/>
      </c>
      <c r="S524">
        <f>IF(OR(S$4="",$A524&gt;TODAY()),0,IF(OR(INDEX($B524:$D524,S$5)="F",AND(S$6&gt;0,$A524&lt;S$6),AND(S$7&gt;0,$A524&gt;S$7)),0,MAX(0,ROUND((INDEX($E524:$G524,S$5)-SUMIFS(TF_Timer,TF_Tekniker,S$4,TF_Dato,$A524))*2,0)/2)))</f>
        <v/>
      </c>
      <c r="T524">
        <f>IF(OR(T$4="",$A524&gt;TODAY()),0,IF(OR(INDEX($B524:$D524,T$5)="F",AND(T$6&gt;0,$A524&lt;T$6),AND(T$7&gt;0,$A524&gt;T$7)),0,MAX(0,ROUND((INDEX($E524:$G524,T$5)-SUMIFS(TF_Timer,TF_Tekniker,T$4,TF_Dato,$A524))*2,0)/2)))</f>
        <v/>
      </c>
      <c r="U524">
        <f>IF(OR(U$4="",$A524&gt;TODAY()),0,IF(OR(INDEX($B524:$D524,U$5)="F",AND(U$6&gt;0,$A524&lt;U$6),AND(U$7&gt;0,$A524&gt;U$7)),0,MAX(0,ROUND((INDEX($E524:$G524,U$5)-SUMIFS(TF_Timer,TF_Tekniker,U$4,TF_Dato,$A524))*2,0)/2)))</f>
        <v/>
      </c>
      <c r="V524">
        <f>IF(OR(V$4="",$A524&gt;TODAY()),0,IF(OR(INDEX($B524:$D524,V$5)="F",AND(V$6&gt;0,$A524&lt;V$6),AND(V$7&gt;0,$A524&gt;V$7)),0,MAX(0,ROUND((INDEX($E524:$G524,V$5)-SUMIFS(TF_Timer,TF_Tekniker,V$4,TF_Dato,$A524))*2,0)/2)))</f>
        <v/>
      </c>
      <c r="W524">
        <f>IF(OR(W$4="",$A524&gt;TODAY()),0,IF(OR(INDEX($B524:$D524,W$5)="F",AND(W$6&gt;0,$A524&lt;W$6),AND(W$7&gt;0,$A524&gt;W$7)),0,MAX(0,ROUND((INDEX($E524:$G524,W$5)-SUMIFS(TF_Timer,TF_Tekniker,W$4,TF_Dato,$A524))*2,0)/2)))</f>
        <v/>
      </c>
      <c r="X524">
        <f>IF(OR(X$4="",$A524&gt;TODAY()),0,IF(OR(INDEX($B524:$D524,X$5)="F",AND(X$6&gt;0,$A524&lt;X$6),AND(X$7&gt;0,$A524&gt;X$7)),0,MAX(0,ROUND((INDEX($E524:$G524,X$5)-SUMIFS(TF_Timer,TF_Tekniker,X$4,TF_Dato,$A524))*2,0)/2)))</f>
        <v/>
      </c>
      <c r="Y524">
        <f>IF(OR(Y$4="",$A524&gt;TODAY()),0,IF(OR(INDEX($B524:$D524,Y$5)="F",AND(Y$6&gt;0,$A524&lt;Y$6),AND(Y$7&gt;0,$A524&gt;Y$7)),0,MAX(0,ROUND((INDEX($E524:$G524,Y$5)-SUMIFS(TF_Timer,TF_Tekniker,Y$4,TF_Dato,$A524))*2,0)/2)))</f>
        <v/>
      </c>
      <c r="Z524">
        <f>IF(OR(Z$4="",$A524&gt;TODAY()),0,IF(OR(INDEX($B524:$D524,Z$5)="F",AND(Z$6&gt;0,$A524&lt;Z$6),AND(Z$7&gt;0,$A524&gt;Z$7)),0,MAX(0,ROUND((INDEX($E524:$G524,Z$5)-SUMIFS(TF_Timer,TF_Tekniker,Z$4,TF_Dato,$A524))*2,0)/2)))</f>
        <v/>
      </c>
      <c r="AA524">
        <f>IF(OR(AA$4="",$A524&gt;TODAY()),0,IF(OR(INDEX($B524:$D524,AA$5)="F",AND(AA$6&gt;0,$A524&lt;AA$6),AND(AA$7&gt;0,$A524&gt;AA$7)),0,MAX(0,ROUND((INDEX($E524:$G524,AA$5)-SUMIFS(TF_Timer,TF_Tekniker,AA$4,TF_Dato,$A524))*2,0)/2)))</f>
        <v/>
      </c>
      <c r="AB524">
        <f>IF(OR(AB$4="",$A524&gt;TODAY()),0,IF(OR(INDEX($B524:$D524,AB$5)="F",AND(AB$6&gt;0,$A524&lt;AB$6),AND(AB$7&gt;0,$A524&gt;AB$7)),0,MAX(0,ROUND((INDEX($E524:$G524,AB$5)-SUMIFS(TF_Timer,TF_Tekniker,AB$4,TF_Dato,$A524))*2,0)/2)))</f>
        <v/>
      </c>
      <c r="AC524">
        <f>IF(OR(AC$4="",$A524&gt;TODAY()),0,IF(OR(INDEX($B524:$D524,AC$5)="F",AND(AC$6&gt;0,$A524&lt;AC$6),AND(AC$7&gt;0,$A524&gt;AC$7)),0,MAX(0,ROUND((INDEX($E524:$G524,AC$5)-SUMIFS(TF_Timer,TF_Tekniker,AC$4,TF_Dato,$A524))*2,0)/2)))</f>
        <v/>
      </c>
      <c r="AD524">
        <f>IF(OR(AD$4="",$A524&gt;TODAY()),0,IF(OR(INDEX($B524:$D524,AD$5)="F",AND(AD$6&gt;0,$A524&lt;AD$6),AND(AD$7&gt;0,$A524&gt;AD$7)),0,MAX(0,ROUND((INDEX($E524:$G524,AD$5)-SUMIFS(TF_Timer,TF_Tekniker,AD$4,TF_Dato,$A524))*2,0)/2)))</f>
        <v/>
      </c>
      <c r="AE524">
        <f>IF(OR(AE$4="",$A524&gt;TODAY()),0,IF(OR(INDEX($B524:$D524,AE$5)="F",AND(AE$6&gt;0,$A524&lt;AE$6),AND(AE$7&gt;0,$A524&gt;AE$7)),0,MAX(0,ROUND((INDEX($E524:$G524,AE$5)-SUMIFS(TF_Timer,TF_Tekniker,AE$4,TF_Dato,$A524))*2,0)/2)))</f>
        <v/>
      </c>
      <c r="AF524">
        <f>IF(OR(AF$4="",$A524&gt;TODAY()),0,IF(OR(INDEX($B524:$D524,AF$5)="F",AND(AF$6&gt;0,$A524&lt;AF$6),AND(AF$7&gt;0,$A524&gt;AF$7)),0,MAX(0,ROUND((INDEX($E524:$G524,AF$5)-SUMIFS(TF_Timer,TF_Tekniker,AF$4,TF_Dato,$A524))*2,0)/2)))</f>
        <v/>
      </c>
      <c r="AG524">
        <f>IF(OR(AG$4="",$A524&gt;TODAY()),0,IF(OR(INDEX($B524:$D524,AG$5)="F",AND(AG$6&gt;0,$A524&lt;AG$6),AND(AG$7&gt;0,$A524&gt;AG$7)),0,MAX(0,ROUND((INDEX($E524:$G524,AG$5)-SUMIFS(TF_Timer,TF_Tekniker,AG$4,TF_Dato,$A524))*2,0)/2)))</f>
        <v/>
      </c>
      <c r="AH524">
        <f>IF(OR(AH$4="",$A524&gt;TODAY()),0,IF(OR(INDEX($B524:$D524,AH$5)="F",AND(AH$6&gt;0,$A524&lt;AH$6),AND(AH$7&gt;0,$A524&gt;AH$7)),0,MAX(0,ROUND((INDEX($E524:$G524,AH$5)-SUMIFS(TF_Timer,TF_Tekniker,AH$4,TF_Dato,$A524))*2,0)/2)))</f>
        <v/>
      </c>
      <c r="AI524">
        <f>IF(OR(AI$4="",$A524&gt;TODAY()),0,IF(OR(INDEX($B524:$D524,AI$5)="F",AND(AI$6&gt;0,$A524&lt;AI$6),AND(AI$7&gt;0,$A524&gt;AI$7)),0,MAX(0,ROUND((INDEX($E524:$G524,AI$5)-SUMIFS(TF_Timer,TF_Tekniker,AI$4,TF_Dato,$A524))*2,0)/2)))</f>
        <v/>
      </c>
      <c r="AJ524">
        <f>IF(OR(AJ$4="",$A524&gt;TODAY()),0,IF(OR(INDEX($B524:$D524,AJ$5)="F",AND(AJ$6&gt;0,$A524&lt;AJ$6),AND(AJ$7&gt;0,$A524&gt;AJ$7)),0,MAX(0,ROUND((INDEX($E524:$G524,AJ$5)-SUMIFS(TF_Timer,TF_Tekniker,AJ$4,TF_Dato,$A524))*2,0)/2)))</f>
        <v/>
      </c>
      <c r="AK524">
        <f>IF(OR(AK$4="",$A524&gt;TODAY()),0,IF(OR(INDEX($B524:$D524,AK$5)="F",AND(AK$6&gt;0,$A524&lt;AK$6),AND(AK$7&gt;0,$A524&gt;AK$7)),0,MAX(0,ROUND((INDEX($E524:$G524,AK$5)-SUMIFS(TF_Timer,TF_Tekniker,AK$4,TF_Dato,$A524))*2,0)/2)))</f>
        <v/>
      </c>
      <c r="AL524">
        <f>IF(OR(AL$4="",$A524&gt;TODAY()),0,IF(OR(INDEX($B524:$D524,AL$5)="F",AND(AL$6&gt;0,$A524&lt;AL$6),AND(AL$7&gt;0,$A524&gt;AL$7)),0,MAX(0,ROUND((INDEX($E524:$G524,AL$5)-SUMIFS(TF_Timer,TF_Tekniker,AL$4,TF_Dato,$A524))*2,0)/2)))</f>
        <v/>
      </c>
      <c r="AM524">
        <f>IF(OR(AM$4="",$A524&gt;TODAY()),0,IF(OR(INDEX($B524:$D524,AM$5)="F",AND(AM$6&gt;0,$A524&lt;AM$6),AND(AM$7&gt;0,$A524&gt;AM$7)),0,MAX(0,ROUND((INDEX($E524:$G524,AM$5)-SUMIFS(TF_Timer,TF_Tekniker,AM$4,TF_Dato,$A524))*2,0)/2)))</f>
        <v/>
      </c>
      <c r="AN524">
        <f>IF(OR(AN$4="",$A524&gt;TODAY()),0,IF(OR(INDEX($B524:$D524,AN$5)="F",AND(AN$6&gt;0,$A524&lt;AN$6),AND(AN$7&gt;0,$A524&gt;AN$7)),0,MAX(0,ROUND((INDEX($E524:$G524,AN$5)-SUMIFS(TF_Timer,TF_Tekniker,AN$4,TF_Dato,$A524))*2,0)/2)))</f>
        <v/>
      </c>
      <c r="AO524">
        <f>IF(OR(AO$4="",$A524&gt;TODAY()),0,IF(OR(INDEX($B524:$D524,AO$5)="F",AND(AO$6&gt;0,$A524&lt;AO$6),AND(AO$7&gt;0,$A524&gt;AO$7)),0,MAX(0,ROUND((INDEX($E524:$G524,AO$5)-SUMIFS(TF_Timer,TF_Tekniker,AO$4,TF_Dato,$A524))*2,0)/2)))</f>
        <v/>
      </c>
      <c r="AP524">
        <f>IF(OR(AP$4="",$A524&gt;TODAY()),0,IF(OR(INDEX($B524:$D524,AP$5)="F",AND(AP$6&gt;0,$A524&lt;AP$6),AND(AP$7&gt;0,$A524&gt;AP$7)),0,MAX(0,ROUND((INDEX($E524:$G524,AP$5)-SUMIFS(TF_Timer,TF_Tekniker,AP$4,TF_Dato,$A524))*2,0)/2)))</f>
        <v/>
      </c>
      <c r="AQ524">
        <f>IF(OR(AQ$4="",$A524&gt;TODAY()),0,IF(OR(INDEX($B524:$D524,AQ$5)="F",AND(AQ$6&gt;0,$A524&lt;AQ$6),AND(AQ$7&gt;0,$A524&gt;AQ$7)),0,MAX(0,ROUND((INDEX($E524:$G524,AQ$5)-SUMIFS(TF_Timer,TF_Tekniker,AQ$4,TF_Dato,$A524))*2,0)/2)))</f>
        <v/>
      </c>
      <c r="AR524">
        <f>IF(OR(AR$4="",$A524&gt;TODAY()),0,IF(OR(INDEX($B524:$D524,AR$5)="F",AND(AR$6&gt;0,$A524&lt;AR$6),AND(AR$7&gt;0,$A524&gt;AR$7)),0,MAX(0,ROUND((INDEX($E524:$G524,AR$5)-SUMIFS(TF_Timer,TF_Tekniker,AR$4,TF_Dato,$A524))*2,0)/2)))</f>
        <v/>
      </c>
      <c r="AS524">
        <f>IF(OR(AS$4="",$A524&gt;TODAY()),0,IF(OR(INDEX($B524:$D524,AS$5)="F",AND(AS$6&gt;0,$A524&lt;AS$6),AND(AS$7&gt;0,$A524&gt;AS$7)),0,MAX(0,ROUND((INDEX($E524:$G524,AS$5)-SUMIFS(TF_Timer,TF_Tekniker,AS$4,TF_Dato,$A524))*2,0)/2)))</f>
        <v/>
      </c>
      <c r="AT524">
        <f>IF(OR(AT$4="",$A524&gt;TODAY()),0,IF(OR(INDEX($B524:$D524,AT$5)="F",AND(AT$6&gt;0,$A524&lt;AT$6),AND(AT$7&gt;0,$A524&gt;AT$7)),0,MAX(0,ROUND((INDEX($E524:$G524,AT$5)-SUMIFS(TF_Timer,TF_Tekniker,AT$4,TF_Dato,$A524))*2,0)/2)))</f>
        <v/>
      </c>
      <c r="AU524">
        <f>IF(OR(AU$4="",$A524&gt;TODAY()),0,IF(OR(INDEX($B524:$D524,AU$5)="F",AND(AU$6&gt;0,$A524&lt;AU$6),AND(AU$7&gt;0,$A524&gt;AU$7)),0,MAX(0,ROUND((INDEX($E524:$G524,AU$5)-SUMIFS(TF_Timer,TF_Tekniker,AU$4,TF_Dato,$A524))*2,0)/2)))</f>
        <v/>
      </c>
      <c r="AV524">
        <f>IF(OR(AV$4="",$A524&gt;TODAY()),0,IF(OR(INDEX($B524:$D524,AV$5)="F",AND(AV$6&gt;0,$A524&lt;AV$6),AND(AV$7&gt;0,$A524&gt;AV$7)),0,MAX(0,ROUND((INDEX($E524:$G524,AV$5)-SUMIFS(TF_Timer,TF_Tekniker,AV$4,TF_Dato,$A524))*2,0)/2)))</f>
        <v/>
      </c>
      <c r="AW524">
        <f>IF(OR(AW$4="",$A524&gt;TODAY()),0,IF(OR(INDEX($B524:$D524,AW$5)="F",AND(AW$6&gt;0,$A524&lt;AW$6),AND(AW$7&gt;0,$A524&gt;AW$7)),0,MAX(0,ROUND((INDEX($E524:$G524,AW$5)-SUMIFS(TF_Timer,TF_Tekniker,AW$4,TF_Dato,$A524))*2,0)/2)))</f>
        <v/>
      </c>
      <c r="AX524">
        <f>IF(OR(AX$4="",$A524&gt;TODAY()),0,IF(OR(INDEX($B524:$D524,AX$5)="F",AND(AX$6&gt;0,$A524&lt;AX$6),AND(AX$7&gt;0,$A524&gt;AX$7)),0,MAX(0,ROUND((INDEX($E524:$G524,AX$5)-SUMIFS(TF_Timer,TF_Tekniker,AX$4,TF_Dato,$A524))*2,0)/2)))</f>
        <v/>
      </c>
      <c r="AY524">
        <f>IF(OR(AY$4="",$A524&gt;TODAY()),0,IF(OR(INDEX($B524:$D524,AY$5)="F",AND(AY$6&gt;0,$A524&lt;AY$6),AND(AY$7&gt;0,$A524&gt;AY$7)),0,MAX(0,ROUND((INDEX($E524:$G524,AY$5)-SUMIFS(TF_Timer,TF_Tekniker,AY$4,TF_Dato,$A524))*2,0)/2)))</f>
        <v/>
      </c>
      <c r="AZ524">
        <f>IF(OR(AZ$4="",$A524&gt;TODAY()),0,IF(OR(INDEX($B524:$D524,AZ$5)="F",AND(AZ$6&gt;0,$A524&lt;AZ$6),AND(AZ$7&gt;0,$A524&gt;AZ$7)),0,MAX(0,ROUND((INDEX($E524:$G524,AZ$5)-SUMIFS(TF_Timer,TF_Tekniker,AZ$4,TF_Dato,$A524))*2,0)/2)))</f>
        <v/>
      </c>
      <c r="BA524">
        <f>IF(OR(BA$4="",$A524&gt;TODAY()),0,IF(OR(INDEX($B524:$D524,BA$5)="F",AND(BA$6&gt;0,$A524&lt;BA$6),AND(BA$7&gt;0,$A524&gt;BA$7)),0,MAX(0,ROUND((INDEX($E524:$G524,BA$5)-SUMIFS(TF_Timer,TF_Tekniker,BA$4,TF_Dato,$A524))*2,0)/2)))</f>
        <v/>
      </c>
      <c r="BB524">
        <f>IF(OR(BB$4="",$A524&gt;TODAY()),0,IF(OR(INDEX($B524:$D524,BB$5)="F",AND(BB$6&gt;0,$A524&lt;BB$6),AND(BB$7&gt;0,$A524&gt;BB$7)),0,MAX(0,ROUND((INDEX($E524:$G524,BB$5)-SUMIFS(TF_Timer,TF_Tekniker,BB$4,TF_Dato,$A524))*2,0)/2)))</f>
        <v/>
      </c>
      <c r="BC524">
        <f>IF(OR(BC$4="",$A524&gt;TODAY()),0,IF(OR(INDEX($B524:$D524,BC$5)="F",AND(BC$6&gt;0,$A524&lt;BC$6),AND(BC$7&gt;0,$A524&gt;BC$7)),0,MAX(0,ROUND((INDEX($E524:$G524,BC$5)-SUMIFS(TF_Timer,TF_Tekniker,BC$4,TF_Dato,$A524))*2,0)/2)))</f>
        <v/>
      </c>
      <c r="BD524">
        <f>IF(OR(BD$4="",$A524&gt;TODAY()),0,IF(OR(INDEX($B524:$D524,BD$5)="F",AND(BD$6&gt;0,$A524&lt;BD$6),AND(BD$7&gt;0,$A524&gt;BD$7)),0,MAX(0,ROUND((INDEX($E524:$G524,BD$5)-SUMIFS(TF_Timer,TF_Tekniker,BD$4,TF_Dato,$A524))*2,0)/2)))</f>
        <v/>
      </c>
      <c r="BE524">
        <f>IF(OR(BE$4="",$A524&gt;TODAY()),0,IF(OR(INDEX($B524:$D524,BE$5)="F",AND(BE$6&gt;0,$A524&lt;BE$6),AND(BE$7&gt;0,$A524&gt;BE$7)),0,MAX(0,ROUND((INDEX($E524:$G524,BE$5)-SUMIFS(TF_Timer,TF_Tekniker,BE$4,TF_Dato,$A524))*2,0)/2)))</f>
        <v/>
      </c>
      <c r="BF524">
        <f>IF(OR(BF$4="",$A524&gt;TODAY()),0,IF(OR(INDEX($B524:$D524,BF$5)="F",AND(BF$6&gt;0,$A524&lt;BF$6),AND(BF$7&gt;0,$A524&gt;BF$7)),0,MAX(0,ROUND((INDEX($E524:$G524,BF$5)-SUMIFS(TF_Timer,TF_Tekniker,BF$4,TF_Dato,$A524))*2,0)/2)))</f>
        <v/>
      </c>
      <c r="BG524">
        <f>IF(OR(BG$4="",$A524&gt;TODAY()),0,IF(OR(INDEX($B524:$D524,BG$5)="F",AND(BG$6&gt;0,$A524&lt;BG$6),AND(BG$7&gt;0,$A524&gt;BG$7)),0,MAX(0,ROUND((INDEX($E524:$G524,BG$5)-SUMIFS(TF_Timer,TF_Tekniker,BG$4,TF_Dato,$A524))*2,0)/2)))</f>
        <v/>
      </c>
      <c r="BH524">
        <f>IF(OR(BH$4="",$A524&gt;TODAY()),0,IF(OR(INDEX($B524:$D524,BH$5)="F",AND(BH$6&gt;0,$A524&lt;BH$6),AND(BH$7&gt;0,$A524&gt;BH$7)),0,MAX(0,ROUND((INDEX($E524:$G524,BH$5)-SUMIFS(TF_Timer,TF_Tekniker,BH$4,TF_Dato,$A524))*2,0)/2)))</f>
        <v/>
      </c>
      <c r="BI524">
        <f>IF(OR(BI$4="",$A524&gt;TODAY()),0,IF(OR(INDEX($B524:$D524,BI$5)="F",AND(BI$6&gt;0,$A524&lt;BI$6),AND(BI$7&gt;0,$A524&gt;BI$7)),0,MAX(0,ROUND((INDEX($E524:$G524,BI$5)-SUMIFS(TF_Timer,TF_Tekniker,BI$4,TF_Dato,$A524))*2,0)/2)))</f>
        <v/>
      </c>
    </row>
    <row r="525">
      <c r="A525" s="64">
        <f>A524+1</f>
        <v/>
      </c>
      <c r="B525">
        <f>IF(MOD($A525-INDEX(SkiftStart,1),Syklus)&lt;DagK,"K",IF(MOD($A525-INDEX(SkiftStart,1),Syklus)&lt;DagK+DagH,"H",IF(MOD($A525-INDEX(SkiftStart,1),Syklus)&lt;DagK+DagH+DagD,"D","F")))</f>
        <v/>
      </c>
      <c r="C525">
        <f>IF(MOD($A525-INDEX(SkiftStart,2),Syklus)&lt;DagK,"K",IF(MOD($A525-INDEX(SkiftStart,2),Syklus)&lt;DagK+DagH,"H",IF(MOD($A525-INDEX(SkiftStart,2),Syklus)&lt;DagK+DagH+DagD,"D","F")))</f>
        <v/>
      </c>
      <c r="D525">
        <f>IF(MOD($A525-INDEX(SkiftStart,3),Syklus)&lt;DagK,"K",IF(MOD($A525-INDEX(SkiftStart,3),Syklus)&lt;DagK+DagH,"H",IF(MOD($A525-INDEX(SkiftStart,3),Syklus)&lt;DagK+DagH+DagD,"D","F")))</f>
        <v/>
      </c>
      <c r="E525">
        <f>IF(B525="F",0,IF(WEEKDAY($A525,2)=5,INDEX(TimerFr,MATCH(B525,FaseKode,0)),INDEX(TimerMT,MATCH(B525,FaseKode,0))))</f>
        <v/>
      </c>
      <c r="F525">
        <f>IF(C525="F",0,IF(WEEKDAY($A525,2)=5,INDEX(TimerFr,MATCH(C525,FaseKode,0)),INDEX(TimerMT,MATCH(C525,FaseKode,0))))</f>
        <v/>
      </c>
      <c r="G525">
        <f>IF(D525="F",0,IF(WEEKDAY($A525,2)=5,INDEX(TimerFr,MATCH(D525,FaseKode,0)),INDEX(TimerMT,MATCH(D525,FaseKode,0))))</f>
        <v/>
      </c>
      <c r="H525">
        <f>IF(OR(H$4="",$A525&gt;TODAY()),0,IF(OR(INDEX($B525:$D525,H$5)="F",AND(H$6&gt;0,$A525&lt;H$6),AND(H$7&gt;0,$A525&gt;H$7)),0,MAX(0,ROUND((INDEX($E525:$G525,H$5)-SUMIFS(TF_Timer,TF_Tekniker,H$4,TF_Dato,$A525))*2,0)/2)))</f>
        <v/>
      </c>
      <c r="I525">
        <f>IF(OR(I$4="",$A525&gt;TODAY()),0,IF(OR(INDEX($B525:$D525,I$5)="F",AND(I$6&gt;0,$A525&lt;I$6),AND(I$7&gt;0,$A525&gt;I$7)),0,MAX(0,ROUND((INDEX($E525:$G525,I$5)-SUMIFS(TF_Timer,TF_Tekniker,I$4,TF_Dato,$A525))*2,0)/2)))</f>
        <v/>
      </c>
      <c r="J525">
        <f>IF(OR(J$4="",$A525&gt;TODAY()),0,IF(OR(INDEX($B525:$D525,J$5)="F",AND(J$6&gt;0,$A525&lt;J$6),AND(J$7&gt;0,$A525&gt;J$7)),0,MAX(0,ROUND((INDEX($E525:$G525,J$5)-SUMIFS(TF_Timer,TF_Tekniker,J$4,TF_Dato,$A525))*2,0)/2)))</f>
        <v/>
      </c>
      <c r="K525">
        <f>IF(OR(K$4="",$A525&gt;TODAY()),0,IF(OR(INDEX($B525:$D525,K$5)="F",AND(K$6&gt;0,$A525&lt;K$6),AND(K$7&gt;0,$A525&gt;K$7)),0,MAX(0,ROUND((INDEX($E525:$G525,K$5)-SUMIFS(TF_Timer,TF_Tekniker,K$4,TF_Dato,$A525))*2,0)/2)))</f>
        <v/>
      </c>
      <c r="L525">
        <f>IF(OR(L$4="",$A525&gt;TODAY()),0,IF(OR(INDEX($B525:$D525,L$5)="F",AND(L$6&gt;0,$A525&lt;L$6),AND(L$7&gt;0,$A525&gt;L$7)),0,MAX(0,ROUND((INDEX($E525:$G525,L$5)-SUMIFS(TF_Timer,TF_Tekniker,L$4,TF_Dato,$A525))*2,0)/2)))</f>
        <v/>
      </c>
      <c r="M525">
        <f>IF(OR(M$4="",$A525&gt;TODAY()),0,IF(OR(INDEX($B525:$D525,M$5)="F",AND(M$6&gt;0,$A525&lt;M$6),AND(M$7&gt;0,$A525&gt;M$7)),0,MAX(0,ROUND((INDEX($E525:$G525,M$5)-SUMIFS(TF_Timer,TF_Tekniker,M$4,TF_Dato,$A525))*2,0)/2)))</f>
        <v/>
      </c>
      <c r="N525">
        <f>IF(OR(N$4="",$A525&gt;TODAY()),0,IF(OR(INDEX($B525:$D525,N$5)="F",AND(N$6&gt;0,$A525&lt;N$6),AND(N$7&gt;0,$A525&gt;N$7)),0,MAX(0,ROUND((INDEX($E525:$G525,N$5)-SUMIFS(TF_Timer,TF_Tekniker,N$4,TF_Dato,$A525))*2,0)/2)))</f>
        <v/>
      </c>
      <c r="O525">
        <f>IF(OR(O$4="",$A525&gt;TODAY()),0,IF(OR(INDEX($B525:$D525,O$5)="F",AND(O$6&gt;0,$A525&lt;O$6),AND(O$7&gt;0,$A525&gt;O$7)),0,MAX(0,ROUND((INDEX($E525:$G525,O$5)-SUMIFS(TF_Timer,TF_Tekniker,O$4,TF_Dato,$A525))*2,0)/2)))</f>
        <v/>
      </c>
      <c r="P525">
        <f>IF(OR(P$4="",$A525&gt;TODAY()),0,IF(OR(INDEX($B525:$D525,P$5)="F",AND(P$6&gt;0,$A525&lt;P$6),AND(P$7&gt;0,$A525&gt;P$7)),0,MAX(0,ROUND((INDEX($E525:$G525,P$5)-SUMIFS(TF_Timer,TF_Tekniker,P$4,TF_Dato,$A525))*2,0)/2)))</f>
        <v/>
      </c>
      <c r="Q525">
        <f>IF(OR(Q$4="",$A525&gt;TODAY()),0,IF(OR(INDEX($B525:$D525,Q$5)="F",AND(Q$6&gt;0,$A525&lt;Q$6),AND(Q$7&gt;0,$A525&gt;Q$7)),0,MAX(0,ROUND((INDEX($E525:$G525,Q$5)-SUMIFS(TF_Timer,TF_Tekniker,Q$4,TF_Dato,$A525))*2,0)/2)))</f>
        <v/>
      </c>
      <c r="R525">
        <f>IF(OR(R$4="",$A525&gt;TODAY()),0,IF(OR(INDEX($B525:$D525,R$5)="F",AND(R$6&gt;0,$A525&lt;R$6),AND(R$7&gt;0,$A525&gt;R$7)),0,MAX(0,ROUND((INDEX($E525:$G525,R$5)-SUMIFS(TF_Timer,TF_Tekniker,R$4,TF_Dato,$A525))*2,0)/2)))</f>
        <v/>
      </c>
      <c r="S525">
        <f>IF(OR(S$4="",$A525&gt;TODAY()),0,IF(OR(INDEX($B525:$D525,S$5)="F",AND(S$6&gt;0,$A525&lt;S$6),AND(S$7&gt;0,$A525&gt;S$7)),0,MAX(0,ROUND((INDEX($E525:$G525,S$5)-SUMIFS(TF_Timer,TF_Tekniker,S$4,TF_Dato,$A525))*2,0)/2)))</f>
        <v/>
      </c>
      <c r="T525">
        <f>IF(OR(T$4="",$A525&gt;TODAY()),0,IF(OR(INDEX($B525:$D525,T$5)="F",AND(T$6&gt;0,$A525&lt;T$6),AND(T$7&gt;0,$A525&gt;T$7)),0,MAX(0,ROUND((INDEX($E525:$G525,T$5)-SUMIFS(TF_Timer,TF_Tekniker,T$4,TF_Dato,$A525))*2,0)/2)))</f>
        <v/>
      </c>
      <c r="U525">
        <f>IF(OR(U$4="",$A525&gt;TODAY()),0,IF(OR(INDEX($B525:$D525,U$5)="F",AND(U$6&gt;0,$A525&lt;U$6),AND(U$7&gt;0,$A525&gt;U$7)),0,MAX(0,ROUND((INDEX($E525:$G525,U$5)-SUMIFS(TF_Timer,TF_Tekniker,U$4,TF_Dato,$A525))*2,0)/2)))</f>
        <v/>
      </c>
      <c r="V525">
        <f>IF(OR(V$4="",$A525&gt;TODAY()),0,IF(OR(INDEX($B525:$D525,V$5)="F",AND(V$6&gt;0,$A525&lt;V$6),AND(V$7&gt;0,$A525&gt;V$7)),0,MAX(0,ROUND((INDEX($E525:$G525,V$5)-SUMIFS(TF_Timer,TF_Tekniker,V$4,TF_Dato,$A525))*2,0)/2)))</f>
        <v/>
      </c>
      <c r="W525">
        <f>IF(OR(W$4="",$A525&gt;TODAY()),0,IF(OR(INDEX($B525:$D525,W$5)="F",AND(W$6&gt;0,$A525&lt;W$6),AND(W$7&gt;0,$A525&gt;W$7)),0,MAX(0,ROUND((INDEX($E525:$G525,W$5)-SUMIFS(TF_Timer,TF_Tekniker,W$4,TF_Dato,$A525))*2,0)/2)))</f>
        <v/>
      </c>
      <c r="X525">
        <f>IF(OR(X$4="",$A525&gt;TODAY()),0,IF(OR(INDEX($B525:$D525,X$5)="F",AND(X$6&gt;0,$A525&lt;X$6),AND(X$7&gt;0,$A525&gt;X$7)),0,MAX(0,ROUND((INDEX($E525:$G525,X$5)-SUMIFS(TF_Timer,TF_Tekniker,X$4,TF_Dato,$A525))*2,0)/2)))</f>
        <v/>
      </c>
      <c r="Y525">
        <f>IF(OR(Y$4="",$A525&gt;TODAY()),0,IF(OR(INDEX($B525:$D525,Y$5)="F",AND(Y$6&gt;0,$A525&lt;Y$6),AND(Y$7&gt;0,$A525&gt;Y$7)),0,MAX(0,ROUND((INDEX($E525:$G525,Y$5)-SUMIFS(TF_Timer,TF_Tekniker,Y$4,TF_Dato,$A525))*2,0)/2)))</f>
        <v/>
      </c>
      <c r="Z525">
        <f>IF(OR(Z$4="",$A525&gt;TODAY()),0,IF(OR(INDEX($B525:$D525,Z$5)="F",AND(Z$6&gt;0,$A525&lt;Z$6),AND(Z$7&gt;0,$A525&gt;Z$7)),0,MAX(0,ROUND((INDEX($E525:$G525,Z$5)-SUMIFS(TF_Timer,TF_Tekniker,Z$4,TF_Dato,$A525))*2,0)/2)))</f>
        <v/>
      </c>
      <c r="AA525">
        <f>IF(OR(AA$4="",$A525&gt;TODAY()),0,IF(OR(INDEX($B525:$D525,AA$5)="F",AND(AA$6&gt;0,$A525&lt;AA$6),AND(AA$7&gt;0,$A525&gt;AA$7)),0,MAX(0,ROUND((INDEX($E525:$G525,AA$5)-SUMIFS(TF_Timer,TF_Tekniker,AA$4,TF_Dato,$A525))*2,0)/2)))</f>
        <v/>
      </c>
      <c r="AB525">
        <f>IF(OR(AB$4="",$A525&gt;TODAY()),0,IF(OR(INDEX($B525:$D525,AB$5)="F",AND(AB$6&gt;0,$A525&lt;AB$6),AND(AB$7&gt;0,$A525&gt;AB$7)),0,MAX(0,ROUND((INDEX($E525:$G525,AB$5)-SUMIFS(TF_Timer,TF_Tekniker,AB$4,TF_Dato,$A525))*2,0)/2)))</f>
        <v/>
      </c>
      <c r="AC525">
        <f>IF(OR(AC$4="",$A525&gt;TODAY()),0,IF(OR(INDEX($B525:$D525,AC$5)="F",AND(AC$6&gt;0,$A525&lt;AC$6),AND(AC$7&gt;0,$A525&gt;AC$7)),0,MAX(0,ROUND((INDEX($E525:$G525,AC$5)-SUMIFS(TF_Timer,TF_Tekniker,AC$4,TF_Dato,$A525))*2,0)/2)))</f>
        <v/>
      </c>
      <c r="AD525">
        <f>IF(OR(AD$4="",$A525&gt;TODAY()),0,IF(OR(INDEX($B525:$D525,AD$5)="F",AND(AD$6&gt;0,$A525&lt;AD$6),AND(AD$7&gt;0,$A525&gt;AD$7)),0,MAX(0,ROUND((INDEX($E525:$G525,AD$5)-SUMIFS(TF_Timer,TF_Tekniker,AD$4,TF_Dato,$A525))*2,0)/2)))</f>
        <v/>
      </c>
      <c r="AE525">
        <f>IF(OR(AE$4="",$A525&gt;TODAY()),0,IF(OR(INDEX($B525:$D525,AE$5)="F",AND(AE$6&gt;0,$A525&lt;AE$6),AND(AE$7&gt;0,$A525&gt;AE$7)),0,MAX(0,ROUND((INDEX($E525:$G525,AE$5)-SUMIFS(TF_Timer,TF_Tekniker,AE$4,TF_Dato,$A525))*2,0)/2)))</f>
        <v/>
      </c>
      <c r="AF525">
        <f>IF(OR(AF$4="",$A525&gt;TODAY()),0,IF(OR(INDEX($B525:$D525,AF$5)="F",AND(AF$6&gt;0,$A525&lt;AF$6),AND(AF$7&gt;0,$A525&gt;AF$7)),0,MAX(0,ROUND((INDEX($E525:$G525,AF$5)-SUMIFS(TF_Timer,TF_Tekniker,AF$4,TF_Dato,$A525))*2,0)/2)))</f>
        <v/>
      </c>
      <c r="AG525">
        <f>IF(OR(AG$4="",$A525&gt;TODAY()),0,IF(OR(INDEX($B525:$D525,AG$5)="F",AND(AG$6&gt;0,$A525&lt;AG$6),AND(AG$7&gt;0,$A525&gt;AG$7)),0,MAX(0,ROUND((INDEX($E525:$G525,AG$5)-SUMIFS(TF_Timer,TF_Tekniker,AG$4,TF_Dato,$A525))*2,0)/2)))</f>
        <v/>
      </c>
      <c r="AH525">
        <f>IF(OR(AH$4="",$A525&gt;TODAY()),0,IF(OR(INDEX($B525:$D525,AH$5)="F",AND(AH$6&gt;0,$A525&lt;AH$6),AND(AH$7&gt;0,$A525&gt;AH$7)),0,MAX(0,ROUND((INDEX($E525:$G525,AH$5)-SUMIFS(TF_Timer,TF_Tekniker,AH$4,TF_Dato,$A525))*2,0)/2)))</f>
        <v/>
      </c>
      <c r="AI525">
        <f>IF(OR(AI$4="",$A525&gt;TODAY()),0,IF(OR(INDEX($B525:$D525,AI$5)="F",AND(AI$6&gt;0,$A525&lt;AI$6),AND(AI$7&gt;0,$A525&gt;AI$7)),0,MAX(0,ROUND((INDEX($E525:$G525,AI$5)-SUMIFS(TF_Timer,TF_Tekniker,AI$4,TF_Dato,$A525))*2,0)/2)))</f>
        <v/>
      </c>
      <c r="AJ525">
        <f>IF(OR(AJ$4="",$A525&gt;TODAY()),0,IF(OR(INDEX($B525:$D525,AJ$5)="F",AND(AJ$6&gt;0,$A525&lt;AJ$6),AND(AJ$7&gt;0,$A525&gt;AJ$7)),0,MAX(0,ROUND((INDEX($E525:$G525,AJ$5)-SUMIFS(TF_Timer,TF_Tekniker,AJ$4,TF_Dato,$A525))*2,0)/2)))</f>
        <v/>
      </c>
      <c r="AK525">
        <f>IF(OR(AK$4="",$A525&gt;TODAY()),0,IF(OR(INDEX($B525:$D525,AK$5)="F",AND(AK$6&gt;0,$A525&lt;AK$6),AND(AK$7&gt;0,$A525&gt;AK$7)),0,MAX(0,ROUND((INDEX($E525:$G525,AK$5)-SUMIFS(TF_Timer,TF_Tekniker,AK$4,TF_Dato,$A525))*2,0)/2)))</f>
        <v/>
      </c>
      <c r="AL525">
        <f>IF(OR(AL$4="",$A525&gt;TODAY()),0,IF(OR(INDEX($B525:$D525,AL$5)="F",AND(AL$6&gt;0,$A525&lt;AL$6),AND(AL$7&gt;0,$A525&gt;AL$7)),0,MAX(0,ROUND((INDEX($E525:$G525,AL$5)-SUMIFS(TF_Timer,TF_Tekniker,AL$4,TF_Dato,$A525))*2,0)/2)))</f>
        <v/>
      </c>
      <c r="AM525">
        <f>IF(OR(AM$4="",$A525&gt;TODAY()),0,IF(OR(INDEX($B525:$D525,AM$5)="F",AND(AM$6&gt;0,$A525&lt;AM$6),AND(AM$7&gt;0,$A525&gt;AM$7)),0,MAX(0,ROUND((INDEX($E525:$G525,AM$5)-SUMIFS(TF_Timer,TF_Tekniker,AM$4,TF_Dato,$A525))*2,0)/2)))</f>
        <v/>
      </c>
      <c r="AN525">
        <f>IF(OR(AN$4="",$A525&gt;TODAY()),0,IF(OR(INDEX($B525:$D525,AN$5)="F",AND(AN$6&gt;0,$A525&lt;AN$6),AND(AN$7&gt;0,$A525&gt;AN$7)),0,MAX(0,ROUND((INDEX($E525:$G525,AN$5)-SUMIFS(TF_Timer,TF_Tekniker,AN$4,TF_Dato,$A525))*2,0)/2)))</f>
        <v/>
      </c>
      <c r="AO525">
        <f>IF(OR(AO$4="",$A525&gt;TODAY()),0,IF(OR(INDEX($B525:$D525,AO$5)="F",AND(AO$6&gt;0,$A525&lt;AO$6),AND(AO$7&gt;0,$A525&gt;AO$7)),0,MAX(0,ROUND((INDEX($E525:$G525,AO$5)-SUMIFS(TF_Timer,TF_Tekniker,AO$4,TF_Dato,$A525))*2,0)/2)))</f>
        <v/>
      </c>
      <c r="AP525">
        <f>IF(OR(AP$4="",$A525&gt;TODAY()),0,IF(OR(INDEX($B525:$D525,AP$5)="F",AND(AP$6&gt;0,$A525&lt;AP$6),AND(AP$7&gt;0,$A525&gt;AP$7)),0,MAX(0,ROUND((INDEX($E525:$G525,AP$5)-SUMIFS(TF_Timer,TF_Tekniker,AP$4,TF_Dato,$A525))*2,0)/2)))</f>
        <v/>
      </c>
      <c r="AQ525">
        <f>IF(OR(AQ$4="",$A525&gt;TODAY()),0,IF(OR(INDEX($B525:$D525,AQ$5)="F",AND(AQ$6&gt;0,$A525&lt;AQ$6),AND(AQ$7&gt;0,$A525&gt;AQ$7)),0,MAX(0,ROUND((INDEX($E525:$G525,AQ$5)-SUMIFS(TF_Timer,TF_Tekniker,AQ$4,TF_Dato,$A525))*2,0)/2)))</f>
        <v/>
      </c>
      <c r="AR525">
        <f>IF(OR(AR$4="",$A525&gt;TODAY()),0,IF(OR(INDEX($B525:$D525,AR$5)="F",AND(AR$6&gt;0,$A525&lt;AR$6),AND(AR$7&gt;0,$A525&gt;AR$7)),0,MAX(0,ROUND((INDEX($E525:$G525,AR$5)-SUMIFS(TF_Timer,TF_Tekniker,AR$4,TF_Dato,$A525))*2,0)/2)))</f>
        <v/>
      </c>
      <c r="AS525">
        <f>IF(OR(AS$4="",$A525&gt;TODAY()),0,IF(OR(INDEX($B525:$D525,AS$5)="F",AND(AS$6&gt;0,$A525&lt;AS$6),AND(AS$7&gt;0,$A525&gt;AS$7)),0,MAX(0,ROUND((INDEX($E525:$G525,AS$5)-SUMIFS(TF_Timer,TF_Tekniker,AS$4,TF_Dato,$A525))*2,0)/2)))</f>
        <v/>
      </c>
      <c r="AT525">
        <f>IF(OR(AT$4="",$A525&gt;TODAY()),0,IF(OR(INDEX($B525:$D525,AT$5)="F",AND(AT$6&gt;0,$A525&lt;AT$6),AND(AT$7&gt;0,$A525&gt;AT$7)),0,MAX(0,ROUND((INDEX($E525:$G525,AT$5)-SUMIFS(TF_Timer,TF_Tekniker,AT$4,TF_Dato,$A525))*2,0)/2)))</f>
        <v/>
      </c>
      <c r="AU525">
        <f>IF(OR(AU$4="",$A525&gt;TODAY()),0,IF(OR(INDEX($B525:$D525,AU$5)="F",AND(AU$6&gt;0,$A525&lt;AU$6),AND(AU$7&gt;0,$A525&gt;AU$7)),0,MAX(0,ROUND((INDEX($E525:$G525,AU$5)-SUMIFS(TF_Timer,TF_Tekniker,AU$4,TF_Dato,$A525))*2,0)/2)))</f>
        <v/>
      </c>
      <c r="AV525">
        <f>IF(OR(AV$4="",$A525&gt;TODAY()),0,IF(OR(INDEX($B525:$D525,AV$5)="F",AND(AV$6&gt;0,$A525&lt;AV$6),AND(AV$7&gt;0,$A525&gt;AV$7)),0,MAX(0,ROUND((INDEX($E525:$G525,AV$5)-SUMIFS(TF_Timer,TF_Tekniker,AV$4,TF_Dato,$A525))*2,0)/2)))</f>
        <v/>
      </c>
      <c r="AW525">
        <f>IF(OR(AW$4="",$A525&gt;TODAY()),0,IF(OR(INDEX($B525:$D525,AW$5)="F",AND(AW$6&gt;0,$A525&lt;AW$6),AND(AW$7&gt;0,$A525&gt;AW$7)),0,MAX(0,ROUND((INDEX($E525:$G525,AW$5)-SUMIFS(TF_Timer,TF_Tekniker,AW$4,TF_Dato,$A525))*2,0)/2)))</f>
        <v/>
      </c>
      <c r="AX525">
        <f>IF(OR(AX$4="",$A525&gt;TODAY()),0,IF(OR(INDEX($B525:$D525,AX$5)="F",AND(AX$6&gt;0,$A525&lt;AX$6),AND(AX$7&gt;0,$A525&gt;AX$7)),0,MAX(0,ROUND((INDEX($E525:$G525,AX$5)-SUMIFS(TF_Timer,TF_Tekniker,AX$4,TF_Dato,$A525))*2,0)/2)))</f>
        <v/>
      </c>
      <c r="AY525">
        <f>IF(OR(AY$4="",$A525&gt;TODAY()),0,IF(OR(INDEX($B525:$D525,AY$5)="F",AND(AY$6&gt;0,$A525&lt;AY$6),AND(AY$7&gt;0,$A525&gt;AY$7)),0,MAX(0,ROUND((INDEX($E525:$G525,AY$5)-SUMIFS(TF_Timer,TF_Tekniker,AY$4,TF_Dato,$A525))*2,0)/2)))</f>
        <v/>
      </c>
      <c r="AZ525">
        <f>IF(OR(AZ$4="",$A525&gt;TODAY()),0,IF(OR(INDEX($B525:$D525,AZ$5)="F",AND(AZ$6&gt;0,$A525&lt;AZ$6),AND(AZ$7&gt;0,$A525&gt;AZ$7)),0,MAX(0,ROUND((INDEX($E525:$G525,AZ$5)-SUMIFS(TF_Timer,TF_Tekniker,AZ$4,TF_Dato,$A525))*2,0)/2)))</f>
        <v/>
      </c>
      <c r="BA525">
        <f>IF(OR(BA$4="",$A525&gt;TODAY()),0,IF(OR(INDEX($B525:$D525,BA$5)="F",AND(BA$6&gt;0,$A525&lt;BA$6),AND(BA$7&gt;0,$A525&gt;BA$7)),0,MAX(0,ROUND((INDEX($E525:$G525,BA$5)-SUMIFS(TF_Timer,TF_Tekniker,BA$4,TF_Dato,$A525))*2,0)/2)))</f>
        <v/>
      </c>
      <c r="BB525">
        <f>IF(OR(BB$4="",$A525&gt;TODAY()),0,IF(OR(INDEX($B525:$D525,BB$5)="F",AND(BB$6&gt;0,$A525&lt;BB$6),AND(BB$7&gt;0,$A525&gt;BB$7)),0,MAX(0,ROUND((INDEX($E525:$G525,BB$5)-SUMIFS(TF_Timer,TF_Tekniker,BB$4,TF_Dato,$A525))*2,0)/2)))</f>
        <v/>
      </c>
      <c r="BC525">
        <f>IF(OR(BC$4="",$A525&gt;TODAY()),0,IF(OR(INDEX($B525:$D525,BC$5)="F",AND(BC$6&gt;0,$A525&lt;BC$6),AND(BC$7&gt;0,$A525&gt;BC$7)),0,MAX(0,ROUND((INDEX($E525:$G525,BC$5)-SUMIFS(TF_Timer,TF_Tekniker,BC$4,TF_Dato,$A525))*2,0)/2)))</f>
        <v/>
      </c>
      <c r="BD525">
        <f>IF(OR(BD$4="",$A525&gt;TODAY()),0,IF(OR(INDEX($B525:$D525,BD$5)="F",AND(BD$6&gt;0,$A525&lt;BD$6),AND(BD$7&gt;0,$A525&gt;BD$7)),0,MAX(0,ROUND((INDEX($E525:$G525,BD$5)-SUMIFS(TF_Timer,TF_Tekniker,BD$4,TF_Dato,$A525))*2,0)/2)))</f>
        <v/>
      </c>
      <c r="BE525">
        <f>IF(OR(BE$4="",$A525&gt;TODAY()),0,IF(OR(INDEX($B525:$D525,BE$5)="F",AND(BE$6&gt;0,$A525&lt;BE$6),AND(BE$7&gt;0,$A525&gt;BE$7)),0,MAX(0,ROUND((INDEX($E525:$G525,BE$5)-SUMIFS(TF_Timer,TF_Tekniker,BE$4,TF_Dato,$A525))*2,0)/2)))</f>
        <v/>
      </c>
      <c r="BF525">
        <f>IF(OR(BF$4="",$A525&gt;TODAY()),0,IF(OR(INDEX($B525:$D525,BF$5)="F",AND(BF$6&gt;0,$A525&lt;BF$6),AND(BF$7&gt;0,$A525&gt;BF$7)),0,MAX(0,ROUND((INDEX($E525:$G525,BF$5)-SUMIFS(TF_Timer,TF_Tekniker,BF$4,TF_Dato,$A525))*2,0)/2)))</f>
        <v/>
      </c>
      <c r="BG525">
        <f>IF(OR(BG$4="",$A525&gt;TODAY()),0,IF(OR(INDEX($B525:$D525,BG$5)="F",AND(BG$6&gt;0,$A525&lt;BG$6),AND(BG$7&gt;0,$A525&gt;BG$7)),0,MAX(0,ROUND((INDEX($E525:$G525,BG$5)-SUMIFS(TF_Timer,TF_Tekniker,BG$4,TF_Dato,$A525))*2,0)/2)))</f>
        <v/>
      </c>
      <c r="BH525">
        <f>IF(OR(BH$4="",$A525&gt;TODAY()),0,IF(OR(INDEX($B525:$D525,BH$5)="F",AND(BH$6&gt;0,$A525&lt;BH$6),AND(BH$7&gt;0,$A525&gt;BH$7)),0,MAX(0,ROUND((INDEX($E525:$G525,BH$5)-SUMIFS(TF_Timer,TF_Tekniker,BH$4,TF_Dato,$A525))*2,0)/2)))</f>
        <v/>
      </c>
      <c r="BI525">
        <f>IF(OR(BI$4="",$A525&gt;TODAY()),0,IF(OR(INDEX($B525:$D525,BI$5)="F",AND(BI$6&gt;0,$A525&lt;BI$6),AND(BI$7&gt;0,$A525&gt;BI$7)),0,MAX(0,ROUND((INDEX($E525:$G525,BI$5)-SUMIFS(TF_Timer,TF_Tekniker,BI$4,TF_Dato,$A525))*2,0)/2)))</f>
        <v/>
      </c>
    </row>
    <row r="526">
      <c r="A526" s="64">
        <f>A525+1</f>
        <v/>
      </c>
      <c r="B526">
        <f>IF(MOD($A526-INDEX(SkiftStart,1),Syklus)&lt;DagK,"K",IF(MOD($A526-INDEX(SkiftStart,1),Syklus)&lt;DagK+DagH,"H",IF(MOD($A526-INDEX(SkiftStart,1),Syklus)&lt;DagK+DagH+DagD,"D","F")))</f>
        <v/>
      </c>
      <c r="C526">
        <f>IF(MOD($A526-INDEX(SkiftStart,2),Syklus)&lt;DagK,"K",IF(MOD($A526-INDEX(SkiftStart,2),Syklus)&lt;DagK+DagH,"H",IF(MOD($A526-INDEX(SkiftStart,2),Syklus)&lt;DagK+DagH+DagD,"D","F")))</f>
        <v/>
      </c>
      <c r="D526">
        <f>IF(MOD($A526-INDEX(SkiftStart,3),Syklus)&lt;DagK,"K",IF(MOD($A526-INDEX(SkiftStart,3),Syklus)&lt;DagK+DagH,"H",IF(MOD($A526-INDEX(SkiftStart,3),Syklus)&lt;DagK+DagH+DagD,"D","F")))</f>
        <v/>
      </c>
      <c r="E526">
        <f>IF(B526="F",0,IF(WEEKDAY($A526,2)=5,INDEX(TimerFr,MATCH(B526,FaseKode,0)),INDEX(TimerMT,MATCH(B526,FaseKode,0))))</f>
        <v/>
      </c>
      <c r="F526">
        <f>IF(C526="F",0,IF(WEEKDAY($A526,2)=5,INDEX(TimerFr,MATCH(C526,FaseKode,0)),INDEX(TimerMT,MATCH(C526,FaseKode,0))))</f>
        <v/>
      </c>
      <c r="G526">
        <f>IF(D526="F",0,IF(WEEKDAY($A526,2)=5,INDEX(TimerFr,MATCH(D526,FaseKode,0)),INDEX(TimerMT,MATCH(D526,FaseKode,0))))</f>
        <v/>
      </c>
      <c r="H526">
        <f>IF(OR(H$4="",$A526&gt;TODAY()),0,IF(OR(INDEX($B526:$D526,H$5)="F",AND(H$6&gt;0,$A526&lt;H$6),AND(H$7&gt;0,$A526&gt;H$7)),0,MAX(0,ROUND((INDEX($E526:$G526,H$5)-SUMIFS(TF_Timer,TF_Tekniker,H$4,TF_Dato,$A526))*2,0)/2)))</f>
        <v/>
      </c>
      <c r="I526">
        <f>IF(OR(I$4="",$A526&gt;TODAY()),0,IF(OR(INDEX($B526:$D526,I$5)="F",AND(I$6&gt;0,$A526&lt;I$6),AND(I$7&gt;0,$A526&gt;I$7)),0,MAX(0,ROUND((INDEX($E526:$G526,I$5)-SUMIFS(TF_Timer,TF_Tekniker,I$4,TF_Dato,$A526))*2,0)/2)))</f>
        <v/>
      </c>
      <c r="J526">
        <f>IF(OR(J$4="",$A526&gt;TODAY()),0,IF(OR(INDEX($B526:$D526,J$5)="F",AND(J$6&gt;0,$A526&lt;J$6),AND(J$7&gt;0,$A526&gt;J$7)),0,MAX(0,ROUND((INDEX($E526:$G526,J$5)-SUMIFS(TF_Timer,TF_Tekniker,J$4,TF_Dato,$A526))*2,0)/2)))</f>
        <v/>
      </c>
      <c r="K526">
        <f>IF(OR(K$4="",$A526&gt;TODAY()),0,IF(OR(INDEX($B526:$D526,K$5)="F",AND(K$6&gt;0,$A526&lt;K$6),AND(K$7&gt;0,$A526&gt;K$7)),0,MAX(0,ROUND((INDEX($E526:$G526,K$5)-SUMIFS(TF_Timer,TF_Tekniker,K$4,TF_Dato,$A526))*2,0)/2)))</f>
        <v/>
      </c>
      <c r="L526">
        <f>IF(OR(L$4="",$A526&gt;TODAY()),0,IF(OR(INDEX($B526:$D526,L$5)="F",AND(L$6&gt;0,$A526&lt;L$6),AND(L$7&gt;0,$A526&gt;L$7)),0,MAX(0,ROUND((INDEX($E526:$G526,L$5)-SUMIFS(TF_Timer,TF_Tekniker,L$4,TF_Dato,$A526))*2,0)/2)))</f>
        <v/>
      </c>
      <c r="M526">
        <f>IF(OR(M$4="",$A526&gt;TODAY()),0,IF(OR(INDEX($B526:$D526,M$5)="F",AND(M$6&gt;0,$A526&lt;M$6),AND(M$7&gt;0,$A526&gt;M$7)),0,MAX(0,ROUND((INDEX($E526:$G526,M$5)-SUMIFS(TF_Timer,TF_Tekniker,M$4,TF_Dato,$A526))*2,0)/2)))</f>
        <v/>
      </c>
      <c r="N526">
        <f>IF(OR(N$4="",$A526&gt;TODAY()),0,IF(OR(INDEX($B526:$D526,N$5)="F",AND(N$6&gt;0,$A526&lt;N$6),AND(N$7&gt;0,$A526&gt;N$7)),0,MAX(0,ROUND((INDEX($E526:$G526,N$5)-SUMIFS(TF_Timer,TF_Tekniker,N$4,TF_Dato,$A526))*2,0)/2)))</f>
        <v/>
      </c>
      <c r="O526">
        <f>IF(OR(O$4="",$A526&gt;TODAY()),0,IF(OR(INDEX($B526:$D526,O$5)="F",AND(O$6&gt;0,$A526&lt;O$6),AND(O$7&gt;0,$A526&gt;O$7)),0,MAX(0,ROUND((INDEX($E526:$G526,O$5)-SUMIFS(TF_Timer,TF_Tekniker,O$4,TF_Dato,$A526))*2,0)/2)))</f>
        <v/>
      </c>
      <c r="P526">
        <f>IF(OR(P$4="",$A526&gt;TODAY()),0,IF(OR(INDEX($B526:$D526,P$5)="F",AND(P$6&gt;0,$A526&lt;P$6),AND(P$7&gt;0,$A526&gt;P$7)),0,MAX(0,ROUND((INDEX($E526:$G526,P$5)-SUMIFS(TF_Timer,TF_Tekniker,P$4,TF_Dato,$A526))*2,0)/2)))</f>
        <v/>
      </c>
      <c r="Q526">
        <f>IF(OR(Q$4="",$A526&gt;TODAY()),0,IF(OR(INDEX($B526:$D526,Q$5)="F",AND(Q$6&gt;0,$A526&lt;Q$6),AND(Q$7&gt;0,$A526&gt;Q$7)),0,MAX(0,ROUND((INDEX($E526:$G526,Q$5)-SUMIFS(TF_Timer,TF_Tekniker,Q$4,TF_Dato,$A526))*2,0)/2)))</f>
        <v/>
      </c>
      <c r="R526">
        <f>IF(OR(R$4="",$A526&gt;TODAY()),0,IF(OR(INDEX($B526:$D526,R$5)="F",AND(R$6&gt;0,$A526&lt;R$6),AND(R$7&gt;0,$A526&gt;R$7)),0,MAX(0,ROUND((INDEX($E526:$G526,R$5)-SUMIFS(TF_Timer,TF_Tekniker,R$4,TF_Dato,$A526))*2,0)/2)))</f>
        <v/>
      </c>
      <c r="S526">
        <f>IF(OR(S$4="",$A526&gt;TODAY()),0,IF(OR(INDEX($B526:$D526,S$5)="F",AND(S$6&gt;0,$A526&lt;S$6),AND(S$7&gt;0,$A526&gt;S$7)),0,MAX(0,ROUND((INDEX($E526:$G526,S$5)-SUMIFS(TF_Timer,TF_Tekniker,S$4,TF_Dato,$A526))*2,0)/2)))</f>
        <v/>
      </c>
      <c r="T526">
        <f>IF(OR(T$4="",$A526&gt;TODAY()),0,IF(OR(INDEX($B526:$D526,T$5)="F",AND(T$6&gt;0,$A526&lt;T$6),AND(T$7&gt;0,$A526&gt;T$7)),0,MAX(0,ROUND((INDEX($E526:$G526,T$5)-SUMIFS(TF_Timer,TF_Tekniker,T$4,TF_Dato,$A526))*2,0)/2)))</f>
        <v/>
      </c>
      <c r="U526">
        <f>IF(OR(U$4="",$A526&gt;TODAY()),0,IF(OR(INDEX($B526:$D526,U$5)="F",AND(U$6&gt;0,$A526&lt;U$6),AND(U$7&gt;0,$A526&gt;U$7)),0,MAX(0,ROUND((INDEX($E526:$G526,U$5)-SUMIFS(TF_Timer,TF_Tekniker,U$4,TF_Dato,$A526))*2,0)/2)))</f>
        <v/>
      </c>
      <c r="V526">
        <f>IF(OR(V$4="",$A526&gt;TODAY()),0,IF(OR(INDEX($B526:$D526,V$5)="F",AND(V$6&gt;0,$A526&lt;V$6),AND(V$7&gt;0,$A526&gt;V$7)),0,MAX(0,ROUND((INDEX($E526:$G526,V$5)-SUMIFS(TF_Timer,TF_Tekniker,V$4,TF_Dato,$A526))*2,0)/2)))</f>
        <v/>
      </c>
      <c r="W526">
        <f>IF(OR(W$4="",$A526&gt;TODAY()),0,IF(OR(INDEX($B526:$D526,W$5)="F",AND(W$6&gt;0,$A526&lt;W$6),AND(W$7&gt;0,$A526&gt;W$7)),0,MAX(0,ROUND((INDEX($E526:$G526,W$5)-SUMIFS(TF_Timer,TF_Tekniker,W$4,TF_Dato,$A526))*2,0)/2)))</f>
        <v/>
      </c>
      <c r="X526">
        <f>IF(OR(X$4="",$A526&gt;TODAY()),0,IF(OR(INDEX($B526:$D526,X$5)="F",AND(X$6&gt;0,$A526&lt;X$6),AND(X$7&gt;0,$A526&gt;X$7)),0,MAX(0,ROUND((INDEX($E526:$G526,X$5)-SUMIFS(TF_Timer,TF_Tekniker,X$4,TF_Dato,$A526))*2,0)/2)))</f>
        <v/>
      </c>
      <c r="Y526">
        <f>IF(OR(Y$4="",$A526&gt;TODAY()),0,IF(OR(INDEX($B526:$D526,Y$5)="F",AND(Y$6&gt;0,$A526&lt;Y$6),AND(Y$7&gt;0,$A526&gt;Y$7)),0,MAX(0,ROUND((INDEX($E526:$G526,Y$5)-SUMIFS(TF_Timer,TF_Tekniker,Y$4,TF_Dato,$A526))*2,0)/2)))</f>
        <v/>
      </c>
      <c r="Z526">
        <f>IF(OR(Z$4="",$A526&gt;TODAY()),0,IF(OR(INDEX($B526:$D526,Z$5)="F",AND(Z$6&gt;0,$A526&lt;Z$6),AND(Z$7&gt;0,$A526&gt;Z$7)),0,MAX(0,ROUND((INDEX($E526:$G526,Z$5)-SUMIFS(TF_Timer,TF_Tekniker,Z$4,TF_Dato,$A526))*2,0)/2)))</f>
        <v/>
      </c>
      <c r="AA526">
        <f>IF(OR(AA$4="",$A526&gt;TODAY()),0,IF(OR(INDEX($B526:$D526,AA$5)="F",AND(AA$6&gt;0,$A526&lt;AA$6),AND(AA$7&gt;0,$A526&gt;AA$7)),0,MAX(0,ROUND((INDEX($E526:$G526,AA$5)-SUMIFS(TF_Timer,TF_Tekniker,AA$4,TF_Dato,$A526))*2,0)/2)))</f>
        <v/>
      </c>
      <c r="AB526">
        <f>IF(OR(AB$4="",$A526&gt;TODAY()),0,IF(OR(INDEX($B526:$D526,AB$5)="F",AND(AB$6&gt;0,$A526&lt;AB$6),AND(AB$7&gt;0,$A526&gt;AB$7)),0,MAX(0,ROUND((INDEX($E526:$G526,AB$5)-SUMIFS(TF_Timer,TF_Tekniker,AB$4,TF_Dato,$A526))*2,0)/2)))</f>
        <v/>
      </c>
      <c r="AC526">
        <f>IF(OR(AC$4="",$A526&gt;TODAY()),0,IF(OR(INDEX($B526:$D526,AC$5)="F",AND(AC$6&gt;0,$A526&lt;AC$6),AND(AC$7&gt;0,$A526&gt;AC$7)),0,MAX(0,ROUND((INDEX($E526:$G526,AC$5)-SUMIFS(TF_Timer,TF_Tekniker,AC$4,TF_Dato,$A526))*2,0)/2)))</f>
        <v/>
      </c>
      <c r="AD526">
        <f>IF(OR(AD$4="",$A526&gt;TODAY()),0,IF(OR(INDEX($B526:$D526,AD$5)="F",AND(AD$6&gt;0,$A526&lt;AD$6),AND(AD$7&gt;0,$A526&gt;AD$7)),0,MAX(0,ROUND((INDEX($E526:$G526,AD$5)-SUMIFS(TF_Timer,TF_Tekniker,AD$4,TF_Dato,$A526))*2,0)/2)))</f>
        <v/>
      </c>
      <c r="AE526">
        <f>IF(OR(AE$4="",$A526&gt;TODAY()),0,IF(OR(INDEX($B526:$D526,AE$5)="F",AND(AE$6&gt;0,$A526&lt;AE$6),AND(AE$7&gt;0,$A526&gt;AE$7)),0,MAX(0,ROUND((INDEX($E526:$G526,AE$5)-SUMIFS(TF_Timer,TF_Tekniker,AE$4,TF_Dato,$A526))*2,0)/2)))</f>
        <v/>
      </c>
      <c r="AF526">
        <f>IF(OR(AF$4="",$A526&gt;TODAY()),0,IF(OR(INDEX($B526:$D526,AF$5)="F",AND(AF$6&gt;0,$A526&lt;AF$6),AND(AF$7&gt;0,$A526&gt;AF$7)),0,MAX(0,ROUND((INDEX($E526:$G526,AF$5)-SUMIFS(TF_Timer,TF_Tekniker,AF$4,TF_Dato,$A526))*2,0)/2)))</f>
        <v/>
      </c>
      <c r="AG526">
        <f>IF(OR(AG$4="",$A526&gt;TODAY()),0,IF(OR(INDEX($B526:$D526,AG$5)="F",AND(AG$6&gt;0,$A526&lt;AG$6),AND(AG$7&gt;0,$A526&gt;AG$7)),0,MAX(0,ROUND((INDEX($E526:$G526,AG$5)-SUMIFS(TF_Timer,TF_Tekniker,AG$4,TF_Dato,$A526))*2,0)/2)))</f>
        <v/>
      </c>
      <c r="AH526">
        <f>IF(OR(AH$4="",$A526&gt;TODAY()),0,IF(OR(INDEX($B526:$D526,AH$5)="F",AND(AH$6&gt;0,$A526&lt;AH$6),AND(AH$7&gt;0,$A526&gt;AH$7)),0,MAX(0,ROUND((INDEX($E526:$G526,AH$5)-SUMIFS(TF_Timer,TF_Tekniker,AH$4,TF_Dato,$A526))*2,0)/2)))</f>
        <v/>
      </c>
      <c r="AI526">
        <f>IF(OR(AI$4="",$A526&gt;TODAY()),0,IF(OR(INDEX($B526:$D526,AI$5)="F",AND(AI$6&gt;0,$A526&lt;AI$6),AND(AI$7&gt;0,$A526&gt;AI$7)),0,MAX(0,ROUND((INDEX($E526:$G526,AI$5)-SUMIFS(TF_Timer,TF_Tekniker,AI$4,TF_Dato,$A526))*2,0)/2)))</f>
        <v/>
      </c>
      <c r="AJ526">
        <f>IF(OR(AJ$4="",$A526&gt;TODAY()),0,IF(OR(INDEX($B526:$D526,AJ$5)="F",AND(AJ$6&gt;0,$A526&lt;AJ$6),AND(AJ$7&gt;0,$A526&gt;AJ$7)),0,MAX(0,ROUND((INDEX($E526:$G526,AJ$5)-SUMIFS(TF_Timer,TF_Tekniker,AJ$4,TF_Dato,$A526))*2,0)/2)))</f>
        <v/>
      </c>
      <c r="AK526">
        <f>IF(OR(AK$4="",$A526&gt;TODAY()),0,IF(OR(INDEX($B526:$D526,AK$5)="F",AND(AK$6&gt;0,$A526&lt;AK$6),AND(AK$7&gt;0,$A526&gt;AK$7)),0,MAX(0,ROUND((INDEX($E526:$G526,AK$5)-SUMIFS(TF_Timer,TF_Tekniker,AK$4,TF_Dato,$A526))*2,0)/2)))</f>
        <v/>
      </c>
      <c r="AL526">
        <f>IF(OR(AL$4="",$A526&gt;TODAY()),0,IF(OR(INDEX($B526:$D526,AL$5)="F",AND(AL$6&gt;0,$A526&lt;AL$6),AND(AL$7&gt;0,$A526&gt;AL$7)),0,MAX(0,ROUND((INDEX($E526:$G526,AL$5)-SUMIFS(TF_Timer,TF_Tekniker,AL$4,TF_Dato,$A526))*2,0)/2)))</f>
        <v/>
      </c>
      <c r="AM526">
        <f>IF(OR(AM$4="",$A526&gt;TODAY()),0,IF(OR(INDEX($B526:$D526,AM$5)="F",AND(AM$6&gt;0,$A526&lt;AM$6),AND(AM$7&gt;0,$A526&gt;AM$7)),0,MAX(0,ROUND((INDEX($E526:$G526,AM$5)-SUMIFS(TF_Timer,TF_Tekniker,AM$4,TF_Dato,$A526))*2,0)/2)))</f>
        <v/>
      </c>
      <c r="AN526">
        <f>IF(OR(AN$4="",$A526&gt;TODAY()),0,IF(OR(INDEX($B526:$D526,AN$5)="F",AND(AN$6&gt;0,$A526&lt;AN$6),AND(AN$7&gt;0,$A526&gt;AN$7)),0,MAX(0,ROUND((INDEX($E526:$G526,AN$5)-SUMIFS(TF_Timer,TF_Tekniker,AN$4,TF_Dato,$A526))*2,0)/2)))</f>
        <v/>
      </c>
      <c r="AO526">
        <f>IF(OR(AO$4="",$A526&gt;TODAY()),0,IF(OR(INDEX($B526:$D526,AO$5)="F",AND(AO$6&gt;0,$A526&lt;AO$6),AND(AO$7&gt;0,$A526&gt;AO$7)),0,MAX(0,ROUND((INDEX($E526:$G526,AO$5)-SUMIFS(TF_Timer,TF_Tekniker,AO$4,TF_Dato,$A526))*2,0)/2)))</f>
        <v/>
      </c>
      <c r="AP526">
        <f>IF(OR(AP$4="",$A526&gt;TODAY()),0,IF(OR(INDEX($B526:$D526,AP$5)="F",AND(AP$6&gt;0,$A526&lt;AP$6),AND(AP$7&gt;0,$A526&gt;AP$7)),0,MAX(0,ROUND((INDEX($E526:$G526,AP$5)-SUMIFS(TF_Timer,TF_Tekniker,AP$4,TF_Dato,$A526))*2,0)/2)))</f>
        <v/>
      </c>
      <c r="AQ526">
        <f>IF(OR(AQ$4="",$A526&gt;TODAY()),0,IF(OR(INDEX($B526:$D526,AQ$5)="F",AND(AQ$6&gt;0,$A526&lt;AQ$6),AND(AQ$7&gt;0,$A526&gt;AQ$7)),0,MAX(0,ROUND((INDEX($E526:$G526,AQ$5)-SUMIFS(TF_Timer,TF_Tekniker,AQ$4,TF_Dato,$A526))*2,0)/2)))</f>
        <v/>
      </c>
      <c r="AR526">
        <f>IF(OR(AR$4="",$A526&gt;TODAY()),0,IF(OR(INDEX($B526:$D526,AR$5)="F",AND(AR$6&gt;0,$A526&lt;AR$6),AND(AR$7&gt;0,$A526&gt;AR$7)),0,MAX(0,ROUND((INDEX($E526:$G526,AR$5)-SUMIFS(TF_Timer,TF_Tekniker,AR$4,TF_Dato,$A526))*2,0)/2)))</f>
        <v/>
      </c>
      <c r="AS526">
        <f>IF(OR(AS$4="",$A526&gt;TODAY()),0,IF(OR(INDEX($B526:$D526,AS$5)="F",AND(AS$6&gt;0,$A526&lt;AS$6),AND(AS$7&gt;0,$A526&gt;AS$7)),0,MAX(0,ROUND((INDEX($E526:$G526,AS$5)-SUMIFS(TF_Timer,TF_Tekniker,AS$4,TF_Dato,$A526))*2,0)/2)))</f>
        <v/>
      </c>
      <c r="AT526">
        <f>IF(OR(AT$4="",$A526&gt;TODAY()),0,IF(OR(INDEX($B526:$D526,AT$5)="F",AND(AT$6&gt;0,$A526&lt;AT$6),AND(AT$7&gt;0,$A526&gt;AT$7)),0,MAX(0,ROUND((INDEX($E526:$G526,AT$5)-SUMIFS(TF_Timer,TF_Tekniker,AT$4,TF_Dato,$A526))*2,0)/2)))</f>
        <v/>
      </c>
      <c r="AU526">
        <f>IF(OR(AU$4="",$A526&gt;TODAY()),0,IF(OR(INDEX($B526:$D526,AU$5)="F",AND(AU$6&gt;0,$A526&lt;AU$6),AND(AU$7&gt;0,$A526&gt;AU$7)),0,MAX(0,ROUND((INDEX($E526:$G526,AU$5)-SUMIFS(TF_Timer,TF_Tekniker,AU$4,TF_Dato,$A526))*2,0)/2)))</f>
        <v/>
      </c>
      <c r="AV526">
        <f>IF(OR(AV$4="",$A526&gt;TODAY()),0,IF(OR(INDEX($B526:$D526,AV$5)="F",AND(AV$6&gt;0,$A526&lt;AV$6),AND(AV$7&gt;0,$A526&gt;AV$7)),0,MAX(0,ROUND((INDEX($E526:$G526,AV$5)-SUMIFS(TF_Timer,TF_Tekniker,AV$4,TF_Dato,$A526))*2,0)/2)))</f>
        <v/>
      </c>
      <c r="AW526">
        <f>IF(OR(AW$4="",$A526&gt;TODAY()),0,IF(OR(INDEX($B526:$D526,AW$5)="F",AND(AW$6&gt;0,$A526&lt;AW$6),AND(AW$7&gt;0,$A526&gt;AW$7)),0,MAX(0,ROUND((INDEX($E526:$G526,AW$5)-SUMIFS(TF_Timer,TF_Tekniker,AW$4,TF_Dato,$A526))*2,0)/2)))</f>
        <v/>
      </c>
      <c r="AX526">
        <f>IF(OR(AX$4="",$A526&gt;TODAY()),0,IF(OR(INDEX($B526:$D526,AX$5)="F",AND(AX$6&gt;0,$A526&lt;AX$6),AND(AX$7&gt;0,$A526&gt;AX$7)),0,MAX(0,ROUND((INDEX($E526:$G526,AX$5)-SUMIFS(TF_Timer,TF_Tekniker,AX$4,TF_Dato,$A526))*2,0)/2)))</f>
        <v/>
      </c>
      <c r="AY526">
        <f>IF(OR(AY$4="",$A526&gt;TODAY()),0,IF(OR(INDEX($B526:$D526,AY$5)="F",AND(AY$6&gt;0,$A526&lt;AY$6),AND(AY$7&gt;0,$A526&gt;AY$7)),0,MAX(0,ROUND((INDEX($E526:$G526,AY$5)-SUMIFS(TF_Timer,TF_Tekniker,AY$4,TF_Dato,$A526))*2,0)/2)))</f>
        <v/>
      </c>
      <c r="AZ526">
        <f>IF(OR(AZ$4="",$A526&gt;TODAY()),0,IF(OR(INDEX($B526:$D526,AZ$5)="F",AND(AZ$6&gt;0,$A526&lt;AZ$6),AND(AZ$7&gt;0,$A526&gt;AZ$7)),0,MAX(0,ROUND((INDEX($E526:$G526,AZ$5)-SUMIFS(TF_Timer,TF_Tekniker,AZ$4,TF_Dato,$A526))*2,0)/2)))</f>
        <v/>
      </c>
      <c r="BA526">
        <f>IF(OR(BA$4="",$A526&gt;TODAY()),0,IF(OR(INDEX($B526:$D526,BA$5)="F",AND(BA$6&gt;0,$A526&lt;BA$6),AND(BA$7&gt;0,$A526&gt;BA$7)),0,MAX(0,ROUND((INDEX($E526:$G526,BA$5)-SUMIFS(TF_Timer,TF_Tekniker,BA$4,TF_Dato,$A526))*2,0)/2)))</f>
        <v/>
      </c>
      <c r="BB526">
        <f>IF(OR(BB$4="",$A526&gt;TODAY()),0,IF(OR(INDEX($B526:$D526,BB$5)="F",AND(BB$6&gt;0,$A526&lt;BB$6),AND(BB$7&gt;0,$A526&gt;BB$7)),0,MAX(0,ROUND((INDEX($E526:$G526,BB$5)-SUMIFS(TF_Timer,TF_Tekniker,BB$4,TF_Dato,$A526))*2,0)/2)))</f>
        <v/>
      </c>
      <c r="BC526">
        <f>IF(OR(BC$4="",$A526&gt;TODAY()),0,IF(OR(INDEX($B526:$D526,BC$5)="F",AND(BC$6&gt;0,$A526&lt;BC$6),AND(BC$7&gt;0,$A526&gt;BC$7)),0,MAX(0,ROUND((INDEX($E526:$G526,BC$5)-SUMIFS(TF_Timer,TF_Tekniker,BC$4,TF_Dato,$A526))*2,0)/2)))</f>
        <v/>
      </c>
      <c r="BD526">
        <f>IF(OR(BD$4="",$A526&gt;TODAY()),0,IF(OR(INDEX($B526:$D526,BD$5)="F",AND(BD$6&gt;0,$A526&lt;BD$6),AND(BD$7&gt;0,$A526&gt;BD$7)),0,MAX(0,ROUND((INDEX($E526:$G526,BD$5)-SUMIFS(TF_Timer,TF_Tekniker,BD$4,TF_Dato,$A526))*2,0)/2)))</f>
        <v/>
      </c>
      <c r="BE526">
        <f>IF(OR(BE$4="",$A526&gt;TODAY()),0,IF(OR(INDEX($B526:$D526,BE$5)="F",AND(BE$6&gt;0,$A526&lt;BE$6),AND(BE$7&gt;0,$A526&gt;BE$7)),0,MAX(0,ROUND((INDEX($E526:$G526,BE$5)-SUMIFS(TF_Timer,TF_Tekniker,BE$4,TF_Dato,$A526))*2,0)/2)))</f>
        <v/>
      </c>
      <c r="BF526">
        <f>IF(OR(BF$4="",$A526&gt;TODAY()),0,IF(OR(INDEX($B526:$D526,BF$5)="F",AND(BF$6&gt;0,$A526&lt;BF$6),AND(BF$7&gt;0,$A526&gt;BF$7)),0,MAX(0,ROUND((INDEX($E526:$G526,BF$5)-SUMIFS(TF_Timer,TF_Tekniker,BF$4,TF_Dato,$A526))*2,0)/2)))</f>
        <v/>
      </c>
      <c r="BG526">
        <f>IF(OR(BG$4="",$A526&gt;TODAY()),0,IF(OR(INDEX($B526:$D526,BG$5)="F",AND(BG$6&gt;0,$A526&lt;BG$6),AND(BG$7&gt;0,$A526&gt;BG$7)),0,MAX(0,ROUND((INDEX($E526:$G526,BG$5)-SUMIFS(TF_Timer,TF_Tekniker,BG$4,TF_Dato,$A526))*2,0)/2)))</f>
        <v/>
      </c>
      <c r="BH526">
        <f>IF(OR(BH$4="",$A526&gt;TODAY()),0,IF(OR(INDEX($B526:$D526,BH$5)="F",AND(BH$6&gt;0,$A526&lt;BH$6),AND(BH$7&gt;0,$A526&gt;BH$7)),0,MAX(0,ROUND((INDEX($E526:$G526,BH$5)-SUMIFS(TF_Timer,TF_Tekniker,BH$4,TF_Dato,$A526))*2,0)/2)))</f>
        <v/>
      </c>
      <c r="BI526">
        <f>IF(OR(BI$4="",$A526&gt;TODAY()),0,IF(OR(INDEX($B526:$D526,BI$5)="F",AND(BI$6&gt;0,$A526&lt;BI$6),AND(BI$7&gt;0,$A526&gt;BI$7)),0,MAX(0,ROUND((INDEX($E526:$G526,BI$5)-SUMIFS(TF_Timer,TF_Tekniker,BI$4,TF_Dato,$A526))*2,0)/2)))</f>
        <v/>
      </c>
    </row>
    <row r="527">
      <c r="A527" s="64">
        <f>A526+1</f>
        <v/>
      </c>
      <c r="B527">
        <f>IF(MOD($A527-INDEX(SkiftStart,1),Syklus)&lt;DagK,"K",IF(MOD($A527-INDEX(SkiftStart,1),Syklus)&lt;DagK+DagH,"H",IF(MOD($A527-INDEX(SkiftStart,1),Syklus)&lt;DagK+DagH+DagD,"D","F")))</f>
        <v/>
      </c>
      <c r="C527">
        <f>IF(MOD($A527-INDEX(SkiftStart,2),Syklus)&lt;DagK,"K",IF(MOD($A527-INDEX(SkiftStart,2),Syklus)&lt;DagK+DagH,"H",IF(MOD($A527-INDEX(SkiftStart,2),Syklus)&lt;DagK+DagH+DagD,"D","F")))</f>
        <v/>
      </c>
      <c r="D527">
        <f>IF(MOD($A527-INDEX(SkiftStart,3),Syklus)&lt;DagK,"K",IF(MOD($A527-INDEX(SkiftStart,3),Syklus)&lt;DagK+DagH,"H",IF(MOD($A527-INDEX(SkiftStart,3),Syklus)&lt;DagK+DagH+DagD,"D","F")))</f>
        <v/>
      </c>
      <c r="E527">
        <f>IF(B527="F",0,IF(WEEKDAY($A527,2)=5,INDEX(TimerFr,MATCH(B527,FaseKode,0)),INDEX(TimerMT,MATCH(B527,FaseKode,0))))</f>
        <v/>
      </c>
      <c r="F527">
        <f>IF(C527="F",0,IF(WEEKDAY($A527,2)=5,INDEX(TimerFr,MATCH(C527,FaseKode,0)),INDEX(TimerMT,MATCH(C527,FaseKode,0))))</f>
        <v/>
      </c>
      <c r="G527">
        <f>IF(D527="F",0,IF(WEEKDAY($A527,2)=5,INDEX(TimerFr,MATCH(D527,FaseKode,0)),INDEX(TimerMT,MATCH(D527,FaseKode,0))))</f>
        <v/>
      </c>
      <c r="H527">
        <f>IF(OR(H$4="",$A527&gt;TODAY()),0,IF(OR(INDEX($B527:$D527,H$5)="F",AND(H$6&gt;0,$A527&lt;H$6),AND(H$7&gt;0,$A527&gt;H$7)),0,MAX(0,ROUND((INDEX($E527:$G527,H$5)-SUMIFS(TF_Timer,TF_Tekniker,H$4,TF_Dato,$A527))*2,0)/2)))</f>
        <v/>
      </c>
      <c r="I527">
        <f>IF(OR(I$4="",$A527&gt;TODAY()),0,IF(OR(INDEX($B527:$D527,I$5)="F",AND(I$6&gt;0,$A527&lt;I$6),AND(I$7&gt;0,$A527&gt;I$7)),0,MAX(0,ROUND((INDEX($E527:$G527,I$5)-SUMIFS(TF_Timer,TF_Tekniker,I$4,TF_Dato,$A527))*2,0)/2)))</f>
        <v/>
      </c>
      <c r="J527">
        <f>IF(OR(J$4="",$A527&gt;TODAY()),0,IF(OR(INDEX($B527:$D527,J$5)="F",AND(J$6&gt;0,$A527&lt;J$6),AND(J$7&gt;0,$A527&gt;J$7)),0,MAX(0,ROUND((INDEX($E527:$G527,J$5)-SUMIFS(TF_Timer,TF_Tekniker,J$4,TF_Dato,$A527))*2,0)/2)))</f>
        <v/>
      </c>
      <c r="K527">
        <f>IF(OR(K$4="",$A527&gt;TODAY()),0,IF(OR(INDEX($B527:$D527,K$5)="F",AND(K$6&gt;0,$A527&lt;K$6),AND(K$7&gt;0,$A527&gt;K$7)),0,MAX(0,ROUND((INDEX($E527:$G527,K$5)-SUMIFS(TF_Timer,TF_Tekniker,K$4,TF_Dato,$A527))*2,0)/2)))</f>
        <v/>
      </c>
      <c r="L527">
        <f>IF(OR(L$4="",$A527&gt;TODAY()),0,IF(OR(INDEX($B527:$D527,L$5)="F",AND(L$6&gt;0,$A527&lt;L$6),AND(L$7&gt;0,$A527&gt;L$7)),0,MAX(0,ROUND((INDEX($E527:$G527,L$5)-SUMIFS(TF_Timer,TF_Tekniker,L$4,TF_Dato,$A527))*2,0)/2)))</f>
        <v/>
      </c>
      <c r="M527">
        <f>IF(OR(M$4="",$A527&gt;TODAY()),0,IF(OR(INDEX($B527:$D527,M$5)="F",AND(M$6&gt;0,$A527&lt;M$6),AND(M$7&gt;0,$A527&gt;M$7)),0,MAX(0,ROUND((INDEX($E527:$G527,M$5)-SUMIFS(TF_Timer,TF_Tekniker,M$4,TF_Dato,$A527))*2,0)/2)))</f>
        <v/>
      </c>
      <c r="N527">
        <f>IF(OR(N$4="",$A527&gt;TODAY()),0,IF(OR(INDEX($B527:$D527,N$5)="F",AND(N$6&gt;0,$A527&lt;N$6),AND(N$7&gt;0,$A527&gt;N$7)),0,MAX(0,ROUND((INDEX($E527:$G527,N$5)-SUMIFS(TF_Timer,TF_Tekniker,N$4,TF_Dato,$A527))*2,0)/2)))</f>
        <v/>
      </c>
      <c r="O527">
        <f>IF(OR(O$4="",$A527&gt;TODAY()),0,IF(OR(INDEX($B527:$D527,O$5)="F",AND(O$6&gt;0,$A527&lt;O$6),AND(O$7&gt;0,$A527&gt;O$7)),0,MAX(0,ROUND((INDEX($E527:$G527,O$5)-SUMIFS(TF_Timer,TF_Tekniker,O$4,TF_Dato,$A527))*2,0)/2)))</f>
        <v/>
      </c>
      <c r="P527">
        <f>IF(OR(P$4="",$A527&gt;TODAY()),0,IF(OR(INDEX($B527:$D527,P$5)="F",AND(P$6&gt;0,$A527&lt;P$6),AND(P$7&gt;0,$A527&gt;P$7)),0,MAX(0,ROUND((INDEX($E527:$G527,P$5)-SUMIFS(TF_Timer,TF_Tekniker,P$4,TF_Dato,$A527))*2,0)/2)))</f>
        <v/>
      </c>
      <c r="Q527">
        <f>IF(OR(Q$4="",$A527&gt;TODAY()),0,IF(OR(INDEX($B527:$D527,Q$5)="F",AND(Q$6&gt;0,$A527&lt;Q$6),AND(Q$7&gt;0,$A527&gt;Q$7)),0,MAX(0,ROUND((INDEX($E527:$G527,Q$5)-SUMIFS(TF_Timer,TF_Tekniker,Q$4,TF_Dato,$A527))*2,0)/2)))</f>
        <v/>
      </c>
      <c r="R527">
        <f>IF(OR(R$4="",$A527&gt;TODAY()),0,IF(OR(INDEX($B527:$D527,R$5)="F",AND(R$6&gt;0,$A527&lt;R$6),AND(R$7&gt;0,$A527&gt;R$7)),0,MAX(0,ROUND((INDEX($E527:$G527,R$5)-SUMIFS(TF_Timer,TF_Tekniker,R$4,TF_Dato,$A527))*2,0)/2)))</f>
        <v/>
      </c>
      <c r="S527">
        <f>IF(OR(S$4="",$A527&gt;TODAY()),0,IF(OR(INDEX($B527:$D527,S$5)="F",AND(S$6&gt;0,$A527&lt;S$6),AND(S$7&gt;0,$A527&gt;S$7)),0,MAX(0,ROUND((INDEX($E527:$G527,S$5)-SUMIFS(TF_Timer,TF_Tekniker,S$4,TF_Dato,$A527))*2,0)/2)))</f>
        <v/>
      </c>
      <c r="T527">
        <f>IF(OR(T$4="",$A527&gt;TODAY()),0,IF(OR(INDEX($B527:$D527,T$5)="F",AND(T$6&gt;0,$A527&lt;T$6),AND(T$7&gt;0,$A527&gt;T$7)),0,MAX(0,ROUND((INDEX($E527:$G527,T$5)-SUMIFS(TF_Timer,TF_Tekniker,T$4,TF_Dato,$A527))*2,0)/2)))</f>
        <v/>
      </c>
      <c r="U527">
        <f>IF(OR(U$4="",$A527&gt;TODAY()),0,IF(OR(INDEX($B527:$D527,U$5)="F",AND(U$6&gt;0,$A527&lt;U$6),AND(U$7&gt;0,$A527&gt;U$7)),0,MAX(0,ROUND((INDEX($E527:$G527,U$5)-SUMIFS(TF_Timer,TF_Tekniker,U$4,TF_Dato,$A527))*2,0)/2)))</f>
        <v/>
      </c>
      <c r="V527">
        <f>IF(OR(V$4="",$A527&gt;TODAY()),0,IF(OR(INDEX($B527:$D527,V$5)="F",AND(V$6&gt;0,$A527&lt;V$6),AND(V$7&gt;0,$A527&gt;V$7)),0,MAX(0,ROUND((INDEX($E527:$G527,V$5)-SUMIFS(TF_Timer,TF_Tekniker,V$4,TF_Dato,$A527))*2,0)/2)))</f>
        <v/>
      </c>
      <c r="W527">
        <f>IF(OR(W$4="",$A527&gt;TODAY()),0,IF(OR(INDEX($B527:$D527,W$5)="F",AND(W$6&gt;0,$A527&lt;W$6),AND(W$7&gt;0,$A527&gt;W$7)),0,MAX(0,ROUND((INDEX($E527:$G527,W$5)-SUMIFS(TF_Timer,TF_Tekniker,W$4,TF_Dato,$A527))*2,0)/2)))</f>
        <v/>
      </c>
      <c r="X527">
        <f>IF(OR(X$4="",$A527&gt;TODAY()),0,IF(OR(INDEX($B527:$D527,X$5)="F",AND(X$6&gt;0,$A527&lt;X$6),AND(X$7&gt;0,$A527&gt;X$7)),0,MAX(0,ROUND((INDEX($E527:$G527,X$5)-SUMIFS(TF_Timer,TF_Tekniker,X$4,TF_Dato,$A527))*2,0)/2)))</f>
        <v/>
      </c>
      <c r="Y527">
        <f>IF(OR(Y$4="",$A527&gt;TODAY()),0,IF(OR(INDEX($B527:$D527,Y$5)="F",AND(Y$6&gt;0,$A527&lt;Y$6),AND(Y$7&gt;0,$A527&gt;Y$7)),0,MAX(0,ROUND((INDEX($E527:$G527,Y$5)-SUMIFS(TF_Timer,TF_Tekniker,Y$4,TF_Dato,$A527))*2,0)/2)))</f>
        <v/>
      </c>
      <c r="Z527">
        <f>IF(OR(Z$4="",$A527&gt;TODAY()),0,IF(OR(INDEX($B527:$D527,Z$5)="F",AND(Z$6&gt;0,$A527&lt;Z$6),AND(Z$7&gt;0,$A527&gt;Z$7)),0,MAX(0,ROUND((INDEX($E527:$G527,Z$5)-SUMIFS(TF_Timer,TF_Tekniker,Z$4,TF_Dato,$A527))*2,0)/2)))</f>
        <v/>
      </c>
      <c r="AA527">
        <f>IF(OR(AA$4="",$A527&gt;TODAY()),0,IF(OR(INDEX($B527:$D527,AA$5)="F",AND(AA$6&gt;0,$A527&lt;AA$6),AND(AA$7&gt;0,$A527&gt;AA$7)),0,MAX(0,ROUND((INDEX($E527:$G527,AA$5)-SUMIFS(TF_Timer,TF_Tekniker,AA$4,TF_Dato,$A527))*2,0)/2)))</f>
        <v/>
      </c>
      <c r="AB527">
        <f>IF(OR(AB$4="",$A527&gt;TODAY()),0,IF(OR(INDEX($B527:$D527,AB$5)="F",AND(AB$6&gt;0,$A527&lt;AB$6),AND(AB$7&gt;0,$A527&gt;AB$7)),0,MAX(0,ROUND((INDEX($E527:$G527,AB$5)-SUMIFS(TF_Timer,TF_Tekniker,AB$4,TF_Dato,$A527))*2,0)/2)))</f>
        <v/>
      </c>
      <c r="AC527">
        <f>IF(OR(AC$4="",$A527&gt;TODAY()),0,IF(OR(INDEX($B527:$D527,AC$5)="F",AND(AC$6&gt;0,$A527&lt;AC$6),AND(AC$7&gt;0,$A527&gt;AC$7)),0,MAX(0,ROUND((INDEX($E527:$G527,AC$5)-SUMIFS(TF_Timer,TF_Tekniker,AC$4,TF_Dato,$A527))*2,0)/2)))</f>
        <v/>
      </c>
      <c r="AD527">
        <f>IF(OR(AD$4="",$A527&gt;TODAY()),0,IF(OR(INDEX($B527:$D527,AD$5)="F",AND(AD$6&gt;0,$A527&lt;AD$6),AND(AD$7&gt;0,$A527&gt;AD$7)),0,MAX(0,ROUND((INDEX($E527:$G527,AD$5)-SUMIFS(TF_Timer,TF_Tekniker,AD$4,TF_Dato,$A527))*2,0)/2)))</f>
        <v/>
      </c>
      <c r="AE527">
        <f>IF(OR(AE$4="",$A527&gt;TODAY()),0,IF(OR(INDEX($B527:$D527,AE$5)="F",AND(AE$6&gt;0,$A527&lt;AE$6),AND(AE$7&gt;0,$A527&gt;AE$7)),0,MAX(0,ROUND((INDEX($E527:$G527,AE$5)-SUMIFS(TF_Timer,TF_Tekniker,AE$4,TF_Dato,$A527))*2,0)/2)))</f>
        <v/>
      </c>
      <c r="AF527">
        <f>IF(OR(AF$4="",$A527&gt;TODAY()),0,IF(OR(INDEX($B527:$D527,AF$5)="F",AND(AF$6&gt;0,$A527&lt;AF$6),AND(AF$7&gt;0,$A527&gt;AF$7)),0,MAX(0,ROUND((INDEX($E527:$G527,AF$5)-SUMIFS(TF_Timer,TF_Tekniker,AF$4,TF_Dato,$A527))*2,0)/2)))</f>
        <v/>
      </c>
      <c r="AG527">
        <f>IF(OR(AG$4="",$A527&gt;TODAY()),0,IF(OR(INDEX($B527:$D527,AG$5)="F",AND(AG$6&gt;0,$A527&lt;AG$6),AND(AG$7&gt;0,$A527&gt;AG$7)),0,MAX(0,ROUND((INDEX($E527:$G527,AG$5)-SUMIFS(TF_Timer,TF_Tekniker,AG$4,TF_Dato,$A527))*2,0)/2)))</f>
        <v/>
      </c>
      <c r="AH527">
        <f>IF(OR(AH$4="",$A527&gt;TODAY()),0,IF(OR(INDEX($B527:$D527,AH$5)="F",AND(AH$6&gt;0,$A527&lt;AH$6),AND(AH$7&gt;0,$A527&gt;AH$7)),0,MAX(0,ROUND((INDEX($E527:$G527,AH$5)-SUMIFS(TF_Timer,TF_Tekniker,AH$4,TF_Dato,$A527))*2,0)/2)))</f>
        <v/>
      </c>
      <c r="AI527">
        <f>IF(OR(AI$4="",$A527&gt;TODAY()),0,IF(OR(INDEX($B527:$D527,AI$5)="F",AND(AI$6&gt;0,$A527&lt;AI$6),AND(AI$7&gt;0,$A527&gt;AI$7)),0,MAX(0,ROUND((INDEX($E527:$G527,AI$5)-SUMIFS(TF_Timer,TF_Tekniker,AI$4,TF_Dato,$A527))*2,0)/2)))</f>
        <v/>
      </c>
      <c r="AJ527">
        <f>IF(OR(AJ$4="",$A527&gt;TODAY()),0,IF(OR(INDEX($B527:$D527,AJ$5)="F",AND(AJ$6&gt;0,$A527&lt;AJ$6),AND(AJ$7&gt;0,$A527&gt;AJ$7)),0,MAX(0,ROUND((INDEX($E527:$G527,AJ$5)-SUMIFS(TF_Timer,TF_Tekniker,AJ$4,TF_Dato,$A527))*2,0)/2)))</f>
        <v/>
      </c>
      <c r="AK527">
        <f>IF(OR(AK$4="",$A527&gt;TODAY()),0,IF(OR(INDEX($B527:$D527,AK$5)="F",AND(AK$6&gt;0,$A527&lt;AK$6),AND(AK$7&gt;0,$A527&gt;AK$7)),0,MAX(0,ROUND((INDEX($E527:$G527,AK$5)-SUMIFS(TF_Timer,TF_Tekniker,AK$4,TF_Dato,$A527))*2,0)/2)))</f>
        <v/>
      </c>
      <c r="AL527">
        <f>IF(OR(AL$4="",$A527&gt;TODAY()),0,IF(OR(INDEX($B527:$D527,AL$5)="F",AND(AL$6&gt;0,$A527&lt;AL$6),AND(AL$7&gt;0,$A527&gt;AL$7)),0,MAX(0,ROUND((INDEX($E527:$G527,AL$5)-SUMIFS(TF_Timer,TF_Tekniker,AL$4,TF_Dato,$A527))*2,0)/2)))</f>
        <v/>
      </c>
      <c r="AM527">
        <f>IF(OR(AM$4="",$A527&gt;TODAY()),0,IF(OR(INDEX($B527:$D527,AM$5)="F",AND(AM$6&gt;0,$A527&lt;AM$6),AND(AM$7&gt;0,$A527&gt;AM$7)),0,MAX(0,ROUND((INDEX($E527:$G527,AM$5)-SUMIFS(TF_Timer,TF_Tekniker,AM$4,TF_Dato,$A527))*2,0)/2)))</f>
        <v/>
      </c>
      <c r="AN527">
        <f>IF(OR(AN$4="",$A527&gt;TODAY()),0,IF(OR(INDEX($B527:$D527,AN$5)="F",AND(AN$6&gt;0,$A527&lt;AN$6),AND(AN$7&gt;0,$A527&gt;AN$7)),0,MAX(0,ROUND((INDEX($E527:$G527,AN$5)-SUMIFS(TF_Timer,TF_Tekniker,AN$4,TF_Dato,$A527))*2,0)/2)))</f>
        <v/>
      </c>
      <c r="AO527">
        <f>IF(OR(AO$4="",$A527&gt;TODAY()),0,IF(OR(INDEX($B527:$D527,AO$5)="F",AND(AO$6&gt;0,$A527&lt;AO$6),AND(AO$7&gt;0,$A527&gt;AO$7)),0,MAX(0,ROUND((INDEX($E527:$G527,AO$5)-SUMIFS(TF_Timer,TF_Tekniker,AO$4,TF_Dato,$A527))*2,0)/2)))</f>
        <v/>
      </c>
      <c r="AP527">
        <f>IF(OR(AP$4="",$A527&gt;TODAY()),0,IF(OR(INDEX($B527:$D527,AP$5)="F",AND(AP$6&gt;0,$A527&lt;AP$6),AND(AP$7&gt;0,$A527&gt;AP$7)),0,MAX(0,ROUND((INDEX($E527:$G527,AP$5)-SUMIFS(TF_Timer,TF_Tekniker,AP$4,TF_Dato,$A527))*2,0)/2)))</f>
        <v/>
      </c>
      <c r="AQ527">
        <f>IF(OR(AQ$4="",$A527&gt;TODAY()),0,IF(OR(INDEX($B527:$D527,AQ$5)="F",AND(AQ$6&gt;0,$A527&lt;AQ$6),AND(AQ$7&gt;0,$A527&gt;AQ$7)),0,MAX(0,ROUND((INDEX($E527:$G527,AQ$5)-SUMIFS(TF_Timer,TF_Tekniker,AQ$4,TF_Dato,$A527))*2,0)/2)))</f>
        <v/>
      </c>
      <c r="AR527">
        <f>IF(OR(AR$4="",$A527&gt;TODAY()),0,IF(OR(INDEX($B527:$D527,AR$5)="F",AND(AR$6&gt;0,$A527&lt;AR$6),AND(AR$7&gt;0,$A527&gt;AR$7)),0,MAX(0,ROUND((INDEX($E527:$G527,AR$5)-SUMIFS(TF_Timer,TF_Tekniker,AR$4,TF_Dato,$A527))*2,0)/2)))</f>
        <v/>
      </c>
      <c r="AS527">
        <f>IF(OR(AS$4="",$A527&gt;TODAY()),0,IF(OR(INDEX($B527:$D527,AS$5)="F",AND(AS$6&gt;0,$A527&lt;AS$6),AND(AS$7&gt;0,$A527&gt;AS$7)),0,MAX(0,ROUND((INDEX($E527:$G527,AS$5)-SUMIFS(TF_Timer,TF_Tekniker,AS$4,TF_Dato,$A527))*2,0)/2)))</f>
        <v/>
      </c>
      <c r="AT527">
        <f>IF(OR(AT$4="",$A527&gt;TODAY()),0,IF(OR(INDEX($B527:$D527,AT$5)="F",AND(AT$6&gt;0,$A527&lt;AT$6),AND(AT$7&gt;0,$A527&gt;AT$7)),0,MAX(0,ROUND((INDEX($E527:$G527,AT$5)-SUMIFS(TF_Timer,TF_Tekniker,AT$4,TF_Dato,$A527))*2,0)/2)))</f>
        <v/>
      </c>
      <c r="AU527">
        <f>IF(OR(AU$4="",$A527&gt;TODAY()),0,IF(OR(INDEX($B527:$D527,AU$5)="F",AND(AU$6&gt;0,$A527&lt;AU$6),AND(AU$7&gt;0,$A527&gt;AU$7)),0,MAX(0,ROUND((INDEX($E527:$G527,AU$5)-SUMIFS(TF_Timer,TF_Tekniker,AU$4,TF_Dato,$A527))*2,0)/2)))</f>
        <v/>
      </c>
      <c r="AV527">
        <f>IF(OR(AV$4="",$A527&gt;TODAY()),0,IF(OR(INDEX($B527:$D527,AV$5)="F",AND(AV$6&gt;0,$A527&lt;AV$6),AND(AV$7&gt;0,$A527&gt;AV$7)),0,MAX(0,ROUND((INDEX($E527:$G527,AV$5)-SUMIFS(TF_Timer,TF_Tekniker,AV$4,TF_Dato,$A527))*2,0)/2)))</f>
        <v/>
      </c>
      <c r="AW527">
        <f>IF(OR(AW$4="",$A527&gt;TODAY()),0,IF(OR(INDEX($B527:$D527,AW$5)="F",AND(AW$6&gt;0,$A527&lt;AW$6),AND(AW$7&gt;0,$A527&gt;AW$7)),0,MAX(0,ROUND((INDEX($E527:$G527,AW$5)-SUMIFS(TF_Timer,TF_Tekniker,AW$4,TF_Dato,$A527))*2,0)/2)))</f>
        <v/>
      </c>
      <c r="AX527">
        <f>IF(OR(AX$4="",$A527&gt;TODAY()),0,IF(OR(INDEX($B527:$D527,AX$5)="F",AND(AX$6&gt;0,$A527&lt;AX$6),AND(AX$7&gt;0,$A527&gt;AX$7)),0,MAX(0,ROUND((INDEX($E527:$G527,AX$5)-SUMIFS(TF_Timer,TF_Tekniker,AX$4,TF_Dato,$A527))*2,0)/2)))</f>
        <v/>
      </c>
      <c r="AY527">
        <f>IF(OR(AY$4="",$A527&gt;TODAY()),0,IF(OR(INDEX($B527:$D527,AY$5)="F",AND(AY$6&gt;0,$A527&lt;AY$6),AND(AY$7&gt;0,$A527&gt;AY$7)),0,MAX(0,ROUND((INDEX($E527:$G527,AY$5)-SUMIFS(TF_Timer,TF_Tekniker,AY$4,TF_Dato,$A527))*2,0)/2)))</f>
        <v/>
      </c>
      <c r="AZ527">
        <f>IF(OR(AZ$4="",$A527&gt;TODAY()),0,IF(OR(INDEX($B527:$D527,AZ$5)="F",AND(AZ$6&gt;0,$A527&lt;AZ$6),AND(AZ$7&gt;0,$A527&gt;AZ$7)),0,MAX(0,ROUND((INDEX($E527:$G527,AZ$5)-SUMIFS(TF_Timer,TF_Tekniker,AZ$4,TF_Dato,$A527))*2,0)/2)))</f>
        <v/>
      </c>
      <c r="BA527">
        <f>IF(OR(BA$4="",$A527&gt;TODAY()),0,IF(OR(INDEX($B527:$D527,BA$5)="F",AND(BA$6&gt;0,$A527&lt;BA$6),AND(BA$7&gt;0,$A527&gt;BA$7)),0,MAX(0,ROUND((INDEX($E527:$G527,BA$5)-SUMIFS(TF_Timer,TF_Tekniker,BA$4,TF_Dato,$A527))*2,0)/2)))</f>
        <v/>
      </c>
      <c r="BB527">
        <f>IF(OR(BB$4="",$A527&gt;TODAY()),0,IF(OR(INDEX($B527:$D527,BB$5)="F",AND(BB$6&gt;0,$A527&lt;BB$6),AND(BB$7&gt;0,$A527&gt;BB$7)),0,MAX(0,ROUND((INDEX($E527:$G527,BB$5)-SUMIFS(TF_Timer,TF_Tekniker,BB$4,TF_Dato,$A527))*2,0)/2)))</f>
        <v/>
      </c>
      <c r="BC527">
        <f>IF(OR(BC$4="",$A527&gt;TODAY()),0,IF(OR(INDEX($B527:$D527,BC$5)="F",AND(BC$6&gt;0,$A527&lt;BC$6),AND(BC$7&gt;0,$A527&gt;BC$7)),0,MAX(0,ROUND((INDEX($E527:$G527,BC$5)-SUMIFS(TF_Timer,TF_Tekniker,BC$4,TF_Dato,$A527))*2,0)/2)))</f>
        <v/>
      </c>
      <c r="BD527">
        <f>IF(OR(BD$4="",$A527&gt;TODAY()),0,IF(OR(INDEX($B527:$D527,BD$5)="F",AND(BD$6&gt;0,$A527&lt;BD$6),AND(BD$7&gt;0,$A527&gt;BD$7)),0,MAX(0,ROUND((INDEX($E527:$G527,BD$5)-SUMIFS(TF_Timer,TF_Tekniker,BD$4,TF_Dato,$A527))*2,0)/2)))</f>
        <v/>
      </c>
      <c r="BE527">
        <f>IF(OR(BE$4="",$A527&gt;TODAY()),0,IF(OR(INDEX($B527:$D527,BE$5)="F",AND(BE$6&gt;0,$A527&lt;BE$6),AND(BE$7&gt;0,$A527&gt;BE$7)),0,MAX(0,ROUND((INDEX($E527:$G527,BE$5)-SUMIFS(TF_Timer,TF_Tekniker,BE$4,TF_Dato,$A527))*2,0)/2)))</f>
        <v/>
      </c>
      <c r="BF527">
        <f>IF(OR(BF$4="",$A527&gt;TODAY()),0,IF(OR(INDEX($B527:$D527,BF$5)="F",AND(BF$6&gt;0,$A527&lt;BF$6),AND(BF$7&gt;0,$A527&gt;BF$7)),0,MAX(0,ROUND((INDEX($E527:$G527,BF$5)-SUMIFS(TF_Timer,TF_Tekniker,BF$4,TF_Dato,$A527))*2,0)/2)))</f>
        <v/>
      </c>
      <c r="BG527">
        <f>IF(OR(BG$4="",$A527&gt;TODAY()),0,IF(OR(INDEX($B527:$D527,BG$5)="F",AND(BG$6&gt;0,$A527&lt;BG$6),AND(BG$7&gt;0,$A527&gt;BG$7)),0,MAX(0,ROUND((INDEX($E527:$G527,BG$5)-SUMIFS(TF_Timer,TF_Tekniker,BG$4,TF_Dato,$A527))*2,0)/2)))</f>
        <v/>
      </c>
      <c r="BH527">
        <f>IF(OR(BH$4="",$A527&gt;TODAY()),0,IF(OR(INDEX($B527:$D527,BH$5)="F",AND(BH$6&gt;0,$A527&lt;BH$6),AND(BH$7&gt;0,$A527&gt;BH$7)),0,MAX(0,ROUND((INDEX($E527:$G527,BH$5)-SUMIFS(TF_Timer,TF_Tekniker,BH$4,TF_Dato,$A527))*2,0)/2)))</f>
        <v/>
      </c>
      <c r="BI527">
        <f>IF(OR(BI$4="",$A527&gt;TODAY()),0,IF(OR(INDEX($B527:$D527,BI$5)="F",AND(BI$6&gt;0,$A527&lt;BI$6),AND(BI$7&gt;0,$A527&gt;BI$7)),0,MAX(0,ROUND((INDEX($E527:$G527,BI$5)-SUMIFS(TF_Timer,TF_Tekniker,BI$4,TF_Dato,$A527))*2,0)/2)))</f>
        <v/>
      </c>
    </row>
    <row r="528">
      <c r="A528" s="64">
        <f>A527+1</f>
        <v/>
      </c>
      <c r="B528">
        <f>IF(MOD($A528-INDEX(SkiftStart,1),Syklus)&lt;DagK,"K",IF(MOD($A528-INDEX(SkiftStart,1),Syklus)&lt;DagK+DagH,"H",IF(MOD($A528-INDEX(SkiftStart,1),Syklus)&lt;DagK+DagH+DagD,"D","F")))</f>
        <v/>
      </c>
      <c r="C528">
        <f>IF(MOD($A528-INDEX(SkiftStart,2),Syklus)&lt;DagK,"K",IF(MOD($A528-INDEX(SkiftStart,2),Syklus)&lt;DagK+DagH,"H",IF(MOD($A528-INDEX(SkiftStart,2),Syklus)&lt;DagK+DagH+DagD,"D","F")))</f>
        <v/>
      </c>
      <c r="D528">
        <f>IF(MOD($A528-INDEX(SkiftStart,3),Syklus)&lt;DagK,"K",IF(MOD($A528-INDEX(SkiftStart,3),Syklus)&lt;DagK+DagH,"H",IF(MOD($A528-INDEX(SkiftStart,3),Syklus)&lt;DagK+DagH+DagD,"D","F")))</f>
        <v/>
      </c>
      <c r="E528">
        <f>IF(B528="F",0,IF(WEEKDAY($A528,2)=5,INDEX(TimerFr,MATCH(B528,FaseKode,0)),INDEX(TimerMT,MATCH(B528,FaseKode,0))))</f>
        <v/>
      </c>
      <c r="F528">
        <f>IF(C528="F",0,IF(WEEKDAY($A528,2)=5,INDEX(TimerFr,MATCH(C528,FaseKode,0)),INDEX(TimerMT,MATCH(C528,FaseKode,0))))</f>
        <v/>
      </c>
      <c r="G528">
        <f>IF(D528="F",0,IF(WEEKDAY($A528,2)=5,INDEX(TimerFr,MATCH(D528,FaseKode,0)),INDEX(TimerMT,MATCH(D528,FaseKode,0))))</f>
        <v/>
      </c>
      <c r="H528">
        <f>IF(OR(H$4="",$A528&gt;TODAY()),0,IF(OR(INDEX($B528:$D528,H$5)="F",AND(H$6&gt;0,$A528&lt;H$6),AND(H$7&gt;0,$A528&gt;H$7)),0,MAX(0,ROUND((INDEX($E528:$G528,H$5)-SUMIFS(TF_Timer,TF_Tekniker,H$4,TF_Dato,$A528))*2,0)/2)))</f>
        <v/>
      </c>
      <c r="I528">
        <f>IF(OR(I$4="",$A528&gt;TODAY()),0,IF(OR(INDEX($B528:$D528,I$5)="F",AND(I$6&gt;0,$A528&lt;I$6),AND(I$7&gt;0,$A528&gt;I$7)),0,MAX(0,ROUND((INDEX($E528:$G528,I$5)-SUMIFS(TF_Timer,TF_Tekniker,I$4,TF_Dato,$A528))*2,0)/2)))</f>
        <v/>
      </c>
      <c r="J528">
        <f>IF(OR(J$4="",$A528&gt;TODAY()),0,IF(OR(INDEX($B528:$D528,J$5)="F",AND(J$6&gt;0,$A528&lt;J$6),AND(J$7&gt;0,$A528&gt;J$7)),0,MAX(0,ROUND((INDEX($E528:$G528,J$5)-SUMIFS(TF_Timer,TF_Tekniker,J$4,TF_Dato,$A528))*2,0)/2)))</f>
        <v/>
      </c>
      <c r="K528">
        <f>IF(OR(K$4="",$A528&gt;TODAY()),0,IF(OR(INDEX($B528:$D528,K$5)="F",AND(K$6&gt;0,$A528&lt;K$6),AND(K$7&gt;0,$A528&gt;K$7)),0,MAX(0,ROUND((INDEX($E528:$G528,K$5)-SUMIFS(TF_Timer,TF_Tekniker,K$4,TF_Dato,$A528))*2,0)/2)))</f>
        <v/>
      </c>
      <c r="L528">
        <f>IF(OR(L$4="",$A528&gt;TODAY()),0,IF(OR(INDEX($B528:$D528,L$5)="F",AND(L$6&gt;0,$A528&lt;L$6),AND(L$7&gt;0,$A528&gt;L$7)),0,MAX(0,ROUND((INDEX($E528:$G528,L$5)-SUMIFS(TF_Timer,TF_Tekniker,L$4,TF_Dato,$A528))*2,0)/2)))</f>
        <v/>
      </c>
      <c r="M528">
        <f>IF(OR(M$4="",$A528&gt;TODAY()),0,IF(OR(INDEX($B528:$D528,M$5)="F",AND(M$6&gt;0,$A528&lt;M$6),AND(M$7&gt;0,$A528&gt;M$7)),0,MAX(0,ROUND((INDEX($E528:$G528,M$5)-SUMIFS(TF_Timer,TF_Tekniker,M$4,TF_Dato,$A528))*2,0)/2)))</f>
        <v/>
      </c>
      <c r="N528">
        <f>IF(OR(N$4="",$A528&gt;TODAY()),0,IF(OR(INDEX($B528:$D528,N$5)="F",AND(N$6&gt;0,$A528&lt;N$6),AND(N$7&gt;0,$A528&gt;N$7)),0,MAX(0,ROUND((INDEX($E528:$G528,N$5)-SUMIFS(TF_Timer,TF_Tekniker,N$4,TF_Dato,$A528))*2,0)/2)))</f>
        <v/>
      </c>
      <c r="O528">
        <f>IF(OR(O$4="",$A528&gt;TODAY()),0,IF(OR(INDEX($B528:$D528,O$5)="F",AND(O$6&gt;0,$A528&lt;O$6),AND(O$7&gt;0,$A528&gt;O$7)),0,MAX(0,ROUND((INDEX($E528:$G528,O$5)-SUMIFS(TF_Timer,TF_Tekniker,O$4,TF_Dato,$A528))*2,0)/2)))</f>
        <v/>
      </c>
      <c r="P528">
        <f>IF(OR(P$4="",$A528&gt;TODAY()),0,IF(OR(INDEX($B528:$D528,P$5)="F",AND(P$6&gt;0,$A528&lt;P$6),AND(P$7&gt;0,$A528&gt;P$7)),0,MAX(0,ROUND((INDEX($E528:$G528,P$5)-SUMIFS(TF_Timer,TF_Tekniker,P$4,TF_Dato,$A528))*2,0)/2)))</f>
        <v/>
      </c>
      <c r="Q528">
        <f>IF(OR(Q$4="",$A528&gt;TODAY()),0,IF(OR(INDEX($B528:$D528,Q$5)="F",AND(Q$6&gt;0,$A528&lt;Q$6),AND(Q$7&gt;0,$A528&gt;Q$7)),0,MAX(0,ROUND((INDEX($E528:$G528,Q$5)-SUMIFS(TF_Timer,TF_Tekniker,Q$4,TF_Dato,$A528))*2,0)/2)))</f>
        <v/>
      </c>
      <c r="R528">
        <f>IF(OR(R$4="",$A528&gt;TODAY()),0,IF(OR(INDEX($B528:$D528,R$5)="F",AND(R$6&gt;0,$A528&lt;R$6),AND(R$7&gt;0,$A528&gt;R$7)),0,MAX(0,ROUND((INDEX($E528:$G528,R$5)-SUMIFS(TF_Timer,TF_Tekniker,R$4,TF_Dato,$A528))*2,0)/2)))</f>
        <v/>
      </c>
      <c r="S528">
        <f>IF(OR(S$4="",$A528&gt;TODAY()),0,IF(OR(INDEX($B528:$D528,S$5)="F",AND(S$6&gt;0,$A528&lt;S$6),AND(S$7&gt;0,$A528&gt;S$7)),0,MAX(0,ROUND((INDEX($E528:$G528,S$5)-SUMIFS(TF_Timer,TF_Tekniker,S$4,TF_Dato,$A528))*2,0)/2)))</f>
        <v/>
      </c>
      <c r="T528">
        <f>IF(OR(T$4="",$A528&gt;TODAY()),0,IF(OR(INDEX($B528:$D528,T$5)="F",AND(T$6&gt;0,$A528&lt;T$6),AND(T$7&gt;0,$A528&gt;T$7)),0,MAX(0,ROUND((INDEX($E528:$G528,T$5)-SUMIFS(TF_Timer,TF_Tekniker,T$4,TF_Dato,$A528))*2,0)/2)))</f>
        <v/>
      </c>
      <c r="U528">
        <f>IF(OR(U$4="",$A528&gt;TODAY()),0,IF(OR(INDEX($B528:$D528,U$5)="F",AND(U$6&gt;0,$A528&lt;U$6),AND(U$7&gt;0,$A528&gt;U$7)),0,MAX(0,ROUND((INDEX($E528:$G528,U$5)-SUMIFS(TF_Timer,TF_Tekniker,U$4,TF_Dato,$A528))*2,0)/2)))</f>
        <v/>
      </c>
      <c r="V528">
        <f>IF(OR(V$4="",$A528&gt;TODAY()),0,IF(OR(INDEX($B528:$D528,V$5)="F",AND(V$6&gt;0,$A528&lt;V$6),AND(V$7&gt;0,$A528&gt;V$7)),0,MAX(0,ROUND((INDEX($E528:$G528,V$5)-SUMIFS(TF_Timer,TF_Tekniker,V$4,TF_Dato,$A528))*2,0)/2)))</f>
        <v/>
      </c>
      <c r="W528">
        <f>IF(OR(W$4="",$A528&gt;TODAY()),0,IF(OR(INDEX($B528:$D528,W$5)="F",AND(W$6&gt;0,$A528&lt;W$6),AND(W$7&gt;0,$A528&gt;W$7)),0,MAX(0,ROUND((INDEX($E528:$G528,W$5)-SUMIFS(TF_Timer,TF_Tekniker,W$4,TF_Dato,$A528))*2,0)/2)))</f>
        <v/>
      </c>
      <c r="X528">
        <f>IF(OR(X$4="",$A528&gt;TODAY()),0,IF(OR(INDEX($B528:$D528,X$5)="F",AND(X$6&gt;0,$A528&lt;X$6),AND(X$7&gt;0,$A528&gt;X$7)),0,MAX(0,ROUND((INDEX($E528:$G528,X$5)-SUMIFS(TF_Timer,TF_Tekniker,X$4,TF_Dato,$A528))*2,0)/2)))</f>
        <v/>
      </c>
      <c r="Y528">
        <f>IF(OR(Y$4="",$A528&gt;TODAY()),0,IF(OR(INDEX($B528:$D528,Y$5)="F",AND(Y$6&gt;0,$A528&lt;Y$6),AND(Y$7&gt;0,$A528&gt;Y$7)),0,MAX(0,ROUND((INDEX($E528:$G528,Y$5)-SUMIFS(TF_Timer,TF_Tekniker,Y$4,TF_Dato,$A528))*2,0)/2)))</f>
        <v/>
      </c>
      <c r="Z528">
        <f>IF(OR(Z$4="",$A528&gt;TODAY()),0,IF(OR(INDEX($B528:$D528,Z$5)="F",AND(Z$6&gt;0,$A528&lt;Z$6),AND(Z$7&gt;0,$A528&gt;Z$7)),0,MAX(0,ROUND((INDEX($E528:$G528,Z$5)-SUMIFS(TF_Timer,TF_Tekniker,Z$4,TF_Dato,$A528))*2,0)/2)))</f>
        <v/>
      </c>
      <c r="AA528">
        <f>IF(OR(AA$4="",$A528&gt;TODAY()),0,IF(OR(INDEX($B528:$D528,AA$5)="F",AND(AA$6&gt;0,$A528&lt;AA$6),AND(AA$7&gt;0,$A528&gt;AA$7)),0,MAX(0,ROUND((INDEX($E528:$G528,AA$5)-SUMIFS(TF_Timer,TF_Tekniker,AA$4,TF_Dato,$A528))*2,0)/2)))</f>
        <v/>
      </c>
      <c r="AB528">
        <f>IF(OR(AB$4="",$A528&gt;TODAY()),0,IF(OR(INDEX($B528:$D528,AB$5)="F",AND(AB$6&gt;0,$A528&lt;AB$6),AND(AB$7&gt;0,$A528&gt;AB$7)),0,MAX(0,ROUND((INDEX($E528:$G528,AB$5)-SUMIFS(TF_Timer,TF_Tekniker,AB$4,TF_Dato,$A528))*2,0)/2)))</f>
        <v/>
      </c>
      <c r="AC528">
        <f>IF(OR(AC$4="",$A528&gt;TODAY()),0,IF(OR(INDEX($B528:$D528,AC$5)="F",AND(AC$6&gt;0,$A528&lt;AC$6),AND(AC$7&gt;0,$A528&gt;AC$7)),0,MAX(0,ROUND((INDEX($E528:$G528,AC$5)-SUMIFS(TF_Timer,TF_Tekniker,AC$4,TF_Dato,$A528))*2,0)/2)))</f>
        <v/>
      </c>
      <c r="AD528">
        <f>IF(OR(AD$4="",$A528&gt;TODAY()),0,IF(OR(INDEX($B528:$D528,AD$5)="F",AND(AD$6&gt;0,$A528&lt;AD$6),AND(AD$7&gt;0,$A528&gt;AD$7)),0,MAX(0,ROUND((INDEX($E528:$G528,AD$5)-SUMIFS(TF_Timer,TF_Tekniker,AD$4,TF_Dato,$A528))*2,0)/2)))</f>
        <v/>
      </c>
      <c r="AE528">
        <f>IF(OR(AE$4="",$A528&gt;TODAY()),0,IF(OR(INDEX($B528:$D528,AE$5)="F",AND(AE$6&gt;0,$A528&lt;AE$6),AND(AE$7&gt;0,$A528&gt;AE$7)),0,MAX(0,ROUND((INDEX($E528:$G528,AE$5)-SUMIFS(TF_Timer,TF_Tekniker,AE$4,TF_Dato,$A528))*2,0)/2)))</f>
        <v/>
      </c>
      <c r="AF528">
        <f>IF(OR(AF$4="",$A528&gt;TODAY()),0,IF(OR(INDEX($B528:$D528,AF$5)="F",AND(AF$6&gt;0,$A528&lt;AF$6),AND(AF$7&gt;0,$A528&gt;AF$7)),0,MAX(0,ROUND((INDEX($E528:$G528,AF$5)-SUMIFS(TF_Timer,TF_Tekniker,AF$4,TF_Dato,$A528))*2,0)/2)))</f>
        <v/>
      </c>
      <c r="AG528">
        <f>IF(OR(AG$4="",$A528&gt;TODAY()),0,IF(OR(INDEX($B528:$D528,AG$5)="F",AND(AG$6&gt;0,$A528&lt;AG$6),AND(AG$7&gt;0,$A528&gt;AG$7)),0,MAX(0,ROUND((INDEX($E528:$G528,AG$5)-SUMIFS(TF_Timer,TF_Tekniker,AG$4,TF_Dato,$A528))*2,0)/2)))</f>
        <v/>
      </c>
      <c r="AH528">
        <f>IF(OR(AH$4="",$A528&gt;TODAY()),0,IF(OR(INDEX($B528:$D528,AH$5)="F",AND(AH$6&gt;0,$A528&lt;AH$6),AND(AH$7&gt;0,$A528&gt;AH$7)),0,MAX(0,ROUND((INDEX($E528:$G528,AH$5)-SUMIFS(TF_Timer,TF_Tekniker,AH$4,TF_Dato,$A528))*2,0)/2)))</f>
        <v/>
      </c>
      <c r="AI528">
        <f>IF(OR(AI$4="",$A528&gt;TODAY()),0,IF(OR(INDEX($B528:$D528,AI$5)="F",AND(AI$6&gt;0,$A528&lt;AI$6),AND(AI$7&gt;0,$A528&gt;AI$7)),0,MAX(0,ROUND((INDEX($E528:$G528,AI$5)-SUMIFS(TF_Timer,TF_Tekniker,AI$4,TF_Dato,$A528))*2,0)/2)))</f>
        <v/>
      </c>
      <c r="AJ528">
        <f>IF(OR(AJ$4="",$A528&gt;TODAY()),0,IF(OR(INDEX($B528:$D528,AJ$5)="F",AND(AJ$6&gt;0,$A528&lt;AJ$6),AND(AJ$7&gt;0,$A528&gt;AJ$7)),0,MAX(0,ROUND((INDEX($E528:$G528,AJ$5)-SUMIFS(TF_Timer,TF_Tekniker,AJ$4,TF_Dato,$A528))*2,0)/2)))</f>
        <v/>
      </c>
      <c r="AK528">
        <f>IF(OR(AK$4="",$A528&gt;TODAY()),0,IF(OR(INDEX($B528:$D528,AK$5)="F",AND(AK$6&gt;0,$A528&lt;AK$6),AND(AK$7&gt;0,$A528&gt;AK$7)),0,MAX(0,ROUND((INDEX($E528:$G528,AK$5)-SUMIFS(TF_Timer,TF_Tekniker,AK$4,TF_Dato,$A528))*2,0)/2)))</f>
        <v/>
      </c>
      <c r="AL528">
        <f>IF(OR(AL$4="",$A528&gt;TODAY()),0,IF(OR(INDEX($B528:$D528,AL$5)="F",AND(AL$6&gt;0,$A528&lt;AL$6),AND(AL$7&gt;0,$A528&gt;AL$7)),0,MAX(0,ROUND((INDEX($E528:$G528,AL$5)-SUMIFS(TF_Timer,TF_Tekniker,AL$4,TF_Dato,$A528))*2,0)/2)))</f>
        <v/>
      </c>
      <c r="AM528">
        <f>IF(OR(AM$4="",$A528&gt;TODAY()),0,IF(OR(INDEX($B528:$D528,AM$5)="F",AND(AM$6&gt;0,$A528&lt;AM$6),AND(AM$7&gt;0,$A528&gt;AM$7)),0,MAX(0,ROUND((INDEX($E528:$G528,AM$5)-SUMIFS(TF_Timer,TF_Tekniker,AM$4,TF_Dato,$A528))*2,0)/2)))</f>
        <v/>
      </c>
      <c r="AN528">
        <f>IF(OR(AN$4="",$A528&gt;TODAY()),0,IF(OR(INDEX($B528:$D528,AN$5)="F",AND(AN$6&gt;0,$A528&lt;AN$6),AND(AN$7&gt;0,$A528&gt;AN$7)),0,MAX(0,ROUND((INDEX($E528:$G528,AN$5)-SUMIFS(TF_Timer,TF_Tekniker,AN$4,TF_Dato,$A528))*2,0)/2)))</f>
        <v/>
      </c>
      <c r="AO528">
        <f>IF(OR(AO$4="",$A528&gt;TODAY()),0,IF(OR(INDEX($B528:$D528,AO$5)="F",AND(AO$6&gt;0,$A528&lt;AO$6),AND(AO$7&gt;0,$A528&gt;AO$7)),0,MAX(0,ROUND((INDEX($E528:$G528,AO$5)-SUMIFS(TF_Timer,TF_Tekniker,AO$4,TF_Dato,$A528))*2,0)/2)))</f>
        <v/>
      </c>
      <c r="AP528">
        <f>IF(OR(AP$4="",$A528&gt;TODAY()),0,IF(OR(INDEX($B528:$D528,AP$5)="F",AND(AP$6&gt;0,$A528&lt;AP$6),AND(AP$7&gt;0,$A528&gt;AP$7)),0,MAX(0,ROUND((INDEX($E528:$G528,AP$5)-SUMIFS(TF_Timer,TF_Tekniker,AP$4,TF_Dato,$A528))*2,0)/2)))</f>
        <v/>
      </c>
      <c r="AQ528">
        <f>IF(OR(AQ$4="",$A528&gt;TODAY()),0,IF(OR(INDEX($B528:$D528,AQ$5)="F",AND(AQ$6&gt;0,$A528&lt;AQ$6),AND(AQ$7&gt;0,$A528&gt;AQ$7)),0,MAX(0,ROUND((INDEX($E528:$G528,AQ$5)-SUMIFS(TF_Timer,TF_Tekniker,AQ$4,TF_Dato,$A528))*2,0)/2)))</f>
        <v/>
      </c>
      <c r="AR528">
        <f>IF(OR(AR$4="",$A528&gt;TODAY()),0,IF(OR(INDEX($B528:$D528,AR$5)="F",AND(AR$6&gt;0,$A528&lt;AR$6),AND(AR$7&gt;0,$A528&gt;AR$7)),0,MAX(0,ROUND((INDEX($E528:$G528,AR$5)-SUMIFS(TF_Timer,TF_Tekniker,AR$4,TF_Dato,$A528))*2,0)/2)))</f>
        <v/>
      </c>
      <c r="AS528">
        <f>IF(OR(AS$4="",$A528&gt;TODAY()),0,IF(OR(INDEX($B528:$D528,AS$5)="F",AND(AS$6&gt;0,$A528&lt;AS$6),AND(AS$7&gt;0,$A528&gt;AS$7)),0,MAX(0,ROUND((INDEX($E528:$G528,AS$5)-SUMIFS(TF_Timer,TF_Tekniker,AS$4,TF_Dato,$A528))*2,0)/2)))</f>
        <v/>
      </c>
      <c r="AT528">
        <f>IF(OR(AT$4="",$A528&gt;TODAY()),0,IF(OR(INDEX($B528:$D528,AT$5)="F",AND(AT$6&gt;0,$A528&lt;AT$6),AND(AT$7&gt;0,$A528&gt;AT$7)),0,MAX(0,ROUND((INDEX($E528:$G528,AT$5)-SUMIFS(TF_Timer,TF_Tekniker,AT$4,TF_Dato,$A528))*2,0)/2)))</f>
        <v/>
      </c>
      <c r="AU528">
        <f>IF(OR(AU$4="",$A528&gt;TODAY()),0,IF(OR(INDEX($B528:$D528,AU$5)="F",AND(AU$6&gt;0,$A528&lt;AU$6),AND(AU$7&gt;0,$A528&gt;AU$7)),0,MAX(0,ROUND((INDEX($E528:$G528,AU$5)-SUMIFS(TF_Timer,TF_Tekniker,AU$4,TF_Dato,$A528))*2,0)/2)))</f>
        <v/>
      </c>
      <c r="AV528">
        <f>IF(OR(AV$4="",$A528&gt;TODAY()),0,IF(OR(INDEX($B528:$D528,AV$5)="F",AND(AV$6&gt;0,$A528&lt;AV$6),AND(AV$7&gt;0,$A528&gt;AV$7)),0,MAX(0,ROUND((INDEX($E528:$G528,AV$5)-SUMIFS(TF_Timer,TF_Tekniker,AV$4,TF_Dato,$A528))*2,0)/2)))</f>
        <v/>
      </c>
      <c r="AW528">
        <f>IF(OR(AW$4="",$A528&gt;TODAY()),0,IF(OR(INDEX($B528:$D528,AW$5)="F",AND(AW$6&gt;0,$A528&lt;AW$6),AND(AW$7&gt;0,$A528&gt;AW$7)),0,MAX(0,ROUND((INDEX($E528:$G528,AW$5)-SUMIFS(TF_Timer,TF_Tekniker,AW$4,TF_Dato,$A528))*2,0)/2)))</f>
        <v/>
      </c>
      <c r="AX528">
        <f>IF(OR(AX$4="",$A528&gt;TODAY()),0,IF(OR(INDEX($B528:$D528,AX$5)="F",AND(AX$6&gt;0,$A528&lt;AX$6),AND(AX$7&gt;0,$A528&gt;AX$7)),0,MAX(0,ROUND((INDEX($E528:$G528,AX$5)-SUMIFS(TF_Timer,TF_Tekniker,AX$4,TF_Dato,$A528))*2,0)/2)))</f>
        <v/>
      </c>
      <c r="AY528">
        <f>IF(OR(AY$4="",$A528&gt;TODAY()),0,IF(OR(INDEX($B528:$D528,AY$5)="F",AND(AY$6&gt;0,$A528&lt;AY$6),AND(AY$7&gt;0,$A528&gt;AY$7)),0,MAX(0,ROUND((INDEX($E528:$G528,AY$5)-SUMIFS(TF_Timer,TF_Tekniker,AY$4,TF_Dato,$A528))*2,0)/2)))</f>
        <v/>
      </c>
      <c r="AZ528">
        <f>IF(OR(AZ$4="",$A528&gt;TODAY()),0,IF(OR(INDEX($B528:$D528,AZ$5)="F",AND(AZ$6&gt;0,$A528&lt;AZ$6),AND(AZ$7&gt;0,$A528&gt;AZ$7)),0,MAX(0,ROUND((INDEX($E528:$G528,AZ$5)-SUMIFS(TF_Timer,TF_Tekniker,AZ$4,TF_Dato,$A528))*2,0)/2)))</f>
        <v/>
      </c>
      <c r="BA528">
        <f>IF(OR(BA$4="",$A528&gt;TODAY()),0,IF(OR(INDEX($B528:$D528,BA$5)="F",AND(BA$6&gt;0,$A528&lt;BA$6),AND(BA$7&gt;0,$A528&gt;BA$7)),0,MAX(0,ROUND((INDEX($E528:$G528,BA$5)-SUMIFS(TF_Timer,TF_Tekniker,BA$4,TF_Dato,$A528))*2,0)/2)))</f>
        <v/>
      </c>
      <c r="BB528">
        <f>IF(OR(BB$4="",$A528&gt;TODAY()),0,IF(OR(INDEX($B528:$D528,BB$5)="F",AND(BB$6&gt;0,$A528&lt;BB$6),AND(BB$7&gt;0,$A528&gt;BB$7)),0,MAX(0,ROUND((INDEX($E528:$G528,BB$5)-SUMIFS(TF_Timer,TF_Tekniker,BB$4,TF_Dato,$A528))*2,0)/2)))</f>
        <v/>
      </c>
      <c r="BC528">
        <f>IF(OR(BC$4="",$A528&gt;TODAY()),0,IF(OR(INDEX($B528:$D528,BC$5)="F",AND(BC$6&gt;0,$A528&lt;BC$6),AND(BC$7&gt;0,$A528&gt;BC$7)),0,MAX(0,ROUND((INDEX($E528:$G528,BC$5)-SUMIFS(TF_Timer,TF_Tekniker,BC$4,TF_Dato,$A528))*2,0)/2)))</f>
        <v/>
      </c>
      <c r="BD528">
        <f>IF(OR(BD$4="",$A528&gt;TODAY()),0,IF(OR(INDEX($B528:$D528,BD$5)="F",AND(BD$6&gt;0,$A528&lt;BD$6),AND(BD$7&gt;0,$A528&gt;BD$7)),0,MAX(0,ROUND((INDEX($E528:$G528,BD$5)-SUMIFS(TF_Timer,TF_Tekniker,BD$4,TF_Dato,$A528))*2,0)/2)))</f>
        <v/>
      </c>
      <c r="BE528">
        <f>IF(OR(BE$4="",$A528&gt;TODAY()),0,IF(OR(INDEX($B528:$D528,BE$5)="F",AND(BE$6&gt;0,$A528&lt;BE$6),AND(BE$7&gt;0,$A528&gt;BE$7)),0,MAX(0,ROUND((INDEX($E528:$G528,BE$5)-SUMIFS(TF_Timer,TF_Tekniker,BE$4,TF_Dato,$A528))*2,0)/2)))</f>
        <v/>
      </c>
      <c r="BF528">
        <f>IF(OR(BF$4="",$A528&gt;TODAY()),0,IF(OR(INDEX($B528:$D528,BF$5)="F",AND(BF$6&gt;0,$A528&lt;BF$6),AND(BF$7&gt;0,$A528&gt;BF$7)),0,MAX(0,ROUND((INDEX($E528:$G528,BF$5)-SUMIFS(TF_Timer,TF_Tekniker,BF$4,TF_Dato,$A528))*2,0)/2)))</f>
        <v/>
      </c>
      <c r="BG528">
        <f>IF(OR(BG$4="",$A528&gt;TODAY()),0,IF(OR(INDEX($B528:$D528,BG$5)="F",AND(BG$6&gt;0,$A528&lt;BG$6),AND(BG$7&gt;0,$A528&gt;BG$7)),0,MAX(0,ROUND((INDEX($E528:$G528,BG$5)-SUMIFS(TF_Timer,TF_Tekniker,BG$4,TF_Dato,$A528))*2,0)/2)))</f>
        <v/>
      </c>
      <c r="BH528">
        <f>IF(OR(BH$4="",$A528&gt;TODAY()),0,IF(OR(INDEX($B528:$D528,BH$5)="F",AND(BH$6&gt;0,$A528&lt;BH$6),AND(BH$7&gt;0,$A528&gt;BH$7)),0,MAX(0,ROUND((INDEX($E528:$G528,BH$5)-SUMIFS(TF_Timer,TF_Tekniker,BH$4,TF_Dato,$A528))*2,0)/2)))</f>
        <v/>
      </c>
      <c r="BI528">
        <f>IF(OR(BI$4="",$A528&gt;TODAY()),0,IF(OR(INDEX($B528:$D528,BI$5)="F",AND(BI$6&gt;0,$A528&lt;BI$6),AND(BI$7&gt;0,$A528&gt;BI$7)),0,MAX(0,ROUND((INDEX($E528:$G528,BI$5)-SUMIFS(TF_Timer,TF_Tekniker,BI$4,TF_Dato,$A528))*2,0)/2)))</f>
        <v/>
      </c>
    </row>
    <row r="529">
      <c r="A529" s="64">
        <f>A528+1</f>
        <v/>
      </c>
      <c r="B529">
        <f>IF(MOD($A529-INDEX(SkiftStart,1),Syklus)&lt;DagK,"K",IF(MOD($A529-INDEX(SkiftStart,1),Syklus)&lt;DagK+DagH,"H",IF(MOD($A529-INDEX(SkiftStart,1),Syklus)&lt;DagK+DagH+DagD,"D","F")))</f>
        <v/>
      </c>
      <c r="C529">
        <f>IF(MOD($A529-INDEX(SkiftStart,2),Syklus)&lt;DagK,"K",IF(MOD($A529-INDEX(SkiftStart,2),Syklus)&lt;DagK+DagH,"H",IF(MOD($A529-INDEX(SkiftStart,2),Syklus)&lt;DagK+DagH+DagD,"D","F")))</f>
        <v/>
      </c>
      <c r="D529">
        <f>IF(MOD($A529-INDEX(SkiftStart,3),Syklus)&lt;DagK,"K",IF(MOD($A529-INDEX(SkiftStart,3),Syklus)&lt;DagK+DagH,"H",IF(MOD($A529-INDEX(SkiftStart,3),Syklus)&lt;DagK+DagH+DagD,"D","F")))</f>
        <v/>
      </c>
      <c r="E529">
        <f>IF(B529="F",0,IF(WEEKDAY($A529,2)=5,INDEX(TimerFr,MATCH(B529,FaseKode,0)),INDEX(TimerMT,MATCH(B529,FaseKode,0))))</f>
        <v/>
      </c>
      <c r="F529">
        <f>IF(C529="F",0,IF(WEEKDAY($A529,2)=5,INDEX(TimerFr,MATCH(C529,FaseKode,0)),INDEX(TimerMT,MATCH(C529,FaseKode,0))))</f>
        <v/>
      </c>
      <c r="G529">
        <f>IF(D529="F",0,IF(WEEKDAY($A529,2)=5,INDEX(TimerFr,MATCH(D529,FaseKode,0)),INDEX(TimerMT,MATCH(D529,FaseKode,0))))</f>
        <v/>
      </c>
      <c r="H529">
        <f>IF(OR(H$4="",$A529&gt;TODAY()),0,IF(OR(INDEX($B529:$D529,H$5)="F",AND(H$6&gt;0,$A529&lt;H$6),AND(H$7&gt;0,$A529&gt;H$7)),0,MAX(0,ROUND((INDEX($E529:$G529,H$5)-SUMIFS(TF_Timer,TF_Tekniker,H$4,TF_Dato,$A529))*2,0)/2)))</f>
        <v/>
      </c>
      <c r="I529">
        <f>IF(OR(I$4="",$A529&gt;TODAY()),0,IF(OR(INDEX($B529:$D529,I$5)="F",AND(I$6&gt;0,$A529&lt;I$6),AND(I$7&gt;0,$A529&gt;I$7)),0,MAX(0,ROUND((INDEX($E529:$G529,I$5)-SUMIFS(TF_Timer,TF_Tekniker,I$4,TF_Dato,$A529))*2,0)/2)))</f>
        <v/>
      </c>
      <c r="J529">
        <f>IF(OR(J$4="",$A529&gt;TODAY()),0,IF(OR(INDEX($B529:$D529,J$5)="F",AND(J$6&gt;0,$A529&lt;J$6),AND(J$7&gt;0,$A529&gt;J$7)),0,MAX(0,ROUND((INDEX($E529:$G529,J$5)-SUMIFS(TF_Timer,TF_Tekniker,J$4,TF_Dato,$A529))*2,0)/2)))</f>
        <v/>
      </c>
      <c r="K529">
        <f>IF(OR(K$4="",$A529&gt;TODAY()),0,IF(OR(INDEX($B529:$D529,K$5)="F",AND(K$6&gt;0,$A529&lt;K$6),AND(K$7&gt;0,$A529&gt;K$7)),0,MAX(0,ROUND((INDEX($E529:$G529,K$5)-SUMIFS(TF_Timer,TF_Tekniker,K$4,TF_Dato,$A529))*2,0)/2)))</f>
        <v/>
      </c>
      <c r="L529">
        <f>IF(OR(L$4="",$A529&gt;TODAY()),0,IF(OR(INDEX($B529:$D529,L$5)="F",AND(L$6&gt;0,$A529&lt;L$6),AND(L$7&gt;0,$A529&gt;L$7)),0,MAX(0,ROUND((INDEX($E529:$G529,L$5)-SUMIFS(TF_Timer,TF_Tekniker,L$4,TF_Dato,$A529))*2,0)/2)))</f>
        <v/>
      </c>
      <c r="M529">
        <f>IF(OR(M$4="",$A529&gt;TODAY()),0,IF(OR(INDEX($B529:$D529,M$5)="F",AND(M$6&gt;0,$A529&lt;M$6),AND(M$7&gt;0,$A529&gt;M$7)),0,MAX(0,ROUND((INDEX($E529:$G529,M$5)-SUMIFS(TF_Timer,TF_Tekniker,M$4,TF_Dato,$A529))*2,0)/2)))</f>
        <v/>
      </c>
      <c r="N529">
        <f>IF(OR(N$4="",$A529&gt;TODAY()),0,IF(OR(INDEX($B529:$D529,N$5)="F",AND(N$6&gt;0,$A529&lt;N$6),AND(N$7&gt;0,$A529&gt;N$7)),0,MAX(0,ROUND((INDEX($E529:$G529,N$5)-SUMIFS(TF_Timer,TF_Tekniker,N$4,TF_Dato,$A529))*2,0)/2)))</f>
        <v/>
      </c>
      <c r="O529">
        <f>IF(OR(O$4="",$A529&gt;TODAY()),0,IF(OR(INDEX($B529:$D529,O$5)="F",AND(O$6&gt;0,$A529&lt;O$6),AND(O$7&gt;0,$A529&gt;O$7)),0,MAX(0,ROUND((INDEX($E529:$G529,O$5)-SUMIFS(TF_Timer,TF_Tekniker,O$4,TF_Dato,$A529))*2,0)/2)))</f>
        <v/>
      </c>
      <c r="P529">
        <f>IF(OR(P$4="",$A529&gt;TODAY()),0,IF(OR(INDEX($B529:$D529,P$5)="F",AND(P$6&gt;0,$A529&lt;P$6),AND(P$7&gt;0,$A529&gt;P$7)),0,MAX(0,ROUND((INDEX($E529:$G529,P$5)-SUMIFS(TF_Timer,TF_Tekniker,P$4,TF_Dato,$A529))*2,0)/2)))</f>
        <v/>
      </c>
      <c r="Q529">
        <f>IF(OR(Q$4="",$A529&gt;TODAY()),0,IF(OR(INDEX($B529:$D529,Q$5)="F",AND(Q$6&gt;0,$A529&lt;Q$6),AND(Q$7&gt;0,$A529&gt;Q$7)),0,MAX(0,ROUND((INDEX($E529:$G529,Q$5)-SUMIFS(TF_Timer,TF_Tekniker,Q$4,TF_Dato,$A529))*2,0)/2)))</f>
        <v/>
      </c>
      <c r="R529">
        <f>IF(OR(R$4="",$A529&gt;TODAY()),0,IF(OR(INDEX($B529:$D529,R$5)="F",AND(R$6&gt;0,$A529&lt;R$6),AND(R$7&gt;0,$A529&gt;R$7)),0,MAX(0,ROUND((INDEX($E529:$G529,R$5)-SUMIFS(TF_Timer,TF_Tekniker,R$4,TF_Dato,$A529))*2,0)/2)))</f>
        <v/>
      </c>
      <c r="S529">
        <f>IF(OR(S$4="",$A529&gt;TODAY()),0,IF(OR(INDEX($B529:$D529,S$5)="F",AND(S$6&gt;0,$A529&lt;S$6),AND(S$7&gt;0,$A529&gt;S$7)),0,MAX(0,ROUND((INDEX($E529:$G529,S$5)-SUMIFS(TF_Timer,TF_Tekniker,S$4,TF_Dato,$A529))*2,0)/2)))</f>
        <v/>
      </c>
      <c r="T529">
        <f>IF(OR(T$4="",$A529&gt;TODAY()),0,IF(OR(INDEX($B529:$D529,T$5)="F",AND(T$6&gt;0,$A529&lt;T$6),AND(T$7&gt;0,$A529&gt;T$7)),0,MAX(0,ROUND((INDEX($E529:$G529,T$5)-SUMIFS(TF_Timer,TF_Tekniker,T$4,TF_Dato,$A529))*2,0)/2)))</f>
        <v/>
      </c>
      <c r="U529">
        <f>IF(OR(U$4="",$A529&gt;TODAY()),0,IF(OR(INDEX($B529:$D529,U$5)="F",AND(U$6&gt;0,$A529&lt;U$6),AND(U$7&gt;0,$A529&gt;U$7)),0,MAX(0,ROUND((INDEX($E529:$G529,U$5)-SUMIFS(TF_Timer,TF_Tekniker,U$4,TF_Dato,$A529))*2,0)/2)))</f>
        <v/>
      </c>
      <c r="V529">
        <f>IF(OR(V$4="",$A529&gt;TODAY()),0,IF(OR(INDEX($B529:$D529,V$5)="F",AND(V$6&gt;0,$A529&lt;V$6),AND(V$7&gt;0,$A529&gt;V$7)),0,MAX(0,ROUND((INDEX($E529:$G529,V$5)-SUMIFS(TF_Timer,TF_Tekniker,V$4,TF_Dato,$A529))*2,0)/2)))</f>
        <v/>
      </c>
      <c r="W529">
        <f>IF(OR(W$4="",$A529&gt;TODAY()),0,IF(OR(INDEX($B529:$D529,W$5)="F",AND(W$6&gt;0,$A529&lt;W$6),AND(W$7&gt;0,$A529&gt;W$7)),0,MAX(0,ROUND((INDEX($E529:$G529,W$5)-SUMIFS(TF_Timer,TF_Tekniker,W$4,TF_Dato,$A529))*2,0)/2)))</f>
        <v/>
      </c>
      <c r="X529">
        <f>IF(OR(X$4="",$A529&gt;TODAY()),0,IF(OR(INDEX($B529:$D529,X$5)="F",AND(X$6&gt;0,$A529&lt;X$6),AND(X$7&gt;0,$A529&gt;X$7)),0,MAX(0,ROUND((INDEX($E529:$G529,X$5)-SUMIFS(TF_Timer,TF_Tekniker,X$4,TF_Dato,$A529))*2,0)/2)))</f>
        <v/>
      </c>
      <c r="Y529">
        <f>IF(OR(Y$4="",$A529&gt;TODAY()),0,IF(OR(INDEX($B529:$D529,Y$5)="F",AND(Y$6&gt;0,$A529&lt;Y$6),AND(Y$7&gt;0,$A529&gt;Y$7)),0,MAX(0,ROUND((INDEX($E529:$G529,Y$5)-SUMIFS(TF_Timer,TF_Tekniker,Y$4,TF_Dato,$A529))*2,0)/2)))</f>
        <v/>
      </c>
      <c r="Z529">
        <f>IF(OR(Z$4="",$A529&gt;TODAY()),0,IF(OR(INDEX($B529:$D529,Z$5)="F",AND(Z$6&gt;0,$A529&lt;Z$6),AND(Z$7&gt;0,$A529&gt;Z$7)),0,MAX(0,ROUND((INDEX($E529:$G529,Z$5)-SUMIFS(TF_Timer,TF_Tekniker,Z$4,TF_Dato,$A529))*2,0)/2)))</f>
        <v/>
      </c>
      <c r="AA529">
        <f>IF(OR(AA$4="",$A529&gt;TODAY()),0,IF(OR(INDEX($B529:$D529,AA$5)="F",AND(AA$6&gt;0,$A529&lt;AA$6),AND(AA$7&gt;0,$A529&gt;AA$7)),0,MAX(0,ROUND((INDEX($E529:$G529,AA$5)-SUMIFS(TF_Timer,TF_Tekniker,AA$4,TF_Dato,$A529))*2,0)/2)))</f>
        <v/>
      </c>
      <c r="AB529">
        <f>IF(OR(AB$4="",$A529&gt;TODAY()),0,IF(OR(INDEX($B529:$D529,AB$5)="F",AND(AB$6&gt;0,$A529&lt;AB$6),AND(AB$7&gt;0,$A529&gt;AB$7)),0,MAX(0,ROUND((INDEX($E529:$G529,AB$5)-SUMIFS(TF_Timer,TF_Tekniker,AB$4,TF_Dato,$A529))*2,0)/2)))</f>
        <v/>
      </c>
      <c r="AC529">
        <f>IF(OR(AC$4="",$A529&gt;TODAY()),0,IF(OR(INDEX($B529:$D529,AC$5)="F",AND(AC$6&gt;0,$A529&lt;AC$6),AND(AC$7&gt;0,$A529&gt;AC$7)),0,MAX(0,ROUND((INDEX($E529:$G529,AC$5)-SUMIFS(TF_Timer,TF_Tekniker,AC$4,TF_Dato,$A529))*2,0)/2)))</f>
        <v/>
      </c>
      <c r="AD529">
        <f>IF(OR(AD$4="",$A529&gt;TODAY()),0,IF(OR(INDEX($B529:$D529,AD$5)="F",AND(AD$6&gt;0,$A529&lt;AD$6),AND(AD$7&gt;0,$A529&gt;AD$7)),0,MAX(0,ROUND((INDEX($E529:$G529,AD$5)-SUMIFS(TF_Timer,TF_Tekniker,AD$4,TF_Dato,$A529))*2,0)/2)))</f>
        <v/>
      </c>
      <c r="AE529">
        <f>IF(OR(AE$4="",$A529&gt;TODAY()),0,IF(OR(INDEX($B529:$D529,AE$5)="F",AND(AE$6&gt;0,$A529&lt;AE$6),AND(AE$7&gt;0,$A529&gt;AE$7)),0,MAX(0,ROUND((INDEX($E529:$G529,AE$5)-SUMIFS(TF_Timer,TF_Tekniker,AE$4,TF_Dato,$A529))*2,0)/2)))</f>
        <v/>
      </c>
      <c r="AF529">
        <f>IF(OR(AF$4="",$A529&gt;TODAY()),0,IF(OR(INDEX($B529:$D529,AF$5)="F",AND(AF$6&gt;0,$A529&lt;AF$6),AND(AF$7&gt;0,$A529&gt;AF$7)),0,MAX(0,ROUND((INDEX($E529:$G529,AF$5)-SUMIFS(TF_Timer,TF_Tekniker,AF$4,TF_Dato,$A529))*2,0)/2)))</f>
        <v/>
      </c>
      <c r="AG529">
        <f>IF(OR(AG$4="",$A529&gt;TODAY()),0,IF(OR(INDEX($B529:$D529,AG$5)="F",AND(AG$6&gt;0,$A529&lt;AG$6),AND(AG$7&gt;0,$A529&gt;AG$7)),0,MAX(0,ROUND((INDEX($E529:$G529,AG$5)-SUMIFS(TF_Timer,TF_Tekniker,AG$4,TF_Dato,$A529))*2,0)/2)))</f>
        <v/>
      </c>
      <c r="AH529">
        <f>IF(OR(AH$4="",$A529&gt;TODAY()),0,IF(OR(INDEX($B529:$D529,AH$5)="F",AND(AH$6&gt;0,$A529&lt;AH$6),AND(AH$7&gt;0,$A529&gt;AH$7)),0,MAX(0,ROUND((INDEX($E529:$G529,AH$5)-SUMIFS(TF_Timer,TF_Tekniker,AH$4,TF_Dato,$A529))*2,0)/2)))</f>
        <v/>
      </c>
      <c r="AI529">
        <f>IF(OR(AI$4="",$A529&gt;TODAY()),0,IF(OR(INDEX($B529:$D529,AI$5)="F",AND(AI$6&gt;0,$A529&lt;AI$6),AND(AI$7&gt;0,$A529&gt;AI$7)),0,MAX(0,ROUND((INDEX($E529:$G529,AI$5)-SUMIFS(TF_Timer,TF_Tekniker,AI$4,TF_Dato,$A529))*2,0)/2)))</f>
        <v/>
      </c>
      <c r="AJ529">
        <f>IF(OR(AJ$4="",$A529&gt;TODAY()),0,IF(OR(INDEX($B529:$D529,AJ$5)="F",AND(AJ$6&gt;0,$A529&lt;AJ$6),AND(AJ$7&gt;0,$A529&gt;AJ$7)),0,MAX(0,ROUND((INDEX($E529:$G529,AJ$5)-SUMIFS(TF_Timer,TF_Tekniker,AJ$4,TF_Dato,$A529))*2,0)/2)))</f>
        <v/>
      </c>
      <c r="AK529">
        <f>IF(OR(AK$4="",$A529&gt;TODAY()),0,IF(OR(INDEX($B529:$D529,AK$5)="F",AND(AK$6&gt;0,$A529&lt;AK$6),AND(AK$7&gt;0,$A529&gt;AK$7)),0,MAX(0,ROUND((INDEX($E529:$G529,AK$5)-SUMIFS(TF_Timer,TF_Tekniker,AK$4,TF_Dato,$A529))*2,0)/2)))</f>
        <v/>
      </c>
      <c r="AL529">
        <f>IF(OR(AL$4="",$A529&gt;TODAY()),0,IF(OR(INDEX($B529:$D529,AL$5)="F",AND(AL$6&gt;0,$A529&lt;AL$6),AND(AL$7&gt;0,$A529&gt;AL$7)),0,MAX(0,ROUND((INDEX($E529:$G529,AL$5)-SUMIFS(TF_Timer,TF_Tekniker,AL$4,TF_Dato,$A529))*2,0)/2)))</f>
        <v/>
      </c>
      <c r="AM529">
        <f>IF(OR(AM$4="",$A529&gt;TODAY()),0,IF(OR(INDEX($B529:$D529,AM$5)="F",AND(AM$6&gt;0,$A529&lt;AM$6),AND(AM$7&gt;0,$A529&gt;AM$7)),0,MAX(0,ROUND((INDEX($E529:$G529,AM$5)-SUMIFS(TF_Timer,TF_Tekniker,AM$4,TF_Dato,$A529))*2,0)/2)))</f>
        <v/>
      </c>
      <c r="AN529">
        <f>IF(OR(AN$4="",$A529&gt;TODAY()),0,IF(OR(INDEX($B529:$D529,AN$5)="F",AND(AN$6&gt;0,$A529&lt;AN$6),AND(AN$7&gt;0,$A529&gt;AN$7)),0,MAX(0,ROUND((INDEX($E529:$G529,AN$5)-SUMIFS(TF_Timer,TF_Tekniker,AN$4,TF_Dato,$A529))*2,0)/2)))</f>
        <v/>
      </c>
      <c r="AO529">
        <f>IF(OR(AO$4="",$A529&gt;TODAY()),0,IF(OR(INDEX($B529:$D529,AO$5)="F",AND(AO$6&gt;0,$A529&lt;AO$6),AND(AO$7&gt;0,$A529&gt;AO$7)),0,MAX(0,ROUND((INDEX($E529:$G529,AO$5)-SUMIFS(TF_Timer,TF_Tekniker,AO$4,TF_Dato,$A529))*2,0)/2)))</f>
        <v/>
      </c>
      <c r="AP529">
        <f>IF(OR(AP$4="",$A529&gt;TODAY()),0,IF(OR(INDEX($B529:$D529,AP$5)="F",AND(AP$6&gt;0,$A529&lt;AP$6),AND(AP$7&gt;0,$A529&gt;AP$7)),0,MAX(0,ROUND((INDEX($E529:$G529,AP$5)-SUMIFS(TF_Timer,TF_Tekniker,AP$4,TF_Dato,$A529))*2,0)/2)))</f>
        <v/>
      </c>
      <c r="AQ529">
        <f>IF(OR(AQ$4="",$A529&gt;TODAY()),0,IF(OR(INDEX($B529:$D529,AQ$5)="F",AND(AQ$6&gt;0,$A529&lt;AQ$6),AND(AQ$7&gt;0,$A529&gt;AQ$7)),0,MAX(0,ROUND((INDEX($E529:$G529,AQ$5)-SUMIFS(TF_Timer,TF_Tekniker,AQ$4,TF_Dato,$A529))*2,0)/2)))</f>
        <v/>
      </c>
      <c r="AR529">
        <f>IF(OR(AR$4="",$A529&gt;TODAY()),0,IF(OR(INDEX($B529:$D529,AR$5)="F",AND(AR$6&gt;0,$A529&lt;AR$6),AND(AR$7&gt;0,$A529&gt;AR$7)),0,MAX(0,ROUND((INDEX($E529:$G529,AR$5)-SUMIFS(TF_Timer,TF_Tekniker,AR$4,TF_Dato,$A529))*2,0)/2)))</f>
        <v/>
      </c>
      <c r="AS529">
        <f>IF(OR(AS$4="",$A529&gt;TODAY()),0,IF(OR(INDEX($B529:$D529,AS$5)="F",AND(AS$6&gt;0,$A529&lt;AS$6),AND(AS$7&gt;0,$A529&gt;AS$7)),0,MAX(0,ROUND((INDEX($E529:$G529,AS$5)-SUMIFS(TF_Timer,TF_Tekniker,AS$4,TF_Dato,$A529))*2,0)/2)))</f>
        <v/>
      </c>
      <c r="AT529">
        <f>IF(OR(AT$4="",$A529&gt;TODAY()),0,IF(OR(INDEX($B529:$D529,AT$5)="F",AND(AT$6&gt;0,$A529&lt;AT$6),AND(AT$7&gt;0,$A529&gt;AT$7)),0,MAX(0,ROUND((INDEX($E529:$G529,AT$5)-SUMIFS(TF_Timer,TF_Tekniker,AT$4,TF_Dato,$A529))*2,0)/2)))</f>
        <v/>
      </c>
      <c r="AU529">
        <f>IF(OR(AU$4="",$A529&gt;TODAY()),0,IF(OR(INDEX($B529:$D529,AU$5)="F",AND(AU$6&gt;0,$A529&lt;AU$6),AND(AU$7&gt;0,$A529&gt;AU$7)),0,MAX(0,ROUND((INDEX($E529:$G529,AU$5)-SUMIFS(TF_Timer,TF_Tekniker,AU$4,TF_Dato,$A529))*2,0)/2)))</f>
        <v/>
      </c>
      <c r="AV529">
        <f>IF(OR(AV$4="",$A529&gt;TODAY()),0,IF(OR(INDEX($B529:$D529,AV$5)="F",AND(AV$6&gt;0,$A529&lt;AV$6),AND(AV$7&gt;0,$A529&gt;AV$7)),0,MAX(0,ROUND((INDEX($E529:$G529,AV$5)-SUMIFS(TF_Timer,TF_Tekniker,AV$4,TF_Dato,$A529))*2,0)/2)))</f>
        <v/>
      </c>
      <c r="AW529">
        <f>IF(OR(AW$4="",$A529&gt;TODAY()),0,IF(OR(INDEX($B529:$D529,AW$5)="F",AND(AW$6&gt;0,$A529&lt;AW$6),AND(AW$7&gt;0,$A529&gt;AW$7)),0,MAX(0,ROUND((INDEX($E529:$G529,AW$5)-SUMIFS(TF_Timer,TF_Tekniker,AW$4,TF_Dato,$A529))*2,0)/2)))</f>
        <v/>
      </c>
      <c r="AX529">
        <f>IF(OR(AX$4="",$A529&gt;TODAY()),0,IF(OR(INDEX($B529:$D529,AX$5)="F",AND(AX$6&gt;0,$A529&lt;AX$6),AND(AX$7&gt;0,$A529&gt;AX$7)),0,MAX(0,ROUND((INDEX($E529:$G529,AX$5)-SUMIFS(TF_Timer,TF_Tekniker,AX$4,TF_Dato,$A529))*2,0)/2)))</f>
        <v/>
      </c>
      <c r="AY529">
        <f>IF(OR(AY$4="",$A529&gt;TODAY()),0,IF(OR(INDEX($B529:$D529,AY$5)="F",AND(AY$6&gt;0,$A529&lt;AY$6),AND(AY$7&gt;0,$A529&gt;AY$7)),0,MAX(0,ROUND((INDEX($E529:$G529,AY$5)-SUMIFS(TF_Timer,TF_Tekniker,AY$4,TF_Dato,$A529))*2,0)/2)))</f>
        <v/>
      </c>
      <c r="AZ529">
        <f>IF(OR(AZ$4="",$A529&gt;TODAY()),0,IF(OR(INDEX($B529:$D529,AZ$5)="F",AND(AZ$6&gt;0,$A529&lt;AZ$6),AND(AZ$7&gt;0,$A529&gt;AZ$7)),0,MAX(0,ROUND((INDEX($E529:$G529,AZ$5)-SUMIFS(TF_Timer,TF_Tekniker,AZ$4,TF_Dato,$A529))*2,0)/2)))</f>
        <v/>
      </c>
      <c r="BA529">
        <f>IF(OR(BA$4="",$A529&gt;TODAY()),0,IF(OR(INDEX($B529:$D529,BA$5)="F",AND(BA$6&gt;0,$A529&lt;BA$6),AND(BA$7&gt;0,$A529&gt;BA$7)),0,MAX(0,ROUND((INDEX($E529:$G529,BA$5)-SUMIFS(TF_Timer,TF_Tekniker,BA$4,TF_Dato,$A529))*2,0)/2)))</f>
        <v/>
      </c>
      <c r="BB529">
        <f>IF(OR(BB$4="",$A529&gt;TODAY()),0,IF(OR(INDEX($B529:$D529,BB$5)="F",AND(BB$6&gt;0,$A529&lt;BB$6),AND(BB$7&gt;0,$A529&gt;BB$7)),0,MAX(0,ROUND((INDEX($E529:$G529,BB$5)-SUMIFS(TF_Timer,TF_Tekniker,BB$4,TF_Dato,$A529))*2,0)/2)))</f>
        <v/>
      </c>
      <c r="BC529">
        <f>IF(OR(BC$4="",$A529&gt;TODAY()),0,IF(OR(INDEX($B529:$D529,BC$5)="F",AND(BC$6&gt;0,$A529&lt;BC$6),AND(BC$7&gt;0,$A529&gt;BC$7)),0,MAX(0,ROUND((INDEX($E529:$G529,BC$5)-SUMIFS(TF_Timer,TF_Tekniker,BC$4,TF_Dato,$A529))*2,0)/2)))</f>
        <v/>
      </c>
      <c r="BD529">
        <f>IF(OR(BD$4="",$A529&gt;TODAY()),0,IF(OR(INDEX($B529:$D529,BD$5)="F",AND(BD$6&gt;0,$A529&lt;BD$6),AND(BD$7&gt;0,$A529&gt;BD$7)),0,MAX(0,ROUND((INDEX($E529:$G529,BD$5)-SUMIFS(TF_Timer,TF_Tekniker,BD$4,TF_Dato,$A529))*2,0)/2)))</f>
        <v/>
      </c>
      <c r="BE529">
        <f>IF(OR(BE$4="",$A529&gt;TODAY()),0,IF(OR(INDEX($B529:$D529,BE$5)="F",AND(BE$6&gt;0,$A529&lt;BE$6),AND(BE$7&gt;0,$A529&gt;BE$7)),0,MAX(0,ROUND((INDEX($E529:$G529,BE$5)-SUMIFS(TF_Timer,TF_Tekniker,BE$4,TF_Dato,$A529))*2,0)/2)))</f>
        <v/>
      </c>
      <c r="BF529">
        <f>IF(OR(BF$4="",$A529&gt;TODAY()),0,IF(OR(INDEX($B529:$D529,BF$5)="F",AND(BF$6&gt;0,$A529&lt;BF$6),AND(BF$7&gt;0,$A529&gt;BF$7)),0,MAX(0,ROUND((INDEX($E529:$G529,BF$5)-SUMIFS(TF_Timer,TF_Tekniker,BF$4,TF_Dato,$A529))*2,0)/2)))</f>
        <v/>
      </c>
      <c r="BG529">
        <f>IF(OR(BG$4="",$A529&gt;TODAY()),0,IF(OR(INDEX($B529:$D529,BG$5)="F",AND(BG$6&gt;0,$A529&lt;BG$6),AND(BG$7&gt;0,$A529&gt;BG$7)),0,MAX(0,ROUND((INDEX($E529:$G529,BG$5)-SUMIFS(TF_Timer,TF_Tekniker,BG$4,TF_Dato,$A529))*2,0)/2)))</f>
        <v/>
      </c>
      <c r="BH529">
        <f>IF(OR(BH$4="",$A529&gt;TODAY()),0,IF(OR(INDEX($B529:$D529,BH$5)="F",AND(BH$6&gt;0,$A529&lt;BH$6),AND(BH$7&gt;0,$A529&gt;BH$7)),0,MAX(0,ROUND((INDEX($E529:$G529,BH$5)-SUMIFS(TF_Timer,TF_Tekniker,BH$4,TF_Dato,$A529))*2,0)/2)))</f>
        <v/>
      </c>
      <c r="BI529">
        <f>IF(OR(BI$4="",$A529&gt;TODAY()),0,IF(OR(INDEX($B529:$D529,BI$5)="F",AND(BI$6&gt;0,$A529&lt;BI$6),AND(BI$7&gt;0,$A529&gt;BI$7)),0,MAX(0,ROUND((INDEX($E529:$G529,BI$5)-SUMIFS(TF_Timer,TF_Tekniker,BI$4,TF_Dato,$A529))*2,0)/2)))</f>
        <v/>
      </c>
    </row>
    <row r="530">
      <c r="A530" s="64">
        <f>A529+1</f>
        <v/>
      </c>
      <c r="B530">
        <f>IF(MOD($A530-INDEX(SkiftStart,1),Syklus)&lt;DagK,"K",IF(MOD($A530-INDEX(SkiftStart,1),Syklus)&lt;DagK+DagH,"H",IF(MOD($A530-INDEX(SkiftStart,1),Syklus)&lt;DagK+DagH+DagD,"D","F")))</f>
        <v/>
      </c>
      <c r="C530">
        <f>IF(MOD($A530-INDEX(SkiftStart,2),Syklus)&lt;DagK,"K",IF(MOD($A530-INDEX(SkiftStart,2),Syklus)&lt;DagK+DagH,"H",IF(MOD($A530-INDEX(SkiftStart,2),Syklus)&lt;DagK+DagH+DagD,"D","F")))</f>
        <v/>
      </c>
      <c r="D530">
        <f>IF(MOD($A530-INDEX(SkiftStart,3),Syklus)&lt;DagK,"K",IF(MOD($A530-INDEX(SkiftStart,3),Syklus)&lt;DagK+DagH,"H",IF(MOD($A530-INDEX(SkiftStart,3),Syklus)&lt;DagK+DagH+DagD,"D","F")))</f>
        <v/>
      </c>
      <c r="E530">
        <f>IF(B530="F",0,IF(WEEKDAY($A530,2)=5,INDEX(TimerFr,MATCH(B530,FaseKode,0)),INDEX(TimerMT,MATCH(B530,FaseKode,0))))</f>
        <v/>
      </c>
      <c r="F530">
        <f>IF(C530="F",0,IF(WEEKDAY($A530,2)=5,INDEX(TimerFr,MATCH(C530,FaseKode,0)),INDEX(TimerMT,MATCH(C530,FaseKode,0))))</f>
        <v/>
      </c>
      <c r="G530">
        <f>IF(D530="F",0,IF(WEEKDAY($A530,2)=5,INDEX(TimerFr,MATCH(D530,FaseKode,0)),INDEX(TimerMT,MATCH(D530,FaseKode,0))))</f>
        <v/>
      </c>
      <c r="H530">
        <f>IF(OR(H$4="",$A530&gt;TODAY()),0,IF(OR(INDEX($B530:$D530,H$5)="F",AND(H$6&gt;0,$A530&lt;H$6),AND(H$7&gt;0,$A530&gt;H$7)),0,MAX(0,ROUND((INDEX($E530:$G530,H$5)-SUMIFS(TF_Timer,TF_Tekniker,H$4,TF_Dato,$A530))*2,0)/2)))</f>
        <v/>
      </c>
      <c r="I530">
        <f>IF(OR(I$4="",$A530&gt;TODAY()),0,IF(OR(INDEX($B530:$D530,I$5)="F",AND(I$6&gt;0,$A530&lt;I$6),AND(I$7&gt;0,$A530&gt;I$7)),0,MAX(0,ROUND((INDEX($E530:$G530,I$5)-SUMIFS(TF_Timer,TF_Tekniker,I$4,TF_Dato,$A530))*2,0)/2)))</f>
        <v/>
      </c>
      <c r="J530">
        <f>IF(OR(J$4="",$A530&gt;TODAY()),0,IF(OR(INDEX($B530:$D530,J$5)="F",AND(J$6&gt;0,$A530&lt;J$6),AND(J$7&gt;0,$A530&gt;J$7)),0,MAX(0,ROUND((INDEX($E530:$G530,J$5)-SUMIFS(TF_Timer,TF_Tekniker,J$4,TF_Dato,$A530))*2,0)/2)))</f>
        <v/>
      </c>
      <c r="K530">
        <f>IF(OR(K$4="",$A530&gt;TODAY()),0,IF(OR(INDEX($B530:$D530,K$5)="F",AND(K$6&gt;0,$A530&lt;K$6),AND(K$7&gt;0,$A530&gt;K$7)),0,MAX(0,ROUND((INDEX($E530:$G530,K$5)-SUMIFS(TF_Timer,TF_Tekniker,K$4,TF_Dato,$A530))*2,0)/2)))</f>
        <v/>
      </c>
      <c r="L530">
        <f>IF(OR(L$4="",$A530&gt;TODAY()),0,IF(OR(INDEX($B530:$D530,L$5)="F",AND(L$6&gt;0,$A530&lt;L$6),AND(L$7&gt;0,$A530&gt;L$7)),0,MAX(0,ROUND((INDEX($E530:$G530,L$5)-SUMIFS(TF_Timer,TF_Tekniker,L$4,TF_Dato,$A530))*2,0)/2)))</f>
        <v/>
      </c>
      <c r="M530">
        <f>IF(OR(M$4="",$A530&gt;TODAY()),0,IF(OR(INDEX($B530:$D530,M$5)="F",AND(M$6&gt;0,$A530&lt;M$6),AND(M$7&gt;0,$A530&gt;M$7)),0,MAX(0,ROUND((INDEX($E530:$G530,M$5)-SUMIFS(TF_Timer,TF_Tekniker,M$4,TF_Dato,$A530))*2,0)/2)))</f>
        <v/>
      </c>
      <c r="N530">
        <f>IF(OR(N$4="",$A530&gt;TODAY()),0,IF(OR(INDEX($B530:$D530,N$5)="F",AND(N$6&gt;0,$A530&lt;N$6),AND(N$7&gt;0,$A530&gt;N$7)),0,MAX(0,ROUND((INDEX($E530:$G530,N$5)-SUMIFS(TF_Timer,TF_Tekniker,N$4,TF_Dato,$A530))*2,0)/2)))</f>
        <v/>
      </c>
      <c r="O530">
        <f>IF(OR(O$4="",$A530&gt;TODAY()),0,IF(OR(INDEX($B530:$D530,O$5)="F",AND(O$6&gt;0,$A530&lt;O$6),AND(O$7&gt;0,$A530&gt;O$7)),0,MAX(0,ROUND((INDEX($E530:$G530,O$5)-SUMIFS(TF_Timer,TF_Tekniker,O$4,TF_Dato,$A530))*2,0)/2)))</f>
        <v/>
      </c>
      <c r="P530">
        <f>IF(OR(P$4="",$A530&gt;TODAY()),0,IF(OR(INDEX($B530:$D530,P$5)="F",AND(P$6&gt;0,$A530&lt;P$6),AND(P$7&gt;0,$A530&gt;P$7)),0,MAX(0,ROUND((INDEX($E530:$G530,P$5)-SUMIFS(TF_Timer,TF_Tekniker,P$4,TF_Dato,$A530))*2,0)/2)))</f>
        <v/>
      </c>
      <c r="Q530">
        <f>IF(OR(Q$4="",$A530&gt;TODAY()),0,IF(OR(INDEX($B530:$D530,Q$5)="F",AND(Q$6&gt;0,$A530&lt;Q$6),AND(Q$7&gt;0,$A530&gt;Q$7)),0,MAX(0,ROUND((INDEX($E530:$G530,Q$5)-SUMIFS(TF_Timer,TF_Tekniker,Q$4,TF_Dato,$A530))*2,0)/2)))</f>
        <v/>
      </c>
      <c r="R530">
        <f>IF(OR(R$4="",$A530&gt;TODAY()),0,IF(OR(INDEX($B530:$D530,R$5)="F",AND(R$6&gt;0,$A530&lt;R$6),AND(R$7&gt;0,$A530&gt;R$7)),0,MAX(0,ROUND((INDEX($E530:$G530,R$5)-SUMIFS(TF_Timer,TF_Tekniker,R$4,TF_Dato,$A530))*2,0)/2)))</f>
        <v/>
      </c>
      <c r="S530">
        <f>IF(OR(S$4="",$A530&gt;TODAY()),0,IF(OR(INDEX($B530:$D530,S$5)="F",AND(S$6&gt;0,$A530&lt;S$6),AND(S$7&gt;0,$A530&gt;S$7)),0,MAX(0,ROUND((INDEX($E530:$G530,S$5)-SUMIFS(TF_Timer,TF_Tekniker,S$4,TF_Dato,$A530))*2,0)/2)))</f>
        <v/>
      </c>
      <c r="T530">
        <f>IF(OR(T$4="",$A530&gt;TODAY()),0,IF(OR(INDEX($B530:$D530,T$5)="F",AND(T$6&gt;0,$A530&lt;T$6),AND(T$7&gt;0,$A530&gt;T$7)),0,MAX(0,ROUND((INDEX($E530:$G530,T$5)-SUMIFS(TF_Timer,TF_Tekniker,T$4,TF_Dato,$A530))*2,0)/2)))</f>
        <v/>
      </c>
      <c r="U530">
        <f>IF(OR(U$4="",$A530&gt;TODAY()),0,IF(OR(INDEX($B530:$D530,U$5)="F",AND(U$6&gt;0,$A530&lt;U$6),AND(U$7&gt;0,$A530&gt;U$7)),0,MAX(0,ROUND((INDEX($E530:$G530,U$5)-SUMIFS(TF_Timer,TF_Tekniker,U$4,TF_Dato,$A530))*2,0)/2)))</f>
        <v/>
      </c>
      <c r="V530">
        <f>IF(OR(V$4="",$A530&gt;TODAY()),0,IF(OR(INDEX($B530:$D530,V$5)="F",AND(V$6&gt;0,$A530&lt;V$6),AND(V$7&gt;0,$A530&gt;V$7)),0,MAX(0,ROUND((INDEX($E530:$G530,V$5)-SUMIFS(TF_Timer,TF_Tekniker,V$4,TF_Dato,$A530))*2,0)/2)))</f>
        <v/>
      </c>
      <c r="W530">
        <f>IF(OR(W$4="",$A530&gt;TODAY()),0,IF(OR(INDEX($B530:$D530,W$5)="F",AND(W$6&gt;0,$A530&lt;W$6),AND(W$7&gt;0,$A530&gt;W$7)),0,MAX(0,ROUND((INDEX($E530:$G530,W$5)-SUMIFS(TF_Timer,TF_Tekniker,W$4,TF_Dato,$A530))*2,0)/2)))</f>
        <v/>
      </c>
      <c r="X530">
        <f>IF(OR(X$4="",$A530&gt;TODAY()),0,IF(OR(INDEX($B530:$D530,X$5)="F",AND(X$6&gt;0,$A530&lt;X$6),AND(X$7&gt;0,$A530&gt;X$7)),0,MAX(0,ROUND((INDEX($E530:$G530,X$5)-SUMIFS(TF_Timer,TF_Tekniker,X$4,TF_Dato,$A530))*2,0)/2)))</f>
        <v/>
      </c>
      <c r="Y530">
        <f>IF(OR(Y$4="",$A530&gt;TODAY()),0,IF(OR(INDEX($B530:$D530,Y$5)="F",AND(Y$6&gt;0,$A530&lt;Y$6),AND(Y$7&gt;0,$A530&gt;Y$7)),0,MAX(0,ROUND((INDEX($E530:$G530,Y$5)-SUMIFS(TF_Timer,TF_Tekniker,Y$4,TF_Dato,$A530))*2,0)/2)))</f>
        <v/>
      </c>
      <c r="Z530">
        <f>IF(OR(Z$4="",$A530&gt;TODAY()),0,IF(OR(INDEX($B530:$D530,Z$5)="F",AND(Z$6&gt;0,$A530&lt;Z$6),AND(Z$7&gt;0,$A530&gt;Z$7)),0,MAX(0,ROUND((INDEX($E530:$G530,Z$5)-SUMIFS(TF_Timer,TF_Tekniker,Z$4,TF_Dato,$A530))*2,0)/2)))</f>
        <v/>
      </c>
      <c r="AA530">
        <f>IF(OR(AA$4="",$A530&gt;TODAY()),0,IF(OR(INDEX($B530:$D530,AA$5)="F",AND(AA$6&gt;0,$A530&lt;AA$6),AND(AA$7&gt;0,$A530&gt;AA$7)),0,MAX(0,ROUND((INDEX($E530:$G530,AA$5)-SUMIFS(TF_Timer,TF_Tekniker,AA$4,TF_Dato,$A530))*2,0)/2)))</f>
        <v/>
      </c>
      <c r="AB530">
        <f>IF(OR(AB$4="",$A530&gt;TODAY()),0,IF(OR(INDEX($B530:$D530,AB$5)="F",AND(AB$6&gt;0,$A530&lt;AB$6),AND(AB$7&gt;0,$A530&gt;AB$7)),0,MAX(0,ROUND((INDEX($E530:$G530,AB$5)-SUMIFS(TF_Timer,TF_Tekniker,AB$4,TF_Dato,$A530))*2,0)/2)))</f>
        <v/>
      </c>
      <c r="AC530">
        <f>IF(OR(AC$4="",$A530&gt;TODAY()),0,IF(OR(INDEX($B530:$D530,AC$5)="F",AND(AC$6&gt;0,$A530&lt;AC$6),AND(AC$7&gt;0,$A530&gt;AC$7)),0,MAX(0,ROUND((INDEX($E530:$G530,AC$5)-SUMIFS(TF_Timer,TF_Tekniker,AC$4,TF_Dato,$A530))*2,0)/2)))</f>
        <v/>
      </c>
      <c r="AD530">
        <f>IF(OR(AD$4="",$A530&gt;TODAY()),0,IF(OR(INDEX($B530:$D530,AD$5)="F",AND(AD$6&gt;0,$A530&lt;AD$6),AND(AD$7&gt;0,$A530&gt;AD$7)),0,MAX(0,ROUND((INDEX($E530:$G530,AD$5)-SUMIFS(TF_Timer,TF_Tekniker,AD$4,TF_Dato,$A530))*2,0)/2)))</f>
        <v/>
      </c>
      <c r="AE530">
        <f>IF(OR(AE$4="",$A530&gt;TODAY()),0,IF(OR(INDEX($B530:$D530,AE$5)="F",AND(AE$6&gt;0,$A530&lt;AE$6),AND(AE$7&gt;0,$A530&gt;AE$7)),0,MAX(0,ROUND((INDEX($E530:$G530,AE$5)-SUMIFS(TF_Timer,TF_Tekniker,AE$4,TF_Dato,$A530))*2,0)/2)))</f>
        <v/>
      </c>
      <c r="AF530">
        <f>IF(OR(AF$4="",$A530&gt;TODAY()),0,IF(OR(INDEX($B530:$D530,AF$5)="F",AND(AF$6&gt;0,$A530&lt;AF$6),AND(AF$7&gt;0,$A530&gt;AF$7)),0,MAX(0,ROUND((INDEX($E530:$G530,AF$5)-SUMIFS(TF_Timer,TF_Tekniker,AF$4,TF_Dato,$A530))*2,0)/2)))</f>
        <v/>
      </c>
      <c r="AG530">
        <f>IF(OR(AG$4="",$A530&gt;TODAY()),0,IF(OR(INDEX($B530:$D530,AG$5)="F",AND(AG$6&gt;0,$A530&lt;AG$6),AND(AG$7&gt;0,$A530&gt;AG$7)),0,MAX(0,ROUND((INDEX($E530:$G530,AG$5)-SUMIFS(TF_Timer,TF_Tekniker,AG$4,TF_Dato,$A530))*2,0)/2)))</f>
        <v/>
      </c>
      <c r="AH530">
        <f>IF(OR(AH$4="",$A530&gt;TODAY()),0,IF(OR(INDEX($B530:$D530,AH$5)="F",AND(AH$6&gt;0,$A530&lt;AH$6),AND(AH$7&gt;0,$A530&gt;AH$7)),0,MAX(0,ROUND((INDEX($E530:$G530,AH$5)-SUMIFS(TF_Timer,TF_Tekniker,AH$4,TF_Dato,$A530))*2,0)/2)))</f>
        <v/>
      </c>
      <c r="AI530">
        <f>IF(OR(AI$4="",$A530&gt;TODAY()),0,IF(OR(INDEX($B530:$D530,AI$5)="F",AND(AI$6&gt;0,$A530&lt;AI$6),AND(AI$7&gt;0,$A530&gt;AI$7)),0,MAX(0,ROUND((INDEX($E530:$G530,AI$5)-SUMIFS(TF_Timer,TF_Tekniker,AI$4,TF_Dato,$A530))*2,0)/2)))</f>
        <v/>
      </c>
      <c r="AJ530">
        <f>IF(OR(AJ$4="",$A530&gt;TODAY()),0,IF(OR(INDEX($B530:$D530,AJ$5)="F",AND(AJ$6&gt;0,$A530&lt;AJ$6),AND(AJ$7&gt;0,$A530&gt;AJ$7)),0,MAX(0,ROUND((INDEX($E530:$G530,AJ$5)-SUMIFS(TF_Timer,TF_Tekniker,AJ$4,TF_Dato,$A530))*2,0)/2)))</f>
        <v/>
      </c>
      <c r="AK530">
        <f>IF(OR(AK$4="",$A530&gt;TODAY()),0,IF(OR(INDEX($B530:$D530,AK$5)="F",AND(AK$6&gt;0,$A530&lt;AK$6),AND(AK$7&gt;0,$A530&gt;AK$7)),0,MAX(0,ROUND((INDEX($E530:$G530,AK$5)-SUMIFS(TF_Timer,TF_Tekniker,AK$4,TF_Dato,$A530))*2,0)/2)))</f>
        <v/>
      </c>
      <c r="AL530">
        <f>IF(OR(AL$4="",$A530&gt;TODAY()),0,IF(OR(INDEX($B530:$D530,AL$5)="F",AND(AL$6&gt;0,$A530&lt;AL$6),AND(AL$7&gt;0,$A530&gt;AL$7)),0,MAX(0,ROUND((INDEX($E530:$G530,AL$5)-SUMIFS(TF_Timer,TF_Tekniker,AL$4,TF_Dato,$A530))*2,0)/2)))</f>
        <v/>
      </c>
      <c r="AM530">
        <f>IF(OR(AM$4="",$A530&gt;TODAY()),0,IF(OR(INDEX($B530:$D530,AM$5)="F",AND(AM$6&gt;0,$A530&lt;AM$6),AND(AM$7&gt;0,$A530&gt;AM$7)),0,MAX(0,ROUND((INDEX($E530:$G530,AM$5)-SUMIFS(TF_Timer,TF_Tekniker,AM$4,TF_Dato,$A530))*2,0)/2)))</f>
        <v/>
      </c>
      <c r="AN530">
        <f>IF(OR(AN$4="",$A530&gt;TODAY()),0,IF(OR(INDEX($B530:$D530,AN$5)="F",AND(AN$6&gt;0,$A530&lt;AN$6),AND(AN$7&gt;0,$A530&gt;AN$7)),0,MAX(0,ROUND((INDEX($E530:$G530,AN$5)-SUMIFS(TF_Timer,TF_Tekniker,AN$4,TF_Dato,$A530))*2,0)/2)))</f>
        <v/>
      </c>
      <c r="AO530">
        <f>IF(OR(AO$4="",$A530&gt;TODAY()),0,IF(OR(INDEX($B530:$D530,AO$5)="F",AND(AO$6&gt;0,$A530&lt;AO$6),AND(AO$7&gt;0,$A530&gt;AO$7)),0,MAX(0,ROUND((INDEX($E530:$G530,AO$5)-SUMIFS(TF_Timer,TF_Tekniker,AO$4,TF_Dato,$A530))*2,0)/2)))</f>
        <v/>
      </c>
      <c r="AP530">
        <f>IF(OR(AP$4="",$A530&gt;TODAY()),0,IF(OR(INDEX($B530:$D530,AP$5)="F",AND(AP$6&gt;0,$A530&lt;AP$6),AND(AP$7&gt;0,$A530&gt;AP$7)),0,MAX(0,ROUND((INDEX($E530:$G530,AP$5)-SUMIFS(TF_Timer,TF_Tekniker,AP$4,TF_Dato,$A530))*2,0)/2)))</f>
        <v/>
      </c>
      <c r="AQ530">
        <f>IF(OR(AQ$4="",$A530&gt;TODAY()),0,IF(OR(INDEX($B530:$D530,AQ$5)="F",AND(AQ$6&gt;0,$A530&lt;AQ$6),AND(AQ$7&gt;0,$A530&gt;AQ$7)),0,MAX(0,ROUND((INDEX($E530:$G530,AQ$5)-SUMIFS(TF_Timer,TF_Tekniker,AQ$4,TF_Dato,$A530))*2,0)/2)))</f>
        <v/>
      </c>
      <c r="AR530">
        <f>IF(OR(AR$4="",$A530&gt;TODAY()),0,IF(OR(INDEX($B530:$D530,AR$5)="F",AND(AR$6&gt;0,$A530&lt;AR$6),AND(AR$7&gt;0,$A530&gt;AR$7)),0,MAX(0,ROUND((INDEX($E530:$G530,AR$5)-SUMIFS(TF_Timer,TF_Tekniker,AR$4,TF_Dato,$A530))*2,0)/2)))</f>
        <v/>
      </c>
      <c r="AS530">
        <f>IF(OR(AS$4="",$A530&gt;TODAY()),0,IF(OR(INDEX($B530:$D530,AS$5)="F",AND(AS$6&gt;0,$A530&lt;AS$6),AND(AS$7&gt;0,$A530&gt;AS$7)),0,MAX(0,ROUND((INDEX($E530:$G530,AS$5)-SUMIFS(TF_Timer,TF_Tekniker,AS$4,TF_Dato,$A530))*2,0)/2)))</f>
        <v/>
      </c>
      <c r="AT530">
        <f>IF(OR(AT$4="",$A530&gt;TODAY()),0,IF(OR(INDEX($B530:$D530,AT$5)="F",AND(AT$6&gt;0,$A530&lt;AT$6),AND(AT$7&gt;0,$A530&gt;AT$7)),0,MAX(0,ROUND((INDEX($E530:$G530,AT$5)-SUMIFS(TF_Timer,TF_Tekniker,AT$4,TF_Dato,$A530))*2,0)/2)))</f>
        <v/>
      </c>
      <c r="AU530">
        <f>IF(OR(AU$4="",$A530&gt;TODAY()),0,IF(OR(INDEX($B530:$D530,AU$5)="F",AND(AU$6&gt;0,$A530&lt;AU$6),AND(AU$7&gt;0,$A530&gt;AU$7)),0,MAX(0,ROUND((INDEX($E530:$G530,AU$5)-SUMIFS(TF_Timer,TF_Tekniker,AU$4,TF_Dato,$A530))*2,0)/2)))</f>
        <v/>
      </c>
      <c r="AV530">
        <f>IF(OR(AV$4="",$A530&gt;TODAY()),0,IF(OR(INDEX($B530:$D530,AV$5)="F",AND(AV$6&gt;0,$A530&lt;AV$6),AND(AV$7&gt;0,$A530&gt;AV$7)),0,MAX(0,ROUND((INDEX($E530:$G530,AV$5)-SUMIFS(TF_Timer,TF_Tekniker,AV$4,TF_Dato,$A530))*2,0)/2)))</f>
        <v/>
      </c>
      <c r="AW530">
        <f>IF(OR(AW$4="",$A530&gt;TODAY()),0,IF(OR(INDEX($B530:$D530,AW$5)="F",AND(AW$6&gt;0,$A530&lt;AW$6),AND(AW$7&gt;0,$A530&gt;AW$7)),0,MAX(0,ROUND((INDEX($E530:$G530,AW$5)-SUMIFS(TF_Timer,TF_Tekniker,AW$4,TF_Dato,$A530))*2,0)/2)))</f>
        <v/>
      </c>
      <c r="AX530">
        <f>IF(OR(AX$4="",$A530&gt;TODAY()),0,IF(OR(INDEX($B530:$D530,AX$5)="F",AND(AX$6&gt;0,$A530&lt;AX$6),AND(AX$7&gt;0,$A530&gt;AX$7)),0,MAX(0,ROUND((INDEX($E530:$G530,AX$5)-SUMIFS(TF_Timer,TF_Tekniker,AX$4,TF_Dato,$A530))*2,0)/2)))</f>
        <v/>
      </c>
      <c r="AY530">
        <f>IF(OR(AY$4="",$A530&gt;TODAY()),0,IF(OR(INDEX($B530:$D530,AY$5)="F",AND(AY$6&gt;0,$A530&lt;AY$6),AND(AY$7&gt;0,$A530&gt;AY$7)),0,MAX(0,ROUND((INDEX($E530:$G530,AY$5)-SUMIFS(TF_Timer,TF_Tekniker,AY$4,TF_Dato,$A530))*2,0)/2)))</f>
        <v/>
      </c>
      <c r="AZ530">
        <f>IF(OR(AZ$4="",$A530&gt;TODAY()),0,IF(OR(INDEX($B530:$D530,AZ$5)="F",AND(AZ$6&gt;0,$A530&lt;AZ$6),AND(AZ$7&gt;0,$A530&gt;AZ$7)),0,MAX(0,ROUND((INDEX($E530:$G530,AZ$5)-SUMIFS(TF_Timer,TF_Tekniker,AZ$4,TF_Dato,$A530))*2,0)/2)))</f>
        <v/>
      </c>
      <c r="BA530">
        <f>IF(OR(BA$4="",$A530&gt;TODAY()),0,IF(OR(INDEX($B530:$D530,BA$5)="F",AND(BA$6&gt;0,$A530&lt;BA$6),AND(BA$7&gt;0,$A530&gt;BA$7)),0,MAX(0,ROUND((INDEX($E530:$G530,BA$5)-SUMIFS(TF_Timer,TF_Tekniker,BA$4,TF_Dato,$A530))*2,0)/2)))</f>
        <v/>
      </c>
      <c r="BB530">
        <f>IF(OR(BB$4="",$A530&gt;TODAY()),0,IF(OR(INDEX($B530:$D530,BB$5)="F",AND(BB$6&gt;0,$A530&lt;BB$6),AND(BB$7&gt;0,$A530&gt;BB$7)),0,MAX(0,ROUND((INDEX($E530:$G530,BB$5)-SUMIFS(TF_Timer,TF_Tekniker,BB$4,TF_Dato,$A530))*2,0)/2)))</f>
        <v/>
      </c>
      <c r="BC530">
        <f>IF(OR(BC$4="",$A530&gt;TODAY()),0,IF(OR(INDEX($B530:$D530,BC$5)="F",AND(BC$6&gt;0,$A530&lt;BC$6),AND(BC$7&gt;0,$A530&gt;BC$7)),0,MAX(0,ROUND((INDEX($E530:$G530,BC$5)-SUMIFS(TF_Timer,TF_Tekniker,BC$4,TF_Dato,$A530))*2,0)/2)))</f>
        <v/>
      </c>
      <c r="BD530">
        <f>IF(OR(BD$4="",$A530&gt;TODAY()),0,IF(OR(INDEX($B530:$D530,BD$5)="F",AND(BD$6&gt;0,$A530&lt;BD$6),AND(BD$7&gt;0,$A530&gt;BD$7)),0,MAX(0,ROUND((INDEX($E530:$G530,BD$5)-SUMIFS(TF_Timer,TF_Tekniker,BD$4,TF_Dato,$A530))*2,0)/2)))</f>
        <v/>
      </c>
      <c r="BE530">
        <f>IF(OR(BE$4="",$A530&gt;TODAY()),0,IF(OR(INDEX($B530:$D530,BE$5)="F",AND(BE$6&gt;0,$A530&lt;BE$6),AND(BE$7&gt;0,$A530&gt;BE$7)),0,MAX(0,ROUND((INDEX($E530:$G530,BE$5)-SUMIFS(TF_Timer,TF_Tekniker,BE$4,TF_Dato,$A530))*2,0)/2)))</f>
        <v/>
      </c>
      <c r="BF530">
        <f>IF(OR(BF$4="",$A530&gt;TODAY()),0,IF(OR(INDEX($B530:$D530,BF$5)="F",AND(BF$6&gt;0,$A530&lt;BF$6),AND(BF$7&gt;0,$A530&gt;BF$7)),0,MAX(0,ROUND((INDEX($E530:$G530,BF$5)-SUMIFS(TF_Timer,TF_Tekniker,BF$4,TF_Dato,$A530))*2,0)/2)))</f>
        <v/>
      </c>
      <c r="BG530">
        <f>IF(OR(BG$4="",$A530&gt;TODAY()),0,IF(OR(INDEX($B530:$D530,BG$5)="F",AND(BG$6&gt;0,$A530&lt;BG$6),AND(BG$7&gt;0,$A530&gt;BG$7)),0,MAX(0,ROUND((INDEX($E530:$G530,BG$5)-SUMIFS(TF_Timer,TF_Tekniker,BG$4,TF_Dato,$A530))*2,0)/2)))</f>
        <v/>
      </c>
      <c r="BH530">
        <f>IF(OR(BH$4="",$A530&gt;TODAY()),0,IF(OR(INDEX($B530:$D530,BH$5)="F",AND(BH$6&gt;0,$A530&lt;BH$6),AND(BH$7&gt;0,$A530&gt;BH$7)),0,MAX(0,ROUND((INDEX($E530:$G530,BH$5)-SUMIFS(TF_Timer,TF_Tekniker,BH$4,TF_Dato,$A530))*2,0)/2)))</f>
        <v/>
      </c>
      <c r="BI530">
        <f>IF(OR(BI$4="",$A530&gt;TODAY()),0,IF(OR(INDEX($B530:$D530,BI$5)="F",AND(BI$6&gt;0,$A530&lt;BI$6),AND(BI$7&gt;0,$A530&gt;BI$7)),0,MAX(0,ROUND((INDEX($E530:$G530,BI$5)-SUMIFS(TF_Timer,TF_Tekniker,BI$4,TF_Dato,$A530))*2,0)/2)))</f>
        <v/>
      </c>
    </row>
    <row r="531">
      <c r="A531" s="64">
        <f>A530+1</f>
        <v/>
      </c>
      <c r="B531">
        <f>IF(MOD($A531-INDEX(SkiftStart,1),Syklus)&lt;DagK,"K",IF(MOD($A531-INDEX(SkiftStart,1),Syklus)&lt;DagK+DagH,"H",IF(MOD($A531-INDEX(SkiftStart,1),Syklus)&lt;DagK+DagH+DagD,"D","F")))</f>
        <v/>
      </c>
      <c r="C531">
        <f>IF(MOD($A531-INDEX(SkiftStart,2),Syklus)&lt;DagK,"K",IF(MOD($A531-INDEX(SkiftStart,2),Syklus)&lt;DagK+DagH,"H",IF(MOD($A531-INDEX(SkiftStart,2),Syklus)&lt;DagK+DagH+DagD,"D","F")))</f>
        <v/>
      </c>
      <c r="D531">
        <f>IF(MOD($A531-INDEX(SkiftStart,3),Syklus)&lt;DagK,"K",IF(MOD($A531-INDEX(SkiftStart,3),Syklus)&lt;DagK+DagH,"H",IF(MOD($A531-INDEX(SkiftStart,3),Syklus)&lt;DagK+DagH+DagD,"D","F")))</f>
        <v/>
      </c>
      <c r="E531">
        <f>IF(B531="F",0,IF(WEEKDAY($A531,2)=5,INDEX(TimerFr,MATCH(B531,FaseKode,0)),INDEX(TimerMT,MATCH(B531,FaseKode,0))))</f>
        <v/>
      </c>
      <c r="F531">
        <f>IF(C531="F",0,IF(WEEKDAY($A531,2)=5,INDEX(TimerFr,MATCH(C531,FaseKode,0)),INDEX(TimerMT,MATCH(C531,FaseKode,0))))</f>
        <v/>
      </c>
      <c r="G531">
        <f>IF(D531="F",0,IF(WEEKDAY($A531,2)=5,INDEX(TimerFr,MATCH(D531,FaseKode,0)),INDEX(TimerMT,MATCH(D531,FaseKode,0))))</f>
        <v/>
      </c>
      <c r="H531">
        <f>IF(OR(H$4="",$A531&gt;TODAY()),0,IF(OR(INDEX($B531:$D531,H$5)="F",AND(H$6&gt;0,$A531&lt;H$6),AND(H$7&gt;0,$A531&gt;H$7)),0,MAX(0,ROUND((INDEX($E531:$G531,H$5)-SUMIFS(TF_Timer,TF_Tekniker,H$4,TF_Dato,$A531))*2,0)/2)))</f>
        <v/>
      </c>
      <c r="I531">
        <f>IF(OR(I$4="",$A531&gt;TODAY()),0,IF(OR(INDEX($B531:$D531,I$5)="F",AND(I$6&gt;0,$A531&lt;I$6),AND(I$7&gt;0,$A531&gt;I$7)),0,MAX(0,ROUND((INDEX($E531:$G531,I$5)-SUMIFS(TF_Timer,TF_Tekniker,I$4,TF_Dato,$A531))*2,0)/2)))</f>
        <v/>
      </c>
      <c r="J531">
        <f>IF(OR(J$4="",$A531&gt;TODAY()),0,IF(OR(INDEX($B531:$D531,J$5)="F",AND(J$6&gt;0,$A531&lt;J$6),AND(J$7&gt;0,$A531&gt;J$7)),0,MAX(0,ROUND((INDEX($E531:$G531,J$5)-SUMIFS(TF_Timer,TF_Tekniker,J$4,TF_Dato,$A531))*2,0)/2)))</f>
        <v/>
      </c>
      <c r="K531">
        <f>IF(OR(K$4="",$A531&gt;TODAY()),0,IF(OR(INDEX($B531:$D531,K$5)="F",AND(K$6&gt;0,$A531&lt;K$6),AND(K$7&gt;0,$A531&gt;K$7)),0,MAX(0,ROUND((INDEX($E531:$G531,K$5)-SUMIFS(TF_Timer,TF_Tekniker,K$4,TF_Dato,$A531))*2,0)/2)))</f>
        <v/>
      </c>
      <c r="L531">
        <f>IF(OR(L$4="",$A531&gt;TODAY()),0,IF(OR(INDEX($B531:$D531,L$5)="F",AND(L$6&gt;0,$A531&lt;L$6),AND(L$7&gt;0,$A531&gt;L$7)),0,MAX(0,ROUND((INDEX($E531:$G531,L$5)-SUMIFS(TF_Timer,TF_Tekniker,L$4,TF_Dato,$A531))*2,0)/2)))</f>
        <v/>
      </c>
      <c r="M531">
        <f>IF(OR(M$4="",$A531&gt;TODAY()),0,IF(OR(INDEX($B531:$D531,M$5)="F",AND(M$6&gt;0,$A531&lt;M$6),AND(M$7&gt;0,$A531&gt;M$7)),0,MAX(0,ROUND((INDEX($E531:$G531,M$5)-SUMIFS(TF_Timer,TF_Tekniker,M$4,TF_Dato,$A531))*2,0)/2)))</f>
        <v/>
      </c>
      <c r="N531">
        <f>IF(OR(N$4="",$A531&gt;TODAY()),0,IF(OR(INDEX($B531:$D531,N$5)="F",AND(N$6&gt;0,$A531&lt;N$6),AND(N$7&gt;0,$A531&gt;N$7)),0,MAX(0,ROUND((INDEX($E531:$G531,N$5)-SUMIFS(TF_Timer,TF_Tekniker,N$4,TF_Dato,$A531))*2,0)/2)))</f>
        <v/>
      </c>
      <c r="O531">
        <f>IF(OR(O$4="",$A531&gt;TODAY()),0,IF(OR(INDEX($B531:$D531,O$5)="F",AND(O$6&gt;0,$A531&lt;O$6),AND(O$7&gt;0,$A531&gt;O$7)),0,MAX(0,ROUND((INDEX($E531:$G531,O$5)-SUMIFS(TF_Timer,TF_Tekniker,O$4,TF_Dato,$A531))*2,0)/2)))</f>
        <v/>
      </c>
      <c r="P531">
        <f>IF(OR(P$4="",$A531&gt;TODAY()),0,IF(OR(INDEX($B531:$D531,P$5)="F",AND(P$6&gt;0,$A531&lt;P$6),AND(P$7&gt;0,$A531&gt;P$7)),0,MAX(0,ROUND((INDEX($E531:$G531,P$5)-SUMIFS(TF_Timer,TF_Tekniker,P$4,TF_Dato,$A531))*2,0)/2)))</f>
        <v/>
      </c>
      <c r="Q531">
        <f>IF(OR(Q$4="",$A531&gt;TODAY()),0,IF(OR(INDEX($B531:$D531,Q$5)="F",AND(Q$6&gt;0,$A531&lt;Q$6),AND(Q$7&gt;0,$A531&gt;Q$7)),0,MAX(0,ROUND((INDEX($E531:$G531,Q$5)-SUMIFS(TF_Timer,TF_Tekniker,Q$4,TF_Dato,$A531))*2,0)/2)))</f>
        <v/>
      </c>
      <c r="R531">
        <f>IF(OR(R$4="",$A531&gt;TODAY()),0,IF(OR(INDEX($B531:$D531,R$5)="F",AND(R$6&gt;0,$A531&lt;R$6),AND(R$7&gt;0,$A531&gt;R$7)),0,MAX(0,ROUND((INDEX($E531:$G531,R$5)-SUMIFS(TF_Timer,TF_Tekniker,R$4,TF_Dato,$A531))*2,0)/2)))</f>
        <v/>
      </c>
      <c r="S531">
        <f>IF(OR(S$4="",$A531&gt;TODAY()),0,IF(OR(INDEX($B531:$D531,S$5)="F",AND(S$6&gt;0,$A531&lt;S$6),AND(S$7&gt;0,$A531&gt;S$7)),0,MAX(0,ROUND((INDEX($E531:$G531,S$5)-SUMIFS(TF_Timer,TF_Tekniker,S$4,TF_Dato,$A531))*2,0)/2)))</f>
        <v/>
      </c>
      <c r="T531">
        <f>IF(OR(T$4="",$A531&gt;TODAY()),0,IF(OR(INDEX($B531:$D531,T$5)="F",AND(T$6&gt;0,$A531&lt;T$6),AND(T$7&gt;0,$A531&gt;T$7)),0,MAX(0,ROUND((INDEX($E531:$G531,T$5)-SUMIFS(TF_Timer,TF_Tekniker,T$4,TF_Dato,$A531))*2,0)/2)))</f>
        <v/>
      </c>
      <c r="U531">
        <f>IF(OR(U$4="",$A531&gt;TODAY()),0,IF(OR(INDEX($B531:$D531,U$5)="F",AND(U$6&gt;0,$A531&lt;U$6),AND(U$7&gt;0,$A531&gt;U$7)),0,MAX(0,ROUND((INDEX($E531:$G531,U$5)-SUMIFS(TF_Timer,TF_Tekniker,U$4,TF_Dato,$A531))*2,0)/2)))</f>
        <v/>
      </c>
      <c r="V531">
        <f>IF(OR(V$4="",$A531&gt;TODAY()),0,IF(OR(INDEX($B531:$D531,V$5)="F",AND(V$6&gt;0,$A531&lt;V$6),AND(V$7&gt;0,$A531&gt;V$7)),0,MAX(0,ROUND((INDEX($E531:$G531,V$5)-SUMIFS(TF_Timer,TF_Tekniker,V$4,TF_Dato,$A531))*2,0)/2)))</f>
        <v/>
      </c>
      <c r="W531">
        <f>IF(OR(W$4="",$A531&gt;TODAY()),0,IF(OR(INDEX($B531:$D531,W$5)="F",AND(W$6&gt;0,$A531&lt;W$6),AND(W$7&gt;0,$A531&gt;W$7)),0,MAX(0,ROUND((INDEX($E531:$G531,W$5)-SUMIFS(TF_Timer,TF_Tekniker,W$4,TF_Dato,$A531))*2,0)/2)))</f>
        <v/>
      </c>
      <c r="X531">
        <f>IF(OR(X$4="",$A531&gt;TODAY()),0,IF(OR(INDEX($B531:$D531,X$5)="F",AND(X$6&gt;0,$A531&lt;X$6),AND(X$7&gt;0,$A531&gt;X$7)),0,MAX(0,ROUND((INDEX($E531:$G531,X$5)-SUMIFS(TF_Timer,TF_Tekniker,X$4,TF_Dato,$A531))*2,0)/2)))</f>
        <v/>
      </c>
      <c r="Y531">
        <f>IF(OR(Y$4="",$A531&gt;TODAY()),0,IF(OR(INDEX($B531:$D531,Y$5)="F",AND(Y$6&gt;0,$A531&lt;Y$6),AND(Y$7&gt;0,$A531&gt;Y$7)),0,MAX(0,ROUND((INDEX($E531:$G531,Y$5)-SUMIFS(TF_Timer,TF_Tekniker,Y$4,TF_Dato,$A531))*2,0)/2)))</f>
        <v/>
      </c>
      <c r="Z531">
        <f>IF(OR(Z$4="",$A531&gt;TODAY()),0,IF(OR(INDEX($B531:$D531,Z$5)="F",AND(Z$6&gt;0,$A531&lt;Z$6),AND(Z$7&gt;0,$A531&gt;Z$7)),0,MAX(0,ROUND((INDEX($E531:$G531,Z$5)-SUMIFS(TF_Timer,TF_Tekniker,Z$4,TF_Dato,$A531))*2,0)/2)))</f>
        <v/>
      </c>
      <c r="AA531">
        <f>IF(OR(AA$4="",$A531&gt;TODAY()),0,IF(OR(INDEX($B531:$D531,AA$5)="F",AND(AA$6&gt;0,$A531&lt;AA$6),AND(AA$7&gt;0,$A531&gt;AA$7)),0,MAX(0,ROUND((INDEX($E531:$G531,AA$5)-SUMIFS(TF_Timer,TF_Tekniker,AA$4,TF_Dato,$A531))*2,0)/2)))</f>
        <v/>
      </c>
      <c r="AB531">
        <f>IF(OR(AB$4="",$A531&gt;TODAY()),0,IF(OR(INDEX($B531:$D531,AB$5)="F",AND(AB$6&gt;0,$A531&lt;AB$6),AND(AB$7&gt;0,$A531&gt;AB$7)),0,MAX(0,ROUND((INDEX($E531:$G531,AB$5)-SUMIFS(TF_Timer,TF_Tekniker,AB$4,TF_Dato,$A531))*2,0)/2)))</f>
        <v/>
      </c>
      <c r="AC531">
        <f>IF(OR(AC$4="",$A531&gt;TODAY()),0,IF(OR(INDEX($B531:$D531,AC$5)="F",AND(AC$6&gt;0,$A531&lt;AC$6),AND(AC$7&gt;0,$A531&gt;AC$7)),0,MAX(0,ROUND((INDEX($E531:$G531,AC$5)-SUMIFS(TF_Timer,TF_Tekniker,AC$4,TF_Dato,$A531))*2,0)/2)))</f>
        <v/>
      </c>
      <c r="AD531">
        <f>IF(OR(AD$4="",$A531&gt;TODAY()),0,IF(OR(INDEX($B531:$D531,AD$5)="F",AND(AD$6&gt;0,$A531&lt;AD$6),AND(AD$7&gt;0,$A531&gt;AD$7)),0,MAX(0,ROUND((INDEX($E531:$G531,AD$5)-SUMIFS(TF_Timer,TF_Tekniker,AD$4,TF_Dato,$A531))*2,0)/2)))</f>
        <v/>
      </c>
      <c r="AE531">
        <f>IF(OR(AE$4="",$A531&gt;TODAY()),0,IF(OR(INDEX($B531:$D531,AE$5)="F",AND(AE$6&gt;0,$A531&lt;AE$6),AND(AE$7&gt;0,$A531&gt;AE$7)),0,MAX(0,ROUND((INDEX($E531:$G531,AE$5)-SUMIFS(TF_Timer,TF_Tekniker,AE$4,TF_Dato,$A531))*2,0)/2)))</f>
        <v/>
      </c>
      <c r="AF531">
        <f>IF(OR(AF$4="",$A531&gt;TODAY()),0,IF(OR(INDEX($B531:$D531,AF$5)="F",AND(AF$6&gt;0,$A531&lt;AF$6),AND(AF$7&gt;0,$A531&gt;AF$7)),0,MAX(0,ROUND((INDEX($E531:$G531,AF$5)-SUMIFS(TF_Timer,TF_Tekniker,AF$4,TF_Dato,$A531))*2,0)/2)))</f>
        <v/>
      </c>
      <c r="AG531">
        <f>IF(OR(AG$4="",$A531&gt;TODAY()),0,IF(OR(INDEX($B531:$D531,AG$5)="F",AND(AG$6&gt;0,$A531&lt;AG$6),AND(AG$7&gt;0,$A531&gt;AG$7)),0,MAX(0,ROUND((INDEX($E531:$G531,AG$5)-SUMIFS(TF_Timer,TF_Tekniker,AG$4,TF_Dato,$A531))*2,0)/2)))</f>
        <v/>
      </c>
      <c r="AH531">
        <f>IF(OR(AH$4="",$A531&gt;TODAY()),0,IF(OR(INDEX($B531:$D531,AH$5)="F",AND(AH$6&gt;0,$A531&lt;AH$6),AND(AH$7&gt;0,$A531&gt;AH$7)),0,MAX(0,ROUND((INDEX($E531:$G531,AH$5)-SUMIFS(TF_Timer,TF_Tekniker,AH$4,TF_Dato,$A531))*2,0)/2)))</f>
        <v/>
      </c>
      <c r="AI531">
        <f>IF(OR(AI$4="",$A531&gt;TODAY()),0,IF(OR(INDEX($B531:$D531,AI$5)="F",AND(AI$6&gt;0,$A531&lt;AI$6),AND(AI$7&gt;0,$A531&gt;AI$7)),0,MAX(0,ROUND((INDEX($E531:$G531,AI$5)-SUMIFS(TF_Timer,TF_Tekniker,AI$4,TF_Dato,$A531))*2,0)/2)))</f>
        <v/>
      </c>
      <c r="AJ531">
        <f>IF(OR(AJ$4="",$A531&gt;TODAY()),0,IF(OR(INDEX($B531:$D531,AJ$5)="F",AND(AJ$6&gt;0,$A531&lt;AJ$6),AND(AJ$7&gt;0,$A531&gt;AJ$7)),0,MAX(0,ROUND((INDEX($E531:$G531,AJ$5)-SUMIFS(TF_Timer,TF_Tekniker,AJ$4,TF_Dato,$A531))*2,0)/2)))</f>
        <v/>
      </c>
      <c r="AK531">
        <f>IF(OR(AK$4="",$A531&gt;TODAY()),0,IF(OR(INDEX($B531:$D531,AK$5)="F",AND(AK$6&gt;0,$A531&lt;AK$6),AND(AK$7&gt;0,$A531&gt;AK$7)),0,MAX(0,ROUND((INDEX($E531:$G531,AK$5)-SUMIFS(TF_Timer,TF_Tekniker,AK$4,TF_Dato,$A531))*2,0)/2)))</f>
        <v/>
      </c>
      <c r="AL531">
        <f>IF(OR(AL$4="",$A531&gt;TODAY()),0,IF(OR(INDEX($B531:$D531,AL$5)="F",AND(AL$6&gt;0,$A531&lt;AL$6),AND(AL$7&gt;0,$A531&gt;AL$7)),0,MAX(0,ROUND((INDEX($E531:$G531,AL$5)-SUMIFS(TF_Timer,TF_Tekniker,AL$4,TF_Dato,$A531))*2,0)/2)))</f>
        <v/>
      </c>
      <c r="AM531">
        <f>IF(OR(AM$4="",$A531&gt;TODAY()),0,IF(OR(INDEX($B531:$D531,AM$5)="F",AND(AM$6&gt;0,$A531&lt;AM$6),AND(AM$7&gt;0,$A531&gt;AM$7)),0,MAX(0,ROUND((INDEX($E531:$G531,AM$5)-SUMIFS(TF_Timer,TF_Tekniker,AM$4,TF_Dato,$A531))*2,0)/2)))</f>
        <v/>
      </c>
      <c r="AN531">
        <f>IF(OR(AN$4="",$A531&gt;TODAY()),0,IF(OR(INDEX($B531:$D531,AN$5)="F",AND(AN$6&gt;0,$A531&lt;AN$6),AND(AN$7&gt;0,$A531&gt;AN$7)),0,MAX(0,ROUND((INDEX($E531:$G531,AN$5)-SUMIFS(TF_Timer,TF_Tekniker,AN$4,TF_Dato,$A531))*2,0)/2)))</f>
        <v/>
      </c>
      <c r="AO531">
        <f>IF(OR(AO$4="",$A531&gt;TODAY()),0,IF(OR(INDEX($B531:$D531,AO$5)="F",AND(AO$6&gt;0,$A531&lt;AO$6),AND(AO$7&gt;0,$A531&gt;AO$7)),0,MAX(0,ROUND((INDEX($E531:$G531,AO$5)-SUMIFS(TF_Timer,TF_Tekniker,AO$4,TF_Dato,$A531))*2,0)/2)))</f>
        <v/>
      </c>
      <c r="AP531">
        <f>IF(OR(AP$4="",$A531&gt;TODAY()),0,IF(OR(INDEX($B531:$D531,AP$5)="F",AND(AP$6&gt;0,$A531&lt;AP$6),AND(AP$7&gt;0,$A531&gt;AP$7)),0,MAX(0,ROUND((INDEX($E531:$G531,AP$5)-SUMIFS(TF_Timer,TF_Tekniker,AP$4,TF_Dato,$A531))*2,0)/2)))</f>
        <v/>
      </c>
      <c r="AQ531">
        <f>IF(OR(AQ$4="",$A531&gt;TODAY()),0,IF(OR(INDEX($B531:$D531,AQ$5)="F",AND(AQ$6&gt;0,$A531&lt;AQ$6),AND(AQ$7&gt;0,$A531&gt;AQ$7)),0,MAX(0,ROUND((INDEX($E531:$G531,AQ$5)-SUMIFS(TF_Timer,TF_Tekniker,AQ$4,TF_Dato,$A531))*2,0)/2)))</f>
        <v/>
      </c>
      <c r="AR531">
        <f>IF(OR(AR$4="",$A531&gt;TODAY()),0,IF(OR(INDEX($B531:$D531,AR$5)="F",AND(AR$6&gt;0,$A531&lt;AR$6),AND(AR$7&gt;0,$A531&gt;AR$7)),0,MAX(0,ROUND((INDEX($E531:$G531,AR$5)-SUMIFS(TF_Timer,TF_Tekniker,AR$4,TF_Dato,$A531))*2,0)/2)))</f>
        <v/>
      </c>
      <c r="AS531">
        <f>IF(OR(AS$4="",$A531&gt;TODAY()),0,IF(OR(INDEX($B531:$D531,AS$5)="F",AND(AS$6&gt;0,$A531&lt;AS$6),AND(AS$7&gt;0,$A531&gt;AS$7)),0,MAX(0,ROUND((INDEX($E531:$G531,AS$5)-SUMIFS(TF_Timer,TF_Tekniker,AS$4,TF_Dato,$A531))*2,0)/2)))</f>
        <v/>
      </c>
      <c r="AT531">
        <f>IF(OR(AT$4="",$A531&gt;TODAY()),0,IF(OR(INDEX($B531:$D531,AT$5)="F",AND(AT$6&gt;0,$A531&lt;AT$6),AND(AT$7&gt;0,$A531&gt;AT$7)),0,MAX(0,ROUND((INDEX($E531:$G531,AT$5)-SUMIFS(TF_Timer,TF_Tekniker,AT$4,TF_Dato,$A531))*2,0)/2)))</f>
        <v/>
      </c>
      <c r="AU531">
        <f>IF(OR(AU$4="",$A531&gt;TODAY()),0,IF(OR(INDEX($B531:$D531,AU$5)="F",AND(AU$6&gt;0,$A531&lt;AU$6),AND(AU$7&gt;0,$A531&gt;AU$7)),0,MAX(0,ROUND((INDEX($E531:$G531,AU$5)-SUMIFS(TF_Timer,TF_Tekniker,AU$4,TF_Dato,$A531))*2,0)/2)))</f>
        <v/>
      </c>
      <c r="AV531">
        <f>IF(OR(AV$4="",$A531&gt;TODAY()),0,IF(OR(INDEX($B531:$D531,AV$5)="F",AND(AV$6&gt;0,$A531&lt;AV$6),AND(AV$7&gt;0,$A531&gt;AV$7)),0,MAX(0,ROUND((INDEX($E531:$G531,AV$5)-SUMIFS(TF_Timer,TF_Tekniker,AV$4,TF_Dato,$A531))*2,0)/2)))</f>
        <v/>
      </c>
      <c r="AW531">
        <f>IF(OR(AW$4="",$A531&gt;TODAY()),0,IF(OR(INDEX($B531:$D531,AW$5)="F",AND(AW$6&gt;0,$A531&lt;AW$6),AND(AW$7&gt;0,$A531&gt;AW$7)),0,MAX(0,ROUND((INDEX($E531:$G531,AW$5)-SUMIFS(TF_Timer,TF_Tekniker,AW$4,TF_Dato,$A531))*2,0)/2)))</f>
        <v/>
      </c>
      <c r="AX531">
        <f>IF(OR(AX$4="",$A531&gt;TODAY()),0,IF(OR(INDEX($B531:$D531,AX$5)="F",AND(AX$6&gt;0,$A531&lt;AX$6),AND(AX$7&gt;0,$A531&gt;AX$7)),0,MAX(0,ROUND((INDEX($E531:$G531,AX$5)-SUMIFS(TF_Timer,TF_Tekniker,AX$4,TF_Dato,$A531))*2,0)/2)))</f>
        <v/>
      </c>
      <c r="AY531">
        <f>IF(OR(AY$4="",$A531&gt;TODAY()),0,IF(OR(INDEX($B531:$D531,AY$5)="F",AND(AY$6&gt;0,$A531&lt;AY$6),AND(AY$7&gt;0,$A531&gt;AY$7)),0,MAX(0,ROUND((INDEX($E531:$G531,AY$5)-SUMIFS(TF_Timer,TF_Tekniker,AY$4,TF_Dato,$A531))*2,0)/2)))</f>
        <v/>
      </c>
      <c r="AZ531">
        <f>IF(OR(AZ$4="",$A531&gt;TODAY()),0,IF(OR(INDEX($B531:$D531,AZ$5)="F",AND(AZ$6&gt;0,$A531&lt;AZ$6),AND(AZ$7&gt;0,$A531&gt;AZ$7)),0,MAX(0,ROUND((INDEX($E531:$G531,AZ$5)-SUMIFS(TF_Timer,TF_Tekniker,AZ$4,TF_Dato,$A531))*2,0)/2)))</f>
        <v/>
      </c>
      <c r="BA531">
        <f>IF(OR(BA$4="",$A531&gt;TODAY()),0,IF(OR(INDEX($B531:$D531,BA$5)="F",AND(BA$6&gt;0,$A531&lt;BA$6),AND(BA$7&gt;0,$A531&gt;BA$7)),0,MAX(0,ROUND((INDEX($E531:$G531,BA$5)-SUMIFS(TF_Timer,TF_Tekniker,BA$4,TF_Dato,$A531))*2,0)/2)))</f>
        <v/>
      </c>
      <c r="BB531">
        <f>IF(OR(BB$4="",$A531&gt;TODAY()),0,IF(OR(INDEX($B531:$D531,BB$5)="F",AND(BB$6&gt;0,$A531&lt;BB$6),AND(BB$7&gt;0,$A531&gt;BB$7)),0,MAX(0,ROUND((INDEX($E531:$G531,BB$5)-SUMIFS(TF_Timer,TF_Tekniker,BB$4,TF_Dato,$A531))*2,0)/2)))</f>
        <v/>
      </c>
      <c r="BC531">
        <f>IF(OR(BC$4="",$A531&gt;TODAY()),0,IF(OR(INDEX($B531:$D531,BC$5)="F",AND(BC$6&gt;0,$A531&lt;BC$6),AND(BC$7&gt;0,$A531&gt;BC$7)),0,MAX(0,ROUND((INDEX($E531:$G531,BC$5)-SUMIFS(TF_Timer,TF_Tekniker,BC$4,TF_Dato,$A531))*2,0)/2)))</f>
        <v/>
      </c>
      <c r="BD531">
        <f>IF(OR(BD$4="",$A531&gt;TODAY()),0,IF(OR(INDEX($B531:$D531,BD$5)="F",AND(BD$6&gt;0,$A531&lt;BD$6),AND(BD$7&gt;0,$A531&gt;BD$7)),0,MAX(0,ROUND((INDEX($E531:$G531,BD$5)-SUMIFS(TF_Timer,TF_Tekniker,BD$4,TF_Dato,$A531))*2,0)/2)))</f>
        <v/>
      </c>
      <c r="BE531">
        <f>IF(OR(BE$4="",$A531&gt;TODAY()),0,IF(OR(INDEX($B531:$D531,BE$5)="F",AND(BE$6&gt;0,$A531&lt;BE$6),AND(BE$7&gt;0,$A531&gt;BE$7)),0,MAX(0,ROUND((INDEX($E531:$G531,BE$5)-SUMIFS(TF_Timer,TF_Tekniker,BE$4,TF_Dato,$A531))*2,0)/2)))</f>
        <v/>
      </c>
      <c r="BF531">
        <f>IF(OR(BF$4="",$A531&gt;TODAY()),0,IF(OR(INDEX($B531:$D531,BF$5)="F",AND(BF$6&gt;0,$A531&lt;BF$6),AND(BF$7&gt;0,$A531&gt;BF$7)),0,MAX(0,ROUND((INDEX($E531:$G531,BF$5)-SUMIFS(TF_Timer,TF_Tekniker,BF$4,TF_Dato,$A531))*2,0)/2)))</f>
        <v/>
      </c>
      <c r="BG531">
        <f>IF(OR(BG$4="",$A531&gt;TODAY()),0,IF(OR(INDEX($B531:$D531,BG$5)="F",AND(BG$6&gt;0,$A531&lt;BG$6),AND(BG$7&gt;0,$A531&gt;BG$7)),0,MAX(0,ROUND((INDEX($E531:$G531,BG$5)-SUMIFS(TF_Timer,TF_Tekniker,BG$4,TF_Dato,$A531))*2,0)/2)))</f>
        <v/>
      </c>
      <c r="BH531">
        <f>IF(OR(BH$4="",$A531&gt;TODAY()),0,IF(OR(INDEX($B531:$D531,BH$5)="F",AND(BH$6&gt;0,$A531&lt;BH$6),AND(BH$7&gt;0,$A531&gt;BH$7)),0,MAX(0,ROUND((INDEX($E531:$G531,BH$5)-SUMIFS(TF_Timer,TF_Tekniker,BH$4,TF_Dato,$A531))*2,0)/2)))</f>
        <v/>
      </c>
      <c r="BI531">
        <f>IF(OR(BI$4="",$A531&gt;TODAY()),0,IF(OR(INDEX($B531:$D531,BI$5)="F",AND(BI$6&gt;0,$A531&lt;BI$6),AND(BI$7&gt;0,$A531&gt;BI$7)),0,MAX(0,ROUND((INDEX($E531:$G531,BI$5)-SUMIFS(TF_Timer,TF_Tekniker,BI$4,TF_Dato,$A531))*2,0)/2)))</f>
        <v/>
      </c>
    </row>
    <row r="532">
      <c r="A532" s="64">
        <f>A531+1</f>
        <v/>
      </c>
      <c r="B532">
        <f>IF(MOD($A532-INDEX(SkiftStart,1),Syklus)&lt;DagK,"K",IF(MOD($A532-INDEX(SkiftStart,1),Syklus)&lt;DagK+DagH,"H",IF(MOD($A532-INDEX(SkiftStart,1),Syklus)&lt;DagK+DagH+DagD,"D","F")))</f>
        <v/>
      </c>
      <c r="C532">
        <f>IF(MOD($A532-INDEX(SkiftStart,2),Syklus)&lt;DagK,"K",IF(MOD($A532-INDEX(SkiftStart,2),Syklus)&lt;DagK+DagH,"H",IF(MOD($A532-INDEX(SkiftStart,2),Syklus)&lt;DagK+DagH+DagD,"D","F")))</f>
        <v/>
      </c>
      <c r="D532">
        <f>IF(MOD($A532-INDEX(SkiftStart,3),Syklus)&lt;DagK,"K",IF(MOD($A532-INDEX(SkiftStart,3),Syklus)&lt;DagK+DagH,"H",IF(MOD($A532-INDEX(SkiftStart,3),Syklus)&lt;DagK+DagH+DagD,"D","F")))</f>
        <v/>
      </c>
      <c r="E532">
        <f>IF(B532="F",0,IF(WEEKDAY($A532,2)=5,INDEX(TimerFr,MATCH(B532,FaseKode,0)),INDEX(TimerMT,MATCH(B532,FaseKode,0))))</f>
        <v/>
      </c>
      <c r="F532">
        <f>IF(C532="F",0,IF(WEEKDAY($A532,2)=5,INDEX(TimerFr,MATCH(C532,FaseKode,0)),INDEX(TimerMT,MATCH(C532,FaseKode,0))))</f>
        <v/>
      </c>
      <c r="G532">
        <f>IF(D532="F",0,IF(WEEKDAY($A532,2)=5,INDEX(TimerFr,MATCH(D532,FaseKode,0)),INDEX(TimerMT,MATCH(D532,FaseKode,0))))</f>
        <v/>
      </c>
      <c r="H532">
        <f>IF(OR(H$4="",$A532&gt;TODAY()),0,IF(OR(INDEX($B532:$D532,H$5)="F",AND(H$6&gt;0,$A532&lt;H$6),AND(H$7&gt;0,$A532&gt;H$7)),0,MAX(0,ROUND((INDEX($E532:$G532,H$5)-SUMIFS(TF_Timer,TF_Tekniker,H$4,TF_Dato,$A532))*2,0)/2)))</f>
        <v/>
      </c>
      <c r="I532">
        <f>IF(OR(I$4="",$A532&gt;TODAY()),0,IF(OR(INDEX($B532:$D532,I$5)="F",AND(I$6&gt;0,$A532&lt;I$6),AND(I$7&gt;0,$A532&gt;I$7)),0,MAX(0,ROUND((INDEX($E532:$G532,I$5)-SUMIFS(TF_Timer,TF_Tekniker,I$4,TF_Dato,$A532))*2,0)/2)))</f>
        <v/>
      </c>
      <c r="J532">
        <f>IF(OR(J$4="",$A532&gt;TODAY()),0,IF(OR(INDEX($B532:$D532,J$5)="F",AND(J$6&gt;0,$A532&lt;J$6),AND(J$7&gt;0,$A532&gt;J$7)),0,MAX(0,ROUND((INDEX($E532:$G532,J$5)-SUMIFS(TF_Timer,TF_Tekniker,J$4,TF_Dato,$A532))*2,0)/2)))</f>
        <v/>
      </c>
      <c r="K532">
        <f>IF(OR(K$4="",$A532&gt;TODAY()),0,IF(OR(INDEX($B532:$D532,K$5)="F",AND(K$6&gt;0,$A532&lt;K$6),AND(K$7&gt;0,$A532&gt;K$7)),0,MAX(0,ROUND((INDEX($E532:$G532,K$5)-SUMIFS(TF_Timer,TF_Tekniker,K$4,TF_Dato,$A532))*2,0)/2)))</f>
        <v/>
      </c>
      <c r="L532">
        <f>IF(OR(L$4="",$A532&gt;TODAY()),0,IF(OR(INDEX($B532:$D532,L$5)="F",AND(L$6&gt;0,$A532&lt;L$6),AND(L$7&gt;0,$A532&gt;L$7)),0,MAX(0,ROUND((INDEX($E532:$G532,L$5)-SUMIFS(TF_Timer,TF_Tekniker,L$4,TF_Dato,$A532))*2,0)/2)))</f>
        <v/>
      </c>
      <c r="M532">
        <f>IF(OR(M$4="",$A532&gt;TODAY()),0,IF(OR(INDEX($B532:$D532,M$5)="F",AND(M$6&gt;0,$A532&lt;M$6),AND(M$7&gt;0,$A532&gt;M$7)),0,MAX(0,ROUND((INDEX($E532:$G532,M$5)-SUMIFS(TF_Timer,TF_Tekniker,M$4,TF_Dato,$A532))*2,0)/2)))</f>
        <v/>
      </c>
      <c r="N532">
        <f>IF(OR(N$4="",$A532&gt;TODAY()),0,IF(OR(INDEX($B532:$D532,N$5)="F",AND(N$6&gt;0,$A532&lt;N$6),AND(N$7&gt;0,$A532&gt;N$7)),0,MAX(0,ROUND((INDEX($E532:$G532,N$5)-SUMIFS(TF_Timer,TF_Tekniker,N$4,TF_Dato,$A532))*2,0)/2)))</f>
        <v/>
      </c>
      <c r="O532">
        <f>IF(OR(O$4="",$A532&gt;TODAY()),0,IF(OR(INDEX($B532:$D532,O$5)="F",AND(O$6&gt;0,$A532&lt;O$6),AND(O$7&gt;0,$A532&gt;O$7)),0,MAX(0,ROUND((INDEX($E532:$G532,O$5)-SUMIFS(TF_Timer,TF_Tekniker,O$4,TF_Dato,$A532))*2,0)/2)))</f>
        <v/>
      </c>
      <c r="P532">
        <f>IF(OR(P$4="",$A532&gt;TODAY()),0,IF(OR(INDEX($B532:$D532,P$5)="F",AND(P$6&gt;0,$A532&lt;P$6),AND(P$7&gt;0,$A532&gt;P$7)),0,MAX(0,ROUND((INDEX($E532:$G532,P$5)-SUMIFS(TF_Timer,TF_Tekniker,P$4,TF_Dato,$A532))*2,0)/2)))</f>
        <v/>
      </c>
      <c r="Q532">
        <f>IF(OR(Q$4="",$A532&gt;TODAY()),0,IF(OR(INDEX($B532:$D532,Q$5)="F",AND(Q$6&gt;0,$A532&lt;Q$6),AND(Q$7&gt;0,$A532&gt;Q$7)),0,MAX(0,ROUND((INDEX($E532:$G532,Q$5)-SUMIFS(TF_Timer,TF_Tekniker,Q$4,TF_Dato,$A532))*2,0)/2)))</f>
        <v/>
      </c>
      <c r="R532">
        <f>IF(OR(R$4="",$A532&gt;TODAY()),0,IF(OR(INDEX($B532:$D532,R$5)="F",AND(R$6&gt;0,$A532&lt;R$6),AND(R$7&gt;0,$A532&gt;R$7)),0,MAX(0,ROUND((INDEX($E532:$G532,R$5)-SUMIFS(TF_Timer,TF_Tekniker,R$4,TF_Dato,$A532))*2,0)/2)))</f>
        <v/>
      </c>
      <c r="S532">
        <f>IF(OR(S$4="",$A532&gt;TODAY()),0,IF(OR(INDEX($B532:$D532,S$5)="F",AND(S$6&gt;0,$A532&lt;S$6),AND(S$7&gt;0,$A532&gt;S$7)),0,MAX(0,ROUND((INDEX($E532:$G532,S$5)-SUMIFS(TF_Timer,TF_Tekniker,S$4,TF_Dato,$A532))*2,0)/2)))</f>
        <v/>
      </c>
      <c r="T532">
        <f>IF(OR(T$4="",$A532&gt;TODAY()),0,IF(OR(INDEX($B532:$D532,T$5)="F",AND(T$6&gt;0,$A532&lt;T$6),AND(T$7&gt;0,$A532&gt;T$7)),0,MAX(0,ROUND((INDEX($E532:$G532,T$5)-SUMIFS(TF_Timer,TF_Tekniker,T$4,TF_Dato,$A532))*2,0)/2)))</f>
        <v/>
      </c>
      <c r="U532">
        <f>IF(OR(U$4="",$A532&gt;TODAY()),0,IF(OR(INDEX($B532:$D532,U$5)="F",AND(U$6&gt;0,$A532&lt;U$6),AND(U$7&gt;0,$A532&gt;U$7)),0,MAX(0,ROUND((INDEX($E532:$G532,U$5)-SUMIFS(TF_Timer,TF_Tekniker,U$4,TF_Dato,$A532))*2,0)/2)))</f>
        <v/>
      </c>
      <c r="V532">
        <f>IF(OR(V$4="",$A532&gt;TODAY()),0,IF(OR(INDEX($B532:$D532,V$5)="F",AND(V$6&gt;0,$A532&lt;V$6),AND(V$7&gt;0,$A532&gt;V$7)),0,MAX(0,ROUND((INDEX($E532:$G532,V$5)-SUMIFS(TF_Timer,TF_Tekniker,V$4,TF_Dato,$A532))*2,0)/2)))</f>
        <v/>
      </c>
      <c r="W532">
        <f>IF(OR(W$4="",$A532&gt;TODAY()),0,IF(OR(INDEX($B532:$D532,W$5)="F",AND(W$6&gt;0,$A532&lt;W$6),AND(W$7&gt;0,$A532&gt;W$7)),0,MAX(0,ROUND((INDEX($E532:$G532,W$5)-SUMIFS(TF_Timer,TF_Tekniker,W$4,TF_Dato,$A532))*2,0)/2)))</f>
        <v/>
      </c>
      <c r="X532">
        <f>IF(OR(X$4="",$A532&gt;TODAY()),0,IF(OR(INDEX($B532:$D532,X$5)="F",AND(X$6&gt;0,$A532&lt;X$6),AND(X$7&gt;0,$A532&gt;X$7)),0,MAX(0,ROUND((INDEX($E532:$G532,X$5)-SUMIFS(TF_Timer,TF_Tekniker,X$4,TF_Dato,$A532))*2,0)/2)))</f>
        <v/>
      </c>
      <c r="Y532">
        <f>IF(OR(Y$4="",$A532&gt;TODAY()),0,IF(OR(INDEX($B532:$D532,Y$5)="F",AND(Y$6&gt;0,$A532&lt;Y$6),AND(Y$7&gt;0,$A532&gt;Y$7)),0,MAX(0,ROUND((INDEX($E532:$G532,Y$5)-SUMIFS(TF_Timer,TF_Tekniker,Y$4,TF_Dato,$A532))*2,0)/2)))</f>
        <v/>
      </c>
      <c r="Z532">
        <f>IF(OR(Z$4="",$A532&gt;TODAY()),0,IF(OR(INDEX($B532:$D532,Z$5)="F",AND(Z$6&gt;0,$A532&lt;Z$6),AND(Z$7&gt;0,$A532&gt;Z$7)),0,MAX(0,ROUND((INDEX($E532:$G532,Z$5)-SUMIFS(TF_Timer,TF_Tekniker,Z$4,TF_Dato,$A532))*2,0)/2)))</f>
        <v/>
      </c>
      <c r="AA532">
        <f>IF(OR(AA$4="",$A532&gt;TODAY()),0,IF(OR(INDEX($B532:$D532,AA$5)="F",AND(AA$6&gt;0,$A532&lt;AA$6),AND(AA$7&gt;0,$A532&gt;AA$7)),0,MAX(0,ROUND((INDEX($E532:$G532,AA$5)-SUMIFS(TF_Timer,TF_Tekniker,AA$4,TF_Dato,$A532))*2,0)/2)))</f>
        <v/>
      </c>
      <c r="AB532">
        <f>IF(OR(AB$4="",$A532&gt;TODAY()),0,IF(OR(INDEX($B532:$D532,AB$5)="F",AND(AB$6&gt;0,$A532&lt;AB$6),AND(AB$7&gt;0,$A532&gt;AB$7)),0,MAX(0,ROUND((INDEX($E532:$G532,AB$5)-SUMIFS(TF_Timer,TF_Tekniker,AB$4,TF_Dato,$A532))*2,0)/2)))</f>
        <v/>
      </c>
      <c r="AC532">
        <f>IF(OR(AC$4="",$A532&gt;TODAY()),0,IF(OR(INDEX($B532:$D532,AC$5)="F",AND(AC$6&gt;0,$A532&lt;AC$6),AND(AC$7&gt;0,$A532&gt;AC$7)),0,MAX(0,ROUND((INDEX($E532:$G532,AC$5)-SUMIFS(TF_Timer,TF_Tekniker,AC$4,TF_Dato,$A532))*2,0)/2)))</f>
        <v/>
      </c>
      <c r="AD532">
        <f>IF(OR(AD$4="",$A532&gt;TODAY()),0,IF(OR(INDEX($B532:$D532,AD$5)="F",AND(AD$6&gt;0,$A532&lt;AD$6),AND(AD$7&gt;0,$A532&gt;AD$7)),0,MAX(0,ROUND((INDEX($E532:$G532,AD$5)-SUMIFS(TF_Timer,TF_Tekniker,AD$4,TF_Dato,$A532))*2,0)/2)))</f>
        <v/>
      </c>
      <c r="AE532">
        <f>IF(OR(AE$4="",$A532&gt;TODAY()),0,IF(OR(INDEX($B532:$D532,AE$5)="F",AND(AE$6&gt;0,$A532&lt;AE$6),AND(AE$7&gt;0,$A532&gt;AE$7)),0,MAX(0,ROUND((INDEX($E532:$G532,AE$5)-SUMIFS(TF_Timer,TF_Tekniker,AE$4,TF_Dato,$A532))*2,0)/2)))</f>
        <v/>
      </c>
      <c r="AF532">
        <f>IF(OR(AF$4="",$A532&gt;TODAY()),0,IF(OR(INDEX($B532:$D532,AF$5)="F",AND(AF$6&gt;0,$A532&lt;AF$6),AND(AF$7&gt;0,$A532&gt;AF$7)),0,MAX(0,ROUND((INDEX($E532:$G532,AF$5)-SUMIFS(TF_Timer,TF_Tekniker,AF$4,TF_Dato,$A532))*2,0)/2)))</f>
        <v/>
      </c>
      <c r="AG532">
        <f>IF(OR(AG$4="",$A532&gt;TODAY()),0,IF(OR(INDEX($B532:$D532,AG$5)="F",AND(AG$6&gt;0,$A532&lt;AG$6),AND(AG$7&gt;0,$A532&gt;AG$7)),0,MAX(0,ROUND((INDEX($E532:$G532,AG$5)-SUMIFS(TF_Timer,TF_Tekniker,AG$4,TF_Dato,$A532))*2,0)/2)))</f>
        <v/>
      </c>
      <c r="AH532">
        <f>IF(OR(AH$4="",$A532&gt;TODAY()),0,IF(OR(INDEX($B532:$D532,AH$5)="F",AND(AH$6&gt;0,$A532&lt;AH$6),AND(AH$7&gt;0,$A532&gt;AH$7)),0,MAX(0,ROUND((INDEX($E532:$G532,AH$5)-SUMIFS(TF_Timer,TF_Tekniker,AH$4,TF_Dato,$A532))*2,0)/2)))</f>
        <v/>
      </c>
      <c r="AI532">
        <f>IF(OR(AI$4="",$A532&gt;TODAY()),0,IF(OR(INDEX($B532:$D532,AI$5)="F",AND(AI$6&gt;0,$A532&lt;AI$6),AND(AI$7&gt;0,$A532&gt;AI$7)),0,MAX(0,ROUND((INDEX($E532:$G532,AI$5)-SUMIFS(TF_Timer,TF_Tekniker,AI$4,TF_Dato,$A532))*2,0)/2)))</f>
        <v/>
      </c>
      <c r="AJ532">
        <f>IF(OR(AJ$4="",$A532&gt;TODAY()),0,IF(OR(INDEX($B532:$D532,AJ$5)="F",AND(AJ$6&gt;0,$A532&lt;AJ$6),AND(AJ$7&gt;0,$A532&gt;AJ$7)),0,MAX(0,ROUND((INDEX($E532:$G532,AJ$5)-SUMIFS(TF_Timer,TF_Tekniker,AJ$4,TF_Dato,$A532))*2,0)/2)))</f>
        <v/>
      </c>
      <c r="AK532">
        <f>IF(OR(AK$4="",$A532&gt;TODAY()),0,IF(OR(INDEX($B532:$D532,AK$5)="F",AND(AK$6&gt;0,$A532&lt;AK$6),AND(AK$7&gt;0,$A532&gt;AK$7)),0,MAX(0,ROUND((INDEX($E532:$G532,AK$5)-SUMIFS(TF_Timer,TF_Tekniker,AK$4,TF_Dato,$A532))*2,0)/2)))</f>
        <v/>
      </c>
      <c r="AL532">
        <f>IF(OR(AL$4="",$A532&gt;TODAY()),0,IF(OR(INDEX($B532:$D532,AL$5)="F",AND(AL$6&gt;0,$A532&lt;AL$6),AND(AL$7&gt;0,$A532&gt;AL$7)),0,MAX(0,ROUND((INDEX($E532:$G532,AL$5)-SUMIFS(TF_Timer,TF_Tekniker,AL$4,TF_Dato,$A532))*2,0)/2)))</f>
        <v/>
      </c>
      <c r="AM532">
        <f>IF(OR(AM$4="",$A532&gt;TODAY()),0,IF(OR(INDEX($B532:$D532,AM$5)="F",AND(AM$6&gt;0,$A532&lt;AM$6),AND(AM$7&gt;0,$A532&gt;AM$7)),0,MAX(0,ROUND((INDEX($E532:$G532,AM$5)-SUMIFS(TF_Timer,TF_Tekniker,AM$4,TF_Dato,$A532))*2,0)/2)))</f>
        <v/>
      </c>
      <c r="AN532">
        <f>IF(OR(AN$4="",$A532&gt;TODAY()),0,IF(OR(INDEX($B532:$D532,AN$5)="F",AND(AN$6&gt;0,$A532&lt;AN$6),AND(AN$7&gt;0,$A532&gt;AN$7)),0,MAX(0,ROUND((INDEX($E532:$G532,AN$5)-SUMIFS(TF_Timer,TF_Tekniker,AN$4,TF_Dato,$A532))*2,0)/2)))</f>
        <v/>
      </c>
      <c r="AO532">
        <f>IF(OR(AO$4="",$A532&gt;TODAY()),0,IF(OR(INDEX($B532:$D532,AO$5)="F",AND(AO$6&gt;0,$A532&lt;AO$6),AND(AO$7&gt;0,$A532&gt;AO$7)),0,MAX(0,ROUND((INDEX($E532:$G532,AO$5)-SUMIFS(TF_Timer,TF_Tekniker,AO$4,TF_Dato,$A532))*2,0)/2)))</f>
        <v/>
      </c>
      <c r="AP532">
        <f>IF(OR(AP$4="",$A532&gt;TODAY()),0,IF(OR(INDEX($B532:$D532,AP$5)="F",AND(AP$6&gt;0,$A532&lt;AP$6),AND(AP$7&gt;0,$A532&gt;AP$7)),0,MAX(0,ROUND((INDEX($E532:$G532,AP$5)-SUMIFS(TF_Timer,TF_Tekniker,AP$4,TF_Dato,$A532))*2,0)/2)))</f>
        <v/>
      </c>
      <c r="AQ532">
        <f>IF(OR(AQ$4="",$A532&gt;TODAY()),0,IF(OR(INDEX($B532:$D532,AQ$5)="F",AND(AQ$6&gt;0,$A532&lt;AQ$6),AND(AQ$7&gt;0,$A532&gt;AQ$7)),0,MAX(0,ROUND((INDEX($E532:$G532,AQ$5)-SUMIFS(TF_Timer,TF_Tekniker,AQ$4,TF_Dato,$A532))*2,0)/2)))</f>
        <v/>
      </c>
      <c r="AR532">
        <f>IF(OR(AR$4="",$A532&gt;TODAY()),0,IF(OR(INDEX($B532:$D532,AR$5)="F",AND(AR$6&gt;0,$A532&lt;AR$6),AND(AR$7&gt;0,$A532&gt;AR$7)),0,MAX(0,ROUND((INDEX($E532:$G532,AR$5)-SUMIFS(TF_Timer,TF_Tekniker,AR$4,TF_Dato,$A532))*2,0)/2)))</f>
        <v/>
      </c>
      <c r="AS532">
        <f>IF(OR(AS$4="",$A532&gt;TODAY()),0,IF(OR(INDEX($B532:$D532,AS$5)="F",AND(AS$6&gt;0,$A532&lt;AS$6),AND(AS$7&gt;0,$A532&gt;AS$7)),0,MAX(0,ROUND((INDEX($E532:$G532,AS$5)-SUMIFS(TF_Timer,TF_Tekniker,AS$4,TF_Dato,$A532))*2,0)/2)))</f>
        <v/>
      </c>
      <c r="AT532">
        <f>IF(OR(AT$4="",$A532&gt;TODAY()),0,IF(OR(INDEX($B532:$D532,AT$5)="F",AND(AT$6&gt;0,$A532&lt;AT$6),AND(AT$7&gt;0,$A532&gt;AT$7)),0,MAX(0,ROUND((INDEX($E532:$G532,AT$5)-SUMIFS(TF_Timer,TF_Tekniker,AT$4,TF_Dato,$A532))*2,0)/2)))</f>
        <v/>
      </c>
      <c r="AU532">
        <f>IF(OR(AU$4="",$A532&gt;TODAY()),0,IF(OR(INDEX($B532:$D532,AU$5)="F",AND(AU$6&gt;0,$A532&lt;AU$6),AND(AU$7&gt;0,$A532&gt;AU$7)),0,MAX(0,ROUND((INDEX($E532:$G532,AU$5)-SUMIFS(TF_Timer,TF_Tekniker,AU$4,TF_Dato,$A532))*2,0)/2)))</f>
        <v/>
      </c>
      <c r="AV532">
        <f>IF(OR(AV$4="",$A532&gt;TODAY()),0,IF(OR(INDEX($B532:$D532,AV$5)="F",AND(AV$6&gt;0,$A532&lt;AV$6),AND(AV$7&gt;0,$A532&gt;AV$7)),0,MAX(0,ROUND((INDEX($E532:$G532,AV$5)-SUMIFS(TF_Timer,TF_Tekniker,AV$4,TF_Dato,$A532))*2,0)/2)))</f>
        <v/>
      </c>
      <c r="AW532">
        <f>IF(OR(AW$4="",$A532&gt;TODAY()),0,IF(OR(INDEX($B532:$D532,AW$5)="F",AND(AW$6&gt;0,$A532&lt;AW$6),AND(AW$7&gt;0,$A532&gt;AW$7)),0,MAX(0,ROUND((INDEX($E532:$G532,AW$5)-SUMIFS(TF_Timer,TF_Tekniker,AW$4,TF_Dato,$A532))*2,0)/2)))</f>
        <v/>
      </c>
      <c r="AX532">
        <f>IF(OR(AX$4="",$A532&gt;TODAY()),0,IF(OR(INDEX($B532:$D532,AX$5)="F",AND(AX$6&gt;0,$A532&lt;AX$6),AND(AX$7&gt;0,$A532&gt;AX$7)),0,MAX(0,ROUND((INDEX($E532:$G532,AX$5)-SUMIFS(TF_Timer,TF_Tekniker,AX$4,TF_Dato,$A532))*2,0)/2)))</f>
        <v/>
      </c>
      <c r="AY532">
        <f>IF(OR(AY$4="",$A532&gt;TODAY()),0,IF(OR(INDEX($B532:$D532,AY$5)="F",AND(AY$6&gt;0,$A532&lt;AY$6),AND(AY$7&gt;0,$A532&gt;AY$7)),0,MAX(0,ROUND((INDEX($E532:$G532,AY$5)-SUMIFS(TF_Timer,TF_Tekniker,AY$4,TF_Dato,$A532))*2,0)/2)))</f>
        <v/>
      </c>
      <c r="AZ532">
        <f>IF(OR(AZ$4="",$A532&gt;TODAY()),0,IF(OR(INDEX($B532:$D532,AZ$5)="F",AND(AZ$6&gt;0,$A532&lt;AZ$6),AND(AZ$7&gt;0,$A532&gt;AZ$7)),0,MAX(0,ROUND((INDEX($E532:$G532,AZ$5)-SUMIFS(TF_Timer,TF_Tekniker,AZ$4,TF_Dato,$A532))*2,0)/2)))</f>
        <v/>
      </c>
      <c r="BA532">
        <f>IF(OR(BA$4="",$A532&gt;TODAY()),0,IF(OR(INDEX($B532:$D532,BA$5)="F",AND(BA$6&gt;0,$A532&lt;BA$6),AND(BA$7&gt;0,$A532&gt;BA$7)),0,MAX(0,ROUND((INDEX($E532:$G532,BA$5)-SUMIFS(TF_Timer,TF_Tekniker,BA$4,TF_Dato,$A532))*2,0)/2)))</f>
        <v/>
      </c>
      <c r="BB532">
        <f>IF(OR(BB$4="",$A532&gt;TODAY()),0,IF(OR(INDEX($B532:$D532,BB$5)="F",AND(BB$6&gt;0,$A532&lt;BB$6),AND(BB$7&gt;0,$A532&gt;BB$7)),0,MAX(0,ROUND((INDEX($E532:$G532,BB$5)-SUMIFS(TF_Timer,TF_Tekniker,BB$4,TF_Dato,$A532))*2,0)/2)))</f>
        <v/>
      </c>
      <c r="BC532">
        <f>IF(OR(BC$4="",$A532&gt;TODAY()),0,IF(OR(INDEX($B532:$D532,BC$5)="F",AND(BC$6&gt;0,$A532&lt;BC$6),AND(BC$7&gt;0,$A532&gt;BC$7)),0,MAX(0,ROUND((INDEX($E532:$G532,BC$5)-SUMIFS(TF_Timer,TF_Tekniker,BC$4,TF_Dato,$A532))*2,0)/2)))</f>
        <v/>
      </c>
      <c r="BD532">
        <f>IF(OR(BD$4="",$A532&gt;TODAY()),0,IF(OR(INDEX($B532:$D532,BD$5)="F",AND(BD$6&gt;0,$A532&lt;BD$6),AND(BD$7&gt;0,$A532&gt;BD$7)),0,MAX(0,ROUND((INDEX($E532:$G532,BD$5)-SUMIFS(TF_Timer,TF_Tekniker,BD$4,TF_Dato,$A532))*2,0)/2)))</f>
        <v/>
      </c>
      <c r="BE532">
        <f>IF(OR(BE$4="",$A532&gt;TODAY()),0,IF(OR(INDEX($B532:$D532,BE$5)="F",AND(BE$6&gt;0,$A532&lt;BE$6),AND(BE$7&gt;0,$A532&gt;BE$7)),0,MAX(0,ROUND((INDEX($E532:$G532,BE$5)-SUMIFS(TF_Timer,TF_Tekniker,BE$4,TF_Dato,$A532))*2,0)/2)))</f>
        <v/>
      </c>
      <c r="BF532">
        <f>IF(OR(BF$4="",$A532&gt;TODAY()),0,IF(OR(INDEX($B532:$D532,BF$5)="F",AND(BF$6&gt;0,$A532&lt;BF$6),AND(BF$7&gt;0,$A532&gt;BF$7)),0,MAX(0,ROUND((INDEX($E532:$G532,BF$5)-SUMIFS(TF_Timer,TF_Tekniker,BF$4,TF_Dato,$A532))*2,0)/2)))</f>
        <v/>
      </c>
      <c r="BG532">
        <f>IF(OR(BG$4="",$A532&gt;TODAY()),0,IF(OR(INDEX($B532:$D532,BG$5)="F",AND(BG$6&gt;0,$A532&lt;BG$6),AND(BG$7&gt;0,$A532&gt;BG$7)),0,MAX(0,ROUND((INDEX($E532:$G532,BG$5)-SUMIFS(TF_Timer,TF_Tekniker,BG$4,TF_Dato,$A532))*2,0)/2)))</f>
        <v/>
      </c>
      <c r="BH532">
        <f>IF(OR(BH$4="",$A532&gt;TODAY()),0,IF(OR(INDEX($B532:$D532,BH$5)="F",AND(BH$6&gt;0,$A532&lt;BH$6),AND(BH$7&gt;0,$A532&gt;BH$7)),0,MAX(0,ROUND((INDEX($E532:$G532,BH$5)-SUMIFS(TF_Timer,TF_Tekniker,BH$4,TF_Dato,$A532))*2,0)/2)))</f>
        <v/>
      </c>
      <c r="BI532">
        <f>IF(OR(BI$4="",$A532&gt;TODAY()),0,IF(OR(INDEX($B532:$D532,BI$5)="F",AND(BI$6&gt;0,$A532&lt;BI$6),AND(BI$7&gt;0,$A532&gt;BI$7)),0,MAX(0,ROUND((INDEX($E532:$G532,BI$5)-SUMIFS(TF_Timer,TF_Tekniker,BI$4,TF_Dato,$A532))*2,0)/2)))</f>
        <v/>
      </c>
    </row>
    <row r="533">
      <c r="A533" s="64">
        <f>A532+1</f>
        <v/>
      </c>
      <c r="B533">
        <f>IF(MOD($A533-INDEX(SkiftStart,1),Syklus)&lt;DagK,"K",IF(MOD($A533-INDEX(SkiftStart,1),Syklus)&lt;DagK+DagH,"H",IF(MOD($A533-INDEX(SkiftStart,1),Syklus)&lt;DagK+DagH+DagD,"D","F")))</f>
        <v/>
      </c>
      <c r="C533">
        <f>IF(MOD($A533-INDEX(SkiftStart,2),Syklus)&lt;DagK,"K",IF(MOD($A533-INDEX(SkiftStart,2),Syklus)&lt;DagK+DagH,"H",IF(MOD($A533-INDEX(SkiftStart,2),Syklus)&lt;DagK+DagH+DagD,"D","F")))</f>
        <v/>
      </c>
      <c r="D533">
        <f>IF(MOD($A533-INDEX(SkiftStart,3),Syklus)&lt;DagK,"K",IF(MOD($A533-INDEX(SkiftStart,3),Syklus)&lt;DagK+DagH,"H",IF(MOD($A533-INDEX(SkiftStart,3),Syklus)&lt;DagK+DagH+DagD,"D","F")))</f>
        <v/>
      </c>
      <c r="E533">
        <f>IF(B533="F",0,IF(WEEKDAY($A533,2)=5,INDEX(TimerFr,MATCH(B533,FaseKode,0)),INDEX(TimerMT,MATCH(B533,FaseKode,0))))</f>
        <v/>
      </c>
      <c r="F533">
        <f>IF(C533="F",0,IF(WEEKDAY($A533,2)=5,INDEX(TimerFr,MATCH(C533,FaseKode,0)),INDEX(TimerMT,MATCH(C533,FaseKode,0))))</f>
        <v/>
      </c>
      <c r="G533">
        <f>IF(D533="F",0,IF(WEEKDAY($A533,2)=5,INDEX(TimerFr,MATCH(D533,FaseKode,0)),INDEX(TimerMT,MATCH(D533,FaseKode,0))))</f>
        <v/>
      </c>
      <c r="H533">
        <f>IF(OR(H$4="",$A533&gt;TODAY()),0,IF(OR(INDEX($B533:$D533,H$5)="F",AND(H$6&gt;0,$A533&lt;H$6),AND(H$7&gt;0,$A533&gt;H$7)),0,MAX(0,ROUND((INDEX($E533:$G533,H$5)-SUMIFS(TF_Timer,TF_Tekniker,H$4,TF_Dato,$A533))*2,0)/2)))</f>
        <v/>
      </c>
      <c r="I533">
        <f>IF(OR(I$4="",$A533&gt;TODAY()),0,IF(OR(INDEX($B533:$D533,I$5)="F",AND(I$6&gt;0,$A533&lt;I$6),AND(I$7&gt;0,$A533&gt;I$7)),0,MAX(0,ROUND((INDEX($E533:$G533,I$5)-SUMIFS(TF_Timer,TF_Tekniker,I$4,TF_Dato,$A533))*2,0)/2)))</f>
        <v/>
      </c>
      <c r="J533">
        <f>IF(OR(J$4="",$A533&gt;TODAY()),0,IF(OR(INDEX($B533:$D533,J$5)="F",AND(J$6&gt;0,$A533&lt;J$6),AND(J$7&gt;0,$A533&gt;J$7)),0,MAX(0,ROUND((INDEX($E533:$G533,J$5)-SUMIFS(TF_Timer,TF_Tekniker,J$4,TF_Dato,$A533))*2,0)/2)))</f>
        <v/>
      </c>
      <c r="K533">
        <f>IF(OR(K$4="",$A533&gt;TODAY()),0,IF(OR(INDEX($B533:$D533,K$5)="F",AND(K$6&gt;0,$A533&lt;K$6),AND(K$7&gt;0,$A533&gt;K$7)),0,MAX(0,ROUND((INDEX($E533:$G533,K$5)-SUMIFS(TF_Timer,TF_Tekniker,K$4,TF_Dato,$A533))*2,0)/2)))</f>
        <v/>
      </c>
      <c r="L533">
        <f>IF(OR(L$4="",$A533&gt;TODAY()),0,IF(OR(INDEX($B533:$D533,L$5)="F",AND(L$6&gt;0,$A533&lt;L$6),AND(L$7&gt;0,$A533&gt;L$7)),0,MAX(0,ROUND((INDEX($E533:$G533,L$5)-SUMIFS(TF_Timer,TF_Tekniker,L$4,TF_Dato,$A533))*2,0)/2)))</f>
        <v/>
      </c>
      <c r="M533">
        <f>IF(OR(M$4="",$A533&gt;TODAY()),0,IF(OR(INDEX($B533:$D533,M$5)="F",AND(M$6&gt;0,$A533&lt;M$6),AND(M$7&gt;0,$A533&gt;M$7)),0,MAX(0,ROUND((INDEX($E533:$G533,M$5)-SUMIFS(TF_Timer,TF_Tekniker,M$4,TF_Dato,$A533))*2,0)/2)))</f>
        <v/>
      </c>
      <c r="N533">
        <f>IF(OR(N$4="",$A533&gt;TODAY()),0,IF(OR(INDEX($B533:$D533,N$5)="F",AND(N$6&gt;0,$A533&lt;N$6),AND(N$7&gt;0,$A533&gt;N$7)),0,MAX(0,ROUND((INDEX($E533:$G533,N$5)-SUMIFS(TF_Timer,TF_Tekniker,N$4,TF_Dato,$A533))*2,0)/2)))</f>
        <v/>
      </c>
      <c r="O533">
        <f>IF(OR(O$4="",$A533&gt;TODAY()),0,IF(OR(INDEX($B533:$D533,O$5)="F",AND(O$6&gt;0,$A533&lt;O$6),AND(O$7&gt;0,$A533&gt;O$7)),0,MAX(0,ROUND((INDEX($E533:$G533,O$5)-SUMIFS(TF_Timer,TF_Tekniker,O$4,TF_Dato,$A533))*2,0)/2)))</f>
        <v/>
      </c>
      <c r="P533">
        <f>IF(OR(P$4="",$A533&gt;TODAY()),0,IF(OR(INDEX($B533:$D533,P$5)="F",AND(P$6&gt;0,$A533&lt;P$6),AND(P$7&gt;0,$A533&gt;P$7)),0,MAX(0,ROUND((INDEX($E533:$G533,P$5)-SUMIFS(TF_Timer,TF_Tekniker,P$4,TF_Dato,$A533))*2,0)/2)))</f>
        <v/>
      </c>
      <c r="Q533">
        <f>IF(OR(Q$4="",$A533&gt;TODAY()),0,IF(OR(INDEX($B533:$D533,Q$5)="F",AND(Q$6&gt;0,$A533&lt;Q$6),AND(Q$7&gt;0,$A533&gt;Q$7)),0,MAX(0,ROUND((INDEX($E533:$G533,Q$5)-SUMIFS(TF_Timer,TF_Tekniker,Q$4,TF_Dato,$A533))*2,0)/2)))</f>
        <v/>
      </c>
      <c r="R533">
        <f>IF(OR(R$4="",$A533&gt;TODAY()),0,IF(OR(INDEX($B533:$D533,R$5)="F",AND(R$6&gt;0,$A533&lt;R$6),AND(R$7&gt;0,$A533&gt;R$7)),0,MAX(0,ROUND((INDEX($E533:$G533,R$5)-SUMIFS(TF_Timer,TF_Tekniker,R$4,TF_Dato,$A533))*2,0)/2)))</f>
        <v/>
      </c>
      <c r="S533">
        <f>IF(OR(S$4="",$A533&gt;TODAY()),0,IF(OR(INDEX($B533:$D533,S$5)="F",AND(S$6&gt;0,$A533&lt;S$6),AND(S$7&gt;0,$A533&gt;S$7)),0,MAX(0,ROUND((INDEX($E533:$G533,S$5)-SUMIFS(TF_Timer,TF_Tekniker,S$4,TF_Dato,$A533))*2,0)/2)))</f>
        <v/>
      </c>
      <c r="T533">
        <f>IF(OR(T$4="",$A533&gt;TODAY()),0,IF(OR(INDEX($B533:$D533,T$5)="F",AND(T$6&gt;0,$A533&lt;T$6),AND(T$7&gt;0,$A533&gt;T$7)),0,MAX(0,ROUND((INDEX($E533:$G533,T$5)-SUMIFS(TF_Timer,TF_Tekniker,T$4,TF_Dato,$A533))*2,0)/2)))</f>
        <v/>
      </c>
      <c r="U533">
        <f>IF(OR(U$4="",$A533&gt;TODAY()),0,IF(OR(INDEX($B533:$D533,U$5)="F",AND(U$6&gt;0,$A533&lt;U$6),AND(U$7&gt;0,$A533&gt;U$7)),0,MAX(0,ROUND((INDEX($E533:$G533,U$5)-SUMIFS(TF_Timer,TF_Tekniker,U$4,TF_Dato,$A533))*2,0)/2)))</f>
        <v/>
      </c>
      <c r="V533">
        <f>IF(OR(V$4="",$A533&gt;TODAY()),0,IF(OR(INDEX($B533:$D533,V$5)="F",AND(V$6&gt;0,$A533&lt;V$6),AND(V$7&gt;0,$A533&gt;V$7)),0,MAX(0,ROUND((INDEX($E533:$G533,V$5)-SUMIFS(TF_Timer,TF_Tekniker,V$4,TF_Dato,$A533))*2,0)/2)))</f>
        <v/>
      </c>
      <c r="W533">
        <f>IF(OR(W$4="",$A533&gt;TODAY()),0,IF(OR(INDEX($B533:$D533,W$5)="F",AND(W$6&gt;0,$A533&lt;W$6),AND(W$7&gt;0,$A533&gt;W$7)),0,MAX(0,ROUND((INDEX($E533:$G533,W$5)-SUMIFS(TF_Timer,TF_Tekniker,W$4,TF_Dato,$A533))*2,0)/2)))</f>
        <v/>
      </c>
      <c r="X533">
        <f>IF(OR(X$4="",$A533&gt;TODAY()),0,IF(OR(INDEX($B533:$D533,X$5)="F",AND(X$6&gt;0,$A533&lt;X$6),AND(X$7&gt;0,$A533&gt;X$7)),0,MAX(0,ROUND((INDEX($E533:$G533,X$5)-SUMIFS(TF_Timer,TF_Tekniker,X$4,TF_Dato,$A533))*2,0)/2)))</f>
        <v/>
      </c>
      <c r="Y533">
        <f>IF(OR(Y$4="",$A533&gt;TODAY()),0,IF(OR(INDEX($B533:$D533,Y$5)="F",AND(Y$6&gt;0,$A533&lt;Y$6),AND(Y$7&gt;0,$A533&gt;Y$7)),0,MAX(0,ROUND((INDEX($E533:$G533,Y$5)-SUMIFS(TF_Timer,TF_Tekniker,Y$4,TF_Dato,$A533))*2,0)/2)))</f>
        <v/>
      </c>
      <c r="Z533">
        <f>IF(OR(Z$4="",$A533&gt;TODAY()),0,IF(OR(INDEX($B533:$D533,Z$5)="F",AND(Z$6&gt;0,$A533&lt;Z$6),AND(Z$7&gt;0,$A533&gt;Z$7)),0,MAX(0,ROUND((INDEX($E533:$G533,Z$5)-SUMIFS(TF_Timer,TF_Tekniker,Z$4,TF_Dato,$A533))*2,0)/2)))</f>
        <v/>
      </c>
      <c r="AA533">
        <f>IF(OR(AA$4="",$A533&gt;TODAY()),0,IF(OR(INDEX($B533:$D533,AA$5)="F",AND(AA$6&gt;0,$A533&lt;AA$6),AND(AA$7&gt;0,$A533&gt;AA$7)),0,MAX(0,ROUND((INDEX($E533:$G533,AA$5)-SUMIFS(TF_Timer,TF_Tekniker,AA$4,TF_Dato,$A533))*2,0)/2)))</f>
        <v/>
      </c>
      <c r="AB533">
        <f>IF(OR(AB$4="",$A533&gt;TODAY()),0,IF(OR(INDEX($B533:$D533,AB$5)="F",AND(AB$6&gt;0,$A533&lt;AB$6),AND(AB$7&gt;0,$A533&gt;AB$7)),0,MAX(0,ROUND((INDEX($E533:$G533,AB$5)-SUMIFS(TF_Timer,TF_Tekniker,AB$4,TF_Dato,$A533))*2,0)/2)))</f>
        <v/>
      </c>
      <c r="AC533">
        <f>IF(OR(AC$4="",$A533&gt;TODAY()),0,IF(OR(INDEX($B533:$D533,AC$5)="F",AND(AC$6&gt;0,$A533&lt;AC$6),AND(AC$7&gt;0,$A533&gt;AC$7)),0,MAX(0,ROUND((INDEX($E533:$G533,AC$5)-SUMIFS(TF_Timer,TF_Tekniker,AC$4,TF_Dato,$A533))*2,0)/2)))</f>
        <v/>
      </c>
      <c r="AD533">
        <f>IF(OR(AD$4="",$A533&gt;TODAY()),0,IF(OR(INDEX($B533:$D533,AD$5)="F",AND(AD$6&gt;0,$A533&lt;AD$6),AND(AD$7&gt;0,$A533&gt;AD$7)),0,MAX(0,ROUND((INDEX($E533:$G533,AD$5)-SUMIFS(TF_Timer,TF_Tekniker,AD$4,TF_Dato,$A533))*2,0)/2)))</f>
        <v/>
      </c>
      <c r="AE533">
        <f>IF(OR(AE$4="",$A533&gt;TODAY()),0,IF(OR(INDEX($B533:$D533,AE$5)="F",AND(AE$6&gt;0,$A533&lt;AE$6),AND(AE$7&gt;0,$A533&gt;AE$7)),0,MAX(0,ROUND((INDEX($E533:$G533,AE$5)-SUMIFS(TF_Timer,TF_Tekniker,AE$4,TF_Dato,$A533))*2,0)/2)))</f>
        <v/>
      </c>
      <c r="AF533">
        <f>IF(OR(AF$4="",$A533&gt;TODAY()),0,IF(OR(INDEX($B533:$D533,AF$5)="F",AND(AF$6&gt;0,$A533&lt;AF$6),AND(AF$7&gt;0,$A533&gt;AF$7)),0,MAX(0,ROUND((INDEX($E533:$G533,AF$5)-SUMIFS(TF_Timer,TF_Tekniker,AF$4,TF_Dato,$A533))*2,0)/2)))</f>
        <v/>
      </c>
      <c r="AG533">
        <f>IF(OR(AG$4="",$A533&gt;TODAY()),0,IF(OR(INDEX($B533:$D533,AG$5)="F",AND(AG$6&gt;0,$A533&lt;AG$6),AND(AG$7&gt;0,$A533&gt;AG$7)),0,MAX(0,ROUND((INDEX($E533:$G533,AG$5)-SUMIFS(TF_Timer,TF_Tekniker,AG$4,TF_Dato,$A533))*2,0)/2)))</f>
        <v/>
      </c>
      <c r="AH533">
        <f>IF(OR(AH$4="",$A533&gt;TODAY()),0,IF(OR(INDEX($B533:$D533,AH$5)="F",AND(AH$6&gt;0,$A533&lt;AH$6),AND(AH$7&gt;0,$A533&gt;AH$7)),0,MAX(0,ROUND((INDEX($E533:$G533,AH$5)-SUMIFS(TF_Timer,TF_Tekniker,AH$4,TF_Dato,$A533))*2,0)/2)))</f>
        <v/>
      </c>
      <c r="AI533">
        <f>IF(OR(AI$4="",$A533&gt;TODAY()),0,IF(OR(INDEX($B533:$D533,AI$5)="F",AND(AI$6&gt;0,$A533&lt;AI$6),AND(AI$7&gt;0,$A533&gt;AI$7)),0,MAX(0,ROUND((INDEX($E533:$G533,AI$5)-SUMIFS(TF_Timer,TF_Tekniker,AI$4,TF_Dato,$A533))*2,0)/2)))</f>
        <v/>
      </c>
      <c r="AJ533">
        <f>IF(OR(AJ$4="",$A533&gt;TODAY()),0,IF(OR(INDEX($B533:$D533,AJ$5)="F",AND(AJ$6&gt;0,$A533&lt;AJ$6),AND(AJ$7&gt;0,$A533&gt;AJ$7)),0,MAX(0,ROUND((INDEX($E533:$G533,AJ$5)-SUMIFS(TF_Timer,TF_Tekniker,AJ$4,TF_Dato,$A533))*2,0)/2)))</f>
        <v/>
      </c>
      <c r="AK533">
        <f>IF(OR(AK$4="",$A533&gt;TODAY()),0,IF(OR(INDEX($B533:$D533,AK$5)="F",AND(AK$6&gt;0,$A533&lt;AK$6),AND(AK$7&gt;0,$A533&gt;AK$7)),0,MAX(0,ROUND((INDEX($E533:$G533,AK$5)-SUMIFS(TF_Timer,TF_Tekniker,AK$4,TF_Dato,$A533))*2,0)/2)))</f>
        <v/>
      </c>
      <c r="AL533">
        <f>IF(OR(AL$4="",$A533&gt;TODAY()),0,IF(OR(INDEX($B533:$D533,AL$5)="F",AND(AL$6&gt;0,$A533&lt;AL$6),AND(AL$7&gt;0,$A533&gt;AL$7)),0,MAX(0,ROUND((INDEX($E533:$G533,AL$5)-SUMIFS(TF_Timer,TF_Tekniker,AL$4,TF_Dato,$A533))*2,0)/2)))</f>
        <v/>
      </c>
      <c r="AM533">
        <f>IF(OR(AM$4="",$A533&gt;TODAY()),0,IF(OR(INDEX($B533:$D533,AM$5)="F",AND(AM$6&gt;0,$A533&lt;AM$6),AND(AM$7&gt;0,$A533&gt;AM$7)),0,MAX(0,ROUND((INDEX($E533:$G533,AM$5)-SUMIFS(TF_Timer,TF_Tekniker,AM$4,TF_Dato,$A533))*2,0)/2)))</f>
        <v/>
      </c>
      <c r="AN533">
        <f>IF(OR(AN$4="",$A533&gt;TODAY()),0,IF(OR(INDEX($B533:$D533,AN$5)="F",AND(AN$6&gt;0,$A533&lt;AN$6),AND(AN$7&gt;0,$A533&gt;AN$7)),0,MAX(0,ROUND((INDEX($E533:$G533,AN$5)-SUMIFS(TF_Timer,TF_Tekniker,AN$4,TF_Dato,$A533))*2,0)/2)))</f>
        <v/>
      </c>
      <c r="AO533">
        <f>IF(OR(AO$4="",$A533&gt;TODAY()),0,IF(OR(INDEX($B533:$D533,AO$5)="F",AND(AO$6&gt;0,$A533&lt;AO$6),AND(AO$7&gt;0,$A533&gt;AO$7)),0,MAX(0,ROUND((INDEX($E533:$G533,AO$5)-SUMIFS(TF_Timer,TF_Tekniker,AO$4,TF_Dato,$A533))*2,0)/2)))</f>
        <v/>
      </c>
      <c r="AP533">
        <f>IF(OR(AP$4="",$A533&gt;TODAY()),0,IF(OR(INDEX($B533:$D533,AP$5)="F",AND(AP$6&gt;0,$A533&lt;AP$6),AND(AP$7&gt;0,$A533&gt;AP$7)),0,MAX(0,ROUND((INDEX($E533:$G533,AP$5)-SUMIFS(TF_Timer,TF_Tekniker,AP$4,TF_Dato,$A533))*2,0)/2)))</f>
        <v/>
      </c>
      <c r="AQ533">
        <f>IF(OR(AQ$4="",$A533&gt;TODAY()),0,IF(OR(INDEX($B533:$D533,AQ$5)="F",AND(AQ$6&gt;0,$A533&lt;AQ$6),AND(AQ$7&gt;0,$A533&gt;AQ$7)),0,MAX(0,ROUND((INDEX($E533:$G533,AQ$5)-SUMIFS(TF_Timer,TF_Tekniker,AQ$4,TF_Dato,$A533))*2,0)/2)))</f>
        <v/>
      </c>
      <c r="AR533">
        <f>IF(OR(AR$4="",$A533&gt;TODAY()),0,IF(OR(INDEX($B533:$D533,AR$5)="F",AND(AR$6&gt;0,$A533&lt;AR$6),AND(AR$7&gt;0,$A533&gt;AR$7)),0,MAX(0,ROUND((INDEX($E533:$G533,AR$5)-SUMIFS(TF_Timer,TF_Tekniker,AR$4,TF_Dato,$A533))*2,0)/2)))</f>
        <v/>
      </c>
      <c r="AS533">
        <f>IF(OR(AS$4="",$A533&gt;TODAY()),0,IF(OR(INDEX($B533:$D533,AS$5)="F",AND(AS$6&gt;0,$A533&lt;AS$6),AND(AS$7&gt;0,$A533&gt;AS$7)),0,MAX(0,ROUND((INDEX($E533:$G533,AS$5)-SUMIFS(TF_Timer,TF_Tekniker,AS$4,TF_Dato,$A533))*2,0)/2)))</f>
        <v/>
      </c>
      <c r="AT533">
        <f>IF(OR(AT$4="",$A533&gt;TODAY()),0,IF(OR(INDEX($B533:$D533,AT$5)="F",AND(AT$6&gt;0,$A533&lt;AT$6),AND(AT$7&gt;0,$A533&gt;AT$7)),0,MAX(0,ROUND((INDEX($E533:$G533,AT$5)-SUMIFS(TF_Timer,TF_Tekniker,AT$4,TF_Dato,$A533))*2,0)/2)))</f>
        <v/>
      </c>
      <c r="AU533">
        <f>IF(OR(AU$4="",$A533&gt;TODAY()),0,IF(OR(INDEX($B533:$D533,AU$5)="F",AND(AU$6&gt;0,$A533&lt;AU$6),AND(AU$7&gt;0,$A533&gt;AU$7)),0,MAX(0,ROUND((INDEX($E533:$G533,AU$5)-SUMIFS(TF_Timer,TF_Tekniker,AU$4,TF_Dato,$A533))*2,0)/2)))</f>
        <v/>
      </c>
      <c r="AV533">
        <f>IF(OR(AV$4="",$A533&gt;TODAY()),0,IF(OR(INDEX($B533:$D533,AV$5)="F",AND(AV$6&gt;0,$A533&lt;AV$6),AND(AV$7&gt;0,$A533&gt;AV$7)),0,MAX(0,ROUND((INDEX($E533:$G533,AV$5)-SUMIFS(TF_Timer,TF_Tekniker,AV$4,TF_Dato,$A533))*2,0)/2)))</f>
        <v/>
      </c>
      <c r="AW533">
        <f>IF(OR(AW$4="",$A533&gt;TODAY()),0,IF(OR(INDEX($B533:$D533,AW$5)="F",AND(AW$6&gt;0,$A533&lt;AW$6),AND(AW$7&gt;0,$A533&gt;AW$7)),0,MAX(0,ROUND((INDEX($E533:$G533,AW$5)-SUMIFS(TF_Timer,TF_Tekniker,AW$4,TF_Dato,$A533))*2,0)/2)))</f>
        <v/>
      </c>
      <c r="AX533">
        <f>IF(OR(AX$4="",$A533&gt;TODAY()),0,IF(OR(INDEX($B533:$D533,AX$5)="F",AND(AX$6&gt;0,$A533&lt;AX$6),AND(AX$7&gt;0,$A533&gt;AX$7)),0,MAX(0,ROUND((INDEX($E533:$G533,AX$5)-SUMIFS(TF_Timer,TF_Tekniker,AX$4,TF_Dato,$A533))*2,0)/2)))</f>
        <v/>
      </c>
      <c r="AY533">
        <f>IF(OR(AY$4="",$A533&gt;TODAY()),0,IF(OR(INDEX($B533:$D533,AY$5)="F",AND(AY$6&gt;0,$A533&lt;AY$6),AND(AY$7&gt;0,$A533&gt;AY$7)),0,MAX(0,ROUND((INDEX($E533:$G533,AY$5)-SUMIFS(TF_Timer,TF_Tekniker,AY$4,TF_Dato,$A533))*2,0)/2)))</f>
        <v/>
      </c>
      <c r="AZ533">
        <f>IF(OR(AZ$4="",$A533&gt;TODAY()),0,IF(OR(INDEX($B533:$D533,AZ$5)="F",AND(AZ$6&gt;0,$A533&lt;AZ$6),AND(AZ$7&gt;0,$A533&gt;AZ$7)),0,MAX(0,ROUND((INDEX($E533:$G533,AZ$5)-SUMIFS(TF_Timer,TF_Tekniker,AZ$4,TF_Dato,$A533))*2,0)/2)))</f>
        <v/>
      </c>
      <c r="BA533">
        <f>IF(OR(BA$4="",$A533&gt;TODAY()),0,IF(OR(INDEX($B533:$D533,BA$5)="F",AND(BA$6&gt;0,$A533&lt;BA$6),AND(BA$7&gt;0,$A533&gt;BA$7)),0,MAX(0,ROUND((INDEX($E533:$G533,BA$5)-SUMIFS(TF_Timer,TF_Tekniker,BA$4,TF_Dato,$A533))*2,0)/2)))</f>
        <v/>
      </c>
      <c r="BB533">
        <f>IF(OR(BB$4="",$A533&gt;TODAY()),0,IF(OR(INDEX($B533:$D533,BB$5)="F",AND(BB$6&gt;0,$A533&lt;BB$6),AND(BB$7&gt;0,$A533&gt;BB$7)),0,MAX(0,ROUND((INDEX($E533:$G533,BB$5)-SUMIFS(TF_Timer,TF_Tekniker,BB$4,TF_Dato,$A533))*2,0)/2)))</f>
        <v/>
      </c>
      <c r="BC533">
        <f>IF(OR(BC$4="",$A533&gt;TODAY()),0,IF(OR(INDEX($B533:$D533,BC$5)="F",AND(BC$6&gt;0,$A533&lt;BC$6),AND(BC$7&gt;0,$A533&gt;BC$7)),0,MAX(0,ROUND((INDEX($E533:$G533,BC$5)-SUMIFS(TF_Timer,TF_Tekniker,BC$4,TF_Dato,$A533))*2,0)/2)))</f>
        <v/>
      </c>
      <c r="BD533">
        <f>IF(OR(BD$4="",$A533&gt;TODAY()),0,IF(OR(INDEX($B533:$D533,BD$5)="F",AND(BD$6&gt;0,$A533&lt;BD$6),AND(BD$7&gt;0,$A533&gt;BD$7)),0,MAX(0,ROUND((INDEX($E533:$G533,BD$5)-SUMIFS(TF_Timer,TF_Tekniker,BD$4,TF_Dato,$A533))*2,0)/2)))</f>
        <v/>
      </c>
      <c r="BE533">
        <f>IF(OR(BE$4="",$A533&gt;TODAY()),0,IF(OR(INDEX($B533:$D533,BE$5)="F",AND(BE$6&gt;0,$A533&lt;BE$6),AND(BE$7&gt;0,$A533&gt;BE$7)),0,MAX(0,ROUND((INDEX($E533:$G533,BE$5)-SUMIFS(TF_Timer,TF_Tekniker,BE$4,TF_Dato,$A533))*2,0)/2)))</f>
        <v/>
      </c>
      <c r="BF533">
        <f>IF(OR(BF$4="",$A533&gt;TODAY()),0,IF(OR(INDEX($B533:$D533,BF$5)="F",AND(BF$6&gt;0,$A533&lt;BF$6),AND(BF$7&gt;0,$A533&gt;BF$7)),0,MAX(0,ROUND((INDEX($E533:$G533,BF$5)-SUMIFS(TF_Timer,TF_Tekniker,BF$4,TF_Dato,$A533))*2,0)/2)))</f>
        <v/>
      </c>
      <c r="BG533">
        <f>IF(OR(BG$4="",$A533&gt;TODAY()),0,IF(OR(INDEX($B533:$D533,BG$5)="F",AND(BG$6&gt;0,$A533&lt;BG$6),AND(BG$7&gt;0,$A533&gt;BG$7)),0,MAX(0,ROUND((INDEX($E533:$G533,BG$5)-SUMIFS(TF_Timer,TF_Tekniker,BG$4,TF_Dato,$A533))*2,0)/2)))</f>
        <v/>
      </c>
      <c r="BH533">
        <f>IF(OR(BH$4="",$A533&gt;TODAY()),0,IF(OR(INDEX($B533:$D533,BH$5)="F",AND(BH$6&gt;0,$A533&lt;BH$6),AND(BH$7&gt;0,$A533&gt;BH$7)),0,MAX(0,ROUND((INDEX($E533:$G533,BH$5)-SUMIFS(TF_Timer,TF_Tekniker,BH$4,TF_Dato,$A533))*2,0)/2)))</f>
        <v/>
      </c>
      <c r="BI533">
        <f>IF(OR(BI$4="",$A533&gt;TODAY()),0,IF(OR(INDEX($B533:$D533,BI$5)="F",AND(BI$6&gt;0,$A533&lt;BI$6),AND(BI$7&gt;0,$A533&gt;BI$7)),0,MAX(0,ROUND((INDEX($E533:$G533,BI$5)-SUMIFS(TF_Timer,TF_Tekniker,BI$4,TF_Dato,$A533))*2,0)/2)))</f>
        <v/>
      </c>
    </row>
    <row r="534">
      <c r="A534" s="64">
        <f>A533+1</f>
        <v/>
      </c>
      <c r="B534">
        <f>IF(MOD($A534-INDEX(SkiftStart,1),Syklus)&lt;DagK,"K",IF(MOD($A534-INDEX(SkiftStart,1),Syklus)&lt;DagK+DagH,"H",IF(MOD($A534-INDEX(SkiftStart,1),Syklus)&lt;DagK+DagH+DagD,"D","F")))</f>
        <v/>
      </c>
      <c r="C534">
        <f>IF(MOD($A534-INDEX(SkiftStart,2),Syklus)&lt;DagK,"K",IF(MOD($A534-INDEX(SkiftStart,2),Syklus)&lt;DagK+DagH,"H",IF(MOD($A534-INDEX(SkiftStart,2),Syklus)&lt;DagK+DagH+DagD,"D","F")))</f>
        <v/>
      </c>
      <c r="D534">
        <f>IF(MOD($A534-INDEX(SkiftStart,3),Syklus)&lt;DagK,"K",IF(MOD($A534-INDEX(SkiftStart,3),Syklus)&lt;DagK+DagH,"H",IF(MOD($A534-INDEX(SkiftStart,3),Syklus)&lt;DagK+DagH+DagD,"D","F")))</f>
        <v/>
      </c>
      <c r="E534">
        <f>IF(B534="F",0,IF(WEEKDAY($A534,2)=5,INDEX(TimerFr,MATCH(B534,FaseKode,0)),INDEX(TimerMT,MATCH(B534,FaseKode,0))))</f>
        <v/>
      </c>
      <c r="F534">
        <f>IF(C534="F",0,IF(WEEKDAY($A534,2)=5,INDEX(TimerFr,MATCH(C534,FaseKode,0)),INDEX(TimerMT,MATCH(C534,FaseKode,0))))</f>
        <v/>
      </c>
      <c r="G534">
        <f>IF(D534="F",0,IF(WEEKDAY($A534,2)=5,INDEX(TimerFr,MATCH(D534,FaseKode,0)),INDEX(TimerMT,MATCH(D534,FaseKode,0))))</f>
        <v/>
      </c>
      <c r="H534">
        <f>IF(OR(H$4="",$A534&gt;TODAY()),0,IF(OR(INDEX($B534:$D534,H$5)="F",AND(H$6&gt;0,$A534&lt;H$6),AND(H$7&gt;0,$A534&gt;H$7)),0,MAX(0,ROUND((INDEX($E534:$G534,H$5)-SUMIFS(TF_Timer,TF_Tekniker,H$4,TF_Dato,$A534))*2,0)/2)))</f>
        <v/>
      </c>
      <c r="I534">
        <f>IF(OR(I$4="",$A534&gt;TODAY()),0,IF(OR(INDEX($B534:$D534,I$5)="F",AND(I$6&gt;0,$A534&lt;I$6),AND(I$7&gt;0,$A534&gt;I$7)),0,MAX(0,ROUND((INDEX($E534:$G534,I$5)-SUMIFS(TF_Timer,TF_Tekniker,I$4,TF_Dato,$A534))*2,0)/2)))</f>
        <v/>
      </c>
      <c r="J534">
        <f>IF(OR(J$4="",$A534&gt;TODAY()),0,IF(OR(INDEX($B534:$D534,J$5)="F",AND(J$6&gt;0,$A534&lt;J$6),AND(J$7&gt;0,$A534&gt;J$7)),0,MAX(0,ROUND((INDEX($E534:$G534,J$5)-SUMIFS(TF_Timer,TF_Tekniker,J$4,TF_Dato,$A534))*2,0)/2)))</f>
        <v/>
      </c>
      <c r="K534">
        <f>IF(OR(K$4="",$A534&gt;TODAY()),0,IF(OR(INDEX($B534:$D534,K$5)="F",AND(K$6&gt;0,$A534&lt;K$6),AND(K$7&gt;0,$A534&gt;K$7)),0,MAX(0,ROUND((INDEX($E534:$G534,K$5)-SUMIFS(TF_Timer,TF_Tekniker,K$4,TF_Dato,$A534))*2,0)/2)))</f>
        <v/>
      </c>
      <c r="L534">
        <f>IF(OR(L$4="",$A534&gt;TODAY()),0,IF(OR(INDEX($B534:$D534,L$5)="F",AND(L$6&gt;0,$A534&lt;L$6),AND(L$7&gt;0,$A534&gt;L$7)),0,MAX(0,ROUND((INDEX($E534:$G534,L$5)-SUMIFS(TF_Timer,TF_Tekniker,L$4,TF_Dato,$A534))*2,0)/2)))</f>
        <v/>
      </c>
      <c r="M534">
        <f>IF(OR(M$4="",$A534&gt;TODAY()),0,IF(OR(INDEX($B534:$D534,M$5)="F",AND(M$6&gt;0,$A534&lt;M$6),AND(M$7&gt;0,$A534&gt;M$7)),0,MAX(0,ROUND((INDEX($E534:$G534,M$5)-SUMIFS(TF_Timer,TF_Tekniker,M$4,TF_Dato,$A534))*2,0)/2)))</f>
        <v/>
      </c>
      <c r="N534">
        <f>IF(OR(N$4="",$A534&gt;TODAY()),0,IF(OR(INDEX($B534:$D534,N$5)="F",AND(N$6&gt;0,$A534&lt;N$6),AND(N$7&gt;0,$A534&gt;N$7)),0,MAX(0,ROUND((INDEX($E534:$G534,N$5)-SUMIFS(TF_Timer,TF_Tekniker,N$4,TF_Dato,$A534))*2,0)/2)))</f>
        <v/>
      </c>
      <c r="O534">
        <f>IF(OR(O$4="",$A534&gt;TODAY()),0,IF(OR(INDEX($B534:$D534,O$5)="F",AND(O$6&gt;0,$A534&lt;O$6),AND(O$7&gt;0,$A534&gt;O$7)),0,MAX(0,ROUND((INDEX($E534:$G534,O$5)-SUMIFS(TF_Timer,TF_Tekniker,O$4,TF_Dato,$A534))*2,0)/2)))</f>
        <v/>
      </c>
      <c r="P534">
        <f>IF(OR(P$4="",$A534&gt;TODAY()),0,IF(OR(INDEX($B534:$D534,P$5)="F",AND(P$6&gt;0,$A534&lt;P$6),AND(P$7&gt;0,$A534&gt;P$7)),0,MAX(0,ROUND((INDEX($E534:$G534,P$5)-SUMIFS(TF_Timer,TF_Tekniker,P$4,TF_Dato,$A534))*2,0)/2)))</f>
        <v/>
      </c>
      <c r="Q534">
        <f>IF(OR(Q$4="",$A534&gt;TODAY()),0,IF(OR(INDEX($B534:$D534,Q$5)="F",AND(Q$6&gt;0,$A534&lt;Q$6),AND(Q$7&gt;0,$A534&gt;Q$7)),0,MAX(0,ROUND((INDEX($E534:$G534,Q$5)-SUMIFS(TF_Timer,TF_Tekniker,Q$4,TF_Dato,$A534))*2,0)/2)))</f>
        <v/>
      </c>
      <c r="R534">
        <f>IF(OR(R$4="",$A534&gt;TODAY()),0,IF(OR(INDEX($B534:$D534,R$5)="F",AND(R$6&gt;0,$A534&lt;R$6),AND(R$7&gt;0,$A534&gt;R$7)),0,MAX(0,ROUND((INDEX($E534:$G534,R$5)-SUMIFS(TF_Timer,TF_Tekniker,R$4,TF_Dato,$A534))*2,0)/2)))</f>
        <v/>
      </c>
      <c r="S534">
        <f>IF(OR(S$4="",$A534&gt;TODAY()),0,IF(OR(INDEX($B534:$D534,S$5)="F",AND(S$6&gt;0,$A534&lt;S$6),AND(S$7&gt;0,$A534&gt;S$7)),0,MAX(0,ROUND((INDEX($E534:$G534,S$5)-SUMIFS(TF_Timer,TF_Tekniker,S$4,TF_Dato,$A534))*2,0)/2)))</f>
        <v/>
      </c>
      <c r="T534">
        <f>IF(OR(T$4="",$A534&gt;TODAY()),0,IF(OR(INDEX($B534:$D534,T$5)="F",AND(T$6&gt;0,$A534&lt;T$6),AND(T$7&gt;0,$A534&gt;T$7)),0,MAX(0,ROUND((INDEX($E534:$G534,T$5)-SUMIFS(TF_Timer,TF_Tekniker,T$4,TF_Dato,$A534))*2,0)/2)))</f>
        <v/>
      </c>
      <c r="U534">
        <f>IF(OR(U$4="",$A534&gt;TODAY()),0,IF(OR(INDEX($B534:$D534,U$5)="F",AND(U$6&gt;0,$A534&lt;U$6),AND(U$7&gt;0,$A534&gt;U$7)),0,MAX(0,ROUND((INDEX($E534:$G534,U$5)-SUMIFS(TF_Timer,TF_Tekniker,U$4,TF_Dato,$A534))*2,0)/2)))</f>
        <v/>
      </c>
      <c r="V534">
        <f>IF(OR(V$4="",$A534&gt;TODAY()),0,IF(OR(INDEX($B534:$D534,V$5)="F",AND(V$6&gt;0,$A534&lt;V$6),AND(V$7&gt;0,$A534&gt;V$7)),0,MAX(0,ROUND((INDEX($E534:$G534,V$5)-SUMIFS(TF_Timer,TF_Tekniker,V$4,TF_Dato,$A534))*2,0)/2)))</f>
        <v/>
      </c>
      <c r="W534">
        <f>IF(OR(W$4="",$A534&gt;TODAY()),0,IF(OR(INDEX($B534:$D534,W$5)="F",AND(W$6&gt;0,$A534&lt;W$6),AND(W$7&gt;0,$A534&gt;W$7)),0,MAX(0,ROUND((INDEX($E534:$G534,W$5)-SUMIFS(TF_Timer,TF_Tekniker,W$4,TF_Dato,$A534))*2,0)/2)))</f>
        <v/>
      </c>
      <c r="X534">
        <f>IF(OR(X$4="",$A534&gt;TODAY()),0,IF(OR(INDEX($B534:$D534,X$5)="F",AND(X$6&gt;0,$A534&lt;X$6),AND(X$7&gt;0,$A534&gt;X$7)),0,MAX(0,ROUND((INDEX($E534:$G534,X$5)-SUMIFS(TF_Timer,TF_Tekniker,X$4,TF_Dato,$A534))*2,0)/2)))</f>
        <v/>
      </c>
      <c r="Y534">
        <f>IF(OR(Y$4="",$A534&gt;TODAY()),0,IF(OR(INDEX($B534:$D534,Y$5)="F",AND(Y$6&gt;0,$A534&lt;Y$6),AND(Y$7&gt;0,$A534&gt;Y$7)),0,MAX(0,ROUND((INDEX($E534:$G534,Y$5)-SUMIFS(TF_Timer,TF_Tekniker,Y$4,TF_Dato,$A534))*2,0)/2)))</f>
        <v/>
      </c>
      <c r="Z534">
        <f>IF(OR(Z$4="",$A534&gt;TODAY()),0,IF(OR(INDEX($B534:$D534,Z$5)="F",AND(Z$6&gt;0,$A534&lt;Z$6),AND(Z$7&gt;0,$A534&gt;Z$7)),0,MAX(0,ROUND((INDEX($E534:$G534,Z$5)-SUMIFS(TF_Timer,TF_Tekniker,Z$4,TF_Dato,$A534))*2,0)/2)))</f>
        <v/>
      </c>
      <c r="AA534">
        <f>IF(OR(AA$4="",$A534&gt;TODAY()),0,IF(OR(INDEX($B534:$D534,AA$5)="F",AND(AA$6&gt;0,$A534&lt;AA$6),AND(AA$7&gt;0,$A534&gt;AA$7)),0,MAX(0,ROUND((INDEX($E534:$G534,AA$5)-SUMIFS(TF_Timer,TF_Tekniker,AA$4,TF_Dato,$A534))*2,0)/2)))</f>
        <v/>
      </c>
      <c r="AB534">
        <f>IF(OR(AB$4="",$A534&gt;TODAY()),0,IF(OR(INDEX($B534:$D534,AB$5)="F",AND(AB$6&gt;0,$A534&lt;AB$6),AND(AB$7&gt;0,$A534&gt;AB$7)),0,MAX(0,ROUND((INDEX($E534:$G534,AB$5)-SUMIFS(TF_Timer,TF_Tekniker,AB$4,TF_Dato,$A534))*2,0)/2)))</f>
        <v/>
      </c>
      <c r="AC534">
        <f>IF(OR(AC$4="",$A534&gt;TODAY()),0,IF(OR(INDEX($B534:$D534,AC$5)="F",AND(AC$6&gt;0,$A534&lt;AC$6),AND(AC$7&gt;0,$A534&gt;AC$7)),0,MAX(0,ROUND((INDEX($E534:$G534,AC$5)-SUMIFS(TF_Timer,TF_Tekniker,AC$4,TF_Dato,$A534))*2,0)/2)))</f>
        <v/>
      </c>
      <c r="AD534">
        <f>IF(OR(AD$4="",$A534&gt;TODAY()),0,IF(OR(INDEX($B534:$D534,AD$5)="F",AND(AD$6&gt;0,$A534&lt;AD$6),AND(AD$7&gt;0,$A534&gt;AD$7)),0,MAX(0,ROUND((INDEX($E534:$G534,AD$5)-SUMIFS(TF_Timer,TF_Tekniker,AD$4,TF_Dato,$A534))*2,0)/2)))</f>
        <v/>
      </c>
      <c r="AE534">
        <f>IF(OR(AE$4="",$A534&gt;TODAY()),0,IF(OR(INDEX($B534:$D534,AE$5)="F",AND(AE$6&gt;0,$A534&lt;AE$6),AND(AE$7&gt;0,$A534&gt;AE$7)),0,MAX(0,ROUND((INDEX($E534:$G534,AE$5)-SUMIFS(TF_Timer,TF_Tekniker,AE$4,TF_Dato,$A534))*2,0)/2)))</f>
        <v/>
      </c>
      <c r="AF534">
        <f>IF(OR(AF$4="",$A534&gt;TODAY()),0,IF(OR(INDEX($B534:$D534,AF$5)="F",AND(AF$6&gt;0,$A534&lt;AF$6),AND(AF$7&gt;0,$A534&gt;AF$7)),0,MAX(0,ROUND((INDEX($E534:$G534,AF$5)-SUMIFS(TF_Timer,TF_Tekniker,AF$4,TF_Dato,$A534))*2,0)/2)))</f>
        <v/>
      </c>
      <c r="AG534">
        <f>IF(OR(AG$4="",$A534&gt;TODAY()),0,IF(OR(INDEX($B534:$D534,AG$5)="F",AND(AG$6&gt;0,$A534&lt;AG$6),AND(AG$7&gt;0,$A534&gt;AG$7)),0,MAX(0,ROUND((INDEX($E534:$G534,AG$5)-SUMIFS(TF_Timer,TF_Tekniker,AG$4,TF_Dato,$A534))*2,0)/2)))</f>
        <v/>
      </c>
      <c r="AH534">
        <f>IF(OR(AH$4="",$A534&gt;TODAY()),0,IF(OR(INDEX($B534:$D534,AH$5)="F",AND(AH$6&gt;0,$A534&lt;AH$6),AND(AH$7&gt;0,$A534&gt;AH$7)),0,MAX(0,ROUND((INDEX($E534:$G534,AH$5)-SUMIFS(TF_Timer,TF_Tekniker,AH$4,TF_Dato,$A534))*2,0)/2)))</f>
        <v/>
      </c>
      <c r="AI534">
        <f>IF(OR(AI$4="",$A534&gt;TODAY()),0,IF(OR(INDEX($B534:$D534,AI$5)="F",AND(AI$6&gt;0,$A534&lt;AI$6),AND(AI$7&gt;0,$A534&gt;AI$7)),0,MAX(0,ROUND((INDEX($E534:$G534,AI$5)-SUMIFS(TF_Timer,TF_Tekniker,AI$4,TF_Dato,$A534))*2,0)/2)))</f>
        <v/>
      </c>
      <c r="AJ534">
        <f>IF(OR(AJ$4="",$A534&gt;TODAY()),0,IF(OR(INDEX($B534:$D534,AJ$5)="F",AND(AJ$6&gt;0,$A534&lt;AJ$6),AND(AJ$7&gt;0,$A534&gt;AJ$7)),0,MAX(0,ROUND((INDEX($E534:$G534,AJ$5)-SUMIFS(TF_Timer,TF_Tekniker,AJ$4,TF_Dato,$A534))*2,0)/2)))</f>
        <v/>
      </c>
      <c r="AK534">
        <f>IF(OR(AK$4="",$A534&gt;TODAY()),0,IF(OR(INDEX($B534:$D534,AK$5)="F",AND(AK$6&gt;0,$A534&lt;AK$6),AND(AK$7&gt;0,$A534&gt;AK$7)),0,MAX(0,ROUND((INDEX($E534:$G534,AK$5)-SUMIFS(TF_Timer,TF_Tekniker,AK$4,TF_Dato,$A534))*2,0)/2)))</f>
        <v/>
      </c>
      <c r="AL534">
        <f>IF(OR(AL$4="",$A534&gt;TODAY()),0,IF(OR(INDEX($B534:$D534,AL$5)="F",AND(AL$6&gt;0,$A534&lt;AL$6),AND(AL$7&gt;0,$A534&gt;AL$7)),0,MAX(0,ROUND((INDEX($E534:$G534,AL$5)-SUMIFS(TF_Timer,TF_Tekniker,AL$4,TF_Dato,$A534))*2,0)/2)))</f>
        <v/>
      </c>
      <c r="AM534">
        <f>IF(OR(AM$4="",$A534&gt;TODAY()),0,IF(OR(INDEX($B534:$D534,AM$5)="F",AND(AM$6&gt;0,$A534&lt;AM$6),AND(AM$7&gt;0,$A534&gt;AM$7)),0,MAX(0,ROUND((INDEX($E534:$G534,AM$5)-SUMIFS(TF_Timer,TF_Tekniker,AM$4,TF_Dato,$A534))*2,0)/2)))</f>
        <v/>
      </c>
      <c r="AN534">
        <f>IF(OR(AN$4="",$A534&gt;TODAY()),0,IF(OR(INDEX($B534:$D534,AN$5)="F",AND(AN$6&gt;0,$A534&lt;AN$6),AND(AN$7&gt;0,$A534&gt;AN$7)),0,MAX(0,ROUND((INDEX($E534:$G534,AN$5)-SUMIFS(TF_Timer,TF_Tekniker,AN$4,TF_Dato,$A534))*2,0)/2)))</f>
        <v/>
      </c>
      <c r="AO534">
        <f>IF(OR(AO$4="",$A534&gt;TODAY()),0,IF(OR(INDEX($B534:$D534,AO$5)="F",AND(AO$6&gt;0,$A534&lt;AO$6),AND(AO$7&gt;0,$A534&gt;AO$7)),0,MAX(0,ROUND((INDEX($E534:$G534,AO$5)-SUMIFS(TF_Timer,TF_Tekniker,AO$4,TF_Dato,$A534))*2,0)/2)))</f>
        <v/>
      </c>
      <c r="AP534">
        <f>IF(OR(AP$4="",$A534&gt;TODAY()),0,IF(OR(INDEX($B534:$D534,AP$5)="F",AND(AP$6&gt;0,$A534&lt;AP$6),AND(AP$7&gt;0,$A534&gt;AP$7)),0,MAX(0,ROUND((INDEX($E534:$G534,AP$5)-SUMIFS(TF_Timer,TF_Tekniker,AP$4,TF_Dato,$A534))*2,0)/2)))</f>
        <v/>
      </c>
      <c r="AQ534">
        <f>IF(OR(AQ$4="",$A534&gt;TODAY()),0,IF(OR(INDEX($B534:$D534,AQ$5)="F",AND(AQ$6&gt;0,$A534&lt;AQ$6),AND(AQ$7&gt;0,$A534&gt;AQ$7)),0,MAX(0,ROUND((INDEX($E534:$G534,AQ$5)-SUMIFS(TF_Timer,TF_Tekniker,AQ$4,TF_Dato,$A534))*2,0)/2)))</f>
        <v/>
      </c>
      <c r="AR534">
        <f>IF(OR(AR$4="",$A534&gt;TODAY()),0,IF(OR(INDEX($B534:$D534,AR$5)="F",AND(AR$6&gt;0,$A534&lt;AR$6),AND(AR$7&gt;0,$A534&gt;AR$7)),0,MAX(0,ROUND((INDEX($E534:$G534,AR$5)-SUMIFS(TF_Timer,TF_Tekniker,AR$4,TF_Dato,$A534))*2,0)/2)))</f>
        <v/>
      </c>
      <c r="AS534">
        <f>IF(OR(AS$4="",$A534&gt;TODAY()),0,IF(OR(INDEX($B534:$D534,AS$5)="F",AND(AS$6&gt;0,$A534&lt;AS$6),AND(AS$7&gt;0,$A534&gt;AS$7)),0,MAX(0,ROUND((INDEX($E534:$G534,AS$5)-SUMIFS(TF_Timer,TF_Tekniker,AS$4,TF_Dato,$A534))*2,0)/2)))</f>
        <v/>
      </c>
      <c r="AT534">
        <f>IF(OR(AT$4="",$A534&gt;TODAY()),0,IF(OR(INDEX($B534:$D534,AT$5)="F",AND(AT$6&gt;0,$A534&lt;AT$6),AND(AT$7&gt;0,$A534&gt;AT$7)),0,MAX(0,ROUND((INDEX($E534:$G534,AT$5)-SUMIFS(TF_Timer,TF_Tekniker,AT$4,TF_Dato,$A534))*2,0)/2)))</f>
        <v/>
      </c>
      <c r="AU534">
        <f>IF(OR(AU$4="",$A534&gt;TODAY()),0,IF(OR(INDEX($B534:$D534,AU$5)="F",AND(AU$6&gt;0,$A534&lt;AU$6),AND(AU$7&gt;0,$A534&gt;AU$7)),0,MAX(0,ROUND((INDEX($E534:$G534,AU$5)-SUMIFS(TF_Timer,TF_Tekniker,AU$4,TF_Dato,$A534))*2,0)/2)))</f>
        <v/>
      </c>
      <c r="AV534">
        <f>IF(OR(AV$4="",$A534&gt;TODAY()),0,IF(OR(INDEX($B534:$D534,AV$5)="F",AND(AV$6&gt;0,$A534&lt;AV$6),AND(AV$7&gt;0,$A534&gt;AV$7)),0,MAX(0,ROUND((INDEX($E534:$G534,AV$5)-SUMIFS(TF_Timer,TF_Tekniker,AV$4,TF_Dato,$A534))*2,0)/2)))</f>
        <v/>
      </c>
      <c r="AW534">
        <f>IF(OR(AW$4="",$A534&gt;TODAY()),0,IF(OR(INDEX($B534:$D534,AW$5)="F",AND(AW$6&gt;0,$A534&lt;AW$6),AND(AW$7&gt;0,$A534&gt;AW$7)),0,MAX(0,ROUND((INDEX($E534:$G534,AW$5)-SUMIFS(TF_Timer,TF_Tekniker,AW$4,TF_Dato,$A534))*2,0)/2)))</f>
        <v/>
      </c>
      <c r="AX534">
        <f>IF(OR(AX$4="",$A534&gt;TODAY()),0,IF(OR(INDEX($B534:$D534,AX$5)="F",AND(AX$6&gt;0,$A534&lt;AX$6),AND(AX$7&gt;0,$A534&gt;AX$7)),0,MAX(0,ROUND((INDEX($E534:$G534,AX$5)-SUMIFS(TF_Timer,TF_Tekniker,AX$4,TF_Dato,$A534))*2,0)/2)))</f>
        <v/>
      </c>
      <c r="AY534">
        <f>IF(OR(AY$4="",$A534&gt;TODAY()),0,IF(OR(INDEX($B534:$D534,AY$5)="F",AND(AY$6&gt;0,$A534&lt;AY$6),AND(AY$7&gt;0,$A534&gt;AY$7)),0,MAX(0,ROUND((INDEX($E534:$G534,AY$5)-SUMIFS(TF_Timer,TF_Tekniker,AY$4,TF_Dato,$A534))*2,0)/2)))</f>
        <v/>
      </c>
      <c r="AZ534">
        <f>IF(OR(AZ$4="",$A534&gt;TODAY()),0,IF(OR(INDEX($B534:$D534,AZ$5)="F",AND(AZ$6&gt;0,$A534&lt;AZ$6),AND(AZ$7&gt;0,$A534&gt;AZ$7)),0,MAX(0,ROUND((INDEX($E534:$G534,AZ$5)-SUMIFS(TF_Timer,TF_Tekniker,AZ$4,TF_Dato,$A534))*2,0)/2)))</f>
        <v/>
      </c>
      <c r="BA534">
        <f>IF(OR(BA$4="",$A534&gt;TODAY()),0,IF(OR(INDEX($B534:$D534,BA$5)="F",AND(BA$6&gt;0,$A534&lt;BA$6),AND(BA$7&gt;0,$A534&gt;BA$7)),0,MAX(0,ROUND((INDEX($E534:$G534,BA$5)-SUMIFS(TF_Timer,TF_Tekniker,BA$4,TF_Dato,$A534))*2,0)/2)))</f>
        <v/>
      </c>
      <c r="BB534">
        <f>IF(OR(BB$4="",$A534&gt;TODAY()),0,IF(OR(INDEX($B534:$D534,BB$5)="F",AND(BB$6&gt;0,$A534&lt;BB$6),AND(BB$7&gt;0,$A534&gt;BB$7)),0,MAX(0,ROUND((INDEX($E534:$G534,BB$5)-SUMIFS(TF_Timer,TF_Tekniker,BB$4,TF_Dato,$A534))*2,0)/2)))</f>
        <v/>
      </c>
      <c r="BC534">
        <f>IF(OR(BC$4="",$A534&gt;TODAY()),0,IF(OR(INDEX($B534:$D534,BC$5)="F",AND(BC$6&gt;0,$A534&lt;BC$6),AND(BC$7&gt;0,$A534&gt;BC$7)),0,MAX(0,ROUND((INDEX($E534:$G534,BC$5)-SUMIFS(TF_Timer,TF_Tekniker,BC$4,TF_Dato,$A534))*2,0)/2)))</f>
        <v/>
      </c>
      <c r="BD534">
        <f>IF(OR(BD$4="",$A534&gt;TODAY()),0,IF(OR(INDEX($B534:$D534,BD$5)="F",AND(BD$6&gt;0,$A534&lt;BD$6),AND(BD$7&gt;0,$A534&gt;BD$7)),0,MAX(0,ROUND((INDEX($E534:$G534,BD$5)-SUMIFS(TF_Timer,TF_Tekniker,BD$4,TF_Dato,$A534))*2,0)/2)))</f>
        <v/>
      </c>
      <c r="BE534">
        <f>IF(OR(BE$4="",$A534&gt;TODAY()),0,IF(OR(INDEX($B534:$D534,BE$5)="F",AND(BE$6&gt;0,$A534&lt;BE$6),AND(BE$7&gt;0,$A534&gt;BE$7)),0,MAX(0,ROUND((INDEX($E534:$G534,BE$5)-SUMIFS(TF_Timer,TF_Tekniker,BE$4,TF_Dato,$A534))*2,0)/2)))</f>
        <v/>
      </c>
      <c r="BF534">
        <f>IF(OR(BF$4="",$A534&gt;TODAY()),0,IF(OR(INDEX($B534:$D534,BF$5)="F",AND(BF$6&gt;0,$A534&lt;BF$6),AND(BF$7&gt;0,$A534&gt;BF$7)),0,MAX(0,ROUND((INDEX($E534:$G534,BF$5)-SUMIFS(TF_Timer,TF_Tekniker,BF$4,TF_Dato,$A534))*2,0)/2)))</f>
        <v/>
      </c>
      <c r="BG534">
        <f>IF(OR(BG$4="",$A534&gt;TODAY()),0,IF(OR(INDEX($B534:$D534,BG$5)="F",AND(BG$6&gt;0,$A534&lt;BG$6),AND(BG$7&gt;0,$A534&gt;BG$7)),0,MAX(0,ROUND((INDEX($E534:$G534,BG$5)-SUMIFS(TF_Timer,TF_Tekniker,BG$4,TF_Dato,$A534))*2,0)/2)))</f>
        <v/>
      </c>
      <c r="BH534">
        <f>IF(OR(BH$4="",$A534&gt;TODAY()),0,IF(OR(INDEX($B534:$D534,BH$5)="F",AND(BH$6&gt;0,$A534&lt;BH$6),AND(BH$7&gt;0,$A534&gt;BH$7)),0,MAX(0,ROUND((INDEX($E534:$G534,BH$5)-SUMIFS(TF_Timer,TF_Tekniker,BH$4,TF_Dato,$A534))*2,0)/2)))</f>
        <v/>
      </c>
      <c r="BI534">
        <f>IF(OR(BI$4="",$A534&gt;TODAY()),0,IF(OR(INDEX($B534:$D534,BI$5)="F",AND(BI$6&gt;0,$A534&lt;BI$6),AND(BI$7&gt;0,$A534&gt;BI$7)),0,MAX(0,ROUND((INDEX($E534:$G534,BI$5)-SUMIFS(TF_Timer,TF_Tekniker,BI$4,TF_Dato,$A534))*2,0)/2)))</f>
        <v/>
      </c>
    </row>
    <row r="535">
      <c r="A535" s="64">
        <f>A534+1</f>
        <v/>
      </c>
      <c r="B535">
        <f>IF(MOD($A535-INDEX(SkiftStart,1),Syklus)&lt;DagK,"K",IF(MOD($A535-INDEX(SkiftStart,1),Syklus)&lt;DagK+DagH,"H",IF(MOD($A535-INDEX(SkiftStart,1),Syklus)&lt;DagK+DagH+DagD,"D","F")))</f>
        <v/>
      </c>
      <c r="C535">
        <f>IF(MOD($A535-INDEX(SkiftStart,2),Syklus)&lt;DagK,"K",IF(MOD($A535-INDEX(SkiftStart,2),Syklus)&lt;DagK+DagH,"H",IF(MOD($A535-INDEX(SkiftStart,2),Syklus)&lt;DagK+DagH+DagD,"D","F")))</f>
        <v/>
      </c>
      <c r="D535">
        <f>IF(MOD($A535-INDEX(SkiftStart,3),Syklus)&lt;DagK,"K",IF(MOD($A535-INDEX(SkiftStart,3),Syklus)&lt;DagK+DagH,"H",IF(MOD($A535-INDEX(SkiftStart,3),Syklus)&lt;DagK+DagH+DagD,"D","F")))</f>
        <v/>
      </c>
      <c r="E535">
        <f>IF(B535="F",0,IF(WEEKDAY($A535,2)=5,INDEX(TimerFr,MATCH(B535,FaseKode,0)),INDEX(TimerMT,MATCH(B535,FaseKode,0))))</f>
        <v/>
      </c>
      <c r="F535">
        <f>IF(C535="F",0,IF(WEEKDAY($A535,2)=5,INDEX(TimerFr,MATCH(C535,FaseKode,0)),INDEX(TimerMT,MATCH(C535,FaseKode,0))))</f>
        <v/>
      </c>
      <c r="G535">
        <f>IF(D535="F",0,IF(WEEKDAY($A535,2)=5,INDEX(TimerFr,MATCH(D535,FaseKode,0)),INDEX(TimerMT,MATCH(D535,FaseKode,0))))</f>
        <v/>
      </c>
      <c r="H535">
        <f>IF(OR(H$4="",$A535&gt;TODAY()),0,IF(OR(INDEX($B535:$D535,H$5)="F",AND(H$6&gt;0,$A535&lt;H$6),AND(H$7&gt;0,$A535&gt;H$7)),0,MAX(0,ROUND((INDEX($E535:$G535,H$5)-SUMIFS(TF_Timer,TF_Tekniker,H$4,TF_Dato,$A535))*2,0)/2)))</f>
        <v/>
      </c>
      <c r="I535">
        <f>IF(OR(I$4="",$A535&gt;TODAY()),0,IF(OR(INDEX($B535:$D535,I$5)="F",AND(I$6&gt;0,$A535&lt;I$6),AND(I$7&gt;0,$A535&gt;I$7)),0,MAX(0,ROUND((INDEX($E535:$G535,I$5)-SUMIFS(TF_Timer,TF_Tekniker,I$4,TF_Dato,$A535))*2,0)/2)))</f>
        <v/>
      </c>
      <c r="J535">
        <f>IF(OR(J$4="",$A535&gt;TODAY()),0,IF(OR(INDEX($B535:$D535,J$5)="F",AND(J$6&gt;0,$A535&lt;J$6),AND(J$7&gt;0,$A535&gt;J$7)),0,MAX(0,ROUND((INDEX($E535:$G535,J$5)-SUMIFS(TF_Timer,TF_Tekniker,J$4,TF_Dato,$A535))*2,0)/2)))</f>
        <v/>
      </c>
      <c r="K535">
        <f>IF(OR(K$4="",$A535&gt;TODAY()),0,IF(OR(INDEX($B535:$D535,K$5)="F",AND(K$6&gt;0,$A535&lt;K$6),AND(K$7&gt;0,$A535&gt;K$7)),0,MAX(0,ROUND((INDEX($E535:$G535,K$5)-SUMIFS(TF_Timer,TF_Tekniker,K$4,TF_Dato,$A535))*2,0)/2)))</f>
        <v/>
      </c>
      <c r="L535">
        <f>IF(OR(L$4="",$A535&gt;TODAY()),0,IF(OR(INDEX($B535:$D535,L$5)="F",AND(L$6&gt;0,$A535&lt;L$6),AND(L$7&gt;0,$A535&gt;L$7)),0,MAX(0,ROUND((INDEX($E535:$G535,L$5)-SUMIFS(TF_Timer,TF_Tekniker,L$4,TF_Dato,$A535))*2,0)/2)))</f>
        <v/>
      </c>
      <c r="M535">
        <f>IF(OR(M$4="",$A535&gt;TODAY()),0,IF(OR(INDEX($B535:$D535,M$5)="F",AND(M$6&gt;0,$A535&lt;M$6),AND(M$7&gt;0,$A535&gt;M$7)),0,MAX(0,ROUND((INDEX($E535:$G535,M$5)-SUMIFS(TF_Timer,TF_Tekniker,M$4,TF_Dato,$A535))*2,0)/2)))</f>
        <v/>
      </c>
      <c r="N535">
        <f>IF(OR(N$4="",$A535&gt;TODAY()),0,IF(OR(INDEX($B535:$D535,N$5)="F",AND(N$6&gt;0,$A535&lt;N$6),AND(N$7&gt;0,$A535&gt;N$7)),0,MAX(0,ROUND((INDEX($E535:$G535,N$5)-SUMIFS(TF_Timer,TF_Tekniker,N$4,TF_Dato,$A535))*2,0)/2)))</f>
        <v/>
      </c>
      <c r="O535">
        <f>IF(OR(O$4="",$A535&gt;TODAY()),0,IF(OR(INDEX($B535:$D535,O$5)="F",AND(O$6&gt;0,$A535&lt;O$6),AND(O$7&gt;0,$A535&gt;O$7)),0,MAX(0,ROUND((INDEX($E535:$G535,O$5)-SUMIFS(TF_Timer,TF_Tekniker,O$4,TF_Dato,$A535))*2,0)/2)))</f>
        <v/>
      </c>
      <c r="P535">
        <f>IF(OR(P$4="",$A535&gt;TODAY()),0,IF(OR(INDEX($B535:$D535,P$5)="F",AND(P$6&gt;0,$A535&lt;P$6),AND(P$7&gt;0,$A535&gt;P$7)),0,MAX(0,ROUND((INDEX($E535:$G535,P$5)-SUMIFS(TF_Timer,TF_Tekniker,P$4,TF_Dato,$A535))*2,0)/2)))</f>
        <v/>
      </c>
      <c r="Q535">
        <f>IF(OR(Q$4="",$A535&gt;TODAY()),0,IF(OR(INDEX($B535:$D535,Q$5)="F",AND(Q$6&gt;0,$A535&lt;Q$6),AND(Q$7&gt;0,$A535&gt;Q$7)),0,MAX(0,ROUND((INDEX($E535:$G535,Q$5)-SUMIFS(TF_Timer,TF_Tekniker,Q$4,TF_Dato,$A535))*2,0)/2)))</f>
        <v/>
      </c>
      <c r="R535">
        <f>IF(OR(R$4="",$A535&gt;TODAY()),0,IF(OR(INDEX($B535:$D535,R$5)="F",AND(R$6&gt;0,$A535&lt;R$6),AND(R$7&gt;0,$A535&gt;R$7)),0,MAX(0,ROUND((INDEX($E535:$G535,R$5)-SUMIFS(TF_Timer,TF_Tekniker,R$4,TF_Dato,$A535))*2,0)/2)))</f>
        <v/>
      </c>
      <c r="S535">
        <f>IF(OR(S$4="",$A535&gt;TODAY()),0,IF(OR(INDEX($B535:$D535,S$5)="F",AND(S$6&gt;0,$A535&lt;S$6),AND(S$7&gt;0,$A535&gt;S$7)),0,MAX(0,ROUND((INDEX($E535:$G535,S$5)-SUMIFS(TF_Timer,TF_Tekniker,S$4,TF_Dato,$A535))*2,0)/2)))</f>
        <v/>
      </c>
      <c r="T535">
        <f>IF(OR(T$4="",$A535&gt;TODAY()),0,IF(OR(INDEX($B535:$D535,T$5)="F",AND(T$6&gt;0,$A535&lt;T$6),AND(T$7&gt;0,$A535&gt;T$7)),0,MAX(0,ROUND((INDEX($E535:$G535,T$5)-SUMIFS(TF_Timer,TF_Tekniker,T$4,TF_Dato,$A535))*2,0)/2)))</f>
        <v/>
      </c>
      <c r="U535">
        <f>IF(OR(U$4="",$A535&gt;TODAY()),0,IF(OR(INDEX($B535:$D535,U$5)="F",AND(U$6&gt;0,$A535&lt;U$6),AND(U$7&gt;0,$A535&gt;U$7)),0,MAX(0,ROUND((INDEX($E535:$G535,U$5)-SUMIFS(TF_Timer,TF_Tekniker,U$4,TF_Dato,$A535))*2,0)/2)))</f>
        <v/>
      </c>
      <c r="V535">
        <f>IF(OR(V$4="",$A535&gt;TODAY()),0,IF(OR(INDEX($B535:$D535,V$5)="F",AND(V$6&gt;0,$A535&lt;V$6),AND(V$7&gt;0,$A535&gt;V$7)),0,MAX(0,ROUND((INDEX($E535:$G535,V$5)-SUMIFS(TF_Timer,TF_Tekniker,V$4,TF_Dato,$A535))*2,0)/2)))</f>
        <v/>
      </c>
      <c r="W535">
        <f>IF(OR(W$4="",$A535&gt;TODAY()),0,IF(OR(INDEX($B535:$D535,W$5)="F",AND(W$6&gt;0,$A535&lt;W$6),AND(W$7&gt;0,$A535&gt;W$7)),0,MAX(0,ROUND((INDEX($E535:$G535,W$5)-SUMIFS(TF_Timer,TF_Tekniker,W$4,TF_Dato,$A535))*2,0)/2)))</f>
        <v/>
      </c>
      <c r="X535">
        <f>IF(OR(X$4="",$A535&gt;TODAY()),0,IF(OR(INDEX($B535:$D535,X$5)="F",AND(X$6&gt;0,$A535&lt;X$6),AND(X$7&gt;0,$A535&gt;X$7)),0,MAX(0,ROUND((INDEX($E535:$G535,X$5)-SUMIFS(TF_Timer,TF_Tekniker,X$4,TF_Dato,$A535))*2,0)/2)))</f>
        <v/>
      </c>
      <c r="Y535">
        <f>IF(OR(Y$4="",$A535&gt;TODAY()),0,IF(OR(INDEX($B535:$D535,Y$5)="F",AND(Y$6&gt;0,$A535&lt;Y$6),AND(Y$7&gt;0,$A535&gt;Y$7)),0,MAX(0,ROUND((INDEX($E535:$G535,Y$5)-SUMIFS(TF_Timer,TF_Tekniker,Y$4,TF_Dato,$A535))*2,0)/2)))</f>
        <v/>
      </c>
      <c r="Z535">
        <f>IF(OR(Z$4="",$A535&gt;TODAY()),0,IF(OR(INDEX($B535:$D535,Z$5)="F",AND(Z$6&gt;0,$A535&lt;Z$6),AND(Z$7&gt;0,$A535&gt;Z$7)),0,MAX(0,ROUND((INDEX($E535:$G535,Z$5)-SUMIFS(TF_Timer,TF_Tekniker,Z$4,TF_Dato,$A535))*2,0)/2)))</f>
        <v/>
      </c>
      <c r="AA535">
        <f>IF(OR(AA$4="",$A535&gt;TODAY()),0,IF(OR(INDEX($B535:$D535,AA$5)="F",AND(AA$6&gt;0,$A535&lt;AA$6),AND(AA$7&gt;0,$A535&gt;AA$7)),0,MAX(0,ROUND((INDEX($E535:$G535,AA$5)-SUMIFS(TF_Timer,TF_Tekniker,AA$4,TF_Dato,$A535))*2,0)/2)))</f>
        <v/>
      </c>
      <c r="AB535">
        <f>IF(OR(AB$4="",$A535&gt;TODAY()),0,IF(OR(INDEX($B535:$D535,AB$5)="F",AND(AB$6&gt;0,$A535&lt;AB$6),AND(AB$7&gt;0,$A535&gt;AB$7)),0,MAX(0,ROUND((INDEX($E535:$G535,AB$5)-SUMIFS(TF_Timer,TF_Tekniker,AB$4,TF_Dato,$A535))*2,0)/2)))</f>
        <v/>
      </c>
      <c r="AC535">
        <f>IF(OR(AC$4="",$A535&gt;TODAY()),0,IF(OR(INDEX($B535:$D535,AC$5)="F",AND(AC$6&gt;0,$A535&lt;AC$6),AND(AC$7&gt;0,$A535&gt;AC$7)),0,MAX(0,ROUND((INDEX($E535:$G535,AC$5)-SUMIFS(TF_Timer,TF_Tekniker,AC$4,TF_Dato,$A535))*2,0)/2)))</f>
        <v/>
      </c>
      <c r="AD535">
        <f>IF(OR(AD$4="",$A535&gt;TODAY()),0,IF(OR(INDEX($B535:$D535,AD$5)="F",AND(AD$6&gt;0,$A535&lt;AD$6),AND(AD$7&gt;0,$A535&gt;AD$7)),0,MAX(0,ROUND((INDEX($E535:$G535,AD$5)-SUMIFS(TF_Timer,TF_Tekniker,AD$4,TF_Dato,$A535))*2,0)/2)))</f>
        <v/>
      </c>
      <c r="AE535">
        <f>IF(OR(AE$4="",$A535&gt;TODAY()),0,IF(OR(INDEX($B535:$D535,AE$5)="F",AND(AE$6&gt;0,$A535&lt;AE$6),AND(AE$7&gt;0,$A535&gt;AE$7)),0,MAX(0,ROUND((INDEX($E535:$G535,AE$5)-SUMIFS(TF_Timer,TF_Tekniker,AE$4,TF_Dato,$A535))*2,0)/2)))</f>
        <v/>
      </c>
      <c r="AF535">
        <f>IF(OR(AF$4="",$A535&gt;TODAY()),0,IF(OR(INDEX($B535:$D535,AF$5)="F",AND(AF$6&gt;0,$A535&lt;AF$6),AND(AF$7&gt;0,$A535&gt;AF$7)),0,MAX(0,ROUND((INDEX($E535:$G535,AF$5)-SUMIFS(TF_Timer,TF_Tekniker,AF$4,TF_Dato,$A535))*2,0)/2)))</f>
        <v/>
      </c>
      <c r="AG535">
        <f>IF(OR(AG$4="",$A535&gt;TODAY()),0,IF(OR(INDEX($B535:$D535,AG$5)="F",AND(AG$6&gt;0,$A535&lt;AG$6),AND(AG$7&gt;0,$A535&gt;AG$7)),0,MAX(0,ROUND((INDEX($E535:$G535,AG$5)-SUMIFS(TF_Timer,TF_Tekniker,AG$4,TF_Dato,$A535))*2,0)/2)))</f>
        <v/>
      </c>
      <c r="AH535">
        <f>IF(OR(AH$4="",$A535&gt;TODAY()),0,IF(OR(INDEX($B535:$D535,AH$5)="F",AND(AH$6&gt;0,$A535&lt;AH$6),AND(AH$7&gt;0,$A535&gt;AH$7)),0,MAX(0,ROUND((INDEX($E535:$G535,AH$5)-SUMIFS(TF_Timer,TF_Tekniker,AH$4,TF_Dato,$A535))*2,0)/2)))</f>
        <v/>
      </c>
      <c r="AI535">
        <f>IF(OR(AI$4="",$A535&gt;TODAY()),0,IF(OR(INDEX($B535:$D535,AI$5)="F",AND(AI$6&gt;0,$A535&lt;AI$6),AND(AI$7&gt;0,$A535&gt;AI$7)),0,MAX(0,ROUND((INDEX($E535:$G535,AI$5)-SUMIFS(TF_Timer,TF_Tekniker,AI$4,TF_Dato,$A535))*2,0)/2)))</f>
        <v/>
      </c>
      <c r="AJ535">
        <f>IF(OR(AJ$4="",$A535&gt;TODAY()),0,IF(OR(INDEX($B535:$D535,AJ$5)="F",AND(AJ$6&gt;0,$A535&lt;AJ$6),AND(AJ$7&gt;0,$A535&gt;AJ$7)),0,MAX(0,ROUND((INDEX($E535:$G535,AJ$5)-SUMIFS(TF_Timer,TF_Tekniker,AJ$4,TF_Dato,$A535))*2,0)/2)))</f>
        <v/>
      </c>
      <c r="AK535">
        <f>IF(OR(AK$4="",$A535&gt;TODAY()),0,IF(OR(INDEX($B535:$D535,AK$5)="F",AND(AK$6&gt;0,$A535&lt;AK$6),AND(AK$7&gt;0,$A535&gt;AK$7)),0,MAX(0,ROUND((INDEX($E535:$G535,AK$5)-SUMIFS(TF_Timer,TF_Tekniker,AK$4,TF_Dato,$A535))*2,0)/2)))</f>
        <v/>
      </c>
      <c r="AL535">
        <f>IF(OR(AL$4="",$A535&gt;TODAY()),0,IF(OR(INDEX($B535:$D535,AL$5)="F",AND(AL$6&gt;0,$A535&lt;AL$6),AND(AL$7&gt;0,$A535&gt;AL$7)),0,MAX(0,ROUND((INDEX($E535:$G535,AL$5)-SUMIFS(TF_Timer,TF_Tekniker,AL$4,TF_Dato,$A535))*2,0)/2)))</f>
        <v/>
      </c>
      <c r="AM535">
        <f>IF(OR(AM$4="",$A535&gt;TODAY()),0,IF(OR(INDEX($B535:$D535,AM$5)="F",AND(AM$6&gt;0,$A535&lt;AM$6),AND(AM$7&gt;0,$A535&gt;AM$7)),0,MAX(0,ROUND((INDEX($E535:$G535,AM$5)-SUMIFS(TF_Timer,TF_Tekniker,AM$4,TF_Dato,$A535))*2,0)/2)))</f>
        <v/>
      </c>
      <c r="AN535">
        <f>IF(OR(AN$4="",$A535&gt;TODAY()),0,IF(OR(INDEX($B535:$D535,AN$5)="F",AND(AN$6&gt;0,$A535&lt;AN$6),AND(AN$7&gt;0,$A535&gt;AN$7)),0,MAX(0,ROUND((INDEX($E535:$G535,AN$5)-SUMIFS(TF_Timer,TF_Tekniker,AN$4,TF_Dato,$A535))*2,0)/2)))</f>
        <v/>
      </c>
      <c r="AO535">
        <f>IF(OR(AO$4="",$A535&gt;TODAY()),0,IF(OR(INDEX($B535:$D535,AO$5)="F",AND(AO$6&gt;0,$A535&lt;AO$6),AND(AO$7&gt;0,$A535&gt;AO$7)),0,MAX(0,ROUND((INDEX($E535:$G535,AO$5)-SUMIFS(TF_Timer,TF_Tekniker,AO$4,TF_Dato,$A535))*2,0)/2)))</f>
        <v/>
      </c>
      <c r="AP535">
        <f>IF(OR(AP$4="",$A535&gt;TODAY()),0,IF(OR(INDEX($B535:$D535,AP$5)="F",AND(AP$6&gt;0,$A535&lt;AP$6),AND(AP$7&gt;0,$A535&gt;AP$7)),0,MAX(0,ROUND((INDEX($E535:$G535,AP$5)-SUMIFS(TF_Timer,TF_Tekniker,AP$4,TF_Dato,$A535))*2,0)/2)))</f>
        <v/>
      </c>
      <c r="AQ535">
        <f>IF(OR(AQ$4="",$A535&gt;TODAY()),0,IF(OR(INDEX($B535:$D535,AQ$5)="F",AND(AQ$6&gt;0,$A535&lt;AQ$6),AND(AQ$7&gt;0,$A535&gt;AQ$7)),0,MAX(0,ROUND((INDEX($E535:$G535,AQ$5)-SUMIFS(TF_Timer,TF_Tekniker,AQ$4,TF_Dato,$A535))*2,0)/2)))</f>
        <v/>
      </c>
      <c r="AR535">
        <f>IF(OR(AR$4="",$A535&gt;TODAY()),0,IF(OR(INDEX($B535:$D535,AR$5)="F",AND(AR$6&gt;0,$A535&lt;AR$6),AND(AR$7&gt;0,$A535&gt;AR$7)),0,MAX(0,ROUND((INDEX($E535:$G535,AR$5)-SUMIFS(TF_Timer,TF_Tekniker,AR$4,TF_Dato,$A535))*2,0)/2)))</f>
        <v/>
      </c>
      <c r="AS535">
        <f>IF(OR(AS$4="",$A535&gt;TODAY()),0,IF(OR(INDEX($B535:$D535,AS$5)="F",AND(AS$6&gt;0,$A535&lt;AS$6),AND(AS$7&gt;0,$A535&gt;AS$7)),0,MAX(0,ROUND((INDEX($E535:$G535,AS$5)-SUMIFS(TF_Timer,TF_Tekniker,AS$4,TF_Dato,$A535))*2,0)/2)))</f>
        <v/>
      </c>
      <c r="AT535">
        <f>IF(OR(AT$4="",$A535&gt;TODAY()),0,IF(OR(INDEX($B535:$D535,AT$5)="F",AND(AT$6&gt;0,$A535&lt;AT$6),AND(AT$7&gt;0,$A535&gt;AT$7)),0,MAX(0,ROUND((INDEX($E535:$G535,AT$5)-SUMIFS(TF_Timer,TF_Tekniker,AT$4,TF_Dato,$A535))*2,0)/2)))</f>
        <v/>
      </c>
      <c r="AU535">
        <f>IF(OR(AU$4="",$A535&gt;TODAY()),0,IF(OR(INDEX($B535:$D535,AU$5)="F",AND(AU$6&gt;0,$A535&lt;AU$6),AND(AU$7&gt;0,$A535&gt;AU$7)),0,MAX(0,ROUND((INDEX($E535:$G535,AU$5)-SUMIFS(TF_Timer,TF_Tekniker,AU$4,TF_Dato,$A535))*2,0)/2)))</f>
        <v/>
      </c>
      <c r="AV535">
        <f>IF(OR(AV$4="",$A535&gt;TODAY()),0,IF(OR(INDEX($B535:$D535,AV$5)="F",AND(AV$6&gt;0,$A535&lt;AV$6),AND(AV$7&gt;0,$A535&gt;AV$7)),0,MAX(0,ROUND((INDEX($E535:$G535,AV$5)-SUMIFS(TF_Timer,TF_Tekniker,AV$4,TF_Dato,$A535))*2,0)/2)))</f>
        <v/>
      </c>
      <c r="AW535">
        <f>IF(OR(AW$4="",$A535&gt;TODAY()),0,IF(OR(INDEX($B535:$D535,AW$5)="F",AND(AW$6&gt;0,$A535&lt;AW$6),AND(AW$7&gt;0,$A535&gt;AW$7)),0,MAX(0,ROUND((INDEX($E535:$G535,AW$5)-SUMIFS(TF_Timer,TF_Tekniker,AW$4,TF_Dato,$A535))*2,0)/2)))</f>
        <v/>
      </c>
      <c r="AX535">
        <f>IF(OR(AX$4="",$A535&gt;TODAY()),0,IF(OR(INDEX($B535:$D535,AX$5)="F",AND(AX$6&gt;0,$A535&lt;AX$6),AND(AX$7&gt;0,$A535&gt;AX$7)),0,MAX(0,ROUND((INDEX($E535:$G535,AX$5)-SUMIFS(TF_Timer,TF_Tekniker,AX$4,TF_Dato,$A535))*2,0)/2)))</f>
        <v/>
      </c>
      <c r="AY535">
        <f>IF(OR(AY$4="",$A535&gt;TODAY()),0,IF(OR(INDEX($B535:$D535,AY$5)="F",AND(AY$6&gt;0,$A535&lt;AY$6),AND(AY$7&gt;0,$A535&gt;AY$7)),0,MAX(0,ROUND((INDEX($E535:$G535,AY$5)-SUMIFS(TF_Timer,TF_Tekniker,AY$4,TF_Dato,$A535))*2,0)/2)))</f>
        <v/>
      </c>
      <c r="AZ535">
        <f>IF(OR(AZ$4="",$A535&gt;TODAY()),0,IF(OR(INDEX($B535:$D535,AZ$5)="F",AND(AZ$6&gt;0,$A535&lt;AZ$6),AND(AZ$7&gt;0,$A535&gt;AZ$7)),0,MAX(0,ROUND((INDEX($E535:$G535,AZ$5)-SUMIFS(TF_Timer,TF_Tekniker,AZ$4,TF_Dato,$A535))*2,0)/2)))</f>
        <v/>
      </c>
      <c r="BA535">
        <f>IF(OR(BA$4="",$A535&gt;TODAY()),0,IF(OR(INDEX($B535:$D535,BA$5)="F",AND(BA$6&gt;0,$A535&lt;BA$6),AND(BA$7&gt;0,$A535&gt;BA$7)),0,MAX(0,ROUND((INDEX($E535:$G535,BA$5)-SUMIFS(TF_Timer,TF_Tekniker,BA$4,TF_Dato,$A535))*2,0)/2)))</f>
        <v/>
      </c>
      <c r="BB535">
        <f>IF(OR(BB$4="",$A535&gt;TODAY()),0,IF(OR(INDEX($B535:$D535,BB$5)="F",AND(BB$6&gt;0,$A535&lt;BB$6),AND(BB$7&gt;0,$A535&gt;BB$7)),0,MAX(0,ROUND((INDEX($E535:$G535,BB$5)-SUMIFS(TF_Timer,TF_Tekniker,BB$4,TF_Dato,$A535))*2,0)/2)))</f>
        <v/>
      </c>
      <c r="BC535">
        <f>IF(OR(BC$4="",$A535&gt;TODAY()),0,IF(OR(INDEX($B535:$D535,BC$5)="F",AND(BC$6&gt;0,$A535&lt;BC$6),AND(BC$7&gt;0,$A535&gt;BC$7)),0,MAX(0,ROUND((INDEX($E535:$G535,BC$5)-SUMIFS(TF_Timer,TF_Tekniker,BC$4,TF_Dato,$A535))*2,0)/2)))</f>
        <v/>
      </c>
      <c r="BD535">
        <f>IF(OR(BD$4="",$A535&gt;TODAY()),0,IF(OR(INDEX($B535:$D535,BD$5)="F",AND(BD$6&gt;0,$A535&lt;BD$6),AND(BD$7&gt;0,$A535&gt;BD$7)),0,MAX(0,ROUND((INDEX($E535:$G535,BD$5)-SUMIFS(TF_Timer,TF_Tekniker,BD$4,TF_Dato,$A535))*2,0)/2)))</f>
        <v/>
      </c>
      <c r="BE535">
        <f>IF(OR(BE$4="",$A535&gt;TODAY()),0,IF(OR(INDEX($B535:$D535,BE$5)="F",AND(BE$6&gt;0,$A535&lt;BE$6),AND(BE$7&gt;0,$A535&gt;BE$7)),0,MAX(0,ROUND((INDEX($E535:$G535,BE$5)-SUMIFS(TF_Timer,TF_Tekniker,BE$4,TF_Dato,$A535))*2,0)/2)))</f>
        <v/>
      </c>
      <c r="BF535">
        <f>IF(OR(BF$4="",$A535&gt;TODAY()),0,IF(OR(INDEX($B535:$D535,BF$5)="F",AND(BF$6&gt;0,$A535&lt;BF$6),AND(BF$7&gt;0,$A535&gt;BF$7)),0,MAX(0,ROUND((INDEX($E535:$G535,BF$5)-SUMIFS(TF_Timer,TF_Tekniker,BF$4,TF_Dato,$A535))*2,0)/2)))</f>
        <v/>
      </c>
      <c r="BG535">
        <f>IF(OR(BG$4="",$A535&gt;TODAY()),0,IF(OR(INDEX($B535:$D535,BG$5)="F",AND(BG$6&gt;0,$A535&lt;BG$6),AND(BG$7&gt;0,$A535&gt;BG$7)),0,MAX(0,ROUND((INDEX($E535:$G535,BG$5)-SUMIFS(TF_Timer,TF_Tekniker,BG$4,TF_Dato,$A535))*2,0)/2)))</f>
        <v/>
      </c>
      <c r="BH535">
        <f>IF(OR(BH$4="",$A535&gt;TODAY()),0,IF(OR(INDEX($B535:$D535,BH$5)="F",AND(BH$6&gt;0,$A535&lt;BH$6),AND(BH$7&gt;0,$A535&gt;BH$7)),0,MAX(0,ROUND((INDEX($E535:$G535,BH$5)-SUMIFS(TF_Timer,TF_Tekniker,BH$4,TF_Dato,$A535))*2,0)/2)))</f>
        <v/>
      </c>
      <c r="BI535">
        <f>IF(OR(BI$4="",$A535&gt;TODAY()),0,IF(OR(INDEX($B535:$D535,BI$5)="F",AND(BI$6&gt;0,$A535&lt;BI$6),AND(BI$7&gt;0,$A535&gt;BI$7)),0,MAX(0,ROUND((INDEX($E535:$G535,BI$5)-SUMIFS(TF_Timer,TF_Tekniker,BI$4,TF_Dato,$A535))*2,0)/2)))</f>
        <v/>
      </c>
    </row>
    <row r="536">
      <c r="A536" s="64">
        <f>A535+1</f>
        <v/>
      </c>
      <c r="B536">
        <f>IF(MOD($A536-INDEX(SkiftStart,1),Syklus)&lt;DagK,"K",IF(MOD($A536-INDEX(SkiftStart,1),Syklus)&lt;DagK+DagH,"H",IF(MOD($A536-INDEX(SkiftStart,1),Syklus)&lt;DagK+DagH+DagD,"D","F")))</f>
        <v/>
      </c>
      <c r="C536">
        <f>IF(MOD($A536-INDEX(SkiftStart,2),Syklus)&lt;DagK,"K",IF(MOD($A536-INDEX(SkiftStart,2),Syklus)&lt;DagK+DagH,"H",IF(MOD($A536-INDEX(SkiftStart,2),Syklus)&lt;DagK+DagH+DagD,"D","F")))</f>
        <v/>
      </c>
      <c r="D536">
        <f>IF(MOD($A536-INDEX(SkiftStart,3),Syklus)&lt;DagK,"K",IF(MOD($A536-INDEX(SkiftStart,3),Syklus)&lt;DagK+DagH,"H",IF(MOD($A536-INDEX(SkiftStart,3),Syklus)&lt;DagK+DagH+DagD,"D","F")))</f>
        <v/>
      </c>
      <c r="E536">
        <f>IF(B536="F",0,IF(WEEKDAY($A536,2)=5,INDEX(TimerFr,MATCH(B536,FaseKode,0)),INDEX(TimerMT,MATCH(B536,FaseKode,0))))</f>
        <v/>
      </c>
      <c r="F536">
        <f>IF(C536="F",0,IF(WEEKDAY($A536,2)=5,INDEX(TimerFr,MATCH(C536,FaseKode,0)),INDEX(TimerMT,MATCH(C536,FaseKode,0))))</f>
        <v/>
      </c>
      <c r="G536">
        <f>IF(D536="F",0,IF(WEEKDAY($A536,2)=5,INDEX(TimerFr,MATCH(D536,FaseKode,0)),INDEX(TimerMT,MATCH(D536,FaseKode,0))))</f>
        <v/>
      </c>
      <c r="H536">
        <f>IF(OR(H$4="",$A536&gt;TODAY()),0,IF(OR(INDEX($B536:$D536,H$5)="F",AND(H$6&gt;0,$A536&lt;H$6),AND(H$7&gt;0,$A536&gt;H$7)),0,MAX(0,ROUND((INDEX($E536:$G536,H$5)-SUMIFS(TF_Timer,TF_Tekniker,H$4,TF_Dato,$A536))*2,0)/2)))</f>
        <v/>
      </c>
      <c r="I536">
        <f>IF(OR(I$4="",$A536&gt;TODAY()),0,IF(OR(INDEX($B536:$D536,I$5)="F",AND(I$6&gt;0,$A536&lt;I$6),AND(I$7&gt;0,$A536&gt;I$7)),0,MAX(0,ROUND((INDEX($E536:$G536,I$5)-SUMIFS(TF_Timer,TF_Tekniker,I$4,TF_Dato,$A536))*2,0)/2)))</f>
        <v/>
      </c>
      <c r="J536">
        <f>IF(OR(J$4="",$A536&gt;TODAY()),0,IF(OR(INDEX($B536:$D536,J$5)="F",AND(J$6&gt;0,$A536&lt;J$6),AND(J$7&gt;0,$A536&gt;J$7)),0,MAX(0,ROUND((INDEX($E536:$G536,J$5)-SUMIFS(TF_Timer,TF_Tekniker,J$4,TF_Dato,$A536))*2,0)/2)))</f>
        <v/>
      </c>
      <c r="K536">
        <f>IF(OR(K$4="",$A536&gt;TODAY()),0,IF(OR(INDEX($B536:$D536,K$5)="F",AND(K$6&gt;0,$A536&lt;K$6),AND(K$7&gt;0,$A536&gt;K$7)),0,MAX(0,ROUND((INDEX($E536:$G536,K$5)-SUMIFS(TF_Timer,TF_Tekniker,K$4,TF_Dato,$A536))*2,0)/2)))</f>
        <v/>
      </c>
      <c r="L536">
        <f>IF(OR(L$4="",$A536&gt;TODAY()),0,IF(OR(INDEX($B536:$D536,L$5)="F",AND(L$6&gt;0,$A536&lt;L$6),AND(L$7&gt;0,$A536&gt;L$7)),0,MAX(0,ROUND((INDEX($E536:$G536,L$5)-SUMIFS(TF_Timer,TF_Tekniker,L$4,TF_Dato,$A536))*2,0)/2)))</f>
        <v/>
      </c>
      <c r="M536">
        <f>IF(OR(M$4="",$A536&gt;TODAY()),0,IF(OR(INDEX($B536:$D536,M$5)="F",AND(M$6&gt;0,$A536&lt;M$6),AND(M$7&gt;0,$A536&gt;M$7)),0,MAX(0,ROUND((INDEX($E536:$G536,M$5)-SUMIFS(TF_Timer,TF_Tekniker,M$4,TF_Dato,$A536))*2,0)/2)))</f>
        <v/>
      </c>
      <c r="N536">
        <f>IF(OR(N$4="",$A536&gt;TODAY()),0,IF(OR(INDEX($B536:$D536,N$5)="F",AND(N$6&gt;0,$A536&lt;N$6),AND(N$7&gt;0,$A536&gt;N$7)),0,MAX(0,ROUND((INDEX($E536:$G536,N$5)-SUMIFS(TF_Timer,TF_Tekniker,N$4,TF_Dato,$A536))*2,0)/2)))</f>
        <v/>
      </c>
      <c r="O536">
        <f>IF(OR(O$4="",$A536&gt;TODAY()),0,IF(OR(INDEX($B536:$D536,O$5)="F",AND(O$6&gt;0,$A536&lt;O$6),AND(O$7&gt;0,$A536&gt;O$7)),0,MAX(0,ROUND((INDEX($E536:$G536,O$5)-SUMIFS(TF_Timer,TF_Tekniker,O$4,TF_Dato,$A536))*2,0)/2)))</f>
        <v/>
      </c>
      <c r="P536">
        <f>IF(OR(P$4="",$A536&gt;TODAY()),0,IF(OR(INDEX($B536:$D536,P$5)="F",AND(P$6&gt;0,$A536&lt;P$6),AND(P$7&gt;0,$A536&gt;P$7)),0,MAX(0,ROUND((INDEX($E536:$G536,P$5)-SUMIFS(TF_Timer,TF_Tekniker,P$4,TF_Dato,$A536))*2,0)/2)))</f>
        <v/>
      </c>
      <c r="Q536">
        <f>IF(OR(Q$4="",$A536&gt;TODAY()),0,IF(OR(INDEX($B536:$D536,Q$5)="F",AND(Q$6&gt;0,$A536&lt;Q$6),AND(Q$7&gt;0,$A536&gt;Q$7)),0,MAX(0,ROUND((INDEX($E536:$G536,Q$5)-SUMIFS(TF_Timer,TF_Tekniker,Q$4,TF_Dato,$A536))*2,0)/2)))</f>
        <v/>
      </c>
      <c r="R536">
        <f>IF(OR(R$4="",$A536&gt;TODAY()),0,IF(OR(INDEX($B536:$D536,R$5)="F",AND(R$6&gt;0,$A536&lt;R$6),AND(R$7&gt;0,$A536&gt;R$7)),0,MAX(0,ROUND((INDEX($E536:$G536,R$5)-SUMIFS(TF_Timer,TF_Tekniker,R$4,TF_Dato,$A536))*2,0)/2)))</f>
        <v/>
      </c>
      <c r="S536">
        <f>IF(OR(S$4="",$A536&gt;TODAY()),0,IF(OR(INDEX($B536:$D536,S$5)="F",AND(S$6&gt;0,$A536&lt;S$6),AND(S$7&gt;0,$A536&gt;S$7)),0,MAX(0,ROUND((INDEX($E536:$G536,S$5)-SUMIFS(TF_Timer,TF_Tekniker,S$4,TF_Dato,$A536))*2,0)/2)))</f>
        <v/>
      </c>
      <c r="T536">
        <f>IF(OR(T$4="",$A536&gt;TODAY()),0,IF(OR(INDEX($B536:$D536,T$5)="F",AND(T$6&gt;0,$A536&lt;T$6),AND(T$7&gt;0,$A536&gt;T$7)),0,MAX(0,ROUND((INDEX($E536:$G536,T$5)-SUMIFS(TF_Timer,TF_Tekniker,T$4,TF_Dato,$A536))*2,0)/2)))</f>
        <v/>
      </c>
      <c r="U536">
        <f>IF(OR(U$4="",$A536&gt;TODAY()),0,IF(OR(INDEX($B536:$D536,U$5)="F",AND(U$6&gt;0,$A536&lt;U$6),AND(U$7&gt;0,$A536&gt;U$7)),0,MAX(0,ROUND((INDEX($E536:$G536,U$5)-SUMIFS(TF_Timer,TF_Tekniker,U$4,TF_Dato,$A536))*2,0)/2)))</f>
        <v/>
      </c>
      <c r="V536">
        <f>IF(OR(V$4="",$A536&gt;TODAY()),0,IF(OR(INDEX($B536:$D536,V$5)="F",AND(V$6&gt;0,$A536&lt;V$6),AND(V$7&gt;0,$A536&gt;V$7)),0,MAX(0,ROUND((INDEX($E536:$G536,V$5)-SUMIFS(TF_Timer,TF_Tekniker,V$4,TF_Dato,$A536))*2,0)/2)))</f>
        <v/>
      </c>
      <c r="W536">
        <f>IF(OR(W$4="",$A536&gt;TODAY()),0,IF(OR(INDEX($B536:$D536,W$5)="F",AND(W$6&gt;0,$A536&lt;W$6),AND(W$7&gt;0,$A536&gt;W$7)),0,MAX(0,ROUND((INDEX($E536:$G536,W$5)-SUMIFS(TF_Timer,TF_Tekniker,W$4,TF_Dato,$A536))*2,0)/2)))</f>
        <v/>
      </c>
      <c r="X536">
        <f>IF(OR(X$4="",$A536&gt;TODAY()),0,IF(OR(INDEX($B536:$D536,X$5)="F",AND(X$6&gt;0,$A536&lt;X$6),AND(X$7&gt;0,$A536&gt;X$7)),0,MAX(0,ROUND((INDEX($E536:$G536,X$5)-SUMIFS(TF_Timer,TF_Tekniker,X$4,TF_Dato,$A536))*2,0)/2)))</f>
        <v/>
      </c>
      <c r="Y536">
        <f>IF(OR(Y$4="",$A536&gt;TODAY()),0,IF(OR(INDEX($B536:$D536,Y$5)="F",AND(Y$6&gt;0,$A536&lt;Y$6),AND(Y$7&gt;0,$A536&gt;Y$7)),0,MAX(0,ROUND((INDEX($E536:$G536,Y$5)-SUMIFS(TF_Timer,TF_Tekniker,Y$4,TF_Dato,$A536))*2,0)/2)))</f>
        <v/>
      </c>
      <c r="Z536">
        <f>IF(OR(Z$4="",$A536&gt;TODAY()),0,IF(OR(INDEX($B536:$D536,Z$5)="F",AND(Z$6&gt;0,$A536&lt;Z$6),AND(Z$7&gt;0,$A536&gt;Z$7)),0,MAX(0,ROUND((INDEX($E536:$G536,Z$5)-SUMIFS(TF_Timer,TF_Tekniker,Z$4,TF_Dato,$A536))*2,0)/2)))</f>
        <v/>
      </c>
      <c r="AA536">
        <f>IF(OR(AA$4="",$A536&gt;TODAY()),0,IF(OR(INDEX($B536:$D536,AA$5)="F",AND(AA$6&gt;0,$A536&lt;AA$6),AND(AA$7&gt;0,$A536&gt;AA$7)),0,MAX(0,ROUND((INDEX($E536:$G536,AA$5)-SUMIFS(TF_Timer,TF_Tekniker,AA$4,TF_Dato,$A536))*2,0)/2)))</f>
        <v/>
      </c>
      <c r="AB536">
        <f>IF(OR(AB$4="",$A536&gt;TODAY()),0,IF(OR(INDEX($B536:$D536,AB$5)="F",AND(AB$6&gt;0,$A536&lt;AB$6),AND(AB$7&gt;0,$A536&gt;AB$7)),0,MAX(0,ROUND((INDEX($E536:$G536,AB$5)-SUMIFS(TF_Timer,TF_Tekniker,AB$4,TF_Dato,$A536))*2,0)/2)))</f>
        <v/>
      </c>
      <c r="AC536">
        <f>IF(OR(AC$4="",$A536&gt;TODAY()),0,IF(OR(INDEX($B536:$D536,AC$5)="F",AND(AC$6&gt;0,$A536&lt;AC$6),AND(AC$7&gt;0,$A536&gt;AC$7)),0,MAX(0,ROUND((INDEX($E536:$G536,AC$5)-SUMIFS(TF_Timer,TF_Tekniker,AC$4,TF_Dato,$A536))*2,0)/2)))</f>
        <v/>
      </c>
      <c r="AD536">
        <f>IF(OR(AD$4="",$A536&gt;TODAY()),0,IF(OR(INDEX($B536:$D536,AD$5)="F",AND(AD$6&gt;0,$A536&lt;AD$6),AND(AD$7&gt;0,$A536&gt;AD$7)),0,MAX(0,ROUND((INDEX($E536:$G536,AD$5)-SUMIFS(TF_Timer,TF_Tekniker,AD$4,TF_Dato,$A536))*2,0)/2)))</f>
        <v/>
      </c>
      <c r="AE536">
        <f>IF(OR(AE$4="",$A536&gt;TODAY()),0,IF(OR(INDEX($B536:$D536,AE$5)="F",AND(AE$6&gt;0,$A536&lt;AE$6),AND(AE$7&gt;0,$A536&gt;AE$7)),0,MAX(0,ROUND((INDEX($E536:$G536,AE$5)-SUMIFS(TF_Timer,TF_Tekniker,AE$4,TF_Dato,$A536))*2,0)/2)))</f>
        <v/>
      </c>
      <c r="AF536">
        <f>IF(OR(AF$4="",$A536&gt;TODAY()),0,IF(OR(INDEX($B536:$D536,AF$5)="F",AND(AF$6&gt;0,$A536&lt;AF$6),AND(AF$7&gt;0,$A536&gt;AF$7)),0,MAX(0,ROUND((INDEX($E536:$G536,AF$5)-SUMIFS(TF_Timer,TF_Tekniker,AF$4,TF_Dato,$A536))*2,0)/2)))</f>
        <v/>
      </c>
      <c r="AG536">
        <f>IF(OR(AG$4="",$A536&gt;TODAY()),0,IF(OR(INDEX($B536:$D536,AG$5)="F",AND(AG$6&gt;0,$A536&lt;AG$6),AND(AG$7&gt;0,$A536&gt;AG$7)),0,MAX(0,ROUND((INDEX($E536:$G536,AG$5)-SUMIFS(TF_Timer,TF_Tekniker,AG$4,TF_Dato,$A536))*2,0)/2)))</f>
        <v/>
      </c>
      <c r="AH536">
        <f>IF(OR(AH$4="",$A536&gt;TODAY()),0,IF(OR(INDEX($B536:$D536,AH$5)="F",AND(AH$6&gt;0,$A536&lt;AH$6),AND(AH$7&gt;0,$A536&gt;AH$7)),0,MAX(0,ROUND((INDEX($E536:$G536,AH$5)-SUMIFS(TF_Timer,TF_Tekniker,AH$4,TF_Dato,$A536))*2,0)/2)))</f>
        <v/>
      </c>
      <c r="AI536">
        <f>IF(OR(AI$4="",$A536&gt;TODAY()),0,IF(OR(INDEX($B536:$D536,AI$5)="F",AND(AI$6&gt;0,$A536&lt;AI$6),AND(AI$7&gt;0,$A536&gt;AI$7)),0,MAX(0,ROUND((INDEX($E536:$G536,AI$5)-SUMIFS(TF_Timer,TF_Tekniker,AI$4,TF_Dato,$A536))*2,0)/2)))</f>
        <v/>
      </c>
      <c r="AJ536">
        <f>IF(OR(AJ$4="",$A536&gt;TODAY()),0,IF(OR(INDEX($B536:$D536,AJ$5)="F",AND(AJ$6&gt;0,$A536&lt;AJ$6),AND(AJ$7&gt;0,$A536&gt;AJ$7)),0,MAX(0,ROUND((INDEX($E536:$G536,AJ$5)-SUMIFS(TF_Timer,TF_Tekniker,AJ$4,TF_Dato,$A536))*2,0)/2)))</f>
        <v/>
      </c>
      <c r="AK536">
        <f>IF(OR(AK$4="",$A536&gt;TODAY()),0,IF(OR(INDEX($B536:$D536,AK$5)="F",AND(AK$6&gt;0,$A536&lt;AK$6),AND(AK$7&gt;0,$A536&gt;AK$7)),0,MAX(0,ROUND((INDEX($E536:$G536,AK$5)-SUMIFS(TF_Timer,TF_Tekniker,AK$4,TF_Dato,$A536))*2,0)/2)))</f>
        <v/>
      </c>
      <c r="AL536">
        <f>IF(OR(AL$4="",$A536&gt;TODAY()),0,IF(OR(INDEX($B536:$D536,AL$5)="F",AND(AL$6&gt;0,$A536&lt;AL$6),AND(AL$7&gt;0,$A536&gt;AL$7)),0,MAX(0,ROUND((INDEX($E536:$G536,AL$5)-SUMIFS(TF_Timer,TF_Tekniker,AL$4,TF_Dato,$A536))*2,0)/2)))</f>
        <v/>
      </c>
      <c r="AM536">
        <f>IF(OR(AM$4="",$A536&gt;TODAY()),0,IF(OR(INDEX($B536:$D536,AM$5)="F",AND(AM$6&gt;0,$A536&lt;AM$6),AND(AM$7&gt;0,$A536&gt;AM$7)),0,MAX(0,ROUND((INDEX($E536:$G536,AM$5)-SUMIFS(TF_Timer,TF_Tekniker,AM$4,TF_Dato,$A536))*2,0)/2)))</f>
        <v/>
      </c>
      <c r="AN536">
        <f>IF(OR(AN$4="",$A536&gt;TODAY()),0,IF(OR(INDEX($B536:$D536,AN$5)="F",AND(AN$6&gt;0,$A536&lt;AN$6),AND(AN$7&gt;0,$A536&gt;AN$7)),0,MAX(0,ROUND((INDEX($E536:$G536,AN$5)-SUMIFS(TF_Timer,TF_Tekniker,AN$4,TF_Dato,$A536))*2,0)/2)))</f>
        <v/>
      </c>
      <c r="AO536">
        <f>IF(OR(AO$4="",$A536&gt;TODAY()),0,IF(OR(INDEX($B536:$D536,AO$5)="F",AND(AO$6&gt;0,$A536&lt;AO$6),AND(AO$7&gt;0,$A536&gt;AO$7)),0,MAX(0,ROUND((INDEX($E536:$G536,AO$5)-SUMIFS(TF_Timer,TF_Tekniker,AO$4,TF_Dato,$A536))*2,0)/2)))</f>
        <v/>
      </c>
      <c r="AP536">
        <f>IF(OR(AP$4="",$A536&gt;TODAY()),0,IF(OR(INDEX($B536:$D536,AP$5)="F",AND(AP$6&gt;0,$A536&lt;AP$6),AND(AP$7&gt;0,$A536&gt;AP$7)),0,MAX(0,ROUND((INDEX($E536:$G536,AP$5)-SUMIFS(TF_Timer,TF_Tekniker,AP$4,TF_Dato,$A536))*2,0)/2)))</f>
        <v/>
      </c>
      <c r="AQ536">
        <f>IF(OR(AQ$4="",$A536&gt;TODAY()),0,IF(OR(INDEX($B536:$D536,AQ$5)="F",AND(AQ$6&gt;0,$A536&lt;AQ$6),AND(AQ$7&gt;0,$A536&gt;AQ$7)),0,MAX(0,ROUND((INDEX($E536:$G536,AQ$5)-SUMIFS(TF_Timer,TF_Tekniker,AQ$4,TF_Dato,$A536))*2,0)/2)))</f>
        <v/>
      </c>
      <c r="AR536">
        <f>IF(OR(AR$4="",$A536&gt;TODAY()),0,IF(OR(INDEX($B536:$D536,AR$5)="F",AND(AR$6&gt;0,$A536&lt;AR$6),AND(AR$7&gt;0,$A536&gt;AR$7)),0,MAX(0,ROUND((INDEX($E536:$G536,AR$5)-SUMIFS(TF_Timer,TF_Tekniker,AR$4,TF_Dato,$A536))*2,0)/2)))</f>
        <v/>
      </c>
      <c r="AS536">
        <f>IF(OR(AS$4="",$A536&gt;TODAY()),0,IF(OR(INDEX($B536:$D536,AS$5)="F",AND(AS$6&gt;0,$A536&lt;AS$6),AND(AS$7&gt;0,$A536&gt;AS$7)),0,MAX(0,ROUND((INDEX($E536:$G536,AS$5)-SUMIFS(TF_Timer,TF_Tekniker,AS$4,TF_Dato,$A536))*2,0)/2)))</f>
        <v/>
      </c>
      <c r="AT536">
        <f>IF(OR(AT$4="",$A536&gt;TODAY()),0,IF(OR(INDEX($B536:$D536,AT$5)="F",AND(AT$6&gt;0,$A536&lt;AT$6),AND(AT$7&gt;0,$A536&gt;AT$7)),0,MAX(0,ROUND((INDEX($E536:$G536,AT$5)-SUMIFS(TF_Timer,TF_Tekniker,AT$4,TF_Dato,$A536))*2,0)/2)))</f>
        <v/>
      </c>
      <c r="AU536">
        <f>IF(OR(AU$4="",$A536&gt;TODAY()),0,IF(OR(INDEX($B536:$D536,AU$5)="F",AND(AU$6&gt;0,$A536&lt;AU$6),AND(AU$7&gt;0,$A536&gt;AU$7)),0,MAX(0,ROUND((INDEX($E536:$G536,AU$5)-SUMIFS(TF_Timer,TF_Tekniker,AU$4,TF_Dato,$A536))*2,0)/2)))</f>
        <v/>
      </c>
      <c r="AV536">
        <f>IF(OR(AV$4="",$A536&gt;TODAY()),0,IF(OR(INDEX($B536:$D536,AV$5)="F",AND(AV$6&gt;0,$A536&lt;AV$6),AND(AV$7&gt;0,$A536&gt;AV$7)),0,MAX(0,ROUND((INDEX($E536:$G536,AV$5)-SUMIFS(TF_Timer,TF_Tekniker,AV$4,TF_Dato,$A536))*2,0)/2)))</f>
        <v/>
      </c>
      <c r="AW536">
        <f>IF(OR(AW$4="",$A536&gt;TODAY()),0,IF(OR(INDEX($B536:$D536,AW$5)="F",AND(AW$6&gt;0,$A536&lt;AW$6),AND(AW$7&gt;0,$A536&gt;AW$7)),0,MAX(0,ROUND((INDEX($E536:$G536,AW$5)-SUMIFS(TF_Timer,TF_Tekniker,AW$4,TF_Dato,$A536))*2,0)/2)))</f>
        <v/>
      </c>
      <c r="AX536">
        <f>IF(OR(AX$4="",$A536&gt;TODAY()),0,IF(OR(INDEX($B536:$D536,AX$5)="F",AND(AX$6&gt;0,$A536&lt;AX$6),AND(AX$7&gt;0,$A536&gt;AX$7)),0,MAX(0,ROUND((INDEX($E536:$G536,AX$5)-SUMIFS(TF_Timer,TF_Tekniker,AX$4,TF_Dato,$A536))*2,0)/2)))</f>
        <v/>
      </c>
      <c r="AY536">
        <f>IF(OR(AY$4="",$A536&gt;TODAY()),0,IF(OR(INDEX($B536:$D536,AY$5)="F",AND(AY$6&gt;0,$A536&lt;AY$6),AND(AY$7&gt;0,$A536&gt;AY$7)),0,MAX(0,ROUND((INDEX($E536:$G536,AY$5)-SUMIFS(TF_Timer,TF_Tekniker,AY$4,TF_Dato,$A536))*2,0)/2)))</f>
        <v/>
      </c>
      <c r="AZ536">
        <f>IF(OR(AZ$4="",$A536&gt;TODAY()),0,IF(OR(INDEX($B536:$D536,AZ$5)="F",AND(AZ$6&gt;0,$A536&lt;AZ$6),AND(AZ$7&gt;0,$A536&gt;AZ$7)),0,MAX(0,ROUND((INDEX($E536:$G536,AZ$5)-SUMIFS(TF_Timer,TF_Tekniker,AZ$4,TF_Dato,$A536))*2,0)/2)))</f>
        <v/>
      </c>
      <c r="BA536">
        <f>IF(OR(BA$4="",$A536&gt;TODAY()),0,IF(OR(INDEX($B536:$D536,BA$5)="F",AND(BA$6&gt;0,$A536&lt;BA$6),AND(BA$7&gt;0,$A536&gt;BA$7)),0,MAX(0,ROUND((INDEX($E536:$G536,BA$5)-SUMIFS(TF_Timer,TF_Tekniker,BA$4,TF_Dato,$A536))*2,0)/2)))</f>
        <v/>
      </c>
      <c r="BB536">
        <f>IF(OR(BB$4="",$A536&gt;TODAY()),0,IF(OR(INDEX($B536:$D536,BB$5)="F",AND(BB$6&gt;0,$A536&lt;BB$6),AND(BB$7&gt;0,$A536&gt;BB$7)),0,MAX(0,ROUND((INDEX($E536:$G536,BB$5)-SUMIFS(TF_Timer,TF_Tekniker,BB$4,TF_Dato,$A536))*2,0)/2)))</f>
        <v/>
      </c>
      <c r="BC536">
        <f>IF(OR(BC$4="",$A536&gt;TODAY()),0,IF(OR(INDEX($B536:$D536,BC$5)="F",AND(BC$6&gt;0,$A536&lt;BC$6),AND(BC$7&gt;0,$A536&gt;BC$7)),0,MAX(0,ROUND((INDEX($E536:$G536,BC$5)-SUMIFS(TF_Timer,TF_Tekniker,BC$4,TF_Dato,$A536))*2,0)/2)))</f>
        <v/>
      </c>
      <c r="BD536">
        <f>IF(OR(BD$4="",$A536&gt;TODAY()),0,IF(OR(INDEX($B536:$D536,BD$5)="F",AND(BD$6&gt;0,$A536&lt;BD$6),AND(BD$7&gt;0,$A536&gt;BD$7)),0,MAX(0,ROUND((INDEX($E536:$G536,BD$5)-SUMIFS(TF_Timer,TF_Tekniker,BD$4,TF_Dato,$A536))*2,0)/2)))</f>
        <v/>
      </c>
      <c r="BE536">
        <f>IF(OR(BE$4="",$A536&gt;TODAY()),0,IF(OR(INDEX($B536:$D536,BE$5)="F",AND(BE$6&gt;0,$A536&lt;BE$6),AND(BE$7&gt;0,$A536&gt;BE$7)),0,MAX(0,ROUND((INDEX($E536:$G536,BE$5)-SUMIFS(TF_Timer,TF_Tekniker,BE$4,TF_Dato,$A536))*2,0)/2)))</f>
        <v/>
      </c>
      <c r="BF536">
        <f>IF(OR(BF$4="",$A536&gt;TODAY()),0,IF(OR(INDEX($B536:$D536,BF$5)="F",AND(BF$6&gt;0,$A536&lt;BF$6),AND(BF$7&gt;0,$A536&gt;BF$7)),0,MAX(0,ROUND((INDEX($E536:$G536,BF$5)-SUMIFS(TF_Timer,TF_Tekniker,BF$4,TF_Dato,$A536))*2,0)/2)))</f>
        <v/>
      </c>
      <c r="BG536">
        <f>IF(OR(BG$4="",$A536&gt;TODAY()),0,IF(OR(INDEX($B536:$D536,BG$5)="F",AND(BG$6&gt;0,$A536&lt;BG$6),AND(BG$7&gt;0,$A536&gt;BG$7)),0,MAX(0,ROUND((INDEX($E536:$G536,BG$5)-SUMIFS(TF_Timer,TF_Tekniker,BG$4,TF_Dato,$A536))*2,0)/2)))</f>
        <v/>
      </c>
      <c r="BH536">
        <f>IF(OR(BH$4="",$A536&gt;TODAY()),0,IF(OR(INDEX($B536:$D536,BH$5)="F",AND(BH$6&gt;0,$A536&lt;BH$6),AND(BH$7&gt;0,$A536&gt;BH$7)),0,MAX(0,ROUND((INDEX($E536:$G536,BH$5)-SUMIFS(TF_Timer,TF_Tekniker,BH$4,TF_Dato,$A536))*2,0)/2)))</f>
        <v/>
      </c>
      <c r="BI536">
        <f>IF(OR(BI$4="",$A536&gt;TODAY()),0,IF(OR(INDEX($B536:$D536,BI$5)="F",AND(BI$6&gt;0,$A536&lt;BI$6),AND(BI$7&gt;0,$A536&gt;BI$7)),0,MAX(0,ROUND((INDEX($E536:$G536,BI$5)-SUMIFS(TF_Timer,TF_Tekniker,BI$4,TF_Dato,$A536))*2,0)/2)))</f>
        <v/>
      </c>
    </row>
    <row r="537">
      <c r="A537" s="64">
        <f>A536+1</f>
        <v/>
      </c>
      <c r="B537">
        <f>IF(MOD($A537-INDEX(SkiftStart,1),Syklus)&lt;DagK,"K",IF(MOD($A537-INDEX(SkiftStart,1),Syklus)&lt;DagK+DagH,"H",IF(MOD($A537-INDEX(SkiftStart,1),Syklus)&lt;DagK+DagH+DagD,"D","F")))</f>
        <v/>
      </c>
      <c r="C537">
        <f>IF(MOD($A537-INDEX(SkiftStart,2),Syklus)&lt;DagK,"K",IF(MOD($A537-INDEX(SkiftStart,2),Syklus)&lt;DagK+DagH,"H",IF(MOD($A537-INDEX(SkiftStart,2),Syklus)&lt;DagK+DagH+DagD,"D","F")))</f>
        <v/>
      </c>
      <c r="D537">
        <f>IF(MOD($A537-INDEX(SkiftStart,3),Syklus)&lt;DagK,"K",IF(MOD($A537-INDEX(SkiftStart,3),Syklus)&lt;DagK+DagH,"H",IF(MOD($A537-INDEX(SkiftStart,3),Syklus)&lt;DagK+DagH+DagD,"D","F")))</f>
        <v/>
      </c>
      <c r="E537">
        <f>IF(B537="F",0,IF(WEEKDAY($A537,2)=5,INDEX(TimerFr,MATCH(B537,FaseKode,0)),INDEX(TimerMT,MATCH(B537,FaseKode,0))))</f>
        <v/>
      </c>
      <c r="F537">
        <f>IF(C537="F",0,IF(WEEKDAY($A537,2)=5,INDEX(TimerFr,MATCH(C537,FaseKode,0)),INDEX(TimerMT,MATCH(C537,FaseKode,0))))</f>
        <v/>
      </c>
      <c r="G537">
        <f>IF(D537="F",0,IF(WEEKDAY($A537,2)=5,INDEX(TimerFr,MATCH(D537,FaseKode,0)),INDEX(TimerMT,MATCH(D537,FaseKode,0))))</f>
        <v/>
      </c>
      <c r="H537">
        <f>IF(OR(H$4="",$A537&gt;TODAY()),0,IF(OR(INDEX($B537:$D537,H$5)="F",AND(H$6&gt;0,$A537&lt;H$6),AND(H$7&gt;0,$A537&gt;H$7)),0,MAX(0,ROUND((INDEX($E537:$G537,H$5)-SUMIFS(TF_Timer,TF_Tekniker,H$4,TF_Dato,$A537))*2,0)/2)))</f>
        <v/>
      </c>
      <c r="I537">
        <f>IF(OR(I$4="",$A537&gt;TODAY()),0,IF(OR(INDEX($B537:$D537,I$5)="F",AND(I$6&gt;0,$A537&lt;I$6),AND(I$7&gt;0,$A537&gt;I$7)),0,MAX(0,ROUND((INDEX($E537:$G537,I$5)-SUMIFS(TF_Timer,TF_Tekniker,I$4,TF_Dato,$A537))*2,0)/2)))</f>
        <v/>
      </c>
      <c r="J537">
        <f>IF(OR(J$4="",$A537&gt;TODAY()),0,IF(OR(INDEX($B537:$D537,J$5)="F",AND(J$6&gt;0,$A537&lt;J$6),AND(J$7&gt;0,$A537&gt;J$7)),0,MAX(0,ROUND((INDEX($E537:$G537,J$5)-SUMIFS(TF_Timer,TF_Tekniker,J$4,TF_Dato,$A537))*2,0)/2)))</f>
        <v/>
      </c>
      <c r="K537">
        <f>IF(OR(K$4="",$A537&gt;TODAY()),0,IF(OR(INDEX($B537:$D537,K$5)="F",AND(K$6&gt;0,$A537&lt;K$6),AND(K$7&gt;0,$A537&gt;K$7)),0,MAX(0,ROUND((INDEX($E537:$G537,K$5)-SUMIFS(TF_Timer,TF_Tekniker,K$4,TF_Dato,$A537))*2,0)/2)))</f>
        <v/>
      </c>
      <c r="L537">
        <f>IF(OR(L$4="",$A537&gt;TODAY()),0,IF(OR(INDEX($B537:$D537,L$5)="F",AND(L$6&gt;0,$A537&lt;L$6),AND(L$7&gt;0,$A537&gt;L$7)),0,MAX(0,ROUND((INDEX($E537:$G537,L$5)-SUMIFS(TF_Timer,TF_Tekniker,L$4,TF_Dato,$A537))*2,0)/2)))</f>
        <v/>
      </c>
      <c r="M537">
        <f>IF(OR(M$4="",$A537&gt;TODAY()),0,IF(OR(INDEX($B537:$D537,M$5)="F",AND(M$6&gt;0,$A537&lt;M$6),AND(M$7&gt;0,$A537&gt;M$7)),0,MAX(0,ROUND((INDEX($E537:$G537,M$5)-SUMIFS(TF_Timer,TF_Tekniker,M$4,TF_Dato,$A537))*2,0)/2)))</f>
        <v/>
      </c>
      <c r="N537">
        <f>IF(OR(N$4="",$A537&gt;TODAY()),0,IF(OR(INDEX($B537:$D537,N$5)="F",AND(N$6&gt;0,$A537&lt;N$6),AND(N$7&gt;0,$A537&gt;N$7)),0,MAX(0,ROUND((INDEX($E537:$G537,N$5)-SUMIFS(TF_Timer,TF_Tekniker,N$4,TF_Dato,$A537))*2,0)/2)))</f>
        <v/>
      </c>
      <c r="O537">
        <f>IF(OR(O$4="",$A537&gt;TODAY()),0,IF(OR(INDEX($B537:$D537,O$5)="F",AND(O$6&gt;0,$A537&lt;O$6),AND(O$7&gt;0,$A537&gt;O$7)),0,MAX(0,ROUND((INDEX($E537:$G537,O$5)-SUMIFS(TF_Timer,TF_Tekniker,O$4,TF_Dato,$A537))*2,0)/2)))</f>
        <v/>
      </c>
      <c r="P537">
        <f>IF(OR(P$4="",$A537&gt;TODAY()),0,IF(OR(INDEX($B537:$D537,P$5)="F",AND(P$6&gt;0,$A537&lt;P$6),AND(P$7&gt;0,$A537&gt;P$7)),0,MAX(0,ROUND((INDEX($E537:$G537,P$5)-SUMIFS(TF_Timer,TF_Tekniker,P$4,TF_Dato,$A537))*2,0)/2)))</f>
        <v/>
      </c>
      <c r="Q537">
        <f>IF(OR(Q$4="",$A537&gt;TODAY()),0,IF(OR(INDEX($B537:$D537,Q$5)="F",AND(Q$6&gt;0,$A537&lt;Q$6),AND(Q$7&gt;0,$A537&gt;Q$7)),0,MAX(0,ROUND((INDEX($E537:$G537,Q$5)-SUMIFS(TF_Timer,TF_Tekniker,Q$4,TF_Dato,$A537))*2,0)/2)))</f>
        <v/>
      </c>
      <c r="R537">
        <f>IF(OR(R$4="",$A537&gt;TODAY()),0,IF(OR(INDEX($B537:$D537,R$5)="F",AND(R$6&gt;0,$A537&lt;R$6),AND(R$7&gt;0,$A537&gt;R$7)),0,MAX(0,ROUND((INDEX($E537:$G537,R$5)-SUMIFS(TF_Timer,TF_Tekniker,R$4,TF_Dato,$A537))*2,0)/2)))</f>
        <v/>
      </c>
      <c r="S537">
        <f>IF(OR(S$4="",$A537&gt;TODAY()),0,IF(OR(INDEX($B537:$D537,S$5)="F",AND(S$6&gt;0,$A537&lt;S$6),AND(S$7&gt;0,$A537&gt;S$7)),0,MAX(0,ROUND((INDEX($E537:$G537,S$5)-SUMIFS(TF_Timer,TF_Tekniker,S$4,TF_Dato,$A537))*2,0)/2)))</f>
        <v/>
      </c>
      <c r="T537">
        <f>IF(OR(T$4="",$A537&gt;TODAY()),0,IF(OR(INDEX($B537:$D537,T$5)="F",AND(T$6&gt;0,$A537&lt;T$6),AND(T$7&gt;0,$A537&gt;T$7)),0,MAX(0,ROUND((INDEX($E537:$G537,T$5)-SUMIFS(TF_Timer,TF_Tekniker,T$4,TF_Dato,$A537))*2,0)/2)))</f>
        <v/>
      </c>
      <c r="U537">
        <f>IF(OR(U$4="",$A537&gt;TODAY()),0,IF(OR(INDEX($B537:$D537,U$5)="F",AND(U$6&gt;0,$A537&lt;U$6),AND(U$7&gt;0,$A537&gt;U$7)),0,MAX(0,ROUND((INDEX($E537:$G537,U$5)-SUMIFS(TF_Timer,TF_Tekniker,U$4,TF_Dato,$A537))*2,0)/2)))</f>
        <v/>
      </c>
      <c r="V537">
        <f>IF(OR(V$4="",$A537&gt;TODAY()),0,IF(OR(INDEX($B537:$D537,V$5)="F",AND(V$6&gt;0,$A537&lt;V$6),AND(V$7&gt;0,$A537&gt;V$7)),0,MAX(0,ROUND((INDEX($E537:$G537,V$5)-SUMIFS(TF_Timer,TF_Tekniker,V$4,TF_Dato,$A537))*2,0)/2)))</f>
        <v/>
      </c>
      <c r="W537">
        <f>IF(OR(W$4="",$A537&gt;TODAY()),0,IF(OR(INDEX($B537:$D537,W$5)="F",AND(W$6&gt;0,$A537&lt;W$6),AND(W$7&gt;0,$A537&gt;W$7)),0,MAX(0,ROUND((INDEX($E537:$G537,W$5)-SUMIFS(TF_Timer,TF_Tekniker,W$4,TF_Dato,$A537))*2,0)/2)))</f>
        <v/>
      </c>
      <c r="X537">
        <f>IF(OR(X$4="",$A537&gt;TODAY()),0,IF(OR(INDEX($B537:$D537,X$5)="F",AND(X$6&gt;0,$A537&lt;X$6),AND(X$7&gt;0,$A537&gt;X$7)),0,MAX(0,ROUND((INDEX($E537:$G537,X$5)-SUMIFS(TF_Timer,TF_Tekniker,X$4,TF_Dato,$A537))*2,0)/2)))</f>
        <v/>
      </c>
      <c r="Y537">
        <f>IF(OR(Y$4="",$A537&gt;TODAY()),0,IF(OR(INDEX($B537:$D537,Y$5)="F",AND(Y$6&gt;0,$A537&lt;Y$6),AND(Y$7&gt;0,$A537&gt;Y$7)),0,MAX(0,ROUND((INDEX($E537:$G537,Y$5)-SUMIFS(TF_Timer,TF_Tekniker,Y$4,TF_Dato,$A537))*2,0)/2)))</f>
        <v/>
      </c>
      <c r="Z537">
        <f>IF(OR(Z$4="",$A537&gt;TODAY()),0,IF(OR(INDEX($B537:$D537,Z$5)="F",AND(Z$6&gt;0,$A537&lt;Z$6),AND(Z$7&gt;0,$A537&gt;Z$7)),0,MAX(0,ROUND((INDEX($E537:$G537,Z$5)-SUMIFS(TF_Timer,TF_Tekniker,Z$4,TF_Dato,$A537))*2,0)/2)))</f>
        <v/>
      </c>
      <c r="AA537">
        <f>IF(OR(AA$4="",$A537&gt;TODAY()),0,IF(OR(INDEX($B537:$D537,AA$5)="F",AND(AA$6&gt;0,$A537&lt;AA$6),AND(AA$7&gt;0,$A537&gt;AA$7)),0,MAX(0,ROUND((INDEX($E537:$G537,AA$5)-SUMIFS(TF_Timer,TF_Tekniker,AA$4,TF_Dato,$A537))*2,0)/2)))</f>
        <v/>
      </c>
      <c r="AB537">
        <f>IF(OR(AB$4="",$A537&gt;TODAY()),0,IF(OR(INDEX($B537:$D537,AB$5)="F",AND(AB$6&gt;0,$A537&lt;AB$6),AND(AB$7&gt;0,$A537&gt;AB$7)),0,MAX(0,ROUND((INDEX($E537:$G537,AB$5)-SUMIFS(TF_Timer,TF_Tekniker,AB$4,TF_Dato,$A537))*2,0)/2)))</f>
        <v/>
      </c>
      <c r="AC537">
        <f>IF(OR(AC$4="",$A537&gt;TODAY()),0,IF(OR(INDEX($B537:$D537,AC$5)="F",AND(AC$6&gt;0,$A537&lt;AC$6),AND(AC$7&gt;0,$A537&gt;AC$7)),0,MAX(0,ROUND((INDEX($E537:$G537,AC$5)-SUMIFS(TF_Timer,TF_Tekniker,AC$4,TF_Dato,$A537))*2,0)/2)))</f>
        <v/>
      </c>
      <c r="AD537">
        <f>IF(OR(AD$4="",$A537&gt;TODAY()),0,IF(OR(INDEX($B537:$D537,AD$5)="F",AND(AD$6&gt;0,$A537&lt;AD$6),AND(AD$7&gt;0,$A537&gt;AD$7)),0,MAX(0,ROUND((INDEX($E537:$G537,AD$5)-SUMIFS(TF_Timer,TF_Tekniker,AD$4,TF_Dato,$A537))*2,0)/2)))</f>
        <v/>
      </c>
      <c r="AE537">
        <f>IF(OR(AE$4="",$A537&gt;TODAY()),0,IF(OR(INDEX($B537:$D537,AE$5)="F",AND(AE$6&gt;0,$A537&lt;AE$6),AND(AE$7&gt;0,$A537&gt;AE$7)),0,MAX(0,ROUND((INDEX($E537:$G537,AE$5)-SUMIFS(TF_Timer,TF_Tekniker,AE$4,TF_Dato,$A537))*2,0)/2)))</f>
        <v/>
      </c>
      <c r="AF537">
        <f>IF(OR(AF$4="",$A537&gt;TODAY()),0,IF(OR(INDEX($B537:$D537,AF$5)="F",AND(AF$6&gt;0,$A537&lt;AF$6),AND(AF$7&gt;0,$A537&gt;AF$7)),0,MAX(0,ROUND((INDEX($E537:$G537,AF$5)-SUMIFS(TF_Timer,TF_Tekniker,AF$4,TF_Dato,$A537))*2,0)/2)))</f>
        <v/>
      </c>
      <c r="AG537">
        <f>IF(OR(AG$4="",$A537&gt;TODAY()),0,IF(OR(INDEX($B537:$D537,AG$5)="F",AND(AG$6&gt;0,$A537&lt;AG$6),AND(AG$7&gt;0,$A537&gt;AG$7)),0,MAX(0,ROUND((INDEX($E537:$G537,AG$5)-SUMIFS(TF_Timer,TF_Tekniker,AG$4,TF_Dato,$A537))*2,0)/2)))</f>
        <v/>
      </c>
      <c r="AH537">
        <f>IF(OR(AH$4="",$A537&gt;TODAY()),0,IF(OR(INDEX($B537:$D537,AH$5)="F",AND(AH$6&gt;0,$A537&lt;AH$6),AND(AH$7&gt;0,$A537&gt;AH$7)),0,MAX(0,ROUND((INDEX($E537:$G537,AH$5)-SUMIFS(TF_Timer,TF_Tekniker,AH$4,TF_Dato,$A537))*2,0)/2)))</f>
        <v/>
      </c>
      <c r="AI537">
        <f>IF(OR(AI$4="",$A537&gt;TODAY()),0,IF(OR(INDEX($B537:$D537,AI$5)="F",AND(AI$6&gt;0,$A537&lt;AI$6),AND(AI$7&gt;0,$A537&gt;AI$7)),0,MAX(0,ROUND((INDEX($E537:$G537,AI$5)-SUMIFS(TF_Timer,TF_Tekniker,AI$4,TF_Dato,$A537))*2,0)/2)))</f>
        <v/>
      </c>
      <c r="AJ537">
        <f>IF(OR(AJ$4="",$A537&gt;TODAY()),0,IF(OR(INDEX($B537:$D537,AJ$5)="F",AND(AJ$6&gt;0,$A537&lt;AJ$6),AND(AJ$7&gt;0,$A537&gt;AJ$7)),0,MAX(0,ROUND((INDEX($E537:$G537,AJ$5)-SUMIFS(TF_Timer,TF_Tekniker,AJ$4,TF_Dato,$A537))*2,0)/2)))</f>
        <v/>
      </c>
      <c r="AK537">
        <f>IF(OR(AK$4="",$A537&gt;TODAY()),0,IF(OR(INDEX($B537:$D537,AK$5)="F",AND(AK$6&gt;0,$A537&lt;AK$6),AND(AK$7&gt;0,$A537&gt;AK$7)),0,MAX(0,ROUND((INDEX($E537:$G537,AK$5)-SUMIFS(TF_Timer,TF_Tekniker,AK$4,TF_Dato,$A537))*2,0)/2)))</f>
        <v/>
      </c>
      <c r="AL537">
        <f>IF(OR(AL$4="",$A537&gt;TODAY()),0,IF(OR(INDEX($B537:$D537,AL$5)="F",AND(AL$6&gt;0,$A537&lt;AL$6),AND(AL$7&gt;0,$A537&gt;AL$7)),0,MAX(0,ROUND((INDEX($E537:$G537,AL$5)-SUMIFS(TF_Timer,TF_Tekniker,AL$4,TF_Dato,$A537))*2,0)/2)))</f>
        <v/>
      </c>
      <c r="AM537">
        <f>IF(OR(AM$4="",$A537&gt;TODAY()),0,IF(OR(INDEX($B537:$D537,AM$5)="F",AND(AM$6&gt;0,$A537&lt;AM$6),AND(AM$7&gt;0,$A537&gt;AM$7)),0,MAX(0,ROUND((INDEX($E537:$G537,AM$5)-SUMIFS(TF_Timer,TF_Tekniker,AM$4,TF_Dato,$A537))*2,0)/2)))</f>
        <v/>
      </c>
      <c r="AN537">
        <f>IF(OR(AN$4="",$A537&gt;TODAY()),0,IF(OR(INDEX($B537:$D537,AN$5)="F",AND(AN$6&gt;0,$A537&lt;AN$6),AND(AN$7&gt;0,$A537&gt;AN$7)),0,MAX(0,ROUND((INDEX($E537:$G537,AN$5)-SUMIFS(TF_Timer,TF_Tekniker,AN$4,TF_Dato,$A537))*2,0)/2)))</f>
        <v/>
      </c>
      <c r="AO537">
        <f>IF(OR(AO$4="",$A537&gt;TODAY()),0,IF(OR(INDEX($B537:$D537,AO$5)="F",AND(AO$6&gt;0,$A537&lt;AO$6),AND(AO$7&gt;0,$A537&gt;AO$7)),0,MAX(0,ROUND((INDEX($E537:$G537,AO$5)-SUMIFS(TF_Timer,TF_Tekniker,AO$4,TF_Dato,$A537))*2,0)/2)))</f>
        <v/>
      </c>
      <c r="AP537">
        <f>IF(OR(AP$4="",$A537&gt;TODAY()),0,IF(OR(INDEX($B537:$D537,AP$5)="F",AND(AP$6&gt;0,$A537&lt;AP$6),AND(AP$7&gt;0,$A537&gt;AP$7)),0,MAX(0,ROUND((INDEX($E537:$G537,AP$5)-SUMIFS(TF_Timer,TF_Tekniker,AP$4,TF_Dato,$A537))*2,0)/2)))</f>
        <v/>
      </c>
      <c r="AQ537">
        <f>IF(OR(AQ$4="",$A537&gt;TODAY()),0,IF(OR(INDEX($B537:$D537,AQ$5)="F",AND(AQ$6&gt;0,$A537&lt;AQ$6),AND(AQ$7&gt;0,$A537&gt;AQ$7)),0,MAX(0,ROUND((INDEX($E537:$G537,AQ$5)-SUMIFS(TF_Timer,TF_Tekniker,AQ$4,TF_Dato,$A537))*2,0)/2)))</f>
        <v/>
      </c>
      <c r="AR537">
        <f>IF(OR(AR$4="",$A537&gt;TODAY()),0,IF(OR(INDEX($B537:$D537,AR$5)="F",AND(AR$6&gt;0,$A537&lt;AR$6),AND(AR$7&gt;0,$A537&gt;AR$7)),0,MAX(0,ROUND((INDEX($E537:$G537,AR$5)-SUMIFS(TF_Timer,TF_Tekniker,AR$4,TF_Dato,$A537))*2,0)/2)))</f>
        <v/>
      </c>
      <c r="AS537">
        <f>IF(OR(AS$4="",$A537&gt;TODAY()),0,IF(OR(INDEX($B537:$D537,AS$5)="F",AND(AS$6&gt;0,$A537&lt;AS$6),AND(AS$7&gt;0,$A537&gt;AS$7)),0,MAX(0,ROUND((INDEX($E537:$G537,AS$5)-SUMIFS(TF_Timer,TF_Tekniker,AS$4,TF_Dato,$A537))*2,0)/2)))</f>
        <v/>
      </c>
      <c r="AT537">
        <f>IF(OR(AT$4="",$A537&gt;TODAY()),0,IF(OR(INDEX($B537:$D537,AT$5)="F",AND(AT$6&gt;0,$A537&lt;AT$6),AND(AT$7&gt;0,$A537&gt;AT$7)),0,MAX(0,ROUND((INDEX($E537:$G537,AT$5)-SUMIFS(TF_Timer,TF_Tekniker,AT$4,TF_Dato,$A537))*2,0)/2)))</f>
        <v/>
      </c>
      <c r="AU537">
        <f>IF(OR(AU$4="",$A537&gt;TODAY()),0,IF(OR(INDEX($B537:$D537,AU$5)="F",AND(AU$6&gt;0,$A537&lt;AU$6),AND(AU$7&gt;0,$A537&gt;AU$7)),0,MAX(0,ROUND((INDEX($E537:$G537,AU$5)-SUMIFS(TF_Timer,TF_Tekniker,AU$4,TF_Dato,$A537))*2,0)/2)))</f>
        <v/>
      </c>
      <c r="AV537">
        <f>IF(OR(AV$4="",$A537&gt;TODAY()),0,IF(OR(INDEX($B537:$D537,AV$5)="F",AND(AV$6&gt;0,$A537&lt;AV$6),AND(AV$7&gt;0,$A537&gt;AV$7)),0,MAX(0,ROUND((INDEX($E537:$G537,AV$5)-SUMIFS(TF_Timer,TF_Tekniker,AV$4,TF_Dato,$A537))*2,0)/2)))</f>
        <v/>
      </c>
      <c r="AW537">
        <f>IF(OR(AW$4="",$A537&gt;TODAY()),0,IF(OR(INDEX($B537:$D537,AW$5)="F",AND(AW$6&gt;0,$A537&lt;AW$6),AND(AW$7&gt;0,$A537&gt;AW$7)),0,MAX(0,ROUND((INDEX($E537:$G537,AW$5)-SUMIFS(TF_Timer,TF_Tekniker,AW$4,TF_Dato,$A537))*2,0)/2)))</f>
        <v/>
      </c>
      <c r="AX537">
        <f>IF(OR(AX$4="",$A537&gt;TODAY()),0,IF(OR(INDEX($B537:$D537,AX$5)="F",AND(AX$6&gt;0,$A537&lt;AX$6),AND(AX$7&gt;0,$A537&gt;AX$7)),0,MAX(0,ROUND((INDEX($E537:$G537,AX$5)-SUMIFS(TF_Timer,TF_Tekniker,AX$4,TF_Dato,$A537))*2,0)/2)))</f>
        <v/>
      </c>
      <c r="AY537">
        <f>IF(OR(AY$4="",$A537&gt;TODAY()),0,IF(OR(INDEX($B537:$D537,AY$5)="F",AND(AY$6&gt;0,$A537&lt;AY$6),AND(AY$7&gt;0,$A537&gt;AY$7)),0,MAX(0,ROUND((INDEX($E537:$G537,AY$5)-SUMIFS(TF_Timer,TF_Tekniker,AY$4,TF_Dato,$A537))*2,0)/2)))</f>
        <v/>
      </c>
      <c r="AZ537">
        <f>IF(OR(AZ$4="",$A537&gt;TODAY()),0,IF(OR(INDEX($B537:$D537,AZ$5)="F",AND(AZ$6&gt;0,$A537&lt;AZ$6),AND(AZ$7&gt;0,$A537&gt;AZ$7)),0,MAX(0,ROUND((INDEX($E537:$G537,AZ$5)-SUMIFS(TF_Timer,TF_Tekniker,AZ$4,TF_Dato,$A537))*2,0)/2)))</f>
        <v/>
      </c>
      <c r="BA537">
        <f>IF(OR(BA$4="",$A537&gt;TODAY()),0,IF(OR(INDEX($B537:$D537,BA$5)="F",AND(BA$6&gt;0,$A537&lt;BA$6),AND(BA$7&gt;0,$A537&gt;BA$7)),0,MAX(0,ROUND((INDEX($E537:$G537,BA$5)-SUMIFS(TF_Timer,TF_Tekniker,BA$4,TF_Dato,$A537))*2,0)/2)))</f>
        <v/>
      </c>
      <c r="BB537">
        <f>IF(OR(BB$4="",$A537&gt;TODAY()),0,IF(OR(INDEX($B537:$D537,BB$5)="F",AND(BB$6&gt;0,$A537&lt;BB$6),AND(BB$7&gt;0,$A537&gt;BB$7)),0,MAX(0,ROUND((INDEX($E537:$G537,BB$5)-SUMIFS(TF_Timer,TF_Tekniker,BB$4,TF_Dato,$A537))*2,0)/2)))</f>
        <v/>
      </c>
      <c r="BC537">
        <f>IF(OR(BC$4="",$A537&gt;TODAY()),0,IF(OR(INDEX($B537:$D537,BC$5)="F",AND(BC$6&gt;0,$A537&lt;BC$6),AND(BC$7&gt;0,$A537&gt;BC$7)),0,MAX(0,ROUND((INDEX($E537:$G537,BC$5)-SUMIFS(TF_Timer,TF_Tekniker,BC$4,TF_Dato,$A537))*2,0)/2)))</f>
        <v/>
      </c>
      <c r="BD537">
        <f>IF(OR(BD$4="",$A537&gt;TODAY()),0,IF(OR(INDEX($B537:$D537,BD$5)="F",AND(BD$6&gt;0,$A537&lt;BD$6),AND(BD$7&gt;0,$A537&gt;BD$7)),0,MAX(0,ROUND((INDEX($E537:$G537,BD$5)-SUMIFS(TF_Timer,TF_Tekniker,BD$4,TF_Dato,$A537))*2,0)/2)))</f>
        <v/>
      </c>
      <c r="BE537">
        <f>IF(OR(BE$4="",$A537&gt;TODAY()),0,IF(OR(INDEX($B537:$D537,BE$5)="F",AND(BE$6&gt;0,$A537&lt;BE$6),AND(BE$7&gt;0,$A537&gt;BE$7)),0,MAX(0,ROUND((INDEX($E537:$G537,BE$5)-SUMIFS(TF_Timer,TF_Tekniker,BE$4,TF_Dato,$A537))*2,0)/2)))</f>
        <v/>
      </c>
      <c r="BF537">
        <f>IF(OR(BF$4="",$A537&gt;TODAY()),0,IF(OR(INDEX($B537:$D537,BF$5)="F",AND(BF$6&gt;0,$A537&lt;BF$6),AND(BF$7&gt;0,$A537&gt;BF$7)),0,MAX(0,ROUND((INDEX($E537:$G537,BF$5)-SUMIFS(TF_Timer,TF_Tekniker,BF$4,TF_Dato,$A537))*2,0)/2)))</f>
        <v/>
      </c>
      <c r="BG537">
        <f>IF(OR(BG$4="",$A537&gt;TODAY()),0,IF(OR(INDEX($B537:$D537,BG$5)="F",AND(BG$6&gt;0,$A537&lt;BG$6),AND(BG$7&gt;0,$A537&gt;BG$7)),0,MAX(0,ROUND((INDEX($E537:$G537,BG$5)-SUMIFS(TF_Timer,TF_Tekniker,BG$4,TF_Dato,$A537))*2,0)/2)))</f>
        <v/>
      </c>
      <c r="BH537">
        <f>IF(OR(BH$4="",$A537&gt;TODAY()),0,IF(OR(INDEX($B537:$D537,BH$5)="F",AND(BH$6&gt;0,$A537&lt;BH$6),AND(BH$7&gt;0,$A537&gt;BH$7)),0,MAX(0,ROUND((INDEX($E537:$G537,BH$5)-SUMIFS(TF_Timer,TF_Tekniker,BH$4,TF_Dato,$A537))*2,0)/2)))</f>
        <v/>
      </c>
      <c r="BI537">
        <f>IF(OR(BI$4="",$A537&gt;TODAY()),0,IF(OR(INDEX($B537:$D537,BI$5)="F",AND(BI$6&gt;0,$A537&lt;BI$6),AND(BI$7&gt;0,$A537&gt;BI$7)),0,MAX(0,ROUND((INDEX($E537:$G537,BI$5)-SUMIFS(TF_Timer,TF_Tekniker,BI$4,TF_Dato,$A537))*2,0)/2)))</f>
        <v/>
      </c>
    </row>
    <row r="538">
      <c r="A538" s="64">
        <f>A537+1</f>
        <v/>
      </c>
      <c r="B538">
        <f>IF(MOD($A538-INDEX(SkiftStart,1),Syklus)&lt;DagK,"K",IF(MOD($A538-INDEX(SkiftStart,1),Syklus)&lt;DagK+DagH,"H",IF(MOD($A538-INDEX(SkiftStart,1),Syklus)&lt;DagK+DagH+DagD,"D","F")))</f>
        <v/>
      </c>
      <c r="C538">
        <f>IF(MOD($A538-INDEX(SkiftStart,2),Syklus)&lt;DagK,"K",IF(MOD($A538-INDEX(SkiftStart,2),Syklus)&lt;DagK+DagH,"H",IF(MOD($A538-INDEX(SkiftStart,2),Syklus)&lt;DagK+DagH+DagD,"D","F")))</f>
        <v/>
      </c>
      <c r="D538">
        <f>IF(MOD($A538-INDEX(SkiftStart,3),Syklus)&lt;DagK,"K",IF(MOD($A538-INDEX(SkiftStart,3),Syklus)&lt;DagK+DagH,"H",IF(MOD($A538-INDEX(SkiftStart,3),Syklus)&lt;DagK+DagH+DagD,"D","F")))</f>
        <v/>
      </c>
      <c r="E538">
        <f>IF(B538="F",0,IF(WEEKDAY($A538,2)=5,INDEX(TimerFr,MATCH(B538,FaseKode,0)),INDEX(TimerMT,MATCH(B538,FaseKode,0))))</f>
        <v/>
      </c>
      <c r="F538">
        <f>IF(C538="F",0,IF(WEEKDAY($A538,2)=5,INDEX(TimerFr,MATCH(C538,FaseKode,0)),INDEX(TimerMT,MATCH(C538,FaseKode,0))))</f>
        <v/>
      </c>
      <c r="G538">
        <f>IF(D538="F",0,IF(WEEKDAY($A538,2)=5,INDEX(TimerFr,MATCH(D538,FaseKode,0)),INDEX(TimerMT,MATCH(D538,FaseKode,0))))</f>
        <v/>
      </c>
      <c r="H538">
        <f>IF(OR(H$4="",$A538&gt;TODAY()),0,IF(OR(INDEX($B538:$D538,H$5)="F",AND(H$6&gt;0,$A538&lt;H$6),AND(H$7&gt;0,$A538&gt;H$7)),0,MAX(0,ROUND((INDEX($E538:$G538,H$5)-SUMIFS(TF_Timer,TF_Tekniker,H$4,TF_Dato,$A538))*2,0)/2)))</f>
        <v/>
      </c>
      <c r="I538">
        <f>IF(OR(I$4="",$A538&gt;TODAY()),0,IF(OR(INDEX($B538:$D538,I$5)="F",AND(I$6&gt;0,$A538&lt;I$6),AND(I$7&gt;0,$A538&gt;I$7)),0,MAX(0,ROUND((INDEX($E538:$G538,I$5)-SUMIFS(TF_Timer,TF_Tekniker,I$4,TF_Dato,$A538))*2,0)/2)))</f>
        <v/>
      </c>
      <c r="J538">
        <f>IF(OR(J$4="",$A538&gt;TODAY()),0,IF(OR(INDEX($B538:$D538,J$5)="F",AND(J$6&gt;0,$A538&lt;J$6),AND(J$7&gt;0,$A538&gt;J$7)),0,MAX(0,ROUND((INDEX($E538:$G538,J$5)-SUMIFS(TF_Timer,TF_Tekniker,J$4,TF_Dato,$A538))*2,0)/2)))</f>
        <v/>
      </c>
      <c r="K538">
        <f>IF(OR(K$4="",$A538&gt;TODAY()),0,IF(OR(INDEX($B538:$D538,K$5)="F",AND(K$6&gt;0,$A538&lt;K$6),AND(K$7&gt;0,$A538&gt;K$7)),0,MAX(0,ROUND((INDEX($E538:$G538,K$5)-SUMIFS(TF_Timer,TF_Tekniker,K$4,TF_Dato,$A538))*2,0)/2)))</f>
        <v/>
      </c>
      <c r="L538">
        <f>IF(OR(L$4="",$A538&gt;TODAY()),0,IF(OR(INDEX($B538:$D538,L$5)="F",AND(L$6&gt;0,$A538&lt;L$6),AND(L$7&gt;0,$A538&gt;L$7)),0,MAX(0,ROUND((INDEX($E538:$G538,L$5)-SUMIFS(TF_Timer,TF_Tekniker,L$4,TF_Dato,$A538))*2,0)/2)))</f>
        <v/>
      </c>
      <c r="M538">
        <f>IF(OR(M$4="",$A538&gt;TODAY()),0,IF(OR(INDEX($B538:$D538,M$5)="F",AND(M$6&gt;0,$A538&lt;M$6),AND(M$7&gt;0,$A538&gt;M$7)),0,MAX(0,ROUND((INDEX($E538:$G538,M$5)-SUMIFS(TF_Timer,TF_Tekniker,M$4,TF_Dato,$A538))*2,0)/2)))</f>
        <v/>
      </c>
      <c r="N538">
        <f>IF(OR(N$4="",$A538&gt;TODAY()),0,IF(OR(INDEX($B538:$D538,N$5)="F",AND(N$6&gt;0,$A538&lt;N$6),AND(N$7&gt;0,$A538&gt;N$7)),0,MAX(0,ROUND((INDEX($E538:$G538,N$5)-SUMIFS(TF_Timer,TF_Tekniker,N$4,TF_Dato,$A538))*2,0)/2)))</f>
        <v/>
      </c>
      <c r="O538">
        <f>IF(OR(O$4="",$A538&gt;TODAY()),0,IF(OR(INDEX($B538:$D538,O$5)="F",AND(O$6&gt;0,$A538&lt;O$6),AND(O$7&gt;0,$A538&gt;O$7)),0,MAX(0,ROUND((INDEX($E538:$G538,O$5)-SUMIFS(TF_Timer,TF_Tekniker,O$4,TF_Dato,$A538))*2,0)/2)))</f>
        <v/>
      </c>
      <c r="P538">
        <f>IF(OR(P$4="",$A538&gt;TODAY()),0,IF(OR(INDEX($B538:$D538,P$5)="F",AND(P$6&gt;0,$A538&lt;P$6),AND(P$7&gt;0,$A538&gt;P$7)),0,MAX(0,ROUND((INDEX($E538:$G538,P$5)-SUMIFS(TF_Timer,TF_Tekniker,P$4,TF_Dato,$A538))*2,0)/2)))</f>
        <v/>
      </c>
      <c r="Q538">
        <f>IF(OR(Q$4="",$A538&gt;TODAY()),0,IF(OR(INDEX($B538:$D538,Q$5)="F",AND(Q$6&gt;0,$A538&lt;Q$6),AND(Q$7&gt;0,$A538&gt;Q$7)),0,MAX(0,ROUND((INDEX($E538:$G538,Q$5)-SUMIFS(TF_Timer,TF_Tekniker,Q$4,TF_Dato,$A538))*2,0)/2)))</f>
        <v/>
      </c>
      <c r="R538">
        <f>IF(OR(R$4="",$A538&gt;TODAY()),0,IF(OR(INDEX($B538:$D538,R$5)="F",AND(R$6&gt;0,$A538&lt;R$6),AND(R$7&gt;0,$A538&gt;R$7)),0,MAX(0,ROUND((INDEX($E538:$G538,R$5)-SUMIFS(TF_Timer,TF_Tekniker,R$4,TF_Dato,$A538))*2,0)/2)))</f>
        <v/>
      </c>
      <c r="S538">
        <f>IF(OR(S$4="",$A538&gt;TODAY()),0,IF(OR(INDEX($B538:$D538,S$5)="F",AND(S$6&gt;0,$A538&lt;S$6),AND(S$7&gt;0,$A538&gt;S$7)),0,MAX(0,ROUND((INDEX($E538:$G538,S$5)-SUMIFS(TF_Timer,TF_Tekniker,S$4,TF_Dato,$A538))*2,0)/2)))</f>
        <v/>
      </c>
      <c r="T538">
        <f>IF(OR(T$4="",$A538&gt;TODAY()),0,IF(OR(INDEX($B538:$D538,T$5)="F",AND(T$6&gt;0,$A538&lt;T$6),AND(T$7&gt;0,$A538&gt;T$7)),0,MAX(0,ROUND((INDEX($E538:$G538,T$5)-SUMIFS(TF_Timer,TF_Tekniker,T$4,TF_Dato,$A538))*2,0)/2)))</f>
        <v/>
      </c>
      <c r="U538">
        <f>IF(OR(U$4="",$A538&gt;TODAY()),0,IF(OR(INDEX($B538:$D538,U$5)="F",AND(U$6&gt;0,$A538&lt;U$6),AND(U$7&gt;0,$A538&gt;U$7)),0,MAX(0,ROUND((INDEX($E538:$G538,U$5)-SUMIFS(TF_Timer,TF_Tekniker,U$4,TF_Dato,$A538))*2,0)/2)))</f>
        <v/>
      </c>
      <c r="V538">
        <f>IF(OR(V$4="",$A538&gt;TODAY()),0,IF(OR(INDEX($B538:$D538,V$5)="F",AND(V$6&gt;0,$A538&lt;V$6),AND(V$7&gt;0,$A538&gt;V$7)),0,MAX(0,ROUND((INDEX($E538:$G538,V$5)-SUMIFS(TF_Timer,TF_Tekniker,V$4,TF_Dato,$A538))*2,0)/2)))</f>
        <v/>
      </c>
      <c r="W538">
        <f>IF(OR(W$4="",$A538&gt;TODAY()),0,IF(OR(INDEX($B538:$D538,W$5)="F",AND(W$6&gt;0,$A538&lt;W$6),AND(W$7&gt;0,$A538&gt;W$7)),0,MAX(0,ROUND((INDEX($E538:$G538,W$5)-SUMIFS(TF_Timer,TF_Tekniker,W$4,TF_Dato,$A538))*2,0)/2)))</f>
        <v/>
      </c>
      <c r="X538">
        <f>IF(OR(X$4="",$A538&gt;TODAY()),0,IF(OR(INDEX($B538:$D538,X$5)="F",AND(X$6&gt;0,$A538&lt;X$6),AND(X$7&gt;0,$A538&gt;X$7)),0,MAX(0,ROUND((INDEX($E538:$G538,X$5)-SUMIFS(TF_Timer,TF_Tekniker,X$4,TF_Dato,$A538))*2,0)/2)))</f>
        <v/>
      </c>
      <c r="Y538">
        <f>IF(OR(Y$4="",$A538&gt;TODAY()),0,IF(OR(INDEX($B538:$D538,Y$5)="F",AND(Y$6&gt;0,$A538&lt;Y$6),AND(Y$7&gt;0,$A538&gt;Y$7)),0,MAX(0,ROUND((INDEX($E538:$G538,Y$5)-SUMIFS(TF_Timer,TF_Tekniker,Y$4,TF_Dato,$A538))*2,0)/2)))</f>
        <v/>
      </c>
      <c r="Z538">
        <f>IF(OR(Z$4="",$A538&gt;TODAY()),0,IF(OR(INDEX($B538:$D538,Z$5)="F",AND(Z$6&gt;0,$A538&lt;Z$6),AND(Z$7&gt;0,$A538&gt;Z$7)),0,MAX(0,ROUND((INDEX($E538:$G538,Z$5)-SUMIFS(TF_Timer,TF_Tekniker,Z$4,TF_Dato,$A538))*2,0)/2)))</f>
        <v/>
      </c>
      <c r="AA538">
        <f>IF(OR(AA$4="",$A538&gt;TODAY()),0,IF(OR(INDEX($B538:$D538,AA$5)="F",AND(AA$6&gt;0,$A538&lt;AA$6),AND(AA$7&gt;0,$A538&gt;AA$7)),0,MAX(0,ROUND((INDEX($E538:$G538,AA$5)-SUMIFS(TF_Timer,TF_Tekniker,AA$4,TF_Dato,$A538))*2,0)/2)))</f>
        <v/>
      </c>
      <c r="AB538">
        <f>IF(OR(AB$4="",$A538&gt;TODAY()),0,IF(OR(INDEX($B538:$D538,AB$5)="F",AND(AB$6&gt;0,$A538&lt;AB$6),AND(AB$7&gt;0,$A538&gt;AB$7)),0,MAX(0,ROUND((INDEX($E538:$G538,AB$5)-SUMIFS(TF_Timer,TF_Tekniker,AB$4,TF_Dato,$A538))*2,0)/2)))</f>
        <v/>
      </c>
      <c r="AC538">
        <f>IF(OR(AC$4="",$A538&gt;TODAY()),0,IF(OR(INDEX($B538:$D538,AC$5)="F",AND(AC$6&gt;0,$A538&lt;AC$6),AND(AC$7&gt;0,$A538&gt;AC$7)),0,MAX(0,ROUND((INDEX($E538:$G538,AC$5)-SUMIFS(TF_Timer,TF_Tekniker,AC$4,TF_Dato,$A538))*2,0)/2)))</f>
        <v/>
      </c>
      <c r="AD538">
        <f>IF(OR(AD$4="",$A538&gt;TODAY()),0,IF(OR(INDEX($B538:$D538,AD$5)="F",AND(AD$6&gt;0,$A538&lt;AD$6),AND(AD$7&gt;0,$A538&gt;AD$7)),0,MAX(0,ROUND((INDEX($E538:$G538,AD$5)-SUMIFS(TF_Timer,TF_Tekniker,AD$4,TF_Dato,$A538))*2,0)/2)))</f>
        <v/>
      </c>
      <c r="AE538">
        <f>IF(OR(AE$4="",$A538&gt;TODAY()),0,IF(OR(INDEX($B538:$D538,AE$5)="F",AND(AE$6&gt;0,$A538&lt;AE$6),AND(AE$7&gt;0,$A538&gt;AE$7)),0,MAX(0,ROUND((INDEX($E538:$G538,AE$5)-SUMIFS(TF_Timer,TF_Tekniker,AE$4,TF_Dato,$A538))*2,0)/2)))</f>
        <v/>
      </c>
      <c r="AF538">
        <f>IF(OR(AF$4="",$A538&gt;TODAY()),0,IF(OR(INDEX($B538:$D538,AF$5)="F",AND(AF$6&gt;0,$A538&lt;AF$6),AND(AF$7&gt;0,$A538&gt;AF$7)),0,MAX(0,ROUND((INDEX($E538:$G538,AF$5)-SUMIFS(TF_Timer,TF_Tekniker,AF$4,TF_Dato,$A538))*2,0)/2)))</f>
        <v/>
      </c>
      <c r="AG538">
        <f>IF(OR(AG$4="",$A538&gt;TODAY()),0,IF(OR(INDEX($B538:$D538,AG$5)="F",AND(AG$6&gt;0,$A538&lt;AG$6),AND(AG$7&gt;0,$A538&gt;AG$7)),0,MAX(0,ROUND((INDEX($E538:$G538,AG$5)-SUMIFS(TF_Timer,TF_Tekniker,AG$4,TF_Dato,$A538))*2,0)/2)))</f>
        <v/>
      </c>
      <c r="AH538">
        <f>IF(OR(AH$4="",$A538&gt;TODAY()),0,IF(OR(INDEX($B538:$D538,AH$5)="F",AND(AH$6&gt;0,$A538&lt;AH$6),AND(AH$7&gt;0,$A538&gt;AH$7)),0,MAX(0,ROUND((INDEX($E538:$G538,AH$5)-SUMIFS(TF_Timer,TF_Tekniker,AH$4,TF_Dato,$A538))*2,0)/2)))</f>
        <v/>
      </c>
      <c r="AI538">
        <f>IF(OR(AI$4="",$A538&gt;TODAY()),0,IF(OR(INDEX($B538:$D538,AI$5)="F",AND(AI$6&gt;0,$A538&lt;AI$6),AND(AI$7&gt;0,$A538&gt;AI$7)),0,MAX(0,ROUND((INDEX($E538:$G538,AI$5)-SUMIFS(TF_Timer,TF_Tekniker,AI$4,TF_Dato,$A538))*2,0)/2)))</f>
        <v/>
      </c>
      <c r="AJ538">
        <f>IF(OR(AJ$4="",$A538&gt;TODAY()),0,IF(OR(INDEX($B538:$D538,AJ$5)="F",AND(AJ$6&gt;0,$A538&lt;AJ$6),AND(AJ$7&gt;0,$A538&gt;AJ$7)),0,MAX(0,ROUND((INDEX($E538:$G538,AJ$5)-SUMIFS(TF_Timer,TF_Tekniker,AJ$4,TF_Dato,$A538))*2,0)/2)))</f>
        <v/>
      </c>
      <c r="AK538">
        <f>IF(OR(AK$4="",$A538&gt;TODAY()),0,IF(OR(INDEX($B538:$D538,AK$5)="F",AND(AK$6&gt;0,$A538&lt;AK$6),AND(AK$7&gt;0,$A538&gt;AK$7)),0,MAX(0,ROUND((INDEX($E538:$G538,AK$5)-SUMIFS(TF_Timer,TF_Tekniker,AK$4,TF_Dato,$A538))*2,0)/2)))</f>
        <v/>
      </c>
      <c r="AL538">
        <f>IF(OR(AL$4="",$A538&gt;TODAY()),0,IF(OR(INDEX($B538:$D538,AL$5)="F",AND(AL$6&gt;0,$A538&lt;AL$6),AND(AL$7&gt;0,$A538&gt;AL$7)),0,MAX(0,ROUND((INDEX($E538:$G538,AL$5)-SUMIFS(TF_Timer,TF_Tekniker,AL$4,TF_Dato,$A538))*2,0)/2)))</f>
        <v/>
      </c>
      <c r="AM538">
        <f>IF(OR(AM$4="",$A538&gt;TODAY()),0,IF(OR(INDEX($B538:$D538,AM$5)="F",AND(AM$6&gt;0,$A538&lt;AM$6),AND(AM$7&gt;0,$A538&gt;AM$7)),0,MAX(0,ROUND((INDEX($E538:$G538,AM$5)-SUMIFS(TF_Timer,TF_Tekniker,AM$4,TF_Dato,$A538))*2,0)/2)))</f>
        <v/>
      </c>
      <c r="AN538">
        <f>IF(OR(AN$4="",$A538&gt;TODAY()),0,IF(OR(INDEX($B538:$D538,AN$5)="F",AND(AN$6&gt;0,$A538&lt;AN$6),AND(AN$7&gt;0,$A538&gt;AN$7)),0,MAX(0,ROUND((INDEX($E538:$G538,AN$5)-SUMIFS(TF_Timer,TF_Tekniker,AN$4,TF_Dato,$A538))*2,0)/2)))</f>
        <v/>
      </c>
      <c r="AO538">
        <f>IF(OR(AO$4="",$A538&gt;TODAY()),0,IF(OR(INDEX($B538:$D538,AO$5)="F",AND(AO$6&gt;0,$A538&lt;AO$6),AND(AO$7&gt;0,$A538&gt;AO$7)),0,MAX(0,ROUND((INDEX($E538:$G538,AO$5)-SUMIFS(TF_Timer,TF_Tekniker,AO$4,TF_Dato,$A538))*2,0)/2)))</f>
        <v/>
      </c>
      <c r="AP538">
        <f>IF(OR(AP$4="",$A538&gt;TODAY()),0,IF(OR(INDEX($B538:$D538,AP$5)="F",AND(AP$6&gt;0,$A538&lt;AP$6),AND(AP$7&gt;0,$A538&gt;AP$7)),0,MAX(0,ROUND((INDEX($E538:$G538,AP$5)-SUMIFS(TF_Timer,TF_Tekniker,AP$4,TF_Dato,$A538))*2,0)/2)))</f>
        <v/>
      </c>
      <c r="AQ538">
        <f>IF(OR(AQ$4="",$A538&gt;TODAY()),0,IF(OR(INDEX($B538:$D538,AQ$5)="F",AND(AQ$6&gt;0,$A538&lt;AQ$6),AND(AQ$7&gt;0,$A538&gt;AQ$7)),0,MAX(0,ROUND((INDEX($E538:$G538,AQ$5)-SUMIFS(TF_Timer,TF_Tekniker,AQ$4,TF_Dato,$A538))*2,0)/2)))</f>
        <v/>
      </c>
      <c r="AR538">
        <f>IF(OR(AR$4="",$A538&gt;TODAY()),0,IF(OR(INDEX($B538:$D538,AR$5)="F",AND(AR$6&gt;0,$A538&lt;AR$6),AND(AR$7&gt;0,$A538&gt;AR$7)),0,MAX(0,ROUND((INDEX($E538:$G538,AR$5)-SUMIFS(TF_Timer,TF_Tekniker,AR$4,TF_Dato,$A538))*2,0)/2)))</f>
        <v/>
      </c>
      <c r="AS538">
        <f>IF(OR(AS$4="",$A538&gt;TODAY()),0,IF(OR(INDEX($B538:$D538,AS$5)="F",AND(AS$6&gt;0,$A538&lt;AS$6),AND(AS$7&gt;0,$A538&gt;AS$7)),0,MAX(0,ROUND((INDEX($E538:$G538,AS$5)-SUMIFS(TF_Timer,TF_Tekniker,AS$4,TF_Dato,$A538))*2,0)/2)))</f>
        <v/>
      </c>
      <c r="AT538">
        <f>IF(OR(AT$4="",$A538&gt;TODAY()),0,IF(OR(INDEX($B538:$D538,AT$5)="F",AND(AT$6&gt;0,$A538&lt;AT$6),AND(AT$7&gt;0,$A538&gt;AT$7)),0,MAX(0,ROUND((INDEX($E538:$G538,AT$5)-SUMIFS(TF_Timer,TF_Tekniker,AT$4,TF_Dato,$A538))*2,0)/2)))</f>
        <v/>
      </c>
      <c r="AU538">
        <f>IF(OR(AU$4="",$A538&gt;TODAY()),0,IF(OR(INDEX($B538:$D538,AU$5)="F",AND(AU$6&gt;0,$A538&lt;AU$6),AND(AU$7&gt;0,$A538&gt;AU$7)),0,MAX(0,ROUND((INDEX($E538:$G538,AU$5)-SUMIFS(TF_Timer,TF_Tekniker,AU$4,TF_Dato,$A538))*2,0)/2)))</f>
        <v/>
      </c>
      <c r="AV538">
        <f>IF(OR(AV$4="",$A538&gt;TODAY()),0,IF(OR(INDEX($B538:$D538,AV$5)="F",AND(AV$6&gt;0,$A538&lt;AV$6),AND(AV$7&gt;0,$A538&gt;AV$7)),0,MAX(0,ROUND((INDEX($E538:$G538,AV$5)-SUMIFS(TF_Timer,TF_Tekniker,AV$4,TF_Dato,$A538))*2,0)/2)))</f>
        <v/>
      </c>
      <c r="AW538">
        <f>IF(OR(AW$4="",$A538&gt;TODAY()),0,IF(OR(INDEX($B538:$D538,AW$5)="F",AND(AW$6&gt;0,$A538&lt;AW$6),AND(AW$7&gt;0,$A538&gt;AW$7)),0,MAX(0,ROUND((INDEX($E538:$G538,AW$5)-SUMIFS(TF_Timer,TF_Tekniker,AW$4,TF_Dato,$A538))*2,0)/2)))</f>
        <v/>
      </c>
      <c r="AX538">
        <f>IF(OR(AX$4="",$A538&gt;TODAY()),0,IF(OR(INDEX($B538:$D538,AX$5)="F",AND(AX$6&gt;0,$A538&lt;AX$6),AND(AX$7&gt;0,$A538&gt;AX$7)),0,MAX(0,ROUND((INDEX($E538:$G538,AX$5)-SUMIFS(TF_Timer,TF_Tekniker,AX$4,TF_Dato,$A538))*2,0)/2)))</f>
        <v/>
      </c>
      <c r="AY538">
        <f>IF(OR(AY$4="",$A538&gt;TODAY()),0,IF(OR(INDEX($B538:$D538,AY$5)="F",AND(AY$6&gt;0,$A538&lt;AY$6),AND(AY$7&gt;0,$A538&gt;AY$7)),0,MAX(0,ROUND((INDEX($E538:$G538,AY$5)-SUMIFS(TF_Timer,TF_Tekniker,AY$4,TF_Dato,$A538))*2,0)/2)))</f>
        <v/>
      </c>
      <c r="AZ538">
        <f>IF(OR(AZ$4="",$A538&gt;TODAY()),0,IF(OR(INDEX($B538:$D538,AZ$5)="F",AND(AZ$6&gt;0,$A538&lt;AZ$6),AND(AZ$7&gt;0,$A538&gt;AZ$7)),0,MAX(0,ROUND((INDEX($E538:$G538,AZ$5)-SUMIFS(TF_Timer,TF_Tekniker,AZ$4,TF_Dato,$A538))*2,0)/2)))</f>
        <v/>
      </c>
      <c r="BA538">
        <f>IF(OR(BA$4="",$A538&gt;TODAY()),0,IF(OR(INDEX($B538:$D538,BA$5)="F",AND(BA$6&gt;0,$A538&lt;BA$6),AND(BA$7&gt;0,$A538&gt;BA$7)),0,MAX(0,ROUND((INDEX($E538:$G538,BA$5)-SUMIFS(TF_Timer,TF_Tekniker,BA$4,TF_Dato,$A538))*2,0)/2)))</f>
        <v/>
      </c>
      <c r="BB538">
        <f>IF(OR(BB$4="",$A538&gt;TODAY()),0,IF(OR(INDEX($B538:$D538,BB$5)="F",AND(BB$6&gt;0,$A538&lt;BB$6),AND(BB$7&gt;0,$A538&gt;BB$7)),0,MAX(0,ROUND((INDEX($E538:$G538,BB$5)-SUMIFS(TF_Timer,TF_Tekniker,BB$4,TF_Dato,$A538))*2,0)/2)))</f>
        <v/>
      </c>
      <c r="BC538">
        <f>IF(OR(BC$4="",$A538&gt;TODAY()),0,IF(OR(INDEX($B538:$D538,BC$5)="F",AND(BC$6&gt;0,$A538&lt;BC$6),AND(BC$7&gt;0,$A538&gt;BC$7)),0,MAX(0,ROUND((INDEX($E538:$G538,BC$5)-SUMIFS(TF_Timer,TF_Tekniker,BC$4,TF_Dato,$A538))*2,0)/2)))</f>
        <v/>
      </c>
      <c r="BD538">
        <f>IF(OR(BD$4="",$A538&gt;TODAY()),0,IF(OR(INDEX($B538:$D538,BD$5)="F",AND(BD$6&gt;0,$A538&lt;BD$6),AND(BD$7&gt;0,$A538&gt;BD$7)),0,MAX(0,ROUND((INDEX($E538:$G538,BD$5)-SUMIFS(TF_Timer,TF_Tekniker,BD$4,TF_Dato,$A538))*2,0)/2)))</f>
        <v/>
      </c>
      <c r="BE538">
        <f>IF(OR(BE$4="",$A538&gt;TODAY()),0,IF(OR(INDEX($B538:$D538,BE$5)="F",AND(BE$6&gt;0,$A538&lt;BE$6),AND(BE$7&gt;0,$A538&gt;BE$7)),0,MAX(0,ROUND((INDEX($E538:$G538,BE$5)-SUMIFS(TF_Timer,TF_Tekniker,BE$4,TF_Dato,$A538))*2,0)/2)))</f>
        <v/>
      </c>
      <c r="BF538">
        <f>IF(OR(BF$4="",$A538&gt;TODAY()),0,IF(OR(INDEX($B538:$D538,BF$5)="F",AND(BF$6&gt;0,$A538&lt;BF$6),AND(BF$7&gt;0,$A538&gt;BF$7)),0,MAX(0,ROUND((INDEX($E538:$G538,BF$5)-SUMIFS(TF_Timer,TF_Tekniker,BF$4,TF_Dato,$A538))*2,0)/2)))</f>
        <v/>
      </c>
      <c r="BG538">
        <f>IF(OR(BG$4="",$A538&gt;TODAY()),0,IF(OR(INDEX($B538:$D538,BG$5)="F",AND(BG$6&gt;0,$A538&lt;BG$6),AND(BG$7&gt;0,$A538&gt;BG$7)),0,MAX(0,ROUND((INDEX($E538:$G538,BG$5)-SUMIFS(TF_Timer,TF_Tekniker,BG$4,TF_Dato,$A538))*2,0)/2)))</f>
        <v/>
      </c>
      <c r="BH538">
        <f>IF(OR(BH$4="",$A538&gt;TODAY()),0,IF(OR(INDEX($B538:$D538,BH$5)="F",AND(BH$6&gt;0,$A538&lt;BH$6),AND(BH$7&gt;0,$A538&gt;BH$7)),0,MAX(0,ROUND((INDEX($E538:$G538,BH$5)-SUMIFS(TF_Timer,TF_Tekniker,BH$4,TF_Dato,$A538))*2,0)/2)))</f>
        <v/>
      </c>
      <c r="BI538">
        <f>IF(OR(BI$4="",$A538&gt;TODAY()),0,IF(OR(INDEX($B538:$D538,BI$5)="F",AND(BI$6&gt;0,$A538&lt;BI$6),AND(BI$7&gt;0,$A538&gt;BI$7)),0,MAX(0,ROUND((INDEX($E538:$G538,BI$5)-SUMIFS(TF_Timer,TF_Tekniker,BI$4,TF_Dato,$A538))*2,0)/2)))</f>
        <v/>
      </c>
    </row>
    <row r="539">
      <c r="A539" s="64">
        <f>A538+1</f>
        <v/>
      </c>
      <c r="B539">
        <f>IF(MOD($A539-INDEX(SkiftStart,1),Syklus)&lt;DagK,"K",IF(MOD($A539-INDEX(SkiftStart,1),Syklus)&lt;DagK+DagH,"H",IF(MOD($A539-INDEX(SkiftStart,1),Syklus)&lt;DagK+DagH+DagD,"D","F")))</f>
        <v/>
      </c>
      <c r="C539">
        <f>IF(MOD($A539-INDEX(SkiftStart,2),Syklus)&lt;DagK,"K",IF(MOD($A539-INDEX(SkiftStart,2),Syklus)&lt;DagK+DagH,"H",IF(MOD($A539-INDEX(SkiftStart,2),Syklus)&lt;DagK+DagH+DagD,"D","F")))</f>
        <v/>
      </c>
      <c r="D539">
        <f>IF(MOD($A539-INDEX(SkiftStart,3),Syklus)&lt;DagK,"K",IF(MOD($A539-INDEX(SkiftStart,3),Syklus)&lt;DagK+DagH,"H",IF(MOD($A539-INDEX(SkiftStart,3),Syklus)&lt;DagK+DagH+DagD,"D","F")))</f>
        <v/>
      </c>
      <c r="E539">
        <f>IF(B539="F",0,IF(WEEKDAY($A539,2)=5,INDEX(TimerFr,MATCH(B539,FaseKode,0)),INDEX(TimerMT,MATCH(B539,FaseKode,0))))</f>
        <v/>
      </c>
      <c r="F539">
        <f>IF(C539="F",0,IF(WEEKDAY($A539,2)=5,INDEX(TimerFr,MATCH(C539,FaseKode,0)),INDEX(TimerMT,MATCH(C539,FaseKode,0))))</f>
        <v/>
      </c>
      <c r="G539">
        <f>IF(D539="F",0,IF(WEEKDAY($A539,2)=5,INDEX(TimerFr,MATCH(D539,FaseKode,0)),INDEX(TimerMT,MATCH(D539,FaseKode,0))))</f>
        <v/>
      </c>
      <c r="H539">
        <f>IF(OR(H$4="",$A539&gt;TODAY()),0,IF(OR(INDEX($B539:$D539,H$5)="F",AND(H$6&gt;0,$A539&lt;H$6),AND(H$7&gt;0,$A539&gt;H$7)),0,MAX(0,ROUND((INDEX($E539:$G539,H$5)-SUMIFS(TF_Timer,TF_Tekniker,H$4,TF_Dato,$A539))*2,0)/2)))</f>
        <v/>
      </c>
      <c r="I539">
        <f>IF(OR(I$4="",$A539&gt;TODAY()),0,IF(OR(INDEX($B539:$D539,I$5)="F",AND(I$6&gt;0,$A539&lt;I$6),AND(I$7&gt;0,$A539&gt;I$7)),0,MAX(0,ROUND((INDEX($E539:$G539,I$5)-SUMIFS(TF_Timer,TF_Tekniker,I$4,TF_Dato,$A539))*2,0)/2)))</f>
        <v/>
      </c>
      <c r="J539">
        <f>IF(OR(J$4="",$A539&gt;TODAY()),0,IF(OR(INDEX($B539:$D539,J$5)="F",AND(J$6&gt;0,$A539&lt;J$6),AND(J$7&gt;0,$A539&gt;J$7)),0,MAX(0,ROUND((INDEX($E539:$G539,J$5)-SUMIFS(TF_Timer,TF_Tekniker,J$4,TF_Dato,$A539))*2,0)/2)))</f>
        <v/>
      </c>
      <c r="K539">
        <f>IF(OR(K$4="",$A539&gt;TODAY()),0,IF(OR(INDEX($B539:$D539,K$5)="F",AND(K$6&gt;0,$A539&lt;K$6),AND(K$7&gt;0,$A539&gt;K$7)),0,MAX(0,ROUND((INDEX($E539:$G539,K$5)-SUMIFS(TF_Timer,TF_Tekniker,K$4,TF_Dato,$A539))*2,0)/2)))</f>
        <v/>
      </c>
      <c r="L539">
        <f>IF(OR(L$4="",$A539&gt;TODAY()),0,IF(OR(INDEX($B539:$D539,L$5)="F",AND(L$6&gt;0,$A539&lt;L$6),AND(L$7&gt;0,$A539&gt;L$7)),0,MAX(0,ROUND((INDEX($E539:$G539,L$5)-SUMIFS(TF_Timer,TF_Tekniker,L$4,TF_Dato,$A539))*2,0)/2)))</f>
        <v/>
      </c>
      <c r="M539">
        <f>IF(OR(M$4="",$A539&gt;TODAY()),0,IF(OR(INDEX($B539:$D539,M$5)="F",AND(M$6&gt;0,$A539&lt;M$6),AND(M$7&gt;0,$A539&gt;M$7)),0,MAX(0,ROUND((INDEX($E539:$G539,M$5)-SUMIFS(TF_Timer,TF_Tekniker,M$4,TF_Dato,$A539))*2,0)/2)))</f>
        <v/>
      </c>
      <c r="N539">
        <f>IF(OR(N$4="",$A539&gt;TODAY()),0,IF(OR(INDEX($B539:$D539,N$5)="F",AND(N$6&gt;0,$A539&lt;N$6),AND(N$7&gt;0,$A539&gt;N$7)),0,MAX(0,ROUND((INDEX($E539:$G539,N$5)-SUMIFS(TF_Timer,TF_Tekniker,N$4,TF_Dato,$A539))*2,0)/2)))</f>
        <v/>
      </c>
      <c r="O539">
        <f>IF(OR(O$4="",$A539&gt;TODAY()),0,IF(OR(INDEX($B539:$D539,O$5)="F",AND(O$6&gt;0,$A539&lt;O$6),AND(O$7&gt;0,$A539&gt;O$7)),0,MAX(0,ROUND((INDEX($E539:$G539,O$5)-SUMIFS(TF_Timer,TF_Tekniker,O$4,TF_Dato,$A539))*2,0)/2)))</f>
        <v/>
      </c>
      <c r="P539">
        <f>IF(OR(P$4="",$A539&gt;TODAY()),0,IF(OR(INDEX($B539:$D539,P$5)="F",AND(P$6&gt;0,$A539&lt;P$6),AND(P$7&gt;0,$A539&gt;P$7)),0,MAX(0,ROUND((INDEX($E539:$G539,P$5)-SUMIFS(TF_Timer,TF_Tekniker,P$4,TF_Dato,$A539))*2,0)/2)))</f>
        <v/>
      </c>
      <c r="Q539">
        <f>IF(OR(Q$4="",$A539&gt;TODAY()),0,IF(OR(INDEX($B539:$D539,Q$5)="F",AND(Q$6&gt;0,$A539&lt;Q$6),AND(Q$7&gt;0,$A539&gt;Q$7)),0,MAX(0,ROUND((INDEX($E539:$G539,Q$5)-SUMIFS(TF_Timer,TF_Tekniker,Q$4,TF_Dato,$A539))*2,0)/2)))</f>
        <v/>
      </c>
      <c r="R539">
        <f>IF(OR(R$4="",$A539&gt;TODAY()),0,IF(OR(INDEX($B539:$D539,R$5)="F",AND(R$6&gt;0,$A539&lt;R$6),AND(R$7&gt;0,$A539&gt;R$7)),0,MAX(0,ROUND((INDEX($E539:$G539,R$5)-SUMIFS(TF_Timer,TF_Tekniker,R$4,TF_Dato,$A539))*2,0)/2)))</f>
        <v/>
      </c>
      <c r="S539">
        <f>IF(OR(S$4="",$A539&gt;TODAY()),0,IF(OR(INDEX($B539:$D539,S$5)="F",AND(S$6&gt;0,$A539&lt;S$6),AND(S$7&gt;0,$A539&gt;S$7)),0,MAX(0,ROUND((INDEX($E539:$G539,S$5)-SUMIFS(TF_Timer,TF_Tekniker,S$4,TF_Dato,$A539))*2,0)/2)))</f>
        <v/>
      </c>
      <c r="T539">
        <f>IF(OR(T$4="",$A539&gt;TODAY()),0,IF(OR(INDEX($B539:$D539,T$5)="F",AND(T$6&gt;0,$A539&lt;T$6),AND(T$7&gt;0,$A539&gt;T$7)),0,MAX(0,ROUND((INDEX($E539:$G539,T$5)-SUMIFS(TF_Timer,TF_Tekniker,T$4,TF_Dato,$A539))*2,0)/2)))</f>
        <v/>
      </c>
      <c r="U539">
        <f>IF(OR(U$4="",$A539&gt;TODAY()),0,IF(OR(INDEX($B539:$D539,U$5)="F",AND(U$6&gt;0,$A539&lt;U$6),AND(U$7&gt;0,$A539&gt;U$7)),0,MAX(0,ROUND((INDEX($E539:$G539,U$5)-SUMIFS(TF_Timer,TF_Tekniker,U$4,TF_Dato,$A539))*2,0)/2)))</f>
        <v/>
      </c>
      <c r="V539">
        <f>IF(OR(V$4="",$A539&gt;TODAY()),0,IF(OR(INDEX($B539:$D539,V$5)="F",AND(V$6&gt;0,$A539&lt;V$6),AND(V$7&gt;0,$A539&gt;V$7)),0,MAX(0,ROUND((INDEX($E539:$G539,V$5)-SUMIFS(TF_Timer,TF_Tekniker,V$4,TF_Dato,$A539))*2,0)/2)))</f>
        <v/>
      </c>
      <c r="W539">
        <f>IF(OR(W$4="",$A539&gt;TODAY()),0,IF(OR(INDEX($B539:$D539,W$5)="F",AND(W$6&gt;0,$A539&lt;W$6),AND(W$7&gt;0,$A539&gt;W$7)),0,MAX(0,ROUND((INDEX($E539:$G539,W$5)-SUMIFS(TF_Timer,TF_Tekniker,W$4,TF_Dato,$A539))*2,0)/2)))</f>
        <v/>
      </c>
      <c r="X539">
        <f>IF(OR(X$4="",$A539&gt;TODAY()),0,IF(OR(INDEX($B539:$D539,X$5)="F",AND(X$6&gt;0,$A539&lt;X$6),AND(X$7&gt;0,$A539&gt;X$7)),0,MAX(0,ROUND((INDEX($E539:$G539,X$5)-SUMIFS(TF_Timer,TF_Tekniker,X$4,TF_Dato,$A539))*2,0)/2)))</f>
        <v/>
      </c>
      <c r="Y539">
        <f>IF(OR(Y$4="",$A539&gt;TODAY()),0,IF(OR(INDEX($B539:$D539,Y$5)="F",AND(Y$6&gt;0,$A539&lt;Y$6),AND(Y$7&gt;0,$A539&gt;Y$7)),0,MAX(0,ROUND((INDEX($E539:$G539,Y$5)-SUMIFS(TF_Timer,TF_Tekniker,Y$4,TF_Dato,$A539))*2,0)/2)))</f>
        <v/>
      </c>
      <c r="Z539">
        <f>IF(OR(Z$4="",$A539&gt;TODAY()),0,IF(OR(INDEX($B539:$D539,Z$5)="F",AND(Z$6&gt;0,$A539&lt;Z$6),AND(Z$7&gt;0,$A539&gt;Z$7)),0,MAX(0,ROUND((INDEX($E539:$G539,Z$5)-SUMIFS(TF_Timer,TF_Tekniker,Z$4,TF_Dato,$A539))*2,0)/2)))</f>
        <v/>
      </c>
      <c r="AA539">
        <f>IF(OR(AA$4="",$A539&gt;TODAY()),0,IF(OR(INDEX($B539:$D539,AA$5)="F",AND(AA$6&gt;0,$A539&lt;AA$6),AND(AA$7&gt;0,$A539&gt;AA$7)),0,MAX(0,ROUND((INDEX($E539:$G539,AA$5)-SUMIFS(TF_Timer,TF_Tekniker,AA$4,TF_Dato,$A539))*2,0)/2)))</f>
        <v/>
      </c>
      <c r="AB539">
        <f>IF(OR(AB$4="",$A539&gt;TODAY()),0,IF(OR(INDEX($B539:$D539,AB$5)="F",AND(AB$6&gt;0,$A539&lt;AB$6),AND(AB$7&gt;0,$A539&gt;AB$7)),0,MAX(0,ROUND((INDEX($E539:$G539,AB$5)-SUMIFS(TF_Timer,TF_Tekniker,AB$4,TF_Dato,$A539))*2,0)/2)))</f>
        <v/>
      </c>
      <c r="AC539">
        <f>IF(OR(AC$4="",$A539&gt;TODAY()),0,IF(OR(INDEX($B539:$D539,AC$5)="F",AND(AC$6&gt;0,$A539&lt;AC$6),AND(AC$7&gt;0,$A539&gt;AC$7)),0,MAX(0,ROUND((INDEX($E539:$G539,AC$5)-SUMIFS(TF_Timer,TF_Tekniker,AC$4,TF_Dato,$A539))*2,0)/2)))</f>
        <v/>
      </c>
      <c r="AD539">
        <f>IF(OR(AD$4="",$A539&gt;TODAY()),0,IF(OR(INDEX($B539:$D539,AD$5)="F",AND(AD$6&gt;0,$A539&lt;AD$6),AND(AD$7&gt;0,$A539&gt;AD$7)),0,MAX(0,ROUND((INDEX($E539:$G539,AD$5)-SUMIFS(TF_Timer,TF_Tekniker,AD$4,TF_Dato,$A539))*2,0)/2)))</f>
        <v/>
      </c>
      <c r="AE539">
        <f>IF(OR(AE$4="",$A539&gt;TODAY()),0,IF(OR(INDEX($B539:$D539,AE$5)="F",AND(AE$6&gt;0,$A539&lt;AE$6),AND(AE$7&gt;0,$A539&gt;AE$7)),0,MAX(0,ROUND((INDEX($E539:$G539,AE$5)-SUMIFS(TF_Timer,TF_Tekniker,AE$4,TF_Dato,$A539))*2,0)/2)))</f>
        <v/>
      </c>
      <c r="AF539">
        <f>IF(OR(AF$4="",$A539&gt;TODAY()),0,IF(OR(INDEX($B539:$D539,AF$5)="F",AND(AF$6&gt;0,$A539&lt;AF$6),AND(AF$7&gt;0,$A539&gt;AF$7)),0,MAX(0,ROUND((INDEX($E539:$G539,AF$5)-SUMIFS(TF_Timer,TF_Tekniker,AF$4,TF_Dato,$A539))*2,0)/2)))</f>
        <v/>
      </c>
      <c r="AG539">
        <f>IF(OR(AG$4="",$A539&gt;TODAY()),0,IF(OR(INDEX($B539:$D539,AG$5)="F",AND(AG$6&gt;0,$A539&lt;AG$6),AND(AG$7&gt;0,$A539&gt;AG$7)),0,MAX(0,ROUND((INDEX($E539:$G539,AG$5)-SUMIFS(TF_Timer,TF_Tekniker,AG$4,TF_Dato,$A539))*2,0)/2)))</f>
        <v/>
      </c>
      <c r="AH539">
        <f>IF(OR(AH$4="",$A539&gt;TODAY()),0,IF(OR(INDEX($B539:$D539,AH$5)="F",AND(AH$6&gt;0,$A539&lt;AH$6),AND(AH$7&gt;0,$A539&gt;AH$7)),0,MAX(0,ROUND((INDEX($E539:$G539,AH$5)-SUMIFS(TF_Timer,TF_Tekniker,AH$4,TF_Dato,$A539))*2,0)/2)))</f>
        <v/>
      </c>
      <c r="AI539">
        <f>IF(OR(AI$4="",$A539&gt;TODAY()),0,IF(OR(INDEX($B539:$D539,AI$5)="F",AND(AI$6&gt;0,$A539&lt;AI$6),AND(AI$7&gt;0,$A539&gt;AI$7)),0,MAX(0,ROUND((INDEX($E539:$G539,AI$5)-SUMIFS(TF_Timer,TF_Tekniker,AI$4,TF_Dato,$A539))*2,0)/2)))</f>
        <v/>
      </c>
      <c r="AJ539">
        <f>IF(OR(AJ$4="",$A539&gt;TODAY()),0,IF(OR(INDEX($B539:$D539,AJ$5)="F",AND(AJ$6&gt;0,$A539&lt;AJ$6),AND(AJ$7&gt;0,$A539&gt;AJ$7)),0,MAX(0,ROUND((INDEX($E539:$G539,AJ$5)-SUMIFS(TF_Timer,TF_Tekniker,AJ$4,TF_Dato,$A539))*2,0)/2)))</f>
        <v/>
      </c>
      <c r="AK539">
        <f>IF(OR(AK$4="",$A539&gt;TODAY()),0,IF(OR(INDEX($B539:$D539,AK$5)="F",AND(AK$6&gt;0,$A539&lt;AK$6),AND(AK$7&gt;0,$A539&gt;AK$7)),0,MAX(0,ROUND((INDEX($E539:$G539,AK$5)-SUMIFS(TF_Timer,TF_Tekniker,AK$4,TF_Dato,$A539))*2,0)/2)))</f>
        <v/>
      </c>
      <c r="AL539">
        <f>IF(OR(AL$4="",$A539&gt;TODAY()),0,IF(OR(INDEX($B539:$D539,AL$5)="F",AND(AL$6&gt;0,$A539&lt;AL$6),AND(AL$7&gt;0,$A539&gt;AL$7)),0,MAX(0,ROUND((INDEX($E539:$G539,AL$5)-SUMIFS(TF_Timer,TF_Tekniker,AL$4,TF_Dato,$A539))*2,0)/2)))</f>
        <v/>
      </c>
      <c r="AM539">
        <f>IF(OR(AM$4="",$A539&gt;TODAY()),0,IF(OR(INDEX($B539:$D539,AM$5)="F",AND(AM$6&gt;0,$A539&lt;AM$6),AND(AM$7&gt;0,$A539&gt;AM$7)),0,MAX(0,ROUND((INDEX($E539:$G539,AM$5)-SUMIFS(TF_Timer,TF_Tekniker,AM$4,TF_Dato,$A539))*2,0)/2)))</f>
        <v/>
      </c>
      <c r="AN539">
        <f>IF(OR(AN$4="",$A539&gt;TODAY()),0,IF(OR(INDEX($B539:$D539,AN$5)="F",AND(AN$6&gt;0,$A539&lt;AN$6),AND(AN$7&gt;0,$A539&gt;AN$7)),0,MAX(0,ROUND((INDEX($E539:$G539,AN$5)-SUMIFS(TF_Timer,TF_Tekniker,AN$4,TF_Dato,$A539))*2,0)/2)))</f>
        <v/>
      </c>
      <c r="AO539">
        <f>IF(OR(AO$4="",$A539&gt;TODAY()),0,IF(OR(INDEX($B539:$D539,AO$5)="F",AND(AO$6&gt;0,$A539&lt;AO$6),AND(AO$7&gt;0,$A539&gt;AO$7)),0,MAX(0,ROUND((INDEX($E539:$G539,AO$5)-SUMIFS(TF_Timer,TF_Tekniker,AO$4,TF_Dato,$A539))*2,0)/2)))</f>
        <v/>
      </c>
      <c r="AP539">
        <f>IF(OR(AP$4="",$A539&gt;TODAY()),0,IF(OR(INDEX($B539:$D539,AP$5)="F",AND(AP$6&gt;0,$A539&lt;AP$6),AND(AP$7&gt;0,$A539&gt;AP$7)),0,MAX(0,ROUND((INDEX($E539:$G539,AP$5)-SUMIFS(TF_Timer,TF_Tekniker,AP$4,TF_Dato,$A539))*2,0)/2)))</f>
        <v/>
      </c>
      <c r="AQ539">
        <f>IF(OR(AQ$4="",$A539&gt;TODAY()),0,IF(OR(INDEX($B539:$D539,AQ$5)="F",AND(AQ$6&gt;0,$A539&lt;AQ$6),AND(AQ$7&gt;0,$A539&gt;AQ$7)),0,MAX(0,ROUND((INDEX($E539:$G539,AQ$5)-SUMIFS(TF_Timer,TF_Tekniker,AQ$4,TF_Dato,$A539))*2,0)/2)))</f>
        <v/>
      </c>
      <c r="AR539">
        <f>IF(OR(AR$4="",$A539&gt;TODAY()),0,IF(OR(INDEX($B539:$D539,AR$5)="F",AND(AR$6&gt;0,$A539&lt;AR$6),AND(AR$7&gt;0,$A539&gt;AR$7)),0,MAX(0,ROUND((INDEX($E539:$G539,AR$5)-SUMIFS(TF_Timer,TF_Tekniker,AR$4,TF_Dato,$A539))*2,0)/2)))</f>
        <v/>
      </c>
      <c r="AS539">
        <f>IF(OR(AS$4="",$A539&gt;TODAY()),0,IF(OR(INDEX($B539:$D539,AS$5)="F",AND(AS$6&gt;0,$A539&lt;AS$6),AND(AS$7&gt;0,$A539&gt;AS$7)),0,MAX(0,ROUND((INDEX($E539:$G539,AS$5)-SUMIFS(TF_Timer,TF_Tekniker,AS$4,TF_Dato,$A539))*2,0)/2)))</f>
        <v/>
      </c>
      <c r="AT539">
        <f>IF(OR(AT$4="",$A539&gt;TODAY()),0,IF(OR(INDEX($B539:$D539,AT$5)="F",AND(AT$6&gt;0,$A539&lt;AT$6),AND(AT$7&gt;0,$A539&gt;AT$7)),0,MAX(0,ROUND((INDEX($E539:$G539,AT$5)-SUMIFS(TF_Timer,TF_Tekniker,AT$4,TF_Dato,$A539))*2,0)/2)))</f>
        <v/>
      </c>
      <c r="AU539">
        <f>IF(OR(AU$4="",$A539&gt;TODAY()),0,IF(OR(INDEX($B539:$D539,AU$5)="F",AND(AU$6&gt;0,$A539&lt;AU$6),AND(AU$7&gt;0,$A539&gt;AU$7)),0,MAX(0,ROUND((INDEX($E539:$G539,AU$5)-SUMIFS(TF_Timer,TF_Tekniker,AU$4,TF_Dato,$A539))*2,0)/2)))</f>
        <v/>
      </c>
      <c r="AV539">
        <f>IF(OR(AV$4="",$A539&gt;TODAY()),0,IF(OR(INDEX($B539:$D539,AV$5)="F",AND(AV$6&gt;0,$A539&lt;AV$6),AND(AV$7&gt;0,$A539&gt;AV$7)),0,MAX(0,ROUND((INDEX($E539:$G539,AV$5)-SUMIFS(TF_Timer,TF_Tekniker,AV$4,TF_Dato,$A539))*2,0)/2)))</f>
        <v/>
      </c>
      <c r="AW539">
        <f>IF(OR(AW$4="",$A539&gt;TODAY()),0,IF(OR(INDEX($B539:$D539,AW$5)="F",AND(AW$6&gt;0,$A539&lt;AW$6),AND(AW$7&gt;0,$A539&gt;AW$7)),0,MAX(0,ROUND((INDEX($E539:$G539,AW$5)-SUMIFS(TF_Timer,TF_Tekniker,AW$4,TF_Dato,$A539))*2,0)/2)))</f>
        <v/>
      </c>
      <c r="AX539">
        <f>IF(OR(AX$4="",$A539&gt;TODAY()),0,IF(OR(INDEX($B539:$D539,AX$5)="F",AND(AX$6&gt;0,$A539&lt;AX$6),AND(AX$7&gt;0,$A539&gt;AX$7)),0,MAX(0,ROUND((INDEX($E539:$G539,AX$5)-SUMIFS(TF_Timer,TF_Tekniker,AX$4,TF_Dato,$A539))*2,0)/2)))</f>
        <v/>
      </c>
      <c r="AY539">
        <f>IF(OR(AY$4="",$A539&gt;TODAY()),0,IF(OR(INDEX($B539:$D539,AY$5)="F",AND(AY$6&gt;0,$A539&lt;AY$6),AND(AY$7&gt;0,$A539&gt;AY$7)),0,MAX(0,ROUND((INDEX($E539:$G539,AY$5)-SUMIFS(TF_Timer,TF_Tekniker,AY$4,TF_Dato,$A539))*2,0)/2)))</f>
        <v/>
      </c>
      <c r="AZ539">
        <f>IF(OR(AZ$4="",$A539&gt;TODAY()),0,IF(OR(INDEX($B539:$D539,AZ$5)="F",AND(AZ$6&gt;0,$A539&lt;AZ$6),AND(AZ$7&gt;0,$A539&gt;AZ$7)),0,MAX(0,ROUND((INDEX($E539:$G539,AZ$5)-SUMIFS(TF_Timer,TF_Tekniker,AZ$4,TF_Dato,$A539))*2,0)/2)))</f>
        <v/>
      </c>
      <c r="BA539">
        <f>IF(OR(BA$4="",$A539&gt;TODAY()),0,IF(OR(INDEX($B539:$D539,BA$5)="F",AND(BA$6&gt;0,$A539&lt;BA$6),AND(BA$7&gt;0,$A539&gt;BA$7)),0,MAX(0,ROUND((INDEX($E539:$G539,BA$5)-SUMIFS(TF_Timer,TF_Tekniker,BA$4,TF_Dato,$A539))*2,0)/2)))</f>
        <v/>
      </c>
      <c r="BB539">
        <f>IF(OR(BB$4="",$A539&gt;TODAY()),0,IF(OR(INDEX($B539:$D539,BB$5)="F",AND(BB$6&gt;0,$A539&lt;BB$6),AND(BB$7&gt;0,$A539&gt;BB$7)),0,MAX(0,ROUND((INDEX($E539:$G539,BB$5)-SUMIFS(TF_Timer,TF_Tekniker,BB$4,TF_Dato,$A539))*2,0)/2)))</f>
        <v/>
      </c>
      <c r="BC539">
        <f>IF(OR(BC$4="",$A539&gt;TODAY()),0,IF(OR(INDEX($B539:$D539,BC$5)="F",AND(BC$6&gt;0,$A539&lt;BC$6),AND(BC$7&gt;0,$A539&gt;BC$7)),0,MAX(0,ROUND((INDEX($E539:$G539,BC$5)-SUMIFS(TF_Timer,TF_Tekniker,BC$4,TF_Dato,$A539))*2,0)/2)))</f>
        <v/>
      </c>
      <c r="BD539">
        <f>IF(OR(BD$4="",$A539&gt;TODAY()),0,IF(OR(INDEX($B539:$D539,BD$5)="F",AND(BD$6&gt;0,$A539&lt;BD$6),AND(BD$7&gt;0,$A539&gt;BD$7)),0,MAX(0,ROUND((INDEX($E539:$G539,BD$5)-SUMIFS(TF_Timer,TF_Tekniker,BD$4,TF_Dato,$A539))*2,0)/2)))</f>
        <v/>
      </c>
      <c r="BE539">
        <f>IF(OR(BE$4="",$A539&gt;TODAY()),0,IF(OR(INDEX($B539:$D539,BE$5)="F",AND(BE$6&gt;0,$A539&lt;BE$6),AND(BE$7&gt;0,$A539&gt;BE$7)),0,MAX(0,ROUND((INDEX($E539:$G539,BE$5)-SUMIFS(TF_Timer,TF_Tekniker,BE$4,TF_Dato,$A539))*2,0)/2)))</f>
        <v/>
      </c>
      <c r="BF539">
        <f>IF(OR(BF$4="",$A539&gt;TODAY()),0,IF(OR(INDEX($B539:$D539,BF$5)="F",AND(BF$6&gt;0,$A539&lt;BF$6),AND(BF$7&gt;0,$A539&gt;BF$7)),0,MAX(0,ROUND((INDEX($E539:$G539,BF$5)-SUMIFS(TF_Timer,TF_Tekniker,BF$4,TF_Dato,$A539))*2,0)/2)))</f>
        <v/>
      </c>
      <c r="BG539">
        <f>IF(OR(BG$4="",$A539&gt;TODAY()),0,IF(OR(INDEX($B539:$D539,BG$5)="F",AND(BG$6&gt;0,$A539&lt;BG$6),AND(BG$7&gt;0,$A539&gt;BG$7)),0,MAX(0,ROUND((INDEX($E539:$G539,BG$5)-SUMIFS(TF_Timer,TF_Tekniker,BG$4,TF_Dato,$A539))*2,0)/2)))</f>
        <v/>
      </c>
      <c r="BH539">
        <f>IF(OR(BH$4="",$A539&gt;TODAY()),0,IF(OR(INDEX($B539:$D539,BH$5)="F",AND(BH$6&gt;0,$A539&lt;BH$6),AND(BH$7&gt;0,$A539&gt;BH$7)),0,MAX(0,ROUND((INDEX($E539:$G539,BH$5)-SUMIFS(TF_Timer,TF_Tekniker,BH$4,TF_Dato,$A539))*2,0)/2)))</f>
        <v/>
      </c>
      <c r="BI539">
        <f>IF(OR(BI$4="",$A539&gt;TODAY()),0,IF(OR(INDEX($B539:$D539,BI$5)="F",AND(BI$6&gt;0,$A539&lt;BI$6),AND(BI$7&gt;0,$A539&gt;BI$7)),0,MAX(0,ROUND((INDEX($E539:$G539,BI$5)-SUMIFS(TF_Timer,TF_Tekniker,BI$4,TF_Dato,$A539))*2,0)/2)))</f>
        <v/>
      </c>
    </row>
    <row r="540">
      <c r="A540" s="64">
        <f>A539+1</f>
        <v/>
      </c>
      <c r="B540">
        <f>IF(MOD($A540-INDEX(SkiftStart,1),Syklus)&lt;DagK,"K",IF(MOD($A540-INDEX(SkiftStart,1),Syklus)&lt;DagK+DagH,"H",IF(MOD($A540-INDEX(SkiftStart,1),Syklus)&lt;DagK+DagH+DagD,"D","F")))</f>
        <v/>
      </c>
      <c r="C540">
        <f>IF(MOD($A540-INDEX(SkiftStart,2),Syklus)&lt;DagK,"K",IF(MOD($A540-INDEX(SkiftStart,2),Syklus)&lt;DagK+DagH,"H",IF(MOD($A540-INDEX(SkiftStart,2),Syklus)&lt;DagK+DagH+DagD,"D","F")))</f>
        <v/>
      </c>
      <c r="D540">
        <f>IF(MOD($A540-INDEX(SkiftStart,3),Syklus)&lt;DagK,"K",IF(MOD($A540-INDEX(SkiftStart,3),Syklus)&lt;DagK+DagH,"H",IF(MOD($A540-INDEX(SkiftStart,3),Syklus)&lt;DagK+DagH+DagD,"D","F")))</f>
        <v/>
      </c>
      <c r="E540">
        <f>IF(B540="F",0,IF(WEEKDAY($A540,2)=5,INDEX(TimerFr,MATCH(B540,FaseKode,0)),INDEX(TimerMT,MATCH(B540,FaseKode,0))))</f>
        <v/>
      </c>
      <c r="F540">
        <f>IF(C540="F",0,IF(WEEKDAY($A540,2)=5,INDEX(TimerFr,MATCH(C540,FaseKode,0)),INDEX(TimerMT,MATCH(C540,FaseKode,0))))</f>
        <v/>
      </c>
      <c r="G540">
        <f>IF(D540="F",0,IF(WEEKDAY($A540,2)=5,INDEX(TimerFr,MATCH(D540,FaseKode,0)),INDEX(TimerMT,MATCH(D540,FaseKode,0))))</f>
        <v/>
      </c>
      <c r="H540">
        <f>IF(OR(H$4="",$A540&gt;TODAY()),0,IF(OR(INDEX($B540:$D540,H$5)="F",AND(H$6&gt;0,$A540&lt;H$6),AND(H$7&gt;0,$A540&gt;H$7)),0,MAX(0,ROUND((INDEX($E540:$G540,H$5)-SUMIFS(TF_Timer,TF_Tekniker,H$4,TF_Dato,$A540))*2,0)/2)))</f>
        <v/>
      </c>
      <c r="I540">
        <f>IF(OR(I$4="",$A540&gt;TODAY()),0,IF(OR(INDEX($B540:$D540,I$5)="F",AND(I$6&gt;0,$A540&lt;I$6),AND(I$7&gt;0,$A540&gt;I$7)),0,MAX(0,ROUND((INDEX($E540:$G540,I$5)-SUMIFS(TF_Timer,TF_Tekniker,I$4,TF_Dato,$A540))*2,0)/2)))</f>
        <v/>
      </c>
      <c r="J540">
        <f>IF(OR(J$4="",$A540&gt;TODAY()),0,IF(OR(INDEX($B540:$D540,J$5)="F",AND(J$6&gt;0,$A540&lt;J$6),AND(J$7&gt;0,$A540&gt;J$7)),0,MAX(0,ROUND((INDEX($E540:$G540,J$5)-SUMIFS(TF_Timer,TF_Tekniker,J$4,TF_Dato,$A540))*2,0)/2)))</f>
        <v/>
      </c>
      <c r="K540">
        <f>IF(OR(K$4="",$A540&gt;TODAY()),0,IF(OR(INDEX($B540:$D540,K$5)="F",AND(K$6&gt;0,$A540&lt;K$6),AND(K$7&gt;0,$A540&gt;K$7)),0,MAX(0,ROUND((INDEX($E540:$G540,K$5)-SUMIFS(TF_Timer,TF_Tekniker,K$4,TF_Dato,$A540))*2,0)/2)))</f>
        <v/>
      </c>
      <c r="L540">
        <f>IF(OR(L$4="",$A540&gt;TODAY()),0,IF(OR(INDEX($B540:$D540,L$5)="F",AND(L$6&gt;0,$A540&lt;L$6),AND(L$7&gt;0,$A540&gt;L$7)),0,MAX(0,ROUND((INDEX($E540:$G540,L$5)-SUMIFS(TF_Timer,TF_Tekniker,L$4,TF_Dato,$A540))*2,0)/2)))</f>
        <v/>
      </c>
      <c r="M540">
        <f>IF(OR(M$4="",$A540&gt;TODAY()),0,IF(OR(INDEX($B540:$D540,M$5)="F",AND(M$6&gt;0,$A540&lt;M$6),AND(M$7&gt;0,$A540&gt;M$7)),0,MAX(0,ROUND((INDEX($E540:$G540,M$5)-SUMIFS(TF_Timer,TF_Tekniker,M$4,TF_Dato,$A540))*2,0)/2)))</f>
        <v/>
      </c>
      <c r="N540">
        <f>IF(OR(N$4="",$A540&gt;TODAY()),0,IF(OR(INDEX($B540:$D540,N$5)="F",AND(N$6&gt;0,$A540&lt;N$6),AND(N$7&gt;0,$A540&gt;N$7)),0,MAX(0,ROUND((INDEX($E540:$G540,N$5)-SUMIFS(TF_Timer,TF_Tekniker,N$4,TF_Dato,$A540))*2,0)/2)))</f>
        <v/>
      </c>
      <c r="O540">
        <f>IF(OR(O$4="",$A540&gt;TODAY()),0,IF(OR(INDEX($B540:$D540,O$5)="F",AND(O$6&gt;0,$A540&lt;O$6),AND(O$7&gt;0,$A540&gt;O$7)),0,MAX(0,ROUND((INDEX($E540:$G540,O$5)-SUMIFS(TF_Timer,TF_Tekniker,O$4,TF_Dato,$A540))*2,0)/2)))</f>
        <v/>
      </c>
      <c r="P540">
        <f>IF(OR(P$4="",$A540&gt;TODAY()),0,IF(OR(INDEX($B540:$D540,P$5)="F",AND(P$6&gt;0,$A540&lt;P$6),AND(P$7&gt;0,$A540&gt;P$7)),0,MAX(0,ROUND((INDEX($E540:$G540,P$5)-SUMIFS(TF_Timer,TF_Tekniker,P$4,TF_Dato,$A540))*2,0)/2)))</f>
        <v/>
      </c>
      <c r="Q540">
        <f>IF(OR(Q$4="",$A540&gt;TODAY()),0,IF(OR(INDEX($B540:$D540,Q$5)="F",AND(Q$6&gt;0,$A540&lt;Q$6),AND(Q$7&gt;0,$A540&gt;Q$7)),0,MAX(0,ROUND((INDEX($E540:$G540,Q$5)-SUMIFS(TF_Timer,TF_Tekniker,Q$4,TF_Dato,$A540))*2,0)/2)))</f>
        <v/>
      </c>
      <c r="R540">
        <f>IF(OR(R$4="",$A540&gt;TODAY()),0,IF(OR(INDEX($B540:$D540,R$5)="F",AND(R$6&gt;0,$A540&lt;R$6),AND(R$7&gt;0,$A540&gt;R$7)),0,MAX(0,ROUND((INDEX($E540:$G540,R$5)-SUMIFS(TF_Timer,TF_Tekniker,R$4,TF_Dato,$A540))*2,0)/2)))</f>
        <v/>
      </c>
      <c r="S540">
        <f>IF(OR(S$4="",$A540&gt;TODAY()),0,IF(OR(INDEX($B540:$D540,S$5)="F",AND(S$6&gt;0,$A540&lt;S$6),AND(S$7&gt;0,$A540&gt;S$7)),0,MAX(0,ROUND((INDEX($E540:$G540,S$5)-SUMIFS(TF_Timer,TF_Tekniker,S$4,TF_Dato,$A540))*2,0)/2)))</f>
        <v/>
      </c>
      <c r="T540">
        <f>IF(OR(T$4="",$A540&gt;TODAY()),0,IF(OR(INDEX($B540:$D540,T$5)="F",AND(T$6&gt;0,$A540&lt;T$6),AND(T$7&gt;0,$A540&gt;T$7)),0,MAX(0,ROUND((INDEX($E540:$G540,T$5)-SUMIFS(TF_Timer,TF_Tekniker,T$4,TF_Dato,$A540))*2,0)/2)))</f>
        <v/>
      </c>
      <c r="U540">
        <f>IF(OR(U$4="",$A540&gt;TODAY()),0,IF(OR(INDEX($B540:$D540,U$5)="F",AND(U$6&gt;0,$A540&lt;U$6),AND(U$7&gt;0,$A540&gt;U$7)),0,MAX(0,ROUND((INDEX($E540:$G540,U$5)-SUMIFS(TF_Timer,TF_Tekniker,U$4,TF_Dato,$A540))*2,0)/2)))</f>
        <v/>
      </c>
      <c r="V540">
        <f>IF(OR(V$4="",$A540&gt;TODAY()),0,IF(OR(INDEX($B540:$D540,V$5)="F",AND(V$6&gt;0,$A540&lt;V$6),AND(V$7&gt;0,$A540&gt;V$7)),0,MAX(0,ROUND((INDEX($E540:$G540,V$5)-SUMIFS(TF_Timer,TF_Tekniker,V$4,TF_Dato,$A540))*2,0)/2)))</f>
        <v/>
      </c>
      <c r="W540">
        <f>IF(OR(W$4="",$A540&gt;TODAY()),0,IF(OR(INDEX($B540:$D540,W$5)="F",AND(W$6&gt;0,$A540&lt;W$6),AND(W$7&gt;0,$A540&gt;W$7)),0,MAX(0,ROUND((INDEX($E540:$G540,W$5)-SUMIFS(TF_Timer,TF_Tekniker,W$4,TF_Dato,$A540))*2,0)/2)))</f>
        <v/>
      </c>
      <c r="X540">
        <f>IF(OR(X$4="",$A540&gt;TODAY()),0,IF(OR(INDEX($B540:$D540,X$5)="F",AND(X$6&gt;0,$A540&lt;X$6),AND(X$7&gt;0,$A540&gt;X$7)),0,MAX(0,ROUND((INDEX($E540:$G540,X$5)-SUMIFS(TF_Timer,TF_Tekniker,X$4,TF_Dato,$A540))*2,0)/2)))</f>
        <v/>
      </c>
      <c r="Y540">
        <f>IF(OR(Y$4="",$A540&gt;TODAY()),0,IF(OR(INDEX($B540:$D540,Y$5)="F",AND(Y$6&gt;0,$A540&lt;Y$6),AND(Y$7&gt;0,$A540&gt;Y$7)),0,MAX(0,ROUND((INDEX($E540:$G540,Y$5)-SUMIFS(TF_Timer,TF_Tekniker,Y$4,TF_Dato,$A540))*2,0)/2)))</f>
        <v/>
      </c>
      <c r="Z540">
        <f>IF(OR(Z$4="",$A540&gt;TODAY()),0,IF(OR(INDEX($B540:$D540,Z$5)="F",AND(Z$6&gt;0,$A540&lt;Z$6),AND(Z$7&gt;0,$A540&gt;Z$7)),0,MAX(0,ROUND((INDEX($E540:$G540,Z$5)-SUMIFS(TF_Timer,TF_Tekniker,Z$4,TF_Dato,$A540))*2,0)/2)))</f>
        <v/>
      </c>
      <c r="AA540">
        <f>IF(OR(AA$4="",$A540&gt;TODAY()),0,IF(OR(INDEX($B540:$D540,AA$5)="F",AND(AA$6&gt;0,$A540&lt;AA$6),AND(AA$7&gt;0,$A540&gt;AA$7)),0,MAX(0,ROUND((INDEX($E540:$G540,AA$5)-SUMIFS(TF_Timer,TF_Tekniker,AA$4,TF_Dato,$A540))*2,0)/2)))</f>
        <v/>
      </c>
      <c r="AB540">
        <f>IF(OR(AB$4="",$A540&gt;TODAY()),0,IF(OR(INDEX($B540:$D540,AB$5)="F",AND(AB$6&gt;0,$A540&lt;AB$6),AND(AB$7&gt;0,$A540&gt;AB$7)),0,MAX(0,ROUND((INDEX($E540:$G540,AB$5)-SUMIFS(TF_Timer,TF_Tekniker,AB$4,TF_Dato,$A540))*2,0)/2)))</f>
        <v/>
      </c>
      <c r="AC540">
        <f>IF(OR(AC$4="",$A540&gt;TODAY()),0,IF(OR(INDEX($B540:$D540,AC$5)="F",AND(AC$6&gt;0,$A540&lt;AC$6),AND(AC$7&gt;0,$A540&gt;AC$7)),0,MAX(0,ROUND((INDEX($E540:$G540,AC$5)-SUMIFS(TF_Timer,TF_Tekniker,AC$4,TF_Dato,$A540))*2,0)/2)))</f>
        <v/>
      </c>
      <c r="AD540">
        <f>IF(OR(AD$4="",$A540&gt;TODAY()),0,IF(OR(INDEX($B540:$D540,AD$5)="F",AND(AD$6&gt;0,$A540&lt;AD$6),AND(AD$7&gt;0,$A540&gt;AD$7)),0,MAX(0,ROUND((INDEX($E540:$G540,AD$5)-SUMIFS(TF_Timer,TF_Tekniker,AD$4,TF_Dato,$A540))*2,0)/2)))</f>
        <v/>
      </c>
      <c r="AE540">
        <f>IF(OR(AE$4="",$A540&gt;TODAY()),0,IF(OR(INDEX($B540:$D540,AE$5)="F",AND(AE$6&gt;0,$A540&lt;AE$6),AND(AE$7&gt;0,$A540&gt;AE$7)),0,MAX(0,ROUND((INDEX($E540:$G540,AE$5)-SUMIFS(TF_Timer,TF_Tekniker,AE$4,TF_Dato,$A540))*2,0)/2)))</f>
        <v/>
      </c>
      <c r="AF540">
        <f>IF(OR(AF$4="",$A540&gt;TODAY()),0,IF(OR(INDEX($B540:$D540,AF$5)="F",AND(AF$6&gt;0,$A540&lt;AF$6),AND(AF$7&gt;0,$A540&gt;AF$7)),0,MAX(0,ROUND((INDEX($E540:$G540,AF$5)-SUMIFS(TF_Timer,TF_Tekniker,AF$4,TF_Dato,$A540))*2,0)/2)))</f>
        <v/>
      </c>
      <c r="AG540">
        <f>IF(OR(AG$4="",$A540&gt;TODAY()),0,IF(OR(INDEX($B540:$D540,AG$5)="F",AND(AG$6&gt;0,$A540&lt;AG$6),AND(AG$7&gt;0,$A540&gt;AG$7)),0,MAX(0,ROUND((INDEX($E540:$G540,AG$5)-SUMIFS(TF_Timer,TF_Tekniker,AG$4,TF_Dato,$A540))*2,0)/2)))</f>
        <v/>
      </c>
      <c r="AH540">
        <f>IF(OR(AH$4="",$A540&gt;TODAY()),0,IF(OR(INDEX($B540:$D540,AH$5)="F",AND(AH$6&gt;0,$A540&lt;AH$6),AND(AH$7&gt;0,$A540&gt;AH$7)),0,MAX(0,ROUND((INDEX($E540:$G540,AH$5)-SUMIFS(TF_Timer,TF_Tekniker,AH$4,TF_Dato,$A540))*2,0)/2)))</f>
        <v/>
      </c>
      <c r="AI540">
        <f>IF(OR(AI$4="",$A540&gt;TODAY()),0,IF(OR(INDEX($B540:$D540,AI$5)="F",AND(AI$6&gt;0,$A540&lt;AI$6),AND(AI$7&gt;0,$A540&gt;AI$7)),0,MAX(0,ROUND((INDEX($E540:$G540,AI$5)-SUMIFS(TF_Timer,TF_Tekniker,AI$4,TF_Dato,$A540))*2,0)/2)))</f>
        <v/>
      </c>
      <c r="AJ540">
        <f>IF(OR(AJ$4="",$A540&gt;TODAY()),0,IF(OR(INDEX($B540:$D540,AJ$5)="F",AND(AJ$6&gt;0,$A540&lt;AJ$6),AND(AJ$7&gt;0,$A540&gt;AJ$7)),0,MAX(0,ROUND((INDEX($E540:$G540,AJ$5)-SUMIFS(TF_Timer,TF_Tekniker,AJ$4,TF_Dato,$A540))*2,0)/2)))</f>
        <v/>
      </c>
      <c r="AK540">
        <f>IF(OR(AK$4="",$A540&gt;TODAY()),0,IF(OR(INDEX($B540:$D540,AK$5)="F",AND(AK$6&gt;0,$A540&lt;AK$6),AND(AK$7&gt;0,$A540&gt;AK$7)),0,MAX(0,ROUND((INDEX($E540:$G540,AK$5)-SUMIFS(TF_Timer,TF_Tekniker,AK$4,TF_Dato,$A540))*2,0)/2)))</f>
        <v/>
      </c>
      <c r="AL540">
        <f>IF(OR(AL$4="",$A540&gt;TODAY()),0,IF(OR(INDEX($B540:$D540,AL$5)="F",AND(AL$6&gt;0,$A540&lt;AL$6),AND(AL$7&gt;0,$A540&gt;AL$7)),0,MAX(0,ROUND((INDEX($E540:$G540,AL$5)-SUMIFS(TF_Timer,TF_Tekniker,AL$4,TF_Dato,$A540))*2,0)/2)))</f>
        <v/>
      </c>
      <c r="AM540">
        <f>IF(OR(AM$4="",$A540&gt;TODAY()),0,IF(OR(INDEX($B540:$D540,AM$5)="F",AND(AM$6&gt;0,$A540&lt;AM$6),AND(AM$7&gt;0,$A540&gt;AM$7)),0,MAX(0,ROUND((INDEX($E540:$G540,AM$5)-SUMIFS(TF_Timer,TF_Tekniker,AM$4,TF_Dato,$A540))*2,0)/2)))</f>
        <v/>
      </c>
      <c r="AN540">
        <f>IF(OR(AN$4="",$A540&gt;TODAY()),0,IF(OR(INDEX($B540:$D540,AN$5)="F",AND(AN$6&gt;0,$A540&lt;AN$6),AND(AN$7&gt;0,$A540&gt;AN$7)),0,MAX(0,ROUND((INDEX($E540:$G540,AN$5)-SUMIFS(TF_Timer,TF_Tekniker,AN$4,TF_Dato,$A540))*2,0)/2)))</f>
        <v/>
      </c>
      <c r="AO540">
        <f>IF(OR(AO$4="",$A540&gt;TODAY()),0,IF(OR(INDEX($B540:$D540,AO$5)="F",AND(AO$6&gt;0,$A540&lt;AO$6),AND(AO$7&gt;0,$A540&gt;AO$7)),0,MAX(0,ROUND((INDEX($E540:$G540,AO$5)-SUMIFS(TF_Timer,TF_Tekniker,AO$4,TF_Dato,$A540))*2,0)/2)))</f>
        <v/>
      </c>
      <c r="AP540">
        <f>IF(OR(AP$4="",$A540&gt;TODAY()),0,IF(OR(INDEX($B540:$D540,AP$5)="F",AND(AP$6&gt;0,$A540&lt;AP$6),AND(AP$7&gt;0,$A540&gt;AP$7)),0,MAX(0,ROUND((INDEX($E540:$G540,AP$5)-SUMIFS(TF_Timer,TF_Tekniker,AP$4,TF_Dato,$A540))*2,0)/2)))</f>
        <v/>
      </c>
      <c r="AQ540">
        <f>IF(OR(AQ$4="",$A540&gt;TODAY()),0,IF(OR(INDEX($B540:$D540,AQ$5)="F",AND(AQ$6&gt;0,$A540&lt;AQ$6),AND(AQ$7&gt;0,$A540&gt;AQ$7)),0,MAX(0,ROUND((INDEX($E540:$G540,AQ$5)-SUMIFS(TF_Timer,TF_Tekniker,AQ$4,TF_Dato,$A540))*2,0)/2)))</f>
        <v/>
      </c>
      <c r="AR540">
        <f>IF(OR(AR$4="",$A540&gt;TODAY()),0,IF(OR(INDEX($B540:$D540,AR$5)="F",AND(AR$6&gt;0,$A540&lt;AR$6),AND(AR$7&gt;0,$A540&gt;AR$7)),0,MAX(0,ROUND((INDEX($E540:$G540,AR$5)-SUMIFS(TF_Timer,TF_Tekniker,AR$4,TF_Dato,$A540))*2,0)/2)))</f>
        <v/>
      </c>
      <c r="AS540">
        <f>IF(OR(AS$4="",$A540&gt;TODAY()),0,IF(OR(INDEX($B540:$D540,AS$5)="F",AND(AS$6&gt;0,$A540&lt;AS$6),AND(AS$7&gt;0,$A540&gt;AS$7)),0,MAX(0,ROUND((INDEX($E540:$G540,AS$5)-SUMIFS(TF_Timer,TF_Tekniker,AS$4,TF_Dato,$A540))*2,0)/2)))</f>
        <v/>
      </c>
      <c r="AT540">
        <f>IF(OR(AT$4="",$A540&gt;TODAY()),0,IF(OR(INDEX($B540:$D540,AT$5)="F",AND(AT$6&gt;0,$A540&lt;AT$6),AND(AT$7&gt;0,$A540&gt;AT$7)),0,MAX(0,ROUND((INDEX($E540:$G540,AT$5)-SUMIFS(TF_Timer,TF_Tekniker,AT$4,TF_Dato,$A540))*2,0)/2)))</f>
        <v/>
      </c>
      <c r="AU540">
        <f>IF(OR(AU$4="",$A540&gt;TODAY()),0,IF(OR(INDEX($B540:$D540,AU$5)="F",AND(AU$6&gt;0,$A540&lt;AU$6),AND(AU$7&gt;0,$A540&gt;AU$7)),0,MAX(0,ROUND((INDEX($E540:$G540,AU$5)-SUMIFS(TF_Timer,TF_Tekniker,AU$4,TF_Dato,$A540))*2,0)/2)))</f>
        <v/>
      </c>
      <c r="AV540">
        <f>IF(OR(AV$4="",$A540&gt;TODAY()),0,IF(OR(INDEX($B540:$D540,AV$5)="F",AND(AV$6&gt;0,$A540&lt;AV$6),AND(AV$7&gt;0,$A540&gt;AV$7)),0,MAX(0,ROUND((INDEX($E540:$G540,AV$5)-SUMIFS(TF_Timer,TF_Tekniker,AV$4,TF_Dato,$A540))*2,0)/2)))</f>
        <v/>
      </c>
      <c r="AW540">
        <f>IF(OR(AW$4="",$A540&gt;TODAY()),0,IF(OR(INDEX($B540:$D540,AW$5)="F",AND(AW$6&gt;0,$A540&lt;AW$6),AND(AW$7&gt;0,$A540&gt;AW$7)),0,MAX(0,ROUND((INDEX($E540:$G540,AW$5)-SUMIFS(TF_Timer,TF_Tekniker,AW$4,TF_Dato,$A540))*2,0)/2)))</f>
        <v/>
      </c>
      <c r="AX540">
        <f>IF(OR(AX$4="",$A540&gt;TODAY()),0,IF(OR(INDEX($B540:$D540,AX$5)="F",AND(AX$6&gt;0,$A540&lt;AX$6),AND(AX$7&gt;0,$A540&gt;AX$7)),0,MAX(0,ROUND((INDEX($E540:$G540,AX$5)-SUMIFS(TF_Timer,TF_Tekniker,AX$4,TF_Dato,$A540))*2,0)/2)))</f>
        <v/>
      </c>
      <c r="AY540">
        <f>IF(OR(AY$4="",$A540&gt;TODAY()),0,IF(OR(INDEX($B540:$D540,AY$5)="F",AND(AY$6&gt;0,$A540&lt;AY$6),AND(AY$7&gt;0,$A540&gt;AY$7)),0,MAX(0,ROUND((INDEX($E540:$G540,AY$5)-SUMIFS(TF_Timer,TF_Tekniker,AY$4,TF_Dato,$A540))*2,0)/2)))</f>
        <v/>
      </c>
      <c r="AZ540">
        <f>IF(OR(AZ$4="",$A540&gt;TODAY()),0,IF(OR(INDEX($B540:$D540,AZ$5)="F",AND(AZ$6&gt;0,$A540&lt;AZ$6),AND(AZ$7&gt;0,$A540&gt;AZ$7)),0,MAX(0,ROUND((INDEX($E540:$G540,AZ$5)-SUMIFS(TF_Timer,TF_Tekniker,AZ$4,TF_Dato,$A540))*2,0)/2)))</f>
        <v/>
      </c>
      <c r="BA540">
        <f>IF(OR(BA$4="",$A540&gt;TODAY()),0,IF(OR(INDEX($B540:$D540,BA$5)="F",AND(BA$6&gt;0,$A540&lt;BA$6),AND(BA$7&gt;0,$A540&gt;BA$7)),0,MAX(0,ROUND((INDEX($E540:$G540,BA$5)-SUMIFS(TF_Timer,TF_Tekniker,BA$4,TF_Dato,$A540))*2,0)/2)))</f>
        <v/>
      </c>
      <c r="BB540">
        <f>IF(OR(BB$4="",$A540&gt;TODAY()),0,IF(OR(INDEX($B540:$D540,BB$5)="F",AND(BB$6&gt;0,$A540&lt;BB$6),AND(BB$7&gt;0,$A540&gt;BB$7)),0,MAX(0,ROUND((INDEX($E540:$G540,BB$5)-SUMIFS(TF_Timer,TF_Tekniker,BB$4,TF_Dato,$A540))*2,0)/2)))</f>
        <v/>
      </c>
      <c r="BC540">
        <f>IF(OR(BC$4="",$A540&gt;TODAY()),0,IF(OR(INDEX($B540:$D540,BC$5)="F",AND(BC$6&gt;0,$A540&lt;BC$6),AND(BC$7&gt;0,$A540&gt;BC$7)),0,MAX(0,ROUND((INDEX($E540:$G540,BC$5)-SUMIFS(TF_Timer,TF_Tekniker,BC$4,TF_Dato,$A540))*2,0)/2)))</f>
        <v/>
      </c>
      <c r="BD540">
        <f>IF(OR(BD$4="",$A540&gt;TODAY()),0,IF(OR(INDEX($B540:$D540,BD$5)="F",AND(BD$6&gt;0,$A540&lt;BD$6),AND(BD$7&gt;0,$A540&gt;BD$7)),0,MAX(0,ROUND((INDEX($E540:$G540,BD$5)-SUMIFS(TF_Timer,TF_Tekniker,BD$4,TF_Dato,$A540))*2,0)/2)))</f>
        <v/>
      </c>
      <c r="BE540">
        <f>IF(OR(BE$4="",$A540&gt;TODAY()),0,IF(OR(INDEX($B540:$D540,BE$5)="F",AND(BE$6&gt;0,$A540&lt;BE$6),AND(BE$7&gt;0,$A540&gt;BE$7)),0,MAX(0,ROUND((INDEX($E540:$G540,BE$5)-SUMIFS(TF_Timer,TF_Tekniker,BE$4,TF_Dato,$A540))*2,0)/2)))</f>
        <v/>
      </c>
      <c r="BF540">
        <f>IF(OR(BF$4="",$A540&gt;TODAY()),0,IF(OR(INDEX($B540:$D540,BF$5)="F",AND(BF$6&gt;0,$A540&lt;BF$6),AND(BF$7&gt;0,$A540&gt;BF$7)),0,MAX(0,ROUND((INDEX($E540:$G540,BF$5)-SUMIFS(TF_Timer,TF_Tekniker,BF$4,TF_Dato,$A540))*2,0)/2)))</f>
        <v/>
      </c>
      <c r="BG540">
        <f>IF(OR(BG$4="",$A540&gt;TODAY()),0,IF(OR(INDEX($B540:$D540,BG$5)="F",AND(BG$6&gt;0,$A540&lt;BG$6),AND(BG$7&gt;0,$A540&gt;BG$7)),0,MAX(0,ROUND((INDEX($E540:$G540,BG$5)-SUMIFS(TF_Timer,TF_Tekniker,BG$4,TF_Dato,$A540))*2,0)/2)))</f>
        <v/>
      </c>
      <c r="BH540">
        <f>IF(OR(BH$4="",$A540&gt;TODAY()),0,IF(OR(INDEX($B540:$D540,BH$5)="F",AND(BH$6&gt;0,$A540&lt;BH$6),AND(BH$7&gt;0,$A540&gt;BH$7)),0,MAX(0,ROUND((INDEX($E540:$G540,BH$5)-SUMIFS(TF_Timer,TF_Tekniker,BH$4,TF_Dato,$A540))*2,0)/2)))</f>
        <v/>
      </c>
      <c r="BI540">
        <f>IF(OR(BI$4="",$A540&gt;TODAY()),0,IF(OR(INDEX($B540:$D540,BI$5)="F",AND(BI$6&gt;0,$A540&lt;BI$6),AND(BI$7&gt;0,$A540&gt;BI$7)),0,MAX(0,ROUND((INDEX($E540:$G540,BI$5)-SUMIFS(TF_Timer,TF_Tekniker,BI$4,TF_Dato,$A540))*2,0)/2)))</f>
        <v/>
      </c>
    </row>
    <row r="541">
      <c r="A541" s="64">
        <f>A540+1</f>
        <v/>
      </c>
      <c r="B541">
        <f>IF(MOD($A541-INDEX(SkiftStart,1),Syklus)&lt;DagK,"K",IF(MOD($A541-INDEX(SkiftStart,1),Syklus)&lt;DagK+DagH,"H",IF(MOD($A541-INDEX(SkiftStart,1),Syklus)&lt;DagK+DagH+DagD,"D","F")))</f>
        <v/>
      </c>
      <c r="C541">
        <f>IF(MOD($A541-INDEX(SkiftStart,2),Syklus)&lt;DagK,"K",IF(MOD($A541-INDEX(SkiftStart,2),Syklus)&lt;DagK+DagH,"H",IF(MOD($A541-INDEX(SkiftStart,2),Syklus)&lt;DagK+DagH+DagD,"D","F")))</f>
        <v/>
      </c>
      <c r="D541">
        <f>IF(MOD($A541-INDEX(SkiftStart,3),Syklus)&lt;DagK,"K",IF(MOD($A541-INDEX(SkiftStart,3),Syklus)&lt;DagK+DagH,"H",IF(MOD($A541-INDEX(SkiftStart,3),Syklus)&lt;DagK+DagH+DagD,"D","F")))</f>
        <v/>
      </c>
      <c r="E541">
        <f>IF(B541="F",0,IF(WEEKDAY($A541,2)=5,INDEX(TimerFr,MATCH(B541,FaseKode,0)),INDEX(TimerMT,MATCH(B541,FaseKode,0))))</f>
        <v/>
      </c>
      <c r="F541">
        <f>IF(C541="F",0,IF(WEEKDAY($A541,2)=5,INDEX(TimerFr,MATCH(C541,FaseKode,0)),INDEX(TimerMT,MATCH(C541,FaseKode,0))))</f>
        <v/>
      </c>
      <c r="G541">
        <f>IF(D541="F",0,IF(WEEKDAY($A541,2)=5,INDEX(TimerFr,MATCH(D541,FaseKode,0)),INDEX(TimerMT,MATCH(D541,FaseKode,0))))</f>
        <v/>
      </c>
      <c r="H541">
        <f>IF(OR(H$4="",$A541&gt;TODAY()),0,IF(OR(INDEX($B541:$D541,H$5)="F",AND(H$6&gt;0,$A541&lt;H$6),AND(H$7&gt;0,$A541&gt;H$7)),0,MAX(0,ROUND((INDEX($E541:$G541,H$5)-SUMIFS(TF_Timer,TF_Tekniker,H$4,TF_Dato,$A541))*2,0)/2)))</f>
        <v/>
      </c>
      <c r="I541">
        <f>IF(OR(I$4="",$A541&gt;TODAY()),0,IF(OR(INDEX($B541:$D541,I$5)="F",AND(I$6&gt;0,$A541&lt;I$6),AND(I$7&gt;0,$A541&gt;I$7)),0,MAX(0,ROUND((INDEX($E541:$G541,I$5)-SUMIFS(TF_Timer,TF_Tekniker,I$4,TF_Dato,$A541))*2,0)/2)))</f>
        <v/>
      </c>
      <c r="J541">
        <f>IF(OR(J$4="",$A541&gt;TODAY()),0,IF(OR(INDEX($B541:$D541,J$5)="F",AND(J$6&gt;0,$A541&lt;J$6),AND(J$7&gt;0,$A541&gt;J$7)),0,MAX(0,ROUND((INDEX($E541:$G541,J$5)-SUMIFS(TF_Timer,TF_Tekniker,J$4,TF_Dato,$A541))*2,0)/2)))</f>
        <v/>
      </c>
      <c r="K541">
        <f>IF(OR(K$4="",$A541&gt;TODAY()),0,IF(OR(INDEX($B541:$D541,K$5)="F",AND(K$6&gt;0,$A541&lt;K$6),AND(K$7&gt;0,$A541&gt;K$7)),0,MAX(0,ROUND((INDEX($E541:$G541,K$5)-SUMIFS(TF_Timer,TF_Tekniker,K$4,TF_Dato,$A541))*2,0)/2)))</f>
        <v/>
      </c>
      <c r="L541">
        <f>IF(OR(L$4="",$A541&gt;TODAY()),0,IF(OR(INDEX($B541:$D541,L$5)="F",AND(L$6&gt;0,$A541&lt;L$6),AND(L$7&gt;0,$A541&gt;L$7)),0,MAX(0,ROUND((INDEX($E541:$G541,L$5)-SUMIFS(TF_Timer,TF_Tekniker,L$4,TF_Dato,$A541))*2,0)/2)))</f>
        <v/>
      </c>
      <c r="M541">
        <f>IF(OR(M$4="",$A541&gt;TODAY()),0,IF(OR(INDEX($B541:$D541,M$5)="F",AND(M$6&gt;0,$A541&lt;M$6),AND(M$7&gt;0,$A541&gt;M$7)),0,MAX(0,ROUND((INDEX($E541:$G541,M$5)-SUMIFS(TF_Timer,TF_Tekniker,M$4,TF_Dato,$A541))*2,0)/2)))</f>
        <v/>
      </c>
      <c r="N541">
        <f>IF(OR(N$4="",$A541&gt;TODAY()),0,IF(OR(INDEX($B541:$D541,N$5)="F",AND(N$6&gt;0,$A541&lt;N$6),AND(N$7&gt;0,$A541&gt;N$7)),0,MAX(0,ROUND((INDEX($E541:$G541,N$5)-SUMIFS(TF_Timer,TF_Tekniker,N$4,TF_Dato,$A541))*2,0)/2)))</f>
        <v/>
      </c>
      <c r="O541">
        <f>IF(OR(O$4="",$A541&gt;TODAY()),0,IF(OR(INDEX($B541:$D541,O$5)="F",AND(O$6&gt;0,$A541&lt;O$6),AND(O$7&gt;0,$A541&gt;O$7)),0,MAX(0,ROUND((INDEX($E541:$G541,O$5)-SUMIFS(TF_Timer,TF_Tekniker,O$4,TF_Dato,$A541))*2,0)/2)))</f>
        <v/>
      </c>
      <c r="P541">
        <f>IF(OR(P$4="",$A541&gt;TODAY()),0,IF(OR(INDEX($B541:$D541,P$5)="F",AND(P$6&gt;0,$A541&lt;P$6),AND(P$7&gt;0,$A541&gt;P$7)),0,MAX(0,ROUND((INDEX($E541:$G541,P$5)-SUMIFS(TF_Timer,TF_Tekniker,P$4,TF_Dato,$A541))*2,0)/2)))</f>
        <v/>
      </c>
      <c r="Q541">
        <f>IF(OR(Q$4="",$A541&gt;TODAY()),0,IF(OR(INDEX($B541:$D541,Q$5)="F",AND(Q$6&gt;0,$A541&lt;Q$6),AND(Q$7&gt;0,$A541&gt;Q$7)),0,MAX(0,ROUND((INDEX($E541:$G541,Q$5)-SUMIFS(TF_Timer,TF_Tekniker,Q$4,TF_Dato,$A541))*2,0)/2)))</f>
        <v/>
      </c>
      <c r="R541">
        <f>IF(OR(R$4="",$A541&gt;TODAY()),0,IF(OR(INDEX($B541:$D541,R$5)="F",AND(R$6&gt;0,$A541&lt;R$6),AND(R$7&gt;0,$A541&gt;R$7)),0,MAX(0,ROUND((INDEX($E541:$G541,R$5)-SUMIFS(TF_Timer,TF_Tekniker,R$4,TF_Dato,$A541))*2,0)/2)))</f>
        <v/>
      </c>
      <c r="S541">
        <f>IF(OR(S$4="",$A541&gt;TODAY()),0,IF(OR(INDEX($B541:$D541,S$5)="F",AND(S$6&gt;0,$A541&lt;S$6),AND(S$7&gt;0,$A541&gt;S$7)),0,MAX(0,ROUND((INDEX($E541:$G541,S$5)-SUMIFS(TF_Timer,TF_Tekniker,S$4,TF_Dato,$A541))*2,0)/2)))</f>
        <v/>
      </c>
      <c r="T541">
        <f>IF(OR(T$4="",$A541&gt;TODAY()),0,IF(OR(INDEX($B541:$D541,T$5)="F",AND(T$6&gt;0,$A541&lt;T$6),AND(T$7&gt;0,$A541&gt;T$7)),0,MAX(0,ROUND((INDEX($E541:$G541,T$5)-SUMIFS(TF_Timer,TF_Tekniker,T$4,TF_Dato,$A541))*2,0)/2)))</f>
        <v/>
      </c>
      <c r="U541">
        <f>IF(OR(U$4="",$A541&gt;TODAY()),0,IF(OR(INDEX($B541:$D541,U$5)="F",AND(U$6&gt;0,$A541&lt;U$6),AND(U$7&gt;0,$A541&gt;U$7)),0,MAX(0,ROUND((INDEX($E541:$G541,U$5)-SUMIFS(TF_Timer,TF_Tekniker,U$4,TF_Dato,$A541))*2,0)/2)))</f>
        <v/>
      </c>
      <c r="V541">
        <f>IF(OR(V$4="",$A541&gt;TODAY()),0,IF(OR(INDEX($B541:$D541,V$5)="F",AND(V$6&gt;0,$A541&lt;V$6),AND(V$7&gt;0,$A541&gt;V$7)),0,MAX(0,ROUND((INDEX($E541:$G541,V$5)-SUMIFS(TF_Timer,TF_Tekniker,V$4,TF_Dato,$A541))*2,0)/2)))</f>
        <v/>
      </c>
      <c r="W541">
        <f>IF(OR(W$4="",$A541&gt;TODAY()),0,IF(OR(INDEX($B541:$D541,W$5)="F",AND(W$6&gt;0,$A541&lt;W$6),AND(W$7&gt;0,$A541&gt;W$7)),0,MAX(0,ROUND((INDEX($E541:$G541,W$5)-SUMIFS(TF_Timer,TF_Tekniker,W$4,TF_Dato,$A541))*2,0)/2)))</f>
        <v/>
      </c>
      <c r="X541">
        <f>IF(OR(X$4="",$A541&gt;TODAY()),0,IF(OR(INDEX($B541:$D541,X$5)="F",AND(X$6&gt;0,$A541&lt;X$6),AND(X$7&gt;0,$A541&gt;X$7)),0,MAX(0,ROUND((INDEX($E541:$G541,X$5)-SUMIFS(TF_Timer,TF_Tekniker,X$4,TF_Dato,$A541))*2,0)/2)))</f>
        <v/>
      </c>
      <c r="Y541">
        <f>IF(OR(Y$4="",$A541&gt;TODAY()),0,IF(OR(INDEX($B541:$D541,Y$5)="F",AND(Y$6&gt;0,$A541&lt;Y$6),AND(Y$7&gt;0,$A541&gt;Y$7)),0,MAX(0,ROUND((INDEX($E541:$G541,Y$5)-SUMIFS(TF_Timer,TF_Tekniker,Y$4,TF_Dato,$A541))*2,0)/2)))</f>
        <v/>
      </c>
      <c r="Z541">
        <f>IF(OR(Z$4="",$A541&gt;TODAY()),0,IF(OR(INDEX($B541:$D541,Z$5)="F",AND(Z$6&gt;0,$A541&lt;Z$6),AND(Z$7&gt;0,$A541&gt;Z$7)),0,MAX(0,ROUND((INDEX($E541:$G541,Z$5)-SUMIFS(TF_Timer,TF_Tekniker,Z$4,TF_Dato,$A541))*2,0)/2)))</f>
        <v/>
      </c>
      <c r="AA541">
        <f>IF(OR(AA$4="",$A541&gt;TODAY()),0,IF(OR(INDEX($B541:$D541,AA$5)="F",AND(AA$6&gt;0,$A541&lt;AA$6),AND(AA$7&gt;0,$A541&gt;AA$7)),0,MAX(0,ROUND((INDEX($E541:$G541,AA$5)-SUMIFS(TF_Timer,TF_Tekniker,AA$4,TF_Dato,$A541))*2,0)/2)))</f>
        <v/>
      </c>
      <c r="AB541">
        <f>IF(OR(AB$4="",$A541&gt;TODAY()),0,IF(OR(INDEX($B541:$D541,AB$5)="F",AND(AB$6&gt;0,$A541&lt;AB$6),AND(AB$7&gt;0,$A541&gt;AB$7)),0,MAX(0,ROUND((INDEX($E541:$G541,AB$5)-SUMIFS(TF_Timer,TF_Tekniker,AB$4,TF_Dato,$A541))*2,0)/2)))</f>
        <v/>
      </c>
      <c r="AC541">
        <f>IF(OR(AC$4="",$A541&gt;TODAY()),0,IF(OR(INDEX($B541:$D541,AC$5)="F",AND(AC$6&gt;0,$A541&lt;AC$6),AND(AC$7&gt;0,$A541&gt;AC$7)),0,MAX(0,ROUND((INDEX($E541:$G541,AC$5)-SUMIFS(TF_Timer,TF_Tekniker,AC$4,TF_Dato,$A541))*2,0)/2)))</f>
        <v/>
      </c>
      <c r="AD541">
        <f>IF(OR(AD$4="",$A541&gt;TODAY()),0,IF(OR(INDEX($B541:$D541,AD$5)="F",AND(AD$6&gt;0,$A541&lt;AD$6),AND(AD$7&gt;0,$A541&gt;AD$7)),0,MAX(0,ROUND((INDEX($E541:$G541,AD$5)-SUMIFS(TF_Timer,TF_Tekniker,AD$4,TF_Dato,$A541))*2,0)/2)))</f>
        <v/>
      </c>
      <c r="AE541">
        <f>IF(OR(AE$4="",$A541&gt;TODAY()),0,IF(OR(INDEX($B541:$D541,AE$5)="F",AND(AE$6&gt;0,$A541&lt;AE$6),AND(AE$7&gt;0,$A541&gt;AE$7)),0,MAX(0,ROUND((INDEX($E541:$G541,AE$5)-SUMIFS(TF_Timer,TF_Tekniker,AE$4,TF_Dato,$A541))*2,0)/2)))</f>
        <v/>
      </c>
      <c r="AF541">
        <f>IF(OR(AF$4="",$A541&gt;TODAY()),0,IF(OR(INDEX($B541:$D541,AF$5)="F",AND(AF$6&gt;0,$A541&lt;AF$6),AND(AF$7&gt;0,$A541&gt;AF$7)),0,MAX(0,ROUND((INDEX($E541:$G541,AF$5)-SUMIFS(TF_Timer,TF_Tekniker,AF$4,TF_Dato,$A541))*2,0)/2)))</f>
        <v/>
      </c>
      <c r="AG541">
        <f>IF(OR(AG$4="",$A541&gt;TODAY()),0,IF(OR(INDEX($B541:$D541,AG$5)="F",AND(AG$6&gt;0,$A541&lt;AG$6),AND(AG$7&gt;0,$A541&gt;AG$7)),0,MAX(0,ROUND((INDEX($E541:$G541,AG$5)-SUMIFS(TF_Timer,TF_Tekniker,AG$4,TF_Dato,$A541))*2,0)/2)))</f>
        <v/>
      </c>
      <c r="AH541">
        <f>IF(OR(AH$4="",$A541&gt;TODAY()),0,IF(OR(INDEX($B541:$D541,AH$5)="F",AND(AH$6&gt;0,$A541&lt;AH$6),AND(AH$7&gt;0,$A541&gt;AH$7)),0,MAX(0,ROUND((INDEX($E541:$G541,AH$5)-SUMIFS(TF_Timer,TF_Tekniker,AH$4,TF_Dato,$A541))*2,0)/2)))</f>
        <v/>
      </c>
      <c r="AI541">
        <f>IF(OR(AI$4="",$A541&gt;TODAY()),0,IF(OR(INDEX($B541:$D541,AI$5)="F",AND(AI$6&gt;0,$A541&lt;AI$6),AND(AI$7&gt;0,$A541&gt;AI$7)),0,MAX(0,ROUND((INDEX($E541:$G541,AI$5)-SUMIFS(TF_Timer,TF_Tekniker,AI$4,TF_Dato,$A541))*2,0)/2)))</f>
        <v/>
      </c>
      <c r="AJ541">
        <f>IF(OR(AJ$4="",$A541&gt;TODAY()),0,IF(OR(INDEX($B541:$D541,AJ$5)="F",AND(AJ$6&gt;0,$A541&lt;AJ$6),AND(AJ$7&gt;0,$A541&gt;AJ$7)),0,MAX(0,ROUND((INDEX($E541:$G541,AJ$5)-SUMIFS(TF_Timer,TF_Tekniker,AJ$4,TF_Dato,$A541))*2,0)/2)))</f>
        <v/>
      </c>
      <c r="AK541">
        <f>IF(OR(AK$4="",$A541&gt;TODAY()),0,IF(OR(INDEX($B541:$D541,AK$5)="F",AND(AK$6&gt;0,$A541&lt;AK$6),AND(AK$7&gt;0,$A541&gt;AK$7)),0,MAX(0,ROUND((INDEX($E541:$G541,AK$5)-SUMIFS(TF_Timer,TF_Tekniker,AK$4,TF_Dato,$A541))*2,0)/2)))</f>
        <v/>
      </c>
      <c r="AL541">
        <f>IF(OR(AL$4="",$A541&gt;TODAY()),0,IF(OR(INDEX($B541:$D541,AL$5)="F",AND(AL$6&gt;0,$A541&lt;AL$6),AND(AL$7&gt;0,$A541&gt;AL$7)),0,MAX(0,ROUND((INDEX($E541:$G541,AL$5)-SUMIFS(TF_Timer,TF_Tekniker,AL$4,TF_Dato,$A541))*2,0)/2)))</f>
        <v/>
      </c>
      <c r="AM541">
        <f>IF(OR(AM$4="",$A541&gt;TODAY()),0,IF(OR(INDEX($B541:$D541,AM$5)="F",AND(AM$6&gt;0,$A541&lt;AM$6),AND(AM$7&gt;0,$A541&gt;AM$7)),0,MAX(0,ROUND((INDEX($E541:$G541,AM$5)-SUMIFS(TF_Timer,TF_Tekniker,AM$4,TF_Dato,$A541))*2,0)/2)))</f>
        <v/>
      </c>
      <c r="AN541">
        <f>IF(OR(AN$4="",$A541&gt;TODAY()),0,IF(OR(INDEX($B541:$D541,AN$5)="F",AND(AN$6&gt;0,$A541&lt;AN$6),AND(AN$7&gt;0,$A541&gt;AN$7)),0,MAX(0,ROUND((INDEX($E541:$G541,AN$5)-SUMIFS(TF_Timer,TF_Tekniker,AN$4,TF_Dato,$A541))*2,0)/2)))</f>
        <v/>
      </c>
      <c r="AO541">
        <f>IF(OR(AO$4="",$A541&gt;TODAY()),0,IF(OR(INDEX($B541:$D541,AO$5)="F",AND(AO$6&gt;0,$A541&lt;AO$6),AND(AO$7&gt;0,$A541&gt;AO$7)),0,MAX(0,ROUND((INDEX($E541:$G541,AO$5)-SUMIFS(TF_Timer,TF_Tekniker,AO$4,TF_Dato,$A541))*2,0)/2)))</f>
        <v/>
      </c>
      <c r="AP541">
        <f>IF(OR(AP$4="",$A541&gt;TODAY()),0,IF(OR(INDEX($B541:$D541,AP$5)="F",AND(AP$6&gt;0,$A541&lt;AP$6),AND(AP$7&gt;0,$A541&gt;AP$7)),0,MAX(0,ROUND((INDEX($E541:$G541,AP$5)-SUMIFS(TF_Timer,TF_Tekniker,AP$4,TF_Dato,$A541))*2,0)/2)))</f>
        <v/>
      </c>
      <c r="AQ541">
        <f>IF(OR(AQ$4="",$A541&gt;TODAY()),0,IF(OR(INDEX($B541:$D541,AQ$5)="F",AND(AQ$6&gt;0,$A541&lt;AQ$6),AND(AQ$7&gt;0,$A541&gt;AQ$7)),0,MAX(0,ROUND((INDEX($E541:$G541,AQ$5)-SUMIFS(TF_Timer,TF_Tekniker,AQ$4,TF_Dato,$A541))*2,0)/2)))</f>
        <v/>
      </c>
      <c r="AR541">
        <f>IF(OR(AR$4="",$A541&gt;TODAY()),0,IF(OR(INDEX($B541:$D541,AR$5)="F",AND(AR$6&gt;0,$A541&lt;AR$6),AND(AR$7&gt;0,$A541&gt;AR$7)),0,MAX(0,ROUND((INDEX($E541:$G541,AR$5)-SUMIFS(TF_Timer,TF_Tekniker,AR$4,TF_Dato,$A541))*2,0)/2)))</f>
        <v/>
      </c>
      <c r="AS541">
        <f>IF(OR(AS$4="",$A541&gt;TODAY()),0,IF(OR(INDEX($B541:$D541,AS$5)="F",AND(AS$6&gt;0,$A541&lt;AS$6),AND(AS$7&gt;0,$A541&gt;AS$7)),0,MAX(0,ROUND((INDEX($E541:$G541,AS$5)-SUMIFS(TF_Timer,TF_Tekniker,AS$4,TF_Dato,$A541))*2,0)/2)))</f>
        <v/>
      </c>
      <c r="AT541">
        <f>IF(OR(AT$4="",$A541&gt;TODAY()),0,IF(OR(INDEX($B541:$D541,AT$5)="F",AND(AT$6&gt;0,$A541&lt;AT$6),AND(AT$7&gt;0,$A541&gt;AT$7)),0,MAX(0,ROUND((INDEX($E541:$G541,AT$5)-SUMIFS(TF_Timer,TF_Tekniker,AT$4,TF_Dato,$A541))*2,0)/2)))</f>
        <v/>
      </c>
      <c r="AU541">
        <f>IF(OR(AU$4="",$A541&gt;TODAY()),0,IF(OR(INDEX($B541:$D541,AU$5)="F",AND(AU$6&gt;0,$A541&lt;AU$6),AND(AU$7&gt;0,$A541&gt;AU$7)),0,MAX(0,ROUND((INDEX($E541:$G541,AU$5)-SUMIFS(TF_Timer,TF_Tekniker,AU$4,TF_Dato,$A541))*2,0)/2)))</f>
        <v/>
      </c>
      <c r="AV541">
        <f>IF(OR(AV$4="",$A541&gt;TODAY()),0,IF(OR(INDEX($B541:$D541,AV$5)="F",AND(AV$6&gt;0,$A541&lt;AV$6),AND(AV$7&gt;0,$A541&gt;AV$7)),0,MAX(0,ROUND((INDEX($E541:$G541,AV$5)-SUMIFS(TF_Timer,TF_Tekniker,AV$4,TF_Dato,$A541))*2,0)/2)))</f>
        <v/>
      </c>
      <c r="AW541">
        <f>IF(OR(AW$4="",$A541&gt;TODAY()),0,IF(OR(INDEX($B541:$D541,AW$5)="F",AND(AW$6&gt;0,$A541&lt;AW$6),AND(AW$7&gt;0,$A541&gt;AW$7)),0,MAX(0,ROUND((INDEX($E541:$G541,AW$5)-SUMIFS(TF_Timer,TF_Tekniker,AW$4,TF_Dato,$A541))*2,0)/2)))</f>
        <v/>
      </c>
      <c r="AX541">
        <f>IF(OR(AX$4="",$A541&gt;TODAY()),0,IF(OR(INDEX($B541:$D541,AX$5)="F",AND(AX$6&gt;0,$A541&lt;AX$6),AND(AX$7&gt;0,$A541&gt;AX$7)),0,MAX(0,ROUND((INDEX($E541:$G541,AX$5)-SUMIFS(TF_Timer,TF_Tekniker,AX$4,TF_Dato,$A541))*2,0)/2)))</f>
        <v/>
      </c>
      <c r="AY541">
        <f>IF(OR(AY$4="",$A541&gt;TODAY()),0,IF(OR(INDEX($B541:$D541,AY$5)="F",AND(AY$6&gt;0,$A541&lt;AY$6),AND(AY$7&gt;0,$A541&gt;AY$7)),0,MAX(0,ROUND((INDEX($E541:$G541,AY$5)-SUMIFS(TF_Timer,TF_Tekniker,AY$4,TF_Dato,$A541))*2,0)/2)))</f>
        <v/>
      </c>
      <c r="AZ541">
        <f>IF(OR(AZ$4="",$A541&gt;TODAY()),0,IF(OR(INDEX($B541:$D541,AZ$5)="F",AND(AZ$6&gt;0,$A541&lt;AZ$6),AND(AZ$7&gt;0,$A541&gt;AZ$7)),0,MAX(0,ROUND((INDEX($E541:$G541,AZ$5)-SUMIFS(TF_Timer,TF_Tekniker,AZ$4,TF_Dato,$A541))*2,0)/2)))</f>
        <v/>
      </c>
      <c r="BA541">
        <f>IF(OR(BA$4="",$A541&gt;TODAY()),0,IF(OR(INDEX($B541:$D541,BA$5)="F",AND(BA$6&gt;0,$A541&lt;BA$6),AND(BA$7&gt;0,$A541&gt;BA$7)),0,MAX(0,ROUND((INDEX($E541:$G541,BA$5)-SUMIFS(TF_Timer,TF_Tekniker,BA$4,TF_Dato,$A541))*2,0)/2)))</f>
        <v/>
      </c>
      <c r="BB541">
        <f>IF(OR(BB$4="",$A541&gt;TODAY()),0,IF(OR(INDEX($B541:$D541,BB$5)="F",AND(BB$6&gt;0,$A541&lt;BB$6),AND(BB$7&gt;0,$A541&gt;BB$7)),0,MAX(0,ROUND((INDEX($E541:$G541,BB$5)-SUMIFS(TF_Timer,TF_Tekniker,BB$4,TF_Dato,$A541))*2,0)/2)))</f>
        <v/>
      </c>
      <c r="BC541">
        <f>IF(OR(BC$4="",$A541&gt;TODAY()),0,IF(OR(INDEX($B541:$D541,BC$5)="F",AND(BC$6&gt;0,$A541&lt;BC$6),AND(BC$7&gt;0,$A541&gt;BC$7)),0,MAX(0,ROUND((INDEX($E541:$G541,BC$5)-SUMIFS(TF_Timer,TF_Tekniker,BC$4,TF_Dato,$A541))*2,0)/2)))</f>
        <v/>
      </c>
      <c r="BD541">
        <f>IF(OR(BD$4="",$A541&gt;TODAY()),0,IF(OR(INDEX($B541:$D541,BD$5)="F",AND(BD$6&gt;0,$A541&lt;BD$6),AND(BD$7&gt;0,$A541&gt;BD$7)),0,MAX(0,ROUND((INDEX($E541:$G541,BD$5)-SUMIFS(TF_Timer,TF_Tekniker,BD$4,TF_Dato,$A541))*2,0)/2)))</f>
        <v/>
      </c>
      <c r="BE541">
        <f>IF(OR(BE$4="",$A541&gt;TODAY()),0,IF(OR(INDEX($B541:$D541,BE$5)="F",AND(BE$6&gt;0,$A541&lt;BE$6),AND(BE$7&gt;0,$A541&gt;BE$7)),0,MAX(0,ROUND((INDEX($E541:$G541,BE$5)-SUMIFS(TF_Timer,TF_Tekniker,BE$4,TF_Dato,$A541))*2,0)/2)))</f>
        <v/>
      </c>
      <c r="BF541">
        <f>IF(OR(BF$4="",$A541&gt;TODAY()),0,IF(OR(INDEX($B541:$D541,BF$5)="F",AND(BF$6&gt;0,$A541&lt;BF$6),AND(BF$7&gt;0,$A541&gt;BF$7)),0,MAX(0,ROUND((INDEX($E541:$G541,BF$5)-SUMIFS(TF_Timer,TF_Tekniker,BF$4,TF_Dato,$A541))*2,0)/2)))</f>
        <v/>
      </c>
      <c r="BG541">
        <f>IF(OR(BG$4="",$A541&gt;TODAY()),0,IF(OR(INDEX($B541:$D541,BG$5)="F",AND(BG$6&gt;0,$A541&lt;BG$6),AND(BG$7&gt;0,$A541&gt;BG$7)),0,MAX(0,ROUND((INDEX($E541:$G541,BG$5)-SUMIFS(TF_Timer,TF_Tekniker,BG$4,TF_Dato,$A541))*2,0)/2)))</f>
        <v/>
      </c>
      <c r="BH541">
        <f>IF(OR(BH$4="",$A541&gt;TODAY()),0,IF(OR(INDEX($B541:$D541,BH$5)="F",AND(BH$6&gt;0,$A541&lt;BH$6),AND(BH$7&gt;0,$A541&gt;BH$7)),0,MAX(0,ROUND((INDEX($E541:$G541,BH$5)-SUMIFS(TF_Timer,TF_Tekniker,BH$4,TF_Dato,$A541))*2,0)/2)))</f>
        <v/>
      </c>
      <c r="BI541">
        <f>IF(OR(BI$4="",$A541&gt;TODAY()),0,IF(OR(INDEX($B541:$D541,BI$5)="F",AND(BI$6&gt;0,$A541&lt;BI$6),AND(BI$7&gt;0,$A541&gt;BI$7)),0,MAX(0,ROUND((INDEX($E541:$G541,BI$5)-SUMIFS(TF_Timer,TF_Tekniker,BI$4,TF_Dato,$A541))*2,0)/2)))</f>
        <v/>
      </c>
    </row>
    <row r="542">
      <c r="A542" s="64">
        <f>A541+1</f>
        <v/>
      </c>
      <c r="B542">
        <f>IF(MOD($A542-INDEX(SkiftStart,1),Syklus)&lt;DagK,"K",IF(MOD($A542-INDEX(SkiftStart,1),Syklus)&lt;DagK+DagH,"H",IF(MOD($A542-INDEX(SkiftStart,1),Syklus)&lt;DagK+DagH+DagD,"D","F")))</f>
        <v/>
      </c>
      <c r="C542">
        <f>IF(MOD($A542-INDEX(SkiftStart,2),Syklus)&lt;DagK,"K",IF(MOD($A542-INDEX(SkiftStart,2),Syklus)&lt;DagK+DagH,"H",IF(MOD($A542-INDEX(SkiftStart,2),Syklus)&lt;DagK+DagH+DagD,"D","F")))</f>
        <v/>
      </c>
      <c r="D542">
        <f>IF(MOD($A542-INDEX(SkiftStart,3),Syklus)&lt;DagK,"K",IF(MOD($A542-INDEX(SkiftStart,3),Syklus)&lt;DagK+DagH,"H",IF(MOD($A542-INDEX(SkiftStart,3),Syklus)&lt;DagK+DagH+DagD,"D","F")))</f>
        <v/>
      </c>
      <c r="E542">
        <f>IF(B542="F",0,IF(WEEKDAY($A542,2)=5,INDEX(TimerFr,MATCH(B542,FaseKode,0)),INDEX(TimerMT,MATCH(B542,FaseKode,0))))</f>
        <v/>
      </c>
      <c r="F542">
        <f>IF(C542="F",0,IF(WEEKDAY($A542,2)=5,INDEX(TimerFr,MATCH(C542,FaseKode,0)),INDEX(TimerMT,MATCH(C542,FaseKode,0))))</f>
        <v/>
      </c>
      <c r="G542">
        <f>IF(D542="F",0,IF(WEEKDAY($A542,2)=5,INDEX(TimerFr,MATCH(D542,FaseKode,0)),INDEX(TimerMT,MATCH(D542,FaseKode,0))))</f>
        <v/>
      </c>
      <c r="H542">
        <f>IF(OR(H$4="",$A542&gt;TODAY()),0,IF(OR(INDEX($B542:$D542,H$5)="F",AND(H$6&gt;0,$A542&lt;H$6),AND(H$7&gt;0,$A542&gt;H$7)),0,MAX(0,ROUND((INDEX($E542:$G542,H$5)-SUMIFS(TF_Timer,TF_Tekniker,H$4,TF_Dato,$A542))*2,0)/2)))</f>
        <v/>
      </c>
      <c r="I542">
        <f>IF(OR(I$4="",$A542&gt;TODAY()),0,IF(OR(INDEX($B542:$D542,I$5)="F",AND(I$6&gt;0,$A542&lt;I$6),AND(I$7&gt;0,$A542&gt;I$7)),0,MAX(0,ROUND((INDEX($E542:$G542,I$5)-SUMIFS(TF_Timer,TF_Tekniker,I$4,TF_Dato,$A542))*2,0)/2)))</f>
        <v/>
      </c>
      <c r="J542">
        <f>IF(OR(J$4="",$A542&gt;TODAY()),0,IF(OR(INDEX($B542:$D542,J$5)="F",AND(J$6&gt;0,$A542&lt;J$6),AND(J$7&gt;0,$A542&gt;J$7)),0,MAX(0,ROUND((INDEX($E542:$G542,J$5)-SUMIFS(TF_Timer,TF_Tekniker,J$4,TF_Dato,$A542))*2,0)/2)))</f>
        <v/>
      </c>
      <c r="K542">
        <f>IF(OR(K$4="",$A542&gt;TODAY()),0,IF(OR(INDEX($B542:$D542,K$5)="F",AND(K$6&gt;0,$A542&lt;K$6),AND(K$7&gt;0,$A542&gt;K$7)),0,MAX(0,ROUND((INDEX($E542:$G542,K$5)-SUMIFS(TF_Timer,TF_Tekniker,K$4,TF_Dato,$A542))*2,0)/2)))</f>
        <v/>
      </c>
      <c r="L542">
        <f>IF(OR(L$4="",$A542&gt;TODAY()),0,IF(OR(INDEX($B542:$D542,L$5)="F",AND(L$6&gt;0,$A542&lt;L$6),AND(L$7&gt;0,$A542&gt;L$7)),0,MAX(0,ROUND((INDEX($E542:$G542,L$5)-SUMIFS(TF_Timer,TF_Tekniker,L$4,TF_Dato,$A542))*2,0)/2)))</f>
        <v/>
      </c>
      <c r="M542">
        <f>IF(OR(M$4="",$A542&gt;TODAY()),0,IF(OR(INDEX($B542:$D542,M$5)="F",AND(M$6&gt;0,$A542&lt;M$6),AND(M$7&gt;0,$A542&gt;M$7)),0,MAX(0,ROUND((INDEX($E542:$G542,M$5)-SUMIFS(TF_Timer,TF_Tekniker,M$4,TF_Dato,$A542))*2,0)/2)))</f>
        <v/>
      </c>
      <c r="N542">
        <f>IF(OR(N$4="",$A542&gt;TODAY()),0,IF(OR(INDEX($B542:$D542,N$5)="F",AND(N$6&gt;0,$A542&lt;N$6),AND(N$7&gt;0,$A542&gt;N$7)),0,MAX(0,ROUND((INDEX($E542:$G542,N$5)-SUMIFS(TF_Timer,TF_Tekniker,N$4,TF_Dato,$A542))*2,0)/2)))</f>
        <v/>
      </c>
      <c r="O542">
        <f>IF(OR(O$4="",$A542&gt;TODAY()),0,IF(OR(INDEX($B542:$D542,O$5)="F",AND(O$6&gt;0,$A542&lt;O$6),AND(O$7&gt;0,$A542&gt;O$7)),0,MAX(0,ROUND((INDEX($E542:$G542,O$5)-SUMIFS(TF_Timer,TF_Tekniker,O$4,TF_Dato,$A542))*2,0)/2)))</f>
        <v/>
      </c>
      <c r="P542">
        <f>IF(OR(P$4="",$A542&gt;TODAY()),0,IF(OR(INDEX($B542:$D542,P$5)="F",AND(P$6&gt;0,$A542&lt;P$6),AND(P$7&gt;0,$A542&gt;P$7)),0,MAX(0,ROUND((INDEX($E542:$G542,P$5)-SUMIFS(TF_Timer,TF_Tekniker,P$4,TF_Dato,$A542))*2,0)/2)))</f>
        <v/>
      </c>
      <c r="Q542">
        <f>IF(OR(Q$4="",$A542&gt;TODAY()),0,IF(OR(INDEX($B542:$D542,Q$5)="F",AND(Q$6&gt;0,$A542&lt;Q$6),AND(Q$7&gt;0,$A542&gt;Q$7)),0,MAX(0,ROUND((INDEX($E542:$G542,Q$5)-SUMIFS(TF_Timer,TF_Tekniker,Q$4,TF_Dato,$A542))*2,0)/2)))</f>
        <v/>
      </c>
      <c r="R542">
        <f>IF(OR(R$4="",$A542&gt;TODAY()),0,IF(OR(INDEX($B542:$D542,R$5)="F",AND(R$6&gt;0,$A542&lt;R$6),AND(R$7&gt;0,$A542&gt;R$7)),0,MAX(0,ROUND((INDEX($E542:$G542,R$5)-SUMIFS(TF_Timer,TF_Tekniker,R$4,TF_Dato,$A542))*2,0)/2)))</f>
        <v/>
      </c>
      <c r="S542">
        <f>IF(OR(S$4="",$A542&gt;TODAY()),0,IF(OR(INDEX($B542:$D542,S$5)="F",AND(S$6&gt;0,$A542&lt;S$6),AND(S$7&gt;0,$A542&gt;S$7)),0,MAX(0,ROUND((INDEX($E542:$G542,S$5)-SUMIFS(TF_Timer,TF_Tekniker,S$4,TF_Dato,$A542))*2,0)/2)))</f>
        <v/>
      </c>
      <c r="T542">
        <f>IF(OR(T$4="",$A542&gt;TODAY()),0,IF(OR(INDEX($B542:$D542,T$5)="F",AND(T$6&gt;0,$A542&lt;T$6),AND(T$7&gt;0,$A542&gt;T$7)),0,MAX(0,ROUND((INDEX($E542:$G542,T$5)-SUMIFS(TF_Timer,TF_Tekniker,T$4,TF_Dato,$A542))*2,0)/2)))</f>
        <v/>
      </c>
      <c r="U542">
        <f>IF(OR(U$4="",$A542&gt;TODAY()),0,IF(OR(INDEX($B542:$D542,U$5)="F",AND(U$6&gt;0,$A542&lt;U$6),AND(U$7&gt;0,$A542&gt;U$7)),0,MAX(0,ROUND((INDEX($E542:$G542,U$5)-SUMIFS(TF_Timer,TF_Tekniker,U$4,TF_Dato,$A542))*2,0)/2)))</f>
        <v/>
      </c>
      <c r="V542">
        <f>IF(OR(V$4="",$A542&gt;TODAY()),0,IF(OR(INDEX($B542:$D542,V$5)="F",AND(V$6&gt;0,$A542&lt;V$6),AND(V$7&gt;0,$A542&gt;V$7)),0,MAX(0,ROUND((INDEX($E542:$G542,V$5)-SUMIFS(TF_Timer,TF_Tekniker,V$4,TF_Dato,$A542))*2,0)/2)))</f>
        <v/>
      </c>
      <c r="W542">
        <f>IF(OR(W$4="",$A542&gt;TODAY()),0,IF(OR(INDEX($B542:$D542,W$5)="F",AND(W$6&gt;0,$A542&lt;W$6),AND(W$7&gt;0,$A542&gt;W$7)),0,MAX(0,ROUND((INDEX($E542:$G542,W$5)-SUMIFS(TF_Timer,TF_Tekniker,W$4,TF_Dato,$A542))*2,0)/2)))</f>
        <v/>
      </c>
      <c r="X542">
        <f>IF(OR(X$4="",$A542&gt;TODAY()),0,IF(OR(INDEX($B542:$D542,X$5)="F",AND(X$6&gt;0,$A542&lt;X$6),AND(X$7&gt;0,$A542&gt;X$7)),0,MAX(0,ROUND((INDEX($E542:$G542,X$5)-SUMIFS(TF_Timer,TF_Tekniker,X$4,TF_Dato,$A542))*2,0)/2)))</f>
        <v/>
      </c>
      <c r="Y542">
        <f>IF(OR(Y$4="",$A542&gt;TODAY()),0,IF(OR(INDEX($B542:$D542,Y$5)="F",AND(Y$6&gt;0,$A542&lt;Y$6),AND(Y$7&gt;0,$A542&gt;Y$7)),0,MAX(0,ROUND((INDEX($E542:$G542,Y$5)-SUMIFS(TF_Timer,TF_Tekniker,Y$4,TF_Dato,$A542))*2,0)/2)))</f>
        <v/>
      </c>
      <c r="Z542">
        <f>IF(OR(Z$4="",$A542&gt;TODAY()),0,IF(OR(INDEX($B542:$D542,Z$5)="F",AND(Z$6&gt;0,$A542&lt;Z$6),AND(Z$7&gt;0,$A542&gt;Z$7)),0,MAX(0,ROUND((INDEX($E542:$G542,Z$5)-SUMIFS(TF_Timer,TF_Tekniker,Z$4,TF_Dato,$A542))*2,0)/2)))</f>
        <v/>
      </c>
      <c r="AA542">
        <f>IF(OR(AA$4="",$A542&gt;TODAY()),0,IF(OR(INDEX($B542:$D542,AA$5)="F",AND(AA$6&gt;0,$A542&lt;AA$6),AND(AA$7&gt;0,$A542&gt;AA$7)),0,MAX(0,ROUND((INDEX($E542:$G542,AA$5)-SUMIFS(TF_Timer,TF_Tekniker,AA$4,TF_Dato,$A542))*2,0)/2)))</f>
        <v/>
      </c>
      <c r="AB542">
        <f>IF(OR(AB$4="",$A542&gt;TODAY()),0,IF(OR(INDEX($B542:$D542,AB$5)="F",AND(AB$6&gt;0,$A542&lt;AB$6),AND(AB$7&gt;0,$A542&gt;AB$7)),0,MAX(0,ROUND((INDEX($E542:$G542,AB$5)-SUMIFS(TF_Timer,TF_Tekniker,AB$4,TF_Dato,$A542))*2,0)/2)))</f>
        <v/>
      </c>
      <c r="AC542">
        <f>IF(OR(AC$4="",$A542&gt;TODAY()),0,IF(OR(INDEX($B542:$D542,AC$5)="F",AND(AC$6&gt;0,$A542&lt;AC$6),AND(AC$7&gt;0,$A542&gt;AC$7)),0,MAX(0,ROUND((INDEX($E542:$G542,AC$5)-SUMIFS(TF_Timer,TF_Tekniker,AC$4,TF_Dato,$A542))*2,0)/2)))</f>
        <v/>
      </c>
      <c r="AD542">
        <f>IF(OR(AD$4="",$A542&gt;TODAY()),0,IF(OR(INDEX($B542:$D542,AD$5)="F",AND(AD$6&gt;0,$A542&lt;AD$6),AND(AD$7&gt;0,$A542&gt;AD$7)),0,MAX(0,ROUND((INDEX($E542:$G542,AD$5)-SUMIFS(TF_Timer,TF_Tekniker,AD$4,TF_Dato,$A542))*2,0)/2)))</f>
        <v/>
      </c>
      <c r="AE542">
        <f>IF(OR(AE$4="",$A542&gt;TODAY()),0,IF(OR(INDEX($B542:$D542,AE$5)="F",AND(AE$6&gt;0,$A542&lt;AE$6),AND(AE$7&gt;0,$A542&gt;AE$7)),0,MAX(0,ROUND((INDEX($E542:$G542,AE$5)-SUMIFS(TF_Timer,TF_Tekniker,AE$4,TF_Dato,$A542))*2,0)/2)))</f>
        <v/>
      </c>
      <c r="AF542">
        <f>IF(OR(AF$4="",$A542&gt;TODAY()),0,IF(OR(INDEX($B542:$D542,AF$5)="F",AND(AF$6&gt;0,$A542&lt;AF$6),AND(AF$7&gt;0,$A542&gt;AF$7)),0,MAX(0,ROUND((INDEX($E542:$G542,AF$5)-SUMIFS(TF_Timer,TF_Tekniker,AF$4,TF_Dato,$A542))*2,0)/2)))</f>
        <v/>
      </c>
      <c r="AG542">
        <f>IF(OR(AG$4="",$A542&gt;TODAY()),0,IF(OR(INDEX($B542:$D542,AG$5)="F",AND(AG$6&gt;0,$A542&lt;AG$6),AND(AG$7&gt;0,$A542&gt;AG$7)),0,MAX(0,ROUND((INDEX($E542:$G542,AG$5)-SUMIFS(TF_Timer,TF_Tekniker,AG$4,TF_Dato,$A542))*2,0)/2)))</f>
        <v/>
      </c>
      <c r="AH542">
        <f>IF(OR(AH$4="",$A542&gt;TODAY()),0,IF(OR(INDEX($B542:$D542,AH$5)="F",AND(AH$6&gt;0,$A542&lt;AH$6),AND(AH$7&gt;0,$A542&gt;AH$7)),0,MAX(0,ROUND((INDEX($E542:$G542,AH$5)-SUMIFS(TF_Timer,TF_Tekniker,AH$4,TF_Dato,$A542))*2,0)/2)))</f>
        <v/>
      </c>
      <c r="AI542">
        <f>IF(OR(AI$4="",$A542&gt;TODAY()),0,IF(OR(INDEX($B542:$D542,AI$5)="F",AND(AI$6&gt;0,$A542&lt;AI$6),AND(AI$7&gt;0,$A542&gt;AI$7)),0,MAX(0,ROUND((INDEX($E542:$G542,AI$5)-SUMIFS(TF_Timer,TF_Tekniker,AI$4,TF_Dato,$A542))*2,0)/2)))</f>
        <v/>
      </c>
      <c r="AJ542">
        <f>IF(OR(AJ$4="",$A542&gt;TODAY()),0,IF(OR(INDEX($B542:$D542,AJ$5)="F",AND(AJ$6&gt;0,$A542&lt;AJ$6),AND(AJ$7&gt;0,$A542&gt;AJ$7)),0,MAX(0,ROUND((INDEX($E542:$G542,AJ$5)-SUMIFS(TF_Timer,TF_Tekniker,AJ$4,TF_Dato,$A542))*2,0)/2)))</f>
        <v/>
      </c>
      <c r="AK542">
        <f>IF(OR(AK$4="",$A542&gt;TODAY()),0,IF(OR(INDEX($B542:$D542,AK$5)="F",AND(AK$6&gt;0,$A542&lt;AK$6),AND(AK$7&gt;0,$A542&gt;AK$7)),0,MAX(0,ROUND((INDEX($E542:$G542,AK$5)-SUMIFS(TF_Timer,TF_Tekniker,AK$4,TF_Dato,$A542))*2,0)/2)))</f>
        <v/>
      </c>
      <c r="AL542">
        <f>IF(OR(AL$4="",$A542&gt;TODAY()),0,IF(OR(INDEX($B542:$D542,AL$5)="F",AND(AL$6&gt;0,$A542&lt;AL$6),AND(AL$7&gt;0,$A542&gt;AL$7)),0,MAX(0,ROUND((INDEX($E542:$G542,AL$5)-SUMIFS(TF_Timer,TF_Tekniker,AL$4,TF_Dato,$A542))*2,0)/2)))</f>
        <v/>
      </c>
      <c r="AM542">
        <f>IF(OR(AM$4="",$A542&gt;TODAY()),0,IF(OR(INDEX($B542:$D542,AM$5)="F",AND(AM$6&gt;0,$A542&lt;AM$6),AND(AM$7&gt;0,$A542&gt;AM$7)),0,MAX(0,ROUND((INDEX($E542:$G542,AM$5)-SUMIFS(TF_Timer,TF_Tekniker,AM$4,TF_Dato,$A542))*2,0)/2)))</f>
        <v/>
      </c>
      <c r="AN542">
        <f>IF(OR(AN$4="",$A542&gt;TODAY()),0,IF(OR(INDEX($B542:$D542,AN$5)="F",AND(AN$6&gt;0,$A542&lt;AN$6),AND(AN$7&gt;0,$A542&gt;AN$7)),0,MAX(0,ROUND((INDEX($E542:$G542,AN$5)-SUMIFS(TF_Timer,TF_Tekniker,AN$4,TF_Dato,$A542))*2,0)/2)))</f>
        <v/>
      </c>
      <c r="AO542">
        <f>IF(OR(AO$4="",$A542&gt;TODAY()),0,IF(OR(INDEX($B542:$D542,AO$5)="F",AND(AO$6&gt;0,$A542&lt;AO$6),AND(AO$7&gt;0,$A542&gt;AO$7)),0,MAX(0,ROUND((INDEX($E542:$G542,AO$5)-SUMIFS(TF_Timer,TF_Tekniker,AO$4,TF_Dato,$A542))*2,0)/2)))</f>
        <v/>
      </c>
      <c r="AP542">
        <f>IF(OR(AP$4="",$A542&gt;TODAY()),0,IF(OR(INDEX($B542:$D542,AP$5)="F",AND(AP$6&gt;0,$A542&lt;AP$6),AND(AP$7&gt;0,$A542&gt;AP$7)),0,MAX(0,ROUND((INDEX($E542:$G542,AP$5)-SUMIFS(TF_Timer,TF_Tekniker,AP$4,TF_Dato,$A542))*2,0)/2)))</f>
        <v/>
      </c>
      <c r="AQ542">
        <f>IF(OR(AQ$4="",$A542&gt;TODAY()),0,IF(OR(INDEX($B542:$D542,AQ$5)="F",AND(AQ$6&gt;0,$A542&lt;AQ$6),AND(AQ$7&gt;0,$A542&gt;AQ$7)),0,MAX(0,ROUND((INDEX($E542:$G542,AQ$5)-SUMIFS(TF_Timer,TF_Tekniker,AQ$4,TF_Dato,$A542))*2,0)/2)))</f>
        <v/>
      </c>
      <c r="AR542">
        <f>IF(OR(AR$4="",$A542&gt;TODAY()),0,IF(OR(INDEX($B542:$D542,AR$5)="F",AND(AR$6&gt;0,$A542&lt;AR$6),AND(AR$7&gt;0,$A542&gt;AR$7)),0,MAX(0,ROUND((INDEX($E542:$G542,AR$5)-SUMIFS(TF_Timer,TF_Tekniker,AR$4,TF_Dato,$A542))*2,0)/2)))</f>
        <v/>
      </c>
      <c r="AS542">
        <f>IF(OR(AS$4="",$A542&gt;TODAY()),0,IF(OR(INDEX($B542:$D542,AS$5)="F",AND(AS$6&gt;0,$A542&lt;AS$6),AND(AS$7&gt;0,$A542&gt;AS$7)),0,MAX(0,ROUND((INDEX($E542:$G542,AS$5)-SUMIFS(TF_Timer,TF_Tekniker,AS$4,TF_Dato,$A542))*2,0)/2)))</f>
        <v/>
      </c>
      <c r="AT542">
        <f>IF(OR(AT$4="",$A542&gt;TODAY()),0,IF(OR(INDEX($B542:$D542,AT$5)="F",AND(AT$6&gt;0,$A542&lt;AT$6),AND(AT$7&gt;0,$A542&gt;AT$7)),0,MAX(0,ROUND((INDEX($E542:$G542,AT$5)-SUMIFS(TF_Timer,TF_Tekniker,AT$4,TF_Dato,$A542))*2,0)/2)))</f>
        <v/>
      </c>
      <c r="AU542">
        <f>IF(OR(AU$4="",$A542&gt;TODAY()),0,IF(OR(INDEX($B542:$D542,AU$5)="F",AND(AU$6&gt;0,$A542&lt;AU$6),AND(AU$7&gt;0,$A542&gt;AU$7)),0,MAX(0,ROUND((INDEX($E542:$G542,AU$5)-SUMIFS(TF_Timer,TF_Tekniker,AU$4,TF_Dato,$A542))*2,0)/2)))</f>
        <v/>
      </c>
      <c r="AV542">
        <f>IF(OR(AV$4="",$A542&gt;TODAY()),0,IF(OR(INDEX($B542:$D542,AV$5)="F",AND(AV$6&gt;0,$A542&lt;AV$6),AND(AV$7&gt;0,$A542&gt;AV$7)),0,MAX(0,ROUND((INDEX($E542:$G542,AV$5)-SUMIFS(TF_Timer,TF_Tekniker,AV$4,TF_Dato,$A542))*2,0)/2)))</f>
        <v/>
      </c>
      <c r="AW542">
        <f>IF(OR(AW$4="",$A542&gt;TODAY()),0,IF(OR(INDEX($B542:$D542,AW$5)="F",AND(AW$6&gt;0,$A542&lt;AW$6),AND(AW$7&gt;0,$A542&gt;AW$7)),0,MAX(0,ROUND((INDEX($E542:$G542,AW$5)-SUMIFS(TF_Timer,TF_Tekniker,AW$4,TF_Dato,$A542))*2,0)/2)))</f>
        <v/>
      </c>
      <c r="AX542">
        <f>IF(OR(AX$4="",$A542&gt;TODAY()),0,IF(OR(INDEX($B542:$D542,AX$5)="F",AND(AX$6&gt;0,$A542&lt;AX$6),AND(AX$7&gt;0,$A542&gt;AX$7)),0,MAX(0,ROUND((INDEX($E542:$G542,AX$5)-SUMIFS(TF_Timer,TF_Tekniker,AX$4,TF_Dato,$A542))*2,0)/2)))</f>
        <v/>
      </c>
      <c r="AY542">
        <f>IF(OR(AY$4="",$A542&gt;TODAY()),0,IF(OR(INDEX($B542:$D542,AY$5)="F",AND(AY$6&gt;0,$A542&lt;AY$6),AND(AY$7&gt;0,$A542&gt;AY$7)),0,MAX(0,ROUND((INDEX($E542:$G542,AY$5)-SUMIFS(TF_Timer,TF_Tekniker,AY$4,TF_Dato,$A542))*2,0)/2)))</f>
        <v/>
      </c>
      <c r="AZ542">
        <f>IF(OR(AZ$4="",$A542&gt;TODAY()),0,IF(OR(INDEX($B542:$D542,AZ$5)="F",AND(AZ$6&gt;0,$A542&lt;AZ$6),AND(AZ$7&gt;0,$A542&gt;AZ$7)),0,MAX(0,ROUND((INDEX($E542:$G542,AZ$5)-SUMIFS(TF_Timer,TF_Tekniker,AZ$4,TF_Dato,$A542))*2,0)/2)))</f>
        <v/>
      </c>
      <c r="BA542">
        <f>IF(OR(BA$4="",$A542&gt;TODAY()),0,IF(OR(INDEX($B542:$D542,BA$5)="F",AND(BA$6&gt;0,$A542&lt;BA$6),AND(BA$7&gt;0,$A542&gt;BA$7)),0,MAX(0,ROUND((INDEX($E542:$G542,BA$5)-SUMIFS(TF_Timer,TF_Tekniker,BA$4,TF_Dato,$A542))*2,0)/2)))</f>
        <v/>
      </c>
      <c r="BB542">
        <f>IF(OR(BB$4="",$A542&gt;TODAY()),0,IF(OR(INDEX($B542:$D542,BB$5)="F",AND(BB$6&gt;0,$A542&lt;BB$6),AND(BB$7&gt;0,$A542&gt;BB$7)),0,MAX(0,ROUND((INDEX($E542:$G542,BB$5)-SUMIFS(TF_Timer,TF_Tekniker,BB$4,TF_Dato,$A542))*2,0)/2)))</f>
        <v/>
      </c>
      <c r="BC542">
        <f>IF(OR(BC$4="",$A542&gt;TODAY()),0,IF(OR(INDEX($B542:$D542,BC$5)="F",AND(BC$6&gt;0,$A542&lt;BC$6),AND(BC$7&gt;0,$A542&gt;BC$7)),0,MAX(0,ROUND((INDEX($E542:$G542,BC$5)-SUMIFS(TF_Timer,TF_Tekniker,BC$4,TF_Dato,$A542))*2,0)/2)))</f>
        <v/>
      </c>
      <c r="BD542">
        <f>IF(OR(BD$4="",$A542&gt;TODAY()),0,IF(OR(INDEX($B542:$D542,BD$5)="F",AND(BD$6&gt;0,$A542&lt;BD$6),AND(BD$7&gt;0,$A542&gt;BD$7)),0,MAX(0,ROUND((INDEX($E542:$G542,BD$5)-SUMIFS(TF_Timer,TF_Tekniker,BD$4,TF_Dato,$A542))*2,0)/2)))</f>
        <v/>
      </c>
      <c r="BE542">
        <f>IF(OR(BE$4="",$A542&gt;TODAY()),0,IF(OR(INDEX($B542:$D542,BE$5)="F",AND(BE$6&gt;0,$A542&lt;BE$6),AND(BE$7&gt;0,$A542&gt;BE$7)),0,MAX(0,ROUND((INDEX($E542:$G542,BE$5)-SUMIFS(TF_Timer,TF_Tekniker,BE$4,TF_Dato,$A542))*2,0)/2)))</f>
        <v/>
      </c>
      <c r="BF542">
        <f>IF(OR(BF$4="",$A542&gt;TODAY()),0,IF(OR(INDEX($B542:$D542,BF$5)="F",AND(BF$6&gt;0,$A542&lt;BF$6),AND(BF$7&gt;0,$A542&gt;BF$7)),0,MAX(0,ROUND((INDEX($E542:$G542,BF$5)-SUMIFS(TF_Timer,TF_Tekniker,BF$4,TF_Dato,$A542))*2,0)/2)))</f>
        <v/>
      </c>
      <c r="BG542">
        <f>IF(OR(BG$4="",$A542&gt;TODAY()),0,IF(OR(INDEX($B542:$D542,BG$5)="F",AND(BG$6&gt;0,$A542&lt;BG$6),AND(BG$7&gt;0,$A542&gt;BG$7)),0,MAX(0,ROUND((INDEX($E542:$G542,BG$5)-SUMIFS(TF_Timer,TF_Tekniker,BG$4,TF_Dato,$A542))*2,0)/2)))</f>
        <v/>
      </c>
      <c r="BH542">
        <f>IF(OR(BH$4="",$A542&gt;TODAY()),0,IF(OR(INDEX($B542:$D542,BH$5)="F",AND(BH$6&gt;0,$A542&lt;BH$6),AND(BH$7&gt;0,$A542&gt;BH$7)),0,MAX(0,ROUND((INDEX($E542:$G542,BH$5)-SUMIFS(TF_Timer,TF_Tekniker,BH$4,TF_Dato,$A542))*2,0)/2)))</f>
        <v/>
      </c>
      <c r="BI542">
        <f>IF(OR(BI$4="",$A542&gt;TODAY()),0,IF(OR(INDEX($B542:$D542,BI$5)="F",AND(BI$6&gt;0,$A542&lt;BI$6),AND(BI$7&gt;0,$A542&gt;BI$7)),0,MAX(0,ROUND((INDEX($E542:$G542,BI$5)-SUMIFS(TF_Timer,TF_Tekniker,BI$4,TF_Dato,$A542))*2,0)/2)))</f>
        <v/>
      </c>
    </row>
    <row r="543">
      <c r="A543" s="64">
        <f>A542+1</f>
        <v/>
      </c>
      <c r="B543">
        <f>IF(MOD($A543-INDEX(SkiftStart,1),Syklus)&lt;DagK,"K",IF(MOD($A543-INDEX(SkiftStart,1),Syklus)&lt;DagK+DagH,"H",IF(MOD($A543-INDEX(SkiftStart,1),Syklus)&lt;DagK+DagH+DagD,"D","F")))</f>
        <v/>
      </c>
      <c r="C543">
        <f>IF(MOD($A543-INDEX(SkiftStart,2),Syklus)&lt;DagK,"K",IF(MOD($A543-INDEX(SkiftStart,2),Syklus)&lt;DagK+DagH,"H",IF(MOD($A543-INDEX(SkiftStart,2),Syklus)&lt;DagK+DagH+DagD,"D","F")))</f>
        <v/>
      </c>
      <c r="D543">
        <f>IF(MOD($A543-INDEX(SkiftStart,3),Syklus)&lt;DagK,"K",IF(MOD($A543-INDEX(SkiftStart,3),Syklus)&lt;DagK+DagH,"H",IF(MOD($A543-INDEX(SkiftStart,3),Syklus)&lt;DagK+DagH+DagD,"D","F")))</f>
        <v/>
      </c>
      <c r="E543">
        <f>IF(B543="F",0,IF(WEEKDAY($A543,2)=5,INDEX(TimerFr,MATCH(B543,FaseKode,0)),INDEX(TimerMT,MATCH(B543,FaseKode,0))))</f>
        <v/>
      </c>
      <c r="F543">
        <f>IF(C543="F",0,IF(WEEKDAY($A543,2)=5,INDEX(TimerFr,MATCH(C543,FaseKode,0)),INDEX(TimerMT,MATCH(C543,FaseKode,0))))</f>
        <v/>
      </c>
      <c r="G543">
        <f>IF(D543="F",0,IF(WEEKDAY($A543,2)=5,INDEX(TimerFr,MATCH(D543,FaseKode,0)),INDEX(TimerMT,MATCH(D543,FaseKode,0))))</f>
        <v/>
      </c>
      <c r="H543">
        <f>IF(OR(H$4="",$A543&gt;TODAY()),0,IF(OR(INDEX($B543:$D543,H$5)="F",AND(H$6&gt;0,$A543&lt;H$6),AND(H$7&gt;0,$A543&gt;H$7)),0,MAX(0,ROUND((INDEX($E543:$G543,H$5)-SUMIFS(TF_Timer,TF_Tekniker,H$4,TF_Dato,$A543))*2,0)/2)))</f>
        <v/>
      </c>
      <c r="I543">
        <f>IF(OR(I$4="",$A543&gt;TODAY()),0,IF(OR(INDEX($B543:$D543,I$5)="F",AND(I$6&gt;0,$A543&lt;I$6),AND(I$7&gt;0,$A543&gt;I$7)),0,MAX(0,ROUND((INDEX($E543:$G543,I$5)-SUMIFS(TF_Timer,TF_Tekniker,I$4,TF_Dato,$A543))*2,0)/2)))</f>
        <v/>
      </c>
      <c r="J543">
        <f>IF(OR(J$4="",$A543&gt;TODAY()),0,IF(OR(INDEX($B543:$D543,J$5)="F",AND(J$6&gt;0,$A543&lt;J$6),AND(J$7&gt;0,$A543&gt;J$7)),0,MAX(0,ROUND((INDEX($E543:$G543,J$5)-SUMIFS(TF_Timer,TF_Tekniker,J$4,TF_Dato,$A543))*2,0)/2)))</f>
        <v/>
      </c>
      <c r="K543">
        <f>IF(OR(K$4="",$A543&gt;TODAY()),0,IF(OR(INDEX($B543:$D543,K$5)="F",AND(K$6&gt;0,$A543&lt;K$6),AND(K$7&gt;0,$A543&gt;K$7)),0,MAX(0,ROUND((INDEX($E543:$G543,K$5)-SUMIFS(TF_Timer,TF_Tekniker,K$4,TF_Dato,$A543))*2,0)/2)))</f>
        <v/>
      </c>
      <c r="L543">
        <f>IF(OR(L$4="",$A543&gt;TODAY()),0,IF(OR(INDEX($B543:$D543,L$5)="F",AND(L$6&gt;0,$A543&lt;L$6),AND(L$7&gt;0,$A543&gt;L$7)),0,MAX(0,ROUND((INDEX($E543:$G543,L$5)-SUMIFS(TF_Timer,TF_Tekniker,L$4,TF_Dato,$A543))*2,0)/2)))</f>
        <v/>
      </c>
      <c r="M543">
        <f>IF(OR(M$4="",$A543&gt;TODAY()),0,IF(OR(INDEX($B543:$D543,M$5)="F",AND(M$6&gt;0,$A543&lt;M$6),AND(M$7&gt;0,$A543&gt;M$7)),0,MAX(0,ROUND((INDEX($E543:$G543,M$5)-SUMIFS(TF_Timer,TF_Tekniker,M$4,TF_Dato,$A543))*2,0)/2)))</f>
        <v/>
      </c>
      <c r="N543">
        <f>IF(OR(N$4="",$A543&gt;TODAY()),0,IF(OR(INDEX($B543:$D543,N$5)="F",AND(N$6&gt;0,$A543&lt;N$6),AND(N$7&gt;0,$A543&gt;N$7)),0,MAX(0,ROUND((INDEX($E543:$G543,N$5)-SUMIFS(TF_Timer,TF_Tekniker,N$4,TF_Dato,$A543))*2,0)/2)))</f>
        <v/>
      </c>
      <c r="O543">
        <f>IF(OR(O$4="",$A543&gt;TODAY()),0,IF(OR(INDEX($B543:$D543,O$5)="F",AND(O$6&gt;0,$A543&lt;O$6),AND(O$7&gt;0,$A543&gt;O$7)),0,MAX(0,ROUND((INDEX($E543:$G543,O$5)-SUMIFS(TF_Timer,TF_Tekniker,O$4,TF_Dato,$A543))*2,0)/2)))</f>
        <v/>
      </c>
      <c r="P543">
        <f>IF(OR(P$4="",$A543&gt;TODAY()),0,IF(OR(INDEX($B543:$D543,P$5)="F",AND(P$6&gt;0,$A543&lt;P$6),AND(P$7&gt;0,$A543&gt;P$7)),0,MAX(0,ROUND((INDEX($E543:$G543,P$5)-SUMIFS(TF_Timer,TF_Tekniker,P$4,TF_Dato,$A543))*2,0)/2)))</f>
        <v/>
      </c>
      <c r="Q543">
        <f>IF(OR(Q$4="",$A543&gt;TODAY()),0,IF(OR(INDEX($B543:$D543,Q$5)="F",AND(Q$6&gt;0,$A543&lt;Q$6),AND(Q$7&gt;0,$A543&gt;Q$7)),0,MAX(0,ROUND((INDEX($E543:$G543,Q$5)-SUMIFS(TF_Timer,TF_Tekniker,Q$4,TF_Dato,$A543))*2,0)/2)))</f>
        <v/>
      </c>
      <c r="R543">
        <f>IF(OR(R$4="",$A543&gt;TODAY()),0,IF(OR(INDEX($B543:$D543,R$5)="F",AND(R$6&gt;0,$A543&lt;R$6),AND(R$7&gt;0,$A543&gt;R$7)),0,MAX(0,ROUND((INDEX($E543:$G543,R$5)-SUMIFS(TF_Timer,TF_Tekniker,R$4,TF_Dato,$A543))*2,0)/2)))</f>
        <v/>
      </c>
      <c r="S543">
        <f>IF(OR(S$4="",$A543&gt;TODAY()),0,IF(OR(INDEX($B543:$D543,S$5)="F",AND(S$6&gt;0,$A543&lt;S$6),AND(S$7&gt;0,$A543&gt;S$7)),0,MAX(0,ROUND((INDEX($E543:$G543,S$5)-SUMIFS(TF_Timer,TF_Tekniker,S$4,TF_Dato,$A543))*2,0)/2)))</f>
        <v/>
      </c>
      <c r="T543">
        <f>IF(OR(T$4="",$A543&gt;TODAY()),0,IF(OR(INDEX($B543:$D543,T$5)="F",AND(T$6&gt;0,$A543&lt;T$6),AND(T$7&gt;0,$A543&gt;T$7)),0,MAX(0,ROUND((INDEX($E543:$G543,T$5)-SUMIFS(TF_Timer,TF_Tekniker,T$4,TF_Dato,$A543))*2,0)/2)))</f>
        <v/>
      </c>
      <c r="U543">
        <f>IF(OR(U$4="",$A543&gt;TODAY()),0,IF(OR(INDEX($B543:$D543,U$5)="F",AND(U$6&gt;0,$A543&lt;U$6),AND(U$7&gt;0,$A543&gt;U$7)),0,MAX(0,ROUND((INDEX($E543:$G543,U$5)-SUMIFS(TF_Timer,TF_Tekniker,U$4,TF_Dato,$A543))*2,0)/2)))</f>
        <v/>
      </c>
      <c r="V543">
        <f>IF(OR(V$4="",$A543&gt;TODAY()),0,IF(OR(INDEX($B543:$D543,V$5)="F",AND(V$6&gt;0,$A543&lt;V$6),AND(V$7&gt;0,$A543&gt;V$7)),0,MAX(0,ROUND((INDEX($E543:$G543,V$5)-SUMIFS(TF_Timer,TF_Tekniker,V$4,TF_Dato,$A543))*2,0)/2)))</f>
        <v/>
      </c>
      <c r="W543">
        <f>IF(OR(W$4="",$A543&gt;TODAY()),0,IF(OR(INDEX($B543:$D543,W$5)="F",AND(W$6&gt;0,$A543&lt;W$6),AND(W$7&gt;0,$A543&gt;W$7)),0,MAX(0,ROUND((INDEX($E543:$G543,W$5)-SUMIFS(TF_Timer,TF_Tekniker,W$4,TF_Dato,$A543))*2,0)/2)))</f>
        <v/>
      </c>
      <c r="X543">
        <f>IF(OR(X$4="",$A543&gt;TODAY()),0,IF(OR(INDEX($B543:$D543,X$5)="F",AND(X$6&gt;0,$A543&lt;X$6),AND(X$7&gt;0,$A543&gt;X$7)),0,MAX(0,ROUND((INDEX($E543:$G543,X$5)-SUMIFS(TF_Timer,TF_Tekniker,X$4,TF_Dato,$A543))*2,0)/2)))</f>
        <v/>
      </c>
      <c r="Y543">
        <f>IF(OR(Y$4="",$A543&gt;TODAY()),0,IF(OR(INDEX($B543:$D543,Y$5)="F",AND(Y$6&gt;0,$A543&lt;Y$6),AND(Y$7&gt;0,$A543&gt;Y$7)),0,MAX(0,ROUND((INDEX($E543:$G543,Y$5)-SUMIFS(TF_Timer,TF_Tekniker,Y$4,TF_Dato,$A543))*2,0)/2)))</f>
        <v/>
      </c>
      <c r="Z543">
        <f>IF(OR(Z$4="",$A543&gt;TODAY()),0,IF(OR(INDEX($B543:$D543,Z$5)="F",AND(Z$6&gt;0,$A543&lt;Z$6),AND(Z$7&gt;0,$A543&gt;Z$7)),0,MAX(0,ROUND((INDEX($E543:$G543,Z$5)-SUMIFS(TF_Timer,TF_Tekniker,Z$4,TF_Dato,$A543))*2,0)/2)))</f>
        <v/>
      </c>
      <c r="AA543">
        <f>IF(OR(AA$4="",$A543&gt;TODAY()),0,IF(OR(INDEX($B543:$D543,AA$5)="F",AND(AA$6&gt;0,$A543&lt;AA$6),AND(AA$7&gt;0,$A543&gt;AA$7)),0,MAX(0,ROUND((INDEX($E543:$G543,AA$5)-SUMIFS(TF_Timer,TF_Tekniker,AA$4,TF_Dato,$A543))*2,0)/2)))</f>
        <v/>
      </c>
      <c r="AB543">
        <f>IF(OR(AB$4="",$A543&gt;TODAY()),0,IF(OR(INDEX($B543:$D543,AB$5)="F",AND(AB$6&gt;0,$A543&lt;AB$6),AND(AB$7&gt;0,$A543&gt;AB$7)),0,MAX(0,ROUND((INDEX($E543:$G543,AB$5)-SUMIFS(TF_Timer,TF_Tekniker,AB$4,TF_Dato,$A543))*2,0)/2)))</f>
        <v/>
      </c>
      <c r="AC543">
        <f>IF(OR(AC$4="",$A543&gt;TODAY()),0,IF(OR(INDEX($B543:$D543,AC$5)="F",AND(AC$6&gt;0,$A543&lt;AC$6),AND(AC$7&gt;0,$A543&gt;AC$7)),0,MAX(0,ROUND((INDEX($E543:$G543,AC$5)-SUMIFS(TF_Timer,TF_Tekniker,AC$4,TF_Dato,$A543))*2,0)/2)))</f>
        <v/>
      </c>
      <c r="AD543">
        <f>IF(OR(AD$4="",$A543&gt;TODAY()),0,IF(OR(INDEX($B543:$D543,AD$5)="F",AND(AD$6&gt;0,$A543&lt;AD$6),AND(AD$7&gt;0,$A543&gt;AD$7)),0,MAX(0,ROUND((INDEX($E543:$G543,AD$5)-SUMIFS(TF_Timer,TF_Tekniker,AD$4,TF_Dato,$A543))*2,0)/2)))</f>
        <v/>
      </c>
      <c r="AE543">
        <f>IF(OR(AE$4="",$A543&gt;TODAY()),0,IF(OR(INDEX($B543:$D543,AE$5)="F",AND(AE$6&gt;0,$A543&lt;AE$6),AND(AE$7&gt;0,$A543&gt;AE$7)),0,MAX(0,ROUND((INDEX($E543:$G543,AE$5)-SUMIFS(TF_Timer,TF_Tekniker,AE$4,TF_Dato,$A543))*2,0)/2)))</f>
        <v/>
      </c>
      <c r="AF543">
        <f>IF(OR(AF$4="",$A543&gt;TODAY()),0,IF(OR(INDEX($B543:$D543,AF$5)="F",AND(AF$6&gt;0,$A543&lt;AF$6),AND(AF$7&gt;0,$A543&gt;AF$7)),0,MAX(0,ROUND((INDEX($E543:$G543,AF$5)-SUMIFS(TF_Timer,TF_Tekniker,AF$4,TF_Dato,$A543))*2,0)/2)))</f>
        <v/>
      </c>
      <c r="AG543">
        <f>IF(OR(AG$4="",$A543&gt;TODAY()),0,IF(OR(INDEX($B543:$D543,AG$5)="F",AND(AG$6&gt;0,$A543&lt;AG$6),AND(AG$7&gt;0,$A543&gt;AG$7)),0,MAX(0,ROUND((INDEX($E543:$G543,AG$5)-SUMIFS(TF_Timer,TF_Tekniker,AG$4,TF_Dato,$A543))*2,0)/2)))</f>
        <v/>
      </c>
      <c r="AH543">
        <f>IF(OR(AH$4="",$A543&gt;TODAY()),0,IF(OR(INDEX($B543:$D543,AH$5)="F",AND(AH$6&gt;0,$A543&lt;AH$6),AND(AH$7&gt;0,$A543&gt;AH$7)),0,MAX(0,ROUND((INDEX($E543:$G543,AH$5)-SUMIFS(TF_Timer,TF_Tekniker,AH$4,TF_Dato,$A543))*2,0)/2)))</f>
        <v/>
      </c>
      <c r="AI543">
        <f>IF(OR(AI$4="",$A543&gt;TODAY()),0,IF(OR(INDEX($B543:$D543,AI$5)="F",AND(AI$6&gt;0,$A543&lt;AI$6),AND(AI$7&gt;0,$A543&gt;AI$7)),0,MAX(0,ROUND((INDEX($E543:$G543,AI$5)-SUMIFS(TF_Timer,TF_Tekniker,AI$4,TF_Dato,$A543))*2,0)/2)))</f>
        <v/>
      </c>
      <c r="AJ543">
        <f>IF(OR(AJ$4="",$A543&gt;TODAY()),0,IF(OR(INDEX($B543:$D543,AJ$5)="F",AND(AJ$6&gt;0,$A543&lt;AJ$6),AND(AJ$7&gt;0,$A543&gt;AJ$7)),0,MAX(0,ROUND((INDEX($E543:$G543,AJ$5)-SUMIFS(TF_Timer,TF_Tekniker,AJ$4,TF_Dato,$A543))*2,0)/2)))</f>
        <v/>
      </c>
      <c r="AK543">
        <f>IF(OR(AK$4="",$A543&gt;TODAY()),0,IF(OR(INDEX($B543:$D543,AK$5)="F",AND(AK$6&gt;0,$A543&lt;AK$6),AND(AK$7&gt;0,$A543&gt;AK$7)),0,MAX(0,ROUND((INDEX($E543:$G543,AK$5)-SUMIFS(TF_Timer,TF_Tekniker,AK$4,TF_Dato,$A543))*2,0)/2)))</f>
        <v/>
      </c>
      <c r="AL543">
        <f>IF(OR(AL$4="",$A543&gt;TODAY()),0,IF(OR(INDEX($B543:$D543,AL$5)="F",AND(AL$6&gt;0,$A543&lt;AL$6),AND(AL$7&gt;0,$A543&gt;AL$7)),0,MAX(0,ROUND((INDEX($E543:$G543,AL$5)-SUMIFS(TF_Timer,TF_Tekniker,AL$4,TF_Dato,$A543))*2,0)/2)))</f>
        <v/>
      </c>
      <c r="AM543">
        <f>IF(OR(AM$4="",$A543&gt;TODAY()),0,IF(OR(INDEX($B543:$D543,AM$5)="F",AND(AM$6&gt;0,$A543&lt;AM$6),AND(AM$7&gt;0,$A543&gt;AM$7)),0,MAX(0,ROUND((INDEX($E543:$G543,AM$5)-SUMIFS(TF_Timer,TF_Tekniker,AM$4,TF_Dato,$A543))*2,0)/2)))</f>
        <v/>
      </c>
      <c r="AN543">
        <f>IF(OR(AN$4="",$A543&gt;TODAY()),0,IF(OR(INDEX($B543:$D543,AN$5)="F",AND(AN$6&gt;0,$A543&lt;AN$6),AND(AN$7&gt;0,$A543&gt;AN$7)),0,MAX(0,ROUND((INDEX($E543:$G543,AN$5)-SUMIFS(TF_Timer,TF_Tekniker,AN$4,TF_Dato,$A543))*2,0)/2)))</f>
        <v/>
      </c>
      <c r="AO543">
        <f>IF(OR(AO$4="",$A543&gt;TODAY()),0,IF(OR(INDEX($B543:$D543,AO$5)="F",AND(AO$6&gt;0,$A543&lt;AO$6),AND(AO$7&gt;0,$A543&gt;AO$7)),0,MAX(0,ROUND((INDEX($E543:$G543,AO$5)-SUMIFS(TF_Timer,TF_Tekniker,AO$4,TF_Dato,$A543))*2,0)/2)))</f>
        <v/>
      </c>
      <c r="AP543">
        <f>IF(OR(AP$4="",$A543&gt;TODAY()),0,IF(OR(INDEX($B543:$D543,AP$5)="F",AND(AP$6&gt;0,$A543&lt;AP$6),AND(AP$7&gt;0,$A543&gt;AP$7)),0,MAX(0,ROUND((INDEX($E543:$G543,AP$5)-SUMIFS(TF_Timer,TF_Tekniker,AP$4,TF_Dato,$A543))*2,0)/2)))</f>
        <v/>
      </c>
      <c r="AQ543">
        <f>IF(OR(AQ$4="",$A543&gt;TODAY()),0,IF(OR(INDEX($B543:$D543,AQ$5)="F",AND(AQ$6&gt;0,$A543&lt;AQ$6),AND(AQ$7&gt;0,$A543&gt;AQ$7)),0,MAX(0,ROUND((INDEX($E543:$G543,AQ$5)-SUMIFS(TF_Timer,TF_Tekniker,AQ$4,TF_Dato,$A543))*2,0)/2)))</f>
        <v/>
      </c>
      <c r="AR543">
        <f>IF(OR(AR$4="",$A543&gt;TODAY()),0,IF(OR(INDEX($B543:$D543,AR$5)="F",AND(AR$6&gt;0,$A543&lt;AR$6),AND(AR$7&gt;0,$A543&gt;AR$7)),0,MAX(0,ROUND((INDEX($E543:$G543,AR$5)-SUMIFS(TF_Timer,TF_Tekniker,AR$4,TF_Dato,$A543))*2,0)/2)))</f>
        <v/>
      </c>
      <c r="AS543">
        <f>IF(OR(AS$4="",$A543&gt;TODAY()),0,IF(OR(INDEX($B543:$D543,AS$5)="F",AND(AS$6&gt;0,$A543&lt;AS$6),AND(AS$7&gt;0,$A543&gt;AS$7)),0,MAX(0,ROUND((INDEX($E543:$G543,AS$5)-SUMIFS(TF_Timer,TF_Tekniker,AS$4,TF_Dato,$A543))*2,0)/2)))</f>
        <v/>
      </c>
      <c r="AT543">
        <f>IF(OR(AT$4="",$A543&gt;TODAY()),0,IF(OR(INDEX($B543:$D543,AT$5)="F",AND(AT$6&gt;0,$A543&lt;AT$6),AND(AT$7&gt;0,$A543&gt;AT$7)),0,MAX(0,ROUND((INDEX($E543:$G543,AT$5)-SUMIFS(TF_Timer,TF_Tekniker,AT$4,TF_Dato,$A543))*2,0)/2)))</f>
        <v/>
      </c>
      <c r="AU543">
        <f>IF(OR(AU$4="",$A543&gt;TODAY()),0,IF(OR(INDEX($B543:$D543,AU$5)="F",AND(AU$6&gt;0,$A543&lt;AU$6),AND(AU$7&gt;0,$A543&gt;AU$7)),0,MAX(0,ROUND((INDEX($E543:$G543,AU$5)-SUMIFS(TF_Timer,TF_Tekniker,AU$4,TF_Dato,$A543))*2,0)/2)))</f>
        <v/>
      </c>
      <c r="AV543">
        <f>IF(OR(AV$4="",$A543&gt;TODAY()),0,IF(OR(INDEX($B543:$D543,AV$5)="F",AND(AV$6&gt;0,$A543&lt;AV$6),AND(AV$7&gt;0,$A543&gt;AV$7)),0,MAX(0,ROUND((INDEX($E543:$G543,AV$5)-SUMIFS(TF_Timer,TF_Tekniker,AV$4,TF_Dato,$A543))*2,0)/2)))</f>
        <v/>
      </c>
      <c r="AW543">
        <f>IF(OR(AW$4="",$A543&gt;TODAY()),0,IF(OR(INDEX($B543:$D543,AW$5)="F",AND(AW$6&gt;0,$A543&lt;AW$6),AND(AW$7&gt;0,$A543&gt;AW$7)),0,MAX(0,ROUND((INDEX($E543:$G543,AW$5)-SUMIFS(TF_Timer,TF_Tekniker,AW$4,TF_Dato,$A543))*2,0)/2)))</f>
        <v/>
      </c>
      <c r="AX543">
        <f>IF(OR(AX$4="",$A543&gt;TODAY()),0,IF(OR(INDEX($B543:$D543,AX$5)="F",AND(AX$6&gt;0,$A543&lt;AX$6),AND(AX$7&gt;0,$A543&gt;AX$7)),0,MAX(0,ROUND((INDEX($E543:$G543,AX$5)-SUMIFS(TF_Timer,TF_Tekniker,AX$4,TF_Dato,$A543))*2,0)/2)))</f>
        <v/>
      </c>
      <c r="AY543">
        <f>IF(OR(AY$4="",$A543&gt;TODAY()),0,IF(OR(INDEX($B543:$D543,AY$5)="F",AND(AY$6&gt;0,$A543&lt;AY$6),AND(AY$7&gt;0,$A543&gt;AY$7)),0,MAX(0,ROUND((INDEX($E543:$G543,AY$5)-SUMIFS(TF_Timer,TF_Tekniker,AY$4,TF_Dato,$A543))*2,0)/2)))</f>
        <v/>
      </c>
      <c r="AZ543">
        <f>IF(OR(AZ$4="",$A543&gt;TODAY()),0,IF(OR(INDEX($B543:$D543,AZ$5)="F",AND(AZ$6&gt;0,$A543&lt;AZ$6),AND(AZ$7&gt;0,$A543&gt;AZ$7)),0,MAX(0,ROUND((INDEX($E543:$G543,AZ$5)-SUMIFS(TF_Timer,TF_Tekniker,AZ$4,TF_Dato,$A543))*2,0)/2)))</f>
        <v/>
      </c>
      <c r="BA543">
        <f>IF(OR(BA$4="",$A543&gt;TODAY()),0,IF(OR(INDEX($B543:$D543,BA$5)="F",AND(BA$6&gt;0,$A543&lt;BA$6),AND(BA$7&gt;0,$A543&gt;BA$7)),0,MAX(0,ROUND((INDEX($E543:$G543,BA$5)-SUMIFS(TF_Timer,TF_Tekniker,BA$4,TF_Dato,$A543))*2,0)/2)))</f>
        <v/>
      </c>
      <c r="BB543">
        <f>IF(OR(BB$4="",$A543&gt;TODAY()),0,IF(OR(INDEX($B543:$D543,BB$5)="F",AND(BB$6&gt;0,$A543&lt;BB$6),AND(BB$7&gt;0,$A543&gt;BB$7)),0,MAX(0,ROUND((INDEX($E543:$G543,BB$5)-SUMIFS(TF_Timer,TF_Tekniker,BB$4,TF_Dato,$A543))*2,0)/2)))</f>
        <v/>
      </c>
      <c r="BC543">
        <f>IF(OR(BC$4="",$A543&gt;TODAY()),0,IF(OR(INDEX($B543:$D543,BC$5)="F",AND(BC$6&gt;0,$A543&lt;BC$6),AND(BC$7&gt;0,$A543&gt;BC$7)),0,MAX(0,ROUND((INDEX($E543:$G543,BC$5)-SUMIFS(TF_Timer,TF_Tekniker,BC$4,TF_Dato,$A543))*2,0)/2)))</f>
        <v/>
      </c>
      <c r="BD543">
        <f>IF(OR(BD$4="",$A543&gt;TODAY()),0,IF(OR(INDEX($B543:$D543,BD$5)="F",AND(BD$6&gt;0,$A543&lt;BD$6),AND(BD$7&gt;0,$A543&gt;BD$7)),0,MAX(0,ROUND((INDEX($E543:$G543,BD$5)-SUMIFS(TF_Timer,TF_Tekniker,BD$4,TF_Dato,$A543))*2,0)/2)))</f>
        <v/>
      </c>
      <c r="BE543">
        <f>IF(OR(BE$4="",$A543&gt;TODAY()),0,IF(OR(INDEX($B543:$D543,BE$5)="F",AND(BE$6&gt;0,$A543&lt;BE$6),AND(BE$7&gt;0,$A543&gt;BE$7)),0,MAX(0,ROUND((INDEX($E543:$G543,BE$5)-SUMIFS(TF_Timer,TF_Tekniker,BE$4,TF_Dato,$A543))*2,0)/2)))</f>
        <v/>
      </c>
      <c r="BF543">
        <f>IF(OR(BF$4="",$A543&gt;TODAY()),0,IF(OR(INDEX($B543:$D543,BF$5)="F",AND(BF$6&gt;0,$A543&lt;BF$6),AND(BF$7&gt;0,$A543&gt;BF$7)),0,MAX(0,ROUND((INDEX($E543:$G543,BF$5)-SUMIFS(TF_Timer,TF_Tekniker,BF$4,TF_Dato,$A543))*2,0)/2)))</f>
        <v/>
      </c>
      <c r="BG543">
        <f>IF(OR(BG$4="",$A543&gt;TODAY()),0,IF(OR(INDEX($B543:$D543,BG$5)="F",AND(BG$6&gt;0,$A543&lt;BG$6),AND(BG$7&gt;0,$A543&gt;BG$7)),0,MAX(0,ROUND((INDEX($E543:$G543,BG$5)-SUMIFS(TF_Timer,TF_Tekniker,BG$4,TF_Dato,$A543))*2,0)/2)))</f>
        <v/>
      </c>
      <c r="BH543">
        <f>IF(OR(BH$4="",$A543&gt;TODAY()),0,IF(OR(INDEX($B543:$D543,BH$5)="F",AND(BH$6&gt;0,$A543&lt;BH$6),AND(BH$7&gt;0,$A543&gt;BH$7)),0,MAX(0,ROUND((INDEX($E543:$G543,BH$5)-SUMIFS(TF_Timer,TF_Tekniker,BH$4,TF_Dato,$A543))*2,0)/2)))</f>
        <v/>
      </c>
      <c r="BI543">
        <f>IF(OR(BI$4="",$A543&gt;TODAY()),0,IF(OR(INDEX($B543:$D543,BI$5)="F",AND(BI$6&gt;0,$A543&lt;BI$6),AND(BI$7&gt;0,$A543&gt;BI$7)),0,MAX(0,ROUND((INDEX($E543:$G543,BI$5)-SUMIFS(TF_Timer,TF_Tekniker,BI$4,TF_Dato,$A543))*2,0)/2)))</f>
        <v/>
      </c>
    </row>
    <row r="544">
      <c r="A544" s="64">
        <f>A543+1</f>
        <v/>
      </c>
      <c r="B544">
        <f>IF(MOD($A544-INDEX(SkiftStart,1),Syklus)&lt;DagK,"K",IF(MOD($A544-INDEX(SkiftStart,1),Syklus)&lt;DagK+DagH,"H",IF(MOD($A544-INDEX(SkiftStart,1),Syklus)&lt;DagK+DagH+DagD,"D","F")))</f>
        <v/>
      </c>
      <c r="C544">
        <f>IF(MOD($A544-INDEX(SkiftStart,2),Syklus)&lt;DagK,"K",IF(MOD($A544-INDEX(SkiftStart,2),Syklus)&lt;DagK+DagH,"H",IF(MOD($A544-INDEX(SkiftStart,2),Syklus)&lt;DagK+DagH+DagD,"D","F")))</f>
        <v/>
      </c>
      <c r="D544">
        <f>IF(MOD($A544-INDEX(SkiftStart,3),Syklus)&lt;DagK,"K",IF(MOD($A544-INDEX(SkiftStart,3),Syklus)&lt;DagK+DagH,"H",IF(MOD($A544-INDEX(SkiftStart,3),Syklus)&lt;DagK+DagH+DagD,"D","F")))</f>
        <v/>
      </c>
      <c r="E544">
        <f>IF(B544="F",0,IF(WEEKDAY($A544,2)=5,INDEX(TimerFr,MATCH(B544,FaseKode,0)),INDEX(TimerMT,MATCH(B544,FaseKode,0))))</f>
        <v/>
      </c>
      <c r="F544">
        <f>IF(C544="F",0,IF(WEEKDAY($A544,2)=5,INDEX(TimerFr,MATCH(C544,FaseKode,0)),INDEX(TimerMT,MATCH(C544,FaseKode,0))))</f>
        <v/>
      </c>
      <c r="G544">
        <f>IF(D544="F",0,IF(WEEKDAY($A544,2)=5,INDEX(TimerFr,MATCH(D544,FaseKode,0)),INDEX(TimerMT,MATCH(D544,FaseKode,0))))</f>
        <v/>
      </c>
      <c r="H544">
        <f>IF(OR(H$4="",$A544&gt;TODAY()),0,IF(OR(INDEX($B544:$D544,H$5)="F",AND(H$6&gt;0,$A544&lt;H$6),AND(H$7&gt;0,$A544&gt;H$7)),0,MAX(0,ROUND((INDEX($E544:$G544,H$5)-SUMIFS(TF_Timer,TF_Tekniker,H$4,TF_Dato,$A544))*2,0)/2)))</f>
        <v/>
      </c>
      <c r="I544">
        <f>IF(OR(I$4="",$A544&gt;TODAY()),0,IF(OR(INDEX($B544:$D544,I$5)="F",AND(I$6&gt;0,$A544&lt;I$6),AND(I$7&gt;0,$A544&gt;I$7)),0,MAX(0,ROUND((INDEX($E544:$G544,I$5)-SUMIFS(TF_Timer,TF_Tekniker,I$4,TF_Dato,$A544))*2,0)/2)))</f>
        <v/>
      </c>
      <c r="J544">
        <f>IF(OR(J$4="",$A544&gt;TODAY()),0,IF(OR(INDEX($B544:$D544,J$5)="F",AND(J$6&gt;0,$A544&lt;J$6),AND(J$7&gt;0,$A544&gt;J$7)),0,MAX(0,ROUND((INDEX($E544:$G544,J$5)-SUMIFS(TF_Timer,TF_Tekniker,J$4,TF_Dato,$A544))*2,0)/2)))</f>
        <v/>
      </c>
      <c r="K544">
        <f>IF(OR(K$4="",$A544&gt;TODAY()),0,IF(OR(INDEX($B544:$D544,K$5)="F",AND(K$6&gt;0,$A544&lt;K$6),AND(K$7&gt;0,$A544&gt;K$7)),0,MAX(0,ROUND((INDEX($E544:$G544,K$5)-SUMIFS(TF_Timer,TF_Tekniker,K$4,TF_Dato,$A544))*2,0)/2)))</f>
        <v/>
      </c>
      <c r="L544">
        <f>IF(OR(L$4="",$A544&gt;TODAY()),0,IF(OR(INDEX($B544:$D544,L$5)="F",AND(L$6&gt;0,$A544&lt;L$6),AND(L$7&gt;0,$A544&gt;L$7)),0,MAX(0,ROUND((INDEX($E544:$G544,L$5)-SUMIFS(TF_Timer,TF_Tekniker,L$4,TF_Dato,$A544))*2,0)/2)))</f>
        <v/>
      </c>
      <c r="M544">
        <f>IF(OR(M$4="",$A544&gt;TODAY()),0,IF(OR(INDEX($B544:$D544,M$5)="F",AND(M$6&gt;0,$A544&lt;M$6),AND(M$7&gt;0,$A544&gt;M$7)),0,MAX(0,ROUND((INDEX($E544:$G544,M$5)-SUMIFS(TF_Timer,TF_Tekniker,M$4,TF_Dato,$A544))*2,0)/2)))</f>
        <v/>
      </c>
      <c r="N544">
        <f>IF(OR(N$4="",$A544&gt;TODAY()),0,IF(OR(INDEX($B544:$D544,N$5)="F",AND(N$6&gt;0,$A544&lt;N$6),AND(N$7&gt;0,$A544&gt;N$7)),0,MAX(0,ROUND((INDEX($E544:$G544,N$5)-SUMIFS(TF_Timer,TF_Tekniker,N$4,TF_Dato,$A544))*2,0)/2)))</f>
        <v/>
      </c>
      <c r="O544">
        <f>IF(OR(O$4="",$A544&gt;TODAY()),0,IF(OR(INDEX($B544:$D544,O$5)="F",AND(O$6&gt;0,$A544&lt;O$6),AND(O$7&gt;0,$A544&gt;O$7)),0,MAX(0,ROUND((INDEX($E544:$G544,O$5)-SUMIFS(TF_Timer,TF_Tekniker,O$4,TF_Dato,$A544))*2,0)/2)))</f>
        <v/>
      </c>
      <c r="P544">
        <f>IF(OR(P$4="",$A544&gt;TODAY()),0,IF(OR(INDEX($B544:$D544,P$5)="F",AND(P$6&gt;0,$A544&lt;P$6),AND(P$7&gt;0,$A544&gt;P$7)),0,MAX(0,ROUND((INDEX($E544:$G544,P$5)-SUMIFS(TF_Timer,TF_Tekniker,P$4,TF_Dato,$A544))*2,0)/2)))</f>
        <v/>
      </c>
      <c r="Q544">
        <f>IF(OR(Q$4="",$A544&gt;TODAY()),0,IF(OR(INDEX($B544:$D544,Q$5)="F",AND(Q$6&gt;0,$A544&lt;Q$6),AND(Q$7&gt;0,$A544&gt;Q$7)),0,MAX(0,ROUND((INDEX($E544:$G544,Q$5)-SUMIFS(TF_Timer,TF_Tekniker,Q$4,TF_Dato,$A544))*2,0)/2)))</f>
        <v/>
      </c>
      <c r="R544">
        <f>IF(OR(R$4="",$A544&gt;TODAY()),0,IF(OR(INDEX($B544:$D544,R$5)="F",AND(R$6&gt;0,$A544&lt;R$6),AND(R$7&gt;0,$A544&gt;R$7)),0,MAX(0,ROUND((INDEX($E544:$G544,R$5)-SUMIFS(TF_Timer,TF_Tekniker,R$4,TF_Dato,$A544))*2,0)/2)))</f>
        <v/>
      </c>
      <c r="S544">
        <f>IF(OR(S$4="",$A544&gt;TODAY()),0,IF(OR(INDEX($B544:$D544,S$5)="F",AND(S$6&gt;0,$A544&lt;S$6),AND(S$7&gt;0,$A544&gt;S$7)),0,MAX(0,ROUND((INDEX($E544:$G544,S$5)-SUMIFS(TF_Timer,TF_Tekniker,S$4,TF_Dato,$A544))*2,0)/2)))</f>
        <v/>
      </c>
      <c r="T544">
        <f>IF(OR(T$4="",$A544&gt;TODAY()),0,IF(OR(INDEX($B544:$D544,T$5)="F",AND(T$6&gt;0,$A544&lt;T$6),AND(T$7&gt;0,$A544&gt;T$7)),0,MAX(0,ROUND((INDEX($E544:$G544,T$5)-SUMIFS(TF_Timer,TF_Tekniker,T$4,TF_Dato,$A544))*2,0)/2)))</f>
        <v/>
      </c>
      <c r="U544">
        <f>IF(OR(U$4="",$A544&gt;TODAY()),0,IF(OR(INDEX($B544:$D544,U$5)="F",AND(U$6&gt;0,$A544&lt;U$6),AND(U$7&gt;0,$A544&gt;U$7)),0,MAX(0,ROUND((INDEX($E544:$G544,U$5)-SUMIFS(TF_Timer,TF_Tekniker,U$4,TF_Dato,$A544))*2,0)/2)))</f>
        <v/>
      </c>
      <c r="V544">
        <f>IF(OR(V$4="",$A544&gt;TODAY()),0,IF(OR(INDEX($B544:$D544,V$5)="F",AND(V$6&gt;0,$A544&lt;V$6),AND(V$7&gt;0,$A544&gt;V$7)),0,MAX(0,ROUND((INDEX($E544:$G544,V$5)-SUMIFS(TF_Timer,TF_Tekniker,V$4,TF_Dato,$A544))*2,0)/2)))</f>
        <v/>
      </c>
      <c r="W544">
        <f>IF(OR(W$4="",$A544&gt;TODAY()),0,IF(OR(INDEX($B544:$D544,W$5)="F",AND(W$6&gt;0,$A544&lt;W$6),AND(W$7&gt;0,$A544&gt;W$7)),0,MAX(0,ROUND((INDEX($E544:$G544,W$5)-SUMIFS(TF_Timer,TF_Tekniker,W$4,TF_Dato,$A544))*2,0)/2)))</f>
        <v/>
      </c>
      <c r="X544">
        <f>IF(OR(X$4="",$A544&gt;TODAY()),0,IF(OR(INDEX($B544:$D544,X$5)="F",AND(X$6&gt;0,$A544&lt;X$6),AND(X$7&gt;0,$A544&gt;X$7)),0,MAX(0,ROUND((INDEX($E544:$G544,X$5)-SUMIFS(TF_Timer,TF_Tekniker,X$4,TF_Dato,$A544))*2,0)/2)))</f>
        <v/>
      </c>
      <c r="Y544">
        <f>IF(OR(Y$4="",$A544&gt;TODAY()),0,IF(OR(INDEX($B544:$D544,Y$5)="F",AND(Y$6&gt;0,$A544&lt;Y$6),AND(Y$7&gt;0,$A544&gt;Y$7)),0,MAX(0,ROUND((INDEX($E544:$G544,Y$5)-SUMIFS(TF_Timer,TF_Tekniker,Y$4,TF_Dato,$A544))*2,0)/2)))</f>
        <v/>
      </c>
      <c r="Z544">
        <f>IF(OR(Z$4="",$A544&gt;TODAY()),0,IF(OR(INDEX($B544:$D544,Z$5)="F",AND(Z$6&gt;0,$A544&lt;Z$6),AND(Z$7&gt;0,$A544&gt;Z$7)),0,MAX(0,ROUND((INDEX($E544:$G544,Z$5)-SUMIFS(TF_Timer,TF_Tekniker,Z$4,TF_Dato,$A544))*2,0)/2)))</f>
        <v/>
      </c>
      <c r="AA544">
        <f>IF(OR(AA$4="",$A544&gt;TODAY()),0,IF(OR(INDEX($B544:$D544,AA$5)="F",AND(AA$6&gt;0,$A544&lt;AA$6),AND(AA$7&gt;0,$A544&gt;AA$7)),0,MAX(0,ROUND((INDEX($E544:$G544,AA$5)-SUMIFS(TF_Timer,TF_Tekniker,AA$4,TF_Dato,$A544))*2,0)/2)))</f>
        <v/>
      </c>
      <c r="AB544">
        <f>IF(OR(AB$4="",$A544&gt;TODAY()),0,IF(OR(INDEX($B544:$D544,AB$5)="F",AND(AB$6&gt;0,$A544&lt;AB$6),AND(AB$7&gt;0,$A544&gt;AB$7)),0,MAX(0,ROUND((INDEX($E544:$G544,AB$5)-SUMIFS(TF_Timer,TF_Tekniker,AB$4,TF_Dato,$A544))*2,0)/2)))</f>
        <v/>
      </c>
      <c r="AC544">
        <f>IF(OR(AC$4="",$A544&gt;TODAY()),0,IF(OR(INDEX($B544:$D544,AC$5)="F",AND(AC$6&gt;0,$A544&lt;AC$6),AND(AC$7&gt;0,$A544&gt;AC$7)),0,MAX(0,ROUND((INDEX($E544:$G544,AC$5)-SUMIFS(TF_Timer,TF_Tekniker,AC$4,TF_Dato,$A544))*2,0)/2)))</f>
        <v/>
      </c>
      <c r="AD544">
        <f>IF(OR(AD$4="",$A544&gt;TODAY()),0,IF(OR(INDEX($B544:$D544,AD$5)="F",AND(AD$6&gt;0,$A544&lt;AD$6),AND(AD$7&gt;0,$A544&gt;AD$7)),0,MAX(0,ROUND((INDEX($E544:$G544,AD$5)-SUMIFS(TF_Timer,TF_Tekniker,AD$4,TF_Dato,$A544))*2,0)/2)))</f>
        <v/>
      </c>
      <c r="AE544">
        <f>IF(OR(AE$4="",$A544&gt;TODAY()),0,IF(OR(INDEX($B544:$D544,AE$5)="F",AND(AE$6&gt;0,$A544&lt;AE$6),AND(AE$7&gt;0,$A544&gt;AE$7)),0,MAX(0,ROUND((INDEX($E544:$G544,AE$5)-SUMIFS(TF_Timer,TF_Tekniker,AE$4,TF_Dato,$A544))*2,0)/2)))</f>
        <v/>
      </c>
      <c r="AF544">
        <f>IF(OR(AF$4="",$A544&gt;TODAY()),0,IF(OR(INDEX($B544:$D544,AF$5)="F",AND(AF$6&gt;0,$A544&lt;AF$6),AND(AF$7&gt;0,$A544&gt;AF$7)),0,MAX(0,ROUND((INDEX($E544:$G544,AF$5)-SUMIFS(TF_Timer,TF_Tekniker,AF$4,TF_Dato,$A544))*2,0)/2)))</f>
        <v/>
      </c>
      <c r="AG544">
        <f>IF(OR(AG$4="",$A544&gt;TODAY()),0,IF(OR(INDEX($B544:$D544,AG$5)="F",AND(AG$6&gt;0,$A544&lt;AG$6),AND(AG$7&gt;0,$A544&gt;AG$7)),0,MAX(0,ROUND((INDEX($E544:$G544,AG$5)-SUMIFS(TF_Timer,TF_Tekniker,AG$4,TF_Dato,$A544))*2,0)/2)))</f>
        <v/>
      </c>
      <c r="AH544">
        <f>IF(OR(AH$4="",$A544&gt;TODAY()),0,IF(OR(INDEX($B544:$D544,AH$5)="F",AND(AH$6&gt;0,$A544&lt;AH$6),AND(AH$7&gt;0,$A544&gt;AH$7)),0,MAX(0,ROUND((INDEX($E544:$G544,AH$5)-SUMIFS(TF_Timer,TF_Tekniker,AH$4,TF_Dato,$A544))*2,0)/2)))</f>
        <v/>
      </c>
      <c r="AI544">
        <f>IF(OR(AI$4="",$A544&gt;TODAY()),0,IF(OR(INDEX($B544:$D544,AI$5)="F",AND(AI$6&gt;0,$A544&lt;AI$6),AND(AI$7&gt;0,$A544&gt;AI$7)),0,MAX(0,ROUND((INDEX($E544:$G544,AI$5)-SUMIFS(TF_Timer,TF_Tekniker,AI$4,TF_Dato,$A544))*2,0)/2)))</f>
        <v/>
      </c>
      <c r="AJ544">
        <f>IF(OR(AJ$4="",$A544&gt;TODAY()),0,IF(OR(INDEX($B544:$D544,AJ$5)="F",AND(AJ$6&gt;0,$A544&lt;AJ$6),AND(AJ$7&gt;0,$A544&gt;AJ$7)),0,MAX(0,ROUND((INDEX($E544:$G544,AJ$5)-SUMIFS(TF_Timer,TF_Tekniker,AJ$4,TF_Dato,$A544))*2,0)/2)))</f>
        <v/>
      </c>
      <c r="AK544">
        <f>IF(OR(AK$4="",$A544&gt;TODAY()),0,IF(OR(INDEX($B544:$D544,AK$5)="F",AND(AK$6&gt;0,$A544&lt;AK$6),AND(AK$7&gt;0,$A544&gt;AK$7)),0,MAX(0,ROUND((INDEX($E544:$G544,AK$5)-SUMIFS(TF_Timer,TF_Tekniker,AK$4,TF_Dato,$A544))*2,0)/2)))</f>
        <v/>
      </c>
      <c r="AL544">
        <f>IF(OR(AL$4="",$A544&gt;TODAY()),0,IF(OR(INDEX($B544:$D544,AL$5)="F",AND(AL$6&gt;0,$A544&lt;AL$6),AND(AL$7&gt;0,$A544&gt;AL$7)),0,MAX(0,ROUND((INDEX($E544:$G544,AL$5)-SUMIFS(TF_Timer,TF_Tekniker,AL$4,TF_Dato,$A544))*2,0)/2)))</f>
        <v/>
      </c>
      <c r="AM544">
        <f>IF(OR(AM$4="",$A544&gt;TODAY()),0,IF(OR(INDEX($B544:$D544,AM$5)="F",AND(AM$6&gt;0,$A544&lt;AM$6),AND(AM$7&gt;0,$A544&gt;AM$7)),0,MAX(0,ROUND((INDEX($E544:$G544,AM$5)-SUMIFS(TF_Timer,TF_Tekniker,AM$4,TF_Dato,$A544))*2,0)/2)))</f>
        <v/>
      </c>
      <c r="AN544">
        <f>IF(OR(AN$4="",$A544&gt;TODAY()),0,IF(OR(INDEX($B544:$D544,AN$5)="F",AND(AN$6&gt;0,$A544&lt;AN$6),AND(AN$7&gt;0,$A544&gt;AN$7)),0,MAX(0,ROUND((INDEX($E544:$G544,AN$5)-SUMIFS(TF_Timer,TF_Tekniker,AN$4,TF_Dato,$A544))*2,0)/2)))</f>
        <v/>
      </c>
      <c r="AO544">
        <f>IF(OR(AO$4="",$A544&gt;TODAY()),0,IF(OR(INDEX($B544:$D544,AO$5)="F",AND(AO$6&gt;0,$A544&lt;AO$6),AND(AO$7&gt;0,$A544&gt;AO$7)),0,MAX(0,ROUND((INDEX($E544:$G544,AO$5)-SUMIFS(TF_Timer,TF_Tekniker,AO$4,TF_Dato,$A544))*2,0)/2)))</f>
        <v/>
      </c>
      <c r="AP544">
        <f>IF(OR(AP$4="",$A544&gt;TODAY()),0,IF(OR(INDEX($B544:$D544,AP$5)="F",AND(AP$6&gt;0,$A544&lt;AP$6),AND(AP$7&gt;0,$A544&gt;AP$7)),0,MAX(0,ROUND((INDEX($E544:$G544,AP$5)-SUMIFS(TF_Timer,TF_Tekniker,AP$4,TF_Dato,$A544))*2,0)/2)))</f>
        <v/>
      </c>
      <c r="AQ544">
        <f>IF(OR(AQ$4="",$A544&gt;TODAY()),0,IF(OR(INDEX($B544:$D544,AQ$5)="F",AND(AQ$6&gt;0,$A544&lt;AQ$6),AND(AQ$7&gt;0,$A544&gt;AQ$7)),0,MAX(0,ROUND((INDEX($E544:$G544,AQ$5)-SUMIFS(TF_Timer,TF_Tekniker,AQ$4,TF_Dato,$A544))*2,0)/2)))</f>
        <v/>
      </c>
      <c r="AR544">
        <f>IF(OR(AR$4="",$A544&gt;TODAY()),0,IF(OR(INDEX($B544:$D544,AR$5)="F",AND(AR$6&gt;0,$A544&lt;AR$6),AND(AR$7&gt;0,$A544&gt;AR$7)),0,MAX(0,ROUND((INDEX($E544:$G544,AR$5)-SUMIFS(TF_Timer,TF_Tekniker,AR$4,TF_Dato,$A544))*2,0)/2)))</f>
        <v/>
      </c>
      <c r="AS544">
        <f>IF(OR(AS$4="",$A544&gt;TODAY()),0,IF(OR(INDEX($B544:$D544,AS$5)="F",AND(AS$6&gt;0,$A544&lt;AS$6),AND(AS$7&gt;0,$A544&gt;AS$7)),0,MAX(0,ROUND((INDEX($E544:$G544,AS$5)-SUMIFS(TF_Timer,TF_Tekniker,AS$4,TF_Dato,$A544))*2,0)/2)))</f>
        <v/>
      </c>
      <c r="AT544">
        <f>IF(OR(AT$4="",$A544&gt;TODAY()),0,IF(OR(INDEX($B544:$D544,AT$5)="F",AND(AT$6&gt;0,$A544&lt;AT$6),AND(AT$7&gt;0,$A544&gt;AT$7)),0,MAX(0,ROUND((INDEX($E544:$G544,AT$5)-SUMIFS(TF_Timer,TF_Tekniker,AT$4,TF_Dato,$A544))*2,0)/2)))</f>
        <v/>
      </c>
      <c r="AU544">
        <f>IF(OR(AU$4="",$A544&gt;TODAY()),0,IF(OR(INDEX($B544:$D544,AU$5)="F",AND(AU$6&gt;0,$A544&lt;AU$6),AND(AU$7&gt;0,$A544&gt;AU$7)),0,MAX(0,ROUND((INDEX($E544:$G544,AU$5)-SUMIFS(TF_Timer,TF_Tekniker,AU$4,TF_Dato,$A544))*2,0)/2)))</f>
        <v/>
      </c>
      <c r="AV544">
        <f>IF(OR(AV$4="",$A544&gt;TODAY()),0,IF(OR(INDEX($B544:$D544,AV$5)="F",AND(AV$6&gt;0,$A544&lt;AV$6),AND(AV$7&gt;0,$A544&gt;AV$7)),0,MAX(0,ROUND((INDEX($E544:$G544,AV$5)-SUMIFS(TF_Timer,TF_Tekniker,AV$4,TF_Dato,$A544))*2,0)/2)))</f>
        <v/>
      </c>
      <c r="AW544">
        <f>IF(OR(AW$4="",$A544&gt;TODAY()),0,IF(OR(INDEX($B544:$D544,AW$5)="F",AND(AW$6&gt;0,$A544&lt;AW$6),AND(AW$7&gt;0,$A544&gt;AW$7)),0,MAX(0,ROUND((INDEX($E544:$G544,AW$5)-SUMIFS(TF_Timer,TF_Tekniker,AW$4,TF_Dato,$A544))*2,0)/2)))</f>
        <v/>
      </c>
      <c r="AX544">
        <f>IF(OR(AX$4="",$A544&gt;TODAY()),0,IF(OR(INDEX($B544:$D544,AX$5)="F",AND(AX$6&gt;0,$A544&lt;AX$6),AND(AX$7&gt;0,$A544&gt;AX$7)),0,MAX(0,ROUND((INDEX($E544:$G544,AX$5)-SUMIFS(TF_Timer,TF_Tekniker,AX$4,TF_Dato,$A544))*2,0)/2)))</f>
        <v/>
      </c>
      <c r="AY544">
        <f>IF(OR(AY$4="",$A544&gt;TODAY()),0,IF(OR(INDEX($B544:$D544,AY$5)="F",AND(AY$6&gt;0,$A544&lt;AY$6),AND(AY$7&gt;0,$A544&gt;AY$7)),0,MAX(0,ROUND((INDEX($E544:$G544,AY$5)-SUMIFS(TF_Timer,TF_Tekniker,AY$4,TF_Dato,$A544))*2,0)/2)))</f>
        <v/>
      </c>
      <c r="AZ544">
        <f>IF(OR(AZ$4="",$A544&gt;TODAY()),0,IF(OR(INDEX($B544:$D544,AZ$5)="F",AND(AZ$6&gt;0,$A544&lt;AZ$6),AND(AZ$7&gt;0,$A544&gt;AZ$7)),0,MAX(0,ROUND((INDEX($E544:$G544,AZ$5)-SUMIFS(TF_Timer,TF_Tekniker,AZ$4,TF_Dato,$A544))*2,0)/2)))</f>
        <v/>
      </c>
      <c r="BA544">
        <f>IF(OR(BA$4="",$A544&gt;TODAY()),0,IF(OR(INDEX($B544:$D544,BA$5)="F",AND(BA$6&gt;0,$A544&lt;BA$6),AND(BA$7&gt;0,$A544&gt;BA$7)),0,MAX(0,ROUND((INDEX($E544:$G544,BA$5)-SUMIFS(TF_Timer,TF_Tekniker,BA$4,TF_Dato,$A544))*2,0)/2)))</f>
        <v/>
      </c>
      <c r="BB544">
        <f>IF(OR(BB$4="",$A544&gt;TODAY()),0,IF(OR(INDEX($B544:$D544,BB$5)="F",AND(BB$6&gt;0,$A544&lt;BB$6),AND(BB$7&gt;0,$A544&gt;BB$7)),0,MAX(0,ROUND((INDEX($E544:$G544,BB$5)-SUMIFS(TF_Timer,TF_Tekniker,BB$4,TF_Dato,$A544))*2,0)/2)))</f>
        <v/>
      </c>
      <c r="BC544">
        <f>IF(OR(BC$4="",$A544&gt;TODAY()),0,IF(OR(INDEX($B544:$D544,BC$5)="F",AND(BC$6&gt;0,$A544&lt;BC$6),AND(BC$7&gt;0,$A544&gt;BC$7)),0,MAX(0,ROUND((INDEX($E544:$G544,BC$5)-SUMIFS(TF_Timer,TF_Tekniker,BC$4,TF_Dato,$A544))*2,0)/2)))</f>
        <v/>
      </c>
      <c r="BD544">
        <f>IF(OR(BD$4="",$A544&gt;TODAY()),0,IF(OR(INDEX($B544:$D544,BD$5)="F",AND(BD$6&gt;0,$A544&lt;BD$6),AND(BD$7&gt;0,$A544&gt;BD$7)),0,MAX(0,ROUND((INDEX($E544:$G544,BD$5)-SUMIFS(TF_Timer,TF_Tekniker,BD$4,TF_Dato,$A544))*2,0)/2)))</f>
        <v/>
      </c>
      <c r="BE544">
        <f>IF(OR(BE$4="",$A544&gt;TODAY()),0,IF(OR(INDEX($B544:$D544,BE$5)="F",AND(BE$6&gt;0,$A544&lt;BE$6),AND(BE$7&gt;0,$A544&gt;BE$7)),0,MAX(0,ROUND((INDEX($E544:$G544,BE$5)-SUMIFS(TF_Timer,TF_Tekniker,BE$4,TF_Dato,$A544))*2,0)/2)))</f>
        <v/>
      </c>
      <c r="BF544">
        <f>IF(OR(BF$4="",$A544&gt;TODAY()),0,IF(OR(INDEX($B544:$D544,BF$5)="F",AND(BF$6&gt;0,$A544&lt;BF$6),AND(BF$7&gt;0,$A544&gt;BF$7)),0,MAX(0,ROUND((INDEX($E544:$G544,BF$5)-SUMIFS(TF_Timer,TF_Tekniker,BF$4,TF_Dato,$A544))*2,0)/2)))</f>
        <v/>
      </c>
      <c r="BG544">
        <f>IF(OR(BG$4="",$A544&gt;TODAY()),0,IF(OR(INDEX($B544:$D544,BG$5)="F",AND(BG$6&gt;0,$A544&lt;BG$6),AND(BG$7&gt;0,$A544&gt;BG$7)),0,MAX(0,ROUND((INDEX($E544:$G544,BG$5)-SUMIFS(TF_Timer,TF_Tekniker,BG$4,TF_Dato,$A544))*2,0)/2)))</f>
        <v/>
      </c>
      <c r="BH544">
        <f>IF(OR(BH$4="",$A544&gt;TODAY()),0,IF(OR(INDEX($B544:$D544,BH$5)="F",AND(BH$6&gt;0,$A544&lt;BH$6),AND(BH$7&gt;0,$A544&gt;BH$7)),0,MAX(0,ROUND((INDEX($E544:$G544,BH$5)-SUMIFS(TF_Timer,TF_Tekniker,BH$4,TF_Dato,$A544))*2,0)/2)))</f>
        <v/>
      </c>
      <c r="BI544">
        <f>IF(OR(BI$4="",$A544&gt;TODAY()),0,IF(OR(INDEX($B544:$D544,BI$5)="F",AND(BI$6&gt;0,$A544&lt;BI$6),AND(BI$7&gt;0,$A544&gt;BI$7)),0,MAX(0,ROUND((INDEX($E544:$G544,BI$5)-SUMIFS(TF_Timer,TF_Tekniker,BI$4,TF_Dato,$A544))*2,0)/2)))</f>
        <v/>
      </c>
    </row>
    <row r="545">
      <c r="A545" s="64">
        <f>A544+1</f>
        <v/>
      </c>
      <c r="B545">
        <f>IF(MOD($A545-INDEX(SkiftStart,1),Syklus)&lt;DagK,"K",IF(MOD($A545-INDEX(SkiftStart,1),Syklus)&lt;DagK+DagH,"H",IF(MOD($A545-INDEX(SkiftStart,1),Syklus)&lt;DagK+DagH+DagD,"D","F")))</f>
        <v/>
      </c>
      <c r="C545">
        <f>IF(MOD($A545-INDEX(SkiftStart,2),Syklus)&lt;DagK,"K",IF(MOD($A545-INDEX(SkiftStart,2),Syklus)&lt;DagK+DagH,"H",IF(MOD($A545-INDEX(SkiftStart,2),Syklus)&lt;DagK+DagH+DagD,"D","F")))</f>
        <v/>
      </c>
      <c r="D545">
        <f>IF(MOD($A545-INDEX(SkiftStart,3),Syklus)&lt;DagK,"K",IF(MOD($A545-INDEX(SkiftStart,3),Syklus)&lt;DagK+DagH,"H",IF(MOD($A545-INDEX(SkiftStart,3),Syklus)&lt;DagK+DagH+DagD,"D","F")))</f>
        <v/>
      </c>
      <c r="E545">
        <f>IF(B545="F",0,IF(WEEKDAY($A545,2)=5,INDEX(TimerFr,MATCH(B545,FaseKode,0)),INDEX(TimerMT,MATCH(B545,FaseKode,0))))</f>
        <v/>
      </c>
      <c r="F545">
        <f>IF(C545="F",0,IF(WEEKDAY($A545,2)=5,INDEX(TimerFr,MATCH(C545,FaseKode,0)),INDEX(TimerMT,MATCH(C545,FaseKode,0))))</f>
        <v/>
      </c>
      <c r="G545">
        <f>IF(D545="F",0,IF(WEEKDAY($A545,2)=5,INDEX(TimerFr,MATCH(D545,FaseKode,0)),INDEX(TimerMT,MATCH(D545,FaseKode,0))))</f>
        <v/>
      </c>
      <c r="H545">
        <f>IF(OR(H$4="",$A545&gt;TODAY()),0,IF(OR(INDEX($B545:$D545,H$5)="F",AND(H$6&gt;0,$A545&lt;H$6),AND(H$7&gt;0,$A545&gt;H$7)),0,MAX(0,ROUND((INDEX($E545:$G545,H$5)-SUMIFS(TF_Timer,TF_Tekniker,H$4,TF_Dato,$A545))*2,0)/2)))</f>
        <v/>
      </c>
      <c r="I545">
        <f>IF(OR(I$4="",$A545&gt;TODAY()),0,IF(OR(INDEX($B545:$D545,I$5)="F",AND(I$6&gt;0,$A545&lt;I$6),AND(I$7&gt;0,$A545&gt;I$7)),0,MAX(0,ROUND((INDEX($E545:$G545,I$5)-SUMIFS(TF_Timer,TF_Tekniker,I$4,TF_Dato,$A545))*2,0)/2)))</f>
        <v/>
      </c>
      <c r="J545">
        <f>IF(OR(J$4="",$A545&gt;TODAY()),0,IF(OR(INDEX($B545:$D545,J$5)="F",AND(J$6&gt;0,$A545&lt;J$6),AND(J$7&gt;0,$A545&gt;J$7)),0,MAX(0,ROUND((INDEX($E545:$G545,J$5)-SUMIFS(TF_Timer,TF_Tekniker,J$4,TF_Dato,$A545))*2,0)/2)))</f>
        <v/>
      </c>
      <c r="K545">
        <f>IF(OR(K$4="",$A545&gt;TODAY()),0,IF(OR(INDEX($B545:$D545,K$5)="F",AND(K$6&gt;0,$A545&lt;K$6),AND(K$7&gt;0,$A545&gt;K$7)),0,MAX(0,ROUND((INDEX($E545:$G545,K$5)-SUMIFS(TF_Timer,TF_Tekniker,K$4,TF_Dato,$A545))*2,0)/2)))</f>
        <v/>
      </c>
      <c r="L545">
        <f>IF(OR(L$4="",$A545&gt;TODAY()),0,IF(OR(INDEX($B545:$D545,L$5)="F",AND(L$6&gt;0,$A545&lt;L$6),AND(L$7&gt;0,$A545&gt;L$7)),0,MAX(0,ROUND((INDEX($E545:$G545,L$5)-SUMIFS(TF_Timer,TF_Tekniker,L$4,TF_Dato,$A545))*2,0)/2)))</f>
        <v/>
      </c>
      <c r="M545">
        <f>IF(OR(M$4="",$A545&gt;TODAY()),0,IF(OR(INDEX($B545:$D545,M$5)="F",AND(M$6&gt;0,$A545&lt;M$6),AND(M$7&gt;0,$A545&gt;M$7)),0,MAX(0,ROUND((INDEX($E545:$G545,M$5)-SUMIFS(TF_Timer,TF_Tekniker,M$4,TF_Dato,$A545))*2,0)/2)))</f>
        <v/>
      </c>
      <c r="N545">
        <f>IF(OR(N$4="",$A545&gt;TODAY()),0,IF(OR(INDEX($B545:$D545,N$5)="F",AND(N$6&gt;0,$A545&lt;N$6),AND(N$7&gt;0,$A545&gt;N$7)),0,MAX(0,ROUND((INDEX($E545:$G545,N$5)-SUMIFS(TF_Timer,TF_Tekniker,N$4,TF_Dato,$A545))*2,0)/2)))</f>
        <v/>
      </c>
      <c r="O545">
        <f>IF(OR(O$4="",$A545&gt;TODAY()),0,IF(OR(INDEX($B545:$D545,O$5)="F",AND(O$6&gt;0,$A545&lt;O$6),AND(O$7&gt;0,$A545&gt;O$7)),0,MAX(0,ROUND((INDEX($E545:$G545,O$5)-SUMIFS(TF_Timer,TF_Tekniker,O$4,TF_Dato,$A545))*2,0)/2)))</f>
        <v/>
      </c>
      <c r="P545">
        <f>IF(OR(P$4="",$A545&gt;TODAY()),0,IF(OR(INDEX($B545:$D545,P$5)="F",AND(P$6&gt;0,$A545&lt;P$6),AND(P$7&gt;0,$A545&gt;P$7)),0,MAX(0,ROUND((INDEX($E545:$G545,P$5)-SUMIFS(TF_Timer,TF_Tekniker,P$4,TF_Dato,$A545))*2,0)/2)))</f>
        <v/>
      </c>
      <c r="Q545">
        <f>IF(OR(Q$4="",$A545&gt;TODAY()),0,IF(OR(INDEX($B545:$D545,Q$5)="F",AND(Q$6&gt;0,$A545&lt;Q$6),AND(Q$7&gt;0,$A545&gt;Q$7)),0,MAX(0,ROUND((INDEX($E545:$G545,Q$5)-SUMIFS(TF_Timer,TF_Tekniker,Q$4,TF_Dato,$A545))*2,0)/2)))</f>
        <v/>
      </c>
      <c r="R545">
        <f>IF(OR(R$4="",$A545&gt;TODAY()),0,IF(OR(INDEX($B545:$D545,R$5)="F",AND(R$6&gt;0,$A545&lt;R$6),AND(R$7&gt;0,$A545&gt;R$7)),0,MAX(0,ROUND((INDEX($E545:$G545,R$5)-SUMIFS(TF_Timer,TF_Tekniker,R$4,TF_Dato,$A545))*2,0)/2)))</f>
        <v/>
      </c>
      <c r="S545">
        <f>IF(OR(S$4="",$A545&gt;TODAY()),0,IF(OR(INDEX($B545:$D545,S$5)="F",AND(S$6&gt;0,$A545&lt;S$6),AND(S$7&gt;0,$A545&gt;S$7)),0,MAX(0,ROUND((INDEX($E545:$G545,S$5)-SUMIFS(TF_Timer,TF_Tekniker,S$4,TF_Dato,$A545))*2,0)/2)))</f>
        <v/>
      </c>
      <c r="T545">
        <f>IF(OR(T$4="",$A545&gt;TODAY()),0,IF(OR(INDEX($B545:$D545,T$5)="F",AND(T$6&gt;0,$A545&lt;T$6),AND(T$7&gt;0,$A545&gt;T$7)),0,MAX(0,ROUND((INDEX($E545:$G545,T$5)-SUMIFS(TF_Timer,TF_Tekniker,T$4,TF_Dato,$A545))*2,0)/2)))</f>
        <v/>
      </c>
      <c r="U545">
        <f>IF(OR(U$4="",$A545&gt;TODAY()),0,IF(OR(INDEX($B545:$D545,U$5)="F",AND(U$6&gt;0,$A545&lt;U$6),AND(U$7&gt;0,$A545&gt;U$7)),0,MAX(0,ROUND((INDEX($E545:$G545,U$5)-SUMIFS(TF_Timer,TF_Tekniker,U$4,TF_Dato,$A545))*2,0)/2)))</f>
        <v/>
      </c>
      <c r="V545">
        <f>IF(OR(V$4="",$A545&gt;TODAY()),0,IF(OR(INDEX($B545:$D545,V$5)="F",AND(V$6&gt;0,$A545&lt;V$6),AND(V$7&gt;0,$A545&gt;V$7)),0,MAX(0,ROUND((INDEX($E545:$G545,V$5)-SUMIFS(TF_Timer,TF_Tekniker,V$4,TF_Dato,$A545))*2,0)/2)))</f>
        <v/>
      </c>
      <c r="W545">
        <f>IF(OR(W$4="",$A545&gt;TODAY()),0,IF(OR(INDEX($B545:$D545,W$5)="F",AND(W$6&gt;0,$A545&lt;W$6),AND(W$7&gt;0,$A545&gt;W$7)),0,MAX(0,ROUND((INDEX($E545:$G545,W$5)-SUMIFS(TF_Timer,TF_Tekniker,W$4,TF_Dato,$A545))*2,0)/2)))</f>
        <v/>
      </c>
      <c r="X545">
        <f>IF(OR(X$4="",$A545&gt;TODAY()),0,IF(OR(INDEX($B545:$D545,X$5)="F",AND(X$6&gt;0,$A545&lt;X$6),AND(X$7&gt;0,$A545&gt;X$7)),0,MAX(0,ROUND((INDEX($E545:$G545,X$5)-SUMIFS(TF_Timer,TF_Tekniker,X$4,TF_Dato,$A545))*2,0)/2)))</f>
        <v/>
      </c>
      <c r="Y545">
        <f>IF(OR(Y$4="",$A545&gt;TODAY()),0,IF(OR(INDEX($B545:$D545,Y$5)="F",AND(Y$6&gt;0,$A545&lt;Y$6),AND(Y$7&gt;0,$A545&gt;Y$7)),0,MAX(0,ROUND((INDEX($E545:$G545,Y$5)-SUMIFS(TF_Timer,TF_Tekniker,Y$4,TF_Dato,$A545))*2,0)/2)))</f>
        <v/>
      </c>
      <c r="Z545">
        <f>IF(OR(Z$4="",$A545&gt;TODAY()),0,IF(OR(INDEX($B545:$D545,Z$5)="F",AND(Z$6&gt;0,$A545&lt;Z$6),AND(Z$7&gt;0,$A545&gt;Z$7)),0,MAX(0,ROUND((INDEX($E545:$G545,Z$5)-SUMIFS(TF_Timer,TF_Tekniker,Z$4,TF_Dato,$A545))*2,0)/2)))</f>
        <v/>
      </c>
      <c r="AA545">
        <f>IF(OR(AA$4="",$A545&gt;TODAY()),0,IF(OR(INDEX($B545:$D545,AA$5)="F",AND(AA$6&gt;0,$A545&lt;AA$6),AND(AA$7&gt;0,$A545&gt;AA$7)),0,MAX(0,ROUND((INDEX($E545:$G545,AA$5)-SUMIFS(TF_Timer,TF_Tekniker,AA$4,TF_Dato,$A545))*2,0)/2)))</f>
        <v/>
      </c>
      <c r="AB545">
        <f>IF(OR(AB$4="",$A545&gt;TODAY()),0,IF(OR(INDEX($B545:$D545,AB$5)="F",AND(AB$6&gt;0,$A545&lt;AB$6),AND(AB$7&gt;0,$A545&gt;AB$7)),0,MAX(0,ROUND((INDEX($E545:$G545,AB$5)-SUMIFS(TF_Timer,TF_Tekniker,AB$4,TF_Dato,$A545))*2,0)/2)))</f>
        <v/>
      </c>
      <c r="AC545">
        <f>IF(OR(AC$4="",$A545&gt;TODAY()),0,IF(OR(INDEX($B545:$D545,AC$5)="F",AND(AC$6&gt;0,$A545&lt;AC$6),AND(AC$7&gt;0,$A545&gt;AC$7)),0,MAX(0,ROUND((INDEX($E545:$G545,AC$5)-SUMIFS(TF_Timer,TF_Tekniker,AC$4,TF_Dato,$A545))*2,0)/2)))</f>
        <v/>
      </c>
      <c r="AD545">
        <f>IF(OR(AD$4="",$A545&gt;TODAY()),0,IF(OR(INDEX($B545:$D545,AD$5)="F",AND(AD$6&gt;0,$A545&lt;AD$6),AND(AD$7&gt;0,$A545&gt;AD$7)),0,MAX(0,ROUND((INDEX($E545:$G545,AD$5)-SUMIFS(TF_Timer,TF_Tekniker,AD$4,TF_Dato,$A545))*2,0)/2)))</f>
        <v/>
      </c>
      <c r="AE545">
        <f>IF(OR(AE$4="",$A545&gt;TODAY()),0,IF(OR(INDEX($B545:$D545,AE$5)="F",AND(AE$6&gt;0,$A545&lt;AE$6),AND(AE$7&gt;0,$A545&gt;AE$7)),0,MAX(0,ROUND((INDEX($E545:$G545,AE$5)-SUMIFS(TF_Timer,TF_Tekniker,AE$4,TF_Dato,$A545))*2,0)/2)))</f>
        <v/>
      </c>
      <c r="AF545">
        <f>IF(OR(AF$4="",$A545&gt;TODAY()),0,IF(OR(INDEX($B545:$D545,AF$5)="F",AND(AF$6&gt;0,$A545&lt;AF$6),AND(AF$7&gt;0,$A545&gt;AF$7)),0,MAX(0,ROUND((INDEX($E545:$G545,AF$5)-SUMIFS(TF_Timer,TF_Tekniker,AF$4,TF_Dato,$A545))*2,0)/2)))</f>
        <v/>
      </c>
      <c r="AG545">
        <f>IF(OR(AG$4="",$A545&gt;TODAY()),0,IF(OR(INDEX($B545:$D545,AG$5)="F",AND(AG$6&gt;0,$A545&lt;AG$6),AND(AG$7&gt;0,$A545&gt;AG$7)),0,MAX(0,ROUND((INDEX($E545:$G545,AG$5)-SUMIFS(TF_Timer,TF_Tekniker,AG$4,TF_Dato,$A545))*2,0)/2)))</f>
        <v/>
      </c>
      <c r="AH545">
        <f>IF(OR(AH$4="",$A545&gt;TODAY()),0,IF(OR(INDEX($B545:$D545,AH$5)="F",AND(AH$6&gt;0,$A545&lt;AH$6),AND(AH$7&gt;0,$A545&gt;AH$7)),0,MAX(0,ROUND((INDEX($E545:$G545,AH$5)-SUMIFS(TF_Timer,TF_Tekniker,AH$4,TF_Dato,$A545))*2,0)/2)))</f>
        <v/>
      </c>
      <c r="AI545">
        <f>IF(OR(AI$4="",$A545&gt;TODAY()),0,IF(OR(INDEX($B545:$D545,AI$5)="F",AND(AI$6&gt;0,$A545&lt;AI$6),AND(AI$7&gt;0,$A545&gt;AI$7)),0,MAX(0,ROUND((INDEX($E545:$G545,AI$5)-SUMIFS(TF_Timer,TF_Tekniker,AI$4,TF_Dato,$A545))*2,0)/2)))</f>
        <v/>
      </c>
      <c r="AJ545">
        <f>IF(OR(AJ$4="",$A545&gt;TODAY()),0,IF(OR(INDEX($B545:$D545,AJ$5)="F",AND(AJ$6&gt;0,$A545&lt;AJ$6),AND(AJ$7&gt;0,$A545&gt;AJ$7)),0,MAX(0,ROUND((INDEX($E545:$G545,AJ$5)-SUMIFS(TF_Timer,TF_Tekniker,AJ$4,TF_Dato,$A545))*2,0)/2)))</f>
        <v/>
      </c>
      <c r="AK545">
        <f>IF(OR(AK$4="",$A545&gt;TODAY()),0,IF(OR(INDEX($B545:$D545,AK$5)="F",AND(AK$6&gt;0,$A545&lt;AK$6),AND(AK$7&gt;0,$A545&gt;AK$7)),0,MAX(0,ROUND((INDEX($E545:$G545,AK$5)-SUMIFS(TF_Timer,TF_Tekniker,AK$4,TF_Dato,$A545))*2,0)/2)))</f>
        <v/>
      </c>
      <c r="AL545">
        <f>IF(OR(AL$4="",$A545&gt;TODAY()),0,IF(OR(INDEX($B545:$D545,AL$5)="F",AND(AL$6&gt;0,$A545&lt;AL$6),AND(AL$7&gt;0,$A545&gt;AL$7)),0,MAX(0,ROUND((INDEX($E545:$G545,AL$5)-SUMIFS(TF_Timer,TF_Tekniker,AL$4,TF_Dato,$A545))*2,0)/2)))</f>
        <v/>
      </c>
      <c r="AM545">
        <f>IF(OR(AM$4="",$A545&gt;TODAY()),0,IF(OR(INDEX($B545:$D545,AM$5)="F",AND(AM$6&gt;0,$A545&lt;AM$6),AND(AM$7&gt;0,$A545&gt;AM$7)),0,MAX(0,ROUND((INDEX($E545:$G545,AM$5)-SUMIFS(TF_Timer,TF_Tekniker,AM$4,TF_Dato,$A545))*2,0)/2)))</f>
        <v/>
      </c>
      <c r="AN545">
        <f>IF(OR(AN$4="",$A545&gt;TODAY()),0,IF(OR(INDEX($B545:$D545,AN$5)="F",AND(AN$6&gt;0,$A545&lt;AN$6),AND(AN$7&gt;0,$A545&gt;AN$7)),0,MAX(0,ROUND((INDEX($E545:$G545,AN$5)-SUMIFS(TF_Timer,TF_Tekniker,AN$4,TF_Dato,$A545))*2,0)/2)))</f>
        <v/>
      </c>
      <c r="AO545">
        <f>IF(OR(AO$4="",$A545&gt;TODAY()),0,IF(OR(INDEX($B545:$D545,AO$5)="F",AND(AO$6&gt;0,$A545&lt;AO$6),AND(AO$7&gt;0,$A545&gt;AO$7)),0,MAX(0,ROUND((INDEX($E545:$G545,AO$5)-SUMIFS(TF_Timer,TF_Tekniker,AO$4,TF_Dato,$A545))*2,0)/2)))</f>
        <v/>
      </c>
      <c r="AP545">
        <f>IF(OR(AP$4="",$A545&gt;TODAY()),0,IF(OR(INDEX($B545:$D545,AP$5)="F",AND(AP$6&gt;0,$A545&lt;AP$6),AND(AP$7&gt;0,$A545&gt;AP$7)),0,MAX(0,ROUND((INDEX($E545:$G545,AP$5)-SUMIFS(TF_Timer,TF_Tekniker,AP$4,TF_Dato,$A545))*2,0)/2)))</f>
        <v/>
      </c>
      <c r="AQ545">
        <f>IF(OR(AQ$4="",$A545&gt;TODAY()),0,IF(OR(INDEX($B545:$D545,AQ$5)="F",AND(AQ$6&gt;0,$A545&lt;AQ$6),AND(AQ$7&gt;0,$A545&gt;AQ$7)),0,MAX(0,ROUND((INDEX($E545:$G545,AQ$5)-SUMIFS(TF_Timer,TF_Tekniker,AQ$4,TF_Dato,$A545))*2,0)/2)))</f>
        <v/>
      </c>
      <c r="AR545">
        <f>IF(OR(AR$4="",$A545&gt;TODAY()),0,IF(OR(INDEX($B545:$D545,AR$5)="F",AND(AR$6&gt;0,$A545&lt;AR$6),AND(AR$7&gt;0,$A545&gt;AR$7)),0,MAX(0,ROUND((INDEX($E545:$G545,AR$5)-SUMIFS(TF_Timer,TF_Tekniker,AR$4,TF_Dato,$A545))*2,0)/2)))</f>
        <v/>
      </c>
      <c r="AS545">
        <f>IF(OR(AS$4="",$A545&gt;TODAY()),0,IF(OR(INDEX($B545:$D545,AS$5)="F",AND(AS$6&gt;0,$A545&lt;AS$6),AND(AS$7&gt;0,$A545&gt;AS$7)),0,MAX(0,ROUND((INDEX($E545:$G545,AS$5)-SUMIFS(TF_Timer,TF_Tekniker,AS$4,TF_Dato,$A545))*2,0)/2)))</f>
        <v/>
      </c>
      <c r="AT545">
        <f>IF(OR(AT$4="",$A545&gt;TODAY()),0,IF(OR(INDEX($B545:$D545,AT$5)="F",AND(AT$6&gt;0,$A545&lt;AT$6),AND(AT$7&gt;0,$A545&gt;AT$7)),0,MAX(0,ROUND((INDEX($E545:$G545,AT$5)-SUMIFS(TF_Timer,TF_Tekniker,AT$4,TF_Dato,$A545))*2,0)/2)))</f>
        <v/>
      </c>
      <c r="AU545">
        <f>IF(OR(AU$4="",$A545&gt;TODAY()),0,IF(OR(INDEX($B545:$D545,AU$5)="F",AND(AU$6&gt;0,$A545&lt;AU$6),AND(AU$7&gt;0,$A545&gt;AU$7)),0,MAX(0,ROUND((INDEX($E545:$G545,AU$5)-SUMIFS(TF_Timer,TF_Tekniker,AU$4,TF_Dato,$A545))*2,0)/2)))</f>
        <v/>
      </c>
      <c r="AV545">
        <f>IF(OR(AV$4="",$A545&gt;TODAY()),0,IF(OR(INDEX($B545:$D545,AV$5)="F",AND(AV$6&gt;0,$A545&lt;AV$6),AND(AV$7&gt;0,$A545&gt;AV$7)),0,MAX(0,ROUND((INDEX($E545:$G545,AV$5)-SUMIFS(TF_Timer,TF_Tekniker,AV$4,TF_Dato,$A545))*2,0)/2)))</f>
        <v/>
      </c>
      <c r="AW545">
        <f>IF(OR(AW$4="",$A545&gt;TODAY()),0,IF(OR(INDEX($B545:$D545,AW$5)="F",AND(AW$6&gt;0,$A545&lt;AW$6),AND(AW$7&gt;0,$A545&gt;AW$7)),0,MAX(0,ROUND((INDEX($E545:$G545,AW$5)-SUMIFS(TF_Timer,TF_Tekniker,AW$4,TF_Dato,$A545))*2,0)/2)))</f>
        <v/>
      </c>
      <c r="AX545">
        <f>IF(OR(AX$4="",$A545&gt;TODAY()),0,IF(OR(INDEX($B545:$D545,AX$5)="F",AND(AX$6&gt;0,$A545&lt;AX$6),AND(AX$7&gt;0,$A545&gt;AX$7)),0,MAX(0,ROUND((INDEX($E545:$G545,AX$5)-SUMIFS(TF_Timer,TF_Tekniker,AX$4,TF_Dato,$A545))*2,0)/2)))</f>
        <v/>
      </c>
      <c r="AY545">
        <f>IF(OR(AY$4="",$A545&gt;TODAY()),0,IF(OR(INDEX($B545:$D545,AY$5)="F",AND(AY$6&gt;0,$A545&lt;AY$6),AND(AY$7&gt;0,$A545&gt;AY$7)),0,MAX(0,ROUND((INDEX($E545:$G545,AY$5)-SUMIFS(TF_Timer,TF_Tekniker,AY$4,TF_Dato,$A545))*2,0)/2)))</f>
        <v/>
      </c>
      <c r="AZ545">
        <f>IF(OR(AZ$4="",$A545&gt;TODAY()),0,IF(OR(INDEX($B545:$D545,AZ$5)="F",AND(AZ$6&gt;0,$A545&lt;AZ$6),AND(AZ$7&gt;0,$A545&gt;AZ$7)),0,MAX(0,ROUND((INDEX($E545:$G545,AZ$5)-SUMIFS(TF_Timer,TF_Tekniker,AZ$4,TF_Dato,$A545))*2,0)/2)))</f>
        <v/>
      </c>
      <c r="BA545">
        <f>IF(OR(BA$4="",$A545&gt;TODAY()),0,IF(OR(INDEX($B545:$D545,BA$5)="F",AND(BA$6&gt;0,$A545&lt;BA$6),AND(BA$7&gt;0,$A545&gt;BA$7)),0,MAX(0,ROUND((INDEX($E545:$G545,BA$5)-SUMIFS(TF_Timer,TF_Tekniker,BA$4,TF_Dato,$A545))*2,0)/2)))</f>
        <v/>
      </c>
      <c r="BB545">
        <f>IF(OR(BB$4="",$A545&gt;TODAY()),0,IF(OR(INDEX($B545:$D545,BB$5)="F",AND(BB$6&gt;0,$A545&lt;BB$6),AND(BB$7&gt;0,$A545&gt;BB$7)),0,MAX(0,ROUND((INDEX($E545:$G545,BB$5)-SUMIFS(TF_Timer,TF_Tekniker,BB$4,TF_Dato,$A545))*2,0)/2)))</f>
        <v/>
      </c>
      <c r="BC545">
        <f>IF(OR(BC$4="",$A545&gt;TODAY()),0,IF(OR(INDEX($B545:$D545,BC$5)="F",AND(BC$6&gt;0,$A545&lt;BC$6),AND(BC$7&gt;0,$A545&gt;BC$7)),0,MAX(0,ROUND((INDEX($E545:$G545,BC$5)-SUMIFS(TF_Timer,TF_Tekniker,BC$4,TF_Dato,$A545))*2,0)/2)))</f>
        <v/>
      </c>
      <c r="BD545">
        <f>IF(OR(BD$4="",$A545&gt;TODAY()),0,IF(OR(INDEX($B545:$D545,BD$5)="F",AND(BD$6&gt;0,$A545&lt;BD$6),AND(BD$7&gt;0,$A545&gt;BD$7)),0,MAX(0,ROUND((INDEX($E545:$G545,BD$5)-SUMIFS(TF_Timer,TF_Tekniker,BD$4,TF_Dato,$A545))*2,0)/2)))</f>
        <v/>
      </c>
      <c r="BE545">
        <f>IF(OR(BE$4="",$A545&gt;TODAY()),0,IF(OR(INDEX($B545:$D545,BE$5)="F",AND(BE$6&gt;0,$A545&lt;BE$6),AND(BE$7&gt;0,$A545&gt;BE$7)),0,MAX(0,ROUND((INDEX($E545:$G545,BE$5)-SUMIFS(TF_Timer,TF_Tekniker,BE$4,TF_Dato,$A545))*2,0)/2)))</f>
        <v/>
      </c>
      <c r="BF545">
        <f>IF(OR(BF$4="",$A545&gt;TODAY()),0,IF(OR(INDEX($B545:$D545,BF$5)="F",AND(BF$6&gt;0,$A545&lt;BF$6),AND(BF$7&gt;0,$A545&gt;BF$7)),0,MAX(0,ROUND((INDEX($E545:$G545,BF$5)-SUMIFS(TF_Timer,TF_Tekniker,BF$4,TF_Dato,$A545))*2,0)/2)))</f>
        <v/>
      </c>
      <c r="BG545">
        <f>IF(OR(BG$4="",$A545&gt;TODAY()),0,IF(OR(INDEX($B545:$D545,BG$5)="F",AND(BG$6&gt;0,$A545&lt;BG$6),AND(BG$7&gt;0,$A545&gt;BG$7)),0,MAX(0,ROUND((INDEX($E545:$G545,BG$5)-SUMIFS(TF_Timer,TF_Tekniker,BG$4,TF_Dato,$A545))*2,0)/2)))</f>
        <v/>
      </c>
      <c r="BH545">
        <f>IF(OR(BH$4="",$A545&gt;TODAY()),0,IF(OR(INDEX($B545:$D545,BH$5)="F",AND(BH$6&gt;0,$A545&lt;BH$6),AND(BH$7&gt;0,$A545&gt;BH$7)),0,MAX(0,ROUND((INDEX($E545:$G545,BH$5)-SUMIFS(TF_Timer,TF_Tekniker,BH$4,TF_Dato,$A545))*2,0)/2)))</f>
        <v/>
      </c>
      <c r="BI545">
        <f>IF(OR(BI$4="",$A545&gt;TODAY()),0,IF(OR(INDEX($B545:$D545,BI$5)="F",AND(BI$6&gt;0,$A545&lt;BI$6),AND(BI$7&gt;0,$A545&gt;BI$7)),0,MAX(0,ROUND((INDEX($E545:$G545,BI$5)-SUMIFS(TF_Timer,TF_Tekniker,BI$4,TF_Dato,$A545))*2,0)/2)))</f>
        <v/>
      </c>
    </row>
    <row r="546">
      <c r="A546" s="64">
        <f>A545+1</f>
        <v/>
      </c>
      <c r="B546">
        <f>IF(MOD($A546-INDEX(SkiftStart,1),Syklus)&lt;DagK,"K",IF(MOD($A546-INDEX(SkiftStart,1),Syklus)&lt;DagK+DagH,"H",IF(MOD($A546-INDEX(SkiftStart,1),Syklus)&lt;DagK+DagH+DagD,"D","F")))</f>
        <v/>
      </c>
      <c r="C546">
        <f>IF(MOD($A546-INDEX(SkiftStart,2),Syklus)&lt;DagK,"K",IF(MOD($A546-INDEX(SkiftStart,2),Syklus)&lt;DagK+DagH,"H",IF(MOD($A546-INDEX(SkiftStart,2),Syklus)&lt;DagK+DagH+DagD,"D","F")))</f>
        <v/>
      </c>
      <c r="D546">
        <f>IF(MOD($A546-INDEX(SkiftStart,3),Syklus)&lt;DagK,"K",IF(MOD($A546-INDEX(SkiftStart,3),Syklus)&lt;DagK+DagH,"H",IF(MOD($A546-INDEX(SkiftStart,3),Syklus)&lt;DagK+DagH+DagD,"D","F")))</f>
        <v/>
      </c>
      <c r="E546">
        <f>IF(B546="F",0,IF(WEEKDAY($A546,2)=5,INDEX(TimerFr,MATCH(B546,FaseKode,0)),INDEX(TimerMT,MATCH(B546,FaseKode,0))))</f>
        <v/>
      </c>
      <c r="F546">
        <f>IF(C546="F",0,IF(WEEKDAY($A546,2)=5,INDEX(TimerFr,MATCH(C546,FaseKode,0)),INDEX(TimerMT,MATCH(C546,FaseKode,0))))</f>
        <v/>
      </c>
      <c r="G546">
        <f>IF(D546="F",0,IF(WEEKDAY($A546,2)=5,INDEX(TimerFr,MATCH(D546,FaseKode,0)),INDEX(TimerMT,MATCH(D546,FaseKode,0))))</f>
        <v/>
      </c>
      <c r="H546">
        <f>IF(OR(H$4="",$A546&gt;TODAY()),0,IF(OR(INDEX($B546:$D546,H$5)="F",AND(H$6&gt;0,$A546&lt;H$6),AND(H$7&gt;0,$A546&gt;H$7)),0,MAX(0,ROUND((INDEX($E546:$G546,H$5)-SUMIFS(TF_Timer,TF_Tekniker,H$4,TF_Dato,$A546))*2,0)/2)))</f>
        <v/>
      </c>
      <c r="I546">
        <f>IF(OR(I$4="",$A546&gt;TODAY()),0,IF(OR(INDEX($B546:$D546,I$5)="F",AND(I$6&gt;0,$A546&lt;I$6),AND(I$7&gt;0,$A546&gt;I$7)),0,MAX(0,ROUND((INDEX($E546:$G546,I$5)-SUMIFS(TF_Timer,TF_Tekniker,I$4,TF_Dato,$A546))*2,0)/2)))</f>
        <v/>
      </c>
      <c r="J546">
        <f>IF(OR(J$4="",$A546&gt;TODAY()),0,IF(OR(INDEX($B546:$D546,J$5)="F",AND(J$6&gt;0,$A546&lt;J$6),AND(J$7&gt;0,$A546&gt;J$7)),0,MAX(0,ROUND((INDEX($E546:$G546,J$5)-SUMIFS(TF_Timer,TF_Tekniker,J$4,TF_Dato,$A546))*2,0)/2)))</f>
        <v/>
      </c>
      <c r="K546">
        <f>IF(OR(K$4="",$A546&gt;TODAY()),0,IF(OR(INDEX($B546:$D546,K$5)="F",AND(K$6&gt;0,$A546&lt;K$6),AND(K$7&gt;0,$A546&gt;K$7)),0,MAX(0,ROUND((INDEX($E546:$G546,K$5)-SUMIFS(TF_Timer,TF_Tekniker,K$4,TF_Dato,$A546))*2,0)/2)))</f>
        <v/>
      </c>
      <c r="L546">
        <f>IF(OR(L$4="",$A546&gt;TODAY()),0,IF(OR(INDEX($B546:$D546,L$5)="F",AND(L$6&gt;0,$A546&lt;L$6),AND(L$7&gt;0,$A546&gt;L$7)),0,MAX(0,ROUND((INDEX($E546:$G546,L$5)-SUMIFS(TF_Timer,TF_Tekniker,L$4,TF_Dato,$A546))*2,0)/2)))</f>
        <v/>
      </c>
      <c r="M546">
        <f>IF(OR(M$4="",$A546&gt;TODAY()),0,IF(OR(INDEX($B546:$D546,M$5)="F",AND(M$6&gt;0,$A546&lt;M$6),AND(M$7&gt;0,$A546&gt;M$7)),0,MAX(0,ROUND((INDEX($E546:$G546,M$5)-SUMIFS(TF_Timer,TF_Tekniker,M$4,TF_Dato,$A546))*2,0)/2)))</f>
        <v/>
      </c>
      <c r="N546">
        <f>IF(OR(N$4="",$A546&gt;TODAY()),0,IF(OR(INDEX($B546:$D546,N$5)="F",AND(N$6&gt;0,$A546&lt;N$6),AND(N$7&gt;0,$A546&gt;N$7)),0,MAX(0,ROUND((INDEX($E546:$G546,N$5)-SUMIFS(TF_Timer,TF_Tekniker,N$4,TF_Dato,$A546))*2,0)/2)))</f>
        <v/>
      </c>
      <c r="O546">
        <f>IF(OR(O$4="",$A546&gt;TODAY()),0,IF(OR(INDEX($B546:$D546,O$5)="F",AND(O$6&gt;0,$A546&lt;O$6),AND(O$7&gt;0,$A546&gt;O$7)),0,MAX(0,ROUND((INDEX($E546:$G546,O$5)-SUMIFS(TF_Timer,TF_Tekniker,O$4,TF_Dato,$A546))*2,0)/2)))</f>
        <v/>
      </c>
      <c r="P546">
        <f>IF(OR(P$4="",$A546&gt;TODAY()),0,IF(OR(INDEX($B546:$D546,P$5)="F",AND(P$6&gt;0,$A546&lt;P$6),AND(P$7&gt;0,$A546&gt;P$7)),0,MAX(0,ROUND((INDEX($E546:$G546,P$5)-SUMIFS(TF_Timer,TF_Tekniker,P$4,TF_Dato,$A546))*2,0)/2)))</f>
        <v/>
      </c>
      <c r="Q546">
        <f>IF(OR(Q$4="",$A546&gt;TODAY()),0,IF(OR(INDEX($B546:$D546,Q$5)="F",AND(Q$6&gt;0,$A546&lt;Q$6),AND(Q$7&gt;0,$A546&gt;Q$7)),0,MAX(0,ROUND((INDEX($E546:$G546,Q$5)-SUMIFS(TF_Timer,TF_Tekniker,Q$4,TF_Dato,$A546))*2,0)/2)))</f>
        <v/>
      </c>
      <c r="R546">
        <f>IF(OR(R$4="",$A546&gt;TODAY()),0,IF(OR(INDEX($B546:$D546,R$5)="F",AND(R$6&gt;0,$A546&lt;R$6),AND(R$7&gt;0,$A546&gt;R$7)),0,MAX(0,ROUND((INDEX($E546:$G546,R$5)-SUMIFS(TF_Timer,TF_Tekniker,R$4,TF_Dato,$A546))*2,0)/2)))</f>
        <v/>
      </c>
      <c r="S546">
        <f>IF(OR(S$4="",$A546&gt;TODAY()),0,IF(OR(INDEX($B546:$D546,S$5)="F",AND(S$6&gt;0,$A546&lt;S$6),AND(S$7&gt;0,$A546&gt;S$7)),0,MAX(0,ROUND((INDEX($E546:$G546,S$5)-SUMIFS(TF_Timer,TF_Tekniker,S$4,TF_Dato,$A546))*2,0)/2)))</f>
        <v/>
      </c>
      <c r="T546">
        <f>IF(OR(T$4="",$A546&gt;TODAY()),0,IF(OR(INDEX($B546:$D546,T$5)="F",AND(T$6&gt;0,$A546&lt;T$6),AND(T$7&gt;0,$A546&gt;T$7)),0,MAX(0,ROUND((INDEX($E546:$G546,T$5)-SUMIFS(TF_Timer,TF_Tekniker,T$4,TF_Dato,$A546))*2,0)/2)))</f>
        <v/>
      </c>
      <c r="U546">
        <f>IF(OR(U$4="",$A546&gt;TODAY()),0,IF(OR(INDEX($B546:$D546,U$5)="F",AND(U$6&gt;0,$A546&lt;U$6),AND(U$7&gt;0,$A546&gt;U$7)),0,MAX(0,ROUND((INDEX($E546:$G546,U$5)-SUMIFS(TF_Timer,TF_Tekniker,U$4,TF_Dato,$A546))*2,0)/2)))</f>
        <v/>
      </c>
      <c r="V546">
        <f>IF(OR(V$4="",$A546&gt;TODAY()),0,IF(OR(INDEX($B546:$D546,V$5)="F",AND(V$6&gt;0,$A546&lt;V$6),AND(V$7&gt;0,$A546&gt;V$7)),0,MAX(0,ROUND((INDEX($E546:$G546,V$5)-SUMIFS(TF_Timer,TF_Tekniker,V$4,TF_Dato,$A546))*2,0)/2)))</f>
        <v/>
      </c>
      <c r="W546">
        <f>IF(OR(W$4="",$A546&gt;TODAY()),0,IF(OR(INDEX($B546:$D546,W$5)="F",AND(W$6&gt;0,$A546&lt;W$6),AND(W$7&gt;0,$A546&gt;W$7)),0,MAX(0,ROUND((INDEX($E546:$G546,W$5)-SUMIFS(TF_Timer,TF_Tekniker,W$4,TF_Dato,$A546))*2,0)/2)))</f>
        <v/>
      </c>
      <c r="X546">
        <f>IF(OR(X$4="",$A546&gt;TODAY()),0,IF(OR(INDEX($B546:$D546,X$5)="F",AND(X$6&gt;0,$A546&lt;X$6),AND(X$7&gt;0,$A546&gt;X$7)),0,MAX(0,ROUND((INDEX($E546:$G546,X$5)-SUMIFS(TF_Timer,TF_Tekniker,X$4,TF_Dato,$A546))*2,0)/2)))</f>
        <v/>
      </c>
      <c r="Y546">
        <f>IF(OR(Y$4="",$A546&gt;TODAY()),0,IF(OR(INDEX($B546:$D546,Y$5)="F",AND(Y$6&gt;0,$A546&lt;Y$6),AND(Y$7&gt;0,$A546&gt;Y$7)),0,MAX(0,ROUND((INDEX($E546:$G546,Y$5)-SUMIFS(TF_Timer,TF_Tekniker,Y$4,TF_Dato,$A546))*2,0)/2)))</f>
        <v/>
      </c>
      <c r="Z546">
        <f>IF(OR(Z$4="",$A546&gt;TODAY()),0,IF(OR(INDEX($B546:$D546,Z$5)="F",AND(Z$6&gt;0,$A546&lt;Z$6),AND(Z$7&gt;0,$A546&gt;Z$7)),0,MAX(0,ROUND((INDEX($E546:$G546,Z$5)-SUMIFS(TF_Timer,TF_Tekniker,Z$4,TF_Dato,$A546))*2,0)/2)))</f>
        <v/>
      </c>
      <c r="AA546">
        <f>IF(OR(AA$4="",$A546&gt;TODAY()),0,IF(OR(INDEX($B546:$D546,AA$5)="F",AND(AA$6&gt;0,$A546&lt;AA$6),AND(AA$7&gt;0,$A546&gt;AA$7)),0,MAX(0,ROUND((INDEX($E546:$G546,AA$5)-SUMIFS(TF_Timer,TF_Tekniker,AA$4,TF_Dato,$A546))*2,0)/2)))</f>
        <v/>
      </c>
      <c r="AB546">
        <f>IF(OR(AB$4="",$A546&gt;TODAY()),0,IF(OR(INDEX($B546:$D546,AB$5)="F",AND(AB$6&gt;0,$A546&lt;AB$6),AND(AB$7&gt;0,$A546&gt;AB$7)),0,MAX(0,ROUND((INDEX($E546:$G546,AB$5)-SUMIFS(TF_Timer,TF_Tekniker,AB$4,TF_Dato,$A546))*2,0)/2)))</f>
        <v/>
      </c>
      <c r="AC546">
        <f>IF(OR(AC$4="",$A546&gt;TODAY()),0,IF(OR(INDEX($B546:$D546,AC$5)="F",AND(AC$6&gt;0,$A546&lt;AC$6),AND(AC$7&gt;0,$A546&gt;AC$7)),0,MAX(0,ROUND((INDEX($E546:$G546,AC$5)-SUMIFS(TF_Timer,TF_Tekniker,AC$4,TF_Dato,$A546))*2,0)/2)))</f>
        <v/>
      </c>
      <c r="AD546">
        <f>IF(OR(AD$4="",$A546&gt;TODAY()),0,IF(OR(INDEX($B546:$D546,AD$5)="F",AND(AD$6&gt;0,$A546&lt;AD$6),AND(AD$7&gt;0,$A546&gt;AD$7)),0,MAX(0,ROUND((INDEX($E546:$G546,AD$5)-SUMIFS(TF_Timer,TF_Tekniker,AD$4,TF_Dato,$A546))*2,0)/2)))</f>
        <v/>
      </c>
      <c r="AE546">
        <f>IF(OR(AE$4="",$A546&gt;TODAY()),0,IF(OR(INDEX($B546:$D546,AE$5)="F",AND(AE$6&gt;0,$A546&lt;AE$6),AND(AE$7&gt;0,$A546&gt;AE$7)),0,MAX(0,ROUND((INDEX($E546:$G546,AE$5)-SUMIFS(TF_Timer,TF_Tekniker,AE$4,TF_Dato,$A546))*2,0)/2)))</f>
        <v/>
      </c>
      <c r="AF546">
        <f>IF(OR(AF$4="",$A546&gt;TODAY()),0,IF(OR(INDEX($B546:$D546,AF$5)="F",AND(AF$6&gt;0,$A546&lt;AF$6),AND(AF$7&gt;0,$A546&gt;AF$7)),0,MAX(0,ROUND((INDEX($E546:$G546,AF$5)-SUMIFS(TF_Timer,TF_Tekniker,AF$4,TF_Dato,$A546))*2,0)/2)))</f>
        <v/>
      </c>
      <c r="AG546">
        <f>IF(OR(AG$4="",$A546&gt;TODAY()),0,IF(OR(INDEX($B546:$D546,AG$5)="F",AND(AG$6&gt;0,$A546&lt;AG$6),AND(AG$7&gt;0,$A546&gt;AG$7)),0,MAX(0,ROUND((INDEX($E546:$G546,AG$5)-SUMIFS(TF_Timer,TF_Tekniker,AG$4,TF_Dato,$A546))*2,0)/2)))</f>
        <v/>
      </c>
      <c r="AH546">
        <f>IF(OR(AH$4="",$A546&gt;TODAY()),0,IF(OR(INDEX($B546:$D546,AH$5)="F",AND(AH$6&gt;0,$A546&lt;AH$6),AND(AH$7&gt;0,$A546&gt;AH$7)),0,MAX(0,ROUND((INDEX($E546:$G546,AH$5)-SUMIFS(TF_Timer,TF_Tekniker,AH$4,TF_Dato,$A546))*2,0)/2)))</f>
        <v/>
      </c>
      <c r="AI546">
        <f>IF(OR(AI$4="",$A546&gt;TODAY()),0,IF(OR(INDEX($B546:$D546,AI$5)="F",AND(AI$6&gt;0,$A546&lt;AI$6),AND(AI$7&gt;0,$A546&gt;AI$7)),0,MAX(0,ROUND((INDEX($E546:$G546,AI$5)-SUMIFS(TF_Timer,TF_Tekniker,AI$4,TF_Dato,$A546))*2,0)/2)))</f>
        <v/>
      </c>
      <c r="AJ546">
        <f>IF(OR(AJ$4="",$A546&gt;TODAY()),0,IF(OR(INDEX($B546:$D546,AJ$5)="F",AND(AJ$6&gt;0,$A546&lt;AJ$6),AND(AJ$7&gt;0,$A546&gt;AJ$7)),0,MAX(0,ROUND((INDEX($E546:$G546,AJ$5)-SUMIFS(TF_Timer,TF_Tekniker,AJ$4,TF_Dato,$A546))*2,0)/2)))</f>
        <v/>
      </c>
      <c r="AK546">
        <f>IF(OR(AK$4="",$A546&gt;TODAY()),0,IF(OR(INDEX($B546:$D546,AK$5)="F",AND(AK$6&gt;0,$A546&lt;AK$6),AND(AK$7&gt;0,$A546&gt;AK$7)),0,MAX(0,ROUND((INDEX($E546:$G546,AK$5)-SUMIFS(TF_Timer,TF_Tekniker,AK$4,TF_Dato,$A546))*2,0)/2)))</f>
        <v/>
      </c>
      <c r="AL546">
        <f>IF(OR(AL$4="",$A546&gt;TODAY()),0,IF(OR(INDEX($B546:$D546,AL$5)="F",AND(AL$6&gt;0,$A546&lt;AL$6),AND(AL$7&gt;0,$A546&gt;AL$7)),0,MAX(0,ROUND((INDEX($E546:$G546,AL$5)-SUMIFS(TF_Timer,TF_Tekniker,AL$4,TF_Dato,$A546))*2,0)/2)))</f>
        <v/>
      </c>
      <c r="AM546">
        <f>IF(OR(AM$4="",$A546&gt;TODAY()),0,IF(OR(INDEX($B546:$D546,AM$5)="F",AND(AM$6&gt;0,$A546&lt;AM$6),AND(AM$7&gt;0,$A546&gt;AM$7)),0,MAX(0,ROUND((INDEX($E546:$G546,AM$5)-SUMIFS(TF_Timer,TF_Tekniker,AM$4,TF_Dato,$A546))*2,0)/2)))</f>
        <v/>
      </c>
      <c r="AN546">
        <f>IF(OR(AN$4="",$A546&gt;TODAY()),0,IF(OR(INDEX($B546:$D546,AN$5)="F",AND(AN$6&gt;0,$A546&lt;AN$6),AND(AN$7&gt;0,$A546&gt;AN$7)),0,MAX(0,ROUND((INDEX($E546:$G546,AN$5)-SUMIFS(TF_Timer,TF_Tekniker,AN$4,TF_Dato,$A546))*2,0)/2)))</f>
        <v/>
      </c>
      <c r="AO546">
        <f>IF(OR(AO$4="",$A546&gt;TODAY()),0,IF(OR(INDEX($B546:$D546,AO$5)="F",AND(AO$6&gt;0,$A546&lt;AO$6),AND(AO$7&gt;0,$A546&gt;AO$7)),0,MAX(0,ROUND((INDEX($E546:$G546,AO$5)-SUMIFS(TF_Timer,TF_Tekniker,AO$4,TF_Dato,$A546))*2,0)/2)))</f>
        <v/>
      </c>
      <c r="AP546">
        <f>IF(OR(AP$4="",$A546&gt;TODAY()),0,IF(OR(INDEX($B546:$D546,AP$5)="F",AND(AP$6&gt;0,$A546&lt;AP$6),AND(AP$7&gt;0,$A546&gt;AP$7)),0,MAX(0,ROUND((INDEX($E546:$G546,AP$5)-SUMIFS(TF_Timer,TF_Tekniker,AP$4,TF_Dato,$A546))*2,0)/2)))</f>
        <v/>
      </c>
      <c r="AQ546">
        <f>IF(OR(AQ$4="",$A546&gt;TODAY()),0,IF(OR(INDEX($B546:$D546,AQ$5)="F",AND(AQ$6&gt;0,$A546&lt;AQ$6),AND(AQ$7&gt;0,$A546&gt;AQ$7)),0,MAX(0,ROUND((INDEX($E546:$G546,AQ$5)-SUMIFS(TF_Timer,TF_Tekniker,AQ$4,TF_Dato,$A546))*2,0)/2)))</f>
        <v/>
      </c>
      <c r="AR546">
        <f>IF(OR(AR$4="",$A546&gt;TODAY()),0,IF(OR(INDEX($B546:$D546,AR$5)="F",AND(AR$6&gt;0,$A546&lt;AR$6),AND(AR$7&gt;0,$A546&gt;AR$7)),0,MAX(0,ROUND((INDEX($E546:$G546,AR$5)-SUMIFS(TF_Timer,TF_Tekniker,AR$4,TF_Dato,$A546))*2,0)/2)))</f>
        <v/>
      </c>
      <c r="AS546">
        <f>IF(OR(AS$4="",$A546&gt;TODAY()),0,IF(OR(INDEX($B546:$D546,AS$5)="F",AND(AS$6&gt;0,$A546&lt;AS$6),AND(AS$7&gt;0,$A546&gt;AS$7)),0,MAX(0,ROUND((INDEX($E546:$G546,AS$5)-SUMIFS(TF_Timer,TF_Tekniker,AS$4,TF_Dato,$A546))*2,0)/2)))</f>
        <v/>
      </c>
      <c r="AT546">
        <f>IF(OR(AT$4="",$A546&gt;TODAY()),0,IF(OR(INDEX($B546:$D546,AT$5)="F",AND(AT$6&gt;0,$A546&lt;AT$6),AND(AT$7&gt;0,$A546&gt;AT$7)),0,MAX(0,ROUND((INDEX($E546:$G546,AT$5)-SUMIFS(TF_Timer,TF_Tekniker,AT$4,TF_Dato,$A546))*2,0)/2)))</f>
        <v/>
      </c>
      <c r="AU546">
        <f>IF(OR(AU$4="",$A546&gt;TODAY()),0,IF(OR(INDEX($B546:$D546,AU$5)="F",AND(AU$6&gt;0,$A546&lt;AU$6),AND(AU$7&gt;0,$A546&gt;AU$7)),0,MAX(0,ROUND((INDEX($E546:$G546,AU$5)-SUMIFS(TF_Timer,TF_Tekniker,AU$4,TF_Dato,$A546))*2,0)/2)))</f>
        <v/>
      </c>
      <c r="AV546">
        <f>IF(OR(AV$4="",$A546&gt;TODAY()),0,IF(OR(INDEX($B546:$D546,AV$5)="F",AND(AV$6&gt;0,$A546&lt;AV$6),AND(AV$7&gt;0,$A546&gt;AV$7)),0,MAX(0,ROUND((INDEX($E546:$G546,AV$5)-SUMIFS(TF_Timer,TF_Tekniker,AV$4,TF_Dato,$A546))*2,0)/2)))</f>
        <v/>
      </c>
      <c r="AW546">
        <f>IF(OR(AW$4="",$A546&gt;TODAY()),0,IF(OR(INDEX($B546:$D546,AW$5)="F",AND(AW$6&gt;0,$A546&lt;AW$6),AND(AW$7&gt;0,$A546&gt;AW$7)),0,MAX(0,ROUND((INDEX($E546:$G546,AW$5)-SUMIFS(TF_Timer,TF_Tekniker,AW$4,TF_Dato,$A546))*2,0)/2)))</f>
        <v/>
      </c>
      <c r="AX546">
        <f>IF(OR(AX$4="",$A546&gt;TODAY()),0,IF(OR(INDEX($B546:$D546,AX$5)="F",AND(AX$6&gt;0,$A546&lt;AX$6),AND(AX$7&gt;0,$A546&gt;AX$7)),0,MAX(0,ROUND((INDEX($E546:$G546,AX$5)-SUMIFS(TF_Timer,TF_Tekniker,AX$4,TF_Dato,$A546))*2,0)/2)))</f>
        <v/>
      </c>
      <c r="AY546">
        <f>IF(OR(AY$4="",$A546&gt;TODAY()),0,IF(OR(INDEX($B546:$D546,AY$5)="F",AND(AY$6&gt;0,$A546&lt;AY$6),AND(AY$7&gt;0,$A546&gt;AY$7)),0,MAX(0,ROUND((INDEX($E546:$G546,AY$5)-SUMIFS(TF_Timer,TF_Tekniker,AY$4,TF_Dato,$A546))*2,0)/2)))</f>
        <v/>
      </c>
      <c r="AZ546">
        <f>IF(OR(AZ$4="",$A546&gt;TODAY()),0,IF(OR(INDEX($B546:$D546,AZ$5)="F",AND(AZ$6&gt;0,$A546&lt;AZ$6),AND(AZ$7&gt;0,$A546&gt;AZ$7)),0,MAX(0,ROUND((INDEX($E546:$G546,AZ$5)-SUMIFS(TF_Timer,TF_Tekniker,AZ$4,TF_Dato,$A546))*2,0)/2)))</f>
        <v/>
      </c>
      <c r="BA546">
        <f>IF(OR(BA$4="",$A546&gt;TODAY()),0,IF(OR(INDEX($B546:$D546,BA$5)="F",AND(BA$6&gt;0,$A546&lt;BA$6),AND(BA$7&gt;0,$A546&gt;BA$7)),0,MAX(0,ROUND((INDEX($E546:$G546,BA$5)-SUMIFS(TF_Timer,TF_Tekniker,BA$4,TF_Dato,$A546))*2,0)/2)))</f>
        <v/>
      </c>
      <c r="BB546">
        <f>IF(OR(BB$4="",$A546&gt;TODAY()),0,IF(OR(INDEX($B546:$D546,BB$5)="F",AND(BB$6&gt;0,$A546&lt;BB$6),AND(BB$7&gt;0,$A546&gt;BB$7)),0,MAX(0,ROUND((INDEX($E546:$G546,BB$5)-SUMIFS(TF_Timer,TF_Tekniker,BB$4,TF_Dato,$A546))*2,0)/2)))</f>
        <v/>
      </c>
      <c r="BC546">
        <f>IF(OR(BC$4="",$A546&gt;TODAY()),0,IF(OR(INDEX($B546:$D546,BC$5)="F",AND(BC$6&gt;0,$A546&lt;BC$6),AND(BC$7&gt;0,$A546&gt;BC$7)),0,MAX(0,ROUND((INDEX($E546:$G546,BC$5)-SUMIFS(TF_Timer,TF_Tekniker,BC$4,TF_Dato,$A546))*2,0)/2)))</f>
        <v/>
      </c>
      <c r="BD546">
        <f>IF(OR(BD$4="",$A546&gt;TODAY()),0,IF(OR(INDEX($B546:$D546,BD$5)="F",AND(BD$6&gt;0,$A546&lt;BD$6),AND(BD$7&gt;0,$A546&gt;BD$7)),0,MAX(0,ROUND((INDEX($E546:$G546,BD$5)-SUMIFS(TF_Timer,TF_Tekniker,BD$4,TF_Dato,$A546))*2,0)/2)))</f>
        <v/>
      </c>
      <c r="BE546">
        <f>IF(OR(BE$4="",$A546&gt;TODAY()),0,IF(OR(INDEX($B546:$D546,BE$5)="F",AND(BE$6&gt;0,$A546&lt;BE$6),AND(BE$7&gt;0,$A546&gt;BE$7)),0,MAX(0,ROUND((INDEX($E546:$G546,BE$5)-SUMIFS(TF_Timer,TF_Tekniker,BE$4,TF_Dato,$A546))*2,0)/2)))</f>
        <v/>
      </c>
      <c r="BF546">
        <f>IF(OR(BF$4="",$A546&gt;TODAY()),0,IF(OR(INDEX($B546:$D546,BF$5)="F",AND(BF$6&gt;0,$A546&lt;BF$6),AND(BF$7&gt;0,$A546&gt;BF$7)),0,MAX(0,ROUND((INDEX($E546:$G546,BF$5)-SUMIFS(TF_Timer,TF_Tekniker,BF$4,TF_Dato,$A546))*2,0)/2)))</f>
        <v/>
      </c>
      <c r="BG546">
        <f>IF(OR(BG$4="",$A546&gt;TODAY()),0,IF(OR(INDEX($B546:$D546,BG$5)="F",AND(BG$6&gt;0,$A546&lt;BG$6),AND(BG$7&gt;0,$A546&gt;BG$7)),0,MAX(0,ROUND((INDEX($E546:$G546,BG$5)-SUMIFS(TF_Timer,TF_Tekniker,BG$4,TF_Dato,$A546))*2,0)/2)))</f>
        <v/>
      </c>
      <c r="BH546">
        <f>IF(OR(BH$4="",$A546&gt;TODAY()),0,IF(OR(INDEX($B546:$D546,BH$5)="F",AND(BH$6&gt;0,$A546&lt;BH$6),AND(BH$7&gt;0,$A546&gt;BH$7)),0,MAX(0,ROUND((INDEX($E546:$G546,BH$5)-SUMIFS(TF_Timer,TF_Tekniker,BH$4,TF_Dato,$A546))*2,0)/2)))</f>
        <v/>
      </c>
      <c r="BI546">
        <f>IF(OR(BI$4="",$A546&gt;TODAY()),0,IF(OR(INDEX($B546:$D546,BI$5)="F",AND(BI$6&gt;0,$A546&lt;BI$6),AND(BI$7&gt;0,$A546&gt;BI$7)),0,MAX(0,ROUND((INDEX($E546:$G546,BI$5)-SUMIFS(TF_Timer,TF_Tekniker,BI$4,TF_Dato,$A546))*2,0)/2)))</f>
        <v/>
      </c>
    </row>
    <row r="547">
      <c r="A547" s="64">
        <f>A546+1</f>
        <v/>
      </c>
      <c r="B547">
        <f>IF(MOD($A547-INDEX(SkiftStart,1),Syklus)&lt;DagK,"K",IF(MOD($A547-INDEX(SkiftStart,1),Syklus)&lt;DagK+DagH,"H",IF(MOD($A547-INDEX(SkiftStart,1),Syklus)&lt;DagK+DagH+DagD,"D","F")))</f>
        <v/>
      </c>
      <c r="C547">
        <f>IF(MOD($A547-INDEX(SkiftStart,2),Syklus)&lt;DagK,"K",IF(MOD($A547-INDEX(SkiftStart,2),Syklus)&lt;DagK+DagH,"H",IF(MOD($A547-INDEX(SkiftStart,2),Syklus)&lt;DagK+DagH+DagD,"D","F")))</f>
        <v/>
      </c>
      <c r="D547">
        <f>IF(MOD($A547-INDEX(SkiftStart,3),Syklus)&lt;DagK,"K",IF(MOD($A547-INDEX(SkiftStart,3),Syklus)&lt;DagK+DagH,"H",IF(MOD($A547-INDEX(SkiftStart,3),Syklus)&lt;DagK+DagH+DagD,"D","F")))</f>
        <v/>
      </c>
      <c r="E547">
        <f>IF(B547="F",0,IF(WEEKDAY($A547,2)=5,INDEX(TimerFr,MATCH(B547,FaseKode,0)),INDEX(TimerMT,MATCH(B547,FaseKode,0))))</f>
        <v/>
      </c>
      <c r="F547">
        <f>IF(C547="F",0,IF(WEEKDAY($A547,2)=5,INDEX(TimerFr,MATCH(C547,FaseKode,0)),INDEX(TimerMT,MATCH(C547,FaseKode,0))))</f>
        <v/>
      </c>
      <c r="G547">
        <f>IF(D547="F",0,IF(WEEKDAY($A547,2)=5,INDEX(TimerFr,MATCH(D547,FaseKode,0)),INDEX(TimerMT,MATCH(D547,FaseKode,0))))</f>
        <v/>
      </c>
      <c r="H547">
        <f>IF(OR(H$4="",$A547&gt;TODAY()),0,IF(OR(INDEX($B547:$D547,H$5)="F",AND(H$6&gt;0,$A547&lt;H$6),AND(H$7&gt;0,$A547&gt;H$7)),0,MAX(0,ROUND((INDEX($E547:$G547,H$5)-SUMIFS(TF_Timer,TF_Tekniker,H$4,TF_Dato,$A547))*2,0)/2)))</f>
        <v/>
      </c>
      <c r="I547">
        <f>IF(OR(I$4="",$A547&gt;TODAY()),0,IF(OR(INDEX($B547:$D547,I$5)="F",AND(I$6&gt;0,$A547&lt;I$6),AND(I$7&gt;0,$A547&gt;I$7)),0,MAX(0,ROUND((INDEX($E547:$G547,I$5)-SUMIFS(TF_Timer,TF_Tekniker,I$4,TF_Dato,$A547))*2,0)/2)))</f>
        <v/>
      </c>
      <c r="J547">
        <f>IF(OR(J$4="",$A547&gt;TODAY()),0,IF(OR(INDEX($B547:$D547,J$5)="F",AND(J$6&gt;0,$A547&lt;J$6),AND(J$7&gt;0,$A547&gt;J$7)),0,MAX(0,ROUND((INDEX($E547:$G547,J$5)-SUMIFS(TF_Timer,TF_Tekniker,J$4,TF_Dato,$A547))*2,0)/2)))</f>
        <v/>
      </c>
      <c r="K547">
        <f>IF(OR(K$4="",$A547&gt;TODAY()),0,IF(OR(INDEX($B547:$D547,K$5)="F",AND(K$6&gt;0,$A547&lt;K$6),AND(K$7&gt;0,$A547&gt;K$7)),0,MAX(0,ROUND((INDEX($E547:$G547,K$5)-SUMIFS(TF_Timer,TF_Tekniker,K$4,TF_Dato,$A547))*2,0)/2)))</f>
        <v/>
      </c>
      <c r="L547">
        <f>IF(OR(L$4="",$A547&gt;TODAY()),0,IF(OR(INDEX($B547:$D547,L$5)="F",AND(L$6&gt;0,$A547&lt;L$6),AND(L$7&gt;0,$A547&gt;L$7)),0,MAX(0,ROUND((INDEX($E547:$G547,L$5)-SUMIFS(TF_Timer,TF_Tekniker,L$4,TF_Dato,$A547))*2,0)/2)))</f>
        <v/>
      </c>
      <c r="M547">
        <f>IF(OR(M$4="",$A547&gt;TODAY()),0,IF(OR(INDEX($B547:$D547,M$5)="F",AND(M$6&gt;0,$A547&lt;M$6),AND(M$7&gt;0,$A547&gt;M$7)),0,MAX(0,ROUND((INDEX($E547:$G547,M$5)-SUMIFS(TF_Timer,TF_Tekniker,M$4,TF_Dato,$A547))*2,0)/2)))</f>
        <v/>
      </c>
      <c r="N547">
        <f>IF(OR(N$4="",$A547&gt;TODAY()),0,IF(OR(INDEX($B547:$D547,N$5)="F",AND(N$6&gt;0,$A547&lt;N$6),AND(N$7&gt;0,$A547&gt;N$7)),0,MAX(0,ROUND((INDEX($E547:$G547,N$5)-SUMIFS(TF_Timer,TF_Tekniker,N$4,TF_Dato,$A547))*2,0)/2)))</f>
        <v/>
      </c>
      <c r="O547">
        <f>IF(OR(O$4="",$A547&gt;TODAY()),0,IF(OR(INDEX($B547:$D547,O$5)="F",AND(O$6&gt;0,$A547&lt;O$6),AND(O$7&gt;0,$A547&gt;O$7)),0,MAX(0,ROUND((INDEX($E547:$G547,O$5)-SUMIFS(TF_Timer,TF_Tekniker,O$4,TF_Dato,$A547))*2,0)/2)))</f>
        <v/>
      </c>
      <c r="P547">
        <f>IF(OR(P$4="",$A547&gt;TODAY()),0,IF(OR(INDEX($B547:$D547,P$5)="F",AND(P$6&gt;0,$A547&lt;P$6),AND(P$7&gt;0,$A547&gt;P$7)),0,MAX(0,ROUND((INDEX($E547:$G547,P$5)-SUMIFS(TF_Timer,TF_Tekniker,P$4,TF_Dato,$A547))*2,0)/2)))</f>
        <v/>
      </c>
      <c r="Q547">
        <f>IF(OR(Q$4="",$A547&gt;TODAY()),0,IF(OR(INDEX($B547:$D547,Q$5)="F",AND(Q$6&gt;0,$A547&lt;Q$6),AND(Q$7&gt;0,$A547&gt;Q$7)),0,MAX(0,ROUND((INDEX($E547:$G547,Q$5)-SUMIFS(TF_Timer,TF_Tekniker,Q$4,TF_Dato,$A547))*2,0)/2)))</f>
        <v/>
      </c>
      <c r="R547">
        <f>IF(OR(R$4="",$A547&gt;TODAY()),0,IF(OR(INDEX($B547:$D547,R$5)="F",AND(R$6&gt;0,$A547&lt;R$6),AND(R$7&gt;0,$A547&gt;R$7)),0,MAX(0,ROUND((INDEX($E547:$G547,R$5)-SUMIFS(TF_Timer,TF_Tekniker,R$4,TF_Dato,$A547))*2,0)/2)))</f>
        <v/>
      </c>
      <c r="S547">
        <f>IF(OR(S$4="",$A547&gt;TODAY()),0,IF(OR(INDEX($B547:$D547,S$5)="F",AND(S$6&gt;0,$A547&lt;S$6),AND(S$7&gt;0,$A547&gt;S$7)),0,MAX(0,ROUND((INDEX($E547:$G547,S$5)-SUMIFS(TF_Timer,TF_Tekniker,S$4,TF_Dato,$A547))*2,0)/2)))</f>
        <v/>
      </c>
      <c r="T547">
        <f>IF(OR(T$4="",$A547&gt;TODAY()),0,IF(OR(INDEX($B547:$D547,T$5)="F",AND(T$6&gt;0,$A547&lt;T$6),AND(T$7&gt;0,$A547&gt;T$7)),0,MAX(0,ROUND((INDEX($E547:$G547,T$5)-SUMIFS(TF_Timer,TF_Tekniker,T$4,TF_Dato,$A547))*2,0)/2)))</f>
        <v/>
      </c>
      <c r="U547">
        <f>IF(OR(U$4="",$A547&gt;TODAY()),0,IF(OR(INDEX($B547:$D547,U$5)="F",AND(U$6&gt;0,$A547&lt;U$6),AND(U$7&gt;0,$A547&gt;U$7)),0,MAX(0,ROUND((INDEX($E547:$G547,U$5)-SUMIFS(TF_Timer,TF_Tekniker,U$4,TF_Dato,$A547))*2,0)/2)))</f>
        <v/>
      </c>
      <c r="V547">
        <f>IF(OR(V$4="",$A547&gt;TODAY()),0,IF(OR(INDEX($B547:$D547,V$5)="F",AND(V$6&gt;0,$A547&lt;V$6),AND(V$7&gt;0,$A547&gt;V$7)),0,MAX(0,ROUND((INDEX($E547:$G547,V$5)-SUMIFS(TF_Timer,TF_Tekniker,V$4,TF_Dato,$A547))*2,0)/2)))</f>
        <v/>
      </c>
      <c r="W547">
        <f>IF(OR(W$4="",$A547&gt;TODAY()),0,IF(OR(INDEX($B547:$D547,W$5)="F",AND(W$6&gt;0,$A547&lt;W$6),AND(W$7&gt;0,$A547&gt;W$7)),0,MAX(0,ROUND((INDEX($E547:$G547,W$5)-SUMIFS(TF_Timer,TF_Tekniker,W$4,TF_Dato,$A547))*2,0)/2)))</f>
        <v/>
      </c>
      <c r="X547">
        <f>IF(OR(X$4="",$A547&gt;TODAY()),0,IF(OR(INDEX($B547:$D547,X$5)="F",AND(X$6&gt;0,$A547&lt;X$6),AND(X$7&gt;0,$A547&gt;X$7)),0,MAX(0,ROUND((INDEX($E547:$G547,X$5)-SUMIFS(TF_Timer,TF_Tekniker,X$4,TF_Dato,$A547))*2,0)/2)))</f>
        <v/>
      </c>
      <c r="Y547">
        <f>IF(OR(Y$4="",$A547&gt;TODAY()),0,IF(OR(INDEX($B547:$D547,Y$5)="F",AND(Y$6&gt;0,$A547&lt;Y$6),AND(Y$7&gt;0,$A547&gt;Y$7)),0,MAX(0,ROUND((INDEX($E547:$G547,Y$5)-SUMIFS(TF_Timer,TF_Tekniker,Y$4,TF_Dato,$A547))*2,0)/2)))</f>
        <v/>
      </c>
      <c r="Z547">
        <f>IF(OR(Z$4="",$A547&gt;TODAY()),0,IF(OR(INDEX($B547:$D547,Z$5)="F",AND(Z$6&gt;0,$A547&lt;Z$6),AND(Z$7&gt;0,$A547&gt;Z$7)),0,MAX(0,ROUND((INDEX($E547:$G547,Z$5)-SUMIFS(TF_Timer,TF_Tekniker,Z$4,TF_Dato,$A547))*2,0)/2)))</f>
        <v/>
      </c>
      <c r="AA547">
        <f>IF(OR(AA$4="",$A547&gt;TODAY()),0,IF(OR(INDEX($B547:$D547,AA$5)="F",AND(AA$6&gt;0,$A547&lt;AA$6),AND(AA$7&gt;0,$A547&gt;AA$7)),0,MAX(0,ROUND((INDEX($E547:$G547,AA$5)-SUMIFS(TF_Timer,TF_Tekniker,AA$4,TF_Dato,$A547))*2,0)/2)))</f>
        <v/>
      </c>
      <c r="AB547">
        <f>IF(OR(AB$4="",$A547&gt;TODAY()),0,IF(OR(INDEX($B547:$D547,AB$5)="F",AND(AB$6&gt;0,$A547&lt;AB$6),AND(AB$7&gt;0,$A547&gt;AB$7)),0,MAX(0,ROUND((INDEX($E547:$G547,AB$5)-SUMIFS(TF_Timer,TF_Tekniker,AB$4,TF_Dato,$A547))*2,0)/2)))</f>
        <v/>
      </c>
      <c r="AC547">
        <f>IF(OR(AC$4="",$A547&gt;TODAY()),0,IF(OR(INDEX($B547:$D547,AC$5)="F",AND(AC$6&gt;0,$A547&lt;AC$6),AND(AC$7&gt;0,$A547&gt;AC$7)),0,MAX(0,ROUND((INDEX($E547:$G547,AC$5)-SUMIFS(TF_Timer,TF_Tekniker,AC$4,TF_Dato,$A547))*2,0)/2)))</f>
        <v/>
      </c>
      <c r="AD547">
        <f>IF(OR(AD$4="",$A547&gt;TODAY()),0,IF(OR(INDEX($B547:$D547,AD$5)="F",AND(AD$6&gt;0,$A547&lt;AD$6),AND(AD$7&gt;0,$A547&gt;AD$7)),0,MAX(0,ROUND((INDEX($E547:$G547,AD$5)-SUMIFS(TF_Timer,TF_Tekniker,AD$4,TF_Dato,$A547))*2,0)/2)))</f>
        <v/>
      </c>
      <c r="AE547">
        <f>IF(OR(AE$4="",$A547&gt;TODAY()),0,IF(OR(INDEX($B547:$D547,AE$5)="F",AND(AE$6&gt;0,$A547&lt;AE$6),AND(AE$7&gt;0,$A547&gt;AE$7)),0,MAX(0,ROUND((INDEX($E547:$G547,AE$5)-SUMIFS(TF_Timer,TF_Tekniker,AE$4,TF_Dato,$A547))*2,0)/2)))</f>
        <v/>
      </c>
      <c r="AF547">
        <f>IF(OR(AF$4="",$A547&gt;TODAY()),0,IF(OR(INDEX($B547:$D547,AF$5)="F",AND(AF$6&gt;0,$A547&lt;AF$6),AND(AF$7&gt;0,$A547&gt;AF$7)),0,MAX(0,ROUND((INDEX($E547:$G547,AF$5)-SUMIFS(TF_Timer,TF_Tekniker,AF$4,TF_Dato,$A547))*2,0)/2)))</f>
        <v/>
      </c>
      <c r="AG547">
        <f>IF(OR(AG$4="",$A547&gt;TODAY()),0,IF(OR(INDEX($B547:$D547,AG$5)="F",AND(AG$6&gt;0,$A547&lt;AG$6),AND(AG$7&gt;0,$A547&gt;AG$7)),0,MAX(0,ROUND((INDEX($E547:$G547,AG$5)-SUMIFS(TF_Timer,TF_Tekniker,AG$4,TF_Dato,$A547))*2,0)/2)))</f>
        <v/>
      </c>
      <c r="AH547">
        <f>IF(OR(AH$4="",$A547&gt;TODAY()),0,IF(OR(INDEX($B547:$D547,AH$5)="F",AND(AH$6&gt;0,$A547&lt;AH$6),AND(AH$7&gt;0,$A547&gt;AH$7)),0,MAX(0,ROUND((INDEX($E547:$G547,AH$5)-SUMIFS(TF_Timer,TF_Tekniker,AH$4,TF_Dato,$A547))*2,0)/2)))</f>
        <v/>
      </c>
      <c r="AI547">
        <f>IF(OR(AI$4="",$A547&gt;TODAY()),0,IF(OR(INDEX($B547:$D547,AI$5)="F",AND(AI$6&gt;0,$A547&lt;AI$6),AND(AI$7&gt;0,$A547&gt;AI$7)),0,MAX(0,ROUND((INDEX($E547:$G547,AI$5)-SUMIFS(TF_Timer,TF_Tekniker,AI$4,TF_Dato,$A547))*2,0)/2)))</f>
        <v/>
      </c>
      <c r="AJ547">
        <f>IF(OR(AJ$4="",$A547&gt;TODAY()),0,IF(OR(INDEX($B547:$D547,AJ$5)="F",AND(AJ$6&gt;0,$A547&lt;AJ$6),AND(AJ$7&gt;0,$A547&gt;AJ$7)),0,MAX(0,ROUND((INDEX($E547:$G547,AJ$5)-SUMIFS(TF_Timer,TF_Tekniker,AJ$4,TF_Dato,$A547))*2,0)/2)))</f>
        <v/>
      </c>
      <c r="AK547">
        <f>IF(OR(AK$4="",$A547&gt;TODAY()),0,IF(OR(INDEX($B547:$D547,AK$5)="F",AND(AK$6&gt;0,$A547&lt;AK$6),AND(AK$7&gt;0,$A547&gt;AK$7)),0,MAX(0,ROUND((INDEX($E547:$G547,AK$5)-SUMIFS(TF_Timer,TF_Tekniker,AK$4,TF_Dato,$A547))*2,0)/2)))</f>
        <v/>
      </c>
      <c r="AL547">
        <f>IF(OR(AL$4="",$A547&gt;TODAY()),0,IF(OR(INDEX($B547:$D547,AL$5)="F",AND(AL$6&gt;0,$A547&lt;AL$6),AND(AL$7&gt;0,$A547&gt;AL$7)),0,MAX(0,ROUND((INDEX($E547:$G547,AL$5)-SUMIFS(TF_Timer,TF_Tekniker,AL$4,TF_Dato,$A547))*2,0)/2)))</f>
        <v/>
      </c>
      <c r="AM547">
        <f>IF(OR(AM$4="",$A547&gt;TODAY()),0,IF(OR(INDEX($B547:$D547,AM$5)="F",AND(AM$6&gt;0,$A547&lt;AM$6),AND(AM$7&gt;0,$A547&gt;AM$7)),0,MAX(0,ROUND((INDEX($E547:$G547,AM$5)-SUMIFS(TF_Timer,TF_Tekniker,AM$4,TF_Dato,$A547))*2,0)/2)))</f>
        <v/>
      </c>
      <c r="AN547">
        <f>IF(OR(AN$4="",$A547&gt;TODAY()),0,IF(OR(INDEX($B547:$D547,AN$5)="F",AND(AN$6&gt;0,$A547&lt;AN$6),AND(AN$7&gt;0,$A547&gt;AN$7)),0,MAX(0,ROUND((INDEX($E547:$G547,AN$5)-SUMIFS(TF_Timer,TF_Tekniker,AN$4,TF_Dato,$A547))*2,0)/2)))</f>
        <v/>
      </c>
      <c r="AO547">
        <f>IF(OR(AO$4="",$A547&gt;TODAY()),0,IF(OR(INDEX($B547:$D547,AO$5)="F",AND(AO$6&gt;0,$A547&lt;AO$6),AND(AO$7&gt;0,$A547&gt;AO$7)),0,MAX(0,ROUND((INDEX($E547:$G547,AO$5)-SUMIFS(TF_Timer,TF_Tekniker,AO$4,TF_Dato,$A547))*2,0)/2)))</f>
        <v/>
      </c>
      <c r="AP547">
        <f>IF(OR(AP$4="",$A547&gt;TODAY()),0,IF(OR(INDEX($B547:$D547,AP$5)="F",AND(AP$6&gt;0,$A547&lt;AP$6),AND(AP$7&gt;0,$A547&gt;AP$7)),0,MAX(0,ROUND((INDEX($E547:$G547,AP$5)-SUMIFS(TF_Timer,TF_Tekniker,AP$4,TF_Dato,$A547))*2,0)/2)))</f>
        <v/>
      </c>
      <c r="AQ547">
        <f>IF(OR(AQ$4="",$A547&gt;TODAY()),0,IF(OR(INDEX($B547:$D547,AQ$5)="F",AND(AQ$6&gt;0,$A547&lt;AQ$6),AND(AQ$7&gt;0,$A547&gt;AQ$7)),0,MAX(0,ROUND((INDEX($E547:$G547,AQ$5)-SUMIFS(TF_Timer,TF_Tekniker,AQ$4,TF_Dato,$A547))*2,0)/2)))</f>
        <v/>
      </c>
      <c r="AR547">
        <f>IF(OR(AR$4="",$A547&gt;TODAY()),0,IF(OR(INDEX($B547:$D547,AR$5)="F",AND(AR$6&gt;0,$A547&lt;AR$6),AND(AR$7&gt;0,$A547&gt;AR$7)),0,MAX(0,ROUND((INDEX($E547:$G547,AR$5)-SUMIFS(TF_Timer,TF_Tekniker,AR$4,TF_Dato,$A547))*2,0)/2)))</f>
        <v/>
      </c>
      <c r="AS547">
        <f>IF(OR(AS$4="",$A547&gt;TODAY()),0,IF(OR(INDEX($B547:$D547,AS$5)="F",AND(AS$6&gt;0,$A547&lt;AS$6),AND(AS$7&gt;0,$A547&gt;AS$7)),0,MAX(0,ROUND((INDEX($E547:$G547,AS$5)-SUMIFS(TF_Timer,TF_Tekniker,AS$4,TF_Dato,$A547))*2,0)/2)))</f>
        <v/>
      </c>
      <c r="AT547">
        <f>IF(OR(AT$4="",$A547&gt;TODAY()),0,IF(OR(INDEX($B547:$D547,AT$5)="F",AND(AT$6&gt;0,$A547&lt;AT$6),AND(AT$7&gt;0,$A547&gt;AT$7)),0,MAX(0,ROUND((INDEX($E547:$G547,AT$5)-SUMIFS(TF_Timer,TF_Tekniker,AT$4,TF_Dato,$A547))*2,0)/2)))</f>
        <v/>
      </c>
      <c r="AU547">
        <f>IF(OR(AU$4="",$A547&gt;TODAY()),0,IF(OR(INDEX($B547:$D547,AU$5)="F",AND(AU$6&gt;0,$A547&lt;AU$6),AND(AU$7&gt;0,$A547&gt;AU$7)),0,MAX(0,ROUND((INDEX($E547:$G547,AU$5)-SUMIFS(TF_Timer,TF_Tekniker,AU$4,TF_Dato,$A547))*2,0)/2)))</f>
        <v/>
      </c>
      <c r="AV547">
        <f>IF(OR(AV$4="",$A547&gt;TODAY()),0,IF(OR(INDEX($B547:$D547,AV$5)="F",AND(AV$6&gt;0,$A547&lt;AV$6),AND(AV$7&gt;0,$A547&gt;AV$7)),0,MAX(0,ROUND((INDEX($E547:$G547,AV$5)-SUMIFS(TF_Timer,TF_Tekniker,AV$4,TF_Dato,$A547))*2,0)/2)))</f>
        <v/>
      </c>
      <c r="AW547">
        <f>IF(OR(AW$4="",$A547&gt;TODAY()),0,IF(OR(INDEX($B547:$D547,AW$5)="F",AND(AW$6&gt;0,$A547&lt;AW$6),AND(AW$7&gt;0,$A547&gt;AW$7)),0,MAX(0,ROUND((INDEX($E547:$G547,AW$5)-SUMIFS(TF_Timer,TF_Tekniker,AW$4,TF_Dato,$A547))*2,0)/2)))</f>
        <v/>
      </c>
      <c r="AX547">
        <f>IF(OR(AX$4="",$A547&gt;TODAY()),0,IF(OR(INDEX($B547:$D547,AX$5)="F",AND(AX$6&gt;0,$A547&lt;AX$6),AND(AX$7&gt;0,$A547&gt;AX$7)),0,MAX(0,ROUND((INDEX($E547:$G547,AX$5)-SUMIFS(TF_Timer,TF_Tekniker,AX$4,TF_Dato,$A547))*2,0)/2)))</f>
        <v/>
      </c>
      <c r="AY547">
        <f>IF(OR(AY$4="",$A547&gt;TODAY()),0,IF(OR(INDEX($B547:$D547,AY$5)="F",AND(AY$6&gt;0,$A547&lt;AY$6),AND(AY$7&gt;0,$A547&gt;AY$7)),0,MAX(0,ROUND((INDEX($E547:$G547,AY$5)-SUMIFS(TF_Timer,TF_Tekniker,AY$4,TF_Dato,$A547))*2,0)/2)))</f>
        <v/>
      </c>
      <c r="AZ547">
        <f>IF(OR(AZ$4="",$A547&gt;TODAY()),0,IF(OR(INDEX($B547:$D547,AZ$5)="F",AND(AZ$6&gt;0,$A547&lt;AZ$6),AND(AZ$7&gt;0,$A547&gt;AZ$7)),0,MAX(0,ROUND((INDEX($E547:$G547,AZ$5)-SUMIFS(TF_Timer,TF_Tekniker,AZ$4,TF_Dato,$A547))*2,0)/2)))</f>
        <v/>
      </c>
      <c r="BA547">
        <f>IF(OR(BA$4="",$A547&gt;TODAY()),0,IF(OR(INDEX($B547:$D547,BA$5)="F",AND(BA$6&gt;0,$A547&lt;BA$6),AND(BA$7&gt;0,$A547&gt;BA$7)),0,MAX(0,ROUND((INDEX($E547:$G547,BA$5)-SUMIFS(TF_Timer,TF_Tekniker,BA$4,TF_Dato,$A547))*2,0)/2)))</f>
        <v/>
      </c>
      <c r="BB547">
        <f>IF(OR(BB$4="",$A547&gt;TODAY()),0,IF(OR(INDEX($B547:$D547,BB$5)="F",AND(BB$6&gt;0,$A547&lt;BB$6),AND(BB$7&gt;0,$A547&gt;BB$7)),0,MAX(0,ROUND((INDEX($E547:$G547,BB$5)-SUMIFS(TF_Timer,TF_Tekniker,BB$4,TF_Dato,$A547))*2,0)/2)))</f>
        <v/>
      </c>
      <c r="BC547">
        <f>IF(OR(BC$4="",$A547&gt;TODAY()),0,IF(OR(INDEX($B547:$D547,BC$5)="F",AND(BC$6&gt;0,$A547&lt;BC$6),AND(BC$7&gt;0,$A547&gt;BC$7)),0,MAX(0,ROUND((INDEX($E547:$G547,BC$5)-SUMIFS(TF_Timer,TF_Tekniker,BC$4,TF_Dato,$A547))*2,0)/2)))</f>
        <v/>
      </c>
      <c r="BD547">
        <f>IF(OR(BD$4="",$A547&gt;TODAY()),0,IF(OR(INDEX($B547:$D547,BD$5)="F",AND(BD$6&gt;0,$A547&lt;BD$6),AND(BD$7&gt;0,$A547&gt;BD$7)),0,MAX(0,ROUND((INDEX($E547:$G547,BD$5)-SUMIFS(TF_Timer,TF_Tekniker,BD$4,TF_Dato,$A547))*2,0)/2)))</f>
        <v/>
      </c>
      <c r="BE547">
        <f>IF(OR(BE$4="",$A547&gt;TODAY()),0,IF(OR(INDEX($B547:$D547,BE$5)="F",AND(BE$6&gt;0,$A547&lt;BE$6),AND(BE$7&gt;0,$A547&gt;BE$7)),0,MAX(0,ROUND((INDEX($E547:$G547,BE$5)-SUMIFS(TF_Timer,TF_Tekniker,BE$4,TF_Dato,$A547))*2,0)/2)))</f>
        <v/>
      </c>
      <c r="BF547">
        <f>IF(OR(BF$4="",$A547&gt;TODAY()),0,IF(OR(INDEX($B547:$D547,BF$5)="F",AND(BF$6&gt;0,$A547&lt;BF$6),AND(BF$7&gt;0,$A547&gt;BF$7)),0,MAX(0,ROUND((INDEX($E547:$G547,BF$5)-SUMIFS(TF_Timer,TF_Tekniker,BF$4,TF_Dato,$A547))*2,0)/2)))</f>
        <v/>
      </c>
      <c r="BG547">
        <f>IF(OR(BG$4="",$A547&gt;TODAY()),0,IF(OR(INDEX($B547:$D547,BG$5)="F",AND(BG$6&gt;0,$A547&lt;BG$6),AND(BG$7&gt;0,$A547&gt;BG$7)),0,MAX(0,ROUND((INDEX($E547:$G547,BG$5)-SUMIFS(TF_Timer,TF_Tekniker,BG$4,TF_Dato,$A547))*2,0)/2)))</f>
        <v/>
      </c>
      <c r="BH547">
        <f>IF(OR(BH$4="",$A547&gt;TODAY()),0,IF(OR(INDEX($B547:$D547,BH$5)="F",AND(BH$6&gt;0,$A547&lt;BH$6),AND(BH$7&gt;0,$A547&gt;BH$7)),0,MAX(0,ROUND((INDEX($E547:$G547,BH$5)-SUMIFS(TF_Timer,TF_Tekniker,BH$4,TF_Dato,$A547))*2,0)/2)))</f>
        <v/>
      </c>
      <c r="BI547">
        <f>IF(OR(BI$4="",$A547&gt;TODAY()),0,IF(OR(INDEX($B547:$D547,BI$5)="F",AND(BI$6&gt;0,$A547&lt;BI$6),AND(BI$7&gt;0,$A547&gt;BI$7)),0,MAX(0,ROUND((INDEX($E547:$G547,BI$5)-SUMIFS(TF_Timer,TF_Tekniker,BI$4,TF_Dato,$A547))*2,0)/2)))</f>
        <v/>
      </c>
    </row>
    <row r="548">
      <c r="A548" s="64">
        <f>A547+1</f>
        <v/>
      </c>
      <c r="B548">
        <f>IF(MOD($A548-INDEX(SkiftStart,1),Syklus)&lt;DagK,"K",IF(MOD($A548-INDEX(SkiftStart,1),Syklus)&lt;DagK+DagH,"H",IF(MOD($A548-INDEX(SkiftStart,1),Syklus)&lt;DagK+DagH+DagD,"D","F")))</f>
        <v/>
      </c>
      <c r="C548">
        <f>IF(MOD($A548-INDEX(SkiftStart,2),Syklus)&lt;DagK,"K",IF(MOD($A548-INDEX(SkiftStart,2),Syklus)&lt;DagK+DagH,"H",IF(MOD($A548-INDEX(SkiftStart,2),Syklus)&lt;DagK+DagH+DagD,"D","F")))</f>
        <v/>
      </c>
      <c r="D548">
        <f>IF(MOD($A548-INDEX(SkiftStart,3),Syklus)&lt;DagK,"K",IF(MOD($A548-INDEX(SkiftStart,3),Syklus)&lt;DagK+DagH,"H",IF(MOD($A548-INDEX(SkiftStart,3),Syklus)&lt;DagK+DagH+DagD,"D","F")))</f>
        <v/>
      </c>
      <c r="E548">
        <f>IF(B548="F",0,IF(WEEKDAY($A548,2)=5,INDEX(TimerFr,MATCH(B548,FaseKode,0)),INDEX(TimerMT,MATCH(B548,FaseKode,0))))</f>
        <v/>
      </c>
      <c r="F548">
        <f>IF(C548="F",0,IF(WEEKDAY($A548,2)=5,INDEX(TimerFr,MATCH(C548,FaseKode,0)),INDEX(TimerMT,MATCH(C548,FaseKode,0))))</f>
        <v/>
      </c>
      <c r="G548">
        <f>IF(D548="F",0,IF(WEEKDAY($A548,2)=5,INDEX(TimerFr,MATCH(D548,FaseKode,0)),INDEX(TimerMT,MATCH(D548,FaseKode,0))))</f>
        <v/>
      </c>
      <c r="H548">
        <f>IF(OR(H$4="",$A548&gt;TODAY()),0,IF(OR(INDEX($B548:$D548,H$5)="F",AND(H$6&gt;0,$A548&lt;H$6),AND(H$7&gt;0,$A548&gt;H$7)),0,MAX(0,ROUND((INDEX($E548:$G548,H$5)-SUMIFS(TF_Timer,TF_Tekniker,H$4,TF_Dato,$A548))*2,0)/2)))</f>
        <v/>
      </c>
      <c r="I548">
        <f>IF(OR(I$4="",$A548&gt;TODAY()),0,IF(OR(INDEX($B548:$D548,I$5)="F",AND(I$6&gt;0,$A548&lt;I$6),AND(I$7&gt;0,$A548&gt;I$7)),0,MAX(0,ROUND((INDEX($E548:$G548,I$5)-SUMIFS(TF_Timer,TF_Tekniker,I$4,TF_Dato,$A548))*2,0)/2)))</f>
        <v/>
      </c>
      <c r="J548">
        <f>IF(OR(J$4="",$A548&gt;TODAY()),0,IF(OR(INDEX($B548:$D548,J$5)="F",AND(J$6&gt;0,$A548&lt;J$6),AND(J$7&gt;0,$A548&gt;J$7)),0,MAX(0,ROUND((INDEX($E548:$G548,J$5)-SUMIFS(TF_Timer,TF_Tekniker,J$4,TF_Dato,$A548))*2,0)/2)))</f>
        <v/>
      </c>
      <c r="K548">
        <f>IF(OR(K$4="",$A548&gt;TODAY()),0,IF(OR(INDEX($B548:$D548,K$5)="F",AND(K$6&gt;0,$A548&lt;K$6),AND(K$7&gt;0,$A548&gt;K$7)),0,MAX(0,ROUND((INDEX($E548:$G548,K$5)-SUMIFS(TF_Timer,TF_Tekniker,K$4,TF_Dato,$A548))*2,0)/2)))</f>
        <v/>
      </c>
      <c r="L548">
        <f>IF(OR(L$4="",$A548&gt;TODAY()),0,IF(OR(INDEX($B548:$D548,L$5)="F",AND(L$6&gt;0,$A548&lt;L$6),AND(L$7&gt;0,$A548&gt;L$7)),0,MAX(0,ROUND((INDEX($E548:$G548,L$5)-SUMIFS(TF_Timer,TF_Tekniker,L$4,TF_Dato,$A548))*2,0)/2)))</f>
        <v/>
      </c>
      <c r="M548">
        <f>IF(OR(M$4="",$A548&gt;TODAY()),0,IF(OR(INDEX($B548:$D548,M$5)="F",AND(M$6&gt;0,$A548&lt;M$6),AND(M$7&gt;0,$A548&gt;M$7)),0,MAX(0,ROUND((INDEX($E548:$G548,M$5)-SUMIFS(TF_Timer,TF_Tekniker,M$4,TF_Dato,$A548))*2,0)/2)))</f>
        <v/>
      </c>
      <c r="N548">
        <f>IF(OR(N$4="",$A548&gt;TODAY()),0,IF(OR(INDEX($B548:$D548,N$5)="F",AND(N$6&gt;0,$A548&lt;N$6),AND(N$7&gt;0,$A548&gt;N$7)),0,MAX(0,ROUND((INDEX($E548:$G548,N$5)-SUMIFS(TF_Timer,TF_Tekniker,N$4,TF_Dato,$A548))*2,0)/2)))</f>
        <v/>
      </c>
      <c r="O548">
        <f>IF(OR(O$4="",$A548&gt;TODAY()),0,IF(OR(INDEX($B548:$D548,O$5)="F",AND(O$6&gt;0,$A548&lt;O$6),AND(O$7&gt;0,$A548&gt;O$7)),0,MAX(0,ROUND((INDEX($E548:$G548,O$5)-SUMIFS(TF_Timer,TF_Tekniker,O$4,TF_Dato,$A548))*2,0)/2)))</f>
        <v/>
      </c>
      <c r="P548">
        <f>IF(OR(P$4="",$A548&gt;TODAY()),0,IF(OR(INDEX($B548:$D548,P$5)="F",AND(P$6&gt;0,$A548&lt;P$6),AND(P$7&gt;0,$A548&gt;P$7)),0,MAX(0,ROUND((INDEX($E548:$G548,P$5)-SUMIFS(TF_Timer,TF_Tekniker,P$4,TF_Dato,$A548))*2,0)/2)))</f>
        <v/>
      </c>
      <c r="Q548">
        <f>IF(OR(Q$4="",$A548&gt;TODAY()),0,IF(OR(INDEX($B548:$D548,Q$5)="F",AND(Q$6&gt;0,$A548&lt;Q$6),AND(Q$7&gt;0,$A548&gt;Q$7)),0,MAX(0,ROUND((INDEX($E548:$G548,Q$5)-SUMIFS(TF_Timer,TF_Tekniker,Q$4,TF_Dato,$A548))*2,0)/2)))</f>
        <v/>
      </c>
      <c r="R548">
        <f>IF(OR(R$4="",$A548&gt;TODAY()),0,IF(OR(INDEX($B548:$D548,R$5)="F",AND(R$6&gt;0,$A548&lt;R$6),AND(R$7&gt;0,$A548&gt;R$7)),0,MAX(0,ROUND((INDEX($E548:$G548,R$5)-SUMIFS(TF_Timer,TF_Tekniker,R$4,TF_Dato,$A548))*2,0)/2)))</f>
        <v/>
      </c>
      <c r="S548">
        <f>IF(OR(S$4="",$A548&gt;TODAY()),0,IF(OR(INDEX($B548:$D548,S$5)="F",AND(S$6&gt;0,$A548&lt;S$6),AND(S$7&gt;0,$A548&gt;S$7)),0,MAX(0,ROUND((INDEX($E548:$G548,S$5)-SUMIFS(TF_Timer,TF_Tekniker,S$4,TF_Dato,$A548))*2,0)/2)))</f>
        <v/>
      </c>
      <c r="T548">
        <f>IF(OR(T$4="",$A548&gt;TODAY()),0,IF(OR(INDEX($B548:$D548,T$5)="F",AND(T$6&gt;0,$A548&lt;T$6),AND(T$7&gt;0,$A548&gt;T$7)),0,MAX(0,ROUND((INDEX($E548:$G548,T$5)-SUMIFS(TF_Timer,TF_Tekniker,T$4,TF_Dato,$A548))*2,0)/2)))</f>
        <v/>
      </c>
      <c r="U548">
        <f>IF(OR(U$4="",$A548&gt;TODAY()),0,IF(OR(INDEX($B548:$D548,U$5)="F",AND(U$6&gt;0,$A548&lt;U$6),AND(U$7&gt;0,$A548&gt;U$7)),0,MAX(0,ROUND((INDEX($E548:$G548,U$5)-SUMIFS(TF_Timer,TF_Tekniker,U$4,TF_Dato,$A548))*2,0)/2)))</f>
        <v/>
      </c>
      <c r="V548">
        <f>IF(OR(V$4="",$A548&gt;TODAY()),0,IF(OR(INDEX($B548:$D548,V$5)="F",AND(V$6&gt;0,$A548&lt;V$6),AND(V$7&gt;0,$A548&gt;V$7)),0,MAX(0,ROUND((INDEX($E548:$G548,V$5)-SUMIFS(TF_Timer,TF_Tekniker,V$4,TF_Dato,$A548))*2,0)/2)))</f>
        <v/>
      </c>
      <c r="W548">
        <f>IF(OR(W$4="",$A548&gt;TODAY()),0,IF(OR(INDEX($B548:$D548,W$5)="F",AND(W$6&gt;0,$A548&lt;W$6),AND(W$7&gt;0,$A548&gt;W$7)),0,MAX(0,ROUND((INDEX($E548:$G548,W$5)-SUMIFS(TF_Timer,TF_Tekniker,W$4,TF_Dato,$A548))*2,0)/2)))</f>
        <v/>
      </c>
      <c r="X548">
        <f>IF(OR(X$4="",$A548&gt;TODAY()),0,IF(OR(INDEX($B548:$D548,X$5)="F",AND(X$6&gt;0,$A548&lt;X$6),AND(X$7&gt;0,$A548&gt;X$7)),0,MAX(0,ROUND((INDEX($E548:$G548,X$5)-SUMIFS(TF_Timer,TF_Tekniker,X$4,TF_Dato,$A548))*2,0)/2)))</f>
        <v/>
      </c>
      <c r="Y548">
        <f>IF(OR(Y$4="",$A548&gt;TODAY()),0,IF(OR(INDEX($B548:$D548,Y$5)="F",AND(Y$6&gt;0,$A548&lt;Y$6),AND(Y$7&gt;0,$A548&gt;Y$7)),0,MAX(0,ROUND((INDEX($E548:$G548,Y$5)-SUMIFS(TF_Timer,TF_Tekniker,Y$4,TF_Dato,$A548))*2,0)/2)))</f>
        <v/>
      </c>
      <c r="Z548">
        <f>IF(OR(Z$4="",$A548&gt;TODAY()),0,IF(OR(INDEX($B548:$D548,Z$5)="F",AND(Z$6&gt;0,$A548&lt;Z$6),AND(Z$7&gt;0,$A548&gt;Z$7)),0,MAX(0,ROUND((INDEX($E548:$G548,Z$5)-SUMIFS(TF_Timer,TF_Tekniker,Z$4,TF_Dato,$A548))*2,0)/2)))</f>
        <v/>
      </c>
      <c r="AA548">
        <f>IF(OR(AA$4="",$A548&gt;TODAY()),0,IF(OR(INDEX($B548:$D548,AA$5)="F",AND(AA$6&gt;0,$A548&lt;AA$6),AND(AA$7&gt;0,$A548&gt;AA$7)),0,MAX(0,ROUND((INDEX($E548:$G548,AA$5)-SUMIFS(TF_Timer,TF_Tekniker,AA$4,TF_Dato,$A548))*2,0)/2)))</f>
        <v/>
      </c>
      <c r="AB548">
        <f>IF(OR(AB$4="",$A548&gt;TODAY()),0,IF(OR(INDEX($B548:$D548,AB$5)="F",AND(AB$6&gt;0,$A548&lt;AB$6),AND(AB$7&gt;0,$A548&gt;AB$7)),0,MAX(0,ROUND((INDEX($E548:$G548,AB$5)-SUMIFS(TF_Timer,TF_Tekniker,AB$4,TF_Dato,$A548))*2,0)/2)))</f>
        <v/>
      </c>
      <c r="AC548">
        <f>IF(OR(AC$4="",$A548&gt;TODAY()),0,IF(OR(INDEX($B548:$D548,AC$5)="F",AND(AC$6&gt;0,$A548&lt;AC$6),AND(AC$7&gt;0,$A548&gt;AC$7)),0,MAX(0,ROUND((INDEX($E548:$G548,AC$5)-SUMIFS(TF_Timer,TF_Tekniker,AC$4,TF_Dato,$A548))*2,0)/2)))</f>
        <v/>
      </c>
      <c r="AD548">
        <f>IF(OR(AD$4="",$A548&gt;TODAY()),0,IF(OR(INDEX($B548:$D548,AD$5)="F",AND(AD$6&gt;0,$A548&lt;AD$6),AND(AD$7&gt;0,$A548&gt;AD$7)),0,MAX(0,ROUND((INDEX($E548:$G548,AD$5)-SUMIFS(TF_Timer,TF_Tekniker,AD$4,TF_Dato,$A548))*2,0)/2)))</f>
        <v/>
      </c>
      <c r="AE548">
        <f>IF(OR(AE$4="",$A548&gt;TODAY()),0,IF(OR(INDEX($B548:$D548,AE$5)="F",AND(AE$6&gt;0,$A548&lt;AE$6),AND(AE$7&gt;0,$A548&gt;AE$7)),0,MAX(0,ROUND((INDEX($E548:$G548,AE$5)-SUMIFS(TF_Timer,TF_Tekniker,AE$4,TF_Dato,$A548))*2,0)/2)))</f>
        <v/>
      </c>
      <c r="AF548">
        <f>IF(OR(AF$4="",$A548&gt;TODAY()),0,IF(OR(INDEX($B548:$D548,AF$5)="F",AND(AF$6&gt;0,$A548&lt;AF$6),AND(AF$7&gt;0,$A548&gt;AF$7)),0,MAX(0,ROUND((INDEX($E548:$G548,AF$5)-SUMIFS(TF_Timer,TF_Tekniker,AF$4,TF_Dato,$A548))*2,0)/2)))</f>
        <v/>
      </c>
      <c r="AG548">
        <f>IF(OR(AG$4="",$A548&gt;TODAY()),0,IF(OR(INDEX($B548:$D548,AG$5)="F",AND(AG$6&gt;0,$A548&lt;AG$6),AND(AG$7&gt;0,$A548&gt;AG$7)),0,MAX(0,ROUND((INDEX($E548:$G548,AG$5)-SUMIFS(TF_Timer,TF_Tekniker,AG$4,TF_Dato,$A548))*2,0)/2)))</f>
        <v/>
      </c>
      <c r="AH548">
        <f>IF(OR(AH$4="",$A548&gt;TODAY()),0,IF(OR(INDEX($B548:$D548,AH$5)="F",AND(AH$6&gt;0,$A548&lt;AH$6),AND(AH$7&gt;0,$A548&gt;AH$7)),0,MAX(0,ROUND((INDEX($E548:$G548,AH$5)-SUMIFS(TF_Timer,TF_Tekniker,AH$4,TF_Dato,$A548))*2,0)/2)))</f>
        <v/>
      </c>
      <c r="AI548">
        <f>IF(OR(AI$4="",$A548&gt;TODAY()),0,IF(OR(INDEX($B548:$D548,AI$5)="F",AND(AI$6&gt;0,$A548&lt;AI$6),AND(AI$7&gt;0,$A548&gt;AI$7)),0,MAX(0,ROUND((INDEX($E548:$G548,AI$5)-SUMIFS(TF_Timer,TF_Tekniker,AI$4,TF_Dato,$A548))*2,0)/2)))</f>
        <v/>
      </c>
      <c r="AJ548">
        <f>IF(OR(AJ$4="",$A548&gt;TODAY()),0,IF(OR(INDEX($B548:$D548,AJ$5)="F",AND(AJ$6&gt;0,$A548&lt;AJ$6),AND(AJ$7&gt;0,$A548&gt;AJ$7)),0,MAX(0,ROUND((INDEX($E548:$G548,AJ$5)-SUMIFS(TF_Timer,TF_Tekniker,AJ$4,TF_Dato,$A548))*2,0)/2)))</f>
        <v/>
      </c>
      <c r="AK548">
        <f>IF(OR(AK$4="",$A548&gt;TODAY()),0,IF(OR(INDEX($B548:$D548,AK$5)="F",AND(AK$6&gt;0,$A548&lt;AK$6),AND(AK$7&gt;0,$A548&gt;AK$7)),0,MAX(0,ROUND((INDEX($E548:$G548,AK$5)-SUMIFS(TF_Timer,TF_Tekniker,AK$4,TF_Dato,$A548))*2,0)/2)))</f>
        <v/>
      </c>
      <c r="AL548">
        <f>IF(OR(AL$4="",$A548&gt;TODAY()),0,IF(OR(INDEX($B548:$D548,AL$5)="F",AND(AL$6&gt;0,$A548&lt;AL$6),AND(AL$7&gt;0,$A548&gt;AL$7)),0,MAX(0,ROUND((INDEX($E548:$G548,AL$5)-SUMIFS(TF_Timer,TF_Tekniker,AL$4,TF_Dato,$A548))*2,0)/2)))</f>
        <v/>
      </c>
      <c r="AM548">
        <f>IF(OR(AM$4="",$A548&gt;TODAY()),0,IF(OR(INDEX($B548:$D548,AM$5)="F",AND(AM$6&gt;0,$A548&lt;AM$6),AND(AM$7&gt;0,$A548&gt;AM$7)),0,MAX(0,ROUND((INDEX($E548:$G548,AM$5)-SUMIFS(TF_Timer,TF_Tekniker,AM$4,TF_Dato,$A548))*2,0)/2)))</f>
        <v/>
      </c>
      <c r="AN548">
        <f>IF(OR(AN$4="",$A548&gt;TODAY()),0,IF(OR(INDEX($B548:$D548,AN$5)="F",AND(AN$6&gt;0,$A548&lt;AN$6),AND(AN$7&gt;0,$A548&gt;AN$7)),0,MAX(0,ROUND((INDEX($E548:$G548,AN$5)-SUMIFS(TF_Timer,TF_Tekniker,AN$4,TF_Dato,$A548))*2,0)/2)))</f>
        <v/>
      </c>
      <c r="AO548">
        <f>IF(OR(AO$4="",$A548&gt;TODAY()),0,IF(OR(INDEX($B548:$D548,AO$5)="F",AND(AO$6&gt;0,$A548&lt;AO$6),AND(AO$7&gt;0,$A548&gt;AO$7)),0,MAX(0,ROUND((INDEX($E548:$G548,AO$5)-SUMIFS(TF_Timer,TF_Tekniker,AO$4,TF_Dato,$A548))*2,0)/2)))</f>
        <v/>
      </c>
      <c r="AP548">
        <f>IF(OR(AP$4="",$A548&gt;TODAY()),0,IF(OR(INDEX($B548:$D548,AP$5)="F",AND(AP$6&gt;0,$A548&lt;AP$6),AND(AP$7&gt;0,$A548&gt;AP$7)),0,MAX(0,ROUND((INDEX($E548:$G548,AP$5)-SUMIFS(TF_Timer,TF_Tekniker,AP$4,TF_Dato,$A548))*2,0)/2)))</f>
        <v/>
      </c>
      <c r="AQ548">
        <f>IF(OR(AQ$4="",$A548&gt;TODAY()),0,IF(OR(INDEX($B548:$D548,AQ$5)="F",AND(AQ$6&gt;0,$A548&lt;AQ$6),AND(AQ$7&gt;0,$A548&gt;AQ$7)),0,MAX(0,ROUND((INDEX($E548:$G548,AQ$5)-SUMIFS(TF_Timer,TF_Tekniker,AQ$4,TF_Dato,$A548))*2,0)/2)))</f>
        <v/>
      </c>
      <c r="AR548">
        <f>IF(OR(AR$4="",$A548&gt;TODAY()),0,IF(OR(INDEX($B548:$D548,AR$5)="F",AND(AR$6&gt;0,$A548&lt;AR$6),AND(AR$7&gt;0,$A548&gt;AR$7)),0,MAX(0,ROUND((INDEX($E548:$G548,AR$5)-SUMIFS(TF_Timer,TF_Tekniker,AR$4,TF_Dato,$A548))*2,0)/2)))</f>
        <v/>
      </c>
      <c r="AS548">
        <f>IF(OR(AS$4="",$A548&gt;TODAY()),0,IF(OR(INDEX($B548:$D548,AS$5)="F",AND(AS$6&gt;0,$A548&lt;AS$6),AND(AS$7&gt;0,$A548&gt;AS$7)),0,MAX(0,ROUND((INDEX($E548:$G548,AS$5)-SUMIFS(TF_Timer,TF_Tekniker,AS$4,TF_Dato,$A548))*2,0)/2)))</f>
        <v/>
      </c>
      <c r="AT548">
        <f>IF(OR(AT$4="",$A548&gt;TODAY()),0,IF(OR(INDEX($B548:$D548,AT$5)="F",AND(AT$6&gt;0,$A548&lt;AT$6),AND(AT$7&gt;0,$A548&gt;AT$7)),0,MAX(0,ROUND((INDEX($E548:$G548,AT$5)-SUMIFS(TF_Timer,TF_Tekniker,AT$4,TF_Dato,$A548))*2,0)/2)))</f>
        <v/>
      </c>
      <c r="AU548">
        <f>IF(OR(AU$4="",$A548&gt;TODAY()),0,IF(OR(INDEX($B548:$D548,AU$5)="F",AND(AU$6&gt;0,$A548&lt;AU$6),AND(AU$7&gt;0,$A548&gt;AU$7)),0,MAX(0,ROUND((INDEX($E548:$G548,AU$5)-SUMIFS(TF_Timer,TF_Tekniker,AU$4,TF_Dato,$A548))*2,0)/2)))</f>
        <v/>
      </c>
      <c r="AV548">
        <f>IF(OR(AV$4="",$A548&gt;TODAY()),0,IF(OR(INDEX($B548:$D548,AV$5)="F",AND(AV$6&gt;0,$A548&lt;AV$6),AND(AV$7&gt;0,$A548&gt;AV$7)),0,MAX(0,ROUND((INDEX($E548:$G548,AV$5)-SUMIFS(TF_Timer,TF_Tekniker,AV$4,TF_Dato,$A548))*2,0)/2)))</f>
        <v/>
      </c>
      <c r="AW548">
        <f>IF(OR(AW$4="",$A548&gt;TODAY()),0,IF(OR(INDEX($B548:$D548,AW$5)="F",AND(AW$6&gt;0,$A548&lt;AW$6),AND(AW$7&gt;0,$A548&gt;AW$7)),0,MAX(0,ROUND((INDEX($E548:$G548,AW$5)-SUMIFS(TF_Timer,TF_Tekniker,AW$4,TF_Dato,$A548))*2,0)/2)))</f>
        <v/>
      </c>
      <c r="AX548">
        <f>IF(OR(AX$4="",$A548&gt;TODAY()),0,IF(OR(INDEX($B548:$D548,AX$5)="F",AND(AX$6&gt;0,$A548&lt;AX$6),AND(AX$7&gt;0,$A548&gt;AX$7)),0,MAX(0,ROUND((INDEX($E548:$G548,AX$5)-SUMIFS(TF_Timer,TF_Tekniker,AX$4,TF_Dato,$A548))*2,0)/2)))</f>
        <v/>
      </c>
      <c r="AY548">
        <f>IF(OR(AY$4="",$A548&gt;TODAY()),0,IF(OR(INDEX($B548:$D548,AY$5)="F",AND(AY$6&gt;0,$A548&lt;AY$6),AND(AY$7&gt;0,$A548&gt;AY$7)),0,MAX(0,ROUND((INDEX($E548:$G548,AY$5)-SUMIFS(TF_Timer,TF_Tekniker,AY$4,TF_Dato,$A548))*2,0)/2)))</f>
        <v/>
      </c>
      <c r="AZ548">
        <f>IF(OR(AZ$4="",$A548&gt;TODAY()),0,IF(OR(INDEX($B548:$D548,AZ$5)="F",AND(AZ$6&gt;0,$A548&lt;AZ$6),AND(AZ$7&gt;0,$A548&gt;AZ$7)),0,MAX(0,ROUND((INDEX($E548:$G548,AZ$5)-SUMIFS(TF_Timer,TF_Tekniker,AZ$4,TF_Dato,$A548))*2,0)/2)))</f>
        <v/>
      </c>
      <c r="BA548">
        <f>IF(OR(BA$4="",$A548&gt;TODAY()),0,IF(OR(INDEX($B548:$D548,BA$5)="F",AND(BA$6&gt;0,$A548&lt;BA$6),AND(BA$7&gt;0,$A548&gt;BA$7)),0,MAX(0,ROUND((INDEX($E548:$G548,BA$5)-SUMIFS(TF_Timer,TF_Tekniker,BA$4,TF_Dato,$A548))*2,0)/2)))</f>
        <v/>
      </c>
      <c r="BB548">
        <f>IF(OR(BB$4="",$A548&gt;TODAY()),0,IF(OR(INDEX($B548:$D548,BB$5)="F",AND(BB$6&gt;0,$A548&lt;BB$6),AND(BB$7&gt;0,$A548&gt;BB$7)),0,MAX(0,ROUND((INDEX($E548:$G548,BB$5)-SUMIFS(TF_Timer,TF_Tekniker,BB$4,TF_Dato,$A548))*2,0)/2)))</f>
        <v/>
      </c>
      <c r="BC548">
        <f>IF(OR(BC$4="",$A548&gt;TODAY()),0,IF(OR(INDEX($B548:$D548,BC$5)="F",AND(BC$6&gt;0,$A548&lt;BC$6),AND(BC$7&gt;0,$A548&gt;BC$7)),0,MAX(0,ROUND((INDEX($E548:$G548,BC$5)-SUMIFS(TF_Timer,TF_Tekniker,BC$4,TF_Dato,$A548))*2,0)/2)))</f>
        <v/>
      </c>
      <c r="BD548">
        <f>IF(OR(BD$4="",$A548&gt;TODAY()),0,IF(OR(INDEX($B548:$D548,BD$5)="F",AND(BD$6&gt;0,$A548&lt;BD$6),AND(BD$7&gt;0,$A548&gt;BD$7)),0,MAX(0,ROUND((INDEX($E548:$G548,BD$5)-SUMIFS(TF_Timer,TF_Tekniker,BD$4,TF_Dato,$A548))*2,0)/2)))</f>
        <v/>
      </c>
      <c r="BE548">
        <f>IF(OR(BE$4="",$A548&gt;TODAY()),0,IF(OR(INDEX($B548:$D548,BE$5)="F",AND(BE$6&gt;0,$A548&lt;BE$6),AND(BE$7&gt;0,$A548&gt;BE$7)),0,MAX(0,ROUND((INDEX($E548:$G548,BE$5)-SUMIFS(TF_Timer,TF_Tekniker,BE$4,TF_Dato,$A548))*2,0)/2)))</f>
        <v/>
      </c>
      <c r="BF548">
        <f>IF(OR(BF$4="",$A548&gt;TODAY()),0,IF(OR(INDEX($B548:$D548,BF$5)="F",AND(BF$6&gt;0,$A548&lt;BF$6),AND(BF$7&gt;0,$A548&gt;BF$7)),0,MAX(0,ROUND((INDEX($E548:$G548,BF$5)-SUMIFS(TF_Timer,TF_Tekniker,BF$4,TF_Dato,$A548))*2,0)/2)))</f>
        <v/>
      </c>
      <c r="BG548">
        <f>IF(OR(BG$4="",$A548&gt;TODAY()),0,IF(OR(INDEX($B548:$D548,BG$5)="F",AND(BG$6&gt;0,$A548&lt;BG$6),AND(BG$7&gt;0,$A548&gt;BG$7)),0,MAX(0,ROUND((INDEX($E548:$G548,BG$5)-SUMIFS(TF_Timer,TF_Tekniker,BG$4,TF_Dato,$A548))*2,0)/2)))</f>
        <v/>
      </c>
      <c r="BH548">
        <f>IF(OR(BH$4="",$A548&gt;TODAY()),0,IF(OR(INDEX($B548:$D548,BH$5)="F",AND(BH$6&gt;0,$A548&lt;BH$6),AND(BH$7&gt;0,$A548&gt;BH$7)),0,MAX(0,ROUND((INDEX($E548:$G548,BH$5)-SUMIFS(TF_Timer,TF_Tekniker,BH$4,TF_Dato,$A548))*2,0)/2)))</f>
        <v/>
      </c>
      <c r="BI548">
        <f>IF(OR(BI$4="",$A548&gt;TODAY()),0,IF(OR(INDEX($B548:$D548,BI$5)="F",AND(BI$6&gt;0,$A548&lt;BI$6),AND(BI$7&gt;0,$A548&gt;BI$7)),0,MAX(0,ROUND((INDEX($E548:$G548,BI$5)-SUMIFS(TF_Timer,TF_Tekniker,BI$4,TF_Dato,$A548))*2,0)/2)))</f>
        <v/>
      </c>
    </row>
    <row r="549">
      <c r="A549" s="64">
        <f>A548+1</f>
        <v/>
      </c>
      <c r="B549">
        <f>IF(MOD($A549-INDEX(SkiftStart,1),Syklus)&lt;DagK,"K",IF(MOD($A549-INDEX(SkiftStart,1),Syklus)&lt;DagK+DagH,"H",IF(MOD($A549-INDEX(SkiftStart,1),Syklus)&lt;DagK+DagH+DagD,"D","F")))</f>
        <v/>
      </c>
      <c r="C549">
        <f>IF(MOD($A549-INDEX(SkiftStart,2),Syklus)&lt;DagK,"K",IF(MOD($A549-INDEX(SkiftStart,2),Syklus)&lt;DagK+DagH,"H",IF(MOD($A549-INDEX(SkiftStart,2),Syklus)&lt;DagK+DagH+DagD,"D","F")))</f>
        <v/>
      </c>
      <c r="D549">
        <f>IF(MOD($A549-INDEX(SkiftStart,3),Syklus)&lt;DagK,"K",IF(MOD($A549-INDEX(SkiftStart,3),Syklus)&lt;DagK+DagH,"H",IF(MOD($A549-INDEX(SkiftStart,3),Syklus)&lt;DagK+DagH+DagD,"D","F")))</f>
        <v/>
      </c>
      <c r="E549">
        <f>IF(B549="F",0,IF(WEEKDAY($A549,2)=5,INDEX(TimerFr,MATCH(B549,FaseKode,0)),INDEX(TimerMT,MATCH(B549,FaseKode,0))))</f>
        <v/>
      </c>
      <c r="F549">
        <f>IF(C549="F",0,IF(WEEKDAY($A549,2)=5,INDEX(TimerFr,MATCH(C549,FaseKode,0)),INDEX(TimerMT,MATCH(C549,FaseKode,0))))</f>
        <v/>
      </c>
      <c r="G549">
        <f>IF(D549="F",0,IF(WEEKDAY($A549,2)=5,INDEX(TimerFr,MATCH(D549,FaseKode,0)),INDEX(TimerMT,MATCH(D549,FaseKode,0))))</f>
        <v/>
      </c>
      <c r="H549">
        <f>IF(OR(H$4="",$A549&gt;TODAY()),0,IF(OR(INDEX($B549:$D549,H$5)="F",AND(H$6&gt;0,$A549&lt;H$6),AND(H$7&gt;0,$A549&gt;H$7)),0,MAX(0,ROUND((INDEX($E549:$G549,H$5)-SUMIFS(TF_Timer,TF_Tekniker,H$4,TF_Dato,$A549))*2,0)/2)))</f>
        <v/>
      </c>
      <c r="I549">
        <f>IF(OR(I$4="",$A549&gt;TODAY()),0,IF(OR(INDEX($B549:$D549,I$5)="F",AND(I$6&gt;0,$A549&lt;I$6),AND(I$7&gt;0,$A549&gt;I$7)),0,MAX(0,ROUND((INDEX($E549:$G549,I$5)-SUMIFS(TF_Timer,TF_Tekniker,I$4,TF_Dato,$A549))*2,0)/2)))</f>
        <v/>
      </c>
      <c r="J549">
        <f>IF(OR(J$4="",$A549&gt;TODAY()),0,IF(OR(INDEX($B549:$D549,J$5)="F",AND(J$6&gt;0,$A549&lt;J$6),AND(J$7&gt;0,$A549&gt;J$7)),0,MAX(0,ROUND((INDEX($E549:$G549,J$5)-SUMIFS(TF_Timer,TF_Tekniker,J$4,TF_Dato,$A549))*2,0)/2)))</f>
        <v/>
      </c>
      <c r="K549">
        <f>IF(OR(K$4="",$A549&gt;TODAY()),0,IF(OR(INDEX($B549:$D549,K$5)="F",AND(K$6&gt;0,$A549&lt;K$6),AND(K$7&gt;0,$A549&gt;K$7)),0,MAX(0,ROUND((INDEX($E549:$G549,K$5)-SUMIFS(TF_Timer,TF_Tekniker,K$4,TF_Dato,$A549))*2,0)/2)))</f>
        <v/>
      </c>
      <c r="L549">
        <f>IF(OR(L$4="",$A549&gt;TODAY()),0,IF(OR(INDEX($B549:$D549,L$5)="F",AND(L$6&gt;0,$A549&lt;L$6),AND(L$7&gt;0,$A549&gt;L$7)),0,MAX(0,ROUND((INDEX($E549:$G549,L$5)-SUMIFS(TF_Timer,TF_Tekniker,L$4,TF_Dato,$A549))*2,0)/2)))</f>
        <v/>
      </c>
      <c r="M549">
        <f>IF(OR(M$4="",$A549&gt;TODAY()),0,IF(OR(INDEX($B549:$D549,M$5)="F",AND(M$6&gt;0,$A549&lt;M$6),AND(M$7&gt;0,$A549&gt;M$7)),0,MAX(0,ROUND((INDEX($E549:$G549,M$5)-SUMIFS(TF_Timer,TF_Tekniker,M$4,TF_Dato,$A549))*2,0)/2)))</f>
        <v/>
      </c>
      <c r="N549">
        <f>IF(OR(N$4="",$A549&gt;TODAY()),0,IF(OR(INDEX($B549:$D549,N$5)="F",AND(N$6&gt;0,$A549&lt;N$6),AND(N$7&gt;0,$A549&gt;N$7)),0,MAX(0,ROUND((INDEX($E549:$G549,N$5)-SUMIFS(TF_Timer,TF_Tekniker,N$4,TF_Dato,$A549))*2,0)/2)))</f>
        <v/>
      </c>
      <c r="O549">
        <f>IF(OR(O$4="",$A549&gt;TODAY()),0,IF(OR(INDEX($B549:$D549,O$5)="F",AND(O$6&gt;0,$A549&lt;O$6),AND(O$7&gt;0,$A549&gt;O$7)),0,MAX(0,ROUND((INDEX($E549:$G549,O$5)-SUMIFS(TF_Timer,TF_Tekniker,O$4,TF_Dato,$A549))*2,0)/2)))</f>
        <v/>
      </c>
      <c r="P549">
        <f>IF(OR(P$4="",$A549&gt;TODAY()),0,IF(OR(INDEX($B549:$D549,P$5)="F",AND(P$6&gt;0,$A549&lt;P$6),AND(P$7&gt;0,$A549&gt;P$7)),0,MAX(0,ROUND((INDEX($E549:$G549,P$5)-SUMIFS(TF_Timer,TF_Tekniker,P$4,TF_Dato,$A549))*2,0)/2)))</f>
        <v/>
      </c>
      <c r="Q549">
        <f>IF(OR(Q$4="",$A549&gt;TODAY()),0,IF(OR(INDEX($B549:$D549,Q$5)="F",AND(Q$6&gt;0,$A549&lt;Q$6),AND(Q$7&gt;0,$A549&gt;Q$7)),0,MAX(0,ROUND((INDEX($E549:$G549,Q$5)-SUMIFS(TF_Timer,TF_Tekniker,Q$4,TF_Dato,$A549))*2,0)/2)))</f>
        <v/>
      </c>
      <c r="R549">
        <f>IF(OR(R$4="",$A549&gt;TODAY()),0,IF(OR(INDEX($B549:$D549,R$5)="F",AND(R$6&gt;0,$A549&lt;R$6),AND(R$7&gt;0,$A549&gt;R$7)),0,MAX(0,ROUND((INDEX($E549:$G549,R$5)-SUMIFS(TF_Timer,TF_Tekniker,R$4,TF_Dato,$A549))*2,0)/2)))</f>
        <v/>
      </c>
      <c r="S549">
        <f>IF(OR(S$4="",$A549&gt;TODAY()),0,IF(OR(INDEX($B549:$D549,S$5)="F",AND(S$6&gt;0,$A549&lt;S$6),AND(S$7&gt;0,$A549&gt;S$7)),0,MAX(0,ROUND((INDEX($E549:$G549,S$5)-SUMIFS(TF_Timer,TF_Tekniker,S$4,TF_Dato,$A549))*2,0)/2)))</f>
        <v/>
      </c>
      <c r="T549">
        <f>IF(OR(T$4="",$A549&gt;TODAY()),0,IF(OR(INDEX($B549:$D549,T$5)="F",AND(T$6&gt;0,$A549&lt;T$6),AND(T$7&gt;0,$A549&gt;T$7)),0,MAX(0,ROUND((INDEX($E549:$G549,T$5)-SUMIFS(TF_Timer,TF_Tekniker,T$4,TF_Dato,$A549))*2,0)/2)))</f>
        <v/>
      </c>
      <c r="U549">
        <f>IF(OR(U$4="",$A549&gt;TODAY()),0,IF(OR(INDEX($B549:$D549,U$5)="F",AND(U$6&gt;0,$A549&lt;U$6),AND(U$7&gt;0,$A549&gt;U$7)),0,MAX(0,ROUND((INDEX($E549:$G549,U$5)-SUMIFS(TF_Timer,TF_Tekniker,U$4,TF_Dato,$A549))*2,0)/2)))</f>
        <v/>
      </c>
      <c r="V549">
        <f>IF(OR(V$4="",$A549&gt;TODAY()),0,IF(OR(INDEX($B549:$D549,V$5)="F",AND(V$6&gt;0,$A549&lt;V$6),AND(V$7&gt;0,$A549&gt;V$7)),0,MAX(0,ROUND((INDEX($E549:$G549,V$5)-SUMIFS(TF_Timer,TF_Tekniker,V$4,TF_Dato,$A549))*2,0)/2)))</f>
        <v/>
      </c>
      <c r="W549">
        <f>IF(OR(W$4="",$A549&gt;TODAY()),0,IF(OR(INDEX($B549:$D549,W$5)="F",AND(W$6&gt;0,$A549&lt;W$6),AND(W$7&gt;0,$A549&gt;W$7)),0,MAX(0,ROUND((INDEX($E549:$G549,W$5)-SUMIFS(TF_Timer,TF_Tekniker,W$4,TF_Dato,$A549))*2,0)/2)))</f>
        <v/>
      </c>
      <c r="X549">
        <f>IF(OR(X$4="",$A549&gt;TODAY()),0,IF(OR(INDEX($B549:$D549,X$5)="F",AND(X$6&gt;0,$A549&lt;X$6),AND(X$7&gt;0,$A549&gt;X$7)),0,MAX(0,ROUND((INDEX($E549:$G549,X$5)-SUMIFS(TF_Timer,TF_Tekniker,X$4,TF_Dato,$A549))*2,0)/2)))</f>
        <v/>
      </c>
      <c r="Y549">
        <f>IF(OR(Y$4="",$A549&gt;TODAY()),0,IF(OR(INDEX($B549:$D549,Y$5)="F",AND(Y$6&gt;0,$A549&lt;Y$6),AND(Y$7&gt;0,$A549&gt;Y$7)),0,MAX(0,ROUND((INDEX($E549:$G549,Y$5)-SUMIFS(TF_Timer,TF_Tekniker,Y$4,TF_Dato,$A549))*2,0)/2)))</f>
        <v/>
      </c>
      <c r="Z549">
        <f>IF(OR(Z$4="",$A549&gt;TODAY()),0,IF(OR(INDEX($B549:$D549,Z$5)="F",AND(Z$6&gt;0,$A549&lt;Z$6),AND(Z$7&gt;0,$A549&gt;Z$7)),0,MAX(0,ROUND((INDEX($E549:$G549,Z$5)-SUMIFS(TF_Timer,TF_Tekniker,Z$4,TF_Dato,$A549))*2,0)/2)))</f>
        <v/>
      </c>
      <c r="AA549">
        <f>IF(OR(AA$4="",$A549&gt;TODAY()),0,IF(OR(INDEX($B549:$D549,AA$5)="F",AND(AA$6&gt;0,$A549&lt;AA$6),AND(AA$7&gt;0,$A549&gt;AA$7)),0,MAX(0,ROUND((INDEX($E549:$G549,AA$5)-SUMIFS(TF_Timer,TF_Tekniker,AA$4,TF_Dato,$A549))*2,0)/2)))</f>
        <v/>
      </c>
      <c r="AB549">
        <f>IF(OR(AB$4="",$A549&gt;TODAY()),0,IF(OR(INDEX($B549:$D549,AB$5)="F",AND(AB$6&gt;0,$A549&lt;AB$6),AND(AB$7&gt;0,$A549&gt;AB$7)),0,MAX(0,ROUND((INDEX($E549:$G549,AB$5)-SUMIFS(TF_Timer,TF_Tekniker,AB$4,TF_Dato,$A549))*2,0)/2)))</f>
        <v/>
      </c>
      <c r="AC549">
        <f>IF(OR(AC$4="",$A549&gt;TODAY()),0,IF(OR(INDEX($B549:$D549,AC$5)="F",AND(AC$6&gt;0,$A549&lt;AC$6),AND(AC$7&gt;0,$A549&gt;AC$7)),0,MAX(0,ROUND((INDEX($E549:$G549,AC$5)-SUMIFS(TF_Timer,TF_Tekniker,AC$4,TF_Dato,$A549))*2,0)/2)))</f>
        <v/>
      </c>
      <c r="AD549">
        <f>IF(OR(AD$4="",$A549&gt;TODAY()),0,IF(OR(INDEX($B549:$D549,AD$5)="F",AND(AD$6&gt;0,$A549&lt;AD$6),AND(AD$7&gt;0,$A549&gt;AD$7)),0,MAX(0,ROUND((INDEX($E549:$G549,AD$5)-SUMIFS(TF_Timer,TF_Tekniker,AD$4,TF_Dato,$A549))*2,0)/2)))</f>
        <v/>
      </c>
      <c r="AE549">
        <f>IF(OR(AE$4="",$A549&gt;TODAY()),0,IF(OR(INDEX($B549:$D549,AE$5)="F",AND(AE$6&gt;0,$A549&lt;AE$6),AND(AE$7&gt;0,$A549&gt;AE$7)),0,MAX(0,ROUND((INDEX($E549:$G549,AE$5)-SUMIFS(TF_Timer,TF_Tekniker,AE$4,TF_Dato,$A549))*2,0)/2)))</f>
        <v/>
      </c>
      <c r="AF549">
        <f>IF(OR(AF$4="",$A549&gt;TODAY()),0,IF(OR(INDEX($B549:$D549,AF$5)="F",AND(AF$6&gt;0,$A549&lt;AF$6),AND(AF$7&gt;0,$A549&gt;AF$7)),0,MAX(0,ROUND((INDEX($E549:$G549,AF$5)-SUMIFS(TF_Timer,TF_Tekniker,AF$4,TF_Dato,$A549))*2,0)/2)))</f>
        <v/>
      </c>
      <c r="AG549">
        <f>IF(OR(AG$4="",$A549&gt;TODAY()),0,IF(OR(INDEX($B549:$D549,AG$5)="F",AND(AG$6&gt;0,$A549&lt;AG$6),AND(AG$7&gt;0,$A549&gt;AG$7)),0,MAX(0,ROUND((INDEX($E549:$G549,AG$5)-SUMIFS(TF_Timer,TF_Tekniker,AG$4,TF_Dato,$A549))*2,0)/2)))</f>
        <v/>
      </c>
      <c r="AH549">
        <f>IF(OR(AH$4="",$A549&gt;TODAY()),0,IF(OR(INDEX($B549:$D549,AH$5)="F",AND(AH$6&gt;0,$A549&lt;AH$6),AND(AH$7&gt;0,$A549&gt;AH$7)),0,MAX(0,ROUND((INDEX($E549:$G549,AH$5)-SUMIFS(TF_Timer,TF_Tekniker,AH$4,TF_Dato,$A549))*2,0)/2)))</f>
        <v/>
      </c>
      <c r="AI549">
        <f>IF(OR(AI$4="",$A549&gt;TODAY()),0,IF(OR(INDEX($B549:$D549,AI$5)="F",AND(AI$6&gt;0,$A549&lt;AI$6),AND(AI$7&gt;0,$A549&gt;AI$7)),0,MAX(0,ROUND((INDEX($E549:$G549,AI$5)-SUMIFS(TF_Timer,TF_Tekniker,AI$4,TF_Dato,$A549))*2,0)/2)))</f>
        <v/>
      </c>
      <c r="AJ549">
        <f>IF(OR(AJ$4="",$A549&gt;TODAY()),0,IF(OR(INDEX($B549:$D549,AJ$5)="F",AND(AJ$6&gt;0,$A549&lt;AJ$6),AND(AJ$7&gt;0,$A549&gt;AJ$7)),0,MAX(0,ROUND((INDEX($E549:$G549,AJ$5)-SUMIFS(TF_Timer,TF_Tekniker,AJ$4,TF_Dato,$A549))*2,0)/2)))</f>
        <v/>
      </c>
      <c r="AK549">
        <f>IF(OR(AK$4="",$A549&gt;TODAY()),0,IF(OR(INDEX($B549:$D549,AK$5)="F",AND(AK$6&gt;0,$A549&lt;AK$6),AND(AK$7&gt;0,$A549&gt;AK$7)),0,MAX(0,ROUND((INDEX($E549:$G549,AK$5)-SUMIFS(TF_Timer,TF_Tekniker,AK$4,TF_Dato,$A549))*2,0)/2)))</f>
        <v/>
      </c>
      <c r="AL549">
        <f>IF(OR(AL$4="",$A549&gt;TODAY()),0,IF(OR(INDEX($B549:$D549,AL$5)="F",AND(AL$6&gt;0,$A549&lt;AL$6),AND(AL$7&gt;0,$A549&gt;AL$7)),0,MAX(0,ROUND((INDEX($E549:$G549,AL$5)-SUMIFS(TF_Timer,TF_Tekniker,AL$4,TF_Dato,$A549))*2,0)/2)))</f>
        <v/>
      </c>
      <c r="AM549">
        <f>IF(OR(AM$4="",$A549&gt;TODAY()),0,IF(OR(INDEX($B549:$D549,AM$5)="F",AND(AM$6&gt;0,$A549&lt;AM$6),AND(AM$7&gt;0,$A549&gt;AM$7)),0,MAX(0,ROUND((INDEX($E549:$G549,AM$5)-SUMIFS(TF_Timer,TF_Tekniker,AM$4,TF_Dato,$A549))*2,0)/2)))</f>
        <v/>
      </c>
      <c r="AN549">
        <f>IF(OR(AN$4="",$A549&gt;TODAY()),0,IF(OR(INDEX($B549:$D549,AN$5)="F",AND(AN$6&gt;0,$A549&lt;AN$6),AND(AN$7&gt;0,$A549&gt;AN$7)),0,MAX(0,ROUND((INDEX($E549:$G549,AN$5)-SUMIFS(TF_Timer,TF_Tekniker,AN$4,TF_Dato,$A549))*2,0)/2)))</f>
        <v/>
      </c>
      <c r="AO549">
        <f>IF(OR(AO$4="",$A549&gt;TODAY()),0,IF(OR(INDEX($B549:$D549,AO$5)="F",AND(AO$6&gt;0,$A549&lt;AO$6),AND(AO$7&gt;0,$A549&gt;AO$7)),0,MAX(0,ROUND((INDEX($E549:$G549,AO$5)-SUMIFS(TF_Timer,TF_Tekniker,AO$4,TF_Dato,$A549))*2,0)/2)))</f>
        <v/>
      </c>
      <c r="AP549">
        <f>IF(OR(AP$4="",$A549&gt;TODAY()),0,IF(OR(INDEX($B549:$D549,AP$5)="F",AND(AP$6&gt;0,$A549&lt;AP$6),AND(AP$7&gt;0,$A549&gt;AP$7)),0,MAX(0,ROUND((INDEX($E549:$G549,AP$5)-SUMIFS(TF_Timer,TF_Tekniker,AP$4,TF_Dato,$A549))*2,0)/2)))</f>
        <v/>
      </c>
      <c r="AQ549">
        <f>IF(OR(AQ$4="",$A549&gt;TODAY()),0,IF(OR(INDEX($B549:$D549,AQ$5)="F",AND(AQ$6&gt;0,$A549&lt;AQ$6),AND(AQ$7&gt;0,$A549&gt;AQ$7)),0,MAX(0,ROUND((INDEX($E549:$G549,AQ$5)-SUMIFS(TF_Timer,TF_Tekniker,AQ$4,TF_Dato,$A549))*2,0)/2)))</f>
        <v/>
      </c>
      <c r="AR549">
        <f>IF(OR(AR$4="",$A549&gt;TODAY()),0,IF(OR(INDEX($B549:$D549,AR$5)="F",AND(AR$6&gt;0,$A549&lt;AR$6),AND(AR$7&gt;0,$A549&gt;AR$7)),0,MAX(0,ROUND((INDEX($E549:$G549,AR$5)-SUMIFS(TF_Timer,TF_Tekniker,AR$4,TF_Dato,$A549))*2,0)/2)))</f>
        <v/>
      </c>
      <c r="AS549">
        <f>IF(OR(AS$4="",$A549&gt;TODAY()),0,IF(OR(INDEX($B549:$D549,AS$5)="F",AND(AS$6&gt;0,$A549&lt;AS$6),AND(AS$7&gt;0,$A549&gt;AS$7)),0,MAX(0,ROUND((INDEX($E549:$G549,AS$5)-SUMIFS(TF_Timer,TF_Tekniker,AS$4,TF_Dato,$A549))*2,0)/2)))</f>
        <v/>
      </c>
      <c r="AT549">
        <f>IF(OR(AT$4="",$A549&gt;TODAY()),0,IF(OR(INDEX($B549:$D549,AT$5)="F",AND(AT$6&gt;0,$A549&lt;AT$6),AND(AT$7&gt;0,$A549&gt;AT$7)),0,MAX(0,ROUND((INDEX($E549:$G549,AT$5)-SUMIFS(TF_Timer,TF_Tekniker,AT$4,TF_Dato,$A549))*2,0)/2)))</f>
        <v/>
      </c>
      <c r="AU549">
        <f>IF(OR(AU$4="",$A549&gt;TODAY()),0,IF(OR(INDEX($B549:$D549,AU$5)="F",AND(AU$6&gt;0,$A549&lt;AU$6),AND(AU$7&gt;0,$A549&gt;AU$7)),0,MAX(0,ROUND((INDEX($E549:$G549,AU$5)-SUMIFS(TF_Timer,TF_Tekniker,AU$4,TF_Dato,$A549))*2,0)/2)))</f>
        <v/>
      </c>
      <c r="AV549">
        <f>IF(OR(AV$4="",$A549&gt;TODAY()),0,IF(OR(INDEX($B549:$D549,AV$5)="F",AND(AV$6&gt;0,$A549&lt;AV$6),AND(AV$7&gt;0,$A549&gt;AV$7)),0,MAX(0,ROUND((INDEX($E549:$G549,AV$5)-SUMIFS(TF_Timer,TF_Tekniker,AV$4,TF_Dato,$A549))*2,0)/2)))</f>
        <v/>
      </c>
      <c r="AW549">
        <f>IF(OR(AW$4="",$A549&gt;TODAY()),0,IF(OR(INDEX($B549:$D549,AW$5)="F",AND(AW$6&gt;0,$A549&lt;AW$6),AND(AW$7&gt;0,$A549&gt;AW$7)),0,MAX(0,ROUND((INDEX($E549:$G549,AW$5)-SUMIFS(TF_Timer,TF_Tekniker,AW$4,TF_Dato,$A549))*2,0)/2)))</f>
        <v/>
      </c>
      <c r="AX549">
        <f>IF(OR(AX$4="",$A549&gt;TODAY()),0,IF(OR(INDEX($B549:$D549,AX$5)="F",AND(AX$6&gt;0,$A549&lt;AX$6),AND(AX$7&gt;0,$A549&gt;AX$7)),0,MAX(0,ROUND((INDEX($E549:$G549,AX$5)-SUMIFS(TF_Timer,TF_Tekniker,AX$4,TF_Dato,$A549))*2,0)/2)))</f>
        <v/>
      </c>
      <c r="AY549">
        <f>IF(OR(AY$4="",$A549&gt;TODAY()),0,IF(OR(INDEX($B549:$D549,AY$5)="F",AND(AY$6&gt;0,$A549&lt;AY$6),AND(AY$7&gt;0,$A549&gt;AY$7)),0,MAX(0,ROUND((INDEX($E549:$G549,AY$5)-SUMIFS(TF_Timer,TF_Tekniker,AY$4,TF_Dato,$A549))*2,0)/2)))</f>
        <v/>
      </c>
      <c r="AZ549">
        <f>IF(OR(AZ$4="",$A549&gt;TODAY()),0,IF(OR(INDEX($B549:$D549,AZ$5)="F",AND(AZ$6&gt;0,$A549&lt;AZ$6),AND(AZ$7&gt;0,$A549&gt;AZ$7)),0,MAX(0,ROUND((INDEX($E549:$G549,AZ$5)-SUMIFS(TF_Timer,TF_Tekniker,AZ$4,TF_Dato,$A549))*2,0)/2)))</f>
        <v/>
      </c>
      <c r="BA549">
        <f>IF(OR(BA$4="",$A549&gt;TODAY()),0,IF(OR(INDEX($B549:$D549,BA$5)="F",AND(BA$6&gt;0,$A549&lt;BA$6),AND(BA$7&gt;0,$A549&gt;BA$7)),0,MAX(0,ROUND((INDEX($E549:$G549,BA$5)-SUMIFS(TF_Timer,TF_Tekniker,BA$4,TF_Dato,$A549))*2,0)/2)))</f>
        <v/>
      </c>
      <c r="BB549">
        <f>IF(OR(BB$4="",$A549&gt;TODAY()),0,IF(OR(INDEX($B549:$D549,BB$5)="F",AND(BB$6&gt;0,$A549&lt;BB$6),AND(BB$7&gt;0,$A549&gt;BB$7)),0,MAX(0,ROUND((INDEX($E549:$G549,BB$5)-SUMIFS(TF_Timer,TF_Tekniker,BB$4,TF_Dato,$A549))*2,0)/2)))</f>
        <v/>
      </c>
      <c r="BC549">
        <f>IF(OR(BC$4="",$A549&gt;TODAY()),0,IF(OR(INDEX($B549:$D549,BC$5)="F",AND(BC$6&gt;0,$A549&lt;BC$6),AND(BC$7&gt;0,$A549&gt;BC$7)),0,MAX(0,ROUND((INDEX($E549:$G549,BC$5)-SUMIFS(TF_Timer,TF_Tekniker,BC$4,TF_Dato,$A549))*2,0)/2)))</f>
        <v/>
      </c>
      <c r="BD549">
        <f>IF(OR(BD$4="",$A549&gt;TODAY()),0,IF(OR(INDEX($B549:$D549,BD$5)="F",AND(BD$6&gt;0,$A549&lt;BD$6),AND(BD$7&gt;0,$A549&gt;BD$7)),0,MAX(0,ROUND((INDEX($E549:$G549,BD$5)-SUMIFS(TF_Timer,TF_Tekniker,BD$4,TF_Dato,$A549))*2,0)/2)))</f>
        <v/>
      </c>
      <c r="BE549">
        <f>IF(OR(BE$4="",$A549&gt;TODAY()),0,IF(OR(INDEX($B549:$D549,BE$5)="F",AND(BE$6&gt;0,$A549&lt;BE$6),AND(BE$7&gt;0,$A549&gt;BE$7)),0,MAX(0,ROUND((INDEX($E549:$G549,BE$5)-SUMIFS(TF_Timer,TF_Tekniker,BE$4,TF_Dato,$A549))*2,0)/2)))</f>
        <v/>
      </c>
      <c r="BF549">
        <f>IF(OR(BF$4="",$A549&gt;TODAY()),0,IF(OR(INDEX($B549:$D549,BF$5)="F",AND(BF$6&gt;0,$A549&lt;BF$6),AND(BF$7&gt;0,$A549&gt;BF$7)),0,MAX(0,ROUND((INDEX($E549:$G549,BF$5)-SUMIFS(TF_Timer,TF_Tekniker,BF$4,TF_Dato,$A549))*2,0)/2)))</f>
        <v/>
      </c>
      <c r="BG549">
        <f>IF(OR(BG$4="",$A549&gt;TODAY()),0,IF(OR(INDEX($B549:$D549,BG$5)="F",AND(BG$6&gt;0,$A549&lt;BG$6),AND(BG$7&gt;0,$A549&gt;BG$7)),0,MAX(0,ROUND((INDEX($E549:$G549,BG$5)-SUMIFS(TF_Timer,TF_Tekniker,BG$4,TF_Dato,$A549))*2,0)/2)))</f>
        <v/>
      </c>
      <c r="BH549">
        <f>IF(OR(BH$4="",$A549&gt;TODAY()),0,IF(OR(INDEX($B549:$D549,BH$5)="F",AND(BH$6&gt;0,$A549&lt;BH$6),AND(BH$7&gt;0,$A549&gt;BH$7)),0,MAX(0,ROUND((INDEX($E549:$G549,BH$5)-SUMIFS(TF_Timer,TF_Tekniker,BH$4,TF_Dato,$A549))*2,0)/2)))</f>
        <v/>
      </c>
      <c r="BI549">
        <f>IF(OR(BI$4="",$A549&gt;TODAY()),0,IF(OR(INDEX($B549:$D549,BI$5)="F",AND(BI$6&gt;0,$A549&lt;BI$6),AND(BI$7&gt;0,$A549&gt;BI$7)),0,MAX(0,ROUND((INDEX($E549:$G549,BI$5)-SUMIFS(TF_Timer,TF_Tekniker,BI$4,TF_Dato,$A549))*2,0)/2)))</f>
        <v/>
      </c>
    </row>
    <row r="550">
      <c r="A550" s="64">
        <f>A549+1</f>
        <v/>
      </c>
      <c r="B550">
        <f>IF(MOD($A550-INDEX(SkiftStart,1),Syklus)&lt;DagK,"K",IF(MOD($A550-INDEX(SkiftStart,1),Syklus)&lt;DagK+DagH,"H",IF(MOD($A550-INDEX(SkiftStart,1),Syklus)&lt;DagK+DagH+DagD,"D","F")))</f>
        <v/>
      </c>
      <c r="C550">
        <f>IF(MOD($A550-INDEX(SkiftStart,2),Syklus)&lt;DagK,"K",IF(MOD($A550-INDEX(SkiftStart,2),Syklus)&lt;DagK+DagH,"H",IF(MOD($A550-INDEX(SkiftStart,2),Syklus)&lt;DagK+DagH+DagD,"D","F")))</f>
        <v/>
      </c>
      <c r="D550">
        <f>IF(MOD($A550-INDEX(SkiftStart,3),Syklus)&lt;DagK,"K",IF(MOD($A550-INDEX(SkiftStart,3),Syklus)&lt;DagK+DagH,"H",IF(MOD($A550-INDEX(SkiftStart,3),Syklus)&lt;DagK+DagH+DagD,"D","F")))</f>
        <v/>
      </c>
      <c r="E550">
        <f>IF(B550="F",0,IF(WEEKDAY($A550,2)=5,INDEX(TimerFr,MATCH(B550,FaseKode,0)),INDEX(TimerMT,MATCH(B550,FaseKode,0))))</f>
        <v/>
      </c>
      <c r="F550">
        <f>IF(C550="F",0,IF(WEEKDAY($A550,2)=5,INDEX(TimerFr,MATCH(C550,FaseKode,0)),INDEX(TimerMT,MATCH(C550,FaseKode,0))))</f>
        <v/>
      </c>
      <c r="G550">
        <f>IF(D550="F",0,IF(WEEKDAY($A550,2)=5,INDEX(TimerFr,MATCH(D550,FaseKode,0)),INDEX(TimerMT,MATCH(D550,FaseKode,0))))</f>
        <v/>
      </c>
      <c r="H550">
        <f>IF(OR(H$4="",$A550&gt;TODAY()),0,IF(OR(INDEX($B550:$D550,H$5)="F",AND(H$6&gt;0,$A550&lt;H$6),AND(H$7&gt;0,$A550&gt;H$7)),0,MAX(0,ROUND((INDEX($E550:$G550,H$5)-SUMIFS(TF_Timer,TF_Tekniker,H$4,TF_Dato,$A550))*2,0)/2)))</f>
        <v/>
      </c>
      <c r="I550">
        <f>IF(OR(I$4="",$A550&gt;TODAY()),0,IF(OR(INDEX($B550:$D550,I$5)="F",AND(I$6&gt;0,$A550&lt;I$6),AND(I$7&gt;0,$A550&gt;I$7)),0,MAX(0,ROUND((INDEX($E550:$G550,I$5)-SUMIFS(TF_Timer,TF_Tekniker,I$4,TF_Dato,$A550))*2,0)/2)))</f>
        <v/>
      </c>
      <c r="J550">
        <f>IF(OR(J$4="",$A550&gt;TODAY()),0,IF(OR(INDEX($B550:$D550,J$5)="F",AND(J$6&gt;0,$A550&lt;J$6),AND(J$7&gt;0,$A550&gt;J$7)),0,MAX(0,ROUND((INDEX($E550:$G550,J$5)-SUMIFS(TF_Timer,TF_Tekniker,J$4,TF_Dato,$A550))*2,0)/2)))</f>
        <v/>
      </c>
      <c r="K550">
        <f>IF(OR(K$4="",$A550&gt;TODAY()),0,IF(OR(INDEX($B550:$D550,K$5)="F",AND(K$6&gt;0,$A550&lt;K$6),AND(K$7&gt;0,$A550&gt;K$7)),0,MAX(0,ROUND((INDEX($E550:$G550,K$5)-SUMIFS(TF_Timer,TF_Tekniker,K$4,TF_Dato,$A550))*2,0)/2)))</f>
        <v/>
      </c>
      <c r="L550">
        <f>IF(OR(L$4="",$A550&gt;TODAY()),0,IF(OR(INDEX($B550:$D550,L$5)="F",AND(L$6&gt;0,$A550&lt;L$6),AND(L$7&gt;0,$A550&gt;L$7)),0,MAX(0,ROUND((INDEX($E550:$G550,L$5)-SUMIFS(TF_Timer,TF_Tekniker,L$4,TF_Dato,$A550))*2,0)/2)))</f>
        <v/>
      </c>
      <c r="M550">
        <f>IF(OR(M$4="",$A550&gt;TODAY()),0,IF(OR(INDEX($B550:$D550,M$5)="F",AND(M$6&gt;0,$A550&lt;M$6),AND(M$7&gt;0,$A550&gt;M$7)),0,MAX(0,ROUND((INDEX($E550:$G550,M$5)-SUMIFS(TF_Timer,TF_Tekniker,M$4,TF_Dato,$A550))*2,0)/2)))</f>
        <v/>
      </c>
      <c r="N550">
        <f>IF(OR(N$4="",$A550&gt;TODAY()),0,IF(OR(INDEX($B550:$D550,N$5)="F",AND(N$6&gt;0,$A550&lt;N$6),AND(N$7&gt;0,$A550&gt;N$7)),0,MAX(0,ROUND((INDEX($E550:$G550,N$5)-SUMIFS(TF_Timer,TF_Tekniker,N$4,TF_Dato,$A550))*2,0)/2)))</f>
        <v/>
      </c>
      <c r="O550">
        <f>IF(OR(O$4="",$A550&gt;TODAY()),0,IF(OR(INDEX($B550:$D550,O$5)="F",AND(O$6&gt;0,$A550&lt;O$6),AND(O$7&gt;0,$A550&gt;O$7)),0,MAX(0,ROUND((INDEX($E550:$G550,O$5)-SUMIFS(TF_Timer,TF_Tekniker,O$4,TF_Dato,$A550))*2,0)/2)))</f>
        <v/>
      </c>
      <c r="P550">
        <f>IF(OR(P$4="",$A550&gt;TODAY()),0,IF(OR(INDEX($B550:$D550,P$5)="F",AND(P$6&gt;0,$A550&lt;P$6),AND(P$7&gt;0,$A550&gt;P$7)),0,MAX(0,ROUND((INDEX($E550:$G550,P$5)-SUMIFS(TF_Timer,TF_Tekniker,P$4,TF_Dato,$A550))*2,0)/2)))</f>
        <v/>
      </c>
      <c r="Q550">
        <f>IF(OR(Q$4="",$A550&gt;TODAY()),0,IF(OR(INDEX($B550:$D550,Q$5)="F",AND(Q$6&gt;0,$A550&lt;Q$6),AND(Q$7&gt;0,$A550&gt;Q$7)),0,MAX(0,ROUND((INDEX($E550:$G550,Q$5)-SUMIFS(TF_Timer,TF_Tekniker,Q$4,TF_Dato,$A550))*2,0)/2)))</f>
        <v/>
      </c>
      <c r="R550">
        <f>IF(OR(R$4="",$A550&gt;TODAY()),0,IF(OR(INDEX($B550:$D550,R$5)="F",AND(R$6&gt;0,$A550&lt;R$6),AND(R$7&gt;0,$A550&gt;R$7)),0,MAX(0,ROUND((INDEX($E550:$G550,R$5)-SUMIFS(TF_Timer,TF_Tekniker,R$4,TF_Dato,$A550))*2,0)/2)))</f>
        <v/>
      </c>
      <c r="S550">
        <f>IF(OR(S$4="",$A550&gt;TODAY()),0,IF(OR(INDEX($B550:$D550,S$5)="F",AND(S$6&gt;0,$A550&lt;S$6),AND(S$7&gt;0,$A550&gt;S$7)),0,MAX(0,ROUND((INDEX($E550:$G550,S$5)-SUMIFS(TF_Timer,TF_Tekniker,S$4,TF_Dato,$A550))*2,0)/2)))</f>
        <v/>
      </c>
      <c r="T550">
        <f>IF(OR(T$4="",$A550&gt;TODAY()),0,IF(OR(INDEX($B550:$D550,T$5)="F",AND(T$6&gt;0,$A550&lt;T$6),AND(T$7&gt;0,$A550&gt;T$7)),0,MAX(0,ROUND((INDEX($E550:$G550,T$5)-SUMIFS(TF_Timer,TF_Tekniker,T$4,TF_Dato,$A550))*2,0)/2)))</f>
        <v/>
      </c>
      <c r="U550">
        <f>IF(OR(U$4="",$A550&gt;TODAY()),0,IF(OR(INDEX($B550:$D550,U$5)="F",AND(U$6&gt;0,$A550&lt;U$6),AND(U$7&gt;0,$A550&gt;U$7)),0,MAX(0,ROUND((INDEX($E550:$G550,U$5)-SUMIFS(TF_Timer,TF_Tekniker,U$4,TF_Dato,$A550))*2,0)/2)))</f>
        <v/>
      </c>
      <c r="V550">
        <f>IF(OR(V$4="",$A550&gt;TODAY()),0,IF(OR(INDEX($B550:$D550,V$5)="F",AND(V$6&gt;0,$A550&lt;V$6),AND(V$7&gt;0,$A550&gt;V$7)),0,MAX(0,ROUND((INDEX($E550:$G550,V$5)-SUMIFS(TF_Timer,TF_Tekniker,V$4,TF_Dato,$A550))*2,0)/2)))</f>
        <v/>
      </c>
      <c r="W550">
        <f>IF(OR(W$4="",$A550&gt;TODAY()),0,IF(OR(INDEX($B550:$D550,W$5)="F",AND(W$6&gt;0,$A550&lt;W$6),AND(W$7&gt;0,$A550&gt;W$7)),0,MAX(0,ROUND((INDEX($E550:$G550,W$5)-SUMIFS(TF_Timer,TF_Tekniker,W$4,TF_Dato,$A550))*2,0)/2)))</f>
        <v/>
      </c>
      <c r="X550">
        <f>IF(OR(X$4="",$A550&gt;TODAY()),0,IF(OR(INDEX($B550:$D550,X$5)="F",AND(X$6&gt;0,$A550&lt;X$6),AND(X$7&gt;0,$A550&gt;X$7)),0,MAX(0,ROUND((INDEX($E550:$G550,X$5)-SUMIFS(TF_Timer,TF_Tekniker,X$4,TF_Dato,$A550))*2,0)/2)))</f>
        <v/>
      </c>
      <c r="Y550">
        <f>IF(OR(Y$4="",$A550&gt;TODAY()),0,IF(OR(INDEX($B550:$D550,Y$5)="F",AND(Y$6&gt;0,$A550&lt;Y$6),AND(Y$7&gt;0,$A550&gt;Y$7)),0,MAX(0,ROUND((INDEX($E550:$G550,Y$5)-SUMIFS(TF_Timer,TF_Tekniker,Y$4,TF_Dato,$A550))*2,0)/2)))</f>
        <v/>
      </c>
      <c r="Z550">
        <f>IF(OR(Z$4="",$A550&gt;TODAY()),0,IF(OR(INDEX($B550:$D550,Z$5)="F",AND(Z$6&gt;0,$A550&lt;Z$6),AND(Z$7&gt;0,$A550&gt;Z$7)),0,MAX(0,ROUND((INDEX($E550:$G550,Z$5)-SUMIFS(TF_Timer,TF_Tekniker,Z$4,TF_Dato,$A550))*2,0)/2)))</f>
        <v/>
      </c>
      <c r="AA550">
        <f>IF(OR(AA$4="",$A550&gt;TODAY()),0,IF(OR(INDEX($B550:$D550,AA$5)="F",AND(AA$6&gt;0,$A550&lt;AA$6),AND(AA$7&gt;0,$A550&gt;AA$7)),0,MAX(0,ROUND((INDEX($E550:$G550,AA$5)-SUMIFS(TF_Timer,TF_Tekniker,AA$4,TF_Dato,$A550))*2,0)/2)))</f>
        <v/>
      </c>
      <c r="AB550">
        <f>IF(OR(AB$4="",$A550&gt;TODAY()),0,IF(OR(INDEX($B550:$D550,AB$5)="F",AND(AB$6&gt;0,$A550&lt;AB$6),AND(AB$7&gt;0,$A550&gt;AB$7)),0,MAX(0,ROUND((INDEX($E550:$G550,AB$5)-SUMIFS(TF_Timer,TF_Tekniker,AB$4,TF_Dato,$A550))*2,0)/2)))</f>
        <v/>
      </c>
      <c r="AC550">
        <f>IF(OR(AC$4="",$A550&gt;TODAY()),0,IF(OR(INDEX($B550:$D550,AC$5)="F",AND(AC$6&gt;0,$A550&lt;AC$6),AND(AC$7&gt;0,$A550&gt;AC$7)),0,MAX(0,ROUND((INDEX($E550:$G550,AC$5)-SUMIFS(TF_Timer,TF_Tekniker,AC$4,TF_Dato,$A550))*2,0)/2)))</f>
        <v/>
      </c>
      <c r="AD550">
        <f>IF(OR(AD$4="",$A550&gt;TODAY()),0,IF(OR(INDEX($B550:$D550,AD$5)="F",AND(AD$6&gt;0,$A550&lt;AD$6),AND(AD$7&gt;0,$A550&gt;AD$7)),0,MAX(0,ROUND((INDEX($E550:$G550,AD$5)-SUMIFS(TF_Timer,TF_Tekniker,AD$4,TF_Dato,$A550))*2,0)/2)))</f>
        <v/>
      </c>
      <c r="AE550">
        <f>IF(OR(AE$4="",$A550&gt;TODAY()),0,IF(OR(INDEX($B550:$D550,AE$5)="F",AND(AE$6&gt;0,$A550&lt;AE$6),AND(AE$7&gt;0,$A550&gt;AE$7)),0,MAX(0,ROUND((INDEX($E550:$G550,AE$5)-SUMIFS(TF_Timer,TF_Tekniker,AE$4,TF_Dato,$A550))*2,0)/2)))</f>
        <v/>
      </c>
      <c r="AF550">
        <f>IF(OR(AF$4="",$A550&gt;TODAY()),0,IF(OR(INDEX($B550:$D550,AF$5)="F",AND(AF$6&gt;0,$A550&lt;AF$6),AND(AF$7&gt;0,$A550&gt;AF$7)),0,MAX(0,ROUND((INDEX($E550:$G550,AF$5)-SUMIFS(TF_Timer,TF_Tekniker,AF$4,TF_Dato,$A550))*2,0)/2)))</f>
        <v/>
      </c>
      <c r="AG550">
        <f>IF(OR(AG$4="",$A550&gt;TODAY()),0,IF(OR(INDEX($B550:$D550,AG$5)="F",AND(AG$6&gt;0,$A550&lt;AG$6),AND(AG$7&gt;0,$A550&gt;AG$7)),0,MAX(0,ROUND((INDEX($E550:$G550,AG$5)-SUMIFS(TF_Timer,TF_Tekniker,AG$4,TF_Dato,$A550))*2,0)/2)))</f>
        <v/>
      </c>
      <c r="AH550">
        <f>IF(OR(AH$4="",$A550&gt;TODAY()),0,IF(OR(INDEX($B550:$D550,AH$5)="F",AND(AH$6&gt;0,$A550&lt;AH$6),AND(AH$7&gt;0,$A550&gt;AH$7)),0,MAX(0,ROUND((INDEX($E550:$G550,AH$5)-SUMIFS(TF_Timer,TF_Tekniker,AH$4,TF_Dato,$A550))*2,0)/2)))</f>
        <v/>
      </c>
      <c r="AI550">
        <f>IF(OR(AI$4="",$A550&gt;TODAY()),0,IF(OR(INDEX($B550:$D550,AI$5)="F",AND(AI$6&gt;0,$A550&lt;AI$6),AND(AI$7&gt;0,$A550&gt;AI$7)),0,MAX(0,ROUND((INDEX($E550:$G550,AI$5)-SUMIFS(TF_Timer,TF_Tekniker,AI$4,TF_Dato,$A550))*2,0)/2)))</f>
        <v/>
      </c>
      <c r="AJ550">
        <f>IF(OR(AJ$4="",$A550&gt;TODAY()),0,IF(OR(INDEX($B550:$D550,AJ$5)="F",AND(AJ$6&gt;0,$A550&lt;AJ$6),AND(AJ$7&gt;0,$A550&gt;AJ$7)),0,MAX(0,ROUND((INDEX($E550:$G550,AJ$5)-SUMIFS(TF_Timer,TF_Tekniker,AJ$4,TF_Dato,$A550))*2,0)/2)))</f>
        <v/>
      </c>
      <c r="AK550">
        <f>IF(OR(AK$4="",$A550&gt;TODAY()),0,IF(OR(INDEX($B550:$D550,AK$5)="F",AND(AK$6&gt;0,$A550&lt;AK$6),AND(AK$7&gt;0,$A550&gt;AK$7)),0,MAX(0,ROUND((INDEX($E550:$G550,AK$5)-SUMIFS(TF_Timer,TF_Tekniker,AK$4,TF_Dato,$A550))*2,0)/2)))</f>
        <v/>
      </c>
      <c r="AL550">
        <f>IF(OR(AL$4="",$A550&gt;TODAY()),0,IF(OR(INDEX($B550:$D550,AL$5)="F",AND(AL$6&gt;0,$A550&lt;AL$6),AND(AL$7&gt;0,$A550&gt;AL$7)),0,MAX(0,ROUND((INDEX($E550:$G550,AL$5)-SUMIFS(TF_Timer,TF_Tekniker,AL$4,TF_Dato,$A550))*2,0)/2)))</f>
        <v/>
      </c>
      <c r="AM550">
        <f>IF(OR(AM$4="",$A550&gt;TODAY()),0,IF(OR(INDEX($B550:$D550,AM$5)="F",AND(AM$6&gt;0,$A550&lt;AM$6),AND(AM$7&gt;0,$A550&gt;AM$7)),0,MAX(0,ROUND((INDEX($E550:$G550,AM$5)-SUMIFS(TF_Timer,TF_Tekniker,AM$4,TF_Dato,$A550))*2,0)/2)))</f>
        <v/>
      </c>
      <c r="AN550">
        <f>IF(OR(AN$4="",$A550&gt;TODAY()),0,IF(OR(INDEX($B550:$D550,AN$5)="F",AND(AN$6&gt;0,$A550&lt;AN$6),AND(AN$7&gt;0,$A550&gt;AN$7)),0,MAX(0,ROUND((INDEX($E550:$G550,AN$5)-SUMIFS(TF_Timer,TF_Tekniker,AN$4,TF_Dato,$A550))*2,0)/2)))</f>
        <v/>
      </c>
      <c r="AO550">
        <f>IF(OR(AO$4="",$A550&gt;TODAY()),0,IF(OR(INDEX($B550:$D550,AO$5)="F",AND(AO$6&gt;0,$A550&lt;AO$6),AND(AO$7&gt;0,$A550&gt;AO$7)),0,MAX(0,ROUND((INDEX($E550:$G550,AO$5)-SUMIFS(TF_Timer,TF_Tekniker,AO$4,TF_Dato,$A550))*2,0)/2)))</f>
        <v/>
      </c>
      <c r="AP550">
        <f>IF(OR(AP$4="",$A550&gt;TODAY()),0,IF(OR(INDEX($B550:$D550,AP$5)="F",AND(AP$6&gt;0,$A550&lt;AP$6),AND(AP$7&gt;0,$A550&gt;AP$7)),0,MAX(0,ROUND((INDEX($E550:$G550,AP$5)-SUMIFS(TF_Timer,TF_Tekniker,AP$4,TF_Dato,$A550))*2,0)/2)))</f>
        <v/>
      </c>
      <c r="AQ550">
        <f>IF(OR(AQ$4="",$A550&gt;TODAY()),0,IF(OR(INDEX($B550:$D550,AQ$5)="F",AND(AQ$6&gt;0,$A550&lt;AQ$6),AND(AQ$7&gt;0,$A550&gt;AQ$7)),0,MAX(0,ROUND((INDEX($E550:$G550,AQ$5)-SUMIFS(TF_Timer,TF_Tekniker,AQ$4,TF_Dato,$A550))*2,0)/2)))</f>
        <v/>
      </c>
      <c r="AR550">
        <f>IF(OR(AR$4="",$A550&gt;TODAY()),0,IF(OR(INDEX($B550:$D550,AR$5)="F",AND(AR$6&gt;0,$A550&lt;AR$6),AND(AR$7&gt;0,$A550&gt;AR$7)),0,MAX(0,ROUND((INDEX($E550:$G550,AR$5)-SUMIFS(TF_Timer,TF_Tekniker,AR$4,TF_Dato,$A550))*2,0)/2)))</f>
        <v/>
      </c>
      <c r="AS550">
        <f>IF(OR(AS$4="",$A550&gt;TODAY()),0,IF(OR(INDEX($B550:$D550,AS$5)="F",AND(AS$6&gt;0,$A550&lt;AS$6),AND(AS$7&gt;0,$A550&gt;AS$7)),0,MAX(0,ROUND((INDEX($E550:$G550,AS$5)-SUMIFS(TF_Timer,TF_Tekniker,AS$4,TF_Dato,$A550))*2,0)/2)))</f>
        <v/>
      </c>
      <c r="AT550">
        <f>IF(OR(AT$4="",$A550&gt;TODAY()),0,IF(OR(INDEX($B550:$D550,AT$5)="F",AND(AT$6&gt;0,$A550&lt;AT$6),AND(AT$7&gt;0,$A550&gt;AT$7)),0,MAX(0,ROUND((INDEX($E550:$G550,AT$5)-SUMIFS(TF_Timer,TF_Tekniker,AT$4,TF_Dato,$A550))*2,0)/2)))</f>
        <v/>
      </c>
      <c r="AU550">
        <f>IF(OR(AU$4="",$A550&gt;TODAY()),0,IF(OR(INDEX($B550:$D550,AU$5)="F",AND(AU$6&gt;0,$A550&lt;AU$6),AND(AU$7&gt;0,$A550&gt;AU$7)),0,MAX(0,ROUND((INDEX($E550:$G550,AU$5)-SUMIFS(TF_Timer,TF_Tekniker,AU$4,TF_Dato,$A550))*2,0)/2)))</f>
        <v/>
      </c>
      <c r="AV550">
        <f>IF(OR(AV$4="",$A550&gt;TODAY()),0,IF(OR(INDEX($B550:$D550,AV$5)="F",AND(AV$6&gt;0,$A550&lt;AV$6),AND(AV$7&gt;0,$A550&gt;AV$7)),0,MAX(0,ROUND((INDEX($E550:$G550,AV$5)-SUMIFS(TF_Timer,TF_Tekniker,AV$4,TF_Dato,$A550))*2,0)/2)))</f>
        <v/>
      </c>
      <c r="AW550">
        <f>IF(OR(AW$4="",$A550&gt;TODAY()),0,IF(OR(INDEX($B550:$D550,AW$5)="F",AND(AW$6&gt;0,$A550&lt;AW$6),AND(AW$7&gt;0,$A550&gt;AW$7)),0,MAX(0,ROUND((INDEX($E550:$G550,AW$5)-SUMIFS(TF_Timer,TF_Tekniker,AW$4,TF_Dato,$A550))*2,0)/2)))</f>
        <v/>
      </c>
      <c r="AX550">
        <f>IF(OR(AX$4="",$A550&gt;TODAY()),0,IF(OR(INDEX($B550:$D550,AX$5)="F",AND(AX$6&gt;0,$A550&lt;AX$6),AND(AX$7&gt;0,$A550&gt;AX$7)),0,MAX(0,ROUND((INDEX($E550:$G550,AX$5)-SUMIFS(TF_Timer,TF_Tekniker,AX$4,TF_Dato,$A550))*2,0)/2)))</f>
        <v/>
      </c>
      <c r="AY550">
        <f>IF(OR(AY$4="",$A550&gt;TODAY()),0,IF(OR(INDEX($B550:$D550,AY$5)="F",AND(AY$6&gt;0,$A550&lt;AY$6),AND(AY$7&gt;0,$A550&gt;AY$7)),0,MAX(0,ROUND((INDEX($E550:$G550,AY$5)-SUMIFS(TF_Timer,TF_Tekniker,AY$4,TF_Dato,$A550))*2,0)/2)))</f>
        <v/>
      </c>
      <c r="AZ550">
        <f>IF(OR(AZ$4="",$A550&gt;TODAY()),0,IF(OR(INDEX($B550:$D550,AZ$5)="F",AND(AZ$6&gt;0,$A550&lt;AZ$6),AND(AZ$7&gt;0,$A550&gt;AZ$7)),0,MAX(0,ROUND((INDEX($E550:$G550,AZ$5)-SUMIFS(TF_Timer,TF_Tekniker,AZ$4,TF_Dato,$A550))*2,0)/2)))</f>
        <v/>
      </c>
      <c r="BA550">
        <f>IF(OR(BA$4="",$A550&gt;TODAY()),0,IF(OR(INDEX($B550:$D550,BA$5)="F",AND(BA$6&gt;0,$A550&lt;BA$6),AND(BA$7&gt;0,$A550&gt;BA$7)),0,MAX(0,ROUND((INDEX($E550:$G550,BA$5)-SUMIFS(TF_Timer,TF_Tekniker,BA$4,TF_Dato,$A550))*2,0)/2)))</f>
        <v/>
      </c>
      <c r="BB550">
        <f>IF(OR(BB$4="",$A550&gt;TODAY()),0,IF(OR(INDEX($B550:$D550,BB$5)="F",AND(BB$6&gt;0,$A550&lt;BB$6),AND(BB$7&gt;0,$A550&gt;BB$7)),0,MAX(0,ROUND((INDEX($E550:$G550,BB$5)-SUMIFS(TF_Timer,TF_Tekniker,BB$4,TF_Dato,$A550))*2,0)/2)))</f>
        <v/>
      </c>
      <c r="BC550">
        <f>IF(OR(BC$4="",$A550&gt;TODAY()),0,IF(OR(INDEX($B550:$D550,BC$5)="F",AND(BC$6&gt;0,$A550&lt;BC$6),AND(BC$7&gt;0,$A550&gt;BC$7)),0,MAX(0,ROUND((INDEX($E550:$G550,BC$5)-SUMIFS(TF_Timer,TF_Tekniker,BC$4,TF_Dato,$A550))*2,0)/2)))</f>
        <v/>
      </c>
      <c r="BD550">
        <f>IF(OR(BD$4="",$A550&gt;TODAY()),0,IF(OR(INDEX($B550:$D550,BD$5)="F",AND(BD$6&gt;0,$A550&lt;BD$6),AND(BD$7&gt;0,$A550&gt;BD$7)),0,MAX(0,ROUND((INDEX($E550:$G550,BD$5)-SUMIFS(TF_Timer,TF_Tekniker,BD$4,TF_Dato,$A550))*2,0)/2)))</f>
        <v/>
      </c>
      <c r="BE550">
        <f>IF(OR(BE$4="",$A550&gt;TODAY()),0,IF(OR(INDEX($B550:$D550,BE$5)="F",AND(BE$6&gt;0,$A550&lt;BE$6),AND(BE$7&gt;0,$A550&gt;BE$7)),0,MAX(0,ROUND((INDEX($E550:$G550,BE$5)-SUMIFS(TF_Timer,TF_Tekniker,BE$4,TF_Dato,$A550))*2,0)/2)))</f>
        <v/>
      </c>
      <c r="BF550">
        <f>IF(OR(BF$4="",$A550&gt;TODAY()),0,IF(OR(INDEX($B550:$D550,BF$5)="F",AND(BF$6&gt;0,$A550&lt;BF$6),AND(BF$7&gt;0,$A550&gt;BF$7)),0,MAX(0,ROUND((INDEX($E550:$G550,BF$5)-SUMIFS(TF_Timer,TF_Tekniker,BF$4,TF_Dato,$A550))*2,0)/2)))</f>
        <v/>
      </c>
      <c r="BG550">
        <f>IF(OR(BG$4="",$A550&gt;TODAY()),0,IF(OR(INDEX($B550:$D550,BG$5)="F",AND(BG$6&gt;0,$A550&lt;BG$6),AND(BG$7&gt;0,$A550&gt;BG$7)),0,MAX(0,ROUND((INDEX($E550:$G550,BG$5)-SUMIFS(TF_Timer,TF_Tekniker,BG$4,TF_Dato,$A550))*2,0)/2)))</f>
        <v/>
      </c>
      <c r="BH550">
        <f>IF(OR(BH$4="",$A550&gt;TODAY()),0,IF(OR(INDEX($B550:$D550,BH$5)="F",AND(BH$6&gt;0,$A550&lt;BH$6),AND(BH$7&gt;0,$A550&gt;BH$7)),0,MAX(0,ROUND((INDEX($E550:$G550,BH$5)-SUMIFS(TF_Timer,TF_Tekniker,BH$4,TF_Dato,$A550))*2,0)/2)))</f>
        <v/>
      </c>
      <c r="BI550">
        <f>IF(OR(BI$4="",$A550&gt;TODAY()),0,IF(OR(INDEX($B550:$D550,BI$5)="F",AND(BI$6&gt;0,$A550&lt;BI$6),AND(BI$7&gt;0,$A550&gt;BI$7)),0,MAX(0,ROUND((INDEX($E550:$G550,BI$5)-SUMIFS(TF_Timer,TF_Tekniker,BI$4,TF_Dato,$A550))*2,0)/2)))</f>
        <v/>
      </c>
    </row>
    <row r="551">
      <c r="A551" s="64">
        <f>A550+1</f>
        <v/>
      </c>
      <c r="B551">
        <f>IF(MOD($A551-INDEX(SkiftStart,1),Syklus)&lt;DagK,"K",IF(MOD($A551-INDEX(SkiftStart,1),Syklus)&lt;DagK+DagH,"H",IF(MOD($A551-INDEX(SkiftStart,1),Syklus)&lt;DagK+DagH+DagD,"D","F")))</f>
        <v/>
      </c>
      <c r="C551">
        <f>IF(MOD($A551-INDEX(SkiftStart,2),Syklus)&lt;DagK,"K",IF(MOD($A551-INDEX(SkiftStart,2),Syklus)&lt;DagK+DagH,"H",IF(MOD($A551-INDEX(SkiftStart,2),Syklus)&lt;DagK+DagH+DagD,"D","F")))</f>
        <v/>
      </c>
      <c r="D551">
        <f>IF(MOD($A551-INDEX(SkiftStart,3),Syklus)&lt;DagK,"K",IF(MOD($A551-INDEX(SkiftStart,3),Syklus)&lt;DagK+DagH,"H",IF(MOD($A551-INDEX(SkiftStart,3),Syklus)&lt;DagK+DagH+DagD,"D","F")))</f>
        <v/>
      </c>
      <c r="E551">
        <f>IF(B551="F",0,IF(WEEKDAY($A551,2)=5,INDEX(TimerFr,MATCH(B551,FaseKode,0)),INDEX(TimerMT,MATCH(B551,FaseKode,0))))</f>
        <v/>
      </c>
      <c r="F551">
        <f>IF(C551="F",0,IF(WEEKDAY($A551,2)=5,INDEX(TimerFr,MATCH(C551,FaseKode,0)),INDEX(TimerMT,MATCH(C551,FaseKode,0))))</f>
        <v/>
      </c>
      <c r="G551">
        <f>IF(D551="F",0,IF(WEEKDAY($A551,2)=5,INDEX(TimerFr,MATCH(D551,FaseKode,0)),INDEX(TimerMT,MATCH(D551,FaseKode,0))))</f>
        <v/>
      </c>
      <c r="H551">
        <f>IF(OR(H$4="",$A551&gt;TODAY()),0,IF(OR(INDEX($B551:$D551,H$5)="F",AND(H$6&gt;0,$A551&lt;H$6),AND(H$7&gt;0,$A551&gt;H$7)),0,MAX(0,ROUND((INDEX($E551:$G551,H$5)-SUMIFS(TF_Timer,TF_Tekniker,H$4,TF_Dato,$A551))*2,0)/2)))</f>
        <v/>
      </c>
      <c r="I551">
        <f>IF(OR(I$4="",$A551&gt;TODAY()),0,IF(OR(INDEX($B551:$D551,I$5)="F",AND(I$6&gt;0,$A551&lt;I$6),AND(I$7&gt;0,$A551&gt;I$7)),0,MAX(0,ROUND((INDEX($E551:$G551,I$5)-SUMIFS(TF_Timer,TF_Tekniker,I$4,TF_Dato,$A551))*2,0)/2)))</f>
        <v/>
      </c>
      <c r="J551">
        <f>IF(OR(J$4="",$A551&gt;TODAY()),0,IF(OR(INDEX($B551:$D551,J$5)="F",AND(J$6&gt;0,$A551&lt;J$6),AND(J$7&gt;0,$A551&gt;J$7)),0,MAX(0,ROUND((INDEX($E551:$G551,J$5)-SUMIFS(TF_Timer,TF_Tekniker,J$4,TF_Dato,$A551))*2,0)/2)))</f>
        <v/>
      </c>
      <c r="K551">
        <f>IF(OR(K$4="",$A551&gt;TODAY()),0,IF(OR(INDEX($B551:$D551,K$5)="F",AND(K$6&gt;0,$A551&lt;K$6),AND(K$7&gt;0,$A551&gt;K$7)),0,MAX(0,ROUND((INDEX($E551:$G551,K$5)-SUMIFS(TF_Timer,TF_Tekniker,K$4,TF_Dato,$A551))*2,0)/2)))</f>
        <v/>
      </c>
      <c r="L551">
        <f>IF(OR(L$4="",$A551&gt;TODAY()),0,IF(OR(INDEX($B551:$D551,L$5)="F",AND(L$6&gt;0,$A551&lt;L$6),AND(L$7&gt;0,$A551&gt;L$7)),0,MAX(0,ROUND((INDEX($E551:$G551,L$5)-SUMIFS(TF_Timer,TF_Tekniker,L$4,TF_Dato,$A551))*2,0)/2)))</f>
        <v/>
      </c>
      <c r="M551">
        <f>IF(OR(M$4="",$A551&gt;TODAY()),0,IF(OR(INDEX($B551:$D551,M$5)="F",AND(M$6&gt;0,$A551&lt;M$6),AND(M$7&gt;0,$A551&gt;M$7)),0,MAX(0,ROUND((INDEX($E551:$G551,M$5)-SUMIFS(TF_Timer,TF_Tekniker,M$4,TF_Dato,$A551))*2,0)/2)))</f>
        <v/>
      </c>
      <c r="N551">
        <f>IF(OR(N$4="",$A551&gt;TODAY()),0,IF(OR(INDEX($B551:$D551,N$5)="F",AND(N$6&gt;0,$A551&lt;N$6),AND(N$7&gt;0,$A551&gt;N$7)),0,MAX(0,ROUND((INDEX($E551:$G551,N$5)-SUMIFS(TF_Timer,TF_Tekniker,N$4,TF_Dato,$A551))*2,0)/2)))</f>
        <v/>
      </c>
      <c r="O551">
        <f>IF(OR(O$4="",$A551&gt;TODAY()),0,IF(OR(INDEX($B551:$D551,O$5)="F",AND(O$6&gt;0,$A551&lt;O$6),AND(O$7&gt;0,$A551&gt;O$7)),0,MAX(0,ROUND((INDEX($E551:$G551,O$5)-SUMIFS(TF_Timer,TF_Tekniker,O$4,TF_Dato,$A551))*2,0)/2)))</f>
        <v/>
      </c>
      <c r="P551">
        <f>IF(OR(P$4="",$A551&gt;TODAY()),0,IF(OR(INDEX($B551:$D551,P$5)="F",AND(P$6&gt;0,$A551&lt;P$6),AND(P$7&gt;0,$A551&gt;P$7)),0,MAX(0,ROUND((INDEX($E551:$G551,P$5)-SUMIFS(TF_Timer,TF_Tekniker,P$4,TF_Dato,$A551))*2,0)/2)))</f>
        <v/>
      </c>
      <c r="Q551">
        <f>IF(OR(Q$4="",$A551&gt;TODAY()),0,IF(OR(INDEX($B551:$D551,Q$5)="F",AND(Q$6&gt;0,$A551&lt;Q$6),AND(Q$7&gt;0,$A551&gt;Q$7)),0,MAX(0,ROUND((INDEX($E551:$G551,Q$5)-SUMIFS(TF_Timer,TF_Tekniker,Q$4,TF_Dato,$A551))*2,0)/2)))</f>
        <v/>
      </c>
      <c r="R551">
        <f>IF(OR(R$4="",$A551&gt;TODAY()),0,IF(OR(INDEX($B551:$D551,R$5)="F",AND(R$6&gt;0,$A551&lt;R$6),AND(R$7&gt;0,$A551&gt;R$7)),0,MAX(0,ROUND((INDEX($E551:$G551,R$5)-SUMIFS(TF_Timer,TF_Tekniker,R$4,TF_Dato,$A551))*2,0)/2)))</f>
        <v/>
      </c>
      <c r="S551">
        <f>IF(OR(S$4="",$A551&gt;TODAY()),0,IF(OR(INDEX($B551:$D551,S$5)="F",AND(S$6&gt;0,$A551&lt;S$6),AND(S$7&gt;0,$A551&gt;S$7)),0,MAX(0,ROUND((INDEX($E551:$G551,S$5)-SUMIFS(TF_Timer,TF_Tekniker,S$4,TF_Dato,$A551))*2,0)/2)))</f>
        <v/>
      </c>
      <c r="T551">
        <f>IF(OR(T$4="",$A551&gt;TODAY()),0,IF(OR(INDEX($B551:$D551,T$5)="F",AND(T$6&gt;0,$A551&lt;T$6),AND(T$7&gt;0,$A551&gt;T$7)),0,MAX(0,ROUND((INDEX($E551:$G551,T$5)-SUMIFS(TF_Timer,TF_Tekniker,T$4,TF_Dato,$A551))*2,0)/2)))</f>
        <v/>
      </c>
      <c r="U551">
        <f>IF(OR(U$4="",$A551&gt;TODAY()),0,IF(OR(INDEX($B551:$D551,U$5)="F",AND(U$6&gt;0,$A551&lt;U$6),AND(U$7&gt;0,$A551&gt;U$7)),0,MAX(0,ROUND((INDEX($E551:$G551,U$5)-SUMIFS(TF_Timer,TF_Tekniker,U$4,TF_Dato,$A551))*2,0)/2)))</f>
        <v/>
      </c>
      <c r="V551">
        <f>IF(OR(V$4="",$A551&gt;TODAY()),0,IF(OR(INDEX($B551:$D551,V$5)="F",AND(V$6&gt;0,$A551&lt;V$6),AND(V$7&gt;0,$A551&gt;V$7)),0,MAX(0,ROUND((INDEX($E551:$G551,V$5)-SUMIFS(TF_Timer,TF_Tekniker,V$4,TF_Dato,$A551))*2,0)/2)))</f>
        <v/>
      </c>
      <c r="W551">
        <f>IF(OR(W$4="",$A551&gt;TODAY()),0,IF(OR(INDEX($B551:$D551,W$5)="F",AND(W$6&gt;0,$A551&lt;W$6),AND(W$7&gt;0,$A551&gt;W$7)),0,MAX(0,ROUND((INDEX($E551:$G551,W$5)-SUMIFS(TF_Timer,TF_Tekniker,W$4,TF_Dato,$A551))*2,0)/2)))</f>
        <v/>
      </c>
      <c r="X551">
        <f>IF(OR(X$4="",$A551&gt;TODAY()),0,IF(OR(INDEX($B551:$D551,X$5)="F",AND(X$6&gt;0,$A551&lt;X$6),AND(X$7&gt;0,$A551&gt;X$7)),0,MAX(0,ROUND((INDEX($E551:$G551,X$5)-SUMIFS(TF_Timer,TF_Tekniker,X$4,TF_Dato,$A551))*2,0)/2)))</f>
        <v/>
      </c>
      <c r="Y551">
        <f>IF(OR(Y$4="",$A551&gt;TODAY()),0,IF(OR(INDEX($B551:$D551,Y$5)="F",AND(Y$6&gt;0,$A551&lt;Y$6),AND(Y$7&gt;0,$A551&gt;Y$7)),0,MAX(0,ROUND((INDEX($E551:$G551,Y$5)-SUMIFS(TF_Timer,TF_Tekniker,Y$4,TF_Dato,$A551))*2,0)/2)))</f>
        <v/>
      </c>
      <c r="Z551">
        <f>IF(OR(Z$4="",$A551&gt;TODAY()),0,IF(OR(INDEX($B551:$D551,Z$5)="F",AND(Z$6&gt;0,$A551&lt;Z$6),AND(Z$7&gt;0,$A551&gt;Z$7)),0,MAX(0,ROUND((INDEX($E551:$G551,Z$5)-SUMIFS(TF_Timer,TF_Tekniker,Z$4,TF_Dato,$A551))*2,0)/2)))</f>
        <v/>
      </c>
      <c r="AA551">
        <f>IF(OR(AA$4="",$A551&gt;TODAY()),0,IF(OR(INDEX($B551:$D551,AA$5)="F",AND(AA$6&gt;0,$A551&lt;AA$6),AND(AA$7&gt;0,$A551&gt;AA$7)),0,MAX(0,ROUND((INDEX($E551:$G551,AA$5)-SUMIFS(TF_Timer,TF_Tekniker,AA$4,TF_Dato,$A551))*2,0)/2)))</f>
        <v/>
      </c>
      <c r="AB551">
        <f>IF(OR(AB$4="",$A551&gt;TODAY()),0,IF(OR(INDEX($B551:$D551,AB$5)="F",AND(AB$6&gt;0,$A551&lt;AB$6),AND(AB$7&gt;0,$A551&gt;AB$7)),0,MAX(0,ROUND((INDEX($E551:$G551,AB$5)-SUMIFS(TF_Timer,TF_Tekniker,AB$4,TF_Dato,$A551))*2,0)/2)))</f>
        <v/>
      </c>
      <c r="AC551">
        <f>IF(OR(AC$4="",$A551&gt;TODAY()),0,IF(OR(INDEX($B551:$D551,AC$5)="F",AND(AC$6&gt;0,$A551&lt;AC$6),AND(AC$7&gt;0,$A551&gt;AC$7)),0,MAX(0,ROUND((INDEX($E551:$G551,AC$5)-SUMIFS(TF_Timer,TF_Tekniker,AC$4,TF_Dato,$A551))*2,0)/2)))</f>
        <v/>
      </c>
      <c r="AD551">
        <f>IF(OR(AD$4="",$A551&gt;TODAY()),0,IF(OR(INDEX($B551:$D551,AD$5)="F",AND(AD$6&gt;0,$A551&lt;AD$6),AND(AD$7&gt;0,$A551&gt;AD$7)),0,MAX(0,ROUND((INDEX($E551:$G551,AD$5)-SUMIFS(TF_Timer,TF_Tekniker,AD$4,TF_Dato,$A551))*2,0)/2)))</f>
        <v/>
      </c>
      <c r="AE551">
        <f>IF(OR(AE$4="",$A551&gt;TODAY()),0,IF(OR(INDEX($B551:$D551,AE$5)="F",AND(AE$6&gt;0,$A551&lt;AE$6),AND(AE$7&gt;0,$A551&gt;AE$7)),0,MAX(0,ROUND((INDEX($E551:$G551,AE$5)-SUMIFS(TF_Timer,TF_Tekniker,AE$4,TF_Dato,$A551))*2,0)/2)))</f>
        <v/>
      </c>
      <c r="AF551">
        <f>IF(OR(AF$4="",$A551&gt;TODAY()),0,IF(OR(INDEX($B551:$D551,AF$5)="F",AND(AF$6&gt;0,$A551&lt;AF$6),AND(AF$7&gt;0,$A551&gt;AF$7)),0,MAX(0,ROUND((INDEX($E551:$G551,AF$5)-SUMIFS(TF_Timer,TF_Tekniker,AF$4,TF_Dato,$A551))*2,0)/2)))</f>
        <v/>
      </c>
      <c r="AG551">
        <f>IF(OR(AG$4="",$A551&gt;TODAY()),0,IF(OR(INDEX($B551:$D551,AG$5)="F",AND(AG$6&gt;0,$A551&lt;AG$6),AND(AG$7&gt;0,$A551&gt;AG$7)),0,MAX(0,ROUND((INDEX($E551:$G551,AG$5)-SUMIFS(TF_Timer,TF_Tekniker,AG$4,TF_Dato,$A551))*2,0)/2)))</f>
        <v/>
      </c>
      <c r="AH551">
        <f>IF(OR(AH$4="",$A551&gt;TODAY()),0,IF(OR(INDEX($B551:$D551,AH$5)="F",AND(AH$6&gt;0,$A551&lt;AH$6),AND(AH$7&gt;0,$A551&gt;AH$7)),0,MAX(0,ROUND((INDEX($E551:$G551,AH$5)-SUMIFS(TF_Timer,TF_Tekniker,AH$4,TF_Dato,$A551))*2,0)/2)))</f>
        <v/>
      </c>
      <c r="AI551">
        <f>IF(OR(AI$4="",$A551&gt;TODAY()),0,IF(OR(INDEX($B551:$D551,AI$5)="F",AND(AI$6&gt;0,$A551&lt;AI$6),AND(AI$7&gt;0,$A551&gt;AI$7)),0,MAX(0,ROUND((INDEX($E551:$G551,AI$5)-SUMIFS(TF_Timer,TF_Tekniker,AI$4,TF_Dato,$A551))*2,0)/2)))</f>
        <v/>
      </c>
      <c r="AJ551">
        <f>IF(OR(AJ$4="",$A551&gt;TODAY()),0,IF(OR(INDEX($B551:$D551,AJ$5)="F",AND(AJ$6&gt;0,$A551&lt;AJ$6),AND(AJ$7&gt;0,$A551&gt;AJ$7)),0,MAX(0,ROUND((INDEX($E551:$G551,AJ$5)-SUMIFS(TF_Timer,TF_Tekniker,AJ$4,TF_Dato,$A551))*2,0)/2)))</f>
        <v/>
      </c>
      <c r="AK551">
        <f>IF(OR(AK$4="",$A551&gt;TODAY()),0,IF(OR(INDEX($B551:$D551,AK$5)="F",AND(AK$6&gt;0,$A551&lt;AK$6),AND(AK$7&gt;0,$A551&gt;AK$7)),0,MAX(0,ROUND((INDEX($E551:$G551,AK$5)-SUMIFS(TF_Timer,TF_Tekniker,AK$4,TF_Dato,$A551))*2,0)/2)))</f>
        <v/>
      </c>
      <c r="AL551">
        <f>IF(OR(AL$4="",$A551&gt;TODAY()),0,IF(OR(INDEX($B551:$D551,AL$5)="F",AND(AL$6&gt;0,$A551&lt;AL$6),AND(AL$7&gt;0,$A551&gt;AL$7)),0,MAX(0,ROUND((INDEX($E551:$G551,AL$5)-SUMIFS(TF_Timer,TF_Tekniker,AL$4,TF_Dato,$A551))*2,0)/2)))</f>
        <v/>
      </c>
      <c r="AM551">
        <f>IF(OR(AM$4="",$A551&gt;TODAY()),0,IF(OR(INDEX($B551:$D551,AM$5)="F",AND(AM$6&gt;0,$A551&lt;AM$6),AND(AM$7&gt;0,$A551&gt;AM$7)),0,MAX(0,ROUND((INDEX($E551:$G551,AM$5)-SUMIFS(TF_Timer,TF_Tekniker,AM$4,TF_Dato,$A551))*2,0)/2)))</f>
        <v/>
      </c>
      <c r="AN551">
        <f>IF(OR(AN$4="",$A551&gt;TODAY()),0,IF(OR(INDEX($B551:$D551,AN$5)="F",AND(AN$6&gt;0,$A551&lt;AN$6),AND(AN$7&gt;0,$A551&gt;AN$7)),0,MAX(0,ROUND((INDEX($E551:$G551,AN$5)-SUMIFS(TF_Timer,TF_Tekniker,AN$4,TF_Dato,$A551))*2,0)/2)))</f>
        <v/>
      </c>
      <c r="AO551">
        <f>IF(OR(AO$4="",$A551&gt;TODAY()),0,IF(OR(INDEX($B551:$D551,AO$5)="F",AND(AO$6&gt;0,$A551&lt;AO$6),AND(AO$7&gt;0,$A551&gt;AO$7)),0,MAX(0,ROUND((INDEX($E551:$G551,AO$5)-SUMIFS(TF_Timer,TF_Tekniker,AO$4,TF_Dato,$A551))*2,0)/2)))</f>
        <v/>
      </c>
      <c r="AP551">
        <f>IF(OR(AP$4="",$A551&gt;TODAY()),0,IF(OR(INDEX($B551:$D551,AP$5)="F",AND(AP$6&gt;0,$A551&lt;AP$6),AND(AP$7&gt;0,$A551&gt;AP$7)),0,MAX(0,ROUND((INDEX($E551:$G551,AP$5)-SUMIFS(TF_Timer,TF_Tekniker,AP$4,TF_Dato,$A551))*2,0)/2)))</f>
        <v/>
      </c>
      <c r="AQ551">
        <f>IF(OR(AQ$4="",$A551&gt;TODAY()),0,IF(OR(INDEX($B551:$D551,AQ$5)="F",AND(AQ$6&gt;0,$A551&lt;AQ$6),AND(AQ$7&gt;0,$A551&gt;AQ$7)),0,MAX(0,ROUND((INDEX($E551:$G551,AQ$5)-SUMIFS(TF_Timer,TF_Tekniker,AQ$4,TF_Dato,$A551))*2,0)/2)))</f>
        <v/>
      </c>
      <c r="AR551">
        <f>IF(OR(AR$4="",$A551&gt;TODAY()),0,IF(OR(INDEX($B551:$D551,AR$5)="F",AND(AR$6&gt;0,$A551&lt;AR$6),AND(AR$7&gt;0,$A551&gt;AR$7)),0,MAX(0,ROUND((INDEX($E551:$G551,AR$5)-SUMIFS(TF_Timer,TF_Tekniker,AR$4,TF_Dato,$A551))*2,0)/2)))</f>
        <v/>
      </c>
      <c r="AS551">
        <f>IF(OR(AS$4="",$A551&gt;TODAY()),0,IF(OR(INDEX($B551:$D551,AS$5)="F",AND(AS$6&gt;0,$A551&lt;AS$6),AND(AS$7&gt;0,$A551&gt;AS$7)),0,MAX(0,ROUND((INDEX($E551:$G551,AS$5)-SUMIFS(TF_Timer,TF_Tekniker,AS$4,TF_Dato,$A551))*2,0)/2)))</f>
        <v/>
      </c>
      <c r="AT551">
        <f>IF(OR(AT$4="",$A551&gt;TODAY()),0,IF(OR(INDEX($B551:$D551,AT$5)="F",AND(AT$6&gt;0,$A551&lt;AT$6),AND(AT$7&gt;0,$A551&gt;AT$7)),0,MAX(0,ROUND((INDEX($E551:$G551,AT$5)-SUMIFS(TF_Timer,TF_Tekniker,AT$4,TF_Dato,$A551))*2,0)/2)))</f>
        <v/>
      </c>
      <c r="AU551">
        <f>IF(OR(AU$4="",$A551&gt;TODAY()),0,IF(OR(INDEX($B551:$D551,AU$5)="F",AND(AU$6&gt;0,$A551&lt;AU$6),AND(AU$7&gt;0,$A551&gt;AU$7)),0,MAX(0,ROUND((INDEX($E551:$G551,AU$5)-SUMIFS(TF_Timer,TF_Tekniker,AU$4,TF_Dato,$A551))*2,0)/2)))</f>
        <v/>
      </c>
      <c r="AV551">
        <f>IF(OR(AV$4="",$A551&gt;TODAY()),0,IF(OR(INDEX($B551:$D551,AV$5)="F",AND(AV$6&gt;0,$A551&lt;AV$6),AND(AV$7&gt;0,$A551&gt;AV$7)),0,MAX(0,ROUND((INDEX($E551:$G551,AV$5)-SUMIFS(TF_Timer,TF_Tekniker,AV$4,TF_Dato,$A551))*2,0)/2)))</f>
        <v/>
      </c>
      <c r="AW551">
        <f>IF(OR(AW$4="",$A551&gt;TODAY()),0,IF(OR(INDEX($B551:$D551,AW$5)="F",AND(AW$6&gt;0,$A551&lt;AW$6),AND(AW$7&gt;0,$A551&gt;AW$7)),0,MAX(0,ROUND((INDEX($E551:$G551,AW$5)-SUMIFS(TF_Timer,TF_Tekniker,AW$4,TF_Dato,$A551))*2,0)/2)))</f>
        <v/>
      </c>
      <c r="AX551">
        <f>IF(OR(AX$4="",$A551&gt;TODAY()),0,IF(OR(INDEX($B551:$D551,AX$5)="F",AND(AX$6&gt;0,$A551&lt;AX$6),AND(AX$7&gt;0,$A551&gt;AX$7)),0,MAX(0,ROUND((INDEX($E551:$G551,AX$5)-SUMIFS(TF_Timer,TF_Tekniker,AX$4,TF_Dato,$A551))*2,0)/2)))</f>
        <v/>
      </c>
      <c r="AY551">
        <f>IF(OR(AY$4="",$A551&gt;TODAY()),0,IF(OR(INDEX($B551:$D551,AY$5)="F",AND(AY$6&gt;0,$A551&lt;AY$6),AND(AY$7&gt;0,$A551&gt;AY$7)),0,MAX(0,ROUND((INDEX($E551:$G551,AY$5)-SUMIFS(TF_Timer,TF_Tekniker,AY$4,TF_Dato,$A551))*2,0)/2)))</f>
        <v/>
      </c>
      <c r="AZ551">
        <f>IF(OR(AZ$4="",$A551&gt;TODAY()),0,IF(OR(INDEX($B551:$D551,AZ$5)="F",AND(AZ$6&gt;0,$A551&lt;AZ$6),AND(AZ$7&gt;0,$A551&gt;AZ$7)),0,MAX(0,ROUND((INDEX($E551:$G551,AZ$5)-SUMIFS(TF_Timer,TF_Tekniker,AZ$4,TF_Dato,$A551))*2,0)/2)))</f>
        <v/>
      </c>
      <c r="BA551">
        <f>IF(OR(BA$4="",$A551&gt;TODAY()),0,IF(OR(INDEX($B551:$D551,BA$5)="F",AND(BA$6&gt;0,$A551&lt;BA$6),AND(BA$7&gt;0,$A551&gt;BA$7)),0,MAX(0,ROUND((INDEX($E551:$G551,BA$5)-SUMIFS(TF_Timer,TF_Tekniker,BA$4,TF_Dato,$A551))*2,0)/2)))</f>
        <v/>
      </c>
      <c r="BB551">
        <f>IF(OR(BB$4="",$A551&gt;TODAY()),0,IF(OR(INDEX($B551:$D551,BB$5)="F",AND(BB$6&gt;0,$A551&lt;BB$6),AND(BB$7&gt;0,$A551&gt;BB$7)),0,MAX(0,ROUND((INDEX($E551:$G551,BB$5)-SUMIFS(TF_Timer,TF_Tekniker,BB$4,TF_Dato,$A551))*2,0)/2)))</f>
        <v/>
      </c>
      <c r="BC551">
        <f>IF(OR(BC$4="",$A551&gt;TODAY()),0,IF(OR(INDEX($B551:$D551,BC$5)="F",AND(BC$6&gt;0,$A551&lt;BC$6),AND(BC$7&gt;0,$A551&gt;BC$7)),0,MAX(0,ROUND((INDEX($E551:$G551,BC$5)-SUMIFS(TF_Timer,TF_Tekniker,BC$4,TF_Dato,$A551))*2,0)/2)))</f>
        <v/>
      </c>
      <c r="BD551">
        <f>IF(OR(BD$4="",$A551&gt;TODAY()),0,IF(OR(INDEX($B551:$D551,BD$5)="F",AND(BD$6&gt;0,$A551&lt;BD$6),AND(BD$7&gt;0,$A551&gt;BD$7)),0,MAX(0,ROUND((INDEX($E551:$G551,BD$5)-SUMIFS(TF_Timer,TF_Tekniker,BD$4,TF_Dato,$A551))*2,0)/2)))</f>
        <v/>
      </c>
      <c r="BE551">
        <f>IF(OR(BE$4="",$A551&gt;TODAY()),0,IF(OR(INDEX($B551:$D551,BE$5)="F",AND(BE$6&gt;0,$A551&lt;BE$6),AND(BE$7&gt;0,$A551&gt;BE$7)),0,MAX(0,ROUND((INDEX($E551:$G551,BE$5)-SUMIFS(TF_Timer,TF_Tekniker,BE$4,TF_Dato,$A551))*2,0)/2)))</f>
        <v/>
      </c>
      <c r="BF551">
        <f>IF(OR(BF$4="",$A551&gt;TODAY()),0,IF(OR(INDEX($B551:$D551,BF$5)="F",AND(BF$6&gt;0,$A551&lt;BF$6),AND(BF$7&gt;0,$A551&gt;BF$7)),0,MAX(0,ROUND((INDEX($E551:$G551,BF$5)-SUMIFS(TF_Timer,TF_Tekniker,BF$4,TF_Dato,$A551))*2,0)/2)))</f>
        <v/>
      </c>
      <c r="BG551">
        <f>IF(OR(BG$4="",$A551&gt;TODAY()),0,IF(OR(INDEX($B551:$D551,BG$5)="F",AND(BG$6&gt;0,$A551&lt;BG$6),AND(BG$7&gt;0,$A551&gt;BG$7)),0,MAX(0,ROUND((INDEX($E551:$G551,BG$5)-SUMIFS(TF_Timer,TF_Tekniker,BG$4,TF_Dato,$A551))*2,0)/2)))</f>
        <v/>
      </c>
      <c r="BH551">
        <f>IF(OR(BH$4="",$A551&gt;TODAY()),0,IF(OR(INDEX($B551:$D551,BH$5)="F",AND(BH$6&gt;0,$A551&lt;BH$6),AND(BH$7&gt;0,$A551&gt;BH$7)),0,MAX(0,ROUND((INDEX($E551:$G551,BH$5)-SUMIFS(TF_Timer,TF_Tekniker,BH$4,TF_Dato,$A551))*2,0)/2)))</f>
        <v/>
      </c>
      <c r="BI551">
        <f>IF(OR(BI$4="",$A551&gt;TODAY()),0,IF(OR(INDEX($B551:$D551,BI$5)="F",AND(BI$6&gt;0,$A551&lt;BI$6),AND(BI$7&gt;0,$A551&gt;BI$7)),0,MAX(0,ROUND((INDEX($E551:$G551,BI$5)-SUMIFS(TF_Timer,TF_Tekniker,BI$4,TF_Dato,$A551))*2,0)/2)))</f>
        <v/>
      </c>
    </row>
    <row r="552">
      <c r="A552" s="64">
        <f>A551+1</f>
        <v/>
      </c>
      <c r="B552">
        <f>IF(MOD($A552-INDEX(SkiftStart,1),Syklus)&lt;DagK,"K",IF(MOD($A552-INDEX(SkiftStart,1),Syklus)&lt;DagK+DagH,"H",IF(MOD($A552-INDEX(SkiftStart,1),Syklus)&lt;DagK+DagH+DagD,"D","F")))</f>
        <v/>
      </c>
      <c r="C552">
        <f>IF(MOD($A552-INDEX(SkiftStart,2),Syklus)&lt;DagK,"K",IF(MOD($A552-INDEX(SkiftStart,2),Syklus)&lt;DagK+DagH,"H",IF(MOD($A552-INDEX(SkiftStart,2),Syklus)&lt;DagK+DagH+DagD,"D","F")))</f>
        <v/>
      </c>
      <c r="D552">
        <f>IF(MOD($A552-INDEX(SkiftStart,3),Syklus)&lt;DagK,"K",IF(MOD($A552-INDEX(SkiftStart,3),Syklus)&lt;DagK+DagH,"H",IF(MOD($A552-INDEX(SkiftStart,3),Syklus)&lt;DagK+DagH+DagD,"D","F")))</f>
        <v/>
      </c>
      <c r="E552">
        <f>IF(B552="F",0,IF(WEEKDAY($A552,2)=5,INDEX(TimerFr,MATCH(B552,FaseKode,0)),INDEX(TimerMT,MATCH(B552,FaseKode,0))))</f>
        <v/>
      </c>
      <c r="F552">
        <f>IF(C552="F",0,IF(WEEKDAY($A552,2)=5,INDEX(TimerFr,MATCH(C552,FaseKode,0)),INDEX(TimerMT,MATCH(C552,FaseKode,0))))</f>
        <v/>
      </c>
      <c r="G552">
        <f>IF(D552="F",0,IF(WEEKDAY($A552,2)=5,INDEX(TimerFr,MATCH(D552,FaseKode,0)),INDEX(TimerMT,MATCH(D552,FaseKode,0))))</f>
        <v/>
      </c>
      <c r="H552">
        <f>IF(OR(H$4="",$A552&gt;TODAY()),0,IF(OR(INDEX($B552:$D552,H$5)="F",AND(H$6&gt;0,$A552&lt;H$6),AND(H$7&gt;0,$A552&gt;H$7)),0,MAX(0,ROUND((INDEX($E552:$G552,H$5)-SUMIFS(TF_Timer,TF_Tekniker,H$4,TF_Dato,$A552))*2,0)/2)))</f>
        <v/>
      </c>
      <c r="I552">
        <f>IF(OR(I$4="",$A552&gt;TODAY()),0,IF(OR(INDEX($B552:$D552,I$5)="F",AND(I$6&gt;0,$A552&lt;I$6),AND(I$7&gt;0,$A552&gt;I$7)),0,MAX(0,ROUND((INDEX($E552:$G552,I$5)-SUMIFS(TF_Timer,TF_Tekniker,I$4,TF_Dato,$A552))*2,0)/2)))</f>
        <v/>
      </c>
      <c r="J552">
        <f>IF(OR(J$4="",$A552&gt;TODAY()),0,IF(OR(INDEX($B552:$D552,J$5)="F",AND(J$6&gt;0,$A552&lt;J$6),AND(J$7&gt;0,$A552&gt;J$7)),0,MAX(0,ROUND((INDEX($E552:$G552,J$5)-SUMIFS(TF_Timer,TF_Tekniker,J$4,TF_Dato,$A552))*2,0)/2)))</f>
        <v/>
      </c>
      <c r="K552">
        <f>IF(OR(K$4="",$A552&gt;TODAY()),0,IF(OR(INDEX($B552:$D552,K$5)="F",AND(K$6&gt;0,$A552&lt;K$6),AND(K$7&gt;0,$A552&gt;K$7)),0,MAX(0,ROUND((INDEX($E552:$G552,K$5)-SUMIFS(TF_Timer,TF_Tekniker,K$4,TF_Dato,$A552))*2,0)/2)))</f>
        <v/>
      </c>
      <c r="L552">
        <f>IF(OR(L$4="",$A552&gt;TODAY()),0,IF(OR(INDEX($B552:$D552,L$5)="F",AND(L$6&gt;0,$A552&lt;L$6),AND(L$7&gt;0,$A552&gt;L$7)),0,MAX(0,ROUND((INDEX($E552:$G552,L$5)-SUMIFS(TF_Timer,TF_Tekniker,L$4,TF_Dato,$A552))*2,0)/2)))</f>
        <v/>
      </c>
      <c r="M552">
        <f>IF(OR(M$4="",$A552&gt;TODAY()),0,IF(OR(INDEX($B552:$D552,M$5)="F",AND(M$6&gt;0,$A552&lt;M$6),AND(M$7&gt;0,$A552&gt;M$7)),0,MAX(0,ROUND((INDEX($E552:$G552,M$5)-SUMIFS(TF_Timer,TF_Tekniker,M$4,TF_Dato,$A552))*2,0)/2)))</f>
        <v/>
      </c>
      <c r="N552">
        <f>IF(OR(N$4="",$A552&gt;TODAY()),0,IF(OR(INDEX($B552:$D552,N$5)="F",AND(N$6&gt;0,$A552&lt;N$6),AND(N$7&gt;0,$A552&gt;N$7)),0,MAX(0,ROUND((INDEX($E552:$G552,N$5)-SUMIFS(TF_Timer,TF_Tekniker,N$4,TF_Dato,$A552))*2,0)/2)))</f>
        <v/>
      </c>
      <c r="O552">
        <f>IF(OR(O$4="",$A552&gt;TODAY()),0,IF(OR(INDEX($B552:$D552,O$5)="F",AND(O$6&gt;0,$A552&lt;O$6),AND(O$7&gt;0,$A552&gt;O$7)),0,MAX(0,ROUND((INDEX($E552:$G552,O$5)-SUMIFS(TF_Timer,TF_Tekniker,O$4,TF_Dato,$A552))*2,0)/2)))</f>
        <v/>
      </c>
      <c r="P552">
        <f>IF(OR(P$4="",$A552&gt;TODAY()),0,IF(OR(INDEX($B552:$D552,P$5)="F",AND(P$6&gt;0,$A552&lt;P$6),AND(P$7&gt;0,$A552&gt;P$7)),0,MAX(0,ROUND((INDEX($E552:$G552,P$5)-SUMIFS(TF_Timer,TF_Tekniker,P$4,TF_Dato,$A552))*2,0)/2)))</f>
        <v/>
      </c>
      <c r="Q552">
        <f>IF(OR(Q$4="",$A552&gt;TODAY()),0,IF(OR(INDEX($B552:$D552,Q$5)="F",AND(Q$6&gt;0,$A552&lt;Q$6),AND(Q$7&gt;0,$A552&gt;Q$7)),0,MAX(0,ROUND((INDEX($E552:$G552,Q$5)-SUMIFS(TF_Timer,TF_Tekniker,Q$4,TF_Dato,$A552))*2,0)/2)))</f>
        <v/>
      </c>
      <c r="R552">
        <f>IF(OR(R$4="",$A552&gt;TODAY()),0,IF(OR(INDEX($B552:$D552,R$5)="F",AND(R$6&gt;0,$A552&lt;R$6),AND(R$7&gt;0,$A552&gt;R$7)),0,MAX(0,ROUND((INDEX($E552:$G552,R$5)-SUMIFS(TF_Timer,TF_Tekniker,R$4,TF_Dato,$A552))*2,0)/2)))</f>
        <v/>
      </c>
      <c r="S552">
        <f>IF(OR(S$4="",$A552&gt;TODAY()),0,IF(OR(INDEX($B552:$D552,S$5)="F",AND(S$6&gt;0,$A552&lt;S$6),AND(S$7&gt;0,$A552&gt;S$7)),0,MAX(0,ROUND((INDEX($E552:$G552,S$5)-SUMIFS(TF_Timer,TF_Tekniker,S$4,TF_Dato,$A552))*2,0)/2)))</f>
        <v/>
      </c>
      <c r="T552">
        <f>IF(OR(T$4="",$A552&gt;TODAY()),0,IF(OR(INDEX($B552:$D552,T$5)="F",AND(T$6&gt;0,$A552&lt;T$6),AND(T$7&gt;0,$A552&gt;T$7)),0,MAX(0,ROUND((INDEX($E552:$G552,T$5)-SUMIFS(TF_Timer,TF_Tekniker,T$4,TF_Dato,$A552))*2,0)/2)))</f>
        <v/>
      </c>
      <c r="U552">
        <f>IF(OR(U$4="",$A552&gt;TODAY()),0,IF(OR(INDEX($B552:$D552,U$5)="F",AND(U$6&gt;0,$A552&lt;U$6),AND(U$7&gt;0,$A552&gt;U$7)),0,MAX(0,ROUND((INDEX($E552:$G552,U$5)-SUMIFS(TF_Timer,TF_Tekniker,U$4,TF_Dato,$A552))*2,0)/2)))</f>
        <v/>
      </c>
      <c r="V552">
        <f>IF(OR(V$4="",$A552&gt;TODAY()),0,IF(OR(INDEX($B552:$D552,V$5)="F",AND(V$6&gt;0,$A552&lt;V$6),AND(V$7&gt;0,$A552&gt;V$7)),0,MAX(0,ROUND((INDEX($E552:$G552,V$5)-SUMIFS(TF_Timer,TF_Tekniker,V$4,TF_Dato,$A552))*2,0)/2)))</f>
        <v/>
      </c>
      <c r="W552">
        <f>IF(OR(W$4="",$A552&gt;TODAY()),0,IF(OR(INDEX($B552:$D552,W$5)="F",AND(W$6&gt;0,$A552&lt;W$6),AND(W$7&gt;0,$A552&gt;W$7)),0,MAX(0,ROUND((INDEX($E552:$G552,W$5)-SUMIFS(TF_Timer,TF_Tekniker,W$4,TF_Dato,$A552))*2,0)/2)))</f>
        <v/>
      </c>
      <c r="X552">
        <f>IF(OR(X$4="",$A552&gt;TODAY()),0,IF(OR(INDEX($B552:$D552,X$5)="F",AND(X$6&gt;0,$A552&lt;X$6),AND(X$7&gt;0,$A552&gt;X$7)),0,MAX(0,ROUND((INDEX($E552:$G552,X$5)-SUMIFS(TF_Timer,TF_Tekniker,X$4,TF_Dato,$A552))*2,0)/2)))</f>
        <v/>
      </c>
      <c r="Y552">
        <f>IF(OR(Y$4="",$A552&gt;TODAY()),0,IF(OR(INDEX($B552:$D552,Y$5)="F",AND(Y$6&gt;0,$A552&lt;Y$6),AND(Y$7&gt;0,$A552&gt;Y$7)),0,MAX(0,ROUND((INDEX($E552:$G552,Y$5)-SUMIFS(TF_Timer,TF_Tekniker,Y$4,TF_Dato,$A552))*2,0)/2)))</f>
        <v/>
      </c>
      <c r="Z552">
        <f>IF(OR(Z$4="",$A552&gt;TODAY()),0,IF(OR(INDEX($B552:$D552,Z$5)="F",AND(Z$6&gt;0,$A552&lt;Z$6),AND(Z$7&gt;0,$A552&gt;Z$7)),0,MAX(0,ROUND((INDEX($E552:$G552,Z$5)-SUMIFS(TF_Timer,TF_Tekniker,Z$4,TF_Dato,$A552))*2,0)/2)))</f>
        <v/>
      </c>
      <c r="AA552">
        <f>IF(OR(AA$4="",$A552&gt;TODAY()),0,IF(OR(INDEX($B552:$D552,AA$5)="F",AND(AA$6&gt;0,$A552&lt;AA$6),AND(AA$7&gt;0,$A552&gt;AA$7)),0,MAX(0,ROUND((INDEX($E552:$G552,AA$5)-SUMIFS(TF_Timer,TF_Tekniker,AA$4,TF_Dato,$A552))*2,0)/2)))</f>
        <v/>
      </c>
      <c r="AB552">
        <f>IF(OR(AB$4="",$A552&gt;TODAY()),0,IF(OR(INDEX($B552:$D552,AB$5)="F",AND(AB$6&gt;0,$A552&lt;AB$6),AND(AB$7&gt;0,$A552&gt;AB$7)),0,MAX(0,ROUND((INDEX($E552:$G552,AB$5)-SUMIFS(TF_Timer,TF_Tekniker,AB$4,TF_Dato,$A552))*2,0)/2)))</f>
        <v/>
      </c>
      <c r="AC552">
        <f>IF(OR(AC$4="",$A552&gt;TODAY()),0,IF(OR(INDEX($B552:$D552,AC$5)="F",AND(AC$6&gt;0,$A552&lt;AC$6),AND(AC$7&gt;0,$A552&gt;AC$7)),0,MAX(0,ROUND((INDEX($E552:$G552,AC$5)-SUMIFS(TF_Timer,TF_Tekniker,AC$4,TF_Dato,$A552))*2,0)/2)))</f>
        <v/>
      </c>
      <c r="AD552">
        <f>IF(OR(AD$4="",$A552&gt;TODAY()),0,IF(OR(INDEX($B552:$D552,AD$5)="F",AND(AD$6&gt;0,$A552&lt;AD$6),AND(AD$7&gt;0,$A552&gt;AD$7)),0,MAX(0,ROUND((INDEX($E552:$G552,AD$5)-SUMIFS(TF_Timer,TF_Tekniker,AD$4,TF_Dato,$A552))*2,0)/2)))</f>
        <v/>
      </c>
      <c r="AE552">
        <f>IF(OR(AE$4="",$A552&gt;TODAY()),0,IF(OR(INDEX($B552:$D552,AE$5)="F",AND(AE$6&gt;0,$A552&lt;AE$6),AND(AE$7&gt;0,$A552&gt;AE$7)),0,MAX(0,ROUND((INDEX($E552:$G552,AE$5)-SUMIFS(TF_Timer,TF_Tekniker,AE$4,TF_Dato,$A552))*2,0)/2)))</f>
        <v/>
      </c>
      <c r="AF552">
        <f>IF(OR(AF$4="",$A552&gt;TODAY()),0,IF(OR(INDEX($B552:$D552,AF$5)="F",AND(AF$6&gt;0,$A552&lt;AF$6),AND(AF$7&gt;0,$A552&gt;AF$7)),0,MAX(0,ROUND((INDEX($E552:$G552,AF$5)-SUMIFS(TF_Timer,TF_Tekniker,AF$4,TF_Dato,$A552))*2,0)/2)))</f>
        <v/>
      </c>
      <c r="AG552">
        <f>IF(OR(AG$4="",$A552&gt;TODAY()),0,IF(OR(INDEX($B552:$D552,AG$5)="F",AND(AG$6&gt;0,$A552&lt;AG$6),AND(AG$7&gt;0,$A552&gt;AG$7)),0,MAX(0,ROUND((INDEX($E552:$G552,AG$5)-SUMIFS(TF_Timer,TF_Tekniker,AG$4,TF_Dato,$A552))*2,0)/2)))</f>
        <v/>
      </c>
      <c r="AH552">
        <f>IF(OR(AH$4="",$A552&gt;TODAY()),0,IF(OR(INDEX($B552:$D552,AH$5)="F",AND(AH$6&gt;0,$A552&lt;AH$6),AND(AH$7&gt;0,$A552&gt;AH$7)),0,MAX(0,ROUND((INDEX($E552:$G552,AH$5)-SUMIFS(TF_Timer,TF_Tekniker,AH$4,TF_Dato,$A552))*2,0)/2)))</f>
        <v/>
      </c>
      <c r="AI552">
        <f>IF(OR(AI$4="",$A552&gt;TODAY()),0,IF(OR(INDEX($B552:$D552,AI$5)="F",AND(AI$6&gt;0,$A552&lt;AI$6),AND(AI$7&gt;0,$A552&gt;AI$7)),0,MAX(0,ROUND((INDEX($E552:$G552,AI$5)-SUMIFS(TF_Timer,TF_Tekniker,AI$4,TF_Dato,$A552))*2,0)/2)))</f>
        <v/>
      </c>
      <c r="AJ552">
        <f>IF(OR(AJ$4="",$A552&gt;TODAY()),0,IF(OR(INDEX($B552:$D552,AJ$5)="F",AND(AJ$6&gt;0,$A552&lt;AJ$6),AND(AJ$7&gt;0,$A552&gt;AJ$7)),0,MAX(0,ROUND((INDEX($E552:$G552,AJ$5)-SUMIFS(TF_Timer,TF_Tekniker,AJ$4,TF_Dato,$A552))*2,0)/2)))</f>
        <v/>
      </c>
      <c r="AK552">
        <f>IF(OR(AK$4="",$A552&gt;TODAY()),0,IF(OR(INDEX($B552:$D552,AK$5)="F",AND(AK$6&gt;0,$A552&lt;AK$6),AND(AK$7&gt;0,$A552&gt;AK$7)),0,MAX(0,ROUND((INDEX($E552:$G552,AK$5)-SUMIFS(TF_Timer,TF_Tekniker,AK$4,TF_Dato,$A552))*2,0)/2)))</f>
        <v/>
      </c>
      <c r="AL552">
        <f>IF(OR(AL$4="",$A552&gt;TODAY()),0,IF(OR(INDEX($B552:$D552,AL$5)="F",AND(AL$6&gt;0,$A552&lt;AL$6),AND(AL$7&gt;0,$A552&gt;AL$7)),0,MAX(0,ROUND((INDEX($E552:$G552,AL$5)-SUMIFS(TF_Timer,TF_Tekniker,AL$4,TF_Dato,$A552))*2,0)/2)))</f>
        <v/>
      </c>
      <c r="AM552">
        <f>IF(OR(AM$4="",$A552&gt;TODAY()),0,IF(OR(INDEX($B552:$D552,AM$5)="F",AND(AM$6&gt;0,$A552&lt;AM$6),AND(AM$7&gt;0,$A552&gt;AM$7)),0,MAX(0,ROUND((INDEX($E552:$G552,AM$5)-SUMIFS(TF_Timer,TF_Tekniker,AM$4,TF_Dato,$A552))*2,0)/2)))</f>
        <v/>
      </c>
      <c r="AN552">
        <f>IF(OR(AN$4="",$A552&gt;TODAY()),0,IF(OR(INDEX($B552:$D552,AN$5)="F",AND(AN$6&gt;0,$A552&lt;AN$6),AND(AN$7&gt;0,$A552&gt;AN$7)),0,MAX(0,ROUND((INDEX($E552:$G552,AN$5)-SUMIFS(TF_Timer,TF_Tekniker,AN$4,TF_Dato,$A552))*2,0)/2)))</f>
        <v/>
      </c>
      <c r="AO552">
        <f>IF(OR(AO$4="",$A552&gt;TODAY()),0,IF(OR(INDEX($B552:$D552,AO$5)="F",AND(AO$6&gt;0,$A552&lt;AO$6),AND(AO$7&gt;0,$A552&gt;AO$7)),0,MAX(0,ROUND((INDEX($E552:$G552,AO$5)-SUMIFS(TF_Timer,TF_Tekniker,AO$4,TF_Dato,$A552))*2,0)/2)))</f>
        <v/>
      </c>
      <c r="AP552">
        <f>IF(OR(AP$4="",$A552&gt;TODAY()),0,IF(OR(INDEX($B552:$D552,AP$5)="F",AND(AP$6&gt;0,$A552&lt;AP$6),AND(AP$7&gt;0,$A552&gt;AP$7)),0,MAX(0,ROUND((INDEX($E552:$G552,AP$5)-SUMIFS(TF_Timer,TF_Tekniker,AP$4,TF_Dato,$A552))*2,0)/2)))</f>
        <v/>
      </c>
      <c r="AQ552">
        <f>IF(OR(AQ$4="",$A552&gt;TODAY()),0,IF(OR(INDEX($B552:$D552,AQ$5)="F",AND(AQ$6&gt;0,$A552&lt;AQ$6),AND(AQ$7&gt;0,$A552&gt;AQ$7)),0,MAX(0,ROUND((INDEX($E552:$G552,AQ$5)-SUMIFS(TF_Timer,TF_Tekniker,AQ$4,TF_Dato,$A552))*2,0)/2)))</f>
        <v/>
      </c>
      <c r="AR552">
        <f>IF(OR(AR$4="",$A552&gt;TODAY()),0,IF(OR(INDEX($B552:$D552,AR$5)="F",AND(AR$6&gt;0,$A552&lt;AR$6),AND(AR$7&gt;0,$A552&gt;AR$7)),0,MAX(0,ROUND((INDEX($E552:$G552,AR$5)-SUMIFS(TF_Timer,TF_Tekniker,AR$4,TF_Dato,$A552))*2,0)/2)))</f>
        <v/>
      </c>
      <c r="AS552">
        <f>IF(OR(AS$4="",$A552&gt;TODAY()),0,IF(OR(INDEX($B552:$D552,AS$5)="F",AND(AS$6&gt;0,$A552&lt;AS$6),AND(AS$7&gt;0,$A552&gt;AS$7)),0,MAX(0,ROUND((INDEX($E552:$G552,AS$5)-SUMIFS(TF_Timer,TF_Tekniker,AS$4,TF_Dato,$A552))*2,0)/2)))</f>
        <v/>
      </c>
      <c r="AT552">
        <f>IF(OR(AT$4="",$A552&gt;TODAY()),0,IF(OR(INDEX($B552:$D552,AT$5)="F",AND(AT$6&gt;0,$A552&lt;AT$6),AND(AT$7&gt;0,$A552&gt;AT$7)),0,MAX(0,ROUND((INDEX($E552:$G552,AT$5)-SUMIFS(TF_Timer,TF_Tekniker,AT$4,TF_Dato,$A552))*2,0)/2)))</f>
        <v/>
      </c>
      <c r="AU552">
        <f>IF(OR(AU$4="",$A552&gt;TODAY()),0,IF(OR(INDEX($B552:$D552,AU$5)="F",AND(AU$6&gt;0,$A552&lt;AU$6),AND(AU$7&gt;0,$A552&gt;AU$7)),0,MAX(0,ROUND((INDEX($E552:$G552,AU$5)-SUMIFS(TF_Timer,TF_Tekniker,AU$4,TF_Dato,$A552))*2,0)/2)))</f>
        <v/>
      </c>
      <c r="AV552">
        <f>IF(OR(AV$4="",$A552&gt;TODAY()),0,IF(OR(INDEX($B552:$D552,AV$5)="F",AND(AV$6&gt;0,$A552&lt;AV$6),AND(AV$7&gt;0,$A552&gt;AV$7)),0,MAX(0,ROUND((INDEX($E552:$G552,AV$5)-SUMIFS(TF_Timer,TF_Tekniker,AV$4,TF_Dato,$A552))*2,0)/2)))</f>
        <v/>
      </c>
      <c r="AW552">
        <f>IF(OR(AW$4="",$A552&gt;TODAY()),0,IF(OR(INDEX($B552:$D552,AW$5)="F",AND(AW$6&gt;0,$A552&lt;AW$6),AND(AW$7&gt;0,$A552&gt;AW$7)),0,MAX(0,ROUND((INDEX($E552:$G552,AW$5)-SUMIFS(TF_Timer,TF_Tekniker,AW$4,TF_Dato,$A552))*2,0)/2)))</f>
        <v/>
      </c>
      <c r="AX552">
        <f>IF(OR(AX$4="",$A552&gt;TODAY()),0,IF(OR(INDEX($B552:$D552,AX$5)="F",AND(AX$6&gt;0,$A552&lt;AX$6),AND(AX$7&gt;0,$A552&gt;AX$7)),0,MAX(0,ROUND((INDEX($E552:$G552,AX$5)-SUMIFS(TF_Timer,TF_Tekniker,AX$4,TF_Dato,$A552))*2,0)/2)))</f>
        <v/>
      </c>
      <c r="AY552">
        <f>IF(OR(AY$4="",$A552&gt;TODAY()),0,IF(OR(INDEX($B552:$D552,AY$5)="F",AND(AY$6&gt;0,$A552&lt;AY$6),AND(AY$7&gt;0,$A552&gt;AY$7)),0,MAX(0,ROUND((INDEX($E552:$G552,AY$5)-SUMIFS(TF_Timer,TF_Tekniker,AY$4,TF_Dato,$A552))*2,0)/2)))</f>
        <v/>
      </c>
      <c r="AZ552">
        <f>IF(OR(AZ$4="",$A552&gt;TODAY()),0,IF(OR(INDEX($B552:$D552,AZ$5)="F",AND(AZ$6&gt;0,$A552&lt;AZ$6),AND(AZ$7&gt;0,$A552&gt;AZ$7)),0,MAX(0,ROUND((INDEX($E552:$G552,AZ$5)-SUMIFS(TF_Timer,TF_Tekniker,AZ$4,TF_Dato,$A552))*2,0)/2)))</f>
        <v/>
      </c>
      <c r="BA552">
        <f>IF(OR(BA$4="",$A552&gt;TODAY()),0,IF(OR(INDEX($B552:$D552,BA$5)="F",AND(BA$6&gt;0,$A552&lt;BA$6),AND(BA$7&gt;0,$A552&gt;BA$7)),0,MAX(0,ROUND((INDEX($E552:$G552,BA$5)-SUMIFS(TF_Timer,TF_Tekniker,BA$4,TF_Dato,$A552))*2,0)/2)))</f>
        <v/>
      </c>
      <c r="BB552">
        <f>IF(OR(BB$4="",$A552&gt;TODAY()),0,IF(OR(INDEX($B552:$D552,BB$5)="F",AND(BB$6&gt;0,$A552&lt;BB$6),AND(BB$7&gt;0,$A552&gt;BB$7)),0,MAX(0,ROUND((INDEX($E552:$G552,BB$5)-SUMIFS(TF_Timer,TF_Tekniker,BB$4,TF_Dato,$A552))*2,0)/2)))</f>
        <v/>
      </c>
      <c r="BC552">
        <f>IF(OR(BC$4="",$A552&gt;TODAY()),0,IF(OR(INDEX($B552:$D552,BC$5)="F",AND(BC$6&gt;0,$A552&lt;BC$6),AND(BC$7&gt;0,$A552&gt;BC$7)),0,MAX(0,ROUND((INDEX($E552:$G552,BC$5)-SUMIFS(TF_Timer,TF_Tekniker,BC$4,TF_Dato,$A552))*2,0)/2)))</f>
        <v/>
      </c>
      <c r="BD552">
        <f>IF(OR(BD$4="",$A552&gt;TODAY()),0,IF(OR(INDEX($B552:$D552,BD$5)="F",AND(BD$6&gt;0,$A552&lt;BD$6),AND(BD$7&gt;0,$A552&gt;BD$7)),0,MAX(0,ROUND((INDEX($E552:$G552,BD$5)-SUMIFS(TF_Timer,TF_Tekniker,BD$4,TF_Dato,$A552))*2,0)/2)))</f>
        <v/>
      </c>
      <c r="BE552">
        <f>IF(OR(BE$4="",$A552&gt;TODAY()),0,IF(OR(INDEX($B552:$D552,BE$5)="F",AND(BE$6&gt;0,$A552&lt;BE$6),AND(BE$7&gt;0,$A552&gt;BE$7)),0,MAX(0,ROUND((INDEX($E552:$G552,BE$5)-SUMIFS(TF_Timer,TF_Tekniker,BE$4,TF_Dato,$A552))*2,0)/2)))</f>
        <v/>
      </c>
      <c r="BF552">
        <f>IF(OR(BF$4="",$A552&gt;TODAY()),0,IF(OR(INDEX($B552:$D552,BF$5)="F",AND(BF$6&gt;0,$A552&lt;BF$6),AND(BF$7&gt;0,$A552&gt;BF$7)),0,MAX(0,ROUND((INDEX($E552:$G552,BF$5)-SUMIFS(TF_Timer,TF_Tekniker,BF$4,TF_Dato,$A552))*2,0)/2)))</f>
        <v/>
      </c>
      <c r="BG552">
        <f>IF(OR(BG$4="",$A552&gt;TODAY()),0,IF(OR(INDEX($B552:$D552,BG$5)="F",AND(BG$6&gt;0,$A552&lt;BG$6),AND(BG$7&gt;0,$A552&gt;BG$7)),0,MAX(0,ROUND((INDEX($E552:$G552,BG$5)-SUMIFS(TF_Timer,TF_Tekniker,BG$4,TF_Dato,$A552))*2,0)/2)))</f>
        <v/>
      </c>
      <c r="BH552">
        <f>IF(OR(BH$4="",$A552&gt;TODAY()),0,IF(OR(INDEX($B552:$D552,BH$5)="F",AND(BH$6&gt;0,$A552&lt;BH$6),AND(BH$7&gt;0,$A552&gt;BH$7)),0,MAX(0,ROUND((INDEX($E552:$G552,BH$5)-SUMIFS(TF_Timer,TF_Tekniker,BH$4,TF_Dato,$A552))*2,0)/2)))</f>
        <v/>
      </c>
      <c r="BI552">
        <f>IF(OR(BI$4="",$A552&gt;TODAY()),0,IF(OR(INDEX($B552:$D552,BI$5)="F",AND(BI$6&gt;0,$A552&lt;BI$6),AND(BI$7&gt;0,$A552&gt;BI$7)),0,MAX(0,ROUND((INDEX($E552:$G552,BI$5)-SUMIFS(TF_Timer,TF_Tekniker,BI$4,TF_Dato,$A552))*2,0)/2)))</f>
        <v/>
      </c>
    </row>
    <row r="553">
      <c r="A553" s="64">
        <f>A552+1</f>
        <v/>
      </c>
      <c r="B553">
        <f>IF(MOD($A553-INDEX(SkiftStart,1),Syklus)&lt;DagK,"K",IF(MOD($A553-INDEX(SkiftStart,1),Syklus)&lt;DagK+DagH,"H",IF(MOD($A553-INDEX(SkiftStart,1),Syklus)&lt;DagK+DagH+DagD,"D","F")))</f>
        <v/>
      </c>
      <c r="C553">
        <f>IF(MOD($A553-INDEX(SkiftStart,2),Syklus)&lt;DagK,"K",IF(MOD($A553-INDEX(SkiftStart,2),Syklus)&lt;DagK+DagH,"H",IF(MOD($A553-INDEX(SkiftStart,2),Syklus)&lt;DagK+DagH+DagD,"D","F")))</f>
        <v/>
      </c>
      <c r="D553">
        <f>IF(MOD($A553-INDEX(SkiftStart,3),Syklus)&lt;DagK,"K",IF(MOD($A553-INDEX(SkiftStart,3),Syklus)&lt;DagK+DagH,"H",IF(MOD($A553-INDEX(SkiftStart,3),Syklus)&lt;DagK+DagH+DagD,"D","F")))</f>
        <v/>
      </c>
      <c r="E553">
        <f>IF(B553="F",0,IF(WEEKDAY($A553,2)=5,INDEX(TimerFr,MATCH(B553,FaseKode,0)),INDEX(TimerMT,MATCH(B553,FaseKode,0))))</f>
        <v/>
      </c>
      <c r="F553">
        <f>IF(C553="F",0,IF(WEEKDAY($A553,2)=5,INDEX(TimerFr,MATCH(C553,FaseKode,0)),INDEX(TimerMT,MATCH(C553,FaseKode,0))))</f>
        <v/>
      </c>
      <c r="G553">
        <f>IF(D553="F",0,IF(WEEKDAY($A553,2)=5,INDEX(TimerFr,MATCH(D553,FaseKode,0)),INDEX(TimerMT,MATCH(D553,FaseKode,0))))</f>
        <v/>
      </c>
      <c r="H553">
        <f>IF(OR(H$4="",$A553&gt;TODAY()),0,IF(OR(INDEX($B553:$D553,H$5)="F",AND(H$6&gt;0,$A553&lt;H$6),AND(H$7&gt;0,$A553&gt;H$7)),0,MAX(0,ROUND((INDEX($E553:$G553,H$5)-SUMIFS(TF_Timer,TF_Tekniker,H$4,TF_Dato,$A553))*2,0)/2)))</f>
        <v/>
      </c>
      <c r="I553">
        <f>IF(OR(I$4="",$A553&gt;TODAY()),0,IF(OR(INDEX($B553:$D553,I$5)="F",AND(I$6&gt;0,$A553&lt;I$6),AND(I$7&gt;0,$A553&gt;I$7)),0,MAX(0,ROUND((INDEX($E553:$G553,I$5)-SUMIFS(TF_Timer,TF_Tekniker,I$4,TF_Dato,$A553))*2,0)/2)))</f>
        <v/>
      </c>
      <c r="J553">
        <f>IF(OR(J$4="",$A553&gt;TODAY()),0,IF(OR(INDEX($B553:$D553,J$5)="F",AND(J$6&gt;0,$A553&lt;J$6),AND(J$7&gt;0,$A553&gt;J$7)),0,MAX(0,ROUND((INDEX($E553:$G553,J$5)-SUMIFS(TF_Timer,TF_Tekniker,J$4,TF_Dato,$A553))*2,0)/2)))</f>
        <v/>
      </c>
      <c r="K553">
        <f>IF(OR(K$4="",$A553&gt;TODAY()),0,IF(OR(INDEX($B553:$D553,K$5)="F",AND(K$6&gt;0,$A553&lt;K$6),AND(K$7&gt;0,$A553&gt;K$7)),0,MAX(0,ROUND((INDEX($E553:$G553,K$5)-SUMIFS(TF_Timer,TF_Tekniker,K$4,TF_Dato,$A553))*2,0)/2)))</f>
        <v/>
      </c>
      <c r="L553">
        <f>IF(OR(L$4="",$A553&gt;TODAY()),0,IF(OR(INDEX($B553:$D553,L$5)="F",AND(L$6&gt;0,$A553&lt;L$6),AND(L$7&gt;0,$A553&gt;L$7)),0,MAX(0,ROUND((INDEX($E553:$G553,L$5)-SUMIFS(TF_Timer,TF_Tekniker,L$4,TF_Dato,$A553))*2,0)/2)))</f>
        <v/>
      </c>
      <c r="M553">
        <f>IF(OR(M$4="",$A553&gt;TODAY()),0,IF(OR(INDEX($B553:$D553,M$5)="F",AND(M$6&gt;0,$A553&lt;M$6),AND(M$7&gt;0,$A553&gt;M$7)),0,MAX(0,ROUND((INDEX($E553:$G553,M$5)-SUMIFS(TF_Timer,TF_Tekniker,M$4,TF_Dato,$A553))*2,0)/2)))</f>
        <v/>
      </c>
      <c r="N553">
        <f>IF(OR(N$4="",$A553&gt;TODAY()),0,IF(OR(INDEX($B553:$D553,N$5)="F",AND(N$6&gt;0,$A553&lt;N$6),AND(N$7&gt;0,$A553&gt;N$7)),0,MAX(0,ROUND((INDEX($E553:$G553,N$5)-SUMIFS(TF_Timer,TF_Tekniker,N$4,TF_Dato,$A553))*2,0)/2)))</f>
        <v/>
      </c>
      <c r="O553">
        <f>IF(OR(O$4="",$A553&gt;TODAY()),0,IF(OR(INDEX($B553:$D553,O$5)="F",AND(O$6&gt;0,$A553&lt;O$6),AND(O$7&gt;0,$A553&gt;O$7)),0,MAX(0,ROUND((INDEX($E553:$G553,O$5)-SUMIFS(TF_Timer,TF_Tekniker,O$4,TF_Dato,$A553))*2,0)/2)))</f>
        <v/>
      </c>
      <c r="P553">
        <f>IF(OR(P$4="",$A553&gt;TODAY()),0,IF(OR(INDEX($B553:$D553,P$5)="F",AND(P$6&gt;0,$A553&lt;P$6),AND(P$7&gt;0,$A553&gt;P$7)),0,MAX(0,ROUND((INDEX($E553:$G553,P$5)-SUMIFS(TF_Timer,TF_Tekniker,P$4,TF_Dato,$A553))*2,0)/2)))</f>
        <v/>
      </c>
      <c r="Q553">
        <f>IF(OR(Q$4="",$A553&gt;TODAY()),0,IF(OR(INDEX($B553:$D553,Q$5)="F",AND(Q$6&gt;0,$A553&lt;Q$6),AND(Q$7&gt;0,$A553&gt;Q$7)),0,MAX(0,ROUND((INDEX($E553:$G553,Q$5)-SUMIFS(TF_Timer,TF_Tekniker,Q$4,TF_Dato,$A553))*2,0)/2)))</f>
        <v/>
      </c>
      <c r="R553">
        <f>IF(OR(R$4="",$A553&gt;TODAY()),0,IF(OR(INDEX($B553:$D553,R$5)="F",AND(R$6&gt;0,$A553&lt;R$6),AND(R$7&gt;0,$A553&gt;R$7)),0,MAX(0,ROUND((INDEX($E553:$G553,R$5)-SUMIFS(TF_Timer,TF_Tekniker,R$4,TF_Dato,$A553))*2,0)/2)))</f>
        <v/>
      </c>
      <c r="S553">
        <f>IF(OR(S$4="",$A553&gt;TODAY()),0,IF(OR(INDEX($B553:$D553,S$5)="F",AND(S$6&gt;0,$A553&lt;S$6),AND(S$7&gt;0,$A553&gt;S$7)),0,MAX(0,ROUND((INDEX($E553:$G553,S$5)-SUMIFS(TF_Timer,TF_Tekniker,S$4,TF_Dato,$A553))*2,0)/2)))</f>
        <v/>
      </c>
      <c r="T553">
        <f>IF(OR(T$4="",$A553&gt;TODAY()),0,IF(OR(INDEX($B553:$D553,T$5)="F",AND(T$6&gt;0,$A553&lt;T$6),AND(T$7&gt;0,$A553&gt;T$7)),0,MAX(0,ROUND((INDEX($E553:$G553,T$5)-SUMIFS(TF_Timer,TF_Tekniker,T$4,TF_Dato,$A553))*2,0)/2)))</f>
        <v/>
      </c>
      <c r="U553">
        <f>IF(OR(U$4="",$A553&gt;TODAY()),0,IF(OR(INDEX($B553:$D553,U$5)="F",AND(U$6&gt;0,$A553&lt;U$6),AND(U$7&gt;0,$A553&gt;U$7)),0,MAX(0,ROUND((INDEX($E553:$G553,U$5)-SUMIFS(TF_Timer,TF_Tekniker,U$4,TF_Dato,$A553))*2,0)/2)))</f>
        <v/>
      </c>
      <c r="V553">
        <f>IF(OR(V$4="",$A553&gt;TODAY()),0,IF(OR(INDEX($B553:$D553,V$5)="F",AND(V$6&gt;0,$A553&lt;V$6),AND(V$7&gt;0,$A553&gt;V$7)),0,MAX(0,ROUND((INDEX($E553:$G553,V$5)-SUMIFS(TF_Timer,TF_Tekniker,V$4,TF_Dato,$A553))*2,0)/2)))</f>
        <v/>
      </c>
      <c r="W553">
        <f>IF(OR(W$4="",$A553&gt;TODAY()),0,IF(OR(INDEX($B553:$D553,W$5)="F",AND(W$6&gt;0,$A553&lt;W$6),AND(W$7&gt;0,$A553&gt;W$7)),0,MAX(0,ROUND((INDEX($E553:$G553,W$5)-SUMIFS(TF_Timer,TF_Tekniker,W$4,TF_Dato,$A553))*2,0)/2)))</f>
        <v/>
      </c>
      <c r="X553">
        <f>IF(OR(X$4="",$A553&gt;TODAY()),0,IF(OR(INDEX($B553:$D553,X$5)="F",AND(X$6&gt;0,$A553&lt;X$6),AND(X$7&gt;0,$A553&gt;X$7)),0,MAX(0,ROUND((INDEX($E553:$G553,X$5)-SUMIFS(TF_Timer,TF_Tekniker,X$4,TF_Dato,$A553))*2,0)/2)))</f>
        <v/>
      </c>
      <c r="Y553">
        <f>IF(OR(Y$4="",$A553&gt;TODAY()),0,IF(OR(INDEX($B553:$D553,Y$5)="F",AND(Y$6&gt;0,$A553&lt;Y$6),AND(Y$7&gt;0,$A553&gt;Y$7)),0,MAX(0,ROUND((INDEX($E553:$G553,Y$5)-SUMIFS(TF_Timer,TF_Tekniker,Y$4,TF_Dato,$A553))*2,0)/2)))</f>
        <v/>
      </c>
      <c r="Z553">
        <f>IF(OR(Z$4="",$A553&gt;TODAY()),0,IF(OR(INDEX($B553:$D553,Z$5)="F",AND(Z$6&gt;0,$A553&lt;Z$6),AND(Z$7&gt;0,$A553&gt;Z$7)),0,MAX(0,ROUND((INDEX($E553:$G553,Z$5)-SUMIFS(TF_Timer,TF_Tekniker,Z$4,TF_Dato,$A553))*2,0)/2)))</f>
        <v/>
      </c>
      <c r="AA553">
        <f>IF(OR(AA$4="",$A553&gt;TODAY()),0,IF(OR(INDEX($B553:$D553,AA$5)="F",AND(AA$6&gt;0,$A553&lt;AA$6),AND(AA$7&gt;0,$A553&gt;AA$7)),0,MAX(0,ROUND((INDEX($E553:$G553,AA$5)-SUMIFS(TF_Timer,TF_Tekniker,AA$4,TF_Dato,$A553))*2,0)/2)))</f>
        <v/>
      </c>
      <c r="AB553">
        <f>IF(OR(AB$4="",$A553&gt;TODAY()),0,IF(OR(INDEX($B553:$D553,AB$5)="F",AND(AB$6&gt;0,$A553&lt;AB$6),AND(AB$7&gt;0,$A553&gt;AB$7)),0,MAX(0,ROUND((INDEX($E553:$G553,AB$5)-SUMIFS(TF_Timer,TF_Tekniker,AB$4,TF_Dato,$A553))*2,0)/2)))</f>
        <v/>
      </c>
      <c r="AC553">
        <f>IF(OR(AC$4="",$A553&gt;TODAY()),0,IF(OR(INDEX($B553:$D553,AC$5)="F",AND(AC$6&gt;0,$A553&lt;AC$6),AND(AC$7&gt;0,$A553&gt;AC$7)),0,MAX(0,ROUND((INDEX($E553:$G553,AC$5)-SUMIFS(TF_Timer,TF_Tekniker,AC$4,TF_Dato,$A553))*2,0)/2)))</f>
        <v/>
      </c>
      <c r="AD553">
        <f>IF(OR(AD$4="",$A553&gt;TODAY()),0,IF(OR(INDEX($B553:$D553,AD$5)="F",AND(AD$6&gt;0,$A553&lt;AD$6),AND(AD$7&gt;0,$A553&gt;AD$7)),0,MAX(0,ROUND((INDEX($E553:$G553,AD$5)-SUMIFS(TF_Timer,TF_Tekniker,AD$4,TF_Dato,$A553))*2,0)/2)))</f>
        <v/>
      </c>
      <c r="AE553">
        <f>IF(OR(AE$4="",$A553&gt;TODAY()),0,IF(OR(INDEX($B553:$D553,AE$5)="F",AND(AE$6&gt;0,$A553&lt;AE$6),AND(AE$7&gt;0,$A553&gt;AE$7)),0,MAX(0,ROUND((INDEX($E553:$G553,AE$5)-SUMIFS(TF_Timer,TF_Tekniker,AE$4,TF_Dato,$A553))*2,0)/2)))</f>
        <v/>
      </c>
      <c r="AF553">
        <f>IF(OR(AF$4="",$A553&gt;TODAY()),0,IF(OR(INDEX($B553:$D553,AF$5)="F",AND(AF$6&gt;0,$A553&lt;AF$6),AND(AF$7&gt;0,$A553&gt;AF$7)),0,MAX(0,ROUND((INDEX($E553:$G553,AF$5)-SUMIFS(TF_Timer,TF_Tekniker,AF$4,TF_Dato,$A553))*2,0)/2)))</f>
        <v/>
      </c>
      <c r="AG553">
        <f>IF(OR(AG$4="",$A553&gt;TODAY()),0,IF(OR(INDEX($B553:$D553,AG$5)="F",AND(AG$6&gt;0,$A553&lt;AG$6),AND(AG$7&gt;0,$A553&gt;AG$7)),0,MAX(0,ROUND((INDEX($E553:$G553,AG$5)-SUMIFS(TF_Timer,TF_Tekniker,AG$4,TF_Dato,$A553))*2,0)/2)))</f>
        <v/>
      </c>
      <c r="AH553">
        <f>IF(OR(AH$4="",$A553&gt;TODAY()),0,IF(OR(INDEX($B553:$D553,AH$5)="F",AND(AH$6&gt;0,$A553&lt;AH$6),AND(AH$7&gt;0,$A553&gt;AH$7)),0,MAX(0,ROUND((INDEX($E553:$G553,AH$5)-SUMIFS(TF_Timer,TF_Tekniker,AH$4,TF_Dato,$A553))*2,0)/2)))</f>
        <v/>
      </c>
      <c r="AI553">
        <f>IF(OR(AI$4="",$A553&gt;TODAY()),0,IF(OR(INDEX($B553:$D553,AI$5)="F",AND(AI$6&gt;0,$A553&lt;AI$6),AND(AI$7&gt;0,$A553&gt;AI$7)),0,MAX(0,ROUND((INDEX($E553:$G553,AI$5)-SUMIFS(TF_Timer,TF_Tekniker,AI$4,TF_Dato,$A553))*2,0)/2)))</f>
        <v/>
      </c>
      <c r="AJ553">
        <f>IF(OR(AJ$4="",$A553&gt;TODAY()),0,IF(OR(INDEX($B553:$D553,AJ$5)="F",AND(AJ$6&gt;0,$A553&lt;AJ$6),AND(AJ$7&gt;0,$A553&gt;AJ$7)),0,MAX(0,ROUND((INDEX($E553:$G553,AJ$5)-SUMIFS(TF_Timer,TF_Tekniker,AJ$4,TF_Dato,$A553))*2,0)/2)))</f>
        <v/>
      </c>
      <c r="AK553">
        <f>IF(OR(AK$4="",$A553&gt;TODAY()),0,IF(OR(INDEX($B553:$D553,AK$5)="F",AND(AK$6&gt;0,$A553&lt;AK$6),AND(AK$7&gt;0,$A553&gt;AK$7)),0,MAX(0,ROUND((INDEX($E553:$G553,AK$5)-SUMIFS(TF_Timer,TF_Tekniker,AK$4,TF_Dato,$A553))*2,0)/2)))</f>
        <v/>
      </c>
      <c r="AL553">
        <f>IF(OR(AL$4="",$A553&gt;TODAY()),0,IF(OR(INDEX($B553:$D553,AL$5)="F",AND(AL$6&gt;0,$A553&lt;AL$6),AND(AL$7&gt;0,$A553&gt;AL$7)),0,MAX(0,ROUND((INDEX($E553:$G553,AL$5)-SUMIFS(TF_Timer,TF_Tekniker,AL$4,TF_Dato,$A553))*2,0)/2)))</f>
        <v/>
      </c>
      <c r="AM553">
        <f>IF(OR(AM$4="",$A553&gt;TODAY()),0,IF(OR(INDEX($B553:$D553,AM$5)="F",AND(AM$6&gt;0,$A553&lt;AM$6),AND(AM$7&gt;0,$A553&gt;AM$7)),0,MAX(0,ROUND((INDEX($E553:$G553,AM$5)-SUMIFS(TF_Timer,TF_Tekniker,AM$4,TF_Dato,$A553))*2,0)/2)))</f>
        <v/>
      </c>
      <c r="AN553">
        <f>IF(OR(AN$4="",$A553&gt;TODAY()),0,IF(OR(INDEX($B553:$D553,AN$5)="F",AND(AN$6&gt;0,$A553&lt;AN$6),AND(AN$7&gt;0,$A553&gt;AN$7)),0,MAX(0,ROUND((INDEX($E553:$G553,AN$5)-SUMIFS(TF_Timer,TF_Tekniker,AN$4,TF_Dato,$A553))*2,0)/2)))</f>
        <v/>
      </c>
      <c r="AO553">
        <f>IF(OR(AO$4="",$A553&gt;TODAY()),0,IF(OR(INDEX($B553:$D553,AO$5)="F",AND(AO$6&gt;0,$A553&lt;AO$6),AND(AO$7&gt;0,$A553&gt;AO$7)),0,MAX(0,ROUND((INDEX($E553:$G553,AO$5)-SUMIFS(TF_Timer,TF_Tekniker,AO$4,TF_Dato,$A553))*2,0)/2)))</f>
        <v/>
      </c>
      <c r="AP553">
        <f>IF(OR(AP$4="",$A553&gt;TODAY()),0,IF(OR(INDEX($B553:$D553,AP$5)="F",AND(AP$6&gt;0,$A553&lt;AP$6),AND(AP$7&gt;0,$A553&gt;AP$7)),0,MAX(0,ROUND((INDEX($E553:$G553,AP$5)-SUMIFS(TF_Timer,TF_Tekniker,AP$4,TF_Dato,$A553))*2,0)/2)))</f>
        <v/>
      </c>
      <c r="AQ553">
        <f>IF(OR(AQ$4="",$A553&gt;TODAY()),0,IF(OR(INDEX($B553:$D553,AQ$5)="F",AND(AQ$6&gt;0,$A553&lt;AQ$6),AND(AQ$7&gt;0,$A553&gt;AQ$7)),0,MAX(0,ROUND((INDEX($E553:$G553,AQ$5)-SUMIFS(TF_Timer,TF_Tekniker,AQ$4,TF_Dato,$A553))*2,0)/2)))</f>
        <v/>
      </c>
      <c r="AR553">
        <f>IF(OR(AR$4="",$A553&gt;TODAY()),0,IF(OR(INDEX($B553:$D553,AR$5)="F",AND(AR$6&gt;0,$A553&lt;AR$6),AND(AR$7&gt;0,$A553&gt;AR$7)),0,MAX(0,ROUND((INDEX($E553:$G553,AR$5)-SUMIFS(TF_Timer,TF_Tekniker,AR$4,TF_Dato,$A553))*2,0)/2)))</f>
        <v/>
      </c>
      <c r="AS553">
        <f>IF(OR(AS$4="",$A553&gt;TODAY()),0,IF(OR(INDEX($B553:$D553,AS$5)="F",AND(AS$6&gt;0,$A553&lt;AS$6),AND(AS$7&gt;0,$A553&gt;AS$7)),0,MAX(0,ROUND((INDEX($E553:$G553,AS$5)-SUMIFS(TF_Timer,TF_Tekniker,AS$4,TF_Dato,$A553))*2,0)/2)))</f>
        <v/>
      </c>
      <c r="AT553">
        <f>IF(OR(AT$4="",$A553&gt;TODAY()),0,IF(OR(INDEX($B553:$D553,AT$5)="F",AND(AT$6&gt;0,$A553&lt;AT$6),AND(AT$7&gt;0,$A553&gt;AT$7)),0,MAX(0,ROUND((INDEX($E553:$G553,AT$5)-SUMIFS(TF_Timer,TF_Tekniker,AT$4,TF_Dato,$A553))*2,0)/2)))</f>
        <v/>
      </c>
      <c r="AU553">
        <f>IF(OR(AU$4="",$A553&gt;TODAY()),0,IF(OR(INDEX($B553:$D553,AU$5)="F",AND(AU$6&gt;0,$A553&lt;AU$6),AND(AU$7&gt;0,$A553&gt;AU$7)),0,MAX(0,ROUND((INDEX($E553:$G553,AU$5)-SUMIFS(TF_Timer,TF_Tekniker,AU$4,TF_Dato,$A553))*2,0)/2)))</f>
        <v/>
      </c>
      <c r="AV553">
        <f>IF(OR(AV$4="",$A553&gt;TODAY()),0,IF(OR(INDEX($B553:$D553,AV$5)="F",AND(AV$6&gt;0,$A553&lt;AV$6),AND(AV$7&gt;0,$A553&gt;AV$7)),0,MAX(0,ROUND((INDEX($E553:$G553,AV$5)-SUMIFS(TF_Timer,TF_Tekniker,AV$4,TF_Dato,$A553))*2,0)/2)))</f>
        <v/>
      </c>
      <c r="AW553">
        <f>IF(OR(AW$4="",$A553&gt;TODAY()),0,IF(OR(INDEX($B553:$D553,AW$5)="F",AND(AW$6&gt;0,$A553&lt;AW$6),AND(AW$7&gt;0,$A553&gt;AW$7)),0,MAX(0,ROUND((INDEX($E553:$G553,AW$5)-SUMIFS(TF_Timer,TF_Tekniker,AW$4,TF_Dato,$A553))*2,0)/2)))</f>
        <v/>
      </c>
      <c r="AX553">
        <f>IF(OR(AX$4="",$A553&gt;TODAY()),0,IF(OR(INDEX($B553:$D553,AX$5)="F",AND(AX$6&gt;0,$A553&lt;AX$6),AND(AX$7&gt;0,$A553&gt;AX$7)),0,MAX(0,ROUND((INDEX($E553:$G553,AX$5)-SUMIFS(TF_Timer,TF_Tekniker,AX$4,TF_Dato,$A553))*2,0)/2)))</f>
        <v/>
      </c>
      <c r="AY553">
        <f>IF(OR(AY$4="",$A553&gt;TODAY()),0,IF(OR(INDEX($B553:$D553,AY$5)="F",AND(AY$6&gt;0,$A553&lt;AY$6),AND(AY$7&gt;0,$A553&gt;AY$7)),0,MAX(0,ROUND((INDEX($E553:$G553,AY$5)-SUMIFS(TF_Timer,TF_Tekniker,AY$4,TF_Dato,$A553))*2,0)/2)))</f>
        <v/>
      </c>
      <c r="AZ553">
        <f>IF(OR(AZ$4="",$A553&gt;TODAY()),0,IF(OR(INDEX($B553:$D553,AZ$5)="F",AND(AZ$6&gt;0,$A553&lt;AZ$6),AND(AZ$7&gt;0,$A553&gt;AZ$7)),0,MAX(0,ROUND((INDEX($E553:$G553,AZ$5)-SUMIFS(TF_Timer,TF_Tekniker,AZ$4,TF_Dato,$A553))*2,0)/2)))</f>
        <v/>
      </c>
      <c r="BA553">
        <f>IF(OR(BA$4="",$A553&gt;TODAY()),0,IF(OR(INDEX($B553:$D553,BA$5)="F",AND(BA$6&gt;0,$A553&lt;BA$6),AND(BA$7&gt;0,$A553&gt;BA$7)),0,MAX(0,ROUND((INDEX($E553:$G553,BA$5)-SUMIFS(TF_Timer,TF_Tekniker,BA$4,TF_Dato,$A553))*2,0)/2)))</f>
        <v/>
      </c>
      <c r="BB553">
        <f>IF(OR(BB$4="",$A553&gt;TODAY()),0,IF(OR(INDEX($B553:$D553,BB$5)="F",AND(BB$6&gt;0,$A553&lt;BB$6),AND(BB$7&gt;0,$A553&gt;BB$7)),0,MAX(0,ROUND((INDEX($E553:$G553,BB$5)-SUMIFS(TF_Timer,TF_Tekniker,BB$4,TF_Dato,$A553))*2,0)/2)))</f>
        <v/>
      </c>
      <c r="BC553">
        <f>IF(OR(BC$4="",$A553&gt;TODAY()),0,IF(OR(INDEX($B553:$D553,BC$5)="F",AND(BC$6&gt;0,$A553&lt;BC$6),AND(BC$7&gt;0,$A553&gt;BC$7)),0,MAX(0,ROUND((INDEX($E553:$G553,BC$5)-SUMIFS(TF_Timer,TF_Tekniker,BC$4,TF_Dato,$A553))*2,0)/2)))</f>
        <v/>
      </c>
      <c r="BD553">
        <f>IF(OR(BD$4="",$A553&gt;TODAY()),0,IF(OR(INDEX($B553:$D553,BD$5)="F",AND(BD$6&gt;0,$A553&lt;BD$6),AND(BD$7&gt;0,$A553&gt;BD$7)),0,MAX(0,ROUND((INDEX($E553:$G553,BD$5)-SUMIFS(TF_Timer,TF_Tekniker,BD$4,TF_Dato,$A553))*2,0)/2)))</f>
        <v/>
      </c>
      <c r="BE553">
        <f>IF(OR(BE$4="",$A553&gt;TODAY()),0,IF(OR(INDEX($B553:$D553,BE$5)="F",AND(BE$6&gt;0,$A553&lt;BE$6),AND(BE$7&gt;0,$A553&gt;BE$7)),0,MAX(0,ROUND((INDEX($E553:$G553,BE$5)-SUMIFS(TF_Timer,TF_Tekniker,BE$4,TF_Dato,$A553))*2,0)/2)))</f>
        <v/>
      </c>
      <c r="BF553">
        <f>IF(OR(BF$4="",$A553&gt;TODAY()),0,IF(OR(INDEX($B553:$D553,BF$5)="F",AND(BF$6&gt;0,$A553&lt;BF$6),AND(BF$7&gt;0,$A553&gt;BF$7)),0,MAX(0,ROUND((INDEX($E553:$G553,BF$5)-SUMIFS(TF_Timer,TF_Tekniker,BF$4,TF_Dato,$A553))*2,0)/2)))</f>
        <v/>
      </c>
      <c r="BG553">
        <f>IF(OR(BG$4="",$A553&gt;TODAY()),0,IF(OR(INDEX($B553:$D553,BG$5)="F",AND(BG$6&gt;0,$A553&lt;BG$6),AND(BG$7&gt;0,$A553&gt;BG$7)),0,MAX(0,ROUND((INDEX($E553:$G553,BG$5)-SUMIFS(TF_Timer,TF_Tekniker,BG$4,TF_Dato,$A553))*2,0)/2)))</f>
        <v/>
      </c>
      <c r="BH553">
        <f>IF(OR(BH$4="",$A553&gt;TODAY()),0,IF(OR(INDEX($B553:$D553,BH$5)="F",AND(BH$6&gt;0,$A553&lt;BH$6),AND(BH$7&gt;0,$A553&gt;BH$7)),0,MAX(0,ROUND((INDEX($E553:$G553,BH$5)-SUMIFS(TF_Timer,TF_Tekniker,BH$4,TF_Dato,$A553))*2,0)/2)))</f>
        <v/>
      </c>
      <c r="BI553">
        <f>IF(OR(BI$4="",$A553&gt;TODAY()),0,IF(OR(INDEX($B553:$D553,BI$5)="F",AND(BI$6&gt;0,$A553&lt;BI$6),AND(BI$7&gt;0,$A553&gt;BI$7)),0,MAX(0,ROUND((INDEX($E553:$G553,BI$5)-SUMIFS(TF_Timer,TF_Tekniker,BI$4,TF_Dato,$A553))*2,0)/2)))</f>
        <v/>
      </c>
    </row>
    <row r="554">
      <c r="A554" s="64">
        <f>A553+1</f>
        <v/>
      </c>
      <c r="B554">
        <f>IF(MOD($A554-INDEX(SkiftStart,1),Syklus)&lt;DagK,"K",IF(MOD($A554-INDEX(SkiftStart,1),Syklus)&lt;DagK+DagH,"H",IF(MOD($A554-INDEX(SkiftStart,1),Syklus)&lt;DagK+DagH+DagD,"D","F")))</f>
        <v/>
      </c>
      <c r="C554">
        <f>IF(MOD($A554-INDEX(SkiftStart,2),Syklus)&lt;DagK,"K",IF(MOD($A554-INDEX(SkiftStart,2),Syklus)&lt;DagK+DagH,"H",IF(MOD($A554-INDEX(SkiftStart,2),Syklus)&lt;DagK+DagH+DagD,"D","F")))</f>
        <v/>
      </c>
      <c r="D554">
        <f>IF(MOD($A554-INDEX(SkiftStart,3),Syklus)&lt;DagK,"K",IF(MOD($A554-INDEX(SkiftStart,3),Syklus)&lt;DagK+DagH,"H",IF(MOD($A554-INDEX(SkiftStart,3),Syklus)&lt;DagK+DagH+DagD,"D","F")))</f>
        <v/>
      </c>
      <c r="E554">
        <f>IF(B554="F",0,IF(WEEKDAY($A554,2)=5,INDEX(TimerFr,MATCH(B554,FaseKode,0)),INDEX(TimerMT,MATCH(B554,FaseKode,0))))</f>
        <v/>
      </c>
      <c r="F554">
        <f>IF(C554="F",0,IF(WEEKDAY($A554,2)=5,INDEX(TimerFr,MATCH(C554,FaseKode,0)),INDEX(TimerMT,MATCH(C554,FaseKode,0))))</f>
        <v/>
      </c>
      <c r="G554">
        <f>IF(D554="F",0,IF(WEEKDAY($A554,2)=5,INDEX(TimerFr,MATCH(D554,FaseKode,0)),INDEX(TimerMT,MATCH(D554,FaseKode,0))))</f>
        <v/>
      </c>
      <c r="H554">
        <f>IF(OR(H$4="",$A554&gt;TODAY()),0,IF(OR(INDEX($B554:$D554,H$5)="F",AND(H$6&gt;0,$A554&lt;H$6),AND(H$7&gt;0,$A554&gt;H$7)),0,MAX(0,ROUND((INDEX($E554:$G554,H$5)-SUMIFS(TF_Timer,TF_Tekniker,H$4,TF_Dato,$A554))*2,0)/2)))</f>
        <v/>
      </c>
      <c r="I554">
        <f>IF(OR(I$4="",$A554&gt;TODAY()),0,IF(OR(INDEX($B554:$D554,I$5)="F",AND(I$6&gt;0,$A554&lt;I$6),AND(I$7&gt;0,$A554&gt;I$7)),0,MAX(0,ROUND((INDEX($E554:$G554,I$5)-SUMIFS(TF_Timer,TF_Tekniker,I$4,TF_Dato,$A554))*2,0)/2)))</f>
        <v/>
      </c>
      <c r="J554">
        <f>IF(OR(J$4="",$A554&gt;TODAY()),0,IF(OR(INDEX($B554:$D554,J$5)="F",AND(J$6&gt;0,$A554&lt;J$6),AND(J$7&gt;0,$A554&gt;J$7)),0,MAX(0,ROUND((INDEX($E554:$G554,J$5)-SUMIFS(TF_Timer,TF_Tekniker,J$4,TF_Dato,$A554))*2,0)/2)))</f>
        <v/>
      </c>
      <c r="K554">
        <f>IF(OR(K$4="",$A554&gt;TODAY()),0,IF(OR(INDEX($B554:$D554,K$5)="F",AND(K$6&gt;0,$A554&lt;K$6),AND(K$7&gt;0,$A554&gt;K$7)),0,MAX(0,ROUND((INDEX($E554:$G554,K$5)-SUMIFS(TF_Timer,TF_Tekniker,K$4,TF_Dato,$A554))*2,0)/2)))</f>
        <v/>
      </c>
      <c r="L554">
        <f>IF(OR(L$4="",$A554&gt;TODAY()),0,IF(OR(INDEX($B554:$D554,L$5)="F",AND(L$6&gt;0,$A554&lt;L$6),AND(L$7&gt;0,$A554&gt;L$7)),0,MAX(0,ROUND((INDEX($E554:$G554,L$5)-SUMIFS(TF_Timer,TF_Tekniker,L$4,TF_Dato,$A554))*2,0)/2)))</f>
        <v/>
      </c>
      <c r="M554">
        <f>IF(OR(M$4="",$A554&gt;TODAY()),0,IF(OR(INDEX($B554:$D554,M$5)="F",AND(M$6&gt;0,$A554&lt;M$6),AND(M$7&gt;0,$A554&gt;M$7)),0,MAX(0,ROUND((INDEX($E554:$G554,M$5)-SUMIFS(TF_Timer,TF_Tekniker,M$4,TF_Dato,$A554))*2,0)/2)))</f>
        <v/>
      </c>
      <c r="N554">
        <f>IF(OR(N$4="",$A554&gt;TODAY()),0,IF(OR(INDEX($B554:$D554,N$5)="F",AND(N$6&gt;0,$A554&lt;N$6),AND(N$7&gt;0,$A554&gt;N$7)),0,MAX(0,ROUND((INDEX($E554:$G554,N$5)-SUMIFS(TF_Timer,TF_Tekniker,N$4,TF_Dato,$A554))*2,0)/2)))</f>
        <v/>
      </c>
      <c r="O554">
        <f>IF(OR(O$4="",$A554&gt;TODAY()),0,IF(OR(INDEX($B554:$D554,O$5)="F",AND(O$6&gt;0,$A554&lt;O$6),AND(O$7&gt;0,$A554&gt;O$7)),0,MAX(0,ROUND((INDEX($E554:$G554,O$5)-SUMIFS(TF_Timer,TF_Tekniker,O$4,TF_Dato,$A554))*2,0)/2)))</f>
        <v/>
      </c>
      <c r="P554">
        <f>IF(OR(P$4="",$A554&gt;TODAY()),0,IF(OR(INDEX($B554:$D554,P$5)="F",AND(P$6&gt;0,$A554&lt;P$6),AND(P$7&gt;0,$A554&gt;P$7)),0,MAX(0,ROUND((INDEX($E554:$G554,P$5)-SUMIFS(TF_Timer,TF_Tekniker,P$4,TF_Dato,$A554))*2,0)/2)))</f>
        <v/>
      </c>
      <c r="Q554">
        <f>IF(OR(Q$4="",$A554&gt;TODAY()),0,IF(OR(INDEX($B554:$D554,Q$5)="F",AND(Q$6&gt;0,$A554&lt;Q$6),AND(Q$7&gt;0,$A554&gt;Q$7)),0,MAX(0,ROUND((INDEX($E554:$G554,Q$5)-SUMIFS(TF_Timer,TF_Tekniker,Q$4,TF_Dato,$A554))*2,0)/2)))</f>
        <v/>
      </c>
      <c r="R554">
        <f>IF(OR(R$4="",$A554&gt;TODAY()),0,IF(OR(INDEX($B554:$D554,R$5)="F",AND(R$6&gt;0,$A554&lt;R$6),AND(R$7&gt;0,$A554&gt;R$7)),0,MAX(0,ROUND((INDEX($E554:$G554,R$5)-SUMIFS(TF_Timer,TF_Tekniker,R$4,TF_Dato,$A554))*2,0)/2)))</f>
        <v/>
      </c>
      <c r="S554">
        <f>IF(OR(S$4="",$A554&gt;TODAY()),0,IF(OR(INDEX($B554:$D554,S$5)="F",AND(S$6&gt;0,$A554&lt;S$6),AND(S$7&gt;0,$A554&gt;S$7)),0,MAX(0,ROUND((INDEX($E554:$G554,S$5)-SUMIFS(TF_Timer,TF_Tekniker,S$4,TF_Dato,$A554))*2,0)/2)))</f>
        <v/>
      </c>
      <c r="T554">
        <f>IF(OR(T$4="",$A554&gt;TODAY()),0,IF(OR(INDEX($B554:$D554,T$5)="F",AND(T$6&gt;0,$A554&lt;T$6),AND(T$7&gt;0,$A554&gt;T$7)),0,MAX(0,ROUND((INDEX($E554:$G554,T$5)-SUMIFS(TF_Timer,TF_Tekniker,T$4,TF_Dato,$A554))*2,0)/2)))</f>
        <v/>
      </c>
      <c r="U554">
        <f>IF(OR(U$4="",$A554&gt;TODAY()),0,IF(OR(INDEX($B554:$D554,U$5)="F",AND(U$6&gt;0,$A554&lt;U$6),AND(U$7&gt;0,$A554&gt;U$7)),0,MAX(0,ROUND((INDEX($E554:$G554,U$5)-SUMIFS(TF_Timer,TF_Tekniker,U$4,TF_Dato,$A554))*2,0)/2)))</f>
        <v/>
      </c>
      <c r="V554">
        <f>IF(OR(V$4="",$A554&gt;TODAY()),0,IF(OR(INDEX($B554:$D554,V$5)="F",AND(V$6&gt;0,$A554&lt;V$6),AND(V$7&gt;0,$A554&gt;V$7)),0,MAX(0,ROUND((INDEX($E554:$G554,V$5)-SUMIFS(TF_Timer,TF_Tekniker,V$4,TF_Dato,$A554))*2,0)/2)))</f>
        <v/>
      </c>
      <c r="W554">
        <f>IF(OR(W$4="",$A554&gt;TODAY()),0,IF(OR(INDEX($B554:$D554,W$5)="F",AND(W$6&gt;0,$A554&lt;W$6),AND(W$7&gt;0,$A554&gt;W$7)),0,MAX(0,ROUND((INDEX($E554:$G554,W$5)-SUMIFS(TF_Timer,TF_Tekniker,W$4,TF_Dato,$A554))*2,0)/2)))</f>
        <v/>
      </c>
      <c r="X554">
        <f>IF(OR(X$4="",$A554&gt;TODAY()),0,IF(OR(INDEX($B554:$D554,X$5)="F",AND(X$6&gt;0,$A554&lt;X$6),AND(X$7&gt;0,$A554&gt;X$7)),0,MAX(0,ROUND((INDEX($E554:$G554,X$5)-SUMIFS(TF_Timer,TF_Tekniker,X$4,TF_Dato,$A554))*2,0)/2)))</f>
        <v/>
      </c>
      <c r="Y554">
        <f>IF(OR(Y$4="",$A554&gt;TODAY()),0,IF(OR(INDEX($B554:$D554,Y$5)="F",AND(Y$6&gt;0,$A554&lt;Y$6),AND(Y$7&gt;0,$A554&gt;Y$7)),0,MAX(0,ROUND((INDEX($E554:$G554,Y$5)-SUMIFS(TF_Timer,TF_Tekniker,Y$4,TF_Dato,$A554))*2,0)/2)))</f>
        <v/>
      </c>
      <c r="Z554">
        <f>IF(OR(Z$4="",$A554&gt;TODAY()),0,IF(OR(INDEX($B554:$D554,Z$5)="F",AND(Z$6&gt;0,$A554&lt;Z$6),AND(Z$7&gt;0,$A554&gt;Z$7)),0,MAX(0,ROUND((INDEX($E554:$G554,Z$5)-SUMIFS(TF_Timer,TF_Tekniker,Z$4,TF_Dato,$A554))*2,0)/2)))</f>
        <v/>
      </c>
      <c r="AA554">
        <f>IF(OR(AA$4="",$A554&gt;TODAY()),0,IF(OR(INDEX($B554:$D554,AA$5)="F",AND(AA$6&gt;0,$A554&lt;AA$6),AND(AA$7&gt;0,$A554&gt;AA$7)),0,MAX(0,ROUND((INDEX($E554:$G554,AA$5)-SUMIFS(TF_Timer,TF_Tekniker,AA$4,TF_Dato,$A554))*2,0)/2)))</f>
        <v/>
      </c>
      <c r="AB554">
        <f>IF(OR(AB$4="",$A554&gt;TODAY()),0,IF(OR(INDEX($B554:$D554,AB$5)="F",AND(AB$6&gt;0,$A554&lt;AB$6),AND(AB$7&gt;0,$A554&gt;AB$7)),0,MAX(0,ROUND((INDEX($E554:$G554,AB$5)-SUMIFS(TF_Timer,TF_Tekniker,AB$4,TF_Dato,$A554))*2,0)/2)))</f>
        <v/>
      </c>
      <c r="AC554">
        <f>IF(OR(AC$4="",$A554&gt;TODAY()),0,IF(OR(INDEX($B554:$D554,AC$5)="F",AND(AC$6&gt;0,$A554&lt;AC$6),AND(AC$7&gt;0,$A554&gt;AC$7)),0,MAX(0,ROUND((INDEX($E554:$G554,AC$5)-SUMIFS(TF_Timer,TF_Tekniker,AC$4,TF_Dato,$A554))*2,0)/2)))</f>
        <v/>
      </c>
      <c r="AD554">
        <f>IF(OR(AD$4="",$A554&gt;TODAY()),0,IF(OR(INDEX($B554:$D554,AD$5)="F",AND(AD$6&gt;0,$A554&lt;AD$6),AND(AD$7&gt;0,$A554&gt;AD$7)),0,MAX(0,ROUND((INDEX($E554:$G554,AD$5)-SUMIFS(TF_Timer,TF_Tekniker,AD$4,TF_Dato,$A554))*2,0)/2)))</f>
        <v/>
      </c>
      <c r="AE554">
        <f>IF(OR(AE$4="",$A554&gt;TODAY()),0,IF(OR(INDEX($B554:$D554,AE$5)="F",AND(AE$6&gt;0,$A554&lt;AE$6),AND(AE$7&gt;0,$A554&gt;AE$7)),0,MAX(0,ROUND((INDEX($E554:$G554,AE$5)-SUMIFS(TF_Timer,TF_Tekniker,AE$4,TF_Dato,$A554))*2,0)/2)))</f>
        <v/>
      </c>
      <c r="AF554">
        <f>IF(OR(AF$4="",$A554&gt;TODAY()),0,IF(OR(INDEX($B554:$D554,AF$5)="F",AND(AF$6&gt;0,$A554&lt;AF$6),AND(AF$7&gt;0,$A554&gt;AF$7)),0,MAX(0,ROUND((INDEX($E554:$G554,AF$5)-SUMIFS(TF_Timer,TF_Tekniker,AF$4,TF_Dato,$A554))*2,0)/2)))</f>
        <v/>
      </c>
      <c r="AG554">
        <f>IF(OR(AG$4="",$A554&gt;TODAY()),0,IF(OR(INDEX($B554:$D554,AG$5)="F",AND(AG$6&gt;0,$A554&lt;AG$6),AND(AG$7&gt;0,$A554&gt;AG$7)),0,MAX(0,ROUND((INDEX($E554:$G554,AG$5)-SUMIFS(TF_Timer,TF_Tekniker,AG$4,TF_Dato,$A554))*2,0)/2)))</f>
        <v/>
      </c>
      <c r="AH554">
        <f>IF(OR(AH$4="",$A554&gt;TODAY()),0,IF(OR(INDEX($B554:$D554,AH$5)="F",AND(AH$6&gt;0,$A554&lt;AH$6),AND(AH$7&gt;0,$A554&gt;AH$7)),0,MAX(0,ROUND((INDEX($E554:$G554,AH$5)-SUMIFS(TF_Timer,TF_Tekniker,AH$4,TF_Dato,$A554))*2,0)/2)))</f>
        <v/>
      </c>
      <c r="AI554">
        <f>IF(OR(AI$4="",$A554&gt;TODAY()),0,IF(OR(INDEX($B554:$D554,AI$5)="F",AND(AI$6&gt;0,$A554&lt;AI$6),AND(AI$7&gt;0,$A554&gt;AI$7)),0,MAX(0,ROUND((INDEX($E554:$G554,AI$5)-SUMIFS(TF_Timer,TF_Tekniker,AI$4,TF_Dato,$A554))*2,0)/2)))</f>
        <v/>
      </c>
      <c r="AJ554">
        <f>IF(OR(AJ$4="",$A554&gt;TODAY()),0,IF(OR(INDEX($B554:$D554,AJ$5)="F",AND(AJ$6&gt;0,$A554&lt;AJ$6),AND(AJ$7&gt;0,$A554&gt;AJ$7)),0,MAX(0,ROUND((INDEX($E554:$G554,AJ$5)-SUMIFS(TF_Timer,TF_Tekniker,AJ$4,TF_Dato,$A554))*2,0)/2)))</f>
        <v/>
      </c>
      <c r="AK554">
        <f>IF(OR(AK$4="",$A554&gt;TODAY()),0,IF(OR(INDEX($B554:$D554,AK$5)="F",AND(AK$6&gt;0,$A554&lt;AK$6),AND(AK$7&gt;0,$A554&gt;AK$7)),0,MAX(0,ROUND((INDEX($E554:$G554,AK$5)-SUMIFS(TF_Timer,TF_Tekniker,AK$4,TF_Dato,$A554))*2,0)/2)))</f>
        <v/>
      </c>
      <c r="AL554">
        <f>IF(OR(AL$4="",$A554&gt;TODAY()),0,IF(OR(INDEX($B554:$D554,AL$5)="F",AND(AL$6&gt;0,$A554&lt;AL$6),AND(AL$7&gt;0,$A554&gt;AL$7)),0,MAX(0,ROUND((INDEX($E554:$G554,AL$5)-SUMIFS(TF_Timer,TF_Tekniker,AL$4,TF_Dato,$A554))*2,0)/2)))</f>
        <v/>
      </c>
      <c r="AM554">
        <f>IF(OR(AM$4="",$A554&gt;TODAY()),0,IF(OR(INDEX($B554:$D554,AM$5)="F",AND(AM$6&gt;0,$A554&lt;AM$6),AND(AM$7&gt;0,$A554&gt;AM$7)),0,MAX(0,ROUND((INDEX($E554:$G554,AM$5)-SUMIFS(TF_Timer,TF_Tekniker,AM$4,TF_Dato,$A554))*2,0)/2)))</f>
        <v/>
      </c>
      <c r="AN554">
        <f>IF(OR(AN$4="",$A554&gt;TODAY()),0,IF(OR(INDEX($B554:$D554,AN$5)="F",AND(AN$6&gt;0,$A554&lt;AN$6),AND(AN$7&gt;0,$A554&gt;AN$7)),0,MAX(0,ROUND((INDEX($E554:$G554,AN$5)-SUMIFS(TF_Timer,TF_Tekniker,AN$4,TF_Dato,$A554))*2,0)/2)))</f>
        <v/>
      </c>
      <c r="AO554">
        <f>IF(OR(AO$4="",$A554&gt;TODAY()),0,IF(OR(INDEX($B554:$D554,AO$5)="F",AND(AO$6&gt;0,$A554&lt;AO$6),AND(AO$7&gt;0,$A554&gt;AO$7)),0,MAX(0,ROUND((INDEX($E554:$G554,AO$5)-SUMIFS(TF_Timer,TF_Tekniker,AO$4,TF_Dato,$A554))*2,0)/2)))</f>
        <v/>
      </c>
      <c r="AP554">
        <f>IF(OR(AP$4="",$A554&gt;TODAY()),0,IF(OR(INDEX($B554:$D554,AP$5)="F",AND(AP$6&gt;0,$A554&lt;AP$6),AND(AP$7&gt;0,$A554&gt;AP$7)),0,MAX(0,ROUND((INDEX($E554:$G554,AP$5)-SUMIFS(TF_Timer,TF_Tekniker,AP$4,TF_Dato,$A554))*2,0)/2)))</f>
        <v/>
      </c>
      <c r="AQ554">
        <f>IF(OR(AQ$4="",$A554&gt;TODAY()),0,IF(OR(INDEX($B554:$D554,AQ$5)="F",AND(AQ$6&gt;0,$A554&lt;AQ$6),AND(AQ$7&gt;0,$A554&gt;AQ$7)),0,MAX(0,ROUND((INDEX($E554:$G554,AQ$5)-SUMIFS(TF_Timer,TF_Tekniker,AQ$4,TF_Dato,$A554))*2,0)/2)))</f>
        <v/>
      </c>
      <c r="AR554">
        <f>IF(OR(AR$4="",$A554&gt;TODAY()),0,IF(OR(INDEX($B554:$D554,AR$5)="F",AND(AR$6&gt;0,$A554&lt;AR$6),AND(AR$7&gt;0,$A554&gt;AR$7)),0,MAX(0,ROUND((INDEX($E554:$G554,AR$5)-SUMIFS(TF_Timer,TF_Tekniker,AR$4,TF_Dato,$A554))*2,0)/2)))</f>
        <v/>
      </c>
      <c r="AS554">
        <f>IF(OR(AS$4="",$A554&gt;TODAY()),0,IF(OR(INDEX($B554:$D554,AS$5)="F",AND(AS$6&gt;0,$A554&lt;AS$6),AND(AS$7&gt;0,$A554&gt;AS$7)),0,MAX(0,ROUND((INDEX($E554:$G554,AS$5)-SUMIFS(TF_Timer,TF_Tekniker,AS$4,TF_Dato,$A554))*2,0)/2)))</f>
        <v/>
      </c>
      <c r="AT554">
        <f>IF(OR(AT$4="",$A554&gt;TODAY()),0,IF(OR(INDEX($B554:$D554,AT$5)="F",AND(AT$6&gt;0,$A554&lt;AT$6),AND(AT$7&gt;0,$A554&gt;AT$7)),0,MAX(0,ROUND((INDEX($E554:$G554,AT$5)-SUMIFS(TF_Timer,TF_Tekniker,AT$4,TF_Dato,$A554))*2,0)/2)))</f>
        <v/>
      </c>
      <c r="AU554">
        <f>IF(OR(AU$4="",$A554&gt;TODAY()),0,IF(OR(INDEX($B554:$D554,AU$5)="F",AND(AU$6&gt;0,$A554&lt;AU$6),AND(AU$7&gt;0,$A554&gt;AU$7)),0,MAX(0,ROUND((INDEX($E554:$G554,AU$5)-SUMIFS(TF_Timer,TF_Tekniker,AU$4,TF_Dato,$A554))*2,0)/2)))</f>
        <v/>
      </c>
      <c r="AV554">
        <f>IF(OR(AV$4="",$A554&gt;TODAY()),0,IF(OR(INDEX($B554:$D554,AV$5)="F",AND(AV$6&gt;0,$A554&lt;AV$6),AND(AV$7&gt;0,$A554&gt;AV$7)),0,MAX(0,ROUND((INDEX($E554:$G554,AV$5)-SUMIFS(TF_Timer,TF_Tekniker,AV$4,TF_Dato,$A554))*2,0)/2)))</f>
        <v/>
      </c>
      <c r="AW554">
        <f>IF(OR(AW$4="",$A554&gt;TODAY()),0,IF(OR(INDEX($B554:$D554,AW$5)="F",AND(AW$6&gt;0,$A554&lt;AW$6),AND(AW$7&gt;0,$A554&gt;AW$7)),0,MAX(0,ROUND((INDEX($E554:$G554,AW$5)-SUMIFS(TF_Timer,TF_Tekniker,AW$4,TF_Dato,$A554))*2,0)/2)))</f>
        <v/>
      </c>
      <c r="AX554">
        <f>IF(OR(AX$4="",$A554&gt;TODAY()),0,IF(OR(INDEX($B554:$D554,AX$5)="F",AND(AX$6&gt;0,$A554&lt;AX$6),AND(AX$7&gt;0,$A554&gt;AX$7)),0,MAX(0,ROUND((INDEX($E554:$G554,AX$5)-SUMIFS(TF_Timer,TF_Tekniker,AX$4,TF_Dato,$A554))*2,0)/2)))</f>
        <v/>
      </c>
      <c r="AY554">
        <f>IF(OR(AY$4="",$A554&gt;TODAY()),0,IF(OR(INDEX($B554:$D554,AY$5)="F",AND(AY$6&gt;0,$A554&lt;AY$6),AND(AY$7&gt;0,$A554&gt;AY$7)),0,MAX(0,ROUND((INDEX($E554:$G554,AY$5)-SUMIFS(TF_Timer,TF_Tekniker,AY$4,TF_Dato,$A554))*2,0)/2)))</f>
        <v/>
      </c>
      <c r="AZ554">
        <f>IF(OR(AZ$4="",$A554&gt;TODAY()),0,IF(OR(INDEX($B554:$D554,AZ$5)="F",AND(AZ$6&gt;0,$A554&lt;AZ$6),AND(AZ$7&gt;0,$A554&gt;AZ$7)),0,MAX(0,ROUND((INDEX($E554:$G554,AZ$5)-SUMIFS(TF_Timer,TF_Tekniker,AZ$4,TF_Dato,$A554))*2,0)/2)))</f>
        <v/>
      </c>
      <c r="BA554">
        <f>IF(OR(BA$4="",$A554&gt;TODAY()),0,IF(OR(INDEX($B554:$D554,BA$5)="F",AND(BA$6&gt;0,$A554&lt;BA$6),AND(BA$7&gt;0,$A554&gt;BA$7)),0,MAX(0,ROUND((INDEX($E554:$G554,BA$5)-SUMIFS(TF_Timer,TF_Tekniker,BA$4,TF_Dato,$A554))*2,0)/2)))</f>
        <v/>
      </c>
      <c r="BB554">
        <f>IF(OR(BB$4="",$A554&gt;TODAY()),0,IF(OR(INDEX($B554:$D554,BB$5)="F",AND(BB$6&gt;0,$A554&lt;BB$6),AND(BB$7&gt;0,$A554&gt;BB$7)),0,MAX(0,ROUND((INDEX($E554:$G554,BB$5)-SUMIFS(TF_Timer,TF_Tekniker,BB$4,TF_Dato,$A554))*2,0)/2)))</f>
        <v/>
      </c>
      <c r="BC554">
        <f>IF(OR(BC$4="",$A554&gt;TODAY()),0,IF(OR(INDEX($B554:$D554,BC$5)="F",AND(BC$6&gt;0,$A554&lt;BC$6),AND(BC$7&gt;0,$A554&gt;BC$7)),0,MAX(0,ROUND((INDEX($E554:$G554,BC$5)-SUMIFS(TF_Timer,TF_Tekniker,BC$4,TF_Dato,$A554))*2,0)/2)))</f>
        <v/>
      </c>
      <c r="BD554">
        <f>IF(OR(BD$4="",$A554&gt;TODAY()),0,IF(OR(INDEX($B554:$D554,BD$5)="F",AND(BD$6&gt;0,$A554&lt;BD$6),AND(BD$7&gt;0,$A554&gt;BD$7)),0,MAX(0,ROUND((INDEX($E554:$G554,BD$5)-SUMIFS(TF_Timer,TF_Tekniker,BD$4,TF_Dato,$A554))*2,0)/2)))</f>
        <v/>
      </c>
      <c r="BE554">
        <f>IF(OR(BE$4="",$A554&gt;TODAY()),0,IF(OR(INDEX($B554:$D554,BE$5)="F",AND(BE$6&gt;0,$A554&lt;BE$6),AND(BE$7&gt;0,$A554&gt;BE$7)),0,MAX(0,ROUND((INDEX($E554:$G554,BE$5)-SUMIFS(TF_Timer,TF_Tekniker,BE$4,TF_Dato,$A554))*2,0)/2)))</f>
        <v/>
      </c>
      <c r="BF554">
        <f>IF(OR(BF$4="",$A554&gt;TODAY()),0,IF(OR(INDEX($B554:$D554,BF$5)="F",AND(BF$6&gt;0,$A554&lt;BF$6),AND(BF$7&gt;0,$A554&gt;BF$7)),0,MAX(0,ROUND((INDEX($E554:$G554,BF$5)-SUMIFS(TF_Timer,TF_Tekniker,BF$4,TF_Dato,$A554))*2,0)/2)))</f>
        <v/>
      </c>
      <c r="BG554">
        <f>IF(OR(BG$4="",$A554&gt;TODAY()),0,IF(OR(INDEX($B554:$D554,BG$5)="F",AND(BG$6&gt;0,$A554&lt;BG$6),AND(BG$7&gt;0,$A554&gt;BG$7)),0,MAX(0,ROUND((INDEX($E554:$G554,BG$5)-SUMIFS(TF_Timer,TF_Tekniker,BG$4,TF_Dato,$A554))*2,0)/2)))</f>
        <v/>
      </c>
      <c r="BH554">
        <f>IF(OR(BH$4="",$A554&gt;TODAY()),0,IF(OR(INDEX($B554:$D554,BH$5)="F",AND(BH$6&gt;0,$A554&lt;BH$6),AND(BH$7&gt;0,$A554&gt;BH$7)),0,MAX(0,ROUND((INDEX($E554:$G554,BH$5)-SUMIFS(TF_Timer,TF_Tekniker,BH$4,TF_Dato,$A554))*2,0)/2)))</f>
        <v/>
      </c>
      <c r="BI554">
        <f>IF(OR(BI$4="",$A554&gt;TODAY()),0,IF(OR(INDEX($B554:$D554,BI$5)="F",AND(BI$6&gt;0,$A554&lt;BI$6),AND(BI$7&gt;0,$A554&gt;BI$7)),0,MAX(0,ROUND((INDEX($E554:$G554,BI$5)-SUMIFS(TF_Timer,TF_Tekniker,BI$4,TF_Dato,$A554))*2,0)/2)))</f>
        <v/>
      </c>
    </row>
    <row r="555">
      <c r="A555" s="64">
        <f>A554+1</f>
        <v/>
      </c>
      <c r="B555">
        <f>IF(MOD($A555-INDEX(SkiftStart,1),Syklus)&lt;DagK,"K",IF(MOD($A555-INDEX(SkiftStart,1),Syklus)&lt;DagK+DagH,"H",IF(MOD($A555-INDEX(SkiftStart,1),Syklus)&lt;DagK+DagH+DagD,"D","F")))</f>
        <v/>
      </c>
      <c r="C555">
        <f>IF(MOD($A555-INDEX(SkiftStart,2),Syklus)&lt;DagK,"K",IF(MOD($A555-INDEX(SkiftStart,2),Syklus)&lt;DagK+DagH,"H",IF(MOD($A555-INDEX(SkiftStart,2),Syklus)&lt;DagK+DagH+DagD,"D","F")))</f>
        <v/>
      </c>
      <c r="D555">
        <f>IF(MOD($A555-INDEX(SkiftStart,3),Syklus)&lt;DagK,"K",IF(MOD($A555-INDEX(SkiftStart,3),Syklus)&lt;DagK+DagH,"H",IF(MOD($A555-INDEX(SkiftStart,3),Syklus)&lt;DagK+DagH+DagD,"D","F")))</f>
        <v/>
      </c>
      <c r="E555">
        <f>IF(B555="F",0,IF(WEEKDAY($A555,2)=5,INDEX(TimerFr,MATCH(B555,FaseKode,0)),INDEX(TimerMT,MATCH(B555,FaseKode,0))))</f>
        <v/>
      </c>
      <c r="F555">
        <f>IF(C555="F",0,IF(WEEKDAY($A555,2)=5,INDEX(TimerFr,MATCH(C555,FaseKode,0)),INDEX(TimerMT,MATCH(C555,FaseKode,0))))</f>
        <v/>
      </c>
      <c r="G555">
        <f>IF(D555="F",0,IF(WEEKDAY($A555,2)=5,INDEX(TimerFr,MATCH(D555,FaseKode,0)),INDEX(TimerMT,MATCH(D555,FaseKode,0))))</f>
        <v/>
      </c>
      <c r="H555">
        <f>IF(OR(H$4="",$A555&gt;TODAY()),0,IF(OR(INDEX($B555:$D555,H$5)="F",AND(H$6&gt;0,$A555&lt;H$6),AND(H$7&gt;0,$A555&gt;H$7)),0,MAX(0,ROUND((INDEX($E555:$G555,H$5)-SUMIFS(TF_Timer,TF_Tekniker,H$4,TF_Dato,$A555))*2,0)/2)))</f>
        <v/>
      </c>
      <c r="I555">
        <f>IF(OR(I$4="",$A555&gt;TODAY()),0,IF(OR(INDEX($B555:$D555,I$5)="F",AND(I$6&gt;0,$A555&lt;I$6),AND(I$7&gt;0,$A555&gt;I$7)),0,MAX(0,ROUND((INDEX($E555:$G555,I$5)-SUMIFS(TF_Timer,TF_Tekniker,I$4,TF_Dato,$A555))*2,0)/2)))</f>
        <v/>
      </c>
      <c r="J555">
        <f>IF(OR(J$4="",$A555&gt;TODAY()),0,IF(OR(INDEX($B555:$D555,J$5)="F",AND(J$6&gt;0,$A555&lt;J$6),AND(J$7&gt;0,$A555&gt;J$7)),0,MAX(0,ROUND((INDEX($E555:$G555,J$5)-SUMIFS(TF_Timer,TF_Tekniker,J$4,TF_Dato,$A555))*2,0)/2)))</f>
        <v/>
      </c>
      <c r="K555">
        <f>IF(OR(K$4="",$A555&gt;TODAY()),0,IF(OR(INDEX($B555:$D555,K$5)="F",AND(K$6&gt;0,$A555&lt;K$6),AND(K$7&gt;0,$A555&gt;K$7)),0,MAX(0,ROUND((INDEX($E555:$G555,K$5)-SUMIFS(TF_Timer,TF_Tekniker,K$4,TF_Dato,$A555))*2,0)/2)))</f>
        <v/>
      </c>
      <c r="L555">
        <f>IF(OR(L$4="",$A555&gt;TODAY()),0,IF(OR(INDEX($B555:$D555,L$5)="F",AND(L$6&gt;0,$A555&lt;L$6),AND(L$7&gt;0,$A555&gt;L$7)),0,MAX(0,ROUND((INDEX($E555:$G555,L$5)-SUMIFS(TF_Timer,TF_Tekniker,L$4,TF_Dato,$A555))*2,0)/2)))</f>
        <v/>
      </c>
      <c r="M555">
        <f>IF(OR(M$4="",$A555&gt;TODAY()),0,IF(OR(INDEX($B555:$D555,M$5)="F",AND(M$6&gt;0,$A555&lt;M$6),AND(M$7&gt;0,$A555&gt;M$7)),0,MAX(0,ROUND((INDEX($E555:$G555,M$5)-SUMIFS(TF_Timer,TF_Tekniker,M$4,TF_Dato,$A555))*2,0)/2)))</f>
        <v/>
      </c>
      <c r="N555">
        <f>IF(OR(N$4="",$A555&gt;TODAY()),0,IF(OR(INDEX($B555:$D555,N$5)="F",AND(N$6&gt;0,$A555&lt;N$6),AND(N$7&gt;0,$A555&gt;N$7)),0,MAX(0,ROUND((INDEX($E555:$G555,N$5)-SUMIFS(TF_Timer,TF_Tekniker,N$4,TF_Dato,$A555))*2,0)/2)))</f>
        <v/>
      </c>
      <c r="O555">
        <f>IF(OR(O$4="",$A555&gt;TODAY()),0,IF(OR(INDEX($B555:$D555,O$5)="F",AND(O$6&gt;0,$A555&lt;O$6),AND(O$7&gt;0,$A555&gt;O$7)),0,MAX(0,ROUND((INDEX($E555:$G555,O$5)-SUMIFS(TF_Timer,TF_Tekniker,O$4,TF_Dato,$A555))*2,0)/2)))</f>
        <v/>
      </c>
      <c r="P555">
        <f>IF(OR(P$4="",$A555&gt;TODAY()),0,IF(OR(INDEX($B555:$D555,P$5)="F",AND(P$6&gt;0,$A555&lt;P$6),AND(P$7&gt;0,$A555&gt;P$7)),0,MAX(0,ROUND((INDEX($E555:$G555,P$5)-SUMIFS(TF_Timer,TF_Tekniker,P$4,TF_Dato,$A555))*2,0)/2)))</f>
        <v/>
      </c>
      <c r="Q555">
        <f>IF(OR(Q$4="",$A555&gt;TODAY()),0,IF(OR(INDEX($B555:$D555,Q$5)="F",AND(Q$6&gt;0,$A555&lt;Q$6),AND(Q$7&gt;0,$A555&gt;Q$7)),0,MAX(0,ROUND((INDEX($E555:$G555,Q$5)-SUMIFS(TF_Timer,TF_Tekniker,Q$4,TF_Dato,$A555))*2,0)/2)))</f>
        <v/>
      </c>
      <c r="R555">
        <f>IF(OR(R$4="",$A555&gt;TODAY()),0,IF(OR(INDEX($B555:$D555,R$5)="F",AND(R$6&gt;0,$A555&lt;R$6),AND(R$7&gt;0,$A555&gt;R$7)),0,MAX(0,ROUND((INDEX($E555:$G555,R$5)-SUMIFS(TF_Timer,TF_Tekniker,R$4,TF_Dato,$A555))*2,0)/2)))</f>
        <v/>
      </c>
      <c r="S555">
        <f>IF(OR(S$4="",$A555&gt;TODAY()),0,IF(OR(INDEX($B555:$D555,S$5)="F",AND(S$6&gt;0,$A555&lt;S$6),AND(S$7&gt;0,$A555&gt;S$7)),0,MAX(0,ROUND((INDEX($E555:$G555,S$5)-SUMIFS(TF_Timer,TF_Tekniker,S$4,TF_Dato,$A555))*2,0)/2)))</f>
        <v/>
      </c>
      <c r="T555">
        <f>IF(OR(T$4="",$A555&gt;TODAY()),0,IF(OR(INDEX($B555:$D555,T$5)="F",AND(T$6&gt;0,$A555&lt;T$6),AND(T$7&gt;0,$A555&gt;T$7)),0,MAX(0,ROUND((INDEX($E555:$G555,T$5)-SUMIFS(TF_Timer,TF_Tekniker,T$4,TF_Dato,$A555))*2,0)/2)))</f>
        <v/>
      </c>
      <c r="U555">
        <f>IF(OR(U$4="",$A555&gt;TODAY()),0,IF(OR(INDEX($B555:$D555,U$5)="F",AND(U$6&gt;0,$A555&lt;U$6),AND(U$7&gt;0,$A555&gt;U$7)),0,MAX(0,ROUND((INDEX($E555:$G555,U$5)-SUMIFS(TF_Timer,TF_Tekniker,U$4,TF_Dato,$A555))*2,0)/2)))</f>
        <v/>
      </c>
      <c r="V555">
        <f>IF(OR(V$4="",$A555&gt;TODAY()),0,IF(OR(INDEX($B555:$D555,V$5)="F",AND(V$6&gt;0,$A555&lt;V$6),AND(V$7&gt;0,$A555&gt;V$7)),0,MAX(0,ROUND((INDEX($E555:$G555,V$5)-SUMIFS(TF_Timer,TF_Tekniker,V$4,TF_Dato,$A555))*2,0)/2)))</f>
        <v/>
      </c>
      <c r="W555">
        <f>IF(OR(W$4="",$A555&gt;TODAY()),0,IF(OR(INDEX($B555:$D555,W$5)="F",AND(W$6&gt;0,$A555&lt;W$6),AND(W$7&gt;0,$A555&gt;W$7)),0,MAX(0,ROUND((INDEX($E555:$G555,W$5)-SUMIFS(TF_Timer,TF_Tekniker,W$4,TF_Dato,$A555))*2,0)/2)))</f>
        <v/>
      </c>
      <c r="X555">
        <f>IF(OR(X$4="",$A555&gt;TODAY()),0,IF(OR(INDEX($B555:$D555,X$5)="F",AND(X$6&gt;0,$A555&lt;X$6),AND(X$7&gt;0,$A555&gt;X$7)),0,MAX(0,ROUND((INDEX($E555:$G555,X$5)-SUMIFS(TF_Timer,TF_Tekniker,X$4,TF_Dato,$A555))*2,0)/2)))</f>
        <v/>
      </c>
      <c r="Y555">
        <f>IF(OR(Y$4="",$A555&gt;TODAY()),0,IF(OR(INDEX($B555:$D555,Y$5)="F",AND(Y$6&gt;0,$A555&lt;Y$6),AND(Y$7&gt;0,$A555&gt;Y$7)),0,MAX(0,ROUND((INDEX($E555:$G555,Y$5)-SUMIFS(TF_Timer,TF_Tekniker,Y$4,TF_Dato,$A555))*2,0)/2)))</f>
        <v/>
      </c>
      <c r="Z555">
        <f>IF(OR(Z$4="",$A555&gt;TODAY()),0,IF(OR(INDEX($B555:$D555,Z$5)="F",AND(Z$6&gt;0,$A555&lt;Z$6),AND(Z$7&gt;0,$A555&gt;Z$7)),0,MAX(0,ROUND((INDEX($E555:$G555,Z$5)-SUMIFS(TF_Timer,TF_Tekniker,Z$4,TF_Dato,$A555))*2,0)/2)))</f>
        <v/>
      </c>
      <c r="AA555">
        <f>IF(OR(AA$4="",$A555&gt;TODAY()),0,IF(OR(INDEX($B555:$D555,AA$5)="F",AND(AA$6&gt;0,$A555&lt;AA$6),AND(AA$7&gt;0,$A555&gt;AA$7)),0,MAX(0,ROUND((INDEX($E555:$G555,AA$5)-SUMIFS(TF_Timer,TF_Tekniker,AA$4,TF_Dato,$A555))*2,0)/2)))</f>
        <v/>
      </c>
      <c r="AB555">
        <f>IF(OR(AB$4="",$A555&gt;TODAY()),0,IF(OR(INDEX($B555:$D555,AB$5)="F",AND(AB$6&gt;0,$A555&lt;AB$6),AND(AB$7&gt;0,$A555&gt;AB$7)),0,MAX(0,ROUND((INDEX($E555:$G555,AB$5)-SUMIFS(TF_Timer,TF_Tekniker,AB$4,TF_Dato,$A555))*2,0)/2)))</f>
        <v/>
      </c>
      <c r="AC555">
        <f>IF(OR(AC$4="",$A555&gt;TODAY()),0,IF(OR(INDEX($B555:$D555,AC$5)="F",AND(AC$6&gt;0,$A555&lt;AC$6),AND(AC$7&gt;0,$A555&gt;AC$7)),0,MAX(0,ROUND((INDEX($E555:$G555,AC$5)-SUMIFS(TF_Timer,TF_Tekniker,AC$4,TF_Dato,$A555))*2,0)/2)))</f>
        <v/>
      </c>
      <c r="AD555">
        <f>IF(OR(AD$4="",$A555&gt;TODAY()),0,IF(OR(INDEX($B555:$D555,AD$5)="F",AND(AD$6&gt;0,$A555&lt;AD$6),AND(AD$7&gt;0,$A555&gt;AD$7)),0,MAX(0,ROUND((INDEX($E555:$G555,AD$5)-SUMIFS(TF_Timer,TF_Tekniker,AD$4,TF_Dato,$A555))*2,0)/2)))</f>
        <v/>
      </c>
      <c r="AE555">
        <f>IF(OR(AE$4="",$A555&gt;TODAY()),0,IF(OR(INDEX($B555:$D555,AE$5)="F",AND(AE$6&gt;0,$A555&lt;AE$6),AND(AE$7&gt;0,$A555&gt;AE$7)),0,MAX(0,ROUND((INDEX($E555:$G555,AE$5)-SUMIFS(TF_Timer,TF_Tekniker,AE$4,TF_Dato,$A555))*2,0)/2)))</f>
        <v/>
      </c>
      <c r="AF555">
        <f>IF(OR(AF$4="",$A555&gt;TODAY()),0,IF(OR(INDEX($B555:$D555,AF$5)="F",AND(AF$6&gt;0,$A555&lt;AF$6),AND(AF$7&gt;0,$A555&gt;AF$7)),0,MAX(0,ROUND((INDEX($E555:$G555,AF$5)-SUMIFS(TF_Timer,TF_Tekniker,AF$4,TF_Dato,$A555))*2,0)/2)))</f>
        <v/>
      </c>
      <c r="AG555">
        <f>IF(OR(AG$4="",$A555&gt;TODAY()),0,IF(OR(INDEX($B555:$D555,AG$5)="F",AND(AG$6&gt;0,$A555&lt;AG$6),AND(AG$7&gt;0,$A555&gt;AG$7)),0,MAX(0,ROUND((INDEX($E555:$G555,AG$5)-SUMIFS(TF_Timer,TF_Tekniker,AG$4,TF_Dato,$A555))*2,0)/2)))</f>
        <v/>
      </c>
      <c r="AH555">
        <f>IF(OR(AH$4="",$A555&gt;TODAY()),0,IF(OR(INDEX($B555:$D555,AH$5)="F",AND(AH$6&gt;0,$A555&lt;AH$6),AND(AH$7&gt;0,$A555&gt;AH$7)),0,MAX(0,ROUND((INDEX($E555:$G555,AH$5)-SUMIFS(TF_Timer,TF_Tekniker,AH$4,TF_Dato,$A555))*2,0)/2)))</f>
        <v/>
      </c>
      <c r="AI555">
        <f>IF(OR(AI$4="",$A555&gt;TODAY()),0,IF(OR(INDEX($B555:$D555,AI$5)="F",AND(AI$6&gt;0,$A555&lt;AI$6),AND(AI$7&gt;0,$A555&gt;AI$7)),0,MAX(0,ROUND((INDEX($E555:$G555,AI$5)-SUMIFS(TF_Timer,TF_Tekniker,AI$4,TF_Dato,$A555))*2,0)/2)))</f>
        <v/>
      </c>
      <c r="AJ555">
        <f>IF(OR(AJ$4="",$A555&gt;TODAY()),0,IF(OR(INDEX($B555:$D555,AJ$5)="F",AND(AJ$6&gt;0,$A555&lt;AJ$6),AND(AJ$7&gt;0,$A555&gt;AJ$7)),0,MAX(0,ROUND((INDEX($E555:$G555,AJ$5)-SUMIFS(TF_Timer,TF_Tekniker,AJ$4,TF_Dato,$A555))*2,0)/2)))</f>
        <v/>
      </c>
      <c r="AK555">
        <f>IF(OR(AK$4="",$A555&gt;TODAY()),0,IF(OR(INDEX($B555:$D555,AK$5)="F",AND(AK$6&gt;0,$A555&lt;AK$6),AND(AK$7&gt;0,$A555&gt;AK$7)),0,MAX(0,ROUND((INDEX($E555:$G555,AK$5)-SUMIFS(TF_Timer,TF_Tekniker,AK$4,TF_Dato,$A555))*2,0)/2)))</f>
        <v/>
      </c>
      <c r="AL555">
        <f>IF(OR(AL$4="",$A555&gt;TODAY()),0,IF(OR(INDEX($B555:$D555,AL$5)="F",AND(AL$6&gt;0,$A555&lt;AL$6),AND(AL$7&gt;0,$A555&gt;AL$7)),0,MAX(0,ROUND((INDEX($E555:$G555,AL$5)-SUMIFS(TF_Timer,TF_Tekniker,AL$4,TF_Dato,$A555))*2,0)/2)))</f>
        <v/>
      </c>
      <c r="AM555">
        <f>IF(OR(AM$4="",$A555&gt;TODAY()),0,IF(OR(INDEX($B555:$D555,AM$5)="F",AND(AM$6&gt;0,$A555&lt;AM$6),AND(AM$7&gt;0,$A555&gt;AM$7)),0,MAX(0,ROUND((INDEX($E555:$G555,AM$5)-SUMIFS(TF_Timer,TF_Tekniker,AM$4,TF_Dato,$A555))*2,0)/2)))</f>
        <v/>
      </c>
      <c r="AN555">
        <f>IF(OR(AN$4="",$A555&gt;TODAY()),0,IF(OR(INDEX($B555:$D555,AN$5)="F",AND(AN$6&gt;0,$A555&lt;AN$6),AND(AN$7&gt;0,$A555&gt;AN$7)),0,MAX(0,ROUND((INDEX($E555:$G555,AN$5)-SUMIFS(TF_Timer,TF_Tekniker,AN$4,TF_Dato,$A555))*2,0)/2)))</f>
        <v/>
      </c>
      <c r="AO555">
        <f>IF(OR(AO$4="",$A555&gt;TODAY()),0,IF(OR(INDEX($B555:$D555,AO$5)="F",AND(AO$6&gt;0,$A555&lt;AO$6),AND(AO$7&gt;0,$A555&gt;AO$7)),0,MAX(0,ROUND((INDEX($E555:$G555,AO$5)-SUMIFS(TF_Timer,TF_Tekniker,AO$4,TF_Dato,$A555))*2,0)/2)))</f>
        <v/>
      </c>
      <c r="AP555">
        <f>IF(OR(AP$4="",$A555&gt;TODAY()),0,IF(OR(INDEX($B555:$D555,AP$5)="F",AND(AP$6&gt;0,$A555&lt;AP$6),AND(AP$7&gt;0,$A555&gt;AP$7)),0,MAX(0,ROUND((INDEX($E555:$G555,AP$5)-SUMIFS(TF_Timer,TF_Tekniker,AP$4,TF_Dato,$A555))*2,0)/2)))</f>
        <v/>
      </c>
      <c r="AQ555">
        <f>IF(OR(AQ$4="",$A555&gt;TODAY()),0,IF(OR(INDEX($B555:$D555,AQ$5)="F",AND(AQ$6&gt;0,$A555&lt;AQ$6),AND(AQ$7&gt;0,$A555&gt;AQ$7)),0,MAX(0,ROUND((INDEX($E555:$G555,AQ$5)-SUMIFS(TF_Timer,TF_Tekniker,AQ$4,TF_Dato,$A555))*2,0)/2)))</f>
        <v/>
      </c>
      <c r="AR555">
        <f>IF(OR(AR$4="",$A555&gt;TODAY()),0,IF(OR(INDEX($B555:$D555,AR$5)="F",AND(AR$6&gt;0,$A555&lt;AR$6),AND(AR$7&gt;0,$A555&gt;AR$7)),0,MAX(0,ROUND((INDEX($E555:$G555,AR$5)-SUMIFS(TF_Timer,TF_Tekniker,AR$4,TF_Dato,$A555))*2,0)/2)))</f>
        <v/>
      </c>
      <c r="AS555">
        <f>IF(OR(AS$4="",$A555&gt;TODAY()),0,IF(OR(INDEX($B555:$D555,AS$5)="F",AND(AS$6&gt;0,$A555&lt;AS$6),AND(AS$7&gt;0,$A555&gt;AS$7)),0,MAX(0,ROUND((INDEX($E555:$G555,AS$5)-SUMIFS(TF_Timer,TF_Tekniker,AS$4,TF_Dato,$A555))*2,0)/2)))</f>
        <v/>
      </c>
      <c r="AT555">
        <f>IF(OR(AT$4="",$A555&gt;TODAY()),0,IF(OR(INDEX($B555:$D555,AT$5)="F",AND(AT$6&gt;0,$A555&lt;AT$6),AND(AT$7&gt;0,$A555&gt;AT$7)),0,MAX(0,ROUND((INDEX($E555:$G555,AT$5)-SUMIFS(TF_Timer,TF_Tekniker,AT$4,TF_Dato,$A555))*2,0)/2)))</f>
        <v/>
      </c>
      <c r="AU555">
        <f>IF(OR(AU$4="",$A555&gt;TODAY()),0,IF(OR(INDEX($B555:$D555,AU$5)="F",AND(AU$6&gt;0,$A555&lt;AU$6),AND(AU$7&gt;0,$A555&gt;AU$7)),0,MAX(0,ROUND((INDEX($E555:$G555,AU$5)-SUMIFS(TF_Timer,TF_Tekniker,AU$4,TF_Dato,$A555))*2,0)/2)))</f>
        <v/>
      </c>
      <c r="AV555">
        <f>IF(OR(AV$4="",$A555&gt;TODAY()),0,IF(OR(INDEX($B555:$D555,AV$5)="F",AND(AV$6&gt;0,$A555&lt;AV$6),AND(AV$7&gt;0,$A555&gt;AV$7)),0,MAX(0,ROUND((INDEX($E555:$G555,AV$5)-SUMIFS(TF_Timer,TF_Tekniker,AV$4,TF_Dato,$A555))*2,0)/2)))</f>
        <v/>
      </c>
      <c r="AW555">
        <f>IF(OR(AW$4="",$A555&gt;TODAY()),0,IF(OR(INDEX($B555:$D555,AW$5)="F",AND(AW$6&gt;0,$A555&lt;AW$6),AND(AW$7&gt;0,$A555&gt;AW$7)),0,MAX(0,ROUND((INDEX($E555:$G555,AW$5)-SUMIFS(TF_Timer,TF_Tekniker,AW$4,TF_Dato,$A555))*2,0)/2)))</f>
        <v/>
      </c>
      <c r="AX555">
        <f>IF(OR(AX$4="",$A555&gt;TODAY()),0,IF(OR(INDEX($B555:$D555,AX$5)="F",AND(AX$6&gt;0,$A555&lt;AX$6),AND(AX$7&gt;0,$A555&gt;AX$7)),0,MAX(0,ROUND((INDEX($E555:$G555,AX$5)-SUMIFS(TF_Timer,TF_Tekniker,AX$4,TF_Dato,$A555))*2,0)/2)))</f>
        <v/>
      </c>
      <c r="AY555">
        <f>IF(OR(AY$4="",$A555&gt;TODAY()),0,IF(OR(INDEX($B555:$D555,AY$5)="F",AND(AY$6&gt;0,$A555&lt;AY$6),AND(AY$7&gt;0,$A555&gt;AY$7)),0,MAX(0,ROUND((INDEX($E555:$G555,AY$5)-SUMIFS(TF_Timer,TF_Tekniker,AY$4,TF_Dato,$A555))*2,0)/2)))</f>
        <v/>
      </c>
      <c r="AZ555">
        <f>IF(OR(AZ$4="",$A555&gt;TODAY()),0,IF(OR(INDEX($B555:$D555,AZ$5)="F",AND(AZ$6&gt;0,$A555&lt;AZ$6),AND(AZ$7&gt;0,$A555&gt;AZ$7)),0,MAX(0,ROUND((INDEX($E555:$G555,AZ$5)-SUMIFS(TF_Timer,TF_Tekniker,AZ$4,TF_Dato,$A555))*2,0)/2)))</f>
        <v/>
      </c>
      <c r="BA555">
        <f>IF(OR(BA$4="",$A555&gt;TODAY()),0,IF(OR(INDEX($B555:$D555,BA$5)="F",AND(BA$6&gt;0,$A555&lt;BA$6),AND(BA$7&gt;0,$A555&gt;BA$7)),0,MAX(0,ROUND((INDEX($E555:$G555,BA$5)-SUMIFS(TF_Timer,TF_Tekniker,BA$4,TF_Dato,$A555))*2,0)/2)))</f>
        <v/>
      </c>
      <c r="BB555">
        <f>IF(OR(BB$4="",$A555&gt;TODAY()),0,IF(OR(INDEX($B555:$D555,BB$5)="F",AND(BB$6&gt;0,$A555&lt;BB$6),AND(BB$7&gt;0,$A555&gt;BB$7)),0,MAX(0,ROUND((INDEX($E555:$G555,BB$5)-SUMIFS(TF_Timer,TF_Tekniker,BB$4,TF_Dato,$A555))*2,0)/2)))</f>
        <v/>
      </c>
      <c r="BC555">
        <f>IF(OR(BC$4="",$A555&gt;TODAY()),0,IF(OR(INDEX($B555:$D555,BC$5)="F",AND(BC$6&gt;0,$A555&lt;BC$6),AND(BC$7&gt;0,$A555&gt;BC$7)),0,MAX(0,ROUND((INDEX($E555:$G555,BC$5)-SUMIFS(TF_Timer,TF_Tekniker,BC$4,TF_Dato,$A555))*2,0)/2)))</f>
        <v/>
      </c>
      <c r="BD555">
        <f>IF(OR(BD$4="",$A555&gt;TODAY()),0,IF(OR(INDEX($B555:$D555,BD$5)="F",AND(BD$6&gt;0,$A555&lt;BD$6),AND(BD$7&gt;0,$A555&gt;BD$7)),0,MAX(0,ROUND((INDEX($E555:$G555,BD$5)-SUMIFS(TF_Timer,TF_Tekniker,BD$4,TF_Dato,$A555))*2,0)/2)))</f>
        <v/>
      </c>
      <c r="BE555">
        <f>IF(OR(BE$4="",$A555&gt;TODAY()),0,IF(OR(INDEX($B555:$D555,BE$5)="F",AND(BE$6&gt;0,$A555&lt;BE$6),AND(BE$7&gt;0,$A555&gt;BE$7)),0,MAX(0,ROUND((INDEX($E555:$G555,BE$5)-SUMIFS(TF_Timer,TF_Tekniker,BE$4,TF_Dato,$A555))*2,0)/2)))</f>
        <v/>
      </c>
      <c r="BF555">
        <f>IF(OR(BF$4="",$A555&gt;TODAY()),0,IF(OR(INDEX($B555:$D555,BF$5)="F",AND(BF$6&gt;0,$A555&lt;BF$6),AND(BF$7&gt;0,$A555&gt;BF$7)),0,MAX(0,ROUND((INDEX($E555:$G555,BF$5)-SUMIFS(TF_Timer,TF_Tekniker,BF$4,TF_Dato,$A555))*2,0)/2)))</f>
        <v/>
      </c>
      <c r="BG555">
        <f>IF(OR(BG$4="",$A555&gt;TODAY()),0,IF(OR(INDEX($B555:$D555,BG$5)="F",AND(BG$6&gt;0,$A555&lt;BG$6),AND(BG$7&gt;0,$A555&gt;BG$7)),0,MAX(0,ROUND((INDEX($E555:$G555,BG$5)-SUMIFS(TF_Timer,TF_Tekniker,BG$4,TF_Dato,$A555))*2,0)/2)))</f>
        <v/>
      </c>
      <c r="BH555">
        <f>IF(OR(BH$4="",$A555&gt;TODAY()),0,IF(OR(INDEX($B555:$D555,BH$5)="F",AND(BH$6&gt;0,$A555&lt;BH$6),AND(BH$7&gt;0,$A555&gt;BH$7)),0,MAX(0,ROUND((INDEX($E555:$G555,BH$5)-SUMIFS(TF_Timer,TF_Tekniker,BH$4,TF_Dato,$A555))*2,0)/2)))</f>
        <v/>
      </c>
      <c r="BI555">
        <f>IF(OR(BI$4="",$A555&gt;TODAY()),0,IF(OR(INDEX($B555:$D555,BI$5)="F",AND(BI$6&gt;0,$A555&lt;BI$6),AND(BI$7&gt;0,$A555&gt;BI$7)),0,MAX(0,ROUND((INDEX($E555:$G555,BI$5)-SUMIFS(TF_Timer,TF_Tekniker,BI$4,TF_Dato,$A555))*2,0)/2)))</f>
        <v/>
      </c>
    </row>
    <row r="556">
      <c r="A556" s="64">
        <f>A555+1</f>
        <v/>
      </c>
      <c r="B556">
        <f>IF(MOD($A556-INDEX(SkiftStart,1),Syklus)&lt;DagK,"K",IF(MOD($A556-INDEX(SkiftStart,1),Syklus)&lt;DagK+DagH,"H",IF(MOD($A556-INDEX(SkiftStart,1),Syklus)&lt;DagK+DagH+DagD,"D","F")))</f>
        <v/>
      </c>
      <c r="C556">
        <f>IF(MOD($A556-INDEX(SkiftStart,2),Syklus)&lt;DagK,"K",IF(MOD($A556-INDEX(SkiftStart,2),Syklus)&lt;DagK+DagH,"H",IF(MOD($A556-INDEX(SkiftStart,2),Syklus)&lt;DagK+DagH+DagD,"D","F")))</f>
        <v/>
      </c>
      <c r="D556">
        <f>IF(MOD($A556-INDEX(SkiftStart,3),Syklus)&lt;DagK,"K",IF(MOD($A556-INDEX(SkiftStart,3),Syklus)&lt;DagK+DagH,"H",IF(MOD($A556-INDEX(SkiftStart,3),Syklus)&lt;DagK+DagH+DagD,"D","F")))</f>
        <v/>
      </c>
      <c r="E556">
        <f>IF(B556="F",0,IF(WEEKDAY($A556,2)=5,INDEX(TimerFr,MATCH(B556,FaseKode,0)),INDEX(TimerMT,MATCH(B556,FaseKode,0))))</f>
        <v/>
      </c>
      <c r="F556">
        <f>IF(C556="F",0,IF(WEEKDAY($A556,2)=5,INDEX(TimerFr,MATCH(C556,FaseKode,0)),INDEX(TimerMT,MATCH(C556,FaseKode,0))))</f>
        <v/>
      </c>
      <c r="G556">
        <f>IF(D556="F",0,IF(WEEKDAY($A556,2)=5,INDEX(TimerFr,MATCH(D556,FaseKode,0)),INDEX(TimerMT,MATCH(D556,FaseKode,0))))</f>
        <v/>
      </c>
      <c r="H556">
        <f>IF(OR(H$4="",$A556&gt;TODAY()),0,IF(OR(INDEX($B556:$D556,H$5)="F",AND(H$6&gt;0,$A556&lt;H$6),AND(H$7&gt;0,$A556&gt;H$7)),0,MAX(0,ROUND((INDEX($E556:$G556,H$5)-SUMIFS(TF_Timer,TF_Tekniker,H$4,TF_Dato,$A556))*2,0)/2)))</f>
        <v/>
      </c>
      <c r="I556">
        <f>IF(OR(I$4="",$A556&gt;TODAY()),0,IF(OR(INDEX($B556:$D556,I$5)="F",AND(I$6&gt;0,$A556&lt;I$6),AND(I$7&gt;0,$A556&gt;I$7)),0,MAX(0,ROUND((INDEX($E556:$G556,I$5)-SUMIFS(TF_Timer,TF_Tekniker,I$4,TF_Dato,$A556))*2,0)/2)))</f>
        <v/>
      </c>
      <c r="J556">
        <f>IF(OR(J$4="",$A556&gt;TODAY()),0,IF(OR(INDEX($B556:$D556,J$5)="F",AND(J$6&gt;0,$A556&lt;J$6),AND(J$7&gt;0,$A556&gt;J$7)),0,MAX(0,ROUND((INDEX($E556:$G556,J$5)-SUMIFS(TF_Timer,TF_Tekniker,J$4,TF_Dato,$A556))*2,0)/2)))</f>
        <v/>
      </c>
      <c r="K556">
        <f>IF(OR(K$4="",$A556&gt;TODAY()),0,IF(OR(INDEX($B556:$D556,K$5)="F",AND(K$6&gt;0,$A556&lt;K$6),AND(K$7&gt;0,$A556&gt;K$7)),0,MAX(0,ROUND((INDEX($E556:$G556,K$5)-SUMIFS(TF_Timer,TF_Tekniker,K$4,TF_Dato,$A556))*2,0)/2)))</f>
        <v/>
      </c>
      <c r="L556">
        <f>IF(OR(L$4="",$A556&gt;TODAY()),0,IF(OR(INDEX($B556:$D556,L$5)="F",AND(L$6&gt;0,$A556&lt;L$6),AND(L$7&gt;0,$A556&gt;L$7)),0,MAX(0,ROUND((INDEX($E556:$G556,L$5)-SUMIFS(TF_Timer,TF_Tekniker,L$4,TF_Dato,$A556))*2,0)/2)))</f>
        <v/>
      </c>
      <c r="M556">
        <f>IF(OR(M$4="",$A556&gt;TODAY()),0,IF(OR(INDEX($B556:$D556,M$5)="F",AND(M$6&gt;0,$A556&lt;M$6),AND(M$7&gt;0,$A556&gt;M$7)),0,MAX(0,ROUND((INDEX($E556:$G556,M$5)-SUMIFS(TF_Timer,TF_Tekniker,M$4,TF_Dato,$A556))*2,0)/2)))</f>
        <v/>
      </c>
      <c r="N556">
        <f>IF(OR(N$4="",$A556&gt;TODAY()),0,IF(OR(INDEX($B556:$D556,N$5)="F",AND(N$6&gt;0,$A556&lt;N$6),AND(N$7&gt;0,$A556&gt;N$7)),0,MAX(0,ROUND((INDEX($E556:$G556,N$5)-SUMIFS(TF_Timer,TF_Tekniker,N$4,TF_Dato,$A556))*2,0)/2)))</f>
        <v/>
      </c>
      <c r="O556">
        <f>IF(OR(O$4="",$A556&gt;TODAY()),0,IF(OR(INDEX($B556:$D556,O$5)="F",AND(O$6&gt;0,$A556&lt;O$6),AND(O$7&gt;0,$A556&gt;O$7)),0,MAX(0,ROUND((INDEX($E556:$G556,O$5)-SUMIFS(TF_Timer,TF_Tekniker,O$4,TF_Dato,$A556))*2,0)/2)))</f>
        <v/>
      </c>
      <c r="P556">
        <f>IF(OR(P$4="",$A556&gt;TODAY()),0,IF(OR(INDEX($B556:$D556,P$5)="F",AND(P$6&gt;0,$A556&lt;P$6),AND(P$7&gt;0,$A556&gt;P$7)),0,MAX(0,ROUND((INDEX($E556:$G556,P$5)-SUMIFS(TF_Timer,TF_Tekniker,P$4,TF_Dato,$A556))*2,0)/2)))</f>
        <v/>
      </c>
      <c r="Q556">
        <f>IF(OR(Q$4="",$A556&gt;TODAY()),0,IF(OR(INDEX($B556:$D556,Q$5)="F",AND(Q$6&gt;0,$A556&lt;Q$6),AND(Q$7&gt;0,$A556&gt;Q$7)),0,MAX(0,ROUND((INDEX($E556:$G556,Q$5)-SUMIFS(TF_Timer,TF_Tekniker,Q$4,TF_Dato,$A556))*2,0)/2)))</f>
        <v/>
      </c>
      <c r="R556">
        <f>IF(OR(R$4="",$A556&gt;TODAY()),0,IF(OR(INDEX($B556:$D556,R$5)="F",AND(R$6&gt;0,$A556&lt;R$6),AND(R$7&gt;0,$A556&gt;R$7)),0,MAX(0,ROUND((INDEX($E556:$G556,R$5)-SUMIFS(TF_Timer,TF_Tekniker,R$4,TF_Dato,$A556))*2,0)/2)))</f>
        <v/>
      </c>
      <c r="S556">
        <f>IF(OR(S$4="",$A556&gt;TODAY()),0,IF(OR(INDEX($B556:$D556,S$5)="F",AND(S$6&gt;0,$A556&lt;S$6),AND(S$7&gt;0,$A556&gt;S$7)),0,MAX(0,ROUND((INDEX($E556:$G556,S$5)-SUMIFS(TF_Timer,TF_Tekniker,S$4,TF_Dato,$A556))*2,0)/2)))</f>
        <v/>
      </c>
      <c r="T556">
        <f>IF(OR(T$4="",$A556&gt;TODAY()),0,IF(OR(INDEX($B556:$D556,T$5)="F",AND(T$6&gt;0,$A556&lt;T$6),AND(T$7&gt;0,$A556&gt;T$7)),0,MAX(0,ROUND((INDEX($E556:$G556,T$5)-SUMIFS(TF_Timer,TF_Tekniker,T$4,TF_Dato,$A556))*2,0)/2)))</f>
        <v/>
      </c>
      <c r="U556">
        <f>IF(OR(U$4="",$A556&gt;TODAY()),0,IF(OR(INDEX($B556:$D556,U$5)="F",AND(U$6&gt;0,$A556&lt;U$6),AND(U$7&gt;0,$A556&gt;U$7)),0,MAX(0,ROUND((INDEX($E556:$G556,U$5)-SUMIFS(TF_Timer,TF_Tekniker,U$4,TF_Dato,$A556))*2,0)/2)))</f>
        <v/>
      </c>
      <c r="V556">
        <f>IF(OR(V$4="",$A556&gt;TODAY()),0,IF(OR(INDEX($B556:$D556,V$5)="F",AND(V$6&gt;0,$A556&lt;V$6),AND(V$7&gt;0,$A556&gt;V$7)),0,MAX(0,ROUND((INDEX($E556:$G556,V$5)-SUMIFS(TF_Timer,TF_Tekniker,V$4,TF_Dato,$A556))*2,0)/2)))</f>
        <v/>
      </c>
      <c r="W556">
        <f>IF(OR(W$4="",$A556&gt;TODAY()),0,IF(OR(INDEX($B556:$D556,W$5)="F",AND(W$6&gt;0,$A556&lt;W$6),AND(W$7&gt;0,$A556&gt;W$7)),0,MAX(0,ROUND((INDEX($E556:$G556,W$5)-SUMIFS(TF_Timer,TF_Tekniker,W$4,TF_Dato,$A556))*2,0)/2)))</f>
        <v/>
      </c>
      <c r="X556">
        <f>IF(OR(X$4="",$A556&gt;TODAY()),0,IF(OR(INDEX($B556:$D556,X$5)="F",AND(X$6&gt;0,$A556&lt;X$6),AND(X$7&gt;0,$A556&gt;X$7)),0,MAX(0,ROUND((INDEX($E556:$G556,X$5)-SUMIFS(TF_Timer,TF_Tekniker,X$4,TF_Dato,$A556))*2,0)/2)))</f>
        <v/>
      </c>
      <c r="Y556">
        <f>IF(OR(Y$4="",$A556&gt;TODAY()),0,IF(OR(INDEX($B556:$D556,Y$5)="F",AND(Y$6&gt;0,$A556&lt;Y$6),AND(Y$7&gt;0,$A556&gt;Y$7)),0,MAX(0,ROUND((INDEX($E556:$G556,Y$5)-SUMIFS(TF_Timer,TF_Tekniker,Y$4,TF_Dato,$A556))*2,0)/2)))</f>
        <v/>
      </c>
      <c r="Z556">
        <f>IF(OR(Z$4="",$A556&gt;TODAY()),0,IF(OR(INDEX($B556:$D556,Z$5)="F",AND(Z$6&gt;0,$A556&lt;Z$6),AND(Z$7&gt;0,$A556&gt;Z$7)),0,MAX(0,ROUND((INDEX($E556:$G556,Z$5)-SUMIFS(TF_Timer,TF_Tekniker,Z$4,TF_Dato,$A556))*2,0)/2)))</f>
        <v/>
      </c>
      <c r="AA556">
        <f>IF(OR(AA$4="",$A556&gt;TODAY()),0,IF(OR(INDEX($B556:$D556,AA$5)="F",AND(AA$6&gt;0,$A556&lt;AA$6),AND(AA$7&gt;0,$A556&gt;AA$7)),0,MAX(0,ROUND((INDEX($E556:$G556,AA$5)-SUMIFS(TF_Timer,TF_Tekniker,AA$4,TF_Dato,$A556))*2,0)/2)))</f>
        <v/>
      </c>
      <c r="AB556">
        <f>IF(OR(AB$4="",$A556&gt;TODAY()),0,IF(OR(INDEX($B556:$D556,AB$5)="F",AND(AB$6&gt;0,$A556&lt;AB$6),AND(AB$7&gt;0,$A556&gt;AB$7)),0,MAX(0,ROUND((INDEX($E556:$G556,AB$5)-SUMIFS(TF_Timer,TF_Tekniker,AB$4,TF_Dato,$A556))*2,0)/2)))</f>
        <v/>
      </c>
      <c r="AC556">
        <f>IF(OR(AC$4="",$A556&gt;TODAY()),0,IF(OR(INDEX($B556:$D556,AC$5)="F",AND(AC$6&gt;0,$A556&lt;AC$6),AND(AC$7&gt;0,$A556&gt;AC$7)),0,MAX(0,ROUND((INDEX($E556:$G556,AC$5)-SUMIFS(TF_Timer,TF_Tekniker,AC$4,TF_Dato,$A556))*2,0)/2)))</f>
        <v/>
      </c>
      <c r="AD556">
        <f>IF(OR(AD$4="",$A556&gt;TODAY()),0,IF(OR(INDEX($B556:$D556,AD$5)="F",AND(AD$6&gt;0,$A556&lt;AD$6),AND(AD$7&gt;0,$A556&gt;AD$7)),0,MAX(0,ROUND((INDEX($E556:$G556,AD$5)-SUMIFS(TF_Timer,TF_Tekniker,AD$4,TF_Dato,$A556))*2,0)/2)))</f>
        <v/>
      </c>
      <c r="AE556">
        <f>IF(OR(AE$4="",$A556&gt;TODAY()),0,IF(OR(INDEX($B556:$D556,AE$5)="F",AND(AE$6&gt;0,$A556&lt;AE$6),AND(AE$7&gt;0,$A556&gt;AE$7)),0,MAX(0,ROUND((INDEX($E556:$G556,AE$5)-SUMIFS(TF_Timer,TF_Tekniker,AE$4,TF_Dato,$A556))*2,0)/2)))</f>
        <v/>
      </c>
      <c r="AF556">
        <f>IF(OR(AF$4="",$A556&gt;TODAY()),0,IF(OR(INDEX($B556:$D556,AF$5)="F",AND(AF$6&gt;0,$A556&lt;AF$6),AND(AF$7&gt;0,$A556&gt;AF$7)),0,MAX(0,ROUND((INDEX($E556:$G556,AF$5)-SUMIFS(TF_Timer,TF_Tekniker,AF$4,TF_Dato,$A556))*2,0)/2)))</f>
        <v/>
      </c>
      <c r="AG556">
        <f>IF(OR(AG$4="",$A556&gt;TODAY()),0,IF(OR(INDEX($B556:$D556,AG$5)="F",AND(AG$6&gt;0,$A556&lt;AG$6),AND(AG$7&gt;0,$A556&gt;AG$7)),0,MAX(0,ROUND((INDEX($E556:$G556,AG$5)-SUMIFS(TF_Timer,TF_Tekniker,AG$4,TF_Dato,$A556))*2,0)/2)))</f>
        <v/>
      </c>
      <c r="AH556">
        <f>IF(OR(AH$4="",$A556&gt;TODAY()),0,IF(OR(INDEX($B556:$D556,AH$5)="F",AND(AH$6&gt;0,$A556&lt;AH$6),AND(AH$7&gt;0,$A556&gt;AH$7)),0,MAX(0,ROUND((INDEX($E556:$G556,AH$5)-SUMIFS(TF_Timer,TF_Tekniker,AH$4,TF_Dato,$A556))*2,0)/2)))</f>
        <v/>
      </c>
      <c r="AI556">
        <f>IF(OR(AI$4="",$A556&gt;TODAY()),0,IF(OR(INDEX($B556:$D556,AI$5)="F",AND(AI$6&gt;0,$A556&lt;AI$6),AND(AI$7&gt;0,$A556&gt;AI$7)),0,MAX(0,ROUND((INDEX($E556:$G556,AI$5)-SUMIFS(TF_Timer,TF_Tekniker,AI$4,TF_Dato,$A556))*2,0)/2)))</f>
        <v/>
      </c>
      <c r="AJ556">
        <f>IF(OR(AJ$4="",$A556&gt;TODAY()),0,IF(OR(INDEX($B556:$D556,AJ$5)="F",AND(AJ$6&gt;0,$A556&lt;AJ$6),AND(AJ$7&gt;0,$A556&gt;AJ$7)),0,MAX(0,ROUND((INDEX($E556:$G556,AJ$5)-SUMIFS(TF_Timer,TF_Tekniker,AJ$4,TF_Dato,$A556))*2,0)/2)))</f>
        <v/>
      </c>
      <c r="AK556">
        <f>IF(OR(AK$4="",$A556&gt;TODAY()),0,IF(OR(INDEX($B556:$D556,AK$5)="F",AND(AK$6&gt;0,$A556&lt;AK$6),AND(AK$7&gt;0,$A556&gt;AK$7)),0,MAX(0,ROUND((INDEX($E556:$G556,AK$5)-SUMIFS(TF_Timer,TF_Tekniker,AK$4,TF_Dato,$A556))*2,0)/2)))</f>
        <v/>
      </c>
      <c r="AL556">
        <f>IF(OR(AL$4="",$A556&gt;TODAY()),0,IF(OR(INDEX($B556:$D556,AL$5)="F",AND(AL$6&gt;0,$A556&lt;AL$6),AND(AL$7&gt;0,$A556&gt;AL$7)),0,MAX(0,ROUND((INDEX($E556:$G556,AL$5)-SUMIFS(TF_Timer,TF_Tekniker,AL$4,TF_Dato,$A556))*2,0)/2)))</f>
        <v/>
      </c>
      <c r="AM556">
        <f>IF(OR(AM$4="",$A556&gt;TODAY()),0,IF(OR(INDEX($B556:$D556,AM$5)="F",AND(AM$6&gt;0,$A556&lt;AM$6),AND(AM$7&gt;0,$A556&gt;AM$7)),0,MAX(0,ROUND((INDEX($E556:$G556,AM$5)-SUMIFS(TF_Timer,TF_Tekniker,AM$4,TF_Dato,$A556))*2,0)/2)))</f>
        <v/>
      </c>
      <c r="AN556">
        <f>IF(OR(AN$4="",$A556&gt;TODAY()),0,IF(OR(INDEX($B556:$D556,AN$5)="F",AND(AN$6&gt;0,$A556&lt;AN$6),AND(AN$7&gt;0,$A556&gt;AN$7)),0,MAX(0,ROUND((INDEX($E556:$G556,AN$5)-SUMIFS(TF_Timer,TF_Tekniker,AN$4,TF_Dato,$A556))*2,0)/2)))</f>
        <v/>
      </c>
      <c r="AO556">
        <f>IF(OR(AO$4="",$A556&gt;TODAY()),0,IF(OR(INDEX($B556:$D556,AO$5)="F",AND(AO$6&gt;0,$A556&lt;AO$6),AND(AO$7&gt;0,$A556&gt;AO$7)),0,MAX(0,ROUND((INDEX($E556:$G556,AO$5)-SUMIFS(TF_Timer,TF_Tekniker,AO$4,TF_Dato,$A556))*2,0)/2)))</f>
        <v/>
      </c>
      <c r="AP556">
        <f>IF(OR(AP$4="",$A556&gt;TODAY()),0,IF(OR(INDEX($B556:$D556,AP$5)="F",AND(AP$6&gt;0,$A556&lt;AP$6),AND(AP$7&gt;0,$A556&gt;AP$7)),0,MAX(0,ROUND((INDEX($E556:$G556,AP$5)-SUMIFS(TF_Timer,TF_Tekniker,AP$4,TF_Dato,$A556))*2,0)/2)))</f>
        <v/>
      </c>
      <c r="AQ556">
        <f>IF(OR(AQ$4="",$A556&gt;TODAY()),0,IF(OR(INDEX($B556:$D556,AQ$5)="F",AND(AQ$6&gt;0,$A556&lt;AQ$6),AND(AQ$7&gt;0,$A556&gt;AQ$7)),0,MAX(0,ROUND((INDEX($E556:$G556,AQ$5)-SUMIFS(TF_Timer,TF_Tekniker,AQ$4,TF_Dato,$A556))*2,0)/2)))</f>
        <v/>
      </c>
      <c r="AR556">
        <f>IF(OR(AR$4="",$A556&gt;TODAY()),0,IF(OR(INDEX($B556:$D556,AR$5)="F",AND(AR$6&gt;0,$A556&lt;AR$6),AND(AR$7&gt;0,$A556&gt;AR$7)),0,MAX(0,ROUND((INDEX($E556:$G556,AR$5)-SUMIFS(TF_Timer,TF_Tekniker,AR$4,TF_Dato,$A556))*2,0)/2)))</f>
        <v/>
      </c>
      <c r="AS556">
        <f>IF(OR(AS$4="",$A556&gt;TODAY()),0,IF(OR(INDEX($B556:$D556,AS$5)="F",AND(AS$6&gt;0,$A556&lt;AS$6),AND(AS$7&gt;0,$A556&gt;AS$7)),0,MAX(0,ROUND((INDEX($E556:$G556,AS$5)-SUMIFS(TF_Timer,TF_Tekniker,AS$4,TF_Dato,$A556))*2,0)/2)))</f>
        <v/>
      </c>
      <c r="AT556">
        <f>IF(OR(AT$4="",$A556&gt;TODAY()),0,IF(OR(INDEX($B556:$D556,AT$5)="F",AND(AT$6&gt;0,$A556&lt;AT$6),AND(AT$7&gt;0,$A556&gt;AT$7)),0,MAX(0,ROUND((INDEX($E556:$G556,AT$5)-SUMIFS(TF_Timer,TF_Tekniker,AT$4,TF_Dato,$A556))*2,0)/2)))</f>
        <v/>
      </c>
      <c r="AU556">
        <f>IF(OR(AU$4="",$A556&gt;TODAY()),0,IF(OR(INDEX($B556:$D556,AU$5)="F",AND(AU$6&gt;0,$A556&lt;AU$6),AND(AU$7&gt;0,$A556&gt;AU$7)),0,MAX(0,ROUND((INDEX($E556:$G556,AU$5)-SUMIFS(TF_Timer,TF_Tekniker,AU$4,TF_Dato,$A556))*2,0)/2)))</f>
        <v/>
      </c>
      <c r="AV556">
        <f>IF(OR(AV$4="",$A556&gt;TODAY()),0,IF(OR(INDEX($B556:$D556,AV$5)="F",AND(AV$6&gt;0,$A556&lt;AV$6),AND(AV$7&gt;0,$A556&gt;AV$7)),0,MAX(0,ROUND((INDEX($E556:$G556,AV$5)-SUMIFS(TF_Timer,TF_Tekniker,AV$4,TF_Dato,$A556))*2,0)/2)))</f>
        <v/>
      </c>
      <c r="AW556">
        <f>IF(OR(AW$4="",$A556&gt;TODAY()),0,IF(OR(INDEX($B556:$D556,AW$5)="F",AND(AW$6&gt;0,$A556&lt;AW$6),AND(AW$7&gt;0,$A556&gt;AW$7)),0,MAX(0,ROUND((INDEX($E556:$G556,AW$5)-SUMIFS(TF_Timer,TF_Tekniker,AW$4,TF_Dato,$A556))*2,0)/2)))</f>
        <v/>
      </c>
      <c r="AX556">
        <f>IF(OR(AX$4="",$A556&gt;TODAY()),0,IF(OR(INDEX($B556:$D556,AX$5)="F",AND(AX$6&gt;0,$A556&lt;AX$6),AND(AX$7&gt;0,$A556&gt;AX$7)),0,MAX(0,ROUND((INDEX($E556:$G556,AX$5)-SUMIFS(TF_Timer,TF_Tekniker,AX$4,TF_Dato,$A556))*2,0)/2)))</f>
        <v/>
      </c>
      <c r="AY556">
        <f>IF(OR(AY$4="",$A556&gt;TODAY()),0,IF(OR(INDEX($B556:$D556,AY$5)="F",AND(AY$6&gt;0,$A556&lt;AY$6),AND(AY$7&gt;0,$A556&gt;AY$7)),0,MAX(0,ROUND((INDEX($E556:$G556,AY$5)-SUMIFS(TF_Timer,TF_Tekniker,AY$4,TF_Dato,$A556))*2,0)/2)))</f>
        <v/>
      </c>
      <c r="AZ556">
        <f>IF(OR(AZ$4="",$A556&gt;TODAY()),0,IF(OR(INDEX($B556:$D556,AZ$5)="F",AND(AZ$6&gt;0,$A556&lt;AZ$6),AND(AZ$7&gt;0,$A556&gt;AZ$7)),0,MAX(0,ROUND((INDEX($E556:$G556,AZ$5)-SUMIFS(TF_Timer,TF_Tekniker,AZ$4,TF_Dato,$A556))*2,0)/2)))</f>
        <v/>
      </c>
      <c r="BA556">
        <f>IF(OR(BA$4="",$A556&gt;TODAY()),0,IF(OR(INDEX($B556:$D556,BA$5)="F",AND(BA$6&gt;0,$A556&lt;BA$6),AND(BA$7&gt;0,$A556&gt;BA$7)),0,MAX(0,ROUND((INDEX($E556:$G556,BA$5)-SUMIFS(TF_Timer,TF_Tekniker,BA$4,TF_Dato,$A556))*2,0)/2)))</f>
        <v/>
      </c>
      <c r="BB556">
        <f>IF(OR(BB$4="",$A556&gt;TODAY()),0,IF(OR(INDEX($B556:$D556,BB$5)="F",AND(BB$6&gt;0,$A556&lt;BB$6),AND(BB$7&gt;0,$A556&gt;BB$7)),0,MAX(0,ROUND((INDEX($E556:$G556,BB$5)-SUMIFS(TF_Timer,TF_Tekniker,BB$4,TF_Dato,$A556))*2,0)/2)))</f>
        <v/>
      </c>
      <c r="BC556">
        <f>IF(OR(BC$4="",$A556&gt;TODAY()),0,IF(OR(INDEX($B556:$D556,BC$5)="F",AND(BC$6&gt;0,$A556&lt;BC$6),AND(BC$7&gt;0,$A556&gt;BC$7)),0,MAX(0,ROUND((INDEX($E556:$G556,BC$5)-SUMIFS(TF_Timer,TF_Tekniker,BC$4,TF_Dato,$A556))*2,0)/2)))</f>
        <v/>
      </c>
      <c r="BD556">
        <f>IF(OR(BD$4="",$A556&gt;TODAY()),0,IF(OR(INDEX($B556:$D556,BD$5)="F",AND(BD$6&gt;0,$A556&lt;BD$6),AND(BD$7&gt;0,$A556&gt;BD$7)),0,MAX(0,ROUND((INDEX($E556:$G556,BD$5)-SUMIFS(TF_Timer,TF_Tekniker,BD$4,TF_Dato,$A556))*2,0)/2)))</f>
        <v/>
      </c>
      <c r="BE556">
        <f>IF(OR(BE$4="",$A556&gt;TODAY()),0,IF(OR(INDEX($B556:$D556,BE$5)="F",AND(BE$6&gt;0,$A556&lt;BE$6),AND(BE$7&gt;0,$A556&gt;BE$7)),0,MAX(0,ROUND((INDEX($E556:$G556,BE$5)-SUMIFS(TF_Timer,TF_Tekniker,BE$4,TF_Dato,$A556))*2,0)/2)))</f>
        <v/>
      </c>
      <c r="BF556">
        <f>IF(OR(BF$4="",$A556&gt;TODAY()),0,IF(OR(INDEX($B556:$D556,BF$5)="F",AND(BF$6&gt;0,$A556&lt;BF$6),AND(BF$7&gt;0,$A556&gt;BF$7)),0,MAX(0,ROUND((INDEX($E556:$G556,BF$5)-SUMIFS(TF_Timer,TF_Tekniker,BF$4,TF_Dato,$A556))*2,0)/2)))</f>
        <v/>
      </c>
      <c r="BG556">
        <f>IF(OR(BG$4="",$A556&gt;TODAY()),0,IF(OR(INDEX($B556:$D556,BG$5)="F",AND(BG$6&gt;0,$A556&lt;BG$6),AND(BG$7&gt;0,$A556&gt;BG$7)),0,MAX(0,ROUND((INDEX($E556:$G556,BG$5)-SUMIFS(TF_Timer,TF_Tekniker,BG$4,TF_Dato,$A556))*2,0)/2)))</f>
        <v/>
      </c>
      <c r="BH556">
        <f>IF(OR(BH$4="",$A556&gt;TODAY()),0,IF(OR(INDEX($B556:$D556,BH$5)="F",AND(BH$6&gt;0,$A556&lt;BH$6),AND(BH$7&gt;0,$A556&gt;BH$7)),0,MAX(0,ROUND((INDEX($E556:$G556,BH$5)-SUMIFS(TF_Timer,TF_Tekniker,BH$4,TF_Dato,$A556))*2,0)/2)))</f>
        <v/>
      </c>
      <c r="BI556">
        <f>IF(OR(BI$4="",$A556&gt;TODAY()),0,IF(OR(INDEX($B556:$D556,BI$5)="F",AND(BI$6&gt;0,$A556&lt;BI$6),AND(BI$7&gt;0,$A556&gt;BI$7)),0,MAX(0,ROUND((INDEX($E556:$G556,BI$5)-SUMIFS(TF_Timer,TF_Tekniker,BI$4,TF_Dato,$A556))*2,0)/2)))</f>
        <v/>
      </c>
    </row>
    <row r="557">
      <c r="A557" s="64">
        <f>A556+1</f>
        <v/>
      </c>
      <c r="B557">
        <f>IF(MOD($A557-INDEX(SkiftStart,1),Syklus)&lt;DagK,"K",IF(MOD($A557-INDEX(SkiftStart,1),Syklus)&lt;DagK+DagH,"H",IF(MOD($A557-INDEX(SkiftStart,1),Syklus)&lt;DagK+DagH+DagD,"D","F")))</f>
        <v/>
      </c>
      <c r="C557">
        <f>IF(MOD($A557-INDEX(SkiftStart,2),Syklus)&lt;DagK,"K",IF(MOD($A557-INDEX(SkiftStart,2),Syklus)&lt;DagK+DagH,"H",IF(MOD($A557-INDEX(SkiftStart,2),Syklus)&lt;DagK+DagH+DagD,"D","F")))</f>
        <v/>
      </c>
      <c r="D557">
        <f>IF(MOD($A557-INDEX(SkiftStart,3),Syklus)&lt;DagK,"K",IF(MOD($A557-INDEX(SkiftStart,3),Syklus)&lt;DagK+DagH,"H",IF(MOD($A557-INDEX(SkiftStart,3),Syklus)&lt;DagK+DagH+DagD,"D","F")))</f>
        <v/>
      </c>
      <c r="E557">
        <f>IF(B557="F",0,IF(WEEKDAY($A557,2)=5,INDEX(TimerFr,MATCH(B557,FaseKode,0)),INDEX(TimerMT,MATCH(B557,FaseKode,0))))</f>
        <v/>
      </c>
      <c r="F557">
        <f>IF(C557="F",0,IF(WEEKDAY($A557,2)=5,INDEX(TimerFr,MATCH(C557,FaseKode,0)),INDEX(TimerMT,MATCH(C557,FaseKode,0))))</f>
        <v/>
      </c>
      <c r="G557">
        <f>IF(D557="F",0,IF(WEEKDAY($A557,2)=5,INDEX(TimerFr,MATCH(D557,FaseKode,0)),INDEX(TimerMT,MATCH(D557,FaseKode,0))))</f>
        <v/>
      </c>
      <c r="H557">
        <f>IF(OR(H$4="",$A557&gt;TODAY()),0,IF(OR(INDEX($B557:$D557,H$5)="F",AND(H$6&gt;0,$A557&lt;H$6),AND(H$7&gt;0,$A557&gt;H$7)),0,MAX(0,ROUND((INDEX($E557:$G557,H$5)-SUMIFS(TF_Timer,TF_Tekniker,H$4,TF_Dato,$A557))*2,0)/2)))</f>
        <v/>
      </c>
      <c r="I557">
        <f>IF(OR(I$4="",$A557&gt;TODAY()),0,IF(OR(INDEX($B557:$D557,I$5)="F",AND(I$6&gt;0,$A557&lt;I$6),AND(I$7&gt;0,$A557&gt;I$7)),0,MAX(0,ROUND((INDEX($E557:$G557,I$5)-SUMIFS(TF_Timer,TF_Tekniker,I$4,TF_Dato,$A557))*2,0)/2)))</f>
        <v/>
      </c>
      <c r="J557">
        <f>IF(OR(J$4="",$A557&gt;TODAY()),0,IF(OR(INDEX($B557:$D557,J$5)="F",AND(J$6&gt;0,$A557&lt;J$6),AND(J$7&gt;0,$A557&gt;J$7)),0,MAX(0,ROUND((INDEX($E557:$G557,J$5)-SUMIFS(TF_Timer,TF_Tekniker,J$4,TF_Dato,$A557))*2,0)/2)))</f>
        <v/>
      </c>
      <c r="K557">
        <f>IF(OR(K$4="",$A557&gt;TODAY()),0,IF(OR(INDEX($B557:$D557,K$5)="F",AND(K$6&gt;0,$A557&lt;K$6),AND(K$7&gt;0,$A557&gt;K$7)),0,MAX(0,ROUND((INDEX($E557:$G557,K$5)-SUMIFS(TF_Timer,TF_Tekniker,K$4,TF_Dato,$A557))*2,0)/2)))</f>
        <v/>
      </c>
      <c r="L557">
        <f>IF(OR(L$4="",$A557&gt;TODAY()),0,IF(OR(INDEX($B557:$D557,L$5)="F",AND(L$6&gt;0,$A557&lt;L$6),AND(L$7&gt;0,$A557&gt;L$7)),0,MAX(0,ROUND((INDEX($E557:$G557,L$5)-SUMIFS(TF_Timer,TF_Tekniker,L$4,TF_Dato,$A557))*2,0)/2)))</f>
        <v/>
      </c>
      <c r="M557">
        <f>IF(OR(M$4="",$A557&gt;TODAY()),0,IF(OR(INDEX($B557:$D557,M$5)="F",AND(M$6&gt;0,$A557&lt;M$6),AND(M$7&gt;0,$A557&gt;M$7)),0,MAX(0,ROUND((INDEX($E557:$G557,M$5)-SUMIFS(TF_Timer,TF_Tekniker,M$4,TF_Dato,$A557))*2,0)/2)))</f>
        <v/>
      </c>
      <c r="N557">
        <f>IF(OR(N$4="",$A557&gt;TODAY()),0,IF(OR(INDEX($B557:$D557,N$5)="F",AND(N$6&gt;0,$A557&lt;N$6),AND(N$7&gt;0,$A557&gt;N$7)),0,MAX(0,ROUND((INDEX($E557:$G557,N$5)-SUMIFS(TF_Timer,TF_Tekniker,N$4,TF_Dato,$A557))*2,0)/2)))</f>
        <v/>
      </c>
      <c r="O557">
        <f>IF(OR(O$4="",$A557&gt;TODAY()),0,IF(OR(INDEX($B557:$D557,O$5)="F",AND(O$6&gt;0,$A557&lt;O$6),AND(O$7&gt;0,$A557&gt;O$7)),0,MAX(0,ROUND((INDEX($E557:$G557,O$5)-SUMIFS(TF_Timer,TF_Tekniker,O$4,TF_Dato,$A557))*2,0)/2)))</f>
        <v/>
      </c>
      <c r="P557">
        <f>IF(OR(P$4="",$A557&gt;TODAY()),0,IF(OR(INDEX($B557:$D557,P$5)="F",AND(P$6&gt;0,$A557&lt;P$6),AND(P$7&gt;0,$A557&gt;P$7)),0,MAX(0,ROUND((INDEX($E557:$G557,P$5)-SUMIFS(TF_Timer,TF_Tekniker,P$4,TF_Dato,$A557))*2,0)/2)))</f>
        <v/>
      </c>
      <c r="Q557">
        <f>IF(OR(Q$4="",$A557&gt;TODAY()),0,IF(OR(INDEX($B557:$D557,Q$5)="F",AND(Q$6&gt;0,$A557&lt;Q$6),AND(Q$7&gt;0,$A557&gt;Q$7)),0,MAX(0,ROUND((INDEX($E557:$G557,Q$5)-SUMIFS(TF_Timer,TF_Tekniker,Q$4,TF_Dato,$A557))*2,0)/2)))</f>
        <v/>
      </c>
      <c r="R557">
        <f>IF(OR(R$4="",$A557&gt;TODAY()),0,IF(OR(INDEX($B557:$D557,R$5)="F",AND(R$6&gt;0,$A557&lt;R$6),AND(R$7&gt;0,$A557&gt;R$7)),0,MAX(0,ROUND((INDEX($E557:$G557,R$5)-SUMIFS(TF_Timer,TF_Tekniker,R$4,TF_Dato,$A557))*2,0)/2)))</f>
        <v/>
      </c>
      <c r="S557">
        <f>IF(OR(S$4="",$A557&gt;TODAY()),0,IF(OR(INDEX($B557:$D557,S$5)="F",AND(S$6&gt;0,$A557&lt;S$6),AND(S$7&gt;0,$A557&gt;S$7)),0,MAX(0,ROUND((INDEX($E557:$G557,S$5)-SUMIFS(TF_Timer,TF_Tekniker,S$4,TF_Dato,$A557))*2,0)/2)))</f>
        <v/>
      </c>
      <c r="T557">
        <f>IF(OR(T$4="",$A557&gt;TODAY()),0,IF(OR(INDEX($B557:$D557,T$5)="F",AND(T$6&gt;0,$A557&lt;T$6),AND(T$7&gt;0,$A557&gt;T$7)),0,MAX(0,ROUND((INDEX($E557:$G557,T$5)-SUMIFS(TF_Timer,TF_Tekniker,T$4,TF_Dato,$A557))*2,0)/2)))</f>
        <v/>
      </c>
      <c r="U557">
        <f>IF(OR(U$4="",$A557&gt;TODAY()),0,IF(OR(INDEX($B557:$D557,U$5)="F",AND(U$6&gt;0,$A557&lt;U$6),AND(U$7&gt;0,$A557&gt;U$7)),0,MAX(0,ROUND((INDEX($E557:$G557,U$5)-SUMIFS(TF_Timer,TF_Tekniker,U$4,TF_Dato,$A557))*2,0)/2)))</f>
        <v/>
      </c>
      <c r="V557">
        <f>IF(OR(V$4="",$A557&gt;TODAY()),0,IF(OR(INDEX($B557:$D557,V$5)="F",AND(V$6&gt;0,$A557&lt;V$6),AND(V$7&gt;0,$A557&gt;V$7)),0,MAX(0,ROUND((INDEX($E557:$G557,V$5)-SUMIFS(TF_Timer,TF_Tekniker,V$4,TF_Dato,$A557))*2,0)/2)))</f>
        <v/>
      </c>
      <c r="W557">
        <f>IF(OR(W$4="",$A557&gt;TODAY()),0,IF(OR(INDEX($B557:$D557,W$5)="F",AND(W$6&gt;0,$A557&lt;W$6),AND(W$7&gt;0,$A557&gt;W$7)),0,MAX(0,ROUND((INDEX($E557:$G557,W$5)-SUMIFS(TF_Timer,TF_Tekniker,W$4,TF_Dato,$A557))*2,0)/2)))</f>
        <v/>
      </c>
      <c r="X557">
        <f>IF(OR(X$4="",$A557&gt;TODAY()),0,IF(OR(INDEX($B557:$D557,X$5)="F",AND(X$6&gt;0,$A557&lt;X$6),AND(X$7&gt;0,$A557&gt;X$7)),0,MAX(0,ROUND((INDEX($E557:$G557,X$5)-SUMIFS(TF_Timer,TF_Tekniker,X$4,TF_Dato,$A557))*2,0)/2)))</f>
        <v/>
      </c>
      <c r="Y557">
        <f>IF(OR(Y$4="",$A557&gt;TODAY()),0,IF(OR(INDEX($B557:$D557,Y$5)="F",AND(Y$6&gt;0,$A557&lt;Y$6),AND(Y$7&gt;0,$A557&gt;Y$7)),0,MAX(0,ROUND((INDEX($E557:$G557,Y$5)-SUMIFS(TF_Timer,TF_Tekniker,Y$4,TF_Dato,$A557))*2,0)/2)))</f>
        <v/>
      </c>
      <c r="Z557">
        <f>IF(OR(Z$4="",$A557&gt;TODAY()),0,IF(OR(INDEX($B557:$D557,Z$5)="F",AND(Z$6&gt;0,$A557&lt;Z$6),AND(Z$7&gt;0,$A557&gt;Z$7)),0,MAX(0,ROUND((INDEX($E557:$G557,Z$5)-SUMIFS(TF_Timer,TF_Tekniker,Z$4,TF_Dato,$A557))*2,0)/2)))</f>
        <v/>
      </c>
      <c r="AA557">
        <f>IF(OR(AA$4="",$A557&gt;TODAY()),0,IF(OR(INDEX($B557:$D557,AA$5)="F",AND(AA$6&gt;0,$A557&lt;AA$6),AND(AA$7&gt;0,$A557&gt;AA$7)),0,MAX(0,ROUND((INDEX($E557:$G557,AA$5)-SUMIFS(TF_Timer,TF_Tekniker,AA$4,TF_Dato,$A557))*2,0)/2)))</f>
        <v/>
      </c>
      <c r="AB557">
        <f>IF(OR(AB$4="",$A557&gt;TODAY()),0,IF(OR(INDEX($B557:$D557,AB$5)="F",AND(AB$6&gt;0,$A557&lt;AB$6),AND(AB$7&gt;0,$A557&gt;AB$7)),0,MAX(0,ROUND((INDEX($E557:$G557,AB$5)-SUMIFS(TF_Timer,TF_Tekniker,AB$4,TF_Dato,$A557))*2,0)/2)))</f>
        <v/>
      </c>
      <c r="AC557">
        <f>IF(OR(AC$4="",$A557&gt;TODAY()),0,IF(OR(INDEX($B557:$D557,AC$5)="F",AND(AC$6&gt;0,$A557&lt;AC$6),AND(AC$7&gt;0,$A557&gt;AC$7)),0,MAX(0,ROUND((INDEX($E557:$G557,AC$5)-SUMIFS(TF_Timer,TF_Tekniker,AC$4,TF_Dato,$A557))*2,0)/2)))</f>
        <v/>
      </c>
      <c r="AD557">
        <f>IF(OR(AD$4="",$A557&gt;TODAY()),0,IF(OR(INDEX($B557:$D557,AD$5)="F",AND(AD$6&gt;0,$A557&lt;AD$6),AND(AD$7&gt;0,$A557&gt;AD$7)),0,MAX(0,ROUND((INDEX($E557:$G557,AD$5)-SUMIFS(TF_Timer,TF_Tekniker,AD$4,TF_Dato,$A557))*2,0)/2)))</f>
        <v/>
      </c>
      <c r="AE557">
        <f>IF(OR(AE$4="",$A557&gt;TODAY()),0,IF(OR(INDEX($B557:$D557,AE$5)="F",AND(AE$6&gt;0,$A557&lt;AE$6),AND(AE$7&gt;0,$A557&gt;AE$7)),0,MAX(0,ROUND((INDEX($E557:$G557,AE$5)-SUMIFS(TF_Timer,TF_Tekniker,AE$4,TF_Dato,$A557))*2,0)/2)))</f>
        <v/>
      </c>
      <c r="AF557">
        <f>IF(OR(AF$4="",$A557&gt;TODAY()),0,IF(OR(INDEX($B557:$D557,AF$5)="F",AND(AF$6&gt;0,$A557&lt;AF$6),AND(AF$7&gt;0,$A557&gt;AF$7)),0,MAX(0,ROUND((INDEX($E557:$G557,AF$5)-SUMIFS(TF_Timer,TF_Tekniker,AF$4,TF_Dato,$A557))*2,0)/2)))</f>
        <v/>
      </c>
      <c r="AG557">
        <f>IF(OR(AG$4="",$A557&gt;TODAY()),0,IF(OR(INDEX($B557:$D557,AG$5)="F",AND(AG$6&gt;0,$A557&lt;AG$6),AND(AG$7&gt;0,$A557&gt;AG$7)),0,MAX(0,ROUND((INDEX($E557:$G557,AG$5)-SUMIFS(TF_Timer,TF_Tekniker,AG$4,TF_Dato,$A557))*2,0)/2)))</f>
        <v/>
      </c>
      <c r="AH557">
        <f>IF(OR(AH$4="",$A557&gt;TODAY()),0,IF(OR(INDEX($B557:$D557,AH$5)="F",AND(AH$6&gt;0,$A557&lt;AH$6),AND(AH$7&gt;0,$A557&gt;AH$7)),0,MAX(0,ROUND((INDEX($E557:$G557,AH$5)-SUMIFS(TF_Timer,TF_Tekniker,AH$4,TF_Dato,$A557))*2,0)/2)))</f>
        <v/>
      </c>
      <c r="AI557">
        <f>IF(OR(AI$4="",$A557&gt;TODAY()),0,IF(OR(INDEX($B557:$D557,AI$5)="F",AND(AI$6&gt;0,$A557&lt;AI$6),AND(AI$7&gt;0,$A557&gt;AI$7)),0,MAX(0,ROUND((INDEX($E557:$G557,AI$5)-SUMIFS(TF_Timer,TF_Tekniker,AI$4,TF_Dato,$A557))*2,0)/2)))</f>
        <v/>
      </c>
      <c r="AJ557">
        <f>IF(OR(AJ$4="",$A557&gt;TODAY()),0,IF(OR(INDEX($B557:$D557,AJ$5)="F",AND(AJ$6&gt;0,$A557&lt;AJ$6),AND(AJ$7&gt;0,$A557&gt;AJ$7)),0,MAX(0,ROUND((INDEX($E557:$G557,AJ$5)-SUMIFS(TF_Timer,TF_Tekniker,AJ$4,TF_Dato,$A557))*2,0)/2)))</f>
        <v/>
      </c>
      <c r="AK557">
        <f>IF(OR(AK$4="",$A557&gt;TODAY()),0,IF(OR(INDEX($B557:$D557,AK$5)="F",AND(AK$6&gt;0,$A557&lt;AK$6),AND(AK$7&gt;0,$A557&gt;AK$7)),0,MAX(0,ROUND((INDEX($E557:$G557,AK$5)-SUMIFS(TF_Timer,TF_Tekniker,AK$4,TF_Dato,$A557))*2,0)/2)))</f>
        <v/>
      </c>
      <c r="AL557">
        <f>IF(OR(AL$4="",$A557&gt;TODAY()),0,IF(OR(INDEX($B557:$D557,AL$5)="F",AND(AL$6&gt;0,$A557&lt;AL$6),AND(AL$7&gt;0,$A557&gt;AL$7)),0,MAX(0,ROUND((INDEX($E557:$G557,AL$5)-SUMIFS(TF_Timer,TF_Tekniker,AL$4,TF_Dato,$A557))*2,0)/2)))</f>
        <v/>
      </c>
      <c r="AM557">
        <f>IF(OR(AM$4="",$A557&gt;TODAY()),0,IF(OR(INDEX($B557:$D557,AM$5)="F",AND(AM$6&gt;0,$A557&lt;AM$6),AND(AM$7&gt;0,$A557&gt;AM$7)),0,MAX(0,ROUND((INDEX($E557:$G557,AM$5)-SUMIFS(TF_Timer,TF_Tekniker,AM$4,TF_Dato,$A557))*2,0)/2)))</f>
        <v/>
      </c>
      <c r="AN557">
        <f>IF(OR(AN$4="",$A557&gt;TODAY()),0,IF(OR(INDEX($B557:$D557,AN$5)="F",AND(AN$6&gt;0,$A557&lt;AN$6),AND(AN$7&gt;0,$A557&gt;AN$7)),0,MAX(0,ROUND((INDEX($E557:$G557,AN$5)-SUMIFS(TF_Timer,TF_Tekniker,AN$4,TF_Dato,$A557))*2,0)/2)))</f>
        <v/>
      </c>
      <c r="AO557">
        <f>IF(OR(AO$4="",$A557&gt;TODAY()),0,IF(OR(INDEX($B557:$D557,AO$5)="F",AND(AO$6&gt;0,$A557&lt;AO$6),AND(AO$7&gt;0,$A557&gt;AO$7)),0,MAX(0,ROUND((INDEX($E557:$G557,AO$5)-SUMIFS(TF_Timer,TF_Tekniker,AO$4,TF_Dato,$A557))*2,0)/2)))</f>
        <v/>
      </c>
      <c r="AP557">
        <f>IF(OR(AP$4="",$A557&gt;TODAY()),0,IF(OR(INDEX($B557:$D557,AP$5)="F",AND(AP$6&gt;0,$A557&lt;AP$6),AND(AP$7&gt;0,$A557&gt;AP$7)),0,MAX(0,ROUND((INDEX($E557:$G557,AP$5)-SUMIFS(TF_Timer,TF_Tekniker,AP$4,TF_Dato,$A557))*2,0)/2)))</f>
        <v/>
      </c>
      <c r="AQ557">
        <f>IF(OR(AQ$4="",$A557&gt;TODAY()),0,IF(OR(INDEX($B557:$D557,AQ$5)="F",AND(AQ$6&gt;0,$A557&lt;AQ$6),AND(AQ$7&gt;0,$A557&gt;AQ$7)),0,MAX(0,ROUND((INDEX($E557:$G557,AQ$5)-SUMIFS(TF_Timer,TF_Tekniker,AQ$4,TF_Dato,$A557))*2,0)/2)))</f>
        <v/>
      </c>
      <c r="AR557">
        <f>IF(OR(AR$4="",$A557&gt;TODAY()),0,IF(OR(INDEX($B557:$D557,AR$5)="F",AND(AR$6&gt;0,$A557&lt;AR$6),AND(AR$7&gt;0,$A557&gt;AR$7)),0,MAX(0,ROUND((INDEX($E557:$G557,AR$5)-SUMIFS(TF_Timer,TF_Tekniker,AR$4,TF_Dato,$A557))*2,0)/2)))</f>
        <v/>
      </c>
      <c r="AS557">
        <f>IF(OR(AS$4="",$A557&gt;TODAY()),0,IF(OR(INDEX($B557:$D557,AS$5)="F",AND(AS$6&gt;0,$A557&lt;AS$6),AND(AS$7&gt;0,$A557&gt;AS$7)),0,MAX(0,ROUND((INDEX($E557:$G557,AS$5)-SUMIFS(TF_Timer,TF_Tekniker,AS$4,TF_Dato,$A557))*2,0)/2)))</f>
        <v/>
      </c>
      <c r="AT557">
        <f>IF(OR(AT$4="",$A557&gt;TODAY()),0,IF(OR(INDEX($B557:$D557,AT$5)="F",AND(AT$6&gt;0,$A557&lt;AT$6),AND(AT$7&gt;0,$A557&gt;AT$7)),0,MAX(0,ROUND((INDEX($E557:$G557,AT$5)-SUMIFS(TF_Timer,TF_Tekniker,AT$4,TF_Dato,$A557))*2,0)/2)))</f>
        <v/>
      </c>
      <c r="AU557">
        <f>IF(OR(AU$4="",$A557&gt;TODAY()),0,IF(OR(INDEX($B557:$D557,AU$5)="F",AND(AU$6&gt;0,$A557&lt;AU$6),AND(AU$7&gt;0,$A557&gt;AU$7)),0,MAX(0,ROUND((INDEX($E557:$G557,AU$5)-SUMIFS(TF_Timer,TF_Tekniker,AU$4,TF_Dato,$A557))*2,0)/2)))</f>
        <v/>
      </c>
      <c r="AV557">
        <f>IF(OR(AV$4="",$A557&gt;TODAY()),0,IF(OR(INDEX($B557:$D557,AV$5)="F",AND(AV$6&gt;0,$A557&lt;AV$6),AND(AV$7&gt;0,$A557&gt;AV$7)),0,MAX(0,ROUND((INDEX($E557:$G557,AV$5)-SUMIFS(TF_Timer,TF_Tekniker,AV$4,TF_Dato,$A557))*2,0)/2)))</f>
        <v/>
      </c>
      <c r="AW557">
        <f>IF(OR(AW$4="",$A557&gt;TODAY()),0,IF(OR(INDEX($B557:$D557,AW$5)="F",AND(AW$6&gt;0,$A557&lt;AW$6),AND(AW$7&gt;0,$A557&gt;AW$7)),0,MAX(0,ROUND((INDEX($E557:$G557,AW$5)-SUMIFS(TF_Timer,TF_Tekniker,AW$4,TF_Dato,$A557))*2,0)/2)))</f>
        <v/>
      </c>
      <c r="AX557">
        <f>IF(OR(AX$4="",$A557&gt;TODAY()),0,IF(OR(INDEX($B557:$D557,AX$5)="F",AND(AX$6&gt;0,$A557&lt;AX$6),AND(AX$7&gt;0,$A557&gt;AX$7)),0,MAX(0,ROUND((INDEX($E557:$G557,AX$5)-SUMIFS(TF_Timer,TF_Tekniker,AX$4,TF_Dato,$A557))*2,0)/2)))</f>
        <v/>
      </c>
      <c r="AY557">
        <f>IF(OR(AY$4="",$A557&gt;TODAY()),0,IF(OR(INDEX($B557:$D557,AY$5)="F",AND(AY$6&gt;0,$A557&lt;AY$6),AND(AY$7&gt;0,$A557&gt;AY$7)),0,MAX(0,ROUND((INDEX($E557:$G557,AY$5)-SUMIFS(TF_Timer,TF_Tekniker,AY$4,TF_Dato,$A557))*2,0)/2)))</f>
        <v/>
      </c>
      <c r="AZ557">
        <f>IF(OR(AZ$4="",$A557&gt;TODAY()),0,IF(OR(INDEX($B557:$D557,AZ$5)="F",AND(AZ$6&gt;0,$A557&lt;AZ$6),AND(AZ$7&gt;0,$A557&gt;AZ$7)),0,MAX(0,ROUND((INDEX($E557:$G557,AZ$5)-SUMIFS(TF_Timer,TF_Tekniker,AZ$4,TF_Dato,$A557))*2,0)/2)))</f>
        <v/>
      </c>
      <c r="BA557">
        <f>IF(OR(BA$4="",$A557&gt;TODAY()),0,IF(OR(INDEX($B557:$D557,BA$5)="F",AND(BA$6&gt;0,$A557&lt;BA$6),AND(BA$7&gt;0,$A557&gt;BA$7)),0,MAX(0,ROUND((INDEX($E557:$G557,BA$5)-SUMIFS(TF_Timer,TF_Tekniker,BA$4,TF_Dato,$A557))*2,0)/2)))</f>
        <v/>
      </c>
      <c r="BB557">
        <f>IF(OR(BB$4="",$A557&gt;TODAY()),0,IF(OR(INDEX($B557:$D557,BB$5)="F",AND(BB$6&gt;0,$A557&lt;BB$6),AND(BB$7&gt;0,$A557&gt;BB$7)),0,MAX(0,ROUND((INDEX($E557:$G557,BB$5)-SUMIFS(TF_Timer,TF_Tekniker,BB$4,TF_Dato,$A557))*2,0)/2)))</f>
        <v/>
      </c>
      <c r="BC557">
        <f>IF(OR(BC$4="",$A557&gt;TODAY()),0,IF(OR(INDEX($B557:$D557,BC$5)="F",AND(BC$6&gt;0,$A557&lt;BC$6),AND(BC$7&gt;0,$A557&gt;BC$7)),0,MAX(0,ROUND((INDEX($E557:$G557,BC$5)-SUMIFS(TF_Timer,TF_Tekniker,BC$4,TF_Dato,$A557))*2,0)/2)))</f>
        <v/>
      </c>
      <c r="BD557">
        <f>IF(OR(BD$4="",$A557&gt;TODAY()),0,IF(OR(INDEX($B557:$D557,BD$5)="F",AND(BD$6&gt;0,$A557&lt;BD$6),AND(BD$7&gt;0,$A557&gt;BD$7)),0,MAX(0,ROUND((INDEX($E557:$G557,BD$5)-SUMIFS(TF_Timer,TF_Tekniker,BD$4,TF_Dato,$A557))*2,0)/2)))</f>
        <v/>
      </c>
      <c r="BE557">
        <f>IF(OR(BE$4="",$A557&gt;TODAY()),0,IF(OR(INDEX($B557:$D557,BE$5)="F",AND(BE$6&gt;0,$A557&lt;BE$6),AND(BE$7&gt;0,$A557&gt;BE$7)),0,MAX(0,ROUND((INDEX($E557:$G557,BE$5)-SUMIFS(TF_Timer,TF_Tekniker,BE$4,TF_Dato,$A557))*2,0)/2)))</f>
        <v/>
      </c>
      <c r="BF557">
        <f>IF(OR(BF$4="",$A557&gt;TODAY()),0,IF(OR(INDEX($B557:$D557,BF$5)="F",AND(BF$6&gt;0,$A557&lt;BF$6),AND(BF$7&gt;0,$A557&gt;BF$7)),0,MAX(0,ROUND((INDEX($E557:$G557,BF$5)-SUMIFS(TF_Timer,TF_Tekniker,BF$4,TF_Dato,$A557))*2,0)/2)))</f>
        <v/>
      </c>
      <c r="BG557">
        <f>IF(OR(BG$4="",$A557&gt;TODAY()),0,IF(OR(INDEX($B557:$D557,BG$5)="F",AND(BG$6&gt;0,$A557&lt;BG$6),AND(BG$7&gt;0,$A557&gt;BG$7)),0,MAX(0,ROUND((INDEX($E557:$G557,BG$5)-SUMIFS(TF_Timer,TF_Tekniker,BG$4,TF_Dato,$A557))*2,0)/2)))</f>
        <v/>
      </c>
      <c r="BH557">
        <f>IF(OR(BH$4="",$A557&gt;TODAY()),0,IF(OR(INDEX($B557:$D557,BH$5)="F",AND(BH$6&gt;0,$A557&lt;BH$6),AND(BH$7&gt;0,$A557&gt;BH$7)),0,MAX(0,ROUND((INDEX($E557:$G557,BH$5)-SUMIFS(TF_Timer,TF_Tekniker,BH$4,TF_Dato,$A557))*2,0)/2)))</f>
        <v/>
      </c>
      <c r="BI557">
        <f>IF(OR(BI$4="",$A557&gt;TODAY()),0,IF(OR(INDEX($B557:$D557,BI$5)="F",AND(BI$6&gt;0,$A557&lt;BI$6),AND(BI$7&gt;0,$A557&gt;BI$7)),0,MAX(0,ROUND((INDEX($E557:$G557,BI$5)-SUMIFS(TF_Timer,TF_Tekniker,BI$4,TF_Dato,$A557))*2,0)/2)))</f>
        <v/>
      </c>
    </row>
    <row r="558">
      <c r="A558" s="64">
        <f>A557+1</f>
        <v/>
      </c>
      <c r="B558">
        <f>IF(MOD($A558-INDEX(SkiftStart,1),Syklus)&lt;DagK,"K",IF(MOD($A558-INDEX(SkiftStart,1),Syklus)&lt;DagK+DagH,"H",IF(MOD($A558-INDEX(SkiftStart,1),Syklus)&lt;DagK+DagH+DagD,"D","F")))</f>
        <v/>
      </c>
      <c r="C558">
        <f>IF(MOD($A558-INDEX(SkiftStart,2),Syklus)&lt;DagK,"K",IF(MOD($A558-INDEX(SkiftStart,2),Syklus)&lt;DagK+DagH,"H",IF(MOD($A558-INDEX(SkiftStart,2),Syklus)&lt;DagK+DagH+DagD,"D","F")))</f>
        <v/>
      </c>
      <c r="D558">
        <f>IF(MOD($A558-INDEX(SkiftStart,3),Syklus)&lt;DagK,"K",IF(MOD($A558-INDEX(SkiftStart,3),Syklus)&lt;DagK+DagH,"H",IF(MOD($A558-INDEX(SkiftStart,3),Syklus)&lt;DagK+DagH+DagD,"D","F")))</f>
        <v/>
      </c>
      <c r="E558">
        <f>IF(B558="F",0,IF(WEEKDAY($A558,2)=5,INDEX(TimerFr,MATCH(B558,FaseKode,0)),INDEX(TimerMT,MATCH(B558,FaseKode,0))))</f>
        <v/>
      </c>
      <c r="F558">
        <f>IF(C558="F",0,IF(WEEKDAY($A558,2)=5,INDEX(TimerFr,MATCH(C558,FaseKode,0)),INDEX(TimerMT,MATCH(C558,FaseKode,0))))</f>
        <v/>
      </c>
      <c r="G558">
        <f>IF(D558="F",0,IF(WEEKDAY($A558,2)=5,INDEX(TimerFr,MATCH(D558,FaseKode,0)),INDEX(TimerMT,MATCH(D558,FaseKode,0))))</f>
        <v/>
      </c>
      <c r="H558">
        <f>IF(OR(H$4="",$A558&gt;TODAY()),0,IF(OR(INDEX($B558:$D558,H$5)="F",AND(H$6&gt;0,$A558&lt;H$6),AND(H$7&gt;0,$A558&gt;H$7)),0,MAX(0,ROUND((INDEX($E558:$G558,H$5)-SUMIFS(TF_Timer,TF_Tekniker,H$4,TF_Dato,$A558))*2,0)/2)))</f>
        <v/>
      </c>
      <c r="I558">
        <f>IF(OR(I$4="",$A558&gt;TODAY()),0,IF(OR(INDEX($B558:$D558,I$5)="F",AND(I$6&gt;0,$A558&lt;I$6),AND(I$7&gt;0,$A558&gt;I$7)),0,MAX(0,ROUND((INDEX($E558:$G558,I$5)-SUMIFS(TF_Timer,TF_Tekniker,I$4,TF_Dato,$A558))*2,0)/2)))</f>
        <v/>
      </c>
      <c r="J558">
        <f>IF(OR(J$4="",$A558&gt;TODAY()),0,IF(OR(INDEX($B558:$D558,J$5)="F",AND(J$6&gt;0,$A558&lt;J$6),AND(J$7&gt;0,$A558&gt;J$7)),0,MAX(0,ROUND((INDEX($E558:$G558,J$5)-SUMIFS(TF_Timer,TF_Tekniker,J$4,TF_Dato,$A558))*2,0)/2)))</f>
        <v/>
      </c>
      <c r="K558">
        <f>IF(OR(K$4="",$A558&gt;TODAY()),0,IF(OR(INDEX($B558:$D558,K$5)="F",AND(K$6&gt;0,$A558&lt;K$6),AND(K$7&gt;0,$A558&gt;K$7)),0,MAX(0,ROUND((INDEX($E558:$G558,K$5)-SUMIFS(TF_Timer,TF_Tekniker,K$4,TF_Dato,$A558))*2,0)/2)))</f>
        <v/>
      </c>
      <c r="L558">
        <f>IF(OR(L$4="",$A558&gt;TODAY()),0,IF(OR(INDEX($B558:$D558,L$5)="F",AND(L$6&gt;0,$A558&lt;L$6),AND(L$7&gt;0,$A558&gt;L$7)),0,MAX(0,ROUND((INDEX($E558:$G558,L$5)-SUMIFS(TF_Timer,TF_Tekniker,L$4,TF_Dato,$A558))*2,0)/2)))</f>
        <v/>
      </c>
      <c r="M558">
        <f>IF(OR(M$4="",$A558&gt;TODAY()),0,IF(OR(INDEX($B558:$D558,M$5)="F",AND(M$6&gt;0,$A558&lt;M$6),AND(M$7&gt;0,$A558&gt;M$7)),0,MAX(0,ROUND((INDEX($E558:$G558,M$5)-SUMIFS(TF_Timer,TF_Tekniker,M$4,TF_Dato,$A558))*2,0)/2)))</f>
        <v/>
      </c>
      <c r="N558">
        <f>IF(OR(N$4="",$A558&gt;TODAY()),0,IF(OR(INDEX($B558:$D558,N$5)="F",AND(N$6&gt;0,$A558&lt;N$6),AND(N$7&gt;0,$A558&gt;N$7)),0,MAX(0,ROUND((INDEX($E558:$G558,N$5)-SUMIFS(TF_Timer,TF_Tekniker,N$4,TF_Dato,$A558))*2,0)/2)))</f>
        <v/>
      </c>
      <c r="O558">
        <f>IF(OR(O$4="",$A558&gt;TODAY()),0,IF(OR(INDEX($B558:$D558,O$5)="F",AND(O$6&gt;0,$A558&lt;O$6),AND(O$7&gt;0,$A558&gt;O$7)),0,MAX(0,ROUND((INDEX($E558:$G558,O$5)-SUMIFS(TF_Timer,TF_Tekniker,O$4,TF_Dato,$A558))*2,0)/2)))</f>
        <v/>
      </c>
      <c r="P558">
        <f>IF(OR(P$4="",$A558&gt;TODAY()),0,IF(OR(INDEX($B558:$D558,P$5)="F",AND(P$6&gt;0,$A558&lt;P$6),AND(P$7&gt;0,$A558&gt;P$7)),0,MAX(0,ROUND((INDEX($E558:$G558,P$5)-SUMIFS(TF_Timer,TF_Tekniker,P$4,TF_Dato,$A558))*2,0)/2)))</f>
        <v/>
      </c>
      <c r="Q558">
        <f>IF(OR(Q$4="",$A558&gt;TODAY()),0,IF(OR(INDEX($B558:$D558,Q$5)="F",AND(Q$6&gt;0,$A558&lt;Q$6),AND(Q$7&gt;0,$A558&gt;Q$7)),0,MAX(0,ROUND((INDEX($E558:$G558,Q$5)-SUMIFS(TF_Timer,TF_Tekniker,Q$4,TF_Dato,$A558))*2,0)/2)))</f>
        <v/>
      </c>
      <c r="R558">
        <f>IF(OR(R$4="",$A558&gt;TODAY()),0,IF(OR(INDEX($B558:$D558,R$5)="F",AND(R$6&gt;0,$A558&lt;R$6),AND(R$7&gt;0,$A558&gt;R$7)),0,MAX(0,ROUND((INDEX($E558:$G558,R$5)-SUMIFS(TF_Timer,TF_Tekniker,R$4,TF_Dato,$A558))*2,0)/2)))</f>
        <v/>
      </c>
      <c r="S558">
        <f>IF(OR(S$4="",$A558&gt;TODAY()),0,IF(OR(INDEX($B558:$D558,S$5)="F",AND(S$6&gt;0,$A558&lt;S$6),AND(S$7&gt;0,$A558&gt;S$7)),0,MAX(0,ROUND((INDEX($E558:$G558,S$5)-SUMIFS(TF_Timer,TF_Tekniker,S$4,TF_Dato,$A558))*2,0)/2)))</f>
        <v/>
      </c>
      <c r="T558">
        <f>IF(OR(T$4="",$A558&gt;TODAY()),0,IF(OR(INDEX($B558:$D558,T$5)="F",AND(T$6&gt;0,$A558&lt;T$6),AND(T$7&gt;0,$A558&gt;T$7)),0,MAX(0,ROUND((INDEX($E558:$G558,T$5)-SUMIFS(TF_Timer,TF_Tekniker,T$4,TF_Dato,$A558))*2,0)/2)))</f>
        <v/>
      </c>
      <c r="U558">
        <f>IF(OR(U$4="",$A558&gt;TODAY()),0,IF(OR(INDEX($B558:$D558,U$5)="F",AND(U$6&gt;0,$A558&lt;U$6),AND(U$7&gt;0,$A558&gt;U$7)),0,MAX(0,ROUND((INDEX($E558:$G558,U$5)-SUMIFS(TF_Timer,TF_Tekniker,U$4,TF_Dato,$A558))*2,0)/2)))</f>
        <v/>
      </c>
      <c r="V558">
        <f>IF(OR(V$4="",$A558&gt;TODAY()),0,IF(OR(INDEX($B558:$D558,V$5)="F",AND(V$6&gt;0,$A558&lt;V$6),AND(V$7&gt;0,$A558&gt;V$7)),0,MAX(0,ROUND((INDEX($E558:$G558,V$5)-SUMIFS(TF_Timer,TF_Tekniker,V$4,TF_Dato,$A558))*2,0)/2)))</f>
        <v/>
      </c>
      <c r="W558">
        <f>IF(OR(W$4="",$A558&gt;TODAY()),0,IF(OR(INDEX($B558:$D558,W$5)="F",AND(W$6&gt;0,$A558&lt;W$6),AND(W$7&gt;0,$A558&gt;W$7)),0,MAX(0,ROUND((INDEX($E558:$G558,W$5)-SUMIFS(TF_Timer,TF_Tekniker,W$4,TF_Dato,$A558))*2,0)/2)))</f>
        <v/>
      </c>
      <c r="X558">
        <f>IF(OR(X$4="",$A558&gt;TODAY()),0,IF(OR(INDEX($B558:$D558,X$5)="F",AND(X$6&gt;0,$A558&lt;X$6),AND(X$7&gt;0,$A558&gt;X$7)),0,MAX(0,ROUND((INDEX($E558:$G558,X$5)-SUMIFS(TF_Timer,TF_Tekniker,X$4,TF_Dato,$A558))*2,0)/2)))</f>
        <v/>
      </c>
      <c r="Y558">
        <f>IF(OR(Y$4="",$A558&gt;TODAY()),0,IF(OR(INDEX($B558:$D558,Y$5)="F",AND(Y$6&gt;0,$A558&lt;Y$6),AND(Y$7&gt;0,$A558&gt;Y$7)),0,MAX(0,ROUND((INDEX($E558:$G558,Y$5)-SUMIFS(TF_Timer,TF_Tekniker,Y$4,TF_Dato,$A558))*2,0)/2)))</f>
        <v/>
      </c>
      <c r="Z558">
        <f>IF(OR(Z$4="",$A558&gt;TODAY()),0,IF(OR(INDEX($B558:$D558,Z$5)="F",AND(Z$6&gt;0,$A558&lt;Z$6),AND(Z$7&gt;0,$A558&gt;Z$7)),0,MAX(0,ROUND((INDEX($E558:$G558,Z$5)-SUMIFS(TF_Timer,TF_Tekniker,Z$4,TF_Dato,$A558))*2,0)/2)))</f>
        <v/>
      </c>
      <c r="AA558">
        <f>IF(OR(AA$4="",$A558&gt;TODAY()),0,IF(OR(INDEX($B558:$D558,AA$5)="F",AND(AA$6&gt;0,$A558&lt;AA$6),AND(AA$7&gt;0,$A558&gt;AA$7)),0,MAX(0,ROUND((INDEX($E558:$G558,AA$5)-SUMIFS(TF_Timer,TF_Tekniker,AA$4,TF_Dato,$A558))*2,0)/2)))</f>
        <v/>
      </c>
      <c r="AB558">
        <f>IF(OR(AB$4="",$A558&gt;TODAY()),0,IF(OR(INDEX($B558:$D558,AB$5)="F",AND(AB$6&gt;0,$A558&lt;AB$6),AND(AB$7&gt;0,$A558&gt;AB$7)),0,MAX(0,ROUND((INDEX($E558:$G558,AB$5)-SUMIFS(TF_Timer,TF_Tekniker,AB$4,TF_Dato,$A558))*2,0)/2)))</f>
        <v/>
      </c>
      <c r="AC558">
        <f>IF(OR(AC$4="",$A558&gt;TODAY()),0,IF(OR(INDEX($B558:$D558,AC$5)="F",AND(AC$6&gt;0,$A558&lt;AC$6),AND(AC$7&gt;0,$A558&gt;AC$7)),0,MAX(0,ROUND((INDEX($E558:$G558,AC$5)-SUMIFS(TF_Timer,TF_Tekniker,AC$4,TF_Dato,$A558))*2,0)/2)))</f>
        <v/>
      </c>
      <c r="AD558">
        <f>IF(OR(AD$4="",$A558&gt;TODAY()),0,IF(OR(INDEX($B558:$D558,AD$5)="F",AND(AD$6&gt;0,$A558&lt;AD$6),AND(AD$7&gt;0,$A558&gt;AD$7)),0,MAX(0,ROUND((INDEX($E558:$G558,AD$5)-SUMIFS(TF_Timer,TF_Tekniker,AD$4,TF_Dato,$A558))*2,0)/2)))</f>
        <v/>
      </c>
      <c r="AE558">
        <f>IF(OR(AE$4="",$A558&gt;TODAY()),0,IF(OR(INDEX($B558:$D558,AE$5)="F",AND(AE$6&gt;0,$A558&lt;AE$6),AND(AE$7&gt;0,$A558&gt;AE$7)),0,MAX(0,ROUND((INDEX($E558:$G558,AE$5)-SUMIFS(TF_Timer,TF_Tekniker,AE$4,TF_Dato,$A558))*2,0)/2)))</f>
        <v/>
      </c>
      <c r="AF558">
        <f>IF(OR(AF$4="",$A558&gt;TODAY()),0,IF(OR(INDEX($B558:$D558,AF$5)="F",AND(AF$6&gt;0,$A558&lt;AF$6),AND(AF$7&gt;0,$A558&gt;AF$7)),0,MAX(0,ROUND((INDEX($E558:$G558,AF$5)-SUMIFS(TF_Timer,TF_Tekniker,AF$4,TF_Dato,$A558))*2,0)/2)))</f>
        <v/>
      </c>
      <c r="AG558">
        <f>IF(OR(AG$4="",$A558&gt;TODAY()),0,IF(OR(INDEX($B558:$D558,AG$5)="F",AND(AG$6&gt;0,$A558&lt;AG$6),AND(AG$7&gt;0,$A558&gt;AG$7)),0,MAX(0,ROUND((INDEX($E558:$G558,AG$5)-SUMIFS(TF_Timer,TF_Tekniker,AG$4,TF_Dato,$A558))*2,0)/2)))</f>
        <v/>
      </c>
      <c r="AH558">
        <f>IF(OR(AH$4="",$A558&gt;TODAY()),0,IF(OR(INDEX($B558:$D558,AH$5)="F",AND(AH$6&gt;0,$A558&lt;AH$6),AND(AH$7&gt;0,$A558&gt;AH$7)),0,MAX(0,ROUND((INDEX($E558:$G558,AH$5)-SUMIFS(TF_Timer,TF_Tekniker,AH$4,TF_Dato,$A558))*2,0)/2)))</f>
        <v/>
      </c>
      <c r="AI558">
        <f>IF(OR(AI$4="",$A558&gt;TODAY()),0,IF(OR(INDEX($B558:$D558,AI$5)="F",AND(AI$6&gt;0,$A558&lt;AI$6),AND(AI$7&gt;0,$A558&gt;AI$7)),0,MAX(0,ROUND((INDEX($E558:$G558,AI$5)-SUMIFS(TF_Timer,TF_Tekniker,AI$4,TF_Dato,$A558))*2,0)/2)))</f>
        <v/>
      </c>
      <c r="AJ558">
        <f>IF(OR(AJ$4="",$A558&gt;TODAY()),0,IF(OR(INDEX($B558:$D558,AJ$5)="F",AND(AJ$6&gt;0,$A558&lt;AJ$6),AND(AJ$7&gt;0,$A558&gt;AJ$7)),0,MAX(0,ROUND((INDEX($E558:$G558,AJ$5)-SUMIFS(TF_Timer,TF_Tekniker,AJ$4,TF_Dato,$A558))*2,0)/2)))</f>
        <v/>
      </c>
      <c r="AK558">
        <f>IF(OR(AK$4="",$A558&gt;TODAY()),0,IF(OR(INDEX($B558:$D558,AK$5)="F",AND(AK$6&gt;0,$A558&lt;AK$6),AND(AK$7&gt;0,$A558&gt;AK$7)),0,MAX(0,ROUND((INDEX($E558:$G558,AK$5)-SUMIFS(TF_Timer,TF_Tekniker,AK$4,TF_Dato,$A558))*2,0)/2)))</f>
        <v/>
      </c>
      <c r="AL558">
        <f>IF(OR(AL$4="",$A558&gt;TODAY()),0,IF(OR(INDEX($B558:$D558,AL$5)="F",AND(AL$6&gt;0,$A558&lt;AL$6),AND(AL$7&gt;0,$A558&gt;AL$7)),0,MAX(0,ROUND((INDEX($E558:$G558,AL$5)-SUMIFS(TF_Timer,TF_Tekniker,AL$4,TF_Dato,$A558))*2,0)/2)))</f>
        <v/>
      </c>
      <c r="AM558">
        <f>IF(OR(AM$4="",$A558&gt;TODAY()),0,IF(OR(INDEX($B558:$D558,AM$5)="F",AND(AM$6&gt;0,$A558&lt;AM$6),AND(AM$7&gt;0,$A558&gt;AM$7)),0,MAX(0,ROUND((INDEX($E558:$G558,AM$5)-SUMIFS(TF_Timer,TF_Tekniker,AM$4,TF_Dato,$A558))*2,0)/2)))</f>
        <v/>
      </c>
      <c r="AN558">
        <f>IF(OR(AN$4="",$A558&gt;TODAY()),0,IF(OR(INDEX($B558:$D558,AN$5)="F",AND(AN$6&gt;0,$A558&lt;AN$6),AND(AN$7&gt;0,$A558&gt;AN$7)),0,MAX(0,ROUND((INDEX($E558:$G558,AN$5)-SUMIFS(TF_Timer,TF_Tekniker,AN$4,TF_Dato,$A558))*2,0)/2)))</f>
        <v/>
      </c>
      <c r="AO558">
        <f>IF(OR(AO$4="",$A558&gt;TODAY()),0,IF(OR(INDEX($B558:$D558,AO$5)="F",AND(AO$6&gt;0,$A558&lt;AO$6),AND(AO$7&gt;0,$A558&gt;AO$7)),0,MAX(0,ROUND((INDEX($E558:$G558,AO$5)-SUMIFS(TF_Timer,TF_Tekniker,AO$4,TF_Dato,$A558))*2,0)/2)))</f>
        <v/>
      </c>
      <c r="AP558">
        <f>IF(OR(AP$4="",$A558&gt;TODAY()),0,IF(OR(INDEX($B558:$D558,AP$5)="F",AND(AP$6&gt;0,$A558&lt;AP$6),AND(AP$7&gt;0,$A558&gt;AP$7)),0,MAX(0,ROUND((INDEX($E558:$G558,AP$5)-SUMIFS(TF_Timer,TF_Tekniker,AP$4,TF_Dato,$A558))*2,0)/2)))</f>
        <v/>
      </c>
      <c r="AQ558">
        <f>IF(OR(AQ$4="",$A558&gt;TODAY()),0,IF(OR(INDEX($B558:$D558,AQ$5)="F",AND(AQ$6&gt;0,$A558&lt;AQ$6),AND(AQ$7&gt;0,$A558&gt;AQ$7)),0,MAX(0,ROUND((INDEX($E558:$G558,AQ$5)-SUMIFS(TF_Timer,TF_Tekniker,AQ$4,TF_Dato,$A558))*2,0)/2)))</f>
        <v/>
      </c>
      <c r="AR558">
        <f>IF(OR(AR$4="",$A558&gt;TODAY()),0,IF(OR(INDEX($B558:$D558,AR$5)="F",AND(AR$6&gt;0,$A558&lt;AR$6),AND(AR$7&gt;0,$A558&gt;AR$7)),0,MAX(0,ROUND((INDEX($E558:$G558,AR$5)-SUMIFS(TF_Timer,TF_Tekniker,AR$4,TF_Dato,$A558))*2,0)/2)))</f>
        <v/>
      </c>
      <c r="AS558">
        <f>IF(OR(AS$4="",$A558&gt;TODAY()),0,IF(OR(INDEX($B558:$D558,AS$5)="F",AND(AS$6&gt;0,$A558&lt;AS$6),AND(AS$7&gt;0,$A558&gt;AS$7)),0,MAX(0,ROUND((INDEX($E558:$G558,AS$5)-SUMIFS(TF_Timer,TF_Tekniker,AS$4,TF_Dato,$A558))*2,0)/2)))</f>
        <v/>
      </c>
      <c r="AT558">
        <f>IF(OR(AT$4="",$A558&gt;TODAY()),0,IF(OR(INDEX($B558:$D558,AT$5)="F",AND(AT$6&gt;0,$A558&lt;AT$6),AND(AT$7&gt;0,$A558&gt;AT$7)),0,MAX(0,ROUND((INDEX($E558:$G558,AT$5)-SUMIFS(TF_Timer,TF_Tekniker,AT$4,TF_Dato,$A558))*2,0)/2)))</f>
        <v/>
      </c>
      <c r="AU558">
        <f>IF(OR(AU$4="",$A558&gt;TODAY()),0,IF(OR(INDEX($B558:$D558,AU$5)="F",AND(AU$6&gt;0,$A558&lt;AU$6),AND(AU$7&gt;0,$A558&gt;AU$7)),0,MAX(0,ROUND((INDEX($E558:$G558,AU$5)-SUMIFS(TF_Timer,TF_Tekniker,AU$4,TF_Dato,$A558))*2,0)/2)))</f>
        <v/>
      </c>
      <c r="AV558">
        <f>IF(OR(AV$4="",$A558&gt;TODAY()),0,IF(OR(INDEX($B558:$D558,AV$5)="F",AND(AV$6&gt;0,$A558&lt;AV$6),AND(AV$7&gt;0,$A558&gt;AV$7)),0,MAX(0,ROUND((INDEX($E558:$G558,AV$5)-SUMIFS(TF_Timer,TF_Tekniker,AV$4,TF_Dato,$A558))*2,0)/2)))</f>
        <v/>
      </c>
      <c r="AW558">
        <f>IF(OR(AW$4="",$A558&gt;TODAY()),0,IF(OR(INDEX($B558:$D558,AW$5)="F",AND(AW$6&gt;0,$A558&lt;AW$6),AND(AW$7&gt;0,$A558&gt;AW$7)),0,MAX(0,ROUND((INDEX($E558:$G558,AW$5)-SUMIFS(TF_Timer,TF_Tekniker,AW$4,TF_Dato,$A558))*2,0)/2)))</f>
        <v/>
      </c>
      <c r="AX558">
        <f>IF(OR(AX$4="",$A558&gt;TODAY()),0,IF(OR(INDEX($B558:$D558,AX$5)="F",AND(AX$6&gt;0,$A558&lt;AX$6),AND(AX$7&gt;0,$A558&gt;AX$7)),0,MAX(0,ROUND((INDEX($E558:$G558,AX$5)-SUMIFS(TF_Timer,TF_Tekniker,AX$4,TF_Dato,$A558))*2,0)/2)))</f>
        <v/>
      </c>
      <c r="AY558">
        <f>IF(OR(AY$4="",$A558&gt;TODAY()),0,IF(OR(INDEX($B558:$D558,AY$5)="F",AND(AY$6&gt;0,$A558&lt;AY$6),AND(AY$7&gt;0,$A558&gt;AY$7)),0,MAX(0,ROUND((INDEX($E558:$G558,AY$5)-SUMIFS(TF_Timer,TF_Tekniker,AY$4,TF_Dato,$A558))*2,0)/2)))</f>
        <v/>
      </c>
      <c r="AZ558">
        <f>IF(OR(AZ$4="",$A558&gt;TODAY()),0,IF(OR(INDEX($B558:$D558,AZ$5)="F",AND(AZ$6&gt;0,$A558&lt;AZ$6),AND(AZ$7&gt;0,$A558&gt;AZ$7)),0,MAX(0,ROUND((INDEX($E558:$G558,AZ$5)-SUMIFS(TF_Timer,TF_Tekniker,AZ$4,TF_Dato,$A558))*2,0)/2)))</f>
        <v/>
      </c>
      <c r="BA558">
        <f>IF(OR(BA$4="",$A558&gt;TODAY()),0,IF(OR(INDEX($B558:$D558,BA$5)="F",AND(BA$6&gt;0,$A558&lt;BA$6),AND(BA$7&gt;0,$A558&gt;BA$7)),0,MAX(0,ROUND((INDEX($E558:$G558,BA$5)-SUMIFS(TF_Timer,TF_Tekniker,BA$4,TF_Dato,$A558))*2,0)/2)))</f>
        <v/>
      </c>
      <c r="BB558">
        <f>IF(OR(BB$4="",$A558&gt;TODAY()),0,IF(OR(INDEX($B558:$D558,BB$5)="F",AND(BB$6&gt;0,$A558&lt;BB$6),AND(BB$7&gt;0,$A558&gt;BB$7)),0,MAX(0,ROUND((INDEX($E558:$G558,BB$5)-SUMIFS(TF_Timer,TF_Tekniker,BB$4,TF_Dato,$A558))*2,0)/2)))</f>
        <v/>
      </c>
      <c r="BC558">
        <f>IF(OR(BC$4="",$A558&gt;TODAY()),0,IF(OR(INDEX($B558:$D558,BC$5)="F",AND(BC$6&gt;0,$A558&lt;BC$6),AND(BC$7&gt;0,$A558&gt;BC$7)),0,MAX(0,ROUND((INDEX($E558:$G558,BC$5)-SUMIFS(TF_Timer,TF_Tekniker,BC$4,TF_Dato,$A558))*2,0)/2)))</f>
        <v/>
      </c>
      <c r="BD558">
        <f>IF(OR(BD$4="",$A558&gt;TODAY()),0,IF(OR(INDEX($B558:$D558,BD$5)="F",AND(BD$6&gt;0,$A558&lt;BD$6),AND(BD$7&gt;0,$A558&gt;BD$7)),0,MAX(0,ROUND((INDEX($E558:$G558,BD$5)-SUMIFS(TF_Timer,TF_Tekniker,BD$4,TF_Dato,$A558))*2,0)/2)))</f>
        <v/>
      </c>
      <c r="BE558">
        <f>IF(OR(BE$4="",$A558&gt;TODAY()),0,IF(OR(INDEX($B558:$D558,BE$5)="F",AND(BE$6&gt;0,$A558&lt;BE$6),AND(BE$7&gt;0,$A558&gt;BE$7)),0,MAX(0,ROUND((INDEX($E558:$G558,BE$5)-SUMIFS(TF_Timer,TF_Tekniker,BE$4,TF_Dato,$A558))*2,0)/2)))</f>
        <v/>
      </c>
      <c r="BF558">
        <f>IF(OR(BF$4="",$A558&gt;TODAY()),0,IF(OR(INDEX($B558:$D558,BF$5)="F",AND(BF$6&gt;0,$A558&lt;BF$6),AND(BF$7&gt;0,$A558&gt;BF$7)),0,MAX(0,ROUND((INDEX($E558:$G558,BF$5)-SUMIFS(TF_Timer,TF_Tekniker,BF$4,TF_Dato,$A558))*2,0)/2)))</f>
        <v/>
      </c>
      <c r="BG558">
        <f>IF(OR(BG$4="",$A558&gt;TODAY()),0,IF(OR(INDEX($B558:$D558,BG$5)="F",AND(BG$6&gt;0,$A558&lt;BG$6),AND(BG$7&gt;0,$A558&gt;BG$7)),0,MAX(0,ROUND((INDEX($E558:$G558,BG$5)-SUMIFS(TF_Timer,TF_Tekniker,BG$4,TF_Dato,$A558))*2,0)/2)))</f>
        <v/>
      </c>
      <c r="BH558">
        <f>IF(OR(BH$4="",$A558&gt;TODAY()),0,IF(OR(INDEX($B558:$D558,BH$5)="F",AND(BH$6&gt;0,$A558&lt;BH$6),AND(BH$7&gt;0,$A558&gt;BH$7)),0,MAX(0,ROUND((INDEX($E558:$G558,BH$5)-SUMIFS(TF_Timer,TF_Tekniker,BH$4,TF_Dato,$A558))*2,0)/2)))</f>
        <v/>
      </c>
      <c r="BI558">
        <f>IF(OR(BI$4="",$A558&gt;TODAY()),0,IF(OR(INDEX($B558:$D558,BI$5)="F",AND(BI$6&gt;0,$A558&lt;BI$6),AND(BI$7&gt;0,$A558&gt;BI$7)),0,MAX(0,ROUND((INDEX($E558:$G558,BI$5)-SUMIFS(TF_Timer,TF_Tekniker,BI$4,TF_Dato,$A558))*2,0)/2)))</f>
        <v/>
      </c>
    </row>
    <row r="559">
      <c r="A559" s="64">
        <f>A558+1</f>
        <v/>
      </c>
      <c r="B559">
        <f>IF(MOD($A559-INDEX(SkiftStart,1),Syklus)&lt;DagK,"K",IF(MOD($A559-INDEX(SkiftStart,1),Syklus)&lt;DagK+DagH,"H",IF(MOD($A559-INDEX(SkiftStart,1),Syklus)&lt;DagK+DagH+DagD,"D","F")))</f>
        <v/>
      </c>
      <c r="C559">
        <f>IF(MOD($A559-INDEX(SkiftStart,2),Syklus)&lt;DagK,"K",IF(MOD($A559-INDEX(SkiftStart,2),Syklus)&lt;DagK+DagH,"H",IF(MOD($A559-INDEX(SkiftStart,2),Syklus)&lt;DagK+DagH+DagD,"D","F")))</f>
        <v/>
      </c>
      <c r="D559">
        <f>IF(MOD($A559-INDEX(SkiftStart,3),Syklus)&lt;DagK,"K",IF(MOD($A559-INDEX(SkiftStart,3),Syklus)&lt;DagK+DagH,"H",IF(MOD($A559-INDEX(SkiftStart,3),Syklus)&lt;DagK+DagH+DagD,"D","F")))</f>
        <v/>
      </c>
      <c r="E559">
        <f>IF(B559="F",0,IF(WEEKDAY($A559,2)=5,INDEX(TimerFr,MATCH(B559,FaseKode,0)),INDEX(TimerMT,MATCH(B559,FaseKode,0))))</f>
        <v/>
      </c>
      <c r="F559">
        <f>IF(C559="F",0,IF(WEEKDAY($A559,2)=5,INDEX(TimerFr,MATCH(C559,FaseKode,0)),INDEX(TimerMT,MATCH(C559,FaseKode,0))))</f>
        <v/>
      </c>
      <c r="G559">
        <f>IF(D559="F",0,IF(WEEKDAY($A559,2)=5,INDEX(TimerFr,MATCH(D559,FaseKode,0)),INDEX(TimerMT,MATCH(D559,FaseKode,0))))</f>
        <v/>
      </c>
      <c r="H559">
        <f>IF(OR(H$4="",$A559&gt;TODAY()),0,IF(OR(INDEX($B559:$D559,H$5)="F",AND(H$6&gt;0,$A559&lt;H$6),AND(H$7&gt;0,$A559&gt;H$7)),0,MAX(0,ROUND((INDEX($E559:$G559,H$5)-SUMIFS(TF_Timer,TF_Tekniker,H$4,TF_Dato,$A559))*2,0)/2)))</f>
        <v/>
      </c>
      <c r="I559">
        <f>IF(OR(I$4="",$A559&gt;TODAY()),0,IF(OR(INDEX($B559:$D559,I$5)="F",AND(I$6&gt;0,$A559&lt;I$6),AND(I$7&gt;0,$A559&gt;I$7)),0,MAX(0,ROUND((INDEX($E559:$G559,I$5)-SUMIFS(TF_Timer,TF_Tekniker,I$4,TF_Dato,$A559))*2,0)/2)))</f>
        <v/>
      </c>
      <c r="J559">
        <f>IF(OR(J$4="",$A559&gt;TODAY()),0,IF(OR(INDEX($B559:$D559,J$5)="F",AND(J$6&gt;0,$A559&lt;J$6),AND(J$7&gt;0,$A559&gt;J$7)),0,MAX(0,ROUND((INDEX($E559:$G559,J$5)-SUMIFS(TF_Timer,TF_Tekniker,J$4,TF_Dato,$A559))*2,0)/2)))</f>
        <v/>
      </c>
      <c r="K559">
        <f>IF(OR(K$4="",$A559&gt;TODAY()),0,IF(OR(INDEX($B559:$D559,K$5)="F",AND(K$6&gt;0,$A559&lt;K$6),AND(K$7&gt;0,$A559&gt;K$7)),0,MAX(0,ROUND((INDEX($E559:$G559,K$5)-SUMIFS(TF_Timer,TF_Tekniker,K$4,TF_Dato,$A559))*2,0)/2)))</f>
        <v/>
      </c>
      <c r="L559">
        <f>IF(OR(L$4="",$A559&gt;TODAY()),0,IF(OR(INDEX($B559:$D559,L$5)="F",AND(L$6&gt;0,$A559&lt;L$6),AND(L$7&gt;0,$A559&gt;L$7)),0,MAX(0,ROUND((INDEX($E559:$G559,L$5)-SUMIFS(TF_Timer,TF_Tekniker,L$4,TF_Dato,$A559))*2,0)/2)))</f>
        <v/>
      </c>
      <c r="M559">
        <f>IF(OR(M$4="",$A559&gt;TODAY()),0,IF(OR(INDEX($B559:$D559,M$5)="F",AND(M$6&gt;0,$A559&lt;M$6),AND(M$7&gt;0,$A559&gt;M$7)),0,MAX(0,ROUND((INDEX($E559:$G559,M$5)-SUMIFS(TF_Timer,TF_Tekniker,M$4,TF_Dato,$A559))*2,0)/2)))</f>
        <v/>
      </c>
      <c r="N559">
        <f>IF(OR(N$4="",$A559&gt;TODAY()),0,IF(OR(INDEX($B559:$D559,N$5)="F",AND(N$6&gt;0,$A559&lt;N$6),AND(N$7&gt;0,$A559&gt;N$7)),0,MAX(0,ROUND((INDEX($E559:$G559,N$5)-SUMIFS(TF_Timer,TF_Tekniker,N$4,TF_Dato,$A559))*2,0)/2)))</f>
        <v/>
      </c>
      <c r="O559">
        <f>IF(OR(O$4="",$A559&gt;TODAY()),0,IF(OR(INDEX($B559:$D559,O$5)="F",AND(O$6&gt;0,$A559&lt;O$6),AND(O$7&gt;0,$A559&gt;O$7)),0,MAX(0,ROUND((INDEX($E559:$G559,O$5)-SUMIFS(TF_Timer,TF_Tekniker,O$4,TF_Dato,$A559))*2,0)/2)))</f>
        <v/>
      </c>
      <c r="P559">
        <f>IF(OR(P$4="",$A559&gt;TODAY()),0,IF(OR(INDEX($B559:$D559,P$5)="F",AND(P$6&gt;0,$A559&lt;P$6),AND(P$7&gt;0,$A559&gt;P$7)),0,MAX(0,ROUND((INDEX($E559:$G559,P$5)-SUMIFS(TF_Timer,TF_Tekniker,P$4,TF_Dato,$A559))*2,0)/2)))</f>
        <v/>
      </c>
      <c r="Q559">
        <f>IF(OR(Q$4="",$A559&gt;TODAY()),0,IF(OR(INDEX($B559:$D559,Q$5)="F",AND(Q$6&gt;0,$A559&lt;Q$6),AND(Q$7&gt;0,$A559&gt;Q$7)),0,MAX(0,ROUND((INDEX($E559:$G559,Q$5)-SUMIFS(TF_Timer,TF_Tekniker,Q$4,TF_Dato,$A559))*2,0)/2)))</f>
        <v/>
      </c>
      <c r="R559">
        <f>IF(OR(R$4="",$A559&gt;TODAY()),0,IF(OR(INDEX($B559:$D559,R$5)="F",AND(R$6&gt;0,$A559&lt;R$6),AND(R$7&gt;0,$A559&gt;R$7)),0,MAX(0,ROUND((INDEX($E559:$G559,R$5)-SUMIFS(TF_Timer,TF_Tekniker,R$4,TF_Dato,$A559))*2,0)/2)))</f>
        <v/>
      </c>
      <c r="S559">
        <f>IF(OR(S$4="",$A559&gt;TODAY()),0,IF(OR(INDEX($B559:$D559,S$5)="F",AND(S$6&gt;0,$A559&lt;S$6),AND(S$7&gt;0,$A559&gt;S$7)),0,MAX(0,ROUND((INDEX($E559:$G559,S$5)-SUMIFS(TF_Timer,TF_Tekniker,S$4,TF_Dato,$A559))*2,0)/2)))</f>
        <v/>
      </c>
      <c r="T559">
        <f>IF(OR(T$4="",$A559&gt;TODAY()),0,IF(OR(INDEX($B559:$D559,T$5)="F",AND(T$6&gt;0,$A559&lt;T$6),AND(T$7&gt;0,$A559&gt;T$7)),0,MAX(0,ROUND((INDEX($E559:$G559,T$5)-SUMIFS(TF_Timer,TF_Tekniker,T$4,TF_Dato,$A559))*2,0)/2)))</f>
        <v/>
      </c>
      <c r="U559">
        <f>IF(OR(U$4="",$A559&gt;TODAY()),0,IF(OR(INDEX($B559:$D559,U$5)="F",AND(U$6&gt;0,$A559&lt;U$6),AND(U$7&gt;0,$A559&gt;U$7)),0,MAX(0,ROUND((INDEX($E559:$G559,U$5)-SUMIFS(TF_Timer,TF_Tekniker,U$4,TF_Dato,$A559))*2,0)/2)))</f>
        <v/>
      </c>
      <c r="V559">
        <f>IF(OR(V$4="",$A559&gt;TODAY()),0,IF(OR(INDEX($B559:$D559,V$5)="F",AND(V$6&gt;0,$A559&lt;V$6),AND(V$7&gt;0,$A559&gt;V$7)),0,MAX(0,ROUND((INDEX($E559:$G559,V$5)-SUMIFS(TF_Timer,TF_Tekniker,V$4,TF_Dato,$A559))*2,0)/2)))</f>
        <v/>
      </c>
      <c r="W559">
        <f>IF(OR(W$4="",$A559&gt;TODAY()),0,IF(OR(INDEX($B559:$D559,W$5)="F",AND(W$6&gt;0,$A559&lt;W$6),AND(W$7&gt;0,$A559&gt;W$7)),0,MAX(0,ROUND((INDEX($E559:$G559,W$5)-SUMIFS(TF_Timer,TF_Tekniker,W$4,TF_Dato,$A559))*2,0)/2)))</f>
        <v/>
      </c>
      <c r="X559">
        <f>IF(OR(X$4="",$A559&gt;TODAY()),0,IF(OR(INDEX($B559:$D559,X$5)="F",AND(X$6&gt;0,$A559&lt;X$6),AND(X$7&gt;0,$A559&gt;X$7)),0,MAX(0,ROUND((INDEX($E559:$G559,X$5)-SUMIFS(TF_Timer,TF_Tekniker,X$4,TF_Dato,$A559))*2,0)/2)))</f>
        <v/>
      </c>
      <c r="Y559">
        <f>IF(OR(Y$4="",$A559&gt;TODAY()),0,IF(OR(INDEX($B559:$D559,Y$5)="F",AND(Y$6&gt;0,$A559&lt;Y$6),AND(Y$7&gt;0,$A559&gt;Y$7)),0,MAX(0,ROUND((INDEX($E559:$G559,Y$5)-SUMIFS(TF_Timer,TF_Tekniker,Y$4,TF_Dato,$A559))*2,0)/2)))</f>
        <v/>
      </c>
      <c r="Z559">
        <f>IF(OR(Z$4="",$A559&gt;TODAY()),0,IF(OR(INDEX($B559:$D559,Z$5)="F",AND(Z$6&gt;0,$A559&lt;Z$6),AND(Z$7&gt;0,$A559&gt;Z$7)),0,MAX(0,ROUND((INDEX($E559:$G559,Z$5)-SUMIFS(TF_Timer,TF_Tekniker,Z$4,TF_Dato,$A559))*2,0)/2)))</f>
        <v/>
      </c>
      <c r="AA559">
        <f>IF(OR(AA$4="",$A559&gt;TODAY()),0,IF(OR(INDEX($B559:$D559,AA$5)="F",AND(AA$6&gt;0,$A559&lt;AA$6),AND(AA$7&gt;0,$A559&gt;AA$7)),0,MAX(0,ROUND((INDEX($E559:$G559,AA$5)-SUMIFS(TF_Timer,TF_Tekniker,AA$4,TF_Dato,$A559))*2,0)/2)))</f>
        <v/>
      </c>
      <c r="AB559">
        <f>IF(OR(AB$4="",$A559&gt;TODAY()),0,IF(OR(INDEX($B559:$D559,AB$5)="F",AND(AB$6&gt;0,$A559&lt;AB$6),AND(AB$7&gt;0,$A559&gt;AB$7)),0,MAX(0,ROUND((INDEX($E559:$G559,AB$5)-SUMIFS(TF_Timer,TF_Tekniker,AB$4,TF_Dato,$A559))*2,0)/2)))</f>
        <v/>
      </c>
      <c r="AC559">
        <f>IF(OR(AC$4="",$A559&gt;TODAY()),0,IF(OR(INDEX($B559:$D559,AC$5)="F",AND(AC$6&gt;0,$A559&lt;AC$6),AND(AC$7&gt;0,$A559&gt;AC$7)),0,MAX(0,ROUND((INDEX($E559:$G559,AC$5)-SUMIFS(TF_Timer,TF_Tekniker,AC$4,TF_Dato,$A559))*2,0)/2)))</f>
        <v/>
      </c>
      <c r="AD559">
        <f>IF(OR(AD$4="",$A559&gt;TODAY()),0,IF(OR(INDEX($B559:$D559,AD$5)="F",AND(AD$6&gt;0,$A559&lt;AD$6),AND(AD$7&gt;0,$A559&gt;AD$7)),0,MAX(0,ROUND((INDEX($E559:$G559,AD$5)-SUMIFS(TF_Timer,TF_Tekniker,AD$4,TF_Dato,$A559))*2,0)/2)))</f>
        <v/>
      </c>
      <c r="AE559">
        <f>IF(OR(AE$4="",$A559&gt;TODAY()),0,IF(OR(INDEX($B559:$D559,AE$5)="F",AND(AE$6&gt;0,$A559&lt;AE$6),AND(AE$7&gt;0,$A559&gt;AE$7)),0,MAX(0,ROUND((INDEX($E559:$G559,AE$5)-SUMIFS(TF_Timer,TF_Tekniker,AE$4,TF_Dato,$A559))*2,0)/2)))</f>
        <v/>
      </c>
      <c r="AF559">
        <f>IF(OR(AF$4="",$A559&gt;TODAY()),0,IF(OR(INDEX($B559:$D559,AF$5)="F",AND(AF$6&gt;0,$A559&lt;AF$6),AND(AF$7&gt;0,$A559&gt;AF$7)),0,MAX(0,ROUND((INDEX($E559:$G559,AF$5)-SUMIFS(TF_Timer,TF_Tekniker,AF$4,TF_Dato,$A559))*2,0)/2)))</f>
        <v/>
      </c>
      <c r="AG559">
        <f>IF(OR(AG$4="",$A559&gt;TODAY()),0,IF(OR(INDEX($B559:$D559,AG$5)="F",AND(AG$6&gt;0,$A559&lt;AG$6),AND(AG$7&gt;0,$A559&gt;AG$7)),0,MAX(0,ROUND((INDEX($E559:$G559,AG$5)-SUMIFS(TF_Timer,TF_Tekniker,AG$4,TF_Dato,$A559))*2,0)/2)))</f>
        <v/>
      </c>
      <c r="AH559">
        <f>IF(OR(AH$4="",$A559&gt;TODAY()),0,IF(OR(INDEX($B559:$D559,AH$5)="F",AND(AH$6&gt;0,$A559&lt;AH$6),AND(AH$7&gt;0,$A559&gt;AH$7)),0,MAX(0,ROUND((INDEX($E559:$G559,AH$5)-SUMIFS(TF_Timer,TF_Tekniker,AH$4,TF_Dato,$A559))*2,0)/2)))</f>
        <v/>
      </c>
      <c r="AI559">
        <f>IF(OR(AI$4="",$A559&gt;TODAY()),0,IF(OR(INDEX($B559:$D559,AI$5)="F",AND(AI$6&gt;0,$A559&lt;AI$6),AND(AI$7&gt;0,$A559&gt;AI$7)),0,MAX(0,ROUND((INDEX($E559:$G559,AI$5)-SUMIFS(TF_Timer,TF_Tekniker,AI$4,TF_Dato,$A559))*2,0)/2)))</f>
        <v/>
      </c>
      <c r="AJ559">
        <f>IF(OR(AJ$4="",$A559&gt;TODAY()),0,IF(OR(INDEX($B559:$D559,AJ$5)="F",AND(AJ$6&gt;0,$A559&lt;AJ$6),AND(AJ$7&gt;0,$A559&gt;AJ$7)),0,MAX(0,ROUND((INDEX($E559:$G559,AJ$5)-SUMIFS(TF_Timer,TF_Tekniker,AJ$4,TF_Dato,$A559))*2,0)/2)))</f>
        <v/>
      </c>
      <c r="AK559">
        <f>IF(OR(AK$4="",$A559&gt;TODAY()),0,IF(OR(INDEX($B559:$D559,AK$5)="F",AND(AK$6&gt;0,$A559&lt;AK$6),AND(AK$7&gt;0,$A559&gt;AK$7)),0,MAX(0,ROUND((INDEX($E559:$G559,AK$5)-SUMIFS(TF_Timer,TF_Tekniker,AK$4,TF_Dato,$A559))*2,0)/2)))</f>
        <v/>
      </c>
      <c r="AL559">
        <f>IF(OR(AL$4="",$A559&gt;TODAY()),0,IF(OR(INDEX($B559:$D559,AL$5)="F",AND(AL$6&gt;0,$A559&lt;AL$6),AND(AL$7&gt;0,$A559&gt;AL$7)),0,MAX(0,ROUND((INDEX($E559:$G559,AL$5)-SUMIFS(TF_Timer,TF_Tekniker,AL$4,TF_Dato,$A559))*2,0)/2)))</f>
        <v/>
      </c>
      <c r="AM559">
        <f>IF(OR(AM$4="",$A559&gt;TODAY()),0,IF(OR(INDEX($B559:$D559,AM$5)="F",AND(AM$6&gt;0,$A559&lt;AM$6),AND(AM$7&gt;0,$A559&gt;AM$7)),0,MAX(0,ROUND((INDEX($E559:$G559,AM$5)-SUMIFS(TF_Timer,TF_Tekniker,AM$4,TF_Dato,$A559))*2,0)/2)))</f>
        <v/>
      </c>
      <c r="AN559">
        <f>IF(OR(AN$4="",$A559&gt;TODAY()),0,IF(OR(INDEX($B559:$D559,AN$5)="F",AND(AN$6&gt;0,$A559&lt;AN$6),AND(AN$7&gt;0,$A559&gt;AN$7)),0,MAX(0,ROUND((INDEX($E559:$G559,AN$5)-SUMIFS(TF_Timer,TF_Tekniker,AN$4,TF_Dato,$A559))*2,0)/2)))</f>
        <v/>
      </c>
      <c r="AO559">
        <f>IF(OR(AO$4="",$A559&gt;TODAY()),0,IF(OR(INDEX($B559:$D559,AO$5)="F",AND(AO$6&gt;0,$A559&lt;AO$6),AND(AO$7&gt;0,$A559&gt;AO$7)),0,MAX(0,ROUND((INDEX($E559:$G559,AO$5)-SUMIFS(TF_Timer,TF_Tekniker,AO$4,TF_Dato,$A559))*2,0)/2)))</f>
        <v/>
      </c>
      <c r="AP559">
        <f>IF(OR(AP$4="",$A559&gt;TODAY()),0,IF(OR(INDEX($B559:$D559,AP$5)="F",AND(AP$6&gt;0,$A559&lt;AP$6),AND(AP$7&gt;0,$A559&gt;AP$7)),0,MAX(0,ROUND((INDEX($E559:$G559,AP$5)-SUMIFS(TF_Timer,TF_Tekniker,AP$4,TF_Dato,$A559))*2,0)/2)))</f>
        <v/>
      </c>
      <c r="AQ559">
        <f>IF(OR(AQ$4="",$A559&gt;TODAY()),0,IF(OR(INDEX($B559:$D559,AQ$5)="F",AND(AQ$6&gt;0,$A559&lt;AQ$6),AND(AQ$7&gt;0,$A559&gt;AQ$7)),0,MAX(0,ROUND((INDEX($E559:$G559,AQ$5)-SUMIFS(TF_Timer,TF_Tekniker,AQ$4,TF_Dato,$A559))*2,0)/2)))</f>
        <v/>
      </c>
      <c r="AR559">
        <f>IF(OR(AR$4="",$A559&gt;TODAY()),0,IF(OR(INDEX($B559:$D559,AR$5)="F",AND(AR$6&gt;0,$A559&lt;AR$6),AND(AR$7&gt;0,$A559&gt;AR$7)),0,MAX(0,ROUND((INDEX($E559:$G559,AR$5)-SUMIFS(TF_Timer,TF_Tekniker,AR$4,TF_Dato,$A559))*2,0)/2)))</f>
        <v/>
      </c>
      <c r="AS559">
        <f>IF(OR(AS$4="",$A559&gt;TODAY()),0,IF(OR(INDEX($B559:$D559,AS$5)="F",AND(AS$6&gt;0,$A559&lt;AS$6),AND(AS$7&gt;0,$A559&gt;AS$7)),0,MAX(0,ROUND((INDEX($E559:$G559,AS$5)-SUMIFS(TF_Timer,TF_Tekniker,AS$4,TF_Dato,$A559))*2,0)/2)))</f>
        <v/>
      </c>
      <c r="AT559">
        <f>IF(OR(AT$4="",$A559&gt;TODAY()),0,IF(OR(INDEX($B559:$D559,AT$5)="F",AND(AT$6&gt;0,$A559&lt;AT$6),AND(AT$7&gt;0,$A559&gt;AT$7)),0,MAX(0,ROUND((INDEX($E559:$G559,AT$5)-SUMIFS(TF_Timer,TF_Tekniker,AT$4,TF_Dato,$A559))*2,0)/2)))</f>
        <v/>
      </c>
      <c r="AU559">
        <f>IF(OR(AU$4="",$A559&gt;TODAY()),0,IF(OR(INDEX($B559:$D559,AU$5)="F",AND(AU$6&gt;0,$A559&lt;AU$6),AND(AU$7&gt;0,$A559&gt;AU$7)),0,MAX(0,ROUND((INDEX($E559:$G559,AU$5)-SUMIFS(TF_Timer,TF_Tekniker,AU$4,TF_Dato,$A559))*2,0)/2)))</f>
        <v/>
      </c>
      <c r="AV559">
        <f>IF(OR(AV$4="",$A559&gt;TODAY()),0,IF(OR(INDEX($B559:$D559,AV$5)="F",AND(AV$6&gt;0,$A559&lt;AV$6),AND(AV$7&gt;0,$A559&gt;AV$7)),0,MAX(0,ROUND((INDEX($E559:$G559,AV$5)-SUMIFS(TF_Timer,TF_Tekniker,AV$4,TF_Dato,$A559))*2,0)/2)))</f>
        <v/>
      </c>
      <c r="AW559">
        <f>IF(OR(AW$4="",$A559&gt;TODAY()),0,IF(OR(INDEX($B559:$D559,AW$5)="F",AND(AW$6&gt;0,$A559&lt;AW$6),AND(AW$7&gt;0,$A559&gt;AW$7)),0,MAX(0,ROUND((INDEX($E559:$G559,AW$5)-SUMIFS(TF_Timer,TF_Tekniker,AW$4,TF_Dato,$A559))*2,0)/2)))</f>
        <v/>
      </c>
      <c r="AX559">
        <f>IF(OR(AX$4="",$A559&gt;TODAY()),0,IF(OR(INDEX($B559:$D559,AX$5)="F",AND(AX$6&gt;0,$A559&lt;AX$6),AND(AX$7&gt;0,$A559&gt;AX$7)),0,MAX(0,ROUND((INDEX($E559:$G559,AX$5)-SUMIFS(TF_Timer,TF_Tekniker,AX$4,TF_Dato,$A559))*2,0)/2)))</f>
        <v/>
      </c>
      <c r="AY559">
        <f>IF(OR(AY$4="",$A559&gt;TODAY()),0,IF(OR(INDEX($B559:$D559,AY$5)="F",AND(AY$6&gt;0,$A559&lt;AY$6),AND(AY$7&gt;0,$A559&gt;AY$7)),0,MAX(0,ROUND((INDEX($E559:$G559,AY$5)-SUMIFS(TF_Timer,TF_Tekniker,AY$4,TF_Dato,$A559))*2,0)/2)))</f>
        <v/>
      </c>
      <c r="AZ559">
        <f>IF(OR(AZ$4="",$A559&gt;TODAY()),0,IF(OR(INDEX($B559:$D559,AZ$5)="F",AND(AZ$6&gt;0,$A559&lt;AZ$6),AND(AZ$7&gt;0,$A559&gt;AZ$7)),0,MAX(0,ROUND((INDEX($E559:$G559,AZ$5)-SUMIFS(TF_Timer,TF_Tekniker,AZ$4,TF_Dato,$A559))*2,0)/2)))</f>
        <v/>
      </c>
      <c r="BA559">
        <f>IF(OR(BA$4="",$A559&gt;TODAY()),0,IF(OR(INDEX($B559:$D559,BA$5)="F",AND(BA$6&gt;0,$A559&lt;BA$6),AND(BA$7&gt;0,$A559&gt;BA$7)),0,MAX(0,ROUND((INDEX($E559:$G559,BA$5)-SUMIFS(TF_Timer,TF_Tekniker,BA$4,TF_Dato,$A559))*2,0)/2)))</f>
        <v/>
      </c>
      <c r="BB559">
        <f>IF(OR(BB$4="",$A559&gt;TODAY()),0,IF(OR(INDEX($B559:$D559,BB$5)="F",AND(BB$6&gt;0,$A559&lt;BB$6),AND(BB$7&gt;0,$A559&gt;BB$7)),0,MAX(0,ROUND((INDEX($E559:$G559,BB$5)-SUMIFS(TF_Timer,TF_Tekniker,BB$4,TF_Dato,$A559))*2,0)/2)))</f>
        <v/>
      </c>
      <c r="BC559">
        <f>IF(OR(BC$4="",$A559&gt;TODAY()),0,IF(OR(INDEX($B559:$D559,BC$5)="F",AND(BC$6&gt;0,$A559&lt;BC$6),AND(BC$7&gt;0,$A559&gt;BC$7)),0,MAX(0,ROUND((INDEX($E559:$G559,BC$5)-SUMIFS(TF_Timer,TF_Tekniker,BC$4,TF_Dato,$A559))*2,0)/2)))</f>
        <v/>
      </c>
      <c r="BD559">
        <f>IF(OR(BD$4="",$A559&gt;TODAY()),0,IF(OR(INDEX($B559:$D559,BD$5)="F",AND(BD$6&gt;0,$A559&lt;BD$6),AND(BD$7&gt;0,$A559&gt;BD$7)),0,MAX(0,ROUND((INDEX($E559:$G559,BD$5)-SUMIFS(TF_Timer,TF_Tekniker,BD$4,TF_Dato,$A559))*2,0)/2)))</f>
        <v/>
      </c>
      <c r="BE559">
        <f>IF(OR(BE$4="",$A559&gt;TODAY()),0,IF(OR(INDEX($B559:$D559,BE$5)="F",AND(BE$6&gt;0,$A559&lt;BE$6),AND(BE$7&gt;0,$A559&gt;BE$7)),0,MAX(0,ROUND((INDEX($E559:$G559,BE$5)-SUMIFS(TF_Timer,TF_Tekniker,BE$4,TF_Dato,$A559))*2,0)/2)))</f>
        <v/>
      </c>
      <c r="BF559">
        <f>IF(OR(BF$4="",$A559&gt;TODAY()),0,IF(OR(INDEX($B559:$D559,BF$5)="F",AND(BF$6&gt;0,$A559&lt;BF$6),AND(BF$7&gt;0,$A559&gt;BF$7)),0,MAX(0,ROUND((INDEX($E559:$G559,BF$5)-SUMIFS(TF_Timer,TF_Tekniker,BF$4,TF_Dato,$A559))*2,0)/2)))</f>
        <v/>
      </c>
      <c r="BG559">
        <f>IF(OR(BG$4="",$A559&gt;TODAY()),0,IF(OR(INDEX($B559:$D559,BG$5)="F",AND(BG$6&gt;0,$A559&lt;BG$6),AND(BG$7&gt;0,$A559&gt;BG$7)),0,MAX(0,ROUND((INDEX($E559:$G559,BG$5)-SUMIFS(TF_Timer,TF_Tekniker,BG$4,TF_Dato,$A559))*2,0)/2)))</f>
        <v/>
      </c>
      <c r="BH559">
        <f>IF(OR(BH$4="",$A559&gt;TODAY()),0,IF(OR(INDEX($B559:$D559,BH$5)="F",AND(BH$6&gt;0,$A559&lt;BH$6),AND(BH$7&gt;0,$A559&gt;BH$7)),0,MAX(0,ROUND((INDEX($E559:$G559,BH$5)-SUMIFS(TF_Timer,TF_Tekniker,BH$4,TF_Dato,$A559))*2,0)/2)))</f>
        <v/>
      </c>
      <c r="BI559">
        <f>IF(OR(BI$4="",$A559&gt;TODAY()),0,IF(OR(INDEX($B559:$D559,BI$5)="F",AND(BI$6&gt;0,$A559&lt;BI$6),AND(BI$7&gt;0,$A559&gt;BI$7)),0,MAX(0,ROUND((INDEX($E559:$G559,BI$5)-SUMIFS(TF_Timer,TF_Tekniker,BI$4,TF_Dato,$A559))*2,0)/2)))</f>
        <v/>
      </c>
    </row>
    <row r="560">
      <c r="A560" s="64">
        <f>A559+1</f>
        <v/>
      </c>
      <c r="B560">
        <f>IF(MOD($A560-INDEX(SkiftStart,1),Syklus)&lt;DagK,"K",IF(MOD($A560-INDEX(SkiftStart,1),Syklus)&lt;DagK+DagH,"H",IF(MOD($A560-INDEX(SkiftStart,1),Syklus)&lt;DagK+DagH+DagD,"D","F")))</f>
        <v/>
      </c>
      <c r="C560">
        <f>IF(MOD($A560-INDEX(SkiftStart,2),Syklus)&lt;DagK,"K",IF(MOD($A560-INDEX(SkiftStart,2),Syklus)&lt;DagK+DagH,"H",IF(MOD($A560-INDEX(SkiftStart,2),Syklus)&lt;DagK+DagH+DagD,"D","F")))</f>
        <v/>
      </c>
      <c r="D560">
        <f>IF(MOD($A560-INDEX(SkiftStart,3),Syklus)&lt;DagK,"K",IF(MOD($A560-INDEX(SkiftStart,3),Syklus)&lt;DagK+DagH,"H",IF(MOD($A560-INDEX(SkiftStart,3),Syklus)&lt;DagK+DagH+DagD,"D","F")))</f>
        <v/>
      </c>
      <c r="E560">
        <f>IF(B560="F",0,IF(WEEKDAY($A560,2)=5,INDEX(TimerFr,MATCH(B560,FaseKode,0)),INDEX(TimerMT,MATCH(B560,FaseKode,0))))</f>
        <v/>
      </c>
      <c r="F560">
        <f>IF(C560="F",0,IF(WEEKDAY($A560,2)=5,INDEX(TimerFr,MATCH(C560,FaseKode,0)),INDEX(TimerMT,MATCH(C560,FaseKode,0))))</f>
        <v/>
      </c>
      <c r="G560">
        <f>IF(D560="F",0,IF(WEEKDAY($A560,2)=5,INDEX(TimerFr,MATCH(D560,FaseKode,0)),INDEX(TimerMT,MATCH(D560,FaseKode,0))))</f>
        <v/>
      </c>
      <c r="H560">
        <f>IF(OR(H$4="",$A560&gt;TODAY()),0,IF(OR(INDEX($B560:$D560,H$5)="F",AND(H$6&gt;0,$A560&lt;H$6),AND(H$7&gt;0,$A560&gt;H$7)),0,MAX(0,ROUND((INDEX($E560:$G560,H$5)-SUMIFS(TF_Timer,TF_Tekniker,H$4,TF_Dato,$A560))*2,0)/2)))</f>
        <v/>
      </c>
      <c r="I560">
        <f>IF(OR(I$4="",$A560&gt;TODAY()),0,IF(OR(INDEX($B560:$D560,I$5)="F",AND(I$6&gt;0,$A560&lt;I$6),AND(I$7&gt;0,$A560&gt;I$7)),0,MAX(0,ROUND((INDEX($E560:$G560,I$5)-SUMIFS(TF_Timer,TF_Tekniker,I$4,TF_Dato,$A560))*2,0)/2)))</f>
        <v/>
      </c>
      <c r="J560">
        <f>IF(OR(J$4="",$A560&gt;TODAY()),0,IF(OR(INDEX($B560:$D560,J$5)="F",AND(J$6&gt;0,$A560&lt;J$6),AND(J$7&gt;0,$A560&gt;J$7)),0,MAX(0,ROUND((INDEX($E560:$G560,J$5)-SUMIFS(TF_Timer,TF_Tekniker,J$4,TF_Dato,$A560))*2,0)/2)))</f>
        <v/>
      </c>
      <c r="K560">
        <f>IF(OR(K$4="",$A560&gt;TODAY()),0,IF(OR(INDEX($B560:$D560,K$5)="F",AND(K$6&gt;0,$A560&lt;K$6),AND(K$7&gt;0,$A560&gt;K$7)),0,MAX(0,ROUND((INDEX($E560:$G560,K$5)-SUMIFS(TF_Timer,TF_Tekniker,K$4,TF_Dato,$A560))*2,0)/2)))</f>
        <v/>
      </c>
      <c r="L560">
        <f>IF(OR(L$4="",$A560&gt;TODAY()),0,IF(OR(INDEX($B560:$D560,L$5)="F",AND(L$6&gt;0,$A560&lt;L$6),AND(L$7&gt;0,$A560&gt;L$7)),0,MAX(0,ROUND((INDEX($E560:$G560,L$5)-SUMIFS(TF_Timer,TF_Tekniker,L$4,TF_Dato,$A560))*2,0)/2)))</f>
        <v/>
      </c>
      <c r="M560">
        <f>IF(OR(M$4="",$A560&gt;TODAY()),0,IF(OR(INDEX($B560:$D560,M$5)="F",AND(M$6&gt;0,$A560&lt;M$6),AND(M$7&gt;0,$A560&gt;M$7)),0,MAX(0,ROUND((INDEX($E560:$G560,M$5)-SUMIFS(TF_Timer,TF_Tekniker,M$4,TF_Dato,$A560))*2,0)/2)))</f>
        <v/>
      </c>
      <c r="N560">
        <f>IF(OR(N$4="",$A560&gt;TODAY()),0,IF(OR(INDEX($B560:$D560,N$5)="F",AND(N$6&gt;0,$A560&lt;N$6),AND(N$7&gt;0,$A560&gt;N$7)),0,MAX(0,ROUND((INDEX($E560:$G560,N$5)-SUMIFS(TF_Timer,TF_Tekniker,N$4,TF_Dato,$A560))*2,0)/2)))</f>
        <v/>
      </c>
      <c r="O560">
        <f>IF(OR(O$4="",$A560&gt;TODAY()),0,IF(OR(INDEX($B560:$D560,O$5)="F",AND(O$6&gt;0,$A560&lt;O$6),AND(O$7&gt;0,$A560&gt;O$7)),0,MAX(0,ROUND((INDEX($E560:$G560,O$5)-SUMIFS(TF_Timer,TF_Tekniker,O$4,TF_Dato,$A560))*2,0)/2)))</f>
        <v/>
      </c>
      <c r="P560">
        <f>IF(OR(P$4="",$A560&gt;TODAY()),0,IF(OR(INDEX($B560:$D560,P$5)="F",AND(P$6&gt;0,$A560&lt;P$6),AND(P$7&gt;0,$A560&gt;P$7)),0,MAX(0,ROUND((INDEX($E560:$G560,P$5)-SUMIFS(TF_Timer,TF_Tekniker,P$4,TF_Dato,$A560))*2,0)/2)))</f>
        <v/>
      </c>
      <c r="Q560">
        <f>IF(OR(Q$4="",$A560&gt;TODAY()),0,IF(OR(INDEX($B560:$D560,Q$5)="F",AND(Q$6&gt;0,$A560&lt;Q$6),AND(Q$7&gt;0,$A560&gt;Q$7)),0,MAX(0,ROUND((INDEX($E560:$G560,Q$5)-SUMIFS(TF_Timer,TF_Tekniker,Q$4,TF_Dato,$A560))*2,0)/2)))</f>
        <v/>
      </c>
      <c r="R560">
        <f>IF(OR(R$4="",$A560&gt;TODAY()),0,IF(OR(INDEX($B560:$D560,R$5)="F",AND(R$6&gt;0,$A560&lt;R$6),AND(R$7&gt;0,$A560&gt;R$7)),0,MAX(0,ROUND((INDEX($E560:$G560,R$5)-SUMIFS(TF_Timer,TF_Tekniker,R$4,TF_Dato,$A560))*2,0)/2)))</f>
        <v/>
      </c>
      <c r="S560">
        <f>IF(OR(S$4="",$A560&gt;TODAY()),0,IF(OR(INDEX($B560:$D560,S$5)="F",AND(S$6&gt;0,$A560&lt;S$6),AND(S$7&gt;0,$A560&gt;S$7)),0,MAX(0,ROUND((INDEX($E560:$G560,S$5)-SUMIFS(TF_Timer,TF_Tekniker,S$4,TF_Dato,$A560))*2,0)/2)))</f>
        <v/>
      </c>
      <c r="T560">
        <f>IF(OR(T$4="",$A560&gt;TODAY()),0,IF(OR(INDEX($B560:$D560,T$5)="F",AND(T$6&gt;0,$A560&lt;T$6),AND(T$7&gt;0,$A560&gt;T$7)),0,MAX(0,ROUND((INDEX($E560:$G560,T$5)-SUMIFS(TF_Timer,TF_Tekniker,T$4,TF_Dato,$A560))*2,0)/2)))</f>
        <v/>
      </c>
      <c r="U560">
        <f>IF(OR(U$4="",$A560&gt;TODAY()),0,IF(OR(INDEX($B560:$D560,U$5)="F",AND(U$6&gt;0,$A560&lt;U$6),AND(U$7&gt;0,$A560&gt;U$7)),0,MAX(0,ROUND((INDEX($E560:$G560,U$5)-SUMIFS(TF_Timer,TF_Tekniker,U$4,TF_Dato,$A560))*2,0)/2)))</f>
        <v/>
      </c>
      <c r="V560">
        <f>IF(OR(V$4="",$A560&gt;TODAY()),0,IF(OR(INDEX($B560:$D560,V$5)="F",AND(V$6&gt;0,$A560&lt;V$6),AND(V$7&gt;0,$A560&gt;V$7)),0,MAX(0,ROUND((INDEX($E560:$G560,V$5)-SUMIFS(TF_Timer,TF_Tekniker,V$4,TF_Dato,$A560))*2,0)/2)))</f>
        <v/>
      </c>
      <c r="W560">
        <f>IF(OR(W$4="",$A560&gt;TODAY()),0,IF(OR(INDEX($B560:$D560,W$5)="F",AND(W$6&gt;0,$A560&lt;W$6),AND(W$7&gt;0,$A560&gt;W$7)),0,MAX(0,ROUND((INDEX($E560:$G560,W$5)-SUMIFS(TF_Timer,TF_Tekniker,W$4,TF_Dato,$A560))*2,0)/2)))</f>
        <v/>
      </c>
      <c r="X560">
        <f>IF(OR(X$4="",$A560&gt;TODAY()),0,IF(OR(INDEX($B560:$D560,X$5)="F",AND(X$6&gt;0,$A560&lt;X$6),AND(X$7&gt;0,$A560&gt;X$7)),0,MAX(0,ROUND((INDEX($E560:$G560,X$5)-SUMIFS(TF_Timer,TF_Tekniker,X$4,TF_Dato,$A560))*2,0)/2)))</f>
        <v/>
      </c>
      <c r="Y560">
        <f>IF(OR(Y$4="",$A560&gt;TODAY()),0,IF(OR(INDEX($B560:$D560,Y$5)="F",AND(Y$6&gt;0,$A560&lt;Y$6),AND(Y$7&gt;0,$A560&gt;Y$7)),0,MAX(0,ROUND((INDEX($E560:$G560,Y$5)-SUMIFS(TF_Timer,TF_Tekniker,Y$4,TF_Dato,$A560))*2,0)/2)))</f>
        <v/>
      </c>
      <c r="Z560">
        <f>IF(OR(Z$4="",$A560&gt;TODAY()),0,IF(OR(INDEX($B560:$D560,Z$5)="F",AND(Z$6&gt;0,$A560&lt;Z$6),AND(Z$7&gt;0,$A560&gt;Z$7)),0,MAX(0,ROUND((INDEX($E560:$G560,Z$5)-SUMIFS(TF_Timer,TF_Tekniker,Z$4,TF_Dato,$A560))*2,0)/2)))</f>
        <v/>
      </c>
      <c r="AA560">
        <f>IF(OR(AA$4="",$A560&gt;TODAY()),0,IF(OR(INDEX($B560:$D560,AA$5)="F",AND(AA$6&gt;0,$A560&lt;AA$6),AND(AA$7&gt;0,$A560&gt;AA$7)),0,MAX(0,ROUND((INDEX($E560:$G560,AA$5)-SUMIFS(TF_Timer,TF_Tekniker,AA$4,TF_Dato,$A560))*2,0)/2)))</f>
        <v/>
      </c>
      <c r="AB560">
        <f>IF(OR(AB$4="",$A560&gt;TODAY()),0,IF(OR(INDEX($B560:$D560,AB$5)="F",AND(AB$6&gt;0,$A560&lt;AB$6),AND(AB$7&gt;0,$A560&gt;AB$7)),0,MAX(0,ROUND((INDEX($E560:$G560,AB$5)-SUMIFS(TF_Timer,TF_Tekniker,AB$4,TF_Dato,$A560))*2,0)/2)))</f>
        <v/>
      </c>
      <c r="AC560">
        <f>IF(OR(AC$4="",$A560&gt;TODAY()),0,IF(OR(INDEX($B560:$D560,AC$5)="F",AND(AC$6&gt;0,$A560&lt;AC$6),AND(AC$7&gt;0,$A560&gt;AC$7)),0,MAX(0,ROUND((INDEX($E560:$G560,AC$5)-SUMIFS(TF_Timer,TF_Tekniker,AC$4,TF_Dato,$A560))*2,0)/2)))</f>
        <v/>
      </c>
      <c r="AD560">
        <f>IF(OR(AD$4="",$A560&gt;TODAY()),0,IF(OR(INDEX($B560:$D560,AD$5)="F",AND(AD$6&gt;0,$A560&lt;AD$6),AND(AD$7&gt;0,$A560&gt;AD$7)),0,MAX(0,ROUND((INDEX($E560:$G560,AD$5)-SUMIFS(TF_Timer,TF_Tekniker,AD$4,TF_Dato,$A560))*2,0)/2)))</f>
        <v/>
      </c>
      <c r="AE560">
        <f>IF(OR(AE$4="",$A560&gt;TODAY()),0,IF(OR(INDEX($B560:$D560,AE$5)="F",AND(AE$6&gt;0,$A560&lt;AE$6),AND(AE$7&gt;0,$A560&gt;AE$7)),0,MAX(0,ROUND((INDEX($E560:$G560,AE$5)-SUMIFS(TF_Timer,TF_Tekniker,AE$4,TF_Dato,$A560))*2,0)/2)))</f>
        <v/>
      </c>
      <c r="AF560">
        <f>IF(OR(AF$4="",$A560&gt;TODAY()),0,IF(OR(INDEX($B560:$D560,AF$5)="F",AND(AF$6&gt;0,$A560&lt;AF$6),AND(AF$7&gt;0,$A560&gt;AF$7)),0,MAX(0,ROUND((INDEX($E560:$G560,AF$5)-SUMIFS(TF_Timer,TF_Tekniker,AF$4,TF_Dato,$A560))*2,0)/2)))</f>
        <v/>
      </c>
      <c r="AG560">
        <f>IF(OR(AG$4="",$A560&gt;TODAY()),0,IF(OR(INDEX($B560:$D560,AG$5)="F",AND(AG$6&gt;0,$A560&lt;AG$6),AND(AG$7&gt;0,$A560&gt;AG$7)),0,MAX(0,ROUND((INDEX($E560:$G560,AG$5)-SUMIFS(TF_Timer,TF_Tekniker,AG$4,TF_Dato,$A560))*2,0)/2)))</f>
        <v/>
      </c>
      <c r="AH560">
        <f>IF(OR(AH$4="",$A560&gt;TODAY()),0,IF(OR(INDEX($B560:$D560,AH$5)="F",AND(AH$6&gt;0,$A560&lt;AH$6),AND(AH$7&gt;0,$A560&gt;AH$7)),0,MAX(0,ROUND((INDEX($E560:$G560,AH$5)-SUMIFS(TF_Timer,TF_Tekniker,AH$4,TF_Dato,$A560))*2,0)/2)))</f>
        <v/>
      </c>
      <c r="AI560">
        <f>IF(OR(AI$4="",$A560&gt;TODAY()),0,IF(OR(INDEX($B560:$D560,AI$5)="F",AND(AI$6&gt;0,$A560&lt;AI$6),AND(AI$7&gt;0,$A560&gt;AI$7)),0,MAX(0,ROUND((INDEX($E560:$G560,AI$5)-SUMIFS(TF_Timer,TF_Tekniker,AI$4,TF_Dato,$A560))*2,0)/2)))</f>
        <v/>
      </c>
      <c r="AJ560">
        <f>IF(OR(AJ$4="",$A560&gt;TODAY()),0,IF(OR(INDEX($B560:$D560,AJ$5)="F",AND(AJ$6&gt;0,$A560&lt;AJ$6),AND(AJ$7&gt;0,$A560&gt;AJ$7)),0,MAX(0,ROUND((INDEX($E560:$G560,AJ$5)-SUMIFS(TF_Timer,TF_Tekniker,AJ$4,TF_Dato,$A560))*2,0)/2)))</f>
        <v/>
      </c>
      <c r="AK560">
        <f>IF(OR(AK$4="",$A560&gt;TODAY()),0,IF(OR(INDEX($B560:$D560,AK$5)="F",AND(AK$6&gt;0,$A560&lt;AK$6),AND(AK$7&gt;0,$A560&gt;AK$7)),0,MAX(0,ROUND((INDEX($E560:$G560,AK$5)-SUMIFS(TF_Timer,TF_Tekniker,AK$4,TF_Dato,$A560))*2,0)/2)))</f>
        <v/>
      </c>
      <c r="AL560">
        <f>IF(OR(AL$4="",$A560&gt;TODAY()),0,IF(OR(INDEX($B560:$D560,AL$5)="F",AND(AL$6&gt;0,$A560&lt;AL$6),AND(AL$7&gt;0,$A560&gt;AL$7)),0,MAX(0,ROUND((INDEX($E560:$G560,AL$5)-SUMIFS(TF_Timer,TF_Tekniker,AL$4,TF_Dato,$A560))*2,0)/2)))</f>
        <v/>
      </c>
      <c r="AM560">
        <f>IF(OR(AM$4="",$A560&gt;TODAY()),0,IF(OR(INDEX($B560:$D560,AM$5)="F",AND(AM$6&gt;0,$A560&lt;AM$6),AND(AM$7&gt;0,$A560&gt;AM$7)),0,MAX(0,ROUND((INDEX($E560:$G560,AM$5)-SUMIFS(TF_Timer,TF_Tekniker,AM$4,TF_Dato,$A560))*2,0)/2)))</f>
        <v/>
      </c>
      <c r="AN560">
        <f>IF(OR(AN$4="",$A560&gt;TODAY()),0,IF(OR(INDEX($B560:$D560,AN$5)="F",AND(AN$6&gt;0,$A560&lt;AN$6),AND(AN$7&gt;0,$A560&gt;AN$7)),0,MAX(0,ROUND((INDEX($E560:$G560,AN$5)-SUMIFS(TF_Timer,TF_Tekniker,AN$4,TF_Dato,$A560))*2,0)/2)))</f>
        <v/>
      </c>
      <c r="AO560">
        <f>IF(OR(AO$4="",$A560&gt;TODAY()),0,IF(OR(INDEX($B560:$D560,AO$5)="F",AND(AO$6&gt;0,$A560&lt;AO$6),AND(AO$7&gt;0,$A560&gt;AO$7)),0,MAX(0,ROUND((INDEX($E560:$G560,AO$5)-SUMIFS(TF_Timer,TF_Tekniker,AO$4,TF_Dato,$A560))*2,0)/2)))</f>
        <v/>
      </c>
      <c r="AP560">
        <f>IF(OR(AP$4="",$A560&gt;TODAY()),0,IF(OR(INDEX($B560:$D560,AP$5)="F",AND(AP$6&gt;0,$A560&lt;AP$6),AND(AP$7&gt;0,$A560&gt;AP$7)),0,MAX(0,ROUND((INDEX($E560:$G560,AP$5)-SUMIFS(TF_Timer,TF_Tekniker,AP$4,TF_Dato,$A560))*2,0)/2)))</f>
        <v/>
      </c>
      <c r="AQ560">
        <f>IF(OR(AQ$4="",$A560&gt;TODAY()),0,IF(OR(INDEX($B560:$D560,AQ$5)="F",AND(AQ$6&gt;0,$A560&lt;AQ$6),AND(AQ$7&gt;0,$A560&gt;AQ$7)),0,MAX(0,ROUND((INDEX($E560:$G560,AQ$5)-SUMIFS(TF_Timer,TF_Tekniker,AQ$4,TF_Dato,$A560))*2,0)/2)))</f>
        <v/>
      </c>
      <c r="AR560">
        <f>IF(OR(AR$4="",$A560&gt;TODAY()),0,IF(OR(INDEX($B560:$D560,AR$5)="F",AND(AR$6&gt;0,$A560&lt;AR$6),AND(AR$7&gt;0,$A560&gt;AR$7)),0,MAX(0,ROUND((INDEX($E560:$G560,AR$5)-SUMIFS(TF_Timer,TF_Tekniker,AR$4,TF_Dato,$A560))*2,0)/2)))</f>
        <v/>
      </c>
      <c r="AS560">
        <f>IF(OR(AS$4="",$A560&gt;TODAY()),0,IF(OR(INDEX($B560:$D560,AS$5)="F",AND(AS$6&gt;0,$A560&lt;AS$6),AND(AS$7&gt;0,$A560&gt;AS$7)),0,MAX(0,ROUND((INDEX($E560:$G560,AS$5)-SUMIFS(TF_Timer,TF_Tekniker,AS$4,TF_Dato,$A560))*2,0)/2)))</f>
        <v/>
      </c>
      <c r="AT560">
        <f>IF(OR(AT$4="",$A560&gt;TODAY()),0,IF(OR(INDEX($B560:$D560,AT$5)="F",AND(AT$6&gt;0,$A560&lt;AT$6),AND(AT$7&gt;0,$A560&gt;AT$7)),0,MAX(0,ROUND((INDEX($E560:$G560,AT$5)-SUMIFS(TF_Timer,TF_Tekniker,AT$4,TF_Dato,$A560))*2,0)/2)))</f>
        <v/>
      </c>
      <c r="AU560">
        <f>IF(OR(AU$4="",$A560&gt;TODAY()),0,IF(OR(INDEX($B560:$D560,AU$5)="F",AND(AU$6&gt;0,$A560&lt;AU$6),AND(AU$7&gt;0,$A560&gt;AU$7)),0,MAX(0,ROUND((INDEX($E560:$G560,AU$5)-SUMIFS(TF_Timer,TF_Tekniker,AU$4,TF_Dato,$A560))*2,0)/2)))</f>
        <v/>
      </c>
      <c r="AV560">
        <f>IF(OR(AV$4="",$A560&gt;TODAY()),0,IF(OR(INDEX($B560:$D560,AV$5)="F",AND(AV$6&gt;0,$A560&lt;AV$6),AND(AV$7&gt;0,$A560&gt;AV$7)),0,MAX(0,ROUND((INDEX($E560:$G560,AV$5)-SUMIFS(TF_Timer,TF_Tekniker,AV$4,TF_Dato,$A560))*2,0)/2)))</f>
        <v/>
      </c>
      <c r="AW560">
        <f>IF(OR(AW$4="",$A560&gt;TODAY()),0,IF(OR(INDEX($B560:$D560,AW$5)="F",AND(AW$6&gt;0,$A560&lt;AW$6),AND(AW$7&gt;0,$A560&gt;AW$7)),0,MAX(0,ROUND((INDEX($E560:$G560,AW$5)-SUMIFS(TF_Timer,TF_Tekniker,AW$4,TF_Dato,$A560))*2,0)/2)))</f>
        <v/>
      </c>
      <c r="AX560">
        <f>IF(OR(AX$4="",$A560&gt;TODAY()),0,IF(OR(INDEX($B560:$D560,AX$5)="F",AND(AX$6&gt;0,$A560&lt;AX$6),AND(AX$7&gt;0,$A560&gt;AX$7)),0,MAX(0,ROUND((INDEX($E560:$G560,AX$5)-SUMIFS(TF_Timer,TF_Tekniker,AX$4,TF_Dato,$A560))*2,0)/2)))</f>
        <v/>
      </c>
      <c r="AY560">
        <f>IF(OR(AY$4="",$A560&gt;TODAY()),0,IF(OR(INDEX($B560:$D560,AY$5)="F",AND(AY$6&gt;0,$A560&lt;AY$6),AND(AY$7&gt;0,$A560&gt;AY$7)),0,MAX(0,ROUND((INDEX($E560:$G560,AY$5)-SUMIFS(TF_Timer,TF_Tekniker,AY$4,TF_Dato,$A560))*2,0)/2)))</f>
        <v/>
      </c>
      <c r="AZ560">
        <f>IF(OR(AZ$4="",$A560&gt;TODAY()),0,IF(OR(INDEX($B560:$D560,AZ$5)="F",AND(AZ$6&gt;0,$A560&lt;AZ$6),AND(AZ$7&gt;0,$A560&gt;AZ$7)),0,MAX(0,ROUND((INDEX($E560:$G560,AZ$5)-SUMIFS(TF_Timer,TF_Tekniker,AZ$4,TF_Dato,$A560))*2,0)/2)))</f>
        <v/>
      </c>
      <c r="BA560">
        <f>IF(OR(BA$4="",$A560&gt;TODAY()),0,IF(OR(INDEX($B560:$D560,BA$5)="F",AND(BA$6&gt;0,$A560&lt;BA$6),AND(BA$7&gt;0,$A560&gt;BA$7)),0,MAX(0,ROUND((INDEX($E560:$G560,BA$5)-SUMIFS(TF_Timer,TF_Tekniker,BA$4,TF_Dato,$A560))*2,0)/2)))</f>
        <v/>
      </c>
      <c r="BB560">
        <f>IF(OR(BB$4="",$A560&gt;TODAY()),0,IF(OR(INDEX($B560:$D560,BB$5)="F",AND(BB$6&gt;0,$A560&lt;BB$6),AND(BB$7&gt;0,$A560&gt;BB$7)),0,MAX(0,ROUND((INDEX($E560:$G560,BB$5)-SUMIFS(TF_Timer,TF_Tekniker,BB$4,TF_Dato,$A560))*2,0)/2)))</f>
        <v/>
      </c>
      <c r="BC560">
        <f>IF(OR(BC$4="",$A560&gt;TODAY()),0,IF(OR(INDEX($B560:$D560,BC$5)="F",AND(BC$6&gt;0,$A560&lt;BC$6),AND(BC$7&gt;0,$A560&gt;BC$7)),0,MAX(0,ROUND((INDEX($E560:$G560,BC$5)-SUMIFS(TF_Timer,TF_Tekniker,BC$4,TF_Dato,$A560))*2,0)/2)))</f>
        <v/>
      </c>
      <c r="BD560">
        <f>IF(OR(BD$4="",$A560&gt;TODAY()),0,IF(OR(INDEX($B560:$D560,BD$5)="F",AND(BD$6&gt;0,$A560&lt;BD$6),AND(BD$7&gt;0,$A560&gt;BD$7)),0,MAX(0,ROUND((INDEX($E560:$G560,BD$5)-SUMIFS(TF_Timer,TF_Tekniker,BD$4,TF_Dato,$A560))*2,0)/2)))</f>
        <v/>
      </c>
      <c r="BE560">
        <f>IF(OR(BE$4="",$A560&gt;TODAY()),0,IF(OR(INDEX($B560:$D560,BE$5)="F",AND(BE$6&gt;0,$A560&lt;BE$6),AND(BE$7&gt;0,$A560&gt;BE$7)),0,MAX(0,ROUND((INDEX($E560:$G560,BE$5)-SUMIFS(TF_Timer,TF_Tekniker,BE$4,TF_Dato,$A560))*2,0)/2)))</f>
        <v/>
      </c>
      <c r="BF560">
        <f>IF(OR(BF$4="",$A560&gt;TODAY()),0,IF(OR(INDEX($B560:$D560,BF$5)="F",AND(BF$6&gt;0,$A560&lt;BF$6),AND(BF$7&gt;0,$A560&gt;BF$7)),0,MAX(0,ROUND((INDEX($E560:$G560,BF$5)-SUMIFS(TF_Timer,TF_Tekniker,BF$4,TF_Dato,$A560))*2,0)/2)))</f>
        <v/>
      </c>
      <c r="BG560">
        <f>IF(OR(BG$4="",$A560&gt;TODAY()),0,IF(OR(INDEX($B560:$D560,BG$5)="F",AND(BG$6&gt;0,$A560&lt;BG$6),AND(BG$7&gt;0,$A560&gt;BG$7)),0,MAX(0,ROUND((INDEX($E560:$G560,BG$5)-SUMIFS(TF_Timer,TF_Tekniker,BG$4,TF_Dato,$A560))*2,0)/2)))</f>
        <v/>
      </c>
      <c r="BH560">
        <f>IF(OR(BH$4="",$A560&gt;TODAY()),0,IF(OR(INDEX($B560:$D560,BH$5)="F",AND(BH$6&gt;0,$A560&lt;BH$6),AND(BH$7&gt;0,$A560&gt;BH$7)),0,MAX(0,ROUND((INDEX($E560:$G560,BH$5)-SUMIFS(TF_Timer,TF_Tekniker,BH$4,TF_Dato,$A560))*2,0)/2)))</f>
        <v/>
      </c>
      <c r="BI560">
        <f>IF(OR(BI$4="",$A560&gt;TODAY()),0,IF(OR(INDEX($B560:$D560,BI$5)="F",AND(BI$6&gt;0,$A560&lt;BI$6),AND(BI$7&gt;0,$A560&gt;BI$7)),0,MAX(0,ROUND((INDEX($E560:$G560,BI$5)-SUMIFS(TF_Timer,TF_Tekniker,BI$4,TF_Dato,$A560))*2,0)/2)))</f>
        <v/>
      </c>
    </row>
    <row r="561">
      <c r="A561" s="64">
        <f>A560+1</f>
        <v/>
      </c>
      <c r="B561">
        <f>IF(MOD($A561-INDEX(SkiftStart,1),Syklus)&lt;DagK,"K",IF(MOD($A561-INDEX(SkiftStart,1),Syklus)&lt;DagK+DagH,"H",IF(MOD($A561-INDEX(SkiftStart,1),Syklus)&lt;DagK+DagH+DagD,"D","F")))</f>
        <v/>
      </c>
      <c r="C561">
        <f>IF(MOD($A561-INDEX(SkiftStart,2),Syklus)&lt;DagK,"K",IF(MOD($A561-INDEX(SkiftStart,2),Syklus)&lt;DagK+DagH,"H",IF(MOD($A561-INDEX(SkiftStart,2),Syklus)&lt;DagK+DagH+DagD,"D","F")))</f>
        <v/>
      </c>
      <c r="D561">
        <f>IF(MOD($A561-INDEX(SkiftStart,3),Syklus)&lt;DagK,"K",IF(MOD($A561-INDEX(SkiftStart,3),Syklus)&lt;DagK+DagH,"H",IF(MOD($A561-INDEX(SkiftStart,3),Syklus)&lt;DagK+DagH+DagD,"D","F")))</f>
        <v/>
      </c>
      <c r="E561">
        <f>IF(B561="F",0,IF(WEEKDAY($A561,2)=5,INDEX(TimerFr,MATCH(B561,FaseKode,0)),INDEX(TimerMT,MATCH(B561,FaseKode,0))))</f>
        <v/>
      </c>
      <c r="F561">
        <f>IF(C561="F",0,IF(WEEKDAY($A561,2)=5,INDEX(TimerFr,MATCH(C561,FaseKode,0)),INDEX(TimerMT,MATCH(C561,FaseKode,0))))</f>
        <v/>
      </c>
      <c r="G561">
        <f>IF(D561="F",0,IF(WEEKDAY($A561,2)=5,INDEX(TimerFr,MATCH(D561,FaseKode,0)),INDEX(TimerMT,MATCH(D561,FaseKode,0))))</f>
        <v/>
      </c>
      <c r="H561">
        <f>IF(OR(H$4="",$A561&gt;TODAY()),0,IF(OR(INDEX($B561:$D561,H$5)="F",AND(H$6&gt;0,$A561&lt;H$6),AND(H$7&gt;0,$A561&gt;H$7)),0,MAX(0,ROUND((INDEX($E561:$G561,H$5)-SUMIFS(TF_Timer,TF_Tekniker,H$4,TF_Dato,$A561))*2,0)/2)))</f>
        <v/>
      </c>
      <c r="I561">
        <f>IF(OR(I$4="",$A561&gt;TODAY()),0,IF(OR(INDEX($B561:$D561,I$5)="F",AND(I$6&gt;0,$A561&lt;I$6),AND(I$7&gt;0,$A561&gt;I$7)),0,MAX(0,ROUND((INDEX($E561:$G561,I$5)-SUMIFS(TF_Timer,TF_Tekniker,I$4,TF_Dato,$A561))*2,0)/2)))</f>
        <v/>
      </c>
      <c r="J561">
        <f>IF(OR(J$4="",$A561&gt;TODAY()),0,IF(OR(INDEX($B561:$D561,J$5)="F",AND(J$6&gt;0,$A561&lt;J$6),AND(J$7&gt;0,$A561&gt;J$7)),0,MAX(0,ROUND((INDEX($E561:$G561,J$5)-SUMIFS(TF_Timer,TF_Tekniker,J$4,TF_Dato,$A561))*2,0)/2)))</f>
        <v/>
      </c>
      <c r="K561">
        <f>IF(OR(K$4="",$A561&gt;TODAY()),0,IF(OR(INDEX($B561:$D561,K$5)="F",AND(K$6&gt;0,$A561&lt;K$6),AND(K$7&gt;0,$A561&gt;K$7)),0,MAX(0,ROUND((INDEX($E561:$G561,K$5)-SUMIFS(TF_Timer,TF_Tekniker,K$4,TF_Dato,$A561))*2,0)/2)))</f>
        <v/>
      </c>
      <c r="L561">
        <f>IF(OR(L$4="",$A561&gt;TODAY()),0,IF(OR(INDEX($B561:$D561,L$5)="F",AND(L$6&gt;0,$A561&lt;L$6),AND(L$7&gt;0,$A561&gt;L$7)),0,MAX(0,ROUND((INDEX($E561:$G561,L$5)-SUMIFS(TF_Timer,TF_Tekniker,L$4,TF_Dato,$A561))*2,0)/2)))</f>
        <v/>
      </c>
      <c r="M561">
        <f>IF(OR(M$4="",$A561&gt;TODAY()),0,IF(OR(INDEX($B561:$D561,M$5)="F",AND(M$6&gt;0,$A561&lt;M$6),AND(M$7&gt;0,$A561&gt;M$7)),0,MAX(0,ROUND((INDEX($E561:$G561,M$5)-SUMIFS(TF_Timer,TF_Tekniker,M$4,TF_Dato,$A561))*2,0)/2)))</f>
        <v/>
      </c>
      <c r="N561">
        <f>IF(OR(N$4="",$A561&gt;TODAY()),0,IF(OR(INDEX($B561:$D561,N$5)="F",AND(N$6&gt;0,$A561&lt;N$6),AND(N$7&gt;0,$A561&gt;N$7)),0,MAX(0,ROUND((INDEX($E561:$G561,N$5)-SUMIFS(TF_Timer,TF_Tekniker,N$4,TF_Dato,$A561))*2,0)/2)))</f>
        <v/>
      </c>
      <c r="O561">
        <f>IF(OR(O$4="",$A561&gt;TODAY()),0,IF(OR(INDEX($B561:$D561,O$5)="F",AND(O$6&gt;0,$A561&lt;O$6),AND(O$7&gt;0,$A561&gt;O$7)),0,MAX(0,ROUND((INDEX($E561:$G561,O$5)-SUMIFS(TF_Timer,TF_Tekniker,O$4,TF_Dato,$A561))*2,0)/2)))</f>
        <v/>
      </c>
      <c r="P561">
        <f>IF(OR(P$4="",$A561&gt;TODAY()),0,IF(OR(INDEX($B561:$D561,P$5)="F",AND(P$6&gt;0,$A561&lt;P$6),AND(P$7&gt;0,$A561&gt;P$7)),0,MAX(0,ROUND((INDEX($E561:$G561,P$5)-SUMIFS(TF_Timer,TF_Tekniker,P$4,TF_Dato,$A561))*2,0)/2)))</f>
        <v/>
      </c>
      <c r="Q561">
        <f>IF(OR(Q$4="",$A561&gt;TODAY()),0,IF(OR(INDEX($B561:$D561,Q$5)="F",AND(Q$6&gt;0,$A561&lt;Q$6),AND(Q$7&gt;0,$A561&gt;Q$7)),0,MAX(0,ROUND((INDEX($E561:$G561,Q$5)-SUMIFS(TF_Timer,TF_Tekniker,Q$4,TF_Dato,$A561))*2,0)/2)))</f>
        <v/>
      </c>
      <c r="R561">
        <f>IF(OR(R$4="",$A561&gt;TODAY()),0,IF(OR(INDEX($B561:$D561,R$5)="F",AND(R$6&gt;0,$A561&lt;R$6),AND(R$7&gt;0,$A561&gt;R$7)),0,MAX(0,ROUND((INDEX($E561:$G561,R$5)-SUMIFS(TF_Timer,TF_Tekniker,R$4,TF_Dato,$A561))*2,0)/2)))</f>
        <v/>
      </c>
      <c r="S561">
        <f>IF(OR(S$4="",$A561&gt;TODAY()),0,IF(OR(INDEX($B561:$D561,S$5)="F",AND(S$6&gt;0,$A561&lt;S$6),AND(S$7&gt;0,$A561&gt;S$7)),0,MAX(0,ROUND((INDEX($E561:$G561,S$5)-SUMIFS(TF_Timer,TF_Tekniker,S$4,TF_Dato,$A561))*2,0)/2)))</f>
        <v/>
      </c>
      <c r="T561">
        <f>IF(OR(T$4="",$A561&gt;TODAY()),0,IF(OR(INDEX($B561:$D561,T$5)="F",AND(T$6&gt;0,$A561&lt;T$6),AND(T$7&gt;0,$A561&gt;T$7)),0,MAX(0,ROUND((INDEX($E561:$G561,T$5)-SUMIFS(TF_Timer,TF_Tekniker,T$4,TF_Dato,$A561))*2,0)/2)))</f>
        <v/>
      </c>
      <c r="U561">
        <f>IF(OR(U$4="",$A561&gt;TODAY()),0,IF(OR(INDEX($B561:$D561,U$5)="F",AND(U$6&gt;0,$A561&lt;U$6),AND(U$7&gt;0,$A561&gt;U$7)),0,MAX(0,ROUND((INDEX($E561:$G561,U$5)-SUMIFS(TF_Timer,TF_Tekniker,U$4,TF_Dato,$A561))*2,0)/2)))</f>
        <v/>
      </c>
      <c r="V561">
        <f>IF(OR(V$4="",$A561&gt;TODAY()),0,IF(OR(INDEX($B561:$D561,V$5)="F",AND(V$6&gt;0,$A561&lt;V$6),AND(V$7&gt;0,$A561&gt;V$7)),0,MAX(0,ROUND((INDEX($E561:$G561,V$5)-SUMIFS(TF_Timer,TF_Tekniker,V$4,TF_Dato,$A561))*2,0)/2)))</f>
        <v/>
      </c>
      <c r="W561">
        <f>IF(OR(W$4="",$A561&gt;TODAY()),0,IF(OR(INDEX($B561:$D561,W$5)="F",AND(W$6&gt;0,$A561&lt;W$6),AND(W$7&gt;0,$A561&gt;W$7)),0,MAX(0,ROUND((INDEX($E561:$G561,W$5)-SUMIFS(TF_Timer,TF_Tekniker,W$4,TF_Dato,$A561))*2,0)/2)))</f>
        <v/>
      </c>
      <c r="X561">
        <f>IF(OR(X$4="",$A561&gt;TODAY()),0,IF(OR(INDEX($B561:$D561,X$5)="F",AND(X$6&gt;0,$A561&lt;X$6),AND(X$7&gt;0,$A561&gt;X$7)),0,MAX(0,ROUND((INDEX($E561:$G561,X$5)-SUMIFS(TF_Timer,TF_Tekniker,X$4,TF_Dato,$A561))*2,0)/2)))</f>
        <v/>
      </c>
      <c r="Y561">
        <f>IF(OR(Y$4="",$A561&gt;TODAY()),0,IF(OR(INDEX($B561:$D561,Y$5)="F",AND(Y$6&gt;0,$A561&lt;Y$6),AND(Y$7&gt;0,$A561&gt;Y$7)),0,MAX(0,ROUND((INDEX($E561:$G561,Y$5)-SUMIFS(TF_Timer,TF_Tekniker,Y$4,TF_Dato,$A561))*2,0)/2)))</f>
        <v/>
      </c>
      <c r="Z561">
        <f>IF(OR(Z$4="",$A561&gt;TODAY()),0,IF(OR(INDEX($B561:$D561,Z$5)="F",AND(Z$6&gt;0,$A561&lt;Z$6),AND(Z$7&gt;0,$A561&gt;Z$7)),0,MAX(0,ROUND((INDEX($E561:$G561,Z$5)-SUMIFS(TF_Timer,TF_Tekniker,Z$4,TF_Dato,$A561))*2,0)/2)))</f>
        <v/>
      </c>
      <c r="AA561">
        <f>IF(OR(AA$4="",$A561&gt;TODAY()),0,IF(OR(INDEX($B561:$D561,AA$5)="F",AND(AA$6&gt;0,$A561&lt;AA$6),AND(AA$7&gt;0,$A561&gt;AA$7)),0,MAX(0,ROUND((INDEX($E561:$G561,AA$5)-SUMIFS(TF_Timer,TF_Tekniker,AA$4,TF_Dato,$A561))*2,0)/2)))</f>
        <v/>
      </c>
      <c r="AB561">
        <f>IF(OR(AB$4="",$A561&gt;TODAY()),0,IF(OR(INDEX($B561:$D561,AB$5)="F",AND(AB$6&gt;0,$A561&lt;AB$6),AND(AB$7&gt;0,$A561&gt;AB$7)),0,MAX(0,ROUND((INDEX($E561:$G561,AB$5)-SUMIFS(TF_Timer,TF_Tekniker,AB$4,TF_Dato,$A561))*2,0)/2)))</f>
        <v/>
      </c>
      <c r="AC561">
        <f>IF(OR(AC$4="",$A561&gt;TODAY()),0,IF(OR(INDEX($B561:$D561,AC$5)="F",AND(AC$6&gt;0,$A561&lt;AC$6),AND(AC$7&gt;0,$A561&gt;AC$7)),0,MAX(0,ROUND((INDEX($E561:$G561,AC$5)-SUMIFS(TF_Timer,TF_Tekniker,AC$4,TF_Dato,$A561))*2,0)/2)))</f>
        <v/>
      </c>
      <c r="AD561">
        <f>IF(OR(AD$4="",$A561&gt;TODAY()),0,IF(OR(INDEX($B561:$D561,AD$5)="F",AND(AD$6&gt;0,$A561&lt;AD$6),AND(AD$7&gt;0,$A561&gt;AD$7)),0,MAX(0,ROUND((INDEX($E561:$G561,AD$5)-SUMIFS(TF_Timer,TF_Tekniker,AD$4,TF_Dato,$A561))*2,0)/2)))</f>
        <v/>
      </c>
      <c r="AE561">
        <f>IF(OR(AE$4="",$A561&gt;TODAY()),0,IF(OR(INDEX($B561:$D561,AE$5)="F",AND(AE$6&gt;0,$A561&lt;AE$6),AND(AE$7&gt;0,$A561&gt;AE$7)),0,MAX(0,ROUND((INDEX($E561:$G561,AE$5)-SUMIFS(TF_Timer,TF_Tekniker,AE$4,TF_Dato,$A561))*2,0)/2)))</f>
        <v/>
      </c>
      <c r="AF561">
        <f>IF(OR(AF$4="",$A561&gt;TODAY()),0,IF(OR(INDEX($B561:$D561,AF$5)="F",AND(AF$6&gt;0,$A561&lt;AF$6),AND(AF$7&gt;0,$A561&gt;AF$7)),0,MAX(0,ROUND((INDEX($E561:$G561,AF$5)-SUMIFS(TF_Timer,TF_Tekniker,AF$4,TF_Dato,$A561))*2,0)/2)))</f>
        <v/>
      </c>
      <c r="AG561">
        <f>IF(OR(AG$4="",$A561&gt;TODAY()),0,IF(OR(INDEX($B561:$D561,AG$5)="F",AND(AG$6&gt;0,$A561&lt;AG$6),AND(AG$7&gt;0,$A561&gt;AG$7)),0,MAX(0,ROUND((INDEX($E561:$G561,AG$5)-SUMIFS(TF_Timer,TF_Tekniker,AG$4,TF_Dato,$A561))*2,0)/2)))</f>
        <v/>
      </c>
      <c r="AH561">
        <f>IF(OR(AH$4="",$A561&gt;TODAY()),0,IF(OR(INDEX($B561:$D561,AH$5)="F",AND(AH$6&gt;0,$A561&lt;AH$6),AND(AH$7&gt;0,$A561&gt;AH$7)),0,MAX(0,ROUND((INDEX($E561:$G561,AH$5)-SUMIFS(TF_Timer,TF_Tekniker,AH$4,TF_Dato,$A561))*2,0)/2)))</f>
        <v/>
      </c>
      <c r="AI561">
        <f>IF(OR(AI$4="",$A561&gt;TODAY()),0,IF(OR(INDEX($B561:$D561,AI$5)="F",AND(AI$6&gt;0,$A561&lt;AI$6),AND(AI$7&gt;0,$A561&gt;AI$7)),0,MAX(0,ROUND((INDEX($E561:$G561,AI$5)-SUMIFS(TF_Timer,TF_Tekniker,AI$4,TF_Dato,$A561))*2,0)/2)))</f>
        <v/>
      </c>
      <c r="AJ561">
        <f>IF(OR(AJ$4="",$A561&gt;TODAY()),0,IF(OR(INDEX($B561:$D561,AJ$5)="F",AND(AJ$6&gt;0,$A561&lt;AJ$6),AND(AJ$7&gt;0,$A561&gt;AJ$7)),0,MAX(0,ROUND((INDEX($E561:$G561,AJ$5)-SUMIFS(TF_Timer,TF_Tekniker,AJ$4,TF_Dato,$A561))*2,0)/2)))</f>
        <v/>
      </c>
      <c r="AK561">
        <f>IF(OR(AK$4="",$A561&gt;TODAY()),0,IF(OR(INDEX($B561:$D561,AK$5)="F",AND(AK$6&gt;0,$A561&lt;AK$6),AND(AK$7&gt;0,$A561&gt;AK$7)),0,MAX(0,ROUND((INDEX($E561:$G561,AK$5)-SUMIFS(TF_Timer,TF_Tekniker,AK$4,TF_Dato,$A561))*2,0)/2)))</f>
        <v/>
      </c>
      <c r="AL561">
        <f>IF(OR(AL$4="",$A561&gt;TODAY()),0,IF(OR(INDEX($B561:$D561,AL$5)="F",AND(AL$6&gt;0,$A561&lt;AL$6),AND(AL$7&gt;0,$A561&gt;AL$7)),0,MAX(0,ROUND((INDEX($E561:$G561,AL$5)-SUMIFS(TF_Timer,TF_Tekniker,AL$4,TF_Dato,$A561))*2,0)/2)))</f>
        <v/>
      </c>
      <c r="AM561">
        <f>IF(OR(AM$4="",$A561&gt;TODAY()),0,IF(OR(INDEX($B561:$D561,AM$5)="F",AND(AM$6&gt;0,$A561&lt;AM$6),AND(AM$7&gt;0,$A561&gt;AM$7)),0,MAX(0,ROUND((INDEX($E561:$G561,AM$5)-SUMIFS(TF_Timer,TF_Tekniker,AM$4,TF_Dato,$A561))*2,0)/2)))</f>
        <v/>
      </c>
      <c r="AN561">
        <f>IF(OR(AN$4="",$A561&gt;TODAY()),0,IF(OR(INDEX($B561:$D561,AN$5)="F",AND(AN$6&gt;0,$A561&lt;AN$6),AND(AN$7&gt;0,$A561&gt;AN$7)),0,MAX(0,ROUND((INDEX($E561:$G561,AN$5)-SUMIFS(TF_Timer,TF_Tekniker,AN$4,TF_Dato,$A561))*2,0)/2)))</f>
        <v/>
      </c>
      <c r="AO561">
        <f>IF(OR(AO$4="",$A561&gt;TODAY()),0,IF(OR(INDEX($B561:$D561,AO$5)="F",AND(AO$6&gt;0,$A561&lt;AO$6),AND(AO$7&gt;0,$A561&gt;AO$7)),0,MAX(0,ROUND((INDEX($E561:$G561,AO$5)-SUMIFS(TF_Timer,TF_Tekniker,AO$4,TF_Dato,$A561))*2,0)/2)))</f>
        <v/>
      </c>
      <c r="AP561">
        <f>IF(OR(AP$4="",$A561&gt;TODAY()),0,IF(OR(INDEX($B561:$D561,AP$5)="F",AND(AP$6&gt;0,$A561&lt;AP$6),AND(AP$7&gt;0,$A561&gt;AP$7)),0,MAX(0,ROUND((INDEX($E561:$G561,AP$5)-SUMIFS(TF_Timer,TF_Tekniker,AP$4,TF_Dato,$A561))*2,0)/2)))</f>
        <v/>
      </c>
      <c r="AQ561">
        <f>IF(OR(AQ$4="",$A561&gt;TODAY()),0,IF(OR(INDEX($B561:$D561,AQ$5)="F",AND(AQ$6&gt;0,$A561&lt;AQ$6),AND(AQ$7&gt;0,$A561&gt;AQ$7)),0,MAX(0,ROUND((INDEX($E561:$G561,AQ$5)-SUMIFS(TF_Timer,TF_Tekniker,AQ$4,TF_Dato,$A561))*2,0)/2)))</f>
        <v/>
      </c>
      <c r="AR561">
        <f>IF(OR(AR$4="",$A561&gt;TODAY()),0,IF(OR(INDEX($B561:$D561,AR$5)="F",AND(AR$6&gt;0,$A561&lt;AR$6),AND(AR$7&gt;0,$A561&gt;AR$7)),0,MAX(0,ROUND((INDEX($E561:$G561,AR$5)-SUMIFS(TF_Timer,TF_Tekniker,AR$4,TF_Dato,$A561))*2,0)/2)))</f>
        <v/>
      </c>
      <c r="AS561">
        <f>IF(OR(AS$4="",$A561&gt;TODAY()),0,IF(OR(INDEX($B561:$D561,AS$5)="F",AND(AS$6&gt;0,$A561&lt;AS$6),AND(AS$7&gt;0,$A561&gt;AS$7)),0,MAX(0,ROUND((INDEX($E561:$G561,AS$5)-SUMIFS(TF_Timer,TF_Tekniker,AS$4,TF_Dato,$A561))*2,0)/2)))</f>
        <v/>
      </c>
      <c r="AT561">
        <f>IF(OR(AT$4="",$A561&gt;TODAY()),0,IF(OR(INDEX($B561:$D561,AT$5)="F",AND(AT$6&gt;0,$A561&lt;AT$6),AND(AT$7&gt;0,$A561&gt;AT$7)),0,MAX(0,ROUND((INDEX($E561:$G561,AT$5)-SUMIFS(TF_Timer,TF_Tekniker,AT$4,TF_Dato,$A561))*2,0)/2)))</f>
        <v/>
      </c>
      <c r="AU561">
        <f>IF(OR(AU$4="",$A561&gt;TODAY()),0,IF(OR(INDEX($B561:$D561,AU$5)="F",AND(AU$6&gt;0,$A561&lt;AU$6),AND(AU$7&gt;0,$A561&gt;AU$7)),0,MAX(0,ROUND((INDEX($E561:$G561,AU$5)-SUMIFS(TF_Timer,TF_Tekniker,AU$4,TF_Dato,$A561))*2,0)/2)))</f>
        <v/>
      </c>
      <c r="AV561">
        <f>IF(OR(AV$4="",$A561&gt;TODAY()),0,IF(OR(INDEX($B561:$D561,AV$5)="F",AND(AV$6&gt;0,$A561&lt;AV$6),AND(AV$7&gt;0,$A561&gt;AV$7)),0,MAX(0,ROUND((INDEX($E561:$G561,AV$5)-SUMIFS(TF_Timer,TF_Tekniker,AV$4,TF_Dato,$A561))*2,0)/2)))</f>
        <v/>
      </c>
      <c r="AW561">
        <f>IF(OR(AW$4="",$A561&gt;TODAY()),0,IF(OR(INDEX($B561:$D561,AW$5)="F",AND(AW$6&gt;0,$A561&lt;AW$6),AND(AW$7&gt;0,$A561&gt;AW$7)),0,MAX(0,ROUND((INDEX($E561:$G561,AW$5)-SUMIFS(TF_Timer,TF_Tekniker,AW$4,TF_Dato,$A561))*2,0)/2)))</f>
        <v/>
      </c>
      <c r="AX561">
        <f>IF(OR(AX$4="",$A561&gt;TODAY()),0,IF(OR(INDEX($B561:$D561,AX$5)="F",AND(AX$6&gt;0,$A561&lt;AX$6),AND(AX$7&gt;0,$A561&gt;AX$7)),0,MAX(0,ROUND((INDEX($E561:$G561,AX$5)-SUMIFS(TF_Timer,TF_Tekniker,AX$4,TF_Dato,$A561))*2,0)/2)))</f>
        <v/>
      </c>
      <c r="AY561">
        <f>IF(OR(AY$4="",$A561&gt;TODAY()),0,IF(OR(INDEX($B561:$D561,AY$5)="F",AND(AY$6&gt;0,$A561&lt;AY$6),AND(AY$7&gt;0,$A561&gt;AY$7)),0,MAX(0,ROUND((INDEX($E561:$G561,AY$5)-SUMIFS(TF_Timer,TF_Tekniker,AY$4,TF_Dato,$A561))*2,0)/2)))</f>
        <v/>
      </c>
      <c r="AZ561">
        <f>IF(OR(AZ$4="",$A561&gt;TODAY()),0,IF(OR(INDEX($B561:$D561,AZ$5)="F",AND(AZ$6&gt;0,$A561&lt;AZ$6),AND(AZ$7&gt;0,$A561&gt;AZ$7)),0,MAX(0,ROUND((INDEX($E561:$G561,AZ$5)-SUMIFS(TF_Timer,TF_Tekniker,AZ$4,TF_Dato,$A561))*2,0)/2)))</f>
        <v/>
      </c>
      <c r="BA561">
        <f>IF(OR(BA$4="",$A561&gt;TODAY()),0,IF(OR(INDEX($B561:$D561,BA$5)="F",AND(BA$6&gt;0,$A561&lt;BA$6),AND(BA$7&gt;0,$A561&gt;BA$7)),0,MAX(0,ROUND((INDEX($E561:$G561,BA$5)-SUMIFS(TF_Timer,TF_Tekniker,BA$4,TF_Dato,$A561))*2,0)/2)))</f>
        <v/>
      </c>
      <c r="BB561">
        <f>IF(OR(BB$4="",$A561&gt;TODAY()),0,IF(OR(INDEX($B561:$D561,BB$5)="F",AND(BB$6&gt;0,$A561&lt;BB$6),AND(BB$7&gt;0,$A561&gt;BB$7)),0,MAX(0,ROUND((INDEX($E561:$G561,BB$5)-SUMIFS(TF_Timer,TF_Tekniker,BB$4,TF_Dato,$A561))*2,0)/2)))</f>
        <v/>
      </c>
      <c r="BC561">
        <f>IF(OR(BC$4="",$A561&gt;TODAY()),0,IF(OR(INDEX($B561:$D561,BC$5)="F",AND(BC$6&gt;0,$A561&lt;BC$6),AND(BC$7&gt;0,$A561&gt;BC$7)),0,MAX(0,ROUND((INDEX($E561:$G561,BC$5)-SUMIFS(TF_Timer,TF_Tekniker,BC$4,TF_Dato,$A561))*2,0)/2)))</f>
        <v/>
      </c>
      <c r="BD561">
        <f>IF(OR(BD$4="",$A561&gt;TODAY()),0,IF(OR(INDEX($B561:$D561,BD$5)="F",AND(BD$6&gt;0,$A561&lt;BD$6),AND(BD$7&gt;0,$A561&gt;BD$7)),0,MAX(0,ROUND((INDEX($E561:$G561,BD$5)-SUMIFS(TF_Timer,TF_Tekniker,BD$4,TF_Dato,$A561))*2,0)/2)))</f>
        <v/>
      </c>
      <c r="BE561">
        <f>IF(OR(BE$4="",$A561&gt;TODAY()),0,IF(OR(INDEX($B561:$D561,BE$5)="F",AND(BE$6&gt;0,$A561&lt;BE$6),AND(BE$7&gt;0,$A561&gt;BE$7)),0,MAX(0,ROUND((INDEX($E561:$G561,BE$5)-SUMIFS(TF_Timer,TF_Tekniker,BE$4,TF_Dato,$A561))*2,0)/2)))</f>
        <v/>
      </c>
      <c r="BF561">
        <f>IF(OR(BF$4="",$A561&gt;TODAY()),0,IF(OR(INDEX($B561:$D561,BF$5)="F",AND(BF$6&gt;0,$A561&lt;BF$6),AND(BF$7&gt;0,$A561&gt;BF$7)),0,MAX(0,ROUND((INDEX($E561:$G561,BF$5)-SUMIFS(TF_Timer,TF_Tekniker,BF$4,TF_Dato,$A561))*2,0)/2)))</f>
        <v/>
      </c>
      <c r="BG561">
        <f>IF(OR(BG$4="",$A561&gt;TODAY()),0,IF(OR(INDEX($B561:$D561,BG$5)="F",AND(BG$6&gt;0,$A561&lt;BG$6),AND(BG$7&gt;0,$A561&gt;BG$7)),0,MAX(0,ROUND((INDEX($E561:$G561,BG$5)-SUMIFS(TF_Timer,TF_Tekniker,BG$4,TF_Dato,$A561))*2,0)/2)))</f>
        <v/>
      </c>
      <c r="BH561">
        <f>IF(OR(BH$4="",$A561&gt;TODAY()),0,IF(OR(INDEX($B561:$D561,BH$5)="F",AND(BH$6&gt;0,$A561&lt;BH$6),AND(BH$7&gt;0,$A561&gt;BH$7)),0,MAX(0,ROUND((INDEX($E561:$G561,BH$5)-SUMIFS(TF_Timer,TF_Tekniker,BH$4,TF_Dato,$A561))*2,0)/2)))</f>
        <v/>
      </c>
      <c r="BI561">
        <f>IF(OR(BI$4="",$A561&gt;TODAY()),0,IF(OR(INDEX($B561:$D561,BI$5)="F",AND(BI$6&gt;0,$A561&lt;BI$6),AND(BI$7&gt;0,$A561&gt;BI$7)),0,MAX(0,ROUND((INDEX($E561:$G561,BI$5)-SUMIFS(TF_Timer,TF_Tekniker,BI$4,TF_Dato,$A561))*2,0)/2)))</f>
        <v/>
      </c>
    </row>
    <row r="562">
      <c r="A562" s="64">
        <f>A561+1</f>
        <v/>
      </c>
      <c r="B562">
        <f>IF(MOD($A562-INDEX(SkiftStart,1),Syklus)&lt;DagK,"K",IF(MOD($A562-INDEX(SkiftStart,1),Syklus)&lt;DagK+DagH,"H",IF(MOD($A562-INDEX(SkiftStart,1),Syklus)&lt;DagK+DagH+DagD,"D","F")))</f>
        <v/>
      </c>
      <c r="C562">
        <f>IF(MOD($A562-INDEX(SkiftStart,2),Syklus)&lt;DagK,"K",IF(MOD($A562-INDEX(SkiftStart,2),Syklus)&lt;DagK+DagH,"H",IF(MOD($A562-INDEX(SkiftStart,2),Syklus)&lt;DagK+DagH+DagD,"D","F")))</f>
        <v/>
      </c>
      <c r="D562">
        <f>IF(MOD($A562-INDEX(SkiftStart,3),Syklus)&lt;DagK,"K",IF(MOD($A562-INDEX(SkiftStart,3),Syklus)&lt;DagK+DagH,"H",IF(MOD($A562-INDEX(SkiftStart,3),Syklus)&lt;DagK+DagH+DagD,"D","F")))</f>
        <v/>
      </c>
      <c r="E562">
        <f>IF(B562="F",0,IF(WEEKDAY($A562,2)=5,INDEX(TimerFr,MATCH(B562,FaseKode,0)),INDEX(TimerMT,MATCH(B562,FaseKode,0))))</f>
        <v/>
      </c>
      <c r="F562">
        <f>IF(C562="F",0,IF(WEEKDAY($A562,2)=5,INDEX(TimerFr,MATCH(C562,FaseKode,0)),INDEX(TimerMT,MATCH(C562,FaseKode,0))))</f>
        <v/>
      </c>
      <c r="G562">
        <f>IF(D562="F",0,IF(WEEKDAY($A562,2)=5,INDEX(TimerFr,MATCH(D562,FaseKode,0)),INDEX(TimerMT,MATCH(D562,FaseKode,0))))</f>
        <v/>
      </c>
      <c r="H562">
        <f>IF(OR(H$4="",$A562&gt;TODAY()),0,IF(OR(INDEX($B562:$D562,H$5)="F",AND(H$6&gt;0,$A562&lt;H$6),AND(H$7&gt;0,$A562&gt;H$7)),0,MAX(0,ROUND((INDEX($E562:$G562,H$5)-SUMIFS(TF_Timer,TF_Tekniker,H$4,TF_Dato,$A562))*2,0)/2)))</f>
        <v/>
      </c>
      <c r="I562">
        <f>IF(OR(I$4="",$A562&gt;TODAY()),0,IF(OR(INDEX($B562:$D562,I$5)="F",AND(I$6&gt;0,$A562&lt;I$6),AND(I$7&gt;0,$A562&gt;I$7)),0,MAX(0,ROUND((INDEX($E562:$G562,I$5)-SUMIFS(TF_Timer,TF_Tekniker,I$4,TF_Dato,$A562))*2,0)/2)))</f>
        <v/>
      </c>
      <c r="J562">
        <f>IF(OR(J$4="",$A562&gt;TODAY()),0,IF(OR(INDEX($B562:$D562,J$5)="F",AND(J$6&gt;0,$A562&lt;J$6),AND(J$7&gt;0,$A562&gt;J$7)),0,MAX(0,ROUND((INDEX($E562:$G562,J$5)-SUMIFS(TF_Timer,TF_Tekniker,J$4,TF_Dato,$A562))*2,0)/2)))</f>
        <v/>
      </c>
      <c r="K562">
        <f>IF(OR(K$4="",$A562&gt;TODAY()),0,IF(OR(INDEX($B562:$D562,K$5)="F",AND(K$6&gt;0,$A562&lt;K$6),AND(K$7&gt;0,$A562&gt;K$7)),0,MAX(0,ROUND((INDEX($E562:$G562,K$5)-SUMIFS(TF_Timer,TF_Tekniker,K$4,TF_Dato,$A562))*2,0)/2)))</f>
        <v/>
      </c>
      <c r="L562">
        <f>IF(OR(L$4="",$A562&gt;TODAY()),0,IF(OR(INDEX($B562:$D562,L$5)="F",AND(L$6&gt;0,$A562&lt;L$6),AND(L$7&gt;0,$A562&gt;L$7)),0,MAX(0,ROUND((INDEX($E562:$G562,L$5)-SUMIFS(TF_Timer,TF_Tekniker,L$4,TF_Dato,$A562))*2,0)/2)))</f>
        <v/>
      </c>
      <c r="M562">
        <f>IF(OR(M$4="",$A562&gt;TODAY()),0,IF(OR(INDEX($B562:$D562,M$5)="F",AND(M$6&gt;0,$A562&lt;M$6),AND(M$7&gt;0,$A562&gt;M$7)),0,MAX(0,ROUND((INDEX($E562:$G562,M$5)-SUMIFS(TF_Timer,TF_Tekniker,M$4,TF_Dato,$A562))*2,0)/2)))</f>
        <v/>
      </c>
      <c r="N562">
        <f>IF(OR(N$4="",$A562&gt;TODAY()),0,IF(OR(INDEX($B562:$D562,N$5)="F",AND(N$6&gt;0,$A562&lt;N$6),AND(N$7&gt;0,$A562&gt;N$7)),0,MAX(0,ROUND((INDEX($E562:$G562,N$5)-SUMIFS(TF_Timer,TF_Tekniker,N$4,TF_Dato,$A562))*2,0)/2)))</f>
        <v/>
      </c>
      <c r="O562">
        <f>IF(OR(O$4="",$A562&gt;TODAY()),0,IF(OR(INDEX($B562:$D562,O$5)="F",AND(O$6&gt;0,$A562&lt;O$6),AND(O$7&gt;0,$A562&gt;O$7)),0,MAX(0,ROUND((INDEX($E562:$G562,O$5)-SUMIFS(TF_Timer,TF_Tekniker,O$4,TF_Dato,$A562))*2,0)/2)))</f>
        <v/>
      </c>
      <c r="P562">
        <f>IF(OR(P$4="",$A562&gt;TODAY()),0,IF(OR(INDEX($B562:$D562,P$5)="F",AND(P$6&gt;0,$A562&lt;P$6),AND(P$7&gt;0,$A562&gt;P$7)),0,MAX(0,ROUND((INDEX($E562:$G562,P$5)-SUMIFS(TF_Timer,TF_Tekniker,P$4,TF_Dato,$A562))*2,0)/2)))</f>
        <v/>
      </c>
      <c r="Q562">
        <f>IF(OR(Q$4="",$A562&gt;TODAY()),0,IF(OR(INDEX($B562:$D562,Q$5)="F",AND(Q$6&gt;0,$A562&lt;Q$6),AND(Q$7&gt;0,$A562&gt;Q$7)),0,MAX(0,ROUND((INDEX($E562:$G562,Q$5)-SUMIFS(TF_Timer,TF_Tekniker,Q$4,TF_Dato,$A562))*2,0)/2)))</f>
        <v/>
      </c>
      <c r="R562">
        <f>IF(OR(R$4="",$A562&gt;TODAY()),0,IF(OR(INDEX($B562:$D562,R$5)="F",AND(R$6&gt;0,$A562&lt;R$6),AND(R$7&gt;0,$A562&gt;R$7)),0,MAX(0,ROUND((INDEX($E562:$G562,R$5)-SUMIFS(TF_Timer,TF_Tekniker,R$4,TF_Dato,$A562))*2,0)/2)))</f>
        <v/>
      </c>
      <c r="S562">
        <f>IF(OR(S$4="",$A562&gt;TODAY()),0,IF(OR(INDEX($B562:$D562,S$5)="F",AND(S$6&gt;0,$A562&lt;S$6),AND(S$7&gt;0,$A562&gt;S$7)),0,MAX(0,ROUND((INDEX($E562:$G562,S$5)-SUMIFS(TF_Timer,TF_Tekniker,S$4,TF_Dato,$A562))*2,0)/2)))</f>
        <v/>
      </c>
      <c r="T562">
        <f>IF(OR(T$4="",$A562&gt;TODAY()),0,IF(OR(INDEX($B562:$D562,T$5)="F",AND(T$6&gt;0,$A562&lt;T$6),AND(T$7&gt;0,$A562&gt;T$7)),0,MAX(0,ROUND((INDEX($E562:$G562,T$5)-SUMIFS(TF_Timer,TF_Tekniker,T$4,TF_Dato,$A562))*2,0)/2)))</f>
        <v/>
      </c>
      <c r="U562">
        <f>IF(OR(U$4="",$A562&gt;TODAY()),0,IF(OR(INDEX($B562:$D562,U$5)="F",AND(U$6&gt;0,$A562&lt;U$6),AND(U$7&gt;0,$A562&gt;U$7)),0,MAX(0,ROUND((INDEX($E562:$G562,U$5)-SUMIFS(TF_Timer,TF_Tekniker,U$4,TF_Dato,$A562))*2,0)/2)))</f>
        <v/>
      </c>
      <c r="V562">
        <f>IF(OR(V$4="",$A562&gt;TODAY()),0,IF(OR(INDEX($B562:$D562,V$5)="F",AND(V$6&gt;0,$A562&lt;V$6),AND(V$7&gt;0,$A562&gt;V$7)),0,MAX(0,ROUND((INDEX($E562:$G562,V$5)-SUMIFS(TF_Timer,TF_Tekniker,V$4,TF_Dato,$A562))*2,0)/2)))</f>
        <v/>
      </c>
      <c r="W562">
        <f>IF(OR(W$4="",$A562&gt;TODAY()),0,IF(OR(INDEX($B562:$D562,W$5)="F",AND(W$6&gt;0,$A562&lt;W$6),AND(W$7&gt;0,$A562&gt;W$7)),0,MAX(0,ROUND((INDEX($E562:$G562,W$5)-SUMIFS(TF_Timer,TF_Tekniker,W$4,TF_Dato,$A562))*2,0)/2)))</f>
        <v/>
      </c>
      <c r="X562">
        <f>IF(OR(X$4="",$A562&gt;TODAY()),0,IF(OR(INDEX($B562:$D562,X$5)="F",AND(X$6&gt;0,$A562&lt;X$6),AND(X$7&gt;0,$A562&gt;X$7)),0,MAX(0,ROUND((INDEX($E562:$G562,X$5)-SUMIFS(TF_Timer,TF_Tekniker,X$4,TF_Dato,$A562))*2,0)/2)))</f>
        <v/>
      </c>
      <c r="Y562">
        <f>IF(OR(Y$4="",$A562&gt;TODAY()),0,IF(OR(INDEX($B562:$D562,Y$5)="F",AND(Y$6&gt;0,$A562&lt;Y$6),AND(Y$7&gt;0,$A562&gt;Y$7)),0,MAX(0,ROUND((INDEX($E562:$G562,Y$5)-SUMIFS(TF_Timer,TF_Tekniker,Y$4,TF_Dato,$A562))*2,0)/2)))</f>
        <v/>
      </c>
      <c r="Z562">
        <f>IF(OR(Z$4="",$A562&gt;TODAY()),0,IF(OR(INDEX($B562:$D562,Z$5)="F",AND(Z$6&gt;0,$A562&lt;Z$6),AND(Z$7&gt;0,$A562&gt;Z$7)),0,MAX(0,ROUND((INDEX($E562:$G562,Z$5)-SUMIFS(TF_Timer,TF_Tekniker,Z$4,TF_Dato,$A562))*2,0)/2)))</f>
        <v/>
      </c>
      <c r="AA562">
        <f>IF(OR(AA$4="",$A562&gt;TODAY()),0,IF(OR(INDEX($B562:$D562,AA$5)="F",AND(AA$6&gt;0,$A562&lt;AA$6),AND(AA$7&gt;0,$A562&gt;AA$7)),0,MAX(0,ROUND((INDEX($E562:$G562,AA$5)-SUMIFS(TF_Timer,TF_Tekniker,AA$4,TF_Dato,$A562))*2,0)/2)))</f>
        <v/>
      </c>
      <c r="AB562">
        <f>IF(OR(AB$4="",$A562&gt;TODAY()),0,IF(OR(INDEX($B562:$D562,AB$5)="F",AND(AB$6&gt;0,$A562&lt;AB$6),AND(AB$7&gt;0,$A562&gt;AB$7)),0,MAX(0,ROUND((INDEX($E562:$G562,AB$5)-SUMIFS(TF_Timer,TF_Tekniker,AB$4,TF_Dato,$A562))*2,0)/2)))</f>
        <v/>
      </c>
      <c r="AC562">
        <f>IF(OR(AC$4="",$A562&gt;TODAY()),0,IF(OR(INDEX($B562:$D562,AC$5)="F",AND(AC$6&gt;0,$A562&lt;AC$6),AND(AC$7&gt;0,$A562&gt;AC$7)),0,MAX(0,ROUND((INDEX($E562:$G562,AC$5)-SUMIFS(TF_Timer,TF_Tekniker,AC$4,TF_Dato,$A562))*2,0)/2)))</f>
        <v/>
      </c>
      <c r="AD562">
        <f>IF(OR(AD$4="",$A562&gt;TODAY()),0,IF(OR(INDEX($B562:$D562,AD$5)="F",AND(AD$6&gt;0,$A562&lt;AD$6),AND(AD$7&gt;0,$A562&gt;AD$7)),0,MAX(0,ROUND((INDEX($E562:$G562,AD$5)-SUMIFS(TF_Timer,TF_Tekniker,AD$4,TF_Dato,$A562))*2,0)/2)))</f>
        <v/>
      </c>
      <c r="AE562">
        <f>IF(OR(AE$4="",$A562&gt;TODAY()),0,IF(OR(INDEX($B562:$D562,AE$5)="F",AND(AE$6&gt;0,$A562&lt;AE$6),AND(AE$7&gt;0,$A562&gt;AE$7)),0,MAX(0,ROUND((INDEX($E562:$G562,AE$5)-SUMIFS(TF_Timer,TF_Tekniker,AE$4,TF_Dato,$A562))*2,0)/2)))</f>
        <v/>
      </c>
      <c r="AF562">
        <f>IF(OR(AF$4="",$A562&gt;TODAY()),0,IF(OR(INDEX($B562:$D562,AF$5)="F",AND(AF$6&gt;0,$A562&lt;AF$6),AND(AF$7&gt;0,$A562&gt;AF$7)),0,MAX(0,ROUND((INDEX($E562:$G562,AF$5)-SUMIFS(TF_Timer,TF_Tekniker,AF$4,TF_Dato,$A562))*2,0)/2)))</f>
        <v/>
      </c>
      <c r="AG562">
        <f>IF(OR(AG$4="",$A562&gt;TODAY()),0,IF(OR(INDEX($B562:$D562,AG$5)="F",AND(AG$6&gt;0,$A562&lt;AG$6),AND(AG$7&gt;0,$A562&gt;AG$7)),0,MAX(0,ROUND((INDEX($E562:$G562,AG$5)-SUMIFS(TF_Timer,TF_Tekniker,AG$4,TF_Dato,$A562))*2,0)/2)))</f>
        <v/>
      </c>
      <c r="AH562">
        <f>IF(OR(AH$4="",$A562&gt;TODAY()),0,IF(OR(INDEX($B562:$D562,AH$5)="F",AND(AH$6&gt;0,$A562&lt;AH$6),AND(AH$7&gt;0,$A562&gt;AH$7)),0,MAX(0,ROUND((INDEX($E562:$G562,AH$5)-SUMIFS(TF_Timer,TF_Tekniker,AH$4,TF_Dato,$A562))*2,0)/2)))</f>
        <v/>
      </c>
      <c r="AI562">
        <f>IF(OR(AI$4="",$A562&gt;TODAY()),0,IF(OR(INDEX($B562:$D562,AI$5)="F",AND(AI$6&gt;0,$A562&lt;AI$6),AND(AI$7&gt;0,$A562&gt;AI$7)),0,MAX(0,ROUND((INDEX($E562:$G562,AI$5)-SUMIFS(TF_Timer,TF_Tekniker,AI$4,TF_Dato,$A562))*2,0)/2)))</f>
        <v/>
      </c>
      <c r="AJ562">
        <f>IF(OR(AJ$4="",$A562&gt;TODAY()),0,IF(OR(INDEX($B562:$D562,AJ$5)="F",AND(AJ$6&gt;0,$A562&lt;AJ$6),AND(AJ$7&gt;0,$A562&gt;AJ$7)),0,MAX(0,ROUND((INDEX($E562:$G562,AJ$5)-SUMIFS(TF_Timer,TF_Tekniker,AJ$4,TF_Dato,$A562))*2,0)/2)))</f>
        <v/>
      </c>
      <c r="AK562">
        <f>IF(OR(AK$4="",$A562&gt;TODAY()),0,IF(OR(INDEX($B562:$D562,AK$5)="F",AND(AK$6&gt;0,$A562&lt;AK$6),AND(AK$7&gt;0,$A562&gt;AK$7)),0,MAX(0,ROUND((INDEX($E562:$G562,AK$5)-SUMIFS(TF_Timer,TF_Tekniker,AK$4,TF_Dato,$A562))*2,0)/2)))</f>
        <v/>
      </c>
      <c r="AL562">
        <f>IF(OR(AL$4="",$A562&gt;TODAY()),0,IF(OR(INDEX($B562:$D562,AL$5)="F",AND(AL$6&gt;0,$A562&lt;AL$6),AND(AL$7&gt;0,$A562&gt;AL$7)),0,MAX(0,ROUND((INDEX($E562:$G562,AL$5)-SUMIFS(TF_Timer,TF_Tekniker,AL$4,TF_Dato,$A562))*2,0)/2)))</f>
        <v/>
      </c>
      <c r="AM562">
        <f>IF(OR(AM$4="",$A562&gt;TODAY()),0,IF(OR(INDEX($B562:$D562,AM$5)="F",AND(AM$6&gt;0,$A562&lt;AM$6),AND(AM$7&gt;0,$A562&gt;AM$7)),0,MAX(0,ROUND((INDEX($E562:$G562,AM$5)-SUMIFS(TF_Timer,TF_Tekniker,AM$4,TF_Dato,$A562))*2,0)/2)))</f>
        <v/>
      </c>
      <c r="AN562">
        <f>IF(OR(AN$4="",$A562&gt;TODAY()),0,IF(OR(INDEX($B562:$D562,AN$5)="F",AND(AN$6&gt;0,$A562&lt;AN$6),AND(AN$7&gt;0,$A562&gt;AN$7)),0,MAX(0,ROUND((INDEX($E562:$G562,AN$5)-SUMIFS(TF_Timer,TF_Tekniker,AN$4,TF_Dato,$A562))*2,0)/2)))</f>
        <v/>
      </c>
      <c r="AO562">
        <f>IF(OR(AO$4="",$A562&gt;TODAY()),0,IF(OR(INDEX($B562:$D562,AO$5)="F",AND(AO$6&gt;0,$A562&lt;AO$6),AND(AO$7&gt;0,$A562&gt;AO$7)),0,MAX(0,ROUND((INDEX($E562:$G562,AO$5)-SUMIFS(TF_Timer,TF_Tekniker,AO$4,TF_Dato,$A562))*2,0)/2)))</f>
        <v/>
      </c>
      <c r="AP562">
        <f>IF(OR(AP$4="",$A562&gt;TODAY()),0,IF(OR(INDEX($B562:$D562,AP$5)="F",AND(AP$6&gt;0,$A562&lt;AP$6),AND(AP$7&gt;0,$A562&gt;AP$7)),0,MAX(0,ROUND((INDEX($E562:$G562,AP$5)-SUMIFS(TF_Timer,TF_Tekniker,AP$4,TF_Dato,$A562))*2,0)/2)))</f>
        <v/>
      </c>
      <c r="AQ562">
        <f>IF(OR(AQ$4="",$A562&gt;TODAY()),0,IF(OR(INDEX($B562:$D562,AQ$5)="F",AND(AQ$6&gt;0,$A562&lt;AQ$6),AND(AQ$7&gt;0,$A562&gt;AQ$7)),0,MAX(0,ROUND((INDEX($E562:$G562,AQ$5)-SUMIFS(TF_Timer,TF_Tekniker,AQ$4,TF_Dato,$A562))*2,0)/2)))</f>
        <v/>
      </c>
      <c r="AR562">
        <f>IF(OR(AR$4="",$A562&gt;TODAY()),0,IF(OR(INDEX($B562:$D562,AR$5)="F",AND(AR$6&gt;0,$A562&lt;AR$6),AND(AR$7&gt;0,$A562&gt;AR$7)),0,MAX(0,ROUND((INDEX($E562:$G562,AR$5)-SUMIFS(TF_Timer,TF_Tekniker,AR$4,TF_Dato,$A562))*2,0)/2)))</f>
        <v/>
      </c>
      <c r="AS562">
        <f>IF(OR(AS$4="",$A562&gt;TODAY()),0,IF(OR(INDEX($B562:$D562,AS$5)="F",AND(AS$6&gt;0,$A562&lt;AS$6),AND(AS$7&gt;0,$A562&gt;AS$7)),0,MAX(0,ROUND((INDEX($E562:$G562,AS$5)-SUMIFS(TF_Timer,TF_Tekniker,AS$4,TF_Dato,$A562))*2,0)/2)))</f>
        <v/>
      </c>
      <c r="AT562">
        <f>IF(OR(AT$4="",$A562&gt;TODAY()),0,IF(OR(INDEX($B562:$D562,AT$5)="F",AND(AT$6&gt;0,$A562&lt;AT$6),AND(AT$7&gt;0,$A562&gt;AT$7)),0,MAX(0,ROUND((INDEX($E562:$G562,AT$5)-SUMIFS(TF_Timer,TF_Tekniker,AT$4,TF_Dato,$A562))*2,0)/2)))</f>
        <v/>
      </c>
      <c r="AU562">
        <f>IF(OR(AU$4="",$A562&gt;TODAY()),0,IF(OR(INDEX($B562:$D562,AU$5)="F",AND(AU$6&gt;0,$A562&lt;AU$6),AND(AU$7&gt;0,$A562&gt;AU$7)),0,MAX(0,ROUND((INDEX($E562:$G562,AU$5)-SUMIFS(TF_Timer,TF_Tekniker,AU$4,TF_Dato,$A562))*2,0)/2)))</f>
        <v/>
      </c>
      <c r="AV562">
        <f>IF(OR(AV$4="",$A562&gt;TODAY()),0,IF(OR(INDEX($B562:$D562,AV$5)="F",AND(AV$6&gt;0,$A562&lt;AV$6),AND(AV$7&gt;0,$A562&gt;AV$7)),0,MAX(0,ROUND((INDEX($E562:$G562,AV$5)-SUMIFS(TF_Timer,TF_Tekniker,AV$4,TF_Dato,$A562))*2,0)/2)))</f>
        <v/>
      </c>
      <c r="AW562">
        <f>IF(OR(AW$4="",$A562&gt;TODAY()),0,IF(OR(INDEX($B562:$D562,AW$5)="F",AND(AW$6&gt;0,$A562&lt;AW$6),AND(AW$7&gt;0,$A562&gt;AW$7)),0,MAX(0,ROUND((INDEX($E562:$G562,AW$5)-SUMIFS(TF_Timer,TF_Tekniker,AW$4,TF_Dato,$A562))*2,0)/2)))</f>
        <v/>
      </c>
      <c r="AX562">
        <f>IF(OR(AX$4="",$A562&gt;TODAY()),0,IF(OR(INDEX($B562:$D562,AX$5)="F",AND(AX$6&gt;0,$A562&lt;AX$6),AND(AX$7&gt;0,$A562&gt;AX$7)),0,MAX(0,ROUND((INDEX($E562:$G562,AX$5)-SUMIFS(TF_Timer,TF_Tekniker,AX$4,TF_Dato,$A562))*2,0)/2)))</f>
        <v/>
      </c>
      <c r="AY562">
        <f>IF(OR(AY$4="",$A562&gt;TODAY()),0,IF(OR(INDEX($B562:$D562,AY$5)="F",AND(AY$6&gt;0,$A562&lt;AY$6),AND(AY$7&gt;0,$A562&gt;AY$7)),0,MAX(0,ROUND((INDEX($E562:$G562,AY$5)-SUMIFS(TF_Timer,TF_Tekniker,AY$4,TF_Dato,$A562))*2,0)/2)))</f>
        <v/>
      </c>
      <c r="AZ562">
        <f>IF(OR(AZ$4="",$A562&gt;TODAY()),0,IF(OR(INDEX($B562:$D562,AZ$5)="F",AND(AZ$6&gt;0,$A562&lt;AZ$6),AND(AZ$7&gt;0,$A562&gt;AZ$7)),0,MAX(0,ROUND((INDEX($E562:$G562,AZ$5)-SUMIFS(TF_Timer,TF_Tekniker,AZ$4,TF_Dato,$A562))*2,0)/2)))</f>
        <v/>
      </c>
      <c r="BA562">
        <f>IF(OR(BA$4="",$A562&gt;TODAY()),0,IF(OR(INDEX($B562:$D562,BA$5)="F",AND(BA$6&gt;0,$A562&lt;BA$6),AND(BA$7&gt;0,$A562&gt;BA$7)),0,MAX(0,ROUND((INDEX($E562:$G562,BA$5)-SUMIFS(TF_Timer,TF_Tekniker,BA$4,TF_Dato,$A562))*2,0)/2)))</f>
        <v/>
      </c>
      <c r="BB562">
        <f>IF(OR(BB$4="",$A562&gt;TODAY()),0,IF(OR(INDEX($B562:$D562,BB$5)="F",AND(BB$6&gt;0,$A562&lt;BB$6),AND(BB$7&gt;0,$A562&gt;BB$7)),0,MAX(0,ROUND((INDEX($E562:$G562,BB$5)-SUMIFS(TF_Timer,TF_Tekniker,BB$4,TF_Dato,$A562))*2,0)/2)))</f>
        <v/>
      </c>
      <c r="BC562">
        <f>IF(OR(BC$4="",$A562&gt;TODAY()),0,IF(OR(INDEX($B562:$D562,BC$5)="F",AND(BC$6&gt;0,$A562&lt;BC$6),AND(BC$7&gt;0,$A562&gt;BC$7)),0,MAX(0,ROUND((INDEX($E562:$G562,BC$5)-SUMIFS(TF_Timer,TF_Tekniker,BC$4,TF_Dato,$A562))*2,0)/2)))</f>
        <v/>
      </c>
      <c r="BD562">
        <f>IF(OR(BD$4="",$A562&gt;TODAY()),0,IF(OR(INDEX($B562:$D562,BD$5)="F",AND(BD$6&gt;0,$A562&lt;BD$6),AND(BD$7&gt;0,$A562&gt;BD$7)),0,MAX(0,ROUND((INDEX($E562:$G562,BD$5)-SUMIFS(TF_Timer,TF_Tekniker,BD$4,TF_Dato,$A562))*2,0)/2)))</f>
        <v/>
      </c>
      <c r="BE562">
        <f>IF(OR(BE$4="",$A562&gt;TODAY()),0,IF(OR(INDEX($B562:$D562,BE$5)="F",AND(BE$6&gt;0,$A562&lt;BE$6),AND(BE$7&gt;0,$A562&gt;BE$7)),0,MAX(0,ROUND((INDEX($E562:$G562,BE$5)-SUMIFS(TF_Timer,TF_Tekniker,BE$4,TF_Dato,$A562))*2,0)/2)))</f>
        <v/>
      </c>
      <c r="BF562">
        <f>IF(OR(BF$4="",$A562&gt;TODAY()),0,IF(OR(INDEX($B562:$D562,BF$5)="F",AND(BF$6&gt;0,$A562&lt;BF$6),AND(BF$7&gt;0,$A562&gt;BF$7)),0,MAX(0,ROUND((INDEX($E562:$G562,BF$5)-SUMIFS(TF_Timer,TF_Tekniker,BF$4,TF_Dato,$A562))*2,0)/2)))</f>
        <v/>
      </c>
      <c r="BG562">
        <f>IF(OR(BG$4="",$A562&gt;TODAY()),0,IF(OR(INDEX($B562:$D562,BG$5)="F",AND(BG$6&gt;0,$A562&lt;BG$6),AND(BG$7&gt;0,$A562&gt;BG$7)),0,MAX(0,ROUND((INDEX($E562:$G562,BG$5)-SUMIFS(TF_Timer,TF_Tekniker,BG$4,TF_Dato,$A562))*2,0)/2)))</f>
        <v/>
      </c>
      <c r="BH562">
        <f>IF(OR(BH$4="",$A562&gt;TODAY()),0,IF(OR(INDEX($B562:$D562,BH$5)="F",AND(BH$6&gt;0,$A562&lt;BH$6),AND(BH$7&gt;0,$A562&gt;BH$7)),0,MAX(0,ROUND((INDEX($E562:$G562,BH$5)-SUMIFS(TF_Timer,TF_Tekniker,BH$4,TF_Dato,$A562))*2,0)/2)))</f>
        <v/>
      </c>
      <c r="BI562">
        <f>IF(OR(BI$4="",$A562&gt;TODAY()),0,IF(OR(INDEX($B562:$D562,BI$5)="F",AND(BI$6&gt;0,$A562&lt;BI$6),AND(BI$7&gt;0,$A562&gt;BI$7)),0,MAX(0,ROUND((INDEX($E562:$G562,BI$5)-SUMIFS(TF_Timer,TF_Tekniker,BI$4,TF_Dato,$A562))*2,0)/2)))</f>
        <v/>
      </c>
    </row>
    <row r="563">
      <c r="A563" s="64">
        <f>A562+1</f>
        <v/>
      </c>
      <c r="B563">
        <f>IF(MOD($A563-INDEX(SkiftStart,1),Syklus)&lt;DagK,"K",IF(MOD($A563-INDEX(SkiftStart,1),Syklus)&lt;DagK+DagH,"H",IF(MOD($A563-INDEX(SkiftStart,1),Syklus)&lt;DagK+DagH+DagD,"D","F")))</f>
        <v/>
      </c>
      <c r="C563">
        <f>IF(MOD($A563-INDEX(SkiftStart,2),Syklus)&lt;DagK,"K",IF(MOD($A563-INDEX(SkiftStart,2),Syklus)&lt;DagK+DagH,"H",IF(MOD($A563-INDEX(SkiftStart,2),Syklus)&lt;DagK+DagH+DagD,"D","F")))</f>
        <v/>
      </c>
      <c r="D563">
        <f>IF(MOD($A563-INDEX(SkiftStart,3),Syklus)&lt;DagK,"K",IF(MOD($A563-INDEX(SkiftStart,3),Syklus)&lt;DagK+DagH,"H",IF(MOD($A563-INDEX(SkiftStart,3),Syklus)&lt;DagK+DagH+DagD,"D","F")))</f>
        <v/>
      </c>
      <c r="E563">
        <f>IF(B563="F",0,IF(WEEKDAY($A563,2)=5,INDEX(TimerFr,MATCH(B563,FaseKode,0)),INDEX(TimerMT,MATCH(B563,FaseKode,0))))</f>
        <v/>
      </c>
      <c r="F563">
        <f>IF(C563="F",0,IF(WEEKDAY($A563,2)=5,INDEX(TimerFr,MATCH(C563,FaseKode,0)),INDEX(TimerMT,MATCH(C563,FaseKode,0))))</f>
        <v/>
      </c>
      <c r="G563">
        <f>IF(D563="F",0,IF(WEEKDAY($A563,2)=5,INDEX(TimerFr,MATCH(D563,FaseKode,0)),INDEX(TimerMT,MATCH(D563,FaseKode,0))))</f>
        <v/>
      </c>
      <c r="H563">
        <f>IF(OR(H$4="",$A563&gt;TODAY()),0,IF(OR(INDEX($B563:$D563,H$5)="F",AND(H$6&gt;0,$A563&lt;H$6),AND(H$7&gt;0,$A563&gt;H$7)),0,MAX(0,ROUND((INDEX($E563:$G563,H$5)-SUMIFS(TF_Timer,TF_Tekniker,H$4,TF_Dato,$A563))*2,0)/2)))</f>
        <v/>
      </c>
      <c r="I563">
        <f>IF(OR(I$4="",$A563&gt;TODAY()),0,IF(OR(INDEX($B563:$D563,I$5)="F",AND(I$6&gt;0,$A563&lt;I$6),AND(I$7&gt;0,$A563&gt;I$7)),0,MAX(0,ROUND((INDEX($E563:$G563,I$5)-SUMIFS(TF_Timer,TF_Tekniker,I$4,TF_Dato,$A563))*2,0)/2)))</f>
        <v/>
      </c>
      <c r="J563">
        <f>IF(OR(J$4="",$A563&gt;TODAY()),0,IF(OR(INDEX($B563:$D563,J$5)="F",AND(J$6&gt;0,$A563&lt;J$6),AND(J$7&gt;0,$A563&gt;J$7)),0,MAX(0,ROUND((INDEX($E563:$G563,J$5)-SUMIFS(TF_Timer,TF_Tekniker,J$4,TF_Dato,$A563))*2,0)/2)))</f>
        <v/>
      </c>
      <c r="K563">
        <f>IF(OR(K$4="",$A563&gt;TODAY()),0,IF(OR(INDEX($B563:$D563,K$5)="F",AND(K$6&gt;0,$A563&lt;K$6),AND(K$7&gt;0,$A563&gt;K$7)),0,MAX(0,ROUND((INDEX($E563:$G563,K$5)-SUMIFS(TF_Timer,TF_Tekniker,K$4,TF_Dato,$A563))*2,0)/2)))</f>
        <v/>
      </c>
      <c r="L563">
        <f>IF(OR(L$4="",$A563&gt;TODAY()),0,IF(OR(INDEX($B563:$D563,L$5)="F",AND(L$6&gt;0,$A563&lt;L$6),AND(L$7&gt;0,$A563&gt;L$7)),0,MAX(0,ROUND((INDEX($E563:$G563,L$5)-SUMIFS(TF_Timer,TF_Tekniker,L$4,TF_Dato,$A563))*2,0)/2)))</f>
        <v/>
      </c>
      <c r="M563">
        <f>IF(OR(M$4="",$A563&gt;TODAY()),0,IF(OR(INDEX($B563:$D563,M$5)="F",AND(M$6&gt;0,$A563&lt;M$6),AND(M$7&gt;0,$A563&gt;M$7)),0,MAX(0,ROUND((INDEX($E563:$G563,M$5)-SUMIFS(TF_Timer,TF_Tekniker,M$4,TF_Dato,$A563))*2,0)/2)))</f>
        <v/>
      </c>
      <c r="N563">
        <f>IF(OR(N$4="",$A563&gt;TODAY()),0,IF(OR(INDEX($B563:$D563,N$5)="F",AND(N$6&gt;0,$A563&lt;N$6),AND(N$7&gt;0,$A563&gt;N$7)),0,MAX(0,ROUND((INDEX($E563:$G563,N$5)-SUMIFS(TF_Timer,TF_Tekniker,N$4,TF_Dato,$A563))*2,0)/2)))</f>
        <v/>
      </c>
      <c r="O563">
        <f>IF(OR(O$4="",$A563&gt;TODAY()),0,IF(OR(INDEX($B563:$D563,O$5)="F",AND(O$6&gt;0,$A563&lt;O$6),AND(O$7&gt;0,$A563&gt;O$7)),0,MAX(0,ROUND((INDEX($E563:$G563,O$5)-SUMIFS(TF_Timer,TF_Tekniker,O$4,TF_Dato,$A563))*2,0)/2)))</f>
        <v/>
      </c>
      <c r="P563">
        <f>IF(OR(P$4="",$A563&gt;TODAY()),0,IF(OR(INDEX($B563:$D563,P$5)="F",AND(P$6&gt;0,$A563&lt;P$6),AND(P$7&gt;0,$A563&gt;P$7)),0,MAX(0,ROUND((INDEX($E563:$G563,P$5)-SUMIFS(TF_Timer,TF_Tekniker,P$4,TF_Dato,$A563))*2,0)/2)))</f>
        <v/>
      </c>
      <c r="Q563">
        <f>IF(OR(Q$4="",$A563&gt;TODAY()),0,IF(OR(INDEX($B563:$D563,Q$5)="F",AND(Q$6&gt;0,$A563&lt;Q$6),AND(Q$7&gt;0,$A563&gt;Q$7)),0,MAX(0,ROUND((INDEX($E563:$G563,Q$5)-SUMIFS(TF_Timer,TF_Tekniker,Q$4,TF_Dato,$A563))*2,0)/2)))</f>
        <v/>
      </c>
      <c r="R563">
        <f>IF(OR(R$4="",$A563&gt;TODAY()),0,IF(OR(INDEX($B563:$D563,R$5)="F",AND(R$6&gt;0,$A563&lt;R$6),AND(R$7&gt;0,$A563&gt;R$7)),0,MAX(0,ROUND((INDEX($E563:$G563,R$5)-SUMIFS(TF_Timer,TF_Tekniker,R$4,TF_Dato,$A563))*2,0)/2)))</f>
        <v/>
      </c>
      <c r="S563">
        <f>IF(OR(S$4="",$A563&gt;TODAY()),0,IF(OR(INDEX($B563:$D563,S$5)="F",AND(S$6&gt;0,$A563&lt;S$6),AND(S$7&gt;0,$A563&gt;S$7)),0,MAX(0,ROUND((INDEX($E563:$G563,S$5)-SUMIFS(TF_Timer,TF_Tekniker,S$4,TF_Dato,$A563))*2,0)/2)))</f>
        <v/>
      </c>
      <c r="T563">
        <f>IF(OR(T$4="",$A563&gt;TODAY()),0,IF(OR(INDEX($B563:$D563,T$5)="F",AND(T$6&gt;0,$A563&lt;T$6),AND(T$7&gt;0,$A563&gt;T$7)),0,MAX(0,ROUND((INDEX($E563:$G563,T$5)-SUMIFS(TF_Timer,TF_Tekniker,T$4,TF_Dato,$A563))*2,0)/2)))</f>
        <v/>
      </c>
      <c r="U563">
        <f>IF(OR(U$4="",$A563&gt;TODAY()),0,IF(OR(INDEX($B563:$D563,U$5)="F",AND(U$6&gt;0,$A563&lt;U$6),AND(U$7&gt;0,$A563&gt;U$7)),0,MAX(0,ROUND((INDEX($E563:$G563,U$5)-SUMIFS(TF_Timer,TF_Tekniker,U$4,TF_Dato,$A563))*2,0)/2)))</f>
        <v/>
      </c>
      <c r="V563">
        <f>IF(OR(V$4="",$A563&gt;TODAY()),0,IF(OR(INDEX($B563:$D563,V$5)="F",AND(V$6&gt;0,$A563&lt;V$6),AND(V$7&gt;0,$A563&gt;V$7)),0,MAX(0,ROUND((INDEX($E563:$G563,V$5)-SUMIFS(TF_Timer,TF_Tekniker,V$4,TF_Dato,$A563))*2,0)/2)))</f>
        <v/>
      </c>
      <c r="W563">
        <f>IF(OR(W$4="",$A563&gt;TODAY()),0,IF(OR(INDEX($B563:$D563,W$5)="F",AND(W$6&gt;0,$A563&lt;W$6),AND(W$7&gt;0,$A563&gt;W$7)),0,MAX(0,ROUND((INDEX($E563:$G563,W$5)-SUMIFS(TF_Timer,TF_Tekniker,W$4,TF_Dato,$A563))*2,0)/2)))</f>
        <v/>
      </c>
      <c r="X563">
        <f>IF(OR(X$4="",$A563&gt;TODAY()),0,IF(OR(INDEX($B563:$D563,X$5)="F",AND(X$6&gt;0,$A563&lt;X$6),AND(X$7&gt;0,$A563&gt;X$7)),0,MAX(0,ROUND((INDEX($E563:$G563,X$5)-SUMIFS(TF_Timer,TF_Tekniker,X$4,TF_Dato,$A563))*2,0)/2)))</f>
        <v/>
      </c>
      <c r="Y563">
        <f>IF(OR(Y$4="",$A563&gt;TODAY()),0,IF(OR(INDEX($B563:$D563,Y$5)="F",AND(Y$6&gt;0,$A563&lt;Y$6),AND(Y$7&gt;0,$A563&gt;Y$7)),0,MAX(0,ROUND((INDEX($E563:$G563,Y$5)-SUMIFS(TF_Timer,TF_Tekniker,Y$4,TF_Dato,$A563))*2,0)/2)))</f>
        <v/>
      </c>
      <c r="Z563">
        <f>IF(OR(Z$4="",$A563&gt;TODAY()),0,IF(OR(INDEX($B563:$D563,Z$5)="F",AND(Z$6&gt;0,$A563&lt;Z$6),AND(Z$7&gt;0,$A563&gt;Z$7)),0,MAX(0,ROUND((INDEX($E563:$G563,Z$5)-SUMIFS(TF_Timer,TF_Tekniker,Z$4,TF_Dato,$A563))*2,0)/2)))</f>
        <v/>
      </c>
      <c r="AA563">
        <f>IF(OR(AA$4="",$A563&gt;TODAY()),0,IF(OR(INDEX($B563:$D563,AA$5)="F",AND(AA$6&gt;0,$A563&lt;AA$6),AND(AA$7&gt;0,$A563&gt;AA$7)),0,MAX(0,ROUND((INDEX($E563:$G563,AA$5)-SUMIFS(TF_Timer,TF_Tekniker,AA$4,TF_Dato,$A563))*2,0)/2)))</f>
        <v/>
      </c>
      <c r="AB563">
        <f>IF(OR(AB$4="",$A563&gt;TODAY()),0,IF(OR(INDEX($B563:$D563,AB$5)="F",AND(AB$6&gt;0,$A563&lt;AB$6),AND(AB$7&gt;0,$A563&gt;AB$7)),0,MAX(0,ROUND((INDEX($E563:$G563,AB$5)-SUMIFS(TF_Timer,TF_Tekniker,AB$4,TF_Dato,$A563))*2,0)/2)))</f>
        <v/>
      </c>
      <c r="AC563">
        <f>IF(OR(AC$4="",$A563&gt;TODAY()),0,IF(OR(INDEX($B563:$D563,AC$5)="F",AND(AC$6&gt;0,$A563&lt;AC$6),AND(AC$7&gt;0,$A563&gt;AC$7)),0,MAX(0,ROUND((INDEX($E563:$G563,AC$5)-SUMIFS(TF_Timer,TF_Tekniker,AC$4,TF_Dato,$A563))*2,0)/2)))</f>
        <v/>
      </c>
      <c r="AD563">
        <f>IF(OR(AD$4="",$A563&gt;TODAY()),0,IF(OR(INDEX($B563:$D563,AD$5)="F",AND(AD$6&gt;0,$A563&lt;AD$6),AND(AD$7&gt;0,$A563&gt;AD$7)),0,MAX(0,ROUND((INDEX($E563:$G563,AD$5)-SUMIFS(TF_Timer,TF_Tekniker,AD$4,TF_Dato,$A563))*2,0)/2)))</f>
        <v/>
      </c>
      <c r="AE563">
        <f>IF(OR(AE$4="",$A563&gt;TODAY()),0,IF(OR(INDEX($B563:$D563,AE$5)="F",AND(AE$6&gt;0,$A563&lt;AE$6),AND(AE$7&gt;0,$A563&gt;AE$7)),0,MAX(0,ROUND((INDEX($E563:$G563,AE$5)-SUMIFS(TF_Timer,TF_Tekniker,AE$4,TF_Dato,$A563))*2,0)/2)))</f>
        <v/>
      </c>
      <c r="AF563">
        <f>IF(OR(AF$4="",$A563&gt;TODAY()),0,IF(OR(INDEX($B563:$D563,AF$5)="F",AND(AF$6&gt;0,$A563&lt;AF$6),AND(AF$7&gt;0,$A563&gt;AF$7)),0,MAX(0,ROUND((INDEX($E563:$G563,AF$5)-SUMIFS(TF_Timer,TF_Tekniker,AF$4,TF_Dato,$A563))*2,0)/2)))</f>
        <v/>
      </c>
      <c r="AG563">
        <f>IF(OR(AG$4="",$A563&gt;TODAY()),0,IF(OR(INDEX($B563:$D563,AG$5)="F",AND(AG$6&gt;0,$A563&lt;AG$6),AND(AG$7&gt;0,$A563&gt;AG$7)),0,MAX(0,ROUND((INDEX($E563:$G563,AG$5)-SUMIFS(TF_Timer,TF_Tekniker,AG$4,TF_Dato,$A563))*2,0)/2)))</f>
        <v/>
      </c>
      <c r="AH563">
        <f>IF(OR(AH$4="",$A563&gt;TODAY()),0,IF(OR(INDEX($B563:$D563,AH$5)="F",AND(AH$6&gt;0,$A563&lt;AH$6),AND(AH$7&gt;0,$A563&gt;AH$7)),0,MAX(0,ROUND((INDEX($E563:$G563,AH$5)-SUMIFS(TF_Timer,TF_Tekniker,AH$4,TF_Dato,$A563))*2,0)/2)))</f>
        <v/>
      </c>
      <c r="AI563">
        <f>IF(OR(AI$4="",$A563&gt;TODAY()),0,IF(OR(INDEX($B563:$D563,AI$5)="F",AND(AI$6&gt;0,$A563&lt;AI$6),AND(AI$7&gt;0,$A563&gt;AI$7)),0,MAX(0,ROUND((INDEX($E563:$G563,AI$5)-SUMIFS(TF_Timer,TF_Tekniker,AI$4,TF_Dato,$A563))*2,0)/2)))</f>
        <v/>
      </c>
      <c r="AJ563">
        <f>IF(OR(AJ$4="",$A563&gt;TODAY()),0,IF(OR(INDEX($B563:$D563,AJ$5)="F",AND(AJ$6&gt;0,$A563&lt;AJ$6),AND(AJ$7&gt;0,$A563&gt;AJ$7)),0,MAX(0,ROUND((INDEX($E563:$G563,AJ$5)-SUMIFS(TF_Timer,TF_Tekniker,AJ$4,TF_Dato,$A563))*2,0)/2)))</f>
        <v/>
      </c>
      <c r="AK563">
        <f>IF(OR(AK$4="",$A563&gt;TODAY()),0,IF(OR(INDEX($B563:$D563,AK$5)="F",AND(AK$6&gt;0,$A563&lt;AK$6),AND(AK$7&gt;0,$A563&gt;AK$7)),0,MAX(0,ROUND((INDEX($E563:$G563,AK$5)-SUMIFS(TF_Timer,TF_Tekniker,AK$4,TF_Dato,$A563))*2,0)/2)))</f>
        <v/>
      </c>
      <c r="AL563">
        <f>IF(OR(AL$4="",$A563&gt;TODAY()),0,IF(OR(INDEX($B563:$D563,AL$5)="F",AND(AL$6&gt;0,$A563&lt;AL$6),AND(AL$7&gt;0,$A563&gt;AL$7)),0,MAX(0,ROUND((INDEX($E563:$G563,AL$5)-SUMIFS(TF_Timer,TF_Tekniker,AL$4,TF_Dato,$A563))*2,0)/2)))</f>
        <v/>
      </c>
      <c r="AM563">
        <f>IF(OR(AM$4="",$A563&gt;TODAY()),0,IF(OR(INDEX($B563:$D563,AM$5)="F",AND(AM$6&gt;0,$A563&lt;AM$6),AND(AM$7&gt;0,$A563&gt;AM$7)),0,MAX(0,ROUND((INDEX($E563:$G563,AM$5)-SUMIFS(TF_Timer,TF_Tekniker,AM$4,TF_Dato,$A563))*2,0)/2)))</f>
        <v/>
      </c>
      <c r="AN563">
        <f>IF(OR(AN$4="",$A563&gt;TODAY()),0,IF(OR(INDEX($B563:$D563,AN$5)="F",AND(AN$6&gt;0,$A563&lt;AN$6),AND(AN$7&gt;0,$A563&gt;AN$7)),0,MAX(0,ROUND((INDEX($E563:$G563,AN$5)-SUMIFS(TF_Timer,TF_Tekniker,AN$4,TF_Dato,$A563))*2,0)/2)))</f>
        <v/>
      </c>
      <c r="AO563">
        <f>IF(OR(AO$4="",$A563&gt;TODAY()),0,IF(OR(INDEX($B563:$D563,AO$5)="F",AND(AO$6&gt;0,$A563&lt;AO$6),AND(AO$7&gt;0,$A563&gt;AO$7)),0,MAX(0,ROUND((INDEX($E563:$G563,AO$5)-SUMIFS(TF_Timer,TF_Tekniker,AO$4,TF_Dato,$A563))*2,0)/2)))</f>
        <v/>
      </c>
      <c r="AP563">
        <f>IF(OR(AP$4="",$A563&gt;TODAY()),0,IF(OR(INDEX($B563:$D563,AP$5)="F",AND(AP$6&gt;0,$A563&lt;AP$6),AND(AP$7&gt;0,$A563&gt;AP$7)),0,MAX(0,ROUND((INDEX($E563:$G563,AP$5)-SUMIFS(TF_Timer,TF_Tekniker,AP$4,TF_Dato,$A563))*2,0)/2)))</f>
        <v/>
      </c>
      <c r="AQ563">
        <f>IF(OR(AQ$4="",$A563&gt;TODAY()),0,IF(OR(INDEX($B563:$D563,AQ$5)="F",AND(AQ$6&gt;0,$A563&lt;AQ$6),AND(AQ$7&gt;0,$A563&gt;AQ$7)),0,MAX(0,ROUND((INDEX($E563:$G563,AQ$5)-SUMIFS(TF_Timer,TF_Tekniker,AQ$4,TF_Dato,$A563))*2,0)/2)))</f>
        <v/>
      </c>
      <c r="AR563">
        <f>IF(OR(AR$4="",$A563&gt;TODAY()),0,IF(OR(INDEX($B563:$D563,AR$5)="F",AND(AR$6&gt;0,$A563&lt;AR$6),AND(AR$7&gt;0,$A563&gt;AR$7)),0,MAX(0,ROUND((INDEX($E563:$G563,AR$5)-SUMIFS(TF_Timer,TF_Tekniker,AR$4,TF_Dato,$A563))*2,0)/2)))</f>
        <v/>
      </c>
      <c r="AS563">
        <f>IF(OR(AS$4="",$A563&gt;TODAY()),0,IF(OR(INDEX($B563:$D563,AS$5)="F",AND(AS$6&gt;0,$A563&lt;AS$6),AND(AS$7&gt;0,$A563&gt;AS$7)),0,MAX(0,ROUND((INDEX($E563:$G563,AS$5)-SUMIFS(TF_Timer,TF_Tekniker,AS$4,TF_Dato,$A563))*2,0)/2)))</f>
        <v/>
      </c>
      <c r="AT563">
        <f>IF(OR(AT$4="",$A563&gt;TODAY()),0,IF(OR(INDEX($B563:$D563,AT$5)="F",AND(AT$6&gt;0,$A563&lt;AT$6),AND(AT$7&gt;0,$A563&gt;AT$7)),0,MAX(0,ROUND((INDEX($E563:$G563,AT$5)-SUMIFS(TF_Timer,TF_Tekniker,AT$4,TF_Dato,$A563))*2,0)/2)))</f>
        <v/>
      </c>
      <c r="AU563">
        <f>IF(OR(AU$4="",$A563&gt;TODAY()),0,IF(OR(INDEX($B563:$D563,AU$5)="F",AND(AU$6&gt;0,$A563&lt;AU$6),AND(AU$7&gt;0,$A563&gt;AU$7)),0,MAX(0,ROUND((INDEX($E563:$G563,AU$5)-SUMIFS(TF_Timer,TF_Tekniker,AU$4,TF_Dato,$A563))*2,0)/2)))</f>
        <v/>
      </c>
      <c r="AV563">
        <f>IF(OR(AV$4="",$A563&gt;TODAY()),0,IF(OR(INDEX($B563:$D563,AV$5)="F",AND(AV$6&gt;0,$A563&lt;AV$6),AND(AV$7&gt;0,$A563&gt;AV$7)),0,MAX(0,ROUND((INDEX($E563:$G563,AV$5)-SUMIFS(TF_Timer,TF_Tekniker,AV$4,TF_Dato,$A563))*2,0)/2)))</f>
        <v/>
      </c>
      <c r="AW563">
        <f>IF(OR(AW$4="",$A563&gt;TODAY()),0,IF(OR(INDEX($B563:$D563,AW$5)="F",AND(AW$6&gt;0,$A563&lt;AW$6),AND(AW$7&gt;0,$A563&gt;AW$7)),0,MAX(0,ROUND((INDEX($E563:$G563,AW$5)-SUMIFS(TF_Timer,TF_Tekniker,AW$4,TF_Dato,$A563))*2,0)/2)))</f>
        <v/>
      </c>
      <c r="AX563">
        <f>IF(OR(AX$4="",$A563&gt;TODAY()),0,IF(OR(INDEX($B563:$D563,AX$5)="F",AND(AX$6&gt;0,$A563&lt;AX$6),AND(AX$7&gt;0,$A563&gt;AX$7)),0,MAX(0,ROUND((INDEX($E563:$G563,AX$5)-SUMIFS(TF_Timer,TF_Tekniker,AX$4,TF_Dato,$A563))*2,0)/2)))</f>
        <v/>
      </c>
      <c r="AY563">
        <f>IF(OR(AY$4="",$A563&gt;TODAY()),0,IF(OR(INDEX($B563:$D563,AY$5)="F",AND(AY$6&gt;0,$A563&lt;AY$6),AND(AY$7&gt;0,$A563&gt;AY$7)),0,MAX(0,ROUND((INDEX($E563:$G563,AY$5)-SUMIFS(TF_Timer,TF_Tekniker,AY$4,TF_Dato,$A563))*2,0)/2)))</f>
        <v/>
      </c>
      <c r="AZ563">
        <f>IF(OR(AZ$4="",$A563&gt;TODAY()),0,IF(OR(INDEX($B563:$D563,AZ$5)="F",AND(AZ$6&gt;0,$A563&lt;AZ$6),AND(AZ$7&gt;0,$A563&gt;AZ$7)),0,MAX(0,ROUND((INDEX($E563:$G563,AZ$5)-SUMIFS(TF_Timer,TF_Tekniker,AZ$4,TF_Dato,$A563))*2,0)/2)))</f>
        <v/>
      </c>
      <c r="BA563">
        <f>IF(OR(BA$4="",$A563&gt;TODAY()),0,IF(OR(INDEX($B563:$D563,BA$5)="F",AND(BA$6&gt;0,$A563&lt;BA$6),AND(BA$7&gt;0,$A563&gt;BA$7)),0,MAX(0,ROUND((INDEX($E563:$G563,BA$5)-SUMIFS(TF_Timer,TF_Tekniker,BA$4,TF_Dato,$A563))*2,0)/2)))</f>
        <v/>
      </c>
      <c r="BB563">
        <f>IF(OR(BB$4="",$A563&gt;TODAY()),0,IF(OR(INDEX($B563:$D563,BB$5)="F",AND(BB$6&gt;0,$A563&lt;BB$6),AND(BB$7&gt;0,$A563&gt;BB$7)),0,MAX(0,ROUND((INDEX($E563:$G563,BB$5)-SUMIFS(TF_Timer,TF_Tekniker,BB$4,TF_Dato,$A563))*2,0)/2)))</f>
        <v/>
      </c>
      <c r="BC563">
        <f>IF(OR(BC$4="",$A563&gt;TODAY()),0,IF(OR(INDEX($B563:$D563,BC$5)="F",AND(BC$6&gt;0,$A563&lt;BC$6),AND(BC$7&gt;0,$A563&gt;BC$7)),0,MAX(0,ROUND((INDEX($E563:$G563,BC$5)-SUMIFS(TF_Timer,TF_Tekniker,BC$4,TF_Dato,$A563))*2,0)/2)))</f>
        <v/>
      </c>
      <c r="BD563">
        <f>IF(OR(BD$4="",$A563&gt;TODAY()),0,IF(OR(INDEX($B563:$D563,BD$5)="F",AND(BD$6&gt;0,$A563&lt;BD$6),AND(BD$7&gt;0,$A563&gt;BD$7)),0,MAX(0,ROUND((INDEX($E563:$G563,BD$5)-SUMIFS(TF_Timer,TF_Tekniker,BD$4,TF_Dato,$A563))*2,0)/2)))</f>
        <v/>
      </c>
      <c r="BE563">
        <f>IF(OR(BE$4="",$A563&gt;TODAY()),0,IF(OR(INDEX($B563:$D563,BE$5)="F",AND(BE$6&gt;0,$A563&lt;BE$6),AND(BE$7&gt;0,$A563&gt;BE$7)),0,MAX(0,ROUND((INDEX($E563:$G563,BE$5)-SUMIFS(TF_Timer,TF_Tekniker,BE$4,TF_Dato,$A563))*2,0)/2)))</f>
        <v/>
      </c>
      <c r="BF563">
        <f>IF(OR(BF$4="",$A563&gt;TODAY()),0,IF(OR(INDEX($B563:$D563,BF$5)="F",AND(BF$6&gt;0,$A563&lt;BF$6),AND(BF$7&gt;0,$A563&gt;BF$7)),0,MAX(0,ROUND((INDEX($E563:$G563,BF$5)-SUMIFS(TF_Timer,TF_Tekniker,BF$4,TF_Dato,$A563))*2,0)/2)))</f>
        <v/>
      </c>
      <c r="BG563">
        <f>IF(OR(BG$4="",$A563&gt;TODAY()),0,IF(OR(INDEX($B563:$D563,BG$5)="F",AND(BG$6&gt;0,$A563&lt;BG$6),AND(BG$7&gt;0,$A563&gt;BG$7)),0,MAX(0,ROUND((INDEX($E563:$G563,BG$5)-SUMIFS(TF_Timer,TF_Tekniker,BG$4,TF_Dato,$A563))*2,0)/2)))</f>
        <v/>
      </c>
      <c r="BH563">
        <f>IF(OR(BH$4="",$A563&gt;TODAY()),0,IF(OR(INDEX($B563:$D563,BH$5)="F",AND(BH$6&gt;0,$A563&lt;BH$6),AND(BH$7&gt;0,$A563&gt;BH$7)),0,MAX(0,ROUND((INDEX($E563:$G563,BH$5)-SUMIFS(TF_Timer,TF_Tekniker,BH$4,TF_Dato,$A563))*2,0)/2)))</f>
        <v/>
      </c>
      <c r="BI563">
        <f>IF(OR(BI$4="",$A563&gt;TODAY()),0,IF(OR(INDEX($B563:$D563,BI$5)="F",AND(BI$6&gt;0,$A563&lt;BI$6),AND(BI$7&gt;0,$A563&gt;BI$7)),0,MAX(0,ROUND((INDEX($E563:$G563,BI$5)-SUMIFS(TF_Timer,TF_Tekniker,BI$4,TF_Dato,$A563))*2,0)/2)))</f>
        <v/>
      </c>
    </row>
    <row r="564">
      <c r="A564" s="64">
        <f>A563+1</f>
        <v/>
      </c>
      <c r="B564">
        <f>IF(MOD($A564-INDEX(SkiftStart,1),Syklus)&lt;DagK,"K",IF(MOD($A564-INDEX(SkiftStart,1),Syklus)&lt;DagK+DagH,"H",IF(MOD($A564-INDEX(SkiftStart,1),Syklus)&lt;DagK+DagH+DagD,"D","F")))</f>
        <v/>
      </c>
      <c r="C564">
        <f>IF(MOD($A564-INDEX(SkiftStart,2),Syklus)&lt;DagK,"K",IF(MOD($A564-INDEX(SkiftStart,2),Syklus)&lt;DagK+DagH,"H",IF(MOD($A564-INDEX(SkiftStart,2),Syklus)&lt;DagK+DagH+DagD,"D","F")))</f>
        <v/>
      </c>
      <c r="D564">
        <f>IF(MOD($A564-INDEX(SkiftStart,3),Syklus)&lt;DagK,"K",IF(MOD($A564-INDEX(SkiftStart,3),Syklus)&lt;DagK+DagH,"H",IF(MOD($A564-INDEX(SkiftStart,3),Syklus)&lt;DagK+DagH+DagD,"D","F")))</f>
        <v/>
      </c>
      <c r="E564">
        <f>IF(B564="F",0,IF(WEEKDAY($A564,2)=5,INDEX(TimerFr,MATCH(B564,FaseKode,0)),INDEX(TimerMT,MATCH(B564,FaseKode,0))))</f>
        <v/>
      </c>
      <c r="F564">
        <f>IF(C564="F",0,IF(WEEKDAY($A564,2)=5,INDEX(TimerFr,MATCH(C564,FaseKode,0)),INDEX(TimerMT,MATCH(C564,FaseKode,0))))</f>
        <v/>
      </c>
      <c r="G564">
        <f>IF(D564="F",0,IF(WEEKDAY($A564,2)=5,INDEX(TimerFr,MATCH(D564,FaseKode,0)),INDEX(TimerMT,MATCH(D564,FaseKode,0))))</f>
        <v/>
      </c>
      <c r="H564">
        <f>IF(OR(H$4="",$A564&gt;TODAY()),0,IF(OR(INDEX($B564:$D564,H$5)="F",AND(H$6&gt;0,$A564&lt;H$6),AND(H$7&gt;0,$A564&gt;H$7)),0,MAX(0,ROUND((INDEX($E564:$G564,H$5)-SUMIFS(TF_Timer,TF_Tekniker,H$4,TF_Dato,$A564))*2,0)/2)))</f>
        <v/>
      </c>
      <c r="I564">
        <f>IF(OR(I$4="",$A564&gt;TODAY()),0,IF(OR(INDEX($B564:$D564,I$5)="F",AND(I$6&gt;0,$A564&lt;I$6),AND(I$7&gt;0,$A564&gt;I$7)),0,MAX(0,ROUND((INDEX($E564:$G564,I$5)-SUMIFS(TF_Timer,TF_Tekniker,I$4,TF_Dato,$A564))*2,0)/2)))</f>
        <v/>
      </c>
      <c r="J564">
        <f>IF(OR(J$4="",$A564&gt;TODAY()),0,IF(OR(INDEX($B564:$D564,J$5)="F",AND(J$6&gt;0,$A564&lt;J$6),AND(J$7&gt;0,$A564&gt;J$7)),0,MAX(0,ROUND((INDEX($E564:$G564,J$5)-SUMIFS(TF_Timer,TF_Tekniker,J$4,TF_Dato,$A564))*2,0)/2)))</f>
        <v/>
      </c>
      <c r="K564">
        <f>IF(OR(K$4="",$A564&gt;TODAY()),0,IF(OR(INDEX($B564:$D564,K$5)="F",AND(K$6&gt;0,$A564&lt;K$6),AND(K$7&gt;0,$A564&gt;K$7)),0,MAX(0,ROUND((INDEX($E564:$G564,K$5)-SUMIFS(TF_Timer,TF_Tekniker,K$4,TF_Dato,$A564))*2,0)/2)))</f>
        <v/>
      </c>
      <c r="L564">
        <f>IF(OR(L$4="",$A564&gt;TODAY()),0,IF(OR(INDEX($B564:$D564,L$5)="F",AND(L$6&gt;0,$A564&lt;L$6),AND(L$7&gt;0,$A564&gt;L$7)),0,MAX(0,ROUND((INDEX($E564:$G564,L$5)-SUMIFS(TF_Timer,TF_Tekniker,L$4,TF_Dato,$A564))*2,0)/2)))</f>
        <v/>
      </c>
      <c r="M564">
        <f>IF(OR(M$4="",$A564&gt;TODAY()),0,IF(OR(INDEX($B564:$D564,M$5)="F",AND(M$6&gt;0,$A564&lt;M$6),AND(M$7&gt;0,$A564&gt;M$7)),0,MAX(0,ROUND((INDEX($E564:$G564,M$5)-SUMIFS(TF_Timer,TF_Tekniker,M$4,TF_Dato,$A564))*2,0)/2)))</f>
        <v/>
      </c>
      <c r="N564">
        <f>IF(OR(N$4="",$A564&gt;TODAY()),0,IF(OR(INDEX($B564:$D564,N$5)="F",AND(N$6&gt;0,$A564&lt;N$6),AND(N$7&gt;0,$A564&gt;N$7)),0,MAX(0,ROUND((INDEX($E564:$G564,N$5)-SUMIFS(TF_Timer,TF_Tekniker,N$4,TF_Dato,$A564))*2,0)/2)))</f>
        <v/>
      </c>
      <c r="O564">
        <f>IF(OR(O$4="",$A564&gt;TODAY()),0,IF(OR(INDEX($B564:$D564,O$5)="F",AND(O$6&gt;0,$A564&lt;O$6),AND(O$7&gt;0,$A564&gt;O$7)),0,MAX(0,ROUND((INDEX($E564:$G564,O$5)-SUMIFS(TF_Timer,TF_Tekniker,O$4,TF_Dato,$A564))*2,0)/2)))</f>
        <v/>
      </c>
      <c r="P564">
        <f>IF(OR(P$4="",$A564&gt;TODAY()),0,IF(OR(INDEX($B564:$D564,P$5)="F",AND(P$6&gt;0,$A564&lt;P$6),AND(P$7&gt;0,$A564&gt;P$7)),0,MAX(0,ROUND((INDEX($E564:$G564,P$5)-SUMIFS(TF_Timer,TF_Tekniker,P$4,TF_Dato,$A564))*2,0)/2)))</f>
        <v/>
      </c>
      <c r="Q564">
        <f>IF(OR(Q$4="",$A564&gt;TODAY()),0,IF(OR(INDEX($B564:$D564,Q$5)="F",AND(Q$6&gt;0,$A564&lt;Q$6),AND(Q$7&gt;0,$A564&gt;Q$7)),0,MAX(0,ROUND((INDEX($E564:$G564,Q$5)-SUMIFS(TF_Timer,TF_Tekniker,Q$4,TF_Dato,$A564))*2,0)/2)))</f>
        <v/>
      </c>
      <c r="R564">
        <f>IF(OR(R$4="",$A564&gt;TODAY()),0,IF(OR(INDEX($B564:$D564,R$5)="F",AND(R$6&gt;0,$A564&lt;R$6),AND(R$7&gt;0,$A564&gt;R$7)),0,MAX(0,ROUND((INDEX($E564:$G564,R$5)-SUMIFS(TF_Timer,TF_Tekniker,R$4,TF_Dato,$A564))*2,0)/2)))</f>
        <v/>
      </c>
      <c r="S564">
        <f>IF(OR(S$4="",$A564&gt;TODAY()),0,IF(OR(INDEX($B564:$D564,S$5)="F",AND(S$6&gt;0,$A564&lt;S$6),AND(S$7&gt;0,$A564&gt;S$7)),0,MAX(0,ROUND((INDEX($E564:$G564,S$5)-SUMIFS(TF_Timer,TF_Tekniker,S$4,TF_Dato,$A564))*2,0)/2)))</f>
        <v/>
      </c>
      <c r="T564">
        <f>IF(OR(T$4="",$A564&gt;TODAY()),0,IF(OR(INDEX($B564:$D564,T$5)="F",AND(T$6&gt;0,$A564&lt;T$6),AND(T$7&gt;0,$A564&gt;T$7)),0,MAX(0,ROUND((INDEX($E564:$G564,T$5)-SUMIFS(TF_Timer,TF_Tekniker,T$4,TF_Dato,$A564))*2,0)/2)))</f>
        <v/>
      </c>
      <c r="U564">
        <f>IF(OR(U$4="",$A564&gt;TODAY()),0,IF(OR(INDEX($B564:$D564,U$5)="F",AND(U$6&gt;0,$A564&lt;U$6),AND(U$7&gt;0,$A564&gt;U$7)),0,MAX(0,ROUND((INDEX($E564:$G564,U$5)-SUMIFS(TF_Timer,TF_Tekniker,U$4,TF_Dato,$A564))*2,0)/2)))</f>
        <v/>
      </c>
      <c r="V564">
        <f>IF(OR(V$4="",$A564&gt;TODAY()),0,IF(OR(INDEX($B564:$D564,V$5)="F",AND(V$6&gt;0,$A564&lt;V$6),AND(V$7&gt;0,$A564&gt;V$7)),0,MAX(0,ROUND((INDEX($E564:$G564,V$5)-SUMIFS(TF_Timer,TF_Tekniker,V$4,TF_Dato,$A564))*2,0)/2)))</f>
        <v/>
      </c>
      <c r="W564">
        <f>IF(OR(W$4="",$A564&gt;TODAY()),0,IF(OR(INDEX($B564:$D564,W$5)="F",AND(W$6&gt;0,$A564&lt;W$6),AND(W$7&gt;0,$A564&gt;W$7)),0,MAX(0,ROUND((INDEX($E564:$G564,W$5)-SUMIFS(TF_Timer,TF_Tekniker,W$4,TF_Dato,$A564))*2,0)/2)))</f>
        <v/>
      </c>
      <c r="X564">
        <f>IF(OR(X$4="",$A564&gt;TODAY()),0,IF(OR(INDEX($B564:$D564,X$5)="F",AND(X$6&gt;0,$A564&lt;X$6),AND(X$7&gt;0,$A564&gt;X$7)),0,MAX(0,ROUND((INDEX($E564:$G564,X$5)-SUMIFS(TF_Timer,TF_Tekniker,X$4,TF_Dato,$A564))*2,0)/2)))</f>
        <v/>
      </c>
      <c r="Y564">
        <f>IF(OR(Y$4="",$A564&gt;TODAY()),0,IF(OR(INDEX($B564:$D564,Y$5)="F",AND(Y$6&gt;0,$A564&lt;Y$6),AND(Y$7&gt;0,$A564&gt;Y$7)),0,MAX(0,ROUND((INDEX($E564:$G564,Y$5)-SUMIFS(TF_Timer,TF_Tekniker,Y$4,TF_Dato,$A564))*2,0)/2)))</f>
        <v/>
      </c>
      <c r="Z564">
        <f>IF(OR(Z$4="",$A564&gt;TODAY()),0,IF(OR(INDEX($B564:$D564,Z$5)="F",AND(Z$6&gt;0,$A564&lt;Z$6),AND(Z$7&gt;0,$A564&gt;Z$7)),0,MAX(0,ROUND((INDEX($E564:$G564,Z$5)-SUMIFS(TF_Timer,TF_Tekniker,Z$4,TF_Dato,$A564))*2,0)/2)))</f>
        <v/>
      </c>
      <c r="AA564">
        <f>IF(OR(AA$4="",$A564&gt;TODAY()),0,IF(OR(INDEX($B564:$D564,AA$5)="F",AND(AA$6&gt;0,$A564&lt;AA$6),AND(AA$7&gt;0,$A564&gt;AA$7)),0,MAX(0,ROUND((INDEX($E564:$G564,AA$5)-SUMIFS(TF_Timer,TF_Tekniker,AA$4,TF_Dato,$A564))*2,0)/2)))</f>
        <v/>
      </c>
      <c r="AB564">
        <f>IF(OR(AB$4="",$A564&gt;TODAY()),0,IF(OR(INDEX($B564:$D564,AB$5)="F",AND(AB$6&gt;0,$A564&lt;AB$6),AND(AB$7&gt;0,$A564&gt;AB$7)),0,MAX(0,ROUND((INDEX($E564:$G564,AB$5)-SUMIFS(TF_Timer,TF_Tekniker,AB$4,TF_Dato,$A564))*2,0)/2)))</f>
        <v/>
      </c>
      <c r="AC564">
        <f>IF(OR(AC$4="",$A564&gt;TODAY()),0,IF(OR(INDEX($B564:$D564,AC$5)="F",AND(AC$6&gt;0,$A564&lt;AC$6),AND(AC$7&gt;0,$A564&gt;AC$7)),0,MAX(0,ROUND((INDEX($E564:$G564,AC$5)-SUMIFS(TF_Timer,TF_Tekniker,AC$4,TF_Dato,$A564))*2,0)/2)))</f>
        <v/>
      </c>
      <c r="AD564">
        <f>IF(OR(AD$4="",$A564&gt;TODAY()),0,IF(OR(INDEX($B564:$D564,AD$5)="F",AND(AD$6&gt;0,$A564&lt;AD$6),AND(AD$7&gt;0,$A564&gt;AD$7)),0,MAX(0,ROUND((INDEX($E564:$G564,AD$5)-SUMIFS(TF_Timer,TF_Tekniker,AD$4,TF_Dato,$A564))*2,0)/2)))</f>
        <v/>
      </c>
      <c r="AE564">
        <f>IF(OR(AE$4="",$A564&gt;TODAY()),0,IF(OR(INDEX($B564:$D564,AE$5)="F",AND(AE$6&gt;0,$A564&lt;AE$6),AND(AE$7&gt;0,$A564&gt;AE$7)),0,MAX(0,ROUND((INDEX($E564:$G564,AE$5)-SUMIFS(TF_Timer,TF_Tekniker,AE$4,TF_Dato,$A564))*2,0)/2)))</f>
        <v/>
      </c>
      <c r="AF564">
        <f>IF(OR(AF$4="",$A564&gt;TODAY()),0,IF(OR(INDEX($B564:$D564,AF$5)="F",AND(AF$6&gt;0,$A564&lt;AF$6),AND(AF$7&gt;0,$A564&gt;AF$7)),0,MAX(0,ROUND((INDEX($E564:$G564,AF$5)-SUMIFS(TF_Timer,TF_Tekniker,AF$4,TF_Dato,$A564))*2,0)/2)))</f>
        <v/>
      </c>
      <c r="AG564">
        <f>IF(OR(AG$4="",$A564&gt;TODAY()),0,IF(OR(INDEX($B564:$D564,AG$5)="F",AND(AG$6&gt;0,$A564&lt;AG$6),AND(AG$7&gt;0,$A564&gt;AG$7)),0,MAX(0,ROUND((INDEX($E564:$G564,AG$5)-SUMIFS(TF_Timer,TF_Tekniker,AG$4,TF_Dato,$A564))*2,0)/2)))</f>
        <v/>
      </c>
      <c r="AH564">
        <f>IF(OR(AH$4="",$A564&gt;TODAY()),0,IF(OR(INDEX($B564:$D564,AH$5)="F",AND(AH$6&gt;0,$A564&lt;AH$6),AND(AH$7&gt;0,$A564&gt;AH$7)),0,MAX(0,ROUND((INDEX($E564:$G564,AH$5)-SUMIFS(TF_Timer,TF_Tekniker,AH$4,TF_Dato,$A564))*2,0)/2)))</f>
        <v/>
      </c>
      <c r="AI564">
        <f>IF(OR(AI$4="",$A564&gt;TODAY()),0,IF(OR(INDEX($B564:$D564,AI$5)="F",AND(AI$6&gt;0,$A564&lt;AI$6),AND(AI$7&gt;0,$A564&gt;AI$7)),0,MAX(0,ROUND((INDEX($E564:$G564,AI$5)-SUMIFS(TF_Timer,TF_Tekniker,AI$4,TF_Dato,$A564))*2,0)/2)))</f>
        <v/>
      </c>
      <c r="AJ564">
        <f>IF(OR(AJ$4="",$A564&gt;TODAY()),0,IF(OR(INDEX($B564:$D564,AJ$5)="F",AND(AJ$6&gt;0,$A564&lt;AJ$6),AND(AJ$7&gt;0,$A564&gt;AJ$7)),0,MAX(0,ROUND((INDEX($E564:$G564,AJ$5)-SUMIFS(TF_Timer,TF_Tekniker,AJ$4,TF_Dato,$A564))*2,0)/2)))</f>
        <v/>
      </c>
      <c r="AK564">
        <f>IF(OR(AK$4="",$A564&gt;TODAY()),0,IF(OR(INDEX($B564:$D564,AK$5)="F",AND(AK$6&gt;0,$A564&lt;AK$6),AND(AK$7&gt;0,$A564&gt;AK$7)),0,MAX(0,ROUND((INDEX($E564:$G564,AK$5)-SUMIFS(TF_Timer,TF_Tekniker,AK$4,TF_Dato,$A564))*2,0)/2)))</f>
        <v/>
      </c>
      <c r="AL564">
        <f>IF(OR(AL$4="",$A564&gt;TODAY()),0,IF(OR(INDEX($B564:$D564,AL$5)="F",AND(AL$6&gt;0,$A564&lt;AL$6),AND(AL$7&gt;0,$A564&gt;AL$7)),0,MAX(0,ROUND((INDEX($E564:$G564,AL$5)-SUMIFS(TF_Timer,TF_Tekniker,AL$4,TF_Dato,$A564))*2,0)/2)))</f>
        <v/>
      </c>
      <c r="AM564">
        <f>IF(OR(AM$4="",$A564&gt;TODAY()),0,IF(OR(INDEX($B564:$D564,AM$5)="F",AND(AM$6&gt;0,$A564&lt;AM$6),AND(AM$7&gt;0,$A564&gt;AM$7)),0,MAX(0,ROUND((INDEX($E564:$G564,AM$5)-SUMIFS(TF_Timer,TF_Tekniker,AM$4,TF_Dato,$A564))*2,0)/2)))</f>
        <v/>
      </c>
      <c r="AN564">
        <f>IF(OR(AN$4="",$A564&gt;TODAY()),0,IF(OR(INDEX($B564:$D564,AN$5)="F",AND(AN$6&gt;0,$A564&lt;AN$6),AND(AN$7&gt;0,$A564&gt;AN$7)),0,MAX(0,ROUND((INDEX($E564:$G564,AN$5)-SUMIFS(TF_Timer,TF_Tekniker,AN$4,TF_Dato,$A564))*2,0)/2)))</f>
        <v/>
      </c>
      <c r="AO564">
        <f>IF(OR(AO$4="",$A564&gt;TODAY()),0,IF(OR(INDEX($B564:$D564,AO$5)="F",AND(AO$6&gt;0,$A564&lt;AO$6),AND(AO$7&gt;0,$A564&gt;AO$7)),0,MAX(0,ROUND((INDEX($E564:$G564,AO$5)-SUMIFS(TF_Timer,TF_Tekniker,AO$4,TF_Dato,$A564))*2,0)/2)))</f>
        <v/>
      </c>
      <c r="AP564">
        <f>IF(OR(AP$4="",$A564&gt;TODAY()),0,IF(OR(INDEX($B564:$D564,AP$5)="F",AND(AP$6&gt;0,$A564&lt;AP$6),AND(AP$7&gt;0,$A564&gt;AP$7)),0,MAX(0,ROUND((INDEX($E564:$G564,AP$5)-SUMIFS(TF_Timer,TF_Tekniker,AP$4,TF_Dato,$A564))*2,0)/2)))</f>
        <v/>
      </c>
      <c r="AQ564">
        <f>IF(OR(AQ$4="",$A564&gt;TODAY()),0,IF(OR(INDEX($B564:$D564,AQ$5)="F",AND(AQ$6&gt;0,$A564&lt;AQ$6),AND(AQ$7&gt;0,$A564&gt;AQ$7)),0,MAX(0,ROUND((INDEX($E564:$G564,AQ$5)-SUMIFS(TF_Timer,TF_Tekniker,AQ$4,TF_Dato,$A564))*2,0)/2)))</f>
        <v/>
      </c>
      <c r="AR564">
        <f>IF(OR(AR$4="",$A564&gt;TODAY()),0,IF(OR(INDEX($B564:$D564,AR$5)="F",AND(AR$6&gt;0,$A564&lt;AR$6),AND(AR$7&gt;0,$A564&gt;AR$7)),0,MAX(0,ROUND((INDEX($E564:$G564,AR$5)-SUMIFS(TF_Timer,TF_Tekniker,AR$4,TF_Dato,$A564))*2,0)/2)))</f>
        <v/>
      </c>
      <c r="AS564">
        <f>IF(OR(AS$4="",$A564&gt;TODAY()),0,IF(OR(INDEX($B564:$D564,AS$5)="F",AND(AS$6&gt;0,$A564&lt;AS$6),AND(AS$7&gt;0,$A564&gt;AS$7)),0,MAX(0,ROUND((INDEX($E564:$G564,AS$5)-SUMIFS(TF_Timer,TF_Tekniker,AS$4,TF_Dato,$A564))*2,0)/2)))</f>
        <v/>
      </c>
      <c r="AT564">
        <f>IF(OR(AT$4="",$A564&gt;TODAY()),0,IF(OR(INDEX($B564:$D564,AT$5)="F",AND(AT$6&gt;0,$A564&lt;AT$6),AND(AT$7&gt;0,$A564&gt;AT$7)),0,MAX(0,ROUND((INDEX($E564:$G564,AT$5)-SUMIFS(TF_Timer,TF_Tekniker,AT$4,TF_Dato,$A564))*2,0)/2)))</f>
        <v/>
      </c>
      <c r="AU564">
        <f>IF(OR(AU$4="",$A564&gt;TODAY()),0,IF(OR(INDEX($B564:$D564,AU$5)="F",AND(AU$6&gt;0,$A564&lt;AU$6),AND(AU$7&gt;0,$A564&gt;AU$7)),0,MAX(0,ROUND((INDEX($E564:$G564,AU$5)-SUMIFS(TF_Timer,TF_Tekniker,AU$4,TF_Dato,$A564))*2,0)/2)))</f>
        <v/>
      </c>
      <c r="AV564">
        <f>IF(OR(AV$4="",$A564&gt;TODAY()),0,IF(OR(INDEX($B564:$D564,AV$5)="F",AND(AV$6&gt;0,$A564&lt;AV$6),AND(AV$7&gt;0,$A564&gt;AV$7)),0,MAX(0,ROUND((INDEX($E564:$G564,AV$5)-SUMIFS(TF_Timer,TF_Tekniker,AV$4,TF_Dato,$A564))*2,0)/2)))</f>
        <v/>
      </c>
      <c r="AW564">
        <f>IF(OR(AW$4="",$A564&gt;TODAY()),0,IF(OR(INDEX($B564:$D564,AW$5)="F",AND(AW$6&gt;0,$A564&lt;AW$6),AND(AW$7&gt;0,$A564&gt;AW$7)),0,MAX(0,ROUND((INDEX($E564:$G564,AW$5)-SUMIFS(TF_Timer,TF_Tekniker,AW$4,TF_Dato,$A564))*2,0)/2)))</f>
        <v/>
      </c>
      <c r="AX564">
        <f>IF(OR(AX$4="",$A564&gt;TODAY()),0,IF(OR(INDEX($B564:$D564,AX$5)="F",AND(AX$6&gt;0,$A564&lt;AX$6),AND(AX$7&gt;0,$A564&gt;AX$7)),0,MAX(0,ROUND((INDEX($E564:$G564,AX$5)-SUMIFS(TF_Timer,TF_Tekniker,AX$4,TF_Dato,$A564))*2,0)/2)))</f>
        <v/>
      </c>
      <c r="AY564">
        <f>IF(OR(AY$4="",$A564&gt;TODAY()),0,IF(OR(INDEX($B564:$D564,AY$5)="F",AND(AY$6&gt;0,$A564&lt;AY$6),AND(AY$7&gt;0,$A564&gt;AY$7)),0,MAX(0,ROUND((INDEX($E564:$G564,AY$5)-SUMIFS(TF_Timer,TF_Tekniker,AY$4,TF_Dato,$A564))*2,0)/2)))</f>
        <v/>
      </c>
      <c r="AZ564">
        <f>IF(OR(AZ$4="",$A564&gt;TODAY()),0,IF(OR(INDEX($B564:$D564,AZ$5)="F",AND(AZ$6&gt;0,$A564&lt;AZ$6),AND(AZ$7&gt;0,$A564&gt;AZ$7)),0,MAX(0,ROUND((INDEX($E564:$G564,AZ$5)-SUMIFS(TF_Timer,TF_Tekniker,AZ$4,TF_Dato,$A564))*2,0)/2)))</f>
        <v/>
      </c>
      <c r="BA564">
        <f>IF(OR(BA$4="",$A564&gt;TODAY()),0,IF(OR(INDEX($B564:$D564,BA$5)="F",AND(BA$6&gt;0,$A564&lt;BA$6),AND(BA$7&gt;0,$A564&gt;BA$7)),0,MAX(0,ROUND((INDEX($E564:$G564,BA$5)-SUMIFS(TF_Timer,TF_Tekniker,BA$4,TF_Dato,$A564))*2,0)/2)))</f>
        <v/>
      </c>
      <c r="BB564">
        <f>IF(OR(BB$4="",$A564&gt;TODAY()),0,IF(OR(INDEX($B564:$D564,BB$5)="F",AND(BB$6&gt;0,$A564&lt;BB$6),AND(BB$7&gt;0,$A564&gt;BB$7)),0,MAX(0,ROUND((INDEX($E564:$G564,BB$5)-SUMIFS(TF_Timer,TF_Tekniker,BB$4,TF_Dato,$A564))*2,0)/2)))</f>
        <v/>
      </c>
      <c r="BC564">
        <f>IF(OR(BC$4="",$A564&gt;TODAY()),0,IF(OR(INDEX($B564:$D564,BC$5)="F",AND(BC$6&gt;0,$A564&lt;BC$6),AND(BC$7&gt;0,$A564&gt;BC$7)),0,MAX(0,ROUND((INDEX($E564:$G564,BC$5)-SUMIFS(TF_Timer,TF_Tekniker,BC$4,TF_Dato,$A564))*2,0)/2)))</f>
        <v/>
      </c>
      <c r="BD564">
        <f>IF(OR(BD$4="",$A564&gt;TODAY()),0,IF(OR(INDEX($B564:$D564,BD$5)="F",AND(BD$6&gt;0,$A564&lt;BD$6),AND(BD$7&gt;0,$A564&gt;BD$7)),0,MAX(0,ROUND((INDEX($E564:$G564,BD$5)-SUMIFS(TF_Timer,TF_Tekniker,BD$4,TF_Dato,$A564))*2,0)/2)))</f>
        <v/>
      </c>
      <c r="BE564">
        <f>IF(OR(BE$4="",$A564&gt;TODAY()),0,IF(OR(INDEX($B564:$D564,BE$5)="F",AND(BE$6&gt;0,$A564&lt;BE$6),AND(BE$7&gt;0,$A564&gt;BE$7)),0,MAX(0,ROUND((INDEX($E564:$G564,BE$5)-SUMIFS(TF_Timer,TF_Tekniker,BE$4,TF_Dato,$A564))*2,0)/2)))</f>
        <v/>
      </c>
      <c r="BF564">
        <f>IF(OR(BF$4="",$A564&gt;TODAY()),0,IF(OR(INDEX($B564:$D564,BF$5)="F",AND(BF$6&gt;0,$A564&lt;BF$6),AND(BF$7&gt;0,$A564&gt;BF$7)),0,MAX(0,ROUND((INDEX($E564:$G564,BF$5)-SUMIFS(TF_Timer,TF_Tekniker,BF$4,TF_Dato,$A564))*2,0)/2)))</f>
        <v/>
      </c>
      <c r="BG564">
        <f>IF(OR(BG$4="",$A564&gt;TODAY()),0,IF(OR(INDEX($B564:$D564,BG$5)="F",AND(BG$6&gt;0,$A564&lt;BG$6),AND(BG$7&gt;0,$A564&gt;BG$7)),0,MAX(0,ROUND((INDEX($E564:$G564,BG$5)-SUMIFS(TF_Timer,TF_Tekniker,BG$4,TF_Dato,$A564))*2,0)/2)))</f>
        <v/>
      </c>
      <c r="BH564">
        <f>IF(OR(BH$4="",$A564&gt;TODAY()),0,IF(OR(INDEX($B564:$D564,BH$5)="F",AND(BH$6&gt;0,$A564&lt;BH$6),AND(BH$7&gt;0,$A564&gt;BH$7)),0,MAX(0,ROUND((INDEX($E564:$G564,BH$5)-SUMIFS(TF_Timer,TF_Tekniker,BH$4,TF_Dato,$A564))*2,0)/2)))</f>
        <v/>
      </c>
      <c r="BI564">
        <f>IF(OR(BI$4="",$A564&gt;TODAY()),0,IF(OR(INDEX($B564:$D564,BI$5)="F",AND(BI$6&gt;0,$A564&lt;BI$6),AND(BI$7&gt;0,$A564&gt;BI$7)),0,MAX(0,ROUND((INDEX($E564:$G564,BI$5)-SUMIFS(TF_Timer,TF_Tekniker,BI$4,TF_Dato,$A564))*2,0)/2)))</f>
        <v/>
      </c>
    </row>
    <row r="565">
      <c r="A565" s="64">
        <f>A564+1</f>
        <v/>
      </c>
      <c r="B565">
        <f>IF(MOD($A565-INDEX(SkiftStart,1),Syklus)&lt;DagK,"K",IF(MOD($A565-INDEX(SkiftStart,1),Syklus)&lt;DagK+DagH,"H",IF(MOD($A565-INDEX(SkiftStart,1),Syklus)&lt;DagK+DagH+DagD,"D","F")))</f>
        <v/>
      </c>
      <c r="C565">
        <f>IF(MOD($A565-INDEX(SkiftStart,2),Syklus)&lt;DagK,"K",IF(MOD($A565-INDEX(SkiftStart,2),Syklus)&lt;DagK+DagH,"H",IF(MOD($A565-INDEX(SkiftStart,2),Syklus)&lt;DagK+DagH+DagD,"D","F")))</f>
        <v/>
      </c>
      <c r="D565">
        <f>IF(MOD($A565-INDEX(SkiftStart,3),Syklus)&lt;DagK,"K",IF(MOD($A565-INDEX(SkiftStart,3),Syklus)&lt;DagK+DagH,"H",IF(MOD($A565-INDEX(SkiftStart,3),Syklus)&lt;DagK+DagH+DagD,"D","F")))</f>
        <v/>
      </c>
      <c r="E565">
        <f>IF(B565="F",0,IF(WEEKDAY($A565,2)=5,INDEX(TimerFr,MATCH(B565,FaseKode,0)),INDEX(TimerMT,MATCH(B565,FaseKode,0))))</f>
        <v/>
      </c>
      <c r="F565">
        <f>IF(C565="F",0,IF(WEEKDAY($A565,2)=5,INDEX(TimerFr,MATCH(C565,FaseKode,0)),INDEX(TimerMT,MATCH(C565,FaseKode,0))))</f>
        <v/>
      </c>
      <c r="G565">
        <f>IF(D565="F",0,IF(WEEKDAY($A565,2)=5,INDEX(TimerFr,MATCH(D565,FaseKode,0)),INDEX(TimerMT,MATCH(D565,FaseKode,0))))</f>
        <v/>
      </c>
      <c r="H565">
        <f>IF(OR(H$4="",$A565&gt;TODAY()),0,IF(OR(INDEX($B565:$D565,H$5)="F",AND(H$6&gt;0,$A565&lt;H$6),AND(H$7&gt;0,$A565&gt;H$7)),0,MAX(0,ROUND((INDEX($E565:$G565,H$5)-SUMIFS(TF_Timer,TF_Tekniker,H$4,TF_Dato,$A565))*2,0)/2)))</f>
        <v/>
      </c>
      <c r="I565">
        <f>IF(OR(I$4="",$A565&gt;TODAY()),0,IF(OR(INDEX($B565:$D565,I$5)="F",AND(I$6&gt;0,$A565&lt;I$6),AND(I$7&gt;0,$A565&gt;I$7)),0,MAX(0,ROUND((INDEX($E565:$G565,I$5)-SUMIFS(TF_Timer,TF_Tekniker,I$4,TF_Dato,$A565))*2,0)/2)))</f>
        <v/>
      </c>
      <c r="J565">
        <f>IF(OR(J$4="",$A565&gt;TODAY()),0,IF(OR(INDEX($B565:$D565,J$5)="F",AND(J$6&gt;0,$A565&lt;J$6),AND(J$7&gt;0,$A565&gt;J$7)),0,MAX(0,ROUND((INDEX($E565:$G565,J$5)-SUMIFS(TF_Timer,TF_Tekniker,J$4,TF_Dato,$A565))*2,0)/2)))</f>
        <v/>
      </c>
      <c r="K565">
        <f>IF(OR(K$4="",$A565&gt;TODAY()),0,IF(OR(INDEX($B565:$D565,K$5)="F",AND(K$6&gt;0,$A565&lt;K$6),AND(K$7&gt;0,$A565&gt;K$7)),0,MAX(0,ROUND((INDEX($E565:$G565,K$5)-SUMIFS(TF_Timer,TF_Tekniker,K$4,TF_Dato,$A565))*2,0)/2)))</f>
        <v/>
      </c>
      <c r="L565">
        <f>IF(OR(L$4="",$A565&gt;TODAY()),0,IF(OR(INDEX($B565:$D565,L$5)="F",AND(L$6&gt;0,$A565&lt;L$6),AND(L$7&gt;0,$A565&gt;L$7)),0,MAX(0,ROUND((INDEX($E565:$G565,L$5)-SUMIFS(TF_Timer,TF_Tekniker,L$4,TF_Dato,$A565))*2,0)/2)))</f>
        <v/>
      </c>
      <c r="M565">
        <f>IF(OR(M$4="",$A565&gt;TODAY()),0,IF(OR(INDEX($B565:$D565,M$5)="F",AND(M$6&gt;0,$A565&lt;M$6),AND(M$7&gt;0,$A565&gt;M$7)),0,MAX(0,ROUND((INDEX($E565:$G565,M$5)-SUMIFS(TF_Timer,TF_Tekniker,M$4,TF_Dato,$A565))*2,0)/2)))</f>
        <v/>
      </c>
      <c r="N565">
        <f>IF(OR(N$4="",$A565&gt;TODAY()),0,IF(OR(INDEX($B565:$D565,N$5)="F",AND(N$6&gt;0,$A565&lt;N$6),AND(N$7&gt;0,$A565&gt;N$7)),0,MAX(0,ROUND((INDEX($E565:$G565,N$5)-SUMIFS(TF_Timer,TF_Tekniker,N$4,TF_Dato,$A565))*2,0)/2)))</f>
        <v/>
      </c>
      <c r="O565">
        <f>IF(OR(O$4="",$A565&gt;TODAY()),0,IF(OR(INDEX($B565:$D565,O$5)="F",AND(O$6&gt;0,$A565&lt;O$6),AND(O$7&gt;0,$A565&gt;O$7)),0,MAX(0,ROUND((INDEX($E565:$G565,O$5)-SUMIFS(TF_Timer,TF_Tekniker,O$4,TF_Dato,$A565))*2,0)/2)))</f>
        <v/>
      </c>
      <c r="P565">
        <f>IF(OR(P$4="",$A565&gt;TODAY()),0,IF(OR(INDEX($B565:$D565,P$5)="F",AND(P$6&gt;0,$A565&lt;P$6),AND(P$7&gt;0,$A565&gt;P$7)),0,MAX(0,ROUND((INDEX($E565:$G565,P$5)-SUMIFS(TF_Timer,TF_Tekniker,P$4,TF_Dato,$A565))*2,0)/2)))</f>
        <v/>
      </c>
      <c r="Q565">
        <f>IF(OR(Q$4="",$A565&gt;TODAY()),0,IF(OR(INDEX($B565:$D565,Q$5)="F",AND(Q$6&gt;0,$A565&lt;Q$6),AND(Q$7&gt;0,$A565&gt;Q$7)),0,MAX(0,ROUND((INDEX($E565:$G565,Q$5)-SUMIFS(TF_Timer,TF_Tekniker,Q$4,TF_Dato,$A565))*2,0)/2)))</f>
        <v/>
      </c>
      <c r="R565">
        <f>IF(OR(R$4="",$A565&gt;TODAY()),0,IF(OR(INDEX($B565:$D565,R$5)="F",AND(R$6&gt;0,$A565&lt;R$6),AND(R$7&gt;0,$A565&gt;R$7)),0,MAX(0,ROUND((INDEX($E565:$G565,R$5)-SUMIFS(TF_Timer,TF_Tekniker,R$4,TF_Dato,$A565))*2,0)/2)))</f>
        <v/>
      </c>
      <c r="S565">
        <f>IF(OR(S$4="",$A565&gt;TODAY()),0,IF(OR(INDEX($B565:$D565,S$5)="F",AND(S$6&gt;0,$A565&lt;S$6),AND(S$7&gt;0,$A565&gt;S$7)),0,MAX(0,ROUND((INDEX($E565:$G565,S$5)-SUMIFS(TF_Timer,TF_Tekniker,S$4,TF_Dato,$A565))*2,0)/2)))</f>
        <v/>
      </c>
      <c r="T565">
        <f>IF(OR(T$4="",$A565&gt;TODAY()),0,IF(OR(INDEX($B565:$D565,T$5)="F",AND(T$6&gt;0,$A565&lt;T$6),AND(T$7&gt;0,$A565&gt;T$7)),0,MAX(0,ROUND((INDEX($E565:$G565,T$5)-SUMIFS(TF_Timer,TF_Tekniker,T$4,TF_Dato,$A565))*2,0)/2)))</f>
        <v/>
      </c>
      <c r="U565">
        <f>IF(OR(U$4="",$A565&gt;TODAY()),0,IF(OR(INDEX($B565:$D565,U$5)="F",AND(U$6&gt;0,$A565&lt;U$6),AND(U$7&gt;0,$A565&gt;U$7)),0,MAX(0,ROUND((INDEX($E565:$G565,U$5)-SUMIFS(TF_Timer,TF_Tekniker,U$4,TF_Dato,$A565))*2,0)/2)))</f>
        <v/>
      </c>
      <c r="V565">
        <f>IF(OR(V$4="",$A565&gt;TODAY()),0,IF(OR(INDEX($B565:$D565,V$5)="F",AND(V$6&gt;0,$A565&lt;V$6),AND(V$7&gt;0,$A565&gt;V$7)),0,MAX(0,ROUND((INDEX($E565:$G565,V$5)-SUMIFS(TF_Timer,TF_Tekniker,V$4,TF_Dato,$A565))*2,0)/2)))</f>
        <v/>
      </c>
      <c r="W565">
        <f>IF(OR(W$4="",$A565&gt;TODAY()),0,IF(OR(INDEX($B565:$D565,W$5)="F",AND(W$6&gt;0,$A565&lt;W$6),AND(W$7&gt;0,$A565&gt;W$7)),0,MAX(0,ROUND((INDEX($E565:$G565,W$5)-SUMIFS(TF_Timer,TF_Tekniker,W$4,TF_Dato,$A565))*2,0)/2)))</f>
        <v/>
      </c>
      <c r="X565">
        <f>IF(OR(X$4="",$A565&gt;TODAY()),0,IF(OR(INDEX($B565:$D565,X$5)="F",AND(X$6&gt;0,$A565&lt;X$6),AND(X$7&gt;0,$A565&gt;X$7)),0,MAX(0,ROUND((INDEX($E565:$G565,X$5)-SUMIFS(TF_Timer,TF_Tekniker,X$4,TF_Dato,$A565))*2,0)/2)))</f>
        <v/>
      </c>
      <c r="Y565">
        <f>IF(OR(Y$4="",$A565&gt;TODAY()),0,IF(OR(INDEX($B565:$D565,Y$5)="F",AND(Y$6&gt;0,$A565&lt;Y$6),AND(Y$7&gt;0,$A565&gt;Y$7)),0,MAX(0,ROUND((INDEX($E565:$G565,Y$5)-SUMIFS(TF_Timer,TF_Tekniker,Y$4,TF_Dato,$A565))*2,0)/2)))</f>
        <v/>
      </c>
      <c r="Z565">
        <f>IF(OR(Z$4="",$A565&gt;TODAY()),0,IF(OR(INDEX($B565:$D565,Z$5)="F",AND(Z$6&gt;0,$A565&lt;Z$6),AND(Z$7&gt;0,$A565&gt;Z$7)),0,MAX(0,ROUND((INDEX($E565:$G565,Z$5)-SUMIFS(TF_Timer,TF_Tekniker,Z$4,TF_Dato,$A565))*2,0)/2)))</f>
        <v/>
      </c>
      <c r="AA565">
        <f>IF(OR(AA$4="",$A565&gt;TODAY()),0,IF(OR(INDEX($B565:$D565,AA$5)="F",AND(AA$6&gt;0,$A565&lt;AA$6),AND(AA$7&gt;0,$A565&gt;AA$7)),0,MAX(0,ROUND((INDEX($E565:$G565,AA$5)-SUMIFS(TF_Timer,TF_Tekniker,AA$4,TF_Dato,$A565))*2,0)/2)))</f>
        <v/>
      </c>
      <c r="AB565">
        <f>IF(OR(AB$4="",$A565&gt;TODAY()),0,IF(OR(INDEX($B565:$D565,AB$5)="F",AND(AB$6&gt;0,$A565&lt;AB$6),AND(AB$7&gt;0,$A565&gt;AB$7)),0,MAX(0,ROUND((INDEX($E565:$G565,AB$5)-SUMIFS(TF_Timer,TF_Tekniker,AB$4,TF_Dato,$A565))*2,0)/2)))</f>
        <v/>
      </c>
      <c r="AC565">
        <f>IF(OR(AC$4="",$A565&gt;TODAY()),0,IF(OR(INDEX($B565:$D565,AC$5)="F",AND(AC$6&gt;0,$A565&lt;AC$6),AND(AC$7&gt;0,$A565&gt;AC$7)),0,MAX(0,ROUND((INDEX($E565:$G565,AC$5)-SUMIFS(TF_Timer,TF_Tekniker,AC$4,TF_Dato,$A565))*2,0)/2)))</f>
        <v/>
      </c>
      <c r="AD565">
        <f>IF(OR(AD$4="",$A565&gt;TODAY()),0,IF(OR(INDEX($B565:$D565,AD$5)="F",AND(AD$6&gt;0,$A565&lt;AD$6),AND(AD$7&gt;0,$A565&gt;AD$7)),0,MAX(0,ROUND((INDEX($E565:$G565,AD$5)-SUMIFS(TF_Timer,TF_Tekniker,AD$4,TF_Dato,$A565))*2,0)/2)))</f>
        <v/>
      </c>
      <c r="AE565">
        <f>IF(OR(AE$4="",$A565&gt;TODAY()),0,IF(OR(INDEX($B565:$D565,AE$5)="F",AND(AE$6&gt;0,$A565&lt;AE$6),AND(AE$7&gt;0,$A565&gt;AE$7)),0,MAX(0,ROUND((INDEX($E565:$G565,AE$5)-SUMIFS(TF_Timer,TF_Tekniker,AE$4,TF_Dato,$A565))*2,0)/2)))</f>
        <v/>
      </c>
      <c r="AF565">
        <f>IF(OR(AF$4="",$A565&gt;TODAY()),0,IF(OR(INDEX($B565:$D565,AF$5)="F",AND(AF$6&gt;0,$A565&lt;AF$6),AND(AF$7&gt;0,$A565&gt;AF$7)),0,MAX(0,ROUND((INDEX($E565:$G565,AF$5)-SUMIFS(TF_Timer,TF_Tekniker,AF$4,TF_Dato,$A565))*2,0)/2)))</f>
        <v/>
      </c>
      <c r="AG565">
        <f>IF(OR(AG$4="",$A565&gt;TODAY()),0,IF(OR(INDEX($B565:$D565,AG$5)="F",AND(AG$6&gt;0,$A565&lt;AG$6),AND(AG$7&gt;0,$A565&gt;AG$7)),0,MAX(0,ROUND((INDEX($E565:$G565,AG$5)-SUMIFS(TF_Timer,TF_Tekniker,AG$4,TF_Dato,$A565))*2,0)/2)))</f>
        <v/>
      </c>
      <c r="AH565">
        <f>IF(OR(AH$4="",$A565&gt;TODAY()),0,IF(OR(INDEX($B565:$D565,AH$5)="F",AND(AH$6&gt;0,$A565&lt;AH$6),AND(AH$7&gt;0,$A565&gt;AH$7)),0,MAX(0,ROUND((INDEX($E565:$G565,AH$5)-SUMIFS(TF_Timer,TF_Tekniker,AH$4,TF_Dato,$A565))*2,0)/2)))</f>
        <v/>
      </c>
      <c r="AI565">
        <f>IF(OR(AI$4="",$A565&gt;TODAY()),0,IF(OR(INDEX($B565:$D565,AI$5)="F",AND(AI$6&gt;0,$A565&lt;AI$6),AND(AI$7&gt;0,$A565&gt;AI$7)),0,MAX(0,ROUND((INDEX($E565:$G565,AI$5)-SUMIFS(TF_Timer,TF_Tekniker,AI$4,TF_Dato,$A565))*2,0)/2)))</f>
        <v/>
      </c>
      <c r="AJ565">
        <f>IF(OR(AJ$4="",$A565&gt;TODAY()),0,IF(OR(INDEX($B565:$D565,AJ$5)="F",AND(AJ$6&gt;0,$A565&lt;AJ$6),AND(AJ$7&gt;0,$A565&gt;AJ$7)),0,MAX(0,ROUND((INDEX($E565:$G565,AJ$5)-SUMIFS(TF_Timer,TF_Tekniker,AJ$4,TF_Dato,$A565))*2,0)/2)))</f>
        <v/>
      </c>
      <c r="AK565">
        <f>IF(OR(AK$4="",$A565&gt;TODAY()),0,IF(OR(INDEX($B565:$D565,AK$5)="F",AND(AK$6&gt;0,$A565&lt;AK$6),AND(AK$7&gt;0,$A565&gt;AK$7)),0,MAX(0,ROUND((INDEX($E565:$G565,AK$5)-SUMIFS(TF_Timer,TF_Tekniker,AK$4,TF_Dato,$A565))*2,0)/2)))</f>
        <v/>
      </c>
      <c r="AL565">
        <f>IF(OR(AL$4="",$A565&gt;TODAY()),0,IF(OR(INDEX($B565:$D565,AL$5)="F",AND(AL$6&gt;0,$A565&lt;AL$6),AND(AL$7&gt;0,$A565&gt;AL$7)),0,MAX(0,ROUND((INDEX($E565:$G565,AL$5)-SUMIFS(TF_Timer,TF_Tekniker,AL$4,TF_Dato,$A565))*2,0)/2)))</f>
        <v/>
      </c>
      <c r="AM565">
        <f>IF(OR(AM$4="",$A565&gt;TODAY()),0,IF(OR(INDEX($B565:$D565,AM$5)="F",AND(AM$6&gt;0,$A565&lt;AM$6),AND(AM$7&gt;0,$A565&gt;AM$7)),0,MAX(0,ROUND((INDEX($E565:$G565,AM$5)-SUMIFS(TF_Timer,TF_Tekniker,AM$4,TF_Dato,$A565))*2,0)/2)))</f>
        <v/>
      </c>
      <c r="AN565">
        <f>IF(OR(AN$4="",$A565&gt;TODAY()),0,IF(OR(INDEX($B565:$D565,AN$5)="F",AND(AN$6&gt;0,$A565&lt;AN$6),AND(AN$7&gt;0,$A565&gt;AN$7)),0,MAX(0,ROUND((INDEX($E565:$G565,AN$5)-SUMIFS(TF_Timer,TF_Tekniker,AN$4,TF_Dato,$A565))*2,0)/2)))</f>
        <v/>
      </c>
      <c r="AO565">
        <f>IF(OR(AO$4="",$A565&gt;TODAY()),0,IF(OR(INDEX($B565:$D565,AO$5)="F",AND(AO$6&gt;0,$A565&lt;AO$6),AND(AO$7&gt;0,$A565&gt;AO$7)),0,MAX(0,ROUND((INDEX($E565:$G565,AO$5)-SUMIFS(TF_Timer,TF_Tekniker,AO$4,TF_Dato,$A565))*2,0)/2)))</f>
        <v/>
      </c>
      <c r="AP565">
        <f>IF(OR(AP$4="",$A565&gt;TODAY()),0,IF(OR(INDEX($B565:$D565,AP$5)="F",AND(AP$6&gt;0,$A565&lt;AP$6),AND(AP$7&gt;0,$A565&gt;AP$7)),0,MAX(0,ROUND((INDEX($E565:$G565,AP$5)-SUMIFS(TF_Timer,TF_Tekniker,AP$4,TF_Dato,$A565))*2,0)/2)))</f>
        <v/>
      </c>
      <c r="AQ565">
        <f>IF(OR(AQ$4="",$A565&gt;TODAY()),0,IF(OR(INDEX($B565:$D565,AQ$5)="F",AND(AQ$6&gt;0,$A565&lt;AQ$6),AND(AQ$7&gt;0,$A565&gt;AQ$7)),0,MAX(0,ROUND((INDEX($E565:$G565,AQ$5)-SUMIFS(TF_Timer,TF_Tekniker,AQ$4,TF_Dato,$A565))*2,0)/2)))</f>
        <v/>
      </c>
      <c r="AR565">
        <f>IF(OR(AR$4="",$A565&gt;TODAY()),0,IF(OR(INDEX($B565:$D565,AR$5)="F",AND(AR$6&gt;0,$A565&lt;AR$6),AND(AR$7&gt;0,$A565&gt;AR$7)),0,MAX(0,ROUND((INDEX($E565:$G565,AR$5)-SUMIFS(TF_Timer,TF_Tekniker,AR$4,TF_Dato,$A565))*2,0)/2)))</f>
        <v/>
      </c>
      <c r="AS565">
        <f>IF(OR(AS$4="",$A565&gt;TODAY()),0,IF(OR(INDEX($B565:$D565,AS$5)="F",AND(AS$6&gt;0,$A565&lt;AS$6),AND(AS$7&gt;0,$A565&gt;AS$7)),0,MAX(0,ROUND((INDEX($E565:$G565,AS$5)-SUMIFS(TF_Timer,TF_Tekniker,AS$4,TF_Dato,$A565))*2,0)/2)))</f>
        <v/>
      </c>
      <c r="AT565">
        <f>IF(OR(AT$4="",$A565&gt;TODAY()),0,IF(OR(INDEX($B565:$D565,AT$5)="F",AND(AT$6&gt;0,$A565&lt;AT$6),AND(AT$7&gt;0,$A565&gt;AT$7)),0,MAX(0,ROUND((INDEX($E565:$G565,AT$5)-SUMIFS(TF_Timer,TF_Tekniker,AT$4,TF_Dato,$A565))*2,0)/2)))</f>
        <v/>
      </c>
      <c r="AU565">
        <f>IF(OR(AU$4="",$A565&gt;TODAY()),0,IF(OR(INDEX($B565:$D565,AU$5)="F",AND(AU$6&gt;0,$A565&lt;AU$6),AND(AU$7&gt;0,$A565&gt;AU$7)),0,MAX(0,ROUND((INDEX($E565:$G565,AU$5)-SUMIFS(TF_Timer,TF_Tekniker,AU$4,TF_Dato,$A565))*2,0)/2)))</f>
        <v/>
      </c>
      <c r="AV565">
        <f>IF(OR(AV$4="",$A565&gt;TODAY()),0,IF(OR(INDEX($B565:$D565,AV$5)="F",AND(AV$6&gt;0,$A565&lt;AV$6),AND(AV$7&gt;0,$A565&gt;AV$7)),0,MAX(0,ROUND((INDEX($E565:$G565,AV$5)-SUMIFS(TF_Timer,TF_Tekniker,AV$4,TF_Dato,$A565))*2,0)/2)))</f>
        <v/>
      </c>
      <c r="AW565">
        <f>IF(OR(AW$4="",$A565&gt;TODAY()),0,IF(OR(INDEX($B565:$D565,AW$5)="F",AND(AW$6&gt;0,$A565&lt;AW$6),AND(AW$7&gt;0,$A565&gt;AW$7)),0,MAX(0,ROUND((INDEX($E565:$G565,AW$5)-SUMIFS(TF_Timer,TF_Tekniker,AW$4,TF_Dato,$A565))*2,0)/2)))</f>
        <v/>
      </c>
      <c r="AX565">
        <f>IF(OR(AX$4="",$A565&gt;TODAY()),0,IF(OR(INDEX($B565:$D565,AX$5)="F",AND(AX$6&gt;0,$A565&lt;AX$6),AND(AX$7&gt;0,$A565&gt;AX$7)),0,MAX(0,ROUND((INDEX($E565:$G565,AX$5)-SUMIFS(TF_Timer,TF_Tekniker,AX$4,TF_Dato,$A565))*2,0)/2)))</f>
        <v/>
      </c>
      <c r="AY565">
        <f>IF(OR(AY$4="",$A565&gt;TODAY()),0,IF(OR(INDEX($B565:$D565,AY$5)="F",AND(AY$6&gt;0,$A565&lt;AY$6),AND(AY$7&gt;0,$A565&gt;AY$7)),0,MAX(0,ROUND((INDEX($E565:$G565,AY$5)-SUMIFS(TF_Timer,TF_Tekniker,AY$4,TF_Dato,$A565))*2,0)/2)))</f>
        <v/>
      </c>
      <c r="AZ565">
        <f>IF(OR(AZ$4="",$A565&gt;TODAY()),0,IF(OR(INDEX($B565:$D565,AZ$5)="F",AND(AZ$6&gt;0,$A565&lt;AZ$6),AND(AZ$7&gt;0,$A565&gt;AZ$7)),0,MAX(0,ROUND((INDEX($E565:$G565,AZ$5)-SUMIFS(TF_Timer,TF_Tekniker,AZ$4,TF_Dato,$A565))*2,0)/2)))</f>
        <v/>
      </c>
      <c r="BA565">
        <f>IF(OR(BA$4="",$A565&gt;TODAY()),0,IF(OR(INDEX($B565:$D565,BA$5)="F",AND(BA$6&gt;0,$A565&lt;BA$6),AND(BA$7&gt;0,$A565&gt;BA$7)),0,MAX(0,ROUND((INDEX($E565:$G565,BA$5)-SUMIFS(TF_Timer,TF_Tekniker,BA$4,TF_Dato,$A565))*2,0)/2)))</f>
        <v/>
      </c>
      <c r="BB565">
        <f>IF(OR(BB$4="",$A565&gt;TODAY()),0,IF(OR(INDEX($B565:$D565,BB$5)="F",AND(BB$6&gt;0,$A565&lt;BB$6),AND(BB$7&gt;0,$A565&gt;BB$7)),0,MAX(0,ROUND((INDEX($E565:$G565,BB$5)-SUMIFS(TF_Timer,TF_Tekniker,BB$4,TF_Dato,$A565))*2,0)/2)))</f>
        <v/>
      </c>
      <c r="BC565">
        <f>IF(OR(BC$4="",$A565&gt;TODAY()),0,IF(OR(INDEX($B565:$D565,BC$5)="F",AND(BC$6&gt;0,$A565&lt;BC$6),AND(BC$7&gt;0,$A565&gt;BC$7)),0,MAX(0,ROUND((INDEX($E565:$G565,BC$5)-SUMIFS(TF_Timer,TF_Tekniker,BC$4,TF_Dato,$A565))*2,0)/2)))</f>
        <v/>
      </c>
      <c r="BD565">
        <f>IF(OR(BD$4="",$A565&gt;TODAY()),0,IF(OR(INDEX($B565:$D565,BD$5)="F",AND(BD$6&gt;0,$A565&lt;BD$6),AND(BD$7&gt;0,$A565&gt;BD$7)),0,MAX(0,ROUND((INDEX($E565:$G565,BD$5)-SUMIFS(TF_Timer,TF_Tekniker,BD$4,TF_Dato,$A565))*2,0)/2)))</f>
        <v/>
      </c>
      <c r="BE565">
        <f>IF(OR(BE$4="",$A565&gt;TODAY()),0,IF(OR(INDEX($B565:$D565,BE$5)="F",AND(BE$6&gt;0,$A565&lt;BE$6),AND(BE$7&gt;0,$A565&gt;BE$7)),0,MAX(0,ROUND((INDEX($E565:$G565,BE$5)-SUMIFS(TF_Timer,TF_Tekniker,BE$4,TF_Dato,$A565))*2,0)/2)))</f>
        <v/>
      </c>
      <c r="BF565">
        <f>IF(OR(BF$4="",$A565&gt;TODAY()),0,IF(OR(INDEX($B565:$D565,BF$5)="F",AND(BF$6&gt;0,$A565&lt;BF$6),AND(BF$7&gt;0,$A565&gt;BF$7)),0,MAX(0,ROUND((INDEX($E565:$G565,BF$5)-SUMIFS(TF_Timer,TF_Tekniker,BF$4,TF_Dato,$A565))*2,0)/2)))</f>
        <v/>
      </c>
      <c r="BG565">
        <f>IF(OR(BG$4="",$A565&gt;TODAY()),0,IF(OR(INDEX($B565:$D565,BG$5)="F",AND(BG$6&gt;0,$A565&lt;BG$6),AND(BG$7&gt;0,$A565&gt;BG$7)),0,MAX(0,ROUND((INDEX($E565:$G565,BG$5)-SUMIFS(TF_Timer,TF_Tekniker,BG$4,TF_Dato,$A565))*2,0)/2)))</f>
        <v/>
      </c>
      <c r="BH565">
        <f>IF(OR(BH$4="",$A565&gt;TODAY()),0,IF(OR(INDEX($B565:$D565,BH$5)="F",AND(BH$6&gt;0,$A565&lt;BH$6),AND(BH$7&gt;0,$A565&gt;BH$7)),0,MAX(0,ROUND((INDEX($E565:$G565,BH$5)-SUMIFS(TF_Timer,TF_Tekniker,BH$4,TF_Dato,$A565))*2,0)/2)))</f>
        <v/>
      </c>
      <c r="BI565">
        <f>IF(OR(BI$4="",$A565&gt;TODAY()),0,IF(OR(INDEX($B565:$D565,BI$5)="F",AND(BI$6&gt;0,$A565&lt;BI$6),AND(BI$7&gt;0,$A565&gt;BI$7)),0,MAX(0,ROUND((INDEX($E565:$G565,BI$5)-SUMIFS(TF_Timer,TF_Tekniker,BI$4,TF_Dato,$A565))*2,0)/2)))</f>
        <v/>
      </c>
    </row>
    <row r="566">
      <c r="A566" s="64">
        <f>A565+1</f>
        <v/>
      </c>
      <c r="B566">
        <f>IF(MOD($A566-INDEX(SkiftStart,1),Syklus)&lt;DagK,"K",IF(MOD($A566-INDEX(SkiftStart,1),Syklus)&lt;DagK+DagH,"H",IF(MOD($A566-INDEX(SkiftStart,1),Syklus)&lt;DagK+DagH+DagD,"D","F")))</f>
        <v/>
      </c>
      <c r="C566">
        <f>IF(MOD($A566-INDEX(SkiftStart,2),Syklus)&lt;DagK,"K",IF(MOD($A566-INDEX(SkiftStart,2),Syklus)&lt;DagK+DagH,"H",IF(MOD($A566-INDEX(SkiftStart,2),Syklus)&lt;DagK+DagH+DagD,"D","F")))</f>
        <v/>
      </c>
      <c r="D566">
        <f>IF(MOD($A566-INDEX(SkiftStart,3),Syklus)&lt;DagK,"K",IF(MOD($A566-INDEX(SkiftStart,3),Syklus)&lt;DagK+DagH,"H",IF(MOD($A566-INDEX(SkiftStart,3),Syklus)&lt;DagK+DagH+DagD,"D","F")))</f>
        <v/>
      </c>
      <c r="E566">
        <f>IF(B566="F",0,IF(WEEKDAY($A566,2)=5,INDEX(TimerFr,MATCH(B566,FaseKode,0)),INDEX(TimerMT,MATCH(B566,FaseKode,0))))</f>
        <v/>
      </c>
      <c r="F566">
        <f>IF(C566="F",0,IF(WEEKDAY($A566,2)=5,INDEX(TimerFr,MATCH(C566,FaseKode,0)),INDEX(TimerMT,MATCH(C566,FaseKode,0))))</f>
        <v/>
      </c>
      <c r="G566">
        <f>IF(D566="F",0,IF(WEEKDAY($A566,2)=5,INDEX(TimerFr,MATCH(D566,FaseKode,0)),INDEX(TimerMT,MATCH(D566,FaseKode,0))))</f>
        <v/>
      </c>
      <c r="H566">
        <f>IF(OR(H$4="",$A566&gt;TODAY()),0,IF(OR(INDEX($B566:$D566,H$5)="F",AND(H$6&gt;0,$A566&lt;H$6),AND(H$7&gt;0,$A566&gt;H$7)),0,MAX(0,ROUND((INDEX($E566:$G566,H$5)-SUMIFS(TF_Timer,TF_Tekniker,H$4,TF_Dato,$A566))*2,0)/2)))</f>
        <v/>
      </c>
      <c r="I566">
        <f>IF(OR(I$4="",$A566&gt;TODAY()),0,IF(OR(INDEX($B566:$D566,I$5)="F",AND(I$6&gt;0,$A566&lt;I$6),AND(I$7&gt;0,$A566&gt;I$7)),0,MAX(0,ROUND((INDEX($E566:$G566,I$5)-SUMIFS(TF_Timer,TF_Tekniker,I$4,TF_Dato,$A566))*2,0)/2)))</f>
        <v/>
      </c>
      <c r="J566">
        <f>IF(OR(J$4="",$A566&gt;TODAY()),0,IF(OR(INDEX($B566:$D566,J$5)="F",AND(J$6&gt;0,$A566&lt;J$6),AND(J$7&gt;0,$A566&gt;J$7)),0,MAX(0,ROUND((INDEX($E566:$G566,J$5)-SUMIFS(TF_Timer,TF_Tekniker,J$4,TF_Dato,$A566))*2,0)/2)))</f>
        <v/>
      </c>
      <c r="K566">
        <f>IF(OR(K$4="",$A566&gt;TODAY()),0,IF(OR(INDEX($B566:$D566,K$5)="F",AND(K$6&gt;0,$A566&lt;K$6),AND(K$7&gt;0,$A566&gt;K$7)),0,MAX(0,ROUND((INDEX($E566:$G566,K$5)-SUMIFS(TF_Timer,TF_Tekniker,K$4,TF_Dato,$A566))*2,0)/2)))</f>
        <v/>
      </c>
      <c r="L566">
        <f>IF(OR(L$4="",$A566&gt;TODAY()),0,IF(OR(INDEX($B566:$D566,L$5)="F",AND(L$6&gt;0,$A566&lt;L$6),AND(L$7&gt;0,$A566&gt;L$7)),0,MAX(0,ROUND((INDEX($E566:$G566,L$5)-SUMIFS(TF_Timer,TF_Tekniker,L$4,TF_Dato,$A566))*2,0)/2)))</f>
        <v/>
      </c>
      <c r="M566">
        <f>IF(OR(M$4="",$A566&gt;TODAY()),0,IF(OR(INDEX($B566:$D566,M$5)="F",AND(M$6&gt;0,$A566&lt;M$6),AND(M$7&gt;0,$A566&gt;M$7)),0,MAX(0,ROUND((INDEX($E566:$G566,M$5)-SUMIFS(TF_Timer,TF_Tekniker,M$4,TF_Dato,$A566))*2,0)/2)))</f>
        <v/>
      </c>
      <c r="N566">
        <f>IF(OR(N$4="",$A566&gt;TODAY()),0,IF(OR(INDEX($B566:$D566,N$5)="F",AND(N$6&gt;0,$A566&lt;N$6),AND(N$7&gt;0,$A566&gt;N$7)),0,MAX(0,ROUND((INDEX($E566:$G566,N$5)-SUMIFS(TF_Timer,TF_Tekniker,N$4,TF_Dato,$A566))*2,0)/2)))</f>
        <v/>
      </c>
      <c r="O566">
        <f>IF(OR(O$4="",$A566&gt;TODAY()),0,IF(OR(INDEX($B566:$D566,O$5)="F",AND(O$6&gt;0,$A566&lt;O$6),AND(O$7&gt;0,$A566&gt;O$7)),0,MAX(0,ROUND((INDEX($E566:$G566,O$5)-SUMIFS(TF_Timer,TF_Tekniker,O$4,TF_Dato,$A566))*2,0)/2)))</f>
        <v/>
      </c>
      <c r="P566">
        <f>IF(OR(P$4="",$A566&gt;TODAY()),0,IF(OR(INDEX($B566:$D566,P$5)="F",AND(P$6&gt;0,$A566&lt;P$6),AND(P$7&gt;0,$A566&gt;P$7)),0,MAX(0,ROUND((INDEX($E566:$G566,P$5)-SUMIFS(TF_Timer,TF_Tekniker,P$4,TF_Dato,$A566))*2,0)/2)))</f>
        <v/>
      </c>
      <c r="Q566">
        <f>IF(OR(Q$4="",$A566&gt;TODAY()),0,IF(OR(INDEX($B566:$D566,Q$5)="F",AND(Q$6&gt;0,$A566&lt;Q$6),AND(Q$7&gt;0,$A566&gt;Q$7)),0,MAX(0,ROUND((INDEX($E566:$G566,Q$5)-SUMIFS(TF_Timer,TF_Tekniker,Q$4,TF_Dato,$A566))*2,0)/2)))</f>
        <v/>
      </c>
      <c r="R566">
        <f>IF(OR(R$4="",$A566&gt;TODAY()),0,IF(OR(INDEX($B566:$D566,R$5)="F",AND(R$6&gt;0,$A566&lt;R$6),AND(R$7&gt;0,$A566&gt;R$7)),0,MAX(0,ROUND((INDEX($E566:$G566,R$5)-SUMIFS(TF_Timer,TF_Tekniker,R$4,TF_Dato,$A566))*2,0)/2)))</f>
        <v/>
      </c>
      <c r="S566">
        <f>IF(OR(S$4="",$A566&gt;TODAY()),0,IF(OR(INDEX($B566:$D566,S$5)="F",AND(S$6&gt;0,$A566&lt;S$6),AND(S$7&gt;0,$A566&gt;S$7)),0,MAX(0,ROUND((INDEX($E566:$G566,S$5)-SUMIFS(TF_Timer,TF_Tekniker,S$4,TF_Dato,$A566))*2,0)/2)))</f>
        <v/>
      </c>
      <c r="T566">
        <f>IF(OR(T$4="",$A566&gt;TODAY()),0,IF(OR(INDEX($B566:$D566,T$5)="F",AND(T$6&gt;0,$A566&lt;T$6),AND(T$7&gt;0,$A566&gt;T$7)),0,MAX(0,ROUND((INDEX($E566:$G566,T$5)-SUMIFS(TF_Timer,TF_Tekniker,T$4,TF_Dato,$A566))*2,0)/2)))</f>
        <v/>
      </c>
      <c r="U566">
        <f>IF(OR(U$4="",$A566&gt;TODAY()),0,IF(OR(INDEX($B566:$D566,U$5)="F",AND(U$6&gt;0,$A566&lt;U$6),AND(U$7&gt;0,$A566&gt;U$7)),0,MAX(0,ROUND((INDEX($E566:$G566,U$5)-SUMIFS(TF_Timer,TF_Tekniker,U$4,TF_Dato,$A566))*2,0)/2)))</f>
        <v/>
      </c>
      <c r="V566">
        <f>IF(OR(V$4="",$A566&gt;TODAY()),0,IF(OR(INDEX($B566:$D566,V$5)="F",AND(V$6&gt;0,$A566&lt;V$6),AND(V$7&gt;0,$A566&gt;V$7)),0,MAX(0,ROUND((INDEX($E566:$G566,V$5)-SUMIFS(TF_Timer,TF_Tekniker,V$4,TF_Dato,$A566))*2,0)/2)))</f>
        <v/>
      </c>
      <c r="W566">
        <f>IF(OR(W$4="",$A566&gt;TODAY()),0,IF(OR(INDEX($B566:$D566,W$5)="F",AND(W$6&gt;0,$A566&lt;W$6),AND(W$7&gt;0,$A566&gt;W$7)),0,MAX(0,ROUND((INDEX($E566:$G566,W$5)-SUMIFS(TF_Timer,TF_Tekniker,W$4,TF_Dato,$A566))*2,0)/2)))</f>
        <v/>
      </c>
      <c r="X566">
        <f>IF(OR(X$4="",$A566&gt;TODAY()),0,IF(OR(INDEX($B566:$D566,X$5)="F",AND(X$6&gt;0,$A566&lt;X$6),AND(X$7&gt;0,$A566&gt;X$7)),0,MAX(0,ROUND((INDEX($E566:$G566,X$5)-SUMIFS(TF_Timer,TF_Tekniker,X$4,TF_Dato,$A566))*2,0)/2)))</f>
        <v/>
      </c>
      <c r="Y566">
        <f>IF(OR(Y$4="",$A566&gt;TODAY()),0,IF(OR(INDEX($B566:$D566,Y$5)="F",AND(Y$6&gt;0,$A566&lt;Y$6),AND(Y$7&gt;0,$A566&gt;Y$7)),0,MAX(0,ROUND((INDEX($E566:$G566,Y$5)-SUMIFS(TF_Timer,TF_Tekniker,Y$4,TF_Dato,$A566))*2,0)/2)))</f>
        <v/>
      </c>
      <c r="Z566">
        <f>IF(OR(Z$4="",$A566&gt;TODAY()),0,IF(OR(INDEX($B566:$D566,Z$5)="F",AND(Z$6&gt;0,$A566&lt;Z$6),AND(Z$7&gt;0,$A566&gt;Z$7)),0,MAX(0,ROUND((INDEX($E566:$G566,Z$5)-SUMIFS(TF_Timer,TF_Tekniker,Z$4,TF_Dato,$A566))*2,0)/2)))</f>
        <v/>
      </c>
      <c r="AA566">
        <f>IF(OR(AA$4="",$A566&gt;TODAY()),0,IF(OR(INDEX($B566:$D566,AA$5)="F",AND(AA$6&gt;0,$A566&lt;AA$6),AND(AA$7&gt;0,$A566&gt;AA$7)),0,MAX(0,ROUND((INDEX($E566:$G566,AA$5)-SUMIFS(TF_Timer,TF_Tekniker,AA$4,TF_Dato,$A566))*2,0)/2)))</f>
        <v/>
      </c>
      <c r="AB566">
        <f>IF(OR(AB$4="",$A566&gt;TODAY()),0,IF(OR(INDEX($B566:$D566,AB$5)="F",AND(AB$6&gt;0,$A566&lt;AB$6),AND(AB$7&gt;0,$A566&gt;AB$7)),0,MAX(0,ROUND((INDEX($E566:$G566,AB$5)-SUMIFS(TF_Timer,TF_Tekniker,AB$4,TF_Dato,$A566))*2,0)/2)))</f>
        <v/>
      </c>
      <c r="AC566">
        <f>IF(OR(AC$4="",$A566&gt;TODAY()),0,IF(OR(INDEX($B566:$D566,AC$5)="F",AND(AC$6&gt;0,$A566&lt;AC$6),AND(AC$7&gt;0,$A566&gt;AC$7)),0,MAX(0,ROUND((INDEX($E566:$G566,AC$5)-SUMIFS(TF_Timer,TF_Tekniker,AC$4,TF_Dato,$A566))*2,0)/2)))</f>
        <v/>
      </c>
      <c r="AD566">
        <f>IF(OR(AD$4="",$A566&gt;TODAY()),0,IF(OR(INDEX($B566:$D566,AD$5)="F",AND(AD$6&gt;0,$A566&lt;AD$6),AND(AD$7&gt;0,$A566&gt;AD$7)),0,MAX(0,ROUND((INDEX($E566:$G566,AD$5)-SUMIFS(TF_Timer,TF_Tekniker,AD$4,TF_Dato,$A566))*2,0)/2)))</f>
        <v/>
      </c>
      <c r="AE566">
        <f>IF(OR(AE$4="",$A566&gt;TODAY()),0,IF(OR(INDEX($B566:$D566,AE$5)="F",AND(AE$6&gt;0,$A566&lt;AE$6),AND(AE$7&gt;0,$A566&gt;AE$7)),0,MAX(0,ROUND((INDEX($E566:$G566,AE$5)-SUMIFS(TF_Timer,TF_Tekniker,AE$4,TF_Dato,$A566))*2,0)/2)))</f>
        <v/>
      </c>
      <c r="AF566">
        <f>IF(OR(AF$4="",$A566&gt;TODAY()),0,IF(OR(INDEX($B566:$D566,AF$5)="F",AND(AF$6&gt;0,$A566&lt;AF$6),AND(AF$7&gt;0,$A566&gt;AF$7)),0,MAX(0,ROUND((INDEX($E566:$G566,AF$5)-SUMIFS(TF_Timer,TF_Tekniker,AF$4,TF_Dato,$A566))*2,0)/2)))</f>
        <v/>
      </c>
      <c r="AG566">
        <f>IF(OR(AG$4="",$A566&gt;TODAY()),0,IF(OR(INDEX($B566:$D566,AG$5)="F",AND(AG$6&gt;0,$A566&lt;AG$6),AND(AG$7&gt;0,$A566&gt;AG$7)),0,MAX(0,ROUND((INDEX($E566:$G566,AG$5)-SUMIFS(TF_Timer,TF_Tekniker,AG$4,TF_Dato,$A566))*2,0)/2)))</f>
        <v/>
      </c>
      <c r="AH566">
        <f>IF(OR(AH$4="",$A566&gt;TODAY()),0,IF(OR(INDEX($B566:$D566,AH$5)="F",AND(AH$6&gt;0,$A566&lt;AH$6),AND(AH$7&gt;0,$A566&gt;AH$7)),0,MAX(0,ROUND((INDEX($E566:$G566,AH$5)-SUMIFS(TF_Timer,TF_Tekniker,AH$4,TF_Dato,$A566))*2,0)/2)))</f>
        <v/>
      </c>
      <c r="AI566">
        <f>IF(OR(AI$4="",$A566&gt;TODAY()),0,IF(OR(INDEX($B566:$D566,AI$5)="F",AND(AI$6&gt;0,$A566&lt;AI$6),AND(AI$7&gt;0,$A566&gt;AI$7)),0,MAX(0,ROUND((INDEX($E566:$G566,AI$5)-SUMIFS(TF_Timer,TF_Tekniker,AI$4,TF_Dato,$A566))*2,0)/2)))</f>
        <v/>
      </c>
      <c r="AJ566">
        <f>IF(OR(AJ$4="",$A566&gt;TODAY()),0,IF(OR(INDEX($B566:$D566,AJ$5)="F",AND(AJ$6&gt;0,$A566&lt;AJ$6),AND(AJ$7&gt;0,$A566&gt;AJ$7)),0,MAX(0,ROUND((INDEX($E566:$G566,AJ$5)-SUMIFS(TF_Timer,TF_Tekniker,AJ$4,TF_Dato,$A566))*2,0)/2)))</f>
        <v/>
      </c>
      <c r="AK566">
        <f>IF(OR(AK$4="",$A566&gt;TODAY()),0,IF(OR(INDEX($B566:$D566,AK$5)="F",AND(AK$6&gt;0,$A566&lt;AK$6),AND(AK$7&gt;0,$A566&gt;AK$7)),0,MAX(0,ROUND((INDEX($E566:$G566,AK$5)-SUMIFS(TF_Timer,TF_Tekniker,AK$4,TF_Dato,$A566))*2,0)/2)))</f>
        <v/>
      </c>
      <c r="AL566">
        <f>IF(OR(AL$4="",$A566&gt;TODAY()),0,IF(OR(INDEX($B566:$D566,AL$5)="F",AND(AL$6&gt;0,$A566&lt;AL$6),AND(AL$7&gt;0,$A566&gt;AL$7)),0,MAX(0,ROUND((INDEX($E566:$G566,AL$5)-SUMIFS(TF_Timer,TF_Tekniker,AL$4,TF_Dato,$A566))*2,0)/2)))</f>
        <v/>
      </c>
      <c r="AM566">
        <f>IF(OR(AM$4="",$A566&gt;TODAY()),0,IF(OR(INDEX($B566:$D566,AM$5)="F",AND(AM$6&gt;0,$A566&lt;AM$6),AND(AM$7&gt;0,$A566&gt;AM$7)),0,MAX(0,ROUND((INDEX($E566:$G566,AM$5)-SUMIFS(TF_Timer,TF_Tekniker,AM$4,TF_Dato,$A566))*2,0)/2)))</f>
        <v/>
      </c>
      <c r="AN566">
        <f>IF(OR(AN$4="",$A566&gt;TODAY()),0,IF(OR(INDEX($B566:$D566,AN$5)="F",AND(AN$6&gt;0,$A566&lt;AN$6),AND(AN$7&gt;0,$A566&gt;AN$7)),0,MAX(0,ROUND((INDEX($E566:$G566,AN$5)-SUMIFS(TF_Timer,TF_Tekniker,AN$4,TF_Dato,$A566))*2,0)/2)))</f>
        <v/>
      </c>
      <c r="AO566">
        <f>IF(OR(AO$4="",$A566&gt;TODAY()),0,IF(OR(INDEX($B566:$D566,AO$5)="F",AND(AO$6&gt;0,$A566&lt;AO$6),AND(AO$7&gt;0,$A566&gt;AO$7)),0,MAX(0,ROUND((INDEX($E566:$G566,AO$5)-SUMIFS(TF_Timer,TF_Tekniker,AO$4,TF_Dato,$A566))*2,0)/2)))</f>
        <v/>
      </c>
      <c r="AP566">
        <f>IF(OR(AP$4="",$A566&gt;TODAY()),0,IF(OR(INDEX($B566:$D566,AP$5)="F",AND(AP$6&gt;0,$A566&lt;AP$6),AND(AP$7&gt;0,$A566&gt;AP$7)),0,MAX(0,ROUND((INDEX($E566:$G566,AP$5)-SUMIFS(TF_Timer,TF_Tekniker,AP$4,TF_Dato,$A566))*2,0)/2)))</f>
        <v/>
      </c>
      <c r="AQ566">
        <f>IF(OR(AQ$4="",$A566&gt;TODAY()),0,IF(OR(INDEX($B566:$D566,AQ$5)="F",AND(AQ$6&gt;0,$A566&lt;AQ$6),AND(AQ$7&gt;0,$A566&gt;AQ$7)),0,MAX(0,ROUND((INDEX($E566:$G566,AQ$5)-SUMIFS(TF_Timer,TF_Tekniker,AQ$4,TF_Dato,$A566))*2,0)/2)))</f>
        <v/>
      </c>
      <c r="AR566">
        <f>IF(OR(AR$4="",$A566&gt;TODAY()),0,IF(OR(INDEX($B566:$D566,AR$5)="F",AND(AR$6&gt;0,$A566&lt;AR$6),AND(AR$7&gt;0,$A566&gt;AR$7)),0,MAX(0,ROUND((INDEX($E566:$G566,AR$5)-SUMIFS(TF_Timer,TF_Tekniker,AR$4,TF_Dato,$A566))*2,0)/2)))</f>
        <v/>
      </c>
      <c r="AS566">
        <f>IF(OR(AS$4="",$A566&gt;TODAY()),0,IF(OR(INDEX($B566:$D566,AS$5)="F",AND(AS$6&gt;0,$A566&lt;AS$6),AND(AS$7&gt;0,$A566&gt;AS$7)),0,MAX(0,ROUND((INDEX($E566:$G566,AS$5)-SUMIFS(TF_Timer,TF_Tekniker,AS$4,TF_Dato,$A566))*2,0)/2)))</f>
        <v/>
      </c>
      <c r="AT566">
        <f>IF(OR(AT$4="",$A566&gt;TODAY()),0,IF(OR(INDEX($B566:$D566,AT$5)="F",AND(AT$6&gt;0,$A566&lt;AT$6),AND(AT$7&gt;0,$A566&gt;AT$7)),0,MAX(0,ROUND((INDEX($E566:$G566,AT$5)-SUMIFS(TF_Timer,TF_Tekniker,AT$4,TF_Dato,$A566))*2,0)/2)))</f>
        <v/>
      </c>
      <c r="AU566">
        <f>IF(OR(AU$4="",$A566&gt;TODAY()),0,IF(OR(INDEX($B566:$D566,AU$5)="F",AND(AU$6&gt;0,$A566&lt;AU$6),AND(AU$7&gt;0,$A566&gt;AU$7)),0,MAX(0,ROUND((INDEX($E566:$G566,AU$5)-SUMIFS(TF_Timer,TF_Tekniker,AU$4,TF_Dato,$A566))*2,0)/2)))</f>
        <v/>
      </c>
      <c r="AV566">
        <f>IF(OR(AV$4="",$A566&gt;TODAY()),0,IF(OR(INDEX($B566:$D566,AV$5)="F",AND(AV$6&gt;0,$A566&lt;AV$6),AND(AV$7&gt;0,$A566&gt;AV$7)),0,MAX(0,ROUND((INDEX($E566:$G566,AV$5)-SUMIFS(TF_Timer,TF_Tekniker,AV$4,TF_Dato,$A566))*2,0)/2)))</f>
        <v/>
      </c>
      <c r="AW566">
        <f>IF(OR(AW$4="",$A566&gt;TODAY()),0,IF(OR(INDEX($B566:$D566,AW$5)="F",AND(AW$6&gt;0,$A566&lt;AW$6),AND(AW$7&gt;0,$A566&gt;AW$7)),0,MAX(0,ROUND((INDEX($E566:$G566,AW$5)-SUMIFS(TF_Timer,TF_Tekniker,AW$4,TF_Dato,$A566))*2,0)/2)))</f>
        <v/>
      </c>
      <c r="AX566">
        <f>IF(OR(AX$4="",$A566&gt;TODAY()),0,IF(OR(INDEX($B566:$D566,AX$5)="F",AND(AX$6&gt;0,$A566&lt;AX$6),AND(AX$7&gt;0,$A566&gt;AX$7)),0,MAX(0,ROUND((INDEX($E566:$G566,AX$5)-SUMIFS(TF_Timer,TF_Tekniker,AX$4,TF_Dato,$A566))*2,0)/2)))</f>
        <v/>
      </c>
      <c r="AY566">
        <f>IF(OR(AY$4="",$A566&gt;TODAY()),0,IF(OR(INDEX($B566:$D566,AY$5)="F",AND(AY$6&gt;0,$A566&lt;AY$6),AND(AY$7&gt;0,$A566&gt;AY$7)),0,MAX(0,ROUND((INDEX($E566:$G566,AY$5)-SUMIFS(TF_Timer,TF_Tekniker,AY$4,TF_Dato,$A566))*2,0)/2)))</f>
        <v/>
      </c>
      <c r="AZ566">
        <f>IF(OR(AZ$4="",$A566&gt;TODAY()),0,IF(OR(INDEX($B566:$D566,AZ$5)="F",AND(AZ$6&gt;0,$A566&lt;AZ$6),AND(AZ$7&gt;0,$A566&gt;AZ$7)),0,MAX(0,ROUND((INDEX($E566:$G566,AZ$5)-SUMIFS(TF_Timer,TF_Tekniker,AZ$4,TF_Dato,$A566))*2,0)/2)))</f>
        <v/>
      </c>
      <c r="BA566">
        <f>IF(OR(BA$4="",$A566&gt;TODAY()),0,IF(OR(INDEX($B566:$D566,BA$5)="F",AND(BA$6&gt;0,$A566&lt;BA$6),AND(BA$7&gt;0,$A566&gt;BA$7)),0,MAX(0,ROUND((INDEX($E566:$G566,BA$5)-SUMIFS(TF_Timer,TF_Tekniker,BA$4,TF_Dato,$A566))*2,0)/2)))</f>
        <v/>
      </c>
      <c r="BB566">
        <f>IF(OR(BB$4="",$A566&gt;TODAY()),0,IF(OR(INDEX($B566:$D566,BB$5)="F",AND(BB$6&gt;0,$A566&lt;BB$6),AND(BB$7&gt;0,$A566&gt;BB$7)),0,MAX(0,ROUND((INDEX($E566:$G566,BB$5)-SUMIFS(TF_Timer,TF_Tekniker,BB$4,TF_Dato,$A566))*2,0)/2)))</f>
        <v/>
      </c>
      <c r="BC566">
        <f>IF(OR(BC$4="",$A566&gt;TODAY()),0,IF(OR(INDEX($B566:$D566,BC$5)="F",AND(BC$6&gt;0,$A566&lt;BC$6),AND(BC$7&gt;0,$A566&gt;BC$7)),0,MAX(0,ROUND((INDEX($E566:$G566,BC$5)-SUMIFS(TF_Timer,TF_Tekniker,BC$4,TF_Dato,$A566))*2,0)/2)))</f>
        <v/>
      </c>
      <c r="BD566">
        <f>IF(OR(BD$4="",$A566&gt;TODAY()),0,IF(OR(INDEX($B566:$D566,BD$5)="F",AND(BD$6&gt;0,$A566&lt;BD$6),AND(BD$7&gt;0,$A566&gt;BD$7)),0,MAX(0,ROUND((INDEX($E566:$G566,BD$5)-SUMIFS(TF_Timer,TF_Tekniker,BD$4,TF_Dato,$A566))*2,0)/2)))</f>
        <v/>
      </c>
      <c r="BE566">
        <f>IF(OR(BE$4="",$A566&gt;TODAY()),0,IF(OR(INDEX($B566:$D566,BE$5)="F",AND(BE$6&gt;0,$A566&lt;BE$6),AND(BE$7&gt;0,$A566&gt;BE$7)),0,MAX(0,ROUND((INDEX($E566:$G566,BE$5)-SUMIFS(TF_Timer,TF_Tekniker,BE$4,TF_Dato,$A566))*2,0)/2)))</f>
        <v/>
      </c>
      <c r="BF566">
        <f>IF(OR(BF$4="",$A566&gt;TODAY()),0,IF(OR(INDEX($B566:$D566,BF$5)="F",AND(BF$6&gt;0,$A566&lt;BF$6),AND(BF$7&gt;0,$A566&gt;BF$7)),0,MAX(0,ROUND((INDEX($E566:$G566,BF$5)-SUMIFS(TF_Timer,TF_Tekniker,BF$4,TF_Dato,$A566))*2,0)/2)))</f>
        <v/>
      </c>
      <c r="BG566">
        <f>IF(OR(BG$4="",$A566&gt;TODAY()),0,IF(OR(INDEX($B566:$D566,BG$5)="F",AND(BG$6&gt;0,$A566&lt;BG$6),AND(BG$7&gt;0,$A566&gt;BG$7)),0,MAX(0,ROUND((INDEX($E566:$G566,BG$5)-SUMIFS(TF_Timer,TF_Tekniker,BG$4,TF_Dato,$A566))*2,0)/2)))</f>
        <v/>
      </c>
      <c r="BH566">
        <f>IF(OR(BH$4="",$A566&gt;TODAY()),0,IF(OR(INDEX($B566:$D566,BH$5)="F",AND(BH$6&gt;0,$A566&lt;BH$6),AND(BH$7&gt;0,$A566&gt;BH$7)),0,MAX(0,ROUND((INDEX($E566:$G566,BH$5)-SUMIFS(TF_Timer,TF_Tekniker,BH$4,TF_Dato,$A566))*2,0)/2)))</f>
        <v/>
      </c>
      <c r="BI566">
        <f>IF(OR(BI$4="",$A566&gt;TODAY()),0,IF(OR(INDEX($B566:$D566,BI$5)="F",AND(BI$6&gt;0,$A566&lt;BI$6),AND(BI$7&gt;0,$A566&gt;BI$7)),0,MAX(0,ROUND((INDEX($E566:$G566,BI$5)-SUMIFS(TF_Timer,TF_Tekniker,BI$4,TF_Dato,$A566))*2,0)/2)))</f>
        <v/>
      </c>
    </row>
    <row r="567">
      <c r="A567" s="64">
        <f>A566+1</f>
        <v/>
      </c>
      <c r="B567">
        <f>IF(MOD($A567-INDEX(SkiftStart,1),Syklus)&lt;DagK,"K",IF(MOD($A567-INDEX(SkiftStart,1),Syklus)&lt;DagK+DagH,"H",IF(MOD($A567-INDEX(SkiftStart,1),Syklus)&lt;DagK+DagH+DagD,"D","F")))</f>
        <v/>
      </c>
      <c r="C567">
        <f>IF(MOD($A567-INDEX(SkiftStart,2),Syklus)&lt;DagK,"K",IF(MOD($A567-INDEX(SkiftStart,2),Syklus)&lt;DagK+DagH,"H",IF(MOD($A567-INDEX(SkiftStart,2),Syklus)&lt;DagK+DagH+DagD,"D","F")))</f>
        <v/>
      </c>
      <c r="D567">
        <f>IF(MOD($A567-INDEX(SkiftStart,3),Syklus)&lt;DagK,"K",IF(MOD($A567-INDEX(SkiftStart,3),Syklus)&lt;DagK+DagH,"H",IF(MOD($A567-INDEX(SkiftStart,3),Syklus)&lt;DagK+DagH+DagD,"D","F")))</f>
        <v/>
      </c>
      <c r="E567">
        <f>IF(B567="F",0,IF(WEEKDAY($A567,2)=5,INDEX(TimerFr,MATCH(B567,FaseKode,0)),INDEX(TimerMT,MATCH(B567,FaseKode,0))))</f>
        <v/>
      </c>
      <c r="F567">
        <f>IF(C567="F",0,IF(WEEKDAY($A567,2)=5,INDEX(TimerFr,MATCH(C567,FaseKode,0)),INDEX(TimerMT,MATCH(C567,FaseKode,0))))</f>
        <v/>
      </c>
      <c r="G567">
        <f>IF(D567="F",0,IF(WEEKDAY($A567,2)=5,INDEX(TimerFr,MATCH(D567,FaseKode,0)),INDEX(TimerMT,MATCH(D567,FaseKode,0))))</f>
        <v/>
      </c>
      <c r="H567">
        <f>IF(OR(H$4="",$A567&gt;TODAY()),0,IF(OR(INDEX($B567:$D567,H$5)="F",AND(H$6&gt;0,$A567&lt;H$6),AND(H$7&gt;0,$A567&gt;H$7)),0,MAX(0,ROUND((INDEX($E567:$G567,H$5)-SUMIFS(TF_Timer,TF_Tekniker,H$4,TF_Dato,$A567))*2,0)/2)))</f>
        <v/>
      </c>
      <c r="I567">
        <f>IF(OR(I$4="",$A567&gt;TODAY()),0,IF(OR(INDEX($B567:$D567,I$5)="F",AND(I$6&gt;0,$A567&lt;I$6),AND(I$7&gt;0,$A567&gt;I$7)),0,MAX(0,ROUND((INDEX($E567:$G567,I$5)-SUMIFS(TF_Timer,TF_Tekniker,I$4,TF_Dato,$A567))*2,0)/2)))</f>
        <v/>
      </c>
      <c r="J567">
        <f>IF(OR(J$4="",$A567&gt;TODAY()),0,IF(OR(INDEX($B567:$D567,J$5)="F",AND(J$6&gt;0,$A567&lt;J$6),AND(J$7&gt;0,$A567&gt;J$7)),0,MAX(0,ROUND((INDEX($E567:$G567,J$5)-SUMIFS(TF_Timer,TF_Tekniker,J$4,TF_Dato,$A567))*2,0)/2)))</f>
        <v/>
      </c>
      <c r="K567">
        <f>IF(OR(K$4="",$A567&gt;TODAY()),0,IF(OR(INDEX($B567:$D567,K$5)="F",AND(K$6&gt;0,$A567&lt;K$6),AND(K$7&gt;0,$A567&gt;K$7)),0,MAX(0,ROUND((INDEX($E567:$G567,K$5)-SUMIFS(TF_Timer,TF_Tekniker,K$4,TF_Dato,$A567))*2,0)/2)))</f>
        <v/>
      </c>
      <c r="L567">
        <f>IF(OR(L$4="",$A567&gt;TODAY()),0,IF(OR(INDEX($B567:$D567,L$5)="F",AND(L$6&gt;0,$A567&lt;L$6),AND(L$7&gt;0,$A567&gt;L$7)),0,MAX(0,ROUND((INDEX($E567:$G567,L$5)-SUMIFS(TF_Timer,TF_Tekniker,L$4,TF_Dato,$A567))*2,0)/2)))</f>
        <v/>
      </c>
      <c r="M567">
        <f>IF(OR(M$4="",$A567&gt;TODAY()),0,IF(OR(INDEX($B567:$D567,M$5)="F",AND(M$6&gt;0,$A567&lt;M$6),AND(M$7&gt;0,$A567&gt;M$7)),0,MAX(0,ROUND((INDEX($E567:$G567,M$5)-SUMIFS(TF_Timer,TF_Tekniker,M$4,TF_Dato,$A567))*2,0)/2)))</f>
        <v/>
      </c>
      <c r="N567">
        <f>IF(OR(N$4="",$A567&gt;TODAY()),0,IF(OR(INDEX($B567:$D567,N$5)="F",AND(N$6&gt;0,$A567&lt;N$6),AND(N$7&gt;0,$A567&gt;N$7)),0,MAX(0,ROUND((INDEX($E567:$G567,N$5)-SUMIFS(TF_Timer,TF_Tekniker,N$4,TF_Dato,$A567))*2,0)/2)))</f>
        <v/>
      </c>
      <c r="O567">
        <f>IF(OR(O$4="",$A567&gt;TODAY()),0,IF(OR(INDEX($B567:$D567,O$5)="F",AND(O$6&gt;0,$A567&lt;O$6),AND(O$7&gt;0,$A567&gt;O$7)),0,MAX(0,ROUND((INDEX($E567:$G567,O$5)-SUMIFS(TF_Timer,TF_Tekniker,O$4,TF_Dato,$A567))*2,0)/2)))</f>
        <v/>
      </c>
      <c r="P567">
        <f>IF(OR(P$4="",$A567&gt;TODAY()),0,IF(OR(INDEX($B567:$D567,P$5)="F",AND(P$6&gt;0,$A567&lt;P$6),AND(P$7&gt;0,$A567&gt;P$7)),0,MAX(0,ROUND((INDEX($E567:$G567,P$5)-SUMIFS(TF_Timer,TF_Tekniker,P$4,TF_Dato,$A567))*2,0)/2)))</f>
        <v/>
      </c>
      <c r="Q567">
        <f>IF(OR(Q$4="",$A567&gt;TODAY()),0,IF(OR(INDEX($B567:$D567,Q$5)="F",AND(Q$6&gt;0,$A567&lt;Q$6),AND(Q$7&gt;0,$A567&gt;Q$7)),0,MAX(0,ROUND((INDEX($E567:$G567,Q$5)-SUMIFS(TF_Timer,TF_Tekniker,Q$4,TF_Dato,$A567))*2,0)/2)))</f>
        <v/>
      </c>
      <c r="R567">
        <f>IF(OR(R$4="",$A567&gt;TODAY()),0,IF(OR(INDEX($B567:$D567,R$5)="F",AND(R$6&gt;0,$A567&lt;R$6),AND(R$7&gt;0,$A567&gt;R$7)),0,MAX(0,ROUND((INDEX($E567:$G567,R$5)-SUMIFS(TF_Timer,TF_Tekniker,R$4,TF_Dato,$A567))*2,0)/2)))</f>
        <v/>
      </c>
      <c r="S567">
        <f>IF(OR(S$4="",$A567&gt;TODAY()),0,IF(OR(INDEX($B567:$D567,S$5)="F",AND(S$6&gt;0,$A567&lt;S$6),AND(S$7&gt;0,$A567&gt;S$7)),0,MAX(0,ROUND((INDEX($E567:$G567,S$5)-SUMIFS(TF_Timer,TF_Tekniker,S$4,TF_Dato,$A567))*2,0)/2)))</f>
        <v/>
      </c>
      <c r="T567">
        <f>IF(OR(T$4="",$A567&gt;TODAY()),0,IF(OR(INDEX($B567:$D567,T$5)="F",AND(T$6&gt;0,$A567&lt;T$6),AND(T$7&gt;0,$A567&gt;T$7)),0,MAX(0,ROUND((INDEX($E567:$G567,T$5)-SUMIFS(TF_Timer,TF_Tekniker,T$4,TF_Dato,$A567))*2,0)/2)))</f>
        <v/>
      </c>
      <c r="U567">
        <f>IF(OR(U$4="",$A567&gt;TODAY()),0,IF(OR(INDEX($B567:$D567,U$5)="F",AND(U$6&gt;0,$A567&lt;U$6),AND(U$7&gt;0,$A567&gt;U$7)),0,MAX(0,ROUND((INDEX($E567:$G567,U$5)-SUMIFS(TF_Timer,TF_Tekniker,U$4,TF_Dato,$A567))*2,0)/2)))</f>
        <v/>
      </c>
      <c r="V567">
        <f>IF(OR(V$4="",$A567&gt;TODAY()),0,IF(OR(INDEX($B567:$D567,V$5)="F",AND(V$6&gt;0,$A567&lt;V$6),AND(V$7&gt;0,$A567&gt;V$7)),0,MAX(0,ROUND((INDEX($E567:$G567,V$5)-SUMIFS(TF_Timer,TF_Tekniker,V$4,TF_Dato,$A567))*2,0)/2)))</f>
        <v/>
      </c>
      <c r="W567">
        <f>IF(OR(W$4="",$A567&gt;TODAY()),0,IF(OR(INDEX($B567:$D567,W$5)="F",AND(W$6&gt;0,$A567&lt;W$6),AND(W$7&gt;0,$A567&gt;W$7)),0,MAX(0,ROUND((INDEX($E567:$G567,W$5)-SUMIFS(TF_Timer,TF_Tekniker,W$4,TF_Dato,$A567))*2,0)/2)))</f>
        <v/>
      </c>
      <c r="X567">
        <f>IF(OR(X$4="",$A567&gt;TODAY()),0,IF(OR(INDEX($B567:$D567,X$5)="F",AND(X$6&gt;0,$A567&lt;X$6),AND(X$7&gt;0,$A567&gt;X$7)),0,MAX(0,ROUND((INDEX($E567:$G567,X$5)-SUMIFS(TF_Timer,TF_Tekniker,X$4,TF_Dato,$A567))*2,0)/2)))</f>
        <v/>
      </c>
      <c r="Y567">
        <f>IF(OR(Y$4="",$A567&gt;TODAY()),0,IF(OR(INDEX($B567:$D567,Y$5)="F",AND(Y$6&gt;0,$A567&lt;Y$6),AND(Y$7&gt;0,$A567&gt;Y$7)),0,MAX(0,ROUND((INDEX($E567:$G567,Y$5)-SUMIFS(TF_Timer,TF_Tekniker,Y$4,TF_Dato,$A567))*2,0)/2)))</f>
        <v/>
      </c>
      <c r="Z567">
        <f>IF(OR(Z$4="",$A567&gt;TODAY()),0,IF(OR(INDEX($B567:$D567,Z$5)="F",AND(Z$6&gt;0,$A567&lt;Z$6),AND(Z$7&gt;0,$A567&gt;Z$7)),0,MAX(0,ROUND((INDEX($E567:$G567,Z$5)-SUMIFS(TF_Timer,TF_Tekniker,Z$4,TF_Dato,$A567))*2,0)/2)))</f>
        <v/>
      </c>
      <c r="AA567">
        <f>IF(OR(AA$4="",$A567&gt;TODAY()),0,IF(OR(INDEX($B567:$D567,AA$5)="F",AND(AA$6&gt;0,$A567&lt;AA$6),AND(AA$7&gt;0,$A567&gt;AA$7)),0,MAX(0,ROUND((INDEX($E567:$G567,AA$5)-SUMIFS(TF_Timer,TF_Tekniker,AA$4,TF_Dato,$A567))*2,0)/2)))</f>
        <v/>
      </c>
      <c r="AB567">
        <f>IF(OR(AB$4="",$A567&gt;TODAY()),0,IF(OR(INDEX($B567:$D567,AB$5)="F",AND(AB$6&gt;0,$A567&lt;AB$6),AND(AB$7&gt;0,$A567&gt;AB$7)),0,MAX(0,ROUND((INDEX($E567:$G567,AB$5)-SUMIFS(TF_Timer,TF_Tekniker,AB$4,TF_Dato,$A567))*2,0)/2)))</f>
        <v/>
      </c>
      <c r="AC567">
        <f>IF(OR(AC$4="",$A567&gt;TODAY()),0,IF(OR(INDEX($B567:$D567,AC$5)="F",AND(AC$6&gt;0,$A567&lt;AC$6),AND(AC$7&gt;0,$A567&gt;AC$7)),0,MAX(0,ROUND((INDEX($E567:$G567,AC$5)-SUMIFS(TF_Timer,TF_Tekniker,AC$4,TF_Dato,$A567))*2,0)/2)))</f>
        <v/>
      </c>
      <c r="AD567">
        <f>IF(OR(AD$4="",$A567&gt;TODAY()),0,IF(OR(INDEX($B567:$D567,AD$5)="F",AND(AD$6&gt;0,$A567&lt;AD$6),AND(AD$7&gt;0,$A567&gt;AD$7)),0,MAX(0,ROUND((INDEX($E567:$G567,AD$5)-SUMIFS(TF_Timer,TF_Tekniker,AD$4,TF_Dato,$A567))*2,0)/2)))</f>
        <v/>
      </c>
      <c r="AE567">
        <f>IF(OR(AE$4="",$A567&gt;TODAY()),0,IF(OR(INDEX($B567:$D567,AE$5)="F",AND(AE$6&gt;0,$A567&lt;AE$6),AND(AE$7&gt;0,$A567&gt;AE$7)),0,MAX(0,ROUND((INDEX($E567:$G567,AE$5)-SUMIFS(TF_Timer,TF_Tekniker,AE$4,TF_Dato,$A567))*2,0)/2)))</f>
        <v/>
      </c>
      <c r="AF567">
        <f>IF(OR(AF$4="",$A567&gt;TODAY()),0,IF(OR(INDEX($B567:$D567,AF$5)="F",AND(AF$6&gt;0,$A567&lt;AF$6),AND(AF$7&gt;0,$A567&gt;AF$7)),0,MAX(0,ROUND((INDEX($E567:$G567,AF$5)-SUMIFS(TF_Timer,TF_Tekniker,AF$4,TF_Dato,$A567))*2,0)/2)))</f>
        <v/>
      </c>
      <c r="AG567">
        <f>IF(OR(AG$4="",$A567&gt;TODAY()),0,IF(OR(INDEX($B567:$D567,AG$5)="F",AND(AG$6&gt;0,$A567&lt;AG$6),AND(AG$7&gt;0,$A567&gt;AG$7)),0,MAX(0,ROUND((INDEX($E567:$G567,AG$5)-SUMIFS(TF_Timer,TF_Tekniker,AG$4,TF_Dato,$A567))*2,0)/2)))</f>
        <v/>
      </c>
      <c r="AH567">
        <f>IF(OR(AH$4="",$A567&gt;TODAY()),0,IF(OR(INDEX($B567:$D567,AH$5)="F",AND(AH$6&gt;0,$A567&lt;AH$6),AND(AH$7&gt;0,$A567&gt;AH$7)),0,MAX(0,ROUND((INDEX($E567:$G567,AH$5)-SUMIFS(TF_Timer,TF_Tekniker,AH$4,TF_Dato,$A567))*2,0)/2)))</f>
        <v/>
      </c>
      <c r="AI567">
        <f>IF(OR(AI$4="",$A567&gt;TODAY()),0,IF(OR(INDEX($B567:$D567,AI$5)="F",AND(AI$6&gt;0,$A567&lt;AI$6),AND(AI$7&gt;0,$A567&gt;AI$7)),0,MAX(0,ROUND((INDEX($E567:$G567,AI$5)-SUMIFS(TF_Timer,TF_Tekniker,AI$4,TF_Dato,$A567))*2,0)/2)))</f>
        <v/>
      </c>
      <c r="AJ567">
        <f>IF(OR(AJ$4="",$A567&gt;TODAY()),0,IF(OR(INDEX($B567:$D567,AJ$5)="F",AND(AJ$6&gt;0,$A567&lt;AJ$6),AND(AJ$7&gt;0,$A567&gt;AJ$7)),0,MAX(0,ROUND((INDEX($E567:$G567,AJ$5)-SUMIFS(TF_Timer,TF_Tekniker,AJ$4,TF_Dato,$A567))*2,0)/2)))</f>
        <v/>
      </c>
      <c r="AK567">
        <f>IF(OR(AK$4="",$A567&gt;TODAY()),0,IF(OR(INDEX($B567:$D567,AK$5)="F",AND(AK$6&gt;0,$A567&lt;AK$6),AND(AK$7&gt;0,$A567&gt;AK$7)),0,MAX(0,ROUND((INDEX($E567:$G567,AK$5)-SUMIFS(TF_Timer,TF_Tekniker,AK$4,TF_Dato,$A567))*2,0)/2)))</f>
        <v/>
      </c>
      <c r="AL567">
        <f>IF(OR(AL$4="",$A567&gt;TODAY()),0,IF(OR(INDEX($B567:$D567,AL$5)="F",AND(AL$6&gt;0,$A567&lt;AL$6),AND(AL$7&gt;0,$A567&gt;AL$7)),0,MAX(0,ROUND((INDEX($E567:$G567,AL$5)-SUMIFS(TF_Timer,TF_Tekniker,AL$4,TF_Dato,$A567))*2,0)/2)))</f>
        <v/>
      </c>
      <c r="AM567">
        <f>IF(OR(AM$4="",$A567&gt;TODAY()),0,IF(OR(INDEX($B567:$D567,AM$5)="F",AND(AM$6&gt;0,$A567&lt;AM$6),AND(AM$7&gt;0,$A567&gt;AM$7)),0,MAX(0,ROUND((INDEX($E567:$G567,AM$5)-SUMIFS(TF_Timer,TF_Tekniker,AM$4,TF_Dato,$A567))*2,0)/2)))</f>
        <v/>
      </c>
      <c r="AN567">
        <f>IF(OR(AN$4="",$A567&gt;TODAY()),0,IF(OR(INDEX($B567:$D567,AN$5)="F",AND(AN$6&gt;0,$A567&lt;AN$6),AND(AN$7&gt;0,$A567&gt;AN$7)),0,MAX(0,ROUND((INDEX($E567:$G567,AN$5)-SUMIFS(TF_Timer,TF_Tekniker,AN$4,TF_Dato,$A567))*2,0)/2)))</f>
        <v/>
      </c>
      <c r="AO567">
        <f>IF(OR(AO$4="",$A567&gt;TODAY()),0,IF(OR(INDEX($B567:$D567,AO$5)="F",AND(AO$6&gt;0,$A567&lt;AO$6),AND(AO$7&gt;0,$A567&gt;AO$7)),0,MAX(0,ROUND((INDEX($E567:$G567,AO$5)-SUMIFS(TF_Timer,TF_Tekniker,AO$4,TF_Dato,$A567))*2,0)/2)))</f>
        <v/>
      </c>
      <c r="AP567">
        <f>IF(OR(AP$4="",$A567&gt;TODAY()),0,IF(OR(INDEX($B567:$D567,AP$5)="F",AND(AP$6&gt;0,$A567&lt;AP$6),AND(AP$7&gt;0,$A567&gt;AP$7)),0,MAX(0,ROUND((INDEX($E567:$G567,AP$5)-SUMIFS(TF_Timer,TF_Tekniker,AP$4,TF_Dato,$A567))*2,0)/2)))</f>
        <v/>
      </c>
      <c r="AQ567">
        <f>IF(OR(AQ$4="",$A567&gt;TODAY()),0,IF(OR(INDEX($B567:$D567,AQ$5)="F",AND(AQ$6&gt;0,$A567&lt;AQ$6),AND(AQ$7&gt;0,$A567&gt;AQ$7)),0,MAX(0,ROUND((INDEX($E567:$G567,AQ$5)-SUMIFS(TF_Timer,TF_Tekniker,AQ$4,TF_Dato,$A567))*2,0)/2)))</f>
        <v/>
      </c>
      <c r="AR567">
        <f>IF(OR(AR$4="",$A567&gt;TODAY()),0,IF(OR(INDEX($B567:$D567,AR$5)="F",AND(AR$6&gt;0,$A567&lt;AR$6),AND(AR$7&gt;0,$A567&gt;AR$7)),0,MAX(0,ROUND((INDEX($E567:$G567,AR$5)-SUMIFS(TF_Timer,TF_Tekniker,AR$4,TF_Dato,$A567))*2,0)/2)))</f>
        <v/>
      </c>
      <c r="AS567">
        <f>IF(OR(AS$4="",$A567&gt;TODAY()),0,IF(OR(INDEX($B567:$D567,AS$5)="F",AND(AS$6&gt;0,$A567&lt;AS$6),AND(AS$7&gt;0,$A567&gt;AS$7)),0,MAX(0,ROUND((INDEX($E567:$G567,AS$5)-SUMIFS(TF_Timer,TF_Tekniker,AS$4,TF_Dato,$A567))*2,0)/2)))</f>
        <v/>
      </c>
      <c r="AT567">
        <f>IF(OR(AT$4="",$A567&gt;TODAY()),0,IF(OR(INDEX($B567:$D567,AT$5)="F",AND(AT$6&gt;0,$A567&lt;AT$6),AND(AT$7&gt;0,$A567&gt;AT$7)),0,MAX(0,ROUND((INDEX($E567:$G567,AT$5)-SUMIFS(TF_Timer,TF_Tekniker,AT$4,TF_Dato,$A567))*2,0)/2)))</f>
        <v/>
      </c>
      <c r="AU567">
        <f>IF(OR(AU$4="",$A567&gt;TODAY()),0,IF(OR(INDEX($B567:$D567,AU$5)="F",AND(AU$6&gt;0,$A567&lt;AU$6),AND(AU$7&gt;0,$A567&gt;AU$7)),0,MAX(0,ROUND((INDEX($E567:$G567,AU$5)-SUMIFS(TF_Timer,TF_Tekniker,AU$4,TF_Dato,$A567))*2,0)/2)))</f>
        <v/>
      </c>
      <c r="AV567">
        <f>IF(OR(AV$4="",$A567&gt;TODAY()),0,IF(OR(INDEX($B567:$D567,AV$5)="F",AND(AV$6&gt;0,$A567&lt;AV$6),AND(AV$7&gt;0,$A567&gt;AV$7)),0,MAX(0,ROUND((INDEX($E567:$G567,AV$5)-SUMIFS(TF_Timer,TF_Tekniker,AV$4,TF_Dato,$A567))*2,0)/2)))</f>
        <v/>
      </c>
      <c r="AW567">
        <f>IF(OR(AW$4="",$A567&gt;TODAY()),0,IF(OR(INDEX($B567:$D567,AW$5)="F",AND(AW$6&gt;0,$A567&lt;AW$6),AND(AW$7&gt;0,$A567&gt;AW$7)),0,MAX(0,ROUND((INDEX($E567:$G567,AW$5)-SUMIFS(TF_Timer,TF_Tekniker,AW$4,TF_Dato,$A567))*2,0)/2)))</f>
        <v/>
      </c>
      <c r="AX567">
        <f>IF(OR(AX$4="",$A567&gt;TODAY()),0,IF(OR(INDEX($B567:$D567,AX$5)="F",AND(AX$6&gt;0,$A567&lt;AX$6),AND(AX$7&gt;0,$A567&gt;AX$7)),0,MAX(0,ROUND((INDEX($E567:$G567,AX$5)-SUMIFS(TF_Timer,TF_Tekniker,AX$4,TF_Dato,$A567))*2,0)/2)))</f>
        <v/>
      </c>
      <c r="AY567">
        <f>IF(OR(AY$4="",$A567&gt;TODAY()),0,IF(OR(INDEX($B567:$D567,AY$5)="F",AND(AY$6&gt;0,$A567&lt;AY$6),AND(AY$7&gt;0,$A567&gt;AY$7)),0,MAX(0,ROUND((INDEX($E567:$G567,AY$5)-SUMIFS(TF_Timer,TF_Tekniker,AY$4,TF_Dato,$A567))*2,0)/2)))</f>
        <v/>
      </c>
      <c r="AZ567">
        <f>IF(OR(AZ$4="",$A567&gt;TODAY()),0,IF(OR(INDEX($B567:$D567,AZ$5)="F",AND(AZ$6&gt;0,$A567&lt;AZ$6),AND(AZ$7&gt;0,$A567&gt;AZ$7)),0,MAX(0,ROUND((INDEX($E567:$G567,AZ$5)-SUMIFS(TF_Timer,TF_Tekniker,AZ$4,TF_Dato,$A567))*2,0)/2)))</f>
        <v/>
      </c>
      <c r="BA567">
        <f>IF(OR(BA$4="",$A567&gt;TODAY()),0,IF(OR(INDEX($B567:$D567,BA$5)="F",AND(BA$6&gt;0,$A567&lt;BA$6),AND(BA$7&gt;0,$A567&gt;BA$7)),0,MAX(0,ROUND((INDEX($E567:$G567,BA$5)-SUMIFS(TF_Timer,TF_Tekniker,BA$4,TF_Dato,$A567))*2,0)/2)))</f>
        <v/>
      </c>
      <c r="BB567">
        <f>IF(OR(BB$4="",$A567&gt;TODAY()),0,IF(OR(INDEX($B567:$D567,BB$5)="F",AND(BB$6&gt;0,$A567&lt;BB$6),AND(BB$7&gt;0,$A567&gt;BB$7)),0,MAX(0,ROUND((INDEX($E567:$G567,BB$5)-SUMIFS(TF_Timer,TF_Tekniker,BB$4,TF_Dato,$A567))*2,0)/2)))</f>
        <v/>
      </c>
      <c r="BC567">
        <f>IF(OR(BC$4="",$A567&gt;TODAY()),0,IF(OR(INDEX($B567:$D567,BC$5)="F",AND(BC$6&gt;0,$A567&lt;BC$6),AND(BC$7&gt;0,$A567&gt;BC$7)),0,MAX(0,ROUND((INDEX($E567:$G567,BC$5)-SUMIFS(TF_Timer,TF_Tekniker,BC$4,TF_Dato,$A567))*2,0)/2)))</f>
        <v/>
      </c>
      <c r="BD567">
        <f>IF(OR(BD$4="",$A567&gt;TODAY()),0,IF(OR(INDEX($B567:$D567,BD$5)="F",AND(BD$6&gt;0,$A567&lt;BD$6),AND(BD$7&gt;0,$A567&gt;BD$7)),0,MAX(0,ROUND((INDEX($E567:$G567,BD$5)-SUMIFS(TF_Timer,TF_Tekniker,BD$4,TF_Dato,$A567))*2,0)/2)))</f>
        <v/>
      </c>
      <c r="BE567">
        <f>IF(OR(BE$4="",$A567&gt;TODAY()),0,IF(OR(INDEX($B567:$D567,BE$5)="F",AND(BE$6&gt;0,$A567&lt;BE$6),AND(BE$7&gt;0,$A567&gt;BE$7)),0,MAX(0,ROUND((INDEX($E567:$G567,BE$5)-SUMIFS(TF_Timer,TF_Tekniker,BE$4,TF_Dato,$A567))*2,0)/2)))</f>
        <v/>
      </c>
      <c r="BF567">
        <f>IF(OR(BF$4="",$A567&gt;TODAY()),0,IF(OR(INDEX($B567:$D567,BF$5)="F",AND(BF$6&gt;0,$A567&lt;BF$6),AND(BF$7&gt;0,$A567&gt;BF$7)),0,MAX(0,ROUND((INDEX($E567:$G567,BF$5)-SUMIFS(TF_Timer,TF_Tekniker,BF$4,TF_Dato,$A567))*2,0)/2)))</f>
        <v/>
      </c>
      <c r="BG567">
        <f>IF(OR(BG$4="",$A567&gt;TODAY()),0,IF(OR(INDEX($B567:$D567,BG$5)="F",AND(BG$6&gt;0,$A567&lt;BG$6),AND(BG$7&gt;0,$A567&gt;BG$7)),0,MAX(0,ROUND((INDEX($E567:$G567,BG$5)-SUMIFS(TF_Timer,TF_Tekniker,BG$4,TF_Dato,$A567))*2,0)/2)))</f>
        <v/>
      </c>
      <c r="BH567">
        <f>IF(OR(BH$4="",$A567&gt;TODAY()),0,IF(OR(INDEX($B567:$D567,BH$5)="F",AND(BH$6&gt;0,$A567&lt;BH$6),AND(BH$7&gt;0,$A567&gt;BH$7)),0,MAX(0,ROUND((INDEX($E567:$G567,BH$5)-SUMIFS(TF_Timer,TF_Tekniker,BH$4,TF_Dato,$A567))*2,0)/2)))</f>
        <v/>
      </c>
      <c r="BI567">
        <f>IF(OR(BI$4="",$A567&gt;TODAY()),0,IF(OR(INDEX($B567:$D567,BI$5)="F",AND(BI$6&gt;0,$A567&lt;BI$6),AND(BI$7&gt;0,$A567&gt;BI$7)),0,MAX(0,ROUND((INDEX($E567:$G567,BI$5)-SUMIFS(TF_Timer,TF_Tekniker,BI$4,TF_Dato,$A567))*2,0)/2)))</f>
        <v/>
      </c>
    </row>
    <row r="568">
      <c r="A568" s="64">
        <f>A567+1</f>
        <v/>
      </c>
      <c r="B568">
        <f>IF(MOD($A568-INDEX(SkiftStart,1),Syklus)&lt;DagK,"K",IF(MOD($A568-INDEX(SkiftStart,1),Syklus)&lt;DagK+DagH,"H",IF(MOD($A568-INDEX(SkiftStart,1),Syklus)&lt;DagK+DagH+DagD,"D","F")))</f>
        <v/>
      </c>
      <c r="C568">
        <f>IF(MOD($A568-INDEX(SkiftStart,2),Syklus)&lt;DagK,"K",IF(MOD($A568-INDEX(SkiftStart,2),Syklus)&lt;DagK+DagH,"H",IF(MOD($A568-INDEX(SkiftStart,2),Syklus)&lt;DagK+DagH+DagD,"D","F")))</f>
        <v/>
      </c>
      <c r="D568">
        <f>IF(MOD($A568-INDEX(SkiftStart,3),Syklus)&lt;DagK,"K",IF(MOD($A568-INDEX(SkiftStart,3),Syklus)&lt;DagK+DagH,"H",IF(MOD($A568-INDEX(SkiftStart,3),Syklus)&lt;DagK+DagH+DagD,"D","F")))</f>
        <v/>
      </c>
      <c r="E568">
        <f>IF(B568="F",0,IF(WEEKDAY($A568,2)=5,INDEX(TimerFr,MATCH(B568,FaseKode,0)),INDEX(TimerMT,MATCH(B568,FaseKode,0))))</f>
        <v/>
      </c>
      <c r="F568">
        <f>IF(C568="F",0,IF(WEEKDAY($A568,2)=5,INDEX(TimerFr,MATCH(C568,FaseKode,0)),INDEX(TimerMT,MATCH(C568,FaseKode,0))))</f>
        <v/>
      </c>
      <c r="G568">
        <f>IF(D568="F",0,IF(WEEKDAY($A568,2)=5,INDEX(TimerFr,MATCH(D568,FaseKode,0)),INDEX(TimerMT,MATCH(D568,FaseKode,0))))</f>
        <v/>
      </c>
      <c r="H568">
        <f>IF(OR(H$4="",$A568&gt;TODAY()),0,IF(OR(INDEX($B568:$D568,H$5)="F",AND(H$6&gt;0,$A568&lt;H$6),AND(H$7&gt;0,$A568&gt;H$7)),0,MAX(0,ROUND((INDEX($E568:$G568,H$5)-SUMIFS(TF_Timer,TF_Tekniker,H$4,TF_Dato,$A568))*2,0)/2)))</f>
        <v/>
      </c>
      <c r="I568">
        <f>IF(OR(I$4="",$A568&gt;TODAY()),0,IF(OR(INDEX($B568:$D568,I$5)="F",AND(I$6&gt;0,$A568&lt;I$6),AND(I$7&gt;0,$A568&gt;I$7)),0,MAX(0,ROUND((INDEX($E568:$G568,I$5)-SUMIFS(TF_Timer,TF_Tekniker,I$4,TF_Dato,$A568))*2,0)/2)))</f>
        <v/>
      </c>
      <c r="J568">
        <f>IF(OR(J$4="",$A568&gt;TODAY()),0,IF(OR(INDEX($B568:$D568,J$5)="F",AND(J$6&gt;0,$A568&lt;J$6),AND(J$7&gt;0,$A568&gt;J$7)),0,MAX(0,ROUND((INDEX($E568:$G568,J$5)-SUMIFS(TF_Timer,TF_Tekniker,J$4,TF_Dato,$A568))*2,0)/2)))</f>
        <v/>
      </c>
      <c r="K568">
        <f>IF(OR(K$4="",$A568&gt;TODAY()),0,IF(OR(INDEX($B568:$D568,K$5)="F",AND(K$6&gt;0,$A568&lt;K$6),AND(K$7&gt;0,$A568&gt;K$7)),0,MAX(0,ROUND((INDEX($E568:$G568,K$5)-SUMIFS(TF_Timer,TF_Tekniker,K$4,TF_Dato,$A568))*2,0)/2)))</f>
        <v/>
      </c>
      <c r="L568">
        <f>IF(OR(L$4="",$A568&gt;TODAY()),0,IF(OR(INDEX($B568:$D568,L$5)="F",AND(L$6&gt;0,$A568&lt;L$6),AND(L$7&gt;0,$A568&gt;L$7)),0,MAX(0,ROUND((INDEX($E568:$G568,L$5)-SUMIFS(TF_Timer,TF_Tekniker,L$4,TF_Dato,$A568))*2,0)/2)))</f>
        <v/>
      </c>
      <c r="M568">
        <f>IF(OR(M$4="",$A568&gt;TODAY()),0,IF(OR(INDEX($B568:$D568,M$5)="F",AND(M$6&gt;0,$A568&lt;M$6),AND(M$7&gt;0,$A568&gt;M$7)),0,MAX(0,ROUND((INDEX($E568:$G568,M$5)-SUMIFS(TF_Timer,TF_Tekniker,M$4,TF_Dato,$A568))*2,0)/2)))</f>
        <v/>
      </c>
      <c r="N568">
        <f>IF(OR(N$4="",$A568&gt;TODAY()),0,IF(OR(INDEX($B568:$D568,N$5)="F",AND(N$6&gt;0,$A568&lt;N$6),AND(N$7&gt;0,$A568&gt;N$7)),0,MAX(0,ROUND((INDEX($E568:$G568,N$5)-SUMIFS(TF_Timer,TF_Tekniker,N$4,TF_Dato,$A568))*2,0)/2)))</f>
        <v/>
      </c>
      <c r="O568">
        <f>IF(OR(O$4="",$A568&gt;TODAY()),0,IF(OR(INDEX($B568:$D568,O$5)="F",AND(O$6&gt;0,$A568&lt;O$6),AND(O$7&gt;0,$A568&gt;O$7)),0,MAX(0,ROUND((INDEX($E568:$G568,O$5)-SUMIFS(TF_Timer,TF_Tekniker,O$4,TF_Dato,$A568))*2,0)/2)))</f>
        <v/>
      </c>
      <c r="P568">
        <f>IF(OR(P$4="",$A568&gt;TODAY()),0,IF(OR(INDEX($B568:$D568,P$5)="F",AND(P$6&gt;0,$A568&lt;P$6),AND(P$7&gt;0,$A568&gt;P$7)),0,MAX(0,ROUND((INDEX($E568:$G568,P$5)-SUMIFS(TF_Timer,TF_Tekniker,P$4,TF_Dato,$A568))*2,0)/2)))</f>
        <v/>
      </c>
      <c r="Q568">
        <f>IF(OR(Q$4="",$A568&gt;TODAY()),0,IF(OR(INDEX($B568:$D568,Q$5)="F",AND(Q$6&gt;0,$A568&lt;Q$6),AND(Q$7&gt;0,$A568&gt;Q$7)),0,MAX(0,ROUND((INDEX($E568:$G568,Q$5)-SUMIFS(TF_Timer,TF_Tekniker,Q$4,TF_Dato,$A568))*2,0)/2)))</f>
        <v/>
      </c>
      <c r="R568">
        <f>IF(OR(R$4="",$A568&gt;TODAY()),0,IF(OR(INDEX($B568:$D568,R$5)="F",AND(R$6&gt;0,$A568&lt;R$6),AND(R$7&gt;0,$A568&gt;R$7)),0,MAX(0,ROUND((INDEX($E568:$G568,R$5)-SUMIFS(TF_Timer,TF_Tekniker,R$4,TF_Dato,$A568))*2,0)/2)))</f>
        <v/>
      </c>
      <c r="S568">
        <f>IF(OR(S$4="",$A568&gt;TODAY()),0,IF(OR(INDEX($B568:$D568,S$5)="F",AND(S$6&gt;0,$A568&lt;S$6),AND(S$7&gt;0,$A568&gt;S$7)),0,MAX(0,ROUND((INDEX($E568:$G568,S$5)-SUMIFS(TF_Timer,TF_Tekniker,S$4,TF_Dato,$A568))*2,0)/2)))</f>
        <v/>
      </c>
      <c r="T568">
        <f>IF(OR(T$4="",$A568&gt;TODAY()),0,IF(OR(INDEX($B568:$D568,T$5)="F",AND(T$6&gt;0,$A568&lt;T$6),AND(T$7&gt;0,$A568&gt;T$7)),0,MAX(0,ROUND((INDEX($E568:$G568,T$5)-SUMIFS(TF_Timer,TF_Tekniker,T$4,TF_Dato,$A568))*2,0)/2)))</f>
        <v/>
      </c>
      <c r="U568">
        <f>IF(OR(U$4="",$A568&gt;TODAY()),0,IF(OR(INDEX($B568:$D568,U$5)="F",AND(U$6&gt;0,$A568&lt;U$6),AND(U$7&gt;0,$A568&gt;U$7)),0,MAX(0,ROUND((INDEX($E568:$G568,U$5)-SUMIFS(TF_Timer,TF_Tekniker,U$4,TF_Dato,$A568))*2,0)/2)))</f>
        <v/>
      </c>
      <c r="V568">
        <f>IF(OR(V$4="",$A568&gt;TODAY()),0,IF(OR(INDEX($B568:$D568,V$5)="F",AND(V$6&gt;0,$A568&lt;V$6),AND(V$7&gt;0,$A568&gt;V$7)),0,MAX(0,ROUND((INDEX($E568:$G568,V$5)-SUMIFS(TF_Timer,TF_Tekniker,V$4,TF_Dato,$A568))*2,0)/2)))</f>
        <v/>
      </c>
      <c r="W568">
        <f>IF(OR(W$4="",$A568&gt;TODAY()),0,IF(OR(INDEX($B568:$D568,W$5)="F",AND(W$6&gt;0,$A568&lt;W$6),AND(W$7&gt;0,$A568&gt;W$7)),0,MAX(0,ROUND((INDEX($E568:$G568,W$5)-SUMIFS(TF_Timer,TF_Tekniker,W$4,TF_Dato,$A568))*2,0)/2)))</f>
        <v/>
      </c>
      <c r="X568">
        <f>IF(OR(X$4="",$A568&gt;TODAY()),0,IF(OR(INDEX($B568:$D568,X$5)="F",AND(X$6&gt;0,$A568&lt;X$6),AND(X$7&gt;0,$A568&gt;X$7)),0,MAX(0,ROUND((INDEX($E568:$G568,X$5)-SUMIFS(TF_Timer,TF_Tekniker,X$4,TF_Dato,$A568))*2,0)/2)))</f>
        <v/>
      </c>
      <c r="Y568">
        <f>IF(OR(Y$4="",$A568&gt;TODAY()),0,IF(OR(INDEX($B568:$D568,Y$5)="F",AND(Y$6&gt;0,$A568&lt;Y$6),AND(Y$7&gt;0,$A568&gt;Y$7)),0,MAX(0,ROUND((INDEX($E568:$G568,Y$5)-SUMIFS(TF_Timer,TF_Tekniker,Y$4,TF_Dato,$A568))*2,0)/2)))</f>
        <v/>
      </c>
      <c r="Z568">
        <f>IF(OR(Z$4="",$A568&gt;TODAY()),0,IF(OR(INDEX($B568:$D568,Z$5)="F",AND(Z$6&gt;0,$A568&lt;Z$6),AND(Z$7&gt;0,$A568&gt;Z$7)),0,MAX(0,ROUND((INDEX($E568:$G568,Z$5)-SUMIFS(TF_Timer,TF_Tekniker,Z$4,TF_Dato,$A568))*2,0)/2)))</f>
        <v/>
      </c>
      <c r="AA568">
        <f>IF(OR(AA$4="",$A568&gt;TODAY()),0,IF(OR(INDEX($B568:$D568,AA$5)="F",AND(AA$6&gt;0,$A568&lt;AA$6),AND(AA$7&gt;0,$A568&gt;AA$7)),0,MAX(0,ROUND((INDEX($E568:$G568,AA$5)-SUMIFS(TF_Timer,TF_Tekniker,AA$4,TF_Dato,$A568))*2,0)/2)))</f>
        <v/>
      </c>
      <c r="AB568">
        <f>IF(OR(AB$4="",$A568&gt;TODAY()),0,IF(OR(INDEX($B568:$D568,AB$5)="F",AND(AB$6&gt;0,$A568&lt;AB$6),AND(AB$7&gt;0,$A568&gt;AB$7)),0,MAX(0,ROUND((INDEX($E568:$G568,AB$5)-SUMIFS(TF_Timer,TF_Tekniker,AB$4,TF_Dato,$A568))*2,0)/2)))</f>
        <v/>
      </c>
      <c r="AC568">
        <f>IF(OR(AC$4="",$A568&gt;TODAY()),0,IF(OR(INDEX($B568:$D568,AC$5)="F",AND(AC$6&gt;0,$A568&lt;AC$6),AND(AC$7&gt;0,$A568&gt;AC$7)),0,MAX(0,ROUND((INDEX($E568:$G568,AC$5)-SUMIFS(TF_Timer,TF_Tekniker,AC$4,TF_Dato,$A568))*2,0)/2)))</f>
        <v/>
      </c>
      <c r="AD568">
        <f>IF(OR(AD$4="",$A568&gt;TODAY()),0,IF(OR(INDEX($B568:$D568,AD$5)="F",AND(AD$6&gt;0,$A568&lt;AD$6),AND(AD$7&gt;0,$A568&gt;AD$7)),0,MAX(0,ROUND((INDEX($E568:$G568,AD$5)-SUMIFS(TF_Timer,TF_Tekniker,AD$4,TF_Dato,$A568))*2,0)/2)))</f>
        <v/>
      </c>
      <c r="AE568">
        <f>IF(OR(AE$4="",$A568&gt;TODAY()),0,IF(OR(INDEX($B568:$D568,AE$5)="F",AND(AE$6&gt;0,$A568&lt;AE$6),AND(AE$7&gt;0,$A568&gt;AE$7)),0,MAX(0,ROUND((INDEX($E568:$G568,AE$5)-SUMIFS(TF_Timer,TF_Tekniker,AE$4,TF_Dato,$A568))*2,0)/2)))</f>
        <v/>
      </c>
      <c r="AF568">
        <f>IF(OR(AF$4="",$A568&gt;TODAY()),0,IF(OR(INDEX($B568:$D568,AF$5)="F",AND(AF$6&gt;0,$A568&lt;AF$6),AND(AF$7&gt;0,$A568&gt;AF$7)),0,MAX(0,ROUND((INDEX($E568:$G568,AF$5)-SUMIFS(TF_Timer,TF_Tekniker,AF$4,TF_Dato,$A568))*2,0)/2)))</f>
        <v/>
      </c>
      <c r="AG568">
        <f>IF(OR(AG$4="",$A568&gt;TODAY()),0,IF(OR(INDEX($B568:$D568,AG$5)="F",AND(AG$6&gt;0,$A568&lt;AG$6),AND(AG$7&gt;0,$A568&gt;AG$7)),0,MAX(0,ROUND((INDEX($E568:$G568,AG$5)-SUMIFS(TF_Timer,TF_Tekniker,AG$4,TF_Dato,$A568))*2,0)/2)))</f>
        <v/>
      </c>
      <c r="AH568">
        <f>IF(OR(AH$4="",$A568&gt;TODAY()),0,IF(OR(INDEX($B568:$D568,AH$5)="F",AND(AH$6&gt;0,$A568&lt;AH$6),AND(AH$7&gt;0,$A568&gt;AH$7)),0,MAX(0,ROUND((INDEX($E568:$G568,AH$5)-SUMIFS(TF_Timer,TF_Tekniker,AH$4,TF_Dato,$A568))*2,0)/2)))</f>
        <v/>
      </c>
      <c r="AI568">
        <f>IF(OR(AI$4="",$A568&gt;TODAY()),0,IF(OR(INDEX($B568:$D568,AI$5)="F",AND(AI$6&gt;0,$A568&lt;AI$6),AND(AI$7&gt;0,$A568&gt;AI$7)),0,MAX(0,ROUND((INDEX($E568:$G568,AI$5)-SUMIFS(TF_Timer,TF_Tekniker,AI$4,TF_Dato,$A568))*2,0)/2)))</f>
        <v/>
      </c>
      <c r="AJ568">
        <f>IF(OR(AJ$4="",$A568&gt;TODAY()),0,IF(OR(INDEX($B568:$D568,AJ$5)="F",AND(AJ$6&gt;0,$A568&lt;AJ$6),AND(AJ$7&gt;0,$A568&gt;AJ$7)),0,MAX(0,ROUND((INDEX($E568:$G568,AJ$5)-SUMIFS(TF_Timer,TF_Tekniker,AJ$4,TF_Dato,$A568))*2,0)/2)))</f>
        <v/>
      </c>
      <c r="AK568">
        <f>IF(OR(AK$4="",$A568&gt;TODAY()),0,IF(OR(INDEX($B568:$D568,AK$5)="F",AND(AK$6&gt;0,$A568&lt;AK$6),AND(AK$7&gt;0,$A568&gt;AK$7)),0,MAX(0,ROUND((INDEX($E568:$G568,AK$5)-SUMIFS(TF_Timer,TF_Tekniker,AK$4,TF_Dato,$A568))*2,0)/2)))</f>
        <v/>
      </c>
      <c r="AL568">
        <f>IF(OR(AL$4="",$A568&gt;TODAY()),0,IF(OR(INDEX($B568:$D568,AL$5)="F",AND(AL$6&gt;0,$A568&lt;AL$6),AND(AL$7&gt;0,$A568&gt;AL$7)),0,MAX(0,ROUND((INDEX($E568:$G568,AL$5)-SUMIFS(TF_Timer,TF_Tekniker,AL$4,TF_Dato,$A568))*2,0)/2)))</f>
        <v/>
      </c>
      <c r="AM568">
        <f>IF(OR(AM$4="",$A568&gt;TODAY()),0,IF(OR(INDEX($B568:$D568,AM$5)="F",AND(AM$6&gt;0,$A568&lt;AM$6),AND(AM$7&gt;0,$A568&gt;AM$7)),0,MAX(0,ROUND((INDEX($E568:$G568,AM$5)-SUMIFS(TF_Timer,TF_Tekniker,AM$4,TF_Dato,$A568))*2,0)/2)))</f>
        <v/>
      </c>
      <c r="AN568">
        <f>IF(OR(AN$4="",$A568&gt;TODAY()),0,IF(OR(INDEX($B568:$D568,AN$5)="F",AND(AN$6&gt;0,$A568&lt;AN$6),AND(AN$7&gt;0,$A568&gt;AN$7)),0,MAX(0,ROUND((INDEX($E568:$G568,AN$5)-SUMIFS(TF_Timer,TF_Tekniker,AN$4,TF_Dato,$A568))*2,0)/2)))</f>
        <v/>
      </c>
      <c r="AO568">
        <f>IF(OR(AO$4="",$A568&gt;TODAY()),0,IF(OR(INDEX($B568:$D568,AO$5)="F",AND(AO$6&gt;0,$A568&lt;AO$6),AND(AO$7&gt;0,$A568&gt;AO$7)),0,MAX(0,ROUND((INDEX($E568:$G568,AO$5)-SUMIFS(TF_Timer,TF_Tekniker,AO$4,TF_Dato,$A568))*2,0)/2)))</f>
        <v/>
      </c>
      <c r="AP568">
        <f>IF(OR(AP$4="",$A568&gt;TODAY()),0,IF(OR(INDEX($B568:$D568,AP$5)="F",AND(AP$6&gt;0,$A568&lt;AP$6),AND(AP$7&gt;0,$A568&gt;AP$7)),0,MAX(0,ROUND((INDEX($E568:$G568,AP$5)-SUMIFS(TF_Timer,TF_Tekniker,AP$4,TF_Dato,$A568))*2,0)/2)))</f>
        <v/>
      </c>
      <c r="AQ568">
        <f>IF(OR(AQ$4="",$A568&gt;TODAY()),0,IF(OR(INDEX($B568:$D568,AQ$5)="F",AND(AQ$6&gt;0,$A568&lt;AQ$6),AND(AQ$7&gt;0,$A568&gt;AQ$7)),0,MAX(0,ROUND((INDEX($E568:$G568,AQ$5)-SUMIFS(TF_Timer,TF_Tekniker,AQ$4,TF_Dato,$A568))*2,0)/2)))</f>
        <v/>
      </c>
      <c r="AR568">
        <f>IF(OR(AR$4="",$A568&gt;TODAY()),0,IF(OR(INDEX($B568:$D568,AR$5)="F",AND(AR$6&gt;0,$A568&lt;AR$6),AND(AR$7&gt;0,$A568&gt;AR$7)),0,MAX(0,ROUND((INDEX($E568:$G568,AR$5)-SUMIFS(TF_Timer,TF_Tekniker,AR$4,TF_Dato,$A568))*2,0)/2)))</f>
        <v/>
      </c>
      <c r="AS568">
        <f>IF(OR(AS$4="",$A568&gt;TODAY()),0,IF(OR(INDEX($B568:$D568,AS$5)="F",AND(AS$6&gt;0,$A568&lt;AS$6),AND(AS$7&gt;0,$A568&gt;AS$7)),0,MAX(0,ROUND((INDEX($E568:$G568,AS$5)-SUMIFS(TF_Timer,TF_Tekniker,AS$4,TF_Dato,$A568))*2,0)/2)))</f>
        <v/>
      </c>
      <c r="AT568">
        <f>IF(OR(AT$4="",$A568&gt;TODAY()),0,IF(OR(INDEX($B568:$D568,AT$5)="F",AND(AT$6&gt;0,$A568&lt;AT$6),AND(AT$7&gt;0,$A568&gt;AT$7)),0,MAX(0,ROUND((INDEX($E568:$G568,AT$5)-SUMIFS(TF_Timer,TF_Tekniker,AT$4,TF_Dato,$A568))*2,0)/2)))</f>
        <v/>
      </c>
      <c r="AU568">
        <f>IF(OR(AU$4="",$A568&gt;TODAY()),0,IF(OR(INDEX($B568:$D568,AU$5)="F",AND(AU$6&gt;0,$A568&lt;AU$6),AND(AU$7&gt;0,$A568&gt;AU$7)),0,MAX(0,ROUND((INDEX($E568:$G568,AU$5)-SUMIFS(TF_Timer,TF_Tekniker,AU$4,TF_Dato,$A568))*2,0)/2)))</f>
        <v/>
      </c>
      <c r="AV568">
        <f>IF(OR(AV$4="",$A568&gt;TODAY()),0,IF(OR(INDEX($B568:$D568,AV$5)="F",AND(AV$6&gt;0,$A568&lt;AV$6),AND(AV$7&gt;0,$A568&gt;AV$7)),0,MAX(0,ROUND((INDEX($E568:$G568,AV$5)-SUMIFS(TF_Timer,TF_Tekniker,AV$4,TF_Dato,$A568))*2,0)/2)))</f>
        <v/>
      </c>
      <c r="AW568">
        <f>IF(OR(AW$4="",$A568&gt;TODAY()),0,IF(OR(INDEX($B568:$D568,AW$5)="F",AND(AW$6&gt;0,$A568&lt;AW$6),AND(AW$7&gt;0,$A568&gt;AW$7)),0,MAX(0,ROUND((INDEX($E568:$G568,AW$5)-SUMIFS(TF_Timer,TF_Tekniker,AW$4,TF_Dato,$A568))*2,0)/2)))</f>
        <v/>
      </c>
      <c r="AX568">
        <f>IF(OR(AX$4="",$A568&gt;TODAY()),0,IF(OR(INDEX($B568:$D568,AX$5)="F",AND(AX$6&gt;0,$A568&lt;AX$6),AND(AX$7&gt;0,$A568&gt;AX$7)),0,MAX(0,ROUND((INDEX($E568:$G568,AX$5)-SUMIFS(TF_Timer,TF_Tekniker,AX$4,TF_Dato,$A568))*2,0)/2)))</f>
        <v/>
      </c>
      <c r="AY568">
        <f>IF(OR(AY$4="",$A568&gt;TODAY()),0,IF(OR(INDEX($B568:$D568,AY$5)="F",AND(AY$6&gt;0,$A568&lt;AY$6),AND(AY$7&gt;0,$A568&gt;AY$7)),0,MAX(0,ROUND((INDEX($E568:$G568,AY$5)-SUMIFS(TF_Timer,TF_Tekniker,AY$4,TF_Dato,$A568))*2,0)/2)))</f>
        <v/>
      </c>
      <c r="AZ568">
        <f>IF(OR(AZ$4="",$A568&gt;TODAY()),0,IF(OR(INDEX($B568:$D568,AZ$5)="F",AND(AZ$6&gt;0,$A568&lt;AZ$6),AND(AZ$7&gt;0,$A568&gt;AZ$7)),0,MAX(0,ROUND((INDEX($E568:$G568,AZ$5)-SUMIFS(TF_Timer,TF_Tekniker,AZ$4,TF_Dato,$A568))*2,0)/2)))</f>
        <v/>
      </c>
      <c r="BA568">
        <f>IF(OR(BA$4="",$A568&gt;TODAY()),0,IF(OR(INDEX($B568:$D568,BA$5)="F",AND(BA$6&gt;0,$A568&lt;BA$6),AND(BA$7&gt;0,$A568&gt;BA$7)),0,MAX(0,ROUND((INDEX($E568:$G568,BA$5)-SUMIFS(TF_Timer,TF_Tekniker,BA$4,TF_Dato,$A568))*2,0)/2)))</f>
        <v/>
      </c>
      <c r="BB568">
        <f>IF(OR(BB$4="",$A568&gt;TODAY()),0,IF(OR(INDEX($B568:$D568,BB$5)="F",AND(BB$6&gt;0,$A568&lt;BB$6),AND(BB$7&gt;0,$A568&gt;BB$7)),0,MAX(0,ROUND((INDEX($E568:$G568,BB$5)-SUMIFS(TF_Timer,TF_Tekniker,BB$4,TF_Dato,$A568))*2,0)/2)))</f>
        <v/>
      </c>
      <c r="BC568">
        <f>IF(OR(BC$4="",$A568&gt;TODAY()),0,IF(OR(INDEX($B568:$D568,BC$5)="F",AND(BC$6&gt;0,$A568&lt;BC$6),AND(BC$7&gt;0,$A568&gt;BC$7)),0,MAX(0,ROUND((INDEX($E568:$G568,BC$5)-SUMIFS(TF_Timer,TF_Tekniker,BC$4,TF_Dato,$A568))*2,0)/2)))</f>
        <v/>
      </c>
      <c r="BD568">
        <f>IF(OR(BD$4="",$A568&gt;TODAY()),0,IF(OR(INDEX($B568:$D568,BD$5)="F",AND(BD$6&gt;0,$A568&lt;BD$6),AND(BD$7&gt;0,$A568&gt;BD$7)),0,MAX(0,ROUND((INDEX($E568:$G568,BD$5)-SUMIFS(TF_Timer,TF_Tekniker,BD$4,TF_Dato,$A568))*2,0)/2)))</f>
        <v/>
      </c>
      <c r="BE568">
        <f>IF(OR(BE$4="",$A568&gt;TODAY()),0,IF(OR(INDEX($B568:$D568,BE$5)="F",AND(BE$6&gt;0,$A568&lt;BE$6),AND(BE$7&gt;0,$A568&gt;BE$7)),0,MAX(0,ROUND((INDEX($E568:$G568,BE$5)-SUMIFS(TF_Timer,TF_Tekniker,BE$4,TF_Dato,$A568))*2,0)/2)))</f>
        <v/>
      </c>
      <c r="BF568">
        <f>IF(OR(BF$4="",$A568&gt;TODAY()),0,IF(OR(INDEX($B568:$D568,BF$5)="F",AND(BF$6&gt;0,$A568&lt;BF$6),AND(BF$7&gt;0,$A568&gt;BF$7)),0,MAX(0,ROUND((INDEX($E568:$G568,BF$5)-SUMIFS(TF_Timer,TF_Tekniker,BF$4,TF_Dato,$A568))*2,0)/2)))</f>
        <v/>
      </c>
      <c r="BG568">
        <f>IF(OR(BG$4="",$A568&gt;TODAY()),0,IF(OR(INDEX($B568:$D568,BG$5)="F",AND(BG$6&gt;0,$A568&lt;BG$6),AND(BG$7&gt;0,$A568&gt;BG$7)),0,MAX(0,ROUND((INDEX($E568:$G568,BG$5)-SUMIFS(TF_Timer,TF_Tekniker,BG$4,TF_Dato,$A568))*2,0)/2)))</f>
        <v/>
      </c>
      <c r="BH568">
        <f>IF(OR(BH$4="",$A568&gt;TODAY()),0,IF(OR(INDEX($B568:$D568,BH$5)="F",AND(BH$6&gt;0,$A568&lt;BH$6),AND(BH$7&gt;0,$A568&gt;BH$7)),0,MAX(0,ROUND((INDEX($E568:$G568,BH$5)-SUMIFS(TF_Timer,TF_Tekniker,BH$4,TF_Dato,$A568))*2,0)/2)))</f>
        <v/>
      </c>
      <c r="BI568">
        <f>IF(OR(BI$4="",$A568&gt;TODAY()),0,IF(OR(INDEX($B568:$D568,BI$5)="F",AND(BI$6&gt;0,$A568&lt;BI$6),AND(BI$7&gt;0,$A568&gt;BI$7)),0,MAX(0,ROUND((INDEX($E568:$G568,BI$5)-SUMIFS(TF_Timer,TF_Tekniker,BI$4,TF_Dato,$A568))*2,0)/2)))</f>
        <v/>
      </c>
    </row>
    <row r="569">
      <c r="A569" s="64">
        <f>A568+1</f>
        <v/>
      </c>
      <c r="B569">
        <f>IF(MOD($A569-INDEX(SkiftStart,1),Syklus)&lt;DagK,"K",IF(MOD($A569-INDEX(SkiftStart,1),Syklus)&lt;DagK+DagH,"H",IF(MOD($A569-INDEX(SkiftStart,1),Syklus)&lt;DagK+DagH+DagD,"D","F")))</f>
        <v/>
      </c>
      <c r="C569">
        <f>IF(MOD($A569-INDEX(SkiftStart,2),Syklus)&lt;DagK,"K",IF(MOD($A569-INDEX(SkiftStart,2),Syklus)&lt;DagK+DagH,"H",IF(MOD($A569-INDEX(SkiftStart,2),Syklus)&lt;DagK+DagH+DagD,"D","F")))</f>
        <v/>
      </c>
      <c r="D569">
        <f>IF(MOD($A569-INDEX(SkiftStart,3),Syklus)&lt;DagK,"K",IF(MOD($A569-INDEX(SkiftStart,3),Syklus)&lt;DagK+DagH,"H",IF(MOD($A569-INDEX(SkiftStart,3),Syklus)&lt;DagK+DagH+DagD,"D","F")))</f>
        <v/>
      </c>
      <c r="E569">
        <f>IF(B569="F",0,IF(WEEKDAY($A569,2)=5,INDEX(TimerFr,MATCH(B569,FaseKode,0)),INDEX(TimerMT,MATCH(B569,FaseKode,0))))</f>
        <v/>
      </c>
      <c r="F569">
        <f>IF(C569="F",0,IF(WEEKDAY($A569,2)=5,INDEX(TimerFr,MATCH(C569,FaseKode,0)),INDEX(TimerMT,MATCH(C569,FaseKode,0))))</f>
        <v/>
      </c>
      <c r="G569">
        <f>IF(D569="F",0,IF(WEEKDAY($A569,2)=5,INDEX(TimerFr,MATCH(D569,FaseKode,0)),INDEX(TimerMT,MATCH(D569,FaseKode,0))))</f>
        <v/>
      </c>
      <c r="H569">
        <f>IF(OR(H$4="",$A569&gt;TODAY()),0,IF(OR(INDEX($B569:$D569,H$5)="F",AND(H$6&gt;0,$A569&lt;H$6),AND(H$7&gt;0,$A569&gt;H$7)),0,MAX(0,ROUND((INDEX($E569:$G569,H$5)-SUMIFS(TF_Timer,TF_Tekniker,H$4,TF_Dato,$A569))*2,0)/2)))</f>
        <v/>
      </c>
      <c r="I569">
        <f>IF(OR(I$4="",$A569&gt;TODAY()),0,IF(OR(INDEX($B569:$D569,I$5)="F",AND(I$6&gt;0,$A569&lt;I$6),AND(I$7&gt;0,$A569&gt;I$7)),0,MAX(0,ROUND((INDEX($E569:$G569,I$5)-SUMIFS(TF_Timer,TF_Tekniker,I$4,TF_Dato,$A569))*2,0)/2)))</f>
        <v/>
      </c>
      <c r="J569">
        <f>IF(OR(J$4="",$A569&gt;TODAY()),0,IF(OR(INDEX($B569:$D569,J$5)="F",AND(J$6&gt;0,$A569&lt;J$6),AND(J$7&gt;0,$A569&gt;J$7)),0,MAX(0,ROUND((INDEX($E569:$G569,J$5)-SUMIFS(TF_Timer,TF_Tekniker,J$4,TF_Dato,$A569))*2,0)/2)))</f>
        <v/>
      </c>
      <c r="K569">
        <f>IF(OR(K$4="",$A569&gt;TODAY()),0,IF(OR(INDEX($B569:$D569,K$5)="F",AND(K$6&gt;0,$A569&lt;K$6),AND(K$7&gt;0,$A569&gt;K$7)),0,MAX(0,ROUND((INDEX($E569:$G569,K$5)-SUMIFS(TF_Timer,TF_Tekniker,K$4,TF_Dato,$A569))*2,0)/2)))</f>
        <v/>
      </c>
      <c r="L569">
        <f>IF(OR(L$4="",$A569&gt;TODAY()),0,IF(OR(INDEX($B569:$D569,L$5)="F",AND(L$6&gt;0,$A569&lt;L$6),AND(L$7&gt;0,$A569&gt;L$7)),0,MAX(0,ROUND((INDEX($E569:$G569,L$5)-SUMIFS(TF_Timer,TF_Tekniker,L$4,TF_Dato,$A569))*2,0)/2)))</f>
        <v/>
      </c>
      <c r="M569">
        <f>IF(OR(M$4="",$A569&gt;TODAY()),0,IF(OR(INDEX($B569:$D569,M$5)="F",AND(M$6&gt;0,$A569&lt;M$6),AND(M$7&gt;0,$A569&gt;M$7)),0,MAX(0,ROUND((INDEX($E569:$G569,M$5)-SUMIFS(TF_Timer,TF_Tekniker,M$4,TF_Dato,$A569))*2,0)/2)))</f>
        <v/>
      </c>
      <c r="N569">
        <f>IF(OR(N$4="",$A569&gt;TODAY()),0,IF(OR(INDEX($B569:$D569,N$5)="F",AND(N$6&gt;0,$A569&lt;N$6),AND(N$7&gt;0,$A569&gt;N$7)),0,MAX(0,ROUND((INDEX($E569:$G569,N$5)-SUMIFS(TF_Timer,TF_Tekniker,N$4,TF_Dato,$A569))*2,0)/2)))</f>
        <v/>
      </c>
      <c r="O569">
        <f>IF(OR(O$4="",$A569&gt;TODAY()),0,IF(OR(INDEX($B569:$D569,O$5)="F",AND(O$6&gt;0,$A569&lt;O$6),AND(O$7&gt;0,$A569&gt;O$7)),0,MAX(0,ROUND((INDEX($E569:$G569,O$5)-SUMIFS(TF_Timer,TF_Tekniker,O$4,TF_Dato,$A569))*2,0)/2)))</f>
        <v/>
      </c>
      <c r="P569">
        <f>IF(OR(P$4="",$A569&gt;TODAY()),0,IF(OR(INDEX($B569:$D569,P$5)="F",AND(P$6&gt;0,$A569&lt;P$6),AND(P$7&gt;0,$A569&gt;P$7)),0,MAX(0,ROUND((INDEX($E569:$G569,P$5)-SUMIFS(TF_Timer,TF_Tekniker,P$4,TF_Dato,$A569))*2,0)/2)))</f>
        <v/>
      </c>
      <c r="Q569">
        <f>IF(OR(Q$4="",$A569&gt;TODAY()),0,IF(OR(INDEX($B569:$D569,Q$5)="F",AND(Q$6&gt;0,$A569&lt;Q$6),AND(Q$7&gt;0,$A569&gt;Q$7)),0,MAX(0,ROUND((INDEX($E569:$G569,Q$5)-SUMIFS(TF_Timer,TF_Tekniker,Q$4,TF_Dato,$A569))*2,0)/2)))</f>
        <v/>
      </c>
      <c r="R569">
        <f>IF(OR(R$4="",$A569&gt;TODAY()),0,IF(OR(INDEX($B569:$D569,R$5)="F",AND(R$6&gt;0,$A569&lt;R$6),AND(R$7&gt;0,$A569&gt;R$7)),0,MAX(0,ROUND((INDEX($E569:$G569,R$5)-SUMIFS(TF_Timer,TF_Tekniker,R$4,TF_Dato,$A569))*2,0)/2)))</f>
        <v/>
      </c>
      <c r="S569">
        <f>IF(OR(S$4="",$A569&gt;TODAY()),0,IF(OR(INDEX($B569:$D569,S$5)="F",AND(S$6&gt;0,$A569&lt;S$6),AND(S$7&gt;0,$A569&gt;S$7)),0,MAX(0,ROUND((INDEX($E569:$G569,S$5)-SUMIFS(TF_Timer,TF_Tekniker,S$4,TF_Dato,$A569))*2,0)/2)))</f>
        <v/>
      </c>
      <c r="T569">
        <f>IF(OR(T$4="",$A569&gt;TODAY()),0,IF(OR(INDEX($B569:$D569,T$5)="F",AND(T$6&gt;0,$A569&lt;T$6),AND(T$7&gt;0,$A569&gt;T$7)),0,MAX(0,ROUND((INDEX($E569:$G569,T$5)-SUMIFS(TF_Timer,TF_Tekniker,T$4,TF_Dato,$A569))*2,0)/2)))</f>
        <v/>
      </c>
      <c r="U569">
        <f>IF(OR(U$4="",$A569&gt;TODAY()),0,IF(OR(INDEX($B569:$D569,U$5)="F",AND(U$6&gt;0,$A569&lt;U$6),AND(U$7&gt;0,$A569&gt;U$7)),0,MAX(0,ROUND((INDEX($E569:$G569,U$5)-SUMIFS(TF_Timer,TF_Tekniker,U$4,TF_Dato,$A569))*2,0)/2)))</f>
        <v/>
      </c>
      <c r="V569">
        <f>IF(OR(V$4="",$A569&gt;TODAY()),0,IF(OR(INDEX($B569:$D569,V$5)="F",AND(V$6&gt;0,$A569&lt;V$6),AND(V$7&gt;0,$A569&gt;V$7)),0,MAX(0,ROUND((INDEX($E569:$G569,V$5)-SUMIFS(TF_Timer,TF_Tekniker,V$4,TF_Dato,$A569))*2,0)/2)))</f>
        <v/>
      </c>
      <c r="W569">
        <f>IF(OR(W$4="",$A569&gt;TODAY()),0,IF(OR(INDEX($B569:$D569,W$5)="F",AND(W$6&gt;0,$A569&lt;W$6),AND(W$7&gt;0,$A569&gt;W$7)),0,MAX(0,ROUND((INDEX($E569:$G569,W$5)-SUMIFS(TF_Timer,TF_Tekniker,W$4,TF_Dato,$A569))*2,0)/2)))</f>
        <v/>
      </c>
      <c r="X569">
        <f>IF(OR(X$4="",$A569&gt;TODAY()),0,IF(OR(INDEX($B569:$D569,X$5)="F",AND(X$6&gt;0,$A569&lt;X$6),AND(X$7&gt;0,$A569&gt;X$7)),0,MAX(0,ROUND((INDEX($E569:$G569,X$5)-SUMIFS(TF_Timer,TF_Tekniker,X$4,TF_Dato,$A569))*2,0)/2)))</f>
        <v/>
      </c>
      <c r="Y569">
        <f>IF(OR(Y$4="",$A569&gt;TODAY()),0,IF(OR(INDEX($B569:$D569,Y$5)="F",AND(Y$6&gt;0,$A569&lt;Y$6),AND(Y$7&gt;0,$A569&gt;Y$7)),0,MAX(0,ROUND((INDEX($E569:$G569,Y$5)-SUMIFS(TF_Timer,TF_Tekniker,Y$4,TF_Dato,$A569))*2,0)/2)))</f>
        <v/>
      </c>
      <c r="Z569">
        <f>IF(OR(Z$4="",$A569&gt;TODAY()),0,IF(OR(INDEX($B569:$D569,Z$5)="F",AND(Z$6&gt;0,$A569&lt;Z$6),AND(Z$7&gt;0,$A569&gt;Z$7)),0,MAX(0,ROUND((INDEX($E569:$G569,Z$5)-SUMIFS(TF_Timer,TF_Tekniker,Z$4,TF_Dato,$A569))*2,0)/2)))</f>
        <v/>
      </c>
      <c r="AA569">
        <f>IF(OR(AA$4="",$A569&gt;TODAY()),0,IF(OR(INDEX($B569:$D569,AA$5)="F",AND(AA$6&gt;0,$A569&lt;AA$6),AND(AA$7&gt;0,$A569&gt;AA$7)),0,MAX(0,ROUND((INDEX($E569:$G569,AA$5)-SUMIFS(TF_Timer,TF_Tekniker,AA$4,TF_Dato,$A569))*2,0)/2)))</f>
        <v/>
      </c>
      <c r="AB569">
        <f>IF(OR(AB$4="",$A569&gt;TODAY()),0,IF(OR(INDEX($B569:$D569,AB$5)="F",AND(AB$6&gt;0,$A569&lt;AB$6),AND(AB$7&gt;0,$A569&gt;AB$7)),0,MAX(0,ROUND((INDEX($E569:$G569,AB$5)-SUMIFS(TF_Timer,TF_Tekniker,AB$4,TF_Dato,$A569))*2,0)/2)))</f>
        <v/>
      </c>
      <c r="AC569">
        <f>IF(OR(AC$4="",$A569&gt;TODAY()),0,IF(OR(INDEX($B569:$D569,AC$5)="F",AND(AC$6&gt;0,$A569&lt;AC$6),AND(AC$7&gt;0,$A569&gt;AC$7)),0,MAX(0,ROUND((INDEX($E569:$G569,AC$5)-SUMIFS(TF_Timer,TF_Tekniker,AC$4,TF_Dato,$A569))*2,0)/2)))</f>
        <v/>
      </c>
      <c r="AD569">
        <f>IF(OR(AD$4="",$A569&gt;TODAY()),0,IF(OR(INDEX($B569:$D569,AD$5)="F",AND(AD$6&gt;0,$A569&lt;AD$6),AND(AD$7&gt;0,$A569&gt;AD$7)),0,MAX(0,ROUND((INDEX($E569:$G569,AD$5)-SUMIFS(TF_Timer,TF_Tekniker,AD$4,TF_Dato,$A569))*2,0)/2)))</f>
        <v/>
      </c>
      <c r="AE569">
        <f>IF(OR(AE$4="",$A569&gt;TODAY()),0,IF(OR(INDEX($B569:$D569,AE$5)="F",AND(AE$6&gt;0,$A569&lt;AE$6),AND(AE$7&gt;0,$A569&gt;AE$7)),0,MAX(0,ROUND((INDEX($E569:$G569,AE$5)-SUMIFS(TF_Timer,TF_Tekniker,AE$4,TF_Dato,$A569))*2,0)/2)))</f>
        <v/>
      </c>
      <c r="AF569">
        <f>IF(OR(AF$4="",$A569&gt;TODAY()),0,IF(OR(INDEX($B569:$D569,AF$5)="F",AND(AF$6&gt;0,$A569&lt;AF$6),AND(AF$7&gt;0,$A569&gt;AF$7)),0,MAX(0,ROUND((INDEX($E569:$G569,AF$5)-SUMIFS(TF_Timer,TF_Tekniker,AF$4,TF_Dato,$A569))*2,0)/2)))</f>
        <v/>
      </c>
      <c r="AG569">
        <f>IF(OR(AG$4="",$A569&gt;TODAY()),0,IF(OR(INDEX($B569:$D569,AG$5)="F",AND(AG$6&gt;0,$A569&lt;AG$6),AND(AG$7&gt;0,$A569&gt;AG$7)),0,MAX(0,ROUND((INDEX($E569:$G569,AG$5)-SUMIFS(TF_Timer,TF_Tekniker,AG$4,TF_Dato,$A569))*2,0)/2)))</f>
        <v/>
      </c>
      <c r="AH569">
        <f>IF(OR(AH$4="",$A569&gt;TODAY()),0,IF(OR(INDEX($B569:$D569,AH$5)="F",AND(AH$6&gt;0,$A569&lt;AH$6),AND(AH$7&gt;0,$A569&gt;AH$7)),0,MAX(0,ROUND((INDEX($E569:$G569,AH$5)-SUMIFS(TF_Timer,TF_Tekniker,AH$4,TF_Dato,$A569))*2,0)/2)))</f>
        <v/>
      </c>
      <c r="AI569">
        <f>IF(OR(AI$4="",$A569&gt;TODAY()),0,IF(OR(INDEX($B569:$D569,AI$5)="F",AND(AI$6&gt;0,$A569&lt;AI$6),AND(AI$7&gt;0,$A569&gt;AI$7)),0,MAX(0,ROUND((INDEX($E569:$G569,AI$5)-SUMIFS(TF_Timer,TF_Tekniker,AI$4,TF_Dato,$A569))*2,0)/2)))</f>
        <v/>
      </c>
      <c r="AJ569">
        <f>IF(OR(AJ$4="",$A569&gt;TODAY()),0,IF(OR(INDEX($B569:$D569,AJ$5)="F",AND(AJ$6&gt;0,$A569&lt;AJ$6),AND(AJ$7&gt;0,$A569&gt;AJ$7)),0,MAX(0,ROUND((INDEX($E569:$G569,AJ$5)-SUMIFS(TF_Timer,TF_Tekniker,AJ$4,TF_Dato,$A569))*2,0)/2)))</f>
        <v/>
      </c>
      <c r="AK569">
        <f>IF(OR(AK$4="",$A569&gt;TODAY()),0,IF(OR(INDEX($B569:$D569,AK$5)="F",AND(AK$6&gt;0,$A569&lt;AK$6),AND(AK$7&gt;0,$A569&gt;AK$7)),0,MAX(0,ROUND((INDEX($E569:$G569,AK$5)-SUMIFS(TF_Timer,TF_Tekniker,AK$4,TF_Dato,$A569))*2,0)/2)))</f>
        <v/>
      </c>
      <c r="AL569">
        <f>IF(OR(AL$4="",$A569&gt;TODAY()),0,IF(OR(INDEX($B569:$D569,AL$5)="F",AND(AL$6&gt;0,$A569&lt;AL$6),AND(AL$7&gt;0,$A569&gt;AL$7)),0,MAX(0,ROUND((INDEX($E569:$G569,AL$5)-SUMIFS(TF_Timer,TF_Tekniker,AL$4,TF_Dato,$A569))*2,0)/2)))</f>
        <v/>
      </c>
      <c r="AM569">
        <f>IF(OR(AM$4="",$A569&gt;TODAY()),0,IF(OR(INDEX($B569:$D569,AM$5)="F",AND(AM$6&gt;0,$A569&lt;AM$6),AND(AM$7&gt;0,$A569&gt;AM$7)),0,MAX(0,ROUND((INDEX($E569:$G569,AM$5)-SUMIFS(TF_Timer,TF_Tekniker,AM$4,TF_Dato,$A569))*2,0)/2)))</f>
        <v/>
      </c>
      <c r="AN569">
        <f>IF(OR(AN$4="",$A569&gt;TODAY()),0,IF(OR(INDEX($B569:$D569,AN$5)="F",AND(AN$6&gt;0,$A569&lt;AN$6),AND(AN$7&gt;0,$A569&gt;AN$7)),0,MAX(0,ROUND((INDEX($E569:$G569,AN$5)-SUMIFS(TF_Timer,TF_Tekniker,AN$4,TF_Dato,$A569))*2,0)/2)))</f>
        <v/>
      </c>
      <c r="AO569">
        <f>IF(OR(AO$4="",$A569&gt;TODAY()),0,IF(OR(INDEX($B569:$D569,AO$5)="F",AND(AO$6&gt;0,$A569&lt;AO$6),AND(AO$7&gt;0,$A569&gt;AO$7)),0,MAX(0,ROUND((INDEX($E569:$G569,AO$5)-SUMIFS(TF_Timer,TF_Tekniker,AO$4,TF_Dato,$A569))*2,0)/2)))</f>
        <v/>
      </c>
      <c r="AP569">
        <f>IF(OR(AP$4="",$A569&gt;TODAY()),0,IF(OR(INDEX($B569:$D569,AP$5)="F",AND(AP$6&gt;0,$A569&lt;AP$6),AND(AP$7&gt;0,$A569&gt;AP$7)),0,MAX(0,ROUND((INDEX($E569:$G569,AP$5)-SUMIFS(TF_Timer,TF_Tekniker,AP$4,TF_Dato,$A569))*2,0)/2)))</f>
        <v/>
      </c>
      <c r="AQ569">
        <f>IF(OR(AQ$4="",$A569&gt;TODAY()),0,IF(OR(INDEX($B569:$D569,AQ$5)="F",AND(AQ$6&gt;0,$A569&lt;AQ$6),AND(AQ$7&gt;0,$A569&gt;AQ$7)),0,MAX(0,ROUND((INDEX($E569:$G569,AQ$5)-SUMIFS(TF_Timer,TF_Tekniker,AQ$4,TF_Dato,$A569))*2,0)/2)))</f>
        <v/>
      </c>
      <c r="AR569">
        <f>IF(OR(AR$4="",$A569&gt;TODAY()),0,IF(OR(INDEX($B569:$D569,AR$5)="F",AND(AR$6&gt;0,$A569&lt;AR$6),AND(AR$7&gt;0,$A569&gt;AR$7)),0,MAX(0,ROUND((INDEX($E569:$G569,AR$5)-SUMIFS(TF_Timer,TF_Tekniker,AR$4,TF_Dato,$A569))*2,0)/2)))</f>
        <v/>
      </c>
      <c r="AS569">
        <f>IF(OR(AS$4="",$A569&gt;TODAY()),0,IF(OR(INDEX($B569:$D569,AS$5)="F",AND(AS$6&gt;0,$A569&lt;AS$6),AND(AS$7&gt;0,$A569&gt;AS$7)),0,MAX(0,ROUND((INDEX($E569:$G569,AS$5)-SUMIFS(TF_Timer,TF_Tekniker,AS$4,TF_Dato,$A569))*2,0)/2)))</f>
        <v/>
      </c>
      <c r="AT569">
        <f>IF(OR(AT$4="",$A569&gt;TODAY()),0,IF(OR(INDEX($B569:$D569,AT$5)="F",AND(AT$6&gt;0,$A569&lt;AT$6),AND(AT$7&gt;0,$A569&gt;AT$7)),0,MAX(0,ROUND((INDEX($E569:$G569,AT$5)-SUMIFS(TF_Timer,TF_Tekniker,AT$4,TF_Dato,$A569))*2,0)/2)))</f>
        <v/>
      </c>
      <c r="AU569">
        <f>IF(OR(AU$4="",$A569&gt;TODAY()),0,IF(OR(INDEX($B569:$D569,AU$5)="F",AND(AU$6&gt;0,$A569&lt;AU$6),AND(AU$7&gt;0,$A569&gt;AU$7)),0,MAX(0,ROUND((INDEX($E569:$G569,AU$5)-SUMIFS(TF_Timer,TF_Tekniker,AU$4,TF_Dato,$A569))*2,0)/2)))</f>
        <v/>
      </c>
      <c r="AV569">
        <f>IF(OR(AV$4="",$A569&gt;TODAY()),0,IF(OR(INDEX($B569:$D569,AV$5)="F",AND(AV$6&gt;0,$A569&lt;AV$6),AND(AV$7&gt;0,$A569&gt;AV$7)),0,MAX(0,ROUND((INDEX($E569:$G569,AV$5)-SUMIFS(TF_Timer,TF_Tekniker,AV$4,TF_Dato,$A569))*2,0)/2)))</f>
        <v/>
      </c>
      <c r="AW569">
        <f>IF(OR(AW$4="",$A569&gt;TODAY()),0,IF(OR(INDEX($B569:$D569,AW$5)="F",AND(AW$6&gt;0,$A569&lt;AW$6),AND(AW$7&gt;0,$A569&gt;AW$7)),0,MAX(0,ROUND((INDEX($E569:$G569,AW$5)-SUMIFS(TF_Timer,TF_Tekniker,AW$4,TF_Dato,$A569))*2,0)/2)))</f>
        <v/>
      </c>
      <c r="AX569">
        <f>IF(OR(AX$4="",$A569&gt;TODAY()),0,IF(OR(INDEX($B569:$D569,AX$5)="F",AND(AX$6&gt;0,$A569&lt;AX$6),AND(AX$7&gt;0,$A569&gt;AX$7)),0,MAX(0,ROUND((INDEX($E569:$G569,AX$5)-SUMIFS(TF_Timer,TF_Tekniker,AX$4,TF_Dato,$A569))*2,0)/2)))</f>
        <v/>
      </c>
      <c r="AY569">
        <f>IF(OR(AY$4="",$A569&gt;TODAY()),0,IF(OR(INDEX($B569:$D569,AY$5)="F",AND(AY$6&gt;0,$A569&lt;AY$6),AND(AY$7&gt;0,$A569&gt;AY$7)),0,MAX(0,ROUND((INDEX($E569:$G569,AY$5)-SUMIFS(TF_Timer,TF_Tekniker,AY$4,TF_Dato,$A569))*2,0)/2)))</f>
        <v/>
      </c>
      <c r="AZ569">
        <f>IF(OR(AZ$4="",$A569&gt;TODAY()),0,IF(OR(INDEX($B569:$D569,AZ$5)="F",AND(AZ$6&gt;0,$A569&lt;AZ$6),AND(AZ$7&gt;0,$A569&gt;AZ$7)),0,MAX(0,ROUND((INDEX($E569:$G569,AZ$5)-SUMIFS(TF_Timer,TF_Tekniker,AZ$4,TF_Dato,$A569))*2,0)/2)))</f>
        <v/>
      </c>
      <c r="BA569">
        <f>IF(OR(BA$4="",$A569&gt;TODAY()),0,IF(OR(INDEX($B569:$D569,BA$5)="F",AND(BA$6&gt;0,$A569&lt;BA$6),AND(BA$7&gt;0,$A569&gt;BA$7)),0,MAX(0,ROUND((INDEX($E569:$G569,BA$5)-SUMIFS(TF_Timer,TF_Tekniker,BA$4,TF_Dato,$A569))*2,0)/2)))</f>
        <v/>
      </c>
      <c r="BB569">
        <f>IF(OR(BB$4="",$A569&gt;TODAY()),0,IF(OR(INDEX($B569:$D569,BB$5)="F",AND(BB$6&gt;0,$A569&lt;BB$6),AND(BB$7&gt;0,$A569&gt;BB$7)),0,MAX(0,ROUND((INDEX($E569:$G569,BB$5)-SUMIFS(TF_Timer,TF_Tekniker,BB$4,TF_Dato,$A569))*2,0)/2)))</f>
        <v/>
      </c>
      <c r="BC569">
        <f>IF(OR(BC$4="",$A569&gt;TODAY()),0,IF(OR(INDEX($B569:$D569,BC$5)="F",AND(BC$6&gt;0,$A569&lt;BC$6),AND(BC$7&gt;0,$A569&gt;BC$7)),0,MAX(0,ROUND((INDEX($E569:$G569,BC$5)-SUMIFS(TF_Timer,TF_Tekniker,BC$4,TF_Dato,$A569))*2,0)/2)))</f>
        <v/>
      </c>
      <c r="BD569">
        <f>IF(OR(BD$4="",$A569&gt;TODAY()),0,IF(OR(INDEX($B569:$D569,BD$5)="F",AND(BD$6&gt;0,$A569&lt;BD$6),AND(BD$7&gt;0,$A569&gt;BD$7)),0,MAX(0,ROUND((INDEX($E569:$G569,BD$5)-SUMIFS(TF_Timer,TF_Tekniker,BD$4,TF_Dato,$A569))*2,0)/2)))</f>
        <v/>
      </c>
      <c r="BE569">
        <f>IF(OR(BE$4="",$A569&gt;TODAY()),0,IF(OR(INDEX($B569:$D569,BE$5)="F",AND(BE$6&gt;0,$A569&lt;BE$6),AND(BE$7&gt;0,$A569&gt;BE$7)),0,MAX(0,ROUND((INDEX($E569:$G569,BE$5)-SUMIFS(TF_Timer,TF_Tekniker,BE$4,TF_Dato,$A569))*2,0)/2)))</f>
        <v/>
      </c>
      <c r="BF569">
        <f>IF(OR(BF$4="",$A569&gt;TODAY()),0,IF(OR(INDEX($B569:$D569,BF$5)="F",AND(BF$6&gt;0,$A569&lt;BF$6),AND(BF$7&gt;0,$A569&gt;BF$7)),0,MAX(0,ROUND((INDEX($E569:$G569,BF$5)-SUMIFS(TF_Timer,TF_Tekniker,BF$4,TF_Dato,$A569))*2,0)/2)))</f>
        <v/>
      </c>
      <c r="BG569">
        <f>IF(OR(BG$4="",$A569&gt;TODAY()),0,IF(OR(INDEX($B569:$D569,BG$5)="F",AND(BG$6&gt;0,$A569&lt;BG$6),AND(BG$7&gt;0,$A569&gt;BG$7)),0,MAX(0,ROUND((INDEX($E569:$G569,BG$5)-SUMIFS(TF_Timer,TF_Tekniker,BG$4,TF_Dato,$A569))*2,0)/2)))</f>
        <v/>
      </c>
      <c r="BH569">
        <f>IF(OR(BH$4="",$A569&gt;TODAY()),0,IF(OR(INDEX($B569:$D569,BH$5)="F",AND(BH$6&gt;0,$A569&lt;BH$6),AND(BH$7&gt;0,$A569&gt;BH$7)),0,MAX(0,ROUND((INDEX($E569:$G569,BH$5)-SUMIFS(TF_Timer,TF_Tekniker,BH$4,TF_Dato,$A569))*2,0)/2)))</f>
        <v/>
      </c>
      <c r="BI569">
        <f>IF(OR(BI$4="",$A569&gt;TODAY()),0,IF(OR(INDEX($B569:$D569,BI$5)="F",AND(BI$6&gt;0,$A569&lt;BI$6),AND(BI$7&gt;0,$A569&gt;BI$7)),0,MAX(0,ROUND((INDEX($E569:$G569,BI$5)-SUMIFS(TF_Timer,TF_Tekniker,BI$4,TF_Dato,$A569))*2,0)/2)))</f>
        <v/>
      </c>
    </row>
    <row r="570">
      <c r="A570" s="64">
        <f>A569+1</f>
        <v/>
      </c>
      <c r="B570">
        <f>IF(MOD($A570-INDEX(SkiftStart,1),Syklus)&lt;DagK,"K",IF(MOD($A570-INDEX(SkiftStart,1),Syklus)&lt;DagK+DagH,"H",IF(MOD($A570-INDEX(SkiftStart,1),Syklus)&lt;DagK+DagH+DagD,"D","F")))</f>
        <v/>
      </c>
      <c r="C570">
        <f>IF(MOD($A570-INDEX(SkiftStart,2),Syklus)&lt;DagK,"K",IF(MOD($A570-INDEX(SkiftStart,2),Syklus)&lt;DagK+DagH,"H",IF(MOD($A570-INDEX(SkiftStart,2),Syklus)&lt;DagK+DagH+DagD,"D","F")))</f>
        <v/>
      </c>
      <c r="D570">
        <f>IF(MOD($A570-INDEX(SkiftStart,3),Syklus)&lt;DagK,"K",IF(MOD($A570-INDEX(SkiftStart,3),Syklus)&lt;DagK+DagH,"H",IF(MOD($A570-INDEX(SkiftStart,3),Syklus)&lt;DagK+DagH+DagD,"D","F")))</f>
        <v/>
      </c>
      <c r="E570">
        <f>IF(B570="F",0,IF(WEEKDAY($A570,2)=5,INDEX(TimerFr,MATCH(B570,FaseKode,0)),INDEX(TimerMT,MATCH(B570,FaseKode,0))))</f>
        <v/>
      </c>
      <c r="F570">
        <f>IF(C570="F",0,IF(WEEKDAY($A570,2)=5,INDEX(TimerFr,MATCH(C570,FaseKode,0)),INDEX(TimerMT,MATCH(C570,FaseKode,0))))</f>
        <v/>
      </c>
      <c r="G570">
        <f>IF(D570="F",0,IF(WEEKDAY($A570,2)=5,INDEX(TimerFr,MATCH(D570,FaseKode,0)),INDEX(TimerMT,MATCH(D570,FaseKode,0))))</f>
        <v/>
      </c>
      <c r="H570">
        <f>IF(OR(H$4="",$A570&gt;TODAY()),0,IF(OR(INDEX($B570:$D570,H$5)="F",AND(H$6&gt;0,$A570&lt;H$6),AND(H$7&gt;0,$A570&gt;H$7)),0,MAX(0,ROUND((INDEX($E570:$G570,H$5)-SUMIFS(TF_Timer,TF_Tekniker,H$4,TF_Dato,$A570))*2,0)/2)))</f>
        <v/>
      </c>
      <c r="I570">
        <f>IF(OR(I$4="",$A570&gt;TODAY()),0,IF(OR(INDEX($B570:$D570,I$5)="F",AND(I$6&gt;0,$A570&lt;I$6),AND(I$7&gt;0,$A570&gt;I$7)),0,MAX(0,ROUND((INDEX($E570:$G570,I$5)-SUMIFS(TF_Timer,TF_Tekniker,I$4,TF_Dato,$A570))*2,0)/2)))</f>
        <v/>
      </c>
      <c r="J570">
        <f>IF(OR(J$4="",$A570&gt;TODAY()),0,IF(OR(INDEX($B570:$D570,J$5)="F",AND(J$6&gt;0,$A570&lt;J$6),AND(J$7&gt;0,$A570&gt;J$7)),0,MAX(0,ROUND((INDEX($E570:$G570,J$5)-SUMIFS(TF_Timer,TF_Tekniker,J$4,TF_Dato,$A570))*2,0)/2)))</f>
        <v/>
      </c>
      <c r="K570">
        <f>IF(OR(K$4="",$A570&gt;TODAY()),0,IF(OR(INDEX($B570:$D570,K$5)="F",AND(K$6&gt;0,$A570&lt;K$6),AND(K$7&gt;0,$A570&gt;K$7)),0,MAX(0,ROUND((INDEX($E570:$G570,K$5)-SUMIFS(TF_Timer,TF_Tekniker,K$4,TF_Dato,$A570))*2,0)/2)))</f>
        <v/>
      </c>
      <c r="L570">
        <f>IF(OR(L$4="",$A570&gt;TODAY()),0,IF(OR(INDEX($B570:$D570,L$5)="F",AND(L$6&gt;0,$A570&lt;L$6),AND(L$7&gt;0,$A570&gt;L$7)),0,MAX(0,ROUND((INDEX($E570:$G570,L$5)-SUMIFS(TF_Timer,TF_Tekniker,L$4,TF_Dato,$A570))*2,0)/2)))</f>
        <v/>
      </c>
      <c r="M570">
        <f>IF(OR(M$4="",$A570&gt;TODAY()),0,IF(OR(INDEX($B570:$D570,M$5)="F",AND(M$6&gt;0,$A570&lt;M$6),AND(M$7&gt;0,$A570&gt;M$7)),0,MAX(0,ROUND((INDEX($E570:$G570,M$5)-SUMIFS(TF_Timer,TF_Tekniker,M$4,TF_Dato,$A570))*2,0)/2)))</f>
        <v/>
      </c>
      <c r="N570">
        <f>IF(OR(N$4="",$A570&gt;TODAY()),0,IF(OR(INDEX($B570:$D570,N$5)="F",AND(N$6&gt;0,$A570&lt;N$6),AND(N$7&gt;0,$A570&gt;N$7)),0,MAX(0,ROUND((INDEX($E570:$G570,N$5)-SUMIFS(TF_Timer,TF_Tekniker,N$4,TF_Dato,$A570))*2,0)/2)))</f>
        <v/>
      </c>
      <c r="O570">
        <f>IF(OR(O$4="",$A570&gt;TODAY()),0,IF(OR(INDEX($B570:$D570,O$5)="F",AND(O$6&gt;0,$A570&lt;O$6),AND(O$7&gt;0,$A570&gt;O$7)),0,MAX(0,ROUND((INDEX($E570:$G570,O$5)-SUMIFS(TF_Timer,TF_Tekniker,O$4,TF_Dato,$A570))*2,0)/2)))</f>
        <v/>
      </c>
      <c r="P570">
        <f>IF(OR(P$4="",$A570&gt;TODAY()),0,IF(OR(INDEX($B570:$D570,P$5)="F",AND(P$6&gt;0,$A570&lt;P$6),AND(P$7&gt;0,$A570&gt;P$7)),0,MAX(0,ROUND((INDEX($E570:$G570,P$5)-SUMIFS(TF_Timer,TF_Tekniker,P$4,TF_Dato,$A570))*2,0)/2)))</f>
        <v/>
      </c>
      <c r="Q570">
        <f>IF(OR(Q$4="",$A570&gt;TODAY()),0,IF(OR(INDEX($B570:$D570,Q$5)="F",AND(Q$6&gt;0,$A570&lt;Q$6),AND(Q$7&gt;0,$A570&gt;Q$7)),0,MAX(0,ROUND((INDEX($E570:$G570,Q$5)-SUMIFS(TF_Timer,TF_Tekniker,Q$4,TF_Dato,$A570))*2,0)/2)))</f>
        <v/>
      </c>
      <c r="R570">
        <f>IF(OR(R$4="",$A570&gt;TODAY()),0,IF(OR(INDEX($B570:$D570,R$5)="F",AND(R$6&gt;0,$A570&lt;R$6),AND(R$7&gt;0,$A570&gt;R$7)),0,MAX(0,ROUND((INDEX($E570:$G570,R$5)-SUMIFS(TF_Timer,TF_Tekniker,R$4,TF_Dato,$A570))*2,0)/2)))</f>
        <v/>
      </c>
      <c r="S570">
        <f>IF(OR(S$4="",$A570&gt;TODAY()),0,IF(OR(INDEX($B570:$D570,S$5)="F",AND(S$6&gt;0,$A570&lt;S$6),AND(S$7&gt;0,$A570&gt;S$7)),0,MAX(0,ROUND((INDEX($E570:$G570,S$5)-SUMIFS(TF_Timer,TF_Tekniker,S$4,TF_Dato,$A570))*2,0)/2)))</f>
        <v/>
      </c>
      <c r="T570">
        <f>IF(OR(T$4="",$A570&gt;TODAY()),0,IF(OR(INDEX($B570:$D570,T$5)="F",AND(T$6&gt;0,$A570&lt;T$6),AND(T$7&gt;0,$A570&gt;T$7)),0,MAX(0,ROUND((INDEX($E570:$G570,T$5)-SUMIFS(TF_Timer,TF_Tekniker,T$4,TF_Dato,$A570))*2,0)/2)))</f>
        <v/>
      </c>
      <c r="U570">
        <f>IF(OR(U$4="",$A570&gt;TODAY()),0,IF(OR(INDEX($B570:$D570,U$5)="F",AND(U$6&gt;0,$A570&lt;U$6),AND(U$7&gt;0,$A570&gt;U$7)),0,MAX(0,ROUND((INDEX($E570:$G570,U$5)-SUMIFS(TF_Timer,TF_Tekniker,U$4,TF_Dato,$A570))*2,0)/2)))</f>
        <v/>
      </c>
      <c r="V570">
        <f>IF(OR(V$4="",$A570&gt;TODAY()),0,IF(OR(INDEX($B570:$D570,V$5)="F",AND(V$6&gt;0,$A570&lt;V$6),AND(V$7&gt;0,$A570&gt;V$7)),0,MAX(0,ROUND((INDEX($E570:$G570,V$5)-SUMIFS(TF_Timer,TF_Tekniker,V$4,TF_Dato,$A570))*2,0)/2)))</f>
        <v/>
      </c>
      <c r="W570">
        <f>IF(OR(W$4="",$A570&gt;TODAY()),0,IF(OR(INDEX($B570:$D570,W$5)="F",AND(W$6&gt;0,$A570&lt;W$6),AND(W$7&gt;0,$A570&gt;W$7)),0,MAX(0,ROUND((INDEX($E570:$G570,W$5)-SUMIFS(TF_Timer,TF_Tekniker,W$4,TF_Dato,$A570))*2,0)/2)))</f>
        <v/>
      </c>
      <c r="X570">
        <f>IF(OR(X$4="",$A570&gt;TODAY()),0,IF(OR(INDEX($B570:$D570,X$5)="F",AND(X$6&gt;0,$A570&lt;X$6),AND(X$7&gt;0,$A570&gt;X$7)),0,MAX(0,ROUND((INDEX($E570:$G570,X$5)-SUMIFS(TF_Timer,TF_Tekniker,X$4,TF_Dato,$A570))*2,0)/2)))</f>
        <v/>
      </c>
      <c r="Y570">
        <f>IF(OR(Y$4="",$A570&gt;TODAY()),0,IF(OR(INDEX($B570:$D570,Y$5)="F",AND(Y$6&gt;0,$A570&lt;Y$6),AND(Y$7&gt;0,$A570&gt;Y$7)),0,MAX(0,ROUND((INDEX($E570:$G570,Y$5)-SUMIFS(TF_Timer,TF_Tekniker,Y$4,TF_Dato,$A570))*2,0)/2)))</f>
        <v/>
      </c>
      <c r="Z570">
        <f>IF(OR(Z$4="",$A570&gt;TODAY()),0,IF(OR(INDEX($B570:$D570,Z$5)="F",AND(Z$6&gt;0,$A570&lt;Z$6),AND(Z$7&gt;0,$A570&gt;Z$7)),0,MAX(0,ROUND((INDEX($E570:$G570,Z$5)-SUMIFS(TF_Timer,TF_Tekniker,Z$4,TF_Dato,$A570))*2,0)/2)))</f>
        <v/>
      </c>
      <c r="AA570">
        <f>IF(OR(AA$4="",$A570&gt;TODAY()),0,IF(OR(INDEX($B570:$D570,AA$5)="F",AND(AA$6&gt;0,$A570&lt;AA$6),AND(AA$7&gt;0,$A570&gt;AA$7)),0,MAX(0,ROUND((INDEX($E570:$G570,AA$5)-SUMIFS(TF_Timer,TF_Tekniker,AA$4,TF_Dato,$A570))*2,0)/2)))</f>
        <v/>
      </c>
      <c r="AB570">
        <f>IF(OR(AB$4="",$A570&gt;TODAY()),0,IF(OR(INDEX($B570:$D570,AB$5)="F",AND(AB$6&gt;0,$A570&lt;AB$6),AND(AB$7&gt;0,$A570&gt;AB$7)),0,MAX(0,ROUND((INDEX($E570:$G570,AB$5)-SUMIFS(TF_Timer,TF_Tekniker,AB$4,TF_Dato,$A570))*2,0)/2)))</f>
        <v/>
      </c>
      <c r="AC570">
        <f>IF(OR(AC$4="",$A570&gt;TODAY()),0,IF(OR(INDEX($B570:$D570,AC$5)="F",AND(AC$6&gt;0,$A570&lt;AC$6),AND(AC$7&gt;0,$A570&gt;AC$7)),0,MAX(0,ROUND((INDEX($E570:$G570,AC$5)-SUMIFS(TF_Timer,TF_Tekniker,AC$4,TF_Dato,$A570))*2,0)/2)))</f>
        <v/>
      </c>
      <c r="AD570">
        <f>IF(OR(AD$4="",$A570&gt;TODAY()),0,IF(OR(INDEX($B570:$D570,AD$5)="F",AND(AD$6&gt;0,$A570&lt;AD$6),AND(AD$7&gt;0,$A570&gt;AD$7)),0,MAX(0,ROUND((INDEX($E570:$G570,AD$5)-SUMIFS(TF_Timer,TF_Tekniker,AD$4,TF_Dato,$A570))*2,0)/2)))</f>
        <v/>
      </c>
      <c r="AE570">
        <f>IF(OR(AE$4="",$A570&gt;TODAY()),0,IF(OR(INDEX($B570:$D570,AE$5)="F",AND(AE$6&gt;0,$A570&lt;AE$6),AND(AE$7&gt;0,$A570&gt;AE$7)),0,MAX(0,ROUND((INDEX($E570:$G570,AE$5)-SUMIFS(TF_Timer,TF_Tekniker,AE$4,TF_Dato,$A570))*2,0)/2)))</f>
        <v/>
      </c>
      <c r="AF570">
        <f>IF(OR(AF$4="",$A570&gt;TODAY()),0,IF(OR(INDEX($B570:$D570,AF$5)="F",AND(AF$6&gt;0,$A570&lt;AF$6),AND(AF$7&gt;0,$A570&gt;AF$7)),0,MAX(0,ROUND((INDEX($E570:$G570,AF$5)-SUMIFS(TF_Timer,TF_Tekniker,AF$4,TF_Dato,$A570))*2,0)/2)))</f>
        <v/>
      </c>
      <c r="AG570">
        <f>IF(OR(AG$4="",$A570&gt;TODAY()),0,IF(OR(INDEX($B570:$D570,AG$5)="F",AND(AG$6&gt;0,$A570&lt;AG$6),AND(AG$7&gt;0,$A570&gt;AG$7)),0,MAX(0,ROUND((INDEX($E570:$G570,AG$5)-SUMIFS(TF_Timer,TF_Tekniker,AG$4,TF_Dato,$A570))*2,0)/2)))</f>
        <v/>
      </c>
      <c r="AH570">
        <f>IF(OR(AH$4="",$A570&gt;TODAY()),0,IF(OR(INDEX($B570:$D570,AH$5)="F",AND(AH$6&gt;0,$A570&lt;AH$6),AND(AH$7&gt;0,$A570&gt;AH$7)),0,MAX(0,ROUND((INDEX($E570:$G570,AH$5)-SUMIFS(TF_Timer,TF_Tekniker,AH$4,TF_Dato,$A570))*2,0)/2)))</f>
        <v/>
      </c>
      <c r="AI570">
        <f>IF(OR(AI$4="",$A570&gt;TODAY()),0,IF(OR(INDEX($B570:$D570,AI$5)="F",AND(AI$6&gt;0,$A570&lt;AI$6),AND(AI$7&gt;0,$A570&gt;AI$7)),0,MAX(0,ROUND((INDEX($E570:$G570,AI$5)-SUMIFS(TF_Timer,TF_Tekniker,AI$4,TF_Dato,$A570))*2,0)/2)))</f>
        <v/>
      </c>
      <c r="AJ570">
        <f>IF(OR(AJ$4="",$A570&gt;TODAY()),0,IF(OR(INDEX($B570:$D570,AJ$5)="F",AND(AJ$6&gt;0,$A570&lt;AJ$6),AND(AJ$7&gt;0,$A570&gt;AJ$7)),0,MAX(0,ROUND((INDEX($E570:$G570,AJ$5)-SUMIFS(TF_Timer,TF_Tekniker,AJ$4,TF_Dato,$A570))*2,0)/2)))</f>
        <v/>
      </c>
      <c r="AK570">
        <f>IF(OR(AK$4="",$A570&gt;TODAY()),0,IF(OR(INDEX($B570:$D570,AK$5)="F",AND(AK$6&gt;0,$A570&lt;AK$6),AND(AK$7&gt;0,$A570&gt;AK$7)),0,MAX(0,ROUND((INDEX($E570:$G570,AK$5)-SUMIFS(TF_Timer,TF_Tekniker,AK$4,TF_Dato,$A570))*2,0)/2)))</f>
        <v/>
      </c>
      <c r="AL570">
        <f>IF(OR(AL$4="",$A570&gt;TODAY()),0,IF(OR(INDEX($B570:$D570,AL$5)="F",AND(AL$6&gt;0,$A570&lt;AL$6),AND(AL$7&gt;0,$A570&gt;AL$7)),0,MAX(0,ROUND((INDEX($E570:$G570,AL$5)-SUMIFS(TF_Timer,TF_Tekniker,AL$4,TF_Dato,$A570))*2,0)/2)))</f>
        <v/>
      </c>
      <c r="AM570">
        <f>IF(OR(AM$4="",$A570&gt;TODAY()),0,IF(OR(INDEX($B570:$D570,AM$5)="F",AND(AM$6&gt;0,$A570&lt;AM$6),AND(AM$7&gt;0,$A570&gt;AM$7)),0,MAX(0,ROUND((INDEX($E570:$G570,AM$5)-SUMIFS(TF_Timer,TF_Tekniker,AM$4,TF_Dato,$A570))*2,0)/2)))</f>
        <v/>
      </c>
      <c r="AN570">
        <f>IF(OR(AN$4="",$A570&gt;TODAY()),0,IF(OR(INDEX($B570:$D570,AN$5)="F",AND(AN$6&gt;0,$A570&lt;AN$6),AND(AN$7&gt;0,$A570&gt;AN$7)),0,MAX(0,ROUND((INDEX($E570:$G570,AN$5)-SUMIFS(TF_Timer,TF_Tekniker,AN$4,TF_Dato,$A570))*2,0)/2)))</f>
        <v/>
      </c>
      <c r="AO570">
        <f>IF(OR(AO$4="",$A570&gt;TODAY()),0,IF(OR(INDEX($B570:$D570,AO$5)="F",AND(AO$6&gt;0,$A570&lt;AO$6),AND(AO$7&gt;0,$A570&gt;AO$7)),0,MAX(0,ROUND((INDEX($E570:$G570,AO$5)-SUMIFS(TF_Timer,TF_Tekniker,AO$4,TF_Dato,$A570))*2,0)/2)))</f>
        <v/>
      </c>
      <c r="AP570">
        <f>IF(OR(AP$4="",$A570&gt;TODAY()),0,IF(OR(INDEX($B570:$D570,AP$5)="F",AND(AP$6&gt;0,$A570&lt;AP$6),AND(AP$7&gt;0,$A570&gt;AP$7)),0,MAX(0,ROUND((INDEX($E570:$G570,AP$5)-SUMIFS(TF_Timer,TF_Tekniker,AP$4,TF_Dato,$A570))*2,0)/2)))</f>
        <v/>
      </c>
      <c r="AQ570">
        <f>IF(OR(AQ$4="",$A570&gt;TODAY()),0,IF(OR(INDEX($B570:$D570,AQ$5)="F",AND(AQ$6&gt;0,$A570&lt;AQ$6),AND(AQ$7&gt;0,$A570&gt;AQ$7)),0,MAX(0,ROUND((INDEX($E570:$G570,AQ$5)-SUMIFS(TF_Timer,TF_Tekniker,AQ$4,TF_Dato,$A570))*2,0)/2)))</f>
        <v/>
      </c>
      <c r="AR570">
        <f>IF(OR(AR$4="",$A570&gt;TODAY()),0,IF(OR(INDEX($B570:$D570,AR$5)="F",AND(AR$6&gt;0,$A570&lt;AR$6),AND(AR$7&gt;0,$A570&gt;AR$7)),0,MAX(0,ROUND((INDEX($E570:$G570,AR$5)-SUMIFS(TF_Timer,TF_Tekniker,AR$4,TF_Dato,$A570))*2,0)/2)))</f>
        <v/>
      </c>
      <c r="AS570">
        <f>IF(OR(AS$4="",$A570&gt;TODAY()),0,IF(OR(INDEX($B570:$D570,AS$5)="F",AND(AS$6&gt;0,$A570&lt;AS$6),AND(AS$7&gt;0,$A570&gt;AS$7)),0,MAX(0,ROUND((INDEX($E570:$G570,AS$5)-SUMIFS(TF_Timer,TF_Tekniker,AS$4,TF_Dato,$A570))*2,0)/2)))</f>
        <v/>
      </c>
      <c r="AT570">
        <f>IF(OR(AT$4="",$A570&gt;TODAY()),0,IF(OR(INDEX($B570:$D570,AT$5)="F",AND(AT$6&gt;0,$A570&lt;AT$6),AND(AT$7&gt;0,$A570&gt;AT$7)),0,MAX(0,ROUND((INDEX($E570:$G570,AT$5)-SUMIFS(TF_Timer,TF_Tekniker,AT$4,TF_Dato,$A570))*2,0)/2)))</f>
        <v/>
      </c>
      <c r="AU570">
        <f>IF(OR(AU$4="",$A570&gt;TODAY()),0,IF(OR(INDEX($B570:$D570,AU$5)="F",AND(AU$6&gt;0,$A570&lt;AU$6),AND(AU$7&gt;0,$A570&gt;AU$7)),0,MAX(0,ROUND((INDEX($E570:$G570,AU$5)-SUMIFS(TF_Timer,TF_Tekniker,AU$4,TF_Dato,$A570))*2,0)/2)))</f>
        <v/>
      </c>
      <c r="AV570">
        <f>IF(OR(AV$4="",$A570&gt;TODAY()),0,IF(OR(INDEX($B570:$D570,AV$5)="F",AND(AV$6&gt;0,$A570&lt;AV$6),AND(AV$7&gt;0,$A570&gt;AV$7)),0,MAX(0,ROUND((INDEX($E570:$G570,AV$5)-SUMIFS(TF_Timer,TF_Tekniker,AV$4,TF_Dato,$A570))*2,0)/2)))</f>
        <v/>
      </c>
      <c r="AW570">
        <f>IF(OR(AW$4="",$A570&gt;TODAY()),0,IF(OR(INDEX($B570:$D570,AW$5)="F",AND(AW$6&gt;0,$A570&lt;AW$6),AND(AW$7&gt;0,$A570&gt;AW$7)),0,MAX(0,ROUND((INDEX($E570:$G570,AW$5)-SUMIFS(TF_Timer,TF_Tekniker,AW$4,TF_Dato,$A570))*2,0)/2)))</f>
        <v/>
      </c>
      <c r="AX570">
        <f>IF(OR(AX$4="",$A570&gt;TODAY()),0,IF(OR(INDEX($B570:$D570,AX$5)="F",AND(AX$6&gt;0,$A570&lt;AX$6),AND(AX$7&gt;0,$A570&gt;AX$7)),0,MAX(0,ROUND((INDEX($E570:$G570,AX$5)-SUMIFS(TF_Timer,TF_Tekniker,AX$4,TF_Dato,$A570))*2,0)/2)))</f>
        <v/>
      </c>
      <c r="AY570">
        <f>IF(OR(AY$4="",$A570&gt;TODAY()),0,IF(OR(INDEX($B570:$D570,AY$5)="F",AND(AY$6&gt;0,$A570&lt;AY$6),AND(AY$7&gt;0,$A570&gt;AY$7)),0,MAX(0,ROUND((INDEX($E570:$G570,AY$5)-SUMIFS(TF_Timer,TF_Tekniker,AY$4,TF_Dato,$A570))*2,0)/2)))</f>
        <v/>
      </c>
      <c r="AZ570">
        <f>IF(OR(AZ$4="",$A570&gt;TODAY()),0,IF(OR(INDEX($B570:$D570,AZ$5)="F",AND(AZ$6&gt;0,$A570&lt;AZ$6),AND(AZ$7&gt;0,$A570&gt;AZ$7)),0,MAX(0,ROUND((INDEX($E570:$G570,AZ$5)-SUMIFS(TF_Timer,TF_Tekniker,AZ$4,TF_Dato,$A570))*2,0)/2)))</f>
        <v/>
      </c>
      <c r="BA570">
        <f>IF(OR(BA$4="",$A570&gt;TODAY()),0,IF(OR(INDEX($B570:$D570,BA$5)="F",AND(BA$6&gt;0,$A570&lt;BA$6),AND(BA$7&gt;0,$A570&gt;BA$7)),0,MAX(0,ROUND((INDEX($E570:$G570,BA$5)-SUMIFS(TF_Timer,TF_Tekniker,BA$4,TF_Dato,$A570))*2,0)/2)))</f>
        <v/>
      </c>
      <c r="BB570">
        <f>IF(OR(BB$4="",$A570&gt;TODAY()),0,IF(OR(INDEX($B570:$D570,BB$5)="F",AND(BB$6&gt;0,$A570&lt;BB$6),AND(BB$7&gt;0,$A570&gt;BB$7)),0,MAX(0,ROUND((INDEX($E570:$G570,BB$5)-SUMIFS(TF_Timer,TF_Tekniker,BB$4,TF_Dato,$A570))*2,0)/2)))</f>
        <v/>
      </c>
      <c r="BC570">
        <f>IF(OR(BC$4="",$A570&gt;TODAY()),0,IF(OR(INDEX($B570:$D570,BC$5)="F",AND(BC$6&gt;0,$A570&lt;BC$6),AND(BC$7&gt;0,$A570&gt;BC$7)),0,MAX(0,ROUND((INDEX($E570:$G570,BC$5)-SUMIFS(TF_Timer,TF_Tekniker,BC$4,TF_Dato,$A570))*2,0)/2)))</f>
        <v/>
      </c>
      <c r="BD570">
        <f>IF(OR(BD$4="",$A570&gt;TODAY()),0,IF(OR(INDEX($B570:$D570,BD$5)="F",AND(BD$6&gt;0,$A570&lt;BD$6),AND(BD$7&gt;0,$A570&gt;BD$7)),0,MAX(0,ROUND((INDEX($E570:$G570,BD$5)-SUMIFS(TF_Timer,TF_Tekniker,BD$4,TF_Dato,$A570))*2,0)/2)))</f>
        <v/>
      </c>
      <c r="BE570">
        <f>IF(OR(BE$4="",$A570&gt;TODAY()),0,IF(OR(INDEX($B570:$D570,BE$5)="F",AND(BE$6&gt;0,$A570&lt;BE$6),AND(BE$7&gt;0,$A570&gt;BE$7)),0,MAX(0,ROUND((INDEX($E570:$G570,BE$5)-SUMIFS(TF_Timer,TF_Tekniker,BE$4,TF_Dato,$A570))*2,0)/2)))</f>
        <v/>
      </c>
      <c r="BF570">
        <f>IF(OR(BF$4="",$A570&gt;TODAY()),0,IF(OR(INDEX($B570:$D570,BF$5)="F",AND(BF$6&gt;0,$A570&lt;BF$6),AND(BF$7&gt;0,$A570&gt;BF$7)),0,MAX(0,ROUND((INDEX($E570:$G570,BF$5)-SUMIFS(TF_Timer,TF_Tekniker,BF$4,TF_Dato,$A570))*2,0)/2)))</f>
        <v/>
      </c>
      <c r="BG570">
        <f>IF(OR(BG$4="",$A570&gt;TODAY()),0,IF(OR(INDEX($B570:$D570,BG$5)="F",AND(BG$6&gt;0,$A570&lt;BG$6),AND(BG$7&gt;0,$A570&gt;BG$7)),0,MAX(0,ROUND((INDEX($E570:$G570,BG$5)-SUMIFS(TF_Timer,TF_Tekniker,BG$4,TF_Dato,$A570))*2,0)/2)))</f>
        <v/>
      </c>
      <c r="BH570">
        <f>IF(OR(BH$4="",$A570&gt;TODAY()),0,IF(OR(INDEX($B570:$D570,BH$5)="F",AND(BH$6&gt;0,$A570&lt;BH$6),AND(BH$7&gt;0,$A570&gt;BH$7)),0,MAX(0,ROUND((INDEX($E570:$G570,BH$5)-SUMIFS(TF_Timer,TF_Tekniker,BH$4,TF_Dato,$A570))*2,0)/2)))</f>
        <v/>
      </c>
      <c r="BI570">
        <f>IF(OR(BI$4="",$A570&gt;TODAY()),0,IF(OR(INDEX($B570:$D570,BI$5)="F",AND(BI$6&gt;0,$A570&lt;BI$6),AND(BI$7&gt;0,$A570&gt;BI$7)),0,MAX(0,ROUND((INDEX($E570:$G570,BI$5)-SUMIFS(TF_Timer,TF_Tekniker,BI$4,TF_Dato,$A570))*2,0)/2)))</f>
        <v/>
      </c>
    </row>
    <row r="571">
      <c r="A571" s="64">
        <f>A570+1</f>
        <v/>
      </c>
      <c r="B571">
        <f>IF(MOD($A571-INDEX(SkiftStart,1),Syklus)&lt;DagK,"K",IF(MOD($A571-INDEX(SkiftStart,1),Syklus)&lt;DagK+DagH,"H",IF(MOD($A571-INDEX(SkiftStart,1),Syklus)&lt;DagK+DagH+DagD,"D","F")))</f>
        <v/>
      </c>
      <c r="C571">
        <f>IF(MOD($A571-INDEX(SkiftStart,2),Syklus)&lt;DagK,"K",IF(MOD($A571-INDEX(SkiftStart,2),Syklus)&lt;DagK+DagH,"H",IF(MOD($A571-INDEX(SkiftStart,2),Syklus)&lt;DagK+DagH+DagD,"D","F")))</f>
        <v/>
      </c>
      <c r="D571">
        <f>IF(MOD($A571-INDEX(SkiftStart,3),Syklus)&lt;DagK,"K",IF(MOD($A571-INDEX(SkiftStart,3),Syklus)&lt;DagK+DagH,"H",IF(MOD($A571-INDEX(SkiftStart,3),Syklus)&lt;DagK+DagH+DagD,"D","F")))</f>
        <v/>
      </c>
      <c r="E571">
        <f>IF(B571="F",0,IF(WEEKDAY($A571,2)=5,INDEX(TimerFr,MATCH(B571,FaseKode,0)),INDEX(TimerMT,MATCH(B571,FaseKode,0))))</f>
        <v/>
      </c>
      <c r="F571">
        <f>IF(C571="F",0,IF(WEEKDAY($A571,2)=5,INDEX(TimerFr,MATCH(C571,FaseKode,0)),INDEX(TimerMT,MATCH(C571,FaseKode,0))))</f>
        <v/>
      </c>
      <c r="G571">
        <f>IF(D571="F",0,IF(WEEKDAY($A571,2)=5,INDEX(TimerFr,MATCH(D571,FaseKode,0)),INDEX(TimerMT,MATCH(D571,FaseKode,0))))</f>
        <v/>
      </c>
      <c r="H571">
        <f>IF(OR(H$4="",$A571&gt;TODAY()),0,IF(OR(INDEX($B571:$D571,H$5)="F",AND(H$6&gt;0,$A571&lt;H$6),AND(H$7&gt;0,$A571&gt;H$7)),0,MAX(0,ROUND((INDEX($E571:$G571,H$5)-SUMIFS(TF_Timer,TF_Tekniker,H$4,TF_Dato,$A571))*2,0)/2)))</f>
        <v/>
      </c>
      <c r="I571">
        <f>IF(OR(I$4="",$A571&gt;TODAY()),0,IF(OR(INDEX($B571:$D571,I$5)="F",AND(I$6&gt;0,$A571&lt;I$6),AND(I$7&gt;0,$A571&gt;I$7)),0,MAX(0,ROUND((INDEX($E571:$G571,I$5)-SUMIFS(TF_Timer,TF_Tekniker,I$4,TF_Dato,$A571))*2,0)/2)))</f>
        <v/>
      </c>
      <c r="J571">
        <f>IF(OR(J$4="",$A571&gt;TODAY()),0,IF(OR(INDEX($B571:$D571,J$5)="F",AND(J$6&gt;0,$A571&lt;J$6),AND(J$7&gt;0,$A571&gt;J$7)),0,MAX(0,ROUND((INDEX($E571:$G571,J$5)-SUMIFS(TF_Timer,TF_Tekniker,J$4,TF_Dato,$A571))*2,0)/2)))</f>
        <v/>
      </c>
      <c r="K571">
        <f>IF(OR(K$4="",$A571&gt;TODAY()),0,IF(OR(INDEX($B571:$D571,K$5)="F",AND(K$6&gt;0,$A571&lt;K$6),AND(K$7&gt;0,$A571&gt;K$7)),0,MAX(0,ROUND((INDEX($E571:$G571,K$5)-SUMIFS(TF_Timer,TF_Tekniker,K$4,TF_Dato,$A571))*2,0)/2)))</f>
        <v/>
      </c>
      <c r="L571">
        <f>IF(OR(L$4="",$A571&gt;TODAY()),0,IF(OR(INDEX($B571:$D571,L$5)="F",AND(L$6&gt;0,$A571&lt;L$6),AND(L$7&gt;0,$A571&gt;L$7)),0,MAX(0,ROUND((INDEX($E571:$G571,L$5)-SUMIFS(TF_Timer,TF_Tekniker,L$4,TF_Dato,$A571))*2,0)/2)))</f>
        <v/>
      </c>
      <c r="M571">
        <f>IF(OR(M$4="",$A571&gt;TODAY()),0,IF(OR(INDEX($B571:$D571,M$5)="F",AND(M$6&gt;0,$A571&lt;M$6),AND(M$7&gt;0,$A571&gt;M$7)),0,MAX(0,ROUND((INDEX($E571:$G571,M$5)-SUMIFS(TF_Timer,TF_Tekniker,M$4,TF_Dato,$A571))*2,0)/2)))</f>
        <v/>
      </c>
      <c r="N571">
        <f>IF(OR(N$4="",$A571&gt;TODAY()),0,IF(OR(INDEX($B571:$D571,N$5)="F",AND(N$6&gt;0,$A571&lt;N$6),AND(N$7&gt;0,$A571&gt;N$7)),0,MAX(0,ROUND((INDEX($E571:$G571,N$5)-SUMIFS(TF_Timer,TF_Tekniker,N$4,TF_Dato,$A571))*2,0)/2)))</f>
        <v/>
      </c>
      <c r="O571">
        <f>IF(OR(O$4="",$A571&gt;TODAY()),0,IF(OR(INDEX($B571:$D571,O$5)="F",AND(O$6&gt;0,$A571&lt;O$6),AND(O$7&gt;0,$A571&gt;O$7)),0,MAX(0,ROUND((INDEX($E571:$G571,O$5)-SUMIFS(TF_Timer,TF_Tekniker,O$4,TF_Dato,$A571))*2,0)/2)))</f>
        <v/>
      </c>
      <c r="P571">
        <f>IF(OR(P$4="",$A571&gt;TODAY()),0,IF(OR(INDEX($B571:$D571,P$5)="F",AND(P$6&gt;0,$A571&lt;P$6),AND(P$7&gt;0,$A571&gt;P$7)),0,MAX(0,ROUND((INDEX($E571:$G571,P$5)-SUMIFS(TF_Timer,TF_Tekniker,P$4,TF_Dato,$A571))*2,0)/2)))</f>
        <v/>
      </c>
      <c r="Q571">
        <f>IF(OR(Q$4="",$A571&gt;TODAY()),0,IF(OR(INDEX($B571:$D571,Q$5)="F",AND(Q$6&gt;0,$A571&lt;Q$6),AND(Q$7&gt;0,$A571&gt;Q$7)),0,MAX(0,ROUND((INDEX($E571:$G571,Q$5)-SUMIFS(TF_Timer,TF_Tekniker,Q$4,TF_Dato,$A571))*2,0)/2)))</f>
        <v/>
      </c>
      <c r="R571">
        <f>IF(OR(R$4="",$A571&gt;TODAY()),0,IF(OR(INDEX($B571:$D571,R$5)="F",AND(R$6&gt;0,$A571&lt;R$6),AND(R$7&gt;0,$A571&gt;R$7)),0,MAX(0,ROUND((INDEX($E571:$G571,R$5)-SUMIFS(TF_Timer,TF_Tekniker,R$4,TF_Dato,$A571))*2,0)/2)))</f>
        <v/>
      </c>
      <c r="S571">
        <f>IF(OR(S$4="",$A571&gt;TODAY()),0,IF(OR(INDEX($B571:$D571,S$5)="F",AND(S$6&gt;0,$A571&lt;S$6),AND(S$7&gt;0,$A571&gt;S$7)),0,MAX(0,ROUND((INDEX($E571:$G571,S$5)-SUMIFS(TF_Timer,TF_Tekniker,S$4,TF_Dato,$A571))*2,0)/2)))</f>
        <v/>
      </c>
      <c r="T571">
        <f>IF(OR(T$4="",$A571&gt;TODAY()),0,IF(OR(INDEX($B571:$D571,T$5)="F",AND(T$6&gt;0,$A571&lt;T$6),AND(T$7&gt;0,$A571&gt;T$7)),0,MAX(0,ROUND((INDEX($E571:$G571,T$5)-SUMIFS(TF_Timer,TF_Tekniker,T$4,TF_Dato,$A571))*2,0)/2)))</f>
        <v/>
      </c>
      <c r="U571">
        <f>IF(OR(U$4="",$A571&gt;TODAY()),0,IF(OR(INDEX($B571:$D571,U$5)="F",AND(U$6&gt;0,$A571&lt;U$6),AND(U$7&gt;0,$A571&gt;U$7)),0,MAX(0,ROUND((INDEX($E571:$G571,U$5)-SUMIFS(TF_Timer,TF_Tekniker,U$4,TF_Dato,$A571))*2,0)/2)))</f>
        <v/>
      </c>
      <c r="V571">
        <f>IF(OR(V$4="",$A571&gt;TODAY()),0,IF(OR(INDEX($B571:$D571,V$5)="F",AND(V$6&gt;0,$A571&lt;V$6),AND(V$7&gt;0,$A571&gt;V$7)),0,MAX(0,ROUND((INDEX($E571:$G571,V$5)-SUMIFS(TF_Timer,TF_Tekniker,V$4,TF_Dato,$A571))*2,0)/2)))</f>
        <v/>
      </c>
      <c r="W571">
        <f>IF(OR(W$4="",$A571&gt;TODAY()),0,IF(OR(INDEX($B571:$D571,W$5)="F",AND(W$6&gt;0,$A571&lt;W$6),AND(W$7&gt;0,$A571&gt;W$7)),0,MAX(0,ROUND((INDEX($E571:$G571,W$5)-SUMIFS(TF_Timer,TF_Tekniker,W$4,TF_Dato,$A571))*2,0)/2)))</f>
        <v/>
      </c>
      <c r="X571">
        <f>IF(OR(X$4="",$A571&gt;TODAY()),0,IF(OR(INDEX($B571:$D571,X$5)="F",AND(X$6&gt;0,$A571&lt;X$6),AND(X$7&gt;0,$A571&gt;X$7)),0,MAX(0,ROUND((INDEX($E571:$G571,X$5)-SUMIFS(TF_Timer,TF_Tekniker,X$4,TF_Dato,$A571))*2,0)/2)))</f>
        <v/>
      </c>
      <c r="Y571">
        <f>IF(OR(Y$4="",$A571&gt;TODAY()),0,IF(OR(INDEX($B571:$D571,Y$5)="F",AND(Y$6&gt;0,$A571&lt;Y$6),AND(Y$7&gt;0,$A571&gt;Y$7)),0,MAX(0,ROUND((INDEX($E571:$G571,Y$5)-SUMIFS(TF_Timer,TF_Tekniker,Y$4,TF_Dato,$A571))*2,0)/2)))</f>
        <v/>
      </c>
      <c r="Z571">
        <f>IF(OR(Z$4="",$A571&gt;TODAY()),0,IF(OR(INDEX($B571:$D571,Z$5)="F",AND(Z$6&gt;0,$A571&lt;Z$6),AND(Z$7&gt;0,$A571&gt;Z$7)),0,MAX(0,ROUND((INDEX($E571:$G571,Z$5)-SUMIFS(TF_Timer,TF_Tekniker,Z$4,TF_Dato,$A571))*2,0)/2)))</f>
        <v/>
      </c>
      <c r="AA571">
        <f>IF(OR(AA$4="",$A571&gt;TODAY()),0,IF(OR(INDEX($B571:$D571,AA$5)="F",AND(AA$6&gt;0,$A571&lt;AA$6),AND(AA$7&gt;0,$A571&gt;AA$7)),0,MAX(0,ROUND((INDEX($E571:$G571,AA$5)-SUMIFS(TF_Timer,TF_Tekniker,AA$4,TF_Dato,$A571))*2,0)/2)))</f>
        <v/>
      </c>
      <c r="AB571">
        <f>IF(OR(AB$4="",$A571&gt;TODAY()),0,IF(OR(INDEX($B571:$D571,AB$5)="F",AND(AB$6&gt;0,$A571&lt;AB$6),AND(AB$7&gt;0,$A571&gt;AB$7)),0,MAX(0,ROUND((INDEX($E571:$G571,AB$5)-SUMIFS(TF_Timer,TF_Tekniker,AB$4,TF_Dato,$A571))*2,0)/2)))</f>
        <v/>
      </c>
      <c r="AC571">
        <f>IF(OR(AC$4="",$A571&gt;TODAY()),0,IF(OR(INDEX($B571:$D571,AC$5)="F",AND(AC$6&gt;0,$A571&lt;AC$6),AND(AC$7&gt;0,$A571&gt;AC$7)),0,MAX(0,ROUND((INDEX($E571:$G571,AC$5)-SUMIFS(TF_Timer,TF_Tekniker,AC$4,TF_Dato,$A571))*2,0)/2)))</f>
        <v/>
      </c>
      <c r="AD571">
        <f>IF(OR(AD$4="",$A571&gt;TODAY()),0,IF(OR(INDEX($B571:$D571,AD$5)="F",AND(AD$6&gt;0,$A571&lt;AD$6),AND(AD$7&gt;0,$A571&gt;AD$7)),0,MAX(0,ROUND((INDEX($E571:$G571,AD$5)-SUMIFS(TF_Timer,TF_Tekniker,AD$4,TF_Dato,$A571))*2,0)/2)))</f>
        <v/>
      </c>
      <c r="AE571">
        <f>IF(OR(AE$4="",$A571&gt;TODAY()),0,IF(OR(INDEX($B571:$D571,AE$5)="F",AND(AE$6&gt;0,$A571&lt;AE$6),AND(AE$7&gt;0,$A571&gt;AE$7)),0,MAX(0,ROUND((INDEX($E571:$G571,AE$5)-SUMIFS(TF_Timer,TF_Tekniker,AE$4,TF_Dato,$A571))*2,0)/2)))</f>
        <v/>
      </c>
      <c r="AF571">
        <f>IF(OR(AF$4="",$A571&gt;TODAY()),0,IF(OR(INDEX($B571:$D571,AF$5)="F",AND(AF$6&gt;0,$A571&lt;AF$6),AND(AF$7&gt;0,$A571&gt;AF$7)),0,MAX(0,ROUND((INDEX($E571:$G571,AF$5)-SUMIFS(TF_Timer,TF_Tekniker,AF$4,TF_Dato,$A571))*2,0)/2)))</f>
        <v/>
      </c>
      <c r="AG571">
        <f>IF(OR(AG$4="",$A571&gt;TODAY()),0,IF(OR(INDEX($B571:$D571,AG$5)="F",AND(AG$6&gt;0,$A571&lt;AG$6),AND(AG$7&gt;0,$A571&gt;AG$7)),0,MAX(0,ROUND((INDEX($E571:$G571,AG$5)-SUMIFS(TF_Timer,TF_Tekniker,AG$4,TF_Dato,$A571))*2,0)/2)))</f>
        <v/>
      </c>
      <c r="AH571">
        <f>IF(OR(AH$4="",$A571&gt;TODAY()),0,IF(OR(INDEX($B571:$D571,AH$5)="F",AND(AH$6&gt;0,$A571&lt;AH$6),AND(AH$7&gt;0,$A571&gt;AH$7)),0,MAX(0,ROUND((INDEX($E571:$G571,AH$5)-SUMIFS(TF_Timer,TF_Tekniker,AH$4,TF_Dato,$A571))*2,0)/2)))</f>
        <v/>
      </c>
      <c r="AI571">
        <f>IF(OR(AI$4="",$A571&gt;TODAY()),0,IF(OR(INDEX($B571:$D571,AI$5)="F",AND(AI$6&gt;0,$A571&lt;AI$6),AND(AI$7&gt;0,$A571&gt;AI$7)),0,MAX(0,ROUND((INDEX($E571:$G571,AI$5)-SUMIFS(TF_Timer,TF_Tekniker,AI$4,TF_Dato,$A571))*2,0)/2)))</f>
        <v/>
      </c>
      <c r="AJ571">
        <f>IF(OR(AJ$4="",$A571&gt;TODAY()),0,IF(OR(INDEX($B571:$D571,AJ$5)="F",AND(AJ$6&gt;0,$A571&lt;AJ$6),AND(AJ$7&gt;0,$A571&gt;AJ$7)),0,MAX(0,ROUND((INDEX($E571:$G571,AJ$5)-SUMIFS(TF_Timer,TF_Tekniker,AJ$4,TF_Dato,$A571))*2,0)/2)))</f>
        <v/>
      </c>
      <c r="AK571">
        <f>IF(OR(AK$4="",$A571&gt;TODAY()),0,IF(OR(INDEX($B571:$D571,AK$5)="F",AND(AK$6&gt;0,$A571&lt;AK$6),AND(AK$7&gt;0,$A571&gt;AK$7)),0,MAX(0,ROUND((INDEX($E571:$G571,AK$5)-SUMIFS(TF_Timer,TF_Tekniker,AK$4,TF_Dato,$A571))*2,0)/2)))</f>
        <v/>
      </c>
      <c r="AL571">
        <f>IF(OR(AL$4="",$A571&gt;TODAY()),0,IF(OR(INDEX($B571:$D571,AL$5)="F",AND(AL$6&gt;0,$A571&lt;AL$6),AND(AL$7&gt;0,$A571&gt;AL$7)),0,MAX(0,ROUND((INDEX($E571:$G571,AL$5)-SUMIFS(TF_Timer,TF_Tekniker,AL$4,TF_Dato,$A571))*2,0)/2)))</f>
        <v/>
      </c>
      <c r="AM571">
        <f>IF(OR(AM$4="",$A571&gt;TODAY()),0,IF(OR(INDEX($B571:$D571,AM$5)="F",AND(AM$6&gt;0,$A571&lt;AM$6),AND(AM$7&gt;0,$A571&gt;AM$7)),0,MAX(0,ROUND((INDEX($E571:$G571,AM$5)-SUMIFS(TF_Timer,TF_Tekniker,AM$4,TF_Dato,$A571))*2,0)/2)))</f>
        <v/>
      </c>
      <c r="AN571">
        <f>IF(OR(AN$4="",$A571&gt;TODAY()),0,IF(OR(INDEX($B571:$D571,AN$5)="F",AND(AN$6&gt;0,$A571&lt;AN$6),AND(AN$7&gt;0,$A571&gt;AN$7)),0,MAX(0,ROUND((INDEX($E571:$G571,AN$5)-SUMIFS(TF_Timer,TF_Tekniker,AN$4,TF_Dato,$A571))*2,0)/2)))</f>
        <v/>
      </c>
      <c r="AO571">
        <f>IF(OR(AO$4="",$A571&gt;TODAY()),0,IF(OR(INDEX($B571:$D571,AO$5)="F",AND(AO$6&gt;0,$A571&lt;AO$6),AND(AO$7&gt;0,$A571&gt;AO$7)),0,MAX(0,ROUND((INDEX($E571:$G571,AO$5)-SUMIFS(TF_Timer,TF_Tekniker,AO$4,TF_Dato,$A571))*2,0)/2)))</f>
        <v/>
      </c>
      <c r="AP571">
        <f>IF(OR(AP$4="",$A571&gt;TODAY()),0,IF(OR(INDEX($B571:$D571,AP$5)="F",AND(AP$6&gt;0,$A571&lt;AP$6),AND(AP$7&gt;0,$A571&gt;AP$7)),0,MAX(0,ROUND((INDEX($E571:$G571,AP$5)-SUMIFS(TF_Timer,TF_Tekniker,AP$4,TF_Dato,$A571))*2,0)/2)))</f>
        <v/>
      </c>
      <c r="AQ571">
        <f>IF(OR(AQ$4="",$A571&gt;TODAY()),0,IF(OR(INDEX($B571:$D571,AQ$5)="F",AND(AQ$6&gt;0,$A571&lt;AQ$6),AND(AQ$7&gt;0,$A571&gt;AQ$7)),0,MAX(0,ROUND((INDEX($E571:$G571,AQ$5)-SUMIFS(TF_Timer,TF_Tekniker,AQ$4,TF_Dato,$A571))*2,0)/2)))</f>
        <v/>
      </c>
      <c r="AR571">
        <f>IF(OR(AR$4="",$A571&gt;TODAY()),0,IF(OR(INDEX($B571:$D571,AR$5)="F",AND(AR$6&gt;0,$A571&lt;AR$6),AND(AR$7&gt;0,$A571&gt;AR$7)),0,MAX(0,ROUND((INDEX($E571:$G571,AR$5)-SUMIFS(TF_Timer,TF_Tekniker,AR$4,TF_Dato,$A571))*2,0)/2)))</f>
        <v/>
      </c>
      <c r="AS571">
        <f>IF(OR(AS$4="",$A571&gt;TODAY()),0,IF(OR(INDEX($B571:$D571,AS$5)="F",AND(AS$6&gt;0,$A571&lt;AS$6),AND(AS$7&gt;0,$A571&gt;AS$7)),0,MAX(0,ROUND((INDEX($E571:$G571,AS$5)-SUMIFS(TF_Timer,TF_Tekniker,AS$4,TF_Dato,$A571))*2,0)/2)))</f>
        <v/>
      </c>
      <c r="AT571">
        <f>IF(OR(AT$4="",$A571&gt;TODAY()),0,IF(OR(INDEX($B571:$D571,AT$5)="F",AND(AT$6&gt;0,$A571&lt;AT$6),AND(AT$7&gt;0,$A571&gt;AT$7)),0,MAX(0,ROUND((INDEX($E571:$G571,AT$5)-SUMIFS(TF_Timer,TF_Tekniker,AT$4,TF_Dato,$A571))*2,0)/2)))</f>
        <v/>
      </c>
      <c r="AU571">
        <f>IF(OR(AU$4="",$A571&gt;TODAY()),0,IF(OR(INDEX($B571:$D571,AU$5)="F",AND(AU$6&gt;0,$A571&lt;AU$6),AND(AU$7&gt;0,$A571&gt;AU$7)),0,MAX(0,ROUND((INDEX($E571:$G571,AU$5)-SUMIFS(TF_Timer,TF_Tekniker,AU$4,TF_Dato,$A571))*2,0)/2)))</f>
        <v/>
      </c>
      <c r="AV571">
        <f>IF(OR(AV$4="",$A571&gt;TODAY()),0,IF(OR(INDEX($B571:$D571,AV$5)="F",AND(AV$6&gt;0,$A571&lt;AV$6),AND(AV$7&gt;0,$A571&gt;AV$7)),0,MAX(0,ROUND((INDEX($E571:$G571,AV$5)-SUMIFS(TF_Timer,TF_Tekniker,AV$4,TF_Dato,$A571))*2,0)/2)))</f>
        <v/>
      </c>
      <c r="AW571">
        <f>IF(OR(AW$4="",$A571&gt;TODAY()),0,IF(OR(INDEX($B571:$D571,AW$5)="F",AND(AW$6&gt;0,$A571&lt;AW$6),AND(AW$7&gt;0,$A571&gt;AW$7)),0,MAX(0,ROUND((INDEX($E571:$G571,AW$5)-SUMIFS(TF_Timer,TF_Tekniker,AW$4,TF_Dato,$A571))*2,0)/2)))</f>
        <v/>
      </c>
      <c r="AX571">
        <f>IF(OR(AX$4="",$A571&gt;TODAY()),0,IF(OR(INDEX($B571:$D571,AX$5)="F",AND(AX$6&gt;0,$A571&lt;AX$6),AND(AX$7&gt;0,$A571&gt;AX$7)),0,MAX(0,ROUND((INDEX($E571:$G571,AX$5)-SUMIFS(TF_Timer,TF_Tekniker,AX$4,TF_Dato,$A571))*2,0)/2)))</f>
        <v/>
      </c>
      <c r="AY571">
        <f>IF(OR(AY$4="",$A571&gt;TODAY()),0,IF(OR(INDEX($B571:$D571,AY$5)="F",AND(AY$6&gt;0,$A571&lt;AY$6),AND(AY$7&gt;0,$A571&gt;AY$7)),0,MAX(0,ROUND((INDEX($E571:$G571,AY$5)-SUMIFS(TF_Timer,TF_Tekniker,AY$4,TF_Dato,$A571))*2,0)/2)))</f>
        <v/>
      </c>
      <c r="AZ571">
        <f>IF(OR(AZ$4="",$A571&gt;TODAY()),0,IF(OR(INDEX($B571:$D571,AZ$5)="F",AND(AZ$6&gt;0,$A571&lt;AZ$6),AND(AZ$7&gt;0,$A571&gt;AZ$7)),0,MAX(0,ROUND((INDEX($E571:$G571,AZ$5)-SUMIFS(TF_Timer,TF_Tekniker,AZ$4,TF_Dato,$A571))*2,0)/2)))</f>
        <v/>
      </c>
      <c r="BA571">
        <f>IF(OR(BA$4="",$A571&gt;TODAY()),0,IF(OR(INDEX($B571:$D571,BA$5)="F",AND(BA$6&gt;0,$A571&lt;BA$6),AND(BA$7&gt;0,$A571&gt;BA$7)),0,MAX(0,ROUND((INDEX($E571:$G571,BA$5)-SUMIFS(TF_Timer,TF_Tekniker,BA$4,TF_Dato,$A571))*2,0)/2)))</f>
        <v/>
      </c>
      <c r="BB571">
        <f>IF(OR(BB$4="",$A571&gt;TODAY()),0,IF(OR(INDEX($B571:$D571,BB$5)="F",AND(BB$6&gt;0,$A571&lt;BB$6),AND(BB$7&gt;0,$A571&gt;BB$7)),0,MAX(0,ROUND((INDEX($E571:$G571,BB$5)-SUMIFS(TF_Timer,TF_Tekniker,BB$4,TF_Dato,$A571))*2,0)/2)))</f>
        <v/>
      </c>
      <c r="BC571">
        <f>IF(OR(BC$4="",$A571&gt;TODAY()),0,IF(OR(INDEX($B571:$D571,BC$5)="F",AND(BC$6&gt;0,$A571&lt;BC$6),AND(BC$7&gt;0,$A571&gt;BC$7)),0,MAX(0,ROUND((INDEX($E571:$G571,BC$5)-SUMIFS(TF_Timer,TF_Tekniker,BC$4,TF_Dato,$A571))*2,0)/2)))</f>
        <v/>
      </c>
      <c r="BD571">
        <f>IF(OR(BD$4="",$A571&gt;TODAY()),0,IF(OR(INDEX($B571:$D571,BD$5)="F",AND(BD$6&gt;0,$A571&lt;BD$6),AND(BD$7&gt;0,$A571&gt;BD$7)),0,MAX(0,ROUND((INDEX($E571:$G571,BD$5)-SUMIFS(TF_Timer,TF_Tekniker,BD$4,TF_Dato,$A571))*2,0)/2)))</f>
        <v/>
      </c>
      <c r="BE571">
        <f>IF(OR(BE$4="",$A571&gt;TODAY()),0,IF(OR(INDEX($B571:$D571,BE$5)="F",AND(BE$6&gt;0,$A571&lt;BE$6),AND(BE$7&gt;0,$A571&gt;BE$7)),0,MAX(0,ROUND((INDEX($E571:$G571,BE$5)-SUMIFS(TF_Timer,TF_Tekniker,BE$4,TF_Dato,$A571))*2,0)/2)))</f>
        <v/>
      </c>
      <c r="BF571">
        <f>IF(OR(BF$4="",$A571&gt;TODAY()),0,IF(OR(INDEX($B571:$D571,BF$5)="F",AND(BF$6&gt;0,$A571&lt;BF$6),AND(BF$7&gt;0,$A571&gt;BF$7)),0,MAX(0,ROUND((INDEX($E571:$G571,BF$5)-SUMIFS(TF_Timer,TF_Tekniker,BF$4,TF_Dato,$A571))*2,0)/2)))</f>
        <v/>
      </c>
      <c r="BG571">
        <f>IF(OR(BG$4="",$A571&gt;TODAY()),0,IF(OR(INDEX($B571:$D571,BG$5)="F",AND(BG$6&gt;0,$A571&lt;BG$6),AND(BG$7&gt;0,$A571&gt;BG$7)),0,MAX(0,ROUND((INDEX($E571:$G571,BG$5)-SUMIFS(TF_Timer,TF_Tekniker,BG$4,TF_Dato,$A571))*2,0)/2)))</f>
        <v/>
      </c>
      <c r="BH571">
        <f>IF(OR(BH$4="",$A571&gt;TODAY()),0,IF(OR(INDEX($B571:$D571,BH$5)="F",AND(BH$6&gt;0,$A571&lt;BH$6),AND(BH$7&gt;0,$A571&gt;BH$7)),0,MAX(0,ROUND((INDEX($E571:$G571,BH$5)-SUMIFS(TF_Timer,TF_Tekniker,BH$4,TF_Dato,$A571))*2,0)/2)))</f>
        <v/>
      </c>
      <c r="BI571">
        <f>IF(OR(BI$4="",$A571&gt;TODAY()),0,IF(OR(INDEX($B571:$D571,BI$5)="F",AND(BI$6&gt;0,$A571&lt;BI$6),AND(BI$7&gt;0,$A571&gt;BI$7)),0,MAX(0,ROUND((INDEX($E571:$G571,BI$5)-SUMIFS(TF_Timer,TF_Tekniker,BI$4,TF_Dato,$A571))*2,0)/2)))</f>
        <v/>
      </c>
    </row>
    <row r="572">
      <c r="A572" s="64">
        <f>A571+1</f>
        <v/>
      </c>
      <c r="B572">
        <f>IF(MOD($A572-INDEX(SkiftStart,1),Syklus)&lt;DagK,"K",IF(MOD($A572-INDEX(SkiftStart,1),Syklus)&lt;DagK+DagH,"H",IF(MOD($A572-INDEX(SkiftStart,1),Syklus)&lt;DagK+DagH+DagD,"D","F")))</f>
        <v/>
      </c>
      <c r="C572">
        <f>IF(MOD($A572-INDEX(SkiftStart,2),Syklus)&lt;DagK,"K",IF(MOD($A572-INDEX(SkiftStart,2),Syklus)&lt;DagK+DagH,"H",IF(MOD($A572-INDEX(SkiftStart,2),Syklus)&lt;DagK+DagH+DagD,"D","F")))</f>
        <v/>
      </c>
      <c r="D572">
        <f>IF(MOD($A572-INDEX(SkiftStart,3),Syklus)&lt;DagK,"K",IF(MOD($A572-INDEX(SkiftStart,3),Syklus)&lt;DagK+DagH,"H",IF(MOD($A572-INDEX(SkiftStart,3),Syklus)&lt;DagK+DagH+DagD,"D","F")))</f>
        <v/>
      </c>
      <c r="E572">
        <f>IF(B572="F",0,IF(WEEKDAY($A572,2)=5,INDEX(TimerFr,MATCH(B572,FaseKode,0)),INDEX(TimerMT,MATCH(B572,FaseKode,0))))</f>
        <v/>
      </c>
      <c r="F572">
        <f>IF(C572="F",0,IF(WEEKDAY($A572,2)=5,INDEX(TimerFr,MATCH(C572,FaseKode,0)),INDEX(TimerMT,MATCH(C572,FaseKode,0))))</f>
        <v/>
      </c>
      <c r="G572">
        <f>IF(D572="F",0,IF(WEEKDAY($A572,2)=5,INDEX(TimerFr,MATCH(D572,FaseKode,0)),INDEX(TimerMT,MATCH(D572,FaseKode,0))))</f>
        <v/>
      </c>
      <c r="H572">
        <f>IF(OR(H$4="",$A572&gt;TODAY()),0,IF(OR(INDEX($B572:$D572,H$5)="F",AND(H$6&gt;0,$A572&lt;H$6),AND(H$7&gt;0,$A572&gt;H$7)),0,MAX(0,ROUND((INDEX($E572:$G572,H$5)-SUMIFS(TF_Timer,TF_Tekniker,H$4,TF_Dato,$A572))*2,0)/2)))</f>
        <v/>
      </c>
      <c r="I572">
        <f>IF(OR(I$4="",$A572&gt;TODAY()),0,IF(OR(INDEX($B572:$D572,I$5)="F",AND(I$6&gt;0,$A572&lt;I$6),AND(I$7&gt;0,$A572&gt;I$7)),0,MAX(0,ROUND((INDEX($E572:$G572,I$5)-SUMIFS(TF_Timer,TF_Tekniker,I$4,TF_Dato,$A572))*2,0)/2)))</f>
        <v/>
      </c>
      <c r="J572">
        <f>IF(OR(J$4="",$A572&gt;TODAY()),0,IF(OR(INDEX($B572:$D572,J$5)="F",AND(J$6&gt;0,$A572&lt;J$6),AND(J$7&gt;0,$A572&gt;J$7)),0,MAX(0,ROUND((INDEX($E572:$G572,J$5)-SUMIFS(TF_Timer,TF_Tekniker,J$4,TF_Dato,$A572))*2,0)/2)))</f>
        <v/>
      </c>
      <c r="K572">
        <f>IF(OR(K$4="",$A572&gt;TODAY()),0,IF(OR(INDEX($B572:$D572,K$5)="F",AND(K$6&gt;0,$A572&lt;K$6),AND(K$7&gt;0,$A572&gt;K$7)),0,MAX(0,ROUND((INDEX($E572:$G572,K$5)-SUMIFS(TF_Timer,TF_Tekniker,K$4,TF_Dato,$A572))*2,0)/2)))</f>
        <v/>
      </c>
      <c r="L572">
        <f>IF(OR(L$4="",$A572&gt;TODAY()),0,IF(OR(INDEX($B572:$D572,L$5)="F",AND(L$6&gt;0,$A572&lt;L$6),AND(L$7&gt;0,$A572&gt;L$7)),0,MAX(0,ROUND((INDEX($E572:$G572,L$5)-SUMIFS(TF_Timer,TF_Tekniker,L$4,TF_Dato,$A572))*2,0)/2)))</f>
        <v/>
      </c>
      <c r="M572">
        <f>IF(OR(M$4="",$A572&gt;TODAY()),0,IF(OR(INDEX($B572:$D572,M$5)="F",AND(M$6&gt;0,$A572&lt;M$6),AND(M$7&gt;0,$A572&gt;M$7)),0,MAX(0,ROUND((INDEX($E572:$G572,M$5)-SUMIFS(TF_Timer,TF_Tekniker,M$4,TF_Dato,$A572))*2,0)/2)))</f>
        <v/>
      </c>
      <c r="N572">
        <f>IF(OR(N$4="",$A572&gt;TODAY()),0,IF(OR(INDEX($B572:$D572,N$5)="F",AND(N$6&gt;0,$A572&lt;N$6),AND(N$7&gt;0,$A572&gt;N$7)),0,MAX(0,ROUND((INDEX($E572:$G572,N$5)-SUMIFS(TF_Timer,TF_Tekniker,N$4,TF_Dato,$A572))*2,0)/2)))</f>
        <v/>
      </c>
      <c r="O572">
        <f>IF(OR(O$4="",$A572&gt;TODAY()),0,IF(OR(INDEX($B572:$D572,O$5)="F",AND(O$6&gt;0,$A572&lt;O$6),AND(O$7&gt;0,$A572&gt;O$7)),0,MAX(0,ROUND((INDEX($E572:$G572,O$5)-SUMIFS(TF_Timer,TF_Tekniker,O$4,TF_Dato,$A572))*2,0)/2)))</f>
        <v/>
      </c>
      <c r="P572">
        <f>IF(OR(P$4="",$A572&gt;TODAY()),0,IF(OR(INDEX($B572:$D572,P$5)="F",AND(P$6&gt;0,$A572&lt;P$6),AND(P$7&gt;0,$A572&gt;P$7)),0,MAX(0,ROUND((INDEX($E572:$G572,P$5)-SUMIFS(TF_Timer,TF_Tekniker,P$4,TF_Dato,$A572))*2,0)/2)))</f>
        <v/>
      </c>
      <c r="Q572">
        <f>IF(OR(Q$4="",$A572&gt;TODAY()),0,IF(OR(INDEX($B572:$D572,Q$5)="F",AND(Q$6&gt;0,$A572&lt;Q$6),AND(Q$7&gt;0,$A572&gt;Q$7)),0,MAX(0,ROUND((INDEX($E572:$G572,Q$5)-SUMIFS(TF_Timer,TF_Tekniker,Q$4,TF_Dato,$A572))*2,0)/2)))</f>
        <v/>
      </c>
      <c r="R572">
        <f>IF(OR(R$4="",$A572&gt;TODAY()),0,IF(OR(INDEX($B572:$D572,R$5)="F",AND(R$6&gt;0,$A572&lt;R$6),AND(R$7&gt;0,$A572&gt;R$7)),0,MAX(0,ROUND((INDEX($E572:$G572,R$5)-SUMIFS(TF_Timer,TF_Tekniker,R$4,TF_Dato,$A572))*2,0)/2)))</f>
        <v/>
      </c>
      <c r="S572">
        <f>IF(OR(S$4="",$A572&gt;TODAY()),0,IF(OR(INDEX($B572:$D572,S$5)="F",AND(S$6&gt;0,$A572&lt;S$6),AND(S$7&gt;0,$A572&gt;S$7)),0,MAX(0,ROUND((INDEX($E572:$G572,S$5)-SUMIFS(TF_Timer,TF_Tekniker,S$4,TF_Dato,$A572))*2,0)/2)))</f>
        <v/>
      </c>
      <c r="T572">
        <f>IF(OR(T$4="",$A572&gt;TODAY()),0,IF(OR(INDEX($B572:$D572,T$5)="F",AND(T$6&gt;0,$A572&lt;T$6),AND(T$7&gt;0,$A572&gt;T$7)),0,MAX(0,ROUND((INDEX($E572:$G572,T$5)-SUMIFS(TF_Timer,TF_Tekniker,T$4,TF_Dato,$A572))*2,0)/2)))</f>
        <v/>
      </c>
      <c r="U572">
        <f>IF(OR(U$4="",$A572&gt;TODAY()),0,IF(OR(INDEX($B572:$D572,U$5)="F",AND(U$6&gt;0,$A572&lt;U$6),AND(U$7&gt;0,$A572&gt;U$7)),0,MAX(0,ROUND((INDEX($E572:$G572,U$5)-SUMIFS(TF_Timer,TF_Tekniker,U$4,TF_Dato,$A572))*2,0)/2)))</f>
        <v/>
      </c>
      <c r="V572">
        <f>IF(OR(V$4="",$A572&gt;TODAY()),0,IF(OR(INDEX($B572:$D572,V$5)="F",AND(V$6&gt;0,$A572&lt;V$6),AND(V$7&gt;0,$A572&gt;V$7)),0,MAX(0,ROUND((INDEX($E572:$G572,V$5)-SUMIFS(TF_Timer,TF_Tekniker,V$4,TF_Dato,$A572))*2,0)/2)))</f>
        <v/>
      </c>
      <c r="W572">
        <f>IF(OR(W$4="",$A572&gt;TODAY()),0,IF(OR(INDEX($B572:$D572,W$5)="F",AND(W$6&gt;0,$A572&lt;W$6),AND(W$7&gt;0,$A572&gt;W$7)),0,MAX(0,ROUND((INDEX($E572:$G572,W$5)-SUMIFS(TF_Timer,TF_Tekniker,W$4,TF_Dato,$A572))*2,0)/2)))</f>
        <v/>
      </c>
      <c r="X572">
        <f>IF(OR(X$4="",$A572&gt;TODAY()),0,IF(OR(INDEX($B572:$D572,X$5)="F",AND(X$6&gt;0,$A572&lt;X$6),AND(X$7&gt;0,$A572&gt;X$7)),0,MAX(0,ROUND((INDEX($E572:$G572,X$5)-SUMIFS(TF_Timer,TF_Tekniker,X$4,TF_Dato,$A572))*2,0)/2)))</f>
        <v/>
      </c>
      <c r="Y572">
        <f>IF(OR(Y$4="",$A572&gt;TODAY()),0,IF(OR(INDEX($B572:$D572,Y$5)="F",AND(Y$6&gt;0,$A572&lt;Y$6),AND(Y$7&gt;0,$A572&gt;Y$7)),0,MAX(0,ROUND((INDEX($E572:$G572,Y$5)-SUMIFS(TF_Timer,TF_Tekniker,Y$4,TF_Dato,$A572))*2,0)/2)))</f>
        <v/>
      </c>
      <c r="Z572">
        <f>IF(OR(Z$4="",$A572&gt;TODAY()),0,IF(OR(INDEX($B572:$D572,Z$5)="F",AND(Z$6&gt;0,$A572&lt;Z$6),AND(Z$7&gt;0,$A572&gt;Z$7)),0,MAX(0,ROUND((INDEX($E572:$G572,Z$5)-SUMIFS(TF_Timer,TF_Tekniker,Z$4,TF_Dato,$A572))*2,0)/2)))</f>
        <v/>
      </c>
      <c r="AA572">
        <f>IF(OR(AA$4="",$A572&gt;TODAY()),0,IF(OR(INDEX($B572:$D572,AA$5)="F",AND(AA$6&gt;0,$A572&lt;AA$6),AND(AA$7&gt;0,$A572&gt;AA$7)),0,MAX(0,ROUND((INDEX($E572:$G572,AA$5)-SUMIFS(TF_Timer,TF_Tekniker,AA$4,TF_Dato,$A572))*2,0)/2)))</f>
        <v/>
      </c>
      <c r="AB572">
        <f>IF(OR(AB$4="",$A572&gt;TODAY()),0,IF(OR(INDEX($B572:$D572,AB$5)="F",AND(AB$6&gt;0,$A572&lt;AB$6),AND(AB$7&gt;0,$A572&gt;AB$7)),0,MAX(0,ROUND((INDEX($E572:$G572,AB$5)-SUMIFS(TF_Timer,TF_Tekniker,AB$4,TF_Dato,$A572))*2,0)/2)))</f>
        <v/>
      </c>
      <c r="AC572">
        <f>IF(OR(AC$4="",$A572&gt;TODAY()),0,IF(OR(INDEX($B572:$D572,AC$5)="F",AND(AC$6&gt;0,$A572&lt;AC$6),AND(AC$7&gt;0,$A572&gt;AC$7)),0,MAX(0,ROUND((INDEX($E572:$G572,AC$5)-SUMIFS(TF_Timer,TF_Tekniker,AC$4,TF_Dato,$A572))*2,0)/2)))</f>
        <v/>
      </c>
      <c r="AD572">
        <f>IF(OR(AD$4="",$A572&gt;TODAY()),0,IF(OR(INDEX($B572:$D572,AD$5)="F",AND(AD$6&gt;0,$A572&lt;AD$6),AND(AD$7&gt;0,$A572&gt;AD$7)),0,MAX(0,ROUND((INDEX($E572:$G572,AD$5)-SUMIFS(TF_Timer,TF_Tekniker,AD$4,TF_Dato,$A572))*2,0)/2)))</f>
        <v/>
      </c>
      <c r="AE572">
        <f>IF(OR(AE$4="",$A572&gt;TODAY()),0,IF(OR(INDEX($B572:$D572,AE$5)="F",AND(AE$6&gt;0,$A572&lt;AE$6),AND(AE$7&gt;0,$A572&gt;AE$7)),0,MAX(0,ROUND((INDEX($E572:$G572,AE$5)-SUMIFS(TF_Timer,TF_Tekniker,AE$4,TF_Dato,$A572))*2,0)/2)))</f>
        <v/>
      </c>
      <c r="AF572">
        <f>IF(OR(AF$4="",$A572&gt;TODAY()),0,IF(OR(INDEX($B572:$D572,AF$5)="F",AND(AF$6&gt;0,$A572&lt;AF$6),AND(AF$7&gt;0,$A572&gt;AF$7)),0,MAX(0,ROUND((INDEX($E572:$G572,AF$5)-SUMIFS(TF_Timer,TF_Tekniker,AF$4,TF_Dato,$A572))*2,0)/2)))</f>
        <v/>
      </c>
      <c r="AG572">
        <f>IF(OR(AG$4="",$A572&gt;TODAY()),0,IF(OR(INDEX($B572:$D572,AG$5)="F",AND(AG$6&gt;0,$A572&lt;AG$6),AND(AG$7&gt;0,$A572&gt;AG$7)),0,MAX(0,ROUND((INDEX($E572:$G572,AG$5)-SUMIFS(TF_Timer,TF_Tekniker,AG$4,TF_Dato,$A572))*2,0)/2)))</f>
        <v/>
      </c>
      <c r="AH572">
        <f>IF(OR(AH$4="",$A572&gt;TODAY()),0,IF(OR(INDEX($B572:$D572,AH$5)="F",AND(AH$6&gt;0,$A572&lt;AH$6),AND(AH$7&gt;0,$A572&gt;AH$7)),0,MAX(0,ROUND((INDEX($E572:$G572,AH$5)-SUMIFS(TF_Timer,TF_Tekniker,AH$4,TF_Dato,$A572))*2,0)/2)))</f>
        <v/>
      </c>
      <c r="AI572">
        <f>IF(OR(AI$4="",$A572&gt;TODAY()),0,IF(OR(INDEX($B572:$D572,AI$5)="F",AND(AI$6&gt;0,$A572&lt;AI$6),AND(AI$7&gt;0,$A572&gt;AI$7)),0,MAX(0,ROUND((INDEX($E572:$G572,AI$5)-SUMIFS(TF_Timer,TF_Tekniker,AI$4,TF_Dato,$A572))*2,0)/2)))</f>
        <v/>
      </c>
      <c r="AJ572">
        <f>IF(OR(AJ$4="",$A572&gt;TODAY()),0,IF(OR(INDEX($B572:$D572,AJ$5)="F",AND(AJ$6&gt;0,$A572&lt;AJ$6),AND(AJ$7&gt;0,$A572&gt;AJ$7)),0,MAX(0,ROUND((INDEX($E572:$G572,AJ$5)-SUMIFS(TF_Timer,TF_Tekniker,AJ$4,TF_Dato,$A572))*2,0)/2)))</f>
        <v/>
      </c>
      <c r="AK572">
        <f>IF(OR(AK$4="",$A572&gt;TODAY()),0,IF(OR(INDEX($B572:$D572,AK$5)="F",AND(AK$6&gt;0,$A572&lt;AK$6),AND(AK$7&gt;0,$A572&gt;AK$7)),0,MAX(0,ROUND((INDEX($E572:$G572,AK$5)-SUMIFS(TF_Timer,TF_Tekniker,AK$4,TF_Dato,$A572))*2,0)/2)))</f>
        <v/>
      </c>
      <c r="AL572">
        <f>IF(OR(AL$4="",$A572&gt;TODAY()),0,IF(OR(INDEX($B572:$D572,AL$5)="F",AND(AL$6&gt;0,$A572&lt;AL$6),AND(AL$7&gt;0,$A572&gt;AL$7)),0,MAX(0,ROUND((INDEX($E572:$G572,AL$5)-SUMIFS(TF_Timer,TF_Tekniker,AL$4,TF_Dato,$A572))*2,0)/2)))</f>
        <v/>
      </c>
      <c r="AM572">
        <f>IF(OR(AM$4="",$A572&gt;TODAY()),0,IF(OR(INDEX($B572:$D572,AM$5)="F",AND(AM$6&gt;0,$A572&lt;AM$6),AND(AM$7&gt;0,$A572&gt;AM$7)),0,MAX(0,ROUND((INDEX($E572:$G572,AM$5)-SUMIFS(TF_Timer,TF_Tekniker,AM$4,TF_Dato,$A572))*2,0)/2)))</f>
        <v/>
      </c>
      <c r="AN572">
        <f>IF(OR(AN$4="",$A572&gt;TODAY()),0,IF(OR(INDEX($B572:$D572,AN$5)="F",AND(AN$6&gt;0,$A572&lt;AN$6),AND(AN$7&gt;0,$A572&gt;AN$7)),0,MAX(0,ROUND((INDEX($E572:$G572,AN$5)-SUMIFS(TF_Timer,TF_Tekniker,AN$4,TF_Dato,$A572))*2,0)/2)))</f>
        <v/>
      </c>
      <c r="AO572">
        <f>IF(OR(AO$4="",$A572&gt;TODAY()),0,IF(OR(INDEX($B572:$D572,AO$5)="F",AND(AO$6&gt;0,$A572&lt;AO$6),AND(AO$7&gt;0,$A572&gt;AO$7)),0,MAX(0,ROUND((INDEX($E572:$G572,AO$5)-SUMIFS(TF_Timer,TF_Tekniker,AO$4,TF_Dato,$A572))*2,0)/2)))</f>
        <v/>
      </c>
      <c r="AP572">
        <f>IF(OR(AP$4="",$A572&gt;TODAY()),0,IF(OR(INDEX($B572:$D572,AP$5)="F",AND(AP$6&gt;0,$A572&lt;AP$6),AND(AP$7&gt;0,$A572&gt;AP$7)),0,MAX(0,ROUND((INDEX($E572:$G572,AP$5)-SUMIFS(TF_Timer,TF_Tekniker,AP$4,TF_Dato,$A572))*2,0)/2)))</f>
        <v/>
      </c>
      <c r="AQ572">
        <f>IF(OR(AQ$4="",$A572&gt;TODAY()),0,IF(OR(INDEX($B572:$D572,AQ$5)="F",AND(AQ$6&gt;0,$A572&lt;AQ$6),AND(AQ$7&gt;0,$A572&gt;AQ$7)),0,MAX(0,ROUND((INDEX($E572:$G572,AQ$5)-SUMIFS(TF_Timer,TF_Tekniker,AQ$4,TF_Dato,$A572))*2,0)/2)))</f>
        <v/>
      </c>
      <c r="AR572">
        <f>IF(OR(AR$4="",$A572&gt;TODAY()),0,IF(OR(INDEX($B572:$D572,AR$5)="F",AND(AR$6&gt;0,$A572&lt;AR$6),AND(AR$7&gt;0,$A572&gt;AR$7)),0,MAX(0,ROUND((INDEX($E572:$G572,AR$5)-SUMIFS(TF_Timer,TF_Tekniker,AR$4,TF_Dato,$A572))*2,0)/2)))</f>
        <v/>
      </c>
      <c r="AS572">
        <f>IF(OR(AS$4="",$A572&gt;TODAY()),0,IF(OR(INDEX($B572:$D572,AS$5)="F",AND(AS$6&gt;0,$A572&lt;AS$6),AND(AS$7&gt;0,$A572&gt;AS$7)),0,MAX(0,ROUND((INDEX($E572:$G572,AS$5)-SUMIFS(TF_Timer,TF_Tekniker,AS$4,TF_Dato,$A572))*2,0)/2)))</f>
        <v/>
      </c>
      <c r="AT572">
        <f>IF(OR(AT$4="",$A572&gt;TODAY()),0,IF(OR(INDEX($B572:$D572,AT$5)="F",AND(AT$6&gt;0,$A572&lt;AT$6),AND(AT$7&gt;0,$A572&gt;AT$7)),0,MAX(0,ROUND((INDEX($E572:$G572,AT$5)-SUMIFS(TF_Timer,TF_Tekniker,AT$4,TF_Dato,$A572))*2,0)/2)))</f>
        <v/>
      </c>
      <c r="AU572">
        <f>IF(OR(AU$4="",$A572&gt;TODAY()),0,IF(OR(INDEX($B572:$D572,AU$5)="F",AND(AU$6&gt;0,$A572&lt;AU$6),AND(AU$7&gt;0,$A572&gt;AU$7)),0,MAX(0,ROUND((INDEX($E572:$G572,AU$5)-SUMIFS(TF_Timer,TF_Tekniker,AU$4,TF_Dato,$A572))*2,0)/2)))</f>
        <v/>
      </c>
      <c r="AV572">
        <f>IF(OR(AV$4="",$A572&gt;TODAY()),0,IF(OR(INDEX($B572:$D572,AV$5)="F",AND(AV$6&gt;0,$A572&lt;AV$6),AND(AV$7&gt;0,$A572&gt;AV$7)),0,MAX(0,ROUND((INDEX($E572:$G572,AV$5)-SUMIFS(TF_Timer,TF_Tekniker,AV$4,TF_Dato,$A572))*2,0)/2)))</f>
        <v/>
      </c>
      <c r="AW572">
        <f>IF(OR(AW$4="",$A572&gt;TODAY()),0,IF(OR(INDEX($B572:$D572,AW$5)="F",AND(AW$6&gt;0,$A572&lt;AW$6),AND(AW$7&gt;0,$A572&gt;AW$7)),0,MAX(0,ROUND((INDEX($E572:$G572,AW$5)-SUMIFS(TF_Timer,TF_Tekniker,AW$4,TF_Dato,$A572))*2,0)/2)))</f>
        <v/>
      </c>
      <c r="AX572">
        <f>IF(OR(AX$4="",$A572&gt;TODAY()),0,IF(OR(INDEX($B572:$D572,AX$5)="F",AND(AX$6&gt;0,$A572&lt;AX$6),AND(AX$7&gt;0,$A572&gt;AX$7)),0,MAX(0,ROUND((INDEX($E572:$G572,AX$5)-SUMIFS(TF_Timer,TF_Tekniker,AX$4,TF_Dato,$A572))*2,0)/2)))</f>
        <v/>
      </c>
      <c r="AY572">
        <f>IF(OR(AY$4="",$A572&gt;TODAY()),0,IF(OR(INDEX($B572:$D572,AY$5)="F",AND(AY$6&gt;0,$A572&lt;AY$6),AND(AY$7&gt;0,$A572&gt;AY$7)),0,MAX(0,ROUND((INDEX($E572:$G572,AY$5)-SUMIFS(TF_Timer,TF_Tekniker,AY$4,TF_Dato,$A572))*2,0)/2)))</f>
        <v/>
      </c>
      <c r="AZ572">
        <f>IF(OR(AZ$4="",$A572&gt;TODAY()),0,IF(OR(INDEX($B572:$D572,AZ$5)="F",AND(AZ$6&gt;0,$A572&lt;AZ$6),AND(AZ$7&gt;0,$A572&gt;AZ$7)),0,MAX(0,ROUND((INDEX($E572:$G572,AZ$5)-SUMIFS(TF_Timer,TF_Tekniker,AZ$4,TF_Dato,$A572))*2,0)/2)))</f>
        <v/>
      </c>
      <c r="BA572">
        <f>IF(OR(BA$4="",$A572&gt;TODAY()),0,IF(OR(INDEX($B572:$D572,BA$5)="F",AND(BA$6&gt;0,$A572&lt;BA$6),AND(BA$7&gt;0,$A572&gt;BA$7)),0,MAX(0,ROUND((INDEX($E572:$G572,BA$5)-SUMIFS(TF_Timer,TF_Tekniker,BA$4,TF_Dato,$A572))*2,0)/2)))</f>
        <v/>
      </c>
      <c r="BB572">
        <f>IF(OR(BB$4="",$A572&gt;TODAY()),0,IF(OR(INDEX($B572:$D572,BB$5)="F",AND(BB$6&gt;0,$A572&lt;BB$6),AND(BB$7&gt;0,$A572&gt;BB$7)),0,MAX(0,ROUND((INDEX($E572:$G572,BB$5)-SUMIFS(TF_Timer,TF_Tekniker,BB$4,TF_Dato,$A572))*2,0)/2)))</f>
        <v/>
      </c>
      <c r="BC572">
        <f>IF(OR(BC$4="",$A572&gt;TODAY()),0,IF(OR(INDEX($B572:$D572,BC$5)="F",AND(BC$6&gt;0,$A572&lt;BC$6),AND(BC$7&gt;0,$A572&gt;BC$7)),0,MAX(0,ROUND((INDEX($E572:$G572,BC$5)-SUMIFS(TF_Timer,TF_Tekniker,BC$4,TF_Dato,$A572))*2,0)/2)))</f>
        <v/>
      </c>
      <c r="BD572">
        <f>IF(OR(BD$4="",$A572&gt;TODAY()),0,IF(OR(INDEX($B572:$D572,BD$5)="F",AND(BD$6&gt;0,$A572&lt;BD$6),AND(BD$7&gt;0,$A572&gt;BD$7)),0,MAX(0,ROUND((INDEX($E572:$G572,BD$5)-SUMIFS(TF_Timer,TF_Tekniker,BD$4,TF_Dato,$A572))*2,0)/2)))</f>
        <v/>
      </c>
      <c r="BE572">
        <f>IF(OR(BE$4="",$A572&gt;TODAY()),0,IF(OR(INDEX($B572:$D572,BE$5)="F",AND(BE$6&gt;0,$A572&lt;BE$6),AND(BE$7&gt;0,$A572&gt;BE$7)),0,MAX(0,ROUND((INDEX($E572:$G572,BE$5)-SUMIFS(TF_Timer,TF_Tekniker,BE$4,TF_Dato,$A572))*2,0)/2)))</f>
        <v/>
      </c>
      <c r="BF572">
        <f>IF(OR(BF$4="",$A572&gt;TODAY()),0,IF(OR(INDEX($B572:$D572,BF$5)="F",AND(BF$6&gt;0,$A572&lt;BF$6),AND(BF$7&gt;0,$A572&gt;BF$7)),0,MAX(0,ROUND((INDEX($E572:$G572,BF$5)-SUMIFS(TF_Timer,TF_Tekniker,BF$4,TF_Dato,$A572))*2,0)/2)))</f>
        <v/>
      </c>
      <c r="BG572">
        <f>IF(OR(BG$4="",$A572&gt;TODAY()),0,IF(OR(INDEX($B572:$D572,BG$5)="F",AND(BG$6&gt;0,$A572&lt;BG$6),AND(BG$7&gt;0,$A572&gt;BG$7)),0,MAX(0,ROUND((INDEX($E572:$G572,BG$5)-SUMIFS(TF_Timer,TF_Tekniker,BG$4,TF_Dato,$A572))*2,0)/2)))</f>
        <v/>
      </c>
      <c r="BH572">
        <f>IF(OR(BH$4="",$A572&gt;TODAY()),0,IF(OR(INDEX($B572:$D572,BH$5)="F",AND(BH$6&gt;0,$A572&lt;BH$6),AND(BH$7&gt;0,$A572&gt;BH$7)),0,MAX(0,ROUND((INDEX($E572:$G572,BH$5)-SUMIFS(TF_Timer,TF_Tekniker,BH$4,TF_Dato,$A572))*2,0)/2)))</f>
        <v/>
      </c>
      <c r="BI572">
        <f>IF(OR(BI$4="",$A572&gt;TODAY()),0,IF(OR(INDEX($B572:$D572,BI$5)="F",AND(BI$6&gt;0,$A572&lt;BI$6),AND(BI$7&gt;0,$A572&gt;BI$7)),0,MAX(0,ROUND((INDEX($E572:$G572,BI$5)-SUMIFS(TF_Timer,TF_Tekniker,BI$4,TF_Dato,$A572))*2,0)/2)))</f>
        <v/>
      </c>
    </row>
    <row r="573">
      <c r="A573" s="64">
        <f>A572+1</f>
        <v/>
      </c>
      <c r="B573">
        <f>IF(MOD($A573-INDEX(SkiftStart,1),Syklus)&lt;DagK,"K",IF(MOD($A573-INDEX(SkiftStart,1),Syklus)&lt;DagK+DagH,"H",IF(MOD($A573-INDEX(SkiftStart,1),Syklus)&lt;DagK+DagH+DagD,"D","F")))</f>
        <v/>
      </c>
      <c r="C573">
        <f>IF(MOD($A573-INDEX(SkiftStart,2),Syklus)&lt;DagK,"K",IF(MOD($A573-INDEX(SkiftStart,2),Syklus)&lt;DagK+DagH,"H",IF(MOD($A573-INDEX(SkiftStart,2),Syklus)&lt;DagK+DagH+DagD,"D","F")))</f>
        <v/>
      </c>
      <c r="D573">
        <f>IF(MOD($A573-INDEX(SkiftStart,3),Syklus)&lt;DagK,"K",IF(MOD($A573-INDEX(SkiftStart,3),Syklus)&lt;DagK+DagH,"H",IF(MOD($A573-INDEX(SkiftStart,3),Syklus)&lt;DagK+DagH+DagD,"D","F")))</f>
        <v/>
      </c>
      <c r="E573">
        <f>IF(B573="F",0,IF(WEEKDAY($A573,2)=5,INDEX(TimerFr,MATCH(B573,FaseKode,0)),INDEX(TimerMT,MATCH(B573,FaseKode,0))))</f>
        <v/>
      </c>
      <c r="F573">
        <f>IF(C573="F",0,IF(WEEKDAY($A573,2)=5,INDEX(TimerFr,MATCH(C573,FaseKode,0)),INDEX(TimerMT,MATCH(C573,FaseKode,0))))</f>
        <v/>
      </c>
      <c r="G573">
        <f>IF(D573="F",0,IF(WEEKDAY($A573,2)=5,INDEX(TimerFr,MATCH(D573,FaseKode,0)),INDEX(TimerMT,MATCH(D573,FaseKode,0))))</f>
        <v/>
      </c>
      <c r="H573">
        <f>IF(OR(H$4="",$A573&gt;TODAY()),0,IF(OR(INDEX($B573:$D573,H$5)="F",AND(H$6&gt;0,$A573&lt;H$6),AND(H$7&gt;0,$A573&gt;H$7)),0,MAX(0,ROUND((INDEX($E573:$G573,H$5)-SUMIFS(TF_Timer,TF_Tekniker,H$4,TF_Dato,$A573))*2,0)/2)))</f>
        <v/>
      </c>
      <c r="I573">
        <f>IF(OR(I$4="",$A573&gt;TODAY()),0,IF(OR(INDEX($B573:$D573,I$5)="F",AND(I$6&gt;0,$A573&lt;I$6),AND(I$7&gt;0,$A573&gt;I$7)),0,MAX(0,ROUND((INDEX($E573:$G573,I$5)-SUMIFS(TF_Timer,TF_Tekniker,I$4,TF_Dato,$A573))*2,0)/2)))</f>
        <v/>
      </c>
      <c r="J573">
        <f>IF(OR(J$4="",$A573&gt;TODAY()),0,IF(OR(INDEX($B573:$D573,J$5)="F",AND(J$6&gt;0,$A573&lt;J$6),AND(J$7&gt;0,$A573&gt;J$7)),0,MAX(0,ROUND((INDEX($E573:$G573,J$5)-SUMIFS(TF_Timer,TF_Tekniker,J$4,TF_Dato,$A573))*2,0)/2)))</f>
        <v/>
      </c>
      <c r="K573">
        <f>IF(OR(K$4="",$A573&gt;TODAY()),0,IF(OR(INDEX($B573:$D573,K$5)="F",AND(K$6&gt;0,$A573&lt;K$6),AND(K$7&gt;0,$A573&gt;K$7)),0,MAX(0,ROUND((INDEX($E573:$G573,K$5)-SUMIFS(TF_Timer,TF_Tekniker,K$4,TF_Dato,$A573))*2,0)/2)))</f>
        <v/>
      </c>
      <c r="L573">
        <f>IF(OR(L$4="",$A573&gt;TODAY()),0,IF(OR(INDEX($B573:$D573,L$5)="F",AND(L$6&gt;0,$A573&lt;L$6),AND(L$7&gt;0,$A573&gt;L$7)),0,MAX(0,ROUND((INDEX($E573:$G573,L$5)-SUMIFS(TF_Timer,TF_Tekniker,L$4,TF_Dato,$A573))*2,0)/2)))</f>
        <v/>
      </c>
      <c r="M573">
        <f>IF(OR(M$4="",$A573&gt;TODAY()),0,IF(OR(INDEX($B573:$D573,M$5)="F",AND(M$6&gt;0,$A573&lt;M$6),AND(M$7&gt;0,$A573&gt;M$7)),0,MAX(0,ROUND((INDEX($E573:$G573,M$5)-SUMIFS(TF_Timer,TF_Tekniker,M$4,TF_Dato,$A573))*2,0)/2)))</f>
        <v/>
      </c>
      <c r="N573">
        <f>IF(OR(N$4="",$A573&gt;TODAY()),0,IF(OR(INDEX($B573:$D573,N$5)="F",AND(N$6&gt;0,$A573&lt;N$6),AND(N$7&gt;0,$A573&gt;N$7)),0,MAX(0,ROUND((INDEX($E573:$G573,N$5)-SUMIFS(TF_Timer,TF_Tekniker,N$4,TF_Dato,$A573))*2,0)/2)))</f>
        <v/>
      </c>
      <c r="O573">
        <f>IF(OR(O$4="",$A573&gt;TODAY()),0,IF(OR(INDEX($B573:$D573,O$5)="F",AND(O$6&gt;0,$A573&lt;O$6),AND(O$7&gt;0,$A573&gt;O$7)),0,MAX(0,ROUND((INDEX($E573:$G573,O$5)-SUMIFS(TF_Timer,TF_Tekniker,O$4,TF_Dato,$A573))*2,0)/2)))</f>
        <v/>
      </c>
      <c r="P573">
        <f>IF(OR(P$4="",$A573&gt;TODAY()),0,IF(OR(INDEX($B573:$D573,P$5)="F",AND(P$6&gt;0,$A573&lt;P$6),AND(P$7&gt;0,$A573&gt;P$7)),0,MAX(0,ROUND((INDEX($E573:$G573,P$5)-SUMIFS(TF_Timer,TF_Tekniker,P$4,TF_Dato,$A573))*2,0)/2)))</f>
        <v/>
      </c>
      <c r="Q573">
        <f>IF(OR(Q$4="",$A573&gt;TODAY()),0,IF(OR(INDEX($B573:$D573,Q$5)="F",AND(Q$6&gt;0,$A573&lt;Q$6),AND(Q$7&gt;0,$A573&gt;Q$7)),0,MAX(0,ROUND((INDEX($E573:$G573,Q$5)-SUMIFS(TF_Timer,TF_Tekniker,Q$4,TF_Dato,$A573))*2,0)/2)))</f>
        <v/>
      </c>
      <c r="R573">
        <f>IF(OR(R$4="",$A573&gt;TODAY()),0,IF(OR(INDEX($B573:$D573,R$5)="F",AND(R$6&gt;0,$A573&lt;R$6),AND(R$7&gt;0,$A573&gt;R$7)),0,MAX(0,ROUND((INDEX($E573:$G573,R$5)-SUMIFS(TF_Timer,TF_Tekniker,R$4,TF_Dato,$A573))*2,0)/2)))</f>
        <v/>
      </c>
      <c r="S573">
        <f>IF(OR(S$4="",$A573&gt;TODAY()),0,IF(OR(INDEX($B573:$D573,S$5)="F",AND(S$6&gt;0,$A573&lt;S$6),AND(S$7&gt;0,$A573&gt;S$7)),0,MAX(0,ROUND((INDEX($E573:$G573,S$5)-SUMIFS(TF_Timer,TF_Tekniker,S$4,TF_Dato,$A573))*2,0)/2)))</f>
        <v/>
      </c>
      <c r="T573">
        <f>IF(OR(T$4="",$A573&gt;TODAY()),0,IF(OR(INDEX($B573:$D573,T$5)="F",AND(T$6&gt;0,$A573&lt;T$6),AND(T$7&gt;0,$A573&gt;T$7)),0,MAX(0,ROUND((INDEX($E573:$G573,T$5)-SUMIFS(TF_Timer,TF_Tekniker,T$4,TF_Dato,$A573))*2,0)/2)))</f>
        <v/>
      </c>
      <c r="U573">
        <f>IF(OR(U$4="",$A573&gt;TODAY()),0,IF(OR(INDEX($B573:$D573,U$5)="F",AND(U$6&gt;0,$A573&lt;U$6),AND(U$7&gt;0,$A573&gt;U$7)),0,MAX(0,ROUND((INDEX($E573:$G573,U$5)-SUMIFS(TF_Timer,TF_Tekniker,U$4,TF_Dato,$A573))*2,0)/2)))</f>
        <v/>
      </c>
      <c r="V573">
        <f>IF(OR(V$4="",$A573&gt;TODAY()),0,IF(OR(INDEX($B573:$D573,V$5)="F",AND(V$6&gt;0,$A573&lt;V$6),AND(V$7&gt;0,$A573&gt;V$7)),0,MAX(0,ROUND((INDEX($E573:$G573,V$5)-SUMIFS(TF_Timer,TF_Tekniker,V$4,TF_Dato,$A573))*2,0)/2)))</f>
        <v/>
      </c>
      <c r="W573">
        <f>IF(OR(W$4="",$A573&gt;TODAY()),0,IF(OR(INDEX($B573:$D573,W$5)="F",AND(W$6&gt;0,$A573&lt;W$6),AND(W$7&gt;0,$A573&gt;W$7)),0,MAX(0,ROUND((INDEX($E573:$G573,W$5)-SUMIFS(TF_Timer,TF_Tekniker,W$4,TF_Dato,$A573))*2,0)/2)))</f>
        <v/>
      </c>
      <c r="X573">
        <f>IF(OR(X$4="",$A573&gt;TODAY()),0,IF(OR(INDEX($B573:$D573,X$5)="F",AND(X$6&gt;0,$A573&lt;X$6),AND(X$7&gt;0,$A573&gt;X$7)),0,MAX(0,ROUND((INDEX($E573:$G573,X$5)-SUMIFS(TF_Timer,TF_Tekniker,X$4,TF_Dato,$A573))*2,0)/2)))</f>
        <v/>
      </c>
      <c r="Y573">
        <f>IF(OR(Y$4="",$A573&gt;TODAY()),0,IF(OR(INDEX($B573:$D573,Y$5)="F",AND(Y$6&gt;0,$A573&lt;Y$6),AND(Y$7&gt;0,$A573&gt;Y$7)),0,MAX(0,ROUND((INDEX($E573:$G573,Y$5)-SUMIFS(TF_Timer,TF_Tekniker,Y$4,TF_Dato,$A573))*2,0)/2)))</f>
        <v/>
      </c>
      <c r="Z573">
        <f>IF(OR(Z$4="",$A573&gt;TODAY()),0,IF(OR(INDEX($B573:$D573,Z$5)="F",AND(Z$6&gt;0,$A573&lt;Z$6),AND(Z$7&gt;0,$A573&gt;Z$7)),0,MAX(0,ROUND((INDEX($E573:$G573,Z$5)-SUMIFS(TF_Timer,TF_Tekniker,Z$4,TF_Dato,$A573))*2,0)/2)))</f>
        <v/>
      </c>
      <c r="AA573">
        <f>IF(OR(AA$4="",$A573&gt;TODAY()),0,IF(OR(INDEX($B573:$D573,AA$5)="F",AND(AA$6&gt;0,$A573&lt;AA$6),AND(AA$7&gt;0,$A573&gt;AA$7)),0,MAX(0,ROUND((INDEX($E573:$G573,AA$5)-SUMIFS(TF_Timer,TF_Tekniker,AA$4,TF_Dato,$A573))*2,0)/2)))</f>
        <v/>
      </c>
      <c r="AB573">
        <f>IF(OR(AB$4="",$A573&gt;TODAY()),0,IF(OR(INDEX($B573:$D573,AB$5)="F",AND(AB$6&gt;0,$A573&lt;AB$6),AND(AB$7&gt;0,$A573&gt;AB$7)),0,MAX(0,ROUND((INDEX($E573:$G573,AB$5)-SUMIFS(TF_Timer,TF_Tekniker,AB$4,TF_Dato,$A573))*2,0)/2)))</f>
        <v/>
      </c>
      <c r="AC573">
        <f>IF(OR(AC$4="",$A573&gt;TODAY()),0,IF(OR(INDEX($B573:$D573,AC$5)="F",AND(AC$6&gt;0,$A573&lt;AC$6),AND(AC$7&gt;0,$A573&gt;AC$7)),0,MAX(0,ROUND((INDEX($E573:$G573,AC$5)-SUMIFS(TF_Timer,TF_Tekniker,AC$4,TF_Dato,$A573))*2,0)/2)))</f>
        <v/>
      </c>
      <c r="AD573">
        <f>IF(OR(AD$4="",$A573&gt;TODAY()),0,IF(OR(INDEX($B573:$D573,AD$5)="F",AND(AD$6&gt;0,$A573&lt;AD$6),AND(AD$7&gt;0,$A573&gt;AD$7)),0,MAX(0,ROUND((INDEX($E573:$G573,AD$5)-SUMIFS(TF_Timer,TF_Tekniker,AD$4,TF_Dato,$A573))*2,0)/2)))</f>
        <v/>
      </c>
      <c r="AE573">
        <f>IF(OR(AE$4="",$A573&gt;TODAY()),0,IF(OR(INDEX($B573:$D573,AE$5)="F",AND(AE$6&gt;0,$A573&lt;AE$6),AND(AE$7&gt;0,$A573&gt;AE$7)),0,MAX(0,ROUND((INDEX($E573:$G573,AE$5)-SUMIFS(TF_Timer,TF_Tekniker,AE$4,TF_Dato,$A573))*2,0)/2)))</f>
        <v/>
      </c>
      <c r="AF573">
        <f>IF(OR(AF$4="",$A573&gt;TODAY()),0,IF(OR(INDEX($B573:$D573,AF$5)="F",AND(AF$6&gt;0,$A573&lt;AF$6),AND(AF$7&gt;0,$A573&gt;AF$7)),0,MAX(0,ROUND((INDEX($E573:$G573,AF$5)-SUMIFS(TF_Timer,TF_Tekniker,AF$4,TF_Dato,$A573))*2,0)/2)))</f>
        <v/>
      </c>
      <c r="AG573">
        <f>IF(OR(AG$4="",$A573&gt;TODAY()),0,IF(OR(INDEX($B573:$D573,AG$5)="F",AND(AG$6&gt;0,$A573&lt;AG$6),AND(AG$7&gt;0,$A573&gt;AG$7)),0,MAX(0,ROUND((INDEX($E573:$G573,AG$5)-SUMIFS(TF_Timer,TF_Tekniker,AG$4,TF_Dato,$A573))*2,0)/2)))</f>
        <v/>
      </c>
      <c r="AH573">
        <f>IF(OR(AH$4="",$A573&gt;TODAY()),0,IF(OR(INDEX($B573:$D573,AH$5)="F",AND(AH$6&gt;0,$A573&lt;AH$6),AND(AH$7&gt;0,$A573&gt;AH$7)),0,MAX(0,ROUND((INDEX($E573:$G573,AH$5)-SUMIFS(TF_Timer,TF_Tekniker,AH$4,TF_Dato,$A573))*2,0)/2)))</f>
        <v/>
      </c>
      <c r="AI573">
        <f>IF(OR(AI$4="",$A573&gt;TODAY()),0,IF(OR(INDEX($B573:$D573,AI$5)="F",AND(AI$6&gt;0,$A573&lt;AI$6),AND(AI$7&gt;0,$A573&gt;AI$7)),0,MAX(0,ROUND((INDEX($E573:$G573,AI$5)-SUMIFS(TF_Timer,TF_Tekniker,AI$4,TF_Dato,$A573))*2,0)/2)))</f>
        <v/>
      </c>
      <c r="AJ573">
        <f>IF(OR(AJ$4="",$A573&gt;TODAY()),0,IF(OR(INDEX($B573:$D573,AJ$5)="F",AND(AJ$6&gt;0,$A573&lt;AJ$6),AND(AJ$7&gt;0,$A573&gt;AJ$7)),0,MAX(0,ROUND((INDEX($E573:$G573,AJ$5)-SUMIFS(TF_Timer,TF_Tekniker,AJ$4,TF_Dato,$A573))*2,0)/2)))</f>
        <v/>
      </c>
      <c r="AK573">
        <f>IF(OR(AK$4="",$A573&gt;TODAY()),0,IF(OR(INDEX($B573:$D573,AK$5)="F",AND(AK$6&gt;0,$A573&lt;AK$6),AND(AK$7&gt;0,$A573&gt;AK$7)),0,MAX(0,ROUND((INDEX($E573:$G573,AK$5)-SUMIFS(TF_Timer,TF_Tekniker,AK$4,TF_Dato,$A573))*2,0)/2)))</f>
        <v/>
      </c>
      <c r="AL573">
        <f>IF(OR(AL$4="",$A573&gt;TODAY()),0,IF(OR(INDEX($B573:$D573,AL$5)="F",AND(AL$6&gt;0,$A573&lt;AL$6),AND(AL$7&gt;0,$A573&gt;AL$7)),0,MAX(0,ROUND((INDEX($E573:$G573,AL$5)-SUMIFS(TF_Timer,TF_Tekniker,AL$4,TF_Dato,$A573))*2,0)/2)))</f>
        <v/>
      </c>
      <c r="AM573">
        <f>IF(OR(AM$4="",$A573&gt;TODAY()),0,IF(OR(INDEX($B573:$D573,AM$5)="F",AND(AM$6&gt;0,$A573&lt;AM$6),AND(AM$7&gt;0,$A573&gt;AM$7)),0,MAX(0,ROUND((INDEX($E573:$G573,AM$5)-SUMIFS(TF_Timer,TF_Tekniker,AM$4,TF_Dato,$A573))*2,0)/2)))</f>
        <v/>
      </c>
      <c r="AN573">
        <f>IF(OR(AN$4="",$A573&gt;TODAY()),0,IF(OR(INDEX($B573:$D573,AN$5)="F",AND(AN$6&gt;0,$A573&lt;AN$6),AND(AN$7&gt;0,$A573&gt;AN$7)),0,MAX(0,ROUND((INDEX($E573:$G573,AN$5)-SUMIFS(TF_Timer,TF_Tekniker,AN$4,TF_Dato,$A573))*2,0)/2)))</f>
        <v/>
      </c>
      <c r="AO573">
        <f>IF(OR(AO$4="",$A573&gt;TODAY()),0,IF(OR(INDEX($B573:$D573,AO$5)="F",AND(AO$6&gt;0,$A573&lt;AO$6),AND(AO$7&gt;0,$A573&gt;AO$7)),0,MAX(0,ROUND((INDEX($E573:$G573,AO$5)-SUMIFS(TF_Timer,TF_Tekniker,AO$4,TF_Dato,$A573))*2,0)/2)))</f>
        <v/>
      </c>
      <c r="AP573">
        <f>IF(OR(AP$4="",$A573&gt;TODAY()),0,IF(OR(INDEX($B573:$D573,AP$5)="F",AND(AP$6&gt;0,$A573&lt;AP$6),AND(AP$7&gt;0,$A573&gt;AP$7)),0,MAX(0,ROUND((INDEX($E573:$G573,AP$5)-SUMIFS(TF_Timer,TF_Tekniker,AP$4,TF_Dato,$A573))*2,0)/2)))</f>
        <v/>
      </c>
      <c r="AQ573">
        <f>IF(OR(AQ$4="",$A573&gt;TODAY()),0,IF(OR(INDEX($B573:$D573,AQ$5)="F",AND(AQ$6&gt;0,$A573&lt;AQ$6),AND(AQ$7&gt;0,$A573&gt;AQ$7)),0,MAX(0,ROUND((INDEX($E573:$G573,AQ$5)-SUMIFS(TF_Timer,TF_Tekniker,AQ$4,TF_Dato,$A573))*2,0)/2)))</f>
        <v/>
      </c>
      <c r="AR573">
        <f>IF(OR(AR$4="",$A573&gt;TODAY()),0,IF(OR(INDEX($B573:$D573,AR$5)="F",AND(AR$6&gt;0,$A573&lt;AR$6),AND(AR$7&gt;0,$A573&gt;AR$7)),0,MAX(0,ROUND((INDEX($E573:$G573,AR$5)-SUMIFS(TF_Timer,TF_Tekniker,AR$4,TF_Dato,$A573))*2,0)/2)))</f>
        <v/>
      </c>
      <c r="AS573">
        <f>IF(OR(AS$4="",$A573&gt;TODAY()),0,IF(OR(INDEX($B573:$D573,AS$5)="F",AND(AS$6&gt;0,$A573&lt;AS$6),AND(AS$7&gt;0,$A573&gt;AS$7)),0,MAX(0,ROUND((INDEX($E573:$G573,AS$5)-SUMIFS(TF_Timer,TF_Tekniker,AS$4,TF_Dato,$A573))*2,0)/2)))</f>
        <v/>
      </c>
      <c r="AT573">
        <f>IF(OR(AT$4="",$A573&gt;TODAY()),0,IF(OR(INDEX($B573:$D573,AT$5)="F",AND(AT$6&gt;0,$A573&lt;AT$6),AND(AT$7&gt;0,$A573&gt;AT$7)),0,MAX(0,ROUND((INDEX($E573:$G573,AT$5)-SUMIFS(TF_Timer,TF_Tekniker,AT$4,TF_Dato,$A573))*2,0)/2)))</f>
        <v/>
      </c>
      <c r="AU573">
        <f>IF(OR(AU$4="",$A573&gt;TODAY()),0,IF(OR(INDEX($B573:$D573,AU$5)="F",AND(AU$6&gt;0,$A573&lt;AU$6),AND(AU$7&gt;0,$A573&gt;AU$7)),0,MAX(0,ROUND((INDEX($E573:$G573,AU$5)-SUMIFS(TF_Timer,TF_Tekniker,AU$4,TF_Dato,$A573))*2,0)/2)))</f>
        <v/>
      </c>
      <c r="AV573">
        <f>IF(OR(AV$4="",$A573&gt;TODAY()),0,IF(OR(INDEX($B573:$D573,AV$5)="F",AND(AV$6&gt;0,$A573&lt;AV$6),AND(AV$7&gt;0,$A573&gt;AV$7)),0,MAX(0,ROUND((INDEX($E573:$G573,AV$5)-SUMIFS(TF_Timer,TF_Tekniker,AV$4,TF_Dato,$A573))*2,0)/2)))</f>
        <v/>
      </c>
      <c r="AW573">
        <f>IF(OR(AW$4="",$A573&gt;TODAY()),0,IF(OR(INDEX($B573:$D573,AW$5)="F",AND(AW$6&gt;0,$A573&lt;AW$6),AND(AW$7&gt;0,$A573&gt;AW$7)),0,MAX(0,ROUND((INDEX($E573:$G573,AW$5)-SUMIFS(TF_Timer,TF_Tekniker,AW$4,TF_Dato,$A573))*2,0)/2)))</f>
        <v/>
      </c>
      <c r="AX573">
        <f>IF(OR(AX$4="",$A573&gt;TODAY()),0,IF(OR(INDEX($B573:$D573,AX$5)="F",AND(AX$6&gt;0,$A573&lt;AX$6),AND(AX$7&gt;0,$A573&gt;AX$7)),0,MAX(0,ROUND((INDEX($E573:$G573,AX$5)-SUMIFS(TF_Timer,TF_Tekniker,AX$4,TF_Dato,$A573))*2,0)/2)))</f>
        <v/>
      </c>
      <c r="AY573">
        <f>IF(OR(AY$4="",$A573&gt;TODAY()),0,IF(OR(INDEX($B573:$D573,AY$5)="F",AND(AY$6&gt;0,$A573&lt;AY$6),AND(AY$7&gt;0,$A573&gt;AY$7)),0,MAX(0,ROUND((INDEX($E573:$G573,AY$5)-SUMIFS(TF_Timer,TF_Tekniker,AY$4,TF_Dato,$A573))*2,0)/2)))</f>
        <v/>
      </c>
      <c r="AZ573">
        <f>IF(OR(AZ$4="",$A573&gt;TODAY()),0,IF(OR(INDEX($B573:$D573,AZ$5)="F",AND(AZ$6&gt;0,$A573&lt;AZ$6),AND(AZ$7&gt;0,$A573&gt;AZ$7)),0,MAX(0,ROUND((INDEX($E573:$G573,AZ$5)-SUMIFS(TF_Timer,TF_Tekniker,AZ$4,TF_Dato,$A573))*2,0)/2)))</f>
        <v/>
      </c>
      <c r="BA573">
        <f>IF(OR(BA$4="",$A573&gt;TODAY()),0,IF(OR(INDEX($B573:$D573,BA$5)="F",AND(BA$6&gt;0,$A573&lt;BA$6),AND(BA$7&gt;0,$A573&gt;BA$7)),0,MAX(0,ROUND((INDEX($E573:$G573,BA$5)-SUMIFS(TF_Timer,TF_Tekniker,BA$4,TF_Dato,$A573))*2,0)/2)))</f>
        <v/>
      </c>
      <c r="BB573">
        <f>IF(OR(BB$4="",$A573&gt;TODAY()),0,IF(OR(INDEX($B573:$D573,BB$5)="F",AND(BB$6&gt;0,$A573&lt;BB$6),AND(BB$7&gt;0,$A573&gt;BB$7)),0,MAX(0,ROUND((INDEX($E573:$G573,BB$5)-SUMIFS(TF_Timer,TF_Tekniker,BB$4,TF_Dato,$A573))*2,0)/2)))</f>
        <v/>
      </c>
      <c r="BC573">
        <f>IF(OR(BC$4="",$A573&gt;TODAY()),0,IF(OR(INDEX($B573:$D573,BC$5)="F",AND(BC$6&gt;0,$A573&lt;BC$6),AND(BC$7&gt;0,$A573&gt;BC$7)),0,MAX(0,ROUND((INDEX($E573:$G573,BC$5)-SUMIFS(TF_Timer,TF_Tekniker,BC$4,TF_Dato,$A573))*2,0)/2)))</f>
        <v/>
      </c>
      <c r="BD573">
        <f>IF(OR(BD$4="",$A573&gt;TODAY()),0,IF(OR(INDEX($B573:$D573,BD$5)="F",AND(BD$6&gt;0,$A573&lt;BD$6),AND(BD$7&gt;0,$A573&gt;BD$7)),0,MAX(0,ROUND((INDEX($E573:$G573,BD$5)-SUMIFS(TF_Timer,TF_Tekniker,BD$4,TF_Dato,$A573))*2,0)/2)))</f>
        <v/>
      </c>
      <c r="BE573">
        <f>IF(OR(BE$4="",$A573&gt;TODAY()),0,IF(OR(INDEX($B573:$D573,BE$5)="F",AND(BE$6&gt;0,$A573&lt;BE$6),AND(BE$7&gt;0,$A573&gt;BE$7)),0,MAX(0,ROUND((INDEX($E573:$G573,BE$5)-SUMIFS(TF_Timer,TF_Tekniker,BE$4,TF_Dato,$A573))*2,0)/2)))</f>
        <v/>
      </c>
      <c r="BF573">
        <f>IF(OR(BF$4="",$A573&gt;TODAY()),0,IF(OR(INDEX($B573:$D573,BF$5)="F",AND(BF$6&gt;0,$A573&lt;BF$6),AND(BF$7&gt;0,$A573&gt;BF$7)),0,MAX(0,ROUND((INDEX($E573:$G573,BF$5)-SUMIFS(TF_Timer,TF_Tekniker,BF$4,TF_Dato,$A573))*2,0)/2)))</f>
        <v/>
      </c>
      <c r="BG573">
        <f>IF(OR(BG$4="",$A573&gt;TODAY()),0,IF(OR(INDEX($B573:$D573,BG$5)="F",AND(BG$6&gt;0,$A573&lt;BG$6),AND(BG$7&gt;0,$A573&gt;BG$7)),0,MAX(0,ROUND((INDEX($E573:$G573,BG$5)-SUMIFS(TF_Timer,TF_Tekniker,BG$4,TF_Dato,$A573))*2,0)/2)))</f>
        <v/>
      </c>
      <c r="BH573">
        <f>IF(OR(BH$4="",$A573&gt;TODAY()),0,IF(OR(INDEX($B573:$D573,BH$5)="F",AND(BH$6&gt;0,$A573&lt;BH$6),AND(BH$7&gt;0,$A573&gt;BH$7)),0,MAX(0,ROUND((INDEX($E573:$G573,BH$5)-SUMIFS(TF_Timer,TF_Tekniker,BH$4,TF_Dato,$A573))*2,0)/2)))</f>
        <v/>
      </c>
      <c r="BI573">
        <f>IF(OR(BI$4="",$A573&gt;TODAY()),0,IF(OR(INDEX($B573:$D573,BI$5)="F",AND(BI$6&gt;0,$A573&lt;BI$6),AND(BI$7&gt;0,$A573&gt;BI$7)),0,MAX(0,ROUND((INDEX($E573:$G573,BI$5)-SUMIFS(TF_Timer,TF_Tekniker,BI$4,TF_Dato,$A573))*2,0)/2)))</f>
        <v/>
      </c>
    </row>
    <row r="574">
      <c r="A574" s="64">
        <f>A573+1</f>
        <v/>
      </c>
      <c r="B574">
        <f>IF(MOD($A574-INDEX(SkiftStart,1),Syklus)&lt;DagK,"K",IF(MOD($A574-INDEX(SkiftStart,1),Syklus)&lt;DagK+DagH,"H",IF(MOD($A574-INDEX(SkiftStart,1),Syklus)&lt;DagK+DagH+DagD,"D","F")))</f>
        <v/>
      </c>
      <c r="C574">
        <f>IF(MOD($A574-INDEX(SkiftStart,2),Syklus)&lt;DagK,"K",IF(MOD($A574-INDEX(SkiftStart,2),Syklus)&lt;DagK+DagH,"H",IF(MOD($A574-INDEX(SkiftStart,2),Syklus)&lt;DagK+DagH+DagD,"D","F")))</f>
        <v/>
      </c>
      <c r="D574">
        <f>IF(MOD($A574-INDEX(SkiftStart,3),Syklus)&lt;DagK,"K",IF(MOD($A574-INDEX(SkiftStart,3),Syklus)&lt;DagK+DagH,"H",IF(MOD($A574-INDEX(SkiftStart,3),Syklus)&lt;DagK+DagH+DagD,"D","F")))</f>
        <v/>
      </c>
      <c r="E574">
        <f>IF(B574="F",0,IF(WEEKDAY($A574,2)=5,INDEX(TimerFr,MATCH(B574,FaseKode,0)),INDEX(TimerMT,MATCH(B574,FaseKode,0))))</f>
        <v/>
      </c>
      <c r="F574">
        <f>IF(C574="F",0,IF(WEEKDAY($A574,2)=5,INDEX(TimerFr,MATCH(C574,FaseKode,0)),INDEX(TimerMT,MATCH(C574,FaseKode,0))))</f>
        <v/>
      </c>
      <c r="G574">
        <f>IF(D574="F",0,IF(WEEKDAY($A574,2)=5,INDEX(TimerFr,MATCH(D574,FaseKode,0)),INDEX(TimerMT,MATCH(D574,FaseKode,0))))</f>
        <v/>
      </c>
      <c r="H574">
        <f>IF(OR(H$4="",$A574&gt;TODAY()),0,IF(OR(INDEX($B574:$D574,H$5)="F",AND(H$6&gt;0,$A574&lt;H$6),AND(H$7&gt;0,$A574&gt;H$7)),0,MAX(0,ROUND((INDEX($E574:$G574,H$5)-SUMIFS(TF_Timer,TF_Tekniker,H$4,TF_Dato,$A574))*2,0)/2)))</f>
        <v/>
      </c>
      <c r="I574">
        <f>IF(OR(I$4="",$A574&gt;TODAY()),0,IF(OR(INDEX($B574:$D574,I$5)="F",AND(I$6&gt;0,$A574&lt;I$6),AND(I$7&gt;0,$A574&gt;I$7)),0,MAX(0,ROUND((INDEX($E574:$G574,I$5)-SUMIFS(TF_Timer,TF_Tekniker,I$4,TF_Dato,$A574))*2,0)/2)))</f>
        <v/>
      </c>
      <c r="J574">
        <f>IF(OR(J$4="",$A574&gt;TODAY()),0,IF(OR(INDEX($B574:$D574,J$5)="F",AND(J$6&gt;0,$A574&lt;J$6),AND(J$7&gt;0,$A574&gt;J$7)),0,MAX(0,ROUND((INDEX($E574:$G574,J$5)-SUMIFS(TF_Timer,TF_Tekniker,J$4,TF_Dato,$A574))*2,0)/2)))</f>
        <v/>
      </c>
      <c r="K574">
        <f>IF(OR(K$4="",$A574&gt;TODAY()),0,IF(OR(INDEX($B574:$D574,K$5)="F",AND(K$6&gt;0,$A574&lt;K$6),AND(K$7&gt;0,$A574&gt;K$7)),0,MAX(0,ROUND((INDEX($E574:$G574,K$5)-SUMIFS(TF_Timer,TF_Tekniker,K$4,TF_Dato,$A574))*2,0)/2)))</f>
        <v/>
      </c>
      <c r="L574">
        <f>IF(OR(L$4="",$A574&gt;TODAY()),0,IF(OR(INDEX($B574:$D574,L$5)="F",AND(L$6&gt;0,$A574&lt;L$6),AND(L$7&gt;0,$A574&gt;L$7)),0,MAX(0,ROUND((INDEX($E574:$G574,L$5)-SUMIFS(TF_Timer,TF_Tekniker,L$4,TF_Dato,$A574))*2,0)/2)))</f>
        <v/>
      </c>
      <c r="M574">
        <f>IF(OR(M$4="",$A574&gt;TODAY()),0,IF(OR(INDEX($B574:$D574,M$5)="F",AND(M$6&gt;0,$A574&lt;M$6),AND(M$7&gt;0,$A574&gt;M$7)),0,MAX(0,ROUND((INDEX($E574:$G574,M$5)-SUMIFS(TF_Timer,TF_Tekniker,M$4,TF_Dato,$A574))*2,0)/2)))</f>
        <v/>
      </c>
      <c r="N574">
        <f>IF(OR(N$4="",$A574&gt;TODAY()),0,IF(OR(INDEX($B574:$D574,N$5)="F",AND(N$6&gt;0,$A574&lt;N$6),AND(N$7&gt;0,$A574&gt;N$7)),0,MAX(0,ROUND((INDEX($E574:$G574,N$5)-SUMIFS(TF_Timer,TF_Tekniker,N$4,TF_Dato,$A574))*2,0)/2)))</f>
        <v/>
      </c>
      <c r="O574">
        <f>IF(OR(O$4="",$A574&gt;TODAY()),0,IF(OR(INDEX($B574:$D574,O$5)="F",AND(O$6&gt;0,$A574&lt;O$6),AND(O$7&gt;0,$A574&gt;O$7)),0,MAX(0,ROUND((INDEX($E574:$G574,O$5)-SUMIFS(TF_Timer,TF_Tekniker,O$4,TF_Dato,$A574))*2,0)/2)))</f>
        <v/>
      </c>
      <c r="P574">
        <f>IF(OR(P$4="",$A574&gt;TODAY()),0,IF(OR(INDEX($B574:$D574,P$5)="F",AND(P$6&gt;0,$A574&lt;P$6),AND(P$7&gt;0,$A574&gt;P$7)),0,MAX(0,ROUND((INDEX($E574:$G574,P$5)-SUMIFS(TF_Timer,TF_Tekniker,P$4,TF_Dato,$A574))*2,0)/2)))</f>
        <v/>
      </c>
      <c r="Q574">
        <f>IF(OR(Q$4="",$A574&gt;TODAY()),0,IF(OR(INDEX($B574:$D574,Q$5)="F",AND(Q$6&gt;0,$A574&lt;Q$6),AND(Q$7&gt;0,$A574&gt;Q$7)),0,MAX(0,ROUND((INDEX($E574:$G574,Q$5)-SUMIFS(TF_Timer,TF_Tekniker,Q$4,TF_Dato,$A574))*2,0)/2)))</f>
        <v/>
      </c>
      <c r="R574">
        <f>IF(OR(R$4="",$A574&gt;TODAY()),0,IF(OR(INDEX($B574:$D574,R$5)="F",AND(R$6&gt;0,$A574&lt;R$6),AND(R$7&gt;0,$A574&gt;R$7)),0,MAX(0,ROUND((INDEX($E574:$G574,R$5)-SUMIFS(TF_Timer,TF_Tekniker,R$4,TF_Dato,$A574))*2,0)/2)))</f>
        <v/>
      </c>
      <c r="S574">
        <f>IF(OR(S$4="",$A574&gt;TODAY()),0,IF(OR(INDEX($B574:$D574,S$5)="F",AND(S$6&gt;0,$A574&lt;S$6),AND(S$7&gt;0,$A574&gt;S$7)),0,MAX(0,ROUND((INDEX($E574:$G574,S$5)-SUMIFS(TF_Timer,TF_Tekniker,S$4,TF_Dato,$A574))*2,0)/2)))</f>
        <v/>
      </c>
      <c r="T574">
        <f>IF(OR(T$4="",$A574&gt;TODAY()),0,IF(OR(INDEX($B574:$D574,T$5)="F",AND(T$6&gt;0,$A574&lt;T$6),AND(T$7&gt;0,$A574&gt;T$7)),0,MAX(0,ROUND((INDEX($E574:$G574,T$5)-SUMIFS(TF_Timer,TF_Tekniker,T$4,TF_Dato,$A574))*2,0)/2)))</f>
        <v/>
      </c>
      <c r="U574">
        <f>IF(OR(U$4="",$A574&gt;TODAY()),0,IF(OR(INDEX($B574:$D574,U$5)="F",AND(U$6&gt;0,$A574&lt;U$6),AND(U$7&gt;0,$A574&gt;U$7)),0,MAX(0,ROUND((INDEX($E574:$G574,U$5)-SUMIFS(TF_Timer,TF_Tekniker,U$4,TF_Dato,$A574))*2,0)/2)))</f>
        <v/>
      </c>
      <c r="V574">
        <f>IF(OR(V$4="",$A574&gt;TODAY()),0,IF(OR(INDEX($B574:$D574,V$5)="F",AND(V$6&gt;0,$A574&lt;V$6),AND(V$7&gt;0,$A574&gt;V$7)),0,MAX(0,ROUND((INDEX($E574:$G574,V$5)-SUMIFS(TF_Timer,TF_Tekniker,V$4,TF_Dato,$A574))*2,0)/2)))</f>
        <v/>
      </c>
      <c r="W574">
        <f>IF(OR(W$4="",$A574&gt;TODAY()),0,IF(OR(INDEX($B574:$D574,W$5)="F",AND(W$6&gt;0,$A574&lt;W$6),AND(W$7&gt;0,$A574&gt;W$7)),0,MAX(0,ROUND((INDEX($E574:$G574,W$5)-SUMIFS(TF_Timer,TF_Tekniker,W$4,TF_Dato,$A574))*2,0)/2)))</f>
        <v/>
      </c>
      <c r="X574">
        <f>IF(OR(X$4="",$A574&gt;TODAY()),0,IF(OR(INDEX($B574:$D574,X$5)="F",AND(X$6&gt;0,$A574&lt;X$6),AND(X$7&gt;0,$A574&gt;X$7)),0,MAX(0,ROUND((INDEX($E574:$G574,X$5)-SUMIFS(TF_Timer,TF_Tekniker,X$4,TF_Dato,$A574))*2,0)/2)))</f>
        <v/>
      </c>
      <c r="Y574">
        <f>IF(OR(Y$4="",$A574&gt;TODAY()),0,IF(OR(INDEX($B574:$D574,Y$5)="F",AND(Y$6&gt;0,$A574&lt;Y$6),AND(Y$7&gt;0,$A574&gt;Y$7)),0,MAX(0,ROUND((INDEX($E574:$G574,Y$5)-SUMIFS(TF_Timer,TF_Tekniker,Y$4,TF_Dato,$A574))*2,0)/2)))</f>
        <v/>
      </c>
      <c r="Z574">
        <f>IF(OR(Z$4="",$A574&gt;TODAY()),0,IF(OR(INDEX($B574:$D574,Z$5)="F",AND(Z$6&gt;0,$A574&lt;Z$6),AND(Z$7&gt;0,$A574&gt;Z$7)),0,MAX(0,ROUND((INDEX($E574:$G574,Z$5)-SUMIFS(TF_Timer,TF_Tekniker,Z$4,TF_Dato,$A574))*2,0)/2)))</f>
        <v/>
      </c>
      <c r="AA574">
        <f>IF(OR(AA$4="",$A574&gt;TODAY()),0,IF(OR(INDEX($B574:$D574,AA$5)="F",AND(AA$6&gt;0,$A574&lt;AA$6),AND(AA$7&gt;0,$A574&gt;AA$7)),0,MAX(0,ROUND((INDEX($E574:$G574,AA$5)-SUMIFS(TF_Timer,TF_Tekniker,AA$4,TF_Dato,$A574))*2,0)/2)))</f>
        <v/>
      </c>
      <c r="AB574">
        <f>IF(OR(AB$4="",$A574&gt;TODAY()),0,IF(OR(INDEX($B574:$D574,AB$5)="F",AND(AB$6&gt;0,$A574&lt;AB$6),AND(AB$7&gt;0,$A574&gt;AB$7)),0,MAX(0,ROUND((INDEX($E574:$G574,AB$5)-SUMIFS(TF_Timer,TF_Tekniker,AB$4,TF_Dato,$A574))*2,0)/2)))</f>
        <v/>
      </c>
      <c r="AC574">
        <f>IF(OR(AC$4="",$A574&gt;TODAY()),0,IF(OR(INDEX($B574:$D574,AC$5)="F",AND(AC$6&gt;0,$A574&lt;AC$6),AND(AC$7&gt;0,$A574&gt;AC$7)),0,MAX(0,ROUND((INDEX($E574:$G574,AC$5)-SUMIFS(TF_Timer,TF_Tekniker,AC$4,TF_Dato,$A574))*2,0)/2)))</f>
        <v/>
      </c>
      <c r="AD574">
        <f>IF(OR(AD$4="",$A574&gt;TODAY()),0,IF(OR(INDEX($B574:$D574,AD$5)="F",AND(AD$6&gt;0,$A574&lt;AD$6),AND(AD$7&gt;0,$A574&gt;AD$7)),0,MAX(0,ROUND((INDEX($E574:$G574,AD$5)-SUMIFS(TF_Timer,TF_Tekniker,AD$4,TF_Dato,$A574))*2,0)/2)))</f>
        <v/>
      </c>
      <c r="AE574">
        <f>IF(OR(AE$4="",$A574&gt;TODAY()),0,IF(OR(INDEX($B574:$D574,AE$5)="F",AND(AE$6&gt;0,$A574&lt;AE$6),AND(AE$7&gt;0,$A574&gt;AE$7)),0,MAX(0,ROUND((INDEX($E574:$G574,AE$5)-SUMIFS(TF_Timer,TF_Tekniker,AE$4,TF_Dato,$A574))*2,0)/2)))</f>
        <v/>
      </c>
      <c r="AF574">
        <f>IF(OR(AF$4="",$A574&gt;TODAY()),0,IF(OR(INDEX($B574:$D574,AF$5)="F",AND(AF$6&gt;0,$A574&lt;AF$6),AND(AF$7&gt;0,$A574&gt;AF$7)),0,MAX(0,ROUND((INDEX($E574:$G574,AF$5)-SUMIFS(TF_Timer,TF_Tekniker,AF$4,TF_Dato,$A574))*2,0)/2)))</f>
        <v/>
      </c>
      <c r="AG574">
        <f>IF(OR(AG$4="",$A574&gt;TODAY()),0,IF(OR(INDEX($B574:$D574,AG$5)="F",AND(AG$6&gt;0,$A574&lt;AG$6),AND(AG$7&gt;0,$A574&gt;AG$7)),0,MAX(0,ROUND((INDEX($E574:$G574,AG$5)-SUMIFS(TF_Timer,TF_Tekniker,AG$4,TF_Dato,$A574))*2,0)/2)))</f>
        <v/>
      </c>
      <c r="AH574">
        <f>IF(OR(AH$4="",$A574&gt;TODAY()),0,IF(OR(INDEX($B574:$D574,AH$5)="F",AND(AH$6&gt;0,$A574&lt;AH$6),AND(AH$7&gt;0,$A574&gt;AH$7)),0,MAX(0,ROUND((INDEX($E574:$G574,AH$5)-SUMIFS(TF_Timer,TF_Tekniker,AH$4,TF_Dato,$A574))*2,0)/2)))</f>
        <v/>
      </c>
      <c r="AI574">
        <f>IF(OR(AI$4="",$A574&gt;TODAY()),0,IF(OR(INDEX($B574:$D574,AI$5)="F",AND(AI$6&gt;0,$A574&lt;AI$6),AND(AI$7&gt;0,$A574&gt;AI$7)),0,MAX(0,ROUND((INDEX($E574:$G574,AI$5)-SUMIFS(TF_Timer,TF_Tekniker,AI$4,TF_Dato,$A574))*2,0)/2)))</f>
        <v/>
      </c>
      <c r="AJ574">
        <f>IF(OR(AJ$4="",$A574&gt;TODAY()),0,IF(OR(INDEX($B574:$D574,AJ$5)="F",AND(AJ$6&gt;0,$A574&lt;AJ$6),AND(AJ$7&gt;0,$A574&gt;AJ$7)),0,MAX(0,ROUND((INDEX($E574:$G574,AJ$5)-SUMIFS(TF_Timer,TF_Tekniker,AJ$4,TF_Dato,$A574))*2,0)/2)))</f>
        <v/>
      </c>
      <c r="AK574">
        <f>IF(OR(AK$4="",$A574&gt;TODAY()),0,IF(OR(INDEX($B574:$D574,AK$5)="F",AND(AK$6&gt;0,$A574&lt;AK$6),AND(AK$7&gt;0,$A574&gt;AK$7)),0,MAX(0,ROUND((INDEX($E574:$G574,AK$5)-SUMIFS(TF_Timer,TF_Tekniker,AK$4,TF_Dato,$A574))*2,0)/2)))</f>
        <v/>
      </c>
      <c r="AL574">
        <f>IF(OR(AL$4="",$A574&gt;TODAY()),0,IF(OR(INDEX($B574:$D574,AL$5)="F",AND(AL$6&gt;0,$A574&lt;AL$6),AND(AL$7&gt;0,$A574&gt;AL$7)),0,MAX(0,ROUND((INDEX($E574:$G574,AL$5)-SUMIFS(TF_Timer,TF_Tekniker,AL$4,TF_Dato,$A574))*2,0)/2)))</f>
        <v/>
      </c>
      <c r="AM574">
        <f>IF(OR(AM$4="",$A574&gt;TODAY()),0,IF(OR(INDEX($B574:$D574,AM$5)="F",AND(AM$6&gt;0,$A574&lt;AM$6),AND(AM$7&gt;0,$A574&gt;AM$7)),0,MAX(0,ROUND((INDEX($E574:$G574,AM$5)-SUMIFS(TF_Timer,TF_Tekniker,AM$4,TF_Dato,$A574))*2,0)/2)))</f>
        <v/>
      </c>
      <c r="AN574">
        <f>IF(OR(AN$4="",$A574&gt;TODAY()),0,IF(OR(INDEX($B574:$D574,AN$5)="F",AND(AN$6&gt;0,$A574&lt;AN$6),AND(AN$7&gt;0,$A574&gt;AN$7)),0,MAX(0,ROUND((INDEX($E574:$G574,AN$5)-SUMIFS(TF_Timer,TF_Tekniker,AN$4,TF_Dato,$A574))*2,0)/2)))</f>
        <v/>
      </c>
      <c r="AO574">
        <f>IF(OR(AO$4="",$A574&gt;TODAY()),0,IF(OR(INDEX($B574:$D574,AO$5)="F",AND(AO$6&gt;0,$A574&lt;AO$6),AND(AO$7&gt;0,$A574&gt;AO$7)),0,MAX(0,ROUND((INDEX($E574:$G574,AO$5)-SUMIFS(TF_Timer,TF_Tekniker,AO$4,TF_Dato,$A574))*2,0)/2)))</f>
        <v/>
      </c>
      <c r="AP574">
        <f>IF(OR(AP$4="",$A574&gt;TODAY()),0,IF(OR(INDEX($B574:$D574,AP$5)="F",AND(AP$6&gt;0,$A574&lt;AP$6),AND(AP$7&gt;0,$A574&gt;AP$7)),0,MAX(0,ROUND((INDEX($E574:$G574,AP$5)-SUMIFS(TF_Timer,TF_Tekniker,AP$4,TF_Dato,$A574))*2,0)/2)))</f>
        <v/>
      </c>
      <c r="AQ574">
        <f>IF(OR(AQ$4="",$A574&gt;TODAY()),0,IF(OR(INDEX($B574:$D574,AQ$5)="F",AND(AQ$6&gt;0,$A574&lt;AQ$6),AND(AQ$7&gt;0,$A574&gt;AQ$7)),0,MAX(0,ROUND((INDEX($E574:$G574,AQ$5)-SUMIFS(TF_Timer,TF_Tekniker,AQ$4,TF_Dato,$A574))*2,0)/2)))</f>
        <v/>
      </c>
      <c r="AR574">
        <f>IF(OR(AR$4="",$A574&gt;TODAY()),0,IF(OR(INDEX($B574:$D574,AR$5)="F",AND(AR$6&gt;0,$A574&lt;AR$6),AND(AR$7&gt;0,$A574&gt;AR$7)),0,MAX(0,ROUND((INDEX($E574:$G574,AR$5)-SUMIFS(TF_Timer,TF_Tekniker,AR$4,TF_Dato,$A574))*2,0)/2)))</f>
        <v/>
      </c>
      <c r="AS574">
        <f>IF(OR(AS$4="",$A574&gt;TODAY()),0,IF(OR(INDEX($B574:$D574,AS$5)="F",AND(AS$6&gt;0,$A574&lt;AS$6),AND(AS$7&gt;0,$A574&gt;AS$7)),0,MAX(0,ROUND((INDEX($E574:$G574,AS$5)-SUMIFS(TF_Timer,TF_Tekniker,AS$4,TF_Dato,$A574))*2,0)/2)))</f>
        <v/>
      </c>
      <c r="AT574">
        <f>IF(OR(AT$4="",$A574&gt;TODAY()),0,IF(OR(INDEX($B574:$D574,AT$5)="F",AND(AT$6&gt;0,$A574&lt;AT$6),AND(AT$7&gt;0,$A574&gt;AT$7)),0,MAX(0,ROUND((INDEX($E574:$G574,AT$5)-SUMIFS(TF_Timer,TF_Tekniker,AT$4,TF_Dato,$A574))*2,0)/2)))</f>
        <v/>
      </c>
      <c r="AU574">
        <f>IF(OR(AU$4="",$A574&gt;TODAY()),0,IF(OR(INDEX($B574:$D574,AU$5)="F",AND(AU$6&gt;0,$A574&lt;AU$6),AND(AU$7&gt;0,$A574&gt;AU$7)),0,MAX(0,ROUND((INDEX($E574:$G574,AU$5)-SUMIFS(TF_Timer,TF_Tekniker,AU$4,TF_Dato,$A574))*2,0)/2)))</f>
        <v/>
      </c>
      <c r="AV574">
        <f>IF(OR(AV$4="",$A574&gt;TODAY()),0,IF(OR(INDEX($B574:$D574,AV$5)="F",AND(AV$6&gt;0,$A574&lt;AV$6),AND(AV$7&gt;0,$A574&gt;AV$7)),0,MAX(0,ROUND((INDEX($E574:$G574,AV$5)-SUMIFS(TF_Timer,TF_Tekniker,AV$4,TF_Dato,$A574))*2,0)/2)))</f>
        <v/>
      </c>
      <c r="AW574">
        <f>IF(OR(AW$4="",$A574&gt;TODAY()),0,IF(OR(INDEX($B574:$D574,AW$5)="F",AND(AW$6&gt;0,$A574&lt;AW$6),AND(AW$7&gt;0,$A574&gt;AW$7)),0,MAX(0,ROUND((INDEX($E574:$G574,AW$5)-SUMIFS(TF_Timer,TF_Tekniker,AW$4,TF_Dato,$A574))*2,0)/2)))</f>
        <v/>
      </c>
      <c r="AX574">
        <f>IF(OR(AX$4="",$A574&gt;TODAY()),0,IF(OR(INDEX($B574:$D574,AX$5)="F",AND(AX$6&gt;0,$A574&lt;AX$6),AND(AX$7&gt;0,$A574&gt;AX$7)),0,MAX(0,ROUND((INDEX($E574:$G574,AX$5)-SUMIFS(TF_Timer,TF_Tekniker,AX$4,TF_Dato,$A574))*2,0)/2)))</f>
        <v/>
      </c>
      <c r="AY574">
        <f>IF(OR(AY$4="",$A574&gt;TODAY()),0,IF(OR(INDEX($B574:$D574,AY$5)="F",AND(AY$6&gt;0,$A574&lt;AY$6),AND(AY$7&gt;0,$A574&gt;AY$7)),0,MAX(0,ROUND((INDEX($E574:$G574,AY$5)-SUMIFS(TF_Timer,TF_Tekniker,AY$4,TF_Dato,$A574))*2,0)/2)))</f>
        <v/>
      </c>
      <c r="AZ574">
        <f>IF(OR(AZ$4="",$A574&gt;TODAY()),0,IF(OR(INDEX($B574:$D574,AZ$5)="F",AND(AZ$6&gt;0,$A574&lt;AZ$6),AND(AZ$7&gt;0,$A574&gt;AZ$7)),0,MAX(0,ROUND((INDEX($E574:$G574,AZ$5)-SUMIFS(TF_Timer,TF_Tekniker,AZ$4,TF_Dato,$A574))*2,0)/2)))</f>
        <v/>
      </c>
      <c r="BA574">
        <f>IF(OR(BA$4="",$A574&gt;TODAY()),0,IF(OR(INDEX($B574:$D574,BA$5)="F",AND(BA$6&gt;0,$A574&lt;BA$6),AND(BA$7&gt;0,$A574&gt;BA$7)),0,MAX(0,ROUND((INDEX($E574:$G574,BA$5)-SUMIFS(TF_Timer,TF_Tekniker,BA$4,TF_Dato,$A574))*2,0)/2)))</f>
        <v/>
      </c>
      <c r="BB574">
        <f>IF(OR(BB$4="",$A574&gt;TODAY()),0,IF(OR(INDEX($B574:$D574,BB$5)="F",AND(BB$6&gt;0,$A574&lt;BB$6),AND(BB$7&gt;0,$A574&gt;BB$7)),0,MAX(0,ROUND((INDEX($E574:$G574,BB$5)-SUMIFS(TF_Timer,TF_Tekniker,BB$4,TF_Dato,$A574))*2,0)/2)))</f>
        <v/>
      </c>
      <c r="BC574">
        <f>IF(OR(BC$4="",$A574&gt;TODAY()),0,IF(OR(INDEX($B574:$D574,BC$5)="F",AND(BC$6&gt;0,$A574&lt;BC$6),AND(BC$7&gt;0,$A574&gt;BC$7)),0,MAX(0,ROUND((INDEX($E574:$G574,BC$5)-SUMIFS(TF_Timer,TF_Tekniker,BC$4,TF_Dato,$A574))*2,0)/2)))</f>
        <v/>
      </c>
      <c r="BD574">
        <f>IF(OR(BD$4="",$A574&gt;TODAY()),0,IF(OR(INDEX($B574:$D574,BD$5)="F",AND(BD$6&gt;0,$A574&lt;BD$6),AND(BD$7&gt;0,$A574&gt;BD$7)),0,MAX(0,ROUND((INDEX($E574:$G574,BD$5)-SUMIFS(TF_Timer,TF_Tekniker,BD$4,TF_Dato,$A574))*2,0)/2)))</f>
        <v/>
      </c>
      <c r="BE574">
        <f>IF(OR(BE$4="",$A574&gt;TODAY()),0,IF(OR(INDEX($B574:$D574,BE$5)="F",AND(BE$6&gt;0,$A574&lt;BE$6),AND(BE$7&gt;0,$A574&gt;BE$7)),0,MAX(0,ROUND((INDEX($E574:$G574,BE$5)-SUMIFS(TF_Timer,TF_Tekniker,BE$4,TF_Dato,$A574))*2,0)/2)))</f>
        <v/>
      </c>
      <c r="BF574">
        <f>IF(OR(BF$4="",$A574&gt;TODAY()),0,IF(OR(INDEX($B574:$D574,BF$5)="F",AND(BF$6&gt;0,$A574&lt;BF$6),AND(BF$7&gt;0,$A574&gt;BF$7)),0,MAX(0,ROUND((INDEX($E574:$G574,BF$5)-SUMIFS(TF_Timer,TF_Tekniker,BF$4,TF_Dato,$A574))*2,0)/2)))</f>
        <v/>
      </c>
      <c r="BG574">
        <f>IF(OR(BG$4="",$A574&gt;TODAY()),0,IF(OR(INDEX($B574:$D574,BG$5)="F",AND(BG$6&gt;0,$A574&lt;BG$6),AND(BG$7&gt;0,$A574&gt;BG$7)),0,MAX(0,ROUND((INDEX($E574:$G574,BG$5)-SUMIFS(TF_Timer,TF_Tekniker,BG$4,TF_Dato,$A574))*2,0)/2)))</f>
        <v/>
      </c>
      <c r="BH574">
        <f>IF(OR(BH$4="",$A574&gt;TODAY()),0,IF(OR(INDEX($B574:$D574,BH$5)="F",AND(BH$6&gt;0,$A574&lt;BH$6),AND(BH$7&gt;0,$A574&gt;BH$7)),0,MAX(0,ROUND((INDEX($E574:$G574,BH$5)-SUMIFS(TF_Timer,TF_Tekniker,BH$4,TF_Dato,$A574))*2,0)/2)))</f>
        <v/>
      </c>
      <c r="BI574">
        <f>IF(OR(BI$4="",$A574&gt;TODAY()),0,IF(OR(INDEX($B574:$D574,BI$5)="F",AND(BI$6&gt;0,$A574&lt;BI$6),AND(BI$7&gt;0,$A574&gt;BI$7)),0,MAX(0,ROUND((INDEX($E574:$G574,BI$5)-SUMIFS(TF_Timer,TF_Tekniker,BI$4,TF_Dato,$A574))*2,0)/2)))</f>
        <v/>
      </c>
    </row>
    <row r="575">
      <c r="A575" s="64">
        <f>A574+1</f>
        <v/>
      </c>
      <c r="B575">
        <f>IF(MOD($A575-INDEX(SkiftStart,1),Syklus)&lt;DagK,"K",IF(MOD($A575-INDEX(SkiftStart,1),Syklus)&lt;DagK+DagH,"H",IF(MOD($A575-INDEX(SkiftStart,1),Syklus)&lt;DagK+DagH+DagD,"D","F")))</f>
        <v/>
      </c>
      <c r="C575">
        <f>IF(MOD($A575-INDEX(SkiftStart,2),Syklus)&lt;DagK,"K",IF(MOD($A575-INDEX(SkiftStart,2),Syklus)&lt;DagK+DagH,"H",IF(MOD($A575-INDEX(SkiftStart,2),Syklus)&lt;DagK+DagH+DagD,"D","F")))</f>
        <v/>
      </c>
      <c r="D575">
        <f>IF(MOD($A575-INDEX(SkiftStart,3),Syklus)&lt;DagK,"K",IF(MOD($A575-INDEX(SkiftStart,3),Syklus)&lt;DagK+DagH,"H",IF(MOD($A575-INDEX(SkiftStart,3),Syklus)&lt;DagK+DagH+DagD,"D","F")))</f>
        <v/>
      </c>
      <c r="E575">
        <f>IF(B575="F",0,IF(WEEKDAY($A575,2)=5,INDEX(TimerFr,MATCH(B575,FaseKode,0)),INDEX(TimerMT,MATCH(B575,FaseKode,0))))</f>
        <v/>
      </c>
      <c r="F575">
        <f>IF(C575="F",0,IF(WEEKDAY($A575,2)=5,INDEX(TimerFr,MATCH(C575,FaseKode,0)),INDEX(TimerMT,MATCH(C575,FaseKode,0))))</f>
        <v/>
      </c>
      <c r="G575">
        <f>IF(D575="F",0,IF(WEEKDAY($A575,2)=5,INDEX(TimerFr,MATCH(D575,FaseKode,0)),INDEX(TimerMT,MATCH(D575,FaseKode,0))))</f>
        <v/>
      </c>
      <c r="H575">
        <f>IF(OR(H$4="",$A575&gt;TODAY()),0,IF(OR(INDEX($B575:$D575,H$5)="F",AND(H$6&gt;0,$A575&lt;H$6),AND(H$7&gt;0,$A575&gt;H$7)),0,MAX(0,ROUND((INDEX($E575:$G575,H$5)-SUMIFS(TF_Timer,TF_Tekniker,H$4,TF_Dato,$A575))*2,0)/2)))</f>
        <v/>
      </c>
      <c r="I575">
        <f>IF(OR(I$4="",$A575&gt;TODAY()),0,IF(OR(INDEX($B575:$D575,I$5)="F",AND(I$6&gt;0,$A575&lt;I$6),AND(I$7&gt;0,$A575&gt;I$7)),0,MAX(0,ROUND((INDEX($E575:$G575,I$5)-SUMIFS(TF_Timer,TF_Tekniker,I$4,TF_Dato,$A575))*2,0)/2)))</f>
        <v/>
      </c>
      <c r="J575">
        <f>IF(OR(J$4="",$A575&gt;TODAY()),0,IF(OR(INDEX($B575:$D575,J$5)="F",AND(J$6&gt;0,$A575&lt;J$6),AND(J$7&gt;0,$A575&gt;J$7)),0,MAX(0,ROUND((INDEX($E575:$G575,J$5)-SUMIFS(TF_Timer,TF_Tekniker,J$4,TF_Dato,$A575))*2,0)/2)))</f>
        <v/>
      </c>
      <c r="K575">
        <f>IF(OR(K$4="",$A575&gt;TODAY()),0,IF(OR(INDEX($B575:$D575,K$5)="F",AND(K$6&gt;0,$A575&lt;K$6),AND(K$7&gt;0,$A575&gt;K$7)),0,MAX(0,ROUND((INDEX($E575:$G575,K$5)-SUMIFS(TF_Timer,TF_Tekniker,K$4,TF_Dato,$A575))*2,0)/2)))</f>
        <v/>
      </c>
      <c r="L575">
        <f>IF(OR(L$4="",$A575&gt;TODAY()),0,IF(OR(INDEX($B575:$D575,L$5)="F",AND(L$6&gt;0,$A575&lt;L$6),AND(L$7&gt;0,$A575&gt;L$7)),0,MAX(0,ROUND((INDEX($E575:$G575,L$5)-SUMIFS(TF_Timer,TF_Tekniker,L$4,TF_Dato,$A575))*2,0)/2)))</f>
        <v/>
      </c>
      <c r="M575">
        <f>IF(OR(M$4="",$A575&gt;TODAY()),0,IF(OR(INDEX($B575:$D575,M$5)="F",AND(M$6&gt;0,$A575&lt;M$6),AND(M$7&gt;0,$A575&gt;M$7)),0,MAX(0,ROUND((INDEX($E575:$G575,M$5)-SUMIFS(TF_Timer,TF_Tekniker,M$4,TF_Dato,$A575))*2,0)/2)))</f>
        <v/>
      </c>
      <c r="N575">
        <f>IF(OR(N$4="",$A575&gt;TODAY()),0,IF(OR(INDEX($B575:$D575,N$5)="F",AND(N$6&gt;0,$A575&lt;N$6),AND(N$7&gt;0,$A575&gt;N$7)),0,MAX(0,ROUND((INDEX($E575:$G575,N$5)-SUMIFS(TF_Timer,TF_Tekniker,N$4,TF_Dato,$A575))*2,0)/2)))</f>
        <v/>
      </c>
      <c r="O575">
        <f>IF(OR(O$4="",$A575&gt;TODAY()),0,IF(OR(INDEX($B575:$D575,O$5)="F",AND(O$6&gt;0,$A575&lt;O$6),AND(O$7&gt;0,$A575&gt;O$7)),0,MAX(0,ROUND((INDEX($E575:$G575,O$5)-SUMIFS(TF_Timer,TF_Tekniker,O$4,TF_Dato,$A575))*2,0)/2)))</f>
        <v/>
      </c>
      <c r="P575">
        <f>IF(OR(P$4="",$A575&gt;TODAY()),0,IF(OR(INDEX($B575:$D575,P$5)="F",AND(P$6&gt;0,$A575&lt;P$6),AND(P$7&gt;0,$A575&gt;P$7)),0,MAX(0,ROUND((INDEX($E575:$G575,P$5)-SUMIFS(TF_Timer,TF_Tekniker,P$4,TF_Dato,$A575))*2,0)/2)))</f>
        <v/>
      </c>
      <c r="Q575">
        <f>IF(OR(Q$4="",$A575&gt;TODAY()),0,IF(OR(INDEX($B575:$D575,Q$5)="F",AND(Q$6&gt;0,$A575&lt;Q$6),AND(Q$7&gt;0,$A575&gt;Q$7)),0,MAX(0,ROUND((INDEX($E575:$G575,Q$5)-SUMIFS(TF_Timer,TF_Tekniker,Q$4,TF_Dato,$A575))*2,0)/2)))</f>
        <v/>
      </c>
      <c r="R575">
        <f>IF(OR(R$4="",$A575&gt;TODAY()),0,IF(OR(INDEX($B575:$D575,R$5)="F",AND(R$6&gt;0,$A575&lt;R$6),AND(R$7&gt;0,$A575&gt;R$7)),0,MAX(0,ROUND((INDEX($E575:$G575,R$5)-SUMIFS(TF_Timer,TF_Tekniker,R$4,TF_Dato,$A575))*2,0)/2)))</f>
        <v/>
      </c>
      <c r="S575">
        <f>IF(OR(S$4="",$A575&gt;TODAY()),0,IF(OR(INDEX($B575:$D575,S$5)="F",AND(S$6&gt;0,$A575&lt;S$6),AND(S$7&gt;0,$A575&gt;S$7)),0,MAX(0,ROUND((INDEX($E575:$G575,S$5)-SUMIFS(TF_Timer,TF_Tekniker,S$4,TF_Dato,$A575))*2,0)/2)))</f>
        <v/>
      </c>
      <c r="T575">
        <f>IF(OR(T$4="",$A575&gt;TODAY()),0,IF(OR(INDEX($B575:$D575,T$5)="F",AND(T$6&gt;0,$A575&lt;T$6),AND(T$7&gt;0,$A575&gt;T$7)),0,MAX(0,ROUND((INDEX($E575:$G575,T$5)-SUMIFS(TF_Timer,TF_Tekniker,T$4,TF_Dato,$A575))*2,0)/2)))</f>
        <v/>
      </c>
      <c r="U575">
        <f>IF(OR(U$4="",$A575&gt;TODAY()),0,IF(OR(INDEX($B575:$D575,U$5)="F",AND(U$6&gt;0,$A575&lt;U$6),AND(U$7&gt;0,$A575&gt;U$7)),0,MAX(0,ROUND((INDEX($E575:$G575,U$5)-SUMIFS(TF_Timer,TF_Tekniker,U$4,TF_Dato,$A575))*2,0)/2)))</f>
        <v/>
      </c>
      <c r="V575">
        <f>IF(OR(V$4="",$A575&gt;TODAY()),0,IF(OR(INDEX($B575:$D575,V$5)="F",AND(V$6&gt;0,$A575&lt;V$6),AND(V$7&gt;0,$A575&gt;V$7)),0,MAX(0,ROUND((INDEX($E575:$G575,V$5)-SUMIFS(TF_Timer,TF_Tekniker,V$4,TF_Dato,$A575))*2,0)/2)))</f>
        <v/>
      </c>
      <c r="W575">
        <f>IF(OR(W$4="",$A575&gt;TODAY()),0,IF(OR(INDEX($B575:$D575,W$5)="F",AND(W$6&gt;0,$A575&lt;W$6),AND(W$7&gt;0,$A575&gt;W$7)),0,MAX(0,ROUND((INDEX($E575:$G575,W$5)-SUMIFS(TF_Timer,TF_Tekniker,W$4,TF_Dato,$A575))*2,0)/2)))</f>
        <v/>
      </c>
      <c r="X575">
        <f>IF(OR(X$4="",$A575&gt;TODAY()),0,IF(OR(INDEX($B575:$D575,X$5)="F",AND(X$6&gt;0,$A575&lt;X$6),AND(X$7&gt;0,$A575&gt;X$7)),0,MAX(0,ROUND((INDEX($E575:$G575,X$5)-SUMIFS(TF_Timer,TF_Tekniker,X$4,TF_Dato,$A575))*2,0)/2)))</f>
        <v/>
      </c>
      <c r="Y575">
        <f>IF(OR(Y$4="",$A575&gt;TODAY()),0,IF(OR(INDEX($B575:$D575,Y$5)="F",AND(Y$6&gt;0,$A575&lt;Y$6),AND(Y$7&gt;0,$A575&gt;Y$7)),0,MAX(0,ROUND((INDEX($E575:$G575,Y$5)-SUMIFS(TF_Timer,TF_Tekniker,Y$4,TF_Dato,$A575))*2,0)/2)))</f>
        <v/>
      </c>
      <c r="Z575">
        <f>IF(OR(Z$4="",$A575&gt;TODAY()),0,IF(OR(INDEX($B575:$D575,Z$5)="F",AND(Z$6&gt;0,$A575&lt;Z$6),AND(Z$7&gt;0,$A575&gt;Z$7)),0,MAX(0,ROUND((INDEX($E575:$G575,Z$5)-SUMIFS(TF_Timer,TF_Tekniker,Z$4,TF_Dato,$A575))*2,0)/2)))</f>
        <v/>
      </c>
      <c r="AA575">
        <f>IF(OR(AA$4="",$A575&gt;TODAY()),0,IF(OR(INDEX($B575:$D575,AA$5)="F",AND(AA$6&gt;0,$A575&lt;AA$6),AND(AA$7&gt;0,$A575&gt;AA$7)),0,MAX(0,ROUND((INDEX($E575:$G575,AA$5)-SUMIFS(TF_Timer,TF_Tekniker,AA$4,TF_Dato,$A575))*2,0)/2)))</f>
        <v/>
      </c>
      <c r="AB575">
        <f>IF(OR(AB$4="",$A575&gt;TODAY()),0,IF(OR(INDEX($B575:$D575,AB$5)="F",AND(AB$6&gt;0,$A575&lt;AB$6),AND(AB$7&gt;0,$A575&gt;AB$7)),0,MAX(0,ROUND((INDEX($E575:$G575,AB$5)-SUMIFS(TF_Timer,TF_Tekniker,AB$4,TF_Dato,$A575))*2,0)/2)))</f>
        <v/>
      </c>
      <c r="AC575">
        <f>IF(OR(AC$4="",$A575&gt;TODAY()),0,IF(OR(INDEX($B575:$D575,AC$5)="F",AND(AC$6&gt;0,$A575&lt;AC$6),AND(AC$7&gt;0,$A575&gt;AC$7)),0,MAX(0,ROUND((INDEX($E575:$G575,AC$5)-SUMIFS(TF_Timer,TF_Tekniker,AC$4,TF_Dato,$A575))*2,0)/2)))</f>
        <v/>
      </c>
      <c r="AD575">
        <f>IF(OR(AD$4="",$A575&gt;TODAY()),0,IF(OR(INDEX($B575:$D575,AD$5)="F",AND(AD$6&gt;0,$A575&lt;AD$6),AND(AD$7&gt;0,$A575&gt;AD$7)),0,MAX(0,ROUND((INDEX($E575:$G575,AD$5)-SUMIFS(TF_Timer,TF_Tekniker,AD$4,TF_Dato,$A575))*2,0)/2)))</f>
        <v/>
      </c>
      <c r="AE575">
        <f>IF(OR(AE$4="",$A575&gt;TODAY()),0,IF(OR(INDEX($B575:$D575,AE$5)="F",AND(AE$6&gt;0,$A575&lt;AE$6),AND(AE$7&gt;0,$A575&gt;AE$7)),0,MAX(0,ROUND((INDEX($E575:$G575,AE$5)-SUMIFS(TF_Timer,TF_Tekniker,AE$4,TF_Dato,$A575))*2,0)/2)))</f>
        <v/>
      </c>
      <c r="AF575">
        <f>IF(OR(AF$4="",$A575&gt;TODAY()),0,IF(OR(INDEX($B575:$D575,AF$5)="F",AND(AF$6&gt;0,$A575&lt;AF$6),AND(AF$7&gt;0,$A575&gt;AF$7)),0,MAX(0,ROUND((INDEX($E575:$G575,AF$5)-SUMIFS(TF_Timer,TF_Tekniker,AF$4,TF_Dato,$A575))*2,0)/2)))</f>
        <v/>
      </c>
      <c r="AG575">
        <f>IF(OR(AG$4="",$A575&gt;TODAY()),0,IF(OR(INDEX($B575:$D575,AG$5)="F",AND(AG$6&gt;0,$A575&lt;AG$6),AND(AG$7&gt;0,$A575&gt;AG$7)),0,MAX(0,ROUND((INDEX($E575:$G575,AG$5)-SUMIFS(TF_Timer,TF_Tekniker,AG$4,TF_Dato,$A575))*2,0)/2)))</f>
        <v/>
      </c>
      <c r="AH575">
        <f>IF(OR(AH$4="",$A575&gt;TODAY()),0,IF(OR(INDEX($B575:$D575,AH$5)="F",AND(AH$6&gt;0,$A575&lt;AH$6),AND(AH$7&gt;0,$A575&gt;AH$7)),0,MAX(0,ROUND((INDEX($E575:$G575,AH$5)-SUMIFS(TF_Timer,TF_Tekniker,AH$4,TF_Dato,$A575))*2,0)/2)))</f>
        <v/>
      </c>
      <c r="AI575">
        <f>IF(OR(AI$4="",$A575&gt;TODAY()),0,IF(OR(INDEX($B575:$D575,AI$5)="F",AND(AI$6&gt;0,$A575&lt;AI$6),AND(AI$7&gt;0,$A575&gt;AI$7)),0,MAX(0,ROUND((INDEX($E575:$G575,AI$5)-SUMIFS(TF_Timer,TF_Tekniker,AI$4,TF_Dato,$A575))*2,0)/2)))</f>
        <v/>
      </c>
      <c r="AJ575">
        <f>IF(OR(AJ$4="",$A575&gt;TODAY()),0,IF(OR(INDEX($B575:$D575,AJ$5)="F",AND(AJ$6&gt;0,$A575&lt;AJ$6),AND(AJ$7&gt;0,$A575&gt;AJ$7)),0,MAX(0,ROUND((INDEX($E575:$G575,AJ$5)-SUMIFS(TF_Timer,TF_Tekniker,AJ$4,TF_Dato,$A575))*2,0)/2)))</f>
        <v/>
      </c>
      <c r="AK575">
        <f>IF(OR(AK$4="",$A575&gt;TODAY()),0,IF(OR(INDEX($B575:$D575,AK$5)="F",AND(AK$6&gt;0,$A575&lt;AK$6),AND(AK$7&gt;0,$A575&gt;AK$7)),0,MAX(0,ROUND((INDEX($E575:$G575,AK$5)-SUMIFS(TF_Timer,TF_Tekniker,AK$4,TF_Dato,$A575))*2,0)/2)))</f>
        <v/>
      </c>
      <c r="AL575">
        <f>IF(OR(AL$4="",$A575&gt;TODAY()),0,IF(OR(INDEX($B575:$D575,AL$5)="F",AND(AL$6&gt;0,$A575&lt;AL$6),AND(AL$7&gt;0,$A575&gt;AL$7)),0,MAX(0,ROUND((INDEX($E575:$G575,AL$5)-SUMIFS(TF_Timer,TF_Tekniker,AL$4,TF_Dato,$A575))*2,0)/2)))</f>
        <v/>
      </c>
      <c r="AM575">
        <f>IF(OR(AM$4="",$A575&gt;TODAY()),0,IF(OR(INDEX($B575:$D575,AM$5)="F",AND(AM$6&gt;0,$A575&lt;AM$6),AND(AM$7&gt;0,$A575&gt;AM$7)),0,MAX(0,ROUND((INDEX($E575:$G575,AM$5)-SUMIFS(TF_Timer,TF_Tekniker,AM$4,TF_Dato,$A575))*2,0)/2)))</f>
        <v/>
      </c>
      <c r="AN575">
        <f>IF(OR(AN$4="",$A575&gt;TODAY()),0,IF(OR(INDEX($B575:$D575,AN$5)="F",AND(AN$6&gt;0,$A575&lt;AN$6),AND(AN$7&gt;0,$A575&gt;AN$7)),0,MAX(0,ROUND((INDEX($E575:$G575,AN$5)-SUMIFS(TF_Timer,TF_Tekniker,AN$4,TF_Dato,$A575))*2,0)/2)))</f>
        <v/>
      </c>
      <c r="AO575">
        <f>IF(OR(AO$4="",$A575&gt;TODAY()),0,IF(OR(INDEX($B575:$D575,AO$5)="F",AND(AO$6&gt;0,$A575&lt;AO$6),AND(AO$7&gt;0,$A575&gt;AO$7)),0,MAX(0,ROUND((INDEX($E575:$G575,AO$5)-SUMIFS(TF_Timer,TF_Tekniker,AO$4,TF_Dato,$A575))*2,0)/2)))</f>
        <v/>
      </c>
      <c r="AP575">
        <f>IF(OR(AP$4="",$A575&gt;TODAY()),0,IF(OR(INDEX($B575:$D575,AP$5)="F",AND(AP$6&gt;0,$A575&lt;AP$6),AND(AP$7&gt;0,$A575&gt;AP$7)),0,MAX(0,ROUND((INDEX($E575:$G575,AP$5)-SUMIFS(TF_Timer,TF_Tekniker,AP$4,TF_Dato,$A575))*2,0)/2)))</f>
        <v/>
      </c>
      <c r="AQ575">
        <f>IF(OR(AQ$4="",$A575&gt;TODAY()),0,IF(OR(INDEX($B575:$D575,AQ$5)="F",AND(AQ$6&gt;0,$A575&lt;AQ$6),AND(AQ$7&gt;0,$A575&gt;AQ$7)),0,MAX(0,ROUND((INDEX($E575:$G575,AQ$5)-SUMIFS(TF_Timer,TF_Tekniker,AQ$4,TF_Dato,$A575))*2,0)/2)))</f>
        <v/>
      </c>
      <c r="AR575">
        <f>IF(OR(AR$4="",$A575&gt;TODAY()),0,IF(OR(INDEX($B575:$D575,AR$5)="F",AND(AR$6&gt;0,$A575&lt;AR$6),AND(AR$7&gt;0,$A575&gt;AR$7)),0,MAX(0,ROUND((INDEX($E575:$G575,AR$5)-SUMIFS(TF_Timer,TF_Tekniker,AR$4,TF_Dato,$A575))*2,0)/2)))</f>
        <v/>
      </c>
      <c r="AS575">
        <f>IF(OR(AS$4="",$A575&gt;TODAY()),0,IF(OR(INDEX($B575:$D575,AS$5)="F",AND(AS$6&gt;0,$A575&lt;AS$6),AND(AS$7&gt;0,$A575&gt;AS$7)),0,MAX(0,ROUND((INDEX($E575:$G575,AS$5)-SUMIFS(TF_Timer,TF_Tekniker,AS$4,TF_Dato,$A575))*2,0)/2)))</f>
        <v/>
      </c>
      <c r="AT575">
        <f>IF(OR(AT$4="",$A575&gt;TODAY()),0,IF(OR(INDEX($B575:$D575,AT$5)="F",AND(AT$6&gt;0,$A575&lt;AT$6),AND(AT$7&gt;0,$A575&gt;AT$7)),0,MAX(0,ROUND((INDEX($E575:$G575,AT$5)-SUMIFS(TF_Timer,TF_Tekniker,AT$4,TF_Dato,$A575))*2,0)/2)))</f>
        <v/>
      </c>
      <c r="AU575">
        <f>IF(OR(AU$4="",$A575&gt;TODAY()),0,IF(OR(INDEX($B575:$D575,AU$5)="F",AND(AU$6&gt;0,$A575&lt;AU$6),AND(AU$7&gt;0,$A575&gt;AU$7)),0,MAX(0,ROUND((INDEX($E575:$G575,AU$5)-SUMIFS(TF_Timer,TF_Tekniker,AU$4,TF_Dato,$A575))*2,0)/2)))</f>
        <v/>
      </c>
      <c r="AV575">
        <f>IF(OR(AV$4="",$A575&gt;TODAY()),0,IF(OR(INDEX($B575:$D575,AV$5)="F",AND(AV$6&gt;0,$A575&lt;AV$6),AND(AV$7&gt;0,$A575&gt;AV$7)),0,MAX(0,ROUND((INDEX($E575:$G575,AV$5)-SUMIFS(TF_Timer,TF_Tekniker,AV$4,TF_Dato,$A575))*2,0)/2)))</f>
        <v/>
      </c>
      <c r="AW575">
        <f>IF(OR(AW$4="",$A575&gt;TODAY()),0,IF(OR(INDEX($B575:$D575,AW$5)="F",AND(AW$6&gt;0,$A575&lt;AW$6),AND(AW$7&gt;0,$A575&gt;AW$7)),0,MAX(0,ROUND((INDEX($E575:$G575,AW$5)-SUMIFS(TF_Timer,TF_Tekniker,AW$4,TF_Dato,$A575))*2,0)/2)))</f>
        <v/>
      </c>
      <c r="AX575">
        <f>IF(OR(AX$4="",$A575&gt;TODAY()),0,IF(OR(INDEX($B575:$D575,AX$5)="F",AND(AX$6&gt;0,$A575&lt;AX$6),AND(AX$7&gt;0,$A575&gt;AX$7)),0,MAX(0,ROUND((INDEX($E575:$G575,AX$5)-SUMIFS(TF_Timer,TF_Tekniker,AX$4,TF_Dato,$A575))*2,0)/2)))</f>
        <v/>
      </c>
      <c r="AY575">
        <f>IF(OR(AY$4="",$A575&gt;TODAY()),0,IF(OR(INDEX($B575:$D575,AY$5)="F",AND(AY$6&gt;0,$A575&lt;AY$6),AND(AY$7&gt;0,$A575&gt;AY$7)),0,MAX(0,ROUND((INDEX($E575:$G575,AY$5)-SUMIFS(TF_Timer,TF_Tekniker,AY$4,TF_Dato,$A575))*2,0)/2)))</f>
        <v/>
      </c>
      <c r="AZ575">
        <f>IF(OR(AZ$4="",$A575&gt;TODAY()),0,IF(OR(INDEX($B575:$D575,AZ$5)="F",AND(AZ$6&gt;0,$A575&lt;AZ$6),AND(AZ$7&gt;0,$A575&gt;AZ$7)),0,MAX(0,ROUND((INDEX($E575:$G575,AZ$5)-SUMIFS(TF_Timer,TF_Tekniker,AZ$4,TF_Dato,$A575))*2,0)/2)))</f>
        <v/>
      </c>
      <c r="BA575">
        <f>IF(OR(BA$4="",$A575&gt;TODAY()),0,IF(OR(INDEX($B575:$D575,BA$5)="F",AND(BA$6&gt;0,$A575&lt;BA$6),AND(BA$7&gt;0,$A575&gt;BA$7)),0,MAX(0,ROUND((INDEX($E575:$G575,BA$5)-SUMIFS(TF_Timer,TF_Tekniker,BA$4,TF_Dato,$A575))*2,0)/2)))</f>
        <v/>
      </c>
      <c r="BB575">
        <f>IF(OR(BB$4="",$A575&gt;TODAY()),0,IF(OR(INDEX($B575:$D575,BB$5)="F",AND(BB$6&gt;0,$A575&lt;BB$6),AND(BB$7&gt;0,$A575&gt;BB$7)),0,MAX(0,ROUND((INDEX($E575:$G575,BB$5)-SUMIFS(TF_Timer,TF_Tekniker,BB$4,TF_Dato,$A575))*2,0)/2)))</f>
        <v/>
      </c>
      <c r="BC575">
        <f>IF(OR(BC$4="",$A575&gt;TODAY()),0,IF(OR(INDEX($B575:$D575,BC$5)="F",AND(BC$6&gt;0,$A575&lt;BC$6),AND(BC$7&gt;0,$A575&gt;BC$7)),0,MAX(0,ROUND((INDEX($E575:$G575,BC$5)-SUMIFS(TF_Timer,TF_Tekniker,BC$4,TF_Dato,$A575))*2,0)/2)))</f>
        <v/>
      </c>
      <c r="BD575">
        <f>IF(OR(BD$4="",$A575&gt;TODAY()),0,IF(OR(INDEX($B575:$D575,BD$5)="F",AND(BD$6&gt;0,$A575&lt;BD$6),AND(BD$7&gt;0,$A575&gt;BD$7)),0,MAX(0,ROUND((INDEX($E575:$G575,BD$5)-SUMIFS(TF_Timer,TF_Tekniker,BD$4,TF_Dato,$A575))*2,0)/2)))</f>
        <v/>
      </c>
      <c r="BE575">
        <f>IF(OR(BE$4="",$A575&gt;TODAY()),0,IF(OR(INDEX($B575:$D575,BE$5)="F",AND(BE$6&gt;0,$A575&lt;BE$6),AND(BE$7&gt;0,$A575&gt;BE$7)),0,MAX(0,ROUND((INDEX($E575:$G575,BE$5)-SUMIFS(TF_Timer,TF_Tekniker,BE$4,TF_Dato,$A575))*2,0)/2)))</f>
        <v/>
      </c>
      <c r="BF575">
        <f>IF(OR(BF$4="",$A575&gt;TODAY()),0,IF(OR(INDEX($B575:$D575,BF$5)="F",AND(BF$6&gt;0,$A575&lt;BF$6),AND(BF$7&gt;0,$A575&gt;BF$7)),0,MAX(0,ROUND((INDEX($E575:$G575,BF$5)-SUMIFS(TF_Timer,TF_Tekniker,BF$4,TF_Dato,$A575))*2,0)/2)))</f>
        <v/>
      </c>
      <c r="BG575">
        <f>IF(OR(BG$4="",$A575&gt;TODAY()),0,IF(OR(INDEX($B575:$D575,BG$5)="F",AND(BG$6&gt;0,$A575&lt;BG$6),AND(BG$7&gt;0,$A575&gt;BG$7)),0,MAX(0,ROUND((INDEX($E575:$G575,BG$5)-SUMIFS(TF_Timer,TF_Tekniker,BG$4,TF_Dato,$A575))*2,0)/2)))</f>
        <v/>
      </c>
      <c r="BH575">
        <f>IF(OR(BH$4="",$A575&gt;TODAY()),0,IF(OR(INDEX($B575:$D575,BH$5)="F",AND(BH$6&gt;0,$A575&lt;BH$6),AND(BH$7&gt;0,$A575&gt;BH$7)),0,MAX(0,ROUND((INDEX($E575:$G575,BH$5)-SUMIFS(TF_Timer,TF_Tekniker,BH$4,TF_Dato,$A575))*2,0)/2)))</f>
        <v/>
      </c>
      <c r="BI575">
        <f>IF(OR(BI$4="",$A575&gt;TODAY()),0,IF(OR(INDEX($B575:$D575,BI$5)="F",AND(BI$6&gt;0,$A575&lt;BI$6),AND(BI$7&gt;0,$A575&gt;BI$7)),0,MAX(0,ROUND((INDEX($E575:$G575,BI$5)-SUMIFS(TF_Timer,TF_Tekniker,BI$4,TF_Dato,$A575))*2,0)/2)))</f>
        <v/>
      </c>
    </row>
    <row r="576">
      <c r="A576" s="64">
        <f>A575+1</f>
        <v/>
      </c>
      <c r="B576">
        <f>IF(MOD($A576-INDEX(SkiftStart,1),Syklus)&lt;DagK,"K",IF(MOD($A576-INDEX(SkiftStart,1),Syklus)&lt;DagK+DagH,"H",IF(MOD($A576-INDEX(SkiftStart,1),Syklus)&lt;DagK+DagH+DagD,"D","F")))</f>
        <v/>
      </c>
      <c r="C576">
        <f>IF(MOD($A576-INDEX(SkiftStart,2),Syklus)&lt;DagK,"K",IF(MOD($A576-INDEX(SkiftStart,2),Syklus)&lt;DagK+DagH,"H",IF(MOD($A576-INDEX(SkiftStart,2),Syklus)&lt;DagK+DagH+DagD,"D","F")))</f>
        <v/>
      </c>
      <c r="D576">
        <f>IF(MOD($A576-INDEX(SkiftStart,3),Syklus)&lt;DagK,"K",IF(MOD($A576-INDEX(SkiftStart,3),Syklus)&lt;DagK+DagH,"H",IF(MOD($A576-INDEX(SkiftStart,3),Syklus)&lt;DagK+DagH+DagD,"D","F")))</f>
        <v/>
      </c>
      <c r="E576">
        <f>IF(B576="F",0,IF(WEEKDAY($A576,2)=5,INDEX(TimerFr,MATCH(B576,FaseKode,0)),INDEX(TimerMT,MATCH(B576,FaseKode,0))))</f>
        <v/>
      </c>
      <c r="F576">
        <f>IF(C576="F",0,IF(WEEKDAY($A576,2)=5,INDEX(TimerFr,MATCH(C576,FaseKode,0)),INDEX(TimerMT,MATCH(C576,FaseKode,0))))</f>
        <v/>
      </c>
      <c r="G576">
        <f>IF(D576="F",0,IF(WEEKDAY($A576,2)=5,INDEX(TimerFr,MATCH(D576,FaseKode,0)),INDEX(TimerMT,MATCH(D576,FaseKode,0))))</f>
        <v/>
      </c>
      <c r="H576">
        <f>IF(OR(H$4="",$A576&gt;TODAY()),0,IF(OR(INDEX($B576:$D576,H$5)="F",AND(H$6&gt;0,$A576&lt;H$6),AND(H$7&gt;0,$A576&gt;H$7)),0,MAX(0,ROUND((INDEX($E576:$G576,H$5)-SUMIFS(TF_Timer,TF_Tekniker,H$4,TF_Dato,$A576))*2,0)/2)))</f>
        <v/>
      </c>
      <c r="I576">
        <f>IF(OR(I$4="",$A576&gt;TODAY()),0,IF(OR(INDEX($B576:$D576,I$5)="F",AND(I$6&gt;0,$A576&lt;I$6),AND(I$7&gt;0,$A576&gt;I$7)),0,MAX(0,ROUND((INDEX($E576:$G576,I$5)-SUMIFS(TF_Timer,TF_Tekniker,I$4,TF_Dato,$A576))*2,0)/2)))</f>
        <v/>
      </c>
      <c r="J576">
        <f>IF(OR(J$4="",$A576&gt;TODAY()),0,IF(OR(INDEX($B576:$D576,J$5)="F",AND(J$6&gt;0,$A576&lt;J$6),AND(J$7&gt;0,$A576&gt;J$7)),0,MAX(0,ROUND((INDEX($E576:$G576,J$5)-SUMIFS(TF_Timer,TF_Tekniker,J$4,TF_Dato,$A576))*2,0)/2)))</f>
        <v/>
      </c>
      <c r="K576">
        <f>IF(OR(K$4="",$A576&gt;TODAY()),0,IF(OR(INDEX($B576:$D576,K$5)="F",AND(K$6&gt;0,$A576&lt;K$6),AND(K$7&gt;0,$A576&gt;K$7)),0,MAX(0,ROUND((INDEX($E576:$G576,K$5)-SUMIFS(TF_Timer,TF_Tekniker,K$4,TF_Dato,$A576))*2,0)/2)))</f>
        <v/>
      </c>
      <c r="L576">
        <f>IF(OR(L$4="",$A576&gt;TODAY()),0,IF(OR(INDEX($B576:$D576,L$5)="F",AND(L$6&gt;0,$A576&lt;L$6),AND(L$7&gt;0,$A576&gt;L$7)),0,MAX(0,ROUND((INDEX($E576:$G576,L$5)-SUMIFS(TF_Timer,TF_Tekniker,L$4,TF_Dato,$A576))*2,0)/2)))</f>
        <v/>
      </c>
      <c r="M576">
        <f>IF(OR(M$4="",$A576&gt;TODAY()),0,IF(OR(INDEX($B576:$D576,M$5)="F",AND(M$6&gt;0,$A576&lt;M$6),AND(M$7&gt;0,$A576&gt;M$7)),0,MAX(0,ROUND((INDEX($E576:$G576,M$5)-SUMIFS(TF_Timer,TF_Tekniker,M$4,TF_Dato,$A576))*2,0)/2)))</f>
        <v/>
      </c>
      <c r="N576">
        <f>IF(OR(N$4="",$A576&gt;TODAY()),0,IF(OR(INDEX($B576:$D576,N$5)="F",AND(N$6&gt;0,$A576&lt;N$6),AND(N$7&gt;0,$A576&gt;N$7)),0,MAX(0,ROUND((INDEX($E576:$G576,N$5)-SUMIFS(TF_Timer,TF_Tekniker,N$4,TF_Dato,$A576))*2,0)/2)))</f>
        <v/>
      </c>
      <c r="O576">
        <f>IF(OR(O$4="",$A576&gt;TODAY()),0,IF(OR(INDEX($B576:$D576,O$5)="F",AND(O$6&gt;0,$A576&lt;O$6),AND(O$7&gt;0,$A576&gt;O$7)),0,MAX(0,ROUND((INDEX($E576:$G576,O$5)-SUMIFS(TF_Timer,TF_Tekniker,O$4,TF_Dato,$A576))*2,0)/2)))</f>
        <v/>
      </c>
      <c r="P576">
        <f>IF(OR(P$4="",$A576&gt;TODAY()),0,IF(OR(INDEX($B576:$D576,P$5)="F",AND(P$6&gt;0,$A576&lt;P$6),AND(P$7&gt;0,$A576&gt;P$7)),0,MAX(0,ROUND((INDEX($E576:$G576,P$5)-SUMIFS(TF_Timer,TF_Tekniker,P$4,TF_Dato,$A576))*2,0)/2)))</f>
        <v/>
      </c>
      <c r="Q576">
        <f>IF(OR(Q$4="",$A576&gt;TODAY()),0,IF(OR(INDEX($B576:$D576,Q$5)="F",AND(Q$6&gt;0,$A576&lt;Q$6),AND(Q$7&gt;0,$A576&gt;Q$7)),0,MAX(0,ROUND((INDEX($E576:$G576,Q$5)-SUMIFS(TF_Timer,TF_Tekniker,Q$4,TF_Dato,$A576))*2,0)/2)))</f>
        <v/>
      </c>
      <c r="R576">
        <f>IF(OR(R$4="",$A576&gt;TODAY()),0,IF(OR(INDEX($B576:$D576,R$5)="F",AND(R$6&gt;0,$A576&lt;R$6),AND(R$7&gt;0,$A576&gt;R$7)),0,MAX(0,ROUND((INDEX($E576:$G576,R$5)-SUMIFS(TF_Timer,TF_Tekniker,R$4,TF_Dato,$A576))*2,0)/2)))</f>
        <v/>
      </c>
      <c r="S576">
        <f>IF(OR(S$4="",$A576&gt;TODAY()),0,IF(OR(INDEX($B576:$D576,S$5)="F",AND(S$6&gt;0,$A576&lt;S$6),AND(S$7&gt;0,$A576&gt;S$7)),0,MAX(0,ROUND((INDEX($E576:$G576,S$5)-SUMIFS(TF_Timer,TF_Tekniker,S$4,TF_Dato,$A576))*2,0)/2)))</f>
        <v/>
      </c>
      <c r="T576">
        <f>IF(OR(T$4="",$A576&gt;TODAY()),0,IF(OR(INDEX($B576:$D576,T$5)="F",AND(T$6&gt;0,$A576&lt;T$6),AND(T$7&gt;0,$A576&gt;T$7)),0,MAX(0,ROUND((INDEX($E576:$G576,T$5)-SUMIFS(TF_Timer,TF_Tekniker,T$4,TF_Dato,$A576))*2,0)/2)))</f>
        <v/>
      </c>
      <c r="U576">
        <f>IF(OR(U$4="",$A576&gt;TODAY()),0,IF(OR(INDEX($B576:$D576,U$5)="F",AND(U$6&gt;0,$A576&lt;U$6),AND(U$7&gt;0,$A576&gt;U$7)),0,MAX(0,ROUND((INDEX($E576:$G576,U$5)-SUMIFS(TF_Timer,TF_Tekniker,U$4,TF_Dato,$A576))*2,0)/2)))</f>
        <v/>
      </c>
      <c r="V576">
        <f>IF(OR(V$4="",$A576&gt;TODAY()),0,IF(OR(INDEX($B576:$D576,V$5)="F",AND(V$6&gt;0,$A576&lt;V$6),AND(V$7&gt;0,$A576&gt;V$7)),0,MAX(0,ROUND((INDEX($E576:$G576,V$5)-SUMIFS(TF_Timer,TF_Tekniker,V$4,TF_Dato,$A576))*2,0)/2)))</f>
        <v/>
      </c>
      <c r="W576">
        <f>IF(OR(W$4="",$A576&gt;TODAY()),0,IF(OR(INDEX($B576:$D576,W$5)="F",AND(W$6&gt;0,$A576&lt;W$6),AND(W$7&gt;0,$A576&gt;W$7)),0,MAX(0,ROUND((INDEX($E576:$G576,W$5)-SUMIFS(TF_Timer,TF_Tekniker,W$4,TF_Dato,$A576))*2,0)/2)))</f>
        <v/>
      </c>
      <c r="X576">
        <f>IF(OR(X$4="",$A576&gt;TODAY()),0,IF(OR(INDEX($B576:$D576,X$5)="F",AND(X$6&gt;0,$A576&lt;X$6),AND(X$7&gt;0,$A576&gt;X$7)),0,MAX(0,ROUND((INDEX($E576:$G576,X$5)-SUMIFS(TF_Timer,TF_Tekniker,X$4,TF_Dato,$A576))*2,0)/2)))</f>
        <v/>
      </c>
      <c r="Y576">
        <f>IF(OR(Y$4="",$A576&gt;TODAY()),0,IF(OR(INDEX($B576:$D576,Y$5)="F",AND(Y$6&gt;0,$A576&lt;Y$6),AND(Y$7&gt;0,$A576&gt;Y$7)),0,MAX(0,ROUND((INDEX($E576:$G576,Y$5)-SUMIFS(TF_Timer,TF_Tekniker,Y$4,TF_Dato,$A576))*2,0)/2)))</f>
        <v/>
      </c>
      <c r="Z576">
        <f>IF(OR(Z$4="",$A576&gt;TODAY()),0,IF(OR(INDEX($B576:$D576,Z$5)="F",AND(Z$6&gt;0,$A576&lt;Z$6),AND(Z$7&gt;0,$A576&gt;Z$7)),0,MAX(0,ROUND((INDEX($E576:$G576,Z$5)-SUMIFS(TF_Timer,TF_Tekniker,Z$4,TF_Dato,$A576))*2,0)/2)))</f>
        <v/>
      </c>
      <c r="AA576">
        <f>IF(OR(AA$4="",$A576&gt;TODAY()),0,IF(OR(INDEX($B576:$D576,AA$5)="F",AND(AA$6&gt;0,$A576&lt;AA$6),AND(AA$7&gt;0,$A576&gt;AA$7)),0,MAX(0,ROUND((INDEX($E576:$G576,AA$5)-SUMIFS(TF_Timer,TF_Tekniker,AA$4,TF_Dato,$A576))*2,0)/2)))</f>
        <v/>
      </c>
      <c r="AB576">
        <f>IF(OR(AB$4="",$A576&gt;TODAY()),0,IF(OR(INDEX($B576:$D576,AB$5)="F",AND(AB$6&gt;0,$A576&lt;AB$6),AND(AB$7&gt;0,$A576&gt;AB$7)),0,MAX(0,ROUND((INDEX($E576:$G576,AB$5)-SUMIFS(TF_Timer,TF_Tekniker,AB$4,TF_Dato,$A576))*2,0)/2)))</f>
        <v/>
      </c>
      <c r="AC576">
        <f>IF(OR(AC$4="",$A576&gt;TODAY()),0,IF(OR(INDEX($B576:$D576,AC$5)="F",AND(AC$6&gt;0,$A576&lt;AC$6),AND(AC$7&gt;0,$A576&gt;AC$7)),0,MAX(0,ROUND((INDEX($E576:$G576,AC$5)-SUMIFS(TF_Timer,TF_Tekniker,AC$4,TF_Dato,$A576))*2,0)/2)))</f>
        <v/>
      </c>
      <c r="AD576">
        <f>IF(OR(AD$4="",$A576&gt;TODAY()),0,IF(OR(INDEX($B576:$D576,AD$5)="F",AND(AD$6&gt;0,$A576&lt;AD$6),AND(AD$7&gt;0,$A576&gt;AD$7)),0,MAX(0,ROUND((INDEX($E576:$G576,AD$5)-SUMIFS(TF_Timer,TF_Tekniker,AD$4,TF_Dato,$A576))*2,0)/2)))</f>
        <v/>
      </c>
      <c r="AE576">
        <f>IF(OR(AE$4="",$A576&gt;TODAY()),0,IF(OR(INDEX($B576:$D576,AE$5)="F",AND(AE$6&gt;0,$A576&lt;AE$6),AND(AE$7&gt;0,$A576&gt;AE$7)),0,MAX(0,ROUND((INDEX($E576:$G576,AE$5)-SUMIFS(TF_Timer,TF_Tekniker,AE$4,TF_Dato,$A576))*2,0)/2)))</f>
        <v/>
      </c>
      <c r="AF576">
        <f>IF(OR(AF$4="",$A576&gt;TODAY()),0,IF(OR(INDEX($B576:$D576,AF$5)="F",AND(AF$6&gt;0,$A576&lt;AF$6),AND(AF$7&gt;0,$A576&gt;AF$7)),0,MAX(0,ROUND((INDEX($E576:$G576,AF$5)-SUMIFS(TF_Timer,TF_Tekniker,AF$4,TF_Dato,$A576))*2,0)/2)))</f>
        <v/>
      </c>
      <c r="AG576">
        <f>IF(OR(AG$4="",$A576&gt;TODAY()),0,IF(OR(INDEX($B576:$D576,AG$5)="F",AND(AG$6&gt;0,$A576&lt;AG$6),AND(AG$7&gt;0,$A576&gt;AG$7)),0,MAX(0,ROUND((INDEX($E576:$G576,AG$5)-SUMIFS(TF_Timer,TF_Tekniker,AG$4,TF_Dato,$A576))*2,0)/2)))</f>
        <v/>
      </c>
      <c r="AH576">
        <f>IF(OR(AH$4="",$A576&gt;TODAY()),0,IF(OR(INDEX($B576:$D576,AH$5)="F",AND(AH$6&gt;0,$A576&lt;AH$6),AND(AH$7&gt;0,$A576&gt;AH$7)),0,MAX(0,ROUND((INDEX($E576:$G576,AH$5)-SUMIFS(TF_Timer,TF_Tekniker,AH$4,TF_Dato,$A576))*2,0)/2)))</f>
        <v/>
      </c>
      <c r="AI576">
        <f>IF(OR(AI$4="",$A576&gt;TODAY()),0,IF(OR(INDEX($B576:$D576,AI$5)="F",AND(AI$6&gt;0,$A576&lt;AI$6),AND(AI$7&gt;0,$A576&gt;AI$7)),0,MAX(0,ROUND((INDEX($E576:$G576,AI$5)-SUMIFS(TF_Timer,TF_Tekniker,AI$4,TF_Dato,$A576))*2,0)/2)))</f>
        <v/>
      </c>
      <c r="AJ576">
        <f>IF(OR(AJ$4="",$A576&gt;TODAY()),0,IF(OR(INDEX($B576:$D576,AJ$5)="F",AND(AJ$6&gt;0,$A576&lt;AJ$6),AND(AJ$7&gt;0,$A576&gt;AJ$7)),0,MAX(0,ROUND((INDEX($E576:$G576,AJ$5)-SUMIFS(TF_Timer,TF_Tekniker,AJ$4,TF_Dato,$A576))*2,0)/2)))</f>
        <v/>
      </c>
      <c r="AK576">
        <f>IF(OR(AK$4="",$A576&gt;TODAY()),0,IF(OR(INDEX($B576:$D576,AK$5)="F",AND(AK$6&gt;0,$A576&lt;AK$6),AND(AK$7&gt;0,$A576&gt;AK$7)),0,MAX(0,ROUND((INDEX($E576:$G576,AK$5)-SUMIFS(TF_Timer,TF_Tekniker,AK$4,TF_Dato,$A576))*2,0)/2)))</f>
        <v/>
      </c>
      <c r="AL576">
        <f>IF(OR(AL$4="",$A576&gt;TODAY()),0,IF(OR(INDEX($B576:$D576,AL$5)="F",AND(AL$6&gt;0,$A576&lt;AL$6),AND(AL$7&gt;0,$A576&gt;AL$7)),0,MAX(0,ROUND((INDEX($E576:$G576,AL$5)-SUMIFS(TF_Timer,TF_Tekniker,AL$4,TF_Dato,$A576))*2,0)/2)))</f>
        <v/>
      </c>
      <c r="AM576">
        <f>IF(OR(AM$4="",$A576&gt;TODAY()),0,IF(OR(INDEX($B576:$D576,AM$5)="F",AND(AM$6&gt;0,$A576&lt;AM$6),AND(AM$7&gt;0,$A576&gt;AM$7)),0,MAX(0,ROUND((INDEX($E576:$G576,AM$5)-SUMIFS(TF_Timer,TF_Tekniker,AM$4,TF_Dato,$A576))*2,0)/2)))</f>
        <v/>
      </c>
      <c r="AN576">
        <f>IF(OR(AN$4="",$A576&gt;TODAY()),0,IF(OR(INDEX($B576:$D576,AN$5)="F",AND(AN$6&gt;0,$A576&lt;AN$6),AND(AN$7&gt;0,$A576&gt;AN$7)),0,MAX(0,ROUND((INDEX($E576:$G576,AN$5)-SUMIFS(TF_Timer,TF_Tekniker,AN$4,TF_Dato,$A576))*2,0)/2)))</f>
        <v/>
      </c>
      <c r="AO576">
        <f>IF(OR(AO$4="",$A576&gt;TODAY()),0,IF(OR(INDEX($B576:$D576,AO$5)="F",AND(AO$6&gt;0,$A576&lt;AO$6),AND(AO$7&gt;0,$A576&gt;AO$7)),0,MAX(0,ROUND((INDEX($E576:$G576,AO$5)-SUMIFS(TF_Timer,TF_Tekniker,AO$4,TF_Dato,$A576))*2,0)/2)))</f>
        <v/>
      </c>
      <c r="AP576">
        <f>IF(OR(AP$4="",$A576&gt;TODAY()),0,IF(OR(INDEX($B576:$D576,AP$5)="F",AND(AP$6&gt;0,$A576&lt;AP$6),AND(AP$7&gt;0,$A576&gt;AP$7)),0,MAX(0,ROUND((INDEX($E576:$G576,AP$5)-SUMIFS(TF_Timer,TF_Tekniker,AP$4,TF_Dato,$A576))*2,0)/2)))</f>
        <v/>
      </c>
      <c r="AQ576">
        <f>IF(OR(AQ$4="",$A576&gt;TODAY()),0,IF(OR(INDEX($B576:$D576,AQ$5)="F",AND(AQ$6&gt;0,$A576&lt;AQ$6),AND(AQ$7&gt;0,$A576&gt;AQ$7)),0,MAX(0,ROUND((INDEX($E576:$G576,AQ$5)-SUMIFS(TF_Timer,TF_Tekniker,AQ$4,TF_Dato,$A576))*2,0)/2)))</f>
        <v/>
      </c>
      <c r="AR576">
        <f>IF(OR(AR$4="",$A576&gt;TODAY()),0,IF(OR(INDEX($B576:$D576,AR$5)="F",AND(AR$6&gt;0,$A576&lt;AR$6),AND(AR$7&gt;0,$A576&gt;AR$7)),0,MAX(0,ROUND((INDEX($E576:$G576,AR$5)-SUMIFS(TF_Timer,TF_Tekniker,AR$4,TF_Dato,$A576))*2,0)/2)))</f>
        <v/>
      </c>
      <c r="AS576">
        <f>IF(OR(AS$4="",$A576&gt;TODAY()),0,IF(OR(INDEX($B576:$D576,AS$5)="F",AND(AS$6&gt;0,$A576&lt;AS$6),AND(AS$7&gt;0,$A576&gt;AS$7)),0,MAX(0,ROUND((INDEX($E576:$G576,AS$5)-SUMIFS(TF_Timer,TF_Tekniker,AS$4,TF_Dato,$A576))*2,0)/2)))</f>
        <v/>
      </c>
      <c r="AT576">
        <f>IF(OR(AT$4="",$A576&gt;TODAY()),0,IF(OR(INDEX($B576:$D576,AT$5)="F",AND(AT$6&gt;0,$A576&lt;AT$6),AND(AT$7&gt;0,$A576&gt;AT$7)),0,MAX(0,ROUND((INDEX($E576:$G576,AT$5)-SUMIFS(TF_Timer,TF_Tekniker,AT$4,TF_Dato,$A576))*2,0)/2)))</f>
        <v/>
      </c>
      <c r="AU576">
        <f>IF(OR(AU$4="",$A576&gt;TODAY()),0,IF(OR(INDEX($B576:$D576,AU$5)="F",AND(AU$6&gt;0,$A576&lt;AU$6),AND(AU$7&gt;0,$A576&gt;AU$7)),0,MAX(0,ROUND((INDEX($E576:$G576,AU$5)-SUMIFS(TF_Timer,TF_Tekniker,AU$4,TF_Dato,$A576))*2,0)/2)))</f>
        <v/>
      </c>
      <c r="AV576">
        <f>IF(OR(AV$4="",$A576&gt;TODAY()),0,IF(OR(INDEX($B576:$D576,AV$5)="F",AND(AV$6&gt;0,$A576&lt;AV$6),AND(AV$7&gt;0,$A576&gt;AV$7)),0,MAX(0,ROUND((INDEX($E576:$G576,AV$5)-SUMIFS(TF_Timer,TF_Tekniker,AV$4,TF_Dato,$A576))*2,0)/2)))</f>
        <v/>
      </c>
      <c r="AW576">
        <f>IF(OR(AW$4="",$A576&gt;TODAY()),0,IF(OR(INDEX($B576:$D576,AW$5)="F",AND(AW$6&gt;0,$A576&lt;AW$6),AND(AW$7&gt;0,$A576&gt;AW$7)),0,MAX(0,ROUND((INDEX($E576:$G576,AW$5)-SUMIFS(TF_Timer,TF_Tekniker,AW$4,TF_Dato,$A576))*2,0)/2)))</f>
        <v/>
      </c>
      <c r="AX576">
        <f>IF(OR(AX$4="",$A576&gt;TODAY()),0,IF(OR(INDEX($B576:$D576,AX$5)="F",AND(AX$6&gt;0,$A576&lt;AX$6),AND(AX$7&gt;0,$A576&gt;AX$7)),0,MAX(0,ROUND((INDEX($E576:$G576,AX$5)-SUMIFS(TF_Timer,TF_Tekniker,AX$4,TF_Dato,$A576))*2,0)/2)))</f>
        <v/>
      </c>
      <c r="AY576">
        <f>IF(OR(AY$4="",$A576&gt;TODAY()),0,IF(OR(INDEX($B576:$D576,AY$5)="F",AND(AY$6&gt;0,$A576&lt;AY$6),AND(AY$7&gt;0,$A576&gt;AY$7)),0,MAX(0,ROUND((INDEX($E576:$G576,AY$5)-SUMIFS(TF_Timer,TF_Tekniker,AY$4,TF_Dato,$A576))*2,0)/2)))</f>
        <v/>
      </c>
      <c r="AZ576">
        <f>IF(OR(AZ$4="",$A576&gt;TODAY()),0,IF(OR(INDEX($B576:$D576,AZ$5)="F",AND(AZ$6&gt;0,$A576&lt;AZ$6),AND(AZ$7&gt;0,$A576&gt;AZ$7)),0,MAX(0,ROUND((INDEX($E576:$G576,AZ$5)-SUMIFS(TF_Timer,TF_Tekniker,AZ$4,TF_Dato,$A576))*2,0)/2)))</f>
        <v/>
      </c>
      <c r="BA576">
        <f>IF(OR(BA$4="",$A576&gt;TODAY()),0,IF(OR(INDEX($B576:$D576,BA$5)="F",AND(BA$6&gt;0,$A576&lt;BA$6),AND(BA$7&gt;0,$A576&gt;BA$7)),0,MAX(0,ROUND((INDEX($E576:$G576,BA$5)-SUMIFS(TF_Timer,TF_Tekniker,BA$4,TF_Dato,$A576))*2,0)/2)))</f>
        <v/>
      </c>
      <c r="BB576">
        <f>IF(OR(BB$4="",$A576&gt;TODAY()),0,IF(OR(INDEX($B576:$D576,BB$5)="F",AND(BB$6&gt;0,$A576&lt;BB$6),AND(BB$7&gt;0,$A576&gt;BB$7)),0,MAX(0,ROUND((INDEX($E576:$G576,BB$5)-SUMIFS(TF_Timer,TF_Tekniker,BB$4,TF_Dato,$A576))*2,0)/2)))</f>
        <v/>
      </c>
      <c r="BC576">
        <f>IF(OR(BC$4="",$A576&gt;TODAY()),0,IF(OR(INDEX($B576:$D576,BC$5)="F",AND(BC$6&gt;0,$A576&lt;BC$6),AND(BC$7&gt;0,$A576&gt;BC$7)),0,MAX(0,ROUND((INDEX($E576:$G576,BC$5)-SUMIFS(TF_Timer,TF_Tekniker,BC$4,TF_Dato,$A576))*2,0)/2)))</f>
        <v/>
      </c>
      <c r="BD576">
        <f>IF(OR(BD$4="",$A576&gt;TODAY()),0,IF(OR(INDEX($B576:$D576,BD$5)="F",AND(BD$6&gt;0,$A576&lt;BD$6),AND(BD$7&gt;0,$A576&gt;BD$7)),0,MAX(0,ROUND((INDEX($E576:$G576,BD$5)-SUMIFS(TF_Timer,TF_Tekniker,BD$4,TF_Dato,$A576))*2,0)/2)))</f>
        <v/>
      </c>
      <c r="BE576">
        <f>IF(OR(BE$4="",$A576&gt;TODAY()),0,IF(OR(INDEX($B576:$D576,BE$5)="F",AND(BE$6&gt;0,$A576&lt;BE$6),AND(BE$7&gt;0,$A576&gt;BE$7)),0,MAX(0,ROUND((INDEX($E576:$G576,BE$5)-SUMIFS(TF_Timer,TF_Tekniker,BE$4,TF_Dato,$A576))*2,0)/2)))</f>
        <v/>
      </c>
      <c r="BF576">
        <f>IF(OR(BF$4="",$A576&gt;TODAY()),0,IF(OR(INDEX($B576:$D576,BF$5)="F",AND(BF$6&gt;0,$A576&lt;BF$6),AND(BF$7&gt;0,$A576&gt;BF$7)),0,MAX(0,ROUND((INDEX($E576:$G576,BF$5)-SUMIFS(TF_Timer,TF_Tekniker,BF$4,TF_Dato,$A576))*2,0)/2)))</f>
        <v/>
      </c>
      <c r="BG576">
        <f>IF(OR(BG$4="",$A576&gt;TODAY()),0,IF(OR(INDEX($B576:$D576,BG$5)="F",AND(BG$6&gt;0,$A576&lt;BG$6),AND(BG$7&gt;0,$A576&gt;BG$7)),0,MAX(0,ROUND((INDEX($E576:$G576,BG$5)-SUMIFS(TF_Timer,TF_Tekniker,BG$4,TF_Dato,$A576))*2,0)/2)))</f>
        <v/>
      </c>
      <c r="BH576">
        <f>IF(OR(BH$4="",$A576&gt;TODAY()),0,IF(OR(INDEX($B576:$D576,BH$5)="F",AND(BH$6&gt;0,$A576&lt;BH$6),AND(BH$7&gt;0,$A576&gt;BH$7)),0,MAX(0,ROUND((INDEX($E576:$G576,BH$5)-SUMIFS(TF_Timer,TF_Tekniker,BH$4,TF_Dato,$A576))*2,0)/2)))</f>
        <v/>
      </c>
      <c r="BI576">
        <f>IF(OR(BI$4="",$A576&gt;TODAY()),0,IF(OR(INDEX($B576:$D576,BI$5)="F",AND(BI$6&gt;0,$A576&lt;BI$6),AND(BI$7&gt;0,$A576&gt;BI$7)),0,MAX(0,ROUND((INDEX($E576:$G576,BI$5)-SUMIFS(TF_Timer,TF_Tekniker,BI$4,TF_Dato,$A576))*2,0)/2)))</f>
        <v/>
      </c>
    </row>
    <row r="577">
      <c r="A577" s="64">
        <f>A576+1</f>
        <v/>
      </c>
      <c r="B577">
        <f>IF(MOD($A577-INDEX(SkiftStart,1),Syklus)&lt;DagK,"K",IF(MOD($A577-INDEX(SkiftStart,1),Syklus)&lt;DagK+DagH,"H",IF(MOD($A577-INDEX(SkiftStart,1),Syklus)&lt;DagK+DagH+DagD,"D","F")))</f>
        <v/>
      </c>
      <c r="C577">
        <f>IF(MOD($A577-INDEX(SkiftStart,2),Syklus)&lt;DagK,"K",IF(MOD($A577-INDEX(SkiftStart,2),Syklus)&lt;DagK+DagH,"H",IF(MOD($A577-INDEX(SkiftStart,2),Syklus)&lt;DagK+DagH+DagD,"D","F")))</f>
        <v/>
      </c>
      <c r="D577">
        <f>IF(MOD($A577-INDEX(SkiftStart,3),Syklus)&lt;DagK,"K",IF(MOD($A577-INDEX(SkiftStart,3),Syklus)&lt;DagK+DagH,"H",IF(MOD($A577-INDEX(SkiftStart,3),Syklus)&lt;DagK+DagH+DagD,"D","F")))</f>
        <v/>
      </c>
      <c r="E577">
        <f>IF(B577="F",0,IF(WEEKDAY($A577,2)=5,INDEX(TimerFr,MATCH(B577,FaseKode,0)),INDEX(TimerMT,MATCH(B577,FaseKode,0))))</f>
        <v/>
      </c>
      <c r="F577">
        <f>IF(C577="F",0,IF(WEEKDAY($A577,2)=5,INDEX(TimerFr,MATCH(C577,FaseKode,0)),INDEX(TimerMT,MATCH(C577,FaseKode,0))))</f>
        <v/>
      </c>
      <c r="G577">
        <f>IF(D577="F",0,IF(WEEKDAY($A577,2)=5,INDEX(TimerFr,MATCH(D577,FaseKode,0)),INDEX(TimerMT,MATCH(D577,FaseKode,0))))</f>
        <v/>
      </c>
      <c r="H577">
        <f>IF(OR(H$4="",$A577&gt;TODAY()),0,IF(OR(INDEX($B577:$D577,H$5)="F",AND(H$6&gt;0,$A577&lt;H$6),AND(H$7&gt;0,$A577&gt;H$7)),0,MAX(0,ROUND((INDEX($E577:$G577,H$5)-SUMIFS(TF_Timer,TF_Tekniker,H$4,TF_Dato,$A577))*2,0)/2)))</f>
        <v/>
      </c>
      <c r="I577">
        <f>IF(OR(I$4="",$A577&gt;TODAY()),0,IF(OR(INDEX($B577:$D577,I$5)="F",AND(I$6&gt;0,$A577&lt;I$6),AND(I$7&gt;0,$A577&gt;I$7)),0,MAX(0,ROUND((INDEX($E577:$G577,I$5)-SUMIFS(TF_Timer,TF_Tekniker,I$4,TF_Dato,$A577))*2,0)/2)))</f>
        <v/>
      </c>
      <c r="J577">
        <f>IF(OR(J$4="",$A577&gt;TODAY()),0,IF(OR(INDEX($B577:$D577,J$5)="F",AND(J$6&gt;0,$A577&lt;J$6),AND(J$7&gt;0,$A577&gt;J$7)),0,MAX(0,ROUND((INDEX($E577:$G577,J$5)-SUMIFS(TF_Timer,TF_Tekniker,J$4,TF_Dato,$A577))*2,0)/2)))</f>
        <v/>
      </c>
      <c r="K577">
        <f>IF(OR(K$4="",$A577&gt;TODAY()),0,IF(OR(INDEX($B577:$D577,K$5)="F",AND(K$6&gt;0,$A577&lt;K$6),AND(K$7&gt;0,$A577&gt;K$7)),0,MAX(0,ROUND((INDEX($E577:$G577,K$5)-SUMIFS(TF_Timer,TF_Tekniker,K$4,TF_Dato,$A577))*2,0)/2)))</f>
        <v/>
      </c>
      <c r="L577">
        <f>IF(OR(L$4="",$A577&gt;TODAY()),0,IF(OR(INDEX($B577:$D577,L$5)="F",AND(L$6&gt;0,$A577&lt;L$6),AND(L$7&gt;0,$A577&gt;L$7)),0,MAX(0,ROUND((INDEX($E577:$G577,L$5)-SUMIFS(TF_Timer,TF_Tekniker,L$4,TF_Dato,$A577))*2,0)/2)))</f>
        <v/>
      </c>
      <c r="M577">
        <f>IF(OR(M$4="",$A577&gt;TODAY()),0,IF(OR(INDEX($B577:$D577,M$5)="F",AND(M$6&gt;0,$A577&lt;M$6),AND(M$7&gt;0,$A577&gt;M$7)),0,MAX(0,ROUND((INDEX($E577:$G577,M$5)-SUMIFS(TF_Timer,TF_Tekniker,M$4,TF_Dato,$A577))*2,0)/2)))</f>
        <v/>
      </c>
      <c r="N577">
        <f>IF(OR(N$4="",$A577&gt;TODAY()),0,IF(OR(INDEX($B577:$D577,N$5)="F",AND(N$6&gt;0,$A577&lt;N$6),AND(N$7&gt;0,$A577&gt;N$7)),0,MAX(0,ROUND((INDEX($E577:$G577,N$5)-SUMIFS(TF_Timer,TF_Tekniker,N$4,TF_Dato,$A577))*2,0)/2)))</f>
        <v/>
      </c>
      <c r="O577">
        <f>IF(OR(O$4="",$A577&gt;TODAY()),0,IF(OR(INDEX($B577:$D577,O$5)="F",AND(O$6&gt;0,$A577&lt;O$6),AND(O$7&gt;0,$A577&gt;O$7)),0,MAX(0,ROUND((INDEX($E577:$G577,O$5)-SUMIFS(TF_Timer,TF_Tekniker,O$4,TF_Dato,$A577))*2,0)/2)))</f>
        <v/>
      </c>
      <c r="P577">
        <f>IF(OR(P$4="",$A577&gt;TODAY()),0,IF(OR(INDEX($B577:$D577,P$5)="F",AND(P$6&gt;0,$A577&lt;P$6),AND(P$7&gt;0,$A577&gt;P$7)),0,MAX(0,ROUND((INDEX($E577:$G577,P$5)-SUMIFS(TF_Timer,TF_Tekniker,P$4,TF_Dato,$A577))*2,0)/2)))</f>
        <v/>
      </c>
      <c r="Q577">
        <f>IF(OR(Q$4="",$A577&gt;TODAY()),0,IF(OR(INDEX($B577:$D577,Q$5)="F",AND(Q$6&gt;0,$A577&lt;Q$6),AND(Q$7&gt;0,$A577&gt;Q$7)),0,MAX(0,ROUND((INDEX($E577:$G577,Q$5)-SUMIFS(TF_Timer,TF_Tekniker,Q$4,TF_Dato,$A577))*2,0)/2)))</f>
        <v/>
      </c>
      <c r="R577">
        <f>IF(OR(R$4="",$A577&gt;TODAY()),0,IF(OR(INDEX($B577:$D577,R$5)="F",AND(R$6&gt;0,$A577&lt;R$6),AND(R$7&gt;0,$A577&gt;R$7)),0,MAX(0,ROUND((INDEX($E577:$G577,R$5)-SUMIFS(TF_Timer,TF_Tekniker,R$4,TF_Dato,$A577))*2,0)/2)))</f>
        <v/>
      </c>
      <c r="S577">
        <f>IF(OR(S$4="",$A577&gt;TODAY()),0,IF(OR(INDEX($B577:$D577,S$5)="F",AND(S$6&gt;0,$A577&lt;S$6),AND(S$7&gt;0,$A577&gt;S$7)),0,MAX(0,ROUND((INDEX($E577:$G577,S$5)-SUMIFS(TF_Timer,TF_Tekniker,S$4,TF_Dato,$A577))*2,0)/2)))</f>
        <v/>
      </c>
      <c r="T577">
        <f>IF(OR(T$4="",$A577&gt;TODAY()),0,IF(OR(INDEX($B577:$D577,T$5)="F",AND(T$6&gt;0,$A577&lt;T$6),AND(T$7&gt;0,$A577&gt;T$7)),0,MAX(0,ROUND((INDEX($E577:$G577,T$5)-SUMIFS(TF_Timer,TF_Tekniker,T$4,TF_Dato,$A577))*2,0)/2)))</f>
        <v/>
      </c>
      <c r="U577">
        <f>IF(OR(U$4="",$A577&gt;TODAY()),0,IF(OR(INDEX($B577:$D577,U$5)="F",AND(U$6&gt;0,$A577&lt;U$6),AND(U$7&gt;0,$A577&gt;U$7)),0,MAX(0,ROUND((INDEX($E577:$G577,U$5)-SUMIFS(TF_Timer,TF_Tekniker,U$4,TF_Dato,$A577))*2,0)/2)))</f>
        <v/>
      </c>
      <c r="V577">
        <f>IF(OR(V$4="",$A577&gt;TODAY()),0,IF(OR(INDEX($B577:$D577,V$5)="F",AND(V$6&gt;0,$A577&lt;V$6),AND(V$7&gt;0,$A577&gt;V$7)),0,MAX(0,ROUND((INDEX($E577:$G577,V$5)-SUMIFS(TF_Timer,TF_Tekniker,V$4,TF_Dato,$A577))*2,0)/2)))</f>
        <v/>
      </c>
      <c r="W577">
        <f>IF(OR(W$4="",$A577&gt;TODAY()),0,IF(OR(INDEX($B577:$D577,W$5)="F",AND(W$6&gt;0,$A577&lt;W$6),AND(W$7&gt;0,$A577&gt;W$7)),0,MAX(0,ROUND((INDEX($E577:$G577,W$5)-SUMIFS(TF_Timer,TF_Tekniker,W$4,TF_Dato,$A577))*2,0)/2)))</f>
        <v/>
      </c>
      <c r="X577">
        <f>IF(OR(X$4="",$A577&gt;TODAY()),0,IF(OR(INDEX($B577:$D577,X$5)="F",AND(X$6&gt;0,$A577&lt;X$6),AND(X$7&gt;0,$A577&gt;X$7)),0,MAX(0,ROUND((INDEX($E577:$G577,X$5)-SUMIFS(TF_Timer,TF_Tekniker,X$4,TF_Dato,$A577))*2,0)/2)))</f>
        <v/>
      </c>
      <c r="Y577">
        <f>IF(OR(Y$4="",$A577&gt;TODAY()),0,IF(OR(INDEX($B577:$D577,Y$5)="F",AND(Y$6&gt;0,$A577&lt;Y$6),AND(Y$7&gt;0,$A577&gt;Y$7)),0,MAX(0,ROUND((INDEX($E577:$G577,Y$5)-SUMIFS(TF_Timer,TF_Tekniker,Y$4,TF_Dato,$A577))*2,0)/2)))</f>
        <v/>
      </c>
      <c r="Z577">
        <f>IF(OR(Z$4="",$A577&gt;TODAY()),0,IF(OR(INDEX($B577:$D577,Z$5)="F",AND(Z$6&gt;0,$A577&lt;Z$6),AND(Z$7&gt;0,$A577&gt;Z$7)),0,MAX(0,ROUND((INDEX($E577:$G577,Z$5)-SUMIFS(TF_Timer,TF_Tekniker,Z$4,TF_Dato,$A577))*2,0)/2)))</f>
        <v/>
      </c>
      <c r="AA577">
        <f>IF(OR(AA$4="",$A577&gt;TODAY()),0,IF(OR(INDEX($B577:$D577,AA$5)="F",AND(AA$6&gt;0,$A577&lt;AA$6),AND(AA$7&gt;0,$A577&gt;AA$7)),0,MAX(0,ROUND((INDEX($E577:$G577,AA$5)-SUMIFS(TF_Timer,TF_Tekniker,AA$4,TF_Dato,$A577))*2,0)/2)))</f>
        <v/>
      </c>
      <c r="AB577">
        <f>IF(OR(AB$4="",$A577&gt;TODAY()),0,IF(OR(INDEX($B577:$D577,AB$5)="F",AND(AB$6&gt;0,$A577&lt;AB$6),AND(AB$7&gt;0,$A577&gt;AB$7)),0,MAX(0,ROUND((INDEX($E577:$G577,AB$5)-SUMIFS(TF_Timer,TF_Tekniker,AB$4,TF_Dato,$A577))*2,0)/2)))</f>
        <v/>
      </c>
      <c r="AC577">
        <f>IF(OR(AC$4="",$A577&gt;TODAY()),0,IF(OR(INDEX($B577:$D577,AC$5)="F",AND(AC$6&gt;0,$A577&lt;AC$6),AND(AC$7&gt;0,$A577&gt;AC$7)),0,MAX(0,ROUND((INDEX($E577:$G577,AC$5)-SUMIFS(TF_Timer,TF_Tekniker,AC$4,TF_Dato,$A577))*2,0)/2)))</f>
        <v/>
      </c>
      <c r="AD577">
        <f>IF(OR(AD$4="",$A577&gt;TODAY()),0,IF(OR(INDEX($B577:$D577,AD$5)="F",AND(AD$6&gt;0,$A577&lt;AD$6),AND(AD$7&gt;0,$A577&gt;AD$7)),0,MAX(0,ROUND((INDEX($E577:$G577,AD$5)-SUMIFS(TF_Timer,TF_Tekniker,AD$4,TF_Dato,$A577))*2,0)/2)))</f>
        <v/>
      </c>
      <c r="AE577">
        <f>IF(OR(AE$4="",$A577&gt;TODAY()),0,IF(OR(INDEX($B577:$D577,AE$5)="F",AND(AE$6&gt;0,$A577&lt;AE$6),AND(AE$7&gt;0,$A577&gt;AE$7)),0,MAX(0,ROUND((INDEX($E577:$G577,AE$5)-SUMIFS(TF_Timer,TF_Tekniker,AE$4,TF_Dato,$A577))*2,0)/2)))</f>
        <v/>
      </c>
      <c r="AF577">
        <f>IF(OR(AF$4="",$A577&gt;TODAY()),0,IF(OR(INDEX($B577:$D577,AF$5)="F",AND(AF$6&gt;0,$A577&lt;AF$6),AND(AF$7&gt;0,$A577&gt;AF$7)),0,MAX(0,ROUND((INDEX($E577:$G577,AF$5)-SUMIFS(TF_Timer,TF_Tekniker,AF$4,TF_Dato,$A577))*2,0)/2)))</f>
        <v/>
      </c>
      <c r="AG577">
        <f>IF(OR(AG$4="",$A577&gt;TODAY()),0,IF(OR(INDEX($B577:$D577,AG$5)="F",AND(AG$6&gt;0,$A577&lt;AG$6),AND(AG$7&gt;0,$A577&gt;AG$7)),0,MAX(0,ROUND((INDEX($E577:$G577,AG$5)-SUMIFS(TF_Timer,TF_Tekniker,AG$4,TF_Dato,$A577))*2,0)/2)))</f>
        <v/>
      </c>
      <c r="AH577">
        <f>IF(OR(AH$4="",$A577&gt;TODAY()),0,IF(OR(INDEX($B577:$D577,AH$5)="F",AND(AH$6&gt;0,$A577&lt;AH$6),AND(AH$7&gt;0,$A577&gt;AH$7)),0,MAX(0,ROUND((INDEX($E577:$G577,AH$5)-SUMIFS(TF_Timer,TF_Tekniker,AH$4,TF_Dato,$A577))*2,0)/2)))</f>
        <v/>
      </c>
      <c r="AI577">
        <f>IF(OR(AI$4="",$A577&gt;TODAY()),0,IF(OR(INDEX($B577:$D577,AI$5)="F",AND(AI$6&gt;0,$A577&lt;AI$6),AND(AI$7&gt;0,$A577&gt;AI$7)),0,MAX(0,ROUND((INDEX($E577:$G577,AI$5)-SUMIFS(TF_Timer,TF_Tekniker,AI$4,TF_Dato,$A577))*2,0)/2)))</f>
        <v/>
      </c>
      <c r="AJ577">
        <f>IF(OR(AJ$4="",$A577&gt;TODAY()),0,IF(OR(INDEX($B577:$D577,AJ$5)="F",AND(AJ$6&gt;0,$A577&lt;AJ$6),AND(AJ$7&gt;0,$A577&gt;AJ$7)),0,MAX(0,ROUND((INDEX($E577:$G577,AJ$5)-SUMIFS(TF_Timer,TF_Tekniker,AJ$4,TF_Dato,$A577))*2,0)/2)))</f>
        <v/>
      </c>
      <c r="AK577">
        <f>IF(OR(AK$4="",$A577&gt;TODAY()),0,IF(OR(INDEX($B577:$D577,AK$5)="F",AND(AK$6&gt;0,$A577&lt;AK$6),AND(AK$7&gt;0,$A577&gt;AK$7)),0,MAX(0,ROUND((INDEX($E577:$G577,AK$5)-SUMIFS(TF_Timer,TF_Tekniker,AK$4,TF_Dato,$A577))*2,0)/2)))</f>
        <v/>
      </c>
      <c r="AL577">
        <f>IF(OR(AL$4="",$A577&gt;TODAY()),0,IF(OR(INDEX($B577:$D577,AL$5)="F",AND(AL$6&gt;0,$A577&lt;AL$6),AND(AL$7&gt;0,$A577&gt;AL$7)),0,MAX(0,ROUND((INDEX($E577:$G577,AL$5)-SUMIFS(TF_Timer,TF_Tekniker,AL$4,TF_Dato,$A577))*2,0)/2)))</f>
        <v/>
      </c>
      <c r="AM577">
        <f>IF(OR(AM$4="",$A577&gt;TODAY()),0,IF(OR(INDEX($B577:$D577,AM$5)="F",AND(AM$6&gt;0,$A577&lt;AM$6),AND(AM$7&gt;0,$A577&gt;AM$7)),0,MAX(0,ROUND((INDEX($E577:$G577,AM$5)-SUMIFS(TF_Timer,TF_Tekniker,AM$4,TF_Dato,$A577))*2,0)/2)))</f>
        <v/>
      </c>
      <c r="AN577">
        <f>IF(OR(AN$4="",$A577&gt;TODAY()),0,IF(OR(INDEX($B577:$D577,AN$5)="F",AND(AN$6&gt;0,$A577&lt;AN$6),AND(AN$7&gt;0,$A577&gt;AN$7)),0,MAX(0,ROUND((INDEX($E577:$G577,AN$5)-SUMIFS(TF_Timer,TF_Tekniker,AN$4,TF_Dato,$A577))*2,0)/2)))</f>
        <v/>
      </c>
      <c r="AO577">
        <f>IF(OR(AO$4="",$A577&gt;TODAY()),0,IF(OR(INDEX($B577:$D577,AO$5)="F",AND(AO$6&gt;0,$A577&lt;AO$6),AND(AO$7&gt;0,$A577&gt;AO$7)),0,MAX(0,ROUND((INDEX($E577:$G577,AO$5)-SUMIFS(TF_Timer,TF_Tekniker,AO$4,TF_Dato,$A577))*2,0)/2)))</f>
        <v/>
      </c>
      <c r="AP577">
        <f>IF(OR(AP$4="",$A577&gt;TODAY()),0,IF(OR(INDEX($B577:$D577,AP$5)="F",AND(AP$6&gt;0,$A577&lt;AP$6),AND(AP$7&gt;0,$A577&gt;AP$7)),0,MAX(0,ROUND((INDEX($E577:$G577,AP$5)-SUMIFS(TF_Timer,TF_Tekniker,AP$4,TF_Dato,$A577))*2,0)/2)))</f>
        <v/>
      </c>
      <c r="AQ577">
        <f>IF(OR(AQ$4="",$A577&gt;TODAY()),0,IF(OR(INDEX($B577:$D577,AQ$5)="F",AND(AQ$6&gt;0,$A577&lt;AQ$6),AND(AQ$7&gt;0,$A577&gt;AQ$7)),0,MAX(0,ROUND((INDEX($E577:$G577,AQ$5)-SUMIFS(TF_Timer,TF_Tekniker,AQ$4,TF_Dato,$A577))*2,0)/2)))</f>
        <v/>
      </c>
      <c r="AR577">
        <f>IF(OR(AR$4="",$A577&gt;TODAY()),0,IF(OR(INDEX($B577:$D577,AR$5)="F",AND(AR$6&gt;0,$A577&lt;AR$6),AND(AR$7&gt;0,$A577&gt;AR$7)),0,MAX(0,ROUND((INDEX($E577:$G577,AR$5)-SUMIFS(TF_Timer,TF_Tekniker,AR$4,TF_Dato,$A577))*2,0)/2)))</f>
        <v/>
      </c>
      <c r="AS577">
        <f>IF(OR(AS$4="",$A577&gt;TODAY()),0,IF(OR(INDEX($B577:$D577,AS$5)="F",AND(AS$6&gt;0,$A577&lt;AS$6),AND(AS$7&gt;0,$A577&gt;AS$7)),0,MAX(0,ROUND((INDEX($E577:$G577,AS$5)-SUMIFS(TF_Timer,TF_Tekniker,AS$4,TF_Dato,$A577))*2,0)/2)))</f>
        <v/>
      </c>
      <c r="AT577">
        <f>IF(OR(AT$4="",$A577&gt;TODAY()),0,IF(OR(INDEX($B577:$D577,AT$5)="F",AND(AT$6&gt;0,$A577&lt;AT$6),AND(AT$7&gt;0,$A577&gt;AT$7)),0,MAX(0,ROUND((INDEX($E577:$G577,AT$5)-SUMIFS(TF_Timer,TF_Tekniker,AT$4,TF_Dato,$A577))*2,0)/2)))</f>
        <v/>
      </c>
      <c r="AU577">
        <f>IF(OR(AU$4="",$A577&gt;TODAY()),0,IF(OR(INDEX($B577:$D577,AU$5)="F",AND(AU$6&gt;0,$A577&lt;AU$6),AND(AU$7&gt;0,$A577&gt;AU$7)),0,MAX(0,ROUND((INDEX($E577:$G577,AU$5)-SUMIFS(TF_Timer,TF_Tekniker,AU$4,TF_Dato,$A577))*2,0)/2)))</f>
        <v/>
      </c>
      <c r="AV577">
        <f>IF(OR(AV$4="",$A577&gt;TODAY()),0,IF(OR(INDEX($B577:$D577,AV$5)="F",AND(AV$6&gt;0,$A577&lt;AV$6),AND(AV$7&gt;0,$A577&gt;AV$7)),0,MAX(0,ROUND((INDEX($E577:$G577,AV$5)-SUMIFS(TF_Timer,TF_Tekniker,AV$4,TF_Dato,$A577))*2,0)/2)))</f>
        <v/>
      </c>
      <c r="AW577">
        <f>IF(OR(AW$4="",$A577&gt;TODAY()),0,IF(OR(INDEX($B577:$D577,AW$5)="F",AND(AW$6&gt;0,$A577&lt;AW$6),AND(AW$7&gt;0,$A577&gt;AW$7)),0,MAX(0,ROUND((INDEX($E577:$G577,AW$5)-SUMIFS(TF_Timer,TF_Tekniker,AW$4,TF_Dato,$A577))*2,0)/2)))</f>
        <v/>
      </c>
      <c r="AX577">
        <f>IF(OR(AX$4="",$A577&gt;TODAY()),0,IF(OR(INDEX($B577:$D577,AX$5)="F",AND(AX$6&gt;0,$A577&lt;AX$6),AND(AX$7&gt;0,$A577&gt;AX$7)),0,MAX(0,ROUND((INDEX($E577:$G577,AX$5)-SUMIFS(TF_Timer,TF_Tekniker,AX$4,TF_Dato,$A577))*2,0)/2)))</f>
        <v/>
      </c>
      <c r="AY577">
        <f>IF(OR(AY$4="",$A577&gt;TODAY()),0,IF(OR(INDEX($B577:$D577,AY$5)="F",AND(AY$6&gt;0,$A577&lt;AY$6),AND(AY$7&gt;0,$A577&gt;AY$7)),0,MAX(0,ROUND((INDEX($E577:$G577,AY$5)-SUMIFS(TF_Timer,TF_Tekniker,AY$4,TF_Dato,$A577))*2,0)/2)))</f>
        <v/>
      </c>
      <c r="AZ577">
        <f>IF(OR(AZ$4="",$A577&gt;TODAY()),0,IF(OR(INDEX($B577:$D577,AZ$5)="F",AND(AZ$6&gt;0,$A577&lt;AZ$6),AND(AZ$7&gt;0,$A577&gt;AZ$7)),0,MAX(0,ROUND((INDEX($E577:$G577,AZ$5)-SUMIFS(TF_Timer,TF_Tekniker,AZ$4,TF_Dato,$A577))*2,0)/2)))</f>
        <v/>
      </c>
      <c r="BA577">
        <f>IF(OR(BA$4="",$A577&gt;TODAY()),0,IF(OR(INDEX($B577:$D577,BA$5)="F",AND(BA$6&gt;0,$A577&lt;BA$6),AND(BA$7&gt;0,$A577&gt;BA$7)),0,MAX(0,ROUND((INDEX($E577:$G577,BA$5)-SUMIFS(TF_Timer,TF_Tekniker,BA$4,TF_Dato,$A577))*2,0)/2)))</f>
        <v/>
      </c>
      <c r="BB577">
        <f>IF(OR(BB$4="",$A577&gt;TODAY()),0,IF(OR(INDEX($B577:$D577,BB$5)="F",AND(BB$6&gt;0,$A577&lt;BB$6),AND(BB$7&gt;0,$A577&gt;BB$7)),0,MAX(0,ROUND((INDEX($E577:$G577,BB$5)-SUMIFS(TF_Timer,TF_Tekniker,BB$4,TF_Dato,$A577))*2,0)/2)))</f>
        <v/>
      </c>
      <c r="BC577">
        <f>IF(OR(BC$4="",$A577&gt;TODAY()),0,IF(OR(INDEX($B577:$D577,BC$5)="F",AND(BC$6&gt;0,$A577&lt;BC$6),AND(BC$7&gt;0,$A577&gt;BC$7)),0,MAX(0,ROUND((INDEX($E577:$G577,BC$5)-SUMIFS(TF_Timer,TF_Tekniker,BC$4,TF_Dato,$A577))*2,0)/2)))</f>
        <v/>
      </c>
      <c r="BD577">
        <f>IF(OR(BD$4="",$A577&gt;TODAY()),0,IF(OR(INDEX($B577:$D577,BD$5)="F",AND(BD$6&gt;0,$A577&lt;BD$6),AND(BD$7&gt;0,$A577&gt;BD$7)),0,MAX(0,ROUND((INDEX($E577:$G577,BD$5)-SUMIFS(TF_Timer,TF_Tekniker,BD$4,TF_Dato,$A577))*2,0)/2)))</f>
        <v/>
      </c>
      <c r="BE577">
        <f>IF(OR(BE$4="",$A577&gt;TODAY()),0,IF(OR(INDEX($B577:$D577,BE$5)="F",AND(BE$6&gt;0,$A577&lt;BE$6),AND(BE$7&gt;0,$A577&gt;BE$7)),0,MAX(0,ROUND((INDEX($E577:$G577,BE$5)-SUMIFS(TF_Timer,TF_Tekniker,BE$4,TF_Dato,$A577))*2,0)/2)))</f>
        <v/>
      </c>
      <c r="BF577">
        <f>IF(OR(BF$4="",$A577&gt;TODAY()),0,IF(OR(INDEX($B577:$D577,BF$5)="F",AND(BF$6&gt;0,$A577&lt;BF$6),AND(BF$7&gt;0,$A577&gt;BF$7)),0,MAX(0,ROUND((INDEX($E577:$G577,BF$5)-SUMIFS(TF_Timer,TF_Tekniker,BF$4,TF_Dato,$A577))*2,0)/2)))</f>
        <v/>
      </c>
      <c r="BG577">
        <f>IF(OR(BG$4="",$A577&gt;TODAY()),0,IF(OR(INDEX($B577:$D577,BG$5)="F",AND(BG$6&gt;0,$A577&lt;BG$6),AND(BG$7&gt;0,$A577&gt;BG$7)),0,MAX(0,ROUND((INDEX($E577:$G577,BG$5)-SUMIFS(TF_Timer,TF_Tekniker,BG$4,TF_Dato,$A577))*2,0)/2)))</f>
        <v/>
      </c>
      <c r="BH577">
        <f>IF(OR(BH$4="",$A577&gt;TODAY()),0,IF(OR(INDEX($B577:$D577,BH$5)="F",AND(BH$6&gt;0,$A577&lt;BH$6),AND(BH$7&gt;0,$A577&gt;BH$7)),0,MAX(0,ROUND((INDEX($E577:$G577,BH$5)-SUMIFS(TF_Timer,TF_Tekniker,BH$4,TF_Dato,$A577))*2,0)/2)))</f>
        <v/>
      </c>
      <c r="BI577">
        <f>IF(OR(BI$4="",$A577&gt;TODAY()),0,IF(OR(INDEX($B577:$D577,BI$5)="F",AND(BI$6&gt;0,$A577&lt;BI$6),AND(BI$7&gt;0,$A577&gt;BI$7)),0,MAX(0,ROUND((INDEX($E577:$G577,BI$5)-SUMIFS(TF_Timer,TF_Tekniker,BI$4,TF_Dato,$A577))*2,0)/2)))</f>
        <v/>
      </c>
    </row>
    <row r="578">
      <c r="A578" s="64">
        <f>A577+1</f>
        <v/>
      </c>
      <c r="B578">
        <f>IF(MOD($A578-INDEX(SkiftStart,1),Syklus)&lt;DagK,"K",IF(MOD($A578-INDEX(SkiftStart,1),Syklus)&lt;DagK+DagH,"H",IF(MOD($A578-INDEX(SkiftStart,1),Syklus)&lt;DagK+DagH+DagD,"D","F")))</f>
        <v/>
      </c>
      <c r="C578">
        <f>IF(MOD($A578-INDEX(SkiftStart,2),Syklus)&lt;DagK,"K",IF(MOD($A578-INDEX(SkiftStart,2),Syklus)&lt;DagK+DagH,"H",IF(MOD($A578-INDEX(SkiftStart,2),Syklus)&lt;DagK+DagH+DagD,"D","F")))</f>
        <v/>
      </c>
      <c r="D578">
        <f>IF(MOD($A578-INDEX(SkiftStart,3),Syklus)&lt;DagK,"K",IF(MOD($A578-INDEX(SkiftStart,3),Syklus)&lt;DagK+DagH,"H",IF(MOD($A578-INDEX(SkiftStart,3),Syklus)&lt;DagK+DagH+DagD,"D","F")))</f>
        <v/>
      </c>
      <c r="E578">
        <f>IF(B578="F",0,IF(WEEKDAY($A578,2)=5,INDEX(TimerFr,MATCH(B578,FaseKode,0)),INDEX(TimerMT,MATCH(B578,FaseKode,0))))</f>
        <v/>
      </c>
      <c r="F578">
        <f>IF(C578="F",0,IF(WEEKDAY($A578,2)=5,INDEX(TimerFr,MATCH(C578,FaseKode,0)),INDEX(TimerMT,MATCH(C578,FaseKode,0))))</f>
        <v/>
      </c>
      <c r="G578">
        <f>IF(D578="F",0,IF(WEEKDAY($A578,2)=5,INDEX(TimerFr,MATCH(D578,FaseKode,0)),INDEX(TimerMT,MATCH(D578,FaseKode,0))))</f>
        <v/>
      </c>
      <c r="H578">
        <f>IF(OR(H$4="",$A578&gt;TODAY()),0,IF(OR(INDEX($B578:$D578,H$5)="F",AND(H$6&gt;0,$A578&lt;H$6),AND(H$7&gt;0,$A578&gt;H$7)),0,MAX(0,ROUND((INDEX($E578:$G578,H$5)-SUMIFS(TF_Timer,TF_Tekniker,H$4,TF_Dato,$A578))*2,0)/2)))</f>
        <v/>
      </c>
      <c r="I578">
        <f>IF(OR(I$4="",$A578&gt;TODAY()),0,IF(OR(INDEX($B578:$D578,I$5)="F",AND(I$6&gt;0,$A578&lt;I$6),AND(I$7&gt;0,$A578&gt;I$7)),0,MAX(0,ROUND((INDEX($E578:$G578,I$5)-SUMIFS(TF_Timer,TF_Tekniker,I$4,TF_Dato,$A578))*2,0)/2)))</f>
        <v/>
      </c>
      <c r="J578">
        <f>IF(OR(J$4="",$A578&gt;TODAY()),0,IF(OR(INDEX($B578:$D578,J$5)="F",AND(J$6&gt;0,$A578&lt;J$6),AND(J$7&gt;0,$A578&gt;J$7)),0,MAX(0,ROUND((INDEX($E578:$G578,J$5)-SUMIFS(TF_Timer,TF_Tekniker,J$4,TF_Dato,$A578))*2,0)/2)))</f>
        <v/>
      </c>
      <c r="K578">
        <f>IF(OR(K$4="",$A578&gt;TODAY()),0,IF(OR(INDEX($B578:$D578,K$5)="F",AND(K$6&gt;0,$A578&lt;K$6),AND(K$7&gt;0,$A578&gt;K$7)),0,MAX(0,ROUND((INDEX($E578:$G578,K$5)-SUMIFS(TF_Timer,TF_Tekniker,K$4,TF_Dato,$A578))*2,0)/2)))</f>
        <v/>
      </c>
      <c r="L578">
        <f>IF(OR(L$4="",$A578&gt;TODAY()),0,IF(OR(INDEX($B578:$D578,L$5)="F",AND(L$6&gt;0,$A578&lt;L$6),AND(L$7&gt;0,$A578&gt;L$7)),0,MAX(0,ROUND((INDEX($E578:$G578,L$5)-SUMIFS(TF_Timer,TF_Tekniker,L$4,TF_Dato,$A578))*2,0)/2)))</f>
        <v/>
      </c>
      <c r="M578">
        <f>IF(OR(M$4="",$A578&gt;TODAY()),0,IF(OR(INDEX($B578:$D578,M$5)="F",AND(M$6&gt;0,$A578&lt;M$6),AND(M$7&gt;0,$A578&gt;M$7)),0,MAX(0,ROUND((INDEX($E578:$G578,M$5)-SUMIFS(TF_Timer,TF_Tekniker,M$4,TF_Dato,$A578))*2,0)/2)))</f>
        <v/>
      </c>
      <c r="N578">
        <f>IF(OR(N$4="",$A578&gt;TODAY()),0,IF(OR(INDEX($B578:$D578,N$5)="F",AND(N$6&gt;0,$A578&lt;N$6),AND(N$7&gt;0,$A578&gt;N$7)),0,MAX(0,ROUND((INDEX($E578:$G578,N$5)-SUMIFS(TF_Timer,TF_Tekniker,N$4,TF_Dato,$A578))*2,0)/2)))</f>
        <v/>
      </c>
      <c r="O578">
        <f>IF(OR(O$4="",$A578&gt;TODAY()),0,IF(OR(INDEX($B578:$D578,O$5)="F",AND(O$6&gt;0,$A578&lt;O$6),AND(O$7&gt;0,$A578&gt;O$7)),0,MAX(0,ROUND((INDEX($E578:$G578,O$5)-SUMIFS(TF_Timer,TF_Tekniker,O$4,TF_Dato,$A578))*2,0)/2)))</f>
        <v/>
      </c>
      <c r="P578">
        <f>IF(OR(P$4="",$A578&gt;TODAY()),0,IF(OR(INDEX($B578:$D578,P$5)="F",AND(P$6&gt;0,$A578&lt;P$6),AND(P$7&gt;0,$A578&gt;P$7)),0,MAX(0,ROUND((INDEX($E578:$G578,P$5)-SUMIFS(TF_Timer,TF_Tekniker,P$4,TF_Dato,$A578))*2,0)/2)))</f>
        <v/>
      </c>
      <c r="Q578">
        <f>IF(OR(Q$4="",$A578&gt;TODAY()),0,IF(OR(INDEX($B578:$D578,Q$5)="F",AND(Q$6&gt;0,$A578&lt;Q$6),AND(Q$7&gt;0,$A578&gt;Q$7)),0,MAX(0,ROUND((INDEX($E578:$G578,Q$5)-SUMIFS(TF_Timer,TF_Tekniker,Q$4,TF_Dato,$A578))*2,0)/2)))</f>
        <v/>
      </c>
      <c r="R578">
        <f>IF(OR(R$4="",$A578&gt;TODAY()),0,IF(OR(INDEX($B578:$D578,R$5)="F",AND(R$6&gt;0,$A578&lt;R$6),AND(R$7&gt;0,$A578&gt;R$7)),0,MAX(0,ROUND((INDEX($E578:$G578,R$5)-SUMIFS(TF_Timer,TF_Tekniker,R$4,TF_Dato,$A578))*2,0)/2)))</f>
        <v/>
      </c>
      <c r="S578">
        <f>IF(OR(S$4="",$A578&gt;TODAY()),0,IF(OR(INDEX($B578:$D578,S$5)="F",AND(S$6&gt;0,$A578&lt;S$6),AND(S$7&gt;0,$A578&gt;S$7)),0,MAX(0,ROUND((INDEX($E578:$G578,S$5)-SUMIFS(TF_Timer,TF_Tekniker,S$4,TF_Dato,$A578))*2,0)/2)))</f>
        <v/>
      </c>
      <c r="T578">
        <f>IF(OR(T$4="",$A578&gt;TODAY()),0,IF(OR(INDEX($B578:$D578,T$5)="F",AND(T$6&gt;0,$A578&lt;T$6),AND(T$7&gt;0,$A578&gt;T$7)),0,MAX(0,ROUND((INDEX($E578:$G578,T$5)-SUMIFS(TF_Timer,TF_Tekniker,T$4,TF_Dato,$A578))*2,0)/2)))</f>
        <v/>
      </c>
      <c r="U578">
        <f>IF(OR(U$4="",$A578&gt;TODAY()),0,IF(OR(INDEX($B578:$D578,U$5)="F",AND(U$6&gt;0,$A578&lt;U$6),AND(U$7&gt;0,$A578&gt;U$7)),0,MAX(0,ROUND((INDEX($E578:$G578,U$5)-SUMIFS(TF_Timer,TF_Tekniker,U$4,TF_Dato,$A578))*2,0)/2)))</f>
        <v/>
      </c>
      <c r="V578">
        <f>IF(OR(V$4="",$A578&gt;TODAY()),0,IF(OR(INDEX($B578:$D578,V$5)="F",AND(V$6&gt;0,$A578&lt;V$6),AND(V$7&gt;0,$A578&gt;V$7)),0,MAX(0,ROUND((INDEX($E578:$G578,V$5)-SUMIFS(TF_Timer,TF_Tekniker,V$4,TF_Dato,$A578))*2,0)/2)))</f>
        <v/>
      </c>
      <c r="W578">
        <f>IF(OR(W$4="",$A578&gt;TODAY()),0,IF(OR(INDEX($B578:$D578,W$5)="F",AND(W$6&gt;0,$A578&lt;W$6),AND(W$7&gt;0,$A578&gt;W$7)),0,MAX(0,ROUND((INDEX($E578:$G578,W$5)-SUMIFS(TF_Timer,TF_Tekniker,W$4,TF_Dato,$A578))*2,0)/2)))</f>
        <v/>
      </c>
      <c r="X578">
        <f>IF(OR(X$4="",$A578&gt;TODAY()),0,IF(OR(INDEX($B578:$D578,X$5)="F",AND(X$6&gt;0,$A578&lt;X$6),AND(X$7&gt;0,$A578&gt;X$7)),0,MAX(0,ROUND((INDEX($E578:$G578,X$5)-SUMIFS(TF_Timer,TF_Tekniker,X$4,TF_Dato,$A578))*2,0)/2)))</f>
        <v/>
      </c>
      <c r="Y578">
        <f>IF(OR(Y$4="",$A578&gt;TODAY()),0,IF(OR(INDEX($B578:$D578,Y$5)="F",AND(Y$6&gt;0,$A578&lt;Y$6),AND(Y$7&gt;0,$A578&gt;Y$7)),0,MAX(0,ROUND((INDEX($E578:$G578,Y$5)-SUMIFS(TF_Timer,TF_Tekniker,Y$4,TF_Dato,$A578))*2,0)/2)))</f>
        <v/>
      </c>
      <c r="Z578">
        <f>IF(OR(Z$4="",$A578&gt;TODAY()),0,IF(OR(INDEX($B578:$D578,Z$5)="F",AND(Z$6&gt;0,$A578&lt;Z$6),AND(Z$7&gt;0,$A578&gt;Z$7)),0,MAX(0,ROUND((INDEX($E578:$G578,Z$5)-SUMIFS(TF_Timer,TF_Tekniker,Z$4,TF_Dato,$A578))*2,0)/2)))</f>
        <v/>
      </c>
      <c r="AA578">
        <f>IF(OR(AA$4="",$A578&gt;TODAY()),0,IF(OR(INDEX($B578:$D578,AA$5)="F",AND(AA$6&gt;0,$A578&lt;AA$6),AND(AA$7&gt;0,$A578&gt;AA$7)),0,MAX(0,ROUND((INDEX($E578:$G578,AA$5)-SUMIFS(TF_Timer,TF_Tekniker,AA$4,TF_Dato,$A578))*2,0)/2)))</f>
        <v/>
      </c>
      <c r="AB578">
        <f>IF(OR(AB$4="",$A578&gt;TODAY()),0,IF(OR(INDEX($B578:$D578,AB$5)="F",AND(AB$6&gt;0,$A578&lt;AB$6),AND(AB$7&gt;0,$A578&gt;AB$7)),0,MAX(0,ROUND((INDEX($E578:$G578,AB$5)-SUMIFS(TF_Timer,TF_Tekniker,AB$4,TF_Dato,$A578))*2,0)/2)))</f>
        <v/>
      </c>
      <c r="AC578">
        <f>IF(OR(AC$4="",$A578&gt;TODAY()),0,IF(OR(INDEX($B578:$D578,AC$5)="F",AND(AC$6&gt;0,$A578&lt;AC$6),AND(AC$7&gt;0,$A578&gt;AC$7)),0,MAX(0,ROUND((INDEX($E578:$G578,AC$5)-SUMIFS(TF_Timer,TF_Tekniker,AC$4,TF_Dato,$A578))*2,0)/2)))</f>
        <v/>
      </c>
      <c r="AD578">
        <f>IF(OR(AD$4="",$A578&gt;TODAY()),0,IF(OR(INDEX($B578:$D578,AD$5)="F",AND(AD$6&gt;0,$A578&lt;AD$6),AND(AD$7&gt;0,$A578&gt;AD$7)),0,MAX(0,ROUND((INDEX($E578:$G578,AD$5)-SUMIFS(TF_Timer,TF_Tekniker,AD$4,TF_Dato,$A578))*2,0)/2)))</f>
        <v/>
      </c>
      <c r="AE578">
        <f>IF(OR(AE$4="",$A578&gt;TODAY()),0,IF(OR(INDEX($B578:$D578,AE$5)="F",AND(AE$6&gt;0,$A578&lt;AE$6),AND(AE$7&gt;0,$A578&gt;AE$7)),0,MAX(0,ROUND((INDEX($E578:$G578,AE$5)-SUMIFS(TF_Timer,TF_Tekniker,AE$4,TF_Dato,$A578))*2,0)/2)))</f>
        <v/>
      </c>
      <c r="AF578">
        <f>IF(OR(AF$4="",$A578&gt;TODAY()),0,IF(OR(INDEX($B578:$D578,AF$5)="F",AND(AF$6&gt;0,$A578&lt;AF$6),AND(AF$7&gt;0,$A578&gt;AF$7)),0,MAX(0,ROUND((INDEX($E578:$G578,AF$5)-SUMIFS(TF_Timer,TF_Tekniker,AF$4,TF_Dato,$A578))*2,0)/2)))</f>
        <v/>
      </c>
      <c r="AG578">
        <f>IF(OR(AG$4="",$A578&gt;TODAY()),0,IF(OR(INDEX($B578:$D578,AG$5)="F",AND(AG$6&gt;0,$A578&lt;AG$6),AND(AG$7&gt;0,$A578&gt;AG$7)),0,MAX(0,ROUND((INDEX($E578:$G578,AG$5)-SUMIFS(TF_Timer,TF_Tekniker,AG$4,TF_Dato,$A578))*2,0)/2)))</f>
        <v/>
      </c>
      <c r="AH578">
        <f>IF(OR(AH$4="",$A578&gt;TODAY()),0,IF(OR(INDEX($B578:$D578,AH$5)="F",AND(AH$6&gt;0,$A578&lt;AH$6),AND(AH$7&gt;0,$A578&gt;AH$7)),0,MAX(0,ROUND((INDEX($E578:$G578,AH$5)-SUMIFS(TF_Timer,TF_Tekniker,AH$4,TF_Dato,$A578))*2,0)/2)))</f>
        <v/>
      </c>
      <c r="AI578">
        <f>IF(OR(AI$4="",$A578&gt;TODAY()),0,IF(OR(INDEX($B578:$D578,AI$5)="F",AND(AI$6&gt;0,$A578&lt;AI$6),AND(AI$7&gt;0,$A578&gt;AI$7)),0,MAX(0,ROUND((INDEX($E578:$G578,AI$5)-SUMIFS(TF_Timer,TF_Tekniker,AI$4,TF_Dato,$A578))*2,0)/2)))</f>
        <v/>
      </c>
      <c r="AJ578">
        <f>IF(OR(AJ$4="",$A578&gt;TODAY()),0,IF(OR(INDEX($B578:$D578,AJ$5)="F",AND(AJ$6&gt;0,$A578&lt;AJ$6),AND(AJ$7&gt;0,$A578&gt;AJ$7)),0,MAX(0,ROUND((INDEX($E578:$G578,AJ$5)-SUMIFS(TF_Timer,TF_Tekniker,AJ$4,TF_Dato,$A578))*2,0)/2)))</f>
        <v/>
      </c>
      <c r="AK578">
        <f>IF(OR(AK$4="",$A578&gt;TODAY()),0,IF(OR(INDEX($B578:$D578,AK$5)="F",AND(AK$6&gt;0,$A578&lt;AK$6),AND(AK$7&gt;0,$A578&gt;AK$7)),0,MAX(0,ROUND((INDEX($E578:$G578,AK$5)-SUMIFS(TF_Timer,TF_Tekniker,AK$4,TF_Dato,$A578))*2,0)/2)))</f>
        <v/>
      </c>
      <c r="AL578">
        <f>IF(OR(AL$4="",$A578&gt;TODAY()),0,IF(OR(INDEX($B578:$D578,AL$5)="F",AND(AL$6&gt;0,$A578&lt;AL$6),AND(AL$7&gt;0,$A578&gt;AL$7)),0,MAX(0,ROUND((INDEX($E578:$G578,AL$5)-SUMIFS(TF_Timer,TF_Tekniker,AL$4,TF_Dato,$A578))*2,0)/2)))</f>
        <v/>
      </c>
      <c r="AM578">
        <f>IF(OR(AM$4="",$A578&gt;TODAY()),0,IF(OR(INDEX($B578:$D578,AM$5)="F",AND(AM$6&gt;0,$A578&lt;AM$6),AND(AM$7&gt;0,$A578&gt;AM$7)),0,MAX(0,ROUND((INDEX($E578:$G578,AM$5)-SUMIFS(TF_Timer,TF_Tekniker,AM$4,TF_Dato,$A578))*2,0)/2)))</f>
        <v/>
      </c>
      <c r="AN578">
        <f>IF(OR(AN$4="",$A578&gt;TODAY()),0,IF(OR(INDEX($B578:$D578,AN$5)="F",AND(AN$6&gt;0,$A578&lt;AN$6),AND(AN$7&gt;0,$A578&gt;AN$7)),0,MAX(0,ROUND((INDEX($E578:$G578,AN$5)-SUMIFS(TF_Timer,TF_Tekniker,AN$4,TF_Dato,$A578))*2,0)/2)))</f>
        <v/>
      </c>
      <c r="AO578">
        <f>IF(OR(AO$4="",$A578&gt;TODAY()),0,IF(OR(INDEX($B578:$D578,AO$5)="F",AND(AO$6&gt;0,$A578&lt;AO$6),AND(AO$7&gt;0,$A578&gt;AO$7)),0,MAX(0,ROUND((INDEX($E578:$G578,AO$5)-SUMIFS(TF_Timer,TF_Tekniker,AO$4,TF_Dato,$A578))*2,0)/2)))</f>
        <v/>
      </c>
      <c r="AP578">
        <f>IF(OR(AP$4="",$A578&gt;TODAY()),0,IF(OR(INDEX($B578:$D578,AP$5)="F",AND(AP$6&gt;0,$A578&lt;AP$6),AND(AP$7&gt;0,$A578&gt;AP$7)),0,MAX(0,ROUND((INDEX($E578:$G578,AP$5)-SUMIFS(TF_Timer,TF_Tekniker,AP$4,TF_Dato,$A578))*2,0)/2)))</f>
        <v/>
      </c>
      <c r="AQ578">
        <f>IF(OR(AQ$4="",$A578&gt;TODAY()),0,IF(OR(INDEX($B578:$D578,AQ$5)="F",AND(AQ$6&gt;0,$A578&lt;AQ$6),AND(AQ$7&gt;0,$A578&gt;AQ$7)),0,MAX(0,ROUND((INDEX($E578:$G578,AQ$5)-SUMIFS(TF_Timer,TF_Tekniker,AQ$4,TF_Dato,$A578))*2,0)/2)))</f>
        <v/>
      </c>
      <c r="AR578">
        <f>IF(OR(AR$4="",$A578&gt;TODAY()),0,IF(OR(INDEX($B578:$D578,AR$5)="F",AND(AR$6&gt;0,$A578&lt;AR$6),AND(AR$7&gt;0,$A578&gt;AR$7)),0,MAX(0,ROUND((INDEX($E578:$G578,AR$5)-SUMIFS(TF_Timer,TF_Tekniker,AR$4,TF_Dato,$A578))*2,0)/2)))</f>
        <v/>
      </c>
      <c r="AS578">
        <f>IF(OR(AS$4="",$A578&gt;TODAY()),0,IF(OR(INDEX($B578:$D578,AS$5)="F",AND(AS$6&gt;0,$A578&lt;AS$6),AND(AS$7&gt;0,$A578&gt;AS$7)),0,MAX(0,ROUND((INDEX($E578:$G578,AS$5)-SUMIFS(TF_Timer,TF_Tekniker,AS$4,TF_Dato,$A578))*2,0)/2)))</f>
        <v/>
      </c>
      <c r="AT578">
        <f>IF(OR(AT$4="",$A578&gt;TODAY()),0,IF(OR(INDEX($B578:$D578,AT$5)="F",AND(AT$6&gt;0,$A578&lt;AT$6),AND(AT$7&gt;0,$A578&gt;AT$7)),0,MAX(0,ROUND((INDEX($E578:$G578,AT$5)-SUMIFS(TF_Timer,TF_Tekniker,AT$4,TF_Dato,$A578))*2,0)/2)))</f>
        <v/>
      </c>
      <c r="AU578">
        <f>IF(OR(AU$4="",$A578&gt;TODAY()),0,IF(OR(INDEX($B578:$D578,AU$5)="F",AND(AU$6&gt;0,$A578&lt;AU$6),AND(AU$7&gt;0,$A578&gt;AU$7)),0,MAX(0,ROUND((INDEX($E578:$G578,AU$5)-SUMIFS(TF_Timer,TF_Tekniker,AU$4,TF_Dato,$A578))*2,0)/2)))</f>
        <v/>
      </c>
      <c r="AV578">
        <f>IF(OR(AV$4="",$A578&gt;TODAY()),0,IF(OR(INDEX($B578:$D578,AV$5)="F",AND(AV$6&gt;0,$A578&lt;AV$6),AND(AV$7&gt;0,$A578&gt;AV$7)),0,MAX(0,ROUND((INDEX($E578:$G578,AV$5)-SUMIFS(TF_Timer,TF_Tekniker,AV$4,TF_Dato,$A578))*2,0)/2)))</f>
        <v/>
      </c>
      <c r="AW578">
        <f>IF(OR(AW$4="",$A578&gt;TODAY()),0,IF(OR(INDEX($B578:$D578,AW$5)="F",AND(AW$6&gt;0,$A578&lt;AW$6),AND(AW$7&gt;0,$A578&gt;AW$7)),0,MAX(0,ROUND((INDEX($E578:$G578,AW$5)-SUMIFS(TF_Timer,TF_Tekniker,AW$4,TF_Dato,$A578))*2,0)/2)))</f>
        <v/>
      </c>
      <c r="AX578">
        <f>IF(OR(AX$4="",$A578&gt;TODAY()),0,IF(OR(INDEX($B578:$D578,AX$5)="F",AND(AX$6&gt;0,$A578&lt;AX$6),AND(AX$7&gt;0,$A578&gt;AX$7)),0,MAX(0,ROUND((INDEX($E578:$G578,AX$5)-SUMIFS(TF_Timer,TF_Tekniker,AX$4,TF_Dato,$A578))*2,0)/2)))</f>
        <v/>
      </c>
      <c r="AY578">
        <f>IF(OR(AY$4="",$A578&gt;TODAY()),0,IF(OR(INDEX($B578:$D578,AY$5)="F",AND(AY$6&gt;0,$A578&lt;AY$6),AND(AY$7&gt;0,$A578&gt;AY$7)),0,MAX(0,ROUND((INDEX($E578:$G578,AY$5)-SUMIFS(TF_Timer,TF_Tekniker,AY$4,TF_Dato,$A578))*2,0)/2)))</f>
        <v/>
      </c>
      <c r="AZ578">
        <f>IF(OR(AZ$4="",$A578&gt;TODAY()),0,IF(OR(INDEX($B578:$D578,AZ$5)="F",AND(AZ$6&gt;0,$A578&lt;AZ$6),AND(AZ$7&gt;0,$A578&gt;AZ$7)),0,MAX(0,ROUND((INDEX($E578:$G578,AZ$5)-SUMIFS(TF_Timer,TF_Tekniker,AZ$4,TF_Dato,$A578))*2,0)/2)))</f>
        <v/>
      </c>
      <c r="BA578">
        <f>IF(OR(BA$4="",$A578&gt;TODAY()),0,IF(OR(INDEX($B578:$D578,BA$5)="F",AND(BA$6&gt;0,$A578&lt;BA$6),AND(BA$7&gt;0,$A578&gt;BA$7)),0,MAX(0,ROUND((INDEX($E578:$G578,BA$5)-SUMIFS(TF_Timer,TF_Tekniker,BA$4,TF_Dato,$A578))*2,0)/2)))</f>
        <v/>
      </c>
      <c r="BB578">
        <f>IF(OR(BB$4="",$A578&gt;TODAY()),0,IF(OR(INDEX($B578:$D578,BB$5)="F",AND(BB$6&gt;0,$A578&lt;BB$6),AND(BB$7&gt;0,$A578&gt;BB$7)),0,MAX(0,ROUND((INDEX($E578:$G578,BB$5)-SUMIFS(TF_Timer,TF_Tekniker,BB$4,TF_Dato,$A578))*2,0)/2)))</f>
        <v/>
      </c>
      <c r="BC578">
        <f>IF(OR(BC$4="",$A578&gt;TODAY()),0,IF(OR(INDEX($B578:$D578,BC$5)="F",AND(BC$6&gt;0,$A578&lt;BC$6),AND(BC$7&gt;0,$A578&gt;BC$7)),0,MAX(0,ROUND((INDEX($E578:$G578,BC$5)-SUMIFS(TF_Timer,TF_Tekniker,BC$4,TF_Dato,$A578))*2,0)/2)))</f>
        <v/>
      </c>
      <c r="BD578">
        <f>IF(OR(BD$4="",$A578&gt;TODAY()),0,IF(OR(INDEX($B578:$D578,BD$5)="F",AND(BD$6&gt;0,$A578&lt;BD$6),AND(BD$7&gt;0,$A578&gt;BD$7)),0,MAX(0,ROUND((INDEX($E578:$G578,BD$5)-SUMIFS(TF_Timer,TF_Tekniker,BD$4,TF_Dato,$A578))*2,0)/2)))</f>
        <v/>
      </c>
      <c r="BE578">
        <f>IF(OR(BE$4="",$A578&gt;TODAY()),0,IF(OR(INDEX($B578:$D578,BE$5)="F",AND(BE$6&gt;0,$A578&lt;BE$6),AND(BE$7&gt;0,$A578&gt;BE$7)),0,MAX(0,ROUND((INDEX($E578:$G578,BE$5)-SUMIFS(TF_Timer,TF_Tekniker,BE$4,TF_Dato,$A578))*2,0)/2)))</f>
        <v/>
      </c>
      <c r="BF578">
        <f>IF(OR(BF$4="",$A578&gt;TODAY()),0,IF(OR(INDEX($B578:$D578,BF$5)="F",AND(BF$6&gt;0,$A578&lt;BF$6),AND(BF$7&gt;0,$A578&gt;BF$7)),0,MAX(0,ROUND((INDEX($E578:$G578,BF$5)-SUMIFS(TF_Timer,TF_Tekniker,BF$4,TF_Dato,$A578))*2,0)/2)))</f>
        <v/>
      </c>
      <c r="BG578">
        <f>IF(OR(BG$4="",$A578&gt;TODAY()),0,IF(OR(INDEX($B578:$D578,BG$5)="F",AND(BG$6&gt;0,$A578&lt;BG$6),AND(BG$7&gt;0,$A578&gt;BG$7)),0,MAX(0,ROUND((INDEX($E578:$G578,BG$5)-SUMIFS(TF_Timer,TF_Tekniker,BG$4,TF_Dato,$A578))*2,0)/2)))</f>
        <v/>
      </c>
      <c r="BH578">
        <f>IF(OR(BH$4="",$A578&gt;TODAY()),0,IF(OR(INDEX($B578:$D578,BH$5)="F",AND(BH$6&gt;0,$A578&lt;BH$6),AND(BH$7&gt;0,$A578&gt;BH$7)),0,MAX(0,ROUND((INDEX($E578:$G578,BH$5)-SUMIFS(TF_Timer,TF_Tekniker,BH$4,TF_Dato,$A578))*2,0)/2)))</f>
        <v/>
      </c>
      <c r="BI578">
        <f>IF(OR(BI$4="",$A578&gt;TODAY()),0,IF(OR(INDEX($B578:$D578,BI$5)="F",AND(BI$6&gt;0,$A578&lt;BI$6),AND(BI$7&gt;0,$A578&gt;BI$7)),0,MAX(0,ROUND((INDEX($E578:$G578,BI$5)-SUMIFS(TF_Timer,TF_Tekniker,BI$4,TF_Dato,$A578))*2,0)/2)))</f>
        <v/>
      </c>
    </row>
    <row r="579">
      <c r="A579" s="64">
        <f>A578+1</f>
        <v/>
      </c>
      <c r="B579">
        <f>IF(MOD($A579-INDEX(SkiftStart,1),Syklus)&lt;DagK,"K",IF(MOD($A579-INDEX(SkiftStart,1),Syklus)&lt;DagK+DagH,"H",IF(MOD($A579-INDEX(SkiftStart,1),Syklus)&lt;DagK+DagH+DagD,"D","F")))</f>
        <v/>
      </c>
      <c r="C579">
        <f>IF(MOD($A579-INDEX(SkiftStart,2),Syklus)&lt;DagK,"K",IF(MOD($A579-INDEX(SkiftStart,2),Syklus)&lt;DagK+DagH,"H",IF(MOD($A579-INDEX(SkiftStart,2),Syklus)&lt;DagK+DagH+DagD,"D","F")))</f>
        <v/>
      </c>
      <c r="D579">
        <f>IF(MOD($A579-INDEX(SkiftStart,3),Syklus)&lt;DagK,"K",IF(MOD($A579-INDEX(SkiftStart,3),Syklus)&lt;DagK+DagH,"H",IF(MOD($A579-INDEX(SkiftStart,3),Syklus)&lt;DagK+DagH+DagD,"D","F")))</f>
        <v/>
      </c>
      <c r="E579">
        <f>IF(B579="F",0,IF(WEEKDAY($A579,2)=5,INDEX(TimerFr,MATCH(B579,FaseKode,0)),INDEX(TimerMT,MATCH(B579,FaseKode,0))))</f>
        <v/>
      </c>
      <c r="F579">
        <f>IF(C579="F",0,IF(WEEKDAY($A579,2)=5,INDEX(TimerFr,MATCH(C579,FaseKode,0)),INDEX(TimerMT,MATCH(C579,FaseKode,0))))</f>
        <v/>
      </c>
      <c r="G579">
        <f>IF(D579="F",0,IF(WEEKDAY($A579,2)=5,INDEX(TimerFr,MATCH(D579,FaseKode,0)),INDEX(TimerMT,MATCH(D579,FaseKode,0))))</f>
        <v/>
      </c>
      <c r="H579">
        <f>IF(OR(H$4="",$A579&gt;TODAY()),0,IF(OR(INDEX($B579:$D579,H$5)="F",AND(H$6&gt;0,$A579&lt;H$6),AND(H$7&gt;0,$A579&gt;H$7)),0,MAX(0,ROUND((INDEX($E579:$G579,H$5)-SUMIFS(TF_Timer,TF_Tekniker,H$4,TF_Dato,$A579))*2,0)/2)))</f>
        <v/>
      </c>
      <c r="I579">
        <f>IF(OR(I$4="",$A579&gt;TODAY()),0,IF(OR(INDEX($B579:$D579,I$5)="F",AND(I$6&gt;0,$A579&lt;I$6),AND(I$7&gt;0,$A579&gt;I$7)),0,MAX(0,ROUND((INDEX($E579:$G579,I$5)-SUMIFS(TF_Timer,TF_Tekniker,I$4,TF_Dato,$A579))*2,0)/2)))</f>
        <v/>
      </c>
      <c r="J579">
        <f>IF(OR(J$4="",$A579&gt;TODAY()),0,IF(OR(INDEX($B579:$D579,J$5)="F",AND(J$6&gt;0,$A579&lt;J$6),AND(J$7&gt;0,$A579&gt;J$7)),0,MAX(0,ROUND((INDEX($E579:$G579,J$5)-SUMIFS(TF_Timer,TF_Tekniker,J$4,TF_Dato,$A579))*2,0)/2)))</f>
        <v/>
      </c>
      <c r="K579">
        <f>IF(OR(K$4="",$A579&gt;TODAY()),0,IF(OR(INDEX($B579:$D579,K$5)="F",AND(K$6&gt;0,$A579&lt;K$6),AND(K$7&gt;0,$A579&gt;K$7)),0,MAX(0,ROUND((INDEX($E579:$G579,K$5)-SUMIFS(TF_Timer,TF_Tekniker,K$4,TF_Dato,$A579))*2,0)/2)))</f>
        <v/>
      </c>
      <c r="L579">
        <f>IF(OR(L$4="",$A579&gt;TODAY()),0,IF(OR(INDEX($B579:$D579,L$5)="F",AND(L$6&gt;0,$A579&lt;L$6),AND(L$7&gt;0,$A579&gt;L$7)),0,MAX(0,ROUND((INDEX($E579:$G579,L$5)-SUMIFS(TF_Timer,TF_Tekniker,L$4,TF_Dato,$A579))*2,0)/2)))</f>
        <v/>
      </c>
      <c r="M579">
        <f>IF(OR(M$4="",$A579&gt;TODAY()),0,IF(OR(INDEX($B579:$D579,M$5)="F",AND(M$6&gt;0,$A579&lt;M$6),AND(M$7&gt;0,$A579&gt;M$7)),0,MAX(0,ROUND((INDEX($E579:$G579,M$5)-SUMIFS(TF_Timer,TF_Tekniker,M$4,TF_Dato,$A579))*2,0)/2)))</f>
        <v/>
      </c>
      <c r="N579">
        <f>IF(OR(N$4="",$A579&gt;TODAY()),0,IF(OR(INDEX($B579:$D579,N$5)="F",AND(N$6&gt;0,$A579&lt;N$6),AND(N$7&gt;0,$A579&gt;N$7)),0,MAX(0,ROUND((INDEX($E579:$G579,N$5)-SUMIFS(TF_Timer,TF_Tekniker,N$4,TF_Dato,$A579))*2,0)/2)))</f>
        <v/>
      </c>
      <c r="O579">
        <f>IF(OR(O$4="",$A579&gt;TODAY()),0,IF(OR(INDEX($B579:$D579,O$5)="F",AND(O$6&gt;0,$A579&lt;O$6),AND(O$7&gt;0,$A579&gt;O$7)),0,MAX(0,ROUND((INDEX($E579:$G579,O$5)-SUMIFS(TF_Timer,TF_Tekniker,O$4,TF_Dato,$A579))*2,0)/2)))</f>
        <v/>
      </c>
      <c r="P579">
        <f>IF(OR(P$4="",$A579&gt;TODAY()),0,IF(OR(INDEX($B579:$D579,P$5)="F",AND(P$6&gt;0,$A579&lt;P$6),AND(P$7&gt;0,$A579&gt;P$7)),0,MAX(0,ROUND((INDEX($E579:$G579,P$5)-SUMIFS(TF_Timer,TF_Tekniker,P$4,TF_Dato,$A579))*2,0)/2)))</f>
        <v/>
      </c>
      <c r="Q579">
        <f>IF(OR(Q$4="",$A579&gt;TODAY()),0,IF(OR(INDEX($B579:$D579,Q$5)="F",AND(Q$6&gt;0,$A579&lt;Q$6),AND(Q$7&gt;0,$A579&gt;Q$7)),0,MAX(0,ROUND((INDEX($E579:$G579,Q$5)-SUMIFS(TF_Timer,TF_Tekniker,Q$4,TF_Dato,$A579))*2,0)/2)))</f>
        <v/>
      </c>
      <c r="R579">
        <f>IF(OR(R$4="",$A579&gt;TODAY()),0,IF(OR(INDEX($B579:$D579,R$5)="F",AND(R$6&gt;0,$A579&lt;R$6),AND(R$7&gt;0,$A579&gt;R$7)),0,MAX(0,ROUND((INDEX($E579:$G579,R$5)-SUMIFS(TF_Timer,TF_Tekniker,R$4,TF_Dato,$A579))*2,0)/2)))</f>
        <v/>
      </c>
      <c r="S579">
        <f>IF(OR(S$4="",$A579&gt;TODAY()),0,IF(OR(INDEX($B579:$D579,S$5)="F",AND(S$6&gt;0,$A579&lt;S$6),AND(S$7&gt;0,$A579&gt;S$7)),0,MAX(0,ROUND((INDEX($E579:$G579,S$5)-SUMIFS(TF_Timer,TF_Tekniker,S$4,TF_Dato,$A579))*2,0)/2)))</f>
        <v/>
      </c>
      <c r="T579">
        <f>IF(OR(T$4="",$A579&gt;TODAY()),0,IF(OR(INDEX($B579:$D579,T$5)="F",AND(T$6&gt;0,$A579&lt;T$6),AND(T$7&gt;0,$A579&gt;T$7)),0,MAX(0,ROUND((INDEX($E579:$G579,T$5)-SUMIFS(TF_Timer,TF_Tekniker,T$4,TF_Dato,$A579))*2,0)/2)))</f>
        <v/>
      </c>
      <c r="U579">
        <f>IF(OR(U$4="",$A579&gt;TODAY()),0,IF(OR(INDEX($B579:$D579,U$5)="F",AND(U$6&gt;0,$A579&lt;U$6),AND(U$7&gt;0,$A579&gt;U$7)),0,MAX(0,ROUND((INDEX($E579:$G579,U$5)-SUMIFS(TF_Timer,TF_Tekniker,U$4,TF_Dato,$A579))*2,0)/2)))</f>
        <v/>
      </c>
      <c r="V579">
        <f>IF(OR(V$4="",$A579&gt;TODAY()),0,IF(OR(INDEX($B579:$D579,V$5)="F",AND(V$6&gt;0,$A579&lt;V$6),AND(V$7&gt;0,$A579&gt;V$7)),0,MAX(0,ROUND((INDEX($E579:$G579,V$5)-SUMIFS(TF_Timer,TF_Tekniker,V$4,TF_Dato,$A579))*2,0)/2)))</f>
        <v/>
      </c>
      <c r="W579">
        <f>IF(OR(W$4="",$A579&gt;TODAY()),0,IF(OR(INDEX($B579:$D579,W$5)="F",AND(W$6&gt;0,$A579&lt;W$6),AND(W$7&gt;0,$A579&gt;W$7)),0,MAX(0,ROUND((INDEX($E579:$G579,W$5)-SUMIFS(TF_Timer,TF_Tekniker,W$4,TF_Dato,$A579))*2,0)/2)))</f>
        <v/>
      </c>
      <c r="X579">
        <f>IF(OR(X$4="",$A579&gt;TODAY()),0,IF(OR(INDEX($B579:$D579,X$5)="F",AND(X$6&gt;0,$A579&lt;X$6),AND(X$7&gt;0,$A579&gt;X$7)),0,MAX(0,ROUND((INDEX($E579:$G579,X$5)-SUMIFS(TF_Timer,TF_Tekniker,X$4,TF_Dato,$A579))*2,0)/2)))</f>
        <v/>
      </c>
      <c r="Y579">
        <f>IF(OR(Y$4="",$A579&gt;TODAY()),0,IF(OR(INDEX($B579:$D579,Y$5)="F",AND(Y$6&gt;0,$A579&lt;Y$6),AND(Y$7&gt;0,$A579&gt;Y$7)),0,MAX(0,ROUND((INDEX($E579:$G579,Y$5)-SUMIFS(TF_Timer,TF_Tekniker,Y$4,TF_Dato,$A579))*2,0)/2)))</f>
        <v/>
      </c>
      <c r="Z579">
        <f>IF(OR(Z$4="",$A579&gt;TODAY()),0,IF(OR(INDEX($B579:$D579,Z$5)="F",AND(Z$6&gt;0,$A579&lt;Z$6),AND(Z$7&gt;0,$A579&gt;Z$7)),0,MAX(0,ROUND((INDEX($E579:$G579,Z$5)-SUMIFS(TF_Timer,TF_Tekniker,Z$4,TF_Dato,$A579))*2,0)/2)))</f>
        <v/>
      </c>
      <c r="AA579">
        <f>IF(OR(AA$4="",$A579&gt;TODAY()),0,IF(OR(INDEX($B579:$D579,AA$5)="F",AND(AA$6&gt;0,$A579&lt;AA$6),AND(AA$7&gt;0,$A579&gt;AA$7)),0,MAX(0,ROUND((INDEX($E579:$G579,AA$5)-SUMIFS(TF_Timer,TF_Tekniker,AA$4,TF_Dato,$A579))*2,0)/2)))</f>
        <v/>
      </c>
      <c r="AB579">
        <f>IF(OR(AB$4="",$A579&gt;TODAY()),0,IF(OR(INDEX($B579:$D579,AB$5)="F",AND(AB$6&gt;0,$A579&lt;AB$6),AND(AB$7&gt;0,$A579&gt;AB$7)),0,MAX(0,ROUND((INDEX($E579:$G579,AB$5)-SUMIFS(TF_Timer,TF_Tekniker,AB$4,TF_Dato,$A579))*2,0)/2)))</f>
        <v/>
      </c>
      <c r="AC579">
        <f>IF(OR(AC$4="",$A579&gt;TODAY()),0,IF(OR(INDEX($B579:$D579,AC$5)="F",AND(AC$6&gt;0,$A579&lt;AC$6),AND(AC$7&gt;0,$A579&gt;AC$7)),0,MAX(0,ROUND((INDEX($E579:$G579,AC$5)-SUMIFS(TF_Timer,TF_Tekniker,AC$4,TF_Dato,$A579))*2,0)/2)))</f>
        <v/>
      </c>
      <c r="AD579">
        <f>IF(OR(AD$4="",$A579&gt;TODAY()),0,IF(OR(INDEX($B579:$D579,AD$5)="F",AND(AD$6&gt;0,$A579&lt;AD$6),AND(AD$7&gt;0,$A579&gt;AD$7)),0,MAX(0,ROUND((INDEX($E579:$G579,AD$5)-SUMIFS(TF_Timer,TF_Tekniker,AD$4,TF_Dato,$A579))*2,0)/2)))</f>
        <v/>
      </c>
      <c r="AE579">
        <f>IF(OR(AE$4="",$A579&gt;TODAY()),0,IF(OR(INDEX($B579:$D579,AE$5)="F",AND(AE$6&gt;0,$A579&lt;AE$6),AND(AE$7&gt;0,$A579&gt;AE$7)),0,MAX(0,ROUND((INDEX($E579:$G579,AE$5)-SUMIFS(TF_Timer,TF_Tekniker,AE$4,TF_Dato,$A579))*2,0)/2)))</f>
        <v/>
      </c>
      <c r="AF579">
        <f>IF(OR(AF$4="",$A579&gt;TODAY()),0,IF(OR(INDEX($B579:$D579,AF$5)="F",AND(AF$6&gt;0,$A579&lt;AF$6),AND(AF$7&gt;0,$A579&gt;AF$7)),0,MAX(0,ROUND((INDEX($E579:$G579,AF$5)-SUMIFS(TF_Timer,TF_Tekniker,AF$4,TF_Dato,$A579))*2,0)/2)))</f>
        <v/>
      </c>
      <c r="AG579">
        <f>IF(OR(AG$4="",$A579&gt;TODAY()),0,IF(OR(INDEX($B579:$D579,AG$5)="F",AND(AG$6&gt;0,$A579&lt;AG$6),AND(AG$7&gt;0,$A579&gt;AG$7)),0,MAX(0,ROUND((INDEX($E579:$G579,AG$5)-SUMIFS(TF_Timer,TF_Tekniker,AG$4,TF_Dato,$A579))*2,0)/2)))</f>
        <v/>
      </c>
      <c r="AH579">
        <f>IF(OR(AH$4="",$A579&gt;TODAY()),0,IF(OR(INDEX($B579:$D579,AH$5)="F",AND(AH$6&gt;0,$A579&lt;AH$6),AND(AH$7&gt;0,$A579&gt;AH$7)),0,MAX(0,ROUND((INDEX($E579:$G579,AH$5)-SUMIFS(TF_Timer,TF_Tekniker,AH$4,TF_Dato,$A579))*2,0)/2)))</f>
        <v/>
      </c>
      <c r="AI579">
        <f>IF(OR(AI$4="",$A579&gt;TODAY()),0,IF(OR(INDEX($B579:$D579,AI$5)="F",AND(AI$6&gt;0,$A579&lt;AI$6),AND(AI$7&gt;0,$A579&gt;AI$7)),0,MAX(0,ROUND((INDEX($E579:$G579,AI$5)-SUMIFS(TF_Timer,TF_Tekniker,AI$4,TF_Dato,$A579))*2,0)/2)))</f>
        <v/>
      </c>
      <c r="AJ579">
        <f>IF(OR(AJ$4="",$A579&gt;TODAY()),0,IF(OR(INDEX($B579:$D579,AJ$5)="F",AND(AJ$6&gt;0,$A579&lt;AJ$6),AND(AJ$7&gt;0,$A579&gt;AJ$7)),0,MAX(0,ROUND((INDEX($E579:$G579,AJ$5)-SUMIFS(TF_Timer,TF_Tekniker,AJ$4,TF_Dato,$A579))*2,0)/2)))</f>
        <v/>
      </c>
      <c r="AK579">
        <f>IF(OR(AK$4="",$A579&gt;TODAY()),0,IF(OR(INDEX($B579:$D579,AK$5)="F",AND(AK$6&gt;0,$A579&lt;AK$6),AND(AK$7&gt;0,$A579&gt;AK$7)),0,MAX(0,ROUND((INDEX($E579:$G579,AK$5)-SUMIFS(TF_Timer,TF_Tekniker,AK$4,TF_Dato,$A579))*2,0)/2)))</f>
        <v/>
      </c>
      <c r="AL579">
        <f>IF(OR(AL$4="",$A579&gt;TODAY()),0,IF(OR(INDEX($B579:$D579,AL$5)="F",AND(AL$6&gt;0,$A579&lt;AL$6),AND(AL$7&gt;0,$A579&gt;AL$7)),0,MAX(0,ROUND((INDEX($E579:$G579,AL$5)-SUMIFS(TF_Timer,TF_Tekniker,AL$4,TF_Dato,$A579))*2,0)/2)))</f>
        <v/>
      </c>
      <c r="AM579">
        <f>IF(OR(AM$4="",$A579&gt;TODAY()),0,IF(OR(INDEX($B579:$D579,AM$5)="F",AND(AM$6&gt;0,$A579&lt;AM$6),AND(AM$7&gt;0,$A579&gt;AM$7)),0,MAX(0,ROUND((INDEX($E579:$G579,AM$5)-SUMIFS(TF_Timer,TF_Tekniker,AM$4,TF_Dato,$A579))*2,0)/2)))</f>
        <v/>
      </c>
      <c r="AN579">
        <f>IF(OR(AN$4="",$A579&gt;TODAY()),0,IF(OR(INDEX($B579:$D579,AN$5)="F",AND(AN$6&gt;0,$A579&lt;AN$6),AND(AN$7&gt;0,$A579&gt;AN$7)),0,MAX(0,ROUND((INDEX($E579:$G579,AN$5)-SUMIFS(TF_Timer,TF_Tekniker,AN$4,TF_Dato,$A579))*2,0)/2)))</f>
        <v/>
      </c>
      <c r="AO579">
        <f>IF(OR(AO$4="",$A579&gt;TODAY()),0,IF(OR(INDEX($B579:$D579,AO$5)="F",AND(AO$6&gt;0,$A579&lt;AO$6),AND(AO$7&gt;0,$A579&gt;AO$7)),0,MAX(0,ROUND((INDEX($E579:$G579,AO$5)-SUMIFS(TF_Timer,TF_Tekniker,AO$4,TF_Dato,$A579))*2,0)/2)))</f>
        <v/>
      </c>
      <c r="AP579">
        <f>IF(OR(AP$4="",$A579&gt;TODAY()),0,IF(OR(INDEX($B579:$D579,AP$5)="F",AND(AP$6&gt;0,$A579&lt;AP$6),AND(AP$7&gt;0,$A579&gt;AP$7)),0,MAX(0,ROUND((INDEX($E579:$G579,AP$5)-SUMIFS(TF_Timer,TF_Tekniker,AP$4,TF_Dato,$A579))*2,0)/2)))</f>
        <v/>
      </c>
      <c r="AQ579">
        <f>IF(OR(AQ$4="",$A579&gt;TODAY()),0,IF(OR(INDEX($B579:$D579,AQ$5)="F",AND(AQ$6&gt;0,$A579&lt;AQ$6),AND(AQ$7&gt;0,$A579&gt;AQ$7)),0,MAX(0,ROUND((INDEX($E579:$G579,AQ$5)-SUMIFS(TF_Timer,TF_Tekniker,AQ$4,TF_Dato,$A579))*2,0)/2)))</f>
        <v/>
      </c>
      <c r="AR579">
        <f>IF(OR(AR$4="",$A579&gt;TODAY()),0,IF(OR(INDEX($B579:$D579,AR$5)="F",AND(AR$6&gt;0,$A579&lt;AR$6),AND(AR$7&gt;0,$A579&gt;AR$7)),0,MAX(0,ROUND((INDEX($E579:$G579,AR$5)-SUMIFS(TF_Timer,TF_Tekniker,AR$4,TF_Dato,$A579))*2,0)/2)))</f>
        <v/>
      </c>
      <c r="AS579">
        <f>IF(OR(AS$4="",$A579&gt;TODAY()),0,IF(OR(INDEX($B579:$D579,AS$5)="F",AND(AS$6&gt;0,$A579&lt;AS$6),AND(AS$7&gt;0,$A579&gt;AS$7)),0,MAX(0,ROUND((INDEX($E579:$G579,AS$5)-SUMIFS(TF_Timer,TF_Tekniker,AS$4,TF_Dato,$A579))*2,0)/2)))</f>
        <v/>
      </c>
      <c r="AT579">
        <f>IF(OR(AT$4="",$A579&gt;TODAY()),0,IF(OR(INDEX($B579:$D579,AT$5)="F",AND(AT$6&gt;0,$A579&lt;AT$6),AND(AT$7&gt;0,$A579&gt;AT$7)),0,MAX(0,ROUND((INDEX($E579:$G579,AT$5)-SUMIFS(TF_Timer,TF_Tekniker,AT$4,TF_Dato,$A579))*2,0)/2)))</f>
        <v/>
      </c>
      <c r="AU579">
        <f>IF(OR(AU$4="",$A579&gt;TODAY()),0,IF(OR(INDEX($B579:$D579,AU$5)="F",AND(AU$6&gt;0,$A579&lt;AU$6),AND(AU$7&gt;0,$A579&gt;AU$7)),0,MAX(0,ROUND((INDEX($E579:$G579,AU$5)-SUMIFS(TF_Timer,TF_Tekniker,AU$4,TF_Dato,$A579))*2,0)/2)))</f>
        <v/>
      </c>
      <c r="AV579">
        <f>IF(OR(AV$4="",$A579&gt;TODAY()),0,IF(OR(INDEX($B579:$D579,AV$5)="F",AND(AV$6&gt;0,$A579&lt;AV$6),AND(AV$7&gt;0,$A579&gt;AV$7)),0,MAX(0,ROUND((INDEX($E579:$G579,AV$5)-SUMIFS(TF_Timer,TF_Tekniker,AV$4,TF_Dato,$A579))*2,0)/2)))</f>
        <v/>
      </c>
      <c r="AW579">
        <f>IF(OR(AW$4="",$A579&gt;TODAY()),0,IF(OR(INDEX($B579:$D579,AW$5)="F",AND(AW$6&gt;0,$A579&lt;AW$6),AND(AW$7&gt;0,$A579&gt;AW$7)),0,MAX(0,ROUND((INDEX($E579:$G579,AW$5)-SUMIFS(TF_Timer,TF_Tekniker,AW$4,TF_Dato,$A579))*2,0)/2)))</f>
        <v/>
      </c>
      <c r="AX579">
        <f>IF(OR(AX$4="",$A579&gt;TODAY()),0,IF(OR(INDEX($B579:$D579,AX$5)="F",AND(AX$6&gt;0,$A579&lt;AX$6),AND(AX$7&gt;0,$A579&gt;AX$7)),0,MAX(0,ROUND((INDEX($E579:$G579,AX$5)-SUMIFS(TF_Timer,TF_Tekniker,AX$4,TF_Dato,$A579))*2,0)/2)))</f>
        <v/>
      </c>
      <c r="AY579">
        <f>IF(OR(AY$4="",$A579&gt;TODAY()),0,IF(OR(INDEX($B579:$D579,AY$5)="F",AND(AY$6&gt;0,$A579&lt;AY$6),AND(AY$7&gt;0,$A579&gt;AY$7)),0,MAX(0,ROUND((INDEX($E579:$G579,AY$5)-SUMIFS(TF_Timer,TF_Tekniker,AY$4,TF_Dato,$A579))*2,0)/2)))</f>
        <v/>
      </c>
      <c r="AZ579">
        <f>IF(OR(AZ$4="",$A579&gt;TODAY()),0,IF(OR(INDEX($B579:$D579,AZ$5)="F",AND(AZ$6&gt;0,$A579&lt;AZ$6),AND(AZ$7&gt;0,$A579&gt;AZ$7)),0,MAX(0,ROUND((INDEX($E579:$G579,AZ$5)-SUMIFS(TF_Timer,TF_Tekniker,AZ$4,TF_Dato,$A579))*2,0)/2)))</f>
        <v/>
      </c>
      <c r="BA579">
        <f>IF(OR(BA$4="",$A579&gt;TODAY()),0,IF(OR(INDEX($B579:$D579,BA$5)="F",AND(BA$6&gt;0,$A579&lt;BA$6),AND(BA$7&gt;0,$A579&gt;BA$7)),0,MAX(0,ROUND((INDEX($E579:$G579,BA$5)-SUMIFS(TF_Timer,TF_Tekniker,BA$4,TF_Dato,$A579))*2,0)/2)))</f>
        <v/>
      </c>
      <c r="BB579">
        <f>IF(OR(BB$4="",$A579&gt;TODAY()),0,IF(OR(INDEX($B579:$D579,BB$5)="F",AND(BB$6&gt;0,$A579&lt;BB$6),AND(BB$7&gt;0,$A579&gt;BB$7)),0,MAX(0,ROUND((INDEX($E579:$G579,BB$5)-SUMIFS(TF_Timer,TF_Tekniker,BB$4,TF_Dato,$A579))*2,0)/2)))</f>
        <v/>
      </c>
      <c r="BC579">
        <f>IF(OR(BC$4="",$A579&gt;TODAY()),0,IF(OR(INDEX($B579:$D579,BC$5)="F",AND(BC$6&gt;0,$A579&lt;BC$6),AND(BC$7&gt;0,$A579&gt;BC$7)),0,MAX(0,ROUND((INDEX($E579:$G579,BC$5)-SUMIFS(TF_Timer,TF_Tekniker,BC$4,TF_Dato,$A579))*2,0)/2)))</f>
        <v/>
      </c>
      <c r="BD579">
        <f>IF(OR(BD$4="",$A579&gt;TODAY()),0,IF(OR(INDEX($B579:$D579,BD$5)="F",AND(BD$6&gt;0,$A579&lt;BD$6),AND(BD$7&gt;0,$A579&gt;BD$7)),0,MAX(0,ROUND((INDEX($E579:$G579,BD$5)-SUMIFS(TF_Timer,TF_Tekniker,BD$4,TF_Dato,$A579))*2,0)/2)))</f>
        <v/>
      </c>
      <c r="BE579">
        <f>IF(OR(BE$4="",$A579&gt;TODAY()),0,IF(OR(INDEX($B579:$D579,BE$5)="F",AND(BE$6&gt;0,$A579&lt;BE$6),AND(BE$7&gt;0,$A579&gt;BE$7)),0,MAX(0,ROUND((INDEX($E579:$G579,BE$5)-SUMIFS(TF_Timer,TF_Tekniker,BE$4,TF_Dato,$A579))*2,0)/2)))</f>
        <v/>
      </c>
      <c r="BF579">
        <f>IF(OR(BF$4="",$A579&gt;TODAY()),0,IF(OR(INDEX($B579:$D579,BF$5)="F",AND(BF$6&gt;0,$A579&lt;BF$6),AND(BF$7&gt;0,$A579&gt;BF$7)),0,MAX(0,ROUND((INDEX($E579:$G579,BF$5)-SUMIFS(TF_Timer,TF_Tekniker,BF$4,TF_Dato,$A579))*2,0)/2)))</f>
        <v/>
      </c>
      <c r="BG579">
        <f>IF(OR(BG$4="",$A579&gt;TODAY()),0,IF(OR(INDEX($B579:$D579,BG$5)="F",AND(BG$6&gt;0,$A579&lt;BG$6),AND(BG$7&gt;0,$A579&gt;BG$7)),0,MAX(0,ROUND((INDEX($E579:$G579,BG$5)-SUMIFS(TF_Timer,TF_Tekniker,BG$4,TF_Dato,$A579))*2,0)/2)))</f>
        <v/>
      </c>
      <c r="BH579">
        <f>IF(OR(BH$4="",$A579&gt;TODAY()),0,IF(OR(INDEX($B579:$D579,BH$5)="F",AND(BH$6&gt;0,$A579&lt;BH$6),AND(BH$7&gt;0,$A579&gt;BH$7)),0,MAX(0,ROUND((INDEX($E579:$G579,BH$5)-SUMIFS(TF_Timer,TF_Tekniker,BH$4,TF_Dato,$A579))*2,0)/2)))</f>
        <v/>
      </c>
      <c r="BI579">
        <f>IF(OR(BI$4="",$A579&gt;TODAY()),0,IF(OR(INDEX($B579:$D579,BI$5)="F",AND(BI$6&gt;0,$A579&lt;BI$6),AND(BI$7&gt;0,$A579&gt;BI$7)),0,MAX(0,ROUND((INDEX($E579:$G579,BI$5)-SUMIFS(TF_Timer,TF_Tekniker,BI$4,TF_Dato,$A579))*2,0)/2)))</f>
        <v/>
      </c>
    </row>
    <row r="580">
      <c r="A580" s="64">
        <f>A579+1</f>
        <v/>
      </c>
      <c r="B580">
        <f>IF(MOD($A580-INDEX(SkiftStart,1),Syklus)&lt;DagK,"K",IF(MOD($A580-INDEX(SkiftStart,1),Syklus)&lt;DagK+DagH,"H",IF(MOD($A580-INDEX(SkiftStart,1),Syklus)&lt;DagK+DagH+DagD,"D","F")))</f>
        <v/>
      </c>
      <c r="C580">
        <f>IF(MOD($A580-INDEX(SkiftStart,2),Syklus)&lt;DagK,"K",IF(MOD($A580-INDEX(SkiftStart,2),Syklus)&lt;DagK+DagH,"H",IF(MOD($A580-INDEX(SkiftStart,2),Syklus)&lt;DagK+DagH+DagD,"D","F")))</f>
        <v/>
      </c>
      <c r="D580">
        <f>IF(MOD($A580-INDEX(SkiftStart,3),Syklus)&lt;DagK,"K",IF(MOD($A580-INDEX(SkiftStart,3),Syklus)&lt;DagK+DagH,"H",IF(MOD($A580-INDEX(SkiftStart,3),Syklus)&lt;DagK+DagH+DagD,"D","F")))</f>
        <v/>
      </c>
      <c r="E580">
        <f>IF(B580="F",0,IF(WEEKDAY($A580,2)=5,INDEX(TimerFr,MATCH(B580,FaseKode,0)),INDEX(TimerMT,MATCH(B580,FaseKode,0))))</f>
        <v/>
      </c>
      <c r="F580">
        <f>IF(C580="F",0,IF(WEEKDAY($A580,2)=5,INDEX(TimerFr,MATCH(C580,FaseKode,0)),INDEX(TimerMT,MATCH(C580,FaseKode,0))))</f>
        <v/>
      </c>
      <c r="G580">
        <f>IF(D580="F",0,IF(WEEKDAY($A580,2)=5,INDEX(TimerFr,MATCH(D580,FaseKode,0)),INDEX(TimerMT,MATCH(D580,FaseKode,0))))</f>
        <v/>
      </c>
      <c r="H580">
        <f>IF(OR(H$4="",$A580&gt;TODAY()),0,IF(OR(INDEX($B580:$D580,H$5)="F",AND(H$6&gt;0,$A580&lt;H$6),AND(H$7&gt;0,$A580&gt;H$7)),0,MAX(0,ROUND((INDEX($E580:$G580,H$5)-SUMIFS(TF_Timer,TF_Tekniker,H$4,TF_Dato,$A580))*2,0)/2)))</f>
        <v/>
      </c>
      <c r="I580">
        <f>IF(OR(I$4="",$A580&gt;TODAY()),0,IF(OR(INDEX($B580:$D580,I$5)="F",AND(I$6&gt;0,$A580&lt;I$6),AND(I$7&gt;0,$A580&gt;I$7)),0,MAX(0,ROUND((INDEX($E580:$G580,I$5)-SUMIFS(TF_Timer,TF_Tekniker,I$4,TF_Dato,$A580))*2,0)/2)))</f>
        <v/>
      </c>
      <c r="J580">
        <f>IF(OR(J$4="",$A580&gt;TODAY()),0,IF(OR(INDEX($B580:$D580,J$5)="F",AND(J$6&gt;0,$A580&lt;J$6),AND(J$7&gt;0,$A580&gt;J$7)),0,MAX(0,ROUND((INDEX($E580:$G580,J$5)-SUMIFS(TF_Timer,TF_Tekniker,J$4,TF_Dato,$A580))*2,0)/2)))</f>
        <v/>
      </c>
      <c r="K580">
        <f>IF(OR(K$4="",$A580&gt;TODAY()),0,IF(OR(INDEX($B580:$D580,K$5)="F",AND(K$6&gt;0,$A580&lt;K$6),AND(K$7&gt;0,$A580&gt;K$7)),0,MAX(0,ROUND((INDEX($E580:$G580,K$5)-SUMIFS(TF_Timer,TF_Tekniker,K$4,TF_Dato,$A580))*2,0)/2)))</f>
        <v/>
      </c>
      <c r="L580">
        <f>IF(OR(L$4="",$A580&gt;TODAY()),0,IF(OR(INDEX($B580:$D580,L$5)="F",AND(L$6&gt;0,$A580&lt;L$6),AND(L$7&gt;0,$A580&gt;L$7)),0,MAX(0,ROUND((INDEX($E580:$G580,L$5)-SUMIFS(TF_Timer,TF_Tekniker,L$4,TF_Dato,$A580))*2,0)/2)))</f>
        <v/>
      </c>
      <c r="M580">
        <f>IF(OR(M$4="",$A580&gt;TODAY()),0,IF(OR(INDEX($B580:$D580,M$5)="F",AND(M$6&gt;0,$A580&lt;M$6),AND(M$7&gt;0,$A580&gt;M$7)),0,MAX(0,ROUND((INDEX($E580:$G580,M$5)-SUMIFS(TF_Timer,TF_Tekniker,M$4,TF_Dato,$A580))*2,0)/2)))</f>
        <v/>
      </c>
      <c r="N580">
        <f>IF(OR(N$4="",$A580&gt;TODAY()),0,IF(OR(INDEX($B580:$D580,N$5)="F",AND(N$6&gt;0,$A580&lt;N$6),AND(N$7&gt;0,$A580&gt;N$7)),0,MAX(0,ROUND((INDEX($E580:$G580,N$5)-SUMIFS(TF_Timer,TF_Tekniker,N$4,TF_Dato,$A580))*2,0)/2)))</f>
        <v/>
      </c>
      <c r="O580">
        <f>IF(OR(O$4="",$A580&gt;TODAY()),0,IF(OR(INDEX($B580:$D580,O$5)="F",AND(O$6&gt;0,$A580&lt;O$6),AND(O$7&gt;0,$A580&gt;O$7)),0,MAX(0,ROUND((INDEX($E580:$G580,O$5)-SUMIFS(TF_Timer,TF_Tekniker,O$4,TF_Dato,$A580))*2,0)/2)))</f>
        <v/>
      </c>
      <c r="P580">
        <f>IF(OR(P$4="",$A580&gt;TODAY()),0,IF(OR(INDEX($B580:$D580,P$5)="F",AND(P$6&gt;0,$A580&lt;P$6),AND(P$7&gt;0,$A580&gt;P$7)),0,MAX(0,ROUND((INDEX($E580:$G580,P$5)-SUMIFS(TF_Timer,TF_Tekniker,P$4,TF_Dato,$A580))*2,0)/2)))</f>
        <v/>
      </c>
      <c r="Q580">
        <f>IF(OR(Q$4="",$A580&gt;TODAY()),0,IF(OR(INDEX($B580:$D580,Q$5)="F",AND(Q$6&gt;0,$A580&lt;Q$6),AND(Q$7&gt;0,$A580&gt;Q$7)),0,MAX(0,ROUND((INDEX($E580:$G580,Q$5)-SUMIFS(TF_Timer,TF_Tekniker,Q$4,TF_Dato,$A580))*2,0)/2)))</f>
        <v/>
      </c>
      <c r="R580">
        <f>IF(OR(R$4="",$A580&gt;TODAY()),0,IF(OR(INDEX($B580:$D580,R$5)="F",AND(R$6&gt;0,$A580&lt;R$6),AND(R$7&gt;0,$A580&gt;R$7)),0,MAX(0,ROUND((INDEX($E580:$G580,R$5)-SUMIFS(TF_Timer,TF_Tekniker,R$4,TF_Dato,$A580))*2,0)/2)))</f>
        <v/>
      </c>
      <c r="S580">
        <f>IF(OR(S$4="",$A580&gt;TODAY()),0,IF(OR(INDEX($B580:$D580,S$5)="F",AND(S$6&gt;0,$A580&lt;S$6),AND(S$7&gt;0,$A580&gt;S$7)),0,MAX(0,ROUND((INDEX($E580:$G580,S$5)-SUMIFS(TF_Timer,TF_Tekniker,S$4,TF_Dato,$A580))*2,0)/2)))</f>
        <v/>
      </c>
      <c r="T580">
        <f>IF(OR(T$4="",$A580&gt;TODAY()),0,IF(OR(INDEX($B580:$D580,T$5)="F",AND(T$6&gt;0,$A580&lt;T$6),AND(T$7&gt;0,$A580&gt;T$7)),0,MAX(0,ROUND((INDEX($E580:$G580,T$5)-SUMIFS(TF_Timer,TF_Tekniker,T$4,TF_Dato,$A580))*2,0)/2)))</f>
        <v/>
      </c>
      <c r="U580">
        <f>IF(OR(U$4="",$A580&gt;TODAY()),0,IF(OR(INDEX($B580:$D580,U$5)="F",AND(U$6&gt;0,$A580&lt;U$6),AND(U$7&gt;0,$A580&gt;U$7)),0,MAX(0,ROUND((INDEX($E580:$G580,U$5)-SUMIFS(TF_Timer,TF_Tekniker,U$4,TF_Dato,$A580))*2,0)/2)))</f>
        <v/>
      </c>
      <c r="V580">
        <f>IF(OR(V$4="",$A580&gt;TODAY()),0,IF(OR(INDEX($B580:$D580,V$5)="F",AND(V$6&gt;0,$A580&lt;V$6),AND(V$7&gt;0,$A580&gt;V$7)),0,MAX(0,ROUND((INDEX($E580:$G580,V$5)-SUMIFS(TF_Timer,TF_Tekniker,V$4,TF_Dato,$A580))*2,0)/2)))</f>
        <v/>
      </c>
      <c r="W580">
        <f>IF(OR(W$4="",$A580&gt;TODAY()),0,IF(OR(INDEX($B580:$D580,W$5)="F",AND(W$6&gt;0,$A580&lt;W$6),AND(W$7&gt;0,$A580&gt;W$7)),0,MAX(0,ROUND((INDEX($E580:$G580,W$5)-SUMIFS(TF_Timer,TF_Tekniker,W$4,TF_Dato,$A580))*2,0)/2)))</f>
        <v/>
      </c>
      <c r="X580">
        <f>IF(OR(X$4="",$A580&gt;TODAY()),0,IF(OR(INDEX($B580:$D580,X$5)="F",AND(X$6&gt;0,$A580&lt;X$6),AND(X$7&gt;0,$A580&gt;X$7)),0,MAX(0,ROUND((INDEX($E580:$G580,X$5)-SUMIFS(TF_Timer,TF_Tekniker,X$4,TF_Dato,$A580))*2,0)/2)))</f>
        <v/>
      </c>
      <c r="Y580">
        <f>IF(OR(Y$4="",$A580&gt;TODAY()),0,IF(OR(INDEX($B580:$D580,Y$5)="F",AND(Y$6&gt;0,$A580&lt;Y$6),AND(Y$7&gt;0,$A580&gt;Y$7)),0,MAX(0,ROUND((INDEX($E580:$G580,Y$5)-SUMIFS(TF_Timer,TF_Tekniker,Y$4,TF_Dato,$A580))*2,0)/2)))</f>
        <v/>
      </c>
      <c r="Z580">
        <f>IF(OR(Z$4="",$A580&gt;TODAY()),0,IF(OR(INDEX($B580:$D580,Z$5)="F",AND(Z$6&gt;0,$A580&lt;Z$6),AND(Z$7&gt;0,$A580&gt;Z$7)),0,MAX(0,ROUND((INDEX($E580:$G580,Z$5)-SUMIFS(TF_Timer,TF_Tekniker,Z$4,TF_Dato,$A580))*2,0)/2)))</f>
        <v/>
      </c>
      <c r="AA580">
        <f>IF(OR(AA$4="",$A580&gt;TODAY()),0,IF(OR(INDEX($B580:$D580,AA$5)="F",AND(AA$6&gt;0,$A580&lt;AA$6),AND(AA$7&gt;0,$A580&gt;AA$7)),0,MAX(0,ROUND((INDEX($E580:$G580,AA$5)-SUMIFS(TF_Timer,TF_Tekniker,AA$4,TF_Dato,$A580))*2,0)/2)))</f>
        <v/>
      </c>
      <c r="AB580">
        <f>IF(OR(AB$4="",$A580&gt;TODAY()),0,IF(OR(INDEX($B580:$D580,AB$5)="F",AND(AB$6&gt;0,$A580&lt;AB$6),AND(AB$7&gt;0,$A580&gt;AB$7)),0,MAX(0,ROUND((INDEX($E580:$G580,AB$5)-SUMIFS(TF_Timer,TF_Tekniker,AB$4,TF_Dato,$A580))*2,0)/2)))</f>
        <v/>
      </c>
      <c r="AC580">
        <f>IF(OR(AC$4="",$A580&gt;TODAY()),0,IF(OR(INDEX($B580:$D580,AC$5)="F",AND(AC$6&gt;0,$A580&lt;AC$6),AND(AC$7&gt;0,$A580&gt;AC$7)),0,MAX(0,ROUND((INDEX($E580:$G580,AC$5)-SUMIFS(TF_Timer,TF_Tekniker,AC$4,TF_Dato,$A580))*2,0)/2)))</f>
        <v/>
      </c>
      <c r="AD580">
        <f>IF(OR(AD$4="",$A580&gt;TODAY()),0,IF(OR(INDEX($B580:$D580,AD$5)="F",AND(AD$6&gt;0,$A580&lt;AD$6),AND(AD$7&gt;0,$A580&gt;AD$7)),0,MAX(0,ROUND((INDEX($E580:$G580,AD$5)-SUMIFS(TF_Timer,TF_Tekniker,AD$4,TF_Dato,$A580))*2,0)/2)))</f>
        <v/>
      </c>
      <c r="AE580">
        <f>IF(OR(AE$4="",$A580&gt;TODAY()),0,IF(OR(INDEX($B580:$D580,AE$5)="F",AND(AE$6&gt;0,$A580&lt;AE$6),AND(AE$7&gt;0,$A580&gt;AE$7)),0,MAX(0,ROUND((INDEX($E580:$G580,AE$5)-SUMIFS(TF_Timer,TF_Tekniker,AE$4,TF_Dato,$A580))*2,0)/2)))</f>
        <v/>
      </c>
      <c r="AF580">
        <f>IF(OR(AF$4="",$A580&gt;TODAY()),0,IF(OR(INDEX($B580:$D580,AF$5)="F",AND(AF$6&gt;0,$A580&lt;AF$6),AND(AF$7&gt;0,$A580&gt;AF$7)),0,MAX(0,ROUND((INDEX($E580:$G580,AF$5)-SUMIFS(TF_Timer,TF_Tekniker,AF$4,TF_Dato,$A580))*2,0)/2)))</f>
        <v/>
      </c>
      <c r="AG580">
        <f>IF(OR(AG$4="",$A580&gt;TODAY()),0,IF(OR(INDEX($B580:$D580,AG$5)="F",AND(AG$6&gt;0,$A580&lt;AG$6),AND(AG$7&gt;0,$A580&gt;AG$7)),0,MAX(0,ROUND((INDEX($E580:$G580,AG$5)-SUMIFS(TF_Timer,TF_Tekniker,AG$4,TF_Dato,$A580))*2,0)/2)))</f>
        <v/>
      </c>
      <c r="AH580">
        <f>IF(OR(AH$4="",$A580&gt;TODAY()),0,IF(OR(INDEX($B580:$D580,AH$5)="F",AND(AH$6&gt;0,$A580&lt;AH$6),AND(AH$7&gt;0,$A580&gt;AH$7)),0,MAX(0,ROUND((INDEX($E580:$G580,AH$5)-SUMIFS(TF_Timer,TF_Tekniker,AH$4,TF_Dato,$A580))*2,0)/2)))</f>
        <v/>
      </c>
      <c r="AI580">
        <f>IF(OR(AI$4="",$A580&gt;TODAY()),0,IF(OR(INDEX($B580:$D580,AI$5)="F",AND(AI$6&gt;0,$A580&lt;AI$6),AND(AI$7&gt;0,$A580&gt;AI$7)),0,MAX(0,ROUND((INDEX($E580:$G580,AI$5)-SUMIFS(TF_Timer,TF_Tekniker,AI$4,TF_Dato,$A580))*2,0)/2)))</f>
        <v/>
      </c>
      <c r="AJ580">
        <f>IF(OR(AJ$4="",$A580&gt;TODAY()),0,IF(OR(INDEX($B580:$D580,AJ$5)="F",AND(AJ$6&gt;0,$A580&lt;AJ$6),AND(AJ$7&gt;0,$A580&gt;AJ$7)),0,MAX(0,ROUND((INDEX($E580:$G580,AJ$5)-SUMIFS(TF_Timer,TF_Tekniker,AJ$4,TF_Dato,$A580))*2,0)/2)))</f>
        <v/>
      </c>
      <c r="AK580">
        <f>IF(OR(AK$4="",$A580&gt;TODAY()),0,IF(OR(INDEX($B580:$D580,AK$5)="F",AND(AK$6&gt;0,$A580&lt;AK$6),AND(AK$7&gt;0,$A580&gt;AK$7)),0,MAX(0,ROUND((INDEX($E580:$G580,AK$5)-SUMIFS(TF_Timer,TF_Tekniker,AK$4,TF_Dato,$A580))*2,0)/2)))</f>
        <v/>
      </c>
      <c r="AL580">
        <f>IF(OR(AL$4="",$A580&gt;TODAY()),0,IF(OR(INDEX($B580:$D580,AL$5)="F",AND(AL$6&gt;0,$A580&lt;AL$6),AND(AL$7&gt;0,$A580&gt;AL$7)),0,MAX(0,ROUND((INDEX($E580:$G580,AL$5)-SUMIFS(TF_Timer,TF_Tekniker,AL$4,TF_Dato,$A580))*2,0)/2)))</f>
        <v/>
      </c>
      <c r="AM580">
        <f>IF(OR(AM$4="",$A580&gt;TODAY()),0,IF(OR(INDEX($B580:$D580,AM$5)="F",AND(AM$6&gt;0,$A580&lt;AM$6),AND(AM$7&gt;0,$A580&gt;AM$7)),0,MAX(0,ROUND((INDEX($E580:$G580,AM$5)-SUMIFS(TF_Timer,TF_Tekniker,AM$4,TF_Dato,$A580))*2,0)/2)))</f>
        <v/>
      </c>
      <c r="AN580">
        <f>IF(OR(AN$4="",$A580&gt;TODAY()),0,IF(OR(INDEX($B580:$D580,AN$5)="F",AND(AN$6&gt;0,$A580&lt;AN$6),AND(AN$7&gt;0,$A580&gt;AN$7)),0,MAX(0,ROUND((INDEX($E580:$G580,AN$5)-SUMIFS(TF_Timer,TF_Tekniker,AN$4,TF_Dato,$A580))*2,0)/2)))</f>
        <v/>
      </c>
      <c r="AO580">
        <f>IF(OR(AO$4="",$A580&gt;TODAY()),0,IF(OR(INDEX($B580:$D580,AO$5)="F",AND(AO$6&gt;0,$A580&lt;AO$6),AND(AO$7&gt;0,$A580&gt;AO$7)),0,MAX(0,ROUND((INDEX($E580:$G580,AO$5)-SUMIFS(TF_Timer,TF_Tekniker,AO$4,TF_Dato,$A580))*2,0)/2)))</f>
        <v/>
      </c>
      <c r="AP580">
        <f>IF(OR(AP$4="",$A580&gt;TODAY()),0,IF(OR(INDEX($B580:$D580,AP$5)="F",AND(AP$6&gt;0,$A580&lt;AP$6),AND(AP$7&gt;0,$A580&gt;AP$7)),0,MAX(0,ROUND((INDEX($E580:$G580,AP$5)-SUMIFS(TF_Timer,TF_Tekniker,AP$4,TF_Dato,$A580))*2,0)/2)))</f>
        <v/>
      </c>
      <c r="AQ580">
        <f>IF(OR(AQ$4="",$A580&gt;TODAY()),0,IF(OR(INDEX($B580:$D580,AQ$5)="F",AND(AQ$6&gt;0,$A580&lt;AQ$6),AND(AQ$7&gt;0,$A580&gt;AQ$7)),0,MAX(0,ROUND((INDEX($E580:$G580,AQ$5)-SUMIFS(TF_Timer,TF_Tekniker,AQ$4,TF_Dato,$A580))*2,0)/2)))</f>
        <v/>
      </c>
      <c r="AR580">
        <f>IF(OR(AR$4="",$A580&gt;TODAY()),0,IF(OR(INDEX($B580:$D580,AR$5)="F",AND(AR$6&gt;0,$A580&lt;AR$6),AND(AR$7&gt;0,$A580&gt;AR$7)),0,MAX(0,ROUND((INDEX($E580:$G580,AR$5)-SUMIFS(TF_Timer,TF_Tekniker,AR$4,TF_Dato,$A580))*2,0)/2)))</f>
        <v/>
      </c>
      <c r="AS580">
        <f>IF(OR(AS$4="",$A580&gt;TODAY()),0,IF(OR(INDEX($B580:$D580,AS$5)="F",AND(AS$6&gt;0,$A580&lt;AS$6),AND(AS$7&gt;0,$A580&gt;AS$7)),0,MAX(0,ROUND((INDEX($E580:$G580,AS$5)-SUMIFS(TF_Timer,TF_Tekniker,AS$4,TF_Dato,$A580))*2,0)/2)))</f>
        <v/>
      </c>
      <c r="AT580">
        <f>IF(OR(AT$4="",$A580&gt;TODAY()),0,IF(OR(INDEX($B580:$D580,AT$5)="F",AND(AT$6&gt;0,$A580&lt;AT$6),AND(AT$7&gt;0,$A580&gt;AT$7)),0,MAX(0,ROUND((INDEX($E580:$G580,AT$5)-SUMIFS(TF_Timer,TF_Tekniker,AT$4,TF_Dato,$A580))*2,0)/2)))</f>
        <v/>
      </c>
      <c r="AU580">
        <f>IF(OR(AU$4="",$A580&gt;TODAY()),0,IF(OR(INDEX($B580:$D580,AU$5)="F",AND(AU$6&gt;0,$A580&lt;AU$6),AND(AU$7&gt;0,$A580&gt;AU$7)),0,MAX(0,ROUND((INDEX($E580:$G580,AU$5)-SUMIFS(TF_Timer,TF_Tekniker,AU$4,TF_Dato,$A580))*2,0)/2)))</f>
        <v/>
      </c>
      <c r="AV580">
        <f>IF(OR(AV$4="",$A580&gt;TODAY()),0,IF(OR(INDEX($B580:$D580,AV$5)="F",AND(AV$6&gt;0,$A580&lt;AV$6),AND(AV$7&gt;0,$A580&gt;AV$7)),0,MAX(0,ROUND((INDEX($E580:$G580,AV$5)-SUMIFS(TF_Timer,TF_Tekniker,AV$4,TF_Dato,$A580))*2,0)/2)))</f>
        <v/>
      </c>
      <c r="AW580">
        <f>IF(OR(AW$4="",$A580&gt;TODAY()),0,IF(OR(INDEX($B580:$D580,AW$5)="F",AND(AW$6&gt;0,$A580&lt;AW$6),AND(AW$7&gt;0,$A580&gt;AW$7)),0,MAX(0,ROUND((INDEX($E580:$G580,AW$5)-SUMIFS(TF_Timer,TF_Tekniker,AW$4,TF_Dato,$A580))*2,0)/2)))</f>
        <v/>
      </c>
      <c r="AX580">
        <f>IF(OR(AX$4="",$A580&gt;TODAY()),0,IF(OR(INDEX($B580:$D580,AX$5)="F",AND(AX$6&gt;0,$A580&lt;AX$6),AND(AX$7&gt;0,$A580&gt;AX$7)),0,MAX(0,ROUND((INDEX($E580:$G580,AX$5)-SUMIFS(TF_Timer,TF_Tekniker,AX$4,TF_Dato,$A580))*2,0)/2)))</f>
        <v/>
      </c>
      <c r="AY580">
        <f>IF(OR(AY$4="",$A580&gt;TODAY()),0,IF(OR(INDEX($B580:$D580,AY$5)="F",AND(AY$6&gt;0,$A580&lt;AY$6),AND(AY$7&gt;0,$A580&gt;AY$7)),0,MAX(0,ROUND((INDEX($E580:$G580,AY$5)-SUMIFS(TF_Timer,TF_Tekniker,AY$4,TF_Dato,$A580))*2,0)/2)))</f>
        <v/>
      </c>
      <c r="AZ580">
        <f>IF(OR(AZ$4="",$A580&gt;TODAY()),0,IF(OR(INDEX($B580:$D580,AZ$5)="F",AND(AZ$6&gt;0,$A580&lt;AZ$6),AND(AZ$7&gt;0,$A580&gt;AZ$7)),0,MAX(0,ROUND((INDEX($E580:$G580,AZ$5)-SUMIFS(TF_Timer,TF_Tekniker,AZ$4,TF_Dato,$A580))*2,0)/2)))</f>
        <v/>
      </c>
      <c r="BA580">
        <f>IF(OR(BA$4="",$A580&gt;TODAY()),0,IF(OR(INDEX($B580:$D580,BA$5)="F",AND(BA$6&gt;0,$A580&lt;BA$6),AND(BA$7&gt;0,$A580&gt;BA$7)),0,MAX(0,ROUND((INDEX($E580:$G580,BA$5)-SUMIFS(TF_Timer,TF_Tekniker,BA$4,TF_Dato,$A580))*2,0)/2)))</f>
        <v/>
      </c>
      <c r="BB580">
        <f>IF(OR(BB$4="",$A580&gt;TODAY()),0,IF(OR(INDEX($B580:$D580,BB$5)="F",AND(BB$6&gt;0,$A580&lt;BB$6),AND(BB$7&gt;0,$A580&gt;BB$7)),0,MAX(0,ROUND((INDEX($E580:$G580,BB$5)-SUMIFS(TF_Timer,TF_Tekniker,BB$4,TF_Dato,$A580))*2,0)/2)))</f>
        <v/>
      </c>
      <c r="BC580">
        <f>IF(OR(BC$4="",$A580&gt;TODAY()),0,IF(OR(INDEX($B580:$D580,BC$5)="F",AND(BC$6&gt;0,$A580&lt;BC$6),AND(BC$7&gt;0,$A580&gt;BC$7)),0,MAX(0,ROUND((INDEX($E580:$G580,BC$5)-SUMIFS(TF_Timer,TF_Tekniker,BC$4,TF_Dato,$A580))*2,0)/2)))</f>
        <v/>
      </c>
      <c r="BD580">
        <f>IF(OR(BD$4="",$A580&gt;TODAY()),0,IF(OR(INDEX($B580:$D580,BD$5)="F",AND(BD$6&gt;0,$A580&lt;BD$6),AND(BD$7&gt;0,$A580&gt;BD$7)),0,MAX(0,ROUND((INDEX($E580:$G580,BD$5)-SUMIFS(TF_Timer,TF_Tekniker,BD$4,TF_Dato,$A580))*2,0)/2)))</f>
        <v/>
      </c>
      <c r="BE580">
        <f>IF(OR(BE$4="",$A580&gt;TODAY()),0,IF(OR(INDEX($B580:$D580,BE$5)="F",AND(BE$6&gt;0,$A580&lt;BE$6),AND(BE$7&gt;0,$A580&gt;BE$7)),0,MAX(0,ROUND((INDEX($E580:$G580,BE$5)-SUMIFS(TF_Timer,TF_Tekniker,BE$4,TF_Dato,$A580))*2,0)/2)))</f>
        <v/>
      </c>
      <c r="BF580">
        <f>IF(OR(BF$4="",$A580&gt;TODAY()),0,IF(OR(INDEX($B580:$D580,BF$5)="F",AND(BF$6&gt;0,$A580&lt;BF$6),AND(BF$7&gt;0,$A580&gt;BF$7)),0,MAX(0,ROUND((INDEX($E580:$G580,BF$5)-SUMIFS(TF_Timer,TF_Tekniker,BF$4,TF_Dato,$A580))*2,0)/2)))</f>
        <v/>
      </c>
      <c r="BG580">
        <f>IF(OR(BG$4="",$A580&gt;TODAY()),0,IF(OR(INDEX($B580:$D580,BG$5)="F",AND(BG$6&gt;0,$A580&lt;BG$6),AND(BG$7&gt;0,$A580&gt;BG$7)),0,MAX(0,ROUND((INDEX($E580:$G580,BG$5)-SUMIFS(TF_Timer,TF_Tekniker,BG$4,TF_Dato,$A580))*2,0)/2)))</f>
        <v/>
      </c>
      <c r="BH580">
        <f>IF(OR(BH$4="",$A580&gt;TODAY()),0,IF(OR(INDEX($B580:$D580,BH$5)="F",AND(BH$6&gt;0,$A580&lt;BH$6),AND(BH$7&gt;0,$A580&gt;BH$7)),0,MAX(0,ROUND((INDEX($E580:$G580,BH$5)-SUMIFS(TF_Timer,TF_Tekniker,BH$4,TF_Dato,$A580))*2,0)/2)))</f>
        <v/>
      </c>
      <c r="BI580">
        <f>IF(OR(BI$4="",$A580&gt;TODAY()),0,IF(OR(INDEX($B580:$D580,BI$5)="F",AND(BI$6&gt;0,$A580&lt;BI$6),AND(BI$7&gt;0,$A580&gt;BI$7)),0,MAX(0,ROUND((INDEX($E580:$G580,BI$5)-SUMIFS(TF_Timer,TF_Tekniker,BI$4,TF_Dato,$A580))*2,0)/2)))</f>
        <v/>
      </c>
    </row>
    <row r="581">
      <c r="A581" s="64">
        <f>A580+1</f>
        <v/>
      </c>
      <c r="B581">
        <f>IF(MOD($A581-INDEX(SkiftStart,1),Syklus)&lt;DagK,"K",IF(MOD($A581-INDEX(SkiftStart,1),Syklus)&lt;DagK+DagH,"H",IF(MOD($A581-INDEX(SkiftStart,1),Syklus)&lt;DagK+DagH+DagD,"D","F")))</f>
        <v/>
      </c>
      <c r="C581">
        <f>IF(MOD($A581-INDEX(SkiftStart,2),Syklus)&lt;DagK,"K",IF(MOD($A581-INDEX(SkiftStart,2),Syklus)&lt;DagK+DagH,"H",IF(MOD($A581-INDEX(SkiftStart,2),Syklus)&lt;DagK+DagH+DagD,"D","F")))</f>
        <v/>
      </c>
      <c r="D581">
        <f>IF(MOD($A581-INDEX(SkiftStart,3),Syklus)&lt;DagK,"K",IF(MOD($A581-INDEX(SkiftStart,3),Syklus)&lt;DagK+DagH,"H",IF(MOD($A581-INDEX(SkiftStart,3),Syklus)&lt;DagK+DagH+DagD,"D","F")))</f>
        <v/>
      </c>
      <c r="E581">
        <f>IF(B581="F",0,IF(WEEKDAY($A581,2)=5,INDEX(TimerFr,MATCH(B581,FaseKode,0)),INDEX(TimerMT,MATCH(B581,FaseKode,0))))</f>
        <v/>
      </c>
      <c r="F581">
        <f>IF(C581="F",0,IF(WEEKDAY($A581,2)=5,INDEX(TimerFr,MATCH(C581,FaseKode,0)),INDEX(TimerMT,MATCH(C581,FaseKode,0))))</f>
        <v/>
      </c>
      <c r="G581">
        <f>IF(D581="F",0,IF(WEEKDAY($A581,2)=5,INDEX(TimerFr,MATCH(D581,FaseKode,0)),INDEX(TimerMT,MATCH(D581,FaseKode,0))))</f>
        <v/>
      </c>
      <c r="H581">
        <f>IF(OR(H$4="",$A581&gt;TODAY()),0,IF(OR(INDEX($B581:$D581,H$5)="F",AND(H$6&gt;0,$A581&lt;H$6),AND(H$7&gt;0,$A581&gt;H$7)),0,MAX(0,ROUND((INDEX($E581:$G581,H$5)-SUMIFS(TF_Timer,TF_Tekniker,H$4,TF_Dato,$A581))*2,0)/2)))</f>
        <v/>
      </c>
      <c r="I581">
        <f>IF(OR(I$4="",$A581&gt;TODAY()),0,IF(OR(INDEX($B581:$D581,I$5)="F",AND(I$6&gt;0,$A581&lt;I$6),AND(I$7&gt;0,$A581&gt;I$7)),0,MAX(0,ROUND((INDEX($E581:$G581,I$5)-SUMIFS(TF_Timer,TF_Tekniker,I$4,TF_Dato,$A581))*2,0)/2)))</f>
        <v/>
      </c>
      <c r="J581">
        <f>IF(OR(J$4="",$A581&gt;TODAY()),0,IF(OR(INDEX($B581:$D581,J$5)="F",AND(J$6&gt;0,$A581&lt;J$6),AND(J$7&gt;0,$A581&gt;J$7)),0,MAX(0,ROUND((INDEX($E581:$G581,J$5)-SUMIFS(TF_Timer,TF_Tekniker,J$4,TF_Dato,$A581))*2,0)/2)))</f>
        <v/>
      </c>
      <c r="K581">
        <f>IF(OR(K$4="",$A581&gt;TODAY()),0,IF(OR(INDEX($B581:$D581,K$5)="F",AND(K$6&gt;0,$A581&lt;K$6),AND(K$7&gt;0,$A581&gt;K$7)),0,MAX(0,ROUND((INDEX($E581:$G581,K$5)-SUMIFS(TF_Timer,TF_Tekniker,K$4,TF_Dato,$A581))*2,0)/2)))</f>
        <v/>
      </c>
      <c r="L581">
        <f>IF(OR(L$4="",$A581&gt;TODAY()),0,IF(OR(INDEX($B581:$D581,L$5)="F",AND(L$6&gt;0,$A581&lt;L$6),AND(L$7&gt;0,$A581&gt;L$7)),0,MAX(0,ROUND((INDEX($E581:$G581,L$5)-SUMIFS(TF_Timer,TF_Tekniker,L$4,TF_Dato,$A581))*2,0)/2)))</f>
        <v/>
      </c>
      <c r="M581">
        <f>IF(OR(M$4="",$A581&gt;TODAY()),0,IF(OR(INDEX($B581:$D581,M$5)="F",AND(M$6&gt;0,$A581&lt;M$6),AND(M$7&gt;0,$A581&gt;M$7)),0,MAX(0,ROUND((INDEX($E581:$G581,M$5)-SUMIFS(TF_Timer,TF_Tekniker,M$4,TF_Dato,$A581))*2,0)/2)))</f>
        <v/>
      </c>
      <c r="N581">
        <f>IF(OR(N$4="",$A581&gt;TODAY()),0,IF(OR(INDEX($B581:$D581,N$5)="F",AND(N$6&gt;0,$A581&lt;N$6),AND(N$7&gt;0,$A581&gt;N$7)),0,MAX(0,ROUND((INDEX($E581:$G581,N$5)-SUMIFS(TF_Timer,TF_Tekniker,N$4,TF_Dato,$A581))*2,0)/2)))</f>
        <v/>
      </c>
      <c r="O581">
        <f>IF(OR(O$4="",$A581&gt;TODAY()),0,IF(OR(INDEX($B581:$D581,O$5)="F",AND(O$6&gt;0,$A581&lt;O$6),AND(O$7&gt;0,$A581&gt;O$7)),0,MAX(0,ROUND((INDEX($E581:$G581,O$5)-SUMIFS(TF_Timer,TF_Tekniker,O$4,TF_Dato,$A581))*2,0)/2)))</f>
        <v/>
      </c>
      <c r="P581">
        <f>IF(OR(P$4="",$A581&gt;TODAY()),0,IF(OR(INDEX($B581:$D581,P$5)="F",AND(P$6&gt;0,$A581&lt;P$6),AND(P$7&gt;0,$A581&gt;P$7)),0,MAX(0,ROUND((INDEX($E581:$G581,P$5)-SUMIFS(TF_Timer,TF_Tekniker,P$4,TF_Dato,$A581))*2,0)/2)))</f>
        <v/>
      </c>
      <c r="Q581">
        <f>IF(OR(Q$4="",$A581&gt;TODAY()),0,IF(OR(INDEX($B581:$D581,Q$5)="F",AND(Q$6&gt;0,$A581&lt;Q$6),AND(Q$7&gt;0,$A581&gt;Q$7)),0,MAX(0,ROUND((INDEX($E581:$G581,Q$5)-SUMIFS(TF_Timer,TF_Tekniker,Q$4,TF_Dato,$A581))*2,0)/2)))</f>
        <v/>
      </c>
      <c r="R581">
        <f>IF(OR(R$4="",$A581&gt;TODAY()),0,IF(OR(INDEX($B581:$D581,R$5)="F",AND(R$6&gt;0,$A581&lt;R$6),AND(R$7&gt;0,$A581&gt;R$7)),0,MAX(0,ROUND((INDEX($E581:$G581,R$5)-SUMIFS(TF_Timer,TF_Tekniker,R$4,TF_Dato,$A581))*2,0)/2)))</f>
        <v/>
      </c>
      <c r="S581">
        <f>IF(OR(S$4="",$A581&gt;TODAY()),0,IF(OR(INDEX($B581:$D581,S$5)="F",AND(S$6&gt;0,$A581&lt;S$6),AND(S$7&gt;0,$A581&gt;S$7)),0,MAX(0,ROUND((INDEX($E581:$G581,S$5)-SUMIFS(TF_Timer,TF_Tekniker,S$4,TF_Dato,$A581))*2,0)/2)))</f>
        <v/>
      </c>
      <c r="T581">
        <f>IF(OR(T$4="",$A581&gt;TODAY()),0,IF(OR(INDEX($B581:$D581,T$5)="F",AND(T$6&gt;0,$A581&lt;T$6),AND(T$7&gt;0,$A581&gt;T$7)),0,MAX(0,ROUND((INDEX($E581:$G581,T$5)-SUMIFS(TF_Timer,TF_Tekniker,T$4,TF_Dato,$A581))*2,0)/2)))</f>
        <v/>
      </c>
      <c r="U581">
        <f>IF(OR(U$4="",$A581&gt;TODAY()),0,IF(OR(INDEX($B581:$D581,U$5)="F",AND(U$6&gt;0,$A581&lt;U$6),AND(U$7&gt;0,$A581&gt;U$7)),0,MAX(0,ROUND((INDEX($E581:$G581,U$5)-SUMIFS(TF_Timer,TF_Tekniker,U$4,TF_Dato,$A581))*2,0)/2)))</f>
        <v/>
      </c>
      <c r="V581">
        <f>IF(OR(V$4="",$A581&gt;TODAY()),0,IF(OR(INDEX($B581:$D581,V$5)="F",AND(V$6&gt;0,$A581&lt;V$6),AND(V$7&gt;0,$A581&gt;V$7)),0,MAX(0,ROUND((INDEX($E581:$G581,V$5)-SUMIFS(TF_Timer,TF_Tekniker,V$4,TF_Dato,$A581))*2,0)/2)))</f>
        <v/>
      </c>
      <c r="W581">
        <f>IF(OR(W$4="",$A581&gt;TODAY()),0,IF(OR(INDEX($B581:$D581,W$5)="F",AND(W$6&gt;0,$A581&lt;W$6),AND(W$7&gt;0,$A581&gt;W$7)),0,MAX(0,ROUND((INDEX($E581:$G581,W$5)-SUMIFS(TF_Timer,TF_Tekniker,W$4,TF_Dato,$A581))*2,0)/2)))</f>
        <v/>
      </c>
      <c r="X581">
        <f>IF(OR(X$4="",$A581&gt;TODAY()),0,IF(OR(INDEX($B581:$D581,X$5)="F",AND(X$6&gt;0,$A581&lt;X$6),AND(X$7&gt;0,$A581&gt;X$7)),0,MAX(0,ROUND((INDEX($E581:$G581,X$5)-SUMIFS(TF_Timer,TF_Tekniker,X$4,TF_Dato,$A581))*2,0)/2)))</f>
        <v/>
      </c>
      <c r="Y581">
        <f>IF(OR(Y$4="",$A581&gt;TODAY()),0,IF(OR(INDEX($B581:$D581,Y$5)="F",AND(Y$6&gt;0,$A581&lt;Y$6),AND(Y$7&gt;0,$A581&gt;Y$7)),0,MAX(0,ROUND((INDEX($E581:$G581,Y$5)-SUMIFS(TF_Timer,TF_Tekniker,Y$4,TF_Dato,$A581))*2,0)/2)))</f>
        <v/>
      </c>
      <c r="Z581">
        <f>IF(OR(Z$4="",$A581&gt;TODAY()),0,IF(OR(INDEX($B581:$D581,Z$5)="F",AND(Z$6&gt;0,$A581&lt;Z$6),AND(Z$7&gt;0,$A581&gt;Z$7)),0,MAX(0,ROUND((INDEX($E581:$G581,Z$5)-SUMIFS(TF_Timer,TF_Tekniker,Z$4,TF_Dato,$A581))*2,0)/2)))</f>
        <v/>
      </c>
      <c r="AA581">
        <f>IF(OR(AA$4="",$A581&gt;TODAY()),0,IF(OR(INDEX($B581:$D581,AA$5)="F",AND(AA$6&gt;0,$A581&lt;AA$6),AND(AA$7&gt;0,$A581&gt;AA$7)),0,MAX(0,ROUND((INDEX($E581:$G581,AA$5)-SUMIFS(TF_Timer,TF_Tekniker,AA$4,TF_Dato,$A581))*2,0)/2)))</f>
        <v/>
      </c>
      <c r="AB581">
        <f>IF(OR(AB$4="",$A581&gt;TODAY()),0,IF(OR(INDEX($B581:$D581,AB$5)="F",AND(AB$6&gt;0,$A581&lt;AB$6),AND(AB$7&gt;0,$A581&gt;AB$7)),0,MAX(0,ROUND((INDEX($E581:$G581,AB$5)-SUMIFS(TF_Timer,TF_Tekniker,AB$4,TF_Dato,$A581))*2,0)/2)))</f>
        <v/>
      </c>
      <c r="AC581">
        <f>IF(OR(AC$4="",$A581&gt;TODAY()),0,IF(OR(INDEX($B581:$D581,AC$5)="F",AND(AC$6&gt;0,$A581&lt;AC$6),AND(AC$7&gt;0,$A581&gt;AC$7)),0,MAX(0,ROUND((INDEX($E581:$G581,AC$5)-SUMIFS(TF_Timer,TF_Tekniker,AC$4,TF_Dato,$A581))*2,0)/2)))</f>
        <v/>
      </c>
      <c r="AD581">
        <f>IF(OR(AD$4="",$A581&gt;TODAY()),0,IF(OR(INDEX($B581:$D581,AD$5)="F",AND(AD$6&gt;0,$A581&lt;AD$6),AND(AD$7&gt;0,$A581&gt;AD$7)),0,MAX(0,ROUND((INDEX($E581:$G581,AD$5)-SUMIFS(TF_Timer,TF_Tekniker,AD$4,TF_Dato,$A581))*2,0)/2)))</f>
        <v/>
      </c>
      <c r="AE581">
        <f>IF(OR(AE$4="",$A581&gt;TODAY()),0,IF(OR(INDEX($B581:$D581,AE$5)="F",AND(AE$6&gt;0,$A581&lt;AE$6),AND(AE$7&gt;0,$A581&gt;AE$7)),0,MAX(0,ROUND((INDEX($E581:$G581,AE$5)-SUMIFS(TF_Timer,TF_Tekniker,AE$4,TF_Dato,$A581))*2,0)/2)))</f>
        <v/>
      </c>
      <c r="AF581">
        <f>IF(OR(AF$4="",$A581&gt;TODAY()),0,IF(OR(INDEX($B581:$D581,AF$5)="F",AND(AF$6&gt;0,$A581&lt;AF$6),AND(AF$7&gt;0,$A581&gt;AF$7)),0,MAX(0,ROUND((INDEX($E581:$G581,AF$5)-SUMIFS(TF_Timer,TF_Tekniker,AF$4,TF_Dato,$A581))*2,0)/2)))</f>
        <v/>
      </c>
      <c r="AG581">
        <f>IF(OR(AG$4="",$A581&gt;TODAY()),0,IF(OR(INDEX($B581:$D581,AG$5)="F",AND(AG$6&gt;0,$A581&lt;AG$6),AND(AG$7&gt;0,$A581&gt;AG$7)),0,MAX(0,ROUND((INDEX($E581:$G581,AG$5)-SUMIFS(TF_Timer,TF_Tekniker,AG$4,TF_Dato,$A581))*2,0)/2)))</f>
        <v/>
      </c>
      <c r="AH581">
        <f>IF(OR(AH$4="",$A581&gt;TODAY()),0,IF(OR(INDEX($B581:$D581,AH$5)="F",AND(AH$6&gt;0,$A581&lt;AH$6),AND(AH$7&gt;0,$A581&gt;AH$7)),0,MAX(0,ROUND((INDEX($E581:$G581,AH$5)-SUMIFS(TF_Timer,TF_Tekniker,AH$4,TF_Dato,$A581))*2,0)/2)))</f>
        <v/>
      </c>
      <c r="AI581">
        <f>IF(OR(AI$4="",$A581&gt;TODAY()),0,IF(OR(INDEX($B581:$D581,AI$5)="F",AND(AI$6&gt;0,$A581&lt;AI$6),AND(AI$7&gt;0,$A581&gt;AI$7)),0,MAX(0,ROUND((INDEX($E581:$G581,AI$5)-SUMIFS(TF_Timer,TF_Tekniker,AI$4,TF_Dato,$A581))*2,0)/2)))</f>
        <v/>
      </c>
      <c r="AJ581">
        <f>IF(OR(AJ$4="",$A581&gt;TODAY()),0,IF(OR(INDEX($B581:$D581,AJ$5)="F",AND(AJ$6&gt;0,$A581&lt;AJ$6),AND(AJ$7&gt;0,$A581&gt;AJ$7)),0,MAX(0,ROUND((INDEX($E581:$G581,AJ$5)-SUMIFS(TF_Timer,TF_Tekniker,AJ$4,TF_Dato,$A581))*2,0)/2)))</f>
        <v/>
      </c>
      <c r="AK581">
        <f>IF(OR(AK$4="",$A581&gt;TODAY()),0,IF(OR(INDEX($B581:$D581,AK$5)="F",AND(AK$6&gt;0,$A581&lt;AK$6),AND(AK$7&gt;0,$A581&gt;AK$7)),0,MAX(0,ROUND((INDEX($E581:$G581,AK$5)-SUMIFS(TF_Timer,TF_Tekniker,AK$4,TF_Dato,$A581))*2,0)/2)))</f>
        <v/>
      </c>
      <c r="AL581">
        <f>IF(OR(AL$4="",$A581&gt;TODAY()),0,IF(OR(INDEX($B581:$D581,AL$5)="F",AND(AL$6&gt;0,$A581&lt;AL$6),AND(AL$7&gt;0,$A581&gt;AL$7)),0,MAX(0,ROUND((INDEX($E581:$G581,AL$5)-SUMIFS(TF_Timer,TF_Tekniker,AL$4,TF_Dato,$A581))*2,0)/2)))</f>
        <v/>
      </c>
      <c r="AM581">
        <f>IF(OR(AM$4="",$A581&gt;TODAY()),0,IF(OR(INDEX($B581:$D581,AM$5)="F",AND(AM$6&gt;0,$A581&lt;AM$6),AND(AM$7&gt;0,$A581&gt;AM$7)),0,MAX(0,ROUND((INDEX($E581:$G581,AM$5)-SUMIFS(TF_Timer,TF_Tekniker,AM$4,TF_Dato,$A581))*2,0)/2)))</f>
        <v/>
      </c>
      <c r="AN581">
        <f>IF(OR(AN$4="",$A581&gt;TODAY()),0,IF(OR(INDEX($B581:$D581,AN$5)="F",AND(AN$6&gt;0,$A581&lt;AN$6),AND(AN$7&gt;0,$A581&gt;AN$7)),0,MAX(0,ROUND((INDEX($E581:$G581,AN$5)-SUMIFS(TF_Timer,TF_Tekniker,AN$4,TF_Dato,$A581))*2,0)/2)))</f>
        <v/>
      </c>
      <c r="AO581">
        <f>IF(OR(AO$4="",$A581&gt;TODAY()),0,IF(OR(INDEX($B581:$D581,AO$5)="F",AND(AO$6&gt;0,$A581&lt;AO$6),AND(AO$7&gt;0,$A581&gt;AO$7)),0,MAX(0,ROUND((INDEX($E581:$G581,AO$5)-SUMIFS(TF_Timer,TF_Tekniker,AO$4,TF_Dato,$A581))*2,0)/2)))</f>
        <v/>
      </c>
      <c r="AP581">
        <f>IF(OR(AP$4="",$A581&gt;TODAY()),0,IF(OR(INDEX($B581:$D581,AP$5)="F",AND(AP$6&gt;0,$A581&lt;AP$6),AND(AP$7&gt;0,$A581&gt;AP$7)),0,MAX(0,ROUND((INDEX($E581:$G581,AP$5)-SUMIFS(TF_Timer,TF_Tekniker,AP$4,TF_Dato,$A581))*2,0)/2)))</f>
        <v/>
      </c>
      <c r="AQ581">
        <f>IF(OR(AQ$4="",$A581&gt;TODAY()),0,IF(OR(INDEX($B581:$D581,AQ$5)="F",AND(AQ$6&gt;0,$A581&lt;AQ$6),AND(AQ$7&gt;0,$A581&gt;AQ$7)),0,MAX(0,ROUND((INDEX($E581:$G581,AQ$5)-SUMIFS(TF_Timer,TF_Tekniker,AQ$4,TF_Dato,$A581))*2,0)/2)))</f>
        <v/>
      </c>
      <c r="AR581">
        <f>IF(OR(AR$4="",$A581&gt;TODAY()),0,IF(OR(INDEX($B581:$D581,AR$5)="F",AND(AR$6&gt;0,$A581&lt;AR$6),AND(AR$7&gt;0,$A581&gt;AR$7)),0,MAX(0,ROUND((INDEX($E581:$G581,AR$5)-SUMIFS(TF_Timer,TF_Tekniker,AR$4,TF_Dato,$A581))*2,0)/2)))</f>
        <v/>
      </c>
      <c r="AS581">
        <f>IF(OR(AS$4="",$A581&gt;TODAY()),0,IF(OR(INDEX($B581:$D581,AS$5)="F",AND(AS$6&gt;0,$A581&lt;AS$6),AND(AS$7&gt;0,$A581&gt;AS$7)),0,MAX(0,ROUND((INDEX($E581:$G581,AS$5)-SUMIFS(TF_Timer,TF_Tekniker,AS$4,TF_Dato,$A581))*2,0)/2)))</f>
        <v/>
      </c>
      <c r="AT581">
        <f>IF(OR(AT$4="",$A581&gt;TODAY()),0,IF(OR(INDEX($B581:$D581,AT$5)="F",AND(AT$6&gt;0,$A581&lt;AT$6),AND(AT$7&gt;0,$A581&gt;AT$7)),0,MAX(0,ROUND((INDEX($E581:$G581,AT$5)-SUMIFS(TF_Timer,TF_Tekniker,AT$4,TF_Dato,$A581))*2,0)/2)))</f>
        <v/>
      </c>
      <c r="AU581">
        <f>IF(OR(AU$4="",$A581&gt;TODAY()),0,IF(OR(INDEX($B581:$D581,AU$5)="F",AND(AU$6&gt;0,$A581&lt;AU$6),AND(AU$7&gt;0,$A581&gt;AU$7)),0,MAX(0,ROUND((INDEX($E581:$G581,AU$5)-SUMIFS(TF_Timer,TF_Tekniker,AU$4,TF_Dato,$A581))*2,0)/2)))</f>
        <v/>
      </c>
      <c r="AV581">
        <f>IF(OR(AV$4="",$A581&gt;TODAY()),0,IF(OR(INDEX($B581:$D581,AV$5)="F",AND(AV$6&gt;0,$A581&lt;AV$6),AND(AV$7&gt;0,$A581&gt;AV$7)),0,MAX(0,ROUND((INDEX($E581:$G581,AV$5)-SUMIFS(TF_Timer,TF_Tekniker,AV$4,TF_Dato,$A581))*2,0)/2)))</f>
        <v/>
      </c>
      <c r="AW581">
        <f>IF(OR(AW$4="",$A581&gt;TODAY()),0,IF(OR(INDEX($B581:$D581,AW$5)="F",AND(AW$6&gt;0,$A581&lt;AW$6),AND(AW$7&gt;0,$A581&gt;AW$7)),0,MAX(0,ROUND((INDEX($E581:$G581,AW$5)-SUMIFS(TF_Timer,TF_Tekniker,AW$4,TF_Dato,$A581))*2,0)/2)))</f>
        <v/>
      </c>
      <c r="AX581">
        <f>IF(OR(AX$4="",$A581&gt;TODAY()),0,IF(OR(INDEX($B581:$D581,AX$5)="F",AND(AX$6&gt;0,$A581&lt;AX$6),AND(AX$7&gt;0,$A581&gt;AX$7)),0,MAX(0,ROUND((INDEX($E581:$G581,AX$5)-SUMIFS(TF_Timer,TF_Tekniker,AX$4,TF_Dato,$A581))*2,0)/2)))</f>
        <v/>
      </c>
      <c r="AY581">
        <f>IF(OR(AY$4="",$A581&gt;TODAY()),0,IF(OR(INDEX($B581:$D581,AY$5)="F",AND(AY$6&gt;0,$A581&lt;AY$6),AND(AY$7&gt;0,$A581&gt;AY$7)),0,MAX(0,ROUND((INDEX($E581:$G581,AY$5)-SUMIFS(TF_Timer,TF_Tekniker,AY$4,TF_Dato,$A581))*2,0)/2)))</f>
        <v/>
      </c>
      <c r="AZ581">
        <f>IF(OR(AZ$4="",$A581&gt;TODAY()),0,IF(OR(INDEX($B581:$D581,AZ$5)="F",AND(AZ$6&gt;0,$A581&lt;AZ$6),AND(AZ$7&gt;0,$A581&gt;AZ$7)),0,MAX(0,ROUND((INDEX($E581:$G581,AZ$5)-SUMIFS(TF_Timer,TF_Tekniker,AZ$4,TF_Dato,$A581))*2,0)/2)))</f>
        <v/>
      </c>
      <c r="BA581">
        <f>IF(OR(BA$4="",$A581&gt;TODAY()),0,IF(OR(INDEX($B581:$D581,BA$5)="F",AND(BA$6&gt;0,$A581&lt;BA$6),AND(BA$7&gt;0,$A581&gt;BA$7)),0,MAX(0,ROUND((INDEX($E581:$G581,BA$5)-SUMIFS(TF_Timer,TF_Tekniker,BA$4,TF_Dato,$A581))*2,0)/2)))</f>
        <v/>
      </c>
      <c r="BB581">
        <f>IF(OR(BB$4="",$A581&gt;TODAY()),0,IF(OR(INDEX($B581:$D581,BB$5)="F",AND(BB$6&gt;0,$A581&lt;BB$6),AND(BB$7&gt;0,$A581&gt;BB$7)),0,MAX(0,ROUND((INDEX($E581:$G581,BB$5)-SUMIFS(TF_Timer,TF_Tekniker,BB$4,TF_Dato,$A581))*2,0)/2)))</f>
        <v/>
      </c>
      <c r="BC581">
        <f>IF(OR(BC$4="",$A581&gt;TODAY()),0,IF(OR(INDEX($B581:$D581,BC$5)="F",AND(BC$6&gt;0,$A581&lt;BC$6),AND(BC$7&gt;0,$A581&gt;BC$7)),0,MAX(0,ROUND((INDEX($E581:$G581,BC$5)-SUMIFS(TF_Timer,TF_Tekniker,BC$4,TF_Dato,$A581))*2,0)/2)))</f>
        <v/>
      </c>
      <c r="BD581">
        <f>IF(OR(BD$4="",$A581&gt;TODAY()),0,IF(OR(INDEX($B581:$D581,BD$5)="F",AND(BD$6&gt;0,$A581&lt;BD$6),AND(BD$7&gt;0,$A581&gt;BD$7)),0,MAX(0,ROUND((INDEX($E581:$G581,BD$5)-SUMIFS(TF_Timer,TF_Tekniker,BD$4,TF_Dato,$A581))*2,0)/2)))</f>
        <v/>
      </c>
      <c r="BE581">
        <f>IF(OR(BE$4="",$A581&gt;TODAY()),0,IF(OR(INDEX($B581:$D581,BE$5)="F",AND(BE$6&gt;0,$A581&lt;BE$6),AND(BE$7&gt;0,$A581&gt;BE$7)),0,MAX(0,ROUND((INDEX($E581:$G581,BE$5)-SUMIFS(TF_Timer,TF_Tekniker,BE$4,TF_Dato,$A581))*2,0)/2)))</f>
        <v/>
      </c>
      <c r="BF581">
        <f>IF(OR(BF$4="",$A581&gt;TODAY()),0,IF(OR(INDEX($B581:$D581,BF$5)="F",AND(BF$6&gt;0,$A581&lt;BF$6),AND(BF$7&gt;0,$A581&gt;BF$7)),0,MAX(0,ROUND((INDEX($E581:$G581,BF$5)-SUMIFS(TF_Timer,TF_Tekniker,BF$4,TF_Dato,$A581))*2,0)/2)))</f>
        <v/>
      </c>
      <c r="BG581">
        <f>IF(OR(BG$4="",$A581&gt;TODAY()),0,IF(OR(INDEX($B581:$D581,BG$5)="F",AND(BG$6&gt;0,$A581&lt;BG$6),AND(BG$7&gt;0,$A581&gt;BG$7)),0,MAX(0,ROUND((INDEX($E581:$G581,BG$5)-SUMIFS(TF_Timer,TF_Tekniker,BG$4,TF_Dato,$A581))*2,0)/2)))</f>
        <v/>
      </c>
      <c r="BH581">
        <f>IF(OR(BH$4="",$A581&gt;TODAY()),0,IF(OR(INDEX($B581:$D581,BH$5)="F",AND(BH$6&gt;0,$A581&lt;BH$6),AND(BH$7&gt;0,$A581&gt;BH$7)),0,MAX(0,ROUND((INDEX($E581:$G581,BH$5)-SUMIFS(TF_Timer,TF_Tekniker,BH$4,TF_Dato,$A581))*2,0)/2)))</f>
        <v/>
      </c>
      <c r="BI581">
        <f>IF(OR(BI$4="",$A581&gt;TODAY()),0,IF(OR(INDEX($B581:$D581,BI$5)="F",AND(BI$6&gt;0,$A581&lt;BI$6),AND(BI$7&gt;0,$A581&gt;BI$7)),0,MAX(0,ROUND((INDEX($E581:$G581,BI$5)-SUMIFS(TF_Timer,TF_Tekniker,BI$4,TF_Dato,$A581))*2,0)/2)))</f>
        <v/>
      </c>
    </row>
    <row r="582">
      <c r="A582" s="64">
        <f>A581+1</f>
        <v/>
      </c>
      <c r="B582">
        <f>IF(MOD($A582-INDEX(SkiftStart,1),Syklus)&lt;DagK,"K",IF(MOD($A582-INDEX(SkiftStart,1),Syklus)&lt;DagK+DagH,"H",IF(MOD($A582-INDEX(SkiftStart,1),Syklus)&lt;DagK+DagH+DagD,"D","F")))</f>
        <v/>
      </c>
      <c r="C582">
        <f>IF(MOD($A582-INDEX(SkiftStart,2),Syklus)&lt;DagK,"K",IF(MOD($A582-INDEX(SkiftStart,2),Syklus)&lt;DagK+DagH,"H",IF(MOD($A582-INDEX(SkiftStart,2),Syklus)&lt;DagK+DagH+DagD,"D","F")))</f>
        <v/>
      </c>
      <c r="D582">
        <f>IF(MOD($A582-INDEX(SkiftStart,3),Syklus)&lt;DagK,"K",IF(MOD($A582-INDEX(SkiftStart,3),Syklus)&lt;DagK+DagH,"H",IF(MOD($A582-INDEX(SkiftStart,3),Syklus)&lt;DagK+DagH+DagD,"D","F")))</f>
        <v/>
      </c>
      <c r="E582">
        <f>IF(B582="F",0,IF(WEEKDAY($A582,2)=5,INDEX(TimerFr,MATCH(B582,FaseKode,0)),INDEX(TimerMT,MATCH(B582,FaseKode,0))))</f>
        <v/>
      </c>
      <c r="F582">
        <f>IF(C582="F",0,IF(WEEKDAY($A582,2)=5,INDEX(TimerFr,MATCH(C582,FaseKode,0)),INDEX(TimerMT,MATCH(C582,FaseKode,0))))</f>
        <v/>
      </c>
      <c r="G582">
        <f>IF(D582="F",0,IF(WEEKDAY($A582,2)=5,INDEX(TimerFr,MATCH(D582,FaseKode,0)),INDEX(TimerMT,MATCH(D582,FaseKode,0))))</f>
        <v/>
      </c>
      <c r="H582">
        <f>IF(OR(H$4="",$A582&gt;TODAY()),0,IF(OR(INDEX($B582:$D582,H$5)="F",AND(H$6&gt;0,$A582&lt;H$6),AND(H$7&gt;0,$A582&gt;H$7)),0,MAX(0,ROUND((INDEX($E582:$G582,H$5)-SUMIFS(TF_Timer,TF_Tekniker,H$4,TF_Dato,$A582))*2,0)/2)))</f>
        <v/>
      </c>
      <c r="I582">
        <f>IF(OR(I$4="",$A582&gt;TODAY()),0,IF(OR(INDEX($B582:$D582,I$5)="F",AND(I$6&gt;0,$A582&lt;I$6),AND(I$7&gt;0,$A582&gt;I$7)),0,MAX(0,ROUND((INDEX($E582:$G582,I$5)-SUMIFS(TF_Timer,TF_Tekniker,I$4,TF_Dato,$A582))*2,0)/2)))</f>
        <v/>
      </c>
      <c r="J582">
        <f>IF(OR(J$4="",$A582&gt;TODAY()),0,IF(OR(INDEX($B582:$D582,J$5)="F",AND(J$6&gt;0,$A582&lt;J$6),AND(J$7&gt;0,$A582&gt;J$7)),0,MAX(0,ROUND((INDEX($E582:$G582,J$5)-SUMIFS(TF_Timer,TF_Tekniker,J$4,TF_Dato,$A582))*2,0)/2)))</f>
        <v/>
      </c>
      <c r="K582">
        <f>IF(OR(K$4="",$A582&gt;TODAY()),0,IF(OR(INDEX($B582:$D582,K$5)="F",AND(K$6&gt;0,$A582&lt;K$6),AND(K$7&gt;0,$A582&gt;K$7)),0,MAX(0,ROUND((INDEX($E582:$G582,K$5)-SUMIFS(TF_Timer,TF_Tekniker,K$4,TF_Dato,$A582))*2,0)/2)))</f>
        <v/>
      </c>
      <c r="L582">
        <f>IF(OR(L$4="",$A582&gt;TODAY()),0,IF(OR(INDEX($B582:$D582,L$5)="F",AND(L$6&gt;0,$A582&lt;L$6),AND(L$7&gt;0,$A582&gt;L$7)),0,MAX(0,ROUND((INDEX($E582:$G582,L$5)-SUMIFS(TF_Timer,TF_Tekniker,L$4,TF_Dato,$A582))*2,0)/2)))</f>
        <v/>
      </c>
      <c r="M582">
        <f>IF(OR(M$4="",$A582&gt;TODAY()),0,IF(OR(INDEX($B582:$D582,M$5)="F",AND(M$6&gt;0,$A582&lt;M$6),AND(M$7&gt;0,$A582&gt;M$7)),0,MAX(0,ROUND((INDEX($E582:$G582,M$5)-SUMIFS(TF_Timer,TF_Tekniker,M$4,TF_Dato,$A582))*2,0)/2)))</f>
        <v/>
      </c>
      <c r="N582">
        <f>IF(OR(N$4="",$A582&gt;TODAY()),0,IF(OR(INDEX($B582:$D582,N$5)="F",AND(N$6&gt;0,$A582&lt;N$6),AND(N$7&gt;0,$A582&gt;N$7)),0,MAX(0,ROUND((INDEX($E582:$G582,N$5)-SUMIFS(TF_Timer,TF_Tekniker,N$4,TF_Dato,$A582))*2,0)/2)))</f>
        <v/>
      </c>
      <c r="O582">
        <f>IF(OR(O$4="",$A582&gt;TODAY()),0,IF(OR(INDEX($B582:$D582,O$5)="F",AND(O$6&gt;0,$A582&lt;O$6),AND(O$7&gt;0,$A582&gt;O$7)),0,MAX(0,ROUND((INDEX($E582:$G582,O$5)-SUMIFS(TF_Timer,TF_Tekniker,O$4,TF_Dato,$A582))*2,0)/2)))</f>
        <v/>
      </c>
      <c r="P582">
        <f>IF(OR(P$4="",$A582&gt;TODAY()),0,IF(OR(INDEX($B582:$D582,P$5)="F",AND(P$6&gt;0,$A582&lt;P$6),AND(P$7&gt;0,$A582&gt;P$7)),0,MAX(0,ROUND((INDEX($E582:$G582,P$5)-SUMIFS(TF_Timer,TF_Tekniker,P$4,TF_Dato,$A582))*2,0)/2)))</f>
        <v/>
      </c>
      <c r="Q582">
        <f>IF(OR(Q$4="",$A582&gt;TODAY()),0,IF(OR(INDEX($B582:$D582,Q$5)="F",AND(Q$6&gt;0,$A582&lt;Q$6),AND(Q$7&gt;0,$A582&gt;Q$7)),0,MAX(0,ROUND((INDEX($E582:$G582,Q$5)-SUMIFS(TF_Timer,TF_Tekniker,Q$4,TF_Dato,$A582))*2,0)/2)))</f>
        <v/>
      </c>
      <c r="R582">
        <f>IF(OR(R$4="",$A582&gt;TODAY()),0,IF(OR(INDEX($B582:$D582,R$5)="F",AND(R$6&gt;0,$A582&lt;R$6),AND(R$7&gt;0,$A582&gt;R$7)),0,MAX(0,ROUND((INDEX($E582:$G582,R$5)-SUMIFS(TF_Timer,TF_Tekniker,R$4,TF_Dato,$A582))*2,0)/2)))</f>
        <v/>
      </c>
      <c r="S582">
        <f>IF(OR(S$4="",$A582&gt;TODAY()),0,IF(OR(INDEX($B582:$D582,S$5)="F",AND(S$6&gt;0,$A582&lt;S$6),AND(S$7&gt;0,$A582&gt;S$7)),0,MAX(0,ROUND((INDEX($E582:$G582,S$5)-SUMIFS(TF_Timer,TF_Tekniker,S$4,TF_Dato,$A582))*2,0)/2)))</f>
        <v/>
      </c>
      <c r="T582">
        <f>IF(OR(T$4="",$A582&gt;TODAY()),0,IF(OR(INDEX($B582:$D582,T$5)="F",AND(T$6&gt;0,$A582&lt;T$6),AND(T$7&gt;0,$A582&gt;T$7)),0,MAX(0,ROUND((INDEX($E582:$G582,T$5)-SUMIFS(TF_Timer,TF_Tekniker,T$4,TF_Dato,$A582))*2,0)/2)))</f>
        <v/>
      </c>
      <c r="U582">
        <f>IF(OR(U$4="",$A582&gt;TODAY()),0,IF(OR(INDEX($B582:$D582,U$5)="F",AND(U$6&gt;0,$A582&lt;U$6),AND(U$7&gt;0,$A582&gt;U$7)),0,MAX(0,ROUND((INDEX($E582:$G582,U$5)-SUMIFS(TF_Timer,TF_Tekniker,U$4,TF_Dato,$A582))*2,0)/2)))</f>
        <v/>
      </c>
      <c r="V582">
        <f>IF(OR(V$4="",$A582&gt;TODAY()),0,IF(OR(INDEX($B582:$D582,V$5)="F",AND(V$6&gt;0,$A582&lt;V$6),AND(V$7&gt;0,$A582&gt;V$7)),0,MAX(0,ROUND((INDEX($E582:$G582,V$5)-SUMIFS(TF_Timer,TF_Tekniker,V$4,TF_Dato,$A582))*2,0)/2)))</f>
        <v/>
      </c>
      <c r="W582">
        <f>IF(OR(W$4="",$A582&gt;TODAY()),0,IF(OR(INDEX($B582:$D582,W$5)="F",AND(W$6&gt;0,$A582&lt;W$6),AND(W$7&gt;0,$A582&gt;W$7)),0,MAX(0,ROUND((INDEX($E582:$G582,W$5)-SUMIFS(TF_Timer,TF_Tekniker,W$4,TF_Dato,$A582))*2,0)/2)))</f>
        <v/>
      </c>
      <c r="X582">
        <f>IF(OR(X$4="",$A582&gt;TODAY()),0,IF(OR(INDEX($B582:$D582,X$5)="F",AND(X$6&gt;0,$A582&lt;X$6),AND(X$7&gt;0,$A582&gt;X$7)),0,MAX(0,ROUND((INDEX($E582:$G582,X$5)-SUMIFS(TF_Timer,TF_Tekniker,X$4,TF_Dato,$A582))*2,0)/2)))</f>
        <v/>
      </c>
      <c r="Y582">
        <f>IF(OR(Y$4="",$A582&gt;TODAY()),0,IF(OR(INDEX($B582:$D582,Y$5)="F",AND(Y$6&gt;0,$A582&lt;Y$6),AND(Y$7&gt;0,$A582&gt;Y$7)),0,MAX(0,ROUND((INDEX($E582:$G582,Y$5)-SUMIFS(TF_Timer,TF_Tekniker,Y$4,TF_Dato,$A582))*2,0)/2)))</f>
        <v/>
      </c>
      <c r="Z582">
        <f>IF(OR(Z$4="",$A582&gt;TODAY()),0,IF(OR(INDEX($B582:$D582,Z$5)="F",AND(Z$6&gt;0,$A582&lt;Z$6),AND(Z$7&gt;0,$A582&gt;Z$7)),0,MAX(0,ROUND((INDEX($E582:$G582,Z$5)-SUMIFS(TF_Timer,TF_Tekniker,Z$4,TF_Dato,$A582))*2,0)/2)))</f>
        <v/>
      </c>
      <c r="AA582">
        <f>IF(OR(AA$4="",$A582&gt;TODAY()),0,IF(OR(INDEX($B582:$D582,AA$5)="F",AND(AA$6&gt;0,$A582&lt;AA$6),AND(AA$7&gt;0,$A582&gt;AA$7)),0,MAX(0,ROUND((INDEX($E582:$G582,AA$5)-SUMIFS(TF_Timer,TF_Tekniker,AA$4,TF_Dato,$A582))*2,0)/2)))</f>
        <v/>
      </c>
      <c r="AB582">
        <f>IF(OR(AB$4="",$A582&gt;TODAY()),0,IF(OR(INDEX($B582:$D582,AB$5)="F",AND(AB$6&gt;0,$A582&lt;AB$6),AND(AB$7&gt;0,$A582&gt;AB$7)),0,MAX(0,ROUND((INDEX($E582:$G582,AB$5)-SUMIFS(TF_Timer,TF_Tekniker,AB$4,TF_Dato,$A582))*2,0)/2)))</f>
        <v/>
      </c>
      <c r="AC582">
        <f>IF(OR(AC$4="",$A582&gt;TODAY()),0,IF(OR(INDEX($B582:$D582,AC$5)="F",AND(AC$6&gt;0,$A582&lt;AC$6),AND(AC$7&gt;0,$A582&gt;AC$7)),0,MAX(0,ROUND((INDEX($E582:$G582,AC$5)-SUMIFS(TF_Timer,TF_Tekniker,AC$4,TF_Dato,$A582))*2,0)/2)))</f>
        <v/>
      </c>
      <c r="AD582">
        <f>IF(OR(AD$4="",$A582&gt;TODAY()),0,IF(OR(INDEX($B582:$D582,AD$5)="F",AND(AD$6&gt;0,$A582&lt;AD$6),AND(AD$7&gt;0,$A582&gt;AD$7)),0,MAX(0,ROUND((INDEX($E582:$G582,AD$5)-SUMIFS(TF_Timer,TF_Tekniker,AD$4,TF_Dato,$A582))*2,0)/2)))</f>
        <v/>
      </c>
      <c r="AE582">
        <f>IF(OR(AE$4="",$A582&gt;TODAY()),0,IF(OR(INDEX($B582:$D582,AE$5)="F",AND(AE$6&gt;0,$A582&lt;AE$6),AND(AE$7&gt;0,$A582&gt;AE$7)),0,MAX(0,ROUND((INDEX($E582:$G582,AE$5)-SUMIFS(TF_Timer,TF_Tekniker,AE$4,TF_Dato,$A582))*2,0)/2)))</f>
        <v/>
      </c>
      <c r="AF582">
        <f>IF(OR(AF$4="",$A582&gt;TODAY()),0,IF(OR(INDEX($B582:$D582,AF$5)="F",AND(AF$6&gt;0,$A582&lt;AF$6),AND(AF$7&gt;0,$A582&gt;AF$7)),0,MAX(0,ROUND((INDEX($E582:$G582,AF$5)-SUMIFS(TF_Timer,TF_Tekniker,AF$4,TF_Dato,$A582))*2,0)/2)))</f>
        <v/>
      </c>
      <c r="AG582">
        <f>IF(OR(AG$4="",$A582&gt;TODAY()),0,IF(OR(INDEX($B582:$D582,AG$5)="F",AND(AG$6&gt;0,$A582&lt;AG$6),AND(AG$7&gt;0,$A582&gt;AG$7)),0,MAX(0,ROUND((INDEX($E582:$G582,AG$5)-SUMIFS(TF_Timer,TF_Tekniker,AG$4,TF_Dato,$A582))*2,0)/2)))</f>
        <v/>
      </c>
      <c r="AH582">
        <f>IF(OR(AH$4="",$A582&gt;TODAY()),0,IF(OR(INDEX($B582:$D582,AH$5)="F",AND(AH$6&gt;0,$A582&lt;AH$6),AND(AH$7&gt;0,$A582&gt;AH$7)),0,MAX(0,ROUND((INDEX($E582:$G582,AH$5)-SUMIFS(TF_Timer,TF_Tekniker,AH$4,TF_Dato,$A582))*2,0)/2)))</f>
        <v/>
      </c>
      <c r="AI582">
        <f>IF(OR(AI$4="",$A582&gt;TODAY()),0,IF(OR(INDEX($B582:$D582,AI$5)="F",AND(AI$6&gt;0,$A582&lt;AI$6),AND(AI$7&gt;0,$A582&gt;AI$7)),0,MAX(0,ROUND((INDEX($E582:$G582,AI$5)-SUMIFS(TF_Timer,TF_Tekniker,AI$4,TF_Dato,$A582))*2,0)/2)))</f>
        <v/>
      </c>
      <c r="AJ582">
        <f>IF(OR(AJ$4="",$A582&gt;TODAY()),0,IF(OR(INDEX($B582:$D582,AJ$5)="F",AND(AJ$6&gt;0,$A582&lt;AJ$6),AND(AJ$7&gt;0,$A582&gt;AJ$7)),0,MAX(0,ROUND((INDEX($E582:$G582,AJ$5)-SUMIFS(TF_Timer,TF_Tekniker,AJ$4,TF_Dato,$A582))*2,0)/2)))</f>
        <v/>
      </c>
      <c r="AK582">
        <f>IF(OR(AK$4="",$A582&gt;TODAY()),0,IF(OR(INDEX($B582:$D582,AK$5)="F",AND(AK$6&gt;0,$A582&lt;AK$6),AND(AK$7&gt;0,$A582&gt;AK$7)),0,MAX(0,ROUND((INDEX($E582:$G582,AK$5)-SUMIFS(TF_Timer,TF_Tekniker,AK$4,TF_Dato,$A582))*2,0)/2)))</f>
        <v/>
      </c>
      <c r="AL582">
        <f>IF(OR(AL$4="",$A582&gt;TODAY()),0,IF(OR(INDEX($B582:$D582,AL$5)="F",AND(AL$6&gt;0,$A582&lt;AL$6),AND(AL$7&gt;0,$A582&gt;AL$7)),0,MAX(0,ROUND((INDEX($E582:$G582,AL$5)-SUMIFS(TF_Timer,TF_Tekniker,AL$4,TF_Dato,$A582))*2,0)/2)))</f>
        <v/>
      </c>
      <c r="AM582">
        <f>IF(OR(AM$4="",$A582&gt;TODAY()),0,IF(OR(INDEX($B582:$D582,AM$5)="F",AND(AM$6&gt;0,$A582&lt;AM$6),AND(AM$7&gt;0,$A582&gt;AM$7)),0,MAX(0,ROUND((INDEX($E582:$G582,AM$5)-SUMIFS(TF_Timer,TF_Tekniker,AM$4,TF_Dato,$A582))*2,0)/2)))</f>
        <v/>
      </c>
      <c r="AN582">
        <f>IF(OR(AN$4="",$A582&gt;TODAY()),0,IF(OR(INDEX($B582:$D582,AN$5)="F",AND(AN$6&gt;0,$A582&lt;AN$6),AND(AN$7&gt;0,$A582&gt;AN$7)),0,MAX(0,ROUND((INDEX($E582:$G582,AN$5)-SUMIFS(TF_Timer,TF_Tekniker,AN$4,TF_Dato,$A582))*2,0)/2)))</f>
        <v/>
      </c>
      <c r="AO582">
        <f>IF(OR(AO$4="",$A582&gt;TODAY()),0,IF(OR(INDEX($B582:$D582,AO$5)="F",AND(AO$6&gt;0,$A582&lt;AO$6),AND(AO$7&gt;0,$A582&gt;AO$7)),0,MAX(0,ROUND((INDEX($E582:$G582,AO$5)-SUMIFS(TF_Timer,TF_Tekniker,AO$4,TF_Dato,$A582))*2,0)/2)))</f>
        <v/>
      </c>
      <c r="AP582">
        <f>IF(OR(AP$4="",$A582&gt;TODAY()),0,IF(OR(INDEX($B582:$D582,AP$5)="F",AND(AP$6&gt;0,$A582&lt;AP$6),AND(AP$7&gt;0,$A582&gt;AP$7)),0,MAX(0,ROUND((INDEX($E582:$G582,AP$5)-SUMIFS(TF_Timer,TF_Tekniker,AP$4,TF_Dato,$A582))*2,0)/2)))</f>
        <v/>
      </c>
      <c r="AQ582">
        <f>IF(OR(AQ$4="",$A582&gt;TODAY()),0,IF(OR(INDEX($B582:$D582,AQ$5)="F",AND(AQ$6&gt;0,$A582&lt;AQ$6),AND(AQ$7&gt;0,$A582&gt;AQ$7)),0,MAX(0,ROUND((INDEX($E582:$G582,AQ$5)-SUMIFS(TF_Timer,TF_Tekniker,AQ$4,TF_Dato,$A582))*2,0)/2)))</f>
        <v/>
      </c>
      <c r="AR582">
        <f>IF(OR(AR$4="",$A582&gt;TODAY()),0,IF(OR(INDEX($B582:$D582,AR$5)="F",AND(AR$6&gt;0,$A582&lt;AR$6),AND(AR$7&gt;0,$A582&gt;AR$7)),0,MAX(0,ROUND((INDEX($E582:$G582,AR$5)-SUMIFS(TF_Timer,TF_Tekniker,AR$4,TF_Dato,$A582))*2,0)/2)))</f>
        <v/>
      </c>
      <c r="AS582">
        <f>IF(OR(AS$4="",$A582&gt;TODAY()),0,IF(OR(INDEX($B582:$D582,AS$5)="F",AND(AS$6&gt;0,$A582&lt;AS$6),AND(AS$7&gt;0,$A582&gt;AS$7)),0,MAX(0,ROUND((INDEX($E582:$G582,AS$5)-SUMIFS(TF_Timer,TF_Tekniker,AS$4,TF_Dato,$A582))*2,0)/2)))</f>
        <v/>
      </c>
      <c r="AT582">
        <f>IF(OR(AT$4="",$A582&gt;TODAY()),0,IF(OR(INDEX($B582:$D582,AT$5)="F",AND(AT$6&gt;0,$A582&lt;AT$6),AND(AT$7&gt;0,$A582&gt;AT$7)),0,MAX(0,ROUND((INDEX($E582:$G582,AT$5)-SUMIFS(TF_Timer,TF_Tekniker,AT$4,TF_Dato,$A582))*2,0)/2)))</f>
        <v/>
      </c>
      <c r="AU582">
        <f>IF(OR(AU$4="",$A582&gt;TODAY()),0,IF(OR(INDEX($B582:$D582,AU$5)="F",AND(AU$6&gt;0,$A582&lt;AU$6),AND(AU$7&gt;0,$A582&gt;AU$7)),0,MAX(0,ROUND((INDEX($E582:$G582,AU$5)-SUMIFS(TF_Timer,TF_Tekniker,AU$4,TF_Dato,$A582))*2,0)/2)))</f>
        <v/>
      </c>
      <c r="AV582">
        <f>IF(OR(AV$4="",$A582&gt;TODAY()),0,IF(OR(INDEX($B582:$D582,AV$5)="F",AND(AV$6&gt;0,$A582&lt;AV$6),AND(AV$7&gt;0,$A582&gt;AV$7)),0,MAX(0,ROUND((INDEX($E582:$G582,AV$5)-SUMIFS(TF_Timer,TF_Tekniker,AV$4,TF_Dato,$A582))*2,0)/2)))</f>
        <v/>
      </c>
      <c r="AW582">
        <f>IF(OR(AW$4="",$A582&gt;TODAY()),0,IF(OR(INDEX($B582:$D582,AW$5)="F",AND(AW$6&gt;0,$A582&lt;AW$6),AND(AW$7&gt;0,$A582&gt;AW$7)),0,MAX(0,ROUND((INDEX($E582:$G582,AW$5)-SUMIFS(TF_Timer,TF_Tekniker,AW$4,TF_Dato,$A582))*2,0)/2)))</f>
        <v/>
      </c>
      <c r="AX582">
        <f>IF(OR(AX$4="",$A582&gt;TODAY()),0,IF(OR(INDEX($B582:$D582,AX$5)="F",AND(AX$6&gt;0,$A582&lt;AX$6),AND(AX$7&gt;0,$A582&gt;AX$7)),0,MAX(0,ROUND((INDEX($E582:$G582,AX$5)-SUMIFS(TF_Timer,TF_Tekniker,AX$4,TF_Dato,$A582))*2,0)/2)))</f>
        <v/>
      </c>
      <c r="AY582">
        <f>IF(OR(AY$4="",$A582&gt;TODAY()),0,IF(OR(INDEX($B582:$D582,AY$5)="F",AND(AY$6&gt;0,$A582&lt;AY$6),AND(AY$7&gt;0,$A582&gt;AY$7)),0,MAX(0,ROUND((INDEX($E582:$G582,AY$5)-SUMIFS(TF_Timer,TF_Tekniker,AY$4,TF_Dato,$A582))*2,0)/2)))</f>
        <v/>
      </c>
      <c r="AZ582">
        <f>IF(OR(AZ$4="",$A582&gt;TODAY()),0,IF(OR(INDEX($B582:$D582,AZ$5)="F",AND(AZ$6&gt;0,$A582&lt;AZ$6),AND(AZ$7&gt;0,$A582&gt;AZ$7)),0,MAX(0,ROUND((INDEX($E582:$G582,AZ$5)-SUMIFS(TF_Timer,TF_Tekniker,AZ$4,TF_Dato,$A582))*2,0)/2)))</f>
        <v/>
      </c>
      <c r="BA582">
        <f>IF(OR(BA$4="",$A582&gt;TODAY()),0,IF(OR(INDEX($B582:$D582,BA$5)="F",AND(BA$6&gt;0,$A582&lt;BA$6),AND(BA$7&gt;0,$A582&gt;BA$7)),0,MAX(0,ROUND((INDEX($E582:$G582,BA$5)-SUMIFS(TF_Timer,TF_Tekniker,BA$4,TF_Dato,$A582))*2,0)/2)))</f>
        <v/>
      </c>
      <c r="BB582">
        <f>IF(OR(BB$4="",$A582&gt;TODAY()),0,IF(OR(INDEX($B582:$D582,BB$5)="F",AND(BB$6&gt;0,$A582&lt;BB$6),AND(BB$7&gt;0,$A582&gt;BB$7)),0,MAX(0,ROUND((INDEX($E582:$G582,BB$5)-SUMIFS(TF_Timer,TF_Tekniker,BB$4,TF_Dato,$A582))*2,0)/2)))</f>
        <v/>
      </c>
      <c r="BC582">
        <f>IF(OR(BC$4="",$A582&gt;TODAY()),0,IF(OR(INDEX($B582:$D582,BC$5)="F",AND(BC$6&gt;0,$A582&lt;BC$6),AND(BC$7&gt;0,$A582&gt;BC$7)),0,MAX(0,ROUND((INDEX($E582:$G582,BC$5)-SUMIFS(TF_Timer,TF_Tekniker,BC$4,TF_Dato,$A582))*2,0)/2)))</f>
        <v/>
      </c>
      <c r="BD582">
        <f>IF(OR(BD$4="",$A582&gt;TODAY()),0,IF(OR(INDEX($B582:$D582,BD$5)="F",AND(BD$6&gt;0,$A582&lt;BD$6),AND(BD$7&gt;0,$A582&gt;BD$7)),0,MAX(0,ROUND((INDEX($E582:$G582,BD$5)-SUMIFS(TF_Timer,TF_Tekniker,BD$4,TF_Dato,$A582))*2,0)/2)))</f>
        <v/>
      </c>
      <c r="BE582">
        <f>IF(OR(BE$4="",$A582&gt;TODAY()),0,IF(OR(INDEX($B582:$D582,BE$5)="F",AND(BE$6&gt;0,$A582&lt;BE$6),AND(BE$7&gt;0,$A582&gt;BE$7)),0,MAX(0,ROUND((INDEX($E582:$G582,BE$5)-SUMIFS(TF_Timer,TF_Tekniker,BE$4,TF_Dato,$A582))*2,0)/2)))</f>
        <v/>
      </c>
      <c r="BF582">
        <f>IF(OR(BF$4="",$A582&gt;TODAY()),0,IF(OR(INDEX($B582:$D582,BF$5)="F",AND(BF$6&gt;0,$A582&lt;BF$6),AND(BF$7&gt;0,$A582&gt;BF$7)),0,MAX(0,ROUND((INDEX($E582:$G582,BF$5)-SUMIFS(TF_Timer,TF_Tekniker,BF$4,TF_Dato,$A582))*2,0)/2)))</f>
        <v/>
      </c>
      <c r="BG582">
        <f>IF(OR(BG$4="",$A582&gt;TODAY()),0,IF(OR(INDEX($B582:$D582,BG$5)="F",AND(BG$6&gt;0,$A582&lt;BG$6),AND(BG$7&gt;0,$A582&gt;BG$7)),0,MAX(0,ROUND((INDEX($E582:$G582,BG$5)-SUMIFS(TF_Timer,TF_Tekniker,BG$4,TF_Dato,$A582))*2,0)/2)))</f>
        <v/>
      </c>
      <c r="BH582">
        <f>IF(OR(BH$4="",$A582&gt;TODAY()),0,IF(OR(INDEX($B582:$D582,BH$5)="F",AND(BH$6&gt;0,$A582&lt;BH$6),AND(BH$7&gt;0,$A582&gt;BH$7)),0,MAX(0,ROUND((INDEX($E582:$G582,BH$5)-SUMIFS(TF_Timer,TF_Tekniker,BH$4,TF_Dato,$A582))*2,0)/2)))</f>
        <v/>
      </c>
      <c r="BI582">
        <f>IF(OR(BI$4="",$A582&gt;TODAY()),0,IF(OR(INDEX($B582:$D582,BI$5)="F",AND(BI$6&gt;0,$A582&lt;BI$6),AND(BI$7&gt;0,$A582&gt;BI$7)),0,MAX(0,ROUND((INDEX($E582:$G582,BI$5)-SUMIFS(TF_Timer,TF_Tekniker,BI$4,TF_Dato,$A582))*2,0)/2)))</f>
        <v/>
      </c>
    </row>
    <row r="583">
      <c r="A583" s="64">
        <f>A582+1</f>
        <v/>
      </c>
      <c r="B583">
        <f>IF(MOD($A583-INDEX(SkiftStart,1),Syklus)&lt;DagK,"K",IF(MOD($A583-INDEX(SkiftStart,1),Syklus)&lt;DagK+DagH,"H",IF(MOD($A583-INDEX(SkiftStart,1),Syklus)&lt;DagK+DagH+DagD,"D","F")))</f>
        <v/>
      </c>
      <c r="C583">
        <f>IF(MOD($A583-INDEX(SkiftStart,2),Syklus)&lt;DagK,"K",IF(MOD($A583-INDEX(SkiftStart,2),Syklus)&lt;DagK+DagH,"H",IF(MOD($A583-INDEX(SkiftStart,2),Syklus)&lt;DagK+DagH+DagD,"D","F")))</f>
        <v/>
      </c>
      <c r="D583">
        <f>IF(MOD($A583-INDEX(SkiftStart,3),Syklus)&lt;DagK,"K",IF(MOD($A583-INDEX(SkiftStart,3),Syklus)&lt;DagK+DagH,"H",IF(MOD($A583-INDEX(SkiftStart,3),Syklus)&lt;DagK+DagH+DagD,"D","F")))</f>
        <v/>
      </c>
      <c r="E583">
        <f>IF(B583="F",0,IF(WEEKDAY($A583,2)=5,INDEX(TimerFr,MATCH(B583,FaseKode,0)),INDEX(TimerMT,MATCH(B583,FaseKode,0))))</f>
        <v/>
      </c>
      <c r="F583">
        <f>IF(C583="F",0,IF(WEEKDAY($A583,2)=5,INDEX(TimerFr,MATCH(C583,FaseKode,0)),INDEX(TimerMT,MATCH(C583,FaseKode,0))))</f>
        <v/>
      </c>
      <c r="G583">
        <f>IF(D583="F",0,IF(WEEKDAY($A583,2)=5,INDEX(TimerFr,MATCH(D583,FaseKode,0)),INDEX(TimerMT,MATCH(D583,FaseKode,0))))</f>
        <v/>
      </c>
      <c r="H583">
        <f>IF(OR(H$4="",$A583&gt;TODAY()),0,IF(OR(INDEX($B583:$D583,H$5)="F",AND(H$6&gt;0,$A583&lt;H$6),AND(H$7&gt;0,$A583&gt;H$7)),0,MAX(0,ROUND((INDEX($E583:$G583,H$5)-SUMIFS(TF_Timer,TF_Tekniker,H$4,TF_Dato,$A583))*2,0)/2)))</f>
        <v/>
      </c>
      <c r="I583">
        <f>IF(OR(I$4="",$A583&gt;TODAY()),0,IF(OR(INDEX($B583:$D583,I$5)="F",AND(I$6&gt;0,$A583&lt;I$6),AND(I$7&gt;0,$A583&gt;I$7)),0,MAX(0,ROUND((INDEX($E583:$G583,I$5)-SUMIFS(TF_Timer,TF_Tekniker,I$4,TF_Dato,$A583))*2,0)/2)))</f>
        <v/>
      </c>
      <c r="J583">
        <f>IF(OR(J$4="",$A583&gt;TODAY()),0,IF(OR(INDEX($B583:$D583,J$5)="F",AND(J$6&gt;0,$A583&lt;J$6),AND(J$7&gt;0,$A583&gt;J$7)),0,MAX(0,ROUND((INDEX($E583:$G583,J$5)-SUMIFS(TF_Timer,TF_Tekniker,J$4,TF_Dato,$A583))*2,0)/2)))</f>
        <v/>
      </c>
      <c r="K583">
        <f>IF(OR(K$4="",$A583&gt;TODAY()),0,IF(OR(INDEX($B583:$D583,K$5)="F",AND(K$6&gt;0,$A583&lt;K$6),AND(K$7&gt;0,$A583&gt;K$7)),0,MAX(0,ROUND((INDEX($E583:$G583,K$5)-SUMIFS(TF_Timer,TF_Tekniker,K$4,TF_Dato,$A583))*2,0)/2)))</f>
        <v/>
      </c>
      <c r="L583">
        <f>IF(OR(L$4="",$A583&gt;TODAY()),0,IF(OR(INDEX($B583:$D583,L$5)="F",AND(L$6&gt;0,$A583&lt;L$6),AND(L$7&gt;0,$A583&gt;L$7)),0,MAX(0,ROUND((INDEX($E583:$G583,L$5)-SUMIFS(TF_Timer,TF_Tekniker,L$4,TF_Dato,$A583))*2,0)/2)))</f>
        <v/>
      </c>
      <c r="M583">
        <f>IF(OR(M$4="",$A583&gt;TODAY()),0,IF(OR(INDEX($B583:$D583,M$5)="F",AND(M$6&gt;0,$A583&lt;M$6),AND(M$7&gt;0,$A583&gt;M$7)),0,MAX(0,ROUND((INDEX($E583:$G583,M$5)-SUMIFS(TF_Timer,TF_Tekniker,M$4,TF_Dato,$A583))*2,0)/2)))</f>
        <v/>
      </c>
      <c r="N583">
        <f>IF(OR(N$4="",$A583&gt;TODAY()),0,IF(OR(INDEX($B583:$D583,N$5)="F",AND(N$6&gt;0,$A583&lt;N$6),AND(N$7&gt;0,$A583&gt;N$7)),0,MAX(0,ROUND((INDEX($E583:$G583,N$5)-SUMIFS(TF_Timer,TF_Tekniker,N$4,TF_Dato,$A583))*2,0)/2)))</f>
        <v/>
      </c>
      <c r="O583">
        <f>IF(OR(O$4="",$A583&gt;TODAY()),0,IF(OR(INDEX($B583:$D583,O$5)="F",AND(O$6&gt;0,$A583&lt;O$6),AND(O$7&gt;0,$A583&gt;O$7)),0,MAX(0,ROUND((INDEX($E583:$G583,O$5)-SUMIFS(TF_Timer,TF_Tekniker,O$4,TF_Dato,$A583))*2,0)/2)))</f>
        <v/>
      </c>
      <c r="P583">
        <f>IF(OR(P$4="",$A583&gt;TODAY()),0,IF(OR(INDEX($B583:$D583,P$5)="F",AND(P$6&gt;0,$A583&lt;P$6),AND(P$7&gt;0,$A583&gt;P$7)),0,MAX(0,ROUND((INDEX($E583:$G583,P$5)-SUMIFS(TF_Timer,TF_Tekniker,P$4,TF_Dato,$A583))*2,0)/2)))</f>
        <v/>
      </c>
      <c r="Q583">
        <f>IF(OR(Q$4="",$A583&gt;TODAY()),0,IF(OR(INDEX($B583:$D583,Q$5)="F",AND(Q$6&gt;0,$A583&lt;Q$6),AND(Q$7&gt;0,$A583&gt;Q$7)),0,MAX(0,ROUND((INDEX($E583:$G583,Q$5)-SUMIFS(TF_Timer,TF_Tekniker,Q$4,TF_Dato,$A583))*2,0)/2)))</f>
        <v/>
      </c>
      <c r="R583">
        <f>IF(OR(R$4="",$A583&gt;TODAY()),0,IF(OR(INDEX($B583:$D583,R$5)="F",AND(R$6&gt;0,$A583&lt;R$6),AND(R$7&gt;0,$A583&gt;R$7)),0,MAX(0,ROUND((INDEX($E583:$G583,R$5)-SUMIFS(TF_Timer,TF_Tekniker,R$4,TF_Dato,$A583))*2,0)/2)))</f>
        <v/>
      </c>
      <c r="S583">
        <f>IF(OR(S$4="",$A583&gt;TODAY()),0,IF(OR(INDEX($B583:$D583,S$5)="F",AND(S$6&gt;0,$A583&lt;S$6),AND(S$7&gt;0,$A583&gt;S$7)),0,MAX(0,ROUND((INDEX($E583:$G583,S$5)-SUMIFS(TF_Timer,TF_Tekniker,S$4,TF_Dato,$A583))*2,0)/2)))</f>
        <v/>
      </c>
      <c r="T583">
        <f>IF(OR(T$4="",$A583&gt;TODAY()),0,IF(OR(INDEX($B583:$D583,T$5)="F",AND(T$6&gt;0,$A583&lt;T$6),AND(T$7&gt;0,$A583&gt;T$7)),0,MAX(0,ROUND((INDEX($E583:$G583,T$5)-SUMIFS(TF_Timer,TF_Tekniker,T$4,TF_Dato,$A583))*2,0)/2)))</f>
        <v/>
      </c>
      <c r="U583">
        <f>IF(OR(U$4="",$A583&gt;TODAY()),0,IF(OR(INDEX($B583:$D583,U$5)="F",AND(U$6&gt;0,$A583&lt;U$6),AND(U$7&gt;0,$A583&gt;U$7)),0,MAX(0,ROUND((INDEX($E583:$G583,U$5)-SUMIFS(TF_Timer,TF_Tekniker,U$4,TF_Dato,$A583))*2,0)/2)))</f>
        <v/>
      </c>
      <c r="V583">
        <f>IF(OR(V$4="",$A583&gt;TODAY()),0,IF(OR(INDEX($B583:$D583,V$5)="F",AND(V$6&gt;0,$A583&lt;V$6),AND(V$7&gt;0,$A583&gt;V$7)),0,MAX(0,ROUND((INDEX($E583:$G583,V$5)-SUMIFS(TF_Timer,TF_Tekniker,V$4,TF_Dato,$A583))*2,0)/2)))</f>
        <v/>
      </c>
      <c r="W583">
        <f>IF(OR(W$4="",$A583&gt;TODAY()),0,IF(OR(INDEX($B583:$D583,W$5)="F",AND(W$6&gt;0,$A583&lt;W$6),AND(W$7&gt;0,$A583&gt;W$7)),0,MAX(0,ROUND((INDEX($E583:$G583,W$5)-SUMIFS(TF_Timer,TF_Tekniker,W$4,TF_Dato,$A583))*2,0)/2)))</f>
        <v/>
      </c>
      <c r="X583">
        <f>IF(OR(X$4="",$A583&gt;TODAY()),0,IF(OR(INDEX($B583:$D583,X$5)="F",AND(X$6&gt;0,$A583&lt;X$6),AND(X$7&gt;0,$A583&gt;X$7)),0,MAX(0,ROUND((INDEX($E583:$G583,X$5)-SUMIFS(TF_Timer,TF_Tekniker,X$4,TF_Dato,$A583))*2,0)/2)))</f>
        <v/>
      </c>
      <c r="Y583">
        <f>IF(OR(Y$4="",$A583&gt;TODAY()),0,IF(OR(INDEX($B583:$D583,Y$5)="F",AND(Y$6&gt;0,$A583&lt;Y$6),AND(Y$7&gt;0,$A583&gt;Y$7)),0,MAX(0,ROUND((INDEX($E583:$G583,Y$5)-SUMIFS(TF_Timer,TF_Tekniker,Y$4,TF_Dato,$A583))*2,0)/2)))</f>
        <v/>
      </c>
      <c r="Z583">
        <f>IF(OR(Z$4="",$A583&gt;TODAY()),0,IF(OR(INDEX($B583:$D583,Z$5)="F",AND(Z$6&gt;0,$A583&lt;Z$6),AND(Z$7&gt;0,$A583&gt;Z$7)),0,MAX(0,ROUND((INDEX($E583:$G583,Z$5)-SUMIFS(TF_Timer,TF_Tekniker,Z$4,TF_Dato,$A583))*2,0)/2)))</f>
        <v/>
      </c>
      <c r="AA583">
        <f>IF(OR(AA$4="",$A583&gt;TODAY()),0,IF(OR(INDEX($B583:$D583,AA$5)="F",AND(AA$6&gt;0,$A583&lt;AA$6),AND(AA$7&gt;0,$A583&gt;AA$7)),0,MAX(0,ROUND((INDEX($E583:$G583,AA$5)-SUMIFS(TF_Timer,TF_Tekniker,AA$4,TF_Dato,$A583))*2,0)/2)))</f>
        <v/>
      </c>
      <c r="AB583">
        <f>IF(OR(AB$4="",$A583&gt;TODAY()),0,IF(OR(INDEX($B583:$D583,AB$5)="F",AND(AB$6&gt;0,$A583&lt;AB$6),AND(AB$7&gt;0,$A583&gt;AB$7)),0,MAX(0,ROUND((INDEX($E583:$G583,AB$5)-SUMIFS(TF_Timer,TF_Tekniker,AB$4,TF_Dato,$A583))*2,0)/2)))</f>
        <v/>
      </c>
      <c r="AC583">
        <f>IF(OR(AC$4="",$A583&gt;TODAY()),0,IF(OR(INDEX($B583:$D583,AC$5)="F",AND(AC$6&gt;0,$A583&lt;AC$6),AND(AC$7&gt;0,$A583&gt;AC$7)),0,MAX(0,ROUND((INDEX($E583:$G583,AC$5)-SUMIFS(TF_Timer,TF_Tekniker,AC$4,TF_Dato,$A583))*2,0)/2)))</f>
        <v/>
      </c>
      <c r="AD583">
        <f>IF(OR(AD$4="",$A583&gt;TODAY()),0,IF(OR(INDEX($B583:$D583,AD$5)="F",AND(AD$6&gt;0,$A583&lt;AD$6),AND(AD$7&gt;0,$A583&gt;AD$7)),0,MAX(0,ROUND((INDEX($E583:$G583,AD$5)-SUMIFS(TF_Timer,TF_Tekniker,AD$4,TF_Dato,$A583))*2,0)/2)))</f>
        <v/>
      </c>
      <c r="AE583">
        <f>IF(OR(AE$4="",$A583&gt;TODAY()),0,IF(OR(INDEX($B583:$D583,AE$5)="F",AND(AE$6&gt;0,$A583&lt;AE$6),AND(AE$7&gt;0,$A583&gt;AE$7)),0,MAX(0,ROUND((INDEX($E583:$G583,AE$5)-SUMIFS(TF_Timer,TF_Tekniker,AE$4,TF_Dato,$A583))*2,0)/2)))</f>
        <v/>
      </c>
      <c r="AF583">
        <f>IF(OR(AF$4="",$A583&gt;TODAY()),0,IF(OR(INDEX($B583:$D583,AF$5)="F",AND(AF$6&gt;0,$A583&lt;AF$6),AND(AF$7&gt;0,$A583&gt;AF$7)),0,MAX(0,ROUND((INDEX($E583:$G583,AF$5)-SUMIFS(TF_Timer,TF_Tekniker,AF$4,TF_Dato,$A583))*2,0)/2)))</f>
        <v/>
      </c>
      <c r="AG583">
        <f>IF(OR(AG$4="",$A583&gt;TODAY()),0,IF(OR(INDEX($B583:$D583,AG$5)="F",AND(AG$6&gt;0,$A583&lt;AG$6),AND(AG$7&gt;0,$A583&gt;AG$7)),0,MAX(0,ROUND((INDEX($E583:$G583,AG$5)-SUMIFS(TF_Timer,TF_Tekniker,AG$4,TF_Dato,$A583))*2,0)/2)))</f>
        <v/>
      </c>
      <c r="AH583">
        <f>IF(OR(AH$4="",$A583&gt;TODAY()),0,IF(OR(INDEX($B583:$D583,AH$5)="F",AND(AH$6&gt;0,$A583&lt;AH$6),AND(AH$7&gt;0,$A583&gt;AH$7)),0,MAX(0,ROUND((INDEX($E583:$G583,AH$5)-SUMIFS(TF_Timer,TF_Tekniker,AH$4,TF_Dato,$A583))*2,0)/2)))</f>
        <v/>
      </c>
      <c r="AI583">
        <f>IF(OR(AI$4="",$A583&gt;TODAY()),0,IF(OR(INDEX($B583:$D583,AI$5)="F",AND(AI$6&gt;0,$A583&lt;AI$6),AND(AI$7&gt;0,$A583&gt;AI$7)),0,MAX(0,ROUND((INDEX($E583:$G583,AI$5)-SUMIFS(TF_Timer,TF_Tekniker,AI$4,TF_Dato,$A583))*2,0)/2)))</f>
        <v/>
      </c>
      <c r="AJ583">
        <f>IF(OR(AJ$4="",$A583&gt;TODAY()),0,IF(OR(INDEX($B583:$D583,AJ$5)="F",AND(AJ$6&gt;0,$A583&lt;AJ$6),AND(AJ$7&gt;0,$A583&gt;AJ$7)),0,MAX(0,ROUND((INDEX($E583:$G583,AJ$5)-SUMIFS(TF_Timer,TF_Tekniker,AJ$4,TF_Dato,$A583))*2,0)/2)))</f>
        <v/>
      </c>
      <c r="AK583">
        <f>IF(OR(AK$4="",$A583&gt;TODAY()),0,IF(OR(INDEX($B583:$D583,AK$5)="F",AND(AK$6&gt;0,$A583&lt;AK$6),AND(AK$7&gt;0,$A583&gt;AK$7)),0,MAX(0,ROUND((INDEX($E583:$G583,AK$5)-SUMIFS(TF_Timer,TF_Tekniker,AK$4,TF_Dato,$A583))*2,0)/2)))</f>
        <v/>
      </c>
      <c r="AL583">
        <f>IF(OR(AL$4="",$A583&gt;TODAY()),0,IF(OR(INDEX($B583:$D583,AL$5)="F",AND(AL$6&gt;0,$A583&lt;AL$6),AND(AL$7&gt;0,$A583&gt;AL$7)),0,MAX(0,ROUND((INDEX($E583:$G583,AL$5)-SUMIFS(TF_Timer,TF_Tekniker,AL$4,TF_Dato,$A583))*2,0)/2)))</f>
        <v/>
      </c>
      <c r="AM583">
        <f>IF(OR(AM$4="",$A583&gt;TODAY()),0,IF(OR(INDEX($B583:$D583,AM$5)="F",AND(AM$6&gt;0,$A583&lt;AM$6),AND(AM$7&gt;0,$A583&gt;AM$7)),0,MAX(0,ROUND((INDEX($E583:$G583,AM$5)-SUMIFS(TF_Timer,TF_Tekniker,AM$4,TF_Dato,$A583))*2,0)/2)))</f>
        <v/>
      </c>
      <c r="AN583">
        <f>IF(OR(AN$4="",$A583&gt;TODAY()),0,IF(OR(INDEX($B583:$D583,AN$5)="F",AND(AN$6&gt;0,$A583&lt;AN$6),AND(AN$7&gt;0,$A583&gt;AN$7)),0,MAX(0,ROUND((INDEX($E583:$G583,AN$5)-SUMIFS(TF_Timer,TF_Tekniker,AN$4,TF_Dato,$A583))*2,0)/2)))</f>
        <v/>
      </c>
      <c r="AO583">
        <f>IF(OR(AO$4="",$A583&gt;TODAY()),0,IF(OR(INDEX($B583:$D583,AO$5)="F",AND(AO$6&gt;0,$A583&lt;AO$6),AND(AO$7&gt;0,$A583&gt;AO$7)),0,MAX(0,ROUND((INDEX($E583:$G583,AO$5)-SUMIFS(TF_Timer,TF_Tekniker,AO$4,TF_Dato,$A583))*2,0)/2)))</f>
        <v/>
      </c>
      <c r="AP583">
        <f>IF(OR(AP$4="",$A583&gt;TODAY()),0,IF(OR(INDEX($B583:$D583,AP$5)="F",AND(AP$6&gt;0,$A583&lt;AP$6),AND(AP$7&gt;0,$A583&gt;AP$7)),0,MAX(0,ROUND((INDEX($E583:$G583,AP$5)-SUMIFS(TF_Timer,TF_Tekniker,AP$4,TF_Dato,$A583))*2,0)/2)))</f>
        <v/>
      </c>
      <c r="AQ583">
        <f>IF(OR(AQ$4="",$A583&gt;TODAY()),0,IF(OR(INDEX($B583:$D583,AQ$5)="F",AND(AQ$6&gt;0,$A583&lt;AQ$6),AND(AQ$7&gt;0,$A583&gt;AQ$7)),0,MAX(0,ROUND((INDEX($E583:$G583,AQ$5)-SUMIFS(TF_Timer,TF_Tekniker,AQ$4,TF_Dato,$A583))*2,0)/2)))</f>
        <v/>
      </c>
      <c r="AR583">
        <f>IF(OR(AR$4="",$A583&gt;TODAY()),0,IF(OR(INDEX($B583:$D583,AR$5)="F",AND(AR$6&gt;0,$A583&lt;AR$6),AND(AR$7&gt;0,$A583&gt;AR$7)),0,MAX(0,ROUND((INDEX($E583:$G583,AR$5)-SUMIFS(TF_Timer,TF_Tekniker,AR$4,TF_Dato,$A583))*2,0)/2)))</f>
        <v/>
      </c>
      <c r="AS583">
        <f>IF(OR(AS$4="",$A583&gt;TODAY()),0,IF(OR(INDEX($B583:$D583,AS$5)="F",AND(AS$6&gt;0,$A583&lt;AS$6),AND(AS$7&gt;0,$A583&gt;AS$7)),0,MAX(0,ROUND((INDEX($E583:$G583,AS$5)-SUMIFS(TF_Timer,TF_Tekniker,AS$4,TF_Dato,$A583))*2,0)/2)))</f>
        <v/>
      </c>
      <c r="AT583">
        <f>IF(OR(AT$4="",$A583&gt;TODAY()),0,IF(OR(INDEX($B583:$D583,AT$5)="F",AND(AT$6&gt;0,$A583&lt;AT$6),AND(AT$7&gt;0,$A583&gt;AT$7)),0,MAX(0,ROUND((INDEX($E583:$G583,AT$5)-SUMIFS(TF_Timer,TF_Tekniker,AT$4,TF_Dato,$A583))*2,0)/2)))</f>
        <v/>
      </c>
      <c r="AU583">
        <f>IF(OR(AU$4="",$A583&gt;TODAY()),0,IF(OR(INDEX($B583:$D583,AU$5)="F",AND(AU$6&gt;0,$A583&lt;AU$6),AND(AU$7&gt;0,$A583&gt;AU$7)),0,MAX(0,ROUND((INDEX($E583:$G583,AU$5)-SUMIFS(TF_Timer,TF_Tekniker,AU$4,TF_Dato,$A583))*2,0)/2)))</f>
        <v/>
      </c>
      <c r="AV583">
        <f>IF(OR(AV$4="",$A583&gt;TODAY()),0,IF(OR(INDEX($B583:$D583,AV$5)="F",AND(AV$6&gt;0,$A583&lt;AV$6),AND(AV$7&gt;0,$A583&gt;AV$7)),0,MAX(0,ROUND((INDEX($E583:$G583,AV$5)-SUMIFS(TF_Timer,TF_Tekniker,AV$4,TF_Dato,$A583))*2,0)/2)))</f>
        <v/>
      </c>
      <c r="AW583">
        <f>IF(OR(AW$4="",$A583&gt;TODAY()),0,IF(OR(INDEX($B583:$D583,AW$5)="F",AND(AW$6&gt;0,$A583&lt;AW$6),AND(AW$7&gt;0,$A583&gt;AW$7)),0,MAX(0,ROUND((INDEX($E583:$G583,AW$5)-SUMIFS(TF_Timer,TF_Tekniker,AW$4,TF_Dato,$A583))*2,0)/2)))</f>
        <v/>
      </c>
      <c r="AX583">
        <f>IF(OR(AX$4="",$A583&gt;TODAY()),0,IF(OR(INDEX($B583:$D583,AX$5)="F",AND(AX$6&gt;0,$A583&lt;AX$6),AND(AX$7&gt;0,$A583&gt;AX$7)),0,MAX(0,ROUND((INDEX($E583:$G583,AX$5)-SUMIFS(TF_Timer,TF_Tekniker,AX$4,TF_Dato,$A583))*2,0)/2)))</f>
        <v/>
      </c>
      <c r="AY583">
        <f>IF(OR(AY$4="",$A583&gt;TODAY()),0,IF(OR(INDEX($B583:$D583,AY$5)="F",AND(AY$6&gt;0,$A583&lt;AY$6),AND(AY$7&gt;0,$A583&gt;AY$7)),0,MAX(0,ROUND((INDEX($E583:$G583,AY$5)-SUMIFS(TF_Timer,TF_Tekniker,AY$4,TF_Dato,$A583))*2,0)/2)))</f>
        <v/>
      </c>
      <c r="AZ583">
        <f>IF(OR(AZ$4="",$A583&gt;TODAY()),0,IF(OR(INDEX($B583:$D583,AZ$5)="F",AND(AZ$6&gt;0,$A583&lt;AZ$6),AND(AZ$7&gt;0,$A583&gt;AZ$7)),0,MAX(0,ROUND((INDEX($E583:$G583,AZ$5)-SUMIFS(TF_Timer,TF_Tekniker,AZ$4,TF_Dato,$A583))*2,0)/2)))</f>
        <v/>
      </c>
      <c r="BA583">
        <f>IF(OR(BA$4="",$A583&gt;TODAY()),0,IF(OR(INDEX($B583:$D583,BA$5)="F",AND(BA$6&gt;0,$A583&lt;BA$6),AND(BA$7&gt;0,$A583&gt;BA$7)),0,MAX(0,ROUND((INDEX($E583:$G583,BA$5)-SUMIFS(TF_Timer,TF_Tekniker,BA$4,TF_Dato,$A583))*2,0)/2)))</f>
        <v/>
      </c>
      <c r="BB583">
        <f>IF(OR(BB$4="",$A583&gt;TODAY()),0,IF(OR(INDEX($B583:$D583,BB$5)="F",AND(BB$6&gt;0,$A583&lt;BB$6),AND(BB$7&gt;0,$A583&gt;BB$7)),0,MAX(0,ROUND((INDEX($E583:$G583,BB$5)-SUMIFS(TF_Timer,TF_Tekniker,BB$4,TF_Dato,$A583))*2,0)/2)))</f>
        <v/>
      </c>
      <c r="BC583">
        <f>IF(OR(BC$4="",$A583&gt;TODAY()),0,IF(OR(INDEX($B583:$D583,BC$5)="F",AND(BC$6&gt;0,$A583&lt;BC$6),AND(BC$7&gt;0,$A583&gt;BC$7)),0,MAX(0,ROUND((INDEX($E583:$G583,BC$5)-SUMIFS(TF_Timer,TF_Tekniker,BC$4,TF_Dato,$A583))*2,0)/2)))</f>
        <v/>
      </c>
      <c r="BD583">
        <f>IF(OR(BD$4="",$A583&gt;TODAY()),0,IF(OR(INDEX($B583:$D583,BD$5)="F",AND(BD$6&gt;0,$A583&lt;BD$6),AND(BD$7&gt;0,$A583&gt;BD$7)),0,MAX(0,ROUND((INDEX($E583:$G583,BD$5)-SUMIFS(TF_Timer,TF_Tekniker,BD$4,TF_Dato,$A583))*2,0)/2)))</f>
        <v/>
      </c>
      <c r="BE583">
        <f>IF(OR(BE$4="",$A583&gt;TODAY()),0,IF(OR(INDEX($B583:$D583,BE$5)="F",AND(BE$6&gt;0,$A583&lt;BE$6),AND(BE$7&gt;0,$A583&gt;BE$7)),0,MAX(0,ROUND((INDEX($E583:$G583,BE$5)-SUMIFS(TF_Timer,TF_Tekniker,BE$4,TF_Dato,$A583))*2,0)/2)))</f>
        <v/>
      </c>
      <c r="BF583">
        <f>IF(OR(BF$4="",$A583&gt;TODAY()),0,IF(OR(INDEX($B583:$D583,BF$5)="F",AND(BF$6&gt;0,$A583&lt;BF$6),AND(BF$7&gt;0,$A583&gt;BF$7)),0,MAX(0,ROUND((INDEX($E583:$G583,BF$5)-SUMIFS(TF_Timer,TF_Tekniker,BF$4,TF_Dato,$A583))*2,0)/2)))</f>
        <v/>
      </c>
      <c r="BG583">
        <f>IF(OR(BG$4="",$A583&gt;TODAY()),0,IF(OR(INDEX($B583:$D583,BG$5)="F",AND(BG$6&gt;0,$A583&lt;BG$6),AND(BG$7&gt;0,$A583&gt;BG$7)),0,MAX(0,ROUND((INDEX($E583:$G583,BG$5)-SUMIFS(TF_Timer,TF_Tekniker,BG$4,TF_Dato,$A583))*2,0)/2)))</f>
        <v/>
      </c>
      <c r="BH583">
        <f>IF(OR(BH$4="",$A583&gt;TODAY()),0,IF(OR(INDEX($B583:$D583,BH$5)="F",AND(BH$6&gt;0,$A583&lt;BH$6),AND(BH$7&gt;0,$A583&gt;BH$7)),0,MAX(0,ROUND((INDEX($E583:$G583,BH$5)-SUMIFS(TF_Timer,TF_Tekniker,BH$4,TF_Dato,$A583))*2,0)/2)))</f>
        <v/>
      </c>
      <c r="BI583">
        <f>IF(OR(BI$4="",$A583&gt;TODAY()),0,IF(OR(INDEX($B583:$D583,BI$5)="F",AND(BI$6&gt;0,$A583&lt;BI$6),AND(BI$7&gt;0,$A583&gt;BI$7)),0,MAX(0,ROUND((INDEX($E583:$G583,BI$5)-SUMIFS(TF_Timer,TF_Tekniker,BI$4,TF_Dato,$A583))*2,0)/2)))</f>
        <v/>
      </c>
    </row>
    <row r="584">
      <c r="A584" s="64">
        <f>A583+1</f>
        <v/>
      </c>
      <c r="B584">
        <f>IF(MOD($A584-INDEX(SkiftStart,1),Syklus)&lt;DagK,"K",IF(MOD($A584-INDEX(SkiftStart,1),Syklus)&lt;DagK+DagH,"H",IF(MOD($A584-INDEX(SkiftStart,1),Syklus)&lt;DagK+DagH+DagD,"D","F")))</f>
        <v/>
      </c>
      <c r="C584">
        <f>IF(MOD($A584-INDEX(SkiftStart,2),Syklus)&lt;DagK,"K",IF(MOD($A584-INDEX(SkiftStart,2),Syklus)&lt;DagK+DagH,"H",IF(MOD($A584-INDEX(SkiftStart,2),Syklus)&lt;DagK+DagH+DagD,"D","F")))</f>
        <v/>
      </c>
      <c r="D584">
        <f>IF(MOD($A584-INDEX(SkiftStart,3),Syklus)&lt;DagK,"K",IF(MOD($A584-INDEX(SkiftStart,3),Syklus)&lt;DagK+DagH,"H",IF(MOD($A584-INDEX(SkiftStart,3),Syklus)&lt;DagK+DagH+DagD,"D","F")))</f>
        <v/>
      </c>
      <c r="E584">
        <f>IF(B584="F",0,IF(WEEKDAY($A584,2)=5,INDEX(TimerFr,MATCH(B584,FaseKode,0)),INDEX(TimerMT,MATCH(B584,FaseKode,0))))</f>
        <v/>
      </c>
      <c r="F584">
        <f>IF(C584="F",0,IF(WEEKDAY($A584,2)=5,INDEX(TimerFr,MATCH(C584,FaseKode,0)),INDEX(TimerMT,MATCH(C584,FaseKode,0))))</f>
        <v/>
      </c>
      <c r="G584">
        <f>IF(D584="F",0,IF(WEEKDAY($A584,2)=5,INDEX(TimerFr,MATCH(D584,FaseKode,0)),INDEX(TimerMT,MATCH(D584,FaseKode,0))))</f>
        <v/>
      </c>
      <c r="H584">
        <f>IF(OR(H$4="",$A584&gt;TODAY()),0,IF(OR(INDEX($B584:$D584,H$5)="F",AND(H$6&gt;0,$A584&lt;H$6),AND(H$7&gt;0,$A584&gt;H$7)),0,MAX(0,ROUND((INDEX($E584:$G584,H$5)-SUMIFS(TF_Timer,TF_Tekniker,H$4,TF_Dato,$A584))*2,0)/2)))</f>
        <v/>
      </c>
      <c r="I584">
        <f>IF(OR(I$4="",$A584&gt;TODAY()),0,IF(OR(INDEX($B584:$D584,I$5)="F",AND(I$6&gt;0,$A584&lt;I$6),AND(I$7&gt;0,$A584&gt;I$7)),0,MAX(0,ROUND((INDEX($E584:$G584,I$5)-SUMIFS(TF_Timer,TF_Tekniker,I$4,TF_Dato,$A584))*2,0)/2)))</f>
        <v/>
      </c>
      <c r="J584">
        <f>IF(OR(J$4="",$A584&gt;TODAY()),0,IF(OR(INDEX($B584:$D584,J$5)="F",AND(J$6&gt;0,$A584&lt;J$6),AND(J$7&gt;0,$A584&gt;J$7)),0,MAX(0,ROUND((INDEX($E584:$G584,J$5)-SUMIFS(TF_Timer,TF_Tekniker,J$4,TF_Dato,$A584))*2,0)/2)))</f>
        <v/>
      </c>
      <c r="K584">
        <f>IF(OR(K$4="",$A584&gt;TODAY()),0,IF(OR(INDEX($B584:$D584,K$5)="F",AND(K$6&gt;0,$A584&lt;K$6),AND(K$7&gt;0,$A584&gt;K$7)),0,MAX(0,ROUND((INDEX($E584:$G584,K$5)-SUMIFS(TF_Timer,TF_Tekniker,K$4,TF_Dato,$A584))*2,0)/2)))</f>
        <v/>
      </c>
      <c r="L584">
        <f>IF(OR(L$4="",$A584&gt;TODAY()),0,IF(OR(INDEX($B584:$D584,L$5)="F",AND(L$6&gt;0,$A584&lt;L$6),AND(L$7&gt;0,$A584&gt;L$7)),0,MAX(0,ROUND((INDEX($E584:$G584,L$5)-SUMIFS(TF_Timer,TF_Tekniker,L$4,TF_Dato,$A584))*2,0)/2)))</f>
        <v/>
      </c>
      <c r="M584">
        <f>IF(OR(M$4="",$A584&gt;TODAY()),0,IF(OR(INDEX($B584:$D584,M$5)="F",AND(M$6&gt;0,$A584&lt;M$6),AND(M$7&gt;0,$A584&gt;M$7)),0,MAX(0,ROUND((INDEX($E584:$G584,M$5)-SUMIFS(TF_Timer,TF_Tekniker,M$4,TF_Dato,$A584))*2,0)/2)))</f>
        <v/>
      </c>
      <c r="N584">
        <f>IF(OR(N$4="",$A584&gt;TODAY()),0,IF(OR(INDEX($B584:$D584,N$5)="F",AND(N$6&gt;0,$A584&lt;N$6),AND(N$7&gt;0,$A584&gt;N$7)),0,MAX(0,ROUND((INDEX($E584:$G584,N$5)-SUMIFS(TF_Timer,TF_Tekniker,N$4,TF_Dato,$A584))*2,0)/2)))</f>
        <v/>
      </c>
      <c r="O584">
        <f>IF(OR(O$4="",$A584&gt;TODAY()),0,IF(OR(INDEX($B584:$D584,O$5)="F",AND(O$6&gt;0,$A584&lt;O$6),AND(O$7&gt;0,$A584&gt;O$7)),0,MAX(0,ROUND((INDEX($E584:$G584,O$5)-SUMIFS(TF_Timer,TF_Tekniker,O$4,TF_Dato,$A584))*2,0)/2)))</f>
        <v/>
      </c>
      <c r="P584">
        <f>IF(OR(P$4="",$A584&gt;TODAY()),0,IF(OR(INDEX($B584:$D584,P$5)="F",AND(P$6&gt;0,$A584&lt;P$6),AND(P$7&gt;0,$A584&gt;P$7)),0,MAX(0,ROUND((INDEX($E584:$G584,P$5)-SUMIFS(TF_Timer,TF_Tekniker,P$4,TF_Dato,$A584))*2,0)/2)))</f>
        <v/>
      </c>
      <c r="Q584">
        <f>IF(OR(Q$4="",$A584&gt;TODAY()),0,IF(OR(INDEX($B584:$D584,Q$5)="F",AND(Q$6&gt;0,$A584&lt;Q$6),AND(Q$7&gt;0,$A584&gt;Q$7)),0,MAX(0,ROUND((INDEX($E584:$G584,Q$5)-SUMIFS(TF_Timer,TF_Tekniker,Q$4,TF_Dato,$A584))*2,0)/2)))</f>
        <v/>
      </c>
      <c r="R584">
        <f>IF(OR(R$4="",$A584&gt;TODAY()),0,IF(OR(INDEX($B584:$D584,R$5)="F",AND(R$6&gt;0,$A584&lt;R$6),AND(R$7&gt;0,$A584&gt;R$7)),0,MAX(0,ROUND((INDEX($E584:$G584,R$5)-SUMIFS(TF_Timer,TF_Tekniker,R$4,TF_Dato,$A584))*2,0)/2)))</f>
        <v/>
      </c>
      <c r="S584">
        <f>IF(OR(S$4="",$A584&gt;TODAY()),0,IF(OR(INDEX($B584:$D584,S$5)="F",AND(S$6&gt;0,$A584&lt;S$6),AND(S$7&gt;0,$A584&gt;S$7)),0,MAX(0,ROUND((INDEX($E584:$G584,S$5)-SUMIFS(TF_Timer,TF_Tekniker,S$4,TF_Dato,$A584))*2,0)/2)))</f>
        <v/>
      </c>
      <c r="T584">
        <f>IF(OR(T$4="",$A584&gt;TODAY()),0,IF(OR(INDEX($B584:$D584,T$5)="F",AND(T$6&gt;0,$A584&lt;T$6),AND(T$7&gt;0,$A584&gt;T$7)),0,MAX(0,ROUND((INDEX($E584:$G584,T$5)-SUMIFS(TF_Timer,TF_Tekniker,T$4,TF_Dato,$A584))*2,0)/2)))</f>
        <v/>
      </c>
      <c r="U584">
        <f>IF(OR(U$4="",$A584&gt;TODAY()),0,IF(OR(INDEX($B584:$D584,U$5)="F",AND(U$6&gt;0,$A584&lt;U$6),AND(U$7&gt;0,$A584&gt;U$7)),0,MAX(0,ROUND((INDEX($E584:$G584,U$5)-SUMIFS(TF_Timer,TF_Tekniker,U$4,TF_Dato,$A584))*2,0)/2)))</f>
        <v/>
      </c>
      <c r="V584">
        <f>IF(OR(V$4="",$A584&gt;TODAY()),0,IF(OR(INDEX($B584:$D584,V$5)="F",AND(V$6&gt;0,$A584&lt;V$6),AND(V$7&gt;0,$A584&gt;V$7)),0,MAX(0,ROUND((INDEX($E584:$G584,V$5)-SUMIFS(TF_Timer,TF_Tekniker,V$4,TF_Dato,$A584))*2,0)/2)))</f>
        <v/>
      </c>
      <c r="W584">
        <f>IF(OR(W$4="",$A584&gt;TODAY()),0,IF(OR(INDEX($B584:$D584,W$5)="F",AND(W$6&gt;0,$A584&lt;W$6),AND(W$7&gt;0,$A584&gt;W$7)),0,MAX(0,ROUND((INDEX($E584:$G584,W$5)-SUMIFS(TF_Timer,TF_Tekniker,W$4,TF_Dato,$A584))*2,0)/2)))</f>
        <v/>
      </c>
      <c r="X584">
        <f>IF(OR(X$4="",$A584&gt;TODAY()),0,IF(OR(INDEX($B584:$D584,X$5)="F",AND(X$6&gt;0,$A584&lt;X$6),AND(X$7&gt;0,$A584&gt;X$7)),0,MAX(0,ROUND((INDEX($E584:$G584,X$5)-SUMIFS(TF_Timer,TF_Tekniker,X$4,TF_Dato,$A584))*2,0)/2)))</f>
        <v/>
      </c>
      <c r="Y584">
        <f>IF(OR(Y$4="",$A584&gt;TODAY()),0,IF(OR(INDEX($B584:$D584,Y$5)="F",AND(Y$6&gt;0,$A584&lt;Y$6),AND(Y$7&gt;0,$A584&gt;Y$7)),0,MAX(0,ROUND((INDEX($E584:$G584,Y$5)-SUMIFS(TF_Timer,TF_Tekniker,Y$4,TF_Dato,$A584))*2,0)/2)))</f>
        <v/>
      </c>
      <c r="Z584">
        <f>IF(OR(Z$4="",$A584&gt;TODAY()),0,IF(OR(INDEX($B584:$D584,Z$5)="F",AND(Z$6&gt;0,$A584&lt;Z$6),AND(Z$7&gt;0,$A584&gt;Z$7)),0,MAX(0,ROUND((INDEX($E584:$G584,Z$5)-SUMIFS(TF_Timer,TF_Tekniker,Z$4,TF_Dato,$A584))*2,0)/2)))</f>
        <v/>
      </c>
      <c r="AA584">
        <f>IF(OR(AA$4="",$A584&gt;TODAY()),0,IF(OR(INDEX($B584:$D584,AA$5)="F",AND(AA$6&gt;0,$A584&lt;AA$6),AND(AA$7&gt;0,$A584&gt;AA$7)),0,MAX(0,ROUND((INDEX($E584:$G584,AA$5)-SUMIFS(TF_Timer,TF_Tekniker,AA$4,TF_Dato,$A584))*2,0)/2)))</f>
        <v/>
      </c>
      <c r="AB584">
        <f>IF(OR(AB$4="",$A584&gt;TODAY()),0,IF(OR(INDEX($B584:$D584,AB$5)="F",AND(AB$6&gt;0,$A584&lt;AB$6),AND(AB$7&gt;0,$A584&gt;AB$7)),0,MAX(0,ROUND((INDEX($E584:$G584,AB$5)-SUMIFS(TF_Timer,TF_Tekniker,AB$4,TF_Dato,$A584))*2,0)/2)))</f>
        <v/>
      </c>
      <c r="AC584">
        <f>IF(OR(AC$4="",$A584&gt;TODAY()),0,IF(OR(INDEX($B584:$D584,AC$5)="F",AND(AC$6&gt;0,$A584&lt;AC$6),AND(AC$7&gt;0,$A584&gt;AC$7)),0,MAX(0,ROUND((INDEX($E584:$G584,AC$5)-SUMIFS(TF_Timer,TF_Tekniker,AC$4,TF_Dato,$A584))*2,0)/2)))</f>
        <v/>
      </c>
      <c r="AD584">
        <f>IF(OR(AD$4="",$A584&gt;TODAY()),0,IF(OR(INDEX($B584:$D584,AD$5)="F",AND(AD$6&gt;0,$A584&lt;AD$6),AND(AD$7&gt;0,$A584&gt;AD$7)),0,MAX(0,ROUND((INDEX($E584:$G584,AD$5)-SUMIFS(TF_Timer,TF_Tekniker,AD$4,TF_Dato,$A584))*2,0)/2)))</f>
        <v/>
      </c>
      <c r="AE584">
        <f>IF(OR(AE$4="",$A584&gt;TODAY()),0,IF(OR(INDEX($B584:$D584,AE$5)="F",AND(AE$6&gt;0,$A584&lt;AE$6),AND(AE$7&gt;0,$A584&gt;AE$7)),0,MAX(0,ROUND((INDEX($E584:$G584,AE$5)-SUMIFS(TF_Timer,TF_Tekniker,AE$4,TF_Dato,$A584))*2,0)/2)))</f>
        <v/>
      </c>
      <c r="AF584">
        <f>IF(OR(AF$4="",$A584&gt;TODAY()),0,IF(OR(INDEX($B584:$D584,AF$5)="F",AND(AF$6&gt;0,$A584&lt;AF$6),AND(AF$7&gt;0,$A584&gt;AF$7)),0,MAX(0,ROUND((INDEX($E584:$G584,AF$5)-SUMIFS(TF_Timer,TF_Tekniker,AF$4,TF_Dato,$A584))*2,0)/2)))</f>
        <v/>
      </c>
      <c r="AG584">
        <f>IF(OR(AG$4="",$A584&gt;TODAY()),0,IF(OR(INDEX($B584:$D584,AG$5)="F",AND(AG$6&gt;0,$A584&lt;AG$6),AND(AG$7&gt;0,$A584&gt;AG$7)),0,MAX(0,ROUND((INDEX($E584:$G584,AG$5)-SUMIFS(TF_Timer,TF_Tekniker,AG$4,TF_Dato,$A584))*2,0)/2)))</f>
        <v/>
      </c>
      <c r="AH584">
        <f>IF(OR(AH$4="",$A584&gt;TODAY()),0,IF(OR(INDEX($B584:$D584,AH$5)="F",AND(AH$6&gt;0,$A584&lt;AH$6),AND(AH$7&gt;0,$A584&gt;AH$7)),0,MAX(0,ROUND((INDEX($E584:$G584,AH$5)-SUMIFS(TF_Timer,TF_Tekniker,AH$4,TF_Dato,$A584))*2,0)/2)))</f>
        <v/>
      </c>
      <c r="AI584">
        <f>IF(OR(AI$4="",$A584&gt;TODAY()),0,IF(OR(INDEX($B584:$D584,AI$5)="F",AND(AI$6&gt;0,$A584&lt;AI$6),AND(AI$7&gt;0,$A584&gt;AI$7)),0,MAX(0,ROUND((INDEX($E584:$G584,AI$5)-SUMIFS(TF_Timer,TF_Tekniker,AI$4,TF_Dato,$A584))*2,0)/2)))</f>
        <v/>
      </c>
      <c r="AJ584">
        <f>IF(OR(AJ$4="",$A584&gt;TODAY()),0,IF(OR(INDEX($B584:$D584,AJ$5)="F",AND(AJ$6&gt;0,$A584&lt;AJ$6),AND(AJ$7&gt;0,$A584&gt;AJ$7)),0,MAX(0,ROUND((INDEX($E584:$G584,AJ$5)-SUMIFS(TF_Timer,TF_Tekniker,AJ$4,TF_Dato,$A584))*2,0)/2)))</f>
        <v/>
      </c>
      <c r="AK584">
        <f>IF(OR(AK$4="",$A584&gt;TODAY()),0,IF(OR(INDEX($B584:$D584,AK$5)="F",AND(AK$6&gt;0,$A584&lt;AK$6),AND(AK$7&gt;0,$A584&gt;AK$7)),0,MAX(0,ROUND((INDEX($E584:$G584,AK$5)-SUMIFS(TF_Timer,TF_Tekniker,AK$4,TF_Dato,$A584))*2,0)/2)))</f>
        <v/>
      </c>
      <c r="AL584">
        <f>IF(OR(AL$4="",$A584&gt;TODAY()),0,IF(OR(INDEX($B584:$D584,AL$5)="F",AND(AL$6&gt;0,$A584&lt;AL$6),AND(AL$7&gt;0,$A584&gt;AL$7)),0,MAX(0,ROUND((INDEX($E584:$G584,AL$5)-SUMIFS(TF_Timer,TF_Tekniker,AL$4,TF_Dato,$A584))*2,0)/2)))</f>
        <v/>
      </c>
      <c r="AM584">
        <f>IF(OR(AM$4="",$A584&gt;TODAY()),0,IF(OR(INDEX($B584:$D584,AM$5)="F",AND(AM$6&gt;0,$A584&lt;AM$6),AND(AM$7&gt;0,$A584&gt;AM$7)),0,MAX(0,ROUND((INDEX($E584:$G584,AM$5)-SUMIFS(TF_Timer,TF_Tekniker,AM$4,TF_Dato,$A584))*2,0)/2)))</f>
        <v/>
      </c>
      <c r="AN584">
        <f>IF(OR(AN$4="",$A584&gt;TODAY()),0,IF(OR(INDEX($B584:$D584,AN$5)="F",AND(AN$6&gt;0,$A584&lt;AN$6),AND(AN$7&gt;0,$A584&gt;AN$7)),0,MAX(0,ROUND((INDEX($E584:$G584,AN$5)-SUMIFS(TF_Timer,TF_Tekniker,AN$4,TF_Dato,$A584))*2,0)/2)))</f>
        <v/>
      </c>
      <c r="AO584">
        <f>IF(OR(AO$4="",$A584&gt;TODAY()),0,IF(OR(INDEX($B584:$D584,AO$5)="F",AND(AO$6&gt;0,$A584&lt;AO$6),AND(AO$7&gt;0,$A584&gt;AO$7)),0,MAX(0,ROUND((INDEX($E584:$G584,AO$5)-SUMIFS(TF_Timer,TF_Tekniker,AO$4,TF_Dato,$A584))*2,0)/2)))</f>
        <v/>
      </c>
      <c r="AP584">
        <f>IF(OR(AP$4="",$A584&gt;TODAY()),0,IF(OR(INDEX($B584:$D584,AP$5)="F",AND(AP$6&gt;0,$A584&lt;AP$6),AND(AP$7&gt;0,$A584&gt;AP$7)),0,MAX(0,ROUND((INDEX($E584:$G584,AP$5)-SUMIFS(TF_Timer,TF_Tekniker,AP$4,TF_Dato,$A584))*2,0)/2)))</f>
        <v/>
      </c>
      <c r="AQ584">
        <f>IF(OR(AQ$4="",$A584&gt;TODAY()),0,IF(OR(INDEX($B584:$D584,AQ$5)="F",AND(AQ$6&gt;0,$A584&lt;AQ$6),AND(AQ$7&gt;0,$A584&gt;AQ$7)),0,MAX(0,ROUND((INDEX($E584:$G584,AQ$5)-SUMIFS(TF_Timer,TF_Tekniker,AQ$4,TF_Dato,$A584))*2,0)/2)))</f>
        <v/>
      </c>
      <c r="AR584">
        <f>IF(OR(AR$4="",$A584&gt;TODAY()),0,IF(OR(INDEX($B584:$D584,AR$5)="F",AND(AR$6&gt;0,$A584&lt;AR$6),AND(AR$7&gt;0,$A584&gt;AR$7)),0,MAX(0,ROUND((INDEX($E584:$G584,AR$5)-SUMIFS(TF_Timer,TF_Tekniker,AR$4,TF_Dato,$A584))*2,0)/2)))</f>
        <v/>
      </c>
      <c r="AS584">
        <f>IF(OR(AS$4="",$A584&gt;TODAY()),0,IF(OR(INDEX($B584:$D584,AS$5)="F",AND(AS$6&gt;0,$A584&lt;AS$6),AND(AS$7&gt;0,$A584&gt;AS$7)),0,MAX(0,ROUND((INDEX($E584:$G584,AS$5)-SUMIFS(TF_Timer,TF_Tekniker,AS$4,TF_Dato,$A584))*2,0)/2)))</f>
        <v/>
      </c>
      <c r="AT584">
        <f>IF(OR(AT$4="",$A584&gt;TODAY()),0,IF(OR(INDEX($B584:$D584,AT$5)="F",AND(AT$6&gt;0,$A584&lt;AT$6),AND(AT$7&gt;0,$A584&gt;AT$7)),0,MAX(0,ROUND((INDEX($E584:$G584,AT$5)-SUMIFS(TF_Timer,TF_Tekniker,AT$4,TF_Dato,$A584))*2,0)/2)))</f>
        <v/>
      </c>
      <c r="AU584">
        <f>IF(OR(AU$4="",$A584&gt;TODAY()),0,IF(OR(INDEX($B584:$D584,AU$5)="F",AND(AU$6&gt;0,$A584&lt;AU$6),AND(AU$7&gt;0,$A584&gt;AU$7)),0,MAX(0,ROUND((INDEX($E584:$G584,AU$5)-SUMIFS(TF_Timer,TF_Tekniker,AU$4,TF_Dato,$A584))*2,0)/2)))</f>
        <v/>
      </c>
      <c r="AV584">
        <f>IF(OR(AV$4="",$A584&gt;TODAY()),0,IF(OR(INDEX($B584:$D584,AV$5)="F",AND(AV$6&gt;0,$A584&lt;AV$6),AND(AV$7&gt;0,$A584&gt;AV$7)),0,MAX(0,ROUND((INDEX($E584:$G584,AV$5)-SUMIFS(TF_Timer,TF_Tekniker,AV$4,TF_Dato,$A584))*2,0)/2)))</f>
        <v/>
      </c>
      <c r="AW584">
        <f>IF(OR(AW$4="",$A584&gt;TODAY()),0,IF(OR(INDEX($B584:$D584,AW$5)="F",AND(AW$6&gt;0,$A584&lt;AW$6),AND(AW$7&gt;0,$A584&gt;AW$7)),0,MAX(0,ROUND((INDEX($E584:$G584,AW$5)-SUMIFS(TF_Timer,TF_Tekniker,AW$4,TF_Dato,$A584))*2,0)/2)))</f>
        <v/>
      </c>
      <c r="AX584">
        <f>IF(OR(AX$4="",$A584&gt;TODAY()),0,IF(OR(INDEX($B584:$D584,AX$5)="F",AND(AX$6&gt;0,$A584&lt;AX$6),AND(AX$7&gt;0,$A584&gt;AX$7)),0,MAX(0,ROUND((INDEX($E584:$G584,AX$5)-SUMIFS(TF_Timer,TF_Tekniker,AX$4,TF_Dato,$A584))*2,0)/2)))</f>
        <v/>
      </c>
      <c r="AY584">
        <f>IF(OR(AY$4="",$A584&gt;TODAY()),0,IF(OR(INDEX($B584:$D584,AY$5)="F",AND(AY$6&gt;0,$A584&lt;AY$6),AND(AY$7&gt;0,$A584&gt;AY$7)),0,MAX(0,ROUND((INDEX($E584:$G584,AY$5)-SUMIFS(TF_Timer,TF_Tekniker,AY$4,TF_Dato,$A584))*2,0)/2)))</f>
        <v/>
      </c>
      <c r="AZ584">
        <f>IF(OR(AZ$4="",$A584&gt;TODAY()),0,IF(OR(INDEX($B584:$D584,AZ$5)="F",AND(AZ$6&gt;0,$A584&lt;AZ$6),AND(AZ$7&gt;0,$A584&gt;AZ$7)),0,MAX(0,ROUND((INDEX($E584:$G584,AZ$5)-SUMIFS(TF_Timer,TF_Tekniker,AZ$4,TF_Dato,$A584))*2,0)/2)))</f>
        <v/>
      </c>
      <c r="BA584">
        <f>IF(OR(BA$4="",$A584&gt;TODAY()),0,IF(OR(INDEX($B584:$D584,BA$5)="F",AND(BA$6&gt;0,$A584&lt;BA$6),AND(BA$7&gt;0,$A584&gt;BA$7)),0,MAX(0,ROUND((INDEX($E584:$G584,BA$5)-SUMIFS(TF_Timer,TF_Tekniker,BA$4,TF_Dato,$A584))*2,0)/2)))</f>
        <v/>
      </c>
      <c r="BB584">
        <f>IF(OR(BB$4="",$A584&gt;TODAY()),0,IF(OR(INDEX($B584:$D584,BB$5)="F",AND(BB$6&gt;0,$A584&lt;BB$6),AND(BB$7&gt;0,$A584&gt;BB$7)),0,MAX(0,ROUND((INDEX($E584:$G584,BB$5)-SUMIFS(TF_Timer,TF_Tekniker,BB$4,TF_Dato,$A584))*2,0)/2)))</f>
        <v/>
      </c>
      <c r="BC584">
        <f>IF(OR(BC$4="",$A584&gt;TODAY()),0,IF(OR(INDEX($B584:$D584,BC$5)="F",AND(BC$6&gt;0,$A584&lt;BC$6),AND(BC$7&gt;0,$A584&gt;BC$7)),0,MAX(0,ROUND((INDEX($E584:$G584,BC$5)-SUMIFS(TF_Timer,TF_Tekniker,BC$4,TF_Dato,$A584))*2,0)/2)))</f>
        <v/>
      </c>
      <c r="BD584">
        <f>IF(OR(BD$4="",$A584&gt;TODAY()),0,IF(OR(INDEX($B584:$D584,BD$5)="F",AND(BD$6&gt;0,$A584&lt;BD$6),AND(BD$7&gt;0,$A584&gt;BD$7)),0,MAX(0,ROUND((INDEX($E584:$G584,BD$5)-SUMIFS(TF_Timer,TF_Tekniker,BD$4,TF_Dato,$A584))*2,0)/2)))</f>
        <v/>
      </c>
      <c r="BE584">
        <f>IF(OR(BE$4="",$A584&gt;TODAY()),0,IF(OR(INDEX($B584:$D584,BE$5)="F",AND(BE$6&gt;0,$A584&lt;BE$6),AND(BE$7&gt;0,$A584&gt;BE$7)),0,MAX(0,ROUND((INDEX($E584:$G584,BE$5)-SUMIFS(TF_Timer,TF_Tekniker,BE$4,TF_Dato,$A584))*2,0)/2)))</f>
        <v/>
      </c>
      <c r="BF584">
        <f>IF(OR(BF$4="",$A584&gt;TODAY()),0,IF(OR(INDEX($B584:$D584,BF$5)="F",AND(BF$6&gt;0,$A584&lt;BF$6),AND(BF$7&gt;0,$A584&gt;BF$7)),0,MAX(0,ROUND((INDEX($E584:$G584,BF$5)-SUMIFS(TF_Timer,TF_Tekniker,BF$4,TF_Dato,$A584))*2,0)/2)))</f>
        <v/>
      </c>
      <c r="BG584">
        <f>IF(OR(BG$4="",$A584&gt;TODAY()),0,IF(OR(INDEX($B584:$D584,BG$5)="F",AND(BG$6&gt;0,$A584&lt;BG$6),AND(BG$7&gt;0,$A584&gt;BG$7)),0,MAX(0,ROUND((INDEX($E584:$G584,BG$5)-SUMIFS(TF_Timer,TF_Tekniker,BG$4,TF_Dato,$A584))*2,0)/2)))</f>
        <v/>
      </c>
      <c r="BH584">
        <f>IF(OR(BH$4="",$A584&gt;TODAY()),0,IF(OR(INDEX($B584:$D584,BH$5)="F",AND(BH$6&gt;0,$A584&lt;BH$6),AND(BH$7&gt;0,$A584&gt;BH$7)),0,MAX(0,ROUND((INDEX($E584:$G584,BH$5)-SUMIFS(TF_Timer,TF_Tekniker,BH$4,TF_Dato,$A584))*2,0)/2)))</f>
        <v/>
      </c>
      <c r="BI584">
        <f>IF(OR(BI$4="",$A584&gt;TODAY()),0,IF(OR(INDEX($B584:$D584,BI$5)="F",AND(BI$6&gt;0,$A584&lt;BI$6),AND(BI$7&gt;0,$A584&gt;BI$7)),0,MAX(0,ROUND((INDEX($E584:$G584,BI$5)-SUMIFS(TF_Timer,TF_Tekniker,BI$4,TF_Dato,$A584))*2,0)/2)))</f>
        <v/>
      </c>
    </row>
    <row r="585">
      <c r="A585" s="64">
        <f>A584+1</f>
        <v/>
      </c>
      <c r="B585">
        <f>IF(MOD($A585-INDEX(SkiftStart,1),Syklus)&lt;DagK,"K",IF(MOD($A585-INDEX(SkiftStart,1),Syklus)&lt;DagK+DagH,"H",IF(MOD($A585-INDEX(SkiftStart,1),Syklus)&lt;DagK+DagH+DagD,"D","F")))</f>
        <v/>
      </c>
      <c r="C585">
        <f>IF(MOD($A585-INDEX(SkiftStart,2),Syklus)&lt;DagK,"K",IF(MOD($A585-INDEX(SkiftStart,2),Syklus)&lt;DagK+DagH,"H",IF(MOD($A585-INDEX(SkiftStart,2),Syklus)&lt;DagK+DagH+DagD,"D","F")))</f>
        <v/>
      </c>
      <c r="D585">
        <f>IF(MOD($A585-INDEX(SkiftStart,3),Syklus)&lt;DagK,"K",IF(MOD($A585-INDEX(SkiftStart,3),Syklus)&lt;DagK+DagH,"H",IF(MOD($A585-INDEX(SkiftStart,3),Syklus)&lt;DagK+DagH+DagD,"D","F")))</f>
        <v/>
      </c>
      <c r="E585">
        <f>IF(B585="F",0,IF(WEEKDAY($A585,2)=5,INDEX(TimerFr,MATCH(B585,FaseKode,0)),INDEX(TimerMT,MATCH(B585,FaseKode,0))))</f>
        <v/>
      </c>
      <c r="F585">
        <f>IF(C585="F",0,IF(WEEKDAY($A585,2)=5,INDEX(TimerFr,MATCH(C585,FaseKode,0)),INDEX(TimerMT,MATCH(C585,FaseKode,0))))</f>
        <v/>
      </c>
      <c r="G585">
        <f>IF(D585="F",0,IF(WEEKDAY($A585,2)=5,INDEX(TimerFr,MATCH(D585,FaseKode,0)),INDEX(TimerMT,MATCH(D585,FaseKode,0))))</f>
        <v/>
      </c>
      <c r="H585">
        <f>IF(OR(H$4="",$A585&gt;TODAY()),0,IF(OR(INDEX($B585:$D585,H$5)="F",AND(H$6&gt;0,$A585&lt;H$6),AND(H$7&gt;0,$A585&gt;H$7)),0,MAX(0,ROUND((INDEX($E585:$G585,H$5)-SUMIFS(TF_Timer,TF_Tekniker,H$4,TF_Dato,$A585))*2,0)/2)))</f>
        <v/>
      </c>
      <c r="I585">
        <f>IF(OR(I$4="",$A585&gt;TODAY()),0,IF(OR(INDEX($B585:$D585,I$5)="F",AND(I$6&gt;0,$A585&lt;I$6),AND(I$7&gt;0,$A585&gt;I$7)),0,MAX(0,ROUND((INDEX($E585:$G585,I$5)-SUMIFS(TF_Timer,TF_Tekniker,I$4,TF_Dato,$A585))*2,0)/2)))</f>
        <v/>
      </c>
      <c r="J585">
        <f>IF(OR(J$4="",$A585&gt;TODAY()),0,IF(OR(INDEX($B585:$D585,J$5)="F",AND(J$6&gt;0,$A585&lt;J$6),AND(J$7&gt;0,$A585&gt;J$7)),0,MAX(0,ROUND((INDEX($E585:$G585,J$5)-SUMIFS(TF_Timer,TF_Tekniker,J$4,TF_Dato,$A585))*2,0)/2)))</f>
        <v/>
      </c>
      <c r="K585">
        <f>IF(OR(K$4="",$A585&gt;TODAY()),0,IF(OR(INDEX($B585:$D585,K$5)="F",AND(K$6&gt;0,$A585&lt;K$6),AND(K$7&gt;0,$A585&gt;K$7)),0,MAX(0,ROUND((INDEX($E585:$G585,K$5)-SUMIFS(TF_Timer,TF_Tekniker,K$4,TF_Dato,$A585))*2,0)/2)))</f>
        <v/>
      </c>
      <c r="L585">
        <f>IF(OR(L$4="",$A585&gt;TODAY()),0,IF(OR(INDEX($B585:$D585,L$5)="F",AND(L$6&gt;0,$A585&lt;L$6),AND(L$7&gt;0,$A585&gt;L$7)),0,MAX(0,ROUND((INDEX($E585:$G585,L$5)-SUMIFS(TF_Timer,TF_Tekniker,L$4,TF_Dato,$A585))*2,0)/2)))</f>
        <v/>
      </c>
      <c r="M585">
        <f>IF(OR(M$4="",$A585&gt;TODAY()),0,IF(OR(INDEX($B585:$D585,M$5)="F",AND(M$6&gt;0,$A585&lt;M$6),AND(M$7&gt;0,$A585&gt;M$7)),0,MAX(0,ROUND((INDEX($E585:$G585,M$5)-SUMIFS(TF_Timer,TF_Tekniker,M$4,TF_Dato,$A585))*2,0)/2)))</f>
        <v/>
      </c>
      <c r="N585">
        <f>IF(OR(N$4="",$A585&gt;TODAY()),0,IF(OR(INDEX($B585:$D585,N$5)="F",AND(N$6&gt;0,$A585&lt;N$6),AND(N$7&gt;0,$A585&gt;N$7)),0,MAX(0,ROUND((INDEX($E585:$G585,N$5)-SUMIFS(TF_Timer,TF_Tekniker,N$4,TF_Dato,$A585))*2,0)/2)))</f>
        <v/>
      </c>
      <c r="O585">
        <f>IF(OR(O$4="",$A585&gt;TODAY()),0,IF(OR(INDEX($B585:$D585,O$5)="F",AND(O$6&gt;0,$A585&lt;O$6),AND(O$7&gt;0,$A585&gt;O$7)),0,MAX(0,ROUND((INDEX($E585:$G585,O$5)-SUMIFS(TF_Timer,TF_Tekniker,O$4,TF_Dato,$A585))*2,0)/2)))</f>
        <v/>
      </c>
      <c r="P585">
        <f>IF(OR(P$4="",$A585&gt;TODAY()),0,IF(OR(INDEX($B585:$D585,P$5)="F",AND(P$6&gt;0,$A585&lt;P$6),AND(P$7&gt;0,$A585&gt;P$7)),0,MAX(0,ROUND((INDEX($E585:$G585,P$5)-SUMIFS(TF_Timer,TF_Tekniker,P$4,TF_Dato,$A585))*2,0)/2)))</f>
        <v/>
      </c>
      <c r="Q585">
        <f>IF(OR(Q$4="",$A585&gt;TODAY()),0,IF(OR(INDEX($B585:$D585,Q$5)="F",AND(Q$6&gt;0,$A585&lt;Q$6),AND(Q$7&gt;0,$A585&gt;Q$7)),0,MAX(0,ROUND((INDEX($E585:$G585,Q$5)-SUMIFS(TF_Timer,TF_Tekniker,Q$4,TF_Dato,$A585))*2,0)/2)))</f>
        <v/>
      </c>
      <c r="R585">
        <f>IF(OR(R$4="",$A585&gt;TODAY()),0,IF(OR(INDEX($B585:$D585,R$5)="F",AND(R$6&gt;0,$A585&lt;R$6),AND(R$7&gt;0,$A585&gt;R$7)),0,MAX(0,ROUND((INDEX($E585:$G585,R$5)-SUMIFS(TF_Timer,TF_Tekniker,R$4,TF_Dato,$A585))*2,0)/2)))</f>
        <v/>
      </c>
      <c r="S585">
        <f>IF(OR(S$4="",$A585&gt;TODAY()),0,IF(OR(INDEX($B585:$D585,S$5)="F",AND(S$6&gt;0,$A585&lt;S$6),AND(S$7&gt;0,$A585&gt;S$7)),0,MAX(0,ROUND((INDEX($E585:$G585,S$5)-SUMIFS(TF_Timer,TF_Tekniker,S$4,TF_Dato,$A585))*2,0)/2)))</f>
        <v/>
      </c>
      <c r="T585">
        <f>IF(OR(T$4="",$A585&gt;TODAY()),0,IF(OR(INDEX($B585:$D585,T$5)="F",AND(T$6&gt;0,$A585&lt;T$6),AND(T$7&gt;0,$A585&gt;T$7)),0,MAX(0,ROUND((INDEX($E585:$G585,T$5)-SUMIFS(TF_Timer,TF_Tekniker,T$4,TF_Dato,$A585))*2,0)/2)))</f>
        <v/>
      </c>
      <c r="U585">
        <f>IF(OR(U$4="",$A585&gt;TODAY()),0,IF(OR(INDEX($B585:$D585,U$5)="F",AND(U$6&gt;0,$A585&lt;U$6),AND(U$7&gt;0,$A585&gt;U$7)),0,MAX(0,ROUND((INDEX($E585:$G585,U$5)-SUMIFS(TF_Timer,TF_Tekniker,U$4,TF_Dato,$A585))*2,0)/2)))</f>
        <v/>
      </c>
      <c r="V585">
        <f>IF(OR(V$4="",$A585&gt;TODAY()),0,IF(OR(INDEX($B585:$D585,V$5)="F",AND(V$6&gt;0,$A585&lt;V$6),AND(V$7&gt;0,$A585&gt;V$7)),0,MAX(0,ROUND((INDEX($E585:$G585,V$5)-SUMIFS(TF_Timer,TF_Tekniker,V$4,TF_Dato,$A585))*2,0)/2)))</f>
        <v/>
      </c>
      <c r="W585">
        <f>IF(OR(W$4="",$A585&gt;TODAY()),0,IF(OR(INDEX($B585:$D585,W$5)="F",AND(W$6&gt;0,$A585&lt;W$6),AND(W$7&gt;0,$A585&gt;W$7)),0,MAX(0,ROUND((INDEX($E585:$G585,W$5)-SUMIFS(TF_Timer,TF_Tekniker,W$4,TF_Dato,$A585))*2,0)/2)))</f>
        <v/>
      </c>
      <c r="X585">
        <f>IF(OR(X$4="",$A585&gt;TODAY()),0,IF(OR(INDEX($B585:$D585,X$5)="F",AND(X$6&gt;0,$A585&lt;X$6),AND(X$7&gt;0,$A585&gt;X$7)),0,MAX(0,ROUND((INDEX($E585:$G585,X$5)-SUMIFS(TF_Timer,TF_Tekniker,X$4,TF_Dato,$A585))*2,0)/2)))</f>
        <v/>
      </c>
      <c r="Y585">
        <f>IF(OR(Y$4="",$A585&gt;TODAY()),0,IF(OR(INDEX($B585:$D585,Y$5)="F",AND(Y$6&gt;0,$A585&lt;Y$6),AND(Y$7&gt;0,$A585&gt;Y$7)),0,MAX(0,ROUND((INDEX($E585:$G585,Y$5)-SUMIFS(TF_Timer,TF_Tekniker,Y$4,TF_Dato,$A585))*2,0)/2)))</f>
        <v/>
      </c>
      <c r="Z585">
        <f>IF(OR(Z$4="",$A585&gt;TODAY()),0,IF(OR(INDEX($B585:$D585,Z$5)="F",AND(Z$6&gt;0,$A585&lt;Z$6),AND(Z$7&gt;0,$A585&gt;Z$7)),0,MAX(0,ROUND((INDEX($E585:$G585,Z$5)-SUMIFS(TF_Timer,TF_Tekniker,Z$4,TF_Dato,$A585))*2,0)/2)))</f>
        <v/>
      </c>
      <c r="AA585">
        <f>IF(OR(AA$4="",$A585&gt;TODAY()),0,IF(OR(INDEX($B585:$D585,AA$5)="F",AND(AA$6&gt;0,$A585&lt;AA$6),AND(AA$7&gt;0,$A585&gt;AA$7)),0,MAX(0,ROUND((INDEX($E585:$G585,AA$5)-SUMIFS(TF_Timer,TF_Tekniker,AA$4,TF_Dato,$A585))*2,0)/2)))</f>
        <v/>
      </c>
      <c r="AB585">
        <f>IF(OR(AB$4="",$A585&gt;TODAY()),0,IF(OR(INDEX($B585:$D585,AB$5)="F",AND(AB$6&gt;0,$A585&lt;AB$6),AND(AB$7&gt;0,$A585&gt;AB$7)),0,MAX(0,ROUND((INDEX($E585:$G585,AB$5)-SUMIFS(TF_Timer,TF_Tekniker,AB$4,TF_Dato,$A585))*2,0)/2)))</f>
        <v/>
      </c>
      <c r="AC585">
        <f>IF(OR(AC$4="",$A585&gt;TODAY()),0,IF(OR(INDEX($B585:$D585,AC$5)="F",AND(AC$6&gt;0,$A585&lt;AC$6),AND(AC$7&gt;0,$A585&gt;AC$7)),0,MAX(0,ROUND((INDEX($E585:$G585,AC$5)-SUMIFS(TF_Timer,TF_Tekniker,AC$4,TF_Dato,$A585))*2,0)/2)))</f>
        <v/>
      </c>
      <c r="AD585">
        <f>IF(OR(AD$4="",$A585&gt;TODAY()),0,IF(OR(INDEX($B585:$D585,AD$5)="F",AND(AD$6&gt;0,$A585&lt;AD$6),AND(AD$7&gt;0,$A585&gt;AD$7)),0,MAX(0,ROUND((INDEX($E585:$G585,AD$5)-SUMIFS(TF_Timer,TF_Tekniker,AD$4,TF_Dato,$A585))*2,0)/2)))</f>
        <v/>
      </c>
      <c r="AE585">
        <f>IF(OR(AE$4="",$A585&gt;TODAY()),0,IF(OR(INDEX($B585:$D585,AE$5)="F",AND(AE$6&gt;0,$A585&lt;AE$6),AND(AE$7&gt;0,$A585&gt;AE$7)),0,MAX(0,ROUND((INDEX($E585:$G585,AE$5)-SUMIFS(TF_Timer,TF_Tekniker,AE$4,TF_Dato,$A585))*2,0)/2)))</f>
        <v/>
      </c>
      <c r="AF585">
        <f>IF(OR(AF$4="",$A585&gt;TODAY()),0,IF(OR(INDEX($B585:$D585,AF$5)="F",AND(AF$6&gt;0,$A585&lt;AF$6),AND(AF$7&gt;0,$A585&gt;AF$7)),0,MAX(0,ROUND((INDEX($E585:$G585,AF$5)-SUMIFS(TF_Timer,TF_Tekniker,AF$4,TF_Dato,$A585))*2,0)/2)))</f>
        <v/>
      </c>
      <c r="AG585">
        <f>IF(OR(AG$4="",$A585&gt;TODAY()),0,IF(OR(INDEX($B585:$D585,AG$5)="F",AND(AG$6&gt;0,$A585&lt;AG$6),AND(AG$7&gt;0,$A585&gt;AG$7)),0,MAX(0,ROUND((INDEX($E585:$G585,AG$5)-SUMIFS(TF_Timer,TF_Tekniker,AG$4,TF_Dato,$A585))*2,0)/2)))</f>
        <v/>
      </c>
      <c r="AH585">
        <f>IF(OR(AH$4="",$A585&gt;TODAY()),0,IF(OR(INDEX($B585:$D585,AH$5)="F",AND(AH$6&gt;0,$A585&lt;AH$6),AND(AH$7&gt;0,$A585&gt;AH$7)),0,MAX(0,ROUND((INDEX($E585:$G585,AH$5)-SUMIFS(TF_Timer,TF_Tekniker,AH$4,TF_Dato,$A585))*2,0)/2)))</f>
        <v/>
      </c>
      <c r="AI585">
        <f>IF(OR(AI$4="",$A585&gt;TODAY()),0,IF(OR(INDEX($B585:$D585,AI$5)="F",AND(AI$6&gt;0,$A585&lt;AI$6),AND(AI$7&gt;0,$A585&gt;AI$7)),0,MAX(0,ROUND((INDEX($E585:$G585,AI$5)-SUMIFS(TF_Timer,TF_Tekniker,AI$4,TF_Dato,$A585))*2,0)/2)))</f>
        <v/>
      </c>
      <c r="AJ585">
        <f>IF(OR(AJ$4="",$A585&gt;TODAY()),0,IF(OR(INDEX($B585:$D585,AJ$5)="F",AND(AJ$6&gt;0,$A585&lt;AJ$6),AND(AJ$7&gt;0,$A585&gt;AJ$7)),0,MAX(0,ROUND((INDEX($E585:$G585,AJ$5)-SUMIFS(TF_Timer,TF_Tekniker,AJ$4,TF_Dato,$A585))*2,0)/2)))</f>
        <v/>
      </c>
      <c r="AK585">
        <f>IF(OR(AK$4="",$A585&gt;TODAY()),0,IF(OR(INDEX($B585:$D585,AK$5)="F",AND(AK$6&gt;0,$A585&lt;AK$6),AND(AK$7&gt;0,$A585&gt;AK$7)),0,MAX(0,ROUND((INDEX($E585:$G585,AK$5)-SUMIFS(TF_Timer,TF_Tekniker,AK$4,TF_Dato,$A585))*2,0)/2)))</f>
        <v/>
      </c>
      <c r="AL585">
        <f>IF(OR(AL$4="",$A585&gt;TODAY()),0,IF(OR(INDEX($B585:$D585,AL$5)="F",AND(AL$6&gt;0,$A585&lt;AL$6),AND(AL$7&gt;0,$A585&gt;AL$7)),0,MAX(0,ROUND((INDEX($E585:$G585,AL$5)-SUMIFS(TF_Timer,TF_Tekniker,AL$4,TF_Dato,$A585))*2,0)/2)))</f>
        <v/>
      </c>
      <c r="AM585">
        <f>IF(OR(AM$4="",$A585&gt;TODAY()),0,IF(OR(INDEX($B585:$D585,AM$5)="F",AND(AM$6&gt;0,$A585&lt;AM$6),AND(AM$7&gt;0,$A585&gt;AM$7)),0,MAX(0,ROUND((INDEX($E585:$G585,AM$5)-SUMIFS(TF_Timer,TF_Tekniker,AM$4,TF_Dato,$A585))*2,0)/2)))</f>
        <v/>
      </c>
      <c r="AN585">
        <f>IF(OR(AN$4="",$A585&gt;TODAY()),0,IF(OR(INDEX($B585:$D585,AN$5)="F",AND(AN$6&gt;0,$A585&lt;AN$6),AND(AN$7&gt;0,$A585&gt;AN$7)),0,MAX(0,ROUND((INDEX($E585:$G585,AN$5)-SUMIFS(TF_Timer,TF_Tekniker,AN$4,TF_Dato,$A585))*2,0)/2)))</f>
        <v/>
      </c>
      <c r="AO585">
        <f>IF(OR(AO$4="",$A585&gt;TODAY()),0,IF(OR(INDEX($B585:$D585,AO$5)="F",AND(AO$6&gt;0,$A585&lt;AO$6),AND(AO$7&gt;0,$A585&gt;AO$7)),0,MAX(0,ROUND((INDEX($E585:$G585,AO$5)-SUMIFS(TF_Timer,TF_Tekniker,AO$4,TF_Dato,$A585))*2,0)/2)))</f>
        <v/>
      </c>
      <c r="AP585">
        <f>IF(OR(AP$4="",$A585&gt;TODAY()),0,IF(OR(INDEX($B585:$D585,AP$5)="F",AND(AP$6&gt;0,$A585&lt;AP$6),AND(AP$7&gt;0,$A585&gt;AP$7)),0,MAX(0,ROUND((INDEX($E585:$G585,AP$5)-SUMIFS(TF_Timer,TF_Tekniker,AP$4,TF_Dato,$A585))*2,0)/2)))</f>
        <v/>
      </c>
      <c r="AQ585">
        <f>IF(OR(AQ$4="",$A585&gt;TODAY()),0,IF(OR(INDEX($B585:$D585,AQ$5)="F",AND(AQ$6&gt;0,$A585&lt;AQ$6),AND(AQ$7&gt;0,$A585&gt;AQ$7)),0,MAX(0,ROUND((INDEX($E585:$G585,AQ$5)-SUMIFS(TF_Timer,TF_Tekniker,AQ$4,TF_Dato,$A585))*2,0)/2)))</f>
        <v/>
      </c>
      <c r="AR585">
        <f>IF(OR(AR$4="",$A585&gt;TODAY()),0,IF(OR(INDEX($B585:$D585,AR$5)="F",AND(AR$6&gt;0,$A585&lt;AR$6),AND(AR$7&gt;0,$A585&gt;AR$7)),0,MAX(0,ROUND((INDEX($E585:$G585,AR$5)-SUMIFS(TF_Timer,TF_Tekniker,AR$4,TF_Dato,$A585))*2,0)/2)))</f>
        <v/>
      </c>
      <c r="AS585">
        <f>IF(OR(AS$4="",$A585&gt;TODAY()),0,IF(OR(INDEX($B585:$D585,AS$5)="F",AND(AS$6&gt;0,$A585&lt;AS$6),AND(AS$7&gt;0,$A585&gt;AS$7)),0,MAX(0,ROUND((INDEX($E585:$G585,AS$5)-SUMIFS(TF_Timer,TF_Tekniker,AS$4,TF_Dato,$A585))*2,0)/2)))</f>
        <v/>
      </c>
      <c r="AT585">
        <f>IF(OR(AT$4="",$A585&gt;TODAY()),0,IF(OR(INDEX($B585:$D585,AT$5)="F",AND(AT$6&gt;0,$A585&lt;AT$6),AND(AT$7&gt;0,$A585&gt;AT$7)),0,MAX(0,ROUND((INDEX($E585:$G585,AT$5)-SUMIFS(TF_Timer,TF_Tekniker,AT$4,TF_Dato,$A585))*2,0)/2)))</f>
        <v/>
      </c>
      <c r="AU585">
        <f>IF(OR(AU$4="",$A585&gt;TODAY()),0,IF(OR(INDEX($B585:$D585,AU$5)="F",AND(AU$6&gt;0,$A585&lt;AU$6),AND(AU$7&gt;0,$A585&gt;AU$7)),0,MAX(0,ROUND((INDEX($E585:$G585,AU$5)-SUMIFS(TF_Timer,TF_Tekniker,AU$4,TF_Dato,$A585))*2,0)/2)))</f>
        <v/>
      </c>
      <c r="AV585">
        <f>IF(OR(AV$4="",$A585&gt;TODAY()),0,IF(OR(INDEX($B585:$D585,AV$5)="F",AND(AV$6&gt;0,$A585&lt;AV$6),AND(AV$7&gt;0,$A585&gt;AV$7)),0,MAX(0,ROUND((INDEX($E585:$G585,AV$5)-SUMIFS(TF_Timer,TF_Tekniker,AV$4,TF_Dato,$A585))*2,0)/2)))</f>
        <v/>
      </c>
      <c r="AW585">
        <f>IF(OR(AW$4="",$A585&gt;TODAY()),0,IF(OR(INDEX($B585:$D585,AW$5)="F",AND(AW$6&gt;0,$A585&lt;AW$6),AND(AW$7&gt;0,$A585&gt;AW$7)),0,MAX(0,ROUND((INDEX($E585:$G585,AW$5)-SUMIFS(TF_Timer,TF_Tekniker,AW$4,TF_Dato,$A585))*2,0)/2)))</f>
        <v/>
      </c>
      <c r="AX585">
        <f>IF(OR(AX$4="",$A585&gt;TODAY()),0,IF(OR(INDEX($B585:$D585,AX$5)="F",AND(AX$6&gt;0,$A585&lt;AX$6),AND(AX$7&gt;0,$A585&gt;AX$7)),0,MAX(0,ROUND((INDEX($E585:$G585,AX$5)-SUMIFS(TF_Timer,TF_Tekniker,AX$4,TF_Dato,$A585))*2,0)/2)))</f>
        <v/>
      </c>
      <c r="AY585">
        <f>IF(OR(AY$4="",$A585&gt;TODAY()),0,IF(OR(INDEX($B585:$D585,AY$5)="F",AND(AY$6&gt;0,$A585&lt;AY$6),AND(AY$7&gt;0,$A585&gt;AY$7)),0,MAX(0,ROUND((INDEX($E585:$G585,AY$5)-SUMIFS(TF_Timer,TF_Tekniker,AY$4,TF_Dato,$A585))*2,0)/2)))</f>
        <v/>
      </c>
      <c r="AZ585">
        <f>IF(OR(AZ$4="",$A585&gt;TODAY()),0,IF(OR(INDEX($B585:$D585,AZ$5)="F",AND(AZ$6&gt;0,$A585&lt;AZ$6),AND(AZ$7&gt;0,$A585&gt;AZ$7)),0,MAX(0,ROUND((INDEX($E585:$G585,AZ$5)-SUMIFS(TF_Timer,TF_Tekniker,AZ$4,TF_Dato,$A585))*2,0)/2)))</f>
        <v/>
      </c>
      <c r="BA585">
        <f>IF(OR(BA$4="",$A585&gt;TODAY()),0,IF(OR(INDEX($B585:$D585,BA$5)="F",AND(BA$6&gt;0,$A585&lt;BA$6),AND(BA$7&gt;0,$A585&gt;BA$7)),0,MAX(0,ROUND((INDEX($E585:$G585,BA$5)-SUMIFS(TF_Timer,TF_Tekniker,BA$4,TF_Dato,$A585))*2,0)/2)))</f>
        <v/>
      </c>
      <c r="BB585">
        <f>IF(OR(BB$4="",$A585&gt;TODAY()),0,IF(OR(INDEX($B585:$D585,BB$5)="F",AND(BB$6&gt;0,$A585&lt;BB$6),AND(BB$7&gt;0,$A585&gt;BB$7)),0,MAX(0,ROUND((INDEX($E585:$G585,BB$5)-SUMIFS(TF_Timer,TF_Tekniker,BB$4,TF_Dato,$A585))*2,0)/2)))</f>
        <v/>
      </c>
      <c r="BC585">
        <f>IF(OR(BC$4="",$A585&gt;TODAY()),0,IF(OR(INDEX($B585:$D585,BC$5)="F",AND(BC$6&gt;0,$A585&lt;BC$6),AND(BC$7&gt;0,$A585&gt;BC$7)),0,MAX(0,ROUND((INDEX($E585:$G585,BC$5)-SUMIFS(TF_Timer,TF_Tekniker,BC$4,TF_Dato,$A585))*2,0)/2)))</f>
        <v/>
      </c>
      <c r="BD585">
        <f>IF(OR(BD$4="",$A585&gt;TODAY()),0,IF(OR(INDEX($B585:$D585,BD$5)="F",AND(BD$6&gt;0,$A585&lt;BD$6),AND(BD$7&gt;0,$A585&gt;BD$7)),0,MAX(0,ROUND((INDEX($E585:$G585,BD$5)-SUMIFS(TF_Timer,TF_Tekniker,BD$4,TF_Dato,$A585))*2,0)/2)))</f>
        <v/>
      </c>
      <c r="BE585">
        <f>IF(OR(BE$4="",$A585&gt;TODAY()),0,IF(OR(INDEX($B585:$D585,BE$5)="F",AND(BE$6&gt;0,$A585&lt;BE$6),AND(BE$7&gt;0,$A585&gt;BE$7)),0,MAX(0,ROUND((INDEX($E585:$G585,BE$5)-SUMIFS(TF_Timer,TF_Tekniker,BE$4,TF_Dato,$A585))*2,0)/2)))</f>
        <v/>
      </c>
      <c r="BF585">
        <f>IF(OR(BF$4="",$A585&gt;TODAY()),0,IF(OR(INDEX($B585:$D585,BF$5)="F",AND(BF$6&gt;0,$A585&lt;BF$6),AND(BF$7&gt;0,$A585&gt;BF$7)),0,MAX(0,ROUND((INDEX($E585:$G585,BF$5)-SUMIFS(TF_Timer,TF_Tekniker,BF$4,TF_Dato,$A585))*2,0)/2)))</f>
        <v/>
      </c>
      <c r="BG585">
        <f>IF(OR(BG$4="",$A585&gt;TODAY()),0,IF(OR(INDEX($B585:$D585,BG$5)="F",AND(BG$6&gt;0,$A585&lt;BG$6),AND(BG$7&gt;0,$A585&gt;BG$7)),0,MAX(0,ROUND((INDEX($E585:$G585,BG$5)-SUMIFS(TF_Timer,TF_Tekniker,BG$4,TF_Dato,$A585))*2,0)/2)))</f>
        <v/>
      </c>
      <c r="BH585">
        <f>IF(OR(BH$4="",$A585&gt;TODAY()),0,IF(OR(INDEX($B585:$D585,BH$5)="F",AND(BH$6&gt;0,$A585&lt;BH$6),AND(BH$7&gt;0,$A585&gt;BH$7)),0,MAX(0,ROUND((INDEX($E585:$G585,BH$5)-SUMIFS(TF_Timer,TF_Tekniker,BH$4,TF_Dato,$A585))*2,0)/2)))</f>
        <v/>
      </c>
      <c r="BI585">
        <f>IF(OR(BI$4="",$A585&gt;TODAY()),0,IF(OR(INDEX($B585:$D585,BI$5)="F",AND(BI$6&gt;0,$A585&lt;BI$6),AND(BI$7&gt;0,$A585&gt;BI$7)),0,MAX(0,ROUND((INDEX($E585:$G585,BI$5)-SUMIFS(TF_Timer,TF_Tekniker,BI$4,TF_Dato,$A585))*2,0)/2)))</f>
        <v/>
      </c>
    </row>
    <row r="586">
      <c r="A586" s="64">
        <f>A585+1</f>
        <v/>
      </c>
      <c r="B586">
        <f>IF(MOD($A586-INDEX(SkiftStart,1),Syklus)&lt;DagK,"K",IF(MOD($A586-INDEX(SkiftStart,1),Syklus)&lt;DagK+DagH,"H",IF(MOD($A586-INDEX(SkiftStart,1),Syklus)&lt;DagK+DagH+DagD,"D","F")))</f>
        <v/>
      </c>
      <c r="C586">
        <f>IF(MOD($A586-INDEX(SkiftStart,2),Syklus)&lt;DagK,"K",IF(MOD($A586-INDEX(SkiftStart,2),Syklus)&lt;DagK+DagH,"H",IF(MOD($A586-INDEX(SkiftStart,2),Syklus)&lt;DagK+DagH+DagD,"D","F")))</f>
        <v/>
      </c>
      <c r="D586">
        <f>IF(MOD($A586-INDEX(SkiftStart,3),Syklus)&lt;DagK,"K",IF(MOD($A586-INDEX(SkiftStart,3),Syklus)&lt;DagK+DagH,"H",IF(MOD($A586-INDEX(SkiftStart,3),Syklus)&lt;DagK+DagH+DagD,"D","F")))</f>
        <v/>
      </c>
      <c r="E586">
        <f>IF(B586="F",0,IF(WEEKDAY($A586,2)=5,INDEX(TimerFr,MATCH(B586,FaseKode,0)),INDEX(TimerMT,MATCH(B586,FaseKode,0))))</f>
        <v/>
      </c>
      <c r="F586">
        <f>IF(C586="F",0,IF(WEEKDAY($A586,2)=5,INDEX(TimerFr,MATCH(C586,FaseKode,0)),INDEX(TimerMT,MATCH(C586,FaseKode,0))))</f>
        <v/>
      </c>
      <c r="G586">
        <f>IF(D586="F",0,IF(WEEKDAY($A586,2)=5,INDEX(TimerFr,MATCH(D586,FaseKode,0)),INDEX(TimerMT,MATCH(D586,FaseKode,0))))</f>
        <v/>
      </c>
      <c r="H586">
        <f>IF(OR(H$4="",$A586&gt;TODAY()),0,IF(OR(INDEX($B586:$D586,H$5)="F",AND(H$6&gt;0,$A586&lt;H$6),AND(H$7&gt;0,$A586&gt;H$7)),0,MAX(0,ROUND((INDEX($E586:$G586,H$5)-SUMIFS(TF_Timer,TF_Tekniker,H$4,TF_Dato,$A586))*2,0)/2)))</f>
        <v/>
      </c>
      <c r="I586">
        <f>IF(OR(I$4="",$A586&gt;TODAY()),0,IF(OR(INDEX($B586:$D586,I$5)="F",AND(I$6&gt;0,$A586&lt;I$6),AND(I$7&gt;0,$A586&gt;I$7)),0,MAX(0,ROUND((INDEX($E586:$G586,I$5)-SUMIFS(TF_Timer,TF_Tekniker,I$4,TF_Dato,$A586))*2,0)/2)))</f>
        <v/>
      </c>
      <c r="J586">
        <f>IF(OR(J$4="",$A586&gt;TODAY()),0,IF(OR(INDEX($B586:$D586,J$5)="F",AND(J$6&gt;0,$A586&lt;J$6),AND(J$7&gt;0,$A586&gt;J$7)),0,MAX(0,ROUND((INDEX($E586:$G586,J$5)-SUMIFS(TF_Timer,TF_Tekniker,J$4,TF_Dato,$A586))*2,0)/2)))</f>
        <v/>
      </c>
      <c r="K586">
        <f>IF(OR(K$4="",$A586&gt;TODAY()),0,IF(OR(INDEX($B586:$D586,K$5)="F",AND(K$6&gt;0,$A586&lt;K$6),AND(K$7&gt;0,$A586&gt;K$7)),0,MAX(0,ROUND((INDEX($E586:$G586,K$5)-SUMIFS(TF_Timer,TF_Tekniker,K$4,TF_Dato,$A586))*2,0)/2)))</f>
        <v/>
      </c>
      <c r="L586">
        <f>IF(OR(L$4="",$A586&gt;TODAY()),0,IF(OR(INDEX($B586:$D586,L$5)="F",AND(L$6&gt;0,$A586&lt;L$6),AND(L$7&gt;0,$A586&gt;L$7)),0,MAX(0,ROUND((INDEX($E586:$G586,L$5)-SUMIFS(TF_Timer,TF_Tekniker,L$4,TF_Dato,$A586))*2,0)/2)))</f>
        <v/>
      </c>
      <c r="M586">
        <f>IF(OR(M$4="",$A586&gt;TODAY()),0,IF(OR(INDEX($B586:$D586,M$5)="F",AND(M$6&gt;0,$A586&lt;M$6),AND(M$7&gt;0,$A586&gt;M$7)),0,MAX(0,ROUND((INDEX($E586:$G586,M$5)-SUMIFS(TF_Timer,TF_Tekniker,M$4,TF_Dato,$A586))*2,0)/2)))</f>
        <v/>
      </c>
      <c r="N586">
        <f>IF(OR(N$4="",$A586&gt;TODAY()),0,IF(OR(INDEX($B586:$D586,N$5)="F",AND(N$6&gt;0,$A586&lt;N$6),AND(N$7&gt;0,$A586&gt;N$7)),0,MAX(0,ROUND((INDEX($E586:$G586,N$5)-SUMIFS(TF_Timer,TF_Tekniker,N$4,TF_Dato,$A586))*2,0)/2)))</f>
        <v/>
      </c>
      <c r="O586">
        <f>IF(OR(O$4="",$A586&gt;TODAY()),0,IF(OR(INDEX($B586:$D586,O$5)="F",AND(O$6&gt;0,$A586&lt;O$6),AND(O$7&gt;0,$A586&gt;O$7)),0,MAX(0,ROUND((INDEX($E586:$G586,O$5)-SUMIFS(TF_Timer,TF_Tekniker,O$4,TF_Dato,$A586))*2,0)/2)))</f>
        <v/>
      </c>
      <c r="P586">
        <f>IF(OR(P$4="",$A586&gt;TODAY()),0,IF(OR(INDEX($B586:$D586,P$5)="F",AND(P$6&gt;0,$A586&lt;P$6),AND(P$7&gt;0,$A586&gt;P$7)),0,MAX(0,ROUND((INDEX($E586:$G586,P$5)-SUMIFS(TF_Timer,TF_Tekniker,P$4,TF_Dato,$A586))*2,0)/2)))</f>
        <v/>
      </c>
      <c r="Q586">
        <f>IF(OR(Q$4="",$A586&gt;TODAY()),0,IF(OR(INDEX($B586:$D586,Q$5)="F",AND(Q$6&gt;0,$A586&lt;Q$6),AND(Q$7&gt;0,$A586&gt;Q$7)),0,MAX(0,ROUND((INDEX($E586:$G586,Q$5)-SUMIFS(TF_Timer,TF_Tekniker,Q$4,TF_Dato,$A586))*2,0)/2)))</f>
        <v/>
      </c>
      <c r="R586">
        <f>IF(OR(R$4="",$A586&gt;TODAY()),0,IF(OR(INDEX($B586:$D586,R$5)="F",AND(R$6&gt;0,$A586&lt;R$6),AND(R$7&gt;0,$A586&gt;R$7)),0,MAX(0,ROUND((INDEX($E586:$G586,R$5)-SUMIFS(TF_Timer,TF_Tekniker,R$4,TF_Dato,$A586))*2,0)/2)))</f>
        <v/>
      </c>
      <c r="S586">
        <f>IF(OR(S$4="",$A586&gt;TODAY()),0,IF(OR(INDEX($B586:$D586,S$5)="F",AND(S$6&gt;0,$A586&lt;S$6),AND(S$7&gt;0,$A586&gt;S$7)),0,MAX(0,ROUND((INDEX($E586:$G586,S$5)-SUMIFS(TF_Timer,TF_Tekniker,S$4,TF_Dato,$A586))*2,0)/2)))</f>
        <v/>
      </c>
      <c r="T586">
        <f>IF(OR(T$4="",$A586&gt;TODAY()),0,IF(OR(INDEX($B586:$D586,T$5)="F",AND(T$6&gt;0,$A586&lt;T$6),AND(T$7&gt;0,$A586&gt;T$7)),0,MAX(0,ROUND((INDEX($E586:$G586,T$5)-SUMIFS(TF_Timer,TF_Tekniker,T$4,TF_Dato,$A586))*2,0)/2)))</f>
        <v/>
      </c>
      <c r="U586">
        <f>IF(OR(U$4="",$A586&gt;TODAY()),0,IF(OR(INDEX($B586:$D586,U$5)="F",AND(U$6&gt;0,$A586&lt;U$6),AND(U$7&gt;0,$A586&gt;U$7)),0,MAX(0,ROUND((INDEX($E586:$G586,U$5)-SUMIFS(TF_Timer,TF_Tekniker,U$4,TF_Dato,$A586))*2,0)/2)))</f>
        <v/>
      </c>
      <c r="V586">
        <f>IF(OR(V$4="",$A586&gt;TODAY()),0,IF(OR(INDEX($B586:$D586,V$5)="F",AND(V$6&gt;0,$A586&lt;V$6),AND(V$7&gt;0,$A586&gt;V$7)),0,MAX(0,ROUND((INDEX($E586:$G586,V$5)-SUMIFS(TF_Timer,TF_Tekniker,V$4,TF_Dato,$A586))*2,0)/2)))</f>
        <v/>
      </c>
      <c r="W586">
        <f>IF(OR(W$4="",$A586&gt;TODAY()),0,IF(OR(INDEX($B586:$D586,W$5)="F",AND(W$6&gt;0,$A586&lt;W$6),AND(W$7&gt;0,$A586&gt;W$7)),0,MAX(0,ROUND((INDEX($E586:$G586,W$5)-SUMIFS(TF_Timer,TF_Tekniker,W$4,TF_Dato,$A586))*2,0)/2)))</f>
        <v/>
      </c>
      <c r="X586">
        <f>IF(OR(X$4="",$A586&gt;TODAY()),0,IF(OR(INDEX($B586:$D586,X$5)="F",AND(X$6&gt;0,$A586&lt;X$6),AND(X$7&gt;0,$A586&gt;X$7)),0,MAX(0,ROUND((INDEX($E586:$G586,X$5)-SUMIFS(TF_Timer,TF_Tekniker,X$4,TF_Dato,$A586))*2,0)/2)))</f>
        <v/>
      </c>
      <c r="Y586">
        <f>IF(OR(Y$4="",$A586&gt;TODAY()),0,IF(OR(INDEX($B586:$D586,Y$5)="F",AND(Y$6&gt;0,$A586&lt;Y$6),AND(Y$7&gt;0,$A586&gt;Y$7)),0,MAX(0,ROUND((INDEX($E586:$G586,Y$5)-SUMIFS(TF_Timer,TF_Tekniker,Y$4,TF_Dato,$A586))*2,0)/2)))</f>
        <v/>
      </c>
      <c r="Z586">
        <f>IF(OR(Z$4="",$A586&gt;TODAY()),0,IF(OR(INDEX($B586:$D586,Z$5)="F",AND(Z$6&gt;0,$A586&lt;Z$6),AND(Z$7&gt;0,$A586&gt;Z$7)),0,MAX(0,ROUND((INDEX($E586:$G586,Z$5)-SUMIFS(TF_Timer,TF_Tekniker,Z$4,TF_Dato,$A586))*2,0)/2)))</f>
        <v/>
      </c>
      <c r="AA586">
        <f>IF(OR(AA$4="",$A586&gt;TODAY()),0,IF(OR(INDEX($B586:$D586,AA$5)="F",AND(AA$6&gt;0,$A586&lt;AA$6),AND(AA$7&gt;0,$A586&gt;AA$7)),0,MAX(0,ROUND((INDEX($E586:$G586,AA$5)-SUMIFS(TF_Timer,TF_Tekniker,AA$4,TF_Dato,$A586))*2,0)/2)))</f>
        <v/>
      </c>
      <c r="AB586">
        <f>IF(OR(AB$4="",$A586&gt;TODAY()),0,IF(OR(INDEX($B586:$D586,AB$5)="F",AND(AB$6&gt;0,$A586&lt;AB$6),AND(AB$7&gt;0,$A586&gt;AB$7)),0,MAX(0,ROUND((INDEX($E586:$G586,AB$5)-SUMIFS(TF_Timer,TF_Tekniker,AB$4,TF_Dato,$A586))*2,0)/2)))</f>
        <v/>
      </c>
      <c r="AC586">
        <f>IF(OR(AC$4="",$A586&gt;TODAY()),0,IF(OR(INDEX($B586:$D586,AC$5)="F",AND(AC$6&gt;0,$A586&lt;AC$6),AND(AC$7&gt;0,$A586&gt;AC$7)),0,MAX(0,ROUND((INDEX($E586:$G586,AC$5)-SUMIFS(TF_Timer,TF_Tekniker,AC$4,TF_Dato,$A586))*2,0)/2)))</f>
        <v/>
      </c>
      <c r="AD586">
        <f>IF(OR(AD$4="",$A586&gt;TODAY()),0,IF(OR(INDEX($B586:$D586,AD$5)="F",AND(AD$6&gt;0,$A586&lt;AD$6),AND(AD$7&gt;0,$A586&gt;AD$7)),0,MAX(0,ROUND((INDEX($E586:$G586,AD$5)-SUMIFS(TF_Timer,TF_Tekniker,AD$4,TF_Dato,$A586))*2,0)/2)))</f>
        <v/>
      </c>
      <c r="AE586">
        <f>IF(OR(AE$4="",$A586&gt;TODAY()),0,IF(OR(INDEX($B586:$D586,AE$5)="F",AND(AE$6&gt;0,$A586&lt;AE$6),AND(AE$7&gt;0,$A586&gt;AE$7)),0,MAX(0,ROUND((INDEX($E586:$G586,AE$5)-SUMIFS(TF_Timer,TF_Tekniker,AE$4,TF_Dato,$A586))*2,0)/2)))</f>
        <v/>
      </c>
      <c r="AF586">
        <f>IF(OR(AF$4="",$A586&gt;TODAY()),0,IF(OR(INDEX($B586:$D586,AF$5)="F",AND(AF$6&gt;0,$A586&lt;AF$6),AND(AF$7&gt;0,$A586&gt;AF$7)),0,MAX(0,ROUND((INDEX($E586:$G586,AF$5)-SUMIFS(TF_Timer,TF_Tekniker,AF$4,TF_Dato,$A586))*2,0)/2)))</f>
        <v/>
      </c>
      <c r="AG586">
        <f>IF(OR(AG$4="",$A586&gt;TODAY()),0,IF(OR(INDEX($B586:$D586,AG$5)="F",AND(AG$6&gt;0,$A586&lt;AG$6),AND(AG$7&gt;0,$A586&gt;AG$7)),0,MAX(0,ROUND((INDEX($E586:$G586,AG$5)-SUMIFS(TF_Timer,TF_Tekniker,AG$4,TF_Dato,$A586))*2,0)/2)))</f>
        <v/>
      </c>
      <c r="AH586">
        <f>IF(OR(AH$4="",$A586&gt;TODAY()),0,IF(OR(INDEX($B586:$D586,AH$5)="F",AND(AH$6&gt;0,$A586&lt;AH$6),AND(AH$7&gt;0,$A586&gt;AH$7)),0,MAX(0,ROUND((INDEX($E586:$G586,AH$5)-SUMIFS(TF_Timer,TF_Tekniker,AH$4,TF_Dato,$A586))*2,0)/2)))</f>
        <v/>
      </c>
      <c r="AI586">
        <f>IF(OR(AI$4="",$A586&gt;TODAY()),0,IF(OR(INDEX($B586:$D586,AI$5)="F",AND(AI$6&gt;0,$A586&lt;AI$6),AND(AI$7&gt;0,$A586&gt;AI$7)),0,MAX(0,ROUND((INDEX($E586:$G586,AI$5)-SUMIFS(TF_Timer,TF_Tekniker,AI$4,TF_Dato,$A586))*2,0)/2)))</f>
        <v/>
      </c>
      <c r="AJ586">
        <f>IF(OR(AJ$4="",$A586&gt;TODAY()),0,IF(OR(INDEX($B586:$D586,AJ$5)="F",AND(AJ$6&gt;0,$A586&lt;AJ$6),AND(AJ$7&gt;0,$A586&gt;AJ$7)),0,MAX(0,ROUND((INDEX($E586:$G586,AJ$5)-SUMIFS(TF_Timer,TF_Tekniker,AJ$4,TF_Dato,$A586))*2,0)/2)))</f>
        <v/>
      </c>
      <c r="AK586">
        <f>IF(OR(AK$4="",$A586&gt;TODAY()),0,IF(OR(INDEX($B586:$D586,AK$5)="F",AND(AK$6&gt;0,$A586&lt;AK$6),AND(AK$7&gt;0,$A586&gt;AK$7)),0,MAX(0,ROUND((INDEX($E586:$G586,AK$5)-SUMIFS(TF_Timer,TF_Tekniker,AK$4,TF_Dato,$A586))*2,0)/2)))</f>
        <v/>
      </c>
      <c r="AL586">
        <f>IF(OR(AL$4="",$A586&gt;TODAY()),0,IF(OR(INDEX($B586:$D586,AL$5)="F",AND(AL$6&gt;0,$A586&lt;AL$6),AND(AL$7&gt;0,$A586&gt;AL$7)),0,MAX(0,ROUND((INDEX($E586:$G586,AL$5)-SUMIFS(TF_Timer,TF_Tekniker,AL$4,TF_Dato,$A586))*2,0)/2)))</f>
        <v/>
      </c>
      <c r="AM586">
        <f>IF(OR(AM$4="",$A586&gt;TODAY()),0,IF(OR(INDEX($B586:$D586,AM$5)="F",AND(AM$6&gt;0,$A586&lt;AM$6),AND(AM$7&gt;0,$A586&gt;AM$7)),0,MAX(0,ROUND((INDEX($E586:$G586,AM$5)-SUMIFS(TF_Timer,TF_Tekniker,AM$4,TF_Dato,$A586))*2,0)/2)))</f>
        <v/>
      </c>
      <c r="AN586">
        <f>IF(OR(AN$4="",$A586&gt;TODAY()),0,IF(OR(INDEX($B586:$D586,AN$5)="F",AND(AN$6&gt;0,$A586&lt;AN$6),AND(AN$7&gt;0,$A586&gt;AN$7)),0,MAX(0,ROUND((INDEX($E586:$G586,AN$5)-SUMIFS(TF_Timer,TF_Tekniker,AN$4,TF_Dato,$A586))*2,0)/2)))</f>
        <v/>
      </c>
      <c r="AO586">
        <f>IF(OR(AO$4="",$A586&gt;TODAY()),0,IF(OR(INDEX($B586:$D586,AO$5)="F",AND(AO$6&gt;0,$A586&lt;AO$6),AND(AO$7&gt;0,$A586&gt;AO$7)),0,MAX(0,ROUND((INDEX($E586:$G586,AO$5)-SUMIFS(TF_Timer,TF_Tekniker,AO$4,TF_Dato,$A586))*2,0)/2)))</f>
        <v/>
      </c>
      <c r="AP586">
        <f>IF(OR(AP$4="",$A586&gt;TODAY()),0,IF(OR(INDEX($B586:$D586,AP$5)="F",AND(AP$6&gt;0,$A586&lt;AP$6),AND(AP$7&gt;0,$A586&gt;AP$7)),0,MAX(0,ROUND((INDEX($E586:$G586,AP$5)-SUMIFS(TF_Timer,TF_Tekniker,AP$4,TF_Dato,$A586))*2,0)/2)))</f>
        <v/>
      </c>
      <c r="AQ586">
        <f>IF(OR(AQ$4="",$A586&gt;TODAY()),0,IF(OR(INDEX($B586:$D586,AQ$5)="F",AND(AQ$6&gt;0,$A586&lt;AQ$6),AND(AQ$7&gt;0,$A586&gt;AQ$7)),0,MAX(0,ROUND((INDEX($E586:$G586,AQ$5)-SUMIFS(TF_Timer,TF_Tekniker,AQ$4,TF_Dato,$A586))*2,0)/2)))</f>
        <v/>
      </c>
      <c r="AR586">
        <f>IF(OR(AR$4="",$A586&gt;TODAY()),0,IF(OR(INDEX($B586:$D586,AR$5)="F",AND(AR$6&gt;0,$A586&lt;AR$6),AND(AR$7&gt;0,$A586&gt;AR$7)),0,MAX(0,ROUND((INDEX($E586:$G586,AR$5)-SUMIFS(TF_Timer,TF_Tekniker,AR$4,TF_Dato,$A586))*2,0)/2)))</f>
        <v/>
      </c>
      <c r="AS586">
        <f>IF(OR(AS$4="",$A586&gt;TODAY()),0,IF(OR(INDEX($B586:$D586,AS$5)="F",AND(AS$6&gt;0,$A586&lt;AS$6),AND(AS$7&gt;0,$A586&gt;AS$7)),0,MAX(0,ROUND((INDEX($E586:$G586,AS$5)-SUMIFS(TF_Timer,TF_Tekniker,AS$4,TF_Dato,$A586))*2,0)/2)))</f>
        <v/>
      </c>
      <c r="AT586">
        <f>IF(OR(AT$4="",$A586&gt;TODAY()),0,IF(OR(INDEX($B586:$D586,AT$5)="F",AND(AT$6&gt;0,$A586&lt;AT$6),AND(AT$7&gt;0,$A586&gt;AT$7)),0,MAX(0,ROUND((INDEX($E586:$G586,AT$5)-SUMIFS(TF_Timer,TF_Tekniker,AT$4,TF_Dato,$A586))*2,0)/2)))</f>
        <v/>
      </c>
      <c r="AU586">
        <f>IF(OR(AU$4="",$A586&gt;TODAY()),0,IF(OR(INDEX($B586:$D586,AU$5)="F",AND(AU$6&gt;0,$A586&lt;AU$6),AND(AU$7&gt;0,$A586&gt;AU$7)),0,MAX(0,ROUND((INDEX($E586:$G586,AU$5)-SUMIFS(TF_Timer,TF_Tekniker,AU$4,TF_Dato,$A586))*2,0)/2)))</f>
        <v/>
      </c>
      <c r="AV586">
        <f>IF(OR(AV$4="",$A586&gt;TODAY()),0,IF(OR(INDEX($B586:$D586,AV$5)="F",AND(AV$6&gt;0,$A586&lt;AV$6),AND(AV$7&gt;0,$A586&gt;AV$7)),0,MAX(0,ROUND((INDEX($E586:$G586,AV$5)-SUMIFS(TF_Timer,TF_Tekniker,AV$4,TF_Dato,$A586))*2,0)/2)))</f>
        <v/>
      </c>
      <c r="AW586">
        <f>IF(OR(AW$4="",$A586&gt;TODAY()),0,IF(OR(INDEX($B586:$D586,AW$5)="F",AND(AW$6&gt;0,$A586&lt;AW$6),AND(AW$7&gt;0,$A586&gt;AW$7)),0,MAX(0,ROUND((INDEX($E586:$G586,AW$5)-SUMIFS(TF_Timer,TF_Tekniker,AW$4,TF_Dato,$A586))*2,0)/2)))</f>
        <v/>
      </c>
      <c r="AX586">
        <f>IF(OR(AX$4="",$A586&gt;TODAY()),0,IF(OR(INDEX($B586:$D586,AX$5)="F",AND(AX$6&gt;0,$A586&lt;AX$6),AND(AX$7&gt;0,$A586&gt;AX$7)),0,MAX(0,ROUND((INDEX($E586:$G586,AX$5)-SUMIFS(TF_Timer,TF_Tekniker,AX$4,TF_Dato,$A586))*2,0)/2)))</f>
        <v/>
      </c>
      <c r="AY586">
        <f>IF(OR(AY$4="",$A586&gt;TODAY()),0,IF(OR(INDEX($B586:$D586,AY$5)="F",AND(AY$6&gt;0,$A586&lt;AY$6),AND(AY$7&gt;0,$A586&gt;AY$7)),0,MAX(0,ROUND((INDEX($E586:$G586,AY$5)-SUMIFS(TF_Timer,TF_Tekniker,AY$4,TF_Dato,$A586))*2,0)/2)))</f>
        <v/>
      </c>
      <c r="AZ586">
        <f>IF(OR(AZ$4="",$A586&gt;TODAY()),0,IF(OR(INDEX($B586:$D586,AZ$5)="F",AND(AZ$6&gt;0,$A586&lt;AZ$6),AND(AZ$7&gt;0,$A586&gt;AZ$7)),0,MAX(0,ROUND((INDEX($E586:$G586,AZ$5)-SUMIFS(TF_Timer,TF_Tekniker,AZ$4,TF_Dato,$A586))*2,0)/2)))</f>
        <v/>
      </c>
      <c r="BA586">
        <f>IF(OR(BA$4="",$A586&gt;TODAY()),0,IF(OR(INDEX($B586:$D586,BA$5)="F",AND(BA$6&gt;0,$A586&lt;BA$6),AND(BA$7&gt;0,$A586&gt;BA$7)),0,MAX(0,ROUND((INDEX($E586:$G586,BA$5)-SUMIFS(TF_Timer,TF_Tekniker,BA$4,TF_Dato,$A586))*2,0)/2)))</f>
        <v/>
      </c>
      <c r="BB586">
        <f>IF(OR(BB$4="",$A586&gt;TODAY()),0,IF(OR(INDEX($B586:$D586,BB$5)="F",AND(BB$6&gt;0,$A586&lt;BB$6),AND(BB$7&gt;0,$A586&gt;BB$7)),0,MAX(0,ROUND((INDEX($E586:$G586,BB$5)-SUMIFS(TF_Timer,TF_Tekniker,BB$4,TF_Dato,$A586))*2,0)/2)))</f>
        <v/>
      </c>
      <c r="BC586">
        <f>IF(OR(BC$4="",$A586&gt;TODAY()),0,IF(OR(INDEX($B586:$D586,BC$5)="F",AND(BC$6&gt;0,$A586&lt;BC$6),AND(BC$7&gt;0,$A586&gt;BC$7)),0,MAX(0,ROUND((INDEX($E586:$G586,BC$5)-SUMIFS(TF_Timer,TF_Tekniker,BC$4,TF_Dato,$A586))*2,0)/2)))</f>
        <v/>
      </c>
      <c r="BD586">
        <f>IF(OR(BD$4="",$A586&gt;TODAY()),0,IF(OR(INDEX($B586:$D586,BD$5)="F",AND(BD$6&gt;0,$A586&lt;BD$6),AND(BD$7&gt;0,$A586&gt;BD$7)),0,MAX(0,ROUND((INDEX($E586:$G586,BD$5)-SUMIFS(TF_Timer,TF_Tekniker,BD$4,TF_Dato,$A586))*2,0)/2)))</f>
        <v/>
      </c>
      <c r="BE586">
        <f>IF(OR(BE$4="",$A586&gt;TODAY()),0,IF(OR(INDEX($B586:$D586,BE$5)="F",AND(BE$6&gt;0,$A586&lt;BE$6),AND(BE$7&gt;0,$A586&gt;BE$7)),0,MAX(0,ROUND((INDEX($E586:$G586,BE$5)-SUMIFS(TF_Timer,TF_Tekniker,BE$4,TF_Dato,$A586))*2,0)/2)))</f>
        <v/>
      </c>
      <c r="BF586">
        <f>IF(OR(BF$4="",$A586&gt;TODAY()),0,IF(OR(INDEX($B586:$D586,BF$5)="F",AND(BF$6&gt;0,$A586&lt;BF$6),AND(BF$7&gt;0,$A586&gt;BF$7)),0,MAX(0,ROUND((INDEX($E586:$G586,BF$5)-SUMIFS(TF_Timer,TF_Tekniker,BF$4,TF_Dato,$A586))*2,0)/2)))</f>
        <v/>
      </c>
      <c r="BG586">
        <f>IF(OR(BG$4="",$A586&gt;TODAY()),0,IF(OR(INDEX($B586:$D586,BG$5)="F",AND(BG$6&gt;0,$A586&lt;BG$6),AND(BG$7&gt;0,$A586&gt;BG$7)),0,MAX(0,ROUND((INDEX($E586:$G586,BG$5)-SUMIFS(TF_Timer,TF_Tekniker,BG$4,TF_Dato,$A586))*2,0)/2)))</f>
        <v/>
      </c>
      <c r="BH586">
        <f>IF(OR(BH$4="",$A586&gt;TODAY()),0,IF(OR(INDEX($B586:$D586,BH$5)="F",AND(BH$6&gt;0,$A586&lt;BH$6),AND(BH$7&gt;0,$A586&gt;BH$7)),0,MAX(0,ROUND((INDEX($E586:$G586,BH$5)-SUMIFS(TF_Timer,TF_Tekniker,BH$4,TF_Dato,$A586))*2,0)/2)))</f>
        <v/>
      </c>
      <c r="BI586">
        <f>IF(OR(BI$4="",$A586&gt;TODAY()),0,IF(OR(INDEX($B586:$D586,BI$5)="F",AND(BI$6&gt;0,$A586&lt;BI$6),AND(BI$7&gt;0,$A586&gt;BI$7)),0,MAX(0,ROUND((INDEX($E586:$G586,BI$5)-SUMIFS(TF_Timer,TF_Tekniker,BI$4,TF_Dato,$A586))*2,0)/2)))</f>
        <v/>
      </c>
    </row>
    <row r="587">
      <c r="A587" s="64">
        <f>A586+1</f>
        <v/>
      </c>
      <c r="B587">
        <f>IF(MOD($A587-INDEX(SkiftStart,1),Syklus)&lt;DagK,"K",IF(MOD($A587-INDEX(SkiftStart,1),Syklus)&lt;DagK+DagH,"H",IF(MOD($A587-INDEX(SkiftStart,1),Syklus)&lt;DagK+DagH+DagD,"D","F")))</f>
        <v/>
      </c>
      <c r="C587">
        <f>IF(MOD($A587-INDEX(SkiftStart,2),Syklus)&lt;DagK,"K",IF(MOD($A587-INDEX(SkiftStart,2),Syklus)&lt;DagK+DagH,"H",IF(MOD($A587-INDEX(SkiftStart,2),Syklus)&lt;DagK+DagH+DagD,"D","F")))</f>
        <v/>
      </c>
      <c r="D587">
        <f>IF(MOD($A587-INDEX(SkiftStart,3),Syklus)&lt;DagK,"K",IF(MOD($A587-INDEX(SkiftStart,3),Syklus)&lt;DagK+DagH,"H",IF(MOD($A587-INDEX(SkiftStart,3),Syklus)&lt;DagK+DagH+DagD,"D","F")))</f>
        <v/>
      </c>
      <c r="E587">
        <f>IF(B587="F",0,IF(WEEKDAY($A587,2)=5,INDEX(TimerFr,MATCH(B587,FaseKode,0)),INDEX(TimerMT,MATCH(B587,FaseKode,0))))</f>
        <v/>
      </c>
      <c r="F587">
        <f>IF(C587="F",0,IF(WEEKDAY($A587,2)=5,INDEX(TimerFr,MATCH(C587,FaseKode,0)),INDEX(TimerMT,MATCH(C587,FaseKode,0))))</f>
        <v/>
      </c>
      <c r="G587">
        <f>IF(D587="F",0,IF(WEEKDAY($A587,2)=5,INDEX(TimerFr,MATCH(D587,FaseKode,0)),INDEX(TimerMT,MATCH(D587,FaseKode,0))))</f>
        <v/>
      </c>
      <c r="H587">
        <f>IF(OR(H$4="",$A587&gt;TODAY()),0,IF(OR(INDEX($B587:$D587,H$5)="F",AND(H$6&gt;0,$A587&lt;H$6),AND(H$7&gt;0,$A587&gt;H$7)),0,MAX(0,ROUND((INDEX($E587:$G587,H$5)-SUMIFS(TF_Timer,TF_Tekniker,H$4,TF_Dato,$A587))*2,0)/2)))</f>
        <v/>
      </c>
      <c r="I587">
        <f>IF(OR(I$4="",$A587&gt;TODAY()),0,IF(OR(INDEX($B587:$D587,I$5)="F",AND(I$6&gt;0,$A587&lt;I$6),AND(I$7&gt;0,$A587&gt;I$7)),0,MAX(0,ROUND((INDEX($E587:$G587,I$5)-SUMIFS(TF_Timer,TF_Tekniker,I$4,TF_Dato,$A587))*2,0)/2)))</f>
        <v/>
      </c>
      <c r="J587">
        <f>IF(OR(J$4="",$A587&gt;TODAY()),0,IF(OR(INDEX($B587:$D587,J$5)="F",AND(J$6&gt;0,$A587&lt;J$6),AND(J$7&gt;0,$A587&gt;J$7)),0,MAX(0,ROUND((INDEX($E587:$G587,J$5)-SUMIFS(TF_Timer,TF_Tekniker,J$4,TF_Dato,$A587))*2,0)/2)))</f>
        <v/>
      </c>
      <c r="K587">
        <f>IF(OR(K$4="",$A587&gt;TODAY()),0,IF(OR(INDEX($B587:$D587,K$5)="F",AND(K$6&gt;0,$A587&lt;K$6),AND(K$7&gt;0,$A587&gt;K$7)),0,MAX(0,ROUND((INDEX($E587:$G587,K$5)-SUMIFS(TF_Timer,TF_Tekniker,K$4,TF_Dato,$A587))*2,0)/2)))</f>
        <v/>
      </c>
      <c r="L587">
        <f>IF(OR(L$4="",$A587&gt;TODAY()),0,IF(OR(INDEX($B587:$D587,L$5)="F",AND(L$6&gt;0,$A587&lt;L$6),AND(L$7&gt;0,$A587&gt;L$7)),0,MAX(0,ROUND((INDEX($E587:$G587,L$5)-SUMIFS(TF_Timer,TF_Tekniker,L$4,TF_Dato,$A587))*2,0)/2)))</f>
        <v/>
      </c>
      <c r="M587">
        <f>IF(OR(M$4="",$A587&gt;TODAY()),0,IF(OR(INDEX($B587:$D587,M$5)="F",AND(M$6&gt;0,$A587&lt;M$6),AND(M$7&gt;0,$A587&gt;M$7)),0,MAX(0,ROUND((INDEX($E587:$G587,M$5)-SUMIFS(TF_Timer,TF_Tekniker,M$4,TF_Dato,$A587))*2,0)/2)))</f>
        <v/>
      </c>
      <c r="N587">
        <f>IF(OR(N$4="",$A587&gt;TODAY()),0,IF(OR(INDEX($B587:$D587,N$5)="F",AND(N$6&gt;0,$A587&lt;N$6),AND(N$7&gt;0,$A587&gt;N$7)),0,MAX(0,ROUND((INDEX($E587:$G587,N$5)-SUMIFS(TF_Timer,TF_Tekniker,N$4,TF_Dato,$A587))*2,0)/2)))</f>
        <v/>
      </c>
      <c r="O587">
        <f>IF(OR(O$4="",$A587&gt;TODAY()),0,IF(OR(INDEX($B587:$D587,O$5)="F",AND(O$6&gt;0,$A587&lt;O$6),AND(O$7&gt;0,$A587&gt;O$7)),0,MAX(0,ROUND((INDEX($E587:$G587,O$5)-SUMIFS(TF_Timer,TF_Tekniker,O$4,TF_Dato,$A587))*2,0)/2)))</f>
        <v/>
      </c>
      <c r="P587">
        <f>IF(OR(P$4="",$A587&gt;TODAY()),0,IF(OR(INDEX($B587:$D587,P$5)="F",AND(P$6&gt;0,$A587&lt;P$6),AND(P$7&gt;0,$A587&gt;P$7)),0,MAX(0,ROUND((INDEX($E587:$G587,P$5)-SUMIFS(TF_Timer,TF_Tekniker,P$4,TF_Dato,$A587))*2,0)/2)))</f>
        <v/>
      </c>
      <c r="Q587">
        <f>IF(OR(Q$4="",$A587&gt;TODAY()),0,IF(OR(INDEX($B587:$D587,Q$5)="F",AND(Q$6&gt;0,$A587&lt;Q$6),AND(Q$7&gt;0,$A587&gt;Q$7)),0,MAX(0,ROUND((INDEX($E587:$G587,Q$5)-SUMIFS(TF_Timer,TF_Tekniker,Q$4,TF_Dato,$A587))*2,0)/2)))</f>
        <v/>
      </c>
      <c r="R587">
        <f>IF(OR(R$4="",$A587&gt;TODAY()),0,IF(OR(INDEX($B587:$D587,R$5)="F",AND(R$6&gt;0,$A587&lt;R$6),AND(R$7&gt;0,$A587&gt;R$7)),0,MAX(0,ROUND((INDEX($E587:$G587,R$5)-SUMIFS(TF_Timer,TF_Tekniker,R$4,TF_Dato,$A587))*2,0)/2)))</f>
        <v/>
      </c>
      <c r="S587">
        <f>IF(OR(S$4="",$A587&gt;TODAY()),0,IF(OR(INDEX($B587:$D587,S$5)="F",AND(S$6&gt;0,$A587&lt;S$6),AND(S$7&gt;0,$A587&gt;S$7)),0,MAX(0,ROUND((INDEX($E587:$G587,S$5)-SUMIFS(TF_Timer,TF_Tekniker,S$4,TF_Dato,$A587))*2,0)/2)))</f>
        <v/>
      </c>
      <c r="T587">
        <f>IF(OR(T$4="",$A587&gt;TODAY()),0,IF(OR(INDEX($B587:$D587,T$5)="F",AND(T$6&gt;0,$A587&lt;T$6),AND(T$7&gt;0,$A587&gt;T$7)),0,MAX(0,ROUND((INDEX($E587:$G587,T$5)-SUMIFS(TF_Timer,TF_Tekniker,T$4,TF_Dato,$A587))*2,0)/2)))</f>
        <v/>
      </c>
      <c r="U587">
        <f>IF(OR(U$4="",$A587&gt;TODAY()),0,IF(OR(INDEX($B587:$D587,U$5)="F",AND(U$6&gt;0,$A587&lt;U$6),AND(U$7&gt;0,$A587&gt;U$7)),0,MAX(0,ROUND((INDEX($E587:$G587,U$5)-SUMIFS(TF_Timer,TF_Tekniker,U$4,TF_Dato,$A587))*2,0)/2)))</f>
        <v/>
      </c>
      <c r="V587">
        <f>IF(OR(V$4="",$A587&gt;TODAY()),0,IF(OR(INDEX($B587:$D587,V$5)="F",AND(V$6&gt;0,$A587&lt;V$6),AND(V$7&gt;0,$A587&gt;V$7)),0,MAX(0,ROUND((INDEX($E587:$G587,V$5)-SUMIFS(TF_Timer,TF_Tekniker,V$4,TF_Dato,$A587))*2,0)/2)))</f>
        <v/>
      </c>
      <c r="W587">
        <f>IF(OR(W$4="",$A587&gt;TODAY()),0,IF(OR(INDEX($B587:$D587,W$5)="F",AND(W$6&gt;0,$A587&lt;W$6),AND(W$7&gt;0,$A587&gt;W$7)),0,MAX(0,ROUND((INDEX($E587:$G587,W$5)-SUMIFS(TF_Timer,TF_Tekniker,W$4,TF_Dato,$A587))*2,0)/2)))</f>
        <v/>
      </c>
      <c r="X587">
        <f>IF(OR(X$4="",$A587&gt;TODAY()),0,IF(OR(INDEX($B587:$D587,X$5)="F",AND(X$6&gt;0,$A587&lt;X$6),AND(X$7&gt;0,$A587&gt;X$7)),0,MAX(0,ROUND((INDEX($E587:$G587,X$5)-SUMIFS(TF_Timer,TF_Tekniker,X$4,TF_Dato,$A587))*2,0)/2)))</f>
        <v/>
      </c>
      <c r="Y587">
        <f>IF(OR(Y$4="",$A587&gt;TODAY()),0,IF(OR(INDEX($B587:$D587,Y$5)="F",AND(Y$6&gt;0,$A587&lt;Y$6),AND(Y$7&gt;0,$A587&gt;Y$7)),0,MAX(0,ROUND((INDEX($E587:$G587,Y$5)-SUMIFS(TF_Timer,TF_Tekniker,Y$4,TF_Dato,$A587))*2,0)/2)))</f>
        <v/>
      </c>
      <c r="Z587">
        <f>IF(OR(Z$4="",$A587&gt;TODAY()),0,IF(OR(INDEX($B587:$D587,Z$5)="F",AND(Z$6&gt;0,$A587&lt;Z$6),AND(Z$7&gt;0,$A587&gt;Z$7)),0,MAX(0,ROUND((INDEX($E587:$G587,Z$5)-SUMIFS(TF_Timer,TF_Tekniker,Z$4,TF_Dato,$A587))*2,0)/2)))</f>
        <v/>
      </c>
      <c r="AA587">
        <f>IF(OR(AA$4="",$A587&gt;TODAY()),0,IF(OR(INDEX($B587:$D587,AA$5)="F",AND(AA$6&gt;0,$A587&lt;AA$6),AND(AA$7&gt;0,$A587&gt;AA$7)),0,MAX(0,ROUND((INDEX($E587:$G587,AA$5)-SUMIFS(TF_Timer,TF_Tekniker,AA$4,TF_Dato,$A587))*2,0)/2)))</f>
        <v/>
      </c>
      <c r="AB587">
        <f>IF(OR(AB$4="",$A587&gt;TODAY()),0,IF(OR(INDEX($B587:$D587,AB$5)="F",AND(AB$6&gt;0,$A587&lt;AB$6),AND(AB$7&gt;0,$A587&gt;AB$7)),0,MAX(0,ROUND((INDEX($E587:$G587,AB$5)-SUMIFS(TF_Timer,TF_Tekniker,AB$4,TF_Dato,$A587))*2,0)/2)))</f>
        <v/>
      </c>
      <c r="AC587">
        <f>IF(OR(AC$4="",$A587&gt;TODAY()),0,IF(OR(INDEX($B587:$D587,AC$5)="F",AND(AC$6&gt;0,$A587&lt;AC$6),AND(AC$7&gt;0,$A587&gt;AC$7)),0,MAX(0,ROUND((INDEX($E587:$G587,AC$5)-SUMIFS(TF_Timer,TF_Tekniker,AC$4,TF_Dato,$A587))*2,0)/2)))</f>
        <v/>
      </c>
      <c r="AD587">
        <f>IF(OR(AD$4="",$A587&gt;TODAY()),0,IF(OR(INDEX($B587:$D587,AD$5)="F",AND(AD$6&gt;0,$A587&lt;AD$6),AND(AD$7&gt;0,$A587&gt;AD$7)),0,MAX(0,ROUND((INDEX($E587:$G587,AD$5)-SUMIFS(TF_Timer,TF_Tekniker,AD$4,TF_Dato,$A587))*2,0)/2)))</f>
        <v/>
      </c>
      <c r="AE587">
        <f>IF(OR(AE$4="",$A587&gt;TODAY()),0,IF(OR(INDEX($B587:$D587,AE$5)="F",AND(AE$6&gt;0,$A587&lt;AE$6),AND(AE$7&gt;0,$A587&gt;AE$7)),0,MAX(0,ROUND((INDEX($E587:$G587,AE$5)-SUMIFS(TF_Timer,TF_Tekniker,AE$4,TF_Dato,$A587))*2,0)/2)))</f>
        <v/>
      </c>
      <c r="AF587">
        <f>IF(OR(AF$4="",$A587&gt;TODAY()),0,IF(OR(INDEX($B587:$D587,AF$5)="F",AND(AF$6&gt;0,$A587&lt;AF$6),AND(AF$7&gt;0,$A587&gt;AF$7)),0,MAX(0,ROUND((INDEX($E587:$G587,AF$5)-SUMIFS(TF_Timer,TF_Tekniker,AF$4,TF_Dato,$A587))*2,0)/2)))</f>
        <v/>
      </c>
      <c r="AG587">
        <f>IF(OR(AG$4="",$A587&gt;TODAY()),0,IF(OR(INDEX($B587:$D587,AG$5)="F",AND(AG$6&gt;0,$A587&lt;AG$6),AND(AG$7&gt;0,$A587&gt;AG$7)),0,MAX(0,ROUND((INDEX($E587:$G587,AG$5)-SUMIFS(TF_Timer,TF_Tekniker,AG$4,TF_Dato,$A587))*2,0)/2)))</f>
        <v/>
      </c>
      <c r="AH587">
        <f>IF(OR(AH$4="",$A587&gt;TODAY()),0,IF(OR(INDEX($B587:$D587,AH$5)="F",AND(AH$6&gt;0,$A587&lt;AH$6),AND(AH$7&gt;0,$A587&gt;AH$7)),0,MAX(0,ROUND((INDEX($E587:$G587,AH$5)-SUMIFS(TF_Timer,TF_Tekniker,AH$4,TF_Dato,$A587))*2,0)/2)))</f>
        <v/>
      </c>
      <c r="AI587">
        <f>IF(OR(AI$4="",$A587&gt;TODAY()),0,IF(OR(INDEX($B587:$D587,AI$5)="F",AND(AI$6&gt;0,$A587&lt;AI$6),AND(AI$7&gt;0,$A587&gt;AI$7)),0,MAX(0,ROUND((INDEX($E587:$G587,AI$5)-SUMIFS(TF_Timer,TF_Tekniker,AI$4,TF_Dato,$A587))*2,0)/2)))</f>
        <v/>
      </c>
      <c r="AJ587">
        <f>IF(OR(AJ$4="",$A587&gt;TODAY()),0,IF(OR(INDEX($B587:$D587,AJ$5)="F",AND(AJ$6&gt;0,$A587&lt;AJ$6),AND(AJ$7&gt;0,$A587&gt;AJ$7)),0,MAX(0,ROUND((INDEX($E587:$G587,AJ$5)-SUMIFS(TF_Timer,TF_Tekniker,AJ$4,TF_Dato,$A587))*2,0)/2)))</f>
        <v/>
      </c>
      <c r="AK587">
        <f>IF(OR(AK$4="",$A587&gt;TODAY()),0,IF(OR(INDEX($B587:$D587,AK$5)="F",AND(AK$6&gt;0,$A587&lt;AK$6),AND(AK$7&gt;0,$A587&gt;AK$7)),0,MAX(0,ROUND((INDEX($E587:$G587,AK$5)-SUMIFS(TF_Timer,TF_Tekniker,AK$4,TF_Dato,$A587))*2,0)/2)))</f>
        <v/>
      </c>
      <c r="AL587">
        <f>IF(OR(AL$4="",$A587&gt;TODAY()),0,IF(OR(INDEX($B587:$D587,AL$5)="F",AND(AL$6&gt;0,$A587&lt;AL$6),AND(AL$7&gt;0,$A587&gt;AL$7)),0,MAX(0,ROUND((INDEX($E587:$G587,AL$5)-SUMIFS(TF_Timer,TF_Tekniker,AL$4,TF_Dato,$A587))*2,0)/2)))</f>
        <v/>
      </c>
      <c r="AM587">
        <f>IF(OR(AM$4="",$A587&gt;TODAY()),0,IF(OR(INDEX($B587:$D587,AM$5)="F",AND(AM$6&gt;0,$A587&lt;AM$6),AND(AM$7&gt;0,$A587&gt;AM$7)),0,MAX(0,ROUND((INDEX($E587:$G587,AM$5)-SUMIFS(TF_Timer,TF_Tekniker,AM$4,TF_Dato,$A587))*2,0)/2)))</f>
        <v/>
      </c>
      <c r="AN587">
        <f>IF(OR(AN$4="",$A587&gt;TODAY()),0,IF(OR(INDEX($B587:$D587,AN$5)="F",AND(AN$6&gt;0,$A587&lt;AN$6),AND(AN$7&gt;0,$A587&gt;AN$7)),0,MAX(0,ROUND((INDEX($E587:$G587,AN$5)-SUMIFS(TF_Timer,TF_Tekniker,AN$4,TF_Dato,$A587))*2,0)/2)))</f>
        <v/>
      </c>
      <c r="AO587">
        <f>IF(OR(AO$4="",$A587&gt;TODAY()),0,IF(OR(INDEX($B587:$D587,AO$5)="F",AND(AO$6&gt;0,$A587&lt;AO$6),AND(AO$7&gt;0,$A587&gt;AO$7)),0,MAX(0,ROUND((INDEX($E587:$G587,AO$5)-SUMIFS(TF_Timer,TF_Tekniker,AO$4,TF_Dato,$A587))*2,0)/2)))</f>
        <v/>
      </c>
      <c r="AP587">
        <f>IF(OR(AP$4="",$A587&gt;TODAY()),0,IF(OR(INDEX($B587:$D587,AP$5)="F",AND(AP$6&gt;0,$A587&lt;AP$6),AND(AP$7&gt;0,$A587&gt;AP$7)),0,MAX(0,ROUND((INDEX($E587:$G587,AP$5)-SUMIFS(TF_Timer,TF_Tekniker,AP$4,TF_Dato,$A587))*2,0)/2)))</f>
        <v/>
      </c>
      <c r="AQ587">
        <f>IF(OR(AQ$4="",$A587&gt;TODAY()),0,IF(OR(INDEX($B587:$D587,AQ$5)="F",AND(AQ$6&gt;0,$A587&lt;AQ$6),AND(AQ$7&gt;0,$A587&gt;AQ$7)),0,MAX(0,ROUND((INDEX($E587:$G587,AQ$5)-SUMIFS(TF_Timer,TF_Tekniker,AQ$4,TF_Dato,$A587))*2,0)/2)))</f>
        <v/>
      </c>
      <c r="AR587">
        <f>IF(OR(AR$4="",$A587&gt;TODAY()),0,IF(OR(INDEX($B587:$D587,AR$5)="F",AND(AR$6&gt;0,$A587&lt;AR$6),AND(AR$7&gt;0,$A587&gt;AR$7)),0,MAX(0,ROUND((INDEX($E587:$G587,AR$5)-SUMIFS(TF_Timer,TF_Tekniker,AR$4,TF_Dato,$A587))*2,0)/2)))</f>
        <v/>
      </c>
      <c r="AS587">
        <f>IF(OR(AS$4="",$A587&gt;TODAY()),0,IF(OR(INDEX($B587:$D587,AS$5)="F",AND(AS$6&gt;0,$A587&lt;AS$6),AND(AS$7&gt;0,$A587&gt;AS$7)),0,MAX(0,ROUND((INDEX($E587:$G587,AS$5)-SUMIFS(TF_Timer,TF_Tekniker,AS$4,TF_Dato,$A587))*2,0)/2)))</f>
        <v/>
      </c>
      <c r="AT587">
        <f>IF(OR(AT$4="",$A587&gt;TODAY()),0,IF(OR(INDEX($B587:$D587,AT$5)="F",AND(AT$6&gt;0,$A587&lt;AT$6),AND(AT$7&gt;0,$A587&gt;AT$7)),0,MAX(0,ROUND((INDEX($E587:$G587,AT$5)-SUMIFS(TF_Timer,TF_Tekniker,AT$4,TF_Dato,$A587))*2,0)/2)))</f>
        <v/>
      </c>
      <c r="AU587">
        <f>IF(OR(AU$4="",$A587&gt;TODAY()),0,IF(OR(INDEX($B587:$D587,AU$5)="F",AND(AU$6&gt;0,$A587&lt;AU$6),AND(AU$7&gt;0,$A587&gt;AU$7)),0,MAX(0,ROUND((INDEX($E587:$G587,AU$5)-SUMIFS(TF_Timer,TF_Tekniker,AU$4,TF_Dato,$A587))*2,0)/2)))</f>
        <v/>
      </c>
      <c r="AV587">
        <f>IF(OR(AV$4="",$A587&gt;TODAY()),0,IF(OR(INDEX($B587:$D587,AV$5)="F",AND(AV$6&gt;0,$A587&lt;AV$6),AND(AV$7&gt;0,$A587&gt;AV$7)),0,MAX(0,ROUND((INDEX($E587:$G587,AV$5)-SUMIFS(TF_Timer,TF_Tekniker,AV$4,TF_Dato,$A587))*2,0)/2)))</f>
        <v/>
      </c>
      <c r="AW587">
        <f>IF(OR(AW$4="",$A587&gt;TODAY()),0,IF(OR(INDEX($B587:$D587,AW$5)="F",AND(AW$6&gt;0,$A587&lt;AW$6),AND(AW$7&gt;0,$A587&gt;AW$7)),0,MAX(0,ROUND((INDEX($E587:$G587,AW$5)-SUMIFS(TF_Timer,TF_Tekniker,AW$4,TF_Dato,$A587))*2,0)/2)))</f>
        <v/>
      </c>
      <c r="AX587">
        <f>IF(OR(AX$4="",$A587&gt;TODAY()),0,IF(OR(INDEX($B587:$D587,AX$5)="F",AND(AX$6&gt;0,$A587&lt;AX$6),AND(AX$7&gt;0,$A587&gt;AX$7)),0,MAX(0,ROUND((INDEX($E587:$G587,AX$5)-SUMIFS(TF_Timer,TF_Tekniker,AX$4,TF_Dato,$A587))*2,0)/2)))</f>
        <v/>
      </c>
      <c r="AY587">
        <f>IF(OR(AY$4="",$A587&gt;TODAY()),0,IF(OR(INDEX($B587:$D587,AY$5)="F",AND(AY$6&gt;0,$A587&lt;AY$6),AND(AY$7&gt;0,$A587&gt;AY$7)),0,MAX(0,ROUND((INDEX($E587:$G587,AY$5)-SUMIFS(TF_Timer,TF_Tekniker,AY$4,TF_Dato,$A587))*2,0)/2)))</f>
        <v/>
      </c>
      <c r="AZ587">
        <f>IF(OR(AZ$4="",$A587&gt;TODAY()),0,IF(OR(INDEX($B587:$D587,AZ$5)="F",AND(AZ$6&gt;0,$A587&lt;AZ$6),AND(AZ$7&gt;0,$A587&gt;AZ$7)),0,MAX(0,ROUND((INDEX($E587:$G587,AZ$5)-SUMIFS(TF_Timer,TF_Tekniker,AZ$4,TF_Dato,$A587))*2,0)/2)))</f>
        <v/>
      </c>
      <c r="BA587">
        <f>IF(OR(BA$4="",$A587&gt;TODAY()),0,IF(OR(INDEX($B587:$D587,BA$5)="F",AND(BA$6&gt;0,$A587&lt;BA$6),AND(BA$7&gt;0,$A587&gt;BA$7)),0,MAX(0,ROUND((INDEX($E587:$G587,BA$5)-SUMIFS(TF_Timer,TF_Tekniker,BA$4,TF_Dato,$A587))*2,0)/2)))</f>
        <v/>
      </c>
      <c r="BB587">
        <f>IF(OR(BB$4="",$A587&gt;TODAY()),0,IF(OR(INDEX($B587:$D587,BB$5)="F",AND(BB$6&gt;0,$A587&lt;BB$6),AND(BB$7&gt;0,$A587&gt;BB$7)),0,MAX(0,ROUND((INDEX($E587:$G587,BB$5)-SUMIFS(TF_Timer,TF_Tekniker,BB$4,TF_Dato,$A587))*2,0)/2)))</f>
        <v/>
      </c>
      <c r="BC587">
        <f>IF(OR(BC$4="",$A587&gt;TODAY()),0,IF(OR(INDEX($B587:$D587,BC$5)="F",AND(BC$6&gt;0,$A587&lt;BC$6),AND(BC$7&gt;0,$A587&gt;BC$7)),0,MAX(0,ROUND((INDEX($E587:$G587,BC$5)-SUMIFS(TF_Timer,TF_Tekniker,BC$4,TF_Dato,$A587))*2,0)/2)))</f>
        <v/>
      </c>
      <c r="BD587">
        <f>IF(OR(BD$4="",$A587&gt;TODAY()),0,IF(OR(INDEX($B587:$D587,BD$5)="F",AND(BD$6&gt;0,$A587&lt;BD$6),AND(BD$7&gt;0,$A587&gt;BD$7)),0,MAX(0,ROUND((INDEX($E587:$G587,BD$5)-SUMIFS(TF_Timer,TF_Tekniker,BD$4,TF_Dato,$A587))*2,0)/2)))</f>
        <v/>
      </c>
      <c r="BE587">
        <f>IF(OR(BE$4="",$A587&gt;TODAY()),0,IF(OR(INDEX($B587:$D587,BE$5)="F",AND(BE$6&gt;0,$A587&lt;BE$6),AND(BE$7&gt;0,$A587&gt;BE$7)),0,MAX(0,ROUND((INDEX($E587:$G587,BE$5)-SUMIFS(TF_Timer,TF_Tekniker,BE$4,TF_Dato,$A587))*2,0)/2)))</f>
        <v/>
      </c>
      <c r="BF587">
        <f>IF(OR(BF$4="",$A587&gt;TODAY()),0,IF(OR(INDEX($B587:$D587,BF$5)="F",AND(BF$6&gt;0,$A587&lt;BF$6),AND(BF$7&gt;0,$A587&gt;BF$7)),0,MAX(0,ROUND((INDEX($E587:$G587,BF$5)-SUMIFS(TF_Timer,TF_Tekniker,BF$4,TF_Dato,$A587))*2,0)/2)))</f>
        <v/>
      </c>
      <c r="BG587">
        <f>IF(OR(BG$4="",$A587&gt;TODAY()),0,IF(OR(INDEX($B587:$D587,BG$5)="F",AND(BG$6&gt;0,$A587&lt;BG$6),AND(BG$7&gt;0,$A587&gt;BG$7)),0,MAX(0,ROUND((INDEX($E587:$G587,BG$5)-SUMIFS(TF_Timer,TF_Tekniker,BG$4,TF_Dato,$A587))*2,0)/2)))</f>
        <v/>
      </c>
      <c r="BH587">
        <f>IF(OR(BH$4="",$A587&gt;TODAY()),0,IF(OR(INDEX($B587:$D587,BH$5)="F",AND(BH$6&gt;0,$A587&lt;BH$6),AND(BH$7&gt;0,$A587&gt;BH$7)),0,MAX(0,ROUND((INDEX($E587:$G587,BH$5)-SUMIFS(TF_Timer,TF_Tekniker,BH$4,TF_Dato,$A587))*2,0)/2)))</f>
        <v/>
      </c>
      <c r="BI587">
        <f>IF(OR(BI$4="",$A587&gt;TODAY()),0,IF(OR(INDEX($B587:$D587,BI$5)="F",AND(BI$6&gt;0,$A587&lt;BI$6),AND(BI$7&gt;0,$A587&gt;BI$7)),0,MAX(0,ROUND((INDEX($E587:$G587,BI$5)-SUMIFS(TF_Timer,TF_Tekniker,BI$4,TF_Dato,$A587))*2,0)/2)))</f>
        <v/>
      </c>
    </row>
    <row r="588">
      <c r="A588" s="64">
        <f>A587+1</f>
        <v/>
      </c>
      <c r="B588">
        <f>IF(MOD($A588-INDEX(SkiftStart,1),Syklus)&lt;DagK,"K",IF(MOD($A588-INDEX(SkiftStart,1),Syklus)&lt;DagK+DagH,"H",IF(MOD($A588-INDEX(SkiftStart,1),Syklus)&lt;DagK+DagH+DagD,"D","F")))</f>
        <v/>
      </c>
      <c r="C588">
        <f>IF(MOD($A588-INDEX(SkiftStart,2),Syklus)&lt;DagK,"K",IF(MOD($A588-INDEX(SkiftStart,2),Syklus)&lt;DagK+DagH,"H",IF(MOD($A588-INDEX(SkiftStart,2),Syklus)&lt;DagK+DagH+DagD,"D","F")))</f>
        <v/>
      </c>
      <c r="D588">
        <f>IF(MOD($A588-INDEX(SkiftStart,3),Syklus)&lt;DagK,"K",IF(MOD($A588-INDEX(SkiftStart,3),Syklus)&lt;DagK+DagH,"H",IF(MOD($A588-INDEX(SkiftStart,3),Syklus)&lt;DagK+DagH+DagD,"D","F")))</f>
        <v/>
      </c>
      <c r="E588">
        <f>IF(B588="F",0,IF(WEEKDAY($A588,2)=5,INDEX(TimerFr,MATCH(B588,FaseKode,0)),INDEX(TimerMT,MATCH(B588,FaseKode,0))))</f>
        <v/>
      </c>
      <c r="F588">
        <f>IF(C588="F",0,IF(WEEKDAY($A588,2)=5,INDEX(TimerFr,MATCH(C588,FaseKode,0)),INDEX(TimerMT,MATCH(C588,FaseKode,0))))</f>
        <v/>
      </c>
      <c r="G588">
        <f>IF(D588="F",0,IF(WEEKDAY($A588,2)=5,INDEX(TimerFr,MATCH(D588,FaseKode,0)),INDEX(TimerMT,MATCH(D588,FaseKode,0))))</f>
        <v/>
      </c>
      <c r="H588">
        <f>IF(OR(H$4="",$A588&gt;TODAY()),0,IF(OR(INDEX($B588:$D588,H$5)="F",AND(H$6&gt;0,$A588&lt;H$6),AND(H$7&gt;0,$A588&gt;H$7)),0,MAX(0,ROUND((INDEX($E588:$G588,H$5)-SUMIFS(TF_Timer,TF_Tekniker,H$4,TF_Dato,$A588))*2,0)/2)))</f>
        <v/>
      </c>
      <c r="I588">
        <f>IF(OR(I$4="",$A588&gt;TODAY()),0,IF(OR(INDEX($B588:$D588,I$5)="F",AND(I$6&gt;0,$A588&lt;I$6),AND(I$7&gt;0,$A588&gt;I$7)),0,MAX(0,ROUND((INDEX($E588:$G588,I$5)-SUMIFS(TF_Timer,TF_Tekniker,I$4,TF_Dato,$A588))*2,0)/2)))</f>
        <v/>
      </c>
      <c r="J588">
        <f>IF(OR(J$4="",$A588&gt;TODAY()),0,IF(OR(INDEX($B588:$D588,J$5)="F",AND(J$6&gt;0,$A588&lt;J$6),AND(J$7&gt;0,$A588&gt;J$7)),0,MAX(0,ROUND((INDEX($E588:$G588,J$5)-SUMIFS(TF_Timer,TF_Tekniker,J$4,TF_Dato,$A588))*2,0)/2)))</f>
        <v/>
      </c>
      <c r="K588">
        <f>IF(OR(K$4="",$A588&gt;TODAY()),0,IF(OR(INDEX($B588:$D588,K$5)="F",AND(K$6&gt;0,$A588&lt;K$6),AND(K$7&gt;0,$A588&gt;K$7)),0,MAX(0,ROUND((INDEX($E588:$G588,K$5)-SUMIFS(TF_Timer,TF_Tekniker,K$4,TF_Dato,$A588))*2,0)/2)))</f>
        <v/>
      </c>
      <c r="L588">
        <f>IF(OR(L$4="",$A588&gt;TODAY()),0,IF(OR(INDEX($B588:$D588,L$5)="F",AND(L$6&gt;0,$A588&lt;L$6),AND(L$7&gt;0,$A588&gt;L$7)),0,MAX(0,ROUND((INDEX($E588:$G588,L$5)-SUMIFS(TF_Timer,TF_Tekniker,L$4,TF_Dato,$A588))*2,0)/2)))</f>
        <v/>
      </c>
      <c r="M588">
        <f>IF(OR(M$4="",$A588&gt;TODAY()),0,IF(OR(INDEX($B588:$D588,M$5)="F",AND(M$6&gt;0,$A588&lt;M$6),AND(M$7&gt;0,$A588&gt;M$7)),0,MAX(0,ROUND((INDEX($E588:$G588,M$5)-SUMIFS(TF_Timer,TF_Tekniker,M$4,TF_Dato,$A588))*2,0)/2)))</f>
        <v/>
      </c>
      <c r="N588">
        <f>IF(OR(N$4="",$A588&gt;TODAY()),0,IF(OR(INDEX($B588:$D588,N$5)="F",AND(N$6&gt;0,$A588&lt;N$6),AND(N$7&gt;0,$A588&gt;N$7)),0,MAX(0,ROUND((INDEX($E588:$G588,N$5)-SUMIFS(TF_Timer,TF_Tekniker,N$4,TF_Dato,$A588))*2,0)/2)))</f>
        <v/>
      </c>
      <c r="O588">
        <f>IF(OR(O$4="",$A588&gt;TODAY()),0,IF(OR(INDEX($B588:$D588,O$5)="F",AND(O$6&gt;0,$A588&lt;O$6),AND(O$7&gt;0,$A588&gt;O$7)),0,MAX(0,ROUND((INDEX($E588:$G588,O$5)-SUMIFS(TF_Timer,TF_Tekniker,O$4,TF_Dato,$A588))*2,0)/2)))</f>
        <v/>
      </c>
      <c r="P588">
        <f>IF(OR(P$4="",$A588&gt;TODAY()),0,IF(OR(INDEX($B588:$D588,P$5)="F",AND(P$6&gt;0,$A588&lt;P$6),AND(P$7&gt;0,$A588&gt;P$7)),0,MAX(0,ROUND((INDEX($E588:$G588,P$5)-SUMIFS(TF_Timer,TF_Tekniker,P$4,TF_Dato,$A588))*2,0)/2)))</f>
        <v/>
      </c>
      <c r="Q588">
        <f>IF(OR(Q$4="",$A588&gt;TODAY()),0,IF(OR(INDEX($B588:$D588,Q$5)="F",AND(Q$6&gt;0,$A588&lt;Q$6),AND(Q$7&gt;0,$A588&gt;Q$7)),0,MAX(0,ROUND((INDEX($E588:$G588,Q$5)-SUMIFS(TF_Timer,TF_Tekniker,Q$4,TF_Dato,$A588))*2,0)/2)))</f>
        <v/>
      </c>
      <c r="R588">
        <f>IF(OR(R$4="",$A588&gt;TODAY()),0,IF(OR(INDEX($B588:$D588,R$5)="F",AND(R$6&gt;0,$A588&lt;R$6),AND(R$7&gt;0,$A588&gt;R$7)),0,MAX(0,ROUND((INDEX($E588:$G588,R$5)-SUMIFS(TF_Timer,TF_Tekniker,R$4,TF_Dato,$A588))*2,0)/2)))</f>
        <v/>
      </c>
      <c r="S588">
        <f>IF(OR(S$4="",$A588&gt;TODAY()),0,IF(OR(INDEX($B588:$D588,S$5)="F",AND(S$6&gt;0,$A588&lt;S$6),AND(S$7&gt;0,$A588&gt;S$7)),0,MAX(0,ROUND((INDEX($E588:$G588,S$5)-SUMIFS(TF_Timer,TF_Tekniker,S$4,TF_Dato,$A588))*2,0)/2)))</f>
        <v/>
      </c>
      <c r="T588">
        <f>IF(OR(T$4="",$A588&gt;TODAY()),0,IF(OR(INDEX($B588:$D588,T$5)="F",AND(T$6&gt;0,$A588&lt;T$6),AND(T$7&gt;0,$A588&gt;T$7)),0,MAX(0,ROUND((INDEX($E588:$G588,T$5)-SUMIFS(TF_Timer,TF_Tekniker,T$4,TF_Dato,$A588))*2,0)/2)))</f>
        <v/>
      </c>
      <c r="U588">
        <f>IF(OR(U$4="",$A588&gt;TODAY()),0,IF(OR(INDEX($B588:$D588,U$5)="F",AND(U$6&gt;0,$A588&lt;U$6),AND(U$7&gt;0,$A588&gt;U$7)),0,MAX(0,ROUND((INDEX($E588:$G588,U$5)-SUMIFS(TF_Timer,TF_Tekniker,U$4,TF_Dato,$A588))*2,0)/2)))</f>
        <v/>
      </c>
      <c r="V588">
        <f>IF(OR(V$4="",$A588&gt;TODAY()),0,IF(OR(INDEX($B588:$D588,V$5)="F",AND(V$6&gt;0,$A588&lt;V$6),AND(V$7&gt;0,$A588&gt;V$7)),0,MAX(0,ROUND((INDEX($E588:$G588,V$5)-SUMIFS(TF_Timer,TF_Tekniker,V$4,TF_Dato,$A588))*2,0)/2)))</f>
        <v/>
      </c>
      <c r="W588">
        <f>IF(OR(W$4="",$A588&gt;TODAY()),0,IF(OR(INDEX($B588:$D588,W$5)="F",AND(W$6&gt;0,$A588&lt;W$6),AND(W$7&gt;0,$A588&gt;W$7)),0,MAX(0,ROUND((INDEX($E588:$G588,W$5)-SUMIFS(TF_Timer,TF_Tekniker,W$4,TF_Dato,$A588))*2,0)/2)))</f>
        <v/>
      </c>
      <c r="X588">
        <f>IF(OR(X$4="",$A588&gt;TODAY()),0,IF(OR(INDEX($B588:$D588,X$5)="F",AND(X$6&gt;0,$A588&lt;X$6),AND(X$7&gt;0,$A588&gt;X$7)),0,MAX(0,ROUND((INDEX($E588:$G588,X$5)-SUMIFS(TF_Timer,TF_Tekniker,X$4,TF_Dato,$A588))*2,0)/2)))</f>
        <v/>
      </c>
      <c r="Y588">
        <f>IF(OR(Y$4="",$A588&gt;TODAY()),0,IF(OR(INDEX($B588:$D588,Y$5)="F",AND(Y$6&gt;0,$A588&lt;Y$6),AND(Y$7&gt;0,$A588&gt;Y$7)),0,MAX(0,ROUND((INDEX($E588:$G588,Y$5)-SUMIFS(TF_Timer,TF_Tekniker,Y$4,TF_Dato,$A588))*2,0)/2)))</f>
        <v/>
      </c>
      <c r="Z588">
        <f>IF(OR(Z$4="",$A588&gt;TODAY()),0,IF(OR(INDEX($B588:$D588,Z$5)="F",AND(Z$6&gt;0,$A588&lt;Z$6),AND(Z$7&gt;0,$A588&gt;Z$7)),0,MAX(0,ROUND((INDEX($E588:$G588,Z$5)-SUMIFS(TF_Timer,TF_Tekniker,Z$4,TF_Dato,$A588))*2,0)/2)))</f>
        <v/>
      </c>
      <c r="AA588">
        <f>IF(OR(AA$4="",$A588&gt;TODAY()),0,IF(OR(INDEX($B588:$D588,AA$5)="F",AND(AA$6&gt;0,$A588&lt;AA$6),AND(AA$7&gt;0,$A588&gt;AA$7)),0,MAX(0,ROUND((INDEX($E588:$G588,AA$5)-SUMIFS(TF_Timer,TF_Tekniker,AA$4,TF_Dato,$A588))*2,0)/2)))</f>
        <v/>
      </c>
      <c r="AB588">
        <f>IF(OR(AB$4="",$A588&gt;TODAY()),0,IF(OR(INDEX($B588:$D588,AB$5)="F",AND(AB$6&gt;0,$A588&lt;AB$6),AND(AB$7&gt;0,$A588&gt;AB$7)),0,MAX(0,ROUND((INDEX($E588:$G588,AB$5)-SUMIFS(TF_Timer,TF_Tekniker,AB$4,TF_Dato,$A588))*2,0)/2)))</f>
        <v/>
      </c>
      <c r="AC588">
        <f>IF(OR(AC$4="",$A588&gt;TODAY()),0,IF(OR(INDEX($B588:$D588,AC$5)="F",AND(AC$6&gt;0,$A588&lt;AC$6),AND(AC$7&gt;0,$A588&gt;AC$7)),0,MAX(0,ROUND((INDEX($E588:$G588,AC$5)-SUMIFS(TF_Timer,TF_Tekniker,AC$4,TF_Dato,$A588))*2,0)/2)))</f>
        <v/>
      </c>
      <c r="AD588">
        <f>IF(OR(AD$4="",$A588&gt;TODAY()),0,IF(OR(INDEX($B588:$D588,AD$5)="F",AND(AD$6&gt;0,$A588&lt;AD$6),AND(AD$7&gt;0,$A588&gt;AD$7)),0,MAX(0,ROUND((INDEX($E588:$G588,AD$5)-SUMIFS(TF_Timer,TF_Tekniker,AD$4,TF_Dato,$A588))*2,0)/2)))</f>
        <v/>
      </c>
      <c r="AE588">
        <f>IF(OR(AE$4="",$A588&gt;TODAY()),0,IF(OR(INDEX($B588:$D588,AE$5)="F",AND(AE$6&gt;0,$A588&lt;AE$6),AND(AE$7&gt;0,$A588&gt;AE$7)),0,MAX(0,ROUND((INDEX($E588:$G588,AE$5)-SUMIFS(TF_Timer,TF_Tekniker,AE$4,TF_Dato,$A588))*2,0)/2)))</f>
        <v/>
      </c>
      <c r="AF588">
        <f>IF(OR(AF$4="",$A588&gt;TODAY()),0,IF(OR(INDEX($B588:$D588,AF$5)="F",AND(AF$6&gt;0,$A588&lt;AF$6),AND(AF$7&gt;0,$A588&gt;AF$7)),0,MAX(0,ROUND((INDEX($E588:$G588,AF$5)-SUMIFS(TF_Timer,TF_Tekniker,AF$4,TF_Dato,$A588))*2,0)/2)))</f>
        <v/>
      </c>
      <c r="AG588">
        <f>IF(OR(AG$4="",$A588&gt;TODAY()),0,IF(OR(INDEX($B588:$D588,AG$5)="F",AND(AG$6&gt;0,$A588&lt;AG$6),AND(AG$7&gt;0,$A588&gt;AG$7)),0,MAX(0,ROUND((INDEX($E588:$G588,AG$5)-SUMIFS(TF_Timer,TF_Tekniker,AG$4,TF_Dato,$A588))*2,0)/2)))</f>
        <v/>
      </c>
      <c r="AH588">
        <f>IF(OR(AH$4="",$A588&gt;TODAY()),0,IF(OR(INDEX($B588:$D588,AH$5)="F",AND(AH$6&gt;0,$A588&lt;AH$6),AND(AH$7&gt;0,$A588&gt;AH$7)),0,MAX(0,ROUND((INDEX($E588:$G588,AH$5)-SUMIFS(TF_Timer,TF_Tekniker,AH$4,TF_Dato,$A588))*2,0)/2)))</f>
        <v/>
      </c>
      <c r="AI588">
        <f>IF(OR(AI$4="",$A588&gt;TODAY()),0,IF(OR(INDEX($B588:$D588,AI$5)="F",AND(AI$6&gt;0,$A588&lt;AI$6),AND(AI$7&gt;0,$A588&gt;AI$7)),0,MAX(0,ROUND((INDEX($E588:$G588,AI$5)-SUMIFS(TF_Timer,TF_Tekniker,AI$4,TF_Dato,$A588))*2,0)/2)))</f>
        <v/>
      </c>
      <c r="AJ588">
        <f>IF(OR(AJ$4="",$A588&gt;TODAY()),0,IF(OR(INDEX($B588:$D588,AJ$5)="F",AND(AJ$6&gt;0,$A588&lt;AJ$6),AND(AJ$7&gt;0,$A588&gt;AJ$7)),0,MAX(0,ROUND((INDEX($E588:$G588,AJ$5)-SUMIFS(TF_Timer,TF_Tekniker,AJ$4,TF_Dato,$A588))*2,0)/2)))</f>
        <v/>
      </c>
      <c r="AK588">
        <f>IF(OR(AK$4="",$A588&gt;TODAY()),0,IF(OR(INDEX($B588:$D588,AK$5)="F",AND(AK$6&gt;0,$A588&lt;AK$6),AND(AK$7&gt;0,$A588&gt;AK$7)),0,MAX(0,ROUND((INDEX($E588:$G588,AK$5)-SUMIFS(TF_Timer,TF_Tekniker,AK$4,TF_Dato,$A588))*2,0)/2)))</f>
        <v/>
      </c>
      <c r="AL588">
        <f>IF(OR(AL$4="",$A588&gt;TODAY()),0,IF(OR(INDEX($B588:$D588,AL$5)="F",AND(AL$6&gt;0,$A588&lt;AL$6),AND(AL$7&gt;0,$A588&gt;AL$7)),0,MAX(0,ROUND((INDEX($E588:$G588,AL$5)-SUMIFS(TF_Timer,TF_Tekniker,AL$4,TF_Dato,$A588))*2,0)/2)))</f>
        <v/>
      </c>
      <c r="AM588">
        <f>IF(OR(AM$4="",$A588&gt;TODAY()),0,IF(OR(INDEX($B588:$D588,AM$5)="F",AND(AM$6&gt;0,$A588&lt;AM$6),AND(AM$7&gt;0,$A588&gt;AM$7)),0,MAX(0,ROUND((INDEX($E588:$G588,AM$5)-SUMIFS(TF_Timer,TF_Tekniker,AM$4,TF_Dato,$A588))*2,0)/2)))</f>
        <v/>
      </c>
      <c r="AN588">
        <f>IF(OR(AN$4="",$A588&gt;TODAY()),0,IF(OR(INDEX($B588:$D588,AN$5)="F",AND(AN$6&gt;0,$A588&lt;AN$6),AND(AN$7&gt;0,$A588&gt;AN$7)),0,MAX(0,ROUND((INDEX($E588:$G588,AN$5)-SUMIFS(TF_Timer,TF_Tekniker,AN$4,TF_Dato,$A588))*2,0)/2)))</f>
        <v/>
      </c>
      <c r="AO588">
        <f>IF(OR(AO$4="",$A588&gt;TODAY()),0,IF(OR(INDEX($B588:$D588,AO$5)="F",AND(AO$6&gt;0,$A588&lt;AO$6),AND(AO$7&gt;0,$A588&gt;AO$7)),0,MAX(0,ROUND((INDEX($E588:$G588,AO$5)-SUMIFS(TF_Timer,TF_Tekniker,AO$4,TF_Dato,$A588))*2,0)/2)))</f>
        <v/>
      </c>
      <c r="AP588">
        <f>IF(OR(AP$4="",$A588&gt;TODAY()),0,IF(OR(INDEX($B588:$D588,AP$5)="F",AND(AP$6&gt;0,$A588&lt;AP$6),AND(AP$7&gt;0,$A588&gt;AP$7)),0,MAX(0,ROUND((INDEX($E588:$G588,AP$5)-SUMIFS(TF_Timer,TF_Tekniker,AP$4,TF_Dato,$A588))*2,0)/2)))</f>
        <v/>
      </c>
      <c r="AQ588">
        <f>IF(OR(AQ$4="",$A588&gt;TODAY()),0,IF(OR(INDEX($B588:$D588,AQ$5)="F",AND(AQ$6&gt;0,$A588&lt;AQ$6),AND(AQ$7&gt;0,$A588&gt;AQ$7)),0,MAX(0,ROUND((INDEX($E588:$G588,AQ$5)-SUMIFS(TF_Timer,TF_Tekniker,AQ$4,TF_Dato,$A588))*2,0)/2)))</f>
        <v/>
      </c>
      <c r="AR588">
        <f>IF(OR(AR$4="",$A588&gt;TODAY()),0,IF(OR(INDEX($B588:$D588,AR$5)="F",AND(AR$6&gt;0,$A588&lt;AR$6),AND(AR$7&gt;0,$A588&gt;AR$7)),0,MAX(0,ROUND((INDEX($E588:$G588,AR$5)-SUMIFS(TF_Timer,TF_Tekniker,AR$4,TF_Dato,$A588))*2,0)/2)))</f>
        <v/>
      </c>
      <c r="AS588">
        <f>IF(OR(AS$4="",$A588&gt;TODAY()),0,IF(OR(INDEX($B588:$D588,AS$5)="F",AND(AS$6&gt;0,$A588&lt;AS$6),AND(AS$7&gt;0,$A588&gt;AS$7)),0,MAX(0,ROUND((INDEX($E588:$G588,AS$5)-SUMIFS(TF_Timer,TF_Tekniker,AS$4,TF_Dato,$A588))*2,0)/2)))</f>
        <v/>
      </c>
      <c r="AT588">
        <f>IF(OR(AT$4="",$A588&gt;TODAY()),0,IF(OR(INDEX($B588:$D588,AT$5)="F",AND(AT$6&gt;0,$A588&lt;AT$6),AND(AT$7&gt;0,$A588&gt;AT$7)),0,MAX(0,ROUND((INDEX($E588:$G588,AT$5)-SUMIFS(TF_Timer,TF_Tekniker,AT$4,TF_Dato,$A588))*2,0)/2)))</f>
        <v/>
      </c>
      <c r="AU588">
        <f>IF(OR(AU$4="",$A588&gt;TODAY()),0,IF(OR(INDEX($B588:$D588,AU$5)="F",AND(AU$6&gt;0,$A588&lt;AU$6),AND(AU$7&gt;0,$A588&gt;AU$7)),0,MAX(0,ROUND((INDEX($E588:$G588,AU$5)-SUMIFS(TF_Timer,TF_Tekniker,AU$4,TF_Dato,$A588))*2,0)/2)))</f>
        <v/>
      </c>
      <c r="AV588">
        <f>IF(OR(AV$4="",$A588&gt;TODAY()),0,IF(OR(INDEX($B588:$D588,AV$5)="F",AND(AV$6&gt;0,$A588&lt;AV$6),AND(AV$7&gt;0,$A588&gt;AV$7)),0,MAX(0,ROUND((INDEX($E588:$G588,AV$5)-SUMIFS(TF_Timer,TF_Tekniker,AV$4,TF_Dato,$A588))*2,0)/2)))</f>
        <v/>
      </c>
      <c r="AW588">
        <f>IF(OR(AW$4="",$A588&gt;TODAY()),0,IF(OR(INDEX($B588:$D588,AW$5)="F",AND(AW$6&gt;0,$A588&lt;AW$6),AND(AW$7&gt;0,$A588&gt;AW$7)),0,MAX(0,ROUND((INDEX($E588:$G588,AW$5)-SUMIFS(TF_Timer,TF_Tekniker,AW$4,TF_Dato,$A588))*2,0)/2)))</f>
        <v/>
      </c>
      <c r="AX588">
        <f>IF(OR(AX$4="",$A588&gt;TODAY()),0,IF(OR(INDEX($B588:$D588,AX$5)="F",AND(AX$6&gt;0,$A588&lt;AX$6),AND(AX$7&gt;0,$A588&gt;AX$7)),0,MAX(0,ROUND((INDEX($E588:$G588,AX$5)-SUMIFS(TF_Timer,TF_Tekniker,AX$4,TF_Dato,$A588))*2,0)/2)))</f>
        <v/>
      </c>
      <c r="AY588">
        <f>IF(OR(AY$4="",$A588&gt;TODAY()),0,IF(OR(INDEX($B588:$D588,AY$5)="F",AND(AY$6&gt;0,$A588&lt;AY$6),AND(AY$7&gt;0,$A588&gt;AY$7)),0,MAX(0,ROUND((INDEX($E588:$G588,AY$5)-SUMIFS(TF_Timer,TF_Tekniker,AY$4,TF_Dato,$A588))*2,0)/2)))</f>
        <v/>
      </c>
      <c r="AZ588">
        <f>IF(OR(AZ$4="",$A588&gt;TODAY()),0,IF(OR(INDEX($B588:$D588,AZ$5)="F",AND(AZ$6&gt;0,$A588&lt;AZ$6),AND(AZ$7&gt;0,$A588&gt;AZ$7)),0,MAX(0,ROUND((INDEX($E588:$G588,AZ$5)-SUMIFS(TF_Timer,TF_Tekniker,AZ$4,TF_Dato,$A588))*2,0)/2)))</f>
        <v/>
      </c>
      <c r="BA588">
        <f>IF(OR(BA$4="",$A588&gt;TODAY()),0,IF(OR(INDEX($B588:$D588,BA$5)="F",AND(BA$6&gt;0,$A588&lt;BA$6),AND(BA$7&gt;0,$A588&gt;BA$7)),0,MAX(0,ROUND((INDEX($E588:$G588,BA$5)-SUMIFS(TF_Timer,TF_Tekniker,BA$4,TF_Dato,$A588))*2,0)/2)))</f>
        <v/>
      </c>
      <c r="BB588">
        <f>IF(OR(BB$4="",$A588&gt;TODAY()),0,IF(OR(INDEX($B588:$D588,BB$5)="F",AND(BB$6&gt;0,$A588&lt;BB$6),AND(BB$7&gt;0,$A588&gt;BB$7)),0,MAX(0,ROUND((INDEX($E588:$G588,BB$5)-SUMIFS(TF_Timer,TF_Tekniker,BB$4,TF_Dato,$A588))*2,0)/2)))</f>
        <v/>
      </c>
      <c r="BC588">
        <f>IF(OR(BC$4="",$A588&gt;TODAY()),0,IF(OR(INDEX($B588:$D588,BC$5)="F",AND(BC$6&gt;0,$A588&lt;BC$6),AND(BC$7&gt;0,$A588&gt;BC$7)),0,MAX(0,ROUND((INDEX($E588:$G588,BC$5)-SUMIFS(TF_Timer,TF_Tekniker,BC$4,TF_Dato,$A588))*2,0)/2)))</f>
        <v/>
      </c>
      <c r="BD588">
        <f>IF(OR(BD$4="",$A588&gt;TODAY()),0,IF(OR(INDEX($B588:$D588,BD$5)="F",AND(BD$6&gt;0,$A588&lt;BD$6),AND(BD$7&gt;0,$A588&gt;BD$7)),0,MAX(0,ROUND((INDEX($E588:$G588,BD$5)-SUMIFS(TF_Timer,TF_Tekniker,BD$4,TF_Dato,$A588))*2,0)/2)))</f>
        <v/>
      </c>
      <c r="BE588">
        <f>IF(OR(BE$4="",$A588&gt;TODAY()),0,IF(OR(INDEX($B588:$D588,BE$5)="F",AND(BE$6&gt;0,$A588&lt;BE$6),AND(BE$7&gt;0,$A588&gt;BE$7)),0,MAX(0,ROUND((INDEX($E588:$G588,BE$5)-SUMIFS(TF_Timer,TF_Tekniker,BE$4,TF_Dato,$A588))*2,0)/2)))</f>
        <v/>
      </c>
      <c r="BF588">
        <f>IF(OR(BF$4="",$A588&gt;TODAY()),0,IF(OR(INDEX($B588:$D588,BF$5)="F",AND(BF$6&gt;0,$A588&lt;BF$6),AND(BF$7&gt;0,$A588&gt;BF$7)),0,MAX(0,ROUND((INDEX($E588:$G588,BF$5)-SUMIFS(TF_Timer,TF_Tekniker,BF$4,TF_Dato,$A588))*2,0)/2)))</f>
        <v/>
      </c>
      <c r="BG588">
        <f>IF(OR(BG$4="",$A588&gt;TODAY()),0,IF(OR(INDEX($B588:$D588,BG$5)="F",AND(BG$6&gt;0,$A588&lt;BG$6),AND(BG$7&gt;0,$A588&gt;BG$7)),0,MAX(0,ROUND((INDEX($E588:$G588,BG$5)-SUMIFS(TF_Timer,TF_Tekniker,BG$4,TF_Dato,$A588))*2,0)/2)))</f>
        <v/>
      </c>
      <c r="BH588">
        <f>IF(OR(BH$4="",$A588&gt;TODAY()),0,IF(OR(INDEX($B588:$D588,BH$5)="F",AND(BH$6&gt;0,$A588&lt;BH$6),AND(BH$7&gt;0,$A588&gt;BH$7)),0,MAX(0,ROUND((INDEX($E588:$G588,BH$5)-SUMIFS(TF_Timer,TF_Tekniker,BH$4,TF_Dato,$A588))*2,0)/2)))</f>
        <v/>
      </c>
      <c r="BI588">
        <f>IF(OR(BI$4="",$A588&gt;TODAY()),0,IF(OR(INDEX($B588:$D588,BI$5)="F",AND(BI$6&gt;0,$A588&lt;BI$6),AND(BI$7&gt;0,$A588&gt;BI$7)),0,MAX(0,ROUND((INDEX($E588:$G588,BI$5)-SUMIFS(TF_Timer,TF_Tekniker,BI$4,TF_Dato,$A588))*2,0)/2)))</f>
        <v/>
      </c>
    </row>
    <row r="589">
      <c r="A589" s="64">
        <f>A588+1</f>
        <v/>
      </c>
      <c r="B589">
        <f>IF(MOD($A589-INDEX(SkiftStart,1),Syklus)&lt;DagK,"K",IF(MOD($A589-INDEX(SkiftStart,1),Syklus)&lt;DagK+DagH,"H",IF(MOD($A589-INDEX(SkiftStart,1),Syklus)&lt;DagK+DagH+DagD,"D","F")))</f>
        <v/>
      </c>
      <c r="C589">
        <f>IF(MOD($A589-INDEX(SkiftStart,2),Syklus)&lt;DagK,"K",IF(MOD($A589-INDEX(SkiftStart,2),Syklus)&lt;DagK+DagH,"H",IF(MOD($A589-INDEX(SkiftStart,2),Syklus)&lt;DagK+DagH+DagD,"D","F")))</f>
        <v/>
      </c>
      <c r="D589">
        <f>IF(MOD($A589-INDEX(SkiftStart,3),Syklus)&lt;DagK,"K",IF(MOD($A589-INDEX(SkiftStart,3),Syklus)&lt;DagK+DagH,"H",IF(MOD($A589-INDEX(SkiftStart,3),Syklus)&lt;DagK+DagH+DagD,"D","F")))</f>
        <v/>
      </c>
      <c r="E589">
        <f>IF(B589="F",0,IF(WEEKDAY($A589,2)=5,INDEX(TimerFr,MATCH(B589,FaseKode,0)),INDEX(TimerMT,MATCH(B589,FaseKode,0))))</f>
        <v/>
      </c>
      <c r="F589">
        <f>IF(C589="F",0,IF(WEEKDAY($A589,2)=5,INDEX(TimerFr,MATCH(C589,FaseKode,0)),INDEX(TimerMT,MATCH(C589,FaseKode,0))))</f>
        <v/>
      </c>
      <c r="G589">
        <f>IF(D589="F",0,IF(WEEKDAY($A589,2)=5,INDEX(TimerFr,MATCH(D589,FaseKode,0)),INDEX(TimerMT,MATCH(D589,FaseKode,0))))</f>
        <v/>
      </c>
      <c r="H589">
        <f>IF(OR(H$4="",$A589&gt;TODAY()),0,IF(OR(INDEX($B589:$D589,H$5)="F",AND(H$6&gt;0,$A589&lt;H$6),AND(H$7&gt;0,$A589&gt;H$7)),0,MAX(0,ROUND((INDEX($E589:$G589,H$5)-SUMIFS(TF_Timer,TF_Tekniker,H$4,TF_Dato,$A589))*2,0)/2)))</f>
        <v/>
      </c>
      <c r="I589">
        <f>IF(OR(I$4="",$A589&gt;TODAY()),0,IF(OR(INDEX($B589:$D589,I$5)="F",AND(I$6&gt;0,$A589&lt;I$6),AND(I$7&gt;0,$A589&gt;I$7)),0,MAX(0,ROUND((INDEX($E589:$G589,I$5)-SUMIFS(TF_Timer,TF_Tekniker,I$4,TF_Dato,$A589))*2,0)/2)))</f>
        <v/>
      </c>
      <c r="J589">
        <f>IF(OR(J$4="",$A589&gt;TODAY()),0,IF(OR(INDEX($B589:$D589,J$5)="F",AND(J$6&gt;0,$A589&lt;J$6),AND(J$7&gt;0,$A589&gt;J$7)),0,MAX(0,ROUND((INDEX($E589:$G589,J$5)-SUMIFS(TF_Timer,TF_Tekniker,J$4,TF_Dato,$A589))*2,0)/2)))</f>
        <v/>
      </c>
      <c r="K589">
        <f>IF(OR(K$4="",$A589&gt;TODAY()),0,IF(OR(INDEX($B589:$D589,K$5)="F",AND(K$6&gt;0,$A589&lt;K$6),AND(K$7&gt;0,$A589&gt;K$7)),0,MAX(0,ROUND((INDEX($E589:$G589,K$5)-SUMIFS(TF_Timer,TF_Tekniker,K$4,TF_Dato,$A589))*2,0)/2)))</f>
        <v/>
      </c>
      <c r="L589">
        <f>IF(OR(L$4="",$A589&gt;TODAY()),0,IF(OR(INDEX($B589:$D589,L$5)="F",AND(L$6&gt;0,$A589&lt;L$6),AND(L$7&gt;0,$A589&gt;L$7)),0,MAX(0,ROUND((INDEX($E589:$G589,L$5)-SUMIFS(TF_Timer,TF_Tekniker,L$4,TF_Dato,$A589))*2,0)/2)))</f>
        <v/>
      </c>
      <c r="M589">
        <f>IF(OR(M$4="",$A589&gt;TODAY()),0,IF(OR(INDEX($B589:$D589,M$5)="F",AND(M$6&gt;0,$A589&lt;M$6),AND(M$7&gt;0,$A589&gt;M$7)),0,MAX(0,ROUND((INDEX($E589:$G589,M$5)-SUMIFS(TF_Timer,TF_Tekniker,M$4,TF_Dato,$A589))*2,0)/2)))</f>
        <v/>
      </c>
      <c r="N589">
        <f>IF(OR(N$4="",$A589&gt;TODAY()),0,IF(OR(INDEX($B589:$D589,N$5)="F",AND(N$6&gt;0,$A589&lt;N$6),AND(N$7&gt;0,$A589&gt;N$7)),0,MAX(0,ROUND((INDEX($E589:$G589,N$5)-SUMIFS(TF_Timer,TF_Tekniker,N$4,TF_Dato,$A589))*2,0)/2)))</f>
        <v/>
      </c>
      <c r="O589">
        <f>IF(OR(O$4="",$A589&gt;TODAY()),0,IF(OR(INDEX($B589:$D589,O$5)="F",AND(O$6&gt;0,$A589&lt;O$6),AND(O$7&gt;0,$A589&gt;O$7)),0,MAX(0,ROUND((INDEX($E589:$G589,O$5)-SUMIFS(TF_Timer,TF_Tekniker,O$4,TF_Dato,$A589))*2,0)/2)))</f>
        <v/>
      </c>
      <c r="P589">
        <f>IF(OR(P$4="",$A589&gt;TODAY()),0,IF(OR(INDEX($B589:$D589,P$5)="F",AND(P$6&gt;0,$A589&lt;P$6),AND(P$7&gt;0,$A589&gt;P$7)),0,MAX(0,ROUND((INDEX($E589:$G589,P$5)-SUMIFS(TF_Timer,TF_Tekniker,P$4,TF_Dato,$A589))*2,0)/2)))</f>
        <v/>
      </c>
      <c r="Q589">
        <f>IF(OR(Q$4="",$A589&gt;TODAY()),0,IF(OR(INDEX($B589:$D589,Q$5)="F",AND(Q$6&gt;0,$A589&lt;Q$6),AND(Q$7&gt;0,$A589&gt;Q$7)),0,MAX(0,ROUND((INDEX($E589:$G589,Q$5)-SUMIFS(TF_Timer,TF_Tekniker,Q$4,TF_Dato,$A589))*2,0)/2)))</f>
        <v/>
      </c>
      <c r="R589">
        <f>IF(OR(R$4="",$A589&gt;TODAY()),0,IF(OR(INDEX($B589:$D589,R$5)="F",AND(R$6&gt;0,$A589&lt;R$6),AND(R$7&gt;0,$A589&gt;R$7)),0,MAX(0,ROUND((INDEX($E589:$G589,R$5)-SUMIFS(TF_Timer,TF_Tekniker,R$4,TF_Dato,$A589))*2,0)/2)))</f>
        <v/>
      </c>
      <c r="S589">
        <f>IF(OR(S$4="",$A589&gt;TODAY()),0,IF(OR(INDEX($B589:$D589,S$5)="F",AND(S$6&gt;0,$A589&lt;S$6),AND(S$7&gt;0,$A589&gt;S$7)),0,MAX(0,ROUND((INDEX($E589:$G589,S$5)-SUMIFS(TF_Timer,TF_Tekniker,S$4,TF_Dato,$A589))*2,0)/2)))</f>
        <v/>
      </c>
      <c r="T589">
        <f>IF(OR(T$4="",$A589&gt;TODAY()),0,IF(OR(INDEX($B589:$D589,T$5)="F",AND(T$6&gt;0,$A589&lt;T$6),AND(T$7&gt;0,$A589&gt;T$7)),0,MAX(0,ROUND((INDEX($E589:$G589,T$5)-SUMIFS(TF_Timer,TF_Tekniker,T$4,TF_Dato,$A589))*2,0)/2)))</f>
        <v/>
      </c>
      <c r="U589">
        <f>IF(OR(U$4="",$A589&gt;TODAY()),0,IF(OR(INDEX($B589:$D589,U$5)="F",AND(U$6&gt;0,$A589&lt;U$6),AND(U$7&gt;0,$A589&gt;U$7)),0,MAX(0,ROUND((INDEX($E589:$G589,U$5)-SUMIFS(TF_Timer,TF_Tekniker,U$4,TF_Dato,$A589))*2,0)/2)))</f>
        <v/>
      </c>
      <c r="V589">
        <f>IF(OR(V$4="",$A589&gt;TODAY()),0,IF(OR(INDEX($B589:$D589,V$5)="F",AND(V$6&gt;0,$A589&lt;V$6),AND(V$7&gt;0,$A589&gt;V$7)),0,MAX(0,ROUND((INDEX($E589:$G589,V$5)-SUMIFS(TF_Timer,TF_Tekniker,V$4,TF_Dato,$A589))*2,0)/2)))</f>
        <v/>
      </c>
      <c r="W589">
        <f>IF(OR(W$4="",$A589&gt;TODAY()),0,IF(OR(INDEX($B589:$D589,W$5)="F",AND(W$6&gt;0,$A589&lt;W$6),AND(W$7&gt;0,$A589&gt;W$7)),0,MAX(0,ROUND((INDEX($E589:$G589,W$5)-SUMIFS(TF_Timer,TF_Tekniker,W$4,TF_Dato,$A589))*2,0)/2)))</f>
        <v/>
      </c>
      <c r="X589">
        <f>IF(OR(X$4="",$A589&gt;TODAY()),0,IF(OR(INDEX($B589:$D589,X$5)="F",AND(X$6&gt;0,$A589&lt;X$6),AND(X$7&gt;0,$A589&gt;X$7)),0,MAX(0,ROUND((INDEX($E589:$G589,X$5)-SUMIFS(TF_Timer,TF_Tekniker,X$4,TF_Dato,$A589))*2,0)/2)))</f>
        <v/>
      </c>
      <c r="Y589">
        <f>IF(OR(Y$4="",$A589&gt;TODAY()),0,IF(OR(INDEX($B589:$D589,Y$5)="F",AND(Y$6&gt;0,$A589&lt;Y$6),AND(Y$7&gt;0,$A589&gt;Y$7)),0,MAX(0,ROUND((INDEX($E589:$G589,Y$5)-SUMIFS(TF_Timer,TF_Tekniker,Y$4,TF_Dato,$A589))*2,0)/2)))</f>
        <v/>
      </c>
      <c r="Z589">
        <f>IF(OR(Z$4="",$A589&gt;TODAY()),0,IF(OR(INDEX($B589:$D589,Z$5)="F",AND(Z$6&gt;0,$A589&lt;Z$6),AND(Z$7&gt;0,$A589&gt;Z$7)),0,MAX(0,ROUND((INDEX($E589:$G589,Z$5)-SUMIFS(TF_Timer,TF_Tekniker,Z$4,TF_Dato,$A589))*2,0)/2)))</f>
        <v/>
      </c>
      <c r="AA589">
        <f>IF(OR(AA$4="",$A589&gt;TODAY()),0,IF(OR(INDEX($B589:$D589,AA$5)="F",AND(AA$6&gt;0,$A589&lt;AA$6),AND(AA$7&gt;0,$A589&gt;AA$7)),0,MAX(0,ROUND((INDEX($E589:$G589,AA$5)-SUMIFS(TF_Timer,TF_Tekniker,AA$4,TF_Dato,$A589))*2,0)/2)))</f>
        <v/>
      </c>
      <c r="AB589">
        <f>IF(OR(AB$4="",$A589&gt;TODAY()),0,IF(OR(INDEX($B589:$D589,AB$5)="F",AND(AB$6&gt;0,$A589&lt;AB$6),AND(AB$7&gt;0,$A589&gt;AB$7)),0,MAX(0,ROUND((INDEX($E589:$G589,AB$5)-SUMIFS(TF_Timer,TF_Tekniker,AB$4,TF_Dato,$A589))*2,0)/2)))</f>
        <v/>
      </c>
      <c r="AC589">
        <f>IF(OR(AC$4="",$A589&gt;TODAY()),0,IF(OR(INDEX($B589:$D589,AC$5)="F",AND(AC$6&gt;0,$A589&lt;AC$6),AND(AC$7&gt;0,$A589&gt;AC$7)),0,MAX(0,ROUND((INDEX($E589:$G589,AC$5)-SUMIFS(TF_Timer,TF_Tekniker,AC$4,TF_Dato,$A589))*2,0)/2)))</f>
        <v/>
      </c>
      <c r="AD589">
        <f>IF(OR(AD$4="",$A589&gt;TODAY()),0,IF(OR(INDEX($B589:$D589,AD$5)="F",AND(AD$6&gt;0,$A589&lt;AD$6),AND(AD$7&gt;0,$A589&gt;AD$7)),0,MAX(0,ROUND((INDEX($E589:$G589,AD$5)-SUMIFS(TF_Timer,TF_Tekniker,AD$4,TF_Dato,$A589))*2,0)/2)))</f>
        <v/>
      </c>
      <c r="AE589">
        <f>IF(OR(AE$4="",$A589&gt;TODAY()),0,IF(OR(INDEX($B589:$D589,AE$5)="F",AND(AE$6&gt;0,$A589&lt;AE$6),AND(AE$7&gt;0,$A589&gt;AE$7)),0,MAX(0,ROUND((INDEX($E589:$G589,AE$5)-SUMIFS(TF_Timer,TF_Tekniker,AE$4,TF_Dato,$A589))*2,0)/2)))</f>
        <v/>
      </c>
      <c r="AF589">
        <f>IF(OR(AF$4="",$A589&gt;TODAY()),0,IF(OR(INDEX($B589:$D589,AF$5)="F",AND(AF$6&gt;0,$A589&lt;AF$6),AND(AF$7&gt;0,$A589&gt;AF$7)),0,MAX(0,ROUND((INDEX($E589:$G589,AF$5)-SUMIFS(TF_Timer,TF_Tekniker,AF$4,TF_Dato,$A589))*2,0)/2)))</f>
        <v/>
      </c>
      <c r="AG589">
        <f>IF(OR(AG$4="",$A589&gt;TODAY()),0,IF(OR(INDEX($B589:$D589,AG$5)="F",AND(AG$6&gt;0,$A589&lt;AG$6),AND(AG$7&gt;0,$A589&gt;AG$7)),0,MAX(0,ROUND((INDEX($E589:$G589,AG$5)-SUMIFS(TF_Timer,TF_Tekniker,AG$4,TF_Dato,$A589))*2,0)/2)))</f>
        <v/>
      </c>
      <c r="AH589">
        <f>IF(OR(AH$4="",$A589&gt;TODAY()),0,IF(OR(INDEX($B589:$D589,AH$5)="F",AND(AH$6&gt;0,$A589&lt;AH$6),AND(AH$7&gt;0,$A589&gt;AH$7)),0,MAX(0,ROUND((INDEX($E589:$G589,AH$5)-SUMIFS(TF_Timer,TF_Tekniker,AH$4,TF_Dato,$A589))*2,0)/2)))</f>
        <v/>
      </c>
      <c r="AI589">
        <f>IF(OR(AI$4="",$A589&gt;TODAY()),0,IF(OR(INDEX($B589:$D589,AI$5)="F",AND(AI$6&gt;0,$A589&lt;AI$6),AND(AI$7&gt;0,$A589&gt;AI$7)),0,MAX(0,ROUND((INDEX($E589:$G589,AI$5)-SUMIFS(TF_Timer,TF_Tekniker,AI$4,TF_Dato,$A589))*2,0)/2)))</f>
        <v/>
      </c>
      <c r="AJ589">
        <f>IF(OR(AJ$4="",$A589&gt;TODAY()),0,IF(OR(INDEX($B589:$D589,AJ$5)="F",AND(AJ$6&gt;0,$A589&lt;AJ$6),AND(AJ$7&gt;0,$A589&gt;AJ$7)),0,MAX(0,ROUND((INDEX($E589:$G589,AJ$5)-SUMIFS(TF_Timer,TF_Tekniker,AJ$4,TF_Dato,$A589))*2,0)/2)))</f>
        <v/>
      </c>
      <c r="AK589">
        <f>IF(OR(AK$4="",$A589&gt;TODAY()),0,IF(OR(INDEX($B589:$D589,AK$5)="F",AND(AK$6&gt;0,$A589&lt;AK$6),AND(AK$7&gt;0,$A589&gt;AK$7)),0,MAX(0,ROUND((INDEX($E589:$G589,AK$5)-SUMIFS(TF_Timer,TF_Tekniker,AK$4,TF_Dato,$A589))*2,0)/2)))</f>
        <v/>
      </c>
      <c r="AL589">
        <f>IF(OR(AL$4="",$A589&gt;TODAY()),0,IF(OR(INDEX($B589:$D589,AL$5)="F",AND(AL$6&gt;0,$A589&lt;AL$6),AND(AL$7&gt;0,$A589&gt;AL$7)),0,MAX(0,ROUND((INDEX($E589:$G589,AL$5)-SUMIFS(TF_Timer,TF_Tekniker,AL$4,TF_Dato,$A589))*2,0)/2)))</f>
        <v/>
      </c>
      <c r="AM589">
        <f>IF(OR(AM$4="",$A589&gt;TODAY()),0,IF(OR(INDEX($B589:$D589,AM$5)="F",AND(AM$6&gt;0,$A589&lt;AM$6),AND(AM$7&gt;0,$A589&gt;AM$7)),0,MAX(0,ROUND((INDEX($E589:$G589,AM$5)-SUMIFS(TF_Timer,TF_Tekniker,AM$4,TF_Dato,$A589))*2,0)/2)))</f>
        <v/>
      </c>
      <c r="AN589">
        <f>IF(OR(AN$4="",$A589&gt;TODAY()),0,IF(OR(INDEX($B589:$D589,AN$5)="F",AND(AN$6&gt;0,$A589&lt;AN$6),AND(AN$7&gt;0,$A589&gt;AN$7)),0,MAX(0,ROUND((INDEX($E589:$G589,AN$5)-SUMIFS(TF_Timer,TF_Tekniker,AN$4,TF_Dato,$A589))*2,0)/2)))</f>
        <v/>
      </c>
      <c r="AO589">
        <f>IF(OR(AO$4="",$A589&gt;TODAY()),0,IF(OR(INDEX($B589:$D589,AO$5)="F",AND(AO$6&gt;0,$A589&lt;AO$6),AND(AO$7&gt;0,$A589&gt;AO$7)),0,MAX(0,ROUND((INDEX($E589:$G589,AO$5)-SUMIFS(TF_Timer,TF_Tekniker,AO$4,TF_Dato,$A589))*2,0)/2)))</f>
        <v/>
      </c>
      <c r="AP589">
        <f>IF(OR(AP$4="",$A589&gt;TODAY()),0,IF(OR(INDEX($B589:$D589,AP$5)="F",AND(AP$6&gt;0,$A589&lt;AP$6),AND(AP$7&gt;0,$A589&gt;AP$7)),0,MAX(0,ROUND((INDEX($E589:$G589,AP$5)-SUMIFS(TF_Timer,TF_Tekniker,AP$4,TF_Dato,$A589))*2,0)/2)))</f>
        <v/>
      </c>
      <c r="AQ589">
        <f>IF(OR(AQ$4="",$A589&gt;TODAY()),0,IF(OR(INDEX($B589:$D589,AQ$5)="F",AND(AQ$6&gt;0,$A589&lt;AQ$6),AND(AQ$7&gt;0,$A589&gt;AQ$7)),0,MAX(0,ROUND((INDEX($E589:$G589,AQ$5)-SUMIFS(TF_Timer,TF_Tekniker,AQ$4,TF_Dato,$A589))*2,0)/2)))</f>
        <v/>
      </c>
      <c r="AR589">
        <f>IF(OR(AR$4="",$A589&gt;TODAY()),0,IF(OR(INDEX($B589:$D589,AR$5)="F",AND(AR$6&gt;0,$A589&lt;AR$6),AND(AR$7&gt;0,$A589&gt;AR$7)),0,MAX(0,ROUND((INDEX($E589:$G589,AR$5)-SUMIFS(TF_Timer,TF_Tekniker,AR$4,TF_Dato,$A589))*2,0)/2)))</f>
        <v/>
      </c>
      <c r="AS589">
        <f>IF(OR(AS$4="",$A589&gt;TODAY()),0,IF(OR(INDEX($B589:$D589,AS$5)="F",AND(AS$6&gt;0,$A589&lt;AS$6),AND(AS$7&gt;0,$A589&gt;AS$7)),0,MAX(0,ROUND((INDEX($E589:$G589,AS$5)-SUMIFS(TF_Timer,TF_Tekniker,AS$4,TF_Dato,$A589))*2,0)/2)))</f>
        <v/>
      </c>
      <c r="AT589">
        <f>IF(OR(AT$4="",$A589&gt;TODAY()),0,IF(OR(INDEX($B589:$D589,AT$5)="F",AND(AT$6&gt;0,$A589&lt;AT$6),AND(AT$7&gt;0,$A589&gt;AT$7)),0,MAX(0,ROUND((INDEX($E589:$G589,AT$5)-SUMIFS(TF_Timer,TF_Tekniker,AT$4,TF_Dato,$A589))*2,0)/2)))</f>
        <v/>
      </c>
      <c r="AU589">
        <f>IF(OR(AU$4="",$A589&gt;TODAY()),0,IF(OR(INDEX($B589:$D589,AU$5)="F",AND(AU$6&gt;0,$A589&lt;AU$6),AND(AU$7&gt;0,$A589&gt;AU$7)),0,MAX(0,ROUND((INDEX($E589:$G589,AU$5)-SUMIFS(TF_Timer,TF_Tekniker,AU$4,TF_Dato,$A589))*2,0)/2)))</f>
        <v/>
      </c>
      <c r="AV589">
        <f>IF(OR(AV$4="",$A589&gt;TODAY()),0,IF(OR(INDEX($B589:$D589,AV$5)="F",AND(AV$6&gt;0,$A589&lt;AV$6),AND(AV$7&gt;0,$A589&gt;AV$7)),0,MAX(0,ROUND((INDEX($E589:$G589,AV$5)-SUMIFS(TF_Timer,TF_Tekniker,AV$4,TF_Dato,$A589))*2,0)/2)))</f>
        <v/>
      </c>
      <c r="AW589">
        <f>IF(OR(AW$4="",$A589&gt;TODAY()),0,IF(OR(INDEX($B589:$D589,AW$5)="F",AND(AW$6&gt;0,$A589&lt;AW$6),AND(AW$7&gt;0,$A589&gt;AW$7)),0,MAX(0,ROUND((INDEX($E589:$G589,AW$5)-SUMIFS(TF_Timer,TF_Tekniker,AW$4,TF_Dato,$A589))*2,0)/2)))</f>
        <v/>
      </c>
      <c r="AX589">
        <f>IF(OR(AX$4="",$A589&gt;TODAY()),0,IF(OR(INDEX($B589:$D589,AX$5)="F",AND(AX$6&gt;0,$A589&lt;AX$6),AND(AX$7&gt;0,$A589&gt;AX$7)),0,MAX(0,ROUND((INDEX($E589:$G589,AX$5)-SUMIFS(TF_Timer,TF_Tekniker,AX$4,TF_Dato,$A589))*2,0)/2)))</f>
        <v/>
      </c>
      <c r="AY589">
        <f>IF(OR(AY$4="",$A589&gt;TODAY()),0,IF(OR(INDEX($B589:$D589,AY$5)="F",AND(AY$6&gt;0,$A589&lt;AY$6),AND(AY$7&gt;0,$A589&gt;AY$7)),0,MAX(0,ROUND((INDEX($E589:$G589,AY$5)-SUMIFS(TF_Timer,TF_Tekniker,AY$4,TF_Dato,$A589))*2,0)/2)))</f>
        <v/>
      </c>
      <c r="AZ589">
        <f>IF(OR(AZ$4="",$A589&gt;TODAY()),0,IF(OR(INDEX($B589:$D589,AZ$5)="F",AND(AZ$6&gt;0,$A589&lt;AZ$6),AND(AZ$7&gt;0,$A589&gt;AZ$7)),0,MAX(0,ROUND((INDEX($E589:$G589,AZ$5)-SUMIFS(TF_Timer,TF_Tekniker,AZ$4,TF_Dato,$A589))*2,0)/2)))</f>
        <v/>
      </c>
      <c r="BA589">
        <f>IF(OR(BA$4="",$A589&gt;TODAY()),0,IF(OR(INDEX($B589:$D589,BA$5)="F",AND(BA$6&gt;0,$A589&lt;BA$6),AND(BA$7&gt;0,$A589&gt;BA$7)),0,MAX(0,ROUND((INDEX($E589:$G589,BA$5)-SUMIFS(TF_Timer,TF_Tekniker,BA$4,TF_Dato,$A589))*2,0)/2)))</f>
        <v/>
      </c>
      <c r="BB589">
        <f>IF(OR(BB$4="",$A589&gt;TODAY()),0,IF(OR(INDEX($B589:$D589,BB$5)="F",AND(BB$6&gt;0,$A589&lt;BB$6),AND(BB$7&gt;0,$A589&gt;BB$7)),0,MAX(0,ROUND((INDEX($E589:$G589,BB$5)-SUMIFS(TF_Timer,TF_Tekniker,BB$4,TF_Dato,$A589))*2,0)/2)))</f>
        <v/>
      </c>
      <c r="BC589">
        <f>IF(OR(BC$4="",$A589&gt;TODAY()),0,IF(OR(INDEX($B589:$D589,BC$5)="F",AND(BC$6&gt;0,$A589&lt;BC$6),AND(BC$7&gt;0,$A589&gt;BC$7)),0,MAX(0,ROUND((INDEX($E589:$G589,BC$5)-SUMIFS(TF_Timer,TF_Tekniker,BC$4,TF_Dato,$A589))*2,0)/2)))</f>
        <v/>
      </c>
      <c r="BD589">
        <f>IF(OR(BD$4="",$A589&gt;TODAY()),0,IF(OR(INDEX($B589:$D589,BD$5)="F",AND(BD$6&gt;0,$A589&lt;BD$6),AND(BD$7&gt;0,$A589&gt;BD$7)),0,MAX(0,ROUND((INDEX($E589:$G589,BD$5)-SUMIFS(TF_Timer,TF_Tekniker,BD$4,TF_Dato,$A589))*2,0)/2)))</f>
        <v/>
      </c>
      <c r="BE589">
        <f>IF(OR(BE$4="",$A589&gt;TODAY()),0,IF(OR(INDEX($B589:$D589,BE$5)="F",AND(BE$6&gt;0,$A589&lt;BE$6),AND(BE$7&gt;0,$A589&gt;BE$7)),0,MAX(0,ROUND((INDEX($E589:$G589,BE$5)-SUMIFS(TF_Timer,TF_Tekniker,BE$4,TF_Dato,$A589))*2,0)/2)))</f>
        <v/>
      </c>
      <c r="BF589">
        <f>IF(OR(BF$4="",$A589&gt;TODAY()),0,IF(OR(INDEX($B589:$D589,BF$5)="F",AND(BF$6&gt;0,$A589&lt;BF$6),AND(BF$7&gt;0,$A589&gt;BF$7)),0,MAX(0,ROUND((INDEX($E589:$G589,BF$5)-SUMIFS(TF_Timer,TF_Tekniker,BF$4,TF_Dato,$A589))*2,0)/2)))</f>
        <v/>
      </c>
      <c r="BG589">
        <f>IF(OR(BG$4="",$A589&gt;TODAY()),0,IF(OR(INDEX($B589:$D589,BG$5)="F",AND(BG$6&gt;0,$A589&lt;BG$6),AND(BG$7&gt;0,$A589&gt;BG$7)),0,MAX(0,ROUND((INDEX($E589:$G589,BG$5)-SUMIFS(TF_Timer,TF_Tekniker,BG$4,TF_Dato,$A589))*2,0)/2)))</f>
        <v/>
      </c>
      <c r="BH589">
        <f>IF(OR(BH$4="",$A589&gt;TODAY()),0,IF(OR(INDEX($B589:$D589,BH$5)="F",AND(BH$6&gt;0,$A589&lt;BH$6),AND(BH$7&gt;0,$A589&gt;BH$7)),0,MAX(0,ROUND((INDEX($E589:$G589,BH$5)-SUMIFS(TF_Timer,TF_Tekniker,BH$4,TF_Dato,$A589))*2,0)/2)))</f>
        <v/>
      </c>
      <c r="BI589">
        <f>IF(OR(BI$4="",$A589&gt;TODAY()),0,IF(OR(INDEX($B589:$D589,BI$5)="F",AND(BI$6&gt;0,$A589&lt;BI$6),AND(BI$7&gt;0,$A589&gt;BI$7)),0,MAX(0,ROUND((INDEX($E589:$G589,BI$5)-SUMIFS(TF_Timer,TF_Tekniker,BI$4,TF_Dato,$A589))*2,0)/2)))</f>
        <v/>
      </c>
    </row>
    <row r="590">
      <c r="A590" s="64">
        <f>A589+1</f>
        <v/>
      </c>
      <c r="B590">
        <f>IF(MOD($A590-INDEX(SkiftStart,1),Syklus)&lt;DagK,"K",IF(MOD($A590-INDEX(SkiftStart,1),Syklus)&lt;DagK+DagH,"H",IF(MOD($A590-INDEX(SkiftStart,1),Syklus)&lt;DagK+DagH+DagD,"D","F")))</f>
        <v/>
      </c>
      <c r="C590">
        <f>IF(MOD($A590-INDEX(SkiftStart,2),Syklus)&lt;DagK,"K",IF(MOD($A590-INDEX(SkiftStart,2),Syklus)&lt;DagK+DagH,"H",IF(MOD($A590-INDEX(SkiftStart,2),Syklus)&lt;DagK+DagH+DagD,"D","F")))</f>
        <v/>
      </c>
      <c r="D590">
        <f>IF(MOD($A590-INDEX(SkiftStart,3),Syklus)&lt;DagK,"K",IF(MOD($A590-INDEX(SkiftStart,3),Syklus)&lt;DagK+DagH,"H",IF(MOD($A590-INDEX(SkiftStart,3),Syklus)&lt;DagK+DagH+DagD,"D","F")))</f>
        <v/>
      </c>
      <c r="E590">
        <f>IF(B590="F",0,IF(WEEKDAY($A590,2)=5,INDEX(TimerFr,MATCH(B590,FaseKode,0)),INDEX(TimerMT,MATCH(B590,FaseKode,0))))</f>
        <v/>
      </c>
      <c r="F590">
        <f>IF(C590="F",0,IF(WEEKDAY($A590,2)=5,INDEX(TimerFr,MATCH(C590,FaseKode,0)),INDEX(TimerMT,MATCH(C590,FaseKode,0))))</f>
        <v/>
      </c>
      <c r="G590">
        <f>IF(D590="F",0,IF(WEEKDAY($A590,2)=5,INDEX(TimerFr,MATCH(D590,FaseKode,0)),INDEX(TimerMT,MATCH(D590,FaseKode,0))))</f>
        <v/>
      </c>
      <c r="H590">
        <f>IF(OR(H$4="",$A590&gt;TODAY()),0,IF(OR(INDEX($B590:$D590,H$5)="F",AND(H$6&gt;0,$A590&lt;H$6),AND(H$7&gt;0,$A590&gt;H$7)),0,MAX(0,ROUND((INDEX($E590:$G590,H$5)-SUMIFS(TF_Timer,TF_Tekniker,H$4,TF_Dato,$A590))*2,0)/2)))</f>
        <v/>
      </c>
      <c r="I590">
        <f>IF(OR(I$4="",$A590&gt;TODAY()),0,IF(OR(INDEX($B590:$D590,I$5)="F",AND(I$6&gt;0,$A590&lt;I$6),AND(I$7&gt;0,$A590&gt;I$7)),0,MAX(0,ROUND((INDEX($E590:$G590,I$5)-SUMIFS(TF_Timer,TF_Tekniker,I$4,TF_Dato,$A590))*2,0)/2)))</f>
        <v/>
      </c>
      <c r="J590">
        <f>IF(OR(J$4="",$A590&gt;TODAY()),0,IF(OR(INDEX($B590:$D590,J$5)="F",AND(J$6&gt;0,$A590&lt;J$6),AND(J$7&gt;0,$A590&gt;J$7)),0,MAX(0,ROUND((INDEX($E590:$G590,J$5)-SUMIFS(TF_Timer,TF_Tekniker,J$4,TF_Dato,$A590))*2,0)/2)))</f>
        <v/>
      </c>
      <c r="K590">
        <f>IF(OR(K$4="",$A590&gt;TODAY()),0,IF(OR(INDEX($B590:$D590,K$5)="F",AND(K$6&gt;0,$A590&lt;K$6),AND(K$7&gt;0,$A590&gt;K$7)),0,MAX(0,ROUND((INDEX($E590:$G590,K$5)-SUMIFS(TF_Timer,TF_Tekniker,K$4,TF_Dato,$A590))*2,0)/2)))</f>
        <v/>
      </c>
      <c r="L590">
        <f>IF(OR(L$4="",$A590&gt;TODAY()),0,IF(OR(INDEX($B590:$D590,L$5)="F",AND(L$6&gt;0,$A590&lt;L$6),AND(L$7&gt;0,$A590&gt;L$7)),0,MAX(0,ROUND((INDEX($E590:$G590,L$5)-SUMIFS(TF_Timer,TF_Tekniker,L$4,TF_Dato,$A590))*2,0)/2)))</f>
        <v/>
      </c>
      <c r="M590">
        <f>IF(OR(M$4="",$A590&gt;TODAY()),0,IF(OR(INDEX($B590:$D590,M$5)="F",AND(M$6&gt;0,$A590&lt;M$6),AND(M$7&gt;0,$A590&gt;M$7)),0,MAX(0,ROUND((INDEX($E590:$G590,M$5)-SUMIFS(TF_Timer,TF_Tekniker,M$4,TF_Dato,$A590))*2,0)/2)))</f>
        <v/>
      </c>
      <c r="N590">
        <f>IF(OR(N$4="",$A590&gt;TODAY()),0,IF(OR(INDEX($B590:$D590,N$5)="F",AND(N$6&gt;0,$A590&lt;N$6),AND(N$7&gt;0,$A590&gt;N$7)),0,MAX(0,ROUND((INDEX($E590:$G590,N$5)-SUMIFS(TF_Timer,TF_Tekniker,N$4,TF_Dato,$A590))*2,0)/2)))</f>
        <v/>
      </c>
      <c r="O590">
        <f>IF(OR(O$4="",$A590&gt;TODAY()),0,IF(OR(INDEX($B590:$D590,O$5)="F",AND(O$6&gt;0,$A590&lt;O$6),AND(O$7&gt;0,$A590&gt;O$7)),0,MAX(0,ROUND((INDEX($E590:$G590,O$5)-SUMIFS(TF_Timer,TF_Tekniker,O$4,TF_Dato,$A590))*2,0)/2)))</f>
        <v/>
      </c>
      <c r="P590">
        <f>IF(OR(P$4="",$A590&gt;TODAY()),0,IF(OR(INDEX($B590:$D590,P$5)="F",AND(P$6&gt;0,$A590&lt;P$6),AND(P$7&gt;0,$A590&gt;P$7)),0,MAX(0,ROUND((INDEX($E590:$G590,P$5)-SUMIFS(TF_Timer,TF_Tekniker,P$4,TF_Dato,$A590))*2,0)/2)))</f>
        <v/>
      </c>
      <c r="Q590">
        <f>IF(OR(Q$4="",$A590&gt;TODAY()),0,IF(OR(INDEX($B590:$D590,Q$5)="F",AND(Q$6&gt;0,$A590&lt;Q$6),AND(Q$7&gt;0,$A590&gt;Q$7)),0,MAX(0,ROUND((INDEX($E590:$G590,Q$5)-SUMIFS(TF_Timer,TF_Tekniker,Q$4,TF_Dato,$A590))*2,0)/2)))</f>
        <v/>
      </c>
      <c r="R590">
        <f>IF(OR(R$4="",$A590&gt;TODAY()),0,IF(OR(INDEX($B590:$D590,R$5)="F",AND(R$6&gt;0,$A590&lt;R$6),AND(R$7&gt;0,$A590&gt;R$7)),0,MAX(0,ROUND((INDEX($E590:$G590,R$5)-SUMIFS(TF_Timer,TF_Tekniker,R$4,TF_Dato,$A590))*2,0)/2)))</f>
        <v/>
      </c>
      <c r="S590">
        <f>IF(OR(S$4="",$A590&gt;TODAY()),0,IF(OR(INDEX($B590:$D590,S$5)="F",AND(S$6&gt;0,$A590&lt;S$6),AND(S$7&gt;0,$A590&gt;S$7)),0,MAX(0,ROUND((INDEX($E590:$G590,S$5)-SUMIFS(TF_Timer,TF_Tekniker,S$4,TF_Dato,$A590))*2,0)/2)))</f>
        <v/>
      </c>
      <c r="T590">
        <f>IF(OR(T$4="",$A590&gt;TODAY()),0,IF(OR(INDEX($B590:$D590,T$5)="F",AND(T$6&gt;0,$A590&lt;T$6),AND(T$7&gt;0,$A590&gt;T$7)),0,MAX(0,ROUND((INDEX($E590:$G590,T$5)-SUMIFS(TF_Timer,TF_Tekniker,T$4,TF_Dato,$A590))*2,0)/2)))</f>
        <v/>
      </c>
      <c r="U590">
        <f>IF(OR(U$4="",$A590&gt;TODAY()),0,IF(OR(INDEX($B590:$D590,U$5)="F",AND(U$6&gt;0,$A590&lt;U$6),AND(U$7&gt;0,$A590&gt;U$7)),0,MAX(0,ROUND((INDEX($E590:$G590,U$5)-SUMIFS(TF_Timer,TF_Tekniker,U$4,TF_Dato,$A590))*2,0)/2)))</f>
        <v/>
      </c>
      <c r="V590">
        <f>IF(OR(V$4="",$A590&gt;TODAY()),0,IF(OR(INDEX($B590:$D590,V$5)="F",AND(V$6&gt;0,$A590&lt;V$6),AND(V$7&gt;0,$A590&gt;V$7)),0,MAX(0,ROUND((INDEX($E590:$G590,V$5)-SUMIFS(TF_Timer,TF_Tekniker,V$4,TF_Dato,$A590))*2,0)/2)))</f>
        <v/>
      </c>
      <c r="W590">
        <f>IF(OR(W$4="",$A590&gt;TODAY()),0,IF(OR(INDEX($B590:$D590,W$5)="F",AND(W$6&gt;0,$A590&lt;W$6),AND(W$7&gt;0,$A590&gt;W$7)),0,MAX(0,ROUND((INDEX($E590:$G590,W$5)-SUMIFS(TF_Timer,TF_Tekniker,W$4,TF_Dato,$A590))*2,0)/2)))</f>
        <v/>
      </c>
      <c r="X590">
        <f>IF(OR(X$4="",$A590&gt;TODAY()),0,IF(OR(INDEX($B590:$D590,X$5)="F",AND(X$6&gt;0,$A590&lt;X$6),AND(X$7&gt;0,$A590&gt;X$7)),0,MAX(0,ROUND((INDEX($E590:$G590,X$5)-SUMIFS(TF_Timer,TF_Tekniker,X$4,TF_Dato,$A590))*2,0)/2)))</f>
        <v/>
      </c>
      <c r="Y590">
        <f>IF(OR(Y$4="",$A590&gt;TODAY()),0,IF(OR(INDEX($B590:$D590,Y$5)="F",AND(Y$6&gt;0,$A590&lt;Y$6),AND(Y$7&gt;0,$A590&gt;Y$7)),0,MAX(0,ROUND((INDEX($E590:$G590,Y$5)-SUMIFS(TF_Timer,TF_Tekniker,Y$4,TF_Dato,$A590))*2,0)/2)))</f>
        <v/>
      </c>
      <c r="Z590">
        <f>IF(OR(Z$4="",$A590&gt;TODAY()),0,IF(OR(INDEX($B590:$D590,Z$5)="F",AND(Z$6&gt;0,$A590&lt;Z$6),AND(Z$7&gt;0,$A590&gt;Z$7)),0,MAX(0,ROUND((INDEX($E590:$G590,Z$5)-SUMIFS(TF_Timer,TF_Tekniker,Z$4,TF_Dato,$A590))*2,0)/2)))</f>
        <v/>
      </c>
      <c r="AA590">
        <f>IF(OR(AA$4="",$A590&gt;TODAY()),0,IF(OR(INDEX($B590:$D590,AA$5)="F",AND(AA$6&gt;0,$A590&lt;AA$6),AND(AA$7&gt;0,$A590&gt;AA$7)),0,MAX(0,ROUND((INDEX($E590:$G590,AA$5)-SUMIFS(TF_Timer,TF_Tekniker,AA$4,TF_Dato,$A590))*2,0)/2)))</f>
        <v/>
      </c>
      <c r="AB590">
        <f>IF(OR(AB$4="",$A590&gt;TODAY()),0,IF(OR(INDEX($B590:$D590,AB$5)="F",AND(AB$6&gt;0,$A590&lt;AB$6),AND(AB$7&gt;0,$A590&gt;AB$7)),0,MAX(0,ROUND((INDEX($E590:$G590,AB$5)-SUMIFS(TF_Timer,TF_Tekniker,AB$4,TF_Dato,$A590))*2,0)/2)))</f>
        <v/>
      </c>
      <c r="AC590">
        <f>IF(OR(AC$4="",$A590&gt;TODAY()),0,IF(OR(INDEX($B590:$D590,AC$5)="F",AND(AC$6&gt;0,$A590&lt;AC$6),AND(AC$7&gt;0,$A590&gt;AC$7)),0,MAX(0,ROUND((INDEX($E590:$G590,AC$5)-SUMIFS(TF_Timer,TF_Tekniker,AC$4,TF_Dato,$A590))*2,0)/2)))</f>
        <v/>
      </c>
      <c r="AD590">
        <f>IF(OR(AD$4="",$A590&gt;TODAY()),0,IF(OR(INDEX($B590:$D590,AD$5)="F",AND(AD$6&gt;0,$A590&lt;AD$6),AND(AD$7&gt;0,$A590&gt;AD$7)),0,MAX(0,ROUND((INDEX($E590:$G590,AD$5)-SUMIFS(TF_Timer,TF_Tekniker,AD$4,TF_Dato,$A590))*2,0)/2)))</f>
        <v/>
      </c>
      <c r="AE590">
        <f>IF(OR(AE$4="",$A590&gt;TODAY()),0,IF(OR(INDEX($B590:$D590,AE$5)="F",AND(AE$6&gt;0,$A590&lt;AE$6),AND(AE$7&gt;0,$A590&gt;AE$7)),0,MAX(0,ROUND((INDEX($E590:$G590,AE$5)-SUMIFS(TF_Timer,TF_Tekniker,AE$4,TF_Dato,$A590))*2,0)/2)))</f>
        <v/>
      </c>
      <c r="AF590">
        <f>IF(OR(AF$4="",$A590&gt;TODAY()),0,IF(OR(INDEX($B590:$D590,AF$5)="F",AND(AF$6&gt;0,$A590&lt;AF$6),AND(AF$7&gt;0,$A590&gt;AF$7)),0,MAX(0,ROUND((INDEX($E590:$G590,AF$5)-SUMIFS(TF_Timer,TF_Tekniker,AF$4,TF_Dato,$A590))*2,0)/2)))</f>
        <v/>
      </c>
      <c r="AG590">
        <f>IF(OR(AG$4="",$A590&gt;TODAY()),0,IF(OR(INDEX($B590:$D590,AG$5)="F",AND(AG$6&gt;0,$A590&lt;AG$6),AND(AG$7&gt;0,$A590&gt;AG$7)),0,MAX(0,ROUND((INDEX($E590:$G590,AG$5)-SUMIFS(TF_Timer,TF_Tekniker,AG$4,TF_Dato,$A590))*2,0)/2)))</f>
        <v/>
      </c>
      <c r="AH590">
        <f>IF(OR(AH$4="",$A590&gt;TODAY()),0,IF(OR(INDEX($B590:$D590,AH$5)="F",AND(AH$6&gt;0,$A590&lt;AH$6),AND(AH$7&gt;0,$A590&gt;AH$7)),0,MAX(0,ROUND((INDEX($E590:$G590,AH$5)-SUMIFS(TF_Timer,TF_Tekniker,AH$4,TF_Dato,$A590))*2,0)/2)))</f>
        <v/>
      </c>
      <c r="AI590">
        <f>IF(OR(AI$4="",$A590&gt;TODAY()),0,IF(OR(INDEX($B590:$D590,AI$5)="F",AND(AI$6&gt;0,$A590&lt;AI$6),AND(AI$7&gt;0,$A590&gt;AI$7)),0,MAX(0,ROUND((INDEX($E590:$G590,AI$5)-SUMIFS(TF_Timer,TF_Tekniker,AI$4,TF_Dato,$A590))*2,0)/2)))</f>
        <v/>
      </c>
      <c r="AJ590">
        <f>IF(OR(AJ$4="",$A590&gt;TODAY()),0,IF(OR(INDEX($B590:$D590,AJ$5)="F",AND(AJ$6&gt;0,$A590&lt;AJ$6),AND(AJ$7&gt;0,$A590&gt;AJ$7)),0,MAX(0,ROUND((INDEX($E590:$G590,AJ$5)-SUMIFS(TF_Timer,TF_Tekniker,AJ$4,TF_Dato,$A590))*2,0)/2)))</f>
        <v/>
      </c>
      <c r="AK590">
        <f>IF(OR(AK$4="",$A590&gt;TODAY()),0,IF(OR(INDEX($B590:$D590,AK$5)="F",AND(AK$6&gt;0,$A590&lt;AK$6),AND(AK$7&gt;0,$A590&gt;AK$7)),0,MAX(0,ROUND((INDEX($E590:$G590,AK$5)-SUMIFS(TF_Timer,TF_Tekniker,AK$4,TF_Dato,$A590))*2,0)/2)))</f>
        <v/>
      </c>
      <c r="AL590">
        <f>IF(OR(AL$4="",$A590&gt;TODAY()),0,IF(OR(INDEX($B590:$D590,AL$5)="F",AND(AL$6&gt;0,$A590&lt;AL$6),AND(AL$7&gt;0,$A590&gt;AL$7)),0,MAX(0,ROUND((INDEX($E590:$G590,AL$5)-SUMIFS(TF_Timer,TF_Tekniker,AL$4,TF_Dato,$A590))*2,0)/2)))</f>
        <v/>
      </c>
      <c r="AM590">
        <f>IF(OR(AM$4="",$A590&gt;TODAY()),0,IF(OR(INDEX($B590:$D590,AM$5)="F",AND(AM$6&gt;0,$A590&lt;AM$6),AND(AM$7&gt;0,$A590&gt;AM$7)),0,MAX(0,ROUND((INDEX($E590:$G590,AM$5)-SUMIFS(TF_Timer,TF_Tekniker,AM$4,TF_Dato,$A590))*2,0)/2)))</f>
        <v/>
      </c>
      <c r="AN590">
        <f>IF(OR(AN$4="",$A590&gt;TODAY()),0,IF(OR(INDEX($B590:$D590,AN$5)="F",AND(AN$6&gt;0,$A590&lt;AN$6),AND(AN$7&gt;0,$A590&gt;AN$7)),0,MAX(0,ROUND((INDEX($E590:$G590,AN$5)-SUMIFS(TF_Timer,TF_Tekniker,AN$4,TF_Dato,$A590))*2,0)/2)))</f>
        <v/>
      </c>
      <c r="AO590">
        <f>IF(OR(AO$4="",$A590&gt;TODAY()),0,IF(OR(INDEX($B590:$D590,AO$5)="F",AND(AO$6&gt;0,$A590&lt;AO$6),AND(AO$7&gt;0,$A590&gt;AO$7)),0,MAX(0,ROUND((INDEX($E590:$G590,AO$5)-SUMIFS(TF_Timer,TF_Tekniker,AO$4,TF_Dato,$A590))*2,0)/2)))</f>
        <v/>
      </c>
      <c r="AP590">
        <f>IF(OR(AP$4="",$A590&gt;TODAY()),0,IF(OR(INDEX($B590:$D590,AP$5)="F",AND(AP$6&gt;0,$A590&lt;AP$6),AND(AP$7&gt;0,$A590&gt;AP$7)),0,MAX(0,ROUND((INDEX($E590:$G590,AP$5)-SUMIFS(TF_Timer,TF_Tekniker,AP$4,TF_Dato,$A590))*2,0)/2)))</f>
        <v/>
      </c>
      <c r="AQ590">
        <f>IF(OR(AQ$4="",$A590&gt;TODAY()),0,IF(OR(INDEX($B590:$D590,AQ$5)="F",AND(AQ$6&gt;0,$A590&lt;AQ$6),AND(AQ$7&gt;0,$A590&gt;AQ$7)),0,MAX(0,ROUND((INDEX($E590:$G590,AQ$5)-SUMIFS(TF_Timer,TF_Tekniker,AQ$4,TF_Dato,$A590))*2,0)/2)))</f>
        <v/>
      </c>
      <c r="AR590">
        <f>IF(OR(AR$4="",$A590&gt;TODAY()),0,IF(OR(INDEX($B590:$D590,AR$5)="F",AND(AR$6&gt;0,$A590&lt;AR$6),AND(AR$7&gt;0,$A590&gt;AR$7)),0,MAX(0,ROUND((INDEX($E590:$G590,AR$5)-SUMIFS(TF_Timer,TF_Tekniker,AR$4,TF_Dato,$A590))*2,0)/2)))</f>
        <v/>
      </c>
      <c r="AS590">
        <f>IF(OR(AS$4="",$A590&gt;TODAY()),0,IF(OR(INDEX($B590:$D590,AS$5)="F",AND(AS$6&gt;0,$A590&lt;AS$6),AND(AS$7&gt;0,$A590&gt;AS$7)),0,MAX(0,ROUND((INDEX($E590:$G590,AS$5)-SUMIFS(TF_Timer,TF_Tekniker,AS$4,TF_Dato,$A590))*2,0)/2)))</f>
        <v/>
      </c>
      <c r="AT590">
        <f>IF(OR(AT$4="",$A590&gt;TODAY()),0,IF(OR(INDEX($B590:$D590,AT$5)="F",AND(AT$6&gt;0,$A590&lt;AT$6),AND(AT$7&gt;0,$A590&gt;AT$7)),0,MAX(0,ROUND((INDEX($E590:$G590,AT$5)-SUMIFS(TF_Timer,TF_Tekniker,AT$4,TF_Dato,$A590))*2,0)/2)))</f>
        <v/>
      </c>
      <c r="AU590">
        <f>IF(OR(AU$4="",$A590&gt;TODAY()),0,IF(OR(INDEX($B590:$D590,AU$5)="F",AND(AU$6&gt;0,$A590&lt;AU$6),AND(AU$7&gt;0,$A590&gt;AU$7)),0,MAX(0,ROUND((INDEX($E590:$G590,AU$5)-SUMIFS(TF_Timer,TF_Tekniker,AU$4,TF_Dato,$A590))*2,0)/2)))</f>
        <v/>
      </c>
      <c r="AV590">
        <f>IF(OR(AV$4="",$A590&gt;TODAY()),0,IF(OR(INDEX($B590:$D590,AV$5)="F",AND(AV$6&gt;0,$A590&lt;AV$6),AND(AV$7&gt;0,$A590&gt;AV$7)),0,MAX(0,ROUND((INDEX($E590:$G590,AV$5)-SUMIFS(TF_Timer,TF_Tekniker,AV$4,TF_Dato,$A590))*2,0)/2)))</f>
        <v/>
      </c>
      <c r="AW590">
        <f>IF(OR(AW$4="",$A590&gt;TODAY()),0,IF(OR(INDEX($B590:$D590,AW$5)="F",AND(AW$6&gt;0,$A590&lt;AW$6),AND(AW$7&gt;0,$A590&gt;AW$7)),0,MAX(0,ROUND((INDEX($E590:$G590,AW$5)-SUMIFS(TF_Timer,TF_Tekniker,AW$4,TF_Dato,$A590))*2,0)/2)))</f>
        <v/>
      </c>
      <c r="AX590">
        <f>IF(OR(AX$4="",$A590&gt;TODAY()),0,IF(OR(INDEX($B590:$D590,AX$5)="F",AND(AX$6&gt;0,$A590&lt;AX$6),AND(AX$7&gt;0,$A590&gt;AX$7)),0,MAX(0,ROUND((INDEX($E590:$G590,AX$5)-SUMIFS(TF_Timer,TF_Tekniker,AX$4,TF_Dato,$A590))*2,0)/2)))</f>
        <v/>
      </c>
      <c r="AY590">
        <f>IF(OR(AY$4="",$A590&gt;TODAY()),0,IF(OR(INDEX($B590:$D590,AY$5)="F",AND(AY$6&gt;0,$A590&lt;AY$6),AND(AY$7&gt;0,$A590&gt;AY$7)),0,MAX(0,ROUND((INDEX($E590:$G590,AY$5)-SUMIFS(TF_Timer,TF_Tekniker,AY$4,TF_Dato,$A590))*2,0)/2)))</f>
        <v/>
      </c>
      <c r="AZ590">
        <f>IF(OR(AZ$4="",$A590&gt;TODAY()),0,IF(OR(INDEX($B590:$D590,AZ$5)="F",AND(AZ$6&gt;0,$A590&lt;AZ$6),AND(AZ$7&gt;0,$A590&gt;AZ$7)),0,MAX(0,ROUND((INDEX($E590:$G590,AZ$5)-SUMIFS(TF_Timer,TF_Tekniker,AZ$4,TF_Dato,$A590))*2,0)/2)))</f>
        <v/>
      </c>
      <c r="BA590">
        <f>IF(OR(BA$4="",$A590&gt;TODAY()),0,IF(OR(INDEX($B590:$D590,BA$5)="F",AND(BA$6&gt;0,$A590&lt;BA$6),AND(BA$7&gt;0,$A590&gt;BA$7)),0,MAX(0,ROUND((INDEX($E590:$G590,BA$5)-SUMIFS(TF_Timer,TF_Tekniker,BA$4,TF_Dato,$A590))*2,0)/2)))</f>
        <v/>
      </c>
      <c r="BB590">
        <f>IF(OR(BB$4="",$A590&gt;TODAY()),0,IF(OR(INDEX($B590:$D590,BB$5)="F",AND(BB$6&gt;0,$A590&lt;BB$6),AND(BB$7&gt;0,$A590&gt;BB$7)),0,MAX(0,ROUND((INDEX($E590:$G590,BB$5)-SUMIFS(TF_Timer,TF_Tekniker,BB$4,TF_Dato,$A590))*2,0)/2)))</f>
        <v/>
      </c>
      <c r="BC590">
        <f>IF(OR(BC$4="",$A590&gt;TODAY()),0,IF(OR(INDEX($B590:$D590,BC$5)="F",AND(BC$6&gt;0,$A590&lt;BC$6),AND(BC$7&gt;0,$A590&gt;BC$7)),0,MAX(0,ROUND((INDEX($E590:$G590,BC$5)-SUMIFS(TF_Timer,TF_Tekniker,BC$4,TF_Dato,$A590))*2,0)/2)))</f>
        <v/>
      </c>
      <c r="BD590">
        <f>IF(OR(BD$4="",$A590&gt;TODAY()),0,IF(OR(INDEX($B590:$D590,BD$5)="F",AND(BD$6&gt;0,$A590&lt;BD$6),AND(BD$7&gt;0,$A590&gt;BD$7)),0,MAX(0,ROUND((INDEX($E590:$G590,BD$5)-SUMIFS(TF_Timer,TF_Tekniker,BD$4,TF_Dato,$A590))*2,0)/2)))</f>
        <v/>
      </c>
      <c r="BE590">
        <f>IF(OR(BE$4="",$A590&gt;TODAY()),0,IF(OR(INDEX($B590:$D590,BE$5)="F",AND(BE$6&gt;0,$A590&lt;BE$6),AND(BE$7&gt;0,$A590&gt;BE$7)),0,MAX(0,ROUND((INDEX($E590:$G590,BE$5)-SUMIFS(TF_Timer,TF_Tekniker,BE$4,TF_Dato,$A590))*2,0)/2)))</f>
        <v/>
      </c>
      <c r="BF590">
        <f>IF(OR(BF$4="",$A590&gt;TODAY()),0,IF(OR(INDEX($B590:$D590,BF$5)="F",AND(BF$6&gt;0,$A590&lt;BF$6),AND(BF$7&gt;0,$A590&gt;BF$7)),0,MAX(0,ROUND((INDEX($E590:$G590,BF$5)-SUMIFS(TF_Timer,TF_Tekniker,BF$4,TF_Dato,$A590))*2,0)/2)))</f>
        <v/>
      </c>
      <c r="BG590">
        <f>IF(OR(BG$4="",$A590&gt;TODAY()),0,IF(OR(INDEX($B590:$D590,BG$5)="F",AND(BG$6&gt;0,$A590&lt;BG$6),AND(BG$7&gt;0,$A590&gt;BG$7)),0,MAX(0,ROUND((INDEX($E590:$G590,BG$5)-SUMIFS(TF_Timer,TF_Tekniker,BG$4,TF_Dato,$A590))*2,0)/2)))</f>
        <v/>
      </c>
      <c r="BH590">
        <f>IF(OR(BH$4="",$A590&gt;TODAY()),0,IF(OR(INDEX($B590:$D590,BH$5)="F",AND(BH$6&gt;0,$A590&lt;BH$6),AND(BH$7&gt;0,$A590&gt;BH$7)),0,MAX(0,ROUND((INDEX($E590:$G590,BH$5)-SUMIFS(TF_Timer,TF_Tekniker,BH$4,TF_Dato,$A590))*2,0)/2)))</f>
        <v/>
      </c>
      <c r="BI590">
        <f>IF(OR(BI$4="",$A590&gt;TODAY()),0,IF(OR(INDEX($B590:$D590,BI$5)="F",AND(BI$6&gt;0,$A590&lt;BI$6),AND(BI$7&gt;0,$A590&gt;BI$7)),0,MAX(0,ROUND((INDEX($E590:$G590,BI$5)-SUMIFS(TF_Timer,TF_Tekniker,BI$4,TF_Dato,$A590))*2,0)/2)))</f>
        <v/>
      </c>
    </row>
    <row r="591">
      <c r="A591" s="64">
        <f>A590+1</f>
        <v/>
      </c>
      <c r="B591">
        <f>IF(MOD($A591-INDEX(SkiftStart,1),Syklus)&lt;DagK,"K",IF(MOD($A591-INDEX(SkiftStart,1),Syklus)&lt;DagK+DagH,"H",IF(MOD($A591-INDEX(SkiftStart,1),Syklus)&lt;DagK+DagH+DagD,"D","F")))</f>
        <v/>
      </c>
      <c r="C591">
        <f>IF(MOD($A591-INDEX(SkiftStart,2),Syklus)&lt;DagK,"K",IF(MOD($A591-INDEX(SkiftStart,2),Syklus)&lt;DagK+DagH,"H",IF(MOD($A591-INDEX(SkiftStart,2),Syklus)&lt;DagK+DagH+DagD,"D","F")))</f>
        <v/>
      </c>
      <c r="D591">
        <f>IF(MOD($A591-INDEX(SkiftStart,3),Syklus)&lt;DagK,"K",IF(MOD($A591-INDEX(SkiftStart,3),Syklus)&lt;DagK+DagH,"H",IF(MOD($A591-INDEX(SkiftStart,3),Syklus)&lt;DagK+DagH+DagD,"D","F")))</f>
        <v/>
      </c>
      <c r="E591">
        <f>IF(B591="F",0,IF(WEEKDAY($A591,2)=5,INDEX(TimerFr,MATCH(B591,FaseKode,0)),INDEX(TimerMT,MATCH(B591,FaseKode,0))))</f>
        <v/>
      </c>
      <c r="F591">
        <f>IF(C591="F",0,IF(WEEKDAY($A591,2)=5,INDEX(TimerFr,MATCH(C591,FaseKode,0)),INDEX(TimerMT,MATCH(C591,FaseKode,0))))</f>
        <v/>
      </c>
      <c r="G591">
        <f>IF(D591="F",0,IF(WEEKDAY($A591,2)=5,INDEX(TimerFr,MATCH(D591,FaseKode,0)),INDEX(TimerMT,MATCH(D591,FaseKode,0))))</f>
        <v/>
      </c>
      <c r="H591">
        <f>IF(OR(H$4="",$A591&gt;TODAY()),0,IF(OR(INDEX($B591:$D591,H$5)="F",AND(H$6&gt;0,$A591&lt;H$6),AND(H$7&gt;0,$A591&gt;H$7)),0,MAX(0,ROUND((INDEX($E591:$G591,H$5)-SUMIFS(TF_Timer,TF_Tekniker,H$4,TF_Dato,$A591))*2,0)/2)))</f>
        <v/>
      </c>
      <c r="I591">
        <f>IF(OR(I$4="",$A591&gt;TODAY()),0,IF(OR(INDEX($B591:$D591,I$5)="F",AND(I$6&gt;0,$A591&lt;I$6),AND(I$7&gt;0,$A591&gt;I$7)),0,MAX(0,ROUND((INDEX($E591:$G591,I$5)-SUMIFS(TF_Timer,TF_Tekniker,I$4,TF_Dato,$A591))*2,0)/2)))</f>
        <v/>
      </c>
      <c r="J591">
        <f>IF(OR(J$4="",$A591&gt;TODAY()),0,IF(OR(INDEX($B591:$D591,J$5)="F",AND(J$6&gt;0,$A591&lt;J$6),AND(J$7&gt;0,$A591&gt;J$7)),0,MAX(0,ROUND((INDEX($E591:$G591,J$5)-SUMIFS(TF_Timer,TF_Tekniker,J$4,TF_Dato,$A591))*2,0)/2)))</f>
        <v/>
      </c>
      <c r="K591">
        <f>IF(OR(K$4="",$A591&gt;TODAY()),0,IF(OR(INDEX($B591:$D591,K$5)="F",AND(K$6&gt;0,$A591&lt;K$6),AND(K$7&gt;0,$A591&gt;K$7)),0,MAX(0,ROUND((INDEX($E591:$G591,K$5)-SUMIFS(TF_Timer,TF_Tekniker,K$4,TF_Dato,$A591))*2,0)/2)))</f>
        <v/>
      </c>
      <c r="L591">
        <f>IF(OR(L$4="",$A591&gt;TODAY()),0,IF(OR(INDEX($B591:$D591,L$5)="F",AND(L$6&gt;0,$A591&lt;L$6),AND(L$7&gt;0,$A591&gt;L$7)),0,MAX(0,ROUND((INDEX($E591:$G591,L$5)-SUMIFS(TF_Timer,TF_Tekniker,L$4,TF_Dato,$A591))*2,0)/2)))</f>
        <v/>
      </c>
      <c r="M591">
        <f>IF(OR(M$4="",$A591&gt;TODAY()),0,IF(OR(INDEX($B591:$D591,M$5)="F",AND(M$6&gt;0,$A591&lt;M$6),AND(M$7&gt;0,$A591&gt;M$7)),0,MAX(0,ROUND((INDEX($E591:$G591,M$5)-SUMIFS(TF_Timer,TF_Tekniker,M$4,TF_Dato,$A591))*2,0)/2)))</f>
        <v/>
      </c>
      <c r="N591">
        <f>IF(OR(N$4="",$A591&gt;TODAY()),0,IF(OR(INDEX($B591:$D591,N$5)="F",AND(N$6&gt;0,$A591&lt;N$6),AND(N$7&gt;0,$A591&gt;N$7)),0,MAX(0,ROUND((INDEX($E591:$G591,N$5)-SUMIFS(TF_Timer,TF_Tekniker,N$4,TF_Dato,$A591))*2,0)/2)))</f>
        <v/>
      </c>
      <c r="O591">
        <f>IF(OR(O$4="",$A591&gt;TODAY()),0,IF(OR(INDEX($B591:$D591,O$5)="F",AND(O$6&gt;0,$A591&lt;O$6),AND(O$7&gt;0,$A591&gt;O$7)),0,MAX(0,ROUND((INDEX($E591:$G591,O$5)-SUMIFS(TF_Timer,TF_Tekniker,O$4,TF_Dato,$A591))*2,0)/2)))</f>
        <v/>
      </c>
      <c r="P591">
        <f>IF(OR(P$4="",$A591&gt;TODAY()),0,IF(OR(INDEX($B591:$D591,P$5)="F",AND(P$6&gt;0,$A591&lt;P$6),AND(P$7&gt;0,$A591&gt;P$7)),0,MAX(0,ROUND((INDEX($E591:$G591,P$5)-SUMIFS(TF_Timer,TF_Tekniker,P$4,TF_Dato,$A591))*2,0)/2)))</f>
        <v/>
      </c>
      <c r="Q591">
        <f>IF(OR(Q$4="",$A591&gt;TODAY()),0,IF(OR(INDEX($B591:$D591,Q$5)="F",AND(Q$6&gt;0,$A591&lt;Q$6),AND(Q$7&gt;0,$A591&gt;Q$7)),0,MAX(0,ROUND((INDEX($E591:$G591,Q$5)-SUMIFS(TF_Timer,TF_Tekniker,Q$4,TF_Dato,$A591))*2,0)/2)))</f>
        <v/>
      </c>
      <c r="R591">
        <f>IF(OR(R$4="",$A591&gt;TODAY()),0,IF(OR(INDEX($B591:$D591,R$5)="F",AND(R$6&gt;0,$A591&lt;R$6),AND(R$7&gt;0,$A591&gt;R$7)),0,MAX(0,ROUND((INDEX($E591:$G591,R$5)-SUMIFS(TF_Timer,TF_Tekniker,R$4,TF_Dato,$A591))*2,0)/2)))</f>
        <v/>
      </c>
      <c r="S591">
        <f>IF(OR(S$4="",$A591&gt;TODAY()),0,IF(OR(INDEX($B591:$D591,S$5)="F",AND(S$6&gt;0,$A591&lt;S$6),AND(S$7&gt;0,$A591&gt;S$7)),0,MAX(0,ROUND((INDEX($E591:$G591,S$5)-SUMIFS(TF_Timer,TF_Tekniker,S$4,TF_Dato,$A591))*2,0)/2)))</f>
        <v/>
      </c>
      <c r="T591">
        <f>IF(OR(T$4="",$A591&gt;TODAY()),0,IF(OR(INDEX($B591:$D591,T$5)="F",AND(T$6&gt;0,$A591&lt;T$6),AND(T$7&gt;0,$A591&gt;T$7)),0,MAX(0,ROUND((INDEX($E591:$G591,T$5)-SUMIFS(TF_Timer,TF_Tekniker,T$4,TF_Dato,$A591))*2,0)/2)))</f>
        <v/>
      </c>
      <c r="U591">
        <f>IF(OR(U$4="",$A591&gt;TODAY()),0,IF(OR(INDEX($B591:$D591,U$5)="F",AND(U$6&gt;0,$A591&lt;U$6),AND(U$7&gt;0,$A591&gt;U$7)),0,MAX(0,ROUND((INDEX($E591:$G591,U$5)-SUMIFS(TF_Timer,TF_Tekniker,U$4,TF_Dato,$A591))*2,0)/2)))</f>
        <v/>
      </c>
      <c r="V591">
        <f>IF(OR(V$4="",$A591&gt;TODAY()),0,IF(OR(INDEX($B591:$D591,V$5)="F",AND(V$6&gt;0,$A591&lt;V$6),AND(V$7&gt;0,$A591&gt;V$7)),0,MAX(0,ROUND((INDEX($E591:$G591,V$5)-SUMIFS(TF_Timer,TF_Tekniker,V$4,TF_Dato,$A591))*2,0)/2)))</f>
        <v/>
      </c>
      <c r="W591">
        <f>IF(OR(W$4="",$A591&gt;TODAY()),0,IF(OR(INDEX($B591:$D591,W$5)="F",AND(W$6&gt;0,$A591&lt;W$6),AND(W$7&gt;0,$A591&gt;W$7)),0,MAX(0,ROUND((INDEX($E591:$G591,W$5)-SUMIFS(TF_Timer,TF_Tekniker,W$4,TF_Dato,$A591))*2,0)/2)))</f>
        <v/>
      </c>
      <c r="X591">
        <f>IF(OR(X$4="",$A591&gt;TODAY()),0,IF(OR(INDEX($B591:$D591,X$5)="F",AND(X$6&gt;0,$A591&lt;X$6),AND(X$7&gt;0,$A591&gt;X$7)),0,MAX(0,ROUND((INDEX($E591:$G591,X$5)-SUMIFS(TF_Timer,TF_Tekniker,X$4,TF_Dato,$A591))*2,0)/2)))</f>
        <v/>
      </c>
      <c r="Y591">
        <f>IF(OR(Y$4="",$A591&gt;TODAY()),0,IF(OR(INDEX($B591:$D591,Y$5)="F",AND(Y$6&gt;0,$A591&lt;Y$6),AND(Y$7&gt;0,$A591&gt;Y$7)),0,MAX(0,ROUND((INDEX($E591:$G591,Y$5)-SUMIFS(TF_Timer,TF_Tekniker,Y$4,TF_Dato,$A591))*2,0)/2)))</f>
        <v/>
      </c>
      <c r="Z591">
        <f>IF(OR(Z$4="",$A591&gt;TODAY()),0,IF(OR(INDEX($B591:$D591,Z$5)="F",AND(Z$6&gt;0,$A591&lt;Z$6),AND(Z$7&gt;0,$A591&gt;Z$7)),0,MAX(0,ROUND((INDEX($E591:$G591,Z$5)-SUMIFS(TF_Timer,TF_Tekniker,Z$4,TF_Dato,$A591))*2,0)/2)))</f>
        <v/>
      </c>
      <c r="AA591">
        <f>IF(OR(AA$4="",$A591&gt;TODAY()),0,IF(OR(INDEX($B591:$D591,AA$5)="F",AND(AA$6&gt;0,$A591&lt;AA$6),AND(AA$7&gt;0,$A591&gt;AA$7)),0,MAX(0,ROUND((INDEX($E591:$G591,AA$5)-SUMIFS(TF_Timer,TF_Tekniker,AA$4,TF_Dato,$A591))*2,0)/2)))</f>
        <v/>
      </c>
      <c r="AB591">
        <f>IF(OR(AB$4="",$A591&gt;TODAY()),0,IF(OR(INDEX($B591:$D591,AB$5)="F",AND(AB$6&gt;0,$A591&lt;AB$6),AND(AB$7&gt;0,$A591&gt;AB$7)),0,MAX(0,ROUND((INDEX($E591:$G591,AB$5)-SUMIFS(TF_Timer,TF_Tekniker,AB$4,TF_Dato,$A591))*2,0)/2)))</f>
        <v/>
      </c>
      <c r="AC591">
        <f>IF(OR(AC$4="",$A591&gt;TODAY()),0,IF(OR(INDEX($B591:$D591,AC$5)="F",AND(AC$6&gt;0,$A591&lt;AC$6),AND(AC$7&gt;0,$A591&gt;AC$7)),0,MAX(0,ROUND((INDEX($E591:$G591,AC$5)-SUMIFS(TF_Timer,TF_Tekniker,AC$4,TF_Dato,$A591))*2,0)/2)))</f>
        <v/>
      </c>
      <c r="AD591">
        <f>IF(OR(AD$4="",$A591&gt;TODAY()),0,IF(OR(INDEX($B591:$D591,AD$5)="F",AND(AD$6&gt;0,$A591&lt;AD$6),AND(AD$7&gt;0,$A591&gt;AD$7)),0,MAX(0,ROUND((INDEX($E591:$G591,AD$5)-SUMIFS(TF_Timer,TF_Tekniker,AD$4,TF_Dato,$A591))*2,0)/2)))</f>
        <v/>
      </c>
      <c r="AE591">
        <f>IF(OR(AE$4="",$A591&gt;TODAY()),0,IF(OR(INDEX($B591:$D591,AE$5)="F",AND(AE$6&gt;0,$A591&lt;AE$6),AND(AE$7&gt;0,$A591&gt;AE$7)),0,MAX(0,ROUND((INDEX($E591:$G591,AE$5)-SUMIFS(TF_Timer,TF_Tekniker,AE$4,TF_Dato,$A591))*2,0)/2)))</f>
        <v/>
      </c>
      <c r="AF591">
        <f>IF(OR(AF$4="",$A591&gt;TODAY()),0,IF(OR(INDEX($B591:$D591,AF$5)="F",AND(AF$6&gt;0,$A591&lt;AF$6),AND(AF$7&gt;0,$A591&gt;AF$7)),0,MAX(0,ROUND((INDEX($E591:$G591,AF$5)-SUMIFS(TF_Timer,TF_Tekniker,AF$4,TF_Dato,$A591))*2,0)/2)))</f>
        <v/>
      </c>
      <c r="AG591">
        <f>IF(OR(AG$4="",$A591&gt;TODAY()),0,IF(OR(INDEX($B591:$D591,AG$5)="F",AND(AG$6&gt;0,$A591&lt;AG$6),AND(AG$7&gt;0,$A591&gt;AG$7)),0,MAX(0,ROUND((INDEX($E591:$G591,AG$5)-SUMIFS(TF_Timer,TF_Tekniker,AG$4,TF_Dato,$A591))*2,0)/2)))</f>
        <v/>
      </c>
      <c r="AH591">
        <f>IF(OR(AH$4="",$A591&gt;TODAY()),0,IF(OR(INDEX($B591:$D591,AH$5)="F",AND(AH$6&gt;0,$A591&lt;AH$6),AND(AH$7&gt;0,$A591&gt;AH$7)),0,MAX(0,ROUND((INDEX($E591:$G591,AH$5)-SUMIFS(TF_Timer,TF_Tekniker,AH$4,TF_Dato,$A591))*2,0)/2)))</f>
        <v/>
      </c>
      <c r="AI591">
        <f>IF(OR(AI$4="",$A591&gt;TODAY()),0,IF(OR(INDEX($B591:$D591,AI$5)="F",AND(AI$6&gt;0,$A591&lt;AI$6),AND(AI$7&gt;0,$A591&gt;AI$7)),0,MAX(0,ROUND((INDEX($E591:$G591,AI$5)-SUMIFS(TF_Timer,TF_Tekniker,AI$4,TF_Dato,$A591))*2,0)/2)))</f>
        <v/>
      </c>
      <c r="AJ591">
        <f>IF(OR(AJ$4="",$A591&gt;TODAY()),0,IF(OR(INDEX($B591:$D591,AJ$5)="F",AND(AJ$6&gt;0,$A591&lt;AJ$6),AND(AJ$7&gt;0,$A591&gt;AJ$7)),0,MAX(0,ROUND((INDEX($E591:$G591,AJ$5)-SUMIFS(TF_Timer,TF_Tekniker,AJ$4,TF_Dato,$A591))*2,0)/2)))</f>
        <v/>
      </c>
      <c r="AK591">
        <f>IF(OR(AK$4="",$A591&gt;TODAY()),0,IF(OR(INDEX($B591:$D591,AK$5)="F",AND(AK$6&gt;0,$A591&lt;AK$6),AND(AK$7&gt;0,$A591&gt;AK$7)),0,MAX(0,ROUND((INDEX($E591:$G591,AK$5)-SUMIFS(TF_Timer,TF_Tekniker,AK$4,TF_Dato,$A591))*2,0)/2)))</f>
        <v/>
      </c>
      <c r="AL591">
        <f>IF(OR(AL$4="",$A591&gt;TODAY()),0,IF(OR(INDEX($B591:$D591,AL$5)="F",AND(AL$6&gt;0,$A591&lt;AL$6),AND(AL$7&gt;0,$A591&gt;AL$7)),0,MAX(0,ROUND((INDEX($E591:$G591,AL$5)-SUMIFS(TF_Timer,TF_Tekniker,AL$4,TF_Dato,$A591))*2,0)/2)))</f>
        <v/>
      </c>
      <c r="AM591">
        <f>IF(OR(AM$4="",$A591&gt;TODAY()),0,IF(OR(INDEX($B591:$D591,AM$5)="F",AND(AM$6&gt;0,$A591&lt;AM$6),AND(AM$7&gt;0,$A591&gt;AM$7)),0,MAX(0,ROUND((INDEX($E591:$G591,AM$5)-SUMIFS(TF_Timer,TF_Tekniker,AM$4,TF_Dato,$A591))*2,0)/2)))</f>
        <v/>
      </c>
      <c r="AN591">
        <f>IF(OR(AN$4="",$A591&gt;TODAY()),0,IF(OR(INDEX($B591:$D591,AN$5)="F",AND(AN$6&gt;0,$A591&lt;AN$6),AND(AN$7&gt;0,$A591&gt;AN$7)),0,MAX(0,ROUND((INDEX($E591:$G591,AN$5)-SUMIFS(TF_Timer,TF_Tekniker,AN$4,TF_Dato,$A591))*2,0)/2)))</f>
        <v/>
      </c>
      <c r="AO591">
        <f>IF(OR(AO$4="",$A591&gt;TODAY()),0,IF(OR(INDEX($B591:$D591,AO$5)="F",AND(AO$6&gt;0,$A591&lt;AO$6),AND(AO$7&gt;0,$A591&gt;AO$7)),0,MAX(0,ROUND((INDEX($E591:$G591,AO$5)-SUMIFS(TF_Timer,TF_Tekniker,AO$4,TF_Dato,$A591))*2,0)/2)))</f>
        <v/>
      </c>
      <c r="AP591">
        <f>IF(OR(AP$4="",$A591&gt;TODAY()),0,IF(OR(INDEX($B591:$D591,AP$5)="F",AND(AP$6&gt;0,$A591&lt;AP$6),AND(AP$7&gt;0,$A591&gt;AP$7)),0,MAX(0,ROUND((INDEX($E591:$G591,AP$5)-SUMIFS(TF_Timer,TF_Tekniker,AP$4,TF_Dato,$A591))*2,0)/2)))</f>
        <v/>
      </c>
      <c r="AQ591">
        <f>IF(OR(AQ$4="",$A591&gt;TODAY()),0,IF(OR(INDEX($B591:$D591,AQ$5)="F",AND(AQ$6&gt;0,$A591&lt;AQ$6),AND(AQ$7&gt;0,$A591&gt;AQ$7)),0,MAX(0,ROUND((INDEX($E591:$G591,AQ$5)-SUMIFS(TF_Timer,TF_Tekniker,AQ$4,TF_Dato,$A591))*2,0)/2)))</f>
        <v/>
      </c>
      <c r="AR591">
        <f>IF(OR(AR$4="",$A591&gt;TODAY()),0,IF(OR(INDEX($B591:$D591,AR$5)="F",AND(AR$6&gt;0,$A591&lt;AR$6),AND(AR$7&gt;0,$A591&gt;AR$7)),0,MAX(0,ROUND((INDEX($E591:$G591,AR$5)-SUMIFS(TF_Timer,TF_Tekniker,AR$4,TF_Dato,$A591))*2,0)/2)))</f>
        <v/>
      </c>
      <c r="AS591">
        <f>IF(OR(AS$4="",$A591&gt;TODAY()),0,IF(OR(INDEX($B591:$D591,AS$5)="F",AND(AS$6&gt;0,$A591&lt;AS$6),AND(AS$7&gt;0,$A591&gt;AS$7)),0,MAX(0,ROUND((INDEX($E591:$G591,AS$5)-SUMIFS(TF_Timer,TF_Tekniker,AS$4,TF_Dato,$A591))*2,0)/2)))</f>
        <v/>
      </c>
      <c r="AT591">
        <f>IF(OR(AT$4="",$A591&gt;TODAY()),0,IF(OR(INDEX($B591:$D591,AT$5)="F",AND(AT$6&gt;0,$A591&lt;AT$6),AND(AT$7&gt;0,$A591&gt;AT$7)),0,MAX(0,ROUND((INDEX($E591:$G591,AT$5)-SUMIFS(TF_Timer,TF_Tekniker,AT$4,TF_Dato,$A591))*2,0)/2)))</f>
        <v/>
      </c>
      <c r="AU591">
        <f>IF(OR(AU$4="",$A591&gt;TODAY()),0,IF(OR(INDEX($B591:$D591,AU$5)="F",AND(AU$6&gt;0,$A591&lt;AU$6),AND(AU$7&gt;0,$A591&gt;AU$7)),0,MAX(0,ROUND((INDEX($E591:$G591,AU$5)-SUMIFS(TF_Timer,TF_Tekniker,AU$4,TF_Dato,$A591))*2,0)/2)))</f>
        <v/>
      </c>
      <c r="AV591">
        <f>IF(OR(AV$4="",$A591&gt;TODAY()),0,IF(OR(INDEX($B591:$D591,AV$5)="F",AND(AV$6&gt;0,$A591&lt;AV$6),AND(AV$7&gt;0,$A591&gt;AV$7)),0,MAX(0,ROUND((INDEX($E591:$G591,AV$5)-SUMIFS(TF_Timer,TF_Tekniker,AV$4,TF_Dato,$A591))*2,0)/2)))</f>
        <v/>
      </c>
      <c r="AW591">
        <f>IF(OR(AW$4="",$A591&gt;TODAY()),0,IF(OR(INDEX($B591:$D591,AW$5)="F",AND(AW$6&gt;0,$A591&lt;AW$6),AND(AW$7&gt;0,$A591&gt;AW$7)),0,MAX(0,ROUND((INDEX($E591:$G591,AW$5)-SUMIFS(TF_Timer,TF_Tekniker,AW$4,TF_Dato,$A591))*2,0)/2)))</f>
        <v/>
      </c>
      <c r="AX591">
        <f>IF(OR(AX$4="",$A591&gt;TODAY()),0,IF(OR(INDEX($B591:$D591,AX$5)="F",AND(AX$6&gt;0,$A591&lt;AX$6),AND(AX$7&gt;0,$A591&gt;AX$7)),0,MAX(0,ROUND((INDEX($E591:$G591,AX$5)-SUMIFS(TF_Timer,TF_Tekniker,AX$4,TF_Dato,$A591))*2,0)/2)))</f>
        <v/>
      </c>
      <c r="AY591">
        <f>IF(OR(AY$4="",$A591&gt;TODAY()),0,IF(OR(INDEX($B591:$D591,AY$5)="F",AND(AY$6&gt;0,$A591&lt;AY$6),AND(AY$7&gt;0,$A591&gt;AY$7)),0,MAX(0,ROUND((INDEX($E591:$G591,AY$5)-SUMIFS(TF_Timer,TF_Tekniker,AY$4,TF_Dato,$A591))*2,0)/2)))</f>
        <v/>
      </c>
      <c r="AZ591">
        <f>IF(OR(AZ$4="",$A591&gt;TODAY()),0,IF(OR(INDEX($B591:$D591,AZ$5)="F",AND(AZ$6&gt;0,$A591&lt;AZ$6),AND(AZ$7&gt;0,$A591&gt;AZ$7)),0,MAX(0,ROUND((INDEX($E591:$G591,AZ$5)-SUMIFS(TF_Timer,TF_Tekniker,AZ$4,TF_Dato,$A591))*2,0)/2)))</f>
        <v/>
      </c>
      <c r="BA591">
        <f>IF(OR(BA$4="",$A591&gt;TODAY()),0,IF(OR(INDEX($B591:$D591,BA$5)="F",AND(BA$6&gt;0,$A591&lt;BA$6),AND(BA$7&gt;0,$A591&gt;BA$7)),0,MAX(0,ROUND((INDEX($E591:$G591,BA$5)-SUMIFS(TF_Timer,TF_Tekniker,BA$4,TF_Dato,$A591))*2,0)/2)))</f>
        <v/>
      </c>
      <c r="BB591">
        <f>IF(OR(BB$4="",$A591&gt;TODAY()),0,IF(OR(INDEX($B591:$D591,BB$5)="F",AND(BB$6&gt;0,$A591&lt;BB$6),AND(BB$7&gt;0,$A591&gt;BB$7)),0,MAX(0,ROUND((INDEX($E591:$G591,BB$5)-SUMIFS(TF_Timer,TF_Tekniker,BB$4,TF_Dato,$A591))*2,0)/2)))</f>
        <v/>
      </c>
      <c r="BC591">
        <f>IF(OR(BC$4="",$A591&gt;TODAY()),0,IF(OR(INDEX($B591:$D591,BC$5)="F",AND(BC$6&gt;0,$A591&lt;BC$6),AND(BC$7&gt;0,$A591&gt;BC$7)),0,MAX(0,ROUND((INDEX($E591:$G591,BC$5)-SUMIFS(TF_Timer,TF_Tekniker,BC$4,TF_Dato,$A591))*2,0)/2)))</f>
        <v/>
      </c>
      <c r="BD591">
        <f>IF(OR(BD$4="",$A591&gt;TODAY()),0,IF(OR(INDEX($B591:$D591,BD$5)="F",AND(BD$6&gt;0,$A591&lt;BD$6),AND(BD$7&gt;0,$A591&gt;BD$7)),0,MAX(0,ROUND((INDEX($E591:$G591,BD$5)-SUMIFS(TF_Timer,TF_Tekniker,BD$4,TF_Dato,$A591))*2,0)/2)))</f>
        <v/>
      </c>
      <c r="BE591">
        <f>IF(OR(BE$4="",$A591&gt;TODAY()),0,IF(OR(INDEX($B591:$D591,BE$5)="F",AND(BE$6&gt;0,$A591&lt;BE$6),AND(BE$7&gt;0,$A591&gt;BE$7)),0,MAX(0,ROUND((INDEX($E591:$G591,BE$5)-SUMIFS(TF_Timer,TF_Tekniker,BE$4,TF_Dato,$A591))*2,0)/2)))</f>
        <v/>
      </c>
      <c r="BF591">
        <f>IF(OR(BF$4="",$A591&gt;TODAY()),0,IF(OR(INDEX($B591:$D591,BF$5)="F",AND(BF$6&gt;0,$A591&lt;BF$6),AND(BF$7&gt;0,$A591&gt;BF$7)),0,MAX(0,ROUND((INDEX($E591:$G591,BF$5)-SUMIFS(TF_Timer,TF_Tekniker,BF$4,TF_Dato,$A591))*2,0)/2)))</f>
        <v/>
      </c>
      <c r="BG591">
        <f>IF(OR(BG$4="",$A591&gt;TODAY()),0,IF(OR(INDEX($B591:$D591,BG$5)="F",AND(BG$6&gt;0,$A591&lt;BG$6),AND(BG$7&gt;0,$A591&gt;BG$7)),0,MAX(0,ROUND((INDEX($E591:$G591,BG$5)-SUMIFS(TF_Timer,TF_Tekniker,BG$4,TF_Dato,$A591))*2,0)/2)))</f>
        <v/>
      </c>
      <c r="BH591">
        <f>IF(OR(BH$4="",$A591&gt;TODAY()),0,IF(OR(INDEX($B591:$D591,BH$5)="F",AND(BH$6&gt;0,$A591&lt;BH$6),AND(BH$7&gt;0,$A591&gt;BH$7)),0,MAX(0,ROUND((INDEX($E591:$G591,BH$5)-SUMIFS(TF_Timer,TF_Tekniker,BH$4,TF_Dato,$A591))*2,0)/2)))</f>
        <v/>
      </c>
      <c r="BI591">
        <f>IF(OR(BI$4="",$A591&gt;TODAY()),0,IF(OR(INDEX($B591:$D591,BI$5)="F",AND(BI$6&gt;0,$A591&lt;BI$6),AND(BI$7&gt;0,$A591&gt;BI$7)),0,MAX(0,ROUND((INDEX($E591:$G591,BI$5)-SUMIFS(TF_Timer,TF_Tekniker,BI$4,TF_Dato,$A591))*2,0)/2)))</f>
        <v/>
      </c>
    </row>
    <row r="592">
      <c r="A592" s="64">
        <f>A591+1</f>
        <v/>
      </c>
      <c r="B592">
        <f>IF(MOD($A592-INDEX(SkiftStart,1),Syklus)&lt;DagK,"K",IF(MOD($A592-INDEX(SkiftStart,1),Syklus)&lt;DagK+DagH,"H",IF(MOD($A592-INDEX(SkiftStart,1),Syklus)&lt;DagK+DagH+DagD,"D","F")))</f>
        <v/>
      </c>
      <c r="C592">
        <f>IF(MOD($A592-INDEX(SkiftStart,2),Syklus)&lt;DagK,"K",IF(MOD($A592-INDEX(SkiftStart,2),Syklus)&lt;DagK+DagH,"H",IF(MOD($A592-INDEX(SkiftStart,2),Syklus)&lt;DagK+DagH+DagD,"D","F")))</f>
        <v/>
      </c>
      <c r="D592">
        <f>IF(MOD($A592-INDEX(SkiftStart,3),Syklus)&lt;DagK,"K",IF(MOD($A592-INDEX(SkiftStart,3),Syklus)&lt;DagK+DagH,"H",IF(MOD($A592-INDEX(SkiftStart,3),Syklus)&lt;DagK+DagH+DagD,"D","F")))</f>
        <v/>
      </c>
      <c r="E592">
        <f>IF(B592="F",0,IF(WEEKDAY($A592,2)=5,INDEX(TimerFr,MATCH(B592,FaseKode,0)),INDEX(TimerMT,MATCH(B592,FaseKode,0))))</f>
        <v/>
      </c>
      <c r="F592">
        <f>IF(C592="F",0,IF(WEEKDAY($A592,2)=5,INDEX(TimerFr,MATCH(C592,FaseKode,0)),INDEX(TimerMT,MATCH(C592,FaseKode,0))))</f>
        <v/>
      </c>
      <c r="G592">
        <f>IF(D592="F",0,IF(WEEKDAY($A592,2)=5,INDEX(TimerFr,MATCH(D592,FaseKode,0)),INDEX(TimerMT,MATCH(D592,FaseKode,0))))</f>
        <v/>
      </c>
      <c r="H592">
        <f>IF(OR(H$4="",$A592&gt;TODAY()),0,IF(OR(INDEX($B592:$D592,H$5)="F",AND(H$6&gt;0,$A592&lt;H$6),AND(H$7&gt;0,$A592&gt;H$7)),0,MAX(0,ROUND((INDEX($E592:$G592,H$5)-SUMIFS(TF_Timer,TF_Tekniker,H$4,TF_Dato,$A592))*2,0)/2)))</f>
        <v/>
      </c>
      <c r="I592">
        <f>IF(OR(I$4="",$A592&gt;TODAY()),0,IF(OR(INDEX($B592:$D592,I$5)="F",AND(I$6&gt;0,$A592&lt;I$6),AND(I$7&gt;0,$A592&gt;I$7)),0,MAX(0,ROUND((INDEX($E592:$G592,I$5)-SUMIFS(TF_Timer,TF_Tekniker,I$4,TF_Dato,$A592))*2,0)/2)))</f>
        <v/>
      </c>
      <c r="J592">
        <f>IF(OR(J$4="",$A592&gt;TODAY()),0,IF(OR(INDEX($B592:$D592,J$5)="F",AND(J$6&gt;0,$A592&lt;J$6),AND(J$7&gt;0,$A592&gt;J$7)),0,MAX(0,ROUND((INDEX($E592:$G592,J$5)-SUMIFS(TF_Timer,TF_Tekniker,J$4,TF_Dato,$A592))*2,0)/2)))</f>
        <v/>
      </c>
      <c r="K592">
        <f>IF(OR(K$4="",$A592&gt;TODAY()),0,IF(OR(INDEX($B592:$D592,K$5)="F",AND(K$6&gt;0,$A592&lt;K$6),AND(K$7&gt;0,$A592&gt;K$7)),0,MAX(0,ROUND((INDEX($E592:$G592,K$5)-SUMIFS(TF_Timer,TF_Tekniker,K$4,TF_Dato,$A592))*2,0)/2)))</f>
        <v/>
      </c>
      <c r="L592">
        <f>IF(OR(L$4="",$A592&gt;TODAY()),0,IF(OR(INDEX($B592:$D592,L$5)="F",AND(L$6&gt;0,$A592&lt;L$6),AND(L$7&gt;0,$A592&gt;L$7)),0,MAX(0,ROUND((INDEX($E592:$G592,L$5)-SUMIFS(TF_Timer,TF_Tekniker,L$4,TF_Dato,$A592))*2,0)/2)))</f>
        <v/>
      </c>
      <c r="M592">
        <f>IF(OR(M$4="",$A592&gt;TODAY()),0,IF(OR(INDEX($B592:$D592,M$5)="F",AND(M$6&gt;0,$A592&lt;M$6),AND(M$7&gt;0,$A592&gt;M$7)),0,MAX(0,ROUND((INDEX($E592:$G592,M$5)-SUMIFS(TF_Timer,TF_Tekniker,M$4,TF_Dato,$A592))*2,0)/2)))</f>
        <v/>
      </c>
      <c r="N592">
        <f>IF(OR(N$4="",$A592&gt;TODAY()),0,IF(OR(INDEX($B592:$D592,N$5)="F",AND(N$6&gt;0,$A592&lt;N$6),AND(N$7&gt;0,$A592&gt;N$7)),0,MAX(0,ROUND((INDEX($E592:$G592,N$5)-SUMIFS(TF_Timer,TF_Tekniker,N$4,TF_Dato,$A592))*2,0)/2)))</f>
        <v/>
      </c>
      <c r="O592">
        <f>IF(OR(O$4="",$A592&gt;TODAY()),0,IF(OR(INDEX($B592:$D592,O$5)="F",AND(O$6&gt;0,$A592&lt;O$6),AND(O$7&gt;0,$A592&gt;O$7)),0,MAX(0,ROUND((INDEX($E592:$G592,O$5)-SUMIFS(TF_Timer,TF_Tekniker,O$4,TF_Dato,$A592))*2,0)/2)))</f>
        <v/>
      </c>
      <c r="P592">
        <f>IF(OR(P$4="",$A592&gt;TODAY()),0,IF(OR(INDEX($B592:$D592,P$5)="F",AND(P$6&gt;0,$A592&lt;P$6),AND(P$7&gt;0,$A592&gt;P$7)),0,MAX(0,ROUND((INDEX($E592:$G592,P$5)-SUMIFS(TF_Timer,TF_Tekniker,P$4,TF_Dato,$A592))*2,0)/2)))</f>
        <v/>
      </c>
      <c r="Q592">
        <f>IF(OR(Q$4="",$A592&gt;TODAY()),0,IF(OR(INDEX($B592:$D592,Q$5)="F",AND(Q$6&gt;0,$A592&lt;Q$6),AND(Q$7&gt;0,$A592&gt;Q$7)),0,MAX(0,ROUND((INDEX($E592:$G592,Q$5)-SUMIFS(TF_Timer,TF_Tekniker,Q$4,TF_Dato,$A592))*2,0)/2)))</f>
        <v/>
      </c>
      <c r="R592">
        <f>IF(OR(R$4="",$A592&gt;TODAY()),0,IF(OR(INDEX($B592:$D592,R$5)="F",AND(R$6&gt;0,$A592&lt;R$6),AND(R$7&gt;0,$A592&gt;R$7)),0,MAX(0,ROUND((INDEX($E592:$G592,R$5)-SUMIFS(TF_Timer,TF_Tekniker,R$4,TF_Dato,$A592))*2,0)/2)))</f>
        <v/>
      </c>
      <c r="S592">
        <f>IF(OR(S$4="",$A592&gt;TODAY()),0,IF(OR(INDEX($B592:$D592,S$5)="F",AND(S$6&gt;0,$A592&lt;S$6),AND(S$7&gt;0,$A592&gt;S$7)),0,MAX(0,ROUND((INDEX($E592:$G592,S$5)-SUMIFS(TF_Timer,TF_Tekniker,S$4,TF_Dato,$A592))*2,0)/2)))</f>
        <v/>
      </c>
      <c r="T592">
        <f>IF(OR(T$4="",$A592&gt;TODAY()),0,IF(OR(INDEX($B592:$D592,T$5)="F",AND(T$6&gt;0,$A592&lt;T$6),AND(T$7&gt;0,$A592&gt;T$7)),0,MAX(0,ROUND((INDEX($E592:$G592,T$5)-SUMIFS(TF_Timer,TF_Tekniker,T$4,TF_Dato,$A592))*2,0)/2)))</f>
        <v/>
      </c>
      <c r="U592">
        <f>IF(OR(U$4="",$A592&gt;TODAY()),0,IF(OR(INDEX($B592:$D592,U$5)="F",AND(U$6&gt;0,$A592&lt;U$6),AND(U$7&gt;0,$A592&gt;U$7)),0,MAX(0,ROUND((INDEX($E592:$G592,U$5)-SUMIFS(TF_Timer,TF_Tekniker,U$4,TF_Dato,$A592))*2,0)/2)))</f>
        <v/>
      </c>
      <c r="V592">
        <f>IF(OR(V$4="",$A592&gt;TODAY()),0,IF(OR(INDEX($B592:$D592,V$5)="F",AND(V$6&gt;0,$A592&lt;V$6),AND(V$7&gt;0,$A592&gt;V$7)),0,MAX(0,ROUND((INDEX($E592:$G592,V$5)-SUMIFS(TF_Timer,TF_Tekniker,V$4,TF_Dato,$A592))*2,0)/2)))</f>
        <v/>
      </c>
      <c r="W592">
        <f>IF(OR(W$4="",$A592&gt;TODAY()),0,IF(OR(INDEX($B592:$D592,W$5)="F",AND(W$6&gt;0,$A592&lt;W$6),AND(W$7&gt;0,$A592&gt;W$7)),0,MAX(0,ROUND((INDEX($E592:$G592,W$5)-SUMIFS(TF_Timer,TF_Tekniker,W$4,TF_Dato,$A592))*2,0)/2)))</f>
        <v/>
      </c>
      <c r="X592">
        <f>IF(OR(X$4="",$A592&gt;TODAY()),0,IF(OR(INDEX($B592:$D592,X$5)="F",AND(X$6&gt;0,$A592&lt;X$6),AND(X$7&gt;0,$A592&gt;X$7)),0,MAX(0,ROUND((INDEX($E592:$G592,X$5)-SUMIFS(TF_Timer,TF_Tekniker,X$4,TF_Dato,$A592))*2,0)/2)))</f>
        <v/>
      </c>
      <c r="Y592">
        <f>IF(OR(Y$4="",$A592&gt;TODAY()),0,IF(OR(INDEX($B592:$D592,Y$5)="F",AND(Y$6&gt;0,$A592&lt;Y$6),AND(Y$7&gt;0,$A592&gt;Y$7)),0,MAX(0,ROUND((INDEX($E592:$G592,Y$5)-SUMIFS(TF_Timer,TF_Tekniker,Y$4,TF_Dato,$A592))*2,0)/2)))</f>
        <v/>
      </c>
      <c r="Z592">
        <f>IF(OR(Z$4="",$A592&gt;TODAY()),0,IF(OR(INDEX($B592:$D592,Z$5)="F",AND(Z$6&gt;0,$A592&lt;Z$6),AND(Z$7&gt;0,$A592&gt;Z$7)),0,MAX(0,ROUND((INDEX($E592:$G592,Z$5)-SUMIFS(TF_Timer,TF_Tekniker,Z$4,TF_Dato,$A592))*2,0)/2)))</f>
        <v/>
      </c>
      <c r="AA592">
        <f>IF(OR(AA$4="",$A592&gt;TODAY()),0,IF(OR(INDEX($B592:$D592,AA$5)="F",AND(AA$6&gt;0,$A592&lt;AA$6),AND(AA$7&gt;0,$A592&gt;AA$7)),0,MAX(0,ROUND((INDEX($E592:$G592,AA$5)-SUMIFS(TF_Timer,TF_Tekniker,AA$4,TF_Dato,$A592))*2,0)/2)))</f>
        <v/>
      </c>
      <c r="AB592">
        <f>IF(OR(AB$4="",$A592&gt;TODAY()),0,IF(OR(INDEX($B592:$D592,AB$5)="F",AND(AB$6&gt;0,$A592&lt;AB$6),AND(AB$7&gt;0,$A592&gt;AB$7)),0,MAX(0,ROUND((INDEX($E592:$G592,AB$5)-SUMIFS(TF_Timer,TF_Tekniker,AB$4,TF_Dato,$A592))*2,0)/2)))</f>
        <v/>
      </c>
      <c r="AC592">
        <f>IF(OR(AC$4="",$A592&gt;TODAY()),0,IF(OR(INDEX($B592:$D592,AC$5)="F",AND(AC$6&gt;0,$A592&lt;AC$6),AND(AC$7&gt;0,$A592&gt;AC$7)),0,MAX(0,ROUND((INDEX($E592:$G592,AC$5)-SUMIFS(TF_Timer,TF_Tekniker,AC$4,TF_Dato,$A592))*2,0)/2)))</f>
        <v/>
      </c>
      <c r="AD592">
        <f>IF(OR(AD$4="",$A592&gt;TODAY()),0,IF(OR(INDEX($B592:$D592,AD$5)="F",AND(AD$6&gt;0,$A592&lt;AD$6),AND(AD$7&gt;0,$A592&gt;AD$7)),0,MAX(0,ROUND((INDEX($E592:$G592,AD$5)-SUMIFS(TF_Timer,TF_Tekniker,AD$4,TF_Dato,$A592))*2,0)/2)))</f>
        <v/>
      </c>
      <c r="AE592">
        <f>IF(OR(AE$4="",$A592&gt;TODAY()),0,IF(OR(INDEX($B592:$D592,AE$5)="F",AND(AE$6&gt;0,$A592&lt;AE$6),AND(AE$7&gt;0,$A592&gt;AE$7)),0,MAX(0,ROUND((INDEX($E592:$G592,AE$5)-SUMIFS(TF_Timer,TF_Tekniker,AE$4,TF_Dato,$A592))*2,0)/2)))</f>
        <v/>
      </c>
      <c r="AF592">
        <f>IF(OR(AF$4="",$A592&gt;TODAY()),0,IF(OR(INDEX($B592:$D592,AF$5)="F",AND(AF$6&gt;0,$A592&lt;AF$6),AND(AF$7&gt;0,$A592&gt;AF$7)),0,MAX(0,ROUND((INDEX($E592:$G592,AF$5)-SUMIFS(TF_Timer,TF_Tekniker,AF$4,TF_Dato,$A592))*2,0)/2)))</f>
        <v/>
      </c>
      <c r="AG592">
        <f>IF(OR(AG$4="",$A592&gt;TODAY()),0,IF(OR(INDEX($B592:$D592,AG$5)="F",AND(AG$6&gt;0,$A592&lt;AG$6),AND(AG$7&gt;0,$A592&gt;AG$7)),0,MAX(0,ROUND((INDEX($E592:$G592,AG$5)-SUMIFS(TF_Timer,TF_Tekniker,AG$4,TF_Dato,$A592))*2,0)/2)))</f>
        <v/>
      </c>
      <c r="AH592">
        <f>IF(OR(AH$4="",$A592&gt;TODAY()),0,IF(OR(INDEX($B592:$D592,AH$5)="F",AND(AH$6&gt;0,$A592&lt;AH$6),AND(AH$7&gt;0,$A592&gt;AH$7)),0,MAX(0,ROUND((INDEX($E592:$G592,AH$5)-SUMIFS(TF_Timer,TF_Tekniker,AH$4,TF_Dato,$A592))*2,0)/2)))</f>
        <v/>
      </c>
      <c r="AI592">
        <f>IF(OR(AI$4="",$A592&gt;TODAY()),0,IF(OR(INDEX($B592:$D592,AI$5)="F",AND(AI$6&gt;0,$A592&lt;AI$6),AND(AI$7&gt;0,$A592&gt;AI$7)),0,MAX(0,ROUND((INDEX($E592:$G592,AI$5)-SUMIFS(TF_Timer,TF_Tekniker,AI$4,TF_Dato,$A592))*2,0)/2)))</f>
        <v/>
      </c>
      <c r="AJ592">
        <f>IF(OR(AJ$4="",$A592&gt;TODAY()),0,IF(OR(INDEX($B592:$D592,AJ$5)="F",AND(AJ$6&gt;0,$A592&lt;AJ$6),AND(AJ$7&gt;0,$A592&gt;AJ$7)),0,MAX(0,ROUND((INDEX($E592:$G592,AJ$5)-SUMIFS(TF_Timer,TF_Tekniker,AJ$4,TF_Dato,$A592))*2,0)/2)))</f>
        <v/>
      </c>
      <c r="AK592">
        <f>IF(OR(AK$4="",$A592&gt;TODAY()),0,IF(OR(INDEX($B592:$D592,AK$5)="F",AND(AK$6&gt;0,$A592&lt;AK$6),AND(AK$7&gt;0,$A592&gt;AK$7)),0,MAX(0,ROUND((INDEX($E592:$G592,AK$5)-SUMIFS(TF_Timer,TF_Tekniker,AK$4,TF_Dato,$A592))*2,0)/2)))</f>
        <v/>
      </c>
      <c r="AL592">
        <f>IF(OR(AL$4="",$A592&gt;TODAY()),0,IF(OR(INDEX($B592:$D592,AL$5)="F",AND(AL$6&gt;0,$A592&lt;AL$6),AND(AL$7&gt;0,$A592&gt;AL$7)),0,MAX(0,ROUND((INDEX($E592:$G592,AL$5)-SUMIFS(TF_Timer,TF_Tekniker,AL$4,TF_Dato,$A592))*2,0)/2)))</f>
        <v/>
      </c>
      <c r="AM592">
        <f>IF(OR(AM$4="",$A592&gt;TODAY()),0,IF(OR(INDEX($B592:$D592,AM$5)="F",AND(AM$6&gt;0,$A592&lt;AM$6),AND(AM$7&gt;0,$A592&gt;AM$7)),0,MAX(0,ROUND((INDEX($E592:$G592,AM$5)-SUMIFS(TF_Timer,TF_Tekniker,AM$4,TF_Dato,$A592))*2,0)/2)))</f>
        <v/>
      </c>
      <c r="AN592">
        <f>IF(OR(AN$4="",$A592&gt;TODAY()),0,IF(OR(INDEX($B592:$D592,AN$5)="F",AND(AN$6&gt;0,$A592&lt;AN$6),AND(AN$7&gt;0,$A592&gt;AN$7)),0,MAX(0,ROUND((INDEX($E592:$G592,AN$5)-SUMIFS(TF_Timer,TF_Tekniker,AN$4,TF_Dato,$A592))*2,0)/2)))</f>
        <v/>
      </c>
      <c r="AO592">
        <f>IF(OR(AO$4="",$A592&gt;TODAY()),0,IF(OR(INDEX($B592:$D592,AO$5)="F",AND(AO$6&gt;0,$A592&lt;AO$6),AND(AO$7&gt;0,$A592&gt;AO$7)),0,MAX(0,ROUND((INDEX($E592:$G592,AO$5)-SUMIFS(TF_Timer,TF_Tekniker,AO$4,TF_Dato,$A592))*2,0)/2)))</f>
        <v/>
      </c>
      <c r="AP592">
        <f>IF(OR(AP$4="",$A592&gt;TODAY()),0,IF(OR(INDEX($B592:$D592,AP$5)="F",AND(AP$6&gt;0,$A592&lt;AP$6),AND(AP$7&gt;0,$A592&gt;AP$7)),0,MAX(0,ROUND((INDEX($E592:$G592,AP$5)-SUMIFS(TF_Timer,TF_Tekniker,AP$4,TF_Dato,$A592))*2,0)/2)))</f>
        <v/>
      </c>
      <c r="AQ592">
        <f>IF(OR(AQ$4="",$A592&gt;TODAY()),0,IF(OR(INDEX($B592:$D592,AQ$5)="F",AND(AQ$6&gt;0,$A592&lt;AQ$6),AND(AQ$7&gt;0,$A592&gt;AQ$7)),0,MAX(0,ROUND((INDEX($E592:$G592,AQ$5)-SUMIFS(TF_Timer,TF_Tekniker,AQ$4,TF_Dato,$A592))*2,0)/2)))</f>
        <v/>
      </c>
      <c r="AR592">
        <f>IF(OR(AR$4="",$A592&gt;TODAY()),0,IF(OR(INDEX($B592:$D592,AR$5)="F",AND(AR$6&gt;0,$A592&lt;AR$6),AND(AR$7&gt;0,$A592&gt;AR$7)),0,MAX(0,ROUND((INDEX($E592:$G592,AR$5)-SUMIFS(TF_Timer,TF_Tekniker,AR$4,TF_Dato,$A592))*2,0)/2)))</f>
        <v/>
      </c>
      <c r="AS592">
        <f>IF(OR(AS$4="",$A592&gt;TODAY()),0,IF(OR(INDEX($B592:$D592,AS$5)="F",AND(AS$6&gt;0,$A592&lt;AS$6),AND(AS$7&gt;0,$A592&gt;AS$7)),0,MAX(0,ROUND((INDEX($E592:$G592,AS$5)-SUMIFS(TF_Timer,TF_Tekniker,AS$4,TF_Dato,$A592))*2,0)/2)))</f>
        <v/>
      </c>
      <c r="AT592">
        <f>IF(OR(AT$4="",$A592&gt;TODAY()),0,IF(OR(INDEX($B592:$D592,AT$5)="F",AND(AT$6&gt;0,$A592&lt;AT$6),AND(AT$7&gt;0,$A592&gt;AT$7)),0,MAX(0,ROUND((INDEX($E592:$G592,AT$5)-SUMIFS(TF_Timer,TF_Tekniker,AT$4,TF_Dato,$A592))*2,0)/2)))</f>
        <v/>
      </c>
      <c r="AU592">
        <f>IF(OR(AU$4="",$A592&gt;TODAY()),0,IF(OR(INDEX($B592:$D592,AU$5)="F",AND(AU$6&gt;0,$A592&lt;AU$6),AND(AU$7&gt;0,$A592&gt;AU$7)),0,MAX(0,ROUND((INDEX($E592:$G592,AU$5)-SUMIFS(TF_Timer,TF_Tekniker,AU$4,TF_Dato,$A592))*2,0)/2)))</f>
        <v/>
      </c>
      <c r="AV592">
        <f>IF(OR(AV$4="",$A592&gt;TODAY()),0,IF(OR(INDEX($B592:$D592,AV$5)="F",AND(AV$6&gt;0,$A592&lt;AV$6),AND(AV$7&gt;0,$A592&gt;AV$7)),0,MAX(0,ROUND((INDEX($E592:$G592,AV$5)-SUMIFS(TF_Timer,TF_Tekniker,AV$4,TF_Dato,$A592))*2,0)/2)))</f>
        <v/>
      </c>
      <c r="AW592">
        <f>IF(OR(AW$4="",$A592&gt;TODAY()),0,IF(OR(INDEX($B592:$D592,AW$5)="F",AND(AW$6&gt;0,$A592&lt;AW$6),AND(AW$7&gt;0,$A592&gt;AW$7)),0,MAX(0,ROUND((INDEX($E592:$G592,AW$5)-SUMIFS(TF_Timer,TF_Tekniker,AW$4,TF_Dato,$A592))*2,0)/2)))</f>
        <v/>
      </c>
      <c r="AX592">
        <f>IF(OR(AX$4="",$A592&gt;TODAY()),0,IF(OR(INDEX($B592:$D592,AX$5)="F",AND(AX$6&gt;0,$A592&lt;AX$6),AND(AX$7&gt;0,$A592&gt;AX$7)),0,MAX(0,ROUND((INDEX($E592:$G592,AX$5)-SUMIFS(TF_Timer,TF_Tekniker,AX$4,TF_Dato,$A592))*2,0)/2)))</f>
        <v/>
      </c>
      <c r="AY592">
        <f>IF(OR(AY$4="",$A592&gt;TODAY()),0,IF(OR(INDEX($B592:$D592,AY$5)="F",AND(AY$6&gt;0,$A592&lt;AY$6),AND(AY$7&gt;0,$A592&gt;AY$7)),0,MAX(0,ROUND((INDEX($E592:$G592,AY$5)-SUMIFS(TF_Timer,TF_Tekniker,AY$4,TF_Dato,$A592))*2,0)/2)))</f>
        <v/>
      </c>
      <c r="AZ592">
        <f>IF(OR(AZ$4="",$A592&gt;TODAY()),0,IF(OR(INDEX($B592:$D592,AZ$5)="F",AND(AZ$6&gt;0,$A592&lt;AZ$6),AND(AZ$7&gt;0,$A592&gt;AZ$7)),0,MAX(0,ROUND((INDEX($E592:$G592,AZ$5)-SUMIFS(TF_Timer,TF_Tekniker,AZ$4,TF_Dato,$A592))*2,0)/2)))</f>
        <v/>
      </c>
      <c r="BA592">
        <f>IF(OR(BA$4="",$A592&gt;TODAY()),0,IF(OR(INDEX($B592:$D592,BA$5)="F",AND(BA$6&gt;0,$A592&lt;BA$6),AND(BA$7&gt;0,$A592&gt;BA$7)),0,MAX(0,ROUND((INDEX($E592:$G592,BA$5)-SUMIFS(TF_Timer,TF_Tekniker,BA$4,TF_Dato,$A592))*2,0)/2)))</f>
        <v/>
      </c>
      <c r="BB592">
        <f>IF(OR(BB$4="",$A592&gt;TODAY()),0,IF(OR(INDEX($B592:$D592,BB$5)="F",AND(BB$6&gt;0,$A592&lt;BB$6),AND(BB$7&gt;0,$A592&gt;BB$7)),0,MAX(0,ROUND((INDEX($E592:$G592,BB$5)-SUMIFS(TF_Timer,TF_Tekniker,BB$4,TF_Dato,$A592))*2,0)/2)))</f>
        <v/>
      </c>
      <c r="BC592">
        <f>IF(OR(BC$4="",$A592&gt;TODAY()),0,IF(OR(INDEX($B592:$D592,BC$5)="F",AND(BC$6&gt;0,$A592&lt;BC$6),AND(BC$7&gt;0,$A592&gt;BC$7)),0,MAX(0,ROUND((INDEX($E592:$G592,BC$5)-SUMIFS(TF_Timer,TF_Tekniker,BC$4,TF_Dato,$A592))*2,0)/2)))</f>
        <v/>
      </c>
      <c r="BD592">
        <f>IF(OR(BD$4="",$A592&gt;TODAY()),0,IF(OR(INDEX($B592:$D592,BD$5)="F",AND(BD$6&gt;0,$A592&lt;BD$6),AND(BD$7&gt;0,$A592&gt;BD$7)),0,MAX(0,ROUND((INDEX($E592:$G592,BD$5)-SUMIFS(TF_Timer,TF_Tekniker,BD$4,TF_Dato,$A592))*2,0)/2)))</f>
        <v/>
      </c>
      <c r="BE592">
        <f>IF(OR(BE$4="",$A592&gt;TODAY()),0,IF(OR(INDEX($B592:$D592,BE$5)="F",AND(BE$6&gt;0,$A592&lt;BE$6),AND(BE$7&gt;0,$A592&gt;BE$7)),0,MAX(0,ROUND((INDEX($E592:$G592,BE$5)-SUMIFS(TF_Timer,TF_Tekniker,BE$4,TF_Dato,$A592))*2,0)/2)))</f>
        <v/>
      </c>
      <c r="BF592">
        <f>IF(OR(BF$4="",$A592&gt;TODAY()),0,IF(OR(INDEX($B592:$D592,BF$5)="F",AND(BF$6&gt;0,$A592&lt;BF$6),AND(BF$7&gt;0,$A592&gt;BF$7)),0,MAX(0,ROUND((INDEX($E592:$G592,BF$5)-SUMIFS(TF_Timer,TF_Tekniker,BF$4,TF_Dato,$A592))*2,0)/2)))</f>
        <v/>
      </c>
      <c r="BG592">
        <f>IF(OR(BG$4="",$A592&gt;TODAY()),0,IF(OR(INDEX($B592:$D592,BG$5)="F",AND(BG$6&gt;0,$A592&lt;BG$6),AND(BG$7&gt;0,$A592&gt;BG$7)),0,MAX(0,ROUND((INDEX($E592:$G592,BG$5)-SUMIFS(TF_Timer,TF_Tekniker,BG$4,TF_Dato,$A592))*2,0)/2)))</f>
        <v/>
      </c>
      <c r="BH592">
        <f>IF(OR(BH$4="",$A592&gt;TODAY()),0,IF(OR(INDEX($B592:$D592,BH$5)="F",AND(BH$6&gt;0,$A592&lt;BH$6),AND(BH$7&gt;0,$A592&gt;BH$7)),0,MAX(0,ROUND((INDEX($E592:$G592,BH$5)-SUMIFS(TF_Timer,TF_Tekniker,BH$4,TF_Dato,$A592))*2,0)/2)))</f>
        <v/>
      </c>
      <c r="BI592">
        <f>IF(OR(BI$4="",$A592&gt;TODAY()),0,IF(OR(INDEX($B592:$D592,BI$5)="F",AND(BI$6&gt;0,$A592&lt;BI$6),AND(BI$7&gt;0,$A592&gt;BI$7)),0,MAX(0,ROUND((INDEX($E592:$G592,BI$5)-SUMIFS(TF_Timer,TF_Tekniker,BI$4,TF_Dato,$A592))*2,0)/2)))</f>
        <v/>
      </c>
    </row>
    <row r="593">
      <c r="A593" s="64">
        <f>A592+1</f>
        <v/>
      </c>
      <c r="B593">
        <f>IF(MOD($A593-INDEX(SkiftStart,1),Syklus)&lt;DagK,"K",IF(MOD($A593-INDEX(SkiftStart,1),Syklus)&lt;DagK+DagH,"H",IF(MOD($A593-INDEX(SkiftStart,1),Syklus)&lt;DagK+DagH+DagD,"D","F")))</f>
        <v/>
      </c>
      <c r="C593">
        <f>IF(MOD($A593-INDEX(SkiftStart,2),Syklus)&lt;DagK,"K",IF(MOD($A593-INDEX(SkiftStart,2),Syklus)&lt;DagK+DagH,"H",IF(MOD($A593-INDEX(SkiftStart,2),Syklus)&lt;DagK+DagH+DagD,"D","F")))</f>
        <v/>
      </c>
      <c r="D593">
        <f>IF(MOD($A593-INDEX(SkiftStart,3),Syklus)&lt;DagK,"K",IF(MOD($A593-INDEX(SkiftStart,3),Syklus)&lt;DagK+DagH,"H",IF(MOD($A593-INDEX(SkiftStart,3),Syklus)&lt;DagK+DagH+DagD,"D","F")))</f>
        <v/>
      </c>
      <c r="E593">
        <f>IF(B593="F",0,IF(WEEKDAY($A593,2)=5,INDEX(TimerFr,MATCH(B593,FaseKode,0)),INDEX(TimerMT,MATCH(B593,FaseKode,0))))</f>
        <v/>
      </c>
      <c r="F593">
        <f>IF(C593="F",0,IF(WEEKDAY($A593,2)=5,INDEX(TimerFr,MATCH(C593,FaseKode,0)),INDEX(TimerMT,MATCH(C593,FaseKode,0))))</f>
        <v/>
      </c>
      <c r="G593">
        <f>IF(D593="F",0,IF(WEEKDAY($A593,2)=5,INDEX(TimerFr,MATCH(D593,FaseKode,0)),INDEX(TimerMT,MATCH(D593,FaseKode,0))))</f>
        <v/>
      </c>
      <c r="H593">
        <f>IF(OR(H$4="",$A593&gt;TODAY()),0,IF(OR(INDEX($B593:$D593,H$5)="F",AND(H$6&gt;0,$A593&lt;H$6),AND(H$7&gt;0,$A593&gt;H$7)),0,MAX(0,ROUND((INDEX($E593:$G593,H$5)-SUMIFS(TF_Timer,TF_Tekniker,H$4,TF_Dato,$A593))*2,0)/2)))</f>
        <v/>
      </c>
      <c r="I593">
        <f>IF(OR(I$4="",$A593&gt;TODAY()),0,IF(OR(INDEX($B593:$D593,I$5)="F",AND(I$6&gt;0,$A593&lt;I$6),AND(I$7&gt;0,$A593&gt;I$7)),0,MAX(0,ROUND((INDEX($E593:$G593,I$5)-SUMIFS(TF_Timer,TF_Tekniker,I$4,TF_Dato,$A593))*2,0)/2)))</f>
        <v/>
      </c>
      <c r="J593">
        <f>IF(OR(J$4="",$A593&gt;TODAY()),0,IF(OR(INDEX($B593:$D593,J$5)="F",AND(J$6&gt;0,$A593&lt;J$6),AND(J$7&gt;0,$A593&gt;J$7)),0,MAX(0,ROUND((INDEX($E593:$G593,J$5)-SUMIFS(TF_Timer,TF_Tekniker,J$4,TF_Dato,$A593))*2,0)/2)))</f>
        <v/>
      </c>
      <c r="K593">
        <f>IF(OR(K$4="",$A593&gt;TODAY()),0,IF(OR(INDEX($B593:$D593,K$5)="F",AND(K$6&gt;0,$A593&lt;K$6),AND(K$7&gt;0,$A593&gt;K$7)),0,MAX(0,ROUND((INDEX($E593:$G593,K$5)-SUMIFS(TF_Timer,TF_Tekniker,K$4,TF_Dato,$A593))*2,0)/2)))</f>
        <v/>
      </c>
      <c r="L593">
        <f>IF(OR(L$4="",$A593&gt;TODAY()),0,IF(OR(INDEX($B593:$D593,L$5)="F",AND(L$6&gt;0,$A593&lt;L$6),AND(L$7&gt;0,$A593&gt;L$7)),0,MAX(0,ROUND((INDEX($E593:$G593,L$5)-SUMIFS(TF_Timer,TF_Tekniker,L$4,TF_Dato,$A593))*2,0)/2)))</f>
        <v/>
      </c>
      <c r="M593">
        <f>IF(OR(M$4="",$A593&gt;TODAY()),0,IF(OR(INDEX($B593:$D593,M$5)="F",AND(M$6&gt;0,$A593&lt;M$6),AND(M$7&gt;0,$A593&gt;M$7)),0,MAX(0,ROUND((INDEX($E593:$G593,M$5)-SUMIFS(TF_Timer,TF_Tekniker,M$4,TF_Dato,$A593))*2,0)/2)))</f>
        <v/>
      </c>
      <c r="N593">
        <f>IF(OR(N$4="",$A593&gt;TODAY()),0,IF(OR(INDEX($B593:$D593,N$5)="F",AND(N$6&gt;0,$A593&lt;N$6),AND(N$7&gt;0,$A593&gt;N$7)),0,MAX(0,ROUND((INDEX($E593:$G593,N$5)-SUMIFS(TF_Timer,TF_Tekniker,N$4,TF_Dato,$A593))*2,0)/2)))</f>
        <v/>
      </c>
      <c r="O593">
        <f>IF(OR(O$4="",$A593&gt;TODAY()),0,IF(OR(INDEX($B593:$D593,O$5)="F",AND(O$6&gt;0,$A593&lt;O$6),AND(O$7&gt;0,$A593&gt;O$7)),0,MAX(0,ROUND((INDEX($E593:$G593,O$5)-SUMIFS(TF_Timer,TF_Tekniker,O$4,TF_Dato,$A593))*2,0)/2)))</f>
        <v/>
      </c>
      <c r="P593">
        <f>IF(OR(P$4="",$A593&gt;TODAY()),0,IF(OR(INDEX($B593:$D593,P$5)="F",AND(P$6&gt;0,$A593&lt;P$6),AND(P$7&gt;0,$A593&gt;P$7)),0,MAX(0,ROUND((INDEX($E593:$G593,P$5)-SUMIFS(TF_Timer,TF_Tekniker,P$4,TF_Dato,$A593))*2,0)/2)))</f>
        <v/>
      </c>
      <c r="Q593">
        <f>IF(OR(Q$4="",$A593&gt;TODAY()),0,IF(OR(INDEX($B593:$D593,Q$5)="F",AND(Q$6&gt;0,$A593&lt;Q$6),AND(Q$7&gt;0,$A593&gt;Q$7)),0,MAX(0,ROUND((INDEX($E593:$G593,Q$5)-SUMIFS(TF_Timer,TF_Tekniker,Q$4,TF_Dato,$A593))*2,0)/2)))</f>
        <v/>
      </c>
      <c r="R593">
        <f>IF(OR(R$4="",$A593&gt;TODAY()),0,IF(OR(INDEX($B593:$D593,R$5)="F",AND(R$6&gt;0,$A593&lt;R$6),AND(R$7&gt;0,$A593&gt;R$7)),0,MAX(0,ROUND((INDEX($E593:$G593,R$5)-SUMIFS(TF_Timer,TF_Tekniker,R$4,TF_Dato,$A593))*2,0)/2)))</f>
        <v/>
      </c>
      <c r="S593">
        <f>IF(OR(S$4="",$A593&gt;TODAY()),0,IF(OR(INDEX($B593:$D593,S$5)="F",AND(S$6&gt;0,$A593&lt;S$6),AND(S$7&gt;0,$A593&gt;S$7)),0,MAX(0,ROUND((INDEX($E593:$G593,S$5)-SUMIFS(TF_Timer,TF_Tekniker,S$4,TF_Dato,$A593))*2,0)/2)))</f>
        <v/>
      </c>
      <c r="T593">
        <f>IF(OR(T$4="",$A593&gt;TODAY()),0,IF(OR(INDEX($B593:$D593,T$5)="F",AND(T$6&gt;0,$A593&lt;T$6),AND(T$7&gt;0,$A593&gt;T$7)),0,MAX(0,ROUND((INDEX($E593:$G593,T$5)-SUMIFS(TF_Timer,TF_Tekniker,T$4,TF_Dato,$A593))*2,0)/2)))</f>
        <v/>
      </c>
      <c r="U593">
        <f>IF(OR(U$4="",$A593&gt;TODAY()),0,IF(OR(INDEX($B593:$D593,U$5)="F",AND(U$6&gt;0,$A593&lt;U$6),AND(U$7&gt;0,$A593&gt;U$7)),0,MAX(0,ROUND((INDEX($E593:$G593,U$5)-SUMIFS(TF_Timer,TF_Tekniker,U$4,TF_Dato,$A593))*2,0)/2)))</f>
        <v/>
      </c>
      <c r="V593">
        <f>IF(OR(V$4="",$A593&gt;TODAY()),0,IF(OR(INDEX($B593:$D593,V$5)="F",AND(V$6&gt;0,$A593&lt;V$6),AND(V$7&gt;0,$A593&gt;V$7)),0,MAX(0,ROUND((INDEX($E593:$G593,V$5)-SUMIFS(TF_Timer,TF_Tekniker,V$4,TF_Dato,$A593))*2,0)/2)))</f>
        <v/>
      </c>
      <c r="W593">
        <f>IF(OR(W$4="",$A593&gt;TODAY()),0,IF(OR(INDEX($B593:$D593,W$5)="F",AND(W$6&gt;0,$A593&lt;W$6),AND(W$7&gt;0,$A593&gt;W$7)),0,MAX(0,ROUND((INDEX($E593:$G593,W$5)-SUMIFS(TF_Timer,TF_Tekniker,W$4,TF_Dato,$A593))*2,0)/2)))</f>
        <v/>
      </c>
      <c r="X593">
        <f>IF(OR(X$4="",$A593&gt;TODAY()),0,IF(OR(INDEX($B593:$D593,X$5)="F",AND(X$6&gt;0,$A593&lt;X$6),AND(X$7&gt;0,$A593&gt;X$7)),0,MAX(0,ROUND((INDEX($E593:$G593,X$5)-SUMIFS(TF_Timer,TF_Tekniker,X$4,TF_Dato,$A593))*2,0)/2)))</f>
        <v/>
      </c>
      <c r="Y593">
        <f>IF(OR(Y$4="",$A593&gt;TODAY()),0,IF(OR(INDEX($B593:$D593,Y$5)="F",AND(Y$6&gt;0,$A593&lt;Y$6),AND(Y$7&gt;0,$A593&gt;Y$7)),0,MAX(0,ROUND((INDEX($E593:$G593,Y$5)-SUMIFS(TF_Timer,TF_Tekniker,Y$4,TF_Dato,$A593))*2,0)/2)))</f>
        <v/>
      </c>
      <c r="Z593">
        <f>IF(OR(Z$4="",$A593&gt;TODAY()),0,IF(OR(INDEX($B593:$D593,Z$5)="F",AND(Z$6&gt;0,$A593&lt;Z$6),AND(Z$7&gt;0,$A593&gt;Z$7)),0,MAX(0,ROUND((INDEX($E593:$G593,Z$5)-SUMIFS(TF_Timer,TF_Tekniker,Z$4,TF_Dato,$A593))*2,0)/2)))</f>
        <v/>
      </c>
      <c r="AA593">
        <f>IF(OR(AA$4="",$A593&gt;TODAY()),0,IF(OR(INDEX($B593:$D593,AA$5)="F",AND(AA$6&gt;0,$A593&lt;AA$6),AND(AA$7&gt;0,$A593&gt;AA$7)),0,MAX(0,ROUND((INDEX($E593:$G593,AA$5)-SUMIFS(TF_Timer,TF_Tekniker,AA$4,TF_Dato,$A593))*2,0)/2)))</f>
        <v/>
      </c>
      <c r="AB593">
        <f>IF(OR(AB$4="",$A593&gt;TODAY()),0,IF(OR(INDEX($B593:$D593,AB$5)="F",AND(AB$6&gt;0,$A593&lt;AB$6),AND(AB$7&gt;0,$A593&gt;AB$7)),0,MAX(0,ROUND((INDEX($E593:$G593,AB$5)-SUMIFS(TF_Timer,TF_Tekniker,AB$4,TF_Dato,$A593))*2,0)/2)))</f>
        <v/>
      </c>
      <c r="AC593">
        <f>IF(OR(AC$4="",$A593&gt;TODAY()),0,IF(OR(INDEX($B593:$D593,AC$5)="F",AND(AC$6&gt;0,$A593&lt;AC$6),AND(AC$7&gt;0,$A593&gt;AC$7)),0,MAX(0,ROUND((INDEX($E593:$G593,AC$5)-SUMIFS(TF_Timer,TF_Tekniker,AC$4,TF_Dato,$A593))*2,0)/2)))</f>
        <v/>
      </c>
      <c r="AD593">
        <f>IF(OR(AD$4="",$A593&gt;TODAY()),0,IF(OR(INDEX($B593:$D593,AD$5)="F",AND(AD$6&gt;0,$A593&lt;AD$6),AND(AD$7&gt;0,$A593&gt;AD$7)),0,MAX(0,ROUND((INDEX($E593:$G593,AD$5)-SUMIFS(TF_Timer,TF_Tekniker,AD$4,TF_Dato,$A593))*2,0)/2)))</f>
        <v/>
      </c>
      <c r="AE593">
        <f>IF(OR(AE$4="",$A593&gt;TODAY()),0,IF(OR(INDEX($B593:$D593,AE$5)="F",AND(AE$6&gt;0,$A593&lt;AE$6),AND(AE$7&gt;0,$A593&gt;AE$7)),0,MAX(0,ROUND((INDEX($E593:$G593,AE$5)-SUMIFS(TF_Timer,TF_Tekniker,AE$4,TF_Dato,$A593))*2,0)/2)))</f>
        <v/>
      </c>
      <c r="AF593">
        <f>IF(OR(AF$4="",$A593&gt;TODAY()),0,IF(OR(INDEX($B593:$D593,AF$5)="F",AND(AF$6&gt;0,$A593&lt;AF$6),AND(AF$7&gt;0,$A593&gt;AF$7)),0,MAX(0,ROUND((INDEX($E593:$G593,AF$5)-SUMIFS(TF_Timer,TF_Tekniker,AF$4,TF_Dato,$A593))*2,0)/2)))</f>
        <v/>
      </c>
      <c r="AG593">
        <f>IF(OR(AG$4="",$A593&gt;TODAY()),0,IF(OR(INDEX($B593:$D593,AG$5)="F",AND(AG$6&gt;0,$A593&lt;AG$6),AND(AG$7&gt;0,$A593&gt;AG$7)),0,MAX(0,ROUND((INDEX($E593:$G593,AG$5)-SUMIFS(TF_Timer,TF_Tekniker,AG$4,TF_Dato,$A593))*2,0)/2)))</f>
        <v/>
      </c>
      <c r="AH593">
        <f>IF(OR(AH$4="",$A593&gt;TODAY()),0,IF(OR(INDEX($B593:$D593,AH$5)="F",AND(AH$6&gt;0,$A593&lt;AH$6),AND(AH$7&gt;0,$A593&gt;AH$7)),0,MAX(0,ROUND((INDEX($E593:$G593,AH$5)-SUMIFS(TF_Timer,TF_Tekniker,AH$4,TF_Dato,$A593))*2,0)/2)))</f>
        <v/>
      </c>
      <c r="AI593">
        <f>IF(OR(AI$4="",$A593&gt;TODAY()),0,IF(OR(INDEX($B593:$D593,AI$5)="F",AND(AI$6&gt;0,$A593&lt;AI$6),AND(AI$7&gt;0,$A593&gt;AI$7)),0,MAX(0,ROUND((INDEX($E593:$G593,AI$5)-SUMIFS(TF_Timer,TF_Tekniker,AI$4,TF_Dato,$A593))*2,0)/2)))</f>
        <v/>
      </c>
      <c r="AJ593">
        <f>IF(OR(AJ$4="",$A593&gt;TODAY()),0,IF(OR(INDEX($B593:$D593,AJ$5)="F",AND(AJ$6&gt;0,$A593&lt;AJ$6),AND(AJ$7&gt;0,$A593&gt;AJ$7)),0,MAX(0,ROUND((INDEX($E593:$G593,AJ$5)-SUMIFS(TF_Timer,TF_Tekniker,AJ$4,TF_Dato,$A593))*2,0)/2)))</f>
        <v/>
      </c>
      <c r="AK593">
        <f>IF(OR(AK$4="",$A593&gt;TODAY()),0,IF(OR(INDEX($B593:$D593,AK$5)="F",AND(AK$6&gt;0,$A593&lt;AK$6),AND(AK$7&gt;0,$A593&gt;AK$7)),0,MAX(0,ROUND((INDEX($E593:$G593,AK$5)-SUMIFS(TF_Timer,TF_Tekniker,AK$4,TF_Dato,$A593))*2,0)/2)))</f>
        <v/>
      </c>
      <c r="AL593">
        <f>IF(OR(AL$4="",$A593&gt;TODAY()),0,IF(OR(INDEX($B593:$D593,AL$5)="F",AND(AL$6&gt;0,$A593&lt;AL$6),AND(AL$7&gt;0,$A593&gt;AL$7)),0,MAX(0,ROUND((INDEX($E593:$G593,AL$5)-SUMIFS(TF_Timer,TF_Tekniker,AL$4,TF_Dato,$A593))*2,0)/2)))</f>
        <v/>
      </c>
      <c r="AM593">
        <f>IF(OR(AM$4="",$A593&gt;TODAY()),0,IF(OR(INDEX($B593:$D593,AM$5)="F",AND(AM$6&gt;0,$A593&lt;AM$6),AND(AM$7&gt;0,$A593&gt;AM$7)),0,MAX(0,ROUND((INDEX($E593:$G593,AM$5)-SUMIFS(TF_Timer,TF_Tekniker,AM$4,TF_Dato,$A593))*2,0)/2)))</f>
        <v/>
      </c>
      <c r="AN593">
        <f>IF(OR(AN$4="",$A593&gt;TODAY()),0,IF(OR(INDEX($B593:$D593,AN$5)="F",AND(AN$6&gt;0,$A593&lt;AN$6),AND(AN$7&gt;0,$A593&gt;AN$7)),0,MAX(0,ROUND((INDEX($E593:$G593,AN$5)-SUMIFS(TF_Timer,TF_Tekniker,AN$4,TF_Dato,$A593))*2,0)/2)))</f>
        <v/>
      </c>
      <c r="AO593">
        <f>IF(OR(AO$4="",$A593&gt;TODAY()),0,IF(OR(INDEX($B593:$D593,AO$5)="F",AND(AO$6&gt;0,$A593&lt;AO$6),AND(AO$7&gt;0,$A593&gt;AO$7)),0,MAX(0,ROUND((INDEX($E593:$G593,AO$5)-SUMIFS(TF_Timer,TF_Tekniker,AO$4,TF_Dato,$A593))*2,0)/2)))</f>
        <v/>
      </c>
      <c r="AP593">
        <f>IF(OR(AP$4="",$A593&gt;TODAY()),0,IF(OR(INDEX($B593:$D593,AP$5)="F",AND(AP$6&gt;0,$A593&lt;AP$6),AND(AP$7&gt;0,$A593&gt;AP$7)),0,MAX(0,ROUND((INDEX($E593:$G593,AP$5)-SUMIFS(TF_Timer,TF_Tekniker,AP$4,TF_Dato,$A593))*2,0)/2)))</f>
        <v/>
      </c>
      <c r="AQ593">
        <f>IF(OR(AQ$4="",$A593&gt;TODAY()),0,IF(OR(INDEX($B593:$D593,AQ$5)="F",AND(AQ$6&gt;0,$A593&lt;AQ$6),AND(AQ$7&gt;0,$A593&gt;AQ$7)),0,MAX(0,ROUND((INDEX($E593:$G593,AQ$5)-SUMIFS(TF_Timer,TF_Tekniker,AQ$4,TF_Dato,$A593))*2,0)/2)))</f>
        <v/>
      </c>
      <c r="AR593">
        <f>IF(OR(AR$4="",$A593&gt;TODAY()),0,IF(OR(INDEX($B593:$D593,AR$5)="F",AND(AR$6&gt;0,$A593&lt;AR$6),AND(AR$7&gt;0,$A593&gt;AR$7)),0,MAX(0,ROUND((INDEX($E593:$G593,AR$5)-SUMIFS(TF_Timer,TF_Tekniker,AR$4,TF_Dato,$A593))*2,0)/2)))</f>
        <v/>
      </c>
      <c r="AS593">
        <f>IF(OR(AS$4="",$A593&gt;TODAY()),0,IF(OR(INDEX($B593:$D593,AS$5)="F",AND(AS$6&gt;0,$A593&lt;AS$6),AND(AS$7&gt;0,$A593&gt;AS$7)),0,MAX(0,ROUND((INDEX($E593:$G593,AS$5)-SUMIFS(TF_Timer,TF_Tekniker,AS$4,TF_Dato,$A593))*2,0)/2)))</f>
        <v/>
      </c>
      <c r="AT593">
        <f>IF(OR(AT$4="",$A593&gt;TODAY()),0,IF(OR(INDEX($B593:$D593,AT$5)="F",AND(AT$6&gt;0,$A593&lt;AT$6),AND(AT$7&gt;0,$A593&gt;AT$7)),0,MAX(0,ROUND((INDEX($E593:$G593,AT$5)-SUMIFS(TF_Timer,TF_Tekniker,AT$4,TF_Dato,$A593))*2,0)/2)))</f>
        <v/>
      </c>
      <c r="AU593">
        <f>IF(OR(AU$4="",$A593&gt;TODAY()),0,IF(OR(INDEX($B593:$D593,AU$5)="F",AND(AU$6&gt;0,$A593&lt;AU$6),AND(AU$7&gt;0,$A593&gt;AU$7)),0,MAX(0,ROUND((INDEX($E593:$G593,AU$5)-SUMIFS(TF_Timer,TF_Tekniker,AU$4,TF_Dato,$A593))*2,0)/2)))</f>
        <v/>
      </c>
      <c r="AV593">
        <f>IF(OR(AV$4="",$A593&gt;TODAY()),0,IF(OR(INDEX($B593:$D593,AV$5)="F",AND(AV$6&gt;0,$A593&lt;AV$6),AND(AV$7&gt;0,$A593&gt;AV$7)),0,MAX(0,ROUND((INDEX($E593:$G593,AV$5)-SUMIFS(TF_Timer,TF_Tekniker,AV$4,TF_Dato,$A593))*2,0)/2)))</f>
        <v/>
      </c>
      <c r="AW593">
        <f>IF(OR(AW$4="",$A593&gt;TODAY()),0,IF(OR(INDEX($B593:$D593,AW$5)="F",AND(AW$6&gt;0,$A593&lt;AW$6),AND(AW$7&gt;0,$A593&gt;AW$7)),0,MAX(0,ROUND((INDEX($E593:$G593,AW$5)-SUMIFS(TF_Timer,TF_Tekniker,AW$4,TF_Dato,$A593))*2,0)/2)))</f>
        <v/>
      </c>
      <c r="AX593">
        <f>IF(OR(AX$4="",$A593&gt;TODAY()),0,IF(OR(INDEX($B593:$D593,AX$5)="F",AND(AX$6&gt;0,$A593&lt;AX$6),AND(AX$7&gt;0,$A593&gt;AX$7)),0,MAX(0,ROUND((INDEX($E593:$G593,AX$5)-SUMIFS(TF_Timer,TF_Tekniker,AX$4,TF_Dato,$A593))*2,0)/2)))</f>
        <v/>
      </c>
      <c r="AY593">
        <f>IF(OR(AY$4="",$A593&gt;TODAY()),0,IF(OR(INDEX($B593:$D593,AY$5)="F",AND(AY$6&gt;0,$A593&lt;AY$6),AND(AY$7&gt;0,$A593&gt;AY$7)),0,MAX(0,ROUND((INDEX($E593:$G593,AY$5)-SUMIFS(TF_Timer,TF_Tekniker,AY$4,TF_Dato,$A593))*2,0)/2)))</f>
        <v/>
      </c>
      <c r="AZ593">
        <f>IF(OR(AZ$4="",$A593&gt;TODAY()),0,IF(OR(INDEX($B593:$D593,AZ$5)="F",AND(AZ$6&gt;0,$A593&lt;AZ$6),AND(AZ$7&gt;0,$A593&gt;AZ$7)),0,MAX(0,ROUND((INDEX($E593:$G593,AZ$5)-SUMIFS(TF_Timer,TF_Tekniker,AZ$4,TF_Dato,$A593))*2,0)/2)))</f>
        <v/>
      </c>
      <c r="BA593">
        <f>IF(OR(BA$4="",$A593&gt;TODAY()),0,IF(OR(INDEX($B593:$D593,BA$5)="F",AND(BA$6&gt;0,$A593&lt;BA$6),AND(BA$7&gt;0,$A593&gt;BA$7)),0,MAX(0,ROUND((INDEX($E593:$G593,BA$5)-SUMIFS(TF_Timer,TF_Tekniker,BA$4,TF_Dato,$A593))*2,0)/2)))</f>
        <v/>
      </c>
      <c r="BB593">
        <f>IF(OR(BB$4="",$A593&gt;TODAY()),0,IF(OR(INDEX($B593:$D593,BB$5)="F",AND(BB$6&gt;0,$A593&lt;BB$6),AND(BB$7&gt;0,$A593&gt;BB$7)),0,MAX(0,ROUND((INDEX($E593:$G593,BB$5)-SUMIFS(TF_Timer,TF_Tekniker,BB$4,TF_Dato,$A593))*2,0)/2)))</f>
        <v/>
      </c>
      <c r="BC593">
        <f>IF(OR(BC$4="",$A593&gt;TODAY()),0,IF(OR(INDEX($B593:$D593,BC$5)="F",AND(BC$6&gt;0,$A593&lt;BC$6),AND(BC$7&gt;0,$A593&gt;BC$7)),0,MAX(0,ROUND((INDEX($E593:$G593,BC$5)-SUMIFS(TF_Timer,TF_Tekniker,BC$4,TF_Dato,$A593))*2,0)/2)))</f>
        <v/>
      </c>
      <c r="BD593">
        <f>IF(OR(BD$4="",$A593&gt;TODAY()),0,IF(OR(INDEX($B593:$D593,BD$5)="F",AND(BD$6&gt;0,$A593&lt;BD$6),AND(BD$7&gt;0,$A593&gt;BD$7)),0,MAX(0,ROUND((INDEX($E593:$G593,BD$5)-SUMIFS(TF_Timer,TF_Tekniker,BD$4,TF_Dato,$A593))*2,0)/2)))</f>
        <v/>
      </c>
      <c r="BE593">
        <f>IF(OR(BE$4="",$A593&gt;TODAY()),0,IF(OR(INDEX($B593:$D593,BE$5)="F",AND(BE$6&gt;0,$A593&lt;BE$6),AND(BE$7&gt;0,$A593&gt;BE$7)),0,MAX(0,ROUND((INDEX($E593:$G593,BE$5)-SUMIFS(TF_Timer,TF_Tekniker,BE$4,TF_Dato,$A593))*2,0)/2)))</f>
        <v/>
      </c>
      <c r="BF593">
        <f>IF(OR(BF$4="",$A593&gt;TODAY()),0,IF(OR(INDEX($B593:$D593,BF$5)="F",AND(BF$6&gt;0,$A593&lt;BF$6),AND(BF$7&gt;0,$A593&gt;BF$7)),0,MAX(0,ROUND((INDEX($E593:$G593,BF$5)-SUMIFS(TF_Timer,TF_Tekniker,BF$4,TF_Dato,$A593))*2,0)/2)))</f>
        <v/>
      </c>
      <c r="BG593">
        <f>IF(OR(BG$4="",$A593&gt;TODAY()),0,IF(OR(INDEX($B593:$D593,BG$5)="F",AND(BG$6&gt;0,$A593&lt;BG$6),AND(BG$7&gt;0,$A593&gt;BG$7)),0,MAX(0,ROUND((INDEX($E593:$G593,BG$5)-SUMIFS(TF_Timer,TF_Tekniker,BG$4,TF_Dato,$A593))*2,0)/2)))</f>
        <v/>
      </c>
      <c r="BH593">
        <f>IF(OR(BH$4="",$A593&gt;TODAY()),0,IF(OR(INDEX($B593:$D593,BH$5)="F",AND(BH$6&gt;0,$A593&lt;BH$6),AND(BH$7&gt;0,$A593&gt;BH$7)),0,MAX(0,ROUND((INDEX($E593:$G593,BH$5)-SUMIFS(TF_Timer,TF_Tekniker,BH$4,TF_Dato,$A593))*2,0)/2)))</f>
        <v/>
      </c>
      <c r="BI593">
        <f>IF(OR(BI$4="",$A593&gt;TODAY()),0,IF(OR(INDEX($B593:$D593,BI$5)="F",AND(BI$6&gt;0,$A593&lt;BI$6),AND(BI$7&gt;0,$A593&gt;BI$7)),0,MAX(0,ROUND((INDEX($E593:$G593,BI$5)-SUMIFS(TF_Timer,TF_Tekniker,BI$4,TF_Dato,$A593))*2,0)/2)))</f>
        <v/>
      </c>
    </row>
    <row r="594">
      <c r="A594" s="64">
        <f>A593+1</f>
        <v/>
      </c>
      <c r="B594">
        <f>IF(MOD($A594-INDEX(SkiftStart,1),Syklus)&lt;DagK,"K",IF(MOD($A594-INDEX(SkiftStart,1),Syklus)&lt;DagK+DagH,"H",IF(MOD($A594-INDEX(SkiftStart,1),Syklus)&lt;DagK+DagH+DagD,"D","F")))</f>
        <v/>
      </c>
      <c r="C594">
        <f>IF(MOD($A594-INDEX(SkiftStart,2),Syklus)&lt;DagK,"K",IF(MOD($A594-INDEX(SkiftStart,2),Syklus)&lt;DagK+DagH,"H",IF(MOD($A594-INDEX(SkiftStart,2),Syklus)&lt;DagK+DagH+DagD,"D","F")))</f>
        <v/>
      </c>
      <c r="D594">
        <f>IF(MOD($A594-INDEX(SkiftStart,3),Syklus)&lt;DagK,"K",IF(MOD($A594-INDEX(SkiftStart,3),Syklus)&lt;DagK+DagH,"H",IF(MOD($A594-INDEX(SkiftStart,3),Syklus)&lt;DagK+DagH+DagD,"D","F")))</f>
        <v/>
      </c>
      <c r="E594">
        <f>IF(B594="F",0,IF(WEEKDAY($A594,2)=5,INDEX(TimerFr,MATCH(B594,FaseKode,0)),INDEX(TimerMT,MATCH(B594,FaseKode,0))))</f>
        <v/>
      </c>
      <c r="F594">
        <f>IF(C594="F",0,IF(WEEKDAY($A594,2)=5,INDEX(TimerFr,MATCH(C594,FaseKode,0)),INDEX(TimerMT,MATCH(C594,FaseKode,0))))</f>
        <v/>
      </c>
      <c r="G594">
        <f>IF(D594="F",0,IF(WEEKDAY($A594,2)=5,INDEX(TimerFr,MATCH(D594,FaseKode,0)),INDEX(TimerMT,MATCH(D594,FaseKode,0))))</f>
        <v/>
      </c>
      <c r="H594">
        <f>IF(OR(H$4="",$A594&gt;TODAY()),0,IF(OR(INDEX($B594:$D594,H$5)="F",AND(H$6&gt;0,$A594&lt;H$6),AND(H$7&gt;0,$A594&gt;H$7)),0,MAX(0,ROUND((INDEX($E594:$G594,H$5)-SUMIFS(TF_Timer,TF_Tekniker,H$4,TF_Dato,$A594))*2,0)/2)))</f>
        <v/>
      </c>
      <c r="I594">
        <f>IF(OR(I$4="",$A594&gt;TODAY()),0,IF(OR(INDEX($B594:$D594,I$5)="F",AND(I$6&gt;0,$A594&lt;I$6),AND(I$7&gt;0,$A594&gt;I$7)),0,MAX(0,ROUND((INDEX($E594:$G594,I$5)-SUMIFS(TF_Timer,TF_Tekniker,I$4,TF_Dato,$A594))*2,0)/2)))</f>
        <v/>
      </c>
      <c r="J594">
        <f>IF(OR(J$4="",$A594&gt;TODAY()),0,IF(OR(INDEX($B594:$D594,J$5)="F",AND(J$6&gt;0,$A594&lt;J$6),AND(J$7&gt;0,$A594&gt;J$7)),0,MAX(0,ROUND((INDEX($E594:$G594,J$5)-SUMIFS(TF_Timer,TF_Tekniker,J$4,TF_Dato,$A594))*2,0)/2)))</f>
        <v/>
      </c>
      <c r="K594">
        <f>IF(OR(K$4="",$A594&gt;TODAY()),0,IF(OR(INDEX($B594:$D594,K$5)="F",AND(K$6&gt;0,$A594&lt;K$6),AND(K$7&gt;0,$A594&gt;K$7)),0,MAX(0,ROUND((INDEX($E594:$G594,K$5)-SUMIFS(TF_Timer,TF_Tekniker,K$4,TF_Dato,$A594))*2,0)/2)))</f>
        <v/>
      </c>
      <c r="L594">
        <f>IF(OR(L$4="",$A594&gt;TODAY()),0,IF(OR(INDEX($B594:$D594,L$5)="F",AND(L$6&gt;0,$A594&lt;L$6),AND(L$7&gt;0,$A594&gt;L$7)),0,MAX(0,ROUND((INDEX($E594:$G594,L$5)-SUMIFS(TF_Timer,TF_Tekniker,L$4,TF_Dato,$A594))*2,0)/2)))</f>
        <v/>
      </c>
      <c r="M594">
        <f>IF(OR(M$4="",$A594&gt;TODAY()),0,IF(OR(INDEX($B594:$D594,M$5)="F",AND(M$6&gt;0,$A594&lt;M$6),AND(M$7&gt;0,$A594&gt;M$7)),0,MAX(0,ROUND((INDEX($E594:$G594,M$5)-SUMIFS(TF_Timer,TF_Tekniker,M$4,TF_Dato,$A594))*2,0)/2)))</f>
        <v/>
      </c>
      <c r="N594">
        <f>IF(OR(N$4="",$A594&gt;TODAY()),0,IF(OR(INDEX($B594:$D594,N$5)="F",AND(N$6&gt;0,$A594&lt;N$6),AND(N$7&gt;0,$A594&gt;N$7)),0,MAX(0,ROUND((INDEX($E594:$G594,N$5)-SUMIFS(TF_Timer,TF_Tekniker,N$4,TF_Dato,$A594))*2,0)/2)))</f>
        <v/>
      </c>
      <c r="O594">
        <f>IF(OR(O$4="",$A594&gt;TODAY()),0,IF(OR(INDEX($B594:$D594,O$5)="F",AND(O$6&gt;0,$A594&lt;O$6),AND(O$7&gt;0,$A594&gt;O$7)),0,MAX(0,ROUND((INDEX($E594:$G594,O$5)-SUMIFS(TF_Timer,TF_Tekniker,O$4,TF_Dato,$A594))*2,0)/2)))</f>
        <v/>
      </c>
      <c r="P594">
        <f>IF(OR(P$4="",$A594&gt;TODAY()),0,IF(OR(INDEX($B594:$D594,P$5)="F",AND(P$6&gt;0,$A594&lt;P$6),AND(P$7&gt;0,$A594&gt;P$7)),0,MAX(0,ROUND((INDEX($E594:$G594,P$5)-SUMIFS(TF_Timer,TF_Tekniker,P$4,TF_Dato,$A594))*2,0)/2)))</f>
        <v/>
      </c>
      <c r="Q594">
        <f>IF(OR(Q$4="",$A594&gt;TODAY()),0,IF(OR(INDEX($B594:$D594,Q$5)="F",AND(Q$6&gt;0,$A594&lt;Q$6),AND(Q$7&gt;0,$A594&gt;Q$7)),0,MAX(0,ROUND((INDEX($E594:$G594,Q$5)-SUMIFS(TF_Timer,TF_Tekniker,Q$4,TF_Dato,$A594))*2,0)/2)))</f>
        <v/>
      </c>
      <c r="R594">
        <f>IF(OR(R$4="",$A594&gt;TODAY()),0,IF(OR(INDEX($B594:$D594,R$5)="F",AND(R$6&gt;0,$A594&lt;R$6),AND(R$7&gt;0,$A594&gt;R$7)),0,MAX(0,ROUND((INDEX($E594:$G594,R$5)-SUMIFS(TF_Timer,TF_Tekniker,R$4,TF_Dato,$A594))*2,0)/2)))</f>
        <v/>
      </c>
      <c r="S594">
        <f>IF(OR(S$4="",$A594&gt;TODAY()),0,IF(OR(INDEX($B594:$D594,S$5)="F",AND(S$6&gt;0,$A594&lt;S$6),AND(S$7&gt;0,$A594&gt;S$7)),0,MAX(0,ROUND((INDEX($E594:$G594,S$5)-SUMIFS(TF_Timer,TF_Tekniker,S$4,TF_Dato,$A594))*2,0)/2)))</f>
        <v/>
      </c>
      <c r="T594">
        <f>IF(OR(T$4="",$A594&gt;TODAY()),0,IF(OR(INDEX($B594:$D594,T$5)="F",AND(T$6&gt;0,$A594&lt;T$6),AND(T$7&gt;0,$A594&gt;T$7)),0,MAX(0,ROUND((INDEX($E594:$G594,T$5)-SUMIFS(TF_Timer,TF_Tekniker,T$4,TF_Dato,$A594))*2,0)/2)))</f>
        <v/>
      </c>
      <c r="U594">
        <f>IF(OR(U$4="",$A594&gt;TODAY()),0,IF(OR(INDEX($B594:$D594,U$5)="F",AND(U$6&gt;0,$A594&lt;U$6),AND(U$7&gt;0,$A594&gt;U$7)),0,MAX(0,ROUND((INDEX($E594:$G594,U$5)-SUMIFS(TF_Timer,TF_Tekniker,U$4,TF_Dato,$A594))*2,0)/2)))</f>
        <v/>
      </c>
      <c r="V594">
        <f>IF(OR(V$4="",$A594&gt;TODAY()),0,IF(OR(INDEX($B594:$D594,V$5)="F",AND(V$6&gt;0,$A594&lt;V$6),AND(V$7&gt;0,$A594&gt;V$7)),0,MAX(0,ROUND((INDEX($E594:$G594,V$5)-SUMIFS(TF_Timer,TF_Tekniker,V$4,TF_Dato,$A594))*2,0)/2)))</f>
        <v/>
      </c>
      <c r="W594">
        <f>IF(OR(W$4="",$A594&gt;TODAY()),0,IF(OR(INDEX($B594:$D594,W$5)="F",AND(W$6&gt;0,$A594&lt;W$6),AND(W$7&gt;0,$A594&gt;W$7)),0,MAX(0,ROUND((INDEX($E594:$G594,W$5)-SUMIFS(TF_Timer,TF_Tekniker,W$4,TF_Dato,$A594))*2,0)/2)))</f>
        <v/>
      </c>
      <c r="X594">
        <f>IF(OR(X$4="",$A594&gt;TODAY()),0,IF(OR(INDEX($B594:$D594,X$5)="F",AND(X$6&gt;0,$A594&lt;X$6),AND(X$7&gt;0,$A594&gt;X$7)),0,MAX(0,ROUND((INDEX($E594:$G594,X$5)-SUMIFS(TF_Timer,TF_Tekniker,X$4,TF_Dato,$A594))*2,0)/2)))</f>
        <v/>
      </c>
      <c r="Y594">
        <f>IF(OR(Y$4="",$A594&gt;TODAY()),0,IF(OR(INDEX($B594:$D594,Y$5)="F",AND(Y$6&gt;0,$A594&lt;Y$6),AND(Y$7&gt;0,$A594&gt;Y$7)),0,MAX(0,ROUND((INDEX($E594:$G594,Y$5)-SUMIFS(TF_Timer,TF_Tekniker,Y$4,TF_Dato,$A594))*2,0)/2)))</f>
        <v/>
      </c>
      <c r="Z594">
        <f>IF(OR(Z$4="",$A594&gt;TODAY()),0,IF(OR(INDEX($B594:$D594,Z$5)="F",AND(Z$6&gt;0,$A594&lt;Z$6),AND(Z$7&gt;0,$A594&gt;Z$7)),0,MAX(0,ROUND((INDEX($E594:$G594,Z$5)-SUMIFS(TF_Timer,TF_Tekniker,Z$4,TF_Dato,$A594))*2,0)/2)))</f>
        <v/>
      </c>
      <c r="AA594">
        <f>IF(OR(AA$4="",$A594&gt;TODAY()),0,IF(OR(INDEX($B594:$D594,AA$5)="F",AND(AA$6&gt;0,$A594&lt;AA$6),AND(AA$7&gt;0,$A594&gt;AA$7)),0,MAX(0,ROUND((INDEX($E594:$G594,AA$5)-SUMIFS(TF_Timer,TF_Tekniker,AA$4,TF_Dato,$A594))*2,0)/2)))</f>
        <v/>
      </c>
      <c r="AB594">
        <f>IF(OR(AB$4="",$A594&gt;TODAY()),0,IF(OR(INDEX($B594:$D594,AB$5)="F",AND(AB$6&gt;0,$A594&lt;AB$6),AND(AB$7&gt;0,$A594&gt;AB$7)),0,MAX(0,ROUND((INDEX($E594:$G594,AB$5)-SUMIFS(TF_Timer,TF_Tekniker,AB$4,TF_Dato,$A594))*2,0)/2)))</f>
        <v/>
      </c>
      <c r="AC594">
        <f>IF(OR(AC$4="",$A594&gt;TODAY()),0,IF(OR(INDEX($B594:$D594,AC$5)="F",AND(AC$6&gt;0,$A594&lt;AC$6),AND(AC$7&gt;0,$A594&gt;AC$7)),0,MAX(0,ROUND((INDEX($E594:$G594,AC$5)-SUMIFS(TF_Timer,TF_Tekniker,AC$4,TF_Dato,$A594))*2,0)/2)))</f>
        <v/>
      </c>
      <c r="AD594">
        <f>IF(OR(AD$4="",$A594&gt;TODAY()),0,IF(OR(INDEX($B594:$D594,AD$5)="F",AND(AD$6&gt;0,$A594&lt;AD$6),AND(AD$7&gt;0,$A594&gt;AD$7)),0,MAX(0,ROUND((INDEX($E594:$G594,AD$5)-SUMIFS(TF_Timer,TF_Tekniker,AD$4,TF_Dato,$A594))*2,0)/2)))</f>
        <v/>
      </c>
      <c r="AE594">
        <f>IF(OR(AE$4="",$A594&gt;TODAY()),0,IF(OR(INDEX($B594:$D594,AE$5)="F",AND(AE$6&gt;0,$A594&lt;AE$6),AND(AE$7&gt;0,$A594&gt;AE$7)),0,MAX(0,ROUND((INDEX($E594:$G594,AE$5)-SUMIFS(TF_Timer,TF_Tekniker,AE$4,TF_Dato,$A594))*2,0)/2)))</f>
        <v/>
      </c>
      <c r="AF594">
        <f>IF(OR(AF$4="",$A594&gt;TODAY()),0,IF(OR(INDEX($B594:$D594,AF$5)="F",AND(AF$6&gt;0,$A594&lt;AF$6),AND(AF$7&gt;0,$A594&gt;AF$7)),0,MAX(0,ROUND((INDEX($E594:$G594,AF$5)-SUMIFS(TF_Timer,TF_Tekniker,AF$4,TF_Dato,$A594))*2,0)/2)))</f>
        <v/>
      </c>
      <c r="AG594">
        <f>IF(OR(AG$4="",$A594&gt;TODAY()),0,IF(OR(INDEX($B594:$D594,AG$5)="F",AND(AG$6&gt;0,$A594&lt;AG$6),AND(AG$7&gt;0,$A594&gt;AG$7)),0,MAX(0,ROUND((INDEX($E594:$G594,AG$5)-SUMIFS(TF_Timer,TF_Tekniker,AG$4,TF_Dato,$A594))*2,0)/2)))</f>
        <v/>
      </c>
      <c r="AH594">
        <f>IF(OR(AH$4="",$A594&gt;TODAY()),0,IF(OR(INDEX($B594:$D594,AH$5)="F",AND(AH$6&gt;0,$A594&lt;AH$6),AND(AH$7&gt;0,$A594&gt;AH$7)),0,MAX(0,ROUND((INDEX($E594:$G594,AH$5)-SUMIFS(TF_Timer,TF_Tekniker,AH$4,TF_Dato,$A594))*2,0)/2)))</f>
        <v/>
      </c>
      <c r="AI594">
        <f>IF(OR(AI$4="",$A594&gt;TODAY()),0,IF(OR(INDEX($B594:$D594,AI$5)="F",AND(AI$6&gt;0,$A594&lt;AI$6),AND(AI$7&gt;0,$A594&gt;AI$7)),0,MAX(0,ROUND((INDEX($E594:$G594,AI$5)-SUMIFS(TF_Timer,TF_Tekniker,AI$4,TF_Dato,$A594))*2,0)/2)))</f>
        <v/>
      </c>
      <c r="AJ594">
        <f>IF(OR(AJ$4="",$A594&gt;TODAY()),0,IF(OR(INDEX($B594:$D594,AJ$5)="F",AND(AJ$6&gt;0,$A594&lt;AJ$6),AND(AJ$7&gt;0,$A594&gt;AJ$7)),0,MAX(0,ROUND((INDEX($E594:$G594,AJ$5)-SUMIFS(TF_Timer,TF_Tekniker,AJ$4,TF_Dato,$A594))*2,0)/2)))</f>
        <v/>
      </c>
      <c r="AK594">
        <f>IF(OR(AK$4="",$A594&gt;TODAY()),0,IF(OR(INDEX($B594:$D594,AK$5)="F",AND(AK$6&gt;0,$A594&lt;AK$6),AND(AK$7&gt;0,$A594&gt;AK$7)),0,MAX(0,ROUND((INDEX($E594:$G594,AK$5)-SUMIFS(TF_Timer,TF_Tekniker,AK$4,TF_Dato,$A594))*2,0)/2)))</f>
        <v/>
      </c>
      <c r="AL594">
        <f>IF(OR(AL$4="",$A594&gt;TODAY()),0,IF(OR(INDEX($B594:$D594,AL$5)="F",AND(AL$6&gt;0,$A594&lt;AL$6),AND(AL$7&gt;0,$A594&gt;AL$7)),0,MAX(0,ROUND((INDEX($E594:$G594,AL$5)-SUMIFS(TF_Timer,TF_Tekniker,AL$4,TF_Dato,$A594))*2,0)/2)))</f>
        <v/>
      </c>
      <c r="AM594">
        <f>IF(OR(AM$4="",$A594&gt;TODAY()),0,IF(OR(INDEX($B594:$D594,AM$5)="F",AND(AM$6&gt;0,$A594&lt;AM$6),AND(AM$7&gt;0,$A594&gt;AM$7)),0,MAX(0,ROUND((INDEX($E594:$G594,AM$5)-SUMIFS(TF_Timer,TF_Tekniker,AM$4,TF_Dato,$A594))*2,0)/2)))</f>
        <v/>
      </c>
      <c r="AN594">
        <f>IF(OR(AN$4="",$A594&gt;TODAY()),0,IF(OR(INDEX($B594:$D594,AN$5)="F",AND(AN$6&gt;0,$A594&lt;AN$6),AND(AN$7&gt;0,$A594&gt;AN$7)),0,MAX(0,ROUND((INDEX($E594:$G594,AN$5)-SUMIFS(TF_Timer,TF_Tekniker,AN$4,TF_Dato,$A594))*2,0)/2)))</f>
        <v/>
      </c>
      <c r="AO594">
        <f>IF(OR(AO$4="",$A594&gt;TODAY()),0,IF(OR(INDEX($B594:$D594,AO$5)="F",AND(AO$6&gt;0,$A594&lt;AO$6),AND(AO$7&gt;0,$A594&gt;AO$7)),0,MAX(0,ROUND((INDEX($E594:$G594,AO$5)-SUMIFS(TF_Timer,TF_Tekniker,AO$4,TF_Dato,$A594))*2,0)/2)))</f>
        <v/>
      </c>
      <c r="AP594">
        <f>IF(OR(AP$4="",$A594&gt;TODAY()),0,IF(OR(INDEX($B594:$D594,AP$5)="F",AND(AP$6&gt;0,$A594&lt;AP$6),AND(AP$7&gt;0,$A594&gt;AP$7)),0,MAX(0,ROUND((INDEX($E594:$G594,AP$5)-SUMIFS(TF_Timer,TF_Tekniker,AP$4,TF_Dato,$A594))*2,0)/2)))</f>
        <v/>
      </c>
      <c r="AQ594">
        <f>IF(OR(AQ$4="",$A594&gt;TODAY()),0,IF(OR(INDEX($B594:$D594,AQ$5)="F",AND(AQ$6&gt;0,$A594&lt;AQ$6),AND(AQ$7&gt;0,$A594&gt;AQ$7)),0,MAX(0,ROUND((INDEX($E594:$G594,AQ$5)-SUMIFS(TF_Timer,TF_Tekniker,AQ$4,TF_Dato,$A594))*2,0)/2)))</f>
        <v/>
      </c>
      <c r="AR594">
        <f>IF(OR(AR$4="",$A594&gt;TODAY()),0,IF(OR(INDEX($B594:$D594,AR$5)="F",AND(AR$6&gt;0,$A594&lt;AR$6),AND(AR$7&gt;0,$A594&gt;AR$7)),0,MAX(0,ROUND((INDEX($E594:$G594,AR$5)-SUMIFS(TF_Timer,TF_Tekniker,AR$4,TF_Dato,$A594))*2,0)/2)))</f>
        <v/>
      </c>
      <c r="AS594">
        <f>IF(OR(AS$4="",$A594&gt;TODAY()),0,IF(OR(INDEX($B594:$D594,AS$5)="F",AND(AS$6&gt;0,$A594&lt;AS$6),AND(AS$7&gt;0,$A594&gt;AS$7)),0,MAX(0,ROUND((INDEX($E594:$G594,AS$5)-SUMIFS(TF_Timer,TF_Tekniker,AS$4,TF_Dato,$A594))*2,0)/2)))</f>
        <v/>
      </c>
      <c r="AT594">
        <f>IF(OR(AT$4="",$A594&gt;TODAY()),0,IF(OR(INDEX($B594:$D594,AT$5)="F",AND(AT$6&gt;0,$A594&lt;AT$6),AND(AT$7&gt;0,$A594&gt;AT$7)),0,MAX(0,ROUND((INDEX($E594:$G594,AT$5)-SUMIFS(TF_Timer,TF_Tekniker,AT$4,TF_Dato,$A594))*2,0)/2)))</f>
        <v/>
      </c>
      <c r="AU594">
        <f>IF(OR(AU$4="",$A594&gt;TODAY()),0,IF(OR(INDEX($B594:$D594,AU$5)="F",AND(AU$6&gt;0,$A594&lt;AU$6),AND(AU$7&gt;0,$A594&gt;AU$7)),0,MAX(0,ROUND((INDEX($E594:$G594,AU$5)-SUMIFS(TF_Timer,TF_Tekniker,AU$4,TF_Dato,$A594))*2,0)/2)))</f>
        <v/>
      </c>
      <c r="AV594">
        <f>IF(OR(AV$4="",$A594&gt;TODAY()),0,IF(OR(INDEX($B594:$D594,AV$5)="F",AND(AV$6&gt;0,$A594&lt;AV$6),AND(AV$7&gt;0,$A594&gt;AV$7)),0,MAX(0,ROUND((INDEX($E594:$G594,AV$5)-SUMIFS(TF_Timer,TF_Tekniker,AV$4,TF_Dato,$A594))*2,0)/2)))</f>
        <v/>
      </c>
      <c r="AW594">
        <f>IF(OR(AW$4="",$A594&gt;TODAY()),0,IF(OR(INDEX($B594:$D594,AW$5)="F",AND(AW$6&gt;0,$A594&lt;AW$6),AND(AW$7&gt;0,$A594&gt;AW$7)),0,MAX(0,ROUND((INDEX($E594:$G594,AW$5)-SUMIFS(TF_Timer,TF_Tekniker,AW$4,TF_Dato,$A594))*2,0)/2)))</f>
        <v/>
      </c>
      <c r="AX594">
        <f>IF(OR(AX$4="",$A594&gt;TODAY()),0,IF(OR(INDEX($B594:$D594,AX$5)="F",AND(AX$6&gt;0,$A594&lt;AX$6),AND(AX$7&gt;0,$A594&gt;AX$7)),0,MAX(0,ROUND((INDEX($E594:$G594,AX$5)-SUMIFS(TF_Timer,TF_Tekniker,AX$4,TF_Dato,$A594))*2,0)/2)))</f>
        <v/>
      </c>
      <c r="AY594">
        <f>IF(OR(AY$4="",$A594&gt;TODAY()),0,IF(OR(INDEX($B594:$D594,AY$5)="F",AND(AY$6&gt;0,$A594&lt;AY$6),AND(AY$7&gt;0,$A594&gt;AY$7)),0,MAX(0,ROUND((INDEX($E594:$G594,AY$5)-SUMIFS(TF_Timer,TF_Tekniker,AY$4,TF_Dato,$A594))*2,0)/2)))</f>
        <v/>
      </c>
      <c r="AZ594">
        <f>IF(OR(AZ$4="",$A594&gt;TODAY()),0,IF(OR(INDEX($B594:$D594,AZ$5)="F",AND(AZ$6&gt;0,$A594&lt;AZ$6),AND(AZ$7&gt;0,$A594&gt;AZ$7)),0,MAX(0,ROUND((INDEX($E594:$G594,AZ$5)-SUMIFS(TF_Timer,TF_Tekniker,AZ$4,TF_Dato,$A594))*2,0)/2)))</f>
        <v/>
      </c>
      <c r="BA594">
        <f>IF(OR(BA$4="",$A594&gt;TODAY()),0,IF(OR(INDEX($B594:$D594,BA$5)="F",AND(BA$6&gt;0,$A594&lt;BA$6),AND(BA$7&gt;0,$A594&gt;BA$7)),0,MAX(0,ROUND((INDEX($E594:$G594,BA$5)-SUMIFS(TF_Timer,TF_Tekniker,BA$4,TF_Dato,$A594))*2,0)/2)))</f>
        <v/>
      </c>
      <c r="BB594">
        <f>IF(OR(BB$4="",$A594&gt;TODAY()),0,IF(OR(INDEX($B594:$D594,BB$5)="F",AND(BB$6&gt;0,$A594&lt;BB$6),AND(BB$7&gt;0,$A594&gt;BB$7)),0,MAX(0,ROUND((INDEX($E594:$G594,BB$5)-SUMIFS(TF_Timer,TF_Tekniker,BB$4,TF_Dato,$A594))*2,0)/2)))</f>
        <v/>
      </c>
      <c r="BC594">
        <f>IF(OR(BC$4="",$A594&gt;TODAY()),0,IF(OR(INDEX($B594:$D594,BC$5)="F",AND(BC$6&gt;0,$A594&lt;BC$6),AND(BC$7&gt;0,$A594&gt;BC$7)),0,MAX(0,ROUND((INDEX($E594:$G594,BC$5)-SUMIFS(TF_Timer,TF_Tekniker,BC$4,TF_Dato,$A594))*2,0)/2)))</f>
        <v/>
      </c>
      <c r="BD594">
        <f>IF(OR(BD$4="",$A594&gt;TODAY()),0,IF(OR(INDEX($B594:$D594,BD$5)="F",AND(BD$6&gt;0,$A594&lt;BD$6),AND(BD$7&gt;0,$A594&gt;BD$7)),0,MAX(0,ROUND((INDEX($E594:$G594,BD$5)-SUMIFS(TF_Timer,TF_Tekniker,BD$4,TF_Dato,$A594))*2,0)/2)))</f>
        <v/>
      </c>
      <c r="BE594">
        <f>IF(OR(BE$4="",$A594&gt;TODAY()),0,IF(OR(INDEX($B594:$D594,BE$5)="F",AND(BE$6&gt;0,$A594&lt;BE$6),AND(BE$7&gt;0,$A594&gt;BE$7)),0,MAX(0,ROUND((INDEX($E594:$G594,BE$5)-SUMIFS(TF_Timer,TF_Tekniker,BE$4,TF_Dato,$A594))*2,0)/2)))</f>
        <v/>
      </c>
      <c r="BF594">
        <f>IF(OR(BF$4="",$A594&gt;TODAY()),0,IF(OR(INDEX($B594:$D594,BF$5)="F",AND(BF$6&gt;0,$A594&lt;BF$6),AND(BF$7&gt;0,$A594&gt;BF$7)),0,MAX(0,ROUND((INDEX($E594:$G594,BF$5)-SUMIFS(TF_Timer,TF_Tekniker,BF$4,TF_Dato,$A594))*2,0)/2)))</f>
        <v/>
      </c>
      <c r="BG594">
        <f>IF(OR(BG$4="",$A594&gt;TODAY()),0,IF(OR(INDEX($B594:$D594,BG$5)="F",AND(BG$6&gt;0,$A594&lt;BG$6),AND(BG$7&gt;0,$A594&gt;BG$7)),0,MAX(0,ROUND((INDEX($E594:$G594,BG$5)-SUMIFS(TF_Timer,TF_Tekniker,BG$4,TF_Dato,$A594))*2,0)/2)))</f>
        <v/>
      </c>
      <c r="BH594">
        <f>IF(OR(BH$4="",$A594&gt;TODAY()),0,IF(OR(INDEX($B594:$D594,BH$5)="F",AND(BH$6&gt;0,$A594&lt;BH$6),AND(BH$7&gt;0,$A594&gt;BH$7)),0,MAX(0,ROUND((INDEX($E594:$G594,BH$5)-SUMIFS(TF_Timer,TF_Tekniker,BH$4,TF_Dato,$A594))*2,0)/2)))</f>
        <v/>
      </c>
      <c r="BI594">
        <f>IF(OR(BI$4="",$A594&gt;TODAY()),0,IF(OR(INDEX($B594:$D594,BI$5)="F",AND(BI$6&gt;0,$A594&lt;BI$6),AND(BI$7&gt;0,$A594&gt;BI$7)),0,MAX(0,ROUND((INDEX($E594:$G594,BI$5)-SUMIFS(TF_Timer,TF_Tekniker,BI$4,TF_Dato,$A594))*2,0)/2)))</f>
        <v/>
      </c>
    </row>
    <row r="595">
      <c r="A595" s="64">
        <f>A594+1</f>
        <v/>
      </c>
      <c r="B595">
        <f>IF(MOD($A595-INDEX(SkiftStart,1),Syklus)&lt;DagK,"K",IF(MOD($A595-INDEX(SkiftStart,1),Syklus)&lt;DagK+DagH,"H",IF(MOD($A595-INDEX(SkiftStart,1),Syklus)&lt;DagK+DagH+DagD,"D","F")))</f>
        <v/>
      </c>
      <c r="C595">
        <f>IF(MOD($A595-INDEX(SkiftStart,2),Syklus)&lt;DagK,"K",IF(MOD($A595-INDEX(SkiftStart,2),Syklus)&lt;DagK+DagH,"H",IF(MOD($A595-INDEX(SkiftStart,2),Syklus)&lt;DagK+DagH+DagD,"D","F")))</f>
        <v/>
      </c>
      <c r="D595">
        <f>IF(MOD($A595-INDEX(SkiftStart,3),Syklus)&lt;DagK,"K",IF(MOD($A595-INDEX(SkiftStart,3),Syklus)&lt;DagK+DagH,"H",IF(MOD($A595-INDEX(SkiftStart,3),Syklus)&lt;DagK+DagH+DagD,"D","F")))</f>
        <v/>
      </c>
      <c r="E595">
        <f>IF(B595="F",0,IF(WEEKDAY($A595,2)=5,INDEX(TimerFr,MATCH(B595,FaseKode,0)),INDEX(TimerMT,MATCH(B595,FaseKode,0))))</f>
        <v/>
      </c>
      <c r="F595">
        <f>IF(C595="F",0,IF(WEEKDAY($A595,2)=5,INDEX(TimerFr,MATCH(C595,FaseKode,0)),INDEX(TimerMT,MATCH(C595,FaseKode,0))))</f>
        <v/>
      </c>
      <c r="G595">
        <f>IF(D595="F",0,IF(WEEKDAY($A595,2)=5,INDEX(TimerFr,MATCH(D595,FaseKode,0)),INDEX(TimerMT,MATCH(D595,FaseKode,0))))</f>
        <v/>
      </c>
      <c r="H595">
        <f>IF(OR(H$4="",$A595&gt;TODAY()),0,IF(OR(INDEX($B595:$D595,H$5)="F",AND(H$6&gt;0,$A595&lt;H$6),AND(H$7&gt;0,$A595&gt;H$7)),0,MAX(0,ROUND((INDEX($E595:$G595,H$5)-SUMIFS(TF_Timer,TF_Tekniker,H$4,TF_Dato,$A595))*2,0)/2)))</f>
        <v/>
      </c>
      <c r="I595">
        <f>IF(OR(I$4="",$A595&gt;TODAY()),0,IF(OR(INDEX($B595:$D595,I$5)="F",AND(I$6&gt;0,$A595&lt;I$6),AND(I$7&gt;0,$A595&gt;I$7)),0,MAX(0,ROUND((INDEX($E595:$G595,I$5)-SUMIFS(TF_Timer,TF_Tekniker,I$4,TF_Dato,$A595))*2,0)/2)))</f>
        <v/>
      </c>
      <c r="J595">
        <f>IF(OR(J$4="",$A595&gt;TODAY()),0,IF(OR(INDEX($B595:$D595,J$5)="F",AND(J$6&gt;0,$A595&lt;J$6),AND(J$7&gt;0,$A595&gt;J$7)),0,MAX(0,ROUND((INDEX($E595:$G595,J$5)-SUMIFS(TF_Timer,TF_Tekniker,J$4,TF_Dato,$A595))*2,0)/2)))</f>
        <v/>
      </c>
      <c r="K595">
        <f>IF(OR(K$4="",$A595&gt;TODAY()),0,IF(OR(INDEX($B595:$D595,K$5)="F",AND(K$6&gt;0,$A595&lt;K$6),AND(K$7&gt;0,$A595&gt;K$7)),0,MAX(0,ROUND((INDEX($E595:$G595,K$5)-SUMIFS(TF_Timer,TF_Tekniker,K$4,TF_Dato,$A595))*2,0)/2)))</f>
        <v/>
      </c>
      <c r="L595">
        <f>IF(OR(L$4="",$A595&gt;TODAY()),0,IF(OR(INDEX($B595:$D595,L$5)="F",AND(L$6&gt;0,$A595&lt;L$6),AND(L$7&gt;0,$A595&gt;L$7)),0,MAX(0,ROUND((INDEX($E595:$G595,L$5)-SUMIFS(TF_Timer,TF_Tekniker,L$4,TF_Dato,$A595))*2,0)/2)))</f>
        <v/>
      </c>
      <c r="M595">
        <f>IF(OR(M$4="",$A595&gt;TODAY()),0,IF(OR(INDEX($B595:$D595,M$5)="F",AND(M$6&gt;0,$A595&lt;M$6),AND(M$7&gt;0,$A595&gt;M$7)),0,MAX(0,ROUND((INDEX($E595:$G595,M$5)-SUMIFS(TF_Timer,TF_Tekniker,M$4,TF_Dato,$A595))*2,0)/2)))</f>
        <v/>
      </c>
      <c r="N595">
        <f>IF(OR(N$4="",$A595&gt;TODAY()),0,IF(OR(INDEX($B595:$D595,N$5)="F",AND(N$6&gt;0,$A595&lt;N$6),AND(N$7&gt;0,$A595&gt;N$7)),0,MAX(0,ROUND((INDEX($E595:$G595,N$5)-SUMIFS(TF_Timer,TF_Tekniker,N$4,TF_Dato,$A595))*2,0)/2)))</f>
        <v/>
      </c>
      <c r="O595">
        <f>IF(OR(O$4="",$A595&gt;TODAY()),0,IF(OR(INDEX($B595:$D595,O$5)="F",AND(O$6&gt;0,$A595&lt;O$6),AND(O$7&gt;0,$A595&gt;O$7)),0,MAX(0,ROUND((INDEX($E595:$G595,O$5)-SUMIFS(TF_Timer,TF_Tekniker,O$4,TF_Dato,$A595))*2,0)/2)))</f>
        <v/>
      </c>
      <c r="P595">
        <f>IF(OR(P$4="",$A595&gt;TODAY()),0,IF(OR(INDEX($B595:$D595,P$5)="F",AND(P$6&gt;0,$A595&lt;P$6),AND(P$7&gt;0,$A595&gt;P$7)),0,MAX(0,ROUND((INDEX($E595:$G595,P$5)-SUMIFS(TF_Timer,TF_Tekniker,P$4,TF_Dato,$A595))*2,0)/2)))</f>
        <v/>
      </c>
      <c r="Q595">
        <f>IF(OR(Q$4="",$A595&gt;TODAY()),0,IF(OR(INDEX($B595:$D595,Q$5)="F",AND(Q$6&gt;0,$A595&lt;Q$6),AND(Q$7&gt;0,$A595&gt;Q$7)),0,MAX(0,ROUND((INDEX($E595:$G595,Q$5)-SUMIFS(TF_Timer,TF_Tekniker,Q$4,TF_Dato,$A595))*2,0)/2)))</f>
        <v/>
      </c>
      <c r="R595">
        <f>IF(OR(R$4="",$A595&gt;TODAY()),0,IF(OR(INDEX($B595:$D595,R$5)="F",AND(R$6&gt;0,$A595&lt;R$6),AND(R$7&gt;0,$A595&gt;R$7)),0,MAX(0,ROUND((INDEX($E595:$G595,R$5)-SUMIFS(TF_Timer,TF_Tekniker,R$4,TF_Dato,$A595))*2,0)/2)))</f>
        <v/>
      </c>
      <c r="S595">
        <f>IF(OR(S$4="",$A595&gt;TODAY()),0,IF(OR(INDEX($B595:$D595,S$5)="F",AND(S$6&gt;0,$A595&lt;S$6),AND(S$7&gt;0,$A595&gt;S$7)),0,MAX(0,ROUND((INDEX($E595:$G595,S$5)-SUMIFS(TF_Timer,TF_Tekniker,S$4,TF_Dato,$A595))*2,0)/2)))</f>
        <v/>
      </c>
      <c r="T595">
        <f>IF(OR(T$4="",$A595&gt;TODAY()),0,IF(OR(INDEX($B595:$D595,T$5)="F",AND(T$6&gt;0,$A595&lt;T$6),AND(T$7&gt;0,$A595&gt;T$7)),0,MAX(0,ROUND((INDEX($E595:$G595,T$5)-SUMIFS(TF_Timer,TF_Tekniker,T$4,TF_Dato,$A595))*2,0)/2)))</f>
        <v/>
      </c>
      <c r="U595">
        <f>IF(OR(U$4="",$A595&gt;TODAY()),0,IF(OR(INDEX($B595:$D595,U$5)="F",AND(U$6&gt;0,$A595&lt;U$6),AND(U$7&gt;0,$A595&gt;U$7)),0,MAX(0,ROUND((INDEX($E595:$G595,U$5)-SUMIFS(TF_Timer,TF_Tekniker,U$4,TF_Dato,$A595))*2,0)/2)))</f>
        <v/>
      </c>
      <c r="V595">
        <f>IF(OR(V$4="",$A595&gt;TODAY()),0,IF(OR(INDEX($B595:$D595,V$5)="F",AND(V$6&gt;0,$A595&lt;V$6),AND(V$7&gt;0,$A595&gt;V$7)),0,MAX(0,ROUND((INDEX($E595:$G595,V$5)-SUMIFS(TF_Timer,TF_Tekniker,V$4,TF_Dato,$A595))*2,0)/2)))</f>
        <v/>
      </c>
      <c r="W595">
        <f>IF(OR(W$4="",$A595&gt;TODAY()),0,IF(OR(INDEX($B595:$D595,W$5)="F",AND(W$6&gt;0,$A595&lt;W$6),AND(W$7&gt;0,$A595&gt;W$7)),0,MAX(0,ROUND((INDEX($E595:$G595,W$5)-SUMIFS(TF_Timer,TF_Tekniker,W$4,TF_Dato,$A595))*2,0)/2)))</f>
        <v/>
      </c>
      <c r="X595">
        <f>IF(OR(X$4="",$A595&gt;TODAY()),0,IF(OR(INDEX($B595:$D595,X$5)="F",AND(X$6&gt;0,$A595&lt;X$6),AND(X$7&gt;0,$A595&gt;X$7)),0,MAX(0,ROUND((INDEX($E595:$G595,X$5)-SUMIFS(TF_Timer,TF_Tekniker,X$4,TF_Dato,$A595))*2,0)/2)))</f>
        <v/>
      </c>
      <c r="Y595">
        <f>IF(OR(Y$4="",$A595&gt;TODAY()),0,IF(OR(INDEX($B595:$D595,Y$5)="F",AND(Y$6&gt;0,$A595&lt;Y$6),AND(Y$7&gt;0,$A595&gt;Y$7)),0,MAX(0,ROUND((INDEX($E595:$G595,Y$5)-SUMIFS(TF_Timer,TF_Tekniker,Y$4,TF_Dato,$A595))*2,0)/2)))</f>
        <v/>
      </c>
      <c r="Z595">
        <f>IF(OR(Z$4="",$A595&gt;TODAY()),0,IF(OR(INDEX($B595:$D595,Z$5)="F",AND(Z$6&gt;0,$A595&lt;Z$6),AND(Z$7&gt;0,$A595&gt;Z$7)),0,MAX(0,ROUND((INDEX($E595:$G595,Z$5)-SUMIFS(TF_Timer,TF_Tekniker,Z$4,TF_Dato,$A595))*2,0)/2)))</f>
        <v/>
      </c>
      <c r="AA595">
        <f>IF(OR(AA$4="",$A595&gt;TODAY()),0,IF(OR(INDEX($B595:$D595,AA$5)="F",AND(AA$6&gt;0,$A595&lt;AA$6),AND(AA$7&gt;0,$A595&gt;AA$7)),0,MAX(0,ROUND((INDEX($E595:$G595,AA$5)-SUMIFS(TF_Timer,TF_Tekniker,AA$4,TF_Dato,$A595))*2,0)/2)))</f>
        <v/>
      </c>
      <c r="AB595">
        <f>IF(OR(AB$4="",$A595&gt;TODAY()),0,IF(OR(INDEX($B595:$D595,AB$5)="F",AND(AB$6&gt;0,$A595&lt;AB$6),AND(AB$7&gt;0,$A595&gt;AB$7)),0,MAX(0,ROUND((INDEX($E595:$G595,AB$5)-SUMIFS(TF_Timer,TF_Tekniker,AB$4,TF_Dato,$A595))*2,0)/2)))</f>
        <v/>
      </c>
      <c r="AC595">
        <f>IF(OR(AC$4="",$A595&gt;TODAY()),0,IF(OR(INDEX($B595:$D595,AC$5)="F",AND(AC$6&gt;0,$A595&lt;AC$6),AND(AC$7&gt;0,$A595&gt;AC$7)),0,MAX(0,ROUND((INDEX($E595:$G595,AC$5)-SUMIFS(TF_Timer,TF_Tekniker,AC$4,TF_Dato,$A595))*2,0)/2)))</f>
        <v/>
      </c>
      <c r="AD595">
        <f>IF(OR(AD$4="",$A595&gt;TODAY()),0,IF(OR(INDEX($B595:$D595,AD$5)="F",AND(AD$6&gt;0,$A595&lt;AD$6),AND(AD$7&gt;0,$A595&gt;AD$7)),0,MAX(0,ROUND((INDEX($E595:$G595,AD$5)-SUMIFS(TF_Timer,TF_Tekniker,AD$4,TF_Dato,$A595))*2,0)/2)))</f>
        <v/>
      </c>
      <c r="AE595">
        <f>IF(OR(AE$4="",$A595&gt;TODAY()),0,IF(OR(INDEX($B595:$D595,AE$5)="F",AND(AE$6&gt;0,$A595&lt;AE$6),AND(AE$7&gt;0,$A595&gt;AE$7)),0,MAX(0,ROUND((INDEX($E595:$G595,AE$5)-SUMIFS(TF_Timer,TF_Tekniker,AE$4,TF_Dato,$A595))*2,0)/2)))</f>
        <v/>
      </c>
      <c r="AF595">
        <f>IF(OR(AF$4="",$A595&gt;TODAY()),0,IF(OR(INDEX($B595:$D595,AF$5)="F",AND(AF$6&gt;0,$A595&lt;AF$6),AND(AF$7&gt;0,$A595&gt;AF$7)),0,MAX(0,ROUND((INDEX($E595:$G595,AF$5)-SUMIFS(TF_Timer,TF_Tekniker,AF$4,TF_Dato,$A595))*2,0)/2)))</f>
        <v/>
      </c>
      <c r="AG595">
        <f>IF(OR(AG$4="",$A595&gt;TODAY()),0,IF(OR(INDEX($B595:$D595,AG$5)="F",AND(AG$6&gt;0,$A595&lt;AG$6),AND(AG$7&gt;0,$A595&gt;AG$7)),0,MAX(0,ROUND((INDEX($E595:$G595,AG$5)-SUMIFS(TF_Timer,TF_Tekniker,AG$4,TF_Dato,$A595))*2,0)/2)))</f>
        <v/>
      </c>
      <c r="AH595">
        <f>IF(OR(AH$4="",$A595&gt;TODAY()),0,IF(OR(INDEX($B595:$D595,AH$5)="F",AND(AH$6&gt;0,$A595&lt;AH$6),AND(AH$7&gt;0,$A595&gt;AH$7)),0,MAX(0,ROUND((INDEX($E595:$G595,AH$5)-SUMIFS(TF_Timer,TF_Tekniker,AH$4,TF_Dato,$A595))*2,0)/2)))</f>
        <v/>
      </c>
      <c r="AI595">
        <f>IF(OR(AI$4="",$A595&gt;TODAY()),0,IF(OR(INDEX($B595:$D595,AI$5)="F",AND(AI$6&gt;0,$A595&lt;AI$6),AND(AI$7&gt;0,$A595&gt;AI$7)),0,MAX(0,ROUND((INDEX($E595:$G595,AI$5)-SUMIFS(TF_Timer,TF_Tekniker,AI$4,TF_Dato,$A595))*2,0)/2)))</f>
        <v/>
      </c>
      <c r="AJ595">
        <f>IF(OR(AJ$4="",$A595&gt;TODAY()),0,IF(OR(INDEX($B595:$D595,AJ$5)="F",AND(AJ$6&gt;0,$A595&lt;AJ$6),AND(AJ$7&gt;0,$A595&gt;AJ$7)),0,MAX(0,ROUND((INDEX($E595:$G595,AJ$5)-SUMIFS(TF_Timer,TF_Tekniker,AJ$4,TF_Dato,$A595))*2,0)/2)))</f>
        <v/>
      </c>
      <c r="AK595">
        <f>IF(OR(AK$4="",$A595&gt;TODAY()),0,IF(OR(INDEX($B595:$D595,AK$5)="F",AND(AK$6&gt;0,$A595&lt;AK$6),AND(AK$7&gt;0,$A595&gt;AK$7)),0,MAX(0,ROUND((INDEX($E595:$G595,AK$5)-SUMIFS(TF_Timer,TF_Tekniker,AK$4,TF_Dato,$A595))*2,0)/2)))</f>
        <v/>
      </c>
      <c r="AL595">
        <f>IF(OR(AL$4="",$A595&gt;TODAY()),0,IF(OR(INDEX($B595:$D595,AL$5)="F",AND(AL$6&gt;0,$A595&lt;AL$6),AND(AL$7&gt;0,$A595&gt;AL$7)),0,MAX(0,ROUND((INDEX($E595:$G595,AL$5)-SUMIFS(TF_Timer,TF_Tekniker,AL$4,TF_Dato,$A595))*2,0)/2)))</f>
        <v/>
      </c>
      <c r="AM595">
        <f>IF(OR(AM$4="",$A595&gt;TODAY()),0,IF(OR(INDEX($B595:$D595,AM$5)="F",AND(AM$6&gt;0,$A595&lt;AM$6),AND(AM$7&gt;0,$A595&gt;AM$7)),0,MAX(0,ROUND((INDEX($E595:$G595,AM$5)-SUMIFS(TF_Timer,TF_Tekniker,AM$4,TF_Dato,$A595))*2,0)/2)))</f>
        <v/>
      </c>
      <c r="AN595">
        <f>IF(OR(AN$4="",$A595&gt;TODAY()),0,IF(OR(INDEX($B595:$D595,AN$5)="F",AND(AN$6&gt;0,$A595&lt;AN$6),AND(AN$7&gt;0,$A595&gt;AN$7)),0,MAX(0,ROUND((INDEX($E595:$G595,AN$5)-SUMIFS(TF_Timer,TF_Tekniker,AN$4,TF_Dato,$A595))*2,0)/2)))</f>
        <v/>
      </c>
      <c r="AO595">
        <f>IF(OR(AO$4="",$A595&gt;TODAY()),0,IF(OR(INDEX($B595:$D595,AO$5)="F",AND(AO$6&gt;0,$A595&lt;AO$6),AND(AO$7&gt;0,$A595&gt;AO$7)),0,MAX(0,ROUND((INDEX($E595:$G595,AO$5)-SUMIFS(TF_Timer,TF_Tekniker,AO$4,TF_Dato,$A595))*2,0)/2)))</f>
        <v/>
      </c>
      <c r="AP595">
        <f>IF(OR(AP$4="",$A595&gt;TODAY()),0,IF(OR(INDEX($B595:$D595,AP$5)="F",AND(AP$6&gt;0,$A595&lt;AP$6),AND(AP$7&gt;0,$A595&gt;AP$7)),0,MAX(0,ROUND((INDEX($E595:$G595,AP$5)-SUMIFS(TF_Timer,TF_Tekniker,AP$4,TF_Dato,$A595))*2,0)/2)))</f>
        <v/>
      </c>
      <c r="AQ595">
        <f>IF(OR(AQ$4="",$A595&gt;TODAY()),0,IF(OR(INDEX($B595:$D595,AQ$5)="F",AND(AQ$6&gt;0,$A595&lt;AQ$6),AND(AQ$7&gt;0,$A595&gt;AQ$7)),0,MAX(0,ROUND((INDEX($E595:$G595,AQ$5)-SUMIFS(TF_Timer,TF_Tekniker,AQ$4,TF_Dato,$A595))*2,0)/2)))</f>
        <v/>
      </c>
      <c r="AR595">
        <f>IF(OR(AR$4="",$A595&gt;TODAY()),0,IF(OR(INDEX($B595:$D595,AR$5)="F",AND(AR$6&gt;0,$A595&lt;AR$6),AND(AR$7&gt;0,$A595&gt;AR$7)),0,MAX(0,ROUND((INDEX($E595:$G595,AR$5)-SUMIFS(TF_Timer,TF_Tekniker,AR$4,TF_Dato,$A595))*2,0)/2)))</f>
        <v/>
      </c>
      <c r="AS595">
        <f>IF(OR(AS$4="",$A595&gt;TODAY()),0,IF(OR(INDEX($B595:$D595,AS$5)="F",AND(AS$6&gt;0,$A595&lt;AS$6),AND(AS$7&gt;0,$A595&gt;AS$7)),0,MAX(0,ROUND((INDEX($E595:$G595,AS$5)-SUMIFS(TF_Timer,TF_Tekniker,AS$4,TF_Dato,$A595))*2,0)/2)))</f>
        <v/>
      </c>
      <c r="AT595">
        <f>IF(OR(AT$4="",$A595&gt;TODAY()),0,IF(OR(INDEX($B595:$D595,AT$5)="F",AND(AT$6&gt;0,$A595&lt;AT$6),AND(AT$7&gt;0,$A595&gt;AT$7)),0,MAX(0,ROUND((INDEX($E595:$G595,AT$5)-SUMIFS(TF_Timer,TF_Tekniker,AT$4,TF_Dato,$A595))*2,0)/2)))</f>
        <v/>
      </c>
      <c r="AU595">
        <f>IF(OR(AU$4="",$A595&gt;TODAY()),0,IF(OR(INDEX($B595:$D595,AU$5)="F",AND(AU$6&gt;0,$A595&lt;AU$6),AND(AU$7&gt;0,$A595&gt;AU$7)),0,MAX(0,ROUND((INDEX($E595:$G595,AU$5)-SUMIFS(TF_Timer,TF_Tekniker,AU$4,TF_Dato,$A595))*2,0)/2)))</f>
        <v/>
      </c>
      <c r="AV595">
        <f>IF(OR(AV$4="",$A595&gt;TODAY()),0,IF(OR(INDEX($B595:$D595,AV$5)="F",AND(AV$6&gt;0,$A595&lt;AV$6),AND(AV$7&gt;0,$A595&gt;AV$7)),0,MAX(0,ROUND((INDEX($E595:$G595,AV$5)-SUMIFS(TF_Timer,TF_Tekniker,AV$4,TF_Dato,$A595))*2,0)/2)))</f>
        <v/>
      </c>
      <c r="AW595">
        <f>IF(OR(AW$4="",$A595&gt;TODAY()),0,IF(OR(INDEX($B595:$D595,AW$5)="F",AND(AW$6&gt;0,$A595&lt;AW$6),AND(AW$7&gt;0,$A595&gt;AW$7)),0,MAX(0,ROUND((INDEX($E595:$G595,AW$5)-SUMIFS(TF_Timer,TF_Tekniker,AW$4,TF_Dato,$A595))*2,0)/2)))</f>
        <v/>
      </c>
      <c r="AX595">
        <f>IF(OR(AX$4="",$A595&gt;TODAY()),0,IF(OR(INDEX($B595:$D595,AX$5)="F",AND(AX$6&gt;0,$A595&lt;AX$6),AND(AX$7&gt;0,$A595&gt;AX$7)),0,MAX(0,ROUND((INDEX($E595:$G595,AX$5)-SUMIFS(TF_Timer,TF_Tekniker,AX$4,TF_Dato,$A595))*2,0)/2)))</f>
        <v/>
      </c>
      <c r="AY595">
        <f>IF(OR(AY$4="",$A595&gt;TODAY()),0,IF(OR(INDEX($B595:$D595,AY$5)="F",AND(AY$6&gt;0,$A595&lt;AY$6),AND(AY$7&gt;0,$A595&gt;AY$7)),0,MAX(0,ROUND((INDEX($E595:$G595,AY$5)-SUMIFS(TF_Timer,TF_Tekniker,AY$4,TF_Dato,$A595))*2,0)/2)))</f>
        <v/>
      </c>
      <c r="AZ595">
        <f>IF(OR(AZ$4="",$A595&gt;TODAY()),0,IF(OR(INDEX($B595:$D595,AZ$5)="F",AND(AZ$6&gt;0,$A595&lt;AZ$6),AND(AZ$7&gt;0,$A595&gt;AZ$7)),0,MAX(0,ROUND((INDEX($E595:$G595,AZ$5)-SUMIFS(TF_Timer,TF_Tekniker,AZ$4,TF_Dato,$A595))*2,0)/2)))</f>
        <v/>
      </c>
      <c r="BA595">
        <f>IF(OR(BA$4="",$A595&gt;TODAY()),0,IF(OR(INDEX($B595:$D595,BA$5)="F",AND(BA$6&gt;0,$A595&lt;BA$6),AND(BA$7&gt;0,$A595&gt;BA$7)),0,MAX(0,ROUND((INDEX($E595:$G595,BA$5)-SUMIFS(TF_Timer,TF_Tekniker,BA$4,TF_Dato,$A595))*2,0)/2)))</f>
        <v/>
      </c>
      <c r="BB595">
        <f>IF(OR(BB$4="",$A595&gt;TODAY()),0,IF(OR(INDEX($B595:$D595,BB$5)="F",AND(BB$6&gt;0,$A595&lt;BB$6),AND(BB$7&gt;0,$A595&gt;BB$7)),0,MAX(0,ROUND((INDEX($E595:$G595,BB$5)-SUMIFS(TF_Timer,TF_Tekniker,BB$4,TF_Dato,$A595))*2,0)/2)))</f>
        <v/>
      </c>
      <c r="BC595">
        <f>IF(OR(BC$4="",$A595&gt;TODAY()),0,IF(OR(INDEX($B595:$D595,BC$5)="F",AND(BC$6&gt;0,$A595&lt;BC$6),AND(BC$7&gt;0,$A595&gt;BC$7)),0,MAX(0,ROUND((INDEX($E595:$G595,BC$5)-SUMIFS(TF_Timer,TF_Tekniker,BC$4,TF_Dato,$A595))*2,0)/2)))</f>
        <v/>
      </c>
      <c r="BD595">
        <f>IF(OR(BD$4="",$A595&gt;TODAY()),0,IF(OR(INDEX($B595:$D595,BD$5)="F",AND(BD$6&gt;0,$A595&lt;BD$6),AND(BD$7&gt;0,$A595&gt;BD$7)),0,MAX(0,ROUND((INDEX($E595:$G595,BD$5)-SUMIFS(TF_Timer,TF_Tekniker,BD$4,TF_Dato,$A595))*2,0)/2)))</f>
        <v/>
      </c>
      <c r="BE595">
        <f>IF(OR(BE$4="",$A595&gt;TODAY()),0,IF(OR(INDEX($B595:$D595,BE$5)="F",AND(BE$6&gt;0,$A595&lt;BE$6),AND(BE$7&gt;0,$A595&gt;BE$7)),0,MAX(0,ROUND((INDEX($E595:$G595,BE$5)-SUMIFS(TF_Timer,TF_Tekniker,BE$4,TF_Dato,$A595))*2,0)/2)))</f>
        <v/>
      </c>
      <c r="BF595">
        <f>IF(OR(BF$4="",$A595&gt;TODAY()),0,IF(OR(INDEX($B595:$D595,BF$5)="F",AND(BF$6&gt;0,$A595&lt;BF$6),AND(BF$7&gt;0,$A595&gt;BF$7)),0,MAX(0,ROUND((INDEX($E595:$G595,BF$5)-SUMIFS(TF_Timer,TF_Tekniker,BF$4,TF_Dato,$A595))*2,0)/2)))</f>
        <v/>
      </c>
      <c r="BG595">
        <f>IF(OR(BG$4="",$A595&gt;TODAY()),0,IF(OR(INDEX($B595:$D595,BG$5)="F",AND(BG$6&gt;0,$A595&lt;BG$6),AND(BG$7&gt;0,$A595&gt;BG$7)),0,MAX(0,ROUND((INDEX($E595:$G595,BG$5)-SUMIFS(TF_Timer,TF_Tekniker,BG$4,TF_Dato,$A595))*2,0)/2)))</f>
        <v/>
      </c>
      <c r="BH595">
        <f>IF(OR(BH$4="",$A595&gt;TODAY()),0,IF(OR(INDEX($B595:$D595,BH$5)="F",AND(BH$6&gt;0,$A595&lt;BH$6),AND(BH$7&gt;0,$A595&gt;BH$7)),0,MAX(0,ROUND((INDEX($E595:$G595,BH$5)-SUMIFS(TF_Timer,TF_Tekniker,BH$4,TF_Dato,$A595))*2,0)/2)))</f>
        <v/>
      </c>
      <c r="BI595">
        <f>IF(OR(BI$4="",$A595&gt;TODAY()),0,IF(OR(INDEX($B595:$D595,BI$5)="F",AND(BI$6&gt;0,$A595&lt;BI$6),AND(BI$7&gt;0,$A595&gt;BI$7)),0,MAX(0,ROUND((INDEX($E595:$G595,BI$5)-SUMIFS(TF_Timer,TF_Tekniker,BI$4,TF_Dato,$A595))*2,0)/2)))</f>
        <v/>
      </c>
    </row>
    <row r="596">
      <c r="A596" s="64">
        <f>A595+1</f>
        <v/>
      </c>
      <c r="B596">
        <f>IF(MOD($A596-INDEX(SkiftStart,1),Syklus)&lt;DagK,"K",IF(MOD($A596-INDEX(SkiftStart,1),Syklus)&lt;DagK+DagH,"H",IF(MOD($A596-INDEX(SkiftStart,1),Syklus)&lt;DagK+DagH+DagD,"D","F")))</f>
        <v/>
      </c>
      <c r="C596">
        <f>IF(MOD($A596-INDEX(SkiftStart,2),Syklus)&lt;DagK,"K",IF(MOD($A596-INDEX(SkiftStart,2),Syklus)&lt;DagK+DagH,"H",IF(MOD($A596-INDEX(SkiftStart,2),Syklus)&lt;DagK+DagH+DagD,"D","F")))</f>
        <v/>
      </c>
      <c r="D596">
        <f>IF(MOD($A596-INDEX(SkiftStart,3),Syklus)&lt;DagK,"K",IF(MOD($A596-INDEX(SkiftStart,3),Syklus)&lt;DagK+DagH,"H",IF(MOD($A596-INDEX(SkiftStart,3),Syklus)&lt;DagK+DagH+DagD,"D","F")))</f>
        <v/>
      </c>
      <c r="E596">
        <f>IF(B596="F",0,IF(WEEKDAY($A596,2)=5,INDEX(TimerFr,MATCH(B596,FaseKode,0)),INDEX(TimerMT,MATCH(B596,FaseKode,0))))</f>
        <v/>
      </c>
      <c r="F596">
        <f>IF(C596="F",0,IF(WEEKDAY($A596,2)=5,INDEX(TimerFr,MATCH(C596,FaseKode,0)),INDEX(TimerMT,MATCH(C596,FaseKode,0))))</f>
        <v/>
      </c>
      <c r="G596">
        <f>IF(D596="F",0,IF(WEEKDAY($A596,2)=5,INDEX(TimerFr,MATCH(D596,FaseKode,0)),INDEX(TimerMT,MATCH(D596,FaseKode,0))))</f>
        <v/>
      </c>
      <c r="H596">
        <f>IF(OR(H$4="",$A596&gt;TODAY()),0,IF(OR(INDEX($B596:$D596,H$5)="F",AND(H$6&gt;0,$A596&lt;H$6),AND(H$7&gt;0,$A596&gt;H$7)),0,MAX(0,ROUND((INDEX($E596:$G596,H$5)-SUMIFS(TF_Timer,TF_Tekniker,H$4,TF_Dato,$A596))*2,0)/2)))</f>
        <v/>
      </c>
      <c r="I596">
        <f>IF(OR(I$4="",$A596&gt;TODAY()),0,IF(OR(INDEX($B596:$D596,I$5)="F",AND(I$6&gt;0,$A596&lt;I$6),AND(I$7&gt;0,$A596&gt;I$7)),0,MAX(0,ROUND((INDEX($E596:$G596,I$5)-SUMIFS(TF_Timer,TF_Tekniker,I$4,TF_Dato,$A596))*2,0)/2)))</f>
        <v/>
      </c>
      <c r="J596">
        <f>IF(OR(J$4="",$A596&gt;TODAY()),0,IF(OR(INDEX($B596:$D596,J$5)="F",AND(J$6&gt;0,$A596&lt;J$6),AND(J$7&gt;0,$A596&gt;J$7)),0,MAX(0,ROUND((INDEX($E596:$G596,J$5)-SUMIFS(TF_Timer,TF_Tekniker,J$4,TF_Dato,$A596))*2,0)/2)))</f>
        <v/>
      </c>
      <c r="K596">
        <f>IF(OR(K$4="",$A596&gt;TODAY()),0,IF(OR(INDEX($B596:$D596,K$5)="F",AND(K$6&gt;0,$A596&lt;K$6),AND(K$7&gt;0,$A596&gt;K$7)),0,MAX(0,ROUND((INDEX($E596:$G596,K$5)-SUMIFS(TF_Timer,TF_Tekniker,K$4,TF_Dato,$A596))*2,0)/2)))</f>
        <v/>
      </c>
      <c r="L596">
        <f>IF(OR(L$4="",$A596&gt;TODAY()),0,IF(OR(INDEX($B596:$D596,L$5)="F",AND(L$6&gt;0,$A596&lt;L$6),AND(L$7&gt;0,$A596&gt;L$7)),0,MAX(0,ROUND((INDEX($E596:$G596,L$5)-SUMIFS(TF_Timer,TF_Tekniker,L$4,TF_Dato,$A596))*2,0)/2)))</f>
        <v/>
      </c>
      <c r="M596">
        <f>IF(OR(M$4="",$A596&gt;TODAY()),0,IF(OR(INDEX($B596:$D596,M$5)="F",AND(M$6&gt;0,$A596&lt;M$6),AND(M$7&gt;0,$A596&gt;M$7)),0,MAX(0,ROUND((INDEX($E596:$G596,M$5)-SUMIFS(TF_Timer,TF_Tekniker,M$4,TF_Dato,$A596))*2,0)/2)))</f>
        <v/>
      </c>
      <c r="N596">
        <f>IF(OR(N$4="",$A596&gt;TODAY()),0,IF(OR(INDEX($B596:$D596,N$5)="F",AND(N$6&gt;0,$A596&lt;N$6),AND(N$7&gt;0,$A596&gt;N$7)),0,MAX(0,ROUND((INDEX($E596:$G596,N$5)-SUMIFS(TF_Timer,TF_Tekniker,N$4,TF_Dato,$A596))*2,0)/2)))</f>
        <v/>
      </c>
      <c r="O596">
        <f>IF(OR(O$4="",$A596&gt;TODAY()),0,IF(OR(INDEX($B596:$D596,O$5)="F",AND(O$6&gt;0,$A596&lt;O$6),AND(O$7&gt;0,$A596&gt;O$7)),0,MAX(0,ROUND((INDEX($E596:$G596,O$5)-SUMIFS(TF_Timer,TF_Tekniker,O$4,TF_Dato,$A596))*2,0)/2)))</f>
        <v/>
      </c>
      <c r="P596">
        <f>IF(OR(P$4="",$A596&gt;TODAY()),0,IF(OR(INDEX($B596:$D596,P$5)="F",AND(P$6&gt;0,$A596&lt;P$6),AND(P$7&gt;0,$A596&gt;P$7)),0,MAX(0,ROUND((INDEX($E596:$G596,P$5)-SUMIFS(TF_Timer,TF_Tekniker,P$4,TF_Dato,$A596))*2,0)/2)))</f>
        <v/>
      </c>
      <c r="Q596">
        <f>IF(OR(Q$4="",$A596&gt;TODAY()),0,IF(OR(INDEX($B596:$D596,Q$5)="F",AND(Q$6&gt;0,$A596&lt;Q$6),AND(Q$7&gt;0,$A596&gt;Q$7)),0,MAX(0,ROUND((INDEX($E596:$G596,Q$5)-SUMIFS(TF_Timer,TF_Tekniker,Q$4,TF_Dato,$A596))*2,0)/2)))</f>
        <v/>
      </c>
      <c r="R596">
        <f>IF(OR(R$4="",$A596&gt;TODAY()),0,IF(OR(INDEX($B596:$D596,R$5)="F",AND(R$6&gt;0,$A596&lt;R$6),AND(R$7&gt;0,$A596&gt;R$7)),0,MAX(0,ROUND((INDEX($E596:$G596,R$5)-SUMIFS(TF_Timer,TF_Tekniker,R$4,TF_Dato,$A596))*2,0)/2)))</f>
        <v/>
      </c>
      <c r="S596">
        <f>IF(OR(S$4="",$A596&gt;TODAY()),0,IF(OR(INDEX($B596:$D596,S$5)="F",AND(S$6&gt;0,$A596&lt;S$6),AND(S$7&gt;0,$A596&gt;S$7)),0,MAX(0,ROUND((INDEX($E596:$G596,S$5)-SUMIFS(TF_Timer,TF_Tekniker,S$4,TF_Dato,$A596))*2,0)/2)))</f>
        <v/>
      </c>
      <c r="T596">
        <f>IF(OR(T$4="",$A596&gt;TODAY()),0,IF(OR(INDEX($B596:$D596,T$5)="F",AND(T$6&gt;0,$A596&lt;T$6),AND(T$7&gt;0,$A596&gt;T$7)),0,MAX(0,ROUND((INDEX($E596:$G596,T$5)-SUMIFS(TF_Timer,TF_Tekniker,T$4,TF_Dato,$A596))*2,0)/2)))</f>
        <v/>
      </c>
      <c r="U596">
        <f>IF(OR(U$4="",$A596&gt;TODAY()),0,IF(OR(INDEX($B596:$D596,U$5)="F",AND(U$6&gt;0,$A596&lt;U$6),AND(U$7&gt;0,$A596&gt;U$7)),0,MAX(0,ROUND((INDEX($E596:$G596,U$5)-SUMIFS(TF_Timer,TF_Tekniker,U$4,TF_Dato,$A596))*2,0)/2)))</f>
        <v/>
      </c>
      <c r="V596">
        <f>IF(OR(V$4="",$A596&gt;TODAY()),0,IF(OR(INDEX($B596:$D596,V$5)="F",AND(V$6&gt;0,$A596&lt;V$6),AND(V$7&gt;0,$A596&gt;V$7)),0,MAX(0,ROUND((INDEX($E596:$G596,V$5)-SUMIFS(TF_Timer,TF_Tekniker,V$4,TF_Dato,$A596))*2,0)/2)))</f>
        <v/>
      </c>
      <c r="W596">
        <f>IF(OR(W$4="",$A596&gt;TODAY()),0,IF(OR(INDEX($B596:$D596,W$5)="F",AND(W$6&gt;0,$A596&lt;W$6),AND(W$7&gt;0,$A596&gt;W$7)),0,MAX(0,ROUND((INDEX($E596:$G596,W$5)-SUMIFS(TF_Timer,TF_Tekniker,W$4,TF_Dato,$A596))*2,0)/2)))</f>
        <v/>
      </c>
      <c r="X596">
        <f>IF(OR(X$4="",$A596&gt;TODAY()),0,IF(OR(INDEX($B596:$D596,X$5)="F",AND(X$6&gt;0,$A596&lt;X$6),AND(X$7&gt;0,$A596&gt;X$7)),0,MAX(0,ROUND((INDEX($E596:$G596,X$5)-SUMIFS(TF_Timer,TF_Tekniker,X$4,TF_Dato,$A596))*2,0)/2)))</f>
        <v/>
      </c>
      <c r="Y596">
        <f>IF(OR(Y$4="",$A596&gt;TODAY()),0,IF(OR(INDEX($B596:$D596,Y$5)="F",AND(Y$6&gt;0,$A596&lt;Y$6),AND(Y$7&gt;0,$A596&gt;Y$7)),0,MAX(0,ROUND((INDEX($E596:$G596,Y$5)-SUMIFS(TF_Timer,TF_Tekniker,Y$4,TF_Dato,$A596))*2,0)/2)))</f>
        <v/>
      </c>
      <c r="Z596">
        <f>IF(OR(Z$4="",$A596&gt;TODAY()),0,IF(OR(INDEX($B596:$D596,Z$5)="F",AND(Z$6&gt;0,$A596&lt;Z$6),AND(Z$7&gt;0,$A596&gt;Z$7)),0,MAX(0,ROUND((INDEX($E596:$G596,Z$5)-SUMIFS(TF_Timer,TF_Tekniker,Z$4,TF_Dato,$A596))*2,0)/2)))</f>
        <v/>
      </c>
      <c r="AA596">
        <f>IF(OR(AA$4="",$A596&gt;TODAY()),0,IF(OR(INDEX($B596:$D596,AA$5)="F",AND(AA$6&gt;0,$A596&lt;AA$6),AND(AA$7&gt;0,$A596&gt;AA$7)),0,MAX(0,ROUND((INDEX($E596:$G596,AA$5)-SUMIFS(TF_Timer,TF_Tekniker,AA$4,TF_Dato,$A596))*2,0)/2)))</f>
        <v/>
      </c>
      <c r="AB596">
        <f>IF(OR(AB$4="",$A596&gt;TODAY()),0,IF(OR(INDEX($B596:$D596,AB$5)="F",AND(AB$6&gt;0,$A596&lt;AB$6),AND(AB$7&gt;0,$A596&gt;AB$7)),0,MAX(0,ROUND((INDEX($E596:$G596,AB$5)-SUMIFS(TF_Timer,TF_Tekniker,AB$4,TF_Dato,$A596))*2,0)/2)))</f>
        <v/>
      </c>
      <c r="AC596">
        <f>IF(OR(AC$4="",$A596&gt;TODAY()),0,IF(OR(INDEX($B596:$D596,AC$5)="F",AND(AC$6&gt;0,$A596&lt;AC$6),AND(AC$7&gt;0,$A596&gt;AC$7)),0,MAX(0,ROUND((INDEX($E596:$G596,AC$5)-SUMIFS(TF_Timer,TF_Tekniker,AC$4,TF_Dato,$A596))*2,0)/2)))</f>
        <v/>
      </c>
      <c r="AD596">
        <f>IF(OR(AD$4="",$A596&gt;TODAY()),0,IF(OR(INDEX($B596:$D596,AD$5)="F",AND(AD$6&gt;0,$A596&lt;AD$6),AND(AD$7&gt;0,$A596&gt;AD$7)),0,MAX(0,ROUND((INDEX($E596:$G596,AD$5)-SUMIFS(TF_Timer,TF_Tekniker,AD$4,TF_Dato,$A596))*2,0)/2)))</f>
        <v/>
      </c>
      <c r="AE596">
        <f>IF(OR(AE$4="",$A596&gt;TODAY()),0,IF(OR(INDEX($B596:$D596,AE$5)="F",AND(AE$6&gt;0,$A596&lt;AE$6),AND(AE$7&gt;0,$A596&gt;AE$7)),0,MAX(0,ROUND((INDEX($E596:$G596,AE$5)-SUMIFS(TF_Timer,TF_Tekniker,AE$4,TF_Dato,$A596))*2,0)/2)))</f>
        <v/>
      </c>
      <c r="AF596">
        <f>IF(OR(AF$4="",$A596&gt;TODAY()),0,IF(OR(INDEX($B596:$D596,AF$5)="F",AND(AF$6&gt;0,$A596&lt;AF$6),AND(AF$7&gt;0,$A596&gt;AF$7)),0,MAX(0,ROUND((INDEX($E596:$G596,AF$5)-SUMIFS(TF_Timer,TF_Tekniker,AF$4,TF_Dato,$A596))*2,0)/2)))</f>
        <v/>
      </c>
      <c r="AG596">
        <f>IF(OR(AG$4="",$A596&gt;TODAY()),0,IF(OR(INDEX($B596:$D596,AG$5)="F",AND(AG$6&gt;0,$A596&lt;AG$6),AND(AG$7&gt;0,$A596&gt;AG$7)),0,MAX(0,ROUND((INDEX($E596:$G596,AG$5)-SUMIFS(TF_Timer,TF_Tekniker,AG$4,TF_Dato,$A596))*2,0)/2)))</f>
        <v/>
      </c>
      <c r="AH596">
        <f>IF(OR(AH$4="",$A596&gt;TODAY()),0,IF(OR(INDEX($B596:$D596,AH$5)="F",AND(AH$6&gt;0,$A596&lt;AH$6),AND(AH$7&gt;0,$A596&gt;AH$7)),0,MAX(0,ROUND((INDEX($E596:$G596,AH$5)-SUMIFS(TF_Timer,TF_Tekniker,AH$4,TF_Dato,$A596))*2,0)/2)))</f>
        <v/>
      </c>
      <c r="AI596">
        <f>IF(OR(AI$4="",$A596&gt;TODAY()),0,IF(OR(INDEX($B596:$D596,AI$5)="F",AND(AI$6&gt;0,$A596&lt;AI$6),AND(AI$7&gt;0,$A596&gt;AI$7)),0,MAX(0,ROUND((INDEX($E596:$G596,AI$5)-SUMIFS(TF_Timer,TF_Tekniker,AI$4,TF_Dato,$A596))*2,0)/2)))</f>
        <v/>
      </c>
      <c r="AJ596">
        <f>IF(OR(AJ$4="",$A596&gt;TODAY()),0,IF(OR(INDEX($B596:$D596,AJ$5)="F",AND(AJ$6&gt;0,$A596&lt;AJ$6),AND(AJ$7&gt;0,$A596&gt;AJ$7)),0,MAX(0,ROUND((INDEX($E596:$G596,AJ$5)-SUMIFS(TF_Timer,TF_Tekniker,AJ$4,TF_Dato,$A596))*2,0)/2)))</f>
        <v/>
      </c>
      <c r="AK596">
        <f>IF(OR(AK$4="",$A596&gt;TODAY()),0,IF(OR(INDEX($B596:$D596,AK$5)="F",AND(AK$6&gt;0,$A596&lt;AK$6),AND(AK$7&gt;0,$A596&gt;AK$7)),0,MAX(0,ROUND((INDEX($E596:$G596,AK$5)-SUMIFS(TF_Timer,TF_Tekniker,AK$4,TF_Dato,$A596))*2,0)/2)))</f>
        <v/>
      </c>
      <c r="AL596">
        <f>IF(OR(AL$4="",$A596&gt;TODAY()),0,IF(OR(INDEX($B596:$D596,AL$5)="F",AND(AL$6&gt;0,$A596&lt;AL$6),AND(AL$7&gt;0,$A596&gt;AL$7)),0,MAX(0,ROUND((INDEX($E596:$G596,AL$5)-SUMIFS(TF_Timer,TF_Tekniker,AL$4,TF_Dato,$A596))*2,0)/2)))</f>
        <v/>
      </c>
      <c r="AM596">
        <f>IF(OR(AM$4="",$A596&gt;TODAY()),0,IF(OR(INDEX($B596:$D596,AM$5)="F",AND(AM$6&gt;0,$A596&lt;AM$6),AND(AM$7&gt;0,$A596&gt;AM$7)),0,MAX(0,ROUND((INDEX($E596:$G596,AM$5)-SUMIFS(TF_Timer,TF_Tekniker,AM$4,TF_Dato,$A596))*2,0)/2)))</f>
        <v/>
      </c>
      <c r="AN596">
        <f>IF(OR(AN$4="",$A596&gt;TODAY()),0,IF(OR(INDEX($B596:$D596,AN$5)="F",AND(AN$6&gt;0,$A596&lt;AN$6),AND(AN$7&gt;0,$A596&gt;AN$7)),0,MAX(0,ROUND((INDEX($E596:$G596,AN$5)-SUMIFS(TF_Timer,TF_Tekniker,AN$4,TF_Dato,$A596))*2,0)/2)))</f>
        <v/>
      </c>
      <c r="AO596">
        <f>IF(OR(AO$4="",$A596&gt;TODAY()),0,IF(OR(INDEX($B596:$D596,AO$5)="F",AND(AO$6&gt;0,$A596&lt;AO$6),AND(AO$7&gt;0,$A596&gt;AO$7)),0,MAX(0,ROUND((INDEX($E596:$G596,AO$5)-SUMIFS(TF_Timer,TF_Tekniker,AO$4,TF_Dato,$A596))*2,0)/2)))</f>
        <v/>
      </c>
      <c r="AP596">
        <f>IF(OR(AP$4="",$A596&gt;TODAY()),0,IF(OR(INDEX($B596:$D596,AP$5)="F",AND(AP$6&gt;0,$A596&lt;AP$6),AND(AP$7&gt;0,$A596&gt;AP$7)),0,MAX(0,ROUND((INDEX($E596:$G596,AP$5)-SUMIFS(TF_Timer,TF_Tekniker,AP$4,TF_Dato,$A596))*2,0)/2)))</f>
        <v/>
      </c>
      <c r="AQ596">
        <f>IF(OR(AQ$4="",$A596&gt;TODAY()),0,IF(OR(INDEX($B596:$D596,AQ$5)="F",AND(AQ$6&gt;0,$A596&lt;AQ$6),AND(AQ$7&gt;0,$A596&gt;AQ$7)),0,MAX(0,ROUND((INDEX($E596:$G596,AQ$5)-SUMIFS(TF_Timer,TF_Tekniker,AQ$4,TF_Dato,$A596))*2,0)/2)))</f>
        <v/>
      </c>
      <c r="AR596">
        <f>IF(OR(AR$4="",$A596&gt;TODAY()),0,IF(OR(INDEX($B596:$D596,AR$5)="F",AND(AR$6&gt;0,$A596&lt;AR$6),AND(AR$7&gt;0,$A596&gt;AR$7)),0,MAX(0,ROUND((INDEX($E596:$G596,AR$5)-SUMIFS(TF_Timer,TF_Tekniker,AR$4,TF_Dato,$A596))*2,0)/2)))</f>
        <v/>
      </c>
      <c r="AS596">
        <f>IF(OR(AS$4="",$A596&gt;TODAY()),0,IF(OR(INDEX($B596:$D596,AS$5)="F",AND(AS$6&gt;0,$A596&lt;AS$6),AND(AS$7&gt;0,$A596&gt;AS$7)),0,MAX(0,ROUND((INDEX($E596:$G596,AS$5)-SUMIFS(TF_Timer,TF_Tekniker,AS$4,TF_Dato,$A596))*2,0)/2)))</f>
        <v/>
      </c>
      <c r="AT596">
        <f>IF(OR(AT$4="",$A596&gt;TODAY()),0,IF(OR(INDEX($B596:$D596,AT$5)="F",AND(AT$6&gt;0,$A596&lt;AT$6),AND(AT$7&gt;0,$A596&gt;AT$7)),0,MAX(0,ROUND((INDEX($E596:$G596,AT$5)-SUMIFS(TF_Timer,TF_Tekniker,AT$4,TF_Dato,$A596))*2,0)/2)))</f>
        <v/>
      </c>
      <c r="AU596">
        <f>IF(OR(AU$4="",$A596&gt;TODAY()),0,IF(OR(INDEX($B596:$D596,AU$5)="F",AND(AU$6&gt;0,$A596&lt;AU$6),AND(AU$7&gt;0,$A596&gt;AU$7)),0,MAX(0,ROUND((INDEX($E596:$G596,AU$5)-SUMIFS(TF_Timer,TF_Tekniker,AU$4,TF_Dato,$A596))*2,0)/2)))</f>
        <v/>
      </c>
      <c r="AV596">
        <f>IF(OR(AV$4="",$A596&gt;TODAY()),0,IF(OR(INDEX($B596:$D596,AV$5)="F",AND(AV$6&gt;0,$A596&lt;AV$6),AND(AV$7&gt;0,$A596&gt;AV$7)),0,MAX(0,ROUND((INDEX($E596:$G596,AV$5)-SUMIFS(TF_Timer,TF_Tekniker,AV$4,TF_Dato,$A596))*2,0)/2)))</f>
        <v/>
      </c>
      <c r="AW596">
        <f>IF(OR(AW$4="",$A596&gt;TODAY()),0,IF(OR(INDEX($B596:$D596,AW$5)="F",AND(AW$6&gt;0,$A596&lt;AW$6),AND(AW$7&gt;0,$A596&gt;AW$7)),0,MAX(0,ROUND((INDEX($E596:$G596,AW$5)-SUMIFS(TF_Timer,TF_Tekniker,AW$4,TF_Dato,$A596))*2,0)/2)))</f>
        <v/>
      </c>
      <c r="AX596">
        <f>IF(OR(AX$4="",$A596&gt;TODAY()),0,IF(OR(INDEX($B596:$D596,AX$5)="F",AND(AX$6&gt;0,$A596&lt;AX$6),AND(AX$7&gt;0,$A596&gt;AX$7)),0,MAX(0,ROUND((INDEX($E596:$G596,AX$5)-SUMIFS(TF_Timer,TF_Tekniker,AX$4,TF_Dato,$A596))*2,0)/2)))</f>
        <v/>
      </c>
      <c r="AY596">
        <f>IF(OR(AY$4="",$A596&gt;TODAY()),0,IF(OR(INDEX($B596:$D596,AY$5)="F",AND(AY$6&gt;0,$A596&lt;AY$6),AND(AY$7&gt;0,$A596&gt;AY$7)),0,MAX(0,ROUND((INDEX($E596:$G596,AY$5)-SUMIFS(TF_Timer,TF_Tekniker,AY$4,TF_Dato,$A596))*2,0)/2)))</f>
        <v/>
      </c>
      <c r="AZ596">
        <f>IF(OR(AZ$4="",$A596&gt;TODAY()),0,IF(OR(INDEX($B596:$D596,AZ$5)="F",AND(AZ$6&gt;0,$A596&lt;AZ$6),AND(AZ$7&gt;0,$A596&gt;AZ$7)),0,MAX(0,ROUND((INDEX($E596:$G596,AZ$5)-SUMIFS(TF_Timer,TF_Tekniker,AZ$4,TF_Dato,$A596))*2,0)/2)))</f>
        <v/>
      </c>
      <c r="BA596">
        <f>IF(OR(BA$4="",$A596&gt;TODAY()),0,IF(OR(INDEX($B596:$D596,BA$5)="F",AND(BA$6&gt;0,$A596&lt;BA$6),AND(BA$7&gt;0,$A596&gt;BA$7)),0,MAX(0,ROUND((INDEX($E596:$G596,BA$5)-SUMIFS(TF_Timer,TF_Tekniker,BA$4,TF_Dato,$A596))*2,0)/2)))</f>
        <v/>
      </c>
      <c r="BB596">
        <f>IF(OR(BB$4="",$A596&gt;TODAY()),0,IF(OR(INDEX($B596:$D596,BB$5)="F",AND(BB$6&gt;0,$A596&lt;BB$6),AND(BB$7&gt;0,$A596&gt;BB$7)),0,MAX(0,ROUND((INDEX($E596:$G596,BB$5)-SUMIFS(TF_Timer,TF_Tekniker,BB$4,TF_Dato,$A596))*2,0)/2)))</f>
        <v/>
      </c>
      <c r="BC596">
        <f>IF(OR(BC$4="",$A596&gt;TODAY()),0,IF(OR(INDEX($B596:$D596,BC$5)="F",AND(BC$6&gt;0,$A596&lt;BC$6),AND(BC$7&gt;0,$A596&gt;BC$7)),0,MAX(0,ROUND((INDEX($E596:$G596,BC$5)-SUMIFS(TF_Timer,TF_Tekniker,BC$4,TF_Dato,$A596))*2,0)/2)))</f>
        <v/>
      </c>
      <c r="BD596">
        <f>IF(OR(BD$4="",$A596&gt;TODAY()),0,IF(OR(INDEX($B596:$D596,BD$5)="F",AND(BD$6&gt;0,$A596&lt;BD$6),AND(BD$7&gt;0,$A596&gt;BD$7)),0,MAX(0,ROUND((INDEX($E596:$G596,BD$5)-SUMIFS(TF_Timer,TF_Tekniker,BD$4,TF_Dato,$A596))*2,0)/2)))</f>
        <v/>
      </c>
      <c r="BE596">
        <f>IF(OR(BE$4="",$A596&gt;TODAY()),0,IF(OR(INDEX($B596:$D596,BE$5)="F",AND(BE$6&gt;0,$A596&lt;BE$6),AND(BE$7&gt;0,$A596&gt;BE$7)),0,MAX(0,ROUND((INDEX($E596:$G596,BE$5)-SUMIFS(TF_Timer,TF_Tekniker,BE$4,TF_Dato,$A596))*2,0)/2)))</f>
        <v/>
      </c>
      <c r="BF596">
        <f>IF(OR(BF$4="",$A596&gt;TODAY()),0,IF(OR(INDEX($B596:$D596,BF$5)="F",AND(BF$6&gt;0,$A596&lt;BF$6),AND(BF$7&gt;0,$A596&gt;BF$7)),0,MAX(0,ROUND((INDEX($E596:$G596,BF$5)-SUMIFS(TF_Timer,TF_Tekniker,BF$4,TF_Dato,$A596))*2,0)/2)))</f>
        <v/>
      </c>
      <c r="BG596">
        <f>IF(OR(BG$4="",$A596&gt;TODAY()),0,IF(OR(INDEX($B596:$D596,BG$5)="F",AND(BG$6&gt;0,$A596&lt;BG$6),AND(BG$7&gt;0,$A596&gt;BG$7)),0,MAX(0,ROUND((INDEX($E596:$G596,BG$5)-SUMIFS(TF_Timer,TF_Tekniker,BG$4,TF_Dato,$A596))*2,0)/2)))</f>
        <v/>
      </c>
      <c r="BH596">
        <f>IF(OR(BH$4="",$A596&gt;TODAY()),0,IF(OR(INDEX($B596:$D596,BH$5)="F",AND(BH$6&gt;0,$A596&lt;BH$6),AND(BH$7&gt;0,$A596&gt;BH$7)),0,MAX(0,ROUND((INDEX($E596:$G596,BH$5)-SUMIFS(TF_Timer,TF_Tekniker,BH$4,TF_Dato,$A596))*2,0)/2)))</f>
        <v/>
      </c>
      <c r="BI596">
        <f>IF(OR(BI$4="",$A596&gt;TODAY()),0,IF(OR(INDEX($B596:$D596,BI$5)="F",AND(BI$6&gt;0,$A596&lt;BI$6),AND(BI$7&gt;0,$A596&gt;BI$7)),0,MAX(0,ROUND((INDEX($E596:$G596,BI$5)-SUMIFS(TF_Timer,TF_Tekniker,BI$4,TF_Dato,$A596))*2,0)/2)))</f>
        <v/>
      </c>
    </row>
    <row r="597">
      <c r="A597" s="64">
        <f>A596+1</f>
        <v/>
      </c>
      <c r="B597">
        <f>IF(MOD($A597-INDEX(SkiftStart,1),Syklus)&lt;DagK,"K",IF(MOD($A597-INDEX(SkiftStart,1),Syklus)&lt;DagK+DagH,"H",IF(MOD($A597-INDEX(SkiftStart,1),Syklus)&lt;DagK+DagH+DagD,"D","F")))</f>
        <v/>
      </c>
      <c r="C597">
        <f>IF(MOD($A597-INDEX(SkiftStart,2),Syklus)&lt;DagK,"K",IF(MOD($A597-INDEX(SkiftStart,2),Syklus)&lt;DagK+DagH,"H",IF(MOD($A597-INDEX(SkiftStart,2),Syklus)&lt;DagK+DagH+DagD,"D","F")))</f>
        <v/>
      </c>
      <c r="D597">
        <f>IF(MOD($A597-INDEX(SkiftStart,3),Syklus)&lt;DagK,"K",IF(MOD($A597-INDEX(SkiftStart,3),Syklus)&lt;DagK+DagH,"H",IF(MOD($A597-INDEX(SkiftStart,3),Syklus)&lt;DagK+DagH+DagD,"D","F")))</f>
        <v/>
      </c>
      <c r="E597">
        <f>IF(B597="F",0,IF(WEEKDAY($A597,2)=5,INDEX(TimerFr,MATCH(B597,FaseKode,0)),INDEX(TimerMT,MATCH(B597,FaseKode,0))))</f>
        <v/>
      </c>
      <c r="F597">
        <f>IF(C597="F",0,IF(WEEKDAY($A597,2)=5,INDEX(TimerFr,MATCH(C597,FaseKode,0)),INDEX(TimerMT,MATCH(C597,FaseKode,0))))</f>
        <v/>
      </c>
      <c r="G597">
        <f>IF(D597="F",0,IF(WEEKDAY($A597,2)=5,INDEX(TimerFr,MATCH(D597,FaseKode,0)),INDEX(TimerMT,MATCH(D597,FaseKode,0))))</f>
        <v/>
      </c>
      <c r="H597">
        <f>IF(OR(H$4="",$A597&gt;TODAY()),0,IF(OR(INDEX($B597:$D597,H$5)="F",AND(H$6&gt;0,$A597&lt;H$6),AND(H$7&gt;0,$A597&gt;H$7)),0,MAX(0,ROUND((INDEX($E597:$G597,H$5)-SUMIFS(TF_Timer,TF_Tekniker,H$4,TF_Dato,$A597))*2,0)/2)))</f>
        <v/>
      </c>
      <c r="I597">
        <f>IF(OR(I$4="",$A597&gt;TODAY()),0,IF(OR(INDEX($B597:$D597,I$5)="F",AND(I$6&gt;0,$A597&lt;I$6),AND(I$7&gt;0,$A597&gt;I$7)),0,MAX(0,ROUND((INDEX($E597:$G597,I$5)-SUMIFS(TF_Timer,TF_Tekniker,I$4,TF_Dato,$A597))*2,0)/2)))</f>
        <v/>
      </c>
      <c r="J597">
        <f>IF(OR(J$4="",$A597&gt;TODAY()),0,IF(OR(INDEX($B597:$D597,J$5)="F",AND(J$6&gt;0,$A597&lt;J$6),AND(J$7&gt;0,$A597&gt;J$7)),0,MAX(0,ROUND((INDEX($E597:$G597,J$5)-SUMIFS(TF_Timer,TF_Tekniker,J$4,TF_Dato,$A597))*2,0)/2)))</f>
        <v/>
      </c>
      <c r="K597">
        <f>IF(OR(K$4="",$A597&gt;TODAY()),0,IF(OR(INDEX($B597:$D597,K$5)="F",AND(K$6&gt;0,$A597&lt;K$6),AND(K$7&gt;0,$A597&gt;K$7)),0,MAX(0,ROUND((INDEX($E597:$G597,K$5)-SUMIFS(TF_Timer,TF_Tekniker,K$4,TF_Dato,$A597))*2,0)/2)))</f>
        <v/>
      </c>
      <c r="L597">
        <f>IF(OR(L$4="",$A597&gt;TODAY()),0,IF(OR(INDEX($B597:$D597,L$5)="F",AND(L$6&gt;0,$A597&lt;L$6),AND(L$7&gt;0,$A597&gt;L$7)),0,MAX(0,ROUND((INDEX($E597:$G597,L$5)-SUMIFS(TF_Timer,TF_Tekniker,L$4,TF_Dato,$A597))*2,0)/2)))</f>
        <v/>
      </c>
      <c r="M597">
        <f>IF(OR(M$4="",$A597&gt;TODAY()),0,IF(OR(INDEX($B597:$D597,M$5)="F",AND(M$6&gt;0,$A597&lt;M$6),AND(M$7&gt;0,$A597&gt;M$7)),0,MAX(0,ROUND((INDEX($E597:$G597,M$5)-SUMIFS(TF_Timer,TF_Tekniker,M$4,TF_Dato,$A597))*2,0)/2)))</f>
        <v/>
      </c>
      <c r="N597">
        <f>IF(OR(N$4="",$A597&gt;TODAY()),0,IF(OR(INDEX($B597:$D597,N$5)="F",AND(N$6&gt;0,$A597&lt;N$6),AND(N$7&gt;0,$A597&gt;N$7)),0,MAX(0,ROUND((INDEX($E597:$G597,N$5)-SUMIFS(TF_Timer,TF_Tekniker,N$4,TF_Dato,$A597))*2,0)/2)))</f>
        <v/>
      </c>
      <c r="O597">
        <f>IF(OR(O$4="",$A597&gt;TODAY()),0,IF(OR(INDEX($B597:$D597,O$5)="F",AND(O$6&gt;0,$A597&lt;O$6),AND(O$7&gt;0,$A597&gt;O$7)),0,MAX(0,ROUND((INDEX($E597:$G597,O$5)-SUMIFS(TF_Timer,TF_Tekniker,O$4,TF_Dato,$A597))*2,0)/2)))</f>
        <v/>
      </c>
      <c r="P597">
        <f>IF(OR(P$4="",$A597&gt;TODAY()),0,IF(OR(INDEX($B597:$D597,P$5)="F",AND(P$6&gt;0,$A597&lt;P$6),AND(P$7&gt;0,$A597&gt;P$7)),0,MAX(0,ROUND((INDEX($E597:$G597,P$5)-SUMIFS(TF_Timer,TF_Tekniker,P$4,TF_Dato,$A597))*2,0)/2)))</f>
        <v/>
      </c>
      <c r="Q597">
        <f>IF(OR(Q$4="",$A597&gt;TODAY()),0,IF(OR(INDEX($B597:$D597,Q$5)="F",AND(Q$6&gt;0,$A597&lt;Q$6),AND(Q$7&gt;0,$A597&gt;Q$7)),0,MAX(0,ROUND((INDEX($E597:$G597,Q$5)-SUMIFS(TF_Timer,TF_Tekniker,Q$4,TF_Dato,$A597))*2,0)/2)))</f>
        <v/>
      </c>
      <c r="R597">
        <f>IF(OR(R$4="",$A597&gt;TODAY()),0,IF(OR(INDEX($B597:$D597,R$5)="F",AND(R$6&gt;0,$A597&lt;R$6),AND(R$7&gt;0,$A597&gt;R$7)),0,MAX(0,ROUND((INDEX($E597:$G597,R$5)-SUMIFS(TF_Timer,TF_Tekniker,R$4,TF_Dato,$A597))*2,0)/2)))</f>
        <v/>
      </c>
      <c r="S597">
        <f>IF(OR(S$4="",$A597&gt;TODAY()),0,IF(OR(INDEX($B597:$D597,S$5)="F",AND(S$6&gt;0,$A597&lt;S$6),AND(S$7&gt;0,$A597&gt;S$7)),0,MAX(0,ROUND((INDEX($E597:$G597,S$5)-SUMIFS(TF_Timer,TF_Tekniker,S$4,TF_Dato,$A597))*2,0)/2)))</f>
        <v/>
      </c>
      <c r="T597">
        <f>IF(OR(T$4="",$A597&gt;TODAY()),0,IF(OR(INDEX($B597:$D597,T$5)="F",AND(T$6&gt;0,$A597&lt;T$6),AND(T$7&gt;0,$A597&gt;T$7)),0,MAX(0,ROUND((INDEX($E597:$G597,T$5)-SUMIFS(TF_Timer,TF_Tekniker,T$4,TF_Dato,$A597))*2,0)/2)))</f>
        <v/>
      </c>
      <c r="U597">
        <f>IF(OR(U$4="",$A597&gt;TODAY()),0,IF(OR(INDEX($B597:$D597,U$5)="F",AND(U$6&gt;0,$A597&lt;U$6),AND(U$7&gt;0,$A597&gt;U$7)),0,MAX(0,ROUND((INDEX($E597:$G597,U$5)-SUMIFS(TF_Timer,TF_Tekniker,U$4,TF_Dato,$A597))*2,0)/2)))</f>
        <v/>
      </c>
      <c r="V597">
        <f>IF(OR(V$4="",$A597&gt;TODAY()),0,IF(OR(INDEX($B597:$D597,V$5)="F",AND(V$6&gt;0,$A597&lt;V$6),AND(V$7&gt;0,$A597&gt;V$7)),0,MAX(0,ROUND((INDEX($E597:$G597,V$5)-SUMIFS(TF_Timer,TF_Tekniker,V$4,TF_Dato,$A597))*2,0)/2)))</f>
        <v/>
      </c>
      <c r="W597">
        <f>IF(OR(W$4="",$A597&gt;TODAY()),0,IF(OR(INDEX($B597:$D597,W$5)="F",AND(W$6&gt;0,$A597&lt;W$6),AND(W$7&gt;0,$A597&gt;W$7)),0,MAX(0,ROUND((INDEX($E597:$G597,W$5)-SUMIFS(TF_Timer,TF_Tekniker,W$4,TF_Dato,$A597))*2,0)/2)))</f>
        <v/>
      </c>
      <c r="X597">
        <f>IF(OR(X$4="",$A597&gt;TODAY()),0,IF(OR(INDEX($B597:$D597,X$5)="F",AND(X$6&gt;0,$A597&lt;X$6),AND(X$7&gt;0,$A597&gt;X$7)),0,MAX(0,ROUND((INDEX($E597:$G597,X$5)-SUMIFS(TF_Timer,TF_Tekniker,X$4,TF_Dato,$A597))*2,0)/2)))</f>
        <v/>
      </c>
      <c r="Y597">
        <f>IF(OR(Y$4="",$A597&gt;TODAY()),0,IF(OR(INDEX($B597:$D597,Y$5)="F",AND(Y$6&gt;0,$A597&lt;Y$6),AND(Y$7&gt;0,$A597&gt;Y$7)),0,MAX(0,ROUND((INDEX($E597:$G597,Y$5)-SUMIFS(TF_Timer,TF_Tekniker,Y$4,TF_Dato,$A597))*2,0)/2)))</f>
        <v/>
      </c>
      <c r="Z597">
        <f>IF(OR(Z$4="",$A597&gt;TODAY()),0,IF(OR(INDEX($B597:$D597,Z$5)="F",AND(Z$6&gt;0,$A597&lt;Z$6),AND(Z$7&gt;0,$A597&gt;Z$7)),0,MAX(0,ROUND((INDEX($E597:$G597,Z$5)-SUMIFS(TF_Timer,TF_Tekniker,Z$4,TF_Dato,$A597))*2,0)/2)))</f>
        <v/>
      </c>
      <c r="AA597">
        <f>IF(OR(AA$4="",$A597&gt;TODAY()),0,IF(OR(INDEX($B597:$D597,AA$5)="F",AND(AA$6&gt;0,$A597&lt;AA$6),AND(AA$7&gt;0,$A597&gt;AA$7)),0,MAX(0,ROUND((INDEX($E597:$G597,AA$5)-SUMIFS(TF_Timer,TF_Tekniker,AA$4,TF_Dato,$A597))*2,0)/2)))</f>
        <v/>
      </c>
      <c r="AB597">
        <f>IF(OR(AB$4="",$A597&gt;TODAY()),0,IF(OR(INDEX($B597:$D597,AB$5)="F",AND(AB$6&gt;0,$A597&lt;AB$6),AND(AB$7&gt;0,$A597&gt;AB$7)),0,MAX(0,ROUND((INDEX($E597:$G597,AB$5)-SUMIFS(TF_Timer,TF_Tekniker,AB$4,TF_Dato,$A597))*2,0)/2)))</f>
        <v/>
      </c>
      <c r="AC597">
        <f>IF(OR(AC$4="",$A597&gt;TODAY()),0,IF(OR(INDEX($B597:$D597,AC$5)="F",AND(AC$6&gt;0,$A597&lt;AC$6),AND(AC$7&gt;0,$A597&gt;AC$7)),0,MAX(0,ROUND((INDEX($E597:$G597,AC$5)-SUMIFS(TF_Timer,TF_Tekniker,AC$4,TF_Dato,$A597))*2,0)/2)))</f>
        <v/>
      </c>
      <c r="AD597">
        <f>IF(OR(AD$4="",$A597&gt;TODAY()),0,IF(OR(INDEX($B597:$D597,AD$5)="F",AND(AD$6&gt;0,$A597&lt;AD$6),AND(AD$7&gt;0,$A597&gt;AD$7)),0,MAX(0,ROUND((INDEX($E597:$G597,AD$5)-SUMIFS(TF_Timer,TF_Tekniker,AD$4,TF_Dato,$A597))*2,0)/2)))</f>
        <v/>
      </c>
      <c r="AE597">
        <f>IF(OR(AE$4="",$A597&gt;TODAY()),0,IF(OR(INDEX($B597:$D597,AE$5)="F",AND(AE$6&gt;0,$A597&lt;AE$6),AND(AE$7&gt;0,$A597&gt;AE$7)),0,MAX(0,ROUND((INDEX($E597:$G597,AE$5)-SUMIFS(TF_Timer,TF_Tekniker,AE$4,TF_Dato,$A597))*2,0)/2)))</f>
        <v/>
      </c>
      <c r="AF597">
        <f>IF(OR(AF$4="",$A597&gt;TODAY()),0,IF(OR(INDEX($B597:$D597,AF$5)="F",AND(AF$6&gt;0,$A597&lt;AF$6),AND(AF$7&gt;0,$A597&gt;AF$7)),0,MAX(0,ROUND((INDEX($E597:$G597,AF$5)-SUMIFS(TF_Timer,TF_Tekniker,AF$4,TF_Dato,$A597))*2,0)/2)))</f>
        <v/>
      </c>
      <c r="AG597">
        <f>IF(OR(AG$4="",$A597&gt;TODAY()),0,IF(OR(INDEX($B597:$D597,AG$5)="F",AND(AG$6&gt;0,$A597&lt;AG$6),AND(AG$7&gt;0,$A597&gt;AG$7)),0,MAX(0,ROUND((INDEX($E597:$G597,AG$5)-SUMIFS(TF_Timer,TF_Tekniker,AG$4,TF_Dato,$A597))*2,0)/2)))</f>
        <v/>
      </c>
      <c r="AH597">
        <f>IF(OR(AH$4="",$A597&gt;TODAY()),0,IF(OR(INDEX($B597:$D597,AH$5)="F",AND(AH$6&gt;0,$A597&lt;AH$6),AND(AH$7&gt;0,$A597&gt;AH$7)),0,MAX(0,ROUND((INDEX($E597:$G597,AH$5)-SUMIFS(TF_Timer,TF_Tekniker,AH$4,TF_Dato,$A597))*2,0)/2)))</f>
        <v/>
      </c>
      <c r="AI597">
        <f>IF(OR(AI$4="",$A597&gt;TODAY()),0,IF(OR(INDEX($B597:$D597,AI$5)="F",AND(AI$6&gt;0,$A597&lt;AI$6),AND(AI$7&gt;0,$A597&gt;AI$7)),0,MAX(0,ROUND((INDEX($E597:$G597,AI$5)-SUMIFS(TF_Timer,TF_Tekniker,AI$4,TF_Dato,$A597))*2,0)/2)))</f>
        <v/>
      </c>
      <c r="AJ597">
        <f>IF(OR(AJ$4="",$A597&gt;TODAY()),0,IF(OR(INDEX($B597:$D597,AJ$5)="F",AND(AJ$6&gt;0,$A597&lt;AJ$6),AND(AJ$7&gt;0,$A597&gt;AJ$7)),0,MAX(0,ROUND((INDEX($E597:$G597,AJ$5)-SUMIFS(TF_Timer,TF_Tekniker,AJ$4,TF_Dato,$A597))*2,0)/2)))</f>
        <v/>
      </c>
      <c r="AK597">
        <f>IF(OR(AK$4="",$A597&gt;TODAY()),0,IF(OR(INDEX($B597:$D597,AK$5)="F",AND(AK$6&gt;0,$A597&lt;AK$6),AND(AK$7&gt;0,$A597&gt;AK$7)),0,MAX(0,ROUND((INDEX($E597:$G597,AK$5)-SUMIFS(TF_Timer,TF_Tekniker,AK$4,TF_Dato,$A597))*2,0)/2)))</f>
        <v/>
      </c>
      <c r="AL597">
        <f>IF(OR(AL$4="",$A597&gt;TODAY()),0,IF(OR(INDEX($B597:$D597,AL$5)="F",AND(AL$6&gt;0,$A597&lt;AL$6),AND(AL$7&gt;0,$A597&gt;AL$7)),0,MAX(0,ROUND((INDEX($E597:$G597,AL$5)-SUMIFS(TF_Timer,TF_Tekniker,AL$4,TF_Dato,$A597))*2,0)/2)))</f>
        <v/>
      </c>
      <c r="AM597">
        <f>IF(OR(AM$4="",$A597&gt;TODAY()),0,IF(OR(INDEX($B597:$D597,AM$5)="F",AND(AM$6&gt;0,$A597&lt;AM$6),AND(AM$7&gt;0,$A597&gt;AM$7)),0,MAX(0,ROUND((INDEX($E597:$G597,AM$5)-SUMIFS(TF_Timer,TF_Tekniker,AM$4,TF_Dato,$A597))*2,0)/2)))</f>
        <v/>
      </c>
      <c r="AN597">
        <f>IF(OR(AN$4="",$A597&gt;TODAY()),0,IF(OR(INDEX($B597:$D597,AN$5)="F",AND(AN$6&gt;0,$A597&lt;AN$6),AND(AN$7&gt;0,$A597&gt;AN$7)),0,MAX(0,ROUND((INDEX($E597:$G597,AN$5)-SUMIFS(TF_Timer,TF_Tekniker,AN$4,TF_Dato,$A597))*2,0)/2)))</f>
        <v/>
      </c>
      <c r="AO597">
        <f>IF(OR(AO$4="",$A597&gt;TODAY()),0,IF(OR(INDEX($B597:$D597,AO$5)="F",AND(AO$6&gt;0,$A597&lt;AO$6),AND(AO$7&gt;0,$A597&gt;AO$7)),0,MAX(0,ROUND((INDEX($E597:$G597,AO$5)-SUMIFS(TF_Timer,TF_Tekniker,AO$4,TF_Dato,$A597))*2,0)/2)))</f>
        <v/>
      </c>
      <c r="AP597">
        <f>IF(OR(AP$4="",$A597&gt;TODAY()),0,IF(OR(INDEX($B597:$D597,AP$5)="F",AND(AP$6&gt;0,$A597&lt;AP$6),AND(AP$7&gt;0,$A597&gt;AP$7)),0,MAX(0,ROUND((INDEX($E597:$G597,AP$5)-SUMIFS(TF_Timer,TF_Tekniker,AP$4,TF_Dato,$A597))*2,0)/2)))</f>
        <v/>
      </c>
      <c r="AQ597">
        <f>IF(OR(AQ$4="",$A597&gt;TODAY()),0,IF(OR(INDEX($B597:$D597,AQ$5)="F",AND(AQ$6&gt;0,$A597&lt;AQ$6),AND(AQ$7&gt;0,$A597&gt;AQ$7)),0,MAX(0,ROUND((INDEX($E597:$G597,AQ$5)-SUMIFS(TF_Timer,TF_Tekniker,AQ$4,TF_Dato,$A597))*2,0)/2)))</f>
        <v/>
      </c>
      <c r="AR597">
        <f>IF(OR(AR$4="",$A597&gt;TODAY()),0,IF(OR(INDEX($B597:$D597,AR$5)="F",AND(AR$6&gt;0,$A597&lt;AR$6),AND(AR$7&gt;0,$A597&gt;AR$7)),0,MAX(0,ROUND((INDEX($E597:$G597,AR$5)-SUMIFS(TF_Timer,TF_Tekniker,AR$4,TF_Dato,$A597))*2,0)/2)))</f>
        <v/>
      </c>
      <c r="AS597">
        <f>IF(OR(AS$4="",$A597&gt;TODAY()),0,IF(OR(INDEX($B597:$D597,AS$5)="F",AND(AS$6&gt;0,$A597&lt;AS$6),AND(AS$7&gt;0,$A597&gt;AS$7)),0,MAX(0,ROUND((INDEX($E597:$G597,AS$5)-SUMIFS(TF_Timer,TF_Tekniker,AS$4,TF_Dato,$A597))*2,0)/2)))</f>
        <v/>
      </c>
      <c r="AT597">
        <f>IF(OR(AT$4="",$A597&gt;TODAY()),0,IF(OR(INDEX($B597:$D597,AT$5)="F",AND(AT$6&gt;0,$A597&lt;AT$6),AND(AT$7&gt;0,$A597&gt;AT$7)),0,MAX(0,ROUND((INDEX($E597:$G597,AT$5)-SUMIFS(TF_Timer,TF_Tekniker,AT$4,TF_Dato,$A597))*2,0)/2)))</f>
        <v/>
      </c>
      <c r="AU597">
        <f>IF(OR(AU$4="",$A597&gt;TODAY()),0,IF(OR(INDEX($B597:$D597,AU$5)="F",AND(AU$6&gt;0,$A597&lt;AU$6),AND(AU$7&gt;0,$A597&gt;AU$7)),0,MAX(0,ROUND((INDEX($E597:$G597,AU$5)-SUMIFS(TF_Timer,TF_Tekniker,AU$4,TF_Dato,$A597))*2,0)/2)))</f>
        <v/>
      </c>
      <c r="AV597">
        <f>IF(OR(AV$4="",$A597&gt;TODAY()),0,IF(OR(INDEX($B597:$D597,AV$5)="F",AND(AV$6&gt;0,$A597&lt;AV$6),AND(AV$7&gt;0,$A597&gt;AV$7)),0,MAX(0,ROUND((INDEX($E597:$G597,AV$5)-SUMIFS(TF_Timer,TF_Tekniker,AV$4,TF_Dato,$A597))*2,0)/2)))</f>
        <v/>
      </c>
      <c r="AW597">
        <f>IF(OR(AW$4="",$A597&gt;TODAY()),0,IF(OR(INDEX($B597:$D597,AW$5)="F",AND(AW$6&gt;0,$A597&lt;AW$6),AND(AW$7&gt;0,$A597&gt;AW$7)),0,MAX(0,ROUND((INDEX($E597:$G597,AW$5)-SUMIFS(TF_Timer,TF_Tekniker,AW$4,TF_Dato,$A597))*2,0)/2)))</f>
        <v/>
      </c>
      <c r="AX597">
        <f>IF(OR(AX$4="",$A597&gt;TODAY()),0,IF(OR(INDEX($B597:$D597,AX$5)="F",AND(AX$6&gt;0,$A597&lt;AX$6),AND(AX$7&gt;0,$A597&gt;AX$7)),0,MAX(0,ROUND((INDEX($E597:$G597,AX$5)-SUMIFS(TF_Timer,TF_Tekniker,AX$4,TF_Dato,$A597))*2,0)/2)))</f>
        <v/>
      </c>
      <c r="AY597">
        <f>IF(OR(AY$4="",$A597&gt;TODAY()),0,IF(OR(INDEX($B597:$D597,AY$5)="F",AND(AY$6&gt;0,$A597&lt;AY$6),AND(AY$7&gt;0,$A597&gt;AY$7)),0,MAX(0,ROUND((INDEX($E597:$G597,AY$5)-SUMIFS(TF_Timer,TF_Tekniker,AY$4,TF_Dato,$A597))*2,0)/2)))</f>
        <v/>
      </c>
      <c r="AZ597">
        <f>IF(OR(AZ$4="",$A597&gt;TODAY()),0,IF(OR(INDEX($B597:$D597,AZ$5)="F",AND(AZ$6&gt;0,$A597&lt;AZ$6),AND(AZ$7&gt;0,$A597&gt;AZ$7)),0,MAX(0,ROUND((INDEX($E597:$G597,AZ$5)-SUMIFS(TF_Timer,TF_Tekniker,AZ$4,TF_Dato,$A597))*2,0)/2)))</f>
        <v/>
      </c>
      <c r="BA597">
        <f>IF(OR(BA$4="",$A597&gt;TODAY()),0,IF(OR(INDEX($B597:$D597,BA$5)="F",AND(BA$6&gt;0,$A597&lt;BA$6),AND(BA$7&gt;0,$A597&gt;BA$7)),0,MAX(0,ROUND((INDEX($E597:$G597,BA$5)-SUMIFS(TF_Timer,TF_Tekniker,BA$4,TF_Dato,$A597))*2,0)/2)))</f>
        <v/>
      </c>
      <c r="BB597">
        <f>IF(OR(BB$4="",$A597&gt;TODAY()),0,IF(OR(INDEX($B597:$D597,BB$5)="F",AND(BB$6&gt;0,$A597&lt;BB$6),AND(BB$7&gt;0,$A597&gt;BB$7)),0,MAX(0,ROUND((INDEX($E597:$G597,BB$5)-SUMIFS(TF_Timer,TF_Tekniker,BB$4,TF_Dato,$A597))*2,0)/2)))</f>
        <v/>
      </c>
      <c r="BC597">
        <f>IF(OR(BC$4="",$A597&gt;TODAY()),0,IF(OR(INDEX($B597:$D597,BC$5)="F",AND(BC$6&gt;0,$A597&lt;BC$6),AND(BC$7&gt;0,$A597&gt;BC$7)),0,MAX(0,ROUND((INDEX($E597:$G597,BC$5)-SUMIFS(TF_Timer,TF_Tekniker,BC$4,TF_Dato,$A597))*2,0)/2)))</f>
        <v/>
      </c>
      <c r="BD597">
        <f>IF(OR(BD$4="",$A597&gt;TODAY()),0,IF(OR(INDEX($B597:$D597,BD$5)="F",AND(BD$6&gt;0,$A597&lt;BD$6),AND(BD$7&gt;0,$A597&gt;BD$7)),0,MAX(0,ROUND((INDEX($E597:$G597,BD$5)-SUMIFS(TF_Timer,TF_Tekniker,BD$4,TF_Dato,$A597))*2,0)/2)))</f>
        <v/>
      </c>
      <c r="BE597">
        <f>IF(OR(BE$4="",$A597&gt;TODAY()),0,IF(OR(INDEX($B597:$D597,BE$5)="F",AND(BE$6&gt;0,$A597&lt;BE$6),AND(BE$7&gt;0,$A597&gt;BE$7)),0,MAX(0,ROUND((INDEX($E597:$G597,BE$5)-SUMIFS(TF_Timer,TF_Tekniker,BE$4,TF_Dato,$A597))*2,0)/2)))</f>
        <v/>
      </c>
      <c r="BF597">
        <f>IF(OR(BF$4="",$A597&gt;TODAY()),0,IF(OR(INDEX($B597:$D597,BF$5)="F",AND(BF$6&gt;0,$A597&lt;BF$6),AND(BF$7&gt;0,$A597&gt;BF$7)),0,MAX(0,ROUND((INDEX($E597:$G597,BF$5)-SUMIFS(TF_Timer,TF_Tekniker,BF$4,TF_Dato,$A597))*2,0)/2)))</f>
        <v/>
      </c>
      <c r="BG597">
        <f>IF(OR(BG$4="",$A597&gt;TODAY()),0,IF(OR(INDEX($B597:$D597,BG$5)="F",AND(BG$6&gt;0,$A597&lt;BG$6),AND(BG$7&gt;0,$A597&gt;BG$7)),0,MAX(0,ROUND((INDEX($E597:$G597,BG$5)-SUMIFS(TF_Timer,TF_Tekniker,BG$4,TF_Dato,$A597))*2,0)/2)))</f>
        <v/>
      </c>
      <c r="BH597">
        <f>IF(OR(BH$4="",$A597&gt;TODAY()),0,IF(OR(INDEX($B597:$D597,BH$5)="F",AND(BH$6&gt;0,$A597&lt;BH$6),AND(BH$7&gt;0,$A597&gt;BH$7)),0,MAX(0,ROUND((INDEX($E597:$G597,BH$5)-SUMIFS(TF_Timer,TF_Tekniker,BH$4,TF_Dato,$A597))*2,0)/2)))</f>
        <v/>
      </c>
      <c r="BI597">
        <f>IF(OR(BI$4="",$A597&gt;TODAY()),0,IF(OR(INDEX($B597:$D597,BI$5)="F",AND(BI$6&gt;0,$A597&lt;BI$6),AND(BI$7&gt;0,$A597&gt;BI$7)),0,MAX(0,ROUND((INDEX($E597:$G597,BI$5)-SUMIFS(TF_Timer,TF_Tekniker,BI$4,TF_Dato,$A597))*2,0)/2)))</f>
        <v/>
      </c>
    </row>
    <row r="598">
      <c r="A598" s="64">
        <f>A597+1</f>
        <v/>
      </c>
      <c r="B598">
        <f>IF(MOD($A598-INDEX(SkiftStart,1),Syklus)&lt;DagK,"K",IF(MOD($A598-INDEX(SkiftStart,1),Syklus)&lt;DagK+DagH,"H",IF(MOD($A598-INDEX(SkiftStart,1),Syklus)&lt;DagK+DagH+DagD,"D","F")))</f>
        <v/>
      </c>
      <c r="C598">
        <f>IF(MOD($A598-INDEX(SkiftStart,2),Syklus)&lt;DagK,"K",IF(MOD($A598-INDEX(SkiftStart,2),Syklus)&lt;DagK+DagH,"H",IF(MOD($A598-INDEX(SkiftStart,2),Syklus)&lt;DagK+DagH+DagD,"D","F")))</f>
        <v/>
      </c>
      <c r="D598">
        <f>IF(MOD($A598-INDEX(SkiftStart,3),Syklus)&lt;DagK,"K",IF(MOD($A598-INDEX(SkiftStart,3),Syklus)&lt;DagK+DagH,"H",IF(MOD($A598-INDEX(SkiftStart,3),Syklus)&lt;DagK+DagH+DagD,"D","F")))</f>
        <v/>
      </c>
      <c r="E598">
        <f>IF(B598="F",0,IF(WEEKDAY($A598,2)=5,INDEX(TimerFr,MATCH(B598,FaseKode,0)),INDEX(TimerMT,MATCH(B598,FaseKode,0))))</f>
        <v/>
      </c>
      <c r="F598">
        <f>IF(C598="F",0,IF(WEEKDAY($A598,2)=5,INDEX(TimerFr,MATCH(C598,FaseKode,0)),INDEX(TimerMT,MATCH(C598,FaseKode,0))))</f>
        <v/>
      </c>
      <c r="G598">
        <f>IF(D598="F",0,IF(WEEKDAY($A598,2)=5,INDEX(TimerFr,MATCH(D598,FaseKode,0)),INDEX(TimerMT,MATCH(D598,FaseKode,0))))</f>
        <v/>
      </c>
      <c r="H598">
        <f>IF(OR(H$4="",$A598&gt;TODAY()),0,IF(OR(INDEX($B598:$D598,H$5)="F",AND(H$6&gt;0,$A598&lt;H$6),AND(H$7&gt;0,$A598&gt;H$7)),0,MAX(0,ROUND((INDEX($E598:$G598,H$5)-SUMIFS(TF_Timer,TF_Tekniker,H$4,TF_Dato,$A598))*2,0)/2)))</f>
        <v/>
      </c>
      <c r="I598">
        <f>IF(OR(I$4="",$A598&gt;TODAY()),0,IF(OR(INDEX($B598:$D598,I$5)="F",AND(I$6&gt;0,$A598&lt;I$6),AND(I$7&gt;0,$A598&gt;I$7)),0,MAX(0,ROUND((INDEX($E598:$G598,I$5)-SUMIFS(TF_Timer,TF_Tekniker,I$4,TF_Dato,$A598))*2,0)/2)))</f>
        <v/>
      </c>
      <c r="J598">
        <f>IF(OR(J$4="",$A598&gt;TODAY()),0,IF(OR(INDEX($B598:$D598,J$5)="F",AND(J$6&gt;0,$A598&lt;J$6),AND(J$7&gt;0,$A598&gt;J$7)),0,MAX(0,ROUND((INDEX($E598:$G598,J$5)-SUMIFS(TF_Timer,TF_Tekniker,J$4,TF_Dato,$A598))*2,0)/2)))</f>
        <v/>
      </c>
      <c r="K598">
        <f>IF(OR(K$4="",$A598&gt;TODAY()),0,IF(OR(INDEX($B598:$D598,K$5)="F",AND(K$6&gt;0,$A598&lt;K$6),AND(K$7&gt;0,$A598&gt;K$7)),0,MAX(0,ROUND((INDEX($E598:$G598,K$5)-SUMIFS(TF_Timer,TF_Tekniker,K$4,TF_Dato,$A598))*2,0)/2)))</f>
        <v/>
      </c>
      <c r="L598">
        <f>IF(OR(L$4="",$A598&gt;TODAY()),0,IF(OR(INDEX($B598:$D598,L$5)="F",AND(L$6&gt;0,$A598&lt;L$6),AND(L$7&gt;0,$A598&gt;L$7)),0,MAX(0,ROUND((INDEX($E598:$G598,L$5)-SUMIFS(TF_Timer,TF_Tekniker,L$4,TF_Dato,$A598))*2,0)/2)))</f>
        <v/>
      </c>
      <c r="M598">
        <f>IF(OR(M$4="",$A598&gt;TODAY()),0,IF(OR(INDEX($B598:$D598,M$5)="F",AND(M$6&gt;0,$A598&lt;M$6),AND(M$7&gt;0,$A598&gt;M$7)),0,MAX(0,ROUND((INDEX($E598:$G598,M$5)-SUMIFS(TF_Timer,TF_Tekniker,M$4,TF_Dato,$A598))*2,0)/2)))</f>
        <v/>
      </c>
      <c r="N598">
        <f>IF(OR(N$4="",$A598&gt;TODAY()),0,IF(OR(INDEX($B598:$D598,N$5)="F",AND(N$6&gt;0,$A598&lt;N$6),AND(N$7&gt;0,$A598&gt;N$7)),0,MAX(0,ROUND((INDEX($E598:$G598,N$5)-SUMIFS(TF_Timer,TF_Tekniker,N$4,TF_Dato,$A598))*2,0)/2)))</f>
        <v/>
      </c>
      <c r="O598">
        <f>IF(OR(O$4="",$A598&gt;TODAY()),0,IF(OR(INDEX($B598:$D598,O$5)="F",AND(O$6&gt;0,$A598&lt;O$6),AND(O$7&gt;0,$A598&gt;O$7)),0,MAX(0,ROUND((INDEX($E598:$G598,O$5)-SUMIFS(TF_Timer,TF_Tekniker,O$4,TF_Dato,$A598))*2,0)/2)))</f>
        <v/>
      </c>
      <c r="P598">
        <f>IF(OR(P$4="",$A598&gt;TODAY()),0,IF(OR(INDEX($B598:$D598,P$5)="F",AND(P$6&gt;0,$A598&lt;P$6),AND(P$7&gt;0,$A598&gt;P$7)),0,MAX(0,ROUND((INDEX($E598:$G598,P$5)-SUMIFS(TF_Timer,TF_Tekniker,P$4,TF_Dato,$A598))*2,0)/2)))</f>
        <v/>
      </c>
      <c r="Q598">
        <f>IF(OR(Q$4="",$A598&gt;TODAY()),0,IF(OR(INDEX($B598:$D598,Q$5)="F",AND(Q$6&gt;0,$A598&lt;Q$6),AND(Q$7&gt;0,$A598&gt;Q$7)),0,MAX(0,ROUND((INDEX($E598:$G598,Q$5)-SUMIFS(TF_Timer,TF_Tekniker,Q$4,TF_Dato,$A598))*2,0)/2)))</f>
        <v/>
      </c>
      <c r="R598">
        <f>IF(OR(R$4="",$A598&gt;TODAY()),0,IF(OR(INDEX($B598:$D598,R$5)="F",AND(R$6&gt;0,$A598&lt;R$6),AND(R$7&gt;0,$A598&gt;R$7)),0,MAX(0,ROUND((INDEX($E598:$G598,R$5)-SUMIFS(TF_Timer,TF_Tekniker,R$4,TF_Dato,$A598))*2,0)/2)))</f>
        <v/>
      </c>
      <c r="S598">
        <f>IF(OR(S$4="",$A598&gt;TODAY()),0,IF(OR(INDEX($B598:$D598,S$5)="F",AND(S$6&gt;0,$A598&lt;S$6),AND(S$7&gt;0,$A598&gt;S$7)),0,MAX(0,ROUND((INDEX($E598:$G598,S$5)-SUMIFS(TF_Timer,TF_Tekniker,S$4,TF_Dato,$A598))*2,0)/2)))</f>
        <v/>
      </c>
      <c r="T598">
        <f>IF(OR(T$4="",$A598&gt;TODAY()),0,IF(OR(INDEX($B598:$D598,T$5)="F",AND(T$6&gt;0,$A598&lt;T$6),AND(T$7&gt;0,$A598&gt;T$7)),0,MAX(0,ROUND((INDEX($E598:$G598,T$5)-SUMIFS(TF_Timer,TF_Tekniker,T$4,TF_Dato,$A598))*2,0)/2)))</f>
        <v/>
      </c>
      <c r="U598">
        <f>IF(OR(U$4="",$A598&gt;TODAY()),0,IF(OR(INDEX($B598:$D598,U$5)="F",AND(U$6&gt;0,$A598&lt;U$6),AND(U$7&gt;0,$A598&gt;U$7)),0,MAX(0,ROUND((INDEX($E598:$G598,U$5)-SUMIFS(TF_Timer,TF_Tekniker,U$4,TF_Dato,$A598))*2,0)/2)))</f>
        <v/>
      </c>
      <c r="V598">
        <f>IF(OR(V$4="",$A598&gt;TODAY()),0,IF(OR(INDEX($B598:$D598,V$5)="F",AND(V$6&gt;0,$A598&lt;V$6),AND(V$7&gt;0,$A598&gt;V$7)),0,MAX(0,ROUND((INDEX($E598:$G598,V$5)-SUMIFS(TF_Timer,TF_Tekniker,V$4,TF_Dato,$A598))*2,0)/2)))</f>
        <v/>
      </c>
      <c r="W598">
        <f>IF(OR(W$4="",$A598&gt;TODAY()),0,IF(OR(INDEX($B598:$D598,W$5)="F",AND(W$6&gt;0,$A598&lt;W$6),AND(W$7&gt;0,$A598&gt;W$7)),0,MAX(0,ROUND((INDEX($E598:$G598,W$5)-SUMIFS(TF_Timer,TF_Tekniker,W$4,TF_Dato,$A598))*2,0)/2)))</f>
        <v/>
      </c>
      <c r="X598">
        <f>IF(OR(X$4="",$A598&gt;TODAY()),0,IF(OR(INDEX($B598:$D598,X$5)="F",AND(X$6&gt;0,$A598&lt;X$6),AND(X$7&gt;0,$A598&gt;X$7)),0,MAX(0,ROUND((INDEX($E598:$G598,X$5)-SUMIFS(TF_Timer,TF_Tekniker,X$4,TF_Dato,$A598))*2,0)/2)))</f>
        <v/>
      </c>
      <c r="Y598">
        <f>IF(OR(Y$4="",$A598&gt;TODAY()),0,IF(OR(INDEX($B598:$D598,Y$5)="F",AND(Y$6&gt;0,$A598&lt;Y$6),AND(Y$7&gt;0,$A598&gt;Y$7)),0,MAX(0,ROUND((INDEX($E598:$G598,Y$5)-SUMIFS(TF_Timer,TF_Tekniker,Y$4,TF_Dato,$A598))*2,0)/2)))</f>
        <v/>
      </c>
      <c r="Z598">
        <f>IF(OR(Z$4="",$A598&gt;TODAY()),0,IF(OR(INDEX($B598:$D598,Z$5)="F",AND(Z$6&gt;0,$A598&lt;Z$6),AND(Z$7&gt;0,$A598&gt;Z$7)),0,MAX(0,ROUND((INDEX($E598:$G598,Z$5)-SUMIFS(TF_Timer,TF_Tekniker,Z$4,TF_Dato,$A598))*2,0)/2)))</f>
        <v/>
      </c>
      <c r="AA598">
        <f>IF(OR(AA$4="",$A598&gt;TODAY()),0,IF(OR(INDEX($B598:$D598,AA$5)="F",AND(AA$6&gt;0,$A598&lt;AA$6),AND(AA$7&gt;0,$A598&gt;AA$7)),0,MAX(0,ROUND((INDEX($E598:$G598,AA$5)-SUMIFS(TF_Timer,TF_Tekniker,AA$4,TF_Dato,$A598))*2,0)/2)))</f>
        <v/>
      </c>
      <c r="AB598">
        <f>IF(OR(AB$4="",$A598&gt;TODAY()),0,IF(OR(INDEX($B598:$D598,AB$5)="F",AND(AB$6&gt;0,$A598&lt;AB$6),AND(AB$7&gt;0,$A598&gt;AB$7)),0,MAX(0,ROUND((INDEX($E598:$G598,AB$5)-SUMIFS(TF_Timer,TF_Tekniker,AB$4,TF_Dato,$A598))*2,0)/2)))</f>
        <v/>
      </c>
      <c r="AC598">
        <f>IF(OR(AC$4="",$A598&gt;TODAY()),0,IF(OR(INDEX($B598:$D598,AC$5)="F",AND(AC$6&gt;0,$A598&lt;AC$6),AND(AC$7&gt;0,$A598&gt;AC$7)),0,MAX(0,ROUND((INDEX($E598:$G598,AC$5)-SUMIFS(TF_Timer,TF_Tekniker,AC$4,TF_Dato,$A598))*2,0)/2)))</f>
        <v/>
      </c>
      <c r="AD598">
        <f>IF(OR(AD$4="",$A598&gt;TODAY()),0,IF(OR(INDEX($B598:$D598,AD$5)="F",AND(AD$6&gt;0,$A598&lt;AD$6),AND(AD$7&gt;0,$A598&gt;AD$7)),0,MAX(0,ROUND((INDEX($E598:$G598,AD$5)-SUMIFS(TF_Timer,TF_Tekniker,AD$4,TF_Dato,$A598))*2,0)/2)))</f>
        <v/>
      </c>
      <c r="AE598">
        <f>IF(OR(AE$4="",$A598&gt;TODAY()),0,IF(OR(INDEX($B598:$D598,AE$5)="F",AND(AE$6&gt;0,$A598&lt;AE$6),AND(AE$7&gt;0,$A598&gt;AE$7)),0,MAX(0,ROUND((INDEX($E598:$G598,AE$5)-SUMIFS(TF_Timer,TF_Tekniker,AE$4,TF_Dato,$A598))*2,0)/2)))</f>
        <v/>
      </c>
      <c r="AF598">
        <f>IF(OR(AF$4="",$A598&gt;TODAY()),0,IF(OR(INDEX($B598:$D598,AF$5)="F",AND(AF$6&gt;0,$A598&lt;AF$6),AND(AF$7&gt;0,$A598&gt;AF$7)),0,MAX(0,ROUND((INDEX($E598:$G598,AF$5)-SUMIFS(TF_Timer,TF_Tekniker,AF$4,TF_Dato,$A598))*2,0)/2)))</f>
        <v/>
      </c>
      <c r="AG598">
        <f>IF(OR(AG$4="",$A598&gt;TODAY()),0,IF(OR(INDEX($B598:$D598,AG$5)="F",AND(AG$6&gt;0,$A598&lt;AG$6),AND(AG$7&gt;0,$A598&gt;AG$7)),0,MAX(0,ROUND((INDEX($E598:$G598,AG$5)-SUMIFS(TF_Timer,TF_Tekniker,AG$4,TF_Dato,$A598))*2,0)/2)))</f>
        <v/>
      </c>
      <c r="AH598">
        <f>IF(OR(AH$4="",$A598&gt;TODAY()),0,IF(OR(INDEX($B598:$D598,AH$5)="F",AND(AH$6&gt;0,$A598&lt;AH$6),AND(AH$7&gt;0,$A598&gt;AH$7)),0,MAX(0,ROUND((INDEX($E598:$G598,AH$5)-SUMIFS(TF_Timer,TF_Tekniker,AH$4,TF_Dato,$A598))*2,0)/2)))</f>
        <v/>
      </c>
      <c r="AI598">
        <f>IF(OR(AI$4="",$A598&gt;TODAY()),0,IF(OR(INDEX($B598:$D598,AI$5)="F",AND(AI$6&gt;0,$A598&lt;AI$6),AND(AI$7&gt;0,$A598&gt;AI$7)),0,MAX(0,ROUND((INDEX($E598:$G598,AI$5)-SUMIFS(TF_Timer,TF_Tekniker,AI$4,TF_Dato,$A598))*2,0)/2)))</f>
        <v/>
      </c>
      <c r="AJ598">
        <f>IF(OR(AJ$4="",$A598&gt;TODAY()),0,IF(OR(INDEX($B598:$D598,AJ$5)="F",AND(AJ$6&gt;0,$A598&lt;AJ$6),AND(AJ$7&gt;0,$A598&gt;AJ$7)),0,MAX(0,ROUND((INDEX($E598:$G598,AJ$5)-SUMIFS(TF_Timer,TF_Tekniker,AJ$4,TF_Dato,$A598))*2,0)/2)))</f>
        <v/>
      </c>
      <c r="AK598">
        <f>IF(OR(AK$4="",$A598&gt;TODAY()),0,IF(OR(INDEX($B598:$D598,AK$5)="F",AND(AK$6&gt;0,$A598&lt;AK$6),AND(AK$7&gt;0,$A598&gt;AK$7)),0,MAX(0,ROUND((INDEX($E598:$G598,AK$5)-SUMIFS(TF_Timer,TF_Tekniker,AK$4,TF_Dato,$A598))*2,0)/2)))</f>
        <v/>
      </c>
      <c r="AL598">
        <f>IF(OR(AL$4="",$A598&gt;TODAY()),0,IF(OR(INDEX($B598:$D598,AL$5)="F",AND(AL$6&gt;0,$A598&lt;AL$6),AND(AL$7&gt;0,$A598&gt;AL$7)),0,MAX(0,ROUND((INDEX($E598:$G598,AL$5)-SUMIFS(TF_Timer,TF_Tekniker,AL$4,TF_Dato,$A598))*2,0)/2)))</f>
        <v/>
      </c>
      <c r="AM598">
        <f>IF(OR(AM$4="",$A598&gt;TODAY()),0,IF(OR(INDEX($B598:$D598,AM$5)="F",AND(AM$6&gt;0,$A598&lt;AM$6),AND(AM$7&gt;0,$A598&gt;AM$7)),0,MAX(0,ROUND((INDEX($E598:$G598,AM$5)-SUMIFS(TF_Timer,TF_Tekniker,AM$4,TF_Dato,$A598))*2,0)/2)))</f>
        <v/>
      </c>
      <c r="AN598">
        <f>IF(OR(AN$4="",$A598&gt;TODAY()),0,IF(OR(INDEX($B598:$D598,AN$5)="F",AND(AN$6&gt;0,$A598&lt;AN$6),AND(AN$7&gt;0,$A598&gt;AN$7)),0,MAX(0,ROUND((INDEX($E598:$G598,AN$5)-SUMIFS(TF_Timer,TF_Tekniker,AN$4,TF_Dato,$A598))*2,0)/2)))</f>
        <v/>
      </c>
      <c r="AO598">
        <f>IF(OR(AO$4="",$A598&gt;TODAY()),0,IF(OR(INDEX($B598:$D598,AO$5)="F",AND(AO$6&gt;0,$A598&lt;AO$6),AND(AO$7&gt;0,$A598&gt;AO$7)),0,MAX(0,ROUND((INDEX($E598:$G598,AO$5)-SUMIFS(TF_Timer,TF_Tekniker,AO$4,TF_Dato,$A598))*2,0)/2)))</f>
        <v/>
      </c>
      <c r="AP598">
        <f>IF(OR(AP$4="",$A598&gt;TODAY()),0,IF(OR(INDEX($B598:$D598,AP$5)="F",AND(AP$6&gt;0,$A598&lt;AP$6),AND(AP$7&gt;0,$A598&gt;AP$7)),0,MAX(0,ROUND((INDEX($E598:$G598,AP$5)-SUMIFS(TF_Timer,TF_Tekniker,AP$4,TF_Dato,$A598))*2,0)/2)))</f>
        <v/>
      </c>
      <c r="AQ598">
        <f>IF(OR(AQ$4="",$A598&gt;TODAY()),0,IF(OR(INDEX($B598:$D598,AQ$5)="F",AND(AQ$6&gt;0,$A598&lt;AQ$6),AND(AQ$7&gt;0,$A598&gt;AQ$7)),0,MAX(0,ROUND((INDEX($E598:$G598,AQ$5)-SUMIFS(TF_Timer,TF_Tekniker,AQ$4,TF_Dato,$A598))*2,0)/2)))</f>
        <v/>
      </c>
      <c r="AR598">
        <f>IF(OR(AR$4="",$A598&gt;TODAY()),0,IF(OR(INDEX($B598:$D598,AR$5)="F",AND(AR$6&gt;0,$A598&lt;AR$6),AND(AR$7&gt;0,$A598&gt;AR$7)),0,MAX(0,ROUND((INDEX($E598:$G598,AR$5)-SUMIFS(TF_Timer,TF_Tekniker,AR$4,TF_Dato,$A598))*2,0)/2)))</f>
        <v/>
      </c>
      <c r="AS598">
        <f>IF(OR(AS$4="",$A598&gt;TODAY()),0,IF(OR(INDEX($B598:$D598,AS$5)="F",AND(AS$6&gt;0,$A598&lt;AS$6),AND(AS$7&gt;0,$A598&gt;AS$7)),0,MAX(0,ROUND((INDEX($E598:$G598,AS$5)-SUMIFS(TF_Timer,TF_Tekniker,AS$4,TF_Dato,$A598))*2,0)/2)))</f>
        <v/>
      </c>
      <c r="AT598">
        <f>IF(OR(AT$4="",$A598&gt;TODAY()),0,IF(OR(INDEX($B598:$D598,AT$5)="F",AND(AT$6&gt;0,$A598&lt;AT$6),AND(AT$7&gt;0,$A598&gt;AT$7)),0,MAX(0,ROUND((INDEX($E598:$G598,AT$5)-SUMIFS(TF_Timer,TF_Tekniker,AT$4,TF_Dato,$A598))*2,0)/2)))</f>
        <v/>
      </c>
      <c r="AU598">
        <f>IF(OR(AU$4="",$A598&gt;TODAY()),0,IF(OR(INDEX($B598:$D598,AU$5)="F",AND(AU$6&gt;0,$A598&lt;AU$6),AND(AU$7&gt;0,$A598&gt;AU$7)),0,MAX(0,ROUND((INDEX($E598:$G598,AU$5)-SUMIFS(TF_Timer,TF_Tekniker,AU$4,TF_Dato,$A598))*2,0)/2)))</f>
        <v/>
      </c>
      <c r="AV598">
        <f>IF(OR(AV$4="",$A598&gt;TODAY()),0,IF(OR(INDEX($B598:$D598,AV$5)="F",AND(AV$6&gt;0,$A598&lt;AV$6),AND(AV$7&gt;0,$A598&gt;AV$7)),0,MAX(0,ROUND((INDEX($E598:$G598,AV$5)-SUMIFS(TF_Timer,TF_Tekniker,AV$4,TF_Dato,$A598))*2,0)/2)))</f>
        <v/>
      </c>
      <c r="AW598">
        <f>IF(OR(AW$4="",$A598&gt;TODAY()),0,IF(OR(INDEX($B598:$D598,AW$5)="F",AND(AW$6&gt;0,$A598&lt;AW$6),AND(AW$7&gt;0,$A598&gt;AW$7)),0,MAX(0,ROUND((INDEX($E598:$G598,AW$5)-SUMIFS(TF_Timer,TF_Tekniker,AW$4,TF_Dato,$A598))*2,0)/2)))</f>
        <v/>
      </c>
      <c r="AX598">
        <f>IF(OR(AX$4="",$A598&gt;TODAY()),0,IF(OR(INDEX($B598:$D598,AX$5)="F",AND(AX$6&gt;0,$A598&lt;AX$6),AND(AX$7&gt;0,$A598&gt;AX$7)),0,MAX(0,ROUND((INDEX($E598:$G598,AX$5)-SUMIFS(TF_Timer,TF_Tekniker,AX$4,TF_Dato,$A598))*2,0)/2)))</f>
        <v/>
      </c>
      <c r="AY598">
        <f>IF(OR(AY$4="",$A598&gt;TODAY()),0,IF(OR(INDEX($B598:$D598,AY$5)="F",AND(AY$6&gt;0,$A598&lt;AY$6),AND(AY$7&gt;0,$A598&gt;AY$7)),0,MAX(0,ROUND((INDEX($E598:$G598,AY$5)-SUMIFS(TF_Timer,TF_Tekniker,AY$4,TF_Dato,$A598))*2,0)/2)))</f>
        <v/>
      </c>
      <c r="AZ598">
        <f>IF(OR(AZ$4="",$A598&gt;TODAY()),0,IF(OR(INDEX($B598:$D598,AZ$5)="F",AND(AZ$6&gt;0,$A598&lt;AZ$6),AND(AZ$7&gt;0,$A598&gt;AZ$7)),0,MAX(0,ROUND((INDEX($E598:$G598,AZ$5)-SUMIFS(TF_Timer,TF_Tekniker,AZ$4,TF_Dato,$A598))*2,0)/2)))</f>
        <v/>
      </c>
      <c r="BA598">
        <f>IF(OR(BA$4="",$A598&gt;TODAY()),0,IF(OR(INDEX($B598:$D598,BA$5)="F",AND(BA$6&gt;0,$A598&lt;BA$6),AND(BA$7&gt;0,$A598&gt;BA$7)),0,MAX(0,ROUND((INDEX($E598:$G598,BA$5)-SUMIFS(TF_Timer,TF_Tekniker,BA$4,TF_Dato,$A598))*2,0)/2)))</f>
        <v/>
      </c>
      <c r="BB598">
        <f>IF(OR(BB$4="",$A598&gt;TODAY()),0,IF(OR(INDEX($B598:$D598,BB$5)="F",AND(BB$6&gt;0,$A598&lt;BB$6),AND(BB$7&gt;0,$A598&gt;BB$7)),0,MAX(0,ROUND((INDEX($E598:$G598,BB$5)-SUMIFS(TF_Timer,TF_Tekniker,BB$4,TF_Dato,$A598))*2,0)/2)))</f>
        <v/>
      </c>
      <c r="BC598">
        <f>IF(OR(BC$4="",$A598&gt;TODAY()),0,IF(OR(INDEX($B598:$D598,BC$5)="F",AND(BC$6&gt;0,$A598&lt;BC$6),AND(BC$7&gt;0,$A598&gt;BC$7)),0,MAX(0,ROUND((INDEX($E598:$G598,BC$5)-SUMIFS(TF_Timer,TF_Tekniker,BC$4,TF_Dato,$A598))*2,0)/2)))</f>
        <v/>
      </c>
      <c r="BD598">
        <f>IF(OR(BD$4="",$A598&gt;TODAY()),0,IF(OR(INDEX($B598:$D598,BD$5)="F",AND(BD$6&gt;0,$A598&lt;BD$6),AND(BD$7&gt;0,$A598&gt;BD$7)),0,MAX(0,ROUND((INDEX($E598:$G598,BD$5)-SUMIFS(TF_Timer,TF_Tekniker,BD$4,TF_Dato,$A598))*2,0)/2)))</f>
        <v/>
      </c>
      <c r="BE598">
        <f>IF(OR(BE$4="",$A598&gt;TODAY()),0,IF(OR(INDEX($B598:$D598,BE$5)="F",AND(BE$6&gt;0,$A598&lt;BE$6),AND(BE$7&gt;0,$A598&gt;BE$7)),0,MAX(0,ROUND((INDEX($E598:$G598,BE$5)-SUMIFS(TF_Timer,TF_Tekniker,BE$4,TF_Dato,$A598))*2,0)/2)))</f>
        <v/>
      </c>
      <c r="BF598">
        <f>IF(OR(BF$4="",$A598&gt;TODAY()),0,IF(OR(INDEX($B598:$D598,BF$5)="F",AND(BF$6&gt;0,$A598&lt;BF$6),AND(BF$7&gt;0,$A598&gt;BF$7)),0,MAX(0,ROUND((INDEX($E598:$G598,BF$5)-SUMIFS(TF_Timer,TF_Tekniker,BF$4,TF_Dato,$A598))*2,0)/2)))</f>
        <v/>
      </c>
      <c r="BG598">
        <f>IF(OR(BG$4="",$A598&gt;TODAY()),0,IF(OR(INDEX($B598:$D598,BG$5)="F",AND(BG$6&gt;0,$A598&lt;BG$6),AND(BG$7&gt;0,$A598&gt;BG$7)),0,MAX(0,ROUND((INDEX($E598:$G598,BG$5)-SUMIFS(TF_Timer,TF_Tekniker,BG$4,TF_Dato,$A598))*2,0)/2)))</f>
        <v/>
      </c>
      <c r="BH598">
        <f>IF(OR(BH$4="",$A598&gt;TODAY()),0,IF(OR(INDEX($B598:$D598,BH$5)="F",AND(BH$6&gt;0,$A598&lt;BH$6),AND(BH$7&gt;0,$A598&gt;BH$7)),0,MAX(0,ROUND((INDEX($E598:$G598,BH$5)-SUMIFS(TF_Timer,TF_Tekniker,BH$4,TF_Dato,$A598))*2,0)/2)))</f>
        <v/>
      </c>
      <c r="BI598">
        <f>IF(OR(BI$4="",$A598&gt;TODAY()),0,IF(OR(INDEX($B598:$D598,BI$5)="F",AND(BI$6&gt;0,$A598&lt;BI$6),AND(BI$7&gt;0,$A598&gt;BI$7)),0,MAX(0,ROUND((INDEX($E598:$G598,BI$5)-SUMIFS(TF_Timer,TF_Tekniker,BI$4,TF_Dato,$A598))*2,0)/2)))</f>
        <v/>
      </c>
    </row>
    <row r="599">
      <c r="A599" s="64">
        <f>A598+1</f>
        <v/>
      </c>
      <c r="B599">
        <f>IF(MOD($A599-INDEX(SkiftStart,1),Syklus)&lt;DagK,"K",IF(MOD($A599-INDEX(SkiftStart,1),Syklus)&lt;DagK+DagH,"H",IF(MOD($A599-INDEX(SkiftStart,1),Syklus)&lt;DagK+DagH+DagD,"D","F")))</f>
        <v/>
      </c>
      <c r="C599">
        <f>IF(MOD($A599-INDEX(SkiftStart,2),Syklus)&lt;DagK,"K",IF(MOD($A599-INDEX(SkiftStart,2),Syklus)&lt;DagK+DagH,"H",IF(MOD($A599-INDEX(SkiftStart,2),Syklus)&lt;DagK+DagH+DagD,"D","F")))</f>
        <v/>
      </c>
      <c r="D599">
        <f>IF(MOD($A599-INDEX(SkiftStart,3),Syklus)&lt;DagK,"K",IF(MOD($A599-INDEX(SkiftStart,3),Syklus)&lt;DagK+DagH,"H",IF(MOD($A599-INDEX(SkiftStart,3),Syklus)&lt;DagK+DagH+DagD,"D","F")))</f>
        <v/>
      </c>
      <c r="E599">
        <f>IF(B599="F",0,IF(WEEKDAY($A599,2)=5,INDEX(TimerFr,MATCH(B599,FaseKode,0)),INDEX(TimerMT,MATCH(B599,FaseKode,0))))</f>
        <v/>
      </c>
      <c r="F599">
        <f>IF(C599="F",0,IF(WEEKDAY($A599,2)=5,INDEX(TimerFr,MATCH(C599,FaseKode,0)),INDEX(TimerMT,MATCH(C599,FaseKode,0))))</f>
        <v/>
      </c>
      <c r="G599">
        <f>IF(D599="F",0,IF(WEEKDAY($A599,2)=5,INDEX(TimerFr,MATCH(D599,FaseKode,0)),INDEX(TimerMT,MATCH(D599,FaseKode,0))))</f>
        <v/>
      </c>
      <c r="H599">
        <f>IF(OR(H$4="",$A599&gt;TODAY()),0,IF(OR(INDEX($B599:$D599,H$5)="F",AND(H$6&gt;0,$A599&lt;H$6),AND(H$7&gt;0,$A599&gt;H$7)),0,MAX(0,ROUND((INDEX($E599:$G599,H$5)-SUMIFS(TF_Timer,TF_Tekniker,H$4,TF_Dato,$A599))*2,0)/2)))</f>
        <v/>
      </c>
      <c r="I599">
        <f>IF(OR(I$4="",$A599&gt;TODAY()),0,IF(OR(INDEX($B599:$D599,I$5)="F",AND(I$6&gt;0,$A599&lt;I$6),AND(I$7&gt;0,$A599&gt;I$7)),0,MAX(0,ROUND((INDEX($E599:$G599,I$5)-SUMIFS(TF_Timer,TF_Tekniker,I$4,TF_Dato,$A599))*2,0)/2)))</f>
        <v/>
      </c>
      <c r="J599">
        <f>IF(OR(J$4="",$A599&gt;TODAY()),0,IF(OR(INDEX($B599:$D599,J$5)="F",AND(J$6&gt;0,$A599&lt;J$6),AND(J$7&gt;0,$A599&gt;J$7)),0,MAX(0,ROUND((INDEX($E599:$G599,J$5)-SUMIFS(TF_Timer,TF_Tekniker,J$4,TF_Dato,$A599))*2,0)/2)))</f>
        <v/>
      </c>
      <c r="K599">
        <f>IF(OR(K$4="",$A599&gt;TODAY()),0,IF(OR(INDEX($B599:$D599,K$5)="F",AND(K$6&gt;0,$A599&lt;K$6),AND(K$7&gt;0,$A599&gt;K$7)),0,MAX(0,ROUND((INDEX($E599:$G599,K$5)-SUMIFS(TF_Timer,TF_Tekniker,K$4,TF_Dato,$A599))*2,0)/2)))</f>
        <v/>
      </c>
      <c r="L599">
        <f>IF(OR(L$4="",$A599&gt;TODAY()),0,IF(OR(INDEX($B599:$D599,L$5)="F",AND(L$6&gt;0,$A599&lt;L$6),AND(L$7&gt;0,$A599&gt;L$7)),0,MAX(0,ROUND((INDEX($E599:$G599,L$5)-SUMIFS(TF_Timer,TF_Tekniker,L$4,TF_Dato,$A599))*2,0)/2)))</f>
        <v/>
      </c>
      <c r="M599">
        <f>IF(OR(M$4="",$A599&gt;TODAY()),0,IF(OR(INDEX($B599:$D599,M$5)="F",AND(M$6&gt;0,$A599&lt;M$6),AND(M$7&gt;0,$A599&gt;M$7)),0,MAX(0,ROUND((INDEX($E599:$G599,M$5)-SUMIFS(TF_Timer,TF_Tekniker,M$4,TF_Dato,$A599))*2,0)/2)))</f>
        <v/>
      </c>
      <c r="N599">
        <f>IF(OR(N$4="",$A599&gt;TODAY()),0,IF(OR(INDEX($B599:$D599,N$5)="F",AND(N$6&gt;0,$A599&lt;N$6),AND(N$7&gt;0,$A599&gt;N$7)),0,MAX(0,ROUND((INDEX($E599:$G599,N$5)-SUMIFS(TF_Timer,TF_Tekniker,N$4,TF_Dato,$A599))*2,0)/2)))</f>
        <v/>
      </c>
      <c r="O599">
        <f>IF(OR(O$4="",$A599&gt;TODAY()),0,IF(OR(INDEX($B599:$D599,O$5)="F",AND(O$6&gt;0,$A599&lt;O$6),AND(O$7&gt;0,$A599&gt;O$7)),0,MAX(0,ROUND((INDEX($E599:$G599,O$5)-SUMIFS(TF_Timer,TF_Tekniker,O$4,TF_Dato,$A599))*2,0)/2)))</f>
        <v/>
      </c>
      <c r="P599">
        <f>IF(OR(P$4="",$A599&gt;TODAY()),0,IF(OR(INDEX($B599:$D599,P$5)="F",AND(P$6&gt;0,$A599&lt;P$6),AND(P$7&gt;0,$A599&gt;P$7)),0,MAX(0,ROUND((INDEX($E599:$G599,P$5)-SUMIFS(TF_Timer,TF_Tekniker,P$4,TF_Dato,$A599))*2,0)/2)))</f>
        <v/>
      </c>
      <c r="Q599">
        <f>IF(OR(Q$4="",$A599&gt;TODAY()),0,IF(OR(INDEX($B599:$D599,Q$5)="F",AND(Q$6&gt;0,$A599&lt;Q$6),AND(Q$7&gt;0,$A599&gt;Q$7)),0,MAX(0,ROUND((INDEX($E599:$G599,Q$5)-SUMIFS(TF_Timer,TF_Tekniker,Q$4,TF_Dato,$A599))*2,0)/2)))</f>
        <v/>
      </c>
      <c r="R599">
        <f>IF(OR(R$4="",$A599&gt;TODAY()),0,IF(OR(INDEX($B599:$D599,R$5)="F",AND(R$6&gt;0,$A599&lt;R$6),AND(R$7&gt;0,$A599&gt;R$7)),0,MAX(0,ROUND((INDEX($E599:$G599,R$5)-SUMIFS(TF_Timer,TF_Tekniker,R$4,TF_Dato,$A599))*2,0)/2)))</f>
        <v/>
      </c>
      <c r="S599">
        <f>IF(OR(S$4="",$A599&gt;TODAY()),0,IF(OR(INDEX($B599:$D599,S$5)="F",AND(S$6&gt;0,$A599&lt;S$6),AND(S$7&gt;0,$A599&gt;S$7)),0,MAX(0,ROUND((INDEX($E599:$G599,S$5)-SUMIFS(TF_Timer,TF_Tekniker,S$4,TF_Dato,$A599))*2,0)/2)))</f>
        <v/>
      </c>
      <c r="T599">
        <f>IF(OR(T$4="",$A599&gt;TODAY()),0,IF(OR(INDEX($B599:$D599,T$5)="F",AND(T$6&gt;0,$A599&lt;T$6),AND(T$7&gt;0,$A599&gt;T$7)),0,MAX(0,ROUND((INDEX($E599:$G599,T$5)-SUMIFS(TF_Timer,TF_Tekniker,T$4,TF_Dato,$A599))*2,0)/2)))</f>
        <v/>
      </c>
      <c r="U599">
        <f>IF(OR(U$4="",$A599&gt;TODAY()),0,IF(OR(INDEX($B599:$D599,U$5)="F",AND(U$6&gt;0,$A599&lt;U$6),AND(U$7&gt;0,$A599&gt;U$7)),0,MAX(0,ROUND((INDEX($E599:$G599,U$5)-SUMIFS(TF_Timer,TF_Tekniker,U$4,TF_Dato,$A599))*2,0)/2)))</f>
        <v/>
      </c>
      <c r="V599">
        <f>IF(OR(V$4="",$A599&gt;TODAY()),0,IF(OR(INDEX($B599:$D599,V$5)="F",AND(V$6&gt;0,$A599&lt;V$6),AND(V$7&gt;0,$A599&gt;V$7)),0,MAX(0,ROUND((INDEX($E599:$G599,V$5)-SUMIFS(TF_Timer,TF_Tekniker,V$4,TF_Dato,$A599))*2,0)/2)))</f>
        <v/>
      </c>
      <c r="W599">
        <f>IF(OR(W$4="",$A599&gt;TODAY()),0,IF(OR(INDEX($B599:$D599,W$5)="F",AND(W$6&gt;0,$A599&lt;W$6),AND(W$7&gt;0,$A599&gt;W$7)),0,MAX(0,ROUND((INDEX($E599:$G599,W$5)-SUMIFS(TF_Timer,TF_Tekniker,W$4,TF_Dato,$A599))*2,0)/2)))</f>
        <v/>
      </c>
      <c r="X599">
        <f>IF(OR(X$4="",$A599&gt;TODAY()),0,IF(OR(INDEX($B599:$D599,X$5)="F",AND(X$6&gt;0,$A599&lt;X$6),AND(X$7&gt;0,$A599&gt;X$7)),0,MAX(0,ROUND((INDEX($E599:$G599,X$5)-SUMIFS(TF_Timer,TF_Tekniker,X$4,TF_Dato,$A599))*2,0)/2)))</f>
        <v/>
      </c>
      <c r="Y599">
        <f>IF(OR(Y$4="",$A599&gt;TODAY()),0,IF(OR(INDEX($B599:$D599,Y$5)="F",AND(Y$6&gt;0,$A599&lt;Y$6),AND(Y$7&gt;0,$A599&gt;Y$7)),0,MAX(0,ROUND((INDEX($E599:$G599,Y$5)-SUMIFS(TF_Timer,TF_Tekniker,Y$4,TF_Dato,$A599))*2,0)/2)))</f>
        <v/>
      </c>
      <c r="Z599">
        <f>IF(OR(Z$4="",$A599&gt;TODAY()),0,IF(OR(INDEX($B599:$D599,Z$5)="F",AND(Z$6&gt;0,$A599&lt;Z$6),AND(Z$7&gt;0,$A599&gt;Z$7)),0,MAX(0,ROUND((INDEX($E599:$G599,Z$5)-SUMIFS(TF_Timer,TF_Tekniker,Z$4,TF_Dato,$A599))*2,0)/2)))</f>
        <v/>
      </c>
      <c r="AA599">
        <f>IF(OR(AA$4="",$A599&gt;TODAY()),0,IF(OR(INDEX($B599:$D599,AA$5)="F",AND(AA$6&gt;0,$A599&lt;AA$6),AND(AA$7&gt;0,$A599&gt;AA$7)),0,MAX(0,ROUND((INDEX($E599:$G599,AA$5)-SUMIFS(TF_Timer,TF_Tekniker,AA$4,TF_Dato,$A599))*2,0)/2)))</f>
        <v/>
      </c>
      <c r="AB599">
        <f>IF(OR(AB$4="",$A599&gt;TODAY()),0,IF(OR(INDEX($B599:$D599,AB$5)="F",AND(AB$6&gt;0,$A599&lt;AB$6),AND(AB$7&gt;0,$A599&gt;AB$7)),0,MAX(0,ROUND((INDEX($E599:$G599,AB$5)-SUMIFS(TF_Timer,TF_Tekniker,AB$4,TF_Dato,$A599))*2,0)/2)))</f>
        <v/>
      </c>
      <c r="AC599">
        <f>IF(OR(AC$4="",$A599&gt;TODAY()),0,IF(OR(INDEX($B599:$D599,AC$5)="F",AND(AC$6&gt;0,$A599&lt;AC$6),AND(AC$7&gt;0,$A599&gt;AC$7)),0,MAX(0,ROUND((INDEX($E599:$G599,AC$5)-SUMIFS(TF_Timer,TF_Tekniker,AC$4,TF_Dato,$A599))*2,0)/2)))</f>
        <v/>
      </c>
      <c r="AD599">
        <f>IF(OR(AD$4="",$A599&gt;TODAY()),0,IF(OR(INDEX($B599:$D599,AD$5)="F",AND(AD$6&gt;0,$A599&lt;AD$6),AND(AD$7&gt;0,$A599&gt;AD$7)),0,MAX(0,ROUND((INDEX($E599:$G599,AD$5)-SUMIFS(TF_Timer,TF_Tekniker,AD$4,TF_Dato,$A599))*2,0)/2)))</f>
        <v/>
      </c>
      <c r="AE599">
        <f>IF(OR(AE$4="",$A599&gt;TODAY()),0,IF(OR(INDEX($B599:$D599,AE$5)="F",AND(AE$6&gt;0,$A599&lt;AE$6),AND(AE$7&gt;0,$A599&gt;AE$7)),0,MAX(0,ROUND((INDEX($E599:$G599,AE$5)-SUMIFS(TF_Timer,TF_Tekniker,AE$4,TF_Dato,$A599))*2,0)/2)))</f>
        <v/>
      </c>
      <c r="AF599">
        <f>IF(OR(AF$4="",$A599&gt;TODAY()),0,IF(OR(INDEX($B599:$D599,AF$5)="F",AND(AF$6&gt;0,$A599&lt;AF$6),AND(AF$7&gt;0,$A599&gt;AF$7)),0,MAX(0,ROUND((INDEX($E599:$G599,AF$5)-SUMIFS(TF_Timer,TF_Tekniker,AF$4,TF_Dato,$A599))*2,0)/2)))</f>
        <v/>
      </c>
      <c r="AG599">
        <f>IF(OR(AG$4="",$A599&gt;TODAY()),0,IF(OR(INDEX($B599:$D599,AG$5)="F",AND(AG$6&gt;0,$A599&lt;AG$6),AND(AG$7&gt;0,$A599&gt;AG$7)),0,MAX(0,ROUND((INDEX($E599:$G599,AG$5)-SUMIFS(TF_Timer,TF_Tekniker,AG$4,TF_Dato,$A599))*2,0)/2)))</f>
        <v/>
      </c>
      <c r="AH599">
        <f>IF(OR(AH$4="",$A599&gt;TODAY()),0,IF(OR(INDEX($B599:$D599,AH$5)="F",AND(AH$6&gt;0,$A599&lt;AH$6),AND(AH$7&gt;0,$A599&gt;AH$7)),0,MAX(0,ROUND((INDEX($E599:$G599,AH$5)-SUMIFS(TF_Timer,TF_Tekniker,AH$4,TF_Dato,$A599))*2,0)/2)))</f>
        <v/>
      </c>
      <c r="AI599">
        <f>IF(OR(AI$4="",$A599&gt;TODAY()),0,IF(OR(INDEX($B599:$D599,AI$5)="F",AND(AI$6&gt;0,$A599&lt;AI$6),AND(AI$7&gt;0,$A599&gt;AI$7)),0,MAX(0,ROUND((INDEX($E599:$G599,AI$5)-SUMIFS(TF_Timer,TF_Tekniker,AI$4,TF_Dato,$A599))*2,0)/2)))</f>
        <v/>
      </c>
      <c r="AJ599">
        <f>IF(OR(AJ$4="",$A599&gt;TODAY()),0,IF(OR(INDEX($B599:$D599,AJ$5)="F",AND(AJ$6&gt;0,$A599&lt;AJ$6),AND(AJ$7&gt;0,$A599&gt;AJ$7)),0,MAX(0,ROUND((INDEX($E599:$G599,AJ$5)-SUMIFS(TF_Timer,TF_Tekniker,AJ$4,TF_Dato,$A599))*2,0)/2)))</f>
        <v/>
      </c>
      <c r="AK599">
        <f>IF(OR(AK$4="",$A599&gt;TODAY()),0,IF(OR(INDEX($B599:$D599,AK$5)="F",AND(AK$6&gt;0,$A599&lt;AK$6),AND(AK$7&gt;0,$A599&gt;AK$7)),0,MAX(0,ROUND((INDEX($E599:$G599,AK$5)-SUMIFS(TF_Timer,TF_Tekniker,AK$4,TF_Dato,$A599))*2,0)/2)))</f>
        <v/>
      </c>
      <c r="AL599">
        <f>IF(OR(AL$4="",$A599&gt;TODAY()),0,IF(OR(INDEX($B599:$D599,AL$5)="F",AND(AL$6&gt;0,$A599&lt;AL$6),AND(AL$7&gt;0,$A599&gt;AL$7)),0,MAX(0,ROUND((INDEX($E599:$G599,AL$5)-SUMIFS(TF_Timer,TF_Tekniker,AL$4,TF_Dato,$A599))*2,0)/2)))</f>
        <v/>
      </c>
      <c r="AM599">
        <f>IF(OR(AM$4="",$A599&gt;TODAY()),0,IF(OR(INDEX($B599:$D599,AM$5)="F",AND(AM$6&gt;0,$A599&lt;AM$6),AND(AM$7&gt;0,$A599&gt;AM$7)),0,MAX(0,ROUND((INDEX($E599:$G599,AM$5)-SUMIFS(TF_Timer,TF_Tekniker,AM$4,TF_Dato,$A599))*2,0)/2)))</f>
        <v/>
      </c>
      <c r="AN599">
        <f>IF(OR(AN$4="",$A599&gt;TODAY()),0,IF(OR(INDEX($B599:$D599,AN$5)="F",AND(AN$6&gt;0,$A599&lt;AN$6),AND(AN$7&gt;0,$A599&gt;AN$7)),0,MAX(0,ROUND((INDEX($E599:$G599,AN$5)-SUMIFS(TF_Timer,TF_Tekniker,AN$4,TF_Dato,$A599))*2,0)/2)))</f>
        <v/>
      </c>
      <c r="AO599">
        <f>IF(OR(AO$4="",$A599&gt;TODAY()),0,IF(OR(INDEX($B599:$D599,AO$5)="F",AND(AO$6&gt;0,$A599&lt;AO$6),AND(AO$7&gt;0,$A599&gt;AO$7)),0,MAX(0,ROUND((INDEX($E599:$G599,AO$5)-SUMIFS(TF_Timer,TF_Tekniker,AO$4,TF_Dato,$A599))*2,0)/2)))</f>
        <v/>
      </c>
      <c r="AP599">
        <f>IF(OR(AP$4="",$A599&gt;TODAY()),0,IF(OR(INDEX($B599:$D599,AP$5)="F",AND(AP$6&gt;0,$A599&lt;AP$6),AND(AP$7&gt;0,$A599&gt;AP$7)),0,MAX(0,ROUND((INDEX($E599:$G599,AP$5)-SUMIFS(TF_Timer,TF_Tekniker,AP$4,TF_Dato,$A599))*2,0)/2)))</f>
        <v/>
      </c>
      <c r="AQ599">
        <f>IF(OR(AQ$4="",$A599&gt;TODAY()),0,IF(OR(INDEX($B599:$D599,AQ$5)="F",AND(AQ$6&gt;0,$A599&lt;AQ$6),AND(AQ$7&gt;0,$A599&gt;AQ$7)),0,MAX(0,ROUND((INDEX($E599:$G599,AQ$5)-SUMIFS(TF_Timer,TF_Tekniker,AQ$4,TF_Dato,$A599))*2,0)/2)))</f>
        <v/>
      </c>
      <c r="AR599">
        <f>IF(OR(AR$4="",$A599&gt;TODAY()),0,IF(OR(INDEX($B599:$D599,AR$5)="F",AND(AR$6&gt;0,$A599&lt;AR$6),AND(AR$7&gt;0,$A599&gt;AR$7)),0,MAX(0,ROUND((INDEX($E599:$G599,AR$5)-SUMIFS(TF_Timer,TF_Tekniker,AR$4,TF_Dato,$A599))*2,0)/2)))</f>
        <v/>
      </c>
      <c r="AS599">
        <f>IF(OR(AS$4="",$A599&gt;TODAY()),0,IF(OR(INDEX($B599:$D599,AS$5)="F",AND(AS$6&gt;0,$A599&lt;AS$6),AND(AS$7&gt;0,$A599&gt;AS$7)),0,MAX(0,ROUND((INDEX($E599:$G599,AS$5)-SUMIFS(TF_Timer,TF_Tekniker,AS$4,TF_Dato,$A599))*2,0)/2)))</f>
        <v/>
      </c>
      <c r="AT599">
        <f>IF(OR(AT$4="",$A599&gt;TODAY()),0,IF(OR(INDEX($B599:$D599,AT$5)="F",AND(AT$6&gt;0,$A599&lt;AT$6),AND(AT$7&gt;0,$A599&gt;AT$7)),0,MAX(0,ROUND((INDEX($E599:$G599,AT$5)-SUMIFS(TF_Timer,TF_Tekniker,AT$4,TF_Dato,$A599))*2,0)/2)))</f>
        <v/>
      </c>
      <c r="AU599">
        <f>IF(OR(AU$4="",$A599&gt;TODAY()),0,IF(OR(INDEX($B599:$D599,AU$5)="F",AND(AU$6&gt;0,$A599&lt;AU$6),AND(AU$7&gt;0,$A599&gt;AU$7)),0,MAX(0,ROUND((INDEX($E599:$G599,AU$5)-SUMIFS(TF_Timer,TF_Tekniker,AU$4,TF_Dato,$A599))*2,0)/2)))</f>
        <v/>
      </c>
      <c r="AV599">
        <f>IF(OR(AV$4="",$A599&gt;TODAY()),0,IF(OR(INDEX($B599:$D599,AV$5)="F",AND(AV$6&gt;0,$A599&lt;AV$6),AND(AV$7&gt;0,$A599&gt;AV$7)),0,MAX(0,ROUND((INDEX($E599:$G599,AV$5)-SUMIFS(TF_Timer,TF_Tekniker,AV$4,TF_Dato,$A599))*2,0)/2)))</f>
        <v/>
      </c>
      <c r="AW599">
        <f>IF(OR(AW$4="",$A599&gt;TODAY()),0,IF(OR(INDEX($B599:$D599,AW$5)="F",AND(AW$6&gt;0,$A599&lt;AW$6),AND(AW$7&gt;0,$A599&gt;AW$7)),0,MAX(0,ROUND((INDEX($E599:$G599,AW$5)-SUMIFS(TF_Timer,TF_Tekniker,AW$4,TF_Dato,$A599))*2,0)/2)))</f>
        <v/>
      </c>
      <c r="AX599">
        <f>IF(OR(AX$4="",$A599&gt;TODAY()),0,IF(OR(INDEX($B599:$D599,AX$5)="F",AND(AX$6&gt;0,$A599&lt;AX$6),AND(AX$7&gt;0,$A599&gt;AX$7)),0,MAX(0,ROUND((INDEX($E599:$G599,AX$5)-SUMIFS(TF_Timer,TF_Tekniker,AX$4,TF_Dato,$A599))*2,0)/2)))</f>
        <v/>
      </c>
      <c r="AY599">
        <f>IF(OR(AY$4="",$A599&gt;TODAY()),0,IF(OR(INDEX($B599:$D599,AY$5)="F",AND(AY$6&gt;0,$A599&lt;AY$6),AND(AY$7&gt;0,$A599&gt;AY$7)),0,MAX(0,ROUND((INDEX($E599:$G599,AY$5)-SUMIFS(TF_Timer,TF_Tekniker,AY$4,TF_Dato,$A599))*2,0)/2)))</f>
        <v/>
      </c>
      <c r="AZ599">
        <f>IF(OR(AZ$4="",$A599&gt;TODAY()),0,IF(OR(INDEX($B599:$D599,AZ$5)="F",AND(AZ$6&gt;0,$A599&lt;AZ$6),AND(AZ$7&gt;0,$A599&gt;AZ$7)),0,MAX(0,ROUND((INDEX($E599:$G599,AZ$5)-SUMIFS(TF_Timer,TF_Tekniker,AZ$4,TF_Dato,$A599))*2,0)/2)))</f>
        <v/>
      </c>
      <c r="BA599">
        <f>IF(OR(BA$4="",$A599&gt;TODAY()),0,IF(OR(INDEX($B599:$D599,BA$5)="F",AND(BA$6&gt;0,$A599&lt;BA$6),AND(BA$7&gt;0,$A599&gt;BA$7)),0,MAX(0,ROUND((INDEX($E599:$G599,BA$5)-SUMIFS(TF_Timer,TF_Tekniker,BA$4,TF_Dato,$A599))*2,0)/2)))</f>
        <v/>
      </c>
      <c r="BB599">
        <f>IF(OR(BB$4="",$A599&gt;TODAY()),0,IF(OR(INDEX($B599:$D599,BB$5)="F",AND(BB$6&gt;0,$A599&lt;BB$6),AND(BB$7&gt;0,$A599&gt;BB$7)),0,MAX(0,ROUND((INDEX($E599:$G599,BB$5)-SUMIFS(TF_Timer,TF_Tekniker,BB$4,TF_Dato,$A599))*2,0)/2)))</f>
        <v/>
      </c>
      <c r="BC599">
        <f>IF(OR(BC$4="",$A599&gt;TODAY()),0,IF(OR(INDEX($B599:$D599,BC$5)="F",AND(BC$6&gt;0,$A599&lt;BC$6),AND(BC$7&gt;0,$A599&gt;BC$7)),0,MAX(0,ROUND((INDEX($E599:$G599,BC$5)-SUMIFS(TF_Timer,TF_Tekniker,BC$4,TF_Dato,$A599))*2,0)/2)))</f>
        <v/>
      </c>
      <c r="BD599">
        <f>IF(OR(BD$4="",$A599&gt;TODAY()),0,IF(OR(INDEX($B599:$D599,BD$5)="F",AND(BD$6&gt;0,$A599&lt;BD$6),AND(BD$7&gt;0,$A599&gt;BD$7)),0,MAX(0,ROUND((INDEX($E599:$G599,BD$5)-SUMIFS(TF_Timer,TF_Tekniker,BD$4,TF_Dato,$A599))*2,0)/2)))</f>
        <v/>
      </c>
      <c r="BE599">
        <f>IF(OR(BE$4="",$A599&gt;TODAY()),0,IF(OR(INDEX($B599:$D599,BE$5)="F",AND(BE$6&gt;0,$A599&lt;BE$6),AND(BE$7&gt;0,$A599&gt;BE$7)),0,MAX(0,ROUND((INDEX($E599:$G599,BE$5)-SUMIFS(TF_Timer,TF_Tekniker,BE$4,TF_Dato,$A599))*2,0)/2)))</f>
        <v/>
      </c>
      <c r="BF599">
        <f>IF(OR(BF$4="",$A599&gt;TODAY()),0,IF(OR(INDEX($B599:$D599,BF$5)="F",AND(BF$6&gt;0,$A599&lt;BF$6),AND(BF$7&gt;0,$A599&gt;BF$7)),0,MAX(0,ROUND((INDEX($E599:$G599,BF$5)-SUMIFS(TF_Timer,TF_Tekniker,BF$4,TF_Dato,$A599))*2,0)/2)))</f>
        <v/>
      </c>
      <c r="BG599">
        <f>IF(OR(BG$4="",$A599&gt;TODAY()),0,IF(OR(INDEX($B599:$D599,BG$5)="F",AND(BG$6&gt;0,$A599&lt;BG$6),AND(BG$7&gt;0,$A599&gt;BG$7)),0,MAX(0,ROUND((INDEX($E599:$G599,BG$5)-SUMIFS(TF_Timer,TF_Tekniker,BG$4,TF_Dato,$A599))*2,0)/2)))</f>
        <v/>
      </c>
      <c r="BH599">
        <f>IF(OR(BH$4="",$A599&gt;TODAY()),0,IF(OR(INDEX($B599:$D599,BH$5)="F",AND(BH$6&gt;0,$A599&lt;BH$6),AND(BH$7&gt;0,$A599&gt;BH$7)),0,MAX(0,ROUND((INDEX($E599:$G599,BH$5)-SUMIFS(TF_Timer,TF_Tekniker,BH$4,TF_Dato,$A599))*2,0)/2)))</f>
        <v/>
      </c>
      <c r="BI599">
        <f>IF(OR(BI$4="",$A599&gt;TODAY()),0,IF(OR(INDEX($B599:$D599,BI$5)="F",AND(BI$6&gt;0,$A599&lt;BI$6),AND(BI$7&gt;0,$A599&gt;BI$7)),0,MAX(0,ROUND((INDEX($E599:$G599,BI$5)-SUMIFS(TF_Timer,TF_Tekniker,BI$4,TF_Dato,$A599))*2,0)/2)))</f>
        <v/>
      </c>
    </row>
    <row r="600">
      <c r="A600" s="64">
        <f>A599+1</f>
        <v/>
      </c>
      <c r="B600">
        <f>IF(MOD($A600-INDEX(SkiftStart,1),Syklus)&lt;DagK,"K",IF(MOD($A600-INDEX(SkiftStart,1),Syklus)&lt;DagK+DagH,"H",IF(MOD($A600-INDEX(SkiftStart,1),Syklus)&lt;DagK+DagH+DagD,"D","F")))</f>
        <v/>
      </c>
      <c r="C600">
        <f>IF(MOD($A600-INDEX(SkiftStart,2),Syklus)&lt;DagK,"K",IF(MOD($A600-INDEX(SkiftStart,2),Syklus)&lt;DagK+DagH,"H",IF(MOD($A600-INDEX(SkiftStart,2),Syklus)&lt;DagK+DagH+DagD,"D","F")))</f>
        <v/>
      </c>
      <c r="D600">
        <f>IF(MOD($A600-INDEX(SkiftStart,3),Syklus)&lt;DagK,"K",IF(MOD($A600-INDEX(SkiftStart,3),Syklus)&lt;DagK+DagH,"H",IF(MOD($A600-INDEX(SkiftStart,3),Syklus)&lt;DagK+DagH+DagD,"D","F")))</f>
        <v/>
      </c>
      <c r="E600">
        <f>IF(B600="F",0,IF(WEEKDAY($A600,2)=5,INDEX(TimerFr,MATCH(B600,FaseKode,0)),INDEX(TimerMT,MATCH(B600,FaseKode,0))))</f>
        <v/>
      </c>
      <c r="F600">
        <f>IF(C600="F",0,IF(WEEKDAY($A600,2)=5,INDEX(TimerFr,MATCH(C600,FaseKode,0)),INDEX(TimerMT,MATCH(C600,FaseKode,0))))</f>
        <v/>
      </c>
      <c r="G600">
        <f>IF(D600="F",0,IF(WEEKDAY($A600,2)=5,INDEX(TimerFr,MATCH(D600,FaseKode,0)),INDEX(TimerMT,MATCH(D600,FaseKode,0))))</f>
        <v/>
      </c>
      <c r="H600">
        <f>IF(OR(H$4="",$A600&gt;TODAY()),0,IF(OR(INDEX($B600:$D600,H$5)="F",AND(H$6&gt;0,$A600&lt;H$6),AND(H$7&gt;0,$A600&gt;H$7)),0,MAX(0,ROUND((INDEX($E600:$G600,H$5)-SUMIFS(TF_Timer,TF_Tekniker,H$4,TF_Dato,$A600))*2,0)/2)))</f>
        <v/>
      </c>
      <c r="I600">
        <f>IF(OR(I$4="",$A600&gt;TODAY()),0,IF(OR(INDEX($B600:$D600,I$5)="F",AND(I$6&gt;0,$A600&lt;I$6),AND(I$7&gt;0,$A600&gt;I$7)),0,MAX(0,ROUND((INDEX($E600:$G600,I$5)-SUMIFS(TF_Timer,TF_Tekniker,I$4,TF_Dato,$A600))*2,0)/2)))</f>
        <v/>
      </c>
      <c r="J600">
        <f>IF(OR(J$4="",$A600&gt;TODAY()),0,IF(OR(INDEX($B600:$D600,J$5)="F",AND(J$6&gt;0,$A600&lt;J$6),AND(J$7&gt;0,$A600&gt;J$7)),0,MAX(0,ROUND((INDEX($E600:$G600,J$5)-SUMIFS(TF_Timer,TF_Tekniker,J$4,TF_Dato,$A600))*2,0)/2)))</f>
        <v/>
      </c>
      <c r="K600">
        <f>IF(OR(K$4="",$A600&gt;TODAY()),0,IF(OR(INDEX($B600:$D600,K$5)="F",AND(K$6&gt;0,$A600&lt;K$6),AND(K$7&gt;0,$A600&gt;K$7)),0,MAX(0,ROUND((INDEX($E600:$G600,K$5)-SUMIFS(TF_Timer,TF_Tekniker,K$4,TF_Dato,$A600))*2,0)/2)))</f>
        <v/>
      </c>
      <c r="L600">
        <f>IF(OR(L$4="",$A600&gt;TODAY()),0,IF(OR(INDEX($B600:$D600,L$5)="F",AND(L$6&gt;0,$A600&lt;L$6),AND(L$7&gt;0,$A600&gt;L$7)),0,MAX(0,ROUND((INDEX($E600:$G600,L$5)-SUMIFS(TF_Timer,TF_Tekniker,L$4,TF_Dato,$A600))*2,0)/2)))</f>
        <v/>
      </c>
      <c r="M600">
        <f>IF(OR(M$4="",$A600&gt;TODAY()),0,IF(OR(INDEX($B600:$D600,M$5)="F",AND(M$6&gt;0,$A600&lt;M$6),AND(M$7&gt;0,$A600&gt;M$7)),0,MAX(0,ROUND((INDEX($E600:$G600,M$5)-SUMIFS(TF_Timer,TF_Tekniker,M$4,TF_Dato,$A600))*2,0)/2)))</f>
        <v/>
      </c>
      <c r="N600">
        <f>IF(OR(N$4="",$A600&gt;TODAY()),0,IF(OR(INDEX($B600:$D600,N$5)="F",AND(N$6&gt;0,$A600&lt;N$6),AND(N$7&gt;0,$A600&gt;N$7)),0,MAX(0,ROUND((INDEX($E600:$G600,N$5)-SUMIFS(TF_Timer,TF_Tekniker,N$4,TF_Dato,$A600))*2,0)/2)))</f>
        <v/>
      </c>
      <c r="O600">
        <f>IF(OR(O$4="",$A600&gt;TODAY()),0,IF(OR(INDEX($B600:$D600,O$5)="F",AND(O$6&gt;0,$A600&lt;O$6),AND(O$7&gt;0,$A600&gt;O$7)),0,MAX(0,ROUND((INDEX($E600:$G600,O$5)-SUMIFS(TF_Timer,TF_Tekniker,O$4,TF_Dato,$A600))*2,0)/2)))</f>
        <v/>
      </c>
      <c r="P600">
        <f>IF(OR(P$4="",$A600&gt;TODAY()),0,IF(OR(INDEX($B600:$D600,P$5)="F",AND(P$6&gt;0,$A600&lt;P$6),AND(P$7&gt;0,$A600&gt;P$7)),0,MAX(0,ROUND((INDEX($E600:$G600,P$5)-SUMIFS(TF_Timer,TF_Tekniker,P$4,TF_Dato,$A600))*2,0)/2)))</f>
        <v/>
      </c>
      <c r="Q600">
        <f>IF(OR(Q$4="",$A600&gt;TODAY()),0,IF(OR(INDEX($B600:$D600,Q$5)="F",AND(Q$6&gt;0,$A600&lt;Q$6),AND(Q$7&gt;0,$A600&gt;Q$7)),0,MAX(0,ROUND((INDEX($E600:$G600,Q$5)-SUMIFS(TF_Timer,TF_Tekniker,Q$4,TF_Dato,$A600))*2,0)/2)))</f>
        <v/>
      </c>
      <c r="R600">
        <f>IF(OR(R$4="",$A600&gt;TODAY()),0,IF(OR(INDEX($B600:$D600,R$5)="F",AND(R$6&gt;0,$A600&lt;R$6),AND(R$7&gt;0,$A600&gt;R$7)),0,MAX(0,ROUND((INDEX($E600:$G600,R$5)-SUMIFS(TF_Timer,TF_Tekniker,R$4,TF_Dato,$A600))*2,0)/2)))</f>
        <v/>
      </c>
      <c r="S600">
        <f>IF(OR(S$4="",$A600&gt;TODAY()),0,IF(OR(INDEX($B600:$D600,S$5)="F",AND(S$6&gt;0,$A600&lt;S$6),AND(S$7&gt;0,$A600&gt;S$7)),0,MAX(0,ROUND((INDEX($E600:$G600,S$5)-SUMIFS(TF_Timer,TF_Tekniker,S$4,TF_Dato,$A600))*2,0)/2)))</f>
        <v/>
      </c>
      <c r="T600">
        <f>IF(OR(T$4="",$A600&gt;TODAY()),0,IF(OR(INDEX($B600:$D600,T$5)="F",AND(T$6&gt;0,$A600&lt;T$6),AND(T$7&gt;0,$A600&gt;T$7)),0,MAX(0,ROUND((INDEX($E600:$G600,T$5)-SUMIFS(TF_Timer,TF_Tekniker,T$4,TF_Dato,$A600))*2,0)/2)))</f>
        <v/>
      </c>
      <c r="U600">
        <f>IF(OR(U$4="",$A600&gt;TODAY()),0,IF(OR(INDEX($B600:$D600,U$5)="F",AND(U$6&gt;0,$A600&lt;U$6),AND(U$7&gt;0,$A600&gt;U$7)),0,MAX(0,ROUND((INDEX($E600:$G600,U$5)-SUMIFS(TF_Timer,TF_Tekniker,U$4,TF_Dato,$A600))*2,0)/2)))</f>
        <v/>
      </c>
      <c r="V600">
        <f>IF(OR(V$4="",$A600&gt;TODAY()),0,IF(OR(INDEX($B600:$D600,V$5)="F",AND(V$6&gt;0,$A600&lt;V$6),AND(V$7&gt;0,$A600&gt;V$7)),0,MAX(0,ROUND((INDEX($E600:$G600,V$5)-SUMIFS(TF_Timer,TF_Tekniker,V$4,TF_Dato,$A600))*2,0)/2)))</f>
        <v/>
      </c>
      <c r="W600">
        <f>IF(OR(W$4="",$A600&gt;TODAY()),0,IF(OR(INDEX($B600:$D600,W$5)="F",AND(W$6&gt;0,$A600&lt;W$6),AND(W$7&gt;0,$A600&gt;W$7)),0,MAX(0,ROUND((INDEX($E600:$G600,W$5)-SUMIFS(TF_Timer,TF_Tekniker,W$4,TF_Dato,$A600))*2,0)/2)))</f>
        <v/>
      </c>
      <c r="X600">
        <f>IF(OR(X$4="",$A600&gt;TODAY()),0,IF(OR(INDEX($B600:$D600,X$5)="F",AND(X$6&gt;0,$A600&lt;X$6),AND(X$7&gt;0,$A600&gt;X$7)),0,MAX(0,ROUND((INDEX($E600:$G600,X$5)-SUMIFS(TF_Timer,TF_Tekniker,X$4,TF_Dato,$A600))*2,0)/2)))</f>
        <v/>
      </c>
      <c r="Y600">
        <f>IF(OR(Y$4="",$A600&gt;TODAY()),0,IF(OR(INDEX($B600:$D600,Y$5)="F",AND(Y$6&gt;0,$A600&lt;Y$6),AND(Y$7&gt;0,$A600&gt;Y$7)),0,MAX(0,ROUND((INDEX($E600:$G600,Y$5)-SUMIFS(TF_Timer,TF_Tekniker,Y$4,TF_Dato,$A600))*2,0)/2)))</f>
        <v/>
      </c>
      <c r="Z600">
        <f>IF(OR(Z$4="",$A600&gt;TODAY()),0,IF(OR(INDEX($B600:$D600,Z$5)="F",AND(Z$6&gt;0,$A600&lt;Z$6),AND(Z$7&gt;0,$A600&gt;Z$7)),0,MAX(0,ROUND((INDEX($E600:$G600,Z$5)-SUMIFS(TF_Timer,TF_Tekniker,Z$4,TF_Dato,$A600))*2,0)/2)))</f>
        <v/>
      </c>
      <c r="AA600">
        <f>IF(OR(AA$4="",$A600&gt;TODAY()),0,IF(OR(INDEX($B600:$D600,AA$5)="F",AND(AA$6&gt;0,$A600&lt;AA$6),AND(AA$7&gt;0,$A600&gt;AA$7)),0,MAX(0,ROUND((INDEX($E600:$G600,AA$5)-SUMIFS(TF_Timer,TF_Tekniker,AA$4,TF_Dato,$A600))*2,0)/2)))</f>
        <v/>
      </c>
      <c r="AB600">
        <f>IF(OR(AB$4="",$A600&gt;TODAY()),0,IF(OR(INDEX($B600:$D600,AB$5)="F",AND(AB$6&gt;0,$A600&lt;AB$6),AND(AB$7&gt;0,$A600&gt;AB$7)),0,MAX(0,ROUND((INDEX($E600:$G600,AB$5)-SUMIFS(TF_Timer,TF_Tekniker,AB$4,TF_Dato,$A600))*2,0)/2)))</f>
        <v/>
      </c>
      <c r="AC600">
        <f>IF(OR(AC$4="",$A600&gt;TODAY()),0,IF(OR(INDEX($B600:$D600,AC$5)="F",AND(AC$6&gt;0,$A600&lt;AC$6),AND(AC$7&gt;0,$A600&gt;AC$7)),0,MAX(0,ROUND((INDEX($E600:$G600,AC$5)-SUMIFS(TF_Timer,TF_Tekniker,AC$4,TF_Dato,$A600))*2,0)/2)))</f>
        <v/>
      </c>
      <c r="AD600">
        <f>IF(OR(AD$4="",$A600&gt;TODAY()),0,IF(OR(INDEX($B600:$D600,AD$5)="F",AND(AD$6&gt;0,$A600&lt;AD$6),AND(AD$7&gt;0,$A600&gt;AD$7)),0,MAX(0,ROUND((INDEX($E600:$G600,AD$5)-SUMIFS(TF_Timer,TF_Tekniker,AD$4,TF_Dato,$A600))*2,0)/2)))</f>
        <v/>
      </c>
      <c r="AE600">
        <f>IF(OR(AE$4="",$A600&gt;TODAY()),0,IF(OR(INDEX($B600:$D600,AE$5)="F",AND(AE$6&gt;0,$A600&lt;AE$6),AND(AE$7&gt;0,$A600&gt;AE$7)),0,MAX(0,ROUND((INDEX($E600:$G600,AE$5)-SUMIFS(TF_Timer,TF_Tekniker,AE$4,TF_Dato,$A600))*2,0)/2)))</f>
        <v/>
      </c>
      <c r="AF600">
        <f>IF(OR(AF$4="",$A600&gt;TODAY()),0,IF(OR(INDEX($B600:$D600,AF$5)="F",AND(AF$6&gt;0,$A600&lt;AF$6),AND(AF$7&gt;0,$A600&gt;AF$7)),0,MAX(0,ROUND((INDEX($E600:$G600,AF$5)-SUMIFS(TF_Timer,TF_Tekniker,AF$4,TF_Dato,$A600))*2,0)/2)))</f>
        <v/>
      </c>
      <c r="AG600">
        <f>IF(OR(AG$4="",$A600&gt;TODAY()),0,IF(OR(INDEX($B600:$D600,AG$5)="F",AND(AG$6&gt;0,$A600&lt;AG$6),AND(AG$7&gt;0,$A600&gt;AG$7)),0,MAX(0,ROUND((INDEX($E600:$G600,AG$5)-SUMIFS(TF_Timer,TF_Tekniker,AG$4,TF_Dato,$A600))*2,0)/2)))</f>
        <v/>
      </c>
      <c r="AH600">
        <f>IF(OR(AH$4="",$A600&gt;TODAY()),0,IF(OR(INDEX($B600:$D600,AH$5)="F",AND(AH$6&gt;0,$A600&lt;AH$6),AND(AH$7&gt;0,$A600&gt;AH$7)),0,MAX(0,ROUND((INDEX($E600:$G600,AH$5)-SUMIFS(TF_Timer,TF_Tekniker,AH$4,TF_Dato,$A600))*2,0)/2)))</f>
        <v/>
      </c>
      <c r="AI600">
        <f>IF(OR(AI$4="",$A600&gt;TODAY()),0,IF(OR(INDEX($B600:$D600,AI$5)="F",AND(AI$6&gt;0,$A600&lt;AI$6),AND(AI$7&gt;0,$A600&gt;AI$7)),0,MAX(0,ROUND((INDEX($E600:$G600,AI$5)-SUMIFS(TF_Timer,TF_Tekniker,AI$4,TF_Dato,$A600))*2,0)/2)))</f>
        <v/>
      </c>
      <c r="AJ600">
        <f>IF(OR(AJ$4="",$A600&gt;TODAY()),0,IF(OR(INDEX($B600:$D600,AJ$5)="F",AND(AJ$6&gt;0,$A600&lt;AJ$6),AND(AJ$7&gt;0,$A600&gt;AJ$7)),0,MAX(0,ROUND((INDEX($E600:$G600,AJ$5)-SUMIFS(TF_Timer,TF_Tekniker,AJ$4,TF_Dato,$A600))*2,0)/2)))</f>
        <v/>
      </c>
      <c r="AK600">
        <f>IF(OR(AK$4="",$A600&gt;TODAY()),0,IF(OR(INDEX($B600:$D600,AK$5)="F",AND(AK$6&gt;0,$A600&lt;AK$6),AND(AK$7&gt;0,$A600&gt;AK$7)),0,MAX(0,ROUND((INDEX($E600:$G600,AK$5)-SUMIFS(TF_Timer,TF_Tekniker,AK$4,TF_Dato,$A600))*2,0)/2)))</f>
        <v/>
      </c>
      <c r="AL600">
        <f>IF(OR(AL$4="",$A600&gt;TODAY()),0,IF(OR(INDEX($B600:$D600,AL$5)="F",AND(AL$6&gt;0,$A600&lt;AL$6),AND(AL$7&gt;0,$A600&gt;AL$7)),0,MAX(0,ROUND((INDEX($E600:$G600,AL$5)-SUMIFS(TF_Timer,TF_Tekniker,AL$4,TF_Dato,$A600))*2,0)/2)))</f>
        <v/>
      </c>
      <c r="AM600">
        <f>IF(OR(AM$4="",$A600&gt;TODAY()),0,IF(OR(INDEX($B600:$D600,AM$5)="F",AND(AM$6&gt;0,$A600&lt;AM$6),AND(AM$7&gt;0,$A600&gt;AM$7)),0,MAX(0,ROUND((INDEX($E600:$G600,AM$5)-SUMIFS(TF_Timer,TF_Tekniker,AM$4,TF_Dato,$A600))*2,0)/2)))</f>
        <v/>
      </c>
      <c r="AN600">
        <f>IF(OR(AN$4="",$A600&gt;TODAY()),0,IF(OR(INDEX($B600:$D600,AN$5)="F",AND(AN$6&gt;0,$A600&lt;AN$6),AND(AN$7&gt;0,$A600&gt;AN$7)),0,MAX(0,ROUND((INDEX($E600:$G600,AN$5)-SUMIFS(TF_Timer,TF_Tekniker,AN$4,TF_Dato,$A600))*2,0)/2)))</f>
        <v/>
      </c>
      <c r="AO600">
        <f>IF(OR(AO$4="",$A600&gt;TODAY()),0,IF(OR(INDEX($B600:$D600,AO$5)="F",AND(AO$6&gt;0,$A600&lt;AO$6),AND(AO$7&gt;0,$A600&gt;AO$7)),0,MAX(0,ROUND((INDEX($E600:$G600,AO$5)-SUMIFS(TF_Timer,TF_Tekniker,AO$4,TF_Dato,$A600))*2,0)/2)))</f>
        <v/>
      </c>
      <c r="AP600">
        <f>IF(OR(AP$4="",$A600&gt;TODAY()),0,IF(OR(INDEX($B600:$D600,AP$5)="F",AND(AP$6&gt;0,$A600&lt;AP$6),AND(AP$7&gt;0,$A600&gt;AP$7)),0,MAX(0,ROUND((INDEX($E600:$G600,AP$5)-SUMIFS(TF_Timer,TF_Tekniker,AP$4,TF_Dato,$A600))*2,0)/2)))</f>
        <v/>
      </c>
      <c r="AQ600">
        <f>IF(OR(AQ$4="",$A600&gt;TODAY()),0,IF(OR(INDEX($B600:$D600,AQ$5)="F",AND(AQ$6&gt;0,$A600&lt;AQ$6),AND(AQ$7&gt;0,$A600&gt;AQ$7)),0,MAX(0,ROUND((INDEX($E600:$G600,AQ$5)-SUMIFS(TF_Timer,TF_Tekniker,AQ$4,TF_Dato,$A600))*2,0)/2)))</f>
        <v/>
      </c>
      <c r="AR600">
        <f>IF(OR(AR$4="",$A600&gt;TODAY()),0,IF(OR(INDEX($B600:$D600,AR$5)="F",AND(AR$6&gt;0,$A600&lt;AR$6),AND(AR$7&gt;0,$A600&gt;AR$7)),0,MAX(0,ROUND((INDEX($E600:$G600,AR$5)-SUMIFS(TF_Timer,TF_Tekniker,AR$4,TF_Dato,$A600))*2,0)/2)))</f>
        <v/>
      </c>
      <c r="AS600">
        <f>IF(OR(AS$4="",$A600&gt;TODAY()),0,IF(OR(INDEX($B600:$D600,AS$5)="F",AND(AS$6&gt;0,$A600&lt;AS$6),AND(AS$7&gt;0,$A600&gt;AS$7)),0,MAX(0,ROUND((INDEX($E600:$G600,AS$5)-SUMIFS(TF_Timer,TF_Tekniker,AS$4,TF_Dato,$A600))*2,0)/2)))</f>
        <v/>
      </c>
      <c r="AT600">
        <f>IF(OR(AT$4="",$A600&gt;TODAY()),0,IF(OR(INDEX($B600:$D600,AT$5)="F",AND(AT$6&gt;0,$A600&lt;AT$6),AND(AT$7&gt;0,$A600&gt;AT$7)),0,MAX(0,ROUND((INDEX($E600:$G600,AT$5)-SUMIFS(TF_Timer,TF_Tekniker,AT$4,TF_Dato,$A600))*2,0)/2)))</f>
        <v/>
      </c>
      <c r="AU600">
        <f>IF(OR(AU$4="",$A600&gt;TODAY()),0,IF(OR(INDEX($B600:$D600,AU$5)="F",AND(AU$6&gt;0,$A600&lt;AU$6),AND(AU$7&gt;0,$A600&gt;AU$7)),0,MAX(0,ROUND((INDEX($E600:$G600,AU$5)-SUMIFS(TF_Timer,TF_Tekniker,AU$4,TF_Dato,$A600))*2,0)/2)))</f>
        <v/>
      </c>
      <c r="AV600">
        <f>IF(OR(AV$4="",$A600&gt;TODAY()),0,IF(OR(INDEX($B600:$D600,AV$5)="F",AND(AV$6&gt;0,$A600&lt;AV$6),AND(AV$7&gt;0,$A600&gt;AV$7)),0,MAX(0,ROUND((INDEX($E600:$G600,AV$5)-SUMIFS(TF_Timer,TF_Tekniker,AV$4,TF_Dato,$A600))*2,0)/2)))</f>
        <v/>
      </c>
      <c r="AW600">
        <f>IF(OR(AW$4="",$A600&gt;TODAY()),0,IF(OR(INDEX($B600:$D600,AW$5)="F",AND(AW$6&gt;0,$A600&lt;AW$6),AND(AW$7&gt;0,$A600&gt;AW$7)),0,MAX(0,ROUND((INDEX($E600:$G600,AW$5)-SUMIFS(TF_Timer,TF_Tekniker,AW$4,TF_Dato,$A600))*2,0)/2)))</f>
        <v/>
      </c>
      <c r="AX600">
        <f>IF(OR(AX$4="",$A600&gt;TODAY()),0,IF(OR(INDEX($B600:$D600,AX$5)="F",AND(AX$6&gt;0,$A600&lt;AX$6),AND(AX$7&gt;0,$A600&gt;AX$7)),0,MAX(0,ROUND((INDEX($E600:$G600,AX$5)-SUMIFS(TF_Timer,TF_Tekniker,AX$4,TF_Dato,$A600))*2,0)/2)))</f>
        <v/>
      </c>
      <c r="AY600">
        <f>IF(OR(AY$4="",$A600&gt;TODAY()),0,IF(OR(INDEX($B600:$D600,AY$5)="F",AND(AY$6&gt;0,$A600&lt;AY$6),AND(AY$7&gt;0,$A600&gt;AY$7)),0,MAX(0,ROUND((INDEX($E600:$G600,AY$5)-SUMIFS(TF_Timer,TF_Tekniker,AY$4,TF_Dato,$A600))*2,0)/2)))</f>
        <v/>
      </c>
      <c r="AZ600">
        <f>IF(OR(AZ$4="",$A600&gt;TODAY()),0,IF(OR(INDEX($B600:$D600,AZ$5)="F",AND(AZ$6&gt;0,$A600&lt;AZ$6),AND(AZ$7&gt;0,$A600&gt;AZ$7)),0,MAX(0,ROUND((INDEX($E600:$G600,AZ$5)-SUMIFS(TF_Timer,TF_Tekniker,AZ$4,TF_Dato,$A600))*2,0)/2)))</f>
        <v/>
      </c>
      <c r="BA600">
        <f>IF(OR(BA$4="",$A600&gt;TODAY()),0,IF(OR(INDEX($B600:$D600,BA$5)="F",AND(BA$6&gt;0,$A600&lt;BA$6),AND(BA$7&gt;0,$A600&gt;BA$7)),0,MAX(0,ROUND((INDEX($E600:$G600,BA$5)-SUMIFS(TF_Timer,TF_Tekniker,BA$4,TF_Dato,$A600))*2,0)/2)))</f>
        <v/>
      </c>
      <c r="BB600">
        <f>IF(OR(BB$4="",$A600&gt;TODAY()),0,IF(OR(INDEX($B600:$D600,BB$5)="F",AND(BB$6&gt;0,$A600&lt;BB$6),AND(BB$7&gt;0,$A600&gt;BB$7)),0,MAX(0,ROUND((INDEX($E600:$G600,BB$5)-SUMIFS(TF_Timer,TF_Tekniker,BB$4,TF_Dato,$A600))*2,0)/2)))</f>
        <v/>
      </c>
      <c r="BC600">
        <f>IF(OR(BC$4="",$A600&gt;TODAY()),0,IF(OR(INDEX($B600:$D600,BC$5)="F",AND(BC$6&gt;0,$A600&lt;BC$6),AND(BC$7&gt;0,$A600&gt;BC$7)),0,MAX(0,ROUND((INDEX($E600:$G600,BC$5)-SUMIFS(TF_Timer,TF_Tekniker,BC$4,TF_Dato,$A600))*2,0)/2)))</f>
        <v/>
      </c>
      <c r="BD600">
        <f>IF(OR(BD$4="",$A600&gt;TODAY()),0,IF(OR(INDEX($B600:$D600,BD$5)="F",AND(BD$6&gt;0,$A600&lt;BD$6),AND(BD$7&gt;0,$A600&gt;BD$7)),0,MAX(0,ROUND((INDEX($E600:$G600,BD$5)-SUMIFS(TF_Timer,TF_Tekniker,BD$4,TF_Dato,$A600))*2,0)/2)))</f>
        <v/>
      </c>
      <c r="BE600">
        <f>IF(OR(BE$4="",$A600&gt;TODAY()),0,IF(OR(INDEX($B600:$D600,BE$5)="F",AND(BE$6&gt;0,$A600&lt;BE$6),AND(BE$7&gt;0,$A600&gt;BE$7)),0,MAX(0,ROUND((INDEX($E600:$G600,BE$5)-SUMIFS(TF_Timer,TF_Tekniker,BE$4,TF_Dato,$A600))*2,0)/2)))</f>
        <v/>
      </c>
      <c r="BF600">
        <f>IF(OR(BF$4="",$A600&gt;TODAY()),0,IF(OR(INDEX($B600:$D600,BF$5)="F",AND(BF$6&gt;0,$A600&lt;BF$6),AND(BF$7&gt;0,$A600&gt;BF$7)),0,MAX(0,ROUND((INDEX($E600:$G600,BF$5)-SUMIFS(TF_Timer,TF_Tekniker,BF$4,TF_Dato,$A600))*2,0)/2)))</f>
        <v/>
      </c>
      <c r="BG600">
        <f>IF(OR(BG$4="",$A600&gt;TODAY()),0,IF(OR(INDEX($B600:$D600,BG$5)="F",AND(BG$6&gt;0,$A600&lt;BG$6),AND(BG$7&gt;0,$A600&gt;BG$7)),0,MAX(0,ROUND((INDEX($E600:$G600,BG$5)-SUMIFS(TF_Timer,TF_Tekniker,BG$4,TF_Dato,$A600))*2,0)/2)))</f>
        <v/>
      </c>
      <c r="BH600">
        <f>IF(OR(BH$4="",$A600&gt;TODAY()),0,IF(OR(INDEX($B600:$D600,BH$5)="F",AND(BH$6&gt;0,$A600&lt;BH$6),AND(BH$7&gt;0,$A600&gt;BH$7)),0,MAX(0,ROUND((INDEX($E600:$G600,BH$5)-SUMIFS(TF_Timer,TF_Tekniker,BH$4,TF_Dato,$A600))*2,0)/2)))</f>
        <v/>
      </c>
      <c r="BI600">
        <f>IF(OR(BI$4="",$A600&gt;TODAY()),0,IF(OR(INDEX($B600:$D600,BI$5)="F",AND(BI$6&gt;0,$A600&lt;BI$6),AND(BI$7&gt;0,$A600&gt;BI$7)),0,MAX(0,ROUND((INDEX($E600:$G600,BI$5)-SUMIFS(TF_Timer,TF_Tekniker,BI$4,TF_Dato,$A600))*2,0)/2)))</f>
        <v/>
      </c>
    </row>
    <row r="601">
      <c r="A601" s="64">
        <f>A600+1</f>
        <v/>
      </c>
      <c r="B601">
        <f>IF(MOD($A601-INDEX(SkiftStart,1),Syklus)&lt;DagK,"K",IF(MOD($A601-INDEX(SkiftStart,1),Syklus)&lt;DagK+DagH,"H",IF(MOD($A601-INDEX(SkiftStart,1),Syklus)&lt;DagK+DagH+DagD,"D","F")))</f>
        <v/>
      </c>
      <c r="C601">
        <f>IF(MOD($A601-INDEX(SkiftStart,2),Syklus)&lt;DagK,"K",IF(MOD($A601-INDEX(SkiftStart,2),Syklus)&lt;DagK+DagH,"H",IF(MOD($A601-INDEX(SkiftStart,2),Syklus)&lt;DagK+DagH+DagD,"D","F")))</f>
        <v/>
      </c>
      <c r="D601">
        <f>IF(MOD($A601-INDEX(SkiftStart,3),Syklus)&lt;DagK,"K",IF(MOD($A601-INDEX(SkiftStart,3),Syklus)&lt;DagK+DagH,"H",IF(MOD($A601-INDEX(SkiftStart,3),Syklus)&lt;DagK+DagH+DagD,"D","F")))</f>
        <v/>
      </c>
      <c r="E601">
        <f>IF(B601="F",0,IF(WEEKDAY($A601,2)=5,INDEX(TimerFr,MATCH(B601,FaseKode,0)),INDEX(TimerMT,MATCH(B601,FaseKode,0))))</f>
        <v/>
      </c>
      <c r="F601">
        <f>IF(C601="F",0,IF(WEEKDAY($A601,2)=5,INDEX(TimerFr,MATCH(C601,FaseKode,0)),INDEX(TimerMT,MATCH(C601,FaseKode,0))))</f>
        <v/>
      </c>
      <c r="G601">
        <f>IF(D601="F",0,IF(WEEKDAY($A601,2)=5,INDEX(TimerFr,MATCH(D601,FaseKode,0)),INDEX(TimerMT,MATCH(D601,FaseKode,0))))</f>
        <v/>
      </c>
      <c r="H601">
        <f>IF(OR(H$4="",$A601&gt;TODAY()),0,IF(OR(INDEX($B601:$D601,H$5)="F",AND(H$6&gt;0,$A601&lt;H$6),AND(H$7&gt;0,$A601&gt;H$7)),0,MAX(0,ROUND((INDEX($E601:$G601,H$5)-SUMIFS(TF_Timer,TF_Tekniker,H$4,TF_Dato,$A601))*2,0)/2)))</f>
        <v/>
      </c>
      <c r="I601">
        <f>IF(OR(I$4="",$A601&gt;TODAY()),0,IF(OR(INDEX($B601:$D601,I$5)="F",AND(I$6&gt;0,$A601&lt;I$6),AND(I$7&gt;0,$A601&gt;I$7)),0,MAX(0,ROUND((INDEX($E601:$G601,I$5)-SUMIFS(TF_Timer,TF_Tekniker,I$4,TF_Dato,$A601))*2,0)/2)))</f>
        <v/>
      </c>
      <c r="J601">
        <f>IF(OR(J$4="",$A601&gt;TODAY()),0,IF(OR(INDEX($B601:$D601,J$5)="F",AND(J$6&gt;0,$A601&lt;J$6),AND(J$7&gt;0,$A601&gt;J$7)),0,MAX(0,ROUND((INDEX($E601:$G601,J$5)-SUMIFS(TF_Timer,TF_Tekniker,J$4,TF_Dato,$A601))*2,0)/2)))</f>
        <v/>
      </c>
      <c r="K601">
        <f>IF(OR(K$4="",$A601&gt;TODAY()),0,IF(OR(INDEX($B601:$D601,K$5)="F",AND(K$6&gt;0,$A601&lt;K$6),AND(K$7&gt;0,$A601&gt;K$7)),0,MAX(0,ROUND((INDEX($E601:$G601,K$5)-SUMIFS(TF_Timer,TF_Tekniker,K$4,TF_Dato,$A601))*2,0)/2)))</f>
        <v/>
      </c>
      <c r="L601">
        <f>IF(OR(L$4="",$A601&gt;TODAY()),0,IF(OR(INDEX($B601:$D601,L$5)="F",AND(L$6&gt;0,$A601&lt;L$6),AND(L$7&gt;0,$A601&gt;L$7)),0,MAX(0,ROUND((INDEX($E601:$G601,L$5)-SUMIFS(TF_Timer,TF_Tekniker,L$4,TF_Dato,$A601))*2,0)/2)))</f>
        <v/>
      </c>
      <c r="M601">
        <f>IF(OR(M$4="",$A601&gt;TODAY()),0,IF(OR(INDEX($B601:$D601,M$5)="F",AND(M$6&gt;0,$A601&lt;M$6),AND(M$7&gt;0,$A601&gt;M$7)),0,MAX(0,ROUND((INDEX($E601:$G601,M$5)-SUMIFS(TF_Timer,TF_Tekniker,M$4,TF_Dato,$A601))*2,0)/2)))</f>
        <v/>
      </c>
      <c r="N601">
        <f>IF(OR(N$4="",$A601&gt;TODAY()),0,IF(OR(INDEX($B601:$D601,N$5)="F",AND(N$6&gt;0,$A601&lt;N$6),AND(N$7&gt;0,$A601&gt;N$7)),0,MAX(0,ROUND((INDEX($E601:$G601,N$5)-SUMIFS(TF_Timer,TF_Tekniker,N$4,TF_Dato,$A601))*2,0)/2)))</f>
        <v/>
      </c>
      <c r="O601">
        <f>IF(OR(O$4="",$A601&gt;TODAY()),0,IF(OR(INDEX($B601:$D601,O$5)="F",AND(O$6&gt;0,$A601&lt;O$6),AND(O$7&gt;0,$A601&gt;O$7)),0,MAX(0,ROUND((INDEX($E601:$G601,O$5)-SUMIFS(TF_Timer,TF_Tekniker,O$4,TF_Dato,$A601))*2,0)/2)))</f>
        <v/>
      </c>
      <c r="P601">
        <f>IF(OR(P$4="",$A601&gt;TODAY()),0,IF(OR(INDEX($B601:$D601,P$5)="F",AND(P$6&gt;0,$A601&lt;P$6),AND(P$7&gt;0,$A601&gt;P$7)),0,MAX(0,ROUND((INDEX($E601:$G601,P$5)-SUMIFS(TF_Timer,TF_Tekniker,P$4,TF_Dato,$A601))*2,0)/2)))</f>
        <v/>
      </c>
      <c r="Q601">
        <f>IF(OR(Q$4="",$A601&gt;TODAY()),0,IF(OR(INDEX($B601:$D601,Q$5)="F",AND(Q$6&gt;0,$A601&lt;Q$6),AND(Q$7&gt;0,$A601&gt;Q$7)),0,MAX(0,ROUND((INDEX($E601:$G601,Q$5)-SUMIFS(TF_Timer,TF_Tekniker,Q$4,TF_Dato,$A601))*2,0)/2)))</f>
        <v/>
      </c>
      <c r="R601">
        <f>IF(OR(R$4="",$A601&gt;TODAY()),0,IF(OR(INDEX($B601:$D601,R$5)="F",AND(R$6&gt;0,$A601&lt;R$6),AND(R$7&gt;0,$A601&gt;R$7)),0,MAX(0,ROUND((INDEX($E601:$G601,R$5)-SUMIFS(TF_Timer,TF_Tekniker,R$4,TF_Dato,$A601))*2,0)/2)))</f>
        <v/>
      </c>
      <c r="S601">
        <f>IF(OR(S$4="",$A601&gt;TODAY()),0,IF(OR(INDEX($B601:$D601,S$5)="F",AND(S$6&gt;0,$A601&lt;S$6),AND(S$7&gt;0,$A601&gt;S$7)),0,MAX(0,ROUND((INDEX($E601:$G601,S$5)-SUMIFS(TF_Timer,TF_Tekniker,S$4,TF_Dato,$A601))*2,0)/2)))</f>
        <v/>
      </c>
      <c r="T601">
        <f>IF(OR(T$4="",$A601&gt;TODAY()),0,IF(OR(INDEX($B601:$D601,T$5)="F",AND(T$6&gt;0,$A601&lt;T$6),AND(T$7&gt;0,$A601&gt;T$7)),0,MAX(0,ROUND((INDEX($E601:$G601,T$5)-SUMIFS(TF_Timer,TF_Tekniker,T$4,TF_Dato,$A601))*2,0)/2)))</f>
        <v/>
      </c>
      <c r="U601">
        <f>IF(OR(U$4="",$A601&gt;TODAY()),0,IF(OR(INDEX($B601:$D601,U$5)="F",AND(U$6&gt;0,$A601&lt;U$6),AND(U$7&gt;0,$A601&gt;U$7)),0,MAX(0,ROUND((INDEX($E601:$G601,U$5)-SUMIFS(TF_Timer,TF_Tekniker,U$4,TF_Dato,$A601))*2,0)/2)))</f>
        <v/>
      </c>
      <c r="V601">
        <f>IF(OR(V$4="",$A601&gt;TODAY()),0,IF(OR(INDEX($B601:$D601,V$5)="F",AND(V$6&gt;0,$A601&lt;V$6),AND(V$7&gt;0,$A601&gt;V$7)),0,MAX(0,ROUND((INDEX($E601:$G601,V$5)-SUMIFS(TF_Timer,TF_Tekniker,V$4,TF_Dato,$A601))*2,0)/2)))</f>
        <v/>
      </c>
      <c r="W601">
        <f>IF(OR(W$4="",$A601&gt;TODAY()),0,IF(OR(INDEX($B601:$D601,W$5)="F",AND(W$6&gt;0,$A601&lt;W$6),AND(W$7&gt;0,$A601&gt;W$7)),0,MAX(0,ROUND((INDEX($E601:$G601,W$5)-SUMIFS(TF_Timer,TF_Tekniker,W$4,TF_Dato,$A601))*2,0)/2)))</f>
        <v/>
      </c>
      <c r="X601">
        <f>IF(OR(X$4="",$A601&gt;TODAY()),0,IF(OR(INDEX($B601:$D601,X$5)="F",AND(X$6&gt;0,$A601&lt;X$6),AND(X$7&gt;0,$A601&gt;X$7)),0,MAX(0,ROUND((INDEX($E601:$G601,X$5)-SUMIFS(TF_Timer,TF_Tekniker,X$4,TF_Dato,$A601))*2,0)/2)))</f>
        <v/>
      </c>
      <c r="Y601">
        <f>IF(OR(Y$4="",$A601&gt;TODAY()),0,IF(OR(INDEX($B601:$D601,Y$5)="F",AND(Y$6&gt;0,$A601&lt;Y$6),AND(Y$7&gt;0,$A601&gt;Y$7)),0,MAX(0,ROUND((INDEX($E601:$G601,Y$5)-SUMIFS(TF_Timer,TF_Tekniker,Y$4,TF_Dato,$A601))*2,0)/2)))</f>
        <v/>
      </c>
      <c r="Z601">
        <f>IF(OR(Z$4="",$A601&gt;TODAY()),0,IF(OR(INDEX($B601:$D601,Z$5)="F",AND(Z$6&gt;0,$A601&lt;Z$6),AND(Z$7&gt;0,$A601&gt;Z$7)),0,MAX(0,ROUND((INDEX($E601:$G601,Z$5)-SUMIFS(TF_Timer,TF_Tekniker,Z$4,TF_Dato,$A601))*2,0)/2)))</f>
        <v/>
      </c>
      <c r="AA601">
        <f>IF(OR(AA$4="",$A601&gt;TODAY()),0,IF(OR(INDEX($B601:$D601,AA$5)="F",AND(AA$6&gt;0,$A601&lt;AA$6),AND(AA$7&gt;0,$A601&gt;AA$7)),0,MAX(0,ROUND((INDEX($E601:$G601,AA$5)-SUMIFS(TF_Timer,TF_Tekniker,AA$4,TF_Dato,$A601))*2,0)/2)))</f>
        <v/>
      </c>
      <c r="AB601">
        <f>IF(OR(AB$4="",$A601&gt;TODAY()),0,IF(OR(INDEX($B601:$D601,AB$5)="F",AND(AB$6&gt;0,$A601&lt;AB$6),AND(AB$7&gt;0,$A601&gt;AB$7)),0,MAX(0,ROUND((INDEX($E601:$G601,AB$5)-SUMIFS(TF_Timer,TF_Tekniker,AB$4,TF_Dato,$A601))*2,0)/2)))</f>
        <v/>
      </c>
      <c r="AC601">
        <f>IF(OR(AC$4="",$A601&gt;TODAY()),0,IF(OR(INDEX($B601:$D601,AC$5)="F",AND(AC$6&gt;0,$A601&lt;AC$6),AND(AC$7&gt;0,$A601&gt;AC$7)),0,MAX(0,ROUND((INDEX($E601:$G601,AC$5)-SUMIFS(TF_Timer,TF_Tekniker,AC$4,TF_Dato,$A601))*2,0)/2)))</f>
        <v/>
      </c>
      <c r="AD601">
        <f>IF(OR(AD$4="",$A601&gt;TODAY()),0,IF(OR(INDEX($B601:$D601,AD$5)="F",AND(AD$6&gt;0,$A601&lt;AD$6),AND(AD$7&gt;0,$A601&gt;AD$7)),0,MAX(0,ROUND((INDEX($E601:$G601,AD$5)-SUMIFS(TF_Timer,TF_Tekniker,AD$4,TF_Dato,$A601))*2,0)/2)))</f>
        <v/>
      </c>
      <c r="AE601">
        <f>IF(OR(AE$4="",$A601&gt;TODAY()),0,IF(OR(INDEX($B601:$D601,AE$5)="F",AND(AE$6&gt;0,$A601&lt;AE$6),AND(AE$7&gt;0,$A601&gt;AE$7)),0,MAX(0,ROUND((INDEX($E601:$G601,AE$5)-SUMIFS(TF_Timer,TF_Tekniker,AE$4,TF_Dato,$A601))*2,0)/2)))</f>
        <v/>
      </c>
      <c r="AF601">
        <f>IF(OR(AF$4="",$A601&gt;TODAY()),0,IF(OR(INDEX($B601:$D601,AF$5)="F",AND(AF$6&gt;0,$A601&lt;AF$6),AND(AF$7&gt;0,$A601&gt;AF$7)),0,MAX(0,ROUND((INDEX($E601:$G601,AF$5)-SUMIFS(TF_Timer,TF_Tekniker,AF$4,TF_Dato,$A601))*2,0)/2)))</f>
        <v/>
      </c>
      <c r="AG601">
        <f>IF(OR(AG$4="",$A601&gt;TODAY()),0,IF(OR(INDEX($B601:$D601,AG$5)="F",AND(AG$6&gt;0,$A601&lt;AG$6),AND(AG$7&gt;0,$A601&gt;AG$7)),0,MAX(0,ROUND((INDEX($E601:$G601,AG$5)-SUMIFS(TF_Timer,TF_Tekniker,AG$4,TF_Dato,$A601))*2,0)/2)))</f>
        <v/>
      </c>
      <c r="AH601">
        <f>IF(OR(AH$4="",$A601&gt;TODAY()),0,IF(OR(INDEX($B601:$D601,AH$5)="F",AND(AH$6&gt;0,$A601&lt;AH$6),AND(AH$7&gt;0,$A601&gt;AH$7)),0,MAX(0,ROUND((INDEX($E601:$G601,AH$5)-SUMIFS(TF_Timer,TF_Tekniker,AH$4,TF_Dato,$A601))*2,0)/2)))</f>
        <v/>
      </c>
      <c r="AI601">
        <f>IF(OR(AI$4="",$A601&gt;TODAY()),0,IF(OR(INDEX($B601:$D601,AI$5)="F",AND(AI$6&gt;0,$A601&lt;AI$6),AND(AI$7&gt;0,$A601&gt;AI$7)),0,MAX(0,ROUND((INDEX($E601:$G601,AI$5)-SUMIFS(TF_Timer,TF_Tekniker,AI$4,TF_Dato,$A601))*2,0)/2)))</f>
        <v/>
      </c>
      <c r="AJ601">
        <f>IF(OR(AJ$4="",$A601&gt;TODAY()),0,IF(OR(INDEX($B601:$D601,AJ$5)="F",AND(AJ$6&gt;0,$A601&lt;AJ$6),AND(AJ$7&gt;0,$A601&gt;AJ$7)),0,MAX(0,ROUND((INDEX($E601:$G601,AJ$5)-SUMIFS(TF_Timer,TF_Tekniker,AJ$4,TF_Dato,$A601))*2,0)/2)))</f>
        <v/>
      </c>
      <c r="AK601">
        <f>IF(OR(AK$4="",$A601&gt;TODAY()),0,IF(OR(INDEX($B601:$D601,AK$5)="F",AND(AK$6&gt;0,$A601&lt;AK$6),AND(AK$7&gt;0,$A601&gt;AK$7)),0,MAX(0,ROUND((INDEX($E601:$G601,AK$5)-SUMIFS(TF_Timer,TF_Tekniker,AK$4,TF_Dato,$A601))*2,0)/2)))</f>
        <v/>
      </c>
      <c r="AL601">
        <f>IF(OR(AL$4="",$A601&gt;TODAY()),0,IF(OR(INDEX($B601:$D601,AL$5)="F",AND(AL$6&gt;0,$A601&lt;AL$6),AND(AL$7&gt;0,$A601&gt;AL$7)),0,MAX(0,ROUND((INDEX($E601:$G601,AL$5)-SUMIFS(TF_Timer,TF_Tekniker,AL$4,TF_Dato,$A601))*2,0)/2)))</f>
        <v/>
      </c>
      <c r="AM601">
        <f>IF(OR(AM$4="",$A601&gt;TODAY()),0,IF(OR(INDEX($B601:$D601,AM$5)="F",AND(AM$6&gt;0,$A601&lt;AM$6),AND(AM$7&gt;0,$A601&gt;AM$7)),0,MAX(0,ROUND((INDEX($E601:$G601,AM$5)-SUMIFS(TF_Timer,TF_Tekniker,AM$4,TF_Dato,$A601))*2,0)/2)))</f>
        <v/>
      </c>
      <c r="AN601">
        <f>IF(OR(AN$4="",$A601&gt;TODAY()),0,IF(OR(INDEX($B601:$D601,AN$5)="F",AND(AN$6&gt;0,$A601&lt;AN$6),AND(AN$7&gt;0,$A601&gt;AN$7)),0,MAX(0,ROUND((INDEX($E601:$G601,AN$5)-SUMIFS(TF_Timer,TF_Tekniker,AN$4,TF_Dato,$A601))*2,0)/2)))</f>
        <v/>
      </c>
      <c r="AO601">
        <f>IF(OR(AO$4="",$A601&gt;TODAY()),0,IF(OR(INDEX($B601:$D601,AO$5)="F",AND(AO$6&gt;0,$A601&lt;AO$6),AND(AO$7&gt;0,$A601&gt;AO$7)),0,MAX(0,ROUND((INDEX($E601:$G601,AO$5)-SUMIFS(TF_Timer,TF_Tekniker,AO$4,TF_Dato,$A601))*2,0)/2)))</f>
        <v/>
      </c>
      <c r="AP601">
        <f>IF(OR(AP$4="",$A601&gt;TODAY()),0,IF(OR(INDEX($B601:$D601,AP$5)="F",AND(AP$6&gt;0,$A601&lt;AP$6),AND(AP$7&gt;0,$A601&gt;AP$7)),0,MAX(0,ROUND((INDEX($E601:$G601,AP$5)-SUMIFS(TF_Timer,TF_Tekniker,AP$4,TF_Dato,$A601))*2,0)/2)))</f>
        <v/>
      </c>
      <c r="AQ601">
        <f>IF(OR(AQ$4="",$A601&gt;TODAY()),0,IF(OR(INDEX($B601:$D601,AQ$5)="F",AND(AQ$6&gt;0,$A601&lt;AQ$6),AND(AQ$7&gt;0,$A601&gt;AQ$7)),0,MAX(0,ROUND((INDEX($E601:$G601,AQ$5)-SUMIFS(TF_Timer,TF_Tekniker,AQ$4,TF_Dato,$A601))*2,0)/2)))</f>
        <v/>
      </c>
      <c r="AR601">
        <f>IF(OR(AR$4="",$A601&gt;TODAY()),0,IF(OR(INDEX($B601:$D601,AR$5)="F",AND(AR$6&gt;0,$A601&lt;AR$6),AND(AR$7&gt;0,$A601&gt;AR$7)),0,MAX(0,ROUND((INDEX($E601:$G601,AR$5)-SUMIFS(TF_Timer,TF_Tekniker,AR$4,TF_Dato,$A601))*2,0)/2)))</f>
        <v/>
      </c>
      <c r="AS601">
        <f>IF(OR(AS$4="",$A601&gt;TODAY()),0,IF(OR(INDEX($B601:$D601,AS$5)="F",AND(AS$6&gt;0,$A601&lt;AS$6),AND(AS$7&gt;0,$A601&gt;AS$7)),0,MAX(0,ROUND((INDEX($E601:$G601,AS$5)-SUMIFS(TF_Timer,TF_Tekniker,AS$4,TF_Dato,$A601))*2,0)/2)))</f>
        <v/>
      </c>
      <c r="AT601">
        <f>IF(OR(AT$4="",$A601&gt;TODAY()),0,IF(OR(INDEX($B601:$D601,AT$5)="F",AND(AT$6&gt;0,$A601&lt;AT$6),AND(AT$7&gt;0,$A601&gt;AT$7)),0,MAX(0,ROUND((INDEX($E601:$G601,AT$5)-SUMIFS(TF_Timer,TF_Tekniker,AT$4,TF_Dato,$A601))*2,0)/2)))</f>
        <v/>
      </c>
      <c r="AU601">
        <f>IF(OR(AU$4="",$A601&gt;TODAY()),0,IF(OR(INDEX($B601:$D601,AU$5)="F",AND(AU$6&gt;0,$A601&lt;AU$6),AND(AU$7&gt;0,$A601&gt;AU$7)),0,MAX(0,ROUND((INDEX($E601:$G601,AU$5)-SUMIFS(TF_Timer,TF_Tekniker,AU$4,TF_Dato,$A601))*2,0)/2)))</f>
        <v/>
      </c>
      <c r="AV601">
        <f>IF(OR(AV$4="",$A601&gt;TODAY()),0,IF(OR(INDEX($B601:$D601,AV$5)="F",AND(AV$6&gt;0,$A601&lt;AV$6),AND(AV$7&gt;0,$A601&gt;AV$7)),0,MAX(0,ROUND((INDEX($E601:$G601,AV$5)-SUMIFS(TF_Timer,TF_Tekniker,AV$4,TF_Dato,$A601))*2,0)/2)))</f>
        <v/>
      </c>
      <c r="AW601">
        <f>IF(OR(AW$4="",$A601&gt;TODAY()),0,IF(OR(INDEX($B601:$D601,AW$5)="F",AND(AW$6&gt;0,$A601&lt;AW$6),AND(AW$7&gt;0,$A601&gt;AW$7)),0,MAX(0,ROUND((INDEX($E601:$G601,AW$5)-SUMIFS(TF_Timer,TF_Tekniker,AW$4,TF_Dato,$A601))*2,0)/2)))</f>
        <v/>
      </c>
      <c r="AX601">
        <f>IF(OR(AX$4="",$A601&gt;TODAY()),0,IF(OR(INDEX($B601:$D601,AX$5)="F",AND(AX$6&gt;0,$A601&lt;AX$6),AND(AX$7&gt;0,$A601&gt;AX$7)),0,MAX(0,ROUND((INDEX($E601:$G601,AX$5)-SUMIFS(TF_Timer,TF_Tekniker,AX$4,TF_Dato,$A601))*2,0)/2)))</f>
        <v/>
      </c>
      <c r="AY601">
        <f>IF(OR(AY$4="",$A601&gt;TODAY()),0,IF(OR(INDEX($B601:$D601,AY$5)="F",AND(AY$6&gt;0,$A601&lt;AY$6),AND(AY$7&gt;0,$A601&gt;AY$7)),0,MAX(0,ROUND((INDEX($E601:$G601,AY$5)-SUMIFS(TF_Timer,TF_Tekniker,AY$4,TF_Dato,$A601))*2,0)/2)))</f>
        <v/>
      </c>
      <c r="AZ601">
        <f>IF(OR(AZ$4="",$A601&gt;TODAY()),0,IF(OR(INDEX($B601:$D601,AZ$5)="F",AND(AZ$6&gt;0,$A601&lt;AZ$6),AND(AZ$7&gt;0,$A601&gt;AZ$7)),0,MAX(0,ROUND((INDEX($E601:$G601,AZ$5)-SUMIFS(TF_Timer,TF_Tekniker,AZ$4,TF_Dato,$A601))*2,0)/2)))</f>
        <v/>
      </c>
      <c r="BA601">
        <f>IF(OR(BA$4="",$A601&gt;TODAY()),0,IF(OR(INDEX($B601:$D601,BA$5)="F",AND(BA$6&gt;0,$A601&lt;BA$6),AND(BA$7&gt;0,$A601&gt;BA$7)),0,MAX(0,ROUND((INDEX($E601:$G601,BA$5)-SUMIFS(TF_Timer,TF_Tekniker,BA$4,TF_Dato,$A601))*2,0)/2)))</f>
        <v/>
      </c>
      <c r="BB601">
        <f>IF(OR(BB$4="",$A601&gt;TODAY()),0,IF(OR(INDEX($B601:$D601,BB$5)="F",AND(BB$6&gt;0,$A601&lt;BB$6),AND(BB$7&gt;0,$A601&gt;BB$7)),0,MAX(0,ROUND((INDEX($E601:$G601,BB$5)-SUMIFS(TF_Timer,TF_Tekniker,BB$4,TF_Dato,$A601))*2,0)/2)))</f>
        <v/>
      </c>
      <c r="BC601">
        <f>IF(OR(BC$4="",$A601&gt;TODAY()),0,IF(OR(INDEX($B601:$D601,BC$5)="F",AND(BC$6&gt;0,$A601&lt;BC$6),AND(BC$7&gt;0,$A601&gt;BC$7)),0,MAX(0,ROUND((INDEX($E601:$G601,BC$5)-SUMIFS(TF_Timer,TF_Tekniker,BC$4,TF_Dato,$A601))*2,0)/2)))</f>
        <v/>
      </c>
      <c r="BD601">
        <f>IF(OR(BD$4="",$A601&gt;TODAY()),0,IF(OR(INDEX($B601:$D601,BD$5)="F",AND(BD$6&gt;0,$A601&lt;BD$6),AND(BD$7&gt;0,$A601&gt;BD$7)),0,MAX(0,ROUND((INDEX($E601:$G601,BD$5)-SUMIFS(TF_Timer,TF_Tekniker,BD$4,TF_Dato,$A601))*2,0)/2)))</f>
        <v/>
      </c>
      <c r="BE601">
        <f>IF(OR(BE$4="",$A601&gt;TODAY()),0,IF(OR(INDEX($B601:$D601,BE$5)="F",AND(BE$6&gt;0,$A601&lt;BE$6),AND(BE$7&gt;0,$A601&gt;BE$7)),0,MAX(0,ROUND((INDEX($E601:$G601,BE$5)-SUMIFS(TF_Timer,TF_Tekniker,BE$4,TF_Dato,$A601))*2,0)/2)))</f>
        <v/>
      </c>
      <c r="BF601">
        <f>IF(OR(BF$4="",$A601&gt;TODAY()),0,IF(OR(INDEX($B601:$D601,BF$5)="F",AND(BF$6&gt;0,$A601&lt;BF$6),AND(BF$7&gt;0,$A601&gt;BF$7)),0,MAX(0,ROUND((INDEX($E601:$G601,BF$5)-SUMIFS(TF_Timer,TF_Tekniker,BF$4,TF_Dato,$A601))*2,0)/2)))</f>
        <v/>
      </c>
      <c r="BG601">
        <f>IF(OR(BG$4="",$A601&gt;TODAY()),0,IF(OR(INDEX($B601:$D601,BG$5)="F",AND(BG$6&gt;0,$A601&lt;BG$6),AND(BG$7&gt;0,$A601&gt;BG$7)),0,MAX(0,ROUND((INDEX($E601:$G601,BG$5)-SUMIFS(TF_Timer,TF_Tekniker,BG$4,TF_Dato,$A601))*2,0)/2)))</f>
        <v/>
      </c>
      <c r="BH601">
        <f>IF(OR(BH$4="",$A601&gt;TODAY()),0,IF(OR(INDEX($B601:$D601,BH$5)="F",AND(BH$6&gt;0,$A601&lt;BH$6),AND(BH$7&gt;0,$A601&gt;BH$7)),0,MAX(0,ROUND((INDEX($E601:$G601,BH$5)-SUMIFS(TF_Timer,TF_Tekniker,BH$4,TF_Dato,$A601))*2,0)/2)))</f>
        <v/>
      </c>
      <c r="BI601">
        <f>IF(OR(BI$4="",$A601&gt;TODAY()),0,IF(OR(INDEX($B601:$D601,BI$5)="F",AND(BI$6&gt;0,$A601&lt;BI$6),AND(BI$7&gt;0,$A601&gt;BI$7)),0,MAX(0,ROUND((INDEX($E601:$G601,BI$5)-SUMIFS(TF_Timer,TF_Tekniker,BI$4,TF_Dato,$A601))*2,0)/2)))</f>
        <v/>
      </c>
    </row>
    <row r="602">
      <c r="A602" s="64">
        <f>A601+1</f>
        <v/>
      </c>
      <c r="B602">
        <f>IF(MOD($A602-INDEX(SkiftStart,1),Syklus)&lt;DagK,"K",IF(MOD($A602-INDEX(SkiftStart,1),Syklus)&lt;DagK+DagH,"H",IF(MOD($A602-INDEX(SkiftStart,1),Syklus)&lt;DagK+DagH+DagD,"D","F")))</f>
        <v/>
      </c>
      <c r="C602">
        <f>IF(MOD($A602-INDEX(SkiftStart,2),Syklus)&lt;DagK,"K",IF(MOD($A602-INDEX(SkiftStart,2),Syklus)&lt;DagK+DagH,"H",IF(MOD($A602-INDEX(SkiftStart,2),Syklus)&lt;DagK+DagH+DagD,"D","F")))</f>
        <v/>
      </c>
      <c r="D602">
        <f>IF(MOD($A602-INDEX(SkiftStart,3),Syklus)&lt;DagK,"K",IF(MOD($A602-INDEX(SkiftStart,3),Syklus)&lt;DagK+DagH,"H",IF(MOD($A602-INDEX(SkiftStart,3),Syklus)&lt;DagK+DagH+DagD,"D","F")))</f>
        <v/>
      </c>
      <c r="E602">
        <f>IF(B602="F",0,IF(WEEKDAY($A602,2)=5,INDEX(TimerFr,MATCH(B602,FaseKode,0)),INDEX(TimerMT,MATCH(B602,FaseKode,0))))</f>
        <v/>
      </c>
      <c r="F602">
        <f>IF(C602="F",0,IF(WEEKDAY($A602,2)=5,INDEX(TimerFr,MATCH(C602,FaseKode,0)),INDEX(TimerMT,MATCH(C602,FaseKode,0))))</f>
        <v/>
      </c>
      <c r="G602">
        <f>IF(D602="F",0,IF(WEEKDAY($A602,2)=5,INDEX(TimerFr,MATCH(D602,FaseKode,0)),INDEX(TimerMT,MATCH(D602,FaseKode,0))))</f>
        <v/>
      </c>
      <c r="H602">
        <f>IF(OR(H$4="",$A602&gt;TODAY()),0,IF(OR(INDEX($B602:$D602,H$5)="F",AND(H$6&gt;0,$A602&lt;H$6),AND(H$7&gt;0,$A602&gt;H$7)),0,MAX(0,ROUND((INDEX($E602:$G602,H$5)-SUMIFS(TF_Timer,TF_Tekniker,H$4,TF_Dato,$A602))*2,0)/2)))</f>
        <v/>
      </c>
      <c r="I602">
        <f>IF(OR(I$4="",$A602&gt;TODAY()),0,IF(OR(INDEX($B602:$D602,I$5)="F",AND(I$6&gt;0,$A602&lt;I$6),AND(I$7&gt;0,$A602&gt;I$7)),0,MAX(0,ROUND((INDEX($E602:$G602,I$5)-SUMIFS(TF_Timer,TF_Tekniker,I$4,TF_Dato,$A602))*2,0)/2)))</f>
        <v/>
      </c>
      <c r="J602">
        <f>IF(OR(J$4="",$A602&gt;TODAY()),0,IF(OR(INDEX($B602:$D602,J$5)="F",AND(J$6&gt;0,$A602&lt;J$6),AND(J$7&gt;0,$A602&gt;J$7)),0,MAX(0,ROUND((INDEX($E602:$G602,J$5)-SUMIFS(TF_Timer,TF_Tekniker,J$4,TF_Dato,$A602))*2,0)/2)))</f>
        <v/>
      </c>
      <c r="K602">
        <f>IF(OR(K$4="",$A602&gt;TODAY()),0,IF(OR(INDEX($B602:$D602,K$5)="F",AND(K$6&gt;0,$A602&lt;K$6),AND(K$7&gt;0,$A602&gt;K$7)),0,MAX(0,ROUND((INDEX($E602:$G602,K$5)-SUMIFS(TF_Timer,TF_Tekniker,K$4,TF_Dato,$A602))*2,0)/2)))</f>
        <v/>
      </c>
      <c r="L602">
        <f>IF(OR(L$4="",$A602&gt;TODAY()),0,IF(OR(INDEX($B602:$D602,L$5)="F",AND(L$6&gt;0,$A602&lt;L$6),AND(L$7&gt;0,$A602&gt;L$7)),0,MAX(0,ROUND((INDEX($E602:$G602,L$5)-SUMIFS(TF_Timer,TF_Tekniker,L$4,TF_Dato,$A602))*2,0)/2)))</f>
        <v/>
      </c>
      <c r="M602">
        <f>IF(OR(M$4="",$A602&gt;TODAY()),0,IF(OR(INDEX($B602:$D602,M$5)="F",AND(M$6&gt;0,$A602&lt;M$6),AND(M$7&gt;0,$A602&gt;M$7)),0,MAX(0,ROUND((INDEX($E602:$G602,M$5)-SUMIFS(TF_Timer,TF_Tekniker,M$4,TF_Dato,$A602))*2,0)/2)))</f>
        <v/>
      </c>
      <c r="N602">
        <f>IF(OR(N$4="",$A602&gt;TODAY()),0,IF(OR(INDEX($B602:$D602,N$5)="F",AND(N$6&gt;0,$A602&lt;N$6),AND(N$7&gt;0,$A602&gt;N$7)),0,MAX(0,ROUND((INDEX($E602:$G602,N$5)-SUMIFS(TF_Timer,TF_Tekniker,N$4,TF_Dato,$A602))*2,0)/2)))</f>
        <v/>
      </c>
      <c r="O602">
        <f>IF(OR(O$4="",$A602&gt;TODAY()),0,IF(OR(INDEX($B602:$D602,O$5)="F",AND(O$6&gt;0,$A602&lt;O$6),AND(O$7&gt;0,$A602&gt;O$7)),0,MAX(0,ROUND((INDEX($E602:$G602,O$5)-SUMIFS(TF_Timer,TF_Tekniker,O$4,TF_Dato,$A602))*2,0)/2)))</f>
        <v/>
      </c>
      <c r="P602">
        <f>IF(OR(P$4="",$A602&gt;TODAY()),0,IF(OR(INDEX($B602:$D602,P$5)="F",AND(P$6&gt;0,$A602&lt;P$6),AND(P$7&gt;0,$A602&gt;P$7)),0,MAX(0,ROUND((INDEX($E602:$G602,P$5)-SUMIFS(TF_Timer,TF_Tekniker,P$4,TF_Dato,$A602))*2,0)/2)))</f>
        <v/>
      </c>
      <c r="Q602">
        <f>IF(OR(Q$4="",$A602&gt;TODAY()),0,IF(OR(INDEX($B602:$D602,Q$5)="F",AND(Q$6&gt;0,$A602&lt;Q$6),AND(Q$7&gt;0,$A602&gt;Q$7)),0,MAX(0,ROUND((INDEX($E602:$G602,Q$5)-SUMIFS(TF_Timer,TF_Tekniker,Q$4,TF_Dato,$A602))*2,0)/2)))</f>
        <v/>
      </c>
      <c r="R602">
        <f>IF(OR(R$4="",$A602&gt;TODAY()),0,IF(OR(INDEX($B602:$D602,R$5)="F",AND(R$6&gt;0,$A602&lt;R$6),AND(R$7&gt;0,$A602&gt;R$7)),0,MAX(0,ROUND((INDEX($E602:$G602,R$5)-SUMIFS(TF_Timer,TF_Tekniker,R$4,TF_Dato,$A602))*2,0)/2)))</f>
        <v/>
      </c>
      <c r="S602">
        <f>IF(OR(S$4="",$A602&gt;TODAY()),0,IF(OR(INDEX($B602:$D602,S$5)="F",AND(S$6&gt;0,$A602&lt;S$6),AND(S$7&gt;0,$A602&gt;S$7)),0,MAX(0,ROUND((INDEX($E602:$G602,S$5)-SUMIFS(TF_Timer,TF_Tekniker,S$4,TF_Dato,$A602))*2,0)/2)))</f>
        <v/>
      </c>
      <c r="T602">
        <f>IF(OR(T$4="",$A602&gt;TODAY()),0,IF(OR(INDEX($B602:$D602,T$5)="F",AND(T$6&gt;0,$A602&lt;T$6),AND(T$7&gt;0,$A602&gt;T$7)),0,MAX(0,ROUND((INDEX($E602:$G602,T$5)-SUMIFS(TF_Timer,TF_Tekniker,T$4,TF_Dato,$A602))*2,0)/2)))</f>
        <v/>
      </c>
      <c r="U602">
        <f>IF(OR(U$4="",$A602&gt;TODAY()),0,IF(OR(INDEX($B602:$D602,U$5)="F",AND(U$6&gt;0,$A602&lt;U$6),AND(U$7&gt;0,$A602&gt;U$7)),0,MAX(0,ROUND((INDEX($E602:$G602,U$5)-SUMIFS(TF_Timer,TF_Tekniker,U$4,TF_Dato,$A602))*2,0)/2)))</f>
        <v/>
      </c>
      <c r="V602">
        <f>IF(OR(V$4="",$A602&gt;TODAY()),0,IF(OR(INDEX($B602:$D602,V$5)="F",AND(V$6&gt;0,$A602&lt;V$6),AND(V$7&gt;0,$A602&gt;V$7)),0,MAX(0,ROUND((INDEX($E602:$G602,V$5)-SUMIFS(TF_Timer,TF_Tekniker,V$4,TF_Dato,$A602))*2,0)/2)))</f>
        <v/>
      </c>
      <c r="W602">
        <f>IF(OR(W$4="",$A602&gt;TODAY()),0,IF(OR(INDEX($B602:$D602,W$5)="F",AND(W$6&gt;0,$A602&lt;W$6),AND(W$7&gt;0,$A602&gt;W$7)),0,MAX(0,ROUND((INDEX($E602:$G602,W$5)-SUMIFS(TF_Timer,TF_Tekniker,W$4,TF_Dato,$A602))*2,0)/2)))</f>
        <v/>
      </c>
      <c r="X602">
        <f>IF(OR(X$4="",$A602&gt;TODAY()),0,IF(OR(INDEX($B602:$D602,X$5)="F",AND(X$6&gt;0,$A602&lt;X$6),AND(X$7&gt;0,$A602&gt;X$7)),0,MAX(0,ROUND((INDEX($E602:$G602,X$5)-SUMIFS(TF_Timer,TF_Tekniker,X$4,TF_Dato,$A602))*2,0)/2)))</f>
        <v/>
      </c>
      <c r="Y602">
        <f>IF(OR(Y$4="",$A602&gt;TODAY()),0,IF(OR(INDEX($B602:$D602,Y$5)="F",AND(Y$6&gt;0,$A602&lt;Y$6),AND(Y$7&gt;0,$A602&gt;Y$7)),0,MAX(0,ROUND((INDEX($E602:$G602,Y$5)-SUMIFS(TF_Timer,TF_Tekniker,Y$4,TF_Dato,$A602))*2,0)/2)))</f>
        <v/>
      </c>
      <c r="Z602">
        <f>IF(OR(Z$4="",$A602&gt;TODAY()),0,IF(OR(INDEX($B602:$D602,Z$5)="F",AND(Z$6&gt;0,$A602&lt;Z$6),AND(Z$7&gt;0,$A602&gt;Z$7)),0,MAX(0,ROUND((INDEX($E602:$G602,Z$5)-SUMIFS(TF_Timer,TF_Tekniker,Z$4,TF_Dato,$A602))*2,0)/2)))</f>
        <v/>
      </c>
      <c r="AA602">
        <f>IF(OR(AA$4="",$A602&gt;TODAY()),0,IF(OR(INDEX($B602:$D602,AA$5)="F",AND(AA$6&gt;0,$A602&lt;AA$6),AND(AA$7&gt;0,$A602&gt;AA$7)),0,MAX(0,ROUND((INDEX($E602:$G602,AA$5)-SUMIFS(TF_Timer,TF_Tekniker,AA$4,TF_Dato,$A602))*2,0)/2)))</f>
        <v/>
      </c>
      <c r="AB602">
        <f>IF(OR(AB$4="",$A602&gt;TODAY()),0,IF(OR(INDEX($B602:$D602,AB$5)="F",AND(AB$6&gt;0,$A602&lt;AB$6),AND(AB$7&gt;0,$A602&gt;AB$7)),0,MAX(0,ROUND((INDEX($E602:$G602,AB$5)-SUMIFS(TF_Timer,TF_Tekniker,AB$4,TF_Dato,$A602))*2,0)/2)))</f>
        <v/>
      </c>
      <c r="AC602">
        <f>IF(OR(AC$4="",$A602&gt;TODAY()),0,IF(OR(INDEX($B602:$D602,AC$5)="F",AND(AC$6&gt;0,$A602&lt;AC$6),AND(AC$7&gt;0,$A602&gt;AC$7)),0,MAX(0,ROUND((INDEX($E602:$G602,AC$5)-SUMIFS(TF_Timer,TF_Tekniker,AC$4,TF_Dato,$A602))*2,0)/2)))</f>
        <v/>
      </c>
      <c r="AD602">
        <f>IF(OR(AD$4="",$A602&gt;TODAY()),0,IF(OR(INDEX($B602:$D602,AD$5)="F",AND(AD$6&gt;0,$A602&lt;AD$6),AND(AD$7&gt;0,$A602&gt;AD$7)),0,MAX(0,ROUND((INDEX($E602:$G602,AD$5)-SUMIFS(TF_Timer,TF_Tekniker,AD$4,TF_Dato,$A602))*2,0)/2)))</f>
        <v/>
      </c>
      <c r="AE602">
        <f>IF(OR(AE$4="",$A602&gt;TODAY()),0,IF(OR(INDEX($B602:$D602,AE$5)="F",AND(AE$6&gt;0,$A602&lt;AE$6),AND(AE$7&gt;0,$A602&gt;AE$7)),0,MAX(0,ROUND((INDEX($E602:$G602,AE$5)-SUMIFS(TF_Timer,TF_Tekniker,AE$4,TF_Dato,$A602))*2,0)/2)))</f>
        <v/>
      </c>
      <c r="AF602">
        <f>IF(OR(AF$4="",$A602&gt;TODAY()),0,IF(OR(INDEX($B602:$D602,AF$5)="F",AND(AF$6&gt;0,$A602&lt;AF$6),AND(AF$7&gt;0,$A602&gt;AF$7)),0,MAX(0,ROUND((INDEX($E602:$G602,AF$5)-SUMIFS(TF_Timer,TF_Tekniker,AF$4,TF_Dato,$A602))*2,0)/2)))</f>
        <v/>
      </c>
      <c r="AG602">
        <f>IF(OR(AG$4="",$A602&gt;TODAY()),0,IF(OR(INDEX($B602:$D602,AG$5)="F",AND(AG$6&gt;0,$A602&lt;AG$6),AND(AG$7&gt;0,$A602&gt;AG$7)),0,MAX(0,ROUND((INDEX($E602:$G602,AG$5)-SUMIFS(TF_Timer,TF_Tekniker,AG$4,TF_Dato,$A602))*2,0)/2)))</f>
        <v/>
      </c>
      <c r="AH602">
        <f>IF(OR(AH$4="",$A602&gt;TODAY()),0,IF(OR(INDEX($B602:$D602,AH$5)="F",AND(AH$6&gt;0,$A602&lt;AH$6),AND(AH$7&gt;0,$A602&gt;AH$7)),0,MAX(0,ROUND((INDEX($E602:$G602,AH$5)-SUMIFS(TF_Timer,TF_Tekniker,AH$4,TF_Dato,$A602))*2,0)/2)))</f>
        <v/>
      </c>
      <c r="AI602">
        <f>IF(OR(AI$4="",$A602&gt;TODAY()),0,IF(OR(INDEX($B602:$D602,AI$5)="F",AND(AI$6&gt;0,$A602&lt;AI$6),AND(AI$7&gt;0,$A602&gt;AI$7)),0,MAX(0,ROUND((INDEX($E602:$G602,AI$5)-SUMIFS(TF_Timer,TF_Tekniker,AI$4,TF_Dato,$A602))*2,0)/2)))</f>
        <v/>
      </c>
      <c r="AJ602">
        <f>IF(OR(AJ$4="",$A602&gt;TODAY()),0,IF(OR(INDEX($B602:$D602,AJ$5)="F",AND(AJ$6&gt;0,$A602&lt;AJ$6),AND(AJ$7&gt;0,$A602&gt;AJ$7)),0,MAX(0,ROUND((INDEX($E602:$G602,AJ$5)-SUMIFS(TF_Timer,TF_Tekniker,AJ$4,TF_Dato,$A602))*2,0)/2)))</f>
        <v/>
      </c>
      <c r="AK602">
        <f>IF(OR(AK$4="",$A602&gt;TODAY()),0,IF(OR(INDEX($B602:$D602,AK$5)="F",AND(AK$6&gt;0,$A602&lt;AK$6),AND(AK$7&gt;0,$A602&gt;AK$7)),0,MAX(0,ROUND((INDEX($E602:$G602,AK$5)-SUMIFS(TF_Timer,TF_Tekniker,AK$4,TF_Dato,$A602))*2,0)/2)))</f>
        <v/>
      </c>
      <c r="AL602">
        <f>IF(OR(AL$4="",$A602&gt;TODAY()),0,IF(OR(INDEX($B602:$D602,AL$5)="F",AND(AL$6&gt;0,$A602&lt;AL$6),AND(AL$7&gt;0,$A602&gt;AL$7)),0,MAX(0,ROUND((INDEX($E602:$G602,AL$5)-SUMIFS(TF_Timer,TF_Tekniker,AL$4,TF_Dato,$A602))*2,0)/2)))</f>
        <v/>
      </c>
      <c r="AM602">
        <f>IF(OR(AM$4="",$A602&gt;TODAY()),0,IF(OR(INDEX($B602:$D602,AM$5)="F",AND(AM$6&gt;0,$A602&lt;AM$6),AND(AM$7&gt;0,$A602&gt;AM$7)),0,MAX(0,ROUND((INDEX($E602:$G602,AM$5)-SUMIFS(TF_Timer,TF_Tekniker,AM$4,TF_Dato,$A602))*2,0)/2)))</f>
        <v/>
      </c>
      <c r="AN602">
        <f>IF(OR(AN$4="",$A602&gt;TODAY()),0,IF(OR(INDEX($B602:$D602,AN$5)="F",AND(AN$6&gt;0,$A602&lt;AN$6),AND(AN$7&gt;0,$A602&gt;AN$7)),0,MAX(0,ROUND((INDEX($E602:$G602,AN$5)-SUMIFS(TF_Timer,TF_Tekniker,AN$4,TF_Dato,$A602))*2,0)/2)))</f>
        <v/>
      </c>
      <c r="AO602">
        <f>IF(OR(AO$4="",$A602&gt;TODAY()),0,IF(OR(INDEX($B602:$D602,AO$5)="F",AND(AO$6&gt;0,$A602&lt;AO$6),AND(AO$7&gt;0,$A602&gt;AO$7)),0,MAX(0,ROUND((INDEX($E602:$G602,AO$5)-SUMIFS(TF_Timer,TF_Tekniker,AO$4,TF_Dato,$A602))*2,0)/2)))</f>
        <v/>
      </c>
      <c r="AP602">
        <f>IF(OR(AP$4="",$A602&gt;TODAY()),0,IF(OR(INDEX($B602:$D602,AP$5)="F",AND(AP$6&gt;0,$A602&lt;AP$6),AND(AP$7&gt;0,$A602&gt;AP$7)),0,MAX(0,ROUND((INDEX($E602:$G602,AP$5)-SUMIFS(TF_Timer,TF_Tekniker,AP$4,TF_Dato,$A602))*2,0)/2)))</f>
        <v/>
      </c>
      <c r="AQ602">
        <f>IF(OR(AQ$4="",$A602&gt;TODAY()),0,IF(OR(INDEX($B602:$D602,AQ$5)="F",AND(AQ$6&gt;0,$A602&lt;AQ$6),AND(AQ$7&gt;0,$A602&gt;AQ$7)),0,MAX(0,ROUND((INDEX($E602:$G602,AQ$5)-SUMIFS(TF_Timer,TF_Tekniker,AQ$4,TF_Dato,$A602))*2,0)/2)))</f>
        <v/>
      </c>
      <c r="AR602">
        <f>IF(OR(AR$4="",$A602&gt;TODAY()),0,IF(OR(INDEX($B602:$D602,AR$5)="F",AND(AR$6&gt;0,$A602&lt;AR$6),AND(AR$7&gt;0,$A602&gt;AR$7)),0,MAX(0,ROUND((INDEX($E602:$G602,AR$5)-SUMIFS(TF_Timer,TF_Tekniker,AR$4,TF_Dato,$A602))*2,0)/2)))</f>
        <v/>
      </c>
      <c r="AS602">
        <f>IF(OR(AS$4="",$A602&gt;TODAY()),0,IF(OR(INDEX($B602:$D602,AS$5)="F",AND(AS$6&gt;0,$A602&lt;AS$6),AND(AS$7&gt;0,$A602&gt;AS$7)),0,MAX(0,ROUND((INDEX($E602:$G602,AS$5)-SUMIFS(TF_Timer,TF_Tekniker,AS$4,TF_Dato,$A602))*2,0)/2)))</f>
        <v/>
      </c>
      <c r="AT602">
        <f>IF(OR(AT$4="",$A602&gt;TODAY()),0,IF(OR(INDEX($B602:$D602,AT$5)="F",AND(AT$6&gt;0,$A602&lt;AT$6),AND(AT$7&gt;0,$A602&gt;AT$7)),0,MAX(0,ROUND((INDEX($E602:$G602,AT$5)-SUMIFS(TF_Timer,TF_Tekniker,AT$4,TF_Dato,$A602))*2,0)/2)))</f>
        <v/>
      </c>
      <c r="AU602">
        <f>IF(OR(AU$4="",$A602&gt;TODAY()),0,IF(OR(INDEX($B602:$D602,AU$5)="F",AND(AU$6&gt;0,$A602&lt;AU$6),AND(AU$7&gt;0,$A602&gt;AU$7)),0,MAX(0,ROUND((INDEX($E602:$G602,AU$5)-SUMIFS(TF_Timer,TF_Tekniker,AU$4,TF_Dato,$A602))*2,0)/2)))</f>
        <v/>
      </c>
      <c r="AV602">
        <f>IF(OR(AV$4="",$A602&gt;TODAY()),0,IF(OR(INDEX($B602:$D602,AV$5)="F",AND(AV$6&gt;0,$A602&lt;AV$6),AND(AV$7&gt;0,$A602&gt;AV$7)),0,MAX(0,ROUND((INDEX($E602:$G602,AV$5)-SUMIFS(TF_Timer,TF_Tekniker,AV$4,TF_Dato,$A602))*2,0)/2)))</f>
        <v/>
      </c>
      <c r="AW602">
        <f>IF(OR(AW$4="",$A602&gt;TODAY()),0,IF(OR(INDEX($B602:$D602,AW$5)="F",AND(AW$6&gt;0,$A602&lt;AW$6),AND(AW$7&gt;0,$A602&gt;AW$7)),0,MAX(0,ROUND((INDEX($E602:$G602,AW$5)-SUMIFS(TF_Timer,TF_Tekniker,AW$4,TF_Dato,$A602))*2,0)/2)))</f>
        <v/>
      </c>
      <c r="AX602">
        <f>IF(OR(AX$4="",$A602&gt;TODAY()),0,IF(OR(INDEX($B602:$D602,AX$5)="F",AND(AX$6&gt;0,$A602&lt;AX$6),AND(AX$7&gt;0,$A602&gt;AX$7)),0,MAX(0,ROUND((INDEX($E602:$G602,AX$5)-SUMIFS(TF_Timer,TF_Tekniker,AX$4,TF_Dato,$A602))*2,0)/2)))</f>
        <v/>
      </c>
      <c r="AY602">
        <f>IF(OR(AY$4="",$A602&gt;TODAY()),0,IF(OR(INDEX($B602:$D602,AY$5)="F",AND(AY$6&gt;0,$A602&lt;AY$6),AND(AY$7&gt;0,$A602&gt;AY$7)),0,MAX(0,ROUND((INDEX($E602:$G602,AY$5)-SUMIFS(TF_Timer,TF_Tekniker,AY$4,TF_Dato,$A602))*2,0)/2)))</f>
        <v/>
      </c>
      <c r="AZ602">
        <f>IF(OR(AZ$4="",$A602&gt;TODAY()),0,IF(OR(INDEX($B602:$D602,AZ$5)="F",AND(AZ$6&gt;0,$A602&lt;AZ$6),AND(AZ$7&gt;0,$A602&gt;AZ$7)),0,MAX(0,ROUND((INDEX($E602:$G602,AZ$5)-SUMIFS(TF_Timer,TF_Tekniker,AZ$4,TF_Dato,$A602))*2,0)/2)))</f>
        <v/>
      </c>
      <c r="BA602">
        <f>IF(OR(BA$4="",$A602&gt;TODAY()),0,IF(OR(INDEX($B602:$D602,BA$5)="F",AND(BA$6&gt;0,$A602&lt;BA$6),AND(BA$7&gt;0,$A602&gt;BA$7)),0,MAX(0,ROUND((INDEX($E602:$G602,BA$5)-SUMIFS(TF_Timer,TF_Tekniker,BA$4,TF_Dato,$A602))*2,0)/2)))</f>
        <v/>
      </c>
      <c r="BB602">
        <f>IF(OR(BB$4="",$A602&gt;TODAY()),0,IF(OR(INDEX($B602:$D602,BB$5)="F",AND(BB$6&gt;0,$A602&lt;BB$6),AND(BB$7&gt;0,$A602&gt;BB$7)),0,MAX(0,ROUND((INDEX($E602:$G602,BB$5)-SUMIFS(TF_Timer,TF_Tekniker,BB$4,TF_Dato,$A602))*2,0)/2)))</f>
        <v/>
      </c>
      <c r="BC602">
        <f>IF(OR(BC$4="",$A602&gt;TODAY()),0,IF(OR(INDEX($B602:$D602,BC$5)="F",AND(BC$6&gt;0,$A602&lt;BC$6),AND(BC$7&gt;0,$A602&gt;BC$7)),0,MAX(0,ROUND((INDEX($E602:$G602,BC$5)-SUMIFS(TF_Timer,TF_Tekniker,BC$4,TF_Dato,$A602))*2,0)/2)))</f>
        <v/>
      </c>
      <c r="BD602">
        <f>IF(OR(BD$4="",$A602&gt;TODAY()),0,IF(OR(INDEX($B602:$D602,BD$5)="F",AND(BD$6&gt;0,$A602&lt;BD$6),AND(BD$7&gt;0,$A602&gt;BD$7)),0,MAX(0,ROUND((INDEX($E602:$G602,BD$5)-SUMIFS(TF_Timer,TF_Tekniker,BD$4,TF_Dato,$A602))*2,0)/2)))</f>
        <v/>
      </c>
      <c r="BE602">
        <f>IF(OR(BE$4="",$A602&gt;TODAY()),0,IF(OR(INDEX($B602:$D602,BE$5)="F",AND(BE$6&gt;0,$A602&lt;BE$6),AND(BE$7&gt;0,$A602&gt;BE$7)),0,MAX(0,ROUND((INDEX($E602:$G602,BE$5)-SUMIFS(TF_Timer,TF_Tekniker,BE$4,TF_Dato,$A602))*2,0)/2)))</f>
        <v/>
      </c>
      <c r="BF602">
        <f>IF(OR(BF$4="",$A602&gt;TODAY()),0,IF(OR(INDEX($B602:$D602,BF$5)="F",AND(BF$6&gt;0,$A602&lt;BF$6),AND(BF$7&gt;0,$A602&gt;BF$7)),0,MAX(0,ROUND((INDEX($E602:$G602,BF$5)-SUMIFS(TF_Timer,TF_Tekniker,BF$4,TF_Dato,$A602))*2,0)/2)))</f>
        <v/>
      </c>
      <c r="BG602">
        <f>IF(OR(BG$4="",$A602&gt;TODAY()),0,IF(OR(INDEX($B602:$D602,BG$5)="F",AND(BG$6&gt;0,$A602&lt;BG$6),AND(BG$7&gt;0,$A602&gt;BG$7)),0,MAX(0,ROUND((INDEX($E602:$G602,BG$5)-SUMIFS(TF_Timer,TF_Tekniker,BG$4,TF_Dato,$A602))*2,0)/2)))</f>
        <v/>
      </c>
      <c r="BH602">
        <f>IF(OR(BH$4="",$A602&gt;TODAY()),0,IF(OR(INDEX($B602:$D602,BH$5)="F",AND(BH$6&gt;0,$A602&lt;BH$6),AND(BH$7&gt;0,$A602&gt;BH$7)),0,MAX(0,ROUND((INDEX($E602:$G602,BH$5)-SUMIFS(TF_Timer,TF_Tekniker,BH$4,TF_Dato,$A602))*2,0)/2)))</f>
        <v/>
      </c>
      <c r="BI602">
        <f>IF(OR(BI$4="",$A602&gt;TODAY()),0,IF(OR(INDEX($B602:$D602,BI$5)="F",AND(BI$6&gt;0,$A602&lt;BI$6),AND(BI$7&gt;0,$A602&gt;BI$7)),0,MAX(0,ROUND((INDEX($E602:$G602,BI$5)-SUMIFS(TF_Timer,TF_Tekniker,BI$4,TF_Dato,$A602))*2,0)/2)))</f>
        <v/>
      </c>
    </row>
    <row r="603">
      <c r="A603" s="64">
        <f>A602+1</f>
        <v/>
      </c>
      <c r="B603">
        <f>IF(MOD($A603-INDEX(SkiftStart,1),Syklus)&lt;DagK,"K",IF(MOD($A603-INDEX(SkiftStart,1),Syklus)&lt;DagK+DagH,"H",IF(MOD($A603-INDEX(SkiftStart,1),Syklus)&lt;DagK+DagH+DagD,"D","F")))</f>
        <v/>
      </c>
      <c r="C603">
        <f>IF(MOD($A603-INDEX(SkiftStart,2),Syklus)&lt;DagK,"K",IF(MOD($A603-INDEX(SkiftStart,2),Syklus)&lt;DagK+DagH,"H",IF(MOD($A603-INDEX(SkiftStart,2),Syklus)&lt;DagK+DagH+DagD,"D","F")))</f>
        <v/>
      </c>
      <c r="D603">
        <f>IF(MOD($A603-INDEX(SkiftStart,3),Syklus)&lt;DagK,"K",IF(MOD($A603-INDEX(SkiftStart,3),Syklus)&lt;DagK+DagH,"H",IF(MOD($A603-INDEX(SkiftStart,3),Syklus)&lt;DagK+DagH+DagD,"D","F")))</f>
        <v/>
      </c>
      <c r="E603">
        <f>IF(B603="F",0,IF(WEEKDAY($A603,2)=5,INDEX(TimerFr,MATCH(B603,FaseKode,0)),INDEX(TimerMT,MATCH(B603,FaseKode,0))))</f>
        <v/>
      </c>
      <c r="F603">
        <f>IF(C603="F",0,IF(WEEKDAY($A603,2)=5,INDEX(TimerFr,MATCH(C603,FaseKode,0)),INDEX(TimerMT,MATCH(C603,FaseKode,0))))</f>
        <v/>
      </c>
      <c r="G603">
        <f>IF(D603="F",0,IF(WEEKDAY($A603,2)=5,INDEX(TimerFr,MATCH(D603,FaseKode,0)),INDEX(TimerMT,MATCH(D603,FaseKode,0))))</f>
        <v/>
      </c>
      <c r="H603">
        <f>IF(OR(H$4="",$A603&gt;TODAY()),0,IF(OR(INDEX($B603:$D603,H$5)="F",AND(H$6&gt;0,$A603&lt;H$6),AND(H$7&gt;0,$A603&gt;H$7)),0,MAX(0,ROUND((INDEX($E603:$G603,H$5)-SUMIFS(TF_Timer,TF_Tekniker,H$4,TF_Dato,$A603))*2,0)/2)))</f>
        <v/>
      </c>
      <c r="I603">
        <f>IF(OR(I$4="",$A603&gt;TODAY()),0,IF(OR(INDEX($B603:$D603,I$5)="F",AND(I$6&gt;0,$A603&lt;I$6),AND(I$7&gt;0,$A603&gt;I$7)),0,MAX(0,ROUND((INDEX($E603:$G603,I$5)-SUMIFS(TF_Timer,TF_Tekniker,I$4,TF_Dato,$A603))*2,0)/2)))</f>
        <v/>
      </c>
      <c r="J603">
        <f>IF(OR(J$4="",$A603&gt;TODAY()),0,IF(OR(INDEX($B603:$D603,J$5)="F",AND(J$6&gt;0,$A603&lt;J$6),AND(J$7&gt;0,$A603&gt;J$7)),0,MAX(0,ROUND((INDEX($E603:$G603,J$5)-SUMIFS(TF_Timer,TF_Tekniker,J$4,TF_Dato,$A603))*2,0)/2)))</f>
        <v/>
      </c>
      <c r="K603">
        <f>IF(OR(K$4="",$A603&gt;TODAY()),0,IF(OR(INDEX($B603:$D603,K$5)="F",AND(K$6&gt;0,$A603&lt;K$6),AND(K$7&gt;0,$A603&gt;K$7)),0,MAX(0,ROUND((INDEX($E603:$G603,K$5)-SUMIFS(TF_Timer,TF_Tekniker,K$4,TF_Dato,$A603))*2,0)/2)))</f>
        <v/>
      </c>
      <c r="L603">
        <f>IF(OR(L$4="",$A603&gt;TODAY()),0,IF(OR(INDEX($B603:$D603,L$5)="F",AND(L$6&gt;0,$A603&lt;L$6),AND(L$7&gt;0,$A603&gt;L$7)),0,MAX(0,ROUND((INDEX($E603:$G603,L$5)-SUMIFS(TF_Timer,TF_Tekniker,L$4,TF_Dato,$A603))*2,0)/2)))</f>
        <v/>
      </c>
      <c r="M603">
        <f>IF(OR(M$4="",$A603&gt;TODAY()),0,IF(OR(INDEX($B603:$D603,M$5)="F",AND(M$6&gt;0,$A603&lt;M$6),AND(M$7&gt;0,$A603&gt;M$7)),0,MAX(0,ROUND((INDEX($E603:$G603,M$5)-SUMIFS(TF_Timer,TF_Tekniker,M$4,TF_Dato,$A603))*2,0)/2)))</f>
        <v/>
      </c>
      <c r="N603">
        <f>IF(OR(N$4="",$A603&gt;TODAY()),0,IF(OR(INDEX($B603:$D603,N$5)="F",AND(N$6&gt;0,$A603&lt;N$6),AND(N$7&gt;0,$A603&gt;N$7)),0,MAX(0,ROUND((INDEX($E603:$G603,N$5)-SUMIFS(TF_Timer,TF_Tekniker,N$4,TF_Dato,$A603))*2,0)/2)))</f>
        <v/>
      </c>
      <c r="O603">
        <f>IF(OR(O$4="",$A603&gt;TODAY()),0,IF(OR(INDEX($B603:$D603,O$5)="F",AND(O$6&gt;0,$A603&lt;O$6),AND(O$7&gt;0,$A603&gt;O$7)),0,MAX(0,ROUND((INDEX($E603:$G603,O$5)-SUMIFS(TF_Timer,TF_Tekniker,O$4,TF_Dato,$A603))*2,0)/2)))</f>
        <v/>
      </c>
      <c r="P603">
        <f>IF(OR(P$4="",$A603&gt;TODAY()),0,IF(OR(INDEX($B603:$D603,P$5)="F",AND(P$6&gt;0,$A603&lt;P$6),AND(P$7&gt;0,$A603&gt;P$7)),0,MAX(0,ROUND((INDEX($E603:$G603,P$5)-SUMIFS(TF_Timer,TF_Tekniker,P$4,TF_Dato,$A603))*2,0)/2)))</f>
        <v/>
      </c>
      <c r="Q603">
        <f>IF(OR(Q$4="",$A603&gt;TODAY()),0,IF(OR(INDEX($B603:$D603,Q$5)="F",AND(Q$6&gt;0,$A603&lt;Q$6),AND(Q$7&gt;0,$A603&gt;Q$7)),0,MAX(0,ROUND((INDEX($E603:$G603,Q$5)-SUMIFS(TF_Timer,TF_Tekniker,Q$4,TF_Dato,$A603))*2,0)/2)))</f>
        <v/>
      </c>
      <c r="R603">
        <f>IF(OR(R$4="",$A603&gt;TODAY()),0,IF(OR(INDEX($B603:$D603,R$5)="F",AND(R$6&gt;0,$A603&lt;R$6),AND(R$7&gt;0,$A603&gt;R$7)),0,MAX(0,ROUND((INDEX($E603:$G603,R$5)-SUMIFS(TF_Timer,TF_Tekniker,R$4,TF_Dato,$A603))*2,0)/2)))</f>
        <v/>
      </c>
      <c r="S603">
        <f>IF(OR(S$4="",$A603&gt;TODAY()),0,IF(OR(INDEX($B603:$D603,S$5)="F",AND(S$6&gt;0,$A603&lt;S$6),AND(S$7&gt;0,$A603&gt;S$7)),0,MAX(0,ROUND((INDEX($E603:$G603,S$5)-SUMIFS(TF_Timer,TF_Tekniker,S$4,TF_Dato,$A603))*2,0)/2)))</f>
        <v/>
      </c>
      <c r="T603">
        <f>IF(OR(T$4="",$A603&gt;TODAY()),0,IF(OR(INDEX($B603:$D603,T$5)="F",AND(T$6&gt;0,$A603&lt;T$6),AND(T$7&gt;0,$A603&gt;T$7)),0,MAX(0,ROUND((INDEX($E603:$G603,T$5)-SUMIFS(TF_Timer,TF_Tekniker,T$4,TF_Dato,$A603))*2,0)/2)))</f>
        <v/>
      </c>
      <c r="U603">
        <f>IF(OR(U$4="",$A603&gt;TODAY()),0,IF(OR(INDEX($B603:$D603,U$5)="F",AND(U$6&gt;0,$A603&lt;U$6),AND(U$7&gt;0,$A603&gt;U$7)),0,MAX(0,ROUND((INDEX($E603:$G603,U$5)-SUMIFS(TF_Timer,TF_Tekniker,U$4,TF_Dato,$A603))*2,0)/2)))</f>
        <v/>
      </c>
      <c r="V603">
        <f>IF(OR(V$4="",$A603&gt;TODAY()),0,IF(OR(INDEX($B603:$D603,V$5)="F",AND(V$6&gt;0,$A603&lt;V$6),AND(V$7&gt;0,$A603&gt;V$7)),0,MAX(0,ROUND((INDEX($E603:$G603,V$5)-SUMIFS(TF_Timer,TF_Tekniker,V$4,TF_Dato,$A603))*2,0)/2)))</f>
        <v/>
      </c>
      <c r="W603">
        <f>IF(OR(W$4="",$A603&gt;TODAY()),0,IF(OR(INDEX($B603:$D603,W$5)="F",AND(W$6&gt;0,$A603&lt;W$6),AND(W$7&gt;0,$A603&gt;W$7)),0,MAX(0,ROUND((INDEX($E603:$G603,W$5)-SUMIFS(TF_Timer,TF_Tekniker,W$4,TF_Dato,$A603))*2,0)/2)))</f>
        <v/>
      </c>
      <c r="X603">
        <f>IF(OR(X$4="",$A603&gt;TODAY()),0,IF(OR(INDEX($B603:$D603,X$5)="F",AND(X$6&gt;0,$A603&lt;X$6),AND(X$7&gt;0,$A603&gt;X$7)),0,MAX(0,ROUND((INDEX($E603:$G603,X$5)-SUMIFS(TF_Timer,TF_Tekniker,X$4,TF_Dato,$A603))*2,0)/2)))</f>
        <v/>
      </c>
      <c r="Y603">
        <f>IF(OR(Y$4="",$A603&gt;TODAY()),0,IF(OR(INDEX($B603:$D603,Y$5)="F",AND(Y$6&gt;0,$A603&lt;Y$6),AND(Y$7&gt;0,$A603&gt;Y$7)),0,MAX(0,ROUND((INDEX($E603:$G603,Y$5)-SUMIFS(TF_Timer,TF_Tekniker,Y$4,TF_Dato,$A603))*2,0)/2)))</f>
        <v/>
      </c>
      <c r="Z603">
        <f>IF(OR(Z$4="",$A603&gt;TODAY()),0,IF(OR(INDEX($B603:$D603,Z$5)="F",AND(Z$6&gt;0,$A603&lt;Z$6),AND(Z$7&gt;0,$A603&gt;Z$7)),0,MAX(0,ROUND((INDEX($E603:$G603,Z$5)-SUMIFS(TF_Timer,TF_Tekniker,Z$4,TF_Dato,$A603))*2,0)/2)))</f>
        <v/>
      </c>
      <c r="AA603">
        <f>IF(OR(AA$4="",$A603&gt;TODAY()),0,IF(OR(INDEX($B603:$D603,AA$5)="F",AND(AA$6&gt;0,$A603&lt;AA$6),AND(AA$7&gt;0,$A603&gt;AA$7)),0,MAX(0,ROUND((INDEX($E603:$G603,AA$5)-SUMIFS(TF_Timer,TF_Tekniker,AA$4,TF_Dato,$A603))*2,0)/2)))</f>
        <v/>
      </c>
      <c r="AB603">
        <f>IF(OR(AB$4="",$A603&gt;TODAY()),0,IF(OR(INDEX($B603:$D603,AB$5)="F",AND(AB$6&gt;0,$A603&lt;AB$6),AND(AB$7&gt;0,$A603&gt;AB$7)),0,MAX(0,ROUND((INDEX($E603:$G603,AB$5)-SUMIFS(TF_Timer,TF_Tekniker,AB$4,TF_Dato,$A603))*2,0)/2)))</f>
        <v/>
      </c>
      <c r="AC603">
        <f>IF(OR(AC$4="",$A603&gt;TODAY()),0,IF(OR(INDEX($B603:$D603,AC$5)="F",AND(AC$6&gt;0,$A603&lt;AC$6),AND(AC$7&gt;0,$A603&gt;AC$7)),0,MAX(0,ROUND((INDEX($E603:$G603,AC$5)-SUMIFS(TF_Timer,TF_Tekniker,AC$4,TF_Dato,$A603))*2,0)/2)))</f>
        <v/>
      </c>
      <c r="AD603">
        <f>IF(OR(AD$4="",$A603&gt;TODAY()),0,IF(OR(INDEX($B603:$D603,AD$5)="F",AND(AD$6&gt;0,$A603&lt;AD$6),AND(AD$7&gt;0,$A603&gt;AD$7)),0,MAX(0,ROUND((INDEX($E603:$G603,AD$5)-SUMIFS(TF_Timer,TF_Tekniker,AD$4,TF_Dato,$A603))*2,0)/2)))</f>
        <v/>
      </c>
      <c r="AE603">
        <f>IF(OR(AE$4="",$A603&gt;TODAY()),0,IF(OR(INDEX($B603:$D603,AE$5)="F",AND(AE$6&gt;0,$A603&lt;AE$6),AND(AE$7&gt;0,$A603&gt;AE$7)),0,MAX(0,ROUND((INDEX($E603:$G603,AE$5)-SUMIFS(TF_Timer,TF_Tekniker,AE$4,TF_Dato,$A603))*2,0)/2)))</f>
        <v/>
      </c>
      <c r="AF603">
        <f>IF(OR(AF$4="",$A603&gt;TODAY()),0,IF(OR(INDEX($B603:$D603,AF$5)="F",AND(AF$6&gt;0,$A603&lt;AF$6),AND(AF$7&gt;0,$A603&gt;AF$7)),0,MAX(0,ROUND((INDEX($E603:$G603,AF$5)-SUMIFS(TF_Timer,TF_Tekniker,AF$4,TF_Dato,$A603))*2,0)/2)))</f>
        <v/>
      </c>
      <c r="AG603">
        <f>IF(OR(AG$4="",$A603&gt;TODAY()),0,IF(OR(INDEX($B603:$D603,AG$5)="F",AND(AG$6&gt;0,$A603&lt;AG$6),AND(AG$7&gt;0,$A603&gt;AG$7)),0,MAX(0,ROUND((INDEX($E603:$G603,AG$5)-SUMIFS(TF_Timer,TF_Tekniker,AG$4,TF_Dato,$A603))*2,0)/2)))</f>
        <v/>
      </c>
      <c r="AH603">
        <f>IF(OR(AH$4="",$A603&gt;TODAY()),0,IF(OR(INDEX($B603:$D603,AH$5)="F",AND(AH$6&gt;0,$A603&lt;AH$6),AND(AH$7&gt;0,$A603&gt;AH$7)),0,MAX(0,ROUND((INDEX($E603:$G603,AH$5)-SUMIFS(TF_Timer,TF_Tekniker,AH$4,TF_Dato,$A603))*2,0)/2)))</f>
        <v/>
      </c>
      <c r="AI603">
        <f>IF(OR(AI$4="",$A603&gt;TODAY()),0,IF(OR(INDEX($B603:$D603,AI$5)="F",AND(AI$6&gt;0,$A603&lt;AI$6),AND(AI$7&gt;0,$A603&gt;AI$7)),0,MAX(0,ROUND((INDEX($E603:$G603,AI$5)-SUMIFS(TF_Timer,TF_Tekniker,AI$4,TF_Dato,$A603))*2,0)/2)))</f>
        <v/>
      </c>
      <c r="AJ603">
        <f>IF(OR(AJ$4="",$A603&gt;TODAY()),0,IF(OR(INDEX($B603:$D603,AJ$5)="F",AND(AJ$6&gt;0,$A603&lt;AJ$6),AND(AJ$7&gt;0,$A603&gt;AJ$7)),0,MAX(0,ROUND((INDEX($E603:$G603,AJ$5)-SUMIFS(TF_Timer,TF_Tekniker,AJ$4,TF_Dato,$A603))*2,0)/2)))</f>
        <v/>
      </c>
      <c r="AK603">
        <f>IF(OR(AK$4="",$A603&gt;TODAY()),0,IF(OR(INDEX($B603:$D603,AK$5)="F",AND(AK$6&gt;0,$A603&lt;AK$6),AND(AK$7&gt;0,$A603&gt;AK$7)),0,MAX(0,ROUND((INDEX($E603:$G603,AK$5)-SUMIFS(TF_Timer,TF_Tekniker,AK$4,TF_Dato,$A603))*2,0)/2)))</f>
        <v/>
      </c>
      <c r="AL603">
        <f>IF(OR(AL$4="",$A603&gt;TODAY()),0,IF(OR(INDEX($B603:$D603,AL$5)="F",AND(AL$6&gt;0,$A603&lt;AL$6),AND(AL$7&gt;0,$A603&gt;AL$7)),0,MAX(0,ROUND((INDEX($E603:$G603,AL$5)-SUMIFS(TF_Timer,TF_Tekniker,AL$4,TF_Dato,$A603))*2,0)/2)))</f>
        <v/>
      </c>
      <c r="AM603">
        <f>IF(OR(AM$4="",$A603&gt;TODAY()),0,IF(OR(INDEX($B603:$D603,AM$5)="F",AND(AM$6&gt;0,$A603&lt;AM$6),AND(AM$7&gt;0,$A603&gt;AM$7)),0,MAX(0,ROUND((INDEX($E603:$G603,AM$5)-SUMIFS(TF_Timer,TF_Tekniker,AM$4,TF_Dato,$A603))*2,0)/2)))</f>
        <v/>
      </c>
      <c r="AN603">
        <f>IF(OR(AN$4="",$A603&gt;TODAY()),0,IF(OR(INDEX($B603:$D603,AN$5)="F",AND(AN$6&gt;0,$A603&lt;AN$6),AND(AN$7&gt;0,$A603&gt;AN$7)),0,MAX(0,ROUND((INDEX($E603:$G603,AN$5)-SUMIFS(TF_Timer,TF_Tekniker,AN$4,TF_Dato,$A603))*2,0)/2)))</f>
        <v/>
      </c>
      <c r="AO603">
        <f>IF(OR(AO$4="",$A603&gt;TODAY()),0,IF(OR(INDEX($B603:$D603,AO$5)="F",AND(AO$6&gt;0,$A603&lt;AO$6),AND(AO$7&gt;0,$A603&gt;AO$7)),0,MAX(0,ROUND((INDEX($E603:$G603,AO$5)-SUMIFS(TF_Timer,TF_Tekniker,AO$4,TF_Dato,$A603))*2,0)/2)))</f>
        <v/>
      </c>
      <c r="AP603">
        <f>IF(OR(AP$4="",$A603&gt;TODAY()),0,IF(OR(INDEX($B603:$D603,AP$5)="F",AND(AP$6&gt;0,$A603&lt;AP$6),AND(AP$7&gt;0,$A603&gt;AP$7)),0,MAX(0,ROUND((INDEX($E603:$G603,AP$5)-SUMIFS(TF_Timer,TF_Tekniker,AP$4,TF_Dato,$A603))*2,0)/2)))</f>
        <v/>
      </c>
      <c r="AQ603">
        <f>IF(OR(AQ$4="",$A603&gt;TODAY()),0,IF(OR(INDEX($B603:$D603,AQ$5)="F",AND(AQ$6&gt;0,$A603&lt;AQ$6),AND(AQ$7&gt;0,$A603&gt;AQ$7)),0,MAX(0,ROUND((INDEX($E603:$G603,AQ$5)-SUMIFS(TF_Timer,TF_Tekniker,AQ$4,TF_Dato,$A603))*2,0)/2)))</f>
        <v/>
      </c>
      <c r="AR603">
        <f>IF(OR(AR$4="",$A603&gt;TODAY()),0,IF(OR(INDEX($B603:$D603,AR$5)="F",AND(AR$6&gt;0,$A603&lt;AR$6),AND(AR$7&gt;0,$A603&gt;AR$7)),0,MAX(0,ROUND((INDEX($E603:$G603,AR$5)-SUMIFS(TF_Timer,TF_Tekniker,AR$4,TF_Dato,$A603))*2,0)/2)))</f>
        <v/>
      </c>
      <c r="AS603">
        <f>IF(OR(AS$4="",$A603&gt;TODAY()),0,IF(OR(INDEX($B603:$D603,AS$5)="F",AND(AS$6&gt;0,$A603&lt;AS$6),AND(AS$7&gt;0,$A603&gt;AS$7)),0,MAX(0,ROUND((INDEX($E603:$G603,AS$5)-SUMIFS(TF_Timer,TF_Tekniker,AS$4,TF_Dato,$A603))*2,0)/2)))</f>
        <v/>
      </c>
      <c r="AT603">
        <f>IF(OR(AT$4="",$A603&gt;TODAY()),0,IF(OR(INDEX($B603:$D603,AT$5)="F",AND(AT$6&gt;0,$A603&lt;AT$6),AND(AT$7&gt;0,$A603&gt;AT$7)),0,MAX(0,ROUND((INDEX($E603:$G603,AT$5)-SUMIFS(TF_Timer,TF_Tekniker,AT$4,TF_Dato,$A603))*2,0)/2)))</f>
        <v/>
      </c>
      <c r="AU603">
        <f>IF(OR(AU$4="",$A603&gt;TODAY()),0,IF(OR(INDEX($B603:$D603,AU$5)="F",AND(AU$6&gt;0,$A603&lt;AU$6),AND(AU$7&gt;0,$A603&gt;AU$7)),0,MAX(0,ROUND((INDEX($E603:$G603,AU$5)-SUMIFS(TF_Timer,TF_Tekniker,AU$4,TF_Dato,$A603))*2,0)/2)))</f>
        <v/>
      </c>
      <c r="AV603">
        <f>IF(OR(AV$4="",$A603&gt;TODAY()),0,IF(OR(INDEX($B603:$D603,AV$5)="F",AND(AV$6&gt;0,$A603&lt;AV$6),AND(AV$7&gt;0,$A603&gt;AV$7)),0,MAX(0,ROUND((INDEX($E603:$G603,AV$5)-SUMIFS(TF_Timer,TF_Tekniker,AV$4,TF_Dato,$A603))*2,0)/2)))</f>
        <v/>
      </c>
      <c r="AW603">
        <f>IF(OR(AW$4="",$A603&gt;TODAY()),0,IF(OR(INDEX($B603:$D603,AW$5)="F",AND(AW$6&gt;0,$A603&lt;AW$6),AND(AW$7&gt;0,$A603&gt;AW$7)),0,MAX(0,ROUND((INDEX($E603:$G603,AW$5)-SUMIFS(TF_Timer,TF_Tekniker,AW$4,TF_Dato,$A603))*2,0)/2)))</f>
        <v/>
      </c>
      <c r="AX603">
        <f>IF(OR(AX$4="",$A603&gt;TODAY()),0,IF(OR(INDEX($B603:$D603,AX$5)="F",AND(AX$6&gt;0,$A603&lt;AX$6),AND(AX$7&gt;0,$A603&gt;AX$7)),0,MAX(0,ROUND((INDEX($E603:$G603,AX$5)-SUMIFS(TF_Timer,TF_Tekniker,AX$4,TF_Dato,$A603))*2,0)/2)))</f>
        <v/>
      </c>
      <c r="AY603">
        <f>IF(OR(AY$4="",$A603&gt;TODAY()),0,IF(OR(INDEX($B603:$D603,AY$5)="F",AND(AY$6&gt;0,$A603&lt;AY$6),AND(AY$7&gt;0,$A603&gt;AY$7)),0,MAX(0,ROUND((INDEX($E603:$G603,AY$5)-SUMIFS(TF_Timer,TF_Tekniker,AY$4,TF_Dato,$A603))*2,0)/2)))</f>
        <v/>
      </c>
      <c r="AZ603">
        <f>IF(OR(AZ$4="",$A603&gt;TODAY()),0,IF(OR(INDEX($B603:$D603,AZ$5)="F",AND(AZ$6&gt;0,$A603&lt;AZ$6),AND(AZ$7&gt;0,$A603&gt;AZ$7)),0,MAX(0,ROUND((INDEX($E603:$G603,AZ$5)-SUMIFS(TF_Timer,TF_Tekniker,AZ$4,TF_Dato,$A603))*2,0)/2)))</f>
        <v/>
      </c>
      <c r="BA603">
        <f>IF(OR(BA$4="",$A603&gt;TODAY()),0,IF(OR(INDEX($B603:$D603,BA$5)="F",AND(BA$6&gt;0,$A603&lt;BA$6),AND(BA$7&gt;0,$A603&gt;BA$7)),0,MAX(0,ROUND((INDEX($E603:$G603,BA$5)-SUMIFS(TF_Timer,TF_Tekniker,BA$4,TF_Dato,$A603))*2,0)/2)))</f>
        <v/>
      </c>
      <c r="BB603">
        <f>IF(OR(BB$4="",$A603&gt;TODAY()),0,IF(OR(INDEX($B603:$D603,BB$5)="F",AND(BB$6&gt;0,$A603&lt;BB$6),AND(BB$7&gt;0,$A603&gt;BB$7)),0,MAX(0,ROUND((INDEX($E603:$G603,BB$5)-SUMIFS(TF_Timer,TF_Tekniker,BB$4,TF_Dato,$A603))*2,0)/2)))</f>
        <v/>
      </c>
      <c r="BC603">
        <f>IF(OR(BC$4="",$A603&gt;TODAY()),0,IF(OR(INDEX($B603:$D603,BC$5)="F",AND(BC$6&gt;0,$A603&lt;BC$6),AND(BC$7&gt;0,$A603&gt;BC$7)),0,MAX(0,ROUND((INDEX($E603:$G603,BC$5)-SUMIFS(TF_Timer,TF_Tekniker,BC$4,TF_Dato,$A603))*2,0)/2)))</f>
        <v/>
      </c>
      <c r="BD603">
        <f>IF(OR(BD$4="",$A603&gt;TODAY()),0,IF(OR(INDEX($B603:$D603,BD$5)="F",AND(BD$6&gt;0,$A603&lt;BD$6),AND(BD$7&gt;0,$A603&gt;BD$7)),0,MAX(0,ROUND((INDEX($E603:$G603,BD$5)-SUMIFS(TF_Timer,TF_Tekniker,BD$4,TF_Dato,$A603))*2,0)/2)))</f>
        <v/>
      </c>
      <c r="BE603">
        <f>IF(OR(BE$4="",$A603&gt;TODAY()),0,IF(OR(INDEX($B603:$D603,BE$5)="F",AND(BE$6&gt;0,$A603&lt;BE$6),AND(BE$7&gt;0,$A603&gt;BE$7)),0,MAX(0,ROUND((INDEX($E603:$G603,BE$5)-SUMIFS(TF_Timer,TF_Tekniker,BE$4,TF_Dato,$A603))*2,0)/2)))</f>
        <v/>
      </c>
      <c r="BF603">
        <f>IF(OR(BF$4="",$A603&gt;TODAY()),0,IF(OR(INDEX($B603:$D603,BF$5)="F",AND(BF$6&gt;0,$A603&lt;BF$6),AND(BF$7&gt;0,$A603&gt;BF$7)),0,MAX(0,ROUND((INDEX($E603:$G603,BF$5)-SUMIFS(TF_Timer,TF_Tekniker,BF$4,TF_Dato,$A603))*2,0)/2)))</f>
        <v/>
      </c>
      <c r="BG603">
        <f>IF(OR(BG$4="",$A603&gt;TODAY()),0,IF(OR(INDEX($B603:$D603,BG$5)="F",AND(BG$6&gt;0,$A603&lt;BG$6),AND(BG$7&gt;0,$A603&gt;BG$7)),0,MAX(0,ROUND((INDEX($E603:$G603,BG$5)-SUMIFS(TF_Timer,TF_Tekniker,BG$4,TF_Dato,$A603))*2,0)/2)))</f>
        <v/>
      </c>
      <c r="BH603">
        <f>IF(OR(BH$4="",$A603&gt;TODAY()),0,IF(OR(INDEX($B603:$D603,BH$5)="F",AND(BH$6&gt;0,$A603&lt;BH$6),AND(BH$7&gt;0,$A603&gt;BH$7)),0,MAX(0,ROUND((INDEX($E603:$G603,BH$5)-SUMIFS(TF_Timer,TF_Tekniker,BH$4,TF_Dato,$A603))*2,0)/2)))</f>
        <v/>
      </c>
      <c r="BI603">
        <f>IF(OR(BI$4="",$A603&gt;TODAY()),0,IF(OR(INDEX($B603:$D603,BI$5)="F",AND(BI$6&gt;0,$A603&lt;BI$6),AND(BI$7&gt;0,$A603&gt;BI$7)),0,MAX(0,ROUND((INDEX($E603:$G603,BI$5)-SUMIFS(TF_Timer,TF_Tekniker,BI$4,TF_Dato,$A603))*2,0)/2)))</f>
        <v/>
      </c>
    </row>
    <row r="604">
      <c r="A604" s="64">
        <f>A603+1</f>
        <v/>
      </c>
      <c r="B604">
        <f>IF(MOD($A604-INDEX(SkiftStart,1),Syklus)&lt;DagK,"K",IF(MOD($A604-INDEX(SkiftStart,1),Syklus)&lt;DagK+DagH,"H",IF(MOD($A604-INDEX(SkiftStart,1),Syklus)&lt;DagK+DagH+DagD,"D","F")))</f>
        <v/>
      </c>
      <c r="C604">
        <f>IF(MOD($A604-INDEX(SkiftStart,2),Syklus)&lt;DagK,"K",IF(MOD($A604-INDEX(SkiftStart,2),Syklus)&lt;DagK+DagH,"H",IF(MOD($A604-INDEX(SkiftStart,2),Syklus)&lt;DagK+DagH+DagD,"D","F")))</f>
        <v/>
      </c>
      <c r="D604">
        <f>IF(MOD($A604-INDEX(SkiftStart,3),Syklus)&lt;DagK,"K",IF(MOD($A604-INDEX(SkiftStart,3),Syklus)&lt;DagK+DagH,"H",IF(MOD($A604-INDEX(SkiftStart,3),Syklus)&lt;DagK+DagH+DagD,"D","F")))</f>
        <v/>
      </c>
      <c r="E604">
        <f>IF(B604="F",0,IF(WEEKDAY($A604,2)=5,INDEX(TimerFr,MATCH(B604,FaseKode,0)),INDEX(TimerMT,MATCH(B604,FaseKode,0))))</f>
        <v/>
      </c>
      <c r="F604">
        <f>IF(C604="F",0,IF(WEEKDAY($A604,2)=5,INDEX(TimerFr,MATCH(C604,FaseKode,0)),INDEX(TimerMT,MATCH(C604,FaseKode,0))))</f>
        <v/>
      </c>
      <c r="G604">
        <f>IF(D604="F",0,IF(WEEKDAY($A604,2)=5,INDEX(TimerFr,MATCH(D604,FaseKode,0)),INDEX(TimerMT,MATCH(D604,FaseKode,0))))</f>
        <v/>
      </c>
      <c r="H604">
        <f>IF(OR(H$4="",$A604&gt;TODAY()),0,IF(OR(INDEX($B604:$D604,H$5)="F",AND(H$6&gt;0,$A604&lt;H$6),AND(H$7&gt;0,$A604&gt;H$7)),0,MAX(0,ROUND((INDEX($E604:$G604,H$5)-SUMIFS(TF_Timer,TF_Tekniker,H$4,TF_Dato,$A604))*2,0)/2)))</f>
        <v/>
      </c>
      <c r="I604">
        <f>IF(OR(I$4="",$A604&gt;TODAY()),0,IF(OR(INDEX($B604:$D604,I$5)="F",AND(I$6&gt;0,$A604&lt;I$6),AND(I$7&gt;0,$A604&gt;I$7)),0,MAX(0,ROUND((INDEX($E604:$G604,I$5)-SUMIFS(TF_Timer,TF_Tekniker,I$4,TF_Dato,$A604))*2,0)/2)))</f>
        <v/>
      </c>
      <c r="J604">
        <f>IF(OR(J$4="",$A604&gt;TODAY()),0,IF(OR(INDEX($B604:$D604,J$5)="F",AND(J$6&gt;0,$A604&lt;J$6),AND(J$7&gt;0,$A604&gt;J$7)),0,MAX(0,ROUND((INDEX($E604:$G604,J$5)-SUMIFS(TF_Timer,TF_Tekniker,J$4,TF_Dato,$A604))*2,0)/2)))</f>
        <v/>
      </c>
      <c r="K604">
        <f>IF(OR(K$4="",$A604&gt;TODAY()),0,IF(OR(INDEX($B604:$D604,K$5)="F",AND(K$6&gt;0,$A604&lt;K$6),AND(K$7&gt;0,$A604&gt;K$7)),0,MAX(0,ROUND((INDEX($E604:$G604,K$5)-SUMIFS(TF_Timer,TF_Tekniker,K$4,TF_Dato,$A604))*2,0)/2)))</f>
        <v/>
      </c>
      <c r="L604">
        <f>IF(OR(L$4="",$A604&gt;TODAY()),0,IF(OR(INDEX($B604:$D604,L$5)="F",AND(L$6&gt;0,$A604&lt;L$6),AND(L$7&gt;0,$A604&gt;L$7)),0,MAX(0,ROUND((INDEX($E604:$G604,L$5)-SUMIFS(TF_Timer,TF_Tekniker,L$4,TF_Dato,$A604))*2,0)/2)))</f>
        <v/>
      </c>
      <c r="M604">
        <f>IF(OR(M$4="",$A604&gt;TODAY()),0,IF(OR(INDEX($B604:$D604,M$5)="F",AND(M$6&gt;0,$A604&lt;M$6),AND(M$7&gt;0,$A604&gt;M$7)),0,MAX(0,ROUND((INDEX($E604:$G604,M$5)-SUMIFS(TF_Timer,TF_Tekniker,M$4,TF_Dato,$A604))*2,0)/2)))</f>
        <v/>
      </c>
      <c r="N604">
        <f>IF(OR(N$4="",$A604&gt;TODAY()),0,IF(OR(INDEX($B604:$D604,N$5)="F",AND(N$6&gt;0,$A604&lt;N$6),AND(N$7&gt;0,$A604&gt;N$7)),0,MAX(0,ROUND((INDEX($E604:$G604,N$5)-SUMIFS(TF_Timer,TF_Tekniker,N$4,TF_Dato,$A604))*2,0)/2)))</f>
        <v/>
      </c>
      <c r="O604">
        <f>IF(OR(O$4="",$A604&gt;TODAY()),0,IF(OR(INDEX($B604:$D604,O$5)="F",AND(O$6&gt;0,$A604&lt;O$6),AND(O$7&gt;0,$A604&gt;O$7)),0,MAX(0,ROUND((INDEX($E604:$G604,O$5)-SUMIFS(TF_Timer,TF_Tekniker,O$4,TF_Dato,$A604))*2,0)/2)))</f>
        <v/>
      </c>
      <c r="P604">
        <f>IF(OR(P$4="",$A604&gt;TODAY()),0,IF(OR(INDEX($B604:$D604,P$5)="F",AND(P$6&gt;0,$A604&lt;P$6),AND(P$7&gt;0,$A604&gt;P$7)),0,MAX(0,ROUND((INDEX($E604:$G604,P$5)-SUMIFS(TF_Timer,TF_Tekniker,P$4,TF_Dato,$A604))*2,0)/2)))</f>
        <v/>
      </c>
      <c r="Q604">
        <f>IF(OR(Q$4="",$A604&gt;TODAY()),0,IF(OR(INDEX($B604:$D604,Q$5)="F",AND(Q$6&gt;0,$A604&lt;Q$6),AND(Q$7&gt;0,$A604&gt;Q$7)),0,MAX(0,ROUND((INDEX($E604:$G604,Q$5)-SUMIFS(TF_Timer,TF_Tekniker,Q$4,TF_Dato,$A604))*2,0)/2)))</f>
        <v/>
      </c>
      <c r="R604">
        <f>IF(OR(R$4="",$A604&gt;TODAY()),0,IF(OR(INDEX($B604:$D604,R$5)="F",AND(R$6&gt;0,$A604&lt;R$6),AND(R$7&gt;0,$A604&gt;R$7)),0,MAX(0,ROUND((INDEX($E604:$G604,R$5)-SUMIFS(TF_Timer,TF_Tekniker,R$4,TF_Dato,$A604))*2,0)/2)))</f>
        <v/>
      </c>
      <c r="S604">
        <f>IF(OR(S$4="",$A604&gt;TODAY()),0,IF(OR(INDEX($B604:$D604,S$5)="F",AND(S$6&gt;0,$A604&lt;S$6),AND(S$7&gt;0,$A604&gt;S$7)),0,MAX(0,ROUND((INDEX($E604:$G604,S$5)-SUMIFS(TF_Timer,TF_Tekniker,S$4,TF_Dato,$A604))*2,0)/2)))</f>
        <v/>
      </c>
      <c r="T604">
        <f>IF(OR(T$4="",$A604&gt;TODAY()),0,IF(OR(INDEX($B604:$D604,T$5)="F",AND(T$6&gt;0,$A604&lt;T$6),AND(T$7&gt;0,$A604&gt;T$7)),0,MAX(0,ROUND((INDEX($E604:$G604,T$5)-SUMIFS(TF_Timer,TF_Tekniker,T$4,TF_Dato,$A604))*2,0)/2)))</f>
        <v/>
      </c>
      <c r="U604">
        <f>IF(OR(U$4="",$A604&gt;TODAY()),0,IF(OR(INDEX($B604:$D604,U$5)="F",AND(U$6&gt;0,$A604&lt;U$6),AND(U$7&gt;0,$A604&gt;U$7)),0,MAX(0,ROUND((INDEX($E604:$G604,U$5)-SUMIFS(TF_Timer,TF_Tekniker,U$4,TF_Dato,$A604))*2,0)/2)))</f>
        <v/>
      </c>
      <c r="V604">
        <f>IF(OR(V$4="",$A604&gt;TODAY()),0,IF(OR(INDEX($B604:$D604,V$5)="F",AND(V$6&gt;0,$A604&lt;V$6),AND(V$7&gt;0,$A604&gt;V$7)),0,MAX(0,ROUND((INDEX($E604:$G604,V$5)-SUMIFS(TF_Timer,TF_Tekniker,V$4,TF_Dato,$A604))*2,0)/2)))</f>
        <v/>
      </c>
      <c r="W604">
        <f>IF(OR(W$4="",$A604&gt;TODAY()),0,IF(OR(INDEX($B604:$D604,W$5)="F",AND(W$6&gt;0,$A604&lt;W$6),AND(W$7&gt;0,$A604&gt;W$7)),0,MAX(0,ROUND((INDEX($E604:$G604,W$5)-SUMIFS(TF_Timer,TF_Tekniker,W$4,TF_Dato,$A604))*2,0)/2)))</f>
        <v/>
      </c>
      <c r="X604">
        <f>IF(OR(X$4="",$A604&gt;TODAY()),0,IF(OR(INDEX($B604:$D604,X$5)="F",AND(X$6&gt;0,$A604&lt;X$6),AND(X$7&gt;0,$A604&gt;X$7)),0,MAX(0,ROUND((INDEX($E604:$G604,X$5)-SUMIFS(TF_Timer,TF_Tekniker,X$4,TF_Dato,$A604))*2,0)/2)))</f>
        <v/>
      </c>
      <c r="Y604">
        <f>IF(OR(Y$4="",$A604&gt;TODAY()),0,IF(OR(INDEX($B604:$D604,Y$5)="F",AND(Y$6&gt;0,$A604&lt;Y$6),AND(Y$7&gt;0,$A604&gt;Y$7)),0,MAX(0,ROUND((INDEX($E604:$G604,Y$5)-SUMIFS(TF_Timer,TF_Tekniker,Y$4,TF_Dato,$A604))*2,0)/2)))</f>
        <v/>
      </c>
      <c r="Z604">
        <f>IF(OR(Z$4="",$A604&gt;TODAY()),0,IF(OR(INDEX($B604:$D604,Z$5)="F",AND(Z$6&gt;0,$A604&lt;Z$6),AND(Z$7&gt;0,$A604&gt;Z$7)),0,MAX(0,ROUND((INDEX($E604:$G604,Z$5)-SUMIFS(TF_Timer,TF_Tekniker,Z$4,TF_Dato,$A604))*2,0)/2)))</f>
        <v/>
      </c>
      <c r="AA604">
        <f>IF(OR(AA$4="",$A604&gt;TODAY()),0,IF(OR(INDEX($B604:$D604,AA$5)="F",AND(AA$6&gt;0,$A604&lt;AA$6),AND(AA$7&gt;0,$A604&gt;AA$7)),0,MAX(0,ROUND((INDEX($E604:$G604,AA$5)-SUMIFS(TF_Timer,TF_Tekniker,AA$4,TF_Dato,$A604))*2,0)/2)))</f>
        <v/>
      </c>
      <c r="AB604">
        <f>IF(OR(AB$4="",$A604&gt;TODAY()),0,IF(OR(INDEX($B604:$D604,AB$5)="F",AND(AB$6&gt;0,$A604&lt;AB$6),AND(AB$7&gt;0,$A604&gt;AB$7)),0,MAX(0,ROUND((INDEX($E604:$G604,AB$5)-SUMIFS(TF_Timer,TF_Tekniker,AB$4,TF_Dato,$A604))*2,0)/2)))</f>
        <v/>
      </c>
      <c r="AC604">
        <f>IF(OR(AC$4="",$A604&gt;TODAY()),0,IF(OR(INDEX($B604:$D604,AC$5)="F",AND(AC$6&gt;0,$A604&lt;AC$6),AND(AC$7&gt;0,$A604&gt;AC$7)),0,MAX(0,ROUND((INDEX($E604:$G604,AC$5)-SUMIFS(TF_Timer,TF_Tekniker,AC$4,TF_Dato,$A604))*2,0)/2)))</f>
        <v/>
      </c>
      <c r="AD604">
        <f>IF(OR(AD$4="",$A604&gt;TODAY()),0,IF(OR(INDEX($B604:$D604,AD$5)="F",AND(AD$6&gt;0,$A604&lt;AD$6),AND(AD$7&gt;0,$A604&gt;AD$7)),0,MAX(0,ROUND((INDEX($E604:$G604,AD$5)-SUMIFS(TF_Timer,TF_Tekniker,AD$4,TF_Dato,$A604))*2,0)/2)))</f>
        <v/>
      </c>
      <c r="AE604">
        <f>IF(OR(AE$4="",$A604&gt;TODAY()),0,IF(OR(INDEX($B604:$D604,AE$5)="F",AND(AE$6&gt;0,$A604&lt;AE$6),AND(AE$7&gt;0,$A604&gt;AE$7)),0,MAX(0,ROUND((INDEX($E604:$G604,AE$5)-SUMIFS(TF_Timer,TF_Tekniker,AE$4,TF_Dato,$A604))*2,0)/2)))</f>
        <v/>
      </c>
      <c r="AF604">
        <f>IF(OR(AF$4="",$A604&gt;TODAY()),0,IF(OR(INDEX($B604:$D604,AF$5)="F",AND(AF$6&gt;0,$A604&lt;AF$6),AND(AF$7&gt;0,$A604&gt;AF$7)),0,MAX(0,ROUND((INDEX($E604:$G604,AF$5)-SUMIFS(TF_Timer,TF_Tekniker,AF$4,TF_Dato,$A604))*2,0)/2)))</f>
        <v/>
      </c>
      <c r="AG604">
        <f>IF(OR(AG$4="",$A604&gt;TODAY()),0,IF(OR(INDEX($B604:$D604,AG$5)="F",AND(AG$6&gt;0,$A604&lt;AG$6),AND(AG$7&gt;0,$A604&gt;AG$7)),0,MAX(0,ROUND((INDEX($E604:$G604,AG$5)-SUMIFS(TF_Timer,TF_Tekniker,AG$4,TF_Dato,$A604))*2,0)/2)))</f>
        <v/>
      </c>
      <c r="AH604">
        <f>IF(OR(AH$4="",$A604&gt;TODAY()),0,IF(OR(INDEX($B604:$D604,AH$5)="F",AND(AH$6&gt;0,$A604&lt;AH$6),AND(AH$7&gt;0,$A604&gt;AH$7)),0,MAX(0,ROUND((INDEX($E604:$G604,AH$5)-SUMIFS(TF_Timer,TF_Tekniker,AH$4,TF_Dato,$A604))*2,0)/2)))</f>
        <v/>
      </c>
      <c r="AI604">
        <f>IF(OR(AI$4="",$A604&gt;TODAY()),0,IF(OR(INDEX($B604:$D604,AI$5)="F",AND(AI$6&gt;0,$A604&lt;AI$6),AND(AI$7&gt;0,$A604&gt;AI$7)),0,MAX(0,ROUND((INDEX($E604:$G604,AI$5)-SUMIFS(TF_Timer,TF_Tekniker,AI$4,TF_Dato,$A604))*2,0)/2)))</f>
        <v/>
      </c>
      <c r="AJ604">
        <f>IF(OR(AJ$4="",$A604&gt;TODAY()),0,IF(OR(INDEX($B604:$D604,AJ$5)="F",AND(AJ$6&gt;0,$A604&lt;AJ$6),AND(AJ$7&gt;0,$A604&gt;AJ$7)),0,MAX(0,ROUND((INDEX($E604:$G604,AJ$5)-SUMIFS(TF_Timer,TF_Tekniker,AJ$4,TF_Dato,$A604))*2,0)/2)))</f>
        <v/>
      </c>
      <c r="AK604">
        <f>IF(OR(AK$4="",$A604&gt;TODAY()),0,IF(OR(INDEX($B604:$D604,AK$5)="F",AND(AK$6&gt;0,$A604&lt;AK$6),AND(AK$7&gt;0,$A604&gt;AK$7)),0,MAX(0,ROUND((INDEX($E604:$G604,AK$5)-SUMIFS(TF_Timer,TF_Tekniker,AK$4,TF_Dato,$A604))*2,0)/2)))</f>
        <v/>
      </c>
      <c r="AL604">
        <f>IF(OR(AL$4="",$A604&gt;TODAY()),0,IF(OR(INDEX($B604:$D604,AL$5)="F",AND(AL$6&gt;0,$A604&lt;AL$6),AND(AL$7&gt;0,$A604&gt;AL$7)),0,MAX(0,ROUND((INDEX($E604:$G604,AL$5)-SUMIFS(TF_Timer,TF_Tekniker,AL$4,TF_Dato,$A604))*2,0)/2)))</f>
        <v/>
      </c>
      <c r="AM604">
        <f>IF(OR(AM$4="",$A604&gt;TODAY()),0,IF(OR(INDEX($B604:$D604,AM$5)="F",AND(AM$6&gt;0,$A604&lt;AM$6),AND(AM$7&gt;0,$A604&gt;AM$7)),0,MAX(0,ROUND((INDEX($E604:$G604,AM$5)-SUMIFS(TF_Timer,TF_Tekniker,AM$4,TF_Dato,$A604))*2,0)/2)))</f>
        <v/>
      </c>
      <c r="AN604">
        <f>IF(OR(AN$4="",$A604&gt;TODAY()),0,IF(OR(INDEX($B604:$D604,AN$5)="F",AND(AN$6&gt;0,$A604&lt;AN$6),AND(AN$7&gt;0,$A604&gt;AN$7)),0,MAX(0,ROUND((INDEX($E604:$G604,AN$5)-SUMIFS(TF_Timer,TF_Tekniker,AN$4,TF_Dato,$A604))*2,0)/2)))</f>
        <v/>
      </c>
      <c r="AO604">
        <f>IF(OR(AO$4="",$A604&gt;TODAY()),0,IF(OR(INDEX($B604:$D604,AO$5)="F",AND(AO$6&gt;0,$A604&lt;AO$6),AND(AO$7&gt;0,$A604&gt;AO$7)),0,MAX(0,ROUND((INDEX($E604:$G604,AO$5)-SUMIFS(TF_Timer,TF_Tekniker,AO$4,TF_Dato,$A604))*2,0)/2)))</f>
        <v/>
      </c>
      <c r="AP604">
        <f>IF(OR(AP$4="",$A604&gt;TODAY()),0,IF(OR(INDEX($B604:$D604,AP$5)="F",AND(AP$6&gt;0,$A604&lt;AP$6),AND(AP$7&gt;0,$A604&gt;AP$7)),0,MAX(0,ROUND((INDEX($E604:$G604,AP$5)-SUMIFS(TF_Timer,TF_Tekniker,AP$4,TF_Dato,$A604))*2,0)/2)))</f>
        <v/>
      </c>
      <c r="AQ604">
        <f>IF(OR(AQ$4="",$A604&gt;TODAY()),0,IF(OR(INDEX($B604:$D604,AQ$5)="F",AND(AQ$6&gt;0,$A604&lt;AQ$6),AND(AQ$7&gt;0,$A604&gt;AQ$7)),0,MAX(0,ROUND((INDEX($E604:$G604,AQ$5)-SUMIFS(TF_Timer,TF_Tekniker,AQ$4,TF_Dato,$A604))*2,0)/2)))</f>
        <v/>
      </c>
      <c r="AR604">
        <f>IF(OR(AR$4="",$A604&gt;TODAY()),0,IF(OR(INDEX($B604:$D604,AR$5)="F",AND(AR$6&gt;0,$A604&lt;AR$6),AND(AR$7&gt;0,$A604&gt;AR$7)),0,MAX(0,ROUND((INDEX($E604:$G604,AR$5)-SUMIFS(TF_Timer,TF_Tekniker,AR$4,TF_Dato,$A604))*2,0)/2)))</f>
        <v/>
      </c>
      <c r="AS604">
        <f>IF(OR(AS$4="",$A604&gt;TODAY()),0,IF(OR(INDEX($B604:$D604,AS$5)="F",AND(AS$6&gt;0,$A604&lt;AS$6),AND(AS$7&gt;0,$A604&gt;AS$7)),0,MAX(0,ROUND((INDEX($E604:$G604,AS$5)-SUMIFS(TF_Timer,TF_Tekniker,AS$4,TF_Dato,$A604))*2,0)/2)))</f>
        <v/>
      </c>
      <c r="AT604">
        <f>IF(OR(AT$4="",$A604&gt;TODAY()),0,IF(OR(INDEX($B604:$D604,AT$5)="F",AND(AT$6&gt;0,$A604&lt;AT$6),AND(AT$7&gt;0,$A604&gt;AT$7)),0,MAX(0,ROUND((INDEX($E604:$G604,AT$5)-SUMIFS(TF_Timer,TF_Tekniker,AT$4,TF_Dato,$A604))*2,0)/2)))</f>
        <v/>
      </c>
      <c r="AU604">
        <f>IF(OR(AU$4="",$A604&gt;TODAY()),0,IF(OR(INDEX($B604:$D604,AU$5)="F",AND(AU$6&gt;0,$A604&lt;AU$6),AND(AU$7&gt;0,$A604&gt;AU$7)),0,MAX(0,ROUND((INDEX($E604:$G604,AU$5)-SUMIFS(TF_Timer,TF_Tekniker,AU$4,TF_Dato,$A604))*2,0)/2)))</f>
        <v/>
      </c>
      <c r="AV604">
        <f>IF(OR(AV$4="",$A604&gt;TODAY()),0,IF(OR(INDEX($B604:$D604,AV$5)="F",AND(AV$6&gt;0,$A604&lt;AV$6),AND(AV$7&gt;0,$A604&gt;AV$7)),0,MAX(0,ROUND((INDEX($E604:$G604,AV$5)-SUMIFS(TF_Timer,TF_Tekniker,AV$4,TF_Dato,$A604))*2,0)/2)))</f>
        <v/>
      </c>
      <c r="AW604">
        <f>IF(OR(AW$4="",$A604&gt;TODAY()),0,IF(OR(INDEX($B604:$D604,AW$5)="F",AND(AW$6&gt;0,$A604&lt;AW$6),AND(AW$7&gt;0,$A604&gt;AW$7)),0,MAX(0,ROUND((INDEX($E604:$G604,AW$5)-SUMIFS(TF_Timer,TF_Tekniker,AW$4,TF_Dato,$A604))*2,0)/2)))</f>
        <v/>
      </c>
      <c r="AX604">
        <f>IF(OR(AX$4="",$A604&gt;TODAY()),0,IF(OR(INDEX($B604:$D604,AX$5)="F",AND(AX$6&gt;0,$A604&lt;AX$6),AND(AX$7&gt;0,$A604&gt;AX$7)),0,MAX(0,ROUND((INDEX($E604:$G604,AX$5)-SUMIFS(TF_Timer,TF_Tekniker,AX$4,TF_Dato,$A604))*2,0)/2)))</f>
        <v/>
      </c>
      <c r="AY604">
        <f>IF(OR(AY$4="",$A604&gt;TODAY()),0,IF(OR(INDEX($B604:$D604,AY$5)="F",AND(AY$6&gt;0,$A604&lt;AY$6),AND(AY$7&gt;0,$A604&gt;AY$7)),0,MAX(0,ROUND((INDEX($E604:$G604,AY$5)-SUMIFS(TF_Timer,TF_Tekniker,AY$4,TF_Dato,$A604))*2,0)/2)))</f>
        <v/>
      </c>
      <c r="AZ604">
        <f>IF(OR(AZ$4="",$A604&gt;TODAY()),0,IF(OR(INDEX($B604:$D604,AZ$5)="F",AND(AZ$6&gt;0,$A604&lt;AZ$6),AND(AZ$7&gt;0,$A604&gt;AZ$7)),0,MAX(0,ROUND((INDEX($E604:$G604,AZ$5)-SUMIFS(TF_Timer,TF_Tekniker,AZ$4,TF_Dato,$A604))*2,0)/2)))</f>
        <v/>
      </c>
      <c r="BA604">
        <f>IF(OR(BA$4="",$A604&gt;TODAY()),0,IF(OR(INDEX($B604:$D604,BA$5)="F",AND(BA$6&gt;0,$A604&lt;BA$6),AND(BA$7&gt;0,$A604&gt;BA$7)),0,MAX(0,ROUND((INDEX($E604:$G604,BA$5)-SUMIFS(TF_Timer,TF_Tekniker,BA$4,TF_Dato,$A604))*2,0)/2)))</f>
        <v/>
      </c>
      <c r="BB604">
        <f>IF(OR(BB$4="",$A604&gt;TODAY()),0,IF(OR(INDEX($B604:$D604,BB$5)="F",AND(BB$6&gt;0,$A604&lt;BB$6),AND(BB$7&gt;0,$A604&gt;BB$7)),0,MAX(0,ROUND((INDEX($E604:$G604,BB$5)-SUMIFS(TF_Timer,TF_Tekniker,BB$4,TF_Dato,$A604))*2,0)/2)))</f>
        <v/>
      </c>
      <c r="BC604">
        <f>IF(OR(BC$4="",$A604&gt;TODAY()),0,IF(OR(INDEX($B604:$D604,BC$5)="F",AND(BC$6&gt;0,$A604&lt;BC$6),AND(BC$7&gt;0,$A604&gt;BC$7)),0,MAX(0,ROUND((INDEX($E604:$G604,BC$5)-SUMIFS(TF_Timer,TF_Tekniker,BC$4,TF_Dato,$A604))*2,0)/2)))</f>
        <v/>
      </c>
      <c r="BD604">
        <f>IF(OR(BD$4="",$A604&gt;TODAY()),0,IF(OR(INDEX($B604:$D604,BD$5)="F",AND(BD$6&gt;0,$A604&lt;BD$6),AND(BD$7&gt;0,$A604&gt;BD$7)),0,MAX(0,ROUND((INDEX($E604:$G604,BD$5)-SUMIFS(TF_Timer,TF_Tekniker,BD$4,TF_Dato,$A604))*2,0)/2)))</f>
        <v/>
      </c>
      <c r="BE604">
        <f>IF(OR(BE$4="",$A604&gt;TODAY()),0,IF(OR(INDEX($B604:$D604,BE$5)="F",AND(BE$6&gt;0,$A604&lt;BE$6),AND(BE$7&gt;0,$A604&gt;BE$7)),0,MAX(0,ROUND((INDEX($E604:$G604,BE$5)-SUMIFS(TF_Timer,TF_Tekniker,BE$4,TF_Dato,$A604))*2,0)/2)))</f>
        <v/>
      </c>
      <c r="BF604">
        <f>IF(OR(BF$4="",$A604&gt;TODAY()),0,IF(OR(INDEX($B604:$D604,BF$5)="F",AND(BF$6&gt;0,$A604&lt;BF$6),AND(BF$7&gt;0,$A604&gt;BF$7)),0,MAX(0,ROUND((INDEX($E604:$G604,BF$5)-SUMIFS(TF_Timer,TF_Tekniker,BF$4,TF_Dato,$A604))*2,0)/2)))</f>
        <v/>
      </c>
      <c r="BG604">
        <f>IF(OR(BG$4="",$A604&gt;TODAY()),0,IF(OR(INDEX($B604:$D604,BG$5)="F",AND(BG$6&gt;0,$A604&lt;BG$6),AND(BG$7&gt;0,$A604&gt;BG$7)),0,MAX(0,ROUND((INDEX($E604:$G604,BG$5)-SUMIFS(TF_Timer,TF_Tekniker,BG$4,TF_Dato,$A604))*2,0)/2)))</f>
        <v/>
      </c>
      <c r="BH604">
        <f>IF(OR(BH$4="",$A604&gt;TODAY()),0,IF(OR(INDEX($B604:$D604,BH$5)="F",AND(BH$6&gt;0,$A604&lt;BH$6),AND(BH$7&gt;0,$A604&gt;BH$7)),0,MAX(0,ROUND((INDEX($E604:$G604,BH$5)-SUMIFS(TF_Timer,TF_Tekniker,BH$4,TF_Dato,$A604))*2,0)/2)))</f>
        <v/>
      </c>
      <c r="BI604">
        <f>IF(OR(BI$4="",$A604&gt;TODAY()),0,IF(OR(INDEX($B604:$D604,BI$5)="F",AND(BI$6&gt;0,$A604&lt;BI$6),AND(BI$7&gt;0,$A604&gt;BI$7)),0,MAX(0,ROUND((INDEX($E604:$G604,BI$5)-SUMIFS(TF_Timer,TF_Tekniker,BI$4,TF_Dato,$A604))*2,0)/2)))</f>
        <v/>
      </c>
    </row>
    <row r="605">
      <c r="A605" s="64">
        <f>A604+1</f>
        <v/>
      </c>
      <c r="B605">
        <f>IF(MOD($A605-INDEX(SkiftStart,1),Syklus)&lt;DagK,"K",IF(MOD($A605-INDEX(SkiftStart,1),Syklus)&lt;DagK+DagH,"H",IF(MOD($A605-INDEX(SkiftStart,1),Syklus)&lt;DagK+DagH+DagD,"D","F")))</f>
        <v/>
      </c>
      <c r="C605">
        <f>IF(MOD($A605-INDEX(SkiftStart,2),Syklus)&lt;DagK,"K",IF(MOD($A605-INDEX(SkiftStart,2),Syklus)&lt;DagK+DagH,"H",IF(MOD($A605-INDEX(SkiftStart,2),Syklus)&lt;DagK+DagH+DagD,"D","F")))</f>
        <v/>
      </c>
      <c r="D605">
        <f>IF(MOD($A605-INDEX(SkiftStart,3),Syklus)&lt;DagK,"K",IF(MOD($A605-INDEX(SkiftStart,3),Syklus)&lt;DagK+DagH,"H",IF(MOD($A605-INDEX(SkiftStart,3),Syklus)&lt;DagK+DagH+DagD,"D","F")))</f>
        <v/>
      </c>
      <c r="E605">
        <f>IF(B605="F",0,IF(WEEKDAY($A605,2)=5,INDEX(TimerFr,MATCH(B605,FaseKode,0)),INDEX(TimerMT,MATCH(B605,FaseKode,0))))</f>
        <v/>
      </c>
      <c r="F605">
        <f>IF(C605="F",0,IF(WEEKDAY($A605,2)=5,INDEX(TimerFr,MATCH(C605,FaseKode,0)),INDEX(TimerMT,MATCH(C605,FaseKode,0))))</f>
        <v/>
      </c>
      <c r="G605">
        <f>IF(D605="F",0,IF(WEEKDAY($A605,2)=5,INDEX(TimerFr,MATCH(D605,FaseKode,0)),INDEX(TimerMT,MATCH(D605,FaseKode,0))))</f>
        <v/>
      </c>
      <c r="H605">
        <f>IF(OR(H$4="",$A605&gt;TODAY()),0,IF(OR(INDEX($B605:$D605,H$5)="F",AND(H$6&gt;0,$A605&lt;H$6),AND(H$7&gt;0,$A605&gt;H$7)),0,MAX(0,ROUND((INDEX($E605:$G605,H$5)-SUMIFS(TF_Timer,TF_Tekniker,H$4,TF_Dato,$A605))*2,0)/2)))</f>
        <v/>
      </c>
      <c r="I605">
        <f>IF(OR(I$4="",$A605&gt;TODAY()),0,IF(OR(INDEX($B605:$D605,I$5)="F",AND(I$6&gt;0,$A605&lt;I$6),AND(I$7&gt;0,$A605&gt;I$7)),0,MAX(0,ROUND((INDEX($E605:$G605,I$5)-SUMIFS(TF_Timer,TF_Tekniker,I$4,TF_Dato,$A605))*2,0)/2)))</f>
        <v/>
      </c>
      <c r="J605">
        <f>IF(OR(J$4="",$A605&gt;TODAY()),0,IF(OR(INDEX($B605:$D605,J$5)="F",AND(J$6&gt;0,$A605&lt;J$6),AND(J$7&gt;0,$A605&gt;J$7)),0,MAX(0,ROUND((INDEX($E605:$G605,J$5)-SUMIFS(TF_Timer,TF_Tekniker,J$4,TF_Dato,$A605))*2,0)/2)))</f>
        <v/>
      </c>
      <c r="K605">
        <f>IF(OR(K$4="",$A605&gt;TODAY()),0,IF(OR(INDEX($B605:$D605,K$5)="F",AND(K$6&gt;0,$A605&lt;K$6),AND(K$7&gt;0,$A605&gt;K$7)),0,MAX(0,ROUND((INDEX($E605:$G605,K$5)-SUMIFS(TF_Timer,TF_Tekniker,K$4,TF_Dato,$A605))*2,0)/2)))</f>
        <v/>
      </c>
      <c r="L605">
        <f>IF(OR(L$4="",$A605&gt;TODAY()),0,IF(OR(INDEX($B605:$D605,L$5)="F",AND(L$6&gt;0,$A605&lt;L$6),AND(L$7&gt;0,$A605&gt;L$7)),0,MAX(0,ROUND((INDEX($E605:$G605,L$5)-SUMIFS(TF_Timer,TF_Tekniker,L$4,TF_Dato,$A605))*2,0)/2)))</f>
        <v/>
      </c>
      <c r="M605">
        <f>IF(OR(M$4="",$A605&gt;TODAY()),0,IF(OR(INDEX($B605:$D605,M$5)="F",AND(M$6&gt;0,$A605&lt;M$6),AND(M$7&gt;0,$A605&gt;M$7)),0,MAX(0,ROUND((INDEX($E605:$G605,M$5)-SUMIFS(TF_Timer,TF_Tekniker,M$4,TF_Dato,$A605))*2,0)/2)))</f>
        <v/>
      </c>
      <c r="N605">
        <f>IF(OR(N$4="",$A605&gt;TODAY()),0,IF(OR(INDEX($B605:$D605,N$5)="F",AND(N$6&gt;0,$A605&lt;N$6),AND(N$7&gt;0,$A605&gt;N$7)),0,MAX(0,ROUND((INDEX($E605:$G605,N$5)-SUMIFS(TF_Timer,TF_Tekniker,N$4,TF_Dato,$A605))*2,0)/2)))</f>
        <v/>
      </c>
      <c r="O605">
        <f>IF(OR(O$4="",$A605&gt;TODAY()),0,IF(OR(INDEX($B605:$D605,O$5)="F",AND(O$6&gt;0,$A605&lt;O$6),AND(O$7&gt;0,$A605&gt;O$7)),0,MAX(0,ROUND((INDEX($E605:$G605,O$5)-SUMIFS(TF_Timer,TF_Tekniker,O$4,TF_Dato,$A605))*2,0)/2)))</f>
        <v/>
      </c>
      <c r="P605">
        <f>IF(OR(P$4="",$A605&gt;TODAY()),0,IF(OR(INDEX($B605:$D605,P$5)="F",AND(P$6&gt;0,$A605&lt;P$6),AND(P$7&gt;0,$A605&gt;P$7)),0,MAX(0,ROUND((INDEX($E605:$G605,P$5)-SUMIFS(TF_Timer,TF_Tekniker,P$4,TF_Dato,$A605))*2,0)/2)))</f>
        <v/>
      </c>
      <c r="Q605">
        <f>IF(OR(Q$4="",$A605&gt;TODAY()),0,IF(OR(INDEX($B605:$D605,Q$5)="F",AND(Q$6&gt;0,$A605&lt;Q$6),AND(Q$7&gt;0,$A605&gt;Q$7)),0,MAX(0,ROUND((INDEX($E605:$G605,Q$5)-SUMIFS(TF_Timer,TF_Tekniker,Q$4,TF_Dato,$A605))*2,0)/2)))</f>
        <v/>
      </c>
      <c r="R605">
        <f>IF(OR(R$4="",$A605&gt;TODAY()),0,IF(OR(INDEX($B605:$D605,R$5)="F",AND(R$6&gt;0,$A605&lt;R$6),AND(R$7&gt;0,$A605&gt;R$7)),0,MAX(0,ROUND((INDEX($E605:$G605,R$5)-SUMIFS(TF_Timer,TF_Tekniker,R$4,TF_Dato,$A605))*2,0)/2)))</f>
        <v/>
      </c>
      <c r="S605">
        <f>IF(OR(S$4="",$A605&gt;TODAY()),0,IF(OR(INDEX($B605:$D605,S$5)="F",AND(S$6&gt;0,$A605&lt;S$6),AND(S$7&gt;0,$A605&gt;S$7)),0,MAX(0,ROUND((INDEX($E605:$G605,S$5)-SUMIFS(TF_Timer,TF_Tekniker,S$4,TF_Dato,$A605))*2,0)/2)))</f>
        <v/>
      </c>
      <c r="T605">
        <f>IF(OR(T$4="",$A605&gt;TODAY()),0,IF(OR(INDEX($B605:$D605,T$5)="F",AND(T$6&gt;0,$A605&lt;T$6),AND(T$7&gt;0,$A605&gt;T$7)),0,MAX(0,ROUND((INDEX($E605:$G605,T$5)-SUMIFS(TF_Timer,TF_Tekniker,T$4,TF_Dato,$A605))*2,0)/2)))</f>
        <v/>
      </c>
      <c r="U605">
        <f>IF(OR(U$4="",$A605&gt;TODAY()),0,IF(OR(INDEX($B605:$D605,U$5)="F",AND(U$6&gt;0,$A605&lt;U$6),AND(U$7&gt;0,$A605&gt;U$7)),0,MAX(0,ROUND((INDEX($E605:$G605,U$5)-SUMIFS(TF_Timer,TF_Tekniker,U$4,TF_Dato,$A605))*2,0)/2)))</f>
        <v/>
      </c>
      <c r="V605">
        <f>IF(OR(V$4="",$A605&gt;TODAY()),0,IF(OR(INDEX($B605:$D605,V$5)="F",AND(V$6&gt;0,$A605&lt;V$6),AND(V$7&gt;0,$A605&gt;V$7)),0,MAX(0,ROUND((INDEX($E605:$G605,V$5)-SUMIFS(TF_Timer,TF_Tekniker,V$4,TF_Dato,$A605))*2,0)/2)))</f>
        <v/>
      </c>
      <c r="W605">
        <f>IF(OR(W$4="",$A605&gt;TODAY()),0,IF(OR(INDEX($B605:$D605,W$5)="F",AND(W$6&gt;0,$A605&lt;W$6),AND(W$7&gt;0,$A605&gt;W$7)),0,MAX(0,ROUND((INDEX($E605:$G605,W$5)-SUMIFS(TF_Timer,TF_Tekniker,W$4,TF_Dato,$A605))*2,0)/2)))</f>
        <v/>
      </c>
      <c r="X605">
        <f>IF(OR(X$4="",$A605&gt;TODAY()),0,IF(OR(INDEX($B605:$D605,X$5)="F",AND(X$6&gt;0,$A605&lt;X$6),AND(X$7&gt;0,$A605&gt;X$7)),0,MAX(0,ROUND((INDEX($E605:$G605,X$5)-SUMIFS(TF_Timer,TF_Tekniker,X$4,TF_Dato,$A605))*2,0)/2)))</f>
        <v/>
      </c>
      <c r="Y605">
        <f>IF(OR(Y$4="",$A605&gt;TODAY()),0,IF(OR(INDEX($B605:$D605,Y$5)="F",AND(Y$6&gt;0,$A605&lt;Y$6),AND(Y$7&gt;0,$A605&gt;Y$7)),0,MAX(0,ROUND((INDEX($E605:$G605,Y$5)-SUMIFS(TF_Timer,TF_Tekniker,Y$4,TF_Dato,$A605))*2,0)/2)))</f>
        <v/>
      </c>
      <c r="Z605">
        <f>IF(OR(Z$4="",$A605&gt;TODAY()),0,IF(OR(INDEX($B605:$D605,Z$5)="F",AND(Z$6&gt;0,$A605&lt;Z$6),AND(Z$7&gt;0,$A605&gt;Z$7)),0,MAX(0,ROUND((INDEX($E605:$G605,Z$5)-SUMIFS(TF_Timer,TF_Tekniker,Z$4,TF_Dato,$A605))*2,0)/2)))</f>
        <v/>
      </c>
      <c r="AA605">
        <f>IF(OR(AA$4="",$A605&gt;TODAY()),0,IF(OR(INDEX($B605:$D605,AA$5)="F",AND(AA$6&gt;0,$A605&lt;AA$6),AND(AA$7&gt;0,$A605&gt;AA$7)),0,MAX(0,ROUND((INDEX($E605:$G605,AA$5)-SUMIFS(TF_Timer,TF_Tekniker,AA$4,TF_Dato,$A605))*2,0)/2)))</f>
        <v/>
      </c>
      <c r="AB605">
        <f>IF(OR(AB$4="",$A605&gt;TODAY()),0,IF(OR(INDEX($B605:$D605,AB$5)="F",AND(AB$6&gt;0,$A605&lt;AB$6),AND(AB$7&gt;0,$A605&gt;AB$7)),0,MAX(0,ROUND((INDEX($E605:$G605,AB$5)-SUMIFS(TF_Timer,TF_Tekniker,AB$4,TF_Dato,$A605))*2,0)/2)))</f>
        <v/>
      </c>
      <c r="AC605">
        <f>IF(OR(AC$4="",$A605&gt;TODAY()),0,IF(OR(INDEX($B605:$D605,AC$5)="F",AND(AC$6&gt;0,$A605&lt;AC$6),AND(AC$7&gt;0,$A605&gt;AC$7)),0,MAX(0,ROUND((INDEX($E605:$G605,AC$5)-SUMIFS(TF_Timer,TF_Tekniker,AC$4,TF_Dato,$A605))*2,0)/2)))</f>
        <v/>
      </c>
      <c r="AD605">
        <f>IF(OR(AD$4="",$A605&gt;TODAY()),0,IF(OR(INDEX($B605:$D605,AD$5)="F",AND(AD$6&gt;0,$A605&lt;AD$6),AND(AD$7&gt;0,$A605&gt;AD$7)),0,MAX(0,ROUND((INDEX($E605:$G605,AD$5)-SUMIFS(TF_Timer,TF_Tekniker,AD$4,TF_Dato,$A605))*2,0)/2)))</f>
        <v/>
      </c>
      <c r="AE605">
        <f>IF(OR(AE$4="",$A605&gt;TODAY()),0,IF(OR(INDEX($B605:$D605,AE$5)="F",AND(AE$6&gt;0,$A605&lt;AE$6),AND(AE$7&gt;0,$A605&gt;AE$7)),0,MAX(0,ROUND((INDEX($E605:$G605,AE$5)-SUMIFS(TF_Timer,TF_Tekniker,AE$4,TF_Dato,$A605))*2,0)/2)))</f>
        <v/>
      </c>
      <c r="AF605">
        <f>IF(OR(AF$4="",$A605&gt;TODAY()),0,IF(OR(INDEX($B605:$D605,AF$5)="F",AND(AF$6&gt;0,$A605&lt;AF$6),AND(AF$7&gt;0,$A605&gt;AF$7)),0,MAX(0,ROUND((INDEX($E605:$G605,AF$5)-SUMIFS(TF_Timer,TF_Tekniker,AF$4,TF_Dato,$A605))*2,0)/2)))</f>
        <v/>
      </c>
      <c r="AG605">
        <f>IF(OR(AG$4="",$A605&gt;TODAY()),0,IF(OR(INDEX($B605:$D605,AG$5)="F",AND(AG$6&gt;0,$A605&lt;AG$6),AND(AG$7&gt;0,$A605&gt;AG$7)),0,MAX(0,ROUND((INDEX($E605:$G605,AG$5)-SUMIFS(TF_Timer,TF_Tekniker,AG$4,TF_Dato,$A605))*2,0)/2)))</f>
        <v/>
      </c>
      <c r="AH605">
        <f>IF(OR(AH$4="",$A605&gt;TODAY()),0,IF(OR(INDEX($B605:$D605,AH$5)="F",AND(AH$6&gt;0,$A605&lt;AH$6),AND(AH$7&gt;0,$A605&gt;AH$7)),0,MAX(0,ROUND((INDEX($E605:$G605,AH$5)-SUMIFS(TF_Timer,TF_Tekniker,AH$4,TF_Dato,$A605))*2,0)/2)))</f>
        <v/>
      </c>
      <c r="AI605">
        <f>IF(OR(AI$4="",$A605&gt;TODAY()),0,IF(OR(INDEX($B605:$D605,AI$5)="F",AND(AI$6&gt;0,$A605&lt;AI$6),AND(AI$7&gt;0,$A605&gt;AI$7)),0,MAX(0,ROUND((INDEX($E605:$G605,AI$5)-SUMIFS(TF_Timer,TF_Tekniker,AI$4,TF_Dato,$A605))*2,0)/2)))</f>
        <v/>
      </c>
      <c r="AJ605">
        <f>IF(OR(AJ$4="",$A605&gt;TODAY()),0,IF(OR(INDEX($B605:$D605,AJ$5)="F",AND(AJ$6&gt;0,$A605&lt;AJ$6),AND(AJ$7&gt;0,$A605&gt;AJ$7)),0,MAX(0,ROUND((INDEX($E605:$G605,AJ$5)-SUMIFS(TF_Timer,TF_Tekniker,AJ$4,TF_Dato,$A605))*2,0)/2)))</f>
        <v/>
      </c>
      <c r="AK605">
        <f>IF(OR(AK$4="",$A605&gt;TODAY()),0,IF(OR(INDEX($B605:$D605,AK$5)="F",AND(AK$6&gt;0,$A605&lt;AK$6),AND(AK$7&gt;0,$A605&gt;AK$7)),0,MAX(0,ROUND((INDEX($E605:$G605,AK$5)-SUMIFS(TF_Timer,TF_Tekniker,AK$4,TF_Dato,$A605))*2,0)/2)))</f>
        <v/>
      </c>
      <c r="AL605">
        <f>IF(OR(AL$4="",$A605&gt;TODAY()),0,IF(OR(INDEX($B605:$D605,AL$5)="F",AND(AL$6&gt;0,$A605&lt;AL$6),AND(AL$7&gt;0,$A605&gt;AL$7)),0,MAX(0,ROUND((INDEX($E605:$G605,AL$5)-SUMIFS(TF_Timer,TF_Tekniker,AL$4,TF_Dato,$A605))*2,0)/2)))</f>
        <v/>
      </c>
      <c r="AM605">
        <f>IF(OR(AM$4="",$A605&gt;TODAY()),0,IF(OR(INDEX($B605:$D605,AM$5)="F",AND(AM$6&gt;0,$A605&lt;AM$6),AND(AM$7&gt;0,$A605&gt;AM$7)),0,MAX(0,ROUND((INDEX($E605:$G605,AM$5)-SUMIFS(TF_Timer,TF_Tekniker,AM$4,TF_Dato,$A605))*2,0)/2)))</f>
        <v/>
      </c>
      <c r="AN605">
        <f>IF(OR(AN$4="",$A605&gt;TODAY()),0,IF(OR(INDEX($B605:$D605,AN$5)="F",AND(AN$6&gt;0,$A605&lt;AN$6),AND(AN$7&gt;0,$A605&gt;AN$7)),0,MAX(0,ROUND((INDEX($E605:$G605,AN$5)-SUMIFS(TF_Timer,TF_Tekniker,AN$4,TF_Dato,$A605))*2,0)/2)))</f>
        <v/>
      </c>
      <c r="AO605">
        <f>IF(OR(AO$4="",$A605&gt;TODAY()),0,IF(OR(INDEX($B605:$D605,AO$5)="F",AND(AO$6&gt;0,$A605&lt;AO$6),AND(AO$7&gt;0,$A605&gt;AO$7)),0,MAX(0,ROUND((INDEX($E605:$G605,AO$5)-SUMIFS(TF_Timer,TF_Tekniker,AO$4,TF_Dato,$A605))*2,0)/2)))</f>
        <v/>
      </c>
      <c r="AP605">
        <f>IF(OR(AP$4="",$A605&gt;TODAY()),0,IF(OR(INDEX($B605:$D605,AP$5)="F",AND(AP$6&gt;0,$A605&lt;AP$6),AND(AP$7&gt;0,$A605&gt;AP$7)),0,MAX(0,ROUND((INDEX($E605:$G605,AP$5)-SUMIFS(TF_Timer,TF_Tekniker,AP$4,TF_Dato,$A605))*2,0)/2)))</f>
        <v/>
      </c>
      <c r="AQ605">
        <f>IF(OR(AQ$4="",$A605&gt;TODAY()),0,IF(OR(INDEX($B605:$D605,AQ$5)="F",AND(AQ$6&gt;0,$A605&lt;AQ$6),AND(AQ$7&gt;0,$A605&gt;AQ$7)),0,MAX(0,ROUND((INDEX($E605:$G605,AQ$5)-SUMIFS(TF_Timer,TF_Tekniker,AQ$4,TF_Dato,$A605))*2,0)/2)))</f>
        <v/>
      </c>
      <c r="AR605">
        <f>IF(OR(AR$4="",$A605&gt;TODAY()),0,IF(OR(INDEX($B605:$D605,AR$5)="F",AND(AR$6&gt;0,$A605&lt;AR$6),AND(AR$7&gt;0,$A605&gt;AR$7)),0,MAX(0,ROUND((INDEX($E605:$G605,AR$5)-SUMIFS(TF_Timer,TF_Tekniker,AR$4,TF_Dato,$A605))*2,0)/2)))</f>
        <v/>
      </c>
      <c r="AS605">
        <f>IF(OR(AS$4="",$A605&gt;TODAY()),0,IF(OR(INDEX($B605:$D605,AS$5)="F",AND(AS$6&gt;0,$A605&lt;AS$6),AND(AS$7&gt;0,$A605&gt;AS$7)),0,MAX(0,ROUND((INDEX($E605:$G605,AS$5)-SUMIFS(TF_Timer,TF_Tekniker,AS$4,TF_Dato,$A605))*2,0)/2)))</f>
        <v/>
      </c>
      <c r="AT605">
        <f>IF(OR(AT$4="",$A605&gt;TODAY()),0,IF(OR(INDEX($B605:$D605,AT$5)="F",AND(AT$6&gt;0,$A605&lt;AT$6),AND(AT$7&gt;0,$A605&gt;AT$7)),0,MAX(0,ROUND((INDEX($E605:$G605,AT$5)-SUMIFS(TF_Timer,TF_Tekniker,AT$4,TF_Dato,$A605))*2,0)/2)))</f>
        <v/>
      </c>
      <c r="AU605">
        <f>IF(OR(AU$4="",$A605&gt;TODAY()),0,IF(OR(INDEX($B605:$D605,AU$5)="F",AND(AU$6&gt;0,$A605&lt;AU$6),AND(AU$7&gt;0,$A605&gt;AU$7)),0,MAX(0,ROUND((INDEX($E605:$G605,AU$5)-SUMIFS(TF_Timer,TF_Tekniker,AU$4,TF_Dato,$A605))*2,0)/2)))</f>
        <v/>
      </c>
      <c r="AV605">
        <f>IF(OR(AV$4="",$A605&gt;TODAY()),0,IF(OR(INDEX($B605:$D605,AV$5)="F",AND(AV$6&gt;0,$A605&lt;AV$6),AND(AV$7&gt;0,$A605&gt;AV$7)),0,MAX(0,ROUND((INDEX($E605:$G605,AV$5)-SUMIFS(TF_Timer,TF_Tekniker,AV$4,TF_Dato,$A605))*2,0)/2)))</f>
        <v/>
      </c>
      <c r="AW605">
        <f>IF(OR(AW$4="",$A605&gt;TODAY()),0,IF(OR(INDEX($B605:$D605,AW$5)="F",AND(AW$6&gt;0,$A605&lt;AW$6),AND(AW$7&gt;0,$A605&gt;AW$7)),0,MAX(0,ROUND((INDEX($E605:$G605,AW$5)-SUMIFS(TF_Timer,TF_Tekniker,AW$4,TF_Dato,$A605))*2,0)/2)))</f>
        <v/>
      </c>
      <c r="AX605">
        <f>IF(OR(AX$4="",$A605&gt;TODAY()),0,IF(OR(INDEX($B605:$D605,AX$5)="F",AND(AX$6&gt;0,$A605&lt;AX$6),AND(AX$7&gt;0,$A605&gt;AX$7)),0,MAX(0,ROUND((INDEX($E605:$G605,AX$5)-SUMIFS(TF_Timer,TF_Tekniker,AX$4,TF_Dato,$A605))*2,0)/2)))</f>
        <v/>
      </c>
      <c r="AY605">
        <f>IF(OR(AY$4="",$A605&gt;TODAY()),0,IF(OR(INDEX($B605:$D605,AY$5)="F",AND(AY$6&gt;0,$A605&lt;AY$6),AND(AY$7&gt;0,$A605&gt;AY$7)),0,MAX(0,ROUND((INDEX($E605:$G605,AY$5)-SUMIFS(TF_Timer,TF_Tekniker,AY$4,TF_Dato,$A605))*2,0)/2)))</f>
        <v/>
      </c>
      <c r="AZ605">
        <f>IF(OR(AZ$4="",$A605&gt;TODAY()),0,IF(OR(INDEX($B605:$D605,AZ$5)="F",AND(AZ$6&gt;0,$A605&lt;AZ$6),AND(AZ$7&gt;0,$A605&gt;AZ$7)),0,MAX(0,ROUND((INDEX($E605:$G605,AZ$5)-SUMIFS(TF_Timer,TF_Tekniker,AZ$4,TF_Dato,$A605))*2,0)/2)))</f>
        <v/>
      </c>
      <c r="BA605">
        <f>IF(OR(BA$4="",$A605&gt;TODAY()),0,IF(OR(INDEX($B605:$D605,BA$5)="F",AND(BA$6&gt;0,$A605&lt;BA$6),AND(BA$7&gt;0,$A605&gt;BA$7)),0,MAX(0,ROUND((INDEX($E605:$G605,BA$5)-SUMIFS(TF_Timer,TF_Tekniker,BA$4,TF_Dato,$A605))*2,0)/2)))</f>
        <v/>
      </c>
      <c r="BB605">
        <f>IF(OR(BB$4="",$A605&gt;TODAY()),0,IF(OR(INDEX($B605:$D605,BB$5)="F",AND(BB$6&gt;0,$A605&lt;BB$6),AND(BB$7&gt;0,$A605&gt;BB$7)),0,MAX(0,ROUND((INDEX($E605:$G605,BB$5)-SUMIFS(TF_Timer,TF_Tekniker,BB$4,TF_Dato,$A605))*2,0)/2)))</f>
        <v/>
      </c>
      <c r="BC605">
        <f>IF(OR(BC$4="",$A605&gt;TODAY()),0,IF(OR(INDEX($B605:$D605,BC$5)="F",AND(BC$6&gt;0,$A605&lt;BC$6),AND(BC$7&gt;0,$A605&gt;BC$7)),0,MAX(0,ROUND((INDEX($E605:$G605,BC$5)-SUMIFS(TF_Timer,TF_Tekniker,BC$4,TF_Dato,$A605))*2,0)/2)))</f>
        <v/>
      </c>
      <c r="BD605">
        <f>IF(OR(BD$4="",$A605&gt;TODAY()),0,IF(OR(INDEX($B605:$D605,BD$5)="F",AND(BD$6&gt;0,$A605&lt;BD$6),AND(BD$7&gt;0,$A605&gt;BD$7)),0,MAX(0,ROUND((INDEX($E605:$G605,BD$5)-SUMIFS(TF_Timer,TF_Tekniker,BD$4,TF_Dato,$A605))*2,0)/2)))</f>
        <v/>
      </c>
      <c r="BE605">
        <f>IF(OR(BE$4="",$A605&gt;TODAY()),0,IF(OR(INDEX($B605:$D605,BE$5)="F",AND(BE$6&gt;0,$A605&lt;BE$6),AND(BE$7&gt;0,$A605&gt;BE$7)),0,MAX(0,ROUND((INDEX($E605:$G605,BE$5)-SUMIFS(TF_Timer,TF_Tekniker,BE$4,TF_Dato,$A605))*2,0)/2)))</f>
        <v/>
      </c>
      <c r="BF605">
        <f>IF(OR(BF$4="",$A605&gt;TODAY()),0,IF(OR(INDEX($B605:$D605,BF$5)="F",AND(BF$6&gt;0,$A605&lt;BF$6),AND(BF$7&gt;0,$A605&gt;BF$7)),0,MAX(0,ROUND((INDEX($E605:$G605,BF$5)-SUMIFS(TF_Timer,TF_Tekniker,BF$4,TF_Dato,$A605))*2,0)/2)))</f>
        <v/>
      </c>
      <c r="BG605">
        <f>IF(OR(BG$4="",$A605&gt;TODAY()),0,IF(OR(INDEX($B605:$D605,BG$5)="F",AND(BG$6&gt;0,$A605&lt;BG$6),AND(BG$7&gt;0,$A605&gt;BG$7)),0,MAX(0,ROUND((INDEX($E605:$G605,BG$5)-SUMIFS(TF_Timer,TF_Tekniker,BG$4,TF_Dato,$A605))*2,0)/2)))</f>
        <v/>
      </c>
      <c r="BH605">
        <f>IF(OR(BH$4="",$A605&gt;TODAY()),0,IF(OR(INDEX($B605:$D605,BH$5)="F",AND(BH$6&gt;0,$A605&lt;BH$6),AND(BH$7&gt;0,$A605&gt;BH$7)),0,MAX(0,ROUND((INDEX($E605:$G605,BH$5)-SUMIFS(TF_Timer,TF_Tekniker,BH$4,TF_Dato,$A605))*2,0)/2)))</f>
        <v/>
      </c>
      <c r="BI605">
        <f>IF(OR(BI$4="",$A605&gt;TODAY()),0,IF(OR(INDEX($B605:$D605,BI$5)="F",AND(BI$6&gt;0,$A605&lt;BI$6),AND(BI$7&gt;0,$A605&gt;BI$7)),0,MAX(0,ROUND((INDEX($E605:$G605,BI$5)-SUMIFS(TF_Timer,TF_Tekniker,BI$4,TF_Dato,$A605))*2,0)/2)))</f>
        <v/>
      </c>
    </row>
    <row r="606">
      <c r="A606" s="64">
        <f>A605+1</f>
        <v/>
      </c>
      <c r="B606">
        <f>IF(MOD($A606-INDEX(SkiftStart,1),Syklus)&lt;DagK,"K",IF(MOD($A606-INDEX(SkiftStart,1),Syklus)&lt;DagK+DagH,"H",IF(MOD($A606-INDEX(SkiftStart,1),Syklus)&lt;DagK+DagH+DagD,"D","F")))</f>
        <v/>
      </c>
      <c r="C606">
        <f>IF(MOD($A606-INDEX(SkiftStart,2),Syklus)&lt;DagK,"K",IF(MOD($A606-INDEX(SkiftStart,2),Syklus)&lt;DagK+DagH,"H",IF(MOD($A606-INDEX(SkiftStart,2),Syklus)&lt;DagK+DagH+DagD,"D","F")))</f>
        <v/>
      </c>
      <c r="D606">
        <f>IF(MOD($A606-INDEX(SkiftStart,3),Syklus)&lt;DagK,"K",IF(MOD($A606-INDEX(SkiftStart,3),Syklus)&lt;DagK+DagH,"H",IF(MOD($A606-INDEX(SkiftStart,3),Syklus)&lt;DagK+DagH+DagD,"D","F")))</f>
        <v/>
      </c>
      <c r="E606">
        <f>IF(B606="F",0,IF(WEEKDAY($A606,2)=5,INDEX(TimerFr,MATCH(B606,FaseKode,0)),INDEX(TimerMT,MATCH(B606,FaseKode,0))))</f>
        <v/>
      </c>
      <c r="F606">
        <f>IF(C606="F",0,IF(WEEKDAY($A606,2)=5,INDEX(TimerFr,MATCH(C606,FaseKode,0)),INDEX(TimerMT,MATCH(C606,FaseKode,0))))</f>
        <v/>
      </c>
      <c r="G606">
        <f>IF(D606="F",0,IF(WEEKDAY($A606,2)=5,INDEX(TimerFr,MATCH(D606,FaseKode,0)),INDEX(TimerMT,MATCH(D606,FaseKode,0))))</f>
        <v/>
      </c>
      <c r="H606">
        <f>IF(OR(H$4="",$A606&gt;TODAY()),0,IF(OR(INDEX($B606:$D606,H$5)="F",AND(H$6&gt;0,$A606&lt;H$6),AND(H$7&gt;0,$A606&gt;H$7)),0,MAX(0,ROUND((INDEX($E606:$G606,H$5)-SUMIFS(TF_Timer,TF_Tekniker,H$4,TF_Dato,$A606))*2,0)/2)))</f>
        <v/>
      </c>
      <c r="I606">
        <f>IF(OR(I$4="",$A606&gt;TODAY()),0,IF(OR(INDEX($B606:$D606,I$5)="F",AND(I$6&gt;0,$A606&lt;I$6),AND(I$7&gt;0,$A606&gt;I$7)),0,MAX(0,ROUND((INDEX($E606:$G606,I$5)-SUMIFS(TF_Timer,TF_Tekniker,I$4,TF_Dato,$A606))*2,0)/2)))</f>
        <v/>
      </c>
      <c r="J606">
        <f>IF(OR(J$4="",$A606&gt;TODAY()),0,IF(OR(INDEX($B606:$D606,J$5)="F",AND(J$6&gt;0,$A606&lt;J$6),AND(J$7&gt;0,$A606&gt;J$7)),0,MAX(0,ROUND((INDEX($E606:$G606,J$5)-SUMIFS(TF_Timer,TF_Tekniker,J$4,TF_Dato,$A606))*2,0)/2)))</f>
        <v/>
      </c>
      <c r="K606">
        <f>IF(OR(K$4="",$A606&gt;TODAY()),0,IF(OR(INDEX($B606:$D606,K$5)="F",AND(K$6&gt;0,$A606&lt;K$6),AND(K$7&gt;0,$A606&gt;K$7)),0,MAX(0,ROUND((INDEX($E606:$G606,K$5)-SUMIFS(TF_Timer,TF_Tekniker,K$4,TF_Dato,$A606))*2,0)/2)))</f>
        <v/>
      </c>
      <c r="L606">
        <f>IF(OR(L$4="",$A606&gt;TODAY()),0,IF(OR(INDEX($B606:$D606,L$5)="F",AND(L$6&gt;0,$A606&lt;L$6),AND(L$7&gt;0,$A606&gt;L$7)),0,MAX(0,ROUND((INDEX($E606:$G606,L$5)-SUMIFS(TF_Timer,TF_Tekniker,L$4,TF_Dato,$A606))*2,0)/2)))</f>
        <v/>
      </c>
      <c r="M606">
        <f>IF(OR(M$4="",$A606&gt;TODAY()),0,IF(OR(INDEX($B606:$D606,M$5)="F",AND(M$6&gt;0,$A606&lt;M$6),AND(M$7&gt;0,$A606&gt;M$7)),0,MAX(0,ROUND((INDEX($E606:$G606,M$5)-SUMIFS(TF_Timer,TF_Tekniker,M$4,TF_Dato,$A606))*2,0)/2)))</f>
        <v/>
      </c>
      <c r="N606">
        <f>IF(OR(N$4="",$A606&gt;TODAY()),0,IF(OR(INDEX($B606:$D606,N$5)="F",AND(N$6&gt;0,$A606&lt;N$6),AND(N$7&gt;0,$A606&gt;N$7)),0,MAX(0,ROUND((INDEX($E606:$G606,N$5)-SUMIFS(TF_Timer,TF_Tekniker,N$4,TF_Dato,$A606))*2,0)/2)))</f>
        <v/>
      </c>
      <c r="O606">
        <f>IF(OR(O$4="",$A606&gt;TODAY()),0,IF(OR(INDEX($B606:$D606,O$5)="F",AND(O$6&gt;0,$A606&lt;O$6),AND(O$7&gt;0,$A606&gt;O$7)),0,MAX(0,ROUND((INDEX($E606:$G606,O$5)-SUMIFS(TF_Timer,TF_Tekniker,O$4,TF_Dato,$A606))*2,0)/2)))</f>
        <v/>
      </c>
      <c r="P606">
        <f>IF(OR(P$4="",$A606&gt;TODAY()),0,IF(OR(INDEX($B606:$D606,P$5)="F",AND(P$6&gt;0,$A606&lt;P$6),AND(P$7&gt;0,$A606&gt;P$7)),0,MAX(0,ROUND((INDEX($E606:$G606,P$5)-SUMIFS(TF_Timer,TF_Tekniker,P$4,TF_Dato,$A606))*2,0)/2)))</f>
        <v/>
      </c>
      <c r="Q606">
        <f>IF(OR(Q$4="",$A606&gt;TODAY()),0,IF(OR(INDEX($B606:$D606,Q$5)="F",AND(Q$6&gt;0,$A606&lt;Q$6),AND(Q$7&gt;0,$A606&gt;Q$7)),0,MAX(0,ROUND((INDEX($E606:$G606,Q$5)-SUMIFS(TF_Timer,TF_Tekniker,Q$4,TF_Dato,$A606))*2,0)/2)))</f>
        <v/>
      </c>
      <c r="R606">
        <f>IF(OR(R$4="",$A606&gt;TODAY()),0,IF(OR(INDEX($B606:$D606,R$5)="F",AND(R$6&gt;0,$A606&lt;R$6),AND(R$7&gt;0,$A606&gt;R$7)),0,MAX(0,ROUND((INDEX($E606:$G606,R$5)-SUMIFS(TF_Timer,TF_Tekniker,R$4,TF_Dato,$A606))*2,0)/2)))</f>
        <v/>
      </c>
      <c r="S606">
        <f>IF(OR(S$4="",$A606&gt;TODAY()),0,IF(OR(INDEX($B606:$D606,S$5)="F",AND(S$6&gt;0,$A606&lt;S$6),AND(S$7&gt;0,$A606&gt;S$7)),0,MAX(0,ROUND((INDEX($E606:$G606,S$5)-SUMIFS(TF_Timer,TF_Tekniker,S$4,TF_Dato,$A606))*2,0)/2)))</f>
        <v/>
      </c>
      <c r="T606">
        <f>IF(OR(T$4="",$A606&gt;TODAY()),0,IF(OR(INDEX($B606:$D606,T$5)="F",AND(T$6&gt;0,$A606&lt;T$6),AND(T$7&gt;0,$A606&gt;T$7)),0,MAX(0,ROUND((INDEX($E606:$G606,T$5)-SUMIFS(TF_Timer,TF_Tekniker,T$4,TF_Dato,$A606))*2,0)/2)))</f>
        <v/>
      </c>
      <c r="U606">
        <f>IF(OR(U$4="",$A606&gt;TODAY()),0,IF(OR(INDEX($B606:$D606,U$5)="F",AND(U$6&gt;0,$A606&lt;U$6),AND(U$7&gt;0,$A606&gt;U$7)),0,MAX(0,ROUND((INDEX($E606:$G606,U$5)-SUMIFS(TF_Timer,TF_Tekniker,U$4,TF_Dato,$A606))*2,0)/2)))</f>
        <v/>
      </c>
      <c r="V606">
        <f>IF(OR(V$4="",$A606&gt;TODAY()),0,IF(OR(INDEX($B606:$D606,V$5)="F",AND(V$6&gt;0,$A606&lt;V$6),AND(V$7&gt;0,$A606&gt;V$7)),0,MAX(0,ROUND((INDEX($E606:$G606,V$5)-SUMIFS(TF_Timer,TF_Tekniker,V$4,TF_Dato,$A606))*2,0)/2)))</f>
        <v/>
      </c>
      <c r="W606">
        <f>IF(OR(W$4="",$A606&gt;TODAY()),0,IF(OR(INDEX($B606:$D606,W$5)="F",AND(W$6&gt;0,$A606&lt;W$6),AND(W$7&gt;0,$A606&gt;W$7)),0,MAX(0,ROUND((INDEX($E606:$G606,W$5)-SUMIFS(TF_Timer,TF_Tekniker,W$4,TF_Dato,$A606))*2,0)/2)))</f>
        <v/>
      </c>
      <c r="X606">
        <f>IF(OR(X$4="",$A606&gt;TODAY()),0,IF(OR(INDEX($B606:$D606,X$5)="F",AND(X$6&gt;0,$A606&lt;X$6),AND(X$7&gt;0,$A606&gt;X$7)),0,MAX(0,ROUND((INDEX($E606:$G606,X$5)-SUMIFS(TF_Timer,TF_Tekniker,X$4,TF_Dato,$A606))*2,0)/2)))</f>
        <v/>
      </c>
      <c r="Y606">
        <f>IF(OR(Y$4="",$A606&gt;TODAY()),0,IF(OR(INDEX($B606:$D606,Y$5)="F",AND(Y$6&gt;0,$A606&lt;Y$6),AND(Y$7&gt;0,$A606&gt;Y$7)),0,MAX(0,ROUND((INDEX($E606:$G606,Y$5)-SUMIFS(TF_Timer,TF_Tekniker,Y$4,TF_Dato,$A606))*2,0)/2)))</f>
        <v/>
      </c>
      <c r="Z606">
        <f>IF(OR(Z$4="",$A606&gt;TODAY()),0,IF(OR(INDEX($B606:$D606,Z$5)="F",AND(Z$6&gt;0,$A606&lt;Z$6),AND(Z$7&gt;0,$A606&gt;Z$7)),0,MAX(0,ROUND((INDEX($E606:$G606,Z$5)-SUMIFS(TF_Timer,TF_Tekniker,Z$4,TF_Dato,$A606))*2,0)/2)))</f>
        <v/>
      </c>
      <c r="AA606">
        <f>IF(OR(AA$4="",$A606&gt;TODAY()),0,IF(OR(INDEX($B606:$D606,AA$5)="F",AND(AA$6&gt;0,$A606&lt;AA$6),AND(AA$7&gt;0,$A606&gt;AA$7)),0,MAX(0,ROUND((INDEX($E606:$G606,AA$5)-SUMIFS(TF_Timer,TF_Tekniker,AA$4,TF_Dato,$A606))*2,0)/2)))</f>
        <v/>
      </c>
      <c r="AB606">
        <f>IF(OR(AB$4="",$A606&gt;TODAY()),0,IF(OR(INDEX($B606:$D606,AB$5)="F",AND(AB$6&gt;0,$A606&lt;AB$6),AND(AB$7&gt;0,$A606&gt;AB$7)),0,MAX(0,ROUND((INDEX($E606:$G606,AB$5)-SUMIFS(TF_Timer,TF_Tekniker,AB$4,TF_Dato,$A606))*2,0)/2)))</f>
        <v/>
      </c>
      <c r="AC606">
        <f>IF(OR(AC$4="",$A606&gt;TODAY()),0,IF(OR(INDEX($B606:$D606,AC$5)="F",AND(AC$6&gt;0,$A606&lt;AC$6),AND(AC$7&gt;0,$A606&gt;AC$7)),0,MAX(0,ROUND((INDEX($E606:$G606,AC$5)-SUMIFS(TF_Timer,TF_Tekniker,AC$4,TF_Dato,$A606))*2,0)/2)))</f>
        <v/>
      </c>
      <c r="AD606">
        <f>IF(OR(AD$4="",$A606&gt;TODAY()),0,IF(OR(INDEX($B606:$D606,AD$5)="F",AND(AD$6&gt;0,$A606&lt;AD$6),AND(AD$7&gt;0,$A606&gt;AD$7)),0,MAX(0,ROUND((INDEX($E606:$G606,AD$5)-SUMIFS(TF_Timer,TF_Tekniker,AD$4,TF_Dato,$A606))*2,0)/2)))</f>
        <v/>
      </c>
      <c r="AE606">
        <f>IF(OR(AE$4="",$A606&gt;TODAY()),0,IF(OR(INDEX($B606:$D606,AE$5)="F",AND(AE$6&gt;0,$A606&lt;AE$6),AND(AE$7&gt;0,$A606&gt;AE$7)),0,MAX(0,ROUND((INDEX($E606:$G606,AE$5)-SUMIFS(TF_Timer,TF_Tekniker,AE$4,TF_Dato,$A606))*2,0)/2)))</f>
        <v/>
      </c>
      <c r="AF606">
        <f>IF(OR(AF$4="",$A606&gt;TODAY()),0,IF(OR(INDEX($B606:$D606,AF$5)="F",AND(AF$6&gt;0,$A606&lt;AF$6),AND(AF$7&gt;0,$A606&gt;AF$7)),0,MAX(0,ROUND((INDEX($E606:$G606,AF$5)-SUMIFS(TF_Timer,TF_Tekniker,AF$4,TF_Dato,$A606))*2,0)/2)))</f>
        <v/>
      </c>
      <c r="AG606">
        <f>IF(OR(AG$4="",$A606&gt;TODAY()),0,IF(OR(INDEX($B606:$D606,AG$5)="F",AND(AG$6&gt;0,$A606&lt;AG$6),AND(AG$7&gt;0,$A606&gt;AG$7)),0,MAX(0,ROUND((INDEX($E606:$G606,AG$5)-SUMIFS(TF_Timer,TF_Tekniker,AG$4,TF_Dato,$A606))*2,0)/2)))</f>
        <v/>
      </c>
      <c r="AH606">
        <f>IF(OR(AH$4="",$A606&gt;TODAY()),0,IF(OR(INDEX($B606:$D606,AH$5)="F",AND(AH$6&gt;0,$A606&lt;AH$6),AND(AH$7&gt;0,$A606&gt;AH$7)),0,MAX(0,ROUND((INDEX($E606:$G606,AH$5)-SUMIFS(TF_Timer,TF_Tekniker,AH$4,TF_Dato,$A606))*2,0)/2)))</f>
        <v/>
      </c>
      <c r="AI606">
        <f>IF(OR(AI$4="",$A606&gt;TODAY()),0,IF(OR(INDEX($B606:$D606,AI$5)="F",AND(AI$6&gt;0,$A606&lt;AI$6),AND(AI$7&gt;0,$A606&gt;AI$7)),0,MAX(0,ROUND((INDEX($E606:$G606,AI$5)-SUMIFS(TF_Timer,TF_Tekniker,AI$4,TF_Dato,$A606))*2,0)/2)))</f>
        <v/>
      </c>
      <c r="AJ606">
        <f>IF(OR(AJ$4="",$A606&gt;TODAY()),0,IF(OR(INDEX($B606:$D606,AJ$5)="F",AND(AJ$6&gt;0,$A606&lt;AJ$6),AND(AJ$7&gt;0,$A606&gt;AJ$7)),0,MAX(0,ROUND((INDEX($E606:$G606,AJ$5)-SUMIFS(TF_Timer,TF_Tekniker,AJ$4,TF_Dato,$A606))*2,0)/2)))</f>
        <v/>
      </c>
      <c r="AK606">
        <f>IF(OR(AK$4="",$A606&gt;TODAY()),0,IF(OR(INDEX($B606:$D606,AK$5)="F",AND(AK$6&gt;0,$A606&lt;AK$6),AND(AK$7&gt;0,$A606&gt;AK$7)),0,MAX(0,ROUND((INDEX($E606:$G606,AK$5)-SUMIFS(TF_Timer,TF_Tekniker,AK$4,TF_Dato,$A606))*2,0)/2)))</f>
        <v/>
      </c>
      <c r="AL606">
        <f>IF(OR(AL$4="",$A606&gt;TODAY()),0,IF(OR(INDEX($B606:$D606,AL$5)="F",AND(AL$6&gt;0,$A606&lt;AL$6),AND(AL$7&gt;0,$A606&gt;AL$7)),0,MAX(0,ROUND((INDEX($E606:$G606,AL$5)-SUMIFS(TF_Timer,TF_Tekniker,AL$4,TF_Dato,$A606))*2,0)/2)))</f>
        <v/>
      </c>
      <c r="AM606">
        <f>IF(OR(AM$4="",$A606&gt;TODAY()),0,IF(OR(INDEX($B606:$D606,AM$5)="F",AND(AM$6&gt;0,$A606&lt;AM$6),AND(AM$7&gt;0,$A606&gt;AM$7)),0,MAX(0,ROUND((INDEX($E606:$G606,AM$5)-SUMIFS(TF_Timer,TF_Tekniker,AM$4,TF_Dato,$A606))*2,0)/2)))</f>
        <v/>
      </c>
      <c r="AN606">
        <f>IF(OR(AN$4="",$A606&gt;TODAY()),0,IF(OR(INDEX($B606:$D606,AN$5)="F",AND(AN$6&gt;0,$A606&lt;AN$6),AND(AN$7&gt;0,$A606&gt;AN$7)),0,MAX(0,ROUND((INDEX($E606:$G606,AN$5)-SUMIFS(TF_Timer,TF_Tekniker,AN$4,TF_Dato,$A606))*2,0)/2)))</f>
        <v/>
      </c>
      <c r="AO606">
        <f>IF(OR(AO$4="",$A606&gt;TODAY()),0,IF(OR(INDEX($B606:$D606,AO$5)="F",AND(AO$6&gt;0,$A606&lt;AO$6),AND(AO$7&gt;0,$A606&gt;AO$7)),0,MAX(0,ROUND((INDEX($E606:$G606,AO$5)-SUMIFS(TF_Timer,TF_Tekniker,AO$4,TF_Dato,$A606))*2,0)/2)))</f>
        <v/>
      </c>
      <c r="AP606">
        <f>IF(OR(AP$4="",$A606&gt;TODAY()),0,IF(OR(INDEX($B606:$D606,AP$5)="F",AND(AP$6&gt;0,$A606&lt;AP$6),AND(AP$7&gt;0,$A606&gt;AP$7)),0,MAX(0,ROUND((INDEX($E606:$G606,AP$5)-SUMIFS(TF_Timer,TF_Tekniker,AP$4,TF_Dato,$A606))*2,0)/2)))</f>
        <v/>
      </c>
      <c r="AQ606">
        <f>IF(OR(AQ$4="",$A606&gt;TODAY()),0,IF(OR(INDEX($B606:$D606,AQ$5)="F",AND(AQ$6&gt;0,$A606&lt;AQ$6),AND(AQ$7&gt;0,$A606&gt;AQ$7)),0,MAX(0,ROUND((INDEX($E606:$G606,AQ$5)-SUMIFS(TF_Timer,TF_Tekniker,AQ$4,TF_Dato,$A606))*2,0)/2)))</f>
        <v/>
      </c>
      <c r="AR606">
        <f>IF(OR(AR$4="",$A606&gt;TODAY()),0,IF(OR(INDEX($B606:$D606,AR$5)="F",AND(AR$6&gt;0,$A606&lt;AR$6),AND(AR$7&gt;0,$A606&gt;AR$7)),0,MAX(0,ROUND((INDEX($E606:$G606,AR$5)-SUMIFS(TF_Timer,TF_Tekniker,AR$4,TF_Dato,$A606))*2,0)/2)))</f>
        <v/>
      </c>
      <c r="AS606">
        <f>IF(OR(AS$4="",$A606&gt;TODAY()),0,IF(OR(INDEX($B606:$D606,AS$5)="F",AND(AS$6&gt;0,$A606&lt;AS$6),AND(AS$7&gt;0,$A606&gt;AS$7)),0,MAX(0,ROUND((INDEX($E606:$G606,AS$5)-SUMIFS(TF_Timer,TF_Tekniker,AS$4,TF_Dato,$A606))*2,0)/2)))</f>
        <v/>
      </c>
      <c r="AT606">
        <f>IF(OR(AT$4="",$A606&gt;TODAY()),0,IF(OR(INDEX($B606:$D606,AT$5)="F",AND(AT$6&gt;0,$A606&lt;AT$6),AND(AT$7&gt;0,$A606&gt;AT$7)),0,MAX(0,ROUND((INDEX($E606:$G606,AT$5)-SUMIFS(TF_Timer,TF_Tekniker,AT$4,TF_Dato,$A606))*2,0)/2)))</f>
        <v/>
      </c>
      <c r="AU606">
        <f>IF(OR(AU$4="",$A606&gt;TODAY()),0,IF(OR(INDEX($B606:$D606,AU$5)="F",AND(AU$6&gt;0,$A606&lt;AU$6),AND(AU$7&gt;0,$A606&gt;AU$7)),0,MAX(0,ROUND((INDEX($E606:$G606,AU$5)-SUMIFS(TF_Timer,TF_Tekniker,AU$4,TF_Dato,$A606))*2,0)/2)))</f>
        <v/>
      </c>
      <c r="AV606">
        <f>IF(OR(AV$4="",$A606&gt;TODAY()),0,IF(OR(INDEX($B606:$D606,AV$5)="F",AND(AV$6&gt;0,$A606&lt;AV$6),AND(AV$7&gt;0,$A606&gt;AV$7)),0,MAX(0,ROUND((INDEX($E606:$G606,AV$5)-SUMIFS(TF_Timer,TF_Tekniker,AV$4,TF_Dato,$A606))*2,0)/2)))</f>
        <v/>
      </c>
      <c r="AW606">
        <f>IF(OR(AW$4="",$A606&gt;TODAY()),0,IF(OR(INDEX($B606:$D606,AW$5)="F",AND(AW$6&gt;0,$A606&lt;AW$6),AND(AW$7&gt;0,$A606&gt;AW$7)),0,MAX(0,ROUND((INDEX($E606:$G606,AW$5)-SUMIFS(TF_Timer,TF_Tekniker,AW$4,TF_Dato,$A606))*2,0)/2)))</f>
        <v/>
      </c>
      <c r="AX606">
        <f>IF(OR(AX$4="",$A606&gt;TODAY()),0,IF(OR(INDEX($B606:$D606,AX$5)="F",AND(AX$6&gt;0,$A606&lt;AX$6),AND(AX$7&gt;0,$A606&gt;AX$7)),0,MAX(0,ROUND((INDEX($E606:$G606,AX$5)-SUMIFS(TF_Timer,TF_Tekniker,AX$4,TF_Dato,$A606))*2,0)/2)))</f>
        <v/>
      </c>
      <c r="AY606">
        <f>IF(OR(AY$4="",$A606&gt;TODAY()),0,IF(OR(INDEX($B606:$D606,AY$5)="F",AND(AY$6&gt;0,$A606&lt;AY$6),AND(AY$7&gt;0,$A606&gt;AY$7)),0,MAX(0,ROUND((INDEX($E606:$G606,AY$5)-SUMIFS(TF_Timer,TF_Tekniker,AY$4,TF_Dato,$A606))*2,0)/2)))</f>
        <v/>
      </c>
      <c r="AZ606">
        <f>IF(OR(AZ$4="",$A606&gt;TODAY()),0,IF(OR(INDEX($B606:$D606,AZ$5)="F",AND(AZ$6&gt;0,$A606&lt;AZ$6),AND(AZ$7&gt;0,$A606&gt;AZ$7)),0,MAX(0,ROUND((INDEX($E606:$G606,AZ$5)-SUMIFS(TF_Timer,TF_Tekniker,AZ$4,TF_Dato,$A606))*2,0)/2)))</f>
        <v/>
      </c>
      <c r="BA606">
        <f>IF(OR(BA$4="",$A606&gt;TODAY()),0,IF(OR(INDEX($B606:$D606,BA$5)="F",AND(BA$6&gt;0,$A606&lt;BA$6),AND(BA$7&gt;0,$A606&gt;BA$7)),0,MAX(0,ROUND((INDEX($E606:$G606,BA$5)-SUMIFS(TF_Timer,TF_Tekniker,BA$4,TF_Dato,$A606))*2,0)/2)))</f>
        <v/>
      </c>
      <c r="BB606">
        <f>IF(OR(BB$4="",$A606&gt;TODAY()),0,IF(OR(INDEX($B606:$D606,BB$5)="F",AND(BB$6&gt;0,$A606&lt;BB$6),AND(BB$7&gt;0,$A606&gt;BB$7)),0,MAX(0,ROUND((INDEX($E606:$G606,BB$5)-SUMIFS(TF_Timer,TF_Tekniker,BB$4,TF_Dato,$A606))*2,0)/2)))</f>
        <v/>
      </c>
      <c r="BC606">
        <f>IF(OR(BC$4="",$A606&gt;TODAY()),0,IF(OR(INDEX($B606:$D606,BC$5)="F",AND(BC$6&gt;0,$A606&lt;BC$6),AND(BC$7&gt;0,$A606&gt;BC$7)),0,MAX(0,ROUND((INDEX($E606:$G606,BC$5)-SUMIFS(TF_Timer,TF_Tekniker,BC$4,TF_Dato,$A606))*2,0)/2)))</f>
        <v/>
      </c>
      <c r="BD606">
        <f>IF(OR(BD$4="",$A606&gt;TODAY()),0,IF(OR(INDEX($B606:$D606,BD$5)="F",AND(BD$6&gt;0,$A606&lt;BD$6),AND(BD$7&gt;0,$A606&gt;BD$7)),0,MAX(0,ROUND((INDEX($E606:$G606,BD$5)-SUMIFS(TF_Timer,TF_Tekniker,BD$4,TF_Dato,$A606))*2,0)/2)))</f>
        <v/>
      </c>
      <c r="BE606">
        <f>IF(OR(BE$4="",$A606&gt;TODAY()),0,IF(OR(INDEX($B606:$D606,BE$5)="F",AND(BE$6&gt;0,$A606&lt;BE$6),AND(BE$7&gt;0,$A606&gt;BE$7)),0,MAX(0,ROUND((INDEX($E606:$G606,BE$5)-SUMIFS(TF_Timer,TF_Tekniker,BE$4,TF_Dato,$A606))*2,0)/2)))</f>
        <v/>
      </c>
      <c r="BF606">
        <f>IF(OR(BF$4="",$A606&gt;TODAY()),0,IF(OR(INDEX($B606:$D606,BF$5)="F",AND(BF$6&gt;0,$A606&lt;BF$6),AND(BF$7&gt;0,$A606&gt;BF$7)),0,MAX(0,ROUND((INDEX($E606:$G606,BF$5)-SUMIFS(TF_Timer,TF_Tekniker,BF$4,TF_Dato,$A606))*2,0)/2)))</f>
        <v/>
      </c>
      <c r="BG606">
        <f>IF(OR(BG$4="",$A606&gt;TODAY()),0,IF(OR(INDEX($B606:$D606,BG$5)="F",AND(BG$6&gt;0,$A606&lt;BG$6),AND(BG$7&gt;0,$A606&gt;BG$7)),0,MAX(0,ROUND((INDEX($E606:$G606,BG$5)-SUMIFS(TF_Timer,TF_Tekniker,BG$4,TF_Dato,$A606))*2,0)/2)))</f>
        <v/>
      </c>
      <c r="BH606">
        <f>IF(OR(BH$4="",$A606&gt;TODAY()),0,IF(OR(INDEX($B606:$D606,BH$5)="F",AND(BH$6&gt;0,$A606&lt;BH$6),AND(BH$7&gt;0,$A606&gt;BH$7)),0,MAX(0,ROUND((INDEX($E606:$G606,BH$5)-SUMIFS(TF_Timer,TF_Tekniker,BH$4,TF_Dato,$A606))*2,0)/2)))</f>
        <v/>
      </c>
      <c r="BI606">
        <f>IF(OR(BI$4="",$A606&gt;TODAY()),0,IF(OR(INDEX($B606:$D606,BI$5)="F",AND(BI$6&gt;0,$A606&lt;BI$6),AND(BI$7&gt;0,$A606&gt;BI$7)),0,MAX(0,ROUND((INDEX($E606:$G606,BI$5)-SUMIFS(TF_Timer,TF_Tekniker,BI$4,TF_Dato,$A606))*2,0)/2)))</f>
        <v/>
      </c>
    </row>
    <row r="607">
      <c r="A607" s="64">
        <f>A606+1</f>
        <v/>
      </c>
      <c r="B607">
        <f>IF(MOD($A607-INDEX(SkiftStart,1),Syklus)&lt;DagK,"K",IF(MOD($A607-INDEX(SkiftStart,1),Syklus)&lt;DagK+DagH,"H",IF(MOD($A607-INDEX(SkiftStart,1),Syklus)&lt;DagK+DagH+DagD,"D","F")))</f>
        <v/>
      </c>
      <c r="C607">
        <f>IF(MOD($A607-INDEX(SkiftStart,2),Syklus)&lt;DagK,"K",IF(MOD($A607-INDEX(SkiftStart,2),Syklus)&lt;DagK+DagH,"H",IF(MOD($A607-INDEX(SkiftStart,2),Syklus)&lt;DagK+DagH+DagD,"D","F")))</f>
        <v/>
      </c>
      <c r="D607">
        <f>IF(MOD($A607-INDEX(SkiftStart,3),Syklus)&lt;DagK,"K",IF(MOD($A607-INDEX(SkiftStart,3),Syklus)&lt;DagK+DagH,"H",IF(MOD($A607-INDEX(SkiftStart,3),Syklus)&lt;DagK+DagH+DagD,"D","F")))</f>
        <v/>
      </c>
      <c r="E607">
        <f>IF(B607="F",0,IF(WEEKDAY($A607,2)=5,INDEX(TimerFr,MATCH(B607,FaseKode,0)),INDEX(TimerMT,MATCH(B607,FaseKode,0))))</f>
        <v/>
      </c>
      <c r="F607">
        <f>IF(C607="F",0,IF(WEEKDAY($A607,2)=5,INDEX(TimerFr,MATCH(C607,FaseKode,0)),INDEX(TimerMT,MATCH(C607,FaseKode,0))))</f>
        <v/>
      </c>
      <c r="G607">
        <f>IF(D607="F",0,IF(WEEKDAY($A607,2)=5,INDEX(TimerFr,MATCH(D607,FaseKode,0)),INDEX(TimerMT,MATCH(D607,FaseKode,0))))</f>
        <v/>
      </c>
      <c r="H607">
        <f>IF(OR(H$4="",$A607&gt;TODAY()),0,IF(OR(INDEX($B607:$D607,H$5)="F",AND(H$6&gt;0,$A607&lt;H$6),AND(H$7&gt;0,$A607&gt;H$7)),0,MAX(0,ROUND((INDEX($E607:$G607,H$5)-SUMIFS(TF_Timer,TF_Tekniker,H$4,TF_Dato,$A607))*2,0)/2)))</f>
        <v/>
      </c>
      <c r="I607">
        <f>IF(OR(I$4="",$A607&gt;TODAY()),0,IF(OR(INDEX($B607:$D607,I$5)="F",AND(I$6&gt;0,$A607&lt;I$6),AND(I$7&gt;0,$A607&gt;I$7)),0,MAX(0,ROUND((INDEX($E607:$G607,I$5)-SUMIFS(TF_Timer,TF_Tekniker,I$4,TF_Dato,$A607))*2,0)/2)))</f>
        <v/>
      </c>
      <c r="J607">
        <f>IF(OR(J$4="",$A607&gt;TODAY()),0,IF(OR(INDEX($B607:$D607,J$5)="F",AND(J$6&gt;0,$A607&lt;J$6),AND(J$7&gt;0,$A607&gt;J$7)),0,MAX(0,ROUND((INDEX($E607:$G607,J$5)-SUMIFS(TF_Timer,TF_Tekniker,J$4,TF_Dato,$A607))*2,0)/2)))</f>
        <v/>
      </c>
      <c r="K607">
        <f>IF(OR(K$4="",$A607&gt;TODAY()),0,IF(OR(INDEX($B607:$D607,K$5)="F",AND(K$6&gt;0,$A607&lt;K$6),AND(K$7&gt;0,$A607&gt;K$7)),0,MAX(0,ROUND((INDEX($E607:$G607,K$5)-SUMIFS(TF_Timer,TF_Tekniker,K$4,TF_Dato,$A607))*2,0)/2)))</f>
        <v/>
      </c>
      <c r="L607">
        <f>IF(OR(L$4="",$A607&gt;TODAY()),0,IF(OR(INDEX($B607:$D607,L$5)="F",AND(L$6&gt;0,$A607&lt;L$6),AND(L$7&gt;0,$A607&gt;L$7)),0,MAX(0,ROUND((INDEX($E607:$G607,L$5)-SUMIFS(TF_Timer,TF_Tekniker,L$4,TF_Dato,$A607))*2,0)/2)))</f>
        <v/>
      </c>
      <c r="M607">
        <f>IF(OR(M$4="",$A607&gt;TODAY()),0,IF(OR(INDEX($B607:$D607,M$5)="F",AND(M$6&gt;0,$A607&lt;M$6),AND(M$7&gt;0,$A607&gt;M$7)),0,MAX(0,ROUND((INDEX($E607:$G607,M$5)-SUMIFS(TF_Timer,TF_Tekniker,M$4,TF_Dato,$A607))*2,0)/2)))</f>
        <v/>
      </c>
      <c r="N607">
        <f>IF(OR(N$4="",$A607&gt;TODAY()),0,IF(OR(INDEX($B607:$D607,N$5)="F",AND(N$6&gt;0,$A607&lt;N$6),AND(N$7&gt;0,$A607&gt;N$7)),0,MAX(0,ROUND((INDEX($E607:$G607,N$5)-SUMIFS(TF_Timer,TF_Tekniker,N$4,TF_Dato,$A607))*2,0)/2)))</f>
        <v/>
      </c>
      <c r="O607">
        <f>IF(OR(O$4="",$A607&gt;TODAY()),0,IF(OR(INDEX($B607:$D607,O$5)="F",AND(O$6&gt;0,$A607&lt;O$6),AND(O$7&gt;0,$A607&gt;O$7)),0,MAX(0,ROUND((INDEX($E607:$G607,O$5)-SUMIFS(TF_Timer,TF_Tekniker,O$4,TF_Dato,$A607))*2,0)/2)))</f>
        <v/>
      </c>
      <c r="P607">
        <f>IF(OR(P$4="",$A607&gt;TODAY()),0,IF(OR(INDEX($B607:$D607,P$5)="F",AND(P$6&gt;0,$A607&lt;P$6),AND(P$7&gt;0,$A607&gt;P$7)),0,MAX(0,ROUND((INDEX($E607:$G607,P$5)-SUMIFS(TF_Timer,TF_Tekniker,P$4,TF_Dato,$A607))*2,0)/2)))</f>
        <v/>
      </c>
      <c r="Q607">
        <f>IF(OR(Q$4="",$A607&gt;TODAY()),0,IF(OR(INDEX($B607:$D607,Q$5)="F",AND(Q$6&gt;0,$A607&lt;Q$6),AND(Q$7&gt;0,$A607&gt;Q$7)),0,MAX(0,ROUND((INDEX($E607:$G607,Q$5)-SUMIFS(TF_Timer,TF_Tekniker,Q$4,TF_Dato,$A607))*2,0)/2)))</f>
        <v/>
      </c>
      <c r="R607">
        <f>IF(OR(R$4="",$A607&gt;TODAY()),0,IF(OR(INDEX($B607:$D607,R$5)="F",AND(R$6&gt;0,$A607&lt;R$6),AND(R$7&gt;0,$A607&gt;R$7)),0,MAX(0,ROUND((INDEX($E607:$G607,R$5)-SUMIFS(TF_Timer,TF_Tekniker,R$4,TF_Dato,$A607))*2,0)/2)))</f>
        <v/>
      </c>
      <c r="S607">
        <f>IF(OR(S$4="",$A607&gt;TODAY()),0,IF(OR(INDEX($B607:$D607,S$5)="F",AND(S$6&gt;0,$A607&lt;S$6),AND(S$7&gt;0,$A607&gt;S$7)),0,MAX(0,ROUND((INDEX($E607:$G607,S$5)-SUMIFS(TF_Timer,TF_Tekniker,S$4,TF_Dato,$A607))*2,0)/2)))</f>
        <v/>
      </c>
      <c r="T607">
        <f>IF(OR(T$4="",$A607&gt;TODAY()),0,IF(OR(INDEX($B607:$D607,T$5)="F",AND(T$6&gt;0,$A607&lt;T$6),AND(T$7&gt;0,$A607&gt;T$7)),0,MAX(0,ROUND((INDEX($E607:$G607,T$5)-SUMIFS(TF_Timer,TF_Tekniker,T$4,TF_Dato,$A607))*2,0)/2)))</f>
        <v/>
      </c>
      <c r="U607">
        <f>IF(OR(U$4="",$A607&gt;TODAY()),0,IF(OR(INDEX($B607:$D607,U$5)="F",AND(U$6&gt;0,$A607&lt;U$6),AND(U$7&gt;0,$A607&gt;U$7)),0,MAX(0,ROUND((INDEX($E607:$G607,U$5)-SUMIFS(TF_Timer,TF_Tekniker,U$4,TF_Dato,$A607))*2,0)/2)))</f>
        <v/>
      </c>
      <c r="V607">
        <f>IF(OR(V$4="",$A607&gt;TODAY()),0,IF(OR(INDEX($B607:$D607,V$5)="F",AND(V$6&gt;0,$A607&lt;V$6),AND(V$7&gt;0,$A607&gt;V$7)),0,MAX(0,ROUND((INDEX($E607:$G607,V$5)-SUMIFS(TF_Timer,TF_Tekniker,V$4,TF_Dato,$A607))*2,0)/2)))</f>
        <v/>
      </c>
      <c r="W607">
        <f>IF(OR(W$4="",$A607&gt;TODAY()),0,IF(OR(INDEX($B607:$D607,W$5)="F",AND(W$6&gt;0,$A607&lt;W$6),AND(W$7&gt;0,$A607&gt;W$7)),0,MAX(0,ROUND((INDEX($E607:$G607,W$5)-SUMIFS(TF_Timer,TF_Tekniker,W$4,TF_Dato,$A607))*2,0)/2)))</f>
        <v/>
      </c>
      <c r="X607">
        <f>IF(OR(X$4="",$A607&gt;TODAY()),0,IF(OR(INDEX($B607:$D607,X$5)="F",AND(X$6&gt;0,$A607&lt;X$6),AND(X$7&gt;0,$A607&gt;X$7)),0,MAX(0,ROUND((INDEX($E607:$G607,X$5)-SUMIFS(TF_Timer,TF_Tekniker,X$4,TF_Dato,$A607))*2,0)/2)))</f>
        <v/>
      </c>
      <c r="Y607">
        <f>IF(OR(Y$4="",$A607&gt;TODAY()),0,IF(OR(INDEX($B607:$D607,Y$5)="F",AND(Y$6&gt;0,$A607&lt;Y$6),AND(Y$7&gt;0,$A607&gt;Y$7)),0,MAX(0,ROUND((INDEX($E607:$G607,Y$5)-SUMIFS(TF_Timer,TF_Tekniker,Y$4,TF_Dato,$A607))*2,0)/2)))</f>
        <v/>
      </c>
      <c r="Z607">
        <f>IF(OR(Z$4="",$A607&gt;TODAY()),0,IF(OR(INDEX($B607:$D607,Z$5)="F",AND(Z$6&gt;0,$A607&lt;Z$6),AND(Z$7&gt;0,$A607&gt;Z$7)),0,MAX(0,ROUND((INDEX($E607:$G607,Z$5)-SUMIFS(TF_Timer,TF_Tekniker,Z$4,TF_Dato,$A607))*2,0)/2)))</f>
        <v/>
      </c>
      <c r="AA607">
        <f>IF(OR(AA$4="",$A607&gt;TODAY()),0,IF(OR(INDEX($B607:$D607,AA$5)="F",AND(AA$6&gt;0,$A607&lt;AA$6),AND(AA$7&gt;0,$A607&gt;AA$7)),0,MAX(0,ROUND((INDEX($E607:$G607,AA$5)-SUMIFS(TF_Timer,TF_Tekniker,AA$4,TF_Dato,$A607))*2,0)/2)))</f>
        <v/>
      </c>
      <c r="AB607">
        <f>IF(OR(AB$4="",$A607&gt;TODAY()),0,IF(OR(INDEX($B607:$D607,AB$5)="F",AND(AB$6&gt;0,$A607&lt;AB$6),AND(AB$7&gt;0,$A607&gt;AB$7)),0,MAX(0,ROUND((INDEX($E607:$G607,AB$5)-SUMIFS(TF_Timer,TF_Tekniker,AB$4,TF_Dato,$A607))*2,0)/2)))</f>
        <v/>
      </c>
      <c r="AC607">
        <f>IF(OR(AC$4="",$A607&gt;TODAY()),0,IF(OR(INDEX($B607:$D607,AC$5)="F",AND(AC$6&gt;0,$A607&lt;AC$6),AND(AC$7&gt;0,$A607&gt;AC$7)),0,MAX(0,ROUND((INDEX($E607:$G607,AC$5)-SUMIFS(TF_Timer,TF_Tekniker,AC$4,TF_Dato,$A607))*2,0)/2)))</f>
        <v/>
      </c>
      <c r="AD607">
        <f>IF(OR(AD$4="",$A607&gt;TODAY()),0,IF(OR(INDEX($B607:$D607,AD$5)="F",AND(AD$6&gt;0,$A607&lt;AD$6),AND(AD$7&gt;0,$A607&gt;AD$7)),0,MAX(0,ROUND((INDEX($E607:$G607,AD$5)-SUMIFS(TF_Timer,TF_Tekniker,AD$4,TF_Dato,$A607))*2,0)/2)))</f>
        <v/>
      </c>
      <c r="AE607">
        <f>IF(OR(AE$4="",$A607&gt;TODAY()),0,IF(OR(INDEX($B607:$D607,AE$5)="F",AND(AE$6&gt;0,$A607&lt;AE$6),AND(AE$7&gt;0,$A607&gt;AE$7)),0,MAX(0,ROUND((INDEX($E607:$G607,AE$5)-SUMIFS(TF_Timer,TF_Tekniker,AE$4,TF_Dato,$A607))*2,0)/2)))</f>
        <v/>
      </c>
      <c r="AF607">
        <f>IF(OR(AF$4="",$A607&gt;TODAY()),0,IF(OR(INDEX($B607:$D607,AF$5)="F",AND(AF$6&gt;0,$A607&lt;AF$6),AND(AF$7&gt;0,$A607&gt;AF$7)),0,MAX(0,ROUND((INDEX($E607:$G607,AF$5)-SUMIFS(TF_Timer,TF_Tekniker,AF$4,TF_Dato,$A607))*2,0)/2)))</f>
        <v/>
      </c>
      <c r="AG607">
        <f>IF(OR(AG$4="",$A607&gt;TODAY()),0,IF(OR(INDEX($B607:$D607,AG$5)="F",AND(AG$6&gt;0,$A607&lt;AG$6),AND(AG$7&gt;0,$A607&gt;AG$7)),0,MAX(0,ROUND((INDEX($E607:$G607,AG$5)-SUMIFS(TF_Timer,TF_Tekniker,AG$4,TF_Dato,$A607))*2,0)/2)))</f>
        <v/>
      </c>
      <c r="AH607">
        <f>IF(OR(AH$4="",$A607&gt;TODAY()),0,IF(OR(INDEX($B607:$D607,AH$5)="F",AND(AH$6&gt;0,$A607&lt;AH$6),AND(AH$7&gt;0,$A607&gt;AH$7)),0,MAX(0,ROUND((INDEX($E607:$G607,AH$5)-SUMIFS(TF_Timer,TF_Tekniker,AH$4,TF_Dato,$A607))*2,0)/2)))</f>
        <v/>
      </c>
      <c r="AI607">
        <f>IF(OR(AI$4="",$A607&gt;TODAY()),0,IF(OR(INDEX($B607:$D607,AI$5)="F",AND(AI$6&gt;0,$A607&lt;AI$6),AND(AI$7&gt;0,$A607&gt;AI$7)),0,MAX(0,ROUND((INDEX($E607:$G607,AI$5)-SUMIFS(TF_Timer,TF_Tekniker,AI$4,TF_Dato,$A607))*2,0)/2)))</f>
        <v/>
      </c>
      <c r="AJ607">
        <f>IF(OR(AJ$4="",$A607&gt;TODAY()),0,IF(OR(INDEX($B607:$D607,AJ$5)="F",AND(AJ$6&gt;0,$A607&lt;AJ$6),AND(AJ$7&gt;0,$A607&gt;AJ$7)),0,MAX(0,ROUND((INDEX($E607:$G607,AJ$5)-SUMIFS(TF_Timer,TF_Tekniker,AJ$4,TF_Dato,$A607))*2,0)/2)))</f>
        <v/>
      </c>
      <c r="AK607">
        <f>IF(OR(AK$4="",$A607&gt;TODAY()),0,IF(OR(INDEX($B607:$D607,AK$5)="F",AND(AK$6&gt;0,$A607&lt;AK$6),AND(AK$7&gt;0,$A607&gt;AK$7)),0,MAX(0,ROUND((INDEX($E607:$G607,AK$5)-SUMIFS(TF_Timer,TF_Tekniker,AK$4,TF_Dato,$A607))*2,0)/2)))</f>
        <v/>
      </c>
      <c r="AL607">
        <f>IF(OR(AL$4="",$A607&gt;TODAY()),0,IF(OR(INDEX($B607:$D607,AL$5)="F",AND(AL$6&gt;0,$A607&lt;AL$6),AND(AL$7&gt;0,$A607&gt;AL$7)),0,MAX(0,ROUND((INDEX($E607:$G607,AL$5)-SUMIFS(TF_Timer,TF_Tekniker,AL$4,TF_Dato,$A607))*2,0)/2)))</f>
        <v/>
      </c>
      <c r="AM607">
        <f>IF(OR(AM$4="",$A607&gt;TODAY()),0,IF(OR(INDEX($B607:$D607,AM$5)="F",AND(AM$6&gt;0,$A607&lt;AM$6),AND(AM$7&gt;0,$A607&gt;AM$7)),0,MAX(0,ROUND((INDEX($E607:$G607,AM$5)-SUMIFS(TF_Timer,TF_Tekniker,AM$4,TF_Dato,$A607))*2,0)/2)))</f>
        <v/>
      </c>
      <c r="AN607">
        <f>IF(OR(AN$4="",$A607&gt;TODAY()),0,IF(OR(INDEX($B607:$D607,AN$5)="F",AND(AN$6&gt;0,$A607&lt;AN$6),AND(AN$7&gt;0,$A607&gt;AN$7)),0,MAX(0,ROUND((INDEX($E607:$G607,AN$5)-SUMIFS(TF_Timer,TF_Tekniker,AN$4,TF_Dato,$A607))*2,0)/2)))</f>
        <v/>
      </c>
      <c r="AO607">
        <f>IF(OR(AO$4="",$A607&gt;TODAY()),0,IF(OR(INDEX($B607:$D607,AO$5)="F",AND(AO$6&gt;0,$A607&lt;AO$6),AND(AO$7&gt;0,$A607&gt;AO$7)),0,MAX(0,ROUND((INDEX($E607:$G607,AO$5)-SUMIFS(TF_Timer,TF_Tekniker,AO$4,TF_Dato,$A607))*2,0)/2)))</f>
        <v/>
      </c>
      <c r="AP607">
        <f>IF(OR(AP$4="",$A607&gt;TODAY()),0,IF(OR(INDEX($B607:$D607,AP$5)="F",AND(AP$6&gt;0,$A607&lt;AP$6),AND(AP$7&gt;0,$A607&gt;AP$7)),0,MAX(0,ROUND((INDEX($E607:$G607,AP$5)-SUMIFS(TF_Timer,TF_Tekniker,AP$4,TF_Dato,$A607))*2,0)/2)))</f>
        <v/>
      </c>
      <c r="AQ607">
        <f>IF(OR(AQ$4="",$A607&gt;TODAY()),0,IF(OR(INDEX($B607:$D607,AQ$5)="F",AND(AQ$6&gt;0,$A607&lt;AQ$6),AND(AQ$7&gt;0,$A607&gt;AQ$7)),0,MAX(0,ROUND((INDEX($E607:$G607,AQ$5)-SUMIFS(TF_Timer,TF_Tekniker,AQ$4,TF_Dato,$A607))*2,0)/2)))</f>
        <v/>
      </c>
      <c r="AR607">
        <f>IF(OR(AR$4="",$A607&gt;TODAY()),0,IF(OR(INDEX($B607:$D607,AR$5)="F",AND(AR$6&gt;0,$A607&lt;AR$6),AND(AR$7&gt;0,$A607&gt;AR$7)),0,MAX(0,ROUND((INDEX($E607:$G607,AR$5)-SUMIFS(TF_Timer,TF_Tekniker,AR$4,TF_Dato,$A607))*2,0)/2)))</f>
        <v/>
      </c>
      <c r="AS607">
        <f>IF(OR(AS$4="",$A607&gt;TODAY()),0,IF(OR(INDEX($B607:$D607,AS$5)="F",AND(AS$6&gt;0,$A607&lt;AS$6),AND(AS$7&gt;0,$A607&gt;AS$7)),0,MAX(0,ROUND((INDEX($E607:$G607,AS$5)-SUMIFS(TF_Timer,TF_Tekniker,AS$4,TF_Dato,$A607))*2,0)/2)))</f>
        <v/>
      </c>
      <c r="AT607">
        <f>IF(OR(AT$4="",$A607&gt;TODAY()),0,IF(OR(INDEX($B607:$D607,AT$5)="F",AND(AT$6&gt;0,$A607&lt;AT$6),AND(AT$7&gt;0,$A607&gt;AT$7)),0,MAX(0,ROUND((INDEX($E607:$G607,AT$5)-SUMIFS(TF_Timer,TF_Tekniker,AT$4,TF_Dato,$A607))*2,0)/2)))</f>
        <v/>
      </c>
      <c r="AU607">
        <f>IF(OR(AU$4="",$A607&gt;TODAY()),0,IF(OR(INDEX($B607:$D607,AU$5)="F",AND(AU$6&gt;0,$A607&lt;AU$6),AND(AU$7&gt;0,$A607&gt;AU$7)),0,MAX(0,ROUND((INDEX($E607:$G607,AU$5)-SUMIFS(TF_Timer,TF_Tekniker,AU$4,TF_Dato,$A607))*2,0)/2)))</f>
        <v/>
      </c>
      <c r="AV607">
        <f>IF(OR(AV$4="",$A607&gt;TODAY()),0,IF(OR(INDEX($B607:$D607,AV$5)="F",AND(AV$6&gt;0,$A607&lt;AV$6),AND(AV$7&gt;0,$A607&gt;AV$7)),0,MAX(0,ROUND((INDEX($E607:$G607,AV$5)-SUMIFS(TF_Timer,TF_Tekniker,AV$4,TF_Dato,$A607))*2,0)/2)))</f>
        <v/>
      </c>
      <c r="AW607">
        <f>IF(OR(AW$4="",$A607&gt;TODAY()),0,IF(OR(INDEX($B607:$D607,AW$5)="F",AND(AW$6&gt;0,$A607&lt;AW$6),AND(AW$7&gt;0,$A607&gt;AW$7)),0,MAX(0,ROUND((INDEX($E607:$G607,AW$5)-SUMIFS(TF_Timer,TF_Tekniker,AW$4,TF_Dato,$A607))*2,0)/2)))</f>
        <v/>
      </c>
      <c r="AX607">
        <f>IF(OR(AX$4="",$A607&gt;TODAY()),0,IF(OR(INDEX($B607:$D607,AX$5)="F",AND(AX$6&gt;0,$A607&lt;AX$6),AND(AX$7&gt;0,$A607&gt;AX$7)),0,MAX(0,ROUND((INDEX($E607:$G607,AX$5)-SUMIFS(TF_Timer,TF_Tekniker,AX$4,TF_Dato,$A607))*2,0)/2)))</f>
        <v/>
      </c>
      <c r="AY607">
        <f>IF(OR(AY$4="",$A607&gt;TODAY()),0,IF(OR(INDEX($B607:$D607,AY$5)="F",AND(AY$6&gt;0,$A607&lt;AY$6),AND(AY$7&gt;0,$A607&gt;AY$7)),0,MAX(0,ROUND((INDEX($E607:$G607,AY$5)-SUMIFS(TF_Timer,TF_Tekniker,AY$4,TF_Dato,$A607))*2,0)/2)))</f>
        <v/>
      </c>
      <c r="AZ607">
        <f>IF(OR(AZ$4="",$A607&gt;TODAY()),0,IF(OR(INDEX($B607:$D607,AZ$5)="F",AND(AZ$6&gt;0,$A607&lt;AZ$6),AND(AZ$7&gt;0,$A607&gt;AZ$7)),0,MAX(0,ROUND((INDEX($E607:$G607,AZ$5)-SUMIFS(TF_Timer,TF_Tekniker,AZ$4,TF_Dato,$A607))*2,0)/2)))</f>
        <v/>
      </c>
      <c r="BA607">
        <f>IF(OR(BA$4="",$A607&gt;TODAY()),0,IF(OR(INDEX($B607:$D607,BA$5)="F",AND(BA$6&gt;0,$A607&lt;BA$6),AND(BA$7&gt;0,$A607&gt;BA$7)),0,MAX(0,ROUND((INDEX($E607:$G607,BA$5)-SUMIFS(TF_Timer,TF_Tekniker,BA$4,TF_Dato,$A607))*2,0)/2)))</f>
        <v/>
      </c>
      <c r="BB607">
        <f>IF(OR(BB$4="",$A607&gt;TODAY()),0,IF(OR(INDEX($B607:$D607,BB$5)="F",AND(BB$6&gt;0,$A607&lt;BB$6),AND(BB$7&gt;0,$A607&gt;BB$7)),0,MAX(0,ROUND((INDEX($E607:$G607,BB$5)-SUMIFS(TF_Timer,TF_Tekniker,BB$4,TF_Dato,$A607))*2,0)/2)))</f>
        <v/>
      </c>
      <c r="BC607">
        <f>IF(OR(BC$4="",$A607&gt;TODAY()),0,IF(OR(INDEX($B607:$D607,BC$5)="F",AND(BC$6&gt;0,$A607&lt;BC$6),AND(BC$7&gt;0,$A607&gt;BC$7)),0,MAX(0,ROUND((INDEX($E607:$G607,BC$5)-SUMIFS(TF_Timer,TF_Tekniker,BC$4,TF_Dato,$A607))*2,0)/2)))</f>
        <v/>
      </c>
      <c r="BD607">
        <f>IF(OR(BD$4="",$A607&gt;TODAY()),0,IF(OR(INDEX($B607:$D607,BD$5)="F",AND(BD$6&gt;0,$A607&lt;BD$6),AND(BD$7&gt;0,$A607&gt;BD$7)),0,MAX(0,ROUND((INDEX($E607:$G607,BD$5)-SUMIFS(TF_Timer,TF_Tekniker,BD$4,TF_Dato,$A607))*2,0)/2)))</f>
        <v/>
      </c>
      <c r="BE607">
        <f>IF(OR(BE$4="",$A607&gt;TODAY()),0,IF(OR(INDEX($B607:$D607,BE$5)="F",AND(BE$6&gt;0,$A607&lt;BE$6),AND(BE$7&gt;0,$A607&gt;BE$7)),0,MAX(0,ROUND((INDEX($E607:$G607,BE$5)-SUMIFS(TF_Timer,TF_Tekniker,BE$4,TF_Dato,$A607))*2,0)/2)))</f>
        <v/>
      </c>
      <c r="BF607">
        <f>IF(OR(BF$4="",$A607&gt;TODAY()),0,IF(OR(INDEX($B607:$D607,BF$5)="F",AND(BF$6&gt;0,$A607&lt;BF$6),AND(BF$7&gt;0,$A607&gt;BF$7)),0,MAX(0,ROUND((INDEX($E607:$G607,BF$5)-SUMIFS(TF_Timer,TF_Tekniker,BF$4,TF_Dato,$A607))*2,0)/2)))</f>
        <v/>
      </c>
      <c r="BG607">
        <f>IF(OR(BG$4="",$A607&gt;TODAY()),0,IF(OR(INDEX($B607:$D607,BG$5)="F",AND(BG$6&gt;0,$A607&lt;BG$6),AND(BG$7&gt;0,$A607&gt;BG$7)),0,MAX(0,ROUND((INDEX($E607:$G607,BG$5)-SUMIFS(TF_Timer,TF_Tekniker,BG$4,TF_Dato,$A607))*2,0)/2)))</f>
        <v/>
      </c>
      <c r="BH607">
        <f>IF(OR(BH$4="",$A607&gt;TODAY()),0,IF(OR(INDEX($B607:$D607,BH$5)="F",AND(BH$6&gt;0,$A607&lt;BH$6),AND(BH$7&gt;0,$A607&gt;BH$7)),0,MAX(0,ROUND((INDEX($E607:$G607,BH$5)-SUMIFS(TF_Timer,TF_Tekniker,BH$4,TF_Dato,$A607))*2,0)/2)))</f>
        <v/>
      </c>
      <c r="BI607">
        <f>IF(OR(BI$4="",$A607&gt;TODAY()),0,IF(OR(INDEX($B607:$D607,BI$5)="F",AND(BI$6&gt;0,$A607&lt;BI$6),AND(BI$7&gt;0,$A607&gt;BI$7)),0,MAX(0,ROUND((INDEX($E607:$G607,BI$5)-SUMIFS(TF_Timer,TF_Tekniker,BI$4,TF_Dato,$A607))*2,0)/2)))</f>
        <v/>
      </c>
    </row>
    <row r="608">
      <c r="A608" s="64">
        <f>A607+1</f>
        <v/>
      </c>
      <c r="B608">
        <f>IF(MOD($A608-INDEX(SkiftStart,1),Syklus)&lt;DagK,"K",IF(MOD($A608-INDEX(SkiftStart,1),Syklus)&lt;DagK+DagH,"H",IF(MOD($A608-INDEX(SkiftStart,1),Syklus)&lt;DagK+DagH+DagD,"D","F")))</f>
        <v/>
      </c>
      <c r="C608">
        <f>IF(MOD($A608-INDEX(SkiftStart,2),Syklus)&lt;DagK,"K",IF(MOD($A608-INDEX(SkiftStart,2),Syklus)&lt;DagK+DagH,"H",IF(MOD($A608-INDEX(SkiftStart,2),Syklus)&lt;DagK+DagH+DagD,"D","F")))</f>
        <v/>
      </c>
      <c r="D608">
        <f>IF(MOD($A608-INDEX(SkiftStart,3),Syklus)&lt;DagK,"K",IF(MOD($A608-INDEX(SkiftStart,3),Syklus)&lt;DagK+DagH,"H",IF(MOD($A608-INDEX(SkiftStart,3),Syklus)&lt;DagK+DagH+DagD,"D","F")))</f>
        <v/>
      </c>
      <c r="E608">
        <f>IF(B608="F",0,IF(WEEKDAY($A608,2)=5,INDEX(TimerFr,MATCH(B608,FaseKode,0)),INDEX(TimerMT,MATCH(B608,FaseKode,0))))</f>
        <v/>
      </c>
      <c r="F608">
        <f>IF(C608="F",0,IF(WEEKDAY($A608,2)=5,INDEX(TimerFr,MATCH(C608,FaseKode,0)),INDEX(TimerMT,MATCH(C608,FaseKode,0))))</f>
        <v/>
      </c>
      <c r="G608">
        <f>IF(D608="F",0,IF(WEEKDAY($A608,2)=5,INDEX(TimerFr,MATCH(D608,FaseKode,0)),INDEX(TimerMT,MATCH(D608,FaseKode,0))))</f>
        <v/>
      </c>
      <c r="H608">
        <f>IF(OR(H$4="",$A608&gt;TODAY()),0,IF(OR(INDEX($B608:$D608,H$5)="F",AND(H$6&gt;0,$A608&lt;H$6),AND(H$7&gt;0,$A608&gt;H$7)),0,MAX(0,ROUND((INDEX($E608:$G608,H$5)-SUMIFS(TF_Timer,TF_Tekniker,H$4,TF_Dato,$A608))*2,0)/2)))</f>
        <v/>
      </c>
      <c r="I608">
        <f>IF(OR(I$4="",$A608&gt;TODAY()),0,IF(OR(INDEX($B608:$D608,I$5)="F",AND(I$6&gt;0,$A608&lt;I$6),AND(I$7&gt;0,$A608&gt;I$7)),0,MAX(0,ROUND((INDEX($E608:$G608,I$5)-SUMIFS(TF_Timer,TF_Tekniker,I$4,TF_Dato,$A608))*2,0)/2)))</f>
        <v/>
      </c>
      <c r="J608">
        <f>IF(OR(J$4="",$A608&gt;TODAY()),0,IF(OR(INDEX($B608:$D608,J$5)="F",AND(J$6&gt;0,$A608&lt;J$6),AND(J$7&gt;0,$A608&gt;J$7)),0,MAX(0,ROUND((INDEX($E608:$G608,J$5)-SUMIFS(TF_Timer,TF_Tekniker,J$4,TF_Dato,$A608))*2,0)/2)))</f>
        <v/>
      </c>
      <c r="K608">
        <f>IF(OR(K$4="",$A608&gt;TODAY()),0,IF(OR(INDEX($B608:$D608,K$5)="F",AND(K$6&gt;0,$A608&lt;K$6),AND(K$7&gt;0,$A608&gt;K$7)),0,MAX(0,ROUND((INDEX($E608:$G608,K$5)-SUMIFS(TF_Timer,TF_Tekniker,K$4,TF_Dato,$A608))*2,0)/2)))</f>
        <v/>
      </c>
      <c r="L608">
        <f>IF(OR(L$4="",$A608&gt;TODAY()),0,IF(OR(INDEX($B608:$D608,L$5)="F",AND(L$6&gt;0,$A608&lt;L$6),AND(L$7&gt;0,$A608&gt;L$7)),0,MAX(0,ROUND((INDEX($E608:$G608,L$5)-SUMIFS(TF_Timer,TF_Tekniker,L$4,TF_Dato,$A608))*2,0)/2)))</f>
        <v/>
      </c>
      <c r="M608">
        <f>IF(OR(M$4="",$A608&gt;TODAY()),0,IF(OR(INDEX($B608:$D608,M$5)="F",AND(M$6&gt;0,$A608&lt;M$6),AND(M$7&gt;0,$A608&gt;M$7)),0,MAX(0,ROUND((INDEX($E608:$G608,M$5)-SUMIFS(TF_Timer,TF_Tekniker,M$4,TF_Dato,$A608))*2,0)/2)))</f>
        <v/>
      </c>
      <c r="N608">
        <f>IF(OR(N$4="",$A608&gt;TODAY()),0,IF(OR(INDEX($B608:$D608,N$5)="F",AND(N$6&gt;0,$A608&lt;N$6),AND(N$7&gt;0,$A608&gt;N$7)),0,MAX(0,ROUND((INDEX($E608:$G608,N$5)-SUMIFS(TF_Timer,TF_Tekniker,N$4,TF_Dato,$A608))*2,0)/2)))</f>
        <v/>
      </c>
      <c r="O608">
        <f>IF(OR(O$4="",$A608&gt;TODAY()),0,IF(OR(INDEX($B608:$D608,O$5)="F",AND(O$6&gt;0,$A608&lt;O$6),AND(O$7&gt;0,$A608&gt;O$7)),0,MAX(0,ROUND((INDEX($E608:$G608,O$5)-SUMIFS(TF_Timer,TF_Tekniker,O$4,TF_Dato,$A608))*2,0)/2)))</f>
        <v/>
      </c>
      <c r="P608">
        <f>IF(OR(P$4="",$A608&gt;TODAY()),0,IF(OR(INDEX($B608:$D608,P$5)="F",AND(P$6&gt;0,$A608&lt;P$6),AND(P$7&gt;0,$A608&gt;P$7)),0,MAX(0,ROUND((INDEX($E608:$G608,P$5)-SUMIFS(TF_Timer,TF_Tekniker,P$4,TF_Dato,$A608))*2,0)/2)))</f>
        <v/>
      </c>
      <c r="Q608">
        <f>IF(OR(Q$4="",$A608&gt;TODAY()),0,IF(OR(INDEX($B608:$D608,Q$5)="F",AND(Q$6&gt;0,$A608&lt;Q$6),AND(Q$7&gt;0,$A608&gt;Q$7)),0,MAX(0,ROUND((INDEX($E608:$G608,Q$5)-SUMIFS(TF_Timer,TF_Tekniker,Q$4,TF_Dato,$A608))*2,0)/2)))</f>
        <v/>
      </c>
      <c r="R608">
        <f>IF(OR(R$4="",$A608&gt;TODAY()),0,IF(OR(INDEX($B608:$D608,R$5)="F",AND(R$6&gt;0,$A608&lt;R$6),AND(R$7&gt;0,$A608&gt;R$7)),0,MAX(0,ROUND((INDEX($E608:$G608,R$5)-SUMIFS(TF_Timer,TF_Tekniker,R$4,TF_Dato,$A608))*2,0)/2)))</f>
        <v/>
      </c>
      <c r="S608">
        <f>IF(OR(S$4="",$A608&gt;TODAY()),0,IF(OR(INDEX($B608:$D608,S$5)="F",AND(S$6&gt;0,$A608&lt;S$6),AND(S$7&gt;0,$A608&gt;S$7)),0,MAX(0,ROUND((INDEX($E608:$G608,S$5)-SUMIFS(TF_Timer,TF_Tekniker,S$4,TF_Dato,$A608))*2,0)/2)))</f>
        <v/>
      </c>
      <c r="T608">
        <f>IF(OR(T$4="",$A608&gt;TODAY()),0,IF(OR(INDEX($B608:$D608,T$5)="F",AND(T$6&gt;0,$A608&lt;T$6),AND(T$7&gt;0,$A608&gt;T$7)),0,MAX(0,ROUND((INDEX($E608:$G608,T$5)-SUMIFS(TF_Timer,TF_Tekniker,T$4,TF_Dato,$A608))*2,0)/2)))</f>
        <v/>
      </c>
      <c r="U608">
        <f>IF(OR(U$4="",$A608&gt;TODAY()),0,IF(OR(INDEX($B608:$D608,U$5)="F",AND(U$6&gt;0,$A608&lt;U$6),AND(U$7&gt;0,$A608&gt;U$7)),0,MAX(0,ROUND((INDEX($E608:$G608,U$5)-SUMIFS(TF_Timer,TF_Tekniker,U$4,TF_Dato,$A608))*2,0)/2)))</f>
        <v/>
      </c>
      <c r="V608">
        <f>IF(OR(V$4="",$A608&gt;TODAY()),0,IF(OR(INDEX($B608:$D608,V$5)="F",AND(V$6&gt;0,$A608&lt;V$6),AND(V$7&gt;0,$A608&gt;V$7)),0,MAX(0,ROUND((INDEX($E608:$G608,V$5)-SUMIFS(TF_Timer,TF_Tekniker,V$4,TF_Dato,$A608))*2,0)/2)))</f>
        <v/>
      </c>
      <c r="W608">
        <f>IF(OR(W$4="",$A608&gt;TODAY()),0,IF(OR(INDEX($B608:$D608,W$5)="F",AND(W$6&gt;0,$A608&lt;W$6),AND(W$7&gt;0,$A608&gt;W$7)),0,MAX(0,ROUND((INDEX($E608:$G608,W$5)-SUMIFS(TF_Timer,TF_Tekniker,W$4,TF_Dato,$A608))*2,0)/2)))</f>
        <v/>
      </c>
      <c r="X608">
        <f>IF(OR(X$4="",$A608&gt;TODAY()),0,IF(OR(INDEX($B608:$D608,X$5)="F",AND(X$6&gt;0,$A608&lt;X$6),AND(X$7&gt;0,$A608&gt;X$7)),0,MAX(0,ROUND((INDEX($E608:$G608,X$5)-SUMIFS(TF_Timer,TF_Tekniker,X$4,TF_Dato,$A608))*2,0)/2)))</f>
        <v/>
      </c>
      <c r="Y608">
        <f>IF(OR(Y$4="",$A608&gt;TODAY()),0,IF(OR(INDEX($B608:$D608,Y$5)="F",AND(Y$6&gt;0,$A608&lt;Y$6),AND(Y$7&gt;0,$A608&gt;Y$7)),0,MAX(0,ROUND((INDEX($E608:$G608,Y$5)-SUMIFS(TF_Timer,TF_Tekniker,Y$4,TF_Dato,$A608))*2,0)/2)))</f>
        <v/>
      </c>
      <c r="Z608">
        <f>IF(OR(Z$4="",$A608&gt;TODAY()),0,IF(OR(INDEX($B608:$D608,Z$5)="F",AND(Z$6&gt;0,$A608&lt;Z$6),AND(Z$7&gt;0,$A608&gt;Z$7)),0,MAX(0,ROUND((INDEX($E608:$G608,Z$5)-SUMIFS(TF_Timer,TF_Tekniker,Z$4,TF_Dato,$A608))*2,0)/2)))</f>
        <v/>
      </c>
      <c r="AA608">
        <f>IF(OR(AA$4="",$A608&gt;TODAY()),0,IF(OR(INDEX($B608:$D608,AA$5)="F",AND(AA$6&gt;0,$A608&lt;AA$6),AND(AA$7&gt;0,$A608&gt;AA$7)),0,MAX(0,ROUND((INDEX($E608:$G608,AA$5)-SUMIFS(TF_Timer,TF_Tekniker,AA$4,TF_Dato,$A608))*2,0)/2)))</f>
        <v/>
      </c>
      <c r="AB608">
        <f>IF(OR(AB$4="",$A608&gt;TODAY()),0,IF(OR(INDEX($B608:$D608,AB$5)="F",AND(AB$6&gt;0,$A608&lt;AB$6),AND(AB$7&gt;0,$A608&gt;AB$7)),0,MAX(0,ROUND((INDEX($E608:$G608,AB$5)-SUMIFS(TF_Timer,TF_Tekniker,AB$4,TF_Dato,$A608))*2,0)/2)))</f>
        <v/>
      </c>
      <c r="AC608">
        <f>IF(OR(AC$4="",$A608&gt;TODAY()),0,IF(OR(INDEX($B608:$D608,AC$5)="F",AND(AC$6&gt;0,$A608&lt;AC$6),AND(AC$7&gt;0,$A608&gt;AC$7)),0,MAX(0,ROUND((INDEX($E608:$G608,AC$5)-SUMIFS(TF_Timer,TF_Tekniker,AC$4,TF_Dato,$A608))*2,0)/2)))</f>
        <v/>
      </c>
      <c r="AD608">
        <f>IF(OR(AD$4="",$A608&gt;TODAY()),0,IF(OR(INDEX($B608:$D608,AD$5)="F",AND(AD$6&gt;0,$A608&lt;AD$6),AND(AD$7&gt;0,$A608&gt;AD$7)),0,MAX(0,ROUND((INDEX($E608:$G608,AD$5)-SUMIFS(TF_Timer,TF_Tekniker,AD$4,TF_Dato,$A608))*2,0)/2)))</f>
        <v/>
      </c>
      <c r="AE608">
        <f>IF(OR(AE$4="",$A608&gt;TODAY()),0,IF(OR(INDEX($B608:$D608,AE$5)="F",AND(AE$6&gt;0,$A608&lt;AE$6),AND(AE$7&gt;0,$A608&gt;AE$7)),0,MAX(0,ROUND((INDEX($E608:$G608,AE$5)-SUMIFS(TF_Timer,TF_Tekniker,AE$4,TF_Dato,$A608))*2,0)/2)))</f>
        <v/>
      </c>
      <c r="AF608">
        <f>IF(OR(AF$4="",$A608&gt;TODAY()),0,IF(OR(INDEX($B608:$D608,AF$5)="F",AND(AF$6&gt;0,$A608&lt;AF$6),AND(AF$7&gt;0,$A608&gt;AF$7)),0,MAX(0,ROUND((INDEX($E608:$G608,AF$5)-SUMIFS(TF_Timer,TF_Tekniker,AF$4,TF_Dato,$A608))*2,0)/2)))</f>
        <v/>
      </c>
      <c r="AG608">
        <f>IF(OR(AG$4="",$A608&gt;TODAY()),0,IF(OR(INDEX($B608:$D608,AG$5)="F",AND(AG$6&gt;0,$A608&lt;AG$6),AND(AG$7&gt;0,$A608&gt;AG$7)),0,MAX(0,ROUND((INDEX($E608:$G608,AG$5)-SUMIFS(TF_Timer,TF_Tekniker,AG$4,TF_Dato,$A608))*2,0)/2)))</f>
        <v/>
      </c>
      <c r="AH608">
        <f>IF(OR(AH$4="",$A608&gt;TODAY()),0,IF(OR(INDEX($B608:$D608,AH$5)="F",AND(AH$6&gt;0,$A608&lt;AH$6),AND(AH$7&gt;0,$A608&gt;AH$7)),0,MAX(0,ROUND((INDEX($E608:$G608,AH$5)-SUMIFS(TF_Timer,TF_Tekniker,AH$4,TF_Dato,$A608))*2,0)/2)))</f>
        <v/>
      </c>
      <c r="AI608">
        <f>IF(OR(AI$4="",$A608&gt;TODAY()),0,IF(OR(INDEX($B608:$D608,AI$5)="F",AND(AI$6&gt;0,$A608&lt;AI$6),AND(AI$7&gt;0,$A608&gt;AI$7)),0,MAX(0,ROUND((INDEX($E608:$G608,AI$5)-SUMIFS(TF_Timer,TF_Tekniker,AI$4,TF_Dato,$A608))*2,0)/2)))</f>
        <v/>
      </c>
      <c r="AJ608">
        <f>IF(OR(AJ$4="",$A608&gt;TODAY()),0,IF(OR(INDEX($B608:$D608,AJ$5)="F",AND(AJ$6&gt;0,$A608&lt;AJ$6),AND(AJ$7&gt;0,$A608&gt;AJ$7)),0,MAX(0,ROUND((INDEX($E608:$G608,AJ$5)-SUMIFS(TF_Timer,TF_Tekniker,AJ$4,TF_Dato,$A608))*2,0)/2)))</f>
        <v/>
      </c>
      <c r="AK608">
        <f>IF(OR(AK$4="",$A608&gt;TODAY()),0,IF(OR(INDEX($B608:$D608,AK$5)="F",AND(AK$6&gt;0,$A608&lt;AK$6),AND(AK$7&gt;0,$A608&gt;AK$7)),0,MAX(0,ROUND((INDEX($E608:$G608,AK$5)-SUMIFS(TF_Timer,TF_Tekniker,AK$4,TF_Dato,$A608))*2,0)/2)))</f>
        <v/>
      </c>
      <c r="AL608">
        <f>IF(OR(AL$4="",$A608&gt;TODAY()),0,IF(OR(INDEX($B608:$D608,AL$5)="F",AND(AL$6&gt;0,$A608&lt;AL$6),AND(AL$7&gt;0,$A608&gt;AL$7)),0,MAX(0,ROUND((INDEX($E608:$G608,AL$5)-SUMIFS(TF_Timer,TF_Tekniker,AL$4,TF_Dato,$A608))*2,0)/2)))</f>
        <v/>
      </c>
      <c r="AM608">
        <f>IF(OR(AM$4="",$A608&gt;TODAY()),0,IF(OR(INDEX($B608:$D608,AM$5)="F",AND(AM$6&gt;0,$A608&lt;AM$6),AND(AM$7&gt;0,$A608&gt;AM$7)),0,MAX(0,ROUND((INDEX($E608:$G608,AM$5)-SUMIFS(TF_Timer,TF_Tekniker,AM$4,TF_Dato,$A608))*2,0)/2)))</f>
        <v/>
      </c>
      <c r="AN608">
        <f>IF(OR(AN$4="",$A608&gt;TODAY()),0,IF(OR(INDEX($B608:$D608,AN$5)="F",AND(AN$6&gt;0,$A608&lt;AN$6),AND(AN$7&gt;0,$A608&gt;AN$7)),0,MAX(0,ROUND((INDEX($E608:$G608,AN$5)-SUMIFS(TF_Timer,TF_Tekniker,AN$4,TF_Dato,$A608))*2,0)/2)))</f>
        <v/>
      </c>
      <c r="AO608">
        <f>IF(OR(AO$4="",$A608&gt;TODAY()),0,IF(OR(INDEX($B608:$D608,AO$5)="F",AND(AO$6&gt;0,$A608&lt;AO$6),AND(AO$7&gt;0,$A608&gt;AO$7)),0,MAX(0,ROUND((INDEX($E608:$G608,AO$5)-SUMIFS(TF_Timer,TF_Tekniker,AO$4,TF_Dato,$A608))*2,0)/2)))</f>
        <v/>
      </c>
      <c r="AP608">
        <f>IF(OR(AP$4="",$A608&gt;TODAY()),0,IF(OR(INDEX($B608:$D608,AP$5)="F",AND(AP$6&gt;0,$A608&lt;AP$6),AND(AP$7&gt;0,$A608&gt;AP$7)),0,MAX(0,ROUND((INDEX($E608:$G608,AP$5)-SUMIFS(TF_Timer,TF_Tekniker,AP$4,TF_Dato,$A608))*2,0)/2)))</f>
        <v/>
      </c>
      <c r="AQ608">
        <f>IF(OR(AQ$4="",$A608&gt;TODAY()),0,IF(OR(INDEX($B608:$D608,AQ$5)="F",AND(AQ$6&gt;0,$A608&lt;AQ$6),AND(AQ$7&gt;0,$A608&gt;AQ$7)),0,MAX(0,ROUND((INDEX($E608:$G608,AQ$5)-SUMIFS(TF_Timer,TF_Tekniker,AQ$4,TF_Dato,$A608))*2,0)/2)))</f>
        <v/>
      </c>
      <c r="AR608">
        <f>IF(OR(AR$4="",$A608&gt;TODAY()),0,IF(OR(INDEX($B608:$D608,AR$5)="F",AND(AR$6&gt;0,$A608&lt;AR$6),AND(AR$7&gt;0,$A608&gt;AR$7)),0,MAX(0,ROUND((INDEX($E608:$G608,AR$5)-SUMIFS(TF_Timer,TF_Tekniker,AR$4,TF_Dato,$A608))*2,0)/2)))</f>
        <v/>
      </c>
      <c r="AS608">
        <f>IF(OR(AS$4="",$A608&gt;TODAY()),0,IF(OR(INDEX($B608:$D608,AS$5)="F",AND(AS$6&gt;0,$A608&lt;AS$6),AND(AS$7&gt;0,$A608&gt;AS$7)),0,MAX(0,ROUND((INDEX($E608:$G608,AS$5)-SUMIFS(TF_Timer,TF_Tekniker,AS$4,TF_Dato,$A608))*2,0)/2)))</f>
        <v/>
      </c>
      <c r="AT608">
        <f>IF(OR(AT$4="",$A608&gt;TODAY()),0,IF(OR(INDEX($B608:$D608,AT$5)="F",AND(AT$6&gt;0,$A608&lt;AT$6),AND(AT$7&gt;0,$A608&gt;AT$7)),0,MAX(0,ROUND((INDEX($E608:$G608,AT$5)-SUMIFS(TF_Timer,TF_Tekniker,AT$4,TF_Dato,$A608))*2,0)/2)))</f>
        <v/>
      </c>
      <c r="AU608">
        <f>IF(OR(AU$4="",$A608&gt;TODAY()),0,IF(OR(INDEX($B608:$D608,AU$5)="F",AND(AU$6&gt;0,$A608&lt;AU$6),AND(AU$7&gt;0,$A608&gt;AU$7)),0,MAX(0,ROUND((INDEX($E608:$G608,AU$5)-SUMIFS(TF_Timer,TF_Tekniker,AU$4,TF_Dato,$A608))*2,0)/2)))</f>
        <v/>
      </c>
      <c r="AV608">
        <f>IF(OR(AV$4="",$A608&gt;TODAY()),0,IF(OR(INDEX($B608:$D608,AV$5)="F",AND(AV$6&gt;0,$A608&lt;AV$6),AND(AV$7&gt;0,$A608&gt;AV$7)),0,MAX(0,ROUND((INDEX($E608:$G608,AV$5)-SUMIFS(TF_Timer,TF_Tekniker,AV$4,TF_Dato,$A608))*2,0)/2)))</f>
        <v/>
      </c>
      <c r="AW608">
        <f>IF(OR(AW$4="",$A608&gt;TODAY()),0,IF(OR(INDEX($B608:$D608,AW$5)="F",AND(AW$6&gt;0,$A608&lt;AW$6),AND(AW$7&gt;0,$A608&gt;AW$7)),0,MAX(0,ROUND((INDEX($E608:$G608,AW$5)-SUMIFS(TF_Timer,TF_Tekniker,AW$4,TF_Dato,$A608))*2,0)/2)))</f>
        <v/>
      </c>
      <c r="AX608">
        <f>IF(OR(AX$4="",$A608&gt;TODAY()),0,IF(OR(INDEX($B608:$D608,AX$5)="F",AND(AX$6&gt;0,$A608&lt;AX$6),AND(AX$7&gt;0,$A608&gt;AX$7)),0,MAX(0,ROUND((INDEX($E608:$G608,AX$5)-SUMIFS(TF_Timer,TF_Tekniker,AX$4,TF_Dato,$A608))*2,0)/2)))</f>
        <v/>
      </c>
      <c r="AY608">
        <f>IF(OR(AY$4="",$A608&gt;TODAY()),0,IF(OR(INDEX($B608:$D608,AY$5)="F",AND(AY$6&gt;0,$A608&lt;AY$6),AND(AY$7&gt;0,$A608&gt;AY$7)),0,MAX(0,ROUND((INDEX($E608:$G608,AY$5)-SUMIFS(TF_Timer,TF_Tekniker,AY$4,TF_Dato,$A608))*2,0)/2)))</f>
        <v/>
      </c>
      <c r="AZ608">
        <f>IF(OR(AZ$4="",$A608&gt;TODAY()),0,IF(OR(INDEX($B608:$D608,AZ$5)="F",AND(AZ$6&gt;0,$A608&lt;AZ$6),AND(AZ$7&gt;0,$A608&gt;AZ$7)),0,MAX(0,ROUND((INDEX($E608:$G608,AZ$5)-SUMIFS(TF_Timer,TF_Tekniker,AZ$4,TF_Dato,$A608))*2,0)/2)))</f>
        <v/>
      </c>
      <c r="BA608">
        <f>IF(OR(BA$4="",$A608&gt;TODAY()),0,IF(OR(INDEX($B608:$D608,BA$5)="F",AND(BA$6&gt;0,$A608&lt;BA$6),AND(BA$7&gt;0,$A608&gt;BA$7)),0,MAX(0,ROUND((INDEX($E608:$G608,BA$5)-SUMIFS(TF_Timer,TF_Tekniker,BA$4,TF_Dato,$A608))*2,0)/2)))</f>
        <v/>
      </c>
      <c r="BB608">
        <f>IF(OR(BB$4="",$A608&gt;TODAY()),0,IF(OR(INDEX($B608:$D608,BB$5)="F",AND(BB$6&gt;0,$A608&lt;BB$6),AND(BB$7&gt;0,$A608&gt;BB$7)),0,MAX(0,ROUND((INDEX($E608:$G608,BB$5)-SUMIFS(TF_Timer,TF_Tekniker,BB$4,TF_Dato,$A608))*2,0)/2)))</f>
        <v/>
      </c>
      <c r="BC608">
        <f>IF(OR(BC$4="",$A608&gt;TODAY()),0,IF(OR(INDEX($B608:$D608,BC$5)="F",AND(BC$6&gt;0,$A608&lt;BC$6),AND(BC$7&gt;0,$A608&gt;BC$7)),0,MAX(0,ROUND((INDEX($E608:$G608,BC$5)-SUMIFS(TF_Timer,TF_Tekniker,BC$4,TF_Dato,$A608))*2,0)/2)))</f>
        <v/>
      </c>
      <c r="BD608">
        <f>IF(OR(BD$4="",$A608&gt;TODAY()),0,IF(OR(INDEX($B608:$D608,BD$5)="F",AND(BD$6&gt;0,$A608&lt;BD$6),AND(BD$7&gt;0,$A608&gt;BD$7)),0,MAX(0,ROUND((INDEX($E608:$G608,BD$5)-SUMIFS(TF_Timer,TF_Tekniker,BD$4,TF_Dato,$A608))*2,0)/2)))</f>
        <v/>
      </c>
      <c r="BE608">
        <f>IF(OR(BE$4="",$A608&gt;TODAY()),0,IF(OR(INDEX($B608:$D608,BE$5)="F",AND(BE$6&gt;0,$A608&lt;BE$6),AND(BE$7&gt;0,$A608&gt;BE$7)),0,MAX(0,ROUND((INDEX($E608:$G608,BE$5)-SUMIFS(TF_Timer,TF_Tekniker,BE$4,TF_Dato,$A608))*2,0)/2)))</f>
        <v/>
      </c>
      <c r="BF608">
        <f>IF(OR(BF$4="",$A608&gt;TODAY()),0,IF(OR(INDEX($B608:$D608,BF$5)="F",AND(BF$6&gt;0,$A608&lt;BF$6),AND(BF$7&gt;0,$A608&gt;BF$7)),0,MAX(0,ROUND((INDEX($E608:$G608,BF$5)-SUMIFS(TF_Timer,TF_Tekniker,BF$4,TF_Dato,$A608))*2,0)/2)))</f>
        <v/>
      </c>
      <c r="BG608">
        <f>IF(OR(BG$4="",$A608&gt;TODAY()),0,IF(OR(INDEX($B608:$D608,BG$5)="F",AND(BG$6&gt;0,$A608&lt;BG$6),AND(BG$7&gt;0,$A608&gt;BG$7)),0,MAX(0,ROUND((INDEX($E608:$G608,BG$5)-SUMIFS(TF_Timer,TF_Tekniker,BG$4,TF_Dato,$A608))*2,0)/2)))</f>
        <v/>
      </c>
      <c r="BH608">
        <f>IF(OR(BH$4="",$A608&gt;TODAY()),0,IF(OR(INDEX($B608:$D608,BH$5)="F",AND(BH$6&gt;0,$A608&lt;BH$6),AND(BH$7&gt;0,$A608&gt;BH$7)),0,MAX(0,ROUND((INDEX($E608:$G608,BH$5)-SUMIFS(TF_Timer,TF_Tekniker,BH$4,TF_Dato,$A608))*2,0)/2)))</f>
        <v/>
      </c>
      <c r="BI608">
        <f>IF(OR(BI$4="",$A608&gt;TODAY()),0,IF(OR(INDEX($B608:$D608,BI$5)="F",AND(BI$6&gt;0,$A608&lt;BI$6),AND(BI$7&gt;0,$A608&gt;BI$7)),0,MAX(0,ROUND((INDEX($E608:$G608,BI$5)-SUMIFS(TF_Timer,TF_Tekniker,BI$4,TF_Dato,$A608))*2,0)/2)))</f>
        <v/>
      </c>
    </row>
    <row r="609">
      <c r="A609" s="64">
        <f>A608+1</f>
        <v/>
      </c>
      <c r="B609">
        <f>IF(MOD($A609-INDEX(SkiftStart,1),Syklus)&lt;DagK,"K",IF(MOD($A609-INDEX(SkiftStart,1),Syklus)&lt;DagK+DagH,"H",IF(MOD($A609-INDEX(SkiftStart,1),Syklus)&lt;DagK+DagH+DagD,"D","F")))</f>
        <v/>
      </c>
      <c r="C609">
        <f>IF(MOD($A609-INDEX(SkiftStart,2),Syklus)&lt;DagK,"K",IF(MOD($A609-INDEX(SkiftStart,2),Syklus)&lt;DagK+DagH,"H",IF(MOD($A609-INDEX(SkiftStart,2),Syklus)&lt;DagK+DagH+DagD,"D","F")))</f>
        <v/>
      </c>
      <c r="D609">
        <f>IF(MOD($A609-INDEX(SkiftStart,3),Syklus)&lt;DagK,"K",IF(MOD($A609-INDEX(SkiftStart,3),Syklus)&lt;DagK+DagH,"H",IF(MOD($A609-INDEX(SkiftStart,3),Syklus)&lt;DagK+DagH+DagD,"D","F")))</f>
        <v/>
      </c>
      <c r="E609">
        <f>IF(B609="F",0,IF(WEEKDAY($A609,2)=5,INDEX(TimerFr,MATCH(B609,FaseKode,0)),INDEX(TimerMT,MATCH(B609,FaseKode,0))))</f>
        <v/>
      </c>
      <c r="F609">
        <f>IF(C609="F",0,IF(WEEKDAY($A609,2)=5,INDEX(TimerFr,MATCH(C609,FaseKode,0)),INDEX(TimerMT,MATCH(C609,FaseKode,0))))</f>
        <v/>
      </c>
      <c r="G609">
        <f>IF(D609="F",0,IF(WEEKDAY($A609,2)=5,INDEX(TimerFr,MATCH(D609,FaseKode,0)),INDEX(TimerMT,MATCH(D609,FaseKode,0))))</f>
        <v/>
      </c>
      <c r="H609">
        <f>IF(OR(H$4="",$A609&gt;TODAY()),0,IF(OR(INDEX($B609:$D609,H$5)="F",AND(H$6&gt;0,$A609&lt;H$6),AND(H$7&gt;0,$A609&gt;H$7)),0,MAX(0,ROUND((INDEX($E609:$G609,H$5)-SUMIFS(TF_Timer,TF_Tekniker,H$4,TF_Dato,$A609))*2,0)/2)))</f>
        <v/>
      </c>
      <c r="I609">
        <f>IF(OR(I$4="",$A609&gt;TODAY()),0,IF(OR(INDEX($B609:$D609,I$5)="F",AND(I$6&gt;0,$A609&lt;I$6),AND(I$7&gt;0,$A609&gt;I$7)),0,MAX(0,ROUND((INDEX($E609:$G609,I$5)-SUMIFS(TF_Timer,TF_Tekniker,I$4,TF_Dato,$A609))*2,0)/2)))</f>
        <v/>
      </c>
      <c r="J609">
        <f>IF(OR(J$4="",$A609&gt;TODAY()),0,IF(OR(INDEX($B609:$D609,J$5)="F",AND(J$6&gt;0,$A609&lt;J$6),AND(J$7&gt;0,$A609&gt;J$7)),0,MAX(0,ROUND((INDEX($E609:$G609,J$5)-SUMIFS(TF_Timer,TF_Tekniker,J$4,TF_Dato,$A609))*2,0)/2)))</f>
        <v/>
      </c>
      <c r="K609">
        <f>IF(OR(K$4="",$A609&gt;TODAY()),0,IF(OR(INDEX($B609:$D609,K$5)="F",AND(K$6&gt;0,$A609&lt;K$6),AND(K$7&gt;0,$A609&gt;K$7)),0,MAX(0,ROUND((INDEX($E609:$G609,K$5)-SUMIFS(TF_Timer,TF_Tekniker,K$4,TF_Dato,$A609))*2,0)/2)))</f>
        <v/>
      </c>
      <c r="L609">
        <f>IF(OR(L$4="",$A609&gt;TODAY()),0,IF(OR(INDEX($B609:$D609,L$5)="F",AND(L$6&gt;0,$A609&lt;L$6),AND(L$7&gt;0,$A609&gt;L$7)),0,MAX(0,ROUND((INDEX($E609:$G609,L$5)-SUMIFS(TF_Timer,TF_Tekniker,L$4,TF_Dato,$A609))*2,0)/2)))</f>
        <v/>
      </c>
      <c r="M609">
        <f>IF(OR(M$4="",$A609&gt;TODAY()),0,IF(OR(INDEX($B609:$D609,M$5)="F",AND(M$6&gt;0,$A609&lt;M$6),AND(M$7&gt;0,$A609&gt;M$7)),0,MAX(0,ROUND((INDEX($E609:$G609,M$5)-SUMIFS(TF_Timer,TF_Tekniker,M$4,TF_Dato,$A609))*2,0)/2)))</f>
        <v/>
      </c>
      <c r="N609">
        <f>IF(OR(N$4="",$A609&gt;TODAY()),0,IF(OR(INDEX($B609:$D609,N$5)="F",AND(N$6&gt;0,$A609&lt;N$6),AND(N$7&gt;0,$A609&gt;N$7)),0,MAX(0,ROUND((INDEX($E609:$G609,N$5)-SUMIFS(TF_Timer,TF_Tekniker,N$4,TF_Dato,$A609))*2,0)/2)))</f>
        <v/>
      </c>
      <c r="O609">
        <f>IF(OR(O$4="",$A609&gt;TODAY()),0,IF(OR(INDEX($B609:$D609,O$5)="F",AND(O$6&gt;0,$A609&lt;O$6),AND(O$7&gt;0,$A609&gt;O$7)),0,MAX(0,ROUND((INDEX($E609:$G609,O$5)-SUMIFS(TF_Timer,TF_Tekniker,O$4,TF_Dato,$A609))*2,0)/2)))</f>
        <v/>
      </c>
      <c r="P609">
        <f>IF(OR(P$4="",$A609&gt;TODAY()),0,IF(OR(INDEX($B609:$D609,P$5)="F",AND(P$6&gt;0,$A609&lt;P$6),AND(P$7&gt;0,$A609&gt;P$7)),0,MAX(0,ROUND((INDEX($E609:$G609,P$5)-SUMIFS(TF_Timer,TF_Tekniker,P$4,TF_Dato,$A609))*2,0)/2)))</f>
        <v/>
      </c>
      <c r="Q609">
        <f>IF(OR(Q$4="",$A609&gt;TODAY()),0,IF(OR(INDEX($B609:$D609,Q$5)="F",AND(Q$6&gt;0,$A609&lt;Q$6),AND(Q$7&gt;0,$A609&gt;Q$7)),0,MAX(0,ROUND((INDEX($E609:$G609,Q$5)-SUMIFS(TF_Timer,TF_Tekniker,Q$4,TF_Dato,$A609))*2,0)/2)))</f>
        <v/>
      </c>
      <c r="R609">
        <f>IF(OR(R$4="",$A609&gt;TODAY()),0,IF(OR(INDEX($B609:$D609,R$5)="F",AND(R$6&gt;0,$A609&lt;R$6),AND(R$7&gt;0,$A609&gt;R$7)),0,MAX(0,ROUND((INDEX($E609:$G609,R$5)-SUMIFS(TF_Timer,TF_Tekniker,R$4,TF_Dato,$A609))*2,0)/2)))</f>
        <v/>
      </c>
      <c r="S609">
        <f>IF(OR(S$4="",$A609&gt;TODAY()),0,IF(OR(INDEX($B609:$D609,S$5)="F",AND(S$6&gt;0,$A609&lt;S$6),AND(S$7&gt;0,$A609&gt;S$7)),0,MAX(0,ROUND((INDEX($E609:$G609,S$5)-SUMIFS(TF_Timer,TF_Tekniker,S$4,TF_Dato,$A609))*2,0)/2)))</f>
        <v/>
      </c>
      <c r="T609">
        <f>IF(OR(T$4="",$A609&gt;TODAY()),0,IF(OR(INDEX($B609:$D609,T$5)="F",AND(T$6&gt;0,$A609&lt;T$6),AND(T$7&gt;0,$A609&gt;T$7)),0,MAX(0,ROUND((INDEX($E609:$G609,T$5)-SUMIFS(TF_Timer,TF_Tekniker,T$4,TF_Dato,$A609))*2,0)/2)))</f>
        <v/>
      </c>
      <c r="U609">
        <f>IF(OR(U$4="",$A609&gt;TODAY()),0,IF(OR(INDEX($B609:$D609,U$5)="F",AND(U$6&gt;0,$A609&lt;U$6),AND(U$7&gt;0,$A609&gt;U$7)),0,MAX(0,ROUND((INDEX($E609:$G609,U$5)-SUMIFS(TF_Timer,TF_Tekniker,U$4,TF_Dato,$A609))*2,0)/2)))</f>
        <v/>
      </c>
      <c r="V609">
        <f>IF(OR(V$4="",$A609&gt;TODAY()),0,IF(OR(INDEX($B609:$D609,V$5)="F",AND(V$6&gt;0,$A609&lt;V$6),AND(V$7&gt;0,$A609&gt;V$7)),0,MAX(0,ROUND((INDEX($E609:$G609,V$5)-SUMIFS(TF_Timer,TF_Tekniker,V$4,TF_Dato,$A609))*2,0)/2)))</f>
        <v/>
      </c>
      <c r="W609">
        <f>IF(OR(W$4="",$A609&gt;TODAY()),0,IF(OR(INDEX($B609:$D609,W$5)="F",AND(W$6&gt;0,$A609&lt;W$6),AND(W$7&gt;0,$A609&gt;W$7)),0,MAX(0,ROUND((INDEX($E609:$G609,W$5)-SUMIFS(TF_Timer,TF_Tekniker,W$4,TF_Dato,$A609))*2,0)/2)))</f>
        <v/>
      </c>
      <c r="X609">
        <f>IF(OR(X$4="",$A609&gt;TODAY()),0,IF(OR(INDEX($B609:$D609,X$5)="F",AND(X$6&gt;0,$A609&lt;X$6),AND(X$7&gt;0,$A609&gt;X$7)),0,MAX(0,ROUND((INDEX($E609:$G609,X$5)-SUMIFS(TF_Timer,TF_Tekniker,X$4,TF_Dato,$A609))*2,0)/2)))</f>
        <v/>
      </c>
      <c r="Y609">
        <f>IF(OR(Y$4="",$A609&gt;TODAY()),0,IF(OR(INDEX($B609:$D609,Y$5)="F",AND(Y$6&gt;0,$A609&lt;Y$6),AND(Y$7&gt;0,$A609&gt;Y$7)),0,MAX(0,ROUND((INDEX($E609:$G609,Y$5)-SUMIFS(TF_Timer,TF_Tekniker,Y$4,TF_Dato,$A609))*2,0)/2)))</f>
        <v/>
      </c>
      <c r="Z609">
        <f>IF(OR(Z$4="",$A609&gt;TODAY()),0,IF(OR(INDEX($B609:$D609,Z$5)="F",AND(Z$6&gt;0,$A609&lt;Z$6),AND(Z$7&gt;0,$A609&gt;Z$7)),0,MAX(0,ROUND((INDEX($E609:$G609,Z$5)-SUMIFS(TF_Timer,TF_Tekniker,Z$4,TF_Dato,$A609))*2,0)/2)))</f>
        <v/>
      </c>
      <c r="AA609">
        <f>IF(OR(AA$4="",$A609&gt;TODAY()),0,IF(OR(INDEX($B609:$D609,AA$5)="F",AND(AA$6&gt;0,$A609&lt;AA$6),AND(AA$7&gt;0,$A609&gt;AA$7)),0,MAX(0,ROUND((INDEX($E609:$G609,AA$5)-SUMIFS(TF_Timer,TF_Tekniker,AA$4,TF_Dato,$A609))*2,0)/2)))</f>
        <v/>
      </c>
      <c r="AB609">
        <f>IF(OR(AB$4="",$A609&gt;TODAY()),0,IF(OR(INDEX($B609:$D609,AB$5)="F",AND(AB$6&gt;0,$A609&lt;AB$6),AND(AB$7&gt;0,$A609&gt;AB$7)),0,MAX(0,ROUND((INDEX($E609:$G609,AB$5)-SUMIFS(TF_Timer,TF_Tekniker,AB$4,TF_Dato,$A609))*2,0)/2)))</f>
        <v/>
      </c>
      <c r="AC609">
        <f>IF(OR(AC$4="",$A609&gt;TODAY()),0,IF(OR(INDEX($B609:$D609,AC$5)="F",AND(AC$6&gt;0,$A609&lt;AC$6),AND(AC$7&gt;0,$A609&gt;AC$7)),0,MAX(0,ROUND((INDEX($E609:$G609,AC$5)-SUMIFS(TF_Timer,TF_Tekniker,AC$4,TF_Dato,$A609))*2,0)/2)))</f>
        <v/>
      </c>
      <c r="AD609">
        <f>IF(OR(AD$4="",$A609&gt;TODAY()),0,IF(OR(INDEX($B609:$D609,AD$5)="F",AND(AD$6&gt;0,$A609&lt;AD$6),AND(AD$7&gt;0,$A609&gt;AD$7)),0,MAX(0,ROUND((INDEX($E609:$G609,AD$5)-SUMIFS(TF_Timer,TF_Tekniker,AD$4,TF_Dato,$A609))*2,0)/2)))</f>
        <v/>
      </c>
      <c r="AE609">
        <f>IF(OR(AE$4="",$A609&gt;TODAY()),0,IF(OR(INDEX($B609:$D609,AE$5)="F",AND(AE$6&gt;0,$A609&lt;AE$6),AND(AE$7&gt;0,$A609&gt;AE$7)),0,MAX(0,ROUND((INDEX($E609:$G609,AE$5)-SUMIFS(TF_Timer,TF_Tekniker,AE$4,TF_Dato,$A609))*2,0)/2)))</f>
        <v/>
      </c>
      <c r="AF609">
        <f>IF(OR(AF$4="",$A609&gt;TODAY()),0,IF(OR(INDEX($B609:$D609,AF$5)="F",AND(AF$6&gt;0,$A609&lt;AF$6),AND(AF$7&gt;0,$A609&gt;AF$7)),0,MAX(0,ROUND((INDEX($E609:$G609,AF$5)-SUMIFS(TF_Timer,TF_Tekniker,AF$4,TF_Dato,$A609))*2,0)/2)))</f>
        <v/>
      </c>
      <c r="AG609">
        <f>IF(OR(AG$4="",$A609&gt;TODAY()),0,IF(OR(INDEX($B609:$D609,AG$5)="F",AND(AG$6&gt;0,$A609&lt;AG$6),AND(AG$7&gt;0,$A609&gt;AG$7)),0,MAX(0,ROUND((INDEX($E609:$G609,AG$5)-SUMIFS(TF_Timer,TF_Tekniker,AG$4,TF_Dato,$A609))*2,0)/2)))</f>
        <v/>
      </c>
      <c r="AH609">
        <f>IF(OR(AH$4="",$A609&gt;TODAY()),0,IF(OR(INDEX($B609:$D609,AH$5)="F",AND(AH$6&gt;0,$A609&lt;AH$6),AND(AH$7&gt;0,$A609&gt;AH$7)),0,MAX(0,ROUND((INDEX($E609:$G609,AH$5)-SUMIFS(TF_Timer,TF_Tekniker,AH$4,TF_Dato,$A609))*2,0)/2)))</f>
        <v/>
      </c>
      <c r="AI609">
        <f>IF(OR(AI$4="",$A609&gt;TODAY()),0,IF(OR(INDEX($B609:$D609,AI$5)="F",AND(AI$6&gt;0,$A609&lt;AI$6),AND(AI$7&gt;0,$A609&gt;AI$7)),0,MAX(0,ROUND((INDEX($E609:$G609,AI$5)-SUMIFS(TF_Timer,TF_Tekniker,AI$4,TF_Dato,$A609))*2,0)/2)))</f>
        <v/>
      </c>
      <c r="AJ609">
        <f>IF(OR(AJ$4="",$A609&gt;TODAY()),0,IF(OR(INDEX($B609:$D609,AJ$5)="F",AND(AJ$6&gt;0,$A609&lt;AJ$6),AND(AJ$7&gt;0,$A609&gt;AJ$7)),0,MAX(0,ROUND((INDEX($E609:$G609,AJ$5)-SUMIFS(TF_Timer,TF_Tekniker,AJ$4,TF_Dato,$A609))*2,0)/2)))</f>
        <v/>
      </c>
      <c r="AK609">
        <f>IF(OR(AK$4="",$A609&gt;TODAY()),0,IF(OR(INDEX($B609:$D609,AK$5)="F",AND(AK$6&gt;0,$A609&lt;AK$6),AND(AK$7&gt;0,$A609&gt;AK$7)),0,MAX(0,ROUND((INDEX($E609:$G609,AK$5)-SUMIFS(TF_Timer,TF_Tekniker,AK$4,TF_Dato,$A609))*2,0)/2)))</f>
        <v/>
      </c>
      <c r="AL609">
        <f>IF(OR(AL$4="",$A609&gt;TODAY()),0,IF(OR(INDEX($B609:$D609,AL$5)="F",AND(AL$6&gt;0,$A609&lt;AL$6),AND(AL$7&gt;0,$A609&gt;AL$7)),0,MAX(0,ROUND((INDEX($E609:$G609,AL$5)-SUMIFS(TF_Timer,TF_Tekniker,AL$4,TF_Dato,$A609))*2,0)/2)))</f>
        <v/>
      </c>
      <c r="AM609">
        <f>IF(OR(AM$4="",$A609&gt;TODAY()),0,IF(OR(INDEX($B609:$D609,AM$5)="F",AND(AM$6&gt;0,$A609&lt;AM$6),AND(AM$7&gt;0,$A609&gt;AM$7)),0,MAX(0,ROUND((INDEX($E609:$G609,AM$5)-SUMIFS(TF_Timer,TF_Tekniker,AM$4,TF_Dato,$A609))*2,0)/2)))</f>
        <v/>
      </c>
      <c r="AN609">
        <f>IF(OR(AN$4="",$A609&gt;TODAY()),0,IF(OR(INDEX($B609:$D609,AN$5)="F",AND(AN$6&gt;0,$A609&lt;AN$6),AND(AN$7&gt;0,$A609&gt;AN$7)),0,MAX(0,ROUND((INDEX($E609:$G609,AN$5)-SUMIFS(TF_Timer,TF_Tekniker,AN$4,TF_Dato,$A609))*2,0)/2)))</f>
        <v/>
      </c>
      <c r="AO609">
        <f>IF(OR(AO$4="",$A609&gt;TODAY()),0,IF(OR(INDEX($B609:$D609,AO$5)="F",AND(AO$6&gt;0,$A609&lt;AO$6),AND(AO$7&gt;0,$A609&gt;AO$7)),0,MAX(0,ROUND((INDEX($E609:$G609,AO$5)-SUMIFS(TF_Timer,TF_Tekniker,AO$4,TF_Dato,$A609))*2,0)/2)))</f>
        <v/>
      </c>
      <c r="AP609">
        <f>IF(OR(AP$4="",$A609&gt;TODAY()),0,IF(OR(INDEX($B609:$D609,AP$5)="F",AND(AP$6&gt;0,$A609&lt;AP$6),AND(AP$7&gt;0,$A609&gt;AP$7)),0,MAX(0,ROUND((INDEX($E609:$G609,AP$5)-SUMIFS(TF_Timer,TF_Tekniker,AP$4,TF_Dato,$A609))*2,0)/2)))</f>
        <v/>
      </c>
      <c r="AQ609">
        <f>IF(OR(AQ$4="",$A609&gt;TODAY()),0,IF(OR(INDEX($B609:$D609,AQ$5)="F",AND(AQ$6&gt;0,$A609&lt;AQ$6),AND(AQ$7&gt;0,$A609&gt;AQ$7)),0,MAX(0,ROUND((INDEX($E609:$G609,AQ$5)-SUMIFS(TF_Timer,TF_Tekniker,AQ$4,TF_Dato,$A609))*2,0)/2)))</f>
        <v/>
      </c>
      <c r="AR609">
        <f>IF(OR(AR$4="",$A609&gt;TODAY()),0,IF(OR(INDEX($B609:$D609,AR$5)="F",AND(AR$6&gt;0,$A609&lt;AR$6),AND(AR$7&gt;0,$A609&gt;AR$7)),0,MAX(0,ROUND((INDEX($E609:$G609,AR$5)-SUMIFS(TF_Timer,TF_Tekniker,AR$4,TF_Dato,$A609))*2,0)/2)))</f>
        <v/>
      </c>
      <c r="AS609">
        <f>IF(OR(AS$4="",$A609&gt;TODAY()),0,IF(OR(INDEX($B609:$D609,AS$5)="F",AND(AS$6&gt;0,$A609&lt;AS$6),AND(AS$7&gt;0,$A609&gt;AS$7)),0,MAX(0,ROUND((INDEX($E609:$G609,AS$5)-SUMIFS(TF_Timer,TF_Tekniker,AS$4,TF_Dato,$A609))*2,0)/2)))</f>
        <v/>
      </c>
      <c r="AT609">
        <f>IF(OR(AT$4="",$A609&gt;TODAY()),0,IF(OR(INDEX($B609:$D609,AT$5)="F",AND(AT$6&gt;0,$A609&lt;AT$6),AND(AT$7&gt;0,$A609&gt;AT$7)),0,MAX(0,ROUND((INDEX($E609:$G609,AT$5)-SUMIFS(TF_Timer,TF_Tekniker,AT$4,TF_Dato,$A609))*2,0)/2)))</f>
        <v/>
      </c>
      <c r="AU609">
        <f>IF(OR(AU$4="",$A609&gt;TODAY()),0,IF(OR(INDEX($B609:$D609,AU$5)="F",AND(AU$6&gt;0,$A609&lt;AU$6),AND(AU$7&gt;0,$A609&gt;AU$7)),0,MAX(0,ROUND((INDEX($E609:$G609,AU$5)-SUMIFS(TF_Timer,TF_Tekniker,AU$4,TF_Dato,$A609))*2,0)/2)))</f>
        <v/>
      </c>
      <c r="AV609">
        <f>IF(OR(AV$4="",$A609&gt;TODAY()),0,IF(OR(INDEX($B609:$D609,AV$5)="F",AND(AV$6&gt;0,$A609&lt;AV$6),AND(AV$7&gt;0,$A609&gt;AV$7)),0,MAX(0,ROUND((INDEX($E609:$G609,AV$5)-SUMIFS(TF_Timer,TF_Tekniker,AV$4,TF_Dato,$A609))*2,0)/2)))</f>
        <v/>
      </c>
      <c r="AW609">
        <f>IF(OR(AW$4="",$A609&gt;TODAY()),0,IF(OR(INDEX($B609:$D609,AW$5)="F",AND(AW$6&gt;0,$A609&lt;AW$6),AND(AW$7&gt;0,$A609&gt;AW$7)),0,MAX(0,ROUND((INDEX($E609:$G609,AW$5)-SUMIFS(TF_Timer,TF_Tekniker,AW$4,TF_Dato,$A609))*2,0)/2)))</f>
        <v/>
      </c>
      <c r="AX609">
        <f>IF(OR(AX$4="",$A609&gt;TODAY()),0,IF(OR(INDEX($B609:$D609,AX$5)="F",AND(AX$6&gt;0,$A609&lt;AX$6),AND(AX$7&gt;0,$A609&gt;AX$7)),0,MAX(0,ROUND((INDEX($E609:$G609,AX$5)-SUMIFS(TF_Timer,TF_Tekniker,AX$4,TF_Dato,$A609))*2,0)/2)))</f>
        <v/>
      </c>
      <c r="AY609">
        <f>IF(OR(AY$4="",$A609&gt;TODAY()),0,IF(OR(INDEX($B609:$D609,AY$5)="F",AND(AY$6&gt;0,$A609&lt;AY$6),AND(AY$7&gt;0,$A609&gt;AY$7)),0,MAX(0,ROUND((INDEX($E609:$G609,AY$5)-SUMIFS(TF_Timer,TF_Tekniker,AY$4,TF_Dato,$A609))*2,0)/2)))</f>
        <v/>
      </c>
      <c r="AZ609">
        <f>IF(OR(AZ$4="",$A609&gt;TODAY()),0,IF(OR(INDEX($B609:$D609,AZ$5)="F",AND(AZ$6&gt;0,$A609&lt;AZ$6),AND(AZ$7&gt;0,$A609&gt;AZ$7)),0,MAX(0,ROUND((INDEX($E609:$G609,AZ$5)-SUMIFS(TF_Timer,TF_Tekniker,AZ$4,TF_Dato,$A609))*2,0)/2)))</f>
        <v/>
      </c>
      <c r="BA609">
        <f>IF(OR(BA$4="",$A609&gt;TODAY()),0,IF(OR(INDEX($B609:$D609,BA$5)="F",AND(BA$6&gt;0,$A609&lt;BA$6),AND(BA$7&gt;0,$A609&gt;BA$7)),0,MAX(0,ROUND((INDEX($E609:$G609,BA$5)-SUMIFS(TF_Timer,TF_Tekniker,BA$4,TF_Dato,$A609))*2,0)/2)))</f>
        <v/>
      </c>
      <c r="BB609">
        <f>IF(OR(BB$4="",$A609&gt;TODAY()),0,IF(OR(INDEX($B609:$D609,BB$5)="F",AND(BB$6&gt;0,$A609&lt;BB$6),AND(BB$7&gt;0,$A609&gt;BB$7)),0,MAX(0,ROUND((INDEX($E609:$G609,BB$5)-SUMIFS(TF_Timer,TF_Tekniker,BB$4,TF_Dato,$A609))*2,0)/2)))</f>
        <v/>
      </c>
      <c r="BC609">
        <f>IF(OR(BC$4="",$A609&gt;TODAY()),0,IF(OR(INDEX($B609:$D609,BC$5)="F",AND(BC$6&gt;0,$A609&lt;BC$6),AND(BC$7&gt;0,$A609&gt;BC$7)),0,MAX(0,ROUND((INDEX($E609:$G609,BC$5)-SUMIFS(TF_Timer,TF_Tekniker,BC$4,TF_Dato,$A609))*2,0)/2)))</f>
        <v/>
      </c>
      <c r="BD609">
        <f>IF(OR(BD$4="",$A609&gt;TODAY()),0,IF(OR(INDEX($B609:$D609,BD$5)="F",AND(BD$6&gt;0,$A609&lt;BD$6),AND(BD$7&gt;0,$A609&gt;BD$7)),0,MAX(0,ROUND((INDEX($E609:$G609,BD$5)-SUMIFS(TF_Timer,TF_Tekniker,BD$4,TF_Dato,$A609))*2,0)/2)))</f>
        <v/>
      </c>
      <c r="BE609">
        <f>IF(OR(BE$4="",$A609&gt;TODAY()),0,IF(OR(INDEX($B609:$D609,BE$5)="F",AND(BE$6&gt;0,$A609&lt;BE$6),AND(BE$7&gt;0,$A609&gt;BE$7)),0,MAX(0,ROUND((INDEX($E609:$G609,BE$5)-SUMIFS(TF_Timer,TF_Tekniker,BE$4,TF_Dato,$A609))*2,0)/2)))</f>
        <v/>
      </c>
      <c r="BF609">
        <f>IF(OR(BF$4="",$A609&gt;TODAY()),0,IF(OR(INDEX($B609:$D609,BF$5)="F",AND(BF$6&gt;0,$A609&lt;BF$6),AND(BF$7&gt;0,$A609&gt;BF$7)),0,MAX(0,ROUND((INDEX($E609:$G609,BF$5)-SUMIFS(TF_Timer,TF_Tekniker,BF$4,TF_Dato,$A609))*2,0)/2)))</f>
        <v/>
      </c>
      <c r="BG609">
        <f>IF(OR(BG$4="",$A609&gt;TODAY()),0,IF(OR(INDEX($B609:$D609,BG$5)="F",AND(BG$6&gt;0,$A609&lt;BG$6),AND(BG$7&gt;0,$A609&gt;BG$7)),0,MAX(0,ROUND((INDEX($E609:$G609,BG$5)-SUMIFS(TF_Timer,TF_Tekniker,BG$4,TF_Dato,$A609))*2,0)/2)))</f>
        <v/>
      </c>
      <c r="BH609">
        <f>IF(OR(BH$4="",$A609&gt;TODAY()),0,IF(OR(INDEX($B609:$D609,BH$5)="F",AND(BH$6&gt;0,$A609&lt;BH$6),AND(BH$7&gt;0,$A609&gt;BH$7)),0,MAX(0,ROUND((INDEX($E609:$G609,BH$5)-SUMIFS(TF_Timer,TF_Tekniker,BH$4,TF_Dato,$A609))*2,0)/2)))</f>
        <v/>
      </c>
      <c r="BI609">
        <f>IF(OR(BI$4="",$A609&gt;TODAY()),0,IF(OR(INDEX($B609:$D609,BI$5)="F",AND(BI$6&gt;0,$A609&lt;BI$6),AND(BI$7&gt;0,$A609&gt;BI$7)),0,MAX(0,ROUND((INDEX($E609:$G609,BI$5)-SUMIFS(TF_Timer,TF_Tekniker,BI$4,TF_Dato,$A609))*2,0)/2)))</f>
        <v/>
      </c>
    </row>
    <row r="610">
      <c r="A610" s="64">
        <f>A609+1</f>
        <v/>
      </c>
      <c r="B610">
        <f>IF(MOD($A610-INDEX(SkiftStart,1),Syklus)&lt;DagK,"K",IF(MOD($A610-INDEX(SkiftStart,1),Syklus)&lt;DagK+DagH,"H",IF(MOD($A610-INDEX(SkiftStart,1),Syklus)&lt;DagK+DagH+DagD,"D","F")))</f>
        <v/>
      </c>
      <c r="C610">
        <f>IF(MOD($A610-INDEX(SkiftStart,2),Syklus)&lt;DagK,"K",IF(MOD($A610-INDEX(SkiftStart,2),Syklus)&lt;DagK+DagH,"H",IF(MOD($A610-INDEX(SkiftStart,2),Syklus)&lt;DagK+DagH+DagD,"D","F")))</f>
        <v/>
      </c>
      <c r="D610">
        <f>IF(MOD($A610-INDEX(SkiftStart,3),Syklus)&lt;DagK,"K",IF(MOD($A610-INDEX(SkiftStart,3),Syklus)&lt;DagK+DagH,"H",IF(MOD($A610-INDEX(SkiftStart,3),Syklus)&lt;DagK+DagH+DagD,"D","F")))</f>
        <v/>
      </c>
      <c r="E610">
        <f>IF(B610="F",0,IF(WEEKDAY($A610,2)=5,INDEX(TimerFr,MATCH(B610,FaseKode,0)),INDEX(TimerMT,MATCH(B610,FaseKode,0))))</f>
        <v/>
      </c>
      <c r="F610">
        <f>IF(C610="F",0,IF(WEEKDAY($A610,2)=5,INDEX(TimerFr,MATCH(C610,FaseKode,0)),INDEX(TimerMT,MATCH(C610,FaseKode,0))))</f>
        <v/>
      </c>
      <c r="G610">
        <f>IF(D610="F",0,IF(WEEKDAY($A610,2)=5,INDEX(TimerFr,MATCH(D610,FaseKode,0)),INDEX(TimerMT,MATCH(D610,FaseKode,0))))</f>
        <v/>
      </c>
      <c r="H610">
        <f>IF(OR(H$4="",$A610&gt;TODAY()),0,IF(OR(INDEX($B610:$D610,H$5)="F",AND(H$6&gt;0,$A610&lt;H$6),AND(H$7&gt;0,$A610&gt;H$7)),0,MAX(0,ROUND((INDEX($E610:$G610,H$5)-SUMIFS(TF_Timer,TF_Tekniker,H$4,TF_Dato,$A610))*2,0)/2)))</f>
        <v/>
      </c>
      <c r="I610">
        <f>IF(OR(I$4="",$A610&gt;TODAY()),0,IF(OR(INDEX($B610:$D610,I$5)="F",AND(I$6&gt;0,$A610&lt;I$6),AND(I$7&gt;0,$A610&gt;I$7)),0,MAX(0,ROUND((INDEX($E610:$G610,I$5)-SUMIFS(TF_Timer,TF_Tekniker,I$4,TF_Dato,$A610))*2,0)/2)))</f>
        <v/>
      </c>
      <c r="J610">
        <f>IF(OR(J$4="",$A610&gt;TODAY()),0,IF(OR(INDEX($B610:$D610,J$5)="F",AND(J$6&gt;0,$A610&lt;J$6),AND(J$7&gt;0,$A610&gt;J$7)),0,MAX(0,ROUND((INDEX($E610:$G610,J$5)-SUMIFS(TF_Timer,TF_Tekniker,J$4,TF_Dato,$A610))*2,0)/2)))</f>
        <v/>
      </c>
      <c r="K610">
        <f>IF(OR(K$4="",$A610&gt;TODAY()),0,IF(OR(INDEX($B610:$D610,K$5)="F",AND(K$6&gt;0,$A610&lt;K$6),AND(K$7&gt;0,$A610&gt;K$7)),0,MAX(0,ROUND((INDEX($E610:$G610,K$5)-SUMIFS(TF_Timer,TF_Tekniker,K$4,TF_Dato,$A610))*2,0)/2)))</f>
        <v/>
      </c>
      <c r="L610">
        <f>IF(OR(L$4="",$A610&gt;TODAY()),0,IF(OR(INDEX($B610:$D610,L$5)="F",AND(L$6&gt;0,$A610&lt;L$6),AND(L$7&gt;0,$A610&gt;L$7)),0,MAX(0,ROUND((INDEX($E610:$G610,L$5)-SUMIFS(TF_Timer,TF_Tekniker,L$4,TF_Dato,$A610))*2,0)/2)))</f>
        <v/>
      </c>
      <c r="M610">
        <f>IF(OR(M$4="",$A610&gt;TODAY()),0,IF(OR(INDEX($B610:$D610,M$5)="F",AND(M$6&gt;0,$A610&lt;M$6),AND(M$7&gt;0,$A610&gt;M$7)),0,MAX(0,ROUND((INDEX($E610:$G610,M$5)-SUMIFS(TF_Timer,TF_Tekniker,M$4,TF_Dato,$A610))*2,0)/2)))</f>
        <v/>
      </c>
      <c r="N610">
        <f>IF(OR(N$4="",$A610&gt;TODAY()),0,IF(OR(INDEX($B610:$D610,N$5)="F",AND(N$6&gt;0,$A610&lt;N$6),AND(N$7&gt;0,$A610&gt;N$7)),0,MAX(0,ROUND((INDEX($E610:$G610,N$5)-SUMIFS(TF_Timer,TF_Tekniker,N$4,TF_Dato,$A610))*2,0)/2)))</f>
        <v/>
      </c>
      <c r="O610">
        <f>IF(OR(O$4="",$A610&gt;TODAY()),0,IF(OR(INDEX($B610:$D610,O$5)="F",AND(O$6&gt;0,$A610&lt;O$6),AND(O$7&gt;0,$A610&gt;O$7)),0,MAX(0,ROUND((INDEX($E610:$G610,O$5)-SUMIFS(TF_Timer,TF_Tekniker,O$4,TF_Dato,$A610))*2,0)/2)))</f>
        <v/>
      </c>
      <c r="P610">
        <f>IF(OR(P$4="",$A610&gt;TODAY()),0,IF(OR(INDEX($B610:$D610,P$5)="F",AND(P$6&gt;0,$A610&lt;P$6),AND(P$7&gt;0,$A610&gt;P$7)),0,MAX(0,ROUND((INDEX($E610:$G610,P$5)-SUMIFS(TF_Timer,TF_Tekniker,P$4,TF_Dato,$A610))*2,0)/2)))</f>
        <v/>
      </c>
      <c r="Q610">
        <f>IF(OR(Q$4="",$A610&gt;TODAY()),0,IF(OR(INDEX($B610:$D610,Q$5)="F",AND(Q$6&gt;0,$A610&lt;Q$6),AND(Q$7&gt;0,$A610&gt;Q$7)),0,MAX(0,ROUND((INDEX($E610:$G610,Q$5)-SUMIFS(TF_Timer,TF_Tekniker,Q$4,TF_Dato,$A610))*2,0)/2)))</f>
        <v/>
      </c>
      <c r="R610">
        <f>IF(OR(R$4="",$A610&gt;TODAY()),0,IF(OR(INDEX($B610:$D610,R$5)="F",AND(R$6&gt;0,$A610&lt;R$6),AND(R$7&gt;0,$A610&gt;R$7)),0,MAX(0,ROUND((INDEX($E610:$G610,R$5)-SUMIFS(TF_Timer,TF_Tekniker,R$4,TF_Dato,$A610))*2,0)/2)))</f>
        <v/>
      </c>
      <c r="S610">
        <f>IF(OR(S$4="",$A610&gt;TODAY()),0,IF(OR(INDEX($B610:$D610,S$5)="F",AND(S$6&gt;0,$A610&lt;S$6),AND(S$7&gt;0,$A610&gt;S$7)),0,MAX(0,ROUND((INDEX($E610:$G610,S$5)-SUMIFS(TF_Timer,TF_Tekniker,S$4,TF_Dato,$A610))*2,0)/2)))</f>
        <v/>
      </c>
      <c r="T610">
        <f>IF(OR(T$4="",$A610&gt;TODAY()),0,IF(OR(INDEX($B610:$D610,T$5)="F",AND(T$6&gt;0,$A610&lt;T$6),AND(T$7&gt;0,$A610&gt;T$7)),0,MAX(0,ROUND((INDEX($E610:$G610,T$5)-SUMIFS(TF_Timer,TF_Tekniker,T$4,TF_Dato,$A610))*2,0)/2)))</f>
        <v/>
      </c>
      <c r="U610">
        <f>IF(OR(U$4="",$A610&gt;TODAY()),0,IF(OR(INDEX($B610:$D610,U$5)="F",AND(U$6&gt;0,$A610&lt;U$6),AND(U$7&gt;0,$A610&gt;U$7)),0,MAX(0,ROUND((INDEX($E610:$G610,U$5)-SUMIFS(TF_Timer,TF_Tekniker,U$4,TF_Dato,$A610))*2,0)/2)))</f>
        <v/>
      </c>
      <c r="V610">
        <f>IF(OR(V$4="",$A610&gt;TODAY()),0,IF(OR(INDEX($B610:$D610,V$5)="F",AND(V$6&gt;0,$A610&lt;V$6),AND(V$7&gt;0,$A610&gt;V$7)),0,MAX(0,ROUND((INDEX($E610:$G610,V$5)-SUMIFS(TF_Timer,TF_Tekniker,V$4,TF_Dato,$A610))*2,0)/2)))</f>
        <v/>
      </c>
      <c r="W610">
        <f>IF(OR(W$4="",$A610&gt;TODAY()),0,IF(OR(INDEX($B610:$D610,W$5)="F",AND(W$6&gt;0,$A610&lt;W$6),AND(W$7&gt;0,$A610&gt;W$7)),0,MAX(0,ROUND((INDEX($E610:$G610,W$5)-SUMIFS(TF_Timer,TF_Tekniker,W$4,TF_Dato,$A610))*2,0)/2)))</f>
        <v/>
      </c>
      <c r="X610">
        <f>IF(OR(X$4="",$A610&gt;TODAY()),0,IF(OR(INDEX($B610:$D610,X$5)="F",AND(X$6&gt;0,$A610&lt;X$6),AND(X$7&gt;0,$A610&gt;X$7)),0,MAX(0,ROUND((INDEX($E610:$G610,X$5)-SUMIFS(TF_Timer,TF_Tekniker,X$4,TF_Dato,$A610))*2,0)/2)))</f>
        <v/>
      </c>
      <c r="Y610">
        <f>IF(OR(Y$4="",$A610&gt;TODAY()),0,IF(OR(INDEX($B610:$D610,Y$5)="F",AND(Y$6&gt;0,$A610&lt;Y$6),AND(Y$7&gt;0,$A610&gt;Y$7)),0,MAX(0,ROUND((INDEX($E610:$G610,Y$5)-SUMIFS(TF_Timer,TF_Tekniker,Y$4,TF_Dato,$A610))*2,0)/2)))</f>
        <v/>
      </c>
      <c r="Z610">
        <f>IF(OR(Z$4="",$A610&gt;TODAY()),0,IF(OR(INDEX($B610:$D610,Z$5)="F",AND(Z$6&gt;0,$A610&lt;Z$6),AND(Z$7&gt;0,$A610&gt;Z$7)),0,MAX(0,ROUND((INDEX($E610:$G610,Z$5)-SUMIFS(TF_Timer,TF_Tekniker,Z$4,TF_Dato,$A610))*2,0)/2)))</f>
        <v/>
      </c>
      <c r="AA610">
        <f>IF(OR(AA$4="",$A610&gt;TODAY()),0,IF(OR(INDEX($B610:$D610,AA$5)="F",AND(AA$6&gt;0,$A610&lt;AA$6),AND(AA$7&gt;0,$A610&gt;AA$7)),0,MAX(0,ROUND((INDEX($E610:$G610,AA$5)-SUMIFS(TF_Timer,TF_Tekniker,AA$4,TF_Dato,$A610))*2,0)/2)))</f>
        <v/>
      </c>
      <c r="AB610">
        <f>IF(OR(AB$4="",$A610&gt;TODAY()),0,IF(OR(INDEX($B610:$D610,AB$5)="F",AND(AB$6&gt;0,$A610&lt;AB$6),AND(AB$7&gt;0,$A610&gt;AB$7)),0,MAX(0,ROUND((INDEX($E610:$G610,AB$5)-SUMIFS(TF_Timer,TF_Tekniker,AB$4,TF_Dato,$A610))*2,0)/2)))</f>
        <v/>
      </c>
      <c r="AC610">
        <f>IF(OR(AC$4="",$A610&gt;TODAY()),0,IF(OR(INDEX($B610:$D610,AC$5)="F",AND(AC$6&gt;0,$A610&lt;AC$6),AND(AC$7&gt;0,$A610&gt;AC$7)),0,MAX(0,ROUND((INDEX($E610:$G610,AC$5)-SUMIFS(TF_Timer,TF_Tekniker,AC$4,TF_Dato,$A610))*2,0)/2)))</f>
        <v/>
      </c>
      <c r="AD610">
        <f>IF(OR(AD$4="",$A610&gt;TODAY()),0,IF(OR(INDEX($B610:$D610,AD$5)="F",AND(AD$6&gt;0,$A610&lt;AD$6),AND(AD$7&gt;0,$A610&gt;AD$7)),0,MAX(0,ROUND((INDEX($E610:$G610,AD$5)-SUMIFS(TF_Timer,TF_Tekniker,AD$4,TF_Dato,$A610))*2,0)/2)))</f>
        <v/>
      </c>
      <c r="AE610">
        <f>IF(OR(AE$4="",$A610&gt;TODAY()),0,IF(OR(INDEX($B610:$D610,AE$5)="F",AND(AE$6&gt;0,$A610&lt;AE$6),AND(AE$7&gt;0,$A610&gt;AE$7)),0,MAX(0,ROUND((INDEX($E610:$G610,AE$5)-SUMIFS(TF_Timer,TF_Tekniker,AE$4,TF_Dato,$A610))*2,0)/2)))</f>
        <v/>
      </c>
      <c r="AF610">
        <f>IF(OR(AF$4="",$A610&gt;TODAY()),0,IF(OR(INDEX($B610:$D610,AF$5)="F",AND(AF$6&gt;0,$A610&lt;AF$6),AND(AF$7&gt;0,$A610&gt;AF$7)),0,MAX(0,ROUND((INDEX($E610:$G610,AF$5)-SUMIFS(TF_Timer,TF_Tekniker,AF$4,TF_Dato,$A610))*2,0)/2)))</f>
        <v/>
      </c>
      <c r="AG610">
        <f>IF(OR(AG$4="",$A610&gt;TODAY()),0,IF(OR(INDEX($B610:$D610,AG$5)="F",AND(AG$6&gt;0,$A610&lt;AG$6),AND(AG$7&gt;0,$A610&gt;AG$7)),0,MAX(0,ROUND((INDEX($E610:$G610,AG$5)-SUMIFS(TF_Timer,TF_Tekniker,AG$4,TF_Dato,$A610))*2,0)/2)))</f>
        <v/>
      </c>
      <c r="AH610">
        <f>IF(OR(AH$4="",$A610&gt;TODAY()),0,IF(OR(INDEX($B610:$D610,AH$5)="F",AND(AH$6&gt;0,$A610&lt;AH$6),AND(AH$7&gt;0,$A610&gt;AH$7)),0,MAX(0,ROUND((INDEX($E610:$G610,AH$5)-SUMIFS(TF_Timer,TF_Tekniker,AH$4,TF_Dato,$A610))*2,0)/2)))</f>
        <v/>
      </c>
      <c r="AI610">
        <f>IF(OR(AI$4="",$A610&gt;TODAY()),0,IF(OR(INDEX($B610:$D610,AI$5)="F",AND(AI$6&gt;0,$A610&lt;AI$6),AND(AI$7&gt;0,$A610&gt;AI$7)),0,MAX(0,ROUND((INDEX($E610:$G610,AI$5)-SUMIFS(TF_Timer,TF_Tekniker,AI$4,TF_Dato,$A610))*2,0)/2)))</f>
        <v/>
      </c>
      <c r="AJ610">
        <f>IF(OR(AJ$4="",$A610&gt;TODAY()),0,IF(OR(INDEX($B610:$D610,AJ$5)="F",AND(AJ$6&gt;0,$A610&lt;AJ$6),AND(AJ$7&gt;0,$A610&gt;AJ$7)),0,MAX(0,ROUND((INDEX($E610:$G610,AJ$5)-SUMIFS(TF_Timer,TF_Tekniker,AJ$4,TF_Dato,$A610))*2,0)/2)))</f>
        <v/>
      </c>
      <c r="AK610">
        <f>IF(OR(AK$4="",$A610&gt;TODAY()),0,IF(OR(INDEX($B610:$D610,AK$5)="F",AND(AK$6&gt;0,$A610&lt;AK$6),AND(AK$7&gt;0,$A610&gt;AK$7)),0,MAX(0,ROUND((INDEX($E610:$G610,AK$5)-SUMIFS(TF_Timer,TF_Tekniker,AK$4,TF_Dato,$A610))*2,0)/2)))</f>
        <v/>
      </c>
      <c r="AL610">
        <f>IF(OR(AL$4="",$A610&gt;TODAY()),0,IF(OR(INDEX($B610:$D610,AL$5)="F",AND(AL$6&gt;0,$A610&lt;AL$6),AND(AL$7&gt;0,$A610&gt;AL$7)),0,MAX(0,ROUND((INDEX($E610:$G610,AL$5)-SUMIFS(TF_Timer,TF_Tekniker,AL$4,TF_Dato,$A610))*2,0)/2)))</f>
        <v/>
      </c>
      <c r="AM610">
        <f>IF(OR(AM$4="",$A610&gt;TODAY()),0,IF(OR(INDEX($B610:$D610,AM$5)="F",AND(AM$6&gt;0,$A610&lt;AM$6),AND(AM$7&gt;0,$A610&gt;AM$7)),0,MAX(0,ROUND((INDEX($E610:$G610,AM$5)-SUMIFS(TF_Timer,TF_Tekniker,AM$4,TF_Dato,$A610))*2,0)/2)))</f>
        <v/>
      </c>
      <c r="AN610">
        <f>IF(OR(AN$4="",$A610&gt;TODAY()),0,IF(OR(INDEX($B610:$D610,AN$5)="F",AND(AN$6&gt;0,$A610&lt;AN$6),AND(AN$7&gt;0,$A610&gt;AN$7)),0,MAX(0,ROUND((INDEX($E610:$G610,AN$5)-SUMIFS(TF_Timer,TF_Tekniker,AN$4,TF_Dato,$A610))*2,0)/2)))</f>
        <v/>
      </c>
      <c r="AO610">
        <f>IF(OR(AO$4="",$A610&gt;TODAY()),0,IF(OR(INDEX($B610:$D610,AO$5)="F",AND(AO$6&gt;0,$A610&lt;AO$6),AND(AO$7&gt;0,$A610&gt;AO$7)),0,MAX(0,ROUND((INDEX($E610:$G610,AO$5)-SUMIFS(TF_Timer,TF_Tekniker,AO$4,TF_Dato,$A610))*2,0)/2)))</f>
        <v/>
      </c>
      <c r="AP610">
        <f>IF(OR(AP$4="",$A610&gt;TODAY()),0,IF(OR(INDEX($B610:$D610,AP$5)="F",AND(AP$6&gt;0,$A610&lt;AP$6),AND(AP$7&gt;0,$A610&gt;AP$7)),0,MAX(0,ROUND((INDEX($E610:$G610,AP$5)-SUMIFS(TF_Timer,TF_Tekniker,AP$4,TF_Dato,$A610))*2,0)/2)))</f>
        <v/>
      </c>
      <c r="AQ610">
        <f>IF(OR(AQ$4="",$A610&gt;TODAY()),0,IF(OR(INDEX($B610:$D610,AQ$5)="F",AND(AQ$6&gt;0,$A610&lt;AQ$6),AND(AQ$7&gt;0,$A610&gt;AQ$7)),0,MAX(0,ROUND((INDEX($E610:$G610,AQ$5)-SUMIFS(TF_Timer,TF_Tekniker,AQ$4,TF_Dato,$A610))*2,0)/2)))</f>
        <v/>
      </c>
      <c r="AR610">
        <f>IF(OR(AR$4="",$A610&gt;TODAY()),0,IF(OR(INDEX($B610:$D610,AR$5)="F",AND(AR$6&gt;0,$A610&lt;AR$6),AND(AR$7&gt;0,$A610&gt;AR$7)),0,MAX(0,ROUND((INDEX($E610:$G610,AR$5)-SUMIFS(TF_Timer,TF_Tekniker,AR$4,TF_Dato,$A610))*2,0)/2)))</f>
        <v/>
      </c>
      <c r="AS610">
        <f>IF(OR(AS$4="",$A610&gt;TODAY()),0,IF(OR(INDEX($B610:$D610,AS$5)="F",AND(AS$6&gt;0,$A610&lt;AS$6),AND(AS$7&gt;0,$A610&gt;AS$7)),0,MAX(0,ROUND((INDEX($E610:$G610,AS$5)-SUMIFS(TF_Timer,TF_Tekniker,AS$4,TF_Dato,$A610))*2,0)/2)))</f>
        <v/>
      </c>
      <c r="AT610">
        <f>IF(OR(AT$4="",$A610&gt;TODAY()),0,IF(OR(INDEX($B610:$D610,AT$5)="F",AND(AT$6&gt;0,$A610&lt;AT$6),AND(AT$7&gt;0,$A610&gt;AT$7)),0,MAX(0,ROUND((INDEX($E610:$G610,AT$5)-SUMIFS(TF_Timer,TF_Tekniker,AT$4,TF_Dato,$A610))*2,0)/2)))</f>
        <v/>
      </c>
      <c r="AU610">
        <f>IF(OR(AU$4="",$A610&gt;TODAY()),0,IF(OR(INDEX($B610:$D610,AU$5)="F",AND(AU$6&gt;0,$A610&lt;AU$6),AND(AU$7&gt;0,$A610&gt;AU$7)),0,MAX(0,ROUND((INDEX($E610:$G610,AU$5)-SUMIFS(TF_Timer,TF_Tekniker,AU$4,TF_Dato,$A610))*2,0)/2)))</f>
        <v/>
      </c>
      <c r="AV610">
        <f>IF(OR(AV$4="",$A610&gt;TODAY()),0,IF(OR(INDEX($B610:$D610,AV$5)="F",AND(AV$6&gt;0,$A610&lt;AV$6),AND(AV$7&gt;0,$A610&gt;AV$7)),0,MAX(0,ROUND((INDEX($E610:$G610,AV$5)-SUMIFS(TF_Timer,TF_Tekniker,AV$4,TF_Dato,$A610))*2,0)/2)))</f>
        <v/>
      </c>
      <c r="AW610">
        <f>IF(OR(AW$4="",$A610&gt;TODAY()),0,IF(OR(INDEX($B610:$D610,AW$5)="F",AND(AW$6&gt;0,$A610&lt;AW$6),AND(AW$7&gt;0,$A610&gt;AW$7)),0,MAX(0,ROUND((INDEX($E610:$G610,AW$5)-SUMIFS(TF_Timer,TF_Tekniker,AW$4,TF_Dato,$A610))*2,0)/2)))</f>
        <v/>
      </c>
      <c r="AX610">
        <f>IF(OR(AX$4="",$A610&gt;TODAY()),0,IF(OR(INDEX($B610:$D610,AX$5)="F",AND(AX$6&gt;0,$A610&lt;AX$6),AND(AX$7&gt;0,$A610&gt;AX$7)),0,MAX(0,ROUND((INDEX($E610:$G610,AX$5)-SUMIFS(TF_Timer,TF_Tekniker,AX$4,TF_Dato,$A610))*2,0)/2)))</f>
        <v/>
      </c>
      <c r="AY610">
        <f>IF(OR(AY$4="",$A610&gt;TODAY()),0,IF(OR(INDEX($B610:$D610,AY$5)="F",AND(AY$6&gt;0,$A610&lt;AY$6),AND(AY$7&gt;0,$A610&gt;AY$7)),0,MAX(0,ROUND((INDEX($E610:$G610,AY$5)-SUMIFS(TF_Timer,TF_Tekniker,AY$4,TF_Dato,$A610))*2,0)/2)))</f>
        <v/>
      </c>
      <c r="AZ610">
        <f>IF(OR(AZ$4="",$A610&gt;TODAY()),0,IF(OR(INDEX($B610:$D610,AZ$5)="F",AND(AZ$6&gt;0,$A610&lt;AZ$6),AND(AZ$7&gt;0,$A610&gt;AZ$7)),0,MAX(0,ROUND((INDEX($E610:$G610,AZ$5)-SUMIFS(TF_Timer,TF_Tekniker,AZ$4,TF_Dato,$A610))*2,0)/2)))</f>
        <v/>
      </c>
      <c r="BA610">
        <f>IF(OR(BA$4="",$A610&gt;TODAY()),0,IF(OR(INDEX($B610:$D610,BA$5)="F",AND(BA$6&gt;0,$A610&lt;BA$6),AND(BA$7&gt;0,$A610&gt;BA$7)),0,MAX(0,ROUND((INDEX($E610:$G610,BA$5)-SUMIFS(TF_Timer,TF_Tekniker,BA$4,TF_Dato,$A610))*2,0)/2)))</f>
        <v/>
      </c>
      <c r="BB610">
        <f>IF(OR(BB$4="",$A610&gt;TODAY()),0,IF(OR(INDEX($B610:$D610,BB$5)="F",AND(BB$6&gt;0,$A610&lt;BB$6),AND(BB$7&gt;0,$A610&gt;BB$7)),0,MAX(0,ROUND((INDEX($E610:$G610,BB$5)-SUMIFS(TF_Timer,TF_Tekniker,BB$4,TF_Dato,$A610))*2,0)/2)))</f>
        <v/>
      </c>
      <c r="BC610">
        <f>IF(OR(BC$4="",$A610&gt;TODAY()),0,IF(OR(INDEX($B610:$D610,BC$5)="F",AND(BC$6&gt;0,$A610&lt;BC$6),AND(BC$7&gt;0,$A610&gt;BC$7)),0,MAX(0,ROUND((INDEX($E610:$G610,BC$5)-SUMIFS(TF_Timer,TF_Tekniker,BC$4,TF_Dato,$A610))*2,0)/2)))</f>
        <v/>
      </c>
      <c r="BD610">
        <f>IF(OR(BD$4="",$A610&gt;TODAY()),0,IF(OR(INDEX($B610:$D610,BD$5)="F",AND(BD$6&gt;0,$A610&lt;BD$6),AND(BD$7&gt;0,$A610&gt;BD$7)),0,MAX(0,ROUND((INDEX($E610:$G610,BD$5)-SUMIFS(TF_Timer,TF_Tekniker,BD$4,TF_Dato,$A610))*2,0)/2)))</f>
        <v/>
      </c>
      <c r="BE610">
        <f>IF(OR(BE$4="",$A610&gt;TODAY()),0,IF(OR(INDEX($B610:$D610,BE$5)="F",AND(BE$6&gt;0,$A610&lt;BE$6),AND(BE$7&gt;0,$A610&gt;BE$7)),0,MAX(0,ROUND((INDEX($E610:$G610,BE$5)-SUMIFS(TF_Timer,TF_Tekniker,BE$4,TF_Dato,$A610))*2,0)/2)))</f>
        <v/>
      </c>
      <c r="BF610">
        <f>IF(OR(BF$4="",$A610&gt;TODAY()),0,IF(OR(INDEX($B610:$D610,BF$5)="F",AND(BF$6&gt;0,$A610&lt;BF$6),AND(BF$7&gt;0,$A610&gt;BF$7)),0,MAX(0,ROUND((INDEX($E610:$G610,BF$5)-SUMIFS(TF_Timer,TF_Tekniker,BF$4,TF_Dato,$A610))*2,0)/2)))</f>
        <v/>
      </c>
      <c r="BG610">
        <f>IF(OR(BG$4="",$A610&gt;TODAY()),0,IF(OR(INDEX($B610:$D610,BG$5)="F",AND(BG$6&gt;0,$A610&lt;BG$6),AND(BG$7&gt;0,$A610&gt;BG$7)),0,MAX(0,ROUND((INDEX($E610:$G610,BG$5)-SUMIFS(TF_Timer,TF_Tekniker,BG$4,TF_Dato,$A610))*2,0)/2)))</f>
        <v/>
      </c>
      <c r="BH610">
        <f>IF(OR(BH$4="",$A610&gt;TODAY()),0,IF(OR(INDEX($B610:$D610,BH$5)="F",AND(BH$6&gt;0,$A610&lt;BH$6),AND(BH$7&gt;0,$A610&gt;BH$7)),0,MAX(0,ROUND((INDEX($E610:$G610,BH$5)-SUMIFS(TF_Timer,TF_Tekniker,BH$4,TF_Dato,$A610))*2,0)/2)))</f>
        <v/>
      </c>
      <c r="BI610">
        <f>IF(OR(BI$4="",$A610&gt;TODAY()),0,IF(OR(INDEX($B610:$D610,BI$5)="F",AND(BI$6&gt;0,$A610&lt;BI$6),AND(BI$7&gt;0,$A610&gt;BI$7)),0,MAX(0,ROUND((INDEX($E610:$G610,BI$5)-SUMIFS(TF_Timer,TF_Tekniker,BI$4,TF_Dato,$A610))*2,0)/2)))</f>
        <v/>
      </c>
    </row>
    <row r="611">
      <c r="A611" s="64">
        <f>A610+1</f>
        <v/>
      </c>
      <c r="B611">
        <f>IF(MOD($A611-INDEX(SkiftStart,1),Syklus)&lt;DagK,"K",IF(MOD($A611-INDEX(SkiftStart,1),Syklus)&lt;DagK+DagH,"H",IF(MOD($A611-INDEX(SkiftStart,1),Syklus)&lt;DagK+DagH+DagD,"D","F")))</f>
        <v/>
      </c>
      <c r="C611">
        <f>IF(MOD($A611-INDEX(SkiftStart,2),Syklus)&lt;DagK,"K",IF(MOD($A611-INDEX(SkiftStart,2),Syklus)&lt;DagK+DagH,"H",IF(MOD($A611-INDEX(SkiftStart,2),Syklus)&lt;DagK+DagH+DagD,"D","F")))</f>
        <v/>
      </c>
      <c r="D611">
        <f>IF(MOD($A611-INDEX(SkiftStart,3),Syklus)&lt;DagK,"K",IF(MOD($A611-INDEX(SkiftStart,3),Syklus)&lt;DagK+DagH,"H",IF(MOD($A611-INDEX(SkiftStart,3),Syklus)&lt;DagK+DagH+DagD,"D","F")))</f>
        <v/>
      </c>
      <c r="E611">
        <f>IF(B611="F",0,IF(WEEKDAY($A611,2)=5,INDEX(TimerFr,MATCH(B611,FaseKode,0)),INDEX(TimerMT,MATCH(B611,FaseKode,0))))</f>
        <v/>
      </c>
      <c r="F611">
        <f>IF(C611="F",0,IF(WEEKDAY($A611,2)=5,INDEX(TimerFr,MATCH(C611,FaseKode,0)),INDEX(TimerMT,MATCH(C611,FaseKode,0))))</f>
        <v/>
      </c>
      <c r="G611">
        <f>IF(D611="F",0,IF(WEEKDAY($A611,2)=5,INDEX(TimerFr,MATCH(D611,FaseKode,0)),INDEX(TimerMT,MATCH(D611,FaseKode,0))))</f>
        <v/>
      </c>
      <c r="H611">
        <f>IF(OR(H$4="",$A611&gt;TODAY()),0,IF(OR(INDEX($B611:$D611,H$5)="F",AND(H$6&gt;0,$A611&lt;H$6),AND(H$7&gt;0,$A611&gt;H$7)),0,MAX(0,ROUND((INDEX($E611:$G611,H$5)-SUMIFS(TF_Timer,TF_Tekniker,H$4,TF_Dato,$A611))*2,0)/2)))</f>
        <v/>
      </c>
      <c r="I611">
        <f>IF(OR(I$4="",$A611&gt;TODAY()),0,IF(OR(INDEX($B611:$D611,I$5)="F",AND(I$6&gt;0,$A611&lt;I$6),AND(I$7&gt;0,$A611&gt;I$7)),0,MAX(0,ROUND((INDEX($E611:$G611,I$5)-SUMIFS(TF_Timer,TF_Tekniker,I$4,TF_Dato,$A611))*2,0)/2)))</f>
        <v/>
      </c>
      <c r="J611">
        <f>IF(OR(J$4="",$A611&gt;TODAY()),0,IF(OR(INDEX($B611:$D611,J$5)="F",AND(J$6&gt;0,$A611&lt;J$6),AND(J$7&gt;0,$A611&gt;J$7)),0,MAX(0,ROUND((INDEX($E611:$G611,J$5)-SUMIFS(TF_Timer,TF_Tekniker,J$4,TF_Dato,$A611))*2,0)/2)))</f>
        <v/>
      </c>
      <c r="K611">
        <f>IF(OR(K$4="",$A611&gt;TODAY()),0,IF(OR(INDEX($B611:$D611,K$5)="F",AND(K$6&gt;0,$A611&lt;K$6),AND(K$7&gt;0,$A611&gt;K$7)),0,MAX(0,ROUND((INDEX($E611:$G611,K$5)-SUMIFS(TF_Timer,TF_Tekniker,K$4,TF_Dato,$A611))*2,0)/2)))</f>
        <v/>
      </c>
      <c r="L611">
        <f>IF(OR(L$4="",$A611&gt;TODAY()),0,IF(OR(INDEX($B611:$D611,L$5)="F",AND(L$6&gt;0,$A611&lt;L$6),AND(L$7&gt;0,$A611&gt;L$7)),0,MAX(0,ROUND((INDEX($E611:$G611,L$5)-SUMIFS(TF_Timer,TF_Tekniker,L$4,TF_Dato,$A611))*2,0)/2)))</f>
        <v/>
      </c>
      <c r="M611">
        <f>IF(OR(M$4="",$A611&gt;TODAY()),0,IF(OR(INDEX($B611:$D611,M$5)="F",AND(M$6&gt;0,$A611&lt;M$6),AND(M$7&gt;0,$A611&gt;M$7)),0,MAX(0,ROUND((INDEX($E611:$G611,M$5)-SUMIFS(TF_Timer,TF_Tekniker,M$4,TF_Dato,$A611))*2,0)/2)))</f>
        <v/>
      </c>
      <c r="N611">
        <f>IF(OR(N$4="",$A611&gt;TODAY()),0,IF(OR(INDEX($B611:$D611,N$5)="F",AND(N$6&gt;0,$A611&lt;N$6),AND(N$7&gt;0,$A611&gt;N$7)),0,MAX(0,ROUND((INDEX($E611:$G611,N$5)-SUMIFS(TF_Timer,TF_Tekniker,N$4,TF_Dato,$A611))*2,0)/2)))</f>
        <v/>
      </c>
      <c r="O611">
        <f>IF(OR(O$4="",$A611&gt;TODAY()),0,IF(OR(INDEX($B611:$D611,O$5)="F",AND(O$6&gt;0,$A611&lt;O$6),AND(O$7&gt;0,$A611&gt;O$7)),0,MAX(0,ROUND((INDEX($E611:$G611,O$5)-SUMIFS(TF_Timer,TF_Tekniker,O$4,TF_Dato,$A611))*2,0)/2)))</f>
        <v/>
      </c>
      <c r="P611">
        <f>IF(OR(P$4="",$A611&gt;TODAY()),0,IF(OR(INDEX($B611:$D611,P$5)="F",AND(P$6&gt;0,$A611&lt;P$6),AND(P$7&gt;0,$A611&gt;P$7)),0,MAX(0,ROUND((INDEX($E611:$G611,P$5)-SUMIFS(TF_Timer,TF_Tekniker,P$4,TF_Dato,$A611))*2,0)/2)))</f>
        <v/>
      </c>
      <c r="Q611">
        <f>IF(OR(Q$4="",$A611&gt;TODAY()),0,IF(OR(INDEX($B611:$D611,Q$5)="F",AND(Q$6&gt;0,$A611&lt;Q$6),AND(Q$7&gt;0,$A611&gt;Q$7)),0,MAX(0,ROUND((INDEX($E611:$G611,Q$5)-SUMIFS(TF_Timer,TF_Tekniker,Q$4,TF_Dato,$A611))*2,0)/2)))</f>
        <v/>
      </c>
      <c r="R611">
        <f>IF(OR(R$4="",$A611&gt;TODAY()),0,IF(OR(INDEX($B611:$D611,R$5)="F",AND(R$6&gt;0,$A611&lt;R$6),AND(R$7&gt;0,$A611&gt;R$7)),0,MAX(0,ROUND((INDEX($E611:$G611,R$5)-SUMIFS(TF_Timer,TF_Tekniker,R$4,TF_Dato,$A611))*2,0)/2)))</f>
        <v/>
      </c>
      <c r="S611">
        <f>IF(OR(S$4="",$A611&gt;TODAY()),0,IF(OR(INDEX($B611:$D611,S$5)="F",AND(S$6&gt;0,$A611&lt;S$6),AND(S$7&gt;0,$A611&gt;S$7)),0,MAX(0,ROUND((INDEX($E611:$G611,S$5)-SUMIFS(TF_Timer,TF_Tekniker,S$4,TF_Dato,$A611))*2,0)/2)))</f>
        <v/>
      </c>
      <c r="T611">
        <f>IF(OR(T$4="",$A611&gt;TODAY()),0,IF(OR(INDEX($B611:$D611,T$5)="F",AND(T$6&gt;0,$A611&lt;T$6),AND(T$7&gt;0,$A611&gt;T$7)),0,MAX(0,ROUND((INDEX($E611:$G611,T$5)-SUMIFS(TF_Timer,TF_Tekniker,T$4,TF_Dato,$A611))*2,0)/2)))</f>
        <v/>
      </c>
      <c r="U611">
        <f>IF(OR(U$4="",$A611&gt;TODAY()),0,IF(OR(INDEX($B611:$D611,U$5)="F",AND(U$6&gt;0,$A611&lt;U$6),AND(U$7&gt;0,$A611&gt;U$7)),0,MAX(0,ROUND((INDEX($E611:$G611,U$5)-SUMIFS(TF_Timer,TF_Tekniker,U$4,TF_Dato,$A611))*2,0)/2)))</f>
        <v/>
      </c>
      <c r="V611">
        <f>IF(OR(V$4="",$A611&gt;TODAY()),0,IF(OR(INDEX($B611:$D611,V$5)="F",AND(V$6&gt;0,$A611&lt;V$6),AND(V$7&gt;0,$A611&gt;V$7)),0,MAX(0,ROUND((INDEX($E611:$G611,V$5)-SUMIFS(TF_Timer,TF_Tekniker,V$4,TF_Dato,$A611))*2,0)/2)))</f>
        <v/>
      </c>
      <c r="W611">
        <f>IF(OR(W$4="",$A611&gt;TODAY()),0,IF(OR(INDEX($B611:$D611,W$5)="F",AND(W$6&gt;0,$A611&lt;W$6),AND(W$7&gt;0,$A611&gt;W$7)),0,MAX(0,ROUND((INDEX($E611:$G611,W$5)-SUMIFS(TF_Timer,TF_Tekniker,W$4,TF_Dato,$A611))*2,0)/2)))</f>
        <v/>
      </c>
      <c r="X611">
        <f>IF(OR(X$4="",$A611&gt;TODAY()),0,IF(OR(INDEX($B611:$D611,X$5)="F",AND(X$6&gt;0,$A611&lt;X$6),AND(X$7&gt;0,$A611&gt;X$7)),0,MAX(0,ROUND((INDEX($E611:$G611,X$5)-SUMIFS(TF_Timer,TF_Tekniker,X$4,TF_Dato,$A611))*2,0)/2)))</f>
        <v/>
      </c>
      <c r="Y611">
        <f>IF(OR(Y$4="",$A611&gt;TODAY()),0,IF(OR(INDEX($B611:$D611,Y$5)="F",AND(Y$6&gt;0,$A611&lt;Y$6),AND(Y$7&gt;0,$A611&gt;Y$7)),0,MAX(0,ROUND((INDEX($E611:$G611,Y$5)-SUMIFS(TF_Timer,TF_Tekniker,Y$4,TF_Dato,$A611))*2,0)/2)))</f>
        <v/>
      </c>
      <c r="Z611">
        <f>IF(OR(Z$4="",$A611&gt;TODAY()),0,IF(OR(INDEX($B611:$D611,Z$5)="F",AND(Z$6&gt;0,$A611&lt;Z$6),AND(Z$7&gt;0,$A611&gt;Z$7)),0,MAX(0,ROUND((INDEX($E611:$G611,Z$5)-SUMIFS(TF_Timer,TF_Tekniker,Z$4,TF_Dato,$A611))*2,0)/2)))</f>
        <v/>
      </c>
      <c r="AA611">
        <f>IF(OR(AA$4="",$A611&gt;TODAY()),0,IF(OR(INDEX($B611:$D611,AA$5)="F",AND(AA$6&gt;0,$A611&lt;AA$6),AND(AA$7&gt;0,$A611&gt;AA$7)),0,MAX(0,ROUND((INDEX($E611:$G611,AA$5)-SUMIFS(TF_Timer,TF_Tekniker,AA$4,TF_Dato,$A611))*2,0)/2)))</f>
        <v/>
      </c>
      <c r="AB611">
        <f>IF(OR(AB$4="",$A611&gt;TODAY()),0,IF(OR(INDEX($B611:$D611,AB$5)="F",AND(AB$6&gt;0,$A611&lt;AB$6),AND(AB$7&gt;0,$A611&gt;AB$7)),0,MAX(0,ROUND((INDEX($E611:$G611,AB$5)-SUMIFS(TF_Timer,TF_Tekniker,AB$4,TF_Dato,$A611))*2,0)/2)))</f>
        <v/>
      </c>
      <c r="AC611">
        <f>IF(OR(AC$4="",$A611&gt;TODAY()),0,IF(OR(INDEX($B611:$D611,AC$5)="F",AND(AC$6&gt;0,$A611&lt;AC$6),AND(AC$7&gt;0,$A611&gt;AC$7)),0,MAX(0,ROUND((INDEX($E611:$G611,AC$5)-SUMIFS(TF_Timer,TF_Tekniker,AC$4,TF_Dato,$A611))*2,0)/2)))</f>
        <v/>
      </c>
      <c r="AD611">
        <f>IF(OR(AD$4="",$A611&gt;TODAY()),0,IF(OR(INDEX($B611:$D611,AD$5)="F",AND(AD$6&gt;0,$A611&lt;AD$6),AND(AD$7&gt;0,$A611&gt;AD$7)),0,MAX(0,ROUND((INDEX($E611:$G611,AD$5)-SUMIFS(TF_Timer,TF_Tekniker,AD$4,TF_Dato,$A611))*2,0)/2)))</f>
        <v/>
      </c>
      <c r="AE611">
        <f>IF(OR(AE$4="",$A611&gt;TODAY()),0,IF(OR(INDEX($B611:$D611,AE$5)="F",AND(AE$6&gt;0,$A611&lt;AE$6),AND(AE$7&gt;0,$A611&gt;AE$7)),0,MAX(0,ROUND((INDEX($E611:$G611,AE$5)-SUMIFS(TF_Timer,TF_Tekniker,AE$4,TF_Dato,$A611))*2,0)/2)))</f>
        <v/>
      </c>
      <c r="AF611">
        <f>IF(OR(AF$4="",$A611&gt;TODAY()),0,IF(OR(INDEX($B611:$D611,AF$5)="F",AND(AF$6&gt;0,$A611&lt;AF$6),AND(AF$7&gt;0,$A611&gt;AF$7)),0,MAX(0,ROUND((INDEX($E611:$G611,AF$5)-SUMIFS(TF_Timer,TF_Tekniker,AF$4,TF_Dato,$A611))*2,0)/2)))</f>
        <v/>
      </c>
      <c r="AG611">
        <f>IF(OR(AG$4="",$A611&gt;TODAY()),0,IF(OR(INDEX($B611:$D611,AG$5)="F",AND(AG$6&gt;0,$A611&lt;AG$6),AND(AG$7&gt;0,$A611&gt;AG$7)),0,MAX(0,ROUND((INDEX($E611:$G611,AG$5)-SUMIFS(TF_Timer,TF_Tekniker,AG$4,TF_Dato,$A611))*2,0)/2)))</f>
        <v/>
      </c>
      <c r="AH611">
        <f>IF(OR(AH$4="",$A611&gt;TODAY()),0,IF(OR(INDEX($B611:$D611,AH$5)="F",AND(AH$6&gt;0,$A611&lt;AH$6),AND(AH$7&gt;0,$A611&gt;AH$7)),0,MAX(0,ROUND((INDEX($E611:$G611,AH$5)-SUMIFS(TF_Timer,TF_Tekniker,AH$4,TF_Dato,$A611))*2,0)/2)))</f>
        <v/>
      </c>
      <c r="AI611">
        <f>IF(OR(AI$4="",$A611&gt;TODAY()),0,IF(OR(INDEX($B611:$D611,AI$5)="F",AND(AI$6&gt;0,$A611&lt;AI$6),AND(AI$7&gt;0,$A611&gt;AI$7)),0,MAX(0,ROUND((INDEX($E611:$G611,AI$5)-SUMIFS(TF_Timer,TF_Tekniker,AI$4,TF_Dato,$A611))*2,0)/2)))</f>
        <v/>
      </c>
      <c r="AJ611">
        <f>IF(OR(AJ$4="",$A611&gt;TODAY()),0,IF(OR(INDEX($B611:$D611,AJ$5)="F",AND(AJ$6&gt;0,$A611&lt;AJ$6),AND(AJ$7&gt;0,$A611&gt;AJ$7)),0,MAX(0,ROUND((INDEX($E611:$G611,AJ$5)-SUMIFS(TF_Timer,TF_Tekniker,AJ$4,TF_Dato,$A611))*2,0)/2)))</f>
        <v/>
      </c>
      <c r="AK611">
        <f>IF(OR(AK$4="",$A611&gt;TODAY()),0,IF(OR(INDEX($B611:$D611,AK$5)="F",AND(AK$6&gt;0,$A611&lt;AK$6),AND(AK$7&gt;0,$A611&gt;AK$7)),0,MAX(0,ROUND((INDEX($E611:$G611,AK$5)-SUMIFS(TF_Timer,TF_Tekniker,AK$4,TF_Dato,$A611))*2,0)/2)))</f>
        <v/>
      </c>
      <c r="AL611">
        <f>IF(OR(AL$4="",$A611&gt;TODAY()),0,IF(OR(INDEX($B611:$D611,AL$5)="F",AND(AL$6&gt;0,$A611&lt;AL$6),AND(AL$7&gt;0,$A611&gt;AL$7)),0,MAX(0,ROUND((INDEX($E611:$G611,AL$5)-SUMIFS(TF_Timer,TF_Tekniker,AL$4,TF_Dato,$A611))*2,0)/2)))</f>
        <v/>
      </c>
      <c r="AM611">
        <f>IF(OR(AM$4="",$A611&gt;TODAY()),0,IF(OR(INDEX($B611:$D611,AM$5)="F",AND(AM$6&gt;0,$A611&lt;AM$6),AND(AM$7&gt;0,$A611&gt;AM$7)),0,MAX(0,ROUND((INDEX($E611:$G611,AM$5)-SUMIFS(TF_Timer,TF_Tekniker,AM$4,TF_Dato,$A611))*2,0)/2)))</f>
        <v/>
      </c>
      <c r="AN611">
        <f>IF(OR(AN$4="",$A611&gt;TODAY()),0,IF(OR(INDEX($B611:$D611,AN$5)="F",AND(AN$6&gt;0,$A611&lt;AN$6),AND(AN$7&gt;0,$A611&gt;AN$7)),0,MAX(0,ROUND((INDEX($E611:$G611,AN$5)-SUMIFS(TF_Timer,TF_Tekniker,AN$4,TF_Dato,$A611))*2,0)/2)))</f>
        <v/>
      </c>
      <c r="AO611">
        <f>IF(OR(AO$4="",$A611&gt;TODAY()),0,IF(OR(INDEX($B611:$D611,AO$5)="F",AND(AO$6&gt;0,$A611&lt;AO$6),AND(AO$7&gt;0,$A611&gt;AO$7)),0,MAX(0,ROUND((INDEX($E611:$G611,AO$5)-SUMIFS(TF_Timer,TF_Tekniker,AO$4,TF_Dato,$A611))*2,0)/2)))</f>
        <v/>
      </c>
      <c r="AP611">
        <f>IF(OR(AP$4="",$A611&gt;TODAY()),0,IF(OR(INDEX($B611:$D611,AP$5)="F",AND(AP$6&gt;0,$A611&lt;AP$6),AND(AP$7&gt;0,$A611&gt;AP$7)),0,MAX(0,ROUND((INDEX($E611:$G611,AP$5)-SUMIFS(TF_Timer,TF_Tekniker,AP$4,TF_Dato,$A611))*2,0)/2)))</f>
        <v/>
      </c>
      <c r="AQ611">
        <f>IF(OR(AQ$4="",$A611&gt;TODAY()),0,IF(OR(INDEX($B611:$D611,AQ$5)="F",AND(AQ$6&gt;0,$A611&lt;AQ$6),AND(AQ$7&gt;0,$A611&gt;AQ$7)),0,MAX(0,ROUND((INDEX($E611:$G611,AQ$5)-SUMIFS(TF_Timer,TF_Tekniker,AQ$4,TF_Dato,$A611))*2,0)/2)))</f>
        <v/>
      </c>
      <c r="AR611">
        <f>IF(OR(AR$4="",$A611&gt;TODAY()),0,IF(OR(INDEX($B611:$D611,AR$5)="F",AND(AR$6&gt;0,$A611&lt;AR$6),AND(AR$7&gt;0,$A611&gt;AR$7)),0,MAX(0,ROUND((INDEX($E611:$G611,AR$5)-SUMIFS(TF_Timer,TF_Tekniker,AR$4,TF_Dato,$A611))*2,0)/2)))</f>
        <v/>
      </c>
      <c r="AS611">
        <f>IF(OR(AS$4="",$A611&gt;TODAY()),0,IF(OR(INDEX($B611:$D611,AS$5)="F",AND(AS$6&gt;0,$A611&lt;AS$6),AND(AS$7&gt;0,$A611&gt;AS$7)),0,MAX(0,ROUND((INDEX($E611:$G611,AS$5)-SUMIFS(TF_Timer,TF_Tekniker,AS$4,TF_Dato,$A611))*2,0)/2)))</f>
        <v/>
      </c>
      <c r="AT611">
        <f>IF(OR(AT$4="",$A611&gt;TODAY()),0,IF(OR(INDEX($B611:$D611,AT$5)="F",AND(AT$6&gt;0,$A611&lt;AT$6),AND(AT$7&gt;0,$A611&gt;AT$7)),0,MAX(0,ROUND((INDEX($E611:$G611,AT$5)-SUMIFS(TF_Timer,TF_Tekniker,AT$4,TF_Dato,$A611))*2,0)/2)))</f>
        <v/>
      </c>
      <c r="AU611">
        <f>IF(OR(AU$4="",$A611&gt;TODAY()),0,IF(OR(INDEX($B611:$D611,AU$5)="F",AND(AU$6&gt;0,$A611&lt;AU$6),AND(AU$7&gt;0,$A611&gt;AU$7)),0,MAX(0,ROUND((INDEX($E611:$G611,AU$5)-SUMIFS(TF_Timer,TF_Tekniker,AU$4,TF_Dato,$A611))*2,0)/2)))</f>
        <v/>
      </c>
      <c r="AV611">
        <f>IF(OR(AV$4="",$A611&gt;TODAY()),0,IF(OR(INDEX($B611:$D611,AV$5)="F",AND(AV$6&gt;0,$A611&lt;AV$6),AND(AV$7&gt;0,$A611&gt;AV$7)),0,MAX(0,ROUND((INDEX($E611:$G611,AV$5)-SUMIFS(TF_Timer,TF_Tekniker,AV$4,TF_Dato,$A611))*2,0)/2)))</f>
        <v/>
      </c>
      <c r="AW611">
        <f>IF(OR(AW$4="",$A611&gt;TODAY()),0,IF(OR(INDEX($B611:$D611,AW$5)="F",AND(AW$6&gt;0,$A611&lt;AW$6),AND(AW$7&gt;0,$A611&gt;AW$7)),0,MAX(0,ROUND((INDEX($E611:$G611,AW$5)-SUMIFS(TF_Timer,TF_Tekniker,AW$4,TF_Dato,$A611))*2,0)/2)))</f>
        <v/>
      </c>
      <c r="AX611">
        <f>IF(OR(AX$4="",$A611&gt;TODAY()),0,IF(OR(INDEX($B611:$D611,AX$5)="F",AND(AX$6&gt;0,$A611&lt;AX$6),AND(AX$7&gt;0,$A611&gt;AX$7)),0,MAX(0,ROUND((INDEX($E611:$G611,AX$5)-SUMIFS(TF_Timer,TF_Tekniker,AX$4,TF_Dato,$A611))*2,0)/2)))</f>
        <v/>
      </c>
      <c r="AY611">
        <f>IF(OR(AY$4="",$A611&gt;TODAY()),0,IF(OR(INDEX($B611:$D611,AY$5)="F",AND(AY$6&gt;0,$A611&lt;AY$6),AND(AY$7&gt;0,$A611&gt;AY$7)),0,MAX(0,ROUND((INDEX($E611:$G611,AY$5)-SUMIFS(TF_Timer,TF_Tekniker,AY$4,TF_Dato,$A611))*2,0)/2)))</f>
        <v/>
      </c>
      <c r="AZ611">
        <f>IF(OR(AZ$4="",$A611&gt;TODAY()),0,IF(OR(INDEX($B611:$D611,AZ$5)="F",AND(AZ$6&gt;0,$A611&lt;AZ$6),AND(AZ$7&gt;0,$A611&gt;AZ$7)),0,MAX(0,ROUND((INDEX($E611:$G611,AZ$5)-SUMIFS(TF_Timer,TF_Tekniker,AZ$4,TF_Dato,$A611))*2,0)/2)))</f>
        <v/>
      </c>
      <c r="BA611">
        <f>IF(OR(BA$4="",$A611&gt;TODAY()),0,IF(OR(INDEX($B611:$D611,BA$5)="F",AND(BA$6&gt;0,$A611&lt;BA$6),AND(BA$7&gt;0,$A611&gt;BA$7)),0,MAX(0,ROUND((INDEX($E611:$G611,BA$5)-SUMIFS(TF_Timer,TF_Tekniker,BA$4,TF_Dato,$A611))*2,0)/2)))</f>
        <v/>
      </c>
      <c r="BB611">
        <f>IF(OR(BB$4="",$A611&gt;TODAY()),0,IF(OR(INDEX($B611:$D611,BB$5)="F",AND(BB$6&gt;0,$A611&lt;BB$6),AND(BB$7&gt;0,$A611&gt;BB$7)),0,MAX(0,ROUND((INDEX($E611:$G611,BB$5)-SUMIFS(TF_Timer,TF_Tekniker,BB$4,TF_Dato,$A611))*2,0)/2)))</f>
        <v/>
      </c>
      <c r="BC611">
        <f>IF(OR(BC$4="",$A611&gt;TODAY()),0,IF(OR(INDEX($B611:$D611,BC$5)="F",AND(BC$6&gt;0,$A611&lt;BC$6),AND(BC$7&gt;0,$A611&gt;BC$7)),0,MAX(0,ROUND((INDEX($E611:$G611,BC$5)-SUMIFS(TF_Timer,TF_Tekniker,BC$4,TF_Dato,$A611))*2,0)/2)))</f>
        <v/>
      </c>
      <c r="BD611">
        <f>IF(OR(BD$4="",$A611&gt;TODAY()),0,IF(OR(INDEX($B611:$D611,BD$5)="F",AND(BD$6&gt;0,$A611&lt;BD$6),AND(BD$7&gt;0,$A611&gt;BD$7)),0,MAX(0,ROUND((INDEX($E611:$G611,BD$5)-SUMIFS(TF_Timer,TF_Tekniker,BD$4,TF_Dato,$A611))*2,0)/2)))</f>
        <v/>
      </c>
      <c r="BE611">
        <f>IF(OR(BE$4="",$A611&gt;TODAY()),0,IF(OR(INDEX($B611:$D611,BE$5)="F",AND(BE$6&gt;0,$A611&lt;BE$6),AND(BE$7&gt;0,$A611&gt;BE$7)),0,MAX(0,ROUND((INDEX($E611:$G611,BE$5)-SUMIFS(TF_Timer,TF_Tekniker,BE$4,TF_Dato,$A611))*2,0)/2)))</f>
        <v/>
      </c>
      <c r="BF611">
        <f>IF(OR(BF$4="",$A611&gt;TODAY()),0,IF(OR(INDEX($B611:$D611,BF$5)="F",AND(BF$6&gt;0,$A611&lt;BF$6),AND(BF$7&gt;0,$A611&gt;BF$7)),0,MAX(0,ROUND((INDEX($E611:$G611,BF$5)-SUMIFS(TF_Timer,TF_Tekniker,BF$4,TF_Dato,$A611))*2,0)/2)))</f>
        <v/>
      </c>
      <c r="BG611">
        <f>IF(OR(BG$4="",$A611&gt;TODAY()),0,IF(OR(INDEX($B611:$D611,BG$5)="F",AND(BG$6&gt;0,$A611&lt;BG$6),AND(BG$7&gt;0,$A611&gt;BG$7)),0,MAX(0,ROUND((INDEX($E611:$G611,BG$5)-SUMIFS(TF_Timer,TF_Tekniker,BG$4,TF_Dato,$A611))*2,0)/2)))</f>
        <v/>
      </c>
      <c r="BH611">
        <f>IF(OR(BH$4="",$A611&gt;TODAY()),0,IF(OR(INDEX($B611:$D611,BH$5)="F",AND(BH$6&gt;0,$A611&lt;BH$6),AND(BH$7&gt;0,$A611&gt;BH$7)),0,MAX(0,ROUND((INDEX($E611:$G611,BH$5)-SUMIFS(TF_Timer,TF_Tekniker,BH$4,TF_Dato,$A611))*2,0)/2)))</f>
        <v/>
      </c>
      <c r="BI611">
        <f>IF(OR(BI$4="",$A611&gt;TODAY()),0,IF(OR(INDEX($B611:$D611,BI$5)="F",AND(BI$6&gt;0,$A611&lt;BI$6),AND(BI$7&gt;0,$A611&gt;BI$7)),0,MAX(0,ROUND((INDEX($E611:$G611,BI$5)-SUMIFS(TF_Timer,TF_Tekniker,BI$4,TF_Dato,$A611))*2,0)/2)))</f>
        <v/>
      </c>
    </row>
    <row r="612">
      <c r="A612" s="64">
        <f>A611+1</f>
        <v/>
      </c>
      <c r="B612">
        <f>IF(MOD($A612-INDEX(SkiftStart,1),Syklus)&lt;DagK,"K",IF(MOD($A612-INDEX(SkiftStart,1),Syklus)&lt;DagK+DagH,"H",IF(MOD($A612-INDEX(SkiftStart,1),Syklus)&lt;DagK+DagH+DagD,"D","F")))</f>
        <v/>
      </c>
      <c r="C612">
        <f>IF(MOD($A612-INDEX(SkiftStart,2),Syklus)&lt;DagK,"K",IF(MOD($A612-INDEX(SkiftStart,2),Syklus)&lt;DagK+DagH,"H",IF(MOD($A612-INDEX(SkiftStart,2),Syklus)&lt;DagK+DagH+DagD,"D","F")))</f>
        <v/>
      </c>
      <c r="D612">
        <f>IF(MOD($A612-INDEX(SkiftStart,3),Syklus)&lt;DagK,"K",IF(MOD($A612-INDEX(SkiftStart,3),Syklus)&lt;DagK+DagH,"H",IF(MOD($A612-INDEX(SkiftStart,3),Syklus)&lt;DagK+DagH+DagD,"D","F")))</f>
        <v/>
      </c>
      <c r="E612">
        <f>IF(B612="F",0,IF(WEEKDAY($A612,2)=5,INDEX(TimerFr,MATCH(B612,FaseKode,0)),INDEX(TimerMT,MATCH(B612,FaseKode,0))))</f>
        <v/>
      </c>
      <c r="F612">
        <f>IF(C612="F",0,IF(WEEKDAY($A612,2)=5,INDEX(TimerFr,MATCH(C612,FaseKode,0)),INDEX(TimerMT,MATCH(C612,FaseKode,0))))</f>
        <v/>
      </c>
      <c r="G612">
        <f>IF(D612="F",0,IF(WEEKDAY($A612,2)=5,INDEX(TimerFr,MATCH(D612,FaseKode,0)),INDEX(TimerMT,MATCH(D612,FaseKode,0))))</f>
        <v/>
      </c>
      <c r="H612">
        <f>IF(OR(H$4="",$A612&gt;TODAY()),0,IF(OR(INDEX($B612:$D612,H$5)="F",AND(H$6&gt;0,$A612&lt;H$6),AND(H$7&gt;0,$A612&gt;H$7)),0,MAX(0,ROUND((INDEX($E612:$G612,H$5)-SUMIFS(TF_Timer,TF_Tekniker,H$4,TF_Dato,$A612))*2,0)/2)))</f>
        <v/>
      </c>
      <c r="I612">
        <f>IF(OR(I$4="",$A612&gt;TODAY()),0,IF(OR(INDEX($B612:$D612,I$5)="F",AND(I$6&gt;0,$A612&lt;I$6),AND(I$7&gt;0,$A612&gt;I$7)),0,MAX(0,ROUND((INDEX($E612:$G612,I$5)-SUMIFS(TF_Timer,TF_Tekniker,I$4,TF_Dato,$A612))*2,0)/2)))</f>
        <v/>
      </c>
      <c r="J612">
        <f>IF(OR(J$4="",$A612&gt;TODAY()),0,IF(OR(INDEX($B612:$D612,J$5)="F",AND(J$6&gt;0,$A612&lt;J$6),AND(J$7&gt;0,$A612&gt;J$7)),0,MAX(0,ROUND((INDEX($E612:$G612,J$5)-SUMIFS(TF_Timer,TF_Tekniker,J$4,TF_Dato,$A612))*2,0)/2)))</f>
        <v/>
      </c>
      <c r="K612">
        <f>IF(OR(K$4="",$A612&gt;TODAY()),0,IF(OR(INDEX($B612:$D612,K$5)="F",AND(K$6&gt;0,$A612&lt;K$6),AND(K$7&gt;0,$A612&gt;K$7)),0,MAX(0,ROUND((INDEX($E612:$G612,K$5)-SUMIFS(TF_Timer,TF_Tekniker,K$4,TF_Dato,$A612))*2,0)/2)))</f>
        <v/>
      </c>
      <c r="L612">
        <f>IF(OR(L$4="",$A612&gt;TODAY()),0,IF(OR(INDEX($B612:$D612,L$5)="F",AND(L$6&gt;0,$A612&lt;L$6),AND(L$7&gt;0,$A612&gt;L$7)),0,MAX(0,ROUND((INDEX($E612:$G612,L$5)-SUMIFS(TF_Timer,TF_Tekniker,L$4,TF_Dato,$A612))*2,0)/2)))</f>
        <v/>
      </c>
      <c r="M612">
        <f>IF(OR(M$4="",$A612&gt;TODAY()),0,IF(OR(INDEX($B612:$D612,M$5)="F",AND(M$6&gt;0,$A612&lt;M$6),AND(M$7&gt;0,$A612&gt;M$7)),0,MAX(0,ROUND((INDEX($E612:$G612,M$5)-SUMIFS(TF_Timer,TF_Tekniker,M$4,TF_Dato,$A612))*2,0)/2)))</f>
        <v/>
      </c>
      <c r="N612">
        <f>IF(OR(N$4="",$A612&gt;TODAY()),0,IF(OR(INDEX($B612:$D612,N$5)="F",AND(N$6&gt;0,$A612&lt;N$6),AND(N$7&gt;0,$A612&gt;N$7)),0,MAX(0,ROUND((INDEX($E612:$G612,N$5)-SUMIFS(TF_Timer,TF_Tekniker,N$4,TF_Dato,$A612))*2,0)/2)))</f>
        <v/>
      </c>
      <c r="O612">
        <f>IF(OR(O$4="",$A612&gt;TODAY()),0,IF(OR(INDEX($B612:$D612,O$5)="F",AND(O$6&gt;0,$A612&lt;O$6),AND(O$7&gt;0,$A612&gt;O$7)),0,MAX(0,ROUND((INDEX($E612:$G612,O$5)-SUMIFS(TF_Timer,TF_Tekniker,O$4,TF_Dato,$A612))*2,0)/2)))</f>
        <v/>
      </c>
      <c r="P612">
        <f>IF(OR(P$4="",$A612&gt;TODAY()),0,IF(OR(INDEX($B612:$D612,P$5)="F",AND(P$6&gt;0,$A612&lt;P$6),AND(P$7&gt;0,$A612&gt;P$7)),0,MAX(0,ROUND((INDEX($E612:$G612,P$5)-SUMIFS(TF_Timer,TF_Tekniker,P$4,TF_Dato,$A612))*2,0)/2)))</f>
        <v/>
      </c>
      <c r="Q612">
        <f>IF(OR(Q$4="",$A612&gt;TODAY()),0,IF(OR(INDEX($B612:$D612,Q$5)="F",AND(Q$6&gt;0,$A612&lt;Q$6),AND(Q$7&gt;0,$A612&gt;Q$7)),0,MAX(0,ROUND((INDEX($E612:$G612,Q$5)-SUMIFS(TF_Timer,TF_Tekniker,Q$4,TF_Dato,$A612))*2,0)/2)))</f>
        <v/>
      </c>
      <c r="R612">
        <f>IF(OR(R$4="",$A612&gt;TODAY()),0,IF(OR(INDEX($B612:$D612,R$5)="F",AND(R$6&gt;0,$A612&lt;R$6),AND(R$7&gt;0,$A612&gt;R$7)),0,MAX(0,ROUND((INDEX($E612:$G612,R$5)-SUMIFS(TF_Timer,TF_Tekniker,R$4,TF_Dato,$A612))*2,0)/2)))</f>
        <v/>
      </c>
      <c r="S612">
        <f>IF(OR(S$4="",$A612&gt;TODAY()),0,IF(OR(INDEX($B612:$D612,S$5)="F",AND(S$6&gt;0,$A612&lt;S$6),AND(S$7&gt;0,$A612&gt;S$7)),0,MAX(0,ROUND((INDEX($E612:$G612,S$5)-SUMIFS(TF_Timer,TF_Tekniker,S$4,TF_Dato,$A612))*2,0)/2)))</f>
        <v/>
      </c>
      <c r="T612">
        <f>IF(OR(T$4="",$A612&gt;TODAY()),0,IF(OR(INDEX($B612:$D612,T$5)="F",AND(T$6&gt;0,$A612&lt;T$6),AND(T$7&gt;0,$A612&gt;T$7)),0,MAX(0,ROUND((INDEX($E612:$G612,T$5)-SUMIFS(TF_Timer,TF_Tekniker,T$4,TF_Dato,$A612))*2,0)/2)))</f>
        <v/>
      </c>
      <c r="U612">
        <f>IF(OR(U$4="",$A612&gt;TODAY()),0,IF(OR(INDEX($B612:$D612,U$5)="F",AND(U$6&gt;0,$A612&lt;U$6),AND(U$7&gt;0,$A612&gt;U$7)),0,MAX(0,ROUND((INDEX($E612:$G612,U$5)-SUMIFS(TF_Timer,TF_Tekniker,U$4,TF_Dato,$A612))*2,0)/2)))</f>
        <v/>
      </c>
      <c r="V612">
        <f>IF(OR(V$4="",$A612&gt;TODAY()),0,IF(OR(INDEX($B612:$D612,V$5)="F",AND(V$6&gt;0,$A612&lt;V$6),AND(V$7&gt;0,$A612&gt;V$7)),0,MAX(0,ROUND((INDEX($E612:$G612,V$5)-SUMIFS(TF_Timer,TF_Tekniker,V$4,TF_Dato,$A612))*2,0)/2)))</f>
        <v/>
      </c>
      <c r="W612">
        <f>IF(OR(W$4="",$A612&gt;TODAY()),0,IF(OR(INDEX($B612:$D612,W$5)="F",AND(W$6&gt;0,$A612&lt;W$6),AND(W$7&gt;0,$A612&gt;W$7)),0,MAX(0,ROUND((INDEX($E612:$G612,W$5)-SUMIFS(TF_Timer,TF_Tekniker,W$4,TF_Dato,$A612))*2,0)/2)))</f>
        <v/>
      </c>
      <c r="X612">
        <f>IF(OR(X$4="",$A612&gt;TODAY()),0,IF(OR(INDEX($B612:$D612,X$5)="F",AND(X$6&gt;0,$A612&lt;X$6),AND(X$7&gt;0,$A612&gt;X$7)),0,MAX(0,ROUND((INDEX($E612:$G612,X$5)-SUMIFS(TF_Timer,TF_Tekniker,X$4,TF_Dato,$A612))*2,0)/2)))</f>
        <v/>
      </c>
      <c r="Y612">
        <f>IF(OR(Y$4="",$A612&gt;TODAY()),0,IF(OR(INDEX($B612:$D612,Y$5)="F",AND(Y$6&gt;0,$A612&lt;Y$6),AND(Y$7&gt;0,$A612&gt;Y$7)),0,MAX(0,ROUND((INDEX($E612:$G612,Y$5)-SUMIFS(TF_Timer,TF_Tekniker,Y$4,TF_Dato,$A612))*2,0)/2)))</f>
        <v/>
      </c>
      <c r="Z612">
        <f>IF(OR(Z$4="",$A612&gt;TODAY()),0,IF(OR(INDEX($B612:$D612,Z$5)="F",AND(Z$6&gt;0,$A612&lt;Z$6),AND(Z$7&gt;0,$A612&gt;Z$7)),0,MAX(0,ROUND((INDEX($E612:$G612,Z$5)-SUMIFS(TF_Timer,TF_Tekniker,Z$4,TF_Dato,$A612))*2,0)/2)))</f>
        <v/>
      </c>
      <c r="AA612">
        <f>IF(OR(AA$4="",$A612&gt;TODAY()),0,IF(OR(INDEX($B612:$D612,AA$5)="F",AND(AA$6&gt;0,$A612&lt;AA$6),AND(AA$7&gt;0,$A612&gt;AA$7)),0,MAX(0,ROUND((INDEX($E612:$G612,AA$5)-SUMIFS(TF_Timer,TF_Tekniker,AA$4,TF_Dato,$A612))*2,0)/2)))</f>
        <v/>
      </c>
      <c r="AB612">
        <f>IF(OR(AB$4="",$A612&gt;TODAY()),0,IF(OR(INDEX($B612:$D612,AB$5)="F",AND(AB$6&gt;0,$A612&lt;AB$6),AND(AB$7&gt;0,$A612&gt;AB$7)),0,MAX(0,ROUND((INDEX($E612:$G612,AB$5)-SUMIFS(TF_Timer,TF_Tekniker,AB$4,TF_Dato,$A612))*2,0)/2)))</f>
        <v/>
      </c>
      <c r="AC612">
        <f>IF(OR(AC$4="",$A612&gt;TODAY()),0,IF(OR(INDEX($B612:$D612,AC$5)="F",AND(AC$6&gt;0,$A612&lt;AC$6),AND(AC$7&gt;0,$A612&gt;AC$7)),0,MAX(0,ROUND((INDEX($E612:$G612,AC$5)-SUMIFS(TF_Timer,TF_Tekniker,AC$4,TF_Dato,$A612))*2,0)/2)))</f>
        <v/>
      </c>
      <c r="AD612">
        <f>IF(OR(AD$4="",$A612&gt;TODAY()),0,IF(OR(INDEX($B612:$D612,AD$5)="F",AND(AD$6&gt;0,$A612&lt;AD$6),AND(AD$7&gt;0,$A612&gt;AD$7)),0,MAX(0,ROUND((INDEX($E612:$G612,AD$5)-SUMIFS(TF_Timer,TF_Tekniker,AD$4,TF_Dato,$A612))*2,0)/2)))</f>
        <v/>
      </c>
      <c r="AE612">
        <f>IF(OR(AE$4="",$A612&gt;TODAY()),0,IF(OR(INDEX($B612:$D612,AE$5)="F",AND(AE$6&gt;0,$A612&lt;AE$6),AND(AE$7&gt;0,$A612&gt;AE$7)),0,MAX(0,ROUND((INDEX($E612:$G612,AE$5)-SUMIFS(TF_Timer,TF_Tekniker,AE$4,TF_Dato,$A612))*2,0)/2)))</f>
        <v/>
      </c>
      <c r="AF612">
        <f>IF(OR(AF$4="",$A612&gt;TODAY()),0,IF(OR(INDEX($B612:$D612,AF$5)="F",AND(AF$6&gt;0,$A612&lt;AF$6),AND(AF$7&gt;0,$A612&gt;AF$7)),0,MAX(0,ROUND((INDEX($E612:$G612,AF$5)-SUMIFS(TF_Timer,TF_Tekniker,AF$4,TF_Dato,$A612))*2,0)/2)))</f>
        <v/>
      </c>
      <c r="AG612">
        <f>IF(OR(AG$4="",$A612&gt;TODAY()),0,IF(OR(INDEX($B612:$D612,AG$5)="F",AND(AG$6&gt;0,$A612&lt;AG$6),AND(AG$7&gt;0,$A612&gt;AG$7)),0,MAX(0,ROUND((INDEX($E612:$G612,AG$5)-SUMIFS(TF_Timer,TF_Tekniker,AG$4,TF_Dato,$A612))*2,0)/2)))</f>
        <v/>
      </c>
      <c r="AH612">
        <f>IF(OR(AH$4="",$A612&gt;TODAY()),0,IF(OR(INDEX($B612:$D612,AH$5)="F",AND(AH$6&gt;0,$A612&lt;AH$6),AND(AH$7&gt;0,$A612&gt;AH$7)),0,MAX(0,ROUND((INDEX($E612:$G612,AH$5)-SUMIFS(TF_Timer,TF_Tekniker,AH$4,TF_Dato,$A612))*2,0)/2)))</f>
        <v/>
      </c>
      <c r="AI612">
        <f>IF(OR(AI$4="",$A612&gt;TODAY()),0,IF(OR(INDEX($B612:$D612,AI$5)="F",AND(AI$6&gt;0,$A612&lt;AI$6),AND(AI$7&gt;0,$A612&gt;AI$7)),0,MAX(0,ROUND((INDEX($E612:$G612,AI$5)-SUMIFS(TF_Timer,TF_Tekniker,AI$4,TF_Dato,$A612))*2,0)/2)))</f>
        <v/>
      </c>
      <c r="AJ612">
        <f>IF(OR(AJ$4="",$A612&gt;TODAY()),0,IF(OR(INDEX($B612:$D612,AJ$5)="F",AND(AJ$6&gt;0,$A612&lt;AJ$6),AND(AJ$7&gt;0,$A612&gt;AJ$7)),0,MAX(0,ROUND((INDEX($E612:$G612,AJ$5)-SUMIFS(TF_Timer,TF_Tekniker,AJ$4,TF_Dato,$A612))*2,0)/2)))</f>
        <v/>
      </c>
      <c r="AK612">
        <f>IF(OR(AK$4="",$A612&gt;TODAY()),0,IF(OR(INDEX($B612:$D612,AK$5)="F",AND(AK$6&gt;0,$A612&lt;AK$6),AND(AK$7&gt;0,$A612&gt;AK$7)),0,MAX(0,ROUND((INDEX($E612:$G612,AK$5)-SUMIFS(TF_Timer,TF_Tekniker,AK$4,TF_Dato,$A612))*2,0)/2)))</f>
        <v/>
      </c>
      <c r="AL612">
        <f>IF(OR(AL$4="",$A612&gt;TODAY()),0,IF(OR(INDEX($B612:$D612,AL$5)="F",AND(AL$6&gt;0,$A612&lt;AL$6),AND(AL$7&gt;0,$A612&gt;AL$7)),0,MAX(0,ROUND((INDEX($E612:$G612,AL$5)-SUMIFS(TF_Timer,TF_Tekniker,AL$4,TF_Dato,$A612))*2,0)/2)))</f>
        <v/>
      </c>
      <c r="AM612">
        <f>IF(OR(AM$4="",$A612&gt;TODAY()),0,IF(OR(INDEX($B612:$D612,AM$5)="F",AND(AM$6&gt;0,$A612&lt;AM$6),AND(AM$7&gt;0,$A612&gt;AM$7)),0,MAX(0,ROUND((INDEX($E612:$G612,AM$5)-SUMIFS(TF_Timer,TF_Tekniker,AM$4,TF_Dato,$A612))*2,0)/2)))</f>
        <v/>
      </c>
      <c r="AN612">
        <f>IF(OR(AN$4="",$A612&gt;TODAY()),0,IF(OR(INDEX($B612:$D612,AN$5)="F",AND(AN$6&gt;0,$A612&lt;AN$6),AND(AN$7&gt;0,$A612&gt;AN$7)),0,MAX(0,ROUND((INDEX($E612:$G612,AN$5)-SUMIFS(TF_Timer,TF_Tekniker,AN$4,TF_Dato,$A612))*2,0)/2)))</f>
        <v/>
      </c>
      <c r="AO612">
        <f>IF(OR(AO$4="",$A612&gt;TODAY()),0,IF(OR(INDEX($B612:$D612,AO$5)="F",AND(AO$6&gt;0,$A612&lt;AO$6),AND(AO$7&gt;0,$A612&gt;AO$7)),0,MAX(0,ROUND((INDEX($E612:$G612,AO$5)-SUMIFS(TF_Timer,TF_Tekniker,AO$4,TF_Dato,$A612))*2,0)/2)))</f>
        <v/>
      </c>
      <c r="AP612">
        <f>IF(OR(AP$4="",$A612&gt;TODAY()),0,IF(OR(INDEX($B612:$D612,AP$5)="F",AND(AP$6&gt;0,$A612&lt;AP$6),AND(AP$7&gt;0,$A612&gt;AP$7)),0,MAX(0,ROUND((INDEX($E612:$G612,AP$5)-SUMIFS(TF_Timer,TF_Tekniker,AP$4,TF_Dato,$A612))*2,0)/2)))</f>
        <v/>
      </c>
      <c r="AQ612">
        <f>IF(OR(AQ$4="",$A612&gt;TODAY()),0,IF(OR(INDEX($B612:$D612,AQ$5)="F",AND(AQ$6&gt;0,$A612&lt;AQ$6),AND(AQ$7&gt;0,$A612&gt;AQ$7)),0,MAX(0,ROUND((INDEX($E612:$G612,AQ$5)-SUMIFS(TF_Timer,TF_Tekniker,AQ$4,TF_Dato,$A612))*2,0)/2)))</f>
        <v/>
      </c>
      <c r="AR612">
        <f>IF(OR(AR$4="",$A612&gt;TODAY()),0,IF(OR(INDEX($B612:$D612,AR$5)="F",AND(AR$6&gt;0,$A612&lt;AR$6),AND(AR$7&gt;0,$A612&gt;AR$7)),0,MAX(0,ROUND((INDEX($E612:$G612,AR$5)-SUMIFS(TF_Timer,TF_Tekniker,AR$4,TF_Dato,$A612))*2,0)/2)))</f>
        <v/>
      </c>
      <c r="AS612">
        <f>IF(OR(AS$4="",$A612&gt;TODAY()),0,IF(OR(INDEX($B612:$D612,AS$5)="F",AND(AS$6&gt;0,$A612&lt;AS$6),AND(AS$7&gt;0,$A612&gt;AS$7)),0,MAX(0,ROUND((INDEX($E612:$G612,AS$5)-SUMIFS(TF_Timer,TF_Tekniker,AS$4,TF_Dato,$A612))*2,0)/2)))</f>
        <v/>
      </c>
      <c r="AT612">
        <f>IF(OR(AT$4="",$A612&gt;TODAY()),0,IF(OR(INDEX($B612:$D612,AT$5)="F",AND(AT$6&gt;0,$A612&lt;AT$6),AND(AT$7&gt;0,$A612&gt;AT$7)),0,MAX(0,ROUND((INDEX($E612:$G612,AT$5)-SUMIFS(TF_Timer,TF_Tekniker,AT$4,TF_Dato,$A612))*2,0)/2)))</f>
        <v/>
      </c>
      <c r="AU612">
        <f>IF(OR(AU$4="",$A612&gt;TODAY()),0,IF(OR(INDEX($B612:$D612,AU$5)="F",AND(AU$6&gt;0,$A612&lt;AU$6),AND(AU$7&gt;0,$A612&gt;AU$7)),0,MAX(0,ROUND((INDEX($E612:$G612,AU$5)-SUMIFS(TF_Timer,TF_Tekniker,AU$4,TF_Dato,$A612))*2,0)/2)))</f>
        <v/>
      </c>
      <c r="AV612">
        <f>IF(OR(AV$4="",$A612&gt;TODAY()),0,IF(OR(INDEX($B612:$D612,AV$5)="F",AND(AV$6&gt;0,$A612&lt;AV$6),AND(AV$7&gt;0,$A612&gt;AV$7)),0,MAX(0,ROUND((INDEX($E612:$G612,AV$5)-SUMIFS(TF_Timer,TF_Tekniker,AV$4,TF_Dato,$A612))*2,0)/2)))</f>
        <v/>
      </c>
      <c r="AW612">
        <f>IF(OR(AW$4="",$A612&gt;TODAY()),0,IF(OR(INDEX($B612:$D612,AW$5)="F",AND(AW$6&gt;0,$A612&lt;AW$6),AND(AW$7&gt;0,$A612&gt;AW$7)),0,MAX(0,ROUND((INDEX($E612:$G612,AW$5)-SUMIFS(TF_Timer,TF_Tekniker,AW$4,TF_Dato,$A612))*2,0)/2)))</f>
        <v/>
      </c>
      <c r="AX612">
        <f>IF(OR(AX$4="",$A612&gt;TODAY()),0,IF(OR(INDEX($B612:$D612,AX$5)="F",AND(AX$6&gt;0,$A612&lt;AX$6),AND(AX$7&gt;0,$A612&gt;AX$7)),0,MAX(0,ROUND((INDEX($E612:$G612,AX$5)-SUMIFS(TF_Timer,TF_Tekniker,AX$4,TF_Dato,$A612))*2,0)/2)))</f>
        <v/>
      </c>
      <c r="AY612">
        <f>IF(OR(AY$4="",$A612&gt;TODAY()),0,IF(OR(INDEX($B612:$D612,AY$5)="F",AND(AY$6&gt;0,$A612&lt;AY$6),AND(AY$7&gt;0,$A612&gt;AY$7)),0,MAX(0,ROUND((INDEX($E612:$G612,AY$5)-SUMIFS(TF_Timer,TF_Tekniker,AY$4,TF_Dato,$A612))*2,0)/2)))</f>
        <v/>
      </c>
      <c r="AZ612">
        <f>IF(OR(AZ$4="",$A612&gt;TODAY()),0,IF(OR(INDEX($B612:$D612,AZ$5)="F",AND(AZ$6&gt;0,$A612&lt;AZ$6),AND(AZ$7&gt;0,$A612&gt;AZ$7)),0,MAX(0,ROUND((INDEX($E612:$G612,AZ$5)-SUMIFS(TF_Timer,TF_Tekniker,AZ$4,TF_Dato,$A612))*2,0)/2)))</f>
        <v/>
      </c>
      <c r="BA612">
        <f>IF(OR(BA$4="",$A612&gt;TODAY()),0,IF(OR(INDEX($B612:$D612,BA$5)="F",AND(BA$6&gt;0,$A612&lt;BA$6),AND(BA$7&gt;0,$A612&gt;BA$7)),0,MAX(0,ROUND((INDEX($E612:$G612,BA$5)-SUMIFS(TF_Timer,TF_Tekniker,BA$4,TF_Dato,$A612))*2,0)/2)))</f>
        <v/>
      </c>
      <c r="BB612">
        <f>IF(OR(BB$4="",$A612&gt;TODAY()),0,IF(OR(INDEX($B612:$D612,BB$5)="F",AND(BB$6&gt;0,$A612&lt;BB$6),AND(BB$7&gt;0,$A612&gt;BB$7)),0,MAX(0,ROUND((INDEX($E612:$G612,BB$5)-SUMIFS(TF_Timer,TF_Tekniker,BB$4,TF_Dato,$A612))*2,0)/2)))</f>
        <v/>
      </c>
      <c r="BC612">
        <f>IF(OR(BC$4="",$A612&gt;TODAY()),0,IF(OR(INDEX($B612:$D612,BC$5)="F",AND(BC$6&gt;0,$A612&lt;BC$6),AND(BC$7&gt;0,$A612&gt;BC$7)),0,MAX(0,ROUND((INDEX($E612:$G612,BC$5)-SUMIFS(TF_Timer,TF_Tekniker,BC$4,TF_Dato,$A612))*2,0)/2)))</f>
        <v/>
      </c>
      <c r="BD612">
        <f>IF(OR(BD$4="",$A612&gt;TODAY()),0,IF(OR(INDEX($B612:$D612,BD$5)="F",AND(BD$6&gt;0,$A612&lt;BD$6),AND(BD$7&gt;0,$A612&gt;BD$7)),0,MAX(0,ROUND((INDEX($E612:$G612,BD$5)-SUMIFS(TF_Timer,TF_Tekniker,BD$4,TF_Dato,$A612))*2,0)/2)))</f>
        <v/>
      </c>
      <c r="BE612">
        <f>IF(OR(BE$4="",$A612&gt;TODAY()),0,IF(OR(INDEX($B612:$D612,BE$5)="F",AND(BE$6&gt;0,$A612&lt;BE$6),AND(BE$7&gt;0,$A612&gt;BE$7)),0,MAX(0,ROUND((INDEX($E612:$G612,BE$5)-SUMIFS(TF_Timer,TF_Tekniker,BE$4,TF_Dato,$A612))*2,0)/2)))</f>
        <v/>
      </c>
      <c r="BF612">
        <f>IF(OR(BF$4="",$A612&gt;TODAY()),0,IF(OR(INDEX($B612:$D612,BF$5)="F",AND(BF$6&gt;0,$A612&lt;BF$6),AND(BF$7&gt;0,$A612&gt;BF$7)),0,MAX(0,ROUND((INDEX($E612:$G612,BF$5)-SUMIFS(TF_Timer,TF_Tekniker,BF$4,TF_Dato,$A612))*2,0)/2)))</f>
        <v/>
      </c>
      <c r="BG612">
        <f>IF(OR(BG$4="",$A612&gt;TODAY()),0,IF(OR(INDEX($B612:$D612,BG$5)="F",AND(BG$6&gt;0,$A612&lt;BG$6),AND(BG$7&gt;0,$A612&gt;BG$7)),0,MAX(0,ROUND((INDEX($E612:$G612,BG$5)-SUMIFS(TF_Timer,TF_Tekniker,BG$4,TF_Dato,$A612))*2,0)/2)))</f>
        <v/>
      </c>
      <c r="BH612">
        <f>IF(OR(BH$4="",$A612&gt;TODAY()),0,IF(OR(INDEX($B612:$D612,BH$5)="F",AND(BH$6&gt;0,$A612&lt;BH$6),AND(BH$7&gt;0,$A612&gt;BH$7)),0,MAX(0,ROUND((INDEX($E612:$G612,BH$5)-SUMIFS(TF_Timer,TF_Tekniker,BH$4,TF_Dato,$A612))*2,0)/2)))</f>
        <v/>
      </c>
      <c r="BI612">
        <f>IF(OR(BI$4="",$A612&gt;TODAY()),0,IF(OR(INDEX($B612:$D612,BI$5)="F",AND(BI$6&gt;0,$A612&lt;BI$6),AND(BI$7&gt;0,$A612&gt;BI$7)),0,MAX(0,ROUND((INDEX($E612:$G612,BI$5)-SUMIFS(TF_Timer,TF_Tekniker,BI$4,TF_Dato,$A612))*2,0)/2)))</f>
        <v/>
      </c>
    </row>
    <row r="613">
      <c r="A613" s="64">
        <f>A612+1</f>
        <v/>
      </c>
      <c r="B613">
        <f>IF(MOD($A613-INDEX(SkiftStart,1),Syklus)&lt;DagK,"K",IF(MOD($A613-INDEX(SkiftStart,1),Syklus)&lt;DagK+DagH,"H",IF(MOD($A613-INDEX(SkiftStart,1),Syklus)&lt;DagK+DagH+DagD,"D","F")))</f>
        <v/>
      </c>
      <c r="C613">
        <f>IF(MOD($A613-INDEX(SkiftStart,2),Syklus)&lt;DagK,"K",IF(MOD($A613-INDEX(SkiftStart,2),Syklus)&lt;DagK+DagH,"H",IF(MOD($A613-INDEX(SkiftStart,2),Syklus)&lt;DagK+DagH+DagD,"D","F")))</f>
        <v/>
      </c>
      <c r="D613">
        <f>IF(MOD($A613-INDEX(SkiftStart,3),Syklus)&lt;DagK,"K",IF(MOD($A613-INDEX(SkiftStart,3),Syklus)&lt;DagK+DagH,"H",IF(MOD($A613-INDEX(SkiftStart,3),Syklus)&lt;DagK+DagH+DagD,"D","F")))</f>
        <v/>
      </c>
      <c r="E613">
        <f>IF(B613="F",0,IF(WEEKDAY($A613,2)=5,INDEX(TimerFr,MATCH(B613,FaseKode,0)),INDEX(TimerMT,MATCH(B613,FaseKode,0))))</f>
        <v/>
      </c>
      <c r="F613">
        <f>IF(C613="F",0,IF(WEEKDAY($A613,2)=5,INDEX(TimerFr,MATCH(C613,FaseKode,0)),INDEX(TimerMT,MATCH(C613,FaseKode,0))))</f>
        <v/>
      </c>
      <c r="G613">
        <f>IF(D613="F",0,IF(WEEKDAY($A613,2)=5,INDEX(TimerFr,MATCH(D613,FaseKode,0)),INDEX(TimerMT,MATCH(D613,FaseKode,0))))</f>
        <v/>
      </c>
      <c r="H613">
        <f>IF(OR(H$4="",$A613&gt;TODAY()),0,IF(OR(INDEX($B613:$D613,H$5)="F",AND(H$6&gt;0,$A613&lt;H$6),AND(H$7&gt;0,$A613&gt;H$7)),0,MAX(0,ROUND((INDEX($E613:$G613,H$5)-SUMIFS(TF_Timer,TF_Tekniker,H$4,TF_Dato,$A613))*2,0)/2)))</f>
        <v/>
      </c>
      <c r="I613">
        <f>IF(OR(I$4="",$A613&gt;TODAY()),0,IF(OR(INDEX($B613:$D613,I$5)="F",AND(I$6&gt;0,$A613&lt;I$6),AND(I$7&gt;0,$A613&gt;I$7)),0,MAX(0,ROUND((INDEX($E613:$G613,I$5)-SUMIFS(TF_Timer,TF_Tekniker,I$4,TF_Dato,$A613))*2,0)/2)))</f>
        <v/>
      </c>
      <c r="J613">
        <f>IF(OR(J$4="",$A613&gt;TODAY()),0,IF(OR(INDEX($B613:$D613,J$5)="F",AND(J$6&gt;0,$A613&lt;J$6),AND(J$7&gt;0,$A613&gt;J$7)),0,MAX(0,ROUND((INDEX($E613:$G613,J$5)-SUMIFS(TF_Timer,TF_Tekniker,J$4,TF_Dato,$A613))*2,0)/2)))</f>
        <v/>
      </c>
      <c r="K613">
        <f>IF(OR(K$4="",$A613&gt;TODAY()),0,IF(OR(INDEX($B613:$D613,K$5)="F",AND(K$6&gt;0,$A613&lt;K$6),AND(K$7&gt;0,$A613&gt;K$7)),0,MAX(0,ROUND((INDEX($E613:$G613,K$5)-SUMIFS(TF_Timer,TF_Tekniker,K$4,TF_Dato,$A613))*2,0)/2)))</f>
        <v/>
      </c>
      <c r="L613">
        <f>IF(OR(L$4="",$A613&gt;TODAY()),0,IF(OR(INDEX($B613:$D613,L$5)="F",AND(L$6&gt;0,$A613&lt;L$6),AND(L$7&gt;0,$A613&gt;L$7)),0,MAX(0,ROUND((INDEX($E613:$G613,L$5)-SUMIFS(TF_Timer,TF_Tekniker,L$4,TF_Dato,$A613))*2,0)/2)))</f>
        <v/>
      </c>
      <c r="M613">
        <f>IF(OR(M$4="",$A613&gt;TODAY()),0,IF(OR(INDEX($B613:$D613,M$5)="F",AND(M$6&gt;0,$A613&lt;M$6),AND(M$7&gt;0,$A613&gt;M$7)),0,MAX(0,ROUND((INDEX($E613:$G613,M$5)-SUMIFS(TF_Timer,TF_Tekniker,M$4,TF_Dato,$A613))*2,0)/2)))</f>
        <v/>
      </c>
      <c r="N613">
        <f>IF(OR(N$4="",$A613&gt;TODAY()),0,IF(OR(INDEX($B613:$D613,N$5)="F",AND(N$6&gt;0,$A613&lt;N$6),AND(N$7&gt;0,$A613&gt;N$7)),0,MAX(0,ROUND((INDEX($E613:$G613,N$5)-SUMIFS(TF_Timer,TF_Tekniker,N$4,TF_Dato,$A613))*2,0)/2)))</f>
        <v/>
      </c>
      <c r="O613">
        <f>IF(OR(O$4="",$A613&gt;TODAY()),0,IF(OR(INDEX($B613:$D613,O$5)="F",AND(O$6&gt;0,$A613&lt;O$6),AND(O$7&gt;0,$A613&gt;O$7)),0,MAX(0,ROUND((INDEX($E613:$G613,O$5)-SUMIFS(TF_Timer,TF_Tekniker,O$4,TF_Dato,$A613))*2,0)/2)))</f>
        <v/>
      </c>
      <c r="P613">
        <f>IF(OR(P$4="",$A613&gt;TODAY()),0,IF(OR(INDEX($B613:$D613,P$5)="F",AND(P$6&gt;0,$A613&lt;P$6),AND(P$7&gt;0,$A613&gt;P$7)),0,MAX(0,ROUND((INDEX($E613:$G613,P$5)-SUMIFS(TF_Timer,TF_Tekniker,P$4,TF_Dato,$A613))*2,0)/2)))</f>
        <v/>
      </c>
      <c r="Q613">
        <f>IF(OR(Q$4="",$A613&gt;TODAY()),0,IF(OR(INDEX($B613:$D613,Q$5)="F",AND(Q$6&gt;0,$A613&lt;Q$6),AND(Q$7&gt;0,$A613&gt;Q$7)),0,MAX(0,ROUND((INDEX($E613:$G613,Q$5)-SUMIFS(TF_Timer,TF_Tekniker,Q$4,TF_Dato,$A613))*2,0)/2)))</f>
        <v/>
      </c>
      <c r="R613">
        <f>IF(OR(R$4="",$A613&gt;TODAY()),0,IF(OR(INDEX($B613:$D613,R$5)="F",AND(R$6&gt;0,$A613&lt;R$6),AND(R$7&gt;0,$A613&gt;R$7)),0,MAX(0,ROUND((INDEX($E613:$G613,R$5)-SUMIFS(TF_Timer,TF_Tekniker,R$4,TF_Dato,$A613))*2,0)/2)))</f>
        <v/>
      </c>
      <c r="S613">
        <f>IF(OR(S$4="",$A613&gt;TODAY()),0,IF(OR(INDEX($B613:$D613,S$5)="F",AND(S$6&gt;0,$A613&lt;S$6),AND(S$7&gt;0,$A613&gt;S$7)),0,MAX(0,ROUND((INDEX($E613:$G613,S$5)-SUMIFS(TF_Timer,TF_Tekniker,S$4,TF_Dato,$A613))*2,0)/2)))</f>
        <v/>
      </c>
      <c r="T613">
        <f>IF(OR(T$4="",$A613&gt;TODAY()),0,IF(OR(INDEX($B613:$D613,T$5)="F",AND(T$6&gt;0,$A613&lt;T$6),AND(T$7&gt;0,$A613&gt;T$7)),0,MAX(0,ROUND((INDEX($E613:$G613,T$5)-SUMIFS(TF_Timer,TF_Tekniker,T$4,TF_Dato,$A613))*2,0)/2)))</f>
        <v/>
      </c>
      <c r="U613">
        <f>IF(OR(U$4="",$A613&gt;TODAY()),0,IF(OR(INDEX($B613:$D613,U$5)="F",AND(U$6&gt;0,$A613&lt;U$6),AND(U$7&gt;0,$A613&gt;U$7)),0,MAX(0,ROUND((INDEX($E613:$G613,U$5)-SUMIFS(TF_Timer,TF_Tekniker,U$4,TF_Dato,$A613))*2,0)/2)))</f>
        <v/>
      </c>
      <c r="V613">
        <f>IF(OR(V$4="",$A613&gt;TODAY()),0,IF(OR(INDEX($B613:$D613,V$5)="F",AND(V$6&gt;0,$A613&lt;V$6),AND(V$7&gt;0,$A613&gt;V$7)),0,MAX(0,ROUND((INDEX($E613:$G613,V$5)-SUMIFS(TF_Timer,TF_Tekniker,V$4,TF_Dato,$A613))*2,0)/2)))</f>
        <v/>
      </c>
      <c r="W613">
        <f>IF(OR(W$4="",$A613&gt;TODAY()),0,IF(OR(INDEX($B613:$D613,W$5)="F",AND(W$6&gt;0,$A613&lt;W$6),AND(W$7&gt;0,$A613&gt;W$7)),0,MAX(0,ROUND((INDEX($E613:$G613,W$5)-SUMIFS(TF_Timer,TF_Tekniker,W$4,TF_Dato,$A613))*2,0)/2)))</f>
        <v/>
      </c>
      <c r="X613">
        <f>IF(OR(X$4="",$A613&gt;TODAY()),0,IF(OR(INDEX($B613:$D613,X$5)="F",AND(X$6&gt;0,$A613&lt;X$6),AND(X$7&gt;0,$A613&gt;X$7)),0,MAX(0,ROUND((INDEX($E613:$G613,X$5)-SUMIFS(TF_Timer,TF_Tekniker,X$4,TF_Dato,$A613))*2,0)/2)))</f>
        <v/>
      </c>
      <c r="Y613">
        <f>IF(OR(Y$4="",$A613&gt;TODAY()),0,IF(OR(INDEX($B613:$D613,Y$5)="F",AND(Y$6&gt;0,$A613&lt;Y$6),AND(Y$7&gt;0,$A613&gt;Y$7)),0,MAX(0,ROUND((INDEX($E613:$G613,Y$5)-SUMIFS(TF_Timer,TF_Tekniker,Y$4,TF_Dato,$A613))*2,0)/2)))</f>
        <v/>
      </c>
      <c r="Z613">
        <f>IF(OR(Z$4="",$A613&gt;TODAY()),0,IF(OR(INDEX($B613:$D613,Z$5)="F",AND(Z$6&gt;0,$A613&lt;Z$6),AND(Z$7&gt;0,$A613&gt;Z$7)),0,MAX(0,ROUND((INDEX($E613:$G613,Z$5)-SUMIFS(TF_Timer,TF_Tekniker,Z$4,TF_Dato,$A613))*2,0)/2)))</f>
        <v/>
      </c>
      <c r="AA613">
        <f>IF(OR(AA$4="",$A613&gt;TODAY()),0,IF(OR(INDEX($B613:$D613,AA$5)="F",AND(AA$6&gt;0,$A613&lt;AA$6),AND(AA$7&gt;0,$A613&gt;AA$7)),0,MAX(0,ROUND((INDEX($E613:$G613,AA$5)-SUMIFS(TF_Timer,TF_Tekniker,AA$4,TF_Dato,$A613))*2,0)/2)))</f>
        <v/>
      </c>
      <c r="AB613">
        <f>IF(OR(AB$4="",$A613&gt;TODAY()),0,IF(OR(INDEX($B613:$D613,AB$5)="F",AND(AB$6&gt;0,$A613&lt;AB$6),AND(AB$7&gt;0,$A613&gt;AB$7)),0,MAX(0,ROUND((INDEX($E613:$G613,AB$5)-SUMIFS(TF_Timer,TF_Tekniker,AB$4,TF_Dato,$A613))*2,0)/2)))</f>
        <v/>
      </c>
      <c r="AC613">
        <f>IF(OR(AC$4="",$A613&gt;TODAY()),0,IF(OR(INDEX($B613:$D613,AC$5)="F",AND(AC$6&gt;0,$A613&lt;AC$6),AND(AC$7&gt;0,$A613&gt;AC$7)),0,MAX(0,ROUND((INDEX($E613:$G613,AC$5)-SUMIFS(TF_Timer,TF_Tekniker,AC$4,TF_Dato,$A613))*2,0)/2)))</f>
        <v/>
      </c>
      <c r="AD613">
        <f>IF(OR(AD$4="",$A613&gt;TODAY()),0,IF(OR(INDEX($B613:$D613,AD$5)="F",AND(AD$6&gt;0,$A613&lt;AD$6),AND(AD$7&gt;0,$A613&gt;AD$7)),0,MAX(0,ROUND((INDEX($E613:$G613,AD$5)-SUMIFS(TF_Timer,TF_Tekniker,AD$4,TF_Dato,$A613))*2,0)/2)))</f>
        <v/>
      </c>
      <c r="AE613">
        <f>IF(OR(AE$4="",$A613&gt;TODAY()),0,IF(OR(INDEX($B613:$D613,AE$5)="F",AND(AE$6&gt;0,$A613&lt;AE$6),AND(AE$7&gt;0,$A613&gt;AE$7)),0,MAX(0,ROUND((INDEX($E613:$G613,AE$5)-SUMIFS(TF_Timer,TF_Tekniker,AE$4,TF_Dato,$A613))*2,0)/2)))</f>
        <v/>
      </c>
      <c r="AF613">
        <f>IF(OR(AF$4="",$A613&gt;TODAY()),0,IF(OR(INDEX($B613:$D613,AF$5)="F",AND(AF$6&gt;0,$A613&lt;AF$6),AND(AF$7&gt;0,$A613&gt;AF$7)),0,MAX(0,ROUND((INDEX($E613:$G613,AF$5)-SUMIFS(TF_Timer,TF_Tekniker,AF$4,TF_Dato,$A613))*2,0)/2)))</f>
        <v/>
      </c>
      <c r="AG613">
        <f>IF(OR(AG$4="",$A613&gt;TODAY()),0,IF(OR(INDEX($B613:$D613,AG$5)="F",AND(AG$6&gt;0,$A613&lt;AG$6),AND(AG$7&gt;0,$A613&gt;AG$7)),0,MAX(0,ROUND((INDEX($E613:$G613,AG$5)-SUMIFS(TF_Timer,TF_Tekniker,AG$4,TF_Dato,$A613))*2,0)/2)))</f>
        <v/>
      </c>
      <c r="AH613">
        <f>IF(OR(AH$4="",$A613&gt;TODAY()),0,IF(OR(INDEX($B613:$D613,AH$5)="F",AND(AH$6&gt;0,$A613&lt;AH$6),AND(AH$7&gt;0,$A613&gt;AH$7)),0,MAX(0,ROUND((INDEX($E613:$G613,AH$5)-SUMIFS(TF_Timer,TF_Tekniker,AH$4,TF_Dato,$A613))*2,0)/2)))</f>
        <v/>
      </c>
      <c r="AI613">
        <f>IF(OR(AI$4="",$A613&gt;TODAY()),0,IF(OR(INDEX($B613:$D613,AI$5)="F",AND(AI$6&gt;0,$A613&lt;AI$6),AND(AI$7&gt;0,$A613&gt;AI$7)),0,MAX(0,ROUND((INDEX($E613:$G613,AI$5)-SUMIFS(TF_Timer,TF_Tekniker,AI$4,TF_Dato,$A613))*2,0)/2)))</f>
        <v/>
      </c>
      <c r="AJ613">
        <f>IF(OR(AJ$4="",$A613&gt;TODAY()),0,IF(OR(INDEX($B613:$D613,AJ$5)="F",AND(AJ$6&gt;0,$A613&lt;AJ$6),AND(AJ$7&gt;0,$A613&gt;AJ$7)),0,MAX(0,ROUND((INDEX($E613:$G613,AJ$5)-SUMIFS(TF_Timer,TF_Tekniker,AJ$4,TF_Dato,$A613))*2,0)/2)))</f>
        <v/>
      </c>
      <c r="AK613">
        <f>IF(OR(AK$4="",$A613&gt;TODAY()),0,IF(OR(INDEX($B613:$D613,AK$5)="F",AND(AK$6&gt;0,$A613&lt;AK$6),AND(AK$7&gt;0,$A613&gt;AK$7)),0,MAX(0,ROUND((INDEX($E613:$G613,AK$5)-SUMIFS(TF_Timer,TF_Tekniker,AK$4,TF_Dato,$A613))*2,0)/2)))</f>
        <v/>
      </c>
      <c r="AL613">
        <f>IF(OR(AL$4="",$A613&gt;TODAY()),0,IF(OR(INDEX($B613:$D613,AL$5)="F",AND(AL$6&gt;0,$A613&lt;AL$6),AND(AL$7&gt;0,$A613&gt;AL$7)),0,MAX(0,ROUND((INDEX($E613:$G613,AL$5)-SUMIFS(TF_Timer,TF_Tekniker,AL$4,TF_Dato,$A613))*2,0)/2)))</f>
        <v/>
      </c>
      <c r="AM613">
        <f>IF(OR(AM$4="",$A613&gt;TODAY()),0,IF(OR(INDEX($B613:$D613,AM$5)="F",AND(AM$6&gt;0,$A613&lt;AM$6),AND(AM$7&gt;0,$A613&gt;AM$7)),0,MAX(0,ROUND((INDEX($E613:$G613,AM$5)-SUMIFS(TF_Timer,TF_Tekniker,AM$4,TF_Dato,$A613))*2,0)/2)))</f>
        <v/>
      </c>
      <c r="AN613">
        <f>IF(OR(AN$4="",$A613&gt;TODAY()),0,IF(OR(INDEX($B613:$D613,AN$5)="F",AND(AN$6&gt;0,$A613&lt;AN$6),AND(AN$7&gt;0,$A613&gt;AN$7)),0,MAX(0,ROUND((INDEX($E613:$G613,AN$5)-SUMIFS(TF_Timer,TF_Tekniker,AN$4,TF_Dato,$A613))*2,0)/2)))</f>
        <v/>
      </c>
      <c r="AO613">
        <f>IF(OR(AO$4="",$A613&gt;TODAY()),0,IF(OR(INDEX($B613:$D613,AO$5)="F",AND(AO$6&gt;0,$A613&lt;AO$6),AND(AO$7&gt;0,$A613&gt;AO$7)),0,MAX(0,ROUND((INDEX($E613:$G613,AO$5)-SUMIFS(TF_Timer,TF_Tekniker,AO$4,TF_Dato,$A613))*2,0)/2)))</f>
        <v/>
      </c>
      <c r="AP613">
        <f>IF(OR(AP$4="",$A613&gt;TODAY()),0,IF(OR(INDEX($B613:$D613,AP$5)="F",AND(AP$6&gt;0,$A613&lt;AP$6),AND(AP$7&gt;0,$A613&gt;AP$7)),0,MAX(0,ROUND((INDEX($E613:$G613,AP$5)-SUMIFS(TF_Timer,TF_Tekniker,AP$4,TF_Dato,$A613))*2,0)/2)))</f>
        <v/>
      </c>
      <c r="AQ613">
        <f>IF(OR(AQ$4="",$A613&gt;TODAY()),0,IF(OR(INDEX($B613:$D613,AQ$5)="F",AND(AQ$6&gt;0,$A613&lt;AQ$6),AND(AQ$7&gt;0,$A613&gt;AQ$7)),0,MAX(0,ROUND((INDEX($E613:$G613,AQ$5)-SUMIFS(TF_Timer,TF_Tekniker,AQ$4,TF_Dato,$A613))*2,0)/2)))</f>
        <v/>
      </c>
      <c r="AR613">
        <f>IF(OR(AR$4="",$A613&gt;TODAY()),0,IF(OR(INDEX($B613:$D613,AR$5)="F",AND(AR$6&gt;0,$A613&lt;AR$6),AND(AR$7&gt;0,$A613&gt;AR$7)),0,MAX(0,ROUND((INDEX($E613:$G613,AR$5)-SUMIFS(TF_Timer,TF_Tekniker,AR$4,TF_Dato,$A613))*2,0)/2)))</f>
        <v/>
      </c>
      <c r="AS613">
        <f>IF(OR(AS$4="",$A613&gt;TODAY()),0,IF(OR(INDEX($B613:$D613,AS$5)="F",AND(AS$6&gt;0,$A613&lt;AS$6),AND(AS$7&gt;0,$A613&gt;AS$7)),0,MAX(0,ROUND((INDEX($E613:$G613,AS$5)-SUMIFS(TF_Timer,TF_Tekniker,AS$4,TF_Dato,$A613))*2,0)/2)))</f>
        <v/>
      </c>
      <c r="AT613">
        <f>IF(OR(AT$4="",$A613&gt;TODAY()),0,IF(OR(INDEX($B613:$D613,AT$5)="F",AND(AT$6&gt;0,$A613&lt;AT$6),AND(AT$7&gt;0,$A613&gt;AT$7)),0,MAX(0,ROUND((INDEX($E613:$G613,AT$5)-SUMIFS(TF_Timer,TF_Tekniker,AT$4,TF_Dato,$A613))*2,0)/2)))</f>
        <v/>
      </c>
      <c r="AU613">
        <f>IF(OR(AU$4="",$A613&gt;TODAY()),0,IF(OR(INDEX($B613:$D613,AU$5)="F",AND(AU$6&gt;0,$A613&lt;AU$6),AND(AU$7&gt;0,$A613&gt;AU$7)),0,MAX(0,ROUND((INDEX($E613:$G613,AU$5)-SUMIFS(TF_Timer,TF_Tekniker,AU$4,TF_Dato,$A613))*2,0)/2)))</f>
        <v/>
      </c>
      <c r="AV613">
        <f>IF(OR(AV$4="",$A613&gt;TODAY()),0,IF(OR(INDEX($B613:$D613,AV$5)="F",AND(AV$6&gt;0,$A613&lt;AV$6),AND(AV$7&gt;0,$A613&gt;AV$7)),0,MAX(0,ROUND((INDEX($E613:$G613,AV$5)-SUMIFS(TF_Timer,TF_Tekniker,AV$4,TF_Dato,$A613))*2,0)/2)))</f>
        <v/>
      </c>
      <c r="AW613">
        <f>IF(OR(AW$4="",$A613&gt;TODAY()),0,IF(OR(INDEX($B613:$D613,AW$5)="F",AND(AW$6&gt;0,$A613&lt;AW$6),AND(AW$7&gt;0,$A613&gt;AW$7)),0,MAX(0,ROUND((INDEX($E613:$G613,AW$5)-SUMIFS(TF_Timer,TF_Tekniker,AW$4,TF_Dato,$A613))*2,0)/2)))</f>
        <v/>
      </c>
      <c r="AX613">
        <f>IF(OR(AX$4="",$A613&gt;TODAY()),0,IF(OR(INDEX($B613:$D613,AX$5)="F",AND(AX$6&gt;0,$A613&lt;AX$6),AND(AX$7&gt;0,$A613&gt;AX$7)),0,MAX(0,ROUND((INDEX($E613:$G613,AX$5)-SUMIFS(TF_Timer,TF_Tekniker,AX$4,TF_Dato,$A613))*2,0)/2)))</f>
        <v/>
      </c>
      <c r="AY613">
        <f>IF(OR(AY$4="",$A613&gt;TODAY()),0,IF(OR(INDEX($B613:$D613,AY$5)="F",AND(AY$6&gt;0,$A613&lt;AY$6),AND(AY$7&gt;0,$A613&gt;AY$7)),0,MAX(0,ROUND((INDEX($E613:$G613,AY$5)-SUMIFS(TF_Timer,TF_Tekniker,AY$4,TF_Dato,$A613))*2,0)/2)))</f>
        <v/>
      </c>
      <c r="AZ613">
        <f>IF(OR(AZ$4="",$A613&gt;TODAY()),0,IF(OR(INDEX($B613:$D613,AZ$5)="F",AND(AZ$6&gt;0,$A613&lt;AZ$6),AND(AZ$7&gt;0,$A613&gt;AZ$7)),0,MAX(0,ROUND((INDEX($E613:$G613,AZ$5)-SUMIFS(TF_Timer,TF_Tekniker,AZ$4,TF_Dato,$A613))*2,0)/2)))</f>
        <v/>
      </c>
      <c r="BA613">
        <f>IF(OR(BA$4="",$A613&gt;TODAY()),0,IF(OR(INDEX($B613:$D613,BA$5)="F",AND(BA$6&gt;0,$A613&lt;BA$6),AND(BA$7&gt;0,$A613&gt;BA$7)),0,MAX(0,ROUND((INDEX($E613:$G613,BA$5)-SUMIFS(TF_Timer,TF_Tekniker,BA$4,TF_Dato,$A613))*2,0)/2)))</f>
        <v/>
      </c>
      <c r="BB613">
        <f>IF(OR(BB$4="",$A613&gt;TODAY()),0,IF(OR(INDEX($B613:$D613,BB$5)="F",AND(BB$6&gt;0,$A613&lt;BB$6),AND(BB$7&gt;0,$A613&gt;BB$7)),0,MAX(0,ROUND((INDEX($E613:$G613,BB$5)-SUMIFS(TF_Timer,TF_Tekniker,BB$4,TF_Dato,$A613))*2,0)/2)))</f>
        <v/>
      </c>
      <c r="BC613">
        <f>IF(OR(BC$4="",$A613&gt;TODAY()),0,IF(OR(INDEX($B613:$D613,BC$5)="F",AND(BC$6&gt;0,$A613&lt;BC$6),AND(BC$7&gt;0,$A613&gt;BC$7)),0,MAX(0,ROUND((INDEX($E613:$G613,BC$5)-SUMIFS(TF_Timer,TF_Tekniker,BC$4,TF_Dato,$A613))*2,0)/2)))</f>
        <v/>
      </c>
      <c r="BD613">
        <f>IF(OR(BD$4="",$A613&gt;TODAY()),0,IF(OR(INDEX($B613:$D613,BD$5)="F",AND(BD$6&gt;0,$A613&lt;BD$6),AND(BD$7&gt;0,$A613&gt;BD$7)),0,MAX(0,ROUND((INDEX($E613:$G613,BD$5)-SUMIFS(TF_Timer,TF_Tekniker,BD$4,TF_Dato,$A613))*2,0)/2)))</f>
        <v/>
      </c>
      <c r="BE613">
        <f>IF(OR(BE$4="",$A613&gt;TODAY()),0,IF(OR(INDEX($B613:$D613,BE$5)="F",AND(BE$6&gt;0,$A613&lt;BE$6),AND(BE$7&gt;0,$A613&gt;BE$7)),0,MAX(0,ROUND((INDEX($E613:$G613,BE$5)-SUMIFS(TF_Timer,TF_Tekniker,BE$4,TF_Dato,$A613))*2,0)/2)))</f>
        <v/>
      </c>
      <c r="BF613">
        <f>IF(OR(BF$4="",$A613&gt;TODAY()),0,IF(OR(INDEX($B613:$D613,BF$5)="F",AND(BF$6&gt;0,$A613&lt;BF$6),AND(BF$7&gt;0,$A613&gt;BF$7)),0,MAX(0,ROUND((INDEX($E613:$G613,BF$5)-SUMIFS(TF_Timer,TF_Tekniker,BF$4,TF_Dato,$A613))*2,0)/2)))</f>
        <v/>
      </c>
      <c r="BG613">
        <f>IF(OR(BG$4="",$A613&gt;TODAY()),0,IF(OR(INDEX($B613:$D613,BG$5)="F",AND(BG$6&gt;0,$A613&lt;BG$6),AND(BG$7&gt;0,$A613&gt;BG$7)),0,MAX(0,ROUND((INDEX($E613:$G613,BG$5)-SUMIFS(TF_Timer,TF_Tekniker,BG$4,TF_Dato,$A613))*2,0)/2)))</f>
        <v/>
      </c>
      <c r="BH613">
        <f>IF(OR(BH$4="",$A613&gt;TODAY()),0,IF(OR(INDEX($B613:$D613,BH$5)="F",AND(BH$6&gt;0,$A613&lt;BH$6),AND(BH$7&gt;0,$A613&gt;BH$7)),0,MAX(0,ROUND((INDEX($E613:$G613,BH$5)-SUMIFS(TF_Timer,TF_Tekniker,BH$4,TF_Dato,$A613))*2,0)/2)))</f>
        <v/>
      </c>
      <c r="BI613">
        <f>IF(OR(BI$4="",$A613&gt;TODAY()),0,IF(OR(INDEX($B613:$D613,BI$5)="F",AND(BI$6&gt;0,$A613&lt;BI$6),AND(BI$7&gt;0,$A613&gt;BI$7)),0,MAX(0,ROUND((INDEX($E613:$G613,BI$5)-SUMIFS(TF_Timer,TF_Tekniker,BI$4,TF_Dato,$A613))*2,0)/2)))</f>
        <v/>
      </c>
    </row>
    <row r="614">
      <c r="A614" s="64">
        <f>A613+1</f>
        <v/>
      </c>
      <c r="B614">
        <f>IF(MOD($A614-INDEX(SkiftStart,1),Syklus)&lt;DagK,"K",IF(MOD($A614-INDEX(SkiftStart,1),Syklus)&lt;DagK+DagH,"H",IF(MOD($A614-INDEX(SkiftStart,1),Syklus)&lt;DagK+DagH+DagD,"D","F")))</f>
        <v/>
      </c>
      <c r="C614">
        <f>IF(MOD($A614-INDEX(SkiftStart,2),Syklus)&lt;DagK,"K",IF(MOD($A614-INDEX(SkiftStart,2),Syklus)&lt;DagK+DagH,"H",IF(MOD($A614-INDEX(SkiftStart,2),Syklus)&lt;DagK+DagH+DagD,"D","F")))</f>
        <v/>
      </c>
      <c r="D614">
        <f>IF(MOD($A614-INDEX(SkiftStart,3),Syklus)&lt;DagK,"K",IF(MOD($A614-INDEX(SkiftStart,3),Syklus)&lt;DagK+DagH,"H",IF(MOD($A614-INDEX(SkiftStart,3),Syklus)&lt;DagK+DagH+DagD,"D","F")))</f>
        <v/>
      </c>
      <c r="E614">
        <f>IF(B614="F",0,IF(WEEKDAY($A614,2)=5,INDEX(TimerFr,MATCH(B614,FaseKode,0)),INDEX(TimerMT,MATCH(B614,FaseKode,0))))</f>
        <v/>
      </c>
      <c r="F614">
        <f>IF(C614="F",0,IF(WEEKDAY($A614,2)=5,INDEX(TimerFr,MATCH(C614,FaseKode,0)),INDEX(TimerMT,MATCH(C614,FaseKode,0))))</f>
        <v/>
      </c>
      <c r="G614">
        <f>IF(D614="F",0,IF(WEEKDAY($A614,2)=5,INDEX(TimerFr,MATCH(D614,FaseKode,0)),INDEX(TimerMT,MATCH(D614,FaseKode,0))))</f>
        <v/>
      </c>
      <c r="H614">
        <f>IF(OR(H$4="",$A614&gt;TODAY()),0,IF(OR(INDEX($B614:$D614,H$5)="F",AND(H$6&gt;0,$A614&lt;H$6),AND(H$7&gt;0,$A614&gt;H$7)),0,MAX(0,ROUND((INDEX($E614:$G614,H$5)-SUMIFS(TF_Timer,TF_Tekniker,H$4,TF_Dato,$A614))*2,0)/2)))</f>
        <v/>
      </c>
      <c r="I614">
        <f>IF(OR(I$4="",$A614&gt;TODAY()),0,IF(OR(INDEX($B614:$D614,I$5)="F",AND(I$6&gt;0,$A614&lt;I$6),AND(I$7&gt;0,$A614&gt;I$7)),0,MAX(0,ROUND((INDEX($E614:$G614,I$5)-SUMIFS(TF_Timer,TF_Tekniker,I$4,TF_Dato,$A614))*2,0)/2)))</f>
        <v/>
      </c>
      <c r="J614">
        <f>IF(OR(J$4="",$A614&gt;TODAY()),0,IF(OR(INDEX($B614:$D614,J$5)="F",AND(J$6&gt;0,$A614&lt;J$6),AND(J$7&gt;0,$A614&gt;J$7)),0,MAX(0,ROUND((INDEX($E614:$G614,J$5)-SUMIFS(TF_Timer,TF_Tekniker,J$4,TF_Dato,$A614))*2,0)/2)))</f>
        <v/>
      </c>
      <c r="K614">
        <f>IF(OR(K$4="",$A614&gt;TODAY()),0,IF(OR(INDEX($B614:$D614,K$5)="F",AND(K$6&gt;0,$A614&lt;K$6),AND(K$7&gt;0,$A614&gt;K$7)),0,MAX(0,ROUND((INDEX($E614:$G614,K$5)-SUMIFS(TF_Timer,TF_Tekniker,K$4,TF_Dato,$A614))*2,0)/2)))</f>
        <v/>
      </c>
      <c r="L614">
        <f>IF(OR(L$4="",$A614&gt;TODAY()),0,IF(OR(INDEX($B614:$D614,L$5)="F",AND(L$6&gt;0,$A614&lt;L$6),AND(L$7&gt;0,$A614&gt;L$7)),0,MAX(0,ROUND((INDEX($E614:$G614,L$5)-SUMIFS(TF_Timer,TF_Tekniker,L$4,TF_Dato,$A614))*2,0)/2)))</f>
        <v/>
      </c>
      <c r="M614">
        <f>IF(OR(M$4="",$A614&gt;TODAY()),0,IF(OR(INDEX($B614:$D614,M$5)="F",AND(M$6&gt;0,$A614&lt;M$6),AND(M$7&gt;0,$A614&gt;M$7)),0,MAX(0,ROUND((INDEX($E614:$G614,M$5)-SUMIFS(TF_Timer,TF_Tekniker,M$4,TF_Dato,$A614))*2,0)/2)))</f>
        <v/>
      </c>
      <c r="N614">
        <f>IF(OR(N$4="",$A614&gt;TODAY()),0,IF(OR(INDEX($B614:$D614,N$5)="F",AND(N$6&gt;0,$A614&lt;N$6),AND(N$7&gt;0,$A614&gt;N$7)),0,MAX(0,ROUND((INDEX($E614:$G614,N$5)-SUMIFS(TF_Timer,TF_Tekniker,N$4,TF_Dato,$A614))*2,0)/2)))</f>
        <v/>
      </c>
      <c r="O614">
        <f>IF(OR(O$4="",$A614&gt;TODAY()),0,IF(OR(INDEX($B614:$D614,O$5)="F",AND(O$6&gt;0,$A614&lt;O$6),AND(O$7&gt;0,$A614&gt;O$7)),0,MAX(0,ROUND((INDEX($E614:$G614,O$5)-SUMIFS(TF_Timer,TF_Tekniker,O$4,TF_Dato,$A614))*2,0)/2)))</f>
        <v/>
      </c>
      <c r="P614">
        <f>IF(OR(P$4="",$A614&gt;TODAY()),0,IF(OR(INDEX($B614:$D614,P$5)="F",AND(P$6&gt;0,$A614&lt;P$6),AND(P$7&gt;0,$A614&gt;P$7)),0,MAX(0,ROUND((INDEX($E614:$G614,P$5)-SUMIFS(TF_Timer,TF_Tekniker,P$4,TF_Dato,$A614))*2,0)/2)))</f>
        <v/>
      </c>
      <c r="Q614">
        <f>IF(OR(Q$4="",$A614&gt;TODAY()),0,IF(OR(INDEX($B614:$D614,Q$5)="F",AND(Q$6&gt;0,$A614&lt;Q$6),AND(Q$7&gt;0,$A614&gt;Q$7)),0,MAX(0,ROUND((INDEX($E614:$G614,Q$5)-SUMIFS(TF_Timer,TF_Tekniker,Q$4,TF_Dato,$A614))*2,0)/2)))</f>
        <v/>
      </c>
      <c r="R614">
        <f>IF(OR(R$4="",$A614&gt;TODAY()),0,IF(OR(INDEX($B614:$D614,R$5)="F",AND(R$6&gt;0,$A614&lt;R$6),AND(R$7&gt;0,$A614&gt;R$7)),0,MAX(0,ROUND((INDEX($E614:$G614,R$5)-SUMIFS(TF_Timer,TF_Tekniker,R$4,TF_Dato,$A614))*2,0)/2)))</f>
        <v/>
      </c>
      <c r="S614">
        <f>IF(OR(S$4="",$A614&gt;TODAY()),0,IF(OR(INDEX($B614:$D614,S$5)="F",AND(S$6&gt;0,$A614&lt;S$6),AND(S$7&gt;0,$A614&gt;S$7)),0,MAX(0,ROUND((INDEX($E614:$G614,S$5)-SUMIFS(TF_Timer,TF_Tekniker,S$4,TF_Dato,$A614))*2,0)/2)))</f>
        <v/>
      </c>
      <c r="T614">
        <f>IF(OR(T$4="",$A614&gt;TODAY()),0,IF(OR(INDEX($B614:$D614,T$5)="F",AND(T$6&gt;0,$A614&lt;T$6),AND(T$7&gt;0,$A614&gt;T$7)),0,MAX(0,ROUND((INDEX($E614:$G614,T$5)-SUMIFS(TF_Timer,TF_Tekniker,T$4,TF_Dato,$A614))*2,0)/2)))</f>
        <v/>
      </c>
      <c r="U614">
        <f>IF(OR(U$4="",$A614&gt;TODAY()),0,IF(OR(INDEX($B614:$D614,U$5)="F",AND(U$6&gt;0,$A614&lt;U$6),AND(U$7&gt;0,$A614&gt;U$7)),0,MAX(0,ROUND((INDEX($E614:$G614,U$5)-SUMIFS(TF_Timer,TF_Tekniker,U$4,TF_Dato,$A614))*2,0)/2)))</f>
        <v/>
      </c>
      <c r="V614">
        <f>IF(OR(V$4="",$A614&gt;TODAY()),0,IF(OR(INDEX($B614:$D614,V$5)="F",AND(V$6&gt;0,$A614&lt;V$6),AND(V$7&gt;0,$A614&gt;V$7)),0,MAX(0,ROUND((INDEX($E614:$G614,V$5)-SUMIFS(TF_Timer,TF_Tekniker,V$4,TF_Dato,$A614))*2,0)/2)))</f>
        <v/>
      </c>
      <c r="W614">
        <f>IF(OR(W$4="",$A614&gt;TODAY()),0,IF(OR(INDEX($B614:$D614,W$5)="F",AND(W$6&gt;0,$A614&lt;W$6),AND(W$7&gt;0,$A614&gt;W$7)),0,MAX(0,ROUND((INDEX($E614:$G614,W$5)-SUMIFS(TF_Timer,TF_Tekniker,W$4,TF_Dato,$A614))*2,0)/2)))</f>
        <v/>
      </c>
      <c r="X614">
        <f>IF(OR(X$4="",$A614&gt;TODAY()),0,IF(OR(INDEX($B614:$D614,X$5)="F",AND(X$6&gt;0,$A614&lt;X$6),AND(X$7&gt;0,$A614&gt;X$7)),0,MAX(0,ROUND((INDEX($E614:$G614,X$5)-SUMIFS(TF_Timer,TF_Tekniker,X$4,TF_Dato,$A614))*2,0)/2)))</f>
        <v/>
      </c>
      <c r="Y614">
        <f>IF(OR(Y$4="",$A614&gt;TODAY()),0,IF(OR(INDEX($B614:$D614,Y$5)="F",AND(Y$6&gt;0,$A614&lt;Y$6),AND(Y$7&gt;0,$A614&gt;Y$7)),0,MAX(0,ROUND((INDEX($E614:$G614,Y$5)-SUMIFS(TF_Timer,TF_Tekniker,Y$4,TF_Dato,$A614))*2,0)/2)))</f>
        <v/>
      </c>
      <c r="Z614">
        <f>IF(OR(Z$4="",$A614&gt;TODAY()),0,IF(OR(INDEX($B614:$D614,Z$5)="F",AND(Z$6&gt;0,$A614&lt;Z$6),AND(Z$7&gt;0,$A614&gt;Z$7)),0,MAX(0,ROUND((INDEX($E614:$G614,Z$5)-SUMIFS(TF_Timer,TF_Tekniker,Z$4,TF_Dato,$A614))*2,0)/2)))</f>
        <v/>
      </c>
      <c r="AA614">
        <f>IF(OR(AA$4="",$A614&gt;TODAY()),0,IF(OR(INDEX($B614:$D614,AA$5)="F",AND(AA$6&gt;0,$A614&lt;AA$6),AND(AA$7&gt;0,$A614&gt;AA$7)),0,MAX(0,ROUND((INDEX($E614:$G614,AA$5)-SUMIFS(TF_Timer,TF_Tekniker,AA$4,TF_Dato,$A614))*2,0)/2)))</f>
        <v/>
      </c>
      <c r="AB614">
        <f>IF(OR(AB$4="",$A614&gt;TODAY()),0,IF(OR(INDEX($B614:$D614,AB$5)="F",AND(AB$6&gt;0,$A614&lt;AB$6),AND(AB$7&gt;0,$A614&gt;AB$7)),0,MAX(0,ROUND((INDEX($E614:$G614,AB$5)-SUMIFS(TF_Timer,TF_Tekniker,AB$4,TF_Dato,$A614))*2,0)/2)))</f>
        <v/>
      </c>
      <c r="AC614">
        <f>IF(OR(AC$4="",$A614&gt;TODAY()),0,IF(OR(INDEX($B614:$D614,AC$5)="F",AND(AC$6&gt;0,$A614&lt;AC$6),AND(AC$7&gt;0,$A614&gt;AC$7)),0,MAX(0,ROUND((INDEX($E614:$G614,AC$5)-SUMIFS(TF_Timer,TF_Tekniker,AC$4,TF_Dato,$A614))*2,0)/2)))</f>
        <v/>
      </c>
      <c r="AD614">
        <f>IF(OR(AD$4="",$A614&gt;TODAY()),0,IF(OR(INDEX($B614:$D614,AD$5)="F",AND(AD$6&gt;0,$A614&lt;AD$6),AND(AD$7&gt;0,$A614&gt;AD$7)),0,MAX(0,ROUND((INDEX($E614:$G614,AD$5)-SUMIFS(TF_Timer,TF_Tekniker,AD$4,TF_Dato,$A614))*2,0)/2)))</f>
        <v/>
      </c>
      <c r="AE614">
        <f>IF(OR(AE$4="",$A614&gt;TODAY()),0,IF(OR(INDEX($B614:$D614,AE$5)="F",AND(AE$6&gt;0,$A614&lt;AE$6),AND(AE$7&gt;0,$A614&gt;AE$7)),0,MAX(0,ROUND((INDEX($E614:$G614,AE$5)-SUMIFS(TF_Timer,TF_Tekniker,AE$4,TF_Dato,$A614))*2,0)/2)))</f>
        <v/>
      </c>
      <c r="AF614">
        <f>IF(OR(AF$4="",$A614&gt;TODAY()),0,IF(OR(INDEX($B614:$D614,AF$5)="F",AND(AF$6&gt;0,$A614&lt;AF$6),AND(AF$7&gt;0,$A614&gt;AF$7)),0,MAX(0,ROUND((INDEX($E614:$G614,AF$5)-SUMIFS(TF_Timer,TF_Tekniker,AF$4,TF_Dato,$A614))*2,0)/2)))</f>
        <v/>
      </c>
      <c r="AG614">
        <f>IF(OR(AG$4="",$A614&gt;TODAY()),0,IF(OR(INDEX($B614:$D614,AG$5)="F",AND(AG$6&gt;0,$A614&lt;AG$6),AND(AG$7&gt;0,$A614&gt;AG$7)),0,MAX(0,ROUND((INDEX($E614:$G614,AG$5)-SUMIFS(TF_Timer,TF_Tekniker,AG$4,TF_Dato,$A614))*2,0)/2)))</f>
        <v/>
      </c>
      <c r="AH614">
        <f>IF(OR(AH$4="",$A614&gt;TODAY()),0,IF(OR(INDEX($B614:$D614,AH$5)="F",AND(AH$6&gt;0,$A614&lt;AH$6),AND(AH$7&gt;0,$A614&gt;AH$7)),0,MAX(0,ROUND((INDEX($E614:$G614,AH$5)-SUMIFS(TF_Timer,TF_Tekniker,AH$4,TF_Dato,$A614))*2,0)/2)))</f>
        <v/>
      </c>
      <c r="AI614">
        <f>IF(OR(AI$4="",$A614&gt;TODAY()),0,IF(OR(INDEX($B614:$D614,AI$5)="F",AND(AI$6&gt;0,$A614&lt;AI$6),AND(AI$7&gt;0,$A614&gt;AI$7)),0,MAX(0,ROUND((INDEX($E614:$G614,AI$5)-SUMIFS(TF_Timer,TF_Tekniker,AI$4,TF_Dato,$A614))*2,0)/2)))</f>
        <v/>
      </c>
      <c r="AJ614">
        <f>IF(OR(AJ$4="",$A614&gt;TODAY()),0,IF(OR(INDEX($B614:$D614,AJ$5)="F",AND(AJ$6&gt;0,$A614&lt;AJ$6),AND(AJ$7&gt;0,$A614&gt;AJ$7)),0,MAX(0,ROUND((INDEX($E614:$G614,AJ$5)-SUMIFS(TF_Timer,TF_Tekniker,AJ$4,TF_Dato,$A614))*2,0)/2)))</f>
        <v/>
      </c>
      <c r="AK614">
        <f>IF(OR(AK$4="",$A614&gt;TODAY()),0,IF(OR(INDEX($B614:$D614,AK$5)="F",AND(AK$6&gt;0,$A614&lt;AK$6),AND(AK$7&gt;0,$A614&gt;AK$7)),0,MAX(0,ROUND((INDEX($E614:$G614,AK$5)-SUMIFS(TF_Timer,TF_Tekniker,AK$4,TF_Dato,$A614))*2,0)/2)))</f>
        <v/>
      </c>
      <c r="AL614">
        <f>IF(OR(AL$4="",$A614&gt;TODAY()),0,IF(OR(INDEX($B614:$D614,AL$5)="F",AND(AL$6&gt;0,$A614&lt;AL$6),AND(AL$7&gt;0,$A614&gt;AL$7)),0,MAX(0,ROUND((INDEX($E614:$G614,AL$5)-SUMIFS(TF_Timer,TF_Tekniker,AL$4,TF_Dato,$A614))*2,0)/2)))</f>
        <v/>
      </c>
      <c r="AM614">
        <f>IF(OR(AM$4="",$A614&gt;TODAY()),0,IF(OR(INDEX($B614:$D614,AM$5)="F",AND(AM$6&gt;0,$A614&lt;AM$6),AND(AM$7&gt;0,$A614&gt;AM$7)),0,MAX(0,ROUND((INDEX($E614:$G614,AM$5)-SUMIFS(TF_Timer,TF_Tekniker,AM$4,TF_Dato,$A614))*2,0)/2)))</f>
        <v/>
      </c>
      <c r="AN614">
        <f>IF(OR(AN$4="",$A614&gt;TODAY()),0,IF(OR(INDEX($B614:$D614,AN$5)="F",AND(AN$6&gt;0,$A614&lt;AN$6),AND(AN$7&gt;0,$A614&gt;AN$7)),0,MAX(0,ROUND((INDEX($E614:$G614,AN$5)-SUMIFS(TF_Timer,TF_Tekniker,AN$4,TF_Dato,$A614))*2,0)/2)))</f>
        <v/>
      </c>
      <c r="AO614">
        <f>IF(OR(AO$4="",$A614&gt;TODAY()),0,IF(OR(INDEX($B614:$D614,AO$5)="F",AND(AO$6&gt;0,$A614&lt;AO$6),AND(AO$7&gt;0,$A614&gt;AO$7)),0,MAX(0,ROUND((INDEX($E614:$G614,AO$5)-SUMIFS(TF_Timer,TF_Tekniker,AO$4,TF_Dato,$A614))*2,0)/2)))</f>
        <v/>
      </c>
      <c r="AP614">
        <f>IF(OR(AP$4="",$A614&gt;TODAY()),0,IF(OR(INDEX($B614:$D614,AP$5)="F",AND(AP$6&gt;0,$A614&lt;AP$6),AND(AP$7&gt;0,$A614&gt;AP$7)),0,MAX(0,ROUND((INDEX($E614:$G614,AP$5)-SUMIFS(TF_Timer,TF_Tekniker,AP$4,TF_Dato,$A614))*2,0)/2)))</f>
        <v/>
      </c>
      <c r="AQ614">
        <f>IF(OR(AQ$4="",$A614&gt;TODAY()),0,IF(OR(INDEX($B614:$D614,AQ$5)="F",AND(AQ$6&gt;0,$A614&lt;AQ$6),AND(AQ$7&gt;0,$A614&gt;AQ$7)),0,MAX(0,ROUND((INDEX($E614:$G614,AQ$5)-SUMIFS(TF_Timer,TF_Tekniker,AQ$4,TF_Dato,$A614))*2,0)/2)))</f>
        <v/>
      </c>
      <c r="AR614">
        <f>IF(OR(AR$4="",$A614&gt;TODAY()),0,IF(OR(INDEX($B614:$D614,AR$5)="F",AND(AR$6&gt;0,$A614&lt;AR$6),AND(AR$7&gt;0,$A614&gt;AR$7)),0,MAX(0,ROUND((INDEX($E614:$G614,AR$5)-SUMIFS(TF_Timer,TF_Tekniker,AR$4,TF_Dato,$A614))*2,0)/2)))</f>
        <v/>
      </c>
      <c r="AS614">
        <f>IF(OR(AS$4="",$A614&gt;TODAY()),0,IF(OR(INDEX($B614:$D614,AS$5)="F",AND(AS$6&gt;0,$A614&lt;AS$6),AND(AS$7&gt;0,$A614&gt;AS$7)),0,MAX(0,ROUND((INDEX($E614:$G614,AS$5)-SUMIFS(TF_Timer,TF_Tekniker,AS$4,TF_Dato,$A614))*2,0)/2)))</f>
        <v/>
      </c>
      <c r="AT614">
        <f>IF(OR(AT$4="",$A614&gt;TODAY()),0,IF(OR(INDEX($B614:$D614,AT$5)="F",AND(AT$6&gt;0,$A614&lt;AT$6),AND(AT$7&gt;0,$A614&gt;AT$7)),0,MAX(0,ROUND((INDEX($E614:$G614,AT$5)-SUMIFS(TF_Timer,TF_Tekniker,AT$4,TF_Dato,$A614))*2,0)/2)))</f>
        <v/>
      </c>
      <c r="AU614">
        <f>IF(OR(AU$4="",$A614&gt;TODAY()),0,IF(OR(INDEX($B614:$D614,AU$5)="F",AND(AU$6&gt;0,$A614&lt;AU$6),AND(AU$7&gt;0,$A614&gt;AU$7)),0,MAX(0,ROUND((INDEX($E614:$G614,AU$5)-SUMIFS(TF_Timer,TF_Tekniker,AU$4,TF_Dato,$A614))*2,0)/2)))</f>
        <v/>
      </c>
      <c r="AV614">
        <f>IF(OR(AV$4="",$A614&gt;TODAY()),0,IF(OR(INDEX($B614:$D614,AV$5)="F",AND(AV$6&gt;0,$A614&lt;AV$6),AND(AV$7&gt;0,$A614&gt;AV$7)),0,MAX(0,ROUND((INDEX($E614:$G614,AV$5)-SUMIFS(TF_Timer,TF_Tekniker,AV$4,TF_Dato,$A614))*2,0)/2)))</f>
        <v/>
      </c>
      <c r="AW614">
        <f>IF(OR(AW$4="",$A614&gt;TODAY()),0,IF(OR(INDEX($B614:$D614,AW$5)="F",AND(AW$6&gt;0,$A614&lt;AW$6),AND(AW$7&gt;0,$A614&gt;AW$7)),0,MAX(0,ROUND((INDEX($E614:$G614,AW$5)-SUMIFS(TF_Timer,TF_Tekniker,AW$4,TF_Dato,$A614))*2,0)/2)))</f>
        <v/>
      </c>
      <c r="AX614">
        <f>IF(OR(AX$4="",$A614&gt;TODAY()),0,IF(OR(INDEX($B614:$D614,AX$5)="F",AND(AX$6&gt;0,$A614&lt;AX$6),AND(AX$7&gt;0,$A614&gt;AX$7)),0,MAX(0,ROUND((INDEX($E614:$G614,AX$5)-SUMIFS(TF_Timer,TF_Tekniker,AX$4,TF_Dato,$A614))*2,0)/2)))</f>
        <v/>
      </c>
      <c r="AY614">
        <f>IF(OR(AY$4="",$A614&gt;TODAY()),0,IF(OR(INDEX($B614:$D614,AY$5)="F",AND(AY$6&gt;0,$A614&lt;AY$6),AND(AY$7&gt;0,$A614&gt;AY$7)),0,MAX(0,ROUND((INDEX($E614:$G614,AY$5)-SUMIFS(TF_Timer,TF_Tekniker,AY$4,TF_Dato,$A614))*2,0)/2)))</f>
        <v/>
      </c>
      <c r="AZ614">
        <f>IF(OR(AZ$4="",$A614&gt;TODAY()),0,IF(OR(INDEX($B614:$D614,AZ$5)="F",AND(AZ$6&gt;0,$A614&lt;AZ$6),AND(AZ$7&gt;0,$A614&gt;AZ$7)),0,MAX(0,ROUND((INDEX($E614:$G614,AZ$5)-SUMIFS(TF_Timer,TF_Tekniker,AZ$4,TF_Dato,$A614))*2,0)/2)))</f>
        <v/>
      </c>
      <c r="BA614">
        <f>IF(OR(BA$4="",$A614&gt;TODAY()),0,IF(OR(INDEX($B614:$D614,BA$5)="F",AND(BA$6&gt;0,$A614&lt;BA$6),AND(BA$7&gt;0,$A614&gt;BA$7)),0,MAX(0,ROUND((INDEX($E614:$G614,BA$5)-SUMIFS(TF_Timer,TF_Tekniker,BA$4,TF_Dato,$A614))*2,0)/2)))</f>
        <v/>
      </c>
      <c r="BB614">
        <f>IF(OR(BB$4="",$A614&gt;TODAY()),0,IF(OR(INDEX($B614:$D614,BB$5)="F",AND(BB$6&gt;0,$A614&lt;BB$6),AND(BB$7&gt;0,$A614&gt;BB$7)),0,MAX(0,ROUND((INDEX($E614:$G614,BB$5)-SUMIFS(TF_Timer,TF_Tekniker,BB$4,TF_Dato,$A614))*2,0)/2)))</f>
        <v/>
      </c>
      <c r="BC614">
        <f>IF(OR(BC$4="",$A614&gt;TODAY()),0,IF(OR(INDEX($B614:$D614,BC$5)="F",AND(BC$6&gt;0,$A614&lt;BC$6),AND(BC$7&gt;0,$A614&gt;BC$7)),0,MAX(0,ROUND((INDEX($E614:$G614,BC$5)-SUMIFS(TF_Timer,TF_Tekniker,BC$4,TF_Dato,$A614))*2,0)/2)))</f>
        <v/>
      </c>
      <c r="BD614">
        <f>IF(OR(BD$4="",$A614&gt;TODAY()),0,IF(OR(INDEX($B614:$D614,BD$5)="F",AND(BD$6&gt;0,$A614&lt;BD$6),AND(BD$7&gt;0,$A614&gt;BD$7)),0,MAX(0,ROUND((INDEX($E614:$G614,BD$5)-SUMIFS(TF_Timer,TF_Tekniker,BD$4,TF_Dato,$A614))*2,0)/2)))</f>
        <v/>
      </c>
      <c r="BE614">
        <f>IF(OR(BE$4="",$A614&gt;TODAY()),0,IF(OR(INDEX($B614:$D614,BE$5)="F",AND(BE$6&gt;0,$A614&lt;BE$6),AND(BE$7&gt;0,$A614&gt;BE$7)),0,MAX(0,ROUND((INDEX($E614:$G614,BE$5)-SUMIFS(TF_Timer,TF_Tekniker,BE$4,TF_Dato,$A614))*2,0)/2)))</f>
        <v/>
      </c>
      <c r="BF614">
        <f>IF(OR(BF$4="",$A614&gt;TODAY()),0,IF(OR(INDEX($B614:$D614,BF$5)="F",AND(BF$6&gt;0,$A614&lt;BF$6),AND(BF$7&gt;0,$A614&gt;BF$7)),0,MAX(0,ROUND((INDEX($E614:$G614,BF$5)-SUMIFS(TF_Timer,TF_Tekniker,BF$4,TF_Dato,$A614))*2,0)/2)))</f>
        <v/>
      </c>
      <c r="BG614">
        <f>IF(OR(BG$4="",$A614&gt;TODAY()),0,IF(OR(INDEX($B614:$D614,BG$5)="F",AND(BG$6&gt;0,$A614&lt;BG$6),AND(BG$7&gt;0,$A614&gt;BG$7)),0,MAX(0,ROUND((INDEX($E614:$G614,BG$5)-SUMIFS(TF_Timer,TF_Tekniker,BG$4,TF_Dato,$A614))*2,0)/2)))</f>
        <v/>
      </c>
      <c r="BH614">
        <f>IF(OR(BH$4="",$A614&gt;TODAY()),0,IF(OR(INDEX($B614:$D614,BH$5)="F",AND(BH$6&gt;0,$A614&lt;BH$6),AND(BH$7&gt;0,$A614&gt;BH$7)),0,MAX(0,ROUND((INDEX($E614:$G614,BH$5)-SUMIFS(TF_Timer,TF_Tekniker,BH$4,TF_Dato,$A614))*2,0)/2)))</f>
        <v/>
      </c>
      <c r="BI614">
        <f>IF(OR(BI$4="",$A614&gt;TODAY()),0,IF(OR(INDEX($B614:$D614,BI$5)="F",AND(BI$6&gt;0,$A614&lt;BI$6),AND(BI$7&gt;0,$A614&gt;BI$7)),0,MAX(0,ROUND((INDEX($E614:$G614,BI$5)-SUMIFS(TF_Timer,TF_Tekniker,BI$4,TF_Dato,$A614))*2,0)/2)))</f>
        <v/>
      </c>
    </row>
    <row r="615">
      <c r="A615" s="64">
        <f>A614+1</f>
        <v/>
      </c>
      <c r="B615">
        <f>IF(MOD($A615-INDEX(SkiftStart,1),Syklus)&lt;DagK,"K",IF(MOD($A615-INDEX(SkiftStart,1),Syklus)&lt;DagK+DagH,"H",IF(MOD($A615-INDEX(SkiftStart,1),Syklus)&lt;DagK+DagH+DagD,"D","F")))</f>
        <v/>
      </c>
      <c r="C615">
        <f>IF(MOD($A615-INDEX(SkiftStart,2),Syklus)&lt;DagK,"K",IF(MOD($A615-INDEX(SkiftStart,2),Syklus)&lt;DagK+DagH,"H",IF(MOD($A615-INDEX(SkiftStart,2),Syklus)&lt;DagK+DagH+DagD,"D","F")))</f>
        <v/>
      </c>
      <c r="D615">
        <f>IF(MOD($A615-INDEX(SkiftStart,3),Syklus)&lt;DagK,"K",IF(MOD($A615-INDEX(SkiftStart,3),Syklus)&lt;DagK+DagH,"H",IF(MOD($A615-INDEX(SkiftStart,3),Syklus)&lt;DagK+DagH+DagD,"D","F")))</f>
        <v/>
      </c>
      <c r="E615">
        <f>IF(B615="F",0,IF(WEEKDAY($A615,2)=5,INDEX(TimerFr,MATCH(B615,FaseKode,0)),INDEX(TimerMT,MATCH(B615,FaseKode,0))))</f>
        <v/>
      </c>
      <c r="F615">
        <f>IF(C615="F",0,IF(WEEKDAY($A615,2)=5,INDEX(TimerFr,MATCH(C615,FaseKode,0)),INDEX(TimerMT,MATCH(C615,FaseKode,0))))</f>
        <v/>
      </c>
      <c r="G615">
        <f>IF(D615="F",0,IF(WEEKDAY($A615,2)=5,INDEX(TimerFr,MATCH(D615,FaseKode,0)),INDEX(TimerMT,MATCH(D615,FaseKode,0))))</f>
        <v/>
      </c>
      <c r="H615">
        <f>IF(OR(H$4="",$A615&gt;TODAY()),0,IF(OR(INDEX($B615:$D615,H$5)="F",AND(H$6&gt;0,$A615&lt;H$6),AND(H$7&gt;0,$A615&gt;H$7)),0,MAX(0,ROUND((INDEX($E615:$G615,H$5)-SUMIFS(TF_Timer,TF_Tekniker,H$4,TF_Dato,$A615))*2,0)/2)))</f>
        <v/>
      </c>
      <c r="I615">
        <f>IF(OR(I$4="",$A615&gt;TODAY()),0,IF(OR(INDEX($B615:$D615,I$5)="F",AND(I$6&gt;0,$A615&lt;I$6),AND(I$7&gt;0,$A615&gt;I$7)),0,MAX(0,ROUND((INDEX($E615:$G615,I$5)-SUMIFS(TF_Timer,TF_Tekniker,I$4,TF_Dato,$A615))*2,0)/2)))</f>
        <v/>
      </c>
      <c r="J615">
        <f>IF(OR(J$4="",$A615&gt;TODAY()),0,IF(OR(INDEX($B615:$D615,J$5)="F",AND(J$6&gt;0,$A615&lt;J$6),AND(J$7&gt;0,$A615&gt;J$7)),0,MAX(0,ROUND((INDEX($E615:$G615,J$5)-SUMIFS(TF_Timer,TF_Tekniker,J$4,TF_Dato,$A615))*2,0)/2)))</f>
        <v/>
      </c>
      <c r="K615">
        <f>IF(OR(K$4="",$A615&gt;TODAY()),0,IF(OR(INDEX($B615:$D615,K$5)="F",AND(K$6&gt;0,$A615&lt;K$6),AND(K$7&gt;0,$A615&gt;K$7)),0,MAX(0,ROUND((INDEX($E615:$G615,K$5)-SUMIFS(TF_Timer,TF_Tekniker,K$4,TF_Dato,$A615))*2,0)/2)))</f>
        <v/>
      </c>
      <c r="L615">
        <f>IF(OR(L$4="",$A615&gt;TODAY()),0,IF(OR(INDEX($B615:$D615,L$5)="F",AND(L$6&gt;0,$A615&lt;L$6),AND(L$7&gt;0,$A615&gt;L$7)),0,MAX(0,ROUND((INDEX($E615:$G615,L$5)-SUMIFS(TF_Timer,TF_Tekniker,L$4,TF_Dato,$A615))*2,0)/2)))</f>
        <v/>
      </c>
      <c r="M615">
        <f>IF(OR(M$4="",$A615&gt;TODAY()),0,IF(OR(INDEX($B615:$D615,M$5)="F",AND(M$6&gt;0,$A615&lt;M$6),AND(M$7&gt;0,$A615&gt;M$7)),0,MAX(0,ROUND((INDEX($E615:$G615,M$5)-SUMIFS(TF_Timer,TF_Tekniker,M$4,TF_Dato,$A615))*2,0)/2)))</f>
        <v/>
      </c>
      <c r="N615">
        <f>IF(OR(N$4="",$A615&gt;TODAY()),0,IF(OR(INDEX($B615:$D615,N$5)="F",AND(N$6&gt;0,$A615&lt;N$6),AND(N$7&gt;0,$A615&gt;N$7)),0,MAX(0,ROUND((INDEX($E615:$G615,N$5)-SUMIFS(TF_Timer,TF_Tekniker,N$4,TF_Dato,$A615))*2,0)/2)))</f>
        <v/>
      </c>
      <c r="O615">
        <f>IF(OR(O$4="",$A615&gt;TODAY()),0,IF(OR(INDEX($B615:$D615,O$5)="F",AND(O$6&gt;0,$A615&lt;O$6),AND(O$7&gt;0,$A615&gt;O$7)),0,MAX(0,ROUND((INDEX($E615:$G615,O$5)-SUMIFS(TF_Timer,TF_Tekniker,O$4,TF_Dato,$A615))*2,0)/2)))</f>
        <v/>
      </c>
      <c r="P615">
        <f>IF(OR(P$4="",$A615&gt;TODAY()),0,IF(OR(INDEX($B615:$D615,P$5)="F",AND(P$6&gt;0,$A615&lt;P$6),AND(P$7&gt;0,$A615&gt;P$7)),0,MAX(0,ROUND((INDEX($E615:$G615,P$5)-SUMIFS(TF_Timer,TF_Tekniker,P$4,TF_Dato,$A615))*2,0)/2)))</f>
        <v/>
      </c>
      <c r="Q615">
        <f>IF(OR(Q$4="",$A615&gt;TODAY()),0,IF(OR(INDEX($B615:$D615,Q$5)="F",AND(Q$6&gt;0,$A615&lt;Q$6),AND(Q$7&gt;0,$A615&gt;Q$7)),0,MAX(0,ROUND((INDEX($E615:$G615,Q$5)-SUMIFS(TF_Timer,TF_Tekniker,Q$4,TF_Dato,$A615))*2,0)/2)))</f>
        <v/>
      </c>
      <c r="R615">
        <f>IF(OR(R$4="",$A615&gt;TODAY()),0,IF(OR(INDEX($B615:$D615,R$5)="F",AND(R$6&gt;0,$A615&lt;R$6),AND(R$7&gt;0,$A615&gt;R$7)),0,MAX(0,ROUND((INDEX($E615:$G615,R$5)-SUMIFS(TF_Timer,TF_Tekniker,R$4,TF_Dato,$A615))*2,0)/2)))</f>
        <v/>
      </c>
      <c r="S615">
        <f>IF(OR(S$4="",$A615&gt;TODAY()),0,IF(OR(INDEX($B615:$D615,S$5)="F",AND(S$6&gt;0,$A615&lt;S$6),AND(S$7&gt;0,$A615&gt;S$7)),0,MAX(0,ROUND((INDEX($E615:$G615,S$5)-SUMIFS(TF_Timer,TF_Tekniker,S$4,TF_Dato,$A615))*2,0)/2)))</f>
        <v/>
      </c>
      <c r="T615">
        <f>IF(OR(T$4="",$A615&gt;TODAY()),0,IF(OR(INDEX($B615:$D615,T$5)="F",AND(T$6&gt;0,$A615&lt;T$6),AND(T$7&gt;0,$A615&gt;T$7)),0,MAX(0,ROUND((INDEX($E615:$G615,T$5)-SUMIFS(TF_Timer,TF_Tekniker,T$4,TF_Dato,$A615))*2,0)/2)))</f>
        <v/>
      </c>
      <c r="U615">
        <f>IF(OR(U$4="",$A615&gt;TODAY()),0,IF(OR(INDEX($B615:$D615,U$5)="F",AND(U$6&gt;0,$A615&lt;U$6),AND(U$7&gt;0,$A615&gt;U$7)),0,MAX(0,ROUND((INDEX($E615:$G615,U$5)-SUMIFS(TF_Timer,TF_Tekniker,U$4,TF_Dato,$A615))*2,0)/2)))</f>
        <v/>
      </c>
      <c r="V615">
        <f>IF(OR(V$4="",$A615&gt;TODAY()),0,IF(OR(INDEX($B615:$D615,V$5)="F",AND(V$6&gt;0,$A615&lt;V$6),AND(V$7&gt;0,$A615&gt;V$7)),0,MAX(0,ROUND((INDEX($E615:$G615,V$5)-SUMIFS(TF_Timer,TF_Tekniker,V$4,TF_Dato,$A615))*2,0)/2)))</f>
        <v/>
      </c>
      <c r="W615">
        <f>IF(OR(W$4="",$A615&gt;TODAY()),0,IF(OR(INDEX($B615:$D615,W$5)="F",AND(W$6&gt;0,$A615&lt;W$6),AND(W$7&gt;0,$A615&gt;W$7)),0,MAX(0,ROUND((INDEX($E615:$G615,W$5)-SUMIFS(TF_Timer,TF_Tekniker,W$4,TF_Dato,$A615))*2,0)/2)))</f>
        <v/>
      </c>
      <c r="X615">
        <f>IF(OR(X$4="",$A615&gt;TODAY()),0,IF(OR(INDEX($B615:$D615,X$5)="F",AND(X$6&gt;0,$A615&lt;X$6),AND(X$7&gt;0,$A615&gt;X$7)),0,MAX(0,ROUND((INDEX($E615:$G615,X$5)-SUMIFS(TF_Timer,TF_Tekniker,X$4,TF_Dato,$A615))*2,0)/2)))</f>
        <v/>
      </c>
      <c r="Y615">
        <f>IF(OR(Y$4="",$A615&gt;TODAY()),0,IF(OR(INDEX($B615:$D615,Y$5)="F",AND(Y$6&gt;0,$A615&lt;Y$6),AND(Y$7&gt;0,$A615&gt;Y$7)),0,MAX(0,ROUND((INDEX($E615:$G615,Y$5)-SUMIFS(TF_Timer,TF_Tekniker,Y$4,TF_Dato,$A615))*2,0)/2)))</f>
        <v/>
      </c>
      <c r="Z615">
        <f>IF(OR(Z$4="",$A615&gt;TODAY()),0,IF(OR(INDEX($B615:$D615,Z$5)="F",AND(Z$6&gt;0,$A615&lt;Z$6),AND(Z$7&gt;0,$A615&gt;Z$7)),0,MAX(0,ROUND((INDEX($E615:$G615,Z$5)-SUMIFS(TF_Timer,TF_Tekniker,Z$4,TF_Dato,$A615))*2,0)/2)))</f>
        <v/>
      </c>
      <c r="AA615">
        <f>IF(OR(AA$4="",$A615&gt;TODAY()),0,IF(OR(INDEX($B615:$D615,AA$5)="F",AND(AA$6&gt;0,$A615&lt;AA$6),AND(AA$7&gt;0,$A615&gt;AA$7)),0,MAX(0,ROUND((INDEX($E615:$G615,AA$5)-SUMIFS(TF_Timer,TF_Tekniker,AA$4,TF_Dato,$A615))*2,0)/2)))</f>
        <v/>
      </c>
      <c r="AB615">
        <f>IF(OR(AB$4="",$A615&gt;TODAY()),0,IF(OR(INDEX($B615:$D615,AB$5)="F",AND(AB$6&gt;0,$A615&lt;AB$6),AND(AB$7&gt;0,$A615&gt;AB$7)),0,MAX(0,ROUND((INDEX($E615:$G615,AB$5)-SUMIFS(TF_Timer,TF_Tekniker,AB$4,TF_Dato,$A615))*2,0)/2)))</f>
        <v/>
      </c>
      <c r="AC615">
        <f>IF(OR(AC$4="",$A615&gt;TODAY()),0,IF(OR(INDEX($B615:$D615,AC$5)="F",AND(AC$6&gt;0,$A615&lt;AC$6),AND(AC$7&gt;0,$A615&gt;AC$7)),0,MAX(0,ROUND((INDEX($E615:$G615,AC$5)-SUMIFS(TF_Timer,TF_Tekniker,AC$4,TF_Dato,$A615))*2,0)/2)))</f>
        <v/>
      </c>
      <c r="AD615">
        <f>IF(OR(AD$4="",$A615&gt;TODAY()),0,IF(OR(INDEX($B615:$D615,AD$5)="F",AND(AD$6&gt;0,$A615&lt;AD$6),AND(AD$7&gt;0,$A615&gt;AD$7)),0,MAX(0,ROUND((INDEX($E615:$G615,AD$5)-SUMIFS(TF_Timer,TF_Tekniker,AD$4,TF_Dato,$A615))*2,0)/2)))</f>
        <v/>
      </c>
      <c r="AE615">
        <f>IF(OR(AE$4="",$A615&gt;TODAY()),0,IF(OR(INDEX($B615:$D615,AE$5)="F",AND(AE$6&gt;0,$A615&lt;AE$6),AND(AE$7&gt;0,$A615&gt;AE$7)),0,MAX(0,ROUND((INDEX($E615:$G615,AE$5)-SUMIFS(TF_Timer,TF_Tekniker,AE$4,TF_Dato,$A615))*2,0)/2)))</f>
        <v/>
      </c>
      <c r="AF615">
        <f>IF(OR(AF$4="",$A615&gt;TODAY()),0,IF(OR(INDEX($B615:$D615,AF$5)="F",AND(AF$6&gt;0,$A615&lt;AF$6),AND(AF$7&gt;0,$A615&gt;AF$7)),0,MAX(0,ROUND((INDEX($E615:$G615,AF$5)-SUMIFS(TF_Timer,TF_Tekniker,AF$4,TF_Dato,$A615))*2,0)/2)))</f>
        <v/>
      </c>
      <c r="AG615">
        <f>IF(OR(AG$4="",$A615&gt;TODAY()),0,IF(OR(INDEX($B615:$D615,AG$5)="F",AND(AG$6&gt;0,$A615&lt;AG$6),AND(AG$7&gt;0,$A615&gt;AG$7)),0,MAX(0,ROUND((INDEX($E615:$G615,AG$5)-SUMIFS(TF_Timer,TF_Tekniker,AG$4,TF_Dato,$A615))*2,0)/2)))</f>
        <v/>
      </c>
      <c r="AH615">
        <f>IF(OR(AH$4="",$A615&gt;TODAY()),0,IF(OR(INDEX($B615:$D615,AH$5)="F",AND(AH$6&gt;0,$A615&lt;AH$6),AND(AH$7&gt;0,$A615&gt;AH$7)),0,MAX(0,ROUND((INDEX($E615:$G615,AH$5)-SUMIFS(TF_Timer,TF_Tekniker,AH$4,TF_Dato,$A615))*2,0)/2)))</f>
        <v/>
      </c>
      <c r="AI615">
        <f>IF(OR(AI$4="",$A615&gt;TODAY()),0,IF(OR(INDEX($B615:$D615,AI$5)="F",AND(AI$6&gt;0,$A615&lt;AI$6),AND(AI$7&gt;0,$A615&gt;AI$7)),0,MAX(0,ROUND((INDEX($E615:$G615,AI$5)-SUMIFS(TF_Timer,TF_Tekniker,AI$4,TF_Dato,$A615))*2,0)/2)))</f>
        <v/>
      </c>
      <c r="AJ615">
        <f>IF(OR(AJ$4="",$A615&gt;TODAY()),0,IF(OR(INDEX($B615:$D615,AJ$5)="F",AND(AJ$6&gt;0,$A615&lt;AJ$6),AND(AJ$7&gt;0,$A615&gt;AJ$7)),0,MAX(0,ROUND((INDEX($E615:$G615,AJ$5)-SUMIFS(TF_Timer,TF_Tekniker,AJ$4,TF_Dato,$A615))*2,0)/2)))</f>
        <v/>
      </c>
      <c r="AK615">
        <f>IF(OR(AK$4="",$A615&gt;TODAY()),0,IF(OR(INDEX($B615:$D615,AK$5)="F",AND(AK$6&gt;0,$A615&lt;AK$6),AND(AK$7&gt;0,$A615&gt;AK$7)),0,MAX(0,ROUND((INDEX($E615:$G615,AK$5)-SUMIFS(TF_Timer,TF_Tekniker,AK$4,TF_Dato,$A615))*2,0)/2)))</f>
        <v/>
      </c>
      <c r="AL615">
        <f>IF(OR(AL$4="",$A615&gt;TODAY()),0,IF(OR(INDEX($B615:$D615,AL$5)="F",AND(AL$6&gt;0,$A615&lt;AL$6),AND(AL$7&gt;0,$A615&gt;AL$7)),0,MAX(0,ROUND((INDEX($E615:$G615,AL$5)-SUMIFS(TF_Timer,TF_Tekniker,AL$4,TF_Dato,$A615))*2,0)/2)))</f>
        <v/>
      </c>
      <c r="AM615">
        <f>IF(OR(AM$4="",$A615&gt;TODAY()),0,IF(OR(INDEX($B615:$D615,AM$5)="F",AND(AM$6&gt;0,$A615&lt;AM$6),AND(AM$7&gt;0,$A615&gt;AM$7)),0,MAX(0,ROUND((INDEX($E615:$G615,AM$5)-SUMIFS(TF_Timer,TF_Tekniker,AM$4,TF_Dato,$A615))*2,0)/2)))</f>
        <v/>
      </c>
      <c r="AN615">
        <f>IF(OR(AN$4="",$A615&gt;TODAY()),0,IF(OR(INDEX($B615:$D615,AN$5)="F",AND(AN$6&gt;0,$A615&lt;AN$6),AND(AN$7&gt;0,$A615&gt;AN$7)),0,MAX(0,ROUND((INDEX($E615:$G615,AN$5)-SUMIFS(TF_Timer,TF_Tekniker,AN$4,TF_Dato,$A615))*2,0)/2)))</f>
        <v/>
      </c>
      <c r="AO615">
        <f>IF(OR(AO$4="",$A615&gt;TODAY()),0,IF(OR(INDEX($B615:$D615,AO$5)="F",AND(AO$6&gt;0,$A615&lt;AO$6),AND(AO$7&gt;0,$A615&gt;AO$7)),0,MAX(0,ROUND((INDEX($E615:$G615,AO$5)-SUMIFS(TF_Timer,TF_Tekniker,AO$4,TF_Dato,$A615))*2,0)/2)))</f>
        <v/>
      </c>
      <c r="AP615">
        <f>IF(OR(AP$4="",$A615&gt;TODAY()),0,IF(OR(INDEX($B615:$D615,AP$5)="F",AND(AP$6&gt;0,$A615&lt;AP$6),AND(AP$7&gt;0,$A615&gt;AP$7)),0,MAX(0,ROUND((INDEX($E615:$G615,AP$5)-SUMIFS(TF_Timer,TF_Tekniker,AP$4,TF_Dato,$A615))*2,0)/2)))</f>
        <v/>
      </c>
      <c r="AQ615">
        <f>IF(OR(AQ$4="",$A615&gt;TODAY()),0,IF(OR(INDEX($B615:$D615,AQ$5)="F",AND(AQ$6&gt;0,$A615&lt;AQ$6),AND(AQ$7&gt;0,$A615&gt;AQ$7)),0,MAX(0,ROUND((INDEX($E615:$G615,AQ$5)-SUMIFS(TF_Timer,TF_Tekniker,AQ$4,TF_Dato,$A615))*2,0)/2)))</f>
        <v/>
      </c>
      <c r="AR615">
        <f>IF(OR(AR$4="",$A615&gt;TODAY()),0,IF(OR(INDEX($B615:$D615,AR$5)="F",AND(AR$6&gt;0,$A615&lt;AR$6),AND(AR$7&gt;0,$A615&gt;AR$7)),0,MAX(0,ROUND((INDEX($E615:$G615,AR$5)-SUMIFS(TF_Timer,TF_Tekniker,AR$4,TF_Dato,$A615))*2,0)/2)))</f>
        <v/>
      </c>
      <c r="AS615">
        <f>IF(OR(AS$4="",$A615&gt;TODAY()),0,IF(OR(INDEX($B615:$D615,AS$5)="F",AND(AS$6&gt;0,$A615&lt;AS$6),AND(AS$7&gt;0,$A615&gt;AS$7)),0,MAX(0,ROUND((INDEX($E615:$G615,AS$5)-SUMIFS(TF_Timer,TF_Tekniker,AS$4,TF_Dato,$A615))*2,0)/2)))</f>
        <v/>
      </c>
      <c r="AT615">
        <f>IF(OR(AT$4="",$A615&gt;TODAY()),0,IF(OR(INDEX($B615:$D615,AT$5)="F",AND(AT$6&gt;0,$A615&lt;AT$6),AND(AT$7&gt;0,$A615&gt;AT$7)),0,MAX(0,ROUND((INDEX($E615:$G615,AT$5)-SUMIFS(TF_Timer,TF_Tekniker,AT$4,TF_Dato,$A615))*2,0)/2)))</f>
        <v/>
      </c>
      <c r="AU615">
        <f>IF(OR(AU$4="",$A615&gt;TODAY()),0,IF(OR(INDEX($B615:$D615,AU$5)="F",AND(AU$6&gt;0,$A615&lt;AU$6),AND(AU$7&gt;0,$A615&gt;AU$7)),0,MAX(0,ROUND((INDEX($E615:$G615,AU$5)-SUMIFS(TF_Timer,TF_Tekniker,AU$4,TF_Dato,$A615))*2,0)/2)))</f>
        <v/>
      </c>
      <c r="AV615">
        <f>IF(OR(AV$4="",$A615&gt;TODAY()),0,IF(OR(INDEX($B615:$D615,AV$5)="F",AND(AV$6&gt;0,$A615&lt;AV$6),AND(AV$7&gt;0,$A615&gt;AV$7)),0,MAX(0,ROUND((INDEX($E615:$G615,AV$5)-SUMIFS(TF_Timer,TF_Tekniker,AV$4,TF_Dato,$A615))*2,0)/2)))</f>
        <v/>
      </c>
      <c r="AW615">
        <f>IF(OR(AW$4="",$A615&gt;TODAY()),0,IF(OR(INDEX($B615:$D615,AW$5)="F",AND(AW$6&gt;0,$A615&lt;AW$6),AND(AW$7&gt;0,$A615&gt;AW$7)),0,MAX(0,ROUND((INDEX($E615:$G615,AW$5)-SUMIFS(TF_Timer,TF_Tekniker,AW$4,TF_Dato,$A615))*2,0)/2)))</f>
        <v/>
      </c>
      <c r="AX615">
        <f>IF(OR(AX$4="",$A615&gt;TODAY()),0,IF(OR(INDEX($B615:$D615,AX$5)="F",AND(AX$6&gt;0,$A615&lt;AX$6),AND(AX$7&gt;0,$A615&gt;AX$7)),0,MAX(0,ROUND((INDEX($E615:$G615,AX$5)-SUMIFS(TF_Timer,TF_Tekniker,AX$4,TF_Dato,$A615))*2,0)/2)))</f>
        <v/>
      </c>
      <c r="AY615">
        <f>IF(OR(AY$4="",$A615&gt;TODAY()),0,IF(OR(INDEX($B615:$D615,AY$5)="F",AND(AY$6&gt;0,$A615&lt;AY$6),AND(AY$7&gt;0,$A615&gt;AY$7)),0,MAX(0,ROUND((INDEX($E615:$G615,AY$5)-SUMIFS(TF_Timer,TF_Tekniker,AY$4,TF_Dato,$A615))*2,0)/2)))</f>
        <v/>
      </c>
      <c r="AZ615">
        <f>IF(OR(AZ$4="",$A615&gt;TODAY()),0,IF(OR(INDEX($B615:$D615,AZ$5)="F",AND(AZ$6&gt;0,$A615&lt;AZ$6),AND(AZ$7&gt;0,$A615&gt;AZ$7)),0,MAX(0,ROUND((INDEX($E615:$G615,AZ$5)-SUMIFS(TF_Timer,TF_Tekniker,AZ$4,TF_Dato,$A615))*2,0)/2)))</f>
        <v/>
      </c>
      <c r="BA615">
        <f>IF(OR(BA$4="",$A615&gt;TODAY()),0,IF(OR(INDEX($B615:$D615,BA$5)="F",AND(BA$6&gt;0,$A615&lt;BA$6),AND(BA$7&gt;0,$A615&gt;BA$7)),0,MAX(0,ROUND((INDEX($E615:$G615,BA$5)-SUMIFS(TF_Timer,TF_Tekniker,BA$4,TF_Dato,$A615))*2,0)/2)))</f>
        <v/>
      </c>
      <c r="BB615">
        <f>IF(OR(BB$4="",$A615&gt;TODAY()),0,IF(OR(INDEX($B615:$D615,BB$5)="F",AND(BB$6&gt;0,$A615&lt;BB$6),AND(BB$7&gt;0,$A615&gt;BB$7)),0,MAX(0,ROUND((INDEX($E615:$G615,BB$5)-SUMIFS(TF_Timer,TF_Tekniker,BB$4,TF_Dato,$A615))*2,0)/2)))</f>
        <v/>
      </c>
      <c r="BC615">
        <f>IF(OR(BC$4="",$A615&gt;TODAY()),0,IF(OR(INDEX($B615:$D615,BC$5)="F",AND(BC$6&gt;0,$A615&lt;BC$6),AND(BC$7&gt;0,$A615&gt;BC$7)),0,MAX(0,ROUND((INDEX($E615:$G615,BC$5)-SUMIFS(TF_Timer,TF_Tekniker,BC$4,TF_Dato,$A615))*2,0)/2)))</f>
        <v/>
      </c>
      <c r="BD615">
        <f>IF(OR(BD$4="",$A615&gt;TODAY()),0,IF(OR(INDEX($B615:$D615,BD$5)="F",AND(BD$6&gt;0,$A615&lt;BD$6),AND(BD$7&gt;0,$A615&gt;BD$7)),0,MAX(0,ROUND((INDEX($E615:$G615,BD$5)-SUMIFS(TF_Timer,TF_Tekniker,BD$4,TF_Dato,$A615))*2,0)/2)))</f>
        <v/>
      </c>
      <c r="BE615">
        <f>IF(OR(BE$4="",$A615&gt;TODAY()),0,IF(OR(INDEX($B615:$D615,BE$5)="F",AND(BE$6&gt;0,$A615&lt;BE$6),AND(BE$7&gt;0,$A615&gt;BE$7)),0,MAX(0,ROUND((INDEX($E615:$G615,BE$5)-SUMIFS(TF_Timer,TF_Tekniker,BE$4,TF_Dato,$A615))*2,0)/2)))</f>
        <v/>
      </c>
      <c r="BF615">
        <f>IF(OR(BF$4="",$A615&gt;TODAY()),0,IF(OR(INDEX($B615:$D615,BF$5)="F",AND(BF$6&gt;0,$A615&lt;BF$6),AND(BF$7&gt;0,$A615&gt;BF$7)),0,MAX(0,ROUND((INDEX($E615:$G615,BF$5)-SUMIFS(TF_Timer,TF_Tekniker,BF$4,TF_Dato,$A615))*2,0)/2)))</f>
        <v/>
      </c>
      <c r="BG615">
        <f>IF(OR(BG$4="",$A615&gt;TODAY()),0,IF(OR(INDEX($B615:$D615,BG$5)="F",AND(BG$6&gt;0,$A615&lt;BG$6),AND(BG$7&gt;0,$A615&gt;BG$7)),0,MAX(0,ROUND((INDEX($E615:$G615,BG$5)-SUMIFS(TF_Timer,TF_Tekniker,BG$4,TF_Dato,$A615))*2,0)/2)))</f>
        <v/>
      </c>
      <c r="BH615">
        <f>IF(OR(BH$4="",$A615&gt;TODAY()),0,IF(OR(INDEX($B615:$D615,BH$5)="F",AND(BH$6&gt;0,$A615&lt;BH$6),AND(BH$7&gt;0,$A615&gt;BH$7)),0,MAX(0,ROUND((INDEX($E615:$G615,BH$5)-SUMIFS(TF_Timer,TF_Tekniker,BH$4,TF_Dato,$A615))*2,0)/2)))</f>
        <v/>
      </c>
      <c r="BI615">
        <f>IF(OR(BI$4="",$A615&gt;TODAY()),0,IF(OR(INDEX($B615:$D615,BI$5)="F",AND(BI$6&gt;0,$A615&lt;BI$6),AND(BI$7&gt;0,$A615&gt;BI$7)),0,MAX(0,ROUND((INDEX($E615:$G615,BI$5)-SUMIFS(TF_Timer,TF_Tekniker,BI$4,TF_Dato,$A615))*2,0)/2)))</f>
        <v/>
      </c>
    </row>
    <row r="616">
      <c r="A616" s="64">
        <f>A615+1</f>
        <v/>
      </c>
      <c r="B616">
        <f>IF(MOD($A616-INDEX(SkiftStart,1),Syklus)&lt;DagK,"K",IF(MOD($A616-INDEX(SkiftStart,1),Syklus)&lt;DagK+DagH,"H",IF(MOD($A616-INDEX(SkiftStart,1),Syklus)&lt;DagK+DagH+DagD,"D","F")))</f>
        <v/>
      </c>
      <c r="C616">
        <f>IF(MOD($A616-INDEX(SkiftStart,2),Syklus)&lt;DagK,"K",IF(MOD($A616-INDEX(SkiftStart,2),Syklus)&lt;DagK+DagH,"H",IF(MOD($A616-INDEX(SkiftStart,2),Syklus)&lt;DagK+DagH+DagD,"D","F")))</f>
        <v/>
      </c>
      <c r="D616">
        <f>IF(MOD($A616-INDEX(SkiftStart,3),Syklus)&lt;DagK,"K",IF(MOD($A616-INDEX(SkiftStart,3),Syklus)&lt;DagK+DagH,"H",IF(MOD($A616-INDEX(SkiftStart,3),Syklus)&lt;DagK+DagH+DagD,"D","F")))</f>
        <v/>
      </c>
      <c r="E616">
        <f>IF(B616="F",0,IF(WEEKDAY($A616,2)=5,INDEX(TimerFr,MATCH(B616,FaseKode,0)),INDEX(TimerMT,MATCH(B616,FaseKode,0))))</f>
        <v/>
      </c>
      <c r="F616">
        <f>IF(C616="F",0,IF(WEEKDAY($A616,2)=5,INDEX(TimerFr,MATCH(C616,FaseKode,0)),INDEX(TimerMT,MATCH(C616,FaseKode,0))))</f>
        <v/>
      </c>
      <c r="G616">
        <f>IF(D616="F",0,IF(WEEKDAY($A616,2)=5,INDEX(TimerFr,MATCH(D616,FaseKode,0)),INDEX(TimerMT,MATCH(D616,FaseKode,0))))</f>
        <v/>
      </c>
      <c r="H616">
        <f>IF(OR(H$4="",$A616&gt;TODAY()),0,IF(OR(INDEX($B616:$D616,H$5)="F",AND(H$6&gt;0,$A616&lt;H$6),AND(H$7&gt;0,$A616&gt;H$7)),0,MAX(0,ROUND((INDEX($E616:$G616,H$5)-SUMIFS(TF_Timer,TF_Tekniker,H$4,TF_Dato,$A616))*2,0)/2)))</f>
        <v/>
      </c>
      <c r="I616">
        <f>IF(OR(I$4="",$A616&gt;TODAY()),0,IF(OR(INDEX($B616:$D616,I$5)="F",AND(I$6&gt;0,$A616&lt;I$6),AND(I$7&gt;0,$A616&gt;I$7)),0,MAX(0,ROUND((INDEX($E616:$G616,I$5)-SUMIFS(TF_Timer,TF_Tekniker,I$4,TF_Dato,$A616))*2,0)/2)))</f>
        <v/>
      </c>
      <c r="J616">
        <f>IF(OR(J$4="",$A616&gt;TODAY()),0,IF(OR(INDEX($B616:$D616,J$5)="F",AND(J$6&gt;0,$A616&lt;J$6),AND(J$7&gt;0,$A616&gt;J$7)),0,MAX(0,ROUND((INDEX($E616:$G616,J$5)-SUMIFS(TF_Timer,TF_Tekniker,J$4,TF_Dato,$A616))*2,0)/2)))</f>
        <v/>
      </c>
      <c r="K616">
        <f>IF(OR(K$4="",$A616&gt;TODAY()),0,IF(OR(INDEX($B616:$D616,K$5)="F",AND(K$6&gt;0,$A616&lt;K$6),AND(K$7&gt;0,$A616&gt;K$7)),0,MAX(0,ROUND((INDEX($E616:$G616,K$5)-SUMIFS(TF_Timer,TF_Tekniker,K$4,TF_Dato,$A616))*2,0)/2)))</f>
        <v/>
      </c>
      <c r="L616">
        <f>IF(OR(L$4="",$A616&gt;TODAY()),0,IF(OR(INDEX($B616:$D616,L$5)="F",AND(L$6&gt;0,$A616&lt;L$6),AND(L$7&gt;0,$A616&gt;L$7)),0,MAX(0,ROUND((INDEX($E616:$G616,L$5)-SUMIFS(TF_Timer,TF_Tekniker,L$4,TF_Dato,$A616))*2,0)/2)))</f>
        <v/>
      </c>
      <c r="M616">
        <f>IF(OR(M$4="",$A616&gt;TODAY()),0,IF(OR(INDEX($B616:$D616,M$5)="F",AND(M$6&gt;0,$A616&lt;M$6),AND(M$7&gt;0,$A616&gt;M$7)),0,MAX(0,ROUND((INDEX($E616:$G616,M$5)-SUMIFS(TF_Timer,TF_Tekniker,M$4,TF_Dato,$A616))*2,0)/2)))</f>
        <v/>
      </c>
      <c r="N616">
        <f>IF(OR(N$4="",$A616&gt;TODAY()),0,IF(OR(INDEX($B616:$D616,N$5)="F",AND(N$6&gt;0,$A616&lt;N$6),AND(N$7&gt;0,$A616&gt;N$7)),0,MAX(0,ROUND((INDEX($E616:$G616,N$5)-SUMIFS(TF_Timer,TF_Tekniker,N$4,TF_Dato,$A616))*2,0)/2)))</f>
        <v/>
      </c>
      <c r="O616">
        <f>IF(OR(O$4="",$A616&gt;TODAY()),0,IF(OR(INDEX($B616:$D616,O$5)="F",AND(O$6&gt;0,$A616&lt;O$6),AND(O$7&gt;0,$A616&gt;O$7)),0,MAX(0,ROUND((INDEX($E616:$G616,O$5)-SUMIFS(TF_Timer,TF_Tekniker,O$4,TF_Dato,$A616))*2,0)/2)))</f>
        <v/>
      </c>
      <c r="P616">
        <f>IF(OR(P$4="",$A616&gt;TODAY()),0,IF(OR(INDEX($B616:$D616,P$5)="F",AND(P$6&gt;0,$A616&lt;P$6),AND(P$7&gt;0,$A616&gt;P$7)),0,MAX(0,ROUND((INDEX($E616:$G616,P$5)-SUMIFS(TF_Timer,TF_Tekniker,P$4,TF_Dato,$A616))*2,0)/2)))</f>
        <v/>
      </c>
      <c r="Q616">
        <f>IF(OR(Q$4="",$A616&gt;TODAY()),0,IF(OR(INDEX($B616:$D616,Q$5)="F",AND(Q$6&gt;0,$A616&lt;Q$6),AND(Q$7&gt;0,$A616&gt;Q$7)),0,MAX(0,ROUND((INDEX($E616:$G616,Q$5)-SUMIFS(TF_Timer,TF_Tekniker,Q$4,TF_Dato,$A616))*2,0)/2)))</f>
        <v/>
      </c>
      <c r="R616">
        <f>IF(OR(R$4="",$A616&gt;TODAY()),0,IF(OR(INDEX($B616:$D616,R$5)="F",AND(R$6&gt;0,$A616&lt;R$6),AND(R$7&gt;0,$A616&gt;R$7)),0,MAX(0,ROUND((INDEX($E616:$G616,R$5)-SUMIFS(TF_Timer,TF_Tekniker,R$4,TF_Dato,$A616))*2,0)/2)))</f>
        <v/>
      </c>
      <c r="S616">
        <f>IF(OR(S$4="",$A616&gt;TODAY()),0,IF(OR(INDEX($B616:$D616,S$5)="F",AND(S$6&gt;0,$A616&lt;S$6),AND(S$7&gt;0,$A616&gt;S$7)),0,MAX(0,ROUND((INDEX($E616:$G616,S$5)-SUMIFS(TF_Timer,TF_Tekniker,S$4,TF_Dato,$A616))*2,0)/2)))</f>
        <v/>
      </c>
      <c r="T616">
        <f>IF(OR(T$4="",$A616&gt;TODAY()),0,IF(OR(INDEX($B616:$D616,T$5)="F",AND(T$6&gt;0,$A616&lt;T$6),AND(T$7&gt;0,$A616&gt;T$7)),0,MAX(0,ROUND((INDEX($E616:$G616,T$5)-SUMIFS(TF_Timer,TF_Tekniker,T$4,TF_Dato,$A616))*2,0)/2)))</f>
        <v/>
      </c>
      <c r="U616">
        <f>IF(OR(U$4="",$A616&gt;TODAY()),0,IF(OR(INDEX($B616:$D616,U$5)="F",AND(U$6&gt;0,$A616&lt;U$6),AND(U$7&gt;0,$A616&gt;U$7)),0,MAX(0,ROUND((INDEX($E616:$G616,U$5)-SUMIFS(TF_Timer,TF_Tekniker,U$4,TF_Dato,$A616))*2,0)/2)))</f>
        <v/>
      </c>
      <c r="V616">
        <f>IF(OR(V$4="",$A616&gt;TODAY()),0,IF(OR(INDEX($B616:$D616,V$5)="F",AND(V$6&gt;0,$A616&lt;V$6),AND(V$7&gt;0,$A616&gt;V$7)),0,MAX(0,ROUND((INDEX($E616:$G616,V$5)-SUMIFS(TF_Timer,TF_Tekniker,V$4,TF_Dato,$A616))*2,0)/2)))</f>
        <v/>
      </c>
      <c r="W616">
        <f>IF(OR(W$4="",$A616&gt;TODAY()),0,IF(OR(INDEX($B616:$D616,W$5)="F",AND(W$6&gt;0,$A616&lt;W$6),AND(W$7&gt;0,$A616&gt;W$7)),0,MAX(0,ROUND((INDEX($E616:$G616,W$5)-SUMIFS(TF_Timer,TF_Tekniker,W$4,TF_Dato,$A616))*2,0)/2)))</f>
        <v/>
      </c>
      <c r="X616">
        <f>IF(OR(X$4="",$A616&gt;TODAY()),0,IF(OR(INDEX($B616:$D616,X$5)="F",AND(X$6&gt;0,$A616&lt;X$6),AND(X$7&gt;0,$A616&gt;X$7)),0,MAX(0,ROUND((INDEX($E616:$G616,X$5)-SUMIFS(TF_Timer,TF_Tekniker,X$4,TF_Dato,$A616))*2,0)/2)))</f>
        <v/>
      </c>
      <c r="Y616">
        <f>IF(OR(Y$4="",$A616&gt;TODAY()),0,IF(OR(INDEX($B616:$D616,Y$5)="F",AND(Y$6&gt;0,$A616&lt;Y$6),AND(Y$7&gt;0,$A616&gt;Y$7)),0,MAX(0,ROUND((INDEX($E616:$G616,Y$5)-SUMIFS(TF_Timer,TF_Tekniker,Y$4,TF_Dato,$A616))*2,0)/2)))</f>
        <v/>
      </c>
      <c r="Z616">
        <f>IF(OR(Z$4="",$A616&gt;TODAY()),0,IF(OR(INDEX($B616:$D616,Z$5)="F",AND(Z$6&gt;0,$A616&lt;Z$6),AND(Z$7&gt;0,$A616&gt;Z$7)),0,MAX(0,ROUND((INDEX($E616:$G616,Z$5)-SUMIFS(TF_Timer,TF_Tekniker,Z$4,TF_Dato,$A616))*2,0)/2)))</f>
        <v/>
      </c>
      <c r="AA616">
        <f>IF(OR(AA$4="",$A616&gt;TODAY()),0,IF(OR(INDEX($B616:$D616,AA$5)="F",AND(AA$6&gt;0,$A616&lt;AA$6),AND(AA$7&gt;0,$A616&gt;AA$7)),0,MAX(0,ROUND((INDEX($E616:$G616,AA$5)-SUMIFS(TF_Timer,TF_Tekniker,AA$4,TF_Dato,$A616))*2,0)/2)))</f>
        <v/>
      </c>
      <c r="AB616">
        <f>IF(OR(AB$4="",$A616&gt;TODAY()),0,IF(OR(INDEX($B616:$D616,AB$5)="F",AND(AB$6&gt;0,$A616&lt;AB$6),AND(AB$7&gt;0,$A616&gt;AB$7)),0,MAX(0,ROUND((INDEX($E616:$G616,AB$5)-SUMIFS(TF_Timer,TF_Tekniker,AB$4,TF_Dato,$A616))*2,0)/2)))</f>
        <v/>
      </c>
      <c r="AC616">
        <f>IF(OR(AC$4="",$A616&gt;TODAY()),0,IF(OR(INDEX($B616:$D616,AC$5)="F",AND(AC$6&gt;0,$A616&lt;AC$6),AND(AC$7&gt;0,$A616&gt;AC$7)),0,MAX(0,ROUND((INDEX($E616:$G616,AC$5)-SUMIFS(TF_Timer,TF_Tekniker,AC$4,TF_Dato,$A616))*2,0)/2)))</f>
        <v/>
      </c>
      <c r="AD616">
        <f>IF(OR(AD$4="",$A616&gt;TODAY()),0,IF(OR(INDEX($B616:$D616,AD$5)="F",AND(AD$6&gt;0,$A616&lt;AD$6),AND(AD$7&gt;0,$A616&gt;AD$7)),0,MAX(0,ROUND((INDEX($E616:$G616,AD$5)-SUMIFS(TF_Timer,TF_Tekniker,AD$4,TF_Dato,$A616))*2,0)/2)))</f>
        <v/>
      </c>
      <c r="AE616">
        <f>IF(OR(AE$4="",$A616&gt;TODAY()),0,IF(OR(INDEX($B616:$D616,AE$5)="F",AND(AE$6&gt;0,$A616&lt;AE$6),AND(AE$7&gt;0,$A616&gt;AE$7)),0,MAX(0,ROUND((INDEX($E616:$G616,AE$5)-SUMIFS(TF_Timer,TF_Tekniker,AE$4,TF_Dato,$A616))*2,0)/2)))</f>
        <v/>
      </c>
      <c r="AF616">
        <f>IF(OR(AF$4="",$A616&gt;TODAY()),0,IF(OR(INDEX($B616:$D616,AF$5)="F",AND(AF$6&gt;0,$A616&lt;AF$6),AND(AF$7&gt;0,$A616&gt;AF$7)),0,MAX(0,ROUND((INDEX($E616:$G616,AF$5)-SUMIFS(TF_Timer,TF_Tekniker,AF$4,TF_Dato,$A616))*2,0)/2)))</f>
        <v/>
      </c>
      <c r="AG616">
        <f>IF(OR(AG$4="",$A616&gt;TODAY()),0,IF(OR(INDEX($B616:$D616,AG$5)="F",AND(AG$6&gt;0,$A616&lt;AG$6),AND(AG$7&gt;0,$A616&gt;AG$7)),0,MAX(0,ROUND((INDEX($E616:$G616,AG$5)-SUMIFS(TF_Timer,TF_Tekniker,AG$4,TF_Dato,$A616))*2,0)/2)))</f>
        <v/>
      </c>
      <c r="AH616">
        <f>IF(OR(AH$4="",$A616&gt;TODAY()),0,IF(OR(INDEX($B616:$D616,AH$5)="F",AND(AH$6&gt;0,$A616&lt;AH$6),AND(AH$7&gt;0,$A616&gt;AH$7)),0,MAX(0,ROUND((INDEX($E616:$G616,AH$5)-SUMIFS(TF_Timer,TF_Tekniker,AH$4,TF_Dato,$A616))*2,0)/2)))</f>
        <v/>
      </c>
      <c r="AI616">
        <f>IF(OR(AI$4="",$A616&gt;TODAY()),0,IF(OR(INDEX($B616:$D616,AI$5)="F",AND(AI$6&gt;0,$A616&lt;AI$6),AND(AI$7&gt;0,$A616&gt;AI$7)),0,MAX(0,ROUND((INDEX($E616:$G616,AI$5)-SUMIFS(TF_Timer,TF_Tekniker,AI$4,TF_Dato,$A616))*2,0)/2)))</f>
        <v/>
      </c>
      <c r="AJ616">
        <f>IF(OR(AJ$4="",$A616&gt;TODAY()),0,IF(OR(INDEX($B616:$D616,AJ$5)="F",AND(AJ$6&gt;0,$A616&lt;AJ$6),AND(AJ$7&gt;0,$A616&gt;AJ$7)),0,MAX(0,ROUND((INDEX($E616:$G616,AJ$5)-SUMIFS(TF_Timer,TF_Tekniker,AJ$4,TF_Dato,$A616))*2,0)/2)))</f>
        <v/>
      </c>
      <c r="AK616">
        <f>IF(OR(AK$4="",$A616&gt;TODAY()),0,IF(OR(INDEX($B616:$D616,AK$5)="F",AND(AK$6&gt;0,$A616&lt;AK$6),AND(AK$7&gt;0,$A616&gt;AK$7)),0,MAX(0,ROUND((INDEX($E616:$G616,AK$5)-SUMIFS(TF_Timer,TF_Tekniker,AK$4,TF_Dato,$A616))*2,0)/2)))</f>
        <v/>
      </c>
      <c r="AL616">
        <f>IF(OR(AL$4="",$A616&gt;TODAY()),0,IF(OR(INDEX($B616:$D616,AL$5)="F",AND(AL$6&gt;0,$A616&lt;AL$6),AND(AL$7&gt;0,$A616&gt;AL$7)),0,MAX(0,ROUND((INDEX($E616:$G616,AL$5)-SUMIFS(TF_Timer,TF_Tekniker,AL$4,TF_Dato,$A616))*2,0)/2)))</f>
        <v/>
      </c>
      <c r="AM616">
        <f>IF(OR(AM$4="",$A616&gt;TODAY()),0,IF(OR(INDEX($B616:$D616,AM$5)="F",AND(AM$6&gt;0,$A616&lt;AM$6),AND(AM$7&gt;0,$A616&gt;AM$7)),0,MAX(0,ROUND((INDEX($E616:$G616,AM$5)-SUMIFS(TF_Timer,TF_Tekniker,AM$4,TF_Dato,$A616))*2,0)/2)))</f>
        <v/>
      </c>
      <c r="AN616">
        <f>IF(OR(AN$4="",$A616&gt;TODAY()),0,IF(OR(INDEX($B616:$D616,AN$5)="F",AND(AN$6&gt;0,$A616&lt;AN$6),AND(AN$7&gt;0,$A616&gt;AN$7)),0,MAX(0,ROUND((INDEX($E616:$G616,AN$5)-SUMIFS(TF_Timer,TF_Tekniker,AN$4,TF_Dato,$A616))*2,0)/2)))</f>
        <v/>
      </c>
      <c r="AO616">
        <f>IF(OR(AO$4="",$A616&gt;TODAY()),0,IF(OR(INDEX($B616:$D616,AO$5)="F",AND(AO$6&gt;0,$A616&lt;AO$6),AND(AO$7&gt;0,$A616&gt;AO$7)),0,MAX(0,ROUND((INDEX($E616:$G616,AO$5)-SUMIFS(TF_Timer,TF_Tekniker,AO$4,TF_Dato,$A616))*2,0)/2)))</f>
        <v/>
      </c>
      <c r="AP616">
        <f>IF(OR(AP$4="",$A616&gt;TODAY()),0,IF(OR(INDEX($B616:$D616,AP$5)="F",AND(AP$6&gt;0,$A616&lt;AP$6),AND(AP$7&gt;0,$A616&gt;AP$7)),0,MAX(0,ROUND((INDEX($E616:$G616,AP$5)-SUMIFS(TF_Timer,TF_Tekniker,AP$4,TF_Dato,$A616))*2,0)/2)))</f>
        <v/>
      </c>
      <c r="AQ616">
        <f>IF(OR(AQ$4="",$A616&gt;TODAY()),0,IF(OR(INDEX($B616:$D616,AQ$5)="F",AND(AQ$6&gt;0,$A616&lt;AQ$6),AND(AQ$7&gt;0,$A616&gt;AQ$7)),0,MAX(0,ROUND((INDEX($E616:$G616,AQ$5)-SUMIFS(TF_Timer,TF_Tekniker,AQ$4,TF_Dato,$A616))*2,0)/2)))</f>
        <v/>
      </c>
      <c r="AR616">
        <f>IF(OR(AR$4="",$A616&gt;TODAY()),0,IF(OR(INDEX($B616:$D616,AR$5)="F",AND(AR$6&gt;0,$A616&lt;AR$6),AND(AR$7&gt;0,$A616&gt;AR$7)),0,MAX(0,ROUND((INDEX($E616:$G616,AR$5)-SUMIFS(TF_Timer,TF_Tekniker,AR$4,TF_Dato,$A616))*2,0)/2)))</f>
        <v/>
      </c>
      <c r="AS616">
        <f>IF(OR(AS$4="",$A616&gt;TODAY()),0,IF(OR(INDEX($B616:$D616,AS$5)="F",AND(AS$6&gt;0,$A616&lt;AS$6),AND(AS$7&gt;0,$A616&gt;AS$7)),0,MAX(0,ROUND((INDEX($E616:$G616,AS$5)-SUMIFS(TF_Timer,TF_Tekniker,AS$4,TF_Dato,$A616))*2,0)/2)))</f>
        <v/>
      </c>
      <c r="AT616">
        <f>IF(OR(AT$4="",$A616&gt;TODAY()),0,IF(OR(INDEX($B616:$D616,AT$5)="F",AND(AT$6&gt;0,$A616&lt;AT$6),AND(AT$7&gt;0,$A616&gt;AT$7)),0,MAX(0,ROUND((INDEX($E616:$G616,AT$5)-SUMIFS(TF_Timer,TF_Tekniker,AT$4,TF_Dato,$A616))*2,0)/2)))</f>
        <v/>
      </c>
      <c r="AU616">
        <f>IF(OR(AU$4="",$A616&gt;TODAY()),0,IF(OR(INDEX($B616:$D616,AU$5)="F",AND(AU$6&gt;0,$A616&lt;AU$6),AND(AU$7&gt;0,$A616&gt;AU$7)),0,MAX(0,ROUND((INDEX($E616:$G616,AU$5)-SUMIFS(TF_Timer,TF_Tekniker,AU$4,TF_Dato,$A616))*2,0)/2)))</f>
        <v/>
      </c>
      <c r="AV616">
        <f>IF(OR(AV$4="",$A616&gt;TODAY()),0,IF(OR(INDEX($B616:$D616,AV$5)="F",AND(AV$6&gt;0,$A616&lt;AV$6),AND(AV$7&gt;0,$A616&gt;AV$7)),0,MAX(0,ROUND((INDEX($E616:$G616,AV$5)-SUMIFS(TF_Timer,TF_Tekniker,AV$4,TF_Dato,$A616))*2,0)/2)))</f>
        <v/>
      </c>
      <c r="AW616">
        <f>IF(OR(AW$4="",$A616&gt;TODAY()),0,IF(OR(INDEX($B616:$D616,AW$5)="F",AND(AW$6&gt;0,$A616&lt;AW$6),AND(AW$7&gt;0,$A616&gt;AW$7)),0,MAX(0,ROUND((INDEX($E616:$G616,AW$5)-SUMIFS(TF_Timer,TF_Tekniker,AW$4,TF_Dato,$A616))*2,0)/2)))</f>
        <v/>
      </c>
      <c r="AX616">
        <f>IF(OR(AX$4="",$A616&gt;TODAY()),0,IF(OR(INDEX($B616:$D616,AX$5)="F",AND(AX$6&gt;0,$A616&lt;AX$6),AND(AX$7&gt;0,$A616&gt;AX$7)),0,MAX(0,ROUND((INDEX($E616:$G616,AX$5)-SUMIFS(TF_Timer,TF_Tekniker,AX$4,TF_Dato,$A616))*2,0)/2)))</f>
        <v/>
      </c>
      <c r="AY616">
        <f>IF(OR(AY$4="",$A616&gt;TODAY()),0,IF(OR(INDEX($B616:$D616,AY$5)="F",AND(AY$6&gt;0,$A616&lt;AY$6),AND(AY$7&gt;0,$A616&gt;AY$7)),0,MAX(0,ROUND((INDEX($E616:$G616,AY$5)-SUMIFS(TF_Timer,TF_Tekniker,AY$4,TF_Dato,$A616))*2,0)/2)))</f>
        <v/>
      </c>
      <c r="AZ616">
        <f>IF(OR(AZ$4="",$A616&gt;TODAY()),0,IF(OR(INDEX($B616:$D616,AZ$5)="F",AND(AZ$6&gt;0,$A616&lt;AZ$6),AND(AZ$7&gt;0,$A616&gt;AZ$7)),0,MAX(0,ROUND((INDEX($E616:$G616,AZ$5)-SUMIFS(TF_Timer,TF_Tekniker,AZ$4,TF_Dato,$A616))*2,0)/2)))</f>
        <v/>
      </c>
      <c r="BA616">
        <f>IF(OR(BA$4="",$A616&gt;TODAY()),0,IF(OR(INDEX($B616:$D616,BA$5)="F",AND(BA$6&gt;0,$A616&lt;BA$6),AND(BA$7&gt;0,$A616&gt;BA$7)),0,MAX(0,ROUND((INDEX($E616:$G616,BA$5)-SUMIFS(TF_Timer,TF_Tekniker,BA$4,TF_Dato,$A616))*2,0)/2)))</f>
        <v/>
      </c>
      <c r="BB616">
        <f>IF(OR(BB$4="",$A616&gt;TODAY()),0,IF(OR(INDEX($B616:$D616,BB$5)="F",AND(BB$6&gt;0,$A616&lt;BB$6),AND(BB$7&gt;0,$A616&gt;BB$7)),0,MAX(0,ROUND((INDEX($E616:$G616,BB$5)-SUMIFS(TF_Timer,TF_Tekniker,BB$4,TF_Dato,$A616))*2,0)/2)))</f>
        <v/>
      </c>
      <c r="BC616">
        <f>IF(OR(BC$4="",$A616&gt;TODAY()),0,IF(OR(INDEX($B616:$D616,BC$5)="F",AND(BC$6&gt;0,$A616&lt;BC$6),AND(BC$7&gt;0,$A616&gt;BC$7)),0,MAX(0,ROUND((INDEX($E616:$G616,BC$5)-SUMIFS(TF_Timer,TF_Tekniker,BC$4,TF_Dato,$A616))*2,0)/2)))</f>
        <v/>
      </c>
      <c r="BD616">
        <f>IF(OR(BD$4="",$A616&gt;TODAY()),0,IF(OR(INDEX($B616:$D616,BD$5)="F",AND(BD$6&gt;0,$A616&lt;BD$6),AND(BD$7&gt;0,$A616&gt;BD$7)),0,MAX(0,ROUND((INDEX($E616:$G616,BD$5)-SUMIFS(TF_Timer,TF_Tekniker,BD$4,TF_Dato,$A616))*2,0)/2)))</f>
        <v/>
      </c>
      <c r="BE616">
        <f>IF(OR(BE$4="",$A616&gt;TODAY()),0,IF(OR(INDEX($B616:$D616,BE$5)="F",AND(BE$6&gt;0,$A616&lt;BE$6),AND(BE$7&gt;0,$A616&gt;BE$7)),0,MAX(0,ROUND((INDEX($E616:$G616,BE$5)-SUMIFS(TF_Timer,TF_Tekniker,BE$4,TF_Dato,$A616))*2,0)/2)))</f>
        <v/>
      </c>
      <c r="BF616">
        <f>IF(OR(BF$4="",$A616&gt;TODAY()),0,IF(OR(INDEX($B616:$D616,BF$5)="F",AND(BF$6&gt;0,$A616&lt;BF$6),AND(BF$7&gt;0,$A616&gt;BF$7)),0,MAX(0,ROUND((INDEX($E616:$G616,BF$5)-SUMIFS(TF_Timer,TF_Tekniker,BF$4,TF_Dato,$A616))*2,0)/2)))</f>
        <v/>
      </c>
      <c r="BG616">
        <f>IF(OR(BG$4="",$A616&gt;TODAY()),0,IF(OR(INDEX($B616:$D616,BG$5)="F",AND(BG$6&gt;0,$A616&lt;BG$6),AND(BG$7&gt;0,$A616&gt;BG$7)),0,MAX(0,ROUND((INDEX($E616:$G616,BG$5)-SUMIFS(TF_Timer,TF_Tekniker,BG$4,TF_Dato,$A616))*2,0)/2)))</f>
        <v/>
      </c>
      <c r="BH616">
        <f>IF(OR(BH$4="",$A616&gt;TODAY()),0,IF(OR(INDEX($B616:$D616,BH$5)="F",AND(BH$6&gt;0,$A616&lt;BH$6),AND(BH$7&gt;0,$A616&gt;BH$7)),0,MAX(0,ROUND((INDEX($E616:$G616,BH$5)-SUMIFS(TF_Timer,TF_Tekniker,BH$4,TF_Dato,$A616))*2,0)/2)))</f>
        <v/>
      </c>
      <c r="BI616">
        <f>IF(OR(BI$4="",$A616&gt;TODAY()),0,IF(OR(INDEX($B616:$D616,BI$5)="F",AND(BI$6&gt;0,$A616&lt;BI$6),AND(BI$7&gt;0,$A616&gt;BI$7)),0,MAX(0,ROUND((INDEX($E616:$G616,BI$5)-SUMIFS(TF_Timer,TF_Tekniker,BI$4,TF_Dato,$A616))*2,0)/2)))</f>
        <v/>
      </c>
    </row>
    <row r="617">
      <c r="A617" s="64">
        <f>A616+1</f>
        <v/>
      </c>
      <c r="B617">
        <f>IF(MOD($A617-INDEX(SkiftStart,1),Syklus)&lt;DagK,"K",IF(MOD($A617-INDEX(SkiftStart,1),Syklus)&lt;DagK+DagH,"H",IF(MOD($A617-INDEX(SkiftStart,1),Syklus)&lt;DagK+DagH+DagD,"D","F")))</f>
        <v/>
      </c>
      <c r="C617">
        <f>IF(MOD($A617-INDEX(SkiftStart,2),Syklus)&lt;DagK,"K",IF(MOD($A617-INDEX(SkiftStart,2),Syklus)&lt;DagK+DagH,"H",IF(MOD($A617-INDEX(SkiftStart,2),Syklus)&lt;DagK+DagH+DagD,"D","F")))</f>
        <v/>
      </c>
      <c r="D617">
        <f>IF(MOD($A617-INDEX(SkiftStart,3),Syklus)&lt;DagK,"K",IF(MOD($A617-INDEX(SkiftStart,3),Syklus)&lt;DagK+DagH,"H",IF(MOD($A617-INDEX(SkiftStart,3),Syklus)&lt;DagK+DagH+DagD,"D","F")))</f>
        <v/>
      </c>
      <c r="E617">
        <f>IF(B617="F",0,IF(WEEKDAY($A617,2)=5,INDEX(TimerFr,MATCH(B617,FaseKode,0)),INDEX(TimerMT,MATCH(B617,FaseKode,0))))</f>
        <v/>
      </c>
      <c r="F617">
        <f>IF(C617="F",0,IF(WEEKDAY($A617,2)=5,INDEX(TimerFr,MATCH(C617,FaseKode,0)),INDEX(TimerMT,MATCH(C617,FaseKode,0))))</f>
        <v/>
      </c>
      <c r="G617">
        <f>IF(D617="F",0,IF(WEEKDAY($A617,2)=5,INDEX(TimerFr,MATCH(D617,FaseKode,0)),INDEX(TimerMT,MATCH(D617,FaseKode,0))))</f>
        <v/>
      </c>
      <c r="H617">
        <f>IF(OR(H$4="",$A617&gt;TODAY()),0,IF(OR(INDEX($B617:$D617,H$5)="F",AND(H$6&gt;0,$A617&lt;H$6),AND(H$7&gt;0,$A617&gt;H$7)),0,MAX(0,ROUND((INDEX($E617:$G617,H$5)-SUMIFS(TF_Timer,TF_Tekniker,H$4,TF_Dato,$A617))*2,0)/2)))</f>
        <v/>
      </c>
      <c r="I617">
        <f>IF(OR(I$4="",$A617&gt;TODAY()),0,IF(OR(INDEX($B617:$D617,I$5)="F",AND(I$6&gt;0,$A617&lt;I$6),AND(I$7&gt;0,$A617&gt;I$7)),0,MAX(0,ROUND((INDEX($E617:$G617,I$5)-SUMIFS(TF_Timer,TF_Tekniker,I$4,TF_Dato,$A617))*2,0)/2)))</f>
        <v/>
      </c>
      <c r="J617">
        <f>IF(OR(J$4="",$A617&gt;TODAY()),0,IF(OR(INDEX($B617:$D617,J$5)="F",AND(J$6&gt;0,$A617&lt;J$6),AND(J$7&gt;0,$A617&gt;J$7)),0,MAX(0,ROUND((INDEX($E617:$G617,J$5)-SUMIFS(TF_Timer,TF_Tekniker,J$4,TF_Dato,$A617))*2,0)/2)))</f>
        <v/>
      </c>
      <c r="K617">
        <f>IF(OR(K$4="",$A617&gt;TODAY()),0,IF(OR(INDEX($B617:$D617,K$5)="F",AND(K$6&gt;0,$A617&lt;K$6),AND(K$7&gt;0,$A617&gt;K$7)),0,MAX(0,ROUND((INDEX($E617:$G617,K$5)-SUMIFS(TF_Timer,TF_Tekniker,K$4,TF_Dato,$A617))*2,0)/2)))</f>
        <v/>
      </c>
      <c r="L617">
        <f>IF(OR(L$4="",$A617&gt;TODAY()),0,IF(OR(INDEX($B617:$D617,L$5)="F",AND(L$6&gt;0,$A617&lt;L$6),AND(L$7&gt;0,$A617&gt;L$7)),0,MAX(0,ROUND((INDEX($E617:$G617,L$5)-SUMIFS(TF_Timer,TF_Tekniker,L$4,TF_Dato,$A617))*2,0)/2)))</f>
        <v/>
      </c>
      <c r="M617">
        <f>IF(OR(M$4="",$A617&gt;TODAY()),0,IF(OR(INDEX($B617:$D617,M$5)="F",AND(M$6&gt;0,$A617&lt;M$6),AND(M$7&gt;0,$A617&gt;M$7)),0,MAX(0,ROUND((INDEX($E617:$G617,M$5)-SUMIFS(TF_Timer,TF_Tekniker,M$4,TF_Dato,$A617))*2,0)/2)))</f>
        <v/>
      </c>
      <c r="N617">
        <f>IF(OR(N$4="",$A617&gt;TODAY()),0,IF(OR(INDEX($B617:$D617,N$5)="F",AND(N$6&gt;0,$A617&lt;N$6),AND(N$7&gt;0,$A617&gt;N$7)),0,MAX(0,ROUND((INDEX($E617:$G617,N$5)-SUMIFS(TF_Timer,TF_Tekniker,N$4,TF_Dato,$A617))*2,0)/2)))</f>
        <v/>
      </c>
      <c r="O617">
        <f>IF(OR(O$4="",$A617&gt;TODAY()),0,IF(OR(INDEX($B617:$D617,O$5)="F",AND(O$6&gt;0,$A617&lt;O$6),AND(O$7&gt;0,$A617&gt;O$7)),0,MAX(0,ROUND((INDEX($E617:$G617,O$5)-SUMIFS(TF_Timer,TF_Tekniker,O$4,TF_Dato,$A617))*2,0)/2)))</f>
        <v/>
      </c>
      <c r="P617">
        <f>IF(OR(P$4="",$A617&gt;TODAY()),0,IF(OR(INDEX($B617:$D617,P$5)="F",AND(P$6&gt;0,$A617&lt;P$6),AND(P$7&gt;0,$A617&gt;P$7)),0,MAX(0,ROUND((INDEX($E617:$G617,P$5)-SUMIFS(TF_Timer,TF_Tekniker,P$4,TF_Dato,$A617))*2,0)/2)))</f>
        <v/>
      </c>
      <c r="Q617">
        <f>IF(OR(Q$4="",$A617&gt;TODAY()),0,IF(OR(INDEX($B617:$D617,Q$5)="F",AND(Q$6&gt;0,$A617&lt;Q$6),AND(Q$7&gt;0,$A617&gt;Q$7)),0,MAX(0,ROUND((INDEX($E617:$G617,Q$5)-SUMIFS(TF_Timer,TF_Tekniker,Q$4,TF_Dato,$A617))*2,0)/2)))</f>
        <v/>
      </c>
      <c r="R617">
        <f>IF(OR(R$4="",$A617&gt;TODAY()),0,IF(OR(INDEX($B617:$D617,R$5)="F",AND(R$6&gt;0,$A617&lt;R$6),AND(R$7&gt;0,$A617&gt;R$7)),0,MAX(0,ROUND((INDEX($E617:$G617,R$5)-SUMIFS(TF_Timer,TF_Tekniker,R$4,TF_Dato,$A617))*2,0)/2)))</f>
        <v/>
      </c>
      <c r="S617">
        <f>IF(OR(S$4="",$A617&gt;TODAY()),0,IF(OR(INDEX($B617:$D617,S$5)="F",AND(S$6&gt;0,$A617&lt;S$6),AND(S$7&gt;0,$A617&gt;S$7)),0,MAX(0,ROUND((INDEX($E617:$G617,S$5)-SUMIFS(TF_Timer,TF_Tekniker,S$4,TF_Dato,$A617))*2,0)/2)))</f>
        <v/>
      </c>
      <c r="T617">
        <f>IF(OR(T$4="",$A617&gt;TODAY()),0,IF(OR(INDEX($B617:$D617,T$5)="F",AND(T$6&gt;0,$A617&lt;T$6),AND(T$7&gt;0,$A617&gt;T$7)),0,MAX(0,ROUND((INDEX($E617:$G617,T$5)-SUMIFS(TF_Timer,TF_Tekniker,T$4,TF_Dato,$A617))*2,0)/2)))</f>
        <v/>
      </c>
      <c r="U617">
        <f>IF(OR(U$4="",$A617&gt;TODAY()),0,IF(OR(INDEX($B617:$D617,U$5)="F",AND(U$6&gt;0,$A617&lt;U$6),AND(U$7&gt;0,$A617&gt;U$7)),0,MAX(0,ROUND((INDEX($E617:$G617,U$5)-SUMIFS(TF_Timer,TF_Tekniker,U$4,TF_Dato,$A617))*2,0)/2)))</f>
        <v/>
      </c>
      <c r="V617">
        <f>IF(OR(V$4="",$A617&gt;TODAY()),0,IF(OR(INDEX($B617:$D617,V$5)="F",AND(V$6&gt;0,$A617&lt;V$6),AND(V$7&gt;0,$A617&gt;V$7)),0,MAX(0,ROUND((INDEX($E617:$G617,V$5)-SUMIFS(TF_Timer,TF_Tekniker,V$4,TF_Dato,$A617))*2,0)/2)))</f>
        <v/>
      </c>
      <c r="W617">
        <f>IF(OR(W$4="",$A617&gt;TODAY()),0,IF(OR(INDEX($B617:$D617,W$5)="F",AND(W$6&gt;0,$A617&lt;W$6),AND(W$7&gt;0,$A617&gt;W$7)),0,MAX(0,ROUND((INDEX($E617:$G617,W$5)-SUMIFS(TF_Timer,TF_Tekniker,W$4,TF_Dato,$A617))*2,0)/2)))</f>
        <v/>
      </c>
      <c r="X617">
        <f>IF(OR(X$4="",$A617&gt;TODAY()),0,IF(OR(INDEX($B617:$D617,X$5)="F",AND(X$6&gt;0,$A617&lt;X$6),AND(X$7&gt;0,$A617&gt;X$7)),0,MAX(0,ROUND((INDEX($E617:$G617,X$5)-SUMIFS(TF_Timer,TF_Tekniker,X$4,TF_Dato,$A617))*2,0)/2)))</f>
        <v/>
      </c>
      <c r="Y617">
        <f>IF(OR(Y$4="",$A617&gt;TODAY()),0,IF(OR(INDEX($B617:$D617,Y$5)="F",AND(Y$6&gt;0,$A617&lt;Y$6),AND(Y$7&gt;0,$A617&gt;Y$7)),0,MAX(0,ROUND((INDEX($E617:$G617,Y$5)-SUMIFS(TF_Timer,TF_Tekniker,Y$4,TF_Dato,$A617))*2,0)/2)))</f>
        <v/>
      </c>
      <c r="Z617">
        <f>IF(OR(Z$4="",$A617&gt;TODAY()),0,IF(OR(INDEX($B617:$D617,Z$5)="F",AND(Z$6&gt;0,$A617&lt;Z$6),AND(Z$7&gt;0,$A617&gt;Z$7)),0,MAX(0,ROUND((INDEX($E617:$G617,Z$5)-SUMIFS(TF_Timer,TF_Tekniker,Z$4,TF_Dato,$A617))*2,0)/2)))</f>
        <v/>
      </c>
      <c r="AA617">
        <f>IF(OR(AA$4="",$A617&gt;TODAY()),0,IF(OR(INDEX($B617:$D617,AA$5)="F",AND(AA$6&gt;0,$A617&lt;AA$6),AND(AA$7&gt;0,$A617&gt;AA$7)),0,MAX(0,ROUND((INDEX($E617:$G617,AA$5)-SUMIFS(TF_Timer,TF_Tekniker,AA$4,TF_Dato,$A617))*2,0)/2)))</f>
        <v/>
      </c>
      <c r="AB617">
        <f>IF(OR(AB$4="",$A617&gt;TODAY()),0,IF(OR(INDEX($B617:$D617,AB$5)="F",AND(AB$6&gt;0,$A617&lt;AB$6),AND(AB$7&gt;0,$A617&gt;AB$7)),0,MAX(0,ROUND((INDEX($E617:$G617,AB$5)-SUMIFS(TF_Timer,TF_Tekniker,AB$4,TF_Dato,$A617))*2,0)/2)))</f>
        <v/>
      </c>
      <c r="AC617">
        <f>IF(OR(AC$4="",$A617&gt;TODAY()),0,IF(OR(INDEX($B617:$D617,AC$5)="F",AND(AC$6&gt;0,$A617&lt;AC$6),AND(AC$7&gt;0,$A617&gt;AC$7)),0,MAX(0,ROUND((INDEX($E617:$G617,AC$5)-SUMIFS(TF_Timer,TF_Tekniker,AC$4,TF_Dato,$A617))*2,0)/2)))</f>
        <v/>
      </c>
      <c r="AD617">
        <f>IF(OR(AD$4="",$A617&gt;TODAY()),0,IF(OR(INDEX($B617:$D617,AD$5)="F",AND(AD$6&gt;0,$A617&lt;AD$6),AND(AD$7&gt;0,$A617&gt;AD$7)),0,MAX(0,ROUND((INDEX($E617:$G617,AD$5)-SUMIFS(TF_Timer,TF_Tekniker,AD$4,TF_Dato,$A617))*2,0)/2)))</f>
        <v/>
      </c>
      <c r="AE617">
        <f>IF(OR(AE$4="",$A617&gt;TODAY()),0,IF(OR(INDEX($B617:$D617,AE$5)="F",AND(AE$6&gt;0,$A617&lt;AE$6),AND(AE$7&gt;0,$A617&gt;AE$7)),0,MAX(0,ROUND((INDEX($E617:$G617,AE$5)-SUMIFS(TF_Timer,TF_Tekniker,AE$4,TF_Dato,$A617))*2,0)/2)))</f>
        <v/>
      </c>
      <c r="AF617">
        <f>IF(OR(AF$4="",$A617&gt;TODAY()),0,IF(OR(INDEX($B617:$D617,AF$5)="F",AND(AF$6&gt;0,$A617&lt;AF$6),AND(AF$7&gt;0,$A617&gt;AF$7)),0,MAX(0,ROUND((INDEX($E617:$G617,AF$5)-SUMIFS(TF_Timer,TF_Tekniker,AF$4,TF_Dato,$A617))*2,0)/2)))</f>
        <v/>
      </c>
      <c r="AG617">
        <f>IF(OR(AG$4="",$A617&gt;TODAY()),0,IF(OR(INDEX($B617:$D617,AG$5)="F",AND(AG$6&gt;0,$A617&lt;AG$6),AND(AG$7&gt;0,$A617&gt;AG$7)),0,MAX(0,ROUND((INDEX($E617:$G617,AG$5)-SUMIFS(TF_Timer,TF_Tekniker,AG$4,TF_Dato,$A617))*2,0)/2)))</f>
        <v/>
      </c>
      <c r="AH617">
        <f>IF(OR(AH$4="",$A617&gt;TODAY()),0,IF(OR(INDEX($B617:$D617,AH$5)="F",AND(AH$6&gt;0,$A617&lt;AH$6),AND(AH$7&gt;0,$A617&gt;AH$7)),0,MAX(0,ROUND((INDEX($E617:$G617,AH$5)-SUMIFS(TF_Timer,TF_Tekniker,AH$4,TF_Dato,$A617))*2,0)/2)))</f>
        <v/>
      </c>
      <c r="AI617">
        <f>IF(OR(AI$4="",$A617&gt;TODAY()),0,IF(OR(INDEX($B617:$D617,AI$5)="F",AND(AI$6&gt;0,$A617&lt;AI$6),AND(AI$7&gt;0,$A617&gt;AI$7)),0,MAX(0,ROUND((INDEX($E617:$G617,AI$5)-SUMIFS(TF_Timer,TF_Tekniker,AI$4,TF_Dato,$A617))*2,0)/2)))</f>
        <v/>
      </c>
      <c r="AJ617">
        <f>IF(OR(AJ$4="",$A617&gt;TODAY()),0,IF(OR(INDEX($B617:$D617,AJ$5)="F",AND(AJ$6&gt;0,$A617&lt;AJ$6),AND(AJ$7&gt;0,$A617&gt;AJ$7)),0,MAX(0,ROUND((INDEX($E617:$G617,AJ$5)-SUMIFS(TF_Timer,TF_Tekniker,AJ$4,TF_Dato,$A617))*2,0)/2)))</f>
        <v/>
      </c>
      <c r="AK617">
        <f>IF(OR(AK$4="",$A617&gt;TODAY()),0,IF(OR(INDEX($B617:$D617,AK$5)="F",AND(AK$6&gt;0,$A617&lt;AK$6),AND(AK$7&gt;0,$A617&gt;AK$7)),0,MAX(0,ROUND((INDEX($E617:$G617,AK$5)-SUMIFS(TF_Timer,TF_Tekniker,AK$4,TF_Dato,$A617))*2,0)/2)))</f>
        <v/>
      </c>
      <c r="AL617">
        <f>IF(OR(AL$4="",$A617&gt;TODAY()),0,IF(OR(INDEX($B617:$D617,AL$5)="F",AND(AL$6&gt;0,$A617&lt;AL$6),AND(AL$7&gt;0,$A617&gt;AL$7)),0,MAX(0,ROUND((INDEX($E617:$G617,AL$5)-SUMIFS(TF_Timer,TF_Tekniker,AL$4,TF_Dato,$A617))*2,0)/2)))</f>
        <v/>
      </c>
      <c r="AM617">
        <f>IF(OR(AM$4="",$A617&gt;TODAY()),0,IF(OR(INDEX($B617:$D617,AM$5)="F",AND(AM$6&gt;0,$A617&lt;AM$6),AND(AM$7&gt;0,$A617&gt;AM$7)),0,MAX(0,ROUND((INDEX($E617:$G617,AM$5)-SUMIFS(TF_Timer,TF_Tekniker,AM$4,TF_Dato,$A617))*2,0)/2)))</f>
        <v/>
      </c>
      <c r="AN617">
        <f>IF(OR(AN$4="",$A617&gt;TODAY()),0,IF(OR(INDEX($B617:$D617,AN$5)="F",AND(AN$6&gt;0,$A617&lt;AN$6),AND(AN$7&gt;0,$A617&gt;AN$7)),0,MAX(0,ROUND((INDEX($E617:$G617,AN$5)-SUMIFS(TF_Timer,TF_Tekniker,AN$4,TF_Dato,$A617))*2,0)/2)))</f>
        <v/>
      </c>
      <c r="AO617">
        <f>IF(OR(AO$4="",$A617&gt;TODAY()),0,IF(OR(INDEX($B617:$D617,AO$5)="F",AND(AO$6&gt;0,$A617&lt;AO$6),AND(AO$7&gt;0,$A617&gt;AO$7)),0,MAX(0,ROUND((INDEX($E617:$G617,AO$5)-SUMIFS(TF_Timer,TF_Tekniker,AO$4,TF_Dato,$A617))*2,0)/2)))</f>
        <v/>
      </c>
      <c r="AP617">
        <f>IF(OR(AP$4="",$A617&gt;TODAY()),0,IF(OR(INDEX($B617:$D617,AP$5)="F",AND(AP$6&gt;0,$A617&lt;AP$6),AND(AP$7&gt;0,$A617&gt;AP$7)),0,MAX(0,ROUND((INDEX($E617:$G617,AP$5)-SUMIFS(TF_Timer,TF_Tekniker,AP$4,TF_Dato,$A617))*2,0)/2)))</f>
        <v/>
      </c>
      <c r="AQ617">
        <f>IF(OR(AQ$4="",$A617&gt;TODAY()),0,IF(OR(INDEX($B617:$D617,AQ$5)="F",AND(AQ$6&gt;0,$A617&lt;AQ$6),AND(AQ$7&gt;0,$A617&gt;AQ$7)),0,MAX(0,ROUND((INDEX($E617:$G617,AQ$5)-SUMIFS(TF_Timer,TF_Tekniker,AQ$4,TF_Dato,$A617))*2,0)/2)))</f>
        <v/>
      </c>
      <c r="AR617">
        <f>IF(OR(AR$4="",$A617&gt;TODAY()),0,IF(OR(INDEX($B617:$D617,AR$5)="F",AND(AR$6&gt;0,$A617&lt;AR$6),AND(AR$7&gt;0,$A617&gt;AR$7)),0,MAX(0,ROUND((INDEX($E617:$G617,AR$5)-SUMIFS(TF_Timer,TF_Tekniker,AR$4,TF_Dato,$A617))*2,0)/2)))</f>
        <v/>
      </c>
      <c r="AS617">
        <f>IF(OR(AS$4="",$A617&gt;TODAY()),0,IF(OR(INDEX($B617:$D617,AS$5)="F",AND(AS$6&gt;0,$A617&lt;AS$6),AND(AS$7&gt;0,$A617&gt;AS$7)),0,MAX(0,ROUND((INDEX($E617:$G617,AS$5)-SUMIFS(TF_Timer,TF_Tekniker,AS$4,TF_Dato,$A617))*2,0)/2)))</f>
        <v/>
      </c>
      <c r="AT617">
        <f>IF(OR(AT$4="",$A617&gt;TODAY()),0,IF(OR(INDEX($B617:$D617,AT$5)="F",AND(AT$6&gt;0,$A617&lt;AT$6),AND(AT$7&gt;0,$A617&gt;AT$7)),0,MAX(0,ROUND((INDEX($E617:$G617,AT$5)-SUMIFS(TF_Timer,TF_Tekniker,AT$4,TF_Dato,$A617))*2,0)/2)))</f>
        <v/>
      </c>
      <c r="AU617">
        <f>IF(OR(AU$4="",$A617&gt;TODAY()),0,IF(OR(INDEX($B617:$D617,AU$5)="F",AND(AU$6&gt;0,$A617&lt;AU$6),AND(AU$7&gt;0,$A617&gt;AU$7)),0,MAX(0,ROUND((INDEX($E617:$G617,AU$5)-SUMIFS(TF_Timer,TF_Tekniker,AU$4,TF_Dato,$A617))*2,0)/2)))</f>
        <v/>
      </c>
      <c r="AV617">
        <f>IF(OR(AV$4="",$A617&gt;TODAY()),0,IF(OR(INDEX($B617:$D617,AV$5)="F",AND(AV$6&gt;0,$A617&lt;AV$6),AND(AV$7&gt;0,$A617&gt;AV$7)),0,MAX(0,ROUND((INDEX($E617:$G617,AV$5)-SUMIFS(TF_Timer,TF_Tekniker,AV$4,TF_Dato,$A617))*2,0)/2)))</f>
        <v/>
      </c>
      <c r="AW617">
        <f>IF(OR(AW$4="",$A617&gt;TODAY()),0,IF(OR(INDEX($B617:$D617,AW$5)="F",AND(AW$6&gt;0,$A617&lt;AW$6),AND(AW$7&gt;0,$A617&gt;AW$7)),0,MAX(0,ROUND((INDEX($E617:$G617,AW$5)-SUMIFS(TF_Timer,TF_Tekniker,AW$4,TF_Dato,$A617))*2,0)/2)))</f>
        <v/>
      </c>
      <c r="AX617">
        <f>IF(OR(AX$4="",$A617&gt;TODAY()),0,IF(OR(INDEX($B617:$D617,AX$5)="F",AND(AX$6&gt;0,$A617&lt;AX$6),AND(AX$7&gt;0,$A617&gt;AX$7)),0,MAX(0,ROUND((INDEX($E617:$G617,AX$5)-SUMIFS(TF_Timer,TF_Tekniker,AX$4,TF_Dato,$A617))*2,0)/2)))</f>
        <v/>
      </c>
      <c r="AY617">
        <f>IF(OR(AY$4="",$A617&gt;TODAY()),0,IF(OR(INDEX($B617:$D617,AY$5)="F",AND(AY$6&gt;0,$A617&lt;AY$6),AND(AY$7&gt;0,$A617&gt;AY$7)),0,MAX(0,ROUND((INDEX($E617:$G617,AY$5)-SUMIFS(TF_Timer,TF_Tekniker,AY$4,TF_Dato,$A617))*2,0)/2)))</f>
        <v/>
      </c>
      <c r="AZ617">
        <f>IF(OR(AZ$4="",$A617&gt;TODAY()),0,IF(OR(INDEX($B617:$D617,AZ$5)="F",AND(AZ$6&gt;0,$A617&lt;AZ$6),AND(AZ$7&gt;0,$A617&gt;AZ$7)),0,MAX(0,ROUND((INDEX($E617:$G617,AZ$5)-SUMIFS(TF_Timer,TF_Tekniker,AZ$4,TF_Dato,$A617))*2,0)/2)))</f>
        <v/>
      </c>
      <c r="BA617">
        <f>IF(OR(BA$4="",$A617&gt;TODAY()),0,IF(OR(INDEX($B617:$D617,BA$5)="F",AND(BA$6&gt;0,$A617&lt;BA$6),AND(BA$7&gt;0,$A617&gt;BA$7)),0,MAX(0,ROUND((INDEX($E617:$G617,BA$5)-SUMIFS(TF_Timer,TF_Tekniker,BA$4,TF_Dato,$A617))*2,0)/2)))</f>
        <v/>
      </c>
      <c r="BB617">
        <f>IF(OR(BB$4="",$A617&gt;TODAY()),0,IF(OR(INDEX($B617:$D617,BB$5)="F",AND(BB$6&gt;0,$A617&lt;BB$6),AND(BB$7&gt;0,$A617&gt;BB$7)),0,MAX(0,ROUND((INDEX($E617:$G617,BB$5)-SUMIFS(TF_Timer,TF_Tekniker,BB$4,TF_Dato,$A617))*2,0)/2)))</f>
        <v/>
      </c>
      <c r="BC617">
        <f>IF(OR(BC$4="",$A617&gt;TODAY()),0,IF(OR(INDEX($B617:$D617,BC$5)="F",AND(BC$6&gt;0,$A617&lt;BC$6),AND(BC$7&gt;0,$A617&gt;BC$7)),0,MAX(0,ROUND((INDEX($E617:$G617,BC$5)-SUMIFS(TF_Timer,TF_Tekniker,BC$4,TF_Dato,$A617))*2,0)/2)))</f>
        <v/>
      </c>
      <c r="BD617">
        <f>IF(OR(BD$4="",$A617&gt;TODAY()),0,IF(OR(INDEX($B617:$D617,BD$5)="F",AND(BD$6&gt;0,$A617&lt;BD$6),AND(BD$7&gt;0,$A617&gt;BD$7)),0,MAX(0,ROUND((INDEX($E617:$G617,BD$5)-SUMIFS(TF_Timer,TF_Tekniker,BD$4,TF_Dato,$A617))*2,0)/2)))</f>
        <v/>
      </c>
      <c r="BE617">
        <f>IF(OR(BE$4="",$A617&gt;TODAY()),0,IF(OR(INDEX($B617:$D617,BE$5)="F",AND(BE$6&gt;0,$A617&lt;BE$6),AND(BE$7&gt;0,$A617&gt;BE$7)),0,MAX(0,ROUND((INDEX($E617:$G617,BE$5)-SUMIFS(TF_Timer,TF_Tekniker,BE$4,TF_Dato,$A617))*2,0)/2)))</f>
        <v/>
      </c>
      <c r="BF617">
        <f>IF(OR(BF$4="",$A617&gt;TODAY()),0,IF(OR(INDEX($B617:$D617,BF$5)="F",AND(BF$6&gt;0,$A617&lt;BF$6),AND(BF$7&gt;0,$A617&gt;BF$7)),0,MAX(0,ROUND((INDEX($E617:$G617,BF$5)-SUMIFS(TF_Timer,TF_Tekniker,BF$4,TF_Dato,$A617))*2,0)/2)))</f>
        <v/>
      </c>
      <c r="BG617">
        <f>IF(OR(BG$4="",$A617&gt;TODAY()),0,IF(OR(INDEX($B617:$D617,BG$5)="F",AND(BG$6&gt;0,$A617&lt;BG$6),AND(BG$7&gt;0,$A617&gt;BG$7)),0,MAX(0,ROUND((INDEX($E617:$G617,BG$5)-SUMIFS(TF_Timer,TF_Tekniker,BG$4,TF_Dato,$A617))*2,0)/2)))</f>
        <v/>
      </c>
      <c r="BH617">
        <f>IF(OR(BH$4="",$A617&gt;TODAY()),0,IF(OR(INDEX($B617:$D617,BH$5)="F",AND(BH$6&gt;0,$A617&lt;BH$6),AND(BH$7&gt;0,$A617&gt;BH$7)),0,MAX(0,ROUND((INDEX($E617:$G617,BH$5)-SUMIFS(TF_Timer,TF_Tekniker,BH$4,TF_Dato,$A617))*2,0)/2)))</f>
        <v/>
      </c>
      <c r="BI617">
        <f>IF(OR(BI$4="",$A617&gt;TODAY()),0,IF(OR(INDEX($B617:$D617,BI$5)="F",AND(BI$6&gt;0,$A617&lt;BI$6),AND(BI$7&gt;0,$A617&gt;BI$7)),0,MAX(0,ROUND((INDEX($E617:$G617,BI$5)-SUMIFS(TF_Timer,TF_Tekniker,BI$4,TF_Dato,$A617))*2,0)/2)))</f>
        <v/>
      </c>
    </row>
    <row r="618">
      <c r="A618" s="64">
        <f>A617+1</f>
        <v/>
      </c>
      <c r="B618">
        <f>IF(MOD($A618-INDEX(SkiftStart,1),Syklus)&lt;DagK,"K",IF(MOD($A618-INDEX(SkiftStart,1),Syklus)&lt;DagK+DagH,"H",IF(MOD($A618-INDEX(SkiftStart,1),Syklus)&lt;DagK+DagH+DagD,"D","F")))</f>
        <v/>
      </c>
      <c r="C618">
        <f>IF(MOD($A618-INDEX(SkiftStart,2),Syklus)&lt;DagK,"K",IF(MOD($A618-INDEX(SkiftStart,2),Syklus)&lt;DagK+DagH,"H",IF(MOD($A618-INDEX(SkiftStart,2),Syklus)&lt;DagK+DagH+DagD,"D","F")))</f>
        <v/>
      </c>
      <c r="D618">
        <f>IF(MOD($A618-INDEX(SkiftStart,3),Syklus)&lt;DagK,"K",IF(MOD($A618-INDEX(SkiftStart,3),Syklus)&lt;DagK+DagH,"H",IF(MOD($A618-INDEX(SkiftStart,3),Syklus)&lt;DagK+DagH+DagD,"D","F")))</f>
        <v/>
      </c>
      <c r="E618">
        <f>IF(B618="F",0,IF(WEEKDAY($A618,2)=5,INDEX(TimerFr,MATCH(B618,FaseKode,0)),INDEX(TimerMT,MATCH(B618,FaseKode,0))))</f>
        <v/>
      </c>
      <c r="F618">
        <f>IF(C618="F",0,IF(WEEKDAY($A618,2)=5,INDEX(TimerFr,MATCH(C618,FaseKode,0)),INDEX(TimerMT,MATCH(C618,FaseKode,0))))</f>
        <v/>
      </c>
      <c r="G618">
        <f>IF(D618="F",0,IF(WEEKDAY($A618,2)=5,INDEX(TimerFr,MATCH(D618,FaseKode,0)),INDEX(TimerMT,MATCH(D618,FaseKode,0))))</f>
        <v/>
      </c>
      <c r="H618">
        <f>IF(OR(H$4="",$A618&gt;TODAY()),0,IF(OR(INDEX($B618:$D618,H$5)="F",AND(H$6&gt;0,$A618&lt;H$6),AND(H$7&gt;0,$A618&gt;H$7)),0,MAX(0,ROUND((INDEX($E618:$G618,H$5)-SUMIFS(TF_Timer,TF_Tekniker,H$4,TF_Dato,$A618))*2,0)/2)))</f>
        <v/>
      </c>
      <c r="I618">
        <f>IF(OR(I$4="",$A618&gt;TODAY()),0,IF(OR(INDEX($B618:$D618,I$5)="F",AND(I$6&gt;0,$A618&lt;I$6),AND(I$7&gt;0,$A618&gt;I$7)),0,MAX(0,ROUND((INDEX($E618:$G618,I$5)-SUMIFS(TF_Timer,TF_Tekniker,I$4,TF_Dato,$A618))*2,0)/2)))</f>
        <v/>
      </c>
      <c r="J618">
        <f>IF(OR(J$4="",$A618&gt;TODAY()),0,IF(OR(INDEX($B618:$D618,J$5)="F",AND(J$6&gt;0,$A618&lt;J$6),AND(J$7&gt;0,$A618&gt;J$7)),0,MAX(0,ROUND((INDEX($E618:$G618,J$5)-SUMIFS(TF_Timer,TF_Tekniker,J$4,TF_Dato,$A618))*2,0)/2)))</f>
        <v/>
      </c>
      <c r="K618">
        <f>IF(OR(K$4="",$A618&gt;TODAY()),0,IF(OR(INDEX($B618:$D618,K$5)="F",AND(K$6&gt;0,$A618&lt;K$6),AND(K$7&gt;0,$A618&gt;K$7)),0,MAX(0,ROUND((INDEX($E618:$G618,K$5)-SUMIFS(TF_Timer,TF_Tekniker,K$4,TF_Dato,$A618))*2,0)/2)))</f>
        <v/>
      </c>
      <c r="L618">
        <f>IF(OR(L$4="",$A618&gt;TODAY()),0,IF(OR(INDEX($B618:$D618,L$5)="F",AND(L$6&gt;0,$A618&lt;L$6),AND(L$7&gt;0,$A618&gt;L$7)),0,MAX(0,ROUND((INDEX($E618:$G618,L$5)-SUMIFS(TF_Timer,TF_Tekniker,L$4,TF_Dato,$A618))*2,0)/2)))</f>
        <v/>
      </c>
      <c r="M618">
        <f>IF(OR(M$4="",$A618&gt;TODAY()),0,IF(OR(INDEX($B618:$D618,M$5)="F",AND(M$6&gt;0,$A618&lt;M$6),AND(M$7&gt;0,$A618&gt;M$7)),0,MAX(0,ROUND((INDEX($E618:$G618,M$5)-SUMIFS(TF_Timer,TF_Tekniker,M$4,TF_Dato,$A618))*2,0)/2)))</f>
        <v/>
      </c>
      <c r="N618">
        <f>IF(OR(N$4="",$A618&gt;TODAY()),0,IF(OR(INDEX($B618:$D618,N$5)="F",AND(N$6&gt;0,$A618&lt;N$6),AND(N$7&gt;0,$A618&gt;N$7)),0,MAX(0,ROUND((INDEX($E618:$G618,N$5)-SUMIFS(TF_Timer,TF_Tekniker,N$4,TF_Dato,$A618))*2,0)/2)))</f>
        <v/>
      </c>
      <c r="O618">
        <f>IF(OR(O$4="",$A618&gt;TODAY()),0,IF(OR(INDEX($B618:$D618,O$5)="F",AND(O$6&gt;0,$A618&lt;O$6),AND(O$7&gt;0,$A618&gt;O$7)),0,MAX(0,ROUND((INDEX($E618:$G618,O$5)-SUMIFS(TF_Timer,TF_Tekniker,O$4,TF_Dato,$A618))*2,0)/2)))</f>
        <v/>
      </c>
      <c r="P618">
        <f>IF(OR(P$4="",$A618&gt;TODAY()),0,IF(OR(INDEX($B618:$D618,P$5)="F",AND(P$6&gt;0,$A618&lt;P$6),AND(P$7&gt;0,$A618&gt;P$7)),0,MAX(0,ROUND((INDEX($E618:$G618,P$5)-SUMIFS(TF_Timer,TF_Tekniker,P$4,TF_Dato,$A618))*2,0)/2)))</f>
        <v/>
      </c>
      <c r="Q618">
        <f>IF(OR(Q$4="",$A618&gt;TODAY()),0,IF(OR(INDEX($B618:$D618,Q$5)="F",AND(Q$6&gt;0,$A618&lt;Q$6),AND(Q$7&gt;0,$A618&gt;Q$7)),0,MAX(0,ROUND((INDEX($E618:$G618,Q$5)-SUMIFS(TF_Timer,TF_Tekniker,Q$4,TF_Dato,$A618))*2,0)/2)))</f>
        <v/>
      </c>
      <c r="R618">
        <f>IF(OR(R$4="",$A618&gt;TODAY()),0,IF(OR(INDEX($B618:$D618,R$5)="F",AND(R$6&gt;0,$A618&lt;R$6),AND(R$7&gt;0,$A618&gt;R$7)),0,MAX(0,ROUND((INDEX($E618:$G618,R$5)-SUMIFS(TF_Timer,TF_Tekniker,R$4,TF_Dato,$A618))*2,0)/2)))</f>
        <v/>
      </c>
      <c r="S618">
        <f>IF(OR(S$4="",$A618&gt;TODAY()),0,IF(OR(INDEX($B618:$D618,S$5)="F",AND(S$6&gt;0,$A618&lt;S$6),AND(S$7&gt;0,$A618&gt;S$7)),0,MAX(0,ROUND((INDEX($E618:$G618,S$5)-SUMIFS(TF_Timer,TF_Tekniker,S$4,TF_Dato,$A618))*2,0)/2)))</f>
        <v/>
      </c>
      <c r="T618">
        <f>IF(OR(T$4="",$A618&gt;TODAY()),0,IF(OR(INDEX($B618:$D618,T$5)="F",AND(T$6&gt;0,$A618&lt;T$6),AND(T$7&gt;0,$A618&gt;T$7)),0,MAX(0,ROUND((INDEX($E618:$G618,T$5)-SUMIFS(TF_Timer,TF_Tekniker,T$4,TF_Dato,$A618))*2,0)/2)))</f>
        <v/>
      </c>
      <c r="U618">
        <f>IF(OR(U$4="",$A618&gt;TODAY()),0,IF(OR(INDEX($B618:$D618,U$5)="F",AND(U$6&gt;0,$A618&lt;U$6),AND(U$7&gt;0,$A618&gt;U$7)),0,MAX(0,ROUND((INDEX($E618:$G618,U$5)-SUMIFS(TF_Timer,TF_Tekniker,U$4,TF_Dato,$A618))*2,0)/2)))</f>
        <v/>
      </c>
      <c r="V618">
        <f>IF(OR(V$4="",$A618&gt;TODAY()),0,IF(OR(INDEX($B618:$D618,V$5)="F",AND(V$6&gt;0,$A618&lt;V$6),AND(V$7&gt;0,$A618&gt;V$7)),0,MAX(0,ROUND((INDEX($E618:$G618,V$5)-SUMIFS(TF_Timer,TF_Tekniker,V$4,TF_Dato,$A618))*2,0)/2)))</f>
        <v/>
      </c>
      <c r="W618">
        <f>IF(OR(W$4="",$A618&gt;TODAY()),0,IF(OR(INDEX($B618:$D618,W$5)="F",AND(W$6&gt;0,$A618&lt;W$6),AND(W$7&gt;0,$A618&gt;W$7)),0,MAX(0,ROUND((INDEX($E618:$G618,W$5)-SUMIFS(TF_Timer,TF_Tekniker,W$4,TF_Dato,$A618))*2,0)/2)))</f>
        <v/>
      </c>
      <c r="X618">
        <f>IF(OR(X$4="",$A618&gt;TODAY()),0,IF(OR(INDEX($B618:$D618,X$5)="F",AND(X$6&gt;0,$A618&lt;X$6),AND(X$7&gt;0,$A618&gt;X$7)),0,MAX(0,ROUND((INDEX($E618:$G618,X$5)-SUMIFS(TF_Timer,TF_Tekniker,X$4,TF_Dato,$A618))*2,0)/2)))</f>
        <v/>
      </c>
      <c r="Y618">
        <f>IF(OR(Y$4="",$A618&gt;TODAY()),0,IF(OR(INDEX($B618:$D618,Y$5)="F",AND(Y$6&gt;0,$A618&lt;Y$6),AND(Y$7&gt;0,$A618&gt;Y$7)),0,MAX(0,ROUND((INDEX($E618:$G618,Y$5)-SUMIFS(TF_Timer,TF_Tekniker,Y$4,TF_Dato,$A618))*2,0)/2)))</f>
        <v/>
      </c>
      <c r="Z618">
        <f>IF(OR(Z$4="",$A618&gt;TODAY()),0,IF(OR(INDEX($B618:$D618,Z$5)="F",AND(Z$6&gt;0,$A618&lt;Z$6),AND(Z$7&gt;0,$A618&gt;Z$7)),0,MAX(0,ROUND((INDEX($E618:$G618,Z$5)-SUMIFS(TF_Timer,TF_Tekniker,Z$4,TF_Dato,$A618))*2,0)/2)))</f>
        <v/>
      </c>
      <c r="AA618">
        <f>IF(OR(AA$4="",$A618&gt;TODAY()),0,IF(OR(INDEX($B618:$D618,AA$5)="F",AND(AA$6&gt;0,$A618&lt;AA$6),AND(AA$7&gt;0,$A618&gt;AA$7)),0,MAX(0,ROUND((INDEX($E618:$G618,AA$5)-SUMIFS(TF_Timer,TF_Tekniker,AA$4,TF_Dato,$A618))*2,0)/2)))</f>
        <v/>
      </c>
      <c r="AB618">
        <f>IF(OR(AB$4="",$A618&gt;TODAY()),0,IF(OR(INDEX($B618:$D618,AB$5)="F",AND(AB$6&gt;0,$A618&lt;AB$6),AND(AB$7&gt;0,$A618&gt;AB$7)),0,MAX(0,ROUND((INDEX($E618:$G618,AB$5)-SUMIFS(TF_Timer,TF_Tekniker,AB$4,TF_Dato,$A618))*2,0)/2)))</f>
        <v/>
      </c>
      <c r="AC618">
        <f>IF(OR(AC$4="",$A618&gt;TODAY()),0,IF(OR(INDEX($B618:$D618,AC$5)="F",AND(AC$6&gt;0,$A618&lt;AC$6),AND(AC$7&gt;0,$A618&gt;AC$7)),0,MAX(0,ROUND((INDEX($E618:$G618,AC$5)-SUMIFS(TF_Timer,TF_Tekniker,AC$4,TF_Dato,$A618))*2,0)/2)))</f>
        <v/>
      </c>
      <c r="AD618">
        <f>IF(OR(AD$4="",$A618&gt;TODAY()),0,IF(OR(INDEX($B618:$D618,AD$5)="F",AND(AD$6&gt;0,$A618&lt;AD$6),AND(AD$7&gt;0,$A618&gt;AD$7)),0,MAX(0,ROUND((INDEX($E618:$G618,AD$5)-SUMIFS(TF_Timer,TF_Tekniker,AD$4,TF_Dato,$A618))*2,0)/2)))</f>
        <v/>
      </c>
      <c r="AE618">
        <f>IF(OR(AE$4="",$A618&gt;TODAY()),0,IF(OR(INDEX($B618:$D618,AE$5)="F",AND(AE$6&gt;0,$A618&lt;AE$6),AND(AE$7&gt;0,$A618&gt;AE$7)),0,MAX(0,ROUND((INDEX($E618:$G618,AE$5)-SUMIFS(TF_Timer,TF_Tekniker,AE$4,TF_Dato,$A618))*2,0)/2)))</f>
        <v/>
      </c>
      <c r="AF618">
        <f>IF(OR(AF$4="",$A618&gt;TODAY()),0,IF(OR(INDEX($B618:$D618,AF$5)="F",AND(AF$6&gt;0,$A618&lt;AF$6),AND(AF$7&gt;0,$A618&gt;AF$7)),0,MAX(0,ROUND((INDEX($E618:$G618,AF$5)-SUMIFS(TF_Timer,TF_Tekniker,AF$4,TF_Dato,$A618))*2,0)/2)))</f>
        <v/>
      </c>
      <c r="AG618">
        <f>IF(OR(AG$4="",$A618&gt;TODAY()),0,IF(OR(INDEX($B618:$D618,AG$5)="F",AND(AG$6&gt;0,$A618&lt;AG$6),AND(AG$7&gt;0,$A618&gt;AG$7)),0,MAX(0,ROUND((INDEX($E618:$G618,AG$5)-SUMIFS(TF_Timer,TF_Tekniker,AG$4,TF_Dato,$A618))*2,0)/2)))</f>
        <v/>
      </c>
      <c r="AH618">
        <f>IF(OR(AH$4="",$A618&gt;TODAY()),0,IF(OR(INDEX($B618:$D618,AH$5)="F",AND(AH$6&gt;0,$A618&lt;AH$6),AND(AH$7&gt;0,$A618&gt;AH$7)),0,MAX(0,ROUND((INDEX($E618:$G618,AH$5)-SUMIFS(TF_Timer,TF_Tekniker,AH$4,TF_Dato,$A618))*2,0)/2)))</f>
        <v/>
      </c>
      <c r="AI618">
        <f>IF(OR(AI$4="",$A618&gt;TODAY()),0,IF(OR(INDEX($B618:$D618,AI$5)="F",AND(AI$6&gt;0,$A618&lt;AI$6),AND(AI$7&gt;0,$A618&gt;AI$7)),0,MAX(0,ROUND((INDEX($E618:$G618,AI$5)-SUMIFS(TF_Timer,TF_Tekniker,AI$4,TF_Dato,$A618))*2,0)/2)))</f>
        <v/>
      </c>
      <c r="AJ618">
        <f>IF(OR(AJ$4="",$A618&gt;TODAY()),0,IF(OR(INDEX($B618:$D618,AJ$5)="F",AND(AJ$6&gt;0,$A618&lt;AJ$6),AND(AJ$7&gt;0,$A618&gt;AJ$7)),0,MAX(0,ROUND((INDEX($E618:$G618,AJ$5)-SUMIFS(TF_Timer,TF_Tekniker,AJ$4,TF_Dato,$A618))*2,0)/2)))</f>
        <v/>
      </c>
      <c r="AK618">
        <f>IF(OR(AK$4="",$A618&gt;TODAY()),0,IF(OR(INDEX($B618:$D618,AK$5)="F",AND(AK$6&gt;0,$A618&lt;AK$6),AND(AK$7&gt;0,$A618&gt;AK$7)),0,MAX(0,ROUND((INDEX($E618:$G618,AK$5)-SUMIFS(TF_Timer,TF_Tekniker,AK$4,TF_Dato,$A618))*2,0)/2)))</f>
        <v/>
      </c>
      <c r="AL618">
        <f>IF(OR(AL$4="",$A618&gt;TODAY()),0,IF(OR(INDEX($B618:$D618,AL$5)="F",AND(AL$6&gt;0,$A618&lt;AL$6),AND(AL$7&gt;0,$A618&gt;AL$7)),0,MAX(0,ROUND((INDEX($E618:$G618,AL$5)-SUMIFS(TF_Timer,TF_Tekniker,AL$4,TF_Dato,$A618))*2,0)/2)))</f>
        <v/>
      </c>
      <c r="AM618">
        <f>IF(OR(AM$4="",$A618&gt;TODAY()),0,IF(OR(INDEX($B618:$D618,AM$5)="F",AND(AM$6&gt;0,$A618&lt;AM$6),AND(AM$7&gt;0,$A618&gt;AM$7)),0,MAX(0,ROUND((INDEX($E618:$G618,AM$5)-SUMIFS(TF_Timer,TF_Tekniker,AM$4,TF_Dato,$A618))*2,0)/2)))</f>
        <v/>
      </c>
      <c r="AN618">
        <f>IF(OR(AN$4="",$A618&gt;TODAY()),0,IF(OR(INDEX($B618:$D618,AN$5)="F",AND(AN$6&gt;0,$A618&lt;AN$6),AND(AN$7&gt;0,$A618&gt;AN$7)),0,MAX(0,ROUND((INDEX($E618:$G618,AN$5)-SUMIFS(TF_Timer,TF_Tekniker,AN$4,TF_Dato,$A618))*2,0)/2)))</f>
        <v/>
      </c>
      <c r="AO618">
        <f>IF(OR(AO$4="",$A618&gt;TODAY()),0,IF(OR(INDEX($B618:$D618,AO$5)="F",AND(AO$6&gt;0,$A618&lt;AO$6),AND(AO$7&gt;0,$A618&gt;AO$7)),0,MAX(0,ROUND((INDEX($E618:$G618,AO$5)-SUMIFS(TF_Timer,TF_Tekniker,AO$4,TF_Dato,$A618))*2,0)/2)))</f>
        <v/>
      </c>
      <c r="AP618">
        <f>IF(OR(AP$4="",$A618&gt;TODAY()),0,IF(OR(INDEX($B618:$D618,AP$5)="F",AND(AP$6&gt;0,$A618&lt;AP$6),AND(AP$7&gt;0,$A618&gt;AP$7)),0,MAX(0,ROUND((INDEX($E618:$G618,AP$5)-SUMIFS(TF_Timer,TF_Tekniker,AP$4,TF_Dato,$A618))*2,0)/2)))</f>
        <v/>
      </c>
      <c r="AQ618">
        <f>IF(OR(AQ$4="",$A618&gt;TODAY()),0,IF(OR(INDEX($B618:$D618,AQ$5)="F",AND(AQ$6&gt;0,$A618&lt;AQ$6),AND(AQ$7&gt;0,$A618&gt;AQ$7)),0,MAX(0,ROUND((INDEX($E618:$G618,AQ$5)-SUMIFS(TF_Timer,TF_Tekniker,AQ$4,TF_Dato,$A618))*2,0)/2)))</f>
        <v/>
      </c>
      <c r="AR618">
        <f>IF(OR(AR$4="",$A618&gt;TODAY()),0,IF(OR(INDEX($B618:$D618,AR$5)="F",AND(AR$6&gt;0,$A618&lt;AR$6),AND(AR$7&gt;0,$A618&gt;AR$7)),0,MAX(0,ROUND((INDEX($E618:$G618,AR$5)-SUMIFS(TF_Timer,TF_Tekniker,AR$4,TF_Dato,$A618))*2,0)/2)))</f>
        <v/>
      </c>
      <c r="AS618">
        <f>IF(OR(AS$4="",$A618&gt;TODAY()),0,IF(OR(INDEX($B618:$D618,AS$5)="F",AND(AS$6&gt;0,$A618&lt;AS$6),AND(AS$7&gt;0,$A618&gt;AS$7)),0,MAX(0,ROUND((INDEX($E618:$G618,AS$5)-SUMIFS(TF_Timer,TF_Tekniker,AS$4,TF_Dato,$A618))*2,0)/2)))</f>
        <v/>
      </c>
      <c r="AT618">
        <f>IF(OR(AT$4="",$A618&gt;TODAY()),0,IF(OR(INDEX($B618:$D618,AT$5)="F",AND(AT$6&gt;0,$A618&lt;AT$6),AND(AT$7&gt;0,$A618&gt;AT$7)),0,MAX(0,ROUND((INDEX($E618:$G618,AT$5)-SUMIFS(TF_Timer,TF_Tekniker,AT$4,TF_Dato,$A618))*2,0)/2)))</f>
        <v/>
      </c>
      <c r="AU618">
        <f>IF(OR(AU$4="",$A618&gt;TODAY()),0,IF(OR(INDEX($B618:$D618,AU$5)="F",AND(AU$6&gt;0,$A618&lt;AU$6),AND(AU$7&gt;0,$A618&gt;AU$7)),0,MAX(0,ROUND((INDEX($E618:$G618,AU$5)-SUMIFS(TF_Timer,TF_Tekniker,AU$4,TF_Dato,$A618))*2,0)/2)))</f>
        <v/>
      </c>
      <c r="AV618">
        <f>IF(OR(AV$4="",$A618&gt;TODAY()),0,IF(OR(INDEX($B618:$D618,AV$5)="F",AND(AV$6&gt;0,$A618&lt;AV$6),AND(AV$7&gt;0,$A618&gt;AV$7)),0,MAX(0,ROUND((INDEX($E618:$G618,AV$5)-SUMIFS(TF_Timer,TF_Tekniker,AV$4,TF_Dato,$A618))*2,0)/2)))</f>
        <v/>
      </c>
      <c r="AW618">
        <f>IF(OR(AW$4="",$A618&gt;TODAY()),0,IF(OR(INDEX($B618:$D618,AW$5)="F",AND(AW$6&gt;0,$A618&lt;AW$6),AND(AW$7&gt;0,$A618&gt;AW$7)),0,MAX(0,ROUND((INDEX($E618:$G618,AW$5)-SUMIFS(TF_Timer,TF_Tekniker,AW$4,TF_Dato,$A618))*2,0)/2)))</f>
        <v/>
      </c>
      <c r="AX618">
        <f>IF(OR(AX$4="",$A618&gt;TODAY()),0,IF(OR(INDEX($B618:$D618,AX$5)="F",AND(AX$6&gt;0,$A618&lt;AX$6),AND(AX$7&gt;0,$A618&gt;AX$7)),0,MAX(0,ROUND((INDEX($E618:$G618,AX$5)-SUMIFS(TF_Timer,TF_Tekniker,AX$4,TF_Dato,$A618))*2,0)/2)))</f>
        <v/>
      </c>
      <c r="AY618">
        <f>IF(OR(AY$4="",$A618&gt;TODAY()),0,IF(OR(INDEX($B618:$D618,AY$5)="F",AND(AY$6&gt;0,$A618&lt;AY$6),AND(AY$7&gt;0,$A618&gt;AY$7)),0,MAX(0,ROUND((INDEX($E618:$G618,AY$5)-SUMIFS(TF_Timer,TF_Tekniker,AY$4,TF_Dato,$A618))*2,0)/2)))</f>
        <v/>
      </c>
      <c r="AZ618">
        <f>IF(OR(AZ$4="",$A618&gt;TODAY()),0,IF(OR(INDEX($B618:$D618,AZ$5)="F",AND(AZ$6&gt;0,$A618&lt;AZ$6),AND(AZ$7&gt;0,$A618&gt;AZ$7)),0,MAX(0,ROUND((INDEX($E618:$G618,AZ$5)-SUMIFS(TF_Timer,TF_Tekniker,AZ$4,TF_Dato,$A618))*2,0)/2)))</f>
        <v/>
      </c>
      <c r="BA618">
        <f>IF(OR(BA$4="",$A618&gt;TODAY()),0,IF(OR(INDEX($B618:$D618,BA$5)="F",AND(BA$6&gt;0,$A618&lt;BA$6),AND(BA$7&gt;0,$A618&gt;BA$7)),0,MAX(0,ROUND((INDEX($E618:$G618,BA$5)-SUMIFS(TF_Timer,TF_Tekniker,BA$4,TF_Dato,$A618))*2,0)/2)))</f>
        <v/>
      </c>
      <c r="BB618">
        <f>IF(OR(BB$4="",$A618&gt;TODAY()),0,IF(OR(INDEX($B618:$D618,BB$5)="F",AND(BB$6&gt;0,$A618&lt;BB$6),AND(BB$7&gt;0,$A618&gt;BB$7)),0,MAX(0,ROUND((INDEX($E618:$G618,BB$5)-SUMIFS(TF_Timer,TF_Tekniker,BB$4,TF_Dato,$A618))*2,0)/2)))</f>
        <v/>
      </c>
      <c r="BC618">
        <f>IF(OR(BC$4="",$A618&gt;TODAY()),0,IF(OR(INDEX($B618:$D618,BC$5)="F",AND(BC$6&gt;0,$A618&lt;BC$6),AND(BC$7&gt;0,$A618&gt;BC$7)),0,MAX(0,ROUND((INDEX($E618:$G618,BC$5)-SUMIFS(TF_Timer,TF_Tekniker,BC$4,TF_Dato,$A618))*2,0)/2)))</f>
        <v/>
      </c>
      <c r="BD618">
        <f>IF(OR(BD$4="",$A618&gt;TODAY()),0,IF(OR(INDEX($B618:$D618,BD$5)="F",AND(BD$6&gt;0,$A618&lt;BD$6),AND(BD$7&gt;0,$A618&gt;BD$7)),0,MAX(0,ROUND((INDEX($E618:$G618,BD$5)-SUMIFS(TF_Timer,TF_Tekniker,BD$4,TF_Dato,$A618))*2,0)/2)))</f>
        <v/>
      </c>
      <c r="BE618">
        <f>IF(OR(BE$4="",$A618&gt;TODAY()),0,IF(OR(INDEX($B618:$D618,BE$5)="F",AND(BE$6&gt;0,$A618&lt;BE$6),AND(BE$7&gt;0,$A618&gt;BE$7)),0,MAX(0,ROUND((INDEX($E618:$G618,BE$5)-SUMIFS(TF_Timer,TF_Tekniker,BE$4,TF_Dato,$A618))*2,0)/2)))</f>
        <v/>
      </c>
      <c r="BF618">
        <f>IF(OR(BF$4="",$A618&gt;TODAY()),0,IF(OR(INDEX($B618:$D618,BF$5)="F",AND(BF$6&gt;0,$A618&lt;BF$6),AND(BF$7&gt;0,$A618&gt;BF$7)),0,MAX(0,ROUND((INDEX($E618:$G618,BF$5)-SUMIFS(TF_Timer,TF_Tekniker,BF$4,TF_Dato,$A618))*2,0)/2)))</f>
        <v/>
      </c>
      <c r="BG618">
        <f>IF(OR(BG$4="",$A618&gt;TODAY()),0,IF(OR(INDEX($B618:$D618,BG$5)="F",AND(BG$6&gt;0,$A618&lt;BG$6),AND(BG$7&gt;0,$A618&gt;BG$7)),0,MAX(0,ROUND((INDEX($E618:$G618,BG$5)-SUMIFS(TF_Timer,TF_Tekniker,BG$4,TF_Dato,$A618))*2,0)/2)))</f>
        <v/>
      </c>
      <c r="BH618">
        <f>IF(OR(BH$4="",$A618&gt;TODAY()),0,IF(OR(INDEX($B618:$D618,BH$5)="F",AND(BH$6&gt;0,$A618&lt;BH$6),AND(BH$7&gt;0,$A618&gt;BH$7)),0,MAX(0,ROUND((INDEX($E618:$G618,BH$5)-SUMIFS(TF_Timer,TF_Tekniker,BH$4,TF_Dato,$A618))*2,0)/2)))</f>
        <v/>
      </c>
      <c r="BI618">
        <f>IF(OR(BI$4="",$A618&gt;TODAY()),0,IF(OR(INDEX($B618:$D618,BI$5)="F",AND(BI$6&gt;0,$A618&lt;BI$6),AND(BI$7&gt;0,$A618&gt;BI$7)),0,MAX(0,ROUND((INDEX($E618:$G618,BI$5)-SUMIFS(TF_Timer,TF_Tekniker,BI$4,TF_Dato,$A618))*2,0)/2)))</f>
        <v/>
      </c>
    </row>
    <row r="619">
      <c r="A619" s="64">
        <f>A618+1</f>
        <v/>
      </c>
      <c r="B619">
        <f>IF(MOD($A619-INDEX(SkiftStart,1),Syklus)&lt;DagK,"K",IF(MOD($A619-INDEX(SkiftStart,1),Syklus)&lt;DagK+DagH,"H",IF(MOD($A619-INDEX(SkiftStart,1),Syklus)&lt;DagK+DagH+DagD,"D","F")))</f>
        <v/>
      </c>
      <c r="C619">
        <f>IF(MOD($A619-INDEX(SkiftStart,2),Syklus)&lt;DagK,"K",IF(MOD($A619-INDEX(SkiftStart,2),Syklus)&lt;DagK+DagH,"H",IF(MOD($A619-INDEX(SkiftStart,2),Syklus)&lt;DagK+DagH+DagD,"D","F")))</f>
        <v/>
      </c>
      <c r="D619">
        <f>IF(MOD($A619-INDEX(SkiftStart,3),Syklus)&lt;DagK,"K",IF(MOD($A619-INDEX(SkiftStart,3),Syklus)&lt;DagK+DagH,"H",IF(MOD($A619-INDEX(SkiftStart,3),Syklus)&lt;DagK+DagH+DagD,"D","F")))</f>
        <v/>
      </c>
      <c r="E619">
        <f>IF(B619="F",0,IF(WEEKDAY($A619,2)=5,INDEX(TimerFr,MATCH(B619,FaseKode,0)),INDEX(TimerMT,MATCH(B619,FaseKode,0))))</f>
        <v/>
      </c>
      <c r="F619">
        <f>IF(C619="F",0,IF(WEEKDAY($A619,2)=5,INDEX(TimerFr,MATCH(C619,FaseKode,0)),INDEX(TimerMT,MATCH(C619,FaseKode,0))))</f>
        <v/>
      </c>
      <c r="G619">
        <f>IF(D619="F",0,IF(WEEKDAY($A619,2)=5,INDEX(TimerFr,MATCH(D619,FaseKode,0)),INDEX(TimerMT,MATCH(D619,FaseKode,0))))</f>
        <v/>
      </c>
      <c r="H619">
        <f>IF(OR(H$4="",$A619&gt;TODAY()),0,IF(OR(INDEX($B619:$D619,H$5)="F",AND(H$6&gt;0,$A619&lt;H$6),AND(H$7&gt;0,$A619&gt;H$7)),0,MAX(0,ROUND((INDEX($E619:$G619,H$5)-SUMIFS(TF_Timer,TF_Tekniker,H$4,TF_Dato,$A619))*2,0)/2)))</f>
        <v/>
      </c>
      <c r="I619">
        <f>IF(OR(I$4="",$A619&gt;TODAY()),0,IF(OR(INDEX($B619:$D619,I$5)="F",AND(I$6&gt;0,$A619&lt;I$6),AND(I$7&gt;0,$A619&gt;I$7)),0,MAX(0,ROUND((INDEX($E619:$G619,I$5)-SUMIFS(TF_Timer,TF_Tekniker,I$4,TF_Dato,$A619))*2,0)/2)))</f>
        <v/>
      </c>
      <c r="J619">
        <f>IF(OR(J$4="",$A619&gt;TODAY()),0,IF(OR(INDEX($B619:$D619,J$5)="F",AND(J$6&gt;0,$A619&lt;J$6),AND(J$7&gt;0,$A619&gt;J$7)),0,MAX(0,ROUND((INDEX($E619:$G619,J$5)-SUMIFS(TF_Timer,TF_Tekniker,J$4,TF_Dato,$A619))*2,0)/2)))</f>
        <v/>
      </c>
      <c r="K619">
        <f>IF(OR(K$4="",$A619&gt;TODAY()),0,IF(OR(INDEX($B619:$D619,K$5)="F",AND(K$6&gt;0,$A619&lt;K$6),AND(K$7&gt;0,$A619&gt;K$7)),0,MAX(0,ROUND((INDEX($E619:$G619,K$5)-SUMIFS(TF_Timer,TF_Tekniker,K$4,TF_Dato,$A619))*2,0)/2)))</f>
        <v/>
      </c>
      <c r="L619">
        <f>IF(OR(L$4="",$A619&gt;TODAY()),0,IF(OR(INDEX($B619:$D619,L$5)="F",AND(L$6&gt;0,$A619&lt;L$6),AND(L$7&gt;0,$A619&gt;L$7)),0,MAX(0,ROUND((INDEX($E619:$G619,L$5)-SUMIFS(TF_Timer,TF_Tekniker,L$4,TF_Dato,$A619))*2,0)/2)))</f>
        <v/>
      </c>
      <c r="M619">
        <f>IF(OR(M$4="",$A619&gt;TODAY()),0,IF(OR(INDEX($B619:$D619,M$5)="F",AND(M$6&gt;0,$A619&lt;M$6),AND(M$7&gt;0,$A619&gt;M$7)),0,MAX(0,ROUND((INDEX($E619:$G619,M$5)-SUMIFS(TF_Timer,TF_Tekniker,M$4,TF_Dato,$A619))*2,0)/2)))</f>
        <v/>
      </c>
      <c r="N619">
        <f>IF(OR(N$4="",$A619&gt;TODAY()),0,IF(OR(INDEX($B619:$D619,N$5)="F",AND(N$6&gt;0,$A619&lt;N$6),AND(N$7&gt;0,$A619&gt;N$7)),0,MAX(0,ROUND((INDEX($E619:$G619,N$5)-SUMIFS(TF_Timer,TF_Tekniker,N$4,TF_Dato,$A619))*2,0)/2)))</f>
        <v/>
      </c>
      <c r="O619">
        <f>IF(OR(O$4="",$A619&gt;TODAY()),0,IF(OR(INDEX($B619:$D619,O$5)="F",AND(O$6&gt;0,$A619&lt;O$6),AND(O$7&gt;0,$A619&gt;O$7)),0,MAX(0,ROUND((INDEX($E619:$G619,O$5)-SUMIFS(TF_Timer,TF_Tekniker,O$4,TF_Dato,$A619))*2,0)/2)))</f>
        <v/>
      </c>
      <c r="P619">
        <f>IF(OR(P$4="",$A619&gt;TODAY()),0,IF(OR(INDEX($B619:$D619,P$5)="F",AND(P$6&gt;0,$A619&lt;P$6),AND(P$7&gt;0,$A619&gt;P$7)),0,MAX(0,ROUND((INDEX($E619:$G619,P$5)-SUMIFS(TF_Timer,TF_Tekniker,P$4,TF_Dato,$A619))*2,0)/2)))</f>
        <v/>
      </c>
      <c r="Q619">
        <f>IF(OR(Q$4="",$A619&gt;TODAY()),0,IF(OR(INDEX($B619:$D619,Q$5)="F",AND(Q$6&gt;0,$A619&lt;Q$6),AND(Q$7&gt;0,$A619&gt;Q$7)),0,MAX(0,ROUND((INDEX($E619:$G619,Q$5)-SUMIFS(TF_Timer,TF_Tekniker,Q$4,TF_Dato,$A619))*2,0)/2)))</f>
        <v/>
      </c>
      <c r="R619">
        <f>IF(OR(R$4="",$A619&gt;TODAY()),0,IF(OR(INDEX($B619:$D619,R$5)="F",AND(R$6&gt;0,$A619&lt;R$6),AND(R$7&gt;0,$A619&gt;R$7)),0,MAX(0,ROUND((INDEX($E619:$G619,R$5)-SUMIFS(TF_Timer,TF_Tekniker,R$4,TF_Dato,$A619))*2,0)/2)))</f>
        <v/>
      </c>
      <c r="S619">
        <f>IF(OR(S$4="",$A619&gt;TODAY()),0,IF(OR(INDEX($B619:$D619,S$5)="F",AND(S$6&gt;0,$A619&lt;S$6),AND(S$7&gt;0,$A619&gt;S$7)),0,MAX(0,ROUND((INDEX($E619:$G619,S$5)-SUMIFS(TF_Timer,TF_Tekniker,S$4,TF_Dato,$A619))*2,0)/2)))</f>
        <v/>
      </c>
      <c r="T619">
        <f>IF(OR(T$4="",$A619&gt;TODAY()),0,IF(OR(INDEX($B619:$D619,T$5)="F",AND(T$6&gt;0,$A619&lt;T$6),AND(T$7&gt;0,$A619&gt;T$7)),0,MAX(0,ROUND((INDEX($E619:$G619,T$5)-SUMIFS(TF_Timer,TF_Tekniker,T$4,TF_Dato,$A619))*2,0)/2)))</f>
        <v/>
      </c>
      <c r="U619">
        <f>IF(OR(U$4="",$A619&gt;TODAY()),0,IF(OR(INDEX($B619:$D619,U$5)="F",AND(U$6&gt;0,$A619&lt;U$6),AND(U$7&gt;0,$A619&gt;U$7)),0,MAX(0,ROUND((INDEX($E619:$G619,U$5)-SUMIFS(TF_Timer,TF_Tekniker,U$4,TF_Dato,$A619))*2,0)/2)))</f>
        <v/>
      </c>
      <c r="V619">
        <f>IF(OR(V$4="",$A619&gt;TODAY()),0,IF(OR(INDEX($B619:$D619,V$5)="F",AND(V$6&gt;0,$A619&lt;V$6),AND(V$7&gt;0,$A619&gt;V$7)),0,MAX(0,ROUND((INDEX($E619:$G619,V$5)-SUMIFS(TF_Timer,TF_Tekniker,V$4,TF_Dato,$A619))*2,0)/2)))</f>
        <v/>
      </c>
      <c r="W619">
        <f>IF(OR(W$4="",$A619&gt;TODAY()),0,IF(OR(INDEX($B619:$D619,W$5)="F",AND(W$6&gt;0,$A619&lt;W$6),AND(W$7&gt;0,$A619&gt;W$7)),0,MAX(0,ROUND((INDEX($E619:$G619,W$5)-SUMIFS(TF_Timer,TF_Tekniker,W$4,TF_Dato,$A619))*2,0)/2)))</f>
        <v/>
      </c>
      <c r="X619">
        <f>IF(OR(X$4="",$A619&gt;TODAY()),0,IF(OR(INDEX($B619:$D619,X$5)="F",AND(X$6&gt;0,$A619&lt;X$6),AND(X$7&gt;0,$A619&gt;X$7)),0,MAX(0,ROUND((INDEX($E619:$G619,X$5)-SUMIFS(TF_Timer,TF_Tekniker,X$4,TF_Dato,$A619))*2,0)/2)))</f>
        <v/>
      </c>
      <c r="Y619">
        <f>IF(OR(Y$4="",$A619&gt;TODAY()),0,IF(OR(INDEX($B619:$D619,Y$5)="F",AND(Y$6&gt;0,$A619&lt;Y$6),AND(Y$7&gt;0,$A619&gt;Y$7)),0,MAX(0,ROUND((INDEX($E619:$G619,Y$5)-SUMIFS(TF_Timer,TF_Tekniker,Y$4,TF_Dato,$A619))*2,0)/2)))</f>
        <v/>
      </c>
      <c r="Z619">
        <f>IF(OR(Z$4="",$A619&gt;TODAY()),0,IF(OR(INDEX($B619:$D619,Z$5)="F",AND(Z$6&gt;0,$A619&lt;Z$6),AND(Z$7&gt;0,$A619&gt;Z$7)),0,MAX(0,ROUND((INDEX($E619:$G619,Z$5)-SUMIFS(TF_Timer,TF_Tekniker,Z$4,TF_Dato,$A619))*2,0)/2)))</f>
        <v/>
      </c>
      <c r="AA619">
        <f>IF(OR(AA$4="",$A619&gt;TODAY()),0,IF(OR(INDEX($B619:$D619,AA$5)="F",AND(AA$6&gt;0,$A619&lt;AA$6),AND(AA$7&gt;0,$A619&gt;AA$7)),0,MAX(0,ROUND((INDEX($E619:$G619,AA$5)-SUMIFS(TF_Timer,TF_Tekniker,AA$4,TF_Dato,$A619))*2,0)/2)))</f>
        <v/>
      </c>
      <c r="AB619">
        <f>IF(OR(AB$4="",$A619&gt;TODAY()),0,IF(OR(INDEX($B619:$D619,AB$5)="F",AND(AB$6&gt;0,$A619&lt;AB$6),AND(AB$7&gt;0,$A619&gt;AB$7)),0,MAX(0,ROUND((INDEX($E619:$G619,AB$5)-SUMIFS(TF_Timer,TF_Tekniker,AB$4,TF_Dato,$A619))*2,0)/2)))</f>
        <v/>
      </c>
      <c r="AC619">
        <f>IF(OR(AC$4="",$A619&gt;TODAY()),0,IF(OR(INDEX($B619:$D619,AC$5)="F",AND(AC$6&gt;0,$A619&lt;AC$6),AND(AC$7&gt;0,$A619&gt;AC$7)),0,MAX(0,ROUND((INDEX($E619:$G619,AC$5)-SUMIFS(TF_Timer,TF_Tekniker,AC$4,TF_Dato,$A619))*2,0)/2)))</f>
        <v/>
      </c>
      <c r="AD619">
        <f>IF(OR(AD$4="",$A619&gt;TODAY()),0,IF(OR(INDEX($B619:$D619,AD$5)="F",AND(AD$6&gt;0,$A619&lt;AD$6),AND(AD$7&gt;0,$A619&gt;AD$7)),0,MAX(0,ROUND((INDEX($E619:$G619,AD$5)-SUMIFS(TF_Timer,TF_Tekniker,AD$4,TF_Dato,$A619))*2,0)/2)))</f>
        <v/>
      </c>
      <c r="AE619">
        <f>IF(OR(AE$4="",$A619&gt;TODAY()),0,IF(OR(INDEX($B619:$D619,AE$5)="F",AND(AE$6&gt;0,$A619&lt;AE$6),AND(AE$7&gt;0,$A619&gt;AE$7)),0,MAX(0,ROUND((INDEX($E619:$G619,AE$5)-SUMIFS(TF_Timer,TF_Tekniker,AE$4,TF_Dato,$A619))*2,0)/2)))</f>
        <v/>
      </c>
      <c r="AF619">
        <f>IF(OR(AF$4="",$A619&gt;TODAY()),0,IF(OR(INDEX($B619:$D619,AF$5)="F",AND(AF$6&gt;0,$A619&lt;AF$6),AND(AF$7&gt;0,$A619&gt;AF$7)),0,MAX(0,ROUND((INDEX($E619:$G619,AF$5)-SUMIFS(TF_Timer,TF_Tekniker,AF$4,TF_Dato,$A619))*2,0)/2)))</f>
        <v/>
      </c>
      <c r="AG619">
        <f>IF(OR(AG$4="",$A619&gt;TODAY()),0,IF(OR(INDEX($B619:$D619,AG$5)="F",AND(AG$6&gt;0,$A619&lt;AG$6),AND(AG$7&gt;0,$A619&gt;AG$7)),0,MAX(0,ROUND((INDEX($E619:$G619,AG$5)-SUMIFS(TF_Timer,TF_Tekniker,AG$4,TF_Dato,$A619))*2,0)/2)))</f>
        <v/>
      </c>
      <c r="AH619">
        <f>IF(OR(AH$4="",$A619&gt;TODAY()),0,IF(OR(INDEX($B619:$D619,AH$5)="F",AND(AH$6&gt;0,$A619&lt;AH$6),AND(AH$7&gt;0,$A619&gt;AH$7)),0,MAX(0,ROUND((INDEX($E619:$G619,AH$5)-SUMIFS(TF_Timer,TF_Tekniker,AH$4,TF_Dato,$A619))*2,0)/2)))</f>
        <v/>
      </c>
      <c r="AI619">
        <f>IF(OR(AI$4="",$A619&gt;TODAY()),0,IF(OR(INDEX($B619:$D619,AI$5)="F",AND(AI$6&gt;0,$A619&lt;AI$6),AND(AI$7&gt;0,$A619&gt;AI$7)),0,MAX(0,ROUND((INDEX($E619:$G619,AI$5)-SUMIFS(TF_Timer,TF_Tekniker,AI$4,TF_Dato,$A619))*2,0)/2)))</f>
        <v/>
      </c>
      <c r="AJ619">
        <f>IF(OR(AJ$4="",$A619&gt;TODAY()),0,IF(OR(INDEX($B619:$D619,AJ$5)="F",AND(AJ$6&gt;0,$A619&lt;AJ$6),AND(AJ$7&gt;0,$A619&gt;AJ$7)),0,MAX(0,ROUND((INDEX($E619:$G619,AJ$5)-SUMIFS(TF_Timer,TF_Tekniker,AJ$4,TF_Dato,$A619))*2,0)/2)))</f>
        <v/>
      </c>
      <c r="AK619">
        <f>IF(OR(AK$4="",$A619&gt;TODAY()),0,IF(OR(INDEX($B619:$D619,AK$5)="F",AND(AK$6&gt;0,$A619&lt;AK$6),AND(AK$7&gt;0,$A619&gt;AK$7)),0,MAX(0,ROUND((INDEX($E619:$G619,AK$5)-SUMIFS(TF_Timer,TF_Tekniker,AK$4,TF_Dato,$A619))*2,0)/2)))</f>
        <v/>
      </c>
      <c r="AL619">
        <f>IF(OR(AL$4="",$A619&gt;TODAY()),0,IF(OR(INDEX($B619:$D619,AL$5)="F",AND(AL$6&gt;0,$A619&lt;AL$6),AND(AL$7&gt;0,$A619&gt;AL$7)),0,MAX(0,ROUND((INDEX($E619:$G619,AL$5)-SUMIFS(TF_Timer,TF_Tekniker,AL$4,TF_Dato,$A619))*2,0)/2)))</f>
        <v/>
      </c>
      <c r="AM619">
        <f>IF(OR(AM$4="",$A619&gt;TODAY()),0,IF(OR(INDEX($B619:$D619,AM$5)="F",AND(AM$6&gt;0,$A619&lt;AM$6),AND(AM$7&gt;0,$A619&gt;AM$7)),0,MAX(0,ROUND((INDEX($E619:$G619,AM$5)-SUMIFS(TF_Timer,TF_Tekniker,AM$4,TF_Dato,$A619))*2,0)/2)))</f>
        <v/>
      </c>
      <c r="AN619">
        <f>IF(OR(AN$4="",$A619&gt;TODAY()),0,IF(OR(INDEX($B619:$D619,AN$5)="F",AND(AN$6&gt;0,$A619&lt;AN$6),AND(AN$7&gt;0,$A619&gt;AN$7)),0,MAX(0,ROUND((INDEX($E619:$G619,AN$5)-SUMIFS(TF_Timer,TF_Tekniker,AN$4,TF_Dato,$A619))*2,0)/2)))</f>
        <v/>
      </c>
      <c r="AO619">
        <f>IF(OR(AO$4="",$A619&gt;TODAY()),0,IF(OR(INDEX($B619:$D619,AO$5)="F",AND(AO$6&gt;0,$A619&lt;AO$6),AND(AO$7&gt;0,$A619&gt;AO$7)),0,MAX(0,ROUND((INDEX($E619:$G619,AO$5)-SUMIFS(TF_Timer,TF_Tekniker,AO$4,TF_Dato,$A619))*2,0)/2)))</f>
        <v/>
      </c>
      <c r="AP619">
        <f>IF(OR(AP$4="",$A619&gt;TODAY()),0,IF(OR(INDEX($B619:$D619,AP$5)="F",AND(AP$6&gt;0,$A619&lt;AP$6),AND(AP$7&gt;0,$A619&gt;AP$7)),0,MAX(0,ROUND((INDEX($E619:$G619,AP$5)-SUMIFS(TF_Timer,TF_Tekniker,AP$4,TF_Dato,$A619))*2,0)/2)))</f>
        <v/>
      </c>
      <c r="AQ619">
        <f>IF(OR(AQ$4="",$A619&gt;TODAY()),0,IF(OR(INDEX($B619:$D619,AQ$5)="F",AND(AQ$6&gt;0,$A619&lt;AQ$6),AND(AQ$7&gt;0,$A619&gt;AQ$7)),0,MAX(0,ROUND((INDEX($E619:$G619,AQ$5)-SUMIFS(TF_Timer,TF_Tekniker,AQ$4,TF_Dato,$A619))*2,0)/2)))</f>
        <v/>
      </c>
      <c r="AR619">
        <f>IF(OR(AR$4="",$A619&gt;TODAY()),0,IF(OR(INDEX($B619:$D619,AR$5)="F",AND(AR$6&gt;0,$A619&lt;AR$6),AND(AR$7&gt;0,$A619&gt;AR$7)),0,MAX(0,ROUND((INDEX($E619:$G619,AR$5)-SUMIFS(TF_Timer,TF_Tekniker,AR$4,TF_Dato,$A619))*2,0)/2)))</f>
        <v/>
      </c>
      <c r="AS619">
        <f>IF(OR(AS$4="",$A619&gt;TODAY()),0,IF(OR(INDEX($B619:$D619,AS$5)="F",AND(AS$6&gt;0,$A619&lt;AS$6),AND(AS$7&gt;0,$A619&gt;AS$7)),0,MAX(0,ROUND((INDEX($E619:$G619,AS$5)-SUMIFS(TF_Timer,TF_Tekniker,AS$4,TF_Dato,$A619))*2,0)/2)))</f>
        <v/>
      </c>
      <c r="AT619">
        <f>IF(OR(AT$4="",$A619&gt;TODAY()),0,IF(OR(INDEX($B619:$D619,AT$5)="F",AND(AT$6&gt;0,$A619&lt;AT$6),AND(AT$7&gt;0,$A619&gt;AT$7)),0,MAX(0,ROUND((INDEX($E619:$G619,AT$5)-SUMIFS(TF_Timer,TF_Tekniker,AT$4,TF_Dato,$A619))*2,0)/2)))</f>
        <v/>
      </c>
      <c r="AU619">
        <f>IF(OR(AU$4="",$A619&gt;TODAY()),0,IF(OR(INDEX($B619:$D619,AU$5)="F",AND(AU$6&gt;0,$A619&lt;AU$6),AND(AU$7&gt;0,$A619&gt;AU$7)),0,MAX(0,ROUND((INDEX($E619:$G619,AU$5)-SUMIFS(TF_Timer,TF_Tekniker,AU$4,TF_Dato,$A619))*2,0)/2)))</f>
        <v/>
      </c>
      <c r="AV619">
        <f>IF(OR(AV$4="",$A619&gt;TODAY()),0,IF(OR(INDEX($B619:$D619,AV$5)="F",AND(AV$6&gt;0,$A619&lt;AV$6),AND(AV$7&gt;0,$A619&gt;AV$7)),0,MAX(0,ROUND((INDEX($E619:$G619,AV$5)-SUMIFS(TF_Timer,TF_Tekniker,AV$4,TF_Dato,$A619))*2,0)/2)))</f>
        <v/>
      </c>
      <c r="AW619">
        <f>IF(OR(AW$4="",$A619&gt;TODAY()),0,IF(OR(INDEX($B619:$D619,AW$5)="F",AND(AW$6&gt;0,$A619&lt;AW$6),AND(AW$7&gt;0,$A619&gt;AW$7)),0,MAX(0,ROUND((INDEX($E619:$G619,AW$5)-SUMIFS(TF_Timer,TF_Tekniker,AW$4,TF_Dato,$A619))*2,0)/2)))</f>
        <v/>
      </c>
      <c r="AX619">
        <f>IF(OR(AX$4="",$A619&gt;TODAY()),0,IF(OR(INDEX($B619:$D619,AX$5)="F",AND(AX$6&gt;0,$A619&lt;AX$6),AND(AX$7&gt;0,$A619&gt;AX$7)),0,MAX(0,ROUND((INDEX($E619:$G619,AX$5)-SUMIFS(TF_Timer,TF_Tekniker,AX$4,TF_Dato,$A619))*2,0)/2)))</f>
        <v/>
      </c>
      <c r="AY619">
        <f>IF(OR(AY$4="",$A619&gt;TODAY()),0,IF(OR(INDEX($B619:$D619,AY$5)="F",AND(AY$6&gt;0,$A619&lt;AY$6),AND(AY$7&gt;0,$A619&gt;AY$7)),0,MAX(0,ROUND((INDEX($E619:$G619,AY$5)-SUMIFS(TF_Timer,TF_Tekniker,AY$4,TF_Dato,$A619))*2,0)/2)))</f>
        <v/>
      </c>
      <c r="AZ619">
        <f>IF(OR(AZ$4="",$A619&gt;TODAY()),0,IF(OR(INDEX($B619:$D619,AZ$5)="F",AND(AZ$6&gt;0,$A619&lt;AZ$6),AND(AZ$7&gt;0,$A619&gt;AZ$7)),0,MAX(0,ROUND((INDEX($E619:$G619,AZ$5)-SUMIFS(TF_Timer,TF_Tekniker,AZ$4,TF_Dato,$A619))*2,0)/2)))</f>
        <v/>
      </c>
      <c r="BA619">
        <f>IF(OR(BA$4="",$A619&gt;TODAY()),0,IF(OR(INDEX($B619:$D619,BA$5)="F",AND(BA$6&gt;0,$A619&lt;BA$6),AND(BA$7&gt;0,$A619&gt;BA$7)),0,MAX(0,ROUND((INDEX($E619:$G619,BA$5)-SUMIFS(TF_Timer,TF_Tekniker,BA$4,TF_Dato,$A619))*2,0)/2)))</f>
        <v/>
      </c>
      <c r="BB619">
        <f>IF(OR(BB$4="",$A619&gt;TODAY()),0,IF(OR(INDEX($B619:$D619,BB$5)="F",AND(BB$6&gt;0,$A619&lt;BB$6),AND(BB$7&gt;0,$A619&gt;BB$7)),0,MAX(0,ROUND((INDEX($E619:$G619,BB$5)-SUMIFS(TF_Timer,TF_Tekniker,BB$4,TF_Dato,$A619))*2,0)/2)))</f>
        <v/>
      </c>
      <c r="BC619">
        <f>IF(OR(BC$4="",$A619&gt;TODAY()),0,IF(OR(INDEX($B619:$D619,BC$5)="F",AND(BC$6&gt;0,$A619&lt;BC$6),AND(BC$7&gt;0,$A619&gt;BC$7)),0,MAX(0,ROUND((INDEX($E619:$G619,BC$5)-SUMIFS(TF_Timer,TF_Tekniker,BC$4,TF_Dato,$A619))*2,0)/2)))</f>
        <v/>
      </c>
      <c r="BD619">
        <f>IF(OR(BD$4="",$A619&gt;TODAY()),0,IF(OR(INDEX($B619:$D619,BD$5)="F",AND(BD$6&gt;0,$A619&lt;BD$6),AND(BD$7&gt;0,$A619&gt;BD$7)),0,MAX(0,ROUND((INDEX($E619:$G619,BD$5)-SUMIFS(TF_Timer,TF_Tekniker,BD$4,TF_Dato,$A619))*2,0)/2)))</f>
        <v/>
      </c>
      <c r="BE619">
        <f>IF(OR(BE$4="",$A619&gt;TODAY()),0,IF(OR(INDEX($B619:$D619,BE$5)="F",AND(BE$6&gt;0,$A619&lt;BE$6),AND(BE$7&gt;0,$A619&gt;BE$7)),0,MAX(0,ROUND((INDEX($E619:$G619,BE$5)-SUMIFS(TF_Timer,TF_Tekniker,BE$4,TF_Dato,$A619))*2,0)/2)))</f>
        <v/>
      </c>
      <c r="BF619">
        <f>IF(OR(BF$4="",$A619&gt;TODAY()),0,IF(OR(INDEX($B619:$D619,BF$5)="F",AND(BF$6&gt;0,$A619&lt;BF$6),AND(BF$7&gt;0,$A619&gt;BF$7)),0,MAX(0,ROUND((INDEX($E619:$G619,BF$5)-SUMIFS(TF_Timer,TF_Tekniker,BF$4,TF_Dato,$A619))*2,0)/2)))</f>
        <v/>
      </c>
      <c r="BG619">
        <f>IF(OR(BG$4="",$A619&gt;TODAY()),0,IF(OR(INDEX($B619:$D619,BG$5)="F",AND(BG$6&gt;0,$A619&lt;BG$6),AND(BG$7&gt;0,$A619&gt;BG$7)),0,MAX(0,ROUND((INDEX($E619:$G619,BG$5)-SUMIFS(TF_Timer,TF_Tekniker,BG$4,TF_Dato,$A619))*2,0)/2)))</f>
        <v/>
      </c>
      <c r="BH619">
        <f>IF(OR(BH$4="",$A619&gt;TODAY()),0,IF(OR(INDEX($B619:$D619,BH$5)="F",AND(BH$6&gt;0,$A619&lt;BH$6),AND(BH$7&gt;0,$A619&gt;BH$7)),0,MAX(0,ROUND((INDEX($E619:$G619,BH$5)-SUMIFS(TF_Timer,TF_Tekniker,BH$4,TF_Dato,$A619))*2,0)/2)))</f>
        <v/>
      </c>
      <c r="BI619">
        <f>IF(OR(BI$4="",$A619&gt;TODAY()),0,IF(OR(INDEX($B619:$D619,BI$5)="F",AND(BI$6&gt;0,$A619&lt;BI$6),AND(BI$7&gt;0,$A619&gt;BI$7)),0,MAX(0,ROUND((INDEX($E619:$G619,BI$5)-SUMIFS(TF_Timer,TF_Tekniker,BI$4,TF_Dato,$A619))*2,0)/2)))</f>
        <v/>
      </c>
    </row>
    <row r="620">
      <c r="A620" s="64">
        <f>A619+1</f>
        <v/>
      </c>
      <c r="B620">
        <f>IF(MOD($A620-INDEX(SkiftStart,1),Syklus)&lt;DagK,"K",IF(MOD($A620-INDEX(SkiftStart,1),Syklus)&lt;DagK+DagH,"H",IF(MOD($A620-INDEX(SkiftStart,1),Syklus)&lt;DagK+DagH+DagD,"D","F")))</f>
        <v/>
      </c>
      <c r="C620">
        <f>IF(MOD($A620-INDEX(SkiftStart,2),Syklus)&lt;DagK,"K",IF(MOD($A620-INDEX(SkiftStart,2),Syklus)&lt;DagK+DagH,"H",IF(MOD($A620-INDEX(SkiftStart,2),Syklus)&lt;DagK+DagH+DagD,"D","F")))</f>
        <v/>
      </c>
      <c r="D620">
        <f>IF(MOD($A620-INDEX(SkiftStart,3),Syklus)&lt;DagK,"K",IF(MOD($A620-INDEX(SkiftStart,3),Syklus)&lt;DagK+DagH,"H",IF(MOD($A620-INDEX(SkiftStart,3),Syklus)&lt;DagK+DagH+DagD,"D","F")))</f>
        <v/>
      </c>
      <c r="E620">
        <f>IF(B620="F",0,IF(WEEKDAY($A620,2)=5,INDEX(TimerFr,MATCH(B620,FaseKode,0)),INDEX(TimerMT,MATCH(B620,FaseKode,0))))</f>
        <v/>
      </c>
      <c r="F620">
        <f>IF(C620="F",0,IF(WEEKDAY($A620,2)=5,INDEX(TimerFr,MATCH(C620,FaseKode,0)),INDEX(TimerMT,MATCH(C620,FaseKode,0))))</f>
        <v/>
      </c>
      <c r="G620">
        <f>IF(D620="F",0,IF(WEEKDAY($A620,2)=5,INDEX(TimerFr,MATCH(D620,FaseKode,0)),INDEX(TimerMT,MATCH(D620,FaseKode,0))))</f>
        <v/>
      </c>
      <c r="H620">
        <f>IF(OR(H$4="",$A620&gt;TODAY()),0,IF(OR(INDEX($B620:$D620,H$5)="F",AND(H$6&gt;0,$A620&lt;H$6),AND(H$7&gt;0,$A620&gt;H$7)),0,MAX(0,ROUND((INDEX($E620:$G620,H$5)-SUMIFS(TF_Timer,TF_Tekniker,H$4,TF_Dato,$A620))*2,0)/2)))</f>
        <v/>
      </c>
      <c r="I620">
        <f>IF(OR(I$4="",$A620&gt;TODAY()),0,IF(OR(INDEX($B620:$D620,I$5)="F",AND(I$6&gt;0,$A620&lt;I$6),AND(I$7&gt;0,$A620&gt;I$7)),0,MAX(0,ROUND((INDEX($E620:$G620,I$5)-SUMIFS(TF_Timer,TF_Tekniker,I$4,TF_Dato,$A620))*2,0)/2)))</f>
        <v/>
      </c>
      <c r="J620">
        <f>IF(OR(J$4="",$A620&gt;TODAY()),0,IF(OR(INDEX($B620:$D620,J$5)="F",AND(J$6&gt;0,$A620&lt;J$6),AND(J$7&gt;0,$A620&gt;J$7)),0,MAX(0,ROUND((INDEX($E620:$G620,J$5)-SUMIFS(TF_Timer,TF_Tekniker,J$4,TF_Dato,$A620))*2,0)/2)))</f>
        <v/>
      </c>
      <c r="K620">
        <f>IF(OR(K$4="",$A620&gt;TODAY()),0,IF(OR(INDEX($B620:$D620,K$5)="F",AND(K$6&gt;0,$A620&lt;K$6),AND(K$7&gt;0,$A620&gt;K$7)),0,MAX(0,ROUND((INDEX($E620:$G620,K$5)-SUMIFS(TF_Timer,TF_Tekniker,K$4,TF_Dato,$A620))*2,0)/2)))</f>
        <v/>
      </c>
      <c r="L620">
        <f>IF(OR(L$4="",$A620&gt;TODAY()),0,IF(OR(INDEX($B620:$D620,L$5)="F",AND(L$6&gt;0,$A620&lt;L$6),AND(L$7&gt;0,$A620&gt;L$7)),0,MAX(0,ROUND((INDEX($E620:$G620,L$5)-SUMIFS(TF_Timer,TF_Tekniker,L$4,TF_Dato,$A620))*2,0)/2)))</f>
        <v/>
      </c>
      <c r="M620">
        <f>IF(OR(M$4="",$A620&gt;TODAY()),0,IF(OR(INDEX($B620:$D620,M$5)="F",AND(M$6&gt;0,$A620&lt;M$6),AND(M$7&gt;0,$A620&gt;M$7)),0,MAX(0,ROUND((INDEX($E620:$G620,M$5)-SUMIFS(TF_Timer,TF_Tekniker,M$4,TF_Dato,$A620))*2,0)/2)))</f>
        <v/>
      </c>
      <c r="N620">
        <f>IF(OR(N$4="",$A620&gt;TODAY()),0,IF(OR(INDEX($B620:$D620,N$5)="F",AND(N$6&gt;0,$A620&lt;N$6),AND(N$7&gt;0,$A620&gt;N$7)),0,MAX(0,ROUND((INDEX($E620:$G620,N$5)-SUMIFS(TF_Timer,TF_Tekniker,N$4,TF_Dato,$A620))*2,0)/2)))</f>
        <v/>
      </c>
      <c r="O620">
        <f>IF(OR(O$4="",$A620&gt;TODAY()),0,IF(OR(INDEX($B620:$D620,O$5)="F",AND(O$6&gt;0,$A620&lt;O$6),AND(O$7&gt;0,$A620&gt;O$7)),0,MAX(0,ROUND((INDEX($E620:$G620,O$5)-SUMIFS(TF_Timer,TF_Tekniker,O$4,TF_Dato,$A620))*2,0)/2)))</f>
        <v/>
      </c>
      <c r="P620">
        <f>IF(OR(P$4="",$A620&gt;TODAY()),0,IF(OR(INDEX($B620:$D620,P$5)="F",AND(P$6&gt;0,$A620&lt;P$6),AND(P$7&gt;0,$A620&gt;P$7)),0,MAX(0,ROUND((INDEX($E620:$G620,P$5)-SUMIFS(TF_Timer,TF_Tekniker,P$4,TF_Dato,$A620))*2,0)/2)))</f>
        <v/>
      </c>
      <c r="Q620">
        <f>IF(OR(Q$4="",$A620&gt;TODAY()),0,IF(OR(INDEX($B620:$D620,Q$5)="F",AND(Q$6&gt;0,$A620&lt;Q$6),AND(Q$7&gt;0,$A620&gt;Q$7)),0,MAX(0,ROUND((INDEX($E620:$G620,Q$5)-SUMIFS(TF_Timer,TF_Tekniker,Q$4,TF_Dato,$A620))*2,0)/2)))</f>
        <v/>
      </c>
      <c r="R620">
        <f>IF(OR(R$4="",$A620&gt;TODAY()),0,IF(OR(INDEX($B620:$D620,R$5)="F",AND(R$6&gt;0,$A620&lt;R$6),AND(R$7&gt;0,$A620&gt;R$7)),0,MAX(0,ROUND((INDEX($E620:$G620,R$5)-SUMIFS(TF_Timer,TF_Tekniker,R$4,TF_Dato,$A620))*2,0)/2)))</f>
        <v/>
      </c>
      <c r="S620">
        <f>IF(OR(S$4="",$A620&gt;TODAY()),0,IF(OR(INDEX($B620:$D620,S$5)="F",AND(S$6&gt;0,$A620&lt;S$6),AND(S$7&gt;0,$A620&gt;S$7)),0,MAX(0,ROUND((INDEX($E620:$G620,S$5)-SUMIFS(TF_Timer,TF_Tekniker,S$4,TF_Dato,$A620))*2,0)/2)))</f>
        <v/>
      </c>
      <c r="T620">
        <f>IF(OR(T$4="",$A620&gt;TODAY()),0,IF(OR(INDEX($B620:$D620,T$5)="F",AND(T$6&gt;0,$A620&lt;T$6),AND(T$7&gt;0,$A620&gt;T$7)),0,MAX(0,ROUND((INDEX($E620:$G620,T$5)-SUMIFS(TF_Timer,TF_Tekniker,T$4,TF_Dato,$A620))*2,0)/2)))</f>
        <v/>
      </c>
      <c r="U620">
        <f>IF(OR(U$4="",$A620&gt;TODAY()),0,IF(OR(INDEX($B620:$D620,U$5)="F",AND(U$6&gt;0,$A620&lt;U$6),AND(U$7&gt;0,$A620&gt;U$7)),0,MAX(0,ROUND((INDEX($E620:$G620,U$5)-SUMIFS(TF_Timer,TF_Tekniker,U$4,TF_Dato,$A620))*2,0)/2)))</f>
        <v/>
      </c>
      <c r="V620">
        <f>IF(OR(V$4="",$A620&gt;TODAY()),0,IF(OR(INDEX($B620:$D620,V$5)="F",AND(V$6&gt;0,$A620&lt;V$6),AND(V$7&gt;0,$A620&gt;V$7)),0,MAX(0,ROUND((INDEX($E620:$G620,V$5)-SUMIFS(TF_Timer,TF_Tekniker,V$4,TF_Dato,$A620))*2,0)/2)))</f>
        <v/>
      </c>
      <c r="W620">
        <f>IF(OR(W$4="",$A620&gt;TODAY()),0,IF(OR(INDEX($B620:$D620,W$5)="F",AND(W$6&gt;0,$A620&lt;W$6),AND(W$7&gt;0,$A620&gt;W$7)),0,MAX(0,ROUND((INDEX($E620:$G620,W$5)-SUMIFS(TF_Timer,TF_Tekniker,W$4,TF_Dato,$A620))*2,0)/2)))</f>
        <v/>
      </c>
      <c r="X620">
        <f>IF(OR(X$4="",$A620&gt;TODAY()),0,IF(OR(INDEX($B620:$D620,X$5)="F",AND(X$6&gt;0,$A620&lt;X$6),AND(X$7&gt;0,$A620&gt;X$7)),0,MAX(0,ROUND((INDEX($E620:$G620,X$5)-SUMIFS(TF_Timer,TF_Tekniker,X$4,TF_Dato,$A620))*2,0)/2)))</f>
        <v/>
      </c>
      <c r="Y620">
        <f>IF(OR(Y$4="",$A620&gt;TODAY()),0,IF(OR(INDEX($B620:$D620,Y$5)="F",AND(Y$6&gt;0,$A620&lt;Y$6),AND(Y$7&gt;0,$A620&gt;Y$7)),0,MAX(0,ROUND((INDEX($E620:$G620,Y$5)-SUMIFS(TF_Timer,TF_Tekniker,Y$4,TF_Dato,$A620))*2,0)/2)))</f>
        <v/>
      </c>
      <c r="Z620">
        <f>IF(OR(Z$4="",$A620&gt;TODAY()),0,IF(OR(INDEX($B620:$D620,Z$5)="F",AND(Z$6&gt;0,$A620&lt;Z$6),AND(Z$7&gt;0,$A620&gt;Z$7)),0,MAX(0,ROUND((INDEX($E620:$G620,Z$5)-SUMIFS(TF_Timer,TF_Tekniker,Z$4,TF_Dato,$A620))*2,0)/2)))</f>
        <v/>
      </c>
      <c r="AA620">
        <f>IF(OR(AA$4="",$A620&gt;TODAY()),0,IF(OR(INDEX($B620:$D620,AA$5)="F",AND(AA$6&gt;0,$A620&lt;AA$6),AND(AA$7&gt;0,$A620&gt;AA$7)),0,MAX(0,ROUND((INDEX($E620:$G620,AA$5)-SUMIFS(TF_Timer,TF_Tekniker,AA$4,TF_Dato,$A620))*2,0)/2)))</f>
        <v/>
      </c>
      <c r="AB620">
        <f>IF(OR(AB$4="",$A620&gt;TODAY()),0,IF(OR(INDEX($B620:$D620,AB$5)="F",AND(AB$6&gt;0,$A620&lt;AB$6),AND(AB$7&gt;0,$A620&gt;AB$7)),0,MAX(0,ROUND((INDEX($E620:$G620,AB$5)-SUMIFS(TF_Timer,TF_Tekniker,AB$4,TF_Dato,$A620))*2,0)/2)))</f>
        <v/>
      </c>
      <c r="AC620">
        <f>IF(OR(AC$4="",$A620&gt;TODAY()),0,IF(OR(INDEX($B620:$D620,AC$5)="F",AND(AC$6&gt;0,$A620&lt;AC$6),AND(AC$7&gt;0,$A620&gt;AC$7)),0,MAX(0,ROUND((INDEX($E620:$G620,AC$5)-SUMIFS(TF_Timer,TF_Tekniker,AC$4,TF_Dato,$A620))*2,0)/2)))</f>
        <v/>
      </c>
      <c r="AD620">
        <f>IF(OR(AD$4="",$A620&gt;TODAY()),0,IF(OR(INDEX($B620:$D620,AD$5)="F",AND(AD$6&gt;0,$A620&lt;AD$6),AND(AD$7&gt;0,$A620&gt;AD$7)),0,MAX(0,ROUND((INDEX($E620:$G620,AD$5)-SUMIFS(TF_Timer,TF_Tekniker,AD$4,TF_Dato,$A620))*2,0)/2)))</f>
        <v/>
      </c>
      <c r="AE620">
        <f>IF(OR(AE$4="",$A620&gt;TODAY()),0,IF(OR(INDEX($B620:$D620,AE$5)="F",AND(AE$6&gt;0,$A620&lt;AE$6),AND(AE$7&gt;0,$A620&gt;AE$7)),0,MAX(0,ROUND((INDEX($E620:$G620,AE$5)-SUMIFS(TF_Timer,TF_Tekniker,AE$4,TF_Dato,$A620))*2,0)/2)))</f>
        <v/>
      </c>
      <c r="AF620">
        <f>IF(OR(AF$4="",$A620&gt;TODAY()),0,IF(OR(INDEX($B620:$D620,AF$5)="F",AND(AF$6&gt;0,$A620&lt;AF$6),AND(AF$7&gt;0,$A620&gt;AF$7)),0,MAX(0,ROUND((INDEX($E620:$G620,AF$5)-SUMIFS(TF_Timer,TF_Tekniker,AF$4,TF_Dato,$A620))*2,0)/2)))</f>
        <v/>
      </c>
      <c r="AG620">
        <f>IF(OR(AG$4="",$A620&gt;TODAY()),0,IF(OR(INDEX($B620:$D620,AG$5)="F",AND(AG$6&gt;0,$A620&lt;AG$6),AND(AG$7&gt;0,$A620&gt;AG$7)),0,MAX(0,ROUND((INDEX($E620:$G620,AG$5)-SUMIFS(TF_Timer,TF_Tekniker,AG$4,TF_Dato,$A620))*2,0)/2)))</f>
        <v/>
      </c>
      <c r="AH620">
        <f>IF(OR(AH$4="",$A620&gt;TODAY()),0,IF(OR(INDEX($B620:$D620,AH$5)="F",AND(AH$6&gt;0,$A620&lt;AH$6),AND(AH$7&gt;0,$A620&gt;AH$7)),0,MAX(0,ROUND((INDEX($E620:$G620,AH$5)-SUMIFS(TF_Timer,TF_Tekniker,AH$4,TF_Dato,$A620))*2,0)/2)))</f>
        <v/>
      </c>
      <c r="AI620">
        <f>IF(OR(AI$4="",$A620&gt;TODAY()),0,IF(OR(INDEX($B620:$D620,AI$5)="F",AND(AI$6&gt;0,$A620&lt;AI$6),AND(AI$7&gt;0,$A620&gt;AI$7)),0,MAX(0,ROUND((INDEX($E620:$G620,AI$5)-SUMIFS(TF_Timer,TF_Tekniker,AI$4,TF_Dato,$A620))*2,0)/2)))</f>
        <v/>
      </c>
      <c r="AJ620">
        <f>IF(OR(AJ$4="",$A620&gt;TODAY()),0,IF(OR(INDEX($B620:$D620,AJ$5)="F",AND(AJ$6&gt;0,$A620&lt;AJ$6),AND(AJ$7&gt;0,$A620&gt;AJ$7)),0,MAX(0,ROUND((INDEX($E620:$G620,AJ$5)-SUMIFS(TF_Timer,TF_Tekniker,AJ$4,TF_Dato,$A620))*2,0)/2)))</f>
        <v/>
      </c>
      <c r="AK620">
        <f>IF(OR(AK$4="",$A620&gt;TODAY()),0,IF(OR(INDEX($B620:$D620,AK$5)="F",AND(AK$6&gt;0,$A620&lt;AK$6),AND(AK$7&gt;0,$A620&gt;AK$7)),0,MAX(0,ROUND((INDEX($E620:$G620,AK$5)-SUMIFS(TF_Timer,TF_Tekniker,AK$4,TF_Dato,$A620))*2,0)/2)))</f>
        <v/>
      </c>
      <c r="AL620">
        <f>IF(OR(AL$4="",$A620&gt;TODAY()),0,IF(OR(INDEX($B620:$D620,AL$5)="F",AND(AL$6&gt;0,$A620&lt;AL$6),AND(AL$7&gt;0,$A620&gt;AL$7)),0,MAX(0,ROUND((INDEX($E620:$G620,AL$5)-SUMIFS(TF_Timer,TF_Tekniker,AL$4,TF_Dato,$A620))*2,0)/2)))</f>
        <v/>
      </c>
      <c r="AM620">
        <f>IF(OR(AM$4="",$A620&gt;TODAY()),0,IF(OR(INDEX($B620:$D620,AM$5)="F",AND(AM$6&gt;0,$A620&lt;AM$6),AND(AM$7&gt;0,$A620&gt;AM$7)),0,MAX(0,ROUND((INDEX($E620:$G620,AM$5)-SUMIFS(TF_Timer,TF_Tekniker,AM$4,TF_Dato,$A620))*2,0)/2)))</f>
        <v/>
      </c>
      <c r="AN620">
        <f>IF(OR(AN$4="",$A620&gt;TODAY()),0,IF(OR(INDEX($B620:$D620,AN$5)="F",AND(AN$6&gt;0,$A620&lt;AN$6),AND(AN$7&gt;0,$A620&gt;AN$7)),0,MAX(0,ROUND((INDEX($E620:$G620,AN$5)-SUMIFS(TF_Timer,TF_Tekniker,AN$4,TF_Dato,$A620))*2,0)/2)))</f>
        <v/>
      </c>
      <c r="AO620">
        <f>IF(OR(AO$4="",$A620&gt;TODAY()),0,IF(OR(INDEX($B620:$D620,AO$5)="F",AND(AO$6&gt;0,$A620&lt;AO$6),AND(AO$7&gt;0,$A620&gt;AO$7)),0,MAX(0,ROUND((INDEX($E620:$G620,AO$5)-SUMIFS(TF_Timer,TF_Tekniker,AO$4,TF_Dato,$A620))*2,0)/2)))</f>
        <v/>
      </c>
      <c r="AP620">
        <f>IF(OR(AP$4="",$A620&gt;TODAY()),0,IF(OR(INDEX($B620:$D620,AP$5)="F",AND(AP$6&gt;0,$A620&lt;AP$6),AND(AP$7&gt;0,$A620&gt;AP$7)),0,MAX(0,ROUND((INDEX($E620:$G620,AP$5)-SUMIFS(TF_Timer,TF_Tekniker,AP$4,TF_Dato,$A620))*2,0)/2)))</f>
        <v/>
      </c>
      <c r="AQ620">
        <f>IF(OR(AQ$4="",$A620&gt;TODAY()),0,IF(OR(INDEX($B620:$D620,AQ$5)="F",AND(AQ$6&gt;0,$A620&lt;AQ$6),AND(AQ$7&gt;0,$A620&gt;AQ$7)),0,MAX(0,ROUND((INDEX($E620:$G620,AQ$5)-SUMIFS(TF_Timer,TF_Tekniker,AQ$4,TF_Dato,$A620))*2,0)/2)))</f>
        <v/>
      </c>
      <c r="AR620">
        <f>IF(OR(AR$4="",$A620&gt;TODAY()),0,IF(OR(INDEX($B620:$D620,AR$5)="F",AND(AR$6&gt;0,$A620&lt;AR$6),AND(AR$7&gt;0,$A620&gt;AR$7)),0,MAX(0,ROUND((INDEX($E620:$G620,AR$5)-SUMIFS(TF_Timer,TF_Tekniker,AR$4,TF_Dato,$A620))*2,0)/2)))</f>
        <v/>
      </c>
      <c r="AS620">
        <f>IF(OR(AS$4="",$A620&gt;TODAY()),0,IF(OR(INDEX($B620:$D620,AS$5)="F",AND(AS$6&gt;0,$A620&lt;AS$6),AND(AS$7&gt;0,$A620&gt;AS$7)),0,MAX(0,ROUND((INDEX($E620:$G620,AS$5)-SUMIFS(TF_Timer,TF_Tekniker,AS$4,TF_Dato,$A620))*2,0)/2)))</f>
        <v/>
      </c>
      <c r="AT620">
        <f>IF(OR(AT$4="",$A620&gt;TODAY()),0,IF(OR(INDEX($B620:$D620,AT$5)="F",AND(AT$6&gt;0,$A620&lt;AT$6),AND(AT$7&gt;0,$A620&gt;AT$7)),0,MAX(0,ROUND((INDEX($E620:$G620,AT$5)-SUMIFS(TF_Timer,TF_Tekniker,AT$4,TF_Dato,$A620))*2,0)/2)))</f>
        <v/>
      </c>
      <c r="AU620">
        <f>IF(OR(AU$4="",$A620&gt;TODAY()),0,IF(OR(INDEX($B620:$D620,AU$5)="F",AND(AU$6&gt;0,$A620&lt;AU$6),AND(AU$7&gt;0,$A620&gt;AU$7)),0,MAX(0,ROUND((INDEX($E620:$G620,AU$5)-SUMIFS(TF_Timer,TF_Tekniker,AU$4,TF_Dato,$A620))*2,0)/2)))</f>
        <v/>
      </c>
      <c r="AV620">
        <f>IF(OR(AV$4="",$A620&gt;TODAY()),0,IF(OR(INDEX($B620:$D620,AV$5)="F",AND(AV$6&gt;0,$A620&lt;AV$6),AND(AV$7&gt;0,$A620&gt;AV$7)),0,MAX(0,ROUND((INDEX($E620:$G620,AV$5)-SUMIFS(TF_Timer,TF_Tekniker,AV$4,TF_Dato,$A620))*2,0)/2)))</f>
        <v/>
      </c>
      <c r="AW620">
        <f>IF(OR(AW$4="",$A620&gt;TODAY()),0,IF(OR(INDEX($B620:$D620,AW$5)="F",AND(AW$6&gt;0,$A620&lt;AW$6),AND(AW$7&gt;0,$A620&gt;AW$7)),0,MAX(0,ROUND((INDEX($E620:$G620,AW$5)-SUMIFS(TF_Timer,TF_Tekniker,AW$4,TF_Dato,$A620))*2,0)/2)))</f>
        <v/>
      </c>
      <c r="AX620">
        <f>IF(OR(AX$4="",$A620&gt;TODAY()),0,IF(OR(INDEX($B620:$D620,AX$5)="F",AND(AX$6&gt;0,$A620&lt;AX$6),AND(AX$7&gt;0,$A620&gt;AX$7)),0,MAX(0,ROUND((INDEX($E620:$G620,AX$5)-SUMIFS(TF_Timer,TF_Tekniker,AX$4,TF_Dato,$A620))*2,0)/2)))</f>
        <v/>
      </c>
      <c r="AY620">
        <f>IF(OR(AY$4="",$A620&gt;TODAY()),0,IF(OR(INDEX($B620:$D620,AY$5)="F",AND(AY$6&gt;0,$A620&lt;AY$6),AND(AY$7&gt;0,$A620&gt;AY$7)),0,MAX(0,ROUND((INDEX($E620:$G620,AY$5)-SUMIFS(TF_Timer,TF_Tekniker,AY$4,TF_Dato,$A620))*2,0)/2)))</f>
        <v/>
      </c>
      <c r="AZ620">
        <f>IF(OR(AZ$4="",$A620&gt;TODAY()),0,IF(OR(INDEX($B620:$D620,AZ$5)="F",AND(AZ$6&gt;0,$A620&lt;AZ$6),AND(AZ$7&gt;0,$A620&gt;AZ$7)),0,MAX(0,ROUND((INDEX($E620:$G620,AZ$5)-SUMIFS(TF_Timer,TF_Tekniker,AZ$4,TF_Dato,$A620))*2,0)/2)))</f>
        <v/>
      </c>
      <c r="BA620">
        <f>IF(OR(BA$4="",$A620&gt;TODAY()),0,IF(OR(INDEX($B620:$D620,BA$5)="F",AND(BA$6&gt;0,$A620&lt;BA$6),AND(BA$7&gt;0,$A620&gt;BA$7)),0,MAX(0,ROUND((INDEX($E620:$G620,BA$5)-SUMIFS(TF_Timer,TF_Tekniker,BA$4,TF_Dato,$A620))*2,0)/2)))</f>
        <v/>
      </c>
      <c r="BB620">
        <f>IF(OR(BB$4="",$A620&gt;TODAY()),0,IF(OR(INDEX($B620:$D620,BB$5)="F",AND(BB$6&gt;0,$A620&lt;BB$6),AND(BB$7&gt;0,$A620&gt;BB$7)),0,MAX(0,ROUND((INDEX($E620:$G620,BB$5)-SUMIFS(TF_Timer,TF_Tekniker,BB$4,TF_Dato,$A620))*2,0)/2)))</f>
        <v/>
      </c>
      <c r="BC620">
        <f>IF(OR(BC$4="",$A620&gt;TODAY()),0,IF(OR(INDEX($B620:$D620,BC$5)="F",AND(BC$6&gt;0,$A620&lt;BC$6),AND(BC$7&gt;0,$A620&gt;BC$7)),0,MAX(0,ROUND((INDEX($E620:$G620,BC$5)-SUMIFS(TF_Timer,TF_Tekniker,BC$4,TF_Dato,$A620))*2,0)/2)))</f>
        <v/>
      </c>
      <c r="BD620">
        <f>IF(OR(BD$4="",$A620&gt;TODAY()),0,IF(OR(INDEX($B620:$D620,BD$5)="F",AND(BD$6&gt;0,$A620&lt;BD$6),AND(BD$7&gt;0,$A620&gt;BD$7)),0,MAX(0,ROUND((INDEX($E620:$G620,BD$5)-SUMIFS(TF_Timer,TF_Tekniker,BD$4,TF_Dato,$A620))*2,0)/2)))</f>
        <v/>
      </c>
      <c r="BE620">
        <f>IF(OR(BE$4="",$A620&gt;TODAY()),0,IF(OR(INDEX($B620:$D620,BE$5)="F",AND(BE$6&gt;0,$A620&lt;BE$6),AND(BE$7&gt;0,$A620&gt;BE$7)),0,MAX(0,ROUND((INDEX($E620:$G620,BE$5)-SUMIFS(TF_Timer,TF_Tekniker,BE$4,TF_Dato,$A620))*2,0)/2)))</f>
        <v/>
      </c>
      <c r="BF620">
        <f>IF(OR(BF$4="",$A620&gt;TODAY()),0,IF(OR(INDEX($B620:$D620,BF$5)="F",AND(BF$6&gt;0,$A620&lt;BF$6),AND(BF$7&gt;0,$A620&gt;BF$7)),0,MAX(0,ROUND((INDEX($E620:$G620,BF$5)-SUMIFS(TF_Timer,TF_Tekniker,BF$4,TF_Dato,$A620))*2,0)/2)))</f>
        <v/>
      </c>
      <c r="BG620">
        <f>IF(OR(BG$4="",$A620&gt;TODAY()),0,IF(OR(INDEX($B620:$D620,BG$5)="F",AND(BG$6&gt;0,$A620&lt;BG$6),AND(BG$7&gt;0,$A620&gt;BG$7)),0,MAX(0,ROUND((INDEX($E620:$G620,BG$5)-SUMIFS(TF_Timer,TF_Tekniker,BG$4,TF_Dato,$A620))*2,0)/2)))</f>
        <v/>
      </c>
      <c r="BH620">
        <f>IF(OR(BH$4="",$A620&gt;TODAY()),0,IF(OR(INDEX($B620:$D620,BH$5)="F",AND(BH$6&gt;0,$A620&lt;BH$6),AND(BH$7&gt;0,$A620&gt;BH$7)),0,MAX(0,ROUND((INDEX($E620:$G620,BH$5)-SUMIFS(TF_Timer,TF_Tekniker,BH$4,TF_Dato,$A620))*2,0)/2)))</f>
        <v/>
      </c>
      <c r="BI620">
        <f>IF(OR(BI$4="",$A620&gt;TODAY()),0,IF(OR(INDEX($B620:$D620,BI$5)="F",AND(BI$6&gt;0,$A620&lt;BI$6),AND(BI$7&gt;0,$A620&gt;BI$7)),0,MAX(0,ROUND((INDEX($E620:$G620,BI$5)-SUMIFS(TF_Timer,TF_Tekniker,BI$4,TF_Dato,$A620))*2,0)/2)))</f>
        <v/>
      </c>
    </row>
    <row r="621">
      <c r="A621" s="64">
        <f>A620+1</f>
        <v/>
      </c>
      <c r="B621">
        <f>IF(MOD($A621-INDEX(SkiftStart,1),Syklus)&lt;DagK,"K",IF(MOD($A621-INDEX(SkiftStart,1),Syklus)&lt;DagK+DagH,"H",IF(MOD($A621-INDEX(SkiftStart,1),Syklus)&lt;DagK+DagH+DagD,"D","F")))</f>
        <v/>
      </c>
      <c r="C621">
        <f>IF(MOD($A621-INDEX(SkiftStart,2),Syklus)&lt;DagK,"K",IF(MOD($A621-INDEX(SkiftStart,2),Syklus)&lt;DagK+DagH,"H",IF(MOD($A621-INDEX(SkiftStart,2),Syklus)&lt;DagK+DagH+DagD,"D","F")))</f>
        <v/>
      </c>
      <c r="D621">
        <f>IF(MOD($A621-INDEX(SkiftStart,3),Syklus)&lt;DagK,"K",IF(MOD($A621-INDEX(SkiftStart,3),Syklus)&lt;DagK+DagH,"H",IF(MOD($A621-INDEX(SkiftStart,3),Syklus)&lt;DagK+DagH+DagD,"D","F")))</f>
        <v/>
      </c>
      <c r="E621">
        <f>IF(B621="F",0,IF(WEEKDAY($A621,2)=5,INDEX(TimerFr,MATCH(B621,FaseKode,0)),INDEX(TimerMT,MATCH(B621,FaseKode,0))))</f>
        <v/>
      </c>
      <c r="F621">
        <f>IF(C621="F",0,IF(WEEKDAY($A621,2)=5,INDEX(TimerFr,MATCH(C621,FaseKode,0)),INDEX(TimerMT,MATCH(C621,FaseKode,0))))</f>
        <v/>
      </c>
      <c r="G621">
        <f>IF(D621="F",0,IF(WEEKDAY($A621,2)=5,INDEX(TimerFr,MATCH(D621,FaseKode,0)),INDEX(TimerMT,MATCH(D621,FaseKode,0))))</f>
        <v/>
      </c>
      <c r="H621">
        <f>IF(OR(H$4="",$A621&gt;TODAY()),0,IF(OR(INDEX($B621:$D621,H$5)="F",AND(H$6&gt;0,$A621&lt;H$6),AND(H$7&gt;0,$A621&gt;H$7)),0,MAX(0,ROUND((INDEX($E621:$G621,H$5)-SUMIFS(TF_Timer,TF_Tekniker,H$4,TF_Dato,$A621))*2,0)/2)))</f>
        <v/>
      </c>
      <c r="I621">
        <f>IF(OR(I$4="",$A621&gt;TODAY()),0,IF(OR(INDEX($B621:$D621,I$5)="F",AND(I$6&gt;0,$A621&lt;I$6),AND(I$7&gt;0,$A621&gt;I$7)),0,MAX(0,ROUND((INDEX($E621:$G621,I$5)-SUMIFS(TF_Timer,TF_Tekniker,I$4,TF_Dato,$A621))*2,0)/2)))</f>
        <v/>
      </c>
      <c r="J621">
        <f>IF(OR(J$4="",$A621&gt;TODAY()),0,IF(OR(INDEX($B621:$D621,J$5)="F",AND(J$6&gt;0,$A621&lt;J$6),AND(J$7&gt;0,$A621&gt;J$7)),0,MAX(0,ROUND((INDEX($E621:$G621,J$5)-SUMIFS(TF_Timer,TF_Tekniker,J$4,TF_Dato,$A621))*2,0)/2)))</f>
        <v/>
      </c>
      <c r="K621">
        <f>IF(OR(K$4="",$A621&gt;TODAY()),0,IF(OR(INDEX($B621:$D621,K$5)="F",AND(K$6&gt;0,$A621&lt;K$6),AND(K$7&gt;0,$A621&gt;K$7)),0,MAX(0,ROUND((INDEX($E621:$G621,K$5)-SUMIFS(TF_Timer,TF_Tekniker,K$4,TF_Dato,$A621))*2,0)/2)))</f>
        <v/>
      </c>
      <c r="L621">
        <f>IF(OR(L$4="",$A621&gt;TODAY()),0,IF(OR(INDEX($B621:$D621,L$5)="F",AND(L$6&gt;0,$A621&lt;L$6),AND(L$7&gt;0,$A621&gt;L$7)),0,MAX(0,ROUND((INDEX($E621:$G621,L$5)-SUMIFS(TF_Timer,TF_Tekniker,L$4,TF_Dato,$A621))*2,0)/2)))</f>
        <v/>
      </c>
      <c r="M621">
        <f>IF(OR(M$4="",$A621&gt;TODAY()),0,IF(OR(INDEX($B621:$D621,M$5)="F",AND(M$6&gt;0,$A621&lt;M$6),AND(M$7&gt;0,$A621&gt;M$7)),0,MAX(0,ROUND((INDEX($E621:$G621,M$5)-SUMIFS(TF_Timer,TF_Tekniker,M$4,TF_Dato,$A621))*2,0)/2)))</f>
        <v/>
      </c>
      <c r="N621">
        <f>IF(OR(N$4="",$A621&gt;TODAY()),0,IF(OR(INDEX($B621:$D621,N$5)="F",AND(N$6&gt;0,$A621&lt;N$6),AND(N$7&gt;0,$A621&gt;N$7)),0,MAX(0,ROUND((INDEX($E621:$G621,N$5)-SUMIFS(TF_Timer,TF_Tekniker,N$4,TF_Dato,$A621))*2,0)/2)))</f>
        <v/>
      </c>
      <c r="O621">
        <f>IF(OR(O$4="",$A621&gt;TODAY()),0,IF(OR(INDEX($B621:$D621,O$5)="F",AND(O$6&gt;0,$A621&lt;O$6),AND(O$7&gt;0,$A621&gt;O$7)),0,MAX(0,ROUND((INDEX($E621:$G621,O$5)-SUMIFS(TF_Timer,TF_Tekniker,O$4,TF_Dato,$A621))*2,0)/2)))</f>
        <v/>
      </c>
      <c r="P621">
        <f>IF(OR(P$4="",$A621&gt;TODAY()),0,IF(OR(INDEX($B621:$D621,P$5)="F",AND(P$6&gt;0,$A621&lt;P$6),AND(P$7&gt;0,$A621&gt;P$7)),0,MAX(0,ROUND((INDEX($E621:$G621,P$5)-SUMIFS(TF_Timer,TF_Tekniker,P$4,TF_Dato,$A621))*2,0)/2)))</f>
        <v/>
      </c>
      <c r="Q621">
        <f>IF(OR(Q$4="",$A621&gt;TODAY()),0,IF(OR(INDEX($B621:$D621,Q$5)="F",AND(Q$6&gt;0,$A621&lt;Q$6),AND(Q$7&gt;0,$A621&gt;Q$7)),0,MAX(0,ROUND((INDEX($E621:$G621,Q$5)-SUMIFS(TF_Timer,TF_Tekniker,Q$4,TF_Dato,$A621))*2,0)/2)))</f>
        <v/>
      </c>
      <c r="R621">
        <f>IF(OR(R$4="",$A621&gt;TODAY()),0,IF(OR(INDEX($B621:$D621,R$5)="F",AND(R$6&gt;0,$A621&lt;R$6),AND(R$7&gt;0,$A621&gt;R$7)),0,MAX(0,ROUND((INDEX($E621:$G621,R$5)-SUMIFS(TF_Timer,TF_Tekniker,R$4,TF_Dato,$A621))*2,0)/2)))</f>
        <v/>
      </c>
      <c r="S621">
        <f>IF(OR(S$4="",$A621&gt;TODAY()),0,IF(OR(INDEX($B621:$D621,S$5)="F",AND(S$6&gt;0,$A621&lt;S$6),AND(S$7&gt;0,$A621&gt;S$7)),0,MAX(0,ROUND((INDEX($E621:$G621,S$5)-SUMIFS(TF_Timer,TF_Tekniker,S$4,TF_Dato,$A621))*2,0)/2)))</f>
        <v/>
      </c>
      <c r="T621">
        <f>IF(OR(T$4="",$A621&gt;TODAY()),0,IF(OR(INDEX($B621:$D621,T$5)="F",AND(T$6&gt;0,$A621&lt;T$6),AND(T$7&gt;0,$A621&gt;T$7)),0,MAX(0,ROUND((INDEX($E621:$G621,T$5)-SUMIFS(TF_Timer,TF_Tekniker,T$4,TF_Dato,$A621))*2,0)/2)))</f>
        <v/>
      </c>
      <c r="U621">
        <f>IF(OR(U$4="",$A621&gt;TODAY()),0,IF(OR(INDEX($B621:$D621,U$5)="F",AND(U$6&gt;0,$A621&lt;U$6),AND(U$7&gt;0,$A621&gt;U$7)),0,MAX(0,ROUND((INDEX($E621:$G621,U$5)-SUMIFS(TF_Timer,TF_Tekniker,U$4,TF_Dato,$A621))*2,0)/2)))</f>
        <v/>
      </c>
      <c r="V621">
        <f>IF(OR(V$4="",$A621&gt;TODAY()),0,IF(OR(INDEX($B621:$D621,V$5)="F",AND(V$6&gt;0,$A621&lt;V$6),AND(V$7&gt;0,$A621&gt;V$7)),0,MAX(0,ROUND((INDEX($E621:$G621,V$5)-SUMIFS(TF_Timer,TF_Tekniker,V$4,TF_Dato,$A621))*2,0)/2)))</f>
        <v/>
      </c>
      <c r="W621">
        <f>IF(OR(W$4="",$A621&gt;TODAY()),0,IF(OR(INDEX($B621:$D621,W$5)="F",AND(W$6&gt;0,$A621&lt;W$6),AND(W$7&gt;0,$A621&gt;W$7)),0,MAX(0,ROUND((INDEX($E621:$G621,W$5)-SUMIFS(TF_Timer,TF_Tekniker,W$4,TF_Dato,$A621))*2,0)/2)))</f>
        <v/>
      </c>
      <c r="X621">
        <f>IF(OR(X$4="",$A621&gt;TODAY()),0,IF(OR(INDEX($B621:$D621,X$5)="F",AND(X$6&gt;0,$A621&lt;X$6),AND(X$7&gt;0,$A621&gt;X$7)),0,MAX(0,ROUND((INDEX($E621:$G621,X$5)-SUMIFS(TF_Timer,TF_Tekniker,X$4,TF_Dato,$A621))*2,0)/2)))</f>
        <v/>
      </c>
      <c r="Y621">
        <f>IF(OR(Y$4="",$A621&gt;TODAY()),0,IF(OR(INDEX($B621:$D621,Y$5)="F",AND(Y$6&gt;0,$A621&lt;Y$6),AND(Y$7&gt;0,$A621&gt;Y$7)),0,MAX(0,ROUND((INDEX($E621:$G621,Y$5)-SUMIFS(TF_Timer,TF_Tekniker,Y$4,TF_Dato,$A621))*2,0)/2)))</f>
        <v/>
      </c>
      <c r="Z621">
        <f>IF(OR(Z$4="",$A621&gt;TODAY()),0,IF(OR(INDEX($B621:$D621,Z$5)="F",AND(Z$6&gt;0,$A621&lt;Z$6),AND(Z$7&gt;0,$A621&gt;Z$7)),0,MAX(0,ROUND((INDEX($E621:$G621,Z$5)-SUMIFS(TF_Timer,TF_Tekniker,Z$4,TF_Dato,$A621))*2,0)/2)))</f>
        <v/>
      </c>
      <c r="AA621">
        <f>IF(OR(AA$4="",$A621&gt;TODAY()),0,IF(OR(INDEX($B621:$D621,AA$5)="F",AND(AA$6&gt;0,$A621&lt;AA$6),AND(AA$7&gt;0,$A621&gt;AA$7)),0,MAX(0,ROUND((INDEX($E621:$G621,AA$5)-SUMIFS(TF_Timer,TF_Tekniker,AA$4,TF_Dato,$A621))*2,0)/2)))</f>
        <v/>
      </c>
      <c r="AB621">
        <f>IF(OR(AB$4="",$A621&gt;TODAY()),0,IF(OR(INDEX($B621:$D621,AB$5)="F",AND(AB$6&gt;0,$A621&lt;AB$6),AND(AB$7&gt;0,$A621&gt;AB$7)),0,MAX(0,ROUND((INDEX($E621:$G621,AB$5)-SUMIFS(TF_Timer,TF_Tekniker,AB$4,TF_Dato,$A621))*2,0)/2)))</f>
        <v/>
      </c>
      <c r="AC621">
        <f>IF(OR(AC$4="",$A621&gt;TODAY()),0,IF(OR(INDEX($B621:$D621,AC$5)="F",AND(AC$6&gt;0,$A621&lt;AC$6),AND(AC$7&gt;0,$A621&gt;AC$7)),0,MAX(0,ROUND((INDEX($E621:$G621,AC$5)-SUMIFS(TF_Timer,TF_Tekniker,AC$4,TF_Dato,$A621))*2,0)/2)))</f>
        <v/>
      </c>
      <c r="AD621">
        <f>IF(OR(AD$4="",$A621&gt;TODAY()),0,IF(OR(INDEX($B621:$D621,AD$5)="F",AND(AD$6&gt;0,$A621&lt;AD$6),AND(AD$7&gt;0,$A621&gt;AD$7)),0,MAX(0,ROUND((INDEX($E621:$G621,AD$5)-SUMIFS(TF_Timer,TF_Tekniker,AD$4,TF_Dato,$A621))*2,0)/2)))</f>
        <v/>
      </c>
      <c r="AE621">
        <f>IF(OR(AE$4="",$A621&gt;TODAY()),0,IF(OR(INDEX($B621:$D621,AE$5)="F",AND(AE$6&gt;0,$A621&lt;AE$6),AND(AE$7&gt;0,$A621&gt;AE$7)),0,MAX(0,ROUND((INDEX($E621:$G621,AE$5)-SUMIFS(TF_Timer,TF_Tekniker,AE$4,TF_Dato,$A621))*2,0)/2)))</f>
        <v/>
      </c>
      <c r="AF621">
        <f>IF(OR(AF$4="",$A621&gt;TODAY()),0,IF(OR(INDEX($B621:$D621,AF$5)="F",AND(AF$6&gt;0,$A621&lt;AF$6),AND(AF$7&gt;0,$A621&gt;AF$7)),0,MAX(0,ROUND((INDEX($E621:$G621,AF$5)-SUMIFS(TF_Timer,TF_Tekniker,AF$4,TF_Dato,$A621))*2,0)/2)))</f>
        <v/>
      </c>
      <c r="AG621">
        <f>IF(OR(AG$4="",$A621&gt;TODAY()),0,IF(OR(INDEX($B621:$D621,AG$5)="F",AND(AG$6&gt;0,$A621&lt;AG$6),AND(AG$7&gt;0,$A621&gt;AG$7)),0,MAX(0,ROUND((INDEX($E621:$G621,AG$5)-SUMIFS(TF_Timer,TF_Tekniker,AG$4,TF_Dato,$A621))*2,0)/2)))</f>
        <v/>
      </c>
      <c r="AH621">
        <f>IF(OR(AH$4="",$A621&gt;TODAY()),0,IF(OR(INDEX($B621:$D621,AH$5)="F",AND(AH$6&gt;0,$A621&lt;AH$6),AND(AH$7&gt;0,$A621&gt;AH$7)),0,MAX(0,ROUND((INDEX($E621:$G621,AH$5)-SUMIFS(TF_Timer,TF_Tekniker,AH$4,TF_Dato,$A621))*2,0)/2)))</f>
        <v/>
      </c>
      <c r="AI621">
        <f>IF(OR(AI$4="",$A621&gt;TODAY()),0,IF(OR(INDEX($B621:$D621,AI$5)="F",AND(AI$6&gt;0,$A621&lt;AI$6),AND(AI$7&gt;0,$A621&gt;AI$7)),0,MAX(0,ROUND((INDEX($E621:$G621,AI$5)-SUMIFS(TF_Timer,TF_Tekniker,AI$4,TF_Dato,$A621))*2,0)/2)))</f>
        <v/>
      </c>
      <c r="AJ621">
        <f>IF(OR(AJ$4="",$A621&gt;TODAY()),0,IF(OR(INDEX($B621:$D621,AJ$5)="F",AND(AJ$6&gt;0,$A621&lt;AJ$6),AND(AJ$7&gt;0,$A621&gt;AJ$7)),0,MAX(0,ROUND((INDEX($E621:$G621,AJ$5)-SUMIFS(TF_Timer,TF_Tekniker,AJ$4,TF_Dato,$A621))*2,0)/2)))</f>
        <v/>
      </c>
      <c r="AK621">
        <f>IF(OR(AK$4="",$A621&gt;TODAY()),0,IF(OR(INDEX($B621:$D621,AK$5)="F",AND(AK$6&gt;0,$A621&lt;AK$6),AND(AK$7&gt;0,$A621&gt;AK$7)),0,MAX(0,ROUND((INDEX($E621:$G621,AK$5)-SUMIFS(TF_Timer,TF_Tekniker,AK$4,TF_Dato,$A621))*2,0)/2)))</f>
        <v/>
      </c>
      <c r="AL621">
        <f>IF(OR(AL$4="",$A621&gt;TODAY()),0,IF(OR(INDEX($B621:$D621,AL$5)="F",AND(AL$6&gt;0,$A621&lt;AL$6),AND(AL$7&gt;0,$A621&gt;AL$7)),0,MAX(0,ROUND((INDEX($E621:$G621,AL$5)-SUMIFS(TF_Timer,TF_Tekniker,AL$4,TF_Dato,$A621))*2,0)/2)))</f>
        <v/>
      </c>
      <c r="AM621">
        <f>IF(OR(AM$4="",$A621&gt;TODAY()),0,IF(OR(INDEX($B621:$D621,AM$5)="F",AND(AM$6&gt;0,$A621&lt;AM$6),AND(AM$7&gt;0,$A621&gt;AM$7)),0,MAX(0,ROUND((INDEX($E621:$G621,AM$5)-SUMIFS(TF_Timer,TF_Tekniker,AM$4,TF_Dato,$A621))*2,0)/2)))</f>
        <v/>
      </c>
      <c r="AN621">
        <f>IF(OR(AN$4="",$A621&gt;TODAY()),0,IF(OR(INDEX($B621:$D621,AN$5)="F",AND(AN$6&gt;0,$A621&lt;AN$6),AND(AN$7&gt;0,$A621&gt;AN$7)),0,MAX(0,ROUND((INDEX($E621:$G621,AN$5)-SUMIFS(TF_Timer,TF_Tekniker,AN$4,TF_Dato,$A621))*2,0)/2)))</f>
        <v/>
      </c>
      <c r="AO621">
        <f>IF(OR(AO$4="",$A621&gt;TODAY()),0,IF(OR(INDEX($B621:$D621,AO$5)="F",AND(AO$6&gt;0,$A621&lt;AO$6),AND(AO$7&gt;0,$A621&gt;AO$7)),0,MAX(0,ROUND((INDEX($E621:$G621,AO$5)-SUMIFS(TF_Timer,TF_Tekniker,AO$4,TF_Dato,$A621))*2,0)/2)))</f>
        <v/>
      </c>
      <c r="AP621">
        <f>IF(OR(AP$4="",$A621&gt;TODAY()),0,IF(OR(INDEX($B621:$D621,AP$5)="F",AND(AP$6&gt;0,$A621&lt;AP$6),AND(AP$7&gt;0,$A621&gt;AP$7)),0,MAX(0,ROUND((INDEX($E621:$G621,AP$5)-SUMIFS(TF_Timer,TF_Tekniker,AP$4,TF_Dato,$A621))*2,0)/2)))</f>
        <v/>
      </c>
      <c r="AQ621">
        <f>IF(OR(AQ$4="",$A621&gt;TODAY()),0,IF(OR(INDEX($B621:$D621,AQ$5)="F",AND(AQ$6&gt;0,$A621&lt;AQ$6),AND(AQ$7&gt;0,$A621&gt;AQ$7)),0,MAX(0,ROUND((INDEX($E621:$G621,AQ$5)-SUMIFS(TF_Timer,TF_Tekniker,AQ$4,TF_Dato,$A621))*2,0)/2)))</f>
        <v/>
      </c>
      <c r="AR621">
        <f>IF(OR(AR$4="",$A621&gt;TODAY()),0,IF(OR(INDEX($B621:$D621,AR$5)="F",AND(AR$6&gt;0,$A621&lt;AR$6),AND(AR$7&gt;0,$A621&gt;AR$7)),0,MAX(0,ROUND((INDEX($E621:$G621,AR$5)-SUMIFS(TF_Timer,TF_Tekniker,AR$4,TF_Dato,$A621))*2,0)/2)))</f>
        <v/>
      </c>
      <c r="AS621">
        <f>IF(OR(AS$4="",$A621&gt;TODAY()),0,IF(OR(INDEX($B621:$D621,AS$5)="F",AND(AS$6&gt;0,$A621&lt;AS$6),AND(AS$7&gt;0,$A621&gt;AS$7)),0,MAX(0,ROUND((INDEX($E621:$G621,AS$5)-SUMIFS(TF_Timer,TF_Tekniker,AS$4,TF_Dato,$A621))*2,0)/2)))</f>
        <v/>
      </c>
      <c r="AT621">
        <f>IF(OR(AT$4="",$A621&gt;TODAY()),0,IF(OR(INDEX($B621:$D621,AT$5)="F",AND(AT$6&gt;0,$A621&lt;AT$6),AND(AT$7&gt;0,$A621&gt;AT$7)),0,MAX(0,ROUND((INDEX($E621:$G621,AT$5)-SUMIFS(TF_Timer,TF_Tekniker,AT$4,TF_Dato,$A621))*2,0)/2)))</f>
        <v/>
      </c>
      <c r="AU621">
        <f>IF(OR(AU$4="",$A621&gt;TODAY()),0,IF(OR(INDEX($B621:$D621,AU$5)="F",AND(AU$6&gt;0,$A621&lt;AU$6),AND(AU$7&gt;0,$A621&gt;AU$7)),0,MAX(0,ROUND((INDEX($E621:$G621,AU$5)-SUMIFS(TF_Timer,TF_Tekniker,AU$4,TF_Dato,$A621))*2,0)/2)))</f>
        <v/>
      </c>
      <c r="AV621">
        <f>IF(OR(AV$4="",$A621&gt;TODAY()),0,IF(OR(INDEX($B621:$D621,AV$5)="F",AND(AV$6&gt;0,$A621&lt;AV$6),AND(AV$7&gt;0,$A621&gt;AV$7)),0,MAX(0,ROUND((INDEX($E621:$G621,AV$5)-SUMIFS(TF_Timer,TF_Tekniker,AV$4,TF_Dato,$A621))*2,0)/2)))</f>
        <v/>
      </c>
      <c r="AW621">
        <f>IF(OR(AW$4="",$A621&gt;TODAY()),0,IF(OR(INDEX($B621:$D621,AW$5)="F",AND(AW$6&gt;0,$A621&lt;AW$6),AND(AW$7&gt;0,$A621&gt;AW$7)),0,MAX(0,ROUND((INDEX($E621:$G621,AW$5)-SUMIFS(TF_Timer,TF_Tekniker,AW$4,TF_Dato,$A621))*2,0)/2)))</f>
        <v/>
      </c>
      <c r="AX621">
        <f>IF(OR(AX$4="",$A621&gt;TODAY()),0,IF(OR(INDEX($B621:$D621,AX$5)="F",AND(AX$6&gt;0,$A621&lt;AX$6),AND(AX$7&gt;0,$A621&gt;AX$7)),0,MAX(0,ROUND((INDEX($E621:$G621,AX$5)-SUMIFS(TF_Timer,TF_Tekniker,AX$4,TF_Dato,$A621))*2,0)/2)))</f>
        <v/>
      </c>
      <c r="AY621">
        <f>IF(OR(AY$4="",$A621&gt;TODAY()),0,IF(OR(INDEX($B621:$D621,AY$5)="F",AND(AY$6&gt;0,$A621&lt;AY$6),AND(AY$7&gt;0,$A621&gt;AY$7)),0,MAX(0,ROUND((INDEX($E621:$G621,AY$5)-SUMIFS(TF_Timer,TF_Tekniker,AY$4,TF_Dato,$A621))*2,0)/2)))</f>
        <v/>
      </c>
      <c r="AZ621">
        <f>IF(OR(AZ$4="",$A621&gt;TODAY()),0,IF(OR(INDEX($B621:$D621,AZ$5)="F",AND(AZ$6&gt;0,$A621&lt;AZ$6),AND(AZ$7&gt;0,$A621&gt;AZ$7)),0,MAX(0,ROUND((INDEX($E621:$G621,AZ$5)-SUMIFS(TF_Timer,TF_Tekniker,AZ$4,TF_Dato,$A621))*2,0)/2)))</f>
        <v/>
      </c>
      <c r="BA621">
        <f>IF(OR(BA$4="",$A621&gt;TODAY()),0,IF(OR(INDEX($B621:$D621,BA$5)="F",AND(BA$6&gt;0,$A621&lt;BA$6),AND(BA$7&gt;0,$A621&gt;BA$7)),0,MAX(0,ROUND((INDEX($E621:$G621,BA$5)-SUMIFS(TF_Timer,TF_Tekniker,BA$4,TF_Dato,$A621))*2,0)/2)))</f>
        <v/>
      </c>
      <c r="BB621">
        <f>IF(OR(BB$4="",$A621&gt;TODAY()),0,IF(OR(INDEX($B621:$D621,BB$5)="F",AND(BB$6&gt;0,$A621&lt;BB$6),AND(BB$7&gt;0,$A621&gt;BB$7)),0,MAX(0,ROUND((INDEX($E621:$G621,BB$5)-SUMIFS(TF_Timer,TF_Tekniker,BB$4,TF_Dato,$A621))*2,0)/2)))</f>
        <v/>
      </c>
      <c r="BC621">
        <f>IF(OR(BC$4="",$A621&gt;TODAY()),0,IF(OR(INDEX($B621:$D621,BC$5)="F",AND(BC$6&gt;0,$A621&lt;BC$6),AND(BC$7&gt;0,$A621&gt;BC$7)),0,MAX(0,ROUND((INDEX($E621:$G621,BC$5)-SUMIFS(TF_Timer,TF_Tekniker,BC$4,TF_Dato,$A621))*2,0)/2)))</f>
        <v/>
      </c>
      <c r="BD621">
        <f>IF(OR(BD$4="",$A621&gt;TODAY()),0,IF(OR(INDEX($B621:$D621,BD$5)="F",AND(BD$6&gt;0,$A621&lt;BD$6),AND(BD$7&gt;0,$A621&gt;BD$7)),0,MAX(0,ROUND((INDEX($E621:$G621,BD$5)-SUMIFS(TF_Timer,TF_Tekniker,BD$4,TF_Dato,$A621))*2,0)/2)))</f>
        <v/>
      </c>
      <c r="BE621">
        <f>IF(OR(BE$4="",$A621&gt;TODAY()),0,IF(OR(INDEX($B621:$D621,BE$5)="F",AND(BE$6&gt;0,$A621&lt;BE$6),AND(BE$7&gt;0,$A621&gt;BE$7)),0,MAX(0,ROUND((INDEX($E621:$G621,BE$5)-SUMIFS(TF_Timer,TF_Tekniker,BE$4,TF_Dato,$A621))*2,0)/2)))</f>
        <v/>
      </c>
      <c r="BF621">
        <f>IF(OR(BF$4="",$A621&gt;TODAY()),0,IF(OR(INDEX($B621:$D621,BF$5)="F",AND(BF$6&gt;0,$A621&lt;BF$6),AND(BF$7&gt;0,$A621&gt;BF$7)),0,MAX(0,ROUND((INDEX($E621:$G621,BF$5)-SUMIFS(TF_Timer,TF_Tekniker,BF$4,TF_Dato,$A621))*2,0)/2)))</f>
        <v/>
      </c>
      <c r="BG621">
        <f>IF(OR(BG$4="",$A621&gt;TODAY()),0,IF(OR(INDEX($B621:$D621,BG$5)="F",AND(BG$6&gt;0,$A621&lt;BG$6),AND(BG$7&gt;0,$A621&gt;BG$7)),0,MAX(0,ROUND((INDEX($E621:$G621,BG$5)-SUMIFS(TF_Timer,TF_Tekniker,BG$4,TF_Dato,$A621))*2,0)/2)))</f>
        <v/>
      </c>
      <c r="BH621">
        <f>IF(OR(BH$4="",$A621&gt;TODAY()),0,IF(OR(INDEX($B621:$D621,BH$5)="F",AND(BH$6&gt;0,$A621&lt;BH$6),AND(BH$7&gt;0,$A621&gt;BH$7)),0,MAX(0,ROUND((INDEX($E621:$G621,BH$5)-SUMIFS(TF_Timer,TF_Tekniker,BH$4,TF_Dato,$A621))*2,0)/2)))</f>
        <v/>
      </c>
      <c r="BI621">
        <f>IF(OR(BI$4="",$A621&gt;TODAY()),0,IF(OR(INDEX($B621:$D621,BI$5)="F",AND(BI$6&gt;0,$A621&lt;BI$6),AND(BI$7&gt;0,$A621&gt;BI$7)),0,MAX(0,ROUND((INDEX($E621:$G621,BI$5)-SUMIFS(TF_Timer,TF_Tekniker,BI$4,TF_Dato,$A621))*2,0)/2)))</f>
        <v/>
      </c>
    </row>
    <row r="622">
      <c r="A622" s="64">
        <f>A621+1</f>
        <v/>
      </c>
      <c r="B622">
        <f>IF(MOD($A622-INDEX(SkiftStart,1),Syklus)&lt;DagK,"K",IF(MOD($A622-INDEX(SkiftStart,1),Syklus)&lt;DagK+DagH,"H",IF(MOD($A622-INDEX(SkiftStart,1),Syklus)&lt;DagK+DagH+DagD,"D","F")))</f>
        <v/>
      </c>
      <c r="C622">
        <f>IF(MOD($A622-INDEX(SkiftStart,2),Syklus)&lt;DagK,"K",IF(MOD($A622-INDEX(SkiftStart,2),Syklus)&lt;DagK+DagH,"H",IF(MOD($A622-INDEX(SkiftStart,2),Syklus)&lt;DagK+DagH+DagD,"D","F")))</f>
        <v/>
      </c>
      <c r="D622">
        <f>IF(MOD($A622-INDEX(SkiftStart,3),Syklus)&lt;DagK,"K",IF(MOD($A622-INDEX(SkiftStart,3),Syklus)&lt;DagK+DagH,"H",IF(MOD($A622-INDEX(SkiftStart,3),Syklus)&lt;DagK+DagH+DagD,"D","F")))</f>
        <v/>
      </c>
      <c r="E622">
        <f>IF(B622="F",0,IF(WEEKDAY($A622,2)=5,INDEX(TimerFr,MATCH(B622,FaseKode,0)),INDEX(TimerMT,MATCH(B622,FaseKode,0))))</f>
        <v/>
      </c>
      <c r="F622">
        <f>IF(C622="F",0,IF(WEEKDAY($A622,2)=5,INDEX(TimerFr,MATCH(C622,FaseKode,0)),INDEX(TimerMT,MATCH(C622,FaseKode,0))))</f>
        <v/>
      </c>
      <c r="G622">
        <f>IF(D622="F",0,IF(WEEKDAY($A622,2)=5,INDEX(TimerFr,MATCH(D622,FaseKode,0)),INDEX(TimerMT,MATCH(D622,FaseKode,0))))</f>
        <v/>
      </c>
      <c r="H622">
        <f>IF(OR(H$4="",$A622&gt;TODAY()),0,IF(OR(INDEX($B622:$D622,H$5)="F",AND(H$6&gt;0,$A622&lt;H$6),AND(H$7&gt;0,$A622&gt;H$7)),0,MAX(0,ROUND((INDEX($E622:$G622,H$5)-SUMIFS(TF_Timer,TF_Tekniker,H$4,TF_Dato,$A622))*2,0)/2)))</f>
        <v/>
      </c>
      <c r="I622">
        <f>IF(OR(I$4="",$A622&gt;TODAY()),0,IF(OR(INDEX($B622:$D622,I$5)="F",AND(I$6&gt;0,$A622&lt;I$6),AND(I$7&gt;0,$A622&gt;I$7)),0,MAX(0,ROUND((INDEX($E622:$G622,I$5)-SUMIFS(TF_Timer,TF_Tekniker,I$4,TF_Dato,$A622))*2,0)/2)))</f>
        <v/>
      </c>
      <c r="J622">
        <f>IF(OR(J$4="",$A622&gt;TODAY()),0,IF(OR(INDEX($B622:$D622,J$5)="F",AND(J$6&gt;0,$A622&lt;J$6),AND(J$7&gt;0,$A622&gt;J$7)),0,MAX(0,ROUND((INDEX($E622:$G622,J$5)-SUMIFS(TF_Timer,TF_Tekniker,J$4,TF_Dato,$A622))*2,0)/2)))</f>
        <v/>
      </c>
      <c r="K622">
        <f>IF(OR(K$4="",$A622&gt;TODAY()),0,IF(OR(INDEX($B622:$D622,K$5)="F",AND(K$6&gt;0,$A622&lt;K$6),AND(K$7&gt;0,$A622&gt;K$7)),0,MAX(0,ROUND((INDEX($E622:$G622,K$5)-SUMIFS(TF_Timer,TF_Tekniker,K$4,TF_Dato,$A622))*2,0)/2)))</f>
        <v/>
      </c>
      <c r="L622">
        <f>IF(OR(L$4="",$A622&gt;TODAY()),0,IF(OR(INDEX($B622:$D622,L$5)="F",AND(L$6&gt;0,$A622&lt;L$6),AND(L$7&gt;0,$A622&gt;L$7)),0,MAX(0,ROUND((INDEX($E622:$G622,L$5)-SUMIFS(TF_Timer,TF_Tekniker,L$4,TF_Dato,$A622))*2,0)/2)))</f>
        <v/>
      </c>
      <c r="M622">
        <f>IF(OR(M$4="",$A622&gt;TODAY()),0,IF(OR(INDEX($B622:$D622,M$5)="F",AND(M$6&gt;0,$A622&lt;M$6),AND(M$7&gt;0,$A622&gt;M$7)),0,MAX(0,ROUND((INDEX($E622:$G622,M$5)-SUMIFS(TF_Timer,TF_Tekniker,M$4,TF_Dato,$A622))*2,0)/2)))</f>
        <v/>
      </c>
      <c r="N622">
        <f>IF(OR(N$4="",$A622&gt;TODAY()),0,IF(OR(INDEX($B622:$D622,N$5)="F",AND(N$6&gt;0,$A622&lt;N$6),AND(N$7&gt;0,$A622&gt;N$7)),0,MAX(0,ROUND((INDEX($E622:$G622,N$5)-SUMIFS(TF_Timer,TF_Tekniker,N$4,TF_Dato,$A622))*2,0)/2)))</f>
        <v/>
      </c>
      <c r="O622">
        <f>IF(OR(O$4="",$A622&gt;TODAY()),0,IF(OR(INDEX($B622:$D622,O$5)="F",AND(O$6&gt;0,$A622&lt;O$6),AND(O$7&gt;0,$A622&gt;O$7)),0,MAX(0,ROUND((INDEX($E622:$G622,O$5)-SUMIFS(TF_Timer,TF_Tekniker,O$4,TF_Dato,$A622))*2,0)/2)))</f>
        <v/>
      </c>
      <c r="P622">
        <f>IF(OR(P$4="",$A622&gt;TODAY()),0,IF(OR(INDEX($B622:$D622,P$5)="F",AND(P$6&gt;0,$A622&lt;P$6),AND(P$7&gt;0,$A622&gt;P$7)),0,MAX(0,ROUND((INDEX($E622:$G622,P$5)-SUMIFS(TF_Timer,TF_Tekniker,P$4,TF_Dato,$A622))*2,0)/2)))</f>
        <v/>
      </c>
      <c r="Q622">
        <f>IF(OR(Q$4="",$A622&gt;TODAY()),0,IF(OR(INDEX($B622:$D622,Q$5)="F",AND(Q$6&gt;0,$A622&lt;Q$6),AND(Q$7&gt;0,$A622&gt;Q$7)),0,MAX(0,ROUND((INDEX($E622:$G622,Q$5)-SUMIFS(TF_Timer,TF_Tekniker,Q$4,TF_Dato,$A622))*2,0)/2)))</f>
        <v/>
      </c>
      <c r="R622">
        <f>IF(OR(R$4="",$A622&gt;TODAY()),0,IF(OR(INDEX($B622:$D622,R$5)="F",AND(R$6&gt;0,$A622&lt;R$6),AND(R$7&gt;0,$A622&gt;R$7)),0,MAX(0,ROUND((INDEX($E622:$G622,R$5)-SUMIFS(TF_Timer,TF_Tekniker,R$4,TF_Dato,$A622))*2,0)/2)))</f>
        <v/>
      </c>
      <c r="S622">
        <f>IF(OR(S$4="",$A622&gt;TODAY()),0,IF(OR(INDEX($B622:$D622,S$5)="F",AND(S$6&gt;0,$A622&lt;S$6),AND(S$7&gt;0,$A622&gt;S$7)),0,MAX(0,ROUND((INDEX($E622:$G622,S$5)-SUMIFS(TF_Timer,TF_Tekniker,S$4,TF_Dato,$A622))*2,0)/2)))</f>
        <v/>
      </c>
      <c r="T622">
        <f>IF(OR(T$4="",$A622&gt;TODAY()),0,IF(OR(INDEX($B622:$D622,T$5)="F",AND(T$6&gt;0,$A622&lt;T$6),AND(T$7&gt;0,$A622&gt;T$7)),0,MAX(0,ROUND((INDEX($E622:$G622,T$5)-SUMIFS(TF_Timer,TF_Tekniker,T$4,TF_Dato,$A622))*2,0)/2)))</f>
        <v/>
      </c>
      <c r="U622">
        <f>IF(OR(U$4="",$A622&gt;TODAY()),0,IF(OR(INDEX($B622:$D622,U$5)="F",AND(U$6&gt;0,$A622&lt;U$6),AND(U$7&gt;0,$A622&gt;U$7)),0,MAX(0,ROUND((INDEX($E622:$G622,U$5)-SUMIFS(TF_Timer,TF_Tekniker,U$4,TF_Dato,$A622))*2,0)/2)))</f>
        <v/>
      </c>
      <c r="V622">
        <f>IF(OR(V$4="",$A622&gt;TODAY()),0,IF(OR(INDEX($B622:$D622,V$5)="F",AND(V$6&gt;0,$A622&lt;V$6),AND(V$7&gt;0,$A622&gt;V$7)),0,MAX(0,ROUND((INDEX($E622:$G622,V$5)-SUMIFS(TF_Timer,TF_Tekniker,V$4,TF_Dato,$A622))*2,0)/2)))</f>
        <v/>
      </c>
      <c r="W622">
        <f>IF(OR(W$4="",$A622&gt;TODAY()),0,IF(OR(INDEX($B622:$D622,W$5)="F",AND(W$6&gt;0,$A622&lt;W$6),AND(W$7&gt;0,$A622&gt;W$7)),0,MAX(0,ROUND((INDEX($E622:$G622,W$5)-SUMIFS(TF_Timer,TF_Tekniker,W$4,TF_Dato,$A622))*2,0)/2)))</f>
        <v/>
      </c>
      <c r="X622">
        <f>IF(OR(X$4="",$A622&gt;TODAY()),0,IF(OR(INDEX($B622:$D622,X$5)="F",AND(X$6&gt;0,$A622&lt;X$6),AND(X$7&gt;0,$A622&gt;X$7)),0,MAX(0,ROUND((INDEX($E622:$G622,X$5)-SUMIFS(TF_Timer,TF_Tekniker,X$4,TF_Dato,$A622))*2,0)/2)))</f>
        <v/>
      </c>
      <c r="Y622">
        <f>IF(OR(Y$4="",$A622&gt;TODAY()),0,IF(OR(INDEX($B622:$D622,Y$5)="F",AND(Y$6&gt;0,$A622&lt;Y$6),AND(Y$7&gt;0,$A622&gt;Y$7)),0,MAX(0,ROUND((INDEX($E622:$G622,Y$5)-SUMIFS(TF_Timer,TF_Tekniker,Y$4,TF_Dato,$A622))*2,0)/2)))</f>
        <v/>
      </c>
      <c r="Z622">
        <f>IF(OR(Z$4="",$A622&gt;TODAY()),0,IF(OR(INDEX($B622:$D622,Z$5)="F",AND(Z$6&gt;0,$A622&lt;Z$6),AND(Z$7&gt;0,$A622&gt;Z$7)),0,MAX(0,ROUND((INDEX($E622:$G622,Z$5)-SUMIFS(TF_Timer,TF_Tekniker,Z$4,TF_Dato,$A622))*2,0)/2)))</f>
        <v/>
      </c>
      <c r="AA622">
        <f>IF(OR(AA$4="",$A622&gt;TODAY()),0,IF(OR(INDEX($B622:$D622,AA$5)="F",AND(AA$6&gt;0,$A622&lt;AA$6),AND(AA$7&gt;0,$A622&gt;AA$7)),0,MAX(0,ROUND((INDEX($E622:$G622,AA$5)-SUMIFS(TF_Timer,TF_Tekniker,AA$4,TF_Dato,$A622))*2,0)/2)))</f>
        <v/>
      </c>
      <c r="AB622">
        <f>IF(OR(AB$4="",$A622&gt;TODAY()),0,IF(OR(INDEX($B622:$D622,AB$5)="F",AND(AB$6&gt;0,$A622&lt;AB$6),AND(AB$7&gt;0,$A622&gt;AB$7)),0,MAX(0,ROUND((INDEX($E622:$G622,AB$5)-SUMIFS(TF_Timer,TF_Tekniker,AB$4,TF_Dato,$A622))*2,0)/2)))</f>
        <v/>
      </c>
      <c r="AC622">
        <f>IF(OR(AC$4="",$A622&gt;TODAY()),0,IF(OR(INDEX($B622:$D622,AC$5)="F",AND(AC$6&gt;0,$A622&lt;AC$6),AND(AC$7&gt;0,$A622&gt;AC$7)),0,MAX(0,ROUND((INDEX($E622:$G622,AC$5)-SUMIFS(TF_Timer,TF_Tekniker,AC$4,TF_Dato,$A622))*2,0)/2)))</f>
        <v/>
      </c>
      <c r="AD622">
        <f>IF(OR(AD$4="",$A622&gt;TODAY()),0,IF(OR(INDEX($B622:$D622,AD$5)="F",AND(AD$6&gt;0,$A622&lt;AD$6),AND(AD$7&gt;0,$A622&gt;AD$7)),0,MAX(0,ROUND((INDEX($E622:$G622,AD$5)-SUMIFS(TF_Timer,TF_Tekniker,AD$4,TF_Dato,$A622))*2,0)/2)))</f>
        <v/>
      </c>
      <c r="AE622">
        <f>IF(OR(AE$4="",$A622&gt;TODAY()),0,IF(OR(INDEX($B622:$D622,AE$5)="F",AND(AE$6&gt;0,$A622&lt;AE$6),AND(AE$7&gt;0,$A622&gt;AE$7)),0,MAX(0,ROUND((INDEX($E622:$G622,AE$5)-SUMIFS(TF_Timer,TF_Tekniker,AE$4,TF_Dato,$A622))*2,0)/2)))</f>
        <v/>
      </c>
      <c r="AF622">
        <f>IF(OR(AF$4="",$A622&gt;TODAY()),0,IF(OR(INDEX($B622:$D622,AF$5)="F",AND(AF$6&gt;0,$A622&lt;AF$6),AND(AF$7&gt;0,$A622&gt;AF$7)),0,MAX(0,ROUND((INDEX($E622:$G622,AF$5)-SUMIFS(TF_Timer,TF_Tekniker,AF$4,TF_Dato,$A622))*2,0)/2)))</f>
        <v/>
      </c>
      <c r="AG622">
        <f>IF(OR(AG$4="",$A622&gt;TODAY()),0,IF(OR(INDEX($B622:$D622,AG$5)="F",AND(AG$6&gt;0,$A622&lt;AG$6),AND(AG$7&gt;0,$A622&gt;AG$7)),0,MAX(0,ROUND((INDEX($E622:$G622,AG$5)-SUMIFS(TF_Timer,TF_Tekniker,AG$4,TF_Dato,$A622))*2,0)/2)))</f>
        <v/>
      </c>
      <c r="AH622">
        <f>IF(OR(AH$4="",$A622&gt;TODAY()),0,IF(OR(INDEX($B622:$D622,AH$5)="F",AND(AH$6&gt;0,$A622&lt;AH$6),AND(AH$7&gt;0,$A622&gt;AH$7)),0,MAX(0,ROUND((INDEX($E622:$G622,AH$5)-SUMIFS(TF_Timer,TF_Tekniker,AH$4,TF_Dato,$A622))*2,0)/2)))</f>
        <v/>
      </c>
      <c r="AI622">
        <f>IF(OR(AI$4="",$A622&gt;TODAY()),0,IF(OR(INDEX($B622:$D622,AI$5)="F",AND(AI$6&gt;0,$A622&lt;AI$6),AND(AI$7&gt;0,$A622&gt;AI$7)),0,MAX(0,ROUND((INDEX($E622:$G622,AI$5)-SUMIFS(TF_Timer,TF_Tekniker,AI$4,TF_Dato,$A622))*2,0)/2)))</f>
        <v/>
      </c>
      <c r="AJ622">
        <f>IF(OR(AJ$4="",$A622&gt;TODAY()),0,IF(OR(INDEX($B622:$D622,AJ$5)="F",AND(AJ$6&gt;0,$A622&lt;AJ$6),AND(AJ$7&gt;0,$A622&gt;AJ$7)),0,MAX(0,ROUND((INDEX($E622:$G622,AJ$5)-SUMIFS(TF_Timer,TF_Tekniker,AJ$4,TF_Dato,$A622))*2,0)/2)))</f>
        <v/>
      </c>
      <c r="AK622">
        <f>IF(OR(AK$4="",$A622&gt;TODAY()),0,IF(OR(INDEX($B622:$D622,AK$5)="F",AND(AK$6&gt;0,$A622&lt;AK$6),AND(AK$7&gt;0,$A622&gt;AK$7)),0,MAX(0,ROUND((INDEX($E622:$G622,AK$5)-SUMIFS(TF_Timer,TF_Tekniker,AK$4,TF_Dato,$A622))*2,0)/2)))</f>
        <v/>
      </c>
      <c r="AL622">
        <f>IF(OR(AL$4="",$A622&gt;TODAY()),0,IF(OR(INDEX($B622:$D622,AL$5)="F",AND(AL$6&gt;0,$A622&lt;AL$6),AND(AL$7&gt;0,$A622&gt;AL$7)),0,MAX(0,ROUND((INDEX($E622:$G622,AL$5)-SUMIFS(TF_Timer,TF_Tekniker,AL$4,TF_Dato,$A622))*2,0)/2)))</f>
        <v/>
      </c>
      <c r="AM622">
        <f>IF(OR(AM$4="",$A622&gt;TODAY()),0,IF(OR(INDEX($B622:$D622,AM$5)="F",AND(AM$6&gt;0,$A622&lt;AM$6),AND(AM$7&gt;0,$A622&gt;AM$7)),0,MAX(0,ROUND((INDEX($E622:$G622,AM$5)-SUMIFS(TF_Timer,TF_Tekniker,AM$4,TF_Dato,$A622))*2,0)/2)))</f>
        <v/>
      </c>
      <c r="AN622">
        <f>IF(OR(AN$4="",$A622&gt;TODAY()),0,IF(OR(INDEX($B622:$D622,AN$5)="F",AND(AN$6&gt;0,$A622&lt;AN$6),AND(AN$7&gt;0,$A622&gt;AN$7)),0,MAX(0,ROUND((INDEX($E622:$G622,AN$5)-SUMIFS(TF_Timer,TF_Tekniker,AN$4,TF_Dato,$A622))*2,0)/2)))</f>
        <v/>
      </c>
      <c r="AO622">
        <f>IF(OR(AO$4="",$A622&gt;TODAY()),0,IF(OR(INDEX($B622:$D622,AO$5)="F",AND(AO$6&gt;0,$A622&lt;AO$6),AND(AO$7&gt;0,$A622&gt;AO$7)),0,MAX(0,ROUND((INDEX($E622:$G622,AO$5)-SUMIFS(TF_Timer,TF_Tekniker,AO$4,TF_Dato,$A622))*2,0)/2)))</f>
        <v/>
      </c>
      <c r="AP622">
        <f>IF(OR(AP$4="",$A622&gt;TODAY()),0,IF(OR(INDEX($B622:$D622,AP$5)="F",AND(AP$6&gt;0,$A622&lt;AP$6),AND(AP$7&gt;0,$A622&gt;AP$7)),0,MAX(0,ROUND((INDEX($E622:$G622,AP$5)-SUMIFS(TF_Timer,TF_Tekniker,AP$4,TF_Dato,$A622))*2,0)/2)))</f>
        <v/>
      </c>
      <c r="AQ622">
        <f>IF(OR(AQ$4="",$A622&gt;TODAY()),0,IF(OR(INDEX($B622:$D622,AQ$5)="F",AND(AQ$6&gt;0,$A622&lt;AQ$6),AND(AQ$7&gt;0,$A622&gt;AQ$7)),0,MAX(0,ROUND((INDEX($E622:$G622,AQ$5)-SUMIFS(TF_Timer,TF_Tekniker,AQ$4,TF_Dato,$A622))*2,0)/2)))</f>
        <v/>
      </c>
      <c r="AR622">
        <f>IF(OR(AR$4="",$A622&gt;TODAY()),0,IF(OR(INDEX($B622:$D622,AR$5)="F",AND(AR$6&gt;0,$A622&lt;AR$6),AND(AR$7&gt;0,$A622&gt;AR$7)),0,MAX(0,ROUND((INDEX($E622:$G622,AR$5)-SUMIFS(TF_Timer,TF_Tekniker,AR$4,TF_Dato,$A622))*2,0)/2)))</f>
        <v/>
      </c>
      <c r="AS622">
        <f>IF(OR(AS$4="",$A622&gt;TODAY()),0,IF(OR(INDEX($B622:$D622,AS$5)="F",AND(AS$6&gt;0,$A622&lt;AS$6),AND(AS$7&gt;0,$A622&gt;AS$7)),0,MAX(0,ROUND((INDEX($E622:$G622,AS$5)-SUMIFS(TF_Timer,TF_Tekniker,AS$4,TF_Dato,$A622))*2,0)/2)))</f>
        <v/>
      </c>
      <c r="AT622">
        <f>IF(OR(AT$4="",$A622&gt;TODAY()),0,IF(OR(INDEX($B622:$D622,AT$5)="F",AND(AT$6&gt;0,$A622&lt;AT$6),AND(AT$7&gt;0,$A622&gt;AT$7)),0,MAX(0,ROUND((INDEX($E622:$G622,AT$5)-SUMIFS(TF_Timer,TF_Tekniker,AT$4,TF_Dato,$A622))*2,0)/2)))</f>
        <v/>
      </c>
      <c r="AU622">
        <f>IF(OR(AU$4="",$A622&gt;TODAY()),0,IF(OR(INDEX($B622:$D622,AU$5)="F",AND(AU$6&gt;0,$A622&lt;AU$6),AND(AU$7&gt;0,$A622&gt;AU$7)),0,MAX(0,ROUND((INDEX($E622:$G622,AU$5)-SUMIFS(TF_Timer,TF_Tekniker,AU$4,TF_Dato,$A622))*2,0)/2)))</f>
        <v/>
      </c>
      <c r="AV622">
        <f>IF(OR(AV$4="",$A622&gt;TODAY()),0,IF(OR(INDEX($B622:$D622,AV$5)="F",AND(AV$6&gt;0,$A622&lt;AV$6),AND(AV$7&gt;0,$A622&gt;AV$7)),0,MAX(0,ROUND((INDEX($E622:$G622,AV$5)-SUMIFS(TF_Timer,TF_Tekniker,AV$4,TF_Dato,$A622))*2,0)/2)))</f>
        <v/>
      </c>
      <c r="AW622">
        <f>IF(OR(AW$4="",$A622&gt;TODAY()),0,IF(OR(INDEX($B622:$D622,AW$5)="F",AND(AW$6&gt;0,$A622&lt;AW$6),AND(AW$7&gt;0,$A622&gt;AW$7)),0,MAX(0,ROUND((INDEX($E622:$G622,AW$5)-SUMIFS(TF_Timer,TF_Tekniker,AW$4,TF_Dato,$A622))*2,0)/2)))</f>
        <v/>
      </c>
      <c r="AX622">
        <f>IF(OR(AX$4="",$A622&gt;TODAY()),0,IF(OR(INDEX($B622:$D622,AX$5)="F",AND(AX$6&gt;0,$A622&lt;AX$6),AND(AX$7&gt;0,$A622&gt;AX$7)),0,MAX(0,ROUND((INDEX($E622:$G622,AX$5)-SUMIFS(TF_Timer,TF_Tekniker,AX$4,TF_Dato,$A622))*2,0)/2)))</f>
        <v/>
      </c>
      <c r="AY622">
        <f>IF(OR(AY$4="",$A622&gt;TODAY()),0,IF(OR(INDEX($B622:$D622,AY$5)="F",AND(AY$6&gt;0,$A622&lt;AY$6),AND(AY$7&gt;0,$A622&gt;AY$7)),0,MAX(0,ROUND((INDEX($E622:$G622,AY$5)-SUMIFS(TF_Timer,TF_Tekniker,AY$4,TF_Dato,$A622))*2,0)/2)))</f>
        <v/>
      </c>
      <c r="AZ622">
        <f>IF(OR(AZ$4="",$A622&gt;TODAY()),0,IF(OR(INDEX($B622:$D622,AZ$5)="F",AND(AZ$6&gt;0,$A622&lt;AZ$6),AND(AZ$7&gt;0,$A622&gt;AZ$7)),0,MAX(0,ROUND((INDEX($E622:$G622,AZ$5)-SUMIFS(TF_Timer,TF_Tekniker,AZ$4,TF_Dato,$A622))*2,0)/2)))</f>
        <v/>
      </c>
      <c r="BA622">
        <f>IF(OR(BA$4="",$A622&gt;TODAY()),0,IF(OR(INDEX($B622:$D622,BA$5)="F",AND(BA$6&gt;0,$A622&lt;BA$6),AND(BA$7&gt;0,$A622&gt;BA$7)),0,MAX(0,ROUND((INDEX($E622:$G622,BA$5)-SUMIFS(TF_Timer,TF_Tekniker,BA$4,TF_Dato,$A622))*2,0)/2)))</f>
        <v/>
      </c>
      <c r="BB622">
        <f>IF(OR(BB$4="",$A622&gt;TODAY()),0,IF(OR(INDEX($B622:$D622,BB$5)="F",AND(BB$6&gt;0,$A622&lt;BB$6),AND(BB$7&gt;0,$A622&gt;BB$7)),0,MAX(0,ROUND((INDEX($E622:$G622,BB$5)-SUMIFS(TF_Timer,TF_Tekniker,BB$4,TF_Dato,$A622))*2,0)/2)))</f>
        <v/>
      </c>
      <c r="BC622">
        <f>IF(OR(BC$4="",$A622&gt;TODAY()),0,IF(OR(INDEX($B622:$D622,BC$5)="F",AND(BC$6&gt;0,$A622&lt;BC$6),AND(BC$7&gt;0,$A622&gt;BC$7)),0,MAX(0,ROUND((INDEX($E622:$G622,BC$5)-SUMIFS(TF_Timer,TF_Tekniker,BC$4,TF_Dato,$A622))*2,0)/2)))</f>
        <v/>
      </c>
      <c r="BD622">
        <f>IF(OR(BD$4="",$A622&gt;TODAY()),0,IF(OR(INDEX($B622:$D622,BD$5)="F",AND(BD$6&gt;0,$A622&lt;BD$6),AND(BD$7&gt;0,$A622&gt;BD$7)),0,MAX(0,ROUND((INDEX($E622:$G622,BD$5)-SUMIFS(TF_Timer,TF_Tekniker,BD$4,TF_Dato,$A622))*2,0)/2)))</f>
        <v/>
      </c>
      <c r="BE622">
        <f>IF(OR(BE$4="",$A622&gt;TODAY()),0,IF(OR(INDEX($B622:$D622,BE$5)="F",AND(BE$6&gt;0,$A622&lt;BE$6),AND(BE$7&gt;0,$A622&gt;BE$7)),0,MAX(0,ROUND((INDEX($E622:$G622,BE$5)-SUMIFS(TF_Timer,TF_Tekniker,BE$4,TF_Dato,$A622))*2,0)/2)))</f>
        <v/>
      </c>
      <c r="BF622">
        <f>IF(OR(BF$4="",$A622&gt;TODAY()),0,IF(OR(INDEX($B622:$D622,BF$5)="F",AND(BF$6&gt;0,$A622&lt;BF$6),AND(BF$7&gt;0,$A622&gt;BF$7)),0,MAX(0,ROUND((INDEX($E622:$G622,BF$5)-SUMIFS(TF_Timer,TF_Tekniker,BF$4,TF_Dato,$A622))*2,0)/2)))</f>
        <v/>
      </c>
      <c r="BG622">
        <f>IF(OR(BG$4="",$A622&gt;TODAY()),0,IF(OR(INDEX($B622:$D622,BG$5)="F",AND(BG$6&gt;0,$A622&lt;BG$6),AND(BG$7&gt;0,$A622&gt;BG$7)),0,MAX(0,ROUND((INDEX($E622:$G622,BG$5)-SUMIFS(TF_Timer,TF_Tekniker,BG$4,TF_Dato,$A622))*2,0)/2)))</f>
        <v/>
      </c>
      <c r="BH622">
        <f>IF(OR(BH$4="",$A622&gt;TODAY()),0,IF(OR(INDEX($B622:$D622,BH$5)="F",AND(BH$6&gt;0,$A622&lt;BH$6),AND(BH$7&gt;0,$A622&gt;BH$7)),0,MAX(0,ROUND((INDEX($E622:$G622,BH$5)-SUMIFS(TF_Timer,TF_Tekniker,BH$4,TF_Dato,$A622))*2,0)/2)))</f>
        <v/>
      </c>
      <c r="BI622">
        <f>IF(OR(BI$4="",$A622&gt;TODAY()),0,IF(OR(INDEX($B622:$D622,BI$5)="F",AND(BI$6&gt;0,$A622&lt;BI$6),AND(BI$7&gt;0,$A622&gt;BI$7)),0,MAX(0,ROUND((INDEX($E622:$G622,BI$5)-SUMIFS(TF_Timer,TF_Tekniker,BI$4,TF_Dato,$A622))*2,0)/2)))</f>
        <v/>
      </c>
    </row>
    <row r="623">
      <c r="A623" s="64">
        <f>A622+1</f>
        <v/>
      </c>
      <c r="B623">
        <f>IF(MOD($A623-INDEX(SkiftStart,1),Syklus)&lt;DagK,"K",IF(MOD($A623-INDEX(SkiftStart,1),Syklus)&lt;DagK+DagH,"H",IF(MOD($A623-INDEX(SkiftStart,1),Syklus)&lt;DagK+DagH+DagD,"D","F")))</f>
        <v/>
      </c>
      <c r="C623">
        <f>IF(MOD($A623-INDEX(SkiftStart,2),Syklus)&lt;DagK,"K",IF(MOD($A623-INDEX(SkiftStart,2),Syklus)&lt;DagK+DagH,"H",IF(MOD($A623-INDEX(SkiftStart,2),Syklus)&lt;DagK+DagH+DagD,"D","F")))</f>
        <v/>
      </c>
      <c r="D623">
        <f>IF(MOD($A623-INDEX(SkiftStart,3),Syklus)&lt;DagK,"K",IF(MOD($A623-INDEX(SkiftStart,3),Syklus)&lt;DagK+DagH,"H",IF(MOD($A623-INDEX(SkiftStart,3),Syklus)&lt;DagK+DagH+DagD,"D","F")))</f>
        <v/>
      </c>
      <c r="E623">
        <f>IF(B623="F",0,IF(WEEKDAY($A623,2)=5,INDEX(TimerFr,MATCH(B623,FaseKode,0)),INDEX(TimerMT,MATCH(B623,FaseKode,0))))</f>
        <v/>
      </c>
      <c r="F623">
        <f>IF(C623="F",0,IF(WEEKDAY($A623,2)=5,INDEX(TimerFr,MATCH(C623,FaseKode,0)),INDEX(TimerMT,MATCH(C623,FaseKode,0))))</f>
        <v/>
      </c>
      <c r="G623">
        <f>IF(D623="F",0,IF(WEEKDAY($A623,2)=5,INDEX(TimerFr,MATCH(D623,FaseKode,0)),INDEX(TimerMT,MATCH(D623,FaseKode,0))))</f>
        <v/>
      </c>
      <c r="H623">
        <f>IF(OR(H$4="",$A623&gt;TODAY()),0,IF(OR(INDEX($B623:$D623,H$5)="F",AND(H$6&gt;0,$A623&lt;H$6),AND(H$7&gt;0,$A623&gt;H$7)),0,MAX(0,ROUND((INDEX($E623:$G623,H$5)-SUMIFS(TF_Timer,TF_Tekniker,H$4,TF_Dato,$A623))*2,0)/2)))</f>
        <v/>
      </c>
      <c r="I623">
        <f>IF(OR(I$4="",$A623&gt;TODAY()),0,IF(OR(INDEX($B623:$D623,I$5)="F",AND(I$6&gt;0,$A623&lt;I$6),AND(I$7&gt;0,$A623&gt;I$7)),0,MAX(0,ROUND((INDEX($E623:$G623,I$5)-SUMIFS(TF_Timer,TF_Tekniker,I$4,TF_Dato,$A623))*2,0)/2)))</f>
        <v/>
      </c>
      <c r="J623">
        <f>IF(OR(J$4="",$A623&gt;TODAY()),0,IF(OR(INDEX($B623:$D623,J$5)="F",AND(J$6&gt;0,$A623&lt;J$6),AND(J$7&gt;0,$A623&gt;J$7)),0,MAX(0,ROUND((INDEX($E623:$G623,J$5)-SUMIFS(TF_Timer,TF_Tekniker,J$4,TF_Dato,$A623))*2,0)/2)))</f>
        <v/>
      </c>
      <c r="K623">
        <f>IF(OR(K$4="",$A623&gt;TODAY()),0,IF(OR(INDEX($B623:$D623,K$5)="F",AND(K$6&gt;0,$A623&lt;K$6),AND(K$7&gt;0,$A623&gt;K$7)),0,MAX(0,ROUND((INDEX($E623:$G623,K$5)-SUMIFS(TF_Timer,TF_Tekniker,K$4,TF_Dato,$A623))*2,0)/2)))</f>
        <v/>
      </c>
      <c r="L623">
        <f>IF(OR(L$4="",$A623&gt;TODAY()),0,IF(OR(INDEX($B623:$D623,L$5)="F",AND(L$6&gt;0,$A623&lt;L$6),AND(L$7&gt;0,$A623&gt;L$7)),0,MAX(0,ROUND((INDEX($E623:$G623,L$5)-SUMIFS(TF_Timer,TF_Tekniker,L$4,TF_Dato,$A623))*2,0)/2)))</f>
        <v/>
      </c>
      <c r="M623">
        <f>IF(OR(M$4="",$A623&gt;TODAY()),0,IF(OR(INDEX($B623:$D623,M$5)="F",AND(M$6&gt;0,$A623&lt;M$6),AND(M$7&gt;0,$A623&gt;M$7)),0,MAX(0,ROUND((INDEX($E623:$G623,M$5)-SUMIFS(TF_Timer,TF_Tekniker,M$4,TF_Dato,$A623))*2,0)/2)))</f>
        <v/>
      </c>
      <c r="N623">
        <f>IF(OR(N$4="",$A623&gt;TODAY()),0,IF(OR(INDEX($B623:$D623,N$5)="F",AND(N$6&gt;0,$A623&lt;N$6),AND(N$7&gt;0,$A623&gt;N$7)),0,MAX(0,ROUND((INDEX($E623:$G623,N$5)-SUMIFS(TF_Timer,TF_Tekniker,N$4,TF_Dato,$A623))*2,0)/2)))</f>
        <v/>
      </c>
      <c r="O623">
        <f>IF(OR(O$4="",$A623&gt;TODAY()),0,IF(OR(INDEX($B623:$D623,O$5)="F",AND(O$6&gt;0,$A623&lt;O$6),AND(O$7&gt;0,$A623&gt;O$7)),0,MAX(0,ROUND((INDEX($E623:$G623,O$5)-SUMIFS(TF_Timer,TF_Tekniker,O$4,TF_Dato,$A623))*2,0)/2)))</f>
        <v/>
      </c>
      <c r="P623">
        <f>IF(OR(P$4="",$A623&gt;TODAY()),0,IF(OR(INDEX($B623:$D623,P$5)="F",AND(P$6&gt;0,$A623&lt;P$6),AND(P$7&gt;0,$A623&gt;P$7)),0,MAX(0,ROUND((INDEX($E623:$G623,P$5)-SUMIFS(TF_Timer,TF_Tekniker,P$4,TF_Dato,$A623))*2,0)/2)))</f>
        <v/>
      </c>
      <c r="Q623">
        <f>IF(OR(Q$4="",$A623&gt;TODAY()),0,IF(OR(INDEX($B623:$D623,Q$5)="F",AND(Q$6&gt;0,$A623&lt;Q$6),AND(Q$7&gt;0,$A623&gt;Q$7)),0,MAX(0,ROUND((INDEX($E623:$G623,Q$5)-SUMIFS(TF_Timer,TF_Tekniker,Q$4,TF_Dato,$A623))*2,0)/2)))</f>
        <v/>
      </c>
      <c r="R623">
        <f>IF(OR(R$4="",$A623&gt;TODAY()),0,IF(OR(INDEX($B623:$D623,R$5)="F",AND(R$6&gt;0,$A623&lt;R$6),AND(R$7&gt;0,$A623&gt;R$7)),0,MAX(0,ROUND((INDEX($E623:$G623,R$5)-SUMIFS(TF_Timer,TF_Tekniker,R$4,TF_Dato,$A623))*2,0)/2)))</f>
        <v/>
      </c>
      <c r="S623">
        <f>IF(OR(S$4="",$A623&gt;TODAY()),0,IF(OR(INDEX($B623:$D623,S$5)="F",AND(S$6&gt;0,$A623&lt;S$6),AND(S$7&gt;0,$A623&gt;S$7)),0,MAX(0,ROUND((INDEX($E623:$G623,S$5)-SUMIFS(TF_Timer,TF_Tekniker,S$4,TF_Dato,$A623))*2,0)/2)))</f>
        <v/>
      </c>
      <c r="T623">
        <f>IF(OR(T$4="",$A623&gt;TODAY()),0,IF(OR(INDEX($B623:$D623,T$5)="F",AND(T$6&gt;0,$A623&lt;T$6),AND(T$7&gt;0,$A623&gt;T$7)),0,MAX(0,ROUND((INDEX($E623:$G623,T$5)-SUMIFS(TF_Timer,TF_Tekniker,T$4,TF_Dato,$A623))*2,0)/2)))</f>
        <v/>
      </c>
      <c r="U623">
        <f>IF(OR(U$4="",$A623&gt;TODAY()),0,IF(OR(INDEX($B623:$D623,U$5)="F",AND(U$6&gt;0,$A623&lt;U$6),AND(U$7&gt;0,$A623&gt;U$7)),0,MAX(0,ROUND((INDEX($E623:$G623,U$5)-SUMIFS(TF_Timer,TF_Tekniker,U$4,TF_Dato,$A623))*2,0)/2)))</f>
        <v/>
      </c>
      <c r="V623">
        <f>IF(OR(V$4="",$A623&gt;TODAY()),0,IF(OR(INDEX($B623:$D623,V$5)="F",AND(V$6&gt;0,$A623&lt;V$6),AND(V$7&gt;0,$A623&gt;V$7)),0,MAX(0,ROUND((INDEX($E623:$G623,V$5)-SUMIFS(TF_Timer,TF_Tekniker,V$4,TF_Dato,$A623))*2,0)/2)))</f>
        <v/>
      </c>
      <c r="W623">
        <f>IF(OR(W$4="",$A623&gt;TODAY()),0,IF(OR(INDEX($B623:$D623,W$5)="F",AND(W$6&gt;0,$A623&lt;W$6),AND(W$7&gt;0,$A623&gt;W$7)),0,MAX(0,ROUND((INDEX($E623:$G623,W$5)-SUMIFS(TF_Timer,TF_Tekniker,W$4,TF_Dato,$A623))*2,0)/2)))</f>
        <v/>
      </c>
      <c r="X623">
        <f>IF(OR(X$4="",$A623&gt;TODAY()),0,IF(OR(INDEX($B623:$D623,X$5)="F",AND(X$6&gt;0,$A623&lt;X$6),AND(X$7&gt;0,$A623&gt;X$7)),0,MAX(0,ROUND((INDEX($E623:$G623,X$5)-SUMIFS(TF_Timer,TF_Tekniker,X$4,TF_Dato,$A623))*2,0)/2)))</f>
        <v/>
      </c>
      <c r="Y623">
        <f>IF(OR(Y$4="",$A623&gt;TODAY()),0,IF(OR(INDEX($B623:$D623,Y$5)="F",AND(Y$6&gt;0,$A623&lt;Y$6),AND(Y$7&gt;0,$A623&gt;Y$7)),0,MAX(0,ROUND((INDEX($E623:$G623,Y$5)-SUMIFS(TF_Timer,TF_Tekniker,Y$4,TF_Dato,$A623))*2,0)/2)))</f>
        <v/>
      </c>
      <c r="Z623">
        <f>IF(OR(Z$4="",$A623&gt;TODAY()),0,IF(OR(INDEX($B623:$D623,Z$5)="F",AND(Z$6&gt;0,$A623&lt;Z$6),AND(Z$7&gt;0,$A623&gt;Z$7)),0,MAX(0,ROUND((INDEX($E623:$G623,Z$5)-SUMIFS(TF_Timer,TF_Tekniker,Z$4,TF_Dato,$A623))*2,0)/2)))</f>
        <v/>
      </c>
      <c r="AA623">
        <f>IF(OR(AA$4="",$A623&gt;TODAY()),0,IF(OR(INDEX($B623:$D623,AA$5)="F",AND(AA$6&gt;0,$A623&lt;AA$6),AND(AA$7&gt;0,$A623&gt;AA$7)),0,MAX(0,ROUND((INDEX($E623:$G623,AA$5)-SUMIFS(TF_Timer,TF_Tekniker,AA$4,TF_Dato,$A623))*2,0)/2)))</f>
        <v/>
      </c>
      <c r="AB623">
        <f>IF(OR(AB$4="",$A623&gt;TODAY()),0,IF(OR(INDEX($B623:$D623,AB$5)="F",AND(AB$6&gt;0,$A623&lt;AB$6),AND(AB$7&gt;0,$A623&gt;AB$7)),0,MAX(0,ROUND((INDEX($E623:$G623,AB$5)-SUMIFS(TF_Timer,TF_Tekniker,AB$4,TF_Dato,$A623))*2,0)/2)))</f>
        <v/>
      </c>
      <c r="AC623">
        <f>IF(OR(AC$4="",$A623&gt;TODAY()),0,IF(OR(INDEX($B623:$D623,AC$5)="F",AND(AC$6&gt;0,$A623&lt;AC$6),AND(AC$7&gt;0,$A623&gt;AC$7)),0,MAX(0,ROUND((INDEX($E623:$G623,AC$5)-SUMIFS(TF_Timer,TF_Tekniker,AC$4,TF_Dato,$A623))*2,0)/2)))</f>
        <v/>
      </c>
      <c r="AD623">
        <f>IF(OR(AD$4="",$A623&gt;TODAY()),0,IF(OR(INDEX($B623:$D623,AD$5)="F",AND(AD$6&gt;0,$A623&lt;AD$6),AND(AD$7&gt;0,$A623&gt;AD$7)),0,MAX(0,ROUND((INDEX($E623:$G623,AD$5)-SUMIFS(TF_Timer,TF_Tekniker,AD$4,TF_Dato,$A623))*2,0)/2)))</f>
        <v/>
      </c>
      <c r="AE623">
        <f>IF(OR(AE$4="",$A623&gt;TODAY()),0,IF(OR(INDEX($B623:$D623,AE$5)="F",AND(AE$6&gt;0,$A623&lt;AE$6),AND(AE$7&gt;0,$A623&gt;AE$7)),0,MAX(0,ROUND((INDEX($E623:$G623,AE$5)-SUMIFS(TF_Timer,TF_Tekniker,AE$4,TF_Dato,$A623))*2,0)/2)))</f>
        <v/>
      </c>
      <c r="AF623">
        <f>IF(OR(AF$4="",$A623&gt;TODAY()),0,IF(OR(INDEX($B623:$D623,AF$5)="F",AND(AF$6&gt;0,$A623&lt;AF$6),AND(AF$7&gt;0,$A623&gt;AF$7)),0,MAX(0,ROUND((INDEX($E623:$G623,AF$5)-SUMIFS(TF_Timer,TF_Tekniker,AF$4,TF_Dato,$A623))*2,0)/2)))</f>
        <v/>
      </c>
      <c r="AG623">
        <f>IF(OR(AG$4="",$A623&gt;TODAY()),0,IF(OR(INDEX($B623:$D623,AG$5)="F",AND(AG$6&gt;0,$A623&lt;AG$6),AND(AG$7&gt;0,$A623&gt;AG$7)),0,MAX(0,ROUND((INDEX($E623:$G623,AG$5)-SUMIFS(TF_Timer,TF_Tekniker,AG$4,TF_Dato,$A623))*2,0)/2)))</f>
        <v/>
      </c>
      <c r="AH623">
        <f>IF(OR(AH$4="",$A623&gt;TODAY()),0,IF(OR(INDEX($B623:$D623,AH$5)="F",AND(AH$6&gt;0,$A623&lt;AH$6),AND(AH$7&gt;0,$A623&gt;AH$7)),0,MAX(0,ROUND((INDEX($E623:$G623,AH$5)-SUMIFS(TF_Timer,TF_Tekniker,AH$4,TF_Dato,$A623))*2,0)/2)))</f>
        <v/>
      </c>
      <c r="AI623">
        <f>IF(OR(AI$4="",$A623&gt;TODAY()),0,IF(OR(INDEX($B623:$D623,AI$5)="F",AND(AI$6&gt;0,$A623&lt;AI$6),AND(AI$7&gt;0,$A623&gt;AI$7)),0,MAX(0,ROUND((INDEX($E623:$G623,AI$5)-SUMIFS(TF_Timer,TF_Tekniker,AI$4,TF_Dato,$A623))*2,0)/2)))</f>
        <v/>
      </c>
      <c r="AJ623">
        <f>IF(OR(AJ$4="",$A623&gt;TODAY()),0,IF(OR(INDEX($B623:$D623,AJ$5)="F",AND(AJ$6&gt;0,$A623&lt;AJ$6),AND(AJ$7&gt;0,$A623&gt;AJ$7)),0,MAX(0,ROUND((INDEX($E623:$G623,AJ$5)-SUMIFS(TF_Timer,TF_Tekniker,AJ$4,TF_Dato,$A623))*2,0)/2)))</f>
        <v/>
      </c>
      <c r="AK623">
        <f>IF(OR(AK$4="",$A623&gt;TODAY()),0,IF(OR(INDEX($B623:$D623,AK$5)="F",AND(AK$6&gt;0,$A623&lt;AK$6),AND(AK$7&gt;0,$A623&gt;AK$7)),0,MAX(0,ROUND((INDEX($E623:$G623,AK$5)-SUMIFS(TF_Timer,TF_Tekniker,AK$4,TF_Dato,$A623))*2,0)/2)))</f>
        <v/>
      </c>
      <c r="AL623">
        <f>IF(OR(AL$4="",$A623&gt;TODAY()),0,IF(OR(INDEX($B623:$D623,AL$5)="F",AND(AL$6&gt;0,$A623&lt;AL$6),AND(AL$7&gt;0,$A623&gt;AL$7)),0,MAX(0,ROUND((INDEX($E623:$G623,AL$5)-SUMIFS(TF_Timer,TF_Tekniker,AL$4,TF_Dato,$A623))*2,0)/2)))</f>
        <v/>
      </c>
      <c r="AM623">
        <f>IF(OR(AM$4="",$A623&gt;TODAY()),0,IF(OR(INDEX($B623:$D623,AM$5)="F",AND(AM$6&gt;0,$A623&lt;AM$6),AND(AM$7&gt;0,$A623&gt;AM$7)),0,MAX(0,ROUND((INDEX($E623:$G623,AM$5)-SUMIFS(TF_Timer,TF_Tekniker,AM$4,TF_Dato,$A623))*2,0)/2)))</f>
        <v/>
      </c>
      <c r="AN623">
        <f>IF(OR(AN$4="",$A623&gt;TODAY()),0,IF(OR(INDEX($B623:$D623,AN$5)="F",AND(AN$6&gt;0,$A623&lt;AN$6),AND(AN$7&gt;0,$A623&gt;AN$7)),0,MAX(0,ROUND((INDEX($E623:$G623,AN$5)-SUMIFS(TF_Timer,TF_Tekniker,AN$4,TF_Dato,$A623))*2,0)/2)))</f>
        <v/>
      </c>
      <c r="AO623">
        <f>IF(OR(AO$4="",$A623&gt;TODAY()),0,IF(OR(INDEX($B623:$D623,AO$5)="F",AND(AO$6&gt;0,$A623&lt;AO$6),AND(AO$7&gt;0,$A623&gt;AO$7)),0,MAX(0,ROUND((INDEX($E623:$G623,AO$5)-SUMIFS(TF_Timer,TF_Tekniker,AO$4,TF_Dato,$A623))*2,0)/2)))</f>
        <v/>
      </c>
      <c r="AP623">
        <f>IF(OR(AP$4="",$A623&gt;TODAY()),0,IF(OR(INDEX($B623:$D623,AP$5)="F",AND(AP$6&gt;0,$A623&lt;AP$6),AND(AP$7&gt;0,$A623&gt;AP$7)),0,MAX(0,ROUND((INDEX($E623:$G623,AP$5)-SUMIFS(TF_Timer,TF_Tekniker,AP$4,TF_Dato,$A623))*2,0)/2)))</f>
        <v/>
      </c>
      <c r="AQ623">
        <f>IF(OR(AQ$4="",$A623&gt;TODAY()),0,IF(OR(INDEX($B623:$D623,AQ$5)="F",AND(AQ$6&gt;0,$A623&lt;AQ$6),AND(AQ$7&gt;0,$A623&gt;AQ$7)),0,MAX(0,ROUND((INDEX($E623:$G623,AQ$5)-SUMIFS(TF_Timer,TF_Tekniker,AQ$4,TF_Dato,$A623))*2,0)/2)))</f>
        <v/>
      </c>
      <c r="AR623">
        <f>IF(OR(AR$4="",$A623&gt;TODAY()),0,IF(OR(INDEX($B623:$D623,AR$5)="F",AND(AR$6&gt;0,$A623&lt;AR$6),AND(AR$7&gt;0,$A623&gt;AR$7)),0,MAX(0,ROUND((INDEX($E623:$G623,AR$5)-SUMIFS(TF_Timer,TF_Tekniker,AR$4,TF_Dato,$A623))*2,0)/2)))</f>
        <v/>
      </c>
      <c r="AS623">
        <f>IF(OR(AS$4="",$A623&gt;TODAY()),0,IF(OR(INDEX($B623:$D623,AS$5)="F",AND(AS$6&gt;0,$A623&lt;AS$6),AND(AS$7&gt;0,$A623&gt;AS$7)),0,MAX(0,ROUND((INDEX($E623:$G623,AS$5)-SUMIFS(TF_Timer,TF_Tekniker,AS$4,TF_Dato,$A623))*2,0)/2)))</f>
        <v/>
      </c>
      <c r="AT623">
        <f>IF(OR(AT$4="",$A623&gt;TODAY()),0,IF(OR(INDEX($B623:$D623,AT$5)="F",AND(AT$6&gt;0,$A623&lt;AT$6),AND(AT$7&gt;0,$A623&gt;AT$7)),0,MAX(0,ROUND((INDEX($E623:$G623,AT$5)-SUMIFS(TF_Timer,TF_Tekniker,AT$4,TF_Dato,$A623))*2,0)/2)))</f>
        <v/>
      </c>
      <c r="AU623">
        <f>IF(OR(AU$4="",$A623&gt;TODAY()),0,IF(OR(INDEX($B623:$D623,AU$5)="F",AND(AU$6&gt;0,$A623&lt;AU$6),AND(AU$7&gt;0,$A623&gt;AU$7)),0,MAX(0,ROUND((INDEX($E623:$G623,AU$5)-SUMIFS(TF_Timer,TF_Tekniker,AU$4,TF_Dato,$A623))*2,0)/2)))</f>
        <v/>
      </c>
      <c r="AV623">
        <f>IF(OR(AV$4="",$A623&gt;TODAY()),0,IF(OR(INDEX($B623:$D623,AV$5)="F",AND(AV$6&gt;0,$A623&lt;AV$6),AND(AV$7&gt;0,$A623&gt;AV$7)),0,MAX(0,ROUND((INDEX($E623:$G623,AV$5)-SUMIFS(TF_Timer,TF_Tekniker,AV$4,TF_Dato,$A623))*2,0)/2)))</f>
        <v/>
      </c>
      <c r="AW623">
        <f>IF(OR(AW$4="",$A623&gt;TODAY()),0,IF(OR(INDEX($B623:$D623,AW$5)="F",AND(AW$6&gt;0,$A623&lt;AW$6),AND(AW$7&gt;0,$A623&gt;AW$7)),0,MAX(0,ROUND((INDEX($E623:$G623,AW$5)-SUMIFS(TF_Timer,TF_Tekniker,AW$4,TF_Dato,$A623))*2,0)/2)))</f>
        <v/>
      </c>
      <c r="AX623">
        <f>IF(OR(AX$4="",$A623&gt;TODAY()),0,IF(OR(INDEX($B623:$D623,AX$5)="F",AND(AX$6&gt;0,$A623&lt;AX$6),AND(AX$7&gt;0,$A623&gt;AX$7)),0,MAX(0,ROUND((INDEX($E623:$G623,AX$5)-SUMIFS(TF_Timer,TF_Tekniker,AX$4,TF_Dato,$A623))*2,0)/2)))</f>
        <v/>
      </c>
      <c r="AY623">
        <f>IF(OR(AY$4="",$A623&gt;TODAY()),0,IF(OR(INDEX($B623:$D623,AY$5)="F",AND(AY$6&gt;0,$A623&lt;AY$6),AND(AY$7&gt;0,$A623&gt;AY$7)),0,MAX(0,ROUND((INDEX($E623:$G623,AY$5)-SUMIFS(TF_Timer,TF_Tekniker,AY$4,TF_Dato,$A623))*2,0)/2)))</f>
        <v/>
      </c>
      <c r="AZ623">
        <f>IF(OR(AZ$4="",$A623&gt;TODAY()),0,IF(OR(INDEX($B623:$D623,AZ$5)="F",AND(AZ$6&gt;0,$A623&lt;AZ$6),AND(AZ$7&gt;0,$A623&gt;AZ$7)),0,MAX(0,ROUND((INDEX($E623:$G623,AZ$5)-SUMIFS(TF_Timer,TF_Tekniker,AZ$4,TF_Dato,$A623))*2,0)/2)))</f>
        <v/>
      </c>
      <c r="BA623">
        <f>IF(OR(BA$4="",$A623&gt;TODAY()),0,IF(OR(INDEX($B623:$D623,BA$5)="F",AND(BA$6&gt;0,$A623&lt;BA$6),AND(BA$7&gt;0,$A623&gt;BA$7)),0,MAX(0,ROUND((INDEX($E623:$G623,BA$5)-SUMIFS(TF_Timer,TF_Tekniker,BA$4,TF_Dato,$A623))*2,0)/2)))</f>
        <v/>
      </c>
      <c r="BB623">
        <f>IF(OR(BB$4="",$A623&gt;TODAY()),0,IF(OR(INDEX($B623:$D623,BB$5)="F",AND(BB$6&gt;0,$A623&lt;BB$6),AND(BB$7&gt;0,$A623&gt;BB$7)),0,MAX(0,ROUND((INDEX($E623:$G623,BB$5)-SUMIFS(TF_Timer,TF_Tekniker,BB$4,TF_Dato,$A623))*2,0)/2)))</f>
        <v/>
      </c>
      <c r="BC623">
        <f>IF(OR(BC$4="",$A623&gt;TODAY()),0,IF(OR(INDEX($B623:$D623,BC$5)="F",AND(BC$6&gt;0,$A623&lt;BC$6),AND(BC$7&gt;0,$A623&gt;BC$7)),0,MAX(0,ROUND((INDEX($E623:$G623,BC$5)-SUMIFS(TF_Timer,TF_Tekniker,BC$4,TF_Dato,$A623))*2,0)/2)))</f>
        <v/>
      </c>
      <c r="BD623">
        <f>IF(OR(BD$4="",$A623&gt;TODAY()),0,IF(OR(INDEX($B623:$D623,BD$5)="F",AND(BD$6&gt;0,$A623&lt;BD$6),AND(BD$7&gt;0,$A623&gt;BD$7)),0,MAX(0,ROUND((INDEX($E623:$G623,BD$5)-SUMIFS(TF_Timer,TF_Tekniker,BD$4,TF_Dato,$A623))*2,0)/2)))</f>
        <v/>
      </c>
      <c r="BE623">
        <f>IF(OR(BE$4="",$A623&gt;TODAY()),0,IF(OR(INDEX($B623:$D623,BE$5)="F",AND(BE$6&gt;0,$A623&lt;BE$6),AND(BE$7&gt;0,$A623&gt;BE$7)),0,MAX(0,ROUND((INDEX($E623:$G623,BE$5)-SUMIFS(TF_Timer,TF_Tekniker,BE$4,TF_Dato,$A623))*2,0)/2)))</f>
        <v/>
      </c>
      <c r="BF623">
        <f>IF(OR(BF$4="",$A623&gt;TODAY()),0,IF(OR(INDEX($B623:$D623,BF$5)="F",AND(BF$6&gt;0,$A623&lt;BF$6),AND(BF$7&gt;0,$A623&gt;BF$7)),0,MAX(0,ROUND((INDEX($E623:$G623,BF$5)-SUMIFS(TF_Timer,TF_Tekniker,BF$4,TF_Dato,$A623))*2,0)/2)))</f>
        <v/>
      </c>
      <c r="BG623">
        <f>IF(OR(BG$4="",$A623&gt;TODAY()),0,IF(OR(INDEX($B623:$D623,BG$5)="F",AND(BG$6&gt;0,$A623&lt;BG$6),AND(BG$7&gt;0,$A623&gt;BG$7)),0,MAX(0,ROUND((INDEX($E623:$G623,BG$5)-SUMIFS(TF_Timer,TF_Tekniker,BG$4,TF_Dato,$A623))*2,0)/2)))</f>
        <v/>
      </c>
      <c r="BH623">
        <f>IF(OR(BH$4="",$A623&gt;TODAY()),0,IF(OR(INDEX($B623:$D623,BH$5)="F",AND(BH$6&gt;0,$A623&lt;BH$6),AND(BH$7&gt;0,$A623&gt;BH$7)),0,MAX(0,ROUND((INDEX($E623:$G623,BH$5)-SUMIFS(TF_Timer,TF_Tekniker,BH$4,TF_Dato,$A623))*2,0)/2)))</f>
        <v/>
      </c>
      <c r="BI623">
        <f>IF(OR(BI$4="",$A623&gt;TODAY()),0,IF(OR(INDEX($B623:$D623,BI$5)="F",AND(BI$6&gt;0,$A623&lt;BI$6),AND(BI$7&gt;0,$A623&gt;BI$7)),0,MAX(0,ROUND((INDEX($E623:$G623,BI$5)-SUMIFS(TF_Timer,TF_Tekniker,BI$4,TF_Dato,$A623))*2,0)/2)))</f>
        <v/>
      </c>
    </row>
    <row r="624">
      <c r="A624" s="64">
        <f>A623+1</f>
        <v/>
      </c>
      <c r="B624">
        <f>IF(MOD($A624-INDEX(SkiftStart,1),Syklus)&lt;DagK,"K",IF(MOD($A624-INDEX(SkiftStart,1),Syklus)&lt;DagK+DagH,"H",IF(MOD($A624-INDEX(SkiftStart,1),Syklus)&lt;DagK+DagH+DagD,"D","F")))</f>
        <v/>
      </c>
      <c r="C624">
        <f>IF(MOD($A624-INDEX(SkiftStart,2),Syklus)&lt;DagK,"K",IF(MOD($A624-INDEX(SkiftStart,2),Syklus)&lt;DagK+DagH,"H",IF(MOD($A624-INDEX(SkiftStart,2),Syklus)&lt;DagK+DagH+DagD,"D","F")))</f>
        <v/>
      </c>
      <c r="D624">
        <f>IF(MOD($A624-INDEX(SkiftStart,3),Syklus)&lt;DagK,"K",IF(MOD($A624-INDEX(SkiftStart,3),Syklus)&lt;DagK+DagH,"H",IF(MOD($A624-INDEX(SkiftStart,3),Syklus)&lt;DagK+DagH+DagD,"D","F")))</f>
        <v/>
      </c>
      <c r="E624">
        <f>IF(B624="F",0,IF(WEEKDAY($A624,2)=5,INDEX(TimerFr,MATCH(B624,FaseKode,0)),INDEX(TimerMT,MATCH(B624,FaseKode,0))))</f>
        <v/>
      </c>
      <c r="F624">
        <f>IF(C624="F",0,IF(WEEKDAY($A624,2)=5,INDEX(TimerFr,MATCH(C624,FaseKode,0)),INDEX(TimerMT,MATCH(C624,FaseKode,0))))</f>
        <v/>
      </c>
      <c r="G624">
        <f>IF(D624="F",0,IF(WEEKDAY($A624,2)=5,INDEX(TimerFr,MATCH(D624,FaseKode,0)),INDEX(TimerMT,MATCH(D624,FaseKode,0))))</f>
        <v/>
      </c>
      <c r="H624">
        <f>IF(OR(H$4="",$A624&gt;TODAY()),0,IF(OR(INDEX($B624:$D624,H$5)="F",AND(H$6&gt;0,$A624&lt;H$6),AND(H$7&gt;0,$A624&gt;H$7)),0,MAX(0,ROUND((INDEX($E624:$G624,H$5)-SUMIFS(TF_Timer,TF_Tekniker,H$4,TF_Dato,$A624))*2,0)/2)))</f>
        <v/>
      </c>
      <c r="I624">
        <f>IF(OR(I$4="",$A624&gt;TODAY()),0,IF(OR(INDEX($B624:$D624,I$5)="F",AND(I$6&gt;0,$A624&lt;I$6),AND(I$7&gt;0,$A624&gt;I$7)),0,MAX(0,ROUND((INDEX($E624:$G624,I$5)-SUMIFS(TF_Timer,TF_Tekniker,I$4,TF_Dato,$A624))*2,0)/2)))</f>
        <v/>
      </c>
      <c r="J624">
        <f>IF(OR(J$4="",$A624&gt;TODAY()),0,IF(OR(INDEX($B624:$D624,J$5)="F",AND(J$6&gt;0,$A624&lt;J$6),AND(J$7&gt;0,$A624&gt;J$7)),0,MAX(0,ROUND((INDEX($E624:$G624,J$5)-SUMIFS(TF_Timer,TF_Tekniker,J$4,TF_Dato,$A624))*2,0)/2)))</f>
        <v/>
      </c>
      <c r="K624">
        <f>IF(OR(K$4="",$A624&gt;TODAY()),0,IF(OR(INDEX($B624:$D624,K$5)="F",AND(K$6&gt;0,$A624&lt;K$6),AND(K$7&gt;0,$A624&gt;K$7)),0,MAX(0,ROUND((INDEX($E624:$G624,K$5)-SUMIFS(TF_Timer,TF_Tekniker,K$4,TF_Dato,$A624))*2,0)/2)))</f>
        <v/>
      </c>
      <c r="L624">
        <f>IF(OR(L$4="",$A624&gt;TODAY()),0,IF(OR(INDEX($B624:$D624,L$5)="F",AND(L$6&gt;0,$A624&lt;L$6),AND(L$7&gt;0,$A624&gt;L$7)),0,MAX(0,ROUND((INDEX($E624:$G624,L$5)-SUMIFS(TF_Timer,TF_Tekniker,L$4,TF_Dato,$A624))*2,0)/2)))</f>
        <v/>
      </c>
      <c r="M624">
        <f>IF(OR(M$4="",$A624&gt;TODAY()),0,IF(OR(INDEX($B624:$D624,M$5)="F",AND(M$6&gt;0,$A624&lt;M$6),AND(M$7&gt;0,$A624&gt;M$7)),0,MAX(0,ROUND((INDEX($E624:$G624,M$5)-SUMIFS(TF_Timer,TF_Tekniker,M$4,TF_Dato,$A624))*2,0)/2)))</f>
        <v/>
      </c>
      <c r="N624">
        <f>IF(OR(N$4="",$A624&gt;TODAY()),0,IF(OR(INDEX($B624:$D624,N$5)="F",AND(N$6&gt;0,$A624&lt;N$6),AND(N$7&gt;0,$A624&gt;N$7)),0,MAX(0,ROUND((INDEX($E624:$G624,N$5)-SUMIFS(TF_Timer,TF_Tekniker,N$4,TF_Dato,$A624))*2,0)/2)))</f>
        <v/>
      </c>
      <c r="O624">
        <f>IF(OR(O$4="",$A624&gt;TODAY()),0,IF(OR(INDEX($B624:$D624,O$5)="F",AND(O$6&gt;0,$A624&lt;O$6),AND(O$7&gt;0,$A624&gt;O$7)),0,MAX(0,ROUND((INDEX($E624:$G624,O$5)-SUMIFS(TF_Timer,TF_Tekniker,O$4,TF_Dato,$A624))*2,0)/2)))</f>
        <v/>
      </c>
      <c r="P624">
        <f>IF(OR(P$4="",$A624&gt;TODAY()),0,IF(OR(INDEX($B624:$D624,P$5)="F",AND(P$6&gt;0,$A624&lt;P$6),AND(P$7&gt;0,$A624&gt;P$7)),0,MAX(0,ROUND((INDEX($E624:$G624,P$5)-SUMIFS(TF_Timer,TF_Tekniker,P$4,TF_Dato,$A624))*2,0)/2)))</f>
        <v/>
      </c>
      <c r="Q624">
        <f>IF(OR(Q$4="",$A624&gt;TODAY()),0,IF(OR(INDEX($B624:$D624,Q$5)="F",AND(Q$6&gt;0,$A624&lt;Q$6),AND(Q$7&gt;0,$A624&gt;Q$7)),0,MAX(0,ROUND((INDEX($E624:$G624,Q$5)-SUMIFS(TF_Timer,TF_Tekniker,Q$4,TF_Dato,$A624))*2,0)/2)))</f>
        <v/>
      </c>
      <c r="R624">
        <f>IF(OR(R$4="",$A624&gt;TODAY()),0,IF(OR(INDEX($B624:$D624,R$5)="F",AND(R$6&gt;0,$A624&lt;R$6),AND(R$7&gt;0,$A624&gt;R$7)),0,MAX(0,ROUND((INDEX($E624:$G624,R$5)-SUMIFS(TF_Timer,TF_Tekniker,R$4,TF_Dato,$A624))*2,0)/2)))</f>
        <v/>
      </c>
      <c r="S624">
        <f>IF(OR(S$4="",$A624&gt;TODAY()),0,IF(OR(INDEX($B624:$D624,S$5)="F",AND(S$6&gt;0,$A624&lt;S$6),AND(S$7&gt;0,$A624&gt;S$7)),0,MAX(0,ROUND((INDEX($E624:$G624,S$5)-SUMIFS(TF_Timer,TF_Tekniker,S$4,TF_Dato,$A624))*2,0)/2)))</f>
        <v/>
      </c>
      <c r="T624">
        <f>IF(OR(T$4="",$A624&gt;TODAY()),0,IF(OR(INDEX($B624:$D624,T$5)="F",AND(T$6&gt;0,$A624&lt;T$6),AND(T$7&gt;0,$A624&gt;T$7)),0,MAX(0,ROUND((INDEX($E624:$G624,T$5)-SUMIFS(TF_Timer,TF_Tekniker,T$4,TF_Dato,$A624))*2,0)/2)))</f>
        <v/>
      </c>
      <c r="U624">
        <f>IF(OR(U$4="",$A624&gt;TODAY()),0,IF(OR(INDEX($B624:$D624,U$5)="F",AND(U$6&gt;0,$A624&lt;U$6),AND(U$7&gt;0,$A624&gt;U$7)),0,MAX(0,ROUND((INDEX($E624:$G624,U$5)-SUMIFS(TF_Timer,TF_Tekniker,U$4,TF_Dato,$A624))*2,0)/2)))</f>
        <v/>
      </c>
      <c r="V624">
        <f>IF(OR(V$4="",$A624&gt;TODAY()),0,IF(OR(INDEX($B624:$D624,V$5)="F",AND(V$6&gt;0,$A624&lt;V$6),AND(V$7&gt;0,$A624&gt;V$7)),0,MAX(0,ROUND((INDEX($E624:$G624,V$5)-SUMIFS(TF_Timer,TF_Tekniker,V$4,TF_Dato,$A624))*2,0)/2)))</f>
        <v/>
      </c>
      <c r="W624">
        <f>IF(OR(W$4="",$A624&gt;TODAY()),0,IF(OR(INDEX($B624:$D624,W$5)="F",AND(W$6&gt;0,$A624&lt;W$6),AND(W$7&gt;0,$A624&gt;W$7)),0,MAX(0,ROUND((INDEX($E624:$G624,W$5)-SUMIFS(TF_Timer,TF_Tekniker,W$4,TF_Dato,$A624))*2,0)/2)))</f>
        <v/>
      </c>
      <c r="X624">
        <f>IF(OR(X$4="",$A624&gt;TODAY()),0,IF(OR(INDEX($B624:$D624,X$5)="F",AND(X$6&gt;0,$A624&lt;X$6),AND(X$7&gt;0,$A624&gt;X$7)),0,MAX(0,ROUND((INDEX($E624:$G624,X$5)-SUMIFS(TF_Timer,TF_Tekniker,X$4,TF_Dato,$A624))*2,0)/2)))</f>
        <v/>
      </c>
      <c r="Y624">
        <f>IF(OR(Y$4="",$A624&gt;TODAY()),0,IF(OR(INDEX($B624:$D624,Y$5)="F",AND(Y$6&gt;0,$A624&lt;Y$6),AND(Y$7&gt;0,$A624&gt;Y$7)),0,MAX(0,ROUND((INDEX($E624:$G624,Y$5)-SUMIFS(TF_Timer,TF_Tekniker,Y$4,TF_Dato,$A624))*2,0)/2)))</f>
        <v/>
      </c>
      <c r="Z624">
        <f>IF(OR(Z$4="",$A624&gt;TODAY()),0,IF(OR(INDEX($B624:$D624,Z$5)="F",AND(Z$6&gt;0,$A624&lt;Z$6),AND(Z$7&gt;0,$A624&gt;Z$7)),0,MAX(0,ROUND((INDEX($E624:$G624,Z$5)-SUMIFS(TF_Timer,TF_Tekniker,Z$4,TF_Dato,$A624))*2,0)/2)))</f>
        <v/>
      </c>
      <c r="AA624">
        <f>IF(OR(AA$4="",$A624&gt;TODAY()),0,IF(OR(INDEX($B624:$D624,AA$5)="F",AND(AA$6&gt;0,$A624&lt;AA$6),AND(AA$7&gt;0,$A624&gt;AA$7)),0,MAX(0,ROUND((INDEX($E624:$G624,AA$5)-SUMIFS(TF_Timer,TF_Tekniker,AA$4,TF_Dato,$A624))*2,0)/2)))</f>
        <v/>
      </c>
      <c r="AB624">
        <f>IF(OR(AB$4="",$A624&gt;TODAY()),0,IF(OR(INDEX($B624:$D624,AB$5)="F",AND(AB$6&gt;0,$A624&lt;AB$6),AND(AB$7&gt;0,$A624&gt;AB$7)),0,MAX(0,ROUND((INDEX($E624:$G624,AB$5)-SUMIFS(TF_Timer,TF_Tekniker,AB$4,TF_Dato,$A624))*2,0)/2)))</f>
        <v/>
      </c>
      <c r="AC624">
        <f>IF(OR(AC$4="",$A624&gt;TODAY()),0,IF(OR(INDEX($B624:$D624,AC$5)="F",AND(AC$6&gt;0,$A624&lt;AC$6),AND(AC$7&gt;0,$A624&gt;AC$7)),0,MAX(0,ROUND((INDEX($E624:$G624,AC$5)-SUMIFS(TF_Timer,TF_Tekniker,AC$4,TF_Dato,$A624))*2,0)/2)))</f>
        <v/>
      </c>
      <c r="AD624">
        <f>IF(OR(AD$4="",$A624&gt;TODAY()),0,IF(OR(INDEX($B624:$D624,AD$5)="F",AND(AD$6&gt;0,$A624&lt;AD$6),AND(AD$7&gt;0,$A624&gt;AD$7)),0,MAX(0,ROUND((INDEX($E624:$G624,AD$5)-SUMIFS(TF_Timer,TF_Tekniker,AD$4,TF_Dato,$A624))*2,0)/2)))</f>
        <v/>
      </c>
      <c r="AE624">
        <f>IF(OR(AE$4="",$A624&gt;TODAY()),0,IF(OR(INDEX($B624:$D624,AE$5)="F",AND(AE$6&gt;0,$A624&lt;AE$6),AND(AE$7&gt;0,$A624&gt;AE$7)),0,MAX(0,ROUND((INDEX($E624:$G624,AE$5)-SUMIFS(TF_Timer,TF_Tekniker,AE$4,TF_Dato,$A624))*2,0)/2)))</f>
        <v/>
      </c>
      <c r="AF624">
        <f>IF(OR(AF$4="",$A624&gt;TODAY()),0,IF(OR(INDEX($B624:$D624,AF$5)="F",AND(AF$6&gt;0,$A624&lt;AF$6),AND(AF$7&gt;0,$A624&gt;AF$7)),0,MAX(0,ROUND((INDEX($E624:$G624,AF$5)-SUMIFS(TF_Timer,TF_Tekniker,AF$4,TF_Dato,$A624))*2,0)/2)))</f>
        <v/>
      </c>
      <c r="AG624">
        <f>IF(OR(AG$4="",$A624&gt;TODAY()),0,IF(OR(INDEX($B624:$D624,AG$5)="F",AND(AG$6&gt;0,$A624&lt;AG$6),AND(AG$7&gt;0,$A624&gt;AG$7)),0,MAX(0,ROUND((INDEX($E624:$G624,AG$5)-SUMIFS(TF_Timer,TF_Tekniker,AG$4,TF_Dato,$A624))*2,0)/2)))</f>
        <v/>
      </c>
      <c r="AH624">
        <f>IF(OR(AH$4="",$A624&gt;TODAY()),0,IF(OR(INDEX($B624:$D624,AH$5)="F",AND(AH$6&gt;0,$A624&lt;AH$6),AND(AH$7&gt;0,$A624&gt;AH$7)),0,MAX(0,ROUND((INDEX($E624:$G624,AH$5)-SUMIFS(TF_Timer,TF_Tekniker,AH$4,TF_Dato,$A624))*2,0)/2)))</f>
        <v/>
      </c>
      <c r="AI624">
        <f>IF(OR(AI$4="",$A624&gt;TODAY()),0,IF(OR(INDEX($B624:$D624,AI$5)="F",AND(AI$6&gt;0,$A624&lt;AI$6),AND(AI$7&gt;0,$A624&gt;AI$7)),0,MAX(0,ROUND((INDEX($E624:$G624,AI$5)-SUMIFS(TF_Timer,TF_Tekniker,AI$4,TF_Dato,$A624))*2,0)/2)))</f>
        <v/>
      </c>
      <c r="AJ624">
        <f>IF(OR(AJ$4="",$A624&gt;TODAY()),0,IF(OR(INDEX($B624:$D624,AJ$5)="F",AND(AJ$6&gt;0,$A624&lt;AJ$6),AND(AJ$7&gt;0,$A624&gt;AJ$7)),0,MAX(0,ROUND((INDEX($E624:$G624,AJ$5)-SUMIFS(TF_Timer,TF_Tekniker,AJ$4,TF_Dato,$A624))*2,0)/2)))</f>
        <v/>
      </c>
      <c r="AK624">
        <f>IF(OR(AK$4="",$A624&gt;TODAY()),0,IF(OR(INDEX($B624:$D624,AK$5)="F",AND(AK$6&gt;0,$A624&lt;AK$6),AND(AK$7&gt;0,$A624&gt;AK$7)),0,MAX(0,ROUND((INDEX($E624:$G624,AK$5)-SUMIFS(TF_Timer,TF_Tekniker,AK$4,TF_Dato,$A624))*2,0)/2)))</f>
        <v/>
      </c>
      <c r="AL624">
        <f>IF(OR(AL$4="",$A624&gt;TODAY()),0,IF(OR(INDEX($B624:$D624,AL$5)="F",AND(AL$6&gt;0,$A624&lt;AL$6),AND(AL$7&gt;0,$A624&gt;AL$7)),0,MAX(0,ROUND((INDEX($E624:$G624,AL$5)-SUMIFS(TF_Timer,TF_Tekniker,AL$4,TF_Dato,$A624))*2,0)/2)))</f>
        <v/>
      </c>
      <c r="AM624">
        <f>IF(OR(AM$4="",$A624&gt;TODAY()),0,IF(OR(INDEX($B624:$D624,AM$5)="F",AND(AM$6&gt;0,$A624&lt;AM$6),AND(AM$7&gt;0,$A624&gt;AM$7)),0,MAX(0,ROUND((INDEX($E624:$G624,AM$5)-SUMIFS(TF_Timer,TF_Tekniker,AM$4,TF_Dato,$A624))*2,0)/2)))</f>
        <v/>
      </c>
      <c r="AN624">
        <f>IF(OR(AN$4="",$A624&gt;TODAY()),0,IF(OR(INDEX($B624:$D624,AN$5)="F",AND(AN$6&gt;0,$A624&lt;AN$6),AND(AN$7&gt;0,$A624&gt;AN$7)),0,MAX(0,ROUND((INDEX($E624:$G624,AN$5)-SUMIFS(TF_Timer,TF_Tekniker,AN$4,TF_Dato,$A624))*2,0)/2)))</f>
        <v/>
      </c>
      <c r="AO624">
        <f>IF(OR(AO$4="",$A624&gt;TODAY()),0,IF(OR(INDEX($B624:$D624,AO$5)="F",AND(AO$6&gt;0,$A624&lt;AO$6),AND(AO$7&gt;0,$A624&gt;AO$7)),0,MAX(0,ROUND((INDEX($E624:$G624,AO$5)-SUMIFS(TF_Timer,TF_Tekniker,AO$4,TF_Dato,$A624))*2,0)/2)))</f>
        <v/>
      </c>
      <c r="AP624">
        <f>IF(OR(AP$4="",$A624&gt;TODAY()),0,IF(OR(INDEX($B624:$D624,AP$5)="F",AND(AP$6&gt;0,$A624&lt;AP$6),AND(AP$7&gt;0,$A624&gt;AP$7)),0,MAX(0,ROUND((INDEX($E624:$G624,AP$5)-SUMIFS(TF_Timer,TF_Tekniker,AP$4,TF_Dato,$A624))*2,0)/2)))</f>
        <v/>
      </c>
      <c r="AQ624">
        <f>IF(OR(AQ$4="",$A624&gt;TODAY()),0,IF(OR(INDEX($B624:$D624,AQ$5)="F",AND(AQ$6&gt;0,$A624&lt;AQ$6),AND(AQ$7&gt;0,$A624&gt;AQ$7)),0,MAX(0,ROUND((INDEX($E624:$G624,AQ$5)-SUMIFS(TF_Timer,TF_Tekniker,AQ$4,TF_Dato,$A624))*2,0)/2)))</f>
        <v/>
      </c>
      <c r="AR624">
        <f>IF(OR(AR$4="",$A624&gt;TODAY()),0,IF(OR(INDEX($B624:$D624,AR$5)="F",AND(AR$6&gt;0,$A624&lt;AR$6),AND(AR$7&gt;0,$A624&gt;AR$7)),0,MAX(0,ROUND((INDEX($E624:$G624,AR$5)-SUMIFS(TF_Timer,TF_Tekniker,AR$4,TF_Dato,$A624))*2,0)/2)))</f>
        <v/>
      </c>
      <c r="AS624">
        <f>IF(OR(AS$4="",$A624&gt;TODAY()),0,IF(OR(INDEX($B624:$D624,AS$5)="F",AND(AS$6&gt;0,$A624&lt;AS$6),AND(AS$7&gt;0,$A624&gt;AS$7)),0,MAX(0,ROUND((INDEX($E624:$G624,AS$5)-SUMIFS(TF_Timer,TF_Tekniker,AS$4,TF_Dato,$A624))*2,0)/2)))</f>
        <v/>
      </c>
      <c r="AT624">
        <f>IF(OR(AT$4="",$A624&gt;TODAY()),0,IF(OR(INDEX($B624:$D624,AT$5)="F",AND(AT$6&gt;0,$A624&lt;AT$6),AND(AT$7&gt;0,$A624&gt;AT$7)),0,MAX(0,ROUND((INDEX($E624:$G624,AT$5)-SUMIFS(TF_Timer,TF_Tekniker,AT$4,TF_Dato,$A624))*2,0)/2)))</f>
        <v/>
      </c>
      <c r="AU624">
        <f>IF(OR(AU$4="",$A624&gt;TODAY()),0,IF(OR(INDEX($B624:$D624,AU$5)="F",AND(AU$6&gt;0,$A624&lt;AU$6),AND(AU$7&gt;0,$A624&gt;AU$7)),0,MAX(0,ROUND((INDEX($E624:$G624,AU$5)-SUMIFS(TF_Timer,TF_Tekniker,AU$4,TF_Dato,$A624))*2,0)/2)))</f>
        <v/>
      </c>
      <c r="AV624">
        <f>IF(OR(AV$4="",$A624&gt;TODAY()),0,IF(OR(INDEX($B624:$D624,AV$5)="F",AND(AV$6&gt;0,$A624&lt;AV$6),AND(AV$7&gt;0,$A624&gt;AV$7)),0,MAX(0,ROUND((INDEX($E624:$G624,AV$5)-SUMIFS(TF_Timer,TF_Tekniker,AV$4,TF_Dato,$A624))*2,0)/2)))</f>
        <v/>
      </c>
      <c r="AW624">
        <f>IF(OR(AW$4="",$A624&gt;TODAY()),0,IF(OR(INDEX($B624:$D624,AW$5)="F",AND(AW$6&gt;0,$A624&lt;AW$6),AND(AW$7&gt;0,$A624&gt;AW$7)),0,MAX(0,ROUND((INDEX($E624:$G624,AW$5)-SUMIFS(TF_Timer,TF_Tekniker,AW$4,TF_Dato,$A624))*2,0)/2)))</f>
        <v/>
      </c>
      <c r="AX624">
        <f>IF(OR(AX$4="",$A624&gt;TODAY()),0,IF(OR(INDEX($B624:$D624,AX$5)="F",AND(AX$6&gt;0,$A624&lt;AX$6),AND(AX$7&gt;0,$A624&gt;AX$7)),0,MAX(0,ROUND((INDEX($E624:$G624,AX$5)-SUMIFS(TF_Timer,TF_Tekniker,AX$4,TF_Dato,$A624))*2,0)/2)))</f>
        <v/>
      </c>
      <c r="AY624">
        <f>IF(OR(AY$4="",$A624&gt;TODAY()),0,IF(OR(INDEX($B624:$D624,AY$5)="F",AND(AY$6&gt;0,$A624&lt;AY$6),AND(AY$7&gt;0,$A624&gt;AY$7)),0,MAX(0,ROUND((INDEX($E624:$G624,AY$5)-SUMIFS(TF_Timer,TF_Tekniker,AY$4,TF_Dato,$A624))*2,0)/2)))</f>
        <v/>
      </c>
      <c r="AZ624">
        <f>IF(OR(AZ$4="",$A624&gt;TODAY()),0,IF(OR(INDEX($B624:$D624,AZ$5)="F",AND(AZ$6&gt;0,$A624&lt;AZ$6),AND(AZ$7&gt;0,$A624&gt;AZ$7)),0,MAX(0,ROUND((INDEX($E624:$G624,AZ$5)-SUMIFS(TF_Timer,TF_Tekniker,AZ$4,TF_Dato,$A624))*2,0)/2)))</f>
        <v/>
      </c>
      <c r="BA624">
        <f>IF(OR(BA$4="",$A624&gt;TODAY()),0,IF(OR(INDEX($B624:$D624,BA$5)="F",AND(BA$6&gt;0,$A624&lt;BA$6),AND(BA$7&gt;0,$A624&gt;BA$7)),0,MAX(0,ROUND((INDEX($E624:$G624,BA$5)-SUMIFS(TF_Timer,TF_Tekniker,BA$4,TF_Dato,$A624))*2,0)/2)))</f>
        <v/>
      </c>
      <c r="BB624">
        <f>IF(OR(BB$4="",$A624&gt;TODAY()),0,IF(OR(INDEX($B624:$D624,BB$5)="F",AND(BB$6&gt;0,$A624&lt;BB$6),AND(BB$7&gt;0,$A624&gt;BB$7)),0,MAX(0,ROUND((INDEX($E624:$G624,BB$5)-SUMIFS(TF_Timer,TF_Tekniker,BB$4,TF_Dato,$A624))*2,0)/2)))</f>
        <v/>
      </c>
      <c r="BC624">
        <f>IF(OR(BC$4="",$A624&gt;TODAY()),0,IF(OR(INDEX($B624:$D624,BC$5)="F",AND(BC$6&gt;0,$A624&lt;BC$6),AND(BC$7&gt;0,$A624&gt;BC$7)),0,MAX(0,ROUND((INDEX($E624:$G624,BC$5)-SUMIFS(TF_Timer,TF_Tekniker,BC$4,TF_Dato,$A624))*2,0)/2)))</f>
        <v/>
      </c>
      <c r="BD624">
        <f>IF(OR(BD$4="",$A624&gt;TODAY()),0,IF(OR(INDEX($B624:$D624,BD$5)="F",AND(BD$6&gt;0,$A624&lt;BD$6),AND(BD$7&gt;0,$A624&gt;BD$7)),0,MAX(0,ROUND((INDEX($E624:$G624,BD$5)-SUMIFS(TF_Timer,TF_Tekniker,BD$4,TF_Dato,$A624))*2,0)/2)))</f>
        <v/>
      </c>
      <c r="BE624">
        <f>IF(OR(BE$4="",$A624&gt;TODAY()),0,IF(OR(INDEX($B624:$D624,BE$5)="F",AND(BE$6&gt;0,$A624&lt;BE$6),AND(BE$7&gt;0,$A624&gt;BE$7)),0,MAX(0,ROUND((INDEX($E624:$G624,BE$5)-SUMIFS(TF_Timer,TF_Tekniker,BE$4,TF_Dato,$A624))*2,0)/2)))</f>
        <v/>
      </c>
      <c r="BF624">
        <f>IF(OR(BF$4="",$A624&gt;TODAY()),0,IF(OR(INDEX($B624:$D624,BF$5)="F",AND(BF$6&gt;0,$A624&lt;BF$6),AND(BF$7&gt;0,$A624&gt;BF$7)),0,MAX(0,ROUND((INDEX($E624:$G624,BF$5)-SUMIFS(TF_Timer,TF_Tekniker,BF$4,TF_Dato,$A624))*2,0)/2)))</f>
        <v/>
      </c>
      <c r="BG624">
        <f>IF(OR(BG$4="",$A624&gt;TODAY()),0,IF(OR(INDEX($B624:$D624,BG$5)="F",AND(BG$6&gt;0,$A624&lt;BG$6),AND(BG$7&gt;0,$A624&gt;BG$7)),0,MAX(0,ROUND((INDEX($E624:$G624,BG$5)-SUMIFS(TF_Timer,TF_Tekniker,BG$4,TF_Dato,$A624))*2,0)/2)))</f>
        <v/>
      </c>
      <c r="BH624">
        <f>IF(OR(BH$4="",$A624&gt;TODAY()),0,IF(OR(INDEX($B624:$D624,BH$5)="F",AND(BH$6&gt;0,$A624&lt;BH$6),AND(BH$7&gt;0,$A624&gt;BH$7)),0,MAX(0,ROUND((INDEX($E624:$G624,BH$5)-SUMIFS(TF_Timer,TF_Tekniker,BH$4,TF_Dato,$A624))*2,0)/2)))</f>
        <v/>
      </c>
      <c r="BI624">
        <f>IF(OR(BI$4="",$A624&gt;TODAY()),0,IF(OR(INDEX($B624:$D624,BI$5)="F",AND(BI$6&gt;0,$A624&lt;BI$6),AND(BI$7&gt;0,$A624&gt;BI$7)),0,MAX(0,ROUND((INDEX($E624:$G624,BI$5)-SUMIFS(TF_Timer,TF_Tekniker,BI$4,TF_Dato,$A624))*2,0)/2)))</f>
        <v/>
      </c>
    </row>
    <row r="625">
      <c r="A625" s="64">
        <f>A624+1</f>
        <v/>
      </c>
      <c r="B625">
        <f>IF(MOD($A625-INDEX(SkiftStart,1),Syklus)&lt;DagK,"K",IF(MOD($A625-INDEX(SkiftStart,1),Syklus)&lt;DagK+DagH,"H",IF(MOD($A625-INDEX(SkiftStart,1),Syklus)&lt;DagK+DagH+DagD,"D","F")))</f>
        <v/>
      </c>
      <c r="C625">
        <f>IF(MOD($A625-INDEX(SkiftStart,2),Syklus)&lt;DagK,"K",IF(MOD($A625-INDEX(SkiftStart,2),Syklus)&lt;DagK+DagH,"H",IF(MOD($A625-INDEX(SkiftStart,2),Syklus)&lt;DagK+DagH+DagD,"D","F")))</f>
        <v/>
      </c>
      <c r="D625">
        <f>IF(MOD($A625-INDEX(SkiftStart,3),Syklus)&lt;DagK,"K",IF(MOD($A625-INDEX(SkiftStart,3),Syklus)&lt;DagK+DagH,"H",IF(MOD($A625-INDEX(SkiftStart,3),Syklus)&lt;DagK+DagH+DagD,"D","F")))</f>
        <v/>
      </c>
      <c r="E625">
        <f>IF(B625="F",0,IF(WEEKDAY($A625,2)=5,INDEX(TimerFr,MATCH(B625,FaseKode,0)),INDEX(TimerMT,MATCH(B625,FaseKode,0))))</f>
        <v/>
      </c>
      <c r="F625">
        <f>IF(C625="F",0,IF(WEEKDAY($A625,2)=5,INDEX(TimerFr,MATCH(C625,FaseKode,0)),INDEX(TimerMT,MATCH(C625,FaseKode,0))))</f>
        <v/>
      </c>
      <c r="G625">
        <f>IF(D625="F",0,IF(WEEKDAY($A625,2)=5,INDEX(TimerFr,MATCH(D625,FaseKode,0)),INDEX(TimerMT,MATCH(D625,FaseKode,0))))</f>
        <v/>
      </c>
      <c r="H625">
        <f>IF(OR(H$4="",$A625&gt;TODAY()),0,IF(OR(INDEX($B625:$D625,H$5)="F",AND(H$6&gt;0,$A625&lt;H$6),AND(H$7&gt;0,$A625&gt;H$7)),0,MAX(0,ROUND((INDEX($E625:$G625,H$5)-SUMIFS(TF_Timer,TF_Tekniker,H$4,TF_Dato,$A625))*2,0)/2)))</f>
        <v/>
      </c>
      <c r="I625">
        <f>IF(OR(I$4="",$A625&gt;TODAY()),0,IF(OR(INDEX($B625:$D625,I$5)="F",AND(I$6&gt;0,$A625&lt;I$6),AND(I$7&gt;0,$A625&gt;I$7)),0,MAX(0,ROUND((INDEX($E625:$G625,I$5)-SUMIFS(TF_Timer,TF_Tekniker,I$4,TF_Dato,$A625))*2,0)/2)))</f>
        <v/>
      </c>
      <c r="J625">
        <f>IF(OR(J$4="",$A625&gt;TODAY()),0,IF(OR(INDEX($B625:$D625,J$5)="F",AND(J$6&gt;0,$A625&lt;J$6),AND(J$7&gt;0,$A625&gt;J$7)),0,MAX(0,ROUND((INDEX($E625:$G625,J$5)-SUMIFS(TF_Timer,TF_Tekniker,J$4,TF_Dato,$A625))*2,0)/2)))</f>
        <v/>
      </c>
      <c r="K625">
        <f>IF(OR(K$4="",$A625&gt;TODAY()),0,IF(OR(INDEX($B625:$D625,K$5)="F",AND(K$6&gt;0,$A625&lt;K$6),AND(K$7&gt;0,$A625&gt;K$7)),0,MAX(0,ROUND((INDEX($E625:$G625,K$5)-SUMIFS(TF_Timer,TF_Tekniker,K$4,TF_Dato,$A625))*2,0)/2)))</f>
        <v/>
      </c>
      <c r="L625">
        <f>IF(OR(L$4="",$A625&gt;TODAY()),0,IF(OR(INDEX($B625:$D625,L$5)="F",AND(L$6&gt;0,$A625&lt;L$6),AND(L$7&gt;0,$A625&gt;L$7)),0,MAX(0,ROUND((INDEX($E625:$G625,L$5)-SUMIFS(TF_Timer,TF_Tekniker,L$4,TF_Dato,$A625))*2,0)/2)))</f>
        <v/>
      </c>
      <c r="M625">
        <f>IF(OR(M$4="",$A625&gt;TODAY()),0,IF(OR(INDEX($B625:$D625,M$5)="F",AND(M$6&gt;0,$A625&lt;M$6),AND(M$7&gt;0,$A625&gt;M$7)),0,MAX(0,ROUND((INDEX($E625:$G625,M$5)-SUMIFS(TF_Timer,TF_Tekniker,M$4,TF_Dato,$A625))*2,0)/2)))</f>
        <v/>
      </c>
      <c r="N625">
        <f>IF(OR(N$4="",$A625&gt;TODAY()),0,IF(OR(INDEX($B625:$D625,N$5)="F",AND(N$6&gt;0,$A625&lt;N$6),AND(N$7&gt;0,$A625&gt;N$7)),0,MAX(0,ROUND((INDEX($E625:$G625,N$5)-SUMIFS(TF_Timer,TF_Tekniker,N$4,TF_Dato,$A625))*2,0)/2)))</f>
        <v/>
      </c>
      <c r="O625">
        <f>IF(OR(O$4="",$A625&gt;TODAY()),0,IF(OR(INDEX($B625:$D625,O$5)="F",AND(O$6&gt;0,$A625&lt;O$6),AND(O$7&gt;0,$A625&gt;O$7)),0,MAX(0,ROUND((INDEX($E625:$G625,O$5)-SUMIFS(TF_Timer,TF_Tekniker,O$4,TF_Dato,$A625))*2,0)/2)))</f>
        <v/>
      </c>
      <c r="P625">
        <f>IF(OR(P$4="",$A625&gt;TODAY()),0,IF(OR(INDEX($B625:$D625,P$5)="F",AND(P$6&gt;0,$A625&lt;P$6),AND(P$7&gt;0,$A625&gt;P$7)),0,MAX(0,ROUND((INDEX($E625:$G625,P$5)-SUMIFS(TF_Timer,TF_Tekniker,P$4,TF_Dato,$A625))*2,0)/2)))</f>
        <v/>
      </c>
      <c r="Q625">
        <f>IF(OR(Q$4="",$A625&gt;TODAY()),0,IF(OR(INDEX($B625:$D625,Q$5)="F",AND(Q$6&gt;0,$A625&lt;Q$6),AND(Q$7&gt;0,$A625&gt;Q$7)),0,MAX(0,ROUND((INDEX($E625:$G625,Q$5)-SUMIFS(TF_Timer,TF_Tekniker,Q$4,TF_Dato,$A625))*2,0)/2)))</f>
        <v/>
      </c>
      <c r="R625">
        <f>IF(OR(R$4="",$A625&gt;TODAY()),0,IF(OR(INDEX($B625:$D625,R$5)="F",AND(R$6&gt;0,$A625&lt;R$6),AND(R$7&gt;0,$A625&gt;R$7)),0,MAX(0,ROUND((INDEX($E625:$G625,R$5)-SUMIFS(TF_Timer,TF_Tekniker,R$4,TF_Dato,$A625))*2,0)/2)))</f>
        <v/>
      </c>
      <c r="S625">
        <f>IF(OR(S$4="",$A625&gt;TODAY()),0,IF(OR(INDEX($B625:$D625,S$5)="F",AND(S$6&gt;0,$A625&lt;S$6),AND(S$7&gt;0,$A625&gt;S$7)),0,MAX(0,ROUND((INDEX($E625:$G625,S$5)-SUMIFS(TF_Timer,TF_Tekniker,S$4,TF_Dato,$A625))*2,0)/2)))</f>
        <v/>
      </c>
      <c r="T625">
        <f>IF(OR(T$4="",$A625&gt;TODAY()),0,IF(OR(INDEX($B625:$D625,T$5)="F",AND(T$6&gt;0,$A625&lt;T$6),AND(T$7&gt;0,$A625&gt;T$7)),0,MAX(0,ROUND((INDEX($E625:$G625,T$5)-SUMIFS(TF_Timer,TF_Tekniker,T$4,TF_Dato,$A625))*2,0)/2)))</f>
        <v/>
      </c>
      <c r="U625">
        <f>IF(OR(U$4="",$A625&gt;TODAY()),0,IF(OR(INDEX($B625:$D625,U$5)="F",AND(U$6&gt;0,$A625&lt;U$6),AND(U$7&gt;0,$A625&gt;U$7)),0,MAX(0,ROUND((INDEX($E625:$G625,U$5)-SUMIFS(TF_Timer,TF_Tekniker,U$4,TF_Dato,$A625))*2,0)/2)))</f>
        <v/>
      </c>
      <c r="V625">
        <f>IF(OR(V$4="",$A625&gt;TODAY()),0,IF(OR(INDEX($B625:$D625,V$5)="F",AND(V$6&gt;0,$A625&lt;V$6),AND(V$7&gt;0,$A625&gt;V$7)),0,MAX(0,ROUND((INDEX($E625:$G625,V$5)-SUMIFS(TF_Timer,TF_Tekniker,V$4,TF_Dato,$A625))*2,0)/2)))</f>
        <v/>
      </c>
      <c r="W625">
        <f>IF(OR(W$4="",$A625&gt;TODAY()),0,IF(OR(INDEX($B625:$D625,W$5)="F",AND(W$6&gt;0,$A625&lt;W$6),AND(W$7&gt;0,$A625&gt;W$7)),0,MAX(0,ROUND((INDEX($E625:$G625,W$5)-SUMIFS(TF_Timer,TF_Tekniker,W$4,TF_Dato,$A625))*2,0)/2)))</f>
        <v/>
      </c>
      <c r="X625">
        <f>IF(OR(X$4="",$A625&gt;TODAY()),0,IF(OR(INDEX($B625:$D625,X$5)="F",AND(X$6&gt;0,$A625&lt;X$6),AND(X$7&gt;0,$A625&gt;X$7)),0,MAX(0,ROUND((INDEX($E625:$G625,X$5)-SUMIFS(TF_Timer,TF_Tekniker,X$4,TF_Dato,$A625))*2,0)/2)))</f>
        <v/>
      </c>
      <c r="Y625">
        <f>IF(OR(Y$4="",$A625&gt;TODAY()),0,IF(OR(INDEX($B625:$D625,Y$5)="F",AND(Y$6&gt;0,$A625&lt;Y$6),AND(Y$7&gt;0,$A625&gt;Y$7)),0,MAX(0,ROUND((INDEX($E625:$G625,Y$5)-SUMIFS(TF_Timer,TF_Tekniker,Y$4,TF_Dato,$A625))*2,0)/2)))</f>
        <v/>
      </c>
      <c r="Z625">
        <f>IF(OR(Z$4="",$A625&gt;TODAY()),0,IF(OR(INDEX($B625:$D625,Z$5)="F",AND(Z$6&gt;0,$A625&lt;Z$6),AND(Z$7&gt;0,$A625&gt;Z$7)),0,MAX(0,ROUND((INDEX($E625:$G625,Z$5)-SUMIFS(TF_Timer,TF_Tekniker,Z$4,TF_Dato,$A625))*2,0)/2)))</f>
        <v/>
      </c>
      <c r="AA625">
        <f>IF(OR(AA$4="",$A625&gt;TODAY()),0,IF(OR(INDEX($B625:$D625,AA$5)="F",AND(AA$6&gt;0,$A625&lt;AA$6),AND(AA$7&gt;0,$A625&gt;AA$7)),0,MAX(0,ROUND((INDEX($E625:$G625,AA$5)-SUMIFS(TF_Timer,TF_Tekniker,AA$4,TF_Dato,$A625))*2,0)/2)))</f>
        <v/>
      </c>
      <c r="AB625">
        <f>IF(OR(AB$4="",$A625&gt;TODAY()),0,IF(OR(INDEX($B625:$D625,AB$5)="F",AND(AB$6&gt;0,$A625&lt;AB$6),AND(AB$7&gt;0,$A625&gt;AB$7)),0,MAX(0,ROUND((INDEX($E625:$G625,AB$5)-SUMIFS(TF_Timer,TF_Tekniker,AB$4,TF_Dato,$A625))*2,0)/2)))</f>
        <v/>
      </c>
      <c r="AC625">
        <f>IF(OR(AC$4="",$A625&gt;TODAY()),0,IF(OR(INDEX($B625:$D625,AC$5)="F",AND(AC$6&gt;0,$A625&lt;AC$6),AND(AC$7&gt;0,$A625&gt;AC$7)),0,MAX(0,ROUND((INDEX($E625:$G625,AC$5)-SUMIFS(TF_Timer,TF_Tekniker,AC$4,TF_Dato,$A625))*2,0)/2)))</f>
        <v/>
      </c>
      <c r="AD625">
        <f>IF(OR(AD$4="",$A625&gt;TODAY()),0,IF(OR(INDEX($B625:$D625,AD$5)="F",AND(AD$6&gt;0,$A625&lt;AD$6),AND(AD$7&gt;0,$A625&gt;AD$7)),0,MAX(0,ROUND((INDEX($E625:$G625,AD$5)-SUMIFS(TF_Timer,TF_Tekniker,AD$4,TF_Dato,$A625))*2,0)/2)))</f>
        <v/>
      </c>
      <c r="AE625">
        <f>IF(OR(AE$4="",$A625&gt;TODAY()),0,IF(OR(INDEX($B625:$D625,AE$5)="F",AND(AE$6&gt;0,$A625&lt;AE$6),AND(AE$7&gt;0,$A625&gt;AE$7)),0,MAX(0,ROUND((INDEX($E625:$G625,AE$5)-SUMIFS(TF_Timer,TF_Tekniker,AE$4,TF_Dato,$A625))*2,0)/2)))</f>
        <v/>
      </c>
      <c r="AF625">
        <f>IF(OR(AF$4="",$A625&gt;TODAY()),0,IF(OR(INDEX($B625:$D625,AF$5)="F",AND(AF$6&gt;0,$A625&lt;AF$6),AND(AF$7&gt;0,$A625&gt;AF$7)),0,MAX(0,ROUND((INDEX($E625:$G625,AF$5)-SUMIFS(TF_Timer,TF_Tekniker,AF$4,TF_Dato,$A625))*2,0)/2)))</f>
        <v/>
      </c>
      <c r="AG625">
        <f>IF(OR(AG$4="",$A625&gt;TODAY()),0,IF(OR(INDEX($B625:$D625,AG$5)="F",AND(AG$6&gt;0,$A625&lt;AG$6),AND(AG$7&gt;0,$A625&gt;AG$7)),0,MAX(0,ROUND((INDEX($E625:$G625,AG$5)-SUMIFS(TF_Timer,TF_Tekniker,AG$4,TF_Dato,$A625))*2,0)/2)))</f>
        <v/>
      </c>
      <c r="AH625">
        <f>IF(OR(AH$4="",$A625&gt;TODAY()),0,IF(OR(INDEX($B625:$D625,AH$5)="F",AND(AH$6&gt;0,$A625&lt;AH$6),AND(AH$7&gt;0,$A625&gt;AH$7)),0,MAX(0,ROUND((INDEX($E625:$G625,AH$5)-SUMIFS(TF_Timer,TF_Tekniker,AH$4,TF_Dato,$A625))*2,0)/2)))</f>
        <v/>
      </c>
      <c r="AI625">
        <f>IF(OR(AI$4="",$A625&gt;TODAY()),0,IF(OR(INDEX($B625:$D625,AI$5)="F",AND(AI$6&gt;0,$A625&lt;AI$6),AND(AI$7&gt;0,$A625&gt;AI$7)),0,MAX(0,ROUND((INDEX($E625:$G625,AI$5)-SUMIFS(TF_Timer,TF_Tekniker,AI$4,TF_Dato,$A625))*2,0)/2)))</f>
        <v/>
      </c>
      <c r="AJ625">
        <f>IF(OR(AJ$4="",$A625&gt;TODAY()),0,IF(OR(INDEX($B625:$D625,AJ$5)="F",AND(AJ$6&gt;0,$A625&lt;AJ$6),AND(AJ$7&gt;0,$A625&gt;AJ$7)),0,MAX(0,ROUND((INDEX($E625:$G625,AJ$5)-SUMIFS(TF_Timer,TF_Tekniker,AJ$4,TF_Dato,$A625))*2,0)/2)))</f>
        <v/>
      </c>
      <c r="AK625">
        <f>IF(OR(AK$4="",$A625&gt;TODAY()),0,IF(OR(INDEX($B625:$D625,AK$5)="F",AND(AK$6&gt;0,$A625&lt;AK$6),AND(AK$7&gt;0,$A625&gt;AK$7)),0,MAX(0,ROUND((INDEX($E625:$G625,AK$5)-SUMIFS(TF_Timer,TF_Tekniker,AK$4,TF_Dato,$A625))*2,0)/2)))</f>
        <v/>
      </c>
      <c r="AL625">
        <f>IF(OR(AL$4="",$A625&gt;TODAY()),0,IF(OR(INDEX($B625:$D625,AL$5)="F",AND(AL$6&gt;0,$A625&lt;AL$6),AND(AL$7&gt;0,$A625&gt;AL$7)),0,MAX(0,ROUND((INDEX($E625:$G625,AL$5)-SUMIFS(TF_Timer,TF_Tekniker,AL$4,TF_Dato,$A625))*2,0)/2)))</f>
        <v/>
      </c>
      <c r="AM625">
        <f>IF(OR(AM$4="",$A625&gt;TODAY()),0,IF(OR(INDEX($B625:$D625,AM$5)="F",AND(AM$6&gt;0,$A625&lt;AM$6),AND(AM$7&gt;0,$A625&gt;AM$7)),0,MAX(0,ROUND((INDEX($E625:$G625,AM$5)-SUMIFS(TF_Timer,TF_Tekniker,AM$4,TF_Dato,$A625))*2,0)/2)))</f>
        <v/>
      </c>
      <c r="AN625">
        <f>IF(OR(AN$4="",$A625&gt;TODAY()),0,IF(OR(INDEX($B625:$D625,AN$5)="F",AND(AN$6&gt;0,$A625&lt;AN$6),AND(AN$7&gt;0,$A625&gt;AN$7)),0,MAX(0,ROUND((INDEX($E625:$G625,AN$5)-SUMIFS(TF_Timer,TF_Tekniker,AN$4,TF_Dato,$A625))*2,0)/2)))</f>
        <v/>
      </c>
      <c r="AO625">
        <f>IF(OR(AO$4="",$A625&gt;TODAY()),0,IF(OR(INDEX($B625:$D625,AO$5)="F",AND(AO$6&gt;0,$A625&lt;AO$6),AND(AO$7&gt;0,$A625&gt;AO$7)),0,MAX(0,ROUND((INDEX($E625:$G625,AO$5)-SUMIFS(TF_Timer,TF_Tekniker,AO$4,TF_Dato,$A625))*2,0)/2)))</f>
        <v/>
      </c>
      <c r="AP625">
        <f>IF(OR(AP$4="",$A625&gt;TODAY()),0,IF(OR(INDEX($B625:$D625,AP$5)="F",AND(AP$6&gt;0,$A625&lt;AP$6),AND(AP$7&gt;0,$A625&gt;AP$7)),0,MAX(0,ROUND((INDEX($E625:$G625,AP$5)-SUMIFS(TF_Timer,TF_Tekniker,AP$4,TF_Dato,$A625))*2,0)/2)))</f>
        <v/>
      </c>
      <c r="AQ625">
        <f>IF(OR(AQ$4="",$A625&gt;TODAY()),0,IF(OR(INDEX($B625:$D625,AQ$5)="F",AND(AQ$6&gt;0,$A625&lt;AQ$6),AND(AQ$7&gt;0,$A625&gt;AQ$7)),0,MAX(0,ROUND((INDEX($E625:$G625,AQ$5)-SUMIFS(TF_Timer,TF_Tekniker,AQ$4,TF_Dato,$A625))*2,0)/2)))</f>
        <v/>
      </c>
      <c r="AR625">
        <f>IF(OR(AR$4="",$A625&gt;TODAY()),0,IF(OR(INDEX($B625:$D625,AR$5)="F",AND(AR$6&gt;0,$A625&lt;AR$6),AND(AR$7&gt;0,$A625&gt;AR$7)),0,MAX(0,ROUND((INDEX($E625:$G625,AR$5)-SUMIFS(TF_Timer,TF_Tekniker,AR$4,TF_Dato,$A625))*2,0)/2)))</f>
        <v/>
      </c>
      <c r="AS625">
        <f>IF(OR(AS$4="",$A625&gt;TODAY()),0,IF(OR(INDEX($B625:$D625,AS$5)="F",AND(AS$6&gt;0,$A625&lt;AS$6),AND(AS$7&gt;0,$A625&gt;AS$7)),0,MAX(0,ROUND((INDEX($E625:$G625,AS$5)-SUMIFS(TF_Timer,TF_Tekniker,AS$4,TF_Dato,$A625))*2,0)/2)))</f>
        <v/>
      </c>
      <c r="AT625">
        <f>IF(OR(AT$4="",$A625&gt;TODAY()),0,IF(OR(INDEX($B625:$D625,AT$5)="F",AND(AT$6&gt;0,$A625&lt;AT$6),AND(AT$7&gt;0,$A625&gt;AT$7)),0,MAX(0,ROUND((INDEX($E625:$G625,AT$5)-SUMIFS(TF_Timer,TF_Tekniker,AT$4,TF_Dato,$A625))*2,0)/2)))</f>
        <v/>
      </c>
      <c r="AU625">
        <f>IF(OR(AU$4="",$A625&gt;TODAY()),0,IF(OR(INDEX($B625:$D625,AU$5)="F",AND(AU$6&gt;0,$A625&lt;AU$6),AND(AU$7&gt;0,$A625&gt;AU$7)),0,MAX(0,ROUND((INDEX($E625:$G625,AU$5)-SUMIFS(TF_Timer,TF_Tekniker,AU$4,TF_Dato,$A625))*2,0)/2)))</f>
        <v/>
      </c>
      <c r="AV625">
        <f>IF(OR(AV$4="",$A625&gt;TODAY()),0,IF(OR(INDEX($B625:$D625,AV$5)="F",AND(AV$6&gt;0,$A625&lt;AV$6),AND(AV$7&gt;0,$A625&gt;AV$7)),0,MAX(0,ROUND((INDEX($E625:$G625,AV$5)-SUMIFS(TF_Timer,TF_Tekniker,AV$4,TF_Dato,$A625))*2,0)/2)))</f>
        <v/>
      </c>
      <c r="AW625">
        <f>IF(OR(AW$4="",$A625&gt;TODAY()),0,IF(OR(INDEX($B625:$D625,AW$5)="F",AND(AW$6&gt;0,$A625&lt;AW$6),AND(AW$7&gt;0,$A625&gt;AW$7)),0,MAX(0,ROUND((INDEX($E625:$G625,AW$5)-SUMIFS(TF_Timer,TF_Tekniker,AW$4,TF_Dato,$A625))*2,0)/2)))</f>
        <v/>
      </c>
      <c r="AX625">
        <f>IF(OR(AX$4="",$A625&gt;TODAY()),0,IF(OR(INDEX($B625:$D625,AX$5)="F",AND(AX$6&gt;0,$A625&lt;AX$6),AND(AX$7&gt;0,$A625&gt;AX$7)),0,MAX(0,ROUND((INDEX($E625:$G625,AX$5)-SUMIFS(TF_Timer,TF_Tekniker,AX$4,TF_Dato,$A625))*2,0)/2)))</f>
        <v/>
      </c>
      <c r="AY625">
        <f>IF(OR(AY$4="",$A625&gt;TODAY()),0,IF(OR(INDEX($B625:$D625,AY$5)="F",AND(AY$6&gt;0,$A625&lt;AY$6),AND(AY$7&gt;0,$A625&gt;AY$7)),0,MAX(0,ROUND((INDEX($E625:$G625,AY$5)-SUMIFS(TF_Timer,TF_Tekniker,AY$4,TF_Dato,$A625))*2,0)/2)))</f>
        <v/>
      </c>
      <c r="AZ625">
        <f>IF(OR(AZ$4="",$A625&gt;TODAY()),0,IF(OR(INDEX($B625:$D625,AZ$5)="F",AND(AZ$6&gt;0,$A625&lt;AZ$6),AND(AZ$7&gt;0,$A625&gt;AZ$7)),0,MAX(0,ROUND((INDEX($E625:$G625,AZ$5)-SUMIFS(TF_Timer,TF_Tekniker,AZ$4,TF_Dato,$A625))*2,0)/2)))</f>
        <v/>
      </c>
      <c r="BA625">
        <f>IF(OR(BA$4="",$A625&gt;TODAY()),0,IF(OR(INDEX($B625:$D625,BA$5)="F",AND(BA$6&gt;0,$A625&lt;BA$6),AND(BA$7&gt;0,$A625&gt;BA$7)),0,MAX(0,ROUND((INDEX($E625:$G625,BA$5)-SUMIFS(TF_Timer,TF_Tekniker,BA$4,TF_Dato,$A625))*2,0)/2)))</f>
        <v/>
      </c>
      <c r="BB625">
        <f>IF(OR(BB$4="",$A625&gt;TODAY()),0,IF(OR(INDEX($B625:$D625,BB$5)="F",AND(BB$6&gt;0,$A625&lt;BB$6),AND(BB$7&gt;0,$A625&gt;BB$7)),0,MAX(0,ROUND((INDEX($E625:$G625,BB$5)-SUMIFS(TF_Timer,TF_Tekniker,BB$4,TF_Dato,$A625))*2,0)/2)))</f>
        <v/>
      </c>
      <c r="BC625">
        <f>IF(OR(BC$4="",$A625&gt;TODAY()),0,IF(OR(INDEX($B625:$D625,BC$5)="F",AND(BC$6&gt;0,$A625&lt;BC$6),AND(BC$7&gt;0,$A625&gt;BC$7)),0,MAX(0,ROUND((INDEX($E625:$G625,BC$5)-SUMIFS(TF_Timer,TF_Tekniker,BC$4,TF_Dato,$A625))*2,0)/2)))</f>
        <v/>
      </c>
      <c r="BD625">
        <f>IF(OR(BD$4="",$A625&gt;TODAY()),0,IF(OR(INDEX($B625:$D625,BD$5)="F",AND(BD$6&gt;0,$A625&lt;BD$6),AND(BD$7&gt;0,$A625&gt;BD$7)),0,MAX(0,ROUND((INDEX($E625:$G625,BD$5)-SUMIFS(TF_Timer,TF_Tekniker,BD$4,TF_Dato,$A625))*2,0)/2)))</f>
        <v/>
      </c>
      <c r="BE625">
        <f>IF(OR(BE$4="",$A625&gt;TODAY()),0,IF(OR(INDEX($B625:$D625,BE$5)="F",AND(BE$6&gt;0,$A625&lt;BE$6),AND(BE$7&gt;0,$A625&gt;BE$7)),0,MAX(0,ROUND((INDEX($E625:$G625,BE$5)-SUMIFS(TF_Timer,TF_Tekniker,BE$4,TF_Dato,$A625))*2,0)/2)))</f>
        <v/>
      </c>
      <c r="BF625">
        <f>IF(OR(BF$4="",$A625&gt;TODAY()),0,IF(OR(INDEX($B625:$D625,BF$5)="F",AND(BF$6&gt;0,$A625&lt;BF$6),AND(BF$7&gt;0,$A625&gt;BF$7)),0,MAX(0,ROUND((INDEX($E625:$G625,BF$5)-SUMIFS(TF_Timer,TF_Tekniker,BF$4,TF_Dato,$A625))*2,0)/2)))</f>
        <v/>
      </c>
      <c r="BG625">
        <f>IF(OR(BG$4="",$A625&gt;TODAY()),0,IF(OR(INDEX($B625:$D625,BG$5)="F",AND(BG$6&gt;0,$A625&lt;BG$6),AND(BG$7&gt;0,$A625&gt;BG$7)),0,MAX(0,ROUND((INDEX($E625:$G625,BG$5)-SUMIFS(TF_Timer,TF_Tekniker,BG$4,TF_Dato,$A625))*2,0)/2)))</f>
        <v/>
      </c>
      <c r="BH625">
        <f>IF(OR(BH$4="",$A625&gt;TODAY()),0,IF(OR(INDEX($B625:$D625,BH$5)="F",AND(BH$6&gt;0,$A625&lt;BH$6),AND(BH$7&gt;0,$A625&gt;BH$7)),0,MAX(0,ROUND((INDEX($E625:$G625,BH$5)-SUMIFS(TF_Timer,TF_Tekniker,BH$4,TF_Dato,$A625))*2,0)/2)))</f>
        <v/>
      </c>
      <c r="BI625">
        <f>IF(OR(BI$4="",$A625&gt;TODAY()),0,IF(OR(INDEX($B625:$D625,BI$5)="F",AND(BI$6&gt;0,$A625&lt;BI$6),AND(BI$7&gt;0,$A625&gt;BI$7)),0,MAX(0,ROUND((INDEX($E625:$G625,BI$5)-SUMIFS(TF_Timer,TF_Tekniker,BI$4,TF_Dato,$A625))*2,0)/2)))</f>
        <v/>
      </c>
    </row>
    <row r="626">
      <c r="A626" s="64">
        <f>A625+1</f>
        <v/>
      </c>
      <c r="B626">
        <f>IF(MOD($A626-INDEX(SkiftStart,1),Syklus)&lt;DagK,"K",IF(MOD($A626-INDEX(SkiftStart,1),Syklus)&lt;DagK+DagH,"H",IF(MOD($A626-INDEX(SkiftStart,1),Syklus)&lt;DagK+DagH+DagD,"D","F")))</f>
        <v/>
      </c>
      <c r="C626">
        <f>IF(MOD($A626-INDEX(SkiftStart,2),Syklus)&lt;DagK,"K",IF(MOD($A626-INDEX(SkiftStart,2),Syklus)&lt;DagK+DagH,"H",IF(MOD($A626-INDEX(SkiftStart,2),Syklus)&lt;DagK+DagH+DagD,"D","F")))</f>
        <v/>
      </c>
      <c r="D626">
        <f>IF(MOD($A626-INDEX(SkiftStart,3),Syklus)&lt;DagK,"K",IF(MOD($A626-INDEX(SkiftStart,3),Syklus)&lt;DagK+DagH,"H",IF(MOD($A626-INDEX(SkiftStart,3),Syklus)&lt;DagK+DagH+DagD,"D","F")))</f>
        <v/>
      </c>
      <c r="E626">
        <f>IF(B626="F",0,IF(WEEKDAY($A626,2)=5,INDEX(TimerFr,MATCH(B626,FaseKode,0)),INDEX(TimerMT,MATCH(B626,FaseKode,0))))</f>
        <v/>
      </c>
      <c r="F626">
        <f>IF(C626="F",0,IF(WEEKDAY($A626,2)=5,INDEX(TimerFr,MATCH(C626,FaseKode,0)),INDEX(TimerMT,MATCH(C626,FaseKode,0))))</f>
        <v/>
      </c>
      <c r="G626">
        <f>IF(D626="F",0,IF(WEEKDAY($A626,2)=5,INDEX(TimerFr,MATCH(D626,FaseKode,0)),INDEX(TimerMT,MATCH(D626,FaseKode,0))))</f>
        <v/>
      </c>
      <c r="H626">
        <f>IF(OR(H$4="",$A626&gt;TODAY()),0,IF(OR(INDEX($B626:$D626,H$5)="F",AND(H$6&gt;0,$A626&lt;H$6),AND(H$7&gt;0,$A626&gt;H$7)),0,MAX(0,ROUND((INDEX($E626:$G626,H$5)-SUMIFS(TF_Timer,TF_Tekniker,H$4,TF_Dato,$A626))*2,0)/2)))</f>
        <v/>
      </c>
      <c r="I626">
        <f>IF(OR(I$4="",$A626&gt;TODAY()),0,IF(OR(INDEX($B626:$D626,I$5)="F",AND(I$6&gt;0,$A626&lt;I$6),AND(I$7&gt;0,$A626&gt;I$7)),0,MAX(0,ROUND((INDEX($E626:$G626,I$5)-SUMIFS(TF_Timer,TF_Tekniker,I$4,TF_Dato,$A626))*2,0)/2)))</f>
        <v/>
      </c>
      <c r="J626">
        <f>IF(OR(J$4="",$A626&gt;TODAY()),0,IF(OR(INDEX($B626:$D626,J$5)="F",AND(J$6&gt;0,$A626&lt;J$6),AND(J$7&gt;0,$A626&gt;J$7)),0,MAX(0,ROUND((INDEX($E626:$G626,J$5)-SUMIFS(TF_Timer,TF_Tekniker,J$4,TF_Dato,$A626))*2,0)/2)))</f>
        <v/>
      </c>
      <c r="K626">
        <f>IF(OR(K$4="",$A626&gt;TODAY()),0,IF(OR(INDEX($B626:$D626,K$5)="F",AND(K$6&gt;0,$A626&lt;K$6),AND(K$7&gt;0,$A626&gt;K$7)),0,MAX(0,ROUND((INDEX($E626:$G626,K$5)-SUMIFS(TF_Timer,TF_Tekniker,K$4,TF_Dato,$A626))*2,0)/2)))</f>
        <v/>
      </c>
      <c r="L626">
        <f>IF(OR(L$4="",$A626&gt;TODAY()),0,IF(OR(INDEX($B626:$D626,L$5)="F",AND(L$6&gt;0,$A626&lt;L$6),AND(L$7&gt;0,$A626&gt;L$7)),0,MAX(0,ROUND((INDEX($E626:$G626,L$5)-SUMIFS(TF_Timer,TF_Tekniker,L$4,TF_Dato,$A626))*2,0)/2)))</f>
        <v/>
      </c>
      <c r="M626">
        <f>IF(OR(M$4="",$A626&gt;TODAY()),0,IF(OR(INDEX($B626:$D626,M$5)="F",AND(M$6&gt;0,$A626&lt;M$6),AND(M$7&gt;0,$A626&gt;M$7)),0,MAX(0,ROUND((INDEX($E626:$G626,M$5)-SUMIFS(TF_Timer,TF_Tekniker,M$4,TF_Dato,$A626))*2,0)/2)))</f>
        <v/>
      </c>
      <c r="N626">
        <f>IF(OR(N$4="",$A626&gt;TODAY()),0,IF(OR(INDEX($B626:$D626,N$5)="F",AND(N$6&gt;0,$A626&lt;N$6),AND(N$7&gt;0,$A626&gt;N$7)),0,MAX(0,ROUND((INDEX($E626:$G626,N$5)-SUMIFS(TF_Timer,TF_Tekniker,N$4,TF_Dato,$A626))*2,0)/2)))</f>
        <v/>
      </c>
      <c r="O626">
        <f>IF(OR(O$4="",$A626&gt;TODAY()),0,IF(OR(INDEX($B626:$D626,O$5)="F",AND(O$6&gt;0,$A626&lt;O$6),AND(O$7&gt;0,$A626&gt;O$7)),0,MAX(0,ROUND((INDEX($E626:$G626,O$5)-SUMIFS(TF_Timer,TF_Tekniker,O$4,TF_Dato,$A626))*2,0)/2)))</f>
        <v/>
      </c>
      <c r="P626">
        <f>IF(OR(P$4="",$A626&gt;TODAY()),0,IF(OR(INDEX($B626:$D626,P$5)="F",AND(P$6&gt;0,$A626&lt;P$6),AND(P$7&gt;0,$A626&gt;P$7)),0,MAX(0,ROUND((INDEX($E626:$G626,P$5)-SUMIFS(TF_Timer,TF_Tekniker,P$4,TF_Dato,$A626))*2,0)/2)))</f>
        <v/>
      </c>
      <c r="Q626">
        <f>IF(OR(Q$4="",$A626&gt;TODAY()),0,IF(OR(INDEX($B626:$D626,Q$5)="F",AND(Q$6&gt;0,$A626&lt;Q$6),AND(Q$7&gt;0,$A626&gt;Q$7)),0,MAX(0,ROUND((INDEX($E626:$G626,Q$5)-SUMIFS(TF_Timer,TF_Tekniker,Q$4,TF_Dato,$A626))*2,0)/2)))</f>
        <v/>
      </c>
      <c r="R626">
        <f>IF(OR(R$4="",$A626&gt;TODAY()),0,IF(OR(INDEX($B626:$D626,R$5)="F",AND(R$6&gt;0,$A626&lt;R$6),AND(R$7&gt;0,$A626&gt;R$7)),0,MAX(0,ROUND((INDEX($E626:$G626,R$5)-SUMIFS(TF_Timer,TF_Tekniker,R$4,TF_Dato,$A626))*2,0)/2)))</f>
        <v/>
      </c>
      <c r="S626">
        <f>IF(OR(S$4="",$A626&gt;TODAY()),0,IF(OR(INDEX($B626:$D626,S$5)="F",AND(S$6&gt;0,$A626&lt;S$6),AND(S$7&gt;0,$A626&gt;S$7)),0,MAX(0,ROUND((INDEX($E626:$G626,S$5)-SUMIFS(TF_Timer,TF_Tekniker,S$4,TF_Dato,$A626))*2,0)/2)))</f>
        <v/>
      </c>
      <c r="T626">
        <f>IF(OR(T$4="",$A626&gt;TODAY()),0,IF(OR(INDEX($B626:$D626,T$5)="F",AND(T$6&gt;0,$A626&lt;T$6),AND(T$7&gt;0,$A626&gt;T$7)),0,MAX(0,ROUND((INDEX($E626:$G626,T$5)-SUMIFS(TF_Timer,TF_Tekniker,T$4,TF_Dato,$A626))*2,0)/2)))</f>
        <v/>
      </c>
      <c r="U626">
        <f>IF(OR(U$4="",$A626&gt;TODAY()),0,IF(OR(INDEX($B626:$D626,U$5)="F",AND(U$6&gt;0,$A626&lt;U$6),AND(U$7&gt;0,$A626&gt;U$7)),0,MAX(0,ROUND((INDEX($E626:$G626,U$5)-SUMIFS(TF_Timer,TF_Tekniker,U$4,TF_Dato,$A626))*2,0)/2)))</f>
        <v/>
      </c>
      <c r="V626">
        <f>IF(OR(V$4="",$A626&gt;TODAY()),0,IF(OR(INDEX($B626:$D626,V$5)="F",AND(V$6&gt;0,$A626&lt;V$6),AND(V$7&gt;0,$A626&gt;V$7)),0,MAX(0,ROUND((INDEX($E626:$G626,V$5)-SUMIFS(TF_Timer,TF_Tekniker,V$4,TF_Dato,$A626))*2,0)/2)))</f>
        <v/>
      </c>
      <c r="W626">
        <f>IF(OR(W$4="",$A626&gt;TODAY()),0,IF(OR(INDEX($B626:$D626,W$5)="F",AND(W$6&gt;0,$A626&lt;W$6),AND(W$7&gt;0,$A626&gt;W$7)),0,MAX(0,ROUND((INDEX($E626:$G626,W$5)-SUMIFS(TF_Timer,TF_Tekniker,W$4,TF_Dato,$A626))*2,0)/2)))</f>
        <v/>
      </c>
      <c r="X626">
        <f>IF(OR(X$4="",$A626&gt;TODAY()),0,IF(OR(INDEX($B626:$D626,X$5)="F",AND(X$6&gt;0,$A626&lt;X$6),AND(X$7&gt;0,$A626&gt;X$7)),0,MAX(0,ROUND((INDEX($E626:$G626,X$5)-SUMIFS(TF_Timer,TF_Tekniker,X$4,TF_Dato,$A626))*2,0)/2)))</f>
        <v/>
      </c>
      <c r="Y626">
        <f>IF(OR(Y$4="",$A626&gt;TODAY()),0,IF(OR(INDEX($B626:$D626,Y$5)="F",AND(Y$6&gt;0,$A626&lt;Y$6),AND(Y$7&gt;0,$A626&gt;Y$7)),0,MAX(0,ROUND((INDEX($E626:$G626,Y$5)-SUMIFS(TF_Timer,TF_Tekniker,Y$4,TF_Dato,$A626))*2,0)/2)))</f>
        <v/>
      </c>
      <c r="Z626">
        <f>IF(OR(Z$4="",$A626&gt;TODAY()),0,IF(OR(INDEX($B626:$D626,Z$5)="F",AND(Z$6&gt;0,$A626&lt;Z$6),AND(Z$7&gt;0,$A626&gt;Z$7)),0,MAX(0,ROUND((INDEX($E626:$G626,Z$5)-SUMIFS(TF_Timer,TF_Tekniker,Z$4,TF_Dato,$A626))*2,0)/2)))</f>
        <v/>
      </c>
      <c r="AA626">
        <f>IF(OR(AA$4="",$A626&gt;TODAY()),0,IF(OR(INDEX($B626:$D626,AA$5)="F",AND(AA$6&gt;0,$A626&lt;AA$6),AND(AA$7&gt;0,$A626&gt;AA$7)),0,MAX(0,ROUND((INDEX($E626:$G626,AA$5)-SUMIFS(TF_Timer,TF_Tekniker,AA$4,TF_Dato,$A626))*2,0)/2)))</f>
        <v/>
      </c>
      <c r="AB626">
        <f>IF(OR(AB$4="",$A626&gt;TODAY()),0,IF(OR(INDEX($B626:$D626,AB$5)="F",AND(AB$6&gt;0,$A626&lt;AB$6),AND(AB$7&gt;0,$A626&gt;AB$7)),0,MAX(0,ROUND((INDEX($E626:$G626,AB$5)-SUMIFS(TF_Timer,TF_Tekniker,AB$4,TF_Dato,$A626))*2,0)/2)))</f>
        <v/>
      </c>
      <c r="AC626">
        <f>IF(OR(AC$4="",$A626&gt;TODAY()),0,IF(OR(INDEX($B626:$D626,AC$5)="F",AND(AC$6&gt;0,$A626&lt;AC$6),AND(AC$7&gt;0,$A626&gt;AC$7)),0,MAX(0,ROUND((INDEX($E626:$G626,AC$5)-SUMIFS(TF_Timer,TF_Tekniker,AC$4,TF_Dato,$A626))*2,0)/2)))</f>
        <v/>
      </c>
      <c r="AD626">
        <f>IF(OR(AD$4="",$A626&gt;TODAY()),0,IF(OR(INDEX($B626:$D626,AD$5)="F",AND(AD$6&gt;0,$A626&lt;AD$6),AND(AD$7&gt;0,$A626&gt;AD$7)),0,MAX(0,ROUND((INDEX($E626:$G626,AD$5)-SUMIFS(TF_Timer,TF_Tekniker,AD$4,TF_Dato,$A626))*2,0)/2)))</f>
        <v/>
      </c>
      <c r="AE626">
        <f>IF(OR(AE$4="",$A626&gt;TODAY()),0,IF(OR(INDEX($B626:$D626,AE$5)="F",AND(AE$6&gt;0,$A626&lt;AE$6),AND(AE$7&gt;0,$A626&gt;AE$7)),0,MAX(0,ROUND((INDEX($E626:$G626,AE$5)-SUMIFS(TF_Timer,TF_Tekniker,AE$4,TF_Dato,$A626))*2,0)/2)))</f>
        <v/>
      </c>
      <c r="AF626">
        <f>IF(OR(AF$4="",$A626&gt;TODAY()),0,IF(OR(INDEX($B626:$D626,AF$5)="F",AND(AF$6&gt;0,$A626&lt;AF$6),AND(AF$7&gt;0,$A626&gt;AF$7)),0,MAX(0,ROUND((INDEX($E626:$G626,AF$5)-SUMIFS(TF_Timer,TF_Tekniker,AF$4,TF_Dato,$A626))*2,0)/2)))</f>
        <v/>
      </c>
      <c r="AG626">
        <f>IF(OR(AG$4="",$A626&gt;TODAY()),0,IF(OR(INDEX($B626:$D626,AG$5)="F",AND(AG$6&gt;0,$A626&lt;AG$6),AND(AG$7&gt;0,$A626&gt;AG$7)),0,MAX(0,ROUND((INDEX($E626:$G626,AG$5)-SUMIFS(TF_Timer,TF_Tekniker,AG$4,TF_Dato,$A626))*2,0)/2)))</f>
        <v/>
      </c>
      <c r="AH626">
        <f>IF(OR(AH$4="",$A626&gt;TODAY()),0,IF(OR(INDEX($B626:$D626,AH$5)="F",AND(AH$6&gt;0,$A626&lt;AH$6),AND(AH$7&gt;0,$A626&gt;AH$7)),0,MAX(0,ROUND((INDEX($E626:$G626,AH$5)-SUMIFS(TF_Timer,TF_Tekniker,AH$4,TF_Dato,$A626))*2,0)/2)))</f>
        <v/>
      </c>
      <c r="AI626">
        <f>IF(OR(AI$4="",$A626&gt;TODAY()),0,IF(OR(INDEX($B626:$D626,AI$5)="F",AND(AI$6&gt;0,$A626&lt;AI$6),AND(AI$7&gt;0,$A626&gt;AI$7)),0,MAX(0,ROUND((INDEX($E626:$G626,AI$5)-SUMIFS(TF_Timer,TF_Tekniker,AI$4,TF_Dato,$A626))*2,0)/2)))</f>
        <v/>
      </c>
      <c r="AJ626">
        <f>IF(OR(AJ$4="",$A626&gt;TODAY()),0,IF(OR(INDEX($B626:$D626,AJ$5)="F",AND(AJ$6&gt;0,$A626&lt;AJ$6),AND(AJ$7&gt;0,$A626&gt;AJ$7)),0,MAX(0,ROUND((INDEX($E626:$G626,AJ$5)-SUMIFS(TF_Timer,TF_Tekniker,AJ$4,TF_Dato,$A626))*2,0)/2)))</f>
        <v/>
      </c>
      <c r="AK626">
        <f>IF(OR(AK$4="",$A626&gt;TODAY()),0,IF(OR(INDEX($B626:$D626,AK$5)="F",AND(AK$6&gt;0,$A626&lt;AK$6),AND(AK$7&gt;0,$A626&gt;AK$7)),0,MAX(0,ROUND((INDEX($E626:$G626,AK$5)-SUMIFS(TF_Timer,TF_Tekniker,AK$4,TF_Dato,$A626))*2,0)/2)))</f>
        <v/>
      </c>
      <c r="AL626">
        <f>IF(OR(AL$4="",$A626&gt;TODAY()),0,IF(OR(INDEX($B626:$D626,AL$5)="F",AND(AL$6&gt;0,$A626&lt;AL$6),AND(AL$7&gt;0,$A626&gt;AL$7)),0,MAX(0,ROUND((INDEX($E626:$G626,AL$5)-SUMIFS(TF_Timer,TF_Tekniker,AL$4,TF_Dato,$A626))*2,0)/2)))</f>
        <v/>
      </c>
      <c r="AM626">
        <f>IF(OR(AM$4="",$A626&gt;TODAY()),0,IF(OR(INDEX($B626:$D626,AM$5)="F",AND(AM$6&gt;0,$A626&lt;AM$6),AND(AM$7&gt;0,$A626&gt;AM$7)),0,MAX(0,ROUND((INDEX($E626:$G626,AM$5)-SUMIFS(TF_Timer,TF_Tekniker,AM$4,TF_Dato,$A626))*2,0)/2)))</f>
        <v/>
      </c>
      <c r="AN626">
        <f>IF(OR(AN$4="",$A626&gt;TODAY()),0,IF(OR(INDEX($B626:$D626,AN$5)="F",AND(AN$6&gt;0,$A626&lt;AN$6),AND(AN$7&gt;0,$A626&gt;AN$7)),0,MAX(0,ROUND((INDEX($E626:$G626,AN$5)-SUMIFS(TF_Timer,TF_Tekniker,AN$4,TF_Dato,$A626))*2,0)/2)))</f>
        <v/>
      </c>
      <c r="AO626">
        <f>IF(OR(AO$4="",$A626&gt;TODAY()),0,IF(OR(INDEX($B626:$D626,AO$5)="F",AND(AO$6&gt;0,$A626&lt;AO$6),AND(AO$7&gt;0,$A626&gt;AO$7)),0,MAX(0,ROUND((INDEX($E626:$G626,AO$5)-SUMIFS(TF_Timer,TF_Tekniker,AO$4,TF_Dato,$A626))*2,0)/2)))</f>
        <v/>
      </c>
      <c r="AP626">
        <f>IF(OR(AP$4="",$A626&gt;TODAY()),0,IF(OR(INDEX($B626:$D626,AP$5)="F",AND(AP$6&gt;0,$A626&lt;AP$6),AND(AP$7&gt;0,$A626&gt;AP$7)),0,MAX(0,ROUND((INDEX($E626:$G626,AP$5)-SUMIFS(TF_Timer,TF_Tekniker,AP$4,TF_Dato,$A626))*2,0)/2)))</f>
        <v/>
      </c>
      <c r="AQ626">
        <f>IF(OR(AQ$4="",$A626&gt;TODAY()),0,IF(OR(INDEX($B626:$D626,AQ$5)="F",AND(AQ$6&gt;0,$A626&lt;AQ$6),AND(AQ$7&gt;0,$A626&gt;AQ$7)),0,MAX(0,ROUND((INDEX($E626:$G626,AQ$5)-SUMIFS(TF_Timer,TF_Tekniker,AQ$4,TF_Dato,$A626))*2,0)/2)))</f>
        <v/>
      </c>
      <c r="AR626">
        <f>IF(OR(AR$4="",$A626&gt;TODAY()),0,IF(OR(INDEX($B626:$D626,AR$5)="F",AND(AR$6&gt;0,$A626&lt;AR$6),AND(AR$7&gt;0,$A626&gt;AR$7)),0,MAX(0,ROUND((INDEX($E626:$G626,AR$5)-SUMIFS(TF_Timer,TF_Tekniker,AR$4,TF_Dato,$A626))*2,0)/2)))</f>
        <v/>
      </c>
      <c r="AS626">
        <f>IF(OR(AS$4="",$A626&gt;TODAY()),0,IF(OR(INDEX($B626:$D626,AS$5)="F",AND(AS$6&gt;0,$A626&lt;AS$6),AND(AS$7&gt;0,$A626&gt;AS$7)),0,MAX(0,ROUND((INDEX($E626:$G626,AS$5)-SUMIFS(TF_Timer,TF_Tekniker,AS$4,TF_Dato,$A626))*2,0)/2)))</f>
        <v/>
      </c>
      <c r="AT626">
        <f>IF(OR(AT$4="",$A626&gt;TODAY()),0,IF(OR(INDEX($B626:$D626,AT$5)="F",AND(AT$6&gt;0,$A626&lt;AT$6),AND(AT$7&gt;0,$A626&gt;AT$7)),0,MAX(0,ROUND((INDEX($E626:$G626,AT$5)-SUMIFS(TF_Timer,TF_Tekniker,AT$4,TF_Dato,$A626))*2,0)/2)))</f>
        <v/>
      </c>
      <c r="AU626">
        <f>IF(OR(AU$4="",$A626&gt;TODAY()),0,IF(OR(INDEX($B626:$D626,AU$5)="F",AND(AU$6&gt;0,$A626&lt;AU$6),AND(AU$7&gt;0,$A626&gt;AU$7)),0,MAX(0,ROUND((INDEX($E626:$G626,AU$5)-SUMIFS(TF_Timer,TF_Tekniker,AU$4,TF_Dato,$A626))*2,0)/2)))</f>
        <v/>
      </c>
      <c r="AV626">
        <f>IF(OR(AV$4="",$A626&gt;TODAY()),0,IF(OR(INDEX($B626:$D626,AV$5)="F",AND(AV$6&gt;0,$A626&lt;AV$6),AND(AV$7&gt;0,$A626&gt;AV$7)),0,MAX(0,ROUND((INDEX($E626:$G626,AV$5)-SUMIFS(TF_Timer,TF_Tekniker,AV$4,TF_Dato,$A626))*2,0)/2)))</f>
        <v/>
      </c>
      <c r="AW626">
        <f>IF(OR(AW$4="",$A626&gt;TODAY()),0,IF(OR(INDEX($B626:$D626,AW$5)="F",AND(AW$6&gt;0,$A626&lt;AW$6),AND(AW$7&gt;0,$A626&gt;AW$7)),0,MAX(0,ROUND((INDEX($E626:$G626,AW$5)-SUMIFS(TF_Timer,TF_Tekniker,AW$4,TF_Dato,$A626))*2,0)/2)))</f>
        <v/>
      </c>
      <c r="AX626">
        <f>IF(OR(AX$4="",$A626&gt;TODAY()),0,IF(OR(INDEX($B626:$D626,AX$5)="F",AND(AX$6&gt;0,$A626&lt;AX$6),AND(AX$7&gt;0,$A626&gt;AX$7)),0,MAX(0,ROUND((INDEX($E626:$G626,AX$5)-SUMIFS(TF_Timer,TF_Tekniker,AX$4,TF_Dato,$A626))*2,0)/2)))</f>
        <v/>
      </c>
      <c r="AY626">
        <f>IF(OR(AY$4="",$A626&gt;TODAY()),0,IF(OR(INDEX($B626:$D626,AY$5)="F",AND(AY$6&gt;0,$A626&lt;AY$6),AND(AY$7&gt;0,$A626&gt;AY$7)),0,MAX(0,ROUND((INDEX($E626:$G626,AY$5)-SUMIFS(TF_Timer,TF_Tekniker,AY$4,TF_Dato,$A626))*2,0)/2)))</f>
        <v/>
      </c>
      <c r="AZ626">
        <f>IF(OR(AZ$4="",$A626&gt;TODAY()),0,IF(OR(INDEX($B626:$D626,AZ$5)="F",AND(AZ$6&gt;0,$A626&lt;AZ$6),AND(AZ$7&gt;0,$A626&gt;AZ$7)),0,MAX(0,ROUND((INDEX($E626:$G626,AZ$5)-SUMIFS(TF_Timer,TF_Tekniker,AZ$4,TF_Dato,$A626))*2,0)/2)))</f>
        <v/>
      </c>
      <c r="BA626">
        <f>IF(OR(BA$4="",$A626&gt;TODAY()),0,IF(OR(INDEX($B626:$D626,BA$5)="F",AND(BA$6&gt;0,$A626&lt;BA$6),AND(BA$7&gt;0,$A626&gt;BA$7)),0,MAX(0,ROUND((INDEX($E626:$G626,BA$5)-SUMIFS(TF_Timer,TF_Tekniker,BA$4,TF_Dato,$A626))*2,0)/2)))</f>
        <v/>
      </c>
      <c r="BB626">
        <f>IF(OR(BB$4="",$A626&gt;TODAY()),0,IF(OR(INDEX($B626:$D626,BB$5)="F",AND(BB$6&gt;0,$A626&lt;BB$6),AND(BB$7&gt;0,$A626&gt;BB$7)),0,MAX(0,ROUND((INDEX($E626:$G626,BB$5)-SUMIFS(TF_Timer,TF_Tekniker,BB$4,TF_Dato,$A626))*2,0)/2)))</f>
        <v/>
      </c>
      <c r="BC626">
        <f>IF(OR(BC$4="",$A626&gt;TODAY()),0,IF(OR(INDEX($B626:$D626,BC$5)="F",AND(BC$6&gt;0,$A626&lt;BC$6),AND(BC$7&gt;0,$A626&gt;BC$7)),0,MAX(0,ROUND((INDEX($E626:$G626,BC$5)-SUMIFS(TF_Timer,TF_Tekniker,BC$4,TF_Dato,$A626))*2,0)/2)))</f>
        <v/>
      </c>
      <c r="BD626">
        <f>IF(OR(BD$4="",$A626&gt;TODAY()),0,IF(OR(INDEX($B626:$D626,BD$5)="F",AND(BD$6&gt;0,$A626&lt;BD$6),AND(BD$7&gt;0,$A626&gt;BD$7)),0,MAX(0,ROUND((INDEX($E626:$G626,BD$5)-SUMIFS(TF_Timer,TF_Tekniker,BD$4,TF_Dato,$A626))*2,0)/2)))</f>
        <v/>
      </c>
      <c r="BE626">
        <f>IF(OR(BE$4="",$A626&gt;TODAY()),0,IF(OR(INDEX($B626:$D626,BE$5)="F",AND(BE$6&gt;0,$A626&lt;BE$6),AND(BE$7&gt;0,$A626&gt;BE$7)),0,MAX(0,ROUND((INDEX($E626:$G626,BE$5)-SUMIFS(TF_Timer,TF_Tekniker,BE$4,TF_Dato,$A626))*2,0)/2)))</f>
        <v/>
      </c>
      <c r="BF626">
        <f>IF(OR(BF$4="",$A626&gt;TODAY()),0,IF(OR(INDEX($B626:$D626,BF$5)="F",AND(BF$6&gt;0,$A626&lt;BF$6),AND(BF$7&gt;0,$A626&gt;BF$7)),0,MAX(0,ROUND((INDEX($E626:$G626,BF$5)-SUMIFS(TF_Timer,TF_Tekniker,BF$4,TF_Dato,$A626))*2,0)/2)))</f>
        <v/>
      </c>
      <c r="BG626">
        <f>IF(OR(BG$4="",$A626&gt;TODAY()),0,IF(OR(INDEX($B626:$D626,BG$5)="F",AND(BG$6&gt;0,$A626&lt;BG$6),AND(BG$7&gt;0,$A626&gt;BG$7)),0,MAX(0,ROUND((INDEX($E626:$G626,BG$5)-SUMIFS(TF_Timer,TF_Tekniker,BG$4,TF_Dato,$A626))*2,0)/2)))</f>
        <v/>
      </c>
      <c r="BH626">
        <f>IF(OR(BH$4="",$A626&gt;TODAY()),0,IF(OR(INDEX($B626:$D626,BH$5)="F",AND(BH$6&gt;0,$A626&lt;BH$6),AND(BH$7&gt;0,$A626&gt;BH$7)),0,MAX(0,ROUND((INDEX($E626:$G626,BH$5)-SUMIFS(TF_Timer,TF_Tekniker,BH$4,TF_Dato,$A626))*2,0)/2)))</f>
        <v/>
      </c>
      <c r="BI626">
        <f>IF(OR(BI$4="",$A626&gt;TODAY()),0,IF(OR(INDEX($B626:$D626,BI$5)="F",AND(BI$6&gt;0,$A626&lt;BI$6),AND(BI$7&gt;0,$A626&gt;BI$7)),0,MAX(0,ROUND((INDEX($E626:$G626,BI$5)-SUMIFS(TF_Timer,TF_Tekniker,BI$4,TF_Dato,$A626))*2,0)/2)))</f>
        <v/>
      </c>
    </row>
    <row r="627">
      <c r="A627" s="64">
        <f>A626+1</f>
        <v/>
      </c>
      <c r="B627">
        <f>IF(MOD($A627-INDEX(SkiftStart,1),Syklus)&lt;DagK,"K",IF(MOD($A627-INDEX(SkiftStart,1),Syklus)&lt;DagK+DagH,"H",IF(MOD($A627-INDEX(SkiftStart,1),Syklus)&lt;DagK+DagH+DagD,"D","F")))</f>
        <v/>
      </c>
      <c r="C627">
        <f>IF(MOD($A627-INDEX(SkiftStart,2),Syklus)&lt;DagK,"K",IF(MOD($A627-INDEX(SkiftStart,2),Syklus)&lt;DagK+DagH,"H",IF(MOD($A627-INDEX(SkiftStart,2),Syklus)&lt;DagK+DagH+DagD,"D","F")))</f>
        <v/>
      </c>
      <c r="D627">
        <f>IF(MOD($A627-INDEX(SkiftStart,3),Syklus)&lt;DagK,"K",IF(MOD($A627-INDEX(SkiftStart,3),Syklus)&lt;DagK+DagH,"H",IF(MOD($A627-INDEX(SkiftStart,3),Syklus)&lt;DagK+DagH+DagD,"D","F")))</f>
        <v/>
      </c>
      <c r="E627">
        <f>IF(B627="F",0,IF(WEEKDAY($A627,2)=5,INDEX(TimerFr,MATCH(B627,FaseKode,0)),INDEX(TimerMT,MATCH(B627,FaseKode,0))))</f>
        <v/>
      </c>
      <c r="F627">
        <f>IF(C627="F",0,IF(WEEKDAY($A627,2)=5,INDEX(TimerFr,MATCH(C627,FaseKode,0)),INDEX(TimerMT,MATCH(C627,FaseKode,0))))</f>
        <v/>
      </c>
      <c r="G627">
        <f>IF(D627="F",0,IF(WEEKDAY($A627,2)=5,INDEX(TimerFr,MATCH(D627,FaseKode,0)),INDEX(TimerMT,MATCH(D627,FaseKode,0))))</f>
        <v/>
      </c>
      <c r="H627">
        <f>IF(OR(H$4="",$A627&gt;TODAY()),0,IF(OR(INDEX($B627:$D627,H$5)="F",AND(H$6&gt;0,$A627&lt;H$6),AND(H$7&gt;0,$A627&gt;H$7)),0,MAX(0,ROUND((INDEX($E627:$G627,H$5)-SUMIFS(TF_Timer,TF_Tekniker,H$4,TF_Dato,$A627))*2,0)/2)))</f>
        <v/>
      </c>
      <c r="I627">
        <f>IF(OR(I$4="",$A627&gt;TODAY()),0,IF(OR(INDEX($B627:$D627,I$5)="F",AND(I$6&gt;0,$A627&lt;I$6),AND(I$7&gt;0,$A627&gt;I$7)),0,MAX(0,ROUND((INDEX($E627:$G627,I$5)-SUMIFS(TF_Timer,TF_Tekniker,I$4,TF_Dato,$A627))*2,0)/2)))</f>
        <v/>
      </c>
      <c r="J627">
        <f>IF(OR(J$4="",$A627&gt;TODAY()),0,IF(OR(INDEX($B627:$D627,J$5)="F",AND(J$6&gt;0,$A627&lt;J$6),AND(J$7&gt;0,$A627&gt;J$7)),0,MAX(0,ROUND((INDEX($E627:$G627,J$5)-SUMIFS(TF_Timer,TF_Tekniker,J$4,TF_Dato,$A627))*2,0)/2)))</f>
        <v/>
      </c>
      <c r="K627">
        <f>IF(OR(K$4="",$A627&gt;TODAY()),0,IF(OR(INDEX($B627:$D627,K$5)="F",AND(K$6&gt;0,$A627&lt;K$6),AND(K$7&gt;0,$A627&gt;K$7)),0,MAX(0,ROUND((INDEX($E627:$G627,K$5)-SUMIFS(TF_Timer,TF_Tekniker,K$4,TF_Dato,$A627))*2,0)/2)))</f>
        <v/>
      </c>
      <c r="L627">
        <f>IF(OR(L$4="",$A627&gt;TODAY()),0,IF(OR(INDEX($B627:$D627,L$5)="F",AND(L$6&gt;0,$A627&lt;L$6),AND(L$7&gt;0,$A627&gt;L$7)),0,MAX(0,ROUND((INDEX($E627:$G627,L$5)-SUMIFS(TF_Timer,TF_Tekniker,L$4,TF_Dato,$A627))*2,0)/2)))</f>
        <v/>
      </c>
      <c r="M627">
        <f>IF(OR(M$4="",$A627&gt;TODAY()),0,IF(OR(INDEX($B627:$D627,M$5)="F",AND(M$6&gt;0,$A627&lt;M$6),AND(M$7&gt;0,$A627&gt;M$7)),0,MAX(0,ROUND((INDEX($E627:$G627,M$5)-SUMIFS(TF_Timer,TF_Tekniker,M$4,TF_Dato,$A627))*2,0)/2)))</f>
        <v/>
      </c>
      <c r="N627">
        <f>IF(OR(N$4="",$A627&gt;TODAY()),0,IF(OR(INDEX($B627:$D627,N$5)="F",AND(N$6&gt;0,$A627&lt;N$6),AND(N$7&gt;0,$A627&gt;N$7)),0,MAX(0,ROUND((INDEX($E627:$G627,N$5)-SUMIFS(TF_Timer,TF_Tekniker,N$4,TF_Dato,$A627))*2,0)/2)))</f>
        <v/>
      </c>
      <c r="O627">
        <f>IF(OR(O$4="",$A627&gt;TODAY()),0,IF(OR(INDEX($B627:$D627,O$5)="F",AND(O$6&gt;0,$A627&lt;O$6),AND(O$7&gt;0,$A627&gt;O$7)),0,MAX(0,ROUND((INDEX($E627:$G627,O$5)-SUMIFS(TF_Timer,TF_Tekniker,O$4,TF_Dato,$A627))*2,0)/2)))</f>
        <v/>
      </c>
      <c r="P627">
        <f>IF(OR(P$4="",$A627&gt;TODAY()),0,IF(OR(INDEX($B627:$D627,P$5)="F",AND(P$6&gt;0,$A627&lt;P$6),AND(P$7&gt;0,$A627&gt;P$7)),0,MAX(0,ROUND((INDEX($E627:$G627,P$5)-SUMIFS(TF_Timer,TF_Tekniker,P$4,TF_Dato,$A627))*2,0)/2)))</f>
        <v/>
      </c>
      <c r="Q627">
        <f>IF(OR(Q$4="",$A627&gt;TODAY()),0,IF(OR(INDEX($B627:$D627,Q$5)="F",AND(Q$6&gt;0,$A627&lt;Q$6),AND(Q$7&gt;0,$A627&gt;Q$7)),0,MAX(0,ROUND((INDEX($E627:$G627,Q$5)-SUMIFS(TF_Timer,TF_Tekniker,Q$4,TF_Dato,$A627))*2,0)/2)))</f>
        <v/>
      </c>
      <c r="R627">
        <f>IF(OR(R$4="",$A627&gt;TODAY()),0,IF(OR(INDEX($B627:$D627,R$5)="F",AND(R$6&gt;0,$A627&lt;R$6),AND(R$7&gt;0,$A627&gt;R$7)),0,MAX(0,ROUND((INDEX($E627:$G627,R$5)-SUMIFS(TF_Timer,TF_Tekniker,R$4,TF_Dato,$A627))*2,0)/2)))</f>
        <v/>
      </c>
      <c r="S627">
        <f>IF(OR(S$4="",$A627&gt;TODAY()),0,IF(OR(INDEX($B627:$D627,S$5)="F",AND(S$6&gt;0,$A627&lt;S$6),AND(S$7&gt;0,$A627&gt;S$7)),0,MAX(0,ROUND((INDEX($E627:$G627,S$5)-SUMIFS(TF_Timer,TF_Tekniker,S$4,TF_Dato,$A627))*2,0)/2)))</f>
        <v/>
      </c>
      <c r="T627">
        <f>IF(OR(T$4="",$A627&gt;TODAY()),0,IF(OR(INDEX($B627:$D627,T$5)="F",AND(T$6&gt;0,$A627&lt;T$6),AND(T$7&gt;0,$A627&gt;T$7)),0,MAX(0,ROUND((INDEX($E627:$G627,T$5)-SUMIFS(TF_Timer,TF_Tekniker,T$4,TF_Dato,$A627))*2,0)/2)))</f>
        <v/>
      </c>
      <c r="U627">
        <f>IF(OR(U$4="",$A627&gt;TODAY()),0,IF(OR(INDEX($B627:$D627,U$5)="F",AND(U$6&gt;0,$A627&lt;U$6),AND(U$7&gt;0,$A627&gt;U$7)),0,MAX(0,ROUND((INDEX($E627:$G627,U$5)-SUMIFS(TF_Timer,TF_Tekniker,U$4,TF_Dato,$A627))*2,0)/2)))</f>
        <v/>
      </c>
      <c r="V627">
        <f>IF(OR(V$4="",$A627&gt;TODAY()),0,IF(OR(INDEX($B627:$D627,V$5)="F",AND(V$6&gt;0,$A627&lt;V$6),AND(V$7&gt;0,$A627&gt;V$7)),0,MAX(0,ROUND((INDEX($E627:$G627,V$5)-SUMIFS(TF_Timer,TF_Tekniker,V$4,TF_Dato,$A627))*2,0)/2)))</f>
        <v/>
      </c>
      <c r="W627">
        <f>IF(OR(W$4="",$A627&gt;TODAY()),0,IF(OR(INDEX($B627:$D627,W$5)="F",AND(W$6&gt;0,$A627&lt;W$6),AND(W$7&gt;0,$A627&gt;W$7)),0,MAX(0,ROUND((INDEX($E627:$G627,W$5)-SUMIFS(TF_Timer,TF_Tekniker,W$4,TF_Dato,$A627))*2,0)/2)))</f>
        <v/>
      </c>
      <c r="X627">
        <f>IF(OR(X$4="",$A627&gt;TODAY()),0,IF(OR(INDEX($B627:$D627,X$5)="F",AND(X$6&gt;0,$A627&lt;X$6),AND(X$7&gt;0,$A627&gt;X$7)),0,MAX(0,ROUND((INDEX($E627:$G627,X$5)-SUMIFS(TF_Timer,TF_Tekniker,X$4,TF_Dato,$A627))*2,0)/2)))</f>
        <v/>
      </c>
      <c r="Y627">
        <f>IF(OR(Y$4="",$A627&gt;TODAY()),0,IF(OR(INDEX($B627:$D627,Y$5)="F",AND(Y$6&gt;0,$A627&lt;Y$6),AND(Y$7&gt;0,$A627&gt;Y$7)),0,MAX(0,ROUND((INDEX($E627:$G627,Y$5)-SUMIFS(TF_Timer,TF_Tekniker,Y$4,TF_Dato,$A627))*2,0)/2)))</f>
        <v/>
      </c>
      <c r="Z627">
        <f>IF(OR(Z$4="",$A627&gt;TODAY()),0,IF(OR(INDEX($B627:$D627,Z$5)="F",AND(Z$6&gt;0,$A627&lt;Z$6),AND(Z$7&gt;0,$A627&gt;Z$7)),0,MAX(0,ROUND((INDEX($E627:$G627,Z$5)-SUMIFS(TF_Timer,TF_Tekniker,Z$4,TF_Dato,$A627))*2,0)/2)))</f>
        <v/>
      </c>
      <c r="AA627">
        <f>IF(OR(AA$4="",$A627&gt;TODAY()),0,IF(OR(INDEX($B627:$D627,AA$5)="F",AND(AA$6&gt;0,$A627&lt;AA$6),AND(AA$7&gt;0,$A627&gt;AA$7)),0,MAX(0,ROUND((INDEX($E627:$G627,AA$5)-SUMIFS(TF_Timer,TF_Tekniker,AA$4,TF_Dato,$A627))*2,0)/2)))</f>
        <v/>
      </c>
      <c r="AB627">
        <f>IF(OR(AB$4="",$A627&gt;TODAY()),0,IF(OR(INDEX($B627:$D627,AB$5)="F",AND(AB$6&gt;0,$A627&lt;AB$6),AND(AB$7&gt;0,$A627&gt;AB$7)),0,MAX(0,ROUND((INDEX($E627:$G627,AB$5)-SUMIFS(TF_Timer,TF_Tekniker,AB$4,TF_Dato,$A627))*2,0)/2)))</f>
        <v/>
      </c>
      <c r="AC627">
        <f>IF(OR(AC$4="",$A627&gt;TODAY()),0,IF(OR(INDEX($B627:$D627,AC$5)="F",AND(AC$6&gt;0,$A627&lt;AC$6),AND(AC$7&gt;0,$A627&gt;AC$7)),0,MAX(0,ROUND((INDEX($E627:$G627,AC$5)-SUMIFS(TF_Timer,TF_Tekniker,AC$4,TF_Dato,$A627))*2,0)/2)))</f>
        <v/>
      </c>
      <c r="AD627">
        <f>IF(OR(AD$4="",$A627&gt;TODAY()),0,IF(OR(INDEX($B627:$D627,AD$5)="F",AND(AD$6&gt;0,$A627&lt;AD$6),AND(AD$7&gt;0,$A627&gt;AD$7)),0,MAX(0,ROUND((INDEX($E627:$G627,AD$5)-SUMIFS(TF_Timer,TF_Tekniker,AD$4,TF_Dato,$A627))*2,0)/2)))</f>
        <v/>
      </c>
      <c r="AE627">
        <f>IF(OR(AE$4="",$A627&gt;TODAY()),0,IF(OR(INDEX($B627:$D627,AE$5)="F",AND(AE$6&gt;0,$A627&lt;AE$6),AND(AE$7&gt;0,$A627&gt;AE$7)),0,MAX(0,ROUND((INDEX($E627:$G627,AE$5)-SUMIFS(TF_Timer,TF_Tekniker,AE$4,TF_Dato,$A627))*2,0)/2)))</f>
        <v/>
      </c>
      <c r="AF627">
        <f>IF(OR(AF$4="",$A627&gt;TODAY()),0,IF(OR(INDEX($B627:$D627,AF$5)="F",AND(AF$6&gt;0,$A627&lt;AF$6),AND(AF$7&gt;0,$A627&gt;AF$7)),0,MAX(0,ROUND((INDEX($E627:$G627,AF$5)-SUMIFS(TF_Timer,TF_Tekniker,AF$4,TF_Dato,$A627))*2,0)/2)))</f>
        <v/>
      </c>
      <c r="AG627">
        <f>IF(OR(AG$4="",$A627&gt;TODAY()),0,IF(OR(INDEX($B627:$D627,AG$5)="F",AND(AG$6&gt;0,$A627&lt;AG$6),AND(AG$7&gt;0,$A627&gt;AG$7)),0,MAX(0,ROUND((INDEX($E627:$G627,AG$5)-SUMIFS(TF_Timer,TF_Tekniker,AG$4,TF_Dato,$A627))*2,0)/2)))</f>
        <v/>
      </c>
      <c r="AH627">
        <f>IF(OR(AH$4="",$A627&gt;TODAY()),0,IF(OR(INDEX($B627:$D627,AH$5)="F",AND(AH$6&gt;0,$A627&lt;AH$6),AND(AH$7&gt;0,$A627&gt;AH$7)),0,MAX(0,ROUND((INDEX($E627:$G627,AH$5)-SUMIFS(TF_Timer,TF_Tekniker,AH$4,TF_Dato,$A627))*2,0)/2)))</f>
        <v/>
      </c>
      <c r="AI627">
        <f>IF(OR(AI$4="",$A627&gt;TODAY()),0,IF(OR(INDEX($B627:$D627,AI$5)="F",AND(AI$6&gt;0,$A627&lt;AI$6),AND(AI$7&gt;0,$A627&gt;AI$7)),0,MAX(0,ROUND((INDEX($E627:$G627,AI$5)-SUMIFS(TF_Timer,TF_Tekniker,AI$4,TF_Dato,$A627))*2,0)/2)))</f>
        <v/>
      </c>
      <c r="AJ627">
        <f>IF(OR(AJ$4="",$A627&gt;TODAY()),0,IF(OR(INDEX($B627:$D627,AJ$5)="F",AND(AJ$6&gt;0,$A627&lt;AJ$6),AND(AJ$7&gt;0,$A627&gt;AJ$7)),0,MAX(0,ROUND((INDEX($E627:$G627,AJ$5)-SUMIFS(TF_Timer,TF_Tekniker,AJ$4,TF_Dato,$A627))*2,0)/2)))</f>
        <v/>
      </c>
      <c r="AK627">
        <f>IF(OR(AK$4="",$A627&gt;TODAY()),0,IF(OR(INDEX($B627:$D627,AK$5)="F",AND(AK$6&gt;0,$A627&lt;AK$6),AND(AK$7&gt;0,$A627&gt;AK$7)),0,MAX(0,ROUND((INDEX($E627:$G627,AK$5)-SUMIFS(TF_Timer,TF_Tekniker,AK$4,TF_Dato,$A627))*2,0)/2)))</f>
        <v/>
      </c>
      <c r="AL627">
        <f>IF(OR(AL$4="",$A627&gt;TODAY()),0,IF(OR(INDEX($B627:$D627,AL$5)="F",AND(AL$6&gt;0,$A627&lt;AL$6),AND(AL$7&gt;0,$A627&gt;AL$7)),0,MAX(0,ROUND((INDEX($E627:$G627,AL$5)-SUMIFS(TF_Timer,TF_Tekniker,AL$4,TF_Dato,$A627))*2,0)/2)))</f>
        <v/>
      </c>
      <c r="AM627">
        <f>IF(OR(AM$4="",$A627&gt;TODAY()),0,IF(OR(INDEX($B627:$D627,AM$5)="F",AND(AM$6&gt;0,$A627&lt;AM$6),AND(AM$7&gt;0,$A627&gt;AM$7)),0,MAX(0,ROUND((INDEX($E627:$G627,AM$5)-SUMIFS(TF_Timer,TF_Tekniker,AM$4,TF_Dato,$A627))*2,0)/2)))</f>
        <v/>
      </c>
      <c r="AN627">
        <f>IF(OR(AN$4="",$A627&gt;TODAY()),0,IF(OR(INDEX($B627:$D627,AN$5)="F",AND(AN$6&gt;0,$A627&lt;AN$6),AND(AN$7&gt;0,$A627&gt;AN$7)),0,MAX(0,ROUND((INDEX($E627:$G627,AN$5)-SUMIFS(TF_Timer,TF_Tekniker,AN$4,TF_Dato,$A627))*2,0)/2)))</f>
        <v/>
      </c>
      <c r="AO627">
        <f>IF(OR(AO$4="",$A627&gt;TODAY()),0,IF(OR(INDEX($B627:$D627,AO$5)="F",AND(AO$6&gt;0,$A627&lt;AO$6),AND(AO$7&gt;0,$A627&gt;AO$7)),0,MAX(0,ROUND((INDEX($E627:$G627,AO$5)-SUMIFS(TF_Timer,TF_Tekniker,AO$4,TF_Dato,$A627))*2,0)/2)))</f>
        <v/>
      </c>
      <c r="AP627">
        <f>IF(OR(AP$4="",$A627&gt;TODAY()),0,IF(OR(INDEX($B627:$D627,AP$5)="F",AND(AP$6&gt;0,$A627&lt;AP$6),AND(AP$7&gt;0,$A627&gt;AP$7)),0,MAX(0,ROUND((INDEX($E627:$G627,AP$5)-SUMIFS(TF_Timer,TF_Tekniker,AP$4,TF_Dato,$A627))*2,0)/2)))</f>
        <v/>
      </c>
      <c r="AQ627">
        <f>IF(OR(AQ$4="",$A627&gt;TODAY()),0,IF(OR(INDEX($B627:$D627,AQ$5)="F",AND(AQ$6&gt;0,$A627&lt;AQ$6),AND(AQ$7&gt;0,$A627&gt;AQ$7)),0,MAX(0,ROUND((INDEX($E627:$G627,AQ$5)-SUMIFS(TF_Timer,TF_Tekniker,AQ$4,TF_Dato,$A627))*2,0)/2)))</f>
        <v/>
      </c>
      <c r="AR627">
        <f>IF(OR(AR$4="",$A627&gt;TODAY()),0,IF(OR(INDEX($B627:$D627,AR$5)="F",AND(AR$6&gt;0,$A627&lt;AR$6),AND(AR$7&gt;0,$A627&gt;AR$7)),0,MAX(0,ROUND((INDEX($E627:$G627,AR$5)-SUMIFS(TF_Timer,TF_Tekniker,AR$4,TF_Dato,$A627))*2,0)/2)))</f>
        <v/>
      </c>
      <c r="AS627">
        <f>IF(OR(AS$4="",$A627&gt;TODAY()),0,IF(OR(INDEX($B627:$D627,AS$5)="F",AND(AS$6&gt;0,$A627&lt;AS$6),AND(AS$7&gt;0,$A627&gt;AS$7)),0,MAX(0,ROUND((INDEX($E627:$G627,AS$5)-SUMIFS(TF_Timer,TF_Tekniker,AS$4,TF_Dato,$A627))*2,0)/2)))</f>
        <v/>
      </c>
      <c r="AT627">
        <f>IF(OR(AT$4="",$A627&gt;TODAY()),0,IF(OR(INDEX($B627:$D627,AT$5)="F",AND(AT$6&gt;0,$A627&lt;AT$6),AND(AT$7&gt;0,$A627&gt;AT$7)),0,MAX(0,ROUND((INDEX($E627:$G627,AT$5)-SUMIFS(TF_Timer,TF_Tekniker,AT$4,TF_Dato,$A627))*2,0)/2)))</f>
        <v/>
      </c>
      <c r="AU627">
        <f>IF(OR(AU$4="",$A627&gt;TODAY()),0,IF(OR(INDEX($B627:$D627,AU$5)="F",AND(AU$6&gt;0,$A627&lt;AU$6),AND(AU$7&gt;0,$A627&gt;AU$7)),0,MAX(0,ROUND((INDEX($E627:$G627,AU$5)-SUMIFS(TF_Timer,TF_Tekniker,AU$4,TF_Dato,$A627))*2,0)/2)))</f>
        <v/>
      </c>
      <c r="AV627">
        <f>IF(OR(AV$4="",$A627&gt;TODAY()),0,IF(OR(INDEX($B627:$D627,AV$5)="F",AND(AV$6&gt;0,$A627&lt;AV$6),AND(AV$7&gt;0,$A627&gt;AV$7)),0,MAX(0,ROUND((INDEX($E627:$G627,AV$5)-SUMIFS(TF_Timer,TF_Tekniker,AV$4,TF_Dato,$A627))*2,0)/2)))</f>
        <v/>
      </c>
      <c r="AW627">
        <f>IF(OR(AW$4="",$A627&gt;TODAY()),0,IF(OR(INDEX($B627:$D627,AW$5)="F",AND(AW$6&gt;0,$A627&lt;AW$6),AND(AW$7&gt;0,$A627&gt;AW$7)),0,MAX(0,ROUND((INDEX($E627:$G627,AW$5)-SUMIFS(TF_Timer,TF_Tekniker,AW$4,TF_Dato,$A627))*2,0)/2)))</f>
        <v/>
      </c>
      <c r="AX627">
        <f>IF(OR(AX$4="",$A627&gt;TODAY()),0,IF(OR(INDEX($B627:$D627,AX$5)="F",AND(AX$6&gt;0,$A627&lt;AX$6),AND(AX$7&gt;0,$A627&gt;AX$7)),0,MAX(0,ROUND((INDEX($E627:$G627,AX$5)-SUMIFS(TF_Timer,TF_Tekniker,AX$4,TF_Dato,$A627))*2,0)/2)))</f>
        <v/>
      </c>
      <c r="AY627">
        <f>IF(OR(AY$4="",$A627&gt;TODAY()),0,IF(OR(INDEX($B627:$D627,AY$5)="F",AND(AY$6&gt;0,$A627&lt;AY$6),AND(AY$7&gt;0,$A627&gt;AY$7)),0,MAX(0,ROUND((INDEX($E627:$G627,AY$5)-SUMIFS(TF_Timer,TF_Tekniker,AY$4,TF_Dato,$A627))*2,0)/2)))</f>
        <v/>
      </c>
      <c r="AZ627">
        <f>IF(OR(AZ$4="",$A627&gt;TODAY()),0,IF(OR(INDEX($B627:$D627,AZ$5)="F",AND(AZ$6&gt;0,$A627&lt;AZ$6),AND(AZ$7&gt;0,$A627&gt;AZ$7)),0,MAX(0,ROUND((INDEX($E627:$G627,AZ$5)-SUMIFS(TF_Timer,TF_Tekniker,AZ$4,TF_Dato,$A627))*2,0)/2)))</f>
        <v/>
      </c>
      <c r="BA627">
        <f>IF(OR(BA$4="",$A627&gt;TODAY()),0,IF(OR(INDEX($B627:$D627,BA$5)="F",AND(BA$6&gt;0,$A627&lt;BA$6),AND(BA$7&gt;0,$A627&gt;BA$7)),0,MAX(0,ROUND((INDEX($E627:$G627,BA$5)-SUMIFS(TF_Timer,TF_Tekniker,BA$4,TF_Dato,$A627))*2,0)/2)))</f>
        <v/>
      </c>
      <c r="BB627">
        <f>IF(OR(BB$4="",$A627&gt;TODAY()),0,IF(OR(INDEX($B627:$D627,BB$5)="F",AND(BB$6&gt;0,$A627&lt;BB$6),AND(BB$7&gt;0,$A627&gt;BB$7)),0,MAX(0,ROUND((INDEX($E627:$G627,BB$5)-SUMIFS(TF_Timer,TF_Tekniker,BB$4,TF_Dato,$A627))*2,0)/2)))</f>
        <v/>
      </c>
      <c r="BC627">
        <f>IF(OR(BC$4="",$A627&gt;TODAY()),0,IF(OR(INDEX($B627:$D627,BC$5)="F",AND(BC$6&gt;0,$A627&lt;BC$6),AND(BC$7&gt;0,$A627&gt;BC$7)),0,MAX(0,ROUND((INDEX($E627:$G627,BC$5)-SUMIFS(TF_Timer,TF_Tekniker,BC$4,TF_Dato,$A627))*2,0)/2)))</f>
        <v/>
      </c>
      <c r="BD627">
        <f>IF(OR(BD$4="",$A627&gt;TODAY()),0,IF(OR(INDEX($B627:$D627,BD$5)="F",AND(BD$6&gt;0,$A627&lt;BD$6),AND(BD$7&gt;0,$A627&gt;BD$7)),0,MAX(0,ROUND((INDEX($E627:$G627,BD$5)-SUMIFS(TF_Timer,TF_Tekniker,BD$4,TF_Dato,$A627))*2,0)/2)))</f>
        <v/>
      </c>
      <c r="BE627">
        <f>IF(OR(BE$4="",$A627&gt;TODAY()),0,IF(OR(INDEX($B627:$D627,BE$5)="F",AND(BE$6&gt;0,$A627&lt;BE$6),AND(BE$7&gt;0,$A627&gt;BE$7)),0,MAX(0,ROUND((INDEX($E627:$G627,BE$5)-SUMIFS(TF_Timer,TF_Tekniker,BE$4,TF_Dato,$A627))*2,0)/2)))</f>
        <v/>
      </c>
      <c r="BF627">
        <f>IF(OR(BF$4="",$A627&gt;TODAY()),0,IF(OR(INDEX($B627:$D627,BF$5)="F",AND(BF$6&gt;0,$A627&lt;BF$6),AND(BF$7&gt;0,$A627&gt;BF$7)),0,MAX(0,ROUND((INDEX($E627:$G627,BF$5)-SUMIFS(TF_Timer,TF_Tekniker,BF$4,TF_Dato,$A627))*2,0)/2)))</f>
        <v/>
      </c>
      <c r="BG627">
        <f>IF(OR(BG$4="",$A627&gt;TODAY()),0,IF(OR(INDEX($B627:$D627,BG$5)="F",AND(BG$6&gt;0,$A627&lt;BG$6),AND(BG$7&gt;0,$A627&gt;BG$7)),0,MAX(0,ROUND((INDEX($E627:$G627,BG$5)-SUMIFS(TF_Timer,TF_Tekniker,BG$4,TF_Dato,$A627))*2,0)/2)))</f>
        <v/>
      </c>
      <c r="BH627">
        <f>IF(OR(BH$4="",$A627&gt;TODAY()),0,IF(OR(INDEX($B627:$D627,BH$5)="F",AND(BH$6&gt;0,$A627&lt;BH$6),AND(BH$7&gt;0,$A627&gt;BH$7)),0,MAX(0,ROUND((INDEX($E627:$G627,BH$5)-SUMIFS(TF_Timer,TF_Tekniker,BH$4,TF_Dato,$A627))*2,0)/2)))</f>
        <v/>
      </c>
      <c r="BI627">
        <f>IF(OR(BI$4="",$A627&gt;TODAY()),0,IF(OR(INDEX($B627:$D627,BI$5)="F",AND(BI$6&gt;0,$A627&lt;BI$6),AND(BI$7&gt;0,$A627&gt;BI$7)),0,MAX(0,ROUND((INDEX($E627:$G627,BI$5)-SUMIFS(TF_Timer,TF_Tekniker,BI$4,TF_Dato,$A627))*2,0)/2)))</f>
        <v/>
      </c>
    </row>
    <row r="628">
      <c r="A628" s="64">
        <f>A627+1</f>
        <v/>
      </c>
      <c r="B628">
        <f>IF(MOD($A628-INDEX(SkiftStart,1),Syklus)&lt;DagK,"K",IF(MOD($A628-INDEX(SkiftStart,1),Syklus)&lt;DagK+DagH,"H",IF(MOD($A628-INDEX(SkiftStart,1),Syklus)&lt;DagK+DagH+DagD,"D","F")))</f>
        <v/>
      </c>
      <c r="C628">
        <f>IF(MOD($A628-INDEX(SkiftStart,2),Syklus)&lt;DagK,"K",IF(MOD($A628-INDEX(SkiftStart,2),Syklus)&lt;DagK+DagH,"H",IF(MOD($A628-INDEX(SkiftStart,2),Syklus)&lt;DagK+DagH+DagD,"D","F")))</f>
        <v/>
      </c>
      <c r="D628">
        <f>IF(MOD($A628-INDEX(SkiftStart,3),Syklus)&lt;DagK,"K",IF(MOD($A628-INDEX(SkiftStart,3),Syklus)&lt;DagK+DagH,"H",IF(MOD($A628-INDEX(SkiftStart,3),Syklus)&lt;DagK+DagH+DagD,"D","F")))</f>
        <v/>
      </c>
      <c r="E628">
        <f>IF(B628="F",0,IF(WEEKDAY($A628,2)=5,INDEX(TimerFr,MATCH(B628,FaseKode,0)),INDEX(TimerMT,MATCH(B628,FaseKode,0))))</f>
        <v/>
      </c>
      <c r="F628">
        <f>IF(C628="F",0,IF(WEEKDAY($A628,2)=5,INDEX(TimerFr,MATCH(C628,FaseKode,0)),INDEX(TimerMT,MATCH(C628,FaseKode,0))))</f>
        <v/>
      </c>
      <c r="G628">
        <f>IF(D628="F",0,IF(WEEKDAY($A628,2)=5,INDEX(TimerFr,MATCH(D628,FaseKode,0)),INDEX(TimerMT,MATCH(D628,FaseKode,0))))</f>
        <v/>
      </c>
      <c r="H628">
        <f>IF(OR(H$4="",$A628&gt;TODAY()),0,IF(OR(INDEX($B628:$D628,H$5)="F",AND(H$6&gt;0,$A628&lt;H$6),AND(H$7&gt;0,$A628&gt;H$7)),0,MAX(0,ROUND((INDEX($E628:$G628,H$5)-SUMIFS(TF_Timer,TF_Tekniker,H$4,TF_Dato,$A628))*2,0)/2)))</f>
        <v/>
      </c>
      <c r="I628">
        <f>IF(OR(I$4="",$A628&gt;TODAY()),0,IF(OR(INDEX($B628:$D628,I$5)="F",AND(I$6&gt;0,$A628&lt;I$6),AND(I$7&gt;0,$A628&gt;I$7)),0,MAX(0,ROUND((INDEX($E628:$G628,I$5)-SUMIFS(TF_Timer,TF_Tekniker,I$4,TF_Dato,$A628))*2,0)/2)))</f>
        <v/>
      </c>
      <c r="J628">
        <f>IF(OR(J$4="",$A628&gt;TODAY()),0,IF(OR(INDEX($B628:$D628,J$5)="F",AND(J$6&gt;0,$A628&lt;J$6),AND(J$7&gt;0,$A628&gt;J$7)),0,MAX(0,ROUND((INDEX($E628:$G628,J$5)-SUMIFS(TF_Timer,TF_Tekniker,J$4,TF_Dato,$A628))*2,0)/2)))</f>
        <v/>
      </c>
      <c r="K628">
        <f>IF(OR(K$4="",$A628&gt;TODAY()),0,IF(OR(INDEX($B628:$D628,K$5)="F",AND(K$6&gt;0,$A628&lt;K$6),AND(K$7&gt;0,$A628&gt;K$7)),0,MAX(0,ROUND((INDEX($E628:$G628,K$5)-SUMIFS(TF_Timer,TF_Tekniker,K$4,TF_Dato,$A628))*2,0)/2)))</f>
        <v/>
      </c>
      <c r="L628">
        <f>IF(OR(L$4="",$A628&gt;TODAY()),0,IF(OR(INDEX($B628:$D628,L$5)="F",AND(L$6&gt;0,$A628&lt;L$6),AND(L$7&gt;0,$A628&gt;L$7)),0,MAX(0,ROUND((INDEX($E628:$G628,L$5)-SUMIFS(TF_Timer,TF_Tekniker,L$4,TF_Dato,$A628))*2,0)/2)))</f>
        <v/>
      </c>
      <c r="M628">
        <f>IF(OR(M$4="",$A628&gt;TODAY()),0,IF(OR(INDEX($B628:$D628,M$5)="F",AND(M$6&gt;0,$A628&lt;M$6),AND(M$7&gt;0,$A628&gt;M$7)),0,MAX(0,ROUND((INDEX($E628:$G628,M$5)-SUMIFS(TF_Timer,TF_Tekniker,M$4,TF_Dato,$A628))*2,0)/2)))</f>
        <v/>
      </c>
      <c r="N628">
        <f>IF(OR(N$4="",$A628&gt;TODAY()),0,IF(OR(INDEX($B628:$D628,N$5)="F",AND(N$6&gt;0,$A628&lt;N$6),AND(N$7&gt;0,$A628&gt;N$7)),0,MAX(0,ROUND((INDEX($E628:$G628,N$5)-SUMIFS(TF_Timer,TF_Tekniker,N$4,TF_Dato,$A628))*2,0)/2)))</f>
        <v/>
      </c>
      <c r="O628">
        <f>IF(OR(O$4="",$A628&gt;TODAY()),0,IF(OR(INDEX($B628:$D628,O$5)="F",AND(O$6&gt;0,$A628&lt;O$6),AND(O$7&gt;0,$A628&gt;O$7)),0,MAX(0,ROUND((INDEX($E628:$G628,O$5)-SUMIFS(TF_Timer,TF_Tekniker,O$4,TF_Dato,$A628))*2,0)/2)))</f>
        <v/>
      </c>
      <c r="P628">
        <f>IF(OR(P$4="",$A628&gt;TODAY()),0,IF(OR(INDEX($B628:$D628,P$5)="F",AND(P$6&gt;0,$A628&lt;P$6),AND(P$7&gt;0,$A628&gt;P$7)),0,MAX(0,ROUND((INDEX($E628:$G628,P$5)-SUMIFS(TF_Timer,TF_Tekniker,P$4,TF_Dato,$A628))*2,0)/2)))</f>
        <v/>
      </c>
      <c r="Q628">
        <f>IF(OR(Q$4="",$A628&gt;TODAY()),0,IF(OR(INDEX($B628:$D628,Q$5)="F",AND(Q$6&gt;0,$A628&lt;Q$6),AND(Q$7&gt;0,$A628&gt;Q$7)),0,MAX(0,ROUND((INDEX($E628:$G628,Q$5)-SUMIFS(TF_Timer,TF_Tekniker,Q$4,TF_Dato,$A628))*2,0)/2)))</f>
        <v/>
      </c>
      <c r="R628">
        <f>IF(OR(R$4="",$A628&gt;TODAY()),0,IF(OR(INDEX($B628:$D628,R$5)="F",AND(R$6&gt;0,$A628&lt;R$6),AND(R$7&gt;0,$A628&gt;R$7)),0,MAX(0,ROUND((INDEX($E628:$G628,R$5)-SUMIFS(TF_Timer,TF_Tekniker,R$4,TF_Dato,$A628))*2,0)/2)))</f>
        <v/>
      </c>
      <c r="S628">
        <f>IF(OR(S$4="",$A628&gt;TODAY()),0,IF(OR(INDEX($B628:$D628,S$5)="F",AND(S$6&gt;0,$A628&lt;S$6),AND(S$7&gt;0,$A628&gt;S$7)),0,MAX(0,ROUND((INDEX($E628:$G628,S$5)-SUMIFS(TF_Timer,TF_Tekniker,S$4,TF_Dato,$A628))*2,0)/2)))</f>
        <v/>
      </c>
      <c r="T628">
        <f>IF(OR(T$4="",$A628&gt;TODAY()),0,IF(OR(INDEX($B628:$D628,T$5)="F",AND(T$6&gt;0,$A628&lt;T$6),AND(T$7&gt;0,$A628&gt;T$7)),0,MAX(0,ROUND((INDEX($E628:$G628,T$5)-SUMIFS(TF_Timer,TF_Tekniker,T$4,TF_Dato,$A628))*2,0)/2)))</f>
        <v/>
      </c>
      <c r="U628">
        <f>IF(OR(U$4="",$A628&gt;TODAY()),0,IF(OR(INDEX($B628:$D628,U$5)="F",AND(U$6&gt;0,$A628&lt;U$6),AND(U$7&gt;0,$A628&gt;U$7)),0,MAX(0,ROUND((INDEX($E628:$G628,U$5)-SUMIFS(TF_Timer,TF_Tekniker,U$4,TF_Dato,$A628))*2,0)/2)))</f>
        <v/>
      </c>
      <c r="V628">
        <f>IF(OR(V$4="",$A628&gt;TODAY()),0,IF(OR(INDEX($B628:$D628,V$5)="F",AND(V$6&gt;0,$A628&lt;V$6),AND(V$7&gt;0,$A628&gt;V$7)),0,MAX(0,ROUND((INDEX($E628:$G628,V$5)-SUMIFS(TF_Timer,TF_Tekniker,V$4,TF_Dato,$A628))*2,0)/2)))</f>
        <v/>
      </c>
      <c r="W628">
        <f>IF(OR(W$4="",$A628&gt;TODAY()),0,IF(OR(INDEX($B628:$D628,W$5)="F",AND(W$6&gt;0,$A628&lt;W$6),AND(W$7&gt;0,$A628&gt;W$7)),0,MAX(0,ROUND((INDEX($E628:$G628,W$5)-SUMIFS(TF_Timer,TF_Tekniker,W$4,TF_Dato,$A628))*2,0)/2)))</f>
        <v/>
      </c>
      <c r="X628">
        <f>IF(OR(X$4="",$A628&gt;TODAY()),0,IF(OR(INDEX($B628:$D628,X$5)="F",AND(X$6&gt;0,$A628&lt;X$6),AND(X$7&gt;0,$A628&gt;X$7)),0,MAX(0,ROUND((INDEX($E628:$G628,X$5)-SUMIFS(TF_Timer,TF_Tekniker,X$4,TF_Dato,$A628))*2,0)/2)))</f>
        <v/>
      </c>
      <c r="Y628">
        <f>IF(OR(Y$4="",$A628&gt;TODAY()),0,IF(OR(INDEX($B628:$D628,Y$5)="F",AND(Y$6&gt;0,$A628&lt;Y$6),AND(Y$7&gt;0,$A628&gt;Y$7)),0,MAX(0,ROUND((INDEX($E628:$G628,Y$5)-SUMIFS(TF_Timer,TF_Tekniker,Y$4,TF_Dato,$A628))*2,0)/2)))</f>
        <v/>
      </c>
      <c r="Z628">
        <f>IF(OR(Z$4="",$A628&gt;TODAY()),0,IF(OR(INDEX($B628:$D628,Z$5)="F",AND(Z$6&gt;0,$A628&lt;Z$6),AND(Z$7&gt;0,$A628&gt;Z$7)),0,MAX(0,ROUND((INDEX($E628:$G628,Z$5)-SUMIFS(TF_Timer,TF_Tekniker,Z$4,TF_Dato,$A628))*2,0)/2)))</f>
        <v/>
      </c>
      <c r="AA628">
        <f>IF(OR(AA$4="",$A628&gt;TODAY()),0,IF(OR(INDEX($B628:$D628,AA$5)="F",AND(AA$6&gt;0,$A628&lt;AA$6),AND(AA$7&gt;0,$A628&gt;AA$7)),0,MAX(0,ROUND((INDEX($E628:$G628,AA$5)-SUMIFS(TF_Timer,TF_Tekniker,AA$4,TF_Dato,$A628))*2,0)/2)))</f>
        <v/>
      </c>
      <c r="AB628">
        <f>IF(OR(AB$4="",$A628&gt;TODAY()),0,IF(OR(INDEX($B628:$D628,AB$5)="F",AND(AB$6&gt;0,$A628&lt;AB$6),AND(AB$7&gt;0,$A628&gt;AB$7)),0,MAX(0,ROUND((INDEX($E628:$G628,AB$5)-SUMIFS(TF_Timer,TF_Tekniker,AB$4,TF_Dato,$A628))*2,0)/2)))</f>
        <v/>
      </c>
      <c r="AC628">
        <f>IF(OR(AC$4="",$A628&gt;TODAY()),0,IF(OR(INDEX($B628:$D628,AC$5)="F",AND(AC$6&gt;0,$A628&lt;AC$6),AND(AC$7&gt;0,$A628&gt;AC$7)),0,MAX(0,ROUND((INDEX($E628:$G628,AC$5)-SUMIFS(TF_Timer,TF_Tekniker,AC$4,TF_Dato,$A628))*2,0)/2)))</f>
        <v/>
      </c>
      <c r="AD628">
        <f>IF(OR(AD$4="",$A628&gt;TODAY()),0,IF(OR(INDEX($B628:$D628,AD$5)="F",AND(AD$6&gt;0,$A628&lt;AD$6),AND(AD$7&gt;0,$A628&gt;AD$7)),0,MAX(0,ROUND((INDEX($E628:$G628,AD$5)-SUMIFS(TF_Timer,TF_Tekniker,AD$4,TF_Dato,$A628))*2,0)/2)))</f>
        <v/>
      </c>
      <c r="AE628">
        <f>IF(OR(AE$4="",$A628&gt;TODAY()),0,IF(OR(INDEX($B628:$D628,AE$5)="F",AND(AE$6&gt;0,$A628&lt;AE$6),AND(AE$7&gt;0,$A628&gt;AE$7)),0,MAX(0,ROUND((INDEX($E628:$G628,AE$5)-SUMIFS(TF_Timer,TF_Tekniker,AE$4,TF_Dato,$A628))*2,0)/2)))</f>
        <v/>
      </c>
      <c r="AF628">
        <f>IF(OR(AF$4="",$A628&gt;TODAY()),0,IF(OR(INDEX($B628:$D628,AF$5)="F",AND(AF$6&gt;0,$A628&lt;AF$6),AND(AF$7&gt;0,$A628&gt;AF$7)),0,MAX(0,ROUND((INDEX($E628:$G628,AF$5)-SUMIFS(TF_Timer,TF_Tekniker,AF$4,TF_Dato,$A628))*2,0)/2)))</f>
        <v/>
      </c>
      <c r="AG628">
        <f>IF(OR(AG$4="",$A628&gt;TODAY()),0,IF(OR(INDEX($B628:$D628,AG$5)="F",AND(AG$6&gt;0,$A628&lt;AG$6),AND(AG$7&gt;0,$A628&gt;AG$7)),0,MAX(0,ROUND((INDEX($E628:$G628,AG$5)-SUMIFS(TF_Timer,TF_Tekniker,AG$4,TF_Dato,$A628))*2,0)/2)))</f>
        <v/>
      </c>
      <c r="AH628">
        <f>IF(OR(AH$4="",$A628&gt;TODAY()),0,IF(OR(INDEX($B628:$D628,AH$5)="F",AND(AH$6&gt;0,$A628&lt;AH$6),AND(AH$7&gt;0,$A628&gt;AH$7)),0,MAX(0,ROUND((INDEX($E628:$G628,AH$5)-SUMIFS(TF_Timer,TF_Tekniker,AH$4,TF_Dato,$A628))*2,0)/2)))</f>
        <v/>
      </c>
      <c r="AI628">
        <f>IF(OR(AI$4="",$A628&gt;TODAY()),0,IF(OR(INDEX($B628:$D628,AI$5)="F",AND(AI$6&gt;0,$A628&lt;AI$6),AND(AI$7&gt;0,$A628&gt;AI$7)),0,MAX(0,ROUND((INDEX($E628:$G628,AI$5)-SUMIFS(TF_Timer,TF_Tekniker,AI$4,TF_Dato,$A628))*2,0)/2)))</f>
        <v/>
      </c>
      <c r="AJ628">
        <f>IF(OR(AJ$4="",$A628&gt;TODAY()),0,IF(OR(INDEX($B628:$D628,AJ$5)="F",AND(AJ$6&gt;0,$A628&lt;AJ$6),AND(AJ$7&gt;0,$A628&gt;AJ$7)),0,MAX(0,ROUND((INDEX($E628:$G628,AJ$5)-SUMIFS(TF_Timer,TF_Tekniker,AJ$4,TF_Dato,$A628))*2,0)/2)))</f>
        <v/>
      </c>
      <c r="AK628">
        <f>IF(OR(AK$4="",$A628&gt;TODAY()),0,IF(OR(INDEX($B628:$D628,AK$5)="F",AND(AK$6&gt;0,$A628&lt;AK$6),AND(AK$7&gt;0,$A628&gt;AK$7)),0,MAX(0,ROUND((INDEX($E628:$G628,AK$5)-SUMIFS(TF_Timer,TF_Tekniker,AK$4,TF_Dato,$A628))*2,0)/2)))</f>
        <v/>
      </c>
      <c r="AL628">
        <f>IF(OR(AL$4="",$A628&gt;TODAY()),0,IF(OR(INDEX($B628:$D628,AL$5)="F",AND(AL$6&gt;0,$A628&lt;AL$6),AND(AL$7&gt;0,$A628&gt;AL$7)),0,MAX(0,ROUND((INDEX($E628:$G628,AL$5)-SUMIFS(TF_Timer,TF_Tekniker,AL$4,TF_Dato,$A628))*2,0)/2)))</f>
        <v/>
      </c>
      <c r="AM628">
        <f>IF(OR(AM$4="",$A628&gt;TODAY()),0,IF(OR(INDEX($B628:$D628,AM$5)="F",AND(AM$6&gt;0,$A628&lt;AM$6),AND(AM$7&gt;0,$A628&gt;AM$7)),0,MAX(0,ROUND((INDEX($E628:$G628,AM$5)-SUMIFS(TF_Timer,TF_Tekniker,AM$4,TF_Dato,$A628))*2,0)/2)))</f>
        <v/>
      </c>
      <c r="AN628">
        <f>IF(OR(AN$4="",$A628&gt;TODAY()),0,IF(OR(INDEX($B628:$D628,AN$5)="F",AND(AN$6&gt;0,$A628&lt;AN$6),AND(AN$7&gt;0,$A628&gt;AN$7)),0,MAX(0,ROUND((INDEX($E628:$G628,AN$5)-SUMIFS(TF_Timer,TF_Tekniker,AN$4,TF_Dato,$A628))*2,0)/2)))</f>
        <v/>
      </c>
      <c r="AO628">
        <f>IF(OR(AO$4="",$A628&gt;TODAY()),0,IF(OR(INDEX($B628:$D628,AO$5)="F",AND(AO$6&gt;0,$A628&lt;AO$6),AND(AO$7&gt;0,$A628&gt;AO$7)),0,MAX(0,ROUND((INDEX($E628:$G628,AO$5)-SUMIFS(TF_Timer,TF_Tekniker,AO$4,TF_Dato,$A628))*2,0)/2)))</f>
        <v/>
      </c>
      <c r="AP628">
        <f>IF(OR(AP$4="",$A628&gt;TODAY()),0,IF(OR(INDEX($B628:$D628,AP$5)="F",AND(AP$6&gt;0,$A628&lt;AP$6),AND(AP$7&gt;0,$A628&gt;AP$7)),0,MAX(0,ROUND((INDEX($E628:$G628,AP$5)-SUMIFS(TF_Timer,TF_Tekniker,AP$4,TF_Dato,$A628))*2,0)/2)))</f>
        <v/>
      </c>
      <c r="AQ628">
        <f>IF(OR(AQ$4="",$A628&gt;TODAY()),0,IF(OR(INDEX($B628:$D628,AQ$5)="F",AND(AQ$6&gt;0,$A628&lt;AQ$6),AND(AQ$7&gt;0,$A628&gt;AQ$7)),0,MAX(0,ROUND((INDEX($E628:$G628,AQ$5)-SUMIFS(TF_Timer,TF_Tekniker,AQ$4,TF_Dato,$A628))*2,0)/2)))</f>
        <v/>
      </c>
      <c r="AR628">
        <f>IF(OR(AR$4="",$A628&gt;TODAY()),0,IF(OR(INDEX($B628:$D628,AR$5)="F",AND(AR$6&gt;0,$A628&lt;AR$6),AND(AR$7&gt;0,$A628&gt;AR$7)),0,MAX(0,ROUND((INDEX($E628:$G628,AR$5)-SUMIFS(TF_Timer,TF_Tekniker,AR$4,TF_Dato,$A628))*2,0)/2)))</f>
        <v/>
      </c>
      <c r="AS628">
        <f>IF(OR(AS$4="",$A628&gt;TODAY()),0,IF(OR(INDEX($B628:$D628,AS$5)="F",AND(AS$6&gt;0,$A628&lt;AS$6),AND(AS$7&gt;0,$A628&gt;AS$7)),0,MAX(0,ROUND((INDEX($E628:$G628,AS$5)-SUMIFS(TF_Timer,TF_Tekniker,AS$4,TF_Dato,$A628))*2,0)/2)))</f>
        <v/>
      </c>
      <c r="AT628">
        <f>IF(OR(AT$4="",$A628&gt;TODAY()),0,IF(OR(INDEX($B628:$D628,AT$5)="F",AND(AT$6&gt;0,$A628&lt;AT$6),AND(AT$7&gt;0,$A628&gt;AT$7)),0,MAX(0,ROUND((INDEX($E628:$G628,AT$5)-SUMIFS(TF_Timer,TF_Tekniker,AT$4,TF_Dato,$A628))*2,0)/2)))</f>
        <v/>
      </c>
      <c r="AU628">
        <f>IF(OR(AU$4="",$A628&gt;TODAY()),0,IF(OR(INDEX($B628:$D628,AU$5)="F",AND(AU$6&gt;0,$A628&lt;AU$6),AND(AU$7&gt;0,$A628&gt;AU$7)),0,MAX(0,ROUND((INDEX($E628:$G628,AU$5)-SUMIFS(TF_Timer,TF_Tekniker,AU$4,TF_Dato,$A628))*2,0)/2)))</f>
        <v/>
      </c>
      <c r="AV628">
        <f>IF(OR(AV$4="",$A628&gt;TODAY()),0,IF(OR(INDEX($B628:$D628,AV$5)="F",AND(AV$6&gt;0,$A628&lt;AV$6),AND(AV$7&gt;0,$A628&gt;AV$7)),0,MAX(0,ROUND((INDEX($E628:$G628,AV$5)-SUMIFS(TF_Timer,TF_Tekniker,AV$4,TF_Dato,$A628))*2,0)/2)))</f>
        <v/>
      </c>
      <c r="AW628">
        <f>IF(OR(AW$4="",$A628&gt;TODAY()),0,IF(OR(INDEX($B628:$D628,AW$5)="F",AND(AW$6&gt;0,$A628&lt;AW$6),AND(AW$7&gt;0,$A628&gt;AW$7)),0,MAX(0,ROUND((INDEX($E628:$G628,AW$5)-SUMIFS(TF_Timer,TF_Tekniker,AW$4,TF_Dato,$A628))*2,0)/2)))</f>
        <v/>
      </c>
      <c r="AX628">
        <f>IF(OR(AX$4="",$A628&gt;TODAY()),0,IF(OR(INDEX($B628:$D628,AX$5)="F",AND(AX$6&gt;0,$A628&lt;AX$6),AND(AX$7&gt;0,$A628&gt;AX$7)),0,MAX(0,ROUND((INDEX($E628:$G628,AX$5)-SUMIFS(TF_Timer,TF_Tekniker,AX$4,TF_Dato,$A628))*2,0)/2)))</f>
        <v/>
      </c>
      <c r="AY628">
        <f>IF(OR(AY$4="",$A628&gt;TODAY()),0,IF(OR(INDEX($B628:$D628,AY$5)="F",AND(AY$6&gt;0,$A628&lt;AY$6),AND(AY$7&gt;0,$A628&gt;AY$7)),0,MAX(0,ROUND((INDEX($E628:$G628,AY$5)-SUMIFS(TF_Timer,TF_Tekniker,AY$4,TF_Dato,$A628))*2,0)/2)))</f>
        <v/>
      </c>
      <c r="AZ628">
        <f>IF(OR(AZ$4="",$A628&gt;TODAY()),0,IF(OR(INDEX($B628:$D628,AZ$5)="F",AND(AZ$6&gt;0,$A628&lt;AZ$6),AND(AZ$7&gt;0,$A628&gt;AZ$7)),0,MAX(0,ROUND((INDEX($E628:$G628,AZ$5)-SUMIFS(TF_Timer,TF_Tekniker,AZ$4,TF_Dato,$A628))*2,0)/2)))</f>
        <v/>
      </c>
      <c r="BA628">
        <f>IF(OR(BA$4="",$A628&gt;TODAY()),0,IF(OR(INDEX($B628:$D628,BA$5)="F",AND(BA$6&gt;0,$A628&lt;BA$6),AND(BA$7&gt;0,$A628&gt;BA$7)),0,MAX(0,ROUND((INDEX($E628:$G628,BA$5)-SUMIFS(TF_Timer,TF_Tekniker,BA$4,TF_Dato,$A628))*2,0)/2)))</f>
        <v/>
      </c>
      <c r="BB628">
        <f>IF(OR(BB$4="",$A628&gt;TODAY()),0,IF(OR(INDEX($B628:$D628,BB$5)="F",AND(BB$6&gt;0,$A628&lt;BB$6),AND(BB$7&gt;0,$A628&gt;BB$7)),0,MAX(0,ROUND((INDEX($E628:$G628,BB$5)-SUMIFS(TF_Timer,TF_Tekniker,BB$4,TF_Dato,$A628))*2,0)/2)))</f>
        <v/>
      </c>
      <c r="BC628">
        <f>IF(OR(BC$4="",$A628&gt;TODAY()),0,IF(OR(INDEX($B628:$D628,BC$5)="F",AND(BC$6&gt;0,$A628&lt;BC$6),AND(BC$7&gt;0,$A628&gt;BC$7)),0,MAX(0,ROUND((INDEX($E628:$G628,BC$5)-SUMIFS(TF_Timer,TF_Tekniker,BC$4,TF_Dato,$A628))*2,0)/2)))</f>
        <v/>
      </c>
      <c r="BD628">
        <f>IF(OR(BD$4="",$A628&gt;TODAY()),0,IF(OR(INDEX($B628:$D628,BD$5)="F",AND(BD$6&gt;0,$A628&lt;BD$6),AND(BD$7&gt;0,$A628&gt;BD$7)),0,MAX(0,ROUND((INDEX($E628:$G628,BD$5)-SUMIFS(TF_Timer,TF_Tekniker,BD$4,TF_Dato,$A628))*2,0)/2)))</f>
        <v/>
      </c>
      <c r="BE628">
        <f>IF(OR(BE$4="",$A628&gt;TODAY()),0,IF(OR(INDEX($B628:$D628,BE$5)="F",AND(BE$6&gt;0,$A628&lt;BE$6),AND(BE$7&gt;0,$A628&gt;BE$7)),0,MAX(0,ROUND((INDEX($E628:$G628,BE$5)-SUMIFS(TF_Timer,TF_Tekniker,BE$4,TF_Dato,$A628))*2,0)/2)))</f>
        <v/>
      </c>
      <c r="BF628">
        <f>IF(OR(BF$4="",$A628&gt;TODAY()),0,IF(OR(INDEX($B628:$D628,BF$5)="F",AND(BF$6&gt;0,$A628&lt;BF$6),AND(BF$7&gt;0,$A628&gt;BF$7)),0,MAX(0,ROUND((INDEX($E628:$G628,BF$5)-SUMIFS(TF_Timer,TF_Tekniker,BF$4,TF_Dato,$A628))*2,0)/2)))</f>
        <v/>
      </c>
      <c r="BG628">
        <f>IF(OR(BG$4="",$A628&gt;TODAY()),0,IF(OR(INDEX($B628:$D628,BG$5)="F",AND(BG$6&gt;0,$A628&lt;BG$6),AND(BG$7&gt;0,$A628&gt;BG$7)),0,MAX(0,ROUND((INDEX($E628:$G628,BG$5)-SUMIFS(TF_Timer,TF_Tekniker,BG$4,TF_Dato,$A628))*2,0)/2)))</f>
        <v/>
      </c>
      <c r="BH628">
        <f>IF(OR(BH$4="",$A628&gt;TODAY()),0,IF(OR(INDEX($B628:$D628,BH$5)="F",AND(BH$6&gt;0,$A628&lt;BH$6),AND(BH$7&gt;0,$A628&gt;BH$7)),0,MAX(0,ROUND((INDEX($E628:$G628,BH$5)-SUMIFS(TF_Timer,TF_Tekniker,BH$4,TF_Dato,$A628))*2,0)/2)))</f>
        <v/>
      </c>
      <c r="BI628">
        <f>IF(OR(BI$4="",$A628&gt;TODAY()),0,IF(OR(INDEX($B628:$D628,BI$5)="F",AND(BI$6&gt;0,$A628&lt;BI$6),AND(BI$7&gt;0,$A628&gt;BI$7)),0,MAX(0,ROUND((INDEX($E628:$G628,BI$5)-SUMIFS(TF_Timer,TF_Tekniker,BI$4,TF_Dato,$A628))*2,0)/2)))</f>
        <v/>
      </c>
    </row>
    <row r="629">
      <c r="A629" s="64">
        <f>A628+1</f>
        <v/>
      </c>
      <c r="B629">
        <f>IF(MOD($A629-INDEX(SkiftStart,1),Syklus)&lt;DagK,"K",IF(MOD($A629-INDEX(SkiftStart,1),Syklus)&lt;DagK+DagH,"H",IF(MOD($A629-INDEX(SkiftStart,1),Syklus)&lt;DagK+DagH+DagD,"D","F")))</f>
        <v/>
      </c>
      <c r="C629">
        <f>IF(MOD($A629-INDEX(SkiftStart,2),Syklus)&lt;DagK,"K",IF(MOD($A629-INDEX(SkiftStart,2),Syklus)&lt;DagK+DagH,"H",IF(MOD($A629-INDEX(SkiftStart,2),Syklus)&lt;DagK+DagH+DagD,"D","F")))</f>
        <v/>
      </c>
      <c r="D629">
        <f>IF(MOD($A629-INDEX(SkiftStart,3),Syklus)&lt;DagK,"K",IF(MOD($A629-INDEX(SkiftStart,3),Syklus)&lt;DagK+DagH,"H",IF(MOD($A629-INDEX(SkiftStart,3),Syklus)&lt;DagK+DagH+DagD,"D","F")))</f>
        <v/>
      </c>
      <c r="E629">
        <f>IF(B629="F",0,IF(WEEKDAY($A629,2)=5,INDEX(TimerFr,MATCH(B629,FaseKode,0)),INDEX(TimerMT,MATCH(B629,FaseKode,0))))</f>
        <v/>
      </c>
      <c r="F629">
        <f>IF(C629="F",0,IF(WEEKDAY($A629,2)=5,INDEX(TimerFr,MATCH(C629,FaseKode,0)),INDEX(TimerMT,MATCH(C629,FaseKode,0))))</f>
        <v/>
      </c>
      <c r="G629">
        <f>IF(D629="F",0,IF(WEEKDAY($A629,2)=5,INDEX(TimerFr,MATCH(D629,FaseKode,0)),INDEX(TimerMT,MATCH(D629,FaseKode,0))))</f>
        <v/>
      </c>
      <c r="H629">
        <f>IF(OR(H$4="",$A629&gt;TODAY()),0,IF(OR(INDEX($B629:$D629,H$5)="F",AND(H$6&gt;0,$A629&lt;H$6),AND(H$7&gt;0,$A629&gt;H$7)),0,MAX(0,ROUND((INDEX($E629:$G629,H$5)-SUMIFS(TF_Timer,TF_Tekniker,H$4,TF_Dato,$A629))*2,0)/2)))</f>
        <v/>
      </c>
      <c r="I629">
        <f>IF(OR(I$4="",$A629&gt;TODAY()),0,IF(OR(INDEX($B629:$D629,I$5)="F",AND(I$6&gt;0,$A629&lt;I$6),AND(I$7&gt;0,$A629&gt;I$7)),0,MAX(0,ROUND((INDEX($E629:$G629,I$5)-SUMIFS(TF_Timer,TF_Tekniker,I$4,TF_Dato,$A629))*2,0)/2)))</f>
        <v/>
      </c>
      <c r="J629">
        <f>IF(OR(J$4="",$A629&gt;TODAY()),0,IF(OR(INDEX($B629:$D629,J$5)="F",AND(J$6&gt;0,$A629&lt;J$6),AND(J$7&gt;0,$A629&gt;J$7)),0,MAX(0,ROUND((INDEX($E629:$G629,J$5)-SUMIFS(TF_Timer,TF_Tekniker,J$4,TF_Dato,$A629))*2,0)/2)))</f>
        <v/>
      </c>
      <c r="K629">
        <f>IF(OR(K$4="",$A629&gt;TODAY()),0,IF(OR(INDEX($B629:$D629,K$5)="F",AND(K$6&gt;0,$A629&lt;K$6),AND(K$7&gt;0,$A629&gt;K$7)),0,MAX(0,ROUND((INDEX($E629:$G629,K$5)-SUMIFS(TF_Timer,TF_Tekniker,K$4,TF_Dato,$A629))*2,0)/2)))</f>
        <v/>
      </c>
      <c r="L629">
        <f>IF(OR(L$4="",$A629&gt;TODAY()),0,IF(OR(INDEX($B629:$D629,L$5)="F",AND(L$6&gt;0,$A629&lt;L$6),AND(L$7&gt;0,$A629&gt;L$7)),0,MAX(0,ROUND((INDEX($E629:$G629,L$5)-SUMIFS(TF_Timer,TF_Tekniker,L$4,TF_Dato,$A629))*2,0)/2)))</f>
        <v/>
      </c>
      <c r="M629">
        <f>IF(OR(M$4="",$A629&gt;TODAY()),0,IF(OR(INDEX($B629:$D629,M$5)="F",AND(M$6&gt;0,$A629&lt;M$6),AND(M$7&gt;0,$A629&gt;M$7)),0,MAX(0,ROUND((INDEX($E629:$G629,M$5)-SUMIFS(TF_Timer,TF_Tekniker,M$4,TF_Dato,$A629))*2,0)/2)))</f>
        <v/>
      </c>
      <c r="N629">
        <f>IF(OR(N$4="",$A629&gt;TODAY()),0,IF(OR(INDEX($B629:$D629,N$5)="F",AND(N$6&gt;0,$A629&lt;N$6),AND(N$7&gt;0,$A629&gt;N$7)),0,MAX(0,ROUND((INDEX($E629:$G629,N$5)-SUMIFS(TF_Timer,TF_Tekniker,N$4,TF_Dato,$A629))*2,0)/2)))</f>
        <v/>
      </c>
      <c r="O629">
        <f>IF(OR(O$4="",$A629&gt;TODAY()),0,IF(OR(INDEX($B629:$D629,O$5)="F",AND(O$6&gt;0,$A629&lt;O$6),AND(O$7&gt;0,$A629&gt;O$7)),0,MAX(0,ROUND((INDEX($E629:$G629,O$5)-SUMIFS(TF_Timer,TF_Tekniker,O$4,TF_Dato,$A629))*2,0)/2)))</f>
        <v/>
      </c>
      <c r="P629">
        <f>IF(OR(P$4="",$A629&gt;TODAY()),0,IF(OR(INDEX($B629:$D629,P$5)="F",AND(P$6&gt;0,$A629&lt;P$6),AND(P$7&gt;0,$A629&gt;P$7)),0,MAX(0,ROUND((INDEX($E629:$G629,P$5)-SUMIFS(TF_Timer,TF_Tekniker,P$4,TF_Dato,$A629))*2,0)/2)))</f>
        <v/>
      </c>
      <c r="Q629">
        <f>IF(OR(Q$4="",$A629&gt;TODAY()),0,IF(OR(INDEX($B629:$D629,Q$5)="F",AND(Q$6&gt;0,$A629&lt;Q$6),AND(Q$7&gt;0,$A629&gt;Q$7)),0,MAX(0,ROUND((INDEX($E629:$G629,Q$5)-SUMIFS(TF_Timer,TF_Tekniker,Q$4,TF_Dato,$A629))*2,0)/2)))</f>
        <v/>
      </c>
      <c r="R629">
        <f>IF(OR(R$4="",$A629&gt;TODAY()),0,IF(OR(INDEX($B629:$D629,R$5)="F",AND(R$6&gt;0,$A629&lt;R$6),AND(R$7&gt;0,$A629&gt;R$7)),0,MAX(0,ROUND((INDEX($E629:$G629,R$5)-SUMIFS(TF_Timer,TF_Tekniker,R$4,TF_Dato,$A629))*2,0)/2)))</f>
        <v/>
      </c>
      <c r="S629">
        <f>IF(OR(S$4="",$A629&gt;TODAY()),0,IF(OR(INDEX($B629:$D629,S$5)="F",AND(S$6&gt;0,$A629&lt;S$6),AND(S$7&gt;0,$A629&gt;S$7)),0,MAX(0,ROUND((INDEX($E629:$G629,S$5)-SUMIFS(TF_Timer,TF_Tekniker,S$4,TF_Dato,$A629))*2,0)/2)))</f>
        <v/>
      </c>
      <c r="T629">
        <f>IF(OR(T$4="",$A629&gt;TODAY()),0,IF(OR(INDEX($B629:$D629,T$5)="F",AND(T$6&gt;0,$A629&lt;T$6),AND(T$7&gt;0,$A629&gt;T$7)),0,MAX(0,ROUND((INDEX($E629:$G629,T$5)-SUMIFS(TF_Timer,TF_Tekniker,T$4,TF_Dato,$A629))*2,0)/2)))</f>
        <v/>
      </c>
      <c r="U629">
        <f>IF(OR(U$4="",$A629&gt;TODAY()),0,IF(OR(INDEX($B629:$D629,U$5)="F",AND(U$6&gt;0,$A629&lt;U$6),AND(U$7&gt;0,$A629&gt;U$7)),0,MAX(0,ROUND((INDEX($E629:$G629,U$5)-SUMIFS(TF_Timer,TF_Tekniker,U$4,TF_Dato,$A629))*2,0)/2)))</f>
        <v/>
      </c>
      <c r="V629">
        <f>IF(OR(V$4="",$A629&gt;TODAY()),0,IF(OR(INDEX($B629:$D629,V$5)="F",AND(V$6&gt;0,$A629&lt;V$6),AND(V$7&gt;0,$A629&gt;V$7)),0,MAX(0,ROUND((INDEX($E629:$G629,V$5)-SUMIFS(TF_Timer,TF_Tekniker,V$4,TF_Dato,$A629))*2,0)/2)))</f>
        <v/>
      </c>
      <c r="W629">
        <f>IF(OR(W$4="",$A629&gt;TODAY()),0,IF(OR(INDEX($B629:$D629,W$5)="F",AND(W$6&gt;0,$A629&lt;W$6),AND(W$7&gt;0,$A629&gt;W$7)),0,MAX(0,ROUND((INDEX($E629:$G629,W$5)-SUMIFS(TF_Timer,TF_Tekniker,W$4,TF_Dato,$A629))*2,0)/2)))</f>
        <v/>
      </c>
      <c r="X629">
        <f>IF(OR(X$4="",$A629&gt;TODAY()),0,IF(OR(INDEX($B629:$D629,X$5)="F",AND(X$6&gt;0,$A629&lt;X$6),AND(X$7&gt;0,$A629&gt;X$7)),0,MAX(0,ROUND((INDEX($E629:$G629,X$5)-SUMIFS(TF_Timer,TF_Tekniker,X$4,TF_Dato,$A629))*2,0)/2)))</f>
        <v/>
      </c>
      <c r="Y629">
        <f>IF(OR(Y$4="",$A629&gt;TODAY()),0,IF(OR(INDEX($B629:$D629,Y$5)="F",AND(Y$6&gt;0,$A629&lt;Y$6),AND(Y$7&gt;0,$A629&gt;Y$7)),0,MAX(0,ROUND((INDEX($E629:$G629,Y$5)-SUMIFS(TF_Timer,TF_Tekniker,Y$4,TF_Dato,$A629))*2,0)/2)))</f>
        <v/>
      </c>
      <c r="Z629">
        <f>IF(OR(Z$4="",$A629&gt;TODAY()),0,IF(OR(INDEX($B629:$D629,Z$5)="F",AND(Z$6&gt;0,$A629&lt;Z$6),AND(Z$7&gt;0,$A629&gt;Z$7)),0,MAX(0,ROUND((INDEX($E629:$G629,Z$5)-SUMIFS(TF_Timer,TF_Tekniker,Z$4,TF_Dato,$A629))*2,0)/2)))</f>
        <v/>
      </c>
      <c r="AA629">
        <f>IF(OR(AA$4="",$A629&gt;TODAY()),0,IF(OR(INDEX($B629:$D629,AA$5)="F",AND(AA$6&gt;0,$A629&lt;AA$6),AND(AA$7&gt;0,$A629&gt;AA$7)),0,MAX(0,ROUND((INDEX($E629:$G629,AA$5)-SUMIFS(TF_Timer,TF_Tekniker,AA$4,TF_Dato,$A629))*2,0)/2)))</f>
        <v/>
      </c>
      <c r="AB629">
        <f>IF(OR(AB$4="",$A629&gt;TODAY()),0,IF(OR(INDEX($B629:$D629,AB$5)="F",AND(AB$6&gt;0,$A629&lt;AB$6),AND(AB$7&gt;0,$A629&gt;AB$7)),0,MAX(0,ROUND((INDEX($E629:$G629,AB$5)-SUMIFS(TF_Timer,TF_Tekniker,AB$4,TF_Dato,$A629))*2,0)/2)))</f>
        <v/>
      </c>
      <c r="AC629">
        <f>IF(OR(AC$4="",$A629&gt;TODAY()),0,IF(OR(INDEX($B629:$D629,AC$5)="F",AND(AC$6&gt;0,$A629&lt;AC$6),AND(AC$7&gt;0,$A629&gt;AC$7)),0,MAX(0,ROUND((INDEX($E629:$G629,AC$5)-SUMIFS(TF_Timer,TF_Tekniker,AC$4,TF_Dato,$A629))*2,0)/2)))</f>
        <v/>
      </c>
      <c r="AD629">
        <f>IF(OR(AD$4="",$A629&gt;TODAY()),0,IF(OR(INDEX($B629:$D629,AD$5)="F",AND(AD$6&gt;0,$A629&lt;AD$6),AND(AD$7&gt;0,$A629&gt;AD$7)),0,MAX(0,ROUND((INDEX($E629:$G629,AD$5)-SUMIFS(TF_Timer,TF_Tekniker,AD$4,TF_Dato,$A629))*2,0)/2)))</f>
        <v/>
      </c>
      <c r="AE629">
        <f>IF(OR(AE$4="",$A629&gt;TODAY()),0,IF(OR(INDEX($B629:$D629,AE$5)="F",AND(AE$6&gt;0,$A629&lt;AE$6),AND(AE$7&gt;0,$A629&gt;AE$7)),0,MAX(0,ROUND((INDEX($E629:$G629,AE$5)-SUMIFS(TF_Timer,TF_Tekniker,AE$4,TF_Dato,$A629))*2,0)/2)))</f>
        <v/>
      </c>
      <c r="AF629">
        <f>IF(OR(AF$4="",$A629&gt;TODAY()),0,IF(OR(INDEX($B629:$D629,AF$5)="F",AND(AF$6&gt;0,$A629&lt;AF$6),AND(AF$7&gt;0,$A629&gt;AF$7)),0,MAX(0,ROUND((INDEX($E629:$G629,AF$5)-SUMIFS(TF_Timer,TF_Tekniker,AF$4,TF_Dato,$A629))*2,0)/2)))</f>
        <v/>
      </c>
      <c r="AG629">
        <f>IF(OR(AG$4="",$A629&gt;TODAY()),0,IF(OR(INDEX($B629:$D629,AG$5)="F",AND(AG$6&gt;0,$A629&lt;AG$6),AND(AG$7&gt;0,$A629&gt;AG$7)),0,MAX(0,ROUND((INDEX($E629:$G629,AG$5)-SUMIFS(TF_Timer,TF_Tekniker,AG$4,TF_Dato,$A629))*2,0)/2)))</f>
        <v/>
      </c>
      <c r="AH629">
        <f>IF(OR(AH$4="",$A629&gt;TODAY()),0,IF(OR(INDEX($B629:$D629,AH$5)="F",AND(AH$6&gt;0,$A629&lt;AH$6),AND(AH$7&gt;0,$A629&gt;AH$7)),0,MAX(0,ROUND((INDEX($E629:$G629,AH$5)-SUMIFS(TF_Timer,TF_Tekniker,AH$4,TF_Dato,$A629))*2,0)/2)))</f>
        <v/>
      </c>
      <c r="AI629">
        <f>IF(OR(AI$4="",$A629&gt;TODAY()),0,IF(OR(INDEX($B629:$D629,AI$5)="F",AND(AI$6&gt;0,$A629&lt;AI$6),AND(AI$7&gt;0,$A629&gt;AI$7)),0,MAX(0,ROUND((INDEX($E629:$G629,AI$5)-SUMIFS(TF_Timer,TF_Tekniker,AI$4,TF_Dato,$A629))*2,0)/2)))</f>
        <v/>
      </c>
      <c r="AJ629">
        <f>IF(OR(AJ$4="",$A629&gt;TODAY()),0,IF(OR(INDEX($B629:$D629,AJ$5)="F",AND(AJ$6&gt;0,$A629&lt;AJ$6),AND(AJ$7&gt;0,$A629&gt;AJ$7)),0,MAX(0,ROUND((INDEX($E629:$G629,AJ$5)-SUMIFS(TF_Timer,TF_Tekniker,AJ$4,TF_Dato,$A629))*2,0)/2)))</f>
        <v/>
      </c>
      <c r="AK629">
        <f>IF(OR(AK$4="",$A629&gt;TODAY()),0,IF(OR(INDEX($B629:$D629,AK$5)="F",AND(AK$6&gt;0,$A629&lt;AK$6),AND(AK$7&gt;0,$A629&gt;AK$7)),0,MAX(0,ROUND((INDEX($E629:$G629,AK$5)-SUMIFS(TF_Timer,TF_Tekniker,AK$4,TF_Dato,$A629))*2,0)/2)))</f>
        <v/>
      </c>
      <c r="AL629">
        <f>IF(OR(AL$4="",$A629&gt;TODAY()),0,IF(OR(INDEX($B629:$D629,AL$5)="F",AND(AL$6&gt;0,$A629&lt;AL$6),AND(AL$7&gt;0,$A629&gt;AL$7)),0,MAX(0,ROUND((INDEX($E629:$G629,AL$5)-SUMIFS(TF_Timer,TF_Tekniker,AL$4,TF_Dato,$A629))*2,0)/2)))</f>
        <v/>
      </c>
      <c r="AM629">
        <f>IF(OR(AM$4="",$A629&gt;TODAY()),0,IF(OR(INDEX($B629:$D629,AM$5)="F",AND(AM$6&gt;0,$A629&lt;AM$6),AND(AM$7&gt;0,$A629&gt;AM$7)),0,MAX(0,ROUND((INDEX($E629:$G629,AM$5)-SUMIFS(TF_Timer,TF_Tekniker,AM$4,TF_Dato,$A629))*2,0)/2)))</f>
        <v/>
      </c>
      <c r="AN629">
        <f>IF(OR(AN$4="",$A629&gt;TODAY()),0,IF(OR(INDEX($B629:$D629,AN$5)="F",AND(AN$6&gt;0,$A629&lt;AN$6),AND(AN$7&gt;0,$A629&gt;AN$7)),0,MAX(0,ROUND((INDEX($E629:$G629,AN$5)-SUMIFS(TF_Timer,TF_Tekniker,AN$4,TF_Dato,$A629))*2,0)/2)))</f>
        <v/>
      </c>
      <c r="AO629">
        <f>IF(OR(AO$4="",$A629&gt;TODAY()),0,IF(OR(INDEX($B629:$D629,AO$5)="F",AND(AO$6&gt;0,$A629&lt;AO$6),AND(AO$7&gt;0,$A629&gt;AO$7)),0,MAX(0,ROUND((INDEX($E629:$G629,AO$5)-SUMIFS(TF_Timer,TF_Tekniker,AO$4,TF_Dato,$A629))*2,0)/2)))</f>
        <v/>
      </c>
      <c r="AP629">
        <f>IF(OR(AP$4="",$A629&gt;TODAY()),0,IF(OR(INDEX($B629:$D629,AP$5)="F",AND(AP$6&gt;0,$A629&lt;AP$6),AND(AP$7&gt;0,$A629&gt;AP$7)),0,MAX(0,ROUND((INDEX($E629:$G629,AP$5)-SUMIFS(TF_Timer,TF_Tekniker,AP$4,TF_Dato,$A629))*2,0)/2)))</f>
        <v/>
      </c>
      <c r="AQ629">
        <f>IF(OR(AQ$4="",$A629&gt;TODAY()),0,IF(OR(INDEX($B629:$D629,AQ$5)="F",AND(AQ$6&gt;0,$A629&lt;AQ$6),AND(AQ$7&gt;0,$A629&gt;AQ$7)),0,MAX(0,ROUND((INDEX($E629:$G629,AQ$5)-SUMIFS(TF_Timer,TF_Tekniker,AQ$4,TF_Dato,$A629))*2,0)/2)))</f>
        <v/>
      </c>
      <c r="AR629">
        <f>IF(OR(AR$4="",$A629&gt;TODAY()),0,IF(OR(INDEX($B629:$D629,AR$5)="F",AND(AR$6&gt;0,$A629&lt;AR$6),AND(AR$7&gt;0,$A629&gt;AR$7)),0,MAX(0,ROUND((INDEX($E629:$G629,AR$5)-SUMIFS(TF_Timer,TF_Tekniker,AR$4,TF_Dato,$A629))*2,0)/2)))</f>
        <v/>
      </c>
      <c r="AS629">
        <f>IF(OR(AS$4="",$A629&gt;TODAY()),0,IF(OR(INDEX($B629:$D629,AS$5)="F",AND(AS$6&gt;0,$A629&lt;AS$6),AND(AS$7&gt;0,$A629&gt;AS$7)),0,MAX(0,ROUND((INDEX($E629:$G629,AS$5)-SUMIFS(TF_Timer,TF_Tekniker,AS$4,TF_Dato,$A629))*2,0)/2)))</f>
        <v/>
      </c>
      <c r="AT629">
        <f>IF(OR(AT$4="",$A629&gt;TODAY()),0,IF(OR(INDEX($B629:$D629,AT$5)="F",AND(AT$6&gt;0,$A629&lt;AT$6),AND(AT$7&gt;0,$A629&gt;AT$7)),0,MAX(0,ROUND((INDEX($E629:$G629,AT$5)-SUMIFS(TF_Timer,TF_Tekniker,AT$4,TF_Dato,$A629))*2,0)/2)))</f>
        <v/>
      </c>
      <c r="AU629">
        <f>IF(OR(AU$4="",$A629&gt;TODAY()),0,IF(OR(INDEX($B629:$D629,AU$5)="F",AND(AU$6&gt;0,$A629&lt;AU$6),AND(AU$7&gt;0,$A629&gt;AU$7)),0,MAX(0,ROUND((INDEX($E629:$G629,AU$5)-SUMIFS(TF_Timer,TF_Tekniker,AU$4,TF_Dato,$A629))*2,0)/2)))</f>
        <v/>
      </c>
      <c r="AV629">
        <f>IF(OR(AV$4="",$A629&gt;TODAY()),0,IF(OR(INDEX($B629:$D629,AV$5)="F",AND(AV$6&gt;0,$A629&lt;AV$6),AND(AV$7&gt;0,$A629&gt;AV$7)),0,MAX(0,ROUND((INDEX($E629:$G629,AV$5)-SUMIFS(TF_Timer,TF_Tekniker,AV$4,TF_Dato,$A629))*2,0)/2)))</f>
        <v/>
      </c>
      <c r="AW629">
        <f>IF(OR(AW$4="",$A629&gt;TODAY()),0,IF(OR(INDEX($B629:$D629,AW$5)="F",AND(AW$6&gt;0,$A629&lt;AW$6),AND(AW$7&gt;0,$A629&gt;AW$7)),0,MAX(0,ROUND((INDEX($E629:$G629,AW$5)-SUMIFS(TF_Timer,TF_Tekniker,AW$4,TF_Dato,$A629))*2,0)/2)))</f>
        <v/>
      </c>
      <c r="AX629">
        <f>IF(OR(AX$4="",$A629&gt;TODAY()),0,IF(OR(INDEX($B629:$D629,AX$5)="F",AND(AX$6&gt;0,$A629&lt;AX$6),AND(AX$7&gt;0,$A629&gt;AX$7)),0,MAX(0,ROUND((INDEX($E629:$G629,AX$5)-SUMIFS(TF_Timer,TF_Tekniker,AX$4,TF_Dato,$A629))*2,0)/2)))</f>
        <v/>
      </c>
      <c r="AY629">
        <f>IF(OR(AY$4="",$A629&gt;TODAY()),0,IF(OR(INDEX($B629:$D629,AY$5)="F",AND(AY$6&gt;0,$A629&lt;AY$6),AND(AY$7&gt;0,$A629&gt;AY$7)),0,MAX(0,ROUND((INDEX($E629:$G629,AY$5)-SUMIFS(TF_Timer,TF_Tekniker,AY$4,TF_Dato,$A629))*2,0)/2)))</f>
        <v/>
      </c>
      <c r="AZ629">
        <f>IF(OR(AZ$4="",$A629&gt;TODAY()),0,IF(OR(INDEX($B629:$D629,AZ$5)="F",AND(AZ$6&gt;0,$A629&lt;AZ$6),AND(AZ$7&gt;0,$A629&gt;AZ$7)),0,MAX(0,ROUND((INDEX($E629:$G629,AZ$5)-SUMIFS(TF_Timer,TF_Tekniker,AZ$4,TF_Dato,$A629))*2,0)/2)))</f>
        <v/>
      </c>
      <c r="BA629">
        <f>IF(OR(BA$4="",$A629&gt;TODAY()),0,IF(OR(INDEX($B629:$D629,BA$5)="F",AND(BA$6&gt;0,$A629&lt;BA$6),AND(BA$7&gt;0,$A629&gt;BA$7)),0,MAX(0,ROUND((INDEX($E629:$G629,BA$5)-SUMIFS(TF_Timer,TF_Tekniker,BA$4,TF_Dato,$A629))*2,0)/2)))</f>
        <v/>
      </c>
      <c r="BB629">
        <f>IF(OR(BB$4="",$A629&gt;TODAY()),0,IF(OR(INDEX($B629:$D629,BB$5)="F",AND(BB$6&gt;0,$A629&lt;BB$6),AND(BB$7&gt;0,$A629&gt;BB$7)),0,MAX(0,ROUND((INDEX($E629:$G629,BB$5)-SUMIFS(TF_Timer,TF_Tekniker,BB$4,TF_Dato,$A629))*2,0)/2)))</f>
        <v/>
      </c>
      <c r="BC629">
        <f>IF(OR(BC$4="",$A629&gt;TODAY()),0,IF(OR(INDEX($B629:$D629,BC$5)="F",AND(BC$6&gt;0,$A629&lt;BC$6),AND(BC$7&gt;0,$A629&gt;BC$7)),0,MAX(0,ROUND((INDEX($E629:$G629,BC$5)-SUMIFS(TF_Timer,TF_Tekniker,BC$4,TF_Dato,$A629))*2,0)/2)))</f>
        <v/>
      </c>
      <c r="BD629">
        <f>IF(OR(BD$4="",$A629&gt;TODAY()),0,IF(OR(INDEX($B629:$D629,BD$5)="F",AND(BD$6&gt;0,$A629&lt;BD$6),AND(BD$7&gt;0,$A629&gt;BD$7)),0,MAX(0,ROUND((INDEX($E629:$G629,BD$5)-SUMIFS(TF_Timer,TF_Tekniker,BD$4,TF_Dato,$A629))*2,0)/2)))</f>
        <v/>
      </c>
      <c r="BE629">
        <f>IF(OR(BE$4="",$A629&gt;TODAY()),0,IF(OR(INDEX($B629:$D629,BE$5)="F",AND(BE$6&gt;0,$A629&lt;BE$6),AND(BE$7&gt;0,$A629&gt;BE$7)),0,MAX(0,ROUND((INDEX($E629:$G629,BE$5)-SUMIFS(TF_Timer,TF_Tekniker,BE$4,TF_Dato,$A629))*2,0)/2)))</f>
        <v/>
      </c>
      <c r="BF629">
        <f>IF(OR(BF$4="",$A629&gt;TODAY()),0,IF(OR(INDEX($B629:$D629,BF$5)="F",AND(BF$6&gt;0,$A629&lt;BF$6),AND(BF$7&gt;0,$A629&gt;BF$7)),0,MAX(0,ROUND((INDEX($E629:$G629,BF$5)-SUMIFS(TF_Timer,TF_Tekniker,BF$4,TF_Dato,$A629))*2,0)/2)))</f>
        <v/>
      </c>
      <c r="BG629">
        <f>IF(OR(BG$4="",$A629&gt;TODAY()),0,IF(OR(INDEX($B629:$D629,BG$5)="F",AND(BG$6&gt;0,$A629&lt;BG$6),AND(BG$7&gt;0,$A629&gt;BG$7)),0,MAX(0,ROUND((INDEX($E629:$G629,BG$5)-SUMIFS(TF_Timer,TF_Tekniker,BG$4,TF_Dato,$A629))*2,0)/2)))</f>
        <v/>
      </c>
      <c r="BH629">
        <f>IF(OR(BH$4="",$A629&gt;TODAY()),0,IF(OR(INDEX($B629:$D629,BH$5)="F",AND(BH$6&gt;0,$A629&lt;BH$6),AND(BH$7&gt;0,$A629&gt;BH$7)),0,MAX(0,ROUND((INDEX($E629:$G629,BH$5)-SUMIFS(TF_Timer,TF_Tekniker,BH$4,TF_Dato,$A629))*2,0)/2)))</f>
        <v/>
      </c>
      <c r="BI629">
        <f>IF(OR(BI$4="",$A629&gt;TODAY()),0,IF(OR(INDEX($B629:$D629,BI$5)="F",AND(BI$6&gt;0,$A629&lt;BI$6),AND(BI$7&gt;0,$A629&gt;BI$7)),0,MAX(0,ROUND((INDEX($E629:$G629,BI$5)-SUMIFS(TF_Timer,TF_Tekniker,BI$4,TF_Dato,$A629))*2,0)/2)))</f>
        <v/>
      </c>
    </row>
    <row r="630">
      <c r="A630" s="64">
        <f>A629+1</f>
        <v/>
      </c>
      <c r="B630">
        <f>IF(MOD($A630-INDEX(SkiftStart,1),Syklus)&lt;DagK,"K",IF(MOD($A630-INDEX(SkiftStart,1),Syklus)&lt;DagK+DagH,"H",IF(MOD($A630-INDEX(SkiftStart,1),Syklus)&lt;DagK+DagH+DagD,"D","F")))</f>
        <v/>
      </c>
      <c r="C630">
        <f>IF(MOD($A630-INDEX(SkiftStart,2),Syklus)&lt;DagK,"K",IF(MOD($A630-INDEX(SkiftStart,2),Syklus)&lt;DagK+DagH,"H",IF(MOD($A630-INDEX(SkiftStart,2),Syklus)&lt;DagK+DagH+DagD,"D","F")))</f>
        <v/>
      </c>
      <c r="D630">
        <f>IF(MOD($A630-INDEX(SkiftStart,3),Syklus)&lt;DagK,"K",IF(MOD($A630-INDEX(SkiftStart,3),Syklus)&lt;DagK+DagH,"H",IF(MOD($A630-INDEX(SkiftStart,3),Syklus)&lt;DagK+DagH+DagD,"D","F")))</f>
        <v/>
      </c>
      <c r="E630">
        <f>IF(B630="F",0,IF(WEEKDAY($A630,2)=5,INDEX(TimerFr,MATCH(B630,FaseKode,0)),INDEX(TimerMT,MATCH(B630,FaseKode,0))))</f>
        <v/>
      </c>
      <c r="F630">
        <f>IF(C630="F",0,IF(WEEKDAY($A630,2)=5,INDEX(TimerFr,MATCH(C630,FaseKode,0)),INDEX(TimerMT,MATCH(C630,FaseKode,0))))</f>
        <v/>
      </c>
      <c r="G630">
        <f>IF(D630="F",0,IF(WEEKDAY($A630,2)=5,INDEX(TimerFr,MATCH(D630,FaseKode,0)),INDEX(TimerMT,MATCH(D630,FaseKode,0))))</f>
        <v/>
      </c>
      <c r="H630">
        <f>IF(OR(H$4="",$A630&gt;TODAY()),0,IF(OR(INDEX($B630:$D630,H$5)="F",AND(H$6&gt;0,$A630&lt;H$6),AND(H$7&gt;0,$A630&gt;H$7)),0,MAX(0,ROUND((INDEX($E630:$G630,H$5)-SUMIFS(TF_Timer,TF_Tekniker,H$4,TF_Dato,$A630))*2,0)/2)))</f>
        <v/>
      </c>
      <c r="I630">
        <f>IF(OR(I$4="",$A630&gt;TODAY()),0,IF(OR(INDEX($B630:$D630,I$5)="F",AND(I$6&gt;0,$A630&lt;I$6),AND(I$7&gt;0,$A630&gt;I$7)),0,MAX(0,ROUND((INDEX($E630:$G630,I$5)-SUMIFS(TF_Timer,TF_Tekniker,I$4,TF_Dato,$A630))*2,0)/2)))</f>
        <v/>
      </c>
      <c r="J630">
        <f>IF(OR(J$4="",$A630&gt;TODAY()),0,IF(OR(INDEX($B630:$D630,J$5)="F",AND(J$6&gt;0,$A630&lt;J$6),AND(J$7&gt;0,$A630&gt;J$7)),0,MAX(0,ROUND((INDEX($E630:$G630,J$5)-SUMIFS(TF_Timer,TF_Tekniker,J$4,TF_Dato,$A630))*2,0)/2)))</f>
        <v/>
      </c>
      <c r="K630">
        <f>IF(OR(K$4="",$A630&gt;TODAY()),0,IF(OR(INDEX($B630:$D630,K$5)="F",AND(K$6&gt;0,$A630&lt;K$6),AND(K$7&gt;0,$A630&gt;K$7)),0,MAX(0,ROUND((INDEX($E630:$G630,K$5)-SUMIFS(TF_Timer,TF_Tekniker,K$4,TF_Dato,$A630))*2,0)/2)))</f>
        <v/>
      </c>
      <c r="L630">
        <f>IF(OR(L$4="",$A630&gt;TODAY()),0,IF(OR(INDEX($B630:$D630,L$5)="F",AND(L$6&gt;0,$A630&lt;L$6),AND(L$7&gt;0,$A630&gt;L$7)),0,MAX(0,ROUND((INDEX($E630:$G630,L$5)-SUMIFS(TF_Timer,TF_Tekniker,L$4,TF_Dato,$A630))*2,0)/2)))</f>
        <v/>
      </c>
      <c r="M630">
        <f>IF(OR(M$4="",$A630&gt;TODAY()),0,IF(OR(INDEX($B630:$D630,M$5)="F",AND(M$6&gt;0,$A630&lt;M$6),AND(M$7&gt;0,$A630&gt;M$7)),0,MAX(0,ROUND((INDEX($E630:$G630,M$5)-SUMIFS(TF_Timer,TF_Tekniker,M$4,TF_Dato,$A630))*2,0)/2)))</f>
        <v/>
      </c>
      <c r="N630">
        <f>IF(OR(N$4="",$A630&gt;TODAY()),0,IF(OR(INDEX($B630:$D630,N$5)="F",AND(N$6&gt;0,$A630&lt;N$6),AND(N$7&gt;0,$A630&gt;N$7)),0,MAX(0,ROUND((INDEX($E630:$G630,N$5)-SUMIFS(TF_Timer,TF_Tekniker,N$4,TF_Dato,$A630))*2,0)/2)))</f>
        <v/>
      </c>
      <c r="O630">
        <f>IF(OR(O$4="",$A630&gt;TODAY()),0,IF(OR(INDEX($B630:$D630,O$5)="F",AND(O$6&gt;0,$A630&lt;O$6),AND(O$7&gt;0,$A630&gt;O$7)),0,MAX(0,ROUND((INDEX($E630:$G630,O$5)-SUMIFS(TF_Timer,TF_Tekniker,O$4,TF_Dato,$A630))*2,0)/2)))</f>
        <v/>
      </c>
      <c r="P630">
        <f>IF(OR(P$4="",$A630&gt;TODAY()),0,IF(OR(INDEX($B630:$D630,P$5)="F",AND(P$6&gt;0,$A630&lt;P$6),AND(P$7&gt;0,$A630&gt;P$7)),0,MAX(0,ROUND((INDEX($E630:$G630,P$5)-SUMIFS(TF_Timer,TF_Tekniker,P$4,TF_Dato,$A630))*2,0)/2)))</f>
        <v/>
      </c>
      <c r="Q630">
        <f>IF(OR(Q$4="",$A630&gt;TODAY()),0,IF(OR(INDEX($B630:$D630,Q$5)="F",AND(Q$6&gt;0,$A630&lt;Q$6),AND(Q$7&gt;0,$A630&gt;Q$7)),0,MAX(0,ROUND((INDEX($E630:$G630,Q$5)-SUMIFS(TF_Timer,TF_Tekniker,Q$4,TF_Dato,$A630))*2,0)/2)))</f>
        <v/>
      </c>
      <c r="R630">
        <f>IF(OR(R$4="",$A630&gt;TODAY()),0,IF(OR(INDEX($B630:$D630,R$5)="F",AND(R$6&gt;0,$A630&lt;R$6),AND(R$7&gt;0,$A630&gt;R$7)),0,MAX(0,ROUND((INDEX($E630:$G630,R$5)-SUMIFS(TF_Timer,TF_Tekniker,R$4,TF_Dato,$A630))*2,0)/2)))</f>
        <v/>
      </c>
      <c r="S630">
        <f>IF(OR(S$4="",$A630&gt;TODAY()),0,IF(OR(INDEX($B630:$D630,S$5)="F",AND(S$6&gt;0,$A630&lt;S$6),AND(S$7&gt;0,$A630&gt;S$7)),0,MAX(0,ROUND((INDEX($E630:$G630,S$5)-SUMIFS(TF_Timer,TF_Tekniker,S$4,TF_Dato,$A630))*2,0)/2)))</f>
        <v/>
      </c>
      <c r="T630">
        <f>IF(OR(T$4="",$A630&gt;TODAY()),0,IF(OR(INDEX($B630:$D630,T$5)="F",AND(T$6&gt;0,$A630&lt;T$6),AND(T$7&gt;0,$A630&gt;T$7)),0,MAX(0,ROUND((INDEX($E630:$G630,T$5)-SUMIFS(TF_Timer,TF_Tekniker,T$4,TF_Dato,$A630))*2,0)/2)))</f>
        <v/>
      </c>
      <c r="U630">
        <f>IF(OR(U$4="",$A630&gt;TODAY()),0,IF(OR(INDEX($B630:$D630,U$5)="F",AND(U$6&gt;0,$A630&lt;U$6),AND(U$7&gt;0,$A630&gt;U$7)),0,MAX(0,ROUND((INDEX($E630:$G630,U$5)-SUMIFS(TF_Timer,TF_Tekniker,U$4,TF_Dato,$A630))*2,0)/2)))</f>
        <v/>
      </c>
      <c r="V630">
        <f>IF(OR(V$4="",$A630&gt;TODAY()),0,IF(OR(INDEX($B630:$D630,V$5)="F",AND(V$6&gt;0,$A630&lt;V$6),AND(V$7&gt;0,$A630&gt;V$7)),0,MAX(0,ROUND((INDEX($E630:$G630,V$5)-SUMIFS(TF_Timer,TF_Tekniker,V$4,TF_Dato,$A630))*2,0)/2)))</f>
        <v/>
      </c>
      <c r="W630">
        <f>IF(OR(W$4="",$A630&gt;TODAY()),0,IF(OR(INDEX($B630:$D630,W$5)="F",AND(W$6&gt;0,$A630&lt;W$6),AND(W$7&gt;0,$A630&gt;W$7)),0,MAX(0,ROUND((INDEX($E630:$G630,W$5)-SUMIFS(TF_Timer,TF_Tekniker,W$4,TF_Dato,$A630))*2,0)/2)))</f>
        <v/>
      </c>
      <c r="X630">
        <f>IF(OR(X$4="",$A630&gt;TODAY()),0,IF(OR(INDEX($B630:$D630,X$5)="F",AND(X$6&gt;0,$A630&lt;X$6),AND(X$7&gt;0,$A630&gt;X$7)),0,MAX(0,ROUND((INDEX($E630:$G630,X$5)-SUMIFS(TF_Timer,TF_Tekniker,X$4,TF_Dato,$A630))*2,0)/2)))</f>
        <v/>
      </c>
      <c r="Y630">
        <f>IF(OR(Y$4="",$A630&gt;TODAY()),0,IF(OR(INDEX($B630:$D630,Y$5)="F",AND(Y$6&gt;0,$A630&lt;Y$6),AND(Y$7&gt;0,$A630&gt;Y$7)),0,MAX(0,ROUND((INDEX($E630:$G630,Y$5)-SUMIFS(TF_Timer,TF_Tekniker,Y$4,TF_Dato,$A630))*2,0)/2)))</f>
        <v/>
      </c>
      <c r="Z630">
        <f>IF(OR(Z$4="",$A630&gt;TODAY()),0,IF(OR(INDEX($B630:$D630,Z$5)="F",AND(Z$6&gt;0,$A630&lt;Z$6),AND(Z$7&gt;0,$A630&gt;Z$7)),0,MAX(0,ROUND((INDEX($E630:$G630,Z$5)-SUMIFS(TF_Timer,TF_Tekniker,Z$4,TF_Dato,$A630))*2,0)/2)))</f>
        <v/>
      </c>
      <c r="AA630">
        <f>IF(OR(AA$4="",$A630&gt;TODAY()),0,IF(OR(INDEX($B630:$D630,AA$5)="F",AND(AA$6&gt;0,$A630&lt;AA$6),AND(AA$7&gt;0,$A630&gt;AA$7)),0,MAX(0,ROUND((INDEX($E630:$G630,AA$5)-SUMIFS(TF_Timer,TF_Tekniker,AA$4,TF_Dato,$A630))*2,0)/2)))</f>
        <v/>
      </c>
      <c r="AB630">
        <f>IF(OR(AB$4="",$A630&gt;TODAY()),0,IF(OR(INDEX($B630:$D630,AB$5)="F",AND(AB$6&gt;0,$A630&lt;AB$6),AND(AB$7&gt;0,$A630&gt;AB$7)),0,MAX(0,ROUND((INDEX($E630:$G630,AB$5)-SUMIFS(TF_Timer,TF_Tekniker,AB$4,TF_Dato,$A630))*2,0)/2)))</f>
        <v/>
      </c>
      <c r="AC630">
        <f>IF(OR(AC$4="",$A630&gt;TODAY()),0,IF(OR(INDEX($B630:$D630,AC$5)="F",AND(AC$6&gt;0,$A630&lt;AC$6),AND(AC$7&gt;0,$A630&gt;AC$7)),0,MAX(0,ROUND((INDEX($E630:$G630,AC$5)-SUMIFS(TF_Timer,TF_Tekniker,AC$4,TF_Dato,$A630))*2,0)/2)))</f>
        <v/>
      </c>
      <c r="AD630">
        <f>IF(OR(AD$4="",$A630&gt;TODAY()),0,IF(OR(INDEX($B630:$D630,AD$5)="F",AND(AD$6&gt;0,$A630&lt;AD$6),AND(AD$7&gt;0,$A630&gt;AD$7)),0,MAX(0,ROUND((INDEX($E630:$G630,AD$5)-SUMIFS(TF_Timer,TF_Tekniker,AD$4,TF_Dato,$A630))*2,0)/2)))</f>
        <v/>
      </c>
      <c r="AE630">
        <f>IF(OR(AE$4="",$A630&gt;TODAY()),0,IF(OR(INDEX($B630:$D630,AE$5)="F",AND(AE$6&gt;0,$A630&lt;AE$6),AND(AE$7&gt;0,$A630&gt;AE$7)),0,MAX(0,ROUND((INDEX($E630:$G630,AE$5)-SUMIFS(TF_Timer,TF_Tekniker,AE$4,TF_Dato,$A630))*2,0)/2)))</f>
        <v/>
      </c>
      <c r="AF630">
        <f>IF(OR(AF$4="",$A630&gt;TODAY()),0,IF(OR(INDEX($B630:$D630,AF$5)="F",AND(AF$6&gt;0,$A630&lt;AF$6),AND(AF$7&gt;0,$A630&gt;AF$7)),0,MAX(0,ROUND((INDEX($E630:$G630,AF$5)-SUMIFS(TF_Timer,TF_Tekniker,AF$4,TF_Dato,$A630))*2,0)/2)))</f>
        <v/>
      </c>
      <c r="AG630">
        <f>IF(OR(AG$4="",$A630&gt;TODAY()),0,IF(OR(INDEX($B630:$D630,AG$5)="F",AND(AG$6&gt;0,$A630&lt;AG$6),AND(AG$7&gt;0,$A630&gt;AG$7)),0,MAX(0,ROUND((INDEX($E630:$G630,AG$5)-SUMIFS(TF_Timer,TF_Tekniker,AG$4,TF_Dato,$A630))*2,0)/2)))</f>
        <v/>
      </c>
      <c r="AH630">
        <f>IF(OR(AH$4="",$A630&gt;TODAY()),0,IF(OR(INDEX($B630:$D630,AH$5)="F",AND(AH$6&gt;0,$A630&lt;AH$6),AND(AH$7&gt;0,$A630&gt;AH$7)),0,MAX(0,ROUND((INDEX($E630:$G630,AH$5)-SUMIFS(TF_Timer,TF_Tekniker,AH$4,TF_Dato,$A630))*2,0)/2)))</f>
        <v/>
      </c>
      <c r="AI630">
        <f>IF(OR(AI$4="",$A630&gt;TODAY()),0,IF(OR(INDEX($B630:$D630,AI$5)="F",AND(AI$6&gt;0,$A630&lt;AI$6),AND(AI$7&gt;0,$A630&gt;AI$7)),0,MAX(0,ROUND((INDEX($E630:$G630,AI$5)-SUMIFS(TF_Timer,TF_Tekniker,AI$4,TF_Dato,$A630))*2,0)/2)))</f>
        <v/>
      </c>
      <c r="AJ630">
        <f>IF(OR(AJ$4="",$A630&gt;TODAY()),0,IF(OR(INDEX($B630:$D630,AJ$5)="F",AND(AJ$6&gt;0,$A630&lt;AJ$6),AND(AJ$7&gt;0,$A630&gt;AJ$7)),0,MAX(0,ROUND((INDEX($E630:$G630,AJ$5)-SUMIFS(TF_Timer,TF_Tekniker,AJ$4,TF_Dato,$A630))*2,0)/2)))</f>
        <v/>
      </c>
      <c r="AK630">
        <f>IF(OR(AK$4="",$A630&gt;TODAY()),0,IF(OR(INDEX($B630:$D630,AK$5)="F",AND(AK$6&gt;0,$A630&lt;AK$6),AND(AK$7&gt;0,$A630&gt;AK$7)),0,MAX(0,ROUND((INDEX($E630:$G630,AK$5)-SUMIFS(TF_Timer,TF_Tekniker,AK$4,TF_Dato,$A630))*2,0)/2)))</f>
        <v/>
      </c>
      <c r="AL630">
        <f>IF(OR(AL$4="",$A630&gt;TODAY()),0,IF(OR(INDEX($B630:$D630,AL$5)="F",AND(AL$6&gt;0,$A630&lt;AL$6),AND(AL$7&gt;0,$A630&gt;AL$7)),0,MAX(0,ROUND((INDEX($E630:$G630,AL$5)-SUMIFS(TF_Timer,TF_Tekniker,AL$4,TF_Dato,$A630))*2,0)/2)))</f>
        <v/>
      </c>
      <c r="AM630">
        <f>IF(OR(AM$4="",$A630&gt;TODAY()),0,IF(OR(INDEX($B630:$D630,AM$5)="F",AND(AM$6&gt;0,$A630&lt;AM$6),AND(AM$7&gt;0,$A630&gt;AM$7)),0,MAX(0,ROUND((INDEX($E630:$G630,AM$5)-SUMIFS(TF_Timer,TF_Tekniker,AM$4,TF_Dato,$A630))*2,0)/2)))</f>
        <v/>
      </c>
      <c r="AN630">
        <f>IF(OR(AN$4="",$A630&gt;TODAY()),0,IF(OR(INDEX($B630:$D630,AN$5)="F",AND(AN$6&gt;0,$A630&lt;AN$6),AND(AN$7&gt;0,$A630&gt;AN$7)),0,MAX(0,ROUND((INDEX($E630:$G630,AN$5)-SUMIFS(TF_Timer,TF_Tekniker,AN$4,TF_Dato,$A630))*2,0)/2)))</f>
        <v/>
      </c>
      <c r="AO630">
        <f>IF(OR(AO$4="",$A630&gt;TODAY()),0,IF(OR(INDEX($B630:$D630,AO$5)="F",AND(AO$6&gt;0,$A630&lt;AO$6),AND(AO$7&gt;0,$A630&gt;AO$7)),0,MAX(0,ROUND((INDEX($E630:$G630,AO$5)-SUMIFS(TF_Timer,TF_Tekniker,AO$4,TF_Dato,$A630))*2,0)/2)))</f>
        <v/>
      </c>
      <c r="AP630">
        <f>IF(OR(AP$4="",$A630&gt;TODAY()),0,IF(OR(INDEX($B630:$D630,AP$5)="F",AND(AP$6&gt;0,$A630&lt;AP$6),AND(AP$7&gt;0,$A630&gt;AP$7)),0,MAX(0,ROUND((INDEX($E630:$G630,AP$5)-SUMIFS(TF_Timer,TF_Tekniker,AP$4,TF_Dato,$A630))*2,0)/2)))</f>
        <v/>
      </c>
      <c r="AQ630">
        <f>IF(OR(AQ$4="",$A630&gt;TODAY()),0,IF(OR(INDEX($B630:$D630,AQ$5)="F",AND(AQ$6&gt;0,$A630&lt;AQ$6),AND(AQ$7&gt;0,$A630&gt;AQ$7)),0,MAX(0,ROUND((INDEX($E630:$G630,AQ$5)-SUMIFS(TF_Timer,TF_Tekniker,AQ$4,TF_Dato,$A630))*2,0)/2)))</f>
        <v/>
      </c>
      <c r="AR630">
        <f>IF(OR(AR$4="",$A630&gt;TODAY()),0,IF(OR(INDEX($B630:$D630,AR$5)="F",AND(AR$6&gt;0,$A630&lt;AR$6),AND(AR$7&gt;0,$A630&gt;AR$7)),0,MAX(0,ROUND((INDEX($E630:$G630,AR$5)-SUMIFS(TF_Timer,TF_Tekniker,AR$4,TF_Dato,$A630))*2,0)/2)))</f>
        <v/>
      </c>
      <c r="AS630">
        <f>IF(OR(AS$4="",$A630&gt;TODAY()),0,IF(OR(INDEX($B630:$D630,AS$5)="F",AND(AS$6&gt;0,$A630&lt;AS$6),AND(AS$7&gt;0,$A630&gt;AS$7)),0,MAX(0,ROUND((INDEX($E630:$G630,AS$5)-SUMIFS(TF_Timer,TF_Tekniker,AS$4,TF_Dato,$A630))*2,0)/2)))</f>
        <v/>
      </c>
      <c r="AT630">
        <f>IF(OR(AT$4="",$A630&gt;TODAY()),0,IF(OR(INDEX($B630:$D630,AT$5)="F",AND(AT$6&gt;0,$A630&lt;AT$6),AND(AT$7&gt;0,$A630&gt;AT$7)),0,MAX(0,ROUND((INDEX($E630:$G630,AT$5)-SUMIFS(TF_Timer,TF_Tekniker,AT$4,TF_Dato,$A630))*2,0)/2)))</f>
        <v/>
      </c>
      <c r="AU630">
        <f>IF(OR(AU$4="",$A630&gt;TODAY()),0,IF(OR(INDEX($B630:$D630,AU$5)="F",AND(AU$6&gt;0,$A630&lt;AU$6),AND(AU$7&gt;0,$A630&gt;AU$7)),0,MAX(0,ROUND((INDEX($E630:$G630,AU$5)-SUMIFS(TF_Timer,TF_Tekniker,AU$4,TF_Dato,$A630))*2,0)/2)))</f>
        <v/>
      </c>
      <c r="AV630">
        <f>IF(OR(AV$4="",$A630&gt;TODAY()),0,IF(OR(INDEX($B630:$D630,AV$5)="F",AND(AV$6&gt;0,$A630&lt;AV$6),AND(AV$7&gt;0,$A630&gt;AV$7)),0,MAX(0,ROUND((INDEX($E630:$G630,AV$5)-SUMIFS(TF_Timer,TF_Tekniker,AV$4,TF_Dato,$A630))*2,0)/2)))</f>
        <v/>
      </c>
      <c r="AW630">
        <f>IF(OR(AW$4="",$A630&gt;TODAY()),0,IF(OR(INDEX($B630:$D630,AW$5)="F",AND(AW$6&gt;0,$A630&lt;AW$6),AND(AW$7&gt;0,$A630&gt;AW$7)),0,MAX(0,ROUND((INDEX($E630:$G630,AW$5)-SUMIFS(TF_Timer,TF_Tekniker,AW$4,TF_Dato,$A630))*2,0)/2)))</f>
        <v/>
      </c>
      <c r="AX630">
        <f>IF(OR(AX$4="",$A630&gt;TODAY()),0,IF(OR(INDEX($B630:$D630,AX$5)="F",AND(AX$6&gt;0,$A630&lt;AX$6),AND(AX$7&gt;0,$A630&gt;AX$7)),0,MAX(0,ROUND((INDEX($E630:$G630,AX$5)-SUMIFS(TF_Timer,TF_Tekniker,AX$4,TF_Dato,$A630))*2,0)/2)))</f>
        <v/>
      </c>
      <c r="AY630">
        <f>IF(OR(AY$4="",$A630&gt;TODAY()),0,IF(OR(INDEX($B630:$D630,AY$5)="F",AND(AY$6&gt;0,$A630&lt;AY$6),AND(AY$7&gt;0,$A630&gt;AY$7)),0,MAX(0,ROUND((INDEX($E630:$G630,AY$5)-SUMIFS(TF_Timer,TF_Tekniker,AY$4,TF_Dato,$A630))*2,0)/2)))</f>
        <v/>
      </c>
      <c r="AZ630">
        <f>IF(OR(AZ$4="",$A630&gt;TODAY()),0,IF(OR(INDEX($B630:$D630,AZ$5)="F",AND(AZ$6&gt;0,$A630&lt;AZ$6),AND(AZ$7&gt;0,$A630&gt;AZ$7)),0,MAX(0,ROUND((INDEX($E630:$G630,AZ$5)-SUMIFS(TF_Timer,TF_Tekniker,AZ$4,TF_Dato,$A630))*2,0)/2)))</f>
        <v/>
      </c>
      <c r="BA630">
        <f>IF(OR(BA$4="",$A630&gt;TODAY()),0,IF(OR(INDEX($B630:$D630,BA$5)="F",AND(BA$6&gt;0,$A630&lt;BA$6),AND(BA$7&gt;0,$A630&gt;BA$7)),0,MAX(0,ROUND((INDEX($E630:$G630,BA$5)-SUMIFS(TF_Timer,TF_Tekniker,BA$4,TF_Dato,$A630))*2,0)/2)))</f>
        <v/>
      </c>
      <c r="BB630">
        <f>IF(OR(BB$4="",$A630&gt;TODAY()),0,IF(OR(INDEX($B630:$D630,BB$5)="F",AND(BB$6&gt;0,$A630&lt;BB$6),AND(BB$7&gt;0,$A630&gt;BB$7)),0,MAX(0,ROUND((INDEX($E630:$G630,BB$5)-SUMIFS(TF_Timer,TF_Tekniker,BB$4,TF_Dato,$A630))*2,0)/2)))</f>
        <v/>
      </c>
      <c r="BC630">
        <f>IF(OR(BC$4="",$A630&gt;TODAY()),0,IF(OR(INDEX($B630:$D630,BC$5)="F",AND(BC$6&gt;0,$A630&lt;BC$6),AND(BC$7&gt;0,$A630&gt;BC$7)),0,MAX(0,ROUND((INDEX($E630:$G630,BC$5)-SUMIFS(TF_Timer,TF_Tekniker,BC$4,TF_Dato,$A630))*2,0)/2)))</f>
        <v/>
      </c>
      <c r="BD630">
        <f>IF(OR(BD$4="",$A630&gt;TODAY()),0,IF(OR(INDEX($B630:$D630,BD$5)="F",AND(BD$6&gt;0,$A630&lt;BD$6),AND(BD$7&gt;0,$A630&gt;BD$7)),0,MAX(0,ROUND((INDEX($E630:$G630,BD$5)-SUMIFS(TF_Timer,TF_Tekniker,BD$4,TF_Dato,$A630))*2,0)/2)))</f>
        <v/>
      </c>
      <c r="BE630">
        <f>IF(OR(BE$4="",$A630&gt;TODAY()),0,IF(OR(INDEX($B630:$D630,BE$5)="F",AND(BE$6&gt;0,$A630&lt;BE$6),AND(BE$7&gt;0,$A630&gt;BE$7)),0,MAX(0,ROUND((INDEX($E630:$G630,BE$5)-SUMIFS(TF_Timer,TF_Tekniker,BE$4,TF_Dato,$A630))*2,0)/2)))</f>
        <v/>
      </c>
      <c r="BF630">
        <f>IF(OR(BF$4="",$A630&gt;TODAY()),0,IF(OR(INDEX($B630:$D630,BF$5)="F",AND(BF$6&gt;0,$A630&lt;BF$6),AND(BF$7&gt;0,$A630&gt;BF$7)),0,MAX(0,ROUND((INDEX($E630:$G630,BF$5)-SUMIFS(TF_Timer,TF_Tekniker,BF$4,TF_Dato,$A630))*2,0)/2)))</f>
        <v/>
      </c>
      <c r="BG630">
        <f>IF(OR(BG$4="",$A630&gt;TODAY()),0,IF(OR(INDEX($B630:$D630,BG$5)="F",AND(BG$6&gt;0,$A630&lt;BG$6),AND(BG$7&gt;0,$A630&gt;BG$7)),0,MAX(0,ROUND((INDEX($E630:$G630,BG$5)-SUMIFS(TF_Timer,TF_Tekniker,BG$4,TF_Dato,$A630))*2,0)/2)))</f>
        <v/>
      </c>
      <c r="BH630">
        <f>IF(OR(BH$4="",$A630&gt;TODAY()),0,IF(OR(INDEX($B630:$D630,BH$5)="F",AND(BH$6&gt;0,$A630&lt;BH$6),AND(BH$7&gt;0,$A630&gt;BH$7)),0,MAX(0,ROUND((INDEX($E630:$G630,BH$5)-SUMIFS(TF_Timer,TF_Tekniker,BH$4,TF_Dato,$A630))*2,0)/2)))</f>
        <v/>
      </c>
      <c r="BI630">
        <f>IF(OR(BI$4="",$A630&gt;TODAY()),0,IF(OR(INDEX($B630:$D630,BI$5)="F",AND(BI$6&gt;0,$A630&lt;BI$6),AND(BI$7&gt;0,$A630&gt;BI$7)),0,MAX(0,ROUND((INDEX($E630:$G630,BI$5)-SUMIFS(TF_Timer,TF_Tekniker,BI$4,TF_Dato,$A630))*2,0)/2)))</f>
        <v/>
      </c>
    </row>
    <row r="631">
      <c r="A631" s="64">
        <f>A630+1</f>
        <v/>
      </c>
      <c r="B631">
        <f>IF(MOD($A631-INDEX(SkiftStart,1),Syklus)&lt;DagK,"K",IF(MOD($A631-INDEX(SkiftStart,1),Syklus)&lt;DagK+DagH,"H",IF(MOD($A631-INDEX(SkiftStart,1),Syklus)&lt;DagK+DagH+DagD,"D","F")))</f>
        <v/>
      </c>
      <c r="C631">
        <f>IF(MOD($A631-INDEX(SkiftStart,2),Syklus)&lt;DagK,"K",IF(MOD($A631-INDEX(SkiftStart,2),Syklus)&lt;DagK+DagH,"H",IF(MOD($A631-INDEX(SkiftStart,2),Syklus)&lt;DagK+DagH+DagD,"D","F")))</f>
        <v/>
      </c>
      <c r="D631">
        <f>IF(MOD($A631-INDEX(SkiftStart,3),Syklus)&lt;DagK,"K",IF(MOD($A631-INDEX(SkiftStart,3),Syklus)&lt;DagK+DagH,"H",IF(MOD($A631-INDEX(SkiftStart,3),Syklus)&lt;DagK+DagH+DagD,"D","F")))</f>
        <v/>
      </c>
      <c r="E631">
        <f>IF(B631="F",0,IF(WEEKDAY($A631,2)=5,INDEX(TimerFr,MATCH(B631,FaseKode,0)),INDEX(TimerMT,MATCH(B631,FaseKode,0))))</f>
        <v/>
      </c>
      <c r="F631">
        <f>IF(C631="F",0,IF(WEEKDAY($A631,2)=5,INDEX(TimerFr,MATCH(C631,FaseKode,0)),INDEX(TimerMT,MATCH(C631,FaseKode,0))))</f>
        <v/>
      </c>
      <c r="G631">
        <f>IF(D631="F",0,IF(WEEKDAY($A631,2)=5,INDEX(TimerFr,MATCH(D631,FaseKode,0)),INDEX(TimerMT,MATCH(D631,FaseKode,0))))</f>
        <v/>
      </c>
      <c r="H631">
        <f>IF(OR(H$4="",$A631&gt;TODAY()),0,IF(OR(INDEX($B631:$D631,H$5)="F",AND(H$6&gt;0,$A631&lt;H$6),AND(H$7&gt;0,$A631&gt;H$7)),0,MAX(0,ROUND((INDEX($E631:$G631,H$5)-SUMIFS(TF_Timer,TF_Tekniker,H$4,TF_Dato,$A631))*2,0)/2)))</f>
        <v/>
      </c>
      <c r="I631">
        <f>IF(OR(I$4="",$A631&gt;TODAY()),0,IF(OR(INDEX($B631:$D631,I$5)="F",AND(I$6&gt;0,$A631&lt;I$6),AND(I$7&gt;0,$A631&gt;I$7)),0,MAX(0,ROUND((INDEX($E631:$G631,I$5)-SUMIFS(TF_Timer,TF_Tekniker,I$4,TF_Dato,$A631))*2,0)/2)))</f>
        <v/>
      </c>
      <c r="J631">
        <f>IF(OR(J$4="",$A631&gt;TODAY()),0,IF(OR(INDEX($B631:$D631,J$5)="F",AND(J$6&gt;0,$A631&lt;J$6),AND(J$7&gt;0,$A631&gt;J$7)),0,MAX(0,ROUND((INDEX($E631:$G631,J$5)-SUMIFS(TF_Timer,TF_Tekniker,J$4,TF_Dato,$A631))*2,0)/2)))</f>
        <v/>
      </c>
      <c r="K631">
        <f>IF(OR(K$4="",$A631&gt;TODAY()),0,IF(OR(INDEX($B631:$D631,K$5)="F",AND(K$6&gt;0,$A631&lt;K$6),AND(K$7&gt;0,$A631&gt;K$7)),0,MAX(0,ROUND((INDEX($E631:$G631,K$5)-SUMIFS(TF_Timer,TF_Tekniker,K$4,TF_Dato,$A631))*2,0)/2)))</f>
        <v/>
      </c>
      <c r="L631">
        <f>IF(OR(L$4="",$A631&gt;TODAY()),0,IF(OR(INDEX($B631:$D631,L$5)="F",AND(L$6&gt;0,$A631&lt;L$6),AND(L$7&gt;0,$A631&gt;L$7)),0,MAX(0,ROUND((INDEX($E631:$G631,L$5)-SUMIFS(TF_Timer,TF_Tekniker,L$4,TF_Dato,$A631))*2,0)/2)))</f>
        <v/>
      </c>
      <c r="M631">
        <f>IF(OR(M$4="",$A631&gt;TODAY()),0,IF(OR(INDEX($B631:$D631,M$5)="F",AND(M$6&gt;0,$A631&lt;M$6),AND(M$7&gt;0,$A631&gt;M$7)),0,MAX(0,ROUND((INDEX($E631:$G631,M$5)-SUMIFS(TF_Timer,TF_Tekniker,M$4,TF_Dato,$A631))*2,0)/2)))</f>
        <v/>
      </c>
      <c r="N631">
        <f>IF(OR(N$4="",$A631&gt;TODAY()),0,IF(OR(INDEX($B631:$D631,N$5)="F",AND(N$6&gt;0,$A631&lt;N$6),AND(N$7&gt;0,$A631&gt;N$7)),0,MAX(0,ROUND((INDEX($E631:$G631,N$5)-SUMIFS(TF_Timer,TF_Tekniker,N$4,TF_Dato,$A631))*2,0)/2)))</f>
        <v/>
      </c>
      <c r="O631">
        <f>IF(OR(O$4="",$A631&gt;TODAY()),0,IF(OR(INDEX($B631:$D631,O$5)="F",AND(O$6&gt;0,$A631&lt;O$6),AND(O$7&gt;0,$A631&gt;O$7)),0,MAX(0,ROUND((INDEX($E631:$G631,O$5)-SUMIFS(TF_Timer,TF_Tekniker,O$4,TF_Dato,$A631))*2,0)/2)))</f>
        <v/>
      </c>
      <c r="P631">
        <f>IF(OR(P$4="",$A631&gt;TODAY()),0,IF(OR(INDEX($B631:$D631,P$5)="F",AND(P$6&gt;0,$A631&lt;P$6),AND(P$7&gt;0,$A631&gt;P$7)),0,MAX(0,ROUND((INDEX($E631:$G631,P$5)-SUMIFS(TF_Timer,TF_Tekniker,P$4,TF_Dato,$A631))*2,0)/2)))</f>
        <v/>
      </c>
      <c r="Q631">
        <f>IF(OR(Q$4="",$A631&gt;TODAY()),0,IF(OR(INDEX($B631:$D631,Q$5)="F",AND(Q$6&gt;0,$A631&lt;Q$6),AND(Q$7&gt;0,$A631&gt;Q$7)),0,MAX(0,ROUND((INDEX($E631:$G631,Q$5)-SUMIFS(TF_Timer,TF_Tekniker,Q$4,TF_Dato,$A631))*2,0)/2)))</f>
        <v/>
      </c>
      <c r="R631">
        <f>IF(OR(R$4="",$A631&gt;TODAY()),0,IF(OR(INDEX($B631:$D631,R$5)="F",AND(R$6&gt;0,$A631&lt;R$6),AND(R$7&gt;0,$A631&gt;R$7)),0,MAX(0,ROUND((INDEX($E631:$G631,R$5)-SUMIFS(TF_Timer,TF_Tekniker,R$4,TF_Dato,$A631))*2,0)/2)))</f>
        <v/>
      </c>
      <c r="S631">
        <f>IF(OR(S$4="",$A631&gt;TODAY()),0,IF(OR(INDEX($B631:$D631,S$5)="F",AND(S$6&gt;0,$A631&lt;S$6),AND(S$7&gt;0,$A631&gt;S$7)),0,MAX(0,ROUND((INDEX($E631:$G631,S$5)-SUMIFS(TF_Timer,TF_Tekniker,S$4,TF_Dato,$A631))*2,0)/2)))</f>
        <v/>
      </c>
      <c r="T631">
        <f>IF(OR(T$4="",$A631&gt;TODAY()),0,IF(OR(INDEX($B631:$D631,T$5)="F",AND(T$6&gt;0,$A631&lt;T$6),AND(T$7&gt;0,$A631&gt;T$7)),0,MAX(0,ROUND((INDEX($E631:$G631,T$5)-SUMIFS(TF_Timer,TF_Tekniker,T$4,TF_Dato,$A631))*2,0)/2)))</f>
        <v/>
      </c>
      <c r="U631">
        <f>IF(OR(U$4="",$A631&gt;TODAY()),0,IF(OR(INDEX($B631:$D631,U$5)="F",AND(U$6&gt;0,$A631&lt;U$6),AND(U$7&gt;0,$A631&gt;U$7)),0,MAX(0,ROUND((INDEX($E631:$G631,U$5)-SUMIFS(TF_Timer,TF_Tekniker,U$4,TF_Dato,$A631))*2,0)/2)))</f>
        <v/>
      </c>
      <c r="V631">
        <f>IF(OR(V$4="",$A631&gt;TODAY()),0,IF(OR(INDEX($B631:$D631,V$5)="F",AND(V$6&gt;0,$A631&lt;V$6),AND(V$7&gt;0,$A631&gt;V$7)),0,MAX(0,ROUND((INDEX($E631:$G631,V$5)-SUMIFS(TF_Timer,TF_Tekniker,V$4,TF_Dato,$A631))*2,0)/2)))</f>
        <v/>
      </c>
      <c r="W631">
        <f>IF(OR(W$4="",$A631&gt;TODAY()),0,IF(OR(INDEX($B631:$D631,W$5)="F",AND(W$6&gt;0,$A631&lt;W$6),AND(W$7&gt;0,$A631&gt;W$7)),0,MAX(0,ROUND((INDEX($E631:$G631,W$5)-SUMIFS(TF_Timer,TF_Tekniker,W$4,TF_Dato,$A631))*2,0)/2)))</f>
        <v/>
      </c>
      <c r="X631">
        <f>IF(OR(X$4="",$A631&gt;TODAY()),0,IF(OR(INDEX($B631:$D631,X$5)="F",AND(X$6&gt;0,$A631&lt;X$6),AND(X$7&gt;0,$A631&gt;X$7)),0,MAX(0,ROUND((INDEX($E631:$G631,X$5)-SUMIFS(TF_Timer,TF_Tekniker,X$4,TF_Dato,$A631))*2,0)/2)))</f>
        <v/>
      </c>
      <c r="Y631">
        <f>IF(OR(Y$4="",$A631&gt;TODAY()),0,IF(OR(INDEX($B631:$D631,Y$5)="F",AND(Y$6&gt;0,$A631&lt;Y$6),AND(Y$7&gt;0,$A631&gt;Y$7)),0,MAX(0,ROUND((INDEX($E631:$G631,Y$5)-SUMIFS(TF_Timer,TF_Tekniker,Y$4,TF_Dato,$A631))*2,0)/2)))</f>
        <v/>
      </c>
      <c r="Z631">
        <f>IF(OR(Z$4="",$A631&gt;TODAY()),0,IF(OR(INDEX($B631:$D631,Z$5)="F",AND(Z$6&gt;0,$A631&lt;Z$6),AND(Z$7&gt;0,$A631&gt;Z$7)),0,MAX(0,ROUND((INDEX($E631:$G631,Z$5)-SUMIFS(TF_Timer,TF_Tekniker,Z$4,TF_Dato,$A631))*2,0)/2)))</f>
        <v/>
      </c>
      <c r="AA631">
        <f>IF(OR(AA$4="",$A631&gt;TODAY()),0,IF(OR(INDEX($B631:$D631,AA$5)="F",AND(AA$6&gt;0,$A631&lt;AA$6),AND(AA$7&gt;0,$A631&gt;AA$7)),0,MAX(0,ROUND((INDEX($E631:$G631,AA$5)-SUMIFS(TF_Timer,TF_Tekniker,AA$4,TF_Dato,$A631))*2,0)/2)))</f>
        <v/>
      </c>
      <c r="AB631">
        <f>IF(OR(AB$4="",$A631&gt;TODAY()),0,IF(OR(INDEX($B631:$D631,AB$5)="F",AND(AB$6&gt;0,$A631&lt;AB$6),AND(AB$7&gt;0,$A631&gt;AB$7)),0,MAX(0,ROUND((INDEX($E631:$G631,AB$5)-SUMIFS(TF_Timer,TF_Tekniker,AB$4,TF_Dato,$A631))*2,0)/2)))</f>
        <v/>
      </c>
      <c r="AC631">
        <f>IF(OR(AC$4="",$A631&gt;TODAY()),0,IF(OR(INDEX($B631:$D631,AC$5)="F",AND(AC$6&gt;0,$A631&lt;AC$6),AND(AC$7&gt;0,$A631&gt;AC$7)),0,MAX(0,ROUND((INDEX($E631:$G631,AC$5)-SUMIFS(TF_Timer,TF_Tekniker,AC$4,TF_Dato,$A631))*2,0)/2)))</f>
        <v/>
      </c>
      <c r="AD631">
        <f>IF(OR(AD$4="",$A631&gt;TODAY()),0,IF(OR(INDEX($B631:$D631,AD$5)="F",AND(AD$6&gt;0,$A631&lt;AD$6),AND(AD$7&gt;0,$A631&gt;AD$7)),0,MAX(0,ROUND((INDEX($E631:$G631,AD$5)-SUMIFS(TF_Timer,TF_Tekniker,AD$4,TF_Dato,$A631))*2,0)/2)))</f>
        <v/>
      </c>
      <c r="AE631">
        <f>IF(OR(AE$4="",$A631&gt;TODAY()),0,IF(OR(INDEX($B631:$D631,AE$5)="F",AND(AE$6&gt;0,$A631&lt;AE$6),AND(AE$7&gt;0,$A631&gt;AE$7)),0,MAX(0,ROUND((INDEX($E631:$G631,AE$5)-SUMIFS(TF_Timer,TF_Tekniker,AE$4,TF_Dato,$A631))*2,0)/2)))</f>
        <v/>
      </c>
      <c r="AF631">
        <f>IF(OR(AF$4="",$A631&gt;TODAY()),0,IF(OR(INDEX($B631:$D631,AF$5)="F",AND(AF$6&gt;0,$A631&lt;AF$6),AND(AF$7&gt;0,$A631&gt;AF$7)),0,MAX(0,ROUND((INDEX($E631:$G631,AF$5)-SUMIFS(TF_Timer,TF_Tekniker,AF$4,TF_Dato,$A631))*2,0)/2)))</f>
        <v/>
      </c>
      <c r="AG631">
        <f>IF(OR(AG$4="",$A631&gt;TODAY()),0,IF(OR(INDEX($B631:$D631,AG$5)="F",AND(AG$6&gt;0,$A631&lt;AG$6),AND(AG$7&gt;0,$A631&gt;AG$7)),0,MAX(0,ROUND((INDEX($E631:$G631,AG$5)-SUMIFS(TF_Timer,TF_Tekniker,AG$4,TF_Dato,$A631))*2,0)/2)))</f>
        <v/>
      </c>
      <c r="AH631">
        <f>IF(OR(AH$4="",$A631&gt;TODAY()),0,IF(OR(INDEX($B631:$D631,AH$5)="F",AND(AH$6&gt;0,$A631&lt;AH$6),AND(AH$7&gt;0,$A631&gt;AH$7)),0,MAX(0,ROUND((INDEX($E631:$G631,AH$5)-SUMIFS(TF_Timer,TF_Tekniker,AH$4,TF_Dato,$A631))*2,0)/2)))</f>
        <v/>
      </c>
      <c r="AI631">
        <f>IF(OR(AI$4="",$A631&gt;TODAY()),0,IF(OR(INDEX($B631:$D631,AI$5)="F",AND(AI$6&gt;0,$A631&lt;AI$6),AND(AI$7&gt;0,$A631&gt;AI$7)),0,MAX(0,ROUND((INDEX($E631:$G631,AI$5)-SUMIFS(TF_Timer,TF_Tekniker,AI$4,TF_Dato,$A631))*2,0)/2)))</f>
        <v/>
      </c>
      <c r="AJ631">
        <f>IF(OR(AJ$4="",$A631&gt;TODAY()),0,IF(OR(INDEX($B631:$D631,AJ$5)="F",AND(AJ$6&gt;0,$A631&lt;AJ$6),AND(AJ$7&gt;0,$A631&gt;AJ$7)),0,MAX(0,ROUND((INDEX($E631:$G631,AJ$5)-SUMIFS(TF_Timer,TF_Tekniker,AJ$4,TF_Dato,$A631))*2,0)/2)))</f>
        <v/>
      </c>
      <c r="AK631">
        <f>IF(OR(AK$4="",$A631&gt;TODAY()),0,IF(OR(INDEX($B631:$D631,AK$5)="F",AND(AK$6&gt;0,$A631&lt;AK$6),AND(AK$7&gt;0,$A631&gt;AK$7)),0,MAX(0,ROUND((INDEX($E631:$G631,AK$5)-SUMIFS(TF_Timer,TF_Tekniker,AK$4,TF_Dato,$A631))*2,0)/2)))</f>
        <v/>
      </c>
      <c r="AL631">
        <f>IF(OR(AL$4="",$A631&gt;TODAY()),0,IF(OR(INDEX($B631:$D631,AL$5)="F",AND(AL$6&gt;0,$A631&lt;AL$6),AND(AL$7&gt;0,$A631&gt;AL$7)),0,MAX(0,ROUND((INDEX($E631:$G631,AL$5)-SUMIFS(TF_Timer,TF_Tekniker,AL$4,TF_Dato,$A631))*2,0)/2)))</f>
        <v/>
      </c>
      <c r="AM631">
        <f>IF(OR(AM$4="",$A631&gt;TODAY()),0,IF(OR(INDEX($B631:$D631,AM$5)="F",AND(AM$6&gt;0,$A631&lt;AM$6),AND(AM$7&gt;0,$A631&gt;AM$7)),0,MAX(0,ROUND((INDEX($E631:$G631,AM$5)-SUMIFS(TF_Timer,TF_Tekniker,AM$4,TF_Dato,$A631))*2,0)/2)))</f>
        <v/>
      </c>
      <c r="AN631">
        <f>IF(OR(AN$4="",$A631&gt;TODAY()),0,IF(OR(INDEX($B631:$D631,AN$5)="F",AND(AN$6&gt;0,$A631&lt;AN$6),AND(AN$7&gt;0,$A631&gt;AN$7)),0,MAX(0,ROUND((INDEX($E631:$G631,AN$5)-SUMIFS(TF_Timer,TF_Tekniker,AN$4,TF_Dato,$A631))*2,0)/2)))</f>
        <v/>
      </c>
      <c r="AO631">
        <f>IF(OR(AO$4="",$A631&gt;TODAY()),0,IF(OR(INDEX($B631:$D631,AO$5)="F",AND(AO$6&gt;0,$A631&lt;AO$6),AND(AO$7&gt;0,$A631&gt;AO$7)),0,MAX(0,ROUND((INDEX($E631:$G631,AO$5)-SUMIFS(TF_Timer,TF_Tekniker,AO$4,TF_Dato,$A631))*2,0)/2)))</f>
        <v/>
      </c>
      <c r="AP631">
        <f>IF(OR(AP$4="",$A631&gt;TODAY()),0,IF(OR(INDEX($B631:$D631,AP$5)="F",AND(AP$6&gt;0,$A631&lt;AP$6),AND(AP$7&gt;0,$A631&gt;AP$7)),0,MAX(0,ROUND((INDEX($E631:$G631,AP$5)-SUMIFS(TF_Timer,TF_Tekniker,AP$4,TF_Dato,$A631))*2,0)/2)))</f>
        <v/>
      </c>
      <c r="AQ631">
        <f>IF(OR(AQ$4="",$A631&gt;TODAY()),0,IF(OR(INDEX($B631:$D631,AQ$5)="F",AND(AQ$6&gt;0,$A631&lt;AQ$6),AND(AQ$7&gt;0,$A631&gt;AQ$7)),0,MAX(0,ROUND((INDEX($E631:$G631,AQ$5)-SUMIFS(TF_Timer,TF_Tekniker,AQ$4,TF_Dato,$A631))*2,0)/2)))</f>
        <v/>
      </c>
      <c r="AR631">
        <f>IF(OR(AR$4="",$A631&gt;TODAY()),0,IF(OR(INDEX($B631:$D631,AR$5)="F",AND(AR$6&gt;0,$A631&lt;AR$6),AND(AR$7&gt;0,$A631&gt;AR$7)),0,MAX(0,ROUND((INDEX($E631:$G631,AR$5)-SUMIFS(TF_Timer,TF_Tekniker,AR$4,TF_Dato,$A631))*2,0)/2)))</f>
        <v/>
      </c>
      <c r="AS631">
        <f>IF(OR(AS$4="",$A631&gt;TODAY()),0,IF(OR(INDEX($B631:$D631,AS$5)="F",AND(AS$6&gt;0,$A631&lt;AS$6),AND(AS$7&gt;0,$A631&gt;AS$7)),0,MAX(0,ROUND((INDEX($E631:$G631,AS$5)-SUMIFS(TF_Timer,TF_Tekniker,AS$4,TF_Dato,$A631))*2,0)/2)))</f>
        <v/>
      </c>
      <c r="AT631">
        <f>IF(OR(AT$4="",$A631&gt;TODAY()),0,IF(OR(INDEX($B631:$D631,AT$5)="F",AND(AT$6&gt;0,$A631&lt;AT$6),AND(AT$7&gt;0,$A631&gt;AT$7)),0,MAX(0,ROUND((INDEX($E631:$G631,AT$5)-SUMIFS(TF_Timer,TF_Tekniker,AT$4,TF_Dato,$A631))*2,0)/2)))</f>
        <v/>
      </c>
      <c r="AU631">
        <f>IF(OR(AU$4="",$A631&gt;TODAY()),0,IF(OR(INDEX($B631:$D631,AU$5)="F",AND(AU$6&gt;0,$A631&lt;AU$6),AND(AU$7&gt;0,$A631&gt;AU$7)),0,MAX(0,ROUND((INDEX($E631:$G631,AU$5)-SUMIFS(TF_Timer,TF_Tekniker,AU$4,TF_Dato,$A631))*2,0)/2)))</f>
        <v/>
      </c>
      <c r="AV631">
        <f>IF(OR(AV$4="",$A631&gt;TODAY()),0,IF(OR(INDEX($B631:$D631,AV$5)="F",AND(AV$6&gt;0,$A631&lt;AV$6),AND(AV$7&gt;0,$A631&gt;AV$7)),0,MAX(0,ROUND((INDEX($E631:$G631,AV$5)-SUMIFS(TF_Timer,TF_Tekniker,AV$4,TF_Dato,$A631))*2,0)/2)))</f>
        <v/>
      </c>
      <c r="AW631">
        <f>IF(OR(AW$4="",$A631&gt;TODAY()),0,IF(OR(INDEX($B631:$D631,AW$5)="F",AND(AW$6&gt;0,$A631&lt;AW$6),AND(AW$7&gt;0,$A631&gt;AW$7)),0,MAX(0,ROUND((INDEX($E631:$G631,AW$5)-SUMIFS(TF_Timer,TF_Tekniker,AW$4,TF_Dato,$A631))*2,0)/2)))</f>
        <v/>
      </c>
      <c r="AX631">
        <f>IF(OR(AX$4="",$A631&gt;TODAY()),0,IF(OR(INDEX($B631:$D631,AX$5)="F",AND(AX$6&gt;0,$A631&lt;AX$6),AND(AX$7&gt;0,$A631&gt;AX$7)),0,MAX(0,ROUND((INDEX($E631:$G631,AX$5)-SUMIFS(TF_Timer,TF_Tekniker,AX$4,TF_Dato,$A631))*2,0)/2)))</f>
        <v/>
      </c>
      <c r="AY631">
        <f>IF(OR(AY$4="",$A631&gt;TODAY()),0,IF(OR(INDEX($B631:$D631,AY$5)="F",AND(AY$6&gt;0,$A631&lt;AY$6),AND(AY$7&gt;0,$A631&gt;AY$7)),0,MAX(0,ROUND((INDEX($E631:$G631,AY$5)-SUMIFS(TF_Timer,TF_Tekniker,AY$4,TF_Dato,$A631))*2,0)/2)))</f>
        <v/>
      </c>
      <c r="AZ631">
        <f>IF(OR(AZ$4="",$A631&gt;TODAY()),0,IF(OR(INDEX($B631:$D631,AZ$5)="F",AND(AZ$6&gt;0,$A631&lt;AZ$6),AND(AZ$7&gt;0,$A631&gt;AZ$7)),0,MAX(0,ROUND((INDEX($E631:$G631,AZ$5)-SUMIFS(TF_Timer,TF_Tekniker,AZ$4,TF_Dato,$A631))*2,0)/2)))</f>
        <v/>
      </c>
      <c r="BA631">
        <f>IF(OR(BA$4="",$A631&gt;TODAY()),0,IF(OR(INDEX($B631:$D631,BA$5)="F",AND(BA$6&gt;0,$A631&lt;BA$6),AND(BA$7&gt;0,$A631&gt;BA$7)),0,MAX(0,ROUND((INDEX($E631:$G631,BA$5)-SUMIFS(TF_Timer,TF_Tekniker,BA$4,TF_Dato,$A631))*2,0)/2)))</f>
        <v/>
      </c>
      <c r="BB631">
        <f>IF(OR(BB$4="",$A631&gt;TODAY()),0,IF(OR(INDEX($B631:$D631,BB$5)="F",AND(BB$6&gt;0,$A631&lt;BB$6),AND(BB$7&gt;0,$A631&gt;BB$7)),0,MAX(0,ROUND((INDEX($E631:$G631,BB$5)-SUMIFS(TF_Timer,TF_Tekniker,BB$4,TF_Dato,$A631))*2,0)/2)))</f>
        <v/>
      </c>
      <c r="BC631">
        <f>IF(OR(BC$4="",$A631&gt;TODAY()),0,IF(OR(INDEX($B631:$D631,BC$5)="F",AND(BC$6&gt;0,$A631&lt;BC$6),AND(BC$7&gt;0,$A631&gt;BC$7)),0,MAX(0,ROUND((INDEX($E631:$G631,BC$5)-SUMIFS(TF_Timer,TF_Tekniker,BC$4,TF_Dato,$A631))*2,0)/2)))</f>
        <v/>
      </c>
      <c r="BD631">
        <f>IF(OR(BD$4="",$A631&gt;TODAY()),0,IF(OR(INDEX($B631:$D631,BD$5)="F",AND(BD$6&gt;0,$A631&lt;BD$6),AND(BD$7&gt;0,$A631&gt;BD$7)),0,MAX(0,ROUND((INDEX($E631:$G631,BD$5)-SUMIFS(TF_Timer,TF_Tekniker,BD$4,TF_Dato,$A631))*2,0)/2)))</f>
        <v/>
      </c>
      <c r="BE631">
        <f>IF(OR(BE$4="",$A631&gt;TODAY()),0,IF(OR(INDEX($B631:$D631,BE$5)="F",AND(BE$6&gt;0,$A631&lt;BE$6),AND(BE$7&gt;0,$A631&gt;BE$7)),0,MAX(0,ROUND((INDEX($E631:$G631,BE$5)-SUMIFS(TF_Timer,TF_Tekniker,BE$4,TF_Dato,$A631))*2,0)/2)))</f>
        <v/>
      </c>
      <c r="BF631">
        <f>IF(OR(BF$4="",$A631&gt;TODAY()),0,IF(OR(INDEX($B631:$D631,BF$5)="F",AND(BF$6&gt;0,$A631&lt;BF$6),AND(BF$7&gt;0,$A631&gt;BF$7)),0,MAX(0,ROUND((INDEX($E631:$G631,BF$5)-SUMIFS(TF_Timer,TF_Tekniker,BF$4,TF_Dato,$A631))*2,0)/2)))</f>
        <v/>
      </c>
      <c r="BG631">
        <f>IF(OR(BG$4="",$A631&gt;TODAY()),0,IF(OR(INDEX($B631:$D631,BG$5)="F",AND(BG$6&gt;0,$A631&lt;BG$6),AND(BG$7&gt;0,$A631&gt;BG$7)),0,MAX(0,ROUND((INDEX($E631:$G631,BG$5)-SUMIFS(TF_Timer,TF_Tekniker,BG$4,TF_Dato,$A631))*2,0)/2)))</f>
        <v/>
      </c>
      <c r="BH631">
        <f>IF(OR(BH$4="",$A631&gt;TODAY()),0,IF(OR(INDEX($B631:$D631,BH$5)="F",AND(BH$6&gt;0,$A631&lt;BH$6),AND(BH$7&gt;0,$A631&gt;BH$7)),0,MAX(0,ROUND((INDEX($E631:$G631,BH$5)-SUMIFS(TF_Timer,TF_Tekniker,BH$4,TF_Dato,$A631))*2,0)/2)))</f>
        <v/>
      </c>
      <c r="BI631">
        <f>IF(OR(BI$4="",$A631&gt;TODAY()),0,IF(OR(INDEX($B631:$D631,BI$5)="F",AND(BI$6&gt;0,$A631&lt;BI$6),AND(BI$7&gt;0,$A631&gt;BI$7)),0,MAX(0,ROUND((INDEX($E631:$G631,BI$5)-SUMIFS(TF_Timer,TF_Tekniker,BI$4,TF_Dato,$A631))*2,0)/2)))</f>
        <v/>
      </c>
    </row>
    <row r="632">
      <c r="A632" s="64">
        <f>A631+1</f>
        <v/>
      </c>
      <c r="B632">
        <f>IF(MOD($A632-INDEX(SkiftStart,1),Syklus)&lt;DagK,"K",IF(MOD($A632-INDEX(SkiftStart,1),Syklus)&lt;DagK+DagH,"H",IF(MOD($A632-INDEX(SkiftStart,1),Syklus)&lt;DagK+DagH+DagD,"D","F")))</f>
        <v/>
      </c>
      <c r="C632">
        <f>IF(MOD($A632-INDEX(SkiftStart,2),Syklus)&lt;DagK,"K",IF(MOD($A632-INDEX(SkiftStart,2),Syklus)&lt;DagK+DagH,"H",IF(MOD($A632-INDEX(SkiftStart,2),Syklus)&lt;DagK+DagH+DagD,"D","F")))</f>
        <v/>
      </c>
      <c r="D632">
        <f>IF(MOD($A632-INDEX(SkiftStart,3),Syklus)&lt;DagK,"K",IF(MOD($A632-INDEX(SkiftStart,3),Syklus)&lt;DagK+DagH,"H",IF(MOD($A632-INDEX(SkiftStart,3),Syklus)&lt;DagK+DagH+DagD,"D","F")))</f>
        <v/>
      </c>
      <c r="E632">
        <f>IF(B632="F",0,IF(WEEKDAY($A632,2)=5,INDEX(TimerFr,MATCH(B632,FaseKode,0)),INDEX(TimerMT,MATCH(B632,FaseKode,0))))</f>
        <v/>
      </c>
      <c r="F632">
        <f>IF(C632="F",0,IF(WEEKDAY($A632,2)=5,INDEX(TimerFr,MATCH(C632,FaseKode,0)),INDEX(TimerMT,MATCH(C632,FaseKode,0))))</f>
        <v/>
      </c>
      <c r="G632">
        <f>IF(D632="F",0,IF(WEEKDAY($A632,2)=5,INDEX(TimerFr,MATCH(D632,FaseKode,0)),INDEX(TimerMT,MATCH(D632,FaseKode,0))))</f>
        <v/>
      </c>
      <c r="H632">
        <f>IF(OR(H$4="",$A632&gt;TODAY()),0,IF(OR(INDEX($B632:$D632,H$5)="F",AND(H$6&gt;0,$A632&lt;H$6),AND(H$7&gt;0,$A632&gt;H$7)),0,MAX(0,ROUND((INDEX($E632:$G632,H$5)-SUMIFS(TF_Timer,TF_Tekniker,H$4,TF_Dato,$A632))*2,0)/2)))</f>
        <v/>
      </c>
      <c r="I632">
        <f>IF(OR(I$4="",$A632&gt;TODAY()),0,IF(OR(INDEX($B632:$D632,I$5)="F",AND(I$6&gt;0,$A632&lt;I$6),AND(I$7&gt;0,$A632&gt;I$7)),0,MAX(0,ROUND((INDEX($E632:$G632,I$5)-SUMIFS(TF_Timer,TF_Tekniker,I$4,TF_Dato,$A632))*2,0)/2)))</f>
        <v/>
      </c>
      <c r="J632">
        <f>IF(OR(J$4="",$A632&gt;TODAY()),0,IF(OR(INDEX($B632:$D632,J$5)="F",AND(J$6&gt;0,$A632&lt;J$6),AND(J$7&gt;0,$A632&gt;J$7)),0,MAX(0,ROUND((INDEX($E632:$G632,J$5)-SUMIFS(TF_Timer,TF_Tekniker,J$4,TF_Dato,$A632))*2,0)/2)))</f>
        <v/>
      </c>
      <c r="K632">
        <f>IF(OR(K$4="",$A632&gt;TODAY()),0,IF(OR(INDEX($B632:$D632,K$5)="F",AND(K$6&gt;0,$A632&lt;K$6),AND(K$7&gt;0,$A632&gt;K$7)),0,MAX(0,ROUND((INDEX($E632:$G632,K$5)-SUMIFS(TF_Timer,TF_Tekniker,K$4,TF_Dato,$A632))*2,0)/2)))</f>
        <v/>
      </c>
      <c r="L632">
        <f>IF(OR(L$4="",$A632&gt;TODAY()),0,IF(OR(INDEX($B632:$D632,L$5)="F",AND(L$6&gt;0,$A632&lt;L$6),AND(L$7&gt;0,$A632&gt;L$7)),0,MAX(0,ROUND((INDEX($E632:$G632,L$5)-SUMIFS(TF_Timer,TF_Tekniker,L$4,TF_Dato,$A632))*2,0)/2)))</f>
        <v/>
      </c>
      <c r="M632">
        <f>IF(OR(M$4="",$A632&gt;TODAY()),0,IF(OR(INDEX($B632:$D632,M$5)="F",AND(M$6&gt;0,$A632&lt;M$6),AND(M$7&gt;0,$A632&gt;M$7)),0,MAX(0,ROUND((INDEX($E632:$G632,M$5)-SUMIFS(TF_Timer,TF_Tekniker,M$4,TF_Dato,$A632))*2,0)/2)))</f>
        <v/>
      </c>
      <c r="N632">
        <f>IF(OR(N$4="",$A632&gt;TODAY()),0,IF(OR(INDEX($B632:$D632,N$5)="F",AND(N$6&gt;0,$A632&lt;N$6),AND(N$7&gt;0,$A632&gt;N$7)),0,MAX(0,ROUND((INDEX($E632:$G632,N$5)-SUMIFS(TF_Timer,TF_Tekniker,N$4,TF_Dato,$A632))*2,0)/2)))</f>
        <v/>
      </c>
      <c r="O632">
        <f>IF(OR(O$4="",$A632&gt;TODAY()),0,IF(OR(INDEX($B632:$D632,O$5)="F",AND(O$6&gt;0,$A632&lt;O$6),AND(O$7&gt;0,$A632&gt;O$7)),0,MAX(0,ROUND((INDEX($E632:$G632,O$5)-SUMIFS(TF_Timer,TF_Tekniker,O$4,TF_Dato,$A632))*2,0)/2)))</f>
        <v/>
      </c>
      <c r="P632">
        <f>IF(OR(P$4="",$A632&gt;TODAY()),0,IF(OR(INDEX($B632:$D632,P$5)="F",AND(P$6&gt;0,$A632&lt;P$6),AND(P$7&gt;0,$A632&gt;P$7)),0,MAX(0,ROUND((INDEX($E632:$G632,P$5)-SUMIFS(TF_Timer,TF_Tekniker,P$4,TF_Dato,$A632))*2,0)/2)))</f>
        <v/>
      </c>
      <c r="Q632">
        <f>IF(OR(Q$4="",$A632&gt;TODAY()),0,IF(OR(INDEX($B632:$D632,Q$5)="F",AND(Q$6&gt;0,$A632&lt;Q$6),AND(Q$7&gt;0,$A632&gt;Q$7)),0,MAX(0,ROUND((INDEX($E632:$G632,Q$5)-SUMIFS(TF_Timer,TF_Tekniker,Q$4,TF_Dato,$A632))*2,0)/2)))</f>
        <v/>
      </c>
      <c r="R632">
        <f>IF(OR(R$4="",$A632&gt;TODAY()),0,IF(OR(INDEX($B632:$D632,R$5)="F",AND(R$6&gt;0,$A632&lt;R$6),AND(R$7&gt;0,$A632&gt;R$7)),0,MAX(0,ROUND((INDEX($E632:$G632,R$5)-SUMIFS(TF_Timer,TF_Tekniker,R$4,TF_Dato,$A632))*2,0)/2)))</f>
        <v/>
      </c>
      <c r="S632">
        <f>IF(OR(S$4="",$A632&gt;TODAY()),0,IF(OR(INDEX($B632:$D632,S$5)="F",AND(S$6&gt;0,$A632&lt;S$6),AND(S$7&gt;0,$A632&gt;S$7)),0,MAX(0,ROUND((INDEX($E632:$G632,S$5)-SUMIFS(TF_Timer,TF_Tekniker,S$4,TF_Dato,$A632))*2,0)/2)))</f>
        <v/>
      </c>
      <c r="T632">
        <f>IF(OR(T$4="",$A632&gt;TODAY()),0,IF(OR(INDEX($B632:$D632,T$5)="F",AND(T$6&gt;0,$A632&lt;T$6),AND(T$7&gt;0,$A632&gt;T$7)),0,MAX(0,ROUND((INDEX($E632:$G632,T$5)-SUMIFS(TF_Timer,TF_Tekniker,T$4,TF_Dato,$A632))*2,0)/2)))</f>
        <v/>
      </c>
      <c r="U632">
        <f>IF(OR(U$4="",$A632&gt;TODAY()),0,IF(OR(INDEX($B632:$D632,U$5)="F",AND(U$6&gt;0,$A632&lt;U$6),AND(U$7&gt;0,$A632&gt;U$7)),0,MAX(0,ROUND((INDEX($E632:$G632,U$5)-SUMIFS(TF_Timer,TF_Tekniker,U$4,TF_Dato,$A632))*2,0)/2)))</f>
        <v/>
      </c>
      <c r="V632">
        <f>IF(OR(V$4="",$A632&gt;TODAY()),0,IF(OR(INDEX($B632:$D632,V$5)="F",AND(V$6&gt;0,$A632&lt;V$6),AND(V$7&gt;0,$A632&gt;V$7)),0,MAX(0,ROUND((INDEX($E632:$G632,V$5)-SUMIFS(TF_Timer,TF_Tekniker,V$4,TF_Dato,$A632))*2,0)/2)))</f>
        <v/>
      </c>
      <c r="W632">
        <f>IF(OR(W$4="",$A632&gt;TODAY()),0,IF(OR(INDEX($B632:$D632,W$5)="F",AND(W$6&gt;0,$A632&lt;W$6),AND(W$7&gt;0,$A632&gt;W$7)),0,MAX(0,ROUND((INDEX($E632:$G632,W$5)-SUMIFS(TF_Timer,TF_Tekniker,W$4,TF_Dato,$A632))*2,0)/2)))</f>
        <v/>
      </c>
      <c r="X632">
        <f>IF(OR(X$4="",$A632&gt;TODAY()),0,IF(OR(INDEX($B632:$D632,X$5)="F",AND(X$6&gt;0,$A632&lt;X$6),AND(X$7&gt;0,$A632&gt;X$7)),0,MAX(0,ROUND((INDEX($E632:$G632,X$5)-SUMIFS(TF_Timer,TF_Tekniker,X$4,TF_Dato,$A632))*2,0)/2)))</f>
        <v/>
      </c>
      <c r="Y632">
        <f>IF(OR(Y$4="",$A632&gt;TODAY()),0,IF(OR(INDEX($B632:$D632,Y$5)="F",AND(Y$6&gt;0,$A632&lt;Y$6),AND(Y$7&gt;0,$A632&gt;Y$7)),0,MAX(0,ROUND((INDEX($E632:$G632,Y$5)-SUMIFS(TF_Timer,TF_Tekniker,Y$4,TF_Dato,$A632))*2,0)/2)))</f>
        <v/>
      </c>
      <c r="Z632">
        <f>IF(OR(Z$4="",$A632&gt;TODAY()),0,IF(OR(INDEX($B632:$D632,Z$5)="F",AND(Z$6&gt;0,$A632&lt;Z$6),AND(Z$7&gt;0,$A632&gt;Z$7)),0,MAX(0,ROUND((INDEX($E632:$G632,Z$5)-SUMIFS(TF_Timer,TF_Tekniker,Z$4,TF_Dato,$A632))*2,0)/2)))</f>
        <v/>
      </c>
      <c r="AA632">
        <f>IF(OR(AA$4="",$A632&gt;TODAY()),0,IF(OR(INDEX($B632:$D632,AA$5)="F",AND(AA$6&gt;0,$A632&lt;AA$6),AND(AA$7&gt;0,$A632&gt;AA$7)),0,MAX(0,ROUND((INDEX($E632:$G632,AA$5)-SUMIFS(TF_Timer,TF_Tekniker,AA$4,TF_Dato,$A632))*2,0)/2)))</f>
        <v/>
      </c>
      <c r="AB632">
        <f>IF(OR(AB$4="",$A632&gt;TODAY()),0,IF(OR(INDEX($B632:$D632,AB$5)="F",AND(AB$6&gt;0,$A632&lt;AB$6),AND(AB$7&gt;0,$A632&gt;AB$7)),0,MAX(0,ROUND((INDEX($E632:$G632,AB$5)-SUMIFS(TF_Timer,TF_Tekniker,AB$4,TF_Dato,$A632))*2,0)/2)))</f>
        <v/>
      </c>
      <c r="AC632">
        <f>IF(OR(AC$4="",$A632&gt;TODAY()),0,IF(OR(INDEX($B632:$D632,AC$5)="F",AND(AC$6&gt;0,$A632&lt;AC$6),AND(AC$7&gt;0,$A632&gt;AC$7)),0,MAX(0,ROUND((INDEX($E632:$G632,AC$5)-SUMIFS(TF_Timer,TF_Tekniker,AC$4,TF_Dato,$A632))*2,0)/2)))</f>
        <v/>
      </c>
      <c r="AD632">
        <f>IF(OR(AD$4="",$A632&gt;TODAY()),0,IF(OR(INDEX($B632:$D632,AD$5)="F",AND(AD$6&gt;0,$A632&lt;AD$6),AND(AD$7&gt;0,$A632&gt;AD$7)),0,MAX(0,ROUND((INDEX($E632:$G632,AD$5)-SUMIFS(TF_Timer,TF_Tekniker,AD$4,TF_Dato,$A632))*2,0)/2)))</f>
        <v/>
      </c>
      <c r="AE632">
        <f>IF(OR(AE$4="",$A632&gt;TODAY()),0,IF(OR(INDEX($B632:$D632,AE$5)="F",AND(AE$6&gt;0,$A632&lt;AE$6),AND(AE$7&gt;0,$A632&gt;AE$7)),0,MAX(0,ROUND((INDEX($E632:$G632,AE$5)-SUMIFS(TF_Timer,TF_Tekniker,AE$4,TF_Dato,$A632))*2,0)/2)))</f>
        <v/>
      </c>
      <c r="AF632">
        <f>IF(OR(AF$4="",$A632&gt;TODAY()),0,IF(OR(INDEX($B632:$D632,AF$5)="F",AND(AF$6&gt;0,$A632&lt;AF$6),AND(AF$7&gt;0,$A632&gt;AF$7)),0,MAX(0,ROUND((INDEX($E632:$G632,AF$5)-SUMIFS(TF_Timer,TF_Tekniker,AF$4,TF_Dato,$A632))*2,0)/2)))</f>
        <v/>
      </c>
      <c r="AG632">
        <f>IF(OR(AG$4="",$A632&gt;TODAY()),0,IF(OR(INDEX($B632:$D632,AG$5)="F",AND(AG$6&gt;0,$A632&lt;AG$6),AND(AG$7&gt;0,$A632&gt;AG$7)),0,MAX(0,ROUND((INDEX($E632:$G632,AG$5)-SUMIFS(TF_Timer,TF_Tekniker,AG$4,TF_Dato,$A632))*2,0)/2)))</f>
        <v/>
      </c>
      <c r="AH632">
        <f>IF(OR(AH$4="",$A632&gt;TODAY()),0,IF(OR(INDEX($B632:$D632,AH$5)="F",AND(AH$6&gt;0,$A632&lt;AH$6),AND(AH$7&gt;0,$A632&gt;AH$7)),0,MAX(0,ROUND((INDEX($E632:$G632,AH$5)-SUMIFS(TF_Timer,TF_Tekniker,AH$4,TF_Dato,$A632))*2,0)/2)))</f>
        <v/>
      </c>
      <c r="AI632">
        <f>IF(OR(AI$4="",$A632&gt;TODAY()),0,IF(OR(INDEX($B632:$D632,AI$5)="F",AND(AI$6&gt;0,$A632&lt;AI$6),AND(AI$7&gt;0,$A632&gt;AI$7)),0,MAX(0,ROUND((INDEX($E632:$G632,AI$5)-SUMIFS(TF_Timer,TF_Tekniker,AI$4,TF_Dato,$A632))*2,0)/2)))</f>
        <v/>
      </c>
      <c r="AJ632">
        <f>IF(OR(AJ$4="",$A632&gt;TODAY()),0,IF(OR(INDEX($B632:$D632,AJ$5)="F",AND(AJ$6&gt;0,$A632&lt;AJ$6),AND(AJ$7&gt;0,$A632&gt;AJ$7)),0,MAX(0,ROUND((INDEX($E632:$G632,AJ$5)-SUMIFS(TF_Timer,TF_Tekniker,AJ$4,TF_Dato,$A632))*2,0)/2)))</f>
        <v/>
      </c>
      <c r="AK632">
        <f>IF(OR(AK$4="",$A632&gt;TODAY()),0,IF(OR(INDEX($B632:$D632,AK$5)="F",AND(AK$6&gt;0,$A632&lt;AK$6),AND(AK$7&gt;0,$A632&gt;AK$7)),0,MAX(0,ROUND((INDEX($E632:$G632,AK$5)-SUMIFS(TF_Timer,TF_Tekniker,AK$4,TF_Dato,$A632))*2,0)/2)))</f>
        <v/>
      </c>
      <c r="AL632">
        <f>IF(OR(AL$4="",$A632&gt;TODAY()),0,IF(OR(INDEX($B632:$D632,AL$5)="F",AND(AL$6&gt;0,$A632&lt;AL$6),AND(AL$7&gt;0,$A632&gt;AL$7)),0,MAX(0,ROUND((INDEX($E632:$G632,AL$5)-SUMIFS(TF_Timer,TF_Tekniker,AL$4,TF_Dato,$A632))*2,0)/2)))</f>
        <v/>
      </c>
      <c r="AM632">
        <f>IF(OR(AM$4="",$A632&gt;TODAY()),0,IF(OR(INDEX($B632:$D632,AM$5)="F",AND(AM$6&gt;0,$A632&lt;AM$6),AND(AM$7&gt;0,$A632&gt;AM$7)),0,MAX(0,ROUND((INDEX($E632:$G632,AM$5)-SUMIFS(TF_Timer,TF_Tekniker,AM$4,TF_Dato,$A632))*2,0)/2)))</f>
        <v/>
      </c>
      <c r="AN632">
        <f>IF(OR(AN$4="",$A632&gt;TODAY()),0,IF(OR(INDEX($B632:$D632,AN$5)="F",AND(AN$6&gt;0,$A632&lt;AN$6),AND(AN$7&gt;0,$A632&gt;AN$7)),0,MAX(0,ROUND((INDEX($E632:$G632,AN$5)-SUMIFS(TF_Timer,TF_Tekniker,AN$4,TF_Dato,$A632))*2,0)/2)))</f>
        <v/>
      </c>
      <c r="AO632">
        <f>IF(OR(AO$4="",$A632&gt;TODAY()),0,IF(OR(INDEX($B632:$D632,AO$5)="F",AND(AO$6&gt;0,$A632&lt;AO$6),AND(AO$7&gt;0,$A632&gt;AO$7)),0,MAX(0,ROUND((INDEX($E632:$G632,AO$5)-SUMIFS(TF_Timer,TF_Tekniker,AO$4,TF_Dato,$A632))*2,0)/2)))</f>
        <v/>
      </c>
      <c r="AP632">
        <f>IF(OR(AP$4="",$A632&gt;TODAY()),0,IF(OR(INDEX($B632:$D632,AP$5)="F",AND(AP$6&gt;0,$A632&lt;AP$6),AND(AP$7&gt;0,$A632&gt;AP$7)),0,MAX(0,ROUND((INDEX($E632:$G632,AP$5)-SUMIFS(TF_Timer,TF_Tekniker,AP$4,TF_Dato,$A632))*2,0)/2)))</f>
        <v/>
      </c>
      <c r="AQ632">
        <f>IF(OR(AQ$4="",$A632&gt;TODAY()),0,IF(OR(INDEX($B632:$D632,AQ$5)="F",AND(AQ$6&gt;0,$A632&lt;AQ$6),AND(AQ$7&gt;0,$A632&gt;AQ$7)),0,MAX(0,ROUND((INDEX($E632:$G632,AQ$5)-SUMIFS(TF_Timer,TF_Tekniker,AQ$4,TF_Dato,$A632))*2,0)/2)))</f>
        <v/>
      </c>
      <c r="AR632">
        <f>IF(OR(AR$4="",$A632&gt;TODAY()),0,IF(OR(INDEX($B632:$D632,AR$5)="F",AND(AR$6&gt;0,$A632&lt;AR$6),AND(AR$7&gt;0,$A632&gt;AR$7)),0,MAX(0,ROUND((INDEX($E632:$G632,AR$5)-SUMIFS(TF_Timer,TF_Tekniker,AR$4,TF_Dato,$A632))*2,0)/2)))</f>
        <v/>
      </c>
      <c r="AS632">
        <f>IF(OR(AS$4="",$A632&gt;TODAY()),0,IF(OR(INDEX($B632:$D632,AS$5)="F",AND(AS$6&gt;0,$A632&lt;AS$6),AND(AS$7&gt;0,$A632&gt;AS$7)),0,MAX(0,ROUND((INDEX($E632:$G632,AS$5)-SUMIFS(TF_Timer,TF_Tekniker,AS$4,TF_Dato,$A632))*2,0)/2)))</f>
        <v/>
      </c>
      <c r="AT632">
        <f>IF(OR(AT$4="",$A632&gt;TODAY()),0,IF(OR(INDEX($B632:$D632,AT$5)="F",AND(AT$6&gt;0,$A632&lt;AT$6),AND(AT$7&gt;0,$A632&gt;AT$7)),0,MAX(0,ROUND((INDEX($E632:$G632,AT$5)-SUMIFS(TF_Timer,TF_Tekniker,AT$4,TF_Dato,$A632))*2,0)/2)))</f>
        <v/>
      </c>
      <c r="AU632">
        <f>IF(OR(AU$4="",$A632&gt;TODAY()),0,IF(OR(INDEX($B632:$D632,AU$5)="F",AND(AU$6&gt;0,$A632&lt;AU$6),AND(AU$7&gt;0,$A632&gt;AU$7)),0,MAX(0,ROUND((INDEX($E632:$G632,AU$5)-SUMIFS(TF_Timer,TF_Tekniker,AU$4,TF_Dato,$A632))*2,0)/2)))</f>
        <v/>
      </c>
      <c r="AV632">
        <f>IF(OR(AV$4="",$A632&gt;TODAY()),0,IF(OR(INDEX($B632:$D632,AV$5)="F",AND(AV$6&gt;0,$A632&lt;AV$6),AND(AV$7&gt;0,$A632&gt;AV$7)),0,MAX(0,ROUND((INDEX($E632:$G632,AV$5)-SUMIFS(TF_Timer,TF_Tekniker,AV$4,TF_Dato,$A632))*2,0)/2)))</f>
        <v/>
      </c>
      <c r="AW632">
        <f>IF(OR(AW$4="",$A632&gt;TODAY()),0,IF(OR(INDEX($B632:$D632,AW$5)="F",AND(AW$6&gt;0,$A632&lt;AW$6),AND(AW$7&gt;0,$A632&gt;AW$7)),0,MAX(0,ROUND((INDEX($E632:$G632,AW$5)-SUMIFS(TF_Timer,TF_Tekniker,AW$4,TF_Dato,$A632))*2,0)/2)))</f>
        <v/>
      </c>
      <c r="AX632">
        <f>IF(OR(AX$4="",$A632&gt;TODAY()),0,IF(OR(INDEX($B632:$D632,AX$5)="F",AND(AX$6&gt;0,$A632&lt;AX$6),AND(AX$7&gt;0,$A632&gt;AX$7)),0,MAX(0,ROUND((INDEX($E632:$G632,AX$5)-SUMIFS(TF_Timer,TF_Tekniker,AX$4,TF_Dato,$A632))*2,0)/2)))</f>
        <v/>
      </c>
      <c r="AY632">
        <f>IF(OR(AY$4="",$A632&gt;TODAY()),0,IF(OR(INDEX($B632:$D632,AY$5)="F",AND(AY$6&gt;0,$A632&lt;AY$6),AND(AY$7&gt;0,$A632&gt;AY$7)),0,MAX(0,ROUND((INDEX($E632:$G632,AY$5)-SUMIFS(TF_Timer,TF_Tekniker,AY$4,TF_Dato,$A632))*2,0)/2)))</f>
        <v/>
      </c>
      <c r="AZ632">
        <f>IF(OR(AZ$4="",$A632&gt;TODAY()),0,IF(OR(INDEX($B632:$D632,AZ$5)="F",AND(AZ$6&gt;0,$A632&lt;AZ$6),AND(AZ$7&gt;0,$A632&gt;AZ$7)),0,MAX(0,ROUND((INDEX($E632:$G632,AZ$5)-SUMIFS(TF_Timer,TF_Tekniker,AZ$4,TF_Dato,$A632))*2,0)/2)))</f>
        <v/>
      </c>
      <c r="BA632">
        <f>IF(OR(BA$4="",$A632&gt;TODAY()),0,IF(OR(INDEX($B632:$D632,BA$5)="F",AND(BA$6&gt;0,$A632&lt;BA$6),AND(BA$7&gt;0,$A632&gt;BA$7)),0,MAX(0,ROUND((INDEX($E632:$G632,BA$5)-SUMIFS(TF_Timer,TF_Tekniker,BA$4,TF_Dato,$A632))*2,0)/2)))</f>
        <v/>
      </c>
      <c r="BB632">
        <f>IF(OR(BB$4="",$A632&gt;TODAY()),0,IF(OR(INDEX($B632:$D632,BB$5)="F",AND(BB$6&gt;0,$A632&lt;BB$6),AND(BB$7&gt;0,$A632&gt;BB$7)),0,MAX(0,ROUND((INDEX($E632:$G632,BB$5)-SUMIFS(TF_Timer,TF_Tekniker,BB$4,TF_Dato,$A632))*2,0)/2)))</f>
        <v/>
      </c>
      <c r="BC632">
        <f>IF(OR(BC$4="",$A632&gt;TODAY()),0,IF(OR(INDEX($B632:$D632,BC$5)="F",AND(BC$6&gt;0,$A632&lt;BC$6),AND(BC$7&gt;0,$A632&gt;BC$7)),0,MAX(0,ROUND((INDEX($E632:$G632,BC$5)-SUMIFS(TF_Timer,TF_Tekniker,BC$4,TF_Dato,$A632))*2,0)/2)))</f>
        <v/>
      </c>
      <c r="BD632">
        <f>IF(OR(BD$4="",$A632&gt;TODAY()),0,IF(OR(INDEX($B632:$D632,BD$5)="F",AND(BD$6&gt;0,$A632&lt;BD$6),AND(BD$7&gt;0,$A632&gt;BD$7)),0,MAX(0,ROUND((INDEX($E632:$G632,BD$5)-SUMIFS(TF_Timer,TF_Tekniker,BD$4,TF_Dato,$A632))*2,0)/2)))</f>
        <v/>
      </c>
      <c r="BE632">
        <f>IF(OR(BE$4="",$A632&gt;TODAY()),0,IF(OR(INDEX($B632:$D632,BE$5)="F",AND(BE$6&gt;0,$A632&lt;BE$6),AND(BE$7&gt;0,$A632&gt;BE$7)),0,MAX(0,ROUND((INDEX($E632:$G632,BE$5)-SUMIFS(TF_Timer,TF_Tekniker,BE$4,TF_Dato,$A632))*2,0)/2)))</f>
        <v/>
      </c>
      <c r="BF632">
        <f>IF(OR(BF$4="",$A632&gt;TODAY()),0,IF(OR(INDEX($B632:$D632,BF$5)="F",AND(BF$6&gt;0,$A632&lt;BF$6),AND(BF$7&gt;0,$A632&gt;BF$7)),0,MAX(0,ROUND((INDEX($E632:$G632,BF$5)-SUMIFS(TF_Timer,TF_Tekniker,BF$4,TF_Dato,$A632))*2,0)/2)))</f>
        <v/>
      </c>
      <c r="BG632">
        <f>IF(OR(BG$4="",$A632&gt;TODAY()),0,IF(OR(INDEX($B632:$D632,BG$5)="F",AND(BG$6&gt;0,$A632&lt;BG$6),AND(BG$7&gt;0,$A632&gt;BG$7)),0,MAX(0,ROUND((INDEX($E632:$G632,BG$5)-SUMIFS(TF_Timer,TF_Tekniker,BG$4,TF_Dato,$A632))*2,0)/2)))</f>
        <v/>
      </c>
      <c r="BH632">
        <f>IF(OR(BH$4="",$A632&gt;TODAY()),0,IF(OR(INDEX($B632:$D632,BH$5)="F",AND(BH$6&gt;0,$A632&lt;BH$6),AND(BH$7&gt;0,$A632&gt;BH$7)),0,MAX(0,ROUND((INDEX($E632:$G632,BH$5)-SUMIFS(TF_Timer,TF_Tekniker,BH$4,TF_Dato,$A632))*2,0)/2)))</f>
        <v/>
      </c>
      <c r="BI632">
        <f>IF(OR(BI$4="",$A632&gt;TODAY()),0,IF(OR(INDEX($B632:$D632,BI$5)="F",AND(BI$6&gt;0,$A632&lt;BI$6),AND(BI$7&gt;0,$A632&gt;BI$7)),0,MAX(0,ROUND((INDEX($E632:$G632,BI$5)-SUMIFS(TF_Timer,TF_Tekniker,BI$4,TF_Dato,$A632))*2,0)/2)))</f>
        <v/>
      </c>
    </row>
    <row r="633">
      <c r="A633" s="64">
        <f>A632+1</f>
        <v/>
      </c>
      <c r="B633">
        <f>IF(MOD($A633-INDEX(SkiftStart,1),Syklus)&lt;DagK,"K",IF(MOD($A633-INDEX(SkiftStart,1),Syklus)&lt;DagK+DagH,"H",IF(MOD($A633-INDEX(SkiftStart,1),Syklus)&lt;DagK+DagH+DagD,"D","F")))</f>
        <v/>
      </c>
      <c r="C633">
        <f>IF(MOD($A633-INDEX(SkiftStart,2),Syklus)&lt;DagK,"K",IF(MOD($A633-INDEX(SkiftStart,2),Syklus)&lt;DagK+DagH,"H",IF(MOD($A633-INDEX(SkiftStart,2),Syklus)&lt;DagK+DagH+DagD,"D","F")))</f>
        <v/>
      </c>
      <c r="D633">
        <f>IF(MOD($A633-INDEX(SkiftStart,3),Syklus)&lt;DagK,"K",IF(MOD($A633-INDEX(SkiftStart,3),Syklus)&lt;DagK+DagH,"H",IF(MOD($A633-INDEX(SkiftStart,3),Syklus)&lt;DagK+DagH+DagD,"D","F")))</f>
        <v/>
      </c>
      <c r="E633">
        <f>IF(B633="F",0,IF(WEEKDAY($A633,2)=5,INDEX(TimerFr,MATCH(B633,FaseKode,0)),INDEX(TimerMT,MATCH(B633,FaseKode,0))))</f>
        <v/>
      </c>
      <c r="F633">
        <f>IF(C633="F",0,IF(WEEKDAY($A633,2)=5,INDEX(TimerFr,MATCH(C633,FaseKode,0)),INDEX(TimerMT,MATCH(C633,FaseKode,0))))</f>
        <v/>
      </c>
      <c r="G633">
        <f>IF(D633="F",0,IF(WEEKDAY($A633,2)=5,INDEX(TimerFr,MATCH(D633,FaseKode,0)),INDEX(TimerMT,MATCH(D633,FaseKode,0))))</f>
        <v/>
      </c>
      <c r="H633">
        <f>IF(OR(H$4="",$A633&gt;TODAY()),0,IF(OR(INDEX($B633:$D633,H$5)="F",AND(H$6&gt;0,$A633&lt;H$6),AND(H$7&gt;0,$A633&gt;H$7)),0,MAX(0,ROUND((INDEX($E633:$G633,H$5)-SUMIFS(TF_Timer,TF_Tekniker,H$4,TF_Dato,$A633))*2,0)/2)))</f>
        <v/>
      </c>
      <c r="I633">
        <f>IF(OR(I$4="",$A633&gt;TODAY()),0,IF(OR(INDEX($B633:$D633,I$5)="F",AND(I$6&gt;0,$A633&lt;I$6),AND(I$7&gt;0,$A633&gt;I$7)),0,MAX(0,ROUND((INDEX($E633:$G633,I$5)-SUMIFS(TF_Timer,TF_Tekniker,I$4,TF_Dato,$A633))*2,0)/2)))</f>
        <v/>
      </c>
      <c r="J633">
        <f>IF(OR(J$4="",$A633&gt;TODAY()),0,IF(OR(INDEX($B633:$D633,J$5)="F",AND(J$6&gt;0,$A633&lt;J$6),AND(J$7&gt;0,$A633&gt;J$7)),0,MAX(0,ROUND((INDEX($E633:$G633,J$5)-SUMIFS(TF_Timer,TF_Tekniker,J$4,TF_Dato,$A633))*2,0)/2)))</f>
        <v/>
      </c>
      <c r="K633">
        <f>IF(OR(K$4="",$A633&gt;TODAY()),0,IF(OR(INDEX($B633:$D633,K$5)="F",AND(K$6&gt;0,$A633&lt;K$6),AND(K$7&gt;0,$A633&gt;K$7)),0,MAX(0,ROUND((INDEX($E633:$G633,K$5)-SUMIFS(TF_Timer,TF_Tekniker,K$4,TF_Dato,$A633))*2,0)/2)))</f>
        <v/>
      </c>
      <c r="L633">
        <f>IF(OR(L$4="",$A633&gt;TODAY()),0,IF(OR(INDEX($B633:$D633,L$5)="F",AND(L$6&gt;0,$A633&lt;L$6),AND(L$7&gt;0,$A633&gt;L$7)),0,MAX(0,ROUND((INDEX($E633:$G633,L$5)-SUMIFS(TF_Timer,TF_Tekniker,L$4,TF_Dato,$A633))*2,0)/2)))</f>
        <v/>
      </c>
      <c r="M633">
        <f>IF(OR(M$4="",$A633&gt;TODAY()),0,IF(OR(INDEX($B633:$D633,M$5)="F",AND(M$6&gt;0,$A633&lt;M$6),AND(M$7&gt;0,$A633&gt;M$7)),0,MAX(0,ROUND((INDEX($E633:$G633,M$5)-SUMIFS(TF_Timer,TF_Tekniker,M$4,TF_Dato,$A633))*2,0)/2)))</f>
        <v/>
      </c>
      <c r="N633">
        <f>IF(OR(N$4="",$A633&gt;TODAY()),0,IF(OR(INDEX($B633:$D633,N$5)="F",AND(N$6&gt;0,$A633&lt;N$6),AND(N$7&gt;0,$A633&gt;N$7)),0,MAX(0,ROUND((INDEX($E633:$G633,N$5)-SUMIFS(TF_Timer,TF_Tekniker,N$4,TF_Dato,$A633))*2,0)/2)))</f>
        <v/>
      </c>
      <c r="O633">
        <f>IF(OR(O$4="",$A633&gt;TODAY()),0,IF(OR(INDEX($B633:$D633,O$5)="F",AND(O$6&gt;0,$A633&lt;O$6),AND(O$7&gt;0,$A633&gt;O$7)),0,MAX(0,ROUND((INDEX($E633:$G633,O$5)-SUMIFS(TF_Timer,TF_Tekniker,O$4,TF_Dato,$A633))*2,0)/2)))</f>
        <v/>
      </c>
      <c r="P633">
        <f>IF(OR(P$4="",$A633&gt;TODAY()),0,IF(OR(INDEX($B633:$D633,P$5)="F",AND(P$6&gt;0,$A633&lt;P$6),AND(P$7&gt;0,$A633&gt;P$7)),0,MAX(0,ROUND((INDEX($E633:$G633,P$5)-SUMIFS(TF_Timer,TF_Tekniker,P$4,TF_Dato,$A633))*2,0)/2)))</f>
        <v/>
      </c>
      <c r="Q633">
        <f>IF(OR(Q$4="",$A633&gt;TODAY()),0,IF(OR(INDEX($B633:$D633,Q$5)="F",AND(Q$6&gt;0,$A633&lt;Q$6),AND(Q$7&gt;0,$A633&gt;Q$7)),0,MAX(0,ROUND((INDEX($E633:$G633,Q$5)-SUMIFS(TF_Timer,TF_Tekniker,Q$4,TF_Dato,$A633))*2,0)/2)))</f>
        <v/>
      </c>
      <c r="R633">
        <f>IF(OR(R$4="",$A633&gt;TODAY()),0,IF(OR(INDEX($B633:$D633,R$5)="F",AND(R$6&gt;0,$A633&lt;R$6),AND(R$7&gt;0,$A633&gt;R$7)),0,MAX(0,ROUND((INDEX($E633:$G633,R$5)-SUMIFS(TF_Timer,TF_Tekniker,R$4,TF_Dato,$A633))*2,0)/2)))</f>
        <v/>
      </c>
      <c r="S633">
        <f>IF(OR(S$4="",$A633&gt;TODAY()),0,IF(OR(INDEX($B633:$D633,S$5)="F",AND(S$6&gt;0,$A633&lt;S$6),AND(S$7&gt;0,$A633&gt;S$7)),0,MAX(0,ROUND((INDEX($E633:$G633,S$5)-SUMIFS(TF_Timer,TF_Tekniker,S$4,TF_Dato,$A633))*2,0)/2)))</f>
        <v/>
      </c>
      <c r="T633">
        <f>IF(OR(T$4="",$A633&gt;TODAY()),0,IF(OR(INDEX($B633:$D633,T$5)="F",AND(T$6&gt;0,$A633&lt;T$6),AND(T$7&gt;0,$A633&gt;T$7)),0,MAX(0,ROUND((INDEX($E633:$G633,T$5)-SUMIFS(TF_Timer,TF_Tekniker,T$4,TF_Dato,$A633))*2,0)/2)))</f>
        <v/>
      </c>
      <c r="U633">
        <f>IF(OR(U$4="",$A633&gt;TODAY()),0,IF(OR(INDEX($B633:$D633,U$5)="F",AND(U$6&gt;0,$A633&lt;U$6),AND(U$7&gt;0,$A633&gt;U$7)),0,MAX(0,ROUND((INDEX($E633:$G633,U$5)-SUMIFS(TF_Timer,TF_Tekniker,U$4,TF_Dato,$A633))*2,0)/2)))</f>
        <v/>
      </c>
      <c r="V633">
        <f>IF(OR(V$4="",$A633&gt;TODAY()),0,IF(OR(INDEX($B633:$D633,V$5)="F",AND(V$6&gt;0,$A633&lt;V$6),AND(V$7&gt;0,$A633&gt;V$7)),0,MAX(0,ROUND((INDEX($E633:$G633,V$5)-SUMIFS(TF_Timer,TF_Tekniker,V$4,TF_Dato,$A633))*2,0)/2)))</f>
        <v/>
      </c>
      <c r="W633">
        <f>IF(OR(W$4="",$A633&gt;TODAY()),0,IF(OR(INDEX($B633:$D633,W$5)="F",AND(W$6&gt;0,$A633&lt;W$6),AND(W$7&gt;0,$A633&gt;W$7)),0,MAX(0,ROUND((INDEX($E633:$G633,W$5)-SUMIFS(TF_Timer,TF_Tekniker,W$4,TF_Dato,$A633))*2,0)/2)))</f>
        <v/>
      </c>
      <c r="X633">
        <f>IF(OR(X$4="",$A633&gt;TODAY()),0,IF(OR(INDEX($B633:$D633,X$5)="F",AND(X$6&gt;0,$A633&lt;X$6),AND(X$7&gt;0,$A633&gt;X$7)),0,MAX(0,ROUND((INDEX($E633:$G633,X$5)-SUMIFS(TF_Timer,TF_Tekniker,X$4,TF_Dato,$A633))*2,0)/2)))</f>
        <v/>
      </c>
      <c r="Y633">
        <f>IF(OR(Y$4="",$A633&gt;TODAY()),0,IF(OR(INDEX($B633:$D633,Y$5)="F",AND(Y$6&gt;0,$A633&lt;Y$6),AND(Y$7&gt;0,$A633&gt;Y$7)),0,MAX(0,ROUND((INDEX($E633:$G633,Y$5)-SUMIFS(TF_Timer,TF_Tekniker,Y$4,TF_Dato,$A633))*2,0)/2)))</f>
        <v/>
      </c>
      <c r="Z633">
        <f>IF(OR(Z$4="",$A633&gt;TODAY()),0,IF(OR(INDEX($B633:$D633,Z$5)="F",AND(Z$6&gt;0,$A633&lt;Z$6),AND(Z$7&gt;0,$A633&gt;Z$7)),0,MAX(0,ROUND((INDEX($E633:$G633,Z$5)-SUMIFS(TF_Timer,TF_Tekniker,Z$4,TF_Dato,$A633))*2,0)/2)))</f>
        <v/>
      </c>
      <c r="AA633">
        <f>IF(OR(AA$4="",$A633&gt;TODAY()),0,IF(OR(INDEX($B633:$D633,AA$5)="F",AND(AA$6&gt;0,$A633&lt;AA$6),AND(AA$7&gt;0,$A633&gt;AA$7)),0,MAX(0,ROUND((INDEX($E633:$G633,AA$5)-SUMIFS(TF_Timer,TF_Tekniker,AA$4,TF_Dato,$A633))*2,0)/2)))</f>
        <v/>
      </c>
      <c r="AB633">
        <f>IF(OR(AB$4="",$A633&gt;TODAY()),0,IF(OR(INDEX($B633:$D633,AB$5)="F",AND(AB$6&gt;0,$A633&lt;AB$6),AND(AB$7&gt;0,$A633&gt;AB$7)),0,MAX(0,ROUND((INDEX($E633:$G633,AB$5)-SUMIFS(TF_Timer,TF_Tekniker,AB$4,TF_Dato,$A633))*2,0)/2)))</f>
        <v/>
      </c>
      <c r="AC633">
        <f>IF(OR(AC$4="",$A633&gt;TODAY()),0,IF(OR(INDEX($B633:$D633,AC$5)="F",AND(AC$6&gt;0,$A633&lt;AC$6),AND(AC$7&gt;0,$A633&gt;AC$7)),0,MAX(0,ROUND((INDEX($E633:$G633,AC$5)-SUMIFS(TF_Timer,TF_Tekniker,AC$4,TF_Dato,$A633))*2,0)/2)))</f>
        <v/>
      </c>
      <c r="AD633">
        <f>IF(OR(AD$4="",$A633&gt;TODAY()),0,IF(OR(INDEX($B633:$D633,AD$5)="F",AND(AD$6&gt;0,$A633&lt;AD$6),AND(AD$7&gt;0,$A633&gt;AD$7)),0,MAX(0,ROUND((INDEX($E633:$G633,AD$5)-SUMIFS(TF_Timer,TF_Tekniker,AD$4,TF_Dato,$A633))*2,0)/2)))</f>
        <v/>
      </c>
      <c r="AE633">
        <f>IF(OR(AE$4="",$A633&gt;TODAY()),0,IF(OR(INDEX($B633:$D633,AE$5)="F",AND(AE$6&gt;0,$A633&lt;AE$6),AND(AE$7&gt;0,$A633&gt;AE$7)),0,MAX(0,ROUND((INDEX($E633:$G633,AE$5)-SUMIFS(TF_Timer,TF_Tekniker,AE$4,TF_Dato,$A633))*2,0)/2)))</f>
        <v/>
      </c>
      <c r="AF633">
        <f>IF(OR(AF$4="",$A633&gt;TODAY()),0,IF(OR(INDEX($B633:$D633,AF$5)="F",AND(AF$6&gt;0,$A633&lt;AF$6),AND(AF$7&gt;0,$A633&gt;AF$7)),0,MAX(0,ROUND((INDEX($E633:$G633,AF$5)-SUMIFS(TF_Timer,TF_Tekniker,AF$4,TF_Dato,$A633))*2,0)/2)))</f>
        <v/>
      </c>
      <c r="AG633">
        <f>IF(OR(AG$4="",$A633&gt;TODAY()),0,IF(OR(INDEX($B633:$D633,AG$5)="F",AND(AG$6&gt;0,$A633&lt;AG$6),AND(AG$7&gt;0,$A633&gt;AG$7)),0,MAX(0,ROUND((INDEX($E633:$G633,AG$5)-SUMIFS(TF_Timer,TF_Tekniker,AG$4,TF_Dato,$A633))*2,0)/2)))</f>
        <v/>
      </c>
      <c r="AH633">
        <f>IF(OR(AH$4="",$A633&gt;TODAY()),0,IF(OR(INDEX($B633:$D633,AH$5)="F",AND(AH$6&gt;0,$A633&lt;AH$6),AND(AH$7&gt;0,$A633&gt;AH$7)),0,MAX(0,ROUND((INDEX($E633:$G633,AH$5)-SUMIFS(TF_Timer,TF_Tekniker,AH$4,TF_Dato,$A633))*2,0)/2)))</f>
        <v/>
      </c>
      <c r="AI633">
        <f>IF(OR(AI$4="",$A633&gt;TODAY()),0,IF(OR(INDEX($B633:$D633,AI$5)="F",AND(AI$6&gt;0,$A633&lt;AI$6),AND(AI$7&gt;0,$A633&gt;AI$7)),0,MAX(0,ROUND((INDEX($E633:$G633,AI$5)-SUMIFS(TF_Timer,TF_Tekniker,AI$4,TF_Dato,$A633))*2,0)/2)))</f>
        <v/>
      </c>
      <c r="AJ633">
        <f>IF(OR(AJ$4="",$A633&gt;TODAY()),0,IF(OR(INDEX($B633:$D633,AJ$5)="F",AND(AJ$6&gt;0,$A633&lt;AJ$6),AND(AJ$7&gt;0,$A633&gt;AJ$7)),0,MAX(0,ROUND((INDEX($E633:$G633,AJ$5)-SUMIFS(TF_Timer,TF_Tekniker,AJ$4,TF_Dato,$A633))*2,0)/2)))</f>
        <v/>
      </c>
      <c r="AK633">
        <f>IF(OR(AK$4="",$A633&gt;TODAY()),0,IF(OR(INDEX($B633:$D633,AK$5)="F",AND(AK$6&gt;0,$A633&lt;AK$6),AND(AK$7&gt;0,$A633&gt;AK$7)),0,MAX(0,ROUND((INDEX($E633:$G633,AK$5)-SUMIFS(TF_Timer,TF_Tekniker,AK$4,TF_Dato,$A633))*2,0)/2)))</f>
        <v/>
      </c>
      <c r="AL633">
        <f>IF(OR(AL$4="",$A633&gt;TODAY()),0,IF(OR(INDEX($B633:$D633,AL$5)="F",AND(AL$6&gt;0,$A633&lt;AL$6),AND(AL$7&gt;0,$A633&gt;AL$7)),0,MAX(0,ROUND((INDEX($E633:$G633,AL$5)-SUMIFS(TF_Timer,TF_Tekniker,AL$4,TF_Dato,$A633))*2,0)/2)))</f>
        <v/>
      </c>
      <c r="AM633">
        <f>IF(OR(AM$4="",$A633&gt;TODAY()),0,IF(OR(INDEX($B633:$D633,AM$5)="F",AND(AM$6&gt;0,$A633&lt;AM$6),AND(AM$7&gt;0,$A633&gt;AM$7)),0,MAX(0,ROUND((INDEX($E633:$G633,AM$5)-SUMIFS(TF_Timer,TF_Tekniker,AM$4,TF_Dato,$A633))*2,0)/2)))</f>
        <v/>
      </c>
      <c r="AN633">
        <f>IF(OR(AN$4="",$A633&gt;TODAY()),0,IF(OR(INDEX($B633:$D633,AN$5)="F",AND(AN$6&gt;0,$A633&lt;AN$6),AND(AN$7&gt;0,$A633&gt;AN$7)),0,MAX(0,ROUND((INDEX($E633:$G633,AN$5)-SUMIFS(TF_Timer,TF_Tekniker,AN$4,TF_Dato,$A633))*2,0)/2)))</f>
        <v/>
      </c>
      <c r="AO633">
        <f>IF(OR(AO$4="",$A633&gt;TODAY()),0,IF(OR(INDEX($B633:$D633,AO$5)="F",AND(AO$6&gt;0,$A633&lt;AO$6),AND(AO$7&gt;0,$A633&gt;AO$7)),0,MAX(0,ROUND((INDEX($E633:$G633,AO$5)-SUMIFS(TF_Timer,TF_Tekniker,AO$4,TF_Dato,$A633))*2,0)/2)))</f>
        <v/>
      </c>
      <c r="AP633">
        <f>IF(OR(AP$4="",$A633&gt;TODAY()),0,IF(OR(INDEX($B633:$D633,AP$5)="F",AND(AP$6&gt;0,$A633&lt;AP$6),AND(AP$7&gt;0,$A633&gt;AP$7)),0,MAX(0,ROUND((INDEX($E633:$G633,AP$5)-SUMIFS(TF_Timer,TF_Tekniker,AP$4,TF_Dato,$A633))*2,0)/2)))</f>
        <v/>
      </c>
      <c r="AQ633">
        <f>IF(OR(AQ$4="",$A633&gt;TODAY()),0,IF(OR(INDEX($B633:$D633,AQ$5)="F",AND(AQ$6&gt;0,$A633&lt;AQ$6),AND(AQ$7&gt;0,$A633&gt;AQ$7)),0,MAX(0,ROUND((INDEX($E633:$G633,AQ$5)-SUMIFS(TF_Timer,TF_Tekniker,AQ$4,TF_Dato,$A633))*2,0)/2)))</f>
        <v/>
      </c>
      <c r="AR633">
        <f>IF(OR(AR$4="",$A633&gt;TODAY()),0,IF(OR(INDEX($B633:$D633,AR$5)="F",AND(AR$6&gt;0,$A633&lt;AR$6),AND(AR$7&gt;0,$A633&gt;AR$7)),0,MAX(0,ROUND((INDEX($E633:$G633,AR$5)-SUMIFS(TF_Timer,TF_Tekniker,AR$4,TF_Dato,$A633))*2,0)/2)))</f>
        <v/>
      </c>
      <c r="AS633">
        <f>IF(OR(AS$4="",$A633&gt;TODAY()),0,IF(OR(INDEX($B633:$D633,AS$5)="F",AND(AS$6&gt;0,$A633&lt;AS$6),AND(AS$7&gt;0,$A633&gt;AS$7)),0,MAX(0,ROUND((INDEX($E633:$G633,AS$5)-SUMIFS(TF_Timer,TF_Tekniker,AS$4,TF_Dato,$A633))*2,0)/2)))</f>
        <v/>
      </c>
      <c r="AT633">
        <f>IF(OR(AT$4="",$A633&gt;TODAY()),0,IF(OR(INDEX($B633:$D633,AT$5)="F",AND(AT$6&gt;0,$A633&lt;AT$6),AND(AT$7&gt;0,$A633&gt;AT$7)),0,MAX(0,ROUND((INDEX($E633:$G633,AT$5)-SUMIFS(TF_Timer,TF_Tekniker,AT$4,TF_Dato,$A633))*2,0)/2)))</f>
        <v/>
      </c>
      <c r="AU633">
        <f>IF(OR(AU$4="",$A633&gt;TODAY()),0,IF(OR(INDEX($B633:$D633,AU$5)="F",AND(AU$6&gt;0,$A633&lt;AU$6),AND(AU$7&gt;0,$A633&gt;AU$7)),0,MAX(0,ROUND((INDEX($E633:$G633,AU$5)-SUMIFS(TF_Timer,TF_Tekniker,AU$4,TF_Dato,$A633))*2,0)/2)))</f>
        <v/>
      </c>
      <c r="AV633">
        <f>IF(OR(AV$4="",$A633&gt;TODAY()),0,IF(OR(INDEX($B633:$D633,AV$5)="F",AND(AV$6&gt;0,$A633&lt;AV$6),AND(AV$7&gt;0,$A633&gt;AV$7)),0,MAX(0,ROUND((INDEX($E633:$G633,AV$5)-SUMIFS(TF_Timer,TF_Tekniker,AV$4,TF_Dato,$A633))*2,0)/2)))</f>
        <v/>
      </c>
      <c r="AW633">
        <f>IF(OR(AW$4="",$A633&gt;TODAY()),0,IF(OR(INDEX($B633:$D633,AW$5)="F",AND(AW$6&gt;0,$A633&lt;AW$6),AND(AW$7&gt;0,$A633&gt;AW$7)),0,MAX(0,ROUND((INDEX($E633:$G633,AW$5)-SUMIFS(TF_Timer,TF_Tekniker,AW$4,TF_Dato,$A633))*2,0)/2)))</f>
        <v/>
      </c>
      <c r="AX633">
        <f>IF(OR(AX$4="",$A633&gt;TODAY()),0,IF(OR(INDEX($B633:$D633,AX$5)="F",AND(AX$6&gt;0,$A633&lt;AX$6),AND(AX$7&gt;0,$A633&gt;AX$7)),0,MAX(0,ROUND((INDEX($E633:$G633,AX$5)-SUMIFS(TF_Timer,TF_Tekniker,AX$4,TF_Dato,$A633))*2,0)/2)))</f>
        <v/>
      </c>
      <c r="AY633">
        <f>IF(OR(AY$4="",$A633&gt;TODAY()),0,IF(OR(INDEX($B633:$D633,AY$5)="F",AND(AY$6&gt;0,$A633&lt;AY$6),AND(AY$7&gt;0,$A633&gt;AY$7)),0,MAX(0,ROUND((INDEX($E633:$G633,AY$5)-SUMIFS(TF_Timer,TF_Tekniker,AY$4,TF_Dato,$A633))*2,0)/2)))</f>
        <v/>
      </c>
      <c r="AZ633">
        <f>IF(OR(AZ$4="",$A633&gt;TODAY()),0,IF(OR(INDEX($B633:$D633,AZ$5)="F",AND(AZ$6&gt;0,$A633&lt;AZ$6),AND(AZ$7&gt;0,$A633&gt;AZ$7)),0,MAX(0,ROUND((INDEX($E633:$G633,AZ$5)-SUMIFS(TF_Timer,TF_Tekniker,AZ$4,TF_Dato,$A633))*2,0)/2)))</f>
        <v/>
      </c>
      <c r="BA633">
        <f>IF(OR(BA$4="",$A633&gt;TODAY()),0,IF(OR(INDEX($B633:$D633,BA$5)="F",AND(BA$6&gt;0,$A633&lt;BA$6),AND(BA$7&gt;0,$A633&gt;BA$7)),0,MAX(0,ROUND((INDEX($E633:$G633,BA$5)-SUMIFS(TF_Timer,TF_Tekniker,BA$4,TF_Dato,$A633))*2,0)/2)))</f>
        <v/>
      </c>
      <c r="BB633">
        <f>IF(OR(BB$4="",$A633&gt;TODAY()),0,IF(OR(INDEX($B633:$D633,BB$5)="F",AND(BB$6&gt;0,$A633&lt;BB$6),AND(BB$7&gt;0,$A633&gt;BB$7)),0,MAX(0,ROUND((INDEX($E633:$G633,BB$5)-SUMIFS(TF_Timer,TF_Tekniker,BB$4,TF_Dato,$A633))*2,0)/2)))</f>
        <v/>
      </c>
      <c r="BC633">
        <f>IF(OR(BC$4="",$A633&gt;TODAY()),0,IF(OR(INDEX($B633:$D633,BC$5)="F",AND(BC$6&gt;0,$A633&lt;BC$6),AND(BC$7&gt;0,$A633&gt;BC$7)),0,MAX(0,ROUND((INDEX($E633:$G633,BC$5)-SUMIFS(TF_Timer,TF_Tekniker,BC$4,TF_Dato,$A633))*2,0)/2)))</f>
        <v/>
      </c>
      <c r="BD633">
        <f>IF(OR(BD$4="",$A633&gt;TODAY()),0,IF(OR(INDEX($B633:$D633,BD$5)="F",AND(BD$6&gt;0,$A633&lt;BD$6),AND(BD$7&gt;0,$A633&gt;BD$7)),0,MAX(0,ROUND((INDEX($E633:$G633,BD$5)-SUMIFS(TF_Timer,TF_Tekniker,BD$4,TF_Dato,$A633))*2,0)/2)))</f>
        <v/>
      </c>
      <c r="BE633">
        <f>IF(OR(BE$4="",$A633&gt;TODAY()),0,IF(OR(INDEX($B633:$D633,BE$5)="F",AND(BE$6&gt;0,$A633&lt;BE$6),AND(BE$7&gt;0,$A633&gt;BE$7)),0,MAX(0,ROUND((INDEX($E633:$G633,BE$5)-SUMIFS(TF_Timer,TF_Tekniker,BE$4,TF_Dato,$A633))*2,0)/2)))</f>
        <v/>
      </c>
      <c r="BF633">
        <f>IF(OR(BF$4="",$A633&gt;TODAY()),0,IF(OR(INDEX($B633:$D633,BF$5)="F",AND(BF$6&gt;0,$A633&lt;BF$6),AND(BF$7&gt;0,$A633&gt;BF$7)),0,MAX(0,ROUND((INDEX($E633:$G633,BF$5)-SUMIFS(TF_Timer,TF_Tekniker,BF$4,TF_Dato,$A633))*2,0)/2)))</f>
        <v/>
      </c>
      <c r="BG633">
        <f>IF(OR(BG$4="",$A633&gt;TODAY()),0,IF(OR(INDEX($B633:$D633,BG$5)="F",AND(BG$6&gt;0,$A633&lt;BG$6),AND(BG$7&gt;0,$A633&gt;BG$7)),0,MAX(0,ROUND((INDEX($E633:$G633,BG$5)-SUMIFS(TF_Timer,TF_Tekniker,BG$4,TF_Dato,$A633))*2,0)/2)))</f>
        <v/>
      </c>
      <c r="BH633">
        <f>IF(OR(BH$4="",$A633&gt;TODAY()),0,IF(OR(INDEX($B633:$D633,BH$5)="F",AND(BH$6&gt;0,$A633&lt;BH$6),AND(BH$7&gt;0,$A633&gt;BH$7)),0,MAX(0,ROUND((INDEX($E633:$G633,BH$5)-SUMIFS(TF_Timer,TF_Tekniker,BH$4,TF_Dato,$A633))*2,0)/2)))</f>
        <v/>
      </c>
      <c r="BI633">
        <f>IF(OR(BI$4="",$A633&gt;TODAY()),0,IF(OR(INDEX($B633:$D633,BI$5)="F",AND(BI$6&gt;0,$A633&lt;BI$6),AND(BI$7&gt;0,$A633&gt;BI$7)),0,MAX(0,ROUND((INDEX($E633:$G633,BI$5)-SUMIFS(TF_Timer,TF_Tekniker,BI$4,TF_Dato,$A633))*2,0)/2)))</f>
        <v/>
      </c>
    </row>
    <row r="634">
      <c r="A634" s="64">
        <f>A633+1</f>
        <v/>
      </c>
      <c r="B634">
        <f>IF(MOD($A634-INDEX(SkiftStart,1),Syklus)&lt;DagK,"K",IF(MOD($A634-INDEX(SkiftStart,1),Syklus)&lt;DagK+DagH,"H",IF(MOD($A634-INDEX(SkiftStart,1),Syklus)&lt;DagK+DagH+DagD,"D","F")))</f>
        <v/>
      </c>
      <c r="C634">
        <f>IF(MOD($A634-INDEX(SkiftStart,2),Syklus)&lt;DagK,"K",IF(MOD($A634-INDEX(SkiftStart,2),Syklus)&lt;DagK+DagH,"H",IF(MOD($A634-INDEX(SkiftStart,2),Syklus)&lt;DagK+DagH+DagD,"D","F")))</f>
        <v/>
      </c>
      <c r="D634">
        <f>IF(MOD($A634-INDEX(SkiftStart,3),Syklus)&lt;DagK,"K",IF(MOD($A634-INDEX(SkiftStart,3),Syklus)&lt;DagK+DagH,"H",IF(MOD($A634-INDEX(SkiftStart,3),Syklus)&lt;DagK+DagH+DagD,"D","F")))</f>
        <v/>
      </c>
      <c r="E634">
        <f>IF(B634="F",0,IF(WEEKDAY($A634,2)=5,INDEX(TimerFr,MATCH(B634,FaseKode,0)),INDEX(TimerMT,MATCH(B634,FaseKode,0))))</f>
        <v/>
      </c>
      <c r="F634">
        <f>IF(C634="F",0,IF(WEEKDAY($A634,2)=5,INDEX(TimerFr,MATCH(C634,FaseKode,0)),INDEX(TimerMT,MATCH(C634,FaseKode,0))))</f>
        <v/>
      </c>
      <c r="G634">
        <f>IF(D634="F",0,IF(WEEKDAY($A634,2)=5,INDEX(TimerFr,MATCH(D634,FaseKode,0)),INDEX(TimerMT,MATCH(D634,FaseKode,0))))</f>
        <v/>
      </c>
      <c r="H634">
        <f>IF(OR(H$4="",$A634&gt;TODAY()),0,IF(OR(INDEX($B634:$D634,H$5)="F",AND(H$6&gt;0,$A634&lt;H$6),AND(H$7&gt;0,$A634&gt;H$7)),0,MAX(0,ROUND((INDEX($E634:$G634,H$5)-SUMIFS(TF_Timer,TF_Tekniker,H$4,TF_Dato,$A634))*2,0)/2)))</f>
        <v/>
      </c>
      <c r="I634">
        <f>IF(OR(I$4="",$A634&gt;TODAY()),0,IF(OR(INDEX($B634:$D634,I$5)="F",AND(I$6&gt;0,$A634&lt;I$6),AND(I$7&gt;0,$A634&gt;I$7)),0,MAX(0,ROUND((INDEX($E634:$G634,I$5)-SUMIFS(TF_Timer,TF_Tekniker,I$4,TF_Dato,$A634))*2,0)/2)))</f>
        <v/>
      </c>
      <c r="J634">
        <f>IF(OR(J$4="",$A634&gt;TODAY()),0,IF(OR(INDEX($B634:$D634,J$5)="F",AND(J$6&gt;0,$A634&lt;J$6),AND(J$7&gt;0,$A634&gt;J$7)),0,MAX(0,ROUND((INDEX($E634:$G634,J$5)-SUMIFS(TF_Timer,TF_Tekniker,J$4,TF_Dato,$A634))*2,0)/2)))</f>
        <v/>
      </c>
      <c r="K634">
        <f>IF(OR(K$4="",$A634&gt;TODAY()),0,IF(OR(INDEX($B634:$D634,K$5)="F",AND(K$6&gt;0,$A634&lt;K$6),AND(K$7&gt;0,$A634&gt;K$7)),0,MAX(0,ROUND((INDEX($E634:$G634,K$5)-SUMIFS(TF_Timer,TF_Tekniker,K$4,TF_Dato,$A634))*2,0)/2)))</f>
        <v/>
      </c>
      <c r="L634">
        <f>IF(OR(L$4="",$A634&gt;TODAY()),0,IF(OR(INDEX($B634:$D634,L$5)="F",AND(L$6&gt;0,$A634&lt;L$6),AND(L$7&gt;0,$A634&gt;L$7)),0,MAX(0,ROUND((INDEX($E634:$G634,L$5)-SUMIFS(TF_Timer,TF_Tekniker,L$4,TF_Dato,$A634))*2,0)/2)))</f>
        <v/>
      </c>
      <c r="M634">
        <f>IF(OR(M$4="",$A634&gt;TODAY()),0,IF(OR(INDEX($B634:$D634,M$5)="F",AND(M$6&gt;0,$A634&lt;M$6),AND(M$7&gt;0,$A634&gt;M$7)),0,MAX(0,ROUND((INDEX($E634:$G634,M$5)-SUMIFS(TF_Timer,TF_Tekniker,M$4,TF_Dato,$A634))*2,0)/2)))</f>
        <v/>
      </c>
      <c r="N634">
        <f>IF(OR(N$4="",$A634&gt;TODAY()),0,IF(OR(INDEX($B634:$D634,N$5)="F",AND(N$6&gt;0,$A634&lt;N$6),AND(N$7&gt;0,$A634&gt;N$7)),0,MAX(0,ROUND((INDEX($E634:$G634,N$5)-SUMIFS(TF_Timer,TF_Tekniker,N$4,TF_Dato,$A634))*2,0)/2)))</f>
        <v/>
      </c>
      <c r="O634">
        <f>IF(OR(O$4="",$A634&gt;TODAY()),0,IF(OR(INDEX($B634:$D634,O$5)="F",AND(O$6&gt;0,$A634&lt;O$6),AND(O$7&gt;0,$A634&gt;O$7)),0,MAX(0,ROUND((INDEX($E634:$G634,O$5)-SUMIFS(TF_Timer,TF_Tekniker,O$4,TF_Dato,$A634))*2,0)/2)))</f>
        <v/>
      </c>
      <c r="P634">
        <f>IF(OR(P$4="",$A634&gt;TODAY()),0,IF(OR(INDEX($B634:$D634,P$5)="F",AND(P$6&gt;0,$A634&lt;P$6),AND(P$7&gt;0,$A634&gt;P$7)),0,MAX(0,ROUND((INDEX($E634:$G634,P$5)-SUMIFS(TF_Timer,TF_Tekniker,P$4,TF_Dato,$A634))*2,0)/2)))</f>
        <v/>
      </c>
      <c r="Q634">
        <f>IF(OR(Q$4="",$A634&gt;TODAY()),0,IF(OR(INDEX($B634:$D634,Q$5)="F",AND(Q$6&gt;0,$A634&lt;Q$6),AND(Q$7&gt;0,$A634&gt;Q$7)),0,MAX(0,ROUND((INDEX($E634:$G634,Q$5)-SUMIFS(TF_Timer,TF_Tekniker,Q$4,TF_Dato,$A634))*2,0)/2)))</f>
        <v/>
      </c>
      <c r="R634">
        <f>IF(OR(R$4="",$A634&gt;TODAY()),0,IF(OR(INDEX($B634:$D634,R$5)="F",AND(R$6&gt;0,$A634&lt;R$6),AND(R$7&gt;0,$A634&gt;R$7)),0,MAX(0,ROUND((INDEX($E634:$G634,R$5)-SUMIFS(TF_Timer,TF_Tekniker,R$4,TF_Dato,$A634))*2,0)/2)))</f>
        <v/>
      </c>
      <c r="S634">
        <f>IF(OR(S$4="",$A634&gt;TODAY()),0,IF(OR(INDEX($B634:$D634,S$5)="F",AND(S$6&gt;0,$A634&lt;S$6),AND(S$7&gt;0,$A634&gt;S$7)),0,MAX(0,ROUND((INDEX($E634:$G634,S$5)-SUMIFS(TF_Timer,TF_Tekniker,S$4,TF_Dato,$A634))*2,0)/2)))</f>
        <v/>
      </c>
      <c r="T634">
        <f>IF(OR(T$4="",$A634&gt;TODAY()),0,IF(OR(INDEX($B634:$D634,T$5)="F",AND(T$6&gt;0,$A634&lt;T$6),AND(T$7&gt;0,$A634&gt;T$7)),0,MAX(0,ROUND((INDEX($E634:$G634,T$5)-SUMIFS(TF_Timer,TF_Tekniker,T$4,TF_Dato,$A634))*2,0)/2)))</f>
        <v/>
      </c>
      <c r="U634">
        <f>IF(OR(U$4="",$A634&gt;TODAY()),0,IF(OR(INDEX($B634:$D634,U$5)="F",AND(U$6&gt;0,$A634&lt;U$6),AND(U$7&gt;0,$A634&gt;U$7)),0,MAX(0,ROUND((INDEX($E634:$G634,U$5)-SUMIFS(TF_Timer,TF_Tekniker,U$4,TF_Dato,$A634))*2,0)/2)))</f>
        <v/>
      </c>
      <c r="V634">
        <f>IF(OR(V$4="",$A634&gt;TODAY()),0,IF(OR(INDEX($B634:$D634,V$5)="F",AND(V$6&gt;0,$A634&lt;V$6),AND(V$7&gt;0,$A634&gt;V$7)),0,MAX(0,ROUND((INDEX($E634:$G634,V$5)-SUMIFS(TF_Timer,TF_Tekniker,V$4,TF_Dato,$A634))*2,0)/2)))</f>
        <v/>
      </c>
      <c r="W634">
        <f>IF(OR(W$4="",$A634&gt;TODAY()),0,IF(OR(INDEX($B634:$D634,W$5)="F",AND(W$6&gt;0,$A634&lt;W$6),AND(W$7&gt;0,$A634&gt;W$7)),0,MAX(0,ROUND((INDEX($E634:$G634,W$5)-SUMIFS(TF_Timer,TF_Tekniker,W$4,TF_Dato,$A634))*2,0)/2)))</f>
        <v/>
      </c>
      <c r="X634">
        <f>IF(OR(X$4="",$A634&gt;TODAY()),0,IF(OR(INDEX($B634:$D634,X$5)="F",AND(X$6&gt;0,$A634&lt;X$6),AND(X$7&gt;0,$A634&gt;X$7)),0,MAX(0,ROUND((INDEX($E634:$G634,X$5)-SUMIFS(TF_Timer,TF_Tekniker,X$4,TF_Dato,$A634))*2,0)/2)))</f>
        <v/>
      </c>
      <c r="Y634">
        <f>IF(OR(Y$4="",$A634&gt;TODAY()),0,IF(OR(INDEX($B634:$D634,Y$5)="F",AND(Y$6&gt;0,$A634&lt;Y$6),AND(Y$7&gt;0,$A634&gt;Y$7)),0,MAX(0,ROUND((INDEX($E634:$G634,Y$5)-SUMIFS(TF_Timer,TF_Tekniker,Y$4,TF_Dato,$A634))*2,0)/2)))</f>
        <v/>
      </c>
      <c r="Z634">
        <f>IF(OR(Z$4="",$A634&gt;TODAY()),0,IF(OR(INDEX($B634:$D634,Z$5)="F",AND(Z$6&gt;0,$A634&lt;Z$6),AND(Z$7&gt;0,$A634&gt;Z$7)),0,MAX(0,ROUND((INDEX($E634:$G634,Z$5)-SUMIFS(TF_Timer,TF_Tekniker,Z$4,TF_Dato,$A634))*2,0)/2)))</f>
        <v/>
      </c>
      <c r="AA634">
        <f>IF(OR(AA$4="",$A634&gt;TODAY()),0,IF(OR(INDEX($B634:$D634,AA$5)="F",AND(AA$6&gt;0,$A634&lt;AA$6),AND(AA$7&gt;0,$A634&gt;AA$7)),0,MAX(0,ROUND((INDEX($E634:$G634,AA$5)-SUMIFS(TF_Timer,TF_Tekniker,AA$4,TF_Dato,$A634))*2,0)/2)))</f>
        <v/>
      </c>
      <c r="AB634">
        <f>IF(OR(AB$4="",$A634&gt;TODAY()),0,IF(OR(INDEX($B634:$D634,AB$5)="F",AND(AB$6&gt;0,$A634&lt;AB$6),AND(AB$7&gt;0,$A634&gt;AB$7)),0,MAX(0,ROUND((INDEX($E634:$G634,AB$5)-SUMIFS(TF_Timer,TF_Tekniker,AB$4,TF_Dato,$A634))*2,0)/2)))</f>
        <v/>
      </c>
      <c r="AC634">
        <f>IF(OR(AC$4="",$A634&gt;TODAY()),0,IF(OR(INDEX($B634:$D634,AC$5)="F",AND(AC$6&gt;0,$A634&lt;AC$6),AND(AC$7&gt;0,$A634&gt;AC$7)),0,MAX(0,ROUND((INDEX($E634:$G634,AC$5)-SUMIFS(TF_Timer,TF_Tekniker,AC$4,TF_Dato,$A634))*2,0)/2)))</f>
        <v/>
      </c>
      <c r="AD634">
        <f>IF(OR(AD$4="",$A634&gt;TODAY()),0,IF(OR(INDEX($B634:$D634,AD$5)="F",AND(AD$6&gt;0,$A634&lt;AD$6),AND(AD$7&gt;0,$A634&gt;AD$7)),0,MAX(0,ROUND((INDEX($E634:$G634,AD$5)-SUMIFS(TF_Timer,TF_Tekniker,AD$4,TF_Dato,$A634))*2,0)/2)))</f>
        <v/>
      </c>
      <c r="AE634">
        <f>IF(OR(AE$4="",$A634&gt;TODAY()),0,IF(OR(INDEX($B634:$D634,AE$5)="F",AND(AE$6&gt;0,$A634&lt;AE$6),AND(AE$7&gt;0,$A634&gt;AE$7)),0,MAX(0,ROUND((INDEX($E634:$G634,AE$5)-SUMIFS(TF_Timer,TF_Tekniker,AE$4,TF_Dato,$A634))*2,0)/2)))</f>
        <v/>
      </c>
      <c r="AF634">
        <f>IF(OR(AF$4="",$A634&gt;TODAY()),0,IF(OR(INDEX($B634:$D634,AF$5)="F",AND(AF$6&gt;0,$A634&lt;AF$6),AND(AF$7&gt;0,$A634&gt;AF$7)),0,MAX(0,ROUND((INDEX($E634:$G634,AF$5)-SUMIFS(TF_Timer,TF_Tekniker,AF$4,TF_Dato,$A634))*2,0)/2)))</f>
        <v/>
      </c>
      <c r="AG634">
        <f>IF(OR(AG$4="",$A634&gt;TODAY()),0,IF(OR(INDEX($B634:$D634,AG$5)="F",AND(AG$6&gt;0,$A634&lt;AG$6),AND(AG$7&gt;0,$A634&gt;AG$7)),0,MAX(0,ROUND((INDEX($E634:$G634,AG$5)-SUMIFS(TF_Timer,TF_Tekniker,AG$4,TF_Dato,$A634))*2,0)/2)))</f>
        <v/>
      </c>
      <c r="AH634">
        <f>IF(OR(AH$4="",$A634&gt;TODAY()),0,IF(OR(INDEX($B634:$D634,AH$5)="F",AND(AH$6&gt;0,$A634&lt;AH$6),AND(AH$7&gt;0,$A634&gt;AH$7)),0,MAX(0,ROUND((INDEX($E634:$G634,AH$5)-SUMIFS(TF_Timer,TF_Tekniker,AH$4,TF_Dato,$A634))*2,0)/2)))</f>
        <v/>
      </c>
      <c r="AI634">
        <f>IF(OR(AI$4="",$A634&gt;TODAY()),0,IF(OR(INDEX($B634:$D634,AI$5)="F",AND(AI$6&gt;0,$A634&lt;AI$6),AND(AI$7&gt;0,$A634&gt;AI$7)),0,MAX(0,ROUND((INDEX($E634:$G634,AI$5)-SUMIFS(TF_Timer,TF_Tekniker,AI$4,TF_Dato,$A634))*2,0)/2)))</f>
        <v/>
      </c>
      <c r="AJ634">
        <f>IF(OR(AJ$4="",$A634&gt;TODAY()),0,IF(OR(INDEX($B634:$D634,AJ$5)="F",AND(AJ$6&gt;0,$A634&lt;AJ$6),AND(AJ$7&gt;0,$A634&gt;AJ$7)),0,MAX(0,ROUND((INDEX($E634:$G634,AJ$5)-SUMIFS(TF_Timer,TF_Tekniker,AJ$4,TF_Dato,$A634))*2,0)/2)))</f>
        <v/>
      </c>
      <c r="AK634">
        <f>IF(OR(AK$4="",$A634&gt;TODAY()),0,IF(OR(INDEX($B634:$D634,AK$5)="F",AND(AK$6&gt;0,$A634&lt;AK$6),AND(AK$7&gt;0,$A634&gt;AK$7)),0,MAX(0,ROUND((INDEX($E634:$G634,AK$5)-SUMIFS(TF_Timer,TF_Tekniker,AK$4,TF_Dato,$A634))*2,0)/2)))</f>
        <v/>
      </c>
      <c r="AL634">
        <f>IF(OR(AL$4="",$A634&gt;TODAY()),0,IF(OR(INDEX($B634:$D634,AL$5)="F",AND(AL$6&gt;0,$A634&lt;AL$6),AND(AL$7&gt;0,$A634&gt;AL$7)),0,MAX(0,ROUND((INDEX($E634:$G634,AL$5)-SUMIFS(TF_Timer,TF_Tekniker,AL$4,TF_Dato,$A634))*2,0)/2)))</f>
        <v/>
      </c>
      <c r="AM634">
        <f>IF(OR(AM$4="",$A634&gt;TODAY()),0,IF(OR(INDEX($B634:$D634,AM$5)="F",AND(AM$6&gt;0,$A634&lt;AM$6),AND(AM$7&gt;0,$A634&gt;AM$7)),0,MAX(0,ROUND((INDEX($E634:$G634,AM$5)-SUMIFS(TF_Timer,TF_Tekniker,AM$4,TF_Dato,$A634))*2,0)/2)))</f>
        <v/>
      </c>
      <c r="AN634">
        <f>IF(OR(AN$4="",$A634&gt;TODAY()),0,IF(OR(INDEX($B634:$D634,AN$5)="F",AND(AN$6&gt;0,$A634&lt;AN$6),AND(AN$7&gt;0,$A634&gt;AN$7)),0,MAX(0,ROUND((INDEX($E634:$G634,AN$5)-SUMIFS(TF_Timer,TF_Tekniker,AN$4,TF_Dato,$A634))*2,0)/2)))</f>
        <v/>
      </c>
      <c r="AO634">
        <f>IF(OR(AO$4="",$A634&gt;TODAY()),0,IF(OR(INDEX($B634:$D634,AO$5)="F",AND(AO$6&gt;0,$A634&lt;AO$6),AND(AO$7&gt;0,$A634&gt;AO$7)),0,MAX(0,ROUND((INDEX($E634:$G634,AO$5)-SUMIFS(TF_Timer,TF_Tekniker,AO$4,TF_Dato,$A634))*2,0)/2)))</f>
        <v/>
      </c>
      <c r="AP634">
        <f>IF(OR(AP$4="",$A634&gt;TODAY()),0,IF(OR(INDEX($B634:$D634,AP$5)="F",AND(AP$6&gt;0,$A634&lt;AP$6),AND(AP$7&gt;0,$A634&gt;AP$7)),0,MAX(0,ROUND((INDEX($E634:$G634,AP$5)-SUMIFS(TF_Timer,TF_Tekniker,AP$4,TF_Dato,$A634))*2,0)/2)))</f>
        <v/>
      </c>
      <c r="AQ634">
        <f>IF(OR(AQ$4="",$A634&gt;TODAY()),0,IF(OR(INDEX($B634:$D634,AQ$5)="F",AND(AQ$6&gt;0,$A634&lt;AQ$6),AND(AQ$7&gt;0,$A634&gt;AQ$7)),0,MAX(0,ROUND((INDEX($E634:$G634,AQ$5)-SUMIFS(TF_Timer,TF_Tekniker,AQ$4,TF_Dato,$A634))*2,0)/2)))</f>
        <v/>
      </c>
      <c r="AR634">
        <f>IF(OR(AR$4="",$A634&gt;TODAY()),0,IF(OR(INDEX($B634:$D634,AR$5)="F",AND(AR$6&gt;0,$A634&lt;AR$6),AND(AR$7&gt;0,$A634&gt;AR$7)),0,MAX(0,ROUND((INDEX($E634:$G634,AR$5)-SUMIFS(TF_Timer,TF_Tekniker,AR$4,TF_Dato,$A634))*2,0)/2)))</f>
        <v/>
      </c>
      <c r="AS634">
        <f>IF(OR(AS$4="",$A634&gt;TODAY()),0,IF(OR(INDEX($B634:$D634,AS$5)="F",AND(AS$6&gt;0,$A634&lt;AS$6),AND(AS$7&gt;0,$A634&gt;AS$7)),0,MAX(0,ROUND((INDEX($E634:$G634,AS$5)-SUMIFS(TF_Timer,TF_Tekniker,AS$4,TF_Dato,$A634))*2,0)/2)))</f>
        <v/>
      </c>
      <c r="AT634">
        <f>IF(OR(AT$4="",$A634&gt;TODAY()),0,IF(OR(INDEX($B634:$D634,AT$5)="F",AND(AT$6&gt;0,$A634&lt;AT$6),AND(AT$7&gt;0,$A634&gt;AT$7)),0,MAX(0,ROUND((INDEX($E634:$G634,AT$5)-SUMIFS(TF_Timer,TF_Tekniker,AT$4,TF_Dato,$A634))*2,0)/2)))</f>
        <v/>
      </c>
      <c r="AU634">
        <f>IF(OR(AU$4="",$A634&gt;TODAY()),0,IF(OR(INDEX($B634:$D634,AU$5)="F",AND(AU$6&gt;0,$A634&lt;AU$6),AND(AU$7&gt;0,$A634&gt;AU$7)),0,MAX(0,ROUND((INDEX($E634:$G634,AU$5)-SUMIFS(TF_Timer,TF_Tekniker,AU$4,TF_Dato,$A634))*2,0)/2)))</f>
        <v/>
      </c>
      <c r="AV634">
        <f>IF(OR(AV$4="",$A634&gt;TODAY()),0,IF(OR(INDEX($B634:$D634,AV$5)="F",AND(AV$6&gt;0,$A634&lt;AV$6),AND(AV$7&gt;0,$A634&gt;AV$7)),0,MAX(0,ROUND((INDEX($E634:$G634,AV$5)-SUMIFS(TF_Timer,TF_Tekniker,AV$4,TF_Dato,$A634))*2,0)/2)))</f>
        <v/>
      </c>
      <c r="AW634">
        <f>IF(OR(AW$4="",$A634&gt;TODAY()),0,IF(OR(INDEX($B634:$D634,AW$5)="F",AND(AW$6&gt;0,$A634&lt;AW$6),AND(AW$7&gt;0,$A634&gt;AW$7)),0,MAX(0,ROUND((INDEX($E634:$G634,AW$5)-SUMIFS(TF_Timer,TF_Tekniker,AW$4,TF_Dato,$A634))*2,0)/2)))</f>
        <v/>
      </c>
      <c r="AX634">
        <f>IF(OR(AX$4="",$A634&gt;TODAY()),0,IF(OR(INDEX($B634:$D634,AX$5)="F",AND(AX$6&gt;0,$A634&lt;AX$6),AND(AX$7&gt;0,$A634&gt;AX$7)),0,MAX(0,ROUND((INDEX($E634:$G634,AX$5)-SUMIFS(TF_Timer,TF_Tekniker,AX$4,TF_Dato,$A634))*2,0)/2)))</f>
        <v/>
      </c>
      <c r="AY634">
        <f>IF(OR(AY$4="",$A634&gt;TODAY()),0,IF(OR(INDEX($B634:$D634,AY$5)="F",AND(AY$6&gt;0,$A634&lt;AY$6),AND(AY$7&gt;0,$A634&gt;AY$7)),0,MAX(0,ROUND((INDEX($E634:$G634,AY$5)-SUMIFS(TF_Timer,TF_Tekniker,AY$4,TF_Dato,$A634))*2,0)/2)))</f>
        <v/>
      </c>
      <c r="AZ634">
        <f>IF(OR(AZ$4="",$A634&gt;TODAY()),0,IF(OR(INDEX($B634:$D634,AZ$5)="F",AND(AZ$6&gt;0,$A634&lt;AZ$6),AND(AZ$7&gt;0,$A634&gt;AZ$7)),0,MAX(0,ROUND((INDEX($E634:$G634,AZ$5)-SUMIFS(TF_Timer,TF_Tekniker,AZ$4,TF_Dato,$A634))*2,0)/2)))</f>
        <v/>
      </c>
      <c r="BA634">
        <f>IF(OR(BA$4="",$A634&gt;TODAY()),0,IF(OR(INDEX($B634:$D634,BA$5)="F",AND(BA$6&gt;0,$A634&lt;BA$6),AND(BA$7&gt;0,$A634&gt;BA$7)),0,MAX(0,ROUND((INDEX($E634:$G634,BA$5)-SUMIFS(TF_Timer,TF_Tekniker,BA$4,TF_Dato,$A634))*2,0)/2)))</f>
        <v/>
      </c>
      <c r="BB634">
        <f>IF(OR(BB$4="",$A634&gt;TODAY()),0,IF(OR(INDEX($B634:$D634,BB$5)="F",AND(BB$6&gt;0,$A634&lt;BB$6),AND(BB$7&gt;0,$A634&gt;BB$7)),0,MAX(0,ROUND((INDEX($E634:$G634,BB$5)-SUMIFS(TF_Timer,TF_Tekniker,BB$4,TF_Dato,$A634))*2,0)/2)))</f>
        <v/>
      </c>
      <c r="BC634">
        <f>IF(OR(BC$4="",$A634&gt;TODAY()),0,IF(OR(INDEX($B634:$D634,BC$5)="F",AND(BC$6&gt;0,$A634&lt;BC$6),AND(BC$7&gt;0,$A634&gt;BC$7)),0,MAX(0,ROUND((INDEX($E634:$G634,BC$5)-SUMIFS(TF_Timer,TF_Tekniker,BC$4,TF_Dato,$A634))*2,0)/2)))</f>
        <v/>
      </c>
      <c r="BD634">
        <f>IF(OR(BD$4="",$A634&gt;TODAY()),0,IF(OR(INDEX($B634:$D634,BD$5)="F",AND(BD$6&gt;0,$A634&lt;BD$6),AND(BD$7&gt;0,$A634&gt;BD$7)),0,MAX(0,ROUND((INDEX($E634:$G634,BD$5)-SUMIFS(TF_Timer,TF_Tekniker,BD$4,TF_Dato,$A634))*2,0)/2)))</f>
        <v/>
      </c>
      <c r="BE634">
        <f>IF(OR(BE$4="",$A634&gt;TODAY()),0,IF(OR(INDEX($B634:$D634,BE$5)="F",AND(BE$6&gt;0,$A634&lt;BE$6),AND(BE$7&gt;0,$A634&gt;BE$7)),0,MAX(0,ROUND((INDEX($E634:$G634,BE$5)-SUMIFS(TF_Timer,TF_Tekniker,BE$4,TF_Dato,$A634))*2,0)/2)))</f>
        <v/>
      </c>
      <c r="BF634">
        <f>IF(OR(BF$4="",$A634&gt;TODAY()),0,IF(OR(INDEX($B634:$D634,BF$5)="F",AND(BF$6&gt;0,$A634&lt;BF$6),AND(BF$7&gt;0,$A634&gt;BF$7)),0,MAX(0,ROUND((INDEX($E634:$G634,BF$5)-SUMIFS(TF_Timer,TF_Tekniker,BF$4,TF_Dato,$A634))*2,0)/2)))</f>
        <v/>
      </c>
      <c r="BG634">
        <f>IF(OR(BG$4="",$A634&gt;TODAY()),0,IF(OR(INDEX($B634:$D634,BG$5)="F",AND(BG$6&gt;0,$A634&lt;BG$6),AND(BG$7&gt;0,$A634&gt;BG$7)),0,MAX(0,ROUND((INDEX($E634:$G634,BG$5)-SUMIFS(TF_Timer,TF_Tekniker,BG$4,TF_Dato,$A634))*2,0)/2)))</f>
        <v/>
      </c>
      <c r="BH634">
        <f>IF(OR(BH$4="",$A634&gt;TODAY()),0,IF(OR(INDEX($B634:$D634,BH$5)="F",AND(BH$6&gt;0,$A634&lt;BH$6),AND(BH$7&gt;0,$A634&gt;BH$7)),0,MAX(0,ROUND((INDEX($E634:$G634,BH$5)-SUMIFS(TF_Timer,TF_Tekniker,BH$4,TF_Dato,$A634))*2,0)/2)))</f>
        <v/>
      </c>
      <c r="BI634">
        <f>IF(OR(BI$4="",$A634&gt;TODAY()),0,IF(OR(INDEX($B634:$D634,BI$5)="F",AND(BI$6&gt;0,$A634&lt;BI$6),AND(BI$7&gt;0,$A634&gt;BI$7)),0,MAX(0,ROUND((INDEX($E634:$G634,BI$5)-SUMIFS(TF_Timer,TF_Tekniker,BI$4,TF_Dato,$A634))*2,0)/2)))</f>
        <v/>
      </c>
    </row>
    <row r="635">
      <c r="A635" s="64">
        <f>A634+1</f>
        <v/>
      </c>
      <c r="B635">
        <f>IF(MOD($A635-INDEX(SkiftStart,1),Syklus)&lt;DagK,"K",IF(MOD($A635-INDEX(SkiftStart,1),Syklus)&lt;DagK+DagH,"H",IF(MOD($A635-INDEX(SkiftStart,1),Syklus)&lt;DagK+DagH+DagD,"D","F")))</f>
        <v/>
      </c>
      <c r="C635">
        <f>IF(MOD($A635-INDEX(SkiftStart,2),Syklus)&lt;DagK,"K",IF(MOD($A635-INDEX(SkiftStart,2),Syklus)&lt;DagK+DagH,"H",IF(MOD($A635-INDEX(SkiftStart,2),Syklus)&lt;DagK+DagH+DagD,"D","F")))</f>
        <v/>
      </c>
      <c r="D635">
        <f>IF(MOD($A635-INDEX(SkiftStart,3),Syklus)&lt;DagK,"K",IF(MOD($A635-INDEX(SkiftStart,3),Syklus)&lt;DagK+DagH,"H",IF(MOD($A635-INDEX(SkiftStart,3),Syklus)&lt;DagK+DagH+DagD,"D","F")))</f>
        <v/>
      </c>
      <c r="E635">
        <f>IF(B635="F",0,IF(WEEKDAY($A635,2)=5,INDEX(TimerFr,MATCH(B635,FaseKode,0)),INDEX(TimerMT,MATCH(B635,FaseKode,0))))</f>
        <v/>
      </c>
      <c r="F635">
        <f>IF(C635="F",0,IF(WEEKDAY($A635,2)=5,INDEX(TimerFr,MATCH(C635,FaseKode,0)),INDEX(TimerMT,MATCH(C635,FaseKode,0))))</f>
        <v/>
      </c>
      <c r="G635">
        <f>IF(D635="F",0,IF(WEEKDAY($A635,2)=5,INDEX(TimerFr,MATCH(D635,FaseKode,0)),INDEX(TimerMT,MATCH(D635,FaseKode,0))))</f>
        <v/>
      </c>
      <c r="H635">
        <f>IF(OR(H$4="",$A635&gt;TODAY()),0,IF(OR(INDEX($B635:$D635,H$5)="F",AND(H$6&gt;0,$A635&lt;H$6),AND(H$7&gt;0,$A635&gt;H$7)),0,MAX(0,ROUND((INDEX($E635:$G635,H$5)-SUMIFS(TF_Timer,TF_Tekniker,H$4,TF_Dato,$A635))*2,0)/2)))</f>
        <v/>
      </c>
      <c r="I635">
        <f>IF(OR(I$4="",$A635&gt;TODAY()),0,IF(OR(INDEX($B635:$D635,I$5)="F",AND(I$6&gt;0,$A635&lt;I$6),AND(I$7&gt;0,$A635&gt;I$7)),0,MAX(0,ROUND((INDEX($E635:$G635,I$5)-SUMIFS(TF_Timer,TF_Tekniker,I$4,TF_Dato,$A635))*2,0)/2)))</f>
        <v/>
      </c>
      <c r="J635">
        <f>IF(OR(J$4="",$A635&gt;TODAY()),0,IF(OR(INDEX($B635:$D635,J$5)="F",AND(J$6&gt;0,$A635&lt;J$6),AND(J$7&gt;0,$A635&gt;J$7)),0,MAX(0,ROUND((INDEX($E635:$G635,J$5)-SUMIFS(TF_Timer,TF_Tekniker,J$4,TF_Dato,$A635))*2,0)/2)))</f>
        <v/>
      </c>
      <c r="K635">
        <f>IF(OR(K$4="",$A635&gt;TODAY()),0,IF(OR(INDEX($B635:$D635,K$5)="F",AND(K$6&gt;0,$A635&lt;K$6),AND(K$7&gt;0,$A635&gt;K$7)),0,MAX(0,ROUND((INDEX($E635:$G635,K$5)-SUMIFS(TF_Timer,TF_Tekniker,K$4,TF_Dato,$A635))*2,0)/2)))</f>
        <v/>
      </c>
      <c r="L635">
        <f>IF(OR(L$4="",$A635&gt;TODAY()),0,IF(OR(INDEX($B635:$D635,L$5)="F",AND(L$6&gt;0,$A635&lt;L$6),AND(L$7&gt;0,$A635&gt;L$7)),0,MAX(0,ROUND((INDEX($E635:$G635,L$5)-SUMIFS(TF_Timer,TF_Tekniker,L$4,TF_Dato,$A635))*2,0)/2)))</f>
        <v/>
      </c>
      <c r="M635">
        <f>IF(OR(M$4="",$A635&gt;TODAY()),0,IF(OR(INDEX($B635:$D635,M$5)="F",AND(M$6&gt;0,$A635&lt;M$6),AND(M$7&gt;0,$A635&gt;M$7)),0,MAX(0,ROUND((INDEX($E635:$G635,M$5)-SUMIFS(TF_Timer,TF_Tekniker,M$4,TF_Dato,$A635))*2,0)/2)))</f>
        <v/>
      </c>
      <c r="N635">
        <f>IF(OR(N$4="",$A635&gt;TODAY()),0,IF(OR(INDEX($B635:$D635,N$5)="F",AND(N$6&gt;0,$A635&lt;N$6),AND(N$7&gt;0,$A635&gt;N$7)),0,MAX(0,ROUND((INDEX($E635:$G635,N$5)-SUMIFS(TF_Timer,TF_Tekniker,N$4,TF_Dato,$A635))*2,0)/2)))</f>
        <v/>
      </c>
      <c r="O635">
        <f>IF(OR(O$4="",$A635&gt;TODAY()),0,IF(OR(INDEX($B635:$D635,O$5)="F",AND(O$6&gt;0,$A635&lt;O$6),AND(O$7&gt;0,$A635&gt;O$7)),0,MAX(0,ROUND((INDEX($E635:$G635,O$5)-SUMIFS(TF_Timer,TF_Tekniker,O$4,TF_Dato,$A635))*2,0)/2)))</f>
        <v/>
      </c>
      <c r="P635">
        <f>IF(OR(P$4="",$A635&gt;TODAY()),0,IF(OR(INDEX($B635:$D635,P$5)="F",AND(P$6&gt;0,$A635&lt;P$6),AND(P$7&gt;0,$A635&gt;P$7)),0,MAX(0,ROUND((INDEX($E635:$G635,P$5)-SUMIFS(TF_Timer,TF_Tekniker,P$4,TF_Dato,$A635))*2,0)/2)))</f>
        <v/>
      </c>
      <c r="Q635">
        <f>IF(OR(Q$4="",$A635&gt;TODAY()),0,IF(OR(INDEX($B635:$D635,Q$5)="F",AND(Q$6&gt;0,$A635&lt;Q$6),AND(Q$7&gt;0,$A635&gt;Q$7)),0,MAX(0,ROUND((INDEX($E635:$G635,Q$5)-SUMIFS(TF_Timer,TF_Tekniker,Q$4,TF_Dato,$A635))*2,0)/2)))</f>
        <v/>
      </c>
      <c r="R635">
        <f>IF(OR(R$4="",$A635&gt;TODAY()),0,IF(OR(INDEX($B635:$D635,R$5)="F",AND(R$6&gt;0,$A635&lt;R$6),AND(R$7&gt;0,$A635&gt;R$7)),0,MAX(0,ROUND((INDEX($E635:$G635,R$5)-SUMIFS(TF_Timer,TF_Tekniker,R$4,TF_Dato,$A635))*2,0)/2)))</f>
        <v/>
      </c>
      <c r="S635">
        <f>IF(OR(S$4="",$A635&gt;TODAY()),0,IF(OR(INDEX($B635:$D635,S$5)="F",AND(S$6&gt;0,$A635&lt;S$6),AND(S$7&gt;0,$A635&gt;S$7)),0,MAX(0,ROUND((INDEX($E635:$G635,S$5)-SUMIFS(TF_Timer,TF_Tekniker,S$4,TF_Dato,$A635))*2,0)/2)))</f>
        <v/>
      </c>
      <c r="T635">
        <f>IF(OR(T$4="",$A635&gt;TODAY()),0,IF(OR(INDEX($B635:$D635,T$5)="F",AND(T$6&gt;0,$A635&lt;T$6),AND(T$7&gt;0,$A635&gt;T$7)),0,MAX(0,ROUND((INDEX($E635:$G635,T$5)-SUMIFS(TF_Timer,TF_Tekniker,T$4,TF_Dato,$A635))*2,0)/2)))</f>
        <v/>
      </c>
      <c r="U635">
        <f>IF(OR(U$4="",$A635&gt;TODAY()),0,IF(OR(INDEX($B635:$D635,U$5)="F",AND(U$6&gt;0,$A635&lt;U$6),AND(U$7&gt;0,$A635&gt;U$7)),0,MAX(0,ROUND((INDEX($E635:$G635,U$5)-SUMIFS(TF_Timer,TF_Tekniker,U$4,TF_Dato,$A635))*2,0)/2)))</f>
        <v/>
      </c>
      <c r="V635">
        <f>IF(OR(V$4="",$A635&gt;TODAY()),0,IF(OR(INDEX($B635:$D635,V$5)="F",AND(V$6&gt;0,$A635&lt;V$6),AND(V$7&gt;0,$A635&gt;V$7)),0,MAX(0,ROUND((INDEX($E635:$G635,V$5)-SUMIFS(TF_Timer,TF_Tekniker,V$4,TF_Dato,$A635))*2,0)/2)))</f>
        <v/>
      </c>
      <c r="W635">
        <f>IF(OR(W$4="",$A635&gt;TODAY()),0,IF(OR(INDEX($B635:$D635,W$5)="F",AND(W$6&gt;0,$A635&lt;W$6),AND(W$7&gt;0,$A635&gt;W$7)),0,MAX(0,ROUND((INDEX($E635:$G635,W$5)-SUMIFS(TF_Timer,TF_Tekniker,W$4,TF_Dato,$A635))*2,0)/2)))</f>
        <v/>
      </c>
      <c r="X635">
        <f>IF(OR(X$4="",$A635&gt;TODAY()),0,IF(OR(INDEX($B635:$D635,X$5)="F",AND(X$6&gt;0,$A635&lt;X$6),AND(X$7&gt;0,$A635&gt;X$7)),0,MAX(0,ROUND((INDEX($E635:$G635,X$5)-SUMIFS(TF_Timer,TF_Tekniker,X$4,TF_Dato,$A635))*2,0)/2)))</f>
        <v/>
      </c>
      <c r="Y635">
        <f>IF(OR(Y$4="",$A635&gt;TODAY()),0,IF(OR(INDEX($B635:$D635,Y$5)="F",AND(Y$6&gt;0,$A635&lt;Y$6),AND(Y$7&gt;0,$A635&gt;Y$7)),0,MAX(0,ROUND((INDEX($E635:$G635,Y$5)-SUMIFS(TF_Timer,TF_Tekniker,Y$4,TF_Dato,$A635))*2,0)/2)))</f>
        <v/>
      </c>
      <c r="Z635">
        <f>IF(OR(Z$4="",$A635&gt;TODAY()),0,IF(OR(INDEX($B635:$D635,Z$5)="F",AND(Z$6&gt;0,$A635&lt;Z$6),AND(Z$7&gt;0,$A635&gt;Z$7)),0,MAX(0,ROUND((INDEX($E635:$G635,Z$5)-SUMIFS(TF_Timer,TF_Tekniker,Z$4,TF_Dato,$A635))*2,0)/2)))</f>
        <v/>
      </c>
      <c r="AA635">
        <f>IF(OR(AA$4="",$A635&gt;TODAY()),0,IF(OR(INDEX($B635:$D635,AA$5)="F",AND(AA$6&gt;0,$A635&lt;AA$6),AND(AA$7&gt;0,$A635&gt;AA$7)),0,MAX(0,ROUND((INDEX($E635:$G635,AA$5)-SUMIFS(TF_Timer,TF_Tekniker,AA$4,TF_Dato,$A635))*2,0)/2)))</f>
        <v/>
      </c>
      <c r="AB635">
        <f>IF(OR(AB$4="",$A635&gt;TODAY()),0,IF(OR(INDEX($B635:$D635,AB$5)="F",AND(AB$6&gt;0,$A635&lt;AB$6),AND(AB$7&gt;0,$A635&gt;AB$7)),0,MAX(0,ROUND((INDEX($E635:$G635,AB$5)-SUMIFS(TF_Timer,TF_Tekniker,AB$4,TF_Dato,$A635))*2,0)/2)))</f>
        <v/>
      </c>
      <c r="AC635">
        <f>IF(OR(AC$4="",$A635&gt;TODAY()),0,IF(OR(INDEX($B635:$D635,AC$5)="F",AND(AC$6&gt;0,$A635&lt;AC$6),AND(AC$7&gt;0,$A635&gt;AC$7)),0,MAX(0,ROUND((INDEX($E635:$G635,AC$5)-SUMIFS(TF_Timer,TF_Tekniker,AC$4,TF_Dato,$A635))*2,0)/2)))</f>
        <v/>
      </c>
      <c r="AD635">
        <f>IF(OR(AD$4="",$A635&gt;TODAY()),0,IF(OR(INDEX($B635:$D635,AD$5)="F",AND(AD$6&gt;0,$A635&lt;AD$6),AND(AD$7&gt;0,$A635&gt;AD$7)),0,MAX(0,ROUND((INDEX($E635:$G635,AD$5)-SUMIFS(TF_Timer,TF_Tekniker,AD$4,TF_Dato,$A635))*2,0)/2)))</f>
        <v/>
      </c>
      <c r="AE635">
        <f>IF(OR(AE$4="",$A635&gt;TODAY()),0,IF(OR(INDEX($B635:$D635,AE$5)="F",AND(AE$6&gt;0,$A635&lt;AE$6),AND(AE$7&gt;0,$A635&gt;AE$7)),0,MAX(0,ROUND((INDEX($E635:$G635,AE$5)-SUMIFS(TF_Timer,TF_Tekniker,AE$4,TF_Dato,$A635))*2,0)/2)))</f>
        <v/>
      </c>
      <c r="AF635">
        <f>IF(OR(AF$4="",$A635&gt;TODAY()),0,IF(OR(INDEX($B635:$D635,AF$5)="F",AND(AF$6&gt;0,$A635&lt;AF$6),AND(AF$7&gt;0,$A635&gt;AF$7)),0,MAX(0,ROUND((INDEX($E635:$G635,AF$5)-SUMIFS(TF_Timer,TF_Tekniker,AF$4,TF_Dato,$A635))*2,0)/2)))</f>
        <v/>
      </c>
      <c r="AG635">
        <f>IF(OR(AG$4="",$A635&gt;TODAY()),0,IF(OR(INDEX($B635:$D635,AG$5)="F",AND(AG$6&gt;0,$A635&lt;AG$6),AND(AG$7&gt;0,$A635&gt;AG$7)),0,MAX(0,ROUND((INDEX($E635:$G635,AG$5)-SUMIFS(TF_Timer,TF_Tekniker,AG$4,TF_Dato,$A635))*2,0)/2)))</f>
        <v/>
      </c>
      <c r="AH635">
        <f>IF(OR(AH$4="",$A635&gt;TODAY()),0,IF(OR(INDEX($B635:$D635,AH$5)="F",AND(AH$6&gt;0,$A635&lt;AH$6),AND(AH$7&gt;0,$A635&gt;AH$7)),0,MAX(0,ROUND((INDEX($E635:$G635,AH$5)-SUMIFS(TF_Timer,TF_Tekniker,AH$4,TF_Dato,$A635))*2,0)/2)))</f>
        <v/>
      </c>
      <c r="AI635">
        <f>IF(OR(AI$4="",$A635&gt;TODAY()),0,IF(OR(INDEX($B635:$D635,AI$5)="F",AND(AI$6&gt;0,$A635&lt;AI$6),AND(AI$7&gt;0,$A635&gt;AI$7)),0,MAX(0,ROUND((INDEX($E635:$G635,AI$5)-SUMIFS(TF_Timer,TF_Tekniker,AI$4,TF_Dato,$A635))*2,0)/2)))</f>
        <v/>
      </c>
      <c r="AJ635">
        <f>IF(OR(AJ$4="",$A635&gt;TODAY()),0,IF(OR(INDEX($B635:$D635,AJ$5)="F",AND(AJ$6&gt;0,$A635&lt;AJ$6),AND(AJ$7&gt;0,$A635&gt;AJ$7)),0,MAX(0,ROUND((INDEX($E635:$G635,AJ$5)-SUMIFS(TF_Timer,TF_Tekniker,AJ$4,TF_Dato,$A635))*2,0)/2)))</f>
        <v/>
      </c>
      <c r="AK635">
        <f>IF(OR(AK$4="",$A635&gt;TODAY()),0,IF(OR(INDEX($B635:$D635,AK$5)="F",AND(AK$6&gt;0,$A635&lt;AK$6),AND(AK$7&gt;0,$A635&gt;AK$7)),0,MAX(0,ROUND((INDEX($E635:$G635,AK$5)-SUMIFS(TF_Timer,TF_Tekniker,AK$4,TF_Dato,$A635))*2,0)/2)))</f>
        <v/>
      </c>
      <c r="AL635">
        <f>IF(OR(AL$4="",$A635&gt;TODAY()),0,IF(OR(INDEX($B635:$D635,AL$5)="F",AND(AL$6&gt;0,$A635&lt;AL$6),AND(AL$7&gt;0,$A635&gt;AL$7)),0,MAX(0,ROUND((INDEX($E635:$G635,AL$5)-SUMIFS(TF_Timer,TF_Tekniker,AL$4,TF_Dato,$A635))*2,0)/2)))</f>
        <v/>
      </c>
      <c r="AM635">
        <f>IF(OR(AM$4="",$A635&gt;TODAY()),0,IF(OR(INDEX($B635:$D635,AM$5)="F",AND(AM$6&gt;0,$A635&lt;AM$6),AND(AM$7&gt;0,$A635&gt;AM$7)),0,MAX(0,ROUND((INDEX($E635:$G635,AM$5)-SUMIFS(TF_Timer,TF_Tekniker,AM$4,TF_Dato,$A635))*2,0)/2)))</f>
        <v/>
      </c>
      <c r="AN635">
        <f>IF(OR(AN$4="",$A635&gt;TODAY()),0,IF(OR(INDEX($B635:$D635,AN$5)="F",AND(AN$6&gt;0,$A635&lt;AN$6),AND(AN$7&gt;0,$A635&gt;AN$7)),0,MAX(0,ROUND((INDEX($E635:$G635,AN$5)-SUMIFS(TF_Timer,TF_Tekniker,AN$4,TF_Dato,$A635))*2,0)/2)))</f>
        <v/>
      </c>
      <c r="AO635">
        <f>IF(OR(AO$4="",$A635&gt;TODAY()),0,IF(OR(INDEX($B635:$D635,AO$5)="F",AND(AO$6&gt;0,$A635&lt;AO$6),AND(AO$7&gt;0,$A635&gt;AO$7)),0,MAX(0,ROUND((INDEX($E635:$G635,AO$5)-SUMIFS(TF_Timer,TF_Tekniker,AO$4,TF_Dato,$A635))*2,0)/2)))</f>
        <v/>
      </c>
      <c r="AP635">
        <f>IF(OR(AP$4="",$A635&gt;TODAY()),0,IF(OR(INDEX($B635:$D635,AP$5)="F",AND(AP$6&gt;0,$A635&lt;AP$6),AND(AP$7&gt;0,$A635&gt;AP$7)),0,MAX(0,ROUND((INDEX($E635:$G635,AP$5)-SUMIFS(TF_Timer,TF_Tekniker,AP$4,TF_Dato,$A635))*2,0)/2)))</f>
        <v/>
      </c>
      <c r="AQ635">
        <f>IF(OR(AQ$4="",$A635&gt;TODAY()),0,IF(OR(INDEX($B635:$D635,AQ$5)="F",AND(AQ$6&gt;0,$A635&lt;AQ$6),AND(AQ$7&gt;0,$A635&gt;AQ$7)),0,MAX(0,ROUND((INDEX($E635:$G635,AQ$5)-SUMIFS(TF_Timer,TF_Tekniker,AQ$4,TF_Dato,$A635))*2,0)/2)))</f>
        <v/>
      </c>
      <c r="AR635">
        <f>IF(OR(AR$4="",$A635&gt;TODAY()),0,IF(OR(INDEX($B635:$D635,AR$5)="F",AND(AR$6&gt;0,$A635&lt;AR$6),AND(AR$7&gt;0,$A635&gt;AR$7)),0,MAX(0,ROUND((INDEX($E635:$G635,AR$5)-SUMIFS(TF_Timer,TF_Tekniker,AR$4,TF_Dato,$A635))*2,0)/2)))</f>
        <v/>
      </c>
      <c r="AS635">
        <f>IF(OR(AS$4="",$A635&gt;TODAY()),0,IF(OR(INDEX($B635:$D635,AS$5)="F",AND(AS$6&gt;0,$A635&lt;AS$6),AND(AS$7&gt;0,$A635&gt;AS$7)),0,MAX(0,ROUND((INDEX($E635:$G635,AS$5)-SUMIFS(TF_Timer,TF_Tekniker,AS$4,TF_Dato,$A635))*2,0)/2)))</f>
        <v/>
      </c>
      <c r="AT635">
        <f>IF(OR(AT$4="",$A635&gt;TODAY()),0,IF(OR(INDEX($B635:$D635,AT$5)="F",AND(AT$6&gt;0,$A635&lt;AT$6),AND(AT$7&gt;0,$A635&gt;AT$7)),0,MAX(0,ROUND((INDEX($E635:$G635,AT$5)-SUMIFS(TF_Timer,TF_Tekniker,AT$4,TF_Dato,$A635))*2,0)/2)))</f>
        <v/>
      </c>
      <c r="AU635">
        <f>IF(OR(AU$4="",$A635&gt;TODAY()),0,IF(OR(INDEX($B635:$D635,AU$5)="F",AND(AU$6&gt;0,$A635&lt;AU$6),AND(AU$7&gt;0,$A635&gt;AU$7)),0,MAX(0,ROUND((INDEX($E635:$G635,AU$5)-SUMIFS(TF_Timer,TF_Tekniker,AU$4,TF_Dato,$A635))*2,0)/2)))</f>
        <v/>
      </c>
      <c r="AV635">
        <f>IF(OR(AV$4="",$A635&gt;TODAY()),0,IF(OR(INDEX($B635:$D635,AV$5)="F",AND(AV$6&gt;0,$A635&lt;AV$6),AND(AV$7&gt;0,$A635&gt;AV$7)),0,MAX(0,ROUND((INDEX($E635:$G635,AV$5)-SUMIFS(TF_Timer,TF_Tekniker,AV$4,TF_Dato,$A635))*2,0)/2)))</f>
        <v/>
      </c>
      <c r="AW635">
        <f>IF(OR(AW$4="",$A635&gt;TODAY()),0,IF(OR(INDEX($B635:$D635,AW$5)="F",AND(AW$6&gt;0,$A635&lt;AW$6),AND(AW$7&gt;0,$A635&gt;AW$7)),0,MAX(0,ROUND((INDEX($E635:$G635,AW$5)-SUMIFS(TF_Timer,TF_Tekniker,AW$4,TF_Dato,$A635))*2,0)/2)))</f>
        <v/>
      </c>
      <c r="AX635">
        <f>IF(OR(AX$4="",$A635&gt;TODAY()),0,IF(OR(INDEX($B635:$D635,AX$5)="F",AND(AX$6&gt;0,$A635&lt;AX$6),AND(AX$7&gt;0,$A635&gt;AX$7)),0,MAX(0,ROUND((INDEX($E635:$G635,AX$5)-SUMIFS(TF_Timer,TF_Tekniker,AX$4,TF_Dato,$A635))*2,0)/2)))</f>
        <v/>
      </c>
      <c r="AY635">
        <f>IF(OR(AY$4="",$A635&gt;TODAY()),0,IF(OR(INDEX($B635:$D635,AY$5)="F",AND(AY$6&gt;0,$A635&lt;AY$6),AND(AY$7&gt;0,$A635&gt;AY$7)),0,MAX(0,ROUND((INDEX($E635:$G635,AY$5)-SUMIFS(TF_Timer,TF_Tekniker,AY$4,TF_Dato,$A635))*2,0)/2)))</f>
        <v/>
      </c>
      <c r="AZ635">
        <f>IF(OR(AZ$4="",$A635&gt;TODAY()),0,IF(OR(INDEX($B635:$D635,AZ$5)="F",AND(AZ$6&gt;0,$A635&lt;AZ$6),AND(AZ$7&gt;0,$A635&gt;AZ$7)),0,MAX(0,ROUND((INDEX($E635:$G635,AZ$5)-SUMIFS(TF_Timer,TF_Tekniker,AZ$4,TF_Dato,$A635))*2,0)/2)))</f>
        <v/>
      </c>
      <c r="BA635">
        <f>IF(OR(BA$4="",$A635&gt;TODAY()),0,IF(OR(INDEX($B635:$D635,BA$5)="F",AND(BA$6&gt;0,$A635&lt;BA$6),AND(BA$7&gt;0,$A635&gt;BA$7)),0,MAX(0,ROUND((INDEX($E635:$G635,BA$5)-SUMIFS(TF_Timer,TF_Tekniker,BA$4,TF_Dato,$A635))*2,0)/2)))</f>
        <v/>
      </c>
      <c r="BB635">
        <f>IF(OR(BB$4="",$A635&gt;TODAY()),0,IF(OR(INDEX($B635:$D635,BB$5)="F",AND(BB$6&gt;0,$A635&lt;BB$6),AND(BB$7&gt;0,$A635&gt;BB$7)),0,MAX(0,ROUND((INDEX($E635:$G635,BB$5)-SUMIFS(TF_Timer,TF_Tekniker,BB$4,TF_Dato,$A635))*2,0)/2)))</f>
        <v/>
      </c>
      <c r="BC635">
        <f>IF(OR(BC$4="",$A635&gt;TODAY()),0,IF(OR(INDEX($B635:$D635,BC$5)="F",AND(BC$6&gt;0,$A635&lt;BC$6),AND(BC$7&gt;0,$A635&gt;BC$7)),0,MAX(0,ROUND((INDEX($E635:$G635,BC$5)-SUMIFS(TF_Timer,TF_Tekniker,BC$4,TF_Dato,$A635))*2,0)/2)))</f>
        <v/>
      </c>
      <c r="BD635">
        <f>IF(OR(BD$4="",$A635&gt;TODAY()),0,IF(OR(INDEX($B635:$D635,BD$5)="F",AND(BD$6&gt;0,$A635&lt;BD$6),AND(BD$7&gt;0,$A635&gt;BD$7)),0,MAX(0,ROUND((INDEX($E635:$G635,BD$5)-SUMIFS(TF_Timer,TF_Tekniker,BD$4,TF_Dato,$A635))*2,0)/2)))</f>
        <v/>
      </c>
      <c r="BE635">
        <f>IF(OR(BE$4="",$A635&gt;TODAY()),0,IF(OR(INDEX($B635:$D635,BE$5)="F",AND(BE$6&gt;0,$A635&lt;BE$6),AND(BE$7&gt;0,$A635&gt;BE$7)),0,MAX(0,ROUND((INDEX($E635:$G635,BE$5)-SUMIFS(TF_Timer,TF_Tekniker,BE$4,TF_Dato,$A635))*2,0)/2)))</f>
        <v/>
      </c>
      <c r="BF635">
        <f>IF(OR(BF$4="",$A635&gt;TODAY()),0,IF(OR(INDEX($B635:$D635,BF$5)="F",AND(BF$6&gt;0,$A635&lt;BF$6),AND(BF$7&gt;0,$A635&gt;BF$7)),0,MAX(0,ROUND((INDEX($E635:$G635,BF$5)-SUMIFS(TF_Timer,TF_Tekniker,BF$4,TF_Dato,$A635))*2,0)/2)))</f>
        <v/>
      </c>
      <c r="BG635">
        <f>IF(OR(BG$4="",$A635&gt;TODAY()),0,IF(OR(INDEX($B635:$D635,BG$5)="F",AND(BG$6&gt;0,$A635&lt;BG$6),AND(BG$7&gt;0,$A635&gt;BG$7)),0,MAX(0,ROUND((INDEX($E635:$G635,BG$5)-SUMIFS(TF_Timer,TF_Tekniker,BG$4,TF_Dato,$A635))*2,0)/2)))</f>
        <v/>
      </c>
      <c r="BH635">
        <f>IF(OR(BH$4="",$A635&gt;TODAY()),0,IF(OR(INDEX($B635:$D635,BH$5)="F",AND(BH$6&gt;0,$A635&lt;BH$6),AND(BH$7&gt;0,$A635&gt;BH$7)),0,MAX(0,ROUND((INDEX($E635:$G635,BH$5)-SUMIFS(TF_Timer,TF_Tekniker,BH$4,TF_Dato,$A635))*2,0)/2)))</f>
        <v/>
      </c>
      <c r="BI635">
        <f>IF(OR(BI$4="",$A635&gt;TODAY()),0,IF(OR(INDEX($B635:$D635,BI$5)="F",AND(BI$6&gt;0,$A635&lt;BI$6),AND(BI$7&gt;0,$A635&gt;BI$7)),0,MAX(0,ROUND((INDEX($E635:$G635,BI$5)-SUMIFS(TF_Timer,TF_Tekniker,BI$4,TF_Dato,$A635))*2,0)/2)))</f>
        <v/>
      </c>
    </row>
    <row r="636">
      <c r="A636" s="64">
        <f>A635+1</f>
        <v/>
      </c>
      <c r="B636">
        <f>IF(MOD($A636-INDEX(SkiftStart,1),Syklus)&lt;DagK,"K",IF(MOD($A636-INDEX(SkiftStart,1),Syklus)&lt;DagK+DagH,"H",IF(MOD($A636-INDEX(SkiftStart,1),Syklus)&lt;DagK+DagH+DagD,"D","F")))</f>
        <v/>
      </c>
      <c r="C636">
        <f>IF(MOD($A636-INDEX(SkiftStart,2),Syklus)&lt;DagK,"K",IF(MOD($A636-INDEX(SkiftStart,2),Syklus)&lt;DagK+DagH,"H",IF(MOD($A636-INDEX(SkiftStart,2),Syklus)&lt;DagK+DagH+DagD,"D","F")))</f>
        <v/>
      </c>
      <c r="D636">
        <f>IF(MOD($A636-INDEX(SkiftStart,3),Syklus)&lt;DagK,"K",IF(MOD($A636-INDEX(SkiftStart,3),Syklus)&lt;DagK+DagH,"H",IF(MOD($A636-INDEX(SkiftStart,3),Syklus)&lt;DagK+DagH+DagD,"D","F")))</f>
        <v/>
      </c>
      <c r="E636">
        <f>IF(B636="F",0,IF(WEEKDAY($A636,2)=5,INDEX(TimerFr,MATCH(B636,FaseKode,0)),INDEX(TimerMT,MATCH(B636,FaseKode,0))))</f>
        <v/>
      </c>
      <c r="F636">
        <f>IF(C636="F",0,IF(WEEKDAY($A636,2)=5,INDEX(TimerFr,MATCH(C636,FaseKode,0)),INDEX(TimerMT,MATCH(C636,FaseKode,0))))</f>
        <v/>
      </c>
      <c r="G636">
        <f>IF(D636="F",0,IF(WEEKDAY($A636,2)=5,INDEX(TimerFr,MATCH(D636,FaseKode,0)),INDEX(TimerMT,MATCH(D636,FaseKode,0))))</f>
        <v/>
      </c>
      <c r="H636">
        <f>IF(OR(H$4="",$A636&gt;TODAY()),0,IF(OR(INDEX($B636:$D636,H$5)="F",AND(H$6&gt;0,$A636&lt;H$6),AND(H$7&gt;0,$A636&gt;H$7)),0,MAX(0,ROUND((INDEX($E636:$G636,H$5)-SUMIFS(TF_Timer,TF_Tekniker,H$4,TF_Dato,$A636))*2,0)/2)))</f>
        <v/>
      </c>
      <c r="I636">
        <f>IF(OR(I$4="",$A636&gt;TODAY()),0,IF(OR(INDEX($B636:$D636,I$5)="F",AND(I$6&gt;0,$A636&lt;I$6),AND(I$7&gt;0,$A636&gt;I$7)),0,MAX(0,ROUND((INDEX($E636:$G636,I$5)-SUMIFS(TF_Timer,TF_Tekniker,I$4,TF_Dato,$A636))*2,0)/2)))</f>
        <v/>
      </c>
      <c r="J636">
        <f>IF(OR(J$4="",$A636&gt;TODAY()),0,IF(OR(INDEX($B636:$D636,J$5)="F",AND(J$6&gt;0,$A636&lt;J$6),AND(J$7&gt;0,$A636&gt;J$7)),0,MAX(0,ROUND((INDEX($E636:$G636,J$5)-SUMIFS(TF_Timer,TF_Tekniker,J$4,TF_Dato,$A636))*2,0)/2)))</f>
        <v/>
      </c>
      <c r="K636">
        <f>IF(OR(K$4="",$A636&gt;TODAY()),0,IF(OR(INDEX($B636:$D636,K$5)="F",AND(K$6&gt;0,$A636&lt;K$6),AND(K$7&gt;0,$A636&gt;K$7)),0,MAX(0,ROUND((INDEX($E636:$G636,K$5)-SUMIFS(TF_Timer,TF_Tekniker,K$4,TF_Dato,$A636))*2,0)/2)))</f>
        <v/>
      </c>
      <c r="L636">
        <f>IF(OR(L$4="",$A636&gt;TODAY()),0,IF(OR(INDEX($B636:$D636,L$5)="F",AND(L$6&gt;0,$A636&lt;L$6),AND(L$7&gt;0,$A636&gt;L$7)),0,MAX(0,ROUND((INDEX($E636:$G636,L$5)-SUMIFS(TF_Timer,TF_Tekniker,L$4,TF_Dato,$A636))*2,0)/2)))</f>
        <v/>
      </c>
      <c r="M636">
        <f>IF(OR(M$4="",$A636&gt;TODAY()),0,IF(OR(INDEX($B636:$D636,M$5)="F",AND(M$6&gt;0,$A636&lt;M$6),AND(M$7&gt;0,$A636&gt;M$7)),0,MAX(0,ROUND((INDEX($E636:$G636,M$5)-SUMIFS(TF_Timer,TF_Tekniker,M$4,TF_Dato,$A636))*2,0)/2)))</f>
        <v/>
      </c>
      <c r="N636">
        <f>IF(OR(N$4="",$A636&gt;TODAY()),0,IF(OR(INDEX($B636:$D636,N$5)="F",AND(N$6&gt;0,$A636&lt;N$6),AND(N$7&gt;0,$A636&gt;N$7)),0,MAX(0,ROUND((INDEX($E636:$G636,N$5)-SUMIFS(TF_Timer,TF_Tekniker,N$4,TF_Dato,$A636))*2,0)/2)))</f>
        <v/>
      </c>
      <c r="O636">
        <f>IF(OR(O$4="",$A636&gt;TODAY()),0,IF(OR(INDEX($B636:$D636,O$5)="F",AND(O$6&gt;0,$A636&lt;O$6),AND(O$7&gt;0,$A636&gt;O$7)),0,MAX(0,ROUND((INDEX($E636:$G636,O$5)-SUMIFS(TF_Timer,TF_Tekniker,O$4,TF_Dato,$A636))*2,0)/2)))</f>
        <v/>
      </c>
      <c r="P636">
        <f>IF(OR(P$4="",$A636&gt;TODAY()),0,IF(OR(INDEX($B636:$D636,P$5)="F",AND(P$6&gt;0,$A636&lt;P$6),AND(P$7&gt;0,$A636&gt;P$7)),0,MAX(0,ROUND((INDEX($E636:$G636,P$5)-SUMIFS(TF_Timer,TF_Tekniker,P$4,TF_Dato,$A636))*2,0)/2)))</f>
        <v/>
      </c>
      <c r="Q636">
        <f>IF(OR(Q$4="",$A636&gt;TODAY()),0,IF(OR(INDEX($B636:$D636,Q$5)="F",AND(Q$6&gt;0,$A636&lt;Q$6),AND(Q$7&gt;0,$A636&gt;Q$7)),0,MAX(0,ROUND((INDEX($E636:$G636,Q$5)-SUMIFS(TF_Timer,TF_Tekniker,Q$4,TF_Dato,$A636))*2,0)/2)))</f>
        <v/>
      </c>
      <c r="R636">
        <f>IF(OR(R$4="",$A636&gt;TODAY()),0,IF(OR(INDEX($B636:$D636,R$5)="F",AND(R$6&gt;0,$A636&lt;R$6),AND(R$7&gt;0,$A636&gt;R$7)),0,MAX(0,ROUND((INDEX($E636:$G636,R$5)-SUMIFS(TF_Timer,TF_Tekniker,R$4,TF_Dato,$A636))*2,0)/2)))</f>
        <v/>
      </c>
      <c r="S636">
        <f>IF(OR(S$4="",$A636&gt;TODAY()),0,IF(OR(INDEX($B636:$D636,S$5)="F",AND(S$6&gt;0,$A636&lt;S$6),AND(S$7&gt;0,$A636&gt;S$7)),0,MAX(0,ROUND((INDEX($E636:$G636,S$5)-SUMIFS(TF_Timer,TF_Tekniker,S$4,TF_Dato,$A636))*2,0)/2)))</f>
        <v/>
      </c>
      <c r="T636">
        <f>IF(OR(T$4="",$A636&gt;TODAY()),0,IF(OR(INDEX($B636:$D636,T$5)="F",AND(T$6&gt;0,$A636&lt;T$6),AND(T$7&gt;0,$A636&gt;T$7)),0,MAX(0,ROUND((INDEX($E636:$G636,T$5)-SUMIFS(TF_Timer,TF_Tekniker,T$4,TF_Dato,$A636))*2,0)/2)))</f>
        <v/>
      </c>
      <c r="U636">
        <f>IF(OR(U$4="",$A636&gt;TODAY()),0,IF(OR(INDEX($B636:$D636,U$5)="F",AND(U$6&gt;0,$A636&lt;U$6),AND(U$7&gt;0,$A636&gt;U$7)),0,MAX(0,ROUND((INDEX($E636:$G636,U$5)-SUMIFS(TF_Timer,TF_Tekniker,U$4,TF_Dato,$A636))*2,0)/2)))</f>
        <v/>
      </c>
      <c r="V636">
        <f>IF(OR(V$4="",$A636&gt;TODAY()),0,IF(OR(INDEX($B636:$D636,V$5)="F",AND(V$6&gt;0,$A636&lt;V$6),AND(V$7&gt;0,$A636&gt;V$7)),0,MAX(0,ROUND((INDEX($E636:$G636,V$5)-SUMIFS(TF_Timer,TF_Tekniker,V$4,TF_Dato,$A636))*2,0)/2)))</f>
        <v/>
      </c>
      <c r="W636">
        <f>IF(OR(W$4="",$A636&gt;TODAY()),0,IF(OR(INDEX($B636:$D636,W$5)="F",AND(W$6&gt;0,$A636&lt;W$6),AND(W$7&gt;0,$A636&gt;W$7)),0,MAX(0,ROUND((INDEX($E636:$G636,W$5)-SUMIFS(TF_Timer,TF_Tekniker,W$4,TF_Dato,$A636))*2,0)/2)))</f>
        <v/>
      </c>
      <c r="X636">
        <f>IF(OR(X$4="",$A636&gt;TODAY()),0,IF(OR(INDEX($B636:$D636,X$5)="F",AND(X$6&gt;0,$A636&lt;X$6),AND(X$7&gt;0,$A636&gt;X$7)),0,MAX(0,ROUND((INDEX($E636:$G636,X$5)-SUMIFS(TF_Timer,TF_Tekniker,X$4,TF_Dato,$A636))*2,0)/2)))</f>
        <v/>
      </c>
      <c r="Y636">
        <f>IF(OR(Y$4="",$A636&gt;TODAY()),0,IF(OR(INDEX($B636:$D636,Y$5)="F",AND(Y$6&gt;0,$A636&lt;Y$6),AND(Y$7&gt;0,$A636&gt;Y$7)),0,MAX(0,ROUND((INDEX($E636:$G636,Y$5)-SUMIFS(TF_Timer,TF_Tekniker,Y$4,TF_Dato,$A636))*2,0)/2)))</f>
        <v/>
      </c>
      <c r="Z636">
        <f>IF(OR(Z$4="",$A636&gt;TODAY()),0,IF(OR(INDEX($B636:$D636,Z$5)="F",AND(Z$6&gt;0,$A636&lt;Z$6),AND(Z$7&gt;0,$A636&gt;Z$7)),0,MAX(0,ROUND((INDEX($E636:$G636,Z$5)-SUMIFS(TF_Timer,TF_Tekniker,Z$4,TF_Dato,$A636))*2,0)/2)))</f>
        <v/>
      </c>
      <c r="AA636">
        <f>IF(OR(AA$4="",$A636&gt;TODAY()),0,IF(OR(INDEX($B636:$D636,AA$5)="F",AND(AA$6&gt;0,$A636&lt;AA$6),AND(AA$7&gt;0,$A636&gt;AA$7)),0,MAX(0,ROUND((INDEX($E636:$G636,AA$5)-SUMIFS(TF_Timer,TF_Tekniker,AA$4,TF_Dato,$A636))*2,0)/2)))</f>
        <v/>
      </c>
      <c r="AB636">
        <f>IF(OR(AB$4="",$A636&gt;TODAY()),0,IF(OR(INDEX($B636:$D636,AB$5)="F",AND(AB$6&gt;0,$A636&lt;AB$6),AND(AB$7&gt;0,$A636&gt;AB$7)),0,MAX(0,ROUND((INDEX($E636:$G636,AB$5)-SUMIFS(TF_Timer,TF_Tekniker,AB$4,TF_Dato,$A636))*2,0)/2)))</f>
        <v/>
      </c>
      <c r="AC636">
        <f>IF(OR(AC$4="",$A636&gt;TODAY()),0,IF(OR(INDEX($B636:$D636,AC$5)="F",AND(AC$6&gt;0,$A636&lt;AC$6),AND(AC$7&gt;0,$A636&gt;AC$7)),0,MAX(0,ROUND((INDEX($E636:$G636,AC$5)-SUMIFS(TF_Timer,TF_Tekniker,AC$4,TF_Dato,$A636))*2,0)/2)))</f>
        <v/>
      </c>
      <c r="AD636">
        <f>IF(OR(AD$4="",$A636&gt;TODAY()),0,IF(OR(INDEX($B636:$D636,AD$5)="F",AND(AD$6&gt;0,$A636&lt;AD$6),AND(AD$7&gt;0,$A636&gt;AD$7)),0,MAX(0,ROUND((INDEX($E636:$G636,AD$5)-SUMIFS(TF_Timer,TF_Tekniker,AD$4,TF_Dato,$A636))*2,0)/2)))</f>
        <v/>
      </c>
      <c r="AE636">
        <f>IF(OR(AE$4="",$A636&gt;TODAY()),0,IF(OR(INDEX($B636:$D636,AE$5)="F",AND(AE$6&gt;0,$A636&lt;AE$6),AND(AE$7&gt;0,$A636&gt;AE$7)),0,MAX(0,ROUND((INDEX($E636:$G636,AE$5)-SUMIFS(TF_Timer,TF_Tekniker,AE$4,TF_Dato,$A636))*2,0)/2)))</f>
        <v/>
      </c>
      <c r="AF636">
        <f>IF(OR(AF$4="",$A636&gt;TODAY()),0,IF(OR(INDEX($B636:$D636,AF$5)="F",AND(AF$6&gt;0,$A636&lt;AF$6),AND(AF$7&gt;0,$A636&gt;AF$7)),0,MAX(0,ROUND((INDEX($E636:$G636,AF$5)-SUMIFS(TF_Timer,TF_Tekniker,AF$4,TF_Dato,$A636))*2,0)/2)))</f>
        <v/>
      </c>
      <c r="AG636">
        <f>IF(OR(AG$4="",$A636&gt;TODAY()),0,IF(OR(INDEX($B636:$D636,AG$5)="F",AND(AG$6&gt;0,$A636&lt;AG$6),AND(AG$7&gt;0,$A636&gt;AG$7)),0,MAX(0,ROUND((INDEX($E636:$G636,AG$5)-SUMIFS(TF_Timer,TF_Tekniker,AG$4,TF_Dato,$A636))*2,0)/2)))</f>
        <v/>
      </c>
      <c r="AH636">
        <f>IF(OR(AH$4="",$A636&gt;TODAY()),0,IF(OR(INDEX($B636:$D636,AH$5)="F",AND(AH$6&gt;0,$A636&lt;AH$6),AND(AH$7&gt;0,$A636&gt;AH$7)),0,MAX(0,ROUND((INDEX($E636:$G636,AH$5)-SUMIFS(TF_Timer,TF_Tekniker,AH$4,TF_Dato,$A636))*2,0)/2)))</f>
        <v/>
      </c>
      <c r="AI636">
        <f>IF(OR(AI$4="",$A636&gt;TODAY()),0,IF(OR(INDEX($B636:$D636,AI$5)="F",AND(AI$6&gt;0,$A636&lt;AI$6),AND(AI$7&gt;0,$A636&gt;AI$7)),0,MAX(0,ROUND((INDEX($E636:$G636,AI$5)-SUMIFS(TF_Timer,TF_Tekniker,AI$4,TF_Dato,$A636))*2,0)/2)))</f>
        <v/>
      </c>
      <c r="AJ636">
        <f>IF(OR(AJ$4="",$A636&gt;TODAY()),0,IF(OR(INDEX($B636:$D636,AJ$5)="F",AND(AJ$6&gt;0,$A636&lt;AJ$6),AND(AJ$7&gt;0,$A636&gt;AJ$7)),0,MAX(0,ROUND((INDEX($E636:$G636,AJ$5)-SUMIFS(TF_Timer,TF_Tekniker,AJ$4,TF_Dato,$A636))*2,0)/2)))</f>
        <v/>
      </c>
      <c r="AK636">
        <f>IF(OR(AK$4="",$A636&gt;TODAY()),0,IF(OR(INDEX($B636:$D636,AK$5)="F",AND(AK$6&gt;0,$A636&lt;AK$6),AND(AK$7&gt;0,$A636&gt;AK$7)),0,MAX(0,ROUND((INDEX($E636:$G636,AK$5)-SUMIFS(TF_Timer,TF_Tekniker,AK$4,TF_Dato,$A636))*2,0)/2)))</f>
        <v/>
      </c>
      <c r="AL636">
        <f>IF(OR(AL$4="",$A636&gt;TODAY()),0,IF(OR(INDEX($B636:$D636,AL$5)="F",AND(AL$6&gt;0,$A636&lt;AL$6),AND(AL$7&gt;0,$A636&gt;AL$7)),0,MAX(0,ROUND((INDEX($E636:$G636,AL$5)-SUMIFS(TF_Timer,TF_Tekniker,AL$4,TF_Dato,$A636))*2,0)/2)))</f>
        <v/>
      </c>
      <c r="AM636">
        <f>IF(OR(AM$4="",$A636&gt;TODAY()),0,IF(OR(INDEX($B636:$D636,AM$5)="F",AND(AM$6&gt;0,$A636&lt;AM$6),AND(AM$7&gt;0,$A636&gt;AM$7)),0,MAX(0,ROUND((INDEX($E636:$G636,AM$5)-SUMIFS(TF_Timer,TF_Tekniker,AM$4,TF_Dato,$A636))*2,0)/2)))</f>
        <v/>
      </c>
      <c r="AN636">
        <f>IF(OR(AN$4="",$A636&gt;TODAY()),0,IF(OR(INDEX($B636:$D636,AN$5)="F",AND(AN$6&gt;0,$A636&lt;AN$6),AND(AN$7&gt;0,$A636&gt;AN$7)),0,MAX(0,ROUND((INDEX($E636:$G636,AN$5)-SUMIFS(TF_Timer,TF_Tekniker,AN$4,TF_Dato,$A636))*2,0)/2)))</f>
        <v/>
      </c>
      <c r="AO636">
        <f>IF(OR(AO$4="",$A636&gt;TODAY()),0,IF(OR(INDEX($B636:$D636,AO$5)="F",AND(AO$6&gt;0,$A636&lt;AO$6),AND(AO$7&gt;0,$A636&gt;AO$7)),0,MAX(0,ROUND((INDEX($E636:$G636,AO$5)-SUMIFS(TF_Timer,TF_Tekniker,AO$4,TF_Dato,$A636))*2,0)/2)))</f>
        <v/>
      </c>
      <c r="AP636">
        <f>IF(OR(AP$4="",$A636&gt;TODAY()),0,IF(OR(INDEX($B636:$D636,AP$5)="F",AND(AP$6&gt;0,$A636&lt;AP$6),AND(AP$7&gt;0,$A636&gt;AP$7)),0,MAX(0,ROUND((INDEX($E636:$G636,AP$5)-SUMIFS(TF_Timer,TF_Tekniker,AP$4,TF_Dato,$A636))*2,0)/2)))</f>
        <v/>
      </c>
      <c r="AQ636">
        <f>IF(OR(AQ$4="",$A636&gt;TODAY()),0,IF(OR(INDEX($B636:$D636,AQ$5)="F",AND(AQ$6&gt;0,$A636&lt;AQ$6),AND(AQ$7&gt;0,$A636&gt;AQ$7)),0,MAX(0,ROUND((INDEX($E636:$G636,AQ$5)-SUMIFS(TF_Timer,TF_Tekniker,AQ$4,TF_Dato,$A636))*2,0)/2)))</f>
        <v/>
      </c>
      <c r="AR636">
        <f>IF(OR(AR$4="",$A636&gt;TODAY()),0,IF(OR(INDEX($B636:$D636,AR$5)="F",AND(AR$6&gt;0,$A636&lt;AR$6),AND(AR$7&gt;0,$A636&gt;AR$7)),0,MAX(0,ROUND((INDEX($E636:$G636,AR$5)-SUMIFS(TF_Timer,TF_Tekniker,AR$4,TF_Dato,$A636))*2,0)/2)))</f>
        <v/>
      </c>
      <c r="AS636">
        <f>IF(OR(AS$4="",$A636&gt;TODAY()),0,IF(OR(INDEX($B636:$D636,AS$5)="F",AND(AS$6&gt;0,$A636&lt;AS$6),AND(AS$7&gt;0,$A636&gt;AS$7)),0,MAX(0,ROUND((INDEX($E636:$G636,AS$5)-SUMIFS(TF_Timer,TF_Tekniker,AS$4,TF_Dato,$A636))*2,0)/2)))</f>
        <v/>
      </c>
      <c r="AT636">
        <f>IF(OR(AT$4="",$A636&gt;TODAY()),0,IF(OR(INDEX($B636:$D636,AT$5)="F",AND(AT$6&gt;0,$A636&lt;AT$6),AND(AT$7&gt;0,$A636&gt;AT$7)),0,MAX(0,ROUND((INDEX($E636:$G636,AT$5)-SUMIFS(TF_Timer,TF_Tekniker,AT$4,TF_Dato,$A636))*2,0)/2)))</f>
        <v/>
      </c>
      <c r="AU636">
        <f>IF(OR(AU$4="",$A636&gt;TODAY()),0,IF(OR(INDEX($B636:$D636,AU$5)="F",AND(AU$6&gt;0,$A636&lt;AU$6),AND(AU$7&gt;0,$A636&gt;AU$7)),0,MAX(0,ROUND((INDEX($E636:$G636,AU$5)-SUMIFS(TF_Timer,TF_Tekniker,AU$4,TF_Dato,$A636))*2,0)/2)))</f>
        <v/>
      </c>
      <c r="AV636">
        <f>IF(OR(AV$4="",$A636&gt;TODAY()),0,IF(OR(INDEX($B636:$D636,AV$5)="F",AND(AV$6&gt;0,$A636&lt;AV$6),AND(AV$7&gt;0,$A636&gt;AV$7)),0,MAX(0,ROUND((INDEX($E636:$G636,AV$5)-SUMIFS(TF_Timer,TF_Tekniker,AV$4,TF_Dato,$A636))*2,0)/2)))</f>
        <v/>
      </c>
      <c r="AW636">
        <f>IF(OR(AW$4="",$A636&gt;TODAY()),0,IF(OR(INDEX($B636:$D636,AW$5)="F",AND(AW$6&gt;0,$A636&lt;AW$6),AND(AW$7&gt;0,$A636&gt;AW$7)),0,MAX(0,ROUND((INDEX($E636:$G636,AW$5)-SUMIFS(TF_Timer,TF_Tekniker,AW$4,TF_Dato,$A636))*2,0)/2)))</f>
        <v/>
      </c>
      <c r="AX636">
        <f>IF(OR(AX$4="",$A636&gt;TODAY()),0,IF(OR(INDEX($B636:$D636,AX$5)="F",AND(AX$6&gt;0,$A636&lt;AX$6),AND(AX$7&gt;0,$A636&gt;AX$7)),0,MAX(0,ROUND((INDEX($E636:$G636,AX$5)-SUMIFS(TF_Timer,TF_Tekniker,AX$4,TF_Dato,$A636))*2,0)/2)))</f>
        <v/>
      </c>
      <c r="AY636">
        <f>IF(OR(AY$4="",$A636&gt;TODAY()),0,IF(OR(INDEX($B636:$D636,AY$5)="F",AND(AY$6&gt;0,$A636&lt;AY$6),AND(AY$7&gt;0,$A636&gt;AY$7)),0,MAX(0,ROUND((INDEX($E636:$G636,AY$5)-SUMIFS(TF_Timer,TF_Tekniker,AY$4,TF_Dato,$A636))*2,0)/2)))</f>
        <v/>
      </c>
      <c r="AZ636">
        <f>IF(OR(AZ$4="",$A636&gt;TODAY()),0,IF(OR(INDEX($B636:$D636,AZ$5)="F",AND(AZ$6&gt;0,$A636&lt;AZ$6),AND(AZ$7&gt;0,$A636&gt;AZ$7)),0,MAX(0,ROUND((INDEX($E636:$G636,AZ$5)-SUMIFS(TF_Timer,TF_Tekniker,AZ$4,TF_Dato,$A636))*2,0)/2)))</f>
        <v/>
      </c>
      <c r="BA636">
        <f>IF(OR(BA$4="",$A636&gt;TODAY()),0,IF(OR(INDEX($B636:$D636,BA$5)="F",AND(BA$6&gt;0,$A636&lt;BA$6),AND(BA$7&gt;0,$A636&gt;BA$7)),0,MAX(0,ROUND((INDEX($E636:$G636,BA$5)-SUMIFS(TF_Timer,TF_Tekniker,BA$4,TF_Dato,$A636))*2,0)/2)))</f>
        <v/>
      </c>
      <c r="BB636">
        <f>IF(OR(BB$4="",$A636&gt;TODAY()),0,IF(OR(INDEX($B636:$D636,BB$5)="F",AND(BB$6&gt;0,$A636&lt;BB$6),AND(BB$7&gt;0,$A636&gt;BB$7)),0,MAX(0,ROUND((INDEX($E636:$G636,BB$5)-SUMIFS(TF_Timer,TF_Tekniker,BB$4,TF_Dato,$A636))*2,0)/2)))</f>
        <v/>
      </c>
      <c r="BC636">
        <f>IF(OR(BC$4="",$A636&gt;TODAY()),0,IF(OR(INDEX($B636:$D636,BC$5)="F",AND(BC$6&gt;0,$A636&lt;BC$6),AND(BC$7&gt;0,$A636&gt;BC$7)),0,MAX(0,ROUND((INDEX($E636:$G636,BC$5)-SUMIFS(TF_Timer,TF_Tekniker,BC$4,TF_Dato,$A636))*2,0)/2)))</f>
        <v/>
      </c>
      <c r="BD636">
        <f>IF(OR(BD$4="",$A636&gt;TODAY()),0,IF(OR(INDEX($B636:$D636,BD$5)="F",AND(BD$6&gt;0,$A636&lt;BD$6),AND(BD$7&gt;0,$A636&gt;BD$7)),0,MAX(0,ROUND((INDEX($E636:$G636,BD$5)-SUMIFS(TF_Timer,TF_Tekniker,BD$4,TF_Dato,$A636))*2,0)/2)))</f>
        <v/>
      </c>
      <c r="BE636">
        <f>IF(OR(BE$4="",$A636&gt;TODAY()),0,IF(OR(INDEX($B636:$D636,BE$5)="F",AND(BE$6&gt;0,$A636&lt;BE$6),AND(BE$7&gt;0,$A636&gt;BE$7)),0,MAX(0,ROUND((INDEX($E636:$G636,BE$5)-SUMIFS(TF_Timer,TF_Tekniker,BE$4,TF_Dato,$A636))*2,0)/2)))</f>
        <v/>
      </c>
      <c r="BF636">
        <f>IF(OR(BF$4="",$A636&gt;TODAY()),0,IF(OR(INDEX($B636:$D636,BF$5)="F",AND(BF$6&gt;0,$A636&lt;BF$6),AND(BF$7&gt;0,$A636&gt;BF$7)),0,MAX(0,ROUND((INDEX($E636:$G636,BF$5)-SUMIFS(TF_Timer,TF_Tekniker,BF$4,TF_Dato,$A636))*2,0)/2)))</f>
        <v/>
      </c>
      <c r="BG636">
        <f>IF(OR(BG$4="",$A636&gt;TODAY()),0,IF(OR(INDEX($B636:$D636,BG$5)="F",AND(BG$6&gt;0,$A636&lt;BG$6),AND(BG$7&gt;0,$A636&gt;BG$7)),0,MAX(0,ROUND((INDEX($E636:$G636,BG$5)-SUMIFS(TF_Timer,TF_Tekniker,BG$4,TF_Dato,$A636))*2,0)/2)))</f>
        <v/>
      </c>
      <c r="BH636">
        <f>IF(OR(BH$4="",$A636&gt;TODAY()),0,IF(OR(INDEX($B636:$D636,BH$5)="F",AND(BH$6&gt;0,$A636&lt;BH$6),AND(BH$7&gt;0,$A636&gt;BH$7)),0,MAX(0,ROUND((INDEX($E636:$G636,BH$5)-SUMIFS(TF_Timer,TF_Tekniker,BH$4,TF_Dato,$A636))*2,0)/2)))</f>
        <v/>
      </c>
      <c r="BI636">
        <f>IF(OR(BI$4="",$A636&gt;TODAY()),0,IF(OR(INDEX($B636:$D636,BI$5)="F",AND(BI$6&gt;0,$A636&lt;BI$6),AND(BI$7&gt;0,$A636&gt;BI$7)),0,MAX(0,ROUND((INDEX($E636:$G636,BI$5)-SUMIFS(TF_Timer,TF_Tekniker,BI$4,TF_Dato,$A636))*2,0)/2)))</f>
        <v/>
      </c>
    </row>
    <row r="637">
      <c r="A637" s="64">
        <f>A636+1</f>
        <v/>
      </c>
      <c r="B637">
        <f>IF(MOD($A637-INDEX(SkiftStart,1),Syklus)&lt;DagK,"K",IF(MOD($A637-INDEX(SkiftStart,1),Syklus)&lt;DagK+DagH,"H",IF(MOD($A637-INDEX(SkiftStart,1),Syklus)&lt;DagK+DagH+DagD,"D","F")))</f>
        <v/>
      </c>
      <c r="C637">
        <f>IF(MOD($A637-INDEX(SkiftStart,2),Syklus)&lt;DagK,"K",IF(MOD($A637-INDEX(SkiftStart,2),Syklus)&lt;DagK+DagH,"H",IF(MOD($A637-INDEX(SkiftStart,2),Syklus)&lt;DagK+DagH+DagD,"D","F")))</f>
        <v/>
      </c>
      <c r="D637">
        <f>IF(MOD($A637-INDEX(SkiftStart,3),Syklus)&lt;DagK,"K",IF(MOD($A637-INDEX(SkiftStart,3),Syklus)&lt;DagK+DagH,"H",IF(MOD($A637-INDEX(SkiftStart,3),Syklus)&lt;DagK+DagH+DagD,"D","F")))</f>
        <v/>
      </c>
      <c r="E637">
        <f>IF(B637="F",0,IF(WEEKDAY($A637,2)=5,INDEX(TimerFr,MATCH(B637,FaseKode,0)),INDEX(TimerMT,MATCH(B637,FaseKode,0))))</f>
        <v/>
      </c>
      <c r="F637">
        <f>IF(C637="F",0,IF(WEEKDAY($A637,2)=5,INDEX(TimerFr,MATCH(C637,FaseKode,0)),INDEX(TimerMT,MATCH(C637,FaseKode,0))))</f>
        <v/>
      </c>
      <c r="G637">
        <f>IF(D637="F",0,IF(WEEKDAY($A637,2)=5,INDEX(TimerFr,MATCH(D637,FaseKode,0)),INDEX(TimerMT,MATCH(D637,FaseKode,0))))</f>
        <v/>
      </c>
      <c r="H637">
        <f>IF(OR(H$4="",$A637&gt;TODAY()),0,IF(OR(INDEX($B637:$D637,H$5)="F",AND(H$6&gt;0,$A637&lt;H$6),AND(H$7&gt;0,$A637&gt;H$7)),0,MAX(0,ROUND((INDEX($E637:$G637,H$5)-SUMIFS(TF_Timer,TF_Tekniker,H$4,TF_Dato,$A637))*2,0)/2)))</f>
        <v/>
      </c>
      <c r="I637">
        <f>IF(OR(I$4="",$A637&gt;TODAY()),0,IF(OR(INDEX($B637:$D637,I$5)="F",AND(I$6&gt;0,$A637&lt;I$6),AND(I$7&gt;0,$A637&gt;I$7)),0,MAX(0,ROUND((INDEX($E637:$G637,I$5)-SUMIFS(TF_Timer,TF_Tekniker,I$4,TF_Dato,$A637))*2,0)/2)))</f>
        <v/>
      </c>
      <c r="J637">
        <f>IF(OR(J$4="",$A637&gt;TODAY()),0,IF(OR(INDEX($B637:$D637,J$5)="F",AND(J$6&gt;0,$A637&lt;J$6),AND(J$7&gt;0,$A637&gt;J$7)),0,MAX(0,ROUND((INDEX($E637:$G637,J$5)-SUMIFS(TF_Timer,TF_Tekniker,J$4,TF_Dato,$A637))*2,0)/2)))</f>
        <v/>
      </c>
      <c r="K637">
        <f>IF(OR(K$4="",$A637&gt;TODAY()),0,IF(OR(INDEX($B637:$D637,K$5)="F",AND(K$6&gt;0,$A637&lt;K$6),AND(K$7&gt;0,$A637&gt;K$7)),0,MAX(0,ROUND((INDEX($E637:$G637,K$5)-SUMIFS(TF_Timer,TF_Tekniker,K$4,TF_Dato,$A637))*2,0)/2)))</f>
        <v/>
      </c>
      <c r="L637">
        <f>IF(OR(L$4="",$A637&gt;TODAY()),0,IF(OR(INDEX($B637:$D637,L$5)="F",AND(L$6&gt;0,$A637&lt;L$6),AND(L$7&gt;0,$A637&gt;L$7)),0,MAX(0,ROUND((INDEX($E637:$G637,L$5)-SUMIFS(TF_Timer,TF_Tekniker,L$4,TF_Dato,$A637))*2,0)/2)))</f>
        <v/>
      </c>
      <c r="M637">
        <f>IF(OR(M$4="",$A637&gt;TODAY()),0,IF(OR(INDEX($B637:$D637,M$5)="F",AND(M$6&gt;0,$A637&lt;M$6),AND(M$7&gt;0,$A637&gt;M$7)),0,MAX(0,ROUND((INDEX($E637:$G637,M$5)-SUMIFS(TF_Timer,TF_Tekniker,M$4,TF_Dato,$A637))*2,0)/2)))</f>
        <v/>
      </c>
      <c r="N637">
        <f>IF(OR(N$4="",$A637&gt;TODAY()),0,IF(OR(INDEX($B637:$D637,N$5)="F",AND(N$6&gt;0,$A637&lt;N$6),AND(N$7&gt;0,$A637&gt;N$7)),0,MAX(0,ROUND((INDEX($E637:$G637,N$5)-SUMIFS(TF_Timer,TF_Tekniker,N$4,TF_Dato,$A637))*2,0)/2)))</f>
        <v/>
      </c>
      <c r="O637">
        <f>IF(OR(O$4="",$A637&gt;TODAY()),0,IF(OR(INDEX($B637:$D637,O$5)="F",AND(O$6&gt;0,$A637&lt;O$6),AND(O$7&gt;0,$A637&gt;O$7)),0,MAX(0,ROUND((INDEX($E637:$G637,O$5)-SUMIFS(TF_Timer,TF_Tekniker,O$4,TF_Dato,$A637))*2,0)/2)))</f>
        <v/>
      </c>
      <c r="P637">
        <f>IF(OR(P$4="",$A637&gt;TODAY()),0,IF(OR(INDEX($B637:$D637,P$5)="F",AND(P$6&gt;0,$A637&lt;P$6),AND(P$7&gt;0,$A637&gt;P$7)),0,MAX(0,ROUND((INDEX($E637:$G637,P$5)-SUMIFS(TF_Timer,TF_Tekniker,P$4,TF_Dato,$A637))*2,0)/2)))</f>
        <v/>
      </c>
      <c r="Q637">
        <f>IF(OR(Q$4="",$A637&gt;TODAY()),0,IF(OR(INDEX($B637:$D637,Q$5)="F",AND(Q$6&gt;0,$A637&lt;Q$6),AND(Q$7&gt;0,$A637&gt;Q$7)),0,MAX(0,ROUND((INDEX($E637:$G637,Q$5)-SUMIFS(TF_Timer,TF_Tekniker,Q$4,TF_Dato,$A637))*2,0)/2)))</f>
        <v/>
      </c>
      <c r="R637">
        <f>IF(OR(R$4="",$A637&gt;TODAY()),0,IF(OR(INDEX($B637:$D637,R$5)="F",AND(R$6&gt;0,$A637&lt;R$6),AND(R$7&gt;0,$A637&gt;R$7)),0,MAX(0,ROUND((INDEX($E637:$G637,R$5)-SUMIFS(TF_Timer,TF_Tekniker,R$4,TF_Dato,$A637))*2,0)/2)))</f>
        <v/>
      </c>
      <c r="S637">
        <f>IF(OR(S$4="",$A637&gt;TODAY()),0,IF(OR(INDEX($B637:$D637,S$5)="F",AND(S$6&gt;0,$A637&lt;S$6),AND(S$7&gt;0,$A637&gt;S$7)),0,MAX(0,ROUND((INDEX($E637:$G637,S$5)-SUMIFS(TF_Timer,TF_Tekniker,S$4,TF_Dato,$A637))*2,0)/2)))</f>
        <v/>
      </c>
      <c r="T637">
        <f>IF(OR(T$4="",$A637&gt;TODAY()),0,IF(OR(INDEX($B637:$D637,T$5)="F",AND(T$6&gt;0,$A637&lt;T$6),AND(T$7&gt;0,$A637&gt;T$7)),0,MAX(0,ROUND((INDEX($E637:$G637,T$5)-SUMIFS(TF_Timer,TF_Tekniker,T$4,TF_Dato,$A637))*2,0)/2)))</f>
        <v/>
      </c>
      <c r="U637">
        <f>IF(OR(U$4="",$A637&gt;TODAY()),0,IF(OR(INDEX($B637:$D637,U$5)="F",AND(U$6&gt;0,$A637&lt;U$6),AND(U$7&gt;0,$A637&gt;U$7)),0,MAX(0,ROUND((INDEX($E637:$G637,U$5)-SUMIFS(TF_Timer,TF_Tekniker,U$4,TF_Dato,$A637))*2,0)/2)))</f>
        <v/>
      </c>
      <c r="V637">
        <f>IF(OR(V$4="",$A637&gt;TODAY()),0,IF(OR(INDEX($B637:$D637,V$5)="F",AND(V$6&gt;0,$A637&lt;V$6),AND(V$7&gt;0,$A637&gt;V$7)),0,MAX(0,ROUND((INDEX($E637:$G637,V$5)-SUMIFS(TF_Timer,TF_Tekniker,V$4,TF_Dato,$A637))*2,0)/2)))</f>
        <v/>
      </c>
      <c r="W637">
        <f>IF(OR(W$4="",$A637&gt;TODAY()),0,IF(OR(INDEX($B637:$D637,W$5)="F",AND(W$6&gt;0,$A637&lt;W$6),AND(W$7&gt;0,$A637&gt;W$7)),0,MAX(0,ROUND((INDEX($E637:$G637,W$5)-SUMIFS(TF_Timer,TF_Tekniker,W$4,TF_Dato,$A637))*2,0)/2)))</f>
        <v/>
      </c>
      <c r="X637">
        <f>IF(OR(X$4="",$A637&gt;TODAY()),0,IF(OR(INDEX($B637:$D637,X$5)="F",AND(X$6&gt;0,$A637&lt;X$6),AND(X$7&gt;0,$A637&gt;X$7)),0,MAX(0,ROUND((INDEX($E637:$G637,X$5)-SUMIFS(TF_Timer,TF_Tekniker,X$4,TF_Dato,$A637))*2,0)/2)))</f>
        <v/>
      </c>
      <c r="Y637">
        <f>IF(OR(Y$4="",$A637&gt;TODAY()),0,IF(OR(INDEX($B637:$D637,Y$5)="F",AND(Y$6&gt;0,$A637&lt;Y$6),AND(Y$7&gt;0,$A637&gt;Y$7)),0,MAX(0,ROUND((INDEX($E637:$G637,Y$5)-SUMIFS(TF_Timer,TF_Tekniker,Y$4,TF_Dato,$A637))*2,0)/2)))</f>
        <v/>
      </c>
      <c r="Z637">
        <f>IF(OR(Z$4="",$A637&gt;TODAY()),0,IF(OR(INDEX($B637:$D637,Z$5)="F",AND(Z$6&gt;0,$A637&lt;Z$6),AND(Z$7&gt;0,$A637&gt;Z$7)),0,MAX(0,ROUND((INDEX($E637:$G637,Z$5)-SUMIFS(TF_Timer,TF_Tekniker,Z$4,TF_Dato,$A637))*2,0)/2)))</f>
        <v/>
      </c>
      <c r="AA637">
        <f>IF(OR(AA$4="",$A637&gt;TODAY()),0,IF(OR(INDEX($B637:$D637,AA$5)="F",AND(AA$6&gt;0,$A637&lt;AA$6),AND(AA$7&gt;0,$A637&gt;AA$7)),0,MAX(0,ROUND((INDEX($E637:$G637,AA$5)-SUMIFS(TF_Timer,TF_Tekniker,AA$4,TF_Dato,$A637))*2,0)/2)))</f>
        <v/>
      </c>
      <c r="AB637">
        <f>IF(OR(AB$4="",$A637&gt;TODAY()),0,IF(OR(INDEX($B637:$D637,AB$5)="F",AND(AB$6&gt;0,$A637&lt;AB$6),AND(AB$7&gt;0,$A637&gt;AB$7)),0,MAX(0,ROUND((INDEX($E637:$G637,AB$5)-SUMIFS(TF_Timer,TF_Tekniker,AB$4,TF_Dato,$A637))*2,0)/2)))</f>
        <v/>
      </c>
      <c r="AC637">
        <f>IF(OR(AC$4="",$A637&gt;TODAY()),0,IF(OR(INDEX($B637:$D637,AC$5)="F",AND(AC$6&gt;0,$A637&lt;AC$6),AND(AC$7&gt;0,$A637&gt;AC$7)),0,MAX(0,ROUND((INDEX($E637:$G637,AC$5)-SUMIFS(TF_Timer,TF_Tekniker,AC$4,TF_Dato,$A637))*2,0)/2)))</f>
        <v/>
      </c>
      <c r="AD637">
        <f>IF(OR(AD$4="",$A637&gt;TODAY()),0,IF(OR(INDEX($B637:$D637,AD$5)="F",AND(AD$6&gt;0,$A637&lt;AD$6),AND(AD$7&gt;0,$A637&gt;AD$7)),0,MAX(0,ROUND((INDEX($E637:$G637,AD$5)-SUMIFS(TF_Timer,TF_Tekniker,AD$4,TF_Dato,$A637))*2,0)/2)))</f>
        <v/>
      </c>
      <c r="AE637">
        <f>IF(OR(AE$4="",$A637&gt;TODAY()),0,IF(OR(INDEX($B637:$D637,AE$5)="F",AND(AE$6&gt;0,$A637&lt;AE$6),AND(AE$7&gt;0,$A637&gt;AE$7)),0,MAX(0,ROUND((INDEX($E637:$G637,AE$5)-SUMIFS(TF_Timer,TF_Tekniker,AE$4,TF_Dato,$A637))*2,0)/2)))</f>
        <v/>
      </c>
      <c r="AF637">
        <f>IF(OR(AF$4="",$A637&gt;TODAY()),0,IF(OR(INDEX($B637:$D637,AF$5)="F",AND(AF$6&gt;0,$A637&lt;AF$6),AND(AF$7&gt;0,$A637&gt;AF$7)),0,MAX(0,ROUND((INDEX($E637:$G637,AF$5)-SUMIFS(TF_Timer,TF_Tekniker,AF$4,TF_Dato,$A637))*2,0)/2)))</f>
        <v/>
      </c>
      <c r="AG637">
        <f>IF(OR(AG$4="",$A637&gt;TODAY()),0,IF(OR(INDEX($B637:$D637,AG$5)="F",AND(AG$6&gt;0,$A637&lt;AG$6),AND(AG$7&gt;0,$A637&gt;AG$7)),0,MAX(0,ROUND((INDEX($E637:$G637,AG$5)-SUMIFS(TF_Timer,TF_Tekniker,AG$4,TF_Dato,$A637))*2,0)/2)))</f>
        <v/>
      </c>
      <c r="AH637">
        <f>IF(OR(AH$4="",$A637&gt;TODAY()),0,IF(OR(INDEX($B637:$D637,AH$5)="F",AND(AH$6&gt;0,$A637&lt;AH$6),AND(AH$7&gt;0,$A637&gt;AH$7)),0,MAX(0,ROUND((INDEX($E637:$G637,AH$5)-SUMIFS(TF_Timer,TF_Tekniker,AH$4,TF_Dato,$A637))*2,0)/2)))</f>
        <v/>
      </c>
      <c r="AI637">
        <f>IF(OR(AI$4="",$A637&gt;TODAY()),0,IF(OR(INDEX($B637:$D637,AI$5)="F",AND(AI$6&gt;0,$A637&lt;AI$6),AND(AI$7&gt;0,$A637&gt;AI$7)),0,MAX(0,ROUND((INDEX($E637:$G637,AI$5)-SUMIFS(TF_Timer,TF_Tekniker,AI$4,TF_Dato,$A637))*2,0)/2)))</f>
        <v/>
      </c>
      <c r="AJ637">
        <f>IF(OR(AJ$4="",$A637&gt;TODAY()),0,IF(OR(INDEX($B637:$D637,AJ$5)="F",AND(AJ$6&gt;0,$A637&lt;AJ$6),AND(AJ$7&gt;0,$A637&gt;AJ$7)),0,MAX(0,ROUND((INDEX($E637:$G637,AJ$5)-SUMIFS(TF_Timer,TF_Tekniker,AJ$4,TF_Dato,$A637))*2,0)/2)))</f>
        <v/>
      </c>
      <c r="AK637">
        <f>IF(OR(AK$4="",$A637&gt;TODAY()),0,IF(OR(INDEX($B637:$D637,AK$5)="F",AND(AK$6&gt;0,$A637&lt;AK$6),AND(AK$7&gt;0,$A637&gt;AK$7)),0,MAX(0,ROUND((INDEX($E637:$G637,AK$5)-SUMIFS(TF_Timer,TF_Tekniker,AK$4,TF_Dato,$A637))*2,0)/2)))</f>
        <v/>
      </c>
      <c r="AL637">
        <f>IF(OR(AL$4="",$A637&gt;TODAY()),0,IF(OR(INDEX($B637:$D637,AL$5)="F",AND(AL$6&gt;0,$A637&lt;AL$6),AND(AL$7&gt;0,$A637&gt;AL$7)),0,MAX(0,ROUND((INDEX($E637:$G637,AL$5)-SUMIFS(TF_Timer,TF_Tekniker,AL$4,TF_Dato,$A637))*2,0)/2)))</f>
        <v/>
      </c>
      <c r="AM637">
        <f>IF(OR(AM$4="",$A637&gt;TODAY()),0,IF(OR(INDEX($B637:$D637,AM$5)="F",AND(AM$6&gt;0,$A637&lt;AM$6),AND(AM$7&gt;0,$A637&gt;AM$7)),0,MAX(0,ROUND((INDEX($E637:$G637,AM$5)-SUMIFS(TF_Timer,TF_Tekniker,AM$4,TF_Dato,$A637))*2,0)/2)))</f>
        <v/>
      </c>
      <c r="AN637">
        <f>IF(OR(AN$4="",$A637&gt;TODAY()),0,IF(OR(INDEX($B637:$D637,AN$5)="F",AND(AN$6&gt;0,$A637&lt;AN$6),AND(AN$7&gt;0,$A637&gt;AN$7)),0,MAX(0,ROUND((INDEX($E637:$G637,AN$5)-SUMIFS(TF_Timer,TF_Tekniker,AN$4,TF_Dato,$A637))*2,0)/2)))</f>
        <v/>
      </c>
      <c r="AO637">
        <f>IF(OR(AO$4="",$A637&gt;TODAY()),0,IF(OR(INDEX($B637:$D637,AO$5)="F",AND(AO$6&gt;0,$A637&lt;AO$6),AND(AO$7&gt;0,$A637&gt;AO$7)),0,MAX(0,ROUND((INDEX($E637:$G637,AO$5)-SUMIFS(TF_Timer,TF_Tekniker,AO$4,TF_Dato,$A637))*2,0)/2)))</f>
        <v/>
      </c>
      <c r="AP637">
        <f>IF(OR(AP$4="",$A637&gt;TODAY()),0,IF(OR(INDEX($B637:$D637,AP$5)="F",AND(AP$6&gt;0,$A637&lt;AP$6),AND(AP$7&gt;0,$A637&gt;AP$7)),0,MAX(0,ROUND((INDEX($E637:$G637,AP$5)-SUMIFS(TF_Timer,TF_Tekniker,AP$4,TF_Dato,$A637))*2,0)/2)))</f>
        <v/>
      </c>
      <c r="AQ637">
        <f>IF(OR(AQ$4="",$A637&gt;TODAY()),0,IF(OR(INDEX($B637:$D637,AQ$5)="F",AND(AQ$6&gt;0,$A637&lt;AQ$6),AND(AQ$7&gt;0,$A637&gt;AQ$7)),0,MAX(0,ROUND((INDEX($E637:$G637,AQ$5)-SUMIFS(TF_Timer,TF_Tekniker,AQ$4,TF_Dato,$A637))*2,0)/2)))</f>
        <v/>
      </c>
      <c r="AR637">
        <f>IF(OR(AR$4="",$A637&gt;TODAY()),0,IF(OR(INDEX($B637:$D637,AR$5)="F",AND(AR$6&gt;0,$A637&lt;AR$6),AND(AR$7&gt;0,$A637&gt;AR$7)),0,MAX(0,ROUND((INDEX($E637:$G637,AR$5)-SUMIFS(TF_Timer,TF_Tekniker,AR$4,TF_Dato,$A637))*2,0)/2)))</f>
        <v/>
      </c>
      <c r="AS637">
        <f>IF(OR(AS$4="",$A637&gt;TODAY()),0,IF(OR(INDEX($B637:$D637,AS$5)="F",AND(AS$6&gt;0,$A637&lt;AS$6),AND(AS$7&gt;0,$A637&gt;AS$7)),0,MAX(0,ROUND((INDEX($E637:$G637,AS$5)-SUMIFS(TF_Timer,TF_Tekniker,AS$4,TF_Dato,$A637))*2,0)/2)))</f>
        <v/>
      </c>
      <c r="AT637">
        <f>IF(OR(AT$4="",$A637&gt;TODAY()),0,IF(OR(INDEX($B637:$D637,AT$5)="F",AND(AT$6&gt;0,$A637&lt;AT$6),AND(AT$7&gt;0,$A637&gt;AT$7)),0,MAX(0,ROUND((INDEX($E637:$G637,AT$5)-SUMIFS(TF_Timer,TF_Tekniker,AT$4,TF_Dato,$A637))*2,0)/2)))</f>
        <v/>
      </c>
      <c r="AU637">
        <f>IF(OR(AU$4="",$A637&gt;TODAY()),0,IF(OR(INDEX($B637:$D637,AU$5)="F",AND(AU$6&gt;0,$A637&lt;AU$6),AND(AU$7&gt;0,$A637&gt;AU$7)),0,MAX(0,ROUND((INDEX($E637:$G637,AU$5)-SUMIFS(TF_Timer,TF_Tekniker,AU$4,TF_Dato,$A637))*2,0)/2)))</f>
        <v/>
      </c>
      <c r="AV637">
        <f>IF(OR(AV$4="",$A637&gt;TODAY()),0,IF(OR(INDEX($B637:$D637,AV$5)="F",AND(AV$6&gt;0,$A637&lt;AV$6),AND(AV$7&gt;0,$A637&gt;AV$7)),0,MAX(0,ROUND((INDEX($E637:$G637,AV$5)-SUMIFS(TF_Timer,TF_Tekniker,AV$4,TF_Dato,$A637))*2,0)/2)))</f>
        <v/>
      </c>
      <c r="AW637">
        <f>IF(OR(AW$4="",$A637&gt;TODAY()),0,IF(OR(INDEX($B637:$D637,AW$5)="F",AND(AW$6&gt;0,$A637&lt;AW$6),AND(AW$7&gt;0,$A637&gt;AW$7)),0,MAX(0,ROUND((INDEX($E637:$G637,AW$5)-SUMIFS(TF_Timer,TF_Tekniker,AW$4,TF_Dato,$A637))*2,0)/2)))</f>
        <v/>
      </c>
      <c r="AX637">
        <f>IF(OR(AX$4="",$A637&gt;TODAY()),0,IF(OR(INDEX($B637:$D637,AX$5)="F",AND(AX$6&gt;0,$A637&lt;AX$6),AND(AX$7&gt;0,$A637&gt;AX$7)),0,MAX(0,ROUND((INDEX($E637:$G637,AX$5)-SUMIFS(TF_Timer,TF_Tekniker,AX$4,TF_Dato,$A637))*2,0)/2)))</f>
        <v/>
      </c>
      <c r="AY637">
        <f>IF(OR(AY$4="",$A637&gt;TODAY()),0,IF(OR(INDEX($B637:$D637,AY$5)="F",AND(AY$6&gt;0,$A637&lt;AY$6),AND(AY$7&gt;0,$A637&gt;AY$7)),0,MAX(0,ROUND((INDEX($E637:$G637,AY$5)-SUMIFS(TF_Timer,TF_Tekniker,AY$4,TF_Dato,$A637))*2,0)/2)))</f>
        <v/>
      </c>
      <c r="AZ637">
        <f>IF(OR(AZ$4="",$A637&gt;TODAY()),0,IF(OR(INDEX($B637:$D637,AZ$5)="F",AND(AZ$6&gt;0,$A637&lt;AZ$6),AND(AZ$7&gt;0,$A637&gt;AZ$7)),0,MAX(0,ROUND((INDEX($E637:$G637,AZ$5)-SUMIFS(TF_Timer,TF_Tekniker,AZ$4,TF_Dato,$A637))*2,0)/2)))</f>
        <v/>
      </c>
      <c r="BA637">
        <f>IF(OR(BA$4="",$A637&gt;TODAY()),0,IF(OR(INDEX($B637:$D637,BA$5)="F",AND(BA$6&gt;0,$A637&lt;BA$6),AND(BA$7&gt;0,$A637&gt;BA$7)),0,MAX(0,ROUND((INDEX($E637:$G637,BA$5)-SUMIFS(TF_Timer,TF_Tekniker,BA$4,TF_Dato,$A637))*2,0)/2)))</f>
        <v/>
      </c>
      <c r="BB637">
        <f>IF(OR(BB$4="",$A637&gt;TODAY()),0,IF(OR(INDEX($B637:$D637,BB$5)="F",AND(BB$6&gt;0,$A637&lt;BB$6),AND(BB$7&gt;0,$A637&gt;BB$7)),0,MAX(0,ROUND((INDEX($E637:$G637,BB$5)-SUMIFS(TF_Timer,TF_Tekniker,BB$4,TF_Dato,$A637))*2,0)/2)))</f>
        <v/>
      </c>
      <c r="BC637">
        <f>IF(OR(BC$4="",$A637&gt;TODAY()),0,IF(OR(INDEX($B637:$D637,BC$5)="F",AND(BC$6&gt;0,$A637&lt;BC$6),AND(BC$7&gt;0,$A637&gt;BC$7)),0,MAX(0,ROUND((INDEX($E637:$G637,BC$5)-SUMIFS(TF_Timer,TF_Tekniker,BC$4,TF_Dato,$A637))*2,0)/2)))</f>
        <v/>
      </c>
      <c r="BD637">
        <f>IF(OR(BD$4="",$A637&gt;TODAY()),0,IF(OR(INDEX($B637:$D637,BD$5)="F",AND(BD$6&gt;0,$A637&lt;BD$6),AND(BD$7&gt;0,$A637&gt;BD$7)),0,MAX(0,ROUND((INDEX($E637:$G637,BD$5)-SUMIFS(TF_Timer,TF_Tekniker,BD$4,TF_Dato,$A637))*2,0)/2)))</f>
        <v/>
      </c>
      <c r="BE637">
        <f>IF(OR(BE$4="",$A637&gt;TODAY()),0,IF(OR(INDEX($B637:$D637,BE$5)="F",AND(BE$6&gt;0,$A637&lt;BE$6),AND(BE$7&gt;0,$A637&gt;BE$7)),0,MAX(0,ROUND((INDEX($E637:$G637,BE$5)-SUMIFS(TF_Timer,TF_Tekniker,BE$4,TF_Dato,$A637))*2,0)/2)))</f>
        <v/>
      </c>
      <c r="BF637">
        <f>IF(OR(BF$4="",$A637&gt;TODAY()),0,IF(OR(INDEX($B637:$D637,BF$5)="F",AND(BF$6&gt;0,$A637&lt;BF$6),AND(BF$7&gt;0,$A637&gt;BF$7)),0,MAX(0,ROUND((INDEX($E637:$G637,BF$5)-SUMIFS(TF_Timer,TF_Tekniker,BF$4,TF_Dato,$A637))*2,0)/2)))</f>
        <v/>
      </c>
      <c r="BG637">
        <f>IF(OR(BG$4="",$A637&gt;TODAY()),0,IF(OR(INDEX($B637:$D637,BG$5)="F",AND(BG$6&gt;0,$A637&lt;BG$6),AND(BG$7&gt;0,$A637&gt;BG$7)),0,MAX(0,ROUND((INDEX($E637:$G637,BG$5)-SUMIFS(TF_Timer,TF_Tekniker,BG$4,TF_Dato,$A637))*2,0)/2)))</f>
        <v/>
      </c>
      <c r="BH637">
        <f>IF(OR(BH$4="",$A637&gt;TODAY()),0,IF(OR(INDEX($B637:$D637,BH$5)="F",AND(BH$6&gt;0,$A637&lt;BH$6),AND(BH$7&gt;0,$A637&gt;BH$7)),0,MAX(0,ROUND((INDEX($E637:$G637,BH$5)-SUMIFS(TF_Timer,TF_Tekniker,BH$4,TF_Dato,$A637))*2,0)/2)))</f>
        <v/>
      </c>
      <c r="BI637">
        <f>IF(OR(BI$4="",$A637&gt;TODAY()),0,IF(OR(INDEX($B637:$D637,BI$5)="F",AND(BI$6&gt;0,$A637&lt;BI$6),AND(BI$7&gt;0,$A637&gt;BI$7)),0,MAX(0,ROUND((INDEX($E637:$G637,BI$5)-SUMIFS(TF_Timer,TF_Tekniker,BI$4,TF_Dato,$A637))*2,0)/2)))</f>
        <v/>
      </c>
    </row>
    <row r="638">
      <c r="A638" s="64">
        <f>A637+1</f>
        <v/>
      </c>
      <c r="B638">
        <f>IF(MOD($A638-INDEX(SkiftStart,1),Syklus)&lt;DagK,"K",IF(MOD($A638-INDEX(SkiftStart,1),Syklus)&lt;DagK+DagH,"H",IF(MOD($A638-INDEX(SkiftStart,1),Syklus)&lt;DagK+DagH+DagD,"D","F")))</f>
        <v/>
      </c>
      <c r="C638">
        <f>IF(MOD($A638-INDEX(SkiftStart,2),Syklus)&lt;DagK,"K",IF(MOD($A638-INDEX(SkiftStart,2),Syklus)&lt;DagK+DagH,"H",IF(MOD($A638-INDEX(SkiftStart,2),Syklus)&lt;DagK+DagH+DagD,"D","F")))</f>
        <v/>
      </c>
      <c r="D638">
        <f>IF(MOD($A638-INDEX(SkiftStart,3),Syklus)&lt;DagK,"K",IF(MOD($A638-INDEX(SkiftStart,3),Syklus)&lt;DagK+DagH,"H",IF(MOD($A638-INDEX(SkiftStart,3),Syklus)&lt;DagK+DagH+DagD,"D","F")))</f>
        <v/>
      </c>
      <c r="E638">
        <f>IF(B638="F",0,IF(WEEKDAY($A638,2)=5,INDEX(TimerFr,MATCH(B638,FaseKode,0)),INDEX(TimerMT,MATCH(B638,FaseKode,0))))</f>
        <v/>
      </c>
      <c r="F638">
        <f>IF(C638="F",0,IF(WEEKDAY($A638,2)=5,INDEX(TimerFr,MATCH(C638,FaseKode,0)),INDEX(TimerMT,MATCH(C638,FaseKode,0))))</f>
        <v/>
      </c>
      <c r="G638">
        <f>IF(D638="F",0,IF(WEEKDAY($A638,2)=5,INDEX(TimerFr,MATCH(D638,FaseKode,0)),INDEX(TimerMT,MATCH(D638,FaseKode,0))))</f>
        <v/>
      </c>
      <c r="H638">
        <f>IF(OR(H$4="",$A638&gt;TODAY()),0,IF(OR(INDEX($B638:$D638,H$5)="F",AND(H$6&gt;0,$A638&lt;H$6),AND(H$7&gt;0,$A638&gt;H$7)),0,MAX(0,ROUND((INDEX($E638:$G638,H$5)-SUMIFS(TF_Timer,TF_Tekniker,H$4,TF_Dato,$A638))*2,0)/2)))</f>
        <v/>
      </c>
      <c r="I638">
        <f>IF(OR(I$4="",$A638&gt;TODAY()),0,IF(OR(INDEX($B638:$D638,I$5)="F",AND(I$6&gt;0,$A638&lt;I$6),AND(I$7&gt;0,$A638&gt;I$7)),0,MAX(0,ROUND((INDEX($E638:$G638,I$5)-SUMIFS(TF_Timer,TF_Tekniker,I$4,TF_Dato,$A638))*2,0)/2)))</f>
        <v/>
      </c>
      <c r="J638">
        <f>IF(OR(J$4="",$A638&gt;TODAY()),0,IF(OR(INDEX($B638:$D638,J$5)="F",AND(J$6&gt;0,$A638&lt;J$6),AND(J$7&gt;0,$A638&gt;J$7)),0,MAX(0,ROUND((INDEX($E638:$G638,J$5)-SUMIFS(TF_Timer,TF_Tekniker,J$4,TF_Dato,$A638))*2,0)/2)))</f>
        <v/>
      </c>
      <c r="K638">
        <f>IF(OR(K$4="",$A638&gt;TODAY()),0,IF(OR(INDEX($B638:$D638,K$5)="F",AND(K$6&gt;0,$A638&lt;K$6),AND(K$7&gt;0,$A638&gt;K$7)),0,MAX(0,ROUND((INDEX($E638:$G638,K$5)-SUMIFS(TF_Timer,TF_Tekniker,K$4,TF_Dato,$A638))*2,0)/2)))</f>
        <v/>
      </c>
      <c r="L638">
        <f>IF(OR(L$4="",$A638&gt;TODAY()),0,IF(OR(INDEX($B638:$D638,L$5)="F",AND(L$6&gt;0,$A638&lt;L$6),AND(L$7&gt;0,$A638&gt;L$7)),0,MAX(0,ROUND((INDEX($E638:$G638,L$5)-SUMIFS(TF_Timer,TF_Tekniker,L$4,TF_Dato,$A638))*2,0)/2)))</f>
        <v/>
      </c>
      <c r="M638">
        <f>IF(OR(M$4="",$A638&gt;TODAY()),0,IF(OR(INDEX($B638:$D638,M$5)="F",AND(M$6&gt;0,$A638&lt;M$6),AND(M$7&gt;0,$A638&gt;M$7)),0,MAX(0,ROUND((INDEX($E638:$G638,M$5)-SUMIFS(TF_Timer,TF_Tekniker,M$4,TF_Dato,$A638))*2,0)/2)))</f>
        <v/>
      </c>
      <c r="N638">
        <f>IF(OR(N$4="",$A638&gt;TODAY()),0,IF(OR(INDEX($B638:$D638,N$5)="F",AND(N$6&gt;0,$A638&lt;N$6),AND(N$7&gt;0,$A638&gt;N$7)),0,MAX(0,ROUND((INDEX($E638:$G638,N$5)-SUMIFS(TF_Timer,TF_Tekniker,N$4,TF_Dato,$A638))*2,0)/2)))</f>
        <v/>
      </c>
      <c r="O638">
        <f>IF(OR(O$4="",$A638&gt;TODAY()),0,IF(OR(INDEX($B638:$D638,O$5)="F",AND(O$6&gt;0,$A638&lt;O$6),AND(O$7&gt;0,$A638&gt;O$7)),0,MAX(0,ROUND((INDEX($E638:$G638,O$5)-SUMIFS(TF_Timer,TF_Tekniker,O$4,TF_Dato,$A638))*2,0)/2)))</f>
        <v/>
      </c>
      <c r="P638">
        <f>IF(OR(P$4="",$A638&gt;TODAY()),0,IF(OR(INDEX($B638:$D638,P$5)="F",AND(P$6&gt;0,$A638&lt;P$6),AND(P$7&gt;0,$A638&gt;P$7)),0,MAX(0,ROUND((INDEX($E638:$G638,P$5)-SUMIFS(TF_Timer,TF_Tekniker,P$4,TF_Dato,$A638))*2,0)/2)))</f>
        <v/>
      </c>
      <c r="Q638">
        <f>IF(OR(Q$4="",$A638&gt;TODAY()),0,IF(OR(INDEX($B638:$D638,Q$5)="F",AND(Q$6&gt;0,$A638&lt;Q$6),AND(Q$7&gt;0,$A638&gt;Q$7)),0,MAX(0,ROUND((INDEX($E638:$G638,Q$5)-SUMIFS(TF_Timer,TF_Tekniker,Q$4,TF_Dato,$A638))*2,0)/2)))</f>
        <v/>
      </c>
      <c r="R638">
        <f>IF(OR(R$4="",$A638&gt;TODAY()),0,IF(OR(INDEX($B638:$D638,R$5)="F",AND(R$6&gt;0,$A638&lt;R$6),AND(R$7&gt;0,$A638&gt;R$7)),0,MAX(0,ROUND((INDEX($E638:$G638,R$5)-SUMIFS(TF_Timer,TF_Tekniker,R$4,TF_Dato,$A638))*2,0)/2)))</f>
        <v/>
      </c>
      <c r="S638">
        <f>IF(OR(S$4="",$A638&gt;TODAY()),0,IF(OR(INDEX($B638:$D638,S$5)="F",AND(S$6&gt;0,$A638&lt;S$6),AND(S$7&gt;0,$A638&gt;S$7)),0,MAX(0,ROUND((INDEX($E638:$G638,S$5)-SUMIFS(TF_Timer,TF_Tekniker,S$4,TF_Dato,$A638))*2,0)/2)))</f>
        <v/>
      </c>
      <c r="T638">
        <f>IF(OR(T$4="",$A638&gt;TODAY()),0,IF(OR(INDEX($B638:$D638,T$5)="F",AND(T$6&gt;0,$A638&lt;T$6),AND(T$7&gt;0,$A638&gt;T$7)),0,MAX(0,ROUND((INDEX($E638:$G638,T$5)-SUMIFS(TF_Timer,TF_Tekniker,T$4,TF_Dato,$A638))*2,0)/2)))</f>
        <v/>
      </c>
      <c r="U638">
        <f>IF(OR(U$4="",$A638&gt;TODAY()),0,IF(OR(INDEX($B638:$D638,U$5)="F",AND(U$6&gt;0,$A638&lt;U$6),AND(U$7&gt;0,$A638&gt;U$7)),0,MAX(0,ROUND((INDEX($E638:$G638,U$5)-SUMIFS(TF_Timer,TF_Tekniker,U$4,TF_Dato,$A638))*2,0)/2)))</f>
        <v/>
      </c>
      <c r="V638">
        <f>IF(OR(V$4="",$A638&gt;TODAY()),0,IF(OR(INDEX($B638:$D638,V$5)="F",AND(V$6&gt;0,$A638&lt;V$6),AND(V$7&gt;0,$A638&gt;V$7)),0,MAX(0,ROUND((INDEX($E638:$G638,V$5)-SUMIFS(TF_Timer,TF_Tekniker,V$4,TF_Dato,$A638))*2,0)/2)))</f>
        <v/>
      </c>
      <c r="W638">
        <f>IF(OR(W$4="",$A638&gt;TODAY()),0,IF(OR(INDEX($B638:$D638,W$5)="F",AND(W$6&gt;0,$A638&lt;W$6),AND(W$7&gt;0,$A638&gt;W$7)),0,MAX(0,ROUND((INDEX($E638:$G638,W$5)-SUMIFS(TF_Timer,TF_Tekniker,W$4,TF_Dato,$A638))*2,0)/2)))</f>
        <v/>
      </c>
      <c r="X638">
        <f>IF(OR(X$4="",$A638&gt;TODAY()),0,IF(OR(INDEX($B638:$D638,X$5)="F",AND(X$6&gt;0,$A638&lt;X$6),AND(X$7&gt;0,$A638&gt;X$7)),0,MAX(0,ROUND((INDEX($E638:$G638,X$5)-SUMIFS(TF_Timer,TF_Tekniker,X$4,TF_Dato,$A638))*2,0)/2)))</f>
        <v/>
      </c>
      <c r="Y638">
        <f>IF(OR(Y$4="",$A638&gt;TODAY()),0,IF(OR(INDEX($B638:$D638,Y$5)="F",AND(Y$6&gt;0,$A638&lt;Y$6),AND(Y$7&gt;0,$A638&gt;Y$7)),0,MAX(0,ROUND((INDEX($E638:$G638,Y$5)-SUMIFS(TF_Timer,TF_Tekniker,Y$4,TF_Dato,$A638))*2,0)/2)))</f>
        <v/>
      </c>
      <c r="Z638">
        <f>IF(OR(Z$4="",$A638&gt;TODAY()),0,IF(OR(INDEX($B638:$D638,Z$5)="F",AND(Z$6&gt;0,$A638&lt;Z$6),AND(Z$7&gt;0,$A638&gt;Z$7)),0,MAX(0,ROUND((INDEX($E638:$G638,Z$5)-SUMIFS(TF_Timer,TF_Tekniker,Z$4,TF_Dato,$A638))*2,0)/2)))</f>
        <v/>
      </c>
      <c r="AA638">
        <f>IF(OR(AA$4="",$A638&gt;TODAY()),0,IF(OR(INDEX($B638:$D638,AA$5)="F",AND(AA$6&gt;0,$A638&lt;AA$6),AND(AA$7&gt;0,$A638&gt;AA$7)),0,MAX(0,ROUND((INDEX($E638:$G638,AA$5)-SUMIFS(TF_Timer,TF_Tekniker,AA$4,TF_Dato,$A638))*2,0)/2)))</f>
        <v/>
      </c>
      <c r="AB638">
        <f>IF(OR(AB$4="",$A638&gt;TODAY()),0,IF(OR(INDEX($B638:$D638,AB$5)="F",AND(AB$6&gt;0,$A638&lt;AB$6),AND(AB$7&gt;0,$A638&gt;AB$7)),0,MAX(0,ROUND((INDEX($E638:$G638,AB$5)-SUMIFS(TF_Timer,TF_Tekniker,AB$4,TF_Dato,$A638))*2,0)/2)))</f>
        <v/>
      </c>
      <c r="AC638">
        <f>IF(OR(AC$4="",$A638&gt;TODAY()),0,IF(OR(INDEX($B638:$D638,AC$5)="F",AND(AC$6&gt;0,$A638&lt;AC$6),AND(AC$7&gt;0,$A638&gt;AC$7)),0,MAX(0,ROUND((INDEX($E638:$G638,AC$5)-SUMIFS(TF_Timer,TF_Tekniker,AC$4,TF_Dato,$A638))*2,0)/2)))</f>
        <v/>
      </c>
      <c r="AD638">
        <f>IF(OR(AD$4="",$A638&gt;TODAY()),0,IF(OR(INDEX($B638:$D638,AD$5)="F",AND(AD$6&gt;0,$A638&lt;AD$6),AND(AD$7&gt;0,$A638&gt;AD$7)),0,MAX(0,ROUND((INDEX($E638:$G638,AD$5)-SUMIFS(TF_Timer,TF_Tekniker,AD$4,TF_Dato,$A638))*2,0)/2)))</f>
        <v/>
      </c>
      <c r="AE638">
        <f>IF(OR(AE$4="",$A638&gt;TODAY()),0,IF(OR(INDEX($B638:$D638,AE$5)="F",AND(AE$6&gt;0,$A638&lt;AE$6),AND(AE$7&gt;0,$A638&gt;AE$7)),0,MAX(0,ROUND((INDEX($E638:$G638,AE$5)-SUMIFS(TF_Timer,TF_Tekniker,AE$4,TF_Dato,$A638))*2,0)/2)))</f>
        <v/>
      </c>
      <c r="AF638">
        <f>IF(OR(AF$4="",$A638&gt;TODAY()),0,IF(OR(INDEX($B638:$D638,AF$5)="F",AND(AF$6&gt;0,$A638&lt;AF$6),AND(AF$7&gt;0,$A638&gt;AF$7)),0,MAX(0,ROUND((INDEX($E638:$G638,AF$5)-SUMIFS(TF_Timer,TF_Tekniker,AF$4,TF_Dato,$A638))*2,0)/2)))</f>
        <v/>
      </c>
      <c r="AG638">
        <f>IF(OR(AG$4="",$A638&gt;TODAY()),0,IF(OR(INDEX($B638:$D638,AG$5)="F",AND(AG$6&gt;0,$A638&lt;AG$6),AND(AG$7&gt;0,$A638&gt;AG$7)),0,MAX(0,ROUND((INDEX($E638:$G638,AG$5)-SUMIFS(TF_Timer,TF_Tekniker,AG$4,TF_Dato,$A638))*2,0)/2)))</f>
        <v/>
      </c>
      <c r="AH638">
        <f>IF(OR(AH$4="",$A638&gt;TODAY()),0,IF(OR(INDEX($B638:$D638,AH$5)="F",AND(AH$6&gt;0,$A638&lt;AH$6),AND(AH$7&gt;0,$A638&gt;AH$7)),0,MAX(0,ROUND((INDEX($E638:$G638,AH$5)-SUMIFS(TF_Timer,TF_Tekniker,AH$4,TF_Dato,$A638))*2,0)/2)))</f>
        <v/>
      </c>
      <c r="AI638">
        <f>IF(OR(AI$4="",$A638&gt;TODAY()),0,IF(OR(INDEX($B638:$D638,AI$5)="F",AND(AI$6&gt;0,$A638&lt;AI$6),AND(AI$7&gt;0,$A638&gt;AI$7)),0,MAX(0,ROUND((INDEX($E638:$G638,AI$5)-SUMIFS(TF_Timer,TF_Tekniker,AI$4,TF_Dato,$A638))*2,0)/2)))</f>
        <v/>
      </c>
      <c r="AJ638">
        <f>IF(OR(AJ$4="",$A638&gt;TODAY()),0,IF(OR(INDEX($B638:$D638,AJ$5)="F",AND(AJ$6&gt;0,$A638&lt;AJ$6),AND(AJ$7&gt;0,$A638&gt;AJ$7)),0,MAX(0,ROUND((INDEX($E638:$G638,AJ$5)-SUMIFS(TF_Timer,TF_Tekniker,AJ$4,TF_Dato,$A638))*2,0)/2)))</f>
        <v/>
      </c>
      <c r="AK638">
        <f>IF(OR(AK$4="",$A638&gt;TODAY()),0,IF(OR(INDEX($B638:$D638,AK$5)="F",AND(AK$6&gt;0,$A638&lt;AK$6),AND(AK$7&gt;0,$A638&gt;AK$7)),0,MAX(0,ROUND((INDEX($E638:$G638,AK$5)-SUMIFS(TF_Timer,TF_Tekniker,AK$4,TF_Dato,$A638))*2,0)/2)))</f>
        <v/>
      </c>
      <c r="AL638">
        <f>IF(OR(AL$4="",$A638&gt;TODAY()),0,IF(OR(INDEX($B638:$D638,AL$5)="F",AND(AL$6&gt;0,$A638&lt;AL$6),AND(AL$7&gt;0,$A638&gt;AL$7)),0,MAX(0,ROUND((INDEX($E638:$G638,AL$5)-SUMIFS(TF_Timer,TF_Tekniker,AL$4,TF_Dato,$A638))*2,0)/2)))</f>
        <v/>
      </c>
      <c r="AM638">
        <f>IF(OR(AM$4="",$A638&gt;TODAY()),0,IF(OR(INDEX($B638:$D638,AM$5)="F",AND(AM$6&gt;0,$A638&lt;AM$6),AND(AM$7&gt;0,$A638&gt;AM$7)),0,MAX(0,ROUND((INDEX($E638:$G638,AM$5)-SUMIFS(TF_Timer,TF_Tekniker,AM$4,TF_Dato,$A638))*2,0)/2)))</f>
        <v/>
      </c>
      <c r="AN638">
        <f>IF(OR(AN$4="",$A638&gt;TODAY()),0,IF(OR(INDEX($B638:$D638,AN$5)="F",AND(AN$6&gt;0,$A638&lt;AN$6),AND(AN$7&gt;0,$A638&gt;AN$7)),0,MAX(0,ROUND((INDEX($E638:$G638,AN$5)-SUMIFS(TF_Timer,TF_Tekniker,AN$4,TF_Dato,$A638))*2,0)/2)))</f>
        <v/>
      </c>
      <c r="AO638">
        <f>IF(OR(AO$4="",$A638&gt;TODAY()),0,IF(OR(INDEX($B638:$D638,AO$5)="F",AND(AO$6&gt;0,$A638&lt;AO$6),AND(AO$7&gt;0,$A638&gt;AO$7)),0,MAX(0,ROUND((INDEX($E638:$G638,AO$5)-SUMIFS(TF_Timer,TF_Tekniker,AO$4,TF_Dato,$A638))*2,0)/2)))</f>
        <v/>
      </c>
      <c r="AP638">
        <f>IF(OR(AP$4="",$A638&gt;TODAY()),0,IF(OR(INDEX($B638:$D638,AP$5)="F",AND(AP$6&gt;0,$A638&lt;AP$6),AND(AP$7&gt;0,$A638&gt;AP$7)),0,MAX(0,ROUND((INDEX($E638:$G638,AP$5)-SUMIFS(TF_Timer,TF_Tekniker,AP$4,TF_Dato,$A638))*2,0)/2)))</f>
        <v/>
      </c>
      <c r="AQ638">
        <f>IF(OR(AQ$4="",$A638&gt;TODAY()),0,IF(OR(INDEX($B638:$D638,AQ$5)="F",AND(AQ$6&gt;0,$A638&lt;AQ$6),AND(AQ$7&gt;0,$A638&gt;AQ$7)),0,MAX(0,ROUND((INDEX($E638:$G638,AQ$5)-SUMIFS(TF_Timer,TF_Tekniker,AQ$4,TF_Dato,$A638))*2,0)/2)))</f>
        <v/>
      </c>
      <c r="AR638">
        <f>IF(OR(AR$4="",$A638&gt;TODAY()),0,IF(OR(INDEX($B638:$D638,AR$5)="F",AND(AR$6&gt;0,$A638&lt;AR$6),AND(AR$7&gt;0,$A638&gt;AR$7)),0,MAX(0,ROUND((INDEX($E638:$G638,AR$5)-SUMIFS(TF_Timer,TF_Tekniker,AR$4,TF_Dato,$A638))*2,0)/2)))</f>
        <v/>
      </c>
      <c r="AS638">
        <f>IF(OR(AS$4="",$A638&gt;TODAY()),0,IF(OR(INDEX($B638:$D638,AS$5)="F",AND(AS$6&gt;0,$A638&lt;AS$6),AND(AS$7&gt;0,$A638&gt;AS$7)),0,MAX(0,ROUND((INDEX($E638:$G638,AS$5)-SUMIFS(TF_Timer,TF_Tekniker,AS$4,TF_Dato,$A638))*2,0)/2)))</f>
        <v/>
      </c>
      <c r="AT638">
        <f>IF(OR(AT$4="",$A638&gt;TODAY()),0,IF(OR(INDEX($B638:$D638,AT$5)="F",AND(AT$6&gt;0,$A638&lt;AT$6),AND(AT$7&gt;0,$A638&gt;AT$7)),0,MAX(0,ROUND((INDEX($E638:$G638,AT$5)-SUMIFS(TF_Timer,TF_Tekniker,AT$4,TF_Dato,$A638))*2,0)/2)))</f>
        <v/>
      </c>
      <c r="AU638">
        <f>IF(OR(AU$4="",$A638&gt;TODAY()),0,IF(OR(INDEX($B638:$D638,AU$5)="F",AND(AU$6&gt;0,$A638&lt;AU$6),AND(AU$7&gt;0,$A638&gt;AU$7)),0,MAX(0,ROUND((INDEX($E638:$G638,AU$5)-SUMIFS(TF_Timer,TF_Tekniker,AU$4,TF_Dato,$A638))*2,0)/2)))</f>
        <v/>
      </c>
      <c r="AV638">
        <f>IF(OR(AV$4="",$A638&gt;TODAY()),0,IF(OR(INDEX($B638:$D638,AV$5)="F",AND(AV$6&gt;0,$A638&lt;AV$6),AND(AV$7&gt;0,$A638&gt;AV$7)),0,MAX(0,ROUND((INDEX($E638:$G638,AV$5)-SUMIFS(TF_Timer,TF_Tekniker,AV$4,TF_Dato,$A638))*2,0)/2)))</f>
        <v/>
      </c>
      <c r="AW638">
        <f>IF(OR(AW$4="",$A638&gt;TODAY()),0,IF(OR(INDEX($B638:$D638,AW$5)="F",AND(AW$6&gt;0,$A638&lt;AW$6),AND(AW$7&gt;0,$A638&gt;AW$7)),0,MAX(0,ROUND((INDEX($E638:$G638,AW$5)-SUMIFS(TF_Timer,TF_Tekniker,AW$4,TF_Dato,$A638))*2,0)/2)))</f>
        <v/>
      </c>
      <c r="AX638">
        <f>IF(OR(AX$4="",$A638&gt;TODAY()),0,IF(OR(INDEX($B638:$D638,AX$5)="F",AND(AX$6&gt;0,$A638&lt;AX$6),AND(AX$7&gt;0,$A638&gt;AX$7)),0,MAX(0,ROUND((INDEX($E638:$G638,AX$5)-SUMIFS(TF_Timer,TF_Tekniker,AX$4,TF_Dato,$A638))*2,0)/2)))</f>
        <v/>
      </c>
      <c r="AY638">
        <f>IF(OR(AY$4="",$A638&gt;TODAY()),0,IF(OR(INDEX($B638:$D638,AY$5)="F",AND(AY$6&gt;0,$A638&lt;AY$6),AND(AY$7&gt;0,$A638&gt;AY$7)),0,MAX(0,ROUND((INDEX($E638:$G638,AY$5)-SUMIFS(TF_Timer,TF_Tekniker,AY$4,TF_Dato,$A638))*2,0)/2)))</f>
        <v/>
      </c>
      <c r="AZ638">
        <f>IF(OR(AZ$4="",$A638&gt;TODAY()),0,IF(OR(INDEX($B638:$D638,AZ$5)="F",AND(AZ$6&gt;0,$A638&lt;AZ$6),AND(AZ$7&gt;0,$A638&gt;AZ$7)),0,MAX(0,ROUND((INDEX($E638:$G638,AZ$5)-SUMIFS(TF_Timer,TF_Tekniker,AZ$4,TF_Dato,$A638))*2,0)/2)))</f>
        <v/>
      </c>
      <c r="BA638">
        <f>IF(OR(BA$4="",$A638&gt;TODAY()),0,IF(OR(INDEX($B638:$D638,BA$5)="F",AND(BA$6&gt;0,$A638&lt;BA$6),AND(BA$7&gt;0,$A638&gt;BA$7)),0,MAX(0,ROUND((INDEX($E638:$G638,BA$5)-SUMIFS(TF_Timer,TF_Tekniker,BA$4,TF_Dato,$A638))*2,0)/2)))</f>
        <v/>
      </c>
      <c r="BB638">
        <f>IF(OR(BB$4="",$A638&gt;TODAY()),0,IF(OR(INDEX($B638:$D638,BB$5)="F",AND(BB$6&gt;0,$A638&lt;BB$6),AND(BB$7&gt;0,$A638&gt;BB$7)),0,MAX(0,ROUND((INDEX($E638:$G638,BB$5)-SUMIFS(TF_Timer,TF_Tekniker,BB$4,TF_Dato,$A638))*2,0)/2)))</f>
        <v/>
      </c>
      <c r="BC638">
        <f>IF(OR(BC$4="",$A638&gt;TODAY()),0,IF(OR(INDEX($B638:$D638,BC$5)="F",AND(BC$6&gt;0,$A638&lt;BC$6),AND(BC$7&gt;0,$A638&gt;BC$7)),0,MAX(0,ROUND((INDEX($E638:$G638,BC$5)-SUMIFS(TF_Timer,TF_Tekniker,BC$4,TF_Dato,$A638))*2,0)/2)))</f>
        <v/>
      </c>
      <c r="BD638">
        <f>IF(OR(BD$4="",$A638&gt;TODAY()),0,IF(OR(INDEX($B638:$D638,BD$5)="F",AND(BD$6&gt;0,$A638&lt;BD$6),AND(BD$7&gt;0,$A638&gt;BD$7)),0,MAX(0,ROUND((INDEX($E638:$G638,BD$5)-SUMIFS(TF_Timer,TF_Tekniker,BD$4,TF_Dato,$A638))*2,0)/2)))</f>
        <v/>
      </c>
      <c r="BE638">
        <f>IF(OR(BE$4="",$A638&gt;TODAY()),0,IF(OR(INDEX($B638:$D638,BE$5)="F",AND(BE$6&gt;0,$A638&lt;BE$6),AND(BE$7&gt;0,$A638&gt;BE$7)),0,MAX(0,ROUND((INDEX($E638:$G638,BE$5)-SUMIFS(TF_Timer,TF_Tekniker,BE$4,TF_Dato,$A638))*2,0)/2)))</f>
        <v/>
      </c>
      <c r="BF638">
        <f>IF(OR(BF$4="",$A638&gt;TODAY()),0,IF(OR(INDEX($B638:$D638,BF$5)="F",AND(BF$6&gt;0,$A638&lt;BF$6),AND(BF$7&gt;0,$A638&gt;BF$7)),0,MAX(0,ROUND((INDEX($E638:$G638,BF$5)-SUMIFS(TF_Timer,TF_Tekniker,BF$4,TF_Dato,$A638))*2,0)/2)))</f>
        <v/>
      </c>
      <c r="BG638">
        <f>IF(OR(BG$4="",$A638&gt;TODAY()),0,IF(OR(INDEX($B638:$D638,BG$5)="F",AND(BG$6&gt;0,$A638&lt;BG$6),AND(BG$7&gt;0,$A638&gt;BG$7)),0,MAX(0,ROUND((INDEX($E638:$G638,BG$5)-SUMIFS(TF_Timer,TF_Tekniker,BG$4,TF_Dato,$A638))*2,0)/2)))</f>
        <v/>
      </c>
      <c r="BH638">
        <f>IF(OR(BH$4="",$A638&gt;TODAY()),0,IF(OR(INDEX($B638:$D638,BH$5)="F",AND(BH$6&gt;0,$A638&lt;BH$6),AND(BH$7&gt;0,$A638&gt;BH$7)),0,MAX(0,ROUND((INDEX($E638:$G638,BH$5)-SUMIFS(TF_Timer,TF_Tekniker,BH$4,TF_Dato,$A638))*2,0)/2)))</f>
        <v/>
      </c>
      <c r="BI638">
        <f>IF(OR(BI$4="",$A638&gt;TODAY()),0,IF(OR(INDEX($B638:$D638,BI$5)="F",AND(BI$6&gt;0,$A638&lt;BI$6),AND(BI$7&gt;0,$A638&gt;BI$7)),0,MAX(0,ROUND((INDEX($E638:$G638,BI$5)-SUMIFS(TF_Timer,TF_Tekniker,BI$4,TF_Dato,$A638))*2,0)/2)))</f>
        <v/>
      </c>
    </row>
    <row r="639">
      <c r="A639" s="64">
        <f>A638+1</f>
        <v/>
      </c>
      <c r="B639">
        <f>IF(MOD($A639-INDEX(SkiftStart,1),Syklus)&lt;DagK,"K",IF(MOD($A639-INDEX(SkiftStart,1),Syklus)&lt;DagK+DagH,"H",IF(MOD($A639-INDEX(SkiftStart,1),Syklus)&lt;DagK+DagH+DagD,"D","F")))</f>
        <v/>
      </c>
      <c r="C639">
        <f>IF(MOD($A639-INDEX(SkiftStart,2),Syklus)&lt;DagK,"K",IF(MOD($A639-INDEX(SkiftStart,2),Syklus)&lt;DagK+DagH,"H",IF(MOD($A639-INDEX(SkiftStart,2),Syklus)&lt;DagK+DagH+DagD,"D","F")))</f>
        <v/>
      </c>
      <c r="D639">
        <f>IF(MOD($A639-INDEX(SkiftStart,3),Syklus)&lt;DagK,"K",IF(MOD($A639-INDEX(SkiftStart,3),Syklus)&lt;DagK+DagH,"H",IF(MOD($A639-INDEX(SkiftStart,3),Syklus)&lt;DagK+DagH+DagD,"D","F")))</f>
        <v/>
      </c>
      <c r="E639">
        <f>IF(B639="F",0,IF(WEEKDAY($A639,2)=5,INDEX(TimerFr,MATCH(B639,FaseKode,0)),INDEX(TimerMT,MATCH(B639,FaseKode,0))))</f>
        <v/>
      </c>
      <c r="F639">
        <f>IF(C639="F",0,IF(WEEKDAY($A639,2)=5,INDEX(TimerFr,MATCH(C639,FaseKode,0)),INDEX(TimerMT,MATCH(C639,FaseKode,0))))</f>
        <v/>
      </c>
      <c r="G639">
        <f>IF(D639="F",0,IF(WEEKDAY($A639,2)=5,INDEX(TimerFr,MATCH(D639,FaseKode,0)),INDEX(TimerMT,MATCH(D639,FaseKode,0))))</f>
        <v/>
      </c>
      <c r="H639">
        <f>IF(OR(H$4="",$A639&gt;TODAY()),0,IF(OR(INDEX($B639:$D639,H$5)="F",AND(H$6&gt;0,$A639&lt;H$6),AND(H$7&gt;0,$A639&gt;H$7)),0,MAX(0,ROUND((INDEX($E639:$G639,H$5)-SUMIFS(TF_Timer,TF_Tekniker,H$4,TF_Dato,$A639))*2,0)/2)))</f>
        <v/>
      </c>
      <c r="I639">
        <f>IF(OR(I$4="",$A639&gt;TODAY()),0,IF(OR(INDEX($B639:$D639,I$5)="F",AND(I$6&gt;0,$A639&lt;I$6),AND(I$7&gt;0,$A639&gt;I$7)),0,MAX(0,ROUND((INDEX($E639:$G639,I$5)-SUMIFS(TF_Timer,TF_Tekniker,I$4,TF_Dato,$A639))*2,0)/2)))</f>
        <v/>
      </c>
      <c r="J639">
        <f>IF(OR(J$4="",$A639&gt;TODAY()),0,IF(OR(INDEX($B639:$D639,J$5)="F",AND(J$6&gt;0,$A639&lt;J$6),AND(J$7&gt;0,$A639&gt;J$7)),0,MAX(0,ROUND((INDEX($E639:$G639,J$5)-SUMIFS(TF_Timer,TF_Tekniker,J$4,TF_Dato,$A639))*2,0)/2)))</f>
        <v/>
      </c>
      <c r="K639">
        <f>IF(OR(K$4="",$A639&gt;TODAY()),0,IF(OR(INDEX($B639:$D639,K$5)="F",AND(K$6&gt;0,$A639&lt;K$6),AND(K$7&gt;0,$A639&gt;K$7)),0,MAX(0,ROUND((INDEX($E639:$G639,K$5)-SUMIFS(TF_Timer,TF_Tekniker,K$4,TF_Dato,$A639))*2,0)/2)))</f>
        <v/>
      </c>
      <c r="L639">
        <f>IF(OR(L$4="",$A639&gt;TODAY()),0,IF(OR(INDEX($B639:$D639,L$5)="F",AND(L$6&gt;0,$A639&lt;L$6),AND(L$7&gt;0,$A639&gt;L$7)),0,MAX(0,ROUND((INDEX($E639:$G639,L$5)-SUMIFS(TF_Timer,TF_Tekniker,L$4,TF_Dato,$A639))*2,0)/2)))</f>
        <v/>
      </c>
      <c r="M639">
        <f>IF(OR(M$4="",$A639&gt;TODAY()),0,IF(OR(INDEX($B639:$D639,M$5)="F",AND(M$6&gt;0,$A639&lt;M$6),AND(M$7&gt;0,$A639&gt;M$7)),0,MAX(0,ROUND((INDEX($E639:$G639,M$5)-SUMIFS(TF_Timer,TF_Tekniker,M$4,TF_Dato,$A639))*2,0)/2)))</f>
        <v/>
      </c>
      <c r="N639">
        <f>IF(OR(N$4="",$A639&gt;TODAY()),0,IF(OR(INDEX($B639:$D639,N$5)="F",AND(N$6&gt;0,$A639&lt;N$6),AND(N$7&gt;0,$A639&gt;N$7)),0,MAX(0,ROUND((INDEX($E639:$G639,N$5)-SUMIFS(TF_Timer,TF_Tekniker,N$4,TF_Dato,$A639))*2,0)/2)))</f>
        <v/>
      </c>
      <c r="O639">
        <f>IF(OR(O$4="",$A639&gt;TODAY()),0,IF(OR(INDEX($B639:$D639,O$5)="F",AND(O$6&gt;0,$A639&lt;O$6),AND(O$7&gt;0,$A639&gt;O$7)),0,MAX(0,ROUND((INDEX($E639:$G639,O$5)-SUMIFS(TF_Timer,TF_Tekniker,O$4,TF_Dato,$A639))*2,0)/2)))</f>
        <v/>
      </c>
      <c r="P639">
        <f>IF(OR(P$4="",$A639&gt;TODAY()),0,IF(OR(INDEX($B639:$D639,P$5)="F",AND(P$6&gt;0,$A639&lt;P$6),AND(P$7&gt;0,$A639&gt;P$7)),0,MAX(0,ROUND((INDEX($E639:$G639,P$5)-SUMIFS(TF_Timer,TF_Tekniker,P$4,TF_Dato,$A639))*2,0)/2)))</f>
        <v/>
      </c>
      <c r="Q639">
        <f>IF(OR(Q$4="",$A639&gt;TODAY()),0,IF(OR(INDEX($B639:$D639,Q$5)="F",AND(Q$6&gt;0,$A639&lt;Q$6),AND(Q$7&gt;0,$A639&gt;Q$7)),0,MAX(0,ROUND((INDEX($E639:$G639,Q$5)-SUMIFS(TF_Timer,TF_Tekniker,Q$4,TF_Dato,$A639))*2,0)/2)))</f>
        <v/>
      </c>
      <c r="R639">
        <f>IF(OR(R$4="",$A639&gt;TODAY()),0,IF(OR(INDEX($B639:$D639,R$5)="F",AND(R$6&gt;0,$A639&lt;R$6),AND(R$7&gt;0,$A639&gt;R$7)),0,MAX(0,ROUND((INDEX($E639:$G639,R$5)-SUMIFS(TF_Timer,TF_Tekniker,R$4,TF_Dato,$A639))*2,0)/2)))</f>
        <v/>
      </c>
      <c r="S639">
        <f>IF(OR(S$4="",$A639&gt;TODAY()),0,IF(OR(INDEX($B639:$D639,S$5)="F",AND(S$6&gt;0,$A639&lt;S$6),AND(S$7&gt;0,$A639&gt;S$7)),0,MAX(0,ROUND((INDEX($E639:$G639,S$5)-SUMIFS(TF_Timer,TF_Tekniker,S$4,TF_Dato,$A639))*2,0)/2)))</f>
        <v/>
      </c>
      <c r="T639">
        <f>IF(OR(T$4="",$A639&gt;TODAY()),0,IF(OR(INDEX($B639:$D639,T$5)="F",AND(T$6&gt;0,$A639&lt;T$6),AND(T$7&gt;0,$A639&gt;T$7)),0,MAX(0,ROUND((INDEX($E639:$G639,T$5)-SUMIFS(TF_Timer,TF_Tekniker,T$4,TF_Dato,$A639))*2,0)/2)))</f>
        <v/>
      </c>
      <c r="U639">
        <f>IF(OR(U$4="",$A639&gt;TODAY()),0,IF(OR(INDEX($B639:$D639,U$5)="F",AND(U$6&gt;0,$A639&lt;U$6),AND(U$7&gt;0,$A639&gt;U$7)),0,MAX(0,ROUND((INDEX($E639:$G639,U$5)-SUMIFS(TF_Timer,TF_Tekniker,U$4,TF_Dato,$A639))*2,0)/2)))</f>
        <v/>
      </c>
      <c r="V639">
        <f>IF(OR(V$4="",$A639&gt;TODAY()),0,IF(OR(INDEX($B639:$D639,V$5)="F",AND(V$6&gt;0,$A639&lt;V$6),AND(V$7&gt;0,$A639&gt;V$7)),0,MAX(0,ROUND((INDEX($E639:$G639,V$5)-SUMIFS(TF_Timer,TF_Tekniker,V$4,TF_Dato,$A639))*2,0)/2)))</f>
        <v/>
      </c>
      <c r="W639">
        <f>IF(OR(W$4="",$A639&gt;TODAY()),0,IF(OR(INDEX($B639:$D639,W$5)="F",AND(W$6&gt;0,$A639&lt;W$6),AND(W$7&gt;0,$A639&gt;W$7)),0,MAX(0,ROUND((INDEX($E639:$G639,W$5)-SUMIFS(TF_Timer,TF_Tekniker,W$4,TF_Dato,$A639))*2,0)/2)))</f>
        <v/>
      </c>
      <c r="X639">
        <f>IF(OR(X$4="",$A639&gt;TODAY()),0,IF(OR(INDEX($B639:$D639,X$5)="F",AND(X$6&gt;0,$A639&lt;X$6),AND(X$7&gt;0,$A639&gt;X$7)),0,MAX(0,ROUND((INDEX($E639:$G639,X$5)-SUMIFS(TF_Timer,TF_Tekniker,X$4,TF_Dato,$A639))*2,0)/2)))</f>
        <v/>
      </c>
      <c r="Y639">
        <f>IF(OR(Y$4="",$A639&gt;TODAY()),0,IF(OR(INDEX($B639:$D639,Y$5)="F",AND(Y$6&gt;0,$A639&lt;Y$6),AND(Y$7&gt;0,$A639&gt;Y$7)),0,MAX(0,ROUND((INDEX($E639:$G639,Y$5)-SUMIFS(TF_Timer,TF_Tekniker,Y$4,TF_Dato,$A639))*2,0)/2)))</f>
        <v/>
      </c>
      <c r="Z639">
        <f>IF(OR(Z$4="",$A639&gt;TODAY()),0,IF(OR(INDEX($B639:$D639,Z$5)="F",AND(Z$6&gt;0,$A639&lt;Z$6),AND(Z$7&gt;0,$A639&gt;Z$7)),0,MAX(0,ROUND((INDEX($E639:$G639,Z$5)-SUMIFS(TF_Timer,TF_Tekniker,Z$4,TF_Dato,$A639))*2,0)/2)))</f>
        <v/>
      </c>
      <c r="AA639">
        <f>IF(OR(AA$4="",$A639&gt;TODAY()),0,IF(OR(INDEX($B639:$D639,AA$5)="F",AND(AA$6&gt;0,$A639&lt;AA$6),AND(AA$7&gt;0,$A639&gt;AA$7)),0,MAX(0,ROUND((INDEX($E639:$G639,AA$5)-SUMIFS(TF_Timer,TF_Tekniker,AA$4,TF_Dato,$A639))*2,0)/2)))</f>
        <v/>
      </c>
      <c r="AB639">
        <f>IF(OR(AB$4="",$A639&gt;TODAY()),0,IF(OR(INDEX($B639:$D639,AB$5)="F",AND(AB$6&gt;0,$A639&lt;AB$6),AND(AB$7&gt;0,$A639&gt;AB$7)),0,MAX(0,ROUND((INDEX($E639:$G639,AB$5)-SUMIFS(TF_Timer,TF_Tekniker,AB$4,TF_Dato,$A639))*2,0)/2)))</f>
        <v/>
      </c>
      <c r="AC639">
        <f>IF(OR(AC$4="",$A639&gt;TODAY()),0,IF(OR(INDEX($B639:$D639,AC$5)="F",AND(AC$6&gt;0,$A639&lt;AC$6),AND(AC$7&gt;0,$A639&gt;AC$7)),0,MAX(0,ROUND((INDEX($E639:$G639,AC$5)-SUMIFS(TF_Timer,TF_Tekniker,AC$4,TF_Dato,$A639))*2,0)/2)))</f>
        <v/>
      </c>
      <c r="AD639">
        <f>IF(OR(AD$4="",$A639&gt;TODAY()),0,IF(OR(INDEX($B639:$D639,AD$5)="F",AND(AD$6&gt;0,$A639&lt;AD$6),AND(AD$7&gt;0,$A639&gt;AD$7)),0,MAX(0,ROUND((INDEX($E639:$G639,AD$5)-SUMIFS(TF_Timer,TF_Tekniker,AD$4,TF_Dato,$A639))*2,0)/2)))</f>
        <v/>
      </c>
      <c r="AE639">
        <f>IF(OR(AE$4="",$A639&gt;TODAY()),0,IF(OR(INDEX($B639:$D639,AE$5)="F",AND(AE$6&gt;0,$A639&lt;AE$6),AND(AE$7&gt;0,$A639&gt;AE$7)),0,MAX(0,ROUND((INDEX($E639:$G639,AE$5)-SUMIFS(TF_Timer,TF_Tekniker,AE$4,TF_Dato,$A639))*2,0)/2)))</f>
        <v/>
      </c>
      <c r="AF639">
        <f>IF(OR(AF$4="",$A639&gt;TODAY()),0,IF(OR(INDEX($B639:$D639,AF$5)="F",AND(AF$6&gt;0,$A639&lt;AF$6),AND(AF$7&gt;0,$A639&gt;AF$7)),0,MAX(0,ROUND((INDEX($E639:$G639,AF$5)-SUMIFS(TF_Timer,TF_Tekniker,AF$4,TF_Dato,$A639))*2,0)/2)))</f>
        <v/>
      </c>
      <c r="AG639">
        <f>IF(OR(AG$4="",$A639&gt;TODAY()),0,IF(OR(INDEX($B639:$D639,AG$5)="F",AND(AG$6&gt;0,$A639&lt;AG$6),AND(AG$7&gt;0,$A639&gt;AG$7)),0,MAX(0,ROUND((INDEX($E639:$G639,AG$5)-SUMIFS(TF_Timer,TF_Tekniker,AG$4,TF_Dato,$A639))*2,0)/2)))</f>
        <v/>
      </c>
      <c r="AH639">
        <f>IF(OR(AH$4="",$A639&gt;TODAY()),0,IF(OR(INDEX($B639:$D639,AH$5)="F",AND(AH$6&gt;0,$A639&lt;AH$6),AND(AH$7&gt;0,$A639&gt;AH$7)),0,MAX(0,ROUND((INDEX($E639:$G639,AH$5)-SUMIFS(TF_Timer,TF_Tekniker,AH$4,TF_Dato,$A639))*2,0)/2)))</f>
        <v/>
      </c>
      <c r="AI639">
        <f>IF(OR(AI$4="",$A639&gt;TODAY()),0,IF(OR(INDEX($B639:$D639,AI$5)="F",AND(AI$6&gt;0,$A639&lt;AI$6),AND(AI$7&gt;0,$A639&gt;AI$7)),0,MAX(0,ROUND((INDEX($E639:$G639,AI$5)-SUMIFS(TF_Timer,TF_Tekniker,AI$4,TF_Dato,$A639))*2,0)/2)))</f>
        <v/>
      </c>
      <c r="AJ639">
        <f>IF(OR(AJ$4="",$A639&gt;TODAY()),0,IF(OR(INDEX($B639:$D639,AJ$5)="F",AND(AJ$6&gt;0,$A639&lt;AJ$6),AND(AJ$7&gt;0,$A639&gt;AJ$7)),0,MAX(0,ROUND((INDEX($E639:$G639,AJ$5)-SUMIFS(TF_Timer,TF_Tekniker,AJ$4,TF_Dato,$A639))*2,0)/2)))</f>
        <v/>
      </c>
      <c r="AK639">
        <f>IF(OR(AK$4="",$A639&gt;TODAY()),0,IF(OR(INDEX($B639:$D639,AK$5)="F",AND(AK$6&gt;0,$A639&lt;AK$6),AND(AK$7&gt;0,$A639&gt;AK$7)),0,MAX(0,ROUND((INDEX($E639:$G639,AK$5)-SUMIFS(TF_Timer,TF_Tekniker,AK$4,TF_Dato,$A639))*2,0)/2)))</f>
        <v/>
      </c>
      <c r="AL639">
        <f>IF(OR(AL$4="",$A639&gt;TODAY()),0,IF(OR(INDEX($B639:$D639,AL$5)="F",AND(AL$6&gt;0,$A639&lt;AL$6),AND(AL$7&gt;0,$A639&gt;AL$7)),0,MAX(0,ROUND((INDEX($E639:$G639,AL$5)-SUMIFS(TF_Timer,TF_Tekniker,AL$4,TF_Dato,$A639))*2,0)/2)))</f>
        <v/>
      </c>
      <c r="AM639">
        <f>IF(OR(AM$4="",$A639&gt;TODAY()),0,IF(OR(INDEX($B639:$D639,AM$5)="F",AND(AM$6&gt;0,$A639&lt;AM$6),AND(AM$7&gt;0,$A639&gt;AM$7)),0,MAX(0,ROUND((INDEX($E639:$G639,AM$5)-SUMIFS(TF_Timer,TF_Tekniker,AM$4,TF_Dato,$A639))*2,0)/2)))</f>
        <v/>
      </c>
      <c r="AN639">
        <f>IF(OR(AN$4="",$A639&gt;TODAY()),0,IF(OR(INDEX($B639:$D639,AN$5)="F",AND(AN$6&gt;0,$A639&lt;AN$6),AND(AN$7&gt;0,$A639&gt;AN$7)),0,MAX(0,ROUND((INDEX($E639:$G639,AN$5)-SUMIFS(TF_Timer,TF_Tekniker,AN$4,TF_Dato,$A639))*2,0)/2)))</f>
        <v/>
      </c>
      <c r="AO639">
        <f>IF(OR(AO$4="",$A639&gt;TODAY()),0,IF(OR(INDEX($B639:$D639,AO$5)="F",AND(AO$6&gt;0,$A639&lt;AO$6),AND(AO$7&gt;0,$A639&gt;AO$7)),0,MAX(0,ROUND((INDEX($E639:$G639,AO$5)-SUMIFS(TF_Timer,TF_Tekniker,AO$4,TF_Dato,$A639))*2,0)/2)))</f>
        <v/>
      </c>
      <c r="AP639">
        <f>IF(OR(AP$4="",$A639&gt;TODAY()),0,IF(OR(INDEX($B639:$D639,AP$5)="F",AND(AP$6&gt;0,$A639&lt;AP$6),AND(AP$7&gt;0,$A639&gt;AP$7)),0,MAX(0,ROUND((INDEX($E639:$G639,AP$5)-SUMIFS(TF_Timer,TF_Tekniker,AP$4,TF_Dato,$A639))*2,0)/2)))</f>
        <v/>
      </c>
      <c r="AQ639">
        <f>IF(OR(AQ$4="",$A639&gt;TODAY()),0,IF(OR(INDEX($B639:$D639,AQ$5)="F",AND(AQ$6&gt;0,$A639&lt;AQ$6),AND(AQ$7&gt;0,$A639&gt;AQ$7)),0,MAX(0,ROUND((INDEX($E639:$G639,AQ$5)-SUMIFS(TF_Timer,TF_Tekniker,AQ$4,TF_Dato,$A639))*2,0)/2)))</f>
        <v/>
      </c>
      <c r="AR639">
        <f>IF(OR(AR$4="",$A639&gt;TODAY()),0,IF(OR(INDEX($B639:$D639,AR$5)="F",AND(AR$6&gt;0,$A639&lt;AR$6),AND(AR$7&gt;0,$A639&gt;AR$7)),0,MAX(0,ROUND((INDEX($E639:$G639,AR$5)-SUMIFS(TF_Timer,TF_Tekniker,AR$4,TF_Dato,$A639))*2,0)/2)))</f>
        <v/>
      </c>
      <c r="AS639">
        <f>IF(OR(AS$4="",$A639&gt;TODAY()),0,IF(OR(INDEX($B639:$D639,AS$5)="F",AND(AS$6&gt;0,$A639&lt;AS$6),AND(AS$7&gt;0,$A639&gt;AS$7)),0,MAX(0,ROUND((INDEX($E639:$G639,AS$5)-SUMIFS(TF_Timer,TF_Tekniker,AS$4,TF_Dato,$A639))*2,0)/2)))</f>
        <v/>
      </c>
      <c r="AT639">
        <f>IF(OR(AT$4="",$A639&gt;TODAY()),0,IF(OR(INDEX($B639:$D639,AT$5)="F",AND(AT$6&gt;0,$A639&lt;AT$6),AND(AT$7&gt;0,$A639&gt;AT$7)),0,MAX(0,ROUND((INDEX($E639:$G639,AT$5)-SUMIFS(TF_Timer,TF_Tekniker,AT$4,TF_Dato,$A639))*2,0)/2)))</f>
        <v/>
      </c>
      <c r="AU639">
        <f>IF(OR(AU$4="",$A639&gt;TODAY()),0,IF(OR(INDEX($B639:$D639,AU$5)="F",AND(AU$6&gt;0,$A639&lt;AU$6),AND(AU$7&gt;0,$A639&gt;AU$7)),0,MAX(0,ROUND((INDEX($E639:$G639,AU$5)-SUMIFS(TF_Timer,TF_Tekniker,AU$4,TF_Dato,$A639))*2,0)/2)))</f>
        <v/>
      </c>
      <c r="AV639">
        <f>IF(OR(AV$4="",$A639&gt;TODAY()),0,IF(OR(INDEX($B639:$D639,AV$5)="F",AND(AV$6&gt;0,$A639&lt;AV$6),AND(AV$7&gt;0,$A639&gt;AV$7)),0,MAX(0,ROUND((INDEX($E639:$G639,AV$5)-SUMIFS(TF_Timer,TF_Tekniker,AV$4,TF_Dato,$A639))*2,0)/2)))</f>
        <v/>
      </c>
      <c r="AW639">
        <f>IF(OR(AW$4="",$A639&gt;TODAY()),0,IF(OR(INDEX($B639:$D639,AW$5)="F",AND(AW$6&gt;0,$A639&lt;AW$6),AND(AW$7&gt;0,$A639&gt;AW$7)),0,MAX(0,ROUND((INDEX($E639:$G639,AW$5)-SUMIFS(TF_Timer,TF_Tekniker,AW$4,TF_Dato,$A639))*2,0)/2)))</f>
        <v/>
      </c>
      <c r="AX639">
        <f>IF(OR(AX$4="",$A639&gt;TODAY()),0,IF(OR(INDEX($B639:$D639,AX$5)="F",AND(AX$6&gt;0,$A639&lt;AX$6),AND(AX$7&gt;0,$A639&gt;AX$7)),0,MAX(0,ROUND((INDEX($E639:$G639,AX$5)-SUMIFS(TF_Timer,TF_Tekniker,AX$4,TF_Dato,$A639))*2,0)/2)))</f>
        <v/>
      </c>
      <c r="AY639">
        <f>IF(OR(AY$4="",$A639&gt;TODAY()),0,IF(OR(INDEX($B639:$D639,AY$5)="F",AND(AY$6&gt;0,$A639&lt;AY$6),AND(AY$7&gt;0,$A639&gt;AY$7)),0,MAX(0,ROUND((INDEX($E639:$G639,AY$5)-SUMIFS(TF_Timer,TF_Tekniker,AY$4,TF_Dato,$A639))*2,0)/2)))</f>
        <v/>
      </c>
      <c r="AZ639">
        <f>IF(OR(AZ$4="",$A639&gt;TODAY()),0,IF(OR(INDEX($B639:$D639,AZ$5)="F",AND(AZ$6&gt;0,$A639&lt;AZ$6),AND(AZ$7&gt;0,$A639&gt;AZ$7)),0,MAX(0,ROUND((INDEX($E639:$G639,AZ$5)-SUMIFS(TF_Timer,TF_Tekniker,AZ$4,TF_Dato,$A639))*2,0)/2)))</f>
        <v/>
      </c>
      <c r="BA639">
        <f>IF(OR(BA$4="",$A639&gt;TODAY()),0,IF(OR(INDEX($B639:$D639,BA$5)="F",AND(BA$6&gt;0,$A639&lt;BA$6),AND(BA$7&gt;0,$A639&gt;BA$7)),0,MAX(0,ROUND((INDEX($E639:$G639,BA$5)-SUMIFS(TF_Timer,TF_Tekniker,BA$4,TF_Dato,$A639))*2,0)/2)))</f>
        <v/>
      </c>
      <c r="BB639">
        <f>IF(OR(BB$4="",$A639&gt;TODAY()),0,IF(OR(INDEX($B639:$D639,BB$5)="F",AND(BB$6&gt;0,$A639&lt;BB$6),AND(BB$7&gt;0,$A639&gt;BB$7)),0,MAX(0,ROUND((INDEX($E639:$G639,BB$5)-SUMIFS(TF_Timer,TF_Tekniker,BB$4,TF_Dato,$A639))*2,0)/2)))</f>
        <v/>
      </c>
      <c r="BC639">
        <f>IF(OR(BC$4="",$A639&gt;TODAY()),0,IF(OR(INDEX($B639:$D639,BC$5)="F",AND(BC$6&gt;0,$A639&lt;BC$6),AND(BC$7&gt;0,$A639&gt;BC$7)),0,MAX(0,ROUND((INDEX($E639:$G639,BC$5)-SUMIFS(TF_Timer,TF_Tekniker,BC$4,TF_Dato,$A639))*2,0)/2)))</f>
        <v/>
      </c>
      <c r="BD639">
        <f>IF(OR(BD$4="",$A639&gt;TODAY()),0,IF(OR(INDEX($B639:$D639,BD$5)="F",AND(BD$6&gt;0,$A639&lt;BD$6),AND(BD$7&gt;0,$A639&gt;BD$7)),0,MAX(0,ROUND((INDEX($E639:$G639,BD$5)-SUMIFS(TF_Timer,TF_Tekniker,BD$4,TF_Dato,$A639))*2,0)/2)))</f>
        <v/>
      </c>
      <c r="BE639">
        <f>IF(OR(BE$4="",$A639&gt;TODAY()),0,IF(OR(INDEX($B639:$D639,BE$5)="F",AND(BE$6&gt;0,$A639&lt;BE$6),AND(BE$7&gt;0,$A639&gt;BE$7)),0,MAX(0,ROUND((INDEX($E639:$G639,BE$5)-SUMIFS(TF_Timer,TF_Tekniker,BE$4,TF_Dato,$A639))*2,0)/2)))</f>
        <v/>
      </c>
      <c r="BF639">
        <f>IF(OR(BF$4="",$A639&gt;TODAY()),0,IF(OR(INDEX($B639:$D639,BF$5)="F",AND(BF$6&gt;0,$A639&lt;BF$6),AND(BF$7&gt;0,$A639&gt;BF$7)),0,MAX(0,ROUND((INDEX($E639:$G639,BF$5)-SUMIFS(TF_Timer,TF_Tekniker,BF$4,TF_Dato,$A639))*2,0)/2)))</f>
        <v/>
      </c>
      <c r="BG639">
        <f>IF(OR(BG$4="",$A639&gt;TODAY()),0,IF(OR(INDEX($B639:$D639,BG$5)="F",AND(BG$6&gt;0,$A639&lt;BG$6),AND(BG$7&gt;0,$A639&gt;BG$7)),0,MAX(0,ROUND((INDEX($E639:$G639,BG$5)-SUMIFS(TF_Timer,TF_Tekniker,BG$4,TF_Dato,$A639))*2,0)/2)))</f>
        <v/>
      </c>
      <c r="BH639">
        <f>IF(OR(BH$4="",$A639&gt;TODAY()),0,IF(OR(INDEX($B639:$D639,BH$5)="F",AND(BH$6&gt;0,$A639&lt;BH$6),AND(BH$7&gt;0,$A639&gt;BH$7)),0,MAX(0,ROUND((INDEX($E639:$G639,BH$5)-SUMIFS(TF_Timer,TF_Tekniker,BH$4,TF_Dato,$A639))*2,0)/2)))</f>
        <v/>
      </c>
      <c r="BI639">
        <f>IF(OR(BI$4="",$A639&gt;TODAY()),0,IF(OR(INDEX($B639:$D639,BI$5)="F",AND(BI$6&gt;0,$A639&lt;BI$6),AND(BI$7&gt;0,$A639&gt;BI$7)),0,MAX(0,ROUND((INDEX($E639:$G639,BI$5)-SUMIFS(TF_Timer,TF_Tekniker,BI$4,TF_Dato,$A639))*2,0)/2)))</f>
        <v/>
      </c>
    </row>
    <row r="640">
      <c r="A640" s="64">
        <f>A639+1</f>
        <v/>
      </c>
      <c r="B640">
        <f>IF(MOD($A640-INDEX(SkiftStart,1),Syklus)&lt;DagK,"K",IF(MOD($A640-INDEX(SkiftStart,1),Syklus)&lt;DagK+DagH,"H",IF(MOD($A640-INDEX(SkiftStart,1),Syklus)&lt;DagK+DagH+DagD,"D","F")))</f>
        <v/>
      </c>
      <c r="C640">
        <f>IF(MOD($A640-INDEX(SkiftStart,2),Syklus)&lt;DagK,"K",IF(MOD($A640-INDEX(SkiftStart,2),Syklus)&lt;DagK+DagH,"H",IF(MOD($A640-INDEX(SkiftStart,2),Syklus)&lt;DagK+DagH+DagD,"D","F")))</f>
        <v/>
      </c>
      <c r="D640">
        <f>IF(MOD($A640-INDEX(SkiftStart,3),Syklus)&lt;DagK,"K",IF(MOD($A640-INDEX(SkiftStart,3),Syklus)&lt;DagK+DagH,"H",IF(MOD($A640-INDEX(SkiftStart,3),Syklus)&lt;DagK+DagH+DagD,"D","F")))</f>
        <v/>
      </c>
      <c r="E640">
        <f>IF(B640="F",0,IF(WEEKDAY($A640,2)=5,INDEX(TimerFr,MATCH(B640,FaseKode,0)),INDEX(TimerMT,MATCH(B640,FaseKode,0))))</f>
        <v/>
      </c>
      <c r="F640">
        <f>IF(C640="F",0,IF(WEEKDAY($A640,2)=5,INDEX(TimerFr,MATCH(C640,FaseKode,0)),INDEX(TimerMT,MATCH(C640,FaseKode,0))))</f>
        <v/>
      </c>
      <c r="G640">
        <f>IF(D640="F",0,IF(WEEKDAY($A640,2)=5,INDEX(TimerFr,MATCH(D640,FaseKode,0)),INDEX(TimerMT,MATCH(D640,FaseKode,0))))</f>
        <v/>
      </c>
      <c r="H640">
        <f>IF(OR(H$4="",$A640&gt;TODAY()),0,IF(OR(INDEX($B640:$D640,H$5)="F",AND(H$6&gt;0,$A640&lt;H$6),AND(H$7&gt;0,$A640&gt;H$7)),0,MAX(0,ROUND((INDEX($E640:$G640,H$5)-SUMIFS(TF_Timer,TF_Tekniker,H$4,TF_Dato,$A640))*2,0)/2)))</f>
        <v/>
      </c>
      <c r="I640">
        <f>IF(OR(I$4="",$A640&gt;TODAY()),0,IF(OR(INDEX($B640:$D640,I$5)="F",AND(I$6&gt;0,$A640&lt;I$6),AND(I$7&gt;0,$A640&gt;I$7)),0,MAX(0,ROUND((INDEX($E640:$G640,I$5)-SUMIFS(TF_Timer,TF_Tekniker,I$4,TF_Dato,$A640))*2,0)/2)))</f>
        <v/>
      </c>
      <c r="J640">
        <f>IF(OR(J$4="",$A640&gt;TODAY()),0,IF(OR(INDEX($B640:$D640,J$5)="F",AND(J$6&gt;0,$A640&lt;J$6),AND(J$7&gt;0,$A640&gt;J$7)),0,MAX(0,ROUND((INDEX($E640:$G640,J$5)-SUMIFS(TF_Timer,TF_Tekniker,J$4,TF_Dato,$A640))*2,0)/2)))</f>
        <v/>
      </c>
      <c r="K640">
        <f>IF(OR(K$4="",$A640&gt;TODAY()),0,IF(OR(INDEX($B640:$D640,K$5)="F",AND(K$6&gt;0,$A640&lt;K$6),AND(K$7&gt;0,$A640&gt;K$7)),0,MAX(0,ROUND((INDEX($E640:$G640,K$5)-SUMIFS(TF_Timer,TF_Tekniker,K$4,TF_Dato,$A640))*2,0)/2)))</f>
        <v/>
      </c>
      <c r="L640">
        <f>IF(OR(L$4="",$A640&gt;TODAY()),0,IF(OR(INDEX($B640:$D640,L$5)="F",AND(L$6&gt;0,$A640&lt;L$6),AND(L$7&gt;0,$A640&gt;L$7)),0,MAX(0,ROUND((INDEX($E640:$G640,L$5)-SUMIFS(TF_Timer,TF_Tekniker,L$4,TF_Dato,$A640))*2,0)/2)))</f>
        <v/>
      </c>
      <c r="M640">
        <f>IF(OR(M$4="",$A640&gt;TODAY()),0,IF(OR(INDEX($B640:$D640,M$5)="F",AND(M$6&gt;0,$A640&lt;M$6),AND(M$7&gt;0,$A640&gt;M$7)),0,MAX(0,ROUND((INDEX($E640:$G640,M$5)-SUMIFS(TF_Timer,TF_Tekniker,M$4,TF_Dato,$A640))*2,0)/2)))</f>
        <v/>
      </c>
      <c r="N640">
        <f>IF(OR(N$4="",$A640&gt;TODAY()),0,IF(OR(INDEX($B640:$D640,N$5)="F",AND(N$6&gt;0,$A640&lt;N$6),AND(N$7&gt;0,$A640&gt;N$7)),0,MAX(0,ROUND((INDEX($E640:$G640,N$5)-SUMIFS(TF_Timer,TF_Tekniker,N$4,TF_Dato,$A640))*2,0)/2)))</f>
        <v/>
      </c>
      <c r="O640">
        <f>IF(OR(O$4="",$A640&gt;TODAY()),0,IF(OR(INDEX($B640:$D640,O$5)="F",AND(O$6&gt;0,$A640&lt;O$6),AND(O$7&gt;0,$A640&gt;O$7)),0,MAX(0,ROUND((INDEX($E640:$G640,O$5)-SUMIFS(TF_Timer,TF_Tekniker,O$4,TF_Dato,$A640))*2,0)/2)))</f>
        <v/>
      </c>
      <c r="P640">
        <f>IF(OR(P$4="",$A640&gt;TODAY()),0,IF(OR(INDEX($B640:$D640,P$5)="F",AND(P$6&gt;0,$A640&lt;P$6),AND(P$7&gt;0,$A640&gt;P$7)),0,MAX(0,ROUND((INDEX($E640:$G640,P$5)-SUMIFS(TF_Timer,TF_Tekniker,P$4,TF_Dato,$A640))*2,0)/2)))</f>
        <v/>
      </c>
      <c r="Q640">
        <f>IF(OR(Q$4="",$A640&gt;TODAY()),0,IF(OR(INDEX($B640:$D640,Q$5)="F",AND(Q$6&gt;0,$A640&lt;Q$6),AND(Q$7&gt;0,$A640&gt;Q$7)),0,MAX(0,ROUND((INDEX($E640:$G640,Q$5)-SUMIFS(TF_Timer,TF_Tekniker,Q$4,TF_Dato,$A640))*2,0)/2)))</f>
        <v/>
      </c>
      <c r="R640">
        <f>IF(OR(R$4="",$A640&gt;TODAY()),0,IF(OR(INDEX($B640:$D640,R$5)="F",AND(R$6&gt;0,$A640&lt;R$6),AND(R$7&gt;0,$A640&gt;R$7)),0,MAX(0,ROUND((INDEX($E640:$G640,R$5)-SUMIFS(TF_Timer,TF_Tekniker,R$4,TF_Dato,$A640))*2,0)/2)))</f>
        <v/>
      </c>
      <c r="S640">
        <f>IF(OR(S$4="",$A640&gt;TODAY()),0,IF(OR(INDEX($B640:$D640,S$5)="F",AND(S$6&gt;0,$A640&lt;S$6),AND(S$7&gt;0,$A640&gt;S$7)),0,MAX(0,ROUND((INDEX($E640:$G640,S$5)-SUMIFS(TF_Timer,TF_Tekniker,S$4,TF_Dato,$A640))*2,0)/2)))</f>
        <v/>
      </c>
      <c r="T640">
        <f>IF(OR(T$4="",$A640&gt;TODAY()),0,IF(OR(INDEX($B640:$D640,T$5)="F",AND(T$6&gt;0,$A640&lt;T$6),AND(T$7&gt;0,$A640&gt;T$7)),0,MAX(0,ROUND((INDEX($E640:$G640,T$5)-SUMIFS(TF_Timer,TF_Tekniker,T$4,TF_Dato,$A640))*2,0)/2)))</f>
        <v/>
      </c>
      <c r="U640">
        <f>IF(OR(U$4="",$A640&gt;TODAY()),0,IF(OR(INDEX($B640:$D640,U$5)="F",AND(U$6&gt;0,$A640&lt;U$6),AND(U$7&gt;0,$A640&gt;U$7)),0,MAX(0,ROUND((INDEX($E640:$G640,U$5)-SUMIFS(TF_Timer,TF_Tekniker,U$4,TF_Dato,$A640))*2,0)/2)))</f>
        <v/>
      </c>
      <c r="V640">
        <f>IF(OR(V$4="",$A640&gt;TODAY()),0,IF(OR(INDEX($B640:$D640,V$5)="F",AND(V$6&gt;0,$A640&lt;V$6),AND(V$7&gt;0,$A640&gt;V$7)),0,MAX(0,ROUND((INDEX($E640:$G640,V$5)-SUMIFS(TF_Timer,TF_Tekniker,V$4,TF_Dato,$A640))*2,0)/2)))</f>
        <v/>
      </c>
      <c r="W640">
        <f>IF(OR(W$4="",$A640&gt;TODAY()),0,IF(OR(INDEX($B640:$D640,W$5)="F",AND(W$6&gt;0,$A640&lt;W$6),AND(W$7&gt;0,$A640&gt;W$7)),0,MAX(0,ROUND((INDEX($E640:$G640,W$5)-SUMIFS(TF_Timer,TF_Tekniker,W$4,TF_Dato,$A640))*2,0)/2)))</f>
        <v/>
      </c>
      <c r="X640">
        <f>IF(OR(X$4="",$A640&gt;TODAY()),0,IF(OR(INDEX($B640:$D640,X$5)="F",AND(X$6&gt;0,$A640&lt;X$6),AND(X$7&gt;0,$A640&gt;X$7)),0,MAX(0,ROUND((INDEX($E640:$G640,X$5)-SUMIFS(TF_Timer,TF_Tekniker,X$4,TF_Dato,$A640))*2,0)/2)))</f>
        <v/>
      </c>
      <c r="Y640">
        <f>IF(OR(Y$4="",$A640&gt;TODAY()),0,IF(OR(INDEX($B640:$D640,Y$5)="F",AND(Y$6&gt;0,$A640&lt;Y$6),AND(Y$7&gt;0,$A640&gt;Y$7)),0,MAX(0,ROUND((INDEX($E640:$G640,Y$5)-SUMIFS(TF_Timer,TF_Tekniker,Y$4,TF_Dato,$A640))*2,0)/2)))</f>
        <v/>
      </c>
      <c r="Z640">
        <f>IF(OR(Z$4="",$A640&gt;TODAY()),0,IF(OR(INDEX($B640:$D640,Z$5)="F",AND(Z$6&gt;0,$A640&lt;Z$6),AND(Z$7&gt;0,$A640&gt;Z$7)),0,MAX(0,ROUND((INDEX($E640:$G640,Z$5)-SUMIFS(TF_Timer,TF_Tekniker,Z$4,TF_Dato,$A640))*2,0)/2)))</f>
        <v/>
      </c>
      <c r="AA640">
        <f>IF(OR(AA$4="",$A640&gt;TODAY()),0,IF(OR(INDEX($B640:$D640,AA$5)="F",AND(AA$6&gt;0,$A640&lt;AA$6),AND(AA$7&gt;0,$A640&gt;AA$7)),0,MAX(0,ROUND((INDEX($E640:$G640,AA$5)-SUMIFS(TF_Timer,TF_Tekniker,AA$4,TF_Dato,$A640))*2,0)/2)))</f>
        <v/>
      </c>
      <c r="AB640">
        <f>IF(OR(AB$4="",$A640&gt;TODAY()),0,IF(OR(INDEX($B640:$D640,AB$5)="F",AND(AB$6&gt;0,$A640&lt;AB$6),AND(AB$7&gt;0,$A640&gt;AB$7)),0,MAX(0,ROUND((INDEX($E640:$G640,AB$5)-SUMIFS(TF_Timer,TF_Tekniker,AB$4,TF_Dato,$A640))*2,0)/2)))</f>
        <v/>
      </c>
      <c r="AC640">
        <f>IF(OR(AC$4="",$A640&gt;TODAY()),0,IF(OR(INDEX($B640:$D640,AC$5)="F",AND(AC$6&gt;0,$A640&lt;AC$6),AND(AC$7&gt;0,$A640&gt;AC$7)),0,MAX(0,ROUND((INDEX($E640:$G640,AC$5)-SUMIFS(TF_Timer,TF_Tekniker,AC$4,TF_Dato,$A640))*2,0)/2)))</f>
        <v/>
      </c>
      <c r="AD640">
        <f>IF(OR(AD$4="",$A640&gt;TODAY()),0,IF(OR(INDEX($B640:$D640,AD$5)="F",AND(AD$6&gt;0,$A640&lt;AD$6),AND(AD$7&gt;0,$A640&gt;AD$7)),0,MAX(0,ROUND((INDEX($E640:$G640,AD$5)-SUMIFS(TF_Timer,TF_Tekniker,AD$4,TF_Dato,$A640))*2,0)/2)))</f>
        <v/>
      </c>
      <c r="AE640">
        <f>IF(OR(AE$4="",$A640&gt;TODAY()),0,IF(OR(INDEX($B640:$D640,AE$5)="F",AND(AE$6&gt;0,$A640&lt;AE$6),AND(AE$7&gt;0,$A640&gt;AE$7)),0,MAX(0,ROUND((INDEX($E640:$G640,AE$5)-SUMIFS(TF_Timer,TF_Tekniker,AE$4,TF_Dato,$A640))*2,0)/2)))</f>
        <v/>
      </c>
      <c r="AF640">
        <f>IF(OR(AF$4="",$A640&gt;TODAY()),0,IF(OR(INDEX($B640:$D640,AF$5)="F",AND(AF$6&gt;0,$A640&lt;AF$6),AND(AF$7&gt;0,$A640&gt;AF$7)),0,MAX(0,ROUND((INDEX($E640:$G640,AF$5)-SUMIFS(TF_Timer,TF_Tekniker,AF$4,TF_Dato,$A640))*2,0)/2)))</f>
        <v/>
      </c>
      <c r="AG640">
        <f>IF(OR(AG$4="",$A640&gt;TODAY()),0,IF(OR(INDEX($B640:$D640,AG$5)="F",AND(AG$6&gt;0,$A640&lt;AG$6),AND(AG$7&gt;0,$A640&gt;AG$7)),0,MAX(0,ROUND((INDEX($E640:$G640,AG$5)-SUMIFS(TF_Timer,TF_Tekniker,AG$4,TF_Dato,$A640))*2,0)/2)))</f>
        <v/>
      </c>
      <c r="AH640">
        <f>IF(OR(AH$4="",$A640&gt;TODAY()),0,IF(OR(INDEX($B640:$D640,AH$5)="F",AND(AH$6&gt;0,$A640&lt;AH$6),AND(AH$7&gt;0,$A640&gt;AH$7)),0,MAX(0,ROUND((INDEX($E640:$G640,AH$5)-SUMIFS(TF_Timer,TF_Tekniker,AH$4,TF_Dato,$A640))*2,0)/2)))</f>
        <v/>
      </c>
      <c r="AI640">
        <f>IF(OR(AI$4="",$A640&gt;TODAY()),0,IF(OR(INDEX($B640:$D640,AI$5)="F",AND(AI$6&gt;0,$A640&lt;AI$6),AND(AI$7&gt;0,$A640&gt;AI$7)),0,MAX(0,ROUND((INDEX($E640:$G640,AI$5)-SUMIFS(TF_Timer,TF_Tekniker,AI$4,TF_Dato,$A640))*2,0)/2)))</f>
        <v/>
      </c>
      <c r="AJ640">
        <f>IF(OR(AJ$4="",$A640&gt;TODAY()),0,IF(OR(INDEX($B640:$D640,AJ$5)="F",AND(AJ$6&gt;0,$A640&lt;AJ$6),AND(AJ$7&gt;0,$A640&gt;AJ$7)),0,MAX(0,ROUND((INDEX($E640:$G640,AJ$5)-SUMIFS(TF_Timer,TF_Tekniker,AJ$4,TF_Dato,$A640))*2,0)/2)))</f>
        <v/>
      </c>
      <c r="AK640">
        <f>IF(OR(AK$4="",$A640&gt;TODAY()),0,IF(OR(INDEX($B640:$D640,AK$5)="F",AND(AK$6&gt;0,$A640&lt;AK$6),AND(AK$7&gt;0,$A640&gt;AK$7)),0,MAX(0,ROUND((INDEX($E640:$G640,AK$5)-SUMIFS(TF_Timer,TF_Tekniker,AK$4,TF_Dato,$A640))*2,0)/2)))</f>
        <v/>
      </c>
      <c r="AL640">
        <f>IF(OR(AL$4="",$A640&gt;TODAY()),0,IF(OR(INDEX($B640:$D640,AL$5)="F",AND(AL$6&gt;0,$A640&lt;AL$6),AND(AL$7&gt;0,$A640&gt;AL$7)),0,MAX(0,ROUND((INDEX($E640:$G640,AL$5)-SUMIFS(TF_Timer,TF_Tekniker,AL$4,TF_Dato,$A640))*2,0)/2)))</f>
        <v/>
      </c>
      <c r="AM640">
        <f>IF(OR(AM$4="",$A640&gt;TODAY()),0,IF(OR(INDEX($B640:$D640,AM$5)="F",AND(AM$6&gt;0,$A640&lt;AM$6),AND(AM$7&gt;0,$A640&gt;AM$7)),0,MAX(0,ROUND((INDEX($E640:$G640,AM$5)-SUMIFS(TF_Timer,TF_Tekniker,AM$4,TF_Dato,$A640))*2,0)/2)))</f>
        <v/>
      </c>
      <c r="AN640">
        <f>IF(OR(AN$4="",$A640&gt;TODAY()),0,IF(OR(INDEX($B640:$D640,AN$5)="F",AND(AN$6&gt;0,$A640&lt;AN$6),AND(AN$7&gt;0,$A640&gt;AN$7)),0,MAX(0,ROUND((INDEX($E640:$G640,AN$5)-SUMIFS(TF_Timer,TF_Tekniker,AN$4,TF_Dato,$A640))*2,0)/2)))</f>
        <v/>
      </c>
      <c r="AO640">
        <f>IF(OR(AO$4="",$A640&gt;TODAY()),0,IF(OR(INDEX($B640:$D640,AO$5)="F",AND(AO$6&gt;0,$A640&lt;AO$6),AND(AO$7&gt;0,$A640&gt;AO$7)),0,MAX(0,ROUND((INDEX($E640:$G640,AO$5)-SUMIFS(TF_Timer,TF_Tekniker,AO$4,TF_Dato,$A640))*2,0)/2)))</f>
        <v/>
      </c>
      <c r="AP640">
        <f>IF(OR(AP$4="",$A640&gt;TODAY()),0,IF(OR(INDEX($B640:$D640,AP$5)="F",AND(AP$6&gt;0,$A640&lt;AP$6),AND(AP$7&gt;0,$A640&gt;AP$7)),0,MAX(0,ROUND((INDEX($E640:$G640,AP$5)-SUMIFS(TF_Timer,TF_Tekniker,AP$4,TF_Dato,$A640))*2,0)/2)))</f>
        <v/>
      </c>
      <c r="AQ640">
        <f>IF(OR(AQ$4="",$A640&gt;TODAY()),0,IF(OR(INDEX($B640:$D640,AQ$5)="F",AND(AQ$6&gt;0,$A640&lt;AQ$6),AND(AQ$7&gt;0,$A640&gt;AQ$7)),0,MAX(0,ROUND((INDEX($E640:$G640,AQ$5)-SUMIFS(TF_Timer,TF_Tekniker,AQ$4,TF_Dato,$A640))*2,0)/2)))</f>
        <v/>
      </c>
      <c r="AR640">
        <f>IF(OR(AR$4="",$A640&gt;TODAY()),0,IF(OR(INDEX($B640:$D640,AR$5)="F",AND(AR$6&gt;0,$A640&lt;AR$6),AND(AR$7&gt;0,$A640&gt;AR$7)),0,MAX(0,ROUND((INDEX($E640:$G640,AR$5)-SUMIFS(TF_Timer,TF_Tekniker,AR$4,TF_Dato,$A640))*2,0)/2)))</f>
        <v/>
      </c>
      <c r="AS640">
        <f>IF(OR(AS$4="",$A640&gt;TODAY()),0,IF(OR(INDEX($B640:$D640,AS$5)="F",AND(AS$6&gt;0,$A640&lt;AS$6),AND(AS$7&gt;0,$A640&gt;AS$7)),0,MAX(0,ROUND((INDEX($E640:$G640,AS$5)-SUMIFS(TF_Timer,TF_Tekniker,AS$4,TF_Dato,$A640))*2,0)/2)))</f>
        <v/>
      </c>
      <c r="AT640">
        <f>IF(OR(AT$4="",$A640&gt;TODAY()),0,IF(OR(INDEX($B640:$D640,AT$5)="F",AND(AT$6&gt;0,$A640&lt;AT$6),AND(AT$7&gt;0,$A640&gt;AT$7)),0,MAX(0,ROUND((INDEX($E640:$G640,AT$5)-SUMIFS(TF_Timer,TF_Tekniker,AT$4,TF_Dato,$A640))*2,0)/2)))</f>
        <v/>
      </c>
      <c r="AU640">
        <f>IF(OR(AU$4="",$A640&gt;TODAY()),0,IF(OR(INDEX($B640:$D640,AU$5)="F",AND(AU$6&gt;0,$A640&lt;AU$6),AND(AU$7&gt;0,$A640&gt;AU$7)),0,MAX(0,ROUND((INDEX($E640:$G640,AU$5)-SUMIFS(TF_Timer,TF_Tekniker,AU$4,TF_Dato,$A640))*2,0)/2)))</f>
        <v/>
      </c>
      <c r="AV640">
        <f>IF(OR(AV$4="",$A640&gt;TODAY()),0,IF(OR(INDEX($B640:$D640,AV$5)="F",AND(AV$6&gt;0,$A640&lt;AV$6),AND(AV$7&gt;0,$A640&gt;AV$7)),0,MAX(0,ROUND((INDEX($E640:$G640,AV$5)-SUMIFS(TF_Timer,TF_Tekniker,AV$4,TF_Dato,$A640))*2,0)/2)))</f>
        <v/>
      </c>
      <c r="AW640">
        <f>IF(OR(AW$4="",$A640&gt;TODAY()),0,IF(OR(INDEX($B640:$D640,AW$5)="F",AND(AW$6&gt;0,$A640&lt;AW$6),AND(AW$7&gt;0,$A640&gt;AW$7)),0,MAX(0,ROUND((INDEX($E640:$G640,AW$5)-SUMIFS(TF_Timer,TF_Tekniker,AW$4,TF_Dato,$A640))*2,0)/2)))</f>
        <v/>
      </c>
      <c r="AX640">
        <f>IF(OR(AX$4="",$A640&gt;TODAY()),0,IF(OR(INDEX($B640:$D640,AX$5)="F",AND(AX$6&gt;0,$A640&lt;AX$6),AND(AX$7&gt;0,$A640&gt;AX$7)),0,MAX(0,ROUND((INDEX($E640:$G640,AX$5)-SUMIFS(TF_Timer,TF_Tekniker,AX$4,TF_Dato,$A640))*2,0)/2)))</f>
        <v/>
      </c>
      <c r="AY640">
        <f>IF(OR(AY$4="",$A640&gt;TODAY()),0,IF(OR(INDEX($B640:$D640,AY$5)="F",AND(AY$6&gt;0,$A640&lt;AY$6),AND(AY$7&gt;0,$A640&gt;AY$7)),0,MAX(0,ROUND((INDEX($E640:$G640,AY$5)-SUMIFS(TF_Timer,TF_Tekniker,AY$4,TF_Dato,$A640))*2,0)/2)))</f>
        <v/>
      </c>
      <c r="AZ640">
        <f>IF(OR(AZ$4="",$A640&gt;TODAY()),0,IF(OR(INDEX($B640:$D640,AZ$5)="F",AND(AZ$6&gt;0,$A640&lt;AZ$6),AND(AZ$7&gt;0,$A640&gt;AZ$7)),0,MAX(0,ROUND((INDEX($E640:$G640,AZ$5)-SUMIFS(TF_Timer,TF_Tekniker,AZ$4,TF_Dato,$A640))*2,0)/2)))</f>
        <v/>
      </c>
      <c r="BA640">
        <f>IF(OR(BA$4="",$A640&gt;TODAY()),0,IF(OR(INDEX($B640:$D640,BA$5)="F",AND(BA$6&gt;0,$A640&lt;BA$6),AND(BA$7&gt;0,$A640&gt;BA$7)),0,MAX(0,ROUND((INDEX($E640:$G640,BA$5)-SUMIFS(TF_Timer,TF_Tekniker,BA$4,TF_Dato,$A640))*2,0)/2)))</f>
        <v/>
      </c>
      <c r="BB640">
        <f>IF(OR(BB$4="",$A640&gt;TODAY()),0,IF(OR(INDEX($B640:$D640,BB$5)="F",AND(BB$6&gt;0,$A640&lt;BB$6),AND(BB$7&gt;0,$A640&gt;BB$7)),0,MAX(0,ROUND((INDEX($E640:$G640,BB$5)-SUMIFS(TF_Timer,TF_Tekniker,BB$4,TF_Dato,$A640))*2,0)/2)))</f>
        <v/>
      </c>
      <c r="BC640">
        <f>IF(OR(BC$4="",$A640&gt;TODAY()),0,IF(OR(INDEX($B640:$D640,BC$5)="F",AND(BC$6&gt;0,$A640&lt;BC$6),AND(BC$7&gt;0,$A640&gt;BC$7)),0,MAX(0,ROUND((INDEX($E640:$G640,BC$5)-SUMIFS(TF_Timer,TF_Tekniker,BC$4,TF_Dato,$A640))*2,0)/2)))</f>
        <v/>
      </c>
      <c r="BD640">
        <f>IF(OR(BD$4="",$A640&gt;TODAY()),0,IF(OR(INDEX($B640:$D640,BD$5)="F",AND(BD$6&gt;0,$A640&lt;BD$6),AND(BD$7&gt;0,$A640&gt;BD$7)),0,MAX(0,ROUND((INDEX($E640:$G640,BD$5)-SUMIFS(TF_Timer,TF_Tekniker,BD$4,TF_Dato,$A640))*2,0)/2)))</f>
        <v/>
      </c>
      <c r="BE640">
        <f>IF(OR(BE$4="",$A640&gt;TODAY()),0,IF(OR(INDEX($B640:$D640,BE$5)="F",AND(BE$6&gt;0,$A640&lt;BE$6),AND(BE$7&gt;0,$A640&gt;BE$7)),0,MAX(0,ROUND((INDEX($E640:$G640,BE$5)-SUMIFS(TF_Timer,TF_Tekniker,BE$4,TF_Dato,$A640))*2,0)/2)))</f>
        <v/>
      </c>
      <c r="BF640">
        <f>IF(OR(BF$4="",$A640&gt;TODAY()),0,IF(OR(INDEX($B640:$D640,BF$5)="F",AND(BF$6&gt;0,$A640&lt;BF$6),AND(BF$7&gt;0,$A640&gt;BF$7)),0,MAX(0,ROUND((INDEX($E640:$G640,BF$5)-SUMIFS(TF_Timer,TF_Tekniker,BF$4,TF_Dato,$A640))*2,0)/2)))</f>
        <v/>
      </c>
      <c r="BG640">
        <f>IF(OR(BG$4="",$A640&gt;TODAY()),0,IF(OR(INDEX($B640:$D640,BG$5)="F",AND(BG$6&gt;0,$A640&lt;BG$6),AND(BG$7&gt;0,$A640&gt;BG$7)),0,MAX(0,ROUND((INDEX($E640:$G640,BG$5)-SUMIFS(TF_Timer,TF_Tekniker,BG$4,TF_Dato,$A640))*2,0)/2)))</f>
        <v/>
      </c>
      <c r="BH640">
        <f>IF(OR(BH$4="",$A640&gt;TODAY()),0,IF(OR(INDEX($B640:$D640,BH$5)="F",AND(BH$6&gt;0,$A640&lt;BH$6),AND(BH$7&gt;0,$A640&gt;BH$7)),0,MAX(0,ROUND((INDEX($E640:$G640,BH$5)-SUMIFS(TF_Timer,TF_Tekniker,BH$4,TF_Dato,$A640))*2,0)/2)))</f>
        <v/>
      </c>
      <c r="BI640">
        <f>IF(OR(BI$4="",$A640&gt;TODAY()),0,IF(OR(INDEX($B640:$D640,BI$5)="F",AND(BI$6&gt;0,$A640&lt;BI$6),AND(BI$7&gt;0,$A640&gt;BI$7)),0,MAX(0,ROUND((INDEX($E640:$G640,BI$5)-SUMIFS(TF_Timer,TF_Tekniker,BI$4,TF_Dato,$A640))*2,0)/2)))</f>
        <v/>
      </c>
    </row>
    <row r="641">
      <c r="A641" s="64">
        <f>A640+1</f>
        <v/>
      </c>
      <c r="B641">
        <f>IF(MOD($A641-INDEX(SkiftStart,1),Syklus)&lt;DagK,"K",IF(MOD($A641-INDEX(SkiftStart,1),Syklus)&lt;DagK+DagH,"H",IF(MOD($A641-INDEX(SkiftStart,1),Syklus)&lt;DagK+DagH+DagD,"D","F")))</f>
        <v/>
      </c>
      <c r="C641">
        <f>IF(MOD($A641-INDEX(SkiftStart,2),Syklus)&lt;DagK,"K",IF(MOD($A641-INDEX(SkiftStart,2),Syklus)&lt;DagK+DagH,"H",IF(MOD($A641-INDEX(SkiftStart,2),Syklus)&lt;DagK+DagH+DagD,"D","F")))</f>
        <v/>
      </c>
      <c r="D641">
        <f>IF(MOD($A641-INDEX(SkiftStart,3),Syklus)&lt;DagK,"K",IF(MOD($A641-INDEX(SkiftStart,3),Syklus)&lt;DagK+DagH,"H",IF(MOD($A641-INDEX(SkiftStart,3),Syklus)&lt;DagK+DagH+DagD,"D","F")))</f>
        <v/>
      </c>
      <c r="E641">
        <f>IF(B641="F",0,IF(WEEKDAY($A641,2)=5,INDEX(TimerFr,MATCH(B641,FaseKode,0)),INDEX(TimerMT,MATCH(B641,FaseKode,0))))</f>
        <v/>
      </c>
      <c r="F641">
        <f>IF(C641="F",0,IF(WEEKDAY($A641,2)=5,INDEX(TimerFr,MATCH(C641,FaseKode,0)),INDEX(TimerMT,MATCH(C641,FaseKode,0))))</f>
        <v/>
      </c>
      <c r="G641">
        <f>IF(D641="F",0,IF(WEEKDAY($A641,2)=5,INDEX(TimerFr,MATCH(D641,FaseKode,0)),INDEX(TimerMT,MATCH(D641,FaseKode,0))))</f>
        <v/>
      </c>
      <c r="H641">
        <f>IF(OR(H$4="",$A641&gt;TODAY()),0,IF(OR(INDEX($B641:$D641,H$5)="F",AND(H$6&gt;0,$A641&lt;H$6),AND(H$7&gt;0,$A641&gt;H$7)),0,MAX(0,ROUND((INDEX($E641:$G641,H$5)-SUMIFS(TF_Timer,TF_Tekniker,H$4,TF_Dato,$A641))*2,0)/2)))</f>
        <v/>
      </c>
      <c r="I641">
        <f>IF(OR(I$4="",$A641&gt;TODAY()),0,IF(OR(INDEX($B641:$D641,I$5)="F",AND(I$6&gt;0,$A641&lt;I$6),AND(I$7&gt;0,$A641&gt;I$7)),0,MAX(0,ROUND((INDEX($E641:$G641,I$5)-SUMIFS(TF_Timer,TF_Tekniker,I$4,TF_Dato,$A641))*2,0)/2)))</f>
        <v/>
      </c>
      <c r="J641">
        <f>IF(OR(J$4="",$A641&gt;TODAY()),0,IF(OR(INDEX($B641:$D641,J$5)="F",AND(J$6&gt;0,$A641&lt;J$6),AND(J$7&gt;0,$A641&gt;J$7)),0,MAX(0,ROUND((INDEX($E641:$G641,J$5)-SUMIFS(TF_Timer,TF_Tekniker,J$4,TF_Dato,$A641))*2,0)/2)))</f>
        <v/>
      </c>
      <c r="K641">
        <f>IF(OR(K$4="",$A641&gt;TODAY()),0,IF(OR(INDEX($B641:$D641,K$5)="F",AND(K$6&gt;0,$A641&lt;K$6),AND(K$7&gt;0,$A641&gt;K$7)),0,MAX(0,ROUND((INDEX($E641:$G641,K$5)-SUMIFS(TF_Timer,TF_Tekniker,K$4,TF_Dato,$A641))*2,0)/2)))</f>
        <v/>
      </c>
      <c r="L641">
        <f>IF(OR(L$4="",$A641&gt;TODAY()),0,IF(OR(INDEX($B641:$D641,L$5)="F",AND(L$6&gt;0,$A641&lt;L$6),AND(L$7&gt;0,$A641&gt;L$7)),0,MAX(0,ROUND((INDEX($E641:$G641,L$5)-SUMIFS(TF_Timer,TF_Tekniker,L$4,TF_Dato,$A641))*2,0)/2)))</f>
        <v/>
      </c>
      <c r="M641">
        <f>IF(OR(M$4="",$A641&gt;TODAY()),0,IF(OR(INDEX($B641:$D641,M$5)="F",AND(M$6&gt;0,$A641&lt;M$6),AND(M$7&gt;0,$A641&gt;M$7)),0,MAX(0,ROUND((INDEX($E641:$G641,M$5)-SUMIFS(TF_Timer,TF_Tekniker,M$4,TF_Dato,$A641))*2,0)/2)))</f>
        <v/>
      </c>
      <c r="N641">
        <f>IF(OR(N$4="",$A641&gt;TODAY()),0,IF(OR(INDEX($B641:$D641,N$5)="F",AND(N$6&gt;0,$A641&lt;N$6),AND(N$7&gt;0,$A641&gt;N$7)),0,MAX(0,ROUND((INDEX($E641:$G641,N$5)-SUMIFS(TF_Timer,TF_Tekniker,N$4,TF_Dato,$A641))*2,0)/2)))</f>
        <v/>
      </c>
      <c r="O641">
        <f>IF(OR(O$4="",$A641&gt;TODAY()),0,IF(OR(INDEX($B641:$D641,O$5)="F",AND(O$6&gt;0,$A641&lt;O$6),AND(O$7&gt;0,$A641&gt;O$7)),0,MAX(0,ROUND((INDEX($E641:$G641,O$5)-SUMIFS(TF_Timer,TF_Tekniker,O$4,TF_Dato,$A641))*2,0)/2)))</f>
        <v/>
      </c>
      <c r="P641">
        <f>IF(OR(P$4="",$A641&gt;TODAY()),0,IF(OR(INDEX($B641:$D641,P$5)="F",AND(P$6&gt;0,$A641&lt;P$6),AND(P$7&gt;0,$A641&gt;P$7)),0,MAX(0,ROUND((INDEX($E641:$G641,P$5)-SUMIFS(TF_Timer,TF_Tekniker,P$4,TF_Dato,$A641))*2,0)/2)))</f>
        <v/>
      </c>
      <c r="Q641">
        <f>IF(OR(Q$4="",$A641&gt;TODAY()),0,IF(OR(INDEX($B641:$D641,Q$5)="F",AND(Q$6&gt;0,$A641&lt;Q$6),AND(Q$7&gt;0,$A641&gt;Q$7)),0,MAX(0,ROUND((INDEX($E641:$G641,Q$5)-SUMIFS(TF_Timer,TF_Tekniker,Q$4,TF_Dato,$A641))*2,0)/2)))</f>
        <v/>
      </c>
      <c r="R641">
        <f>IF(OR(R$4="",$A641&gt;TODAY()),0,IF(OR(INDEX($B641:$D641,R$5)="F",AND(R$6&gt;0,$A641&lt;R$6),AND(R$7&gt;0,$A641&gt;R$7)),0,MAX(0,ROUND((INDEX($E641:$G641,R$5)-SUMIFS(TF_Timer,TF_Tekniker,R$4,TF_Dato,$A641))*2,0)/2)))</f>
        <v/>
      </c>
      <c r="S641">
        <f>IF(OR(S$4="",$A641&gt;TODAY()),0,IF(OR(INDEX($B641:$D641,S$5)="F",AND(S$6&gt;0,$A641&lt;S$6),AND(S$7&gt;0,$A641&gt;S$7)),0,MAX(0,ROUND((INDEX($E641:$G641,S$5)-SUMIFS(TF_Timer,TF_Tekniker,S$4,TF_Dato,$A641))*2,0)/2)))</f>
        <v/>
      </c>
      <c r="T641">
        <f>IF(OR(T$4="",$A641&gt;TODAY()),0,IF(OR(INDEX($B641:$D641,T$5)="F",AND(T$6&gt;0,$A641&lt;T$6),AND(T$7&gt;0,$A641&gt;T$7)),0,MAX(0,ROUND((INDEX($E641:$G641,T$5)-SUMIFS(TF_Timer,TF_Tekniker,T$4,TF_Dato,$A641))*2,0)/2)))</f>
        <v/>
      </c>
      <c r="U641">
        <f>IF(OR(U$4="",$A641&gt;TODAY()),0,IF(OR(INDEX($B641:$D641,U$5)="F",AND(U$6&gt;0,$A641&lt;U$6),AND(U$7&gt;0,$A641&gt;U$7)),0,MAX(0,ROUND((INDEX($E641:$G641,U$5)-SUMIFS(TF_Timer,TF_Tekniker,U$4,TF_Dato,$A641))*2,0)/2)))</f>
        <v/>
      </c>
      <c r="V641">
        <f>IF(OR(V$4="",$A641&gt;TODAY()),0,IF(OR(INDEX($B641:$D641,V$5)="F",AND(V$6&gt;0,$A641&lt;V$6),AND(V$7&gt;0,$A641&gt;V$7)),0,MAX(0,ROUND((INDEX($E641:$G641,V$5)-SUMIFS(TF_Timer,TF_Tekniker,V$4,TF_Dato,$A641))*2,0)/2)))</f>
        <v/>
      </c>
      <c r="W641">
        <f>IF(OR(W$4="",$A641&gt;TODAY()),0,IF(OR(INDEX($B641:$D641,W$5)="F",AND(W$6&gt;0,$A641&lt;W$6),AND(W$7&gt;0,$A641&gt;W$7)),0,MAX(0,ROUND((INDEX($E641:$G641,W$5)-SUMIFS(TF_Timer,TF_Tekniker,W$4,TF_Dato,$A641))*2,0)/2)))</f>
        <v/>
      </c>
      <c r="X641">
        <f>IF(OR(X$4="",$A641&gt;TODAY()),0,IF(OR(INDEX($B641:$D641,X$5)="F",AND(X$6&gt;0,$A641&lt;X$6),AND(X$7&gt;0,$A641&gt;X$7)),0,MAX(0,ROUND((INDEX($E641:$G641,X$5)-SUMIFS(TF_Timer,TF_Tekniker,X$4,TF_Dato,$A641))*2,0)/2)))</f>
        <v/>
      </c>
      <c r="Y641">
        <f>IF(OR(Y$4="",$A641&gt;TODAY()),0,IF(OR(INDEX($B641:$D641,Y$5)="F",AND(Y$6&gt;0,$A641&lt;Y$6),AND(Y$7&gt;0,$A641&gt;Y$7)),0,MAX(0,ROUND((INDEX($E641:$G641,Y$5)-SUMIFS(TF_Timer,TF_Tekniker,Y$4,TF_Dato,$A641))*2,0)/2)))</f>
        <v/>
      </c>
      <c r="Z641">
        <f>IF(OR(Z$4="",$A641&gt;TODAY()),0,IF(OR(INDEX($B641:$D641,Z$5)="F",AND(Z$6&gt;0,$A641&lt;Z$6),AND(Z$7&gt;0,$A641&gt;Z$7)),0,MAX(0,ROUND((INDEX($E641:$G641,Z$5)-SUMIFS(TF_Timer,TF_Tekniker,Z$4,TF_Dato,$A641))*2,0)/2)))</f>
        <v/>
      </c>
      <c r="AA641">
        <f>IF(OR(AA$4="",$A641&gt;TODAY()),0,IF(OR(INDEX($B641:$D641,AA$5)="F",AND(AA$6&gt;0,$A641&lt;AA$6),AND(AA$7&gt;0,$A641&gt;AA$7)),0,MAX(0,ROUND((INDEX($E641:$G641,AA$5)-SUMIFS(TF_Timer,TF_Tekniker,AA$4,TF_Dato,$A641))*2,0)/2)))</f>
        <v/>
      </c>
      <c r="AB641">
        <f>IF(OR(AB$4="",$A641&gt;TODAY()),0,IF(OR(INDEX($B641:$D641,AB$5)="F",AND(AB$6&gt;0,$A641&lt;AB$6),AND(AB$7&gt;0,$A641&gt;AB$7)),0,MAX(0,ROUND((INDEX($E641:$G641,AB$5)-SUMIFS(TF_Timer,TF_Tekniker,AB$4,TF_Dato,$A641))*2,0)/2)))</f>
        <v/>
      </c>
      <c r="AC641">
        <f>IF(OR(AC$4="",$A641&gt;TODAY()),0,IF(OR(INDEX($B641:$D641,AC$5)="F",AND(AC$6&gt;0,$A641&lt;AC$6),AND(AC$7&gt;0,$A641&gt;AC$7)),0,MAX(0,ROUND((INDEX($E641:$G641,AC$5)-SUMIFS(TF_Timer,TF_Tekniker,AC$4,TF_Dato,$A641))*2,0)/2)))</f>
        <v/>
      </c>
      <c r="AD641">
        <f>IF(OR(AD$4="",$A641&gt;TODAY()),0,IF(OR(INDEX($B641:$D641,AD$5)="F",AND(AD$6&gt;0,$A641&lt;AD$6),AND(AD$7&gt;0,$A641&gt;AD$7)),0,MAX(0,ROUND((INDEX($E641:$G641,AD$5)-SUMIFS(TF_Timer,TF_Tekniker,AD$4,TF_Dato,$A641))*2,0)/2)))</f>
        <v/>
      </c>
      <c r="AE641">
        <f>IF(OR(AE$4="",$A641&gt;TODAY()),0,IF(OR(INDEX($B641:$D641,AE$5)="F",AND(AE$6&gt;0,$A641&lt;AE$6),AND(AE$7&gt;0,$A641&gt;AE$7)),0,MAX(0,ROUND((INDEX($E641:$G641,AE$5)-SUMIFS(TF_Timer,TF_Tekniker,AE$4,TF_Dato,$A641))*2,0)/2)))</f>
        <v/>
      </c>
      <c r="AF641">
        <f>IF(OR(AF$4="",$A641&gt;TODAY()),0,IF(OR(INDEX($B641:$D641,AF$5)="F",AND(AF$6&gt;0,$A641&lt;AF$6),AND(AF$7&gt;0,$A641&gt;AF$7)),0,MAX(0,ROUND((INDEX($E641:$G641,AF$5)-SUMIFS(TF_Timer,TF_Tekniker,AF$4,TF_Dato,$A641))*2,0)/2)))</f>
        <v/>
      </c>
      <c r="AG641">
        <f>IF(OR(AG$4="",$A641&gt;TODAY()),0,IF(OR(INDEX($B641:$D641,AG$5)="F",AND(AG$6&gt;0,$A641&lt;AG$6),AND(AG$7&gt;0,$A641&gt;AG$7)),0,MAX(0,ROUND((INDEX($E641:$G641,AG$5)-SUMIFS(TF_Timer,TF_Tekniker,AG$4,TF_Dato,$A641))*2,0)/2)))</f>
        <v/>
      </c>
      <c r="AH641">
        <f>IF(OR(AH$4="",$A641&gt;TODAY()),0,IF(OR(INDEX($B641:$D641,AH$5)="F",AND(AH$6&gt;0,$A641&lt;AH$6),AND(AH$7&gt;0,$A641&gt;AH$7)),0,MAX(0,ROUND((INDEX($E641:$G641,AH$5)-SUMIFS(TF_Timer,TF_Tekniker,AH$4,TF_Dato,$A641))*2,0)/2)))</f>
        <v/>
      </c>
      <c r="AI641">
        <f>IF(OR(AI$4="",$A641&gt;TODAY()),0,IF(OR(INDEX($B641:$D641,AI$5)="F",AND(AI$6&gt;0,$A641&lt;AI$6),AND(AI$7&gt;0,$A641&gt;AI$7)),0,MAX(0,ROUND((INDEX($E641:$G641,AI$5)-SUMIFS(TF_Timer,TF_Tekniker,AI$4,TF_Dato,$A641))*2,0)/2)))</f>
        <v/>
      </c>
      <c r="AJ641">
        <f>IF(OR(AJ$4="",$A641&gt;TODAY()),0,IF(OR(INDEX($B641:$D641,AJ$5)="F",AND(AJ$6&gt;0,$A641&lt;AJ$6),AND(AJ$7&gt;0,$A641&gt;AJ$7)),0,MAX(0,ROUND((INDEX($E641:$G641,AJ$5)-SUMIFS(TF_Timer,TF_Tekniker,AJ$4,TF_Dato,$A641))*2,0)/2)))</f>
        <v/>
      </c>
      <c r="AK641">
        <f>IF(OR(AK$4="",$A641&gt;TODAY()),0,IF(OR(INDEX($B641:$D641,AK$5)="F",AND(AK$6&gt;0,$A641&lt;AK$6),AND(AK$7&gt;0,$A641&gt;AK$7)),0,MAX(0,ROUND((INDEX($E641:$G641,AK$5)-SUMIFS(TF_Timer,TF_Tekniker,AK$4,TF_Dato,$A641))*2,0)/2)))</f>
        <v/>
      </c>
      <c r="AL641">
        <f>IF(OR(AL$4="",$A641&gt;TODAY()),0,IF(OR(INDEX($B641:$D641,AL$5)="F",AND(AL$6&gt;0,$A641&lt;AL$6),AND(AL$7&gt;0,$A641&gt;AL$7)),0,MAX(0,ROUND((INDEX($E641:$G641,AL$5)-SUMIFS(TF_Timer,TF_Tekniker,AL$4,TF_Dato,$A641))*2,0)/2)))</f>
        <v/>
      </c>
      <c r="AM641">
        <f>IF(OR(AM$4="",$A641&gt;TODAY()),0,IF(OR(INDEX($B641:$D641,AM$5)="F",AND(AM$6&gt;0,$A641&lt;AM$6),AND(AM$7&gt;0,$A641&gt;AM$7)),0,MAX(0,ROUND((INDEX($E641:$G641,AM$5)-SUMIFS(TF_Timer,TF_Tekniker,AM$4,TF_Dato,$A641))*2,0)/2)))</f>
        <v/>
      </c>
      <c r="AN641">
        <f>IF(OR(AN$4="",$A641&gt;TODAY()),0,IF(OR(INDEX($B641:$D641,AN$5)="F",AND(AN$6&gt;0,$A641&lt;AN$6),AND(AN$7&gt;0,$A641&gt;AN$7)),0,MAX(0,ROUND((INDEX($E641:$G641,AN$5)-SUMIFS(TF_Timer,TF_Tekniker,AN$4,TF_Dato,$A641))*2,0)/2)))</f>
        <v/>
      </c>
      <c r="AO641">
        <f>IF(OR(AO$4="",$A641&gt;TODAY()),0,IF(OR(INDEX($B641:$D641,AO$5)="F",AND(AO$6&gt;0,$A641&lt;AO$6),AND(AO$7&gt;0,$A641&gt;AO$7)),0,MAX(0,ROUND((INDEX($E641:$G641,AO$5)-SUMIFS(TF_Timer,TF_Tekniker,AO$4,TF_Dato,$A641))*2,0)/2)))</f>
        <v/>
      </c>
      <c r="AP641">
        <f>IF(OR(AP$4="",$A641&gt;TODAY()),0,IF(OR(INDEX($B641:$D641,AP$5)="F",AND(AP$6&gt;0,$A641&lt;AP$6),AND(AP$7&gt;0,$A641&gt;AP$7)),0,MAX(0,ROUND((INDEX($E641:$G641,AP$5)-SUMIFS(TF_Timer,TF_Tekniker,AP$4,TF_Dato,$A641))*2,0)/2)))</f>
        <v/>
      </c>
      <c r="AQ641">
        <f>IF(OR(AQ$4="",$A641&gt;TODAY()),0,IF(OR(INDEX($B641:$D641,AQ$5)="F",AND(AQ$6&gt;0,$A641&lt;AQ$6),AND(AQ$7&gt;0,$A641&gt;AQ$7)),0,MAX(0,ROUND((INDEX($E641:$G641,AQ$5)-SUMIFS(TF_Timer,TF_Tekniker,AQ$4,TF_Dato,$A641))*2,0)/2)))</f>
        <v/>
      </c>
      <c r="AR641">
        <f>IF(OR(AR$4="",$A641&gt;TODAY()),0,IF(OR(INDEX($B641:$D641,AR$5)="F",AND(AR$6&gt;0,$A641&lt;AR$6),AND(AR$7&gt;0,$A641&gt;AR$7)),0,MAX(0,ROUND((INDEX($E641:$G641,AR$5)-SUMIFS(TF_Timer,TF_Tekniker,AR$4,TF_Dato,$A641))*2,0)/2)))</f>
        <v/>
      </c>
      <c r="AS641">
        <f>IF(OR(AS$4="",$A641&gt;TODAY()),0,IF(OR(INDEX($B641:$D641,AS$5)="F",AND(AS$6&gt;0,$A641&lt;AS$6),AND(AS$7&gt;0,$A641&gt;AS$7)),0,MAX(0,ROUND((INDEX($E641:$G641,AS$5)-SUMIFS(TF_Timer,TF_Tekniker,AS$4,TF_Dato,$A641))*2,0)/2)))</f>
        <v/>
      </c>
      <c r="AT641">
        <f>IF(OR(AT$4="",$A641&gt;TODAY()),0,IF(OR(INDEX($B641:$D641,AT$5)="F",AND(AT$6&gt;0,$A641&lt;AT$6),AND(AT$7&gt;0,$A641&gt;AT$7)),0,MAX(0,ROUND((INDEX($E641:$G641,AT$5)-SUMIFS(TF_Timer,TF_Tekniker,AT$4,TF_Dato,$A641))*2,0)/2)))</f>
        <v/>
      </c>
      <c r="AU641">
        <f>IF(OR(AU$4="",$A641&gt;TODAY()),0,IF(OR(INDEX($B641:$D641,AU$5)="F",AND(AU$6&gt;0,$A641&lt;AU$6),AND(AU$7&gt;0,$A641&gt;AU$7)),0,MAX(0,ROUND((INDEX($E641:$G641,AU$5)-SUMIFS(TF_Timer,TF_Tekniker,AU$4,TF_Dato,$A641))*2,0)/2)))</f>
        <v/>
      </c>
      <c r="AV641">
        <f>IF(OR(AV$4="",$A641&gt;TODAY()),0,IF(OR(INDEX($B641:$D641,AV$5)="F",AND(AV$6&gt;0,$A641&lt;AV$6),AND(AV$7&gt;0,$A641&gt;AV$7)),0,MAX(0,ROUND((INDEX($E641:$G641,AV$5)-SUMIFS(TF_Timer,TF_Tekniker,AV$4,TF_Dato,$A641))*2,0)/2)))</f>
        <v/>
      </c>
      <c r="AW641">
        <f>IF(OR(AW$4="",$A641&gt;TODAY()),0,IF(OR(INDEX($B641:$D641,AW$5)="F",AND(AW$6&gt;0,$A641&lt;AW$6),AND(AW$7&gt;0,$A641&gt;AW$7)),0,MAX(0,ROUND((INDEX($E641:$G641,AW$5)-SUMIFS(TF_Timer,TF_Tekniker,AW$4,TF_Dato,$A641))*2,0)/2)))</f>
        <v/>
      </c>
      <c r="AX641">
        <f>IF(OR(AX$4="",$A641&gt;TODAY()),0,IF(OR(INDEX($B641:$D641,AX$5)="F",AND(AX$6&gt;0,$A641&lt;AX$6),AND(AX$7&gt;0,$A641&gt;AX$7)),0,MAX(0,ROUND((INDEX($E641:$G641,AX$5)-SUMIFS(TF_Timer,TF_Tekniker,AX$4,TF_Dato,$A641))*2,0)/2)))</f>
        <v/>
      </c>
      <c r="AY641">
        <f>IF(OR(AY$4="",$A641&gt;TODAY()),0,IF(OR(INDEX($B641:$D641,AY$5)="F",AND(AY$6&gt;0,$A641&lt;AY$6),AND(AY$7&gt;0,$A641&gt;AY$7)),0,MAX(0,ROUND((INDEX($E641:$G641,AY$5)-SUMIFS(TF_Timer,TF_Tekniker,AY$4,TF_Dato,$A641))*2,0)/2)))</f>
        <v/>
      </c>
      <c r="AZ641">
        <f>IF(OR(AZ$4="",$A641&gt;TODAY()),0,IF(OR(INDEX($B641:$D641,AZ$5)="F",AND(AZ$6&gt;0,$A641&lt;AZ$6),AND(AZ$7&gt;0,$A641&gt;AZ$7)),0,MAX(0,ROUND((INDEX($E641:$G641,AZ$5)-SUMIFS(TF_Timer,TF_Tekniker,AZ$4,TF_Dato,$A641))*2,0)/2)))</f>
        <v/>
      </c>
      <c r="BA641">
        <f>IF(OR(BA$4="",$A641&gt;TODAY()),0,IF(OR(INDEX($B641:$D641,BA$5)="F",AND(BA$6&gt;0,$A641&lt;BA$6),AND(BA$7&gt;0,$A641&gt;BA$7)),0,MAX(0,ROUND((INDEX($E641:$G641,BA$5)-SUMIFS(TF_Timer,TF_Tekniker,BA$4,TF_Dato,$A641))*2,0)/2)))</f>
        <v/>
      </c>
      <c r="BB641">
        <f>IF(OR(BB$4="",$A641&gt;TODAY()),0,IF(OR(INDEX($B641:$D641,BB$5)="F",AND(BB$6&gt;0,$A641&lt;BB$6),AND(BB$7&gt;0,$A641&gt;BB$7)),0,MAX(0,ROUND((INDEX($E641:$G641,BB$5)-SUMIFS(TF_Timer,TF_Tekniker,BB$4,TF_Dato,$A641))*2,0)/2)))</f>
        <v/>
      </c>
      <c r="BC641">
        <f>IF(OR(BC$4="",$A641&gt;TODAY()),0,IF(OR(INDEX($B641:$D641,BC$5)="F",AND(BC$6&gt;0,$A641&lt;BC$6),AND(BC$7&gt;0,$A641&gt;BC$7)),0,MAX(0,ROUND((INDEX($E641:$G641,BC$5)-SUMIFS(TF_Timer,TF_Tekniker,BC$4,TF_Dato,$A641))*2,0)/2)))</f>
        <v/>
      </c>
      <c r="BD641">
        <f>IF(OR(BD$4="",$A641&gt;TODAY()),0,IF(OR(INDEX($B641:$D641,BD$5)="F",AND(BD$6&gt;0,$A641&lt;BD$6),AND(BD$7&gt;0,$A641&gt;BD$7)),0,MAX(0,ROUND((INDEX($E641:$G641,BD$5)-SUMIFS(TF_Timer,TF_Tekniker,BD$4,TF_Dato,$A641))*2,0)/2)))</f>
        <v/>
      </c>
      <c r="BE641">
        <f>IF(OR(BE$4="",$A641&gt;TODAY()),0,IF(OR(INDEX($B641:$D641,BE$5)="F",AND(BE$6&gt;0,$A641&lt;BE$6),AND(BE$7&gt;0,$A641&gt;BE$7)),0,MAX(0,ROUND((INDEX($E641:$G641,BE$5)-SUMIFS(TF_Timer,TF_Tekniker,BE$4,TF_Dato,$A641))*2,0)/2)))</f>
        <v/>
      </c>
      <c r="BF641">
        <f>IF(OR(BF$4="",$A641&gt;TODAY()),0,IF(OR(INDEX($B641:$D641,BF$5)="F",AND(BF$6&gt;0,$A641&lt;BF$6),AND(BF$7&gt;0,$A641&gt;BF$7)),0,MAX(0,ROUND((INDEX($E641:$G641,BF$5)-SUMIFS(TF_Timer,TF_Tekniker,BF$4,TF_Dato,$A641))*2,0)/2)))</f>
        <v/>
      </c>
      <c r="BG641">
        <f>IF(OR(BG$4="",$A641&gt;TODAY()),0,IF(OR(INDEX($B641:$D641,BG$5)="F",AND(BG$6&gt;0,$A641&lt;BG$6),AND(BG$7&gt;0,$A641&gt;BG$7)),0,MAX(0,ROUND((INDEX($E641:$G641,BG$5)-SUMIFS(TF_Timer,TF_Tekniker,BG$4,TF_Dato,$A641))*2,0)/2)))</f>
        <v/>
      </c>
      <c r="BH641">
        <f>IF(OR(BH$4="",$A641&gt;TODAY()),0,IF(OR(INDEX($B641:$D641,BH$5)="F",AND(BH$6&gt;0,$A641&lt;BH$6),AND(BH$7&gt;0,$A641&gt;BH$7)),0,MAX(0,ROUND((INDEX($E641:$G641,BH$5)-SUMIFS(TF_Timer,TF_Tekniker,BH$4,TF_Dato,$A641))*2,0)/2)))</f>
        <v/>
      </c>
      <c r="BI641">
        <f>IF(OR(BI$4="",$A641&gt;TODAY()),0,IF(OR(INDEX($B641:$D641,BI$5)="F",AND(BI$6&gt;0,$A641&lt;BI$6),AND(BI$7&gt;0,$A641&gt;BI$7)),0,MAX(0,ROUND((INDEX($E641:$G641,BI$5)-SUMIFS(TF_Timer,TF_Tekniker,BI$4,TF_Dato,$A641))*2,0)/2)))</f>
        <v/>
      </c>
    </row>
    <row r="642">
      <c r="A642" s="64">
        <f>A641+1</f>
        <v/>
      </c>
      <c r="B642">
        <f>IF(MOD($A642-INDEX(SkiftStart,1),Syklus)&lt;DagK,"K",IF(MOD($A642-INDEX(SkiftStart,1),Syklus)&lt;DagK+DagH,"H",IF(MOD($A642-INDEX(SkiftStart,1),Syklus)&lt;DagK+DagH+DagD,"D","F")))</f>
        <v/>
      </c>
      <c r="C642">
        <f>IF(MOD($A642-INDEX(SkiftStart,2),Syklus)&lt;DagK,"K",IF(MOD($A642-INDEX(SkiftStart,2),Syklus)&lt;DagK+DagH,"H",IF(MOD($A642-INDEX(SkiftStart,2),Syklus)&lt;DagK+DagH+DagD,"D","F")))</f>
        <v/>
      </c>
      <c r="D642">
        <f>IF(MOD($A642-INDEX(SkiftStart,3),Syklus)&lt;DagK,"K",IF(MOD($A642-INDEX(SkiftStart,3),Syklus)&lt;DagK+DagH,"H",IF(MOD($A642-INDEX(SkiftStart,3),Syklus)&lt;DagK+DagH+DagD,"D","F")))</f>
        <v/>
      </c>
      <c r="E642">
        <f>IF(B642="F",0,IF(WEEKDAY($A642,2)=5,INDEX(TimerFr,MATCH(B642,FaseKode,0)),INDEX(TimerMT,MATCH(B642,FaseKode,0))))</f>
        <v/>
      </c>
      <c r="F642">
        <f>IF(C642="F",0,IF(WEEKDAY($A642,2)=5,INDEX(TimerFr,MATCH(C642,FaseKode,0)),INDEX(TimerMT,MATCH(C642,FaseKode,0))))</f>
        <v/>
      </c>
      <c r="G642">
        <f>IF(D642="F",0,IF(WEEKDAY($A642,2)=5,INDEX(TimerFr,MATCH(D642,FaseKode,0)),INDEX(TimerMT,MATCH(D642,FaseKode,0))))</f>
        <v/>
      </c>
      <c r="H642">
        <f>IF(OR(H$4="",$A642&gt;TODAY()),0,IF(OR(INDEX($B642:$D642,H$5)="F",AND(H$6&gt;0,$A642&lt;H$6),AND(H$7&gt;0,$A642&gt;H$7)),0,MAX(0,ROUND((INDEX($E642:$G642,H$5)-SUMIFS(TF_Timer,TF_Tekniker,H$4,TF_Dato,$A642))*2,0)/2)))</f>
        <v/>
      </c>
      <c r="I642">
        <f>IF(OR(I$4="",$A642&gt;TODAY()),0,IF(OR(INDEX($B642:$D642,I$5)="F",AND(I$6&gt;0,$A642&lt;I$6),AND(I$7&gt;0,$A642&gt;I$7)),0,MAX(0,ROUND((INDEX($E642:$G642,I$5)-SUMIFS(TF_Timer,TF_Tekniker,I$4,TF_Dato,$A642))*2,0)/2)))</f>
        <v/>
      </c>
      <c r="J642">
        <f>IF(OR(J$4="",$A642&gt;TODAY()),0,IF(OR(INDEX($B642:$D642,J$5)="F",AND(J$6&gt;0,$A642&lt;J$6),AND(J$7&gt;0,$A642&gt;J$7)),0,MAX(0,ROUND((INDEX($E642:$G642,J$5)-SUMIFS(TF_Timer,TF_Tekniker,J$4,TF_Dato,$A642))*2,0)/2)))</f>
        <v/>
      </c>
      <c r="K642">
        <f>IF(OR(K$4="",$A642&gt;TODAY()),0,IF(OR(INDEX($B642:$D642,K$5)="F",AND(K$6&gt;0,$A642&lt;K$6),AND(K$7&gt;0,$A642&gt;K$7)),0,MAX(0,ROUND((INDEX($E642:$G642,K$5)-SUMIFS(TF_Timer,TF_Tekniker,K$4,TF_Dato,$A642))*2,0)/2)))</f>
        <v/>
      </c>
      <c r="L642">
        <f>IF(OR(L$4="",$A642&gt;TODAY()),0,IF(OR(INDEX($B642:$D642,L$5)="F",AND(L$6&gt;0,$A642&lt;L$6),AND(L$7&gt;0,$A642&gt;L$7)),0,MAX(0,ROUND((INDEX($E642:$G642,L$5)-SUMIFS(TF_Timer,TF_Tekniker,L$4,TF_Dato,$A642))*2,0)/2)))</f>
        <v/>
      </c>
      <c r="M642">
        <f>IF(OR(M$4="",$A642&gt;TODAY()),0,IF(OR(INDEX($B642:$D642,M$5)="F",AND(M$6&gt;0,$A642&lt;M$6),AND(M$7&gt;0,$A642&gt;M$7)),0,MAX(0,ROUND((INDEX($E642:$G642,M$5)-SUMIFS(TF_Timer,TF_Tekniker,M$4,TF_Dato,$A642))*2,0)/2)))</f>
        <v/>
      </c>
      <c r="N642">
        <f>IF(OR(N$4="",$A642&gt;TODAY()),0,IF(OR(INDEX($B642:$D642,N$5)="F",AND(N$6&gt;0,$A642&lt;N$6),AND(N$7&gt;0,$A642&gt;N$7)),0,MAX(0,ROUND((INDEX($E642:$G642,N$5)-SUMIFS(TF_Timer,TF_Tekniker,N$4,TF_Dato,$A642))*2,0)/2)))</f>
        <v/>
      </c>
      <c r="O642">
        <f>IF(OR(O$4="",$A642&gt;TODAY()),0,IF(OR(INDEX($B642:$D642,O$5)="F",AND(O$6&gt;0,$A642&lt;O$6),AND(O$7&gt;0,$A642&gt;O$7)),0,MAX(0,ROUND((INDEX($E642:$G642,O$5)-SUMIFS(TF_Timer,TF_Tekniker,O$4,TF_Dato,$A642))*2,0)/2)))</f>
        <v/>
      </c>
      <c r="P642">
        <f>IF(OR(P$4="",$A642&gt;TODAY()),0,IF(OR(INDEX($B642:$D642,P$5)="F",AND(P$6&gt;0,$A642&lt;P$6),AND(P$7&gt;0,$A642&gt;P$7)),0,MAX(0,ROUND((INDEX($E642:$G642,P$5)-SUMIFS(TF_Timer,TF_Tekniker,P$4,TF_Dato,$A642))*2,0)/2)))</f>
        <v/>
      </c>
      <c r="Q642">
        <f>IF(OR(Q$4="",$A642&gt;TODAY()),0,IF(OR(INDEX($B642:$D642,Q$5)="F",AND(Q$6&gt;0,$A642&lt;Q$6),AND(Q$7&gt;0,$A642&gt;Q$7)),0,MAX(0,ROUND((INDEX($E642:$G642,Q$5)-SUMIFS(TF_Timer,TF_Tekniker,Q$4,TF_Dato,$A642))*2,0)/2)))</f>
        <v/>
      </c>
      <c r="R642">
        <f>IF(OR(R$4="",$A642&gt;TODAY()),0,IF(OR(INDEX($B642:$D642,R$5)="F",AND(R$6&gt;0,$A642&lt;R$6),AND(R$7&gt;0,$A642&gt;R$7)),0,MAX(0,ROUND((INDEX($E642:$G642,R$5)-SUMIFS(TF_Timer,TF_Tekniker,R$4,TF_Dato,$A642))*2,0)/2)))</f>
        <v/>
      </c>
      <c r="S642">
        <f>IF(OR(S$4="",$A642&gt;TODAY()),0,IF(OR(INDEX($B642:$D642,S$5)="F",AND(S$6&gt;0,$A642&lt;S$6),AND(S$7&gt;0,$A642&gt;S$7)),0,MAX(0,ROUND((INDEX($E642:$G642,S$5)-SUMIFS(TF_Timer,TF_Tekniker,S$4,TF_Dato,$A642))*2,0)/2)))</f>
        <v/>
      </c>
      <c r="T642">
        <f>IF(OR(T$4="",$A642&gt;TODAY()),0,IF(OR(INDEX($B642:$D642,T$5)="F",AND(T$6&gt;0,$A642&lt;T$6),AND(T$7&gt;0,$A642&gt;T$7)),0,MAX(0,ROUND((INDEX($E642:$G642,T$5)-SUMIFS(TF_Timer,TF_Tekniker,T$4,TF_Dato,$A642))*2,0)/2)))</f>
        <v/>
      </c>
      <c r="U642">
        <f>IF(OR(U$4="",$A642&gt;TODAY()),0,IF(OR(INDEX($B642:$D642,U$5)="F",AND(U$6&gt;0,$A642&lt;U$6),AND(U$7&gt;0,$A642&gt;U$7)),0,MAX(0,ROUND((INDEX($E642:$G642,U$5)-SUMIFS(TF_Timer,TF_Tekniker,U$4,TF_Dato,$A642))*2,0)/2)))</f>
        <v/>
      </c>
      <c r="V642">
        <f>IF(OR(V$4="",$A642&gt;TODAY()),0,IF(OR(INDEX($B642:$D642,V$5)="F",AND(V$6&gt;0,$A642&lt;V$6),AND(V$7&gt;0,$A642&gt;V$7)),0,MAX(0,ROUND((INDEX($E642:$G642,V$5)-SUMIFS(TF_Timer,TF_Tekniker,V$4,TF_Dato,$A642))*2,0)/2)))</f>
        <v/>
      </c>
      <c r="W642">
        <f>IF(OR(W$4="",$A642&gt;TODAY()),0,IF(OR(INDEX($B642:$D642,W$5)="F",AND(W$6&gt;0,$A642&lt;W$6),AND(W$7&gt;0,$A642&gt;W$7)),0,MAX(0,ROUND((INDEX($E642:$G642,W$5)-SUMIFS(TF_Timer,TF_Tekniker,W$4,TF_Dato,$A642))*2,0)/2)))</f>
        <v/>
      </c>
      <c r="X642">
        <f>IF(OR(X$4="",$A642&gt;TODAY()),0,IF(OR(INDEX($B642:$D642,X$5)="F",AND(X$6&gt;0,$A642&lt;X$6),AND(X$7&gt;0,$A642&gt;X$7)),0,MAX(0,ROUND((INDEX($E642:$G642,X$5)-SUMIFS(TF_Timer,TF_Tekniker,X$4,TF_Dato,$A642))*2,0)/2)))</f>
        <v/>
      </c>
      <c r="Y642">
        <f>IF(OR(Y$4="",$A642&gt;TODAY()),0,IF(OR(INDEX($B642:$D642,Y$5)="F",AND(Y$6&gt;0,$A642&lt;Y$6),AND(Y$7&gt;0,$A642&gt;Y$7)),0,MAX(0,ROUND((INDEX($E642:$G642,Y$5)-SUMIFS(TF_Timer,TF_Tekniker,Y$4,TF_Dato,$A642))*2,0)/2)))</f>
        <v/>
      </c>
      <c r="Z642">
        <f>IF(OR(Z$4="",$A642&gt;TODAY()),0,IF(OR(INDEX($B642:$D642,Z$5)="F",AND(Z$6&gt;0,$A642&lt;Z$6),AND(Z$7&gt;0,$A642&gt;Z$7)),0,MAX(0,ROUND((INDEX($E642:$G642,Z$5)-SUMIFS(TF_Timer,TF_Tekniker,Z$4,TF_Dato,$A642))*2,0)/2)))</f>
        <v/>
      </c>
      <c r="AA642">
        <f>IF(OR(AA$4="",$A642&gt;TODAY()),0,IF(OR(INDEX($B642:$D642,AA$5)="F",AND(AA$6&gt;0,$A642&lt;AA$6),AND(AA$7&gt;0,$A642&gt;AA$7)),0,MAX(0,ROUND((INDEX($E642:$G642,AA$5)-SUMIFS(TF_Timer,TF_Tekniker,AA$4,TF_Dato,$A642))*2,0)/2)))</f>
        <v/>
      </c>
      <c r="AB642">
        <f>IF(OR(AB$4="",$A642&gt;TODAY()),0,IF(OR(INDEX($B642:$D642,AB$5)="F",AND(AB$6&gt;0,$A642&lt;AB$6),AND(AB$7&gt;0,$A642&gt;AB$7)),0,MAX(0,ROUND((INDEX($E642:$G642,AB$5)-SUMIFS(TF_Timer,TF_Tekniker,AB$4,TF_Dato,$A642))*2,0)/2)))</f>
        <v/>
      </c>
      <c r="AC642">
        <f>IF(OR(AC$4="",$A642&gt;TODAY()),0,IF(OR(INDEX($B642:$D642,AC$5)="F",AND(AC$6&gt;0,$A642&lt;AC$6),AND(AC$7&gt;0,$A642&gt;AC$7)),0,MAX(0,ROUND((INDEX($E642:$G642,AC$5)-SUMIFS(TF_Timer,TF_Tekniker,AC$4,TF_Dato,$A642))*2,0)/2)))</f>
        <v/>
      </c>
      <c r="AD642">
        <f>IF(OR(AD$4="",$A642&gt;TODAY()),0,IF(OR(INDEX($B642:$D642,AD$5)="F",AND(AD$6&gt;0,$A642&lt;AD$6),AND(AD$7&gt;0,$A642&gt;AD$7)),0,MAX(0,ROUND((INDEX($E642:$G642,AD$5)-SUMIFS(TF_Timer,TF_Tekniker,AD$4,TF_Dato,$A642))*2,0)/2)))</f>
        <v/>
      </c>
      <c r="AE642">
        <f>IF(OR(AE$4="",$A642&gt;TODAY()),0,IF(OR(INDEX($B642:$D642,AE$5)="F",AND(AE$6&gt;0,$A642&lt;AE$6),AND(AE$7&gt;0,$A642&gt;AE$7)),0,MAX(0,ROUND((INDEX($E642:$G642,AE$5)-SUMIFS(TF_Timer,TF_Tekniker,AE$4,TF_Dato,$A642))*2,0)/2)))</f>
        <v/>
      </c>
      <c r="AF642">
        <f>IF(OR(AF$4="",$A642&gt;TODAY()),0,IF(OR(INDEX($B642:$D642,AF$5)="F",AND(AF$6&gt;0,$A642&lt;AF$6),AND(AF$7&gt;0,$A642&gt;AF$7)),0,MAX(0,ROUND((INDEX($E642:$G642,AF$5)-SUMIFS(TF_Timer,TF_Tekniker,AF$4,TF_Dato,$A642))*2,0)/2)))</f>
        <v/>
      </c>
      <c r="AG642">
        <f>IF(OR(AG$4="",$A642&gt;TODAY()),0,IF(OR(INDEX($B642:$D642,AG$5)="F",AND(AG$6&gt;0,$A642&lt;AG$6),AND(AG$7&gt;0,$A642&gt;AG$7)),0,MAX(0,ROUND((INDEX($E642:$G642,AG$5)-SUMIFS(TF_Timer,TF_Tekniker,AG$4,TF_Dato,$A642))*2,0)/2)))</f>
        <v/>
      </c>
      <c r="AH642">
        <f>IF(OR(AH$4="",$A642&gt;TODAY()),0,IF(OR(INDEX($B642:$D642,AH$5)="F",AND(AH$6&gt;0,$A642&lt;AH$6),AND(AH$7&gt;0,$A642&gt;AH$7)),0,MAX(0,ROUND((INDEX($E642:$G642,AH$5)-SUMIFS(TF_Timer,TF_Tekniker,AH$4,TF_Dato,$A642))*2,0)/2)))</f>
        <v/>
      </c>
      <c r="AI642">
        <f>IF(OR(AI$4="",$A642&gt;TODAY()),0,IF(OR(INDEX($B642:$D642,AI$5)="F",AND(AI$6&gt;0,$A642&lt;AI$6),AND(AI$7&gt;0,$A642&gt;AI$7)),0,MAX(0,ROUND((INDEX($E642:$G642,AI$5)-SUMIFS(TF_Timer,TF_Tekniker,AI$4,TF_Dato,$A642))*2,0)/2)))</f>
        <v/>
      </c>
      <c r="AJ642">
        <f>IF(OR(AJ$4="",$A642&gt;TODAY()),0,IF(OR(INDEX($B642:$D642,AJ$5)="F",AND(AJ$6&gt;0,$A642&lt;AJ$6),AND(AJ$7&gt;0,$A642&gt;AJ$7)),0,MAX(0,ROUND((INDEX($E642:$G642,AJ$5)-SUMIFS(TF_Timer,TF_Tekniker,AJ$4,TF_Dato,$A642))*2,0)/2)))</f>
        <v/>
      </c>
      <c r="AK642">
        <f>IF(OR(AK$4="",$A642&gt;TODAY()),0,IF(OR(INDEX($B642:$D642,AK$5)="F",AND(AK$6&gt;0,$A642&lt;AK$6),AND(AK$7&gt;0,$A642&gt;AK$7)),0,MAX(0,ROUND((INDEX($E642:$G642,AK$5)-SUMIFS(TF_Timer,TF_Tekniker,AK$4,TF_Dato,$A642))*2,0)/2)))</f>
        <v/>
      </c>
      <c r="AL642">
        <f>IF(OR(AL$4="",$A642&gt;TODAY()),0,IF(OR(INDEX($B642:$D642,AL$5)="F",AND(AL$6&gt;0,$A642&lt;AL$6),AND(AL$7&gt;0,$A642&gt;AL$7)),0,MAX(0,ROUND((INDEX($E642:$G642,AL$5)-SUMIFS(TF_Timer,TF_Tekniker,AL$4,TF_Dato,$A642))*2,0)/2)))</f>
        <v/>
      </c>
      <c r="AM642">
        <f>IF(OR(AM$4="",$A642&gt;TODAY()),0,IF(OR(INDEX($B642:$D642,AM$5)="F",AND(AM$6&gt;0,$A642&lt;AM$6),AND(AM$7&gt;0,$A642&gt;AM$7)),0,MAX(0,ROUND((INDEX($E642:$G642,AM$5)-SUMIFS(TF_Timer,TF_Tekniker,AM$4,TF_Dato,$A642))*2,0)/2)))</f>
        <v/>
      </c>
      <c r="AN642">
        <f>IF(OR(AN$4="",$A642&gt;TODAY()),0,IF(OR(INDEX($B642:$D642,AN$5)="F",AND(AN$6&gt;0,$A642&lt;AN$6),AND(AN$7&gt;0,$A642&gt;AN$7)),0,MAX(0,ROUND((INDEX($E642:$G642,AN$5)-SUMIFS(TF_Timer,TF_Tekniker,AN$4,TF_Dato,$A642))*2,0)/2)))</f>
        <v/>
      </c>
      <c r="AO642">
        <f>IF(OR(AO$4="",$A642&gt;TODAY()),0,IF(OR(INDEX($B642:$D642,AO$5)="F",AND(AO$6&gt;0,$A642&lt;AO$6),AND(AO$7&gt;0,$A642&gt;AO$7)),0,MAX(0,ROUND((INDEX($E642:$G642,AO$5)-SUMIFS(TF_Timer,TF_Tekniker,AO$4,TF_Dato,$A642))*2,0)/2)))</f>
        <v/>
      </c>
      <c r="AP642">
        <f>IF(OR(AP$4="",$A642&gt;TODAY()),0,IF(OR(INDEX($B642:$D642,AP$5)="F",AND(AP$6&gt;0,$A642&lt;AP$6),AND(AP$7&gt;0,$A642&gt;AP$7)),0,MAX(0,ROUND((INDEX($E642:$G642,AP$5)-SUMIFS(TF_Timer,TF_Tekniker,AP$4,TF_Dato,$A642))*2,0)/2)))</f>
        <v/>
      </c>
      <c r="AQ642">
        <f>IF(OR(AQ$4="",$A642&gt;TODAY()),0,IF(OR(INDEX($B642:$D642,AQ$5)="F",AND(AQ$6&gt;0,$A642&lt;AQ$6),AND(AQ$7&gt;0,$A642&gt;AQ$7)),0,MAX(0,ROUND((INDEX($E642:$G642,AQ$5)-SUMIFS(TF_Timer,TF_Tekniker,AQ$4,TF_Dato,$A642))*2,0)/2)))</f>
        <v/>
      </c>
      <c r="AR642">
        <f>IF(OR(AR$4="",$A642&gt;TODAY()),0,IF(OR(INDEX($B642:$D642,AR$5)="F",AND(AR$6&gt;0,$A642&lt;AR$6),AND(AR$7&gt;0,$A642&gt;AR$7)),0,MAX(0,ROUND((INDEX($E642:$G642,AR$5)-SUMIFS(TF_Timer,TF_Tekniker,AR$4,TF_Dato,$A642))*2,0)/2)))</f>
        <v/>
      </c>
      <c r="AS642">
        <f>IF(OR(AS$4="",$A642&gt;TODAY()),0,IF(OR(INDEX($B642:$D642,AS$5)="F",AND(AS$6&gt;0,$A642&lt;AS$6),AND(AS$7&gt;0,$A642&gt;AS$7)),0,MAX(0,ROUND((INDEX($E642:$G642,AS$5)-SUMIFS(TF_Timer,TF_Tekniker,AS$4,TF_Dato,$A642))*2,0)/2)))</f>
        <v/>
      </c>
      <c r="AT642">
        <f>IF(OR(AT$4="",$A642&gt;TODAY()),0,IF(OR(INDEX($B642:$D642,AT$5)="F",AND(AT$6&gt;0,$A642&lt;AT$6),AND(AT$7&gt;0,$A642&gt;AT$7)),0,MAX(0,ROUND((INDEX($E642:$G642,AT$5)-SUMIFS(TF_Timer,TF_Tekniker,AT$4,TF_Dato,$A642))*2,0)/2)))</f>
        <v/>
      </c>
      <c r="AU642">
        <f>IF(OR(AU$4="",$A642&gt;TODAY()),0,IF(OR(INDEX($B642:$D642,AU$5)="F",AND(AU$6&gt;0,$A642&lt;AU$6),AND(AU$7&gt;0,$A642&gt;AU$7)),0,MAX(0,ROUND((INDEX($E642:$G642,AU$5)-SUMIFS(TF_Timer,TF_Tekniker,AU$4,TF_Dato,$A642))*2,0)/2)))</f>
        <v/>
      </c>
      <c r="AV642">
        <f>IF(OR(AV$4="",$A642&gt;TODAY()),0,IF(OR(INDEX($B642:$D642,AV$5)="F",AND(AV$6&gt;0,$A642&lt;AV$6),AND(AV$7&gt;0,$A642&gt;AV$7)),0,MAX(0,ROUND((INDEX($E642:$G642,AV$5)-SUMIFS(TF_Timer,TF_Tekniker,AV$4,TF_Dato,$A642))*2,0)/2)))</f>
        <v/>
      </c>
      <c r="AW642">
        <f>IF(OR(AW$4="",$A642&gt;TODAY()),0,IF(OR(INDEX($B642:$D642,AW$5)="F",AND(AW$6&gt;0,$A642&lt;AW$6),AND(AW$7&gt;0,$A642&gt;AW$7)),0,MAX(0,ROUND((INDEX($E642:$G642,AW$5)-SUMIFS(TF_Timer,TF_Tekniker,AW$4,TF_Dato,$A642))*2,0)/2)))</f>
        <v/>
      </c>
      <c r="AX642">
        <f>IF(OR(AX$4="",$A642&gt;TODAY()),0,IF(OR(INDEX($B642:$D642,AX$5)="F",AND(AX$6&gt;0,$A642&lt;AX$6),AND(AX$7&gt;0,$A642&gt;AX$7)),0,MAX(0,ROUND((INDEX($E642:$G642,AX$5)-SUMIFS(TF_Timer,TF_Tekniker,AX$4,TF_Dato,$A642))*2,0)/2)))</f>
        <v/>
      </c>
      <c r="AY642">
        <f>IF(OR(AY$4="",$A642&gt;TODAY()),0,IF(OR(INDEX($B642:$D642,AY$5)="F",AND(AY$6&gt;0,$A642&lt;AY$6),AND(AY$7&gt;0,$A642&gt;AY$7)),0,MAX(0,ROUND((INDEX($E642:$G642,AY$5)-SUMIFS(TF_Timer,TF_Tekniker,AY$4,TF_Dato,$A642))*2,0)/2)))</f>
        <v/>
      </c>
      <c r="AZ642">
        <f>IF(OR(AZ$4="",$A642&gt;TODAY()),0,IF(OR(INDEX($B642:$D642,AZ$5)="F",AND(AZ$6&gt;0,$A642&lt;AZ$6),AND(AZ$7&gt;0,$A642&gt;AZ$7)),0,MAX(0,ROUND((INDEX($E642:$G642,AZ$5)-SUMIFS(TF_Timer,TF_Tekniker,AZ$4,TF_Dato,$A642))*2,0)/2)))</f>
        <v/>
      </c>
      <c r="BA642">
        <f>IF(OR(BA$4="",$A642&gt;TODAY()),0,IF(OR(INDEX($B642:$D642,BA$5)="F",AND(BA$6&gt;0,$A642&lt;BA$6),AND(BA$7&gt;0,$A642&gt;BA$7)),0,MAX(0,ROUND((INDEX($E642:$G642,BA$5)-SUMIFS(TF_Timer,TF_Tekniker,BA$4,TF_Dato,$A642))*2,0)/2)))</f>
        <v/>
      </c>
      <c r="BB642">
        <f>IF(OR(BB$4="",$A642&gt;TODAY()),0,IF(OR(INDEX($B642:$D642,BB$5)="F",AND(BB$6&gt;0,$A642&lt;BB$6),AND(BB$7&gt;0,$A642&gt;BB$7)),0,MAX(0,ROUND((INDEX($E642:$G642,BB$5)-SUMIFS(TF_Timer,TF_Tekniker,BB$4,TF_Dato,$A642))*2,0)/2)))</f>
        <v/>
      </c>
      <c r="BC642">
        <f>IF(OR(BC$4="",$A642&gt;TODAY()),0,IF(OR(INDEX($B642:$D642,BC$5)="F",AND(BC$6&gt;0,$A642&lt;BC$6),AND(BC$7&gt;0,$A642&gt;BC$7)),0,MAX(0,ROUND((INDEX($E642:$G642,BC$5)-SUMIFS(TF_Timer,TF_Tekniker,BC$4,TF_Dato,$A642))*2,0)/2)))</f>
        <v/>
      </c>
      <c r="BD642">
        <f>IF(OR(BD$4="",$A642&gt;TODAY()),0,IF(OR(INDEX($B642:$D642,BD$5)="F",AND(BD$6&gt;0,$A642&lt;BD$6),AND(BD$7&gt;0,$A642&gt;BD$7)),0,MAX(0,ROUND((INDEX($E642:$G642,BD$5)-SUMIFS(TF_Timer,TF_Tekniker,BD$4,TF_Dato,$A642))*2,0)/2)))</f>
        <v/>
      </c>
      <c r="BE642">
        <f>IF(OR(BE$4="",$A642&gt;TODAY()),0,IF(OR(INDEX($B642:$D642,BE$5)="F",AND(BE$6&gt;0,$A642&lt;BE$6),AND(BE$7&gt;0,$A642&gt;BE$7)),0,MAX(0,ROUND((INDEX($E642:$G642,BE$5)-SUMIFS(TF_Timer,TF_Tekniker,BE$4,TF_Dato,$A642))*2,0)/2)))</f>
        <v/>
      </c>
      <c r="BF642">
        <f>IF(OR(BF$4="",$A642&gt;TODAY()),0,IF(OR(INDEX($B642:$D642,BF$5)="F",AND(BF$6&gt;0,$A642&lt;BF$6),AND(BF$7&gt;0,$A642&gt;BF$7)),0,MAX(0,ROUND((INDEX($E642:$G642,BF$5)-SUMIFS(TF_Timer,TF_Tekniker,BF$4,TF_Dato,$A642))*2,0)/2)))</f>
        <v/>
      </c>
      <c r="BG642">
        <f>IF(OR(BG$4="",$A642&gt;TODAY()),0,IF(OR(INDEX($B642:$D642,BG$5)="F",AND(BG$6&gt;0,$A642&lt;BG$6),AND(BG$7&gt;0,$A642&gt;BG$7)),0,MAX(0,ROUND((INDEX($E642:$G642,BG$5)-SUMIFS(TF_Timer,TF_Tekniker,BG$4,TF_Dato,$A642))*2,0)/2)))</f>
        <v/>
      </c>
      <c r="BH642">
        <f>IF(OR(BH$4="",$A642&gt;TODAY()),0,IF(OR(INDEX($B642:$D642,BH$5)="F",AND(BH$6&gt;0,$A642&lt;BH$6),AND(BH$7&gt;0,$A642&gt;BH$7)),0,MAX(0,ROUND((INDEX($E642:$G642,BH$5)-SUMIFS(TF_Timer,TF_Tekniker,BH$4,TF_Dato,$A642))*2,0)/2)))</f>
        <v/>
      </c>
      <c r="BI642">
        <f>IF(OR(BI$4="",$A642&gt;TODAY()),0,IF(OR(INDEX($B642:$D642,BI$5)="F",AND(BI$6&gt;0,$A642&lt;BI$6),AND(BI$7&gt;0,$A642&gt;BI$7)),0,MAX(0,ROUND((INDEX($E642:$G642,BI$5)-SUMIFS(TF_Timer,TF_Tekniker,BI$4,TF_Dato,$A642))*2,0)/2)))</f>
        <v/>
      </c>
    </row>
    <row r="643">
      <c r="A643" s="64">
        <f>A642+1</f>
        <v/>
      </c>
      <c r="B643">
        <f>IF(MOD($A643-INDEX(SkiftStart,1),Syklus)&lt;DagK,"K",IF(MOD($A643-INDEX(SkiftStart,1),Syklus)&lt;DagK+DagH,"H",IF(MOD($A643-INDEX(SkiftStart,1),Syklus)&lt;DagK+DagH+DagD,"D","F")))</f>
        <v/>
      </c>
      <c r="C643">
        <f>IF(MOD($A643-INDEX(SkiftStart,2),Syklus)&lt;DagK,"K",IF(MOD($A643-INDEX(SkiftStart,2),Syklus)&lt;DagK+DagH,"H",IF(MOD($A643-INDEX(SkiftStart,2),Syklus)&lt;DagK+DagH+DagD,"D","F")))</f>
        <v/>
      </c>
      <c r="D643">
        <f>IF(MOD($A643-INDEX(SkiftStart,3),Syklus)&lt;DagK,"K",IF(MOD($A643-INDEX(SkiftStart,3),Syklus)&lt;DagK+DagH,"H",IF(MOD($A643-INDEX(SkiftStart,3),Syklus)&lt;DagK+DagH+DagD,"D","F")))</f>
        <v/>
      </c>
      <c r="E643">
        <f>IF(B643="F",0,IF(WEEKDAY($A643,2)=5,INDEX(TimerFr,MATCH(B643,FaseKode,0)),INDEX(TimerMT,MATCH(B643,FaseKode,0))))</f>
        <v/>
      </c>
      <c r="F643">
        <f>IF(C643="F",0,IF(WEEKDAY($A643,2)=5,INDEX(TimerFr,MATCH(C643,FaseKode,0)),INDEX(TimerMT,MATCH(C643,FaseKode,0))))</f>
        <v/>
      </c>
      <c r="G643">
        <f>IF(D643="F",0,IF(WEEKDAY($A643,2)=5,INDEX(TimerFr,MATCH(D643,FaseKode,0)),INDEX(TimerMT,MATCH(D643,FaseKode,0))))</f>
        <v/>
      </c>
      <c r="H643">
        <f>IF(OR(H$4="",$A643&gt;TODAY()),0,IF(OR(INDEX($B643:$D643,H$5)="F",AND(H$6&gt;0,$A643&lt;H$6),AND(H$7&gt;0,$A643&gt;H$7)),0,MAX(0,ROUND((INDEX($E643:$G643,H$5)-SUMIFS(TF_Timer,TF_Tekniker,H$4,TF_Dato,$A643))*2,0)/2)))</f>
        <v/>
      </c>
      <c r="I643">
        <f>IF(OR(I$4="",$A643&gt;TODAY()),0,IF(OR(INDEX($B643:$D643,I$5)="F",AND(I$6&gt;0,$A643&lt;I$6),AND(I$7&gt;0,$A643&gt;I$7)),0,MAX(0,ROUND((INDEX($E643:$G643,I$5)-SUMIFS(TF_Timer,TF_Tekniker,I$4,TF_Dato,$A643))*2,0)/2)))</f>
        <v/>
      </c>
      <c r="J643">
        <f>IF(OR(J$4="",$A643&gt;TODAY()),0,IF(OR(INDEX($B643:$D643,J$5)="F",AND(J$6&gt;0,$A643&lt;J$6),AND(J$7&gt;0,$A643&gt;J$7)),0,MAX(0,ROUND((INDEX($E643:$G643,J$5)-SUMIFS(TF_Timer,TF_Tekniker,J$4,TF_Dato,$A643))*2,0)/2)))</f>
        <v/>
      </c>
      <c r="K643">
        <f>IF(OR(K$4="",$A643&gt;TODAY()),0,IF(OR(INDEX($B643:$D643,K$5)="F",AND(K$6&gt;0,$A643&lt;K$6),AND(K$7&gt;0,$A643&gt;K$7)),0,MAX(0,ROUND((INDEX($E643:$G643,K$5)-SUMIFS(TF_Timer,TF_Tekniker,K$4,TF_Dato,$A643))*2,0)/2)))</f>
        <v/>
      </c>
      <c r="L643">
        <f>IF(OR(L$4="",$A643&gt;TODAY()),0,IF(OR(INDEX($B643:$D643,L$5)="F",AND(L$6&gt;0,$A643&lt;L$6),AND(L$7&gt;0,$A643&gt;L$7)),0,MAX(0,ROUND((INDEX($E643:$G643,L$5)-SUMIFS(TF_Timer,TF_Tekniker,L$4,TF_Dato,$A643))*2,0)/2)))</f>
        <v/>
      </c>
      <c r="M643">
        <f>IF(OR(M$4="",$A643&gt;TODAY()),0,IF(OR(INDEX($B643:$D643,M$5)="F",AND(M$6&gt;0,$A643&lt;M$6),AND(M$7&gt;0,$A643&gt;M$7)),0,MAX(0,ROUND((INDEX($E643:$G643,M$5)-SUMIFS(TF_Timer,TF_Tekniker,M$4,TF_Dato,$A643))*2,0)/2)))</f>
        <v/>
      </c>
      <c r="N643">
        <f>IF(OR(N$4="",$A643&gt;TODAY()),0,IF(OR(INDEX($B643:$D643,N$5)="F",AND(N$6&gt;0,$A643&lt;N$6),AND(N$7&gt;0,$A643&gt;N$7)),0,MAX(0,ROUND((INDEX($E643:$G643,N$5)-SUMIFS(TF_Timer,TF_Tekniker,N$4,TF_Dato,$A643))*2,0)/2)))</f>
        <v/>
      </c>
      <c r="O643">
        <f>IF(OR(O$4="",$A643&gt;TODAY()),0,IF(OR(INDEX($B643:$D643,O$5)="F",AND(O$6&gt;0,$A643&lt;O$6),AND(O$7&gt;0,$A643&gt;O$7)),0,MAX(0,ROUND((INDEX($E643:$G643,O$5)-SUMIFS(TF_Timer,TF_Tekniker,O$4,TF_Dato,$A643))*2,0)/2)))</f>
        <v/>
      </c>
      <c r="P643">
        <f>IF(OR(P$4="",$A643&gt;TODAY()),0,IF(OR(INDEX($B643:$D643,P$5)="F",AND(P$6&gt;0,$A643&lt;P$6),AND(P$7&gt;0,$A643&gt;P$7)),0,MAX(0,ROUND((INDEX($E643:$G643,P$5)-SUMIFS(TF_Timer,TF_Tekniker,P$4,TF_Dato,$A643))*2,0)/2)))</f>
        <v/>
      </c>
      <c r="Q643">
        <f>IF(OR(Q$4="",$A643&gt;TODAY()),0,IF(OR(INDEX($B643:$D643,Q$5)="F",AND(Q$6&gt;0,$A643&lt;Q$6),AND(Q$7&gt;0,$A643&gt;Q$7)),0,MAX(0,ROUND((INDEX($E643:$G643,Q$5)-SUMIFS(TF_Timer,TF_Tekniker,Q$4,TF_Dato,$A643))*2,0)/2)))</f>
        <v/>
      </c>
      <c r="R643">
        <f>IF(OR(R$4="",$A643&gt;TODAY()),0,IF(OR(INDEX($B643:$D643,R$5)="F",AND(R$6&gt;0,$A643&lt;R$6),AND(R$7&gt;0,$A643&gt;R$7)),0,MAX(0,ROUND((INDEX($E643:$G643,R$5)-SUMIFS(TF_Timer,TF_Tekniker,R$4,TF_Dato,$A643))*2,0)/2)))</f>
        <v/>
      </c>
      <c r="S643">
        <f>IF(OR(S$4="",$A643&gt;TODAY()),0,IF(OR(INDEX($B643:$D643,S$5)="F",AND(S$6&gt;0,$A643&lt;S$6),AND(S$7&gt;0,$A643&gt;S$7)),0,MAX(0,ROUND((INDEX($E643:$G643,S$5)-SUMIFS(TF_Timer,TF_Tekniker,S$4,TF_Dato,$A643))*2,0)/2)))</f>
        <v/>
      </c>
      <c r="T643">
        <f>IF(OR(T$4="",$A643&gt;TODAY()),0,IF(OR(INDEX($B643:$D643,T$5)="F",AND(T$6&gt;0,$A643&lt;T$6),AND(T$7&gt;0,$A643&gt;T$7)),0,MAX(0,ROUND((INDEX($E643:$G643,T$5)-SUMIFS(TF_Timer,TF_Tekniker,T$4,TF_Dato,$A643))*2,0)/2)))</f>
        <v/>
      </c>
      <c r="U643">
        <f>IF(OR(U$4="",$A643&gt;TODAY()),0,IF(OR(INDEX($B643:$D643,U$5)="F",AND(U$6&gt;0,$A643&lt;U$6),AND(U$7&gt;0,$A643&gt;U$7)),0,MAX(0,ROUND((INDEX($E643:$G643,U$5)-SUMIFS(TF_Timer,TF_Tekniker,U$4,TF_Dato,$A643))*2,0)/2)))</f>
        <v/>
      </c>
      <c r="V643">
        <f>IF(OR(V$4="",$A643&gt;TODAY()),0,IF(OR(INDEX($B643:$D643,V$5)="F",AND(V$6&gt;0,$A643&lt;V$6),AND(V$7&gt;0,$A643&gt;V$7)),0,MAX(0,ROUND((INDEX($E643:$G643,V$5)-SUMIFS(TF_Timer,TF_Tekniker,V$4,TF_Dato,$A643))*2,0)/2)))</f>
        <v/>
      </c>
      <c r="W643">
        <f>IF(OR(W$4="",$A643&gt;TODAY()),0,IF(OR(INDEX($B643:$D643,W$5)="F",AND(W$6&gt;0,$A643&lt;W$6),AND(W$7&gt;0,$A643&gt;W$7)),0,MAX(0,ROUND((INDEX($E643:$G643,W$5)-SUMIFS(TF_Timer,TF_Tekniker,W$4,TF_Dato,$A643))*2,0)/2)))</f>
        <v/>
      </c>
      <c r="X643">
        <f>IF(OR(X$4="",$A643&gt;TODAY()),0,IF(OR(INDEX($B643:$D643,X$5)="F",AND(X$6&gt;0,$A643&lt;X$6),AND(X$7&gt;0,$A643&gt;X$7)),0,MAX(0,ROUND((INDEX($E643:$G643,X$5)-SUMIFS(TF_Timer,TF_Tekniker,X$4,TF_Dato,$A643))*2,0)/2)))</f>
        <v/>
      </c>
      <c r="Y643">
        <f>IF(OR(Y$4="",$A643&gt;TODAY()),0,IF(OR(INDEX($B643:$D643,Y$5)="F",AND(Y$6&gt;0,$A643&lt;Y$6),AND(Y$7&gt;0,$A643&gt;Y$7)),0,MAX(0,ROUND((INDEX($E643:$G643,Y$5)-SUMIFS(TF_Timer,TF_Tekniker,Y$4,TF_Dato,$A643))*2,0)/2)))</f>
        <v/>
      </c>
      <c r="Z643">
        <f>IF(OR(Z$4="",$A643&gt;TODAY()),0,IF(OR(INDEX($B643:$D643,Z$5)="F",AND(Z$6&gt;0,$A643&lt;Z$6),AND(Z$7&gt;0,$A643&gt;Z$7)),0,MAX(0,ROUND((INDEX($E643:$G643,Z$5)-SUMIFS(TF_Timer,TF_Tekniker,Z$4,TF_Dato,$A643))*2,0)/2)))</f>
        <v/>
      </c>
      <c r="AA643">
        <f>IF(OR(AA$4="",$A643&gt;TODAY()),0,IF(OR(INDEX($B643:$D643,AA$5)="F",AND(AA$6&gt;0,$A643&lt;AA$6),AND(AA$7&gt;0,$A643&gt;AA$7)),0,MAX(0,ROUND((INDEX($E643:$G643,AA$5)-SUMIFS(TF_Timer,TF_Tekniker,AA$4,TF_Dato,$A643))*2,0)/2)))</f>
        <v/>
      </c>
      <c r="AB643">
        <f>IF(OR(AB$4="",$A643&gt;TODAY()),0,IF(OR(INDEX($B643:$D643,AB$5)="F",AND(AB$6&gt;0,$A643&lt;AB$6),AND(AB$7&gt;0,$A643&gt;AB$7)),0,MAX(0,ROUND((INDEX($E643:$G643,AB$5)-SUMIFS(TF_Timer,TF_Tekniker,AB$4,TF_Dato,$A643))*2,0)/2)))</f>
        <v/>
      </c>
      <c r="AC643">
        <f>IF(OR(AC$4="",$A643&gt;TODAY()),0,IF(OR(INDEX($B643:$D643,AC$5)="F",AND(AC$6&gt;0,$A643&lt;AC$6),AND(AC$7&gt;0,$A643&gt;AC$7)),0,MAX(0,ROUND((INDEX($E643:$G643,AC$5)-SUMIFS(TF_Timer,TF_Tekniker,AC$4,TF_Dato,$A643))*2,0)/2)))</f>
        <v/>
      </c>
      <c r="AD643">
        <f>IF(OR(AD$4="",$A643&gt;TODAY()),0,IF(OR(INDEX($B643:$D643,AD$5)="F",AND(AD$6&gt;0,$A643&lt;AD$6),AND(AD$7&gt;0,$A643&gt;AD$7)),0,MAX(0,ROUND((INDEX($E643:$G643,AD$5)-SUMIFS(TF_Timer,TF_Tekniker,AD$4,TF_Dato,$A643))*2,0)/2)))</f>
        <v/>
      </c>
      <c r="AE643">
        <f>IF(OR(AE$4="",$A643&gt;TODAY()),0,IF(OR(INDEX($B643:$D643,AE$5)="F",AND(AE$6&gt;0,$A643&lt;AE$6),AND(AE$7&gt;0,$A643&gt;AE$7)),0,MAX(0,ROUND((INDEX($E643:$G643,AE$5)-SUMIFS(TF_Timer,TF_Tekniker,AE$4,TF_Dato,$A643))*2,0)/2)))</f>
        <v/>
      </c>
      <c r="AF643">
        <f>IF(OR(AF$4="",$A643&gt;TODAY()),0,IF(OR(INDEX($B643:$D643,AF$5)="F",AND(AF$6&gt;0,$A643&lt;AF$6),AND(AF$7&gt;0,$A643&gt;AF$7)),0,MAX(0,ROUND((INDEX($E643:$G643,AF$5)-SUMIFS(TF_Timer,TF_Tekniker,AF$4,TF_Dato,$A643))*2,0)/2)))</f>
        <v/>
      </c>
      <c r="AG643">
        <f>IF(OR(AG$4="",$A643&gt;TODAY()),0,IF(OR(INDEX($B643:$D643,AG$5)="F",AND(AG$6&gt;0,$A643&lt;AG$6),AND(AG$7&gt;0,$A643&gt;AG$7)),0,MAX(0,ROUND((INDEX($E643:$G643,AG$5)-SUMIFS(TF_Timer,TF_Tekniker,AG$4,TF_Dato,$A643))*2,0)/2)))</f>
        <v/>
      </c>
      <c r="AH643">
        <f>IF(OR(AH$4="",$A643&gt;TODAY()),0,IF(OR(INDEX($B643:$D643,AH$5)="F",AND(AH$6&gt;0,$A643&lt;AH$6),AND(AH$7&gt;0,$A643&gt;AH$7)),0,MAX(0,ROUND((INDEX($E643:$G643,AH$5)-SUMIFS(TF_Timer,TF_Tekniker,AH$4,TF_Dato,$A643))*2,0)/2)))</f>
        <v/>
      </c>
      <c r="AI643">
        <f>IF(OR(AI$4="",$A643&gt;TODAY()),0,IF(OR(INDEX($B643:$D643,AI$5)="F",AND(AI$6&gt;0,$A643&lt;AI$6),AND(AI$7&gt;0,$A643&gt;AI$7)),0,MAX(0,ROUND((INDEX($E643:$G643,AI$5)-SUMIFS(TF_Timer,TF_Tekniker,AI$4,TF_Dato,$A643))*2,0)/2)))</f>
        <v/>
      </c>
      <c r="AJ643">
        <f>IF(OR(AJ$4="",$A643&gt;TODAY()),0,IF(OR(INDEX($B643:$D643,AJ$5)="F",AND(AJ$6&gt;0,$A643&lt;AJ$6),AND(AJ$7&gt;0,$A643&gt;AJ$7)),0,MAX(0,ROUND((INDEX($E643:$G643,AJ$5)-SUMIFS(TF_Timer,TF_Tekniker,AJ$4,TF_Dato,$A643))*2,0)/2)))</f>
        <v/>
      </c>
      <c r="AK643">
        <f>IF(OR(AK$4="",$A643&gt;TODAY()),0,IF(OR(INDEX($B643:$D643,AK$5)="F",AND(AK$6&gt;0,$A643&lt;AK$6),AND(AK$7&gt;0,$A643&gt;AK$7)),0,MAX(0,ROUND((INDEX($E643:$G643,AK$5)-SUMIFS(TF_Timer,TF_Tekniker,AK$4,TF_Dato,$A643))*2,0)/2)))</f>
        <v/>
      </c>
      <c r="AL643">
        <f>IF(OR(AL$4="",$A643&gt;TODAY()),0,IF(OR(INDEX($B643:$D643,AL$5)="F",AND(AL$6&gt;0,$A643&lt;AL$6),AND(AL$7&gt;0,$A643&gt;AL$7)),0,MAX(0,ROUND((INDEX($E643:$G643,AL$5)-SUMIFS(TF_Timer,TF_Tekniker,AL$4,TF_Dato,$A643))*2,0)/2)))</f>
        <v/>
      </c>
      <c r="AM643">
        <f>IF(OR(AM$4="",$A643&gt;TODAY()),0,IF(OR(INDEX($B643:$D643,AM$5)="F",AND(AM$6&gt;0,$A643&lt;AM$6),AND(AM$7&gt;0,$A643&gt;AM$7)),0,MAX(0,ROUND((INDEX($E643:$G643,AM$5)-SUMIFS(TF_Timer,TF_Tekniker,AM$4,TF_Dato,$A643))*2,0)/2)))</f>
        <v/>
      </c>
      <c r="AN643">
        <f>IF(OR(AN$4="",$A643&gt;TODAY()),0,IF(OR(INDEX($B643:$D643,AN$5)="F",AND(AN$6&gt;0,$A643&lt;AN$6),AND(AN$7&gt;0,$A643&gt;AN$7)),0,MAX(0,ROUND((INDEX($E643:$G643,AN$5)-SUMIFS(TF_Timer,TF_Tekniker,AN$4,TF_Dato,$A643))*2,0)/2)))</f>
        <v/>
      </c>
      <c r="AO643">
        <f>IF(OR(AO$4="",$A643&gt;TODAY()),0,IF(OR(INDEX($B643:$D643,AO$5)="F",AND(AO$6&gt;0,$A643&lt;AO$6),AND(AO$7&gt;0,$A643&gt;AO$7)),0,MAX(0,ROUND((INDEX($E643:$G643,AO$5)-SUMIFS(TF_Timer,TF_Tekniker,AO$4,TF_Dato,$A643))*2,0)/2)))</f>
        <v/>
      </c>
      <c r="AP643">
        <f>IF(OR(AP$4="",$A643&gt;TODAY()),0,IF(OR(INDEX($B643:$D643,AP$5)="F",AND(AP$6&gt;0,$A643&lt;AP$6),AND(AP$7&gt;0,$A643&gt;AP$7)),0,MAX(0,ROUND((INDEX($E643:$G643,AP$5)-SUMIFS(TF_Timer,TF_Tekniker,AP$4,TF_Dato,$A643))*2,0)/2)))</f>
        <v/>
      </c>
      <c r="AQ643">
        <f>IF(OR(AQ$4="",$A643&gt;TODAY()),0,IF(OR(INDEX($B643:$D643,AQ$5)="F",AND(AQ$6&gt;0,$A643&lt;AQ$6),AND(AQ$7&gt;0,$A643&gt;AQ$7)),0,MAX(0,ROUND((INDEX($E643:$G643,AQ$5)-SUMIFS(TF_Timer,TF_Tekniker,AQ$4,TF_Dato,$A643))*2,0)/2)))</f>
        <v/>
      </c>
      <c r="AR643">
        <f>IF(OR(AR$4="",$A643&gt;TODAY()),0,IF(OR(INDEX($B643:$D643,AR$5)="F",AND(AR$6&gt;0,$A643&lt;AR$6),AND(AR$7&gt;0,$A643&gt;AR$7)),0,MAX(0,ROUND((INDEX($E643:$G643,AR$5)-SUMIFS(TF_Timer,TF_Tekniker,AR$4,TF_Dato,$A643))*2,0)/2)))</f>
        <v/>
      </c>
      <c r="AS643">
        <f>IF(OR(AS$4="",$A643&gt;TODAY()),0,IF(OR(INDEX($B643:$D643,AS$5)="F",AND(AS$6&gt;0,$A643&lt;AS$6),AND(AS$7&gt;0,$A643&gt;AS$7)),0,MAX(0,ROUND((INDEX($E643:$G643,AS$5)-SUMIFS(TF_Timer,TF_Tekniker,AS$4,TF_Dato,$A643))*2,0)/2)))</f>
        <v/>
      </c>
      <c r="AT643">
        <f>IF(OR(AT$4="",$A643&gt;TODAY()),0,IF(OR(INDEX($B643:$D643,AT$5)="F",AND(AT$6&gt;0,$A643&lt;AT$6),AND(AT$7&gt;0,$A643&gt;AT$7)),0,MAX(0,ROUND((INDEX($E643:$G643,AT$5)-SUMIFS(TF_Timer,TF_Tekniker,AT$4,TF_Dato,$A643))*2,0)/2)))</f>
        <v/>
      </c>
      <c r="AU643">
        <f>IF(OR(AU$4="",$A643&gt;TODAY()),0,IF(OR(INDEX($B643:$D643,AU$5)="F",AND(AU$6&gt;0,$A643&lt;AU$6),AND(AU$7&gt;0,$A643&gt;AU$7)),0,MAX(0,ROUND((INDEX($E643:$G643,AU$5)-SUMIFS(TF_Timer,TF_Tekniker,AU$4,TF_Dato,$A643))*2,0)/2)))</f>
        <v/>
      </c>
      <c r="AV643">
        <f>IF(OR(AV$4="",$A643&gt;TODAY()),0,IF(OR(INDEX($B643:$D643,AV$5)="F",AND(AV$6&gt;0,$A643&lt;AV$6),AND(AV$7&gt;0,$A643&gt;AV$7)),0,MAX(0,ROUND((INDEX($E643:$G643,AV$5)-SUMIFS(TF_Timer,TF_Tekniker,AV$4,TF_Dato,$A643))*2,0)/2)))</f>
        <v/>
      </c>
      <c r="AW643">
        <f>IF(OR(AW$4="",$A643&gt;TODAY()),0,IF(OR(INDEX($B643:$D643,AW$5)="F",AND(AW$6&gt;0,$A643&lt;AW$6),AND(AW$7&gt;0,$A643&gt;AW$7)),0,MAX(0,ROUND((INDEX($E643:$G643,AW$5)-SUMIFS(TF_Timer,TF_Tekniker,AW$4,TF_Dato,$A643))*2,0)/2)))</f>
        <v/>
      </c>
      <c r="AX643">
        <f>IF(OR(AX$4="",$A643&gt;TODAY()),0,IF(OR(INDEX($B643:$D643,AX$5)="F",AND(AX$6&gt;0,$A643&lt;AX$6),AND(AX$7&gt;0,$A643&gt;AX$7)),0,MAX(0,ROUND((INDEX($E643:$G643,AX$5)-SUMIFS(TF_Timer,TF_Tekniker,AX$4,TF_Dato,$A643))*2,0)/2)))</f>
        <v/>
      </c>
      <c r="AY643">
        <f>IF(OR(AY$4="",$A643&gt;TODAY()),0,IF(OR(INDEX($B643:$D643,AY$5)="F",AND(AY$6&gt;0,$A643&lt;AY$6),AND(AY$7&gt;0,$A643&gt;AY$7)),0,MAX(0,ROUND((INDEX($E643:$G643,AY$5)-SUMIFS(TF_Timer,TF_Tekniker,AY$4,TF_Dato,$A643))*2,0)/2)))</f>
        <v/>
      </c>
      <c r="AZ643">
        <f>IF(OR(AZ$4="",$A643&gt;TODAY()),0,IF(OR(INDEX($B643:$D643,AZ$5)="F",AND(AZ$6&gt;0,$A643&lt;AZ$6),AND(AZ$7&gt;0,$A643&gt;AZ$7)),0,MAX(0,ROUND((INDEX($E643:$G643,AZ$5)-SUMIFS(TF_Timer,TF_Tekniker,AZ$4,TF_Dato,$A643))*2,0)/2)))</f>
        <v/>
      </c>
      <c r="BA643">
        <f>IF(OR(BA$4="",$A643&gt;TODAY()),0,IF(OR(INDEX($B643:$D643,BA$5)="F",AND(BA$6&gt;0,$A643&lt;BA$6),AND(BA$7&gt;0,$A643&gt;BA$7)),0,MAX(0,ROUND((INDEX($E643:$G643,BA$5)-SUMIFS(TF_Timer,TF_Tekniker,BA$4,TF_Dato,$A643))*2,0)/2)))</f>
        <v/>
      </c>
      <c r="BB643">
        <f>IF(OR(BB$4="",$A643&gt;TODAY()),0,IF(OR(INDEX($B643:$D643,BB$5)="F",AND(BB$6&gt;0,$A643&lt;BB$6),AND(BB$7&gt;0,$A643&gt;BB$7)),0,MAX(0,ROUND((INDEX($E643:$G643,BB$5)-SUMIFS(TF_Timer,TF_Tekniker,BB$4,TF_Dato,$A643))*2,0)/2)))</f>
        <v/>
      </c>
      <c r="BC643">
        <f>IF(OR(BC$4="",$A643&gt;TODAY()),0,IF(OR(INDEX($B643:$D643,BC$5)="F",AND(BC$6&gt;0,$A643&lt;BC$6),AND(BC$7&gt;0,$A643&gt;BC$7)),0,MAX(0,ROUND((INDEX($E643:$G643,BC$5)-SUMIFS(TF_Timer,TF_Tekniker,BC$4,TF_Dato,$A643))*2,0)/2)))</f>
        <v/>
      </c>
      <c r="BD643">
        <f>IF(OR(BD$4="",$A643&gt;TODAY()),0,IF(OR(INDEX($B643:$D643,BD$5)="F",AND(BD$6&gt;0,$A643&lt;BD$6),AND(BD$7&gt;0,$A643&gt;BD$7)),0,MAX(0,ROUND((INDEX($E643:$G643,BD$5)-SUMIFS(TF_Timer,TF_Tekniker,BD$4,TF_Dato,$A643))*2,0)/2)))</f>
        <v/>
      </c>
      <c r="BE643">
        <f>IF(OR(BE$4="",$A643&gt;TODAY()),0,IF(OR(INDEX($B643:$D643,BE$5)="F",AND(BE$6&gt;0,$A643&lt;BE$6),AND(BE$7&gt;0,$A643&gt;BE$7)),0,MAX(0,ROUND((INDEX($E643:$G643,BE$5)-SUMIFS(TF_Timer,TF_Tekniker,BE$4,TF_Dato,$A643))*2,0)/2)))</f>
        <v/>
      </c>
      <c r="BF643">
        <f>IF(OR(BF$4="",$A643&gt;TODAY()),0,IF(OR(INDEX($B643:$D643,BF$5)="F",AND(BF$6&gt;0,$A643&lt;BF$6),AND(BF$7&gt;0,$A643&gt;BF$7)),0,MAX(0,ROUND((INDEX($E643:$G643,BF$5)-SUMIFS(TF_Timer,TF_Tekniker,BF$4,TF_Dato,$A643))*2,0)/2)))</f>
        <v/>
      </c>
      <c r="BG643">
        <f>IF(OR(BG$4="",$A643&gt;TODAY()),0,IF(OR(INDEX($B643:$D643,BG$5)="F",AND(BG$6&gt;0,$A643&lt;BG$6),AND(BG$7&gt;0,$A643&gt;BG$7)),0,MAX(0,ROUND((INDEX($E643:$G643,BG$5)-SUMIFS(TF_Timer,TF_Tekniker,BG$4,TF_Dato,$A643))*2,0)/2)))</f>
        <v/>
      </c>
      <c r="BH643">
        <f>IF(OR(BH$4="",$A643&gt;TODAY()),0,IF(OR(INDEX($B643:$D643,BH$5)="F",AND(BH$6&gt;0,$A643&lt;BH$6),AND(BH$7&gt;0,$A643&gt;BH$7)),0,MAX(0,ROUND((INDEX($E643:$G643,BH$5)-SUMIFS(TF_Timer,TF_Tekniker,BH$4,TF_Dato,$A643))*2,0)/2)))</f>
        <v/>
      </c>
      <c r="BI643">
        <f>IF(OR(BI$4="",$A643&gt;TODAY()),0,IF(OR(INDEX($B643:$D643,BI$5)="F",AND(BI$6&gt;0,$A643&lt;BI$6),AND(BI$7&gt;0,$A643&gt;BI$7)),0,MAX(0,ROUND((INDEX($E643:$G643,BI$5)-SUMIFS(TF_Timer,TF_Tekniker,BI$4,TF_Dato,$A643))*2,0)/2)))</f>
        <v/>
      </c>
    </row>
    <row r="644">
      <c r="A644" s="64">
        <f>A643+1</f>
        <v/>
      </c>
      <c r="B644">
        <f>IF(MOD($A644-INDEX(SkiftStart,1),Syklus)&lt;DagK,"K",IF(MOD($A644-INDEX(SkiftStart,1),Syklus)&lt;DagK+DagH,"H",IF(MOD($A644-INDEX(SkiftStart,1),Syklus)&lt;DagK+DagH+DagD,"D","F")))</f>
        <v/>
      </c>
      <c r="C644">
        <f>IF(MOD($A644-INDEX(SkiftStart,2),Syklus)&lt;DagK,"K",IF(MOD($A644-INDEX(SkiftStart,2),Syklus)&lt;DagK+DagH,"H",IF(MOD($A644-INDEX(SkiftStart,2),Syklus)&lt;DagK+DagH+DagD,"D","F")))</f>
        <v/>
      </c>
      <c r="D644">
        <f>IF(MOD($A644-INDEX(SkiftStart,3),Syklus)&lt;DagK,"K",IF(MOD($A644-INDEX(SkiftStart,3),Syklus)&lt;DagK+DagH,"H",IF(MOD($A644-INDEX(SkiftStart,3),Syklus)&lt;DagK+DagH+DagD,"D","F")))</f>
        <v/>
      </c>
      <c r="E644">
        <f>IF(B644="F",0,IF(WEEKDAY($A644,2)=5,INDEX(TimerFr,MATCH(B644,FaseKode,0)),INDEX(TimerMT,MATCH(B644,FaseKode,0))))</f>
        <v/>
      </c>
      <c r="F644">
        <f>IF(C644="F",0,IF(WEEKDAY($A644,2)=5,INDEX(TimerFr,MATCH(C644,FaseKode,0)),INDEX(TimerMT,MATCH(C644,FaseKode,0))))</f>
        <v/>
      </c>
      <c r="G644">
        <f>IF(D644="F",0,IF(WEEKDAY($A644,2)=5,INDEX(TimerFr,MATCH(D644,FaseKode,0)),INDEX(TimerMT,MATCH(D644,FaseKode,0))))</f>
        <v/>
      </c>
      <c r="H644">
        <f>IF(OR(H$4="",$A644&gt;TODAY()),0,IF(OR(INDEX($B644:$D644,H$5)="F",AND(H$6&gt;0,$A644&lt;H$6),AND(H$7&gt;0,$A644&gt;H$7)),0,MAX(0,ROUND((INDEX($E644:$G644,H$5)-SUMIFS(TF_Timer,TF_Tekniker,H$4,TF_Dato,$A644))*2,0)/2)))</f>
        <v/>
      </c>
      <c r="I644">
        <f>IF(OR(I$4="",$A644&gt;TODAY()),0,IF(OR(INDEX($B644:$D644,I$5)="F",AND(I$6&gt;0,$A644&lt;I$6),AND(I$7&gt;0,$A644&gt;I$7)),0,MAX(0,ROUND((INDEX($E644:$G644,I$5)-SUMIFS(TF_Timer,TF_Tekniker,I$4,TF_Dato,$A644))*2,0)/2)))</f>
        <v/>
      </c>
      <c r="J644">
        <f>IF(OR(J$4="",$A644&gt;TODAY()),0,IF(OR(INDEX($B644:$D644,J$5)="F",AND(J$6&gt;0,$A644&lt;J$6),AND(J$7&gt;0,$A644&gt;J$7)),0,MAX(0,ROUND((INDEX($E644:$G644,J$5)-SUMIFS(TF_Timer,TF_Tekniker,J$4,TF_Dato,$A644))*2,0)/2)))</f>
        <v/>
      </c>
      <c r="K644">
        <f>IF(OR(K$4="",$A644&gt;TODAY()),0,IF(OR(INDEX($B644:$D644,K$5)="F",AND(K$6&gt;0,$A644&lt;K$6),AND(K$7&gt;0,$A644&gt;K$7)),0,MAX(0,ROUND((INDEX($E644:$G644,K$5)-SUMIFS(TF_Timer,TF_Tekniker,K$4,TF_Dato,$A644))*2,0)/2)))</f>
        <v/>
      </c>
      <c r="L644">
        <f>IF(OR(L$4="",$A644&gt;TODAY()),0,IF(OR(INDEX($B644:$D644,L$5)="F",AND(L$6&gt;0,$A644&lt;L$6),AND(L$7&gt;0,$A644&gt;L$7)),0,MAX(0,ROUND((INDEX($E644:$G644,L$5)-SUMIFS(TF_Timer,TF_Tekniker,L$4,TF_Dato,$A644))*2,0)/2)))</f>
        <v/>
      </c>
      <c r="M644">
        <f>IF(OR(M$4="",$A644&gt;TODAY()),0,IF(OR(INDEX($B644:$D644,M$5)="F",AND(M$6&gt;0,$A644&lt;M$6),AND(M$7&gt;0,$A644&gt;M$7)),0,MAX(0,ROUND((INDEX($E644:$G644,M$5)-SUMIFS(TF_Timer,TF_Tekniker,M$4,TF_Dato,$A644))*2,0)/2)))</f>
        <v/>
      </c>
      <c r="N644">
        <f>IF(OR(N$4="",$A644&gt;TODAY()),0,IF(OR(INDEX($B644:$D644,N$5)="F",AND(N$6&gt;0,$A644&lt;N$6),AND(N$7&gt;0,$A644&gt;N$7)),0,MAX(0,ROUND((INDEX($E644:$G644,N$5)-SUMIFS(TF_Timer,TF_Tekniker,N$4,TF_Dato,$A644))*2,0)/2)))</f>
        <v/>
      </c>
      <c r="O644">
        <f>IF(OR(O$4="",$A644&gt;TODAY()),0,IF(OR(INDEX($B644:$D644,O$5)="F",AND(O$6&gt;0,$A644&lt;O$6),AND(O$7&gt;0,$A644&gt;O$7)),0,MAX(0,ROUND((INDEX($E644:$G644,O$5)-SUMIFS(TF_Timer,TF_Tekniker,O$4,TF_Dato,$A644))*2,0)/2)))</f>
        <v/>
      </c>
      <c r="P644">
        <f>IF(OR(P$4="",$A644&gt;TODAY()),0,IF(OR(INDEX($B644:$D644,P$5)="F",AND(P$6&gt;0,$A644&lt;P$6),AND(P$7&gt;0,$A644&gt;P$7)),0,MAX(0,ROUND((INDEX($E644:$G644,P$5)-SUMIFS(TF_Timer,TF_Tekniker,P$4,TF_Dato,$A644))*2,0)/2)))</f>
        <v/>
      </c>
      <c r="Q644">
        <f>IF(OR(Q$4="",$A644&gt;TODAY()),0,IF(OR(INDEX($B644:$D644,Q$5)="F",AND(Q$6&gt;0,$A644&lt;Q$6),AND(Q$7&gt;0,$A644&gt;Q$7)),0,MAX(0,ROUND((INDEX($E644:$G644,Q$5)-SUMIFS(TF_Timer,TF_Tekniker,Q$4,TF_Dato,$A644))*2,0)/2)))</f>
        <v/>
      </c>
      <c r="R644">
        <f>IF(OR(R$4="",$A644&gt;TODAY()),0,IF(OR(INDEX($B644:$D644,R$5)="F",AND(R$6&gt;0,$A644&lt;R$6),AND(R$7&gt;0,$A644&gt;R$7)),0,MAX(0,ROUND((INDEX($E644:$G644,R$5)-SUMIFS(TF_Timer,TF_Tekniker,R$4,TF_Dato,$A644))*2,0)/2)))</f>
        <v/>
      </c>
      <c r="S644">
        <f>IF(OR(S$4="",$A644&gt;TODAY()),0,IF(OR(INDEX($B644:$D644,S$5)="F",AND(S$6&gt;0,$A644&lt;S$6),AND(S$7&gt;0,$A644&gt;S$7)),0,MAX(0,ROUND((INDEX($E644:$G644,S$5)-SUMIFS(TF_Timer,TF_Tekniker,S$4,TF_Dato,$A644))*2,0)/2)))</f>
        <v/>
      </c>
      <c r="T644">
        <f>IF(OR(T$4="",$A644&gt;TODAY()),0,IF(OR(INDEX($B644:$D644,T$5)="F",AND(T$6&gt;0,$A644&lt;T$6),AND(T$7&gt;0,$A644&gt;T$7)),0,MAX(0,ROUND((INDEX($E644:$G644,T$5)-SUMIFS(TF_Timer,TF_Tekniker,T$4,TF_Dato,$A644))*2,0)/2)))</f>
        <v/>
      </c>
      <c r="U644">
        <f>IF(OR(U$4="",$A644&gt;TODAY()),0,IF(OR(INDEX($B644:$D644,U$5)="F",AND(U$6&gt;0,$A644&lt;U$6),AND(U$7&gt;0,$A644&gt;U$7)),0,MAX(0,ROUND((INDEX($E644:$G644,U$5)-SUMIFS(TF_Timer,TF_Tekniker,U$4,TF_Dato,$A644))*2,0)/2)))</f>
        <v/>
      </c>
      <c r="V644">
        <f>IF(OR(V$4="",$A644&gt;TODAY()),0,IF(OR(INDEX($B644:$D644,V$5)="F",AND(V$6&gt;0,$A644&lt;V$6),AND(V$7&gt;0,$A644&gt;V$7)),0,MAX(0,ROUND((INDEX($E644:$G644,V$5)-SUMIFS(TF_Timer,TF_Tekniker,V$4,TF_Dato,$A644))*2,0)/2)))</f>
        <v/>
      </c>
      <c r="W644">
        <f>IF(OR(W$4="",$A644&gt;TODAY()),0,IF(OR(INDEX($B644:$D644,W$5)="F",AND(W$6&gt;0,$A644&lt;W$6),AND(W$7&gt;0,$A644&gt;W$7)),0,MAX(0,ROUND((INDEX($E644:$G644,W$5)-SUMIFS(TF_Timer,TF_Tekniker,W$4,TF_Dato,$A644))*2,0)/2)))</f>
        <v/>
      </c>
      <c r="X644">
        <f>IF(OR(X$4="",$A644&gt;TODAY()),0,IF(OR(INDEX($B644:$D644,X$5)="F",AND(X$6&gt;0,$A644&lt;X$6),AND(X$7&gt;0,$A644&gt;X$7)),0,MAX(0,ROUND((INDEX($E644:$G644,X$5)-SUMIFS(TF_Timer,TF_Tekniker,X$4,TF_Dato,$A644))*2,0)/2)))</f>
        <v/>
      </c>
      <c r="Y644">
        <f>IF(OR(Y$4="",$A644&gt;TODAY()),0,IF(OR(INDEX($B644:$D644,Y$5)="F",AND(Y$6&gt;0,$A644&lt;Y$6),AND(Y$7&gt;0,$A644&gt;Y$7)),0,MAX(0,ROUND((INDEX($E644:$G644,Y$5)-SUMIFS(TF_Timer,TF_Tekniker,Y$4,TF_Dato,$A644))*2,0)/2)))</f>
        <v/>
      </c>
      <c r="Z644">
        <f>IF(OR(Z$4="",$A644&gt;TODAY()),0,IF(OR(INDEX($B644:$D644,Z$5)="F",AND(Z$6&gt;0,$A644&lt;Z$6),AND(Z$7&gt;0,$A644&gt;Z$7)),0,MAX(0,ROUND((INDEX($E644:$G644,Z$5)-SUMIFS(TF_Timer,TF_Tekniker,Z$4,TF_Dato,$A644))*2,0)/2)))</f>
        <v/>
      </c>
      <c r="AA644">
        <f>IF(OR(AA$4="",$A644&gt;TODAY()),0,IF(OR(INDEX($B644:$D644,AA$5)="F",AND(AA$6&gt;0,$A644&lt;AA$6),AND(AA$7&gt;0,$A644&gt;AA$7)),0,MAX(0,ROUND((INDEX($E644:$G644,AA$5)-SUMIFS(TF_Timer,TF_Tekniker,AA$4,TF_Dato,$A644))*2,0)/2)))</f>
        <v/>
      </c>
      <c r="AB644">
        <f>IF(OR(AB$4="",$A644&gt;TODAY()),0,IF(OR(INDEX($B644:$D644,AB$5)="F",AND(AB$6&gt;0,$A644&lt;AB$6),AND(AB$7&gt;0,$A644&gt;AB$7)),0,MAX(0,ROUND((INDEX($E644:$G644,AB$5)-SUMIFS(TF_Timer,TF_Tekniker,AB$4,TF_Dato,$A644))*2,0)/2)))</f>
        <v/>
      </c>
      <c r="AC644">
        <f>IF(OR(AC$4="",$A644&gt;TODAY()),0,IF(OR(INDEX($B644:$D644,AC$5)="F",AND(AC$6&gt;0,$A644&lt;AC$6),AND(AC$7&gt;0,$A644&gt;AC$7)),0,MAX(0,ROUND((INDEX($E644:$G644,AC$5)-SUMIFS(TF_Timer,TF_Tekniker,AC$4,TF_Dato,$A644))*2,0)/2)))</f>
        <v/>
      </c>
      <c r="AD644">
        <f>IF(OR(AD$4="",$A644&gt;TODAY()),0,IF(OR(INDEX($B644:$D644,AD$5)="F",AND(AD$6&gt;0,$A644&lt;AD$6),AND(AD$7&gt;0,$A644&gt;AD$7)),0,MAX(0,ROUND((INDEX($E644:$G644,AD$5)-SUMIFS(TF_Timer,TF_Tekniker,AD$4,TF_Dato,$A644))*2,0)/2)))</f>
        <v/>
      </c>
      <c r="AE644">
        <f>IF(OR(AE$4="",$A644&gt;TODAY()),0,IF(OR(INDEX($B644:$D644,AE$5)="F",AND(AE$6&gt;0,$A644&lt;AE$6),AND(AE$7&gt;0,$A644&gt;AE$7)),0,MAX(0,ROUND((INDEX($E644:$G644,AE$5)-SUMIFS(TF_Timer,TF_Tekniker,AE$4,TF_Dato,$A644))*2,0)/2)))</f>
        <v/>
      </c>
      <c r="AF644">
        <f>IF(OR(AF$4="",$A644&gt;TODAY()),0,IF(OR(INDEX($B644:$D644,AF$5)="F",AND(AF$6&gt;0,$A644&lt;AF$6),AND(AF$7&gt;0,$A644&gt;AF$7)),0,MAX(0,ROUND((INDEX($E644:$G644,AF$5)-SUMIFS(TF_Timer,TF_Tekniker,AF$4,TF_Dato,$A644))*2,0)/2)))</f>
        <v/>
      </c>
      <c r="AG644">
        <f>IF(OR(AG$4="",$A644&gt;TODAY()),0,IF(OR(INDEX($B644:$D644,AG$5)="F",AND(AG$6&gt;0,$A644&lt;AG$6),AND(AG$7&gt;0,$A644&gt;AG$7)),0,MAX(0,ROUND((INDEX($E644:$G644,AG$5)-SUMIFS(TF_Timer,TF_Tekniker,AG$4,TF_Dato,$A644))*2,0)/2)))</f>
        <v/>
      </c>
      <c r="AH644">
        <f>IF(OR(AH$4="",$A644&gt;TODAY()),0,IF(OR(INDEX($B644:$D644,AH$5)="F",AND(AH$6&gt;0,$A644&lt;AH$6),AND(AH$7&gt;0,$A644&gt;AH$7)),0,MAX(0,ROUND((INDEX($E644:$G644,AH$5)-SUMIFS(TF_Timer,TF_Tekniker,AH$4,TF_Dato,$A644))*2,0)/2)))</f>
        <v/>
      </c>
      <c r="AI644">
        <f>IF(OR(AI$4="",$A644&gt;TODAY()),0,IF(OR(INDEX($B644:$D644,AI$5)="F",AND(AI$6&gt;0,$A644&lt;AI$6),AND(AI$7&gt;0,$A644&gt;AI$7)),0,MAX(0,ROUND((INDEX($E644:$G644,AI$5)-SUMIFS(TF_Timer,TF_Tekniker,AI$4,TF_Dato,$A644))*2,0)/2)))</f>
        <v/>
      </c>
      <c r="AJ644">
        <f>IF(OR(AJ$4="",$A644&gt;TODAY()),0,IF(OR(INDEX($B644:$D644,AJ$5)="F",AND(AJ$6&gt;0,$A644&lt;AJ$6),AND(AJ$7&gt;0,$A644&gt;AJ$7)),0,MAX(0,ROUND((INDEX($E644:$G644,AJ$5)-SUMIFS(TF_Timer,TF_Tekniker,AJ$4,TF_Dato,$A644))*2,0)/2)))</f>
        <v/>
      </c>
      <c r="AK644">
        <f>IF(OR(AK$4="",$A644&gt;TODAY()),0,IF(OR(INDEX($B644:$D644,AK$5)="F",AND(AK$6&gt;0,$A644&lt;AK$6),AND(AK$7&gt;0,$A644&gt;AK$7)),0,MAX(0,ROUND((INDEX($E644:$G644,AK$5)-SUMIFS(TF_Timer,TF_Tekniker,AK$4,TF_Dato,$A644))*2,0)/2)))</f>
        <v/>
      </c>
      <c r="AL644">
        <f>IF(OR(AL$4="",$A644&gt;TODAY()),0,IF(OR(INDEX($B644:$D644,AL$5)="F",AND(AL$6&gt;0,$A644&lt;AL$6),AND(AL$7&gt;0,$A644&gt;AL$7)),0,MAX(0,ROUND((INDEX($E644:$G644,AL$5)-SUMIFS(TF_Timer,TF_Tekniker,AL$4,TF_Dato,$A644))*2,0)/2)))</f>
        <v/>
      </c>
      <c r="AM644">
        <f>IF(OR(AM$4="",$A644&gt;TODAY()),0,IF(OR(INDEX($B644:$D644,AM$5)="F",AND(AM$6&gt;0,$A644&lt;AM$6),AND(AM$7&gt;0,$A644&gt;AM$7)),0,MAX(0,ROUND((INDEX($E644:$G644,AM$5)-SUMIFS(TF_Timer,TF_Tekniker,AM$4,TF_Dato,$A644))*2,0)/2)))</f>
        <v/>
      </c>
      <c r="AN644">
        <f>IF(OR(AN$4="",$A644&gt;TODAY()),0,IF(OR(INDEX($B644:$D644,AN$5)="F",AND(AN$6&gt;0,$A644&lt;AN$6),AND(AN$7&gt;0,$A644&gt;AN$7)),0,MAX(0,ROUND((INDEX($E644:$G644,AN$5)-SUMIFS(TF_Timer,TF_Tekniker,AN$4,TF_Dato,$A644))*2,0)/2)))</f>
        <v/>
      </c>
      <c r="AO644">
        <f>IF(OR(AO$4="",$A644&gt;TODAY()),0,IF(OR(INDEX($B644:$D644,AO$5)="F",AND(AO$6&gt;0,$A644&lt;AO$6),AND(AO$7&gt;0,$A644&gt;AO$7)),0,MAX(0,ROUND((INDEX($E644:$G644,AO$5)-SUMIFS(TF_Timer,TF_Tekniker,AO$4,TF_Dato,$A644))*2,0)/2)))</f>
        <v/>
      </c>
      <c r="AP644">
        <f>IF(OR(AP$4="",$A644&gt;TODAY()),0,IF(OR(INDEX($B644:$D644,AP$5)="F",AND(AP$6&gt;0,$A644&lt;AP$6),AND(AP$7&gt;0,$A644&gt;AP$7)),0,MAX(0,ROUND((INDEX($E644:$G644,AP$5)-SUMIFS(TF_Timer,TF_Tekniker,AP$4,TF_Dato,$A644))*2,0)/2)))</f>
        <v/>
      </c>
      <c r="AQ644">
        <f>IF(OR(AQ$4="",$A644&gt;TODAY()),0,IF(OR(INDEX($B644:$D644,AQ$5)="F",AND(AQ$6&gt;0,$A644&lt;AQ$6),AND(AQ$7&gt;0,$A644&gt;AQ$7)),0,MAX(0,ROUND((INDEX($E644:$G644,AQ$5)-SUMIFS(TF_Timer,TF_Tekniker,AQ$4,TF_Dato,$A644))*2,0)/2)))</f>
        <v/>
      </c>
      <c r="AR644">
        <f>IF(OR(AR$4="",$A644&gt;TODAY()),0,IF(OR(INDEX($B644:$D644,AR$5)="F",AND(AR$6&gt;0,$A644&lt;AR$6),AND(AR$7&gt;0,$A644&gt;AR$7)),0,MAX(0,ROUND((INDEX($E644:$G644,AR$5)-SUMIFS(TF_Timer,TF_Tekniker,AR$4,TF_Dato,$A644))*2,0)/2)))</f>
        <v/>
      </c>
      <c r="AS644">
        <f>IF(OR(AS$4="",$A644&gt;TODAY()),0,IF(OR(INDEX($B644:$D644,AS$5)="F",AND(AS$6&gt;0,$A644&lt;AS$6),AND(AS$7&gt;0,$A644&gt;AS$7)),0,MAX(0,ROUND((INDEX($E644:$G644,AS$5)-SUMIFS(TF_Timer,TF_Tekniker,AS$4,TF_Dato,$A644))*2,0)/2)))</f>
        <v/>
      </c>
      <c r="AT644">
        <f>IF(OR(AT$4="",$A644&gt;TODAY()),0,IF(OR(INDEX($B644:$D644,AT$5)="F",AND(AT$6&gt;0,$A644&lt;AT$6),AND(AT$7&gt;0,$A644&gt;AT$7)),0,MAX(0,ROUND((INDEX($E644:$G644,AT$5)-SUMIFS(TF_Timer,TF_Tekniker,AT$4,TF_Dato,$A644))*2,0)/2)))</f>
        <v/>
      </c>
      <c r="AU644">
        <f>IF(OR(AU$4="",$A644&gt;TODAY()),0,IF(OR(INDEX($B644:$D644,AU$5)="F",AND(AU$6&gt;0,$A644&lt;AU$6),AND(AU$7&gt;0,$A644&gt;AU$7)),0,MAX(0,ROUND((INDEX($E644:$G644,AU$5)-SUMIFS(TF_Timer,TF_Tekniker,AU$4,TF_Dato,$A644))*2,0)/2)))</f>
        <v/>
      </c>
      <c r="AV644">
        <f>IF(OR(AV$4="",$A644&gt;TODAY()),0,IF(OR(INDEX($B644:$D644,AV$5)="F",AND(AV$6&gt;0,$A644&lt;AV$6),AND(AV$7&gt;0,$A644&gt;AV$7)),0,MAX(0,ROUND((INDEX($E644:$G644,AV$5)-SUMIFS(TF_Timer,TF_Tekniker,AV$4,TF_Dato,$A644))*2,0)/2)))</f>
        <v/>
      </c>
      <c r="AW644">
        <f>IF(OR(AW$4="",$A644&gt;TODAY()),0,IF(OR(INDEX($B644:$D644,AW$5)="F",AND(AW$6&gt;0,$A644&lt;AW$6),AND(AW$7&gt;0,$A644&gt;AW$7)),0,MAX(0,ROUND((INDEX($E644:$G644,AW$5)-SUMIFS(TF_Timer,TF_Tekniker,AW$4,TF_Dato,$A644))*2,0)/2)))</f>
        <v/>
      </c>
      <c r="AX644">
        <f>IF(OR(AX$4="",$A644&gt;TODAY()),0,IF(OR(INDEX($B644:$D644,AX$5)="F",AND(AX$6&gt;0,$A644&lt;AX$6),AND(AX$7&gt;0,$A644&gt;AX$7)),0,MAX(0,ROUND((INDEX($E644:$G644,AX$5)-SUMIFS(TF_Timer,TF_Tekniker,AX$4,TF_Dato,$A644))*2,0)/2)))</f>
        <v/>
      </c>
      <c r="AY644">
        <f>IF(OR(AY$4="",$A644&gt;TODAY()),0,IF(OR(INDEX($B644:$D644,AY$5)="F",AND(AY$6&gt;0,$A644&lt;AY$6),AND(AY$7&gt;0,$A644&gt;AY$7)),0,MAX(0,ROUND((INDEX($E644:$G644,AY$5)-SUMIFS(TF_Timer,TF_Tekniker,AY$4,TF_Dato,$A644))*2,0)/2)))</f>
        <v/>
      </c>
      <c r="AZ644">
        <f>IF(OR(AZ$4="",$A644&gt;TODAY()),0,IF(OR(INDEX($B644:$D644,AZ$5)="F",AND(AZ$6&gt;0,$A644&lt;AZ$6),AND(AZ$7&gt;0,$A644&gt;AZ$7)),0,MAX(0,ROUND((INDEX($E644:$G644,AZ$5)-SUMIFS(TF_Timer,TF_Tekniker,AZ$4,TF_Dato,$A644))*2,0)/2)))</f>
        <v/>
      </c>
      <c r="BA644">
        <f>IF(OR(BA$4="",$A644&gt;TODAY()),0,IF(OR(INDEX($B644:$D644,BA$5)="F",AND(BA$6&gt;0,$A644&lt;BA$6),AND(BA$7&gt;0,$A644&gt;BA$7)),0,MAX(0,ROUND((INDEX($E644:$G644,BA$5)-SUMIFS(TF_Timer,TF_Tekniker,BA$4,TF_Dato,$A644))*2,0)/2)))</f>
        <v/>
      </c>
      <c r="BB644">
        <f>IF(OR(BB$4="",$A644&gt;TODAY()),0,IF(OR(INDEX($B644:$D644,BB$5)="F",AND(BB$6&gt;0,$A644&lt;BB$6),AND(BB$7&gt;0,$A644&gt;BB$7)),0,MAX(0,ROUND((INDEX($E644:$G644,BB$5)-SUMIFS(TF_Timer,TF_Tekniker,BB$4,TF_Dato,$A644))*2,0)/2)))</f>
        <v/>
      </c>
      <c r="BC644">
        <f>IF(OR(BC$4="",$A644&gt;TODAY()),0,IF(OR(INDEX($B644:$D644,BC$5)="F",AND(BC$6&gt;0,$A644&lt;BC$6),AND(BC$7&gt;0,$A644&gt;BC$7)),0,MAX(0,ROUND((INDEX($E644:$G644,BC$5)-SUMIFS(TF_Timer,TF_Tekniker,BC$4,TF_Dato,$A644))*2,0)/2)))</f>
        <v/>
      </c>
      <c r="BD644">
        <f>IF(OR(BD$4="",$A644&gt;TODAY()),0,IF(OR(INDEX($B644:$D644,BD$5)="F",AND(BD$6&gt;0,$A644&lt;BD$6),AND(BD$7&gt;0,$A644&gt;BD$7)),0,MAX(0,ROUND((INDEX($E644:$G644,BD$5)-SUMIFS(TF_Timer,TF_Tekniker,BD$4,TF_Dato,$A644))*2,0)/2)))</f>
        <v/>
      </c>
      <c r="BE644">
        <f>IF(OR(BE$4="",$A644&gt;TODAY()),0,IF(OR(INDEX($B644:$D644,BE$5)="F",AND(BE$6&gt;0,$A644&lt;BE$6),AND(BE$7&gt;0,$A644&gt;BE$7)),0,MAX(0,ROUND((INDEX($E644:$G644,BE$5)-SUMIFS(TF_Timer,TF_Tekniker,BE$4,TF_Dato,$A644))*2,0)/2)))</f>
        <v/>
      </c>
      <c r="BF644">
        <f>IF(OR(BF$4="",$A644&gt;TODAY()),0,IF(OR(INDEX($B644:$D644,BF$5)="F",AND(BF$6&gt;0,$A644&lt;BF$6),AND(BF$7&gt;0,$A644&gt;BF$7)),0,MAX(0,ROUND((INDEX($E644:$G644,BF$5)-SUMIFS(TF_Timer,TF_Tekniker,BF$4,TF_Dato,$A644))*2,0)/2)))</f>
        <v/>
      </c>
      <c r="BG644">
        <f>IF(OR(BG$4="",$A644&gt;TODAY()),0,IF(OR(INDEX($B644:$D644,BG$5)="F",AND(BG$6&gt;0,$A644&lt;BG$6),AND(BG$7&gt;0,$A644&gt;BG$7)),0,MAX(0,ROUND((INDEX($E644:$G644,BG$5)-SUMIFS(TF_Timer,TF_Tekniker,BG$4,TF_Dato,$A644))*2,0)/2)))</f>
        <v/>
      </c>
      <c r="BH644">
        <f>IF(OR(BH$4="",$A644&gt;TODAY()),0,IF(OR(INDEX($B644:$D644,BH$5)="F",AND(BH$6&gt;0,$A644&lt;BH$6),AND(BH$7&gt;0,$A644&gt;BH$7)),0,MAX(0,ROUND((INDEX($E644:$G644,BH$5)-SUMIFS(TF_Timer,TF_Tekniker,BH$4,TF_Dato,$A644))*2,0)/2)))</f>
        <v/>
      </c>
      <c r="BI644">
        <f>IF(OR(BI$4="",$A644&gt;TODAY()),0,IF(OR(INDEX($B644:$D644,BI$5)="F",AND(BI$6&gt;0,$A644&lt;BI$6),AND(BI$7&gt;0,$A644&gt;BI$7)),0,MAX(0,ROUND((INDEX($E644:$G644,BI$5)-SUMIFS(TF_Timer,TF_Tekniker,BI$4,TF_Dato,$A644))*2,0)/2)))</f>
        <v/>
      </c>
    </row>
    <row r="645">
      <c r="A645" s="64">
        <f>A644+1</f>
        <v/>
      </c>
      <c r="B645">
        <f>IF(MOD($A645-INDEX(SkiftStart,1),Syklus)&lt;DagK,"K",IF(MOD($A645-INDEX(SkiftStart,1),Syklus)&lt;DagK+DagH,"H",IF(MOD($A645-INDEX(SkiftStart,1),Syklus)&lt;DagK+DagH+DagD,"D","F")))</f>
        <v/>
      </c>
      <c r="C645">
        <f>IF(MOD($A645-INDEX(SkiftStart,2),Syklus)&lt;DagK,"K",IF(MOD($A645-INDEX(SkiftStart,2),Syklus)&lt;DagK+DagH,"H",IF(MOD($A645-INDEX(SkiftStart,2),Syklus)&lt;DagK+DagH+DagD,"D","F")))</f>
        <v/>
      </c>
      <c r="D645">
        <f>IF(MOD($A645-INDEX(SkiftStart,3),Syklus)&lt;DagK,"K",IF(MOD($A645-INDEX(SkiftStart,3),Syklus)&lt;DagK+DagH,"H",IF(MOD($A645-INDEX(SkiftStart,3),Syklus)&lt;DagK+DagH+DagD,"D","F")))</f>
        <v/>
      </c>
      <c r="E645">
        <f>IF(B645="F",0,IF(WEEKDAY($A645,2)=5,INDEX(TimerFr,MATCH(B645,FaseKode,0)),INDEX(TimerMT,MATCH(B645,FaseKode,0))))</f>
        <v/>
      </c>
      <c r="F645">
        <f>IF(C645="F",0,IF(WEEKDAY($A645,2)=5,INDEX(TimerFr,MATCH(C645,FaseKode,0)),INDEX(TimerMT,MATCH(C645,FaseKode,0))))</f>
        <v/>
      </c>
      <c r="G645">
        <f>IF(D645="F",0,IF(WEEKDAY($A645,2)=5,INDEX(TimerFr,MATCH(D645,FaseKode,0)),INDEX(TimerMT,MATCH(D645,FaseKode,0))))</f>
        <v/>
      </c>
      <c r="H645">
        <f>IF(OR(H$4="",$A645&gt;TODAY()),0,IF(OR(INDEX($B645:$D645,H$5)="F",AND(H$6&gt;0,$A645&lt;H$6),AND(H$7&gt;0,$A645&gt;H$7)),0,MAX(0,ROUND((INDEX($E645:$G645,H$5)-SUMIFS(TF_Timer,TF_Tekniker,H$4,TF_Dato,$A645))*2,0)/2)))</f>
        <v/>
      </c>
      <c r="I645">
        <f>IF(OR(I$4="",$A645&gt;TODAY()),0,IF(OR(INDEX($B645:$D645,I$5)="F",AND(I$6&gt;0,$A645&lt;I$6),AND(I$7&gt;0,$A645&gt;I$7)),0,MAX(0,ROUND((INDEX($E645:$G645,I$5)-SUMIFS(TF_Timer,TF_Tekniker,I$4,TF_Dato,$A645))*2,0)/2)))</f>
        <v/>
      </c>
      <c r="J645">
        <f>IF(OR(J$4="",$A645&gt;TODAY()),0,IF(OR(INDEX($B645:$D645,J$5)="F",AND(J$6&gt;0,$A645&lt;J$6),AND(J$7&gt;0,$A645&gt;J$7)),0,MAX(0,ROUND((INDEX($E645:$G645,J$5)-SUMIFS(TF_Timer,TF_Tekniker,J$4,TF_Dato,$A645))*2,0)/2)))</f>
        <v/>
      </c>
      <c r="K645">
        <f>IF(OR(K$4="",$A645&gt;TODAY()),0,IF(OR(INDEX($B645:$D645,K$5)="F",AND(K$6&gt;0,$A645&lt;K$6),AND(K$7&gt;0,$A645&gt;K$7)),0,MAX(0,ROUND((INDEX($E645:$G645,K$5)-SUMIFS(TF_Timer,TF_Tekniker,K$4,TF_Dato,$A645))*2,0)/2)))</f>
        <v/>
      </c>
      <c r="L645">
        <f>IF(OR(L$4="",$A645&gt;TODAY()),0,IF(OR(INDEX($B645:$D645,L$5)="F",AND(L$6&gt;0,$A645&lt;L$6),AND(L$7&gt;0,$A645&gt;L$7)),0,MAX(0,ROUND((INDEX($E645:$G645,L$5)-SUMIFS(TF_Timer,TF_Tekniker,L$4,TF_Dato,$A645))*2,0)/2)))</f>
        <v/>
      </c>
      <c r="M645">
        <f>IF(OR(M$4="",$A645&gt;TODAY()),0,IF(OR(INDEX($B645:$D645,M$5)="F",AND(M$6&gt;0,$A645&lt;M$6),AND(M$7&gt;0,$A645&gt;M$7)),0,MAX(0,ROUND((INDEX($E645:$G645,M$5)-SUMIFS(TF_Timer,TF_Tekniker,M$4,TF_Dato,$A645))*2,0)/2)))</f>
        <v/>
      </c>
      <c r="N645">
        <f>IF(OR(N$4="",$A645&gt;TODAY()),0,IF(OR(INDEX($B645:$D645,N$5)="F",AND(N$6&gt;0,$A645&lt;N$6),AND(N$7&gt;0,$A645&gt;N$7)),0,MAX(0,ROUND((INDEX($E645:$G645,N$5)-SUMIFS(TF_Timer,TF_Tekniker,N$4,TF_Dato,$A645))*2,0)/2)))</f>
        <v/>
      </c>
      <c r="O645">
        <f>IF(OR(O$4="",$A645&gt;TODAY()),0,IF(OR(INDEX($B645:$D645,O$5)="F",AND(O$6&gt;0,$A645&lt;O$6),AND(O$7&gt;0,$A645&gt;O$7)),0,MAX(0,ROUND((INDEX($E645:$G645,O$5)-SUMIFS(TF_Timer,TF_Tekniker,O$4,TF_Dato,$A645))*2,0)/2)))</f>
        <v/>
      </c>
      <c r="P645">
        <f>IF(OR(P$4="",$A645&gt;TODAY()),0,IF(OR(INDEX($B645:$D645,P$5)="F",AND(P$6&gt;0,$A645&lt;P$6),AND(P$7&gt;0,$A645&gt;P$7)),0,MAX(0,ROUND((INDEX($E645:$G645,P$5)-SUMIFS(TF_Timer,TF_Tekniker,P$4,TF_Dato,$A645))*2,0)/2)))</f>
        <v/>
      </c>
      <c r="Q645">
        <f>IF(OR(Q$4="",$A645&gt;TODAY()),0,IF(OR(INDEX($B645:$D645,Q$5)="F",AND(Q$6&gt;0,$A645&lt;Q$6),AND(Q$7&gt;0,$A645&gt;Q$7)),0,MAX(0,ROUND((INDEX($E645:$G645,Q$5)-SUMIFS(TF_Timer,TF_Tekniker,Q$4,TF_Dato,$A645))*2,0)/2)))</f>
        <v/>
      </c>
      <c r="R645">
        <f>IF(OR(R$4="",$A645&gt;TODAY()),0,IF(OR(INDEX($B645:$D645,R$5)="F",AND(R$6&gt;0,$A645&lt;R$6),AND(R$7&gt;0,$A645&gt;R$7)),0,MAX(0,ROUND((INDEX($E645:$G645,R$5)-SUMIFS(TF_Timer,TF_Tekniker,R$4,TF_Dato,$A645))*2,0)/2)))</f>
        <v/>
      </c>
      <c r="S645">
        <f>IF(OR(S$4="",$A645&gt;TODAY()),0,IF(OR(INDEX($B645:$D645,S$5)="F",AND(S$6&gt;0,$A645&lt;S$6),AND(S$7&gt;0,$A645&gt;S$7)),0,MAX(0,ROUND((INDEX($E645:$G645,S$5)-SUMIFS(TF_Timer,TF_Tekniker,S$4,TF_Dato,$A645))*2,0)/2)))</f>
        <v/>
      </c>
      <c r="T645">
        <f>IF(OR(T$4="",$A645&gt;TODAY()),0,IF(OR(INDEX($B645:$D645,T$5)="F",AND(T$6&gt;0,$A645&lt;T$6),AND(T$7&gt;0,$A645&gt;T$7)),0,MAX(0,ROUND((INDEX($E645:$G645,T$5)-SUMIFS(TF_Timer,TF_Tekniker,T$4,TF_Dato,$A645))*2,0)/2)))</f>
        <v/>
      </c>
      <c r="U645">
        <f>IF(OR(U$4="",$A645&gt;TODAY()),0,IF(OR(INDEX($B645:$D645,U$5)="F",AND(U$6&gt;0,$A645&lt;U$6),AND(U$7&gt;0,$A645&gt;U$7)),0,MAX(0,ROUND((INDEX($E645:$G645,U$5)-SUMIFS(TF_Timer,TF_Tekniker,U$4,TF_Dato,$A645))*2,0)/2)))</f>
        <v/>
      </c>
      <c r="V645">
        <f>IF(OR(V$4="",$A645&gt;TODAY()),0,IF(OR(INDEX($B645:$D645,V$5)="F",AND(V$6&gt;0,$A645&lt;V$6),AND(V$7&gt;0,$A645&gt;V$7)),0,MAX(0,ROUND((INDEX($E645:$G645,V$5)-SUMIFS(TF_Timer,TF_Tekniker,V$4,TF_Dato,$A645))*2,0)/2)))</f>
        <v/>
      </c>
      <c r="W645">
        <f>IF(OR(W$4="",$A645&gt;TODAY()),0,IF(OR(INDEX($B645:$D645,W$5)="F",AND(W$6&gt;0,$A645&lt;W$6),AND(W$7&gt;0,$A645&gt;W$7)),0,MAX(0,ROUND((INDEX($E645:$G645,W$5)-SUMIFS(TF_Timer,TF_Tekniker,W$4,TF_Dato,$A645))*2,0)/2)))</f>
        <v/>
      </c>
      <c r="X645">
        <f>IF(OR(X$4="",$A645&gt;TODAY()),0,IF(OR(INDEX($B645:$D645,X$5)="F",AND(X$6&gt;0,$A645&lt;X$6),AND(X$7&gt;0,$A645&gt;X$7)),0,MAX(0,ROUND((INDEX($E645:$G645,X$5)-SUMIFS(TF_Timer,TF_Tekniker,X$4,TF_Dato,$A645))*2,0)/2)))</f>
        <v/>
      </c>
      <c r="Y645">
        <f>IF(OR(Y$4="",$A645&gt;TODAY()),0,IF(OR(INDEX($B645:$D645,Y$5)="F",AND(Y$6&gt;0,$A645&lt;Y$6),AND(Y$7&gt;0,$A645&gt;Y$7)),0,MAX(0,ROUND((INDEX($E645:$G645,Y$5)-SUMIFS(TF_Timer,TF_Tekniker,Y$4,TF_Dato,$A645))*2,0)/2)))</f>
        <v/>
      </c>
      <c r="Z645">
        <f>IF(OR(Z$4="",$A645&gt;TODAY()),0,IF(OR(INDEX($B645:$D645,Z$5)="F",AND(Z$6&gt;0,$A645&lt;Z$6),AND(Z$7&gt;0,$A645&gt;Z$7)),0,MAX(0,ROUND((INDEX($E645:$G645,Z$5)-SUMIFS(TF_Timer,TF_Tekniker,Z$4,TF_Dato,$A645))*2,0)/2)))</f>
        <v/>
      </c>
      <c r="AA645">
        <f>IF(OR(AA$4="",$A645&gt;TODAY()),0,IF(OR(INDEX($B645:$D645,AA$5)="F",AND(AA$6&gt;0,$A645&lt;AA$6),AND(AA$7&gt;0,$A645&gt;AA$7)),0,MAX(0,ROUND((INDEX($E645:$G645,AA$5)-SUMIFS(TF_Timer,TF_Tekniker,AA$4,TF_Dato,$A645))*2,0)/2)))</f>
        <v/>
      </c>
      <c r="AB645">
        <f>IF(OR(AB$4="",$A645&gt;TODAY()),0,IF(OR(INDEX($B645:$D645,AB$5)="F",AND(AB$6&gt;0,$A645&lt;AB$6),AND(AB$7&gt;0,$A645&gt;AB$7)),0,MAX(0,ROUND((INDEX($E645:$G645,AB$5)-SUMIFS(TF_Timer,TF_Tekniker,AB$4,TF_Dato,$A645))*2,0)/2)))</f>
        <v/>
      </c>
      <c r="AC645">
        <f>IF(OR(AC$4="",$A645&gt;TODAY()),0,IF(OR(INDEX($B645:$D645,AC$5)="F",AND(AC$6&gt;0,$A645&lt;AC$6),AND(AC$7&gt;0,$A645&gt;AC$7)),0,MAX(0,ROUND((INDEX($E645:$G645,AC$5)-SUMIFS(TF_Timer,TF_Tekniker,AC$4,TF_Dato,$A645))*2,0)/2)))</f>
        <v/>
      </c>
      <c r="AD645">
        <f>IF(OR(AD$4="",$A645&gt;TODAY()),0,IF(OR(INDEX($B645:$D645,AD$5)="F",AND(AD$6&gt;0,$A645&lt;AD$6),AND(AD$7&gt;0,$A645&gt;AD$7)),0,MAX(0,ROUND((INDEX($E645:$G645,AD$5)-SUMIFS(TF_Timer,TF_Tekniker,AD$4,TF_Dato,$A645))*2,0)/2)))</f>
        <v/>
      </c>
      <c r="AE645">
        <f>IF(OR(AE$4="",$A645&gt;TODAY()),0,IF(OR(INDEX($B645:$D645,AE$5)="F",AND(AE$6&gt;0,$A645&lt;AE$6),AND(AE$7&gt;0,$A645&gt;AE$7)),0,MAX(0,ROUND((INDEX($E645:$G645,AE$5)-SUMIFS(TF_Timer,TF_Tekniker,AE$4,TF_Dato,$A645))*2,0)/2)))</f>
        <v/>
      </c>
      <c r="AF645">
        <f>IF(OR(AF$4="",$A645&gt;TODAY()),0,IF(OR(INDEX($B645:$D645,AF$5)="F",AND(AF$6&gt;0,$A645&lt;AF$6),AND(AF$7&gt;0,$A645&gt;AF$7)),0,MAX(0,ROUND((INDEX($E645:$G645,AF$5)-SUMIFS(TF_Timer,TF_Tekniker,AF$4,TF_Dato,$A645))*2,0)/2)))</f>
        <v/>
      </c>
      <c r="AG645">
        <f>IF(OR(AG$4="",$A645&gt;TODAY()),0,IF(OR(INDEX($B645:$D645,AG$5)="F",AND(AG$6&gt;0,$A645&lt;AG$6),AND(AG$7&gt;0,$A645&gt;AG$7)),0,MAX(0,ROUND((INDEX($E645:$G645,AG$5)-SUMIFS(TF_Timer,TF_Tekniker,AG$4,TF_Dato,$A645))*2,0)/2)))</f>
        <v/>
      </c>
      <c r="AH645">
        <f>IF(OR(AH$4="",$A645&gt;TODAY()),0,IF(OR(INDEX($B645:$D645,AH$5)="F",AND(AH$6&gt;0,$A645&lt;AH$6),AND(AH$7&gt;0,$A645&gt;AH$7)),0,MAX(0,ROUND((INDEX($E645:$G645,AH$5)-SUMIFS(TF_Timer,TF_Tekniker,AH$4,TF_Dato,$A645))*2,0)/2)))</f>
        <v/>
      </c>
      <c r="AI645">
        <f>IF(OR(AI$4="",$A645&gt;TODAY()),0,IF(OR(INDEX($B645:$D645,AI$5)="F",AND(AI$6&gt;0,$A645&lt;AI$6),AND(AI$7&gt;0,$A645&gt;AI$7)),0,MAX(0,ROUND((INDEX($E645:$G645,AI$5)-SUMIFS(TF_Timer,TF_Tekniker,AI$4,TF_Dato,$A645))*2,0)/2)))</f>
        <v/>
      </c>
      <c r="AJ645">
        <f>IF(OR(AJ$4="",$A645&gt;TODAY()),0,IF(OR(INDEX($B645:$D645,AJ$5)="F",AND(AJ$6&gt;0,$A645&lt;AJ$6),AND(AJ$7&gt;0,$A645&gt;AJ$7)),0,MAX(0,ROUND((INDEX($E645:$G645,AJ$5)-SUMIFS(TF_Timer,TF_Tekniker,AJ$4,TF_Dato,$A645))*2,0)/2)))</f>
        <v/>
      </c>
      <c r="AK645">
        <f>IF(OR(AK$4="",$A645&gt;TODAY()),0,IF(OR(INDEX($B645:$D645,AK$5)="F",AND(AK$6&gt;0,$A645&lt;AK$6),AND(AK$7&gt;0,$A645&gt;AK$7)),0,MAX(0,ROUND((INDEX($E645:$G645,AK$5)-SUMIFS(TF_Timer,TF_Tekniker,AK$4,TF_Dato,$A645))*2,0)/2)))</f>
        <v/>
      </c>
      <c r="AL645">
        <f>IF(OR(AL$4="",$A645&gt;TODAY()),0,IF(OR(INDEX($B645:$D645,AL$5)="F",AND(AL$6&gt;0,$A645&lt;AL$6),AND(AL$7&gt;0,$A645&gt;AL$7)),0,MAX(0,ROUND((INDEX($E645:$G645,AL$5)-SUMIFS(TF_Timer,TF_Tekniker,AL$4,TF_Dato,$A645))*2,0)/2)))</f>
        <v/>
      </c>
      <c r="AM645">
        <f>IF(OR(AM$4="",$A645&gt;TODAY()),0,IF(OR(INDEX($B645:$D645,AM$5)="F",AND(AM$6&gt;0,$A645&lt;AM$6),AND(AM$7&gt;0,$A645&gt;AM$7)),0,MAX(0,ROUND((INDEX($E645:$G645,AM$5)-SUMIFS(TF_Timer,TF_Tekniker,AM$4,TF_Dato,$A645))*2,0)/2)))</f>
        <v/>
      </c>
      <c r="AN645">
        <f>IF(OR(AN$4="",$A645&gt;TODAY()),0,IF(OR(INDEX($B645:$D645,AN$5)="F",AND(AN$6&gt;0,$A645&lt;AN$6),AND(AN$7&gt;0,$A645&gt;AN$7)),0,MAX(0,ROUND((INDEX($E645:$G645,AN$5)-SUMIFS(TF_Timer,TF_Tekniker,AN$4,TF_Dato,$A645))*2,0)/2)))</f>
        <v/>
      </c>
      <c r="AO645">
        <f>IF(OR(AO$4="",$A645&gt;TODAY()),0,IF(OR(INDEX($B645:$D645,AO$5)="F",AND(AO$6&gt;0,$A645&lt;AO$6),AND(AO$7&gt;0,$A645&gt;AO$7)),0,MAX(0,ROUND((INDEX($E645:$G645,AO$5)-SUMIFS(TF_Timer,TF_Tekniker,AO$4,TF_Dato,$A645))*2,0)/2)))</f>
        <v/>
      </c>
      <c r="AP645">
        <f>IF(OR(AP$4="",$A645&gt;TODAY()),0,IF(OR(INDEX($B645:$D645,AP$5)="F",AND(AP$6&gt;0,$A645&lt;AP$6),AND(AP$7&gt;0,$A645&gt;AP$7)),0,MAX(0,ROUND((INDEX($E645:$G645,AP$5)-SUMIFS(TF_Timer,TF_Tekniker,AP$4,TF_Dato,$A645))*2,0)/2)))</f>
        <v/>
      </c>
      <c r="AQ645">
        <f>IF(OR(AQ$4="",$A645&gt;TODAY()),0,IF(OR(INDEX($B645:$D645,AQ$5)="F",AND(AQ$6&gt;0,$A645&lt;AQ$6),AND(AQ$7&gt;0,$A645&gt;AQ$7)),0,MAX(0,ROUND((INDEX($E645:$G645,AQ$5)-SUMIFS(TF_Timer,TF_Tekniker,AQ$4,TF_Dato,$A645))*2,0)/2)))</f>
        <v/>
      </c>
      <c r="AR645">
        <f>IF(OR(AR$4="",$A645&gt;TODAY()),0,IF(OR(INDEX($B645:$D645,AR$5)="F",AND(AR$6&gt;0,$A645&lt;AR$6),AND(AR$7&gt;0,$A645&gt;AR$7)),0,MAX(0,ROUND((INDEX($E645:$G645,AR$5)-SUMIFS(TF_Timer,TF_Tekniker,AR$4,TF_Dato,$A645))*2,0)/2)))</f>
        <v/>
      </c>
      <c r="AS645">
        <f>IF(OR(AS$4="",$A645&gt;TODAY()),0,IF(OR(INDEX($B645:$D645,AS$5)="F",AND(AS$6&gt;0,$A645&lt;AS$6),AND(AS$7&gt;0,$A645&gt;AS$7)),0,MAX(0,ROUND((INDEX($E645:$G645,AS$5)-SUMIFS(TF_Timer,TF_Tekniker,AS$4,TF_Dato,$A645))*2,0)/2)))</f>
        <v/>
      </c>
      <c r="AT645">
        <f>IF(OR(AT$4="",$A645&gt;TODAY()),0,IF(OR(INDEX($B645:$D645,AT$5)="F",AND(AT$6&gt;0,$A645&lt;AT$6),AND(AT$7&gt;0,$A645&gt;AT$7)),0,MAX(0,ROUND((INDEX($E645:$G645,AT$5)-SUMIFS(TF_Timer,TF_Tekniker,AT$4,TF_Dato,$A645))*2,0)/2)))</f>
        <v/>
      </c>
      <c r="AU645">
        <f>IF(OR(AU$4="",$A645&gt;TODAY()),0,IF(OR(INDEX($B645:$D645,AU$5)="F",AND(AU$6&gt;0,$A645&lt;AU$6),AND(AU$7&gt;0,$A645&gt;AU$7)),0,MAX(0,ROUND((INDEX($E645:$G645,AU$5)-SUMIFS(TF_Timer,TF_Tekniker,AU$4,TF_Dato,$A645))*2,0)/2)))</f>
        <v/>
      </c>
      <c r="AV645">
        <f>IF(OR(AV$4="",$A645&gt;TODAY()),0,IF(OR(INDEX($B645:$D645,AV$5)="F",AND(AV$6&gt;0,$A645&lt;AV$6),AND(AV$7&gt;0,$A645&gt;AV$7)),0,MAX(0,ROUND((INDEX($E645:$G645,AV$5)-SUMIFS(TF_Timer,TF_Tekniker,AV$4,TF_Dato,$A645))*2,0)/2)))</f>
        <v/>
      </c>
      <c r="AW645">
        <f>IF(OR(AW$4="",$A645&gt;TODAY()),0,IF(OR(INDEX($B645:$D645,AW$5)="F",AND(AW$6&gt;0,$A645&lt;AW$6),AND(AW$7&gt;0,$A645&gt;AW$7)),0,MAX(0,ROUND((INDEX($E645:$G645,AW$5)-SUMIFS(TF_Timer,TF_Tekniker,AW$4,TF_Dato,$A645))*2,0)/2)))</f>
        <v/>
      </c>
      <c r="AX645">
        <f>IF(OR(AX$4="",$A645&gt;TODAY()),0,IF(OR(INDEX($B645:$D645,AX$5)="F",AND(AX$6&gt;0,$A645&lt;AX$6),AND(AX$7&gt;0,$A645&gt;AX$7)),0,MAX(0,ROUND((INDEX($E645:$G645,AX$5)-SUMIFS(TF_Timer,TF_Tekniker,AX$4,TF_Dato,$A645))*2,0)/2)))</f>
        <v/>
      </c>
      <c r="AY645">
        <f>IF(OR(AY$4="",$A645&gt;TODAY()),0,IF(OR(INDEX($B645:$D645,AY$5)="F",AND(AY$6&gt;0,$A645&lt;AY$6),AND(AY$7&gt;0,$A645&gt;AY$7)),0,MAX(0,ROUND((INDEX($E645:$G645,AY$5)-SUMIFS(TF_Timer,TF_Tekniker,AY$4,TF_Dato,$A645))*2,0)/2)))</f>
        <v/>
      </c>
      <c r="AZ645">
        <f>IF(OR(AZ$4="",$A645&gt;TODAY()),0,IF(OR(INDEX($B645:$D645,AZ$5)="F",AND(AZ$6&gt;0,$A645&lt;AZ$6),AND(AZ$7&gt;0,$A645&gt;AZ$7)),0,MAX(0,ROUND((INDEX($E645:$G645,AZ$5)-SUMIFS(TF_Timer,TF_Tekniker,AZ$4,TF_Dato,$A645))*2,0)/2)))</f>
        <v/>
      </c>
      <c r="BA645">
        <f>IF(OR(BA$4="",$A645&gt;TODAY()),0,IF(OR(INDEX($B645:$D645,BA$5)="F",AND(BA$6&gt;0,$A645&lt;BA$6),AND(BA$7&gt;0,$A645&gt;BA$7)),0,MAX(0,ROUND((INDEX($E645:$G645,BA$5)-SUMIFS(TF_Timer,TF_Tekniker,BA$4,TF_Dato,$A645))*2,0)/2)))</f>
        <v/>
      </c>
      <c r="BB645">
        <f>IF(OR(BB$4="",$A645&gt;TODAY()),0,IF(OR(INDEX($B645:$D645,BB$5)="F",AND(BB$6&gt;0,$A645&lt;BB$6),AND(BB$7&gt;0,$A645&gt;BB$7)),0,MAX(0,ROUND((INDEX($E645:$G645,BB$5)-SUMIFS(TF_Timer,TF_Tekniker,BB$4,TF_Dato,$A645))*2,0)/2)))</f>
        <v/>
      </c>
      <c r="BC645">
        <f>IF(OR(BC$4="",$A645&gt;TODAY()),0,IF(OR(INDEX($B645:$D645,BC$5)="F",AND(BC$6&gt;0,$A645&lt;BC$6),AND(BC$7&gt;0,$A645&gt;BC$7)),0,MAX(0,ROUND((INDEX($E645:$G645,BC$5)-SUMIFS(TF_Timer,TF_Tekniker,BC$4,TF_Dato,$A645))*2,0)/2)))</f>
        <v/>
      </c>
      <c r="BD645">
        <f>IF(OR(BD$4="",$A645&gt;TODAY()),0,IF(OR(INDEX($B645:$D645,BD$5)="F",AND(BD$6&gt;0,$A645&lt;BD$6),AND(BD$7&gt;0,$A645&gt;BD$7)),0,MAX(0,ROUND((INDEX($E645:$G645,BD$5)-SUMIFS(TF_Timer,TF_Tekniker,BD$4,TF_Dato,$A645))*2,0)/2)))</f>
        <v/>
      </c>
      <c r="BE645">
        <f>IF(OR(BE$4="",$A645&gt;TODAY()),0,IF(OR(INDEX($B645:$D645,BE$5)="F",AND(BE$6&gt;0,$A645&lt;BE$6),AND(BE$7&gt;0,$A645&gt;BE$7)),0,MAX(0,ROUND((INDEX($E645:$G645,BE$5)-SUMIFS(TF_Timer,TF_Tekniker,BE$4,TF_Dato,$A645))*2,0)/2)))</f>
        <v/>
      </c>
      <c r="BF645">
        <f>IF(OR(BF$4="",$A645&gt;TODAY()),0,IF(OR(INDEX($B645:$D645,BF$5)="F",AND(BF$6&gt;0,$A645&lt;BF$6),AND(BF$7&gt;0,$A645&gt;BF$7)),0,MAX(0,ROUND((INDEX($E645:$G645,BF$5)-SUMIFS(TF_Timer,TF_Tekniker,BF$4,TF_Dato,$A645))*2,0)/2)))</f>
        <v/>
      </c>
      <c r="BG645">
        <f>IF(OR(BG$4="",$A645&gt;TODAY()),0,IF(OR(INDEX($B645:$D645,BG$5)="F",AND(BG$6&gt;0,$A645&lt;BG$6),AND(BG$7&gt;0,$A645&gt;BG$7)),0,MAX(0,ROUND((INDEX($E645:$G645,BG$5)-SUMIFS(TF_Timer,TF_Tekniker,BG$4,TF_Dato,$A645))*2,0)/2)))</f>
        <v/>
      </c>
      <c r="BH645">
        <f>IF(OR(BH$4="",$A645&gt;TODAY()),0,IF(OR(INDEX($B645:$D645,BH$5)="F",AND(BH$6&gt;0,$A645&lt;BH$6),AND(BH$7&gt;0,$A645&gt;BH$7)),0,MAX(0,ROUND((INDEX($E645:$G645,BH$5)-SUMIFS(TF_Timer,TF_Tekniker,BH$4,TF_Dato,$A645))*2,0)/2)))</f>
        <v/>
      </c>
      <c r="BI645">
        <f>IF(OR(BI$4="",$A645&gt;TODAY()),0,IF(OR(INDEX($B645:$D645,BI$5)="F",AND(BI$6&gt;0,$A645&lt;BI$6),AND(BI$7&gt;0,$A645&gt;BI$7)),0,MAX(0,ROUND((INDEX($E645:$G645,BI$5)-SUMIFS(TF_Timer,TF_Tekniker,BI$4,TF_Dato,$A645))*2,0)/2)))</f>
        <v/>
      </c>
    </row>
    <row r="646">
      <c r="A646" s="64">
        <f>A645+1</f>
        <v/>
      </c>
      <c r="B646">
        <f>IF(MOD($A646-INDEX(SkiftStart,1),Syklus)&lt;DagK,"K",IF(MOD($A646-INDEX(SkiftStart,1),Syklus)&lt;DagK+DagH,"H",IF(MOD($A646-INDEX(SkiftStart,1),Syklus)&lt;DagK+DagH+DagD,"D","F")))</f>
        <v/>
      </c>
      <c r="C646">
        <f>IF(MOD($A646-INDEX(SkiftStart,2),Syklus)&lt;DagK,"K",IF(MOD($A646-INDEX(SkiftStart,2),Syklus)&lt;DagK+DagH,"H",IF(MOD($A646-INDEX(SkiftStart,2),Syklus)&lt;DagK+DagH+DagD,"D","F")))</f>
        <v/>
      </c>
      <c r="D646">
        <f>IF(MOD($A646-INDEX(SkiftStart,3),Syklus)&lt;DagK,"K",IF(MOD($A646-INDEX(SkiftStart,3),Syklus)&lt;DagK+DagH,"H",IF(MOD($A646-INDEX(SkiftStart,3),Syklus)&lt;DagK+DagH+DagD,"D","F")))</f>
        <v/>
      </c>
      <c r="E646">
        <f>IF(B646="F",0,IF(WEEKDAY($A646,2)=5,INDEX(TimerFr,MATCH(B646,FaseKode,0)),INDEX(TimerMT,MATCH(B646,FaseKode,0))))</f>
        <v/>
      </c>
      <c r="F646">
        <f>IF(C646="F",0,IF(WEEKDAY($A646,2)=5,INDEX(TimerFr,MATCH(C646,FaseKode,0)),INDEX(TimerMT,MATCH(C646,FaseKode,0))))</f>
        <v/>
      </c>
      <c r="G646">
        <f>IF(D646="F",0,IF(WEEKDAY($A646,2)=5,INDEX(TimerFr,MATCH(D646,FaseKode,0)),INDEX(TimerMT,MATCH(D646,FaseKode,0))))</f>
        <v/>
      </c>
      <c r="H646">
        <f>IF(OR(H$4="",$A646&gt;TODAY()),0,IF(OR(INDEX($B646:$D646,H$5)="F",AND(H$6&gt;0,$A646&lt;H$6),AND(H$7&gt;0,$A646&gt;H$7)),0,MAX(0,ROUND((INDEX($E646:$G646,H$5)-SUMIFS(TF_Timer,TF_Tekniker,H$4,TF_Dato,$A646))*2,0)/2)))</f>
        <v/>
      </c>
      <c r="I646">
        <f>IF(OR(I$4="",$A646&gt;TODAY()),0,IF(OR(INDEX($B646:$D646,I$5)="F",AND(I$6&gt;0,$A646&lt;I$6),AND(I$7&gt;0,$A646&gt;I$7)),0,MAX(0,ROUND((INDEX($E646:$G646,I$5)-SUMIFS(TF_Timer,TF_Tekniker,I$4,TF_Dato,$A646))*2,0)/2)))</f>
        <v/>
      </c>
      <c r="J646">
        <f>IF(OR(J$4="",$A646&gt;TODAY()),0,IF(OR(INDEX($B646:$D646,J$5)="F",AND(J$6&gt;0,$A646&lt;J$6),AND(J$7&gt;0,$A646&gt;J$7)),0,MAX(0,ROUND((INDEX($E646:$G646,J$5)-SUMIFS(TF_Timer,TF_Tekniker,J$4,TF_Dato,$A646))*2,0)/2)))</f>
        <v/>
      </c>
      <c r="K646">
        <f>IF(OR(K$4="",$A646&gt;TODAY()),0,IF(OR(INDEX($B646:$D646,K$5)="F",AND(K$6&gt;0,$A646&lt;K$6),AND(K$7&gt;0,$A646&gt;K$7)),0,MAX(0,ROUND((INDEX($E646:$G646,K$5)-SUMIFS(TF_Timer,TF_Tekniker,K$4,TF_Dato,$A646))*2,0)/2)))</f>
        <v/>
      </c>
      <c r="L646">
        <f>IF(OR(L$4="",$A646&gt;TODAY()),0,IF(OR(INDEX($B646:$D646,L$5)="F",AND(L$6&gt;0,$A646&lt;L$6),AND(L$7&gt;0,$A646&gt;L$7)),0,MAX(0,ROUND((INDEX($E646:$G646,L$5)-SUMIFS(TF_Timer,TF_Tekniker,L$4,TF_Dato,$A646))*2,0)/2)))</f>
        <v/>
      </c>
      <c r="M646">
        <f>IF(OR(M$4="",$A646&gt;TODAY()),0,IF(OR(INDEX($B646:$D646,M$5)="F",AND(M$6&gt;0,$A646&lt;M$6),AND(M$7&gt;0,$A646&gt;M$7)),0,MAX(0,ROUND((INDEX($E646:$G646,M$5)-SUMIFS(TF_Timer,TF_Tekniker,M$4,TF_Dato,$A646))*2,0)/2)))</f>
        <v/>
      </c>
      <c r="N646">
        <f>IF(OR(N$4="",$A646&gt;TODAY()),0,IF(OR(INDEX($B646:$D646,N$5)="F",AND(N$6&gt;0,$A646&lt;N$6),AND(N$7&gt;0,$A646&gt;N$7)),0,MAX(0,ROUND((INDEX($E646:$G646,N$5)-SUMIFS(TF_Timer,TF_Tekniker,N$4,TF_Dato,$A646))*2,0)/2)))</f>
        <v/>
      </c>
      <c r="O646">
        <f>IF(OR(O$4="",$A646&gt;TODAY()),0,IF(OR(INDEX($B646:$D646,O$5)="F",AND(O$6&gt;0,$A646&lt;O$6),AND(O$7&gt;0,$A646&gt;O$7)),0,MAX(0,ROUND((INDEX($E646:$G646,O$5)-SUMIFS(TF_Timer,TF_Tekniker,O$4,TF_Dato,$A646))*2,0)/2)))</f>
        <v/>
      </c>
      <c r="P646">
        <f>IF(OR(P$4="",$A646&gt;TODAY()),0,IF(OR(INDEX($B646:$D646,P$5)="F",AND(P$6&gt;0,$A646&lt;P$6),AND(P$7&gt;0,$A646&gt;P$7)),0,MAX(0,ROUND((INDEX($E646:$G646,P$5)-SUMIFS(TF_Timer,TF_Tekniker,P$4,TF_Dato,$A646))*2,0)/2)))</f>
        <v/>
      </c>
      <c r="Q646">
        <f>IF(OR(Q$4="",$A646&gt;TODAY()),0,IF(OR(INDEX($B646:$D646,Q$5)="F",AND(Q$6&gt;0,$A646&lt;Q$6),AND(Q$7&gt;0,$A646&gt;Q$7)),0,MAX(0,ROUND((INDEX($E646:$G646,Q$5)-SUMIFS(TF_Timer,TF_Tekniker,Q$4,TF_Dato,$A646))*2,0)/2)))</f>
        <v/>
      </c>
      <c r="R646">
        <f>IF(OR(R$4="",$A646&gt;TODAY()),0,IF(OR(INDEX($B646:$D646,R$5)="F",AND(R$6&gt;0,$A646&lt;R$6),AND(R$7&gt;0,$A646&gt;R$7)),0,MAX(0,ROUND((INDEX($E646:$G646,R$5)-SUMIFS(TF_Timer,TF_Tekniker,R$4,TF_Dato,$A646))*2,0)/2)))</f>
        <v/>
      </c>
      <c r="S646">
        <f>IF(OR(S$4="",$A646&gt;TODAY()),0,IF(OR(INDEX($B646:$D646,S$5)="F",AND(S$6&gt;0,$A646&lt;S$6),AND(S$7&gt;0,$A646&gt;S$7)),0,MAX(0,ROUND((INDEX($E646:$G646,S$5)-SUMIFS(TF_Timer,TF_Tekniker,S$4,TF_Dato,$A646))*2,0)/2)))</f>
        <v/>
      </c>
      <c r="T646">
        <f>IF(OR(T$4="",$A646&gt;TODAY()),0,IF(OR(INDEX($B646:$D646,T$5)="F",AND(T$6&gt;0,$A646&lt;T$6),AND(T$7&gt;0,$A646&gt;T$7)),0,MAX(0,ROUND((INDEX($E646:$G646,T$5)-SUMIFS(TF_Timer,TF_Tekniker,T$4,TF_Dato,$A646))*2,0)/2)))</f>
        <v/>
      </c>
      <c r="U646">
        <f>IF(OR(U$4="",$A646&gt;TODAY()),0,IF(OR(INDEX($B646:$D646,U$5)="F",AND(U$6&gt;0,$A646&lt;U$6),AND(U$7&gt;0,$A646&gt;U$7)),0,MAX(0,ROUND((INDEX($E646:$G646,U$5)-SUMIFS(TF_Timer,TF_Tekniker,U$4,TF_Dato,$A646))*2,0)/2)))</f>
        <v/>
      </c>
      <c r="V646">
        <f>IF(OR(V$4="",$A646&gt;TODAY()),0,IF(OR(INDEX($B646:$D646,V$5)="F",AND(V$6&gt;0,$A646&lt;V$6),AND(V$7&gt;0,$A646&gt;V$7)),0,MAX(0,ROUND((INDEX($E646:$G646,V$5)-SUMIFS(TF_Timer,TF_Tekniker,V$4,TF_Dato,$A646))*2,0)/2)))</f>
        <v/>
      </c>
      <c r="W646">
        <f>IF(OR(W$4="",$A646&gt;TODAY()),0,IF(OR(INDEX($B646:$D646,W$5)="F",AND(W$6&gt;0,$A646&lt;W$6),AND(W$7&gt;0,$A646&gt;W$7)),0,MAX(0,ROUND((INDEX($E646:$G646,W$5)-SUMIFS(TF_Timer,TF_Tekniker,W$4,TF_Dato,$A646))*2,0)/2)))</f>
        <v/>
      </c>
      <c r="X646">
        <f>IF(OR(X$4="",$A646&gt;TODAY()),0,IF(OR(INDEX($B646:$D646,X$5)="F",AND(X$6&gt;0,$A646&lt;X$6),AND(X$7&gt;0,$A646&gt;X$7)),0,MAX(0,ROUND((INDEX($E646:$G646,X$5)-SUMIFS(TF_Timer,TF_Tekniker,X$4,TF_Dato,$A646))*2,0)/2)))</f>
        <v/>
      </c>
      <c r="Y646">
        <f>IF(OR(Y$4="",$A646&gt;TODAY()),0,IF(OR(INDEX($B646:$D646,Y$5)="F",AND(Y$6&gt;0,$A646&lt;Y$6),AND(Y$7&gt;0,$A646&gt;Y$7)),0,MAX(0,ROUND((INDEX($E646:$G646,Y$5)-SUMIFS(TF_Timer,TF_Tekniker,Y$4,TF_Dato,$A646))*2,0)/2)))</f>
        <v/>
      </c>
      <c r="Z646">
        <f>IF(OR(Z$4="",$A646&gt;TODAY()),0,IF(OR(INDEX($B646:$D646,Z$5)="F",AND(Z$6&gt;0,$A646&lt;Z$6),AND(Z$7&gt;0,$A646&gt;Z$7)),0,MAX(0,ROUND((INDEX($E646:$G646,Z$5)-SUMIFS(TF_Timer,TF_Tekniker,Z$4,TF_Dato,$A646))*2,0)/2)))</f>
        <v/>
      </c>
      <c r="AA646">
        <f>IF(OR(AA$4="",$A646&gt;TODAY()),0,IF(OR(INDEX($B646:$D646,AA$5)="F",AND(AA$6&gt;0,$A646&lt;AA$6),AND(AA$7&gt;0,$A646&gt;AA$7)),0,MAX(0,ROUND((INDEX($E646:$G646,AA$5)-SUMIFS(TF_Timer,TF_Tekniker,AA$4,TF_Dato,$A646))*2,0)/2)))</f>
        <v/>
      </c>
      <c r="AB646">
        <f>IF(OR(AB$4="",$A646&gt;TODAY()),0,IF(OR(INDEX($B646:$D646,AB$5)="F",AND(AB$6&gt;0,$A646&lt;AB$6),AND(AB$7&gt;0,$A646&gt;AB$7)),0,MAX(0,ROUND((INDEX($E646:$G646,AB$5)-SUMIFS(TF_Timer,TF_Tekniker,AB$4,TF_Dato,$A646))*2,0)/2)))</f>
        <v/>
      </c>
      <c r="AC646">
        <f>IF(OR(AC$4="",$A646&gt;TODAY()),0,IF(OR(INDEX($B646:$D646,AC$5)="F",AND(AC$6&gt;0,$A646&lt;AC$6),AND(AC$7&gt;0,$A646&gt;AC$7)),0,MAX(0,ROUND((INDEX($E646:$G646,AC$5)-SUMIFS(TF_Timer,TF_Tekniker,AC$4,TF_Dato,$A646))*2,0)/2)))</f>
        <v/>
      </c>
      <c r="AD646">
        <f>IF(OR(AD$4="",$A646&gt;TODAY()),0,IF(OR(INDEX($B646:$D646,AD$5)="F",AND(AD$6&gt;0,$A646&lt;AD$6),AND(AD$7&gt;0,$A646&gt;AD$7)),0,MAX(0,ROUND((INDEX($E646:$G646,AD$5)-SUMIFS(TF_Timer,TF_Tekniker,AD$4,TF_Dato,$A646))*2,0)/2)))</f>
        <v/>
      </c>
      <c r="AE646">
        <f>IF(OR(AE$4="",$A646&gt;TODAY()),0,IF(OR(INDEX($B646:$D646,AE$5)="F",AND(AE$6&gt;0,$A646&lt;AE$6),AND(AE$7&gt;0,$A646&gt;AE$7)),0,MAX(0,ROUND((INDEX($E646:$G646,AE$5)-SUMIFS(TF_Timer,TF_Tekniker,AE$4,TF_Dato,$A646))*2,0)/2)))</f>
        <v/>
      </c>
      <c r="AF646">
        <f>IF(OR(AF$4="",$A646&gt;TODAY()),0,IF(OR(INDEX($B646:$D646,AF$5)="F",AND(AF$6&gt;0,$A646&lt;AF$6),AND(AF$7&gt;0,$A646&gt;AF$7)),0,MAX(0,ROUND((INDEX($E646:$G646,AF$5)-SUMIFS(TF_Timer,TF_Tekniker,AF$4,TF_Dato,$A646))*2,0)/2)))</f>
        <v/>
      </c>
      <c r="AG646">
        <f>IF(OR(AG$4="",$A646&gt;TODAY()),0,IF(OR(INDEX($B646:$D646,AG$5)="F",AND(AG$6&gt;0,$A646&lt;AG$6),AND(AG$7&gt;0,$A646&gt;AG$7)),0,MAX(0,ROUND((INDEX($E646:$G646,AG$5)-SUMIFS(TF_Timer,TF_Tekniker,AG$4,TF_Dato,$A646))*2,0)/2)))</f>
        <v/>
      </c>
      <c r="AH646">
        <f>IF(OR(AH$4="",$A646&gt;TODAY()),0,IF(OR(INDEX($B646:$D646,AH$5)="F",AND(AH$6&gt;0,$A646&lt;AH$6),AND(AH$7&gt;0,$A646&gt;AH$7)),0,MAX(0,ROUND((INDEX($E646:$G646,AH$5)-SUMIFS(TF_Timer,TF_Tekniker,AH$4,TF_Dato,$A646))*2,0)/2)))</f>
        <v/>
      </c>
      <c r="AI646">
        <f>IF(OR(AI$4="",$A646&gt;TODAY()),0,IF(OR(INDEX($B646:$D646,AI$5)="F",AND(AI$6&gt;0,$A646&lt;AI$6),AND(AI$7&gt;0,$A646&gt;AI$7)),0,MAX(0,ROUND((INDEX($E646:$G646,AI$5)-SUMIFS(TF_Timer,TF_Tekniker,AI$4,TF_Dato,$A646))*2,0)/2)))</f>
        <v/>
      </c>
      <c r="AJ646">
        <f>IF(OR(AJ$4="",$A646&gt;TODAY()),0,IF(OR(INDEX($B646:$D646,AJ$5)="F",AND(AJ$6&gt;0,$A646&lt;AJ$6),AND(AJ$7&gt;0,$A646&gt;AJ$7)),0,MAX(0,ROUND((INDEX($E646:$G646,AJ$5)-SUMIFS(TF_Timer,TF_Tekniker,AJ$4,TF_Dato,$A646))*2,0)/2)))</f>
        <v/>
      </c>
      <c r="AK646">
        <f>IF(OR(AK$4="",$A646&gt;TODAY()),0,IF(OR(INDEX($B646:$D646,AK$5)="F",AND(AK$6&gt;0,$A646&lt;AK$6),AND(AK$7&gt;0,$A646&gt;AK$7)),0,MAX(0,ROUND((INDEX($E646:$G646,AK$5)-SUMIFS(TF_Timer,TF_Tekniker,AK$4,TF_Dato,$A646))*2,0)/2)))</f>
        <v/>
      </c>
      <c r="AL646">
        <f>IF(OR(AL$4="",$A646&gt;TODAY()),0,IF(OR(INDEX($B646:$D646,AL$5)="F",AND(AL$6&gt;0,$A646&lt;AL$6),AND(AL$7&gt;0,$A646&gt;AL$7)),0,MAX(0,ROUND((INDEX($E646:$G646,AL$5)-SUMIFS(TF_Timer,TF_Tekniker,AL$4,TF_Dato,$A646))*2,0)/2)))</f>
        <v/>
      </c>
      <c r="AM646">
        <f>IF(OR(AM$4="",$A646&gt;TODAY()),0,IF(OR(INDEX($B646:$D646,AM$5)="F",AND(AM$6&gt;0,$A646&lt;AM$6),AND(AM$7&gt;0,$A646&gt;AM$7)),0,MAX(0,ROUND((INDEX($E646:$G646,AM$5)-SUMIFS(TF_Timer,TF_Tekniker,AM$4,TF_Dato,$A646))*2,0)/2)))</f>
        <v/>
      </c>
      <c r="AN646">
        <f>IF(OR(AN$4="",$A646&gt;TODAY()),0,IF(OR(INDEX($B646:$D646,AN$5)="F",AND(AN$6&gt;0,$A646&lt;AN$6),AND(AN$7&gt;0,$A646&gt;AN$7)),0,MAX(0,ROUND((INDEX($E646:$G646,AN$5)-SUMIFS(TF_Timer,TF_Tekniker,AN$4,TF_Dato,$A646))*2,0)/2)))</f>
        <v/>
      </c>
      <c r="AO646">
        <f>IF(OR(AO$4="",$A646&gt;TODAY()),0,IF(OR(INDEX($B646:$D646,AO$5)="F",AND(AO$6&gt;0,$A646&lt;AO$6),AND(AO$7&gt;0,$A646&gt;AO$7)),0,MAX(0,ROUND((INDEX($E646:$G646,AO$5)-SUMIFS(TF_Timer,TF_Tekniker,AO$4,TF_Dato,$A646))*2,0)/2)))</f>
        <v/>
      </c>
      <c r="AP646">
        <f>IF(OR(AP$4="",$A646&gt;TODAY()),0,IF(OR(INDEX($B646:$D646,AP$5)="F",AND(AP$6&gt;0,$A646&lt;AP$6),AND(AP$7&gt;0,$A646&gt;AP$7)),0,MAX(0,ROUND((INDEX($E646:$G646,AP$5)-SUMIFS(TF_Timer,TF_Tekniker,AP$4,TF_Dato,$A646))*2,0)/2)))</f>
        <v/>
      </c>
      <c r="AQ646">
        <f>IF(OR(AQ$4="",$A646&gt;TODAY()),0,IF(OR(INDEX($B646:$D646,AQ$5)="F",AND(AQ$6&gt;0,$A646&lt;AQ$6),AND(AQ$7&gt;0,$A646&gt;AQ$7)),0,MAX(0,ROUND((INDEX($E646:$G646,AQ$5)-SUMIFS(TF_Timer,TF_Tekniker,AQ$4,TF_Dato,$A646))*2,0)/2)))</f>
        <v/>
      </c>
      <c r="AR646">
        <f>IF(OR(AR$4="",$A646&gt;TODAY()),0,IF(OR(INDEX($B646:$D646,AR$5)="F",AND(AR$6&gt;0,$A646&lt;AR$6),AND(AR$7&gt;0,$A646&gt;AR$7)),0,MAX(0,ROUND((INDEX($E646:$G646,AR$5)-SUMIFS(TF_Timer,TF_Tekniker,AR$4,TF_Dato,$A646))*2,0)/2)))</f>
        <v/>
      </c>
      <c r="AS646">
        <f>IF(OR(AS$4="",$A646&gt;TODAY()),0,IF(OR(INDEX($B646:$D646,AS$5)="F",AND(AS$6&gt;0,$A646&lt;AS$6),AND(AS$7&gt;0,$A646&gt;AS$7)),0,MAX(0,ROUND((INDEX($E646:$G646,AS$5)-SUMIFS(TF_Timer,TF_Tekniker,AS$4,TF_Dato,$A646))*2,0)/2)))</f>
        <v/>
      </c>
      <c r="AT646">
        <f>IF(OR(AT$4="",$A646&gt;TODAY()),0,IF(OR(INDEX($B646:$D646,AT$5)="F",AND(AT$6&gt;0,$A646&lt;AT$6),AND(AT$7&gt;0,$A646&gt;AT$7)),0,MAX(0,ROUND((INDEX($E646:$G646,AT$5)-SUMIFS(TF_Timer,TF_Tekniker,AT$4,TF_Dato,$A646))*2,0)/2)))</f>
        <v/>
      </c>
      <c r="AU646">
        <f>IF(OR(AU$4="",$A646&gt;TODAY()),0,IF(OR(INDEX($B646:$D646,AU$5)="F",AND(AU$6&gt;0,$A646&lt;AU$6),AND(AU$7&gt;0,$A646&gt;AU$7)),0,MAX(0,ROUND((INDEX($E646:$G646,AU$5)-SUMIFS(TF_Timer,TF_Tekniker,AU$4,TF_Dato,$A646))*2,0)/2)))</f>
        <v/>
      </c>
      <c r="AV646">
        <f>IF(OR(AV$4="",$A646&gt;TODAY()),0,IF(OR(INDEX($B646:$D646,AV$5)="F",AND(AV$6&gt;0,$A646&lt;AV$6),AND(AV$7&gt;0,$A646&gt;AV$7)),0,MAX(0,ROUND((INDEX($E646:$G646,AV$5)-SUMIFS(TF_Timer,TF_Tekniker,AV$4,TF_Dato,$A646))*2,0)/2)))</f>
        <v/>
      </c>
      <c r="AW646">
        <f>IF(OR(AW$4="",$A646&gt;TODAY()),0,IF(OR(INDEX($B646:$D646,AW$5)="F",AND(AW$6&gt;0,$A646&lt;AW$6),AND(AW$7&gt;0,$A646&gt;AW$7)),0,MAX(0,ROUND((INDEX($E646:$G646,AW$5)-SUMIFS(TF_Timer,TF_Tekniker,AW$4,TF_Dato,$A646))*2,0)/2)))</f>
        <v/>
      </c>
      <c r="AX646">
        <f>IF(OR(AX$4="",$A646&gt;TODAY()),0,IF(OR(INDEX($B646:$D646,AX$5)="F",AND(AX$6&gt;0,$A646&lt;AX$6),AND(AX$7&gt;0,$A646&gt;AX$7)),0,MAX(0,ROUND((INDEX($E646:$G646,AX$5)-SUMIFS(TF_Timer,TF_Tekniker,AX$4,TF_Dato,$A646))*2,0)/2)))</f>
        <v/>
      </c>
      <c r="AY646">
        <f>IF(OR(AY$4="",$A646&gt;TODAY()),0,IF(OR(INDEX($B646:$D646,AY$5)="F",AND(AY$6&gt;0,$A646&lt;AY$6),AND(AY$7&gt;0,$A646&gt;AY$7)),0,MAX(0,ROUND((INDEX($E646:$G646,AY$5)-SUMIFS(TF_Timer,TF_Tekniker,AY$4,TF_Dato,$A646))*2,0)/2)))</f>
        <v/>
      </c>
      <c r="AZ646">
        <f>IF(OR(AZ$4="",$A646&gt;TODAY()),0,IF(OR(INDEX($B646:$D646,AZ$5)="F",AND(AZ$6&gt;0,$A646&lt;AZ$6),AND(AZ$7&gt;0,$A646&gt;AZ$7)),0,MAX(0,ROUND((INDEX($E646:$G646,AZ$5)-SUMIFS(TF_Timer,TF_Tekniker,AZ$4,TF_Dato,$A646))*2,0)/2)))</f>
        <v/>
      </c>
      <c r="BA646">
        <f>IF(OR(BA$4="",$A646&gt;TODAY()),0,IF(OR(INDEX($B646:$D646,BA$5)="F",AND(BA$6&gt;0,$A646&lt;BA$6),AND(BA$7&gt;0,$A646&gt;BA$7)),0,MAX(0,ROUND((INDEX($E646:$G646,BA$5)-SUMIFS(TF_Timer,TF_Tekniker,BA$4,TF_Dato,$A646))*2,0)/2)))</f>
        <v/>
      </c>
      <c r="BB646">
        <f>IF(OR(BB$4="",$A646&gt;TODAY()),0,IF(OR(INDEX($B646:$D646,BB$5)="F",AND(BB$6&gt;0,$A646&lt;BB$6),AND(BB$7&gt;0,$A646&gt;BB$7)),0,MAX(0,ROUND((INDEX($E646:$G646,BB$5)-SUMIFS(TF_Timer,TF_Tekniker,BB$4,TF_Dato,$A646))*2,0)/2)))</f>
        <v/>
      </c>
      <c r="BC646">
        <f>IF(OR(BC$4="",$A646&gt;TODAY()),0,IF(OR(INDEX($B646:$D646,BC$5)="F",AND(BC$6&gt;0,$A646&lt;BC$6),AND(BC$7&gt;0,$A646&gt;BC$7)),0,MAX(0,ROUND((INDEX($E646:$G646,BC$5)-SUMIFS(TF_Timer,TF_Tekniker,BC$4,TF_Dato,$A646))*2,0)/2)))</f>
        <v/>
      </c>
      <c r="BD646">
        <f>IF(OR(BD$4="",$A646&gt;TODAY()),0,IF(OR(INDEX($B646:$D646,BD$5)="F",AND(BD$6&gt;0,$A646&lt;BD$6),AND(BD$7&gt;0,$A646&gt;BD$7)),0,MAX(0,ROUND((INDEX($E646:$G646,BD$5)-SUMIFS(TF_Timer,TF_Tekniker,BD$4,TF_Dato,$A646))*2,0)/2)))</f>
        <v/>
      </c>
      <c r="BE646">
        <f>IF(OR(BE$4="",$A646&gt;TODAY()),0,IF(OR(INDEX($B646:$D646,BE$5)="F",AND(BE$6&gt;0,$A646&lt;BE$6),AND(BE$7&gt;0,$A646&gt;BE$7)),0,MAX(0,ROUND((INDEX($E646:$G646,BE$5)-SUMIFS(TF_Timer,TF_Tekniker,BE$4,TF_Dato,$A646))*2,0)/2)))</f>
        <v/>
      </c>
      <c r="BF646">
        <f>IF(OR(BF$4="",$A646&gt;TODAY()),0,IF(OR(INDEX($B646:$D646,BF$5)="F",AND(BF$6&gt;0,$A646&lt;BF$6),AND(BF$7&gt;0,$A646&gt;BF$7)),0,MAX(0,ROUND((INDEX($E646:$G646,BF$5)-SUMIFS(TF_Timer,TF_Tekniker,BF$4,TF_Dato,$A646))*2,0)/2)))</f>
        <v/>
      </c>
      <c r="BG646">
        <f>IF(OR(BG$4="",$A646&gt;TODAY()),0,IF(OR(INDEX($B646:$D646,BG$5)="F",AND(BG$6&gt;0,$A646&lt;BG$6),AND(BG$7&gt;0,$A646&gt;BG$7)),0,MAX(0,ROUND((INDEX($E646:$G646,BG$5)-SUMIFS(TF_Timer,TF_Tekniker,BG$4,TF_Dato,$A646))*2,0)/2)))</f>
        <v/>
      </c>
      <c r="BH646">
        <f>IF(OR(BH$4="",$A646&gt;TODAY()),0,IF(OR(INDEX($B646:$D646,BH$5)="F",AND(BH$6&gt;0,$A646&lt;BH$6),AND(BH$7&gt;0,$A646&gt;BH$7)),0,MAX(0,ROUND((INDEX($E646:$G646,BH$5)-SUMIFS(TF_Timer,TF_Tekniker,BH$4,TF_Dato,$A646))*2,0)/2)))</f>
        <v/>
      </c>
      <c r="BI646">
        <f>IF(OR(BI$4="",$A646&gt;TODAY()),0,IF(OR(INDEX($B646:$D646,BI$5)="F",AND(BI$6&gt;0,$A646&lt;BI$6),AND(BI$7&gt;0,$A646&gt;BI$7)),0,MAX(0,ROUND((INDEX($E646:$G646,BI$5)-SUMIFS(TF_Timer,TF_Tekniker,BI$4,TF_Dato,$A646))*2,0)/2)))</f>
        <v/>
      </c>
    </row>
    <row r="647">
      <c r="A647" s="64">
        <f>A646+1</f>
        <v/>
      </c>
      <c r="B647">
        <f>IF(MOD($A647-INDEX(SkiftStart,1),Syklus)&lt;DagK,"K",IF(MOD($A647-INDEX(SkiftStart,1),Syklus)&lt;DagK+DagH,"H",IF(MOD($A647-INDEX(SkiftStart,1),Syklus)&lt;DagK+DagH+DagD,"D","F")))</f>
        <v/>
      </c>
      <c r="C647">
        <f>IF(MOD($A647-INDEX(SkiftStart,2),Syklus)&lt;DagK,"K",IF(MOD($A647-INDEX(SkiftStart,2),Syklus)&lt;DagK+DagH,"H",IF(MOD($A647-INDEX(SkiftStart,2),Syklus)&lt;DagK+DagH+DagD,"D","F")))</f>
        <v/>
      </c>
      <c r="D647">
        <f>IF(MOD($A647-INDEX(SkiftStart,3),Syklus)&lt;DagK,"K",IF(MOD($A647-INDEX(SkiftStart,3),Syklus)&lt;DagK+DagH,"H",IF(MOD($A647-INDEX(SkiftStart,3),Syklus)&lt;DagK+DagH+DagD,"D","F")))</f>
        <v/>
      </c>
      <c r="E647">
        <f>IF(B647="F",0,IF(WEEKDAY($A647,2)=5,INDEX(TimerFr,MATCH(B647,FaseKode,0)),INDEX(TimerMT,MATCH(B647,FaseKode,0))))</f>
        <v/>
      </c>
      <c r="F647">
        <f>IF(C647="F",0,IF(WEEKDAY($A647,2)=5,INDEX(TimerFr,MATCH(C647,FaseKode,0)),INDEX(TimerMT,MATCH(C647,FaseKode,0))))</f>
        <v/>
      </c>
      <c r="G647">
        <f>IF(D647="F",0,IF(WEEKDAY($A647,2)=5,INDEX(TimerFr,MATCH(D647,FaseKode,0)),INDEX(TimerMT,MATCH(D647,FaseKode,0))))</f>
        <v/>
      </c>
      <c r="H647">
        <f>IF(OR(H$4="",$A647&gt;TODAY()),0,IF(OR(INDEX($B647:$D647,H$5)="F",AND(H$6&gt;0,$A647&lt;H$6),AND(H$7&gt;0,$A647&gt;H$7)),0,MAX(0,ROUND((INDEX($E647:$G647,H$5)-SUMIFS(TF_Timer,TF_Tekniker,H$4,TF_Dato,$A647))*2,0)/2)))</f>
        <v/>
      </c>
      <c r="I647">
        <f>IF(OR(I$4="",$A647&gt;TODAY()),0,IF(OR(INDEX($B647:$D647,I$5)="F",AND(I$6&gt;0,$A647&lt;I$6),AND(I$7&gt;0,$A647&gt;I$7)),0,MAX(0,ROUND((INDEX($E647:$G647,I$5)-SUMIFS(TF_Timer,TF_Tekniker,I$4,TF_Dato,$A647))*2,0)/2)))</f>
        <v/>
      </c>
      <c r="J647">
        <f>IF(OR(J$4="",$A647&gt;TODAY()),0,IF(OR(INDEX($B647:$D647,J$5)="F",AND(J$6&gt;0,$A647&lt;J$6),AND(J$7&gt;0,$A647&gt;J$7)),0,MAX(0,ROUND((INDEX($E647:$G647,J$5)-SUMIFS(TF_Timer,TF_Tekniker,J$4,TF_Dato,$A647))*2,0)/2)))</f>
        <v/>
      </c>
      <c r="K647">
        <f>IF(OR(K$4="",$A647&gt;TODAY()),0,IF(OR(INDEX($B647:$D647,K$5)="F",AND(K$6&gt;0,$A647&lt;K$6),AND(K$7&gt;0,$A647&gt;K$7)),0,MAX(0,ROUND((INDEX($E647:$G647,K$5)-SUMIFS(TF_Timer,TF_Tekniker,K$4,TF_Dato,$A647))*2,0)/2)))</f>
        <v/>
      </c>
      <c r="L647">
        <f>IF(OR(L$4="",$A647&gt;TODAY()),0,IF(OR(INDEX($B647:$D647,L$5)="F",AND(L$6&gt;0,$A647&lt;L$6),AND(L$7&gt;0,$A647&gt;L$7)),0,MAX(0,ROUND((INDEX($E647:$G647,L$5)-SUMIFS(TF_Timer,TF_Tekniker,L$4,TF_Dato,$A647))*2,0)/2)))</f>
        <v/>
      </c>
      <c r="M647">
        <f>IF(OR(M$4="",$A647&gt;TODAY()),0,IF(OR(INDEX($B647:$D647,M$5)="F",AND(M$6&gt;0,$A647&lt;M$6),AND(M$7&gt;0,$A647&gt;M$7)),0,MAX(0,ROUND((INDEX($E647:$G647,M$5)-SUMIFS(TF_Timer,TF_Tekniker,M$4,TF_Dato,$A647))*2,0)/2)))</f>
        <v/>
      </c>
      <c r="N647">
        <f>IF(OR(N$4="",$A647&gt;TODAY()),0,IF(OR(INDEX($B647:$D647,N$5)="F",AND(N$6&gt;0,$A647&lt;N$6),AND(N$7&gt;0,$A647&gt;N$7)),0,MAX(0,ROUND((INDEX($E647:$G647,N$5)-SUMIFS(TF_Timer,TF_Tekniker,N$4,TF_Dato,$A647))*2,0)/2)))</f>
        <v/>
      </c>
      <c r="O647">
        <f>IF(OR(O$4="",$A647&gt;TODAY()),0,IF(OR(INDEX($B647:$D647,O$5)="F",AND(O$6&gt;0,$A647&lt;O$6),AND(O$7&gt;0,$A647&gt;O$7)),0,MAX(0,ROUND((INDEX($E647:$G647,O$5)-SUMIFS(TF_Timer,TF_Tekniker,O$4,TF_Dato,$A647))*2,0)/2)))</f>
        <v/>
      </c>
      <c r="P647">
        <f>IF(OR(P$4="",$A647&gt;TODAY()),0,IF(OR(INDEX($B647:$D647,P$5)="F",AND(P$6&gt;0,$A647&lt;P$6),AND(P$7&gt;0,$A647&gt;P$7)),0,MAX(0,ROUND((INDEX($E647:$G647,P$5)-SUMIFS(TF_Timer,TF_Tekniker,P$4,TF_Dato,$A647))*2,0)/2)))</f>
        <v/>
      </c>
      <c r="Q647">
        <f>IF(OR(Q$4="",$A647&gt;TODAY()),0,IF(OR(INDEX($B647:$D647,Q$5)="F",AND(Q$6&gt;0,$A647&lt;Q$6),AND(Q$7&gt;0,$A647&gt;Q$7)),0,MAX(0,ROUND((INDEX($E647:$G647,Q$5)-SUMIFS(TF_Timer,TF_Tekniker,Q$4,TF_Dato,$A647))*2,0)/2)))</f>
        <v/>
      </c>
      <c r="R647">
        <f>IF(OR(R$4="",$A647&gt;TODAY()),0,IF(OR(INDEX($B647:$D647,R$5)="F",AND(R$6&gt;0,$A647&lt;R$6),AND(R$7&gt;0,$A647&gt;R$7)),0,MAX(0,ROUND((INDEX($E647:$G647,R$5)-SUMIFS(TF_Timer,TF_Tekniker,R$4,TF_Dato,$A647))*2,0)/2)))</f>
        <v/>
      </c>
      <c r="S647">
        <f>IF(OR(S$4="",$A647&gt;TODAY()),0,IF(OR(INDEX($B647:$D647,S$5)="F",AND(S$6&gt;0,$A647&lt;S$6),AND(S$7&gt;0,$A647&gt;S$7)),0,MAX(0,ROUND((INDEX($E647:$G647,S$5)-SUMIFS(TF_Timer,TF_Tekniker,S$4,TF_Dato,$A647))*2,0)/2)))</f>
        <v/>
      </c>
      <c r="T647">
        <f>IF(OR(T$4="",$A647&gt;TODAY()),0,IF(OR(INDEX($B647:$D647,T$5)="F",AND(T$6&gt;0,$A647&lt;T$6),AND(T$7&gt;0,$A647&gt;T$7)),0,MAX(0,ROUND((INDEX($E647:$G647,T$5)-SUMIFS(TF_Timer,TF_Tekniker,T$4,TF_Dato,$A647))*2,0)/2)))</f>
        <v/>
      </c>
      <c r="U647">
        <f>IF(OR(U$4="",$A647&gt;TODAY()),0,IF(OR(INDEX($B647:$D647,U$5)="F",AND(U$6&gt;0,$A647&lt;U$6),AND(U$7&gt;0,$A647&gt;U$7)),0,MAX(0,ROUND((INDEX($E647:$G647,U$5)-SUMIFS(TF_Timer,TF_Tekniker,U$4,TF_Dato,$A647))*2,0)/2)))</f>
        <v/>
      </c>
      <c r="V647">
        <f>IF(OR(V$4="",$A647&gt;TODAY()),0,IF(OR(INDEX($B647:$D647,V$5)="F",AND(V$6&gt;0,$A647&lt;V$6),AND(V$7&gt;0,$A647&gt;V$7)),0,MAX(0,ROUND((INDEX($E647:$G647,V$5)-SUMIFS(TF_Timer,TF_Tekniker,V$4,TF_Dato,$A647))*2,0)/2)))</f>
        <v/>
      </c>
      <c r="W647">
        <f>IF(OR(W$4="",$A647&gt;TODAY()),0,IF(OR(INDEX($B647:$D647,W$5)="F",AND(W$6&gt;0,$A647&lt;W$6),AND(W$7&gt;0,$A647&gt;W$7)),0,MAX(0,ROUND((INDEX($E647:$G647,W$5)-SUMIFS(TF_Timer,TF_Tekniker,W$4,TF_Dato,$A647))*2,0)/2)))</f>
        <v/>
      </c>
      <c r="X647">
        <f>IF(OR(X$4="",$A647&gt;TODAY()),0,IF(OR(INDEX($B647:$D647,X$5)="F",AND(X$6&gt;0,$A647&lt;X$6),AND(X$7&gt;0,$A647&gt;X$7)),0,MAX(0,ROUND((INDEX($E647:$G647,X$5)-SUMIFS(TF_Timer,TF_Tekniker,X$4,TF_Dato,$A647))*2,0)/2)))</f>
        <v/>
      </c>
      <c r="Y647">
        <f>IF(OR(Y$4="",$A647&gt;TODAY()),0,IF(OR(INDEX($B647:$D647,Y$5)="F",AND(Y$6&gt;0,$A647&lt;Y$6),AND(Y$7&gt;0,$A647&gt;Y$7)),0,MAX(0,ROUND((INDEX($E647:$G647,Y$5)-SUMIFS(TF_Timer,TF_Tekniker,Y$4,TF_Dato,$A647))*2,0)/2)))</f>
        <v/>
      </c>
      <c r="Z647">
        <f>IF(OR(Z$4="",$A647&gt;TODAY()),0,IF(OR(INDEX($B647:$D647,Z$5)="F",AND(Z$6&gt;0,$A647&lt;Z$6),AND(Z$7&gt;0,$A647&gt;Z$7)),0,MAX(0,ROUND((INDEX($E647:$G647,Z$5)-SUMIFS(TF_Timer,TF_Tekniker,Z$4,TF_Dato,$A647))*2,0)/2)))</f>
        <v/>
      </c>
      <c r="AA647">
        <f>IF(OR(AA$4="",$A647&gt;TODAY()),0,IF(OR(INDEX($B647:$D647,AA$5)="F",AND(AA$6&gt;0,$A647&lt;AA$6),AND(AA$7&gt;0,$A647&gt;AA$7)),0,MAX(0,ROUND((INDEX($E647:$G647,AA$5)-SUMIFS(TF_Timer,TF_Tekniker,AA$4,TF_Dato,$A647))*2,0)/2)))</f>
        <v/>
      </c>
      <c r="AB647">
        <f>IF(OR(AB$4="",$A647&gt;TODAY()),0,IF(OR(INDEX($B647:$D647,AB$5)="F",AND(AB$6&gt;0,$A647&lt;AB$6),AND(AB$7&gt;0,$A647&gt;AB$7)),0,MAX(0,ROUND((INDEX($E647:$G647,AB$5)-SUMIFS(TF_Timer,TF_Tekniker,AB$4,TF_Dato,$A647))*2,0)/2)))</f>
        <v/>
      </c>
      <c r="AC647">
        <f>IF(OR(AC$4="",$A647&gt;TODAY()),0,IF(OR(INDEX($B647:$D647,AC$5)="F",AND(AC$6&gt;0,$A647&lt;AC$6),AND(AC$7&gt;0,$A647&gt;AC$7)),0,MAX(0,ROUND((INDEX($E647:$G647,AC$5)-SUMIFS(TF_Timer,TF_Tekniker,AC$4,TF_Dato,$A647))*2,0)/2)))</f>
        <v/>
      </c>
      <c r="AD647">
        <f>IF(OR(AD$4="",$A647&gt;TODAY()),0,IF(OR(INDEX($B647:$D647,AD$5)="F",AND(AD$6&gt;0,$A647&lt;AD$6),AND(AD$7&gt;0,$A647&gt;AD$7)),0,MAX(0,ROUND((INDEX($E647:$G647,AD$5)-SUMIFS(TF_Timer,TF_Tekniker,AD$4,TF_Dato,$A647))*2,0)/2)))</f>
        <v/>
      </c>
      <c r="AE647">
        <f>IF(OR(AE$4="",$A647&gt;TODAY()),0,IF(OR(INDEX($B647:$D647,AE$5)="F",AND(AE$6&gt;0,$A647&lt;AE$6),AND(AE$7&gt;0,$A647&gt;AE$7)),0,MAX(0,ROUND((INDEX($E647:$G647,AE$5)-SUMIFS(TF_Timer,TF_Tekniker,AE$4,TF_Dato,$A647))*2,0)/2)))</f>
        <v/>
      </c>
      <c r="AF647">
        <f>IF(OR(AF$4="",$A647&gt;TODAY()),0,IF(OR(INDEX($B647:$D647,AF$5)="F",AND(AF$6&gt;0,$A647&lt;AF$6),AND(AF$7&gt;0,$A647&gt;AF$7)),0,MAX(0,ROUND((INDEX($E647:$G647,AF$5)-SUMIFS(TF_Timer,TF_Tekniker,AF$4,TF_Dato,$A647))*2,0)/2)))</f>
        <v/>
      </c>
      <c r="AG647">
        <f>IF(OR(AG$4="",$A647&gt;TODAY()),0,IF(OR(INDEX($B647:$D647,AG$5)="F",AND(AG$6&gt;0,$A647&lt;AG$6),AND(AG$7&gt;0,$A647&gt;AG$7)),0,MAX(0,ROUND((INDEX($E647:$G647,AG$5)-SUMIFS(TF_Timer,TF_Tekniker,AG$4,TF_Dato,$A647))*2,0)/2)))</f>
        <v/>
      </c>
      <c r="AH647">
        <f>IF(OR(AH$4="",$A647&gt;TODAY()),0,IF(OR(INDEX($B647:$D647,AH$5)="F",AND(AH$6&gt;0,$A647&lt;AH$6),AND(AH$7&gt;0,$A647&gt;AH$7)),0,MAX(0,ROUND((INDEX($E647:$G647,AH$5)-SUMIFS(TF_Timer,TF_Tekniker,AH$4,TF_Dato,$A647))*2,0)/2)))</f>
        <v/>
      </c>
      <c r="AI647">
        <f>IF(OR(AI$4="",$A647&gt;TODAY()),0,IF(OR(INDEX($B647:$D647,AI$5)="F",AND(AI$6&gt;0,$A647&lt;AI$6),AND(AI$7&gt;0,$A647&gt;AI$7)),0,MAX(0,ROUND((INDEX($E647:$G647,AI$5)-SUMIFS(TF_Timer,TF_Tekniker,AI$4,TF_Dato,$A647))*2,0)/2)))</f>
        <v/>
      </c>
      <c r="AJ647">
        <f>IF(OR(AJ$4="",$A647&gt;TODAY()),0,IF(OR(INDEX($B647:$D647,AJ$5)="F",AND(AJ$6&gt;0,$A647&lt;AJ$6),AND(AJ$7&gt;0,$A647&gt;AJ$7)),0,MAX(0,ROUND((INDEX($E647:$G647,AJ$5)-SUMIFS(TF_Timer,TF_Tekniker,AJ$4,TF_Dato,$A647))*2,0)/2)))</f>
        <v/>
      </c>
      <c r="AK647">
        <f>IF(OR(AK$4="",$A647&gt;TODAY()),0,IF(OR(INDEX($B647:$D647,AK$5)="F",AND(AK$6&gt;0,$A647&lt;AK$6),AND(AK$7&gt;0,$A647&gt;AK$7)),0,MAX(0,ROUND((INDEX($E647:$G647,AK$5)-SUMIFS(TF_Timer,TF_Tekniker,AK$4,TF_Dato,$A647))*2,0)/2)))</f>
        <v/>
      </c>
      <c r="AL647">
        <f>IF(OR(AL$4="",$A647&gt;TODAY()),0,IF(OR(INDEX($B647:$D647,AL$5)="F",AND(AL$6&gt;0,$A647&lt;AL$6),AND(AL$7&gt;0,$A647&gt;AL$7)),0,MAX(0,ROUND((INDEX($E647:$G647,AL$5)-SUMIFS(TF_Timer,TF_Tekniker,AL$4,TF_Dato,$A647))*2,0)/2)))</f>
        <v/>
      </c>
      <c r="AM647">
        <f>IF(OR(AM$4="",$A647&gt;TODAY()),0,IF(OR(INDEX($B647:$D647,AM$5)="F",AND(AM$6&gt;0,$A647&lt;AM$6),AND(AM$7&gt;0,$A647&gt;AM$7)),0,MAX(0,ROUND((INDEX($E647:$G647,AM$5)-SUMIFS(TF_Timer,TF_Tekniker,AM$4,TF_Dato,$A647))*2,0)/2)))</f>
        <v/>
      </c>
      <c r="AN647">
        <f>IF(OR(AN$4="",$A647&gt;TODAY()),0,IF(OR(INDEX($B647:$D647,AN$5)="F",AND(AN$6&gt;0,$A647&lt;AN$6),AND(AN$7&gt;0,$A647&gt;AN$7)),0,MAX(0,ROUND((INDEX($E647:$G647,AN$5)-SUMIFS(TF_Timer,TF_Tekniker,AN$4,TF_Dato,$A647))*2,0)/2)))</f>
        <v/>
      </c>
      <c r="AO647">
        <f>IF(OR(AO$4="",$A647&gt;TODAY()),0,IF(OR(INDEX($B647:$D647,AO$5)="F",AND(AO$6&gt;0,$A647&lt;AO$6),AND(AO$7&gt;0,$A647&gt;AO$7)),0,MAX(0,ROUND((INDEX($E647:$G647,AO$5)-SUMIFS(TF_Timer,TF_Tekniker,AO$4,TF_Dato,$A647))*2,0)/2)))</f>
        <v/>
      </c>
      <c r="AP647">
        <f>IF(OR(AP$4="",$A647&gt;TODAY()),0,IF(OR(INDEX($B647:$D647,AP$5)="F",AND(AP$6&gt;0,$A647&lt;AP$6),AND(AP$7&gt;0,$A647&gt;AP$7)),0,MAX(0,ROUND((INDEX($E647:$G647,AP$5)-SUMIFS(TF_Timer,TF_Tekniker,AP$4,TF_Dato,$A647))*2,0)/2)))</f>
        <v/>
      </c>
      <c r="AQ647">
        <f>IF(OR(AQ$4="",$A647&gt;TODAY()),0,IF(OR(INDEX($B647:$D647,AQ$5)="F",AND(AQ$6&gt;0,$A647&lt;AQ$6),AND(AQ$7&gt;0,$A647&gt;AQ$7)),0,MAX(0,ROUND((INDEX($E647:$G647,AQ$5)-SUMIFS(TF_Timer,TF_Tekniker,AQ$4,TF_Dato,$A647))*2,0)/2)))</f>
        <v/>
      </c>
      <c r="AR647">
        <f>IF(OR(AR$4="",$A647&gt;TODAY()),0,IF(OR(INDEX($B647:$D647,AR$5)="F",AND(AR$6&gt;0,$A647&lt;AR$6),AND(AR$7&gt;0,$A647&gt;AR$7)),0,MAX(0,ROUND((INDEX($E647:$G647,AR$5)-SUMIFS(TF_Timer,TF_Tekniker,AR$4,TF_Dato,$A647))*2,0)/2)))</f>
        <v/>
      </c>
      <c r="AS647">
        <f>IF(OR(AS$4="",$A647&gt;TODAY()),0,IF(OR(INDEX($B647:$D647,AS$5)="F",AND(AS$6&gt;0,$A647&lt;AS$6),AND(AS$7&gt;0,$A647&gt;AS$7)),0,MAX(0,ROUND((INDEX($E647:$G647,AS$5)-SUMIFS(TF_Timer,TF_Tekniker,AS$4,TF_Dato,$A647))*2,0)/2)))</f>
        <v/>
      </c>
      <c r="AT647">
        <f>IF(OR(AT$4="",$A647&gt;TODAY()),0,IF(OR(INDEX($B647:$D647,AT$5)="F",AND(AT$6&gt;0,$A647&lt;AT$6),AND(AT$7&gt;0,$A647&gt;AT$7)),0,MAX(0,ROUND((INDEX($E647:$G647,AT$5)-SUMIFS(TF_Timer,TF_Tekniker,AT$4,TF_Dato,$A647))*2,0)/2)))</f>
        <v/>
      </c>
      <c r="AU647">
        <f>IF(OR(AU$4="",$A647&gt;TODAY()),0,IF(OR(INDEX($B647:$D647,AU$5)="F",AND(AU$6&gt;0,$A647&lt;AU$6),AND(AU$7&gt;0,$A647&gt;AU$7)),0,MAX(0,ROUND((INDEX($E647:$G647,AU$5)-SUMIFS(TF_Timer,TF_Tekniker,AU$4,TF_Dato,$A647))*2,0)/2)))</f>
        <v/>
      </c>
      <c r="AV647">
        <f>IF(OR(AV$4="",$A647&gt;TODAY()),0,IF(OR(INDEX($B647:$D647,AV$5)="F",AND(AV$6&gt;0,$A647&lt;AV$6),AND(AV$7&gt;0,$A647&gt;AV$7)),0,MAX(0,ROUND((INDEX($E647:$G647,AV$5)-SUMIFS(TF_Timer,TF_Tekniker,AV$4,TF_Dato,$A647))*2,0)/2)))</f>
        <v/>
      </c>
      <c r="AW647">
        <f>IF(OR(AW$4="",$A647&gt;TODAY()),0,IF(OR(INDEX($B647:$D647,AW$5)="F",AND(AW$6&gt;0,$A647&lt;AW$6),AND(AW$7&gt;0,$A647&gt;AW$7)),0,MAX(0,ROUND((INDEX($E647:$G647,AW$5)-SUMIFS(TF_Timer,TF_Tekniker,AW$4,TF_Dato,$A647))*2,0)/2)))</f>
        <v/>
      </c>
      <c r="AX647">
        <f>IF(OR(AX$4="",$A647&gt;TODAY()),0,IF(OR(INDEX($B647:$D647,AX$5)="F",AND(AX$6&gt;0,$A647&lt;AX$6),AND(AX$7&gt;0,$A647&gt;AX$7)),0,MAX(0,ROUND((INDEX($E647:$G647,AX$5)-SUMIFS(TF_Timer,TF_Tekniker,AX$4,TF_Dato,$A647))*2,0)/2)))</f>
        <v/>
      </c>
      <c r="AY647">
        <f>IF(OR(AY$4="",$A647&gt;TODAY()),0,IF(OR(INDEX($B647:$D647,AY$5)="F",AND(AY$6&gt;0,$A647&lt;AY$6),AND(AY$7&gt;0,$A647&gt;AY$7)),0,MAX(0,ROUND((INDEX($E647:$G647,AY$5)-SUMIFS(TF_Timer,TF_Tekniker,AY$4,TF_Dato,$A647))*2,0)/2)))</f>
        <v/>
      </c>
      <c r="AZ647">
        <f>IF(OR(AZ$4="",$A647&gt;TODAY()),0,IF(OR(INDEX($B647:$D647,AZ$5)="F",AND(AZ$6&gt;0,$A647&lt;AZ$6),AND(AZ$7&gt;0,$A647&gt;AZ$7)),0,MAX(0,ROUND((INDEX($E647:$G647,AZ$5)-SUMIFS(TF_Timer,TF_Tekniker,AZ$4,TF_Dato,$A647))*2,0)/2)))</f>
        <v/>
      </c>
      <c r="BA647">
        <f>IF(OR(BA$4="",$A647&gt;TODAY()),0,IF(OR(INDEX($B647:$D647,BA$5)="F",AND(BA$6&gt;0,$A647&lt;BA$6),AND(BA$7&gt;0,$A647&gt;BA$7)),0,MAX(0,ROUND((INDEX($E647:$G647,BA$5)-SUMIFS(TF_Timer,TF_Tekniker,BA$4,TF_Dato,$A647))*2,0)/2)))</f>
        <v/>
      </c>
      <c r="BB647">
        <f>IF(OR(BB$4="",$A647&gt;TODAY()),0,IF(OR(INDEX($B647:$D647,BB$5)="F",AND(BB$6&gt;0,$A647&lt;BB$6),AND(BB$7&gt;0,$A647&gt;BB$7)),0,MAX(0,ROUND((INDEX($E647:$G647,BB$5)-SUMIFS(TF_Timer,TF_Tekniker,BB$4,TF_Dato,$A647))*2,0)/2)))</f>
        <v/>
      </c>
      <c r="BC647">
        <f>IF(OR(BC$4="",$A647&gt;TODAY()),0,IF(OR(INDEX($B647:$D647,BC$5)="F",AND(BC$6&gt;0,$A647&lt;BC$6),AND(BC$7&gt;0,$A647&gt;BC$7)),0,MAX(0,ROUND((INDEX($E647:$G647,BC$5)-SUMIFS(TF_Timer,TF_Tekniker,BC$4,TF_Dato,$A647))*2,0)/2)))</f>
        <v/>
      </c>
      <c r="BD647">
        <f>IF(OR(BD$4="",$A647&gt;TODAY()),0,IF(OR(INDEX($B647:$D647,BD$5)="F",AND(BD$6&gt;0,$A647&lt;BD$6),AND(BD$7&gt;0,$A647&gt;BD$7)),0,MAX(0,ROUND((INDEX($E647:$G647,BD$5)-SUMIFS(TF_Timer,TF_Tekniker,BD$4,TF_Dato,$A647))*2,0)/2)))</f>
        <v/>
      </c>
      <c r="BE647">
        <f>IF(OR(BE$4="",$A647&gt;TODAY()),0,IF(OR(INDEX($B647:$D647,BE$5)="F",AND(BE$6&gt;0,$A647&lt;BE$6),AND(BE$7&gt;0,$A647&gt;BE$7)),0,MAX(0,ROUND((INDEX($E647:$G647,BE$5)-SUMIFS(TF_Timer,TF_Tekniker,BE$4,TF_Dato,$A647))*2,0)/2)))</f>
        <v/>
      </c>
      <c r="BF647">
        <f>IF(OR(BF$4="",$A647&gt;TODAY()),0,IF(OR(INDEX($B647:$D647,BF$5)="F",AND(BF$6&gt;0,$A647&lt;BF$6),AND(BF$7&gt;0,$A647&gt;BF$7)),0,MAX(0,ROUND((INDEX($E647:$G647,BF$5)-SUMIFS(TF_Timer,TF_Tekniker,BF$4,TF_Dato,$A647))*2,0)/2)))</f>
        <v/>
      </c>
      <c r="BG647">
        <f>IF(OR(BG$4="",$A647&gt;TODAY()),0,IF(OR(INDEX($B647:$D647,BG$5)="F",AND(BG$6&gt;0,$A647&lt;BG$6),AND(BG$7&gt;0,$A647&gt;BG$7)),0,MAX(0,ROUND((INDEX($E647:$G647,BG$5)-SUMIFS(TF_Timer,TF_Tekniker,BG$4,TF_Dato,$A647))*2,0)/2)))</f>
        <v/>
      </c>
      <c r="BH647">
        <f>IF(OR(BH$4="",$A647&gt;TODAY()),0,IF(OR(INDEX($B647:$D647,BH$5)="F",AND(BH$6&gt;0,$A647&lt;BH$6),AND(BH$7&gt;0,$A647&gt;BH$7)),0,MAX(0,ROUND((INDEX($E647:$G647,BH$5)-SUMIFS(TF_Timer,TF_Tekniker,BH$4,TF_Dato,$A647))*2,0)/2)))</f>
        <v/>
      </c>
      <c r="BI647">
        <f>IF(OR(BI$4="",$A647&gt;TODAY()),0,IF(OR(INDEX($B647:$D647,BI$5)="F",AND(BI$6&gt;0,$A647&lt;BI$6),AND(BI$7&gt;0,$A647&gt;BI$7)),0,MAX(0,ROUND((INDEX($E647:$G647,BI$5)-SUMIFS(TF_Timer,TF_Tekniker,BI$4,TF_Dato,$A647))*2,0)/2)))</f>
        <v/>
      </c>
    </row>
    <row r="648">
      <c r="A648" s="64">
        <f>A647+1</f>
        <v/>
      </c>
      <c r="B648">
        <f>IF(MOD($A648-INDEX(SkiftStart,1),Syklus)&lt;DagK,"K",IF(MOD($A648-INDEX(SkiftStart,1),Syklus)&lt;DagK+DagH,"H",IF(MOD($A648-INDEX(SkiftStart,1),Syklus)&lt;DagK+DagH+DagD,"D","F")))</f>
        <v/>
      </c>
      <c r="C648">
        <f>IF(MOD($A648-INDEX(SkiftStart,2),Syklus)&lt;DagK,"K",IF(MOD($A648-INDEX(SkiftStart,2),Syklus)&lt;DagK+DagH,"H",IF(MOD($A648-INDEX(SkiftStart,2),Syklus)&lt;DagK+DagH+DagD,"D","F")))</f>
        <v/>
      </c>
      <c r="D648">
        <f>IF(MOD($A648-INDEX(SkiftStart,3),Syklus)&lt;DagK,"K",IF(MOD($A648-INDEX(SkiftStart,3),Syklus)&lt;DagK+DagH,"H",IF(MOD($A648-INDEX(SkiftStart,3),Syklus)&lt;DagK+DagH+DagD,"D","F")))</f>
        <v/>
      </c>
      <c r="E648">
        <f>IF(B648="F",0,IF(WEEKDAY($A648,2)=5,INDEX(TimerFr,MATCH(B648,FaseKode,0)),INDEX(TimerMT,MATCH(B648,FaseKode,0))))</f>
        <v/>
      </c>
      <c r="F648">
        <f>IF(C648="F",0,IF(WEEKDAY($A648,2)=5,INDEX(TimerFr,MATCH(C648,FaseKode,0)),INDEX(TimerMT,MATCH(C648,FaseKode,0))))</f>
        <v/>
      </c>
      <c r="G648">
        <f>IF(D648="F",0,IF(WEEKDAY($A648,2)=5,INDEX(TimerFr,MATCH(D648,FaseKode,0)),INDEX(TimerMT,MATCH(D648,FaseKode,0))))</f>
        <v/>
      </c>
      <c r="H648">
        <f>IF(OR(H$4="",$A648&gt;TODAY()),0,IF(OR(INDEX($B648:$D648,H$5)="F",AND(H$6&gt;0,$A648&lt;H$6),AND(H$7&gt;0,$A648&gt;H$7)),0,MAX(0,ROUND((INDEX($E648:$G648,H$5)-SUMIFS(TF_Timer,TF_Tekniker,H$4,TF_Dato,$A648))*2,0)/2)))</f>
        <v/>
      </c>
      <c r="I648">
        <f>IF(OR(I$4="",$A648&gt;TODAY()),0,IF(OR(INDEX($B648:$D648,I$5)="F",AND(I$6&gt;0,$A648&lt;I$6),AND(I$7&gt;0,$A648&gt;I$7)),0,MAX(0,ROUND((INDEX($E648:$G648,I$5)-SUMIFS(TF_Timer,TF_Tekniker,I$4,TF_Dato,$A648))*2,0)/2)))</f>
        <v/>
      </c>
      <c r="J648">
        <f>IF(OR(J$4="",$A648&gt;TODAY()),0,IF(OR(INDEX($B648:$D648,J$5)="F",AND(J$6&gt;0,$A648&lt;J$6),AND(J$7&gt;0,$A648&gt;J$7)),0,MAX(0,ROUND((INDEX($E648:$G648,J$5)-SUMIFS(TF_Timer,TF_Tekniker,J$4,TF_Dato,$A648))*2,0)/2)))</f>
        <v/>
      </c>
      <c r="K648">
        <f>IF(OR(K$4="",$A648&gt;TODAY()),0,IF(OR(INDEX($B648:$D648,K$5)="F",AND(K$6&gt;0,$A648&lt;K$6),AND(K$7&gt;0,$A648&gt;K$7)),0,MAX(0,ROUND((INDEX($E648:$G648,K$5)-SUMIFS(TF_Timer,TF_Tekniker,K$4,TF_Dato,$A648))*2,0)/2)))</f>
        <v/>
      </c>
      <c r="L648">
        <f>IF(OR(L$4="",$A648&gt;TODAY()),0,IF(OR(INDEX($B648:$D648,L$5)="F",AND(L$6&gt;0,$A648&lt;L$6),AND(L$7&gt;0,$A648&gt;L$7)),0,MAX(0,ROUND((INDEX($E648:$G648,L$5)-SUMIFS(TF_Timer,TF_Tekniker,L$4,TF_Dato,$A648))*2,0)/2)))</f>
        <v/>
      </c>
      <c r="M648">
        <f>IF(OR(M$4="",$A648&gt;TODAY()),0,IF(OR(INDEX($B648:$D648,M$5)="F",AND(M$6&gt;0,$A648&lt;M$6),AND(M$7&gt;0,$A648&gt;M$7)),0,MAX(0,ROUND((INDEX($E648:$G648,M$5)-SUMIFS(TF_Timer,TF_Tekniker,M$4,TF_Dato,$A648))*2,0)/2)))</f>
        <v/>
      </c>
      <c r="N648">
        <f>IF(OR(N$4="",$A648&gt;TODAY()),0,IF(OR(INDEX($B648:$D648,N$5)="F",AND(N$6&gt;0,$A648&lt;N$6),AND(N$7&gt;0,$A648&gt;N$7)),0,MAX(0,ROUND((INDEX($E648:$G648,N$5)-SUMIFS(TF_Timer,TF_Tekniker,N$4,TF_Dato,$A648))*2,0)/2)))</f>
        <v/>
      </c>
      <c r="O648">
        <f>IF(OR(O$4="",$A648&gt;TODAY()),0,IF(OR(INDEX($B648:$D648,O$5)="F",AND(O$6&gt;0,$A648&lt;O$6),AND(O$7&gt;0,$A648&gt;O$7)),0,MAX(0,ROUND((INDEX($E648:$G648,O$5)-SUMIFS(TF_Timer,TF_Tekniker,O$4,TF_Dato,$A648))*2,0)/2)))</f>
        <v/>
      </c>
      <c r="P648">
        <f>IF(OR(P$4="",$A648&gt;TODAY()),0,IF(OR(INDEX($B648:$D648,P$5)="F",AND(P$6&gt;0,$A648&lt;P$6),AND(P$7&gt;0,$A648&gt;P$7)),0,MAX(0,ROUND((INDEX($E648:$G648,P$5)-SUMIFS(TF_Timer,TF_Tekniker,P$4,TF_Dato,$A648))*2,0)/2)))</f>
        <v/>
      </c>
      <c r="Q648">
        <f>IF(OR(Q$4="",$A648&gt;TODAY()),0,IF(OR(INDEX($B648:$D648,Q$5)="F",AND(Q$6&gt;0,$A648&lt;Q$6),AND(Q$7&gt;0,$A648&gt;Q$7)),0,MAX(0,ROUND((INDEX($E648:$G648,Q$5)-SUMIFS(TF_Timer,TF_Tekniker,Q$4,TF_Dato,$A648))*2,0)/2)))</f>
        <v/>
      </c>
      <c r="R648">
        <f>IF(OR(R$4="",$A648&gt;TODAY()),0,IF(OR(INDEX($B648:$D648,R$5)="F",AND(R$6&gt;0,$A648&lt;R$6),AND(R$7&gt;0,$A648&gt;R$7)),0,MAX(0,ROUND((INDEX($E648:$G648,R$5)-SUMIFS(TF_Timer,TF_Tekniker,R$4,TF_Dato,$A648))*2,0)/2)))</f>
        <v/>
      </c>
      <c r="S648">
        <f>IF(OR(S$4="",$A648&gt;TODAY()),0,IF(OR(INDEX($B648:$D648,S$5)="F",AND(S$6&gt;0,$A648&lt;S$6),AND(S$7&gt;0,$A648&gt;S$7)),0,MAX(0,ROUND((INDEX($E648:$G648,S$5)-SUMIFS(TF_Timer,TF_Tekniker,S$4,TF_Dato,$A648))*2,0)/2)))</f>
        <v/>
      </c>
      <c r="T648">
        <f>IF(OR(T$4="",$A648&gt;TODAY()),0,IF(OR(INDEX($B648:$D648,T$5)="F",AND(T$6&gt;0,$A648&lt;T$6),AND(T$7&gt;0,$A648&gt;T$7)),0,MAX(0,ROUND((INDEX($E648:$G648,T$5)-SUMIFS(TF_Timer,TF_Tekniker,T$4,TF_Dato,$A648))*2,0)/2)))</f>
        <v/>
      </c>
      <c r="U648">
        <f>IF(OR(U$4="",$A648&gt;TODAY()),0,IF(OR(INDEX($B648:$D648,U$5)="F",AND(U$6&gt;0,$A648&lt;U$6),AND(U$7&gt;0,$A648&gt;U$7)),0,MAX(0,ROUND((INDEX($E648:$G648,U$5)-SUMIFS(TF_Timer,TF_Tekniker,U$4,TF_Dato,$A648))*2,0)/2)))</f>
        <v/>
      </c>
      <c r="V648">
        <f>IF(OR(V$4="",$A648&gt;TODAY()),0,IF(OR(INDEX($B648:$D648,V$5)="F",AND(V$6&gt;0,$A648&lt;V$6),AND(V$7&gt;0,$A648&gt;V$7)),0,MAX(0,ROUND((INDEX($E648:$G648,V$5)-SUMIFS(TF_Timer,TF_Tekniker,V$4,TF_Dato,$A648))*2,0)/2)))</f>
        <v/>
      </c>
      <c r="W648">
        <f>IF(OR(W$4="",$A648&gt;TODAY()),0,IF(OR(INDEX($B648:$D648,W$5)="F",AND(W$6&gt;0,$A648&lt;W$6),AND(W$7&gt;0,$A648&gt;W$7)),0,MAX(0,ROUND((INDEX($E648:$G648,W$5)-SUMIFS(TF_Timer,TF_Tekniker,W$4,TF_Dato,$A648))*2,0)/2)))</f>
        <v/>
      </c>
      <c r="X648">
        <f>IF(OR(X$4="",$A648&gt;TODAY()),0,IF(OR(INDEX($B648:$D648,X$5)="F",AND(X$6&gt;0,$A648&lt;X$6),AND(X$7&gt;0,$A648&gt;X$7)),0,MAX(0,ROUND((INDEX($E648:$G648,X$5)-SUMIFS(TF_Timer,TF_Tekniker,X$4,TF_Dato,$A648))*2,0)/2)))</f>
        <v/>
      </c>
      <c r="Y648">
        <f>IF(OR(Y$4="",$A648&gt;TODAY()),0,IF(OR(INDEX($B648:$D648,Y$5)="F",AND(Y$6&gt;0,$A648&lt;Y$6),AND(Y$7&gt;0,$A648&gt;Y$7)),0,MAX(0,ROUND((INDEX($E648:$G648,Y$5)-SUMIFS(TF_Timer,TF_Tekniker,Y$4,TF_Dato,$A648))*2,0)/2)))</f>
        <v/>
      </c>
      <c r="Z648">
        <f>IF(OR(Z$4="",$A648&gt;TODAY()),0,IF(OR(INDEX($B648:$D648,Z$5)="F",AND(Z$6&gt;0,$A648&lt;Z$6),AND(Z$7&gt;0,$A648&gt;Z$7)),0,MAX(0,ROUND((INDEX($E648:$G648,Z$5)-SUMIFS(TF_Timer,TF_Tekniker,Z$4,TF_Dato,$A648))*2,0)/2)))</f>
        <v/>
      </c>
      <c r="AA648">
        <f>IF(OR(AA$4="",$A648&gt;TODAY()),0,IF(OR(INDEX($B648:$D648,AA$5)="F",AND(AA$6&gt;0,$A648&lt;AA$6),AND(AA$7&gt;0,$A648&gt;AA$7)),0,MAX(0,ROUND((INDEX($E648:$G648,AA$5)-SUMIFS(TF_Timer,TF_Tekniker,AA$4,TF_Dato,$A648))*2,0)/2)))</f>
        <v/>
      </c>
      <c r="AB648">
        <f>IF(OR(AB$4="",$A648&gt;TODAY()),0,IF(OR(INDEX($B648:$D648,AB$5)="F",AND(AB$6&gt;0,$A648&lt;AB$6),AND(AB$7&gt;0,$A648&gt;AB$7)),0,MAX(0,ROUND((INDEX($E648:$G648,AB$5)-SUMIFS(TF_Timer,TF_Tekniker,AB$4,TF_Dato,$A648))*2,0)/2)))</f>
        <v/>
      </c>
      <c r="AC648">
        <f>IF(OR(AC$4="",$A648&gt;TODAY()),0,IF(OR(INDEX($B648:$D648,AC$5)="F",AND(AC$6&gt;0,$A648&lt;AC$6),AND(AC$7&gt;0,$A648&gt;AC$7)),0,MAX(0,ROUND((INDEX($E648:$G648,AC$5)-SUMIFS(TF_Timer,TF_Tekniker,AC$4,TF_Dato,$A648))*2,0)/2)))</f>
        <v/>
      </c>
      <c r="AD648">
        <f>IF(OR(AD$4="",$A648&gt;TODAY()),0,IF(OR(INDEX($B648:$D648,AD$5)="F",AND(AD$6&gt;0,$A648&lt;AD$6),AND(AD$7&gt;0,$A648&gt;AD$7)),0,MAX(0,ROUND((INDEX($E648:$G648,AD$5)-SUMIFS(TF_Timer,TF_Tekniker,AD$4,TF_Dato,$A648))*2,0)/2)))</f>
        <v/>
      </c>
      <c r="AE648">
        <f>IF(OR(AE$4="",$A648&gt;TODAY()),0,IF(OR(INDEX($B648:$D648,AE$5)="F",AND(AE$6&gt;0,$A648&lt;AE$6),AND(AE$7&gt;0,$A648&gt;AE$7)),0,MAX(0,ROUND((INDEX($E648:$G648,AE$5)-SUMIFS(TF_Timer,TF_Tekniker,AE$4,TF_Dato,$A648))*2,0)/2)))</f>
        <v/>
      </c>
      <c r="AF648">
        <f>IF(OR(AF$4="",$A648&gt;TODAY()),0,IF(OR(INDEX($B648:$D648,AF$5)="F",AND(AF$6&gt;0,$A648&lt;AF$6),AND(AF$7&gt;0,$A648&gt;AF$7)),0,MAX(0,ROUND((INDEX($E648:$G648,AF$5)-SUMIFS(TF_Timer,TF_Tekniker,AF$4,TF_Dato,$A648))*2,0)/2)))</f>
        <v/>
      </c>
      <c r="AG648">
        <f>IF(OR(AG$4="",$A648&gt;TODAY()),0,IF(OR(INDEX($B648:$D648,AG$5)="F",AND(AG$6&gt;0,$A648&lt;AG$6),AND(AG$7&gt;0,$A648&gt;AG$7)),0,MAX(0,ROUND((INDEX($E648:$G648,AG$5)-SUMIFS(TF_Timer,TF_Tekniker,AG$4,TF_Dato,$A648))*2,0)/2)))</f>
        <v/>
      </c>
      <c r="AH648">
        <f>IF(OR(AH$4="",$A648&gt;TODAY()),0,IF(OR(INDEX($B648:$D648,AH$5)="F",AND(AH$6&gt;0,$A648&lt;AH$6),AND(AH$7&gt;0,$A648&gt;AH$7)),0,MAX(0,ROUND((INDEX($E648:$G648,AH$5)-SUMIFS(TF_Timer,TF_Tekniker,AH$4,TF_Dato,$A648))*2,0)/2)))</f>
        <v/>
      </c>
      <c r="AI648">
        <f>IF(OR(AI$4="",$A648&gt;TODAY()),0,IF(OR(INDEX($B648:$D648,AI$5)="F",AND(AI$6&gt;0,$A648&lt;AI$6),AND(AI$7&gt;0,$A648&gt;AI$7)),0,MAX(0,ROUND((INDEX($E648:$G648,AI$5)-SUMIFS(TF_Timer,TF_Tekniker,AI$4,TF_Dato,$A648))*2,0)/2)))</f>
        <v/>
      </c>
      <c r="AJ648">
        <f>IF(OR(AJ$4="",$A648&gt;TODAY()),0,IF(OR(INDEX($B648:$D648,AJ$5)="F",AND(AJ$6&gt;0,$A648&lt;AJ$6),AND(AJ$7&gt;0,$A648&gt;AJ$7)),0,MAX(0,ROUND((INDEX($E648:$G648,AJ$5)-SUMIFS(TF_Timer,TF_Tekniker,AJ$4,TF_Dato,$A648))*2,0)/2)))</f>
        <v/>
      </c>
      <c r="AK648">
        <f>IF(OR(AK$4="",$A648&gt;TODAY()),0,IF(OR(INDEX($B648:$D648,AK$5)="F",AND(AK$6&gt;0,$A648&lt;AK$6),AND(AK$7&gt;0,$A648&gt;AK$7)),0,MAX(0,ROUND((INDEX($E648:$G648,AK$5)-SUMIFS(TF_Timer,TF_Tekniker,AK$4,TF_Dato,$A648))*2,0)/2)))</f>
        <v/>
      </c>
      <c r="AL648">
        <f>IF(OR(AL$4="",$A648&gt;TODAY()),0,IF(OR(INDEX($B648:$D648,AL$5)="F",AND(AL$6&gt;0,$A648&lt;AL$6),AND(AL$7&gt;0,$A648&gt;AL$7)),0,MAX(0,ROUND((INDEX($E648:$G648,AL$5)-SUMIFS(TF_Timer,TF_Tekniker,AL$4,TF_Dato,$A648))*2,0)/2)))</f>
        <v/>
      </c>
      <c r="AM648">
        <f>IF(OR(AM$4="",$A648&gt;TODAY()),0,IF(OR(INDEX($B648:$D648,AM$5)="F",AND(AM$6&gt;0,$A648&lt;AM$6),AND(AM$7&gt;0,$A648&gt;AM$7)),0,MAX(0,ROUND((INDEX($E648:$G648,AM$5)-SUMIFS(TF_Timer,TF_Tekniker,AM$4,TF_Dato,$A648))*2,0)/2)))</f>
        <v/>
      </c>
      <c r="AN648">
        <f>IF(OR(AN$4="",$A648&gt;TODAY()),0,IF(OR(INDEX($B648:$D648,AN$5)="F",AND(AN$6&gt;0,$A648&lt;AN$6),AND(AN$7&gt;0,$A648&gt;AN$7)),0,MAX(0,ROUND((INDEX($E648:$G648,AN$5)-SUMIFS(TF_Timer,TF_Tekniker,AN$4,TF_Dato,$A648))*2,0)/2)))</f>
        <v/>
      </c>
      <c r="AO648">
        <f>IF(OR(AO$4="",$A648&gt;TODAY()),0,IF(OR(INDEX($B648:$D648,AO$5)="F",AND(AO$6&gt;0,$A648&lt;AO$6),AND(AO$7&gt;0,$A648&gt;AO$7)),0,MAX(0,ROUND((INDEX($E648:$G648,AO$5)-SUMIFS(TF_Timer,TF_Tekniker,AO$4,TF_Dato,$A648))*2,0)/2)))</f>
        <v/>
      </c>
      <c r="AP648">
        <f>IF(OR(AP$4="",$A648&gt;TODAY()),0,IF(OR(INDEX($B648:$D648,AP$5)="F",AND(AP$6&gt;0,$A648&lt;AP$6),AND(AP$7&gt;0,$A648&gt;AP$7)),0,MAX(0,ROUND((INDEX($E648:$G648,AP$5)-SUMIFS(TF_Timer,TF_Tekniker,AP$4,TF_Dato,$A648))*2,0)/2)))</f>
        <v/>
      </c>
      <c r="AQ648">
        <f>IF(OR(AQ$4="",$A648&gt;TODAY()),0,IF(OR(INDEX($B648:$D648,AQ$5)="F",AND(AQ$6&gt;0,$A648&lt;AQ$6),AND(AQ$7&gt;0,$A648&gt;AQ$7)),0,MAX(0,ROUND((INDEX($E648:$G648,AQ$5)-SUMIFS(TF_Timer,TF_Tekniker,AQ$4,TF_Dato,$A648))*2,0)/2)))</f>
        <v/>
      </c>
      <c r="AR648">
        <f>IF(OR(AR$4="",$A648&gt;TODAY()),0,IF(OR(INDEX($B648:$D648,AR$5)="F",AND(AR$6&gt;0,$A648&lt;AR$6),AND(AR$7&gt;0,$A648&gt;AR$7)),0,MAX(0,ROUND((INDEX($E648:$G648,AR$5)-SUMIFS(TF_Timer,TF_Tekniker,AR$4,TF_Dato,$A648))*2,0)/2)))</f>
        <v/>
      </c>
      <c r="AS648">
        <f>IF(OR(AS$4="",$A648&gt;TODAY()),0,IF(OR(INDEX($B648:$D648,AS$5)="F",AND(AS$6&gt;0,$A648&lt;AS$6),AND(AS$7&gt;0,$A648&gt;AS$7)),0,MAX(0,ROUND((INDEX($E648:$G648,AS$5)-SUMIFS(TF_Timer,TF_Tekniker,AS$4,TF_Dato,$A648))*2,0)/2)))</f>
        <v/>
      </c>
      <c r="AT648">
        <f>IF(OR(AT$4="",$A648&gt;TODAY()),0,IF(OR(INDEX($B648:$D648,AT$5)="F",AND(AT$6&gt;0,$A648&lt;AT$6),AND(AT$7&gt;0,$A648&gt;AT$7)),0,MAX(0,ROUND((INDEX($E648:$G648,AT$5)-SUMIFS(TF_Timer,TF_Tekniker,AT$4,TF_Dato,$A648))*2,0)/2)))</f>
        <v/>
      </c>
      <c r="AU648">
        <f>IF(OR(AU$4="",$A648&gt;TODAY()),0,IF(OR(INDEX($B648:$D648,AU$5)="F",AND(AU$6&gt;0,$A648&lt;AU$6),AND(AU$7&gt;0,$A648&gt;AU$7)),0,MAX(0,ROUND((INDEX($E648:$G648,AU$5)-SUMIFS(TF_Timer,TF_Tekniker,AU$4,TF_Dato,$A648))*2,0)/2)))</f>
        <v/>
      </c>
      <c r="AV648">
        <f>IF(OR(AV$4="",$A648&gt;TODAY()),0,IF(OR(INDEX($B648:$D648,AV$5)="F",AND(AV$6&gt;0,$A648&lt;AV$6),AND(AV$7&gt;0,$A648&gt;AV$7)),0,MAX(0,ROUND((INDEX($E648:$G648,AV$5)-SUMIFS(TF_Timer,TF_Tekniker,AV$4,TF_Dato,$A648))*2,0)/2)))</f>
        <v/>
      </c>
      <c r="AW648">
        <f>IF(OR(AW$4="",$A648&gt;TODAY()),0,IF(OR(INDEX($B648:$D648,AW$5)="F",AND(AW$6&gt;0,$A648&lt;AW$6),AND(AW$7&gt;0,$A648&gt;AW$7)),0,MAX(0,ROUND((INDEX($E648:$G648,AW$5)-SUMIFS(TF_Timer,TF_Tekniker,AW$4,TF_Dato,$A648))*2,0)/2)))</f>
        <v/>
      </c>
      <c r="AX648">
        <f>IF(OR(AX$4="",$A648&gt;TODAY()),0,IF(OR(INDEX($B648:$D648,AX$5)="F",AND(AX$6&gt;0,$A648&lt;AX$6),AND(AX$7&gt;0,$A648&gt;AX$7)),0,MAX(0,ROUND((INDEX($E648:$G648,AX$5)-SUMIFS(TF_Timer,TF_Tekniker,AX$4,TF_Dato,$A648))*2,0)/2)))</f>
        <v/>
      </c>
      <c r="AY648">
        <f>IF(OR(AY$4="",$A648&gt;TODAY()),0,IF(OR(INDEX($B648:$D648,AY$5)="F",AND(AY$6&gt;0,$A648&lt;AY$6),AND(AY$7&gt;0,$A648&gt;AY$7)),0,MAX(0,ROUND((INDEX($E648:$G648,AY$5)-SUMIFS(TF_Timer,TF_Tekniker,AY$4,TF_Dato,$A648))*2,0)/2)))</f>
        <v/>
      </c>
      <c r="AZ648">
        <f>IF(OR(AZ$4="",$A648&gt;TODAY()),0,IF(OR(INDEX($B648:$D648,AZ$5)="F",AND(AZ$6&gt;0,$A648&lt;AZ$6),AND(AZ$7&gt;0,$A648&gt;AZ$7)),0,MAX(0,ROUND((INDEX($E648:$G648,AZ$5)-SUMIFS(TF_Timer,TF_Tekniker,AZ$4,TF_Dato,$A648))*2,0)/2)))</f>
        <v/>
      </c>
      <c r="BA648">
        <f>IF(OR(BA$4="",$A648&gt;TODAY()),0,IF(OR(INDEX($B648:$D648,BA$5)="F",AND(BA$6&gt;0,$A648&lt;BA$6),AND(BA$7&gt;0,$A648&gt;BA$7)),0,MAX(0,ROUND((INDEX($E648:$G648,BA$5)-SUMIFS(TF_Timer,TF_Tekniker,BA$4,TF_Dato,$A648))*2,0)/2)))</f>
        <v/>
      </c>
      <c r="BB648">
        <f>IF(OR(BB$4="",$A648&gt;TODAY()),0,IF(OR(INDEX($B648:$D648,BB$5)="F",AND(BB$6&gt;0,$A648&lt;BB$6),AND(BB$7&gt;0,$A648&gt;BB$7)),0,MAX(0,ROUND((INDEX($E648:$G648,BB$5)-SUMIFS(TF_Timer,TF_Tekniker,BB$4,TF_Dato,$A648))*2,0)/2)))</f>
        <v/>
      </c>
      <c r="BC648">
        <f>IF(OR(BC$4="",$A648&gt;TODAY()),0,IF(OR(INDEX($B648:$D648,BC$5)="F",AND(BC$6&gt;0,$A648&lt;BC$6),AND(BC$7&gt;0,$A648&gt;BC$7)),0,MAX(0,ROUND((INDEX($E648:$G648,BC$5)-SUMIFS(TF_Timer,TF_Tekniker,BC$4,TF_Dato,$A648))*2,0)/2)))</f>
        <v/>
      </c>
      <c r="BD648">
        <f>IF(OR(BD$4="",$A648&gt;TODAY()),0,IF(OR(INDEX($B648:$D648,BD$5)="F",AND(BD$6&gt;0,$A648&lt;BD$6),AND(BD$7&gt;0,$A648&gt;BD$7)),0,MAX(0,ROUND((INDEX($E648:$G648,BD$5)-SUMIFS(TF_Timer,TF_Tekniker,BD$4,TF_Dato,$A648))*2,0)/2)))</f>
        <v/>
      </c>
      <c r="BE648">
        <f>IF(OR(BE$4="",$A648&gt;TODAY()),0,IF(OR(INDEX($B648:$D648,BE$5)="F",AND(BE$6&gt;0,$A648&lt;BE$6),AND(BE$7&gt;0,$A648&gt;BE$7)),0,MAX(0,ROUND((INDEX($E648:$G648,BE$5)-SUMIFS(TF_Timer,TF_Tekniker,BE$4,TF_Dato,$A648))*2,0)/2)))</f>
        <v/>
      </c>
      <c r="BF648">
        <f>IF(OR(BF$4="",$A648&gt;TODAY()),0,IF(OR(INDEX($B648:$D648,BF$5)="F",AND(BF$6&gt;0,$A648&lt;BF$6),AND(BF$7&gt;0,$A648&gt;BF$7)),0,MAX(0,ROUND((INDEX($E648:$G648,BF$5)-SUMIFS(TF_Timer,TF_Tekniker,BF$4,TF_Dato,$A648))*2,0)/2)))</f>
        <v/>
      </c>
      <c r="BG648">
        <f>IF(OR(BG$4="",$A648&gt;TODAY()),0,IF(OR(INDEX($B648:$D648,BG$5)="F",AND(BG$6&gt;0,$A648&lt;BG$6),AND(BG$7&gt;0,$A648&gt;BG$7)),0,MAX(0,ROUND((INDEX($E648:$G648,BG$5)-SUMIFS(TF_Timer,TF_Tekniker,BG$4,TF_Dato,$A648))*2,0)/2)))</f>
        <v/>
      </c>
      <c r="BH648">
        <f>IF(OR(BH$4="",$A648&gt;TODAY()),0,IF(OR(INDEX($B648:$D648,BH$5)="F",AND(BH$6&gt;0,$A648&lt;BH$6),AND(BH$7&gt;0,$A648&gt;BH$7)),0,MAX(0,ROUND((INDEX($E648:$G648,BH$5)-SUMIFS(TF_Timer,TF_Tekniker,BH$4,TF_Dato,$A648))*2,0)/2)))</f>
        <v/>
      </c>
      <c r="BI648">
        <f>IF(OR(BI$4="",$A648&gt;TODAY()),0,IF(OR(INDEX($B648:$D648,BI$5)="F",AND(BI$6&gt;0,$A648&lt;BI$6),AND(BI$7&gt;0,$A648&gt;BI$7)),0,MAX(0,ROUND((INDEX($E648:$G648,BI$5)-SUMIFS(TF_Timer,TF_Tekniker,BI$4,TF_Dato,$A648))*2,0)/2)))</f>
        <v/>
      </c>
    </row>
    <row r="649">
      <c r="A649" s="64">
        <f>A648+1</f>
        <v/>
      </c>
      <c r="B649">
        <f>IF(MOD($A649-INDEX(SkiftStart,1),Syklus)&lt;DagK,"K",IF(MOD($A649-INDEX(SkiftStart,1),Syklus)&lt;DagK+DagH,"H",IF(MOD($A649-INDEX(SkiftStart,1),Syklus)&lt;DagK+DagH+DagD,"D","F")))</f>
        <v/>
      </c>
      <c r="C649">
        <f>IF(MOD($A649-INDEX(SkiftStart,2),Syklus)&lt;DagK,"K",IF(MOD($A649-INDEX(SkiftStart,2),Syklus)&lt;DagK+DagH,"H",IF(MOD($A649-INDEX(SkiftStart,2),Syklus)&lt;DagK+DagH+DagD,"D","F")))</f>
        <v/>
      </c>
      <c r="D649">
        <f>IF(MOD($A649-INDEX(SkiftStart,3),Syklus)&lt;DagK,"K",IF(MOD($A649-INDEX(SkiftStart,3),Syklus)&lt;DagK+DagH,"H",IF(MOD($A649-INDEX(SkiftStart,3),Syklus)&lt;DagK+DagH+DagD,"D","F")))</f>
        <v/>
      </c>
      <c r="E649">
        <f>IF(B649="F",0,IF(WEEKDAY($A649,2)=5,INDEX(TimerFr,MATCH(B649,FaseKode,0)),INDEX(TimerMT,MATCH(B649,FaseKode,0))))</f>
        <v/>
      </c>
      <c r="F649">
        <f>IF(C649="F",0,IF(WEEKDAY($A649,2)=5,INDEX(TimerFr,MATCH(C649,FaseKode,0)),INDEX(TimerMT,MATCH(C649,FaseKode,0))))</f>
        <v/>
      </c>
      <c r="G649">
        <f>IF(D649="F",0,IF(WEEKDAY($A649,2)=5,INDEX(TimerFr,MATCH(D649,FaseKode,0)),INDEX(TimerMT,MATCH(D649,FaseKode,0))))</f>
        <v/>
      </c>
      <c r="H649">
        <f>IF(OR(H$4="",$A649&gt;TODAY()),0,IF(OR(INDEX($B649:$D649,H$5)="F",AND(H$6&gt;0,$A649&lt;H$6),AND(H$7&gt;0,$A649&gt;H$7)),0,MAX(0,ROUND((INDEX($E649:$G649,H$5)-SUMIFS(TF_Timer,TF_Tekniker,H$4,TF_Dato,$A649))*2,0)/2)))</f>
        <v/>
      </c>
      <c r="I649">
        <f>IF(OR(I$4="",$A649&gt;TODAY()),0,IF(OR(INDEX($B649:$D649,I$5)="F",AND(I$6&gt;0,$A649&lt;I$6),AND(I$7&gt;0,$A649&gt;I$7)),0,MAX(0,ROUND((INDEX($E649:$G649,I$5)-SUMIFS(TF_Timer,TF_Tekniker,I$4,TF_Dato,$A649))*2,0)/2)))</f>
        <v/>
      </c>
      <c r="J649">
        <f>IF(OR(J$4="",$A649&gt;TODAY()),0,IF(OR(INDEX($B649:$D649,J$5)="F",AND(J$6&gt;0,$A649&lt;J$6),AND(J$7&gt;0,$A649&gt;J$7)),0,MAX(0,ROUND((INDEX($E649:$G649,J$5)-SUMIFS(TF_Timer,TF_Tekniker,J$4,TF_Dato,$A649))*2,0)/2)))</f>
        <v/>
      </c>
      <c r="K649">
        <f>IF(OR(K$4="",$A649&gt;TODAY()),0,IF(OR(INDEX($B649:$D649,K$5)="F",AND(K$6&gt;0,$A649&lt;K$6),AND(K$7&gt;0,$A649&gt;K$7)),0,MAX(0,ROUND((INDEX($E649:$G649,K$5)-SUMIFS(TF_Timer,TF_Tekniker,K$4,TF_Dato,$A649))*2,0)/2)))</f>
        <v/>
      </c>
      <c r="L649">
        <f>IF(OR(L$4="",$A649&gt;TODAY()),0,IF(OR(INDEX($B649:$D649,L$5)="F",AND(L$6&gt;0,$A649&lt;L$6),AND(L$7&gt;0,$A649&gt;L$7)),0,MAX(0,ROUND((INDEX($E649:$G649,L$5)-SUMIFS(TF_Timer,TF_Tekniker,L$4,TF_Dato,$A649))*2,0)/2)))</f>
        <v/>
      </c>
      <c r="M649">
        <f>IF(OR(M$4="",$A649&gt;TODAY()),0,IF(OR(INDEX($B649:$D649,M$5)="F",AND(M$6&gt;0,$A649&lt;M$6),AND(M$7&gt;0,$A649&gt;M$7)),0,MAX(0,ROUND((INDEX($E649:$G649,M$5)-SUMIFS(TF_Timer,TF_Tekniker,M$4,TF_Dato,$A649))*2,0)/2)))</f>
        <v/>
      </c>
      <c r="N649">
        <f>IF(OR(N$4="",$A649&gt;TODAY()),0,IF(OR(INDEX($B649:$D649,N$5)="F",AND(N$6&gt;0,$A649&lt;N$6),AND(N$7&gt;0,$A649&gt;N$7)),0,MAX(0,ROUND((INDEX($E649:$G649,N$5)-SUMIFS(TF_Timer,TF_Tekniker,N$4,TF_Dato,$A649))*2,0)/2)))</f>
        <v/>
      </c>
      <c r="O649">
        <f>IF(OR(O$4="",$A649&gt;TODAY()),0,IF(OR(INDEX($B649:$D649,O$5)="F",AND(O$6&gt;0,$A649&lt;O$6),AND(O$7&gt;0,$A649&gt;O$7)),0,MAX(0,ROUND((INDEX($E649:$G649,O$5)-SUMIFS(TF_Timer,TF_Tekniker,O$4,TF_Dato,$A649))*2,0)/2)))</f>
        <v/>
      </c>
      <c r="P649">
        <f>IF(OR(P$4="",$A649&gt;TODAY()),0,IF(OR(INDEX($B649:$D649,P$5)="F",AND(P$6&gt;0,$A649&lt;P$6),AND(P$7&gt;0,$A649&gt;P$7)),0,MAX(0,ROUND((INDEX($E649:$G649,P$5)-SUMIFS(TF_Timer,TF_Tekniker,P$4,TF_Dato,$A649))*2,0)/2)))</f>
        <v/>
      </c>
      <c r="Q649">
        <f>IF(OR(Q$4="",$A649&gt;TODAY()),0,IF(OR(INDEX($B649:$D649,Q$5)="F",AND(Q$6&gt;0,$A649&lt;Q$6),AND(Q$7&gt;0,$A649&gt;Q$7)),0,MAX(0,ROUND((INDEX($E649:$G649,Q$5)-SUMIFS(TF_Timer,TF_Tekniker,Q$4,TF_Dato,$A649))*2,0)/2)))</f>
        <v/>
      </c>
      <c r="R649">
        <f>IF(OR(R$4="",$A649&gt;TODAY()),0,IF(OR(INDEX($B649:$D649,R$5)="F",AND(R$6&gt;0,$A649&lt;R$6),AND(R$7&gt;0,$A649&gt;R$7)),0,MAX(0,ROUND((INDEX($E649:$G649,R$5)-SUMIFS(TF_Timer,TF_Tekniker,R$4,TF_Dato,$A649))*2,0)/2)))</f>
        <v/>
      </c>
      <c r="S649">
        <f>IF(OR(S$4="",$A649&gt;TODAY()),0,IF(OR(INDEX($B649:$D649,S$5)="F",AND(S$6&gt;0,$A649&lt;S$6),AND(S$7&gt;0,$A649&gt;S$7)),0,MAX(0,ROUND((INDEX($E649:$G649,S$5)-SUMIFS(TF_Timer,TF_Tekniker,S$4,TF_Dato,$A649))*2,0)/2)))</f>
        <v/>
      </c>
      <c r="T649">
        <f>IF(OR(T$4="",$A649&gt;TODAY()),0,IF(OR(INDEX($B649:$D649,T$5)="F",AND(T$6&gt;0,$A649&lt;T$6),AND(T$7&gt;0,$A649&gt;T$7)),0,MAX(0,ROUND((INDEX($E649:$G649,T$5)-SUMIFS(TF_Timer,TF_Tekniker,T$4,TF_Dato,$A649))*2,0)/2)))</f>
        <v/>
      </c>
      <c r="U649">
        <f>IF(OR(U$4="",$A649&gt;TODAY()),0,IF(OR(INDEX($B649:$D649,U$5)="F",AND(U$6&gt;0,$A649&lt;U$6),AND(U$7&gt;0,$A649&gt;U$7)),0,MAX(0,ROUND((INDEX($E649:$G649,U$5)-SUMIFS(TF_Timer,TF_Tekniker,U$4,TF_Dato,$A649))*2,0)/2)))</f>
        <v/>
      </c>
      <c r="V649">
        <f>IF(OR(V$4="",$A649&gt;TODAY()),0,IF(OR(INDEX($B649:$D649,V$5)="F",AND(V$6&gt;0,$A649&lt;V$6),AND(V$7&gt;0,$A649&gt;V$7)),0,MAX(0,ROUND((INDEX($E649:$G649,V$5)-SUMIFS(TF_Timer,TF_Tekniker,V$4,TF_Dato,$A649))*2,0)/2)))</f>
        <v/>
      </c>
      <c r="W649">
        <f>IF(OR(W$4="",$A649&gt;TODAY()),0,IF(OR(INDEX($B649:$D649,W$5)="F",AND(W$6&gt;0,$A649&lt;W$6),AND(W$7&gt;0,$A649&gt;W$7)),0,MAX(0,ROUND((INDEX($E649:$G649,W$5)-SUMIFS(TF_Timer,TF_Tekniker,W$4,TF_Dato,$A649))*2,0)/2)))</f>
        <v/>
      </c>
      <c r="X649">
        <f>IF(OR(X$4="",$A649&gt;TODAY()),0,IF(OR(INDEX($B649:$D649,X$5)="F",AND(X$6&gt;0,$A649&lt;X$6),AND(X$7&gt;0,$A649&gt;X$7)),0,MAX(0,ROUND((INDEX($E649:$G649,X$5)-SUMIFS(TF_Timer,TF_Tekniker,X$4,TF_Dato,$A649))*2,0)/2)))</f>
        <v/>
      </c>
      <c r="Y649">
        <f>IF(OR(Y$4="",$A649&gt;TODAY()),0,IF(OR(INDEX($B649:$D649,Y$5)="F",AND(Y$6&gt;0,$A649&lt;Y$6),AND(Y$7&gt;0,$A649&gt;Y$7)),0,MAX(0,ROUND((INDEX($E649:$G649,Y$5)-SUMIFS(TF_Timer,TF_Tekniker,Y$4,TF_Dato,$A649))*2,0)/2)))</f>
        <v/>
      </c>
      <c r="Z649">
        <f>IF(OR(Z$4="",$A649&gt;TODAY()),0,IF(OR(INDEX($B649:$D649,Z$5)="F",AND(Z$6&gt;0,$A649&lt;Z$6),AND(Z$7&gt;0,$A649&gt;Z$7)),0,MAX(0,ROUND((INDEX($E649:$G649,Z$5)-SUMIFS(TF_Timer,TF_Tekniker,Z$4,TF_Dato,$A649))*2,0)/2)))</f>
        <v/>
      </c>
      <c r="AA649">
        <f>IF(OR(AA$4="",$A649&gt;TODAY()),0,IF(OR(INDEX($B649:$D649,AA$5)="F",AND(AA$6&gt;0,$A649&lt;AA$6),AND(AA$7&gt;0,$A649&gt;AA$7)),0,MAX(0,ROUND((INDEX($E649:$G649,AA$5)-SUMIFS(TF_Timer,TF_Tekniker,AA$4,TF_Dato,$A649))*2,0)/2)))</f>
        <v/>
      </c>
      <c r="AB649">
        <f>IF(OR(AB$4="",$A649&gt;TODAY()),0,IF(OR(INDEX($B649:$D649,AB$5)="F",AND(AB$6&gt;0,$A649&lt;AB$6),AND(AB$7&gt;0,$A649&gt;AB$7)),0,MAX(0,ROUND((INDEX($E649:$G649,AB$5)-SUMIFS(TF_Timer,TF_Tekniker,AB$4,TF_Dato,$A649))*2,0)/2)))</f>
        <v/>
      </c>
      <c r="AC649">
        <f>IF(OR(AC$4="",$A649&gt;TODAY()),0,IF(OR(INDEX($B649:$D649,AC$5)="F",AND(AC$6&gt;0,$A649&lt;AC$6),AND(AC$7&gt;0,$A649&gt;AC$7)),0,MAX(0,ROUND((INDEX($E649:$G649,AC$5)-SUMIFS(TF_Timer,TF_Tekniker,AC$4,TF_Dato,$A649))*2,0)/2)))</f>
        <v/>
      </c>
      <c r="AD649">
        <f>IF(OR(AD$4="",$A649&gt;TODAY()),0,IF(OR(INDEX($B649:$D649,AD$5)="F",AND(AD$6&gt;0,$A649&lt;AD$6),AND(AD$7&gt;0,$A649&gt;AD$7)),0,MAX(0,ROUND((INDEX($E649:$G649,AD$5)-SUMIFS(TF_Timer,TF_Tekniker,AD$4,TF_Dato,$A649))*2,0)/2)))</f>
        <v/>
      </c>
      <c r="AE649">
        <f>IF(OR(AE$4="",$A649&gt;TODAY()),0,IF(OR(INDEX($B649:$D649,AE$5)="F",AND(AE$6&gt;0,$A649&lt;AE$6),AND(AE$7&gt;0,$A649&gt;AE$7)),0,MAX(0,ROUND((INDEX($E649:$G649,AE$5)-SUMIFS(TF_Timer,TF_Tekniker,AE$4,TF_Dato,$A649))*2,0)/2)))</f>
        <v/>
      </c>
      <c r="AF649">
        <f>IF(OR(AF$4="",$A649&gt;TODAY()),0,IF(OR(INDEX($B649:$D649,AF$5)="F",AND(AF$6&gt;0,$A649&lt;AF$6),AND(AF$7&gt;0,$A649&gt;AF$7)),0,MAX(0,ROUND((INDEX($E649:$G649,AF$5)-SUMIFS(TF_Timer,TF_Tekniker,AF$4,TF_Dato,$A649))*2,0)/2)))</f>
        <v/>
      </c>
      <c r="AG649">
        <f>IF(OR(AG$4="",$A649&gt;TODAY()),0,IF(OR(INDEX($B649:$D649,AG$5)="F",AND(AG$6&gt;0,$A649&lt;AG$6),AND(AG$7&gt;0,$A649&gt;AG$7)),0,MAX(0,ROUND((INDEX($E649:$G649,AG$5)-SUMIFS(TF_Timer,TF_Tekniker,AG$4,TF_Dato,$A649))*2,0)/2)))</f>
        <v/>
      </c>
      <c r="AH649">
        <f>IF(OR(AH$4="",$A649&gt;TODAY()),0,IF(OR(INDEX($B649:$D649,AH$5)="F",AND(AH$6&gt;0,$A649&lt;AH$6),AND(AH$7&gt;0,$A649&gt;AH$7)),0,MAX(0,ROUND((INDEX($E649:$G649,AH$5)-SUMIFS(TF_Timer,TF_Tekniker,AH$4,TF_Dato,$A649))*2,0)/2)))</f>
        <v/>
      </c>
      <c r="AI649">
        <f>IF(OR(AI$4="",$A649&gt;TODAY()),0,IF(OR(INDEX($B649:$D649,AI$5)="F",AND(AI$6&gt;0,$A649&lt;AI$6),AND(AI$7&gt;0,$A649&gt;AI$7)),0,MAX(0,ROUND((INDEX($E649:$G649,AI$5)-SUMIFS(TF_Timer,TF_Tekniker,AI$4,TF_Dato,$A649))*2,0)/2)))</f>
        <v/>
      </c>
      <c r="AJ649">
        <f>IF(OR(AJ$4="",$A649&gt;TODAY()),0,IF(OR(INDEX($B649:$D649,AJ$5)="F",AND(AJ$6&gt;0,$A649&lt;AJ$6),AND(AJ$7&gt;0,$A649&gt;AJ$7)),0,MAX(0,ROUND((INDEX($E649:$G649,AJ$5)-SUMIFS(TF_Timer,TF_Tekniker,AJ$4,TF_Dato,$A649))*2,0)/2)))</f>
        <v/>
      </c>
      <c r="AK649">
        <f>IF(OR(AK$4="",$A649&gt;TODAY()),0,IF(OR(INDEX($B649:$D649,AK$5)="F",AND(AK$6&gt;0,$A649&lt;AK$6),AND(AK$7&gt;0,$A649&gt;AK$7)),0,MAX(0,ROUND((INDEX($E649:$G649,AK$5)-SUMIFS(TF_Timer,TF_Tekniker,AK$4,TF_Dato,$A649))*2,0)/2)))</f>
        <v/>
      </c>
      <c r="AL649">
        <f>IF(OR(AL$4="",$A649&gt;TODAY()),0,IF(OR(INDEX($B649:$D649,AL$5)="F",AND(AL$6&gt;0,$A649&lt;AL$6),AND(AL$7&gt;0,$A649&gt;AL$7)),0,MAX(0,ROUND((INDEX($E649:$G649,AL$5)-SUMIFS(TF_Timer,TF_Tekniker,AL$4,TF_Dato,$A649))*2,0)/2)))</f>
        <v/>
      </c>
      <c r="AM649">
        <f>IF(OR(AM$4="",$A649&gt;TODAY()),0,IF(OR(INDEX($B649:$D649,AM$5)="F",AND(AM$6&gt;0,$A649&lt;AM$6),AND(AM$7&gt;0,$A649&gt;AM$7)),0,MAX(0,ROUND((INDEX($E649:$G649,AM$5)-SUMIFS(TF_Timer,TF_Tekniker,AM$4,TF_Dato,$A649))*2,0)/2)))</f>
        <v/>
      </c>
      <c r="AN649">
        <f>IF(OR(AN$4="",$A649&gt;TODAY()),0,IF(OR(INDEX($B649:$D649,AN$5)="F",AND(AN$6&gt;0,$A649&lt;AN$6),AND(AN$7&gt;0,$A649&gt;AN$7)),0,MAX(0,ROUND((INDEX($E649:$G649,AN$5)-SUMIFS(TF_Timer,TF_Tekniker,AN$4,TF_Dato,$A649))*2,0)/2)))</f>
        <v/>
      </c>
      <c r="AO649">
        <f>IF(OR(AO$4="",$A649&gt;TODAY()),0,IF(OR(INDEX($B649:$D649,AO$5)="F",AND(AO$6&gt;0,$A649&lt;AO$6),AND(AO$7&gt;0,$A649&gt;AO$7)),0,MAX(0,ROUND((INDEX($E649:$G649,AO$5)-SUMIFS(TF_Timer,TF_Tekniker,AO$4,TF_Dato,$A649))*2,0)/2)))</f>
        <v/>
      </c>
      <c r="AP649">
        <f>IF(OR(AP$4="",$A649&gt;TODAY()),0,IF(OR(INDEX($B649:$D649,AP$5)="F",AND(AP$6&gt;0,$A649&lt;AP$6),AND(AP$7&gt;0,$A649&gt;AP$7)),0,MAX(0,ROUND((INDEX($E649:$G649,AP$5)-SUMIFS(TF_Timer,TF_Tekniker,AP$4,TF_Dato,$A649))*2,0)/2)))</f>
        <v/>
      </c>
      <c r="AQ649">
        <f>IF(OR(AQ$4="",$A649&gt;TODAY()),0,IF(OR(INDEX($B649:$D649,AQ$5)="F",AND(AQ$6&gt;0,$A649&lt;AQ$6),AND(AQ$7&gt;0,$A649&gt;AQ$7)),0,MAX(0,ROUND((INDEX($E649:$G649,AQ$5)-SUMIFS(TF_Timer,TF_Tekniker,AQ$4,TF_Dato,$A649))*2,0)/2)))</f>
        <v/>
      </c>
      <c r="AR649">
        <f>IF(OR(AR$4="",$A649&gt;TODAY()),0,IF(OR(INDEX($B649:$D649,AR$5)="F",AND(AR$6&gt;0,$A649&lt;AR$6),AND(AR$7&gt;0,$A649&gt;AR$7)),0,MAX(0,ROUND((INDEX($E649:$G649,AR$5)-SUMIFS(TF_Timer,TF_Tekniker,AR$4,TF_Dato,$A649))*2,0)/2)))</f>
        <v/>
      </c>
      <c r="AS649">
        <f>IF(OR(AS$4="",$A649&gt;TODAY()),0,IF(OR(INDEX($B649:$D649,AS$5)="F",AND(AS$6&gt;0,$A649&lt;AS$6),AND(AS$7&gt;0,$A649&gt;AS$7)),0,MAX(0,ROUND((INDEX($E649:$G649,AS$5)-SUMIFS(TF_Timer,TF_Tekniker,AS$4,TF_Dato,$A649))*2,0)/2)))</f>
        <v/>
      </c>
      <c r="AT649">
        <f>IF(OR(AT$4="",$A649&gt;TODAY()),0,IF(OR(INDEX($B649:$D649,AT$5)="F",AND(AT$6&gt;0,$A649&lt;AT$6),AND(AT$7&gt;0,$A649&gt;AT$7)),0,MAX(0,ROUND((INDEX($E649:$G649,AT$5)-SUMIFS(TF_Timer,TF_Tekniker,AT$4,TF_Dato,$A649))*2,0)/2)))</f>
        <v/>
      </c>
      <c r="AU649">
        <f>IF(OR(AU$4="",$A649&gt;TODAY()),0,IF(OR(INDEX($B649:$D649,AU$5)="F",AND(AU$6&gt;0,$A649&lt;AU$6),AND(AU$7&gt;0,$A649&gt;AU$7)),0,MAX(0,ROUND((INDEX($E649:$G649,AU$5)-SUMIFS(TF_Timer,TF_Tekniker,AU$4,TF_Dato,$A649))*2,0)/2)))</f>
        <v/>
      </c>
      <c r="AV649">
        <f>IF(OR(AV$4="",$A649&gt;TODAY()),0,IF(OR(INDEX($B649:$D649,AV$5)="F",AND(AV$6&gt;0,$A649&lt;AV$6),AND(AV$7&gt;0,$A649&gt;AV$7)),0,MAX(0,ROUND((INDEX($E649:$G649,AV$5)-SUMIFS(TF_Timer,TF_Tekniker,AV$4,TF_Dato,$A649))*2,0)/2)))</f>
        <v/>
      </c>
      <c r="AW649">
        <f>IF(OR(AW$4="",$A649&gt;TODAY()),0,IF(OR(INDEX($B649:$D649,AW$5)="F",AND(AW$6&gt;0,$A649&lt;AW$6),AND(AW$7&gt;0,$A649&gt;AW$7)),0,MAX(0,ROUND((INDEX($E649:$G649,AW$5)-SUMIFS(TF_Timer,TF_Tekniker,AW$4,TF_Dato,$A649))*2,0)/2)))</f>
        <v/>
      </c>
      <c r="AX649">
        <f>IF(OR(AX$4="",$A649&gt;TODAY()),0,IF(OR(INDEX($B649:$D649,AX$5)="F",AND(AX$6&gt;0,$A649&lt;AX$6),AND(AX$7&gt;0,$A649&gt;AX$7)),0,MAX(0,ROUND((INDEX($E649:$G649,AX$5)-SUMIFS(TF_Timer,TF_Tekniker,AX$4,TF_Dato,$A649))*2,0)/2)))</f>
        <v/>
      </c>
      <c r="AY649">
        <f>IF(OR(AY$4="",$A649&gt;TODAY()),0,IF(OR(INDEX($B649:$D649,AY$5)="F",AND(AY$6&gt;0,$A649&lt;AY$6),AND(AY$7&gt;0,$A649&gt;AY$7)),0,MAX(0,ROUND((INDEX($E649:$G649,AY$5)-SUMIFS(TF_Timer,TF_Tekniker,AY$4,TF_Dato,$A649))*2,0)/2)))</f>
        <v/>
      </c>
      <c r="AZ649">
        <f>IF(OR(AZ$4="",$A649&gt;TODAY()),0,IF(OR(INDEX($B649:$D649,AZ$5)="F",AND(AZ$6&gt;0,$A649&lt;AZ$6),AND(AZ$7&gt;0,$A649&gt;AZ$7)),0,MAX(0,ROUND((INDEX($E649:$G649,AZ$5)-SUMIFS(TF_Timer,TF_Tekniker,AZ$4,TF_Dato,$A649))*2,0)/2)))</f>
        <v/>
      </c>
      <c r="BA649">
        <f>IF(OR(BA$4="",$A649&gt;TODAY()),0,IF(OR(INDEX($B649:$D649,BA$5)="F",AND(BA$6&gt;0,$A649&lt;BA$6),AND(BA$7&gt;0,$A649&gt;BA$7)),0,MAX(0,ROUND((INDEX($E649:$G649,BA$5)-SUMIFS(TF_Timer,TF_Tekniker,BA$4,TF_Dato,$A649))*2,0)/2)))</f>
        <v/>
      </c>
      <c r="BB649">
        <f>IF(OR(BB$4="",$A649&gt;TODAY()),0,IF(OR(INDEX($B649:$D649,BB$5)="F",AND(BB$6&gt;0,$A649&lt;BB$6),AND(BB$7&gt;0,$A649&gt;BB$7)),0,MAX(0,ROUND((INDEX($E649:$G649,BB$5)-SUMIFS(TF_Timer,TF_Tekniker,BB$4,TF_Dato,$A649))*2,0)/2)))</f>
        <v/>
      </c>
      <c r="BC649">
        <f>IF(OR(BC$4="",$A649&gt;TODAY()),0,IF(OR(INDEX($B649:$D649,BC$5)="F",AND(BC$6&gt;0,$A649&lt;BC$6),AND(BC$7&gt;0,$A649&gt;BC$7)),0,MAX(0,ROUND((INDEX($E649:$G649,BC$5)-SUMIFS(TF_Timer,TF_Tekniker,BC$4,TF_Dato,$A649))*2,0)/2)))</f>
        <v/>
      </c>
      <c r="BD649">
        <f>IF(OR(BD$4="",$A649&gt;TODAY()),0,IF(OR(INDEX($B649:$D649,BD$5)="F",AND(BD$6&gt;0,$A649&lt;BD$6),AND(BD$7&gt;0,$A649&gt;BD$7)),0,MAX(0,ROUND((INDEX($E649:$G649,BD$5)-SUMIFS(TF_Timer,TF_Tekniker,BD$4,TF_Dato,$A649))*2,0)/2)))</f>
        <v/>
      </c>
      <c r="BE649">
        <f>IF(OR(BE$4="",$A649&gt;TODAY()),0,IF(OR(INDEX($B649:$D649,BE$5)="F",AND(BE$6&gt;0,$A649&lt;BE$6),AND(BE$7&gt;0,$A649&gt;BE$7)),0,MAX(0,ROUND((INDEX($E649:$G649,BE$5)-SUMIFS(TF_Timer,TF_Tekniker,BE$4,TF_Dato,$A649))*2,0)/2)))</f>
        <v/>
      </c>
      <c r="BF649">
        <f>IF(OR(BF$4="",$A649&gt;TODAY()),0,IF(OR(INDEX($B649:$D649,BF$5)="F",AND(BF$6&gt;0,$A649&lt;BF$6),AND(BF$7&gt;0,$A649&gt;BF$7)),0,MAX(0,ROUND((INDEX($E649:$G649,BF$5)-SUMIFS(TF_Timer,TF_Tekniker,BF$4,TF_Dato,$A649))*2,0)/2)))</f>
        <v/>
      </c>
      <c r="BG649">
        <f>IF(OR(BG$4="",$A649&gt;TODAY()),0,IF(OR(INDEX($B649:$D649,BG$5)="F",AND(BG$6&gt;0,$A649&lt;BG$6),AND(BG$7&gt;0,$A649&gt;BG$7)),0,MAX(0,ROUND((INDEX($E649:$G649,BG$5)-SUMIFS(TF_Timer,TF_Tekniker,BG$4,TF_Dato,$A649))*2,0)/2)))</f>
        <v/>
      </c>
      <c r="BH649">
        <f>IF(OR(BH$4="",$A649&gt;TODAY()),0,IF(OR(INDEX($B649:$D649,BH$5)="F",AND(BH$6&gt;0,$A649&lt;BH$6),AND(BH$7&gt;0,$A649&gt;BH$7)),0,MAX(0,ROUND((INDEX($E649:$G649,BH$5)-SUMIFS(TF_Timer,TF_Tekniker,BH$4,TF_Dato,$A649))*2,0)/2)))</f>
        <v/>
      </c>
      <c r="BI649">
        <f>IF(OR(BI$4="",$A649&gt;TODAY()),0,IF(OR(INDEX($B649:$D649,BI$5)="F",AND(BI$6&gt;0,$A649&lt;BI$6),AND(BI$7&gt;0,$A649&gt;BI$7)),0,MAX(0,ROUND((INDEX($E649:$G649,BI$5)-SUMIFS(TF_Timer,TF_Tekniker,BI$4,TF_Dato,$A649))*2,0)/2)))</f>
        <v/>
      </c>
    </row>
    <row r="650">
      <c r="A650" s="64">
        <f>A649+1</f>
        <v/>
      </c>
      <c r="B650">
        <f>IF(MOD($A650-INDEX(SkiftStart,1),Syklus)&lt;DagK,"K",IF(MOD($A650-INDEX(SkiftStart,1),Syklus)&lt;DagK+DagH,"H",IF(MOD($A650-INDEX(SkiftStart,1),Syklus)&lt;DagK+DagH+DagD,"D","F")))</f>
        <v/>
      </c>
      <c r="C650">
        <f>IF(MOD($A650-INDEX(SkiftStart,2),Syklus)&lt;DagK,"K",IF(MOD($A650-INDEX(SkiftStart,2),Syklus)&lt;DagK+DagH,"H",IF(MOD($A650-INDEX(SkiftStart,2),Syklus)&lt;DagK+DagH+DagD,"D","F")))</f>
        <v/>
      </c>
      <c r="D650">
        <f>IF(MOD($A650-INDEX(SkiftStart,3),Syklus)&lt;DagK,"K",IF(MOD($A650-INDEX(SkiftStart,3),Syklus)&lt;DagK+DagH,"H",IF(MOD($A650-INDEX(SkiftStart,3),Syklus)&lt;DagK+DagH+DagD,"D","F")))</f>
        <v/>
      </c>
      <c r="E650">
        <f>IF(B650="F",0,IF(WEEKDAY($A650,2)=5,INDEX(TimerFr,MATCH(B650,FaseKode,0)),INDEX(TimerMT,MATCH(B650,FaseKode,0))))</f>
        <v/>
      </c>
      <c r="F650">
        <f>IF(C650="F",0,IF(WEEKDAY($A650,2)=5,INDEX(TimerFr,MATCH(C650,FaseKode,0)),INDEX(TimerMT,MATCH(C650,FaseKode,0))))</f>
        <v/>
      </c>
      <c r="G650">
        <f>IF(D650="F",0,IF(WEEKDAY($A650,2)=5,INDEX(TimerFr,MATCH(D650,FaseKode,0)),INDEX(TimerMT,MATCH(D650,FaseKode,0))))</f>
        <v/>
      </c>
      <c r="H650">
        <f>IF(OR(H$4="",$A650&gt;TODAY()),0,IF(OR(INDEX($B650:$D650,H$5)="F",AND(H$6&gt;0,$A650&lt;H$6),AND(H$7&gt;0,$A650&gt;H$7)),0,MAX(0,ROUND((INDEX($E650:$G650,H$5)-SUMIFS(TF_Timer,TF_Tekniker,H$4,TF_Dato,$A650))*2,0)/2)))</f>
        <v/>
      </c>
      <c r="I650">
        <f>IF(OR(I$4="",$A650&gt;TODAY()),0,IF(OR(INDEX($B650:$D650,I$5)="F",AND(I$6&gt;0,$A650&lt;I$6),AND(I$7&gt;0,$A650&gt;I$7)),0,MAX(0,ROUND((INDEX($E650:$G650,I$5)-SUMIFS(TF_Timer,TF_Tekniker,I$4,TF_Dato,$A650))*2,0)/2)))</f>
        <v/>
      </c>
      <c r="J650">
        <f>IF(OR(J$4="",$A650&gt;TODAY()),0,IF(OR(INDEX($B650:$D650,J$5)="F",AND(J$6&gt;0,$A650&lt;J$6),AND(J$7&gt;0,$A650&gt;J$7)),0,MAX(0,ROUND((INDEX($E650:$G650,J$5)-SUMIFS(TF_Timer,TF_Tekniker,J$4,TF_Dato,$A650))*2,0)/2)))</f>
        <v/>
      </c>
      <c r="K650">
        <f>IF(OR(K$4="",$A650&gt;TODAY()),0,IF(OR(INDEX($B650:$D650,K$5)="F",AND(K$6&gt;0,$A650&lt;K$6),AND(K$7&gt;0,$A650&gt;K$7)),0,MAX(0,ROUND((INDEX($E650:$G650,K$5)-SUMIFS(TF_Timer,TF_Tekniker,K$4,TF_Dato,$A650))*2,0)/2)))</f>
        <v/>
      </c>
      <c r="L650">
        <f>IF(OR(L$4="",$A650&gt;TODAY()),0,IF(OR(INDEX($B650:$D650,L$5)="F",AND(L$6&gt;0,$A650&lt;L$6),AND(L$7&gt;0,$A650&gt;L$7)),0,MAX(0,ROUND((INDEX($E650:$G650,L$5)-SUMIFS(TF_Timer,TF_Tekniker,L$4,TF_Dato,$A650))*2,0)/2)))</f>
        <v/>
      </c>
      <c r="M650">
        <f>IF(OR(M$4="",$A650&gt;TODAY()),0,IF(OR(INDEX($B650:$D650,M$5)="F",AND(M$6&gt;0,$A650&lt;M$6),AND(M$7&gt;0,$A650&gt;M$7)),0,MAX(0,ROUND((INDEX($E650:$G650,M$5)-SUMIFS(TF_Timer,TF_Tekniker,M$4,TF_Dato,$A650))*2,0)/2)))</f>
        <v/>
      </c>
      <c r="N650">
        <f>IF(OR(N$4="",$A650&gt;TODAY()),0,IF(OR(INDEX($B650:$D650,N$5)="F",AND(N$6&gt;0,$A650&lt;N$6),AND(N$7&gt;0,$A650&gt;N$7)),0,MAX(0,ROUND((INDEX($E650:$G650,N$5)-SUMIFS(TF_Timer,TF_Tekniker,N$4,TF_Dato,$A650))*2,0)/2)))</f>
        <v/>
      </c>
      <c r="O650">
        <f>IF(OR(O$4="",$A650&gt;TODAY()),0,IF(OR(INDEX($B650:$D650,O$5)="F",AND(O$6&gt;0,$A650&lt;O$6),AND(O$7&gt;0,$A650&gt;O$7)),0,MAX(0,ROUND((INDEX($E650:$G650,O$5)-SUMIFS(TF_Timer,TF_Tekniker,O$4,TF_Dato,$A650))*2,0)/2)))</f>
        <v/>
      </c>
      <c r="P650">
        <f>IF(OR(P$4="",$A650&gt;TODAY()),0,IF(OR(INDEX($B650:$D650,P$5)="F",AND(P$6&gt;0,$A650&lt;P$6),AND(P$7&gt;0,$A650&gt;P$7)),0,MAX(0,ROUND((INDEX($E650:$G650,P$5)-SUMIFS(TF_Timer,TF_Tekniker,P$4,TF_Dato,$A650))*2,0)/2)))</f>
        <v/>
      </c>
      <c r="Q650">
        <f>IF(OR(Q$4="",$A650&gt;TODAY()),0,IF(OR(INDEX($B650:$D650,Q$5)="F",AND(Q$6&gt;0,$A650&lt;Q$6),AND(Q$7&gt;0,$A650&gt;Q$7)),0,MAX(0,ROUND((INDEX($E650:$G650,Q$5)-SUMIFS(TF_Timer,TF_Tekniker,Q$4,TF_Dato,$A650))*2,0)/2)))</f>
        <v/>
      </c>
      <c r="R650">
        <f>IF(OR(R$4="",$A650&gt;TODAY()),0,IF(OR(INDEX($B650:$D650,R$5)="F",AND(R$6&gt;0,$A650&lt;R$6),AND(R$7&gt;0,$A650&gt;R$7)),0,MAX(0,ROUND((INDEX($E650:$G650,R$5)-SUMIFS(TF_Timer,TF_Tekniker,R$4,TF_Dato,$A650))*2,0)/2)))</f>
        <v/>
      </c>
      <c r="S650">
        <f>IF(OR(S$4="",$A650&gt;TODAY()),0,IF(OR(INDEX($B650:$D650,S$5)="F",AND(S$6&gt;0,$A650&lt;S$6),AND(S$7&gt;0,$A650&gt;S$7)),0,MAX(0,ROUND((INDEX($E650:$G650,S$5)-SUMIFS(TF_Timer,TF_Tekniker,S$4,TF_Dato,$A650))*2,0)/2)))</f>
        <v/>
      </c>
      <c r="T650">
        <f>IF(OR(T$4="",$A650&gt;TODAY()),0,IF(OR(INDEX($B650:$D650,T$5)="F",AND(T$6&gt;0,$A650&lt;T$6),AND(T$7&gt;0,$A650&gt;T$7)),0,MAX(0,ROUND((INDEX($E650:$G650,T$5)-SUMIFS(TF_Timer,TF_Tekniker,T$4,TF_Dato,$A650))*2,0)/2)))</f>
        <v/>
      </c>
      <c r="U650">
        <f>IF(OR(U$4="",$A650&gt;TODAY()),0,IF(OR(INDEX($B650:$D650,U$5)="F",AND(U$6&gt;0,$A650&lt;U$6),AND(U$7&gt;0,$A650&gt;U$7)),0,MAX(0,ROUND((INDEX($E650:$G650,U$5)-SUMIFS(TF_Timer,TF_Tekniker,U$4,TF_Dato,$A650))*2,0)/2)))</f>
        <v/>
      </c>
      <c r="V650">
        <f>IF(OR(V$4="",$A650&gt;TODAY()),0,IF(OR(INDEX($B650:$D650,V$5)="F",AND(V$6&gt;0,$A650&lt;V$6),AND(V$7&gt;0,$A650&gt;V$7)),0,MAX(0,ROUND((INDEX($E650:$G650,V$5)-SUMIFS(TF_Timer,TF_Tekniker,V$4,TF_Dato,$A650))*2,0)/2)))</f>
        <v/>
      </c>
      <c r="W650">
        <f>IF(OR(W$4="",$A650&gt;TODAY()),0,IF(OR(INDEX($B650:$D650,W$5)="F",AND(W$6&gt;0,$A650&lt;W$6),AND(W$7&gt;0,$A650&gt;W$7)),0,MAX(0,ROUND((INDEX($E650:$G650,W$5)-SUMIFS(TF_Timer,TF_Tekniker,W$4,TF_Dato,$A650))*2,0)/2)))</f>
        <v/>
      </c>
      <c r="X650">
        <f>IF(OR(X$4="",$A650&gt;TODAY()),0,IF(OR(INDEX($B650:$D650,X$5)="F",AND(X$6&gt;0,$A650&lt;X$6),AND(X$7&gt;0,$A650&gt;X$7)),0,MAX(0,ROUND((INDEX($E650:$G650,X$5)-SUMIFS(TF_Timer,TF_Tekniker,X$4,TF_Dato,$A650))*2,0)/2)))</f>
        <v/>
      </c>
      <c r="Y650">
        <f>IF(OR(Y$4="",$A650&gt;TODAY()),0,IF(OR(INDEX($B650:$D650,Y$5)="F",AND(Y$6&gt;0,$A650&lt;Y$6),AND(Y$7&gt;0,$A650&gt;Y$7)),0,MAX(0,ROUND((INDEX($E650:$G650,Y$5)-SUMIFS(TF_Timer,TF_Tekniker,Y$4,TF_Dato,$A650))*2,0)/2)))</f>
        <v/>
      </c>
      <c r="Z650">
        <f>IF(OR(Z$4="",$A650&gt;TODAY()),0,IF(OR(INDEX($B650:$D650,Z$5)="F",AND(Z$6&gt;0,$A650&lt;Z$6),AND(Z$7&gt;0,$A650&gt;Z$7)),0,MAX(0,ROUND((INDEX($E650:$G650,Z$5)-SUMIFS(TF_Timer,TF_Tekniker,Z$4,TF_Dato,$A650))*2,0)/2)))</f>
        <v/>
      </c>
      <c r="AA650">
        <f>IF(OR(AA$4="",$A650&gt;TODAY()),0,IF(OR(INDEX($B650:$D650,AA$5)="F",AND(AA$6&gt;0,$A650&lt;AA$6),AND(AA$7&gt;0,$A650&gt;AA$7)),0,MAX(0,ROUND((INDEX($E650:$G650,AA$5)-SUMIFS(TF_Timer,TF_Tekniker,AA$4,TF_Dato,$A650))*2,0)/2)))</f>
        <v/>
      </c>
      <c r="AB650">
        <f>IF(OR(AB$4="",$A650&gt;TODAY()),0,IF(OR(INDEX($B650:$D650,AB$5)="F",AND(AB$6&gt;0,$A650&lt;AB$6),AND(AB$7&gt;0,$A650&gt;AB$7)),0,MAX(0,ROUND((INDEX($E650:$G650,AB$5)-SUMIFS(TF_Timer,TF_Tekniker,AB$4,TF_Dato,$A650))*2,0)/2)))</f>
        <v/>
      </c>
      <c r="AC650">
        <f>IF(OR(AC$4="",$A650&gt;TODAY()),0,IF(OR(INDEX($B650:$D650,AC$5)="F",AND(AC$6&gt;0,$A650&lt;AC$6),AND(AC$7&gt;0,$A650&gt;AC$7)),0,MAX(0,ROUND((INDEX($E650:$G650,AC$5)-SUMIFS(TF_Timer,TF_Tekniker,AC$4,TF_Dato,$A650))*2,0)/2)))</f>
        <v/>
      </c>
      <c r="AD650">
        <f>IF(OR(AD$4="",$A650&gt;TODAY()),0,IF(OR(INDEX($B650:$D650,AD$5)="F",AND(AD$6&gt;0,$A650&lt;AD$6),AND(AD$7&gt;0,$A650&gt;AD$7)),0,MAX(0,ROUND((INDEX($E650:$G650,AD$5)-SUMIFS(TF_Timer,TF_Tekniker,AD$4,TF_Dato,$A650))*2,0)/2)))</f>
        <v/>
      </c>
      <c r="AE650">
        <f>IF(OR(AE$4="",$A650&gt;TODAY()),0,IF(OR(INDEX($B650:$D650,AE$5)="F",AND(AE$6&gt;0,$A650&lt;AE$6),AND(AE$7&gt;0,$A650&gt;AE$7)),0,MAX(0,ROUND((INDEX($E650:$G650,AE$5)-SUMIFS(TF_Timer,TF_Tekniker,AE$4,TF_Dato,$A650))*2,0)/2)))</f>
        <v/>
      </c>
      <c r="AF650">
        <f>IF(OR(AF$4="",$A650&gt;TODAY()),0,IF(OR(INDEX($B650:$D650,AF$5)="F",AND(AF$6&gt;0,$A650&lt;AF$6),AND(AF$7&gt;0,$A650&gt;AF$7)),0,MAX(0,ROUND((INDEX($E650:$G650,AF$5)-SUMIFS(TF_Timer,TF_Tekniker,AF$4,TF_Dato,$A650))*2,0)/2)))</f>
        <v/>
      </c>
      <c r="AG650">
        <f>IF(OR(AG$4="",$A650&gt;TODAY()),0,IF(OR(INDEX($B650:$D650,AG$5)="F",AND(AG$6&gt;0,$A650&lt;AG$6),AND(AG$7&gt;0,$A650&gt;AG$7)),0,MAX(0,ROUND((INDEX($E650:$G650,AG$5)-SUMIFS(TF_Timer,TF_Tekniker,AG$4,TF_Dato,$A650))*2,0)/2)))</f>
        <v/>
      </c>
      <c r="AH650">
        <f>IF(OR(AH$4="",$A650&gt;TODAY()),0,IF(OR(INDEX($B650:$D650,AH$5)="F",AND(AH$6&gt;0,$A650&lt;AH$6),AND(AH$7&gt;0,$A650&gt;AH$7)),0,MAX(0,ROUND((INDEX($E650:$G650,AH$5)-SUMIFS(TF_Timer,TF_Tekniker,AH$4,TF_Dato,$A650))*2,0)/2)))</f>
        <v/>
      </c>
      <c r="AI650">
        <f>IF(OR(AI$4="",$A650&gt;TODAY()),0,IF(OR(INDEX($B650:$D650,AI$5)="F",AND(AI$6&gt;0,$A650&lt;AI$6),AND(AI$7&gt;0,$A650&gt;AI$7)),0,MAX(0,ROUND((INDEX($E650:$G650,AI$5)-SUMIFS(TF_Timer,TF_Tekniker,AI$4,TF_Dato,$A650))*2,0)/2)))</f>
        <v/>
      </c>
      <c r="AJ650">
        <f>IF(OR(AJ$4="",$A650&gt;TODAY()),0,IF(OR(INDEX($B650:$D650,AJ$5)="F",AND(AJ$6&gt;0,$A650&lt;AJ$6),AND(AJ$7&gt;0,$A650&gt;AJ$7)),0,MAX(0,ROUND((INDEX($E650:$G650,AJ$5)-SUMIFS(TF_Timer,TF_Tekniker,AJ$4,TF_Dato,$A650))*2,0)/2)))</f>
        <v/>
      </c>
      <c r="AK650">
        <f>IF(OR(AK$4="",$A650&gt;TODAY()),0,IF(OR(INDEX($B650:$D650,AK$5)="F",AND(AK$6&gt;0,$A650&lt;AK$6),AND(AK$7&gt;0,$A650&gt;AK$7)),0,MAX(0,ROUND((INDEX($E650:$G650,AK$5)-SUMIFS(TF_Timer,TF_Tekniker,AK$4,TF_Dato,$A650))*2,0)/2)))</f>
        <v/>
      </c>
      <c r="AL650">
        <f>IF(OR(AL$4="",$A650&gt;TODAY()),0,IF(OR(INDEX($B650:$D650,AL$5)="F",AND(AL$6&gt;0,$A650&lt;AL$6),AND(AL$7&gt;0,$A650&gt;AL$7)),0,MAX(0,ROUND((INDEX($E650:$G650,AL$5)-SUMIFS(TF_Timer,TF_Tekniker,AL$4,TF_Dato,$A650))*2,0)/2)))</f>
        <v/>
      </c>
      <c r="AM650">
        <f>IF(OR(AM$4="",$A650&gt;TODAY()),0,IF(OR(INDEX($B650:$D650,AM$5)="F",AND(AM$6&gt;0,$A650&lt;AM$6),AND(AM$7&gt;0,$A650&gt;AM$7)),0,MAX(0,ROUND((INDEX($E650:$G650,AM$5)-SUMIFS(TF_Timer,TF_Tekniker,AM$4,TF_Dato,$A650))*2,0)/2)))</f>
        <v/>
      </c>
      <c r="AN650">
        <f>IF(OR(AN$4="",$A650&gt;TODAY()),0,IF(OR(INDEX($B650:$D650,AN$5)="F",AND(AN$6&gt;0,$A650&lt;AN$6),AND(AN$7&gt;0,$A650&gt;AN$7)),0,MAX(0,ROUND((INDEX($E650:$G650,AN$5)-SUMIFS(TF_Timer,TF_Tekniker,AN$4,TF_Dato,$A650))*2,0)/2)))</f>
        <v/>
      </c>
      <c r="AO650">
        <f>IF(OR(AO$4="",$A650&gt;TODAY()),0,IF(OR(INDEX($B650:$D650,AO$5)="F",AND(AO$6&gt;0,$A650&lt;AO$6),AND(AO$7&gt;0,$A650&gt;AO$7)),0,MAX(0,ROUND((INDEX($E650:$G650,AO$5)-SUMIFS(TF_Timer,TF_Tekniker,AO$4,TF_Dato,$A650))*2,0)/2)))</f>
        <v/>
      </c>
      <c r="AP650">
        <f>IF(OR(AP$4="",$A650&gt;TODAY()),0,IF(OR(INDEX($B650:$D650,AP$5)="F",AND(AP$6&gt;0,$A650&lt;AP$6),AND(AP$7&gt;0,$A650&gt;AP$7)),0,MAX(0,ROUND((INDEX($E650:$G650,AP$5)-SUMIFS(TF_Timer,TF_Tekniker,AP$4,TF_Dato,$A650))*2,0)/2)))</f>
        <v/>
      </c>
      <c r="AQ650">
        <f>IF(OR(AQ$4="",$A650&gt;TODAY()),0,IF(OR(INDEX($B650:$D650,AQ$5)="F",AND(AQ$6&gt;0,$A650&lt;AQ$6),AND(AQ$7&gt;0,$A650&gt;AQ$7)),0,MAX(0,ROUND((INDEX($E650:$G650,AQ$5)-SUMIFS(TF_Timer,TF_Tekniker,AQ$4,TF_Dato,$A650))*2,0)/2)))</f>
        <v/>
      </c>
      <c r="AR650">
        <f>IF(OR(AR$4="",$A650&gt;TODAY()),0,IF(OR(INDEX($B650:$D650,AR$5)="F",AND(AR$6&gt;0,$A650&lt;AR$6),AND(AR$7&gt;0,$A650&gt;AR$7)),0,MAX(0,ROUND((INDEX($E650:$G650,AR$5)-SUMIFS(TF_Timer,TF_Tekniker,AR$4,TF_Dato,$A650))*2,0)/2)))</f>
        <v/>
      </c>
      <c r="AS650">
        <f>IF(OR(AS$4="",$A650&gt;TODAY()),0,IF(OR(INDEX($B650:$D650,AS$5)="F",AND(AS$6&gt;0,$A650&lt;AS$6),AND(AS$7&gt;0,$A650&gt;AS$7)),0,MAX(0,ROUND((INDEX($E650:$G650,AS$5)-SUMIFS(TF_Timer,TF_Tekniker,AS$4,TF_Dato,$A650))*2,0)/2)))</f>
        <v/>
      </c>
      <c r="AT650">
        <f>IF(OR(AT$4="",$A650&gt;TODAY()),0,IF(OR(INDEX($B650:$D650,AT$5)="F",AND(AT$6&gt;0,$A650&lt;AT$6),AND(AT$7&gt;0,$A650&gt;AT$7)),0,MAX(0,ROUND((INDEX($E650:$G650,AT$5)-SUMIFS(TF_Timer,TF_Tekniker,AT$4,TF_Dato,$A650))*2,0)/2)))</f>
        <v/>
      </c>
      <c r="AU650">
        <f>IF(OR(AU$4="",$A650&gt;TODAY()),0,IF(OR(INDEX($B650:$D650,AU$5)="F",AND(AU$6&gt;0,$A650&lt;AU$6),AND(AU$7&gt;0,$A650&gt;AU$7)),0,MAX(0,ROUND((INDEX($E650:$G650,AU$5)-SUMIFS(TF_Timer,TF_Tekniker,AU$4,TF_Dato,$A650))*2,0)/2)))</f>
        <v/>
      </c>
      <c r="AV650">
        <f>IF(OR(AV$4="",$A650&gt;TODAY()),0,IF(OR(INDEX($B650:$D650,AV$5)="F",AND(AV$6&gt;0,$A650&lt;AV$6),AND(AV$7&gt;0,$A650&gt;AV$7)),0,MAX(0,ROUND((INDEX($E650:$G650,AV$5)-SUMIFS(TF_Timer,TF_Tekniker,AV$4,TF_Dato,$A650))*2,0)/2)))</f>
        <v/>
      </c>
      <c r="AW650">
        <f>IF(OR(AW$4="",$A650&gt;TODAY()),0,IF(OR(INDEX($B650:$D650,AW$5)="F",AND(AW$6&gt;0,$A650&lt;AW$6),AND(AW$7&gt;0,$A650&gt;AW$7)),0,MAX(0,ROUND((INDEX($E650:$G650,AW$5)-SUMIFS(TF_Timer,TF_Tekniker,AW$4,TF_Dato,$A650))*2,0)/2)))</f>
        <v/>
      </c>
      <c r="AX650">
        <f>IF(OR(AX$4="",$A650&gt;TODAY()),0,IF(OR(INDEX($B650:$D650,AX$5)="F",AND(AX$6&gt;0,$A650&lt;AX$6),AND(AX$7&gt;0,$A650&gt;AX$7)),0,MAX(0,ROUND((INDEX($E650:$G650,AX$5)-SUMIFS(TF_Timer,TF_Tekniker,AX$4,TF_Dato,$A650))*2,0)/2)))</f>
        <v/>
      </c>
      <c r="AY650">
        <f>IF(OR(AY$4="",$A650&gt;TODAY()),0,IF(OR(INDEX($B650:$D650,AY$5)="F",AND(AY$6&gt;0,$A650&lt;AY$6),AND(AY$7&gt;0,$A650&gt;AY$7)),0,MAX(0,ROUND((INDEX($E650:$G650,AY$5)-SUMIFS(TF_Timer,TF_Tekniker,AY$4,TF_Dato,$A650))*2,0)/2)))</f>
        <v/>
      </c>
      <c r="AZ650">
        <f>IF(OR(AZ$4="",$A650&gt;TODAY()),0,IF(OR(INDEX($B650:$D650,AZ$5)="F",AND(AZ$6&gt;0,$A650&lt;AZ$6),AND(AZ$7&gt;0,$A650&gt;AZ$7)),0,MAX(0,ROUND((INDEX($E650:$G650,AZ$5)-SUMIFS(TF_Timer,TF_Tekniker,AZ$4,TF_Dato,$A650))*2,0)/2)))</f>
        <v/>
      </c>
      <c r="BA650">
        <f>IF(OR(BA$4="",$A650&gt;TODAY()),0,IF(OR(INDEX($B650:$D650,BA$5)="F",AND(BA$6&gt;0,$A650&lt;BA$6),AND(BA$7&gt;0,$A650&gt;BA$7)),0,MAX(0,ROUND((INDEX($E650:$G650,BA$5)-SUMIFS(TF_Timer,TF_Tekniker,BA$4,TF_Dato,$A650))*2,0)/2)))</f>
        <v/>
      </c>
      <c r="BB650">
        <f>IF(OR(BB$4="",$A650&gt;TODAY()),0,IF(OR(INDEX($B650:$D650,BB$5)="F",AND(BB$6&gt;0,$A650&lt;BB$6),AND(BB$7&gt;0,$A650&gt;BB$7)),0,MAX(0,ROUND((INDEX($E650:$G650,BB$5)-SUMIFS(TF_Timer,TF_Tekniker,BB$4,TF_Dato,$A650))*2,0)/2)))</f>
        <v/>
      </c>
      <c r="BC650">
        <f>IF(OR(BC$4="",$A650&gt;TODAY()),0,IF(OR(INDEX($B650:$D650,BC$5)="F",AND(BC$6&gt;0,$A650&lt;BC$6),AND(BC$7&gt;0,$A650&gt;BC$7)),0,MAX(0,ROUND((INDEX($E650:$G650,BC$5)-SUMIFS(TF_Timer,TF_Tekniker,BC$4,TF_Dato,$A650))*2,0)/2)))</f>
        <v/>
      </c>
      <c r="BD650">
        <f>IF(OR(BD$4="",$A650&gt;TODAY()),0,IF(OR(INDEX($B650:$D650,BD$5)="F",AND(BD$6&gt;0,$A650&lt;BD$6),AND(BD$7&gt;0,$A650&gt;BD$7)),0,MAX(0,ROUND((INDEX($E650:$G650,BD$5)-SUMIFS(TF_Timer,TF_Tekniker,BD$4,TF_Dato,$A650))*2,0)/2)))</f>
        <v/>
      </c>
      <c r="BE650">
        <f>IF(OR(BE$4="",$A650&gt;TODAY()),0,IF(OR(INDEX($B650:$D650,BE$5)="F",AND(BE$6&gt;0,$A650&lt;BE$6),AND(BE$7&gt;0,$A650&gt;BE$7)),0,MAX(0,ROUND((INDEX($E650:$G650,BE$5)-SUMIFS(TF_Timer,TF_Tekniker,BE$4,TF_Dato,$A650))*2,0)/2)))</f>
        <v/>
      </c>
      <c r="BF650">
        <f>IF(OR(BF$4="",$A650&gt;TODAY()),0,IF(OR(INDEX($B650:$D650,BF$5)="F",AND(BF$6&gt;0,$A650&lt;BF$6),AND(BF$7&gt;0,$A650&gt;BF$7)),0,MAX(0,ROUND((INDEX($E650:$G650,BF$5)-SUMIFS(TF_Timer,TF_Tekniker,BF$4,TF_Dato,$A650))*2,0)/2)))</f>
        <v/>
      </c>
      <c r="BG650">
        <f>IF(OR(BG$4="",$A650&gt;TODAY()),0,IF(OR(INDEX($B650:$D650,BG$5)="F",AND(BG$6&gt;0,$A650&lt;BG$6),AND(BG$7&gt;0,$A650&gt;BG$7)),0,MAX(0,ROUND((INDEX($E650:$G650,BG$5)-SUMIFS(TF_Timer,TF_Tekniker,BG$4,TF_Dato,$A650))*2,0)/2)))</f>
        <v/>
      </c>
      <c r="BH650">
        <f>IF(OR(BH$4="",$A650&gt;TODAY()),0,IF(OR(INDEX($B650:$D650,BH$5)="F",AND(BH$6&gt;0,$A650&lt;BH$6),AND(BH$7&gt;0,$A650&gt;BH$7)),0,MAX(0,ROUND((INDEX($E650:$G650,BH$5)-SUMIFS(TF_Timer,TF_Tekniker,BH$4,TF_Dato,$A650))*2,0)/2)))</f>
        <v/>
      </c>
      <c r="BI650">
        <f>IF(OR(BI$4="",$A650&gt;TODAY()),0,IF(OR(INDEX($B650:$D650,BI$5)="F",AND(BI$6&gt;0,$A650&lt;BI$6),AND(BI$7&gt;0,$A650&gt;BI$7)),0,MAX(0,ROUND((INDEX($E650:$G650,BI$5)-SUMIFS(TF_Timer,TF_Tekniker,BI$4,TF_Dato,$A650))*2,0)/2)))</f>
        <v/>
      </c>
    </row>
    <row r="651">
      <c r="A651" s="64">
        <f>A650+1</f>
        <v/>
      </c>
      <c r="B651">
        <f>IF(MOD($A651-INDEX(SkiftStart,1),Syklus)&lt;DagK,"K",IF(MOD($A651-INDEX(SkiftStart,1),Syklus)&lt;DagK+DagH,"H",IF(MOD($A651-INDEX(SkiftStart,1),Syklus)&lt;DagK+DagH+DagD,"D","F")))</f>
        <v/>
      </c>
      <c r="C651">
        <f>IF(MOD($A651-INDEX(SkiftStart,2),Syklus)&lt;DagK,"K",IF(MOD($A651-INDEX(SkiftStart,2),Syklus)&lt;DagK+DagH,"H",IF(MOD($A651-INDEX(SkiftStart,2),Syklus)&lt;DagK+DagH+DagD,"D","F")))</f>
        <v/>
      </c>
      <c r="D651">
        <f>IF(MOD($A651-INDEX(SkiftStart,3),Syklus)&lt;DagK,"K",IF(MOD($A651-INDEX(SkiftStart,3),Syklus)&lt;DagK+DagH,"H",IF(MOD($A651-INDEX(SkiftStart,3),Syklus)&lt;DagK+DagH+DagD,"D","F")))</f>
        <v/>
      </c>
      <c r="E651">
        <f>IF(B651="F",0,IF(WEEKDAY($A651,2)=5,INDEX(TimerFr,MATCH(B651,FaseKode,0)),INDEX(TimerMT,MATCH(B651,FaseKode,0))))</f>
        <v/>
      </c>
      <c r="F651">
        <f>IF(C651="F",0,IF(WEEKDAY($A651,2)=5,INDEX(TimerFr,MATCH(C651,FaseKode,0)),INDEX(TimerMT,MATCH(C651,FaseKode,0))))</f>
        <v/>
      </c>
      <c r="G651">
        <f>IF(D651="F",0,IF(WEEKDAY($A651,2)=5,INDEX(TimerFr,MATCH(D651,FaseKode,0)),INDEX(TimerMT,MATCH(D651,FaseKode,0))))</f>
        <v/>
      </c>
      <c r="H651">
        <f>IF(OR(H$4="",$A651&gt;TODAY()),0,IF(OR(INDEX($B651:$D651,H$5)="F",AND(H$6&gt;0,$A651&lt;H$6),AND(H$7&gt;0,$A651&gt;H$7)),0,MAX(0,ROUND((INDEX($E651:$G651,H$5)-SUMIFS(TF_Timer,TF_Tekniker,H$4,TF_Dato,$A651))*2,0)/2)))</f>
        <v/>
      </c>
      <c r="I651">
        <f>IF(OR(I$4="",$A651&gt;TODAY()),0,IF(OR(INDEX($B651:$D651,I$5)="F",AND(I$6&gt;0,$A651&lt;I$6),AND(I$7&gt;0,$A651&gt;I$7)),0,MAX(0,ROUND((INDEX($E651:$G651,I$5)-SUMIFS(TF_Timer,TF_Tekniker,I$4,TF_Dato,$A651))*2,0)/2)))</f>
        <v/>
      </c>
      <c r="J651">
        <f>IF(OR(J$4="",$A651&gt;TODAY()),0,IF(OR(INDEX($B651:$D651,J$5)="F",AND(J$6&gt;0,$A651&lt;J$6),AND(J$7&gt;0,$A651&gt;J$7)),0,MAX(0,ROUND((INDEX($E651:$G651,J$5)-SUMIFS(TF_Timer,TF_Tekniker,J$4,TF_Dato,$A651))*2,0)/2)))</f>
        <v/>
      </c>
      <c r="K651">
        <f>IF(OR(K$4="",$A651&gt;TODAY()),0,IF(OR(INDEX($B651:$D651,K$5)="F",AND(K$6&gt;0,$A651&lt;K$6),AND(K$7&gt;0,$A651&gt;K$7)),0,MAX(0,ROUND((INDEX($E651:$G651,K$5)-SUMIFS(TF_Timer,TF_Tekniker,K$4,TF_Dato,$A651))*2,0)/2)))</f>
        <v/>
      </c>
      <c r="L651">
        <f>IF(OR(L$4="",$A651&gt;TODAY()),0,IF(OR(INDEX($B651:$D651,L$5)="F",AND(L$6&gt;0,$A651&lt;L$6),AND(L$7&gt;0,$A651&gt;L$7)),0,MAX(0,ROUND((INDEX($E651:$G651,L$5)-SUMIFS(TF_Timer,TF_Tekniker,L$4,TF_Dato,$A651))*2,0)/2)))</f>
        <v/>
      </c>
      <c r="M651">
        <f>IF(OR(M$4="",$A651&gt;TODAY()),0,IF(OR(INDEX($B651:$D651,M$5)="F",AND(M$6&gt;0,$A651&lt;M$6),AND(M$7&gt;0,$A651&gt;M$7)),0,MAX(0,ROUND((INDEX($E651:$G651,M$5)-SUMIFS(TF_Timer,TF_Tekniker,M$4,TF_Dato,$A651))*2,0)/2)))</f>
        <v/>
      </c>
      <c r="N651">
        <f>IF(OR(N$4="",$A651&gt;TODAY()),0,IF(OR(INDEX($B651:$D651,N$5)="F",AND(N$6&gt;0,$A651&lt;N$6),AND(N$7&gt;0,$A651&gt;N$7)),0,MAX(0,ROUND((INDEX($E651:$G651,N$5)-SUMIFS(TF_Timer,TF_Tekniker,N$4,TF_Dato,$A651))*2,0)/2)))</f>
        <v/>
      </c>
      <c r="O651">
        <f>IF(OR(O$4="",$A651&gt;TODAY()),0,IF(OR(INDEX($B651:$D651,O$5)="F",AND(O$6&gt;0,$A651&lt;O$6),AND(O$7&gt;0,$A651&gt;O$7)),0,MAX(0,ROUND((INDEX($E651:$G651,O$5)-SUMIFS(TF_Timer,TF_Tekniker,O$4,TF_Dato,$A651))*2,0)/2)))</f>
        <v/>
      </c>
      <c r="P651">
        <f>IF(OR(P$4="",$A651&gt;TODAY()),0,IF(OR(INDEX($B651:$D651,P$5)="F",AND(P$6&gt;0,$A651&lt;P$6),AND(P$7&gt;0,$A651&gt;P$7)),0,MAX(0,ROUND((INDEX($E651:$G651,P$5)-SUMIFS(TF_Timer,TF_Tekniker,P$4,TF_Dato,$A651))*2,0)/2)))</f>
        <v/>
      </c>
      <c r="Q651">
        <f>IF(OR(Q$4="",$A651&gt;TODAY()),0,IF(OR(INDEX($B651:$D651,Q$5)="F",AND(Q$6&gt;0,$A651&lt;Q$6),AND(Q$7&gt;0,$A651&gt;Q$7)),0,MAX(0,ROUND((INDEX($E651:$G651,Q$5)-SUMIFS(TF_Timer,TF_Tekniker,Q$4,TF_Dato,$A651))*2,0)/2)))</f>
        <v/>
      </c>
      <c r="R651">
        <f>IF(OR(R$4="",$A651&gt;TODAY()),0,IF(OR(INDEX($B651:$D651,R$5)="F",AND(R$6&gt;0,$A651&lt;R$6),AND(R$7&gt;0,$A651&gt;R$7)),0,MAX(0,ROUND((INDEX($E651:$G651,R$5)-SUMIFS(TF_Timer,TF_Tekniker,R$4,TF_Dato,$A651))*2,0)/2)))</f>
        <v/>
      </c>
      <c r="S651">
        <f>IF(OR(S$4="",$A651&gt;TODAY()),0,IF(OR(INDEX($B651:$D651,S$5)="F",AND(S$6&gt;0,$A651&lt;S$6),AND(S$7&gt;0,$A651&gt;S$7)),0,MAX(0,ROUND((INDEX($E651:$G651,S$5)-SUMIFS(TF_Timer,TF_Tekniker,S$4,TF_Dato,$A651))*2,0)/2)))</f>
        <v/>
      </c>
      <c r="T651">
        <f>IF(OR(T$4="",$A651&gt;TODAY()),0,IF(OR(INDEX($B651:$D651,T$5)="F",AND(T$6&gt;0,$A651&lt;T$6),AND(T$7&gt;0,$A651&gt;T$7)),0,MAX(0,ROUND((INDEX($E651:$G651,T$5)-SUMIFS(TF_Timer,TF_Tekniker,T$4,TF_Dato,$A651))*2,0)/2)))</f>
        <v/>
      </c>
      <c r="U651">
        <f>IF(OR(U$4="",$A651&gt;TODAY()),0,IF(OR(INDEX($B651:$D651,U$5)="F",AND(U$6&gt;0,$A651&lt;U$6),AND(U$7&gt;0,$A651&gt;U$7)),0,MAX(0,ROUND((INDEX($E651:$G651,U$5)-SUMIFS(TF_Timer,TF_Tekniker,U$4,TF_Dato,$A651))*2,0)/2)))</f>
        <v/>
      </c>
      <c r="V651">
        <f>IF(OR(V$4="",$A651&gt;TODAY()),0,IF(OR(INDEX($B651:$D651,V$5)="F",AND(V$6&gt;0,$A651&lt;V$6),AND(V$7&gt;0,$A651&gt;V$7)),0,MAX(0,ROUND((INDEX($E651:$G651,V$5)-SUMIFS(TF_Timer,TF_Tekniker,V$4,TF_Dato,$A651))*2,0)/2)))</f>
        <v/>
      </c>
      <c r="W651">
        <f>IF(OR(W$4="",$A651&gt;TODAY()),0,IF(OR(INDEX($B651:$D651,W$5)="F",AND(W$6&gt;0,$A651&lt;W$6),AND(W$7&gt;0,$A651&gt;W$7)),0,MAX(0,ROUND((INDEX($E651:$G651,W$5)-SUMIFS(TF_Timer,TF_Tekniker,W$4,TF_Dato,$A651))*2,0)/2)))</f>
        <v/>
      </c>
      <c r="X651">
        <f>IF(OR(X$4="",$A651&gt;TODAY()),0,IF(OR(INDEX($B651:$D651,X$5)="F",AND(X$6&gt;0,$A651&lt;X$6),AND(X$7&gt;0,$A651&gt;X$7)),0,MAX(0,ROUND((INDEX($E651:$G651,X$5)-SUMIFS(TF_Timer,TF_Tekniker,X$4,TF_Dato,$A651))*2,0)/2)))</f>
        <v/>
      </c>
      <c r="Y651">
        <f>IF(OR(Y$4="",$A651&gt;TODAY()),0,IF(OR(INDEX($B651:$D651,Y$5)="F",AND(Y$6&gt;0,$A651&lt;Y$6),AND(Y$7&gt;0,$A651&gt;Y$7)),0,MAX(0,ROUND((INDEX($E651:$G651,Y$5)-SUMIFS(TF_Timer,TF_Tekniker,Y$4,TF_Dato,$A651))*2,0)/2)))</f>
        <v/>
      </c>
      <c r="Z651">
        <f>IF(OR(Z$4="",$A651&gt;TODAY()),0,IF(OR(INDEX($B651:$D651,Z$5)="F",AND(Z$6&gt;0,$A651&lt;Z$6),AND(Z$7&gt;0,$A651&gt;Z$7)),0,MAX(0,ROUND((INDEX($E651:$G651,Z$5)-SUMIFS(TF_Timer,TF_Tekniker,Z$4,TF_Dato,$A651))*2,0)/2)))</f>
        <v/>
      </c>
      <c r="AA651">
        <f>IF(OR(AA$4="",$A651&gt;TODAY()),0,IF(OR(INDEX($B651:$D651,AA$5)="F",AND(AA$6&gt;0,$A651&lt;AA$6),AND(AA$7&gt;0,$A651&gt;AA$7)),0,MAX(0,ROUND((INDEX($E651:$G651,AA$5)-SUMIFS(TF_Timer,TF_Tekniker,AA$4,TF_Dato,$A651))*2,0)/2)))</f>
        <v/>
      </c>
      <c r="AB651">
        <f>IF(OR(AB$4="",$A651&gt;TODAY()),0,IF(OR(INDEX($B651:$D651,AB$5)="F",AND(AB$6&gt;0,$A651&lt;AB$6),AND(AB$7&gt;0,$A651&gt;AB$7)),0,MAX(0,ROUND((INDEX($E651:$G651,AB$5)-SUMIFS(TF_Timer,TF_Tekniker,AB$4,TF_Dato,$A651))*2,0)/2)))</f>
        <v/>
      </c>
      <c r="AC651">
        <f>IF(OR(AC$4="",$A651&gt;TODAY()),0,IF(OR(INDEX($B651:$D651,AC$5)="F",AND(AC$6&gt;0,$A651&lt;AC$6),AND(AC$7&gt;0,$A651&gt;AC$7)),0,MAX(0,ROUND((INDEX($E651:$G651,AC$5)-SUMIFS(TF_Timer,TF_Tekniker,AC$4,TF_Dato,$A651))*2,0)/2)))</f>
        <v/>
      </c>
      <c r="AD651">
        <f>IF(OR(AD$4="",$A651&gt;TODAY()),0,IF(OR(INDEX($B651:$D651,AD$5)="F",AND(AD$6&gt;0,$A651&lt;AD$6),AND(AD$7&gt;0,$A651&gt;AD$7)),0,MAX(0,ROUND((INDEX($E651:$G651,AD$5)-SUMIFS(TF_Timer,TF_Tekniker,AD$4,TF_Dato,$A651))*2,0)/2)))</f>
        <v/>
      </c>
      <c r="AE651">
        <f>IF(OR(AE$4="",$A651&gt;TODAY()),0,IF(OR(INDEX($B651:$D651,AE$5)="F",AND(AE$6&gt;0,$A651&lt;AE$6),AND(AE$7&gt;0,$A651&gt;AE$7)),0,MAX(0,ROUND((INDEX($E651:$G651,AE$5)-SUMIFS(TF_Timer,TF_Tekniker,AE$4,TF_Dato,$A651))*2,0)/2)))</f>
        <v/>
      </c>
      <c r="AF651">
        <f>IF(OR(AF$4="",$A651&gt;TODAY()),0,IF(OR(INDEX($B651:$D651,AF$5)="F",AND(AF$6&gt;0,$A651&lt;AF$6),AND(AF$7&gt;0,$A651&gt;AF$7)),0,MAX(0,ROUND((INDEX($E651:$G651,AF$5)-SUMIFS(TF_Timer,TF_Tekniker,AF$4,TF_Dato,$A651))*2,0)/2)))</f>
        <v/>
      </c>
      <c r="AG651">
        <f>IF(OR(AG$4="",$A651&gt;TODAY()),0,IF(OR(INDEX($B651:$D651,AG$5)="F",AND(AG$6&gt;0,$A651&lt;AG$6),AND(AG$7&gt;0,$A651&gt;AG$7)),0,MAX(0,ROUND((INDEX($E651:$G651,AG$5)-SUMIFS(TF_Timer,TF_Tekniker,AG$4,TF_Dato,$A651))*2,0)/2)))</f>
        <v/>
      </c>
      <c r="AH651">
        <f>IF(OR(AH$4="",$A651&gt;TODAY()),0,IF(OR(INDEX($B651:$D651,AH$5)="F",AND(AH$6&gt;0,$A651&lt;AH$6),AND(AH$7&gt;0,$A651&gt;AH$7)),0,MAX(0,ROUND((INDEX($E651:$G651,AH$5)-SUMIFS(TF_Timer,TF_Tekniker,AH$4,TF_Dato,$A651))*2,0)/2)))</f>
        <v/>
      </c>
      <c r="AI651">
        <f>IF(OR(AI$4="",$A651&gt;TODAY()),0,IF(OR(INDEX($B651:$D651,AI$5)="F",AND(AI$6&gt;0,$A651&lt;AI$6),AND(AI$7&gt;0,$A651&gt;AI$7)),0,MAX(0,ROUND((INDEX($E651:$G651,AI$5)-SUMIFS(TF_Timer,TF_Tekniker,AI$4,TF_Dato,$A651))*2,0)/2)))</f>
        <v/>
      </c>
      <c r="AJ651">
        <f>IF(OR(AJ$4="",$A651&gt;TODAY()),0,IF(OR(INDEX($B651:$D651,AJ$5)="F",AND(AJ$6&gt;0,$A651&lt;AJ$6),AND(AJ$7&gt;0,$A651&gt;AJ$7)),0,MAX(0,ROUND((INDEX($E651:$G651,AJ$5)-SUMIFS(TF_Timer,TF_Tekniker,AJ$4,TF_Dato,$A651))*2,0)/2)))</f>
        <v/>
      </c>
      <c r="AK651">
        <f>IF(OR(AK$4="",$A651&gt;TODAY()),0,IF(OR(INDEX($B651:$D651,AK$5)="F",AND(AK$6&gt;0,$A651&lt;AK$6),AND(AK$7&gt;0,$A651&gt;AK$7)),0,MAX(0,ROUND((INDEX($E651:$G651,AK$5)-SUMIFS(TF_Timer,TF_Tekniker,AK$4,TF_Dato,$A651))*2,0)/2)))</f>
        <v/>
      </c>
      <c r="AL651">
        <f>IF(OR(AL$4="",$A651&gt;TODAY()),0,IF(OR(INDEX($B651:$D651,AL$5)="F",AND(AL$6&gt;0,$A651&lt;AL$6),AND(AL$7&gt;0,$A651&gt;AL$7)),0,MAX(0,ROUND((INDEX($E651:$G651,AL$5)-SUMIFS(TF_Timer,TF_Tekniker,AL$4,TF_Dato,$A651))*2,0)/2)))</f>
        <v/>
      </c>
      <c r="AM651">
        <f>IF(OR(AM$4="",$A651&gt;TODAY()),0,IF(OR(INDEX($B651:$D651,AM$5)="F",AND(AM$6&gt;0,$A651&lt;AM$6),AND(AM$7&gt;0,$A651&gt;AM$7)),0,MAX(0,ROUND((INDEX($E651:$G651,AM$5)-SUMIFS(TF_Timer,TF_Tekniker,AM$4,TF_Dato,$A651))*2,0)/2)))</f>
        <v/>
      </c>
      <c r="AN651">
        <f>IF(OR(AN$4="",$A651&gt;TODAY()),0,IF(OR(INDEX($B651:$D651,AN$5)="F",AND(AN$6&gt;0,$A651&lt;AN$6),AND(AN$7&gt;0,$A651&gt;AN$7)),0,MAX(0,ROUND((INDEX($E651:$G651,AN$5)-SUMIFS(TF_Timer,TF_Tekniker,AN$4,TF_Dato,$A651))*2,0)/2)))</f>
        <v/>
      </c>
      <c r="AO651">
        <f>IF(OR(AO$4="",$A651&gt;TODAY()),0,IF(OR(INDEX($B651:$D651,AO$5)="F",AND(AO$6&gt;0,$A651&lt;AO$6),AND(AO$7&gt;0,$A651&gt;AO$7)),0,MAX(0,ROUND((INDEX($E651:$G651,AO$5)-SUMIFS(TF_Timer,TF_Tekniker,AO$4,TF_Dato,$A651))*2,0)/2)))</f>
        <v/>
      </c>
      <c r="AP651">
        <f>IF(OR(AP$4="",$A651&gt;TODAY()),0,IF(OR(INDEX($B651:$D651,AP$5)="F",AND(AP$6&gt;0,$A651&lt;AP$6),AND(AP$7&gt;0,$A651&gt;AP$7)),0,MAX(0,ROUND((INDEX($E651:$G651,AP$5)-SUMIFS(TF_Timer,TF_Tekniker,AP$4,TF_Dato,$A651))*2,0)/2)))</f>
        <v/>
      </c>
      <c r="AQ651">
        <f>IF(OR(AQ$4="",$A651&gt;TODAY()),0,IF(OR(INDEX($B651:$D651,AQ$5)="F",AND(AQ$6&gt;0,$A651&lt;AQ$6),AND(AQ$7&gt;0,$A651&gt;AQ$7)),0,MAX(0,ROUND((INDEX($E651:$G651,AQ$5)-SUMIFS(TF_Timer,TF_Tekniker,AQ$4,TF_Dato,$A651))*2,0)/2)))</f>
        <v/>
      </c>
      <c r="AR651">
        <f>IF(OR(AR$4="",$A651&gt;TODAY()),0,IF(OR(INDEX($B651:$D651,AR$5)="F",AND(AR$6&gt;0,$A651&lt;AR$6),AND(AR$7&gt;0,$A651&gt;AR$7)),0,MAX(0,ROUND((INDEX($E651:$G651,AR$5)-SUMIFS(TF_Timer,TF_Tekniker,AR$4,TF_Dato,$A651))*2,0)/2)))</f>
        <v/>
      </c>
      <c r="AS651">
        <f>IF(OR(AS$4="",$A651&gt;TODAY()),0,IF(OR(INDEX($B651:$D651,AS$5)="F",AND(AS$6&gt;0,$A651&lt;AS$6),AND(AS$7&gt;0,$A651&gt;AS$7)),0,MAX(0,ROUND((INDEX($E651:$G651,AS$5)-SUMIFS(TF_Timer,TF_Tekniker,AS$4,TF_Dato,$A651))*2,0)/2)))</f>
        <v/>
      </c>
      <c r="AT651">
        <f>IF(OR(AT$4="",$A651&gt;TODAY()),0,IF(OR(INDEX($B651:$D651,AT$5)="F",AND(AT$6&gt;0,$A651&lt;AT$6),AND(AT$7&gt;0,$A651&gt;AT$7)),0,MAX(0,ROUND((INDEX($E651:$G651,AT$5)-SUMIFS(TF_Timer,TF_Tekniker,AT$4,TF_Dato,$A651))*2,0)/2)))</f>
        <v/>
      </c>
      <c r="AU651">
        <f>IF(OR(AU$4="",$A651&gt;TODAY()),0,IF(OR(INDEX($B651:$D651,AU$5)="F",AND(AU$6&gt;0,$A651&lt;AU$6),AND(AU$7&gt;0,$A651&gt;AU$7)),0,MAX(0,ROUND((INDEX($E651:$G651,AU$5)-SUMIFS(TF_Timer,TF_Tekniker,AU$4,TF_Dato,$A651))*2,0)/2)))</f>
        <v/>
      </c>
      <c r="AV651">
        <f>IF(OR(AV$4="",$A651&gt;TODAY()),0,IF(OR(INDEX($B651:$D651,AV$5)="F",AND(AV$6&gt;0,$A651&lt;AV$6),AND(AV$7&gt;0,$A651&gt;AV$7)),0,MAX(0,ROUND((INDEX($E651:$G651,AV$5)-SUMIFS(TF_Timer,TF_Tekniker,AV$4,TF_Dato,$A651))*2,0)/2)))</f>
        <v/>
      </c>
      <c r="AW651">
        <f>IF(OR(AW$4="",$A651&gt;TODAY()),0,IF(OR(INDEX($B651:$D651,AW$5)="F",AND(AW$6&gt;0,$A651&lt;AW$6),AND(AW$7&gt;0,$A651&gt;AW$7)),0,MAX(0,ROUND((INDEX($E651:$G651,AW$5)-SUMIFS(TF_Timer,TF_Tekniker,AW$4,TF_Dato,$A651))*2,0)/2)))</f>
        <v/>
      </c>
      <c r="AX651">
        <f>IF(OR(AX$4="",$A651&gt;TODAY()),0,IF(OR(INDEX($B651:$D651,AX$5)="F",AND(AX$6&gt;0,$A651&lt;AX$6),AND(AX$7&gt;0,$A651&gt;AX$7)),0,MAX(0,ROUND((INDEX($E651:$G651,AX$5)-SUMIFS(TF_Timer,TF_Tekniker,AX$4,TF_Dato,$A651))*2,0)/2)))</f>
        <v/>
      </c>
      <c r="AY651">
        <f>IF(OR(AY$4="",$A651&gt;TODAY()),0,IF(OR(INDEX($B651:$D651,AY$5)="F",AND(AY$6&gt;0,$A651&lt;AY$6),AND(AY$7&gt;0,$A651&gt;AY$7)),0,MAX(0,ROUND((INDEX($E651:$G651,AY$5)-SUMIFS(TF_Timer,TF_Tekniker,AY$4,TF_Dato,$A651))*2,0)/2)))</f>
        <v/>
      </c>
      <c r="AZ651">
        <f>IF(OR(AZ$4="",$A651&gt;TODAY()),0,IF(OR(INDEX($B651:$D651,AZ$5)="F",AND(AZ$6&gt;0,$A651&lt;AZ$6),AND(AZ$7&gt;0,$A651&gt;AZ$7)),0,MAX(0,ROUND((INDEX($E651:$G651,AZ$5)-SUMIFS(TF_Timer,TF_Tekniker,AZ$4,TF_Dato,$A651))*2,0)/2)))</f>
        <v/>
      </c>
      <c r="BA651">
        <f>IF(OR(BA$4="",$A651&gt;TODAY()),0,IF(OR(INDEX($B651:$D651,BA$5)="F",AND(BA$6&gt;0,$A651&lt;BA$6),AND(BA$7&gt;0,$A651&gt;BA$7)),0,MAX(0,ROUND((INDEX($E651:$G651,BA$5)-SUMIFS(TF_Timer,TF_Tekniker,BA$4,TF_Dato,$A651))*2,0)/2)))</f>
        <v/>
      </c>
      <c r="BB651">
        <f>IF(OR(BB$4="",$A651&gt;TODAY()),0,IF(OR(INDEX($B651:$D651,BB$5)="F",AND(BB$6&gt;0,$A651&lt;BB$6),AND(BB$7&gt;0,$A651&gt;BB$7)),0,MAX(0,ROUND((INDEX($E651:$G651,BB$5)-SUMIFS(TF_Timer,TF_Tekniker,BB$4,TF_Dato,$A651))*2,0)/2)))</f>
        <v/>
      </c>
      <c r="BC651">
        <f>IF(OR(BC$4="",$A651&gt;TODAY()),0,IF(OR(INDEX($B651:$D651,BC$5)="F",AND(BC$6&gt;0,$A651&lt;BC$6),AND(BC$7&gt;0,$A651&gt;BC$7)),0,MAX(0,ROUND((INDEX($E651:$G651,BC$5)-SUMIFS(TF_Timer,TF_Tekniker,BC$4,TF_Dato,$A651))*2,0)/2)))</f>
        <v/>
      </c>
      <c r="BD651">
        <f>IF(OR(BD$4="",$A651&gt;TODAY()),0,IF(OR(INDEX($B651:$D651,BD$5)="F",AND(BD$6&gt;0,$A651&lt;BD$6),AND(BD$7&gt;0,$A651&gt;BD$7)),0,MAX(0,ROUND((INDEX($E651:$G651,BD$5)-SUMIFS(TF_Timer,TF_Tekniker,BD$4,TF_Dato,$A651))*2,0)/2)))</f>
        <v/>
      </c>
      <c r="BE651">
        <f>IF(OR(BE$4="",$A651&gt;TODAY()),0,IF(OR(INDEX($B651:$D651,BE$5)="F",AND(BE$6&gt;0,$A651&lt;BE$6),AND(BE$7&gt;0,$A651&gt;BE$7)),0,MAX(0,ROUND((INDEX($E651:$G651,BE$5)-SUMIFS(TF_Timer,TF_Tekniker,BE$4,TF_Dato,$A651))*2,0)/2)))</f>
        <v/>
      </c>
      <c r="BF651">
        <f>IF(OR(BF$4="",$A651&gt;TODAY()),0,IF(OR(INDEX($B651:$D651,BF$5)="F",AND(BF$6&gt;0,$A651&lt;BF$6),AND(BF$7&gt;0,$A651&gt;BF$7)),0,MAX(0,ROUND((INDEX($E651:$G651,BF$5)-SUMIFS(TF_Timer,TF_Tekniker,BF$4,TF_Dato,$A651))*2,0)/2)))</f>
        <v/>
      </c>
      <c r="BG651">
        <f>IF(OR(BG$4="",$A651&gt;TODAY()),0,IF(OR(INDEX($B651:$D651,BG$5)="F",AND(BG$6&gt;0,$A651&lt;BG$6),AND(BG$7&gt;0,$A651&gt;BG$7)),0,MAX(0,ROUND((INDEX($E651:$G651,BG$5)-SUMIFS(TF_Timer,TF_Tekniker,BG$4,TF_Dato,$A651))*2,0)/2)))</f>
        <v/>
      </c>
      <c r="BH651">
        <f>IF(OR(BH$4="",$A651&gt;TODAY()),0,IF(OR(INDEX($B651:$D651,BH$5)="F",AND(BH$6&gt;0,$A651&lt;BH$6),AND(BH$7&gt;0,$A651&gt;BH$7)),0,MAX(0,ROUND((INDEX($E651:$G651,BH$5)-SUMIFS(TF_Timer,TF_Tekniker,BH$4,TF_Dato,$A651))*2,0)/2)))</f>
        <v/>
      </c>
      <c r="BI651">
        <f>IF(OR(BI$4="",$A651&gt;TODAY()),0,IF(OR(INDEX($B651:$D651,BI$5)="F",AND(BI$6&gt;0,$A651&lt;BI$6),AND(BI$7&gt;0,$A651&gt;BI$7)),0,MAX(0,ROUND((INDEX($E651:$G651,BI$5)-SUMIFS(TF_Timer,TF_Tekniker,BI$4,TF_Dato,$A651))*2,0)/2)))</f>
        <v/>
      </c>
    </row>
    <row r="652">
      <c r="A652" s="64">
        <f>A651+1</f>
        <v/>
      </c>
      <c r="B652">
        <f>IF(MOD($A652-INDEX(SkiftStart,1),Syklus)&lt;DagK,"K",IF(MOD($A652-INDEX(SkiftStart,1),Syklus)&lt;DagK+DagH,"H",IF(MOD($A652-INDEX(SkiftStart,1),Syklus)&lt;DagK+DagH+DagD,"D","F")))</f>
        <v/>
      </c>
      <c r="C652">
        <f>IF(MOD($A652-INDEX(SkiftStart,2),Syklus)&lt;DagK,"K",IF(MOD($A652-INDEX(SkiftStart,2),Syklus)&lt;DagK+DagH,"H",IF(MOD($A652-INDEX(SkiftStart,2),Syklus)&lt;DagK+DagH+DagD,"D","F")))</f>
        <v/>
      </c>
      <c r="D652">
        <f>IF(MOD($A652-INDEX(SkiftStart,3),Syklus)&lt;DagK,"K",IF(MOD($A652-INDEX(SkiftStart,3),Syklus)&lt;DagK+DagH,"H",IF(MOD($A652-INDEX(SkiftStart,3),Syklus)&lt;DagK+DagH+DagD,"D","F")))</f>
        <v/>
      </c>
      <c r="E652">
        <f>IF(B652="F",0,IF(WEEKDAY($A652,2)=5,INDEX(TimerFr,MATCH(B652,FaseKode,0)),INDEX(TimerMT,MATCH(B652,FaseKode,0))))</f>
        <v/>
      </c>
      <c r="F652">
        <f>IF(C652="F",0,IF(WEEKDAY($A652,2)=5,INDEX(TimerFr,MATCH(C652,FaseKode,0)),INDEX(TimerMT,MATCH(C652,FaseKode,0))))</f>
        <v/>
      </c>
      <c r="G652">
        <f>IF(D652="F",0,IF(WEEKDAY($A652,2)=5,INDEX(TimerFr,MATCH(D652,FaseKode,0)),INDEX(TimerMT,MATCH(D652,FaseKode,0))))</f>
        <v/>
      </c>
      <c r="H652">
        <f>IF(OR(H$4="",$A652&gt;TODAY()),0,IF(OR(INDEX($B652:$D652,H$5)="F",AND(H$6&gt;0,$A652&lt;H$6),AND(H$7&gt;0,$A652&gt;H$7)),0,MAX(0,ROUND((INDEX($E652:$G652,H$5)-SUMIFS(TF_Timer,TF_Tekniker,H$4,TF_Dato,$A652))*2,0)/2)))</f>
        <v/>
      </c>
      <c r="I652">
        <f>IF(OR(I$4="",$A652&gt;TODAY()),0,IF(OR(INDEX($B652:$D652,I$5)="F",AND(I$6&gt;0,$A652&lt;I$6),AND(I$7&gt;0,$A652&gt;I$7)),0,MAX(0,ROUND((INDEX($E652:$G652,I$5)-SUMIFS(TF_Timer,TF_Tekniker,I$4,TF_Dato,$A652))*2,0)/2)))</f>
        <v/>
      </c>
      <c r="J652">
        <f>IF(OR(J$4="",$A652&gt;TODAY()),0,IF(OR(INDEX($B652:$D652,J$5)="F",AND(J$6&gt;0,$A652&lt;J$6),AND(J$7&gt;0,$A652&gt;J$7)),0,MAX(0,ROUND((INDEX($E652:$G652,J$5)-SUMIFS(TF_Timer,TF_Tekniker,J$4,TF_Dato,$A652))*2,0)/2)))</f>
        <v/>
      </c>
      <c r="K652">
        <f>IF(OR(K$4="",$A652&gt;TODAY()),0,IF(OR(INDEX($B652:$D652,K$5)="F",AND(K$6&gt;0,$A652&lt;K$6),AND(K$7&gt;0,$A652&gt;K$7)),0,MAX(0,ROUND((INDEX($E652:$G652,K$5)-SUMIFS(TF_Timer,TF_Tekniker,K$4,TF_Dato,$A652))*2,0)/2)))</f>
        <v/>
      </c>
      <c r="L652">
        <f>IF(OR(L$4="",$A652&gt;TODAY()),0,IF(OR(INDEX($B652:$D652,L$5)="F",AND(L$6&gt;0,$A652&lt;L$6),AND(L$7&gt;0,$A652&gt;L$7)),0,MAX(0,ROUND((INDEX($E652:$G652,L$5)-SUMIFS(TF_Timer,TF_Tekniker,L$4,TF_Dato,$A652))*2,0)/2)))</f>
        <v/>
      </c>
      <c r="M652">
        <f>IF(OR(M$4="",$A652&gt;TODAY()),0,IF(OR(INDEX($B652:$D652,M$5)="F",AND(M$6&gt;0,$A652&lt;M$6),AND(M$7&gt;0,$A652&gt;M$7)),0,MAX(0,ROUND((INDEX($E652:$G652,M$5)-SUMIFS(TF_Timer,TF_Tekniker,M$4,TF_Dato,$A652))*2,0)/2)))</f>
        <v/>
      </c>
      <c r="N652">
        <f>IF(OR(N$4="",$A652&gt;TODAY()),0,IF(OR(INDEX($B652:$D652,N$5)="F",AND(N$6&gt;0,$A652&lt;N$6),AND(N$7&gt;0,$A652&gt;N$7)),0,MAX(0,ROUND((INDEX($E652:$G652,N$5)-SUMIFS(TF_Timer,TF_Tekniker,N$4,TF_Dato,$A652))*2,0)/2)))</f>
        <v/>
      </c>
      <c r="O652">
        <f>IF(OR(O$4="",$A652&gt;TODAY()),0,IF(OR(INDEX($B652:$D652,O$5)="F",AND(O$6&gt;0,$A652&lt;O$6),AND(O$7&gt;0,$A652&gt;O$7)),0,MAX(0,ROUND((INDEX($E652:$G652,O$5)-SUMIFS(TF_Timer,TF_Tekniker,O$4,TF_Dato,$A652))*2,0)/2)))</f>
        <v/>
      </c>
      <c r="P652">
        <f>IF(OR(P$4="",$A652&gt;TODAY()),0,IF(OR(INDEX($B652:$D652,P$5)="F",AND(P$6&gt;0,$A652&lt;P$6),AND(P$7&gt;0,$A652&gt;P$7)),0,MAX(0,ROUND((INDEX($E652:$G652,P$5)-SUMIFS(TF_Timer,TF_Tekniker,P$4,TF_Dato,$A652))*2,0)/2)))</f>
        <v/>
      </c>
      <c r="Q652">
        <f>IF(OR(Q$4="",$A652&gt;TODAY()),0,IF(OR(INDEX($B652:$D652,Q$5)="F",AND(Q$6&gt;0,$A652&lt;Q$6),AND(Q$7&gt;0,$A652&gt;Q$7)),0,MAX(0,ROUND((INDEX($E652:$G652,Q$5)-SUMIFS(TF_Timer,TF_Tekniker,Q$4,TF_Dato,$A652))*2,0)/2)))</f>
        <v/>
      </c>
      <c r="R652">
        <f>IF(OR(R$4="",$A652&gt;TODAY()),0,IF(OR(INDEX($B652:$D652,R$5)="F",AND(R$6&gt;0,$A652&lt;R$6),AND(R$7&gt;0,$A652&gt;R$7)),0,MAX(0,ROUND((INDEX($E652:$G652,R$5)-SUMIFS(TF_Timer,TF_Tekniker,R$4,TF_Dato,$A652))*2,0)/2)))</f>
        <v/>
      </c>
      <c r="S652">
        <f>IF(OR(S$4="",$A652&gt;TODAY()),0,IF(OR(INDEX($B652:$D652,S$5)="F",AND(S$6&gt;0,$A652&lt;S$6),AND(S$7&gt;0,$A652&gt;S$7)),0,MAX(0,ROUND((INDEX($E652:$G652,S$5)-SUMIFS(TF_Timer,TF_Tekniker,S$4,TF_Dato,$A652))*2,0)/2)))</f>
        <v/>
      </c>
      <c r="T652">
        <f>IF(OR(T$4="",$A652&gt;TODAY()),0,IF(OR(INDEX($B652:$D652,T$5)="F",AND(T$6&gt;0,$A652&lt;T$6),AND(T$7&gt;0,$A652&gt;T$7)),0,MAX(0,ROUND((INDEX($E652:$G652,T$5)-SUMIFS(TF_Timer,TF_Tekniker,T$4,TF_Dato,$A652))*2,0)/2)))</f>
        <v/>
      </c>
      <c r="U652">
        <f>IF(OR(U$4="",$A652&gt;TODAY()),0,IF(OR(INDEX($B652:$D652,U$5)="F",AND(U$6&gt;0,$A652&lt;U$6),AND(U$7&gt;0,$A652&gt;U$7)),0,MAX(0,ROUND((INDEX($E652:$G652,U$5)-SUMIFS(TF_Timer,TF_Tekniker,U$4,TF_Dato,$A652))*2,0)/2)))</f>
        <v/>
      </c>
      <c r="V652">
        <f>IF(OR(V$4="",$A652&gt;TODAY()),0,IF(OR(INDEX($B652:$D652,V$5)="F",AND(V$6&gt;0,$A652&lt;V$6),AND(V$7&gt;0,$A652&gt;V$7)),0,MAX(0,ROUND((INDEX($E652:$G652,V$5)-SUMIFS(TF_Timer,TF_Tekniker,V$4,TF_Dato,$A652))*2,0)/2)))</f>
        <v/>
      </c>
      <c r="W652">
        <f>IF(OR(W$4="",$A652&gt;TODAY()),0,IF(OR(INDEX($B652:$D652,W$5)="F",AND(W$6&gt;0,$A652&lt;W$6),AND(W$7&gt;0,$A652&gt;W$7)),0,MAX(0,ROUND((INDEX($E652:$G652,W$5)-SUMIFS(TF_Timer,TF_Tekniker,W$4,TF_Dato,$A652))*2,0)/2)))</f>
        <v/>
      </c>
      <c r="X652">
        <f>IF(OR(X$4="",$A652&gt;TODAY()),0,IF(OR(INDEX($B652:$D652,X$5)="F",AND(X$6&gt;0,$A652&lt;X$6),AND(X$7&gt;0,$A652&gt;X$7)),0,MAX(0,ROUND((INDEX($E652:$G652,X$5)-SUMIFS(TF_Timer,TF_Tekniker,X$4,TF_Dato,$A652))*2,0)/2)))</f>
        <v/>
      </c>
      <c r="Y652">
        <f>IF(OR(Y$4="",$A652&gt;TODAY()),0,IF(OR(INDEX($B652:$D652,Y$5)="F",AND(Y$6&gt;0,$A652&lt;Y$6),AND(Y$7&gt;0,$A652&gt;Y$7)),0,MAX(0,ROUND((INDEX($E652:$G652,Y$5)-SUMIFS(TF_Timer,TF_Tekniker,Y$4,TF_Dato,$A652))*2,0)/2)))</f>
        <v/>
      </c>
      <c r="Z652">
        <f>IF(OR(Z$4="",$A652&gt;TODAY()),0,IF(OR(INDEX($B652:$D652,Z$5)="F",AND(Z$6&gt;0,$A652&lt;Z$6),AND(Z$7&gt;0,$A652&gt;Z$7)),0,MAX(0,ROUND((INDEX($E652:$G652,Z$5)-SUMIFS(TF_Timer,TF_Tekniker,Z$4,TF_Dato,$A652))*2,0)/2)))</f>
        <v/>
      </c>
      <c r="AA652">
        <f>IF(OR(AA$4="",$A652&gt;TODAY()),0,IF(OR(INDEX($B652:$D652,AA$5)="F",AND(AA$6&gt;0,$A652&lt;AA$6),AND(AA$7&gt;0,$A652&gt;AA$7)),0,MAX(0,ROUND((INDEX($E652:$G652,AA$5)-SUMIFS(TF_Timer,TF_Tekniker,AA$4,TF_Dato,$A652))*2,0)/2)))</f>
        <v/>
      </c>
      <c r="AB652">
        <f>IF(OR(AB$4="",$A652&gt;TODAY()),0,IF(OR(INDEX($B652:$D652,AB$5)="F",AND(AB$6&gt;0,$A652&lt;AB$6),AND(AB$7&gt;0,$A652&gt;AB$7)),0,MAX(0,ROUND((INDEX($E652:$G652,AB$5)-SUMIFS(TF_Timer,TF_Tekniker,AB$4,TF_Dato,$A652))*2,0)/2)))</f>
        <v/>
      </c>
      <c r="AC652">
        <f>IF(OR(AC$4="",$A652&gt;TODAY()),0,IF(OR(INDEX($B652:$D652,AC$5)="F",AND(AC$6&gt;0,$A652&lt;AC$6),AND(AC$7&gt;0,$A652&gt;AC$7)),0,MAX(0,ROUND((INDEX($E652:$G652,AC$5)-SUMIFS(TF_Timer,TF_Tekniker,AC$4,TF_Dato,$A652))*2,0)/2)))</f>
        <v/>
      </c>
      <c r="AD652">
        <f>IF(OR(AD$4="",$A652&gt;TODAY()),0,IF(OR(INDEX($B652:$D652,AD$5)="F",AND(AD$6&gt;0,$A652&lt;AD$6),AND(AD$7&gt;0,$A652&gt;AD$7)),0,MAX(0,ROUND((INDEX($E652:$G652,AD$5)-SUMIFS(TF_Timer,TF_Tekniker,AD$4,TF_Dato,$A652))*2,0)/2)))</f>
        <v/>
      </c>
      <c r="AE652">
        <f>IF(OR(AE$4="",$A652&gt;TODAY()),0,IF(OR(INDEX($B652:$D652,AE$5)="F",AND(AE$6&gt;0,$A652&lt;AE$6),AND(AE$7&gt;0,$A652&gt;AE$7)),0,MAX(0,ROUND((INDEX($E652:$G652,AE$5)-SUMIFS(TF_Timer,TF_Tekniker,AE$4,TF_Dato,$A652))*2,0)/2)))</f>
        <v/>
      </c>
      <c r="AF652">
        <f>IF(OR(AF$4="",$A652&gt;TODAY()),0,IF(OR(INDEX($B652:$D652,AF$5)="F",AND(AF$6&gt;0,$A652&lt;AF$6),AND(AF$7&gt;0,$A652&gt;AF$7)),0,MAX(0,ROUND((INDEX($E652:$G652,AF$5)-SUMIFS(TF_Timer,TF_Tekniker,AF$4,TF_Dato,$A652))*2,0)/2)))</f>
        <v/>
      </c>
      <c r="AG652">
        <f>IF(OR(AG$4="",$A652&gt;TODAY()),0,IF(OR(INDEX($B652:$D652,AG$5)="F",AND(AG$6&gt;0,$A652&lt;AG$6),AND(AG$7&gt;0,$A652&gt;AG$7)),0,MAX(0,ROUND((INDEX($E652:$G652,AG$5)-SUMIFS(TF_Timer,TF_Tekniker,AG$4,TF_Dato,$A652))*2,0)/2)))</f>
        <v/>
      </c>
      <c r="AH652">
        <f>IF(OR(AH$4="",$A652&gt;TODAY()),0,IF(OR(INDEX($B652:$D652,AH$5)="F",AND(AH$6&gt;0,$A652&lt;AH$6),AND(AH$7&gt;0,$A652&gt;AH$7)),0,MAX(0,ROUND((INDEX($E652:$G652,AH$5)-SUMIFS(TF_Timer,TF_Tekniker,AH$4,TF_Dato,$A652))*2,0)/2)))</f>
        <v/>
      </c>
      <c r="AI652">
        <f>IF(OR(AI$4="",$A652&gt;TODAY()),0,IF(OR(INDEX($B652:$D652,AI$5)="F",AND(AI$6&gt;0,$A652&lt;AI$6),AND(AI$7&gt;0,$A652&gt;AI$7)),0,MAX(0,ROUND((INDEX($E652:$G652,AI$5)-SUMIFS(TF_Timer,TF_Tekniker,AI$4,TF_Dato,$A652))*2,0)/2)))</f>
        <v/>
      </c>
      <c r="AJ652">
        <f>IF(OR(AJ$4="",$A652&gt;TODAY()),0,IF(OR(INDEX($B652:$D652,AJ$5)="F",AND(AJ$6&gt;0,$A652&lt;AJ$6),AND(AJ$7&gt;0,$A652&gt;AJ$7)),0,MAX(0,ROUND((INDEX($E652:$G652,AJ$5)-SUMIFS(TF_Timer,TF_Tekniker,AJ$4,TF_Dato,$A652))*2,0)/2)))</f>
        <v/>
      </c>
      <c r="AK652">
        <f>IF(OR(AK$4="",$A652&gt;TODAY()),0,IF(OR(INDEX($B652:$D652,AK$5)="F",AND(AK$6&gt;0,$A652&lt;AK$6),AND(AK$7&gt;0,$A652&gt;AK$7)),0,MAX(0,ROUND((INDEX($E652:$G652,AK$5)-SUMIFS(TF_Timer,TF_Tekniker,AK$4,TF_Dato,$A652))*2,0)/2)))</f>
        <v/>
      </c>
      <c r="AL652">
        <f>IF(OR(AL$4="",$A652&gt;TODAY()),0,IF(OR(INDEX($B652:$D652,AL$5)="F",AND(AL$6&gt;0,$A652&lt;AL$6),AND(AL$7&gt;0,$A652&gt;AL$7)),0,MAX(0,ROUND((INDEX($E652:$G652,AL$5)-SUMIFS(TF_Timer,TF_Tekniker,AL$4,TF_Dato,$A652))*2,0)/2)))</f>
        <v/>
      </c>
      <c r="AM652">
        <f>IF(OR(AM$4="",$A652&gt;TODAY()),0,IF(OR(INDEX($B652:$D652,AM$5)="F",AND(AM$6&gt;0,$A652&lt;AM$6),AND(AM$7&gt;0,$A652&gt;AM$7)),0,MAX(0,ROUND((INDEX($E652:$G652,AM$5)-SUMIFS(TF_Timer,TF_Tekniker,AM$4,TF_Dato,$A652))*2,0)/2)))</f>
        <v/>
      </c>
      <c r="AN652">
        <f>IF(OR(AN$4="",$A652&gt;TODAY()),0,IF(OR(INDEX($B652:$D652,AN$5)="F",AND(AN$6&gt;0,$A652&lt;AN$6),AND(AN$7&gt;0,$A652&gt;AN$7)),0,MAX(0,ROUND((INDEX($E652:$G652,AN$5)-SUMIFS(TF_Timer,TF_Tekniker,AN$4,TF_Dato,$A652))*2,0)/2)))</f>
        <v/>
      </c>
      <c r="AO652">
        <f>IF(OR(AO$4="",$A652&gt;TODAY()),0,IF(OR(INDEX($B652:$D652,AO$5)="F",AND(AO$6&gt;0,$A652&lt;AO$6),AND(AO$7&gt;0,$A652&gt;AO$7)),0,MAX(0,ROUND((INDEX($E652:$G652,AO$5)-SUMIFS(TF_Timer,TF_Tekniker,AO$4,TF_Dato,$A652))*2,0)/2)))</f>
        <v/>
      </c>
      <c r="AP652">
        <f>IF(OR(AP$4="",$A652&gt;TODAY()),0,IF(OR(INDEX($B652:$D652,AP$5)="F",AND(AP$6&gt;0,$A652&lt;AP$6),AND(AP$7&gt;0,$A652&gt;AP$7)),0,MAX(0,ROUND((INDEX($E652:$G652,AP$5)-SUMIFS(TF_Timer,TF_Tekniker,AP$4,TF_Dato,$A652))*2,0)/2)))</f>
        <v/>
      </c>
      <c r="AQ652">
        <f>IF(OR(AQ$4="",$A652&gt;TODAY()),0,IF(OR(INDEX($B652:$D652,AQ$5)="F",AND(AQ$6&gt;0,$A652&lt;AQ$6),AND(AQ$7&gt;0,$A652&gt;AQ$7)),0,MAX(0,ROUND((INDEX($E652:$G652,AQ$5)-SUMIFS(TF_Timer,TF_Tekniker,AQ$4,TF_Dato,$A652))*2,0)/2)))</f>
        <v/>
      </c>
      <c r="AR652">
        <f>IF(OR(AR$4="",$A652&gt;TODAY()),0,IF(OR(INDEX($B652:$D652,AR$5)="F",AND(AR$6&gt;0,$A652&lt;AR$6),AND(AR$7&gt;0,$A652&gt;AR$7)),0,MAX(0,ROUND((INDEX($E652:$G652,AR$5)-SUMIFS(TF_Timer,TF_Tekniker,AR$4,TF_Dato,$A652))*2,0)/2)))</f>
        <v/>
      </c>
      <c r="AS652">
        <f>IF(OR(AS$4="",$A652&gt;TODAY()),0,IF(OR(INDEX($B652:$D652,AS$5)="F",AND(AS$6&gt;0,$A652&lt;AS$6),AND(AS$7&gt;0,$A652&gt;AS$7)),0,MAX(0,ROUND((INDEX($E652:$G652,AS$5)-SUMIFS(TF_Timer,TF_Tekniker,AS$4,TF_Dato,$A652))*2,0)/2)))</f>
        <v/>
      </c>
      <c r="AT652">
        <f>IF(OR(AT$4="",$A652&gt;TODAY()),0,IF(OR(INDEX($B652:$D652,AT$5)="F",AND(AT$6&gt;0,$A652&lt;AT$6),AND(AT$7&gt;0,$A652&gt;AT$7)),0,MAX(0,ROUND((INDEX($E652:$G652,AT$5)-SUMIFS(TF_Timer,TF_Tekniker,AT$4,TF_Dato,$A652))*2,0)/2)))</f>
        <v/>
      </c>
      <c r="AU652">
        <f>IF(OR(AU$4="",$A652&gt;TODAY()),0,IF(OR(INDEX($B652:$D652,AU$5)="F",AND(AU$6&gt;0,$A652&lt;AU$6),AND(AU$7&gt;0,$A652&gt;AU$7)),0,MAX(0,ROUND((INDEX($E652:$G652,AU$5)-SUMIFS(TF_Timer,TF_Tekniker,AU$4,TF_Dato,$A652))*2,0)/2)))</f>
        <v/>
      </c>
      <c r="AV652">
        <f>IF(OR(AV$4="",$A652&gt;TODAY()),0,IF(OR(INDEX($B652:$D652,AV$5)="F",AND(AV$6&gt;0,$A652&lt;AV$6),AND(AV$7&gt;0,$A652&gt;AV$7)),0,MAX(0,ROUND((INDEX($E652:$G652,AV$5)-SUMIFS(TF_Timer,TF_Tekniker,AV$4,TF_Dato,$A652))*2,0)/2)))</f>
        <v/>
      </c>
      <c r="AW652">
        <f>IF(OR(AW$4="",$A652&gt;TODAY()),0,IF(OR(INDEX($B652:$D652,AW$5)="F",AND(AW$6&gt;0,$A652&lt;AW$6),AND(AW$7&gt;0,$A652&gt;AW$7)),0,MAX(0,ROUND((INDEX($E652:$G652,AW$5)-SUMIFS(TF_Timer,TF_Tekniker,AW$4,TF_Dato,$A652))*2,0)/2)))</f>
        <v/>
      </c>
      <c r="AX652">
        <f>IF(OR(AX$4="",$A652&gt;TODAY()),0,IF(OR(INDEX($B652:$D652,AX$5)="F",AND(AX$6&gt;0,$A652&lt;AX$6),AND(AX$7&gt;0,$A652&gt;AX$7)),0,MAX(0,ROUND((INDEX($E652:$G652,AX$5)-SUMIFS(TF_Timer,TF_Tekniker,AX$4,TF_Dato,$A652))*2,0)/2)))</f>
        <v/>
      </c>
      <c r="AY652">
        <f>IF(OR(AY$4="",$A652&gt;TODAY()),0,IF(OR(INDEX($B652:$D652,AY$5)="F",AND(AY$6&gt;0,$A652&lt;AY$6),AND(AY$7&gt;0,$A652&gt;AY$7)),0,MAX(0,ROUND((INDEX($E652:$G652,AY$5)-SUMIFS(TF_Timer,TF_Tekniker,AY$4,TF_Dato,$A652))*2,0)/2)))</f>
        <v/>
      </c>
      <c r="AZ652">
        <f>IF(OR(AZ$4="",$A652&gt;TODAY()),0,IF(OR(INDEX($B652:$D652,AZ$5)="F",AND(AZ$6&gt;0,$A652&lt;AZ$6),AND(AZ$7&gt;0,$A652&gt;AZ$7)),0,MAX(0,ROUND((INDEX($E652:$G652,AZ$5)-SUMIFS(TF_Timer,TF_Tekniker,AZ$4,TF_Dato,$A652))*2,0)/2)))</f>
        <v/>
      </c>
      <c r="BA652">
        <f>IF(OR(BA$4="",$A652&gt;TODAY()),0,IF(OR(INDEX($B652:$D652,BA$5)="F",AND(BA$6&gt;0,$A652&lt;BA$6),AND(BA$7&gt;0,$A652&gt;BA$7)),0,MAX(0,ROUND((INDEX($E652:$G652,BA$5)-SUMIFS(TF_Timer,TF_Tekniker,BA$4,TF_Dato,$A652))*2,0)/2)))</f>
        <v/>
      </c>
      <c r="BB652">
        <f>IF(OR(BB$4="",$A652&gt;TODAY()),0,IF(OR(INDEX($B652:$D652,BB$5)="F",AND(BB$6&gt;0,$A652&lt;BB$6),AND(BB$7&gt;0,$A652&gt;BB$7)),0,MAX(0,ROUND((INDEX($E652:$G652,BB$5)-SUMIFS(TF_Timer,TF_Tekniker,BB$4,TF_Dato,$A652))*2,0)/2)))</f>
        <v/>
      </c>
      <c r="BC652">
        <f>IF(OR(BC$4="",$A652&gt;TODAY()),0,IF(OR(INDEX($B652:$D652,BC$5)="F",AND(BC$6&gt;0,$A652&lt;BC$6),AND(BC$7&gt;0,$A652&gt;BC$7)),0,MAX(0,ROUND((INDEX($E652:$G652,BC$5)-SUMIFS(TF_Timer,TF_Tekniker,BC$4,TF_Dato,$A652))*2,0)/2)))</f>
        <v/>
      </c>
      <c r="BD652">
        <f>IF(OR(BD$4="",$A652&gt;TODAY()),0,IF(OR(INDEX($B652:$D652,BD$5)="F",AND(BD$6&gt;0,$A652&lt;BD$6),AND(BD$7&gt;0,$A652&gt;BD$7)),0,MAX(0,ROUND((INDEX($E652:$G652,BD$5)-SUMIFS(TF_Timer,TF_Tekniker,BD$4,TF_Dato,$A652))*2,0)/2)))</f>
        <v/>
      </c>
      <c r="BE652">
        <f>IF(OR(BE$4="",$A652&gt;TODAY()),0,IF(OR(INDEX($B652:$D652,BE$5)="F",AND(BE$6&gt;0,$A652&lt;BE$6),AND(BE$7&gt;0,$A652&gt;BE$7)),0,MAX(0,ROUND((INDEX($E652:$G652,BE$5)-SUMIFS(TF_Timer,TF_Tekniker,BE$4,TF_Dato,$A652))*2,0)/2)))</f>
        <v/>
      </c>
      <c r="BF652">
        <f>IF(OR(BF$4="",$A652&gt;TODAY()),0,IF(OR(INDEX($B652:$D652,BF$5)="F",AND(BF$6&gt;0,$A652&lt;BF$6),AND(BF$7&gt;0,$A652&gt;BF$7)),0,MAX(0,ROUND((INDEX($E652:$G652,BF$5)-SUMIFS(TF_Timer,TF_Tekniker,BF$4,TF_Dato,$A652))*2,0)/2)))</f>
        <v/>
      </c>
      <c r="BG652">
        <f>IF(OR(BG$4="",$A652&gt;TODAY()),0,IF(OR(INDEX($B652:$D652,BG$5)="F",AND(BG$6&gt;0,$A652&lt;BG$6),AND(BG$7&gt;0,$A652&gt;BG$7)),0,MAX(0,ROUND((INDEX($E652:$G652,BG$5)-SUMIFS(TF_Timer,TF_Tekniker,BG$4,TF_Dato,$A652))*2,0)/2)))</f>
        <v/>
      </c>
      <c r="BH652">
        <f>IF(OR(BH$4="",$A652&gt;TODAY()),0,IF(OR(INDEX($B652:$D652,BH$5)="F",AND(BH$6&gt;0,$A652&lt;BH$6),AND(BH$7&gt;0,$A652&gt;BH$7)),0,MAX(0,ROUND((INDEX($E652:$G652,BH$5)-SUMIFS(TF_Timer,TF_Tekniker,BH$4,TF_Dato,$A652))*2,0)/2)))</f>
        <v/>
      </c>
      <c r="BI652">
        <f>IF(OR(BI$4="",$A652&gt;TODAY()),0,IF(OR(INDEX($B652:$D652,BI$5)="F",AND(BI$6&gt;0,$A652&lt;BI$6),AND(BI$7&gt;0,$A652&gt;BI$7)),0,MAX(0,ROUND((INDEX($E652:$G652,BI$5)-SUMIFS(TF_Timer,TF_Tekniker,BI$4,TF_Dato,$A652))*2,0)/2)))</f>
        <v/>
      </c>
    </row>
    <row r="653">
      <c r="A653" s="64">
        <f>A652+1</f>
        <v/>
      </c>
      <c r="B653">
        <f>IF(MOD($A653-INDEX(SkiftStart,1),Syklus)&lt;DagK,"K",IF(MOD($A653-INDEX(SkiftStart,1),Syklus)&lt;DagK+DagH,"H",IF(MOD($A653-INDEX(SkiftStart,1),Syklus)&lt;DagK+DagH+DagD,"D","F")))</f>
        <v/>
      </c>
      <c r="C653">
        <f>IF(MOD($A653-INDEX(SkiftStart,2),Syklus)&lt;DagK,"K",IF(MOD($A653-INDEX(SkiftStart,2),Syklus)&lt;DagK+DagH,"H",IF(MOD($A653-INDEX(SkiftStart,2),Syklus)&lt;DagK+DagH+DagD,"D","F")))</f>
        <v/>
      </c>
      <c r="D653">
        <f>IF(MOD($A653-INDEX(SkiftStart,3),Syklus)&lt;DagK,"K",IF(MOD($A653-INDEX(SkiftStart,3),Syklus)&lt;DagK+DagH,"H",IF(MOD($A653-INDEX(SkiftStart,3),Syklus)&lt;DagK+DagH+DagD,"D","F")))</f>
        <v/>
      </c>
      <c r="E653">
        <f>IF(B653="F",0,IF(WEEKDAY($A653,2)=5,INDEX(TimerFr,MATCH(B653,FaseKode,0)),INDEX(TimerMT,MATCH(B653,FaseKode,0))))</f>
        <v/>
      </c>
      <c r="F653">
        <f>IF(C653="F",0,IF(WEEKDAY($A653,2)=5,INDEX(TimerFr,MATCH(C653,FaseKode,0)),INDEX(TimerMT,MATCH(C653,FaseKode,0))))</f>
        <v/>
      </c>
      <c r="G653">
        <f>IF(D653="F",0,IF(WEEKDAY($A653,2)=5,INDEX(TimerFr,MATCH(D653,FaseKode,0)),INDEX(TimerMT,MATCH(D653,FaseKode,0))))</f>
        <v/>
      </c>
      <c r="H653">
        <f>IF(OR(H$4="",$A653&gt;TODAY()),0,IF(OR(INDEX($B653:$D653,H$5)="F",AND(H$6&gt;0,$A653&lt;H$6),AND(H$7&gt;0,$A653&gt;H$7)),0,MAX(0,ROUND((INDEX($E653:$G653,H$5)-SUMIFS(TF_Timer,TF_Tekniker,H$4,TF_Dato,$A653))*2,0)/2)))</f>
        <v/>
      </c>
      <c r="I653">
        <f>IF(OR(I$4="",$A653&gt;TODAY()),0,IF(OR(INDEX($B653:$D653,I$5)="F",AND(I$6&gt;0,$A653&lt;I$6),AND(I$7&gt;0,$A653&gt;I$7)),0,MAX(0,ROUND((INDEX($E653:$G653,I$5)-SUMIFS(TF_Timer,TF_Tekniker,I$4,TF_Dato,$A653))*2,0)/2)))</f>
        <v/>
      </c>
      <c r="J653">
        <f>IF(OR(J$4="",$A653&gt;TODAY()),0,IF(OR(INDEX($B653:$D653,J$5)="F",AND(J$6&gt;0,$A653&lt;J$6),AND(J$7&gt;0,$A653&gt;J$7)),0,MAX(0,ROUND((INDEX($E653:$G653,J$5)-SUMIFS(TF_Timer,TF_Tekniker,J$4,TF_Dato,$A653))*2,0)/2)))</f>
        <v/>
      </c>
      <c r="K653">
        <f>IF(OR(K$4="",$A653&gt;TODAY()),0,IF(OR(INDEX($B653:$D653,K$5)="F",AND(K$6&gt;0,$A653&lt;K$6),AND(K$7&gt;0,$A653&gt;K$7)),0,MAX(0,ROUND((INDEX($E653:$G653,K$5)-SUMIFS(TF_Timer,TF_Tekniker,K$4,TF_Dato,$A653))*2,0)/2)))</f>
        <v/>
      </c>
      <c r="L653">
        <f>IF(OR(L$4="",$A653&gt;TODAY()),0,IF(OR(INDEX($B653:$D653,L$5)="F",AND(L$6&gt;0,$A653&lt;L$6),AND(L$7&gt;0,$A653&gt;L$7)),0,MAX(0,ROUND((INDEX($E653:$G653,L$5)-SUMIFS(TF_Timer,TF_Tekniker,L$4,TF_Dato,$A653))*2,0)/2)))</f>
        <v/>
      </c>
      <c r="M653">
        <f>IF(OR(M$4="",$A653&gt;TODAY()),0,IF(OR(INDEX($B653:$D653,M$5)="F",AND(M$6&gt;0,$A653&lt;M$6),AND(M$7&gt;0,$A653&gt;M$7)),0,MAX(0,ROUND((INDEX($E653:$G653,M$5)-SUMIFS(TF_Timer,TF_Tekniker,M$4,TF_Dato,$A653))*2,0)/2)))</f>
        <v/>
      </c>
      <c r="N653">
        <f>IF(OR(N$4="",$A653&gt;TODAY()),0,IF(OR(INDEX($B653:$D653,N$5)="F",AND(N$6&gt;0,$A653&lt;N$6),AND(N$7&gt;0,$A653&gt;N$7)),0,MAX(0,ROUND((INDEX($E653:$G653,N$5)-SUMIFS(TF_Timer,TF_Tekniker,N$4,TF_Dato,$A653))*2,0)/2)))</f>
        <v/>
      </c>
      <c r="O653">
        <f>IF(OR(O$4="",$A653&gt;TODAY()),0,IF(OR(INDEX($B653:$D653,O$5)="F",AND(O$6&gt;0,$A653&lt;O$6),AND(O$7&gt;0,$A653&gt;O$7)),0,MAX(0,ROUND((INDEX($E653:$G653,O$5)-SUMIFS(TF_Timer,TF_Tekniker,O$4,TF_Dato,$A653))*2,0)/2)))</f>
        <v/>
      </c>
      <c r="P653">
        <f>IF(OR(P$4="",$A653&gt;TODAY()),0,IF(OR(INDEX($B653:$D653,P$5)="F",AND(P$6&gt;0,$A653&lt;P$6),AND(P$7&gt;0,$A653&gt;P$7)),0,MAX(0,ROUND((INDEX($E653:$G653,P$5)-SUMIFS(TF_Timer,TF_Tekniker,P$4,TF_Dato,$A653))*2,0)/2)))</f>
        <v/>
      </c>
      <c r="Q653">
        <f>IF(OR(Q$4="",$A653&gt;TODAY()),0,IF(OR(INDEX($B653:$D653,Q$5)="F",AND(Q$6&gt;0,$A653&lt;Q$6),AND(Q$7&gt;0,$A653&gt;Q$7)),0,MAX(0,ROUND((INDEX($E653:$G653,Q$5)-SUMIFS(TF_Timer,TF_Tekniker,Q$4,TF_Dato,$A653))*2,0)/2)))</f>
        <v/>
      </c>
      <c r="R653">
        <f>IF(OR(R$4="",$A653&gt;TODAY()),0,IF(OR(INDEX($B653:$D653,R$5)="F",AND(R$6&gt;0,$A653&lt;R$6),AND(R$7&gt;0,$A653&gt;R$7)),0,MAX(0,ROUND((INDEX($E653:$G653,R$5)-SUMIFS(TF_Timer,TF_Tekniker,R$4,TF_Dato,$A653))*2,0)/2)))</f>
        <v/>
      </c>
      <c r="S653">
        <f>IF(OR(S$4="",$A653&gt;TODAY()),0,IF(OR(INDEX($B653:$D653,S$5)="F",AND(S$6&gt;0,$A653&lt;S$6),AND(S$7&gt;0,$A653&gt;S$7)),0,MAX(0,ROUND((INDEX($E653:$G653,S$5)-SUMIFS(TF_Timer,TF_Tekniker,S$4,TF_Dato,$A653))*2,0)/2)))</f>
        <v/>
      </c>
      <c r="T653">
        <f>IF(OR(T$4="",$A653&gt;TODAY()),0,IF(OR(INDEX($B653:$D653,T$5)="F",AND(T$6&gt;0,$A653&lt;T$6),AND(T$7&gt;0,$A653&gt;T$7)),0,MAX(0,ROUND((INDEX($E653:$G653,T$5)-SUMIFS(TF_Timer,TF_Tekniker,T$4,TF_Dato,$A653))*2,0)/2)))</f>
        <v/>
      </c>
      <c r="U653">
        <f>IF(OR(U$4="",$A653&gt;TODAY()),0,IF(OR(INDEX($B653:$D653,U$5)="F",AND(U$6&gt;0,$A653&lt;U$6),AND(U$7&gt;0,$A653&gt;U$7)),0,MAX(0,ROUND((INDEX($E653:$G653,U$5)-SUMIFS(TF_Timer,TF_Tekniker,U$4,TF_Dato,$A653))*2,0)/2)))</f>
        <v/>
      </c>
      <c r="V653">
        <f>IF(OR(V$4="",$A653&gt;TODAY()),0,IF(OR(INDEX($B653:$D653,V$5)="F",AND(V$6&gt;0,$A653&lt;V$6),AND(V$7&gt;0,$A653&gt;V$7)),0,MAX(0,ROUND((INDEX($E653:$G653,V$5)-SUMIFS(TF_Timer,TF_Tekniker,V$4,TF_Dato,$A653))*2,0)/2)))</f>
        <v/>
      </c>
      <c r="W653">
        <f>IF(OR(W$4="",$A653&gt;TODAY()),0,IF(OR(INDEX($B653:$D653,W$5)="F",AND(W$6&gt;0,$A653&lt;W$6),AND(W$7&gt;0,$A653&gt;W$7)),0,MAX(0,ROUND((INDEX($E653:$G653,W$5)-SUMIFS(TF_Timer,TF_Tekniker,W$4,TF_Dato,$A653))*2,0)/2)))</f>
        <v/>
      </c>
      <c r="X653">
        <f>IF(OR(X$4="",$A653&gt;TODAY()),0,IF(OR(INDEX($B653:$D653,X$5)="F",AND(X$6&gt;0,$A653&lt;X$6),AND(X$7&gt;0,$A653&gt;X$7)),0,MAX(0,ROUND((INDEX($E653:$G653,X$5)-SUMIFS(TF_Timer,TF_Tekniker,X$4,TF_Dato,$A653))*2,0)/2)))</f>
        <v/>
      </c>
      <c r="Y653">
        <f>IF(OR(Y$4="",$A653&gt;TODAY()),0,IF(OR(INDEX($B653:$D653,Y$5)="F",AND(Y$6&gt;0,$A653&lt;Y$6),AND(Y$7&gt;0,$A653&gt;Y$7)),0,MAX(0,ROUND((INDEX($E653:$G653,Y$5)-SUMIFS(TF_Timer,TF_Tekniker,Y$4,TF_Dato,$A653))*2,0)/2)))</f>
        <v/>
      </c>
      <c r="Z653">
        <f>IF(OR(Z$4="",$A653&gt;TODAY()),0,IF(OR(INDEX($B653:$D653,Z$5)="F",AND(Z$6&gt;0,$A653&lt;Z$6),AND(Z$7&gt;0,$A653&gt;Z$7)),0,MAX(0,ROUND((INDEX($E653:$G653,Z$5)-SUMIFS(TF_Timer,TF_Tekniker,Z$4,TF_Dato,$A653))*2,0)/2)))</f>
        <v/>
      </c>
      <c r="AA653">
        <f>IF(OR(AA$4="",$A653&gt;TODAY()),0,IF(OR(INDEX($B653:$D653,AA$5)="F",AND(AA$6&gt;0,$A653&lt;AA$6),AND(AA$7&gt;0,$A653&gt;AA$7)),0,MAX(0,ROUND((INDEX($E653:$G653,AA$5)-SUMIFS(TF_Timer,TF_Tekniker,AA$4,TF_Dato,$A653))*2,0)/2)))</f>
        <v/>
      </c>
      <c r="AB653">
        <f>IF(OR(AB$4="",$A653&gt;TODAY()),0,IF(OR(INDEX($B653:$D653,AB$5)="F",AND(AB$6&gt;0,$A653&lt;AB$6),AND(AB$7&gt;0,$A653&gt;AB$7)),0,MAX(0,ROUND((INDEX($E653:$G653,AB$5)-SUMIFS(TF_Timer,TF_Tekniker,AB$4,TF_Dato,$A653))*2,0)/2)))</f>
        <v/>
      </c>
      <c r="AC653">
        <f>IF(OR(AC$4="",$A653&gt;TODAY()),0,IF(OR(INDEX($B653:$D653,AC$5)="F",AND(AC$6&gt;0,$A653&lt;AC$6),AND(AC$7&gt;0,$A653&gt;AC$7)),0,MAX(0,ROUND((INDEX($E653:$G653,AC$5)-SUMIFS(TF_Timer,TF_Tekniker,AC$4,TF_Dato,$A653))*2,0)/2)))</f>
        <v/>
      </c>
      <c r="AD653">
        <f>IF(OR(AD$4="",$A653&gt;TODAY()),0,IF(OR(INDEX($B653:$D653,AD$5)="F",AND(AD$6&gt;0,$A653&lt;AD$6),AND(AD$7&gt;0,$A653&gt;AD$7)),0,MAX(0,ROUND((INDEX($E653:$G653,AD$5)-SUMIFS(TF_Timer,TF_Tekniker,AD$4,TF_Dato,$A653))*2,0)/2)))</f>
        <v/>
      </c>
      <c r="AE653">
        <f>IF(OR(AE$4="",$A653&gt;TODAY()),0,IF(OR(INDEX($B653:$D653,AE$5)="F",AND(AE$6&gt;0,$A653&lt;AE$6),AND(AE$7&gt;0,$A653&gt;AE$7)),0,MAX(0,ROUND((INDEX($E653:$G653,AE$5)-SUMIFS(TF_Timer,TF_Tekniker,AE$4,TF_Dato,$A653))*2,0)/2)))</f>
        <v/>
      </c>
      <c r="AF653">
        <f>IF(OR(AF$4="",$A653&gt;TODAY()),0,IF(OR(INDEX($B653:$D653,AF$5)="F",AND(AF$6&gt;0,$A653&lt;AF$6),AND(AF$7&gt;0,$A653&gt;AF$7)),0,MAX(0,ROUND((INDEX($E653:$G653,AF$5)-SUMIFS(TF_Timer,TF_Tekniker,AF$4,TF_Dato,$A653))*2,0)/2)))</f>
        <v/>
      </c>
      <c r="AG653">
        <f>IF(OR(AG$4="",$A653&gt;TODAY()),0,IF(OR(INDEX($B653:$D653,AG$5)="F",AND(AG$6&gt;0,$A653&lt;AG$6),AND(AG$7&gt;0,$A653&gt;AG$7)),0,MAX(0,ROUND((INDEX($E653:$G653,AG$5)-SUMIFS(TF_Timer,TF_Tekniker,AG$4,TF_Dato,$A653))*2,0)/2)))</f>
        <v/>
      </c>
      <c r="AH653">
        <f>IF(OR(AH$4="",$A653&gt;TODAY()),0,IF(OR(INDEX($B653:$D653,AH$5)="F",AND(AH$6&gt;0,$A653&lt;AH$6),AND(AH$7&gt;0,$A653&gt;AH$7)),0,MAX(0,ROUND((INDEX($E653:$G653,AH$5)-SUMIFS(TF_Timer,TF_Tekniker,AH$4,TF_Dato,$A653))*2,0)/2)))</f>
        <v/>
      </c>
      <c r="AI653">
        <f>IF(OR(AI$4="",$A653&gt;TODAY()),0,IF(OR(INDEX($B653:$D653,AI$5)="F",AND(AI$6&gt;0,$A653&lt;AI$6),AND(AI$7&gt;0,$A653&gt;AI$7)),0,MAX(0,ROUND((INDEX($E653:$G653,AI$5)-SUMIFS(TF_Timer,TF_Tekniker,AI$4,TF_Dato,$A653))*2,0)/2)))</f>
        <v/>
      </c>
      <c r="AJ653">
        <f>IF(OR(AJ$4="",$A653&gt;TODAY()),0,IF(OR(INDEX($B653:$D653,AJ$5)="F",AND(AJ$6&gt;0,$A653&lt;AJ$6),AND(AJ$7&gt;0,$A653&gt;AJ$7)),0,MAX(0,ROUND((INDEX($E653:$G653,AJ$5)-SUMIFS(TF_Timer,TF_Tekniker,AJ$4,TF_Dato,$A653))*2,0)/2)))</f>
        <v/>
      </c>
      <c r="AK653">
        <f>IF(OR(AK$4="",$A653&gt;TODAY()),0,IF(OR(INDEX($B653:$D653,AK$5)="F",AND(AK$6&gt;0,$A653&lt;AK$6),AND(AK$7&gt;0,$A653&gt;AK$7)),0,MAX(0,ROUND((INDEX($E653:$G653,AK$5)-SUMIFS(TF_Timer,TF_Tekniker,AK$4,TF_Dato,$A653))*2,0)/2)))</f>
        <v/>
      </c>
      <c r="AL653">
        <f>IF(OR(AL$4="",$A653&gt;TODAY()),0,IF(OR(INDEX($B653:$D653,AL$5)="F",AND(AL$6&gt;0,$A653&lt;AL$6),AND(AL$7&gt;0,$A653&gt;AL$7)),0,MAX(0,ROUND((INDEX($E653:$G653,AL$5)-SUMIFS(TF_Timer,TF_Tekniker,AL$4,TF_Dato,$A653))*2,0)/2)))</f>
        <v/>
      </c>
      <c r="AM653">
        <f>IF(OR(AM$4="",$A653&gt;TODAY()),0,IF(OR(INDEX($B653:$D653,AM$5)="F",AND(AM$6&gt;0,$A653&lt;AM$6),AND(AM$7&gt;0,$A653&gt;AM$7)),0,MAX(0,ROUND((INDEX($E653:$G653,AM$5)-SUMIFS(TF_Timer,TF_Tekniker,AM$4,TF_Dato,$A653))*2,0)/2)))</f>
        <v/>
      </c>
      <c r="AN653">
        <f>IF(OR(AN$4="",$A653&gt;TODAY()),0,IF(OR(INDEX($B653:$D653,AN$5)="F",AND(AN$6&gt;0,$A653&lt;AN$6),AND(AN$7&gt;0,$A653&gt;AN$7)),0,MAX(0,ROUND((INDEX($E653:$G653,AN$5)-SUMIFS(TF_Timer,TF_Tekniker,AN$4,TF_Dato,$A653))*2,0)/2)))</f>
        <v/>
      </c>
      <c r="AO653">
        <f>IF(OR(AO$4="",$A653&gt;TODAY()),0,IF(OR(INDEX($B653:$D653,AO$5)="F",AND(AO$6&gt;0,$A653&lt;AO$6),AND(AO$7&gt;0,$A653&gt;AO$7)),0,MAX(0,ROUND((INDEX($E653:$G653,AO$5)-SUMIFS(TF_Timer,TF_Tekniker,AO$4,TF_Dato,$A653))*2,0)/2)))</f>
        <v/>
      </c>
      <c r="AP653">
        <f>IF(OR(AP$4="",$A653&gt;TODAY()),0,IF(OR(INDEX($B653:$D653,AP$5)="F",AND(AP$6&gt;0,$A653&lt;AP$6),AND(AP$7&gt;0,$A653&gt;AP$7)),0,MAX(0,ROUND((INDEX($E653:$G653,AP$5)-SUMIFS(TF_Timer,TF_Tekniker,AP$4,TF_Dato,$A653))*2,0)/2)))</f>
        <v/>
      </c>
      <c r="AQ653">
        <f>IF(OR(AQ$4="",$A653&gt;TODAY()),0,IF(OR(INDEX($B653:$D653,AQ$5)="F",AND(AQ$6&gt;0,$A653&lt;AQ$6),AND(AQ$7&gt;0,$A653&gt;AQ$7)),0,MAX(0,ROUND((INDEX($E653:$G653,AQ$5)-SUMIFS(TF_Timer,TF_Tekniker,AQ$4,TF_Dato,$A653))*2,0)/2)))</f>
        <v/>
      </c>
      <c r="AR653">
        <f>IF(OR(AR$4="",$A653&gt;TODAY()),0,IF(OR(INDEX($B653:$D653,AR$5)="F",AND(AR$6&gt;0,$A653&lt;AR$6),AND(AR$7&gt;0,$A653&gt;AR$7)),0,MAX(0,ROUND((INDEX($E653:$G653,AR$5)-SUMIFS(TF_Timer,TF_Tekniker,AR$4,TF_Dato,$A653))*2,0)/2)))</f>
        <v/>
      </c>
      <c r="AS653">
        <f>IF(OR(AS$4="",$A653&gt;TODAY()),0,IF(OR(INDEX($B653:$D653,AS$5)="F",AND(AS$6&gt;0,$A653&lt;AS$6),AND(AS$7&gt;0,$A653&gt;AS$7)),0,MAX(0,ROUND((INDEX($E653:$G653,AS$5)-SUMIFS(TF_Timer,TF_Tekniker,AS$4,TF_Dato,$A653))*2,0)/2)))</f>
        <v/>
      </c>
      <c r="AT653">
        <f>IF(OR(AT$4="",$A653&gt;TODAY()),0,IF(OR(INDEX($B653:$D653,AT$5)="F",AND(AT$6&gt;0,$A653&lt;AT$6),AND(AT$7&gt;0,$A653&gt;AT$7)),0,MAX(0,ROUND((INDEX($E653:$G653,AT$5)-SUMIFS(TF_Timer,TF_Tekniker,AT$4,TF_Dato,$A653))*2,0)/2)))</f>
        <v/>
      </c>
      <c r="AU653">
        <f>IF(OR(AU$4="",$A653&gt;TODAY()),0,IF(OR(INDEX($B653:$D653,AU$5)="F",AND(AU$6&gt;0,$A653&lt;AU$6),AND(AU$7&gt;0,$A653&gt;AU$7)),0,MAX(0,ROUND((INDEX($E653:$G653,AU$5)-SUMIFS(TF_Timer,TF_Tekniker,AU$4,TF_Dato,$A653))*2,0)/2)))</f>
        <v/>
      </c>
      <c r="AV653">
        <f>IF(OR(AV$4="",$A653&gt;TODAY()),0,IF(OR(INDEX($B653:$D653,AV$5)="F",AND(AV$6&gt;0,$A653&lt;AV$6),AND(AV$7&gt;0,$A653&gt;AV$7)),0,MAX(0,ROUND((INDEX($E653:$G653,AV$5)-SUMIFS(TF_Timer,TF_Tekniker,AV$4,TF_Dato,$A653))*2,0)/2)))</f>
        <v/>
      </c>
      <c r="AW653">
        <f>IF(OR(AW$4="",$A653&gt;TODAY()),0,IF(OR(INDEX($B653:$D653,AW$5)="F",AND(AW$6&gt;0,$A653&lt;AW$6),AND(AW$7&gt;0,$A653&gt;AW$7)),0,MAX(0,ROUND((INDEX($E653:$G653,AW$5)-SUMIFS(TF_Timer,TF_Tekniker,AW$4,TF_Dato,$A653))*2,0)/2)))</f>
        <v/>
      </c>
      <c r="AX653">
        <f>IF(OR(AX$4="",$A653&gt;TODAY()),0,IF(OR(INDEX($B653:$D653,AX$5)="F",AND(AX$6&gt;0,$A653&lt;AX$6),AND(AX$7&gt;0,$A653&gt;AX$7)),0,MAX(0,ROUND((INDEX($E653:$G653,AX$5)-SUMIFS(TF_Timer,TF_Tekniker,AX$4,TF_Dato,$A653))*2,0)/2)))</f>
        <v/>
      </c>
      <c r="AY653">
        <f>IF(OR(AY$4="",$A653&gt;TODAY()),0,IF(OR(INDEX($B653:$D653,AY$5)="F",AND(AY$6&gt;0,$A653&lt;AY$6),AND(AY$7&gt;0,$A653&gt;AY$7)),0,MAX(0,ROUND((INDEX($E653:$G653,AY$5)-SUMIFS(TF_Timer,TF_Tekniker,AY$4,TF_Dato,$A653))*2,0)/2)))</f>
        <v/>
      </c>
      <c r="AZ653">
        <f>IF(OR(AZ$4="",$A653&gt;TODAY()),0,IF(OR(INDEX($B653:$D653,AZ$5)="F",AND(AZ$6&gt;0,$A653&lt;AZ$6),AND(AZ$7&gt;0,$A653&gt;AZ$7)),0,MAX(0,ROUND((INDEX($E653:$G653,AZ$5)-SUMIFS(TF_Timer,TF_Tekniker,AZ$4,TF_Dato,$A653))*2,0)/2)))</f>
        <v/>
      </c>
      <c r="BA653">
        <f>IF(OR(BA$4="",$A653&gt;TODAY()),0,IF(OR(INDEX($B653:$D653,BA$5)="F",AND(BA$6&gt;0,$A653&lt;BA$6),AND(BA$7&gt;0,$A653&gt;BA$7)),0,MAX(0,ROUND((INDEX($E653:$G653,BA$5)-SUMIFS(TF_Timer,TF_Tekniker,BA$4,TF_Dato,$A653))*2,0)/2)))</f>
        <v/>
      </c>
      <c r="BB653">
        <f>IF(OR(BB$4="",$A653&gt;TODAY()),0,IF(OR(INDEX($B653:$D653,BB$5)="F",AND(BB$6&gt;0,$A653&lt;BB$6),AND(BB$7&gt;0,$A653&gt;BB$7)),0,MAX(0,ROUND((INDEX($E653:$G653,BB$5)-SUMIFS(TF_Timer,TF_Tekniker,BB$4,TF_Dato,$A653))*2,0)/2)))</f>
        <v/>
      </c>
      <c r="BC653">
        <f>IF(OR(BC$4="",$A653&gt;TODAY()),0,IF(OR(INDEX($B653:$D653,BC$5)="F",AND(BC$6&gt;0,$A653&lt;BC$6),AND(BC$7&gt;0,$A653&gt;BC$7)),0,MAX(0,ROUND((INDEX($E653:$G653,BC$5)-SUMIFS(TF_Timer,TF_Tekniker,BC$4,TF_Dato,$A653))*2,0)/2)))</f>
        <v/>
      </c>
      <c r="BD653">
        <f>IF(OR(BD$4="",$A653&gt;TODAY()),0,IF(OR(INDEX($B653:$D653,BD$5)="F",AND(BD$6&gt;0,$A653&lt;BD$6),AND(BD$7&gt;0,$A653&gt;BD$7)),0,MAX(0,ROUND((INDEX($E653:$G653,BD$5)-SUMIFS(TF_Timer,TF_Tekniker,BD$4,TF_Dato,$A653))*2,0)/2)))</f>
        <v/>
      </c>
      <c r="BE653">
        <f>IF(OR(BE$4="",$A653&gt;TODAY()),0,IF(OR(INDEX($B653:$D653,BE$5)="F",AND(BE$6&gt;0,$A653&lt;BE$6),AND(BE$7&gt;0,$A653&gt;BE$7)),0,MAX(0,ROUND((INDEX($E653:$G653,BE$5)-SUMIFS(TF_Timer,TF_Tekniker,BE$4,TF_Dato,$A653))*2,0)/2)))</f>
        <v/>
      </c>
      <c r="BF653">
        <f>IF(OR(BF$4="",$A653&gt;TODAY()),0,IF(OR(INDEX($B653:$D653,BF$5)="F",AND(BF$6&gt;0,$A653&lt;BF$6),AND(BF$7&gt;0,$A653&gt;BF$7)),0,MAX(0,ROUND((INDEX($E653:$G653,BF$5)-SUMIFS(TF_Timer,TF_Tekniker,BF$4,TF_Dato,$A653))*2,0)/2)))</f>
        <v/>
      </c>
      <c r="BG653">
        <f>IF(OR(BG$4="",$A653&gt;TODAY()),0,IF(OR(INDEX($B653:$D653,BG$5)="F",AND(BG$6&gt;0,$A653&lt;BG$6),AND(BG$7&gt;0,$A653&gt;BG$7)),0,MAX(0,ROUND((INDEX($E653:$G653,BG$5)-SUMIFS(TF_Timer,TF_Tekniker,BG$4,TF_Dato,$A653))*2,0)/2)))</f>
        <v/>
      </c>
      <c r="BH653">
        <f>IF(OR(BH$4="",$A653&gt;TODAY()),0,IF(OR(INDEX($B653:$D653,BH$5)="F",AND(BH$6&gt;0,$A653&lt;BH$6),AND(BH$7&gt;0,$A653&gt;BH$7)),0,MAX(0,ROUND((INDEX($E653:$G653,BH$5)-SUMIFS(TF_Timer,TF_Tekniker,BH$4,TF_Dato,$A653))*2,0)/2)))</f>
        <v/>
      </c>
      <c r="BI653">
        <f>IF(OR(BI$4="",$A653&gt;TODAY()),0,IF(OR(INDEX($B653:$D653,BI$5)="F",AND(BI$6&gt;0,$A653&lt;BI$6),AND(BI$7&gt;0,$A653&gt;BI$7)),0,MAX(0,ROUND((INDEX($E653:$G653,BI$5)-SUMIFS(TF_Timer,TF_Tekniker,BI$4,TF_Dato,$A653))*2,0)/2)))</f>
        <v/>
      </c>
    </row>
    <row r="654">
      <c r="A654" s="64">
        <f>A653+1</f>
        <v/>
      </c>
      <c r="B654">
        <f>IF(MOD($A654-INDEX(SkiftStart,1),Syklus)&lt;DagK,"K",IF(MOD($A654-INDEX(SkiftStart,1),Syklus)&lt;DagK+DagH,"H",IF(MOD($A654-INDEX(SkiftStart,1),Syklus)&lt;DagK+DagH+DagD,"D","F")))</f>
        <v/>
      </c>
      <c r="C654">
        <f>IF(MOD($A654-INDEX(SkiftStart,2),Syklus)&lt;DagK,"K",IF(MOD($A654-INDEX(SkiftStart,2),Syklus)&lt;DagK+DagH,"H",IF(MOD($A654-INDEX(SkiftStart,2),Syklus)&lt;DagK+DagH+DagD,"D","F")))</f>
        <v/>
      </c>
      <c r="D654">
        <f>IF(MOD($A654-INDEX(SkiftStart,3),Syklus)&lt;DagK,"K",IF(MOD($A654-INDEX(SkiftStart,3),Syklus)&lt;DagK+DagH,"H",IF(MOD($A654-INDEX(SkiftStart,3),Syklus)&lt;DagK+DagH+DagD,"D","F")))</f>
        <v/>
      </c>
      <c r="E654">
        <f>IF(B654="F",0,IF(WEEKDAY($A654,2)=5,INDEX(TimerFr,MATCH(B654,FaseKode,0)),INDEX(TimerMT,MATCH(B654,FaseKode,0))))</f>
        <v/>
      </c>
      <c r="F654">
        <f>IF(C654="F",0,IF(WEEKDAY($A654,2)=5,INDEX(TimerFr,MATCH(C654,FaseKode,0)),INDEX(TimerMT,MATCH(C654,FaseKode,0))))</f>
        <v/>
      </c>
      <c r="G654">
        <f>IF(D654="F",0,IF(WEEKDAY($A654,2)=5,INDEX(TimerFr,MATCH(D654,FaseKode,0)),INDEX(TimerMT,MATCH(D654,FaseKode,0))))</f>
        <v/>
      </c>
      <c r="H654">
        <f>IF(OR(H$4="",$A654&gt;TODAY()),0,IF(OR(INDEX($B654:$D654,H$5)="F",AND(H$6&gt;0,$A654&lt;H$6),AND(H$7&gt;0,$A654&gt;H$7)),0,MAX(0,ROUND((INDEX($E654:$G654,H$5)-SUMIFS(TF_Timer,TF_Tekniker,H$4,TF_Dato,$A654))*2,0)/2)))</f>
        <v/>
      </c>
      <c r="I654">
        <f>IF(OR(I$4="",$A654&gt;TODAY()),0,IF(OR(INDEX($B654:$D654,I$5)="F",AND(I$6&gt;0,$A654&lt;I$6),AND(I$7&gt;0,$A654&gt;I$7)),0,MAX(0,ROUND((INDEX($E654:$G654,I$5)-SUMIFS(TF_Timer,TF_Tekniker,I$4,TF_Dato,$A654))*2,0)/2)))</f>
        <v/>
      </c>
      <c r="J654">
        <f>IF(OR(J$4="",$A654&gt;TODAY()),0,IF(OR(INDEX($B654:$D654,J$5)="F",AND(J$6&gt;0,$A654&lt;J$6),AND(J$7&gt;0,$A654&gt;J$7)),0,MAX(0,ROUND((INDEX($E654:$G654,J$5)-SUMIFS(TF_Timer,TF_Tekniker,J$4,TF_Dato,$A654))*2,0)/2)))</f>
        <v/>
      </c>
      <c r="K654">
        <f>IF(OR(K$4="",$A654&gt;TODAY()),0,IF(OR(INDEX($B654:$D654,K$5)="F",AND(K$6&gt;0,$A654&lt;K$6),AND(K$7&gt;0,$A654&gt;K$7)),0,MAX(0,ROUND((INDEX($E654:$G654,K$5)-SUMIFS(TF_Timer,TF_Tekniker,K$4,TF_Dato,$A654))*2,0)/2)))</f>
        <v/>
      </c>
      <c r="L654">
        <f>IF(OR(L$4="",$A654&gt;TODAY()),0,IF(OR(INDEX($B654:$D654,L$5)="F",AND(L$6&gt;0,$A654&lt;L$6),AND(L$7&gt;0,$A654&gt;L$7)),0,MAX(0,ROUND((INDEX($E654:$G654,L$5)-SUMIFS(TF_Timer,TF_Tekniker,L$4,TF_Dato,$A654))*2,0)/2)))</f>
        <v/>
      </c>
      <c r="M654">
        <f>IF(OR(M$4="",$A654&gt;TODAY()),0,IF(OR(INDEX($B654:$D654,M$5)="F",AND(M$6&gt;0,$A654&lt;M$6),AND(M$7&gt;0,$A654&gt;M$7)),0,MAX(0,ROUND((INDEX($E654:$G654,M$5)-SUMIFS(TF_Timer,TF_Tekniker,M$4,TF_Dato,$A654))*2,0)/2)))</f>
        <v/>
      </c>
      <c r="N654">
        <f>IF(OR(N$4="",$A654&gt;TODAY()),0,IF(OR(INDEX($B654:$D654,N$5)="F",AND(N$6&gt;0,$A654&lt;N$6),AND(N$7&gt;0,$A654&gt;N$7)),0,MAX(0,ROUND((INDEX($E654:$G654,N$5)-SUMIFS(TF_Timer,TF_Tekniker,N$4,TF_Dato,$A654))*2,0)/2)))</f>
        <v/>
      </c>
      <c r="O654">
        <f>IF(OR(O$4="",$A654&gt;TODAY()),0,IF(OR(INDEX($B654:$D654,O$5)="F",AND(O$6&gt;0,$A654&lt;O$6),AND(O$7&gt;0,$A654&gt;O$7)),0,MAX(0,ROUND((INDEX($E654:$G654,O$5)-SUMIFS(TF_Timer,TF_Tekniker,O$4,TF_Dato,$A654))*2,0)/2)))</f>
        <v/>
      </c>
      <c r="P654">
        <f>IF(OR(P$4="",$A654&gt;TODAY()),0,IF(OR(INDEX($B654:$D654,P$5)="F",AND(P$6&gt;0,$A654&lt;P$6),AND(P$7&gt;0,$A654&gt;P$7)),0,MAX(0,ROUND((INDEX($E654:$G654,P$5)-SUMIFS(TF_Timer,TF_Tekniker,P$4,TF_Dato,$A654))*2,0)/2)))</f>
        <v/>
      </c>
      <c r="Q654">
        <f>IF(OR(Q$4="",$A654&gt;TODAY()),0,IF(OR(INDEX($B654:$D654,Q$5)="F",AND(Q$6&gt;0,$A654&lt;Q$6),AND(Q$7&gt;0,$A654&gt;Q$7)),0,MAX(0,ROUND((INDEX($E654:$G654,Q$5)-SUMIFS(TF_Timer,TF_Tekniker,Q$4,TF_Dato,$A654))*2,0)/2)))</f>
        <v/>
      </c>
      <c r="R654">
        <f>IF(OR(R$4="",$A654&gt;TODAY()),0,IF(OR(INDEX($B654:$D654,R$5)="F",AND(R$6&gt;0,$A654&lt;R$6),AND(R$7&gt;0,$A654&gt;R$7)),0,MAX(0,ROUND((INDEX($E654:$G654,R$5)-SUMIFS(TF_Timer,TF_Tekniker,R$4,TF_Dato,$A654))*2,0)/2)))</f>
        <v/>
      </c>
      <c r="S654">
        <f>IF(OR(S$4="",$A654&gt;TODAY()),0,IF(OR(INDEX($B654:$D654,S$5)="F",AND(S$6&gt;0,$A654&lt;S$6),AND(S$7&gt;0,$A654&gt;S$7)),0,MAX(0,ROUND((INDEX($E654:$G654,S$5)-SUMIFS(TF_Timer,TF_Tekniker,S$4,TF_Dato,$A654))*2,0)/2)))</f>
        <v/>
      </c>
      <c r="T654">
        <f>IF(OR(T$4="",$A654&gt;TODAY()),0,IF(OR(INDEX($B654:$D654,T$5)="F",AND(T$6&gt;0,$A654&lt;T$6),AND(T$7&gt;0,$A654&gt;T$7)),0,MAX(0,ROUND((INDEX($E654:$G654,T$5)-SUMIFS(TF_Timer,TF_Tekniker,T$4,TF_Dato,$A654))*2,0)/2)))</f>
        <v/>
      </c>
      <c r="U654">
        <f>IF(OR(U$4="",$A654&gt;TODAY()),0,IF(OR(INDEX($B654:$D654,U$5)="F",AND(U$6&gt;0,$A654&lt;U$6),AND(U$7&gt;0,$A654&gt;U$7)),0,MAX(0,ROUND((INDEX($E654:$G654,U$5)-SUMIFS(TF_Timer,TF_Tekniker,U$4,TF_Dato,$A654))*2,0)/2)))</f>
        <v/>
      </c>
      <c r="V654">
        <f>IF(OR(V$4="",$A654&gt;TODAY()),0,IF(OR(INDEX($B654:$D654,V$5)="F",AND(V$6&gt;0,$A654&lt;V$6),AND(V$7&gt;0,$A654&gt;V$7)),0,MAX(0,ROUND((INDEX($E654:$G654,V$5)-SUMIFS(TF_Timer,TF_Tekniker,V$4,TF_Dato,$A654))*2,0)/2)))</f>
        <v/>
      </c>
      <c r="W654">
        <f>IF(OR(W$4="",$A654&gt;TODAY()),0,IF(OR(INDEX($B654:$D654,W$5)="F",AND(W$6&gt;0,$A654&lt;W$6),AND(W$7&gt;0,$A654&gt;W$7)),0,MAX(0,ROUND((INDEX($E654:$G654,W$5)-SUMIFS(TF_Timer,TF_Tekniker,W$4,TF_Dato,$A654))*2,0)/2)))</f>
        <v/>
      </c>
      <c r="X654">
        <f>IF(OR(X$4="",$A654&gt;TODAY()),0,IF(OR(INDEX($B654:$D654,X$5)="F",AND(X$6&gt;0,$A654&lt;X$6),AND(X$7&gt;0,$A654&gt;X$7)),0,MAX(0,ROUND((INDEX($E654:$G654,X$5)-SUMIFS(TF_Timer,TF_Tekniker,X$4,TF_Dato,$A654))*2,0)/2)))</f>
        <v/>
      </c>
      <c r="Y654">
        <f>IF(OR(Y$4="",$A654&gt;TODAY()),0,IF(OR(INDEX($B654:$D654,Y$5)="F",AND(Y$6&gt;0,$A654&lt;Y$6),AND(Y$7&gt;0,$A654&gt;Y$7)),0,MAX(0,ROUND((INDEX($E654:$G654,Y$5)-SUMIFS(TF_Timer,TF_Tekniker,Y$4,TF_Dato,$A654))*2,0)/2)))</f>
        <v/>
      </c>
      <c r="Z654">
        <f>IF(OR(Z$4="",$A654&gt;TODAY()),0,IF(OR(INDEX($B654:$D654,Z$5)="F",AND(Z$6&gt;0,$A654&lt;Z$6),AND(Z$7&gt;0,$A654&gt;Z$7)),0,MAX(0,ROUND((INDEX($E654:$G654,Z$5)-SUMIFS(TF_Timer,TF_Tekniker,Z$4,TF_Dato,$A654))*2,0)/2)))</f>
        <v/>
      </c>
      <c r="AA654">
        <f>IF(OR(AA$4="",$A654&gt;TODAY()),0,IF(OR(INDEX($B654:$D654,AA$5)="F",AND(AA$6&gt;0,$A654&lt;AA$6),AND(AA$7&gt;0,$A654&gt;AA$7)),0,MAX(0,ROUND((INDEX($E654:$G654,AA$5)-SUMIFS(TF_Timer,TF_Tekniker,AA$4,TF_Dato,$A654))*2,0)/2)))</f>
        <v/>
      </c>
      <c r="AB654">
        <f>IF(OR(AB$4="",$A654&gt;TODAY()),0,IF(OR(INDEX($B654:$D654,AB$5)="F",AND(AB$6&gt;0,$A654&lt;AB$6),AND(AB$7&gt;0,$A654&gt;AB$7)),0,MAX(0,ROUND((INDEX($E654:$G654,AB$5)-SUMIFS(TF_Timer,TF_Tekniker,AB$4,TF_Dato,$A654))*2,0)/2)))</f>
        <v/>
      </c>
      <c r="AC654">
        <f>IF(OR(AC$4="",$A654&gt;TODAY()),0,IF(OR(INDEX($B654:$D654,AC$5)="F",AND(AC$6&gt;0,$A654&lt;AC$6),AND(AC$7&gt;0,$A654&gt;AC$7)),0,MAX(0,ROUND((INDEX($E654:$G654,AC$5)-SUMIFS(TF_Timer,TF_Tekniker,AC$4,TF_Dato,$A654))*2,0)/2)))</f>
        <v/>
      </c>
      <c r="AD654">
        <f>IF(OR(AD$4="",$A654&gt;TODAY()),0,IF(OR(INDEX($B654:$D654,AD$5)="F",AND(AD$6&gt;0,$A654&lt;AD$6),AND(AD$7&gt;0,$A654&gt;AD$7)),0,MAX(0,ROUND((INDEX($E654:$G654,AD$5)-SUMIFS(TF_Timer,TF_Tekniker,AD$4,TF_Dato,$A654))*2,0)/2)))</f>
        <v/>
      </c>
      <c r="AE654">
        <f>IF(OR(AE$4="",$A654&gt;TODAY()),0,IF(OR(INDEX($B654:$D654,AE$5)="F",AND(AE$6&gt;0,$A654&lt;AE$6),AND(AE$7&gt;0,$A654&gt;AE$7)),0,MAX(0,ROUND((INDEX($E654:$G654,AE$5)-SUMIFS(TF_Timer,TF_Tekniker,AE$4,TF_Dato,$A654))*2,0)/2)))</f>
        <v/>
      </c>
      <c r="AF654">
        <f>IF(OR(AF$4="",$A654&gt;TODAY()),0,IF(OR(INDEX($B654:$D654,AF$5)="F",AND(AF$6&gt;0,$A654&lt;AF$6),AND(AF$7&gt;0,$A654&gt;AF$7)),0,MAX(0,ROUND((INDEX($E654:$G654,AF$5)-SUMIFS(TF_Timer,TF_Tekniker,AF$4,TF_Dato,$A654))*2,0)/2)))</f>
        <v/>
      </c>
      <c r="AG654">
        <f>IF(OR(AG$4="",$A654&gt;TODAY()),0,IF(OR(INDEX($B654:$D654,AG$5)="F",AND(AG$6&gt;0,$A654&lt;AG$6),AND(AG$7&gt;0,$A654&gt;AG$7)),0,MAX(0,ROUND((INDEX($E654:$G654,AG$5)-SUMIFS(TF_Timer,TF_Tekniker,AG$4,TF_Dato,$A654))*2,0)/2)))</f>
        <v/>
      </c>
      <c r="AH654">
        <f>IF(OR(AH$4="",$A654&gt;TODAY()),0,IF(OR(INDEX($B654:$D654,AH$5)="F",AND(AH$6&gt;0,$A654&lt;AH$6),AND(AH$7&gt;0,$A654&gt;AH$7)),0,MAX(0,ROUND((INDEX($E654:$G654,AH$5)-SUMIFS(TF_Timer,TF_Tekniker,AH$4,TF_Dato,$A654))*2,0)/2)))</f>
        <v/>
      </c>
      <c r="AI654">
        <f>IF(OR(AI$4="",$A654&gt;TODAY()),0,IF(OR(INDEX($B654:$D654,AI$5)="F",AND(AI$6&gt;0,$A654&lt;AI$6),AND(AI$7&gt;0,$A654&gt;AI$7)),0,MAX(0,ROUND((INDEX($E654:$G654,AI$5)-SUMIFS(TF_Timer,TF_Tekniker,AI$4,TF_Dato,$A654))*2,0)/2)))</f>
        <v/>
      </c>
      <c r="AJ654">
        <f>IF(OR(AJ$4="",$A654&gt;TODAY()),0,IF(OR(INDEX($B654:$D654,AJ$5)="F",AND(AJ$6&gt;0,$A654&lt;AJ$6),AND(AJ$7&gt;0,$A654&gt;AJ$7)),0,MAX(0,ROUND((INDEX($E654:$G654,AJ$5)-SUMIFS(TF_Timer,TF_Tekniker,AJ$4,TF_Dato,$A654))*2,0)/2)))</f>
        <v/>
      </c>
      <c r="AK654">
        <f>IF(OR(AK$4="",$A654&gt;TODAY()),0,IF(OR(INDEX($B654:$D654,AK$5)="F",AND(AK$6&gt;0,$A654&lt;AK$6),AND(AK$7&gt;0,$A654&gt;AK$7)),0,MAX(0,ROUND((INDEX($E654:$G654,AK$5)-SUMIFS(TF_Timer,TF_Tekniker,AK$4,TF_Dato,$A654))*2,0)/2)))</f>
        <v/>
      </c>
      <c r="AL654">
        <f>IF(OR(AL$4="",$A654&gt;TODAY()),0,IF(OR(INDEX($B654:$D654,AL$5)="F",AND(AL$6&gt;0,$A654&lt;AL$6),AND(AL$7&gt;0,$A654&gt;AL$7)),0,MAX(0,ROUND((INDEX($E654:$G654,AL$5)-SUMIFS(TF_Timer,TF_Tekniker,AL$4,TF_Dato,$A654))*2,0)/2)))</f>
        <v/>
      </c>
      <c r="AM654">
        <f>IF(OR(AM$4="",$A654&gt;TODAY()),0,IF(OR(INDEX($B654:$D654,AM$5)="F",AND(AM$6&gt;0,$A654&lt;AM$6),AND(AM$7&gt;0,$A654&gt;AM$7)),0,MAX(0,ROUND((INDEX($E654:$G654,AM$5)-SUMIFS(TF_Timer,TF_Tekniker,AM$4,TF_Dato,$A654))*2,0)/2)))</f>
        <v/>
      </c>
      <c r="AN654">
        <f>IF(OR(AN$4="",$A654&gt;TODAY()),0,IF(OR(INDEX($B654:$D654,AN$5)="F",AND(AN$6&gt;0,$A654&lt;AN$6),AND(AN$7&gt;0,$A654&gt;AN$7)),0,MAX(0,ROUND((INDEX($E654:$G654,AN$5)-SUMIFS(TF_Timer,TF_Tekniker,AN$4,TF_Dato,$A654))*2,0)/2)))</f>
        <v/>
      </c>
      <c r="AO654">
        <f>IF(OR(AO$4="",$A654&gt;TODAY()),0,IF(OR(INDEX($B654:$D654,AO$5)="F",AND(AO$6&gt;0,$A654&lt;AO$6),AND(AO$7&gt;0,$A654&gt;AO$7)),0,MAX(0,ROUND((INDEX($E654:$G654,AO$5)-SUMIFS(TF_Timer,TF_Tekniker,AO$4,TF_Dato,$A654))*2,0)/2)))</f>
        <v/>
      </c>
      <c r="AP654">
        <f>IF(OR(AP$4="",$A654&gt;TODAY()),0,IF(OR(INDEX($B654:$D654,AP$5)="F",AND(AP$6&gt;0,$A654&lt;AP$6),AND(AP$7&gt;0,$A654&gt;AP$7)),0,MAX(0,ROUND((INDEX($E654:$G654,AP$5)-SUMIFS(TF_Timer,TF_Tekniker,AP$4,TF_Dato,$A654))*2,0)/2)))</f>
        <v/>
      </c>
      <c r="AQ654">
        <f>IF(OR(AQ$4="",$A654&gt;TODAY()),0,IF(OR(INDEX($B654:$D654,AQ$5)="F",AND(AQ$6&gt;0,$A654&lt;AQ$6),AND(AQ$7&gt;0,$A654&gt;AQ$7)),0,MAX(0,ROUND((INDEX($E654:$G654,AQ$5)-SUMIFS(TF_Timer,TF_Tekniker,AQ$4,TF_Dato,$A654))*2,0)/2)))</f>
        <v/>
      </c>
      <c r="AR654">
        <f>IF(OR(AR$4="",$A654&gt;TODAY()),0,IF(OR(INDEX($B654:$D654,AR$5)="F",AND(AR$6&gt;0,$A654&lt;AR$6),AND(AR$7&gt;0,$A654&gt;AR$7)),0,MAX(0,ROUND((INDEX($E654:$G654,AR$5)-SUMIFS(TF_Timer,TF_Tekniker,AR$4,TF_Dato,$A654))*2,0)/2)))</f>
        <v/>
      </c>
      <c r="AS654">
        <f>IF(OR(AS$4="",$A654&gt;TODAY()),0,IF(OR(INDEX($B654:$D654,AS$5)="F",AND(AS$6&gt;0,$A654&lt;AS$6),AND(AS$7&gt;0,$A654&gt;AS$7)),0,MAX(0,ROUND((INDEX($E654:$G654,AS$5)-SUMIFS(TF_Timer,TF_Tekniker,AS$4,TF_Dato,$A654))*2,0)/2)))</f>
        <v/>
      </c>
      <c r="AT654">
        <f>IF(OR(AT$4="",$A654&gt;TODAY()),0,IF(OR(INDEX($B654:$D654,AT$5)="F",AND(AT$6&gt;0,$A654&lt;AT$6),AND(AT$7&gt;0,$A654&gt;AT$7)),0,MAX(0,ROUND((INDEX($E654:$G654,AT$5)-SUMIFS(TF_Timer,TF_Tekniker,AT$4,TF_Dato,$A654))*2,0)/2)))</f>
        <v/>
      </c>
      <c r="AU654">
        <f>IF(OR(AU$4="",$A654&gt;TODAY()),0,IF(OR(INDEX($B654:$D654,AU$5)="F",AND(AU$6&gt;0,$A654&lt;AU$6),AND(AU$7&gt;0,$A654&gt;AU$7)),0,MAX(0,ROUND((INDEX($E654:$G654,AU$5)-SUMIFS(TF_Timer,TF_Tekniker,AU$4,TF_Dato,$A654))*2,0)/2)))</f>
        <v/>
      </c>
      <c r="AV654">
        <f>IF(OR(AV$4="",$A654&gt;TODAY()),0,IF(OR(INDEX($B654:$D654,AV$5)="F",AND(AV$6&gt;0,$A654&lt;AV$6),AND(AV$7&gt;0,$A654&gt;AV$7)),0,MAX(0,ROUND((INDEX($E654:$G654,AV$5)-SUMIFS(TF_Timer,TF_Tekniker,AV$4,TF_Dato,$A654))*2,0)/2)))</f>
        <v/>
      </c>
      <c r="AW654">
        <f>IF(OR(AW$4="",$A654&gt;TODAY()),0,IF(OR(INDEX($B654:$D654,AW$5)="F",AND(AW$6&gt;0,$A654&lt;AW$6),AND(AW$7&gt;0,$A654&gt;AW$7)),0,MAX(0,ROUND((INDEX($E654:$G654,AW$5)-SUMIFS(TF_Timer,TF_Tekniker,AW$4,TF_Dato,$A654))*2,0)/2)))</f>
        <v/>
      </c>
      <c r="AX654">
        <f>IF(OR(AX$4="",$A654&gt;TODAY()),0,IF(OR(INDEX($B654:$D654,AX$5)="F",AND(AX$6&gt;0,$A654&lt;AX$6),AND(AX$7&gt;0,$A654&gt;AX$7)),0,MAX(0,ROUND((INDEX($E654:$G654,AX$5)-SUMIFS(TF_Timer,TF_Tekniker,AX$4,TF_Dato,$A654))*2,0)/2)))</f>
        <v/>
      </c>
      <c r="AY654">
        <f>IF(OR(AY$4="",$A654&gt;TODAY()),0,IF(OR(INDEX($B654:$D654,AY$5)="F",AND(AY$6&gt;0,$A654&lt;AY$6),AND(AY$7&gt;0,$A654&gt;AY$7)),0,MAX(0,ROUND((INDEX($E654:$G654,AY$5)-SUMIFS(TF_Timer,TF_Tekniker,AY$4,TF_Dato,$A654))*2,0)/2)))</f>
        <v/>
      </c>
      <c r="AZ654">
        <f>IF(OR(AZ$4="",$A654&gt;TODAY()),0,IF(OR(INDEX($B654:$D654,AZ$5)="F",AND(AZ$6&gt;0,$A654&lt;AZ$6),AND(AZ$7&gt;0,$A654&gt;AZ$7)),0,MAX(0,ROUND((INDEX($E654:$G654,AZ$5)-SUMIFS(TF_Timer,TF_Tekniker,AZ$4,TF_Dato,$A654))*2,0)/2)))</f>
        <v/>
      </c>
      <c r="BA654">
        <f>IF(OR(BA$4="",$A654&gt;TODAY()),0,IF(OR(INDEX($B654:$D654,BA$5)="F",AND(BA$6&gt;0,$A654&lt;BA$6),AND(BA$7&gt;0,$A654&gt;BA$7)),0,MAX(0,ROUND((INDEX($E654:$G654,BA$5)-SUMIFS(TF_Timer,TF_Tekniker,BA$4,TF_Dato,$A654))*2,0)/2)))</f>
        <v/>
      </c>
      <c r="BB654">
        <f>IF(OR(BB$4="",$A654&gt;TODAY()),0,IF(OR(INDEX($B654:$D654,BB$5)="F",AND(BB$6&gt;0,$A654&lt;BB$6),AND(BB$7&gt;0,$A654&gt;BB$7)),0,MAX(0,ROUND((INDEX($E654:$G654,BB$5)-SUMIFS(TF_Timer,TF_Tekniker,BB$4,TF_Dato,$A654))*2,0)/2)))</f>
        <v/>
      </c>
      <c r="BC654">
        <f>IF(OR(BC$4="",$A654&gt;TODAY()),0,IF(OR(INDEX($B654:$D654,BC$5)="F",AND(BC$6&gt;0,$A654&lt;BC$6),AND(BC$7&gt;0,$A654&gt;BC$7)),0,MAX(0,ROUND((INDEX($E654:$G654,BC$5)-SUMIFS(TF_Timer,TF_Tekniker,BC$4,TF_Dato,$A654))*2,0)/2)))</f>
        <v/>
      </c>
      <c r="BD654">
        <f>IF(OR(BD$4="",$A654&gt;TODAY()),0,IF(OR(INDEX($B654:$D654,BD$5)="F",AND(BD$6&gt;0,$A654&lt;BD$6),AND(BD$7&gt;0,$A654&gt;BD$7)),0,MAX(0,ROUND((INDEX($E654:$G654,BD$5)-SUMIFS(TF_Timer,TF_Tekniker,BD$4,TF_Dato,$A654))*2,0)/2)))</f>
        <v/>
      </c>
      <c r="BE654">
        <f>IF(OR(BE$4="",$A654&gt;TODAY()),0,IF(OR(INDEX($B654:$D654,BE$5)="F",AND(BE$6&gt;0,$A654&lt;BE$6),AND(BE$7&gt;0,$A654&gt;BE$7)),0,MAX(0,ROUND((INDEX($E654:$G654,BE$5)-SUMIFS(TF_Timer,TF_Tekniker,BE$4,TF_Dato,$A654))*2,0)/2)))</f>
        <v/>
      </c>
      <c r="BF654">
        <f>IF(OR(BF$4="",$A654&gt;TODAY()),0,IF(OR(INDEX($B654:$D654,BF$5)="F",AND(BF$6&gt;0,$A654&lt;BF$6),AND(BF$7&gt;0,$A654&gt;BF$7)),0,MAX(0,ROUND((INDEX($E654:$G654,BF$5)-SUMIFS(TF_Timer,TF_Tekniker,BF$4,TF_Dato,$A654))*2,0)/2)))</f>
        <v/>
      </c>
      <c r="BG654">
        <f>IF(OR(BG$4="",$A654&gt;TODAY()),0,IF(OR(INDEX($B654:$D654,BG$5)="F",AND(BG$6&gt;0,$A654&lt;BG$6),AND(BG$7&gt;0,$A654&gt;BG$7)),0,MAX(0,ROUND((INDEX($E654:$G654,BG$5)-SUMIFS(TF_Timer,TF_Tekniker,BG$4,TF_Dato,$A654))*2,0)/2)))</f>
        <v/>
      </c>
      <c r="BH654">
        <f>IF(OR(BH$4="",$A654&gt;TODAY()),0,IF(OR(INDEX($B654:$D654,BH$5)="F",AND(BH$6&gt;0,$A654&lt;BH$6),AND(BH$7&gt;0,$A654&gt;BH$7)),0,MAX(0,ROUND((INDEX($E654:$G654,BH$5)-SUMIFS(TF_Timer,TF_Tekniker,BH$4,TF_Dato,$A654))*2,0)/2)))</f>
        <v/>
      </c>
      <c r="BI654">
        <f>IF(OR(BI$4="",$A654&gt;TODAY()),0,IF(OR(INDEX($B654:$D654,BI$5)="F",AND(BI$6&gt;0,$A654&lt;BI$6),AND(BI$7&gt;0,$A654&gt;BI$7)),0,MAX(0,ROUND((INDEX($E654:$G654,BI$5)-SUMIFS(TF_Timer,TF_Tekniker,BI$4,TF_Dato,$A654))*2,0)/2)))</f>
        <v/>
      </c>
    </row>
    <row r="655">
      <c r="A655" s="64">
        <f>A654+1</f>
        <v/>
      </c>
      <c r="B655">
        <f>IF(MOD($A655-INDEX(SkiftStart,1),Syklus)&lt;DagK,"K",IF(MOD($A655-INDEX(SkiftStart,1),Syklus)&lt;DagK+DagH,"H",IF(MOD($A655-INDEX(SkiftStart,1),Syklus)&lt;DagK+DagH+DagD,"D","F")))</f>
        <v/>
      </c>
      <c r="C655">
        <f>IF(MOD($A655-INDEX(SkiftStart,2),Syklus)&lt;DagK,"K",IF(MOD($A655-INDEX(SkiftStart,2),Syklus)&lt;DagK+DagH,"H",IF(MOD($A655-INDEX(SkiftStart,2),Syklus)&lt;DagK+DagH+DagD,"D","F")))</f>
        <v/>
      </c>
      <c r="D655">
        <f>IF(MOD($A655-INDEX(SkiftStart,3),Syklus)&lt;DagK,"K",IF(MOD($A655-INDEX(SkiftStart,3),Syklus)&lt;DagK+DagH,"H",IF(MOD($A655-INDEX(SkiftStart,3),Syklus)&lt;DagK+DagH+DagD,"D","F")))</f>
        <v/>
      </c>
      <c r="E655">
        <f>IF(B655="F",0,IF(WEEKDAY($A655,2)=5,INDEX(TimerFr,MATCH(B655,FaseKode,0)),INDEX(TimerMT,MATCH(B655,FaseKode,0))))</f>
        <v/>
      </c>
      <c r="F655">
        <f>IF(C655="F",0,IF(WEEKDAY($A655,2)=5,INDEX(TimerFr,MATCH(C655,FaseKode,0)),INDEX(TimerMT,MATCH(C655,FaseKode,0))))</f>
        <v/>
      </c>
      <c r="G655">
        <f>IF(D655="F",0,IF(WEEKDAY($A655,2)=5,INDEX(TimerFr,MATCH(D655,FaseKode,0)),INDEX(TimerMT,MATCH(D655,FaseKode,0))))</f>
        <v/>
      </c>
      <c r="H655">
        <f>IF(OR(H$4="",$A655&gt;TODAY()),0,IF(OR(INDEX($B655:$D655,H$5)="F",AND(H$6&gt;0,$A655&lt;H$6),AND(H$7&gt;0,$A655&gt;H$7)),0,MAX(0,ROUND((INDEX($E655:$G655,H$5)-SUMIFS(TF_Timer,TF_Tekniker,H$4,TF_Dato,$A655))*2,0)/2)))</f>
        <v/>
      </c>
      <c r="I655">
        <f>IF(OR(I$4="",$A655&gt;TODAY()),0,IF(OR(INDEX($B655:$D655,I$5)="F",AND(I$6&gt;0,$A655&lt;I$6),AND(I$7&gt;0,$A655&gt;I$7)),0,MAX(0,ROUND((INDEX($E655:$G655,I$5)-SUMIFS(TF_Timer,TF_Tekniker,I$4,TF_Dato,$A655))*2,0)/2)))</f>
        <v/>
      </c>
      <c r="J655">
        <f>IF(OR(J$4="",$A655&gt;TODAY()),0,IF(OR(INDEX($B655:$D655,J$5)="F",AND(J$6&gt;0,$A655&lt;J$6),AND(J$7&gt;0,$A655&gt;J$7)),0,MAX(0,ROUND((INDEX($E655:$G655,J$5)-SUMIFS(TF_Timer,TF_Tekniker,J$4,TF_Dato,$A655))*2,0)/2)))</f>
        <v/>
      </c>
      <c r="K655">
        <f>IF(OR(K$4="",$A655&gt;TODAY()),0,IF(OR(INDEX($B655:$D655,K$5)="F",AND(K$6&gt;0,$A655&lt;K$6),AND(K$7&gt;0,$A655&gt;K$7)),0,MAX(0,ROUND((INDEX($E655:$G655,K$5)-SUMIFS(TF_Timer,TF_Tekniker,K$4,TF_Dato,$A655))*2,0)/2)))</f>
        <v/>
      </c>
      <c r="L655">
        <f>IF(OR(L$4="",$A655&gt;TODAY()),0,IF(OR(INDEX($B655:$D655,L$5)="F",AND(L$6&gt;0,$A655&lt;L$6),AND(L$7&gt;0,$A655&gt;L$7)),0,MAX(0,ROUND((INDEX($E655:$G655,L$5)-SUMIFS(TF_Timer,TF_Tekniker,L$4,TF_Dato,$A655))*2,0)/2)))</f>
        <v/>
      </c>
      <c r="M655">
        <f>IF(OR(M$4="",$A655&gt;TODAY()),0,IF(OR(INDEX($B655:$D655,M$5)="F",AND(M$6&gt;0,$A655&lt;M$6),AND(M$7&gt;0,$A655&gt;M$7)),0,MAX(0,ROUND((INDEX($E655:$G655,M$5)-SUMIFS(TF_Timer,TF_Tekniker,M$4,TF_Dato,$A655))*2,0)/2)))</f>
        <v/>
      </c>
      <c r="N655">
        <f>IF(OR(N$4="",$A655&gt;TODAY()),0,IF(OR(INDEX($B655:$D655,N$5)="F",AND(N$6&gt;0,$A655&lt;N$6),AND(N$7&gt;0,$A655&gt;N$7)),0,MAX(0,ROUND((INDEX($E655:$G655,N$5)-SUMIFS(TF_Timer,TF_Tekniker,N$4,TF_Dato,$A655))*2,0)/2)))</f>
        <v/>
      </c>
      <c r="O655">
        <f>IF(OR(O$4="",$A655&gt;TODAY()),0,IF(OR(INDEX($B655:$D655,O$5)="F",AND(O$6&gt;0,$A655&lt;O$6),AND(O$7&gt;0,$A655&gt;O$7)),0,MAX(0,ROUND((INDEX($E655:$G655,O$5)-SUMIFS(TF_Timer,TF_Tekniker,O$4,TF_Dato,$A655))*2,0)/2)))</f>
        <v/>
      </c>
      <c r="P655">
        <f>IF(OR(P$4="",$A655&gt;TODAY()),0,IF(OR(INDEX($B655:$D655,P$5)="F",AND(P$6&gt;0,$A655&lt;P$6),AND(P$7&gt;0,$A655&gt;P$7)),0,MAX(0,ROUND((INDEX($E655:$G655,P$5)-SUMIFS(TF_Timer,TF_Tekniker,P$4,TF_Dato,$A655))*2,0)/2)))</f>
        <v/>
      </c>
      <c r="Q655">
        <f>IF(OR(Q$4="",$A655&gt;TODAY()),0,IF(OR(INDEX($B655:$D655,Q$5)="F",AND(Q$6&gt;0,$A655&lt;Q$6),AND(Q$7&gt;0,$A655&gt;Q$7)),0,MAX(0,ROUND((INDEX($E655:$G655,Q$5)-SUMIFS(TF_Timer,TF_Tekniker,Q$4,TF_Dato,$A655))*2,0)/2)))</f>
        <v/>
      </c>
      <c r="R655">
        <f>IF(OR(R$4="",$A655&gt;TODAY()),0,IF(OR(INDEX($B655:$D655,R$5)="F",AND(R$6&gt;0,$A655&lt;R$6),AND(R$7&gt;0,$A655&gt;R$7)),0,MAX(0,ROUND((INDEX($E655:$G655,R$5)-SUMIFS(TF_Timer,TF_Tekniker,R$4,TF_Dato,$A655))*2,0)/2)))</f>
        <v/>
      </c>
      <c r="S655">
        <f>IF(OR(S$4="",$A655&gt;TODAY()),0,IF(OR(INDEX($B655:$D655,S$5)="F",AND(S$6&gt;0,$A655&lt;S$6),AND(S$7&gt;0,$A655&gt;S$7)),0,MAX(0,ROUND((INDEX($E655:$G655,S$5)-SUMIFS(TF_Timer,TF_Tekniker,S$4,TF_Dato,$A655))*2,0)/2)))</f>
        <v/>
      </c>
      <c r="T655">
        <f>IF(OR(T$4="",$A655&gt;TODAY()),0,IF(OR(INDEX($B655:$D655,T$5)="F",AND(T$6&gt;0,$A655&lt;T$6),AND(T$7&gt;0,$A655&gt;T$7)),0,MAX(0,ROUND((INDEX($E655:$G655,T$5)-SUMIFS(TF_Timer,TF_Tekniker,T$4,TF_Dato,$A655))*2,0)/2)))</f>
        <v/>
      </c>
      <c r="U655">
        <f>IF(OR(U$4="",$A655&gt;TODAY()),0,IF(OR(INDEX($B655:$D655,U$5)="F",AND(U$6&gt;0,$A655&lt;U$6),AND(U$7&gt;0,$A655&gt;U$7)),0,MAX(0,ROUND((INDEX($E655:$G655,U$5)-SUMIFS(TF_Timer,TF_Tekniker,U$4,TF_Dato,$A655))*2,0)/2)))</f>
        <v/>
      </c>
      <c r="V655">
        <f>IF(OR(V$4="",$A655&gt;TODAY()),0,IF(OR(INDEX($B655:$D655,V$5)="F",AND(V$6&gt;0,$A655&lt;V$6),AND(V$7&gt;0,$A655&gt;V$7)),0,MAX(0,ROUND((INDEX($E655:$G655,V$5)-SUMIFS(TF_Timer,TF_Tekniker,V$4,TF_Dato,$A655))*2,0)/2)))</f>
        <v/>
      </c>
      <c r="W655">
        <f>IF(OR(W$4="",$A655&gt;TODAY()),0,IF(OR(INDEX($B655:$D655,W$5)="F",AND(W$6&gt;0,$A655&lt;W$6),AND(W$7&gt;0,$A655&gt;W$7)),0,MAX(0,ROUND((INDEX($E655:$G655,W$5)-SUMIFS(TF_Timer,TF_Tekniker,W$4,TF_Dato,$A655))*2,0)/2)))</f>
        <v/>
      </c>
      <c r="X655">
        <f>IF(OR(X$4="",$A655&gt;TODAY()),0,IF(OR(INDEX($B655:$D655,X$5)="F",AND(X$6&gt;0,$A655&lt;X$6),AND(X$7&gt;0,$A655&gt;X$7)),0,MAX(0,ROUND((INDEX($E655:$G655,X$5)-SUMIFS(TF_Timer,TF_Tekniker,X$4,TF_Dato,$A655))*2,0)/2)))</f>
        <v/>
      </c>
      <c r="Y655">
        <f>IF(OR(Y$4="",$A655&gt;TODAY()),0,IF(OR(INDEX($B655:$D655,Y$5)="F",AND(Y$6&gt;0,$A655&lt;Y$6),AND(Y$7&gt;0,$A655&gt;Y$7)),0,MAX(0,ROUND((INDEX($E655:$G655,Y$5)-SUMIFS(TF_Timer,TF_Tekniker,Y$4,TF_Dato,$A655))*2,0)/2)))</f>
        <v/>
      </c>
      <c r="Z655">
        <f>IF(OR(Z$4="",$A655&gt;TODAY()),0,IF(OR(INDEX($B655:$D655,Z$5)="F",AND(Z$6&gt;0,$A655&lt;Z$6),AND(Z$7&gt;0,$A655&gt;Z$7)),0,MAX(0,ROUND((INDEX($E655:$G655,Z$5)-SUMIFS(TF_Timer,TF_Tekniker,Z$4,TF_Dato,$A655))*2,0)/2)))</f>
        <v/>
      </c>
      <c r="AA655">
        <f>IF(OR(AA$4="",$A655&gt;TODAY()),0,IF(OR(INDEX($B655:$D655,AA$5)="F",AND(AA$6&gt;0,$A655&lt;AA$6),AND(AA$7&gt;0,$A655&gt;AA$7)),0,MAX(0,ROUND((INDEX($E655:$G655,AA$5)-SUMIFS(TF_Timer,TF_Tekniker,AA$4,TF_Dato,$A655))*2,0)/2)))</f>
        <v/>
      </c>
      <c r="AB655">
        <f>IF(OR(AB$4="",$A655&gt;TODAY()),0,IF(OR(INDEX($B655:$D655,AB$5)="F",AND(AB$6&gt;0,$A655&lt;AB$6),AND(AB$7&gt;0,$A655&gt;AB$7)),0,MAX(0,ROUND((INDEX($E655:$G655,AB$5)-SUMIFS(TF_Timer,TF_Tekniker,AB$4,TF_Dato,$A655))*2,0)/2)))</f>
        <v/>
      </c>
      <c r="AC655">
        <f>IF(OR(AC$4="",$A655&gt;TODAY()),0,IF(OR(INDEX($B655:$D655,AC$5)="F",AND(AC$6&gt;0,$A655&lt;AC$6),AND(AC$7&gt;0,$A655&gt;AC$7)),0,MAX(0,ROUND((INDEX($E655:$G655,AC$5)-SUMIFS(TF_Timer,TF_Tekniker,AC$4,TF_Dato,$A655))*2,0)/2)))</f>
        <v/>
      </c>
      <c r="AD655">
        <f>IF(OR(AD$4="",$A655&gt;TODAY()),0,IF(OR(INDEX($B655:$D655,AD$5)="F",AND(AD$6&gt;0,$A655&lt;AD$6),AND(AD$7&gt;0,$A655&gt;AD$7)),0,MAX(0,ROUND((INDEX($E655:$G655,AD$5)-SUMIFS(TF_Timer,TF_Tekniker,AD$4,TF_Dato,$A655))*2,0)/2)))</f>
        <v/>
      </c>
      <c r="AE655">
        <f>IF(OR(AE$4="",$A655&gt;TODAY()),0,IF(OR(INDEX($B655:$D655,AE$5)="F",AND(AE$6&gt;0,$A655&lt;AE$6),AND(AE$7&gt;0,$A655&gt;AE$7)),0,MAX(0,ROUND((INDEX($E655:$G655,AE$5)-SUMIFS(TF_Timer,TF_Tekniker,AE$4,TF_Dato,$A655))*2,0)/2)))</f>
        <v/>
      </c>
      <c r="AF655">
        <f>IF(OR(AF$4="",$A655&gt;TODAY()),0,IF(OR(INDEX($B655:$D655,AF$5)="F",AND(AF$6&gt;0,$A655&lt;AF$6),AND(AF$7&gt;0,$A655&gt;AF$7)),0,MAX(0,ROUND((INDEX($E655:$G655,AF$5)-SUMIFS(TF_Timer,TF_Tekniker,AF$4,TF_Dato,$A655))*2,0)/2)))</f>
        <v/>
      </c>
      <c r="AG655">
        <f>IF(OR(AG$4="",$A655&gt;TODAY()),0,IF(OR(INDEX($B655:$D655,AG$5)="F",AND(AG$6&gt;0,$A655&lt;AG$6),AND(AG$7&gt;0,$A655&gt;AG$7)),0,MAX(0,ROUND((INDEX($E655:$G655,AG$5)-SUMIFS(TF_Timer,TF_Tekniker,AG$4,TF_Dato,$A655))*2,0)/2)))</f>
        <v/>
      </c>
      <c r="AH655">
        <f>IF(OR(AH$4="",$A655&gt;TODAY()),0,IF(OR(INDEX($B655:$D655,AH$5)="F",AND(AH$6&gt;0,$A655&lt;AH$6),AND(AH$7&gt;0,$A655&gt;AH$7)),0,MAX(0,ROUND((INDEX($E655:$G655,AH$5)-SUMIFS(TF_Timer,TF_Tekniker,AH$4,TF_Dato,$A655))*2,0)/2)))</f>
        <v/>
      </c>
      <c r="AI655">
        <f>IF(OR(AI$4="",$A655&gt;TODAY()),0,IF(OR(INDEX($B655:$D655,AI$5)="F",AND(AI$6&gt;0,$A655&lt;AI$6),AND(AI$7&gt;0,$A655&gt;AI$7)),0,MAX(0,ROUND((INDEX($E655:$G655,AI$5)-SUMIFS(TF_Timer,TF_Tekniker,AI$4,TF_Dato,$A655))*2,0)/2)))</f>
        <v/>
      </c>
      <c r="AJ655">
        <f>IF(OR(AJ$4="",$A655&gt;TODAY()),0,IF(OR(INDEX($B655:$D655,AJ$5)="F",AND(AJ$6&gt;0,$A655&lt;AJ$6),AND(AJ$7&gt;0,$A655&gt;AJ$7)),0,MAX(0,ROUND((INDEX($E655:$G655,AJ$5)-SUMIFS(TF_Timer,TF_Tekniker,AJ$4,TF_Dato,$A655))*2,0)/2)))</f>
        <v/>
      </c>
      <c r="AK655">
        <f>IF(OR(AK$4="",$A655&gt;TODAY()),0,IF(OR(INDEX($B655:$D655,AK$5)="F",AND(AK$6&gt;0,$A655&lt;AK$6),AND(AK$7&gt;0,$A655&gt;AK$7)),0,MAX(0,ROUND((INDEX($E655:$G655,AK$5)-SUMIFS(TF_Timer,TF_Tekniker,AK$4,TF_Dato,$A655))*2,0)/2)))</f>
        <v/>
      </c>
      <c r="AL655">
        <f>IF(OR(AL$4="",$A655&gt;TODAY()),0,IF(OR(INDEX($B655:$D655,AL$5)="F",AND(AL$6&gt;0,$A655&lt;AL$6),AND(AL$7&gt;0,$A655&gt;AL$7)),0,MAX(0,ROUND((INDEX($E655:$G655,AL$5)-SUMIFS(TF_Timer,TF_Tekniker,AL$4,TF_Dato,$A655))*2,0)/2)))</f>
        <v/>
      </c>
      <c r="AM655">
        <f>IF(OR(AM$4="",$A655&gt;TODAY()),0,IF(OR(INDEX($B655:$D655,AM$5)="F",AND(AM$6&gt;0,$A655&lt;AM$6),AND(AM$7&gt;0,$A655&gt;AM$7)),0,MAX(0,ROUND((INDEX($E655:$G655,AM$5)-SUMIFS(TF_Timer,TF_Tekniker,AM$4,TF_Dato,$A655))*2,0)/2)))</f>
        <v/>
      </c>
      <c r="AN655">
        <f>IF(OR(AN$4="",$A655&gt;TODAY()),0,IF(OR(INDEX($B655:$D655,AN$5)="F",AND(AN$6&gt;0,$A655&lt;AN$6),AND(AN$7&gt;0,$A655&gt;AN$7)),0,MAX(0,ROUND((INDEX($E655:$G655,AN$5)-SUMIFS(TF_Timer,TF_Tekniker,AN$4,TF_Dato,$A655))*2,0)/2)))</f>
        <v/>
      </c>
      <c r="AO655">
        <f>IF(OR(AO$4="",$A655&gt;TODAY()),0,IF(OR(INDEX($B655:$D655,AO$5)="F",AND(AO$6&gt;0,$A655&lt;AO$6),AND(AO$7&gt;0,$A655&gt;AO$7)),0,MAX(0,ROUND((INDEX($E655:$G655,AO$5)-SUMIFS(TF_Timer,TF_Tekniker,AO$4,TF_Dato,$A655))*2,0)/2)))</f>
        <v/>
      </c>
      <c r="AP655">
        <f>IF(OR(AP$4="",$A655&gt;TODAY()),0,IF(OR(INDEX($B655:$D655,AP$5)="F",AND(AP$6&gt;0,$A655&lt;AP$6),AND(AP$7&gt;0,$A655&gt;AP$7)),0,MAX(0,ROUND((INDEX($E655:$G655,AP$5)-SUMIFS(TF_Timer,TF_Tekniker,AP$4,TF_Dato,$A655))*2,0)/2)))</f>
        <v/>
      </c>
      <c r="AQ655">
        <f>IF(OR(AQ$4="",$A655&gt;TODAY()),0,IF(OR(INDEX($B655:$D655,AQ$5)="F",AND(AQ$6&gt;0,$A655&lt;AQ$6),AND(AQ$7&gt;0,$A655&gt;AQ$7)),0,MAX(0,ROUND((INDEX($E655:$G655,AQ$5)-SUMIFS(TF_Timer,TF_Tekniker,AQ$4,TF_Dato,$A655))*2,0)/2)))</f>
        <v/>
      </c>
      <c r="AR655">
        <f>IF(OR(AR$4="",$A655&gt;TODAY()),0,IF(OR(INDEX($B655:$D655,AR$5)="F",AND(AR$6&gt;0,$A655&lt;AR$6),AND(AR$7&gt;0,$A655&gt;AR$7)),0,MAX(0,ROUND((INDEX($E655:$G655,AR$5)-SUMIFS(TF_Timer,TF_Tekniker,AR$4,TF_Dato,$A655))*2,0)/2)))</f>
        <v/>
      </c>
      <c r="AS655">
        <f>IF(OR(AS$4="",$A655&gt;TODAY()),0,IF(OR(INDEX($B655:$D655,AS$5)="F",AND(AS$6&gt;0,$A655&lt;AS$6),AND(AS$7&gt;0,$A655&gt;AS$7)),0,MAX(0,ROUND((INDEX($E655:$G655,AS$5)-SUMIFS(TF_Timer,TF_Tekniker,AS$4,TF_Dato,$A655))*2,0)/2)))</f>
        <v/>
      </c>
      <c r="AT655">
        <f>IF(OR(AT$4="",$A655&gt;TODAY()),0,IF(OR(INDEX($B655:$D655,AT$5)="F",AND(AT$6&gt;0,$A655&lt;AT$6),AND(AT$7&gt;0,$A655&gt;AT$7)),0,MAX(0,ROUND((INDEX($E655:$G655,AT$5)-SUMIFS(TF_Timer,TF_Tekniker,AT$4,TF_Dato,$A655))*2,0)/2)))</f>
        <v/>
      </c>
      <c r="AU655">
        <f>IF(OR(AU$4="",$A655&gt;TODAY()),0,IF(OR(INDEX($B655:$D655,AU$5)="F",AND(AU$6&gt;0,$A655&lt;AU$6),AND(AU$7&gt;0,$A655&gt;AU$7)),0,MAX(0,ROUND((INDEX($E655:$G655,AU$5)-SUMIFS(TF_Timer,TF_Tekniker,AU$4,TF_Dato,$A655))*2,0)/2)))</f>
        <v/>
      </c>
      <c r="AV655">
        <f>IF(OR(AV$4="",$A655&gt;TODAY()),0,IF(OR(INDEX($B655:$D655,AV$5)="F",AND(AV$6&gt;0,$A655&lt;AV$6),AND(AV$7&gt;0,$A655&gt;AV$7)),0,MAX(0,ROUND((INDEX($E655:$G655,AV$5)-SUMIFS(TF_Timer,TF_Tekniker,AV$4,TF_Dato,$A655))*2,0)/2)))</f>
        <v/>
      </c>
      <c r="AW655">
        <f>IF(OR(AW$4="",$A655&gt;TODAY()),0,IF(OR(INDEX($B655:$D655,AW$5)="F",AND(AW$6&gt;0,$A655&lt;AW$6),AND(AW$7&gt;0,$A655&gt;AW$7)),0,MAX(0,ROUND((INDEX($E655:$G655,AW$5)-SUMIFS(TF_Timer,TF_Tekniker,AW$4,TF_Dato,$A655))*2,0)/2)))</f>
        <v/>
      </c>
      <c r="AX655">
        <f>IF(OR(AX$4="",$A655&gt;TODAY()),0,IF(OR(INDEX($B655:$D655,AX$5)="F",AND(AX$6&gt;0,$A655&lt;AX$6),AND(AX$7&gt;0,$A655&gt;AX$7)),0,MAX(0,ROUND((INDEX($E655:$G655,AX$5)-SUMIFS(TF_Timer,TF_Tekniker,AX$4,TF_Dato,$A655))*2,0)/2)))</f>
        <v/>
      </c>
      <c r="AY655">
        <f>IF(OR(AY$4="",$A655&gt;TODAY()),0,IF(OR(INDEX($B655:$D655,AY$5)="F",AND(AY$6&gt;0,$A655&lt;AY$6),AND(AY$7&gt;0,$A655&gt;AY$7)),0,MAX(0,ROUND((INDEX($E655:$G655,AY$5)-SUMIFS(TF_Timer,TF_Tekniker,AY$4,TF_Dato,$A655))*2,0)/2)))</f>
        <v/>
      </c>
      <c r="AZ655">
        <f>IF(OR(AZ$4="",$A655&gt;TODAY()),0,IF(OR(INDEX($B655:$D655,AZ$5)="F",AND(AZ$6&gt;0,$A655&lt;AZ$6),AND(AZ$7&gt;0,$A655&gt;AZ$7)),0,MAX(0,ROUND((INDEX($E655:$G655,AZ$5)-SUMIFS(TF_Timer,TF_Tekniker,AZ$4,TF_Dato,$A655))*2,0)/2)))</f>
        <v/>
      </c>
      <c r="BA655">
        <f>IF(OR(BA$4="",$A655&gt;TODAY()),0,IF(OR(INDEX($B655:$D655,BA$5)="F",AND(BA$6&gt;0,$A655&lt;BA$6),AND(BA$7&gt;0,$A655&gt;BA$7)),0,MAX(0,ROUND((INDEX($E655:$G655,BA$5)-SUMIFS(TF_Timer,TF_Tekniker,BA$4,TF_Dato,$A655))*2,0)/2)))</f>
        <v/>
      </c>
      <c r="BB655">
        <f>IF(OR(BB$4="",$A655&gt;TODAY()),0,IF(OR(INDEX($B655:$D655,BB$5)="F",AND(BB$6&gt;0,$A655&lt;BB$6),AND(BB$7&gt;0,$A655&gt;BB$7)),0,MAX(0,ROUND((INDEX($E655:$G655,BB$5)-SUMIFS(TF_Timer,TF_Tekniker,BB$4,TF_Dato,$A655))*2,0)/2)))</f>
        <v/>
      </c>
      <c r="BC655">
        <f>IF(OR(BC$4="",$A655&gt;TODAY()),0,IF(OR(INDEX($B655:$D655,BC$5)="F",AND(BC$6&gt;0,$A655&lt;BC$6),AND(BC$7&gt;0,$A655&gt;BC$7)),0,MAX(0,ROUND((INDEX($E655:$G655,BC$5)-SUMIFS(TF_Timer,TF_Tekniker,BC$4,TF_Dato,$A655))*2,0)/2)))</f>
        <v/>
      </c>
      <c r="BD655">
        <f>IF(OR(BD$4="",$A655&gt;TODAY()),0,IF(OR(INDEX($B655:$D655,BD$5)="F",AND(BD$6&gt;0,$A655&lt;BD$6),AND(BD$7&gt;0,$A655&gt;BD$7)),0,MAX(0,ROUND((INDEX($E655:$G655,BD$5)-SUMIFS(TF_Timer,TF_Tekniker,BD$4,TF_Dato,$A655))*2,0)/2)))</f>
        <v/>
      </c>
      <c r="BE655">
        <f>IF(OR(BE$4="",$A655&gt;TODAY()),0,IF(OR(INDEX($B655:$D655,BE$5)="F",AND(BE$6&gt;0,$A655&lt;BE$6),AND(BE$7&gt;0,$A655&gt;BE$7)),0,MAX(0,ROUND((INDEX($E655:$G655,BE$5)-SUMIFS(TF_Timer,TF_Tekniker,BE$4,TF_Dato,$A655))*2,0)/2)))</f>
        <v/>
      </c>
      <c r="BF655">
        <f>IF(OR(BF$4="",$A655&gt;TODAY()),0,IF(OR(INDEX($B655:$D655,BF$5)="F",AND(BF$6&gt;0,$A655&lt;BF$6),AND(BF$7&gt;0,$A655&gt;BF$7)),0,MAX(0,ROUND((INDEX($E655:$G655,BF$5)-SUMIFS(TF_Timer,TF_Tekniker,BF$4,TF_Dato,$A655))*2,0)/2)))</f>
        <v/>
      </c>
      <c r="BG655">
        <f>IF(OR(BG$4="",$A655&gt;TODAY()),0,IF(OR(INDEX($B655:$D655,BG$5)="F",AND(BG$6&gt;0,$A655&lt;BG$6),AND(BG$7&gt;0,$A655&gt;BG$7)),0,MAX(0,ROUND((INDEX($E655:$G655,BG$5)-SUMIFS(TF_Timer,TF_Tekniker,BG$4,TF_Dato,$A655))*2,0)/2)))</f>
        <v/>
      </c>
      <c r="BH655">
        <f>IF(OR(BH$4="",$A655&gt;TODAY()),0,IF(OR(INDEX($B655:$D655,BH$5)="F",AND(BH$6&gt;0,$A655&lt;BH$6),AND(BH$7&gt;0,$A655&gt;BH$7)),0,MAX(0,ROUND((INDEX($E655:$G655,BH$5)-SUMIFS(TF_Timer,TF_Tekniker,BH$4,TF_Dato,$A655))*2,0)/2)))</f>
        <v/>
      </c>
      <c r="BI655">
        <f>IF(OR(BI$4="",$A655&gt;TODAY()),0,IF(OR(INDEX($B655:$D655,BI$5)="F",AND(BI$6&gt;0,$A655&lt;BI$6),AND(BI$7&gt;0,$A655&gt;BI$7)),0,MAX(0,ROUND((INDEX($E655:$G655,BI$5)-SUMIFS(TF_Timer,TF_Tekniker,BI$4,TF_Dato,$A655))*2,0)/2)))</f>
        <v/>
      </c>
    </row>
    <row r="656">
      <c r="A656" s="64">
        <f>A655+1</f>
        <v/>
      </c>
      <c r="B656">
        <f>IF(MOD($A656-INDEX(SkiftStart,1),Syklus)&lt;DagK,"K",IF(MOD($A656-INDEX(SkiftStart,1),Syklus)&lt;DagK+DagH,"H",IF(MOD($A656-INDEX(SkiftStart,1),Syklus)&lt;DagK+DagH+DagD,"D","F")))</f>
        <v/>
      </c>
      <c r="C656">
        <f>IF(MOD($A656-INDEX(SkiftStart,2),Syklus)&lt;DagK,"K",IF(MOD($A656-INDEX(SkiftStart,2),Syklus)&lt;DagK+DagH,"H",IF(MOD($A656-INDEX(SkiftStart,2),Syklus)&lt;DagK+DagH+DagD,"D","F")))</f>
        <v/>
      </c>
      <c r="D656">
        <f>IF(MOD($A656-INDEX(SkiftStart,3),Syklus)&lt;DagK,"K",IF(MOD($A656-INDEX(SkiftStart,3),Syklus)&lt;DagK+DagH,"H",IF(MOD($A656-INDEX(SkiftStart,3),Syklus)&lt;DagK+DagH+DagD,"D","F")))</f>
        <v/>
      </c>
      <c r="E656">
        <f>IF(B656="F",0,IF(WEEKDAY($A656,2)=5,INDEX(TimerFr,MATCH(B656,FaseKode,0)),INDEX(TimerMT,MATCH(B656,FaseKode,0))))</f>
        <v/>
      </c>
      <c r="F656">
        <f>IF(C656="F",0,IF(WEEKDAY($A656,2)=5,INDEX(TimerFr,MATCH(C656,FaseKode,0)),INDEX(TimerMT,MATCH(C656,FaseKode,0))))</f>
        <v/>
      </c>
      <c r="G656">
        <f>IF(D656="F",0,IF(WEEKDAY($A656,2)=5,INDEX(TimerFr,MATCH(D656,FaseKode,0)),INDEX(TimerMT,MATCH(D656,FaseKode,0))))</f>
        <v/>
      </c>
      <c r="H656">
        <f>IF(OR(H$4="",$A656&gt;TODAY()),0,IF(OR(INDEX($B656:$D656,H$5)="F",AND(H$6&gt;0,$A656&lt;H$6),AND(H$7&gt;0,$A656&gt;H$7)),0,MAX(0,ROUND((INDEX($E656:$G656,H$5)-SUMIFS(TF_Timer,TF_Tekniker,H$4,TF_Dato,$A656))*2,0)/2)))</f>
        <v/>
      </c>
      <c r="I656">
        <f>IF(OR(I$4="",$A656&gt;TODAY()),0,IF(OR(INDEX($B656:$D656,I$5)="F",AND(I$6&gt;0,$A656&lt;I$6),AND(I$7&gt;0,$A656&gt;I$7)),0,MAX(0,ROUND((INDEX($E656:$G656,I$5)-SUMIFS(TF_Timer,TF_Tekniker,I$4,TF_Dato,$A656))*2,0)/2)))</f>
        <v/>
      </c>
      <c r="J656">
        <f>IF(OR(J$4="",$A656&gt;TODAY()),0,IF(OR(INDEX($B656:$D656,J$5)="F",AND(J$6&gt;0,$A656&lt;J$6),AND(J$7&gt;0,$A656&gt;J$7)),0,MAX(0,ROUND((INDEX($E656:$G656,J$5)-SUMIFS(TF_Timer,TF_Tekniker,J$4,TF_Dato,$A656))*2,0)/2)))</f>
        <v/>
      </c>
      <c r="K656">
        <f>IF(OR(K$4="",$A656&gt;TODAY()),0,IF(OR(INDEX($B656:$D656,K$5)="F",AND(K$6&gt;0,$A656&lt;K$6),AND(K$7&gt;0,$A656&gt;K$7)),0,MAX(0,ROUND((INDEX($E656:$G656,K$5)-SUMIFS(TF_Timer,TF_Tekniker,K$4,TF_Dato,$A656))*2,0)/2)))</f>
        <v/>
      </c>
      <c r="L656">
        <f>IF(OR(L$4="",$A656&gt;TODAY()),0,IF(OR(INDEX($B656:$D656,L$5)="F",AND(L$6&gt;0,$A656&lt;L$6),AND(L$7&gt;0,$A656&gt;L$7)),0,MAX(0,ROUND((INDEX($E656:$G656,L$5)-SUMIFS(TF_Timer,TF_Tekniker,L$4,TF_Dato,$A656))*2,0)/2)))</f>
        <v/>
      </c>
      <c r="M656">
        <f>IF(OR(M$4="",$A656&gt;TODAY()),0,IF(OR(INDEX($B656:$D656,M$5)="F",AND(M$6&gt;0,$A656&lt;M$6),AND(M$7&gt;0,$A656&gt;M$7)),0,MAX(0,ROUND((INDEX($E656:$G656,M$5)-SUMIFS(TF_Timer,TF_Tekniker,M$4,TF_Dato,$A656))*2,0)/2)))</f>
        <v/>
      </c>
      <c r="N656">
        <f>IF(OR(N$4="",$A656&gt;TODAY()),0,IF(OR(INDEX($B656:$D656,N$5)="F",AND(N$6&gt;0,$A656&lt;N$6),AND(N$7&gt;0,$A656&gt;N$7)),0,MAX(0,ROUND((INDEX($E656:$G656,N$5)-SUMIFS(TF_Timer,TF_Tekniker,N$4,TF_Dato,$A656))*2,0)/2)))</f>
        <v/>
      </c>
      <c r="O656">
        <f>IF(OR(O$4="",$A656&gt;TODAY()),0,IF(OR(INDEX($B656:$D656,O$5)="F",AND(O$6&gt;0,$A656&lt;O$6),AND(O$7&gt;0,$A656&gt;O$7)),0,MAX(0,ROUND((INDEX($E656:$G656,O$5)-SUMIFS(TF_Timer,TF_Tekniker,O$4,TF_Dato,$A656))*2,0)/2)))</f>
        <v/>
      </c>
      <c r="P656">
        <f>IF(OR(P$4="",$A656&gt;TODAY()),0,IF(OR(INDEX($B656:$D656,P$5)="F",AND(P$6&gt;0,$A656&lt;P$6),AND(P$7&gt;0,$A656&gt;P$7)),0,MAX(0,ROUND((INDEX($E656:$G656,P$5)-SUMIFS(TF_Timer,TF_Tekniker,P$4,TF_Dato,$A656))*2,0)/2)))</f>
        <v/>
      </c>
      <c r="Q656">
        <f>IF(OR(Q$4="",$A656&gt;TODAY()),0,IF(OR(INDEX($B656:$D656,Q$5)="F",AND(Q$6&gt;0,$A656&lt;Q$6),AND(Q$7&gt;0,$A656&gt;Q$7)),0,MAX(0,ROUND((INDEX($E656:$G656,Q$5)-SUMIFS(TF_Timer,TF_Tekniker,Q$4,TF_Dato,$A656))*2,0)/2)))</f>
        <v/>
      </c>
      <c r="R656">
        <f>IF(OR(R$4="",$A656&gt;TODAY()),0,IF(OR(INDEX($B656:$D656,R$5)="F",AND(R$6&gt;0,$A656&lt;R$6),AND(R$7&gt;0,$A656&gt;R$7)),0,MAX(0,ROUND((INDEX($E656:$G656,R$5)-SUMIFS(TF_Timer,TF_Tekniker,R$4,TF_Dato,$A656))*2,0)/2)))</f>
        <v/>
      </c>
      <c r="S656">
        <f>IF(OR(S$4="",$A656&gt;TODAY()),0,IF(OR(INDEX($B656:$D656,S$5)="F",AND(S$6&gt;0,$A656&lt;S$6),AND(S$7&gt;0,$A656&gt;S$7)),0,MAX(0,ROUND((INDEX($E656:$G656,S$5)-SUMIFS(TF_Timer,TF_Tekniker,S$4,TF_Dato,$A656))*2,0)/2)))</f>
        <v/>
      </c>
      <c r="T656">
        <f>IF(OR(T$4="",$A656&gt;TODAY()),0,IF(OR(INDEX($B656:$D656,T$5)="F",AND(T$6&gt;0,$A656&lt;T$6),AND(T$7&gt;0,$A656&gt;T$7)),0,MAX(0,ROUND((INDEX($E656:$G656,T$5)-SUMIFS(TF_Timer,TF_Tekniker,T$4,TF_Dato,$A656))*2,0)/2)))</f>
        <v/>
      </c>
      <c r="U656">
        <f>IF(OR(U$4="",$A656&gt;TODAY()),0,IF(OR(INDEX($B656:$D656,U$5)="F",AND(U$6&gt;0,$A656&lt;U$6),AND(U$7&gt;0,$A656&gt;U$7)),0,MAX(0,ROUND((INDEX($E656:$G656,U$5)-SUMIFS(TF_Timer,TF_Tekniker,U$4,TF_Dato,$A656))*2,0)/2)))</f>
        <v/>
      </c>
      <c r="V656">
        <f>IF(OR(V$4="",$A656&gt;TODAY()),0,IF(OR(INDEX($B656:$D656,V$5)="F",AND(V$6&gt;0,$A656&lt;V$6),AND(V$7&gt;0,$A656&gt;V$7)),0,MAX(0,ROUND((INDEX($E656:$G656,V$5)-SUMIFS(TF_Timer,TF_Tekniker,V$4,TF_Dato,$A656))*2,0)/2)))</f>
        <v/>
      </c>
      <c r="W656">
        <f>IF(OR(W$4="",$A656&gt;TODAY()),0,IF(OR(INDEX($B656:$D656,W$5)="F",AND(W$6&gt;0,$A656&lt;W$6),AND(W$7&gt;0,$A656&gt;W$7)),0,MAX(0,ROUND((INDEX($E656:$G656,W$5)-SUMIFS(TF_Timer,TF_Tekniker,W$4,TF_Dato,$A656))*2,0)/2)))</f>
        <v/>
      </c>
      <c r="X656">
        <f>IF(OR(X$4="",$A656&gt;TODAY()),0,IF(OR(INDEX($B656:$D656,X$5)="F",AND(X$6&gt;0,$A656&lt;X$6),AND(X$7&gt;0,$A656&gt;X$7)),0,MAX(0,ROUND((INDEX($E656:$G656,X$5)-SUMIFS(TF_Timer,TF_Tekniker,X$4,TF_Dato,$A656))*2,0)/2)))</f>
        <v/>
      </c>
      <c r="Y656">
        <f>IF(OR(Y$4="",$A656&gt;TODAY()),0,IF(OR(INDEX($B656:$D656,Y$5)="F",AND(Y$6&gt;0,$A656&lt;Y$6),AND(Y$7&gt;0,$A656&gt;Y$7)),0,MAX(0,ROUND((INDEX($E656:$G656,Y$5)-SUMIFS(TF_Timer,TF_Tekniker,Y$4,TF_Dato,$A656))*2,0)/2)))</f>
        <v/>
      </c>
      <c r="Z656">
        <f>IF(OR(Z$4="",$A656&gt;TODAY()),0,IF(OR(INDEX($B656:$D656,Z$5)="F",AND(Z$6&gt;0,$A656&lt;Z$6),AND(Z$7&gt;0,$A656&gt;Z$7)),0,MAX(0,ROUND((INDEX($E656:$G656,Z$5)-SUMIFS(TF_Timer,TF_Tekniker,Z$4,TF_Dato,$A656))*2,0)/2)))</f>
        <v/>
      </c>
      <c r="AA656">
        <f>IF(OR(AA$4="",$A656&gt;TODAY()),0,IF(OR(INDEX($B656:$D656,AA$5)="F",AND(AA$6&gt;0,$A656&lt;AA$6),AND(AA$7&gt;0,$A656&gt;AA$7)),0,MAX(0,ROUND((INDEX($E656:$G656,AA$5)-SUMIFS(TF_Timer,TF_Tekniker,AA$4,TF_Dato,$A656))*2,0)/2)))</f>
        <v/>
      </c>
      <c r="AB656">
        <f>IF(OR(AB$4="",$A656&gt;TODAY()),0,IF(OR(INDEX($B656:$D656,AB$5)="F",AND(AB$6&gt;0,$A656&lt;AB$6),AND(AB$7&gt;0,$A656&gt;AB$7)),0,MAX(0,ROUND((INDEX($E656:$G656,AB$5)-SUMIFS(TF_Timer,TF_Tekniker,AB$4,TF_Dato,$A656))*2,0)/2)))</f>
        <v/>
      </c>
      <c r="AC656">
        <f>IF(OR(AC$4="",$A656&gt;TODAY()),0,IF(OR(INDEX($B656:$D656,AC$5)="F",AND(AC$6&gt;0,$A656&lt;AC$6),AND(AC$7&gt;0,$A656&gt;AC$7)),0,MAX(0,ROUND((INDEX($E656:$G656,AC$5)-SUMIFS(TF_Timer,TF_Tekniker,AC$4,TF_Dato,$A656))*2,0)/2)))</f>
        <v/>
      </c>
      <c r="AD656">
        <f>IF(OR(AD$4="",$A656&gt;TODAY()),0,IF(OR(INDEX($B656:$D656,AD$5)="F",AND(AD$6&gt;0,$A656&lt;AD$6),AND(AD$7&gt;0,$A656&gt;AD$7)),0,MAX(0,ROUND((INDEX($E656:$G656,AD$5)-SUMIFS(TF_Timer,TF_Tekniker,AD$4,TF_Dato,$A656))*2,0)/2)))</f>
        <v/>
      </c>
      <c r="AE656">
        <f>IF(OR(AE$4="",$A656&gt;TODAY()),0,IF(OR(INDEX($B656:$D656,AE$5)="F",AND(AE$6&gt;0,$A656&lt;AE$6),AND(AE$7&gt;0,$A656&gt;AE$7)),0,MAX(0,ROUND((INDEX($E656:$G656,AE$5)-SUMIFS(TF_Timer,TF_Tekniker,AE$4,TF_Dato,$A656))*2,0)/2)))</f>
        <v/>
      </c>
      <c r="AF656">
        <f>IF(OR(AF$4="",$A656&gt;TODAY()),0,IF(OR(INDEX($B656:$D656,AF$5)="F",AND(AF$6&gt;0,$A656&lt;AF$6),AND(AF$7&gt;0,$A656&gt;AF$7)),0,MAX(0,ROUND((INDEX($E656:$G656,AF$5)-SUMIFS(TF_Timer,TF_Tekniker,AF$4,TF_Dato,$A656))*2,0)/2)))</f>
        <v/>
      </c>
      <c r="AG656">
        <f>IF(OR(AG$4="",$A656&gt;TODAY()),0,IF(OR(INDEX($B656:$D656,AG$5)="F",AND(AG$6&gt;0,$A656&lt;AG$6),AND(AG$7&gt;0,$A656&gt;AG$7)),0,MAX(0,ROUND((INDEX($E656:$G656,AG$5)-SUMIFS(TF_Timer,TF_Tekniker,AG$4,TF_Dato,$A656))*2,0)/2)))</f>
        <v/>
      </c>
      <c r="AH656">
        <f>IF(OR(AH$4="",$A656&gt;TODAY()),0,IF(OR(INDEX($B656:$D656,AH$5)="F",AND(AH$6&gt;0,$A656&lt;AH$6),AND(AH$7&gt;0,$A656&gt;AH$7)),0,MAX(0,ROUND((INDEX($E656:$G656,AH$5)-SUMIFS(TF_Timer,TF_Tekniker,AH$4,TF_Dato,$A656))*2,0)/2)))</f>
        <v/>
      </c>
      <c r="AI656">
        <f>IF(OR(AI$4="",$A656&gt;TODAY()),0,IF(OR(INDEX($B656:$D656,AI$5)="F",AND(AI$6&gt;0,$A656&lt;AI$6),AND(AI$7&gt;0,$A656&gt;AI$7)),0,MAX(0,ROUND((INDEX($E656:$G656,AI$5)-SUMIFS(TF_Timer,TF_Tekniker,AI$4,TF_Dato,$A656))*2,0)/2)))</f>
        <v/>
      </c>
      <c r="AJ656">
        <f>IF(OR(AJ$4="",$A656&gt;TODAY()),0,IF(OR(INDEX($B656:$D656,AJ$5)="F",AND(AJ$6&gt;0,$A656&lt;AJ$6),AND(AJ$7&gt;0,$A656&gt;AJ$7)),0,MAX(0,ROUND((INDEX($E656:$G656,AJ$5)-SUMIFS(TF_Timer,TF_Tekniker,AJ$4,TF_Dato,$A656))*2,0)/2)))</f>
        <v/>
      </c>
      <c r="AK656">
        <f>IF(OR(AK$4="",$A656&gt;TODAY()),0,IF(OR(INDEX($B656:$D656,AK$5)="F",AND(AK$6&gt;0,$A656&lt;AK$6),AND(AK$7&gt;0,$A656&gt;AK$7)),0,MAX(0,ROUND((INDEX($E656:$G656,AK$5)-SUMIFS(TF_Timer,TF_Tekniker,AK$4,TF_Dato,$A656))*2,0)/2)))</f>
        <v/>
      </c>
      <c r="AL656">
        <f>IF(OR(AL$4="",$A656&gt;TODAY()),0,IF(OR(INDEX($B656:$D656,AL$5)="F",AND(AL$6&gt;0,$A656&lt;AL$6),AND(AL$7&gt;0,$A656&gt;AL$7)),0,MAX(0,ROUND((INDEX($E656:$G656,AL$5)-SUMIFS(TF_Timer,TF_Tekniker,AL$4,TF_Dato,$A656))*2,0)/2)))</f>
        <v/>
      </c>
      <c r="AM656">
        <f>IF(OR(AM$4="",$A656&gt;TODAY()),0,IF(OR(INDEX($B656:$D656,AM$5)="F",AND(AM$6&gt;0,$A656&lt;AM$6),AND(AM$7&gt;0,$A656&gt;AM$7)),0,MAX(0,ROUND((INDEX($E656:$G656,AM$5)-SUMIFS(TF_Timer,TF_Tekniker,AM$4,TF_Dato,$A656))*2,0)/2)))</f>
        <v/>
      </c>
      <c r="AN656">
        <f>IF(OR(AN$4="",$A656&gt;TODAY()),0,IF(OR(INDEX($B656:$D656,AN$5)="F",AND(AN$6&gt;0,$A656&lt;AN$6),AND(AN$7&gt;0,$A656&gt;AN$7)),0,MAX(0,ROUND((INDEX($E656:$G656,AN$5)-SUMIFS(TF_Timer,TF_Tekniker,AN$4,TF_Dato,$A656))*2,0)/2)))</f>
        <v/>
      </c>
      <c r="AO656">
        <f>IF(OR(AO$4="",$A656&gt;TODAY()),0,IF(OR(INDEX($B656:$D656,AO$5)="F",AND(AO$6&gt;0,$A656&lt;AO$6),AND(AO$7&gt;0,$A656&gt;AO$7)),0,MAX(0,ROUND((INDEX($E656:$G656,AO$5)-SUMIFS(TF_Timer,TF_Tekniker,AO$4,TF_Dato,$A656))*2,0)/2)))</f>
        <v/>
      </c>
      <c r="AP656">
        <f>IF(OR(AP$4="",$A656&gt;TODAY()),0,IF(OR(INDEX($B656:$D656,AP$5)="F",AND(AP$6&gt;0,$A656&lt;AP$6),AND(AP$7&gt;0,$A656&gt;AP$7)),0,MAX(0,ROUND((INDEX($E656:$G656,AP$5)-SUMIFS(TF_Timer,TF_Tekniker,AP$4,TF_Dato,$A656))*2,0)/2)))</f>
        <v/>
      </c>
      <c r="AQ656">
        <f>IF(OR(AQ$4="",$A656&gt;TODAY()),0,IF(OR(INDEX($B656:$D656,AQ$5)="F",AND(AQ$6&gt;0,$A656&lt;AQ$6),AND(AQ$7&gt;0,$A656&gt;AQ$7)),0,MAX(0,ROUND((INDEX($E656:$G656,AQ$5)-SUMIFS(TF_Timer,TF_Tekniker,AQ$4,TF_Dato,$A656))*2,0)/2)))</f>
        <v/>
      </c>
      <c r="AR656">
        <f>IF(OR(AR$4="",$A656&gt;TODAY()),0,IF(OR(INDEX($B656:$D656,AR$5)="F",AND(AR$6&gt;0,$A656&lt;AR$6),AND(AR$7&gt;0,$A656&gt;AR$7)),0,MAX(0,ROUND((INDEX($E656:$G656,AR$5)-SUMIFS(TF_Timer,TF_Tekniker,AR$4,TF_Dato,$A656))*2,0)/2)))</f>
        <v/>
      </c>
      <c r="AS656">
        <f>IF(OR(AS$4="",$A656&gt;TODAY()),0,IF(OR(INDEX($B656:$D656,AS$5)="F",AND(AS$6&gt;0,$A656&lt;AS$6),AND(AS$7&gt;0,$A656&gt;AS$7)),0,MAX(0,ROUND((INDEX($E656:$G656,AS$5)-SUMIFS(TF_Timer,TF_Tekniker,AS$4,TF_Dato,$A656))*2,0)/2)))</f>
        <v/>
      </c>
      <c r="AT656">
        <f>IF(OR(AT$4="",$A656&gt;TODAY()),0,IF(OR(INDEX($B656:$D656,AT$5)="F",AND(AT$6&gt;0,$A656&lt;AT$6),AND(AT$7&gt;0,$A656&gt;AT$7)),0,MAX(0,ROUND((INDEX($E656:$G656,AT$5)-SUMIFS(TF_Timer,TF_Tekniker,AT$4,TF_Dato,$A656))*2,0)/2)))</f>
        <v/>
      </c>
      <c r="AU656">
        <f>IF(OR(AU$4="",$A656&gt;TODAY()),0,IF(OR(INDEX($B656:$D656,AU$5)="F",AND(AU$6&gt;0,$A656&lt;AU$6),AND(AU$7&gt;0,$A656&gt;AU$7)),0,MAX(0,ROUND((INDEX($E656:$G656,AU$5)-SUMIFS(TF_Timer,TF_Tekniker,AU$4,TF_Dato,$A656))*2,0)/2)))</f>
        <v/>
      </c>
      <c r="AV656">
        <f>IF(OR(AV$4="",$A656&gt;TODAY()),0,IF(OR(INDEX($B656:$D656,AV$5)="F",AND(AV$6&gt;0,$A656&lt;AV$6),AND(AV$7&gt;0,$A656&gt;AV$7)),0,MAX(0,ROUND((INDEX($E656:$G656,AV$5)-SUMIFS(TF_Timer,TF_Tekniker,AV$4,TF_Dato,$A656))*2,0)/2)))</f>
        <v/>
      </c>
      <c r="AW656">
        <f>IF(OR(AW$4="",$A656&gt;TODAY()),0,IF(OR(INDEX($B656:$D656,AW$5)="F",AND(AW$6&gt;0,$A656&lt;AW$6),AND(AW$7&gt;0,$A656&gt;AW$7)),0,MAX(0,ROUND((INDEX($E656:$G656,AW$5)-SUMIFS(TF_Timer,TF_Tekniker,AW$4,TF_Dato,$A656))*2,0)/2)))</f>
        <v/>
      </c>
      <c r="AX656">
        <f>IF(OR(AX$4="",$A656&gt;TODAY()),0,IF(OR(INDEX($B656:$D656,AX$5)="F",AND(AX$6&gt;0,$A656&lt;AX$6),AND(AX$7&gt;0,$A656&gt;AX$7)),0,MAX(0,ROUND((INDEX($E656:$G656,AX$5)-SUMIFS(TF_Timer,TF_Tekniker,AX$4,TF_Dato,$A656))*2,0)/2)))</f>
        <v/>
      </c>
      <c r="AY656">
        <f>IF(OR(AY$4="",$A656&gt;TODAY()),0,IF(OR(INDEX($B656:$D656,AY$5)="F",AND(AY$6&gt;0,$A656&lt;AY$6),AND(AY$7&gt;0,$A656&gt;AY$7)),0,MAX(0,ROUND((INDEX($E656:$G656,AY$5)-SUMIFS(TF_Timer,TF_Tekniker,AY$4,TF_Dato,$A656))*2,0)/2)))</f>
        <v/>
      </c>
      <c r="AZ656">
        <f>IF(OR(AZ$4="",$A656&gt;TODAY()),0,IF(OR(INDEX($B656:$D656,AZ$5)="F",AND(AZ$6&gt;0,$A656&lt;AZ$6),AND(AZ$7&gt;0,$A656&gt;AZ$7)),0,MAX(0,ROUND((INDEX($E656:$G656,AZ$5)-SUMIFS(TF_Timer,TF_Tekniker,AZ$4,TF_Dato,$A656))*2,0)/2)))</f>
        <v/>
      </c>
      <c r="BA656">
        <f>IF(OR(BA$4="",$A656&gt;TODAY()),0,IF(OR(INDEX($B656:$D656,BA$5)="F",AND(BA$6&gt;0,$A656&lt;BA$6),AND(BA$7&gt;0,$A656&gt;BA$7)),0,MAX(0,ROUND((INDEX($E656:$G656,BA$5)-SUMIFS(TF_Timer,TF_Tekniker,BA$4,TF_Dato,$A656))*2,0)/2)))</f>
        <v/>
      </c>
      <c r="BB656">
        <f>IF(OR(BB$4="",$A656&gt;TODAY()),0,IF(OR(INDEX($B656:$D656,BB$5)="F",AND(BB$6&gt;0,$A656&lt;BB$6),AND(BB$7&gt;0,$A656&gt;BB$7)),0,MAX(0,ROUND((INDEX($E656:$G656,BB$5)-SUMIFS(TF_Timer,TF_Tekniker,BB$4,TF_Dato,$A656))*2,0)/2)))</f>
        <v/>
      </c>
      <c r="BC656">
        <f>IF(OR(BC$4="",$A656&gt;TODAY()),0,IF(OR(INDEX($B656:$D656,BC$5)="F",AND(BC$6&gt;0,$A656&lt;BC$6),AND(BC$7&gt;0,$A656&gt;BC$7)),0,MAX(0,ROUND((INDEX($E656:$G656,BC$5)-SUMIFS(TF_Timer,TF_Tekniker,BC$4,TF_Dato,$A656))*2,0)/2)))</f>
        <v/>
      </c>
      <c r="BD656">
        <f>IF(OR(BD$4="",$A656&gt;TODAY()),0,IF(OR(INDEX($B656:$D656,BD$5)="F",AND(BD$6&gt;0,$A656&lt;BD$6),AND(BD$7&gt;0,$A656&gt;BD$7)),0,MAX(0,ROUND((INDEX($E656:$G656,BD$5)-SUMIFS(TF_Timer,TF_Tekniker,BD$4,TF_Dato,$A656))*2,0)/2)))</f>
        <v/>
      </c>
      <c r="BE656">
        <f>IF(OR(BE$4="",$A656&gt;TODAY()),0,IF(OR(INDEX($B656:$D656,BE$5)="F",AND(BE$6&gt;0,$A656&lt;BE$6),AND(BE$7&gt;0,$A656&gt;BE$7)),0,MAX(0,ROUND((INDEX($E656:$G656,BE$5)-SUMIFS(TF_Timer,TF_Tekniker,BE$4,TF_Dato,$A656))*2,0)/2)))</f>
        <v/>
      </c>
      <c r="BF656">
        <f>IF(OR(BF$4="",$A656&gt;TODAY()),0,IF(OR(INDEX($B656:$D656,BF$5)="F",AND(BF$6&gt;0,$A656&lt;BF$6),AND(BF$7&gt;0,$A656&gt;BF$7)),0,MAX(0,ROUND((INDEX($E656:$G656,BF$5)-SUMIFS(TF_Timer,TF_Tekniker,BF$4,TF_Dato,$A656))*2,0)/2)))</f>
        <v/>
      </c>
      <c r="BG656">
        <f>IF(OR(BG$4="",$A656&gt;TODAY()),0,IF(OR(INDEX($B656:$D656,BG$5)="F",AND(BG$6&gt;0,$A656&lt;BG$6),AND(BG$7&gt;0,$A656&gt;BG$7)),0,MAX(0,ROUND((INDEX($E656:$G656,BG$5)-SUMIFS(TF_Timer,TF_Tekniker,BG$4,TF_Dato,$A656))*2,0)/2)))</f>
        <v/>
      </c>
      <c r="BH656">
        <f>IF(OR(BH$4="",$A656&gt;TODAY()),0,IF(OR(INDEX($B656:$D656,BH$5)="F",AND(BH$6&gt;0,$A656&lt;BH$6),AND(BH$7&gt;0,$A656&gt;BH$7)),0,MAX(0,ROUND((INDEX($E656:$G656,BH$5)-SUMIFS(TF_Timer,TF_Tekniker,BH$4,TF_Dato,$A656))*2,0)/2)))</f>
        <v/>
      </c>
      <c r="BI656">
        <f>IF(OR(BI$4="",$A656&gt;TODAY()),0,IF(OR(INDEX($B656:$D656,BI$5)="F",AND(BI$6&gt;0,$A656&lt;BI$6),AND(BI$7&gt;0,$A656&gt;BI$7)),0,MAX(0,ROUND((INDEX($E656:$G656,BI$5)-SUMIFS(TF_Timer,TF_Tekniker,BI$4,TF_Dato,$A656))*2,0)/2)))</f>
        <v/>
      </c>
    </row>
    <row r="657">
      <c r="A657" s="64">
        <f>A656+1</f>
        <v/>
      </c>
      <c r="B657">
        <f>IF(MOD($A657-INDEX(SkiftStart,1),Syklus)&lt;DagK,"K",IF(MOD($A657-INDEX(SkiftStart,1),Syklus)&lt;DagK+DagH,"H",IF(MOD($A657-INDEX(SkiftStart,1),Syklus)&lt;DagK+DagH+DagD,"D","F")))</f>
        <v/>
      </c>
      <c r="C657">
        <f>IF(MOD($A657-INDEX(SkiftStart,2),Syklus)&lt;DagK,"K",IF(MOD($A657-INDEX(SkiftStart,2),Syklus)&lt;DagK+DagH,"H",IF(MOD($A657-INDEX(SkiftStart,2),Syklus)&lt;DagK+DagH+DagD,"D","F")))</f>
        <v/>
      </c>
      <c r="D657">
        <f>IF(MOD($A657-INDEX(SkiftStart,3),Syklus)&lt;DagK,"K",IF(MOD($A657-INDEX(SkiftStart,3),Syklus)&lt;DagK+DagH,"H",IF(MOD($A657-INDEX(SkiftStart,3),Syklus)&lt;DagK+DagH+DagD,"D","F")))</f>
        <v/>
      </c>
      <c r="E657">
        <f>IF(B657="F",0,IF(WEEKDAY($A657,2)=5,INDEX(TimerFr,MATCH(B657,FaseKode,0)),INDEX(TimerMT,MATCH(B657,FaseKode,0))))</f>
        <v/>
      </c>
      <c r="F657">
        <f>IF(C657="F",0,IF(WEEKDAY($A657,2)=5,INDEX(TimerFr,MATCH(C657,FaseKode,0)),INDEX(TimerMT,MATCH(C657,FaseKode,0))))</f>
        <v/>
      </c>
      <c r="G657">
        <f>IF(D657="F",0,IF(WEEKDAY($A657,2)=5,INDEX(TimerFr,MATCH(D657,FaseKode,0)),INDEX(TimerMT,MATCH(D657,FaseKode,0))))</f>
        <v/>
      </c>
      <c r="H657">
        <f>IF(OR(H$4="",$A657&gt;TODAY()),0,IF(OR(INDEX($B657:$D657,H$5)="F",AND(H$6&gt;0,$A657&lt;H$6),AND(H$7&gt;0,$A657&gt;H$7)),0,MAX(0,ROUND((INDEX($E657:$G657,H$5)-SUMIFS(TF_Timer,TF_Tekniker,H$4,TF_Dato,$A657))*2,0)/2)))</f>
        <v/>
      </c>
      <c r="I657">
        <f>IF(OR(I$4="",$A657&gt;TODAY()),0,IF(OR(INDEX($B657:$D657,I$5)="F",AND(I$6&gt;0,$A657&lt;I$6),AND(I$7&gt;0,$A657&gt;I$7)),0,MAX(0,ROUND((INDEX($E657:$G657,I$5)-SUMIFS(TF_Timer,TF_Tekniker,I$4,TF_Dato,$A657))*2,0)/2)))</f>
        <v/>
      </c>
      <c r="J657">
        <f>IF(OR(J$4="",$A657&gt;TODAY()),0,IF(OR(INDEX($B657:$D657,J$5)="F",AND(J$6&gt;0,$A657&lt;J$6),AND(J$7&gt;0,$A657&gt;J$7)),0,MAX(0,ROUND((INDEX($E657:$G657,J$5)-SUMIFS(TF_Timer,TF_Tekniker,J$4,TF_Dato,$A657))*2,0)/2)))</f>
        <v/>
      </c>
      <c r="K657">
        <f>IF(OR(K$4="",$A657&gt;TODAY()),0,IF(OR(INDEX($B657:$D657,K$5)="F",AND(K$6&gt;0,$A657&lt;K$6),AND(K$7&gt;0,$A657&gt;K$7)),0,MAX(0,ROUND((INDEX($E657:$G657,K$5)-SUMIFS(TF_Timer,TF_Tekniker,K$4,TF_Dato,$A657))*2,0)/2)))</f>
        <v/>
      </c>
      <c r="L657">
        <f>IF(OR(L$4="",$A657&gt;TODAY()),0,IF(OR(INDEX($B657:$D657,L$5)="F",AND(L$6&gt;0,$A657&lt;L$6),AND(L$7&gt;0,$A657&gt;L$7)),0,MAX(0,ROUND((INDEX($E657:$G657,L$5)-SUMIFS(TF_Timer,TF_Tekniker,L$4,TF_Dato,$A657))*2,0)/2)))</f>
        <v/>
      </c>
      <c r="M657">
        <f>IF(OR(M$4="",$A657&gt;TODAY()),0,IF(OR(INDEX($B657:$D657,M$5)="F",AND(M$6&gt;0,$A657&lt;M$6),AND(M$7&gt;0,$A657&gt;M$7)),0,MAX(0,ROUND((INDEX($E657:$G657,M$5)-SUMIFS(TF_Timer,TF_Tekniker,M$4,TF_Dato,$A657))*2,0)/2)))</f>
        <v/>
      </c>
      <c r="N657">
        <f>IF(OR(N$4="",$A657&gt;TODAY()),0,IF(OR(INDEX($B657:$D657,N$5)="F",AND(N$6&gt;0,$A657&lt;N$6),AND(N$7&gt;0,$A657&gt;N$7)),0,MAX(0,ROUND((INDEX($E657:$G657,N$5)-SUMIFS(TF_Timer,TF_Tekniker,N$4,TF_Dato,$A657))*2,0)/2)))</f>
        <v/>
      </c>
      <c r="O657">
        <f>IF(OR(O$4="",$A657&gt;TODAY()),0,IF(OR(INDEX($B657:$D657,O$5)="F",AND(O$6&gt;0,$A657&lt;O$6),AND(O$7&gt;0,$A657&gt;O$7)),0,MAX(0,ROUND((INDEX($E657:$G657,O$5)-SUMIFS(TF_Timer,TF_Tekniker,O$4,TF_Dato,$A657))*2,0)/2)))</f>
        <v/>
      </c>
      <c r="P657">
        <f>IF(OR(P$4="",$A657&gt;TODAY()),0,IF(OR(INDEX($B657:$D657,P$5)="F",AND(P$6&gt;0,$A657&lt;P$6),AND(P$7&gt;0,$A657&gt;P$7)),0,MAX(0,ROUND((INDEX($E657:$G657,P$5)-SUMIFS(TF_Timer,TF_Tekniker,P$4,TF_Dato,$A657))*2,0)/2)))</f>
        <v/>
      </c>
      <c r="Q657">
        <f>IF(OR(Q$4="",$A657&gt;TODAY()),0,IF(OR(INDEX($B657:$D657,Q$5)="F",AND(Q$6&gt;0,$A657&lt;Q$6),AND(Q$7&gt;0,$A657&gt;Q$7)),0,MAX(0,ROUND((INDEX($E657:$G657,Q$5)-SUMIFS(TF_Timer,TF_Tekniker,Q$4,TF_Dato,$A657))*2,0)/2)))</f>
        <v/>
      </c>
      <c r="R657">
        <f>IF(OR(R$4="",$A657&gt;TODAY()),0,IF(OR(INDEX($B657:$D657,R$5)="F",AND(R$6&gt;0,$A657&lt;R$6),AND(R$7&gt;0,$A657&gt;R$7)),0,MAX(0,ROUND((INDEX($E657:$G657,R$5)-SUMIFS(TF_Timer,TF_Tekniker,R$4,TF_Dato,$A657))*2,0)/2)))</f>
        <v/>
      </c>
      <c r="S657">
        <f>IF(OR(S$4="",$A657&gt;TODAY()),0,IF(OR(INDEX($B657:$D657,S$5)="F",AND(S$6&gt;0,$A657&lt;S$6),AND(S$7&gt;0,$A657&gt;S$7)),0,MAX(0,ROUND((INDEX($E657:$G657,S$5)-SUMIFS(TF_Timer,TF_Tekniker,S$4,TF_Dato,$A657))*2,0)/2)))</f>
        <v/>
      </c>
      <c r="T657">
        <f>IF(OR(T$4="",$A657&gt;TODAY()),0,IF(OR(INDEX($B657:$D657,T$5)="F",AND(T$6&gt;0,$A657&lt;T$6),AND(T$7&gt;0,$A657&gt;T$7)),0,MAX(0,ROUND((INDEX($E657:$G657,T$5)-SUMIFS(TF_Timer,TF_Tekniker,T$4,TF_Dato,$A657))*2,0)/2)))</f>
        <v/>
      </c>
      <c r="U657">
        <f>IF(OR(U$4="",$A657&gt;TODAY()),0,IF(OR(INDEX($B657:$D657,U$5)="F",AND(U$6&gt;0,$A657&lt;U$6),AND(U$7&gt;0,$A657&gt;U$7)),0,MAX(0,ROUND((INDEX($E657:$G657,U$5)-SUMIFS(TF_Timer,TF_Tekniker,U$4,TF_Dato,$A657))*2,0)/2)))</f>
        <v/>
      </c>
      <c r="V657">
        <f>IF(OR(V$4="",$A657&gt;TODAY()),0,IF(OR(INDEX($B657:$D657,V$5)="F",AND(V$6&gt;0,$A657&lt;V$6),AND(V$7&gt;0,$A657&gt;V$7)),0,MAX(0,ROUND((INDEX($E657:$G657,V$5)-SUMIFS(TF_Timer,TF_Tekniker,V$4,TF_Dato,$A657))*2,0)/2)))</f>
        <v/>
      </c>
      <c r="W657">
        <f>IF(OR(W$4="",$A657&gt;TODAY()),0,IF(OR(INDEX($B657:$D657,W$5)="F",AND(W$6&gt;0,$A657&lt;W$6),AND(W$7&gt;0,$A657&gt;W$7)),0,MAX(0,ROUND((INDEX($E657:$G657,W$5)-SUMIFS(TF_Timer,TF_Tekniker,W$4,TF_Dato,$A657))*2,0)/2)))</f>
        <v/>
      </c>
      <c r="X657">
        <f>IF(OR(X$4="",$A657&gt;TODAY()),0,IF(OR(INDEX($B657:$D657,X$5)="F",AND(X$6&gt;0,$A657&lt;X$6),AND(X$7&gt;0,$A657&gt;X$7)),0,MAX(0,ROUND((INDEX($E657:$G657,X$5)-SUMIFS(TF_Timer,TF_Tekniker,X$4,TF_Dato,$A657))*2,0)/2)))</f>
        <v/>
      </c>
      <c r="Y657">
        <f>IF(OR(Y$4="",$A657&gt;TODAY()),0,IF(OR(INDEX($B657:$D657,Y$5)="F",AND(Y$6&gt;0,$A657&lt;Y$6),AND(Y$7&gt;0,$A657&gt;Y$7)),0,MAX(0,ROUND((INDEX($E657:$G657,Y$5)-SUMIFS(TF_Timer,TF_Tekniker,Y$4,TF_Dato,$A657))*2,0)/2)))</f>
        <v/>
      </c>
      <c r="Z657">
        <f>IF(OR(Z$4="",$A657&gt;TODAY()),0,IF(OR(INDEX($B657:$D657,Z$5)="F",AND(Z$6&gt;0,$A657&lt;Z$6),AND(Z$7&gt;0,$A657&gt;Z$7)),0,MAX(0,ROUND((INDEX($E657:$G657,Z$5)-SUMIFS(TF_Timer,TF_Tekniker,Z$4,TF_Dato,$A657))*2,0)/2)))</f>
        <v/>
      </c>
      <c r="AA657">
        <f>IF(OR(AA$4="",$A657&gt;TODAY()),0,IF(OR(INDEX($B657:$D657,AA$5)="F",AND(AA$6&gt;0,$A657&lt;AA$6),AND(AA$7&gt;0,$A657&gt;AA$7)),0,MAX(0,ROUND((INDEX($E657:$G657,AA$5)-SUMIFS(TF_Timer,TF_Tekniker,AA$4,TF_Dato,$A657))*2,0)/2)))</f>
        <v/>
      </c>
      <c r="AB657">
        <f>IF(OR(AB$4="",$A657&gt;TODAY()),0,IF(OR(INDEX($B657:$D657,AB$5)="F",AND(AB$6&gt;0,$A657&lt;AB$6),AND(AB$7&gt;0,$A657&gt;AB$7)),0,MAX(0,ROUND((INDEX($E657:$G657,AB$5)-SUMIFS(TF_Timer,TF_Tekniker,AB$4,TF_Dato,$A657))*2,0)/2)))</f>
        <v/>
      </c>
      <c r="AC657">
        <f>IF(OR(AC$4="",$A657&gt;TODAY()),0,IF(OR(INDEX($B657:$D657,AC$5)="F",AND(AC$6&gt;0,$A657&lt;AC$6),AND(AC$7&gt;0,$A657&gt;AC$7)),0,MAX(0,ROUND((INDEX($E657:$G657,AC$5)-SUMIFS(TF_Timer,TF_Tekniker,AC$4,TF_Dato,$A657))*2,0)/2)))</f>
        <v/>
      </c>
      <c r="AD657">
        <f>IF(OR(AD$4="",$A657&gt;TODAY()),0,IF(OR(INDEX($B657:$D657,AD$5)="F",AND(AD$6&gt;0,$A657&lt;AD$6),AND(AD$7&gt;0,$A657&gt;AD$7)),0,MAX(0,ROUND((INDEX($E657:$G657,AD$5)-SUMIFS(TF_Timer,TF_Tekniker,AD$4,TF_Dato,$A657))*2,0)/2)))</f>
        <v/>
      </c>
      <c r="AE657">
        <f>IF(OR(AE$4="",$A657&gt;TODAY()),0,IF(OR(INDEX($B657:$D657,AE$5)="F",AND(AE$6&gt;0,$A657&lt;AE$6),AND(AE$7&gt;0,$A657&gt;AE$7)),0,MAX(0,ROUND((INDEX($E657:$G657,AE$5)-SUMIFS(TF_Timer,TF_Tekniker,AE$4,TF_Dato,$A657))*2,0)/2)))</f>
        <v/>
      </c>
      <c r="AF657">
        <f>IF(OR(AF$4="",$A657&gt;TODAY()),0,IF(OR(INDEX($B657:$D657,AF$5)="F",AND(AF$6&gt;0,$A657&lt;AF$6),AND(AF$7&gt;0,$A657&gt;AF$7)),0,MAX(0,ROUND((INDEX($E657:$G657,AF$5)-SUMIFS(TF_Timer,TF_Tekniker,AF$4,TF_Dato,$A657))*2,0)/2)))</f>
        <v/>
      </c>
      <c r="AG657">
        <f>IF(OR(AG$4="",$A657&gt;TODAY()),0,IF(OR(INDEX($B657:$D657,AG$5)="F",AND(AG$6&gt;0,$A657&lt;AG$6),AND(AG$7&gt;0,$A657&gt;AG$7)),0,MAX(0,ROUND((INDEX($E657:$G657,AG$5)-SUMIFS(TF_Timer,TF_Tekniker,AG$4,TF_Dato,$A657))*2,0)/2)))</f>
        <v/>
      </c>
      <c r="AH657">
        <f>IF(OR(AH$4="",$A657&gt;TODAY()),0,IF(OR(INDEX($B657:$D657,AH$5)="F",AND(AH$6&gt;0,$A657&lt;AH$6),AND(AH$7&gt;0,$A657&gt;AH$7)),0,MAX(0,ROUND((INDEX($E657:$G657,AH$5)-SUMIFS(TF_Timer,TF_Tekniker,AH$4,TF_Dato,$A657))*2,0)/2)))</f>
        <v/>
      </c>
      <c r="AI657">
        <f>IF(OR(AI$4="",$A657&gt;TODAY()),0,IF(OR(INDEX($B657:$D657,AI$5)="F",AND(AI$6&gt;0,$A657&lt;AI$6),AND(AI$7&gt;0,$A657&gt;AI$7)),0,MAX(0,ROUND((INDEX($E657:$G657,AI$5)-SUMIFS(TF_Timer,TF_Tekniker,AI$4,TF_Dato,$A657))*2,0)/2)))</f>
        <v/>
      </c>
      <c r="AJ657">
        <f>IF(OR(AJ$4="",$A657&gt;TODAY()),0,IF(OR(INDEX($B657:$D657,AJ$5)="F",AND(AJ$6&gt;0,$A657&lt;AJ$6),AND(AJ$7&gt;0,$A657&gt;AJ$7)),0,MAX(0,ROUND((INDEX($E657:$G657,AJ$5)-SUMIFS(TF_Timer,TF_Tekniker,AJ$4,TF_Dato,$A657))*2,0)/2)))</f>
        <v/>
      </c>
      <c r="AK657">
        <f>IF(OR(AK$4="",$A657&gt;TODAY()),0,IF(OR(INDEX($B657:$D657,AK$5)="F",AND(AK$6&gt;0,$A657&lt;AK$6),AND(AK$7&gt;0,$A657&gt;AK$7)),0,MAX(0,ROUND((INDEX($E657:$G657,AK$5)-SUMIFS(TF_Timer,TF_Tekniker,AK$4,TF_Dato,$A657))*2,0)/2)))</f>
        <v/>
      </c>
      <c r="AL657">
        <f>IF(OR(AL$4="",$A657&gt;TODAY()),0,IF(OR(INDEX($B657:$D657,AL$5)="F",AND(AL$6&gt;0,$A657&lt;AL$6),AND(AL$7&gt;0,$A657&gt;AL$7)),0,MAX(0,ROUND((INDEX($E657:$G657,AL$5)-SUMIFS(TF_Timer,TF_Tekniker,AL$4,TF_Dato,$A657))*2,0)/2)))</f>
        <v/>
      </c>
      <c r="AM657">
        <f>IF(OR(AM$4="",$A657&gt;TODAY()),0,IF(OR(INDEX($B657:$D657,AM$5)="F",AND(AM$6&gt;0,$A657&lt;AM$6),AND(AM$7&gt;0,$A657&gt;AM$7)),0,MAX(0,ROUND((INDEX($E657:$G657,AM$5)-SUMIFS(TF_Timer,TF_Tekniker,AM$4,TF_Dato,$A657))*2,0)/2)))</f>
        <v/>
      </c>
      <c r="AN657">
        <f>IF(OR(AN$4="",$A657&gt;TODAY()),0,IF(OR(INDEX($B657:$D657,AN$5)="F",AND(AN$6&gt;0,$A657&lt;AN$6),AND(AN$7&gt;0,$A657&gt;AN$7)),0,MAX(0,ROUND((INDEX($E657:$G657,AN$5)-SUMIFS(TF_Timer,TF_Tekniker,AN$4,TF_Dato,$A657))*2,0)/2)))</f>
        <v/>
      </c>
      <c r="AO657">
        <f>IF(OR(AO$4="",$A657&gt;TODAY()),0,IF(OR(INDEX($B657:$D657,AO$5)="F",AND(AO$6&gt;0,$A657&lt;AO$6),AND(AO$7&gt;0,$A657&gt;AO$7)),0,MAX(0,ROUND((INDEX($E657:$G657,AO$5)-SUMIFS(TF_Timer,TF_Tekniker,AO$4,TF_Dato,$A657))*2,0)/2)))</f>
        <v/>
      </c>
      <c r="AP657">
        <f>IF(OR(AP$4="",$A657&gt;TODAY()),0,IF(OR(INDEX($B657:$D657,AP$5)="F",AND(AP$6&gt;0,$A657&lt;AP$6),AND(AP$7&gt;0,$A657&gt;AP$7)),0,MAX(0,ROUND((INDEX($E657:$G657,AP$5)-SUMIFS(TF_Timer,TF_Tekniker,AP$4,TF_Dato,$A657))*2,0)/2)))</f>
        <v/>
      </c>
      <c r="AQ657">
        <f>IF(OR(AQ$4="",$A657&gt;TODAY()),0,IF(OR(INDEX($B657:$D657,AQ$5)="F",AND(AQ$6&gt;0,$A657&lt;AQ$6),AND(AQ$7&gt;0,$A657&gt;AQ$7)),0,MAX(0,ROUND((INDEX($E657:$G657,AQ$5)-SUMIFS(TF_Timer,TF_Tekniker,AQ$4,TF_Dato,$A657))*2,0)/2)))</f>
        <v/>
      </c>
      <c r="AR657">
        <f>IF(OR(AR$4="",$A657&gt;TODAY()),0,IF(OR(INDEX($B657:$D657,AR$5)="F",AND(AR$6&gt;0,$A657&lt;AR$6),AND(AR$7&gt;0,$A657&gt;AR$7)),0,MAX(0,ROUND((INDEX($E657:$G657,AR$5)-SUMIFS(TF_Timer,TF_Tekniker,AR$4,TF_Dato,$A657))*2,0)/2)))</f>
        <v/>
      </c>
      <c r="AS657">
        <f>IF(OR(AS$4="",$A657&gt;TODAY()),0,IF(OR(INDEX($B657:$D657,AS$5)="F",AND(AS$6&gt;0,$A657&lt;AS$6),AND(AS$7&gt;0,$A657&gt;AS$7)),0,MAX(0,ROUND((INDEX($E657:$G657,AS$5)-SUMIFS(TF_Timer,TF_Tekniker,AS$4,TF_Dato,$A657))*2,0)/2)))</f>
        <v/>
      </c>
      <c r="AT657">
        <f>IF(OR(AT$4="",$A657&gt;TODAY()),0,IF(OR(INDEX($B657:$D657,AT$5)="F",AND(AT$6&gt;0,$A657&lt;AT$6),AND(AT$7&gt;0,$A657&gt;AT$7)),0,MAX(0,ROUND((INDEX($E657:$G657,AT$5)-SUMIFS(TF_Timer,TF_Tekniker,AT$4,TF_Dato,$A657))*2,0)/2)))</f>
        <v/>
      </c>
      <c r="AU657">
        <f>IF(OR(AU$4="",$A657&gt;TODAY()),0,IF(OR(INDEX($B657:$D657,AU$5)="F",AND(AU$6&gt;0,$A657&lt;AU$6),AND(AU$7&gt;0,$A657&gt;AU$7)),0,MAX(0,ROUND((INDEX($E657:$G657,AU$5)-SUMIFS(TF_Timer,TF_Tekniker,AU$4,TF_Dato,$A657))*2,0)/2)))</f>
        <v/>
      </c>
      <c r="AV657">
        <f>IF(OR(AV$4="",$A657&gt;TODAY()),0,IF(OR(INDEX($B657:$D657,AV$5)="F",AND(AV$6&gt;0,$A657&lt;AV$6),AND(AV$7&gt;0,$A657&gt;AV$7)),0,MAX(0,ROUND((INDEX($E657:$G657,AV$5)-SUMIFS(TF_Timer,TF_Tekniker,AV$4,TF_Dato,$A657))*2,0)/2)))</f>
        <v/>
      </c>
      <c r="AW657">
        <f>IF(OR(AW$4="",$A657&gt;TODAY()),0,IF(OR(INDEX($B657:$D657,AW$5)="F",AND(AW$6&gt;0,$A657&lt;AW$6),AND(AW$7&gt;0,$A657&gt;AW$7)),0,MAX(0,ROUND((INDEX($E657:$G657,AW$5)-SUMIFS(TF_Timer,TF_Tekniker,AW$4,TF_Dato,$A657))*2,0)/2)))</f>
        <v/>
      </c>
      <c r="AX657">
        <f>IF(OR(AX$4="",$A657&gt;TODAY()),0,IF(OR(INDEX($B657:$D657,AX$5)="F",AND(AX$6&gt;0,$A657&lt;AX$6),AND(AX$7&gt;0,$A657&gt;AX$7)),0,MAX(0,ROUND((INDEX($E657:$G657,AX$5)-SUMIFS(TF_Timer,TF_Tekniker,AX$4,TF_Dato,$A657))*2,0)/2)))</f>
        <v/>
      </c>
      <c r="AY657">
        <f>IF(OR(AY$4="",$A657&gt;TODAY()),0,IF(OR(INDEX($B657:$D657,AY$5)="F",AND(AY$6&gt;0,$A657&lt;AY$6),AND(AY$7&gt;0,$A657&gt;AY$7)),0,MAX(0,ROUND((INDEX($E657:$G657,AY$5)-SUMIFS(TF_Timer,TF_Tekniker,AY$4,TF_Dato,$A657))*2,0)/2)))</f>
        <v/>
      </c>
      <c r="AZ657">
        <f>IF(OR(AZ$4="",$A657&gt;TODAY()),0,IF(OR(INDEX($B657:$D657,AZ$5)="F",AND(AZ$6&gt;0,$A657&lt;AZ$6),AND(AZ$7&gt;0,$A657&gt;AZ$7)),0,MAX(0,ROUND((INDEX($E657:$G657,AZ$5)-SUMIFS(TF_Timer,TF_Tekniker,AZ$4,TF_Dato,$A657))*2,0)/2)))</f>
        <v/>
      </c>
      <c r="BA657">
        <f>IF(OR(BA$4="",$A657&gt;TODAY()),0,IF(OR(INDEX($B657:$D657,BA$5)="F",AND(BA$6&gt;0,$A657&lt;BA$6),AND(BA$7&gt;0,$A657&gt;BA$7)),0,MAX(0,ROUND((INDEX($E657:$G657,BA$5)-SUMIFS(TF_Timer,TF_Tekniker,BA$4,TF_Dato,$A657))*2,0)/2)))</f>
        <v/>
      </c>
      <c r="BB657">
        <f>IF(OR(BB$4="",$A657&gt;TODAY()),0,IF(OR(INDEX($B657:$D657,BB$5)="F",AND(BB$6&gt;0,$A657&lt;BB$6),AND(BB$7&gt;0,$A657&gt;BB$7)),0,MAX(0,ROUND((INDEX($E657:$G657,BB$5)-SUMIFS(TF_Timer,TF_Tekniker,BB$4,TF_Dato,$A657))*2,0)/2)))</f>
        <v/>
      </c>
      <c r="BC657">
        <f>IF(OR(BC$4="",$A657&gt;TODAY()),0,IF(OR(INDEX($B657:$D657,BC$5)="F",AND(BC$6&gt;0,$A657&lt;BC$6),AND(BC$7&gt;0,$A657&gt;BC$7)),0,MAX(0,ROUND((INDEX($E657:$G657,BC$5)-SUMIFS(TF_Timer,TF_Tekniker,BC$4,TF_Dato,$A657))*2,0)/2)))</f>
        <v/>
      </c>
      <c r="BD657">
        <f>IF(OR(BD$4="",$A657&gt;TODAY()),0,IF(OR(INDEX($B657:$D657,BD$5)="F",AND(BD$6&gt;0,$A657&lt;BD$6),AND(BD$7&gt;0,$A657&gt;BD$7)),0,MAX(0,ROUND((INDEX($E657:$G657,BD$5)-SUMIFS(TF_Timer,TF_Tekniker,BD$4,TF_Dato,$A657))*2,0)/2)))</f>
        <v/>
      </c>
      <c r="BE657">
        <f>IF(OR(BE$4="",$A657&gt;TODAY()),0,IF(OR(INDEX($B657:$D657,BE$5)="F",AND(BE$6&gt;0,$A657&lt;BE$6),AND(BE$7&gt;0,$A657&gt;BE$7)),0,MAX(0,ROUND((INDEX($E657:$G657,BE$5)-SUMIFS(TF_Timer,TF_Tekniker,BE$4,TF_Dato,$A657))*2,0)/2)))</f>
        <v/>
      </c>
      <c r="BF657">
        <f>IF(OR(BF$4="",$A657&gt;TODAY()),0,IF(OR(INDEX($B657:$D657,BF$5)="F",AND(BF$6&gt;0,$A657&lt;BF$6),AND(BF$7&gt;0,$A657&gt;BF$7)),0,MAX(0,ROUND((INDEX($E657:$G657,BF$5)-SUMIFS(TF_Timer,TF_Tekniker,BF$4,TF_Dato,$A657))*2,0)/2)))</f>
        <v/>
      </c>
      <c r="BG657">
        <f>IF(OR(BG$4="",$A657&gt;TODAY()),0,IF(OR(INDEX($B657:$D657,BG$5)="F",AND(BG$6&gt;0,$A657&lt;BG$6),AND(BG$7&gt;0,$A657&gt;BG$7)),0,MAX(0,ROUND((INDEX($E657:$G657,BG$5)-SUMIFS(TF_Timer,TF_Tekniker,BG$4,TF_Dato,$A657))*2,0)/2)))</f>
        <v/>
      </c>
      <c r="BH657">
        <f>IF(OR(BH$4="",$A657&gt;TODAY()),0,IF(OR(INDEX($B657:$D657,BH$5)="F",AND(BH$6&gt;0,$A657&lt;BH$6),AND(BH$7&gt;0,$A657&gt;BH$7)),0,MAX(0,ROUND((INDEX($E657:$G657,BH$5)-SUMIFS(TF_Timer,TF_Tekniker,BH$4,TF_Dato,$A657))*2,0)/2)))</f>
        <v/>
      </c>
      <c r="BI657">
        <f>IF(OR(BI$4="",$A657&gt;TODAY()),0,IF(OR(INDEX($B657:$D657,BI$5)="F",AND(BI$6&gt;0,$A657&lt;BI$6),AND(BI$7&gt;0,$A657&gt;BI$7)),0,MAX(0,ROUND((INDEX($E657:$G657,BI$5)-SUMIFS(TF_Timer,TF_Tekniker,BI$4,TF_Dato,$A657))*2,0)/2)))</f>
        <v/>
      </c>
    </row>
    <row r="658">
      <c r="A658" s="64">
        <f>A657+1</f>
        <v/>
      </c>
      <c r="B658">
        <f>IF(MOD($A658-INDEX(SkiftStart,1),Syklus)&lt;DagK,"K",IF(MOD($A658-INDEX(SkiftStart,1),Syklus)&lt;DagK+DagH,"H",IF(MOD($A658-INDEX(SkiftStart,1),Syklus)&lt;DagK+DagH+DagD,"D","F")))</f>
        <v/>
      </c>
      <c r="C658">
        <f>IF(MOD($A658-INDEX(SkiftStart,2),Syklus)&lt;DagK,"K",IF(MOD($A658-INDEX(SkiftStart,2),Syklus)&lt;DagK+DagH,"H",IF(MOD($A658-INDEX(SkiftStart,2),Syklus)&lt;DagK+DagH+DagD,"D","F")))</f>
        <v/>
      </c>
      <c r="D658">
        <f>IF(MOD($A658-INDEX(SkiftStart,3),Syklus)&lt;DagK,"K",IF(MOD($A658-INDEX(SkiftStart,3),Syklus)&lt;DagK+DagH,"H",IF(MOD($A658-INDEX(SkiftStart,3),Syklus)&lt;DagK+DagH+DagD,"D","F")))</f>
        <v/>
      </c>
      <c r="E658">
        <f>IF(B658="F",0,IF(WEEKDAY($A658,2)=5,INDEX(TimerFr,MATCH(B658,FaseKode,0)),INDEX(TimerMT,MATCH(B658,FaseKode,0))))</f>
        <v/>
      </c>
      <c r="F658">
        <f>IF(C658="F",0,IF(WEEKDAY($A658,2)=5,INDEX(TimerFr,MATCH(C658,FaseKode,0)),INDEX(TimerMT,MATCH(C658,FaseKode,0))))</f>
        <v/>
      </c>
      <c r="G658">
        <f>IF(D658="F",0,IF(WEEKDAY($A658,2)=5,INDEX(TimerFr,MATCH(D658,FaseKode,0)),INDEX(TimerMT,MATCH(D658,FaseKode,0))))</f>
        <v/>
      </c>
      <c r="H658">
        <f>IF(OR(H$4="",$A658&gt;TODAY()),0,IF(OR(INDEX($B658:$D658,H$5)="F",AND(H$6&gt;0,$A658&lt;H$6),AND(H$7&gt;0,$A658&gt;H$7)),0,MAX(0,ROUND((INDEX($E658:$G658,H$5)-SUMIFS(TF_Timer,TF_Tekniker,H$4,TF_Dato,$A658))*2,0)/2)))</f>
        <v/>
      </c>
      <c r="I658">
        <f>IF(OR(I$4="",$A658&gt;TODAY()),0,IF(OR(INDEX($B658:$D658,I$5)="F",AND(I$6&gt;0,$A658&lt;I$6),AND(I$7&gt;0,$A658&gt;I$7)),0,MAX(0,ROUND((INDEX($E658:$G658,I$5)-SUMIFS(TF_Timer,TF_Tekniker,I$4,TF_Dato,$A658))*2,0)/2)))</f>
        <v/>
      </c>
      <c r="J658">
        <f>IF(OR(J$4="",$A658&gt;TODAY()),0,IF(OR(INDEX($B658:$D658,J$5)="F",AND(J$6&gt;0,$A658&lt;J$6),AND(J$7&gt;0,$A658&gt;J$7)),0,MAX(0,ROUND((INDEX($E658:$G658,J$5)-SUMIFS(TF_Timer,TF_Tekniker,J$4,TF_Dato,$A658))*2,0)/2)))</f>
        <v/>
      </c>
      <c r="K658">
        <f>IF(OR(K$4="",$A658&gt;TODAY()),0,IF(OR(INDEX($B658:$D658,K$5)="F",AND(K$6&gt;0,$A658&lt;K$6),AND(K$7&gt;0,$A658&gt;K$7)),0,MAX(0,ROUND((INDEX($E658:$G658,K$5)-SUMIFS(TF_Timer,TF_Tekniker,K$4,TF_Dato,$A658))*2,0)/2)))</f>
        <v/>
      </c>
      <c r="L658">
        <f>IF(OR(L$4="",$A658&gt;TODAY()),0,IF(OR(INDEX($B658:$D658,L$5)="F",AND(L$6&gt;0,$A658&lt;L$6),AND(L$7&gt;0,$A658&gt;L$7)),0,MAX(0,ROUND((INDEX($E658:$G658,L$5)-SUMIFS(TF_Timer,TF_Tekniker,L$4,TF_Dato,$A658))*2,0)/2)))</f>
        <v/>
      </c>
      <c r="M658">
        <f>IF(OR(M$4="",$A658&gt;TODAY()),0,IF(OR(INDEX($B658:$D658,M$5)="F",AND(M$6&gt;0,$A658&lt;M$6),AND(M$7&gt;0,$A658&gt;M$7)),0,MAX(0,ROUND((INDEX($E658:$G658,M$5)-SUMIFS(TF_Timer,TF_Tekniker,M$4,TF_Dato,$A658))*2,0)/2)))</f>
        <v/>
      </c>
      <c r="N658">
        <f>IF(OR(N$4="",$A658&gt;TODAY()),0,IF(OR(INDEX($B658:$D658,N$5)="F",AND(N$6&gt;0,$A658&lt;N$6),AND(N$7&gt;0,$A658&gt;N$7)),0,MAX(0,ROUND((INDEX($E658:$G658,N$5)-SUMIFS(TF_Timer,TF_Tekniker,N$4,TF_Dato,$A658))*2,0)/2)))</f>
        <v/>
      </c>
      <c r="O658">
        <f>IF(OR(O$4="",$A658&gt;TODAY()),0,IF(OR(INDEX($B658:$D658,O$5)="F",AND(O$6&gt;0,$A658&lt;O$6),AND(O$7&gt;0,$A658&gt;O$7)),0,MAX(0,ROUND((INDEX($E658:$G658,O$5)-SUMIFS(TF_Timer,TF_Tekniker,O$4,TF_Dato,$A658))*2,0)/2)))</f>
        <v/>
      </c>
      <c r="P658">
        <f>IF(OR(P$4="",$A658&gt;TODAY()),0,IF(OR(INDEX($B658:$D658,P$5)="F",AND(P$6&gt;0,$A658&lt;P$6),AND(P$7&gt;0,$A658&gt;P$7)),0,MAX(0,ROUND((INDEX($E658:$G658,P$5)-SUMIFS(TF_Timer,TF_Tekniker,P$4,TF_Dato,$A658))*2,0)/2)))</f>
        <v/>
      </c>
      <c r="Q658">
        <f>IF(OR(Q$4="",$A658&gt;TODAY()),0,IF(OR(INDEX($B658:$D658,Q$5)="F",AND(Q$6&gt;0,$A658&lt;Q$6),AND(Q$7&gt;0,$A658&gt;Q$7)),0,MAX(0,ROUND((INDEX($E658:$G658,Q$5)-SUMIFS(TF_Timer,TF_Tekniker,Q$4,TF_Dato,$A658))*2,0)/2)))</f>
        <v/>
      </c>
      <c r="R658">
        <f>IF(OR(R$4="",$A658&gt;TODAY()),0,IF(OR(INDEX($B658:$D658,R$5)="F",AND(R$6&gt;0,$A658&lt;R$6),AND(R$7&gt;0,$A658&gt;R$7)),0,MAX(0,ROUND((INDEX($E658:$G658,R$5)-SUMIFS(TF_Timer,TF_Tekniker,R$4,TF_Dato,$A658))*2,0)/2)))</f>
        <v/>
      </c>
      <c r="S658">
        <f>IF(OR(S$4="",$A658&gt;TODAY()),0,IF(OR(INDEX($B658:$D658,S$5)="F",AND(S$6&gt;0,$A658&lt;S$6),AND(S$7&gt;0,$A658&gt;S$7)),0,MAX(0,ROUND((INDEX($E658:$G658,S$5)-SUMIFS(TF_Timer,TF_Tekniker,S$4,TF_Dato,$A658))*2,0)/2)))</f>
        <v/>
      </c>
      <c r="T658">
        <f>IF(OR(T$4="",$A658&gt;TODAY()),0,IF(OR(INDEX($B658:$D658,T$5)="F",AND(T$6&gt;0,$A658&lt;T$6),AND(T$7&gt;0,$A658&gt;T$7)),0,MAX(0,ROUND((INDEX($E658:$G658,T$5)-SUMIFS(TF_Timer,TF_Tekniker,T$4,TF_Dato,$A658))*2,0)/2)))</f>
        <v/>
      </c>
      <c r="U658">
        <f>IF(OR(U$4="",$A658&gt;TODAY()),0,IF(OR(INDEX($B658:$D658,U$5)="F",AND(U$6&gt;0,$A658&lt;U$6),AND(U$7&gt;0,$A658&gt;U$7)),0,MAX(0,ROUND((INDEX($E658:$G658,U$5)-SUMIFS(TF_Timer,TF_Tekniker,U$4,TF_Dato,$A658))*2,0)/2)))</f>
        <v/>
      </c>
      <c r="V658">
        <f>IF(OR(V$4="",$A658&gt;TODAY()),0,IF(OR(INDEX($B658:$D658,V$5)="F",AND(V$6&gt;0,$A658&lt;V$6),AND(V$7&gt;0,$A658&gt;V$7)),0,MAX(0,ROUND((INDEX($E658:$G658,V$5)-SUMIFS(TF_Timer,TF_Tekniker,V$4,TF_Dato,$A658))*2,0)/2)))</f>
        <v/>
      </c>
      <c r="W658">
        <f>IF(OR(W$4="",$A658&gt;TODAY()),0,IF(OR(INDEX($B658:$D658,W$5)="F",AND(W$6&gt;0,$A658&lt;W$6),AND(W$7&gt;0,$A658&gt;W$7)),0,MAX(0,ROUND((INDEX($E658:$G658,W$5)-SUMIFS(TF_Timer,TF_Tekniker,W$4,TF_Dato,$A658))*2,0)/2)))</f>
        <v/>
      </c>
      <c r="X658">
        <f>IF(OR(X$4="",$A658&gt;TODAY()),0,IF(OR(INDEX($B658:$D658,X$5)="F",AND(X$6&gt;0,$A658&lt;X$6),AND(X$7&gt;0,$A658&gt;X$7)),0,MAX(0,ROUND((INDEX($E658:$G658,X$5)-SUMIFS(TF_Timer,TF_Tekniker,X$4,TF_Dato,$A658))*2,0)/2)))</f>
        <v/>
      </c>
      <c r="Y658">
        <f>IF(OR(Y$4="",$A658&gt;TODAY()),0,IF(OR(INDEX($B658:$D658,Y$5)="F",AND(Y$6&gt;0,$A658&lt;Y$6),AND(Y$7&gt;0,$A658&gt;Y$7)),0,MAX(0,ROUND((INDEX($E658:$G658,Y$5)-SUMIFS(TF_Timer,TF_Tekniker,Y$4,TF_Dato,$A658))*2,0)/2)))</f>
        <v/>
      </c>
      <c r="Z658">
        <f>IF(OR(Z$4="",$A658&gt;TODAY()),0,IF(OR(INDEX($B658:$D658,Z$5)="F",AND(Z$6&gt;0,$A658&lt;Z$6),AND(Z$7&gt;0,$A658&gt;Z$7)),0,MAX(0,ROUND((INDEX($E658:$G658,Z$5)-SUMIFS(TF_Timer,TF_Tekniker,Z$4,TF_Dato,$A658))*2,0)/2)))</f>
        <v/>
      </c>
      <c r="AA658">
        <f>IF(OR(AA$4="",$A658&gt;TODAY()),0,IF(OR(INDEX($B658:$D658,AA$5)="F",AND(AA$6&gt;0,$A658&lt;AA$6),AND(AA$7&gt;0,$A658&gt;AA$7)),0,MAX(0,ROUND((INDEX($E658:$G658,AA$5)-SUMIFS(TF_Timer,TF_Tekniker,AA$4,TF_Dato,$A658))*2,0)/2)))</f>
        <v/>
      </c>
      <c r="AB658">
        <f>IF(OR(AB$4="",$A658&gt;TODAY()),0,IF(OR(INDEX($B658:$D658,AB$5)="F",AND(AB$6&gt;0,$A658&lt;AB$6),AND(AB$7&gt;0,$A658&gt;AB$7)),0,MAX(0,ROUND((INDEX($E658:$G658,AB$5)-SUMIFS(TF_Timer,TF_Tekniker,AB$4,TF_Dato,$A658))*2,0)/2)))</f>
        <v/>
      </c>
      <c r="AC658">
        <f>IF(OR(AC$4="",$A658&gt;TODAY()),0,IF(OR(INDEX($B658:$D658,AC$5)="F",AND(AC$6&gt;0,$A658&lt;AC$6),AND(AC$7&gt;0,$A658&gt;AC$7)),0,MAX(0,ROUND((INDEX($E658:$G658,AC$5)-SUMIFS(TF_Timer,TF_Tekniker,AC$4,TF_Dato,$A658))*2,0)/2)))</f>
        <v/>
      </c>
      <c r="AD658">
        <f>IF(OR(AD$4="",$A658&gt;TODAY()),0,IF(OR(INDEX($B658:$D658,AD$5)="F",AND(AD$6&gt;0,$A658&lt;AD$6),AND(AD$7&gt;0,$A658&gt;AD$7)),0,MAX(0,ROUND((INDEX($E658:$G658,AD$5)-SUMIFS(TF_Timer,TF_Tekniker,AD$4,TF_Dato,$A658))*2,0)/2)))</f>
        <v/>
      </c>
      <c r="AE658">
        <f>IF(OR(AE$4="",$A658&gt;TODAY()),0,IF(OR(INDEX($B658:$D658,AE$5)="F",AND(AE$6&gt;0,$A658&lt;AE$6),AND(AE$7&gt;0,$A658&gt;AE$7)),0,MAX(0,ROUND((INDEX($E658:$G658,AE$5)-SUMIFS(TF_Timer,TF_Tekniker,AE$4,TF_Dato,$A658))*2,0)/2)))</f>
        <v/>
      </c>
      <c r="AF658">
        <f>IF(OR(AF$4="",$A658&gt;TODAY()),0,IF(OR(INDEX($B658:$D658,AF$5)="F",AND(AF$6&gt;0,$A658&lt;AF$6),AND(AF$7&gt;0,$A658&gt;AF$7)),0,MAX(0,ROUND((INDEX($E658:$G658,AF$5)-SUMIFS(TF_Timer,TF_Tekniker,AF$4,TF_Dato,$A658))*2,0)/2)))</f>
        <v/>
      </c>
      <c r="AG658">
        <f>IF(OR(AG$4="",$A658&gt;TODAY()),0,IF(OR(INDEX($B658:$D658,AG$5)="F",AND(AG$6&gt;0,$A658&lt;AG$6),AND(AG$7&gt;0,$A658&gt;AG$7)),0,MAX(0,ROUND((INDEX($E658:$G658,AG$5)-SUMIFS(TF_Timer,TF_Tekniker,AG$4,TF_Dato,$A658))*2,0)/2)))</f>
        <v/>
      </c>
      <c r="AH658">
        <f>IF(OR(AH$4="",$A658&gt;TODAY()),0,IF(OR(INDEX($B658:$D658,AH$5)="F",AND(AH$6&gt;0,$A658&lt;AH$6),AND(AH$7&gt;0,$A658&gt;AH$7)),0,MAX(0,ROUND((INDEX($E658:$G658,AH$5)-SUMIFS(TF_Timer,TF_Tekniker,AH$4,TF_Dato,$A658))*2,0)/2)))</f>
        <v/>
      </c>
      <c r="AI658">
        <f>IF(OR(AI$4="",$A658&gt;TODAY()),0,IF(OR(INDEX($B658:$D658,AI$5)="F",AND(AI$6&gt;0,$A658&lt;AI$6),AND(AI$7&gt;0,$A658&gt;AI$7)),0,MAX(0,ROUND((INDEX($E658:$G658,AI$5)-SUMIFS(TF_Timer,TF_Tekniker,AI$4,TF_Dato,$A658))*2,0)/2)))</f>
        <v/>
      </c>
      <c r="AJ658">
        <f>IF(OR(AJ$4="",$A658&gt;TODAY()),0,IF(OR(INDEX($B658:$D658,AJ$5)="F",AND(AJ$6&gt;0,$A658&lt;AJ$6),AND(AJ$7&gt;0,$A658&gt;AJ$7)),0,MAX(0,ROUND((INDEX($E658:$G658,AJ$5)-SUMIFS(TF_Timer,TF_Tekniker,AJ$4,TF_Dato,$A658))*2,0)/2)))</f>
        <v/>
      </c>
      <c r="AK658">
        <f>IF(OR(AK$4="",$A658&gt;TODAY()),0,IF(OR(INDEX($B658:$D658,AK$5)="F",AND(AK$6&gt;0,$A658&lt;AK$6),AND(AK$7&gt;0,$A658&gt;AK$7)),0,MAX(0,ROUND((INDEX($E658:$G658,AK$5)-SUMIFS(TF_Timer,TF_Tekniker,AK$4,TF_Dato,$A658))*2,0)/2)))</f>
        <v/>
      </c>
      <c r="AL658">
        <f>IF(OR(AL$4="",$A658&gt;TODAY()),0,IF(OR(INDEX($B658:$D658,AL$5)="F",AND(AL$6&gt;0,$A658&lt;AL$6),AND(AL$7&gt;0,$A658&gt;AL$7)),0,MAX(0,ROUND((INDEX($E658:$G658,AL$5)-SUMIFS(TF_Timer,TF_Tekniker,AL$4,TF_Dato,$A658))*2,0)/2)))</f>
        <v/>
      </c>
      <c r="AM658">
        <f>IF(OR(AM$4="",$A658&gt;TODAY()),0,IF(OR(INDEX($B658:$D658,AM$5)="F",AND(AM$6&gt;0,$A658&lt;AM$6),AND(AM$7&gt;0,$A658&gt;AM$7)),0,MAX(0,ROUND((INDEX($E658:$G658,AM$5)-SUMIFS(TF_Timer,TF_Tekniker,AM$4,TF_Dato,$A658))*2,0)/2)))</f>
        <v/>
      </c>
      <c r="AN658">
        <f>IF(OR(AN$4="",$A658&gt;TODAY()),0,IF(OR(INDEX($B658:$D658,AN$5)="F",AND(AN$6&gt;0,$A658&lt;AN$6),AND(AN$7&gt;0,$A658&gt;AN$7)),0,MAX(0,ROUND((INDEX($E658:$G658,AN$5)-SUMIFS(TF_Timer,TF_Tekniker,AN$4,TF_Dato,$A658))*2,0)/2)))</f>
        <v/>
      </c>
      <c r="AO658">
        <f>IF(OR(AO$4="",$A658&gt;TODAY()),0,IF(OR(INDEX($B658:$D658,AO$5)="F",AND(AO$6&gt;0,$A658&lt;AO$6),AND(AO$7&gt;0,$A658&gt;AO$7)),0,MAX(0,ROUND((INDEX($E658:$G658,AO$5)-SUMIFS(TF_Timer,TF_Tekniker,AO$4,TF_Dato,$A658))*2,0)/2)))</f>
        <v/>
      </c>
      <c r="AP658">
        <f>IF(OR(AP$4="",$A658&gt;TODAY()),0,IF(OR(INDEX($B658:$D658,AP$5)="F",AND(AP$6&gt;0,$A658&lt;AP$6),AND(AP$7&gt;0,$A658&gt;AP$7)),0,MAX(0,ROUND((INDEX($E658:$G658,AP$5)-SUMIFS(TF_Timer,TF_Tekniker,AP$4,TF_Dato,$A658))*2,0)/2)))</f>
        <v/>
      </c>
      <c r="AQ658">
        <f>IF(OR(AQ$4="",$A658&gt;TODAY()),0,IF(OR(INDEX($B658:$D658,AQ$5)="F",AND(AQ$6&gt;0,$A658&lt;AQ$6),AND(AQ$7&gt;0,$A658&gt;AQ$7)),0,MAX(0,ROUND((INDEX($E658:$G658,AQ$5)-SUMIFS(TF_Timer,TF_Tekniker,AQ$4,TF_Dato,$A658))*2,0)/2)))</f>
        <v/>
      </c>
      <c r="AR658">
        <f>IF(OR(AR$4="",$A658&gt;TODAY()),0,IF(OR(INDEX($B658:$D658,AR$5)="F",AND(AR$6&gt;0,$A658&lt;AR$6),AND(AR$7&gt;0,$A658&gt;AR$7)),0,MAX(0,ROUND((INDEX($E658:$G658,AR$5)-SUMIFS(TF_Timer,TF_Tekniker,AR$4,TF_Dato,$A658))*2,0)/2)))</f>
        <v/>
      </c>
      <c r="AS658">
        <f>IF(OR(AS$4="",$A658&gt;TODAY()),0,IF(OR(INDEX($B658:$D658,AS$5)="F",AND(AS$6&gt;0,$A658&lt;AS$6),AND(AS$7&gt;0,$A658&gt;AS$7)),0,MAX(0,ROUND((INDEX($E658:$G658,AS$5)-SUMIFS(TF_Timer,TF_Tekniker,AS$4,TF_Dato,$A658))*2,0)/2)))</f>
        <v/>
      </c>
      <c r="AT658">
        <f>IF(OR(AT$4="",$A658&gt;TODAY()),0,IF(OR(INDEX($B658:$D658,AT$5)="F",AND(AT$6&gt;0,$A658&lt;AT$6),AND(AT$7&gt;0,$A658&gt;AT$7)),0,MAX(0,ROUND((INDEX($E658:$G658,AT$5)-SUMIFS(TF_Timer,TF_Tekniker,AT$4,TF_Dato,$A658))*2,0)/2)))</f>
        <v/>
      </c>
      <c r="AU658">
        <f>IF(OR(AU$4="",$A658&gt;TODAY()),0,IF(OR(INDEX($B658:$D658,AU$5)="F",AND(AU$6&gt;0,$A658&lt;AU$6),AND(AU$7&gt;0,$A658&gt;AU$7)),0,MAX(0,ROUND((INDEX($E658:$G658,AU$5)-SUMIFS(TF_Timer,TF_Tekniker,AU$4,TF_Dato,$A658))*2,0)/2)))</f>
        <v/>
      </c>
      <c r="AV658">
        <f>IF(OR(AV$4="",$A658&gt;TODAY()),0,IF(OR(INDEX($B658:$D658,AV$5)="F",AND(AV$6&gt;0,$A658&lt;AV$6),AND(AV$7&gt;0,$A658&gt;AV$7)),0,MAX(0,ROUND((INDEX($E658:$G658,AV$5)-SUMIFS(TF_Timer,TF_Tekniker,AV$4,TF_Dato,$A658))*2,0)/2)))</f>
        <v/>
      </c>
      <c r="AW658">
        <f>IF(OR(AW$4="",$A658&gt;TODAY()),0,IF(OR(INDEX($B658:$D658,AW$5)="F",AND(AW$6&gt;0,$A658&lt;AW$6),AND(AW$7&gt;0,$A658&gt;AW$7)),0,MAX(0,ROUND((INDEX($E658:$G658,AW$5)-SUMIFS(TF_Timer,TF_Tekniker,AW$4,TF_Dato,$A658))*2,0)/2)))</f>
        <v/>
      </c>
      <c r="AX658">
        <f>IF(OR(AX$4="",$A658&gt;TODAY()),0,IF(OR(INDEX($B658:$D658,AX$5)="F",AND(AX$6&gt;0,$A658&lt;AX$6),AND(AX$7&gt;0,$A658&gt;AX$7)),0,MAX(0,ROUND((INDEX($E658:$G658,AX$5)-SUMIFS(TF_Timer,TF_Tekniker,AX$4,TF_Dato,$A658))*2,0)/2)))</f>
        <v/>
      </c>
      <c r="AY658">
        <f>IF(OR(AY$4="",$A658&gt;TODAY()),0,IF(OR(INDEX($B658:$D658,AY$5)="F",AND(AY$6&gt;0,$A658&lt;AY$6),AND(AY$7&gt;0,$A658&gt;AY$7)),0,MAX(0,ROUND((INDEX($E658:$G658,AY$5)-SUMIFS(TF_Timer,TF_Tekniker,AY$4,TF_Dato,$A658))*2,0)/2)))</f>
        <v/>
      </c>
      <c r="AZ658">
        <f>IF(OR(AZ$4="",$A658&gt;TODAY()),0,IF(OR(INDEX($B658:$D658,AZ$5)="F",AND(AZ$6&gt;0,$A658&lt;AZ$6),AND(AZ$7&gt;0,$A658&gt;AZ$7)),0,MAX(0,ROUND((INDEX($E658:$G658,AZ$5)-SUMIFS(TF_Timer,TF_Tekniker,AZ$4,TF_Dato,$A658))*2,0)/2)))</f>
        <v/>
      </c>
      <c r="BA658">
        <f>IF(OR(BA$4="",$A658&gt;TODAY()),0,IF(OR(INDEX($B658:$D658,BA$5)="F",AND(BA$6&gt;0,$A658&lt;BA$6),AND(BA$7&gt;0,$A658&gt;BA$7)),0,MAX(0,ROUND((INDEX($E658:$G658,BA$5)-SUMIFS(TF_Timer,TF_Tekniker,BA$4,TF_Dato,$A658))*2,0)/2)))</f>
        <v/>
      </c>
      <c r="BB658">
        <f>IF(OR(BB$4="",$A658&gt;TODAY()),0,IF(OR(INDEX($B658:$D658,BB$5)="F",AND(BB$6&gt;0,$A658&lt;BB$6),AND(BB$7&gt;0,$A658&gt;BB$7)),0,MAX(0,ROUND((INDEX($E658:$G658,BB$5)-SUMIFS(TF_Timer,TF_Tekniker,BB$4,TF_Dato,$A658))*2,0)/2)))</f>
        <v/>
      </c>
      <c r="BC658">
        <f>IF(OR(BC$4="",$A658&gt;TODAY()),0,IF(OR(INDEX($B658:$D658,BC$5)="F",AND(BC$6&gt;0,$A658&lt;BC$6),AND(BC$7&gt;0,$A658&gt;BC$7)),0,MAX(0,ROUND((INDEX($E658:$G658,BC$5)-SUMIFS(TF_Timer,TF_Tekniker,BC$4,TF_Dato,$A658))*2,0)/2)))</f>
        <v/>
      </c>
      <c r="BD658">
        <f>IF(OR(BD$4="",$A658&gt;TODAY()),0,IF(OR(INDEX($B658:$D658,BD$5)="F",AND(BD$6&gt;0,$A658&lt;BD$6),AND(BD$7&gt;0,$A658&gt;BD$7)),0,MAX(0,ROUND((INDEX($E658:$G658,BD$5)-SUMIFS(TF_Timer,TF_Tekniker,BD$4,TF_Dato,$A658))*2,0)/2)))</f>
        <v/>
      </c>
      <c r="BE658">
        <f>IF(OR(BE$4="",$A658&gt;TODAY()),0,IF(OR(INDEX($B658:$D658,BE$5)="F",AND(BE$6&gt;0,$A658&lt;BE$6),AND(BE$7&gt;0,$A658&gt;BE$7)),0,MAX(0,ROUND((INDEX($E658:$G658,BE$5)-SUMIFS(TF_Timer,TF_Tekniker,BE$4,TF_Dato,$A658))*2,0)/2)))</f>
        <v/>
      </c>
      <c r="BF658">
        <f>IF(OR(BF$4="",$A658&gt;TODAY()),0,IF(OR(INDEX($B658:$D658,BF$5)="F",AND(BF$6&gt;0,$A658&lt;BF$6),AND(BF$7&gt;0,$A658&gt;BF$7)),0,MAX(0,ROUND((INDEX($E658:$G658,BF$5)-SUMIFS(TF_Timer,TF_Tekniker,BF$4,TF_Dato,$A658))*2,0)/2)))</f>
        <v/>
      </c>
      <c r="BG658">
        <f>IF(OR(BG$4="",$A658&gt;TODAY()),0,IF(OR(INDEX($B658:$D658,BG$5)="F",AND(BG$6&gt;0,$A658&lt;BG$6),AND(BG$7&gt;0,$A658&gt;BG$7)),0,MAX(0,ROUND((INDEX($E658:$G658,BG$5)-SUMIFS(TF_Timer,TF_Tekniker,BG$4,TF_Dato,$A658))*2,0)/2)))</f>
        <v/>
      </c>
      <c r="BH658">
        <f>IF(OR(BH$4="",$A658&gt;TODAY()),0,IF(OR(INDEX($B658:$D658,BH$5)="F",AND(BH$6&gt;0,$A658&lt;BH$6),AND(BH$7&gt;0,$A658&gt;BH$7)),0,MAX(0,ROUND((INDEX($E658:$G658,BH$5)-SUMIFS(TF_Timer,TF_Tekniker,BH$4,TF_Dato,$A658))*2,0)/2)))</f>
        <v/>
      </c>
      <c r="BI658">
        <f>IF(OR(BI$4="",$A658&gt;TODAY()),0,IF(OR(INDEX($B658:$D658,BI$5)="F",AND(BI$6&gt;0,$A658&lt;BI$6),AND(BI$7&gt;0,$A658&gt;BI$7)),0,MAX(0,ROUND((INDEX($E658:$G658,BI$5)-SUMIFS(TF_Timer,TF_Tekniker,BI$4,TF_Dato,$A658))*2,0)/2)))</f>
        <v/>
      </c>
    </row>
    <row r="659">
      <c r="A659" s="64">
        <f>A658+1</f>
        <v/>
      </c>
      <c r="B659">
        <f>IF(MOD($A659-INDEX(SkiftStart,1),Syklus)&lt;DagK,"K",IF(MOD($A659-INDEX(SkiftStart,1),Syklus)&lt;DagK+DagH,"H",IF(MOD($A659-INDEX(SkiftStart,1),Syklus)&lt;DagK+DagH+DagD,"D","F")))</f>
        <v/>
      </c>
      <c r="C659">
        <f>IF(MOD($A659-INDEX(SkiftStart,2),Syklus)&lt;DagK,"K",IF(MOD($A659-INDEX(SkiftStart,2),Syklus)&lt;DagK+DagH,"H",IF(MOD($A659-INDEX(SkiftStart,2),Syklus)&lt;DagK+DagH+DagD,"D","F")))</f>
        <v/>
      </c>
      <c r="D659">
        <f>IF(MOD($A659-INDEX(SkiftStart,3),Syklus)&lt;DagK,"K",IF(MOD($A659-INDEX(SkiftStart,3),Syklus)&lt;DagK+DagH,"H",IF(MOD($A659-INDEX(SkiftStart,3),Syklus)&lt;DagK+DagH+DagD,"D","F")))</f>
        <v/>
      </c>
      <c r="E659">
        <f>IF(B659="F",0,IF(WEEKDAY($A659,2)=5,INDEX(TimerFr,MATCH(B659,FaseKode,0)),INDEX(TimerMT,MATCH(B659,FaseKode,0))))</f>
        <v/>
      </c>
      <c r="F659">
        <f>IF(C659="F",0,IF(WEEKDAY($A659,2)=5,INDEX(TimerFr,MATCH(C659,FaseKode,0)),INDEX(TimerMT,MATCH(C659,FaseKode,0))))</f>
        <v/>
      </c>
      <c r="G659">
        <f>IF(D659="F",0,IF(WEEKDAY($A659,2)=5,INDEX(TimerFr,MATCH(D659,FaseKode,0)),INDEX(TimerMT,MATCH(D659,FaseKode,0))))</f>
        <v/>
      </c>
      <c r="H659">
        <f>IF(OR(H$4="",$A659&gt;TODAY()),0,IF(OR(INDEX($B659:$D659,H$5)="F",AND(H$6&gt;0,$A659&lt;H$6),AND(H$7&gt;0,$A659&gt;H$7)),0,MAX(0,ROUND((INDEX($E659:$G659,H$5)-SUMIFS(TF_Timer,TF_Tekniker,H$4,TF_Dato,$A659))*2,0)/2)))</f>
        <v/>
      </c>
      <c r="I659">
        <f>IF(OR(I$4="",$A659&gt;TODAY()),0,IF(OR(INDEX($B659:$D659,I$5)="F",AND(I$6&gt;0,$A659&lt;I$6),AND(I$7&gt;0,$A659&gt;I$7)),0,MAX(0,ROUND((INDEX($E659:$G659,I$5)-SUMIFS(TF_Timer,TF_Tekniker,I$4,TF_Dato,$A659))*2,0)/2)))</f>
        <v/>
      </c>
      <c r="J659">
        <f>IF(OR(J$4="",$A659&gt;TODAY()),0,IF(OR(INDEX($B659:$D659,J$5)="F",AND(J$6&gt;0,$A659&lt;J$6),AND(J$7&gt;0,$A659&gt;J$7)),0,MAX(0,ROUND((INDEX($E659:$G659,J$5)-SUMIFS(TF_Timer,TF_Tekniker,J$4,TF_Dato,$A659))*2,0)/2)))</f>
        <v/>
      </c>
      <c r="K659">
        <f>IF(OR(K$4="",$A659&gt;TODAY()),0,IF(OR(INDEX($B659:$D659,K$5)="F",AND(K$6&gt;0,$A659&lt;K$6),AND(K$7&gt;0,$A659&gt;K$7)),0,MAX(0,ROUND((INDEX($E659:$G659,K$5)-SUMIFS(TF_Timer,TF_Tekniker,K$4,TF_Dato,$A659))*2,0)/2)))</f>
        <v/>
      </c>
      <c r="L659">
        <f>IF(OR(L$4="",$A659&gt;TODAY()),0,IF(OR(INDEX($B659:$D659,L$5)="F",AND(L$6&gt;0,$A659&lt;L$6),AND(L$7&gt;0,$A659&gt;L$7)),0,MAX(0,ROUND((INDEX($E659:$G659,L$5)-SUMIFS(TF_Timer,TF_Tekniker,L$4,TF_Dato,$A659))*2,0)/2)))</f>
        <v/>
      </c>
      <c r="M659">
        <f>IF(OR(M$4="",$A659&gt;TODAY()),0,IF(OR(INDEX($B659:$D659,M$5)="F",AND(M$6&gt;0,$A659&lt;M$6),AND(M$7&gt;0,$A659&gt;M$7)),0,MAX(0,ROUND((INDEX($E659:$G659,M$5)-SUMIFS(TF_Timer,TF_Tekniker,M$4,TF_Dato,$A659))*2,0)/2)))</f>
        <v/>
      </c>
      <c r="N659">
        <f>IF(OR(N$4="",$A659&gt;TODAY()),0,IF(OR(INDEX($B659:$D659,N$5)="F",AND(N$6&gt;0,$A659&lt;N$6),AND(N$7&gt;0,$A659&gt;N$7)),0,MAX(0,ROUND((INDEX($E659:$G659,N$5)-SUMIFS(TF_Timer,TF_Tekniker,N$4,TF_Dato,$A659))*2,0)/2)))</f>
        <v/>
      </c>
      <c r="O659">
        <f>IF(OR(O$4="",$A659&gt;TODAY()),0,IF(OR(INDEX($B659:$D659,O$5)="F",AND(O$6&gt;0,$A659&lt;O$6),AND(O$7&gt;0,$A659&gt;O$7)),0,MAX(0,ROUND((INDEX($E659:$G659,O$5)-SUMIFS(TF_Timer,TF_Tekniker,O$4,TF_Dato,$A659))*2,0)/2)))</f>
        <v/>
      </c>
      <c r="P659">
        <f>IF(OR(P$4="",$A659&gt;TODAY()),0,IF(OR(INDEX($B659:$D659,P$5)="F",AND(P$6&gt;0,$A659&lt;P$6),AND(P$7&gt;0,$A659&gt;P$7)),0,MAX(0,ROUND((INDEX($E659:$G659,P$5)-SUMIFS(TF_Timer,TF_Tekniker,P$4,TF_Dato,$A659))*2,0)/2)))</f>
        <v/>
      </c>
      <c r="Q659">
        <f>IF(OR(Q$4="",$A659&gt;TODAY()),0,IF(OR(INDEX($B659:$D659,Q$5)="F",AND(Q$6&gt;0,$A659&lt;Q$6),AND(Q$7&gt;0,$A659&gt;Q$7)),0,MAX(0,ROUND((INDEX($E659:$G659,Q$5)-SUMIFS(TF_Timer,TF_Tekniker,Q$4,TF_Dato,$A659))*2,0)/2)))</f>
        <v/>
      </c>
      <c r="R659">
        <f>IF(OR(R$4="",$A659&gt;TODAY()),0,IF(OR(INDEX($B659:$D659,R$5)="F",AND(R$6&gt;0,$A659&lt;R$6),AND(R$7&gt;0,$A659&gt;R$7)),0,MAX(0,ROUND((INDEX($E659:$G659,R$5)-SUMIFS(TF_Timer,TF_Tekniker,R$4,TF_Dato,$A659))*2,0)/2)))</f>
        <v/>
      </c>
      <c r="S659">
        <f>IF(OR(S$4="",$A659&gt;TODAY()),0,IF(OR(INDEX($B659:$D659,S$5)="F",AND(S$6&gt;0,$A659&lt;S$6),AND(S$7&gt;0,$A659&gt;S$7)),0,MAX(0,ROUND((INDEX($E659:$G659,S$5)-SUMIFS(TF_Timer,TF_Tekniker,S$4,TF_Dato,$A659))*2,0)/2)))</f>
        <v/>
      </c>
      <c r="T659">
        <f>IF(OR(T$4="",$A659&gt;TODAY()),0,IF(OR(INDEX($B659:$D659,T$5)="F",AND(T$6&gt;0,$A659&lt;T$6),AND(T$7&gt;0,$A659&gt;T$7)),0,MAX(0,ROUND((INDEX($E659:$G659,T$5)-SUMIFS(TF_Timer,TF_Tekniker,T$4,TF_Dato,$A659))*2,0)/2)))</f>
        <v/>
      </c>
      <c r="U659">
        <f>IF(OR(U$4="",$A659&gt;TODAY()),0,IF(OR(INDEX($B659:$D659,U$5)="F",AND(U$6&gt;0,$A659&lt;U$6),AND(U$7&gt;0,$A659&gt;U$7)),0,MAX(0,ROUND((INDEX($E659:$G659,U$5)-SUMIFS(TF_Timer,TF_Tekniker,U$4,TF_Dato,$A659))*2,0)/2)))</f>
        <v/>
      </c>
      <c r="V659">
        <f>IF(OR(V$4="",$A659&gt;TODAY()),0,IF(OR(INDEX($B659:$D659,V$5)="F",AND(V$6&gt;0,$A659&lt;V$6),AND(V$7&gt;0,$A659&gt;V$7)),0,MAX(0,ROUND((INDEX($E659:$G659,V$5)-SUMIFS(TF_Timer,TF_Tekniker,V$4,TF_Dato,$A659))*2,0)/2)))</f>
        <v/>
      </c>
      <c r="W659">
        <f>IF(OR(W$4="",$A659&gt;TODAY()),0,IF(OR(INDEX($B659:$D659,W$5)="F",AND(W$6&gt;0,$A659&lt;W$6),AND(W$7&gt;0,$A659&gt;W$7)),0,MAX(0,ROUND((INDEX($E659:$G659,W$5)-SUMIFS(TF_Timer,TF_Tekniker,W$4,TF_Dato,$A659))*2,0)/2)))</f>
        <v/>
      </c>
      <c r="X659">
        <f>IF(OR(X$4="",$A659&gt;TODAY()),0,IF(OR(INDEX($B659:$D659,X$5)="F",AND(X$6&gt;0,$A659&lt;X$6),AND(X$7&gt;0,$A659&gt;X$7)),0,MAX(0,ROUND((INDEX($E659:$G659,X$5)-SUMIFS(TF_Timer,TF_Tekniker,X$4,TF_Dato,$A659))*2,0)/2)))</f>
        <v/>
      </c>
      <c r="Y659">
        <f>IF(OR(Y$4="",$A659&gt;TODAY()),0,IF(OR(INDEX($B659:$D659,Y$5)="F",AND(Y$6&gt;0,$A659&lt;Y$6),AND(Y$7&gt;0,$A659&gt;Y$7)),0,MAX(0,ROUND((INDEX($E659:$G659,Y$5)-SUMIFS(TF_Timer,TF_Tekniker,Y$4,TF_Dato,$A659))*2,0)/2)))</f>
        <v/>
      </c>
      <c r="Z659">
        <f>IF(OR(Z$4="",$A659&gt;TODAY()),0,IF(OR(INDEX($B659:$D659,Z$5)="F",AND(Z$6&gt;0,$A659&lt;Z$6),AND(Z$7&gt;0,$A659&gt;Z$7)),0,MAX(0,ROUND((INDEX($E659:$G659,Z$5)-SUMIFS(TF_Timer,TF_Tekniker,Z$4,TF_Dato,$A659))*2,0)/2)))</f>
        <v/>
      </c>
      <c r="AA659">
        <f>IF(OR(AA$4="",$A659&gt;TODAY()),0,IF(OR(INDEX($B659:$D659,AA$5)="F",AND(AA$6&gt;0,$A659&lt;AA$6),AND(AA$7&gt;0,$A659&gt;AA$7)),0,MAX(0,ROUND((INDEX($E659:$G659,AA$5)-SUMIFS(TF_Timer,TF_Tekniker,AA$4,TF_Dato,$A659))*2,0)/2)))</f>
        <v/>
      </c>
      <c r="AB659">
        <f>IF(OR(AB$4="",$A659&gt;TODAY()),0,IF(OR(INDEX($B659:$D659,AB$5)="F",AND(AB$6&gt;0,$A659&lt;AB$6),AND(AB$7&gt;0,$A659&gt;AB$7)),0,MAX(0,ROUND((INDEX($E659:$G659,AB$5)-SUMIFS(TF_Timer,TF_Tekniker,AB$4,TF_Dato,$A659))*2,0)/2)))</f>
        <v/>
      </c>
      <c r="AC659">
        <f>IF(OR(AC$4="",$A659&gt;TODAY()),0,IF(OR(INDEX($B659:$D659,AC$5)="F",AND(AC$6&gt;0,$A659&lt;AC$6),AND(AC$7&gt;0,$A659&gt;AC$7)),0,MAX(0,ROUND((INDEX($E659:$G659,AC$5)-SUMIFS(TF_Timer,TF_Tekniker,AC$4,TF_Dato,$A659))*2,0)/2)))</f>
        <v/>
      </c>
      <c r="AD659">
        <f>IF(OR(AD$4="",$A659&gt;TODAY()),0,IF(OR(INDEX($B659:$D659,AD$5)="F",AND(AD$6&gt;0,$A659&lt;AD$6),AND(AD$7&gt;0,$A659&gt;AD$7)),0,MAX(0,ROUND((INDEX($E659:$G659,AD$5)-SUMIFS(TF_Timer,TF_Tekniker,AD$4,TF_Dato,$A659))*2,0)/2)))</f>
        <v/>
      </c>
      <c r="AE659">
        <f>IF(OR(AE$4="",$A659&gt;TODAY()),0,IF(OR(INDEX($B659:$D659,AE$5)="F",AND(AE$6&gt;0,$A659&lt;AE$6),AND(AE$7&gt;0,$A659&gt;AE$7)),0,MAX(0,ROUND((INDEX($E659:$G659,AE$5)-SUMIFS(TF_Timer,TF_Tekniker,AE$4,TF_Dato,$A659))*2,0)/2)))</f>
        <v/>
      </c>
      <c r="AF659">
        <f>IF(OR(AF$4="",$A659&gt;TODAY()),0,IF(OR(INDEX($B659:$D659,AF$5)="F",AND(AF$6&gt;0,$A659&lt;AF$6),AND(AF$7&gt;0,$A659&gt;AF$7)),0,MAX(0,ROUND((INDEX($E659:$G659,AF$5)-SUMIFS(TF_Timer,TF_Tekniker,AF$4,TF_Dato,$A659))*2,0)/2)))</f>
        <v/>
      </c>
      <c r="AG659">
        <f>IF(OR(AG$4="",$A659&gt;TODAY()),0,IF(OR(INDEX($B659:$D659,AG$5)="F",AND(AG$6&gt;0,$A659&lt;AG$6),AND(AG$7&gt;0,$A659&gt;AG$7)),0,MAX(0,ROUND((INDEX($E659:$G659,AG$5)-SUMIFS(TF_Timer,TF_Tekniker,AG$4,TF_Dato,$A659))*2,0)/2)))</f>
        <v/>
      </c>
      <c r="AH659">
        <f>IF(OR(AH$4="",$A659&gt;TODAY()),0,IF(OR(INDEX($B659:$D659,AH$5)="F",AND(AH$6&gt;0,$A659&lt;AH$6),AND(AH$7&gt;0,$A659&gt;AH$7)),0,MAX(0,ROUND((INDEX($E659:$G659,AH$5)-SUMIFS(TF_Timer,TF_Tekniker,AH$4,TF_Dato,$A659))*2,0)/2)))</f>
        <v/>
      </c>
      <c r="AI659">
        <f>IF(OR(AI$4="",$A659&gt;TODAY()),0,IF(OR(INDEX($B659:$D659,AI$5)="F",AND(AI$6&gt;0,$A659&lt;AI$6),AND(AI$7&gt;0,$A659&gt;AI$7)),0,MAX(0,ROUND((INDEX($E659:$G659,AI$5)-SUMIFS(TF_Timer,TF_Tekniker,AI$4,TF_Dato,$A659))*2,0)/2)))</f>
        <v/>
      </c>
      <c r="AJ659">
        <f>IF(OR(AJ$4="",$A659&gt;TODAY()),0,IF(OR(INDEX($B659:$D659,AJ$5)="F",AND(AJ$6&gt;0,$A659&lt;AJ$6),AND(AJ$7&gt;0,$A659&gt;AJ$7)),0,MAX(0,ROUND((INDEX($E659:$G659,AJ$5)-SUMIFS(TF_Timer,TF_Tekniker,AJ$4,TF_Dato,$A659))*2,0)/2)))</f>
        <v/>
      </c>
      <c r="AK659">
        <f>IF(OR(AK$4="",$A659&gt;TODAY()),0,IF(OR(INDEX($B659:$D659,AK$5)="F",AND(AK$6&gt;0,$A659&lt;AK$6),AND(AK$7&gt;0,$A659&gt;AK$7)),0,MAX(0,ROUND((INDEX($E659:$G659,AK$5)-SUMIFS(TF_Timer,TF_Tekniker,AK$4,TF_Dato,$A659))*2,0)/2)))</f>
        <v/>
      </c>
      <c r="AL659">
        <f>IF(OR(AL$4="",$A659&gt;TODAY()),0,IF(OR(INDEX($B659:$D659,AL$5)="F",AND(AL$6&gt;0,$A659&lt;AL$6),AND(AL$7&gt;0,$A659&gt;AL$7)),0,MAX(0,ROUND((INDEX($E659:$G659,AL$5)-SUMIFS(TF_Timer,TF_Tekniker,AL$4,TF_Dato,$A659))*2,0)/2)))</f>
        <v/>
      </c>
      <c r="AM659">
        <f>IF(OR(AM$4="",$A659&gt;TODAY()),0,IF(OR(INDEX($B659:$D659,AM$5)="F",AND(AM$6&gt;0,$A659&lt;AM$6),AND(AM$7&gt;0,$A659&gt;AM$7)),0,MAX(0,ROUND((INDEX($E659:$G659,AM$5)-SUMIFS(TF_Timer,TF_Tekniker,AM$4,TF_Dato,$A659))*2,0)/2)))</f>
        <v/>
      </c>
      <c r="AN659">
        <f>IF(OR(AN$4="",$A659&gt;TODAY()),0,IF(OR(INDEX($B659:$D659,AN$5)="F",AND(AN$6&gt;0,$A659&lt;AN$6),AND(AN$7&gt;0,$A659&gt;AN$7)),0,MAX(0,ROUND((INDEX($E659:$G659,AN$5)-SUMIFS(TF_Timer,TF_Tekniker,AN$4,TF_Dato,$A659))*2,0)/2)))</f>
        <v/>
      </c>
      <c r="AO659">
        <f>IF(OR(AO$4="",$A659&gt;TODAY()),0,IF(OR(INDEX($B659:$D659,AO$5)="F",AND(AO$6&gt;0,$A659&lt;AO$6),AND(AO$7&gt;0,$A659&gt;AO$7)),0,MAX(0,ROUND((INDEX($E659:$G659,AO$5)-SUMIFS(TF_Timer,TF_Tekniker,AO$4,TF_Dato,$A659))*2,0)/2)))</f>
        <v/>
      </c>
      <c r="AP659">
        <f>IF(OR(AP$4="",$A659&gt;TODAY()),0,IF(OR(INDEX($B659:$D659,AP$5)="F",AND(AP$6&gt;0,$A659&lt;AP$6),AND(AP$7&gt;0,$A659&gt;AP$7)),0,MAX(0,ROUND((INDEX($E659:$G659,AP$5)-SUMIFS(TF_Timer,TF_Tekniker,AP$4,TF_Dato,$A659))*2,0)/2)))</f>
        <v/>
      </c>
      <c r="AQ659">
        <f>IF(OR(AQ$4="",$A659&gt;TODAY()),0,IF(OR(INDEX($B659:$D659,AQ$5)="F",AND(AQ$6&gt;0,$A659&lt;AQ$6),AND(AQ$7&gt;0,$A659&gt;AQ$7)),0,MAX(0,ROUND((INDEX($E659:$G659,AQ$5)-SUMIFS(TF_Timer,TF_Tekniker,AQ$4,TF_Dato,$A659))*2,0)/2)))</f>
        <v/>
      </c>
      <c r="AR659">
        <f>IF(OR(AR$4="",$A659&gt;TODAY()),0,IF(OR(INDEX($B659:$D659,AR$5)="F",AND(AR$6&gt;0,$A659&lt;AR$6),AND(AR$7&gt;0,$A659&gt;AR$7)),0,MAX(0,ROUND((INDEX($E659:$G659,AR$5)-SUMIFS(TF_Timer,TF_Tekniker,AR$4,TF_Dato,$A659))*2,0)/2)))</f>
        <v/>
      </c>
      <c r="AS659">
        <f>IF(OR(AS$4="",$A659&gt;TODAY()),0,IF(OR(INDEX($B659:$D659,AS$5)="F",AND(AS$6&gt;0,$A659&lt;AS$6),AND(AS$7&gt;0,$A659&gt;AS$7)),0,MAX(0,ROUND((INDEX($E659:$G659,AS$5)-SUMIFS(TF_Timer,TF_Tekniker,AS$4,TF_Dato,$A659))*2,0)/2)))</f>
        <v/>
      </c>
      <c r="AT659">
        <f>IF(OR(AT$4="",$A659&gt;TODAY()),0,IF(OR(INDEX($B659:$D659,AT$5)="F",AND(AT$6&gt;0,$A659&lt;AT$6),AND(AT$7&gt;0,$A659&gt;AT$7)),0,MAX(0,ROUND((INDEX($E659:$G659,AT$5)-SUMIFS(TF_Timer,TF_Tekniker,AT$4,TF_Dato,$A659))*2,0)/2)))</f>
        <v/>
      </c>
      <c r="AU659">
        <f>IF(OR(AU$4="",$A659&gt;TODAY()),0,IF(OR(INDEX($B659:$D659,AU$5)="F",AND(AU$6&gt;0,$A659&lt;AU$6),AND(AU$7&gt;0,$A659&gt;AU$7)),0,MAX(0,ROUND((INDEX($E659:$G659,AU$5)-SUMIFS(TF_Timer,TF_Tekniker,AU$4,TF_Dato,$A659))*2,0)/2)))</f>
        <v/>
      </c>
      <c r="AV659">
        <f>IF(OR(AV$4="",$A659&gt;TODAY()),0,IF(OR(INDEX($B659:$D659,AV$5)="F",AND(AV$6&gt;0,$A659&lt;AV$6),AND(AV$7&gt;0,$A659&gt;AV$7)),0,MAX(0,ROUND((INDEX($E659:$G659,AV$5)-SUMIFS(TF_Timer,TF_Tekniker,AV$4,TF_Dato,$A659))*2,0)/2)))</f>
        <v/>
      </c>
      <c r="AW659">
        <f>IF(OR(AW$4="",$A659&gt;TODAY()),0,IF(OR(INDEX($B659:$D659,AW$5)="F",AND(AW$6&gt;0,$A659&lt;AW$6),AND(AW$7&gt;0,$A659&gt;AW$7)),0,MAX(0,ROUND((INDEX($E659:$G659,AW$5)-SUMIFS(TF_Timer,TF_Tekniker,AW$4,TF_Dato,$A659))*2,0)/2)))</f>
        <v/>
      </c>
      <c r="AX659">
        <f>IF(OR(AX$4="",$A659&gt;TODAY()),0,IF(OR(INDEX($B659:$D659,AX$5)="F",AND(AX$6&gt;0,$A659&lt;AX$6),AND(AX$7&gt;0,$A659&gt;AX$7)),0,MAX(0,ROUND((INDEX($E659:$G659,AX$5)-SUMIFS(TF_Timer,TF_Tekniker,AX$4,TF_Dato,$A659))*2,0)/2)))</f>
        <v/>
      </c>
      <c r="AY659">
        <f>IF(OR(AY$4="",$A659&gt;TODAY()),0,IF(OR(INDEX($B659:$D659,AY$5)="F",AND(AY$6&gt;0,$A659&lt;AY$6),AND(AY$7&gt;0,$A659&gt;AY$7)),0,MAX(0,ROUND((INDEX($E659:$G659,AY$5)-SUMIFS(TF_Timer,TF_Tekniker,AY$4,TF_Dato,$A659))*2,0)/2)))</f>
        <v/>
      </c>
      <c r="AZ659">
        <f>IF(OR(AZ$4="",$A659&gt;TODAY()),0,IF(OR(INDEX($B659:$D659,AZ$5)="F",AND(AZ$6&gt;0,$A659&lt;AZ$6),AND(AZ$7&gt;0,$A659&gt;AZ$7)),0,MAX(0,ROUND((INDEX($E659:$G659,AZ$5)-SUMIFS(TF_Timer,TF_Tekniker,AZ$4,TF_Dato,$A659))*2,0)/2)))</f>
        <v/>
      </c>
      <c r="BA659">
        <f>IF(OR(BA$4="",$A659&gt;TODAY()),0,IF(OR(INDEX($B659:$D659,BA$5)="F",AND(BA$6&gt;0,$A659&lt;BA$6),AND(BA$7&gt;0,$A659&gt;BA$7)),0,MAX(0,ROUND((INDEX($E659:$G659,BA$5)-SUMIFS(TF_Timer,TF_Tekniker,BA$4,TF_Dato,$A659))*2,0)/2)))</f>
        <v/>
      </c>
      <c r="BB659">
        <f>IF(OR(BB$4="",$A659&gt;TODAY()),0,IF(OR(INDEX($B659:$D659,BB$5)="F",AND(BB$6&gt;0,$A659&lt;BB$6),AND(BB$7&gt;0,$A659&gt;BB$7)),0,MAX(0,ROUND((INDEX($E659:$G659,BB$5)-SUMIFS(TF_Timer,TF_Tekniker,BB$4,TF_Dato,$A659))*2,0)/2)))</f>
        <v/>
      </c>
      <c r="BC659">
        <f>IF(OR(BC$4="",$A659&gt;TODAY()),0,IF(OR(INDEX($B659:$D659,BC$5)="F",AND(BC$6&gt;0,$A659&lt;BC$6),AND(BC$7&gt;0,$A659&gt;BC$7)),0,MAX(0,ROUND((INDEX($E659:$G659,BC$5)-SUMIFS(TF_Timer,TF_Tekniker,BC$4,TF_Dato,$A659))*2,0)/2)))</f>
        <v/>
      </c>
      <c r="BD659">
        <f>IF(OR(BD$4="",$A659&gt;TODAY()),0,IF(OR(INDEX($B659:$D659,BD$5)="F",AND(BD$6&gt;0,$A659&lt;BD$6),AND(BD$7&gt;0,$A659&gt;BD$7)),0,MAX(0,ROUND((INDEX($E659:$G659,BD$5)-SUMIFS(TF_Timer,TF_Tekniker,BD$4,TF_Dato,$A659))*2,0)/2)))</f>
        <v/>
      </c>
      <c r="BE659">
        <f>IF(OR(BE$4="",$A659&gt;TODAY()),0,IF(OR(INDEX($B659:$D659,BE$5)="F",AND(BE$6&gt;0,$A659&lt;BE$6),AND(BE$7&gt;0,$A659&gt;BE$7)),0,MAX(0,ROUND((INDEX($E659:$G659,BE$5)-SUMIFS(TF_Timer,TF_Tekniker,BE$4,TF_Dato,$A659))*2,0)/2)))</f>
        <v/>
      </c>
      <c r="BF659">
        <f>IF(OR(BF$4="",$A659&gt;TODAY()),0,IF(OR(INDEX($B659:$D659,BF$5)="F",AND(BF$6&gt;0,$A659&lt;BF$6),AND(BF$7&gt;0,$A659&gt;BF$7)),0,MAX(0,ROUND((INDEX($E659:$G659,BF$5)-SUMIFS(TF_Timer,TF_Tekniker,BF$4,TF_Dato,$A659))*2,0)/2)))</f>
        <v/>
      </c>
      <c r="BG659">
        <f>IF(OR(BG$4="",$A659&gt;TODAY()),0,IF(OR(INDEX($B659:$D659,BG$5)="F",AND(BG$6&gt;0,$A659&lt;BG$6),AND(BG$7&gt;0,$A659&gt;BG$7)),0,MAX(0,ROUND((INDEX($E659:$G659,BG$5)-SUMIFS(TF_Timer,TF_Tekniker,BG$4,TF_Dato,$A659))*2,0)/2)))</f>
        <v/>
      </c>
      <c r="BH659">
        <f>IF(OR(BH$4="",$A659&gt;TODAY()),0,IF(OR(INDEX($B659:$D659,BH$5)="F",AND(BH$6&gt;0,$A659&lt;BH$6),AND(BH$7&gt;0,$A659&gt;BH$7)),0,MAX(0,ROUND((INDEX($E659:$G659,BH$5)-SUMIFS(TF_Timer,TF_Tekniker,BH$4,TF_Dato,$A659))*2,0)/2)))</f>
        <v/>
      </c>
      <c r="BI659">
        <f>IF(OR(BI$4="",$A659&gt;TODAY()),0,IF(OR(INDEX($B659:$D659,BI$5)="F",AND(BI$6&gt;0,$A659&lt;BI$6),AND(BI$7&gt;0,$A659&gt;BI$7)),0,MAX(0,ROUND((INDEX($E659:$G659,BI$5)-SUMIFS(TF_Timer,TF_Tekniker,BI$4,TF_Dato,$A659))*2,0)/2)))</f>
        <v/>
      </c>
    </row>
    <row r="660">
      <c r="A660" s="64">
        <f>A659+1</f>
        <v/>
      </c>
      <c r="B660">
        <f>IF(MOD($A660-INDEX(SkiftStart,1),Syklus)&lt;DagK,"K",IF(MOD($A660-INDEX(SkiftStart,1),Syklus)&lt;DagK+DagH,"H",IF(MOD($A660-INDEX(SkiftStart,1),Syklus)&lt;DagK+DagH+DagD,"D","F")))</f>
        <v/>
      </c>
      <c r="C660">
        <f>IF(MOD($A660-INDEX(SkiftStart,2),Syklus)&lt;DagK,"K",IF(MOD($A660-INDEX(SkiftStart,2),Syklus)&lt;DagK+DagH,"H",IF(MOD($A660-INDEX(SkiftStart,2),Syklus)&lt;DagK+DagH+DagD,"D","F")))</f>
        <v/>
      </c>
      <c r="D660">
        <f>IF(MOD($A660-INDEX(SkiftStart,3),Syklus)&lt;DagK,"K",IF(MOD($A660-INDEX(SkiftStart,3),Syklus)&lt;DagK+DagH,"H",IF(MOD($A660-INDEX(SkiftStart,3),Syklus)&lt;DagK+DagH+DagD,"D","F")))</f>
        <v/>
      </c>
      <c r="E660">
        <f>IF(B660="F",0,IF(WEEKDAY($A660,2)=5,INDEX(TimerFr,MATCH(B660,FaseKode,0)),INDEX(TimerMT,MATCH(B660,FaseKode,0))))</f>
        <v/>
      </c>
      <c r="F660">
        <f>IF(C660="F",0,IF(WEEKDAY($A660,2)=5,INDEX(TimerFr,MATCH(C660,FaseKode,0)),INDEX(TimerMT,MATCH(C660,FaseKode,0))))</f>
        <v/>
      </c>
      <c r="G660">
        <f>IF(D660="F",0,IF(WEEKDAY($A660,2)=5,INDEX(TimerFr,MATCH(D660,FaseKode,0)),INDEX(TimerMT,MATCH(D660,FaseKode,0))))</f>
        <v/>
      </c>
      <c r="H660">
        <f>IF(OR(H$4="",$A660&gt;TODAY()),0,IF(OR(INDEX($B660:$D660,H$5)="F",AND(H$6&gt;0,$A660&lt;H$6),AND(H$7&gt;0,$A660&gt;H$7)),0,MAX(0,ROUND((INDEX($E660:$G660,H$5)-SUMIFS(TF_Timer,TF_Tekniker,H$4,TF_Dato,$A660))*2,0)/2)))</f>
        <v/>
      </c>
      <c r="I660">
        <f>IF(OR(I$4="",$A660&gt;TODAY()),0,IF(OR(INDEX($B660:$D660,I$5)="F",AND(I$6&gt;0,$A660&lt;I$6),AND(I$7&gt;0,$A660&gt;I$7)),0,MAX(0,ROUND((INDEX($E660:$G660,I$5)-SUMIFS(TF_Timer,TF_Tekniker,I$4,TF_Dato,$A660))*2,0)/2)))</f>
        <v/>
      </c>
      <c r="J660">
        <f>IF(OR(J$4="",$A660&gt;TODAY()),0,IF(OR(INDEX($B660:$D660,J$5)="F",AND(J$6&gt;0,$A660&lt;J$6),AND(J$7&gt;0,$A660&gt;J$7)),0,MAX(0,ROUND((INDEX($E660:$G660,J$5)-SUMIFS(TF_Timer,TF_Tekniker,J$4,TF_Dato,$A660))*2,0)/2)))</f>
        <v/>
      </c>
      <c r="K660">
        <f>IF(OR(K$4="",$A660&gt;TODAY()),0,IF(OR(INDEX($B660:$D660,K$5)="F",AND(K$6&gt;0,$A660&lt;K$6),AND(K$7&gt;0,$A660&gt;K$7)),0,MAX(0,ROUND((INDEX($E660:$G660,K$5)-SUMIFS(TF_Timer,TF_Tekniker,K$4,TF_Dato,$A660))*2,0)/2)))</f>
        <v/>
      </c>
      <c r="L660">
        <f>IF(OR(L$4="",$A660&gt;TODAY()),0,IF(OR(INDEX($B660:$D660,L$5)="F",AND(L$6&gt;0,$A660&lt;L$6),AND(L$7&gt;0,$A660&gt;L$7)),0,MAX(0,ROUND((INDEX($E660:$G660,L$5)-SUMIFS(TF_Timer,TF_Tekniker,L$4,TF_Dato,$A660))*2,0)/2)))</f>
        <v/>
      </c>
      <c r="M660">
        <f>IF(OR(M$4="",$A660&gt;TODAY()),0,IF(OR(INDEX($B660:$D660,M$5)="F",AND(M$6&gt;0,$A660&lt;M$6),AND(M$7&gt;0,$A660&gt;M$7)),0,MAX(0,ROUND((INDEX($E660:$G660,M$5)-SUMIFS(TF_Timer,TF_Tekniker,M$4,TF_Dato,$A660))*2,0)/2)))</f>
        <v/>
      </c>
      <c r="N660">
        <f>IF(OR(N$4="",$A660&gt;TODAY()),0,IF(OR(INDEX($B660:$D660,N$5)="F",AND(N$6&gt;0,$A660&lt;N$6),AND(N$7&gt;0,$A660&gt;N$7)),0,MAX(0,ROUND((INDEX($E660:$G660,N$5)-SUMIFS(TF_Timer,TF_Tekniker,N$4,TF_Dato,$A660))*2,0)/2)))</f>
        <v/>
      </c>
      <c r="O660">
        <f>IF(OR(O$4="",$A660&gt;TODAY()),0,IF(OR(INDEX($B660:$D660,O$5)="F",AND(O$6&gt;0,$A660&lt;O$6),AND(O$7&gt;0,$A660&gt;O$7)),0,MAX(0,ROUND((INDEX($E660:$G660,O$5)-SUMIFS(TF_Timer,TF_Tekniker,O$4,TF_Dato,$A660))*2,0)/2)))</f>
        <v/>
      </c>
      <c r="P660">
        <f>IF(OR(P$4="",$A660&gt;TODAY()),0,IF(OR(INDEX($B660:$D660,P$5)="F",AND(P$6&gt;0,$A660&lt;P$6),AND(P$7&gt;0,$A660&gt;P$7)),0,MAX(0,ROUND((INDEX($E660:$G660,P$5)-SUMIFS(TF_Timer,TF_Tekniker,P$4,TF_Dato,$A660))*2,0)/2)))</f>
        <v/>
      </c>
      <c r="Q660">
        <f>IF(OR(Q$4="",$A660&gt;TODAY()),0,IF(OR(INDEX($B660:$D660,Q$5)="F",AND(Q$6&gt;0,$A660&lt;Q$6),AND(Q$7&gt;0,$A660&gt;Q$7)),0,MAX(0,ROUND((INDEX($E660:$G660,Q$5)-SUMIFS(TF_Timer,TF_Tekniker,Q$4,TF_Dato,$A660))*2,0)/2)))</f>
        <v/>
      </c>
      <c r="R660">
        <f>IF(OR(R$4="",$A660&gt;TODAY()),0,IF(OR(INDEX($B660:$D660,R$5)="F",AND(R$6&gt;0,$A660&lt;R$6),AND(R$7&gt;0,$A660&gt;R$7)),0,MAX(0,ROUND((INDEX($E660:$G660,R$5)-SUMIFS(TF_Timer,TF_Tekniker,R$4,TF_Dato,$A660))*2,0)/2)))</f>
        <v/>
      </c>
      <c r="S660">
        <f>IF(OR(S$4="",$A660&gt;TODAY()),0,IF(OR(INDEX($B660:$D660,S$5)="F",AND(S$6&gt;0,$A660&lt;S$6),AND(S$7&gt;0,$A660&gt;S$7)),0,MAX(0,ROUND((INDEX($E660:$G660,S$5)-SUMIFS(TF_Timer,TF_Tekniker,S$4,TF_Dato,$A660))*2,0)/2)))</f>
        <v/>
      </c>
      <c r="T660">
        <f>IF(OR(T$4="",$A660&gt;TODAY()),0,IF(OR(INDEX($B660:$D660,T$5)="F",AND(T$6&gt;0,$A660&lt;T$6),AND(T$7&gt;0,$A660&gt;T$7)),0,MAX(0,ROUND((INDEX($E660:$G660,T$5)-SUMIFS(TF_Timer,TF_Tekniker,T$4,TF_Dato,$A660))*2,0)/2)))</f>
        <v/>
      </c>
      <c r="U660">
        <f>IF(OR(U$4="",$A660&gt;TODAY()),0,IF(OR(INDEX($B660:$D660,U$5)="F",AND(U$6&gt;0,$A660&lt;U$6),AND(U$7&gt;0,$A660&gt;U$7)),0,MAX(0,ROUND((INDEX($E660:$G660,U$5)-SUMIFS(TF_Timer,TF_Tekniker,U$4,TF_Dato,$A660))*2,0)/2)))</f>
        <v/>
      </c>
      <c r="V660">
        <f>IF(OR(V$4="",$A660&gt;TODAY()),0,IF(OR(INDEX($B660:$D660,V$5)="F",AND(V$6&gt;0,$A660&lt;V$6),AND(V$7&gt;0,$A660&gt;V$7)),0,MAX(0,ROUND((INDEX($E660:$G660,V$5)-SUMIFS(TF_Timer,TF_Tekniker,V$4,TF_Dato,$A660))*2,0)/2)))</f>
        <v/>
      </c>
      <c r="W660">
        <f>IF(OR(W$4="",$A660&gt;TODAY()),0,IF(OR(INDEX($B660:$D660,W$5)="F",AND(W$6&gt;0,$A660&lt;W$6),AND(W$7&gt;0,$A660&gt;W$7)),0,MAX(0,ROUND((INDEX($E660:$G660,W$5)-SUMIFS(TF_Timer,TF_Tekniker,W$4,TF_Dato,$A660))*2,0)/2)))</f>
        <v/>
      </c>
      <c r="X660">
        <f>IF(OR(X$4="",$A660&gt;TODAY()),0,IF(OR(INDEX($B660:$D660,X$5)="F",AND(X$6&gt;0,$A660&lt;X$6),AND(X$7&gt;0,$A660&gt;X$7)),0,MAX(0,ROUND((INDEX($E660:$G660,X$5)-SUMIFS(TF_Timer,TF_Tekniker,X$4,TF_Dato,$A660))*2,0)/2)))</f>
        <v/>
      </c>
      <c r="Y660">
        <f>IF(OR(Y$4="",$A660&gt;TODAY()),0,IF(OR(INDEX($B660:$D660,Y$5)="F",AND(Y$6&gt;0,$A660&lt;Y$6),AND(Y$7&gt;0,$A660&gt;Y$7)),0,MAX(0,ROUND((INDEX($E660:$G660,Y$5)-SUMIFS(TF_Timer,TF_Tekniker,Y$4,TF_Dato,$A660))*2,0)/2)))</f>
        <v/>
      </c>
      <c r="Z660">
        <f>IF(OR(Z$4="",$A660&gt;TODAY()),0,IF(OR(INDEX($B660:$D660,Z$5)="F",AND(Z$6&gt;0,$A660&lt;Z$6),AND(Z$7&gt;0,$A660&gt;Z$7)),0,MAX(0,ROUND((INDEX($E660:$G660,Z$5)-SUMIFS(TF_Timer,TF_Tekniker,Z$4,TF_Dato,$A660))*2,0)/2)))</f>
        <v/>
      </c>
      <c r="AA660">
        <f>IF(OR(AA$4="",$A660&gt;TODAY()),0,IF(OR(INDEX($B660:$D660,AA$5)="F",AND(AA$6&gt;0,$A660&lt;AA$6),AND(AA$7&gt;0,$A660&gt;AA$7)),0,MAX(0,ROUND((INDEX($E660:$G660,AA$5)-SUMIFS(TF_Timer,TF_Tekniker,AA$4,TF_Dato,$A660))*2,0)/2)))</f>
        <v/>
      </c>
      <c r="AB660">
        <f>IF(OR(AB$4="",$A660&gt;TODAY()),0,IF(OR(INDEX($B660:$D660,AB$5)="F",AND(AB$6&gt;0,$A660&lt;AB$6),AND(AB$7&gt;0,$A660&gt;AB$7)),0,MAX(0,ROUND((INDEX($E660:$G660,AB$5)-SUMIFS(TF_Timer,TF_Tekniker,AB$4,TF_Dato,$A660))*2,0)/2)))</f>
        <v/>
      </c>
      <c r="AC660">
        <f>IF(OR(AC$4="",$A660&gt;TODAY()),0,IF(OR(INDEX($B660:$D660,AC$5)="F",AND(AC$6&gt;0,$A660&lt;AC$6),AND(AC$7&gt;0,$A660&gt;AC$7)),0,MAX(0,ROUND((INDEX($E660:$G660,AC$5)-SUMIFS(TF_Timer,TF_Tekniker,AC$4,TF_Dato,$A660))*2,0)/2)))</f>
        <v/>
      </c>
      <c r="AD660">
        <f>IF(OR(AD$4="",$A660&gt;TODAY()),0,IF(OR(INDEX($B660:$D660,AD$5)="F",AND(AD$6&gt;0,$A660&lt;AD$6),AND(AD$7&gt;0,$A660&gt;AD$7)),0,MAX(0,ROUND((INDEX($E660:$G660,AD$5)-SUMIFS(TF_Timer,TF_Tekniker,AD$4,TF_Dato,$A660))*2,0)/2)))</f>
        <v/>
      </c>
      <c r="AE660">
        <f>IF(OR(AE$4="",$A660&gt;TODAY()),0,IF(OR(INDEX($B660:$D660,AE$5)="F",AND(AE$6&gt;0,$A660&lt;AE$6),AND(AE$7&gt;0,$A660&gt;AE$7)),0,MAX(0,ROUND((INDEX($E660:$G660,AE$5)-SUMIFS(TF_Timer,TF_Tekniker,AE$4,TF_Dato,$A660))*2,0)/2)))</f>
        <v/>
      </c>
      <c r="AF660">
        <f>IF(OR(AF$4="",$A660&gt;TODAY()),0,IF(OR(INDEX($B660:$D660,AF$5)="F",AND(AF$6&gt;0,$A660&lt;AF$6),AND(AF$7&gt;0,$A660&gt;AF$7)),0,MAX(0,ROUND((INDEX($E660:$G660,AF$5)-SUMIFS(TF_Timer,TF_Tekniker,AF$4,TF_Dato,$A660))*2,0)/2)))</f>
        <v/>
      </c>
      <c r="AG660">
        <f>IF(OR(AG$4="",$A660&gt;TODAY()),0,IF(OR(INDEX($B660:$D660,AG$5)="F",AND(AG$6&gt;0,$A660&lt;AG$6),AND(AG$7&gt;0,$A660&gt;AG$7)),0,MAX(0,ROUND((INDEX($E660:$G660,AG$5)-SUMIFS(TF_Timer,TF_Tekniker,AG$4,TF_Dato,$A660))*2,0)/2)))</f>
        <v/>
      </c>
      <c r="AH660">
        <f>IF(OR(AH$4="",$A660&gt;TODAY()),0,IF(OR(INDEX($B660:$D660,AH$5)="F",AND(AH$6&gt;0,$A660&lt;AH$6),AND(AH$7&gt;0,$A660&gt;AH$7)),0,MAX(0,ROUND((INDEX($E660:$G660,AH$5)-SUMIFS(TF_Timer,TF_Tekniker,AH$4,TF_Dato,$A660))*2,0)/2)))</f>
        <v/>
      </c>
      <c r="AI660">
        <f>IF(OR(AI$4="",$A660&gt;TODAY()),0,IF(OR(INDEX($B660:$D660,AI$5)="F",AND(AI$6&gt;0,$A660&lt;AI$6),AND(AI$7&gt;0,$A660&gt;AI$7)),0,MAX(0,ROUND((INDEX($E660:$G660,AI$5)-SUMIFS(TF_Timer,TF_Tekniker,AI$4,TF_Dato,$A660))*2,0)/2)))</f>
        <v/>
      </c>
      <c r="AJ660">
        <f>IF(OR(AJ$4="",$A660&gt;TODAY()),0,IF(OR(INDEX($B660:$D660,AJ$5)="F",AND(AJ$6&gt;0,$A660&lt;AJ$6),AND(AJ$7&gt;0,$A660&gt;AJ$7)),0,MAX(0,ROUND((INDEX($E660:$G660,AJ$5)-SUMIFS(TF_Timer,TF_Tekniker,AJ$4,TF_Dato,$A660))*2,0)/2)))</f>
        <v/>
      </c>
      <c r="AK660">
        <f>IF(OR(AK$4="",$A660&gt;TODAY()),0,IF(OR(INDEX($B660:$D660,AK$5)="F",AND(AK$6&gt;0,$A660&lt;AK$6),AND(AK$7&gt;0,$A660&gt;AK$7)),0,MAX(0,ROUND((INDEX($E660:$G660,AK$5)-SUMIFS(TF_Timer,TF_Tekniker,AK$4,TF_Dato,$A660))*2,0)/2)))</f>
        <v/>
      </c>
      <c r="AL660">
        <f>IF(OR(AL$4="",$A660&gt;TODAY()),0,IF(OR(INDEX($B660:$D660,AL$5)="F",AND(AL$6&gt;0,$A660&lt;AL$6),AND(AL$7&gt;0,$A660&gt;AL$7)),0,MAX(0,ROUND((INDEX($E660:$G660,AL$5)-SUMIFS(TF_Timer,TF_Tekniker,AL$4,TF_Dato,$A660))*2,0)/2)))</f>
        <v/>
      </c>
      <c r="AM660">
        <f>IF(OR(AM$4="",$A660&gt;TODAY()),0,IF(OR(INDEX($B660:$D660,AM$5)="F",AND(AM$6&gt;0,$A660&lt;AM$6),AND(AM$7&gt;0,$A660&gt;AM$7)),0,MAX(0,ROUND((INDEX($E660:$G660,AM$5)-SUMIFS(TF_Timer,TF_Tekniker,AM$4,TF_Dato,$A660))*2,0)/2)))</f>
        <v/>
      </c>
      <c r="AN660">
        <f>IF(OR(AN$4="",$A660&gt;TODAY()),0,IF(OR(INDEX($B660:$D660,AN$5)="F",AND(AN$6&gt;0,$A660&lt;AN$6),AND(AN$7&gt;0,$A660&gt;AN$7)),0,MAX(0,ROUND((INDEX($E660:$G660,AN$5)-SUMIFS(TF_Timer,TF_Tekniker,AN$4,TF_Dato,$A660))*2,0)/2)))</f>
        <v/>
      </c>
      <c r="AO660">
        <f>IF(OR(AO$4="",$A660&gt;TODAY()),0,IF(OR(INDEX($B660:$D660,AO$5)="F",AND(AO$6&gt;0,$A660&lt;AO$6),AND(AO$7&gt;0,$A660&gt;AO$7)),0,MAX(0,ROUND((INDEX($E660:$G660,AO$5)-SUMIFS(TF_Timer,TF_Tekniker,AO$4,TF_Dato,$A660))*2,0)/2)))</f>
        <v/>
      </c>
      <c r="AP660">
        <f>IF(OR(AP$4="",$A660&gt;TODAY()),0,IF(OR(INDEX($B660:$D660,AP$5)="F",AND(AP$6&gt;0,$A660&lt;AP$6),AND(AP$7&gt;0,$A660&gt;AP$7)),0,MAX(0,ROUND((INDEX($E660:$G660,AP$5)-SUMIFS(TF_Timer,TF_Tekniker,AP$4,TF_Dato,$A660))*2,0)/2)))</f>
        <v/>
      </c>
      <c r="AQ660">
        <f>IF(OR(AQ$4="",$A660&gt;TODAY()),0,IF(OR(INDEX($B660:$D660,AQ$5)="F",AND(AQ$6&gt;0,$A660&lt;AQ$6),AND(AQ$7&gt;0,$A660&gt;AQ$7)),0,MAX(0,ROUND((INDEX($E660:$G660,AQ$5)-SUMIFS(TF_Timer,TF_Tekniker,AQ$4,TF_Dato,$A660))*2,0)/2)))</f>
        <v/>
      </c>
      <c r="AR660">
        <f>IF(OR(AR$4="",$A660&gt;TODAY()),0,IF(OR(INDEX($B660:$D660,AR$5)="F",AND(AR$6&gt;0,$A660&lt;AR$6),AND(AR$7&gt;0,$A660&gt;AR$7)),0,MAX(0,ROUND((INDEX($E660:$G660,AR$5)-SUMIFS(TF_Timer,TF_Tekniker,AR$4,TF_Dato,$A660))*2,0)/2)))</f>
        <v/>
      </c>
      <c r="AS660">
        <f>IF(OR(AS$4="",$A660&gt;TODAY()),0,IF(OR(INDEX($B660:$D660,AS$5)="F",AND(AS$6&gt;0,$A660&lt;AS$6),AND(AS$7&gt;0,$A660&gt;AS$7)),0,MAX(0,ROUND((INDEX($E660:$G660,AS$5)-SUMIFS(TF_Timer,TF_Tekniker,AS$4,TF_Dato,$A660))*2,0)/2)))</f>
        <v/>
      </c>
      <c r="AT660">
        <f>IF(OR(AT$4="",$A660&gt;TODAY()),0,IF(OR(INDEX($B660:$D660,AT$5)="F",AND(AT$6&gt;0,$A660&lt;AT$6),AND(AT$7&gt;0,$A660&gt;AT$7)),0,MAX(0,ROUND((INDEX($E660:$G660,AT$5)-SUMIFS(TF_Timer,TF_Tekniker,AT$4,TF_Dato,$A660))*2,0)/2)))</f>
        <v/>
      </c>
      <c r="AU660">
        <f>IF(OR(AU$4="",$A660&gt;TODAY()),0,IF(OR(INDEX($B660:$D660,AU$5)="F",AND(AU$6&gt;0,$A660&lt;AU$6),AND(AU$7&gt;0,$A660&gt;AU$7)),0,MAX(0,ROUND((INDEX($E660:$G660,AU$5)-SUMIFS(TF_Timer,TF_Tekniker,AU$4,TF_Dato,$A660))*2,0)/2)))</f>
        <v/>
      </c>
      <c r="AV660">
        <f>IF(OR(AV$4="",$A660&gt;TODAY()),0,IF(OR(INDEX($B660:$D660,AV$5)="F",AND(AV$6&gt;0,$A660&lt;AV$6),AND(AV$7&gt;0,$A660&gt;AV$7)),0,MAX(0,ROUND((INDEX($E660:$G660,AV$5)-SUMIFS(TF_Timer,TF_Tekniker,AV$4,TF_Dato,$A660))*2,0)/2)))</f>
        <v/>
      </c>
      <c r="AW660">
        <f>IF(OR(AW$4="",$A660&gt;TODAY()),0,IF(OR(INDEX($B660:$D660,AW$5)="F",AND(AW$6&gt;0,$A660&lt;AW$6),AND(AW$7&gt;0,$A660&gt;AW$7)),0,MAX(0,ROUND((INDEX($E660:$G660,AW$5)-SUMIFS(TF_Timer,TF_Tekniker,AW$4,TF_Dato,$A660))*2,0)/2)))</f>
        <v/>
      </c>
      <c r="AX660">
        <f>IF(OR(AX$4="",$A660&gt;TODAY()),0,IF(OR(INDEX($B660:$D660,AX$5)="F",AND(AX$6&gt;0,$A660&lt;AX$6),AND(AX$7&gt;0,$A660&gt;AX$7)),0,MAX(0,ROUND((INDEX($E660:$G660,AX$5)-SUMIFS(TF_Timer,TF_Tekniker,AX$4,TF_Dato,$A660))*2,0)/2)))</f>
        <v/>
      </c>
      <c r="AY660">
        <f>IF(OR(AY$4="",$A660&gt;TODAY()),0,IF(OR(INDEX($B660:$D660,AY$5)="F",AND(AY$6&gt;0,$A660&lt;AY$6),AND(AY$7&gt;0,$A660&gt;AY$7)),0,MAX(0,ROUND((INDEX($E660:$G660,AY$5)-SUMIFS(TF_Timer,TF_Tekniker,AY$4,TF_Dato,$A660))*2,0)/2)))</f>
        <v/>
      </c>
      <c r="AZ660">
        <f>IF(OR(AZ$4="",$A660&gt;TODAY()),0,IF(OR(INDEX($B660:$D660,AZ$5)="F",AND(AZ$6&gt;0,$A660&lt;AZ$6),AND(AZ$7&gt;0,$A660&gt;AZ$7)),0,MAX(0,ROUND((INDEX($E660:$G660,AZ$5)-SUMIFS(TF_Timer,TF_Tekniker,AZ$4,TF_Dato,$A660))*2,0)/2)))</f>
        <v/>
      </c>
      <c r="BA660">
        <f>IF(OR(BA$4="",$A660&gt;TODAY()),0,IF(OR(INDEX($B660:$D660,BA$5)="F",AND(BA$6&gt;0,$A660&lt;BA$6),AND(BA$7&gt;0,$A660&gt;BA$7)),0,MAX(0,ROUND((INDEX($E660:$G660,BA$5)-SUMIFS(TF_Timer,TF_Tekniker,BA$4,TF_Dato,$A660))*2,0)/2)))</f>
        <v/>
      </c>
      <c r="BB660">
        <f>IF(OR(BB$4="",$A660&gt;TODAY()),0,IF(OR(INDEX($B660:$D660,BB$5)="F",AND(BB$6&gt;0,$A660&lt;BB$6),AND(BB$7&gt;0,$A660&gt;BB$7)),0,MAX(0,ROUND((INDEX($E660:$G660,BB$5)-SUMIFS(TF_Timer,TF_Tekniker,BB$4,TF_Dato,$A660))*2,0)/2)))</f>
        <v/>
      </c>
      <c r="BC660">
        <f>IF(OR(BC$4="",$A660&gt;TODAY()),0,IF(OR(INDEX($B660:$D660,BC$5)="F",AND(BC$6&gt;0,$A660&lt;BC$6),AND(BC$7&gt;0,$A660&gt;BC$7)),0,MAX(0,ROUND((INDEX($E660:$G660,BC$5)-SUMIFS(TF_Timer,TF_Tekniker,BC$4,TF_Dato,$A660))*2,0)/2)))</f>
        <v/>
      </c>
      <c r="BD660">
        <f>IF(OR(BD$4="",$A660&gt;TODAY()),0,IF(OR(INDEX($B660:$D660,BD$5)="F",AND(BD$6&gt;0,$A660&lt;BD$6),AND(BD$7&gt;0,$A660&gt;BD$7)),0,MAX(0,ROUND((INDEX($E660:$G660,BD$5)-SUMIFS(TF_Timer,TF_Tekniker,BD$4,TF_Dato,$A660))*2,0)/2)))</f>
        <v/>
      </c>
      <c r="BE660">
        <f>IF(OR(BE$4="",$A660&gt;TODAY()),0,IF(OR(INDEX($B660:$D660,BE$5)="F",AND(BE$6&gt;0,$A660&lt;BE$6),AND(BE$7&gt;0,$A660&gt;BE$7)),0,MAX(0,ROUND((INDEX($E660:$G660,BE$5)-SUMIFS(TF_Timer,TF_Tekniker,BE$4,TF_Dato,$A660))*2,0)/2)))</f>
        <v/>
      </c>
      <c r="BF660">
        <f>IF(OR(BF$4="",$A660&gt;TODAY()),0,IF(OR(INDEX($B660:$D660,BF$5)="F",AND(BF$6&gt;0,$A660&lt;BF$6),AND(BF$7&gt;0,$A660&gt;BF$7)),0,MAX(0,ROUND((INDEX($E660:$G660,BF$5)-SUMIFS(TF_Timer,TF_Tekniker,BF$4,TF_Dato,$A660))*2,0)/2)))</f>
        <v/>
      </c>
      <c r="BG660">
        <f>IF(OR(BG$4="",$A660&gt;TODAY()),0,IF(OR(INDEX($B660:$D660,BG$5)="F",AND(BG$6&gt;0,$A660&lt;BG$6),AND(BG$7&gt;0,$A660&gt;BG$7)),0,MAX(0,ROUND((INDEX($E660:$G660,BG$5)-SUMIFS(TF_Timer,TF_Tekniker,BG$4,TF_Dato,$A660))*2,0)/2)))</f>
        <v/>
      </c>
      <c r="BH660">
        <f>IF(OR(BH$4="",$A660&gt;TODAY()),0,IF(OR(INDEX($B660:$D660,BH$5)="F",AND(BH$6&gt;0,$A660&lt;BH$6),AND(BH$7&gt;0,$A660&gt;BH$7)),0,MAX(0,ROUND((INDEX($E660:$G660,BH$5)-SUMIFS(TF_Timer,TF_Tekniker,BH$4,TF_Dato,$A660))*2,0)/2)))</f>
        <v/>
      </c>
      <c r="BI660">
        <f>IF(OR(BI$4="",$A660&gt;TODAY()),0,IF(OR(INDEX($B660:$D660,BI$5)="F",AND(BI$6&gt;0,$A660&lt;BI$6),AND(BI$7&gt;0,$A660&gt;BI$7)),0,MAX(0,ROUND((INDEX($E660:$G660,BI$5)-SUMIFS(TF_Timer,TF_Tekniker,BI$4,TF_Dato,$A660))*2,0)/2)))</f>
        <v/>
      </c>
    </row>
    <row r="661">
      <c r="A661" s="64">
        <f>A660+1</f>
        <v/>
      </c>
      <c r="B661">
        <f>IF(MOD($A661-INDEX(SkiftStart,1),Syklus)&lt;DagK,"K",IF(MOD($A661-INDEX(SkiftStart,1),Syklus)&lt;DagK+DagH,"H",IF(MOD($A661-INDEX(SkiftStart,1),Syklus)&lt;DagK+DagH+DagD,"D","F")))</f>
        <v/>
      </c>
      <c r="C661">
        <f>IF(MOD($A661-INDEX(SkiftStart,2),Syklus)&lt;DagK,"K",IF(MOD($A661-INDEX(SkiftStart,2),Syklus)&lt;DagK+DagH,"H",IF(MOD($A661-INDEX(SkiftStart,2),Syklus)&lt;DagK+DagH+DagD,"D","F")))</f>
        <v/>
      </c>
      <c r="D661">
        <f>IF(MOD($A661-INDEX(SkiftStart,3),Syklus)&lt;DagK,"K",IF(MOD($A661-INDEX(SkiftStart,3),Syklus)&lt;DagK+DagH,"H",IF(MOD($A661-INDEX(SkiftStart,3),Syklus)&lt;DagK+DagH+DagD,"D","F")))</f>
        <v/>
      </c>
      <c r="E661">
        <f>IF(B661="F",0,IF(WEEKDAY($A661,2)=5,INDEX(TimerFr,MATCH(B661,FaseKode,0)),INDEX(TimerMT,MATCH(B661,FaseKode,0))))</f>
        <v/>
      </c>
      <c r="F661">
        <f>IF(C661="F",0,IF(WEEKDAY($A661,2)=5,INDEX(TimerFr,MATCH(C661,FaseKode,0)),INDEX(TimerMT,MATCH(C661,FaseKode,0))))</f>
        <v/>
      </c>
      <c r="G661">
        <f>IF(D661="F",0,IF(WEEKDAY($A661,2)=5,INDEX(TimerFr,MATCH(D661,FaseKode,0)),INDEX(TimerMT,MATCH(D661,FaseKode,0))))</f>
        <v/>
      </c>
      <c r="H661">
        <f>IF(OR(H$4="",$A661&gt;TODAY()),0,IF(OR(INDEX($B661:$D661,H$5)="F",AND(H$6&gt;0,$A661&lt;H$6),AND(H$7&gt;0,$A661&gt;H$7)),0,MAX(0,ROUND((INDEX($E661:$G661,H$5)-SUMIFS(TF_Timer,TF_Tekniker,H$4,TF_Dato,$A661))*2,0)/2)))</f>
        <v/>
      </c>
      <c r="I661">
        <f>IF(OR(I$4="",$A661&gt;TODAY()),0,IF(OR(INDEX($B661:$D661,I$5)="F",AND(I$6&gt;0,$A661&lt;I$6),AND(I$7&gt;0,$A661&gt;I$7)),0,MAX(0,ROUND((INDEX($E661:$G661,I$5)-SUMIFS(TF_Timer,TF_Tekniker,I$4,TF_Dato,$A661))*2,0)/2)))</f>
        <v/>
      </c>
      <c r="J661">
        <f>IF(OR(J$4="",$A661&gt;TODAY()),0,IF(OR(INDEX($B661:$D661,J$5)="F",AND(J$6&gt;0,$A661&lt;J$6),AND(J$7&gt;0,$A661&gt;J$7)),0,MAX(0,ROUND((INDEX($E661:$G661,J$5)-SUMIFS(TF_Timer,TF_Tekniker,J$4,TF_Dato,$A661))*2,0)/2)))</f>
        <v/>
      </c>
      <c r="K661">
        <f>IF(OR(K$4="",$A661&gt;TODAY()),0,IF(OR(INDEX($B661:$D661,K$5)="F",AND(K$6&gt;0,$A661&lt;K$6),AND(K$7&gt;0,$A661&gt;K$7)),0,MAX(0,ROUND((INDEX($E661:$G661,K$5)-SUMIFS(TF_Timer,TF_Tekniker,K$4,TF_Dato,$A661))*2,0)/2)))</f>
        <v/>
      </c>
      <c r="L661">
        <f>IF(OR(L$4="",$A661&gt;TODAY()),0,IF(OR(INDEX($B661:$D661,L$5)="F",AND(L$6&gt;0,$A661&lt;L$6),AND(L$7&gt;0,$A661&gt;L$7)),0,MAX(0,ROUND((INDEX($E661:$G661,L$5)-SUMIFS(TF_Timer,TF_Tekniker,L$4,TF_Dato,$A661))*2,0)/2)))</f>
        <v/>
      </c>
      <c r="M661">
        <f>IF(OR(M$4="",$A661&gt;TODAY()),0,IF(OR(INDEX($B661:$D661,M$5)="F",AND(M$6&gt;0,$A661&lt;M$6),AND(M$7&gt;0,$A661&gt;M$7)),0,MAX(0,ROUND((INDEX($E661:$G661,M$5)-SUMIFS(TF_Timer,TF_Tekniker,M$4,TF_Dato,$A661))*2,0)/2)))</f>
        <v/>
      </c>
      <c r="N661">
        <f>IF(OR(N$4="",$A661&gt;TODAY()),0,IF(OR(INDEX($B661:$D661,N$5)="F",AND(N$6&gt;0,$A661&lt;N$6),AND(N$7&gt;0,$A661&gt;N$7)),0,MAX(0,ROUND((INDEX($E661:$G661,N$5)-SUMIFS(TF_Timer,TF_Tekniker,N$4,TF_Dato,$A661))*2,0)/2)))</f>
        <v/>
      </c>
      <c r="O661">
        <f>IF(OR(O$4="",$A661&gt;TODAY()),0,IF(OR(INDEX($B661:$D661,O$5)="F",AND(O$6&gt;0,$A661&lt;O$6),AND(O$7&gt;0,$A661&gt;O$7)),0,MAX(0,ROUND((INDEX($E661:$G661,O$5)-SUMIFS(TF_Timer,TF_Tekniker,O$4,TF_Dato,$A661))*2,0)/2)))</f>
        <v/>
      </c>
      <c r="P661">
        <f>IF(OR(P$4="",$A661&gt;TODAY()),0,IF(OR(INDEX($B661:$D661,P$5)="F",AND(P$6&gt;0,$A661&lt;P$6),AND(P$7&gt;0,$A661&gt;P$7)),0,MAX(0,ROUND((INDEX($E661:$G661,P$5)-SUMIFS(TF_Timer,TF_Tekniker,P$4,TF_Dato,$A661))*2,0)/2)))</f>
        <v/>
      </c>
      <c r="Q661">
        <f>IF(OR(Q$4="",$A661&gt;TODAY()),0,IF(OR(INDEX($B661:$D661,Q$5)="F",AND(Q$6&gt;0,$A661&lt;Q$6),AND(Q$7&gt;0,$A661&gt;Q$7)),0,MAX(0,ROUND((INDEX($E661:$G661,Q$5)-SUMIFS(TF_Timer,TF_Tekniker,Q$4,TF_Dato,$A661))*2,0)/2)))</f>
        <v/>
      </c>
      <c r="R661">
        <f>IF(OR(R$4="",$A661&gt;TODAY()),0,IF(OR(INDEX($B661:$D661,R$5)="F",AND(R$6&gt;0,$A661&lt;R$6),AND(R$7&gt;0,$A661&gt;R$7)),0,MAX(0,ROUND((INDEX($E661:$G661,R$5)-SUMIFS(TF_Timer,TF_Tekniker,R$4,TF_Dato,$A661))*2,0)/2)))</f>
        <v/>
      </c>
      <c r="S661">
        <f>IF(OR(S$4="",$A661&gt;TODAY()),0,IF(OR(INDEX($B661:$D661,S$5)="F",AND(S$6&gt;0,$A661&lt;S$6),AND(S$7&gt;0,$A661&gt;S$7)),0,MAX(0,ROUND((INDEX($E661:$G661,S$5)-SUMIFS(TF_Timer,TF_Tekniker,S$4,TF_Dato,$A661))*2,0)/2)))</f>
        <v/>
      </c>
      <c r="T661">
        <f>IF(OR(T$4="",$A661&gt;TODAY()),0,IF(OR(INDEX($B661:$D661,T$5)="F",AND(T$6&gt;0,$A661&lt;T$6),AND(T$7&gt;0,$A661&gt;T$7)),0,MAX(0,ROUND((INDEX($E661:$G661,T$5)-SUMIFS(TF_Timer,TF_Tekniker,T$4,TF_Dato,$A661))*2,0)/2)))</f>
        <v/>
      </c>
      <c r="U661">
        <f>IF(OR(U$4="",$A661&gt;TODAY()),0,IF(OR(INDEX($B661:$D661,U$5)="F",AND(U$6&gt;0,$A661&lt;U$6),AND(U$7&gt;0,$A661&gt;U$7)),0,MAX(0,ROUND((INDEX($E661:$G661,U$5)-SUMIFS(TF_Timer,TF_Tekniker,U$4,TF_Dato,$A661))*2,0)/2)))</f>
        <v/>
      </c>
      <c r="V661">
        <f>IF(OR(V$4="",$A661&gt;TODAY()),0,IF(OR(INDEX($B661:$D661,V$5)="F",AND(V$6&gt;0,$A661&lt;V$6),AND(V$7&gt;0,$A661&gt;V$7)),0,MAX(0,ROUND((INDEX($E661:$G661,V$5)-SUMIFS(TF_Timer,TF_Tekniker,V$4,TF_Dato,$A661))*2,0)/2)))</f>
        <v/>
      </c>
      <c r="W661">
        <f>IF(OR(W$4="",$A661&gt;TODAY()),0,IF(OR(INDEX($B661:$D661,W$5)="F",AND(W$6&gt;0,$A661&lt;W$6),AND(W$7&gt;0,$A661&gt;W$7)),0,MAX(0,ROUND((INDEX($E661:$G661,W$5)-SUMIFS(TF_Timer,TF_Tekniker,W$4,TF_Dato,$A661))*2,0)/2)))</f>
        <v/>
      </c>
      <c r="X661">
        <f>IF(OR(X$4="",$A661&gt;TODAY()),0,IF(OR(INDEX($B661:$D661,X$5)="F",AND(X$6&gt;0,$A661&lt;X$6),AND(X$7&gt;0,$A661&gt;X$7)),0,MAX(0,ROUND((INDEX($E661:$G661,X$5)-SUMIFS(TF_Timer,TF_Tekniker,X$4,TF_Dato,$A661))*2,0)/2)))</f>
        <v/>
      </c>
      <c r="Y661">
        <f>IF(OR(Y$4="",$A661&gt;TODAY()),0,IF(OR(INDEX($B661:$D661,Y$5)="F",AND(Y$6&gt;0,$A661&lt;Y$6),AND(Y$7&gt;0,$A661&gt;Y$7)),0,MAX(0,ROUND((INDEX($E661:$G661,Y$5)-SUMIFS(TF_Timer,TF_Tekniker,Y$4,TF_Dato,$A661))*2,0)/2)))</f>
        <v/>
      </c>
      <c r="Z661">
        <f>IF(OR(Z$4="",$A661&gt;TODAY()),0,IF(OR(INDEX($B661:$D661,Z$5)="F",AND(Z$6&gt;0,$A661&lt;Z$6),AND(Z$7&gt;0,$A661&gt;Z$7)),0,MAX(0,ROUND((INDEX($E661:$G661,Z$5)-SUMIFS(TF_Timer,TF_Tekniker,Z$4,TF_Dato,$A661))*2,0)/2)))</f>
        <v/>
      </c>
      <c r="AA661">
        <f>IF(OR(AA$4="",$A661&gt;TODAY()),0,IF(OR(INDEX($B661:$D661,AA$5)="F",AND(AA$6&gt;0,$A661&lt;AA$6),AND(AA$7&gt;0,$A661&gt;AA$7)),0,MAX(0,ROUND((INDEX($E661:$G661,AA$5)-SUMIFS(TF_Timer,TF_Tekniker,AA$4,TF_Dato,$A661))*2,0)/2)))</f>
        <v/>
      </c>
      <c r="AB661">
        <f>IF(OR(AB$4="",$A661&gt;TODAY()),0,IF(OR(INDEX($B661:$D661,AB$5)="F",AND(AB$6&gt;0,$A661&lt;AB$6),AND(AB$7&gt;0,$A661&gt;AB$7)),0,MAX(0,ROUND((INDEX($E661:$G661,AB$5)-SUMIFS(TF_Timer,TF_Tekniker,AB$4,TF_Dato,$A661))*2,0)/2)))</f>
        <v/>
      </c>
      <c r="AC661">
        <f>IF(OR(AC$4="",$A661&gt;TODAY()),0,IF(OR(INDEX($B661:$D661,AC$5)="F",AND(AC$6&gt;0,$A661&lt;AC$6),AND(AC$7&gt;0,$A661&gt;AC$7)),0,MAX(0,ROUND((INDEX($E661:$G661,AC$5)-SUMIFS(TF_Timer,TF_Tekniker,AC$4,TF_Dato,$A661))*2,0)/2)))</f>
        <v/>
      </c>
      <c r="AD661">
        <f>IF(OR(AD$4="",$A661&gt;TODAY()),0,IF(OR(INDEX($B661:$D661,AD$5)="F",AND(AD$6&gt;0,$A661&lt;AD$6),AND(AD$7&gt;0,$A661&gt;AD$7)),0,MAX(0,ROUND((INDEX($E661:$G661,AD$5)-SUMIFS(TF_Timer,TF_Tekniker,AD$4,TF_Dato,$A661))*2,0)/2)))</f>
        <v/>
      </c>
      <c r="AE661">
        <f>IF(OR(AE$4="",$A661&gt;TODAY()),0,IF(OR(INDEX($B661:$D661,AE$5)="F",AND(AE$6&gt;0,$A661&lt;AE$6),AND(AE$7&gt;0,$A661&gt;AE$7)),0,MAX(0,ROUND((INDEX($E661:$G661,AE$5)-SUMIFS(TF_Timer,TF_Tekniker,AE$4,TF_Dato,$A661))*2,0)/2)))</f>
        <v/>
      </c>
      <c r="AF661">
        <f>IF(OR(AF$4="",$A661&gt;TODAY()),0,IF(OR(INDEX($B661:$D661,AF$5)="F",AND(AF$6&gt;0,$A661&lt;AF$6),AND(AF$7&gt;0,$A661&gt;AF$7)),0,MAX(0,ROUND((INDEX($E661:$G661,AF$5)-SUMIFS(TF_Timer,TF_Tekniker,AF$4,TF_Dato,$A661))*2,0)/2)))</f>
        <v/>
      </c>
      <c r="AG661">
        <f>IF(OR(AG$4="",$A661&gt;TODAY()),0,IF(OR(INDEX($B661:$D661,AG$5)="F",AND(AG$6&gt;0,$A661&lt;AG$6),AND(AG$7&gt;0,$A661&gt;AG$7)),0,MAX(0,ROUND((INDEX($E661:$G661,AG$5)-SUMIFS(TF_Timer,TF_Tekniker,AG$4,TF_Dato,$A661))*2,0)/2)))</f>
        <v/>
      </c>
      <c r="AH661">
        <f>IF(OR(AH$4="",$A661&gt;TODAY()),0,IF(OR(INDEX($B661:$D661,AH$5)="F",AND(AH$6&gt;0,$A661&lt;AH$6),AND(AH$7&gt;0,$A661&gt;AH$7)),0,MAX(0,ROUND((INDEX($E661:$G661,AH$5)-SUMIFS(TF_Timer,TF_Tekniker,AH$4,TF_Dato,$A661))*2,0)/2)))</f>
        <v/>
      </c>
      <c r="AI661">
        <f>IF(OR(AI$4="",$A661&gt;TODAY()),0,IF(OR(INDEX($B661:$D661,AI$5)="F",AND(AI$6&gt;0,$A661&lt;AI$6),AND(AI$7&gt;0,$A661&gt;AI$7)),0,MAX(0,ROUND((INDEX($E661:$G661,AI$5)-SUMIFS(TF_Timer,TF_Tekniker,AI$4,TF_Dato,$A661))*2,0)/2)))</f>
        <v/>
      </c>
      <c r="AJ661">
        <f>IF(OR(AJ$4="",$A661&gt;TODAY()),0,IF(OR(INDEX($B661:$D661,AJ$5)="F",AND(AJ$6&gt;0,$A661&lt;AJ$6),AND(AJ$7&gt;0,$A661&gt;AJ$7)),0,MAX(0,ROUND((INDEX($E661:$G661,AJ$5)-SUMIFS(TF_Timer,TF_Tekniker,AJ$4,TF_Dato,$A661))*2,0)/2)))</f>
        <v/>
      </c>
      <c r="AK661">
        <f>IF(OR(AK$4="",$A661&gt;TODAY()),0,IF(OR(INDEX($B661:$D661,AK$5)="F",AND(AK$6&gt;0,$A661&lt;AK$6),AND(AK$7&gt;0,$A661&gt;AK$7)),0,MAX(0,ROUND((INDEX($E661:$G661,AK$5)-SUMIFS(TF_Timer,TF_Tekniker,AK$4,TF_Dato,$A661))*2,0)/2)))</f>
        <v/>
      </c>
      <c r="AL661">
        <f>IF(OR(AL$4="",$A661&gt;TODAY()),0,IF(OR(INDEX($B661:$D661,AL$5)="F",AND(AL$6&gt;0,$A661&lt;AL$6),AND(AL$7&gt;0,$A661&gt;AL$7)),0,MAX(0,ROUND((INDEX($E661:$G661,AL$5)-SUMIFS(TF_Timer,TF_Tekniker,AL$4,TF_Dato,$A661))*2,0)/2)))</f>
        <v/>
      </c>
      <c r="AM661">
        <f>IF(OR(AM$4="",$A661&gt;TODAY()),0,IF(OR(INDEX($B661:$D661,AM$5)="F",AND(AM$6&gt;0,$A661&lt;AM$6),AND(AM$7&gt;0,$A661&gt;AM$7)),0,MAX(0,ROUND((INDEX($E661:$G661,AM$5)-SUMIFS(TF_Timer,TF_Tekniker,AM$4,TF_Dato,$A661))*2,0)/2)))</f>
        <v/>
      </c>
      <c r="AN661">
        <f>IF(OR(AN$4="",$A661&gt;TODAY()),0,IF(OR(INDEX($B661:$D661,AN$5)="F",AND(AN$6&gt;0,$A661&lt;AN$6),AND(AN$7&gt;0,$A661&gt;AN$7)),0,MAX(0,ROUND((INDEX($E661:$G661,AN$5)-SUMIFS(TF_Timer,TF_Tekniker,AN$4,TF_Dato,$A661))*2,0)/2)))</f>
        <v/>
      </c>
      <c r="AO661">
        <f>IF(OR(AO$4="",$A661&gt;TODAY()),0,IF(OR(INDEX($B661:$D661,AO$5)="F",AND(AO$6&gt;0,$A661&lt;AO$6),AND(AO$7&gt;0,$A661&gt;AO$7)),0,MAX(0,ROUND((INDEX($E661:$G661,AO$5)-SUMIFS(TF_Timer,TF_Tekniker,AO$4,TF_Dato,$A661))*2,0)/2)))</f>
        <v/>
      </c>
      <c r="AP661">
        <f>IF(OR(AP$4="",$A661&gt;TODAY()),0,IF(OR(INDEX($B661:$D661,AP$5)="F",AND(AP$6&gt;0,$A661&lt;AP$6),AND(AP$7&gt;0,$A661&gt;AP$7)),0,MAX(0,ROUND((INDEX($E661:$G661,AP$5)-SUMIFS(TF_Timer,TF_Tekniker,AP$4,TF_Dato,$A661))*2,0)/2)))</f>
        <v/>
      </c>
      <c r="AQ661">
        <f>IF(OR(AQ$4="",$A661&gt;TODAY()),0,IF(OR(INDEX($B661:$D661,AQ$5)="F",AND(AQ$6&gt;0,$A661&lt;AQ$6),AND(AQ$7&gt;0,$A661&gt;AQ$7)),0,MAX(0,ROUND((INDEX($E661:$G661,AQ$5)-SUMIFS(TF_Timer,TF_Tekniker,AQ$4,TF_Dato,$A661))*2,0)/2)))</f>
        <v/>
      </c>
      <c r="AR661">
        <f>IF(OR(AR$4="",$A661&gt;TODAY()),0,IF(OR(INDEX($B661:$D661,AR$5)="F",AND(AR$6&gt;0,$A661&lt;AR$6),AND(AR$7&gt;0,$A661&gt;AR$7)),0,MAX(0,ROUND((INDEX($E661:$G661,AR$5)-SUMIFS(TF_Timer,TF_Tekniker,AR$4,TF_Dato,$A661))*2,0)/2)))</f>
        <v/>
      </c>
      <c r="AS661">
        <f>IF(OR(AS$4="",$A661&gt;TODAY()),0,IF(OR(INDEX($B661:$D661,AS$5)="F",AND(AS$6&gt;0,$A661&lt;AS$6),AND(AS$7&gt;0,$A661&gt;AS$7)),0,MAX(0,ROUND((INDEX($E661:$G661,AS$5)-SUMIFS(TF_Timer,TF_Tekniker,AS$4,TF_Dato,$A661))*2,0)/2)))</f>
        <v/>
      </c>
      <c r="AT661">
        <f>IF(OR(AT$4="",$A661&gt;TODAY()),0,IF(OR(INDEX($B661:$D661,AT$5)="F",AND(AT$6&gt;0,$A661&lt;AT$6),AND(AT$7&gt;0,$A661&gt;AT$7)),0,MAX(0,ROUND((INDEX($E661:$G661,AT$5)-SUMIFS(TF_Timer,TF_Tekniker,AT$4,TF_Dato,$A661))*2,0)/2)))</f>
        <v/>
      </c>
      <c r="AU661">
        <f>IF(OR(AU$4="",$A661&gt;TODAY()),0,IF(OR(INDEX($B661:$D661,AU$5)="F",AND(AU$6&gt;0,$A661&lt;AU$6),AND(AU$7&gt;0,$A661&gt;AU$7)),0,MAX(0,ROUND((INDEX($E661:$G661,AU$5)-SUMIFS(TF_Timer,TF_Tekniker,AU$4,TF_Dato,$A661))*2,0)/2)))</f>
        <v/>
      </c>
      <c r="AV661">
        <f>IF(OR(AV$4="",$A661&gt;TODAY()),0,IF(OR(INDEX($B661:$D661,AV$5)="F",AND(AV$6&gt;0,$A661&lt;AV$6),AND(AV$7&gt;0,$A661&gt;AV$7)),0,MAX(0,ROUND((INDEX($E661:$G661,AV$5)-SUMIFS(TF_Timer,TF_Tekniker,AV$4,TF_Dato,$A661))*2,0)/2)))</f>
        <v/>
      </c>
      <c r="AW661">
        <f>IF(OR(AW$4="",$A661&gt;TODAY()),0,IF(OR(INDEX($B661:$D661,AW$5)="F",AND(AW$6&gt;0,$A661&lt;AW$6),AND(AW$7&gt;0,$A661&gt;AW$7)),0,MAX(0,ROUND((INDEX($E661:$G661,AW$5)-SUMIFS(TF_Timer,TF_Tekniker,AW$4,TF_Dato,$A661))*2,0)/2)))</f>
        <v/>
      </c>
      <c r="AX661">
        <f>IF(OR(AX$4="",$A661&gt;TODAY()),0,IF(OR(INDEX($B661:$D661,AX$5)="F",AND(AX$6&gt;0,$A661&lt;AX$6),AND(AX$7&gt;0,$A661&gt;AX$7)),0,MAX(0,ROUND((INDEX($E661:$G661,AX$5)-SUMIFS(TF_Timer,TF_Tekniker,AX$4,TF_Dato,$A661))*2,0)/2)))</f>
        <v/>
      </c>
      <c r="AY661">
        <f>IF(OR(AY$4="",$A661&gt;TODAY()),0,IF(OR(INDEX($B661:$D661,AY$5)="F",AND(AY$6&gt;0,$A661&lt;AY$6),AND(AY$7&gt;0,$A661&gt;AY$7)),0,MAX(0,ROUND((INDEX($E661:$G661,AY$5)-SUMIFS(TF_Timer,TF_Tekniker,AY$4,TF_Dato,$A661))*2,0)/2)))</f>
        <v/>
      </c>
      <c r="AZ661">
        <f>IF(OR(AZ$4="",$A661&gt;TODAY()),0,IF(OR(INDEX($B661:$D661,AZ$5)="F",AND(AZ$6&gt;0,$A661&lt;AZ$6),AND(AZ$7&gt;0,$A661&gt;AZ$7)),0,MAX(0,ROUND((INDEX($E661:$G661,AZ$5)-SUMIFS(TF_Timer,TF_Tekniker,AZ$4,TF_Dato,$A661))*2,0)/2)))</f>
        <v/>
      </c>
      <c r="BA661">
        <f>IF(OR(BA$4="",$A661&gt;TODAY()),0,IF(OR(INDEX($B661:$D661,BA$5)="F",AND(BA$6&gt;0,$A661&lt;BA$6),AND(BA$7&gt;0,$A661&gt;BA$7)),0,MAX(0,ROUND((INDEX($E661:$G661,BA$5)-SUMIFS(TF_Timer,TF_Tekniker,BA$4,TF_Dato,$A661))*2,0)/2)))</f>
        <v/>
      </c>
      <c r="BB661">
        <f>IF(OR(BB$4="",$A661&gt;TODAY()),0,IF(OR(INDEX($B661:$D661,BB$5)="F",AND(BB$6&gt;0,$A661&lt;BB$6),AND(BB$7&gt;0,$A661&gt;BB$7)),0,MAX(0,ROUND((INDEX($E661:$G661,BB$5)-SUMIFS(TF_Timer,TF_Tekniker,BB$4,TF_Dato,$A661))*2,0)/2)))</f>
        <v/>
      </c>
      <c r="BC661">
        <f>IF(OR(BC$4="",$A661&gt;TODAY()),0,IF(OR(INDEX($B661:$D661,BC$5)="F",AND(BC$6&gt;0,$A661&lt;BC$6),AND(BC$7&gt;0,$A661&gt;BC$7)),0,MAX(0,ROUND((INDEX($E661:$G661,BC$5)-SUMIFS(TF_Timer,TF_Tekniker,BC$4,TF_Dato,$A661))*2,0)/2)))</f>
        <v/>
      </c>
      <c r="BD661">
        <f>IF(OR(BD$4="",$A661&gt;TODAY()),0,IF(OR(INDEX($B661:$D661,BD$5)="F",AND(BD$6&gt;0,$A661&lt;BD$6),AND(BD$7&gt;0,$A661&gt;BD$7)),0,MAX(0,ROUND((INDEX($E661:$G661,BD$5)-SUMIFS(TF_Timer,TF_Tekniker,BD$4,TF_Dato,$A661))*2,0)/2)))</f>
        <v/>
      </c>
      <c r="BE661">
        <f>IF(OR(BE$4="",$A661&gt;TODAY()),0,IF(OR(INDEX($B661:$D661,BE$5)="F",AND(BE$6&gt;0,$A661&lt;BE$6),AND(BE$7&gt;0,$A661&gt;BE$7)),0,MAX(0,ROUND((INDEX($E661:$G661,BE$5)-SUMIFS(TF_Timer,TF_Tekniker,BE$4,TF_Dato,$A661))*2,0)/2)))</f>
        <v/>
      </c>
      <c r="BF661">
        <f>IF(OR(BF$4="",$A661&gt;TODAY()),0,IF(OR(INDEX($B661:$D661,BF$5)="F",AND(BF$6&gt;0,$A661&lt;BF$6),AND(BF$7&gt;0,$A661&gt;BF$7)),0,MAX(0,ROUND((INDEX($E661:$G661,BF$5)-SUMIFS(TF_Timer,TF_Tekniker,BF$4,TF_Dato,$A661))*2,0)/2)))</f>
        <v/>
      </c>
      <c r="BG661">
        <f>IF(OR(BG$4="",$A661&gt;TODAY()),0,IF(OR(INDEX($B661:$D661,BG$5)="F",AND(BG$6&gt;0,$A661&lt;BG$6),AND(BG$7&gt;0,$A661&gt;BG$7)),0,MAX(0,ROUND((INDEX($E661:$G661,BG$5)-SUMIFS(TF_Timer,TF_Tekniker,BG$4,TF_Dato,$A661))*2,0)/2)))</f>
        <v/>
      </c>
      <c r="BH661">
        <f>IF(OR(BH$4="",$A661&gt;TODAY()),0,IF(OR(INDEX($B661:$D661,BH$5)="F",AND(BH$6&gt;0,$A661&lt;BH$6),AND(BH$7&gt;0,$A661&gt;BH$7)),0,MAX(0,ROUND((INDEX($E661:$G661,BH$5)-SUMIFS(TF_Timer,TF_Tekniker,BH$4,TF_Dato,$A661))*2,0)/2)))</f>
        <v/>
      </c>
      <c r="BI661">
        <f>IF(OR(BI$4="",$A661&gt;TODAY()),0,IF(OR(INDEX($B661:$D661,BI$5)="F",AND(BI$6&gt;0,$A661&lt;BI$6),AND(BI$7&gt;0,$A661&gt;BI$7)),0,MAX(0,ROUND((INDEX($E661:$G661,BI$5)-SUMIFS(TF_Timer,TF_Tekniker,BI$4,TF_Dato,$A661))*2,0)/2)))</f>
        <v/>
      </c>
    </row>
    <row r="662">
      <c r="A662" s="64">
        <f>A661+1</f>
        <v/>
      </c>
      <c r="B662">
        <f>IF(MOD($A662-INDEX(SkiftStart,1),Syklus)&lt;DagK,"K",IF(MOD($A662-INDEX(SkiftStart,1),Syklus)&lt;DagK+DagH,"H",IF(MOD($A662-INDEX(SkiftStart,1),Syklus)&lt;DagK+DagH+DagD,"D","F")))</f>
        <v/>
      </c>
      <c r="C662">
        <f>IF(MOD($A662-INDEX(SkiftStart,2),Syklus)&lt;DagK,"K",IF(MOD($A662-INDEX(SkiftStart,2),Syklus)&lt;DagK+DagH,"H",IF(MOD($A662-INDEX(SkiftStart,2),Syklus)&lt;DagK+DagH+DagD,"D","F")))</f>
        <v/>
      </c>
      <c r="D662">
        <f>IF(MOD($A662-INDEX(SkiftStart,3),Syklus)&lt;DagK,"K",IF(MOD($A662-INDEX(SkiftStart,3),Syklus)&lt;DagK+DagH,"H",IF(MOD($A662-INDEX(SkiftStart,3),Syklus)&lt;DagK+DagH+DagD,"D","F")))</f>
        <v/>
      </c>
      <c r="E662">
        <f>IF(B662="F",0,IF(WEEKDAY($A662,2)=5,INDEX(TimerFr,MATCH(B662,FaseKode,0)),INDEX(TimerMT,MATCH(B662,FaseKode,0))))</f>
        <v/>
      </c>
      <c r="F662">
        <f>IF(C662="F",0,IF(WEEKDAY($A662,2)=5,INDEX(TimerFr,MATCH(C662,FaseKode,0)),INDEX(TimerMT,MATCH(C662,FaseKode,0))))</f>
        <v/>
      </c>
      <c r="G662">
        <f>IF(D662="F",0,IF(WEEKDAY($A662,2)=5,INDEX(TimerFr,MATCH(D662,FaseKode,0)),INDEX(TimerMT,MATCH(D662,FaseKode,0))))</f>
        <v/>
      </c>
      <c r="H662">
        <f>IF(OR(H$4="",$A662&gt;TODAY()),0,IF(OR(INDEX($B662:$D662,H$5)="F",AND(H$6&gt;0,$A662&lt;H$6),AND(H$7&gt;0,$A662&gt;H$7)),0,MAX(0,ROUND((INDEX($E662:$G662,H$5)-SUMIFS(TF_Timer,TF_Tekniker,H$4,TF_Dato,$A662))*2,0)/2)))</f>
        <v/>
      </c>
      <c r="I662">
        <f>IF(OR(I$4="",$A662&gt;TODAY()),0,IF(OR(INDEX($B662:$D662,I$5)="F",AND(I$6&gt;0,$A662&lt;I$6),AND(I$7&gt;0,$A662&gt;I$7)),0,MAX(0,ROUND((INDEX($E662:$G662,I$5)-SUMIFS(TF_Timer,TF_Tekniker,I$4,TF_Dato,$A662))*2,0)/2)))</f>
        <v/>
      </c>
      <c r="J662">
        <f>IF(OR(J$4="",$A662&gt;TODAY()),0,IF(OR(INDEX($B662:$D662,J$5)="F",AND(J$6&gt;0,$A662&lt;J$6),AND(J$7&gt;0,$A662&gt;J$7)),0,MAX(0,ROUND((INDEX($E662:$G662,J$5)-SUMIFS(TF_Timer,TF_Tekniker,J$4,TF_Dato,$A662))*2,0)/2)))</f>
        <v/>
      </c>
      <c r="K662">
        <f>IF(OR(K$4="",$A662&gt;TODAY()),0,IF(OR(INDEX($B662:$D662,K$5)="F",AND(K$6&gt;0,$A662&lt;K$6),AND(K$7&gt;0,$A662&gt;K$7)),0,MAX(0,ROUND((INDEX($E662:$G662,K$5)-SUMIFS(TF_Timer,TF_Tekniker,K$4,TF_Dato,$A662))*2,0)/2)))</f>
        <v/>
      </c>
      <c r="L662">
        <f>IF(OR(L$4="",$A662&gt;TODAY()),0,IF(OR(INDEX($B662:$D662,L$5)="F",AND(L$6&gt;0,$A662&lt;L$6),AND(L$7&gt;0,$A662&gt;L$7)),0,MAX(0,ROUND((INDEX($E662:$G662,L$5)-SUMIFS(TF_Timer,TF_Tekniker,L$4,TF_Dato,$A662))*2,0)/2)))</f>
        <v/>
      </c>
      <c r="M662">
        <f>IF(OR(M$4="",$A662&gt;TODAY()),0,IF(OR(INDEX($B662:$D662,M$5)="F",AND(M$6&gt;0,$A662&lt;M$6),AND(M$7&gt;0,$A662&gt;M$7)),0,MAX(0,ROUND((INDEX($E662:$G662,M$5)-SUMIFS(TF_Timer,TF_Tekniker,M$4,TF_Dato,$A662))*2,0)/2)))</f>
        <v/>
      </c>
      <c r="N662">
        <f>IF(OR(N$4="",$A662&gt;TODAY()),0,IF(OR(INDEX($B662:$D662,N$5)="F",AND(N$6&gt;0,$A662&lt;N$6),AND(N$7&gt;0,$A662&gt;N$7)),0,MAX(0,ROUND((INDEX($E662:$G662,N$5)-SUMIFS(TF_Timer,TF_Tekniker,N$4,TF_Dato,$A662))*2,0)/2)))</f>
        <v/>
      </c>
      <c r="O662">
        <f>IF(OR(O$4="",$A662&gt;TODAY()),0,IF(OR(INDEX($B662:$D662,O$5)="F",AND(O$6&gt;0,$A662&lt;O$6),AND(O$7&gt;0,$A662&gt;O$7)),0,MAX(0,ROUND((INDEX($E662:$G662,O$5)-SUMIFS(TF_Timer,TF_Tekniker,O$4,TF_Dato,$A662))*2,0)/2)))</f>
        <v/>
      </c>
      <c r="P662">
        <f>IF(OR(P$4="",$A662&gt;TODAY()),0,IF(OR(INDEX($B662:$D662,P$5)="F",AND(P$6&gt;0,$A662&lt;P$6),AND(P$7&gt;0,$A662&gt;P$7)),0,MAX(0,ROUND((INDEX($E662:$G662,P$5)-SUMIFS(TF_Timer,TF_Tekniker,P$4,TF_Dato,$A662))*2,0)/2)))</f>
        <v/>
      </c>
      <c r="Q662">
        <f>IF(OR(Q$4="",$A662&gt;TODAY()),0,IF(OR(INDEX($B662:$D662,Q$5)="F",AND(Q$6&gt;0,$A662&lt;Q$6),AND(Q$7&gt;0,$A662&gt;Q$7)),0,MAX(0,ROUND((INDEX($E662:$G662,Q$5)-SUMIFS(TF_Timer,TF_Tekniker,Q$4,TF_Dato,$A662))*2,0)/2)))</f>
        <v/>
      </c>
      <c r="R662">
        <f>IF(OR(R$4="",$A662&gt;TODAY()),0,IF(OR(INDEX($B662:$D662,R$5)="F",AND(R$6&gt;0,$A662&lt;R$6),AND(R$7&gt;0,$A662&gt;R$7)),0,MAX(0,ROUND((INDEX($E662:$G662,R$5)-SUMIFS(TF_Timer,TF_Tekniker,R$4,TF_Dato,$A662))*2,0)/2)))</f>
        <v/>
      </c>
      <c r="S662">
        <f>IF(OR(S$4="",$A662&gt;TODAY()),0,IF(OR(INDEX($B662:$D662,S$5)="F",AND(S$6&gt;0,$A662&lt;S$6),AND(S$7&gt;0,$A662&gt;S$7)),0,MAX(0,ROUND((INDEX($E662:$G662,S$5)-SUMIFS(TF_Timer,TF_Tekniker,S$4,TF_Dato,$A662))*2,0)/2)))</f>
        <v/>
      </c>
      <c r="T662">
        <f>IF(OR(T$4="",$A662&gt;TODAY()),0,IF(OR(INDEX($B662:$D662,T$5)="F",AND(T$6&gt;0,$A662&lt;T$6),AND(T$7&gt;0,$A662&gt;T$7)),0,MAX(0,ROUND((INDEX($E662:$G662,T$5)-SUMIFS(TF_Timer,TF_Tekniker,T$4,TF_Dato,$A662))*2,0)/2)))</f>
        <v/>
      </c>
      <c r="U662">
        <f>IF(OR(U$4="",$A662&gt;TODAY()),0,IF(OR(INDEX($B662:$D662,U$5)="F",AND(U$6&gt;0,$A662&lt;U$6),AND(U$7&gt;0,$A662&gt;U$7)),0,MAX(0,ROUND((INDEX($E662:$G662,U$5)-SUMIFS(TF_Timer,TF_Tekniker,U$4,TF_Dato,$A662))*2,0)/2)))</f>
        <v/>
      </c>
      <c r="V662">
        <f>IF(OR(V$4="",$A662&gt;TODAY()),0,IF(OR(INDEX($B662:$D662,V$5)="F",AND(V$6&gt;0,$A662&lt;V$6),AND(V$7&gt;0,$A662&gt;V$7)),0,MAX(0,ROUND((INDEX($E662:$G662,V$5)-SUMIFS(TF_Timer,TF_Tekniker,V$4,TF_Dato,$A662))*2,0)/2)))</f>
        <v/>
      </c>
      <c r="W662">
        <f>IF(OR(W$4="",$A662&gt;TODAY()),0,IF(OR(INDEX($B662:$D662,W$5)="F",AND(W$6&gt;0,$A662&lt;W$6),AND(W$7&gt;0,$A662&gt;W$7)),0,MAX(0,ROUND((INDEX($E662:$G662,W$5)-SUMIFS(TF_Timer,TF_Tekniker,W$4,TF_Dato,$A662))*2,0)/2)))</f>
        <v/>
      </c>
      <c r="X662">
        <f>IF(OR(X$4="",$A662&gt;TODAY()),0,IF(OR(INDEX($B662:$D662,X$5)="F",AND(X$6&gt;0,$A662&lt;X$6),AND(X$7&gt;0,$A662&gt;X$7)),0,MAX(0,ROUND((INDEX($E662:$G662,X$5)-SUMIFS(TF_Timer,TF_Tekniker,X$4,TF_Dato,$A662))*2,0)/2)))</f>
        <v/>
      </c>
      <c r="Y662">
        <f>IF(OR(Y$4="",$A662&gt;TODAY()),0,IF(OR(INDEX($B662:$D662,Y$5)="F",AND(Y$6&gt;0,$A662&lt;Y$6),AND(Y$7&gt;0,$A662&gt;Y$7)),0,MAX(0,ROUND((INDEX($E662:$G662,Y$5)-SUMIFS(TF_Timer,TF_Tekniker,Y$4,TF_Dato,$A662))*2,0)/2)))</f>
        <v/>
      </c>
      <c r="Z662">
        <f>IF(OR(Z$4="",$A662&gt;TODAY()),0,IF(OR(INDEX($B662:$D662,Z$5)="F",AND(Z$6&gt;0,$A662&lt;Z$6),AND(Z$7&gt;0,$A662&gt;Z$7)),0,MAX(0,ROUND((INDEX($E662:$G662,Z$5)-SUMIFS(TF_Timer,TF_Tekniker,Z$4,TF_Dato,$A662))*2,0)/2)))</f>
        <v/>
      </c>
      <c r="AA662">
        <f>IF(OR(AA$4="",$A662&gt;TODAY()),0,IF(OR(INDEX($B662:$D662,AA$5)="F",AND(AA$6&gt;0,$A662&lt;AA$6),AND(AA$7&gt;0,$A662&gt;AA$7)),0,MAX(0,ROUND((INDEX($E662:$G662,AA$5)-SUMIFS(TF_Timer,TF_Tekniker,AA$4,TF_Dato,$A662))*2,0)/2)))</f>
        <v/>
      </c>
      <c r="AB662">
        <f>IF(OR(AB$4="",$A662&gt;TODAY()),0,IF(OR(INDEX($B662:$D662,AB$5)="F",AND(AB$6&gt;0,$A662&lt;AB$6),AND(AB$7&gt;0,$A662&gt;AB$7)),0,MAX(0,ROUND((INDEX($E662:$G662,AB$5)-SUMIFS(TF_Timer,TF_Tekniker,AB$4,TF_Dato,$A662))*2,0)/2)))</f>
        <v/>
      </c>
      <c r="AC662">
        <f>IF(OR(AC$4="",$A662&gt;TODAY()),0,IF(OR(INDEX($B662:$D662,AC$5)="F",AND(AC$6&gt;0,$A662&lt;AC$6),AND(AC$7&gt;0,$A662&gt;AC$7)),0,MAX(0,ROUND((INDEX($E662:$G662,AC$5)-SUMIFS(TF_Timer,TF_Tekniker,AC$4,TF_Dato,$A662))*2,0)/2)))</f>
        <v/>
      </c>
      <c r="AD662">
        <f>IF(OR(AD$4="",$A662&gt;TODAY()),0,IF(OR(INDEX($B662:$D662,AD$5)="F",AND(AD$6&gt;0,$A662&lt;AD$6),AND(AD$7&gt;0,$A662&gt;AD$7)),0,MAX(0,ROUND((INDEX($E662:$G662,AD$5)-SUMIFS(TF_Timer,TF_Tekniker,AD$4,TF_Dato,$A662))*2,0)/2)))</f>
        <v/>
      </c>
      <c r="AE662">
        <f>IF(OR(AE$4="",$A662&gt;TODAY()),0,IF(OR(INDEX($B662:$D662,AE$5)="F",AND(AE$6&gt;0,$A662&lt;AE$6),AND(AE$7&gt;0,$A662&gt;AE$7)),0,MAX(0,ROUND((INDEX($E662:$G662,AE$5)-SUMIFS(TF_Timer,TF_Tekniker,AE$4,TF_Dato,$A662))*2,0)/2)))</f>
        <v/>
      </c>
      <c r="AF662">
        <f>IF(OR(AF$4="",$A662&gt;TODAY()),0,IF(OR(INDEX($B662:$D662,AF$5)="F",AND(AF$6&gt;0,$A662&lt;AF$6),AND(AF$7&gt;0,$A662&gt;AF$7)),0,MAX(0,ROUND((INDEX($E662:$G662,AF$5)-SUMIFS(TF_Timer,TF_Tekniker,AF$4,TF_Dato,$A662))*2,0)/2)))</f>
        <v/>
      </c>
      <c r="AG662">
        <f>IF(OR(AG$4="",$A662&gt;TODAY()),0,IF(OR(INDEX($B662:$D662,AG$5)="F",AND(AG$6&gt;0,$A662&lt;AG$6),AND(AG$7&gt;0,$A662&gt;AG$7)),0,MAX(0,ROUND((INDEX($E662:$G662,AG$5)-SUMIFS(TF_Timer,TF_Tekniker,AG$4,TF_Dato,$A662))*2,0)/2)))</f>
        <v/>
      </c>
      <c r="AH662">
        <f>IF(OR(AH$4="",$A662&gt;TODAY()),0,IF(OR(INDEX($B662:$D662,AH$5)="F",AND(AH$6&gt;0,$A662&lt;AH$6),AND(AH$7&gt;0,$A662&gt;AH$7)),0,MAX(0,ROUND((INDEX($E662:$G662,AH$5)-SUMIFS(TF_Timer,TF_Tekniker,AH$4,TF_Dato,$A662))*2,0)/2)))</f>
        <v/>
      </c>
      <c r="AI662">
        <f>IF(OR(AI$4="",$A662&gt;TODAY()),0,IF(OR(INDEX($B662:$D662,AI$5)="F",AND(AI$6&gt;0,$A662&lt;AI$6),AND(AI$7&gt;0,$A662&gt;AI$7)),0,MAX(0,ROUND((INDEX($E662:$G662,AI$5)-SUMIFS(TF_Timer,TF_Tekniker,AI$4,TF_Dato,$A662))*2,0)/2)))</f>
        <v/>
      </c>
      <c r="AJ662">
        <f>IF(OR(AJ$4="",$A662&gt;TODAY()),0,IF(OR(INDEX($B662:$D662,AJ$5)="F",AND(AJ$6&gt;0,$A662&lt;AJ$6),AND(AJ$7&gt;0,$A662&gt;AJ$7)),0,MAX(0,ROUND((INDEX($E662:$G662,AJ$5)-SUMIFS(TF_Timer,TF_Tekniker,AJ$4,TF_Dato,$A662))*2,0)/2)))</f>
        <v/>
      </c>
      <c r="AK662">
        <f>IF(OR(AK$4="",$A662&gt;TODAY()),0,IF(OR(INDEX($B662:$D662,AK$5)="F",AND(AK$6&gt;0,$A662&lt;AK$6),AND(AK$7&gt;0,$A662&gt;AK$7)),0,MAX(0,ROUND((INDEX($E662:$G662,AK$5)-SUMIFS(TF_Timer,TF_Tekniker,AK$4,TF_Dato,$A662))*2,0)/2)))</f>
        <v/>
      </c>
      <c r="AL662">
        <f>IF(OR(AL$4="",$A662&gt;TODAY()),0,IF(OR(INDEX($B662:$D662,AL$5)="F",AND(AL$6&gt;0,$A662&lt;AL$6),AND(AL$7&gt;0,$A662&gt;AL$7)),0,MAX(0,ROUND((INDEX($E662:$G662,AL$5)-SUMIFS(TF_Timer,TF_Tekniker,AL$4,TF_Dato,$A662))*2,0)/2)))</f>
        <v/>
      </c>
      <c r="AM662">
        <f>IF(OR(AM$4="",$A662&gt;TODAY()),0,IF(OR(INDEX($B662:$D662,AM$5)="F",AND(AM$6&gt;0,$A662&lt;AM$6),AND(AM$7&gt;0,$A662&gt;AM$7)),0,MAX(0,ROUND((INDEX($E662:$G662,AM$5)-SUMIFS(TF_Timer,TF_Tekniker,AM$4,TF_Dato,$A662))*2,0)/2)))</f>
        <v/>
      </c>
      <c r="AN662">
        <f>IF(OR(AN$4="",$A662&gt;TODAY()),0,IF(OR(INDEX($B662:$D662,AN$5)="F",AND(AN$6&gt;0,$A662&lt;AN$6),AND(AN$7&gt;0,$A662&gt;AN$7)),0,MAX(0,ROUND((INDEX($E662:$G662,AN$5)-SUMIFS(TF_Timer,TF_Tekniker,AN$4,TF_Dato,$A662))*2,0)/2)))</f>
        <v/>
      </c>
      <c r="AO662">
        <f>IF(OR(AO$4="",$A662&gt;TODAY()),0,IF(OR(INDEX($B662:$D662,AO$5)="F",AND(AO$6&gt;0,$A662&lt;AO$6),AND(AO$7&gt;0,$A662&gt;AO$7)),0,MAX(0,ROUND((INDEX($E662:$G662,AO$5)-SUMIFS(TF_Timer,TF_Tekniker,AO$4,TF_Dato,$A662))*2,0)/2)))</f>
        <v/>
      </c>
      <c r="AP662">
        <f>IF(OR(AP$4="",$A662&gt;TODAY()),0,IF(OR(INDEX($B662:$D662,AP$5)="F",AND(AP$6&gt;0,$A662&lt;AP$6),AND(AP$7&gt;0,$A662&gt;AP$7)),0,MAX(0,ROUND((INDEX($E662:$G662,AP$5)-SUMIFS(TF_Timer,TF_Tekniker,AP$4,TF_Dato,$A662))*2,0)/2)))</f>
        <v/>
      </c>
      <c r="AQ662">
        <f>IF(OR(AQ$4="",$A662&gt;TODAY()),0,IF(OR(INDEX($B662:$D662,AQ$5)="F",AND(AQ$6&gt;0,$A662&lt;AQ$6),AND(AQ$7&gt;0,$A662&gt;AQ$7)),0,MAX(0,ROUND((INDEX($E662:$G662,AQ$5)-SUMIFS(TF_Timer,TF_Tekniker,AQ$4,TF_Dato,$A662))*2,0)/2)))</f>
        <v/>
      </c>
      <c r="AR662">
        <f>IF(OR(AR$4="",$A662&gt;TODAY()),0,IF(OR(INDEX($B662:$D662,AR$5)="F",AND(AR$6&gt;0,$A662&lt;AR$6),AND(AR$7&gt;0,$A662&gt;AR$7)),0,MAX(0,ROUND((INDEX($E662:$G662,AR$5)-SUMIFS(TF_Timer,TF_Tekniker,AR$4,TF_Dato,$A662))*2,0)/2)))</f>
        <v/>
      </c>
      <c r="AS662">
        <f>IF(OR(AS$4="",$A662&gt;TODAY()),0,IF(OR(INDEX($B662:$D662,AS$5)="F",AND(AS$6&gt;0,$A662&lt;AS$6),AND(AS$7&gt;0,$A662&gt;AS$7)),0,MAX(0,ROUND((INDEX($E662:$G662,AS$5)-SUMIFS(TF_Timer,TF_Tekniker,AS$4,TF_Dato,$A662))*2,0)/2)))</f>
        <v/>
      </c>
      <c r="AT662">
        <f>IF(OR(AT$4="",$A662&gt;TODAY()),0,IF(OR(INDEX($B662:$D662,AT$5)="F",AND(AT$6&gt;0,$A662&lt;AT$6),AND(AT$7&gt;0,$A662&gt;AT$7)),0,MAX(0,ROUND((INDEX($E662:$G662,AT$5)-SUMIFS(TF_Timer,TF_Tekniker,AT$4,TF_Dato,$A662))*2,0)/2)))</f>
        <v/>
      </c>
      <c r="AU662">
        <f>IF(OR(AU$4="",$A662&gt;TODAY()),0,IF(OR(INDEX($B662:$D662,AU$5)="F",AND(AU$6&gt;0,$A662&lt;AU$6),AND(AU$7&gt;0,$A662&gt;AU$7)),0,MAX(0,ROUND((INDEX($E662:$G662,AU$5)-SUMIFS(TF_Timer,TF_Tekniker,AU$4,TF_Dato,$A662))*2,0)/2)))</f>
        <v/>
      </c>
      <c r="AV662">
        <f>IF(OR(AV$4="",$A662&gt;TODAY()),0,IF(OR(INDEX($B662:$D662,AV$5)="F",AND(AV$6&gt;0,$A662&lt;AV$6),AND(AV$7&gt;0,$A662&gt;AV$7)),0,MAX(0,ROUND((INDEX($E662:$G662,AV$5)-SUMIFS(TF_Timer,TF_Tekniker,AV$4,TF_Dato,$A662))*2,0)/2)))</f>
        <v/>
      </c>
      <c r="AW662">
        <f>IF(OR(AW$4="",$A662&gt;TODAY()),0,IF(OR(INDEX($B662:$D662,AW$5)="F",AND(AW$6&gt;0,$A662&lt;AW$6),AND(AW$7&gt;0,$A662&gt;AW$7)),0,MAX(0,ROUND((INDEX($E662:$G662,AW$5)-SUMIFS(TF_Timer,TF_Tekniker,AW$4,TF_Dato,$A662))*2,0)/2)))</f>
        <v/>
      </c>
      <c r="AX662">
        <f>IF(OR(AX$4="",$A662&gt;TODAY()),0,IF(OR(INDEX($B662:$D662,AX$5)="F",AND(AX$6&gt;0,$A662&lt;AX$6),AND(AX$7&gt;0,$A662&gt;AX$7)),0,MAX(0,ROUND((INDEX($E662:$G662,AX$5)-SUMIFS(TF_Timer,TF_Tekniker,AX$4,TF_Dato,$A662))*2,0)/2)))</f>
        <v/>
      </c>
      <c r="AY662">
        <f>IF(OR(AY$4="",$A662&gt;TODAY()),0,IF(OR(INDEX($B662:$D662,AY$5)="F",AND(AY$6&gt;0,$A662&lt;AY$6),AND(AY$7&gt;0,$A662&gt;AY$7)),0,MAX(0,ROUND((INDEX($E662:$G662,AY$5)-SUMIFS(TF_Timer,TF_Tekniker,AY$4,TF_Dato,$A662))*2,0)/2)))</f>
        <v/>
      </c>
      <c r="AZ662">
        <f>IF(OR(AZ$4="",$A662&gt;TODAY()),0,IF(OR(INDEX($B662:$D662,AZ$5)="F",AND(AZ$6&gt;0,$A662&lt;AZ$6),AND(AZ$7&gt;0,$A662&gt;AZ$7)),0,MAX(0,ROUND((INDEX($E662:$G662,AZ$5)-SUMIFS(TF_Timer,TF_Tekniker,AZ$4,TF_Dato,$A662))*2,0)/2)))</f>
        <v/>
      </c>
      <c r="BA662">
        <f>IF(OR(BA$4="",$A662&gt;TODAY()),0,IF(OR(INDEX($B662:$D662,BA$5)="F",AND(BA$6&gt;0,$A662&lt;BA$6),AND(BA$7&gt;0,$A662&gt;BA$7)),0,MAX(0,ROUND((INDEX($E662:$G662,BA$5)-SUMIFS(TF_Timer,TF_Tekniker,BA$4,TF_Dato,$A662))*2,0)/2)))</f>
        <v/>
      </c>
      <c r="BB662">
        <f>IF(OR(BB$4="",$A662&gt;TODAY()),0,IF(OR(INDEX($B662:$D662,BB$5)="F",AND(BB$6&gt;0,$A662&lt;BB$6),AND(BB$7&gt;0,$A662&gt;BB$7)),0,MAX(0,ROUND((INDEX($E662:$G662,BB$5)-SUMIFS(TF_Timer,TF_Tekniker,BB$4,TF_Dato,$A662))*2,0)/2)))</f>
        <v/>
      </c>
      <c r="BC662">
        <f>IF(OR(BC$4="",$A662&gt;TODAY()),0,IF(OR(INDEX($B662:$D662,BC$5)="F",AND(BC$6&gt;0,$A662&lt;BC$6),AND(BC$7&gt;0,$A662&gt;BC$7)),0,MAX(0,ROUND((INDEX($E662:$G662,BC$5)-SUMIFS(TF_Timer,TF_Tekniker,BC$4,TF_Dato,$A662))*2,0)/2)))</f>
        <v/>
      </c>
      <c r="BD662">
        <f>IF(OR(BD$4="",$A662&gt;TODAY()),0,IF(OR(INDEX($B662:$D662,BD$5)="F",AND(BD$6&gt;0,$A662&lt;BD$6),AND(BD$7&gt;0,$A662&gt;BD$7)),0,MAX(0,ROUND((INDEX($E662:$G662,BD$5)-SUMIFS(TF_Timer,TF_Tekniker,BD$4,TF_Dato,$A662))*2,0)/2)))</f>
        <v/>
      </c>
      <c r="BE662">
        <f>IF(OR(BE$4="",$A662&gt;TODAY()),0,IF(OR(INDEX($B662:$D662,BE$5)="F",AND(BE$6&gt;0,$A662&lt;BE$6),AND(BE$7&gt;0,$A662&gt;BE$7)),0,MAX(0,ROUND((INDEX($E662:$G662,BE$5)-SUMIFS(TF_Timer,TF_Tekniker,BE$4,TF_Dato,$A662))*2,0)/2)))</f>
        <v/>
      </c>
      <c r="BF662">
        <f>IF(OR(BF$4="",$A662&gt;TODAY()),0,IF(OR(INDEX($B662:$D662,BF$5)="F",AND(BF$6&gt;0,$A662&lt;BF$6),AND(BF$7&gt;0,$A662&gt;BF$7)),0,MAX(0,ROUND((INDEX($E662:$G662,BF$5)-SUMIFS(TF_Timer,TF_Tekniker,BF$4,TF_Dato,$A662))*2,0)/2)))</f>
        <v/>
      </c>
      <c r="BG662">
        <f>IF(OR(BG$4="",$A662&gt;TODAY()),0,IF(OR(INDEX($B662:$D662,BG$5)="F",AND(BG$6&gt;0,$A662&lt;BG$6),AND(BG$7&gt;0,$A662&gt;BG$7)),0,MAX(0,ROUND((INDEX($E662:$G662,BG$5)-SUMIFS(TF_Timer,TF_Tekniker,BG$4,TF_Dato,$A662))*2,0)/2)))</f>
        <v/>
      </c>
      <c r="BH662">
        <f>IF(OR(BH$4="",$A662&gt;TODAY()),0,IF(OR(INDEX($B662:$D662,BH$5)="F",AND(BH$6&gt;0,$A662&lt;BH$6),AND(BH$7&gt;0,$A662&gt;BH$7)),0,MAX(0,ROUND((INDEX($E662:$G662,BH$5)-SUMIFS(TF_Timer,TF_Tekniker,BH$4,TF_Dato,$A662))*2,0)/2)))</f>
        <v/>
      </c>
      <c r="BI662">
        <f>IF(OR(BI$4="",$A662&gt;TODAY()),0,IF(OR(INDEX($B662:$D662,BI$5)="F",AND(BI$6&gt;0,$A662&lt;BI$6),AND(BI$7&gt;0,$A662&gt;BI$7)),0,MAX(0,ROUND((INDEX($E662:$G662,BI$5)-SUMIFS(TF_Timer,TF_Tekniker,BI$4,TF_Dato,$A662))*2,0)/2)))</f>
        <v/>
      </c>
    </row>
    <row r="663">
      <c r="A663" s="64">
        <f>A662+1</f>
        <v/>
      </c>
      <c r="B663">
        <f>IF(MOD($A663-INDEX(SkiftStart,1),Syklus)&lt;DagK,"K",IF(MOD($A663-INDEX(SkiftStart,1),Syklus)&lt;DagK+DagH,"H",IF(MOD($A663-INDEX(SkiftStart,1),Syklus)&lt;DagK+DagH+DagD,"D","F")))</f>
        <v/>
      </c>
      <c r="C663">
        <f>IF(MOD($A663-INDEX(SkiftStart,2),Syklus)&lt;DagK,"K",IF(MOD($A663-INDEX(SkiftStart,2),Syklus)&lt;DagK+DagH,"H",IF(MOD($A663-INDEX(SkiftStart,2),Syklus)&lt;DagK+DagH+DagD,"D","F")))</f>
        <v/>
      </c>
      <c r="D663">
        <f>IF(MOD($A663-INDEX(SkiftStart,3),Syklus)&lt;DagK,"K",IF(MOD($A663-INDEX(SkiftStart,3),Syklus)&lt;DagK+DagH,"H",IF(MOD($A663-INDEX(SkiftStart,3),Syklus)&lt;DagK+DagH+DagD,"D","F")))</f>
        <v/>
      </c>
      <c r="E663">
        <f>IF(B663="F",0,IF(WEEKDAY($A663,2)=5,INDEX(TimerFr,MATCH(B663,FaseKode,0)),INDEX(TimerMT,MATCH(B663,FaseKode,0))))</f>
        <v/>
      </c>
      <c r="F663">
        <f>IF(C663="F",0,IF(WEEKDAY($A663,2)=5,INDEX(TimerFr,MATCH(C663,FaseKode,0)),INDEX(TimerMT,MATCH(C663,FaseKode,0))))</f>
        <v/>
      </c>
      <c r="G663">
        <f>IF(D663="F",0,IF(WEEKDAY($A663,2)=5,INDEX(TimerFr,MATCH(D663,FaseKode,0)),INDEX(TimerMT,MATCH(D663,FaseKode,0))))</f>
        <v/>
      </c>
      <c r="H663">
        <f>IF(OR(H$4="",$A663&gt;TODAY()),0,IF(OR(INDEX($B663:$D663,H$5)="F",AND(H$6&gt;0,$A663&lt;H$6),AND(H$7&gt;0,$A663&gt;H$7)),0,MAX(0,ROUND((INDEX($E663:$G663,H$5)-SUMIFS(TF_Timer,TF_Tekniker,H$4,TF_Dato,$A663))*2,0)/2)))</f>
        <v/>
      </c>
      <c r="I663">
        <f>IF(OR(I$4="",$A663&gt;TODAY()),0,IF(OR(INDEX($B663:$D663,I$5)="F",AND(I$6&gt;0,$A663&lt;I$6),AND(I$7&gt;0,$A663&gt;I$7)),0,MAX(0,ROUND((INDEX($E663:$G663,I$5)-SUMIFS(TF_Timer,TF_Tekniker,I$4,TF_Dato,$A663))*2,0)/2)))</f>
        <v/>
      </c>
      <c r="J663">
        <f>IF(OR(J$4="",$A663&gt;TODAY()),0,IF(OR(INDEX($B663:$D663,J$5)="F",AND(J$6&gt;0,$A663&lt;J$6),AND(J$7&gt;0,$A663&gt;J$7)),0,MAX(0,ROUND((INDEX($E663:$G663,J$5)-SUMIFS(TF_Timer,TF_Tekniker,J$4,TF_Dato,$A663))*2,0)/2)))</f>
        <v/>
      </c>
      <c r="K663">
        <f>IF(OR(K$4="",$A663&gt;TODAY()),0,IF(OR(INDEX($B663:$D663,K$5)="F",AND(K$6&gt;0,$A663&lt;K$6),AND(K$7&gt;0,$A663&gt;K$7)),0,MAX(0,ROUND((INDEX($E663:$G663,K$5)-SUMIFS(TF_Timer,TF_Tekniker,K$4,TF_Dato,$A663))*2,0)/2)))</f>
        <v/>
      </c>
      <c r="L663">
        <f>IF(OR(L$4="",$A663&gt;TODAY()),0,IF(OR(INDEX($B663:$D663,L$5)="F",AND(L$6&gt;0,$A663&lt;L$6),AND(L$7&gt;0,$A663&gt;L$7)),0,MAX(0,ROUND((INDEX($E663:$G663,L$5)-SUMIFS(TF_Timer,TF_Tekniker,L$4,TF_Dato,$A663))*2,0)/2)))</f>
        <v/>
      </c>
      <c r="M663">
        <f>IF(OR(M$4="",$A663&gt;TODAY()),0,IF(OR(INDEX($B663:$D663,M$5)="F",AND(M$6&gt;0,$A663&lt;M$6),AND(M$7&gt;0,$A663&gt;M$7)),0,MAX(0,ROUND((INDEX($E663:$G663,M$5)-SUMIFS(TF_Timer,TF_Tekniker,M$4,TF_Dato,$A663))*2,0)/2)))</f>
        <v/>
      </c>
      <c r="N663">
        <f>IF(OR(N$4="",$A663&gt;TODAY()),0,IF(OR(INDEX($B663:$D663,N$5)="F",AND(N$6&gt;0,$A663&lt;N$6),AND(N$7&gt;0,$A663&gt;N$7)),0,MAX(0,ROUND((INDEX($E663:$G663,N$5)-SUMIFS(TF_Timer,TF_Tekniker,N$4,TF_Dato,$A663))*2,0)/2)))</f>
        <v/>
      </c>
      <c r="O663">
        <f>IF(OR(O$4="",$A663&gt;TODAY()),0,IF(OR(INDEX($B663:$D663,O$5)="F",AND(O$6&gt;0,$A663&lt;O$6),AND(O$7&gt;0,$A663&gt;O$7)),0,MAX(0,ROUND((INDEX($E663:$G663,O$5)-SUMIFS(TF_Timer,TF_Tekniker,O$4,TF_Dato,$A663))*2,0)/2)))</f>
        <v/>
      </c>
      <c r="P663">
        <f>IF(OR(P$4="",$A663&gt;TODAY()),0,IF(OR(INDEX($B663:$D663,P$5)="F",AND(P$6&gt;0,$A663&lt;P$6),AND(P$7&gt;0,$A663&gt;P$7)),0,MAX(0,ROUND((INDEX($E663:$G663,P$5)-SUMIFS(TF_Timer,TF_Tekniker,P$4,TF_Dato,$A663))*2,0)/2)))</f>
        <v/>
      </c>
      <c r="Q663">
        <f>IF(OR(Q$4="",$A663&gt;TODAY()),0,IF(OR(INDEX($B663:$D663,Q$5)="F",AND(Q$6&gt;0,$A663&lt;Q$6),AND(Q$7&gt;0,$A663&gt;Q$7)),0,MAX(0,ROUND((INDEX($E663:$G663,Q$5)-SUMIFS(TF_Timer,TF_Tekniker,Q$4,TF_Dato,$A663))*2,0)/2)))</f>
        <v/>
      </c>
      <c r="R663">
        <f>IF(OR(R$4="",$A663&gt;TODAY()),0,IF(OR(INDEX($B663:$D663,R$5)="F",AND(R$6&gt;0,$A663&lt;R$6),AND(R$7&gt;0,$A663&gt;R$7)),0,MAX(0,ROUND((INDEX($E663:$G663,R$5)-SUMIFS(TF_Timer,TF_Tekniker,R$4,TF_Dato,$A663))*2,0)/2)))</f>
        <v/>
      </c>
      <c r="S663">
        <f>IF(OR(S$4="",$A663&gt;TODAY()),0,IF(OR(INDEX($B663:$D663,S$5)="F",AND(S$6&gt;0,$A663&lt;S$6),AND(S$7&gt;0,$A663&gt;S$7)),0,MAX(0,ROUND((INDEX($E663:$G663,S$5)-SUMIFS(TF_Timer,TF_Tekniker,S$4,TF_Dato,$A663))*2,0)/2)))</f>
        <v/>
      </c>
      <c r="T663">
        <f>IF(OR(T$4="",$A663&gt;TODAY()),0,IF(OR(INDEX($B663:$D663,T$5)="F",AND(T$6&gt;0,$A663&lt;T$6),AND(T$7&gt;0,$A663&gt;T$7)),0,MAX(0,ROUND((INDEX($E663:$G663,T$5)-SUMIFS(TF_Timer,TF_Tekniker,T$4,TF_Dato,$A663))*2,0)/2)))</f>
        <v/>
      </c>
      <c r="U663">
        <f>IF(OR(U$4="",$A663&gt;TODAY()),0,IF(OR(INDEX($B663:$D663,U$5)="F",AND(U$6&gt;0,$A663&lt;U$6),AND(U$7&gt;0,$A663&gt;U$7)),0,MAX(0,ROUND((INDEX($E663:$G663,U$5)-SUMIFS(TF_Timer,TF_Tekniker,U$4,TF_Dato,$A663))*2,0)/2)))</f>
        <v/>
      </c>
      <c r="V663">
        <f>IF(OR(V$4="",$A663&gt;TODAY()),0,IF(OR(INDEX($B663:$D663,V$5)="F",AND(V$6&gt;0,$A663&lt;V$6),AND(V$7&gt;0,$A663&gt;V$7)),0,MAX(0,ROUND((INDEX($E663:$G663,V$5)-SUMIFS(TF_Timer,TF_Tekniker,V$4,TF_Dato,$A663))*2,0)/2)))</f>
        <v/>
      </c>
      <c r="W663">
        <f>IF(OR(W$4="",$A663&gt;TODAY()),0,IF(OR(INDEX($B663:$D663,W$5)="F",AND(W$6&gt;0,$A663&lt;W$6),AND(W$7&gt;0,$A663&gt;W$7)),0,MAX(0,ROUND((INDEX($E663:$G663,W$5)-SUMIFS(TF_Timer,TF_Tekniker,W$4,TF_Dato,$A663))*2,0)/2)))</f>
        <v/>
      </c>
      <c r="X663">
        <f>IF(OR(X$4="",$A663&gt;TODAY()),0,IF(OR(INDEX($B663:$D663,X$5)="F",AND(X$6&gt;0,$A663&lt;X$6),AND(X$7&gt;0,$A663&gt;X$7)),0,MAX(0,ROUND((INDEX($E663:$G663,X$5)-SUMIFS(TF_Timer,TF_Tekniker,X$4,TF_Dato,$A663))*2,0)/2)))</f>
        <v/>
      </c>
      <c r="Y663">
        <f>IF(OR(Y$4="",$A663&gt;TODAY()),0,IF(OR(INDEX($B663:$D663,Y$5)="F",AND(Y$6&gt;0,$A663&lt;Y$6),AND(Y$7&gt;0,$A663&gt;Y$7)),0,MAX(0,ROUND((INDEX($E663:$G663,Y$5)-SUMIFS(TF_Timer,TF_Tekniker,Y$4,TF_Dato,$A663))*2,0)/2)))</f>
        <v/>
      </c>
      <c r="Z663">
        <f>IF(OR(Z$4="",$A663&gt;TODAY()),0,IF(OR(INDEX($B663:$D663,Z$5)="F",AND(Z$6&gt;0,$A663&lt;Z$6),AND(Z$7&gt;0,$A663&gt;Z$7)),0,MAX(0,ROUND((INDEX($E663:$G663,Z$5)-SUMIFS(TF_Timer,TF_Tekniker,Z$4,TF_Dato,$A663))*2,0)/2)))</f>
        <v/>
      </c>
      <c r="AA663">
        <f>IF(OR(AA$4="",$A663&gt;TODAY()),0,IF(OR(INDEX($B663:$D663,AA$5)="F",AND(AA$6&gt;0,$A663&lt;AA$6),AND(AA$7&gt;0,$A663&gt;AA$7)),0,MAX(0,ROUND((INDEX($E663:$G663,AA$5)-SUMIFS(TF_Timer,TF_Tekniker,AA$4,TF_Dato,$A663))*2,0)/2)))</f>
        <v/>
      </c>
      <c r="AB663">
        <f>IF(OR(AB$4="",$A663&gt;TODAY()),0,IF(OR(INDEX($B663:$D663,AB$5)="F",AND(AB$6&gt;0,$A663&lt;AB$6),AND(AB$7&gt;0,$A663&gt;AB$7)),0,MAX(0,ROUND((INDEX($E663:$G663,AB$5)-SUMIFS(TF_Timer,TF_Tekniker,AB$4,TF_Dato,$A663))*2,0)/2)))</f>
        <v/>
      </c>
      <c r="AC663">
        <f>IF(OR(AC$4="",$A663&gt;TODAY()),0,IF(OR(INDEX($B663:$D663,AC$5)="F",AND(AC$6&gt;0,$A663&lt;AC$6),AND(AC$7&gt;0,$A663&gt;AC$7)),0,MAX(0,ROUND((INDEX($E663:$G663,AC$5)-SUMIFS(TF_Timer,TF_Tekniker,AC$4,TF_Dato,$A663))*2,0)/2)))</f>
        <v/>
      </c>
      <c r="AD663">
        <f>IF(OR(AD$4="",$A663&gt;TODAY()),0,IF(OR(INDEX($B663:$D663,AD$5)="F",AND(AD$6&gt;0,$A663&lt;AD$6),AND(AD$7&gt;0,$A663&gt;AD$7)),0,MAX(0,ROUND((INDEX($E663:$G663,AD$5)-SUMIFS(TF_Timer,TF_Tekniker,AD$4,TF_Dato,$A663))*2,0)/2)))</f>
        <v/>
      </c>
      <c r="AE663">
        <f>IF(OR(AE$4="",$A663&gt;TODAY()),0,IF(OR(INDEX($B663:$D663,AE$5)="F",AND(AE$6&gt;0,$A663&lt;AE$6),AND(AE$7&gt;0,$A663&gt;AE$7)),0,MAX(0,ROUND((INDEX($E663:$G663,AE$5)-SUMIFS(TF_Timer,TF_Tekniker,AE$4,TF_Dato,$A663))*2,0)/2)))</f>
        <v/>
      </c>
      <c r="AF663">
        <f>IF(OR(AF$4="",$A663&gt;TODAY()),0,IF(OR(INDEX($B663:$D663,AF$5)="F",AND(AF$6&gt;0,$A663&lt;AF$6),AND(AF$7&gt;0,$A663&gt;AF$7)),0,MAX(0,ROUND((INDEX($E663:$G663,AF$5)-SUMIFS(TF_Timer,TF_Tekniker,AF$4,TF_Dato,$A663))*2,0)/2)))</f>
        <v/>
      </c>
      <c r="AG663">
        <f>IF(OR(AG$4="",$A663&gt;TODAY()),0,IF(OR(INDEX($B663:$D663,AG$5)="F",AND(AG$6&gt;0,$A663&lt;AG$6),AND(AG$7&gt;0,$A663&gt;AG$7)),0,MAX(0,ROUND((INDEX($E663:$G663,AG$5)-SUMIFS(TF_Timer,TF_Tekniker,AG$4,TF_Dato,$A663))*2,0)/2)))</f>
        <v/>
      </c>
      <c r="AH663">
        <f>IF(OR(AH$4="",$A663&gt;TODAY()),0,IF(OR(INDEX($B663:$D663,AH$5)="F",AND(AH$6&gt;0,$A663&lt;AH$6),AND(AH$7&gt;0,$A663&gt;AH$7)),0,MAX(0,ROUND((INDEX($E663:$G663,AH$5)-SUMIFS(TF_Timer,TF_Tekniker,AH$4,TF_Dato,$A663))*2,0)/2)))</f>
        <v/>
      </c>
      <c r="AI663">
        <f>IF(OR(AI$4="",$A663&gt;TODAY()),0,IF(OR(INDEX($B663:$D663,AI$5)="F",AND(AI$6&gt;0,$A663&lt;AI$6),AND(AI$7&gt;0,$A663&gt;AI$7)),0,MAX(0,ROUND((INDEX($E663:$G663,AI$5)-SUMIFS(TF_Timer,TF_Tekniker,AI$4,TF_Dato,$A663))*2,0)/2)))</f>
        <v/>
      </c>
      <c r="AJ663">
        <f>IF(OR(AJ$4="",$A663&gt;TODAY()),0,IF(OR(INDEX($B663:$D663,AJ$5)="F",AND(AJ$6&gt;0,$A663&lt;AJ$6),AND(AJ$7&gt;0,$A663&gt;AJ$7)),0,MAX(0,ROUND((INDEX($E663:$G663,AJ$5)-SUMIFS(TF_Timer,TF_Tekniker,AJ$4,TF_Dato,$A663))*2,0)/2)))</f>
        <v/>
      </c>
      <c r="AK663">
        <f>IF(OR(AK$4="",$A663&gt;TODAY()),0,IF(OR(INDEX($B663:$D663,AK$5)="F",AND(AK$6&gt;0,$A663&lt;AK$6),AND(AK$7&gt;0,$A663&gt;AK$7)),0,MAX(0,ROUND((INDEX($E663:$G663,AK$5)-SUMIFS(TF_Timer,TF_Tekniker,AK$4,TF_Dato,$A663))*2,0)/2)))</f>
        <v/>
      </c>
      <c r="AL663">
        <f>IF(OR(AL$4="",$A663&gt;TODAY()),0,IF(OR(INDEX($B663:$D663,AL$5)="F",AND(AL$6&gt;0,$A663&lt;AL$6),AND(AL$7&gt;0,$A663&gt;AL$7)),0,MAX(0,ROUND((INDEX($E663:$G663,AL$5)-SUMIFS(TF_Timer,TF_Tekniker,AL$4,TF_Dato,$A663))*2,0)/2)))</f>
        <v/>
      </c>
      <c r="AM663">
        <f>IF(OR(AM$4="",$A663&gt;TODAY()),0,IF(OR(INDEX($B663:$D663,AM$5)="F",AND(AM$6&gt;0,$A663&lt;AM$6),AND(AM$7&gt;0,$A663&gt;AM$7)),0,MAX(0,ROUND((INDEX($E663:$G663,AM$5)-SUMIFS(TF_Timer,TF_Tekniker,AM$4,TF_Dato,$A663))*2,0)/2)))</f>
        <v/>
      </c>
      <c r="AN663">
        <f>IF(OR(AN$4="",$A663&gt;TODAY()),0,IF(OR(INDEX($B663:$D663,AN$5)="F",AND(AN$6&gt;0,$A663&lt;AN$6),AND(AN$7&gt;0,$A663&gt;AN$7)),0,MAX(0,ROUND((INDEX($E663:$G663,AN$5)-SUMIFS(TF_Timer,TF_Tekniker,AN$4,TF_Dato,$A663))*2,0)/2)))</f>
        <v/>
      </c>
      <c r="AO663">
        <f>IF(OR(AO$4="",$A663&gt;TODAY()),0,IF(OR(INDEX($B663:$D663,AO$5)="F",AND(AO$6&gt;0,$A663&lt;AO$6),AND(AO$7&gt;0,$A663&gt;AO$7)),0,MAX(0,ROUND((INDEX($E663:$G663,AO$5)-SUMIFS(TF_Timer,TF_Tekniker,AO$4,TF_Dato,$A663))*2,0)/2)))</f>
        <v/>
      </c>
      <c r="AP663">
        <f>IF(OR(AP$4="",$A663&gt;TODAY()),0,IF(OR(INDEX($B663:$D663,AP$5)="F",AND(AP$6&gt;0,$A663&lt;AP$6),AND(AP$7&gt;0,$A663&gt;AP$7)),0,MAX(0,ROUND((INDEX($E663:$G663,AP$5)-SUMIFS(TF_Timer,TF_Tekniker,AP$4,TF_Dato,$A663))*2,0)/2)))</f>
        <v/>
      </c>
      <c r="AQ663">
        <f>IF(OR(AQ$4="",$A663&gt;TODAY()),0,IF(OR(INDEX($B663:$D663,AQ$5)="F",AND(AQ$6&gt;0,$A663&lt;AQ$6),AND(AQ$7&gt;0,$A663&gt;AQ$7)),0,MAX(0,ROUND((INDEX($E663:$G663,AQ$5)-SUMIFS(TF_Timer,TF_Tekniker,AQ$4,TF_Dato,$A663))*2,0)/2)))</f>
        <v/>
      </c>
      <c r="AR663">
        <f>IF(OR(AR$4="",$A663&gt;TODAY()),0,IF(OR(INDEX($B663:$D663,AR$5)="F",AND(AR$6&gt;0,$A663&lt;AR$6),AND(AR$7&gt;0,$A663&gt;AR$7)),0,MAX(0,ROUND((INDEX($E663:$G663,AR$5)-SUMIFS(TF_Timer,TF_Tekniker,AR$4,TF_Dato,$A663))*2,0)/2)))</f>
        <v/>
      </c>
      <c r="AS663">
        <f>IF(OR(AS$4="",$A663&gt;TODAY()),0,IF(OR(INDEX($B663:$D663,AS$5)="F",AND(AS$6&gt;0,$A663&lt;AS$6),AND(AS$7&gt;0,$A663&gt;AS$7)),0,MAX(0,ROUND((INDEX($E663:$G663,AS$5)-SUMIFS(TF_Timer,TF_Tekniker,AS$4,TF_Dato,$A663))*2,0)/2)))</f>
        <v/>
      </c>
      <c r="AT663">
        <f>IF(OR(AT$4="",$A663&gt;TODAY()),0,IF(OR(INDEX($B663:$D663,AT$5)="F",AND(AT$6&gt;0,$A663&lt;AT$6),AND(AT$7&gt;0,$A663&gt;AT$7)),0,MAX(0,ROUND((INDEX($E663:$G663,AT$5)-SUMIFS(TF_Timer,TF_Tekniker,AT$4,TF_Dato,$A663))*2,0)/2)))</f>
        <v/>
      </c>
      <c r="AU663">
        <f>IF(OR(AU$4="",$A663&gt;TODAY()),0,IF(OR(INDEX($B663:$D663,AU$5)="F",AND(AU$6&gt;0,$A663&lt;AU$6),AND(AU$7&gt;0,$A663&gt;AU$7)),0,MAX(0,ROUND((INDEX($E663:$G663,AU$5)-SUMIFS(TF_Timer,TF_Tekniker,AU$4,TF_Dato,$A663))*2,0)/2)))</f>
        <v/>
      </c>
      <c r="AV663">
        <f>IF(OR(AV$4="",$A663&gt;TODAY()),0,IF(OR(INDEX($B663:$D663,AV$5)="F",AND(AV$6&gt;0,$A663&lt;AV$6),AND(AV$7&gt;0,$A663&gt;AV$7)),0,MAX(0,ROUND((INDEX($E663:$G663,AV$5)-SUMIFS(TF_Timer,TF_Tekniker,AV$4,TF_Dato,$A663))*2,0)/2)))</f>
        <v/>
      </c>
      <c r="AW663">
        <f>IF(OR(AW$4="",$A663&gt;TODAY()),0,IF(OR(INDEX($B663:$D663,AW$5)="F",AND(AW$6&gt;0,$A663&lt;AW$6),AND(AW$7&gt;0,$A663&gt;AW$7)),0,MAX(0,ROUND((INDEX($E663:$G663,AW$5)-SUMIFS(TF_Timer,TF_Tekniker,AW$4,TF_Dato,$A663))*2,0)/2)))</f>
        <v/>
      </c>
      <c r="AX663">
        <f>IF(OR(AX$4="",$A663&gt;TODAY()),0,IF(OR(INDEX($B663:$D663,AX$5)="F",AND(AX$6&gt;0,$A663&lt;AX$6),AND(AX$7&gt;0,$A663&gt;AX$7)),0,MAX(0,ROUND((INDEX($E663:$G663,AX$5)-SUMIFS(TF_Timer,TF_Tekniker,AX$4,TF_Dato,$A663))*2,0)/2)))</f>
        <v/>
      </c>
      <c r="AY663">
        <f>IF(OR(AY$4="",$A663&gt;TODAY()),0,IF(OR(INDEX($B663:$D663,AY$5)="F",AND(AY$6&gt;0,$A663&lt;AY$6),AND(AY$7&gt;0,$A663&gt;AY$7)),0,MAX(0,ROUND((INDEX($E663:$G663,AY$5)-SUMIFS(TF_Timer,TF_Tekniker,AY$4,TF_Dato,$A663))*2,0)/2)))</f>
        <v/>
      </c>
      <c r="AZ663">
        <f>IF(OR(AZ$4="",$A663&gt;TODAY()),0,IF(OR(INDEX($B663:$D663,AZ$5)="F",AND(AZ$6&gt;0,$A663&lt;AZ$6),AND(AZ$7&gt;0,$A663&gt;AZ$7)),0,MAX(0,ROUND((INDEX($E663:$G663,AZ$5)-SUMIFS(TF_Timer,TF_Tekniker,AZ$4,TF_Dato,$A663))*2,0)/2)))</f>
        <v/>
      </c>
      <c r="BA663">
        <f>IF(OR(BA$4="",$A663&gt;TODAY()),0,IF(OR(INDEX($B663:$D663,BA$5)="F",AND(BA$6&gt;0,$A663&lt;BA$6),AND(BA$7&gt;0,$A663&gt;BA$7)),0,MAX(0,ROUND((INDEX($E663:$G663,BA$5)-SUMIFS(TF_Timer,TF_Tekniker,BA$4,TF_Dato,$A663))*2,0)/2)))</f>
        <v/>
      </c>
      <c r="BB663">
        <f>IF(OR(BB$4="",$A663&gt;TODAY()),0,IF(OR(INDEX($B663:$D663,BB$5)="F",AND(BB$6&gt;0,$A663&lt;BB$6),AND(BB$7&gt;0,$A663&gt;BB$7)),0,MAX(0,ROUND((INDEX($E663:$G663,BB$5)-SUMIFS(TF_Timer,TF_Tekniker,BB$4,TF_Dato,$A663))*2,0)/2)))</f>
        <v/>
      </c>
      <c r="BC663">
        <f>IF(OR(BC$4="",$A663&gt;TODAY()),0,IF(OR(INDEX($B663:$D663,BC$5)="F",AND(BC$6&gt;0,$A663&lt;BC$6),AND(BC$7&gt;0,$A663&gt;BC$7)),0,MAX(0,ROUND((INDEX($E663:$G663,BC$5)-SUMIFS(TF_Timer,TF_Tekniker,BC$4,TF_Dato,$A663))*2,0)/2)))</f>
        <v/>
      </c>
      <c r="BD663">
        <f>IF(OR(BD$4="",$A663&gt;TODAY()),0,IF(OR(INDEX($B663:$D663,BD$5)="F",AND(BD$6&gt;0,$A663&lt;BD$6),AND(BD$7&gt;0,$A663&gt;BD$7)),0,MAX(0,ROUND((INDEX($E663:$G663,BD$5)-SUMIFS(TF_Timer,TF_Tekniker,BD$4,TF_Dato,$A663))*2,0)/2)))</f>
        <v/>
      </c>
      <c r="BE663">
        <f>IF(OR(BE$4="",$A663&gt;TODAY()),0,IF(OR(INDEX($B663:$D663,BE$5)="F",AND(BE$6&gt;0,$A663&lt;BE$6),AND(BE$7&gt;0,$A663&gt;BE$7)),0,MAX(0,ROUND((INDEX($E663:$G663,BE$5)-SUMIFS(TF_Timer,TF_Tekniker,BE$4,TF_Dato,$A663))*2,0)/2)))</f>
        <v/>
      </c>
      <c r="BF663">
        <f>IF(OR(BF$4="",$A663&gt;TODAY()),0,IF(OR(INDEX($B663:$D663,BF$5)="F",AND(BF$6&gt;0,$A663&lt;BF$6),AND(BF$7&gt;0,$A663&gt;BF$7)),0,MAX(0,ROUND((INDEX($E663:$G663,BF$5)-SUMIFS(TF_Timer,TF_Tekniker,BF$4,TF_Dato,$A663))*2,0)/2)))</f>
        <v/>
      </c>
      <c r="BG663">
        <f>IF(OR(BG$4="",$A663&gt;TODAY()),0,IF(OR(INDEX($B663:$D663,BG$5)="F",AND(BG$6&gt;0,$A663&lt;BG$6),AND(BG$7&gt;0,$A663&gt;BG$7)),0,MAX(0,ROUND((INDEX($E663:$G663,BG$5)-SUMIFS(TF_Timer,TF_Tekniker,BG$4,TF_Dato,$A663))*2,0)/2)))</f>
        <v/>
      </c>
      <c r="BH663">
        <f>IF(OR(BH$4="",$A663&gt;TODAY()),0,IF(OR(INDEX($B663:$D663,BH$5)="F",AND(BH$6&gt;0,$A663&lt;BH$6),AND(BH$7&gt;0,$A663&gt;BH$7)),0,MAX(0,ROUND((INDEX($E663:$G663,BH$5)-SUMIFS(TF_Timer,TF_Tekniker,BH$4,TF_Dato,$A663))*2,0)/2)))</f>
        <v/>
      </c>
      <c r="BI663">
        <f>IF(OR(BI$4="",$A663&gt;TODAY()),0,IF(OR(INDEX($B663:$D663,BI$5)="F",AND(BI$6&gt;0,$A663&lt;BI$6),AND(BI$7&gt;0,$A663&gt;BI$7)),0,MAX(0,ROUND((INDEX($E663:$G663,BI$5)-SUMIFS(TF_Timer,TF_Tekniker,BI$4,TF_Dato,$A663))*2,0)/2)))</f>
        <v/>
      </c>
    </row>
    <row r="664">
      <c r="A664" s="64">
        <f>A663+1</f>
        <v/>
      </c>
      <c r="B664">
        <f>IF(MOD($A664-INDEX(SkiftStart,1),Syklus)&lt;DagK,"K",IF(MOD($A664-INDEX(SkiftStart,1),Syklus)&lt;DagK+DagH,"H",IF(MOD($A664-INDEX(SkiftStart,1),Syklus)&lt;DagK+DagH+DagD,"D","F")))</f>
        <v/>
      </c>
      <c r="C664">
        <f>IF(MOD($A664-INDEX(SkiftStart,2),Syklus)&lt;DagK,"K",IF(MOD($A664-INDEX(SkiftStart,2),Syklus)&lt;DagK+DagH,"H",IF(MOD($A664-INDEX(SkiftStart,2),Syklus)&lt;DagK+DagH+DagD,"D","F")))</f>
        <v/>
      </c>
      <c r="D664">
        <f>IF(MOD($A664-INDEX(SkiftStart,3),Syklus)&lt;DagK,"K",IF(MOD($A664-INDEX(SkiftStart,3),Syklus)&lt;DagK+DagH,"H",IF(MOD($A664-INDEX(SkiftStart,3),Syklus)&lt;DagK+DagH+DagD,"D","F")))</f>
        <v/>
      </c>
      <c r="E664">
        <f>IF(B664="F",0,IF(WEEKDAY($A664,2)=5,INDEX(TimerFr,MATCH(B664,FaseKode,0)),INDEX(TimerMT,MATCH(B664,FaseKode,0))))</f>
        <v/>
      </c>
      <c r="F664">
        <f>IF(C664="F",0,IF(WEEKDAY($A664,2)=5,INDEX(TimerFr,MATCH(C664,FaseKode,0)),INDEX(TimerMT,MATCH(C664,FaseKode,0))))</f>
        <v/>
      </c>
      <c r="G664">
        <f>IF(D664="F",0,IF(WEEKDAY($A664,2)=5,INDEX(TimerFr,MATCH(D664,FaseKode,0)),INDEX(TimerMT,MATCH(D664,FaseKode,0))))</f>
        <v/>
      </c>
      <c r="H664">
        <f>IF(OR(H$4="",$A664&gt;TODAY()),0,IF(OR(INDEX($B664:$D664,H$5)="F",AND(H$6&gt;0,$A664&lt;H$6),AND(H$7&gt;0,$A664&gt;H$7)),0,MAX(0,ROUND((INDEX($E664:$G664,H$5)-SUMIFS(TF_Timer,TF_Tekniker,H$4,TF_Dato,$A664))*2,0)/2)))</f>
        <v/>
      </c>
      <c r="I664">
        <f>IF(OR(I$4="",$A664&gt;TODAY()),0,IF(OR(INDEX($B664:$D664,I$5)="F",AND(I$6&gt;0,$A664&lt;I$6),AND(I$7&gt;0,$A664&gt;I$7)),0,MAX(0,ROUND((INDEX($E664:$G664,I$5)-SUMIFS(TF_Timer,TF_Tekniker,I$4,TF_Dato,$A664))*2,0)/2)))</f>
        <v/>
      </c>
      <c r="J664">
        <f>IF(OR(J$4="",$A664&gt;TODAY()),0,IF(OR(INDEX($B664:$D664,J$5)="F",AND(J$6&gt;0,$A664&lt;J$6),AND(J$7&gt;0,$A664&gt;J$7)),0,MAX(0,ROUND((INDEX($E664:$G664,J$5)-SUMIFS(TF_Timer,TF_Tekniker,J$4,TF_Dato,$A664))*2,0)/2)))</f>
        <v/>
      </c>
      <c r="K664">
        <f>IF(OR(K$4="",$A664&gt;TODAY()),0,IF(OR(INDEX($B664:$D664,K$5)="F",AND(K$6&gt;0,$A664&lt;K$6),AND(K$7&gt;0,$A664&gt;K$7)),0,MAX(0,ROUND((INDEX($E664:$G664,K$5)-SUMIFS(TF_Timer,TF_Tekniker,K$4,TF_Dato,$A664))*2,0)/2)))</f>
        <v/>
      </c>
      <c r="L664">
        <f>IF(OR(L$4="",$A664&gt;TODAY()),0,IF(OR(INDEX($B664:$D664,L$5)="F",AND(L$6&gt;0,$A664&lt;L$6),AND(L$7&gt;0,$A664&gt;L$7)),0,MAX(0,ROUND((INDEX($E664:$G664,L$5)-SUMIFS(TF_Timer,TF_Tekniker,L$4,TF_Dato,$A664))*2,0)/2)))</f>
        <v/>
      </c>
      <c r="M664">
        <f>IF(OR(M$4="",$A664&gt;TODAY()),0,IF(OR(INDEX($B664:$D664,M$5)="F",AND(M$6&gt;0,$A664&lt;M$6),AND(M$7&gt;0,$A664&gt;M$7)),0,MAX(0,ROUND((INDEX($E664:$G664,M$5)-SUMIFS(TF_Timer,TF_Tekniker,M$4,TF_Dato,$A664))*2,0)/2)))</f>
        <v/>
      </c>
      <c r="N664">
        <f>IF(OR(N$4="",$A664&gt;TODAY()),0,IF(OR(INDEX($B664:$D664,N$5)="F",AND(N$6&gt;0,$A664&lt;N$6),AND(N$7&gt;0,$A664&gt;N$7)),0,MAX(0,ROUND((INDEX($E664:$G664,N$5)-SUMIFS(TF_Timer,TF_Tekniker,N$4,TF_Dato,$A664))*2,0)/2)))</f>
        <v/>
      </c>
      <c r="O664">
        <f>IF(OR(O$4="",$A664&gt;TODAY()),0,IF(OR(INDEX($B664:$D664,O$5)="F",AND(O$6&gt;0,$A664&lt;O$6),AND(O$7&gt;0,$A664&gt;O$7)),0,MAX(0,ROUND((INDEX($E664:$G664,O$5)-SUMIFS(TF_Timer,TF_Tekniker,O$4,TF_Dato,$A664))*2,0)/2)))</f>
        <v/>
      </c>
      <c r="P664">
        <f>IF(OR(P$4="",$A664&gt;TODAY()),0,IF(OR(INDEX($B664:$D664,P$5)="F",AND(P$6&gt;0,$A664&lt;P$6),AND(P$7&gt;0,$A664&gt;P$7)),0,MAX(0,ROUND((INDEX($E664:$G664,P$5)-SUMIFS(TF_Timer,TF_Tekniker,P$4,TF_Dato,$A664))*2,0)/2)))</f>
        <v/>
      </c>
      <c r="Q664">
        <f>IF(OR(Q$4="",$A664&gt;TODAY()),0,IF(OR(INDEX($B664:$D664,Q$5)="F",AND(Q$6&gt;0,$A664&lt;Q$6),AND(Q$7&gt;0,$A664&gt;Q$7)),0,MAX(0,ROUND((INDEX($E664:$G664,Q$5)-SUMIFS(TF_Timer,TF_Tekniker,Q$4,TF_Dato,$A664))*2,0)/2)))</f>
        <v/>
      </c>
      <c r="R664">
        <f>IF(OR(R$4="",$A664&gt;TODAY()),0,IF(OR(INDEX($B664:$D664,R$5)="F",AND(R$6&gt;0,$A664&lt;R$6),AND(R$7&gt;0,$A664&gt;R$7)),0,MAX(0,ROUND((INDEX($E664:$G664,R$5)-SUMIFS(TF_Timer,TF_Tekniker,R$4,TF_Dato,$A664))*2,0)/2)))</f>
        <v/>
      </c>
      <c r="S664">
        <f>IF(OR(S$4="",$A664&gt;TODAY()),0,IF(OR(INDEX($B664:$D664,S$5)="F",AND(S$6&gt;0,$A664&lt;S$6),AND(S$7&gt;0,$A664&gt;S$7)),0,MAX(0,ROUND((INDEX($E664:$G664,S$5)-SUMIFS(TF_Timer,TF_Tekniker,S$4,TF_Dato,$A664))*2,0)/2)))</f>
        <v/>
      </c>
      <c r="T664">
        <f>IF(OR(T$4="",$A664&gt;TODAY()),0,IF(OR(INDEX($B664:$D664,T$5)="F",AND(T$6&gt;0,$A664&lt;T$6),AND(T$7&gt;0,$A664&gt;T$7)),0,MAX(0,ROUND((INDEX($E664:$G664,T$5)-SUMIFS(TF_Timer,TF_Tekniker,T$4,TF_Dato,$A664))*2,0)/2)))</f>
        <v/>
      </c>
      <c r="U664">
        <f>IF(OR(U$4="",$A664&gt;TODAY()),0,IF(OR(INDEX($B664:$D664,U$5)="F",AND(U$6&gt;0,$A664&lt;U$6),AND(U$7&gt;0,$A664&gt;U$7)),0,MAX(0,ROUND((INDEX($E664:$G664,U$5)-SUMIFS(TF_Timer,TF_Tekniker,U$4,TF_Dato,$A664))*2,0)/2)))</f>
        <v/>
      </c>
      <c r="V664">
        <f>IF(OR(V$4="",$A664&gt;TODAY()),0,IF(OR(INDEX($B664:$D664,V$5)="F",AND(V$6&gt;0,$A664&lt;V$6),AND(V$7&gt;0,$A664&gt;V$7)),0,MAX(0,ROUND((INDEX($E664:$G664,V$5)-SUMIFS(TF_Timer,TF_Tekniker,V$4,TF_Dato,$A664))*2,0)/2)))</f>
        <v/>
      </c>
      <c r="W664">
        <f>IF(OR(W$4="",$A664&gt;TODAY()),0,IF(OR(INDEX($B664:$D664,W$5)="F",AND(W$6&gt;0,$A664&lt;W$6),AND(W$7&gt;0,$A664&gt;W$7)),0,MAX(0,ROUND((INDEX($E664:$G664,W$5)-SUMIFS(TF_Timer,TF_Tekniker,W$4,TF_Dato,$A664))*2,0)/2)))</f>
        <v/>
      </c>
      <c r="X664">
        <f>IF(OR(X$4="",$A664&gt;TODAY()),0,IF(OR(INDEX($B664:$D664,X$5)="F",AND(X$6&gt;0,$A664&lt;X$6),AND(X$7&gt;0,$A664&gt;X$7)),0,MAX(0,ROUND((INDEX($E664:$G664,X$5)-SUMIFS(TF_Timer,TF_Tekniker,X$4,TF_Dato,$A664))*2,0)/2)))</f>
        <v/>
      </c>
      <c r="Y664">
        <f>IF(OR(Y$4="",$A664&gt;TODAY()),0,IF(OR(INDEX($B664:$D664,Y$5)="F",AND(Y$6&gt;0,$A664&lt;Y$6),AND(Y$7&gt;0,$A664&gt;Y$7)),0,MAX(0,ROUND((INDEX($E664:$G664,Y$5)-SUMIFS(TF_Timer,TF_Tekniker,Y$4,TF_Dato,$A664))*2,0)/2)))</f>
        <v/>
      </c>
      <c r="Z664">
        <f>IF(OR(Z$4="",$A664&gt;TODAY()),0,IF(OR(INDEX($B664:$D664,Z$5)="F",AND(Z$6&gt;0,$A664&lt;Z$6),AND(Z$7&gt;0,$A664&gt;Z$7)),0,MAX(0,ROUND((INDEX($E664:$G664,Z$5)-SUMIFS(TF_Timer,TF_Tekniker,Z$4,TF_Dato,$A664))*2,0)/2)))</f>
        <v/>
      </c>
      <c r="AA664">
        <f>IF(OR(AA$4="",$A664&gt;TODAY()),0,IF(OR(INDEX($B664:$D664,AA$5)="F",AND(AA$6&gt;0,$A664&lt;AA$6),AND(AA$7&gt;0,$A664&gt;AA$7)),0,MAX(0,ROUND((INDEX($E664:$G664,AA$5)-SUMIFS(TF_Timer,TF_Tekniker,AA$4,TF_Dato,$A664))*2,0)/2)))</f>
        <v/>
      </c>
      <c r="AB664">
        <f>IF(OR(AB$4="",$A664&gt;TODAY()),0,IF(OR(INDEX($B664:$D664,AB$5)="F",AND(AB$6&gt;0,$A664&lt;AB$6),AND(AB$7&gt;0,$A664&gt;AB$7)),0,MAX(0,ROUND((INDEX($E664:$G664,AB$5)-SUMIFS(TF_Timer,TF_Tekniker,AB$4,TF_Dato,$A664))*2,0)/2)))</f>
        <v/>
      </c>
      <c r="AC664">
        <f>IF(OR(AC$4="",$A664&gt;TODAY()),0,IF(OR(INDEX($B664:$D664,AC$5)="F",AND(AC$6&gt;0,$A664&lt;AC$6),AND(AC$7&gt;0,$A664&gt;AC$7)),0,MAX(0,ROUND((INDEX($E664:$G664,AC$5)-SUMIFS(TF_Timer,TF_Tekniker,AC$4,TF_Dato,$A664))*2,0)/2)))</f>
        <v/>
      </c>
      <c r="AD664">
        <f>IF(OR(AD$4="",$A664&gt;TODAY()),0,IF(OR(INDEX($B664:$D664,AD$5)="F",AND(AD$6&gt;0,$A664&lt;AD$6),AND(AD$7&gt;0,$A664&gt;AD$7)),0,MAX(0,ROUND((INDEX($E664:$G664,AD$5)-SUMIFS(TF_Timer,TF_Tekniker,AD$4,TF_Dato,$A664))*2,0)/2)))</f>
        <v/>
      </c>
      <c r="AE664">
        <f>IF(OR(AE$4="",$A664&gt;TODAY()),0,IF(OR(INDEX($B664:$D664,AE$5)="F",AND(AE$6&gt;0,$A664&lt;AE$6),AND(AE$7&gt;0,$A664&gt;AE$7)),0,MAX(0,ROUND((INDEX($E664:$G664,AE$5)-SUMIFS(TF_Timer,TF_Tekniker,AE$4,TF_Dato,$A664))*2,0)/2)))</f>
        <v/>
      </c>
      <c r="AF664">
        <f>IF(OR(AF$4="",$A664&gt;TODAY()),0,IF(OR(INDEX($B664:$D664,AF$5)="F",AND(AF$6&gt;0,$A664&lt;AF$6),AND(AF$7&gt;0,$A664&gt;AF$7)),0,MAX(0,ROUND((INDEX($E664:$G664,AF$5)-SUMIFS(TF_Timer,TF_Tekniker,AF$4,TF_Dato,$A664))*2,0)/2)))</f>
        <v/>
      </c>
      <c r="AG664">
        <f>IF(OR(AG$4="",$A664&gt;TODAY()),0,IF(OR(INDEX($B664:$D664,AG$5)="F",AND(AG$6&gt;0,$A664&lt;AG$6),AND(AG$7&gt;0,$A664&gt;AG$7)),0,MAX(0,ROUND((INDEX($E664:$G664,AG$5)-SUMIFS(TF_Timer,TF_Tekniker,AG$4,TF_Dato,$A664))*2,0)/2)))</f>
        <v/>
      </c>
      <c r="AH664">
        <f>IF(OR(AH$4="",$A664&gt;TODAY()),0,IF(OR(INDEX($B664:$D664,AH$5)="F",AND(AH$6&gt;0,$A664&lt;AH$6),AND(AH$7&gt;0,$A664&gt;AH$7)),0,MAX(0,ROUND((INDEX($E664:$G664,AH$5)-SUMIFS(TF_Timer,TF_Tekniker,AH$4,TF_Dato,$A664))*2,0)/2)))</f>
        <v/>
      </c>
      <c r="AI664">
        <f>IF(OR(AI$4="",$A664&gt;TODAY()),0,IF(OR(INDEX($B664:$D664,AI$5)="F",AND(AI$6&gt;0,$A664&lt;AI$6),AND(AI$7&gt;0,$A664&gt;AI$7)),0,MAX(0,ROUND((INDEX($E664:$G664,AI$5)-SUMIFS(TF_Timer,TF_Tekniker,AI$4,TF_Dato,$A664))*2,0)/2)))</f>
        <v/>
      </c>
      <c r="AJ664">
        <f>IF(OR(AJ$4="",$A664&gt;TODAY()),0,IF(OR(INDEX($B664:$D664,AJ$5)="F",AND(AJ$6&gt;0,$A664&lt;AJ$6),AND(AJ$7&gt;0,$A664&gt;AJ$7)),0,MAX(0,ROUND((INDEX($E664:$G664,AJ$5)-SUMIFS(TF_Timer,TF_Tekniker,AJ$4,TF_Dato,$A664))*2,0)/2)))</f>
        <v/>
      </c>
      <c r="AK664">
        <f>IF(OR(AK$4="",$A664&gt;TODAY()),0,IF(OR(INDEX($B664:$D664,AK$5)="F",AND(AK$6&gt;0,$A664&lt;AK$6),AND(AK$7&gt;0,$A664&gt;AK$7)),0,MAX(0,ROUND((INDEX($E664:$G664,AK$5)-SUMIFS(TF_Timer,TF_Tekniker,AK$4,TF_Dato,$A664))*2,0)/2)))</f>
        <v/>
      </c>
      <c r="AL664">
        <f>IF(OR(AL$4="",$A664&gt;TODAY()),0,IF(OR(INDEX($B664:$D664,AL$5)="F",AND(AL$6&gt;0,$A664&lt;AL$6),AND(AL$7&gt;0,$A664&gt;AL$7)),0,MAX(0,ROUND((INDEX($E664:$G664,AL$5)-SUMIFS(TF_Timer,TF_Tekniker,AL$4,TF_Dato,$A664))*2,0)/2)))</f>
        <v/>
      </c>
      <c r="AM664">
        <f>IF(OR(AM$4="",$A664&gt;TODAY()),0,IF(OR(INDEX($B664:$D664,AM$5)="F",AND(AM$6&gt;0,$A664&lt;AM$6),AND(AM$7&gt;0,$A664&gt;AM$7)),0,MAX(0,ROUND((INDEX($E664:$G664,AM$5)-SUMIFS(TF_Timer,TF_Tekniker,AM$4,TF_Dato,$A664))*2,0)/2)))</f>
        <v/>
      </c>
      <c r="AN664">
        <f>IF(OR(AN$4="",$A664&gt;TODAY()),0,IF(OR(INDEX($B664:$D664,AN$5)="F",AND(AN$6&gt;0,$A664&lt;AN$6),AND(AN$7&gt;0,$A664&gt;AN$7)),0,MAX(0,ROUND((INDEX($E664:$G664,AN$5)-SUMIFS(TF_Timer,TF_Tekniker,AN$4,TF_Dato,$A664))*2,0)/2)))</f>
        <v/>
      </c>
      <c r="AO664">
        <f>IF(OR(AO$4="",$A664&gt;TODAY()),0,IF(OR(INDEX($B664:$D664,AO$5)="F",AND(AO$6&gt;0,$A664&lt;AO$6),AND(AO$7&gt;0,$A664&gt;AO$7)),0,MAX(0,ROUND((INDEX($E664:$G664,AO$5)-SUMIFS(TF_Timer,TF_Tekniker,AO$4,TF_Dato,$A664))*2,0)/2)))</f>
        <v/>
      </c>
      <c r="AP664">
        <f>IF(OR(AP$4="",$A664&gt;TODAY()),0,IF(OR(INDEX($B664:$D664,AP$5)="F",AND(AP$6&gt;0,$A664&lt;AP$6),AND(AP$7&gt;0,$A664&gt;AP$7)),0,MAX(0,ROUND((INDEX($E664:$G664,AP$5)-SUMIFS(TF_Timer,TF_Tekniker,AP$4,TF_Dato,$A664))*2,0)/2)))</f>
        <v/>
      </c>
      <c r="AQ664">
        <f>IF(OR(AQ$4="",$A664&gt;TODAY()),0,IF(OR(INDEX($B664:$D664,AQ$5)="F",AND(AQ$6&gt;0,$A664&lt;AQ$6),AND(AQ$7&gt;0,$A664&gt;AQ$7)),0,MAX(0,ROUND((INDEX($E664:$G664,AQ$5)-SUMIFS(TF_Timer,TF_Tekniker,AQ$4,TF_Dato,$A664))*2,0)/2)))</f>
        <v/>
      </c>
      <c r="AR664">
        <f>IF(OR(AR$4="",$A664&gt;TODAY()),0,IF(OR(INDEX($B664:$D664,AR$5)="F",AND(AR$6&gt;0,$A664&lt;AR$6),AND(AR$7&gt;0,$A664&gt;AR$7)),0,MAX(0,ROUND((INDEX($E664:$G664,AR$5)-SUMIFS(TF_Timer,TF_Tekniker,AR$4,TF_Dato,$A664))*2,0)/2)))</f>
        <v/>
      </c>
      <c r="AS664">
        <f>IF(OR(AS$4="",$A664&gt;TODAY()),0,IF(OR(INDEX($B664:$D664,AS$5)="F",AND(AS$6&gt;0,$A664&lt;AS$6),AND(AS$7&gt;0,$A664&gt;AS$7)),0,MAX(0,ROUND((INDEX($E664:$G664,AS$5)-SUMIFS(TF_Timer,TF_Tekniker,AS$4,TF_Dato,$A664))*2,0)/2)))</f>
        <v/>
      </c>
      <c r="AT664">
        <f>IF(OR(AT$4="",$A664&gt;TODAY()),0,IF(OR(INDEX($B664:$D664,AT$5)="F",AND(AT$6&gt;0,$A664&lt;AT$6),AND(AT$7&gt;0,$A664&gt;AT$7)),0,MAX(0,ROUND((INDEX($E664:$G664,AT$5)-SUMIFS(TF_Timer,TF_Tekniker,AT$4,TF_Dato,$A664))*2,0)/2)))</f>
        <v/>
      </c>
      <c r="AU664">
        <f>IF(OR(AU$4="",$A664&gt;TODAY()),0,IF(OR(INDEX($B664:$D664,AU$5)="F",AND(AU$6&gt;0,$A664&lt;AU$6),AND(AU$7&gt;0,$A664&gt;AU$7)),0,MAX(0,ROUND((INDEX($E664:$G664,AU$5)-SUMIFS(TF_Timer,TF_Tekniker,AU$4,TF_Dato,$A664))*2,0)/2)))</f>
        <v/>
      </c>
      <c r="AV664">
        <f>IF(OR(AV$4="",$A664&gt;TODAY()),0,IF(OR(INDEX($B664:$D664,AV$5)="F",AND(AV$6&gt;0,$A664&lt;AV$6),AND(AV$7&gt;0,$A664&gt;AV$7)),0,MAX(0,ROUND((INDEX($E664:$G664,AV$5)-SUMIFS(TF_Timer,TF_Tekniker,AV$4,TF_Dato,$A664))*2,0)/2)))</f>
        <v/>
      </c>
      <c r="AW664">
        <f>IF(OR(AW$4="",$A664&gt;TODAY()),0,IF(OR(INDEX($B664:$D664,AW$5)="F",AND(AW$6&gt;0,$A664&lt;AW$6),AND(AW$7&gt;0,$A664&gt;AW$7)),0,MAX(0,ROUND((INDEX($E664:$G664,AW$5)-SUMIFS(TF_Timer,TF_Tekniker,AW$4,TF_Dato,$A664))*2,0)/2)))</f>
        <v/>
      </c>
      <c r="AX664">
        <f>IF(OR(AX$4="",$A664&gt;TODAY()),0,IF(OR(INDEX($B664:$D664,AX$5)="F",AND(AX$6&gt;0,$A664&lt;AX$6),AND(AX$7&gt;0,$A664&gt;AX$7)),0,MAX(0,ROUND((INDEX($E664:$G664,AX$5)-SUMIFS(TF_Timer,TF_Tekniker,AX$4,TF_Dato,$A664))*2,0)/2)))</f>
        <v/>
      </c>
      <c r="AY664">
        <f>IF(OR(AY$4="",$A664&gt;TODAY()),0,IF(OR(INDEX($B664:$D664,AY$5)="F",AND(AY$6&gt;0,$A664&lt;AY$6),AND(AY$7&gt;0,$A664&gt;AY$7)),0,MAX(0,ROUND((INDEX($E664:$G664,AY$5)-SUMIFS(TF_Timer,TF_Tekniker,AY$4,TF_Dato,$A664))*2,0)/2)))</f>
        <v/>
      </c>
      <c r="AZ664">
        <f>IF(OR(AZ$4="",$A664&gt;TODAY()),0,IF(OR(INDEX($B664:$D664,AZ$5)="F",AND(AZ$6&gt;0,$A664&lt;AZ$6),AND(AZ$7&gt;0,$A664&gt;AZ$7)),0,MAX(0,ROUND((INDEX($E664:$G664,AZ$5)-SUMIFS(TF_Timer,TF_Tekniker,AZ$4,TF_Dato,$A664))*2,0)/2)))</f>
        <v/>
      </c>
      <c r="BA664">
        <f>IF(OR(BA$4="",$A664&gt;TODAY()),0,IF(OR(INDEX($B664:$D664,BA$5)="F",AND(BA$6&gt;0,$A664&lt;BA$6),AND(BA$7&gt;0,$A664&gt;BA$7)),0,MAX(0,ROUND((INDEX($E664:$G664,BA$5)-SUMIFS(TF_Timer,TF_Tekniker,BA$4,TF_Dato,$A664))*2,0)/2)))</f>
        <v/>
      </c>
      <c r="BB664">
        <f>IF(OR(BB$4="",$A664&gt;TODAY()),0,IF(OR(INDEX($B664:$D664,BB$5)="F",AND(BB$6&gt;0,$A664&lt;BB$6),AND(BB$7&gt;0,$A664&gt;BB$7)),0,MAX(0,ROUND((INDEX($E664:$G664,BB$5)-SUMIFS(TF_Timer,TF_Tekniker,BB$4,TF_Dato,$A664))*2,0)/2)))</f>
        <v/>
      </c>
      <c r="BC664">
        <f>IF(OR(BC$4="",$A664&gt;TODAY()),0,IF(OR(INDEX($B664:$D664,BC$5)="F",AND(BC$6&gt;0,$A664&lt;BC$6),AND(BC$7&gt;0,$A664&gt;BC$7)),0,MAX(0,ROUND((INDEX($E664:$G664,BC$5)-SUMIFS(TF_Timer,TF_Tekniker,BC$4,TF_Dato,$A664))*2,0)/2)))</f>
        <v/>
      </c>
      <c r="BD664">
        <f>IF(OR(BD$4="",$A664&gt;TODAY()),0,IF(OR(INDEX($B664:$D664,BD$5)="F",AND(BD$6&gt;0,$A664&lt;BD$6),AND(BD$7&gt;0,$A664&gt;BD$7)),0,MAX(0,ROUND((INDEX($E664:$G664,BD$5)-SUMIFS(TF_Timer,TF_Tekniker,BD$4,TF_Dato,$A664))*2,0)/2)))</f>
        <v/>
      </c>
      <c r="BE664">
        <f>IF(OR(BE$4="",$A664&gt;TODAY()),0,IF(OR(INDEX($B664:$D664,BE$5)="F",AND(BE$6&gt;0,$A664&lt;BE$6),AND(BE$7&gt;0,$A664&gt;BE$7)),0,MAX(0,ROUND((INDEX($E664:$G664,BE$5)-SUMIFS(TF_Timer,TF_Tekniker,BE$4,TF_Dato,$A664))*2,0)/2)))</f>
        <v/>
      </c>
      <c r="BF664">
        <f>IF(OR(BF$4="",$A664&gt;TODAY()),0,IF(OR(INDEX($B664:$D664,BF$5)="F",AND(BF$6&gt;0,$A664&lt;BF$6),AND(BF$7&gt;0,$A664&gt;BF$7)),0,MAX(0,ROUND((INDEX($E664:$G664,BF$5)-SUMIFS(TF_Timer,TF_Tekniker,BF$4,TF_Dato,$A664))*2,0)/2)))</f>
        <v/>
      </c>
      <c r="BG664">
        <f>IF(OR(BG$4="",$A664&gt;TODAY()),0,IF(OR(INDEX($B664:$D664,BG$5)="F",AND(BG$6&gt;0,$A664&lt;BG$6),AND(BG$7&gt;0,$A664&gt;BG$7)),0,MAX(0,ROUND((INDEX($E664:$G664,BG$5)-SUMIFS(TF_Timer,TF_Tekniker,BG$4,TF_Dato,$A664))*2,0)/2)))</f>
        <v/>
      </c>
      <c r="BH664">
        <f>IF(OR(BH$4="",$A664&gt;TODAY()),0,IF(OR(INDEX($B664:$D664,BH$5)="F",AND(BH$6&gt;0,$A664&lt;BH$6),AND(BH$7&gt;0,$A664&gt;BH$7)),0,MAX(0,ROUND((INDEX($E664:$G664,BH$5)-SUMIFS(TF_Timer,TF_Tekniker,BH$4,TF_Dato,$A664))*2,0)/2)))</f>
        <v/>
      </c>
      <c r="BI664">
        <f>IF(OR(BI$4="",$A664&gt;TODAY()),0,IF(OR(INDEX($B664:$D664,BI$5)="F",AND(BI$6&gt;0,$A664&lt;BI$6),AND(BI$7&gt;0,$A664&gt;BI$7)),0,MAX(0,ROUND((INDEX($E664:$G664,BI$5)-SUMIFS(TF_Timer,TF_Tekniker,BI$4,TF_Dato,$A664))*2,0)/2)))</f>
        <v/>
      </c>
    </row>
    <row r="665">
      <c r="A665" s="64">
        <f>A664+1</f>
        <v/>
      </c>
      <c r="B665">
        <f>IF(MOD($A665-INDEX(SkiftStart,1),Syklus)&lt;DagK,"K",IF(MOD($A665-INDEX(SkiftStart,1),Syklus)&lt;DagK+DagH,"H",IF(MOD($A665-INDEX(SkiftStart,1),Syklus)&lt;DagK+DagH+DagD,"D","F")))</f>
        <v/>
      </c>
      <c r="C665">
        <f>IF(MOD($A665-INDEX(SkiftStart,2),Syklus)&lt;DagK,"K",IF(MOD($A665-INDEX(SkiftStart,2),Syklus)&lt;DagK+DagH,"H",IF(MOD($A665-INDEX(SkiftStart,2),Syklus)&lt;DagK+DagH+DagD,"D","F")))</f>
        <v/>
      </c>
      <c r="D665">
        <f>IF(MOD($A665-INDEX(SkiftStart,3),Syklus)&lt;DagK,"K",IF(MOD($A665-INDEX(SkiftStart,3),Syklus)&lt;DagK+DagH,"H",IF(MOD($A665-INDEX(SkiftStart,3),Syklus)&lt;DagK+DagH+DagD,"D","F")))</f>
        <v/>
      </c>
      <c r="E665">
        <f>IF(B665="F",0,IF(WEEKDAY($A665,2)=5,INDEX(TimerFr,MATCH(B665,FaseKode,0)),INDEX(TimerMT,MATCH(B665,FaseKode,0))))</f>
        <v/>
      </c>
      <c r="F665">
        <f>IF(C665="F",0,IF(WEEKDAY($A665,2)=5,INDEX(TimerFr,MATCH(C665,FaseKode,0)),INDEX(TimerMT,MATCH(C665,FaseKode,0))))</f>
        <v/>
      </c>
      <c r="G665">
        <f>IF(D665="F",0,IF(WEEKDAY($A665,2)=5,INDEX(TimerFr,MATCH(D665,FaseKode,0)),INDEX(TimerMT,MATCH(D665,FaseKode,0))))</f>
        <v/>
      </c>
      <c r="H665">
        <f>IF(OR(H$4="",$A665&gt;TODAY()),0,IF(OR(INDEX($B665:$D665,H$5)="F",AND(H$6&gt;0,$A665&lt;H$6),AND(H$7&gt;0,$A665&gt;H$7)),0,MAX(0,ROUND((INDEX($E665:$G665,H$5)-SUMIFS(TF_Timer,TF_Tekniker,H$4,TF_Dato,$A665))*2,0)/2)))</f>
        <v/>
      </c>
      <c r="I665">
        <f>IF(OR(I$4="",$A665&gt;TODAY()),0,IF(OR(INDEX($B665:$D665,I$5)="F",AND(I$6&gt;0,$A665&lt;I$6),AND(I$7&gt;0,$A665&gt;I$7)),0,MAX(0,ROUND((INDEX($E665:$G665,I$5)-SUMIFS(TF_Timer,TF_Tekniker,I$4,TF_Dato,$A665))*2,0)/2)))</f>
        <v/>
      </c>
      <c r="J665">
        <f>IF(OR(J$4="",$A665&gt;TODAY()),0,IF(OR(INDEX($B665:$D665,J$5)="F",AND(J$6&gt;0,$A665&lt;J$6),AND(J$7&gt;0,$A665&gt;J$7)),0,MAX(0,ROUND((INDEX($E665:$G665,J$5)-SUMIFS(TF_Timer,TF_Tekniker,J$4,TF_Dato,$A665))*2,0)/2)))</f>
        <v/>
      </c>
      <c r="K665">
        <f>IF(OR(K$4="",$A665&gt;TODAY()),0,IF(OR(INDEX($B665:$D665,K$5)="F",AND(K$6&gt;0,$A665&lt;K$6),AND(K$7&gt;0,$A665&gt;K$7)),0,MAX(0,ROUND((INDEX($E665:$G665,K$5)-SUMIFS(TF_Timer,TF_Tekniker,K$4,TF_Dato,$A665))*2,0)/2)))</f>
        <v/>
      </c>
      <c r="L665">
        <f>IF(OR(L$4="",$A665&gt;TODAY()),0,IF(OR(INDEX($B665:$D665,L$5)="F",AND(L$6&gt;0,$A665&lt;L$6),AND(L$7&gt;0,$A665&gt;L$7)),0,MAX(0,ROUND((INDEX($E665:$G665,L$5)-SUMIFS(TF_Timer,TF_Tekniker,L$4,TF_Dato,$A665))*2,0)/2)))</f>
        <v/>
      </c>
      <c r="M665">
        <f>IF(OR(M$4="",$A665&gt;TODAY()),0,IF(OR(INDEX($B665:$D665,M$5)="F",AND(M$6&gt;0,$A665&lt;M$6),AND(M$7&gt;0,$A665&gt;M$7)),0,MAX(0,ROUND((INDEX($E665:$G665,M$5)-SUMIFS(TF_Timer,TF_Tekniker,M$4,TF_Dato,$A665))*2,0)/2)))</f>
        <v/>
      </c>
      <c r="N665">
        <f>IF(OR(N$4="",$A665&gt;TODAY()),0,IF(OR(INDEX($B665:$D665,N$5)="F",AND(N$6&gt;0,$A665&lt;N$6),AND(N$7&gt;0,$A665&gt;N$7)),0,MAX(0,ROUND((INDEX($E665:$G665,N$5)-SUMIFS(TF_Timer,TF_Tekniker,N$4,TF_Dato,$A665))*2,0)/2)))</f>
        <v/>
      </c>
      <c r="O665">
        <f>IF(OR(O$4="",$A665&gt;TODAY()),0,IF(OR(INDEX($B665:$D665,O$5)="F",AND(O$6&gt;0,$A665&lt;O$6),AND(O$7&gt;0,$A665&gt;O$7)),0,MAX(0,ROUND((INDEX($E665:$G665,O$5)-SUMIFS(TF_Timer,TF_Tekniker,O$4,TF_Dato,$A665))*2,0)/2)))</f>
        <v/>
      </c>
      <c r="P665">
        <f>IF(OR(P$4="",$A665&gt;TODAY()),0,IF(OR(INDEX($B665:$D665,P$5)="F",AND(P$6&gt;0,$A665&lt;P$6),AND(P$7&gt;0,$A665&gt;P$7)),0,MAX(0,ROUND((INDEX($E665:$G665,P$5)-SUMIFS(TF_Timer,TF_Tekniker,P$4,TF_Dato,$A665))*2,0)/2)))</f>
        <v/>
      </c>
      <c r="Q665">
        <f>IF(OR(Q$4="",$A665&gt;TODAY()),0,IF(OR(INDEX($B665:$D665,Q$5)="F",AND(Q$6&gt;0,$A665&lt;Q$6),AND(Q$7&gt;0,$A665&gt;Q$7)),0,MAX(0,ROUND((INDEX($E665:$G665,Q$5)-SUMIFS(TF_Timer,TF_Tekniker,Q$4,TF_Dato,$A665))*2,0)/2)))</f>
        <v/>
      </c>
      <c r="R665">
        <f>IF(OR(R$4="",$A665&gt;TODAY()),0,IF(OR(INDEX($B665:$D665,R$5)="F",AND(R$6&gt;0,$A665&lt;R$6),AND(R$7&gt;0,$A665&gt;R$7)),0,MAX(0,ROUND((INDEX($E665:$G665,R$5)-SUMIFS(TF_Timer,TF_Tekniker,R$4,TF_Dato,$A665))*2,0)/2)))</f>
        <v/>
      </c>
      <c r="S665">
        <f>IF(OR(S$4="",$A665&gt;TODAY()),0,IF(OR(INDEX($B665:$D665,S$5)="F",AND(S$6&gt;0,$A665&lt;S$6),AND(S$7&gt;0,$A665&gt;S$7)),0,MAX(0,ROUND((INDEX($E665:$G665,S$5)-SUMIFS(TF_Timer,TF_Tekniker,S$4,TF_Dato,$A665))*2,0)/2)))</f>
        <v/>
      </c>
      <c r="T665">
        <f>IF(OR(T$4="",$A665&gt;TODAY()),0,IF(OR(INDEX($B665:$D665,T$5)="F",AND(T$6&gt;0,$A665&lt;T$6),AND(T$7&gt;0,$A665&gt;T$7)),0,MAX(0,ROUND((INDEX($E665:$G665,T$5)-SUMIFS(TF_Timer,TF_Tekniker,T$4,TF_Dato,$A665))*2,0)/2)))</f>
        <v/>
      </c>
      <c r="U665">
        <f>IF(OR(U$4="",$A665&gt;TODAY()),0,IF(OR(INDEX($B665:$D665,U$5)="F",AND(U$6&gt;0,$A665&lt;U$6),AND(U$7&gt;0,$A665&gt;U$7)),0,MAX(0,ROUND((INDEX($E665:$G665,U$5)-SUMIFS(TF_Timer,TF_Tekniker,U$4,TF_Dato,$A665))*2,0)/2)))</f>
        <v/>
      </c>
      <c r="V665">
        <f>IF(OR(V$4="",$A665&gt;TODAY()),0,IF(OR(INDEX($B665:$D665,V$5)="F",AND(V$6&gt;0,$A665&lt;V$6),AND(V$7&gt;0,$A665&gt;V$7)),0,MAX(0,ROUND((INDEX($E665:$G665,V$5)-SUMIFS(TF_Timer,TF_Tekniker,V$4,TF_Dato,$A665))*2,0)/2)))</f>
        <v/>
      </c>
      <c r="W665">
        <f>IF(OR(W$4="",$A665&gt;TODAY()),0,IF(OR(INDEX($B665:$D665,W$5)="F",AND(W$6&gt;0,$A665&lt;W$6),AND(W$7&gt;0,$A665&gt;W$7)),0,MAX(0,ROUND((INDEX($E665:$G665,W$5)-SUMIFS(TF_Timer,TF_Tekniker,W$4,TF_Dato,$A665))*2,0)/2)))</f>
        <v/>
      </c>
      <c r="X665">
        <f>IF(OR(X$4="",$A665&gt;TODAY()),0,IF(OR(INDEX($B665:$D665,X$5)="F",AND(X$6&gt;0,$A665&lt;X$6),AND(X$7&gt;0,$A665&gt;X$7)),0,MAX(0,ROUND((INDEX($E665:$G665,X$5)-SUMIFS(TF_Timer,TF_Tekniker,X$4,TF_Dato,$A665))*2,0)/2)))</f>
        <v/>
      </c>
      <c r="Y665">
        <f>IF(OR(Y$4="",$A665&gt;TODAY()),0,IF(OR(INDEX($B665:$D665,Y$5)="F",AND(Y$6&gt;0,$A665&lt;Y$6),AND(Y$7&gt;0,$A665&gt;Y$7)),0,MAX(0,ROUND((INDEX($E665:$G665,Y$5)-SUMIFS(TF_Timer,TF_Tekniker,Y$4,TF_Dato,$A665))*2,0)/2)))</f>
        <v/>
      </c>
      <c r="Z665">
        <f>IF(OR(Z$4="",$A665&gt;TODAY()),0,IF(OR(INDEX($B665:$D665,Z$5)="F",AND(Z$6&gt;0,$A665&lt;Z$6),AND(Z$7&gt;0,$A665&gt;Z$7)),0,MAX(0,ROUND((INDEX($E665:$G665,Z$5)-SUMIFS(TF_Timer,TF_Tekniker,Z$4,TF_Dato,$A665))*2,0)/2)))</f>
        <v/>
      </c>
      <c r="AA665">
        <f>IF(OR(AA$4="",$A665&gt;TODAY()),0,IF(OR(INDEX($B665:$D665,AA$5)="F",AND(AA$6&gt;0,$A665&lt;AA$6),AND(AA$7&gt;0,$A665&gt;AA$7)),0,MAX(0,ROUND((INDEX($E665:$G665,AA$5)-SUMIFS(TF_Timer,TF_Tekniker,AA$4,TF_Dato,$A665))*2,0)/2)))</f>
        <v/>
      </c>
      <c r="AB665">
        <f>IF(OR(AB$4="",$A665&gt;TODAY()),0,IF(OR(INDEX($B665:$D665,AB$5)="F",AND(AB$6&gt;0,$A665&lt;AB$6),AND(AB$7&gt;0,$A665&gt;AB$7)),0,MAX(0,ROUND((INDEX($E665:$G665,AB$5)-SUMIFS(TF_Timer,TF_Tekniker,AB$4,TF_Dato,$A665))*2,0)/2)))</f>
        <v/>
      </c>
      <c r="AC665">
        <f>IF(OR(AC$4="",$A665&gt;TODAY()),0,IF(OR(INDEX($B665:$D665,AC$5)="F",AND(AC$6&gt;0,$A665&lt;AC$6),AND(AC$7&gt;0,$A665&gt;AC$7)),0,MAX(0,ROUND((INDEX($E665:$G665,AC$5)-SUMIFS(TF_Timer,TF_Tekniker,AC$4,TF_Dato,$A665))*2,0)/2)))</f>
        <v/>
      </c>
      <c r="AD665">
        <f>IF(OR(AD$4="",$A665&gt;TODAY()),0,IF(OR(INDEX($B665:$D665,AD$5)="F",AND(AD$6&gt;0,$A665&lt;AD$6),AND(AD$7&gt;0,$A665&gt;AD$7)),0,MAX(0,ROUND((INDEX($E665:$G665,AD$5)-SUMIFS(TF_Timer,TF_Tekniker,AD$4,TF_Dato,$A665))*2,0)/2)))</f>
        <v/>
      </c>
      <c r="AE665">
        <f>IF(OR(AE$4="",$A665&gt;TODAY()),0,IF(OR(INDEX($B665:$D665,AE$5)="F",AND(AE$6&gt;0,$A665&lt;AE$6),AND(AE$7&gt;0,$A665&gt;AE$7)),0,MAX(0,ROUND((INDEX($E665:$G665,AE$5)-SUMIFS(TF_Timer,TF_Tekniker,AE$4,TF_Dato,$A665))*2,0)/2)))</f>
        <v/>
      </c>
      <c r="AF665">
        <f>IF(OR(AF$4="",$A665&gt;TODAY()),0,IF(OR(INDEX($B665:$D665,AF$5)="F",AND(AF$6&gt;0,$A665&lt;AF$6),AND(AF$7&gt;0,$A665&gt;AF$7)),0,MAX(0,ROUND((INDEX($E665:$G665,AF$5)-SUMIFS(TF_Timer,TF_Tekniker,AF$4,TF_Dato,$A665))*2,0)/2)))</f>
        <v/>
      </c>
      <c r="AG665">
        <f>IF(OR(AG$4="",$A665&gt;TODAY()),0,IF(OR(INDEX($B665:$D665,AG$5)="F",AND(AG$6&gt;0,$A665&lt;AG$6),AND(AG$7&gt;0,$A665&gt;AG$7)),0,MAX(0,ROUND((INDEX($E665:$G665,AG$5)-SUMIFS(TF_Timer,TF_Tekniker,AG$4,TF_Dato,$A665))*2,0)/2)))</f>
        <v/>
      </c>
      <c r="AH665">
        <f>IF(OR(AH$4="",$A665&gt;TODAY()),0,IF(OR(INDEX($B665:$D665,AH$5)="F",AND(AH$6&gt;0,$A665&lt;AH$6),AND(AH$7&gt;0,$A665&gt;AH$7)),0,MAX(0,ROUND((INDEX($E665:$G665,AH$5)-SUMIFS(TF_Timer,TF_Tekniker,AH$4,TF_Dato,$A665))*2,0)/2)))</f>
        <v/>
      </c>
      <c r="AI665">
        <f>IF(OR(AI$4="",$A665&gt;TODAY()),0,IF(OR(INDEX($B665:$D665,AI$5)="F",AND(AI$6&gt;0,$A665&lt;AI$6),AND(AI$7&gt;0,$A665&gt;AI$7)),0,MAX(0,ROUND((INDEX($E665:$G665,AI$5)-SUMIFS(TF_Timer,TF_Tekniker,AI$4,TF_Dato,$A665))*2,0)/2)))</f>
        <v/>
      </c>
      <c r="AJ665">
        <f>IF(OR(AJ$4="",$A665&gt;TODAY()),0,IF(OR(INDEX($B665:$D665,AJ$5)="F",AND(AJ$6&gt;0,$A665&lt;AJ$6),AND(AJ$7&gt;0,$A665&gt;AJ$7)),0,MAX(0,ROUND((INDEX($E665:$G665,AJ$5)-SUMIFS(TF_Timer,TF_Tekniker,AJ$4,TF_Dato,$A665))*2,0)/2)))</f>
        <v/>
      </c>
      <c r="AK665">
        <f>IF(OR(AK$4="",$A665&gt;TODAY()),0,IF(OR(INDEX($B665:$D665,AK$5)="F",AND(AK$6&gt;0,$A665&lt;AK$6),AND(AK$7&gt;0,$A665&gt;AK$7)),0,MAX(0,ROUND((INDEX($E665:$G665,AK$5)-SUMIFS(TF_Timer,TF_Tekniker,AK$4,TF_Dato,$A665))*2,0)/2)))</f>
        <v/>
      </c>
      <c r="AL665">
        <f>IF(OR(AL$4="",$A665&gt;TODAY()),0,IF(OR(INDEX($B665:$D665,AL$5)="F",AND(AL$6&gt;0,$A665&lt;AL$6),AND(AL$7&gt;0,$A665&gt;AL$7)),0,MAX(0,ROUND((INDEX($E665:$G665,AL$5)-SUMIFS(TF_Timer,TF_Tekniker,AL$4,TF_Dato,$A665))*2,0)/2)))</f>
        <v/>
      </c>
      <c r="AM665">
        <f>IF(OR(AM$4="",$A665&gt;TODAY()),0,IF(OR(INDEX($B665:$D665,AM$5)="F",AND(AM$6&gt;0,$A665&lt;AM$6),AND(AM$7&gt;0,$A665&gt;AM$7)),0,MAX(0,ROUND((INDEX($E665:$G665,AM$5)-SUMIFS(TF_Timer,TF_Tekniker,AM$4,TF_Dato,$A665))*2,0)/2)))</f>
        <v/>
      </c>
      <c r="AN665">
        <f>IF(OR(AN$4="",$A665&gt;TODAY()),0,IF(OR(INDEX($B665:$D665,AN$5)="F",AND(AN$6&gt;0,$A665&lt;AN$6),AND(AN$7&gt;0,$A665&gt;AN$7)),0,MAX(0,ROUND((INDEX($E665:$G665,AN$5)-SUMIFS(TF_Timer,TF_Tekniker,AN$4,TF_Dato,$A665))*2,0)/2)))</f>
        <v/>
      </c>
      <c r="AO665">
        <f>IF(OR(AO$4="",$A665&gt;TODAY()),0,IF(OR(INDEX($B665:$D665,AO$5)="F",AND(AO$6&gt;0,$A665&lt;AO$6),AND(AO$7&gt;0,$A665&gt;AO$7)),0,MAX(0,ROUND((INDEX($E665:$G665,AO$5)-SUMIFS(TF_Timer,TF_Tekniker,AO$4,TF_Dato,$A665))*2,0)/2)))</f>
        <v/>
      </c>
      <c r="AP665">
        <f>IF(OR(AP$4="",$A665&gt;TODAY()),0,IF(OR(INDEX($B665:$D665,AP$5)="F",AND(AP$6&gt;0,$A665&lt;AP$6),AND(AP$7&gt;0,$A665&gt;AP$7)),0,MAX(0,ROUND((INDEX($E665:$G665,AP$5)-SUMIFS(TF_Timer,TF_Tekniker,AP$4,TF_Dato,$A665))*2,0)/2)))</f>
        <v/>
      </c>
      <c r="AQ665">
        <f>IF(OR(AQ$4="",$A665&gt;TODAY()),0,IF(OR(INDEX($B665:$D665,AQ$5)="F",AND(AQ$6&gt;0,$A665&lt;AQ$6),AND(AQ$7&gt;0,$A665&gt;AQ$7)),0,MAX(0,ROUND((INDEX($E665:$G665,AQ$5)-SUMIFS(TF_Timer,TF_Tekniker,AQ$4,TF_Dato,$A665))*2,0)/2)))</f>
        <v/>
      </c>
      <c r="AR665">
        <f>IF(OR(AR$4="",$A665&gt;TODAY()),0,IF(OR(INDEX($B665:$D665,AR$5)="F",AND(AR$6&gt;0,$A665&lt;AR$6),AND(AR$7&gt;0,$A665&gt;AR$7)),0,MAX(0,ROUND((INDEX($E665:$G665,AR$5)-SUMIFS(TF_Timer,TF_Tekniker,AR$4,TF_Dato,$A665))*2,0)/2)))</f>
        <v/>
      </c>
      <c r="AS665">
        <f>IF(OR(AS$4="",$A665&gt;TODAY()),0,IF(OR(INDEX($B665:$D665,AS$5)="F",AND(AS$6&gt;0,$A665&lt;AS$6),AND(AS$7&gt;0,$A665&gt;AS$7)),0,MAX(0,ROUND((INDEX($E665:$G665,AS$5)-SUMIFS(TF_Timer,TF_Tekniker,AS$4,TF_Dato,$A665))*2,0)/2)))</f>
        <v/>
      </c>
      <c r="AT665">
        <f>IF(OR(AT$4="",$A665&gt;TODAY()),0,IF(OR(INDEX($B665:$D665,AT$5)="F",AND(AT$6&gt;0,$A665&lt;AT$6),AND(AT$7&gt;0,$A665&gt;AT$7)),0,MAX(0,ROUND((INDEX($E665:$G665,AT$5)-SUMIFS(TF_Timer,TF_Tekniker,AT$4,TF_Dato,$A665))*2,0)/2)))</f>
        <v/>
      </c>
      <c r="AU665">
        <f>IF(OR(AU$4="",$A665&gt;TODAY()),0,IF(OR(INDEX($B665:$D665,AU$5)="F",AND(AU$6&gt;0,$A665&lt;AU$6),AND(AU$7&gt;0,$A665&gt;AU$7)),0,MAX(0,ROUND((INDEX($E665:$G665,AU$5)-SUMIFS(TF_Timer,TF_Tekniker,AU$4,TF_Dato,$A665))*2,0)/2)))</f>
        <v/>
      </c>
      <c r="AV665">
        <f>IF(OR(AV$4="",$A665&gt;TODAY()),0,IF(OR(INDEX($B665:$D665,AV$5)="F",AND(AV$6&gt;0,$A665&lt;AV$6),AND(AV$7&gt;0,$A665&gt;AV$7)),0,MAX(0,ROUND((INDEX($E665:$G665,AV$5)-SUMIFS(TF_Timer,TF_Tekniker,AV$4,TF_Dato,$A665))*2,0)/2)))</f>
        <v/>
      </c>
      <c r="AW665">
        <f>IF(OR(AW$4="",$A665&gt;TODAY()),0,IF(OR(INDEX($B665:$D665,AW$5)="F",AND(AW$6&gt;0,$A665&lt;AW$6),AND(AW$7&gt;0,$A665&gt;AW$7)),0,MAX(0,ROUND((INDEX($E665:$G665,AW$5)-SUMIFS(TF_Timer,TF_Tekniker,AW$4,TF_Dato,$A665))*2,0)/2)))</f>
        <v/>
      </c>
      <c r="AX665">
        <f>IF(OR(AX$4="",$A665&gt;TODAY()),0,IF(OR(INDEX($B665:$D665,AX$5)="F",AND(AX$6&gt;0,$A665&lt;AX$6),AND(AX$7&gt;0,$A665&gt;AX$7)),0,MAX(0,ROUND((INDEX($E665:$G665,AX$5)-SUMIFS(TF_Timer,TF_Tekniker,AX$4,TF_Dato,$A665))*2,0)/2)))</f>
        <v/>
      </c>
      <c r="AY665">
        <f>IF(OR(AY$4="",$A665&gt;TODAY()),0,IF(OR(INDEX($B665:$D665,AY$5)="F",AND(AY$6&gt;0,$A665&lt;AY$6),AND(AY$7&gt;0,$A665&gt;AY$7)),0,MAX(0,ROUND((INDEX($E665:$G665,AY$5)-SUMIFS(TF_Timer,TF_Tekniker,AY$4,TF_Dato,$A665))*2,0)/2)))</f>
        <v/>
      </c>
      <c r="AZ665">
        <f>IF(OR(AZ$4="",$A665&gt;TODAY()),0,IF(OR(INDEX($B665:$D665,AZ$5)="F",AND(AZ$6&gt;0,$A665&lt;AZ$6),AND(AZ$7&gt;0,$A665&gt;AZ$7)),0,MAX(0,ROUND((INDEX($E665:$G665,AZ$5)-SUMIFS(TF_Timer,TF_Tekniker,AZ$4,TF_Dato,$A665))*2,0)/2)))</f>
        <v/>
      </c>
      <c r="BA665">
        <f>IF(OR(BA$4="",$A665&gt;TODAY()),0,IF(OR(INDEX($B665:$D665,BA$5)="F",AND(BA$6&gt;0,$A665&lt;BA$6),AND(BA$7&gt;0,$A665&gt;BA$7)),0,MAX(0,ROUND((INDEX($E665:$G665,BA$5)-SUMIFS(TF_Timer,TF_Tekniker,BA$4,TF_Dato,$A665))*2,0)/2)))</f>
        <v/>
      </c>
      <c r="BB665">
        <f>IF(OR(BB$4="",$A665&gt;TODAY()),0,IF(OR(INDEX($B665:$D665,BB$5)="F",AND(BB$6&gt;0,$A665&lt;BB$6),AND(BB$7&gt;0,$A665&gt;BB$7)),0,MAX(0,ROUND((INDEX($E665:$G665,BB$5)-SUMIFS(TF_Timer,TF_Tekniker,BB$4,TF_Dato,$A665))*2,0)/2)))</f>
        <v/>
      </c>
      <c r="BC665">
        <f>IF(OR(BC$4="",$A665&gt;TODAY()),0,IF(OR(INDEX($B665:$D665,BC$5)="F",AND(BC$6&gt;0,$A665&lt;BC$6),AND(BC$7&gt;0,$A665&gt;BC$7)),0,MAX(0,ROUND((INDEX($E665:$G665,BC$5)-SUMIFS(TF_Timer,TF_Tekniker,BC$4,TF_Dato,$A665))*2,0)/2)))</f>
        <v/>
      </c>
      <c r="BD665">
        <f>IF(OR(BD$4="",$A665&gt;TODAY()),0,IF(OR(INDEX($B665:$D665,BD$5)="F",AND(BD$6&gt;0,$A665&lt;BD$6),AND(BD$7&gt;0,$A665&gt;BD$7)),0,MAX(0,ROUND((INDEX($E665:$G665,BD$5)-SUMIFS(TF_Timer,TF_Tekniker,BD$4,TF_Dato,$A665))*2,0)/2)))</f>
        <v/>
      </c>
      <c r="BE665">
        <f>IF(OR(BE$4="",$A665&gt;TODAY()),0,IF(OR(INDEX($B665:$D665,BE$5)="F",AND(BE$6&gt;0,$A665&lt;BE$6),AND(BE$7&gt;0,$A665&gt;BE$7)),0,MAX(0,ROUND((INDEX($E665:$G665,BE$5)-SUMIFS(TF_Timer,TF_Tekniker,BE$4,TF_Dato,$A665))*2,0)/2)))</f>
        <v/>
      </c>
      <c r="BF665">
        <f>IF(OR(BF$4="",$A665&gt;TODAY()),0,IF(OR(INDEX($B665:$D665,BF$5)="F",AND(BF$6&gt;0,$A665&lt;BF$6),AND(BF$7&gt;0,$A665&gt;BF$7)),0,MAX(0,ROUND((INDEX($E665:$G665,BF$5)-SUMIFS(TF_Timer,TF_Tekniker,BF$4,TF_Dato,$A665))*2,0)/2)))</f>
        <v/>
      </c>
      <c r="BG665">
        <f>IF(OR(BG$4="",$A665&gt;TODAY()),0,IF(OR(INDEX($B665:$D665,BG$5)="F",AND(BG$6&gt;0,$A665&lt;BG$6),AND(BG$7&gt;0,$A665&gt;BG$7)),0,MAX(0,ROUND((INDEX($E665:$G665,BG$5)-SUMIFS(TF_Timer,TF_Tekniker,BG$4,TF_Dato,$A665))*2,0)/2)))</f>
        <v/>
      </c>
      <c r="BH665">
        <f>IF(OR(BH$4="",$A665&gt;TODAY()),0,IF(OR(INDEX($B665:$D665,BH$5)="F",AND(BH$6&gt;0,$A665&lt;BH$6),AND(BH$7&gt;0,$A665&gt;BH$7)),0,MAX(0,ROUND((INDEX($E665:$G665,BH$5)-SUMIFS(TF_Timer,TF_Tekniker,BH$4,TF_Dato,$A665))*2,0)/2)))</f>
        <v/>
      </c>
      <c r="BI665">
        <f>IF(OR(BI$4="",$A665&gt;TODAY()),0,IF(OR(INDEX($B665:$D665,BI$5)="F",AND(BI$6&gt;0,$A665&lt;BI$6),AND(BI$7&gt;0,$A665&gt;BI$7)),0,MAX(0,ROUND((INDEX($E665:$G665,BI$5)-SUMIFS(TF_Timer,TF_Tekniker,BI$4,TF_Dato,$A665))*2,0)/2)))</f>
        <v/>
      </c>
    </row>
    <row r="666">
      <c r="A666" s="64">
        <f>A665+1</f>
        <v/>
      </c>
      <c r="B666">
        <f>IF(MOD($A666-INDEX(SkiftStart,1),Syklus)&lt;DagK,"K",IF(MOD($A666-INDEX(SkiftStart,1),Syklus)&lt;DagK+DagH,"H",IF(MOD($A666-INDEX(SkiftStart,1),Syklus)&lt;DagK+DagH+DagD,"D","F")))</f>
        <v/>
      </c>
      <c r="C666">
        <f>IF(MOD($A666-INDEX(SkiftStart,2),Syklus)&lt;DagK,"K",IF(MOD($A666-INDEX(SkiftStart,2),Syklus)&lt;DagK+DagH,"H",IF(MOD($A666-INDEX(SkiftStart,2),Syklus)&lt;DagK+DagH+DagD,"D","F")))</f>
        <v/>
      </c>
      <c r="D666">
        <f>IF(MOD($A666-INDEX(SkiftStart,3),Syklus)&lt;DagK,"K",IF(MOD($A666-INDEX(SkiftStart,3),Syklus)&lt;DagK+DagH,"H",IF(MOD($A666-INDEX(SkiftStart,3),Syklus)&lt;DagK+DagH+DagD,"D","F")))</f>
        <v/>
      </c>
      <c r="E666">
        <f>IF(B666="F",0,IF(WEEKDAY($A666,2)=5,INDEX(TimerFr,MATCH(B666,FaseKode,0)),INDEX(TimerMT,MATCH(B666,FaseKode,0))))</f>
        <v/>
      </c>
      <c r="F666">
        <f>IF(C666="F",0,IF(WEEKDAY($A666,2)=5,INDEX(TimerFr,MATCH(C666,FaseKode,0)),INDEX(TimerMT,MATCH(C666,FaseKode,0))))</f>
        <v/>
      </c>
      <c r="G666">
        <f>IF(D666="F",0,IF(WEEKDAY($A666,2)=5,INDEX(TimerFr,MATCH(D666,FaseKode,0)),INDEX(TimerMT,MATCH(D666,FaseKode,0))))</f>
        <v/>
      </c>
      <c r="H666">
        <f>IF(OR(H$4="",$A666&gt;TODAY()),0,IF(OR(INDEX($B666:$D666,H$5)="F",AND(H$6&gt;0,$A666&lt;H$6),AND(H$7&gt;0,$A666&gt;H$7)),0,MAX(0,ROUND((INDEX($E666:$G666,H$5)-SUMIFS(TF_Timer,TF_Tekniker,H$4,TF_Dato,$A666))*2,0)/2)))</f>
        <v/>
      </c>
      <c r="I666">
        <f>IF(OR(I$4="",$A666&gt;TODAY()),0,IF(OR(INDEX($B666:$D666,I$5)="F",AND(I$6&gt;0,$A666&lt;I$6),AND(I$7&gt;0,$A666&gt;I$7)),0,MAX(0,ROUND((INDEX($E666:$G666,I$5)-SUMIFS(TF_Timer,TF_Tekniker,I$4,TF_Dato,$A666))*2,0)/2)))</f>
        <v/>
      </c>
      <c r="J666">
        <f>IF(OR(J$4="",$A666&gt;TODAY()),0,IF(OR(INDEX($B666:$D666,J$5)="F",AND(J$6&gt;0,$A666&lt;J$6),AND(J$7&gt;0,$A666&gt;J$7)),0,MAX(0,ROUND((INDEX($E666:$G666,J$5)-SUMIFS(TF_Timer,TF_Tekniker,J$4,TF_Dato,$A666))*2,0)/2)))</f>
        <v/>
      </c>
      <c r="K666">
        <f>IF(OR(K$4="",$A666&gt;TODAY()),0,IF(OR(INDEX($B666:$D666,K$5)="F",AND(K$6&gt;0,$A666&lt;K$6),AND(K$7&gt;0,$A666&gt;K$7)),0,MAX(0,ROUND((INDEX($E666:$G666,K$5)-SUMIFS(TF_Timer,TF_Tekniker,K$4,TF_Dato,$A666))*2,0)/2)))</f>
        <v/>
      </c>
      <c r="L666">
        <f>IF(OR(L$4="",$A666&gt;TODAY()),0,IF(OR(INDEX($B666:$D666,L$5)="F",AND(L$6&gt;0,$A666&lt;L$6),AND(L$7&gt;0,$A666&gt;L$7)),0,MAX(0,ROUND((INDEX($E666:$G666,L$5)-SUMIFS(TF_Timer,TF_Tekniker,L$4,TF_Dato,$A666))*2,0)/2)))</f>
        <v/>
      </c>
      <c r="M666">
        <f>IF(OR(M$4="",$A666&gt;TODAY()),0,IF(OR(INDEX($B666:$D666,M$5)="F",AND(M$6&gt;0,$A666&lt;M$6),AND(M$7&gt;0,$A666&gt;M$7)),0,MAX(0,ROUND((INDEX($E666:$G666,M$5)-SUMIFS(TF_Timer,TF_Tekniker,M$4,TF_Dato,$A666))*2,0)/2)))</f>
        <v/>
      </c>
      <c r="N666">
        <f>IF(OR(N$4="",$A666&gt;TODAY()),0,IF(OR(INDEX($B666:$D666,N$5)="F",AND(N$6&gt;0,$A666&lt;N$6),AND(N$7&gt;0,$A666&gt;N$7)),0,MAX(0,ROUND((INDEX($E666:$G666,N$5)-SUMIFS(TF_Timer,TF_Tekniker,N$4,TF_Dato,$A666))*2,0)/2)))</f>
        <v/>
      </c>
      <c r="O666">
        <f>IF(OR(O$4="",$A666&gt;TODAY()),0,IF(OR(INDEX($B666:$D666,O$5)="F",AND(O$6&gt;0,$A666&lt;O$6),AND(O$7&gt;0,$A666&gt;O$7)),0,MAX(0,ROUND((INDEX($E666:$G666,O$5)-SUMIFS(TF_Timer,TF_Tekniker,O$4,TF_Dato,$A666))*2,0)/2)))</f>
        <v/>
      </c>
      <c r="P666">
        <f>IF(OR(P$4="",$A666&gt;TODAY()),0,IF(OR(INDEX($B666:$D666,P$5)="F",AND(P$6&gt;0,$A666&lt;P$6),AND(P$7&gt;0,$A666&gt;P$7)),0,MAX(0,ROUND((INDEX($E666:$G666,P$5)-SUMIFS(TF_Timer,TF_Tekniker,P$4,TF_Dato,$A666))*2,0)/2)))</f>
        <v/>
      </c>
      <c r="Q666">
        <f>IF(OR(Q$4="",$A666&gt;TODAY()),0,IF(OR(INDEX($B666:$D666,Q$5)="F",AND(Q$6&gt;0,$A666&lt;Q$6),AND(Q$7&gt;0,$A666&gt;Q$7)),0,MAX(0,ROUND((INDEX($E666:$G666,Q$5)-SUMIFS(TF_Timer,TF_Tekniker,Q$4,TF_Dato,$A666))*2,0)/2)))</f>
        <v/>
      </c>
      <c r="R666">
        <f>IF(OR(R$4="",$A666&gt;TODAY()),0,IF(OR(INDEX($B666:$D666,R$5)="F",AND(R$6&gt;0,$A666&lt;R$6),AND(R$7&gt;0,$A666&gt;R$7)),0,MAX(0,ROUND((INDEX($E666:$G666,R$5)-SUMIFS(TF_Timer,TF_Tekniker,R$4,TF_Dato,$A666))*2,0)/2)))</f>
        <v/>
      </c>
      <c r="S666">
        <f>IF(OR(S$4="",$A666&gt;TODAY()),0,IF(OR(INDEX($B666:$D666,S$5)="F",AND(S$6&gt;0,$A666&lt;S$6),AND(S$7&gt;0,$A666&gt;S$7)),0,MAX(0,ROUND((INDEX($E666:$G666,S$5)-SUMIFS(TF_Timer,TF_Tekniker,S$4,TF_Dato,$A666))*2,0)/2)))</f>
        <v/>
      </c>
      <c r="T666">
        <f>IF(OR(T$4="",$A666&gt;TODAY()),0,IF(OR(INDEX($B666:$D666,T$5)="F",AND(T$6&gt;0,$A666&lt;T$6),AND(T$7&gt;0,$A666&gt;T$7)),0,MAX(0,ROUND((INDEX($E666:$G666,T$5)-SUMIFS(TF_Timer,TF_Tekniker,T$4,TF_Dato,$A666))*2,0)/2)))</f>
        <v/>
      </c>
      <c r="U666">
        <f>IF(OR(U$4="",$A666&gt;TODAY()),0,IF(OR(INDEX($B666:$D666,U$5)="F",AND(U$6&gt;0,$A666&lt;U$6),AND(U$7&gt;0,$A666&gt;U$7)),0,MAX(0,ROUND((INDEX($E666:$G666,U$5)-SUMIFS(TF_Timer,TF_Tekniker,U$4,TF_Dato,$A666))*2,0)/2)))</f>
        <v/>
      </c>
      <c r="V666">
        <f>IF(OR(V$4="",$A666&gt;TODAY()),0,IF(OR(INDEX($B666:$D666,V$5)="F",AND(V$6&gt;0,$A666&lt;V$6),AND(V$7&gt;0,$A666&gt;V$7)),0,MAX(0,ROUND((INDEX($E666:$G666,V$5)-SUMIFS(TF_Timer,TF_Tekniker,V$4,TF_Dato,$A666))*2,0)/2)))</f>
        <v/>
      </c>
      <c r="W666">
        <f>IF(OR(W$4="",$A666&gt;TODAY()),0,IF(OR(INDEX($B666:$D666,W$5)="F",AND(W$6&gt;0,$A666&lt;W$6),AND(W$7&gt;0,$A666&gt;W$7)),0,MAX(0,ROUND((INDEX($E666:$G666,W$5)-SUMIFS(TF_Timer,TF_Tekniker,W$4,TF_Dato,$A666))*2,0)/2)))</f>
        <v/>
      </c>
      <c r="X666">
        <f>IF(OR(X$4="",$A666&gt;TODAY()),0,IF(OR(INDEX($B666:$D666,X$5)="F",AND(X$6&gt;0,$A666&lt;X$6),AND(X$7&gt;0,$A666&gt;X$7)),0,MAX(0,ROUND((INDEX($E666:$G666,X$5)-SUMIFS(TF_Timer,TF_Tekniker,X$4,TF_Dato,$A666))*2,0)/2)))</f>
        <v/>
      </c>
      <c r="Y666">
        <f>IF(OR(Y$4="",$A666&gt;TODAY()),0,IF(OR(INDEX($B666:$D666,Y$5)="F",AND(Y$6&gt;0,$A666&lt;Y$6),AND(Y$7&gt;0,$A666&gt;Y$7)),0,MAX(0,ROUND((INDEX($E666:$G666,Y$5)-SUMIFS(TF_Timer,TF_Tekniker,Y$4,TF_Dato,$A666))*2,0)/2)))</f>
        <v/>
      </c>
      <c r="Z666">
        <f>IF(OR(Z$4="",$A666&gt;TODAY()),0,IF(OR(INDEX($B666:$D666,Z$5)="F",AND(Z$6&gt;0,$A666&lt;Z$6),AND(Z$7&gt;0,$A666&gt;Z$7)),0,MAX(0,ROUND((INDEX($E666:$G666,Z$5)-SUMIFS(TF_Timer,TF_Tekniker,Z$4,TF_Dato,$A666))*2,0)/2)))</f>
        <v/>
      </c>
      <c r="AA666">
        <f>IF(OR(AA$4="",$A666&gt;TODAY()),0,IF(OR(INDEX($B666:$D666,AA$5)="F",AND(AA$6&gt;0,$A666&lt;AA$6),AND(AA$7&gt;0,$A666&gt;AA$7)),0,MAX(0,ROUND((INDEX($E666:$G666,AA$5)-SUMIFS(TF_Timer,TF_Tekniker,AA$4,TF_Dato,$A666))*2,0)/2)))</f>
        <v/>
      </c>
      <c r="AB666">
        <f>IF(OR(AB$4="",$A666&gt;TODAY()),0,IF(OR(INDEX($B666:$D666,AB$5)="F",AND(AB$6&gt;0,$A666&lt;AB$6),AND(AB$7&gt;0,$A666&gt;AB$7)),0,MAX(0,ROUND((INDEX($E666:$G666,AB$5)-SUMIFS(TF_Timer,TF_Tekniker,AB$4,TF_Dato,$A666))*2,0)/2)))</f>
        <v/>
      </c>
      <c r="AC666">
        <f>IF(OR(AC$4="",$A666&gt;TODAY()),0,IF(OR(INDEX($B666:$D666,AC$5)="F",AND(AC$6&gt;0,$A666&lt;AC$6),AND(AC$7&gt;0,$A666&gt;AC$7)),0,MAX(0,ROUND((INDEX($E666:$G666,AC$5)-SUMIFS(TF_Timer,TF_Tekniker,AC$4,TF_Dato,$A666))*2,0)/2)))</f>
        <v/>
      </c>
      <c r="AD666">
        <f>IF(OR(AD$4="",$A666&gt;TODAY()),0,IF(OR(INDEX($B666:$D666,AD$5)="F",AND(AD$6&gt;0,$A666&lt;AD$6),AND(AD$7&gt;0,$A666&gt;AD$7)),0,MAX(0,ROUND((INDEX($E666:$G666,AD$5)-SUMIFS(TF_Timer,TF_Tekniker,AD$4,TF_Dato,$A666))*2,0)/2)))</f>
        <v/>
      </c>
      <c r="AE666">
        <f>IF(OR(AE$4="",$A666&gt;TODAY()),0,IF(OR(INDEX($B666:$D666,AE$5)="F",AND(AE$6&gt;0,$A666&lt;AE$6),AND(AE$7&gt;0,$A666&gt;AE$7)),0,MAX(0,ROUND((INDEX($E666:$G666,AE$5)-SUMIFS(TF_Timer,TF_Tekniker,AE$4,TF_Dato,$A666))*2,0)/2)))</f>
        <v/>
      </c>
      <c r="AF666">
        <f>IF(OR(AF$4="",$A666&gt;TODAY()),0,IF(OR(INDEX($B666:$D666,AF$5)="F",AND(AF$6&gt;0,$A666&lt;AF$6),AND(AF$7&gt;0,$A666&gt;AF$7)),0,MAX(0,ROUND((INDEX($E666:$G666,AF$5)-SUMIFS(TF_Timer,TF_Tekniker,AF$4,TF_Dato,$A666))*2,0)/2)))</f>
        <v/>
      </c>
      <c r="AG666">
        <f>IF(OR(AG$4="",$A666&gt;TODAY()),0,IF(OR(INDEX($B666:$D666,AG$5)="F",AND(AG$6&gt;0,$A666&lt;AG$6),AND(AG$7&gt;0,$A666&gt;AG$7)),0,MAX(0,ROUND((INDEX($E666:$G666,AG$5)-SUMIFS(TF_Timer,TF_Tekniker,AG$4,TF_Dato,$A666))*2,0)/2)))</f>
        <v/>
      </c>
      <c r="AH666">
        <f>IF(OR(AH$4="",$A666&gt;TODAY()),0,IF(OR(INDEX($B666:$D666,AH$5)="F",AND(AH$6&gt;0,$A666&lt;AH$6),AND(AH$7&gt;0,$A666&gt;AH$7)),0,MAX(0,ROUND((INDEX($E666:$G666,AH$5)-SUMIFS(TF_Timer,TF_Tekniker,AH$4,TF_Dato,$A666))*2,0)/2)))</f>
        <v/>
      </c>
      <c r="AI666">
        <f>IF(OR(AI$4="",$A666&gt;TODAY()),0,IF(OR(INDEX($B666:$D666,AI$5)="F",AND(AI$6&gt;0,$A666&lt;AI$6),AND(AI$7&gt;0,$A666&gt;AI$7)),0,MAX(0,ROUND((INDEX($E666:$G666,AI$5)-SUMIFS(TF_Timer,TF_Tekniker,AI$4,TF_Dato,$A666))*2,0)/2)))</f>
        <v/>
      </c>
      <c r="AJ666">
        <f>IF(OR(AJ$4="",$A666&gt;TODAY()),0,IF(OR(INDEX($B666:$D666,AJ$5)="F",AND(AJ$6&gt;0,$A666&lt;AJ$6),AND(AJ$7&gt;0,$A666&gt;AJ$7)),0,MAX(0,ROUND((INDEX($E666:$G666,AJ$5)-SUMIFS(TF_Timer,TF_Tekniker,AJ$4,TF_Dato,$A666))*2,0)/2)))</f>
        <v/>
      </c>
      <c r="AK666">
        <f>IF(OR(AK$4="",$A666&gt;TODAY()),0,IF(OR(INDEX($B666:$D666,AK$5)="F",AND(AK$6&gt;0,$A666&lt;AK$6),AND(AK$7&gt;0,$A666&gt;AK$7)),0,MAX(0,ROUND((INDEX($E666:$G666,AK$5)-SUMIFS(TF_Timer,TF_Tekniker,AK$4,TF_Dato,$A666))*2,0)/2)))</f>
        <v/>
      </c>
      <c r="AL666">
        <f>IF(OR(AL$4="",$A666&gt;TODAY()),0,IF(OR(INDEX($B666:$D666,AL$5)="F",AND(AL$6&gt;0,$A666&lt;AL$6),AND(AL$7&gt;0,$A666&gt;AL$7)),0,MAX(0,ROUND((INDEX($E666:$G666,AL$5)-SUMIFS(TF_Timer,TF_Tekniker,AL$4,TF_Dato,$A666))*2,0)/2)))</f>
        <v/>
      </c>
      <c r="AM666">
        <f>IF(OR(AM$4="",$A666&gt;TODAY()),0,IF(OR(INDEX($B666:$D666,AM$5)="F",AND(AM$6&gt;0,$A666&lt;AM$6),AND(AM$7&gt;0,$A666&gt;AM$7)),0,MAX(0,ROUND((INDEX($E666:$G666,AM$5)-SUMIFS(TF_Timer,TF_Tekniker,AM$4,TF_Dato,$A666))*2,0)/2)))</f>
        <v/>
      </c>
      <c r="AN666">
        <f>IF(OR(AN$4="",$A666&gt;TODAY()),0,IF(OR(INDEX($B666:$D666,AN$5)="F",AND(AN$6&gt;0,$A666&lt;AN$6),AND(AN$7&gt;0,$A666&gt;AN$7)),0,MAX(0,ROUND((INDEX($E666:$G666,AN$5)-SUMIFS(TF_Timer,TF_Tekniker,AN$4,TF_Dato,$A666))*2,0)/2)))</f>
        <v/>
      </c>
      <c r="AO666">
        <f>IF(OR(AO$4="",$A666&gt;TODAY()),0,IF(OR(INDEX($B666:$D666,AO$5)="F",AND(AO$6&gt;0,$A666&lt;AO$6),AND(AO$7&gt;0,$A666&gt;AO$7)),0,MAX(0,ROUND((INDEX($E666:$G666,AO$5)-SUMIFS(TF_Timer,TF_Tekniker,AO$4,TF_Dato,$A666))*2,0)/2)))</f>
        <v/>
      </c>
      <c r="AP666">
        <f>IF(OR(AP$4="",$A666&gt;TODAY()),0,IF(OR(INDEX($B666:$D666,AP$5)="F",AND(AP$6&gt;0,$A666&lt;AP$6),AND(AP$7&gt;0,$A666&gt;AP$7)),0,MAX(0,ROUND((INDEX($E666:$G666,AP$5)-SUMIFS(TF_Timer,TF_Tekniker,AP$4,TF_Dato,$A666))*2,0)/2)))</f>
        <v/>
      </c>
      <c r="AQ666">
        <f>IF(OR(AQ$4="",$A666&gt;TODAY()),0,IF(OR(INDEX($B666:$D666,AQ$5)="F",AND(AQ$6&gt;0,$A666&lt;AQ$6),AND(AQ$7&gt;0,$A666&gt;AQ$7)),0,MAX(0,ROUND((INDEX($E666:$G666,AQ$5)-SUMIFS(TF_Timer,TF_Tekniker,AQ$4,TF_Dato,$A666))*2,0)/2)))</f>
        <v/>
      </c>
      <c r="AR666">
        <f>IF(OR(AR$4="",$A666&gt;TODAY()),0,IF(OR(INDEX($B666:$D666,AR$5)="F",AND(AR$6&gt;0,$A666&lt;AR$6),AND(AR$7&gt;0,$A666&gt;AR$7)),0,MAX(0,ROUND((INDEX($E666:$G666,AR$5)-SUMIFS(TF_Timer,TF_Tekniker,AR$4,TF_Dato,$A666))*2,0)/2)))</f>
        <v/>
      </c>
      <c r="AS666">
        <f>IF(OR(AS$4="",$A666&gt;TODAY()),0,IF(OR(INDEX($B666:$D666,AS$5)="F",AND(AS$6&gt;0,$A666&lt;AS$6),AND(AS$7&gt;0,$A666&gt;AS$7)),0,MAX(0,ROUND((INDEX($E666:$G666,AS$5)-SUMIFS(TF_Timer,TF_Tekniker,AS$4,TF_Dato,$A666))*2,0)/2)))</f>
        <v/>
      </c>
      <c r="AT666">
        <f>IF(OR(AT$4="",$A666&gt;TODAY()),0,IF(OR(INDEX($B666:$D666,AT$5)="F",AND(AT$6&gt;0,$A666&lt;AT$6),AND(AT$7&gt;0,$A666&gt;AT$7)),0,MAX(0,ROUND((INDEX($E666:$G666,AT$5)-SUMIFS(TF_Timer,TF_Tekniker,AT$4,TF_Dato,$A666))*2,0)/2)))</f>
        <v/>
      </c>
      <c r="AU666">
        <f>IF(OR(AU$4="",$A666&gt;TODAY()),0,IF(OR(INDEX($B666:$D666,AU$5)="F",AND(AU$6&gt;0,$A666&lt;AU$6),AND(AU$7&gt;0,$A666&gt;AU$7)),0,MAX(0,ROUND((INDEX($E666:$G666,AU$5)-SUMIFS(TF_Timer,TF_Tekniker,AU$4,TF_Dato,$A666))*2,0)/2)))</f>
        <v/>
      </c>
      <c r="AV666">
        <f>IF(OR(AV$4="",$A666&gt;TODAY()),0,IF(OR(INDEX($B666:$D666,AV$5)="F",AND(AV$6&gt;0,$A666&lt;AV$6),AND(AV$7&gt;0,$A666&gt;AV$7)),0,MAX(0,ROUND((INDEX($E666:$G666,AV$5)-SUMIFS(TF_Timer,TF_Tekniker,AV$4,TF_Dato,$A666))*2,0)/2)))</f>
        <v/>
      </c>
      <c r="AW666">
        <f>IF(OR(AW$4="",$A666&gt;TODAY()),0,IF(OR(INDEX($B666:$D666,AW$5)="F",AND(AW$6&gt;0,$A666&lt;AW$6),AND(AW$7&gt;0,$A666&gt;AW$7)),0,MAX(0,ROUND((INDEX($E666:$G666,AW$5)-SUMIFS(TF_Timer,TF_Tekniker,AW$4,TF_Dato,$A666))*2,0)/2)))</f>
        <v/>
      </c>
      <c r="AX666">
        <f>IF(OR(AX$4="",$A666&gt;TODAY()),0,IF(OR(INDEX($B666:$D666,AX$5)="F",AND(AX$6&gt;0,$A666&lt;AX$6),AND(AX$7&gt;0,$A666&gt;AX$7)),0,MAX(0,ROUND((INDEX($E666:$G666,AX$5)-SUMIFS(TF_Timer,TF_Tekniker,AX$4,TF_Dato,$A666))*2,0)/2)))</f>
        <v/>
      </c>
      <c r="AY666">
        <f>IF(OR(AY$4="",$A666&gt;TODAY()),0,IF(OR(INDEX($B666:$D666,AY$5)="F",AND(AY$6&gt;0,$A666&lt;AY$6),AND(AY$7&gt;0,$A666&gt;AY$7)),0,MAX(0,ROUND((INDEX($E666:$G666,AY$5)-SUMIFS(TF_Timer,TF_Tekniker,AY$4,TF_Dato,$A666))*2,0)/2)))</f>
        <v/>
      </c>
      <c r="AZ666">
        <f>IF(OR(AZ$4="",$A666&gt;TODAY()),0,IF(OR(INDEX($B666:$D666,AZ$5)="F",AND(AZ$6&gt;0,$A666&lt;AZ$6),AND(AZ$7&gt;0,$A666&gt;AZ$7)),0,MAX(0,ROUND((INDEX($E666:$G666,AZ$5)-SUMIFS(TF_Timer,TF_Tekniker,AZ$4,TF_Dato,$A666))*2,0)/2)))</f>
        <v/>
      </c>
      <c r="BA666">
        <f>IF(OR(BA$4="",$A666&gt;TODAY()),0,IF(OR(INDEX($B666:$D666,BA$5)="F",AND(BA$6&gt;0,$A666&lt;BA$6),AND(BA$7&gt;0,$A666&gt;BA$7)),0,MAX(0,ROUND((INDEX($E666:$G666,BA$5)-SUMIFS(TF_Timer,TF_Tekniker,BA$4,TF_Dato,$A666))*2,0)/2)))</f>
        <v/>
      </c>
      <c r="BB666">
        <f>IF(OR(BB$4="",$A666&gt;TODAY()),0,IF(OR(INDEX($B666:$D666,BB$5)="F",AND(BB$6&gt;0,$A666&lt;BB$6),AND(BB$7&gt;0,$A666&gt;BB$7)),0,MAX(0,ROUND((INDEX($E666:$G666,BB$5)-SUMIFS(TF_Timer,TF_Tekniker,BB$4,TF_Dato,$A666))*2,0)/2)))</f>
        <v/>
      </c>
      <c r="BC666">
        <f>IF(OR(BC$4="",$A666&gt;TODAY()),0,IF(OR(INDEX($B666:$D666,BC$5)="F",AND(BC$6&gt;0,$A666&lt;BC$6),AND(BC$7&gt;0,$A666&gt;BC$7)),0,MAX(0,ROUND((INDEX($E666:$G666,BC$5)-SUMIFS(TF_Timer,TF_Tekniker,BC$4,TF_Dato,$A666))*2,0)/2)))</f>
        <v/>
      </c>
      <c r="BD666">
        <f>IF(OR(BD$4="",$A666&gt;TODAY()),0,IF(OR(INDEX($B666:$D666,BD$5)="F",AND(BD$6&gt;0,$A666&lt;BD$6),AND(BD$7&gt;0,$A666&gt;BD$7)),0,MAX(0,ROUND((INDEX($E666:$G666,BD$5)-SUMIFS(TF_Timer,TF_Tekniker,BD$4,TF_Dato,$A666))*2,0)/2)))</f>
        <v/>
      </c>
      <c r="BE666">
        <f>IF(OR(BE$4="",$A666&gt;TODAY()),0,IF(OR(INDEX($B666:$D666,BE$5)="F",AND(BE$6&gt;0,$A666&lt;BE$6),AND(BE$7&gt;0,$A666&gt;BE$7)),0,MAX(0,ROUND((INDEX($E666:$G666,BE$5)-SUMIFS(TF_Timer,TF_Tekniker,BE$4,TF_Dato,$A666))*2,0)/2)))</f>
        <v/>
      </c>
      <c r="BF666">
        <f>IF(OR(BF$4="",$A666&gt;TODAY()),0,IF(OR(INDEX($B666:$D666,BF$5)="F",AND(BF$6&gt;0,$A666&lt;BF$6),AND(BF$7&gt;0,$A666&gt;BF$7)),0,MAX(0,ROUND((INDEX($E666:$G666,BF$5)-SUMIFS(TF_Timer,TF_Tekniker,BF$4,TF_Dato,$A666))*2,0)/2)))</f>
        <v/>
      </c>
      <c r="BG666">
        <f>IF(OR(BG$4="",$A666&gt;TODAY()),0,IF(OR(INDEX($B666:$D666,BG$5)="F",AND(BG$6&gt;0,$A666&lt;BG$6),AND(BG$7&gt;0,$A666&gt;BG$7)),0,MAX(0,ROUND((INDEX($E666:$G666,BG$5)-SUMIFS(TF_Timer,TF_Tekniker,BG$4,TF_Dato,$A666))*2,0)/2)))</f>
        <v/>
      </c>
      <c r="BH666">
        <f>IF(OR(BH$4="",$A666&gt;TODAY()),0,IF(OR(INDEX($B666:$D666,BH$5)="F",AND(BH$6&gt;0,$A666&lt;BH$6),AND(BH$7&gt;0,$A666&gt;BH$7)),0,MAX(0,ROUND((INDEX($E666:$G666,BH$5)-SUMIFS(TF_Timer,TF_Tekniker,BH$4,TF_Dato,$A666))*2,0)/2)))</f>
        <v/>
      </c>
      <c r="BI666">
        <f>IF(OR(BI$4="",$A666&gt;TODAY()),0,IF(OR(INDEX($B666:$D666,BI$5)="F",AND(BI$6&gt;0,$A666&lt;BI$6),AND(BI$7&gt;0,$A666&gt;BI$7)),0,MAX(0,ROUND((INDEX($E666:$G666,BI$5)-SUMIFS(TF_Timer,TF_Tekniker,BI$4,TF_Dato,$A666))*2,0)/2)))</f>
        <v/>
      </c>
    </row>
    <row r="667">
      <c r="A667" s="64">
        <f>A666+1</f>
        <v/>
      </c>
      <c r="B667">
        <f>IF(MOD($A667-INDEX(SkiftStart,1),Syklus)&lt;DagK,"K",IF(MOD($A667-INDEX(SkiftStart,1),Syklus)&lt;DagK+DagH,"H",IF(MOD($A667-INDEX(SkiftStart,1),Syklus)&lt;DagK+DagH+DagD,"D","F")))</f>
        <v/>
      </c>
      <c r="C667">
        <f>IF(MOD($A667-INDEX(SkiftStart,2),Syklus)&lt;DagK,"K",IF(MOD($A667-INDEX(SkiftStart,2),Syklus)&lt;DagK+DagH,"H",IF(MOD($A667-INDEX(SkiftStart,2),Syklus)&lt;DagK+DagH+DagD,"D","F")))</f>
        <v/>
      </c>
      <c r="D667">
        <f>IF(MOD($A667-INDEX(SkiftStart,3),Syklus)&lt;DagK,"K",IF(MOD($A667-INDEX(SkiftStart,3),Syklus)&lt;DagK+DagH,"H",IF(MOD($A667-INDEX(SkiftStart,3),Syklus)&lt;DagK+DagH+DagD,"D","F")))</f>
        <v/>
      </c>
      <c r="E667">
        <f>IF(B667="F",0,IF(WEEKDAY($A667,2)=5,INDEX(TimerFr,MATCH(B667,FaseKode,0)),INDEX(TimerMT,MATCH(B667,FaseKode,0))))</f>
        <v/>
      </c>
      <c r="F667">
        <f>IF(C667="F",0,IF(WEEKDAY($A667,2)=5,INDEX(TimerFr,MATCH(C667,FaseKode,0)),INDEX(TimerMT,MATCH(C667,FaseKode,0))))</f>
        <v/>
      </c>
      <c r="G667">
        <f>IF(D667="F",0,IF(WEEKDAY($A667,2)=5,INDEX(TimerFr,MATCH(D667,FaseKode,0)),INDEX(TimerMT,MATCH(D667,FaseKode,0))))</f>
        <v/>
      </c>
      <c r="H667">
        <f>IF(OR(H$4="",$A667&gt;TODAY()),0,IF(OR(INDEX($B667:$D667,H$5)="F",AND(H$6&gt;0,$A667&lt;H$6),AND(H$7&gt;0,$A667&gt;H$7)),0,MAX(0,ROUND((INDEX($E667:$G667,H$5)-SUMIFS(TF_Timer,TF_Tekniker,H$4,TF_Dato,$A667))*2,0)/2)))</f>
        <v/>
      </c>
      <c r="I667">
        <f>IF(OR(I$4="",$A667&gt;TODAY()),0,IF(OR(INDEX($B667:$D667,I$5)="F",AND(I$6&gt;0,$A667&lt;I$6),AND(I$7&gt;0,$A667&gt;I$7)),0,MAX(0,ROUND((INDEX($E667:$G667,I$5)-SUMIFS(TF_Timer,TF_Tekniker,I$4,TF_Dato,$A667))*2,0)/2)))</f>
        <v/>
      </c>
      <c r="J667">
        <f>IF(OR(J$4="",$A667&gt;TODAY()),0,IF(OR(INDEX($B667:$D667,J$5)="F",AND(J$6&gt;0,$A667&lt;J$6),AND(J$7&gt;0,$A667&gt;J$7)),0,MAX(0,ROUND((INDEX($E667:$G667,J$5)-SUMIFS(TF_Timer,TF_Tekniker,J$4,TF_Dato,$A667))*2,0)/2)))</f>
        <v/>
      </c>
      <c r="K667">
        <f>IF(OR(K$4="",$A667&gt;TODAY()),0,IF(OR(INDEX($B667:$D667,K$5)="F",AND(K$6&gt;0,$A667&lt;K$6),AND(K$7&gt;0,$A667&gt;K$7)),0,MAX(0,ROUND((INDEX($E667:$G667,K$5)-SUMIFS(TF_Timer,TF_Tekniker,K$4,TF_Dato,$A667))*2,0)/2)))</f>
        <v/>
      </c>
      <c r="L667">
        <f>IF(OR(L$4="",$A667&gt;TODAY()),0,IF(OR(INDEX($B667:$D667,L$5)="F",AND(L$6&gt;0,$A667&lt;L$6),AND(L$7&gt;0,$A667&gt;L$7)),0,MAX(0,ROUND((INDEX($E667:$G667,L$5)-SUMIFS(TF_Timer,TF_Tekniker,L$4,TF_Dato,$A667))*2,0)/2)))</f>
        <v/>
      </c>
      <c r="M667">
        <f>IF(OR(M$4="",$A667&gt;TODAY()),0,IF(OR(INDEX($B667:$D667,M$5)="F",AND(M$6&gt;0,$A667&lt;M$6),AND(M$7&gt;0,$A667&gt;M$7)),0,MAX(0,ROUND((INDEX($E667:$G667,M$5)-SUMIFS(TF_Timer,TF_Tekniker,M$4,TF_Dato,$A667))*2,0)/2)))</f>
        <v/>
      </c>
      <c r="N667">
        <f>IF(OR(N$4="",$A667&gt;TODAY()),0,IF(OR(INDEX($B667:$D667,N$5)="F",AND(N$6&gt;0,$A667&lt;N$6),AND(N$7&gt;0,$A667&gt;N$7)),0,MAX(0,ROUND((INDEX($E667:$G667,N$5)-SUMIFS(TF_Timer,TF_Tekniker,N$4,TF_Dato,$A667))*2,0)/2)))</f>
        <v/>
      </c>
      <c r="O667">
        <f>IF(OR(O$4="",$A667&gt;TODAY()),0,IF(OR(INDEX($B667:$D667,O$5)="F",AND(O$6&gt;0,$A667&lt;O$6),AND(O$7&gt;0,$A667&gt;O$7)),0,MAX(0,ROUND((INDEX($E667:$G667,O$5)-SUMIFS(TF_Timer,TF_Tekniker,O$4,TF_Dato,$A667))*2,0)/2)))</f>
        <v/>
      </c>
      <c r="P667">
        <f>IF(OR(P$4="",$A667&gt;TODAY()),0,IF(OR(INDEX($B667:$D667,P$5)="F",AND(P$6&gt;0,$A667&lt;P$6),AND(P$7&gt;0,$A667&gt;P$7)),0,MAX(0,ROUND((INDEX($E667:$G667,P$5)-SUMIFS(TF_Timer,TF_Tekniker,P$4,TF_Dato,$A667))*2,0)/2)))</f>
        <v/>
      </c>
      <c r="Q667">
        <f>IF(OR(Q$4="",$A667&gt;TODAY()),0,IF(OR(INDEX($B667:$D667,Q$5)="F",AND(Q$6&gt;0,$A667&lt;Q$6),AND(Q$7&gt;0,$A667&gt;Q$7)),0,MAX(0,ROUND((INDEX($E667:$G667,Q$5)-SUMIFS(TF_Timer,TF_Tekniker,Q$4,TF_Dato,$A667))*2,0)/2)))</f>
        <v/>
      </c>
      <c r="R667">
        <f>IF(OR(R$4="",$A667&gt;TODAY()),0,IF(OR(INDEX($B667:$D667,R$5)="F",AND(R$6&gt;0,$A667&lt;R$6),AND(R$7&gt;0,$A667&gt;R$7)),0,MAX(0,ROUND((INDEX($E667:$G667,R$5)-SUMIFS(TF_Timer,TF_Tekniker,R$4,TF_Dato,$A667))*2,0)/2)))</f>
        <v/>
      </c>
      <c r="S667">
        <f>IF(OR(S$4="",$A667&gt;TODAY()),0,IF(OR(INDEX($B667:$D667,S$5)="F",AND(S$6&gt;0,$A667&lt;S$6),AND(S$7&gt;0,$A667&gt;S$7)),0,MAX(0,ROUND((INDEX($E667:$G667,S$5)-SUMIFS(TF_Timer,TF_Tekniker,S$4,TF_Dato,$A667))*2,0)/2)))</f>
        <v/>
      </c>
      <c r="T667">
        <f>IF(OR(T$4="",$A667&gt;TODAY()),0,IF(OR(INDEX($B667:$D667,T$5)="F",AND(T$6&gt;0,$A667&lt;T$6),AND(T$7&gt;0,$A667&gt;T$7)),0,MAX(0,ROUND((INDEX($E667:$G667,T$5)-SUMIFS(TF_Timer,TF_Tekniker,T$4,TF_Dato,$A667))*2,0)/2)))</f>
        <v/>
      </c>
      <c r="U667">
        <f>IF(OR(U$4="",$A667&gt;TODAY()),0,IF(OR(INDEX($B667:$D667,U$5)="F",AND(U$6&gt;0,$A667&lt;U$6),AND(U$7&gt;0,$A667&gt;U$7)),0,MAX(0,ROUND((INDEX($E667:$G667,U$5)-SUMIFS(TF_Timer,TF_Tekniker,U$4,TF_Dato,$A667))*2,0)/2)))</f>
        <v/>
      </c>
      <c r="V667">
        <f>IF(OR(V$4="",$A667&gt;TODAY()),0,IF(OR(INDEX($B667:$D667,V$5)="F",AND(V$6&gt;0,$A667&lt;V$6),AND(V$7&gt;0,$A667&gt;V$7)),0,MAX(0,ROUND((INDEX($E667:$G667,V$5)-SUMIFS(TF_Timer,TF_Tekniker,V$4,TF_Dato,$A667))*2,0)/2)))</f>
        <v/>
      </c>
      <c r="W667">
        <f>IF(OR(W$4="",$A667&gt;TODAY()),0,IF(OR(INDEX($B667:$D667,W$5)="F",AND(W$6&gt;0,$A667&lt;W$6),AND(W$7&gt;0,$A667&gt;W$7)),0,MAX(0,ROUND((INDEX($E667:$G667,W$5)-SUMIFS(TF_Timer,TF_Tekniker,W$4,TF_Dato,$A667))*2,0)/2)))</f>
        <v/>
      </c>
      <c r="X667">
        <f>IF(OR(X$4="",$A667&gt;TODAY()),0,IF(OR(INDEX($B667:$D667,X$5)="F",AND(X$6&gt;0,$A667&lt;X$6),AND(X$7&gt;0,$A667&gt;X$7)),0,MAX(0,ROUND((INDEX($E667:$G667,X$5)-SUMIFS(TF_Timer,TF_Tekniker,X$4,TF_Dato,$A667))*2,0)/2)))</f>
        <v/>
      </c>
      <c r="Y667">
        <f>IF(OR(Y$4="",$A667&gt;TODAY()),0,IF(OR(INDEX($B667:$D667,Y$5)="F",AND(Y$6&gt;0,$A667&lt;Y$6),AND(Y$7&gt;0,$A667&gt;Y$7)),0,MAX(0,ROUND((INDEX($E667:$G667,Y$5)-SUMIFS(TF_Timer,TF_Tekniker,Y$4,TF_Dato,$A667))*2,0)/2)))</f>
        <v/>
      </c>
      <c r="Z667">
        <f>IF(OR(Z$4="",$A667&gt;TODAY()),0,IF(OR(INDEX($B667:$D667,Z$5)="F",AND(Z$6&gt;0,$A667&lt;Z$6),AND(Z$7&gt;0,$A667&gt;Z$7)),0,MAX(0,ROUND((INDEX($E667:$G667,Z$5)-SUMIFS(TF_Timer,TF_Tekniker,Z$4,TF_Dato,$A667))*2,0)/2)))</f>
        <v/>
      </c>
      <c r="AA667">
        <f>IF(OR(AA$4="",$A667&gt;TODAY()),0,IF(OR(INDEX($B667:$D667,AA$5)="F",AND(AA$6&gt;0,$A667&lt;AA$6),AND(AA$7&gt;0,$A667&gt;AA$7)),0,MAX(0,ROUND((INDEX($E667:$G667,AA$5)-SUMIFS(TF_Timer,TF_Tekniker,AA$4,TF_Dato,$A667))*2,0)/2)))</f>
        <v/>
      </c>
      <c r="AB667">
        <f>IF(OR(AB$4="",$A667&gt;TODAY()),0,IF(OR(INDEX($B667:$D667,AB$5)="F",AND(AB$6&gt;0,$A667&lt;AB$6),AND(AB$7&gt;0,$A667&gt;AB$7)),0,MAX(0,ROUND((INDEX($E667:$G667,AB$5)-SUMIFS(TF_Timer,TF_Tekniker,AB$4,TF_Dato,$A667))*2,0)/2)))</f>
        <v/>
      </c>
      <c r="AC667">
        <f>IF(OR(AC$4="",$A667&gt;TODAY()),0,IF(OR(INDEX($B667:$D667,AC$5)="F",AND(AC$6&gt;0,$A667&lt;AC$6),AND(AC$7&gt;0,$A667&gt;AC$7)),0,MAX(0,ROUND((INDEX($E667:$G667,AC$5)-SUMIFS(TF_Timer,TF_Tekniker,AC$4,TF_Dato,$A667))*2,0)/2)))</f>
        <v/>
      </c>
      <c r="AD667">
        <f>IF(OR(AD$4="",$A667&gt;TODAY()),0,IF(OR(INDEX($B667:$D667,AD$5)="F",AND(AD$6&gt;0,$A667&lt;AD$6),AND(AD$7&gt;0,$A667&gt;AD$7)),0,MAX(0,ROUND((INDEX($E667:$G667,AD$5)-SUMIFS(TF_Timer,TF_Tekniker,AD$4,TF_Dato,$A667))*2,0)/2)))</f>
        <v/>
      </c>
      <c r="AE667">
        <f>IF(OR(AE$4="",$A667&gt;TODAY()),0,IF(OR(INDEX($B667:$D667,AE$5)="F",AND(AE$6&gt;0,$A667&lt;AE$6),AND(AE$7&gt;0,$A667&gt;AE$7)),0,MAX(0,ROUND((INDEX($E667:$G667,AE$5)-SUMIFS(TF_Timer,TF_Tekniker,AE$4,TF_Dato,$A667))*2,0)/2)))</f>
        <v/>
      </c>
      <c r="AF667">
        <f>IF(OR(AF$4="",$A667&gt;TODAY()),0,IF(OR(INDEX($B667:$D667,AF$5)="F",AND(AF$6&gt;0,$A667&lt;AF$6),AND(AF$7&gt;0,$A667&gt;AF$7)),0,MAX(0,ROUND((INDEX($E667:$G667,AF$5)-SUMIFS(TF_Timer,TF_Tekniker,AF$4,TF_Dato,$A667))*2,0)/2)))</f>
        <v/>
      </c>
      <c r="AG667">
        <f>IF(OR(AG$4="",$A667&gt;TODAY()),0,IF(OR(INDEX($B667:$D667,AG$5)="F",AND(AG$6&gt;0,$A667&lt;AG$6),AND(AG$7&gt;0,$A667&gt;AG$7)),0,MAX(0,ROUND((INDEX($E667:$G667,AG$5)-SUMIFS(TF_Timer,TF_Tekniker,AG$4,TF_Dato,$A667))*2,0)/2)))</f>
        <v/>
      </c>
      <c r="AH667">
        <f>IF(OR(AH$4="",$A667&gt;TODAY()),0,IF(OR(INDEX($B667:$D667,AH$5)="F",AND(AH$6&gt;0,$A667&lt;AH$6),AND(AH$7&gt;0,$A667&gt;AH$7)),0,MAX(0,ROUND((INDEX($E667:$G667,AH$5)-SUMIFS(TF_Timer,TF_Tekniker,AH$4,TF_Dato,$A667))*2,0)/2)))</f>
        <v/>
      </c>
      <c r="AI667">
        <f>IF(OR(AI$4="",$A667&gt;TODAY()),0,IF(OR(INDEX($B667:$D667,AI$5)="F",AND(AI$6&gt;0,$A667&lt;AI$6),AND(AI$7&gt;0,$A667&gt;AI$7)),0,MAX(0,ROUND((INDEX($E667:$G667,AI$5)-SUMIFS(TF_Timer,TF_Tekniker,AI$4,TF_Dato,$A667))*2,0)/2)))</f>
        <v/>
      </c>
      <c r="AJ667">
        <f>IF(OR(AJ$4="",$A667&gt;TODAY()),0,IF(OR(INDEX($B667:$D667,AJ$5)="F",AND(AJ$6&gt;0,$A667&lt;AJ$6),AND(AJ$7&gt;0,$A667&gt;AJ$7)),0,MAX(0,ROUND((INDEX($E667:$G667,AJ$5)-SUMIFS(TF_Timer,TF_Tekniker,AJ$4,TF_Dato,$A667))*2,0)/2)))</f>
        <v/>
      </c>
      <c r="AK667">
        <f>IF(OR(AK$4="",$A667&gt;TODAY()),0,IF(OR(INDEX($B667:$D667,AK$5)="F",AND(AK$6&gt;0,$A667&lt;AK$6),AND(AK$7&gt;0,$A667&gt;AK$7)),0,MAX(0,ROUND((INDEX($E667:$G667,AK$5)-SUMIFS(TF_Timer,TF_Tekniker,AK$4,TF_Dato,$A667))*2,0)/2)))</f>
        <v/>
      </c>
      <c r="AL667">
        <f>IF(OR(AL$4="",$A667&gt;TODAY()),0,IF(OR(INDEX($B667:$D667,AL$5)="F",AND(AL$6&gt;0,$A667&lt;AL$6),AND(AL$7&gt;0,$A667&gt;AL$7)),0,MAX(0,ROUND((INDEX($E667:$G667,AL$5)-SUMIFS(TF_Timer,TF_Tekniker,AL$4,TF_Dato,$A667))*2,0)/2)))</f>
        <v/>
      </c>
      <c r="AM667">
        <f>IF(OR(AM$4="",$A667&gt;TODAY()),0,IF(OR(INDEX($B667:$D667,AM$5)="F",AND(AM$6&gt;0,$A667&lt;AM$6),AND(AM$7&gt;0,$A667&gt;AM$7)),0,MAX(0,ROUND((INDEX($E667:$G667,AM$5)-SUMIFS(TF_Timer,TF_Tekniker,AM$4,TF_Dato,$A667))*2,0)/2)))</f>
        <v/>
      </c>
      <c r="AN667">
        <f>IF(OR(AN$4="",$A667&gt;TODAY()),0,IF(OR(INDEX($B667:$D667,AN$5)="F",AND(AN$6&gt;0,$A667&lt;AN$6),AND(AN$7&gt;0,$A667&gt;AN$7)),0,MAX(0,ROUND((INDEX($E667:$G667,AN$5)-SUMIFS(TF_Timer,TF_Tekniker,AN$4,TF_Dato,$A667))*2,0)/2)))</f>
        <v/>
      </c>
      <c r="AO667">
        <f>IF(OR(AO$4="",$A667&gt;TODAY()),0,IF(OR(INDEX($B667:$D667,AO$5)="F",AND(AO$6&gt;0,$A667&lt;AO$6),AND(AO$7&gt;0,$A667&gt;AO$7)),0,MAX(0,ROUND((INDEX($E667:$G667,AO$5)-SUMIFS(TF_Timer,TF_Tekniker,AO$4,TF_Dato,$A667))*2,0)/2)))</f>
        <v/>
      </c>
      <c r="AP667">
        <f>IF(OR(AP$4="",$A667&gt;TODAY()),0,IF(OR(INDEX($B667:$D667,AP$5)="F",AND(AP$6&gt;0,$A667&lt;AP$6),AND(AP$7&gt;0,$A667&gt;AP$7)),0,MAX(0,ROUND((INDEX($E667:$G667,AP$5)-SUMIFS(TF_Timer,TF_Tekniker,AP$4,TF_Dato,$A667))*2,0)/2)))</f>
        <v/>
      </c>
      <c r="AQ667">
        <f>IF(OR(AQ$4="",$A667&gt;TODAY()),0,IF(OR(INDEX($B667:$D667,AQ$5)="F",AND(AQ$6&gt;0,$A667&lt;AQ$6),AND(AQ$7&gt;0,$A667&gt;AQ$7)),0,MAX(0,ROUND((INDEX($E667:$G667,AQ$5)-SUMIFS(TF_Timer,TF_Tekniker,AQ$4,TF_Dato,$A667))*2,0)/2)))</f>
        <v/>
      </c>
      <c r="AR667">
        <f>IF(OR(AR$4="",$A667&gt;TODAY()),0,IF(OR(INDEX($B667:$D667,AR$5)="F",AND(AR$6&gt;0,$A667&lt;AR$6),AND(AR$7&gt;0,$A667&gt;AR$7)),0,MAX(0,ROUND((INDEX($E667:$G667,AR$5)-SUMIFS(TF_Timer,TF_Tekniker,AR$4,TF_Dato,$A667))*2,0)/2)))</f>
        <v/>
      </c>
      <c r="AS667">
        <f>IF(OR(AS$4="",$A667&gt;TODAY()),0,IF(OR(INDEX($B667:$D667,AS$5)="F",AND(AS$6&gt;0,$A667&lt;AS$6),AND(AS$7&gt;0,$A667&gt;AS$7)),0,MAX(0,ROUND((INDEX($E667:$G667,AS$5)-SUMIFS(TF_Timer,TF_Tekniker,AS$4,TF_Dato,$A667))*2,0)/2)))</f>
        <v/>
      </c>
      <c r="AT667">
        <f>IF(OR(AT$4="",$A667&gt;TODAY()),0,IF(OR(INDEX($B667:$D667,AT$5)="F",AND(AT$6&gt;0,$A667&lt;AT$6),AND(AT$7&gt;0,$A667&gt;AT$7)),0,MAX(0,ROUND((INDEX($E667:$G667,AT$5)-SUMIFS(TF_Timer,TF_Tekniker,AT$4,TF_Dato,$A667))*2,0)/2)))</f>
        <v/>
      </c>
      <c r="AU667">
        <f>IF(OR(AU$4="",$A667&gt;TODAY()),0,IF(OR(INDEX($B667:$D667,AU$5)="F",AND(AU$6&gt;0,$A667&lt;AU$6),AND(AU$7&gt;0,$A667&gt;AU$7)),0,MAX(0,ROUND((INDEX($E667:$G667,AU$5)-SUMIFS(TF_Timer,TF_Tekniker,AU$4,TF_Dato,$A667))*2,0)/2)))</f>
        <v/>
      </c>
      <c r="AV667">
        <f>IF(OR(AV$4="",$A667&gt;TODAY()),0,IF(OR(INDEX($B667:$D667,AV$5)="F",AND(AV$6&gt;0,$A667&lt;AV$6),AND(AV$7&gt;0,$A667&gt;AV$7)),0,MAX(0,ROUND((INDEX($E667:$G667,AV$5)-SUMIFS(TF_Timer,TF_Tekniker,AV$4,TF_Dato,$A667))*2,0)/2)))</f>
        <v/>
      </c>
      <c r="AW667">
        <f>IF(OR(AW$4="",$A667&gt;TODAY()),0,IF(OR(INDEX($B667:$D667,AW$5)="F",AND(AW$6&gt;0,$A667&lt;AW$6),AND(AW$7&gt;0,$A667&gt;AW$7)),0,MAX(0,ROUND((INDEX($E667:$G667,AW$5)-SUMIFS(TF_Timer,TF_Tekniker,AW$4,TF_Dato,$A667))*2,0)/2)))</f>
        <v/>
      </c>
      <c r="AX667">
        <f>IF(OR(AX$4="",$A667&gt;TODAY()),0,IF(OR(INDEX($B667:$D667,AX$5)="F",AND(AX$6&gt;0,$A667&lt;AX$6),AND(AX$7&gt;0,$A667&gt;AX$7)),0,MAX(0,ROUND((INDEX($E667:$G667,AX$5)-SUMIFS(TF_Timer,TF_Tekniker,AX$4,TF_Dato,$A667))*2,0)/2)))</f>
        <v/>
      </c>
      <c r="AY667">
        <f>IF(OR(AY$4="",$A667&gt;TODAY()),0,IF(OR(INDEX($B667:$D667,AY$5)="F",AND(AY$6&gt;0,$A667&lt;AY$6),AND(AY$7&gt;0,$A667&gt;AY$7)),0,MAX(0,ROUND((INDEX($E667:$G667,AY$5)-SUMIFS(TF_Timer,TF_Tekniker,AY$4,TF_Dato,$A667))*2,0)/2)))</f>
        <v/>
      </c>
      <c r="AZ667">
        <f>IF(OR(AZ$4="",$A667&gt;TODAY()),0,IF(OR(INDEX($B667:$D667,AZ$5)="F",AND(AZ$6&gt;0,$A667&lt;AZ$6),AND(AZ$7&gt;0,$A667&gt;AZ$7)),0,MAX(0,ROUND((INDEX($E667:$G667,AZ$5)-SUMIFS(TF_Timer,TF_Tekniker,AZ$4,TF_Dato,$A667))*2,0)/2)))</f>
        <v/>
      </c>
      <c r="BA667">
        <f>IF(OR(BA$4="",$A667&gt;TODAY()),0,IF(OR(INDEX($B667:$D667,BA$5)="F",AND(BA$6&gt;0,$A667&lt;BA$6),AND(BA$7&gt;0,$A667&gt;BA$7)),0,MAX(0,ROUND((INDEX($E667:$G667,BA$5)-SUMIFS(TF_Timer,TF_Tekniker,BA$4,TF_Dato,$A667))*2,0)/2)))</f>
        <v/>
      </c>
      <c r="BB667">
        <f>IF(OR(BB$4="",$A667&gt;TODAY()),0,IF(OR(INDEX($B667:$D667,BB$5)="F",AND(BB$6&gt;0,$A667&lt;BB$6),AND(BB$7&gt;0,$A667&gt;BB$7)),0,MAX(0,ROUND((INDEX($E667:$G667,BB$5)-SUMIFS(TF_Timer,TF_Tekniker,BB$4,TF_Dato,$A667))*2,0)/2)))</f>
        <v/>
      </c>
      <c r="BC667">
        <f>IF(OR(BC$4="",$A667&gt;TODAY()),0,IF(OR(INDEX($B667:$D667,BC$5)="F",AND(BC$6&gt;0,$A667&lt;BC$6),AND(BC$7&gt;0,$A667&gt;BC$7)),0,MAX(0,ROUND((INDEX($E667:$G667,BC$5)-SUMIFS(TF_Timer,TF_Tekniker,BC$4,TF_Dato,$A667))*2,0)/2)))</f>
        <v/>
      </c>
      <c r="BD667">
        <f>IF(OR(BD$4="",$A667&gt;TODAY()),0,IF(OR(INDEX($B667:$D667,BD$5)="F",AND(BD$6&gt;0,$A667&lt;BD$6),AND(BD$7&gt;0,$A667&gt;BD$7)),0,MAX(0,ROUND((INDEX($E667:$G667,BD$5)-SUMIFS(TF_Timer,TF_Tekniker,BD$4,TF_Dato,$A667))*2,0)/2)))</f>
        <v/>
      </c>
      <c r="BE667">
        <f>IF(OR(BE$4="",$A667&gt;TODAY()),0,IF(OR(INDEX($B667:$D667,BE$5)="F",AND(BE$6&gt;0,$A667&lt;BE$6),AND(BE$7&gt;0,$A667&gt;BE$7)),0,MAX(0,ROUND((INDEX($E667:$G667,BE$5)-SUMIFS(TF_Timer,TF_Tekniker,BE$4,TF_Dato,$A667))*2,0)/2)))</f>
        <v/>
      </c>
      <c r="BF667">
        <f>IF(OR(BF$4="",$A667&gt;TODAY()),0,IF(OR(INDEX($B667:$D667,BF$5)="F",AND(BF$6&gt;0,$A667&lt;BF$6),AND(BF$7&gt;0,$A667&gt;BF$7)),0,MAX(0,ROUND((INDEX($E667:$G667,BF$5)-SUMIFS(TF_Timer,TF_Tekniker,BF$4,TF_Dato,$A667))*2,0)/2)))</f>
        <v/>
      </c>
      <c r="BG667">
        <f>IF(OR(BG$4="",$A667&gt;TODAY()),0,IF(OR(INDEX($B667:$D667,BG$5)="F",AND(BG$6&gt;0,$A667&lt;BG$6),AND(BG$7&gt;0,$A667&gt;BG$7)),0,MAX(0,ROUND((INDEX($E667:$G667,BG$5)-SUMIFS(TF_Timer,TF_Tekniker,BG$4,TF_Dato,$A667))*2,0)/2)))</f>
        <v/>
      </c>
      <c r="BH667">
        <f>IF(OR(BH$4="",$A667&gt;TODAY()),0,IF(OR(INDEX($B667:$D667,BH$5)="F",AND(BH$6&gt;0,$A667&lt;BH$6),AND(BH$7&gt;0,$A667&gt;BH$7)),0,MAX(0,ROUND((INDEX($E667:$G667,BH$5)-SUMIFS(TF_Timer,TF_Tekniker,BH$4,TF_Dato,$A667))*2,0)/2)))</f>
        <v/>
      </c>
      <c r="BI667">
        <f>IF(OR(BI$4="",$A667&gt;TODAY()),0,IF(OR(INDEX($B667:$D667,BI$5)="F",AND(BI$6&gt;0,$A667&lt;BI$6),AND(BI$7&gt;0,$A667&gt;BI$7)),0,MAX(0,ROUND((INDEX($E667:$G667,BI$5)-SUMIFS(TF_Timer,TF_Tekniker,BI$4,TF_Dato,$A667))*2,0)/2)))</f>
        <v/>
      </c>
    </row>
    <row r="668">
      <c r="A668" s="64">
        <f>A667+1</f>
        <v/>
      </c>
      <c r="B668">
        <f>IF(MOD($A668-INDEX(SkiftStart,1),Syklus)&lt;DagK,"K",IF(MOD($A668-INDEX(SkiftStart,1),Syklus)&lt;DagK+DagH,"H",IF(MOD($A668-INDEX(SkiftStart,1),Syklus)&lt;DagK+DagH+DagD,"D","F")))</f>
        <v/>
      </c>
      <c r="C668">
        <f>IF(MOD($A668-INDEX(SkiftStart,2),Syklus)&lt;DagK,"K",IF(MOD($A668-INDEX(SkiftStart,2),Syklus)&lt;DagK+DagH,"H",IF(MOD($A668-INDEX(SkiftStart,2),Syklus)&lt;DagK+DagH+DagD,"D","F")))</f>
        <v/>
      </c>
      <c r="D668">
        <f>IF(MOD($A668-INDEX(SkiftStart,3),Syklus)&lt;DagK,"K",IF(MOD($A668-INDEX(SkiftStart,3),Syklus)&lt;DagK+DagH,"H",IF(MOD($A668-INDEX(SkiftStart,3),Syklus)&lt;DagK+DagH+DagD,"D","F")))</f>
        <v/>
      </c>
      <c r="E668">
        <f>IF(B668="F",0,IF(WEEKDAY($A668,2)=5,INDEX(TimerFr,MATCH(B668,FaseKode,0)),INDEX(TimerMT,MATCH(B668,FaseKode,0))))</f>
        <v/>
      </c>
      <c r="F668">
        <f>IF(C668="F",0,IF(WEEKDAY($A668,2)=5,INDEX(TimerFr,MATCH(C668,FaseKode,0)),INDEX(TimerMT,MATCH(C668,FaseKode,0))))</f>
        <v/>
      </c>
      <c r="G668">
        <f>IF(D668="F",0,IF(WEEKDAY($A668,2)=5,INDEX(TimerFr,MATCH(D668,FaseKode,0)),INDEX(TimerMT,MATCH(D668,FaseKode,0))))</f>
        <v/>
      </c>
      <c r="H668">
        <f>IF(OR(H$4="",$A668&gt;TODAY()),0,IF(OR(INDEX($B668:$D668,H$5)="F",AND(H$6&gt;0,$A668&lt;H$6),AND(H$7&gt;0,$A668&gt;H$7)),0,MAX(0,ROUND((INDEX($E668:$G668,H$5)-SUMIFS(TF_Timer,TF_Tekniker,H$4,TF_Dato,$A668))*2,0)/2)))</f>
        <v/>
      </c>
      <c r="I668">
        <f>IF(OR(I$4="",$A668&gt;TODAY()),0,IF(OR(INDEX($B668:$D668,I$5)="F",AND(I$6&gt;0,$A668&lt;I$6),AND(I$7&gt;0,$A668&gt;I$7)),0,MAX(0,ROUND((INDEX($E668:$G668,I$5)-SUMIFS(TF_Timer,TF_Tekniker,I$4,TF_Dato,$A668))*2,0)/2)))</f>
        <v/>
      </c>
      <c r="J668">
        <f>IF(OR(J$4="",$A668&gt;TODAY()),0,IF(OR(INDEX($B668:$D668,J$5)="F",AND(J$6&gt;0,$A668&lt;J$6),AND(J$7&gt;0,$A668&gt;J$7)),0,MAX(0,ROUND((INDEX($E668:$G668,J$5)-SUMIFS(TF_Timer,TF_Tekniker,J$4,TF_Dato,$A668))*2,0)/2)))</f>
        <v/>
      </c>
      <c r="K668">
        <f>IF(OR(K$4="",$A668&gt;TODAY()),0,IF(OR(INDEX($B668:$D668,K$5)="F",AND(K$6&gt;0,$A668&lt;K$6),AND(K$7&gt;0,$A668&gt;K$7)),0,MAX(0,ROUND((INDEX($E668:$G668,K$5)-SUMIFS(TF_Timer,TF_Tekniker,K$4,TF_Dato,$A668))*2,0)/2)))</f>
        <v/>
      </c>
      <c r="L668">
        <f>IF(OR(L$4="",$A668&gt;TODAY()),0,IF(OR(INDEX($B668:$D668,L$5)="F",AND(L$6&gt;0,$A668&lt;L$6),AND(L$7&gt;0,$A668&gt;L$7)),0,MAX(0,ROUND((INDEX($E668:$G668,L$5)-SUMIFS(TF_Timer,TF_Tekniker,L$4,TF_Dato,$A668))*2,0)/2)))</f>
        <v/>
      </c>
      <c r="M668">
        <f>IF(OR(M$4="",$A668&gt;TODAY()),0,IF(OR(INDEX($B668:$D668,M$5)="F",AND(M$6&gt;0,$A668&lt;M$6),AND(M$7&gt;0,$A668&gt;M$7)),0,MAX(0,ROUND((INDEX($E668:$G668,M$5)-SUMIFS(TF_Timer,TF_Tekniker,M$4,TF_Dato,$A668))*2,0)/2)))</f>
        <v/>
      </c>
      <c r="N668">
        <f>IF(OR(N$4="",$A668&gt;TODAY()),0,IF(OR(INDEX($B668:$D668,N$5)="F",AND(N$6&gt;0,$A668&lt;N$6),AND(N$7&gt;0,$A668&gt;N$7)),0,MAX(0,ROUND((INDEX($E668:$G668,N$5)-SUMIFS(TF_Timer,TF_Tekniker,N$4,TF_Dato,$A668))*2,0)/2)))</f>
        <v/>
      </c>
      <c r="O668">
        <f>IF(OR(O$4="",$A668&gt;TODAY()),0,IF(OR(INDEX($B668:$D668,O$5)="F",AND(O$6&gt;0,$A668&lt;O$6),AND(O$7&gt;0,$A668&gt;O$7)),0,MAX(0,ROUND((INDEX($E668:$G668,O$5)-SUMIFS(TF_Timer,TF_Tekniker,O$4,TF_Dato,$A668))*2,0)/2)))</f>
        <v/>
      </c>
      <c r="P668">
        <f>IF(OR(P$4="",$A668&gt;TODAY()),0,IF(OR(INDEX($B668:$D668,P$5)="F",AND(P$6&gt;0,$A668&lt;P$6),AND(P$7&gt;0,$A668&gt;P$7)),0,MAX(0,ROUND((INDEX($E668:$G668,P$5)-SUMIFS(TF_Timer,TF_Tekniker,P$4,TF_Dato,$A668))*2,0)/2)))</f>
        <v/>
      </c>
      <c r="Q668">
        <f>IF(OR(Q$4="",$A668&gt;TODAY()),0,IF(OR(INDEX($B668:$D668,Q$5)="F",AND(Q$6&gt;0,$A668&lt;Q$6),AND(Q$7&gt;0,$A668&gt;Q$7)),0,MAX(0,ROUND((INDEX($E668:$G668,Q$5)-SUMIFS(TF_Timer,TF_Tekniker,Q$4,TF_Dato,$A668))*2,0)/2)))</f>
        <v/>
      </c>
      <c r="R668">
        <f>IF(OR(R$4="",$A668&gt;TODAY()),0,IF(OR(INDEX($B668:$D668,R$5)="F",AND(R$6&gt;0,$A668&lt;R$6),AND(R$7&gt;0,$A668&gt;R$7)),0,MAX(0,ROUND((INDEX($E668:$G668,R$5)-SUMIFS(TF_Timer,TF_Tekniker,R$4,TF_Dato,$A668))*2,0)/2)))</f>
        <v/>
      </c>
      <c r="S668">
        <f>IF(OR(S$4="",$A668&gt;TODAY()),0,IF(OR(INDEX($B668:$D668,S$5)="F",AND(S$6&gt;0,$A668&lt;S$6),AND(S$7&gt;0,$A668&gt;S$7)),0,MAX(0,ROUND((INDEX($E668:$G668,S$5)-SUMIFS(TF_Timer,TF_Tekniker,S$4,TF_Dato,$A668))*2,0)/2)))</f>
        <v/>
      </c>
      <c r="T668">
        <f>IF(OR(T$4="",$A668&gt;TODAY()),0,IF(OR(INDEX($B668:$D668,T$5)="F",AND(T$6&gt;0,$A668&lt;T$6),AND(T$7&gt;0,$A668&gt;T$7)),0,MAX(0,ROUND((INDEX($E668:$G668,T$5)-SUMIFS(TF_Timer,TF_Tekniker,T$4,TF_Dato,$A668))*2,0)/2)))</f>
        <v/>
      </c>
      <c r="U668">
        <f>IF(OR(U$4="",$A668&gt;TODAY()),0,IF(OR(INDEX($B668:$D668,U$5)="F",AND(U$6&gt;0,$A668&lt;U$6),AND(U$7&gt;0,$A668&gt;U$7)),0,MAX(0,ROUND((INDEX($E668:$G668,U$5)-SUMIFS(TF_Timer,TF_Tekniker,U$4,TF_Dato,$A668))*2,0)/2)))</f>
        <v/>
      </c>
      <c r="V668">
        <f>IF(OR(V$4="",$A668&gt;TODAY()),0,IF(OR(INDEX($B668:$D668,V$5)="F",AND(V$6&gt;0,$A668&lt;V$6),AND(V$7&gt;0,$A668&gt;V$7)),0,MAX(0,ROUND((INDEX($E668:$G668,V$5)-SUMIFS(TF_Timer,TF_Tekniker,V$4,TF_Dato,$A668))*2,0)/2)))</f>
        <v/>
      </c>
      <c r="W668">
        <f>IF(OR(W$4="",$A668&gt;TODAY()),0,IF(OR(INDEX($B668:$D668,W$5)="F",AND(W$6&gt;0,$A668&lt;W$6),AND(W$7&gt;0,$A668&gt;W$7)),0,MAX(0,ROUND((INDEX($E668:$G668,W$5)-SUMIFS(TF_Timer,TF_Tekniker,W$4,TF_Dato,$A668))*2,0)/2)))</f>
        <v/>
      </c>
      <c r="X668">
        <f>IF(OR(X$4="",$A668&gt;TODAY()),0,IF(OR(INDEX($B668:$D668,X$5)="F",AND(X$6&gt;0,$A668&lt;X$6),AND(X$7&gt;0,$A668&gt;X$7)),0,MAX(0,ROUND((INDEX($E668:$G668,X$5)-SUMIFS(TF_Timer,TF_Tekniker,X$4,TF_Dato,$A668))*2,0)/2)))</f>
        <v/>
      </c>
      <c r="Y668">
        <f>IF(OR(Y$4="",$A668&gt;TODAY()),0,IF(OR(INDEX($B668:$D668,Y$5)="F",AND(Y$6&gt;0,$A668&lt;Y$6),AND(Y$7&gt;0,$A668&gt;Y$7)),0,MAX(0,ROUND((INDEX($E668:$G668,Y$5)-SUMIFS(TF_Timer,TF_Tekniker,Y$4,TF_Dato,$A668))*2,0)/2)))</f>
        <v/>
      </c>
      <c r="Z668">
        <f>IF(OR(Z$4="",$A668&gt;TODAY()),0,IF(OR(INDEX($B668:$D668,Z$5)="F",AND(Z$6&gt;0,$A668&lt;Z$6),AND(Z$7&gt;0,$A668&gt;Z$7)),0,MAX(0,ROUND((INDEX($E668:$G668,Z$5)-SUMIFS(TF_Timer,TF_Tekniker,Z$4,TF_Dato,$A668))*2,0)/2)))</f>
        <v/>
      </c>
      <c r="AA668">
        <f>IF(OR(AA$4="",$A668&gt;TODAY()),0,IF(OR(INDEX($B668:$D668,AA$5)="F",AND(AA$6&gt;0,$A668&lt;AA$6),AND(AA$7&gt;0,$A668&gt;AA$7)),0,MAX(0,ROUND((INDEX($E668:$G668,AA$5)-SUMIFS(TF_Timer,TF_Tekniker,AA$4,TF_Dato,$A668))*2,0)/2)))</f>
        <v/>
      </c>
      <c r="AB668">
        <f>IF(OR(AB$4="",$A668&gt;TODAY()),0,IF(OR(INDEX($B668:$D668,AB$5)="F",AND(AB$6&gt;0,$A668&lt;AB$6),AND(AB$7&gt;0,$A668&gt;AB$7)),0,MAX(0,ROUND((INDEX($E668:$G668,AB$5)-SUMIFS(TF_Timer,TF_Tekniker,AB$4,TF_Dato,$A668))*2,0)/2)))</f>
        <v/>
      </c>
      <c r="AC668">
        <f>IF(OR(AC$4="",$A668&gt;TODAY()),0,IF(OR(INDEX($B668:$D668,AC$5)="F",AND(AC$6&gt;0,$A668&lt;AC$6),AND(AC$7&gt;0,$A668&gt;AC$7)),0,MAX(0,ROUND((INDEX($E668:$G668,AC$5)-SUMIFS(TF_Timer,TF_Tekniker,AC$4,TF_Dato,$A668))*2,0)/2)))</f>
        <v/>
      </c>
      <c r="AD668">
        <f>IF(OR(AD$4="",$A668&gt;TODAY()),0,IF(OR(INDEX($B668:$D668,AD$5)="F",AND(AD$6&gt;0,$A668&lt;AD$6),AND(AD$7&gt;0,$A668&gt;AD$7)),0,MAX(0,ROUND((INDEX($E668:$G668,AD$5)-SUMIFS(TF_Timer,TF_Tekniker,AD$4,TF_Dato,$A668))*2,0)/2)))</f>
        <v/>
      </c>
      <c r="AE668">
        <f>IF(OR(AE$4="",$A668&gt;TODAY()),0,IF(OR(INDEX($B668:$D668,AE$5)="F",AND(AE$6&gt;0,$A668&lt;AE$6),AND(AE$7&gt;0,$A668&gt;AE$7)),0,MAX(0,ROUND((INDEX($E668:$G668,AE$5)-SUMIFS(TF_Timer,TF_Tekniker,AE$4,TF_Dato,$A668))*2,0)/2)))</f>
        <v/>
      </c>
      <c r="AF668">
        <f>IF(OR(AF$4="",$A668&gt;TODAY()),0,IF(OR(INDEX($B668:$D668,AF$5)="F",AND(AF$6&gt;0,$A668&lt;AF$6),AND(AF$7&gt;0,$A668&gt;AF$7)),0,MAX(0,ROUND((INDEX($E668:$G668,AF$5)-SUMIFS(TF_Timer,TF_Tekniker,AF$4,TF_Dato,$A668))*2,0)/2)))</f>
        <v/>
      </c>
      <c r="AG668">
        <f>IF(OR(AG$4="",$A668&gt;TODAY()),0,IF(OR(INDEX($B668:$D668,AG$5)="F",AND(AG$6&gt;0,$A668&lt;AG$6),AND(AG$7&gt;0,$A668&gt;AG$7)),0,MAX(0,ROUND((INDEX($E668:$G668,AG$5)-SUMIFS(TF_Timer,TF_Tekniker,AG$4,TF_Dato,$A668))*2,0)/2)))</f>
        <v/>
      </c>
      <c r="AH668">
        <f>IF(OR(AH$4="",$A668&gt;TODAY()),0,IF(OR(INDEX($B668:$D668,AH$5)="F",AND(AH$6&gt;0,$A668&lt;AH$6),AND(AH$7&gt;0,$A668&gt;AH$7)),0,MAX(0,ROUND((INDEX($E668:$G668,AH$5)-SUMIFS(TF_Timer,TF_Tekniker,AH$4,TF_Dato,$A668))*2,0)/2)))</f>
        <v/>
      </c>
      <c r="AI668">
        <f>IF(OR(AI$4="",$A668&gt;TODAY()),0,IF(OR(INDEX($B668:$D668,AI$5)="F",AND(AI$6&gt;0,$A668&lt;AI$6),AND(AI$7&gt;0,$A668&gt;AI$7)),0,MAX(0,ROUND((INDEX($E668:$G668,AI$5)-SUMIFS(TF_Timer,TF_Tekniker,AI$4,TF_Dato,$A668))*2,0)/2)))</f>
        <v/>
      </c>
      <c r="AJ668">
        <f>IF(OR(AJ$4="",$A668&gt;TODAY()),0,IF(OR(INDEX($B668:$D668,AJ$5)="F",AND(AJ$6&gt;0,$A668&lt;AJ$6),AND(AJ$7&gt;0,$A668&gt;AJ$7)),0,MAX(0,ROUND((INDEX($E668:$G668,AJ$5)-SUMIFS(TF_Timer,TF_Tekniker,AJ$4,TF_Dato,$A668))*2,0)/2)))</f>
        <v/>
      </c>
      <c r="AK668">
        <f>IF(OR(AK$4="",$A668&gt;TODAY()),0,IF(OR(INDEX($B668:$D668,AK$5)="F",AND(AK$6&gt;0,$A668&lt;AK$6),AND(AK$7&gt;0,$A668&gt;AK$7)),0,MAX(0,ROUND((INDEX($E668:$G668,AK$5)-SUMIFS(TF_Timer,TF_Tekniker,AK$4,TF_Dato,$A668))*2,0)/2)))</f>
        <v/>
      </c>
      <c r="AL668">
        <f>IF(OR(AL$4="",$A668&gt;TODAY()),0,IF(OR(INDEX($B668:$D668,AL$5)="F",AND(AL$6&gt;0,$A668&lt;AL$6),AND(AL$7&gt;0,$A668&gt;AL$7)),0,MAX(0,ROUND((INDEX($E668:$G668,AL$5)-SUMIFS(TF_Timer,TF_Tekniker,AL$4,TF_Dato,$A668))*2,0)/2)))</f>
        <v/>
      </c>
      <c r="AM668">
        <f>IF(OR(AM$4="",$A668&gt;TODAY()),0,IF(OR(INDEX($B668:$D668,AM$5)="F",AND(AM$6&gt;0,$A668&lt;AM$6),AND(AM$7&gt;0,$A668&gt;AM$7)),0,MAX(0,ROUND((INDEX($E668:$G668,AM$5)-SUMIFS(TF_Timer,TF_Tekniker,AM$4,TF_Dato,$A668))*2,0)/2)))</f>
        <v/>
      </c>
      <c r="AN668">
        <f>IF(OR(AN$4="",$A668&gt;TODAY()),0,IF(OR(INDEX($B668:$D668,AN$5)="F",AND(AN$6&gt;0,$A668&lt;AN$6),AND(AN$7&gt;0,$A668&gt;AN$7)),0,MAX(0,ROUND((INDEX($E668:$G668,AN$5)-SUMIFS(TF_Timer,TF_Tekniker,AN$4,TF_Dato,$A668))*2,0)/2)))</f>
        <v/>
      </c>
      <c r="AO668">
        <f>IF(OR(AO$4="",$A668&gt;TODAY()),0,IF(OR(INDEX($B668:$D668,AO$5)="F",AND(AO$6&gt;0,$A668&lt;AO$6),AND(AO$7&gt;0,$A668&gt;AO$7)),0,MAX(0,ROUND((INDEX($E668:$G668,AO$5)-SUMIFS(TF_Timer,TF_Tekniker,AO$4,TF_Dato,$A668))*2,0)/2)))</f>
        <v/>
      </c>
      <c r="AP668">
        <f>IF(OR(AP$4="",$A668&gt;TODAY()),0,IF(OR(INDEX($B668:$D668,AP$5)="F",AND(AP$6&gt;0,$A668&lt;AP$6),AND(AP$7&gt;0,$A668&gt;AP$7)),0,MAX(0,ROUND((INDEX($E668:$G668,AP$5)-SUMIFS(TF_Timer,TF_Tekniker,AP$4,TF_Dato,$A668))*2,0)/2)))</f>
        <v/>
      </c>
      <c r="AQ668">
        <f>IF(OR(AQ$4="",$A668&gt;TODAY()),0,IF(OR(INDEX($B668:$D668,AQ$5)="F",AND(AQ$6&gt;0,$A668&lt;AQ$6),AND(AQ$7&gt;0,$A668&gt;AQ$7)),0,MAX(0,ROUND((INDEX($E668:$G668,AQ$5)-SUMIFS(TF_Timer,TF_Tekniker,AQ$4,TF_Dato,$A668))*2,0)/2)))</f>
        <v/>
      </c>
      <c r="AR668">
        <f>IF(OR(AR$4="",$A668&gt;TODAY()),0,IF(OR(INDEX($B668:$D668,AR$5)="F",AND(AR$6&gt;0,$A668&lt;AR$6),AND(AR$7&gt;0,$A668&gt;AR$7)),0,MAX(0,ROUND((INDEX($E668:$G668,AR$5)-SUMIFS(TF_Timer,TF_Tekniker,AR$4,TF_Dato,$A668))*2,0)/2)))</f>
        <v/>
      </c>
      <c r="AS668">
        <f>IF(OR(AS$4="",$A668&gt;TODAY()),0,IF(OR(INDEX($B668:$D668,AS$5)="F",AND(AS$6&gt;0,$A668&lt;AS$6),AND(AS$7&gt;0,$A668&gt;AS$7)),0,MAX(0,ROUND((INDEX($E668:$G668,AS$5)-SUMIFS(TF_Timer,TF_Tekniker,AS$4,TF_Dato,$A668))*2,0)/2)))</f>
        <v/>
      </c>
      <c r="AT668">
        <f>IF(OR(AT$4="",$A668&gt;TODAY()),0,IF(OR(INDEX($B668:$D668,AT$5)="F",AND(AT$6&gt;0,$A668&lt;AT$6),AND(AT$7&gt;0,$A668&gt;AT$7)),0,MAX(0,ROUND((INDEX($E668:$G668,AT$5)-SUMIFS(TF_Timer,TF_Tekniker,AT$4,TF_Dato,$A668))*2,0)/2)))</f>
        <v/>
      </c>
      <c r="AU668">
        <f>IF(OR(AU$4="",$A668&gt;TODAY()),0,IF(OR(INDEX($B668:$D668,AU$5)="F",AND(AU$6&gt;0,$A668&lt;AU$6),AND(AU$7&gt;0,$A668&gt;AU$7)),0,MAX(0,ROUND((INDEX($E668:$G668,AU$5)-SUMIFS(TF_Timer,TF_Tekniker,AU$4,TF_Dato,$A668))*2,0)/2)))</f>
        <v/>
      </c>
      <c r="AV668">
        <f>IF(OR(AV$4="",$A668&gt;TODAY()),0,IF(OR(INDEX($B668:$D668,AV$5)="F",AND(AV$6&gt;0,$A668&lt;AV$6),AND(AV$7&gt;0,$A668&gt;AV$7)),0,MAX(0,ROUND((INDEX($E668:$G668,AV$5)-SUMIFS(TF_Timer,TF_Tekniker,AV$4,TF_Dato,$A668))*2,0)/2)))</f>
        <v/>
      </c>
      <c r="AW668">
        <f>IF(OR(AW$4="",$A668&gt;TODAY()),0,IF(OR(INDEX($B668:$D668,AW$5)="F",AND(AW$6&gt;0,$A668&lt;AW$6),AND(AW$7&gt;0,$A668&gt;AW$7)),0,MAX(0,ROUND((INDEX($E668:$G668,AW$5)-SUMIFS(TF_Timer,TF_Tekniker,AW$4,TF_Dato,$A668))*2,0)/2)))</f>
        <v/>
      </c>
      <c r="AX668">
        <f>IF(OR(AX$4="",$A668&gt;TODAY()),0,IF(OR(INDEX($B668:$D668,AX$5)="F",AND(AX$6&gt;0,$A668&lt;AX$6),AND(AX$7&gt;0,$A668&gt;AX$7)),0,MAX(0,ROUND((INDEX($E668:$G668,AX$5)-SUMIFS(TF_Timer,TF_Tekniker,AX$4,TF_Dato,$A668))*2,0)/2)))</f>
        <v/>
      </c>
      <c r="AY668">
        <f>IF(OR(AY$4="",$A668&gt;TODAY()),0,IF(OR(INDEX($B668:$D668,AY$5)="F",AND(AY$6&gt;0,$A668&lt;AY$6),AND(AY$7&gt;0,$A668&gt;AY$7)),0,MAX(0,ROUND((INDEX($E668:$G668,AY$5)-SUMIFS(TF_Timer,TF_Tekniker,AY$4,TF_Dato,$A668))*2,0)/2)))</f>
        <v/>
      </c>
      <c r="AZ668">
        <f>IF(OR(AZ$4="",$A668&gt;TODAY()),0,IF(OR(INDEX($B668:$D668,AZ$5)="F",AND(AZ$6&gt;0,$A668&lt;AZ$6),AND(AZ$7&gt;0,$A668&gt;AZ$7)),0,MAX(0,ROUND((INDEX($E668:$G668,AZ$5)-SUMIFS(TF_Timer,TF_Tekniker,AZ$4,TF_Dato,$A668))*2,0)/2)))</f>
        <v/>
      </c>
      <c r="BA668">
        <f>IF(OR(BA$4="",$A668&gt;TODAY()),0,IF(OR(INDEX($B668:$D668,BA$5)="F",AND(BA$6&gt;0,$A668&lt;BA$6),AND(BA$7&gt;0,$A668&gt;BA$7)),0,MAX(0,ROUND((INDEX($E668:$G668,BA$5)-SUMIFS(TF_Timer,TF_Tekniker,BA$4,TF_Dato,$A668))*2,0)/2)))</f>
        <v/>
      </c>
      <c r="BB668">
        <f>IF(OR(BB$4="",$A668&gt;TODAY()),0,IF(OR(INDEX($B668:$D668,BB$5)="F",AND(BB$6&gt;0,$A668&lt;BB$6),AND(BB$7&gt;0,$A668&gt;BB$7)),0,MAX(0,ROUND((INDEX($E668:$G668,BB$5)-SUMIFS(TF_Timer,TF_Tekniker,BB$4,TF_Dato,$A668))*2,0)/2)))</f>
        <v/>
      </c>
      <c r="BC668">
        <f>IF(OR(BC$4="",$A668&gt;TODAY()),0,IF(OR(INDEX($B668:$D668,BC$5)="F",AND(BC$6&gt;0,$A668&lt;BC$6),AND(BC$7&gt;0,$A668&gt;BC$7)),0,MAX(0,ROUND((INDEX($E668:$G668,BC$5)-SUMIFS(TF_Timer,TF_Tekniker,BC$4,TF_Dato,$A668))*2,0)/2)))</f>
        <v/>
      </c>
      <c r="BD668">
        <f>IF(OR(BD$4="",$A668&gt;TODAY()),0,IF(OR(INDEX($B668:$D668,BD$5)="F",AND(BD$6&gt;0,$A668&lt;BD$6),AND(BD$7&gt;0,$A668&gt;BD$7)),0,MAX(0,ROUND((INDEX($E668:$G668,BD$5)-SUMIFS(TF_Timer,TF_Tekniker,BD$4,TF_Dato,$A668))*2,0)/2)))</f>
        <v/>
      </c>
      <c r="BE668">
        <f>IF(OR(BE$4="",$A668&gt;TODAY()),0,IF(OR(INDEX($B668:$D668,BE$5)="F",AND(BE$6&gt;0,$A668&lt;BE$6),AND(BE$7&gt;0,$A668&gt;BE$7)),0,MAX(0,ROUND((INDEX($E668:$G668,BE$5)-SUMIFS(TF_Timer,TF_Tekniker,BE$4,TF_Dato,$A668))*2,0)/2)))</f>
        <v/>
      </c>
      <c r="BF668">
        <f>IF(OR(BF$4="",$A668&gt;TODAY()),0,IF(OR(INDEX($B668:$D668,BF$5)="F",AND(BF$6&gt;0,$A668&lt;BF$6),AND(BF$7&gt;0,$A668&gt;BF$7)),0,MAX(0,ROUND((INDEX($E668:$G668,BF$5)-SUMIFS(TF_Timer,TF_Tekniker,BF$4,TF_Dato,$A668))*2,0)/2)))</f>
        <v/>
      </c>
      <c r="BG668">
        <f>IF(OR(BG$4="",$A668&gt;TODAY()),0,IF(OR(INDEX($B668:$D668,BG$5)="F",AND(BG$6&gt;0,$A668&lt;BG$6),AND(BG$7&gt;0,$A668&gt;BG$7)),0,MAX(0,ROUND((INDEX($E668:$G668,BG$5)-SUMIFS(TF_Timer,TF_Tekniker,BG$4,TF_Dato,$A668))*2,0)/2)))</f>
        <v/>
      </c>
      <c r="BH668">
        <f>IF(OR(BH$4="",$A668&gt;TODAY()),0,IF(OR(INDEX($B668:$D668,BH$5)="F",AND(BH$6&gt;0,$A668&lt;BH$6),AND(BH$7&gt;0,$A668&gt;BH$7)),0,MAX(0,ROUND((INDEX($E668:$G668,BH$5)-SUMIFS(TF_Timer,TF_Tekniker,BH$4,TF_Dato,$A668))*2,0)/2)))</f>
        <v/>
      </c>
      <c r="BI668">
        <f>IF(OR(BI$4="",$A668&gt;TODAY()),0,IF(OR(INDEX($B668:$D668,BI$5)="F",AND(BI$6&gt;0,$A668&lt;BI$6),AND(BI$7&gt;0,$A668&gt;BI$7)),0,MAX(0,ROUND((INDEX($E668:$G668,BI$5)-SUMIFS(TF_Timer,TF_Tekniker,BI$4,TF_Dato,$A668))*2,0)/2)))</f>
        <v/>
      </c>
    </row>
    <row r="669">
      <c r="A669" s="64">
        <f>A668+1</f>
        <v/>
      </c>
      <c r="B669">
        <f>IF(MOD($A669-INDEX(SkiftStart,1),Syklus)&lt;DagK,"K",IF(MOD($A669-INDEX(SkiftStart,1),Syklus)&lt;DagK+DagH,"H",IF(MOD($A669-INDEX(SkiftStart,1),Syklus)&lt;DagK+DagH+DagD,"D","F")))</f>
        <v/>
      </c>
      <c r="C669">
        <f>IF(MOD($A669-INDEX(SkiftStart,2),Syklus)&lt;DagK,"K",IF(MOD($A669-INDEX(SkiftStart,2),Syklus)&lt;DagK+DagH,"H",IF(MOD($A669-INDEX(SkiftStart,2),Syklus)&lt;DagK+DagH+DagD,"D","F")))</f>
        <v/>
      </c>
      <c r="D669">
        <f>IF(MOD($A669-INDEX(SkiftStart,3),Syklus)&lt;DagK,"K",IF(MOD($A669-INDEX(SkiftStart,3),Syklus)&lt;DagK+DagH,"H",IF(MOD($A669-INDEX(SkiftStart,3),Syklus)&lt;DagK+DagH+DagD,"D","F")))</f>
        <v/>
      </c>
      <c r="E669">
        <f>IF(B669="F",0,IF(WEEKDAY($A669,2)=5,INDEX(TimerFr,MATCH(B669,FaseKode,0)),INDEX(TimerMT,MATCH(B669,FaseKode,0))))</f>
        <v/>
      </c>
      <c r="F669">
        <f>IF(C669="F",0,IF(WEEKDAY($A669,2)=5,INDEX(TimerFr,MATCH(C669,FaseKode,0)),INDEX(TimerMT,MATCH(C669,FaseKode,0))))</f>
        <v/>
      </c>
      <c r="G669">
        <f>IF(D669="F",0,IF(WEEKDAY($A669,2)=5,INDEX(TimerFr,MATCH(D669,FaseKode,0)),INDEX(TimerMT,MATCH(D669,FaseKode,0))))</f>
        <v/>
      </c>
      <c r="H669">
        <f>IF(OR(H$4="",$A669&gt;TODAY()),0,IF(OR(INDEX($B669:$D669,H$5)="F",AND(H$6&gt;0,$A669&lt;H$6),AND(H$7&gt;0,$A669&gt;H$7)),0,MAX(0,ROUND((INDEX($E669:$G669,H$5)-SUMIFS(TF_Timer,TF_Tekniker,H$4,TF_Dato,$A669))*2,0)/2)))</f>
        <v/>
      </c>
      <c r="I669">
        <f>IF(OR(I$4="",$A669&gt;TODAY()),0,IF(OR(INDEX($B669:$D669,I$5)="F",AND(I$6&gt;0,$A669&lt;I$6),AND(I$7&gt;0,$A669&gt;I$7)),0,MAX(0,ROUND((INDEX($E669:$G669,I$5)-SUMIFS(TF_Timer,TF_Tekniker,I$4,TF_Dato,$A669))*2,0)/2)))</f>
        <v/>
      </c>
      <c r="J669">
        <f>IF(OR(J$4="",$A669&gt;TODAY()),0,IF(OR(INDEX($B669:$D669,J$5)="F",AND(J$6&gt;0,$A669&lt;J$6),AND(J$7&gt;0,$A669&gt;J$7)),0,MAX(0,ROUND((INDEX($E669:$G669,J$5)-SUMIFS(TF_Timer,TF_Tekniker,J$4,TF_Dato,$A669))*2,0)/2)))</f>
        <v/>
      </c>
      <c r="K669">
        <f>IF(OR(K$4="",$A669&gt;TODAY()),0,IF(OR(INDEX($B669:$D669,K$5)="F",AND(K$6&gt;0,$A669&lt;K$6),AND(K$7&gt;0,$A669&gt;K$7)),0,MAX(0,ROUND((INDEX($E669:$G669,K$5)-SUMIFS(TF_Timer,TF_Tekniker,K$4,TF_Dato,$A669))*2,0)/2)))</f>
        <v/>
      </c>
      <c r="L669">
        <f>IF(OR(L$4="",$A669&gt;TODAY()),0,IF(OR(INDEX($B669:$D669,L$5)="F",AND(L$6&gt;0,$A669&lt;L$6),AND(L$7&gt;0,$A669&gt;L$7)),0,MAX(0,ROUND((INDEX($E669:$G669,L$5)-SUMIFS(TF_Timer,TF_Tekniker,L$4,TF_Dato,$A669))*2,0)/2)))</f>
        <v/>
      </c>
      <c r="M669">
        <f>IF(OR(M$4="",$A669&gt;TODAY()),0,IF(OR(INDEX($B669:$D669,M$5)="F",AND(M$6&gt;0,$A669&lt;M$6),AND(M$7&gt;0,$A669&gt;M$7)),0,MAX(0,ROUND((INDEX($E669:$G669,M$5)-SUMIFS(TF_Timer,TF_Tekniker,M$4,TF_Dato,$A669))*2,0)/2)))</f>
        <v/>
      </c>
      <c r="N669">
        <f>IF(OR(N$4="",$A669&gt;TODAY()),0,IF(OR(INDEX($B669:$D669,N$5)="F",AND(N$6&gt;0,$A669&lt;N$6),AND(N$7&gt;0,$A669&gt;N$7)),0,MAX(0,ROUND((INDEX($E669:$G669,N$5)-SUMIFS(TF_Timer,TF_Tekniker,N$4,TF_Dato,$A669))*2,0)/2)))</f>
        <v/>
      </c>
      <c r="O669">
        <f>IF(OR(O$4="",$A669&gt;TODAY()),0,IF(OR(INDEX($B669:$D669,O$5)="F",AND(O$6&gt;0,$A669&lt;O$6),AND(O$7&gt;0,$A669&gt;O$7)),0,MAX(0,ROUND((INDEX($E669:$G669,O$5)-SUMIFS(TF_Timer,TF_Tekniker,O$4,TF_Dato,$A669))*2,0)/2)))</f>
        <v/>
      </c>
      <c r="P669">
        <f>IF(OR(P$4="",$A669&gt;TODAY()),0,IF(OR(INDEX($B669:$D669,P$5)="F",AND(P$6&gt;0,$A669&lt;P$6),AND(P$7&gt;0,$A669&gt;P$7)),0,MAX(0,ROUND((INDEX($E669:$G669,P$5)-SUMIFS(TF_Timer,TF_Tekniker,P$4,TF_Dato,$A669))*2,0)/2)))</f>
        <v/>
      </c>
      <c r="Q669">
        <f>IF(OR(Q$4="",$A669&gt;TODAY()),0,IF(OR(INDEX($B669:$D669,Q$5)="F",AND(Q$6&gt;0,$A669&lt;Q$6),AND(Q$7&gt;0,$A669&gt;Q$7)),0,MAX(0,ROUND((INDEX($E669:$G669,Q$5)-SUMIFS(TF_Timer,TF_Tekniker,Q$4,TF_Dato,$A669))*2,0)/2)))</f>
        <v/>
      </c>
      <c r="R669">
        <f>IF(OR(R$4="",$A669&gt;TODAY()),0,IF(OR(INDEX($B669:$D669,R$5)="F",AND(R$6&gt;0,$A669&lt;R$6),AND(R$7&gt;0,$A669&gt;R$7)),0,MAX(0,ROUND((INDEX($E669:$G669,R$5)-SUMIFS(TF_Timer,TF_Tekniker,R$4,TF_Dato,$A669))*2,0)/2)))</f>
        <v/>
      </c>
      <c r="S669">
        <f>IF(OR(S$4="",$A669&gt;TODAY()),0,IF(OR(INDEX($B669:$D669,S$5)="F",AND(S$6&gt;0,$A669&lt;S$6),AND(S$7&gt;0,$A669&gt;S$7)),0,MAX(0,ROUND((INDEX($E669:$G669,S$5)-SUMIFS(TF_Timer,TF_Tekniker,S$4,TF_Dato,$A669))*2,0)/2)))</f>
        <v/>
      </c>
      <c r="T669">
        <f>IF(OR(T$4="",$A669&gt;TODAY()),0,IF(OR(INDEX($B669:$D669,T$5)="F",AND(T$6&gt;0,$A669&lt;T$6),AND(T$7&gt;0,$A669&gt;T$7)),0,MAX(0,ROUND((INDEX($E669:$G669,T$5)-SUMIFS(TF_Timer,TF_Tekniker,T$4,TF_Dato,$A669))*2,0)/2)))</f>
        <v/>
      </c>
      <c r="U669">
        <f>IF(OR(U$4="",$A669&gt;TODAY()),0,IF(OR(INDEX($B669:$D669,U$5)="F",AND(U$6&gt;0,$A669&lt;U$6),AND(U$7&gt;0,$A669&gt;U$7)),0,MAX(0,ROUND((INDEX($E669:$G669,U$5)-SUMIFS(TF_Timer,TF_Tekniker,U$4,TF_Dato,$A669))*2,0)/2)))</f>
        <v/>
      </c>
      <c r="V669">
        <f>IF(OR(V$4="",$A669&gt;TODAY()),0,IF(OR(INDEX($B669:$D669,V$5)="F",AND(V$6&gt;0,$A669&lt;V$6),AND(V$7&gt;0,$A669&gt;V$7)),0,MAX(0,ROUND((INDEX($E669:$G669,V$5)-SUMIFS(TF_Timer,TF_Tekniker,V$4,TF_Dato,$A669))*2,0)/2)))</f>
        <v/>
      </c>
      <c r="W669">
        <f>IF(OR(W$4="",$A669&gt;TODAY()),0,IF(OR(INDEX($B669:$D669,W$5)="F",AND(W$6&gt;0,$A669&lt;W$6),AND(W$7&gt;0,$A669&gt;W$7)),0,MAX(0,ROUND((INDEX($E669:$G669,W$5)-SUMIFS(TF_Timer,TF_Tekniker,W$4,TF_Dato,$A669))*2,0)/2)))</f>
        <v/>
      </c>
      <c r="X669">
        <f>IF(OR(X$4="",$A669&gt;TODAY()),0,IF(OR(INDEX($B669:$D669,X$5)="F",AND(X$6&gt;0,$A669&lt;X$6),AND(X$7&gt;0,$A669&gt;X$7)),0,MAX(0,ROUND((INDEX($E669:$G669,X$5)-SUMIFS(TF_Timer,TF_Tekniker,X$4,TF_Dato,$A669))*2,0)/2)))</f>
        <v/>
      </c>
      <c r="Y669">
        <f>IF(OR(Y$4="",$A669&gt;TODAY()),0,IF(OR(INDEX($B669:$D669,Y$5)="F",AND(Y$6&gt;0,$A669&lt;Y$6),AND(Y$7&gt;0,$A669&gt;Y$7)),0,MAX(0,ROUND((INDEX($E669:$G669,Y$5)-SUMIFS(TF_Timer,TF_Tekniker,Y$4,TF_Dato,$A669))*2,0)/2)))</f>
        <v/>
      </c>
      <c r="Z669">
        <f>IF(OR(Z$4="",$A669&gt;TODAY()),0,IF(OR(INDEX($B669:$D669,Z$5)="F",AND(Z$6&gt;0,$A669&lt;Z$6),AND(Z$7&gt;0,$A669&gt;Z$7)),0,MAX(0,ROUND((INDEX($E669:$G669,Z$5)-SUMIFS(TF_Timer,TF_Tekniker,Z$4,TF_Dato,$A669))*2,0)/2)))</f>
        <v/>
      </c>
      <c r="AA669">
        <f>IF(OR(AA$4="",$A669&gt;TODAY()),0,IF(OR(INDEX($B669:$D669,AA$5)="F",AND(AA$6&gt;0,$A669&lt;AA$6),AND(AA$7&gt;0,$A669&gt;AA$7)),0,MAX(0,ROUND((INDEX($E669:$G669,AA$5)-SUMIFS(TF_Timer,TF_Tekniker,AA$4,TF_Dato,$A669))*2,0)/2)))</f>
        <v/>
      </c>
      <c r="AB669">
        <f>IF(OR(AB$4="",$A669&gt;TODAY()),0,IF(OR(INDEX($B669:$D669,AB$5)="F",AND(AB$6&gt;0,$A669&lt;AB$6),AND(AB$7&gt;0,$A669&gt;AB$7)),0,MAX(0,ROUND((INDEX($E669:$G669,AB$5)-SUMIFS(TF_Timer,TF_Tekniker,AB$4,TF_Dato,$A669))*2,0)/2)))</f>
        <v/>
      </c>
      <c r="AC669">
        <f>IF(OR(AC$4="",$A669&gt;TODAY()),0,IF(OR(INDEX($B669:$D669,AC$5)="F",AND(AC$6&gt;0,$A669&lt;AC$6),AND(AC$7&gt;0,$A669&gt;AC$7)),0,MAX(0,ROUND((INDEX($E669:$G669,AC$5)-SUMIFS(TF_Timer,TF_Tekniker,AC$4,TF_Dato,$A669))*2,0)/2)))</f>
        <v/>
      </c>
      <c r="AD669">
        <f>IF(OR(AD$4="",$A669&gt;TODAY()),0,IF(OR(INDEX($B669:$D669,AD$5)="F",AND(AD$6&gt;0,$A669&lt;AD$6),AND(AD$7&gt;0,$A669&gt;AD$7)),0,MAX(0,ROUND((INDEX($E669:$G669,AD$5)-SUMIFS(TF_Timer,TF_Tekniker,AD$4,TF_Dato,$A669))*2,0)/2)))</f>
        <v/>
      </c>
      <c r="AE669">
        <f>IF(OR(AE$4="",$A669&gt;TODAY()),0,IF(OR(INDEX($B669:$D669,AE$5)="F",AND(AE$6&gt;0,$A669&lt;AE$6),AND(AE$7&gt;0,$A669&gt;AE$7)),0,MAX(0,ROUND((INDEX($E669:$G669,AE$5)-SUMIFS(TF_Timer,TF_Tekniker,AE$4,TF_Dato,$A669))*2,0)/2)))</f>
        <v/>
      </c>
      <c r="AF669">
        <f>IF(OR(AF$4="",$A669&gt;TODAY()),0,IF(OR(INDEX($B669:$D669,AF$5)="F",AND(AF$6&gt;0,$A669&lt;AF$6),AND(AF$7&gt;0,$A669&gt;AF$7)),0,MAX(0,ROUND((INDEX($E669:$G669,AF$5)-SUMIFS(TF_Timer,TF_Tekniker,AF$4,TF_Dato,$A669))*2,0)/2)))</f>
        <v/>
      </c>
      <c r="AG669">
        <f>IF(OR(AG$4="",$A669&gt;TODAY()),0,IF(OR(INDEX($B669:$D669,AG$5)="F",AND(AG$6&gt;0,$A669&lt;AG$6),AND(AG$7&gt;0,$A669&gt;AG$7)),0,MAX(0,ROUND((INDEX($E669:$G669,AG$5)-SUMIFS(TF_Timer,TF_Tekniker,AG$4,TF_Dato,$A669))*2,0)/2)))</f>
        <v/>
      </c>
      <c r="AH669">
        <f>IF(OR(AH$4="",$A669&gt;TODAY()),0,IF(OR(INDEX($B669:$D669,AH$5)="F",AND(AH$6&gt;0,$A669&lt;AH$6),AND(AH$7&gt;0,$A669&gt;AH$7)),0,MAX(0,ROUND((INDEX($E669:$G669,AH$5)-SUMIFS(TF_Timer,TF_Tekniker,AH$4,TF_Dato,$A669))*2,0)/2)))</f>
        <v/>
      </c>
      <c r="AI669">
        <f>IF(OR(AI$4="",$A669&gt;TODAY()),0,IF(OR(INDEX($B669:$D669,AI$5)="F",AND(AI$6&gt;0,$A669&lt;AI$6),AND(AI$7&gt;0,$A669&gt;AI$7)),0,MAX(0,ROUND((INDEX($E669:$G669,AI$5)-SUMIFS(TF_Timer,TF_Tekniker,AI$4,TF_Dato,$A669))*2,0)/2)))</f>
        <v/>
      </c>
      <c r="AJ669">
        <f>IF(OR(AJ$4="",$A669&gt;TODAY()),0,IF(OR(INDEX($B669:$D669,AJ$5)="F",AND(AJ$6&gt;0,$A669&lt;AJ$6),AND(AJ$7&gt;0,$A669&gt;AJ$7)),0,MAX(0,ROUND((INDEX($E669:$G669,AJ$5)-SUMIFS(TF_Timer,TF_Tekniker,AJ$4,TF_Dato,$A669))*2,0)/2)))</f>
        <v/>
      </c>
      <c r="AK669">
        <f>IF(OR(AK$4="",$A669&gt;TODAY()),0,IF(OR(INDEX($B669:$D669,AK$5)="F",AND(AK$6&gt;0,$A669&lt;AK$6),AND(AK$7&gt;0,$A669&gt;AK$7)),0,MAX(0,ROUND((INDEX($E669:$G669,AK$5)-SUMIFS(TF_Timer,TF_Tekniker,AK$4,TF_Dato,$A669))*2,0)/2)))</f>
        <v/>
      </c>
      <c r="AL669">
        <f>IF(OR(AL$4="",$A669&gt;TODAY()),0,IF(OR(INDEX($B669:$D669,AL$5)="F",AND(AL$6&gt;0,$A669&lt;AL$6),AND(AL$7&gt;0,$A669&gt;AL$7)),0,MAX(0,ROUND((INDEX($E669:$G669,AL$5)-SUMIFS(TF_Timer,TF_Tekniker,AL$4,TF_Dato,$A669))*2,0)/2)))</f>
        <v/>
      </c>
      <c r="AM669">
        <f>IF(OR(AM$4="",$A669&gt;TODAY()),0,IF(OR(INDEX($B669:$D669,AM$5)="F",AND(AM$6&gt;0,$A669&lt;AM$6),AND(AM$7&gt;0,$A669&gt;AM$7)),0,MAX(0,ROUND((INDEX($E669:$G669,AM$5)-SUMIFS(TF_Timer,TF_Tekniker,AM$4,TF_Dato,$A669))*2,0)/2)))</f>
        <v/>
      </c>
      <c r="AN669">
        <f>IF(OR(AN$4="",$A669&gt;TODAY()),0,IF(OR(INDEX($B669:$D669,AN$5)="F",AND(AN$6&gt;0,$A669&lt;AN$6),AND(AN$7&gt;0,$A669&gt;AN$7)),0,MAX(0,ROUND((INDEX($E669:$G669,AN$5)-SUMIFS(TF_Timer,TF_Tekniker,AN$4,TF_Dato,$A669))*2,0)/2)))</f>
        <v/>
      </c>
      <c r="AO669">
        <f>IF(OR(AO$4="",$A669&gt;TODAY()),0,IF(OR(INDEX($B669:$D669,AO$5)="F",AND(AO$6&gt;0,$A669&lt;AO$6),AND(AO$7&gt;0,$A669&gt;AO$7)),0,MAX(0,ROUND((INDEX($E669:$G669,AO$5)-SUMIFS(TF_Timer,TF_Tekniker,AO$4,TF_Dato,$A669))*2,0)/2)))</f>
        <v/>
      </c>
      <c r="AP669">
        <f>IF(OR(AP$4="",$A669&gt;TODAY()),0,IF(OR(INDEX($B669:$D669,AP$5)="F",AND(AP$6&gt;0,$A669&lt;AP$6),AND(AP$7&gt;0,$A669&gt;AP$7)),0,MAX(0,ROUND((INDEX($E669:$G669,AP$5)-SUMIFS(TF_Timer,TF_Tekniker,AP$4,TF_Dato,$A669))*2,0)/2)))</f>
        <v/>
      </c>
      <c r="AQ669">
        <f>IF(OR(AQ$4="",$A669&gt;TODAY()),0,IF(OR(INDEX($B669:$D669,AQ$5)="F",AND(AQ$6&gt;0,$A669&lt;AQ$6),AND(AQ$7&gt;0,$A669&gt;AQ$7)),0,MAX(0,ROUND((INDEX($E669:$G669,AQ$5)-SUMIFS(TF_Timer,TF_Tekniker,AQ$4,TF_Dato,$A669))*2,0)/2)))</f>
        <v/>
      </c>
      <c r="AR669">
        <f>IF(OR(AR$4="",$A669&gt;TODAY()),0,IF(OR(INDEX($B669:$D669,AR$5)="F",AND(AR$6&gt;0,$A669&lt;AR$6),AND(AR$7&gt;0,$A669&gt;AR$7)),0,MAX(0,ROUND((INDEX($E669:$G669,AR$5)-SUMIFS(TF_Timer,TF_Tekniker,AR$4,TF_Dato,$A669))*2,0)/2)))</f>
        <v/>
      </c>
      <c r="AS669">
        <f>IF(OR(AS$4="",$A669&gt;TODAY()),0,IF(OR(INDEX($B669:$D669,AS$5)="F",AND(AS$6&gt;0,$A669&lt;AS$6),AND(AS$7&gt;0,$A669&gt;AS$7)),0,MAX(0,ROUND((INDEX($E669:$G669,AS$5)-SUMIFS(TF_Timer,TF_Tekniker,AS$4,TF_Dato,$A669))*2,0)/2)))</f>
        <v/>
      </c>
      <c r="AT669">
        <f>IF(OR(AT$4="",$A669&gt;TODAY()),0,IF(OR(INDEX($B669:$D669,AT$5)="F",AND(AT$6&gt;0,$A669&lt;AT$6),AND(AT$7&gt;0,$A669&gt;AT$7)),0,MAX(0,ROUND((INDEX($E669:$G669,AT$5)-SUMIFS(TF_Timer,TF_Tekniker,AT$4,TF_Dato,$A669))*2,0)/2)))</f>
        <v/>
      </c>
      <c r="AU669">
        <f>IF(OR(AU$4="",$A669&gt;TODAY()),0,IF(OR(INDEX($B669:$D669,AU$5)="F",AND(AU$6&gt;0,$A669&lt;AU$6),AND(AU$7&gt;0,$A669&gt;AU$7)),0,MAX(0,ROUND((INDEX($E669:$G669,AU$5)-SUMIFS(TF_Timer,TF_Tekniker,AU$4,TF_Dato,$A669))*2,0)/2)))</f>
        <v/>
      </c>
      <c r="AV669">
        <f>IF(OR(AV$4="",$A669&gt;TODAY()),0,IF(OR(INDEX($B669:$D669,AV$5)="F",AND(AV$6&gt;0,$A669&lt;AV$6),AND(AV$7&gt;0,$A669&gt;AV$7)),0,MAX(0,ROUND((INDEX($E669:$G669,AV$5)-SUMIFS(TF_Timer,TF_Tekniker,AV$4,TF_Dato,$A669))*2,0)/2)))</f>
        <v/>
      </c>
      <c r="AW669">
        <f>IF(OR(AW$4="",$A669&gt;TODAY()),0,IF(OR(INDEX($B669:$D669,AW$5)="F",AND(AW$6&gt;0,$A669&lt;AW$6),AND(AW$7&gt;0,$A669&gt;AW$7)),0,MAX(0,ROUND((INDEX($E669:$G669,AW$5)-SUMIFS(TF_Timer,TF_Tekniker,AW$4,TF_Dato,$A669))*2,0)/2)))</f>
        <v/>
      </c>
      <c r="AX669">
        <f>IF(OR(AX$4="",$A669&gt;TODAY()),0,IF(OR(INDEX($B669:$D669,AX$5)="F",AND(AX$6&gt;0,$A669&lt;AX$6),AND(AX$7&gt;0,$A669&gt;AX$7)),0,MAX(0,ROUND((INDEX($E669:$G669,AX$5)-SUMIFS(TF_Timer,TF_Tekniker,AX$4,TF_Dato,$A669))*2,0)/2)))</f>
        <v/>
      </c>
      <c r="AY669">
        <f>IF(OR(AY$4="",$A669&gt;TODAY()),0,IF(OR(INDEX($B669:$D669,AY$5)="F",AND(AY$6&gt;0,$A669&lt;AY$6),AND(AY$7&gt;0,$A669&gt;AY$7)),0,MAX(0,ROUND((INDEX($E669:$G669,AY$5)-SUMIFS(TF_Timer,TF_Tekniker,AY$4,TF_Dato,$A669))*2,0)/2)))</f>
        <v/>
      </c>
      <c r="AZ669">
        <f>IF(OR(AZ$4="",$A669&gt;TODAY()),0,IF(OR(INDEX($B669:$D669,AZ$5)="F",AND(AZ$6&gt;0,$A669&lt;AZ$6),AND(AZ$7&gt;0,$A669&gt;AZ$7)),0,MAX(0,ROUND((INDEX($E669:$G669,AZ$5)-SUMIFS(TF_Timer,TF_Tekniker,AZ$4,TF_Dato,$A669))*2,0)/2)))</f>
        <v/>
      </c>
      <c r="BA669">
        <f>IF(OR(BA$4="",$A669&gt;TODAY()),0,IF(OR(INDEX($B669:$D669,BA$5)="F",AND(BA$6&gt;0,$A669&lt;BA$6),AND(BA$7&gt;0,$A669&gt;BA$7)),0,MAX(0,ROUND((INDEX($E669:$G669,BA$5)-SUMIFS(TF_Timer,TF_Tekniker,BA$4,TF_Dato,$A669))*2,0)/2)))</f>
        <v/>
      </c>
      <c r="BB669">
        <f>IF(OR(BB$4="",$A669&gt;TODAY()),0,IF(OR(INDEX($B669:$D669,BB$5)="F",AND(BB$6&gt;0,$A669&lt;BB$6),AND(BB$7&gt;0,$A669&gt;BB$7)),0,MAX(0,ROUND((INDEX($E669:$G669,BB$5)-SUMIFS(TF_Timer,TF_Tekniker,BB$4,TF_Dato,$A669))*2,0)/2)))</f>
        <v/>
      </c>
      <c r="BC669">
        <f>IF(OR(BC$4="",$A669&gt;TODAY()),0,IF(OR(INDEX($B669:$D669,BC$5)="F",AND(BC$6&gt;0,$A669&lt;BC$6),AND(BC$7&gt;0,$A669&gt;BC$7)),0,MAX(0,ROUND((INDEX($E669:$G669,BC$5)-SUMIFS(TF_Timer,TF_Tekniker,BC$4,TF_Dato,$A669))*2,0)/2)))</f>
        <v/>
      </c>
      <c r="BD669">
        <f>IF(OR(BD$4="",$A669&gt;TODAY()),0,IF(OR(INDEX($B669:$D669,BD$5)="F",AND(BD$6&gt;0,$A669&lt;BD$6),AND(BD$7&gt;0,$A669&gt;BD$7)),0,MAX(0,ROUND((INDEX($E669:$G669,BD$5)-SUMIFS(TF_Timer,TF_Tekniker,BD$4,TF_Dato,$A669))*2,0)/2)))</f>
        <v/>
      </c>
      <c r="BE669">
        <f>IF(OR(BE$4="",$A669&gt;TODAY()),0,IF(OR(INDEX($B669:$D669,BE$5)="F",AND(BE$6&gt;0,$A669&lt;BE$6),AND(BE$7&gt;0,$A669&gt;BE$7)),0,MAX(0,ROUND((INDEX($E669:$G669,BE$5)-SUMIFS(TF_Timer,TF_Tekniker,BE$4,TF_Dato,$A669))*2,0)/2)))</f>
        <v/>
      </c>
      <c r="BF669">
        <f>IF(OR(BF$4="",$A669&gt;TODAY()),0,IF(OR(INDEX($B669:$D669,BF$5)="F",AND(BF$6&gt;0,$A669&lt;BF$6),AND(BF$7&gt;0,$A669&gt;BF$7)),0,MAX(0,ROUND((INDEX($E669:$G669,BF$5)-SUMIFS(TF_Timer,TF_Tekniker,BF$4,TF_Dato,$A669))*2,0)/2)))</f>
        <v/>
      </c>
      <c r="BG669">
        <f>IF(OR(BG$4="",$A669&gt;TODAY()),0,IF(OR(INDEX($B669:$D669,BG$5)="F",AND(BG$6&gt;0,$A669&lt;BG$6),AND(BG$7&gt;0,$A669&gt;BG$7)),0,MAX(0,ROUND((INDEX($E669:$G669,BG$5)-SUMIFS(TF_Timer,TF_Tekniker,BG$4,TF_Dato,$A669))*2,0)/2)))</f>
        <v/>
      </c>
      <c r="BH669">
        <f>IF(OR(BH$4="",$A669&gt;TODAY()),0,IF(OR(INDEX($B669:$D669,BH$5)="F",AND(BH$6&gt;0,$A669&lt;BH$6),AND(BH$7&gt;0,$A669&gt;BH$7)),0,MAX(0,ROUND((INDEX($E669:$G669,BH$5)-SUMIFS(TF_Timer,TF_Tekniker,BH$4,TF_Dato,$A669))*2,0)/2)))</f>
        <v/>
      </c>
      <c r="BI669">
        <f>IF(OR(BI$4="",$A669&gt;TODAY()),0,IF(OR(INDEX($B669:$D669,BI$5)="F",AND(BI$6&gt;0,$A669&lt;BI$6),AND(BI$7&gt;0,$A669&gt;BI$7)),0,MAX(0,ROUND((INDEX($E669:$G669,BI$5)-SUMIFS(TF_Timer,TF_Tekniker,BI$4,TF_Dato,$A669))*2,0)/2)))</f>
        <v/>
      </c>
    </row>
    <row r="670">
      <c r="A670" s="64">
        <f>A669+1</f>
        <v/>
      </c>
      <c r="B670">
        <f>IF(MOD($A670-INDEX(SkiftStart,1),Syklus)&lt;DagK,"K",IF(MOD($A670-INDEX(SkiftStart,1),Syklus)&lt;DagK+DagH,"H",IF(MOD($A670-INDEX(SkiftStart,1),Syklus)&lt;DagK+DagH+DagD,"D","F")))</f>
        <v/>
      </c>
      <c r="C670">
        <f>IF(MOD($A670-INDEX(SkiftStart,2),Syklus)&lt;DagK,"K",IF(MOD($A670-INDEX(SkiftStart,2),Syklus)&lt;DagK+DagH,"H",IF(MOD($A670-INDEX(SkiftStart,2),Syklus)&lt;DagK+DagH+DagD,"D","F")))</f>
        <v/>
      </c>
      <c r="D670">
        <f>IF(MOD($A670-INDEX(SkiftStart,3),Syklus)&lt;DagK,"K",IF(MOD($A670-INDEX(SkiftStart,3),Syklus)&lt;DagK+DagH,"H",IF(MOD($A670-INDEX(SkiftStart,3),Syklus)&lt;DagK+DagH+DagD,"D","F")))</f>
        <v/>
      </c>
      <c r="E670">
        <f>IF(B670="F",0,IF(WEEKDAY($A670,2)=5,INDEX(TimerFr,MATCH(B670,FaseKode,0)),INDEX(TimerMT,MATCH(B670,FaseKode,0))))</f>
        <v/>
      </c>
      <c r="F670">
        <f>IF(C670="F",0,IF(WEEKDAY($A670,2)=5,INDEX(TimerFr,MATCH(C670,FaseKode,0)),INDEX(TimerMT,MATCH(C670,FaseKode,0))))</f>
        <v/>
      </c>
      <c r="G670">
        <f>IF(D670="F",0,IF(WEEKDAY($A670,2)=5,INDEX(TimerFr,MATCH(D670,FaseKode,0)),INDEX(TimerMT,MATCH(D670,FaseKode,0))))</f>
        <v/>
      </c>
      <c r="H670">
        <f>IF(OR(H$4="",$A670&gt;TODAY()),0,IF(OR(INDEX($B670:$D670,H$5)="F",AND(H$6&gt;0,$A670&lt;H$6),AND(H$7&gt;0,$A670&gt;H$7)),0,MAX(0,ROUND((INDEX($E670:$G670,H$5)-SUMIFS(TF_Timer,TF_Tekniker,H$4,TF_Dato,$A670))*2,0)/2)))</f>
        <v/>
      </c>
      <c r="I670">
        <f>IF(OR(I$4="",$A670&gt;TODAY()),0,IF(OR(INDEX($B670:$D670,I$5)="F",AND(I$6&gt;0,$A670&lt;I$6),AND(I$7&gt;0,$A670&gt;I$7)),0,MAX(0,ROUND((INDEX($E670:$G670,I$5)-SUMIFS(TF_Timer,TF_Tekniker,I$4,TF_Dato,$A670))*2,0)/2)))</f>
        <v/>
      </c>
      <c r="J670">
        <f>IF(OR(J$4="",$A670&gt;TODAY()),0,IF(OR(INDEX($B670:$D670,J$5)="F",AND(J$6&gt;0,$A670&lt;J$6),AND(J$7&gt;0,$A670&gt;J$7)),0,MAX(0,ROUND((INDEX($E670:$G670,J$5)-SUMIFS(TF_Timer,TF_Tekniker,J$4,TF_Dato,$A670))*2,0)/2)))</f>
        <v/>
      </c>
      <c r="K670">
        <f>IF(OR(K$4="",$A670&gt;TODAY()),0,IF(OR(INDEX($B670:$D670,K$5)="F",AND(K$6&gt;0,$A670&lt;K$6),AND(K$7&gt;0,$A670&gt;K$7)),0,MAX(0,ROUND((INDEX($E670:$G670,K$5)-SUMIFS(TF_Timer,TF_Tekniker,K$4,TF_Dato,$A670))*2,0)/2)))</f>
        <v/>
      </c>
      <c r="L670">
        <f>IF(OR(L$4="",$A670&gt;TODAY()),0,IF(OR(INDEX($B670:$D670,L$5)="F",AND(L$6&gt;0,$A670&lt;L$6),AND(L$7&gt;0,$A670&gt;L$7)),0,MAX(0,ROUND((INDEX($E670:$G670,L$5)-SUMIFS(TF_Timer,TF_Tekniker,L$4,TF_Dato,$A670))*2,0)/2)))</f>
        <v/>
      </c>
      <c r="M670">
        <f>IF(OR(M$4="",$A670&gt;TODAY()),0,IF(OR(INDEX($B670:$D670,M$5)="F",AND(M$6&gt;0,$A670&lt;M$6),AND(M$7&gt;0,$A670&gt;M$7)),0,MAX(0,ROUND((INDEX($E670:$G670,M$5)-SUMIFS(TF_Timer,TF_Tekniker,M$4,TF_Dato,$A670))*2,0)/2)))</f>
        <v/>
      </c>
      <c r="N670">
        <f>IF(OR(N$4="",$A670&gt;TODAY()),0,IF(OR(INDEX($B670:$D670,N$5)="F",AND(N$6&gt;0,$A670&lt;N$6),AND(N$7&gt;0,$A670&gt;N$7)),0,MAX(0,ROUND((INDEX($E670:$G670,N$5)-SUMIFS(TF_Timer,TF_Tekniker,N$4,TF_Dato,$A670))*2,0)/2)))</f>
        <v/>
      </c>
      <c r="O670">
        <f>IF(OR(O$4="",$A670&gt;TODAY()),0,IF(OR(INDEX($B670:$D670,O$5)="F",AND(O$6&gt;0,$A670&lt;O$6),AND(O$7&gt;0,$A670&gt;O$7)),0,MAX(0,ROUND((INDEX($E670:$G670,O$5)-SUMIFS(TF_Timer,TF_Tekniker,O$4,TF_Dato,$A670))*2,0)/2)))</f>
        <v/>
      </c>
      <c r="P670">
        <f>IF(OR(P$4="",$A670&gt;TODAY()),0,IF(OR(INDEX($B670:$D670,P$5)="F",AND(P$6&gt;0,$A670&lt;P$6),AND(P$7&gt;0,$A670&gt;P$7)),0,MAX(0,ROUND((INDEX($E670:$G670,P$5)-SUMIFS(TF_Timer,TF_Tekniker,P$4,TF_Dato,$A670))*2,0)/2)))</f>
        <v/>
      </c>
      <c r="Q670">
        <f>IF(OR(Q$4="",$A670&gt;TODAY()),0,IF(OR(INDEX($B670:$D670,Q$5)="F",AND(Q$6&gt;0,$A670&lt;Q$6),AND(Q$7&gt;0,$A670&gt;Q$7)),0,MAX(0,ROUND((INDEX($E670:$G670,Q$5)-SUMIFS(TF_Timer,TF_Tekniker,Q$4,TF_Dato,$A670))*2,0)/2)))</f>
        <v/>
      </c>
      <c r="R670">
        <f>IF(OR(R$4="",$A670&gt;TODAY()),0,IF(OR(INDEX($B670:$D670,R$5)="F",AND(R$6&gt;0,$A670&lt;R$6),AND(R$7&gt;0,$A670&gt;R$7)),0,MAX(0,ROUND((INDEX($E670:$G670,R$5)-SUMIFS(TF_Timer,TF_Tekniker,R$4,TF_Dato,$A670))*2,0)/2)))</f>
        <v/>
      </c>
      <c r="S670">
        <f>IF(OR(S$4="",$A670&gt;TODAY()),0,IF(OR(INDEX($B670:$D670,S$5)="F",AND(S$6&gt;0,$A670&lt;S$6),AND(S$7&gt;0,$A670&gt;S$7)),0,MAX(0,ROUND((INDEX($E670:$G670,S$5)-SUMIFS(TF_Timer,TF_Tekniker,S$4,TF_Dato,$A670))*2,0)/2)))</f>
        <v/>
      </c>
      <c r="T670">
        <f>IF(OR(T$4="",$A670&gt;TODAY()),0,IF(OR(INDEX($B670:$D670,T$5)="F",AND(T$6&gt;0,$A670&lt;T$6),AND(T$7&gt;0,$A670&gt;T$7)),0,MAX(0,ROUND((INDEX($E670:$G670,T$5)-SUMIFS(TF_Timer,TF_Tekniker,T$4,TF_Dato,$A670))*2,0)/2)))</f>
        <v/>
      </c>
      <c r="U670">
        <f>IF(OR(U$4="",$A670&gt;TODAY()),0,IF(OR(INDEX($B670:$D670,U$5)="F",AND(U$6&gt;0,$A670&lt;U$6),AND(U$7&gt;0,$A670&gt;U$7)),0,MAX(0,ROUND((INDEX($E670:$G670,U$5)-SUMIFS(TF_Timer,TF_Tekniker,U$4,TF_Dato,$A670))*2,0)/2)))</f>
        <v/>
      </c>
      <c r="V670">
        <f>IF(OR(V$4="",$A670&gt;TODAY()),0,IF(OR(INDEX($B670:$D670,V$5)="F",AND(V$6&gt;0,$A670&lt;V$6),AND(V$7&gt;0,$A670&gt;V$7)),0,MAX(0,ROUND((INDEX($E670:$G670,V$5)-SUMIFS(TF_Timer,TF_Tekniker,V$4,TF_Dato,$A670))*2,0)/2)))</f>
        <v/>
      </c>
      <c r="W670">
        <f>IF(OR(W$4="",$A670&gt;TODAY()),0,IF(OR(INDEX($B670:$D670,W$5)="F",AND(W$6&gt;0,$A670&lt;W$6),AND(W$7&gt;0,$A670&gt;W$7)),0,MAX(0,ROUND((INDEX($E670:$G670,W$5)-SUMIFS(TF_Timer,TF_Tekniker,W$4,TF_Dato,$A670))*2,0)/2)))</f>
        <v/>
      </c>
      <c r="X670">
        <f>IF(OR(X$4="",$A670&gt;TODAY()),0,IF(OR(INDEX($B670:$D670,X$5)="F",AND(X$6&gt;0,$A670&lt;X$6),AND(X$7&gt;0,$A670&gt;X$7)),0,MAX(0,ROUND((INDEX($E670:$G670,X$5)-SUMIFS(TF_Timer,TF_Tekniker,X$4,TF_Dato,$A670))*2,0)/2)))</f>
        <v/>
      </c>
      <c r="Y670">
        <f>IF(OR(Y$4="",$A670&gt;TODAY()),0,IF(OR(INDEX($B670:$D670,Y$5)="F",AND(Y$6&gt;0,$A670&lt;Y$6),AND(Y$7&gt;0,$A670&gt;Y$7)),0,MAX(0,ROUND((INDEX($E670:$G670,Y$5)-SUMIFS(TF_Timer,TF_Tekniker,Y$4,TF_Dato,$A670))*2,0)/2)))</f>
        <v/>
      </c>
      <c r="Z670">
        <f>IF(OR(Z$4="",$A670&gt;TODAY()),0,IF(OR(INDEX($B670:$D670,Z$5)="F",AND(Z$6&gt;0,$A670&lt;Z$6),AND(Z$7&gt;0,$A670&gt;Z$7)),0,MAX(0,ROUND((INDEX($E670:$G670,Z$5)-SUMIFS(TF_Timer,TF_Tekniker,Z$4,TF_Dato,$A670))*2,0)/2)))</f>
        <v/>
      </c>
      <c r="AA670">
        <f>IF(OR(AA$4="",$A670&gt;TODAY()),0,IF(OR(INDEX($B670:$D670,AA$5)="F",AND(AA$6&gt;0,$A670&lt;AA$6),AND(AA$7&gt;0,$A670&gt;AA$7)),0,MAX(0,ROUND((INDEX($E670:$G670,AA$5)-SUMIFS(TF_Timer,TF_Tekniker,AA$4,TF_Dato,$A670))*2,0)/2)))</f>
        <v/>
      </c>
      <c r="AB670">
        <f>IF(OR(AB$4="",$A670&gt;TODAY()),0,IF(OR(INDEX($B670:$D670,AB$5)="F",AND(AB$6&gt;0,$A670&lt;AB$6),AND(AB$7&gt;0,$A670&gt;AB$7)),0,MAX(0,ROUND((INDEX($E670:$G670,AB$5)-SUMIFS(TF_Timer,TF_Tekniker,AB$4,TF_Dato,$A670))*2,0)/2)))</f>
        <v/>
      </c>
      <c r="AC670">
        <f>IF(OR(AC$4="",$A670&gt;TODAY()),0,IF(OR(INDEX($B670:$D670,AC$5)="F",AND(AC$6&gt;0,$A670&lt;AC$6),AND(AC$7&gt;0,$A670&gt;AC$7)),0,MAX(0,ROUND((INDEX($E670:$G670,AC$5)-SUMIFS(TF_Timer,TF_Tekniker,AC$4,TF_Dato,$A670))*2,0)/2)))</f>
        <v/>
      </c>
      <c r="AD670">
        <f>IF(OR(AD$4="",$A670&gt;TODAY()),0,IF(OR(INDEX($B670:$D670,AD$5)="F",AND(AD$6&gt;0,$A670&lt;AD$6),AND(AD$7&gt;0,$A670&gt;AD$7)),0,MAX(0,ROUND((INDEX($E670:$G670,AD$5)-SUMIFS(TF_Timer,TF_Tekniker,AD$4,TF_Dato,$A670))*2,0)/2)))</f>
        <v/>
      </c>
      <c r="AE670">
        <f>IF(OR(AE$4="",$A670&gt;TODAY()),0,IF(OR(INDEX($B670:$D670,AE$5)="F",AND(AE$6&gt;0,$A670&lt;AE$6),AND(AE$7&gt;0,$A670&gt;AE$7)),0,MAX(0,ROUND((INDEX($E670:$G670,AE$5)-SUMIFS(TF_Timer,TF_Tekniker,AE$4,TF_Dato,$A670))*2,0)/2)))</f>
        <v/>
      </c>
      <c r="AF670">
        <f>IF(OR(AF$4="",$A670&gt;TODAY()),0,IF(OR(INDEX($B670:$D670,AF$5)="F",AND(AF$6&gt;0,$A670&lt;AF$6),AND(AF$7&gt;0,$A670&gt;AF$7)),0,MAX(0,ROUND((INDEX($E670:$G670,AF$5)-SUMIFS(TF_Timer,TF_Tekniker,AF$4,TF_Dato,$A670))*2,0)/2)))</f>
        <v/>
      </c>
      <c r="AG670">
        <f>IF(OR(AG$4="",$A670&gt;TODAY()),0,IF(OR(INDEX($B670:$D670,AG$5)="F",AND(AG$6&gt;0,$A670&lt;AG$6),AND(AG$7&gt;0,$A670&gt;AG$7)),0,MAX(0,ROUND((INDEX($E670:$G670,AG$5)-SUMIFS(TF_Timer,TF_Tekniker,AG$4,TF_Dato,$A670))*2,0)/2)))</f>
        <v/>
      </c>
      <c r="AH670">
        <f>IF(OR(AH$4="",$A670&gt;TODAY()),0,IF(OR(INDEX($B670:$D670,AH$5)="F",AND(AH$6&gt;0,$A670&lt;AH$6),AND(AH$7&gt;0,$A670&gt;AH$7)),0,MAX(0,ROUND((INDEX($E670:$G670,AH$5)-SUMIFS(TF_Timer,TF_Tekniker,AH$4,TF_Dato,$A670))*2,0)/2)))</f>
        <v/>
      </c>
      <c r="AI670">
        <f>IF(OR(AI$4="",$A670&gt;TODAY()),0,IF(OR(INDEX($B670:$D670,AI$5)="F",AND(AI$6&gt;0,$A670&lt;AI$6),AND(AI$7&gt;0,$A670&gt;AI$7)),0,MAX(0,ROUND((INDEX($E670:$G670,AI$5)-SUMIFS(TF_Timer,TF_Tekniker,AI$4,TF_Dato,$A670))*2,0)/2)))</f>
        <v/>
      </c>
      <c r="AJ670">
        <f>IF(OR(AJ$4="",$A670&gt;TODAY()),0,IF(OR(INDEX($B670:$D670,AJ$5)="F",AND(AJ$6&gt;0,$A670&lt;AJ$6),AND(AJ$7&gt;0,$A670&gt;AJ$7)),0,MAX(0,ROUND((INDEX($E670:$G670,AJ$5)-SUMIFS(TF_Timer,TF_Tekniker,AJ$4,TF_Dato,$A670))*2,0)/2)))</f>
        <v/>
      </c>
      <c r="AK670">
        <f>IF(OR(AK$4="",$A670&gt;TODAY()),0,IF(OR(INDEX($B670:$D670,AK$5)="F",AND(AK$6&gt;0,$A670&lt;AK$6),AND(AK$7&gt;0,$A670&gt;AK$7)),0,MAX(0,ROUND((INDEX($E670:$G670,AK$5)-SUMIFS(TF_Timer,TF_Tekniker,AK$4,TF_Dato,$A670))*2,0)/2)))</f>
        <v/>
      </c>
      <c r="AL670">
        <f>IF(OR(AL$4="",$A670&gt;TODAY()),0,IF(OR(INDEX($B670:$D670,AL$5)="F",AND(AL$6&gt;0,$A670&lt;AL$6),AND(AL$7&gt;0,$A670&gt;AL$7)),0,MAX(0,ROUND((INDEX($E670:$G670,AL$5)-SUMIFS(TF_Timer,TF_Tekniker,AL$4,TF_Dato,$A670))*2,0)/2)))</f>
        <v/>
      </c>
      <c r="AM670">
        <f>IF(OR(AM$4="",$A670&gt;TODAY()),0,IF(OR(INDEX($B670:$D670,AM$5)="F",AND(AM$6&gt;0,$A670&lt;AM$6),AND(AM$7&gt;0,$A670&gt;AM$7)),0,MAX(0,ROUND((INDEX($E670:$G670,AM$5)-SUMIFS(TF_Timer,TF_Tekniker,AM$4,TF_Dato,$A670))*2,0)/2)))</f>
        <v/>
      </c>
      <c r="AN670">
        <f>IF(OR(AN$4="",$A670&gt;TODAY()),0,IF(OR(INDEX($B670:$D670,AN$5)="F",AND(AN$6&gt;0,$A670&lt;AN$6),AND(AN$7&gt;0,$A670&gt;AN$7)),0,MAX(0,ROUND((INDEX($E670:$G670,AN$5)-SUMIFS(TF_Timer,TF_Tekniker,AN$4,TF_Dato,$A670))*2,0)/2)))</f>
        <v/>
      </c>
      <c r="AO670">
        <f>IF(OR(AO$4="",$A670&gt;TODAY()),0,IF(OR(INDEX($B670:$D670,AO$5)="F",AND(AO$6&gt;0,$A670&lt;AO$6),AND(AO$7&gt;0,$A670&gt;AO$7)),0,MAX(0,ROUND((INDEX($E670:$G670,AO$5)-SUMIFS(TF_Timer,TF_Tekniker,AO$4,TF_Dato,$A670))*2,0)/2)))</f>
        <v/>
      </c>
      <c r="AP670">
        <f>IF(OR(AP$4="",$A670&gt;TODAY()),0,IF(OR(INDEX($B670:$D670,AP$5)="F",AND(AP$6&gt;0,$A670&lt;AP$6),AND(AP$7&gt;0,$A670&gt;AP$7)),0,MAX(0,ROUND((INDEX($E670:$G670,AP$5)-SUMIFS(TF_Timer,TF_Tekniker,AP$4,TF_Dato,$A670))*2,0)/2)))</f>
        <v/>
      </c>
      <c r="AQ670">
        <f>IF(OR(AQ$4="",$A670&gt;TODAY()),0,IF(OR(INDEX($B670:$D670,AQ$5)="F",AND(AQ$6&gt;0,$A670&lt;AQ$6),AND(AQ$7&gt;0,$A670&gt;AQ$7)),0,MAX(0,ROUND((INDEX($E670:$G670,AQ$5)-SUMIFS(TF_Timer,TF_Tekniker,AQ$4,TF_Dato,$A670))*2,0)/2)))</f>
        <v/>
      </c>
      <c r="AR670">
        <f>IF(OR(AR$4="",$A670&gt;TODAY()),0,IF(OR(INDEX($B670:$D670,AR$5)="F",AND(AR$6&gt;0,$A670&lt;AR$6),AND(AR$7&gt;0,$A670&gt;AR$7)),0,MAX(0,ROUND((INDEX($E670:$G670,AR$5)-SUMIFS(TF_Timer,TF_Tekniker,AR$4,TF_Dato,$A670))*2,0)/2)))</f>
        <v/>
      </c>
      <c r="AS670">
        <f>IF(OR(AS$4="",$A670&gt;TODAY()),0,IF(OR(INDEX($B670:$D670,AS$5)="F",AND(AS$6&gt;0,$A670&lt;AS$6),AND(AS$7&gt;0,$A670&gt;AS$7)),0,MAX(0,ROUND((INDEX($E670:$G670,AS$5)-SUMIFS(TF_Timer,TF_Tekniker,AS$4,TF_Dato,$A670))*2,0)/2)))</f>
        <v/>
      </c>
      <c r="AT670">
        <f>IF(OR(AT$4="",$A670&gt;TODAY()),0,IF(OR(INDEX($B670:$D670,AT$5)="F",AND(AT$6&gt;0,$A670&lt;AT$6),AND(AT$7&gt;0,$A670&gt;AT$7)),0,MAX(0,ROUND((INDEX($E670:$G670,AT$5)-SUMIFS(TF_Timer,TF_Tekniker,AT$4,TF_Dato,$A670))*2,0)/2)))</f>
        <v/>
      </c>
      <c r="AU670">
        <f>IF(OR(AU$4="",$A670&gt;TODAY()),0,IF(OR(INDEX($B670:$D670,AU$5)="F",AND(AU$6&gt;0,$A670&lt;AU$6),AND(AU$7&gt;0,$A670&gt;AU$7)),0,MAX(0,ROUND((INDEX($E670:$G670,AU$5)-SUMIFS(TF_Timer,TF_Tekniker,AU$4,TF_Dato,$A670))*2,0)/2)))</f>
        <v/>
      </c>
      <c r="AV670">
        <f>IF(OR(AV$4="",$A670&gt;TODAY()),0,IF(OR(INDEX($B670:$D670,AV$5)="F",AND(AV$6&gt;0,$A670&lt;AV$6),AND(AV$7&gt;0,$A670&gt;AV$7)),0,MAX(0,ROUND((INDEX($E670:$G670,AV$5)-SUMIFS(TF_Timer,TF_Tekniker,AV$4,TF_Dato,$A670))*2,0)/2)))</f>
        <v/>
      </c>
      <c r="AW670">
        <f>IF(OR(AW$4="",$A670&gt;TODAY()),0,IF(OR(INDEX($B670:$D670,AW$5)="F",AND(AW$6&gt;0,$A670&lt;AW$6),AND(AW$7&gt;0,$A670&gt;AW$7)),0,MAX(0,ROUND((INDEX($E670:$G670,AW$5)-SUMIFS(TF_Timer,TF_Tekniker,AW$4,TF_Dato,$A670))*2,0)/2)))</f>
        <v/>
      </c>
      <c r="AX670">
        <f>IF(OR(AX$4="",$A670&gt;TODAY()),0,IF(OR(INDEX($B670:$D670,AX$5)="F",AND(AX$6&gt;0,$A670&lt;AX$6),AND(AX$7&gt;0,$A670&gt;AX$7)),0,MAX(0,ROUND((INDEX($E670:$G670,AX$5)-SUMIFS(TF_Timer,TF_Tekniker,AX$4,TF_Dato,$A670))*2,0)/2)))</f>
        <v/>
      </c>
      <c r="AY670">
        <f>IF(OR(AY$4="",$A670&gt;TODAY()),0,IF(OR(INDEX($B670:$D670,AY$5)="F",AND(AY$6&gt;0,$A670&lt;AY$6),AND(AY$7&gt;0,$A670&gt;AY$7)),0,MAX(0,ROUND((INDEX($E670:$G670,AY$5)-SUMIFS(TF_Timer,TF_Tekniker,AY$4,TF_Dato,$A670))*2,0)/2)))</f>
        <v/>
      </c>
      <c r="AZ670">
        <f>IF(OR(AZ$4="",$A670&gt;TODAY()),0,IF(OR(INDEX($B670:$D670,AZ$5)="F",AND(AZ$6&gt;0,$A670&lt;AZ$6),AND(AZ$7&gt;0,$A670&gt;AZ$7)),0,MAX(0,ROUND((INDEX($E670:$G670,AZ$5)-SUMIFS(TF_Timer,TF_Tekniker,AZ$4,TF_Dato,$A670))*2,0)/2)))</f>
        <v/>
      </c>
      <c r="BA670">
        <f>IF(OR(BA$4="",$A670&gt;TODAY()),0,IF(OR(INDEX($B670:$D670,BA$5)="F",AND(BA$6&gt;0,$A670&lt;BA$6),AND(BA$7&gt;0,$A670&gt;BA$7)),0,MAX(0,ROUND((INDEX($E670:$G670,BA$5)-SUMIFS(TF_Timer,TF_Tekniker,BA$4,TF_Dato,$A670))*2,0)/2)))</f>
        <v/>
      </c>
      <c r="BB670">
        <f>IF(OR(BB$4="",$A670&gt;TODAY()),0,IF(OR(INDEX($B670:$D670,BB$5)="F",AND(BB$6&gt;0,$A670&lt;BB$6),AND(BB$7&gt;0,$A670&gt;BB$7)),0,MAX(0,ROUND((INDEX($E670:$G670,BB$5)-SUMIFS(TF_Timer,TF_Tekniker,BB$4,TF_Dato,$A670))*2,0)/2)))</f>
        <v/>
      </c>
      <c r="BC670">
        <f>IF(OR(BC$4="",$A670&gt;TODAY()),0,IF(OR(INDEX($B670:$D670,BC$5)="F",AND(BC$6&gt;0,$A670&lt;BC$6),AND(BC$7&gt;0,$A670&gt;BC$7)),0,MAX(0,ROUND((INDEX($E670:$G670,BC$5)-SUMIFS(TF_Timer,TF_Tekniker,BC$4,TF_Dato,$A670))*2,0)/2)))</f>
        <v/>
      </c>
      <c r="BD670">
        <f>IF(OR(BD$4="",$A670&gt;TODAY()),0,IF(OR(INDEX($B670:$D670,BD$5)="F",AND(BD$6&gt;0,$A670&lt;BD$6),AND(BD$7&gt;0,$A670&gt;BD$7)),0,MAX(0,ROUND((INDEX($E670:$G670,BD$5)-SUMIFS(TF_Timer,TF_Tekniker,BD$4,TF_Dato,$A670))*2,0)/2)))</f>
        <v/>
      </c>
      <c r="BE670">
        <f>IF(OR(BE$4="",$A670&gt;TODAY()),0,IF(OR(INDEX($B670:$D670,BE$5)="F",AND(BE$6&gt;0,$A670&lt;BE$6),AND(BE$7&gt;0,$A670&gt;BE$7)),0,MAX(0,ROUND((INDEX($E670:$G670,BE$5)-SUMIFS(TF_Timer,TF_Tekniker,BE$4,TF_Dato,$A670))*2,0)/2)))</f>
        <v/>
      </c>
      <c r="BF670">
        <f>IF(OR(BF$4="",$A670&gt;TODAY()),0,IF(OR(INDEX($B670:$D670,BF$5)="F",AND(BF$6&gt;0,$A670&lt;BF$6),AND(BF$7&gt;0,$A670&gt;BF$7)),0,MAX(0,ROUND((INDEX($E670:$G670,BF$5)-SUMIFS(TF_Timer,TF_Tekniker,BF$4,TF_Dato,$A670))*2,0)/2)))</f>
        <v/>
      </c>
      <c r="BG670">
        <f>IF(OR(BG$4="",$A670&gt;TODAY()),0,IF(OR(INDEX($B670:$D670,BG$5)="F",AND(BG$6&gt;0,$A670&lt;BG$6),AND(BG$7&gt;0,$A670&gt;BG$7)),0,MAX(0,ROUND((INDEX($E670:$G670,BG$5)-SUMIFS(TF_Timer,TF_Tekniker,BG$4,TF_Dato,$A670))*2,0)/2)))</f>
        <v/>
      </c>
      <c r="BH670">
        <f>IF(OR(BH$4="",$A670&gt;TODAY()),0,IF(OR(INDEX($B670:$D670,BH$5)="F",AND(BH$6&gt;0,$A670&lt;BH$6),AND(BH$7&gt;0,$A670&gt;BH$7)),0,MAX(0,ROUND((INDEX($E670:$G670,BH$5)-SUMIFS(TF_Timer,TF_Tekniker,BH$4,TF_Dato,$A670))*2,0)/2)))</f>
        <v/>
      </c>
      <c r="BI670">
        <f>IF(OR(BI$4="",$A670&gt;TODAY()),0,IF(OR(INDEX($B670:$D670,BI$5)="F",AND(BI$6&gt;0,$A670&lt;BI$6),AND(BI$7&gt;0,$A670&gt;BI$7)),0,MAX(0,ROUND((INDEX($E670:$G670,BI$5)-SUMIFS(TF_Timer,TF_Tekniker,BI$4,TF_Dato,$A670))*2,0)/2)))</f>
        <v/>
      </c>
    </row>
    <row r="671">
      <c r="A671" s="64">
        <f>A670+1</f>
        <v/>
      </c>
      <c r="B671">
        <f>IF(MOD($A671-INDEX(SkiftStart,1),Syklus)&lt;DagK,"K",IF(MOD($A671-INDEX(SkiftStart,1),Syklus)&lt;DagK+DagH,"H",IF(MOD($A671-INDEX(SkiftStart,1),Syklus)&lt;DagK+DagH+DagD,"D","F")))</f>
        <v/>
      </c>
      <c r="C671">
        <f>IF(MOD($A671-INDEX(SkiftStart,2),Syklus)&lt;DagK,"K",IF(MOD($A671-INDEX(SkiftStart,2),Syklus)&lt;DagK+DagH,"H",IF(MOD($A671-INDEX(SkiftStart,2),Syklus)&lt;DagK+DagH+DagD,"D","F")))</f>
        <v/>
      </c>
      <c r="D671">
        <f>IF(MOD($A671-INDEX(SkiftStart,3),Syklus)&lt;DagK,"K",IF(MOD($A671-INDEX(SkiftStart,3),Syklus)&lt;DagK+DagH,"H",IF(MOD($A671-INDEX(SkiftStart,3),Syklus)&lt;DagK+DagH+DagD,"D","F")))</f>
        <v/>
      </c>
      <c r="E671">
        <f>IF(B671="F",0,IF(WEEKDAY($A671,2)=5,INDEX(TimerFr,MATCH(B671,FaseKode,0)),INDEX(TimerMT,MATCH(B671,FaseKode,0))))</f>
        <v/>
      </c>
      <c r="F671">
        <f>IF(C671="F",0,IF(WEEKDAY($A671,2)=5,INDEX(TimerFr,MATCH(C671,FaseKode,0)),INDEX(TimerMT,MATCH(C671,FaseKode,0))))</f>
        <v/>
      </c>
      <c r="G671">
        <f>IF(D671="F",0,IF(WEEKDAY($A671,2)=5,INDEX(TimerFr,MATCH(D671,FaseKode,0)),INDEX(TimerMT,MATCH(D671,FaseKode,0))))</f>
        <v/>
      </c>
      <c r="H671">
        <f>IF(OR(H$4="",$A671&gt;TODAY()),0,IF(OR(INDEX($B671:$D671,H$5)="F",AND(H$6&gt;0,$A671&lt;H$6),AND(H$7&gt;0,$A671&gt;H$7)),0,MAX(0,ROUND((INDEX($E671:$G671,H$5)-SUMIFS(TF_Timer,TF_Tekniker,H$4,TF_Dato,$A671))*2,0)/2)))</f>
        <v/>
      </c>
      <c r="I671">
        <f>IF(OR(I$4="",$A671&gt;TODAY()),0,IF(OR(INDEX($B671:$D671,I$5)="F",AND(I$6&gt;0,$A671&lt;I$6),AND(I$7&gt;0,$A671&gt;I$7)),0,MAX(0,ROUND((INDEX($E671:$G671,I$5)-SUMIFS(TF_Timer,TF_Tekniker,I$4,TF_Dato,$A671))*2,0)/2)))</f>
        <v/>
      </c>
      <c r="J671">
        <f>IF(OR(J$4="",$A671&gt;TODAY()),0,IF(OR(INDEX($B671:$D671,J$5)="F",AND(J$6&gt;0,$A671&lt;J$6),AND(J$7&gt;0,$A671&gt;J$7)),0,MAX(0,ROUND((INDEX($E671:$G671,J$5)-SUMIFS(TF_Timer,TF_Tekniker,J$4,TF_Dato,$A671))*2,0)/2)))</f>
        <v/>
      </c>
      <c r="K671">
        <f>IF(OR(K$4="",$A671&gt;TODAY()),0,IF(OR(INDEX($B671:$D671,K$5)="F",AND(K$6&gt;0,$A671&lt;K$6),AND(K$7&gt;0,$A671&gt;K$7)),0,MAX(0,ROUND((INDEX($E671:$G671,K$5)-SUMIFS(TF_Timer,TF_Tekniker,K$4,TF_Dato,$A671))*2,0)/2)))</f>
        <v/>
      </c>
      <c r="L671">
        <f>IF(OR(L$4="",$A671&gt;TODAY()),0,IF(OR(INDEX($B671:$D671,L$5)="F",AND(L$6&gt;0,$A671&lt;L$6),AND(L$7&gt;0,$A671&gt;L$7)),0,MAX(0,ROUND((INDEX($E671:$G671,L$5)-SUMIFS(TF_Timer,TF_Tekniker,L$4,TF_Dato,$A671))*2,0)/2)))</f>
        <v/>
      </c>
      <c r="M671">
        <f>IF(OR(M$4="",$A671&gt;TODAY()),0,IF(OR(INDEX($B671:$D671,M$5)="F",AND(M$6&gt;0,$A671&lt;M$6),AND(M$7&gt;0,$A671&gt;M$7)),0,MAX(0,ROUND((INDEX($E671:$G671,M$5)-SUMIFS(TF_Timer,TF_Tekniker,M$4,TF_Dato,$A671))*2,0)/2)))</f>
        <v/>
      </c>
      <c r="N671">
        <f>IF(OR(N$4="",$A671&gt;TODAY()),0,IF(OR(INDEX($B671:$D671,N$5)="F",AND(N$6&gt;0,$A671&lt;N$6),AND(N$7&gt;0,$A671&gt;N$7)),0,MAX(0,ROUND((INDEX($E671:$G671,N$5)-SUMIFS(TF_Timer,TF_Tekniker,N$4,TF_Dato,$A671))*2,0)/2)))</f>
        <v/>
      </c>
      <c r="O671">
        <f>IF(OR(O$4="",$A671&gt;TODAY()),0,IF(OR(INDEX($B671:$D671,O$5)="F",AND(O$6&gt;0,$A671&lt;O$6),AND(O$7&gt;0,$A671&gt;O$7)),0,MAX(0,ROUND((INDEX($E671:$G671,O$5)-SUMIFS(TF_Timer,TF_Tekniker,O$4,TF_Dato,$A671))*2,0)/2)))</f>
        <v/>
      </c>
      <c r="P671">
        <f>IF(OR(P$4="",$A671&gt;TODAY()),0,IF(OR(INDEX($B671:$D671,P$5)="F",AND(P$6&gt;0,$A671&lt;P$6),AND(P$7&gt;0,$A671&gt;P$7)),0,MAX(0,ROUND((INDEX($E671:$G671,P$5)-SUMIFS(TF_Timer,TF_Tekniker,P$4,TF_Dato,$A671))*2,0)/2)))</f>
        <v/>
      </c>
      <c r="Q671">
        <f>IF(OR(Q$4="",$A671&gt;TODAY()),0,IF(OR(INDEX($B671:$D671,Q$5)="F",AND(Q$6&gt;0,$A671&lt;Q$6),AND(Q$7&gt;0,$A671&gt;Q$7)),0,MAX(0,ROUND((INDEX($E671:$G671,Q$5)-SUMIFS(TF_Timer,TF_Tekniker,Q$4,TF_Dato,$A671))*2,0)/2)))</f>
        <v/>
      </c>
      <c r="R671">
        <f>IF(OR(R$4="",$A671&gt;TODAY()),0,IF(OR(INDEX($B671:$D671,R$5)="F",AND(R$6&gt;0,$A671&lt;R$6),AND(R$7&gt;0,$A671&gt;R$7)),0,MAX(0,ROUND((INDEX($E671:$G671,R$5)-SUMIFS(TF_Timer,TF_Tekniker,R$4,TF_Dato,$A671))*2,0)/2)))</f>
        <v/>
      </c>
      <c r="S671">
        <f>IF(OR(S$4="",$A671&gt;TODAY()),0,IF(OR(INDEX($B671:$D671,S$5)="F",AND(S$6&gt;0,$A671&lt;S$6),AND(S$7&gt;0,$A671&gt;S$7)),0,MAX(0,ROUND((INDEX($E671:$G671,S$5)-SUMIFS(TF_Timer,TF_Tekniker,S$4,TF_Dato,$A671))*2,0)/2)))</f>
        <v/>
      </c>
      <c r="T671">
        <f>IF(OR(T$4="",$A671&gt;TODAY()),0,IF(OR(INDEX($B671:$D671,T$5)="F",AND(T$6&gt;0,$A671&lt;T$6),AND(T$7&gt;0,$A671&gt;T$7)),0,MAX(0,ROUND((INDEX($E671:$G671,T$5)-SUMIFS(TF_Timer,TF_Tekniker,T$4,TF_Dato,$A671))*2,0)/2)))</f>
        <v/>
      </c>
      <c r="U671">
        <f>IF(OR(U$4="",$A671&gt;TODAY()),0,IF(OR(INDEX($B671:$D671,U$5)="F",AND(U$6&gt;0,$A671&lt;U$6),AND(U$7&gt;0,$A671&gt;U$7)),0,MAX(0,ROUND((INDEX($E671:$G671,U$5)-SUMIFS(TF_Timer,TF_Tekniker,U$4,TF_Dato,$A671))*2,0)/2)))</f>
        <v/>
      </c>
      <c r="V671">
        <f>IF(OR(V$4="",$A671&gt;TODAY()),0,IF(OR(INDEX($B671:$D671,V$5)="F",AND(V$6&gt;0,$A671&lt;V$6),AND(V$7&gt;0,$A671&gt;V$7)),0,MAX(0,ROUND((INDEX($E671:$G671,V$5)-SUMIFS(TF_Timer,TF_Tekniker,V$4,TF_Dato,$A671))*2,0)/2)))</f>
        <v/>
      </c>
      <c r="W671">
        <f>IF(OR(W$4="",$A671&gt;TODAY()),0,IF(OR(INDEX($B671:$D671,W$5)="F",AND(W$6&gt;0,$A671&lt;W$6),AND(W$7&gt;0,$A671&gt;W$7)),0,MAX(0,ROUND((INDEX($E671:$G671,W$5)-SUMIFS(TF_Timer,TF_Tekniker,W$4,TF_Dato,$A671))*2,0)/2)))</f>
        <v/>
      </c>
      <c r="X671">
        <f>IF(OR(X$4="",$A671&gt;TODAY()),0,IF(OR(INDEX($B671:$D671,X$5)="F",AND(X$6&gt;0,$A671&lt;X$6),AND(X$7&gt;0,$A671&gt;X$7)),0,MAX(0,ROUND((INDEX($E671:$G671,X$5)-SUMIFS(TF_Timer,TF_Tekniker,X$4,TF_Dato,$A671))*2,0)/2)))</f>
        <v/>
      </c>
      <c r="Y671">
        <f>IF(OR(Y$4="",$A671&gt;TODAY()),0,IF(OR(INDEX($B671:$D671,Y$5)="F",AND(Y$6&gt;0,$A671&lt;Y$6),AND(Y$7&gt;0,$A671&gt;Y$7)),0,MAX(0,ROUND((INDEX($E671:$G671,Y$5)-SUMIFS(TF_Timer,TF_Tekniker,Y$4,TF_Dato,$A671))*2,0)/2)))</f>
        <v/>
      </c>
      <c r="Z671">
        <f>IF(OR(Z$4="",$A671&gt;TODAY()),0,IF(OR(INDEX($B671:$D671,Z$5)="F",AND(Z$6&gt;0,$A671&lt;Z$6),AND(Z$7&gt;0,$A671&gt;Z$7)),0,MAX(0,ROUND((INDEX($E671:$G671,Z$5)-SUMIFS(TF_Timer,TF_Tekniker,Z$4,TF_Dato,$A671))*2,0)/2)))</f>
        <v/>
      </c>
      <c r="AA671">
        <f>IF(OR(AA$4="",$A671&gt;TODAY()),0,IF(OR(INDEX($B671:$D671,AA$5)="F",AND(AA$6&gt;0,$A671&lt;AA$6),AND(AA$7&gt;0,$A671&gt;AA$7)),0,MAX(0,ROUND((INDEX($E671:$G671,AA$5)-SUMIFS(TF_Timer,TF_Tekniker,AA$4,TF_Dato,$A671))*2,0)/2)))</f>
        <v/>
      </c>
      <c r="AB671">
        <f>IF(OR(AB$4="",$A671&gt;TODAY()),0,IF(OR(INDEX($B671:$D671,AB$5)="F",AND(AB$6&gt;0,$A671&lt;AB$6),AND(AB$7&gt;0,$A671&gt;AB$7)),0,MAX(0,ROUND((INDEX($E671:$G671,AB$5)-SUMIFS(TF_Timer,TF_Tekniker,AB$4,TF_Dato,$A671))*2,0)/2)))</f>
        <v/>
      </c>
      <c r="AC671">
        <f>IF(OR(AC$4="",$A671&gt;TODAY()),0,IF(OR(INDEX($B671:$D671,AC$5)="F",AND(AC$6&gt;0,$A671&lt;AC$6),AND(AC$7&gt;0,$A671&gt;AC$7)),0,MAX(0,ROUND((INDEX($E671:$G671,AC$5)-SUMIFS(TF_Timer,TF_Tekniker,AC$4,TF_Dato,$A671))*2,0)/2)))</f>
        <v/>
      </c>
      <c r="AD671">
        <f>IF(OR(AD$4="",$A671&gt;TODAY()),0,IF(OR(INDEX($B671:$D671,AD$5)="F",AND(AD$6&gt;0,$A671&lt;AD$6),AND(AD$7&gt;0,$A671&gt;AD$7)),0,MAX(0,ROUND((INDEX($E671:$G671,AD$5)-SUMIFS(TF_Timer,TF_Tekniker,AD$4,TF_Dato,$A671))*2,0)/2)))</f>
        <v/>
      </c>
      <c r="AE671">
        <f>IF(OR(AE$4="",$A671&gt;TODAY()),0,IF(OR(INDEX($B671:$D671,AE$5)="F",AND(AE$6&gt;0,$A671&lt;AE$6),AND(AE$7&gt;0,$A671&gt;AE$7)),0,MAX(0,ROUND((INDEX($E671:$G671,AE$5)-SUMIFS(TF_Timer,TF_Tekniker,AE$4,TF_Dato,$A671))*2,0)/2)))</f>
        <v/>
      </c>
      <c r="AF671">
        <f>IF(OR(AF$4="",$A671&gt;TODAY()),0,IF(OR(INDEX($B671:$D671,AF$5)="F",AND(AF$6&gt;0,$A671&lt;AF$6),AND(AF$7&gt;0,$A671&gt;AF$7)),0,MAX(0,ROUND((INDEX($E671:$G671,AF$5)-SUMIFS(TF_Timer,TF_Tekniker,AF$4,TF_Dato,$A671))*2,0)/2)))</f>
        <v/>
      </c>
      <c r="AG671">
        <f>IF(OR(AG$4="",$A671&gt;TODAY()),0,IF(OR(INDEX($B671:$D671,AG$5)="F",AND(AG$6&gt;0,$A671&lt;AG$6),AND(AG$7&gt;0,$A671&gt;AG$7)),0,MAX(0,ROUND((INDEX($E671:$G671,AG$5)-SUMIFS(TF_Timer,TF_Tekniker,AG$4,TF_Dato,$A671))*2,0)/2)))</f>
        <v/>
      </c>
      <c r="AH671">
        <f>IF(OR(AH$4="",$A671&gt;TODAY()),0,IF(OR(INDEX($B671:$D671,AH$5)="F",AND(AH$6&gt;0,$A671&lt;AH$6),AND(AH$7&gt;0,$A671&gt;AH$7)),0,MAX(0,ROUND((INDEX($E671:$G671,AH$5)-SUMIFS(TF_Timer,TF_Tekniker,AH$4,TF_Dato,$A671))*2,0)/2)))</f>
        <v/>
      </c>
      <c r="AI671">
        <f>IF(OR(AI$4="",$A671&gt;TODAY()),0,IF(OR(INDEX($B671:$D671,AI$5)="F",AND(AI$6&gt;0,$A671&lt;AI$6),AND(AI$7&gt;0,$A671&gt;AI$7)),0,MAX(0,ROUND((INDEX($E671:$G671,AI$5)-SUMIFS(TF_Timer,TF_Tekniker,AI$4,TF_Dato,$A671))*2,0)/2)))</f>
        <v/>
      </c>
      <c r="AJ671">
        <f>IF(OR(AJ$4="",$A671&gt;TODAY()),0,IF(OR(INDEX($B671:$D671,AJ$5)="F",AND(AJ$6&gt;0,$A671&lt;AJ$6),AND(AJ$7&gt;0,$A671&gt;AJ$7)),0,MAX(0,ROUND((INDEX($E671:$G671,AJ$5)-SUMIFS(TF_Timer,TF_Tekniker,AJ$4,TF_Dato,$A671))*2,0)/2)))</f>
        <v/>
      </c>
      <c r="AK671">
        <f>IF(OR(AK$4="",$A671&gt;TODAY()),0,IF(OR(INDEX($B671:$D671,AK$5)="F",AND(AK$6&gt;0,$A671&lt;AK$6),AND(AK$7&gt;0,$A671&gt;AK$7)),0,MAX(0,ROUND((INDEX($E671:$G671,AK$5)-SUMIFS(TF_Timer,TF_Tekniker,AK$4,TF_Dato,$A671))*2,0)/2)))</f>
        <v/>
      </c>
      <c r="AL671">
        <f>IF(OR(AL$4="",$A671&gt;TODAY()),0,IF(OR(INDEX($B671:$D671,AL$5)="F",AND(AL$6&gt;0,$A671&lt;AL$6),AND(AL$7&gt;0,$A671&gt;AL$7)),0,MAX(0,ROUND((INDEX($E671:$G671,AL$5)-SUMIFS(TF_Timer,TF_Tekniker,AL$4,TF_Dato,$A671))*2,0)/2)))</f>
        <v/>
      </c>
      <c r="AM671">
        <f>IF(OR(AM$4="",$A671&gt;TODAY()),0,IF(OR(INDEX($B671:$D671,AM$5)="F",AND(AM$6&gt;0,$A671&lt;AM$6),AND(AM$7&gt;0,$A671&gt;AM$7)),0,MAX(0,ROUND((INDEX($E671:$G671,AM$5)-SUMIFS(TF_Timer,TF_Tekniker,AM$4,TF_Dato,$A671))*2,0)/2)))</f>
        <v/>
      </c>
      <c r="AN671">
        <f>IF(OR(AN$4="",$A671&gt;TODAY()),0,IF(OR(INDEX($B671:$D671,AN$5)="F",AND(AN$6&gt;0,$A671&lt;AN$6),AND(AN$7&gt;0,$A671&gt;AN$7)),0,MAX(0,ROUND((INDEX($E671:$G671,AN$5)-SUMIFS(TF_Timer,TF_Tekniker,AN$4,TF_Dato,$A671))*2,0)/2)))</f>
        <v/>
      </c>
      <c r="AO671">
        <f>IF(OR(AO$4="",$A671&gt;TODAY()),0,IF(OR(INDEX($B671:$D671,AO$5)="F",AND(AO$6&gt;0,$A671&lt;AO$6),AND(AO$7&gt;0,$A671&gt;AO$7)),0,MAX(0,ROUND((INDEX($E671:$G671,AO$5)-SUMIFS(TF_Timer,TF_Tekniker,AO$4,TF_Dato,$A671))*2,0)/2)))</f>
        <v/>
      </c>
      <c r="AP671">
        <f>IF(OR(AP$4="",$A671&gt;TODAY()),0,IF(OR(INDEX($B671:$D671,AP$5)="F",AND(AP$6&gt;0,$A671&lt;AP$6),AND(AP$7&gt;0,$A671&gt;AP$7)),0,MAX(0,ROUND((INDEX($E671:$G671,AP$5)-SUMIFS(TF_Timer,TF_Tekniker,AP$4,TF_Dato,$A671))*2,0)/2)))</f>
        <v/>
      </c>
      <c r="AQ671">
        <f>IF(OR(AQ$4="",$A671&gt;TODAY()),0,IF(OR(INDEX($B671:$D671,AQ$5)="F",AND(AQ$6&gt;0,$A671&lt;AQ$6),AND(AQ$7&gt;0,$A671&gt;AQ$7)),0,MAX(0,ROUND((INDEX($E671:$G671,AQ$5)-SUMIFS(TF_Timer,TF_Tekniker,AQ$4,TF_Dato,$A671))*2,0)/2)))</f>
        <v/>
      </c>
      <c r="AR671">
        <f>IF(OR(AR$4="",$A671&gt;TODAY()),0,IF(OR(INDEX($B671:$D671,AR$5)="F",AND(AR$6&gt;0,$A671&lt;AR$6),AND(AR$7&gt;0,$A671&gt;AR$7)),0,MAX(0,ROUND((INDEX($E671:$G671,AR$5)-SUMIFS(TF_Timer,TF_Tekniker,AR$4,TF_Dato,$A671))*2,0)/2)))</f>
        <v/>
      </c>
      <c r="AS671">
        <f>IF(OR(AS$4="",$A671&gt;TODAY()),0,IF(OR(INDEX($B671:$D671,AS$5)="F",AND(AS$6&gt;0,$A671&lt;AS$6),AND(AS$7&gt;0,$A671&gt;AS$7)),0,MAX(0,ROUND((INDEX($E671:$G671,AS$5)-SUMIFS(TF_Timer,TF_Tekniker,AS$4,TF_Dato,$A671))*2,0)/2)))</f>
        <v/>
      </c>
      <c r="AT671">
        <f>IF(OR(AT$4="",$A671&gt;TODAY()),0,IF(OR(INDEX($B671:$D671,AT$5)="F",AND(AT$6&gt;0,$A671&lt;AT$6),AND(AT$7&gt;0,$A671&gt;AT$7)),0,MAX(0,ROUND((INDEX($E671:$G671,AT$5)-SUMIFS(TF_Timer,TF_Tekniker,AT$4,TF_Dato,$A671))*2,0)/2)))</f>
        <v/>
      </c>
      <c r="AU671">
        <f>IF(OR(AU$4="",$A671&gt;TODAY()),0,IF(OR(INDEX($B671:$D671,AU$5)="F",AND(AU$6&gt;0,$A671&lt;AU$6),AND(AU$7&gt;0,$A671&gt;AU$7)),0,MAX(0,ROUND((INDEX($E671:$G671,AU$5)-SUMIFS(TF_Timer,TF_Tekniker,AU$4,TF_Dato,$A671))*2,0)/2)))</f>
        <v/>
      </c>
      <c r="AV671">
        <f>IF(OR(AV$4="",$A671&gt;TODAY()),0,IF(OR(INDEX($B671:$D671,AV$5)="F",AND(AV$6&gt;0,$A671&lt;AV$6),AND(AV$7&gt;0,$A671&gt;AV$7)),0,MAX(0,ROUND((INDEX($E671:$G671,AV$5)-SUMIFS(TF_Timer,TF_Tekniker,AV$4,TF_Dato,$A671))*2,0)/2)))</f>
        <v/>
      </c>
      <c r="AW671">
        <f>IF(OR(AW$4="",$A671&gt;TODAY()),0,IF(OR(INDEX($B671:$D671,AW$5)="F",AND(AW$6&gt;0,$A671&lt;AW$6),AND(AW$7&gt;0,$A671&gt;AW$7)),0,MAX(0,ROUND((INDEX($E671:$G671,AW$5)-SUMIFS(TF_Timer,TF_Tekniker,AW$4,TF_Dato,$A671))*2,0)/2)))</f>
        <v/>
      </c>
      <c r="AX671">
        <f>IF(OR(AX$4="",$A671&gt;TODAY()),0,IF(OR(INDEX($B671:$D671,AX$5)="F",AND(AX$6&gt;0,$A671&lt;AX$6),AND(AX$7&gt;0,$A671&gt;AX$7)),0,MAX(0,ROUND((INDEX($E671:$G671,AX$5)-SUMIFS(TF_Timer,TF_Tekniker,AX$4,TF_Dato,$A671))*2,0)/2)))</f>
        <v/>
      </c>
      <c r="AY671">
        <f>IF(OR(AY$4="",$A671&gt;TODAY()),0,IF(OR(INDEX($B671:$D671,AY$5)="F",AND(AY$6&gt;0,$A671&lt;AY$6),AND(AY$7&gt;0,$A671&gt;AY$7)),0,MAX(0,ROUND((INDEX($E671:$G671,AY$5)-SUMIFS(TF_Timer,TF_Tekniker,AY$4,TF_Dato,$A671))*2,0)/2)))</f>
        <v/>
      </c>
      <c r="AZ671">
        <f>IF(OR(AZ$4="",$A671&gt;TODAY()),0,IF(OR(INDEX($B671:$D671,AZ$5)="F",AND(AZ$6&gt;0,$A671&lt;AZ$6),AND(AZ$7&gt;0,$A671&gt;AZ$7)),0,MAX(0,ROUND((INDEX($E671:$G671,AZ$5)-SUMIFS(TF_Timer,TF_Tekniker,AZ$4,TF_Dato,$A671))*2,0)/2)))</f>
        <v/>
      </c>
      <c r="BA671">
        <f>IF(OR(BA$4="",$A671&gt;TODAY()),0,IF(OR(INDEX($B671:$D671,BA$5)="F",AND(BA$6&gt;0,$A671&lt;BA$6),AND(BA$7&gt;0,$A671&gt;BA$7)),0,MAX(0,ROUND((INDEX($E671:$G671,BA$5)-SUMIFS(TF_Timer,TF_Tekniker,BA$4,TF_Dato,$A671))*2,0)/2)))</f>
        <v/>
      </c>
      <c r="BB671">
        <f>IF(OR(BB$4="",$A671&gt;TODAY()),0,IF(OR(INDEX($B671:$D671,BB$5)="F",AND(BB$6&gt;0,$A671&lt;BB$6),AND(BB$7&gt;0,$A671&gt;BB$7)),0,MAX(0,ROUND((INDEX($E671:$G671,BB$5)-SUMIFS(TF_Timer,TF_Tekniker,BB$4,TF_Dato,$A671))*2,0)/2)))</f>
        <v/>
      </c>
      <c r="BC671">
        <f>IF(OR(BC$4="",$A671&gt;TODAY()),0,IF(OR(INDEX($B671:$D671,BC$5)="F",AND(BC$6&gt;0,$A671&lt;BC$6),AND(BC$7&gt;0,$A671&gt;BC$7)),0,MAX(0,ROUND((INDEX($E671:$G671,BC$5)-SUMIFS(TF_Timer,TF_Tekniker,BC$4,TF_Dato,$A671))*2,0)/2)))</f>
        <v/>
      </c>
      <c r="BD671">
        <f>IF(OR(BD$4="",$A671&gt;TODAY()),0,IF(OR(INDEX($B671:$D671,BD$5)="F",AND(BD$6&gt;0,$A671&lt;BD$6),AND(BD$7&gt;0,$A671&gt;BD$7)),0,MAX(0,ROUND((INDEX($E671:$G671,BD$5)-SUMIFS(TF_Timer,TF_Tekniker,BD$4,TF_Dato,$A671))*2,0)/2)))</f>
        <v/>
      </c>
      <c r="BE671">
        <f>IF(OR(BE$4="",$A671&gt;TODAY()),0,IF(OR(INDEX($B671:$D671,BE$5)="F",AND(BE$6&gt;0,$A671&lt;BE$6),AND(BE$7&gt;0,$A671&gt;BE$7)),0,MAX(0,ROUND((INDEX($E671:$G671,BE$5)-SUMIFS(TF_Timer,TF_Tekniker,BE$4,TF_Dato,$A671))*2,0)/2)))</f>
        <v/>
      </c>
      <c r="BF671">
        <f>IF(OR(BF$4="",$A671&gt;TODAY()),0,IF(OR(INDEX($B671:$D671,BF$5)="F",AND(BF$6&gt;0,$A671&lt;BF$6),AND(BF$7&gt;0,$A671&gt;BF$7)),0,MAX(0,ROUND((INDEX($E671:$G671,BF$5)-SUMIFS(TF_Timer,TF_Tekniker,BF$4,TF_Dato,$A671))*2,0)/2)))</f>
        <v/>
      </c>
      <c r="BG671">
        <f>IF(OR(BG$4="",$A671&gt;TODAY()),0,IF(OR(INDEX($B671:$D671,BG$5)="F",AND(BG$6&gt;0,$A671&lt;BG$6),AND(BG$7&gt;0,$A671&gt;BG$7)),0,MAX(0,ROUND((INDEX($E671:$G671,BG$5)-SUMIFS(TF_Timer,TF_Tekniker,BG$4,TF_Dato,$A671))*2,0)/2)))</f>
        <v/>
      </c>
      <c r="BH671">
        <f>IF(OR(BH$4="",$A671&gt;TODAY()),0,IF(OR(INDEX($B671:$D671,BH$5)="F",AND(BH$6&gt;0,$A671&lt;BH$6),AND(BH$7&gt;0,$A671&gt;BH$7)),0,MAX(0,ROUND((INDEX($E671:$G671,BH$5)-SUMIFS(TF_Timer,TF_Tekniker,BH$4,TF_Dato,$A671))*2,0)/2)))</f>
        <v/>
      </c>
      <c r="BI671">
        <f>IF(OR(BI$4="",$A671&gt;TODAY()),0,IF(OR(INDEX($B671:$D671,BI$5)="F",AND(BI$6&gt;0,$A671&lt;BI$6),AND(BI$7&gt;0,$A671&gt;BI$7)),0,MAX(0,ROUND((INDEX($E671:$G671,BI$5)-SUMIFS(TF_Timer,TF_Tekniker,BI$4,TF_Dato,$A671))*2,0)/2)))</f>
        <v/>
      </c>
    </row>
    <row r="672">
      <c r="A672" s="64">
        <f>A671+1</f>
        <v/>
      </c>
      <c r="B672">
        <f>IF(MOD($A672-INDEX(SkiftStart,1),Syklus)&lt;DagK,"K",IF(MOD($A672-INDEX(SkiftStart,1),Syklus)&lt;DagK+DagH,"H",IF(MOD($A672-INDEX(SkiftStart,1),Syklus)&lt;DagK+DagH+DagD,"D","F")))</f>
        <v/>
      </c>
      <c r="C672">
        <f>IF(MOD($A672-INDEX(SkiftStart,2),Syklus)&lt;DagK,"K",IF(MOD($A672-INDEX(SkiftStart,2),Syklus)&lt;DagK+DagH,"H",IF(MOD($A672-INDEX(SkiftStart,2),Syklus)&lt;DagK+DagH+DagD,"D","F")))</f>
        <v/>
      </c>
      <c r="D672">
        <f>IF(MOD($A672-INDEX(SkiftStart,3),Syklus)&lt;DagK,"K",IF(MOD($A672-INDEX(SkiftStart,3),Syklus)&lt;DagK+DagH,"H",IF(MOD($A672-INDEX(SkiftStart,3),Syklus)&lt;DagK+DagH+DagD,"D","F")))</f>
        <v/>
      </c>
      <c r="E672">
        <f>IF(B672="F",0,IF(WEEKDAY($A672,2)=5,INDEX(TimerFr,MATCH(B672,FaseKode,0)),INDEX(TimerMT,MATCH(B672,FaseKode,0))))</f>
        <v/>
      </c>
      <c r="F672">
        <f>IF(C672="F",0,IF(WEEKDAY($A672,2)=5,INDEX(TimerFr,MATCH(C672,FaseKode,0)),INDEX(TimerMT,MATCH(C672,FaseKode,0))))</f>
        <v/>
      </c>
      <c r="G672">
        <f>IF(D672="F",0,IF(WEEKDAY($A672,2)=5,INDEX(TimerFr,MATCH(D672,FaseKode,0)),INDEX(TimerMT,MATCH(D672,FaseKode,0))))</f>
        <v/>
      </c>
      <c r="H672">
        <f>IF(OR(H$4="",$A672&gt;TODAY()),0,IF(OR(INDEX($B672:$D672,H$5)="F",AND(H$6&gt;0,$A672&lt;H$6),AND(H$7&gt;0,$A672&gt;H$7)),0,MAX(0,ROUND((INDEX($E672:$G672,H$5)-SUMIFS(TF_Timer,TF_Tekniker,H$4,TF_Dato,$A672))*2,0)/2)))</f>
        <v/>
      </c>
      <c r="I672">
        <f>IF(OR(I$4="",$A672&gt;TODAY()),0,IF(OR(INDEX($B672:$D672,I$5)="F",AND(I$6&gt;0,$A672&lt;I$6),AND(I$7&gt;0,$A672&gt;I$7)),0,MAX(0,ROUND((INDEX($E672:$G672,I$5)-SUMIFS(TF_Timer,TF_Tekniker,I$4,TF_Dato,$A672))*2,0)/2)))</f>
        <v/>
      </c>
      <c r="J672">
        <f>IF(OR(J$4="",$A672&gt;TODAY()),0,IF(OR(INDEX($B672:$D672,J$5)="F",AND(J$6&gt;0,$A672&lt;J$6),AND(J$7&gt;0,$A672&gt;J$7)),0,MAX(0,ROUND((INDEX($E672:$G672,J$5)-SUMIFS(TF_Timer,TF_Tekniker,J$4,TF_Dato,$A672))*2,0)/2)))</f>
        <v/>
      </c>
      <c r="K672">
        <f>IF(OR(K$4="",$A672&gt;TODAY()),0,IF(OR(INDEX($B672:$D672,K$5)="F",AND(K$6&gt;0,$A672&lt;K$6),AND(K$7&gt;0,$A672&gt;K$7)),0,MAX(0,ROUND((INDEX($E672:$G672,K$5)-SUMIFS(TF_Timer,TF_Tekniker,K$4,TF_Dato,$A672))*2,0)/2)))</f>
        <v/>
      </c>
      <c r="L672">
        <f>IF(OR(L$4="",$A672&gt;TODAY()),0,IF(OR(INDEX($B672:$D672,L$5)="F",AND(L$6&gt;0,$A672&lt;L$6),AND(L$7&gt;0,$A672&gt;L$7)),0,MAX(0,ROUND((INDEX($E672:$G672,L$5)-SUMIFS(TF_Timer,TF_Tekniker,L$4,TF_Dato,$A672))*2,0)/2)))</f>
        <v/>
      </c>
      <c r="M672">
        <f>IF(OR(M$4="",$A672&gt;TODAY()),0,IF(OR(INDEX($B672:$D672,M$5)="F",AND(M$6&gt;0,$A672&lt;M$6),AND(M$7&gt;0,$A672&gt;M$7)),0,MAX(0,ROUND((INDEX($E672:$G672,M$5)-SUMIFS(TF_Timer,TF_Tekniker,M$4,TF_Dato,$A672))*2,0)/2)))</f>
        <v/>
      </c>
      <c r="N672">
        <f>IF(OR(N$4="",$A672&gt;TODAY()),0,IF(OR(INDEX($B672:$D672,N$5)="F",AND(N$6&gt;0,$A672&lt;N$6),AND(N$7&gt;0,$A672&gt;N$7)),0,MAX(0,ROUND((INDEX($E672:$G672,N$5)-SUMIFS(TF_Timer,TF_Tekniker,N$4,TF_Dato,$A672))*2,0)/2)))</f>
        <v/>
      </c>
      <c r="O672">
        <f>IF(OR(O$4="",$A672&gt;TODAY()),0,IF(OR(INDEX($B672:$D672,O$5)="F",AND(O$6&gt;0,$A672&lt;O$6),AND(O$7&gt;0,$A672&gt;O$7)),0,MAX(0,ROUND((INDEX($E672:$G672,O$5)-SUMIFS(TF_Timer,TF_Tekniker,O$4,TF_Dato,$A672))*2,0)/2)))</f>
        <v/>
      </c>
      <c r="P672">
        <f>IF(OR(P$4="",$A672&gt;TODAY()),0,IF(OR(INDEX($B672:$D672,P$5)="F",AND(P$6&gt;0,$A672&lt;P$6),AND(P$7&gt;0,$A672&gt;P$7)),0,MAX(0,ROUND((INDEX($E672:$G672,P$5)-SUMIFS(TF_Timer,TF_Tekniker,P$4,TF_Dato,$A672))*2,0)/2)))</f>
        <v/>
      </c>
      <c r="Q672">
        <f>IF(OR(Q$4="",$A672&gt;TODAY()),0,IF(OR(INDEX($B672:$D672,Q$5)="F",AND(Q$6&gt;0,$A672&lt;Q$6),AND(Q$7&gt;0,$A672&gt;Q$7)),0,MAX(0,ROUND((INDEX($E672:$G672,Q$5)-SUMIFS(TF_Timer,TF_Tekniker,Q$4,TF_Dato,$A672))*2,0)/2)))</f>
        <v/>
      </c>
      <c r="R672">
        <f>IF(OR(R$4="",$A672&gt;TODAY()),0,IF(OR(INDEX($B672:$D672,R$5)="F",AND(R$6&gt;0,$A672&lt;R$6),AND(R$7&gt;0,$A672&gt;R$7)),0,MAX(0,ROUND((INDEX($E672:$G672,R$5)-SUMIFS(TF_Timer,TF_Tekniker,R$4,TF_Dato,$A672))*2,0)/2)))</f>
        <v/>
      </c>
      <c r="S672">
        <f>IF(OR(S$4="",$A672&gt;TODAY()),0,IF(OR(INDEX($B672:$D672,S$5)="F",AND(S$6&gt;0,$A672&lt;S$6),AND(S$7&gt;0,$A672&gt;S$7)),0,MAX(0,ROUND((INDEX($E672:$G672,S$5)-SUMIFS(TF_Timer,TF_Tekniker,S$4,TF_Dato,$A672))*2,0)/2)))</f>
        <v/>
      </c>
      <c r="T672">
        <f>IF(OR(T$4="",$A672&gt;TODAY()),0,IF(OR(INDEX($B672:$D672,T$5)="F",AND(T$6&gt;0,$A672&lt;T$6),AND(T$7&gt;0,$A672&gt;T$7)),0,MAX(0,ROUND((INDEX($E672:$G672,T$5)-SUMIFS(TF_Timer,TF_Tekniker,T$4,TF_Dato,$A672))*2,0)/2)))</f>
        <v/>
      </c>
      <c r="U672">
        <f>IF(OR(U$4="",$A672&gt;TODAY()),0,IF(OR(INDEX($B672:$D672,U$5)="F",AND(U$6&gt;0,$A672&lt;U$6),AND(U$7&gt;0,$A672&gt;U$7)),0,MAX(0,ROUND((INDEX($E672:$G672,U$5)-SUMIFS(TF_Timer,TF_Tekniker,U$4,TF_Dato,$A672))*2,0)/2)))</f>
        <v/>
      </c>
      <c r="V672">
        <f>IF(OR(V$4="",$A672&gt;TODAY()),0,IF(OR(INDEX($B672:$D672,V$5)="F",AND(V$6&gt;0,$A672&lt;V$6),AND(V$7&gt;0,$A672&gt;V$7)),0,MAX(0,ROUND((INDEX($E672:$G672,V$5)-SUMIFS(TF_Timer,TF_Tekniker,V$4,TF_Dato,$A672))*2,0)/2)))</f>
        <v/>
      </c>
      <c r="W672">
        <f>IF(OR(W$4="",$A672&gt;TODAY()),0,IF(OR(INDEX($B672:$D672,W$5)="F",AND(W$6&gt;0,$A672&lt;W$6),AND(W$7&gt;0,$A672&gt;W$7)),0,MAX(0,ROUND((INDEX($E672:$G672,W$5)-SUMIFS(TF_Timer,TF_Tekniker,W$4,TF_Dato,$A672))*2,0)/2)))</f>
        <v/>
      </c>
      <c r="X672">
        <f>IF(OR(X$4="",$A672&gt;TODAY()),0,IF(OR(INDEX($B672:$D672,X$5)="F",AND(X$6&gt;0,$A672&lt;X$6),AND(X$7&gt;0,$A672&gt;X$7)),0,MAX(0,ROUND((INDEX($E672:$G672,X$5)-SUMIFS(TF_Timer,TF_Tekniker,X$4,TF_Dato,$A672))*2,0)/2)))</f>
        <v/>
      </c>
      <c r="Y672">
        <f>IF(OR(Y$4="",$A672&gt;TODAY()),0,IF(OR(INDEX($B672:$D672,Y$5)="F",AND(Y$6&gt;0,$A672&lt;Y$6),AND(Y$7&gt;0,$A672&gt;Y$7)),0,MAX(0,ROUND((INDEX($E672:$G672,Y$5)-SUMIFS(TF_Timer,TF_Tekniker,Y$4,TF_Dato,$A672))*2,0)/2)))</f>
        <v/>
      </c>
      <c r="Z672">
        <f>IF(OR(Z$4="",$A672&gt;TODAY()),0,IF(OR(INDEX($B672:$D672,Z$5)="F",AND(Z$6&gt;0,$A672&lt;Z$6),AND(Z$7&gt;0,$A672&gt;Z$7)),0,MAX(0,ROUND((INDEX($E672:$G672,Z$5)-SUMIFS(TF_Timer,TF_Tekniker,Z$4,TF_Dato,$A672))*2,0)/2)))</f>
        <v/>
      </c>
      <c r="AA672">
        <f>IF(OR(AA$4="",$A672&gt;TODAY()),0,IF(OR(INDEX($B672:$D672,AA$5)="F",AND(AA$6&gt;0,$A672&lt;AA$6),AND(AA$7&gt;0,$A672&gt;AA$7)),0,MAX(0,ROUND((INDEX($E672:$G672,AA$5)-SUMIFS(TF_Timer,TF_Tekniker,AA$4,TF_Dato,$A672))*2,0)/2)))</f>
        <v/>
      </c>
      <c r="AB672">
        <f>IF(OR(AB$4="",$A672&gt;TODAY()),0,IF(OR(INDEX($B672:$D672,AB$5)="F",AND(AB$6&gt;0,$A672&lt;AB$6),AND(AB$7&gt;0,$A672&gt;AB$7)),0,MAX(0,ROUND((INDEX($E672:$G672,AB$5)-SUMIFS(TF_Timer,TF_Tekniker,AB$4,TF_Dato,$A672))*2,0)/2)))</f>
        <v/>
      </c>
      <c r="AC672">
        <f>IF(OR(AC$4="",$A672&gt;TODAY()),0,IF(OR(INDEX($B672:$D672,AC$5)="F",AND(AC$6&gt;0,$A672&lt;AC$6),AND(AC$7&gt;0,$A672&gt;AC$7)),0,MAX(0,ROUND((INDEX($E672:$G672,AC$5)-SUMIFS(TF_Timer,TF_Tekniker,AC$4,TF_Dato,$A672))*2,0)/2)))</f>
        <v/>
      </c>
      <c r="AD672">
        <f>IF(OR(AD$4="",$A672&gt;TODAY()),0,IF(OR(INDEX($B672:$D672,AD$5)="F",AND(AD$6&gt;0,$A672&lt;AD$6),AND(AD$7&gt;0,$A672&gt;AD$7)),0,MAX(0,ROUND((INDEX($E672:$G672,AD$5)-SUMIFS(TF_Timer,TF_Tekniker,AD$4,TF_Dato,$A672))*2,0)/2)))</f>
        <v/>
      </c>
      <c r="AE672">
        <f>IF(OR(AE$4="",$A672&gt;TODAY()),0,IF(OR(INDEX($B672:$D672,AE$5)="F",AND(AE$6&gt;0,$A672&lt;AE$6),AND(AE$7&gt;0,$A672&gt;AE$7)),0,MAX(0,ROUND((INDEX($E672:$G672,AE$5)-SUMIFS(TF_Timer,TF_Tekniker,AE$4,TF_Dato,$A672))*2,0)/2)))</f>
        <v/>
      </c>
      <c r="AF672">
        <f>IF(OR(AF$4="",$A672&gt;TODAY()),0,IF(OR(INDEX($B672:$D672,AF$5)="F",AND(AF$6&gt;0,$A672&lt;AF$6),AND(AF$7&gt;0,$A672&gt;AF$7)),0,MAX(0,ROUND((INDEX($E672:$G672,AF$5)-SUMIFS(TF_Timer,TF_Tekniker,AF$4,TF_Dato,$A672))*2,0)/2)))</f>
        <v/>
      </c>
      <c r="AG672">
        <f>IF(OR(AG$4="",$A672&gt;TODAY()),0,IF(OR(INDEX($B672:$D672,AG$5)="F",AND(AG$6&gt;0,$A672&lt;AG$6),AND(AG$7&gt;0,$A672&gt;AG$7)),0,MAX(0,ROUND((INDEX($E672:$G672,AG$5)-SUMIFS(TF_Timer,TF_Tekniker,AG$4,TF_Dato,$A672))*2,0)/2)))</f>
        <v/>
      </c>
      <c r="AH672">
        <f>IF(OR(AH$4="",$A672&gt;TODAY()),0,IF(OR(INDEX($B672:$D672,AH$5)="F",AND(AH$6&gt;0,$A672&lt;AH$6),AND(AH$7&gt;0,$A672&gt;AH$7)),0,MAX(0,ROUND((INDEX($E672:$G672,AH$5)-SUMIFS(TF_Timer,TF_Tekniker,AH$4,TF_Dato,$A672))*2,0)/2)))</f>
        <v/>
      </c>
      <c r="AI672">
        <f>IF(OR(AI$4="",$A672&gt;TODAY()),0,IF(OR(INDEX($B672:$D672,AI$5)="F",AND(AI$6&gt;0,$A672&lt;AI$6),AND(AI$7&gt;0,$A672&gt;AI$7)),0,MAX(0,ROUND((INDEX($E672:$G672,AI$5)-SUMIFS(TF_Timer,TF_Tekniker,AI$4,TF_Dato,$A672))*2,0)/2)))</f>
        <v/>
      </c>
      <c r="AJ672">
        <f>IF(OR(AJ$4="",$A672&gt;TODAY()),0,IF(OR(INDEX($B672:$D672,AJ$5)="F",AND(AJ$6&gt;0,$A672&lt;AJ$6),AND(AJ$7&gt;0,$A672&gt;AJ$7)),0,MAX(0,ROUND((INDEX($E672:$G672,AJ$5)-SUMIFS(TF_Timer,TF_Tekniker,AJ$4,TF_Dato,$A672))*2,0)/2)))</f>
        <v/>
      </c>
      <c r="AK672">
        <f>IF(OR(AK$4="",$A672&gt;TODAY()),0,IF(OR(INDEX($B672:$D672,AK$5)="F",AND(AK$6&gt;0,$A672&lt;AK$6),AND(AK$7&gt;0,$A672&gt;AK$7)),0,MAX(0,ROUND((INDEX($E672:$G672,AK$5)-SUMIFS(TF_Timer,TF_Tekniker,AK$4,TF_Dato,$A672))*2,0)/2)))</f>
        <v/>
      </c>
      <c r="AL672">
        <f>IF(OR(AL$4="",$A672&gt;TODAY()),0,IF(OR(INDEX($B672:$D672,AL$5)="F",AND(AL$6&gt;0,$A672&lt;AL$6),AND(AL$7&gt;0,$A672&gt;AL$7)),0,MAX(0,ROUND((INDEX($E672:$G672,AL$5)-SUMIFS(TF_Timer,TF_Tekniker,AL$4,TF_Dato,$A672))*2,0)/2)))</f>
        <v/>
      </c>
      <c r="AM672">
        <f>IF(OR(AM$4="",$A672&gt;TODAY()),0,IF(OR(INDEX($B672:$D672,AM$5)="F",AND(AM$6&gt;0,$A672&lt;AM$6),AND(AM$7&gt;0,$A672&gt;AM$7)),0,MAX(0,ROUND((INDEX($E672:$G672,AM$5)-SUMIFS(TF_Timer,TF_Tekniker,AM$4,TF_Dato,$A672))*2,0)/2)))</f>
        <v/>
      </c>
      <c r="AN672">
        <f>IF(OR(AN$4="",$A672&gt;TODAY()),0,IF(OR(INDEX($B672:$D672,AN$5)="F",AND(AN$6&gt;0,$A672&lt;AN$6),AND(AN$7&gt;0,$A672&gt;AN$7)),0,MAX(0,ROUND((INDEX($E672:$G672,AN$5)-SUMIFS(TF_Timer,TF_Tekniker,AN$4,TF_Dato,$A672))*2,0)/2)))</f>
        <v/>
      </c>
      <c r="AO672">
        <f>IF(OR(AO$4="",$A672&gt;TODAY()),0,IF(OR(INDEX($B672:$D672,AO$5)="F",AND(AO$6&gt;0,$A672&lt;AO$6),AND(AO$7&gt;0,$A672&gt;AO$7)),0,MAX(0,ROUND((INDEX($E672:$G672,AO$5)-SUMIFS(TF_Timer,TF_Tekniker,AO$4,TF_Dato,$A672))*2,0)/2)))</f>
        <v/>
      </c>
      <c r="AP672">
        <f>IF(OR(AP$4="",$A672&gt;TODAY()),0,IF(OR(INDEX($B672:$D672,AP$5)="F",AND(AP$6&gt;0,$A672&lt;AP$6),AND(AP$7&gt;0,$A672&gt;AP$7)),0,MAX(0,ROUND((INDEX($E672:$G672,AP$5)-SUMIFS(TF_Timer,TF_Tekniker,AP$4,TF_Dato,$A672))*2,0)/2)))</f>
        <v/>
      </c>
      <c r="AQ672">
        <f>IF(OR(AQ$4="",$A672&gt;TODAY()),0,IF(OR(INDEX($B672:$D672,AQ$5)="F",AND(AQ$6&gt;0,$A672&lt;AQ$6),AND(AQ$7&gt;0,$A672&gt;AQ$7)),0,MAX(0,ROUND((INDEX($E672:$G672,AQ$5)-SUMIFS(TF_Timer,TF_Tekniker,AQ$4,TF_Dato,$A672))*2,0)/2)))</f>
        <v/>
      </c>
      <c r="AR672">
        <f>IF(OR(AR$4="",$A672&gt;TODAY()),0,IF(OR(INDEX($B672:$D672,AR$5)="F",AND(AR$6&gt;0,$A672&lt;AR$6),AND(AR$7&gt;0,$A672&gt;AR$7)),0,MAX(0,ROUND((INDEX($E672:$G672,AR$5)-SUMIFS(TF_Timer,TF_Tekniker,AR$4,TF_Dato,$A672))*2,0)/2)))</f>
        <v/>
      </c>
      <c r="AS672">
        <f>IF(OR(AS$4="",$A672&gt;TODAY()),0,IF(OR(INDEX($B672:$D672,AS$5)="F",AND(AS$6&gt;0,$A672&lt;AS$6),AND(AS$7&gt;0,$A672&gt;AS$7)),0,MAX(0,ROUND((INDEX($E672:$G672,AS$5)-SUMIFS(TF_Timer,TF_Tekniker,AS$4,TF_Dato,$A672))*2,0)/2)))</f>
        <v/>
      </c>
      <c r="AT672">
        <f>IF(OR(AT$4="",$A672&gt;TODAY()),0,IF(OR(INDEX($B672:$D672,AT$5)="F",AND(AT$6&gt;0,$A672&lt;AT$6),AND(AT$7&gt;0,$A672&gt;AT$7)),0,MAX(0,ROUND((INDEX($E672:$G672,AT$5)-SUMIFS(TF_Timer,TF_Tekniker,AT$4,TF_Dato,$A672))*2,0)/2)))</f>
        <v/>
      </c>
      <c r="AU672">
        <f>IF(OR(AU$4="",$A672&gt;TODAY()),0,IF(OR(INDEX($B672:$D672,AU$5)="F",AND(AU$6&gt;0,$A672&lt;AU$6),AND(AU$7&gt;0,$A672&gt;AU$7)),0,MAX(0,ROUND((INDEX($E672:$G672,AU$5)-SUMIFS(TF_Timer,TF_Tekniker,AU$4,TF_Dato,$A672))*2,0)/2)))</f>
        <v/>
      </c>
      <c r="AV672">
        <f>IF(OR(AV$4="",$A672&gt;TODAY()),0,IF(OR(INDEX($B672:$D672,AV$5)="F",AND(AV$6&gt;0,$A672&lt;AV$6),AND(AV$7&gt;0,$A672&gt;AV$7)),0,MAX(0,ROUND((INDEX($E672:$G672,AV$5)-SUMIFS(TF_Timer,TF_Tekniker,AV$4,TF_Dato,$A672))*2,0)/2)))</f>
        <v/>
      </c>
      <c r="AW672">
        <f>IF(OR(AW$4="",$A672&gt;TODAY()),0,IF(OR(INDEX($B672:$D672,AW$5)="F",AND(AW$6&gt;0,$A672&lt;AW$6),AND(AW$7&gt;0,$A672&gt;AW$7)),0,MAX(0,ROUND((INDEX($E672:$G672,AW$5)-SUMIFS(TF_Timer,TF_Tekniker,AW$4,TF_Dato,$A672))*2,0)/2)))</f>
        <v/>
      </c>
      <c r="AX672">
        <f>IF(OR(AX$4="",$A672&gt;TODAY()),0,IF(OR(INDEX($B672:$D672,AX$5)="F",AND(AX$6&gt;0,$A672&lt;AX$6),AND(AX$7&gt;0,$A672&gt;AX$7)),0,MAX(0,ROUND((INDEX($E672:$G672,AX$5)-SUMIFS(TF_Timer,TF_Tekniker,AX$4,TF_Dato,$A672))*2,0)/2)))</f>
        <v/>
      </c>
      <c r="AY672">
        <f>IF(OR(AY$4="",$A672&gt;TODAY()),0,IF(OR(INDEX($B672:$D672,AY$5)="F",AND(AY$6&gt;0,$A672&lt;AY$6),AND(AY$7&gt;0,$A672&gt;AY$7)),0,MAX(0,ROUND((INDEX($E672:$G672,AY$5)-SUMIFS(TF_Timer,TF_Tekniker,AY$4,TF_Dato,$A672))*2,0)/2)))</f>
        <v/>
      </c>
      <c r="AZ672">
        <f>IF(OR(AZ$4="",$A672&gt;TODAY()),0,IF(OR(INDEX($B672:$D672,AZ$5)="F",AND(AZ$6&gt;0,$A672&lt;AZ$6),AND(AZ$7&gt;0,$A672&gt;AZ$7)),0,MAX(0,ROUND((INDEX($E672:$G672,AZ$5)-SUMIFS(TF_Timer,TF_Tekniker,AZ$4,TF_Dato,$A672))*2,0)/2)))</f>
        <v/>
      </c>
      <c r="BA672">
        <f>IF(OR(BA$4="",$A672&gt;TODAY()),0,IF(OR(INDEX($B672:$D672,BA$5)="F",AND(BA$6&gt;0,$A672&lt;BA$6),AND(BA$7&gt;0,$A672&gt;BA$7)),0,MAX(0,ROUND((INDEX($E672:$G672,BA$5)-SUMIFS(TF_Timer,TF_Tekniker,BA$4,TF_Dato,$A672))*2,0)/2)))</f>
        <v/>
      </c>
      <c r="BB672">
        <f>IF(OR(BB$4="",$A672&gt;TODAY()),0,IF(OR(INDEX($B672:$D672,BB$5)="F",AND(BB$6&gt;0,$A672&lt;BB$6),AND(BB$7&gt;0,$A672&gt;BB$7)),0,MAX(0,ROUND((INDEX($E672:$G672,BB$5)-SUMIFS(TF_Timer,TF_Tekniker,BB$4,TF_Dato,$A672))*2,0)/2)))</f>
        <v/>
      </c>
      <c r="BC672">
        <f>IF(OR(BC$4="",$A672&gt;TODAY()),0,IF(OR(INDEX($B672:$D672,BC$5)="F",AND(BC$6&gt;0,$A672&lt;BC$6),AND(BC$7&gt;0,$A672&gt;BC$7)),0,MAX(0,ROUND((INDEX($E672:$G672,BC$5)-SUMIFS(TF_Timer,TF_Tekniker,BC$4,TF_Dato,$A672))*2,0)/2)))</f>
        <v/>
      </c>
      <c r="BD672">
        <f>IF(OR(BD$4="",$A672&gt;TODAY()),0,IF(OR(INDEX($B672:$D672,BD$5)="F",AND(BD$6&gt;0,$A672&lt;BD$6),AND(BD$7&gt;0,$A672&gt;BD$7)),0,MAX(0,ROUND((INDEX($E672:$G672,BD$5)-SUMIFS(TF_Timer,TF_Tekniker,BD$4,TF_Dato,$A672))*2,0)/2)))</f>
        <v/>
      </c>
      <c r="BE672">
        <f>IF(OR(BE$4="",$A672&gt;TODAY()),0,IF(OR(INDEX($B672:$D672,BE$5)="F",AND(BE$6&gt;0,$A672&lt;BE$6),AND(BE$7&gt;0,$A672&gt;BE$7)),0,MAX(0,ROUND((INDEX($E672:$G672,BE$5)-SUMIFS(TF_Timer,TF_Tekniker,BE$4,TF_Dato,$A672))*2,0)/2)))</f>
        <v/>
      </c>
      <c r="BF672">
        <f>IF(OR(BF$4="",$A672&gt;TODAY()),0,IF(OR(INDEX($B672:$D672,BF$5)="F",AND(BF$6&gt;0,$A672&lt;BF$6),AND(BF$7&gt;0,$A672&gt;BF$7)),0,MAX(0,ROUND((INDEX($E672:$G672,BF$5)-SUMIFS(TF_Timer,TF_Tekniker,BF$4,TF_Dato,$A672))*2,0)/2)))</f>
        <v/>
      </c>
      <c r="BG672">
        <f>IF(OR(BG$4="",$A672&gt;TODAY()),0,IF(OR(INDEX($B672:$D672,BG$5)="F",AND(BG$6&gt;0,$A672&lt;BG$6),AND(BG$7&gt;0,$A672&gt;BG$7)),0,MAX(0,ROUND((INDEX($E672:$G672,BG$5)-SUMIFS(TF_Timer,TF_Tekniker,BG$4,TF_Dato,$A672))*2,0)/2)))</f>
        <v/>
      </c>
      <c r="BH672">
        <f>IF(OR(BH$4="",$A672&gt;TODAY()),0,IF(OR(INDEX($B672:$D672,BH$5)="F",AND(BH$6&gt;0,$A672&lt;BH$6),AND(BH$7&gt;0,$A672&gt;BH$7)),0,MAX(0,ROUND((INDEX($E672:$G672,BH$5)-SUMIFS(TF_Timer,TF_Tekniker,BH$4,TF_Dato,$A672))*2,0)/2)))</f>
        <v/>
      </c>
      <c r="BI672">
        <f>IF(OR(BI$4="",$A672&gt;TODAY()),0,IF(OR(INDEX($B672:$D672,BI$5)="F",AND(BI$6&gt;0,$A672&lt;BI$6),AND(BI$7&gt;0,$A672&gt;BI$7)),0,MAX(0,ROUND((INDEX($E672:$G672,BI$5)-SUMIFS(TF_Timer,TF_Tekniker,BI$4,TF_Dato,$A672))*2,0)/2)))</f>
        <v/>
      </c>
    </row>
    <row r="673">
      <c r="A673" s="64">
        <f>A672+1</f>
        <v/>
      </c>
      <c r="B673">
        <f>IF(MOD($A673-INDEX(SkiftStart,1),Syklus)&lt;DagK,"K",IF(MOD($A673-INDEX(SkiftStart,1),Syklus)&lt;DagK+DagH,"H",IF(MOD($A673-INDEX(SkiftStart,1),Syklus)&lt;DagK+DagH+DagD,"D","F")))</f>
        <v/>
      </c>
      <c r="C673">
        <f>IF(MOD($A673-INDEX(SkiftStart,2),Syklus)&lt;DagK,"K",IF(MOD($A673-INDEX(SkiftStart,2),Syklus)&lt;DagK+DagH,"H",IF(MOD($A673-INDEX(SkiftStart,2),Syklus)&lt;DagK+DagH+DagD,"D","F")))</f>
        <v/>
      </c>
      <c r="D673">
        <f>IF(MOD($A673-INDEX(SkiftStart,3),Syklus)&lt;DagK,"K",IF(MOD($A673-INDEX(SkiftStart,3),Syklus)&lt;DagK+DagH,"H",IF(MOD($A673-INDEX(SkiftStart,3),Syklus)&lt;DagK+DagH+DagD,"D","F")))</f>
        <v/>
      </c>
      <c r="E673">
        <f>IF(B673="F",0,IF(WEEKDAY($A673,2)=5,INDEX(TimerFr,MATCH(B673,FaseKode,0)),INDEX(TimerMT,MATCH(B673,FaseKode,0))))</f>
        <v/>
      </c>
      <c r="F673">
        <f>IF(C673="F",0,IF(WEEKDAY($A673,2)=5,INDEX(TimerFr,MATCH(C673,FaseKode,0)),INDEX(TimerMT,MATCH(C673,FaseKode,0))))</f>
        <v/>
      </c>
      <c r="G673">
        <f>IF(D673="F",0,IF(WEEKDAY($A673,2)=5,INDEX(TimerFr,MATCH(D673,FaseKode,0)),INDEX(TimerMT,MATCH(D673,FaseKode,0))))</f>
        <v/>
      </c>
      <c r="H673">
        <f>IF(OR(H$4="",$A673&gt;TODAY()),0,IF(OR(INDEX($B673:$D673,H$5)="F",AND(H$6&gt;0,$A673&lt;H$6),AND(H$7&gt;0,$A673&gt;H$7)),0,MAX(0,ROUND((INDEX($E673:$G673,H$5)-SUMIFS(TF_Timer,TF_Tekniker,H$4,TF_Dato,$A673))*2,0)/2)))</f>
        <v/>
      </c>
      <c r="I673">
        <f>IF(OR(I$4="",$A673&gt;TODAY()),0,IF(OR(INDEX($B673:$D673,I$5)="F",AND(I$6&gt;0,$A673&lt;I$6),AND(I$7&gt;0,$A673&gt;I$7)),0,MAX(0,ROUND((INDEX($E673:$G673,I$5)-SUMIFS(TF_Timer,TF_Tekniker,I$4,TF_Dato,$A673))*2,0)/2)))</f>
        <v/>
      </c>
      <c r="J673">
        <f>IF(OR(J$4="",$A673&gt;TODAY()),0,IF(OR(INDEX($B673:$D673,J$5)="F",AND(J$6&gt;0,$A673&lt;J$6),AND(J$7&gt;0,$A673&gt;J$7)),0,MAX(0,ROUND((INDEX($E673:$G673,J$5)-SUMIFS(TF_Timer,TF_Tekniker,J$4,TF_Dato,$A673))*2,0)/2)))</f>
        <v/>
      </c>
      <c r="K673">
        <f>IF(OR(K$4="",$A673&gt;TODAY()),0,IF(OR(INDEX($B673:$D673,K$5)="F",AND(K$6&gt;0,$A673&lt;K$6),AND(K$7&gt;0,$A673&gt;K$7)),0,MAX(0,ROUND((INDEX($E673:$G673,K$5)-SUMIFS(TF_Timer,TF_Tekniker,K$4,TF_Dato,$A673))*2,0)/2)))</f>
        <v/>
      </c>
      <c r="L673">
        <f>IF(OR(L$4="",$A673&gt;TODAY()),0,IF(OR(INDEX($B673:$D673,L$5)="F",AND(L$6&gt;0,$A673&lt;L$6),AND(L$7&gt;0,$A673&gt;L$7)),0,MAX(0,ROUND((INDEX($E673:$G673,L$5)-SUMIFS(TF_Timer,TF_Tekniker,L$4,TF_Dato,$A673))*2,0)/2)))</f>
        <v/>
      </c>
      <c r="M673">
        <f>IF(OR(M$4="",$A673&gt;TODAY()),0,IF(OR(INDEX($B673:$D673,M$5)="F",AND(M$6&gt;0,$A673&lt;M$6),AND(M$7&gt;0,$A673&gt;M$7)),0,MAX(0,ROUND((INDEX($E673:$G673,M$5)-SUMIFS(TF_Timer,TF_Tekniker,M$4,TF_Dato,$A673))*2,0)/2)))</f>
        <v/>
      </c>
      <c r="N673">
        <f>IF(OR(N$4="",$A673&gt;TODAY()),0,IF(OR(INDEX($B673:$D673,N$5)="F",AND(N$6&gt;0,$A673&lt;N$6),AND(N$7&gt;0,$A673&gt;N$7)),0,MAX(0,ROUND((INDEX($E673:$G673,N$5)-SUMIFS(TF_Timer,TF_Tekniker,N$4,TF_Dato,$A673))*2,0)/2)))</f>
        <v/>
      </c>
      <c r="O673">
        <f>IF(OR(O$4="",$A673&gt;TODAY()),0,IF(OR(INDEX($B673:$D673,O$5)="F",AND(O$6&gt;0,$A673&lt;O$6),AND(O$7&gt;0,$A673&gt;O$7)),0,MAX(0,ROUND((INDEX($E673:$G673,O$5)-SUMIFS(TF_Timer,TF_Tekniker,O$4,TF_Dato,$A673))*2,0)/2)))</f>
        <v/>
      </c>
      <c r="P673">
        <f>IF(OR(P$4="",$A673&gt;TODAY()),0,IF(OR(INDEX($B673:$D673,P$5)="F",AND(P$6&gt;0,$A673&lt;P$6),AND(P$7&gt;0,$A673&gt;P$7)),0,MAX(0,ROUND((INDEX($E673:$G673,P$5)-SUMIFS(TF_Timer,TF_Tekniker,P$4,TF_Dato,$A673))*2,0)/2)))</f>
        <v/>
      </c>
      <c r="Q673">
        <f>IF(OR(Q$4="",$A673&gt;TODAY()),0,IF(OR(INDEX($B673:$D673,Q$5)="F",AND(Q$6&gt;0,$A673&lt;Q$6),AND(Q$7&gt;0,$A673&gt;Q$7)),0,MAX(0,ROUND((INDEX($E673:$G673,Q$5)-SUMIFS(TF_Timer,TF_Tekniker,Q$4,TF_Dato,$A673))*2,0)/2)))</f>
        <v/>
      </c>
      <c r="R673">
        <f>IF(OR(R$4="",$A673&gt;TODAY()),0,IF(OR(INDEX($B673:$D673,R$5)="F",AND(R$6&gt;0,$A673&lt;R$6),AND(R$7&gt;0,$A673&gt;R$7)),0,MAX(0,ROUND((INDEX($E673:$G673,R$5)-SUMIFS(TF_Timer,TF_Tekniker,R$4,TF_Dato,$A673))*2,0)/2)))</f>
        <v/>
      </c>
      <c r="S673">
        <f>IF(OR(S$4="",$A673&gt;TODAY()),0,IF(OR(INDEX($B673:$D673,S$5)="F",AND(S$6&gt;0,$A673&lt;S$6),AND(S$7&gt;0,$A673&gt;S$7)),0,MAX(0,ROUND((INDEX($E673:$G673,S$5)-SUMIFS(TF_Timer,TF_Tekniker,S$4,TF_Dato,$A673))*2,0)/2)))</f>
        <v/>
      </c>
      <c r="T673">
        <f>IF(OR(T$4="",$A673&gt;TODAY()),0,IF(OR(INDEX($B673:$D673,T$5)="F",AND(T$6&gt;0,$A673&lt;T$6),AND(T$7&gt;0,$A673&gt;T$7)),0,MAX(0,ROUND((INDEX($E673:$G673,T$5)-SUMIFS(TF_Timer,TF_Tekniker,T$4,TF_Dato,$A673))*2,0)/2)))</f>
        <v/>
      </c>
      <c r="U673">
        <f>IF(OR(U$4="",$A673&gt;TODAY()),0,IF(OR(INDEX($B673:$D673,U$5)="F",AND(U$6&gt;0,$A673&lt;U$6),AND(U$7&gt;0,$A673&gt;U$7)),0,MAX(0,ROUND((INDEX($E673:$G673,U$5)-SUMIFS(TF_Timer,TF_Tekniker,U$4,TF_Dato,$A673))*2,0)/2)))</f>
        <v/>
      </c>
      <c r="V673">
        <f>IF(OR(V$4="",$A673&gt;TODAY()),0,IF(OR(INDEX($B673:$D673,V$5)="F",AND(V$6&gt;0,$A673&lt;V$6),AND(V$7&gt;0,$A673&gt;V$7)),0,MAX(0,ROUND((INDEX($E673:$G673,V$5)-SUMIFS(TF_Timer,TF_Tekniker,V$4,TF_Dato,$A673))*2,0)/2)))</f>
        <v/>
      </c>
      <c r="W673">
        <f>IF(OR(W$4="",$A673&gt;TODAY()),0,IF(OR(INDEX($B673:$D673,W$5)="F",AND(W$6&gt;0,$A673&lt;W$6),AND(W$7&gt;0,$A673&gt;W$7)),0,MAX(0,ROUND((INDEX($E673:$G673,W$5)-SUMIFS(TF_Timer,TF_Tekniker,W$4,TF_Dato,$A673))*2,0)/2)))</f>
        <v/>
      </c>
      <c r="X673">
        <f>IF(OR(X$4="",$A673&gt;TODAY()),0,IF(OR(INDEX($B673:$D673,X$5)="F",AND(X$6&gt;0,$A673&lt;X$6),AND(X$7&gt;0,$A673&gt;X$7)),0,MAX(0,ROUND((INDEX($E673:$G673,X$5)-SUMIFS(TF_Timer,TF_Tekniker,X$4,TF_Dato,$A673))*2,0)/2)))</f>
        <v/>
      </c>
      <c r="Y673">
        <f>IF(OR(Y$4="",$A673&gt;TODAY()),0,IF(OR(INDEX($B673:$D673,Y$5)="F",AND(Y$6&gt;0,$A673&lt;Y$6),AND(Y$7&gt;0,$A673&gt;Y$7)),0,MAX(0,ROUND((INDEX($E673:$G673,Y$5)-SUMIFS(TF_Timer,TF_Tekniker,Y$4,TF_Dato,$A673))*2,0)/2)))</f>
        <v/>
      </c>
      <c r="Z673">
        <f>IF(OR(Z$4="",$A673&gt;TODAY()),0,IF(OR(INDEX($B673:$D673,Z$5)="F",AND(Z$6&gt;0,$A673&lt;Z$6),AND(Z$7&gt;0,$A673&gt;Z$7)),0,MAX(0,ROUND((INDEX($E673:$G673,Z$5)-SUMIFS(TF_Timer,TF_Tekniker,Z$4,TF_Dato,$A673))*2,0)/2)))</f>
        <v/>
      </c>
      <c r="AA673">
        <f>IF(OR(AA$4="",$A673&gt;TODAY()),0,IF(OR(INDEX($B673:$D673,AA$5)="F",AND(AA$6&gt;0,$A673&lt;AA$6),AND(AA$7&gt;0,$A673&gt;AA$7)),0,MAX(0,ROUND((INDEX($E673:$G673,AA$5)-SUMIFS(TF_Timer,TF_Tekniker,AA$4,TF_Dato,$A673))*2,0)/2)))</f>
        <v/>
      </c>
      <c r="AB673">
        <f>IF(OR(AB$4="",$A673&gt;TODAY()),0,IF(OR(INDEX($B673:$D673,AB$5)="F",AND(AB$6&gt;0,$A673&lt;AB$6),AND(AB$7&gt;0,$A673&gt;AB$7)),0,MAX(0,ROUND((INDEX($E673:$G673,AB$5)-SUMIFS(TF_Timer,TF_Tekniker,AB$4,TF_Dato,$A673))*2,0)/2)))</f>
        <v/>
      </c>
      <c r="AC673">
        <f>IF(OR(AC$4="",$A673&gt;TODAY()),0,IF(OR(INDEX($B673:$D673,AC$5)="F",AND(AC$6&gt;0,$A673&lt;AC$6),AND(AC$7&gt;0,$A673&gt;AC$7)),0,MAX(0,ROUND((INDEX($E673:$G673,AC$5)-SUMIFS(TF_Timer,TF_Tekniker,AC$4,TF_Dato,$A673))*2,0)/2)))</f>
        <v/>
      </c>
      <c r="AD673">
        <f>IF(OR(AD$4="",$A673&gt;TODAY()),0,IF(OR(INDEX($B673:$D673,AD$5)="F",AND(AD$6&gt;0,$A673&lt;AD$6),AND(AD$7&gt;0,$A673&gt;AD$7)),0,MAX(0,ROUND((INDEX($E673:$G673,AD$5)-SUMIFS(TF_Timer,TF_Tekniker,AD$4,TF_Dato,$A673))*2,0)/2)))</f>
        <v/>
      </c>
      <c r="AE673">
        <f>IF(OR(AE$4="",$A673&gt;TODAY()),0,IF(OR(INDEX($B673:$D673,AE$5)="F",AND(AE$6&gt;0,$A673&lt;AE$6),AND(AE$7&gt;0,$A673&gt;AE$7)),0,MAX(0,ROUND((INDEX($E673:$G673,AE$5)-SUMIFS(TF_Timer,TF_Tekniker,AE$4,TF_Dato,$A673))*2,0)/2)))</f>
        <v/>
      </c>
      <c r="AF673">
        <f>IF(OR(AF$4="",$A673&gt;TODAY()),0,IF(OR(INDEX($B673:$D673,AF$5)="F",AND(AF$6&gt;0,$A673&lt;AF$6),AND(AF$7&gt;0,$A673&gt;AF$7)),0,MAX(0,ROUND((INDEX($E673:$G673,AF$5)-SUMIFS(TF_Timer,TF_Tekniker,AF$4,TF_Dato,$A673))*2,0)/2)))</f>
        <v/>
      </c>
      <c r="AG673">
        <f>IF(OR(AG$4="",$A673&gt;TODAY()),0,IF(OR(INDEX($B673:$D673,AG$5)="F",AND(AG$6&gt;0,$A673&lt;AG$6),AND(AG$7&gt;0,$A673&gt;AG$7)),0,MAX(0,ROUND((INDEX($E673:$G673,AG$5)-SUMIFS(TF_Timer,TF_Tekniker,AG$4,TF_Dato,$A673))*2,0)/2)))</f>
        <v/>
      </c>
      <c r="AH673">
        <f>IF(OR(AH$4="",$A673&gt;TODAY()),0,IF(OR(INDEX($B673:$D673,AH$5)="F",AND(AH$6&gt;0,$A673&lt;AH$6),AND(AH$7&gt;0,$A673&gt;AH$7)),0,MAX(0,ROUND((INDEX($E673:$G673,AH$5)-SUMIFS(TF_Timer,TF_Tekniker,AH$4,TF_Dato,$A673))*2,0)/2)))</f>
        <v/>
      </c>
      <c r="AI673">
        <f>IF(OR(AI$4="",$A673&gt;TODAY()),0,IF(OR(INDEX($B673:$D673,AI$5)="F",AND(AI$6&gt;0,$A673&lt;AI$6),AND(AI$7&gt;0,$A673&gt;AI$7)),0,MAX(0,ROUND((INDEX($E673:$G673,AI$5)-SUMIFS(TF_Timer,TF_Tekniker,AI$4,TF_Dato,$A673))*2,0)/2)))</f>
        <v/>
      </c>
      <c r="AJ673">
        <f>IF(OR(AJ$4="",$A673&gt;TODAY()),0,IF(OR(INDEX($B673:$D673,AJ$5)="F",AND(AJ$6&gt;0,$A673&lt;AJ$6),AND(AJ$7&gt;0,$A673&gt;AJ$7)),0,MAX(0,ROUND((INDEX($E673:$G673,AJ$5)-SUMIFS(TF_Timer,TF_Tekniker,AJ$4,TF_Dato,$A673))*2,0)/2)))</f>
        <v/>
      </c>
      <c r="AK673">
        <f>IF(OR(AK$4="",$A673&gt;TODAY()),0,IF(OR(INDEX($B673:$D673,AK$5)="F",AND(AK$6&gt;0,$A673&lt;AK$6),AND(AK$7&gt;0,$A673&gt;AK$7)),0,MAX(0,ROUND((INDEX($E673:$G673,AK$5)-SUMIFS(TF_Timer,TF_Tekniker,AK$4,TF_Dato,$A673))*2,0)/2)))</f>
        <v/>
      </c>
      <c r="AL673">
        <f>IF(OR(AL$4="",$A673&gt;TODAY()),0,IF(OR(INDEX($B673:$D673,AL$5)="F",AND(AL$6&gt;0,$A673&lt;AL$6),AND(AL$7&gt;0,$A673&gt;AL$7)),0,MAX(0,ROUND((INDEX($E673:$G673,AL$5)-SUMIFS(TF_Timer,TF_Tekniker,AL$4,TF_Dato,$A673))*2,0)/2)))</f>
        <v/>
      </c>
      <c r="AM673">
        <f>IF(OR(AM$4="",$A673&gt;TODAY()),0,IF(OR(INDEX($B673:$D673,AM$5)="F",AND(AM$6&gt;0,$A673&lt;AM$6),AND(AM$7&gt;0,$A673&gt;AM$7)),0,MAX(0,ROUND((INDEX($E673:$G673,AM$5)-SUMIFS(TF_Timer,TF_Tekniker,AM$4,TF_Dato,$A673))*2,0)/2)))</f>
        <v/>
      </c>
      <c r="AN673">
        <f>IF(OR(AN$4="",$A673&gt;TODAY()),0,IF(OR(INDEX($B673:$D673,AN$5)="F",AND(AN$6&gt;0,$A673&lt;AN$6),AND(AN$7&gt;0,$A673&gt;AN$7)),0,MAX(0,ROUND((INDEX($E673:$G673,AN$5)-SUMIFS(TF_Timer,TF_Tekniker,AN$4,TF_Dato,$A673))*2,0)/2)))</f>
        <v/>
      </c>
      <c r="AO673">
        <f>IF(OR(AO$4="",$A673&gt;TODAY()),0,IF(OR(INDEX($B673:$D673,AO$5)="F",AND(AO$6&gt;0,$A673&lt;AO$6),AND(AO$7&gt;0,$A673&gt;AO$7)),0,MAX(0,ROUND((INDEX($E673:$G673,AO$5)-SUMIFS(TF_Timer,TF_Tekniker,AO$4,TF_Dato,$A673))*2,0)/2)))</f>
        <v/>
      </c>
      <c r="AP673">
        <f>IF(OR(AP$4="",$A673&gt;TODAY()),0,IF(OR(INDEX($B673:$D673,AP$5)="F",AND(AP$6&gt;0,$A673&lt;AP$6),AND(AP$7&gt;0,$A673&gt;AP$7)),0,MAX(0,ROUND((INDEX($E673:$G673,AP$5)-SUMIFS(TF_Timer,TF_Tekniker,AP$4,TF_Dato,$A673))*2,0)/2)))</f>
        <v/>
      </c>
      <c r="AQ673">
        <f>IF(OR(AQ$4="",$A673&gt;TODAY()),0,IF(OR(INDEX($B673:$D673,AQ$5)="F",AND(AQ$6&gt;0,$A673&lt;AQ$6),AND(AQ$7&gt;0,$A673&gt;AQ$7)),0,MAX(0,ROUND((INDEX($E673:$G673,AQ$5)-SUMIFS(TF_Timer,TF_Tekniker,AQ$4,TF_Dato,$A673))*2,0)/2)))</f>
        <v/>
      </c>
      <c r="AR673">
        <f>IF(OR(AR$4="",$A673&gt;TODAY()),0,IF(OR(INDEX($B673:$D673,AR$5)="F",AND(AR$6&gt;0,$A673&lt;AR$6),AND(AR$7&gt;0,$A673&gt;AR$7)),0,MAX(0,ROUND((INDEX($E673:$G673,AR$5)-SUMIFS(TF_Timer,TF_Tekniker,AR$4,TF_Dato,$A673))*2,0)/2)))</f>
        <v/>
      </c>
      <c r="AS673">
        <f>IF(OR(AS$4="",$A673&gt;TODAY()),0,IF(OR(INDEX($B673:$D673,AS$5)="F",AND(AS$6&gt;0,$A673&lt;AS$6),AND(AS$7&gt;0,$A673&gt;AS$7)),0,MAX(0,ROUND((INDEX($E673:$G673,AS$5)-SUMIFS(TF_Timer,TF_Tekniker,AS$4,TF_Dato,$A673))*2,0)/2)))</f>
        <v/>
      </c>
      <c r="AT673">
        <f>IF(OR(AT$4="",$A673&gt;TODAY()),0,IF(OR(INDEX($B673:$D673,AT$5)="F",AND(AT$6&gt;0,$A673&lt;AT$6),AND(AT$7&gt;0,$A673&gt;AT$7)),0,MAX(0,ROUND((INDEX($E673:$G673,AT$5)-SUMIFS(TF_Timer,TF_Tekniker,AT$4,TF_Dato,$A673))*2,0)/2)))</f>
        <v/>
      </c>
      <c r="AU673">
        <f>IF(OR(AU$4="",$A673&gt;TODAY()),0,IF(OR(INDEX($B673:$D673,AU$5)="F",AND(AU$6&gt;0,$A673&lt;AU$6),AND(AU$7&gt;0,$A673&gt;AU$7)),0,MAX(0,ROUND((INDEX($E673:$G673,AU$5)-SUMIFS(TF_Timer,TF_Tekniker,AU$4,TF_Dato,$A673))*2,0)/2)))</f>
        <v/>
      </c>
      <c r="AV673">
        <f>IF(OR(AV$4="",$A673&gt;TODAY()),0,IF(OR(INDEX($B673:$D673,AV$5)="F",AND(AV$6&gt;0,$A673&lt;AV$6),AND(AV$7&gt;0,$A673&gt;AV$7)),0,MAX(0,ROUND((INDEX($E673:$G673,AV$5)-SUMIFS(TF_Timer,TF_Tekniker,AV$4,TF_Dato,$A673))*2,0)/2)))</f>
        <v/>
      </c>
      <c r="AW673">
        <f>IF(OR(AW$4="",$A673&gt;TODAY()),0,IF(OR(INDEX($B673:$D673,AW$5)="F",AND(AW$6&gt;0,$A673&lt;AW$6),AND(AW$7&gt;0,$A673&gt;AW$7)),0,MAX(0,ROUND((INDEX($E673:$G673,AW$5)-SUMIFS(TF_Timer,TF_Tekniker,AW$4,TF_Dato,$A673))*2,0)/2)))</f>
        <v/>
      </c>
      <c r="AX673">
        <f>IF(OR(AX$4="",$A673&gt;TODAY()),0,IF(OR(INDEX($B673:$D673,AX$5)="F",AND(AX$6&gt;0,$A673&lt;AX$6),AND(AX$7&gt;0,$A673&gt;AX$7)),0,MAX(0,ROUND((INDEX($E673:$G673,AX$5)-SUMIFS(TF_Timer,TF_Tekniker,AX$4,TF_Dato,$A673))*2,0)/2)))</f>
        <v/>
      </c>
      <c r="AY673">
        <f>IF(OR(AY$4="",$A673&gt;TODAY()),0,IF(OR(INDEX($B673:$D673,AY$5)="F",AND(AY$6&gt;0,$A673&lt;AY$6),AND(AY$7&gt;0,$A673&gt;AY$7)),0,MAX(0,ROUND((INDEX($E673:$G673,AY$5)-SUMIFS(TF_Timer,TF_Tekniker,AY$4,TF_Dato,$A673))*2,0)/2)))</f>
        <v/>
      </c>
      <c r="AZ673">
        <f>IF(OR(AZ$4="",$A673&gt;TODAY()),0,IF(OR(INDEX($B673:$D673,AZ$5)="F",AND(AZ$6&gt;0,$A673&lt;AZ$6),AND(AZ$7&gt;0,$A673&gt;AZ$7)),0,MAX(0,ROUND((INDEX($E673:$G673,AZ$5)-SUMIFS(TF_Timer,TF_Tekniker,AZ$4,TF_Dato,$A673))*2,0)/2)))</f>
        <v/>
      </c>
      <c r="BA673">
        <f>IF(OR(BA$4="",$A673&gt;TODAY()),0,IF(OR(INDEX($B673:$D673,BA$5)="F",AND(BA$6&gt;0,$A673&lt;BA$6),AND(BA$7&gt;0,$A673&gt;BA$7)),0,MAX(0,ROUND((INDEX($E673:$G673,BA$5)-SUMIFS(TF_Timer,TF_Tekniker,BA$4,TF_Dato,$A673))*2,0)/2)))</f>
        <v/>
      </c>
      <c r="BB673">
        <f>IF(OR(BB$4="",$A673&gt;TODAY()),0,IF(OR(INDEX($B673:$D673,BB$5)="F",AND(BB$6&gt;0,$A673&lt;BB$6),AND(BB$7&gt;0,$A673&gt;BB$7)),0,MAX(0,ROUND((INDEX($E673:$G673,BB$5)-SUMIFS(TF_Timer,TF_Tekniker,BB$4,TF_Dato,$A673))*2,0)/2)))</f>
        <v/>
      </c>
      <c r="BC673">
        <f>IF(OR(BC$4="",$A673&gt;TODAY()),0,IF(OR(INDEX($B673:$D673,BC$5)="F",AND(BC$6&gt;0,$A673&lt;BC$6),AND(BC$7&gt;0,$A673&gt;BC$7)),0,MAX(0,ROUND((INDEX($E673:$G673,BC$5)-SUMIFS(TF_Timer,TF_Tekniker,BC$4,TF_Dato,$A673))*2,0)/2)))</f>
        <v/>
      </c>
      <c r="BD673">
        <f>IF(OR(BD$4="",$A673&gt;TODAY()),0,IF(OR(INDEX($B673:$D673,BD$5)="F",AND(BD$6&gt;0,$A673&lt;BD$6),AND(BD$7&gt;0,$A673&gt;BD$7)),0,MAX(0,ROUND((INDEX($E673:$G673,BD$5)-SUMIFS(TF_Timer,TF_Tekniker,BD$4,TF_Dato,$A673))*2,0)/2)))</f>
        <v/>
      </c>
      <c r="BE673">
        <f>IF(OR(BE$4="",$A673&gt;TODAY()),0,IF(OR(INDEX($B673:$D673,BE$5)="F",AND(BE$6&gt;0,$A673&lt;BE$6),AND(BE$7&gt;0,$A673&gt;BE$7)),0,MAX(0,ROUND((INDEX($E673:$G673,BE$5)-SUMIFS(TF_Timer,TF_Tekniker,BE$4,TF_Dato,$A673))*2,0)/2)))</f>
        <v/>
      </c>
      <c r="BF673">
        <f>IF(OR(BF$4="",$A673&gt;TODAY()),0,IF(OR(INDEX($B673:$D673,BF$5)="F",AND(BF$6&gt;0,$A673&lt;BF$6),AND(BF$7&gt;0,$A673&gt;BF$7)),0,MAX(0,ROUND((INDEX($E673:$G673,BF$5)-SUMIFS(TF_Timer,TF_Tekniker,BF$4,TF_Dato,$A673))*2,0)/2)))</f>
        <v/>
      </c>
      <c r="BG673">
        <f>IF(OR(BG$4="",$A673&gt;TODAY()),0,IF(OR(INDEX($B673:$D673,BG$5)="F",AND(BG$6&gt;0,$A673&lt;BG$6),AND(BG$7&gt;0,$A673&gt;BG$7)),0,MAX(0,ROUND((INDEX($E673:$G673,BG$5)-SUMIFS(TF_Timer,TF_Tekniker,BG$4,TF_Dato,$A673))*2,0)/2)))</f>
        <v/>
      </c>
      <c r="BH673">
        <f>IF(OR(BH$4="",$A673&gt;TODAY()),0,IF(OR(INDEX($B673:$D673,BH$5)="F",AND(BH$6&gt;0,$A673&lt;BH$6),AND(BH$7&gt;0,$A673&gt;BH$7)),0,MAX(0,ROUND((INDEX($E673:$G673,BH$5)-SUMIFS(TF_Timer,TF_Tekniker,BH$4,TF_Dato,$A673))*2,0)/2)))</f>
        <v/>
      </c>
      <c r="BI673">
        <f>IF(OR(BI$4="",$A673&gt;TODAY()),0,IF(OR(INDEX($B673:$D673,BI$5)="F",AND(BI$6&gt;0,$A673&lt;BI$6),AND(BI$7&gt;0,$A673&gt;BI$7)),0,MAX(0,ROUND((INDEX($E673:$G673,BI$5)-SUMIFS(TF_Timer,TF_Tekniker,BI$4,TF_Dato,$A673))*2,0)/2)))</f>
        <v/>
      </c>
    </row>
    <row r="674">
      <c r="A674" s="64">
        <f>A673+1</f>
        <v/>
      </c>
      <c r="B674">
        <f>IF(MOD($A674-INDEX(SkiftStart,1),Syklus)&lt;DagK,"K",IF(MOD($A674-INDEX(SkiftStart,1),Syklus)&lt;DagK+DagH,"H",IF(MOD($A674-INDEX(SkiftStart,1),Syklus)&lt;DagK+DagH+DagD,"D","F")))</f>
        <v/>
      </c>
      <c r="C674">
        <f>IF(MOD($A674-INDEX(SkiftStart,2),Syklus)&lt;DagK,"K",IF(MOD($A674-INDEX(SkiftStart,2),Syklus)&lt;DagK+DagH,"H",IF(MOD($A674-INDEX(SkiftStart,2),Syklus)&lt;DagK+DagH+DagD,"D","F")))</f>
        <v/>
      </c>
      <c r="D674">
        <f>IF(MOD($A674-INDEX(SkiftStart,3),Syklus)&lt;DagK,"K",IF(MOD($A674-INDEX(SkiftStart,3),Syklus)&lt;DagK+DagH,"H",IF(MOD($A674-INDEX(SkiftStart,3),Syklus)&lt;DagK+DagH+DagD,"D","F")))</f>
        <v/>
      </c>
      <c r="E674">
        <f>IF(B674="F",0,IF(WEEKDAY($A674,2)=5,INDEX(TimerFr,MATCH(B674,FaseKode,0)),INDEX(TimerMT,MATCH(B674,FaseKode,0))))</f>
        <v/>
      </c>
      <c r="F674">
        <f>IF(C674="F",0,IF(WEEKDAY($A674,2)=5,INDEX(TimerFr,MATCH(C674,FaseKode,0)),INDEX(TimerMT,MATCH(C674,FaseKode,0))))</f>
        <v/>
      </c>
      <c r="G674">
        <f>IF(D674="F",0,IF(WEEKDAY($A674,2)=5,INDEX(TimerFr,MATCH(D674,FaseKode,0)),INDEX(TimerMT,MATCH(D674,FaseKode,0))))</f>
        <v/>
      </c>
      <c r="H674">
        <f>IF(OR(H$4="",$A674&gt;TODAY()),0,IF(OR(INDEX($B674:$D674,H$5)="F",AND(H$6&gt;0,$A674&lt;H$6),AND(H$7&gt;0,$A674&gt;H$7)),0,MAX(0,ROUND((INDEX($E674:$G674,H$5)-SUMIFS(TF_Timer,TF_Tekniker,H$4,TF_Dato,$A674))*2,0)/2)))</f>
        <v/>
      </c>
      <c r="I674">
        <f>IF(OR(I$4="",$A674&gt;TODAY()),0,IF(OR(INDEX($B674:$D674,I$5)="F",AND(I$6&gt;0,$A674&lt;I$6),AND(I$7&gt;0,$A674&gt;I$7)),0,MAX(0,ROUND((INDEX($E674:$G674,I$5)-SUMIFS(TF_Timer,TF_Tekniker,I$4,TF_Dato,$A674))*2,0)/2)))</f>
        <v/>
      </c>
      <c r="J674">
        <f>IF(OR(J$4="",$A674&gt;TODAY()),0,IF(OR(INDEX($B674:$D674,J$5)="F",AND(J$6&gt;0,$A674&lt;J$6),AND(J$7&gt;0,$A674&gt;J$7)),0,MAX(0,ROUND((INDEX($E674:$G674,J$5)-SUMIFS(TF_Timer,TF_Tekniker,J$4,TF_Dato,$A674))*2,0)/2)))</f>
        <v/>
      </c>
      <c r="K674">
        <f>IF(OR(K$4="",$A674&gt;TODAY()),0,IF(OR(INDEX($B674:$D674,K$5)="F",AND(K$6&gt;0,$A674&lt;K$6),AND(K$7&gt;0,$A674&gt;K$7)),0,MAX(0,ROUND((INDEX($E674:$G674,K$5)-SUMIFS(TF_Timer,TF_Tekniker,K$4,TF_Dato,$A674))*2,0)/2)))</f>
        <v/>
      </c>
      <c r="L674">
        <f>IF(OR(L$4="",$A674&gt;TODAY()),0,IF(OR(INDEX($B674:$D674,L$5)="F",AND(L$6&gt;0,$A674&lt;L$6),AND(L$7&gt;0,$A674&gt;L$7)),0,MAX(0,ROUND((INDEX($E674:$G674,L$5)-SUMIFS(TF_Timer,TF_Tekniker,L$4,TF_Dato,$A674))*2,0)/2)))</f>
        <v/>
      </c>
      <c r="M674">
        <f>IF(OR(M$4="",$A674&gt;TODAY()),0,IF(OR(INDEX($B674:$D674,M$5)="F",AND(M$6&gt;0,$A674&lt;M$6),AND(M$7&gt;0,$A674&gt;M$7)),0,MAX(0,ROUND((INDEX($E674:$G674,M$5)-SUMIFS(TF_Timer,TF_Tekniker,M$4,TF_Dato,$A674))*2,0)/2)))</f>
        <v/>
      </c>
      <c r="N674">
        <f>IF(OR(N$4="",$A674&gt;TODAY()),0,IF(OR(INDEX($B674:$D674,N$5)="F",AND(N$6&gt;0,$A674&lt;N$6),AND(N$7&gt;0,$A674&gt;N$7)),0,MAX(0,ROUND((INDEX($E674:$G674,N$5)-SUMIFS(TF_Timer,TF_Tekniker,N$4,TF_Dato,$A674))*2,0)/2)))</f>
        <v/>
      </c>
      <c r="O674">
        <f>IF(OR(O$4="",$A674&gt;TODAY()),0,IF(OR(INDEX($B674:$D674,O$5)="F",AND(O$6&gt;0,$A674&lt;O$6),AND(O$7&gt;0,$A674&gt;O$7)),0,MAX(0,ROUND((INDEX($E674:$G674,O$5)-SUMIFS(TF_Timer,TF_Tekniker,O$4,TF_Dato,$A674))*2,0)/2)))</f>
        <v/>
      </c>
      <c r="P674">
        <f>IF(OR(P$4="",$A674&gt;TODAY()),0,IF(OR(INDEX($B674:$D674,P$5)="F",AND(P$6&gt;0,$A674&lt;P$6),AND(P$7&gt;0,$A674&gt;P$7)),0,MAX(0,ROUND((INDEX($E674:$G674,P$5)-SUMIFS(TF_Timer,TF_Tekniker,P$4,TF_Dato,$A674))*2,0)/2)))</f>
        <v/>
      </c>
      <c r="Q674">
        <f>IF(OR(Q$4="",$A674&gt;TODAY()),0,IF(OR(INDEX($B674:$D674,Q$5)="F",AND(Q$6&gt;0,$A674&lt;Q$6),AND(Q$7&gt;0,$A674&gt;Q$7)),0,MAX(0,ROUND((INDEX($E674:$G674,Q$5)-SUMIFS(TF_Timer,TF_Tekniker,Q$4,TF_Dato,$A674))*2,0)/2)))</f>
        <v/>
      </c>
      <c r="R674">
        <f>IF(OR(R$4="",$A674&gt;TODAY()),0,IF(OR(INDEX($B674:$D674,R$5)="F",AND(R$6&gt;0,$A674&lt;R$6),AND(R$7&gt;0,$A674&gt;R$7)),0,MAX(0,ROUND((INDEX($E674:$G674,R$5)-SUMIFS(TF_Timer,TF_Tekniker,R$4,TF_Dato,$A674))*2,0)/2)))</f>
        <v/>
      </c>
      <c r="S674">
        <f>IF(OR(S$4="",$A674&gt;TODAY()),0,IF(OR(INDEX($B674:$D674,S$5)="F",AND(S$6&gt;0,$A674&lt;S$6),AND(S$7&gt;0,$A674&gt;S$7)),0,MAX(0,ROUND((INDEX($E674:$G674,S$5)-SUMIFS(TF_Timer,TF_Tekniker,S$4,TF_Dato,$A674))*2,0)/2)))</f>
        <v/>
      </c>
      <c r="T674">
        <f>IF(OR(T$4="",$A674&gt;TODAY()),0,IF(OR(INDEX($B674:$D674,T$5)="F",AND(T$6&gt;0,$A674&lt;T$6),AND(T$7&gt;0,$A674&gt;T$7)),0,MAX(0,ROUND((INDEX($E674:$G674,T$5)-SUMIFS(TF_Timer,TF_Tekniker,T$4,TF_Dato,$A674))*2,0)/2)))</f>
        <v/>
      </c>
      <c r="U674">
        <f>IF(OR(U$4="",$A674&gt;TODAY()),0,IF(OR(INDEX($B674:$D674,U$5)="F",AND(U$6&gt;0,$A674&lt;U$6),AND(U$7&gt;0,$A674&gt;U$7)),0,MAX(0,ROUND((INDEX($E674:$G674,U$5)-SUMIFS(TF_Timer,TF_Tekniker,U$4,TF_Dato,$A674))*2,0)/2)))</f>
        <v/>
      </c>
      <c r="V674">
        <f>IF(OR(V$4="",$A674&gt;TODAY()),0,IF(OR(INDEX($B674:$D674,V$5)="F",AND(V$6&gt;0,$A674&lt;V$6),AND(V$7&gt;0,$A674&gt;V$7)),0,MAX(0,ROUND((INDEX($E674:$G674,V$5)-SUMIFS(TF_Timer,TF_Tekniker,V$4,TF_Dato,$A674))*2,0)/2)))</f>
        <v/>
      </c>
      <c r="W674">
        <f>IF(OR(W$4="",$A674&gt;TODAY()),0,IF(OR(INDEX($B674:$D674,W$5)="F",AND(W$6&gt;0,$A674&lt;W$6),AND(W$7&gt;0,$A674&gt;W$7)),0,MAX(0,ROUND((INDEX($E674:$G674,W$5)-SUMIFS(TF_Timer,TF_Tekniker,W$4,TF_Dato,$A674))*2,0)/2)))</f>
        <v/>
      </c>
      <c r="X674">
        <f>IF(OR(X$4="",$A674&gt;TODAY()),0,IF(OR(INDEX($B674:$D674,X$5)="F",AND(X$6&gt;0,$A674&lt;X$6),AND(X$7&gt;0,$A674&gt;X$7)),0,MAX(0,ROUND((INDEX($E674:$G674,X$5)-SUMIFS(TF_Timer,TF_Tekniker,X$4,TF_Dato,$A674))*2,0)/2)))</f>
        <v/>
      </c>
      <c r="Y674">
        <f>IF(OR(Y$4="",$A674&gt;TODAY()),0,IF(OR(INDEX($B674:$D674,Y$5)="F",AND(Y$6&gt;0,$A674&lt;Y$6),AND(Y$7&gt;0,$A674&gt;Y$7)),0,MAX(0,ROUND((INDEX($E674:$G674,Y$5)-SUMIFS(TF_Timer,TF_Tekniker,Y$4,TF_Dato,$A674))*2,0)/2)))</f>
        <v/>
      </c>
      <c r="Z674">
        <f>IF(OR(Z$4="",$A674&gt;TODAY()),0,IF(OR(INDEX($B674:$D674,Z$5)="F",AND(Z$6&gt;0,$A674&lt;Z$6),AND(Z$7&gt;0,$A674&gt;Z$7)),0,MAX(0,ROUND((INDEX($E674:$G674,Z$5)-SUMIFS(TF_Timer,TF_Tekniker,Z$4,TF_Dato,$A674))*2,0)/2)))</f>
        <v/>
      </c>
      <c r="AA674">
        <f>IF(OR(AA$4="",$A674&gt;TODAY()),0,IF(OR(INDEX($B674:$D674,AA$5)="F",AND(AA$6&gt;0,$A674&lt;AA$6),AND(AA$7&gt;0,$A674&gt;AA$7)),0,MAX(0,ROUND((INDEX($E674:$G674,AA$5)-SUMIFS(TF_Timer,TF_Tekniker,AA$4,TF_Dato,$A674))*2,0)/2)))</f>
        <v/>
      </c>
      <c r="AB674">
        <f>IF(OR(AB$4="",$A674&gt;TODAY()),0,IF(OR(INDEX($B674:$D674,AB$5)="F",AND(AB$6&gt;0,$A674&lt;AB$6),AND(AB$7&gt;0,$A674&gt;AB$7)),0,MAX(0,ROUND((INDEX($E674:$G674,AB$5)-SUMIFS(TF_Timer,TF_Tekniker,AB$4,TF_Dato,$A674))*2,0)/2)))</f>
        <v/>
      </c>
      <c r="AC674">
        <f>IF(OR(AC$4="",$A674&gt;TODAY()),0,IF(OR(INDEX($B674:$D674,AC$5)="F",AND(AC$6&gt;0,$A674&lt;AC$6),AND(AC$7&gt;0,$A674&gt;AC$7)),0,MAX(0,ROUND((INDEX($E674:$G674,AC$5)-SUMIFS(TF_Timer,TF_Tekniker,AC$4,TF_Dato,$A674))*2,0)/2)))</f>
        <v/>
      </c>
      <c r="AD674">
        <f>IF(OR(AD$4="",$A674&gt;TODAY()),0,IF(OR(INDEX($B674:$D674,AD$5)="F",AND(AD$6&gt;0,$A674&lt;AD$6),AND(AD$7&gt;0,$A674&gt;AD$7)),0,MAX(0,ROUND((INDEX($E674:$G674,AD$5)-SUMIFS(TF_Timer,TF_Tekniker,AD$4,TF_Dato,$A674))*2,0)/2)))</f>
        <v/>
      </c>
      <c r="AE674">
        <f>IF(OR(AE$4="",$A674&gt;TODAY()),0,IF(OR(INDEX($B674:$D674,AE$5)="F",AND(AE$6&gt;0,$A674&lt;AE$6),AND(AE$7&gt;0,$A674&gt;AE$7)),0,MAX(0,ROUND((INDEX($E674:$G674,AE$5)-SUMIFS(TF_Timer,TF_Tekniker,AE$4,TF_Dato,$A674))*2,0)/2)))</f>
        <v/>
      </c>
      <c r="AF674">
        <f>IF(OR(AF$4="",$A674&gt;TODAY()),0,IF(OR(INDEX($B674:$D674,AF$5)="F",AND(AF$6&gt;0,$A674&lt;AF$6),AND(AF$7&gt;0,$A674&gt;AF$7)),0,MAX(0,ROUND((INDEX($E674:$G674,AF$5)-SUMIFS(TF_Timer,TF_Tekniker,AF$4,TF_Dato,$A674))*2,0)/2)))</f>
        <v/>
      </c>
      <c r="AG674">
        <f>IF(OR(AG$4="",$A674&gt;TODAY()),0,IF(OR(INDEX($B674:$D674,AG$5)="F",AND(AG$6&gt;0,$A674&lt;AG$6),AND(AG$7&gt;0,$A674&gt;AG$7)),0,MAX(0,ROUND((INDEX($E674:$G674,AG$5)-SUMIFS(TF_Timer,TF_Tekniker,AG$4,TF_Dato,$A674))*2,0)/2)))</f>
        <v/>
      </c>
      <c r="AH674">
        <f>IF(OR(AH$4="",$A674&gt;TODAY()),0,IF(OR(INDEX($B674:$D674,AH$5)="F",AND(AH$6&gt;0,$A674&lt;AH$6),AND(AH$7&gt;0,$A674&gt;AH$7)),0,MAX(0,ROUND((INDEX($E674:$G674,AH$5)-SUMIFS(TF_Timer,TF_Tekniker,AH$4,TF_Dato,$A674))*2,0)/2)))</f>
        <v/>
      </c>
      <c r="AI674">
        <f>IF(OR(AI$4="",$A674&gt;TODAY()),0,IF(OR(INDEX($B674:$D674,AI$5)="F",AND(AI$6&gt;0,$A674&lt;AI$6),AND(AI$7&gt;0,$A674&gt;AI$7)),0,MAX(0,ROUND((INDEX($E674:$G674,AI$5)-SUMIFS(TF_Timer,TF_Tekniker,AI$4,TF_Dato,$A674))*2,0)/2)))</f>
        <v/>
      </c>
      <c r="AJ674">
        <f>IF(OR(AJ$4="",$A674&gt;TODAY()),0,IF(OR(INDEX($B674:$D674,AJ$5)="F",AND(AJ$6&gt;0,$A674&lt;AJ$6),AND(AJ$7&gt;0,$A674&gt;AJ$7)),0,MAX(0,ROUND((INDEX($E674:$G674,AJ$5)-SUMIFS(TF_Timer,TF_Tekniker,AJ$4,TF_Dato,$A674))*2,0)/2)))</f>
        <v/>
      </c>
      <c r="AK674">
        <f>IF(OR(AK$4="",$A674&gt;TODAY()),0,IF(OR(INDEX($B674:$D674,AK$5)="F",AND(AK$6&gt;0,$A674&lt;AK$6),AND(AK$7&gt;0,$A674&gt;AK$7)),0,MAX(0,ROUND((INDEX($E674:$G674,AK$5)-SUMIFS(TF_Timer,TF_Tekniker,AK$4,TF_Dato,$A674))*2,0)/2)))</f>
        <v/>
      </c>
      <c r="AL674">
        <f>IF(OR(AL$4="",$A674&gt;TODAY()),0,IF(OR(INDEX($B674:$D674,AL$5)="F",AND(AL$6&gt;0,$A674&lt;AL$6),AND(AL$7&gt;0,$A674&gt;AL$7)),0,MAX(0,ROUND((INDEX($E674:$G674,AL$5)-SUMIFS(TF_Timer,TF_Tekniker,AL$4,TF_Dato,$A674))*2,0)/2)))</f>
        <v/>
      </c>
      <c r="AM674">
        <f>IF(OR(AM$4="",$A674&gt;TODAY()),0,IF(OR(INDEX($B674:$D674,AM$5)="F",AND(AM$6&gt;0,$A674&lt;AM$6),AND(AM$7&gt;0,$A674&gt;AM$7)),0,MAX(0,ROUND((INDEX($E674:$G674,AM$5)-SUMIFS(TF_Timer,TF_Tekniker,AM$4,TF_Dato,$A674))*2,0)/2)))</f>
        <v/>
      </c>
      <c r="AN674">
        <f>IF(OR(AN$4="",$A674&gt;TODAY()),0,IF(OR(INDEX($B674:$D674,AN$5)="F",AND(AN$6&gt;0,$A674&lt;AN$6),AND(AN$7&gt;0,$A674&gt;AN$7)),0,MAX(0,ROUND((INDEX($E674:$G674,AN$5)-SUMIFS(TF_Timer,TF_Tekniker,AN$4,TF_Dato,$A674))*2,0)/2)))</f>
        <v/>
      </c>
      <c r="AO674">
        <f>IF(OR(AO$4="",$A674&gt;TODAY()),0,IF(OR(INDEX($B674:$D674,AO$5)="F",AND(AO$6&gt;0,$A674&lt;AO$6),AND(AO$7&gt;0,$A674&gt;AO$7)),0,MAX(0,ROUND((INDEX($E674:$G674,AO$5)-SUMIFS(TF_Timer,TF_Tekniker,AO$4,TF_Dato,$A674))*2,0)/2)))</f>
        <v/>
      </c>
      <c r="AP674">
        <f>IF(OR(AP$4="",$A674&gt;TODAY()),0,IF(OR(INDEX($B674:$D674,AP$5)="F",AND(AP$6&gt;0,$A674&lt;AP$6),AND(AP$7&gt;0,$A674&gt;AP$7)),0,MAX(0,ROUND((INDEX($E674:$G674,AP$5)-SUMIFS(TF_Timer,TF_Tekniker,AP$4,TF_Dato,$A674))*2,0)/2)))</f>
        <v/>
      </c>
      <c r="AQ674">
        <f>IF(OR(AQ$4="",$A674&gt;TODAY()),0,IF(OR(INDEX($B674:$D674,AQ$5)="F",AND(AQ$6&gt;0,$A674&lt;AQ$6),AND(AQ$7&gt;0,$A674&gt;AQ$7)),0,MAX(0,ROUND((INDEX($E674:$G674,AQ$5)-SUMIFS(TF_Timer,TF_Tekniker,AQ$4,TF_Dato,$A674))*2,0)/2)))</f>
        <v/>
      </c>
      <c r="AR674">
        <f>IF(OR(AR$4="",$A674&gt;TODAY()),0,IF(OR(INDEX($B674:$D674,AR$5)="F",AND(AR$6&gt;0,$A674&lt;AR$6),AND(AR$7&gt;0,$A674&gt;AR$7)),0,MAX(0,ROUND((INDEX($E674:$G674,AR$5)-SUMIFS(TF_Timer,TF_Tekniker,AR$4,TF_Dato,$A674))*2,0)/2)))</f>
        <v/>
      </c>
      <c r="AS674">
        <f>IF(OR(AS$4="",$A674&gt;TODAY()),0,IF(OR(INDEX($B674:$D674,AS$5)="F",AND(AS$6&gt;0,$A674&lt;AS$6),AND(AS$7&gt;0,$A674&gt;AS$7)),0,MAX(0,ROUND((INDEX($E674:$G674,AS$5)-SUMIFS(TF_Timer,TF_Tekniker,AS$4,TF_Dato,$A674))*2,0)/2)))</f>
        <v/>
      </c>
      <c r="AT674">
        <f>IF(OR(AT$4="",$A674&gt;TODAY()),0,IF(OR(INDEX($B674:$D674,AT$5)="F",AND(AT$6&gt;0,$A674&lt;AT$6),AND(AT$7&gt;0,$A674&gt;AT$7)),0,MAX(0,ROUND((INDEX($E674:$G674,AT$5)-SUMIFS(TF_Timer,TF_Tekniker,AT$4,TF_Dato,$A674))*2,0)/2)))</f>
        <v/>
      </c>
      <c r="AU674">
        <f>IF(OR(AU$4="",$A674&gt;TODAY()),0,IF(OR(INDEX($B674:$D674,AU$5)="F",AND(AU$6&gt;0,$A674&lt;AU$6),AND(AU$7&gt;0,$A674&gt;AU$7)),0,MAX(0,ROUND((INDEX($E674:$G674,AU$5)-SUMIFS(TF_Timer,TF_Tekniker,AU$4,TF_Dato,$A674))*2,0)/2)))</f>
        <v/>
      </c>
      <c r="AV674">
        <f>IF(OR(AV$4="",$A674&gt;TODAY()),0,IF(OR(INDEX($B674:$D674,AV$5)="F",AND(AV$6&gt;0,$A674&lt;AV$6),AND(AV$7&gt;0,$A674&gt;AV$7)),0,MAX(0,ROUND((INDEX($E674:$G674,AV$5)-SUMIFS(TF_Timer,TF_Tekniker,AV$4,TF_Dato,$A674))*2,0)/2)))</f>
        <v/>
      </c>
      <c r="AW674">
        <f>IF(OR(AW$4="",$A674&gt;TODAY()),0,IF(OR(INDEX($B674:$D674,AW$5)="F",AND(AW$6&gt;0,$A674&lt;AW$6),AND(AW$7&gt;0,$A674&gt;AW$7)),0,MAX(0,ROUND((INDEX($E674:$G674,AW$5)-SUMIFS(TF_Timer,TF_Tekniker,AW$4,TF_Dato,$A674))*2,0)/2)))</f>
        <v/>
      </c>
      <c r="AX674">
        <f>IF(OR(AX$4="",$A674&gt;TODAY()),0,IF(OR(INDEX($B674:$D674,AX$5)="F",AND(AX$6&gt;0,$A674&lt;AX$6),AND(AX$7&gt;0,$A674&gt;AX$7)),0,MAX(0,ROUND((INDEX($E674:$G674,AX$5)-SUMIFS(TF_Timer,TF_Tekniker,AX$4,TF_Dato,$A674))*2,0)/2)))</f>
        <v/>
      </c>
      <c r="AY674">
        <f>IF(OR(AY$4="",$A674&gt;TODAY()),0,IF(OR(INDEX($B674:$D674,AY$5)="F",AND(AY$6&gt;0,$A674&lt;AY$6),AND(AY$7&gt;0,$A674&gt;AY$7)),0,MAX(0,ROUND((INDEX($E674:$G674,AY$5)-SUMIFS(TF_Timer,TF_Tekniker,AY$4,TF_Dato,$A674))*2,0)/2)))</f>
        <v/>
      </c>
      <c r="AZ674">
        <f>IF(OR(AZ$4="",$A674&gt;TODAY()),0,IF(OR(INDEX($B674:$D674,AZ$5)="F",AND(AZ$6&gt;0,$A674&lt;AZ$6),AND(AZ$7&gt;0,$A674&gt;AZ$7)),0,MAX(0,ROUND((INDEX($E674:$G674,AZ$5)-SUMIFS(TF_Timer,TF_Tekniker,AZ$4,TF_Dato,$A674))*2,0)/2)))</f>
        <v/>
      </c>
      <c r="BA674">
        <f>IF(OR(BA$4="",$A674&gt;TODAY()),0,IF(OR(INDEX($B674:$D674,BA$5)="F",AND(BA$6&gt;0,$A674&lt;BA$6),AND(BA$7&gt;0,$A674&gt;BA$7)),0,MAX(0,ROUND((INDEX($E674:$G674,BA$5)-SUMIFS(TF_Timer,TF_Tekniker,BA$4,TF_Dato,$A674))*2,0)/2)))</f>
        <v/>
      </c>
      <c r="BB674">
        <f>IF(OR(BB$4="",$A674&gt;TODAY()),0,IF(OR(INDEX($B674:$D674,BB$5)="F",AND(BB$6&gt;0,$A674&lt;BB$6),AND(BB$7&gt;0,$A674&gt;BB$7)),0,MAX(0,ROUND((INDEX($E674:$G674,BB$5)-SUMIFS(TF_Timer,TF_Tekniker,BB$4,TF_Dato,$A674))*2,0)/2)))</f>
        <v/>
      </c>
      <c r="BC674">
        <f>IF(OR(BC$4="",$A674&gt;TODAY()),0,IF(OR(INDEX($B674:$D674,BC$5)="F",AND(BC$6&gt;0,$A674&lt;BC$6),AND(BC$7&gt;0,$A674&gt;BC$7)),0,MAX(0,ROUND((INDEX($E674:$G674,BC$5)-SUMIFS(TF_Timer,TF_Tekniker,BC$4,TF_Dato,$A674))*2,0)/2)))</f>
        <v/>
      </c>
      <c r="BD674">
        <f>IF(OR(BD$4="",$A674&gt;TODAY()),0,IF(OR(INDEX($B674:$D674,BD$5)="F",AND(BD$6&gt;0,$A674&lt;BD$6),AND(BD$7&gt;0,$A674&gt;BD$7)),0,MAX(0,ROUND((INDEX($E674:$G674,BD$5)-SUMIFS(TF_Timer,TF_Tekniker,BD$4,TF_Dato,$A674))*2,0)/2)))</f>
        <v/>
      </c>
      <c r="BE674">
        <f>IF(OR(BE$4="",$A674&gt;TODAY()),0,IF(OR(INDEX($B674:$D674,BE$5)="F",AND(BE$6&gt;0,$A674&lt;BE$6),AND(BE$7&gt;0,$A674&gt;BE$7)),0,MAX(0,ROUND((INDEX($E674:$G674,BE$5)-SUMIFS(TF_Timer,TF_Tekniker,BE$4,TF_Dato,$A674))*2,0)/2)))</f>
        <v/>
      </c>
      <c r="BF674">
        <f>IF(OR(BF$4="",$A674&gt;TODAY()),0,IF(OR(INDEX($B674:$D674,BF$5)="F",AND(BF$6&gt;0,$A674&lt;BF$6),AND(BF$7&gt;0,$A674&gt;BF$7)),0,MAX(0,ROUND((INDEX($E674:$G674,BF$5)-SUMIFS(TF_Timer,TF_Tekniker,BF$4,TF_Dato,$A674))*2,0)/2)))</f>
        <v/>
      </c>
      <c r="BG674">
        <f>IF(OR(BG$4="",$A674&gt;TODAY()),0,IF(OR(INDEX($B674:$D674,BG$5)="F",AND(BG$6&gt;0,$A674&lt;BG$6),AND(BG$7&gt;0,$A674&gt;BG$7)),0,MAX(0,ROUND((INDEX($E674:$G674,BG$5)-SUMIFS(TF_Timer,TF_Tekniker,BG$4,TF_Dato,$A674))*2,0)/2)))</f>
        <v/>
      </c>
      <c r="BH674">
        <f>IF(OR(BH$4="",$A674&gt;TODAY()),0,IF(OR(INDEX($B674:$D674,BH$5)="F",AND(BH$6&gt;0,$A674&lt;BH$6),AND(BH$7&gt;0,$A674&gt;BH$7)),0,MAX(0,ROUND((INDEX($E674:$G674,BH$5)-SUMIFS(TF_Timer,TF_Tekniker,BH$4,TF_Dato,$A674))*2,0)/2)))</f>
        <v/>
      </c>
      <c r="BI674">
        <f>IF(OR(BI$4="",$A674&gt;TODAY()),0,IF(OR(INDEX($B674:$D674,BI$5)="F",AND(BI$6&gt;0,$A674&lt;BI$6),AND(BI$7&gt;0,$A674&gt;BI$7)),0,MAX(0,ROUND((INDEX($E674:$G674,BI$5)-SUMIFS(TF_Timer,TF_Tekniker,BI$4,TF_Dato,$A674))*2,0)/2)))</f>
        <v/>
      </c>
    </row>
    <row r="675">
      <c r="A675" s="64">
        <f>A674+1</f>
        <v/>
      </c>
      <c r="B675">
        <f>IF(MOD($A675-INDEX(SkiftStart,1),Syklus)&lt;DagK,"K",IF(MOD($A675-INDEX(SkiftStart,1),Syklus)&lt;DagK+DagH,"H",IF(MOD($A675-INDEX(SkiftStart,1),Syklus)&lt;DagK+DagH+DagD,"D","F")))</f>
        <v/>
      </c>
      <c r="C675">
        <f>IF(MOD($A675-INDEX(SkiftStart,2),Syklus)&lt;DagK,"K",IF(MOD($A675-INDEX(SkiftStart,2),Syklus)&lt;DagK+DagH,"H",IF(MOD($A675-INDEX(SkiftStart,2),Syklus)&lt;DagK+DagH+DagD,"D","F")))</f>
        <v/>
      </c>
      <c r="D675">
        <f>IF(MOD($A675-INDEX(SkiftStart,3),Syklus)&lt;DagK,"K",IF(MOD($A675-INDEX(SkiftStart,3),Syklus)&lt;DagK+DagH,"H",IF(MOD($A675-INDEX(SkiftStart,3),Syklus)&lt;DagK+DagH+DagD,"D","F")))</f>
        <v/>
      </c>
      <c r="E675">
        <f>IF(B675="F",0,IF(WEEKDAY($A675,2)=5,INDEX(TimerFr,MATCH(B675,FaseKode,0)),INDEX(TimerMT,MATCH(B675,FaseKode,0))))</f>
        <v/>
      </c>
      <c r="F675">
        <f>IF(C675="F",0,IF(WEEKDAY($A675,2)=5,INDEX(TimerFr,MATCH(C675,FaseKode,0)),INDEX(TimerMT,MATCH(C675,FaseKode,0))))</f>
        <v/>
      </c>
      <c r="G675">
        <f>IF(D675="F",0,IF(WEEKDAY($A675,2)=5,INDEX(TimerFr,MATCH(D675,FaseKode,0)),INDEX(TimerMT,MATCH(D675,FaseKode,0))))</f>
        <v/>
      </c>
      <c r="H675">
        <f>IF(OR(H$4="",$A675&gt;TODAY()),0,IF(OR(INDEX($B675:$D675,H$5)="F",AND(H$6&gt;0,$A675&lt;H$6),AND(H$7&gt;0,$A675&gt;H$7)),0,MAX(0,ROUND((INDEX($E675:$G675,H$5)-SUMIFS(TF_Timer,TF_Tekniker,H$4,TF_Dato,$A675))*2,0)/2)))</f>
        <v/>
      </c>
      <c r="I675">
        <f>IF(OR(I$4="",$A675&gt;TODAY()),0,IF(OR(INDEX($B675:$D675,I$5)="F",AND(I$6&gt;0,$A675&lt;I$6),AND(I$7&gt;0,$A675&gt;I$7)),0,MAX(0,ROUND((INDEX($E675:$G675,I$5)-SUMIFS(TF_Timer,TF_Tekniker,I$4,TF_Dato,$A675))*2,0)/2)))</f>
        <v/>
      </c>
      <c r="J675">
        <f>IF(OR(J$4="",$A675&gt;TODAY()),0,IF(OR(INDEX($B675:$D675,J$5)="F",AND(J$6&gt;0,$A675&lt;J$6),AND(J$7&gt;0,$A675&gt;J$7)),0,MAX(0,ROUND((INDEX($E675:$G675,J$5)-SUMIFS(TF_Timer,TF_Tekniker,J$4,TF_Dato,$A675))*2,0)/2)))</f>
        <v/>
      </c>
      <c r="K675">
        <f>IF(OR(K$4="",$A675&gt;TODAY()),0,IF(OR(INDEX($B675:$D675,K$5)="F",AND(K$6&gt;0,$A675&lt;K$6),AND(K$7&gt;0,$A675&gt;K$7)),0,MAX(0,ROUND((INDEX($E675:$G675,K$5)-SUMIFS(TF_Timer,TF_Tekniker,K$4,TF_Dato,$A675))*2,0)/2)))</f>
        <v/>
      </c>
      <c r="L675">
        <f>IF(OR(L$4="",$A675&gt;TODAY()),0,IF(OR(INDEX($B675:$D675,L$5)="F",AND(L$6&gt;0,$A675&lt;L$6),AND(L$7&gt;0,$A675&gt;L$7)),0,MAX(0,ROUND((INDEX($E675:$G675,L$5)-SUMIFS(TF_Timer,TF_Tekniker,L$4,TF_Dato,$A675))*2,0)/2)))</f>
        <v/>
      </c>
      <c r="M675">
        <f>IF(OR(M$4="",$A675&gt;TODAY()),0,IF(OR(INDEX($B675:$D675,M$5)="F",AND(M$6&gt;0,$A675&lt;M$6),AND(M$7&gt;0,$A675&gt;M$7)),0,MAX(0,ROUND((INDEX($E675:$G675,M$5)-SUMIFS(TF_Timer,TF_Tekniker,M$4,TF_Dato,$A675))*2,0)/2)))</f>
        <v/>
      </c>
      <c r="N675">
        <f>IF(OR(N$4="",$A675&gt;TODAY()),0,IF(OR(INDEX($B675:$D675,N$5)="F",AND(N$6&gt;0,$A675&lt;N$6),AND(N$7&gt;0,$A675&gt;N$7)),0,MAX(0,ROUND((INDEX($E675:$G675,N$5)-SUMIFS(TF_Timer,TF_Tekniker,N$4,TF_Dato,$A675))*2,0)/2)))</f>
        <v/>
      </c>
      <c r="O675">
        <f>IF(OR(O$4="",$A675&gt;TODAY()),0,IF(OR(INDEX($B675:$D675,O$5)="F",AND(O$6&gt;0,$A675&lt;O$6),AND(O$7&gt;0,$A675&gt;O$7)),0,MAX(0,ROUND((INDEX($E675:$G675,O$5)-SUMIFS(TF_Timer,TF_Tekniker,O$4,TF_Dato,$A675))*2,0)/2)))</f>
        <v/>
      </c>
      <c r="P675">
        <f>IF(OR(P$4="",$A675&gt;TODAY()),0,IF(OR(INDEX($B675:$D675,P$5)="F",AND(P$6&gt;0,$A675&lt;P$6),AND(P$7&gt;0,$A675&gt;P$7)),0,MAX(0,ROUND((INDEX($E675:$G675,P$5)-SUMIFS(TF_Timer,TF_Tekniker,P$4,TF_Dato,$A675))*2,0)/2)))</f>
        <v/>
      </c>
      <c r="Q675">
        <f>IF(OR(Q$4="",$A675&gt;TODAY()),0,IF(OR(INDEX($B675:$D675,Q$5)="F",AND(Q$6&gt;0,$A675&lt;Q$6),AND(Q$7&gt;0,$A675&gt;Q$7)),0,MAX(0,ROUND((INDEX($E675:$G675,Q$5)-SUMIFS(TF_Timer,TF_Tekniker,Q$4,TF_Dato,$A675))*2,0)/2)))</f>
        <v/>
      </c>
      <c r="R675">
        <f>IF(OR(R$4="",$A675&gt;TODAY()),0,IF(OR(INDEX($B675:$D675,R$5)="F",AND(R$6&gt;0,$A675&lt;R$6),AND(R$7&gt;0,$A675&gt;R$7)),0,MAX(0,ROUND((INDEX($E675:$G675,R$5)-SUMIFS(TF_Timer,TF_Tekniker,R$4,TF_Dato,$A675))*2,0)/2)))</f>
        <v/>
      </c>
      <c r="S675">
        <f>IF(OR(S$4="",$A675&gt;TODAY()),0,IF(OR(INDEX($B675:$D675,S$5)="F",AND(S$6&gt;0,$A675&lt;S$6),AND(S$7&gt;0,$A675&gt;S$7)),0,MAX(0,ROUND((INDEX($E675:$G675,S$5)-SUMIFS(TF_Timer,TF_Tekniker,S$4,TF_Dato,$A675))*2,0)/2)))</f>
        <v/>
      </c>
      <c r="T675">
        <f>IF(OR(T$4="",$A675&gt;TODAY()),0,IF(OR(INDEX($B675:$D675,T$5)="F",AND(T$6&gt;0,$A675&lt;T$6),AND(T$7&gt;0,$A675&gt;T$7)),0,MAX(0,ROUND((INDEX($E675:$G675,T$5)-SUMIFS(TF_Timer,TF_Tekniker,T$4,TF_Dato,$A675))*2,0)/2)))</f>
        <v/>
      </c>
      <c r="U675">
        <f>IF(OR(U$4="",$A675&gt;TODAY()),0,IF(OR(INDEX($B675:$D675,U$5)="F",AND(U$6&gt;0,$A675&lt;U$6),AND(U$7&gt;0,$A675&gt;U$7)),0,MAX(0,ROUND((INDEX($E675:$G675,U$5)-SUMIFS(TF_Timer,TF_Tekniker,U$4,TF_Dato,$A675))*2,0)/2)))</f>
        <v/>
      </c>
      <c r="V675">
        <f>IF(OR(V$4="",$A675&gt;TODAY()),0,IF(OR(INDEX($B675:$D675,V$5)="F",AND(V$6&gt;0,$A675&lt;V$6),AND(V$7&gt;0,$A675&gt;V$7)),0,MAX(0,ROUND((INDEX($E675:$G675,V$5)-SUMIFS(TF_Timer,TF_Tekniker,V$4,TF_Dato,$A675))*2,0)/2)))</f>
        <v/>
      </c>
      <c r="W675">
        <f>IF(OR(W$4="",$A675&gt;TODAY()),0,IF(OR(INDEX($B675:$D675,W$5)="F",AND(W$6&gt;0,$A675&lt;W$6),AND(W$7&gt;0,$A675&gt;W$7)),0,MAX(0,ROUND((INDEX($E675:$G675,W$5)-SUMIFS(TF_Timer,TF_Tekniker,W$4,TF_Dato,$A675))*2,0)/2)))</f>
        <v/>
      </c>
      <c r="X675">
        <f>IF(OR(X$4="",$A675&gt;TODAY()),0,IF(OR(INDEX($B675:$D675,X$5)="F",AND(X$6&gt;0,$A675&lt;X$6),AND(X$7&gt;0,$A675&gt;X$7)),0,MAX(0,ROUND((INDEX($E675:$G675,X$5)-SUMIFS(TF_Timer,TF_Tekniker,X$4,TF_Dato,$A675))*2,0)/2)))</f>
        <v/>
      </c>
      <c r="Y675">
        <f>IF(OR(Y$4="",$A675&gt;TODAY()),0,IF(OR(INDEX($B675:$D675,Y$5)="F",AND(Y$6&gt;0,$A675&lt;Y$6),AND(Y$7&gt;0,$A675&gt;Y$7)),0,MAX(0,ROUND((INDEX($E675:$G675,Y$5)-SUMIFS(TF_Timer,TF_Tekniker,Y$4,TF_Dato,$A675))*2,0)/2)))</f>
        <v/>
      </c>
      <c r="Z675">
        <f>IF(OR(Z$4="",$A675&gt;TODAY()),0,IF(OR(INDEX($B675:$D675,Z$5)="F",AND(Z$6&gt;0,$A675&lt;Z$6),AND(Z$7&gt;0,$A675&gt;Z$7)),0,MAX(0,ROUND((INDEX($E675:$G675,Z$5)-SUMIFS(TF_Timer,TF_Tekniker,Z$4,TF_Dato,$A675))*2,0)/2)))</f>
        <v/>
      </c>
      <c r="AA675">
        <f>IF(OR(AA$4="",$A675&gt;TODAY()),0,IF(OR(INDEX($B675:$D675,AA$5)="F",AND(AA$6&gt;0,$A675&lt;AA$6),AND(AA$7&gt;0,$A675&gt;AA$7)),0,MAX(0,ROUND((INDEX($E675:$G675,AA$5)-SUMIFS(TF_Timer,TF_Tekniker,AA$4,TF_Dato,$A675))*2,0)/2)))</f>
        <v/>
      </c>
      <c r="AB675">
        <f>IF(OR(AB$4="",$A675&gt;TODAY()),0,IF(OR(INDEX($B675:$D675,AB$5)="F",AND(AB$6&gt;0,$A675&lt;AB$6),AND(AB$7&gt;0,$A675&gt;AB$7)),0,MAX(0,ROUND((INDEX($E675:$G675,AB$5)-SUMIFS(TF_Timer,TF_Tekniker,AB$4,TF_Dato,$A675))*2,0)/2)))</f>
        <v/>
      </c>
      <c r="AC675">
        <f>IF(OR(AC$4="",$A675&gt;TODAY()),0,IF(OR(INDEX($B675:$D675,AC$5)="F",AND(AC$6&gt;0,$A675&lt;AC$6),AND(AC$7&gt;0,$A675&gt;AC$7)),0,MAX(0,ROUND((INDEX($E675:$G675,AC$5)-SUMIFS(TF_Timer,TF_Tekniker,AC$4,TF_Dato,$A675))*2,0)/2)))</f>
        <v/>
      </c>
      <c r="AD675">
        <f>IF(OR(AD$4="",$A675&gt;TODAY()),0,IF(OR(INDEX($B675:$D675,AD$5)="F",AND(AD$6&gt;0,$A675&lt;AD$6),AND(AD$7&gt;0,$A675&gt;AD$7)),0,MAX(0,ROUND((INDEX($E675:$G675,AD$5)-SUMIFS(TF_Timer,TF_Tekniker,AD$4,TF_Dato,$A675))*2,0)/2)))</f>
        <v/>
      </c>
      <c r="AE675">
        <f>IF(OR(AE$4="",$A675&gt;TODAY()),0,IF(OR(INDEX($B675:$D675,AE$5)="F",AND(AE$6&gt;0,$A675&lt;AE$6),AND(AE$7&gt;0,$A675&gt;AE$7)),0,MAX(0,ROUND((INDEX($E675:$G675,AE$5)-SUMIFS(TF_Timer,TF_Tekniker,AE$4,TF_Dato,$A675))*2,0)/2)))</f>
        <v/>
      </c>
      <c r="AF675">
        <f>IF(OR(AF$4="",$A675&gt;TODAY()),0,IF(OR(INDEX($B675:$D675,AF$5)="F",AND(AF$6&gt;0,$A675&lt;AF$6),AND(AF$7&gt;0,$A675&gt;AF$7)),0,MAX(0,ROUND((INDEX($E675:$G675,AF$5)-SUMIFS(TF_Timer,TF_Tekniker,AF$4,TF_Dato,$A675))*2,0)/2)))</f>
        <v/>
      </c>
      <c r="AG675">
        <f>IF(OR(AG$4="",$A675&gt;TODAY()),0,IF(OR(INDEX($B675:$D675,AG$5)="F",AND(AG$6&gt;0,$A675&lt;AG$6),AND(AG$7&gt;0,$A675&gt;AG$7)),0,MAX(0,ROUND((INDEX($E675:$G675,AG$5)-SUMIFS(TF_Timer,TF_Tekniker,AG$4,TF_Dato,$A675))*2,0)/2)))</f>
        <v/>
      </c>
      <c r="AH675">
        <f>IF(OR(AH$4="",$A675&gt;TODAY()),0,IF(OR(INDEX($B675:$D675,AH$5)="F",AND(AH$6&gt;0,$A675&lt;AH$6),AND(AH$7&gt;0,$A675&gt;AH$7)),0,MAX(0,ROUND((INDEX($E675:$G675,AH$5)-SUMIFS(TF_Timer,TF_Tekniker,AH$4,TF_Dato,$A675))*2,0)/2)))</f>
        <v/>
      </c>
      <c r="AI675">
        <f>IF(OR(AI$4="",$A675&gt;TODAY()),0,IF(OR(INDEX($B675:$D675,AI$5)="F",AND(AI$6&gt;0,$A675&lt;AI$6),AND(AI$7&gt;0,$A675&gt;AI$7)),0,MAX(0,ROUND((INDEX($E675:$G675,AI$5)-SUMIFS(TF_Timer,TF_Tekniker,AI$4,TF_Dato,$A675))*2,0)/2)))</f>
        <v/>
      </c>
      <c r="AJ675">
        <f>IF(OR(AJ$4="",$A675&gt;TODAY()),0,IF(OR(INDEX($B675:$D675,AJ$5)="F",AND(AJ$6&gt;0,$A675&lt;AJ$6),AND(AJ$7&gt;0,$A675&gt;AJ$7)),0,MAX(0,ROUND((INDEX($E675:$G675,AJ$5)-SUMIFS(TF_Timer,TF_Tekniker,AJ$4,TF_Dato,$A675))*2,0)/2)))</f>
        <v/>
      </c>
      <c r="AK675">
        <f>IF(OR(AK$4="",$A675&gt;TODAY()),0,IF(OR(INDEX($B675:$D675,AK$5)="F",AND(AK$6&gt;0,$A675&lt;AK$6),AND(AK$7&gt;0,$A675&gt;AK$7)),0,MAX(0,ROUND((INDEX($E675:$G675,AK$5)-SUMIFS(TF_Timer,TF_Tekniker,AK$4,TF_Dato,$A675))*2,0)/2)))</f>
        <v/>
      </c>
      <c r="AL675">
        <f>IF(OR(AL$4="",$A675&gt;TODAY()),0,IF(OR(INDEX($B675:$D675,AL$5)="F",AND(AL$6&gt;0,$A675&lt;AL$6),AND(AL$7&gt;0,$A675&gt;AL$7)),0,MAX(0,ROUND((INDEX($E675:$G675,AL$5)-SUMIFS(TF_Timer,TF_Tekniker,AL$4,TF_Dato,$A675))*2,0)/2)))</f>
        <v/>
      </c>
      <c r="AM675">
        <f>IF(OR(AM$4="",$A675&gt;TODAY()),0,IF(OR(INDEX($B675:$D675,AM$5)="F",AND(AM$6&gt;0,$A675&lt;AM$6),AND(AM$7&gt;0,$A675&gt;AM$7)),0,MAX(0,ROUND((INDEX($E675:$G675,AM$5)-SUMIFS(TF_Timer,TF_Tekniker,AM$4,TF_Dato,$A675))*2,0)/2)))</f>
        <v/>
      </c>
      <c r="AN675">
        <f>IF(OR(AN$4="",$A675&gt;TODAY()),0,IF(OR(INDEX($B675:$D675,AN$5)="F",AND(AN$6&gt;0,$A675&lt;AN$6),AND(AN$7&gt;0,$A675&gt;AN$7)),0,MAX(0,ROUND((INDEX($E675:$G675,AN$5)-SUMIFS(TF_Timer,TF_Tekniker,AN$4,TF_Dato,$A675))*2,0)/2)))</f>
        <v/>
      </c>
      <c r="AO675">
        <f>IF(OR(AO$4="",$A675&gt;TODAY()),0,IF(OR(INDEX($B675:$D675,AO$5)="F",AND(AO$6&gt;0,$A675&lt;AO$6),AND(AO$7&gt;0,$A675&gt;AO$7)),0,MAX(0,ROUND((INDEX($E675:$G675,AO$5)-SUMIFS(TF_Timer,TF_Tekniker,AO$4,TF_Dato,$A675))*2,0)/2)))</f>
        <v/>
      </c>
      <c r="AP675">
        <f>IF(OR(AP$4="",$A675&gt;TODAY()),0,IF(OR(INDEX($B675:$D675,AP$5)="F",AND(AP$6&gt;0,$A675&lt;AP$6),AND(AP$7&gt;0,$A675&gt;AP$7)),0,MAX(0,ROUND((INDEX($E675:$G675,AP$5)-SUMIFS(TF_Timer,TF_Tekniker,AP$4,TF_Dato,$A675))*2,0)/2)))</f>
        <v/>
      </c>
      <c r="AQ675">
        <f>IF(OR(AQ$4="",$A675&gt;TODAY()),0,IF(OR(INDEX($B675:$D675,AQ$5)="F",AND(AQ$6&gt;0,$A675&lt;AQ$6),AND(AQ$7&gt;0,$A675&gt;AQ$7)),0,MAX(0,ROUND((INDEX($E675:$G675,AQ$5)-SUMIFS(TF_Timer,TF_Tekniker,AQ$4,TF_Dato,$A675))*2,0)/2)))</f>
        <v/>
      </c>
      <c r="AR675">
        <f>IF(OR(AR$4="",$A675&gt;TODAY()),0,IF(OR(INDEX($B675:$D675,AR$5)="F",AND(AR$6&gt;0,$A675&lt;AR$6),AND(AR$7&gt;0,$A675&gt;AR$7)),0,MAX(0,ROUND((INDEX($E675:$G675,AR$5)-SUMIFS(TF_Timer,TF_Tekniker,AR$4,TF_Dato,$A675))*2,0)/2)))</f>
        <v/>
      </c>
      <c r="AS675">
        <f>IF(OR(AS$4="",$A675&gt;TODAY()),0,IF(OR(INDEX($B675:$D675,AS$5)="F",AND(AS$6&gt;0,$A675&lt;AS$6),AND(AS$7&gt;0,$A675&gt;AS$7)),0,MAX(0,ROUND((INDEX($E675:$G675,AS$5)-SUMIFS(TF_Timer,TF_Tekniker,AS$4,TF_Dato,$A675))*2,0)/2)))</f>
        <v/>
      </c>
      <c r="AT675">
        <f>IF(OR(AT$4="",$A675&gt;TODAY()),0,IF(OR(INDEX($B675:$D675,AT$5)="F",AND(AT$6&gt;0,$A675&lt;AT$6),AND(AT$7&gt;0,$A675&gt;AT$7)),0,MAX(0,ROUND((INDEX($E675:$G675,AT$5)-SUMIFS(TF_Timer,TF_Tekniker,AT$4,TF_Dato,$A675))*2,0)/2)))</f>
        <v/>
      </c>
      <c r="AU675">
        <f>IF(OR(AU$4="",$A675&gt;TODAY()),0,IF(OR(INDEX($B675:$D675,AU$5)="F",AND(AU$6&gt;0,$A675&lt;AU$6),AND(AU$7&gt;0,$A675&gt;AU$7)),0,MAX(0,ROUND((INDEX($E675:$G675,AU$5)-SUMIFS(TF_Timer,TF_Tekniker,AU$4,TF_Dato,$A675))*2,0)/2)))</f>
        <v/>
      </c>
      <c r="AV675">
        <f>IF(OR(AV$4="",$A675&gt;TODAY()),0,IF(OR(INDEX($B675:$D675,AV$5)="F",AND(AV$6&gt;0,$A675&lt;AV$6),AND(AV$7&gt;0,$A675&gt;AV$7)),0,MAX(0,ROUND((INDEX($E675:$G675,AV$5)-SUMIFS(TF_Timer,TF_Tekniker,AV$4,TF_Dato,$A675))*2,0)/2)))</f>
        <v/>
      </c>
      <c r="AW675">
        <f>IF(OR(AW$4="",$A675&gt;TODAY()),0,IF(OR(INDEX($B675:$D675,AW$5)="F",AND(AW$6&gt;0,$A675&lt;AW$6),AND(AW$7&gt;0,$A675&gt;AW$7)),0,MAX(0,ROUND((INDEX($E675:$G675,AW$5)-SUMIFS(TF_Timer,TF_Tekniker,AW$4,TF_Dato,$A675))*2,0)/2)))</f>
        <v/>
      </c>
      <c r="AX675">
        <f>IF(OR(AX$4="",$A675&gt;TODAY()),0,IF(OR(INDEX($B675:$D675,AX$5)="F",AND(AX$6&gt;0,$A675&lt;AX$6),AND(AX$7&gt;0,$A675&gt;AX$7)),0,MAX(0,ROUND((INDEX($E675:$G675,AX$5)-SUMIFS(TF_Timer,TF_Tekniker,AX$4,TF_Dato,$A675))*2,0)/2)))</f>
        <v/>
      </c>
      <c r="AY675">
        <f>IF(OR(AY$4="",$A675&gt;TODAY()),0,IF(OR(INDEX($B675:$D675,AY$5)="F",AND(AY$6&gt;0,$A675&lt;AY$6),AND(AY$7&gt;0,$A675&gt;AY$7)),0,MAX(0,ROUND((INDEX($E675:$G675,AY$5)-SUMIFS(TF_Timer,TF_Tekniker,AY$4,TF_Dato,$A675))*2,0)/2)))</f>
        <v/>
      </c>
      <c r="AZ675">
        <f>IF(OR(AZ$4="",$A675&gt;TODAY()),0,IF(OR(INDEX($B675:$D675,AZ$5)="F",AND(AZ$6&gt;0,$A675&lt;AZ$6),AND(AZ$7&gt;0,$A675&gt;AZ$7)),0,MAX(0,ROUND((INDEX($E675:$G675,AZ$5)-SUMIFS(TF_Timer,TF_Tekniker,AZ$4,TF_Dato,$A675))*2,0)/2)))</f>
        <v/>
      </c>
      <c r="BA675">
        <f>IF(OR(BA$4="",$A675&gt;TODAY()),0,IF(OR(INDEX($B675:$D675,BA$5)="F",AND(BA$6&gt;0,$A675&lt;BA$6),AND(BA$7&gt;0,$A675&gt;BA$7)),0,MAX(0,ROUND((INDEX($E675:$G675,BA$5)-SUMIFS(TF_Timer,TF_Tekniker,BA$4,TF_Dato,$A675))*2,0)/2)))</f>
        <v/>
      </c>
      <c r="BB675">
        <f>IF(OR(BB$4="",$A675&gt;TODAY()),0,IF(OR(INDEX($B675:$D675,BB$5)="F",AND(BB$6&gt;0,$A675&lt;BB$6),AND(BB$7&gt;0,$A675&gt;BB$7)),0,MAX(0,ROUND((INDEX($E675:$G675,BB$5)-SUMIFS(TF_Timer,TF_Tekniker,BB$4,TF_Dato,$A675))*2,0)/2)))</f>
        <v/>
      </c>
      <c r="BC675">
        <f>IF(OR(BC$4="",$A675&gt;TODAY()),0,IF(OR(INDEX($B675:$D675,BC$5)="F",AND(BC$6&gt;0,$A675&lt;BC$6),AND(BC$7&gt;0,$A675&gt;BC$7)),0,MAX(0,ROUND((INDEX($E675:$G675,BC$5)-SUMIFS(TF_Timer,TF_Tekniker,BC$4,TF_Dato,$A675))*2,0)/2)))</f>
        <v/>
      </c>
      <c r="BD675">
        <f>IF(OR(BD$4="",$A675&gt;TODAY()),0,IF(OR(INDEX($B675:$D675,BD$5)="F",AND(BD$6&gt;0,$A675&lt;BD$6),AND(BD$7&gt;0,$A675&gt;BD$7)),0,MAX(0,ROUND((INDEX($E675:$G675,BD$5)-SUMIFS(TF_Timer,TF_Tekniker,BD$4,TF_Dato,$A675))*2,0)/2)))</f>
        <v/>
      </c>
      <c r="BE675">
        <f>IF(OR(BE$4="",$A675&gt;TODAY()),0,IF(OR(INDEX($B675:$D675,BE$5)="F",AND(BE$6&gt;0,$A675&lt;BE$6),AND(BE$7&gt;0,$A675&gt;BE$7)),0,MAX(0,ROUND((INDEX($E675:$G675,BE$5)-SUMIFS(TF_Timer,TF_Tekniker,BE$4,TF_Dato,$A675))*2,0)/2)))</f>
        <v/>
      </c>
      <c r="BF675">
        <f>IF(OR(BF$4="",$A675&gt;TODAY()),0,IF(OR(INDEX($B675:$D675,BF$5)="F",AND(BF$6&gt;0,$A675&lt;BF$6),AND(BF$7&gt;0,$A675&gt;BF$7)),0,MAX(0,ROUND((INDEX($E675:$G675,BF$5)-SUMIFS(TF_Timer,TF_Tekniker,BF$4,TF_Dato,$A675))*2,0)/2)))</f>
        <v/>
      </c>
      <c r="BG675">
        <f>IF(OR(BG$4="",$A675&gt;TODAY()),0,IF(OR(INDEX($B675:$D675,BG$5)="F",AND(BG$6&gt;0,$A675&lt;BG$6),AND(BG$7&gt;0,$A675&gt;BG$7)),0,MAX(0,ROUND((INDEX($E675:$G675,BG$5)-SUMIFS(TF_Timer,TF_Tekniker,BG$4,TF_Dato,$A675))*2,0)/2)))</f>
        <v/>
      </c>
      <c r="BH675">
        <f>IF(OR(BH$4="",$A675&gt;TODAY()),0,IF(OR(INDEX($B675:$D675,BH$5)="F",AND(BH$6&gt;0,$A675&lt;BH$6),AND(BH$7&gt;0,$A675&gt;BH$7)),0,MAX(0,ROUND((INDEX($E675:$G675,BH$5)-SUMIFS(TF_Timer,TF_Tekniker,BH$4,TF_Dato,$A675))*2,0)/2)))</f>
        <v/>
      </c>
      <c r="BI675">
        <f>IF(OR(BI$4="",$A675&gt;TODAY()),0,IF(OR(INDEX($B675:$D675,BI$5)="F",AND(BI$6&gt;0,$A675&lt;BI$6),AND(BI$7&gt;0,$A675&gt;BI$7)),0,MAX(0,ROUND((INDEX($E675:$G675,BI$5)-SUMIFS(TF_Timer,TF_Tekniker,BI$4,TF_Dato,$A675))*2,0)/2)))</f>
        <v/>
      </c>
    </row>
    <row r="676">
      <c r="A676" s="64">
        <f>A675+1</f>
        <v/>
      </c>
      <c r="B676">
        <f>IF(MOD($A676-INDEX(SkiftStart,1),Syklus)&lt;DagK,"K",IF(MOD($A676-INDEX(SkiftStart,1),Syklus)&lt;DagK+DagH,"H",IF(MOD($A676-INDEX(SkiftStart,1),Syklus)&lt;DagK+DagH+DagD,"D","F")))</f>
        <v/>
      </c>
      <c r="C676">
        <f>IF(MOD($A676-INDEX(SkiftStart,2),Syklus)&lt;DagK,"K",IF(MOD($A676-INDEX(SkiftStart,2),Syklus)&lt;DagK+DagH,"H",IF(MOD($A676-INDEX(SkiftStart,2),Syklus)&lt;DagK+DagH+DagD,"D","F")))</f>
        <v/>
      </c>
      <c r="D676">
        <f>IF(MOD($A676-INDEX(SkiftStart,3),Syklus)&lt;DagK,"K",IF(MOD($A676-INDEX(SkiftStart,3),Syklus)&lt;DagK+DagH,"H",IF(MOD($A676-INDEX(SkiftStart,3),Syklus)&lt;DagK+DagH+DagD,"D","F")))</f>
        <v/>
      </c>
      <c r="E676">
        <f>IF(B676="F",0,IF(WEEKDAY($A676,2)=5,INDEX(TimerFr,MATCH(B676,FaseKode,0)),INDEX(TimerMT,MATCH(B676,FaseKode,0))))</f>
        <v/>
      </c>
      <c r="F676">
        <f>IF(C676="F",0,IF(WEEKDAY($A676,2)=5,INDEX(TimerFr,MATCH(C676,FaseKode,0)),INDEX(TimerMT,MATCH(C676,FaseKode,0))))</f>
        <v/>
      </c>
      <c r="G676">
        <f>IF(D676="F",0,IF(WEEKDAY($A676,2)=5,INDEX(TimerFr,MATCH(D676,FaseKode,0)),INDEX(TimerMT,MATCH(D676,FaseKode,0))))</f>
        <v/>
      </c>
      <c r="H676">
        <f>IF(OR(H$4="",$A676&gt;TODAY()),0,IF(OR(INDEX($B676:$D676,H$5)="F",AND(H$6&gt;0,$A676&lt;H$6),AND(H$7&gt;0,$A676&gt;H$7)),0,MAX(0,ROUND((INDEX($E676:$G676,H$5)-SUMIFS(TF_Timer,TF_Tekniker,H$4,TF_Dato,$A676))*2,0)/2)))</f>
        <v/>
      </c>
      <c r="I676">
        <f>IF(OR(I$4="",$A676&gt;TODAY()),0,IF(OR(INDEX($B676:$D676,I$5)="F",AND(I$6&gt;0,$A676&lt;I$6),AND(I$7&gt;0,$A676&gt;I$7)),0,MAX(0,ROUND((INDEX($E676:$G676,I$5)-SUMIFS(TF_Timer,TF_Tekniker,I$4,TF_Dato,$A676))*2,0)/2)))</f>
        <v/>
      </c>
      <c r="J676">
        <f>IF(OR(J$4="",$A676&gt;TODAY()),0,IF(OR(INDEX($B676:$D676,J$5)="F",AND(J$6&gt;0,$A676&lt;J$6),AND(J$7&gt;0,$A676&gt;J$7)),0,MAX(0,ROUND((INDEX($E676:$G676,J$5)-SUMIFS(TF_Timer,TF_Tekniker,J$4,TF_Dato,$A676))*2,0)/2)))</f>
        <v/>
      </c>
      <c r="K676">
        <f>IF(OR(K$4="",$A676&gt;TODAY()),0,IF(OR(INDEX($B676:$D676,K$5)="F",AND(K$6&gt;0,$A676&lt;K$6),AND(K$7&gt;0,$A676&gt;K$7)),0,MAX(0,ROUND((INDEX($E676:$G676,K$5)-SUMIFS(TF_Timer,TF_Tekniker,K$4,TF_Dato,$A676))*2,0)/2)))</f>
        <v/>
      </c>
      <c r="L676">
        <f>IF(OR(L$4="",$A676&gt;TODAY()),0,IF(OR(INDEX($B676:$D676,L$5)="F",AND(L$6&gt;0,$A676&lt;L$6),AND(L$7&gt;0,$A676&gt;L$7)),0,MAX(0,ROUND((INDEX($E676:$G676,L$5)-SUMIFS(TF_Timer,TF_Tekniker,L$4,TF_Dato,$A676))*2,0)/2)))</f>
        <v/>
      </c>
      <c r="M676">
        <f>IF(OR(M$4="",$A676&gt;TODAY()),0,IF(OR(INDEX($B676:$D676,M$5)="F",AND(M$6&gt;0,$A676&lt;M$6),AND(M$7&gt;0,$A676&gt;M$7)),0,MAX(0,ROUND((INDEX($E676:$G676,M$5)-SUMIFS(TF_Timer,TF_Tekniker,M$4,TF_Dato,$A676))*2,0)/2)))</f>
        <v/>
      </c>
      <c r="N676">
        <f>IF(OR(N$4="",$A676&gt;TODAY()),0,IF(OR(INDEX($B676:$D676,N$5)="F",AND(N$6&gt;0,$A676&lt;N$6),AND(N$7&gt;0,$A676&gt;N$7)),0,MAX(0,ROUND((INDEX($E676:$G676,N$5)-SUMIFS(TF_Timer,TF_Tekniker,N$4,TF_Dato,$A676))*2,0)/2)))</f>
        <v/>
      </c>
      <c r="O676">
        <f>IF(OR(O$4="",$A676&gt;TODAY()),0,IF(OR(INDEX($B676:$D676,O$5)="F",AND(O$6&gt;0,$A676&lt;O$6),AND(O$7&gt;0,$A676&gt;O$7)),0,MAX(0,ROUND((INDEX($E676:$G676,O$5)-SUMIFS(TF_Timer,TF_Tekniker,O$4,TF_Dato,$A676))*2,0)/2)))</f>
        <v/>
      </c>
      <c r="P676">
        <f>IF(OR(P$4="",$A676&gt;TODAY()),0,IF(OR(INDEX($B676:$D676,P$5)="F",AND(P$6&gt;0,$A676&lt;P$6),AND(P$7&gt;0,$A676&gt;P$7)),0,MAX(0,ROUND((INDEX($E676:$G676,P$5)-SUMIFS(TF_Timer,TF_Tekniker,P$4,TF_Dato,$A676))*2,0)/2)))</f>
        <v/>
      </c>
      <c r="Q676">
        <f>IF(OR(Q$4="",$A676&gt;TODAY()),0,IF(OR(INDEX($B676:$D676,Q$5)="F",AND(Q$6&gt;0,$A676&lt;Q$6),AND(Q$7&gt;0,$A676&gt;Q$7)),0,MAX(0,ROUND((INDEX($E676:$G676,Q$5)-SUMIFS(TF_Timer,TF_Tekniker,Q$4,TF_Dato,$A676))*2,0)/2)))</f>
        <v/>
      </c>
      <c r="R676">
        <f>IF(OR(R$4="",$A676&gt;TODAY()),0,IF(OR(INDEX($B676:$D676,R$5)="F",AND(R$6&gt;0,$A676&lt;R$6),AND(R$7&gt;0,$A676&gt;R$7)),0,MAX(0,ROUND((INDEX($E676:$G676,R$5)-SUMIFS(TF_Timer,TF_Tekniker,R$4,TF_Dato,$A676))*2,0)/2)))</f>
        <v/>
      </c>
      <c r="S676">
        <f>IF(OR(S$4="",$A676&gt;TODAY()),0,IF(OR(INDEX($B676:$D676,S$5)="F",AND(S$6&gt;0,$A676&lt;S$6),AND(S$7&gt;0,$A676&gt;S$7)),0,MAX(0,ROUND((INDEX($E676:$G676,S$5)-SUMIFS(TF_Timer,TF_Tekniker,S$4,TF_Dato,$A676))*2,0)/2)))</f>
        <v/>
      </c>
      <c r="T676">
        <f>IF(OR(T$4="",$A676&gt;TODAY()),0,IF(OR(INDEX($B676:$D676,T$5)="F",AND(T$6&gt;0,$A676&lt;T$6),AND(T$7&gt;0,$A676&gt;T$7)),0,MAX(0,ROUND((INDEX($E676:$G676,T$5)-SUMIFS(TF_Timer,TF_Tekniker,T$4,TF_Dato,$A676))*2,0)/2)))</f>
        <v/>
      </c>
      <c r="U676">
        <f>IF(OR(U$4="",$A676&gt;TODAY()),0,IF(OR(INDEX($B676:$D676,U$5)="F",AND(U$6&gt;0,$A676&lt;U$6),AND(U$7&gt;0,$A676&gt;U$7)),0,MAX(0,ROUND((INDEX($E676:$G676,U$5)-SUMIFS(TF_Timer,TF_Tekniker,U$4,TF_Dato,$A676))*2,0)/2)))</f>
        <v/>
      </c>
      <c r="V676">
        <f>IF(OR(V$4="",$A676&gt;TODAY()),0,IF(OR(INDEX($B676:$D676,V$5)="F",AND(V$6&gt;0,$A676&lt;V$6),AND(V$7&gt;0,$A676&gt;V$7)),0,MAX(0,ROUND((INDEX($E676:$G676,V$5)-SUMIFS(TF_Timer,TF_Tekniker,V$4,TF_Dato,$A676))*2,0)/2)))</f>
        <v/>
      </c>
      <c r="W676">
        <f>IF(OR(W$4="",$A676&gt;TODAY()),0,IF(OR(INDEX($B676:$D676,W$5)="F",AND(W$6&gt;0,$A676&lt;W$6),AND(W$7&gt;0,$A676&gt;W$7)),0,MAX(0,ROUND((INDEX($E676:$G676,W$5)-SUMIFS(TF_Timer,TF_Tekniker,W$4,TF_Dato,$A676))*2,0)/2)))</f>
        <v/>
      </c>
      <c r="X676">
        <f>IF(OR(X$4="",$A676&gt;TODAY()),0,IF(OR(INDEX($B676:$D676,X$5)="F",AND(X$6&gt;0,$A676&lt;X$6),AND(X$7&gt;0,$A676&gt;X$7)),0,MAX(0,ROUND((INDEX($E676:$G676,X$5)-SUMIFS(TF_Timer,TF_Tekniker,X$4,TF_Dato,$A676))*2,0)/2)))</f>
        <v/>
      </c>
      <c r="Y676">
        <f>IF(OR(Y$4="",$A676&gt;TODAY()),0,IF(OR(INDEX($B676:$D676,Y$5)="F",AND(Y$6&gt;0,$A676&lt;Y$6),AND(Y$7&gt;0,$A676&gt;Y$7)),0,MAX(0,ROUND((INDEX($E676:$G676,Y$5)-SUMIFS(TF_Timer,TF_Tekniker,Y$4,TF_Dato,$A676))*2,0)/2)))</f>
        <v/>
      </c>
      <c r="Z676">
        <f>IF(OR(Z$4="",$A676&gt;TODAY()),0,IF(OR(INDEX($B676:$D676,Z$5)="F",AND(Z$6&gt;0,$A676&lt;Z$6),AND(Z$7&gt;0,$A676&gt;Z$7)),0,MAX(0,ROUND((INDEX($E676:$G676,Z$5)-SUMIFS(TF_Timer,TF_Tekniker,Z$4,TF_Dato,$A676))*2,0)/2)))</f>
        <v/>
      </c>
      <c r="AA676">
        <f>IF(OR(AA$4="",$A676&gt;TODAY()),0,IF(OR(INDEX($B676:$D676,AA$5)="F",AND(AA$6&gt;0,$A676&lt;AA$6),AND(AA$7&gt;0,$A676&gt;AA$7)),0,MAX(0,ROUND((INDEX($E676:$G676,AA$5)-SUMIFS(TF_Timer,TF_Tekniker,AA$4,TF_Dato,$A676))*2,0)/2)))</f>
        <v/>
      </c>
      <c r="AB676">
        <f>IF(OR(AB$4="",$A676&gt;TODAY()),0,IF(OR(INDEX($B676:$D676,AB$5)="F",AND(AB$6&gt;0,$A676&lt;AB$6),AND(AB$7&gt;0,$A676&gt;AB$7)),0,MAX(0,ROUND((INDEX($E676:$G676,AB$5)-SUMIFS(TF_Timer,TF_Tekniker,AB$4,TF_Dato,$A676))*2,0)/2)))</f>
        <v/>
      </c>
      <c r="AC676">
        <f>IF(OR(AC$4="",$A676&gt;TODAY()),0,IF(OR(INDEX($B676:$D676,AC$5)="F",AND(AC$6&gt;0,$A676&lt;AC$6),AND(AC$7&gt;0,$A676&gt;AC$7)),0,MAX(0,ROUND((INDEX($E676:$G676,AC$5)-SUMIFS(TF_Timer,TF_Tekniker,AC$4,TF_Dato,$A676))*2,0)/2)))</f>
        <v/>
      </c>
      <c r="AD676">
        <f>IF(OR(AD$4="",$A676&gt;TODAY()),0,IF(OR(INDEX($B676:$D676,AD$5)="F",AND(AD$6&gt;0,$A676&lt;AD$6),AND(AD$7&gt;0,$A676&gt;AD$7)),0,MAX(0,ROUND((INDEX($E676:$G676,AD$5)-SUMIFS(TF_Timer,TF_Tekniker,AD$4,TF_Dato,$A676))*2,0)/2)))</f>
        <v/>
      </c>
      <c r="AE676">
        <f>IF(OR(AE$4="",$A676&gt;TODAY()),0,IF(OR(INDEX($B676:$D676,AE$5)="F",AND(AE$6&gt;0,$A676&lt;AE$6),AND(AE$7&gt;0,$A676&gt;AE$7)),0,MAX(0,ROUND((INDEX($E676:$G676,AE$5)-SUMIFS(TF_Timer,TF_Tekniker,AE$4,TF_Dato,$A676))*2,0)/2)))</f>
        <v/>
      </c>
      <c r="AF676">
        <f>IF(OR(AF$4="",$A676&gt;TODAY()),0,IF(OR(INDEX($B676:$D676,AF$5)="F",AND(AF$6&gt;0,$A676&lt;AF$6),AND(AF$7&gt;0,$A676&gt;AF$7)),0,MAX(0,ROUND((INDEX($E676:$G676,AF$5)-SUMIFS(TF_Timer,TF_Tekniker,AF$4,TF_Dato,$A676))*2,0)/2)))</f>
        <v/>
      </c>
      <c r="AG676">
        <f>IF(OR(AG$4="",$A676&gt;TODAY()),0,IF(OR(INDEX($B676:$D676,AG$5)="F",AND(AG$6&gt;0,$A676&lt;AG$6),AND(AG$7&gt;0,$A676&gt;AG$7)),0,MAX(0,ROUND((INDEX($E676:$G676,AG$5)-SUMIFS(TF_Timer,TF_Tekniker,AG$4,TF_Dato,$A676))*2,0)/2)))</f>
        <v/>
      </c>
      <c r="AH676">
        <f>IF(OR(AH$4="",$A676&gt;TODAY()),0,IF(OR(INDEX($B676:$D676,AH$5)="F",AND(AH$6&gt;0,$A676&lt;AH$6),AND(AH$7&gt;0,$A676&gt;AH$7)),0,MAX(0,ROUND((INDEX($E676:$G676,AH$5)-SUMIFS(TF_Timer,TF_Tekniker,AH$4,TF_Dato,$A676))*2,0)/2)))</f>
        <v/>
      </c>
      <c r="AI676">
        <f>IF(OR(AI$4="",$A676&gt;TODAY()),0,IF(OR(INDEX($B676:$D676,AI$5)="F",AND(AI$6&gt;0,$A676&lt;AI$6),AND(AI$7&gt;0,$A676&gt;AI$7)),0,MAX(0,ROUND((INDEX($E676:$G676,AI$5)-SUMIFS(TF_Timer,TF_Tekniker,AI$4,TF_Dato,$A676))*2,0)/2)))</f>
        <v/>
      </c>
      <c r="AJ676">
        <f>IF(OR(AJ$4="",$A676&gt;TODAY()),0,IF(OR(INDEX($B676:$D676,AJ$5)="F",AND(AJ$6&gt;0,$A676&lt;AJ$6),AND(AJ$7&gt;0,$A676&gt;AJ$7)),0,MAX(0,ROUND((INDEX($E676:$G676,AJ$5)-SUMIFS(TF_Timer,TF_Tekniker,AJ$4,TF_Dato,$A676))*2,0)/2)))</f>
        <v/>
      </c>
      <c r="AK676">
        <f>IF(OR(AK$4="",$A676&gt;TODAY()),0,IF(OR(INDEX($B676:$D676,AK$5)="F",AND(AK$6&gt;0,$A676&lt;AK$6),AND(AK$7&gt;0,$A676&gt;AK$7)),0,MAX(0,ROUND((INDEX($E676:$G676,AK$5)-SUMIFS(TF_Timer,TF_Tekniker,AK$4,TF_Dato,$A676))*2,0)/2)))</f>
        <v/>
      </c>
      <c r="AL676">
        <f>IF(OR(AL$4="",$A676&gt;TODAY()),0,IF(OR(INDEX($B676:$D676,AL$5)="F",AND(AL$6&gt;0,$A676&lt;AL$6),AND(AL$7&gt;0,$A676&gt;AL$7)),0,MAX(0,ROUND((INDEX($E676:$G676,AL$5)-SUMIFS(TF_Timer,TF_Tekniker,AL$4,TF_Dato,$A676))*2,0)/2)))</f>
        <v/>
      </c>
      <c r="AM676">
        <f>IF(OR(AM$4="",$A676&gt;TODAY()),0,IF(OR(INDEX($B676:$D676,AM$5)="F",AND(AM$6&gt;0,$A676&lt;AM$6),AND(AM$7&gt;0,$A676&gt;AM$7)),0,MAX(0,ROUND((INDEX($E676:$G676,AM$5)-SUMIFS(TF_Timer,TF_Tekniker,AM$4,TF_Dato,$A676))*2,0)/2)))</f>
        <v/>
      </c>
      <c r="AN676">
        <f>IF(OR(AN$4="",$A676&gt;TODAY()),0,IF(OR(INDEX($B676:$D676,AN$5)="F",AND(AN$6&gt;0,$A676&lt;AN$6),AND(AN$7&gt;0,$A676&gt;AN$7)),0,MAX(0,ROUND((INDEX($E676:$G676,AN$5)-SUMIFS(TF_Timer,TF_Tekniker,AN$4,TF_Dato,$A676))*2,0)/2)))</f>
        <v/>
      </c>
      <c r="AO676">
        <f>IF(OR(AO$4="",$A676&gt;TODAY()),0,IF(OR(INDEX($B676:$D676,AO$5)="F",AND(AO$6&gt;0,$A676&lt;AO$6),AND(AO$7&gt;0,$A676&gt;AO$7)),0,MAX(0,ROUND((INDEX($E676:$G676,AO$5)-SUMIFS(TF_Timer,TF_Tekniker,AO$4,TF_Dato,$A676))*2,0)/2)))</f>
        <v/>
      </c>
      <c r="AP676">
        <f>IF(OR(AP$4="",$A676&gt;TODAY()),0,IF(OR(INDEX($B676:$D676,AP$5)="F",AND(AP$6&gt;0,$A676&lt;AP$6),AND(AP$7&gt;0,$A676&gt;AP$7)),0,MAX(0,ROUND((INDEX($E676:$G676,AP$5)-SUMIFS(TF_Timer,TF_Tekniker,AP$4,TF_Dato,$A676))*2,0)/2)))</f>
        <v/>
      </c>
      <c r="AQ676">
        <f>IF(OR(AQ$4="",$A676&gt;TODAY()),0,IF(OR(INDEX($B676:$D676,AQ$5)="F",AND(AQ$6&gt;0,$A676&lt;AQ$6),AND(AQ$7&gt;0,$A676&gt;AQ$7)),0,MAX(0,ROUND((INDEX($E676:$G676,AQ$5)-SUMIFS(TF_Timer,TF_Tekniker,AQ$4,TF_Dato,$A676))*2,0)/2)))</f>
        <v/>
      </c>
      <c r="AR676">
        <f>IF(OR(AR$4="",$A676&gt;TODAY()),0,IF(OR(INDEX($B676:$D676,AR$5)="F",AND(AR$6&gt;0,$A676&lt;AR$6),AND(AR$7&gt;0,$A676&gt;AR$7)),0,MAX(0,ROUND((INDEX($E676:$G676,AR$5)-SUMIFS(TF_Timer,TF_Tekniker,AR$4,TF_Dato,$A676))*2,0)/2)))</f>
        <v/>
      </c>
      <c r="AS676">
        <f>IF(OR(AS$4="",$A676&gt;TODAY()),0,IF(OR(INDEX($B676:$D676,AS$5)="F",AND(AS$6&gt;0,$A676&lt;AS$6),AND(AS$7&gt;0,$A676&gt;AS$7)),0,MAX(0,ROUND((INDEX($E676:$G676,AS$5)-SUMIFS(TF_Timer,TF_Tekniker,AS$4,TF_Dato,$A676))*2,0)/2)))</f>
        <v/>
      </c>
      <c r="AT676">
        <f>IF(OR(AT$4="",$A676&gt;TODAY()),0,IF(OR(INDEX($B676:$D676,AT$5)="F",AND(AT$6&gt;0,$A676&lt;AT$6),AND(AT$7&gt;0,$A676&gt;AT$7)),0,MAX(0,ROUND((INDEX($E676:$G676,AT$5)-SUMIFS(TF_Timer,TF_Tekniker,AT$4,TF_Dato,$A676))*2,0)/2)))</f>
        <v/>
      </c>
      <c r="AU676">
        <f>IF(OR(AU$4="",$A676&gt;TODAY()),0,IF(OR(INDEX($B676:$D676,AU$5)="F",AND(AU$6&gt;0,$A676&lt;AU$6),AND(AU$7&gt;0,$A676&gt;AU$7)),0,MAX(0,ROUND((INDEX($E676:$G676,AU$5)-SUMIFS(TF_Timer,TF_Tekniker,AU$4,TF_Dato,$A676))*2,0)/2)))</f>
        <v/>
      </c>
      <c r="AV676">
        <f>IF(OR(AV$4="",$A676&gt;TODAY()),0,IF(OR(INDEX($B676:$D676,AV$5)="F",AND(AV$6&gt;0,$A676&lt;AV$6),AND(AV$7&gt;0,$A676&gt;AV$7)),0,MAX(0,ROUND((INDEX($E676:$G676,AV$5)-SUMIFS(TF_Timer,TF_Tekniker,AV$4,TF_Dato,$A676))*2,0)/2)))</f>
        <v/>
      </c>
      <c r="AW676">
        <f>IF(OR(AW$4="",$A676&gt;TODAY()),0,IF(OR(INDEX($B676:$D676,AW$5)="F",AND(AW$6&gt;0,$A676&lt;AW$6),AND(AW$7&gt;0,$A676&gt;AW$7)),0,MAX(0,ROUND((INDEX($E676:$G676,AW$5)-SUMIFS(TF_Timer,TF_Tekniker,AW$4,TF_Dato,$A676))*2,0)/2)))</f>
        <v/>
      </c>
      <c r="AX676">
        <f>IF(OR(AX$4="",$A676&gt;TODAY()),0,IF(OR(INDEX($B676:$D676,AX$5)="F",AND(AX$6&gt;0,$A676&lt;AX$6),AND(AX$7&gt;0,$A676&gt;AX$7)),0,MAX(0,ROUND((INDEX($E676:$G676,AX$5)-SUMIFS(TF_Timer,TF_Tekniker,AX$4,TF_Dato,$A676))*2,0)/2)))</f>
        <v/>
      </c>
      <c r="AY676">
        <f>IF(OR(AY$4="",$A676&gt;TODAY()),0,IF(OR(INDEX($B676:$D676,AY$5)="F",AND(AY$6&gt;0,$A676&lt;AY$6),AND(AY$7&gt;0,$A676&gt;AY$7)),0,MAX(0,ROUND((INDEX($E676:$G676,AY$5)-SUMIFS(TF_Timer,TF_Tekniker,AY$4,TF_Dato,$A676))*2,0)/2)))</f>
        <v/>
      </c>
      <c r="AZ676">
        <f>IF(OR(AZ$4="",$A676&gt;TODAY()),0,IF(OR(INDEX($B676:$D676,AZ$5)="F",AND(AZ$6&gt;0,$A676&lt;AZ$6),AND(AZ$7&gt;0,$A676&gt;AZ$7)),0,MAX(0,ROUND((INDEX($E676:$G676,AZ$5)-SUMIFS(TF_Timer,TF_Tekniker,AZ$4,TF_Dato,$A676))*2,0)/2)))</f>
        <v/>
      </c>
      <c r="BA676">
        <f>IF(OR(BA$4="",$A676&gt;TODAY()),0,IF(OR(INDEX($B676:$D676,BA$5)="F",AND(BA$6&gt;0,$A676&lt;BA$6),AND(BA$7&gt;0,$A676&gt;BA$7)),0,MAX(0,ROUND((INDEX($E676:$G676,BA$5)-SUMIFS(TF_Timer,TF_Tekniker,BA$4,TF_Dato,$A676))*2,0)/2)))</f>
        <v/>
      </c>
      <c r="BB676">
        <f>IF(OR(BB$4="",$A676&gt;TODAY()),0,IF(OR(INDEX($B676:$D676,BB$5)="F",AND(BB$6&gt;0,$A676&lt;BB$6),AND(BB$7&gt;0,$A676&gt;BB$7)),0,MAX(0,ROUND((INDEX($E676:$G676,BB$5)-SUMIFS(TF_Timer,TF_Tekniker,BB$4,TF_Dato,$A676))*2,0)/2)))</f>
        <v/>
      </c>
      <c r="BC676">
        <f>IF(OR(BC$4="",$A676&gt;TODAY()),0,IF(OR(INDEX($B676:$D676,BC$5)="F",AND(BC$6&gt;0,$A676&lt;BC$6),AND(BC$7&gt;0,$A676&gt;BC$7)),0,MAX(0,ROUND((INDEX($E676:$G676,BC$5)-SUMIFS(TF_Timer,TF_Tekniker,BC$4,TF_Dato,$A676))*2,0)/2)))</f>
        <v/>
      </c>
      <c r="BD676">
        <f>IF(OR(BD$4="",$A676&gt;TODAY()),0,IF(OR(INDEX($B676:$D676,BD$5)="F",AND(BD$6&gt;0,$A676&lt;BD$6),AND(BD$7&gt;0,$A676&gt;BD$7)),0,MAX(0,ROUND((INDEX($E676:$G676,BD$5)-SUMIFS(TF_Timer,TF_Tekniker,BD$4,TF_Dato,$A676))*2,0)/2)))</f>
        <v/>
      </c>
      <c r="BE676">
        <f>IF(OR(BE$4="",$A676&gt;TODAY()),0,IF(OR(INDEX($B676:$D676,BE$5)="F",AND(BE$6&gt;0,$A676&lt;BE$6),AND(BE$7&gt;0,$A676&gt;BE$7)),0,MAX(0,ROUND((INDEX($E676:$G676,BE$5)-SUMIFS(TF_Timer,TF_Tekniker,BE$4,TF_Dato,$A676))*2,0)/2)))</f>
        <v/>
      </c>
      <c r="BF676">
        <f>IF(OR(BF$4="",$A676&gt;TODAY()),0,IF(OR(INDEX($B676:$D676,BF$5)="F",AND(BF$6&gt;0,$A676&lt;BF$6),AND(BF$7&gt;0,$A676&gt;BF$7)),0,MAX(0,ROUND((INDEX($E676:$G676,BF$5)-SUMIFS(TF_Timer,TF_Tekniker,BF$4,TF_Dato,$A676))*2,0)/2)))</f>
        <v/>
      </c>
      <c r="BG676">
        <f>IF(OR(BG$4="",$A676&gt;TODAY()),0,IF(OR(INDEX($B676:$D676,BG$5)="F",AND(BG$6&gt;0,$A676&lt;BG$6),AND(BG$7&gt;0,$A676&gt;BG$7)),0,MAX(0,ROUND((INDEX($E676:$G676,BG$5)-SUMIFS(TF_Timer,TF_Tekniker,BG$4,TF_Dato,$A676))*2,0)/2)))</f>
        <v/>
      </c>
      <c r="BH676">
        <f>IF(OR(BH$4="",$A676&gt;TODAY()),0,IF(OR(INDEX($B676:$D676,BH$5)="F",AND(BH$6&gt;0,$A676&lt;BH$6),AND(BH$7&gt;0,$A676&gt;BH$7)),0,MAX(0,ROUND((INDEX($E676:$G676,BH$5)-SUMIFS(TF_Timer,TF_Tekniker,BH$4,TF_Dato,$A676))*2,0)/2)))</f>
        <v/>
      </c>
      <c r="BI676">
        <f>IF(OR(BI$4="",$A676&gt;TODAY()),0,IF(OR(INDEX($B676:$D676,BI$5)="F",AND(BI$6&gt;0,$A676&lt;BI$6),AND(BI$7&gt;0,$A676&gt;BI$7)),0,MAX(0,ROUND((INDEX($E676:$G676,BI$5)-SUMIFS(TF_Timer,TF_Tekniker,BI$4,TF_Dato,$A676))*2,0)/2)))</f>
        <v/>
      </c>
    </row>
    <row r="677">
      <c r="A677" s="64">
        <f>A676+1</f>
        <v/>
      </c>
      <c r="B677">
        <f>IF(MOD($A677-INDEX(SkiftStart,1),Syklus)&lt;DagK,"K",IF(MOD($A677-INDEX(SkiftStart,1),Syklus)&lt;DagK+DagH,"H",IF(MOD($A677-INDEX(SkiftStart,1),Syklus)&lt;DagK+DagH+DagD,"D","F")))</f>
        <v/>
      </c>
      <c r="C677">
        <f>IF(MOD($A677-INDEX(SkiftStart,2),Syklus)&lt;DagK,"K",IF(MOD($A677-INDEX(SkiftStart,2),Syklus)&lt;DagK+DagH,"H",IF(MOD($A677-INDEX(SkiftStart,2),Syklus)&lt;DagK+DagH+DagD,"D","F")))</f>
        <v/>
      </c>
      <c r="D677">
        <f>IF(MOD($A677-INDEX(SkiftStart,3),Syklus)&lt;DagK,"K",IF(MOD($A677-INDEX(SkiftStart,3),Syklus)&lt;DagK+DagH,"H",IF(MOD($A677-INDEX(SkiftStart,3),Syklus)&lt;DagK+DagH+DagD,"D","F")))</f>
        <v/>
      </c>
      <c r="E677">
        <f>IF(B677="F",0,IF(WEEKDAY($A677,2)=5,INDEX(TimerFr,MATCH(B677,FaseKode,0)),INDEX(TimerMT,MATCH(B677,FaseKode,0))))</f>
        <v/>
      </c>
      <c r="F677">
        <f>IF(C677="F",0,IF(WEEKDAY($A677,2)=5,INDEX(TimerFr,MATCH(C677,FaseKode,0)),INDEX(TimerMT,MATCH(C677,FaseKode,0))))</f>
        <v/>
      </c>
      <c r="G677">
        <f>IF(D677="F",0,IF(WEEKDAY($A677,2)=5,INDEX(TimerFr,MATCH(D677,FaseKode,0)),INDEX(TimerMT,MATCH(D677,FaseKode,0))))</f>
        <v/>
      </c>
      <c r="H677">
        <f>IF(OR(H$4="",$A677&gt;TODAY()),0,IF(OR(INDEX($B677:$D677,H$5)="F",AND(H$6&gt;0,$A677&lt;H$6),AND(H$7&gt;0,$A677&gt;H$7)),0,MAX(0,ROUND((INDEX($E677:$G677,H$5)-SUMIFS(TF_Timer,TF_Tekniker,H$4,TF_Dato,$A677))*2,0)/2)))</f>
        <v/>
      </c>
      <c r="I677">
        <f>IF(OR(I$4="",$A677&gt;TODAY()),0,IF(OR(INDEX($B677:$D677,I$5)="F",AND(I$6&gt;0,$A677&lt;I$6),AND(I$7&gt;0,$A677&gt;I$7)),0,MAX(0,ROUND((INDEX($E677:$G677,I$5)-SUMIFS(TF_Timer,TF_Tekniker,I$4,TF_Dato,$A677))*2,0)/2)))</f>
        <v/>
      </c>
      <c r="J677">
        <f>IF(OR(J$4="",$A677&gt;TODAY()),0,IF(OR(INDEX($B677:$D677,J$5)="F",AND(J$6&gt;0,$A677&lt;J$6),AND(J$7&gt;0,$A677&gt;J$7)),0,MAX(0,ROUND((INDEX($E677:$G677,J$5)-SUMIFS(TF_Timer,TF_Tekniker,J$4,TF_Dato,$A677))*2,0)/2)))</f>
        <v/>
      </c>
      <c r="K677">
        <f>IF(OR(K$4="",$A677&gt;TODAY()),0,IF(OR(INDEX($B677:$D677,K$5)="F",AND(K$6&gt;0,$A677&lt;K$6),AND(K$7&gt;0,$A677&gt;K$7)),0,MAX(0,ROUND((INDEX($E677:$G677,K$5)-SUMIFS(TF_Timer,TF_Tekniker,K$4,TF_Dato,$A677))*2,0)/2)))</f>
        <v/>
      </c>
      <c r="L677">
        <f>IF(OR(L$4="",$A677&gt;TODAY()),0,IF(OR(INDEX($B677:$D677,L$5)="F",AND(L$6&gt;0,$A677&lt;L$6),AND(L$7&gt;0,$A677&gt;L$7)),0,MAX(0,ROUND((INDEX($E677:$G677,L$5)-SUMIFS(TF_Timer,TF_Tekniker,L$4,TF_Dato,$A677))*2,0)/2)))</f>
        <v/>
      </c>
      <c r="M677">
        <f>IF(OR(M$4="",$A677&gt;TODAY()),0,IF(OR(INDEX($B677:$D677,M$5)="F",AND(M$6&gt;0,$A677&lt;M$6),AND(M$7&gt;0,$A677&gt;M$7)),0,MAX(0,ROUND((INDEX($E677:$G677,M$5)-SUMIFS(TF_Timer,TF_Tekniker,M$4,TF_Dato,$A677))*2,0)/2)))</f>
        <v/>
      </c>
      <c r="N677">
        <f>IF(OR(N$4="",$A677&gt;TODAY()),0,IF(OR(INDEX($B677:$D677,N$5)="F",AND(N$6&gt;0,$A677&lt;N$6),AND(N$7&gt;0,$A677&gt;N$7)),0,MAX(0,ROUND((INDEX($E677:$G677,N$5)-SUMIFS(TF_Timer,TF_Tekniker,N$4,TF_Dato,$A677))*2,0)/2)))</f>
        <v/>
      </c>
      <c r="O677">
        <f>IF(OR(O$4="",$A677&gt;TODAY()),0,IF(OR(INDEX($B677:$D677,O$5)="F",AND(O$6&gt;0,$A677&lt;O$6),AND(O$7&gt;0,$A677&gt;O$7)),0,MAX(0,ROUND((INDEX($E677:$G677,O$5)-SUMIFS(TF_Timer,TF_Tekniker,O$4,TF_Dato,$A677))*2,0)/2)))</f>
        <v/>
      </c>
      <c r="P677">
        <f>IF(OR(P$4="",$A677&gt;TODAY()),0,IF(OR(INDEX($B677:$D677,P$5)="F",AND(P$6&gt;0,$A677&lt;P$6),AND(P$7&gt;0,$A677&gt;P$7)),0,MAX(0,ROUND((INDEX($E677:$G677,P$5)-SUMIFS(TF_Timer,TF_Tekniker,P$4,TF_Dato,$A677))*2,0)/2)))</f>
        <v/>
      </c>
      <c r="Q677">
        <f>IF(OR(Q$4="",$A677&gt;TODAY()),0,IF(OR(INDEX($B677:$D677,Q$5)="F",AND(Q$6&gt;0,$A677&lt;Q$6),AND(Q$7&gt;0,$A677&gt;Q$7)),0,MAX(0,ROUND((INDEX($E677:$G677,Q$5)-SUMIFS(TF_Timer,TF_Tekniker,Q$4,TF_Dato,$A677))*2,0)/2)))</f>
        <v/>
      </c>
      <c r="R677">
        <f>IF(OR(R$4="",$A677&gt;TODAY()),0,IF(OR(INDEX($B677:$D677,R$5)="F",AND(R$6&gt;0,$A677&lt;R$6),AND(R$7&gt;0,$A677&gt;R$7)),0,MAX(0,ROUND((INDEX($E677:$G677,R$5)-SUMIFS(TF_Timer,TF_Tekniker,R$4,TF_Dato,$A677))*2,0)/2)))</f>
        <v/>
      </c>
      <c r="S677">
        <f>IF(OR(S$4="",$A677&gt;TODAY()),0,IF(OR(INDEX($B677:$D677,S$5)="F",AND(S$6&gt;0,$A677&lt;S$6),AND(S$7&gt;0,$A677&gt;S$7)),0,MAX(0,ROUND((INDEX($E677:$G677,S$5)-SUMIFS(TF_Timer,TF_Tekniker,S$4,TF_Dato,$A677))*2,0)/2)))</f>
        <v/>
      </c>
      <c r="T677">
        <f>IF(OR(T$4="",$A677&gt;TODAY()),0,IF(OR(INDEX($B677:$D677,T$5)="F",AND(T$6&gt;0,$A677&lt;T$6),AND(T$7&gt;0,$A677&gt;T$7)),0,MAX(0,ROUND((INDEX($E677:$G677,T$5)-SUMIFS(TF_Timer,TF_Tekniker,T$4,TF_Dato,$A677))*2,0)/2)))</f>
        <v/>
      </c>
      <c r="U677">
        <f>IF(OR(U$4="",$A677&gt;TODAY()),0,IF(OR(INDEX($B677:$D677,U$5)="F",AND(U$6&gt;0,$A677&lt;U$6),AND(U$7&gt;0,$A677&gt;U$7)),0,MAX(0,ROUND((INDEX($E677:$G677,U$5)-SUMIFS(TF_Timer,TF_Tekniker,U$4,TF_Dato,$A677))*2,0)/2)))</f>
        <v/>
      </c>
      <c r="V677">
        <f>IF(OR(V$4="",$A677&gt;TODAY()),0,IF(OR(INDEX($B677:$D677,V$5)="F",AND(V$6&gt;0,$A677&lt;V$6),AND(V$7&gt;0,$A677&gt;V$7)),0,MAX(0,ROUND((INDEX($E677:$G677,V$5)-SUMIFS(TF_Timer,TF_Tekniker,V$4,TF_Dato,$A677))*2,0)/2)))</f>
        <v/>
      </c>
      <c r="W677">
        <f>IF(OR(W$4="",$A677&gt;TODAY()),0,IF(OR(INDEX($B677:$D677,W$5)="F",AND(W$6&gt;0,$A677&lt;W$6),AND(W$7&gt;0,$A677&gt;W$7)),0,MAX(0,ROUND((INDEX($E677:$G677,W$5)-SUMIFS(TF_Timer,TF_Tekniker,W$4,TF_Dato,$A677))*2,0)/2)))</f>
        <v/>
      </c>
      <c r="X677">
        <f>IF(OR(X$4="",$A677&gt;TODAY()),0,IF(OR(INDEX($B677:$D677,X$5)="F",AND(X$6&gt;0,$A677&lt;X$6),AND(X$7&gt;0,$A677&gt;X$7)),0,MAX(0,ROUND((INDEX($E677:$G677,X$5)-SUMIFS(TF_Timer,TF_Tekniker,X$4,TF_Dato,$A677))*2,0)/2)))</f>
        <v/>
      </c>
      <c r="Y677">
        <f>IF(OR(Y$4="",$A677&gt;TODAY()),0,IF(OR(INDEX($B677:$D677,Y$5)="F",AND(Y$6&gt;0,$A677&lt;Y$6),AND(Y$7&gt;0,$A677&gt;Y$7)),0,MAX(0,ROUND((INDEX($E677:$G677,Y$5)-SUMIFS(TF_Timer,TF_Tekniker,Y$4,TF_Dato,$A677))*2,0)/2)))</f>
        <v/>
      </c>
      <c r="Z677">
        <f>IF(OR(Z$4="",$A677&gt;TODAY()),0,IF(OR(INDEX($B677:$D677,Z$5)="F",AND(Z$6&gt;0,$A677&lt;Z$6),AND(Z$7&gt;0,$A677&gt;Z$7)),0,MAX(0,ROUND((INDEX($E677:$G677,Z$5)-SUMIFS(TF_Timer,TF_Tekniker,Z$4,TF_Dato,$A677))*2,0)/2)))</f>
        <v/>
      </c>
      <c r="AA677">
        <f>IF(OR(AA$4="",$A677&gt;TODAY()),0,IF(OR(INDEX($B677:$D677,AA$5)="F",AND(AA$6&gt;0,$A677&lt;AA$6),AND(AA$7&gt;0,$A677&gt;AA$7)),0,MAX(0,ROUND((INDEX($E677:$G677,AA$5)-SUMIFS(TF_Timer,TF_Tekniker,AA$4,TF_Dato,$A677))*2,0)/2)))</f>
        <v/>
      </c>
      <c r="AB677">
        <f>IF(OR(AB$4="",$A677&gt;TODAY()),0,IF(OR(INDEX($B677:$D677,AB$5)="F",AND(AB$6&gt;0,$A677&lt;AB$6),AND(AB$7&gt;0,$A677&gt;AB$7)),0,MAX(0,ROUND((INDEX($E677:$G677,AB$5)-SUMIFS(TF_Timer,TF_Tekniker,AB$4,TF_Dato,$A677))*2,0)/2)))</f>
        <v/>
      </c>
      <c r="AC677">
        <f>IF(OR(AC$4="",$A677&gt;TODAY()),0,IF(OR(INDEX($B677:$D677,AC$5)="F",AND(AC$6&gt;0,$A677&lt;AC$6),AND(AC$7&gt;0,$A677&gt;AC$7)),0,MAX(0,ROUND((INDEX($E677:$G677,AC$5)-SUMIFS(TF_Timer,TF_Tekniker,AC$4,TF_Dato,$A677))*2,0)/2)))</f>
        <v/>
      </c>
      <c r="AD677">
        <f>IF(OR(AD$4="",$A677&gt;TODAY()),0,IF(OR(INDEX($B677:$D677,AD$5)="F",AND(AD$6&gt;0,$A677&lt;AD$6),AND(AD$7&gt;0,$A677&gt;AD$7)),0,MAX(0,ROUND((INDEX($E677:$G677,AD$5)-SUMIFS(TF_Timer,TF_Tekniker,AD$4,TF_Dato,$A677))*2,0)/2)))</f>
        <v/>
      </c>
      <c r="AE677">
        <f>IF(OR(AE$4="",$A677&gt;TODAY()),0,IF(OR(INDEX($B677:$D677,AE$5)="F",AND(AE$6&gt;0,$A677&lt;AE$6),AND(AE$7&gt;0,$A677&gt;AE$7)),0,MAX(0,ROUND((INDEX($E677:$G677,AE$5)-SUMIFS(TF_Timer,TF_Tekniker,AE$4,TF_Dato,$A677))*2,0)/2)))</f>
        <v/>
      </c>
      <c r="AF677">
        <f>IF(OR(AF$4="",$A677&gt;TODAY()),0,IF(OR(INDEX($B677:$D677,AF$5)="F",AND(AF$6&gt;0,$A677&lt;AF$6),AND(AF$7&gt;0,$A677&gt;AF$7)),0,MAX(0,ROUND((INDEX($E677:$G677,AF$5)-SUMIFS(TF_Timer,TF_Tekniker,AF$4,TF_Dato,$A677))*2,0)/2)))</f>
        <v/>
      </c>
      <c r="AG677">
        <f>IF(OR(AG$4="",$A677&gt;TODAY()),0,IF(OR(INDEX($B677:$D677,AG$5)="F",AND(AG$6&gt;0,$A677&lt;AG$6),AND(AG$7&gt;0,$A677&gt;AG$7)),0,MAX(0,ROUND((INDEX($E677:$G677,AG$5)-SUMIFS(TF_Timer,TF_Tekniker,AG$4,TF_Dato,$A677))*2,0)/2)))</f>
        <v/>
      </c>
      <c r="AH677">
        <f>IF(OR(AH$4="",$A677&gt;TODAY()),0,IF(OR(INDEX($B677:$D677,AH$5)="F",AND(AH$6&gt;0,$A677&lt;AH$6),AND(AH$7&gt;0,$A677&gt;AH$7)),0,MAX(0,ROUND((INDEX($E677:$G677,AH$5)-SUMIFS(TF_Timer,TF_Tekniker,AH$4,TF_Dato,$A677))*2,0)/2)))</f>
        <v/>
      </c>
      <c r="AI677">
        <f>IF(OR(AI$4="",$A677&gt;TODAY()),0,IF(OR(INDEX($B677:$D677,AI$5)="F",AND(AI$6&gt;0,$A677&lt;AI$6),AND(AI$7&gt;0,$A677&gt;AI$7)),0,MAX(0,ROUND((INDEX($E677:$G677,AI$5)-SUMIFS(TF_Timer,TF_Tekniker,AI$4,TF_Dato,$A677))*2,0)/2)))</f>
        <v/>
      </c>
      <c r="AJ677">
        <f>IF(OR(AJ$4="",$A677&gt;TODAY()),0,IF(OR(INDEX($B677:$D677,AJ$5)="F",AND(AJ$6&gt;0,$A677&lt;AJ$6),AND(AJ$7&gt;0,$A677&gt;AJ$7)),0,MAX(0,ROUND((INDEX($E677:$G677,AJ$5)-SUMIFS(TF_Timer,TF_Tekniker,AJ$4,TF_Dato,$A677))*2,0)/2)))</f>
        <v/>
      </c>
      <c r="AK677">
        <f>IF(OR(AK$4="",$A677&gt;TODAY()),0,IF(OR(INDEX($B677:$D677,AK$5)="F",AND(AK$6&gt;0,$A677&lt;AK$6),AND(AK$7&gt;0,$A677&gt;AK$7)),0,MAX(0,ROUND((INDEX($E677:$G677,AK$5)-SUMIFS(TF_Timer,TF_Tekniker,AK$4,TF_Dato,$A677))*2,0)/2)))</f>
        <v/>
      </c>
      <c r="AL677">
        <f>IF(OR(AL$4="",$A677&gt;TODAY()),0,IF(OR(INDEX($B677:$D677,AL$5)="F",AND(AL$6&gt;0,$A677&lt;AL$6),AND(AL$7&gt;0,$A677&gt;AL$7)),0,MAX(0,ROUND((INDEX($E677:$G677,AL$5)-SUMIFS(TF_Timer,TF_Tekniker,AL$4,TF_Dato,$A677))*2,0)/2)))</f>
        <v/>
      </c>
      <c r="AM677">
        <f>IF(OR(AM$4="",$A677&gt;TODAY()),0,IF(OR(INDEX($B677:$D677,AM$5)="F",AND(AM$6&gt;0,$A677&lt;AM$6),AND(AM$7&gt;0,$A677&gt;AM$7)),0,MAX(0,ROUND((INDEX($E677:$G677,AM$5)-SUMIFS(TF_Timer,TF_Tekniker,AM$4,TF_Dato,$A677))*2,0)/2)))</f>
        <v/>
      </c>
      <c r="AN677">
        <f>IF(OR(AN$4="",$A677&gt;TODAY()),0,IF(OR(INDEX($B677:$D677,AN$5)="F",AND(AN$6&gt;0,$A677&lt;AN$6),AND(AN$7&gt;0,$A677&gt;AN$7)),0,MAX(0,ROUND((INDEX($E677:$G677,AN$5)-SUMIFS(TF_Timer,TF_Tekniker,AN$4,TF_Dato,$A677))*2,0)/2)))</f>
        <v/>
      </c>
      <c r="AO677">
        <f>IF(OR(AO$4="",$A677&gt;TODAY()),0,IF(OR(INDEX($B677:$D677,AO$5)="F",AND(AO$6&gt;0,$A677&lt;AO$6),AND(AO$7&gt;0,$A677&gt;AO$7)),0,MAX(0,ROUND((INDEX($E677:$G677,AO$5)-SUMIFS(TF_Timer,TF_Tekniker,AO$4,TF_Dato,$A677))*2,0)/2)))</f>
        <v/>
      </c>
      <c r="AP677">
        <f>IF(OR(AP$4="",$A677&gt;TODAY()),0,IF(OR(INDEX($B677:$D677,AP$5)="F",AND(AP$6&gt;0,$A677&lt;AP$6),AND(AP$7&gt;0,$A677&gt;AP$7)),0,MAX(0,ROUND((INDEX($E677:$G677,AP$5)-SUMIFS(TF_Timer,TF_Tekniker,AP$4,TF_Dato,$A677))*2,0)/2)))</f>
        <v/>
      </c>
      <c r="AQ677">
        <f>IF(OR(AQ$4="",$A677&gt;TODAY()),0,IF(OR(INDEX($B677:$D677,AQ$5)="F",AND(AQ$6&gt;0,$A677&lt;AQ$6),AND(AQ$7&gt;0,$A677&gt;AQ$7)),0,MAX(0,ROUND((INDEX($E677:$G677,AQ$5)-SUMIFS(TF_Timer,TF_Tekniker,AQ$4,TF_Dato,$A677))*2,0)/2)))</f>
        <v/>
      </c>
      <c r="AR677">
        <f>IF(OR(AR$4="",$A677&gt;TODAY()),0,IF(OR(INDEX($B677:$D677,AR$5)="F",AND(AR$6&gt;0,$A677&lt;AR$6),AND(AR$7&gt;0,$A677&gt;AR$7)),0,MAX(0,ROUND((INDEX($E677:$G677,AR$5)-SUMIFS(TF_Timer,TF_Tekniker,AR$4,TF_Dato,$A677))*2,0)/2)))</f>
        <v/>
      </c>
      <c r="AS677">
        <f>IF(OR(AS$4="",$A677&gt;TODAY()),0,IF(OR(INDEX($B677:$D677,AS$5)="F",AND(AS$6&gt;0,$A677&lt;AS$6),AND(AS$7&gt;0,$A677&gt;AS$7)),0,MAX(0,ROUND((INDEX($E677:$G677,AS$5)-SUMIFS(TF_Timer,TF_Tekniker,AS$4,TF_Dato,$A677))*2,0)/2)))</f>
        <v/>
      </c>
      <c r="AT677">
        <f>IF(OR(AT$4="",$A677&gt;TODAY()),0,IF(OR(INDEX($B677:$D677,AT$5)="F",AND(AT$6&gt;0,$A677&lt;AT$6),AND(AT$7&gt;0,$A677&gt;AT$7)),0,MAX(0,ROUND((INDEX($E677:$G677,AT$5)-SUMIFS(TF_Timer,TF_Tekniker,AT$4,TF_Dato,$A677))*2,0)/2)))</f>
        <v/>
      </c>
      <c r="AU677">
        <f>IF(OR(AU$4="",$A677&gt;TODAY()),0,IF(OR(INDEX($B677:$D677,AU$5)="F",AND(AU$6&gt;0,$A677&lt;AU$6),AND(AU$7&gt;0,$A677&gt;AU$7)),0,MAX(0,ROUND((INDEX($E677:$G677,AU$5)-SUMIFS(TF_Timer,TF_Tekniker,AU$4,TF_Dato,$A677))*2,0)/2)))</f>
        <v/>
      </c>
      <c r="AV677">
        <f>IF(OR(AV$4="",$A677&gt;TODAY()),0,IF(OR(INDEX($B677:$D677,AV$5)="F",AND(AV$6&gt;0,$A677&lt;AV$6),AND(AV$7&gt;0,$A677&gt;AV$7)),0,MAX(0,ROUND((INDEX($E677:$G677,AV$5)-SUMIFS(TF_Timer,TF_Tekniker,AV$4,TF_Dato,$A677))*2,0)/2)))</f>
        <v/>
      </c>
      <c r="AW677">
        <f>IF(OR(AW$4="",$A677&gt;TODAY()),0,IF(OR(INDEX($B677:$D677,AW$5)="F",AND(AW$6&gt;0,$A677&lt;AW$6),AND(AW$7&gt;0,$A677&gt;AW$7)),0,MAX(0,ROUND((INDEX($E677:$G677,AW$5)-SUMIFS(TF_Timer,TF_Tekniker,AW$4,TF_Dato,$A677))*2,0)/2)))</f>
        <v/>
      </c>
      <c r="AX677">
        <f>IF(OR(AX$4="",$A677&gt;TODAY()),0,IF(OR(INDEX($B677:$D677,AX$5)="F",AND(AX$6&gt;0,$A677&lt;AX$6),AND(AX$7&gt;0,$A677&gt;AX$7)),0,MAX(0,ROUND((INDEX($E677:$G677,AX$5)-SUMIFS(TF_Timer,TF_Tekniker,AX$4,TF_Dato,$A677))*2,0)/2)))</f>
        <v/>
      </c>
      <c r="AY677">
        <f>IF(OR(AY$4="",$A677&gt;TODAY()),0,IF(OR(INDEX($B677:$D677,AY$5)="F",AND(AY$6&gt;0,$A677&lt;AY$6),AND(AY$7&gt;0,$A677&gt;AY$7)),0,MAX(0,ROUND((INDEX($E677:$G677,AY$5)-SUMIFS(TF_Timer,TF_Tekniker,AY$4,TF_Dato,$A677))*2,0)/2)))</f>
        <v/>
      </c>
      <c r="AZ677">
        <f>IF(OR(AZ$4="",$A677&gt;TODAY()),0,IF(OR(INDEX($B677:$D677,AZ$5)="F",AND(AZ$6&gt;0,$A677&lt;AZ$6),AND(AZ$7&gt;0,$A677&gt;AZ$7)),0,MAX(0,ROUND((INDEX($E677:$G677,AZ$5)-SUMIFS(TF_Timer,TF_Tekniker,AZ$4,TF_Dato,$A677))*2,0)/2)))</f>
        <v/>
      </c>
      <c r="BA677">
        <f>IF(OR(BA$4="",$A677&gt;TODAY()),0,IF(OR(INDEX($B677:$D677,BA$5)="F",AND(BA$6&gt;0,$A677&lt;BA$6),AND(BA$7&gt;0,$A677&gt;BA$7)),0,MAX(0,ROUND((INDEX($E677:$G677,BA$5)-SUMIFS(TF_Timer,TF_Tekniker,BA$4,TF_Dato,$A677))*2,0)/2)))</f>
        <v/>
      </c>
      <c r="BB677">
        <f>IF(OR(BB$4="",$A677&gt;TODAY()),0,IF(OR(INDEX($B677:$D677,BB$5)="F",AND(BB$6&gt;0,$A677&lt;BB$6),AND(BB$7&gt;0,$A677&gt;BB$7)),0,MAX(0,ROUND((INDEX($E677:$G677,BB$5)-SUMIFS(TF_Timer,TF_Tekniker,BB$4,TF_Dato,$A677))*2,0)/2)))</f>
        <v/>
      </c>
      <c r="BC677">
        <f>IF(OR(BC$4="",$A677&gt;TODAY()),0,IF(OR(INDEX($B677:$D677,BC$5)="F",AND(BC$6&gt;0,$A677&lt;BC$6),AND(BC$7&gt;0,$A677&gt;BC$7)),0,MAX(0,ROUND((INDEX($E677:$G677,BC$5)-SUMIFS(TF_Timer,TF_Tekniker,BC$4,TF_Dato,$A677))*2,0)/2)))</f>
        <v/>
      </c>
      <c r="BD677">
        <f>IF(OR(BD$4="",$A677&gt;TODAY()),0,IF(OR(INDEX($B677:$D677,BD$5)="F",AND(BD$6&gt;0,$A677&lt;BD$6),AND(BD$7&gt;0,$A677&gt;BD$7)),0,MAX(0,ROUND((INDEX($E677:$G677,BD$5)-SUMIFS(TF_Timer,TF_Tekniker,BD$4,TF_Dato,$A677))*2,0)/2)))</f>
        <v/>
      </c>
      <c r="BE677">
        <f>IF(OR(BE$4="",$A677&gt;TODAY()),0,IF(OR(INDEX($B677:$D677,BE$5)="F",AND(BE$6&gt;0,$A677&lt;BE$6),AND(BE$7&gt;0,$A677&gt;BE$7)),0,MAX(0,ROUND((INDEX($E677:$G677,BE$5)-SUMIFS(TF_Timer,TF_Tekniker,BE$4,TF_Dato,$A677))*2,0)/2)))</f>
        <v/>
      </c>
      <c r="BF677">
        <f>IF(OR(BF$4="",$A677&gt;TODAY()),0,IF(OR(INDEX($B677:$D677,BF$5)="F",AND(BF$6&gt;0,$A677&lt;BF$6),AND(BF$7&gt;0,$A677&gt;BF$7)),0,MAX(0,ROUND((INDEX($E677:$G677,BF$5)-SUMIFS(TF_Timer,TF_Tekniker,BF$4,TF_Dato,$A677))*2,0)/2)))</f>
        <v/>
      </c>
      <c r="BG677">
        <f>IF(OR(BG$4="",$A677&gt;TODAY()),0,IF(OR(INDEX($B677:$D677,BG$5)="F",AND(BG$6&gt;0,$A677&lt;BG$6),AND(BG$7&gt;0,$A677&gt;BG$7)),0,MAX(0,ROUND((INDEX($E677:$G677,BG$5)-SUMIFS(TF_Timer,TF_Tekniker,BG$4,TF_Dato,$A677))*2,0)/2)))</f>
        <v/>
      </c>
      <c r="BH677">
        <f>IF(OR(BH$4="",$A677&gt;TODAY()),0,IF(OR(INDEX($B677:$D677,BH$5)="F",AND(BH$6&gt;0,$A677&lt;BH$6),AND(BH$7&gt;0,$A677&gt;BH$7)),0,MAX(0,ROUND((INDEX($E677:$G677,BH$5)-SUMIFS(TF_Timer,TF_Tekniker,BH$4,TF_Dato,$A677))*2,0)/2)))</f>
        <v/>
      </c>
      <c r="BI677">
        <f>IF(OR(BI$4="",$A677&gt;TODAY()),0,IF(OR(INDEX($B677:$D677,BI$5)="F",AND(BI$6&gt;0,$A677&lt;BI$6),AND(BI$7&gt;0,$A677&gt;BI$7)),0,MAX(0,ROUND((INDEX($E677:$G677,BI$5)-SUMIFS(TF_Timer,TF_Tekniker,BI$4,TF_Dato,$A677))*2,0)/2)))</f>
        <v/>
      </c>
    </row>
    <row r="678">
      <c r="A678" s="64">
        <f>A677+1</f>
        <v/>
      </c>
      <c r="B678">
        <f>IF(MOD($A678-INDEX(SkiftStart,1),Syklus)&lt;DagK,"K",IF(MOD($A678-INDEX(SkiftStart,1),Syklus)&lt;DagK+DagH,"H",IF(MOD($A678-INDEX(SkiftStart,1),Syklus)&lt;DagK+DagH+DagD,"D","F")))</f>
        <v/>
      </c>
      <c r="C678">
        <f>IF(MOD($A678-INDEX(SkiftStart,2),Syklus)&lt;DagK,"K",IF(MOD($A678-INDEX(SkiftStart,2),Syklus)&lt;DagK+DagH,"H",IF(MOD($A678-INDEX(SkiftStart,2),Syklus)&lt;DagK+DagH+DagD,"D","F")))</f>
        <v/>
      </c>
      <c r="D678">
        <f>IF(MOD($A678-INDEX(SkiftStart,3),Syklus)&lt;DagK,"K",IF(MOD($A678-INDEX(SkiftStart,3),Syklus)&lt;DagK+DagH,"H",IF(MOD($A678-INDEX(SkiftStart,3),Syklus)&lt;DagK+DagH+DagD,"D","F")))</f>
        <v/>
      </c>
      <c r="E678">
        <f>IF(B678="F",0,IF(WEEKDAY($A678,2)=5,INDEX(TimerFr,MATCH(B678,FaseKode,0)),INDEX(TimerMT,MATCH(B678,FaseKode,0))))</f>
        <v/>
      </c>
      <c r="F678">
        <f>IF(C678="F",0,IF(WEEKDAY($A678,2)=5,INDEX(TimerFr,MATCH(C678,FaseKode,0)),INDEX(TimerMT,MATCH(C678,FaseKode,0))))</f>
        <v/>
      </c>
      <c r="G678">
        <f>IF(D678="F",0,IF(WEEKDAY($A678,2)=5,INDEX(TimerFr,MATCH(D678,FaseKode,0)),INDEX(TimerMT,MATCH(D678,FaseKode,0))))</f>
        <v/>
      </c>
      <c r="H678">
        <f>IF(OR(H$4="",$A678&gt;TODAY()),0,IF(OR(INDEX($B678:$D678,H$5)="F",AND(H$6&gt;0,$A678&lt;H$6),AND(H$7&gt;0,$A678&gt;H$7)),0,MAX(0,ROUND((INDEX($E678:$G678,H$5)-SUMIFS(TF_Timer,TF_Tekniker,H$4,TF_Dato,$A678))*2,0)/2)))</f>
        <v/>
      </c>
      <c r="I678">
        <f>IF(OR(I$4="",$A678&gt;TODAY()),0,IF(OR(INDEX($B678:$D678,I$5)="F",AND(I$6&gt;0,$A678&lt;I$6),AND(I$7&gt;0,$A678&gt;I$7)),0,MAX(0,ROUND((INDEX($E678:$G678,I$5)-SUMIFS(TF_Timer,TF_Tekniker,I$4,TF_Dato,$A678))*2,0)/2)))</f>
        <v/>
      </c>
      <c r="J678">
        <f>IF(OR(J$4="",$A678&gt;TODAY()),0,IF(OR(INDEX($B678:$D678,J$5)="F",AND(J$6&gt;0,$A678&lt;J$6),AND(J$7&gt;0,$A678&gt;J$7)),0,MAX(0,ROUND((INDEX($E678:$G678,J$5)-SUMIFS(TF_Timer,TF_Tekniker,J$4,TF_Dato,$A678))*2,0)/2)))</f>
        <v/>
      </c>
      <c r="K678">
        <f>IF(OR(K$4="",$A678&gt;TODAY()),0,IF(OR(INDEX($B678:$D678,K$5)="F",AND(K$6&gt;0,$A678&lt;K$6),AND(K$7&gt;0,$A678&gt;K$7)),0,MAX(0,ROUND((INDEX($E678:$G678,K$5)-SUMIFS(TF_Timer,TF_Tekniker,K$4,TF_Dato,$A678))*2,0)/2)))</f>
        <v/>
      </c>
      <c r="L678">
        <f>IF(OR(L$4="",$A678&gt;TODAY()),0,IF(OR(INDEX($B678:$D678,L$5)="F",AND(L$6&gt;0,$A678&lt;L$6),AND(L$7&gt;0,$A678&gt;L$7)),0,MAX(0,ROUND((INDEX($E678:$G678,L$5)-SUMIFS(TF_Timer,TF_Tekniker,L$4,TF_Dato,$A678))*2,0)/2)))</f>
        <v/>
      </c>
      <c r="M678">
        <f>IF(OR(M$4="",$A678&gt;TODAY()),0,IF(OR(INDEX($B678:$D678,M$5)="F",AND(M$6&gt;0,$A678&lt;M$6),AND(M$7&gt;0,$A678&gt;M$7)),0,MAX(0,ROUND((INDEX($E678:$G678,M$5)-SUMIFS(TF_Timer,TF_Tekniker,M$4,TF_Dato,$A678))*2,0)/2)))</f>
        <v/>
      </c>
      <c r="N678">
        <f>IF(OR(N$4="",$A678&gt;TODAY()),0,IF(OR(INDEX($B678:$D678,N$5)="F",AND(N$6&gt;0,$A678&lt;N$6),AND(N$7&gt;0,$A678&gt;N$7)),0,MAX(0,ROUND((INDEX($E678:$G678,N$5)-SUMIFS(TF_Timer,TF_Tekniker,N$4,TF_Dato,$A678))*2,0)/2)))</f>
        <v/>
      </c>
      <c r="O678">
        <f>IF(OR(O$4="",$A678&gt;TODAY()),0,IF(OR(INDEX($B678:$D678,O$5)="F",AND(O$6&gt;0,$A678&lt;O$6),AND(O$7&gt;0,$A678&gt;O$7)),0,MAX(0,ROUND((INDEX($E678:$G678,O$5)-SUMIFS(TF_Timer,TF_Tekniker,O$4,TF_Dato,$A678))*2,0)/2)))</f>
        <v/>
      </c>
      <c r="P678">
        <f>IF(OR(P$4="",$A678&gt;TODAY()),0,IF(OR(INDEX($B678:$D678,P$5)="F",AND(P$6&gt;0,$A678&lt;P$6),AND(P$7&gt;0,$A678&gt;P$7)),0,MAX(0,ROUND((INDEX($E678:$G678,P$5)-SUMIFS(TF_Timer,TF_Tekniker,P$4,TF_Dato,$A678))*2,0)/2)))</f>
        <v/>
      </c>
      <c r="Q678">
        <f>IF(OR(Q$4="",$A678&gt;TODAY()),0,IF(OR(INDEX($B678:$D678,Q$5)="F",AND(Q$6&gt;0,$A678&lt;Q$6),AND(Q$7&gt;0,$A678&gt;Q$7)),0,MAX(0,ROUND((INDEX($E678:$G678,Q$5)-SUMIFS(TF_Timer,TF_Tekniker,Q$4,TF_Dato,$A678))*2,0)/2)))</f>
        <v/>
      </c>
      <c r="R678">
        <f>IF(OR(R$4="",$A678&gt;TODAY()),0,IF(OR(INDEX($B678:$D678,R$5)="F",AND(R$6&gt;0,$A678&lt;R$6),AND(R$7&gt;0,$A678&gt;R$7)),0,MAX(0,ROUND((INDEX($E678:$G678,R$5)-SUMIFS(TF_Timer,TF_Tekniker,R$4,TF_Dato,$A678))*2,0)/2)))</f>
        <v/>
      </c>
      <c r="S678">
        <f>IF(OR(S$4="",$A678&gt;TODAY()),0,IF(OR(INDEX($B678:$D678,S$5)="F",AND(S$6&gt;0,$A678&lt;S$6),AND(S$7&gt;0,$A678&gt;S$7)),0,MAX(0,ROUND((INDEX($E678:$G678,S$5)-SUMIFS(TF_Timer,TF_Tekniker,S$4,TF_Dato,$A678))*2,0)/2)))</f>
        <v/>
      </c>
      <c r="T678">
        <f>IF(OR(T$4="",$A678&gt;TODAY()),0,IF(OR(INDEX($B678:$D678,T$5)="F",AND(T$6&gt;0,$A678&lt;T$6),AND(T$7&gt;0,$A678&gt;T$7)),0,MAX(0,ROUND((INDEX($E678:$G678,T$5)-SUMIFS(TF_Timer,TF_Tekniker,T$4,TF_Dato,$A678))*2,0)/2)))</f>
        <v/>
      </c>
      <c r="U678">
        <f>IF(OR(U$4="",$A678&gt;TODAY()),0,IF(OR(INDEX($B678:$D678,U$5)="F",AND(U$6&gt;0,$A678&lt;U$6),AND(U$7&gt;0,$A678&gt;U$7)),0,MAX(0,ROUND((INDEX($E678:$G678,U$5)-SUMIFS(TF_Timer,TF_Tekniker,U$4,TF_Dato,$A678))*2,0)/2)))</f>
        <v/>
      </c>
      <c r="V678">
        <f>IF(OR(V$4="",$A678&gt;TODAY()),0,IF(OR(INDEX($B678:$D678,V$5)="F",AND(V$6&gt;0,$A678&lt;V$6),AND(V$7&gt;0,$A678&gt;V$7)),0,MAX(0,ROUND((INDEX($E678:$G678,V$5)-SUMIFS(TF_Timer,TF_Tekniker,V$4,TF_Dato,$A678))*2,0)/2)))</f>
        <v/>
      </c>
      <c r="W678">
        <f>IF(OR(W$4="",$A678&gt;TODAY()),0,IF(OR(INDEX($B678:$D678,W$5)="F",AND(W$6&gt;0,$A678&lt;W$6),AND(W$7&gt;0,$A678&gt;W$7)),0,MAX(0,ROUND((INDEX($E678:$G678,W$5)-SUMIFS(TF_Timer,TF_Tekniker,W$4,TF_Dato,$A678))*2,0)/2)))</f>
        <v/>
      </c>
      <c r="X678">
        <f>IF(OR(X$4="",$A678&gt;TODAY()),0,IF(OR(INDEX($B678:$D678,X$5)="F",AND(X$6&gt;0,$A678&lt;X$6),AND(X$7&gt;0,$A678&gt;X$7)),0,MAX(0,ROUND((INDEX($E678:$G678,X$5)-SUMIFS(TF_Timer,TF_Tekniker,X$4,TF_Dato,$A678))*2,0)/2)))</f>
        <v/>
      </c>
      <c r="Y678">
        <f>IF(OR(Y$4="",$A678&gt;TODAY()),0,IF(OR(INDEX($B678:$D678,Y$5)="F",AND(Y$6&gt;0,$A678&lt;Y$6),AND(Y$7&gt;0,$A678&gt;Y$7)),0,MAX(0,ROUND((INDEX($E678:$G678,Y$5)-SUMIFS(TF_Timer,TF_Tekniker,Y$4,TF_Dato,$A678))*2,0)/2)))</f>
        <v/>
      </c>
      <c r="Z678">
        <f>IF(OR(Z$4="",$A678&gt;TODAY()),0,IF(OR(INDEX($B678:$D678,Z$5)="F",AND(Z$6&gt;0,$A678&lt;Z$6),AND(Z$7&gt;0,$A678&gt;Z$7)),0,MAX(0,ROUND((INDEX($E678:$G678,Z$5)-SUMIFS(TF_Timer,TF_Tekniker,Z$4,TF_Dato,$A678))*2,0)/2)))</f>
        <v/>
      </c>
      <c r="AA678">
        <f>IF(OR(AA$4="",$A678&gt;TODAY()),0,IF(OR(INDEX($B678:$D678,AA$5)="F",AND(AA$6&gt;0,$A678&lt;AA$6),AND(AA$7&gt;0,$A678&gt;AA$7)),0,MAX(0,ROUND((INDEX($E678:$G678,AA$5)-SUMIFS(TF_Timer,TF_Tekniker,AA$4,TF_Dato,$A678))*2,0)/2)))</f>
        <v/>
      </c>
      <c r="AB678">
        <f>IF(OR(AB$4="",$A678&gt;TODAY()),0,IF(OR(INDEX($B678:$D678,AB$5)="F",AND(AB$6&gt;0,$A678&lt;AB$6),AND(AB$7&gt;0,$A678&gt;AB$7)),0,MAX(0,ROUND((INDEX($E678:$G678,AB$5)-SUMIFS(TF_Timer,TF_Tekniker,AB$4,TF_Dato,$A678))*2,0)/2)))</f>
        <v/>
      </c>
      <c r="AC678">
        <f>IF(OR(AC$4="",$A678&gt;TODAY()),0,IF(OR(INDEX($B678:$D678,AC$5)="F",AND(AC$6&gt;0,$A678&lt;AC$6),AND(AC$7&gt;0,$A678&gt;AC$7)),0,MAX(0,ROUND((INDEX($E678:$G678,AC$5)-SUMIFS(TF_Timer,TF_Tekniker,AC$4,TF_Dato,$A678))*2,0)/2)))</f>
        <v/>
      </c>
      <c r="AD678">
        <f>IF(OR(AD$4="",$A678&gt;TODAY()),0,IF(OR(INDEX($B678:$D678,AD$5)="F",AND(AD$6&gt;0,$A678&lt;AD$6),AND(AD$7&gt;0,$A678&gt;AD$7)),0,MAX(0,ROUND((INDEX($E678:$G678,AD$5)-SUMIFS(TF_Timer,TF_Tekniker,AD$4,TF_Dato,$A678))*2,0)/2)))</f>
        <v/>
      </c>
      <c r="AE678">
        <f>IF(OR(AE$4="",$A678&gt;TODAY()),0,IF(OR(INDEX($B678:$D678,AE$5)="F",AND(AE$6&gt;0,$A678&lt;AE$6),AND(AE$7&gt;0,$A678&gt;AE$7)),0,MAX(0,ROUND((INDEX($E678:$G678,AE$5)-SUMIFS(TF_Timer,TF_Tekniker,AE$4,TF_Dato,$A678))*2,0)/2)))</f>
        <v/>
      </c>
      <c r="AF678">
        <f>IF(OR(AF$4="",$A678&gt;TODAY()),0,IF(OR(INDEX($B678:$D678,AF$5)="F",AND(AF$6&gt;0,$A678&lt;AF$6),AND(AF$7&gt;0,$A678&gt;AF$7)),0,MAX(0,ROUND((INDEX($E678:$G678,AF$5)-SUMIFS(TF_Timer,TF_Tekniker,AF$4,TF_Dato,$A678))*2,0)/2)))</f>
        <v/>
      </c>
      <c r="AG678">
        <f>IF(OR(AG$4="",$A678&gt;TODAY()),0,IF(OR(INDEX($B678:$D678,AG$5)="F",AND(AG$6&gt;0,$A678&lt;AG$6),AND(AG$7&gt;0,$A678&gt;AG$7)),0,MAX(0,ROUND((INDEX($E678:$G678,AG$5)-SUMIFS(TF_Timer,TF_Tekniker,AG$4,TF_Dato,$A678))*2,0)/2)))</f>
        <v/>
      </c>
      <c r="AH678">
        <f>IF(OR(AH$4="",$A678&gt;TODAY()),0,IF(OR(INDEX($B678:$D678,AH$5)="F",AND(AH$6&gt;0,$A678&lt;AH$6),AND(AH$7&gt;0,$A678&gt;AH$7)),0,MAX(0,ROUND((INDEX($E678:$G678,AH$5)-SUMIFS(TF_Timer,TF_Tekniker,AH$4,TF_Dato,$A678))*2,0)/2)))</f>
        <v/>
      </c>
      <c r="AI678">
        <f>IF(OR(AI$4="",$A678&gt;TODAY()),0,IF(OR(INDEX($B678:$D678,AI$5)="F",AND(AI$6&gt;0,$A678&lt;AI$6),AND(AI$7&gt;0,$A678&gt;AI$7)),0,MAX(0,ROUND((INDEX($E678:$G678,AI$5)-SUMIFS(TF_Timer,TF_Tekniker,AI$4,TF_Dato,$A678))*2,0)/2)))</f>
        <v/>
      </c>
      <c r="AJ678">
        <f>IF(OR(AJ$4="",$A678&gt;TODAY()),0,IF(OR(INDEX($B678:$D678,AJ$5)="F",AND(AJ$6&gt;0,$A678&lt;AJ$6),AND(AJ$7&gt;0,$A678&gt;AJ$7)),0,MAX(0,ROUND((INDEX($E678:$G678,AJ$5)-SUMIFS(TF_Timer,TF_Tekniker,AJ$4,TF_Dato,$A678))*2,0)/2)))</f>
        <v/>
      </c>
      <c r="AK678">
        <f>IF(OR(AK$4="",$A678&gt;TODAY()),0,IF(OR(INDEX($B678:$D678,AK$5)="F",AND(AK$6&gt;0,$A678&lt;AK$6),AND(AK$7&gt;0,$A678&gt;AK$7)),0,MAX(0,ROUND((INDEX($E678:$G678,AK$5)-SUMIFS(TF_Timer,TF_Tekniker,AK$4,TF_Dato,$A678))*2,0)/2)))</f>
        <v/>
      </c>
      <c r="AL678">
        <f>IF(OR(AL$4="",$A678&gt;TODAY()),0,IF(OR(INDEX($B678:$D678,AL$5)="F",AND(AL$6&gt;0,$A678&lt;AL$6),AND(AL$7&gt;0,$A678&gt;AL$7)),0,MAX(0,ROUND((INDEX($E678:$G678,AL$5)-SUMIFS(TF_Timer,TF_Tekniker,AL$4,TF_Dato,$A678))*2,0)/2)))</f>
        <v/>
      </c>
      <c r="AM678">
        <f>IF(OR(AM$4="",$A678&gt;TODAY()),0,IF(OR(INDEX($B678:$D678,AM$5)="F",AND(AM$6&gt;0,$A678&lt;AM$6),AND(AM$7&gt;0,$A678&gt;AM$7)),0,MAX(0,ROUND((INDEX($E678:$G678,AM$5)-SUMIFS(TF_Timer,TF_Tekniker,AM$4,TF_Dato,$A678))*2,0)/2)))</f>
        <v/>
      </c>
      <c r="AN678">
        <f>IF(OR(AN$4="",$A678&gt;TODAY()),0,IF(OR(INDEX($B678:$D678,AN$5)="F",AND(AN$6&gt;0,$A678&lt;AN$6),AND(AN$7&gt;0,$A678&gt;AN$7)),0,MAX(0,ROUND((INDEX($E678:$G678,AN$5)-SUMIFS(TF_Timer,TF_Tekniker,AN$4,TF_Dato,$A678))*2,0)/2)))</f>
        <v/>
      </c>
      <c r="AO678">
        <f>IF(OR(AO$4="",$A678&gt;TODAY()),0,IF(OR(INDEX($B678:$D678,AO$5)="F",AND(AO$6&gt;0,$A678&lt;AO$6),AND(AO$7&gt;0,$A678&gt;AO$7)),0,MAX(0,ROUND((INDEX($E678:$G678,AO$5)-SUMIFS(TF_Timer,TF_Tekniker,AO$4,TF_Dato,$A678))*2,0)/2)))</f>
        <v/>
      </c>
      <c r="AP678">
        <f>IF(OR(AP$4="",$A678&gt;TODAY()),0,IF(OR(INDEX($B678:$D678,AP$5)="F",AND(AP$6&gt;0,$A678&lt;AP$6),AND(AP$7&gt;0,$A678&gt;AP$7)),0,MAX(0,ROUND((INDEX($E678:$G678,AP$5)-SUMIFS(TF_Timer,TF_Tekniker,AP$4,TF_Dato,$A678))*2,0)/2)))</f>
        <v/>
      </c>
      <c r="AQ678">
        <f>IF(OR(AQ$4="",$A678&gt;TODAY()),0,IF(OR(INDEX($B678:$D678,AQ$5)="F",AND(AQ$6&gt;0,$A678&lt;AQ$6),AND(AQ$7&gt;0,$A678&gt;AQ$7)),0,MAX(0,ROUND((INDEX($E678:$G678,AQ$5)-SUMIFS(TF_Timer,TF_Tekniker,AQ$4,TF_Dato,$A678))*2,0)/2)))</f>
        <v/>
      </c>
      <c r="AR678">
        <f>IF(OR(AR$4="",$A678&gt;TODAY()),0,IF(OR(INDEX($B678:$D678,AR$5)="F",AND(AR$6&gt;0,$A678&lt;AR$6),AND(AR$7&gt;0,$A678&gt;AR$7)),0,MAX(0,ROUND((INDEX($E678:$G678,AR$5)-SUMIFS(TF_Timer,TF_Tekniker,AR$4,TF_Dato,$A678))*2,0)/2)))</f>
        <v/>
      </c>
      <c r="AS678">
        <f>IF(OR(AS$4="",$A678&gt;TODAY()),0,IF(OR(INDEX($B678:$D678,AS$5)="F",AND(AS$6&gt;0,$A678&lt;AS$6),AND(AS$7&gt;0,$A678&gt;AS$7)),0,MAX(0,ROUND((INDEX($E678:$G678,AS$5)-SUMIFS(TF_Timer,TF_Tekniker,AS$4,TF_Dato,$A678))*2,0)/2)))</f>
        <v/>
      </c>
      <c r="AT678">
        <f>IF(OR(AT$4="",$A678&gt;TODAY()),0,IF(OR(INDEX($B678:$D678,AT$5)="F",AND(AT$6&gt;0,$A678&lt;AT$6),AND(AT$7&gt;0,$A678&gt;AT$7)),0,MAX(0,ROUND((INDEX($E678:$G678,AT$5)-SUMIFS(TF_Timer,TF_Tekniker,AT$4,TF_Dato,$A678))*2,0)/2)))</f>
        <v/>
      </c>
      <c r="AU678">
        <f>IF(OR(AU$4="",$A678&gt;TODAY()),0,IF(OR(INDEX($B678:$D678,AU$5)="F",AND(AU$6&gt;0,$A678&lt;AU$6),AND(AU$7&gt;0,$A678&gt;AU$7)),0,MAX(0,ROUND((INDEX($E678:$G678,AU$5)-SUMIFS(TF_Timer,TF_Tekniker,AU$4,TF_Dato,$A678))*2,0)/2)))</f>
        <v/>
      </c>
      <c r="AV678">
        <f>IF(OR(AV$4="",$A678&gt;TODAY()),0,IF(OR(INDEX($B678:$D678,AV$5)="F",AND(AV$6&gt;0,$A678&lt;AV$6),AND(AV$7&gt;0,$A678&gt;AV$7)),0,MAX(0,ROUND((INDEX($E678:$G678,AV$5)-SUMIFS(TF_Timer,TF_Tekniker,AV$4,TF_Dato,$A678))*2,0)/2)))</f>
        <v/>
      </c>
      <c r="AW678">
        <f>IF(OR(AW$4="",$A678&gt;TODAY()),0,IF(OR(INDEX($B678:$D678,AW$5)="F",AND(AW$6&gt;0,$A678&lt;AW$6),AND(AW$7&gt;0,$A678&gt;AW$7)),0,MAX(0,ROUND((INDEX($E678:$G678,AW$5)-SUMIFS(TF_Timer,TF_Tekniker,AW$4,TF_Dato,$A678))*2,0)/2)))</f>
        <v/>
      </c>
      <c r="AX678">
        <f>IF(OR(AX$4="",$A678&gt;TODAY()),0,IF(OR(INDEX($B678:$D678,AX$5)="F",AND(AX$6&gt;0,$A678&lt;AX$6),AND(AX$7&gt;0,$A678&gt;AX$7)),0,MAX(0,ROUND((INDEX($E678:$G678,AX$5)-SUMIFS(TF_Timer,TF_Tekniker,AX$4,TF_Dato,$A678))*2,0)/2)))</f>
        <v/>
      </c>
      <c r="AY678">
        <f>IF(OR(AY$4="",$A678&gt;TODAY()),0,IF(OR(INDEX($B678:$D678,AY$5)="F",AND(AY$6&gt;0,$A678&lt;AY$6),AND(AY$7&gt;0,$A678&gt;AY$7)),0,MAX(0,ROUND((INDEX($E678:$G678,AY$5)-SUMIFS(TF_Timer,TF_Tekniker,AY$4,TF_Dato,$A678))*2,0)/2)))</f>
        <v/>
      </c>
      <c r="AZ678">
        <f>IF(OR(AZ$4="",$A678&gt;TODAY()),0,IF(OR(INDEX($B678:$D678,AZ$5)="F",AND(AZ$6&gt;0,$A678&lt;AZ$6),AND(AZ$7&gt;0,$A678&gt;AZ$7)),0,MAX(0,ROUND((INDEX($E678:$G678,AZ$5)-SUMIFS(TF_Timer,TF_Tekniker,AZ$4,TF_Dato,$A678))*2,0)/2)))</f>
        <v/>
      </c>
      <c r="BA678">
        <f>IF(OR(BA$4="",$A678&gt;TODAY()),0,IF(OR(INDEX($B678:$D678,BA$5)="F",AND(BA$6&gt;0,$A678&lt;BA$6),AND(BA$7&gt;0,$A678&gt;BA$7)),0,MAX(0,ROUND((INDEX($E678:$G678,BA$5)-SUMIFS(TF_Timer,TF_Tekniker,BA$4,TF_Dato,$A678))*2,0)/2)))</f>
        <v/>
      </c>
      <c r="BB678">
        <f>IF(OR(BB$4="",$A678&gt;TODAY()),0,IF(OR(INDEX($B678:$D678,BB$5)="F",AND(BB$6&gt;0,$A678&lt;BB$6),AND(BB$7&gt;0,$A678&gt;BB$7)),0,MAX(0,ROUND((INDEX($E678:$G678,BB$5)-SUMIFS(TF_Timer,TF_Tekniker,BB$4,TF_Dato,$A678))*2,0)/2)))</f>
        <v/>
      </c>
      <c r="BC678">
        <f>IF(OR(BC$4="",$A678&gt;TODAY()),0,IF(OR(INDEX($B678:$D678,BC$5)="F",AND(BC$6&gt;0,$A678&lt;BC$6),AND(BC$7&gt;0,$A678&gt;BC$7)),0,MAX(0,ROUND((INDEX($E678:$G678,BC$5)-SUMIFS(TF_Timer,TF_Tekniker,BC$4,TF_Dato,$A678))*2,0)/2)))</f>
        <v/>
      </c>
      <c r="BD678">
        <f>IF(OR(BD$4="",$A678&gt;TODAY()),0,IF(OR(INDEX($B678:$D678,BD$5)="F",AND(BD$6&gt;0,$A678&lt;BD$6),AND(BD$7&gt;0,$A678&gt;BD$7)),0,MAX(0,ROUND((INDEX($E678:$G678,BD$5)-SUMIFS(TF_Timer,TF_Tekniker,BD$4,TF_Dato,$A678))*2,0)/2)))</f>
        <v/>
      </c>
      <c r="BE678">
        <f>IF(OR(BE$4="",$A678&gt;TODAY()),0,IF(OR(INDEX($B678:$D678,BE$5)="F",AND(BE$6&gt;0,$A678&lt;BE$6),AND(BE$7&gt;0,$A678&gt;BE$7)),0,MAX(0,ROUND((INDEX($E678:$G678,BE$5)-SUMIFS(TF_Timer,TF_Tekniker,BE$4,TF_Dato,$A678))*2,0)/2)))</f>
        <v/>
      </c>
      <c r="BF678">
        <f>IF(OR(BF$4="",$A678&gt;TODAY()),0,IF(OR(INDEX($B678:$D678,BF$5)="F",AND(BF$6&gt;0,$A678&lt;BF$6),AND(BF$7&gt;0,$A678&gt;BF$7)),0,MAX(0,ROUND((INDEX($E678:$G678,BF$5)-SUMIFS(TF_Timer,TF_Tekniker,BF$4,TF_Dato,$A678))*2,0)/2)))</f>
        <v/>
      </c>
      <c r="BG678">
        <f>IF(OR(BG$4="",$A678&gt;TODAY()),0,IF(OR(INDEX($B678:$D678,BG$5)="F",AND(BG$6&gt;0,$A678&lt;BG$6),AND(BG$7&gt;0,$A678&gt;BG$7)),0,MAX(0,ROUND((INDEX($E678:$G678,BG$5)-SUMIFS(TF_Timer,TF_Tekniker,BG$4,TF_Dato,$A678))*2,0)/2)))</f>
        <v/>
      </c>
      <c r="BH678">
        <f>IF(OR(BH$4="",$A678&gt;TODAY()),0,IF(OR(INDEX($B678:$D678,BH$5)="F",AND(BH$6&gt;0,$A678&lt;BH$6),AND(BH$7&gt;0,$A678&gt;BH$7)),0,MAX(0,ROUND((INDEX($E678:$G678,BH$5)-SUMIFS(TF_Timer,TF_Tekniker,BH$4,TF_Dato,$A678))*2,0)/2)))</f>
        <v/>
      </c>
      <c r="BI678">
        <f>IF(OR(BI$4="",$A678&gt;TODAY()),0,IF(OR(INDEX($B678:$D678,BI$5)="F",AND(BI$6&gt;0,$A678&lt;BI$6),AND(BI$7&gt;0,$A678&gt;BI$7)),0,MAX(0,ROUND((INDEX($E678:$G678,BI$5)-SUMIFS(TF_Timer,TF_Tekniker,BI$4,TF_Dato,$A678))*2,0)/2)))</f>
        <v/>
      </c>
    </row>
    <row r="679">
      <c r="A679" s="64">
        <f>A678+1</f>
        <v/>
      </c>
      <c r="B679">
        <f>IF(MOD($A679-INDEX(SkiftStart,1),Syklus)&lt;DagK,"K",IF(MOD($A679-INDEX(SkiftStart,1),Syklus)&lt;DagK+DagH,"H",IF(MOD($A679-INDEX(SkiftStart,1),Syklus)&lt;DagK+DagH+DagD,"D","F")))</f>
        <v/>
      </c>
      <c r="C679">
        <f>IF(MOD($A679-INDEX(SkiftStart,2),Syklus)&lt;DagK,"K",IF(MOD($A679-INDEX(SkiftStart,2),Syklus)&lt;DagK+DagH,"H",IF(MOD($A679-INDEX(SkiftStart,2),Syklus)&lt;DagK+DagH+DagD,"D","F")))</f>
        <v/>
      </c>
      <c r="D679">
        <f>IF(MOD($A679-INDEX(SkiftStart,3),Syklus)&lt;DagK,"K",IF(MOD($A679-INDEX(SkiftStart,3),Syklus)&lt;DagK+DagH,"H",IF(MOD($A679-INDEX(SkiftStart,3),Syklus)&lt;DagK+DagH+DagD,"D","F")))</f>
        <v/>
      </c>
      <c r="E679">
        <f>IF(B679="F",0,IF(WEEKDAY($A679,2)=5,INDEX(TimerFr,MATCH(B679,FaseKode,0)),INDEX(TimerMT,MATCH(B679,FaseKode,0))))</f>
        <v/>
      </c>
      <c r="F679">
        <f>IF(C679="F",0,IF(WEEKDAY($A679,2)=5,INDEX(TimerFr,MATCH(C679,FaseKode,0)),INDEX(TimerMT,MATCH(C679,FaseKode,0))))</f>
        <v/>
      </c>
      <c r="G679">
        <f>IF(D679="F",0,IF(WEEKDAY($A679,2)=5,INDEX(TimerFr,MATCH(D679,FaseKode,0)),INDEX(TimerMT,MATCH(D679,FaseKode,0))))</f>
        <v/>
      </c>
      <c r="H679">
        <f>IF(OR(H$4="",$A679&gt;TODAY()),0,IF(OR(INDEX($B679:$D679,H$5)="F",AND(H$6&gt;0,$A679&lt;H$6),AND(H$7&gt;0,$A679&gt;H$7)),0,MAX(0,ROUND((INDEX($E679:$G679,H$5)-SUMIFS(TF_Timer,TF_Tekniker,H$4,TF_Dato,$A679))*2,0)/2)))</f>
        <v/>
      </c>
      <c r="I679">
        <f>IF(OR(I$4="",$A679&gt;TODAY()),0,IF(OR(INDEX($B679:$D679,I$5)="F",AND(I$6&gt;0,$A679&lt;I$6),AND(I$7&gt;0,$A679&gt;I$7)),0,MAX(0,ROUND((INDEX($E679:$G679,I$5)-SUMIFS(TF_Timer,TF_Tekniker,I$4,TF_Dato,$A679))*2,0)/2)))</f>
        <v/>
      </c>
      <c r="J679">
        <f>IF(OR(J$4="",$A679&gt;TODAY()),0,IF(OR(INDEX($B679:$D679,J$5)="F",AND(J$6&gt;0,$A679&lt;J$6),AND(J$7&gt;0,$A679&gt;J$7)),0,MAX(0,ROUND((INDEX($E679:$G679,J$5)-SUMIFS(TF_Timer,TF_Tekniker,J$4,TF_Dato,$A679))*2,0)/2)))</f>
        <v/>
      </c>
      <c r="K679">
        <f>IF(OR(K$4="",$A679&gt;TODAY()),0,IF(OR(INDEX($B679:$D679,K$5)="F",AND(K$6&gt;0,$A679&lt;K$6),AND(K$7&gt;0,$A679&gt;K$7)),0,MAX(0,ROUND((INDEX($E679:$G679,K$5)-SUMIFS(TF_Timer,TF_Tekniker,K$4,TF_Dato,$A679))*2,0)/2)))</f>
        <v/>
      </c>
      <c r="L679">
        <f>IF(OR(L$4="",$A679&gt;TODAY()),0,IF(OR(INDEX($B679:$D679,L$5)="F",AND(L$6&gt;0,$A679&lt;L$6),AND(L$7&gt;0,$A679&gt;L$7)),0,MAX(0,ROUND((INDEX($E679:$G679,L$5)-SUMIFS(TF_Timer,TF_Tekniker,L$4,TF_Dato,$A679))*2,0)/2)))</f>
        <v/>
      </c>
      <c r="M679">
        <f>IF(OR(M$4="",$A679&gt;TODAY()),0,IF(OR(INDEX($B679:$D679,M$5)="F",AND(M$6&gt;0,$A679&lt;M$6),AND(M$7&gt;0,$A679&gt;M$7)),0,MAX(0,ROUND((INDEX($E679:$G679,M$5)-SUMIFS(TF_Timer,TF_Tekniker,M$4,TF_Dato,$A679))*2,0)/2)))</f>
        <v/>
      </c>
      <c r="N679">
        <f>IF(OR(N$4="",$A679&gt;TODAY()),0,IF(OR(INDEX($B679:$D679,N$5)="F",AND(N$6&gt;0,$A679&lt;N$6),AND(N$7&gt;0,$A679&gt;N$7)),0,MAX(0,ROUND((INDEX($E679:$G679,N$5)-SUMIFS(TF_Timer,TF_Tekniker,N$4,TF_Dato,$A679))*2,0)/2)))</f>
        <v/>
      </c>
      <c r="O679">
        <f>IF(OR(O$4="",$A679&gt;TODAY()),0,IF(OR(INDEX($B679:$D679,O$5)="F",AND(O$6&gt;0,$A679&lt;O$6),AND(O$7&gt;0,$A679&gt;O$7)),0,MAX(0,ROUND((INDEX($E679:$G679,O$5)-SUMIFS(TF_Timer,TF_Tekniker,O$4,TF_Dato,$A679))*2,0)/2)))</f>
        <v/>
      </c>
      <c r="P679">
        <f>IF(OR(P$4="",$A679&gt;TODAY()),0,IF(OR(INDEX($B679:$D679,P$5)="F",AND(P$6&gt;0,$A679&lt;P$6),AND(P$7&gt;0,$A679&gt;P$7)),0,MAX(0,ROUND((INDEX($E679:$G679,P$5)-SUMIFS(TF_Timer,TF_Tekniker,P$4,TF_Dato,$A679))*2,0)/2)))</f>
        <v/>
      </c>
      <c r="Q679">
        <f>IF(OR(Q$4="",$A679&gt;TODAY()),0,IF(OR(INDEX($B679:$D679,Q$5)="F",AND(Q$6&gt;0,$A679&lt;Q$6),AND(Q$7&gt;0,$A679&gt;Q$7)),0,MAX(0,ROUND((INDEX($E679:$G679,Q$5)-SUMIFS(TF_Timer,TF_Tekniker,Q$4,TF_Dato,$A679))*2,0)/2)))</f>
        <v/>
      </c>
      <c r="R679">
        <f>IF(OR(R$4="",$A679&gt;TODAY()),0,IF(OR(INDEX($B679:$D679,R$5)="F",AND(R$6&gt;0,$A679&lt;R$6),AND(R$7&gt;0,$A679&gt;R$7)),0,MAX(0,ROUND((INDEX($E679:$G679,R$5)-SUMIFS(TF_Timer,TF_Tekniker,R$4,TF_Dato,$A679))*2,0)/2)))</f>
        <v/>
      </c>
      <c r="S679">
        <f>IF(OR(S$4="",$A679&gt;TODAY()),0,IF(OR(INDEX($B679:$D679,S$5)="F",AND(S$6&gt;0,$A679&lt;S$6),AND(S$7&gt;0,$A679&gt;S$7)),0,MAX(0,ROUND((INDEX($E679:$G679,S$5)-SUMIFS(TF_Timer,TF_Tekniker,S$4,TF_Dato,$A679))*2,0)/2)))</f>
        <v/>
      </c>
      <c r="T679">
        <f>IF(OR(T$4="",$A679&gt;TODAY()),0,IF(OR(INDEX($B679:$D679,T$5)="F",AND(T$6&gt;0,$A679&lt;T$6),AND(T$7&gt;0,$A679&gt;T$7)),0,MAX(0,ROUND((INDEX($E679:$G679,T$5)-SUMIFS(TF_Timer,TF_Tekniker,T$4,TF_Dato,$A679))*2,0)/2)))</f>
        <v/>
      </c>
      <c r="U679">
        <f>IF(OR(U$4="",$A679&gt;TODAY()),0,IF(OR(INDEX($B679:$D679,U$5)="F",AND(U$6&gt;0,$A679&lt;U$6),AND(U$7&gt;0,$A679&gt;U$7)),0,MAX(0,ROUND((INDEX($E679:$G679,U$5)-SUMIFS(TF_Timer,TF_Tekniker,U$4,TF_Dato,$A679))*2,0)/2)))</f>
        <v/>
      </c>
      <c r="V679">
        <f>IF(OR(V$4="",$A679&gt;TODAY()),0,IF(OR(INDEX($B679:$D679,V$5)="F",AND(V$6&gt;0,$A679&lt;V$6),AND(V$7&gt;0,$A679&gt;V$7)),0,MAX(0,ROUND((INDEX($E679:$G679,V$5)-SUMIFS(TF_Timer,TF_Tekniker,V$4,TF_Dato,$A679))*2,0)/2)))</f>
        <v/>
      </c>
      <c r="W679">
        <f>IF(OR(W$4="",$A679&gt;TODAY()),0,IF(OR(INDEX($B679:$D679,W$5)="F",AND(W$6&gt;0,$A679&lt;W$6),AND(W$7&gt;0,$A679&gt;W$7)),0,MAX(0,ROUND((INDEX($E679:$G679,W$5)-SUMIFS(TF_Timer,TF_Tekniker,W$4,TF_Dato,$A679))*2,0)/2)))</f>
        <v/>
      </c>
      <c r="X679">
        <f>IF(OR(X$4="",$A679&gt;TODAY()),0,IF(OR(INDEX($B679:$D679,X$5)="F",AND(X$6&gt;0,$A679&lt;X$6),AND(X$7&gt;0,$A679&gt;X$7)),0,MAX(0,ROUND((INDEX($E679:$G679,X$5)-SUMIFS(TF_Timer,TF_Tekniker,X$4,TF_Dato,$A679))*2,0)/2)))</f>
        <v/>
      </c>
      <c r="Y679">
        <f>IF(OR(Y$4="",$A679&gt;TODAY()),0,IF(OR(INDEX($B679:$D679,Y$5)="F",AND(Y$6&gt;0,$A679&lt;Y$6),AND(Y$7&gt;0,$A679&gt;Y$7)),0,MAX(0,ROUND((INDEX($E679:$G679,Y$5)-SUMIFS(TF_Timer,TF_Tekniker,Y$4,TF_Dato,$A679))*2,0)/2)))</f>
        <v/>
      </c>
      <c r="Z679">
        <f>IF(OR(Z$4="",$A679&gt;TODAY()),0,IF(OR(INDEX($B679:$D679,Z$5)="F",AND(Z$6&gt;0,$A679&lt;Z$6),AND(Z$7&gt;0,$A679&gt;Z$7)),0,MAX(0,ROUND((INDEX($E679:$G679,Z$5)-SUMIFS(TF_Timer,TF_Tekniker,Z$4,TF_Dato,$A679))*2,0)/2)))</f>
        <v/>
      </c>
      <c r="AA679">
        <f>IF(OR(AA$4="",$A679&gt;TODAY()),0,IF(OR(INDEX($B679:$D679,AA$5)="F",AND(AA$6&gt;0,$A679&lt;AA$6),AND(AA$7&gt;0,$A679&gt;AA$7)),0,MAX(0,ROUND((INDEX($E679:$G679,AA$5)-SUMIFS(TF_Timer,TF_Tekniker,AA$4,TF_Dato,$A679))*2,0)/2)))</f>
        <v/>
      </c>
      <c r="AB679">
        <f>IF(OR(AB$4="",$A679&gt;TODAY()),0,IF(OR(INDEX($B679:$D679,AB$5)="F",AND(AB$6&gt;0,$A679&lt;AB$6),AND(AB$7&gt;0,$A679&gt;AB$7)),0,MAX(0,ROUND((INDEX($E679:$G679,AB$5)-SUMIFS(TF_Timer,TF_Tekniker,AB$4,TF_Dato,$A679))*2,0)/2)))</f>
        <v/>
      </c>
      <c r="AC679">
        <f>IF(OR(AC$4="",$A679&gt;TODAY()),0,IF(OR(INDEX($B679:$D679,AC$5)="F",AND(AC$6&gt;0,$A679&lt;AC$6),AND(AC$7&gt;0,$A679&gt;AC$7)),0,MAX(0,ROUND((INDEX($E679:$G679,AC$5)-SUMIFS(TF_Timer,TF_Tekniker,AC$4,TF_Dato,$A679))*2,0)/2)))</f>
        <v/>
      </c>
      <c r="AD679">
        <f>IF(OR(AD$4="",$A679&gt;TODAY()),0,IF(OR(INDEX($B679:$D679,AD$5)="F",AND(AD$6&gt;0,$A679&lt;AD$6),AND(AD$7&gt;0,$A679&gt;AD$7)),0,MAX(0,ROUND((INDEX($E679:$G679,AD$5)-SUMIFS(TF_Timer,TF_Tekniker,AD$4,TF_Dato,$A679))*2,0)/2)))</f>
        <v/>
      </c>
      <c r="AE679">
        <f>IF(OR(AE$4="",$A679&gt;TODAY()),0,IF(OR(INDEX($B679:$D679,AE$5)="F",AND(AE$6&gt;0,$A679&lt;AE$6),AND(AE$7&gt;0,$A679&gt;AE$7)),0,MAX(0,ROUND((INDEX($E679:$G679,AE$5)-SUMIFS(TF_Timer,TF_Tekniker,AE$4,TF_Dato,$A679))*2,0)/2)))</f>
        <v/>
      </c>
      <c r="AF679">
        <f>IF(OR(AF$4="",$A679&gt;TODAY()),0,IF(OR(INDEX($B679:$D679,AF$5)="F",AND(AF$6&gt;0,$A679&lt;AF$6),AND(AF$7&gt;0,$A679&gt;AF$7)),0,MAX(0,ROUND((INDEX($E679:$G679,AF$5)-SUMIFS(TF_Timer,TF_Tekniker,AF$4,TF_Dato,$A679))*2,0)/2)))</f>
        <v/>
      </c>
      <c r="AG679">
        <f>IF(OR(AG$4="",$A679&gt;TODAY()),0,IF(OR(INDEX($B679:$D679,AG$5)="F",AND(AG$6&gt;0,$A679&lt;AG$6),AND(AG$7&gt;0,$A679&gt;AG$7)),0,MAX(0,ROUND((INDEX($E679:$G679,AG$5)-SUMIFS(TF_Timer,TF_Tekniker,AG$4,TF_Dato,$A679))*2,0)/2)))</f>
        <v/>
      </c>
      <c r="AH679">
        <f>IF(OR(AH$4="",$A679&gt;TODAY()),0,IF(OR(INDEX($B679:$D679,AH$5)="F",AND(AH$6&gt;0,$A679&lt;AH$6),AND(AH$7&gt;0,$A679&gt;AH$7)),0,MAX(0,ROUND((INDEX($E679:$G679,AH$5)-SUMIFS(TF_Timer,TF_Tekniker,AH$4,TF_Dato,$A679))*2,0)/2)))</f>
        <v/>
      </c>
      <c r="AI679">
        <f>IF(OR(AI$4="",$A679&gt;TODAY()),0,IF(OR(INDEX($B679:$D679,AI$5)="F",AND(AI$6&gt;0,$A679&lt;AI$6),AND(AI$7&gt;0,$A679&gt;AI$7)),0,MAX(0,ROUND((INDEX($E679:$G679,AI$5)-SUMIFS(TF_Timer,TF_Tekniker,AI$4,TF_Dato,$A679))*2,0)/2)))</f>
        <v/>
      </c>
      <c r="AJ679">
        <f>IF(OR(AJ$4="",$A679&gt;TODAY()),0,IF(OR(INDEX($B679:$D679,AJ$5)="F",AND(AJ$6&gt;0,$A679&lt;AJ$6),AND(AJ$7&gt;0,$A679&gt;AJ$7)),0,MAX(0,ROUND((INDEX($E679:$G679,AJ$5)-SUMIFS(TF_Timer,TF_Tekniker,AJ$4,TF_Dato,$A679))*2,0)/2)))</f>
        <v/>
      </c>
      <c r="AK679">
        <f>IF(OR(AK$4="",$A679&gt;TODAY()),0,IF(OR(INDEX($B679:$D679,AK$5)="F",AND(AK$6&gt;0,$A679&lt;AK$6),AND(AK$7&gt;0,$A679&gt;AK$7)),0,MAX(0,ROUND((INDEX($E679:$G679,AK$5)-SUMIFS(TF_Timer,TF_Tekniker,AK$4,TF_Dato,$A679))*2,0)/2)))</f>
        <v/>
      </c>
      <c r="AL679">
        <f>IF(OR(AL$4="",$A679&gt;TODAY()),0,IF(OR(INDEX($B679:$D679,AL$5)="F",AND(AL$6&gt;0,$A679&lt;AL$6),AND(AL$7&gt;0,$A679&gt;AL$7)),0,MAX(0,ROUND((INDEX($E679:$G679,AL$5)-SUMIFS(TF_Timer,TF_Tekniker,AL$4,TF_Dato,$A679))*2,0)/2)))</f>
        <v/>
      </c>
      <c r="AM679">
        <f>IF(OR(AM$4="",$A679&gt;TODAY()),0,IF(OR(INDEX($B679:$D679,AM$5)="F",AND(AM$6&gt;0,$A679&lt;AM$6),AND(AM$7&gt;0,$A679&gt;AM$7)),0,MAX(0,ROUND((INDEX($E679:$G679,AM$5)-SUMIFS(TF_Timer,TF_Tekniker,AM$4,TF_Dato,$A679))*2,0)/2)))</f>
        <v/>
      </c>
      <c r="AN679">
        <f>IF(OR(AN$4="",$A679&gt;TODAY()),0,IF(OR(INDEX($B679:$D679,AN$5)="F",AND(AN$6&gt;0,$A679&lt;AN$6),AND(AN$7&gt;0,$A679&gt;AN$7)),0,MAX(0,ROUND((INDEX($E679:$G679,AN$5)-SUMIFS(TF_Timer,TF_Tekniker,AN$4,TF_Dato,$A679))*2,0)/2)))</f>
        <v/>
      </c>
      <c r="AO679">
        <f>IF(OR(AO$4="",$A679&gt;TODAY()),0,IF(OR(INDEX($B679:$D679,AO$5)="F",AND(AO$6&gt;0,$A679&lt;AO$6),AND(AO$7&gt;0,$A679&gt;AO$7)),0,MAX(0,ROUND((INDEX($E679:$G679,AO$5)-SUMIFS(TF_Timer,TF_Tekniker,AO$4,TF_Dato,$A679))*2,0)/2)))</f>
        <v/>
      </c>
      <c r="AP679">
        <f>IF(OR(AP$4="",$A679&gt;TODAY()),0,IF(OR(INDEX($B679:$D679,AP$5)="F",AND(AP$6&gt;0,$A679&lt;AP$6),AND(AP$7&gt;0,$A679&gt;AP$7)),0,MAX(0,ROUND((INDEX($E679:$G679,AP$5)-SUMIFS(TF_Timer,TF_Tekniker,AP$4,TF_Dato,$A679))*2,0)/2)))</f>
        <v/>
      </c>
      <c r="AQ679">
        <f>IF(OR(AQ$4="",$A679&gt;TODAY()),0,IF(OR(INDEX($B679:$D679,AQ$5)="F",AND(AQ$6&gt;0,$A679&lt;AQ$6),AND(AQ$7&gt;0,$A679&gt;AQ$7)),0,MAX(0,ROUND((INDEX($E679:$G679,AQ$5)-SUMIFS(TF_Timer,TF_Tekniker,AQ$4,TF_Dato,$A679))*2,0)/2)))</f>
        <v/>
      </c>
      <c r="AR679">
        <f>IF(OR(AR$4="",$A679&gt;TODAY()),0,IF(OR(INDEX($B679:$D679,AR$5)="F",AND(AR$6&gt;0,$A679&lt;AR$6),AND(AR$7&gt;0,$A679&gt;AR$7)),0,MAX(0,ROUND((INDEX($E679:$G679,AR$5)-SUMIFS(TF_Timer,TF_Tekniker,AR$4,TF_Dato,$A679))*2,0)/2)))</f>
        <v/>
      </c>
      <c r="AS679">
        <f>IF(OR(AS$4="",$A679&gt;TODAY()),0,IF(OR(INDEX($B679:$D679,AS$5)="F",AND(AS$6&gt;0,$A679&lt;AS$6),AND(AS$7&gt;0,$A679&gt;AS$7)),0,MAX(0,ROUND((INDEX($E679:$G679,AS$5)-SUMIFS(TF_Timer,TF_Tekniker,AS$4,TF_Dato,$A679))*2,0)/2)))</f>
        <v/>
      </c>
      <c r="AT679">
        <f>IF(OR(AT$4="",$A679&gt;TODAY()),0,IF(OR(INDEX($B679:$D679,AT$5)="F",AND(AT$6&gt;0,$A679&lt;AT$6),AND(AT$7&gt;0,$A679&gt;AT$7)),0,MAX(0,ROUND((INDEX($E679:$G679,AT$5)-SUMIFS(TF_Timer,TF_Tekniker,AT$4,TF_Dato,$A679))*2,0)/2)))</f>
        <v/>
      </c>
      <c r="AU679">
        <f>IF(OR(AU$4="",$A679&gt;TODAY()),0,IF(OR(INDEX($B679:$D679,AU$5)="F",AND(AU$6&gt;0,$A679&lt;AU$6),AND(AU$7&gt;0,$A679&gt;AU$7)),0,MAX(0,ROUND((INDEX($E679:$G679,AU$5)-SUMIFS(TF_Timer,TF_Tekniker,AU$4,TF_Dato,$A679))*2,0)/2)))</f>
        <v/>
      </c>
      <c r="AV679">
        <f>IF(OR(AV$4="",$A679&gt;TODAY()),0,IF(OR(INDEX($B679:$D679,AV$5)="F",AND(AV$6&gt;0,$A679&lt;AV$6),AND(AV$7&gt;0,$A679&gt;AV$7)),0,MAX(0,ROUND((INDEX($E679:$G679,AV$5)-SUMIFS(TF_Timer,TF_Tekniker,AV$4,TF_Dato,$A679))*2,0)/2)))</f>
        <v/>
      </c>
      <c r="AW679">
        <f>IF(OR(AW$4="",$A679&gt;TODAY()),0,IF(OR(INDEX($B679:$D679,AW$5)="F",AND(AW$6&gt;0,$A679&lt;AW$6),AND(AW$7&gt;0,$A679&gt;AW$7)),0,MAX(0,ROUND((INDEX($E679:$G679,AW$5)-SUMIFS(TF_Timer,TF_Tekniker,AW$4,TF_Dato,$A679))*2,0)/2)))</f>
        <v/>
      </c>
      <c r="AX679">
        <f>IF(OR(AX$4="",$A679&gt;TODAY()),0,IF(OR(INDEX($B679:$D679,AX$5)="F",AND(AX$6&gt;0,$A679&lt;AX$6),AND(AX$7&gt;0,$A679&gt;AX$7)),0,MAX(0,ROUND((INDEX($E679:$G679,AX$5)-SUMIFS(TF_Timer,TF_Tekniker,AX$4,TF_Dato,$A679))*2,0)/2)))</f>
        <v/>
      </c>
      <c r="AY679">
        <f>IF(OR(AY$4="",$A679&gt;TODAY()),0,IF(OR(INDEX($B679:$D679,AY$5)="F",AND(AY$6&gt;0,$A679&lt;AY$6),AND(AY$7&gt;0,$A679&gt;AY$7)),0,MAX(0,ROUND((INDEX($E679:$G679,AY$5)-SUMIFS(TF_Timer,TF_Tekniker,AY$4,TF_Dato,$A679))*2,0)/2)))</f>
        <v/>
      </c>
      <c r="AZ679">
        <f>IF(OR(AZ$4="",$A679&gt;TODAY()),0,IF(OR(INDEX($B679:$D679,AZ$5)="F",AND(AZ$6&gt;0,$A679&lt;AZ$6),AND(AZ$7&gt;0,$A679&gt;AZ$7)),0,MAX(0,ROUND((INDEX($E679:$G679,AZ$5)-SUMIFS(TF_Timer,TF_Tekniker,AZ$4,TF_Dato,$A679))*2,0)/2)))</f>
        <v/>
      </c>
      <c r="BA679">
        <f>IF(OR(BA$4="",$A679&gt;TODAY()),0,IF(OR(INDEX($B679:$D679,BA$5)="F",AND(BA$6&gt;0,$A679&lt;BA$6),AND(BA$7&gt;0,$A679&gt;BA$7)),0,MAX(0,ROUND((INDEX($E679:$G679,BA$5)-SUMIFS(TF_Timer,TF_Tekniker,BA$4,TF_Dato,$A679))*2,0)/2)))</f>
        <v/>
      </c>
      <c r="BB679">
        <f>IF(OR(BB$4="",$A679&gt;TODAY()),0,IF(OR(INDEX($B679:$D679,BB$5)="F",AND(BB$6&gt;0,$A679&lt;BB$6),AND(BB$7&gt;0,$A679&gt;BB$7)),0,MAX(0,ROUND((INDEX($E679:$G679,BB$5)-SUMIFS(TF_Timer,TF_Tekniker,BB$4,TF_Dato,$A679))*2,0)/2)))</f>
        <v/>
      </c>
      <c r="BC679">
        <f>IF(OR(BC$4="",$A679&gt;TODAY()),0,IF(OR(INDEX($B679:$D679,BC$5)="F",AND(BC$6&gt;0,$A679&lt;BC$6),AND(BC$7&gt;0,$A679&gt;BC$7)),0,MAX(0,ROUND((INDEX($E679:$G679,BC$5)-SUMIFS(TF_Timer,TF_Tekniker,BC$4,TF_Dato,$A679))*2,0)/2)))</f>
        <v/>
      </c>
      <c r="BD679">
        <f>IF(OR(BD$4="",$A679&gt;TODAY()),0,IF(OR(INDEX($B679:$D679,BD$5)="F",AND(BD$6&gt;0,$A679&lt;BD$6),AND(BD$7&gt;0,$A679&gt;BD$7)),0,MAX(0,ROUND((INDEX($E679:$G679,BD$5)-SUMIFS(TF_Timer,TF_Tekniker,BD$4,TF_Dato,$A679))*2,0)/2)))</f>
        <v/>
      </c>
      <c r="BE679">
        <f>IF(OR(BE$4="",$A679&gt;TODAY()),0,IF(OR(INDEX($B679:$D679,BE$5)="F",AND(BE$6&gt;0,$A679&lt;BE$6),AND(BE$7&gt;0,$A679&gt;BE$7)),0,MAX(0,ROUND((INDEX($E679:$G679,BE$5)-SUMIFS(TF_Timer,TF_Tekniker,BE$4,TF_Dato,$A679))*2,0)/2)))</f>
        <v/>
      </c>
      <c r="BF679">
        <f>IF(OR(BF$4="",$A679&gt;TODAY()),0,IF(OR(INDEX($B679:$D679,BF$5)="F",AND(BF$6&gt;0,$A679&lt;BF$6),AND(BF$7&gt;0,$A679&gt;BF$7)),0,MAX(0,ROUND((INDEX($E679:$G679,BF$5)-SUMIFS(TF_Timer,TF_Tekniker,BF$4,TF_Dato,$A679))*2,0)/2)))</f>
        <v/>
      </c>
      <c r="BG679">
        <f>IF(OR(BG$4="",$A679&gt;TODAY()),0,IF(OR(INDEX($B679:$D679,BG$5)="F",AND(BG$6&gt;0,$A679&lt;BG$6),AND(BG$7&gt;0,$A679&gt;BG$7)),0,MAX(0,ROUND((INDEX($E679:$G679,BG$5)-SUMIFS(TF_Timer,TF_Tekniker,BG$4,TF_Dato,$A679))*2,0)/2)))</f>
        <v/>
      </c>
      <c r="BH679">
        <f>IF(OR(BH$4="",$A679&gt;TODAY()),0,IF(OR(INDEX($B679:$D679,BH$5)="F",AND(BH$6&gt;0,$A679&lt;BH$6),AND(BH$7&gt;0,$A679&gt;BH$7)),0,MAX(0,ROUND((INDEX($E679:$G679,BH$5)-SUMIFS(TF_Timer,TF_Tekniker,BH$4,TF_Dato,$A679))*2,0)/2)))</f>
        <v/>
      </c>
      <c r="BI679">
        <f>IF(OR(BI$4="",$A679&gt;TODAY()),0,IF(OR(INDEX($B679:$D679,BI$5)="F",AND(BI$6&gt;0,$A679&lt;BI$6),AND(BI$7&gt;0,$A679&gt;BI$7)),0,MAX(0,ROUND((INDEX($E679:$G679,BI$5)-SUMIFS(TF_Timer,TF_Tekniker,BI$4,TF_Dato,$A679))*2,0)/2)))</f>
        <v/>
      </c>
    </row>
    <row r="680">
      <c r="A680" s="64">
        <f>A679+1</f>
        <v/>
      </c>
      <c r="B680">
        <f>IF(MOD($A680-INDEX(SkiftStart,1),Syklus)&lt;DagK,"K",IF(MOD($A680-INDEX(SkiftStart,1),Syklus)&lt;DagK+DagH,"H",IF(MOD($A680-INDEX(SkiftStart,1),Syklus)&lt;DagK+DagH+DagD,"D","F")))</f>
        <v/>
      </c>
      <c r="C680">
        <f>IF(MOD($A680-INDEX(SkiftStart,2),Syklus)&lt;DagK,"K",IF(MOD($A680-INDEX(SkiftStart,2),Syklus)&lt;DagK+DagH,"H",IF(MOD($A680-INDEX(SkiftStart,2),Syklus)&lt;DagK+DagH+DagD,"D","F")))</f>
        <v/>
      </c>
      <c r="D680">
        <f>IF(MOD($A680-INDEX(SkiftStart,3),Syklus)&lt;DagK,"K",IF(MOD($A680-INDEX(SkiftStart,3),Syklus)&lt;DagK+DagH,"H",IF(MOD($A680-INDEX(SkiftStart,3),Syklus)&lt;DagK+DagH+DagD,"D","F")))</f>
        <v/>
      </c>
      <c r="E680">
        <f>IF(B680="F",0,IF(WEEKDAY($A680,2)=5,INDEX(TimerFr,MATCH(B680,FaseKode,0)),INDEX(TimerMT,MATCH(B680,FaseKode,0))))</f>
        <v/>
      </c>
      <c r="F680">
        <f>IF(C680="F",0,IF(WEEKDAY($A680,2)=5,INDEX(TimerFr,MATCH(C680,FaseKode,0)),INDEX(TimerMT,MATCH(C680,FaseKode,0))))</f>
        <v/>
      </c>
      <c r="G680">
        <f>IF(D680="F",0,IF(WEEKDAY($A680,2)=5,INDEX(TimerFr,MATCH(D680,FaseKode,0)),INDEX(TimerMT,MATCH(D680,FaseKode,0))))</f>
        <v/>
      </c>
      <c r="H680">
        <f>IF(OR(H$4="",$A680&gt;TODAY()),0,IF(OR(INDEX($B680:$D680,H$5)="F",AND(H$6&gt;0,$A680&lt;H$6),AND(H$7&gt;0,$A680&gt;H$7)),0,MAX(0,ROUND((INDEX($E680:$G680,H$5)-SUMIFS(TF_Timer,TF_Tekniker,H$4,TF_Dato,$A680))*2,0)/2)))</f>
        <v/>
      </c>
      <c r="I680">
        <f>IF(OR(I$4="",$A680&gt;TODAY()),0,IF(OR(INDEX($B680:$D680,I$5)="F",AND(I$6&gt;0,$A680&lt;I$6),AND(I$7&gt;0,$A680&gt;I$7)),0,MAX(0,ROUND((INDEX($E680:$G680,I$5)-SUMIFS(TF_Timer,TF_Tekniker,I$4,TF_Dato,$A680))*2,0)/2)))</f>
        <v/>
      </c>
      <c r="J680">
        <f>IF(OR(J$4="",$A680&gt;TODAY()),0,IF(OR(INDEX($B680:$D680,J$5)="F",AND(J$6&gt;0,$A680&lt;J$6),AND(J$7&gt;0,$A680&gt;J$7)),0,MAX(0,ROUND((INDEX($E680:$G680,J$5)-SUMIFS(TF_Timer,TF_Tekniker,J$4,TF_Dato,$A680))*2,0)/2)))</f>
        <v/>
      </c>
      <c r="K680">
        <f>IF(OR(K$4="",$A680&gt;TODAY()),0,IF(OR(INDEX($B680:$D680,K$5)="F",AND(K$6&gt;0,$A680&lt;K$6),AND(K$7&gt;0,$A680&gt;K$7)),0,MAX(0,ROUND((INDEX($E680:$G680,K$5)-SUMIFS(TF_Timer,TF_Tekniker,K$4,TF_Dato,$A680))*2,0)/2)))</f>
        <v/>
      </c>
      <c r="L680">
        <f>IF(OR(L$4="",$A680&gt;TODAY()),0,IF(OR(INDEX($B680:$D680,L$5)="F",AND(L$6&gt;0,$A680&lt;L$6),AND(L$7&gt;0,$A680&gt;L$7)),0,MAX(0,ROUND((INDEX($E680:$G680,L$5)-SUMIFS(TF_Timer,TF_Tekniker,L$4,TF_Dato,$A680))*2,0)/2)))</f>
        <v/>
      </c>
      <c r="M680">
        <f>IF(OR(M$4="",$A680&gt;TODAY()),0,IF(OR(INDEX($B680:$D680,M$5)="F",AND(M$6&gt;0,$A680&lt;M$6),AND(M$7&gt;0,$A680&gt;M$7)),0,MAX(0,ROUND((INDEX($E680:$G680,M$5)-SUMIFS(TF_Timer,TF_Tekniker,M$4,TF_Dato,$A680))*2,0)/2)))</f>
        <v/>
      </c>
      <c r="N680">
        <f>IF(OR(N$4="",$A680&gt;TODAY()),0,IF(OR(INDEX($B680:$D680,N$5)="F",AND(N$6&gt;0,$A680&lt;N$6),AND(N$7&gt;0,$A680&gt;N$7)),0,MAX(0,ROUND((INDEX($E680:$G680,N$5)-SUMIFS(TF_Timer,TF_Tekniker,N$4,TF_Dato,$A680))*2,0)/2)))</f>
        <v/>
      </c>
      <c r="O680">
        <f>IF(OR(O$4="",$A680&gt;TODAY()),0,IF(OR(INDEX($B680:$D680,O$5)="F",AND(O$6&gt;0,$A680&lt;O$6),AND(O$7&gt;0,$A680&gt;O$7)),0,MAX(0,ROUND((INDEX($E680:$G680,O$5)-SUMIFS(TF_Timer,TF_Tekniker,O$4,TF_Dato,$A680))*2,0)/2)))</f>
        <v/>
      </c>
      <c r="P680">
        <f>IF(OR(P$4="",$A680&gt;TODAY()),0,IF(OR(INDEX($B680:$D680,P$5)="F",AND(P$6&gt;0,$A680&lt;P$6),AND(P$7&gt;0,$A680&gt;P$7)),0,MAX(0,ROUND((INDEX($E680:$G680,P$5)-SUMIFS(TF_Timer,TF_Tekniker,P$4,TF_Dato,$A680))*2,0)/2)))</f>
        <v/>
      </c>
      <c r="Q680">
        <f>IF(OR(Q$4="",$A680&gt;TODAY()),0,IF(OR(INDEX($B680:$D680,Q$5)="F",AND(Q$6&gt;0,$A680&lt;Q$6),AND(Q$7&gt;0,$A680&gt;Q$7)),0,MAX(0,ROUND((INDEX($E680:$G680,Q$5)-SUMIFS(TF_Timer,TF_Tekniker,Q$4,TF_Dato,$A680))*2,0)/2)))</f>
        <v/>
      </c>
      <c r="R680">
        <f>IF(OR(R$4="",$A680&gt;TODAY()),0,IF(OR(INDEX($B680:$D680,R$5)="F",AND(R$6&gt;0,$A680&lt;R$6),AND(R$7&gt;0,$A680&gt;R$7)),0,MAX(0,ROUND((INDEX($E680:$G680,R$5)-SUMIFS(TF_Timer,TF_Tekniker,R$4,TF_Dato,$A680))*2,0)/2)))</f>
        <v/>
      </c>
      <c r="S680">
        <f>IF(OR(S$4="",$A680&gt;TODAY()),0,IF(OR(INDEX($B680:$D680,S$5)="F",AND(S$6&gt;0,$A680&lt;S$6),AND(S$7&gt;0,$A680&gt;S$7)),0,MAX(0,ROUND((INDEX($E680:$G680,S$5)-SUMIFS(TF_Timer,TF_Tekniker,S$4,TF_Dato,$A680))*2,0)/2)))</f>
        <v/>
      </c>
      <c r="T680">
        <f>IF(OR(T$4="",$A680&gt;TODAY()),0,IF(OR(INDEX($B680:$D680,T$5)="F",AND(T$6&gt;0,$A680&lt;T$6),AND(T$7&gt;0,$A680&gt;T$7)),0,MAX(0,ROUND((INDEX($E680:$G680,T$5)-SUMIFS(TF_Timer,TF_Tekniker,T$4,TF_Dato,$A680))*2,0)/2)))</f>
        <v/>
      </c>
      <c r="U680">
        <f>IF(OR(U$4="",$A680&gt;TODAY()),0,IF(OR(INDEX($B680:$D680,U$5)="F",AND(U$6&gt;0,$A680&lt;U$6),AND(U$7&gt;0,$A680&gt;U$7)),0,MAX(0,ROUND((INDEX($E680:$G680,U$5)-SUMIFS(TF_Timer,TF_Tekniker,U$4,TF_Dato,$A680))*2,0)/2)))</f>
        <v/>
      </c>
      <c r="V680">
        <f>IF(OR(V$4="",$A680&gt;TODAY()),0,IF(OR(INDEX($B680:$D680,V$5)="F",AND(V$6&gt;0,$A680&lt;V$6),AND(V$7&gt;0,$A680&gt;V$7)),0,MAX(0,ROUND((INDEX($E680:$G680,V$5)-SUMIFS(TF_Timer,TF_Tekniker,V$4,TF_Dato,$A680))*2,0)/2)))</f>
        <v/>
      </c>
      <c r="W680">
        <f>IF(OR(W$4="",$A680&gt;TODAY()),0,IF(OR(INDEX($B680:$D680,W$5)="F",AND(W$6&gt;0,$A680&lt;W$6),AND(W$7&gt;0,$A680&gt;W$7)),0,MAX(0,ROUND((INDEX($E680:$G680,W$5)-SUMIFS(TF_Timer,TF_Tekniker,W$4,TF_Dato,$A680))*2,0)/2)))</f>
        <v/>
      </c>
      <c r="X680">
        <f>IF(OR(X$4="",$A680&gt;TODAY()),0,IF(OR(INDEX($B680:$D680,X$5)="F",AND(X$6&gt;0,$A680&lt;X$6),AND(X$7&gt;0,$A680&gt;X$7)),0,MAX(0,ROUND((INDEX($E680:$G680,X$5)-SUMIFS(TF_Timer,TF_Tekniker,X$4,TF_Dato,$A680))*2,0)/2)))</f>
        <v/>
      </c>
      <c r="Y680">
        <f>IF(OR(Y$4="",$A680&gt;TODAY()),0,IF(OR(INDEX($B680:$D680,Y$5)="F",AND(Y$6&gt;0,$A680&lt;Y$6),AND(Y$7&gt;0,$A680&gt;Y$7)),0,MAX(0,ROUND((INDEX($E680:$G680,Y$5)-SUMIFS(TF_Timer,TF_Tekniker,Y$4,TF_Dato,$A680))*2,0)/2)))</f>
        <v/>
      </c>
      <c r="Z680">
        <f>IF(OR(Z$4="",$A680&gt;TODAY()),0,IF(OR(INDEX($B680:$D680,Z$5)="F",AND(Z$6&gt;0,$A680&lt;Z$6),AND(Z$7&gt;0,$A680&gt;Z$7)),0,MAX(0,ROUND((INDEX($E680:$G680,Z$5)-SUMIFS(TF_Timer,TF_Tekniker,Z$4,TF_Dato,$A680))*2,0)/2)))</f>
        <v/>
      </c>
      <c r="AA680">
        <f>IF(OR(AA$4="",$A680&gt;TODAY()),0,IF(OR(INDEX($B680:$D680,AA$5)="F",AND(AA$6&gt;0,$A680&lt;AA$6),AND(AA$7&gt;0,$A680&gt;AA$7)),0,MAX(0,ROUND((INDEX($E680:$G680,AA$5)-SUMIFS(TF_Timer,TF_Tekniker,AA$4,TF_Dato,$A680))*2,0)/2)))</f>
        <v/>
      </c>
      <c r="AB680">
        <f>IF(OR(AB$4="",$A680&gt;TODAY()),0,IF(OR(INDEX($B680:$D680,AB$5)="F",AND(AB$6&gt;0,$A680&lt;AB$6),AND(AB$7&gt;0,$A680&gt;AB$7)),0,MAX(0,ROUND((INDEX($E680:$G680,AB$5)-SUMIFS(TF_Timer,TF_Tekniker,AB$4,TF_Dato,$A680))*2,0)/2)))</f>
        <v/>
      </c>
      <c r="AC680">
        <f>IF(OR(AC$4="",$A680&gt;TODAY()),0,IF(OR(INDEX($B680:$D680,AC$5)="F",AND(AC$6&gt;0,$A680&lt;AC$6),AND(AC$7&gt;0,$A680&gt;AC$7)),0,MAX(0,ROUND((INDEX($E680:$G680,AC$5)-SUMIFS(TF_Timer,TF_Tekniker,AC$4,TF_Dato,$A680))*2,0)/2)))</f>
        <v/>
      </c>
      <c r="AD680">
        <f>IF(OR(AD$4="",$A680&gt;TODAY()),0,IF(OR(INDEX($B680:$D680,AD$5)="F",AND(AD$6&gt;0,$A680&lt;AD$6),AND(AD$7&gt;0,$A680&gt;AD$7)),0,MAX(0,ROUND((INDEX($E680:$G680,AD$5)-SUMIFS(TF_Timer,TF_Tekniker,AD$4,TF_Dato,$A680))*2,0)/2)))</f>
        <v/>
      </c>
      <c r="AE680">
        <f>IF(OR(AE$4="",$A680&gt;TODAY()),0,IF(OR(INDEX($B680:$D680,AE$5)="F",AND(AE$6&gt;0,$A680&lt;AE$6),AND(AE$7&gt;0,$A680&gt;AE$7)),0,MAX(0,ROUND((INDEX($E680:$G680,AE$5)-SUMIFS(TF_Timer,TF_Tekniker,AE$4,TF_Dato,$A680))*2,0)/2)))</f>
        <v/>
      </c>
      <c r="AF680">
        <f>IF(OR(AF$4="",$A680&gt;TODAY()),0,IF(OR(INDEX($B680:$D680,AF$5)="F",AND(AF$6&gt;0,$A680&lt;AF$6),AND(AF$7&gt;0,$A680&gt;AF$7)),0,MAX(0,ROUND((INDEX($E680:$G680,AF$5)-SUMIFS(TF_Timer,TF_Tekniker,AF$4,TF_Dato,$A680))*2,0)/2)))</f>
        <v/>
      </c>
      <c r="AG680">
        <f>IF(OR(AG$4="",$A680&gt;TODAY()),0,IF(OR(INDEX($B680:$D680,AG$5)="F",AND(AG$6&gt;0,$A680&lt;AG$6),AND(AG$7&gt;0,$A680&gt;AG$7)),0,MAX(0,ROUND((INDEX($E680:$G680,AG$5)-SUMIFS(TF_Timer,TF_Tekniker,AG$4,TF_Dato,$A680))*2,0)/2)))</f>
        <v/>
      </c>
      <c r="AH680">
        <f>IF(OR(AH$4="",$A680&gt;TODAY()),0,IF(OR(INDEX($B680:$D680,AH$5)="F",AND(AH$6&gt;0,$A680&lt;AH$6),AND(AH$7&gt;0,$A680&gt;AH$7)),0,MAX(0,ROUND((INDEX($E680:$G680,AH$5)-SUMIFS(TF_Timer,TF_Tekniker,AH$4,TF_Dato,$A680))*2,0)/2)))</f>
        <v/>
      </c>
      <c r="AI680">
        <f>IF(OR(AI$4="",$A680&gt;TODAY()),0,IF(OR(INDEX($B680:$D680,AI$5)="F",AND(AI$6&gt;0,$A680&lt;AI$6),AND(AI$7&gt;0,$A680&gt;AI$7)),0,MAX(0,ROUND((INDEX($E680:$G680,AI$5)-SUMIFS(TF_Timer,TF_Tekniker,AI$4,TF_Dato,$A680))*2,0)/2)))</f>
        <v/>
      </c>
      <c r="AJ680">
        <f>IF(OR(AJ$4="",$A680&gt;TODAY()),0,IF(OR(INDEX($B680:$D680,AJ$5)="F",AND(AJ$6&gt;0,$A680&lt;AJ$6),AND(AJ$7&gt;0,$A680&gt;AJ$7)),0,MAX(0,ROUND((INDEX($E680:$G680,AJ$5)-SUMIFS(TF_Timer,TF_Tekniker,AJ$4,TF_Dato,$A680))*2,0)/2)))</f>
        <v/>
      </c>
      <c r="AK680">
        <f>IF(OR(AK$4="",$A680&gt;TODAY()),0,IF(OR(INDEX($B680:$D680,AK$5)="F",AND(AK$6&gt;0,$A680&lt;AK$6),AND(AK$7&gt;0,$A680&gt;AK$7)),0,MAX(0,ROUND((INDEX($E680:$G680,AK$5)-SUMIFS(TF_Timer,TF_Tekniker,AK$4,TF_Dato,$A680))*2,0)/2)))</f>
        <v/>
      </c>
      <c r="AL680">
        <f>IF(OR(AL$4="",$A680&gt;TODAY()),0,IF(OR(INDEX($B680:$D680,AL$5)="F",AND(AL$6&gt;0,$A680&lt;AL$6),AND(AL$7&gt;0,$A680&gt;AL$7)),0,MAX(0,ROUND((INDEX($E680:$G680,AL$5)-SUMIFS(TF_Timer,TF_Tekniker,AL$4,TF_Dato,$A680))*2,0)/2)))</f>
        <v/>
      </c>
      <c r="AM680">
        <f>IF(OR(AM$4="",$A680&gt;TODAY()),0,IF(OR(INDEX($B680:$D680,AM$5)="F",AND(AM$6&gt;0,$A680&lt;AM$6),AND(AM$7&gt;0,$A680&gt;AM$7)),0,MAX(0,ROUND((INDEX($E680:$G680,AM$5)-SUMIFS(TF_Timer,TF_Tekniker,AM$4,TF_Dato,$A680))*2,0)/2)))</f>
        <v/>
      </c>
      <c r="AN680">
        <f>IF(OR(AN$4="",$A680&gt;TODAY()),0,IF(OR(INDEX($B680:$D680,AN$5)="F",AND(AN$6&gt;0,$A680&lt;AN$6),AND(AN$7&gt;0,$A680&gt;AN$7)),0,MAX(0,ROUND((INDEX($E680:$G680,AN$5)-SUMIFS(TF_Timer,TF_Tekniker,AN$4,TF_Dato,$A680))*2,0)/2)))</f>
        <v/>
      </c>
      <c r="AO680">
        <f>IF(OR(AO$4="",$A680&gt;TODAY()),0,IF(OR(INDEX($B680:$D680,AO$5)="F",AND(AO$6&gt;0,$A680&lt;AO$6),AND(AO$7&gt;0,$A680&gt;AO$7)),0,MAX(0,ROUND((INDEX($E680:$G680,AO$5)-SUMIFS(TF_Timer,TF_Tekniker,AO$4,TF_Dato,$A680))*2,0)/2)))</f>
        <v/>
      </c>
      <c r="AP680">
        <f>IF(OR(AP$4="",$A680&gt;TODAY()),0,IF(OR(INDEX($B680:$D680,AP$5)="F",AND(AP$6&gt;0,$A680&lt;AP$6),AND(AP$7&gt;0,$A680&gt;AP$7)),0,MAX(0,ROUND((INDEX($E680:$G680,AP$5)-SUMIFS(TF_Timer,TF_Tekniker,AP$4,TF_Dato,$A680))*2,0)/2)))</f>
        <v/>
      </c>
      <c r="AQ680">
        <f>IF(OR(AQ$4="",$A680&gt;TODAY()),0,IF(OR(INDEX($B680:$D680,AQ$5)="F",AND(AQ$6&gt;0,$A680&lt;AQ$6),AND(AQ$7&gt;0,$A680&gt;AQ$7)),0,MAX(0,ROUND((INDEX($E680:$G680,AQ$5)-SUMIFS(TF_Timer,TF_Tekniker,AQ$4,TF_Dato,$A680))*2,0)/2)))</f>
        <v/>
      </c>
      <c r="AR680">
        <f>IF(OR(AR$4="",$A680&gt;TODAY()),0,IF(OR(INDEX($B680:$D680,AR$5)="F",AND(AR$6&gt;0,$A680&lt;AR$6),AND(AR$7&gt;0,$A680&gt;AR$7)),0,MAX(0,ROUND((INDEX($E680:$G680,AR$5)-SUMIFS(TF_Timer,TF_Tekniker,AR$4,TF_Dato,$A680))*2,0)/2)))</f>
        <v/>
      </c>
      <c r="AS680">
        <f>IF(OR(AS$4="",$A680&gt;TODAY()),0,IF(OR(INDEX($B680:$D680,AS$5)="F",AND(AS$6&gt;0,$A680&lt;AS$6),AND(AS$7&gt;0,$A680&gt;AS$7)),0,MAX(0,ROUND((INDEX($E680:$G680,AS$5)-SUMIFS(TF_Timer,TF_Tekniker,AS$4,TF_Dato,$A680))*2,0)/2)))</f>
        <v/>
      </c>
      <c r="AT680">
        <f>IF(OR(AT$4="",$A680&gt;TODAY()),0,IF(OR(INDEX($B680:$D680,AT$5)="F",AND(AT$6&gt;0,$A680&lt;AT$6),AND(AT$7&gt;0,$A680&gt;AT$7)),0,MAX(0,ROUND((INDEX($E680:$G680,AT$5)-SUMIFS(TF_Timer,TF_Tekniker,AT$4,TF_Dato,$A680))*2,0)/2)))</f>
        <v/>
      </c>
      <c r="AU680">
        <f>IF(OR(AU$4="",$A680&gt;TODAY()),0,IF(OR(INDEX($B680:$D680,AU$5)="F",AND(AU$6&gt;0,$A680&lt;AU$6),AND(AU$7&gt;0,$A680&gt;AU$7)),0,MAX(0,ROUND((INDEX($E680:$G680,AU$5)-SUMIFS(TF_Timer,TF_Tekniker,AU$4,TF_Dato,$A680))*2,0)/2)))</f>
        <v/>
      </c>
      <c r="AV680">
        <f>IF(OR(AV$4="",$A680&gt;TODAY()),0,IF(OR(INDEX($B680:$D680,AV$5)="F",AND(AV$6&gt;0,$A680&lt;AV$6),AND(AV$7&gt;0,$A680&gt;AV$7)),0,MAX(0,ROUND((INDEX($E680:$G680,AV$5)-SUMIFS(TF_Timer,TF_Tekniker,AV$4,TF_Dato,$A680))*2,0)/2)))</f>
        <v/>
      </c>
      <c r="AW680">
        <f>IF(OR(AW$4="",$A680&gt;TODAY()),0,IF(OR(INDEX($B680:$D680,AW$5)="F",AND(AW$6&gt;0,$A680&lt;AW$6),AND(AW$7&gt;0,$A680&gt;AW$7)),0,MAX(0,ROUND((INDEX($E680:$G680,AW$5)-SUMIFS(TF_Timer,TF_Tekniker,AW$4,TF_Dato,$A680))*2,0)/2)))</f>
        <v/>
      </c>
      <c r="AX680">
        <f>IF(OR(AX$4="",$A680&gt;TODAY()),0,IF(OR(INDEX($B680:$D680,AX$5)="F",AND(AX$6&gt;0,$A680&lt;AX$6),AND(AX$7&gt;0,$A680&gt;AX$7)),0,MAX(0,ROUND((INDEX($E680:$G680,AX$5)-SUMIFS(TF_Timer,TF_Tekniker,AX$4,TF_Dato,$A680))*2,0)/2)))</f>
        <v/>
      </c>
      <c r="AY680">
        <f>IF(OR(AY$4="",$A680&gt;TODAY()),0,IF(OR(INDEX($B680:$D680,AY$5)="F",AND(AY$6&gt;0,$A680&lt;AY$6),AND(AY$7&gt;0,$A680&gt;AY$7)),0,MAX(0,ROUND((INDEX($E680:$G680,AY$5)-SUMIFS(TF_Timer,TF_Tekniker,AY$4,TF_Dato,$A680))*2,0)/2)))</f>
        <v/>
      </c>
      <c r="AZ680">
        <f>IF(OR(AZ$4="",$A680&gt;TODAY()),0,IF(OR(INDEX($B680:$D680,AZ$5)="F",AND(AZ$6&gt;0,$A680&lt;AZ$6),AND(AZ$7&gt;0,$A680&gt;AZ$7)),0,MAX(0,ROUND((INDEX($E680:$G680,AZ$5)-SUMIFS(TF_Timer,TF_Tekniker,AZ$4,TF_Dato,$A680))*2,0)/2)))</f>
        <v/>
      </c>
      <c r="BA680">
        <f>IF(OR(BA$4="",$A680&gt;TODAY()),0,IF(OR(INDEX($B680:$D680,BA$5)="F",AND(BA$6&gt;0,$A680&lt;BA$6),AND(BA$7&gt;0,$A680&gt;BA$7)),0,MAX(0,ROUND((INDEX($E680:$G680,BA$5)-SUMIFS(TF_Timer,TF_Tekniker,BA$4,TF_Dato,$A680))*2,0)/2)))</f>
        <v/>
      </c>
      <c r="BB680">
        <f>IF(OR(BB$4="",$A680&gt;TODAY()),0,IF(OR(INDEX($B680:$D680,BB$5)="F",AND(BB$6&gt;0,$A680&lt;BB$6),AND(BB$7&gt;0,$A680&gt;BB$7)),0,MAX(0,ROUND((INDEX($E680:$G680,BB$5)-SUMIFS(TF_Timer,TF_Tekniker,BB$4,TF_Dato,$A680))*2,0)/2)))</f>
        <v/>
      </c>
      <c r="BC680">
        <f>IF(OR(BC$4="",$A680&gt;TODAY()),0,IF(OR(INDEX($B680:$D680,BC$5)="F",AND(BC$6&gt;0,$A680&lt;BC$6),AND(BC$7&gt;0,$A680&gt;BC$7)),0,MAX(0,ROUND((INDEX($E680:$G680,BC$5)-SUMIFS(TF_Timer,TF_Tekniker,BC$4,TF_Dato,$A680))*2,0)/2)))</f>
        <v/>
      </c>
      <c r="BD680">
        <f>IF(OR(BD$4="",$A680&gt;TODAY()),0,IF(OR(INDEX($B680:$D680,BD$5)="F",AND(BD$6&gt;0,$A680&lt;BD$6),AND(BD$7&gt;0,$A680&gt;BD$7)),0,MAX(0,ROUND((INDEX($E680:$G680,BD$5)-SUMIFS(TF_Timer,TF_Tekniker,BD$4,TF_Dato,$A680))*2,0)/2)))</f>
        <v/>
      </c>
      <c r="BE680">
        <f>IF(OR(BE$4="",$A680&gt;TODAY()),0,IF(OR(INDEX($B680:$D680,BE$5)="F",AND(BE$6&gt;0,$A680&lt;BE$6),AND(BE$7&gt;0,$A680&gt;BE$7)),0,MAX(0,ROUND((INDEX($E680:$G680,BE$5)-SUMIFS(TF_Timer,TF_Tekniker,BE$4,TF_Dato,$A680))*2,0)/2)))</f>
        <v/>
      </c>
      <c r="BF680">
        <f>IF(OR(BF$4="",$A680&gt;TODAY()),0,IF(OR(INDEX($B680:$D680,BF$5)="F",AND(BF$6&gt;0,$A680&lt;BF$6),AND(BF$7&gt;0,$A680&gt;BF$7)),0,MAX(0,ROUND((INDEX($E680:$G680,BF$5)-SUMIFS(TF_Timer,TF_Tekniker,BF$4,TF_Dato,$A680))*2,0)/2)))</f>
        <v/>
      </c>
      <c r="BG680">
        <f>IF(OR(BG$4="",$A680&gt;TODAY()),0,IF(OR(INDEX($B680:$D680,BG$5)="F",AND(BG$6&gt;0,$A680&lt;BG$6),AND(BG$7&gt;0,$A680&gt;BG$7)),0,MAX(0,ROUND((INDEX($E680:$G680,BG$5)-SUMIFS(TF_Timer,TF_Tekniker,BG$4,TF_Dato,$A680))*2,0)/2)))</f>
        <v/>
      </c>
      <c r="BH680">
        <f>IF(OR(BH$4="",$A680&gt;TODAY()),0,IF(OR(INDEX($B680:$D680,BH$5)="F",AND(BH$6&gt;0,$A680&lt;BH$6),AND(BH$7&gt;0,$A680&gt;BH$7)),0,MAX(0,ROUND((INDEX($E680:$G680,BH$5)-SUMIFS(TF_Timer,TF_Tekniker,BH$4,TF_Dato,$A680))*2,0)/2)))</f>
        <v/>
      </c>
      <c r="BI680">
        <f>IF(OR(BI$4="",$A680&gt;TODAY()),0,IF(OR(INDEX($B680:$D680,BI$5)="F",AND(BI$6&gt;0,$A680&lt;BI$6),AND(BI$7&gt;0,$A680&gt;BI$7)),0,MAX(0,ROUND((INDEX($E680:$G680,BI$5)-SUMIFS(TF_Timer,TF_Tekniker,BI$4,TF_Dato,$A680))*2,0)/2)))</f>
        <v/>
      </c>
    </row>
    <row r="681">
      <c r="A681" s="64">
        <f>A680+1</f>
        <v/>
      </c>
      <c r="B681">
        <f>IF(MOD($A681-INDEX(SkiftStart,1),Syklus)&lt;DagK,"K",IF(MOD($A681-INDEX(SkiftStart,1),Syklus)&lt;DagK+DagH,"H",IF(MOD($A681-INDEX(SkiftStart,1),Syklus)&lt;DagK+DagH+DagD,"D","F")))</f>
        <v/>
      </c>
      <c r="C681">
        <f>IF(MOD($A681-INDEX(SkiftStart,2),Syklus)&lt;DagK,"K",IF(MOD($A681-INDEX(SkiftStart,2),Syklus)&lt;DagK+DagH,"H",IF(MOD($A681-INDEX(SkiftStart,2),Syklus)&lt;DagK+DagH+DagD,"D","F")))</f>
        <v/>
      </c>
      <c r="D681">
        <f>IF(MOD($A681-INDEX(SkiftStart,3),Syklus)&lt;DagK,"K",IF(MOD($A681-INDEX(SkiftStart,3),Syklus)&lt;DagK+DagH,"H",IF(MOD($A681-INDEX(SkiftStart,3),Syklus)&lt;DagK+DagH+DagD,"D","F")))</f>
        <v/>
      </c>
      <c r="E681">
        <f>IF(B681="F",0,IF(WEEKDAY($A681,2)=5,INDEX(TimerFr,MATCH(B681,FaseKode,0)),INDEX(TimerMT,MATCH(B681,FaseKode,0))))</f>
        <v/>
      </c>
      <c r="F681">
        <f>IF(C681="F",0,IF(WEEKDAY($A681,2)=5,INDEX(TimerFr,MATCH(C681,FaseKode,0)),INDEX(TimerMT,MATCH(C681,FaseKode,0))))</f>
        <v/>
      </c>
      <c r="G681">
        <f>IF(D681="F",0,IF(WEEKDAY($A681,2)=5,INDEX(TimerFr,MATCH(D681,FaseKode,0)),INDEX(TimerMT,MATCH(D681,FaseKode,0))))</f>
        <v/>
      </c>
      <c r="H681">
        <f>IF(OR(H$4="",$A681&gt;TODAY()),0,IF(OR(INDEX($B681:$D681,H$5)="F",AND(H$6&gt;0,$A681&lt;H$6),AND(H$7&gt;0,$A681&gt;H$7)),0,MAX(0,ROUND((INDEX($E681:$G681,H$5)-SUMIFS(TF_Timer,TF_Tekniker,H$4,TF_Dato,$A681))*2,0)/2)))</f>
        <v/>
      </c>
      <c r="I681">
        <f>IF(OR(I$4="",$A681&gt;TODAY()),0,IF(OR(INDEX($B681:$D681,I$5)="F",AND(I$6&gt;0,$A681&lt;I$6),AND(I$7&gt;0,$A681&gt;I$7)),0,MAX(0,ROUND((INDEX($E681:$G681,I$5)-SUMIFS(TF_Timer,TF_Tekniker,I$4,TF_Dato,$A681))*2,0)/2)))</f>
        <v/>
      </c>
      <c r="J681">
        <f>IF(OR(J$4="",$A681&gt;TODAY()),0,IF(OR(INDEX($B681:$D681,J$5)="F",AND(J$6&gt;0,$A681&lt;J$6),AND(J$7&gt;0,$A681&gt;J$7)),0,MAX(0,ROUND((INDEX($E681:$G681,J$5)-SUMIFS(TF_Timer,TF_Tekniker,J$4,TF_Dato,$A681))*2,0)/2)))</f>
        <v/>
      </c>
      <c r="K681">
        <f>IF(OR(K$4="",$A681&gt;TODAY()),0,IF(OR(INDEX($B681:$D681,K$5)="F",AND(K$6&gt;0,$A681&lt;K$6),AND(K$7&gt;0,$A681&gt;K$7)),0,MAX(0,ROUND((INDEX($E681:$G681,K$5)-SUMIFS(TF_Timer,TF_Tekniker,K$4,TF_Dato,$A681))*2,0)/2)))</f>
        <v/>
      </c>
      <c r="L681">
        <f>IF(OR(L$4="",$A681&gt;TODAY()),0,IF(OR(INDEX($B681:$D681,L$5)="F",AND(L$6&gt;0,$A681&lt;L$6),AND(L$7&gt;0,$A681&gt;L$7)),0,MAX(0,ROUND((INDEX($E681:$G681,L$5)-SUMIFS(TF_Timer,TF_Tekniker,L$4,TF_Dato,$A681))*2,0)/2)))</f>
        <v/>
      </c>
      <c r="M681">
        <f>IF(OR(M$4="",$A681&gt;TODAY()),0,IF(OR(INDEX($B681:$D681,M$5)="F",AND(M$6&gt;0,$A681&lt;M$6),AND(M$7&gt;0,$A681&gt;M$7)),0,MAX(0,ROUND((INDEX($E681:$G681,M$5)-SUMIFS(TF_Timer,TF_Tekniker,M$4,TF_Dato,$A681))*2,0)/2)))</f>
        <v/>
      </c>
      <c r="N681">
        <f>IF(OR(N$4="",$A681&gt;TODAY()),0,IF(OR(INDEX($B681:$D681,N$5)="F",AND(N$6&gt;0,$A681&lt;N$6),AND(N$7&gt;0,$A681&gt;N$7)),0,MAX(0,ROUND((INDEX($E681:$G681,N$5)-SUMIFS(TF_Timer,TF_Tekniker,N$4,TF_Dato,$A681))*2,0)/2)))</f>
        <v/>
      </c>
      <c r="O681">
        <f>IF(OR(O$4="",$A681&gt;TODAY()),0,IF(OR(INDEX($B681:$D681,O$5)="F",AND(O$6&gt;0,$A681&lt;O$6),AND(O$7&gt;0,$A681&gt;O$7)),0,MAX(0,ROUND((INDEX($E681:$G681,O$5)-SUMIFS(TF_Timer,TF_Tekniker,O$4,TF_Dato,$A681))*2,0)/2)))</f>
        <v/>
      </c>
      <c r="P681">
        <f>IF(OR(P$4="",$A681&gt;TODAY()),0,IF(OR(INDEX($B681:$D681,P$5)="F",AND(P$6&gt;0,$A681&lt;P$6),AND(P$7&gt;0,$A681&gt;P$7)),0,MAX(0,ROUND((INDEX($E681:$G681,P$5)-SUMIFS(TF_Timer,TF_Tekniker,P$4,TF_Dato,$A681))*2,0)/2)))</f>
        <v/>
      </c>
      <c r="Q681">
        <f>IF(OR(Q$4="",$A681&gt;TODAY()),0,IF(OR(INDEX($B681:$D681,Q$5)="F",AND(Q$6&gt;0,$A681&lt;Q$6),AND(Q$7&gt;0,$A681&gt;Q$7)),0,MAX(0,ROUND((INDEX($E681:$G681,Q$5)-SUMIFS(TF_Timer,TF_Tekniker,Q$4,TF_Dato,$A681))*2,0)/2)))</f>
        <v/>
      </c>
      <c r="R681">
        <f>IF(OR(R$4="",$A681&gt;TODAY()),0,IF(OR(INDEX($B681:$D681,R$5)="F",AND(R$6&gt;0,$A681&lt;R$6),AND(R$7&gt;0,$A681&gt;R$7)),0,MAX(0,ROUND((INDEX($E681:$G681,R$5)-SUMIFS(TF_Timer,TF_Tekniker,R$4,TF_Dato,$A681))*2,0)/2)))</f>
        <v/>
      </c>
      <c r="S681">
        <f>IF(OR(S$4="",$A681&gt;TODAY()),0,IF(OR(INDEX($B681:$D681,S$5)="F",AND(S$6&gt;0,$A681&lt;S$6),AND(S$7&gt;0,$A681&gt;S$7)),0,MAX(0,ROUND((INDEX($E681:$G681,S$5)-SUMIFS(TF_Timer,TF_Tekniker,S$4,TF_Dato,$A681))*2,0)/2)))</f>
        <v/>
      </c>
      <c r="T681">
        <f>IF(OR(T$4="",$A681&gt;TODAY()),0,IF(OR(INDEX($B681:$D681,T$5)="F",AND(T$6&gt;0,$A681&lt;T$6),AND(T$7&gt;0,$A681&gt;T$7)),0,MAX(0,ROUND((INDEX($E681:$G681,T$5)-SUMIFS(TF_Timer,TF_Tekniker,T$4,TF_Dato,$A681))*2,0)/2)))</f>
        <v/>
      </c>
      <c r="U681">
        <f>IF(OR(U$4="",$A681&gt;TODAY()),0,IF(OR(INDEX($B681:$D681,U$5)="F",AND(U$6&gt;0,$A681&lt;U$6),AND(U$7&gt;0,$A681&gt;U$7)),0,MAX(0,ROUND((INDEX($E681:$G681,U$5)-SUMIFS(TF_Timer,TF_Tekniker,U$4,TF_Dato,$A681))*2,0)/2)))</f>
        <v/>
      </c>
      <c r="V681">
        <f>IF(OR(V$4="",$A681&gt;TODAY()),0,IF(OR(INDEX($B681:$D681,V$5)="F",AND(V$6&gt;0,$A681&lt;V$6),AND(V$7&gt;0,$A681&gt;V$7)),0,MAX(0,ROUND((INDEX($E681:$G681,V$5)-SUMIFS(TF_Timer,TF_Tekniker,V$4,TF_Dato,$A681))*2,0)/2)))</f>
        <v/>
      </c>
      <c r="W681">
        <f>IF(OR(W$4="",$A681&gt;TODAY()),0,IF(OR(INDEX($B681:$D681,W$5)="F",AND(W$6&gt;0,$A681&lt;W$6),AND(W$7&gt;0,$A681&gt;W$7)),0,MAX(0,ROUND((INDEX($E681:$G681,W$5)-SUMIFS(TF_Timer,TF_Tekniker,W$4,TF_Dato,$A681))*2,0)/2)))</f>
        <v/>
      </c>
      <c r="X681">
        <f>IF(OR(X$4="",$A681&gt;TODAY()),0,IF(OR(INDEX($B681:$D681,X$5)="F",AND(X$6&gt;0,$A681&lt;X$6),AND(X$7&gt;0,$A681&gt;X$7)),0,MAX(0,ROUND((INDEX($E681:$G681,X$5)-SUMIFS(TF_Timer,TF_Tekniker,X$4,TF_Dato,$A681))*2,0)/2)))</f>
        <v/>
      </c>
      <c r="Y681">
        <f>IF(OR(Y$4="",$A681&gt;TODAY()),0,IF(OR(INDEX($B681:$D681,Y$5)="F",AND(Y$6&gt;0,$A681&lt;Y$6),AND(Y$7&gt;0,$A681&gt;Y$7)),0,MAX(0,ROUND((INDEX($E681:$G681,Y$5)-SUMIFS(TF_Timer,TF_Tekniker,Y$4,TF_Dato,$A681))*2,0)/2)))</f>
        <v/>
      </c>
      <c r="Z681">
        <f>IF(OR(Z$4="",$A681&gt;TODAY()),0,IF(OR(INDEX($B681:$D681,Z$5)="F",AND(Z$6&gt;0,$A681&lt;Z$6),AND(Z$7&gt;0,$A681&gt;Z$7)),0,MAX(0,ROUND((INDEX($E681:$G681,Z$5)-SUMIFS(TF_Timer,TF_Tekniker,Z$4,TF_Dato,$A681))*2,0)/2)))</f>
        <v/>
      </c>
      <c r="AA681">
        <f>IF(OR(AA$4="",$A681&gt;TODAY()),0,IF(OR(INDEX($B681:$D681,AA$5)="F",AND(AA$6&gt;0,$A681&lt;AA$6),AND(AA$7&gt;0,$A681&gt;AA$7)),0,MAX(0,ROUND((INDEX($E681:$G681,AA$5)-SUMIFS(TF_Timer,TF_Tekniker,AA$4,TF_Dato,$A681))*2,0)/2)))</f>
        <v/>
      </c>
      <c r="AB681">
        <f>IF(OR(AB$4="",$A681&gt;TODAY()),0,IF(OR(INDEX($B681:$D681,AB$5)="F",AND(AB$6&gt;0,$A681&lt;AB$6),AND(AB$7&gt;0,$A681&gt;AB$7)),0,MAX(0,ROUND((INDEX($E681:$G681,AB$5)-SUMIFS(TF_Timer,TF_Tekniker,AB$4,TF_Dato,$A681))*2,0)/2)))</f>
        <v/>
      </c>
      <c r="AC681">
        <f>IF(OR(AC$4="",$A681&gt;TODAY()),0,IF(OR(INDEX($B681:$D681,AC$5)="F",AND(AC$6&gt;0,$A681&lt;AC$6),AND(AC$7&gt;0,$A681&gt;AC$7)),0,MAX(0,ROUND((INDEX($E681:$G681,AC$5)-SUMIFS(TF_Timer,TF_Tekniker,AC$4,TF_Dato,$A681))*2,0)/2)))</f>
        <v/>
      </c>
      <c r="AD681">
        <f>IF(OR(AD$4="",$A681&gt;TODAY()),0,IF(OR(INDEX($B681:$D681,AD$5)="F",AND(AD$6&gt;0,$A681&lt;AD$6),AND(AD$7&gt;0,$A681&gt;AD$7)),0,MAX(0,ROUND((INDEX($E681:$G681,AD$5)-SUMIFS(TF_Timer,TF_Tekniker,AD$4,TF_Dato,$A681))*2,0)/2)))</f>
        <v/>
      </c>
      <c r="AE681">
        <f>IF(OR(AE$4="",$A681&gt;TODAY()),0,IF(OR(INDEX($B681:$D681,AE$5)="F",AND(AE$6&gt;0,$A681&lt;AE$6),AND(AE$7&gt;0,$A681&gt;AE$7)),0,MAX(0,ROUND((INDEX($E681:$G681,AE$5)-SUMIFS(TF_Timer,TF_Tekniker,AE$4,TF_Dato,$A681))*2,0)/2)))</f>
        <v/>
      </c>
      <c r="AF681">
        <f>IF(OR(AF$4="",$A681&gt;TODAY()),0,IF(OR(INDEX($B681:$D681,AF$5)="F",AND(AF$6&gt;0,$A681&lt;AF$6),AND(AF$7&gt;0,$A681&gt;AF$7)),0,MAX(0,ROUND((INDEX($E681:$G681,AF$5)-SUMIFS(TF_Timer,TF_Tekniker,AF$4,TF_Dato,$A681))*2,0)/2)))</f>
        <v/>
      </c>
      <c r="AG681">
        <f>IF(OR(AG$4="",$A681&gt;TODAY()),0,IF(OR(INDEX($B681:$D681,AG$5)="F",AND(AG$6&gt;0,$A681&lt;AG$6),AND(AG$7&gt;0,$A681&gt;AG$7)),0,MAX(0,ROUND((INDEX($E681:$G681,AG$5)-SUMIFS(TF_Timer,TF_Tekniker,AG$4,TF_Dato,$A681))*2,0)/2)))</f>
        <v/>
      </c>
      <c r="AH681">
        <f>IF(OR(AH$4="",$A681&gt;TODAY()),0,IF(OR(INDEX($B681:$D681,AH$5)="F",AND(AH$6&gt;0,$A681&lt;AH$6),AND(AH$7&gt;0,$A681&gt;AH$7)),0,MAX(0,ROUND((INDEX($E681:$G681,AH$5)-SUMIFS(TF_Timer,TF_Tekniker,AH$4,TF_Dato,$A681))*2,0)/2)))</f>
        <v/>
      </c>
      <c r="AI681">
        <f>IF(OR(AI$4="",$A681&gt;TODAY()),0,IF(OR(INDEX($B681:$D681,AI$5)="F",AND(AI$6&gt;0,$A681&lt;AI$6),AND(AI$7&gt;0,$A681&gt;AI$7)),0,MAX(0,ROUND((INDEX($E681:$G681,AI$5)-SUMIFS(TF_Timer,TF_Tekniker,AI$4,TF_Dato,$A681))*2,0)/2)))</f>
        <v/>
      </c>
      <c r="AJ681">
        <f>IF(OR(AJ$4="",$A681&gt;TODAY()),0,IF(OR(INDEX($B681:$D681,AJ$5)="F",AND(AJ$6&gt;0,$A681&lt;AJ$6),AND(AJ$7&gt;0,$A681&gt;AJ$7)),0,MAX(0,ROUND((INDEX($E681:$G681,AJ$5)-SUMIFS(TF_Timer,TF_Tekniker,AJ$4,TF_Dato,$A681))*2,0)/2)))</f>
        <v/>
      </c>
      <c r="AK681">
        <f>IF(OR(AK$4="",$A681&gt;TODAY()),0,IF(OR(INDEX($B681:$D681,AK$5)="F",AND(AK$6&gt;0,$A681&lt;AK$6),AND(AK$7&gt;0,$A681&gt;AK$7)),0,MAX(0,ROUND((INDEX($E681:$G681,AK$5)-SUMIFS(TF_Timer,TF_Tekniker,AK$4,TF_Dato,$A681))*2,0)/2)))</f>
        <v/>
      </c>
      <c r="AL681">
        <f>IF(OR(AL$4="",$A681&gt;TODAY()),0,IF(OR(INDEX($B681:$D681,AL$5)="F",AND(AL$6&gt;0,$A681&lt;AL$6),AND(AL$7&gt;0,$A681&gt;AL$7)),0,MAX(0,ROUND((INDEX($E681:$G681,AL$5)-SUMIFS(TF_Timer,TF_Tekniker,AL$4,TF_Dato,$A681))*2,0)/2)))</f>
        <v/>
      </c>
      <c r="AM681">
        <f>IF(OR(AM$4="",$A681&gt;TODAY()),0,IF(OR(INDEX($B681:$D681,AM$5)="F",AND(AM$6&gt;0,$A681&lt;AM$6),AND(AM$7&gt;0,$A681&gt;AM$7)),0,MAX(0,ROUND((INDEX($E681:$G681,AM$5)-SUMIFS(TF_Timer,TF_Tekniker,AM$4,TF_Dato,$A681))*2,0)/2)))</f>
        <v/>
      </c>
      <c r="AN681">
        <f>IF(OR(AN$4="",$A681&gt;TODAY()),0,IF(OR(INDEX($B681:$D681,AN$5)="F",AND(AN$6&gt;0,$A681&lt;AN$6),AND(AN$7&gt;0,$A681&gt;AN$7)),0,MAX(0,ROUND((INDEX($E681:$G681,AN$5)-SUMIFS(TF_Timer,TF_Tekniker,AN$4,TF_Dato,$A681))*2,0)/2)))</f>
        <v/>
      </c>
      <c r="AO681">
        <f>IF(OR(AO$4="",$A681&gt;TODAY()),0,IF(OR(INDEX($B681:$D681,AO$5)="F",AND(AO$6&gt;0,$A681&lt;AO$6),AND(AO$7&gt;0,$A681&gt;AO$7)),0,MAX(0,ROUND((INDEX($E681:$G681,AO$5)-SUMIFS(TF_Timer,TF_Tekniker,AO$4,TF_Dato,$A681))*2,0)/2)))</f>
        <v/>
      </c>
      <c r="AP681">
        <f>IF(OR(AP$4="",$A681&gt;TODAY()),0,IF(OR(INDEX($B681:$D681,AP$5)="F",AND(AP$6&gt;0,$A681&lt;AP$6),AND(AP$7&gt;0,$A681&gt;AP$7)),0,MAX(0,ROUND((INDEX($E681:$G681,AP$5)-SUMIFS(TF_Timer,TF_Tekniker,AP$4,TF_Dato,$A681))*2,0)/2)))</f>
        <v/>
      </c>
      <c r="AQ681">
        <f>IF(OR(AQ$4="",$A681&gt;TODAY()),0,IF(OR(INDEX($B681:$D681,AQ$5)="F",AND(AQ$6&gt;0,$A681&lt;AQ$6),AND(AQ$7&gt;0,$A681&gt;AQ$7)),0,MAX(0,ROUND((INDEX($E681:$G681,AQ$5)-SUMIFS(TF_Timer,TF_Tekniker,AQ$4,TF_Dato,$A681))*2,0)/2)))</f>
        <v/>
      </c>
      <c r="AR681">
        <f>IF(OR(AR$4="",$A681&gt;TODAY()),0,IF(OR(INDEX($B681:$D681,AR$5)="F",AND(AR$6&gt;0,$A681&lt;AR$6),AND(AR$7&gt;0,$A681&gt;AR$7)),0,MAX(0,ROUND((INDEX($E681:$G681,AR$5)-SUMIFS(TF_Timer,TF_Tekniker,AR$4,TF_Dato,$A681))*2,0)/2)))</f>
        <v/>
      </c>
      <c r="AS681">
        <f>IF(OR(AS$4="",$A681&gt;TODAY()),0,IF(OR(INDEX($B681:$D681,AS$5)="F",AND(AS$6&gt;0,$A681&lt;AS$6),AND(AS$7&gt;0,$A681&gt;AS$7)),0,MAX(0,ROUND((INDEX($E681:$G681,AS$5)-SUMIFS(TF_Timer,TF_Tekniker,AS$4,TF_Dato,$A681))*2,0)/2)))</f>
        <v/>
      </c>
      <c r="AT681">
        <f>IF(OR(AT$4="",$A681&gt;TODAY()),0,IF(OR(INDEX($B681:$D681,AT$5)="F",AND(AT$6&gt;0,$A681&lt;AT$6),AND(AT$7&gt;0,$A681&gt;AT$7)),0,MAX(0,ROUND((INDEX($E681:$G681,AT$5)-SUMIFS(TF_Timer,TF_Tekniker,AT$4,TF_Dato,$A681))*2,0)/2)))</f>
        <v/>
      </c>
      <c r="AU681">
        <f>IF(OR(AU$4="",$A681&gt;TODAY()),0,IF(OR(INDEX($B681:$D681,AU$5)="F",AND(AU$6&gt;0,$A681&lt;AU$6),AND(AU$7&gt;0,$A681&gt;AU$7)),0,MAX(0,ROUND((INDEX($E681:$G681,AU$5)-SUMIFS(TF_Timer,TF_Tekniker,AU$4,TF_Dato,$A681))*2,0)/2)))</f>
        <v/>
      </c>
      <c r="AV681">
        <f>IF(OR(AV$4="",$A681&gt;TODAY()),0,IF(OR(INDEX($B681:$D681,AV$5)="F",AND(AV$6&gt;0,$A681&lt;AV$6),AND(AV$7&gt;0,$A681&gt;AV$7)),0,MAX(0,ROUND((INDEX($E681:$G681,AV$5)-SUMIFS(TF_Timer,TF_Tekniker,AV$4,TF_Dato,$A681))*2,0)/2)))</f>
        <v/>
      </c>
      <c r="AW681">
        <f>IF(OR(AW$4="",$A681&gt;TODAY()),0,IF(OR(INDEX($B681:$D681,AW$5)="F",AND(AW$6&gt;0,$A681&lt;AW$6),AND(AW$7&gt;0,$A681&gt;AW$7)),0,MAX(0,ROUND((INDEX($E681:$G681,AW$5)-SUMIFS(TF_Timer,TF_Tekniker,AW$4,TF_Dato,$A681))*2,0)/2)))</f>
        <v/>
      </c>
      <c r="AX681">
        <f>IF(OR(AX$4="",$A681&gt;TODAY()),0,IF(OR(INDEX($B681:$D681,AX$5)="F",AND(AX$6&gt;0,$A681&lt;AX$6),AND(AX$7&gt;0,$A681&gt;AX$7)),0,MAX(0,ROUND((INDEX($E681:$G681,AX$5)-SUMIFS(TF_Timer,TF_Tekniker,AX$4,TF_Dato,$A681))*2,0)/2)))</f>
        <v/>
      </c>
      <c r="AY681">
        <f>IF(OR(AY$4="",$A681&gt;TODAY()),0,IF(OR(INDEX($B681:$D681,AY$5)="F",AND(AY$6&gt;0,$A681&lt;AY$6),AND(AY$7&gt;0,$A681&gt;AY$7)),0,MAX(0,ROUND((INDEX($E681:$G681,AY$5)-SUMIFS(TF_Timer,TF_Tekniker,AY$4,TF_Dato,$A681))*2,0)/2)))</f>
        <v/>
      </c>
      <c r="AZ681">
        <f>IF(OR(AZ$4="",$A681&gt;TODAY()),0,IF(OR(INDEX($B681:$D681,AZ$5)="F",AND(AZ$6&gt;0,$A681&lt;AZ$6),AND(AZ$7&gt;0,$A681&gt;AZ$7)),0,MAX(0,ROUND((INDEX($E681:$G681,AZ$5)-SUMIFS(TF_Timer,TF_Tekniker,AZ$4,TF_Dato,$A681))*2,0)/2)))</f>
        <v/>
      </c>
      <c r="BA681">
        <f>IF(OR(BA$4="",$A681&gt;TODAY()),0,IF(OR(INDEX($B681:$D681,BA$5)="F",AND(BA$6&gt;0,$A681&lt;BA$6),AND(BA$7&gt;0,$A681&gt;BA$7)),0,MAX(0,ROUND((INDEX($E681:$G681,BA$5)-SUMIFS(TF_Timer,TF_Tekniker,BA$4,TF_Dato,$A681))*2,0)/2)))</f>
        <v/>
      </c>
      <c r="BB681">
        <f>IF(OR(BB$4="",$A681&gt;TODAY()),0,IF(OR(INDEX($B681:$D681,BB$5)="F",AND(BB$6&gt;0,$A681&lt;BB$6),AND(BB$7&gt;0,$A681&gt;BB$7)),0,MAX(0,ROUND((INDEX($E681:$G681,BB$5)-SUMIFS(TF_Timer,TF_Tekniker,BB$4,TF_Dato,$A681))*2,0)/2)))</f>
        <v/>
      </c>
      <c r="BC681">
        <f>IF(OR(BC$4="",$A681&gt;TODAY()),0,IF(OR(INDEX($B681:$D681,BC$5)="F",AND(BC$6&gt;0,$A681&lt;BC$6),AND(BC$7&gt;0,$A681&gt;BC$7)),0,MAX(0,ROUND((INDEX($E681:$G681,BC$5)-SUMIFS(TF_Timer,TF_Tekniker,BC$4,TF_Dato,$A681))*2,0)/2)))</f>
        <v/>
      </c>
      <c r="BD681">
        <f>IF(OR(BD$4="",$A681&gt;TODAY()),0,IF(OR(INDEX($B681:$D681,BD$5)="F",AND(BD$6&gt;0,$A681&lt;BD$6),AND(BD$7&gt;0,$A681&gt;BD$7)),0,MAX(0,ROUND((INDEX($E681:$G681,BD$5)-SUMIFS(TF_Timer,TF_Tekniker,BD$4,TF_Dato,$A681))*2,0)/2)))</f>
        <v/>
      </c>
      <c r="BE681">
        <f>IF(OR(BE$4="",$A681&gt;TODAY()),0,IF(OR(INDEX($B681:$D681,BE$5)="F",AND(BE$6&gt;0,$A681&lt;BE$6),AND(BE$7&gt;0,$A681&gt;BE$7)),0,MAX(0,ROUND((INDEX($E681:$G681,BE$5)-SUMIFS(TF_Timer,TF_Tekniker,BE$4,TF_Dato,$A681))*2,0)/2)))</f>
        <v/>
      </c>
      <c r="BF681">
        <f>IF(OR(BF$4="",$A681&gt;TODAY()),0,IF(OR(INDEX($B681:$D681,BF$5)="F",AND(BF$6&gt;0,$A681&lt;BF$6),AND(BF$7&gt;0,$A681&gt;BF$7)),0,MAX(0,ROUND((INDEX($E681:$G681,BF$5)-SUMIFS(TF_Timer,TF_Tekniker,BF$4,TF_Dato,$A681))*2,0)/2)))</f>
        <v/>
      </c>
      <c r="BG681">
        <f>IF(OR(BG$4="",$A681&gt;TODAY()),0,IF(OR(INDEX($B681:$D681,BG$5)="F",AND(BG$6&gt;0,$A681&lt;BG$6),AND(BG$7&gt;0,$A681&gt;BG$7)),0,MAX(0,ROUND((INDEX($E681:$G681,BG$5)-SUMIFS(TF_Timer,TF_Tekniker,BG$4,TF_Dato,$A681))*2,0)/2)))</f>
        <v/>
      </c>
      <c r="BH681">
        <f>IF(OR(BH$4="",$A681&gt;TODAY()),0,IF(OR(INDEX($B681:$D681,BH$5)="F",AND(BH$6&gt;0,$A681&lt;BH$6),AND(BH$7&gt;0,$A681&gt;BH$7)),0,MAX(0,ROUND((INDEX($E681:$G681,BH$5)-SUMIFS(TF_Timer,TF_Tekniker,BH$4,TF_Dato,$A681))*2,0)/2)))</f>
        <v/>
      </c>
      <c r="BI681">
        <f>IF(OR(BI$4="",$A681&gt;TODAY()),0,IF(OR(INDEX($B681:$D681,BI$5)="F",AND(BI$6&gt;0,$A681&lt;BI$6),AND(BI$7&gt;0,$A681&gt;BI$7)),0,MAX(0,ROUND((INDEX($E681:$G681,BI$5)-SUMIFS(TF_Timer,TF_Tekniker,BI$4,TF_Dato,$A681))*2,0)/2)))</f>
        <v/>
      </c>
    </row>
    <row r="682">
      <c r="A682" s="64">
        <f>A681+1</f>
        <v/>
      </c>
      <c r="B682">
        <f>IF(MOD($A682-INDEX(SkiftStart,1),Syklus)&lt;DagK,"K",IF(MOD($A682-INDEX(SkiftStart,1),Syklus)&lt;DagK+DagH,"H",IF(MOD($A682-INDEX(SkiftStart,1),Syklus)&lt;DagK+DagH+DagD,"D","F")))</f>
        <v/>
      </c>
      <c r="C682">
        <f>IF(MOD($A682-INDEX(SkiftStart,2),Syklus)&lt;DagK,"K",IF(MOD($A682-INDEX(SkiftStart,2),Syklus)&lt;DagK+DagH,"H",IF(MOD($A682-INDEX(SkiftStart,2),Syklus)&lt;DagK+DagH+DagD,"D","F")))</f>
        <v/>
      </c>
      <c r="D682">
        <f>IF(MOD($A682-INDEX(SkiftStart,3),Syklus)&lt;DagK,"K",IF(MOD($A682-INDEX(SkiftStart,3),Syklus)&lt;DagK+DagH,"H",IF(MOD($A682-INDEX(SkiftStart,3),Syklus)&lt;DagK+DagH+DagD,"D","F")))</f>
        <v/>
      </c>
      <c r="E682">
        <f>IF(B682="F",0,IF(WEEKDAY($A682,2)=5,INDEX(TimerFr,MATCH(B682,FaseKode,0)),INDEX(TimerMT,MATCH(B682,FaseKode,0))))</f>
        <v/>
      </c>
      <c r="F682">
        <f>IF(C682="F",0,IF(WEEKDAY($A682,2)=5,INDEX(TimerFr,MATCH(C682,FaseKode,0)),INDEX(TimerMT,MATCH(C682,FaseKode,0))))</f>
        <v/>
      </c>
      <c r="G682">
        <f>IF(D682="F",0,IF(WEEKDAY($A682,2)=5,INDEX(TimerFr,MATCH(D682,FaseKode,0)),INDEX(TimerMT,MATCH(D682,FaseKode,0))))</f>
        <v/>
      </c>
      <c r="H682">
        <f>IF(OR(H$4="",$A682&gt;TODAY()),0,IF(OR(INDEX($B682:$D682,H$5)="F",AND(H$6&gt;0,$A682&lt;H$6),AND(H$7&gt;0,$A682&gt;H$7)),0,MAX(0,ROUND((INDEX($E682:$G682,H$5)-SUMIFS(TF_Timer,TF_Tekniker,H$4,TF_Dato,$A682))*2,0)/2)))</f>
        <v/>
      </c>
      <c r="I682">
        <f>IF(OR(I$4="",$A682&gt;TODAY()),0,IF(OR(INDEX($B682:$D682,I$5)="F",AND(I$6&gt;0,$A682&lt;I$6),AND(I$7&gt;0,$A682&gt;I$7)),0,MAX(0,ROUND((INDEX($E682:$G682,I$5)-SUMIFS(TF_Timer,TF_Tekniker,I$4,TF_Dato,$A682))*2,0)/2)))</f>
        <v/>
      </c>
      <c r="J682">
        <f>IF(OR(J$4="",$A682&gt;TODAY()),0,IF(OR(INDEX($B682:$D682,J$5)="F",AND(J$6&gt;0,$A682&lt;J$6),AND(J$7&gt;0,$A682&gt;J$7)),0,MAX(0,ROUND((INDEX($E682:$G682,J$5)-SUMIFS(TF_Timer,TF_Tekniker,J$4,TF_Dato,$A682))*2,0)/2)))</f>
        <v/>
      </c>
      <c r="K682">
        <f>IF(OR(K$4="",$A682&gt;TODAY()),0,IF(OR(INDEX($B682:$D682,K$5)="F",AND(K$6&gt;0,$A682&lt;K$6),AND(K$7&gt;0,$A682&gt;K$7)),0,MAX(0,ROUND((INDEX($E682:$G682,K$5)-SUMIFS(TF_Timer,TF_Tekniker,K$4,TF_Dato,$A682))*2,0)/2)))</f>
        <v/>
      </c>
      <c r="L682">
        <f>IF(OR(L$4="",$A682&gt;TODAY()),0,IF(OR(INDEX($B682:$D682,L$5)="F",AND(L$6&gt;0,$A682&lt;L$6),AND(L$7&gt;0,$A682&gt;L$7)),0,MAX(0,ROUND((INDEX($E682:$G682,L$5)-SUMIFS(TF_Timer,TF_Tekniker,L$4,TF_Dato,$A682))*2,0)/2)))</f>
        <v/>
      </c>
      <c r="M682">
        <f>IF(OR(M$4="",$A682&gt;TODAY()),0,IF(OR(INDEX($B682:$D682,M$5)="F",AND(M$6&gt;0,$A682&lt;M$6),AND(M$7&gt;0,$A682&gt;M$7)),0,MAX(0,ROUND((INDEX($E682:$G682,M$5)-SUMIFS(TF_Timer,TF_Tekniker,M$4,TF_Dato,$A682))*2,0)/2)))</f>
        <v/>
      </c>
      <c r="N682">
        <f>IF(OR(N$4="",$A682&gt;TODAY()),0,IF(OR(INDEX($B682:$D682,N$5)="F",AND(N$6&gt;0,$A682&lt;N$6),AND(N$7&gt;0,$A682&gt;N$7)),0,MAX(0,ROUND((INDEX($E682:$G682,N$5)-SUMIFS(TF_Timer,TF_Tekniker,N$4,TF_Dato,$A682))*2,0)/2)))</f>
        <v/>
      </c>
      <c r="O682">
        <f>IF(OR(O$4="",$A682&gt;TODAY()),0,IF(OR(INDEX($B682:$D682,O$5)="F",AND(O$6&gt;0,$A682&lt;O$6),AND(O$7&gt;0,$A682&gt;O$7)),0,MAX(0,ROUND((INDEX($E682:$G682,O$5)-SUMIFS(TF_Timer,TF_Tekniker,O$4,TF_Dato,$A682))*2,0)/2)))</f>
        <v/>
      </c>
      <c r="P682">
        <f>IF(OR(P$4="",$A682&gt;TODAY()),0,IF(OR(INDEX($B682:$D682,P$5)="F",AND(P$6&gt;0,$A682&lt;P$6),AND(P$7&gt;0,$A682&gt;P$7)),0,MAX(0,ROUND((INDEX($E682:$G682,P$5)-SUMIFS(TF_Timer,TF_Tekniker,P$4,TF_Dato,$A682))*2,0)/2)))</f>
        <v/>
      </c>
      <c r="Q682">
        <f>IF(OR(Q$4="",$A682&gt;TODAY()),0,IF(OR(INDEX($B682:$D682,Q$5)="F",AND(Q$6&gt;0,$A682&lt;Q$6),AND(Q$7&gt;0,$A682&gt;Q$7)),0,MAX(0,ROUND((INDEX($E682:$G682,Q$5)-SUMIFS(TF_Timer,TF_Tekniker,Q$4,TF_Dato,$A682))*2,0)/2)))</f>
        <v/>
      </c>
      <c r="R682">
        <f>IF(OR(R$4="",$A682&gt;TODAY()),0,IF(OR(INDEX($B682:$D682,R$5)="F",AND(R$6&gt;0,$A682&lt;R$6),AND(R$7&gt;0,$A682&gt;R$7)),0,MAX(0,ROUND((INDEX($E682:$G682,R$5)-SUMIFS(TF_Timer,TF_Tekniker,R$4,TF_Dato,$A682))*2,0)/2)))</f>
        <v/>
      </c>
      <c r="S682">
        <f>IF(OR(S$4="",$A682&gt;TODAY()),0,IF(OR(INDEX($B682:$D682,S$5)="F",AND(S$6&gt;0,$A682&lt;S$6),AND(S$7&gt;0,$A682&gt;S$7)),0,MAX(0,ROUND((INDEX($E682:$G682,S$5)-SUMIFS(TF_Timer,TF_Tekniker,S$4,TF_Dato,$A682))*2,0)/2)))</f>
        <v/>
      </c>
      <c r="T682">
        <f>IF(OR(T$4="",$A682&gt;TODAY()),0,IF(OR(INDEX($B682:$D682,T$5)="F",AND(T$6&gt;0,$A682&lt;T$6),AND(T$7&gt;0,$A682&gt;T$7)),0,MAX(0,ROUND((INDEX($E682:$G682,T$5)-SUMIFS(TF_Timer,TF_Tekniker,T$4,TF_Dato,$A682))*2,0)/2)))</f>
        <v/>
      </c>
      <c r="U682">
        <f>IF(OR(U$4="",$A682&gt;TODAY()),0,IF(OR(INDEX($B682:$D682,U$5)="F",AND(U$6&gt;0,$A682&lt;U$6),AND(U$7&gt;0,$A682&gt;U$7)),0,MAX(0,ROUND((INDEX($E682:$G682,U$5)-SUMIFS(TF_Timer,TF_Tekniker,U$4,TF_Dato,$A682))*2,0)/2)))</f>
        <v/>
      </c>
      <c r="V682">
        <f>IF(OR(V$4="",$A682&gt;TODAY()),0,IF(OR(INDEX($B682:$D682,V$5)="F",AND(V$6&gt;0,$A682&lt;V$6),AND(V$7&gt;0,$A682&gt;V$7)),0,MAX(0,ROUND((INDEX($E682:$G682,V$5)-SUMIFS(TF_Timer,TF_Tekniker,V$4,TF_Dato,$A682))*2,0)/2)))</f>
        <v/>
      </c>
      <c r="W682">
        <f>IF(OR(W$4="",$A682&gt;TODAY()),0,IF(OR(INDEX($B682:$D682,W$5)="F",AND(W$6&gt;0,$A682&lt;W$6),AND(W$7&gt;0,$A682&gt;W$7)),0,MAX(0,ROUND((INDEX($E682:$G682,W$5)-SUMIFS(TF_Timer,TF_Tekniker,W$4,TF_Dato,$A682))*2,0)/2)))</f>
        <v/>
      </c>
      <c r="X682">
        <f>IF(OR(X$4="",$A682&gt;TODAY()),0,IF(OR(INDEX($B682:$D682,X$5)="F",AND(X$6&gt;0,$A682&lt;X$6),AND(X$7&gt;0,$A682&gt;X$7)),0,MAX(0,ROUND((INDEX($E682:$G682,X$5)-SUMIFS(TF_Timer,TF_Tekniker,X$4,TF_Dato,$A682))*2,0)/2)))</f>
        <v/>
      </c>
      <c r="Y682">
        <f>IF(OR(Y$4="",$A682&gt;TODAY()),0,IF(OR(INDEX($B682:$D682,Y$5)="F",AND(Y$6&gt;0,$A682&lt;Y$6),AND(Y$7&gt;0,$A682&gt;Y$7)),0,MAX(0,ROUND((INDEX($E682:$G682,Y$5)-SUMIFS(TF_Timer,TF_Tekniker,Y$4,TF_Dato,$A682))*2,0)/2)))</f>
        <v/>
      </c>
      <c r="Z682">
        <f>IF(OR(Z$4="",$A682&gt;TODAY()),0,IF(OR(INDEX($B682:$D682,Z$5)="F",AND(Z$6&gt;0,$A682&lt;Z$6),AND(Z$7&gt;0,$A682&gt;Z$7)),0,MAX(0,ROUND((INDEX($E682:$G682,Z$5)-SUMIFS(TF_Timer,TF_Tekniker,Z$4,TF_Dato,$A682))*2,0)/2)))</f>
        <v/>
      </c>
      <c r="AA682">
        <f>IF(OR(AA$4="",$A682&gt;TODAY()),0,IF(OR(INDEX($B682:$D682,AA$5)="F",AND(AA$6&gt;0,$A682&lt;AA$6),AND(AA$7&gt;0,$A682&gt;AA$7)),0,MAX(0,ROUND((INDEX($E682:$G682,AA$5)-SUMIFS(TF_Timer,TF_Tekniker,AA$4,TF_Dato,$A682))*2,0)/2)))</f>
        <v/>
      </c>
      <c r="AB682">
        <f>IF(OR(AB$4="",$A682&gt;TODAY()),0,IF(OR(INDEX($B682:$D682,AB$5)="F",AND(AB$6&gt;0,$A682&lt;AB$6),AND(AB$7&gt;0,$A682&gt;AB$7)),0,MAX(0,ROUND((INDEX($E682:$G682,AB$5)-SUMIFS(TF_Timer,TF_Tekniker,AB$4,TF_Dato,$A682))*2,0)/2)))</f>
        <v/>
      </c>
      <c r="AC682">
        <f>IF(OR(AC$4="",$A682&gt;TODAY()),0,IF(OR(INDEX($B682:$D682,AC$5)="F",AND(AC$6&gt;0,$A682&lt;AC$6),AND(AC$7&gt;0,$A682&gt;AC$7)),0,MAX(0,ROUND((INDEX($E682:$G682,AC$5)-SUMIFS(TF_Timer,TF_Tekniker,AC$4,TF_Dato,$A682))*2,0)/2)))</f>
        <v/>
      </c>
      <c r="AD682">
        <f>IF(OR(AD$4="",$A682&gt;TODAY()),0,IF(OR(INDEX($B682:$D682,AD$5)="F",AND(AD$6&gt;0,$A682&lt;AD$6),AND(AD$7&gt;0,$A682&gt;AD$7)),0,MAX(0,ROUND((INDEX($E682:$G682,AD$5)-SUMIFS(TF_Timer,TF_Tekniker,AD$4,TF_Dato,$A682))*2,0)/2)))</f>
        <v/>
      </c>
      <c r="AE682">
        <f>IF(OR(AE$4="",$A682&gt;TODAY()),0,IF(OR(INDEX($B682:$D682,AE$5)="F",AND(AE$6&gt;0,$A682&lt;AE$6),AND(AE$7&gt;0,$A682&gt;AE$7)),0,MAX(0,ROUND((INDEX($E682:$G682,AE$5)-SUMIFS(TF_Timer,TF_Tekniker,AE$4,TF_Dato,$A682))*2,0)/2)))</f>
        <v/>
      </c>
      <c r="AF682">
        <f>IF(OR(AF$4="",$A682&gt;TODAY()),0,IF(OR(INDEX($B682:$D682,AF$5)="F",AND(AF$6&gt;0,$A682&lt;AF$6),AND(AF$7&gt;0,$A682&gt;AF$7)),0,MAX(0,ROUND((INDEX($E682:$G682,AF$5)-SUMIFS(TF_Timer,TF_Tekniker,AF$4,TF_Dato,$A682))*2,0)/2)))</f>
        <v/>
      </c>
      <c r="AG682">
        <f>IF(OR(AG$4="",$A682&gt;TODAY()),0,IF(OR(INDEX($B682:$D682,AG$5)="F",AND(AG$6&gt;0,$A682&lt;AG$6),AND(AG$7&gt;0,$A682&gt;AG$7)),0,MAX(0,ROUND((INDEX($E682:$G682,AG$5)-SUMIFS(TF_Timer,TF_Tekniker,AG$4,TF_Dato,$A682))*2,0)/2)))</f>
        <v/>
      </c>
      <c r="AH682">
        <f>IF(OR(AH$4="",$A682&gt;TODAY()),0,IF(OR(INDEX($B682:$D682,AH$5)="F",AND(AH$6&gt;0,$A682&lt;AH$6),AND(AH$7&gt;0,$A682&gt;AH$7)),0,MAX(0,ROUND((INDEX($E682:$G682,AH$5)-SUMIFS(TF_Timer,TF_Tekniker,AH$4,TF_Dato,$A682))*2,0)/2)))</f>
        <v/>
      </c>
      <c r="AI682">
        <f>IF(OR(AI$4="",$A682&gt;TODAY()),0,IF(OR(INDEX($B682:$D682,AI$5)="F",AND(AI$6&gt;0,$A682&lt;AI$6),AND(AI$7&gt;0,$A682&gt;AI$7)),0,MAX(0,ROUND((INDEX($E682:$G682,AI$5)-SUMIFS(TF_Timer,TF_Tekniker,AI$4,TF_Dato,$A682))*2,0)/2)))</f>
        <v/>
      </c>
      <c r="AJ682">
        <f>IF(OR(AJ$4="",$A682&gt;TODAY()),0,IF(OR(INDEX($B682:$D682,AJ$5)="F",AND(AJ$6&gt;0,$A682&lt;AJ$6),AND(AJ$7&gt;0,$A682&gt;AJ$7)),0,MAX(0,ROUND((INDEX($E682:$G682,AJ$5)-SUMIFS(TF_Timer,TF_Tekniker,AJ$4,TF_Dato,$A682))*2,0)/2)))</f>
        <v/>
      </c>
      <c r="AK682">
        <f>IF(OR(AK$4="",$A682&gt;TODAY()),0,IF(OR(INDEX($B682:$D682,AK$5)="F",AND(AK$6&gt;0,$A682&lt;AK$6),AND(AK$7&gt;0,$A682&gt;AK$7)),0,MAX(0,ROUND((INDEX($E682:$G682,AK$5)-SUMIFS(TF_Timer,TF_Tekniker,AK$4,TF_Dato,$A682))*2,0)/2)))</f>
        <v/>
      </c>
      <c r="AL682">
        <f>IF(OR(AL$4="",$A682&gt;TODAY()),0,IF(OR(INDEX($B682:$D682,AL$5)="F",AND(AL$6&gt;0,$A682&lt;AL$6),AND(AL$7&gt;0,$A682&gt;AL$7)),0,MAX(0,ROUND((INDEX($E682:$G682,AL$5)-SUMIFS(TF_Timer,TF_Tekniker,AL$4,TF_Dato,$A682))*2,0)/2)))</f>
        <v/>
      </c>
      <c r="AM682">
        <f>IF(OR(AM$4="",$A682&gt;TODAY()),0,IF(OR(INDEX($B682:$D682,AM$5)="F",AND(AM$6&gt;0,$A682&lt;AM$6),AND(AM$7&gt;0,$A682&gt;AM$7)),0,MAX(0,ROUND((INDEX($E682:$G682,AM$5)-SUMIFS(TF_Timer,TF_Tekniker,AM$4,TF_Dato,$A682))*2,0)/2)))</f>
        <v/>
      </c>
      <c r="AN682">
        <f>IF(OR(AN$4="",$A682&gt;TODAY()),0,IF(OR(INDEX($B682:$D682,AN$5)="F",AND(AN$6&gt;0,$A682&lt;AN$6),AND(AN$7&gt;0,$A682&gt;AN$7)),0,MAX(0,ROUND((INDEX($E682:$G682,AN$5)-SUMIFS(TF_Timer,TF_Tekniker,AN$4,TF_Dato,$A682))*2,0)/2)))</f>
        <v/>
      </c>
      <c r="AO682">
        <f>IF(OR(AO$4="",$A682&gt;TODAY()),0,IF(OR(INDEX($B682:$D682,AO$5)="F",AND(AO$6&gt;0,$A682&lt;AO$6),AND(AO$7&gt;0,$A682&gt;AO$7)),0,MAX(0,ROUND((INDEX($E682:$G682,AO$5)-SUMIFS(TF_Timer,TF_Tekniker,AO$4,TF_Dato,$A682))*2,0)/2)))</f>
        <v/>
      </c>
      <c r="AP682">
        <f>IF(OR(AP$4="",$A682&gt;TODAY()),0,IF(OR(INDEX($B682:$D682,AP$5)="F",AND(AP$6&gt;0,$A682&lt;AP$6),AND(AP$7&gt;0,$A682&gt;AP$7)),0,MAX(0,ROUND((INDEX($E682:$G682,AP$5)-SUMIFS(TF_Timer,TF_Tekniker,AP$4,TF_Dato,$A682))*2,0)/2)))</f>
        <v/>
      </c>
      <c r="AQ682">
        <f>IF(OR(AQ$4="",$A682&gt;TODAY()),0,IF(OR(INDEX($B682:$D682,AQ$5)="F",AND(AQ$6&gt;0,$A682&lt;AQ$6),AND(AQ$7&gt;0,$A682&gt;AQ$7)),0,MAX(0,ROUND((INDEX($E682:$G682,AQ$5)-SUMIFS(TF_Timer,TF_Tekniker,AQ$4,TF_Dato,$A682))*2,0)/2)))</f>
        <v/>
      </c>
      <c r="AR682">
        <f>IF(OR(AR$4="",$A682&gt;TODAY()),0,IF(OR(INDEX($B682:$D682,AR$5)="F",AND(AR$6&gt;0,$A682&lt;AR$6),AND(AR$7&gt;0,$A682&gt;AR$7)),0,MAX(0,ROUND((INDEX($E682:$G682,AR$5)-SUMIFS(TF_Timer,TF_Tekniker,AR$4,TF_Dato,$A682))*2,0)/2)))</f>
        <v/>
      </c>
      <c r="AS682">
        <f>IF(OR(AS$4="",$A682&gt;TODAY()),0,IF(OR(INDEX($B682:$D682,AS$5)="F",AND(AS$6&gt;0,$A682&lt;AS$6),AND(AS$7&gt;0,$A682&gt;AS$7)),0,MAX(0,ROUND((INDEX($E682:$G682,AS$5)-SUMIFS(TF_Timer,TF_Tekniker,AS$4,TF_Dato,$A682))*2,0)/2)))</f>
        <v/>
      </c>
      <c r="AT682">
        <f>IF(OR(AT$4="",$A682&gt;TODAY()),0,IF(OR(INDEX($B682:$D682,AT$5)="F",AND(AT$6&gt;0,$A682&lt;AT$6),AND(AT$7&gt;0,$A682&gt;AT$7)),0,MAX(0,ROUND((INDEX($E682:$G682,AT$5)-SUMIFS(TF_Timer,TF_Tekniker,AT$4,TF_Dato,$A682))*2,0)/2)))</f>
        <v/>
      </c>
      <c r="AU682">
        <f>IF(OR(AU$4="",$A682&gt;TODAY()),0,IF(OR(INDEX($B682:$D682,AU$5)="F",AND(AU$6&gt;0,$A682&lt;AU$6),AND(AU$7&gt;0,$A682&gt;AU$7)),0,MAX(0,ROUND((INDEX($E682:$G682,AU$5)-SUMIFS(TF_Timer,TF_Tekniker,AU$4,TF_Dato,$A682))*2,0)/2)))</f>
        <v/>
      </c>
      <c r="AV682">
        <f>IF(OR(AV$4="",$A682&gt;TODAY()),0,IF(OR(INDEX($B682:$D682,AV$5)="F",AND(AV$6&gt;0,$A682&lt;AV$6),AND(AV$7&gt;0,$A682&gt;AV$7)),0,MAX(0,ROUND((INDEX($E682:$G682,AV$5)-SUMIFS(TF_Timer,TF_Tekniker,AV$4,TF_Dato,$A682))*2,0)/2)))</f>
        <v/>
      </c>
      <c r="AW682">
        <f>IF(OR(AW$4="",$A682&gt;TODAY()),0,IF(OR(INDEX($B682:$D682,AW$5)="F",AND(AW$6&gt;0,$A682&lt;AW$6),AND(AW$7&gt;0,$A682&gt;AW$7)),0,MAX(0,ROUND((INDEX($E682:$G682,AW$5)-SUMIFS(TF_Timer,TF_Tekniker,AW$4,TF_Dato,$A682))*2,0)/2)))</f>
        <v/>
      </c>
      <c r="AX682">
        <f>IF(OR(AX$4="",$A682&gt;TODAY()),0,IF(OR(INDEX($B682:$D682,AX$5)="F",AND(AX$6&gt;0,$A682&lt;AX$6),AND(AX$7&gt;0,$A682&gt;AX$7)),0,MAX(0,ROUND((INDEX($E682:$G682,AX$5)-SUMIFS(TF_Timer,TF_Tekniker,AX$4,TF_Dato,$A682))*2,0)/2)))</f>
        <v/>
      </c>
      <c r="AY682">
        <f>IF(OR(AY$4="",$A682&gt;TODAY()),0,IF(OR(INDEX($B682:$D682,AY$5)="F",AND(AY$6&gt;0,$A682&lt;AY$6),AND(AY$7&gt;0,$A682&gt;AY$7)),0,MAX(0,ROUND((INDEX($E682:$G682,AY$5)-SUMIFS(TF_Timer,TF_Tekniker,AY$4,TF_Dato,$A682))*2,0)/2)))</f>
        <v/>
      </c>
      <c r="AZ682">
        <f>IF(OR(AZ$4="",$A682&gt;TODAY()),0,IF(OR(INDEX($B682:$D682,AZ$5)="F",AND(AZ$6&gt;0,$A682&lt;AZ$6),AND(AZ$7&gt;0,$A682&gt;AZ$7)),0,MAX(0,ROUND((INDEX($E682:$G682,AZ$5)-SUMIFS(TF_Timer,TF_Tekniker,AZ$4,TF_Dato,$A682))*2,0)/2)))</f>
        <v/>
      </c>
      <c r="BA682">
        <f>IF(OR(BA$4="",$A682&gt;TODAY()),0,IF(OR(INDEX($B682:$D682,BA$5)="F",AND(BA$6&gt;0,$A682&lt;BA$6),AND(BA$7&gt;0,$A682&gt;BA$7)),0,MAX(0,ROUND((INDEX($E682:$G682,BA$5)-SUMIFS(TF_Timer,TF_Tekniker,BA$4,TF_Dato,$A682))*2,0)/2)))</f>
        <v/>
      </c>
      <c r="BB682">
        <f>IF(OR(BB$4="",$A682&gt;TODAY()),0,IF(OR(INDEX($B682:$D682,BB$5)="F",AND(BB$6&gt;0,$A682&lt;BB$6),AND(BB$7&gt;0,$A682&gt;BB$7)),0,MAX(0,ROUND((INDEX($E682:$G682,BB$5)-SUMIFS(TF_Timer,TF_Tekniker,BB$4,TF_Dato,$A682))*2,0)/2)))</f>
        <v/>
      </c>
      <c r="BC682">
        <f>IF(OR(BC$4="",$A682&gt;TODAY()),0,IF(OR(INDEX($B682:$D682,BC$5)="F",AND(BC$6&gt;0,$A682&lt;BC$6),AND(BC$7&gt;0,$A682&gt;BC$7)),0,MAX(0,ROUND((INDEX($E682:$G682,BC$5)-SUMIFS(TF_Timer,TF_Tekniker,BC$4,TF_Dato,$A682))*2,0)/2)))</f>
        <v/>
      </c>
      <c r="BD682">
        <f>IF(OR(BD$4="",$A682&gt;TODAY()),0,IF(OR(INDEX($B682:$D682,BD$5)="F",AND(BD$6&gt;0,$A682&lt;BD$6),AND(BD$7&gt;0,$A682&gt;BD$7)),0,MAX(0,ROUND((INDEX($E682:$G682,BD$5)-SUMIFS(TF_Timer,TF_Tekniker,BD$4,TF_Dato,$A682))*2,0)/2)))</f>
        <v/>
      </c>
      <c r="BE682">
        <f>IF(OR(BE$4="",$A682&gt;TODAY()),0,IF(OR(INDEX($B682:$D682,BE$5)="F",AND(BE$6&gt;0,$A682&lt;BE$6),AND(BE$7&gt;0,$A682&gt;BE$7)),0,MAX(0,ROUND((INDEX($E682:$G682,BE$5)-SUMIFS(TF_Timer,TF_Tekniker,BE$4,TF_Dato,$A682))*2,0)/2)))</f>
        <v/>
      </c>
      <c r="BF682">
        <f>IF(OR(BF$4="",$A682&gt;TODAY()),0,IF(OR(INDEX($B682:$D682,BF$5)="F",AND(BF$6&gt;0,$A682&lt;BF$6),AND(BF$7&gt;0,$A682&gt;BF$7)),0,MAX(0,ROUND((INDEX($E682:$G682,BF$5)-SUMIFS(TF_Timer,TF_Tekniker,BF$4,TF_Dato,$A682))*2,0)/2)))</f>
        <v/>
      </c>
      <c r="BG682">
        <f>IF(OR(BG$4="",$A682&gt;TODAY()),0,IF(OR(INDEX($B682:$D682,BG$5)="F",AND(BG$6&gt;0,$A682&lt;BG$6),AND(BG$7&gt;0,$A682&gt;BG$7)),0,MAX(0,ROUND((INDEX($E682:$G682,BG$5)-SUMIFS(TF_Timer,TF_Tekniker,BG$4,TF_Dato,$A682))*2,0)/2)))</f>
        <v/>
      </c>
      <c r="BH682">
        <f>IF(OR(BH$4="",$A682&gt;TODAY()),0,IF(OR(INDEX($B682:$D682,BH$5)="F",AND(BH$6&gt;0,$A682&lt;BH$6),AND(BH$7&gt;0,$A682&gt;BH$7)),0,MAX(0,ROUND((INDEX($E682:$G682,BH$5)-SUMIFS(TF_Timer,TF_Tekniker,BH$4,TF_Dato,$A682))*2,0)/2)))</f>
        <v/>
      </c>
      <c r="BI682">
        <f>IF(OR(BI$4="",$A682&gt;TODAY()),0,IF(OR(INDEX($B682:$D682,BI$5)="F",AND(BI$6&gt;0,$A682&lt;BI$6),AND(BI$7&gt;0,$A682&gt;BI$7)),0,MAX(0,ROUND((INDEX($E682:$G682,BI$5)-SUMIFS(TF_Timer,TF_Tekniker,BI$4,TF_Dato,$A682))*2,0)/2)))</f>
        <v/>
      </c>
    </row>
    <row r="683">
      <c r="A683" s="64">
        <f>A682+1</f>
        <v/>
      </c>
      <c r="B683">
        <f>IF(MOD($A683-INDEX(SkiftStart,1),Syklus)&lt;DagK,"K",IF(MOD($A683-INDEX(SkiftStart,1),Syklus)&lt;DagK+DagH,"H",IF(MOD($A683-INDEX(SkiftStart,1),Syklus)&lt;DagK+DagH+DagD,"D","F")))</f>
        <v/>
      </c>
      <c r="C683">
        <f>IF(MOD($A683-INDEX(SkiftStart,2),Syklus)&lt;DagK,"K",IF(MOD($A683-INDEX(SkiftStart,2),Syklus)&lt;DagK+DagH,"H",IF(MOD($A683-INDEX(SkiftStart,2),Syklus)&lt;DagK+DagH+DagD,"D","F")))</f>
        <v/>
      </c>
      <c r="D683">
        <f>IF(MOD($A683-INDEX(SkiftStart,3),Syklus)&lt;DagK,"K",IF(MOD($A683-INDEX(SkiftStart,3),Syklus)&lt;DagK+DagH,"H",IF(MOD($A683-INDEX(SkiftStart,3),Syklus)&lt;DagK+DagH+DagD,"D","F")))</f>
        <v/>
      </c>
      <c r="E683">
        <f>IF(B683="F",0,IF(WEEKDAY($A683,2)=5,INDEX(TimerFr,MATCH(B683,FaseKode,0)),INDEX(TimerMT,MATCH(B683,FaseKode,0))))</f>
        <v/>
      </c>
      <c r="F683">
        <f>IF(C683="F",0,IF(WEEKDAY($A683,2)=5,INDEX(TimerFr,MATCH(C683,FaseKode,0)),INDEX(TimerMT,MATCH(C683,FaseKode,0))))</f>
        <v/>
      </c>
      <c r="G683">
        <f>IF(D683="F",0,IF(WEEKDAY($A683,2)=5,INDEX(TimerFr,MATCH(D683,FaseKode,0)),INDEX(TimerMT,MATCH(D683,FaseKode,0))))</f>
        <v/>
      </c>
      <c r="H683">
        <f>IF(OR(H$4="",$A683&gt;TODAY()),0,IF(OR(INDEX($B683:$D683,H$5)="F",AND(H$6&gt;0,$A683&lt;H$6),AND(H$7&gt;0,$A683&gt;H$7)),0,MAX(0,ROUND((INDEX($E683:$G683,H$5)-SUMIFS(TF_Timer,TF_Tekniker,H$4,TF_Dato,$A683))*2,0)/2)))</f>
        <v/>
      </c>
      <c r="I683">
        <f>IF(OR(I$4="",$A683&gt;TODAY()),0,IF(OR(INDEX($B683:$D683,I$5)="F",AND(I$6&gt;0,$A683&lt;I$6),AND(I$7&gt;0,$A683&gt;I$7)),0,MAX(0,ROUND((INDEX($E683:$G683,I$5)-SUMIFS(TF_Timer,TF_Tekniker,I$4,TF_Dato,$A683))*2,0)/2)))</f>
        <v/>
      </c>
      <c r="J683">
        <f>IF(OR(J$4="",$A683&gt;TODAY()),0,IF(OR(INDEX($B683:$D683,J$5)="F",AND(J$6&gt;0,$A683&lt;J$6),AND(J$7&gt;0,$A683&gt;J$7)),0,MAX(0,ROUND((INDEX($E683:$G683,J$5)-SUMIFS(TF_Timer,TF_Tekniker,J$4,TF_Dato,$A683))*2,0)/2)))</f>
        <v/>
      </c>
      <c r="K683">
        <f>IF(OR(K$4="",$A683&gt;TODAY()),0,IF(OR(INDEX($B683:$D683,K$5)="F",AND(K$6&gt;0,$A683&lt;K$6),AND(K$7&gt;0,$A683&gt;K$7)),0,MAX(0,ROUND((INDEX($E683:$G683,K$5)-SUMIFS(TF_Timer,TF_Tekniker,K$4,TF_Dato,$A683))*2,0)/2)))</f>
        <v/>
      </c>
      <c r="L683">
        <f>IF(OR(L$4="",$A683&gt;TODAY()),0,IF(OR(INDEX($B683:$D683,L$5)="F",AND(L$6&gt;0,$A683&lt;L$6),AND(L$7&gt;0,$A683&gt;L$7)),0,MAX(0,ROUND((INDEX($E683:$G683,L$5)-SUMIFS(TF_Timer,TF_Tekniker,L$4,TF_Dato,$A683))*2,0)/2)))</f>
        <v/>
      </c>
      <c r="M683">
        <f>IF(OR(M$4="",$A683&gt;TODAY()),0,IF(OR(INDEX($B683:$D683,M$5)="F",AND(M$6&gt;0,$A683&lt;M$6),AND(M$7&gt;0,$A683&gt;M$7)),0,MAX(0,ROUND((INDEX($E683:$G683,M$5)-SUMIFS(TF_Timer,TF_Tekniker,M$4,TF_Dato,$A683))*2,0)/2)))</f>
        <v/>
      </c>
      <c r="N683">
        <f>IF(OR(N$4="",$A683&gt;TODAY()),0,IF(OR(INDEX($B683:$D683,N$5)="F",AND(N$6&gt;0,$A683&lt;N$6),AND(N$7&gt;0,$A683&gt;N$7)),0,MAX(0,ROUND((INDEX($E683:$G683,N$5)-SUMIFS(TF_Timer,TF_Tekniker,N$4,TF_Dato,$A683))*2,0)/2)))</f>
        <v/>
      </c>
      <c r="O683">
        <f>IF(OR(O$4="",$A683&gt;TODAY()),0,IF(OR(INDEX($B683:$D683,O$5)="F",AND(O$6&gt;0,$A683&lt;O$6),AND(O$7&gt;0,$A683&gt;O$7)),0,MAX(0,ROUND((INDEX($E683:$G683,O$5)-SUMIFS(TF_Timer,TF_Tekniker,O$4,TF_Dato,$A683))*2,0)/2)))</f>
        <v/>
      </c>
      <c r="P683">
        <f>IF(OR(P$4="",$A683&gt;TODAY()),0,IF(OR(INDEX($B683:$D683,P$5)="F",AND(P$6&gt;0,$A683&lt;P$6),AND(P$7&gt;0,$A683&gt;P$7)),0,MAX(0,ROUND((INDEX($E683:$G683,P$5)-SUMIFS(TF_Timer,TF_Tekniker,P$4,TF_Dato,$A683))*2,0)/2)))</f>
        <v/>
      </c>
      <c r="Q683">
        <f>IF(OR(Q$4="",$A683&gt;TODAY()),0,IF(OR(INDEX($B683:$D683,Q$5)="F",AND(Q$6&gt;0,$A683&lt;Q$6),AND(Q$7&gt;0,$A683&gt;Q$7)),0,MAX(0,ROUND((INDEX($E683:$G683,Q$5)-SUMIFS(TF_Timer,TF_Tekniker,Q$4,TF_Dato,$A683))*2,0)/2)))</f>
        <v/>
      </c>
      <c r="R683">
        <f>IF(OR(R$4="",$A683&gt;TODAY()),0,IF(OR(INDEX($B683:$D683,R$5)="F",AND(R$6&gt;0,$A683&lt;R$6),AND(R$7&gt;0,$A683&gt;R$7)),0,MAX(0,ROUND((INDEX($E683:$G683,R$5)-SUMIFS(TF_Timer,TF_Tekniker,R$4,TF_Dato,$A683))*2,0)/2)))</f>
        <v/>
      </c>
      <c r="S683">
        <f>IF(OR(S$4="",$A683&gt;TODAY()),0,IF(OR(INDEX($B683:$D683,S$5)="F",AND(S$6&gt;0,$A683&lt;S$6),AND(S$7&gt;0,$A683&gt;S$7)),0,MAX(0,ROUND((INDEX($E683:$G683,S$5)-SUMIFS(TF_Timer,TF_Tekniker,S$4,TF_Dato,$A683))*2,0)/2)))</f>
        <v/>
      </c>
      <c r="T683">
        <f>IF(OR(T$4="",$A683&gt;TODAY()),0,IF(OR(INDEX($B683:$D683,T$5)="F",AND(T$6&gt;0,$A683&lt;T$6),AND(T$7&gt;0,$A683&gt;T$7)),0,MAX(0,ROUND((INDEX($E683:$G683,T$5)-SUMIFS(TF_Timer,TF_Tekniker,T$4,TF_Dato,$A683))*2,0)/2)))</f>
        <v/>
      </c>
      <c r="U683">
        <f>IF(OR(U$4="",$A683&gt;TODAY()),0,IF(OR(INDEX($B683:$D683,U$5)="F",AND(U$6&gt;0,$A683&lt;U$6),AND(U$7&gt;0,$A683&gt;U$7)),0,MAX(0,ROUND((INDEX($E683:$G683,U$5)-SUMIFS(TF_Timer,TF_Tekniker,U$4,TF_Dato,$A683))*2,0)/2)))</f>
        <v/>
      </c>
      <c r="V683">
        <f>IF(OR(V$4="",$A683&gt;TODAY()),0,IF(OR(INDEX($B683:$D683,V$5)="F",AND(V$6&gt;0,$A683&lt;V$6),AND(V$7&gt;0,$A683&gt;V$7)),0,MAX(0,ROUND((INDEX($E683:$G683,V$5)-SUMIFS(TF_Timer,TF_Tekniker,V$4,TF_Dato,$A683))*2,0)/2)))</f>
        <v/>
      </c>
      <c r="W683">
        <f>IF(OR(W$4="",$A683&gt;TODAY()),0,IF(OR(INDEX($B683:$D683,W$5)="F",AND(W$6&gt;0,$A683&lt;W$6),AND(W$7&gt;0,$A683&gt;W$7)),0,MAX(0,ROUND((INDEX($E683:$G683,W$5)-SUMIFS(TF_Timer,TF_Tekniker,W$4,TF_Dato,$A683))*2,0)/2)))</f>
        <v/>
      </c>
      <c r="X683">
        <f>IF(OR(X$4="",$A683&gt;TODAY()),0,IF(OR(INDEX($B683:$D683,X$5)="F",AND(X$6&gt;0,$A683&lt;X$6),AND(X$7&gt;0,$A683&gt;X$7)),0,MAX(0,ROUND((INDEX($E683:$G683,X$5)-SUMIFS(TF_Timer,TF_Tekniker,X$4,TF_Dato,$A683))*2,0)/2)))</f>
        <v/>
      </c>
      <c r="Y683">
        <f>IF(OR(Y$4="",$A683&gt;TODAY()),0,IF(OR(INDEX($B683:$D683,Y$5)="F",AND(Y$6&gt;0,$A683&lt;Y$6),AND(Y$7&gt;0,$A683&gt;Y$7)),0,MAX(0,ROUND((INDEX($E683:$G683,Y$5)-SUMIFS(TF_Timer,TF_Tekniker,Y$4,TF_Dato,$A683))*2,0)/2)))</f>
        <v/>
      </c>
      <c r="Z683">
        <f>IF(OR(Z$4="",$A683&gt;TODAY()),0,IF(OR(INDEX($B683:$D683,Z$5)="F",AND(Z$6&gt;0,$A683&lt;Z$6),AND(Z$7&gt;0,$A683&gt;Z$7)),0,MAX(0,ROUND((INDEX($E683:$G683,Z$5)-SUMIFS(TF_Timer,TF_Tekniker,Z$4,TF_Dato,$A683))*2,0)/2)))</f>
        <v/>
      </c>
      <c r="AA683">
        <f>IF(OR(AA$4="",$A683&gt;TODAY()),0,IF(OR(INDEX($B683:$D683,AA$5)="F",AND(AA$6&gt;0,$A683&lt;AA$6),AND(AA$7&gt;0,$A683&gt;AA$7)),0,MAX(0,ROUND((INDEX($E683:$G683,AA$5)-SUMIFS(TF_Timer,TF_Tekniker,AA$4,TF_Dato,$A683))*2,0)/2)))</f>
        <v/>
      </c>
      <c r="AB683">
        <f>IF(OR(AB$4="",$A683&gt;TODAY()),0,IF(OR(INDEX($B683:$D683,AB$5)="F",AND(AB$6&gt;0,$A683&lt;AB$6),AND(AB$7&gt;0,$A683&gt;AB$7)),0,MAX(0,ROUND((INDEX($E683:$G683,AB$5)-SUMIFS(TF_Timer,TF_Tekniker,AB$4,TF_Dato,$A683))*2,0)/2)))</f>
        <v/>
      </c>
      <c r="AC683">
        <f>IF(OR(AC$4="",$A683&gt;TODAY()),0,IF(OR(INDEX($B683:$D683,AC$5)="F",AND(AC$6&gt;0,$A683&lt;AC$6),AND(AC$7&gt;0,$A683&gt;AC$7)),0,MAX(0,ROUND((INDEX($E683:$G683,AC$5)-SUMIFS(TF_Timer,TF_Tekniker,AC$4,TF_Dato,$A683))*2,0)/2)))</f>
        <v/>
      </c>
      <c r="AD683">
        <f>IF(OR(AD$4="",$A683&gt;TODAY()),0,IF(OR(INDEX($B683:$D683,AD$5)="F",AND(AD$6&gt;0,$A683&lt;AD$6),AND(AD$7&gt;0,$A683&gt;AD$7)),0,MAX(0,ROUND((INDEX($E683:$G683,AD$5)-SUMIFS(TF_Timer,TF_Tekniker,AD$4,TF_Dato,$A683))*2,0)/2)))</f>
        <v/>
      </c>
      <c r="AE683">
        <f>IF(OR(AE$4="",$A683&gt;TODAY()),0,IF(OR(INDEX($B683:$D683,AE$5)="F",AND(AE$6&gt;0,$A683&lt;AE$6),AND(AE$7&gt;0,$A683&gt;AE$7)),0,MAX(0,ROUND((INDEX($E683:$G683,AE$5)-SUMIFS(TF_Timer,TF_Tekniker,AE$4,TF_Dato,$A683))*2,0)/2)))</f>
        <v/>
      </c>
      <c r="AF683">
        <f>IF(OR(AF$4="",$A683&gt;TODAY()),0,IF(OR(INDEX($B683:$D683,AF$5)="F",AND(AF$6&gt;0,$A683&lt;AF$6),AND(AF$7&gt;0,$A683&gt;AF$7)),0,MAX(0,ROUND((INDEX($E683:$G683,AF$5)-SUMIFS(TF_Timer,TF_Tekniker,AF$4,TF_Dato,$A683))*2,0)/2)))</f>
        <v/>
      </c>
      <c r="AG683">
        <f>IF(OR(AG$4="",$A683&gt;TODAY()),0,IF(OR(INDEX($B683:$D683,AG$5)="F",AND(AG$6&gt;0,$A683&lt;AG$6),AND(AG$7&gt;0,$A683&gt;AG$7)),0,MAX(0,ROUND((INDEX($E683:$G683,AG$5)-SUMIFS(TF_Timer,TF_Tekniker,AG$4,TF_Dato,$A683))*2,0)/2)))</f>
        <v/>
      </c>
      <c r="AH683">
        <f>IF(OR(AH$4="",$A683&gt;TODAY()),0,IF(OR(INDEX($B683:$D683,AH$5)="F",AND(AH$6&gt;0,$A683&lt;AH$6),AND(AH$7&gt;0,$A683&gt;AH$7)),0,MAX(0,ROUND((INDEX($E683:$G683,AH$5)-SUMIFS(TF_Timer,TF_Tekniker,AH$4,TF_Dato,$A683))*2,0)/2)))</f>
        <v/>
      </c>
      <c r="AI683">
        <f>IF(OR(AI$4="",$A683&gt;TODAY()),0,IF(OR(INDEX($B683:$D683,AI$5)="F",AND(AI$6&gt;0,$A683&lt;AI$6),AND(AI$7&gt;0,$A683&gt;AI$7)),0,MAX(0,ROUND((INDEX($E683:$G683,AI$5)-SUMIFS(TF_Timer,TF_Tekniker,AI$4,TF_Dato,$A683))*2,0)/2)))</f>
        <v/>
      </c>
      <c r="AJ683">
        <f>IF(OR(AJ$4="",$A683&gt;TODAY()),0,IF(OR(INDEX($B683:$D683,AJ$5)="F",AND(AJ$6&gt;0,$A683&lt;AJ$6),AND(AJ$7&gt;0,$A683&gt;AJ$7)),0,MAX(0,ROUND((INDEX($E683:$G683,AJ$5)-SUMIFS(TF_Timer,TF_Tekniker,AJ$4,TF_Dato,$A683))*2,0)/2)))</f>
        <v/>
      </c>
      <c r="AK683">
        <f>IF(OR(AK$4="",$A683&gt;TODAY()),0,IF(OR(INDEX($B683:$D683,AK$5)="F",AND(AK$6&gt;0,$A683&lt;AK$6),AND(AK$7&gt;0,$A683&gt;AK$7)),0,MAX(0,ROUND((INDEX($E683:$G683,AK$5)-SUMIFS(TF_Timer,TF_Tekniker,AK$4,TF_Dato,$A683))*2,0)/2)))</f>
        <v/>
      </c>
      <c r="AL683">
        <f>IF(OR(AL$4="",$A683&gt;TODAY()),0,IF(OR(INDEX($B683:$D683,AL$5)="F",AND(AL$6&gt;0,$A683&lt;AL$6),AND(AL$7&gt;0,$A683&gt;AL$7)),0,MAX(0,ROUND((INDEX($E683:$G683,AL$5)-SUMIFS(TF_Timer,TF_Tekniker,AL$4,TF_Dato,$A683))*2,0)/2)))</f>
        <v/>
      </c>
      <c r="AM683">
        <f>IF(OR(AM$4="",$A683&gt;TODAY()),0,IF(OR(INDEX($B683:$D683,AM$5)="F",AND(AM$6&gt;0,$A683&lt;AM$6),AND(AM$7&gt;0,$A683&gt;AM$7)),0,MAX(0,ROUND((INDEX($E683:$G683,AM$5)-SUMIFS(TF_Timer,TF_Tekniker,AM$4,TF_Dato,$A683))*2,0)/2)))</f>
        <v/>
      </c>
      <c r="AN683">
        <f>IF(OR(AN$4="",$A683&gt;TODAY()),0,IF(OR(INDEX($B683:$D683,AN$5)="F",AND(AN$6&gt;0,$A683&lt;AN$6),AND(AN$7&gt;0,$A683&gt;AN$7)),0,MAX(0,ROUND((INDEX($E683:$G683,AN$5)-SUMIFS(TF_Timer,TF_Tekniker,AN$4,TF_Dato,$A683))*2,0)/2)))</f>
        <v/>
      </c>
      <c r="AO683">
        <f>IF(OR(AO$4="",$A683&gt;TODAY()),0,IF(OR(INDEX($B683:$D683,AO$5)="F",AND(AO$6&gt;0,$A683&lt;AO$6),AND(AO$7&gt;0,$A683&gt;AO$7)),0,MAX(0,ROUND((INDEX($E683:$G683,AO$5)-SUMIFS(TF_Timer,TF_Tekniker,AO$4,TF_Dato,$A683))*2,0)/2)))</f>
        <v/>
      </c>
      <c r="AP683">
        <f>IF(OR(AP$4="",$A683&gt;TODAY()),0,IF(OR(INDEX($B683:$D683,AP$5)="F",AND(AP$6&gt;0,$A683&lt;AP$6),AND(AP$7&gt;0,$A683&gt;AP$7)),0,MAX(0,ROUND((INDEX($E683:$G683,AP$5)-SUMIFS(TF_Timer,TF_Tekniker,AP$4,TF_Dato,$A683))*2,0)/2)))</f>
        <v/>
      </c>
      <c r="AQ683">
        <f>IF(OR(AQ$4="",$A683&gt;TODAY()),0,IF(OR(INDEX($B683:$D683,AQ$5)="F",AND(AQ$6&gt;0,$A683&lt;AQ$6),AND(AQ$7&gt;0,$A683&gt;AQ$7)),0,MAX(0,ROUND((INDEX($E683:$G683,AQ$5)-SUMIFS(TF_Timer,TF_Tekniker,AQ$4,TF_Dato,$A683))*2,0)/2)))</f>
        <v/>
      </c>
      <c r="AR683">
        <f>IF(OR(AR$4="",$A683&gt;TODAY()),0,IF(OR(INDEX($B683:$D683,AR$5)="F",AND(AR$6&gt;0,$A683&lt;AR$6),AND(AR$7&gt;0,$A683&gt;AR$7)),0,MAX(0,ROUND((INDEX($E683:$G683,AR$5)-SUMIFS(TF_Timer,TF_Tekniker,AR$4,TF_Dato,$A683))*2,0)/2)))</f>
        <v/>
      </c>
      <c r="AS683">
        <f>IF(OR(AS$4="",$A683&gt;TODAY()),0,IF(OR(INDEX($B683:$D683,AS$5)="F",AND(AS$6&gt;0,$A683&lt;AS$6),AND(AS$7&gt;0,$A683&gt;AS$7)),0,MAX(0,ROUND((INDEX($E683:$G683,AS$5)-SUMIFS(TF_Timer,TF_Tekniker,AS$4,TF_Dato,$A683))*2,0)/2)))</f>
        <v/>
      </c>
      <c r="AT683">
        <f>IF(OR(AT$4="",$A683&gt;TODAY()),0,IF(OR(INDEX($B683:$D683,AT$5)="F",AND(AT$6&gt;0,$A683&lt;AT$6),AND(AT$7&gt;0,$A683&gt;AT$7)),0,MAX(0,ROUND((INDEX($E683:$G683,AT$5)-SUMIFS(TF_Timer,TF_Tekniker,AT$4,TF_Dato,$A683))*2,0)/2)))</f>
        <v/>
      </c>
      <c r="AU683">
        <f>IF(OR(AU$4="",$A683&gt;TODAY()),0,IF(OR(INDEX($B683:$D683,AU$5)="F",AND(AU$6&gt;0,$A683&lt;AU$6),AND(AU$7&gt;0,$A683&gt;AU$7)),0,MAX(0,ROUND((INDEX($E683:$G683,AU$5)-SUMIFS(TF_Timer,TF_Tekniker,AU$4,TF_Dato,$A683))*2,0)/2)))</f>
        <v/>
      </c>
      <c r="AV683">
        <f>IF(OR(AV$4="",$A683&gt;TODAY()),0,IF(OR(INDEX($B683:$D683,AV$5)="F",AND(AV$6&gt;0,$A683&lt;AV$6),AND(AV$7&gt;0,$A683&gt;AV$7)),0,MAX(0,ROUND((INDEX($E683:$G683,AV$5)-SUMIFS(TF_Timer,TF_Tekniker,AV$4,TF_Dato,$A683))*2,0)/2)))</f>
        <v/>
      </c>
      <c r="AW683">
        <f>IF(OR(AW$4="",$A683&gt;TODAY()),0,IF(OR(INDEX($B683:$D683,AW$5)="F",AND(AW$6&gt;0,$A683&lt;AW$6),AND(AW$7&gt;0,$A683&gt;AW$7)),0,MAX(0,ROUND((INDEX($E683:$G683,AW$5)-SUMIFS(TF_Timer,TF_Tekniker,AW$4,TF_Dato,$A683))*2,0)/2)))</f>
        <v/>
      </c>
      <c r="AX683">
        <f>IF(OR(AX$4="",$A683&gt;TODAY()),0,IF(OR(INDEX($B683:$D683,AX$5)="F",AND(AX$6&gt;0,$A683&lt;AX$6),AND(AX$7&gt;0,$A683&gt;AX$7)),0,MAX(0,ROUND((INDEX($E683:$G683,AX$5)-SUMIFS(TF_Timer,TF_Tekniker,AX$4,TF_Dato,$A683))*2,0)/2)))</f>
        <v/>
      </c>
      <c r="AY683">
        <f>IF(OR(AY$4="",$A683&gt;TODAY()),0,IF(OR(INDEX($B683:$D683,AY$5)="F",AND(AY$6&gt;0,$A683&lt;AY$6),AND(AY$7&gt;0,$A683&gt;AY$7)),0,MAX(0,ROUND((INDEX($E683:$G683,AY$5)-SUMIFS(TF_Timer,TF_Tekniker,AY$4,TF_Dato,$A683))*2,0)/2)))</f>
        <v/>
      </c>
      <c r="AZ683">
        <f>IF(OR(AZ$4="",$A683&gt;TODAY()),0,IF(OR(INDEX($B683:$D683,AZ$5)="F",AND(AZ$6&gt;0,$A683&lt;AZ$6),AND(AZ$7&gt;0,$A683&gt;AZ$7)),0,MAX(0,ROUND((INDEX($E683:$G683,AZ$5)-SUMIFS(TF_Timer,TF_Tekniker,AZ$4,TF_Dato,$A683))*2,0)/2)))</f>
        <v/>
      </c>
      <c r="BA683">
        <f>IF(OR(BA$4="",$A683&gt;TODAY()),0,IF(OR(INDEX($B683:$D683,BA$5)="F",AND(BA$6&gt;0,$A683&lt;BA$6),AND(BA$7&gt;0,$A683&gt;BA$7)),0,MAX(0,ROUND((INDEX($E683:$G683,BA$5)-SUMIFS(TF_Timer,TF_Tekniker,BA$4,TF_Dato,$A683))*2,0)/2)))</f>
        <v/>
      </c>
      <c r="BB683">
        <f>IF(OR(BB$4="",$A683&gt;TODAY()),0,IF(OR(INDEX($B683:$D683,BB$5)="F",AND(BB$6&gt;0,$A683&lt;BB$6),AND(BB$7&gt;0,$A683&gt;BB$7)),0,MAX(0,ROUND((INDEX($E683:$G683,BB$5)-SUMIFS(TF_Timer,TF_Tekniker,BB$4,TF_Dato,$A683))*2,0)/2)))</f>
        <v/>
      </c>
      <c r="BC683">
        <f>IF(OR(BC$4="",$A683&gt;TODAY()),0,IF(OR(INDEX($B683:$D683,BC$5)="F",AND(BC$6&gt;0,$A683&lt;BC$6),AND(BC$7&gt;0,$A683&gt;BC$7)),0,MAX(0,ROUND((INDEX($E683:$G683,BC$5)-SUMIFS(TF_Timer,TF_Tekniker,BC$4,TF_Dato,$A683))*2,0)/2)))</f>
        <v/>
      </c>
      <c r="BD683">
        <f>IF(OR(BD$4="",$A683&gt;TODAY()),0,IF(OR(INDEX($B683:$D683,BD$5)="F",AND(BD$6&gt;0,$A683&lt;BD$6),AND(BD$7&gt;0,$A683&gt;BD$7)),0,MAX(0,ROUND((INDEX($E683:$G683,BD$5)-SUMIFS(TF_Timer,TF_Tekniker,BD$4,TF_Dato,$A683))*2,0)/2)))</f>
        <v/>
      </c>
      <c r="BE683">
        <f>IF(OR(BE$4="",$A683&gt;TODAY()),0,IF(OR(INDEX($B683:$D683,BE$5)="F",AND(BE$6&gt;0,$A683&lt;BE$6),AND(BE$7&gt;0,$A683&gt;BE$7)),0,MAX(0,ROUND((INDEX($E683:$G683,BE$5)-SUMIFS(TF_Timer,TF_Tekniker,BE$4,TF_Dato,$A683))*2,0)/2)))</f>
        <v/>
      </c>
      <c r="BF683">
        <f>IF(OR(BF$4="",$A683&gt;TODAY()),0,IF(OR(INDEX($B683:$D683,BF$5)="F",AND(BF$6&gt;0,$A683&lt;BF$6),AND(BF$7&gt;0,$A683&gt;BF$7)),0,MAX(0,ROUND((INDEX($E683:$G683,BF$5)-SUMIFS(TF_Timer,TF_Tekniker,BF$4,TF_Dato,$A683))*2,0)/2)))</f>
        <v/>
      </c>
      <c r="BG683">
        <f>IF(OR(BG$4="",$A683&gt;TODAY()),0,IF(OR(INDEX($B683:$D683,BG$5)="F",AND(BG$6&gt;0,$A683&lt;BG$6),AND(BG$7&gt;0,$A683&gt;BG$7)),0,MAX(0,ROUND((INDEX($E683:$G683,BG$5)-SUMIFS(TF_Timer,TF_Tekniker,BG$4,TF_Dato,$A683))*2,0)/2)))</f>
        <v/>
      </c>
      <c r="BH683">
        <f>IF(OR(BH$4="",$A683&gt;TODAY()),0,IF(OR(INDEX($B683:$D683,BH$5)="F",AND(BH$6&gt;0,$A683&lt;BH$6),AND(BH$7&gt;0,$A683&gt;BH$7)),0,MAX(0,ROUND((INDEX($E683:$G683,BH$5)-SUMIFS(TF_Timer,TF_Tekniker,BH$4,TF_Dato,$A683))*2,0)/2)))</f>
        <v/>
      </c>
      <c r="BI683">
        <f>IF(OR(BI$4="",$A683&gt;TODAY()),0,IF(OR(INDEX($B683:$D683,BI$5)="F",AND(BI$6&gt;0,$A683&lt;BI$6),AND(BI$7&gt;0,$A683&gt;BI$7)),0,MAX(0,ROUND((INDEX($E683:$G683,BI$5)-SUMIFS(TF_Timer,TF_Tekniker,BI$4,TF_Dato,$A683))*2,0)/2)))</f>
        <v/>
      </c>
    </row>
    <row r="684">
      <c r="A684" s="64">
        <f>A683+1</f>
        <v/>
      </c>
      <c r="B684">
        <f>IF(MOD($A684-INDEX(SkiftStart,1),Syklus)&lt;DagK,"K",IF(MOD($A684-INDEX(SkiftStart,1),Syklus)&lt;DagK+DagH,"H",IF(MOD($A684-INDEX(SkiftStart,1),Syklus)&lt;DagK+DagH+DagD,"D","F")))</f>
        <v/>
      </c>
      <c r="C684">
        <f>IF(MOD($A684-INDEX(SkiftStart,2),Syklus)&lt;DagK,"K",IF(MOD($A684-INDEX(SkiftStart,2),Syklus)&lt;DagK+DagH,"H",IF(MOD($A684-INDEX(SkiftStart,2),Syklus)&lt;DagK+DagH+DagD,"D","F")))</f>
        <v/>
      </c>
      <c r="D684">
        <f>IF(MOD($A684-INDEX(SkiftStart,3),Syklus)&lt;DagK,"K",IF(MOD($A684-INDEX(SkiftStart,3),Syklus)&lt;DagK+DagH,"H",IF(MOD($A684-INDEX(SkiftStart,3),Syklus)&lt;DagK+DagH+DagD,"D","F")))</f>
        <v/>
      </c>
      <c r="E684">
        <f>IF(B684="F",0,IF(WEEKDAY($A684,2)=5,INDEX(TimerFr,MATCH(B684,FaseKode,0)),INDEX(TimerMT,MATCH(B684,FaseKode,0))))</f>
        <v/>
      </c>
      <c r="F684">
        <f>IF(C684="F",0,IF(WEEKDAY($A684,2)=5,INDEX(TimerFr,MATCH(C684,FaseKode,0)),INDEX(TimerMT,MATCH(C684,FaseKode,0))))</f>
        <v/>
      </c>
      <c r="G684">
        <f>IF(D684="F",0,IF(WEEKDAY($A684,2)=5,INDEX(TimerFr,MATCH(D684,FaseKode,0)),INDEX(TimerMT,MATCH(D684,FaseKode,0))))</f>
        <v/>
      </c>
      <c r="H684">
        <f>IF(OR(H$4="",$A684&gt;TODAY()),0,IF(OR(INDEX($B684:$D684,H$5)="F",AND(H$6&gt;0,$A684&lt;H$6),AND(H$7&gt;0,$A684&gt;H$7)),0,MAX(0,ROUND((INDEX($E684:$G684,H$5)-SUMIFS(TF_Timer,TF_Tekniker,H$4,TF_Dato,$A684))*2,0)/2)))</f>
        <v/>
      </c>
      <c r="I684">
        <f>IF(OR(I$4="",$A684&gt;TODAY()),0,IF(OR(INDEX($B684:$D684,I$5)="F",AND(I$6&gt;0,$A684&lt;I$6),AND(I$7&gt;0,$A684&gt;I$7)),0,MAX(0,ROUND((INDEX($E684:$G684,I$5)-SUMIFS(TF_Timer,TF_Tekniker,I$4,TF_Dato,$A684))*2,0)/2)))</f>
        <v/>
      </c>
      <c r="J684">
        <f>IF(OR(J$4="",$A684&gt;TODAY()),0,IF(OR(INDEX($B684:$D684,J$5)="F",AND(J$6&gt;0,$A684&lt;J$6),AND(J$7&gt;0,$A684&gt;J$7)),0,MAX(0,ROUND((INDEX($E684:$G684,J$5)-SUMIFS(TF_Timer,TF_Tekniker,J$4,TF_Dato,$A684))*2,0)/2)))</f>
        <v/>
      </c>
      <c r="K684">
        <f>IF(OR(K$4="",$A684&gt;TODAY()),0,IF(OR(INDEX($B684:$D684,K$5)="F",AND(K$6&gt;0,$A684&lt;K$6),AND(K$7&gt;0,$A684&gt;K$7)),0,MAX(0,ROUND((INDEX($E684:$G684,K$5)-SUMIFS(TF_Timer,TF_Tekniker,K$4,TF_Dato,$A684))*2,0)/2)))</f>
        <v/>
      </c>
      <c r="L684">
        <f>IF(OR(L$4="",$A684&gt;TODAY()),0,IF(OR(INDEX($B684:$D684,L$5)="F",AND(L$6&gt;0,$A684&lt;L$6),AND(L$7&gt;0,$A684&gt;L$7)),0,MAX(0,ROUND((INDEX($E684:$G684,L$5)-SUMIFS(TF_Timer,TF_Tekniker,L$4,TF_Dato,$A684))*2,0)/2)))</f>
        <v/>
      </c>
      <c r="M684">
        <f>IF(OR(M$4="",$A684&gt;TODAY()),0,IF(OR(INDEX($B684:$D684,M$5)="F",AND(M$6&gt;0,$A684&lt;M$6),AND(M$7&gt;0,$A684&gt;M$7)),0,MAX(0,ROUND((INDEX($E684:$G684,M$5)-SUMIFS(TF_Timer,TF_Tekniker,M$4,TF_Dato,$A684))*2,0)/2)))</f>
        <v/>
      </c>
      <c r="N684">
        <f>IF(OR(N$4="",$A684&gt;TODAY()),0,IF(OR(INDEX($B684:$D684,N$5)="F",AND(N$6&gt;0,$A684&lt;N$6),AND(N$7&gt;0,$A684&gt;N$7)),0,MAX(0,ROUND((INDEX($E684:$G684,N$5)-SUMIFS(TF_Timer,TF_Tekniker,N$4,TF_Dato,$A684))*2,0)/2)))</f>
        <v/>
      </c>
      <c r="O684">
        <f>IF(OR(O$4="",$A684&gt;TODAY()),0,IF(OR(INDEX($B684:$D684,O$5)="F",AND(O$6&gt;0,$A684&lt;O$6),AND(O$7&gt;0,$A684&gt;O$7)),0,MAX(0,ROUND((INDEX($E684:$G684,O$5)-SUMIFS(TF_Timer,TF_Tekniker,O$4,TF_Dato,$A684))*2,0)/2)))</f>
        <v/>
      </c>
      <c r="P684">
        <f>IF(OR(P$4="",$A684&gt;TODAY()),0,IF(OR(INDEX($B684:$D684,P$5)="F",AND(P$6&gt;0,$A684&lt;P$6),AND(P$7&gt;0,$A684&gt;P$7)),0,MAX(0,ROUND((INDEX($E684:$G684,P$5)-SUMIFS(TF_Timer,TF_Tekniker,P$4,TF_Dato,$A684))*2,0)/2)))</f>
        <v/>
      </c>
      <c r="Q684">
        <f>IF(OR(Q$4="",$A684&gt;TODAY()),0,IF(OR(INDEX($B684:$D684,Q$5)="F",AND(Q$6&gt;0,$A684&lt;Q$6),AND(Q$7&gt;0,$A684&gt;Q$7)),0,MAX(0,ROUND((INDEX($E684:$G684,Q$5)-SUMIFS(TF_Timer,TF_Tekniker,Q$4,TF_Dato,$A684))*2,0)/2)))</f>
        <v/>
      </c>
      <c r="R684">
        <f>IF(OR(R$4="",$A684&gt;TODAY()),0,IF(OR(INDEX($B684:$D684,R$5)="F",AND(R$6&gt;0,$A684&lt;R$6),AND(R$7&gt;0,$A684&gt;R$7)),0,MAX(0,ROUND((INDEX($E684:$G684,R$5)-SUMIFS(TF_Timer,TF_Tekniker,R$4,TF_Dato,$A684))*2,0)/2)))</f>
        <v/>
      </c>
      <c r="S684">
        <f>IF(OR(S$4="",$A684&gt;TODAY()),0,IF(OR(INDEX($B684:$D684,S$5)="F",AND(S$6&gt;0,$A684&lt;S$6),AND(S$7&gt;0,$A684&gt;S$7)),0,MAX(0,ROUND((INDEX($E684:$G684,S$5)-SUMIFS(TF_Timer,TF_Tekniker,S$4,TF_Dato,$A684))*2,0)/2)))</f>
        <v/>
      </c>
      <c r="T684">
        <f>IF(OR(T$4="",$A684&gt;TODAY()),0,IF(OR(INDEX($B684:$D684,T$5)="F",AND(T$6&gt;0,$A684&lt;T$6),AND(T$7&gt;0,$A684&gt;T$7)),0,MAX(0,ROUND((INDEX($E684:$G684,T$5)-SUMIFS(TF_Timer,TF_Tekniker,T$4,TF_Dato,$A684))*2,0)/2)))</f>
        <v/>
      </c>
      <c r="U684">
        <f>IF(OR(U$4="",$A684&gt;TODAY()),0,IF(OR(INDEX($B684:$D684,U$5)="F",AND(U$6&gt;0,$A684&lt;U$6),AND(U$7&gt;0,$A684&gt;U$7)),0,MAX(0,ROUND((INDEX($E684:$G684,U$5)-SUMIFS(TF_Timer,TF_Tekniker,U$4,TF_Dato,$A684))*2,0)/2)))</f>
        <v/>
      </c>
      <c r="V684">
        <f>IF(OR(V$4="",$A684&gt;TODAY()),0,IF(OR(INDEX($B684:$D684,V$5)="F",AND(V$6&gt;0,$A684&lt;V$6),AND(V$7&gt;0,$A684&gt;V$7)),0,MAX(0,ROUND((INDEX($E684:$G684,V$5)-SUMIFS(TF_Timer,TF_Tekniker,V$4,TF_Dato,$A684))*2,0)/2)))</f>
        <v/>
      </c>
      <c r="W684">
        <f>IF(OR(W$4="",$A684&gt;TODAY()),0,IF(OR(INDEX($B684:$D684,W$5)="F",AND(W$6&gt;0,$A684&lt;W$6),AND(W$7&gt;0,$A684&gt;W$7)),0,MAX(0,ROUND((INDEX($E684:$G684,W$5)-SUMIFS(TF_Timer,TF_Tekniker,W$4,TF_Dato,$A684))*2,0)/2)))</f>
        <v/>
      </c>
      <c r="X684">
        <f>IF(OR(X$4="",$A684&gt;TODAY()),0,IF(OR(INDEX($B684:$D684,X$5)="F",AND(X$6&gt;0,$A684&lt;X$6),AND(X$7&gt;0,$A684&gt;X$7)),0,MAX(0,ROUND((INDEX($E684:$G684,X$5)-SUMIFS(TF_Timer,TF_Tekniker,X$4,TF_Dato,$A684))*2,0)/2)))</f>
        <v/>
      </c>
      <c r="Y684">
        <f>IF(OR(Y$4="",$A684&gt;TODAY()),0,IF(OR(INDEX($B684:$D684,Y$5)="F",AND(Y$6&gt;0,$A684&lt;Y$6),AND(Y$7&gt;0,$A684&gt;Y$7)),0,MAX(0,ROUND((INDEX($E684:$G684,Y$5)-SUMIFS(TF_Timer,TF_Tekniker,Y$4,TF_Dato,$A684))*2,0)/2)))</f>
        <v/>
      </c>
      <c r="Z684">
        <f>IF(OR(Z$4="",$A684&gt;TODAY()),0,IF(OR(INDEX($B684:$D684,Z$5)="F",AND(Z$6&gt;0,$A684&lt;Z$6),AND(Z$7&gt;0,$A684&gt;Z$7)),0,MAX(0,ROUND((INDEX($E684:$G684,Z$5)-SUMIFS(TF_Timer,TF_Tekniker,Z$4,TF_Dato,$A684))*2,0)/2)))</f>
        <v/>
      </c>
      <c r="AA684">
        <f>IF(OR(AA$4="",$A684&gt;TODAY()),0,IF(OR(INDEX($B684:$D684,AA$5)="F",AND(AA$6&gt;0,$A684&lt;AA$6),AND(AA$7&gt;0,$A684&gt;AA$7)),0,MAX(0,ROUND((INDEX($E684:$G684,AA$5)-SUMIFS(TF_Timer,TF_Tekniker,AA$4,TF_Dato,$A684))*2,0)/2)))</f>
        <v/>
      </c>
      <c r="AB684">
        <f>IF(OR(AB$4="",$A684&gt;TODAY()),0,IF(OR(INDEX($B684:$D684,AB$5)="F",AND(AB$6&gt;0,$A684&lt;AB$6),AND(AB$7&gt;0,$A684&gt;AB$7)),0,MAX(0,ROUND((INDEX($E684:$G684,AB$5)-SUMIFS(TF_Timer,TF_Tekniker,AB$4,TF_Dato,$A684))*2,0)/2)))</f>
        <v/>
      </c>
      <c r="AC684">
        <f>IF(OR(AC$4="",$A684&gt;TODAY()),0,IF(OR(INDEX($B684:$D684,AC$5)="F",AND(AC$6&gt;0,$A684&lt;AC$6),AND(AC$7&gt;0,$A684&gt;AC$7)),0,MAX(0,ROUND((INDEX($E684:$G684,AC$5)-SUMIFS(TF_Timer,TF_Tekniker,AC$4,TF_Dato,$A684))*2,0)/2)))</f>
        <v/>
      </c>
      <c r="AD684">
        <f>IF(OR(AD$4="",$A684&gt;TODAY()),0,IF(OR(INDEX($B684:$D684,AD$5)="F",AND(AD$6&gt;0,$A684&lt;AD$6),AND(AD$7&gt;0,$A684&gt;AD$7)),0,MAX(0,ROUND((INDEX($E684:$G684,AD$5)-SUMIFS(TF_Timer,TF_Tekniker,AD$4,TF_Dato,$A684))*2,0)/2)))</f>
        <v/>
      </c>
      <c r="AE684">
        <f>IF(OR(AE$4="",$A684&gt;TODAY()),0,IF(OR(INDEX($B684:$D684,AE$5)="F",AND(AE$6&gt;0,$A684&lt;AE$6),AND(AE$7&gt;0,$A684&gt;AE$7)),0,MAX(0,ROUND((INDEX($E684:$G684,AE$5)-SUMIFS(TF_Timer,TF_Tekniker,AE$4,TF_Dato,$A684))*2,0)/2)))</f>
        <v/>
      </c>
      <c r="AF684">
        <f>IF(OR(AF$4="",$A684&gt;TODAY()),0,IF(OR(INDEX($B684:$D684,AF$5)="F",AND(AF$6&gt;0,$A684&lt;AF$6),AND(AF$7&gt;0,$A684&gt;AF$7)),0,MAX(0,ROUND((INDEX($E684:$G684,AF$5)-SUMIFS(TF_Timer,TF_Tekniker,AF$4,TF_Dato,$A684))*2,0)/2)))</f>
        <v/>
      </c>
      <c r="AG684">
        <f>IF(OR(AG$4="",$A684&gt;TODAY()),0,IF(OR(INDEX($B684:$D684,AG$5)="F",AND(AG$6&gt;0,$A684&lt;AG$6),AND(AG$7&gt;0,$A684&gt;AG$7)),0,MAX(0,ROUND((INDEX($E684:$G684,AG$5)-SUMIFS(TF_Timer,TF_Tekniker,AG$4,TF_Dato,$A684))*2,0)/2)))</f>
        <v/>
      </c>
      <c r="AH684">
        <f>IF(OR(AH$4="",$A684&gt;TODAY()),0,IF(OR(INDEX($B684:$D684,AH$5)="F",AND(AH$6&gt;0,$A684&lt;AH$6),AND(AH$7&gt;0,$A684&gt;AH$7)),0,MAX(0,ROUND((INDEX($E684:$G684,AH$5)-SUMIFS(TF_Timer,TF_Tekniker,AH$4,TF_Dato,$A684))*2,0)/2)))</f>
        <v/>
      </c>
      <c r="AI684">
        <f>IF(OR(AI$4="",$A684&gt;TODAY()),0,IF(OR(INDEX($B684:$D684,AI$5)="F",AND(AI$6&gt;0,$A684&lt;AI$6),AND(AI$7&gt;0,$A684&gt;AI$7)),0,MAX(0,ROUND((INDEX($E684:$G684,AI$5)-SUMIFS(TF_Timer,TF_Tekniker,AI$4,TF_Dato,$A684))*2,0)/2)))</f>
        <v/>
      </c>
      <c r="AJ684">
        <f>IF(OR(AJ$4="",$A684&gt;TODAY()),0,IF(OR(INDEX($B684:$D684,AJ$5)="F",AND(AJ$6&gt;0,$A684&lt;AJ$6),AND(AJ$7&gt;0,$A684&gt;AJ$7)),0,MAX(0,ROUND((INDEX($E684:$G684,AJ$5)-SUMIFS(TF_Timer,TF_Tekniker,AJ$4,TF_Dato,$A684))*2,0)/2)))</f>
        <v/>
      </c>
      <c r="AK684">
        <f>IF(OR(AK$4="",$A684&gt;TODAY()),0,IF(OR(INDEX($B684:$D684,AK$5)="F",AND(AK$6&gt;0,$A684&lt;AK$6),AND(AK$7&gt;0,$A684&gt;AK$7)),0,MAX(0,ROUND((INDEX($E684:$G684,AK$5)-SUMIFS(TF_Timer,TF_Tekniker,AK$4,TF_Dato,$A684))*2,0)/2)))</f>
        <v/>
      </c>
      <c r="AL684">
        <f>IF(OR(AL$4="",$A684&gt;TODAY()),0,IF(OR(INDEX($B684:$D684,AL$5)="F",AND(AL$6&gt;0,$A684&lt;AL$6),AND(AL$7&gt;0,$A684&gt;AL$7)),0,MAX(0,ROUND((INDEX($E684:$G684,AL$5)-SUMIFS(TF_Timer,TF_Tekniker,AL$4,TF_Dato,$A684))*2,0)/2)))</f>
        <v/>
      </c>
      <c r="AM684">
        <f>IF(OR(AM$4="",$A684&gt;TODAY()),0,IF(OR(INDEX($B684:$D684,AM$5)="F",AND(AM$6&gt;0,$A684&lt;AM$6),AND(AM$7&gt;0,$A684&gt;AM$7)),0,MAX(0,ROUND((INDEX($E684:$G684,AM$5)-SUMIFS(TF_Timer,TF_Tekniker,AM$4,TF_Dato,$A684))*2,0)/2)))</f>
        <v/>
      </c>
      <c r="AN684">
        <f>IF(OR(AN$4="",$A684&gt;TODAY()),0,IF(OR(INDEX($B684:$D684,AN$5)="F",AND(AN$6&gt;0,$A684&lt;AN$6),AND(AN$7&gt;0,$A684&gt;AN$7)),0,MAX(0,ROUND((INDEX($E684:$G684,AN$5)-SUMIFS(TF_Timer,TF_Tekniker,AN$4,TF_Dato,$A684))*2,0)/2)))</f>
        <v/>
      </c>
      <c r="AO684">
        <f>IF(OR(AO$4="",$A684&gt;TODAY()),0,IF(OR(INDEX($B684:$D684,AO$5)="F",AND(AO$6&gt;0,$A684&lt;AO$6),AND(AO$7&gt;0,$A684&gt;AO$7)),0,MAX(0,ROUND((INDEX($E684:$G684,AO$5)-SUMIFS(TF_Timer,TF_Tekniker,AO$4,TF_Dato,$A684))*2,0)/2)))</f>
        <v/>
      </c>
      <c r="AP684">
        <f>IF(OR(AP$4="",$A684&gt;TODAY()),0,IF(OR(INDEX($B684:$D684,AP$5)="F",AND(AP$6&gt;0,$A684&lt;AP$6),AND(AP$7&gt;0,$A684&gt;AP$7)),0,MAX(0,ROUND((INDEX($E684:$G684,AP$5)-SUMIFS(TF_Timer,TF_Tekniker,AP$4,TF_Dato,$A684))*2,0)/2)))</f>
        <v/>
      </c>
      <c r="AQ684">
        <f>IF(OR(AQ$4="",$A684&gt;TODAY()),0,IF(OR(INDEX($B684:$D684,AQ$5)="F",AND(AQ$6&gt;0,$A684&lt;AQ$6),AND(AQ$7&gt;0,$A684&gt;AQ$7)),0,MAX(0,ROUND((INDEX($E684:$G684,AQ$5)-SUMIFS(TF_Timer,TF_Tekniker,AQ$4,TF_Dato,$A684))*2,0)/2)))</f>
        <v/>
      </c>
      <c r="AR684">
        <f>IF(OR(AR$4="",$A684&gt;TODAY()),0,IF(OR(INDEX($B684:$D684,AR$5)="F",AND(AR$6&gt;0,$A684&lt;AR$6),AND(AR$7&gt;0,$A684&gt;AR$7)),0,MAX(0,ROUND((INDEX($E684:$G684,AR$5)-SUMIFS(TF_Timer,TF_Tekniker,AR$4,TF_Dato,$A684))*2,0)/2)))</f>
        <v/>
      </c>
      <c r="AS684">
        <f>IF(OR(AS$4="",$A684&gt;TODAY()),0,IF(OR(INDEX($B684:$D684,AS$5)="F",AND(AS$6&gt;0,$A684&lt;AS$6),AND(AS$7&gt;0,$A684&gt;AS$7)),0,MAX(0,ROUND((INDEX($E684:$G684,AS$5)-SUMIFS(TF_Timer,TF_Tekniker,AS$4,TF_Dato,$A684))*2,0)/2)))</f>
        <v/>
      </c>
      <c r="AT684">
        <f>IF(OR(AT$4="",$A684&gt;TODAY()),0,IF(OR(INDEX($B684:$D684,AT$5)="F",AND(AT$6&gt;0,$A684&lt;AT$6),AND(AT$7&gt;0,$A684&gt;AT$7)),0,MAX(0,ROUND((INDEX($E684:$G684,AT$5)-SUMIFS(TF_Timer,TF_Tekniker,AT$4,TF_Dato,$A684))*2,0)/2)))</f>
        <v/>
      </c>
      <c r="AU684">
        <f>IF(OR(AU$4="",$A684&gt;TODAY()),0,IF(OR(INDEX($B684:$D684,AU$5)="F",AND(AU$6&gt;0,$A684&lt;AU$6),AND(AU$7&gt;0,$A684&gt;AU$7)),0,MAX(0,ROUND((INDEX($E684:$G684,AU$5)-SUMIFS(TF_Timer,TF_Tekniker,AU$4,TF_Dato,$A684))*2,0)/2)))</f>
        <v/>
      </c>
      <c r="AV684">
        <f>IF(OR(AV$4="",$A684&gt;TODAY()),0,IF(OR(INDEX($B684:$D684,AV$5)="F",AND(AV$6&gt;0,$A684&lt;AV$6),AND(AV$7&gt;0,$A684&gt;AV$7)),0,MAX(0,ROUND((INDEX($E684:$G684,AV$5)-SUMIFS(TF_Timer,TF_Tekniker,AV$4,TF_Dato,$A684))*2,0)/2)))</f>
        <v/>
      </c>
      <c r="AW684">
        <f>IF(OR(AW$4="",$A684&gt;TODAY()),0,IF(OR(INDEX($B684:$D684,AW$5)="F",AND(AW$6&gt;0,$A684&lt;AW$6),AND(AW$7&gt;0,$A684&gt;AW$7)),0,MAX(0,ROUND((INDEX($E684:$G684,AW$5)-SUMIFS(TF_Timer,TF_Tekniker,AW$4,TF_Dato,$A684))*2,0)/2)))</f>
        <v/>
      </c>
      <c r="AX684">
        <f>IF(OR(AX$4="",$A684&gt;TODAY()),0,IF(OR(INDEX($B684:$D684,AX$5)="F",AND(AX$6&gt;0,$A684&lt;AX$6),AND(AX$7&gt;0,$A684&gt;AX$7)),0,MAX(0,ROUND((INDEX($E684:$G684,AX$5)-SUMIFS(TF_Timer,TF_Tekniker,AX$4,TF_Dato,$A684))*2,0)/2)))</f>
        <v/>
      </c>
      <c r="AY684">
        <f>IF(OR(AY$4="",$A684&gt;TODAY()),0,IF(OR(INDEX($B684:$D684,AY$5)="F",AND(AY$6&gt;0,$A684&lt;AY$6),AND(AY$7&gt;0,$A684&gt;AY$7)),0,MAX(0,ROUND((INDEX($E684:$G684,AY$5)-SUMIFS(TF_Timer,TF_Tekniker,AY$4,TF_Dato,$A684))*2,0)/2)))</f>
        <v/>
      </c>
      <c r="AZ684">
        <f>IF(OR(AZ$4="",$A684&gt;TODAY()),0,IF(OR(INDEX($B684:$D684,AZ$5)="F",AND(AZ$6&gt;0,$A684&lt;AZ$6),AND(AZ$7&gt;0,$A684&gt;AZ$7)),0,MAX(0,ROUND((INDEX($E684:$G684,AZ$5)-SUMIFS(TF_Timer,TF_Tekniker,AZ$4,TF_Dato,$A684))*2,0)/2)))</f>
        <v/>
      </c>
      <c r="BA684">
        <f>IF(OR(BA$4="",$A684&gt;TODAY()),0,IF(OR(INDEX($B684:$D684,BA$5)="F",AND(BA$6&gt;0,$A684&lt;BA$6),AND(BA$7&gt;0,$A684&gt;BA$7)),0,MAX(0,ROUND((INDEX($E684:$G684,BA$5)-SUMIFS(TF_Timer,TF_Tekniker,BA$4,TF_Dato,$A684))*2,0)/2)))</f>
        <v/>
      </c>
      <c r="BB684">
        <f>IF(OR(BB$4="",$A684&gt;TODAY()),0,IF(OR(INDEX($B684:$D684,BB$5)="F",AND(BB$6&gt;0,$A684&lt;BB$6),AND(BB$7&gt;0,$A684&gt;BB$7)),0,MAX(0,ROUND((INDEX($E684:$G684,BB$5)-SUMIFS(TF_Timer,TF_Tekniker,BB$4,TF_Dato,$A684))*2,0)/2)))</f>
        <v/>
      </c>
      <c r="BC684">
        <f>IF(OR(BC$4="",$A684&gt;TODAY()),0,IF(OR(INDEX($B684:$D684,BC$5)="F",AND(BC$6&gt;0,$A684&lt;BC$6),AND(BC$7&gt;0,$A684&gt;BC$7)),0,MAX(0,ROUND((INDEX($E684:$G684,BC$5)-SUMIFS(TF_Timer,TF_Tekniker,BC$4,TF_Dato,$A684))*2,0)/2)))</f>
        <v/>
      </c>
      <c r="BD684">
        <f>IF(OR(BD$4="",$A684&gt;TODAY()),0,IF(OR(INDEX($B684:$D684,BD$5)="F",AND(BD$6&gt;0,$A684&lt;BD$6),AND(BD$7&gt;0,$A684&gt;BD$7)),0,MAX(0,ROUND((INDEX($E684:$G684,BD$5)-SUMIFS(TF_Timer,TF_Tekniker,BD$4,TF_Dato,$A684))*2,0)/2)))</f>
        <v/>
      </c>
      <c r="BE684">
        <f>IF(OR(BE$4="",$A684&gt;TODAY()),0,IF(OR(INDEX($B684:$D684,BE$5)="F",AND(BE$6&gt;0,$A684&lt;BE$6),AND(BE$7&gt;0,$A684&gt;BE$7)),0,MAX(0,ROUND((INDEX($E684:$G684,BE$5)-SUMIFS(TF_Timer,TF_Tekniker,BE$4,TF_Dato,$A684))*2,0)/2)))</f>
        <v/>
      </c>
      <c r="BF684">
        <f>IF(OR(BF$4="",$A684&gt;TODAY()),0,IF(OR(INDEX($B684:$D684,BF$5)="F",AND(BF$6&gt;0,$A684&lt;BF$6),AND(BF$7&gt;0,$A684&gt;BF$7)),0,MAX(0,ROUND((INDEX($E684:$G684,BF$5)-SUMIFS(TF_Timer,TF_Tekniker,BF$4,TF_Dato,$A684))*2,0)/2)))</f>
        <v/>
      </c>
      <c r="BG684">
        <f>IF(OR(BG$4="",$A684&gt;TODAY()),0,IF(OR(INDEX($B684:$D684,BG$5)="F",AND(BG$6&gt;0,$A684&lt;BG$6),AND(BG$7&gt;0,$A684&gt;BG$7)),0,MAX(0,ROUND((INDEX($E684:$G684,BG$5)-SUMIFS(TF_Timer,TF_Tekniker,BG$4,TF_Dato,$A684))*2,0)/2)))</f>
        <v/>
      </c>
      <c r="BH684">
        <f>IF(OR(BH$4="",$A684&gt;TODAY()),0,IF(OR(INDEX($B684:$D684,BH$5)="F",AND(BH$6&gt;0,$A684&lt;BH$6),AND(BH$7&gt;0,$A684&gt;BH$7)),0,MAX(0,ROUND((INDEX($E684:$G684,BH$5)-SUMIFS(TF_Timer,TF_Tekniker,BH$4,TF_Dato,$A684))*2,0)/2)))</f>
        <v/>
      </c>
      <c r="BI684">
        <f>IF(OR(BI$4="",$A684&gt;TODAY()),0,IF(OR(INDEX($B684:$D684,BI$5)="F",AND(BI$6&gt;0,$A684&lt;BI$6),AND(BI$7&gt;0,$A684&gt;BI$7)),0,MAX(0,ROUND((INDEX($E684:$G684,BI$5)-SUMIFS(TF_Timer,TF_Tekniker,BI$4,TF_Dato,$A684))*2,0)/2)))</f>
        <v/>
      </c>
    </row>
    <row r="685">
      <c r="A685" s="64">
        <f>A684+1</f>
        <v/>
      </c>
      <c r="B685">
        <f>IF(MOD($A685-INDEX(SkiftStart,1),Syklus)&lt;DagK,"K",IF(MOD($A685-INDEX(SkiftStart,1),Syklus)&lt;DagK+DagH,"H",IF(MOD($A685-INDEX(SkiftStart,1),Syklus)&lt;DagK+DagH+DagD,"D","F")))</f>
        <v/>
      </c>
      <c r="C685">
        <f>IF(MOD($A685-INDEX(SkiftStart,2),Syklus)&lt;DagK,"K",IF(MOD($A685-INDEX(SkiftStart,2),Syklus)&lt;DagK+DagH,"H",IF(MOD($A685-INDEX(SkiftStart,2),Syklus)&lt;DagK+DagH+DagD,"D","F")))</f>
        <v/>
      </c>
      <c r="D685">
        <f>IF(MOD($A685-INDEX(SkiftStart,3),Syklus)&lt;DagK,"K",IF(MOD($A685-INDEX(SkiftStart,3),Syklus)&lt;DagK+DagH,"H",IF(MOD($A685-INDEX(SkiftStart,3),Syklus)&lt;DagK+DagH+DagD,"D","F")))</f>
        <v/>
      </c>
      <c r="E685">
        <f>IF(B685="F",0,IF(WEEKDAY($A685,2)=5,INDEX(TimerFr,MATCH(B685,FaseKode,0)),INDEX(TimerMT,MATCH(B685,FaseKode,0))))</f>
        <v/>
      </c>
      <c r="F685">
        <f>IF(C685="F",0,IF(WEEKDAY($A685,2)=5,INDEX(TimerFr,MATCH(C685,FaseKode,0)),INDEX(TimerMT,MATCH(C685,FaseKode,0))))</f>
        <v/>
      </c>
      <c r="G685">
        <f>IF(D685="F",0,IF(WEEKDAY($A685,2)=5,INDEX(TimerFr,MATCH(D685,FaseKode,0)),INDEX(TimerMT,MATCH(D685,FaseKode,0))))</f>
        <v/>
      </c>
      <c r="H685">
        <f>IF(OR(H$4="",$A685&gt;TODAY()),0,IF(OR(INDEX($B685:$D685,H$5)="F",AND(H$6&gt;0,$A685&lt;H$6),AND(H$7&gt;0,$A685&gt;H$7)),0,MAX(0,ROUND((INDEX($E685:$G685,H$5)-SUMIFS(TF_Timer,TF_Tekniker,H$4,TF_Dato,$A685))*2,0)/2)))</f>
        <v/>
      </c>
      <c r="I685">
        <f>IF(OR(I$4="",$A685&gt;TODAY()),0,IF(OR(INDEX($B685:$D685,I$5)="F",AND(I$6&gt;0,$A685&lt;I$6),AND(I$7&gt;0,$A685&gt;I$7)),0,MAX(0,ROUND((INDEX($E685:$G685,I$5)-SUMIFS(TF_Timer,TF_Tekniker,I$4,TF_Dato,$A685))*2,0)/2)))</f>
        <v/>
      </c>
      <c r="J685">
        <f>IF(OR(J$4="",$A685&gt;TODAY()),0,IF(OR(INDEX($B685:$D685,J$5)="F",AND(J$6&gt;0,$A685&lt;J$6),AND(J$7&gt;0,$A685&gt;J$7)),0,MAX(0,ROUND((INDEX($E685:$G685,J$5)-SUMIFS(TF_Timer,TF_Tekniker,J$4,TF_Dato,$A685))*2,0)/2)))</f>
        <v/>
      </c>
      <c r="K685">
        <f>IF(OR(K$4="",$A685&gt;TODAY()),0,IF(OR(INDEX($B685:$D685,K$5)="F",AND(K$6&gt;0,$A685&lt;K$6),AND(K$7&gt;0,$A685&gt;K$7)),0,MAX(0,ROUND((INDEX($E685:$G685,K$5)-SUMIFS(TF_Timer,TF_Tekniker,K$4,TF_Dato,$A685))*2,0)/2)))</f>
        <v/>
      </c>
      <c r="L685">
        <f>IF(OR(L$4="",$A685&gt;TODAY()),0,IF(OR(INDEX($B685:$D685,L$5)="F",AND(L$6&gt;0,$A685&lt;L$6),AND(L$7&gt;0,$A685&gt;L$7)),0,MAX(0,ROUND((INDEX($E685:$G685,L$5)-SUMIFS(TF_Timer,TF_Tekniker,L$4,TF_Dato,$A685))*2,0)/2)))</f>
        <v/>
      </c>
      <c r="M685">
        <f>IF(OR(M$4="",$A685&gt;TODAY()),0,IF(OR(INDEX($B685:$D685,M$5)="F",AND(M$6&gt;0,$A685&lt;M$6),AND(M$7&gt;0,$A685&gt;M$7)),0,MAX(0,ROUND((INDEX($E685:$G685,M$5)-SUMIFS(TF_Timer,TF_Tekniker,M$4,TF_Dato,$A685))*2,0)/2)))</f>
        <v/>
      </c>
      <c r="N685">
        <f>IF(OR(N$4="",$A685&gt;TODAY()),0,IF(OR(INDEX($B685:$D685,N$5)="F",AND(N$6&gt;0,$A685&lt;N$6),AND(N$7&gt;0,$A685&gt;N$7)),0,MAX(0,ROUND((INDEX($E685:$G685,N$5)-SUMIFS(TF_Timer,TF_Tekniker,N$4,TF_Dato,$A685))*2,0)/2)))</f>
        <v/>
      </c>
      <c r="O685">
        <f>IF(OR(O$4="",$A685&gt;TODAY()),0,IF(OR(INDEX($B685:$D685,O$5)="F",AND(O$6&gt;0,$A685&lt;O$6),AND(O$7&gt;0,$A685&gt;O$7)),0,MAX(0,ROUND((INDEX($E685:$G685,O$5)-SUMIFS(TF_Timer,TF_Tekniker,O$4,TF_Dato,$A685))*2,0)/2)))</f>
        <v/>
      </c>
      <c r="P685">
        <f>IF(OR(P$4="",$A685&gt;TODAY()),0,IF(OR(INDEX($B685:$D685,P$5)="F",AND(P$6&gt;0,$A685&lt;P$6),AND(P$7&gt;0,$A685&gt;P$7)),0,MAX(0,ROUND((INDEX($E685:$G685,P$5)-SUMIFS(TF_Timer,TF_Tekniker,P$4,TF_Dato,$A685))*2,0)/2)))</f>
        <v/>
      </c>
      <c r="Q685">
        <f>IF(OR(Q$4="",$A685&gt;TODAY()),0,IF(OR(INDEX($B685:$D685,Q$5)="F",AND(Q$6&gt;0,$A685&lt;Q$6),AND(Q$7&gt;0,$A685&gt;Q$7)),0,MAX(0,ROUND((INDEX($E685:$G685,Q$5)-SUMIFS(TF_Timer,TF_Tekniker,Q$4,TF_Dato,$A685))*2,0)/2)))</f>
        <v/>
      </c>
      <c r="R685">
        <f>IF(OR(R$4="",$A685&gt;TODAY()),0,IF(OR(INDEX($B685:$D685,R$5)="F",AND(R$6&gt;0,$A685&lt;R$6),AND(R$7&gt;0,$A685&gt;R$7)),0,MAX(0,ROUND((INDEX($E685:$G685,R$5)-SUMIFS(TF_Timer,TF_Tekniker,R$4,TF_Dato,$A685))*2,0)/2)))</f>
        <v/>
      </c>
      <c r="S685">
        <f>IF(OR(S$4="",$A685&gt;TODAY()),0,IF(OR(INDEX($B685:$D685,S$5)="F",AND(S$6&gt;0,$A685&lt;S$6),AND(S$7&gt;0,$A685&gt;S$7)),0,MAX(0,ROUND((INDEX($E685:$G685,S$5)-SUMIFS(TF_Timer,TF_Tekniker,S$4,TF_Dato,$A685))*2,0)/2)))</f>
        <v/>
      </c>
      <c r="T685">
        <f>IF(OR(T$4="",$A685&gt;TODAY()),0,IF(OR(INDEX($B685:$D685,T$5)="F",AND(T$6&gt;0,$A685&lt;T$6),AND(T$7&gt;0,$A685&gt;T$7)),0,MAX(0,ROUND((INDEX($E685:$G685,T$5)-SUMIFS(TF_Timer,TF_Tekniker,T$4,TF_Dato,$A685))*2,0)/2)))</f>
        <v/>
      </c>
      <c r="U685">
        <f>IF(OR(U$4="",$A685&gt;TODAY()),0,IF(OR(INDEX($B685:$D685,U$5)="F",AND(U$6&gt;0,$A685&lt;U$6),AND(U$7&gt;0,$A685&gt;U$7)),0,MAX(0,ROUND((INDEX($E685:$G685,U$5)-SUMIFS(TF_Timer,TF_Tekniker,U$4,TF_Dato,$A685))*2,0)/2)))</f>
        <v/>
      </c>
      <c r="V685">
        <f>IF(OR(V$4="",$A685&gt;TODAY()),0,IF(OR(INDEX($B685:$D685,V$5)="F",AND(V$6&gt;0,$A685&lt;V$6),AND(V$7&gt;0,$A685&gt;V$7)),0,MAX(0,ROUND((INDEX($E685:$G685,V$5)-SUMIFS(TF_Timer,TF_Tekniker,V$4,TF_Dato,$A685))*2,0)/2)))</f>
        <v/>
      </c>
      <c r="W685">
        <f>IF(OR(W$4="",$A685&gt;TODAY()),0,IF(OR(INDEX($B685:$D685,W$5)="F",AND(W$6&gt;0,$A685&lt;W$6),AND(W$7&gt;0,$A685&gt;W$7)),0,MAX(0,ROUND((INDEX($E685:$G685,W$5)-SUMIFS(TF_Timer,TF_Tekniker,W$4,TF_Dato,$A685))*2,0)/2)))</f>
        <v/>
      </c>
      <c r="X685">
        <f>IF(OR(X$4="",$A685&gt;TODAY()),0,IF(OR(INDEX($B685:$D685,X$5)="F",AND(X$6&gt;0,$A685&lt;X$6),AND(X$7&gt;0,$A685&gt;X$7)),0,MAX(0,ROUND((INDEX($E685:$G685,X$5)-SUMIFS(TF_Timer,TF_Tekniker,X$4,TF_Dato,$A685))*2,0)/2)))</f>
        <v/>
      </c>
      <c r="Y685">
        <f>IF(OR(Y$4="",$A685&gt;TODAY()),0,IF(OR(INDEX($B685:$D685,Y$5)="F",AND(Y$6&gt;0,$A685&lt;Y$6),AND(Y$7&gt;0,$A685&gt;Y$7)),0,MAX(0,ROUND((INDEX($E685:$G685,Y$5)-SUMIFS(TF_Timer,TF_Tekniker,Y$4,TF_Dato,$A685))*2,0)/2)))</f>
        <v/>
      </c>
      <c r="Z685">
        <f>IF(OR(Z$4="",$A685&gt;TODAY()),0,IF(OR(INDEX($B685:$D685,Z$5)="F",AND(Z$6&gt;0,$A685&lt;Z$6),AND(Z$7&gt;0,$A685&gt;Z$7)),0,MAX(0,ROUND((INDEX($E685:$G685,Z$5)-SUMIFS(TF_Timer,TF_Tekniker,Z$4,TF_Dato,$A685))*2,0)/2)))</f>
        <v/>
      </c>
      <c r="AA685">
        <f>IF(OR(AA$4="",$A685&gt;TODAY()),0,IF(OR(INDEX($B685:$D685,AA$5)="F",AND(AA$6&gt;0,$A685&lt;AA$6),AND(AA$7&gt;0,$A685&gt;AA$7)),0,MAX(0,ROUND((INDEX($E685:$G685,AA$5)-SUMIFS(TF_Timer,TF_Tekniker,AA$4,TF_Dato,$A685))*2,0)/2)))</f>
        <v/>
      </c>
      <c r="AB685">
        <f>IF(OR(AB$4="",$A685&gt;TODAY()),0,IF(OR(INDEX($B685:$D685,AB$5)="F",AND(AB$6&gt;0,$A685&lt;AB$6),AND(AB$7&gt;0,$A685&gt;AB$7)),0,MAX(0,ROUND((INDEX($E685:$G685,AB$5)-SUMIFS(TF_Timer,TF_Tekniker,AB$4,TF_Dato,$A685))*2,0)/2)))</f>
        <v/>
      </c>
      <c r="AC685">
        <f>IF(OR(AC$4="",$A685&gt;TODAY()),0,IF(OR(INDEX($B685:$D685,AC$5)="F",AND(AC$6&gt;0,$A685&lt;AC$6),AND(AC$7&gt;0,$A685&gt;AC$7)),0,MAX(0,ROUND((INDEX($E685:$G685,AC$5)-SUMIFS(TF_Timer,TF_Tekniker,AC$4,TF_Dato,$A685))*2,0)/2)))</f>
        <v/>
      </c>
      <c r="AD685">
        <f>IF(OR(AD$4="",$A685&gt;TODAY()),0,IF(OR(INDEX($B685:$D685,AD$5)="F",AND(AD$6&gt;0,$A685&lt;AD$6),AND(AD$7&gt;0,$A685&gt;AD$7)),0,MAX(0,ROUND((INDEX($E685:$G685,AD$5)-SUMIFS(TF_Timer,TF_Tekniker,AD$4,TF_Dato,$A685))*2,0)/2)))</f>
        <v/>
      </c>
      <c r="AE685">
        <f>IF(OR(AE$4="",$A685&gt;TODAY()),0,IF(OR(INDEX($B685:$D685,AE$5)="F",AND(AE$6&gt;0,$A685&lt;AE$6),AND(AE$7&gt;0,$A685&gt;AE$7)),0,MAX(0,ROUND((INDEX($E685:$G685,AE$5)-SUMIFS(TF_Timer,TF_Tekniker,AE$4,TF_Dato,$A685))*2,0)/2)))</f>
        <v/>
      </c>
      <c r="AF685">
        <f>IF(OR(AF$4="",$A685&gt;TODAY()),0,IF(OR(INDEX($B685:$D685,AF$5)="F",AND(AF$6&gt;0,$A685&lt;AF$6),AND(AF$7&gt;0,$A685&gt;AF$7)),0,MAX(0,ROUND((INDEX($E685:$G685,AF$5)-SUMIFS(TF_Timer,TF_Tekniker,AF$4,TF_Dato,$A685))*2,0)/2)))</f>
        <v/>
      </c>
      <c r="AG685">
        <f>IF(OR(AG$4="",$A685&gt;TODAY()),0,IF(OR(INDEX($B685:$D685,AG$5)="F",AND(AG$6&gt;0,$A685&lt;AG$6),AND(AG$7&gt;0,$A685&gt;AG$7)),0,MAX(0,ROUND((INDEX($E685:$G685,AG$5)-SUMIFS(TF_Timer,TF_Tekniker,AG$4,TF_Dato,$A685))*2,0)/2)))</f>
        <v/>
      </c>
      <c r="AH685">
        <f>IF(OR(AH$4="",$A685&gt;TODAY()),0,IF(OR(INDEX($B685:$D685,AH$5)="F",AND(AH$6&gt;0,$A685&lt;AH$6),AND(AH$7&gt;0,$A685&gt;AH$7)),0,MAX(0,ROUND((INDEX($E685:$G685,AH$5)-SUMIFS(TF_Timer,TF_Tekniker,AH$4,TF_Dato,$A685))*2,0)/2)))</f>
        <v/>
      </c>
      <c r="AI685">
        <f>IF(OR(AI$4="",$A685&gt;TODAY()),0,IF(OR(INDEX($B685:$D685,AI$5)="F",AND(AI$6&gt;0,$A685&lt;AI$6),AND(AI$7&gt;0,$A685&gt;AI$7)),0,MAX(0,ROUND((INDEX($E685:$G685,AI$5)-SUMIFS(TF_Timer,TF_Tekniker,AI$4,TF_Dato,$A685))*2,0)/2)))</f>
        <v/>
      </c>
      <c r="AJ685">
        <f>IF(OR(AJ$4="",$A685&gt;TODAY()),0,IF(OR(INDEX($B685:$D685,AJ$5)="F",AND(AJ$6&gt;0,$A685&lt;AJ$6),AND(AJ$7&gt;0,$A685&gt;AJ$7)),0,MAX(0,ROUND((INDEX($E685:$G685,AJ$5)-SUMIFS(TF_Timer,TF_Tekniker,AJ$4,TF_Dato,$A685))*2,0)/2)))</f>
        <v/>
      </c>
      <c r="AK685">
        <f>IF(OR(AK$4="",$A685&gt;TODAY()),0,IF(OR(INDEX($B685:$D685,AK$5)="F",AND(AK$6&gt;0,$A685&lt;AK$6),AND(AK$7&gt;0,$A685&gt;AK$7)),0,MAX(0,ROUND((INDEX($E685:$G685,AK$5)-SUMIFS(TF_Timer,TF_Tekniker,AK$4,TF_Dato,$A685))*2,0)/2)))</f>
        <v/>
      </c>
      <c r="AL685">
        <f>IF(OR(AL$4="",$A685&gt;TODAY()),0,IF(OR(INDEX($B685:$D685,AL$5)="F",AND(AL$6&gt;0,$A685&lt;AL$6),AND(AL$7&gt;0,$A685&gt;AL$7)),0,MAX(0,ROUND((INDEX($E685:$G685,AL$5)-SUMIFS(TF_Timer,TF_Tekniker,AL$4,TF_Dato,$A685))*2,0)/2)))</f>
        <v/>
      </c>
      <c r="AM685">
        <f>IF(OR(AM$4="",$A685&gt;TODAY()),0,IF(OR(INDEX($B685:$D685,AM$5)="F",AND(AM$6&gt;0,$A685&lt;AM$6),AND(AM$7&gt;0,$A685&gt;AM$7)),0,MAX(0,ROUND((INDEX($E685:$G685,AM$5)-SUMIFS(TF_Timer,TF_Tekniker,AM$4,TF_Dato,$A685))*2,0)/2)))</f>
        <v/>
      </c>
      <c r="AN685">
        <f>IF(OR(AN$4="",$A685&gt;TODAY()),0,IF(OR(INDEX($B685:$D685,AN$5)="F",AND(AN$6&gt;0,$A685&lt;AN$6),AND(AN$7&gt;0,$A685&gt;AN$7)),0,MAX(0,ROUND((INDEX($E685:$G685,AN$5)-SUMIFS(TF_Timer,TF_Tekniker,AN$4,TF_Dato,$A685))*2,0)/2)))</f>
        <v/>
      </c>
      <c r="AO685">
        <f>IF(OR(AO$4="",$A685&gt;TODAY()),0,IF(OR(INDEX($B685:$D685,AO$5)="F",AND(AO$6&gt;0,$A685&lt;AO$6),AND(AO$7&gt;0,$A685&gt;AO$7)),0,MAX(0,ROUND((INDEX($E685:$G685,AO$5)-SUMIFS(TF_Timer,TF_Tekniker,AO$4,TF_Dato,$A685))*2,0)/2)))</f>
        <v/>
      </c>
      <c r="AP685">
        <f>IF(OR(AP$4="",$A685&gt;TODAY()),0,IF(OR(INDEX($B685:$D685,AP$5)="F",AND(AP$6&gt;0,$A685&lt;AP$6),AND(AP$7&gt;0,$A685&gt;AP$7)),0,MAX(0,ROUND((INDEX($E685:$G685,AP$5)-SUMIFS(TF_Timer,TF_Tekniker,AP$4,TF_Dato,$A685))*2,0)/2)))</f>
        <v/>
      </c>
      <c r="AQ685">
        <f>IF(OR(AQ$4="",$A685&gt;TODAY()),0,IF(OR(INDEX($B685:$D685,AQ$5)="F",AND(AQ$6&gt;0,$A685&lt;AQ$6),AND(AQ$7&gt;0,$A685&gt;AQ$7)),0,MAX(0,ROUND((INDEX($E685:$G685,AQ$5)-SUMIFS(TF_Timer,TF_Tekniker,AQ$4,TF_Dato,$A685))*2,0)/2)))</f>
        <v/>
      </c>
      <c r="AR685">
        <f>IF(OR(AR$4="",$A685&gt;TODAY()),0,IF(OR(INDEX($B685:$D685,AR$5)="F",AND(AR$6&gt;0,$A685&lt;AR$6),AND(AR$7&gt;0,$A685&gt;AR$7)),0,MAX(0,ROUND((INDEX($E685:$G685,AR$5)-SUMIFS(TF_Timer,TF_Tekniker,AR$4,TF_Dato,$A685))*2,0)/2)))</f>
        <v/>
      </c>
      <c r="AS685">
        <f>IF(OR(AS$4="",$A685&gt;TODAY()),0,IF(OR(INDEX($B685:$D685,AS$5)="F",AND(AS$6&gt;0,$A685&lt;AS$6),AND(AS$7&gt;0,$A685&gt;AS$7)),0,MAX(0,ROUND((INDEX($E685:$G685,AS$5)-SUMIFS(TF_Timer,TF_Tekniker,AS$4,TF_Dato,$A685))*2,0)/2)))</f>
        <v/>
      </c>
      <c r="AT685">
        <f>IF(OR(AT$4="",$A685&gt;TODAY()),0,IF(OR(INDEX($B685:$D685,AT$5)="F",AND(AT$6&gt;0,$A685&lt;AT$6),AND(AT$7&gt;0,$A685&gt;AT$7)),0,MAX(0,ROUND((INDEX($E685:$G685,AT$5)-SUMIFS(TF_Timer,TF_Tekniker,AT$4,TF_Dato,$A685))*2,0)/2)))</f>
        <v/>
      </c>
      <c r="AU685">
        <f>IF(OR(AU$4="",$A685&gt;TODAY()),0,IF(OR(INDEX($B685:$D685,AU$5)="F",AND(AU$6&gt;0,$A685&lt;AU$6),AND(AU$7&gt;0,$A685&gt;AU$7)),0,MAX(0,ROUND((INDEX($E685:$G685,AU$5)-SUMIFS(TF_Timer,TF_Tekniker,AU$4,TF_Dato,$A685))*2,0)/2)))</f>
        <v/>
      </c>
      <c r="AV685">
        <f>IF(OR(AV$4="",$A685&gt;TODAY()),0,IF(OR(INDEX($B685:$D685,AV$5)="F",AND(AV$6&gt;0,$A685&lt;AV$6),AND(AV$7&gt;0,$A685&gt;AV$7)),0,MAX(0,ROUND((INDEX($E685:$G685,AV$5)-SUMIFS(TF_Timer,TF_Tekniker,AV$4,TF_Dato,$A685))*2,0)/2)))</f>
        <v/>
      </c>
      <c r="AW685">
        <f>IF(OR(AW$4="",$A685&gt;TODAY()),0,IF(OR(INDEX($B685:$D685,AW$5)="F",AND(AW$6&gt;0,$A685&lt;AW$6),AND(AW$7&gt;0,$A685&gt;AW$7)),0,MAX(0,ROUND((INDEX($E685:$G685,AW$5)-SUMIFS(TF_Timer,TF_Tekniker,AW$4,TF_Dato,$A685))*2,0)/2)))</f>
        <v/>
      </c>
      <c r="AX685">
        <f>IF(OR(AX$4="",$A685&gt;TODAY()),0,IF(OR(INDEX($B685:$D685,AX$5)="F",AND(AX$6&gt;0,$A685&lt;AX$6),AND(AX$7&gt;0,$A685&gt;AX$7)),0,MAX(0,ROUND((INDEX($E685:$G685,AX$5)-SUMIFS(TF_Timer,TF_Tekniker,AX$4,TF_Dato,$A685))*2,0)/2)))</f>
        <v/>
      </c>
      <c r="AY685">
        <f>IF(OR(AY$4="",$A685&gt;TODAY()),0,IF(OR(INDEX($B685:$D685,AY$5)="F",AND(AY$6&gt;0,$A685&lt;AY$6),AND(AY$7&gt;0,$A685&gt;AY$7)),0,MAX(0,ROUND((INDEX($E685:$G685,AY$5)-SUMIFS(TF_Timer,TF_Tekniker,AY$4,TF_Dato,$A685))*2,0)/2)))</f>
        <v/>
      </c>
      <c r="AZ685">
        <f>IF(OR(AZ$4="",$A685&gt;TODAY()),0,IF(OR(INDEX($B685:$D685,AZ$5)="F",AND(AZ$6&gt;0,$A685&lt;AZ$6),AND(AZ$7&gt;0,$A685&gt;AZ$7)),0,MAX(0,ROUND((INDEX($E685:$G685,AZ$5)-SUMIFS(TF_Timer,TF_Tekniker,AZ$4,TF_Dato,$A685))*2,0)/2)))</f>
        <v/>
      </c>
      <c r="BA685">
        <f>IF(OR(BA$4="",$A685&gt;TODAY()),0,IF(OR(INDEX($B685:$D685,BA$5)="F",AND(BA$6&gt;0,$A685&lt;BA$6),AND(BA$7&gt;0,$A685&gt;BA$7)),0,MAX(0,ROUND((INDEX($E685:$G685,BA$5)-SUMIFS(TF_Timer,TF_Tekniker,BA$4,TF_Dato,$A685))*2,0)/2)))</f>
        <v/>
      </c>
      <c r="BB685">
        <f>IF(OR(BB$4="",$A685&gt;TODAY()),0,IF(OR(INDEX($B685:$D685,BB$5)="F",AND(BB$6&gt;0,$A685&lt;BB$6),AND(BB$7&gt;0,$A685&gt;BB$7)),0,MAX(0,ROUND((INDEX($E685:$G685,BB$5)-SUMIFS(TF_Timer,TF_Tekniker,BB$4,TF_Dato,$A685))*2,0)/2)))</f>
        <v/>
      </c>
      <c r="BC685">
        <f>IF(OR(BC$4="",$A685&gt;TODAY()),0,IF(OR(INDEX($B685:$D685,BC$5)="F",AND(BC$6&gt;0,$A685&lt;BC$6),AND(BC$7&gt;0,$A685&gt;BC$7)),0,MAX(0,ROUND((INDEX($E685:$G685,BC$5)-SUMIFS(TF_Timer,TF_Tekniker,BC$4,TF_Dato,$A685))*2,0)/2)))</f>
        <v/>
      </c>
      <c r="BD685">
        <f>IF(OR(BD$4="",$A685&gt;TODAY()),0,IF(OR(INDEX($B685:$D685,BD$5)="F",AND(BD$6&gt;0,$A685&lt;BD$6),AND(BD$7&gt;0,$A685&gt;BD$7)),0,MAX(0,ROUND((INDEX($E685:$G685,BD$5)-SUMIFS(TF_Timer,TF_Tekniker,BD$4,TF_Dato,$A685))*2,0)/2)))</f>
        <v/>
      </c>
      <c r="BE685">
        <f>IF(OR(BE$4="",$A685&gt;TODAY()),0,IF(OR(INDEX($B685:$D685,BE$5)="F",AND(BE$6&gt;0,$A685&lt;BE$6),AND(BE$7&gt;0,$A685&gt;BE$7)),0,MAX(0,ROUND((INDEX($E685:$G685,BE$5)-SUMIFS(TF_Timer,TF_Tekniker,BE$4,TF_Dato,$A685))*2,0)/2)))</f>
        <v/>
      </c>
      <c r="BF685">
        <f>IF(OR(BF$4="",$A685&gt;TODAY()),0,IF(OR(INDEX($B685:$D685,BF$5)="F",AND(BF$6&gt;0,$A685&lt;BF$6),AND(BF$7&gt;0,$A685&gt;BF$7)),0,MAX(0,ROUND((INDEX($E685:$G685,BF$5)-SUMIFS(TF_Timer,TF_Tekniker,BF$4,TF_Dato,$A685))*2,0)/2)))</f>
        <v/>
      </c>
      <c r="BG685">
        <f>IF(OR(BG$4="",$A685&gt;TODAY()),0,IF(OR(INDEX($B685:$D685,BG$5)="F",AND(BG$6&gt;0,$A685&lt;BG$6),AND(BG$7&gt;0,$A685&gt;BG$7)),0,MAX(0,ROUND((INDEX($E685:$G685,BG$5)-SUMIFS(TF_Timer,TF_Tekniker,BG$4,TF_Dato,$A685))*2,0)/2)))</f>
        <v/>
      </c>
      <c r="BH685">
        <f>IF(OR(BH$4="",$A685&gt;TODAY()),0,IF(OR(INDEX($B685:$D685,BH$5)="F",AND(BH$6&gt;0,$A685&lt;BH$6),AND(BH$7&gt;0,$A685&gt;BH$7)),0,MAX(0,ROUND((INDEX($E685:$G685,BH$5)-SUMIFS(TF_Timer,TF_Tekniker,BH$4,TF_Dato,$A685))*2,0)/2)))</f>
        <v/>
      </c>
      <c r="BI685">
        <f>IF(OR(BI$4="",$A685&gt;TODAY()),0,IF(OR(INDEX($B685:$D685,BI$5)="F",AND(BI$6&gt;0,$A685&lt;BI$6),AND(BI$7&gt;0,$A685&gt;BI$7)),0,MAX(0,ROUND((INDEX($E685:$G685,BI$5)-SUMIFS(TF_Timer,TF_Tekniker,BI$4,TF_Dato,$A685))*2,0)/2)))</f>
        <v/>
      </c>
    </row>
    <row r="686">
      <c r="A686" s="64">
        <f>A685+1</f>
        <v/>
      </c>
      <c r="B686">
        <f>IF(MOD($A686-INDEX(SkiftStart,1),Syklus)&lt;DagK,"K",IF(MOD($A686-INDEX(SkiftStart,1),Syklus)&lt;DagK+DagH,"H",IF(MOD($A686-INDEX(SkiftStart,1),Syklus)&lt;DagK+DagH+DagD,"D","F")))</f>
        <v/>
      </c>
      <c r="C686">
        <f>IF(MOD($A686-INDEX(SkiftStart,2),Syklus)&lt;DagK,"K",IF(MOD($A686-INDEX(SkiftStart,2),Syklus)&lt;DagK+DagH,"H",IF(MOD($A686-INDEX(SkiftStart,2),Syklus)&lt;DagK+DagH+DagD,"D","F")))</f>
        <v/>
      </c>
      <c r="D686">
        <f>IF(MOD($A686-INDEX(SkiftStart,3),Syklus)&lt;DagK,"K",IF(MOD($A686-INDEX(SkiftStart,3),Syklus)&lt;DagK+DagH,"H",IF(MOD($A686-INDEX(SkiftStart,3),Syklus)&lt;DagK+DagH+DagD,"D","F")))</f>
        <v/>
      </c>
      <c r="E686">
        <f>IF(B686="F",0,IF(WEEKDAY($A686,2)=5,INDEX(TimerFr,MATCH(B686,FaseKode,0)),INDEX(TimerMT,MATCH(B686,FaseKode,0))))</f>
        <v/>
      </c>
      <c r="F686">
        <f>IF(C686="F",0,IF(WEEKDAY($A686,2)=5,INDEX(TimerFr,MATCH(C686,FaseKode,0)),INDEX(TimerMT,MATCH(C686,FaseKode,0))))</f>
        <v/>
      </c>
      <c r="G686">
        <f>IF(D686="F",0,IF(WEEKDAY($A686,2)=5,INDEX(TimerFr,MATCH(D686,FaseKode,0)),INDEX(TimerMT,MATCH(D686,FaseKode,0))))</f>
        <v/>
      </c>
      <c r="H686">
        <f>IF(OR(H$4="",$A686&gt;TODAY()),0,IF(OR(INDEX($B686:$D686,H$5)="F",AND(H$6&gt;0,$A686&lt;H$6),AND(H$7&gt;0,$A686&gt;H$7)),0,MAX(0,ROUND((INDEX($E686:$G686,H$5)-SUMIFS(TF_Timer,TF_Tekniker,H$4,TF_Dato,$A686))*2,0)/2)))</f>
        <v/>
      </c>
      <c r="I686">
        <f>IF(OR(I$4="",$A686&gt;TODAY()),0,IF(OR(INDEX($B686:$D686,I$5)="F",AND(I$6&gt;0,$A686&lt;I$6),AND(I$7&gt;0,$A686&gt;I$7)),0,MAX(0,ROUND((INDEX($E686:$G686,I$5)-SUMIFS(TF_Timer,TF_Tekniker,I$4,TF_Dato,$A686))*2,0)/2)))</f>
        <v/>
      </c>
      <c r="J686">
        <f>IF(OR(J$4="",$A686&gt;TODAY()),0,IF(OR(INDEX($B686:$D686,J$5)="F",AND(J$6&gt;0,$A686&lt;J$6),AND(J$7&gt;0,$A686&gt;J$7)),0,MAX(0,ROUND((INDEX($E686:$G686,J$5)-SUMIFS(TF_Timer,TF_Tekniker,J$4,TF_Dato,$A686))*2,0)/2)))</f>
        <v/>
      </c>
      <c r="K686">
        <f>IF(OR(K$4="",$A686&gt;TODAY()),0,IF(OR(INDEX($B686:$D686,K$5)="F",AND(K$6&gt;0,$A686&lt;K$6),AND(K$7&gt;0,$A686&gt;K$7)),0,MAX(0,ROUND((INDEX($E686:$G686,K$5)-SUMIFS(TF_Timer,TF_Tekniker,K$4,TF_Dato,$A686))*2,0)/2)))</f>
        <v/>
      </c>
      <c r="L686">
        <f>IF(OR(L$4="",$A686&gt;TODAY()),0,IF(OR(INDEX($B686:$D686,L$5)="F",AND(L$6&gt;0,$A686&lt;L$6),AND(L$7&gt;0,$A686&gt;L$7)),0,MAX(0,ROUND((INDEX($E686:$G686,L$5)-SUMIFS(TF_Timer,TF_Tekniker,L$4,TF_Dato,$A686))*2,0)/2)))</f>
        <v/>
      </c>
      <c r="M686">
        <f>IF(OR(M$4="",$A686&gt;TODAY()),0,IF(OR(INDEX($B686:$D686,M$5)="F",AND(M$6&gt;0,$A686&lt;M$6),AND(M$7&gt;0,$A686&gt;M$7)),0,MAX(0,ROUND((INDEX($E686:$G686,M$5)-SUMIFS(TF_Timer,TF_Tekniker,M$4,TF_Dato,$A686))*2,0)/2)))</f>
        <v/>
      </c>
      <c r="N686">
        <f>IF(OR(N$4="",$A686&gt;TODAY()),0,IF(OR(INDEX($B686:$D686,N$5)="F",AND(N$6&gt;0,$A686&lt;N$6),AND(N$7&gt;0,$A686&gt;N$7)),0,MAX(0,ROUND((INDEX($E686:$G686,N$5)-SUMIFS(TF_Timer,TF_Tekniker,N$4,TF_Dato,$A686))*2,0)/2)))</f>
        <v/>
      </c>
      <c r="O686">
        <f>IF(OR(O$4="",$A686&gt;TODAY()),0,IF(OR(INDEX($B686:$D686,O$5)="F",AND(O$6&gt;0,$A686&lt;O$6),AND(O$7&gt;0,$A686&gt;O$7)),0,MAX(0,ROUND((INDEX($E686:$G686,O$5)-SUMIFS(TF_Timer,TF_Tekniker,O$4,TF_Dato,$A686))*2,0)/2)))</f>
        <v/>
      </c>
      <c r="P686">
        <f>IF(OR(P$4="",$A686&gt;TODAY()),0,IF(OR(INDEX($B686:$D686,P$5)="F",AND(P$6&gt;0,$A686&lt;P$6),AND(P$7&gt;0,$A686&gt;P$7)),0,MAX(0,ROUND((INDEX($E686:$G686,P$5)-SUMIFS(TF_Timer,TF_Tekniker,P$4,TF_Dato,$A686))*2,0)/2)))</f>
        <v/>
      </c>
      <c r="Q686">
        <f>IF(OR(Q$4="",$A686&gt;TODAY()),0,IF(OR(INDEX($B686:$D686,Q$5)="F",AND(Q$6&gt;0,$A686&lt;Q$6),AND(Q$7&gt;0,$A686&gt;Q$7)),0,MAX(0,ROUND((INDEX($E686:$G686,Q$5)-SUMIFS(TF_Timer,TF_Tekniker,Q$4,TF_Dato,$A686))*2,0)/2)))</f>
        <v/>
      </c>
      <c r="R686">
        <f>IF(OR(R$4="",$A686&gt;TODAY()),0,IF(OR(INDEX($B686:$D686,R$5)="F",AND(R$6&gt;0,$A686&lt;R$6),AND(R$7&gt;0,$A686&gt;R$7)),0,MAX(0,ROUND((INDEX($E686:$G686,R$5)-SUMIFS(TF_Timer,TF_Tekniker,R$4,TF_Dato,$A686))*2,0)/2)))</f>
        <v/>
      </c>
      <c r="S686">
        <f>IF(OR(S$4="",$A686&gt;TODAY()),0,IF(OR(INDEX($B686:$D686,S$5)="F",AND(S$6&gt;0,$A686&lt;S$6),AND(S$7&gt;0,$A686&gt;S$7)),0,MAX(0,ROUND((INDEX($E686:$G686,S$5)-SUMIFS(TF_Timer,TF_Tekniker,S$4,TF_Dato,$A686))*2,0)/2)))</f>
        <v/>
      </c>
      <c r="T686">
        <f>IF(OR(T$4="",$A686&gt;TODAY()),0,IF(OR(INDEX($B686:$D686,T$5)="F",AND(T$6&gt;0,$A686&lt;T$6),AND(T$7&gt;0,$A686&gt;T$7)),0,MAX(0,ROUND((INDEX($E686:$G686,T$5)-SUMIFS(TF_Timer,TF_Tekniker,T$4,TF_Dato,$A686))*2,0)/2)))</f>
        <v/>
      </c>
      <c r="U686">
        <f>IF(OR(U$4="",$A686&gt;TODAY()),0,IF(OR(INDEX($B686:$D686,U$5)="F",AND(U$6&gt;0,$A686&lt;U$6),AND(U$7&gt;0,$A686&gt;U$7)),0,MAX(0,ROUND((INDEX($E686:$G686,U$5)-SUMIFS(TF_Timer,TF_Tekniker,U$4,TF_Dato,$A686))*2,0)/2)))</f>
        <v/>
      </c>
      <c r="V686">
        <f>IF(OR(V$4="",$A686&gt;TODAY()),0,IF(OR(INDEX($B686:$D686,V$5)="F",AND(V$6&gt;0,$A686&lt;V$6),AND(V$7&gt;0,$A686&gt;V$7)),0,MAX(0,ROUND((INDEX($E686:$G686,V$5)-SUMIFS(TF_Timer,TF_Tekniker,V$4,TF_Dato,$A686))*2,0)/2)))</f>
        <v/>
      </c>
      <c r="W686">
        <f>IF(OR(W$4="",$A686&gt;TODAY()),0,IF(OR(INDEX($B686:$D686,W$5)="F",AND(W$6&gt;0,$A686&lt;W$6),AND(W$7&gt;0,$A686&gt;W$7)),0,MAX(0,ROUND((INDEX($E686:$G686,W$5)-SUMIFS(TF_Timer,TF_Tekniker,W$4,TF_Dato,$A686))*2,0)/2)))</f>
        <v/>
      </c>
      <c r="X686">
        <f>IF(OR(X$4="",$A686&gt;TODAY()),0,IF(OR(INDEX($B686:$D686,X$5)="F",AND(X$6&gt;0,$A686&lt;X$6),AND(X$7&gt;0,$A686&gt;X$7)),0,MAX(0,ROUND((INDEX($E686:$G686,X$5)-SUMIFS(TF_Timer,TF_Tekniker,X$4,TF_Dato,$A686))*2,0)/2)))</f>
        <v/>
      </c>
      <c r="Y686">
        <f>IF(OR(Y$4="",$A686&gt;TODAY()),0,IF(OR(INDEX($B686:$D686,Y$5)="F",AND(Y$6&gt;0,$A686&lt;Y$6),AND(Y$7&gt;0,$A686&gt;Y$7)),0,MAX(0,ROUND((INDEX($E686:$G686,Y$5)-SUMIFS(TF_Timer,TF_Tekniker,Y$4,TF_Dato,$A686))*2,0)/2)))</f>
        <v/>
      </c>
      <c r="Z686">
        <f>IF(OR(Z$4="",$A686&gt;TODAY()),0,IF(OR(INDEX($B686:$D686,Z$5)="F",AND(Z$6&gt;0,$A686&lt;Z$6),AND(Z$7&gt;0,$A686&gt;Z$7)),0,MAX(0,ROUND((INDEX($E686:$G686,Z$5)-SUMIFS(TF_Timer,TF_Tekniker,Z$4,TF_Dato,$A686))*2,0)/2)))</f>
        <v/>
      </c>
      <c r="AA686">
        <f>IF(OR(AA$4="",$A686&gt;TODAY()),0,IF(OR(INDEX($B686:$D686,AA$5)="F",AND(AA$6&gt;0,$A686&lt;AA$6),AND(AA$7&gt;0,$A686&gt;AA$7)),0,MAX(0,ROUND((INDEX($E686:$G686,AA$5)-SUMIFS(TF_Timer,TF_Tekniker,AA$4,TF_Dato,$A686))*2,0)/2)))</f>
        <v/>
      </c>
      <c r="AB686">
        <f>IF(OR(AB$4="",$A686&gt;TODAY()),0,IF(OR(INDEX($B686:$D686,AB$5)="F",AND(AB$6&gt;0,$A686&lt;AB$6),AND(AB$7&gt;0,$A686&gt;AB$7)),0,MAX(0,ROUND((INDEX($E686:$G686,AB$5)-SUMIFS(TF_Timer,TF_Tekniker,AB$4,TF_Dato,$A686))*2,0)/2)))</f>
        <v/>
      </c>
      <c r="AC686">
        <f>IF(OR(AC$4="",$A686&gt;TODAY()),0,IF(OR(INDEX($B686:$D686,AC$5)="F",AND(AC$6&gt;0,$A686&lt;AC$6),AND(AC$7&gt;0,$A686&gt;AC$7)),0,MAX(0,ROUND((INDEX($E686:$G686,AC$5)-SUMIFS(TF_Timer,TF_Tekniker,AC$4,TF_Dato,$A686))*2,0)/2)))</f>
        <v/>
      </c>
      <c r="AD686">
        <f>IF(OR(AD$4="",$A686&gt;TODAY()),0,IF(OR(INDEX($B686:$D686,AD$5)="F",AND(AD$6&gt;0,$A686&lt;AD$6),AND(AD$7&gt;0,$A686&gt;AD$7)),0,MAX(0,ROUND((INDEX($E686:$G686,AD$5)-SUMIFS(TF_Timer,TF_Tekniker,AD$4,TF_Dato,$A686))*2,0)/2)))</f>
        <v/>
      </c>
      <c r="AE686">
        <f>IF(OR(AE$4="",$A686&gt;TODAY()),0,IF(OR(INDEX($B686:$D686,AE$5)="F",AND(AE$6&gt;0,$A686&lt;AE$6),AND(AE$7&gt;0,$A686&gt;AE$7)),0,MAX(0,ROUND((INDEX($E686:$G686,AE$5)-SUMIFS(TF_Timer,TF_Tekniker,AE$4,TF_Dato,$A686))*2,0)/2)))</f>
        <v/>
      </c>
      <c r="AF686">
        <f>IF(OR(AF$4="",$A686&gt;TODAY()),0,IF(OR(INDEX($B686:$D686,AF$5)="F",AND(AF$6&gt;0,$A686&lt;AF$6),AND(AF$7&gt;0,$A686&gt;AF$7)),0,MAX(0,ROUND((INDEX($E686:$G686,AF$5)-SUMIFS(TF_Timer,TF_Tekniker,AF$4,TF_Dato,$A686))*2,0)/2)))</f>
        <v/>
      </c>
      <c r="AG686">
        <f>IF(OR(AG$4="",$A686&gt;TODAY()),0,IF(OR(INDEX($B686:$D686,AG$5)="F",AND(AG$6&gt;0,$A686&lt;AG$6),AND(AG$7&gt;0,$A686&gt;AG$7)),0,MAX(0,ROUND((INDEX($E686:$G686,AG$5)-SUMIFS(TF_Timer,TF_Tekniker,AG$4,TF_Dato,$A686))*2,0)/2)))</f>
        <v/>
      </c>
      <c r="AH686">
        <f>IF(OR(AH$4="",$A686&gt;TODAY()),0,IF(OR(INDEX($B686:$D686,AH$5)="F",AND(AH$6&gt;0,$A686&lt;AH$6),AND(AH$7&gt;0,$A686&gt;AH$7)),0,MAX(0,ROUND((INDEX($E686:$G686,AH$5)-SUMIFS(TF_Timer,TF_Tekniker,AH$4,TF_Dato,$A686))*2,0)/2)))</f>
        <v/>
      </c>
      <c r="AI686">
        <f>IF(OR(AI$4="",$A686&gt;TODAY()),0,IF(OR(INDEX($B686:$D686,AI$5)="F",AND(AI$6&gt;0,$A686&lt;AI$6),AND(AI$7&gt;0,$A686&gt;AI$7)),0,MAX(0,ROUND((INDEX($E686:$G686,AI$5)-SUMIFS(TF_Timer,TF_Tekniker,AI$4,TF_Dato,$A686))*2,0)/2)))</f>
        <v/>
      </c>
      <c r="AJ686">
        <f>IF(OR(AJ$4="",$A686&gt;TODAY()),0,IF(OR(INDEX($B686:$D686,AJ$5)="F",AND(AJ$6&gt;0,$A686&lt;AJ$6),AND(AJ$7&gt;0,$A686&gt;AJ$7)),0,MAX(0,ROUND((INDEX($E686:$G686,AJ$5)-SUMIFS(TF_Timer,TF_Tekniker,AJ$4,TF_Dato,$A686))*2,0)/2)))</f>
        <v/>
      </c>
      <c r="AK686">
        <f>IF(OR(AK$4="",$A686&gt;TODAY()),0,IF(OR(INDEX($B686:$D686,AK$5)="F",AND(AK$6&gt;0,$A686&lt;AK$6),AND(AK$7&gt;0,$A686&gt;AK$7)),0,MAX(0,ROUND((INDEX($E686:$G686,AK$5)-SUMIFS(TF_Timer,TF_Tekniker,AK$4,TF_Dato,$A686))*2,0)/2)))</f>
        <v/>
      </c>
      <c r="AL686">
        <f>IF(OR(AL$4="",$A686&gt;TODAY()),0,IF(OR(INDEX($B686:$D686,AL$5)="F",AND(AL$6&gt;0,$A686&lt;AL$6),AND(AL$7&gt;0,$A686&gt;AL$7)),0,MAX(0,ROUND((INDEX($E686:$G686,AL$5)-SUMIFS(TF_Timer,TF_Tekniker,AL$4,TF_Dato,$A686))*2,0)/2)))</f>
        <v/>
      </c>
      <c r="AM686">
        <f>IF(OR(AM$4="",$A686&gt;TODAY()),0,IF(OR(INDEX($B686:$D686,AM$5)="F",AND(AM$6&gt;0,$A686&lt;AM$6),AND(AM$7&gt;0,$A686&gt;AM$7)),0,MAX(0,ROUND((INDEX($E686:$G686,AM$5)-SUMIFS(TF_Timer,TF_Tekniker,AM$4,TF_Dato,$A686))*2,0)/2)))</f>
        <v/>
      </c>
      <c r="AN686">
        <f>IF(OR(AN$4="",$A686&gt;TODAY()),0,IF(OR(INDEX($B686:$D686,AN$5)="F",AND(AN$6&gt;0,$A686&lt;AN$6),AND(AN$7&gt;0,$A686&gt;AN$7)),0,MAX(0,ROUND((INDEX($E686:$G686,AN$5)-SUMIFS(TF_Timer,TF_Tekniker,AN$4,TF_Dato,$A686))*2,0)/2)))</f>
        <v/>
      </c>
      <c r="AO686">
        <f>IF(OR(AO$4="",$A686&gt;TODAY()),0,IF(OR(INDEX($B686:$D686,AO$5)="F",AND(AO$6&gt;0,$A686&lt;AO$6),AND(AO$7&gt;0,$A686&gt;AO$7)),0,MAX(0,ROUND((INDEX($E686:$G686,AO$5)-SUMIFS(TF_Timer,TF_Tekniker,AO$4,TF_Dato,$A686))*2,0)/2)))</f>
        <v/>
      </c>
      <c r="AP686">
        <f>IF(OR(AP$4="",$A686&gt;TODAY()),0,IF(OR(INDEX($B686:$D686,AP$5)="F",AND(AP$6&gt;0,$A686&lt;AP$6),AND(AP$7&gt;0,$A686&gt;AP$7)),0,MAX(0,ROUND((INDEX($E686:$G686,AP$5)-SUMIFS(TF_Timer,TF_Tekniker,AP$4,TF_Dato,$A686))*2,0)/2)))</f>
        <v/>
      </c>
      <c r="AQ686">
        <f>IF(OR(AQ$4="",$A686&gt;TODAY()),0,IF(OR(INDEX($B686:$D686,AQ$5)="F",AND(AQ$6&gt;0,$A686&lt;AQ$6),AND(AQ$7&gt;0,$A686&gt;AQ$7)),0,MAX(0,ROUND((INDEX($E686:$G686,AQ$5)-SUMIFS(TF_Timer,TF_Tekniker,AQ$4,TF_Dato,$A686))*2,0)/2)))</f>
        <v/>
      </c>
      <c r="AR686">
        <f>IF(OR(AR$4="",$A686&gt;TODAY()),0,IF(OR(INDEX($B686:$D686,AR$5)="F",AND(AR$6&gt;0,$A686&lt;AR$6),AND(AR$7&gt;0,$A686&gt;AR$7)),0,MAX(0,ROUND((INDEX($E686:$G686,AR$5)-SUMIFS(TF_Timer,TF_Tekniker,AR$4,TF_Dato,$A686))*2,0)/2)))</f>
        <v/>
      </c>
      <c r="AS686">
        <f>IF(OR(AS$4="",$A686&gt;TODAY()),0,IF(OR(INDEX($B686:$D686,AS$5)="F",AND(AS$6&gt;0,$A686&lt;AS$6),AND(AS$7&gt;0,$A686&gt;AS$7)),0,MAX(0,ROUND((INDEX($E686:$G686,AS$5)-SUMIFS(TF_Timer,TF_Tekniker,AS$4,TF_Dato,$A686))*2,0)/2)))</f>
        <v/>
      </c>
      <c r="AT686">
        <f>IF(OR(AT$4="",$A686&gt;TODAY()),0,IF(OR(INDEX($B686:$D686,AT$5)="F",AND(AT$6&gt;0,$A686&lt;AT$6),AND(AT$7&gt;0,$A686&gt;AT$7)),0,MAX(0,ROUND((INDEX($E686:$G686,AT$5)-SUMIFS(TF_Timer,TF_Tekniker,AT$4,TF_Dato,$A686))*2,0)/2)))</f>
        <v/>
      </c>
      <c r="AU686">
        <f>IF(OR(AU$4="",$A686&gt;TODAY()),0,IF(OR(INDEX($B686:$D686,AU$5)="F",AND(AU$6&gt;0,$A686&lt;AU$6),AND(AU$7&gt;0,$A686&gt;AU$7)),0,MAX(0,ROUND((INDEX($E686:$G686,AU$5)-SUMIFS(TF_Timer,TF_Tekniker,AU$4,TF_Dato,$A686))*2,0)/2)))</f>
        <v/>
      </c>
      <c r="AV686">
        <f>IF(OR(AV$4="",$A686&gt;TODAY()),0,IF(OR(INDEX($B686:$D686,AV$5)="F",AND(AV$6&gt;0,$A686&lt;AV$6),AND(AV$7&gt;0,$A686&gt;AV$7)),0,MAX(0,ROUND((INDEX($E686:$G686,AV$5)-SUMIFS(TF_Timer,TF_Tekniker,AV$4,TF_Dato,$A686))*2,0)/2)))</f>
        <v/>
      </c>
      <c r="AW686">
        <f>IF(OR(AW$4="",$A686&gt;TODAY()),0,IF(OR(INDEX($B686:$D686,AW$5)="F",AND(AW$6&gt;0,$A686&lt;AW$6),AND(AW$7&gt;0,$A686&gt;AW$7)),0,MAX(0,ROUND((INDEX($E686:$G686,AW$5)-SUMIFS(TF_Timer,TF_Tekniker,AW$4,TF_Dato,$A686))*2,0)/2)))</f>
        <v/>
      </c>
      <c r="AX686">
        <f>IF(OR(AX$4="",$A686&gt;TODAY()),0,IF(OR(INDEX($B686:$D686,AX$5)="F",AND(AX$6&gt;0,$A686&lt;AX$6),AND(AX$7&gt;0,$A686&gt;AX$7)),0,MAX(0,ROUND((INDEX($E686:$G686,AX$5)-SUMIFS(TF_Timer,TF_Tekniker,AX$4,TF_Dato,$A686))*2,0)/2)))</f>
        <v/>
      </c>
      <c r="AY686">
        <f>IF(OR(AY$4="",$A686&gt;TODAY()),0,IF(OR(INDEX($B686:$D686,AY$5)="F",AND(AY$6&gt;0,$A686&lt;AY$6),AND(AY$7&gt;0,$A686&gt;AY$7)),0,MAX(0,ROUND((INDEX($E686:$G686,AY$5)-SUMIFS(TF_Timer,TF_Tekniker,AY$4,TF_Dato,$A686))*2,0)/2)))</f>
        <v/>
      </c>
      <c r="AZ686">
        <f>IF(OR(AZ$4="",$A686&gt;TODAY()),0,IF(OR(INDEX($B686:$D686,AZ$5)="F",AND(AZ$6&gt;0,$A686&lt;AZ$6),AND(AZ$7&gt;0,$A686&gt;AZ$7)),0,MAX(0,ROUND((INDEX($E686:$G686,AZ$5)-SUMIFS(TF_Timer,TF_Tekniker,AZ$4,TF_Dato,$A686))*2,0)/2)))</f>
        <v/>
      </c>
      <c r="BA686">
        <f>IF(OR(BA$4="",$A686&gt;TODAY()),0,IF(OR(INDEX($B686:$D686,BA$5)="F",AND(BA$6&gt;0,$A686&lt;BA$6),AND(BA$7&gt;0,$A686&gt;BA$7)),0,MAX(0,ROUND((INDEX($E686:$G686,BA$5)-SUMIFS(TF_Timer,TF_Tekniker,BA$4,TF_Dato,$A686))*2,0)/2)))</f>
        <v/>
      </c>
      <c r="BB686">
        <f>IF(OR(BB$4="",$A686&gt;TODAY()),0,IF(OR(INDEX($B686:$D686,BB$5)="F",AND(BB$6&gt;0,$A686&lt;BB$6),AND(BB$7&gt;0,$A686&gt;BB$7)),0,MAX(0,ROUND((INDEX($E686:$G686,BB$5)-SUMIFS(TF_Timer,TF_Tekniker,BB$4,TF_Dato,$A686))*2,0)/2)))</f>
        <v/>
      </c>
      <c r="BC686">
        <f>IF(OR(BC$4="",$A686&gt;TODAY()),0,IF(OR(INDEX($B686:$D686,BC$5)="F",AND(BC$6&gt;0,$A686&lt;BC$6),AND(BC$7&gt;0,$A686&gt;BC$7)),0,MAX(0,ROUND((INDEX($E686:$G686,BC$5)-SUMIFS(TF_Timer,TF_Tekniker,BC$4,TF_Dato,$A686))*2,0)/2)))</f>
        <v/>
      </c>
      <c r="BD686">
        <f>IF(OR(BD$4="",$A686&gt;TODAY()),0,IF(OR(INDEX($B686:$D686,BD$5)="F",AND(BD$6&gt;0,$A686&lt;BD$6),AND(BD$7&gt;0,$A686&gt;BD$7)),0,MAX(0,ROUND((INDEX($E686:$G686,BD$5)-SUMIFS(TF_Timer,TF_Tekniker,BD$4,TF_Dato,$A686))*2,0)/2)))</f>
        <v/>
      </c>
      <c r="BE686">
        <f>IF(OR(BE$4="",$A686&gt;TODAY()),0,IF(OR(INDEX($B686:$D686,BE$5)="F",AND(BE$6&gt;0,$A686&lt;BE$6),AND(BE$7&gt;0,$A686&gt;BE$7)),0,MAX(0,ROUND((INDEX($E686:$G686,BE$5)-SUMIFS(TF_Timer,TF_Tekniker,BE$4,TF_Dato,$A686))*2,0)/2)))</f>
        <v/>
      </c>
      <c r="BF686">
        <f>IF(OR(BF$4="",$A686&gt;TODAY()),0,IF(OR(INDEX($B686:$D686,BF$5)="F",AND(BF$6&gt;0,$A686&lt;BF$6),AND(BF$7&gt;0,$A686&gt;BF$7)),0,MAX(0,ROUND((INDEX($E686:$G686,BF$5)-SUMIFS(TF_Timer,TF_Tekniker,BF$4,TF_Dato,$A686))*2,0)/2)))</f>
        <v/>
      </c>
      <c r="BG686">
        <f>IF(OR(BG$4="",$A686&gt;TODAY()),0,IF(OR(INDEX($B686:$D686,BG$5)="F",AND(BG$6&gt;0,$A686&lt;BG$6),AND(BG$7&gt;0,$A686&gt;BG$7)),0,MAX(0,ROUND((INDEX($E686:$G686,BG$5)-SUMIFS(TF_Timer,TF_Tekniker,BG$4,TF_Dato,$A686))*2,0)/2)))</f>
        <v/>
      </c>
      <c r="BH686">
        <f>IF(OR(BH$4="",$A686&gt;TODAY()),0,IF(OR(INDEX($B686:$D686,BH$5)="F",AND(BH$6&gt;0,$A686&lt;BH$6),AND(BH$7&gt;0,$A686&gt;BH$7)),0,MAX(0,ROUND((INDEX($E686:$G686,BH$5)-SUMIFS(TF_Timer,TF_Tekniker,BH$4,TF_Dato,$A686))*2,0)/2)))</f>
        <v/>
      </c>
      <c r="BI686">
        <f>IF(OR(BI$4="",$A686&gt;TODAY()),0,IF(OR(INDEX($B686:$D686,BI$5)="F",AND(BI$6&gt;0,$A686&lt;BI$6),AND(BI$7&gt;0,$A686&gt;BI$7)),0,MAX(0,ROUND((INDEX($E686:$G686,BI$5)-SUMIFS(TF_Timer,TF_Tekniker,BI$4,TF_Dato,$A686))*2,0)/2)))</f>
        <v/>
      </c>
    </row>
    <row r="687">
      <c r="A687" s="64">
        <f>A686+1</f>
        <v/>
      </c>
      <c r="B687">
        <f>IF(MOD($A687-INDEX(SkiftStart,1),Syklus)&lt;DagK,"K",IF(MOD($A687-INDEX(SkiftStart,1),Syklus)&lt;DagK+DagH,"H",IF(MOD($A687-INDEX(SkiftStart,1),Syklus)&lt;DagK+DagH+DagD,"D","F")))</f>
        <v/>
      </c>
      <c r="C687">
        <f>IF(MOD($A687-INDEX(SkiftStart,2),Syklus)&lt;DagK,"K",IF(MOD($A687-INDEX(SkiftStart,2),Syklus)&lt;DagK+DagH,"H",IF(MOD($A687-INDEX(SkiftStart,2),Syklus)&lt;DagK+DagH+DagD,"D","F")))</f>
        <v/>
      </c>
      <c r="D687">
        <f>IF(MOD($A687-INDEX(SkiftStart,3),Syklus)&lt;DagK,"K",IF(MOD($A687-INDEX(SkiftStart,3),Syklus)&lt;DagK+DagH,"H",IF(MOD($A687-INDEX(SkiftStart,3),Syklus)&lt;DagK+DagH+DagD,"D","F")))</f>
        <v/>
      </c>
      <c r="E687">
        <f>IF(B687="F",0,IF(WEEKDAY($A687,2)=5,INDEX(TimerFr,MATCH(B687,FaseKode,0)),INDEX(TimerMT,MATCH(B687,FaseKode,0))))</f>
        <v/>
      </c>
      <c r="F687">
        <f>IF(C687="F",0,IF(WEEKDAY($A687,2)=5,INDEX(TimerFr,MATCH(C687,FaseKode,0)),INDEX(TimerMT,MATCH(C687,FaseKode,0))))</f>
        <v/>
      </c>
      <c r="G687">
        <f>IF(D687="F",0,IF(WEEKDAY($A687,2)=5,INDEX(TimerFr,MATCH(D687,FaseKode,0)),INDEX(TimerMT,MATCH(D687,FaseKode,0))))</f>
        <v/>
      </c>
      <c r="H687">
        <f>IF(OR(H$4="",$A687&gt;TODAY()),0,IF(OR(INDEX($B687:$D687,H$5)="F",AND(H$6&gt;0,$A687&lt;H$6),AND(H$7&gt;0,$A687&gt;H$7)),0,MAX(0,ROUND((INDEX($E687:$G687,H$5)-SUMIFS(TF_Timer,TF_Tekniker,H$4,TF_Dato,$A687))*2,0)/2)))</f>
        <v/>
      </c>
      <c r="I687">
        <f>IF(OR(I$4="",$A687&gt;TODAY()),0,IF(OR(INDEX($B687:$D687,I$5)="F",AND(I$6&gt;0,$A687&lt;I$6),AND(I$7&gt;0,$A687&gt;I$7)),0,MAX(0,ROUND((INDEX($E687:$G687,I$5)-SUMIFS(TF_Timer,TF_Tekniker,I$4,TF_Dato,$A687))*2,0)/2)))</f>
        <v/>
      </c>
      <c r="J687">
        <f>IF(OR(J$4="",$A687&gt;TODAY()),0,IF(OR(INDEX($B687:$D687,J$5)="F",AND(J$6&gt;0,$A687&lt;J$6),AND(J$7&gt;0,$A687&gt;J$7)),0,MAX(0,ROUND((INDEX($E687:$G687,J$5)-SUMIFS(TF_Timer,TF_Tekniker,J$4,TF_Dato,$A687))*2,0)/2)))</f>
        <v/>
      </c>
      <c r="K687">
        <f>IF(OR(K$4="",$A687&gt;TODAY()),0,IF(OR(INDEX($B687:$D687,K$5)="F",AND(K$6&gt;0,$A687&lt;K$6),AND(K$7&gt;0,$A687&gt;K$7)),0,MAX(0,ROUND((INDEX($E687:$G687,K$5)-SUMIFS(TF_Timer,TF_Tekniker,K$4,TF_Dato,$A687))*2,0)/2)))</f>
        <v/>
      </c>
      <c r="L687">
        <f>IF(OR(L$4="",$A687&gt;TODAY()),0,IF(OR(INDEX($B687:$D687,L$5)="F",AND(L$6&gt;0,$A687&lt;L$6),AND(L$7&gt;0,$A687&gt;L$7)),0,MAX(0,ROUND((INDEX($E687:$G687,L$5)-SUMIFS(TF_Timer,TF_Tekniker,L$4,TF_Dato,$A687))*2,0)/2)))</f>
        <v/>
      </c>
      <c r="M687">
        <f>IF(OR(M$4="",$A687&gt;TODAY()),0,IF(OR(INDEX($B687:$D687,M$5)="F",AND(M$6&gt;0,$A687&lt;M$6),AND(M$7&gt;0,$A687&gt;M$7)),0,MAX(0,ROUND((INDEX($E687:$G687,M$5)-SUMIFS(TF_Timer,TF_Tekniker,M$4,TF_Dato,$A687))*2,0)/2)))</f>
        <v/>
      </c>
      <c r="N687">
        <f>IF(OR(N$4="",$A687&gt;TODAY()),0,IF(OR(INDEX($B687:$D687,N$5)="F",AND(N$6&gt;0,$A687&lt;N$6),AND(N$7&gt;0,$A687&gt;N$7)),0,MAX(0,ROUND((INDEX($E687:$G687,N$5)-SUMIFS(TF_Timer,TF_Tekniker,N$4,TF_Dato,$A687))*2,0)/2)))</f>
        <v/>
      </c>
      <c r="O687">
        <f>IF(OR(O$4="",$A687&gt;TODAY()),0,IF(OR(INDEX($B687:$D687,O$5)="F",AND(O$6&gt;0,$A687&lt;O$6),AND(O$7&gt;0,$A687&gt;O$7)),0,MAX(0,ROUND((INDEX($E687:$G687,O$5)-SUMIFS(TF_Timer,TF_Tekniker,O$4,TF_Dato,$A687))*2,0)/2)))</f>
        <v/>
      </c>
      <c r="P687">
        <f>IF(OR(P$4="",$A687&gt;TODAY()),0,IF(OR(INDEX($B687:$D687,P$5)="F",AND(P$6&gt;0,$A687&lt;P$6),AND(P$7&gt;0,$A687&gt;P$7)),0,MAX(0,ROUND((INDEX($E687:$G687,P$5)-SUMIFS(TF_Timer,TF_Tekniker,P$4,TF_Dato,$A687))*2,0)/2)))</f>
        <v/>
      </c>
      <c r="Q687">
        <f>IF(OR(Q$4="",$A687&gt;TODAY()),0,IF(OR(INDEX($B687:$D687,Q$5)="F",AND(Q$6&gt;0,$A687&lt;Q$6),AND(Q$7&gt;0,$A687&gt;Q$7)),0,MAX(0,ROUND((INDEX($E687:$G687,Q$5)-SUMIFS(TF_Timer,TF_Tekniker,Q$4,TF_Dato,$A687))*2,0)/2)))</f>
        <v/>
      </c>
      <c r="R687">
        <f>IF(OR(R$4="",$A687&gt;TODAY()),0,IF(OR(INDEX($B687:$D687,R$5)="F",AND(R$6&gt;0,$A687&lt;R$6),AND(R$7&gt;0,$A687&gt;R$7)),0,MAX(0,ROUND((INDEX($E687:$G687,R$5)-SUMIFS(TF_Timer,TF_Tekniker,R$4,TF_Dato,$A687))*2,0)/2)))</f>
        <v/>
      </c>
      <c r="S687">
        <f>IF(OR(S$4="",$A687&gt;TODAY()),0,IF(OR(INDEX($B687:$D687,S$5)="F",AND(S$6&gt;0,$A687&lt;S$6),AND(S$7&gt;0,$A687&gt;S$7)),0,MAX(0,ROUND((INDEX($E687:$G687,S$5)-SUMIFS(TF_Timer,TF_Tekniker,S$4,TF_Dato,$A687))*2,0)/2)))</f>
        <v/>
      </c>
      <c r="T687">
        <f>IF(OR(T$4="",$A687&gt;TODAY()),0,IF(OR(INDEX($B687:$D687,T$5)="F",AND(T$6&gt;0,$A687&lt;T$6),AND(T$7&gt;0,$A687&gt;T$7)),0,MAX(0,ROUND((INDEX($E687:$G687,T$5)-SUMIFS(TF_Timer,TF_Tekniker,T$4,TF_Dato,$A687))*2,0)/2)))</f>
        <v/>
      </c>
      <c r="U687">
        <f>IF(OR(U$4="",$A687&gt;TODAY()),0,IF(OR(INDEX($B687:$D687,U$5)="F",AND(U$6&gt;0,$A687&lt;U$6),AND(U$7&gt;0,$A687&gt;U$7)),0,MAX(0,ROUND((INDEX($E687:$G687,U$5)-SUMIFS(TF_Timer,TF_Tekniker,U$4,TF_Dato,$A687))*2,0)/2)))</f>
        <v/>
      </c>
      <c r="V687">
        <f>IF(OR(V$4="",$A687&gt;TODAY()),0,IF(OR(INDEX($B687:$D687,V$5)="F",AND(V$6&gt;0,$A687&lt;V$6),AND(V$7&gt;0,$A687&gt;V$7)),0,MAX(0,ROUND((INDEX($E687:$G687,V$5)-SUMIFS(TF_Timer,TF_Tekniker,V$4,TF_Dato,$A687))*2,0)/2)))</f>
        <v/>
      </c>
      <c r="W687">
        <f>IF(OR(W$4="",$A687&gt;TODAY()),0,IF(OR(INDEX($B687:$D687,W$5)="F",AND(W$6&gt;0,$A687&lt;W$6),AND(W$7&gt;0,$A687&gt;W$7)),0,MAX(0,ROUND((INDEX($E687:$G687,W$5)-SUMIFS(TF_Timer,TF_Tekniker,W$4,TF_Dato,$A687))*2,0)/2)))</f>
        <v/>
      </c>
      <c r="X687">
        <f>IF(OR(X$4="",$A687&gt;TODAY()),0,IF(OR(INDEX($B687:$D687,X$5)="F",AND(X$6&gt;0,$A687&lt;X$6),AND(X$7&gt;0,$A687&gt;X$7)),0,MAX(0,ROUND((INDEX($E687:$G687,X$5)-SUMIFS(TF_Timer,TF_Tekniker,X$4,TF_Dato,$A687))*2,0)/2)))</f>
        <v/>
      </c>
      <c r="Y687">
        <f>IF(OR(Y$4="",$A687&gt;TODAY()),0,IF(OR(INDEX($B687:$D687,Y$5)="F",AND(Y$6&gt;0,$A687&lt;Y$6),AND(Y$7&gt;0,$A687&gt;Y$7)),0,MAX(0,ROUND((INDEX($E687:$G687,Y$5)-SUMIFS(TF_Timer,TF_Tekniker,Y$4,TF_Dato,$A687))*2,0)/2)))</f>
        <v/>
      </c>
      <c r="Z687">
        <f>IF(OR(Z$4="",$A687&gt;TODAY()),0,IF(OR(INDEX($B687:$D687,Z$5)="F",AND(Z$6&gt;0,$A687&lt;Z$6),AND(Z$7&gt;0,$A687&gt;Z$7)),0,MAX(0,ROUND((INDEX($E687:$G687,Z$5)-SUMIFS(TF_Timer,TF_Tekniker,Z$4,TF_Dato,$A687))*2,0)/2)))</f>
        <v/>
      </c>
      <c r="AA687">
        <f>IF(OR(AA$4="",$A687&gt;TODAY()),0,IF(OR(INDEX($B687:$D687,AA$5)="F",AND(AA$6&gt;0,$A687&lt;AA$6),AND(AA$7&gt;0,$A687&gt;AA$7)),0,MAX(0,ROUND((INDEX($E687:$G687,AA$5)-SUMIFS(TF_Timer,TF_Tekniker,AA$4,TF_Dato,$A687))*2,0)/2)))</f>
        <v/>
      </c>
      <c r="AB687">
        <f>IF(OR(AB$4="",$A687&gt;TODAY()),0,IF(OR(INDEX($B687:$D687,AB$5)="F",AND(AB$6&gt;0,$A687&lt;AB$6),AND(AB$7&gt;0,$A687&gt;AB$7)),0,MAX(0,ROUND((INDEX($E687:$G687,AB$5)-SUMIFS(TF_Timer,TF_Tekniker,AB$4,TF_Dato,$A687))*2,0)/2)))</f>
        <v/>
      </c>
      <c r="AC687">
        <f>IF(OR(AC$4="",$A687&gt;TODAY()),0,IF(OR(INDEX($B687:$D687,AC$5)="F",AND(AC$6&gt;0,$A687&lt;AC$6),AND(AC$7&gt;0,$A687&gt;AC$7)),0,MAX(0,ROUND((INDEX($E687:$G687,AC$5)-SUMIFS(TF_Timer,TF_Tekniker,AC$4,TF_Dato,$A687))*2,0)/2)))</f>
        <v/>
      </c>
      <c r="AD687">
        <f>IF(OR(AD$4="",$A687&gt;TODAY()),0,IF(OR(INDEX($B687:$D687,AD$5)="F",AND(AD$6&gt;0,$A687&lt;AD$6),AND(AD$7&gt;0,$A687&gt;AD$7)),0,MAX(0,ROUND((INDEX($E687:$G687,AD$5)-SUMIFS(TF_Timer,TF_Tekniker,AD$4,TF_Dato,$A687))*2,0)/2)))</f>
        <v/>
      </c>
      <c r="AE687">
        <f>IF(OR(AE$4="",$A687&gt;TODAY()),0,IF(OR(INDEX($B687:$D687,AE$5)="F",AND(AE$6&gt;0,$A687&lt;AE$6),AND(AE$7&gt;0,$A687&gt;AE$7)),0,MAX(0,ROUND((INDEX($E687:$G687,AE$5)-SUMIFS(TF_Timer,TF_Tekniker,AE$4,TF_Dato,$A687))*2,0)/2)))</f>
        <v/>
      </c>
      <c r="AF687">
        <f>IF(OR(AF$4="",$A687&gt;TODAY()),0,IF(OR(INDEX($B687:$D687,AF$5)="F",AND(AF$6&gt;0,$A687&lt;AF$6),AND(AF$7&gt;0,$A687&gt;AF$7)),0,MAX(0,ROUND((INDEX($E687:$G687,AF$5)-SUMIFS(TF_Timer,TF_Tekniker,AF$4,TF_Dato,$A687))*2,0)/2)))</f>
        <v/>
      </c>
      <c r="AG687">
        <f>IF(OR(AG$4="",$A687&gt;TODAY()),0,IF(OR(INDEX($B687:$D687,AG$5)="F",AND(AG$6&gt;0,$A687&lt;AG$6),AND(AG$7&gt;0,$A687&gt;AG$7)),0,MAX(0,ROUND((INDEX($E687:$G687,AG$5)-SUMIFS(TF_Timer,TF_Tekniker,AG$4,TF_Dato,$A687))*2,0)/2)))</f>
        <v/>
      </c>
      <c r="AH687">
        <f>IF(OR(AH$4="",$A687&gt;TODAY()),0,IF(OR(INDEX($B687:$D687,AH$5)="F",AND(AH$6&gt;0,$A687&lt;AH$6),AND(AH$7&gt;0,$A687&gt;AH$7)),0,MAX(0,ROUND((INDEX($E687:$G687,AH$5)-SUMIFS(TF_Timer,TF_Tekniker,AH$4,TF_Dato,$A687))*2,0)/2)))</f>
        <v/>
      </c>
      <c r="AI687">
        <f>IF(OR(AI$4="",$A687&gt;TODAY()),0,IF(OR(INDEX($B687:$D687,AI$5)="F",AND(AI$6&gt;0,$A687&lt;AI$6),AND(AI$7&gt;0,$A687&gt;AI$7)),0,MAX(0,ROUND((INDEX($E687:$G687,AI$5)-SUMIFS(TF_Timer,TF_Tekniker,AI$4,TF_Dato,$A687))*2,0)/2)))</f>
        <v/>
      </c>
      <c r="AJ687">
        <f>IF(OR(AJ$4="",$A687&gt;TODAY()),0,IF(OR(INDEX($B687:$D687,AJ$5)="F",AND(AJ$6&gt;0,$A687&lt;AJ$6),AND(AJ$7&gt;0,$A687&gt;AJ$7)),0,MAX(0,ROUND((INDEX($E687:$G687,AJ$5)-SUMIFS(TF_Timer,TF_Tekniker,AJ$4,TF_Dato,$A687))*2,0)/2)))</f>
        <v/>
      </c>
      <c r="AK687">
        <f>IF(OR(AK$4="",$A687&gt;TODAY()),0,IF(OR(INDEX($B687:$D687,AK$5)="F",AND(AK$6&gt;0,$A687&lt;AK$6),AND(AK$7&gt;0,$A687&gt;AK$7)),0,MAX(0,ROUND((INDEX($E687:$G687,AK$5)-SUMIFS(TF_Timer,TF_Tekniker,AK$4,TF_Dato,$A687))*2,0)/2)))</f>
        <v/>
      </c>
      <c r="AL687">
        <f>IF(OR(AL$4="",$A687&gt;TODAY()),0,IF(OR(INDEX($B687:$D687,AL$5)="F",AND(AL$6&gt;0,$A687&lt;AL$6),AND(AL$7&gt;0,$A687&gt;AL$7)),0,MAX(0,ROUND((INDEX($E687:$G687,AL$5)-SUMIFS(TF_Timer,TF_Tekniker,AL$4,TF_Dato,$A687))*2,0)/2)))</f>
        <v/>
      </c>
      <c r="AM687">
        <f>IF(OR(AM$4="",$A687&gt;TODAY()),0,IF(OR(INDEX($B687:$D687,AM$5)="F",AND(AM$6&gt;0,$A687&lt;AM$6),AND(AM$7&gt;0,$A687&gt;AM$7)),0,MAX(0,ROUND((INDEX($E687:$G687,AM$5)-SUMIFS(TF_Timer,TF_Tekniker,AM$4,TF_Dato,$A687))*2,0)/2)))</f>
        <v/>
      </c>
      <c r="AN687">
        <f>IF(OR(AN$4="",$A687&gt;TODAY()),0,IF(OR(INDEX($B687:$D687,AN$5)="F",AND(AN$6&gt;0,$A687&lt;AN$6),AND(AN$7&gt;0,$A687&gt;AN$7)),0,MAX(0,ROUND((INDEX($E687:$G687,AN$5)-SUMIFS(TF_Timer,TF_Tekniker,AN$4,TF_Dato,$A687))*2,0)/2)))</f>
        <v/>
      </c>
      <c r="AO687">
        <f>IF(OR(AO$4="",$A687&gt;TODAY()),0,IF(OR(INDEX($B687:$D687,AO$5)="F",AND(AO$6&gt;0,$A687&lt;AO$6),AND(AO$7&gt;0,$A687&gt;AO$7)),0,MAX(0,ROUND((INDEX($E687:$G687,AO$5)-SUMIFS(TF_Timer,TF_Tekniker,AO$4,TF_Dato,$A687))*2,0)/2)))</f>
        <v/>
      </c>
      <c r="AP687">
        <f>IF(OR(AP$4="",$A687&gt;TODAY()),0,IF(OR(INDEX($B687:$D687,AP$5)="F",AND(AP$6&gt;0,$A687&lt;AP$6),AND(AP$7&gt;0,$A687&gt;AP$7)),0,MAX(0,ROUND((INDEX($E687:$G687,AP$5)-SUMIFS(TF_Timer,TF_Tekniker,AP$4,TF_Dato,$A687))*2,0)/2)))</f>
        <v/>
      </c>
      <c r="AQ687">
        <f>IF(OR(AQ$4="",$A687&gt;TODAY()),0,IF(OR(INDEX($B687:$D687,AQ$5)="F",AND(AQ$6&gt;0,$A687&lt;AQ$6),AND(AQ$7&gt;0,$A687&gt;AQ$7)),0,MAX(0,ROUND((INDEX($E687:$G687,AQ$5)-SUMIFS(TF_Timer,TF_Tekniker,AQ$4,TF_Dato,$A687))*2,0)/2)))</f>
        <v/>
      </c>
      <c r="AR687">
        <f>IF(OR(AR$4="",$A687&gt;TODAY()),0,IF(OR(INDEX($B687:$D687,AR$5)="F",AND(AR$6&gt;0,$A687&lt;AR$6),AND(AR$7&gt;0,$A687&gt;AR$7)),0,MAX(0,ROUND((INDEX($E687:$G687,AR$5)-SUMIFS(TF_Timer,TF_Tekniker,AR$4,TF_Dato,$A687))*2,0)/2)))</f>
        <v/>
      </c>
      <c r="AS687">
        <f>IF(OR(AS$4="",$A687&gt;TODAY()),0,IF(OR(INDEX($B687:$D687,AS$5)="F",AND(AS$6&gt;0,$A687&lt;AS$6),AND(AS$7&gt;0,$A687&gt;AS$7)),0,MAX(0,ROUND((INDEX($E687:$G687,AS$5)-SUMIFS(TF_Timer,TF_Tekniker,AS$4,TF_Dato,$A687))*2,0)/2)))</f>
        <v/>
      </c>
      <c r="AT687">
        <f>IF(OR(AT$4="",$A687&gt;TODAY()),0,IF(OR(INDEX($B687:$D687,AT$5)="F",AND(AT$6&gt;0,$A687&lt;AT$6),AND(AT$7&gt;0,$A687&gt;AT$7)),0,MAX(0,ROUND((INDEX($E687:$G687,AT$5)-SUMIFS(TF_Timer,TF_Tekniker,AT$4,TF_Dato,$A687))*2,0)/2)))</f>
        <v/>
      </c>
      <c r="AU687">
        <f>IF(OR(AU$4="",$A687&gt;TODAY()),0,IF(OR(INDEX($B687:$D687,AU$5)="F",AND(AU$6&gt;0,$A687&lt;AU$6),AND(AU$7&gt;0,$A687&gt;AU$7)),0,MAX(0,ROUND((INDEX($E687:$G687,AU$5)-SUMIFS(TF_Timer,TF_Tekniker,AU$4,TF_Dato,$A687))*2,0)/2)))</f>
        <v/>
      </c>
      <c r="AV687">
        <f>IF(OR(AV$4="",$A687&gt;TODAY()),0,IF(OR(INDEX($B687:$D687,AV$5)="F",AND(AV$6&gt;0,$A687&lt;AV$6),AND(AV$7&gt;0,$A687&gt;AV$7)),0,MAX(0,ROUND((INDEX($E687:$G687,AV$5)-SUMIFS(TF_Timer,TF_Tekniker,AV$4,TF_Dato,$A687))*2,0)/2)))</f>
        <v/>
      </c>
      <c r="AW687">
        <f>IF(OR(AW$4="",$A687&gt;TODAY()),0,IF(OR(INDEX($B687:$D687,AW$5)="F",AND(AW$6&gt;0,$A687&lt;AW$6),AND(AW$7&gt;0,$A687&gt;AW$7)),0,MAX(0,ROUND((INDEX($E687:$G687,AW$5)-SUMIFS(TF_Timer,TF_Tekniker,AW$4,TF_Dato,$A687))*2,0)/2)))</f>
        <v/>
      </c>
      <c r="AX687">
        <f>IF(OR(AX$4="",$A687&gt;TODAY()),0,IF(OR(INDEX($B687:$D687,AX$5)="F",AND(AX$6&gt;0,$A687&lt;AX$6),AND(AX$7&gt;0,$A687&gt;AX$7)),0,MAX(0,ROUND((INDEX($E687:$G687,AX$5)-SUMIFS(TF_Timer,TF_Tekniker,AX$4,TF_Dato,$A687))*2,0)/2)))</f>
        <v/>
      </c>
      <c r="AY687">
        <f>IF(OR(AY$4="",$A687&gt;TODAY()),0,IF(OR(INDEX($B687:$D687,AY$5)="F",AND(AY$6&gt;0,$A687&lt;AY$6),AND(AY$7&gt;0,$A687&gt;AY$7)),0,MAX(0,ROUND((INDEX($E687:$G687,AY$5)-SUMIFS(TF_Timer,TF_Tekniker,AY$4,TF_Dato,$A687))*2,0)/2)))</f>
        <v/>
      </c>
      <c r="AZ687">
        <f>IF(OR(AZ$4="",$A687&gt;TODAY()),0,IF(OR(INDEX($B687:$D687,AZ$5)="F",AND(AZ$6&gt;0,$A687&lt;AZ$6),AND(AZ$7&gt;0,$A687&gt;AZ$7)),0,MAX(0,ROUND((INDEX($E687:$G687,AZ$5)-SUMIFS(TF_Timer,TF_Tekniker,AZ$4,TF_Dato,$A687))*2,0)/2)))</f>
        <v/>
      </c>
      <c r="BA687">
        <f>IF(OR(BA$4="",$A687&gt;TODAY()),0,IF(OR(INDEX($B687:$D687,BA$5)="F",AND(BA$6&gt;0,$A687&lt;BA$6),AND(BA$7&gt;0,$A687&gt;BA$7)),0,MAX(0,ROUND((INDEX($E687:$G687,BA$5)-SUMIFS(TF_Timer,TF_Tekniker,BA$4,TF_Dato,$A687))*2,0)/2)))</f>
        <v/>
      </c>
      <c r="BB687">
        <f>IF(OR(BB$4="",$A687&gt;TODAY()),0,IF(OR(INDEX($B687:$D687,BB$5)="F",AND(BB$6&gt;0,$A687&lt;BB$6),AND(BB$7&gt;0,$A687&gt;BB$7)),0,MAX(0,ROUND((INDEX($E687:$G687,BB$5)-SUMIFS(TF_Timer,TF_Tekniker,BB$4,TF_Dato,$A687))*2,0)/2)))</f>
        <v/>
      </c>
      <c r="BC687">
        <f>IF(OR(BC$4="",$A687&gt;TODAY()),0,IF(OR(INDEX($B687:$D687,BC$5)="F",AND(BC$6&gt;0,$A687&lt;BC$6),AND(BC$7&gt;0,$A687&gt;BC$7)),0,MAX(0,ROUND((INDEX($E687:$G687,BC$5)-SUMIFS(TF_Timer,TF_Tekniker,BC$4,TF_Dato,$A687))*2,0)/2)))</f>
        <v/>
      </c>
      <c r="BD687">
        <f>IF(OR(BD$4="",$A687&gt;TODAY()),0,IF(OR(INDEX($B687:$D687,BD$5)="F",AND(BD$6&gt;0,$A687&lt;BD$6),AND(BD$7&gt;0,$A687&gt;BD$7)),0,MAX(0,ROUND((INDEX($E687:$G687,BD$5)-SUMIFS(TF_Timer,TF_Tekniker,BD$4,TF_Dato,$A687))*2,0)/2)))</f>
        <v/>
      </c>
      <c r="BE687">
        <f>IF(OR(BE$4="",$A687&gt;TODAY()),0,IF(OR(INDEX($B687:$D687,BE$5)="F",AND(BE$6&gt;0,$A687&lt;BE$6),AND(BE$7&gt;0,$A687&gt;BE$7)),0,MAX(0,ROUND((INDEX($E687:$G687,BE$5)-SUMIFS(TF_Timer,TF_Tekniker,BE$4,TF_Dato,$A687))*2,0)/2)))</f>
        <v/>
      </c>
      <c r="BF687">
        <f>IF(OR(BF$4="",$A687&gt;TODAY()),0,IF(OR(INDEX($B687:$D687,BF$5)="F",AND(BF$6&gt;0,$A687&lt;BF$6),AND(BF$7&gt;0,$A687&gt;BF$7)),0,MAX(0,ROUND((INDEX($E687:$G687,BF$5)-SUMIFS(TF_Timer,TF_Tekniker,BF$4,TF_Dato,$A687))*2,0)/2)))</f>
        <v/>
      </c>
      <c r="BG687">
        <f>IF(OR(BG$4="",$A687&gt;TODAY()),0,IF(OR(INDEX($B687:$D687,BG$5)="F",AND(BG$6&gt;0,$A687&lt;BG$6),AND(BG$7&gt;0,$A687&gt;BG$7)),0,MAX(0,ROUND((INDEX($E687:$G687,BG$5)-SUMIFS(TF_Timer,TF_Tekniker,BG$4,TF_Dato,$A687))*2,0)/2)))</f>
        <v/>
      </c>
      <c r="BH687">
        <f>IF(OR(BH$4="",$A687&gt;TODAY()),0,IF(OR(INDEX($B687:$D687,BH$5)="F",AND(BH$6&gt;0,$A687&lt;BH$6),AND(BH$7&gt;0,$A687&gt;BH$7)),0,MAX(0,ROUND((INDEX($E687:$G687,BH$5)-SUMIFS(TF_Timer,TF_Tekniker,BH$4,TF_Dato,$A687))*2,0)/2)))</f>
        <v/>
      </c>
      <c r="BI687">
        <f>IF(OR(BI$4="",$A687&gt;TODAY()),0,IF(OR(INDEX($B687:$D687,BI$5)="F",AND(BI$6&gt;0,$A687&lt;BI$6),AND(BI$7&gt;0,$A687&gt;BI$7)),0,MAX(0,ROUND((INDEX($E687:$G687,BI$5)-SUMIFS(TF_Timer,TF_Tekniker,BI$4,TF_Dato,$A687))*2,0)/2)))</f>
        <v/>
      </c>
    </row>
    <row r="688">
      <c r="A688" s="64">
        <f>A687+1</f>
        <v/>
      </c>
      <c r="B688">
        <f>IF(MOD($A688-INDEX(SkiftStart,1),Syklus)&lt;DagK,"K",IF(MOD($A688-INDEX(SkiftStart,1),Syklus)&lt;DagK+DagH,"H",IF(MOD($A688-INDEX(SkiftStart,1),Syklus)&lt;DagK+DagH+DagD,"D","F")))</f>
        <v/>
      </c>
      <c r="C688">
        <f>IF(MOD($A688-INDEX(SkiftStart,2),Syklus)&lt;DagK,"K",IF(MOD($A688-INDEX(SkiftStart,2),Syklus)&lt;DagK+DagH,"H",IF(MOD($A688-INDEX(SkiftStart,2),Syklus)&lt;DagK+DagH+DagD,"D","F")))</f>
        <v/>
      </c>
      <c r="D688">
        <f>IF(MOD($A688-INDEX(SkiftStart,3),Syklus)&lt;DagK,"K",IF(MOD($A688-INDEX(SkiftStart,3),Syklus)&lt;DagK+DagH,"H",IF(MOD($A688-INDEX(SkiftStart,3),Syklus)&lt;DagK+DagH+DagD,"D","F")))</f>
        <v/>
      </c>
      <c r="E688">
        <f>IF(B688="F",0,IF(WEEKDAY($A688,2)=5,INDEX(TimerFr,MATCH(B688,FaseKode,0)),INDEX(TimerMT,MATCH(B688,FaseKode,0))))</f>
        <v/>
      </c>
      <c r="F688">
        <f>IF(C688="F",0,IF(WEEKDAY($A688,2)=5,INDEX(TimerFr,MATCH(C688,FaseKode,0)),INDEX(TimerMT,MATCH(C688,FaseKode,0))))</f>
        <v/>
      </c>
      <c r="G688">
        <f>IF(D688="F",0,IF(WEEKDAY($A688,2)=5,INDEX(TimerFr,MATCH(D688,FaseKode,0)),INDEX(TimerMT,MATCH(D688,FaseKode,0))))</f>
        <v/>
      </c>
      <c r="H688">
        <f>IF(OR(H$4="",$A688&gt;TODAY()),0,IF(OR(INDEX($B688:$D688,H$5)="F",AND(H$6&gt;0,$A688&lt;H$6),AND(H$7&gt;0,$A688&gt;H$7)),0,MAX(0,ROUND((INDEX($E688:$G688,H$5)-SUMIFS(TF_Timer,TF_Tekniker,H$4,TF_Dato,$A688))*2,0)/2)))</f>
        <v/>
      </c>
      <c r="I688">
        <f>IF(OR(I$4="",$A688&gt;TODAY()),0,IF(OR(INDEX($B688:$D688,I$5)="F",AND(I$6&gt;0,$A688&lt;I$6),AND(I$7&gt;0,$A688&gt;I$7)),0,MAX(0,ROUND((INDEX($E688:$G688,I$5)-SUMIFS(TF_Timer,TF_Tekniker,I$4,TF_Dato,$A688))*2,0)/2)))</f>
        <v/>
      </c>
      <c r="J688">
        <f>IF(OR(J$4="",$A688&gt;TODAY()),0,IF(OR(INDEX($B688:$D688,J$5)="F",AND(J$6&gt;0,$A688&lt;J$6),AND(J$7&gt;0,$A688&gt;J$7)),0,MAX(0,ROUND((INDEX($E688:$G688,J$5)-SUMIFS(TF_Timer,TF_Tekniker,J$4,TF_Dato,$A688))*2,0)/2)))</f>
        <v/>
      </c>
      <c r="K688">
        <f>IF(OR(K$4="",$A688&gt;TODAY()),0,IF(OR(INDEX($B688:$D688,K$5)="F",AND(K$6&gt;0,$A688&lt;K$6),AND(K$7&gt;0,$A688&gt;K$7)),0,MAX(0,ROUND((INDEX($E688:$G688,K$5)-SUMIFS(TF_Timer,TF_Tekniker,K$4,TF_Dato,$A688))*2,0)/2)))</f>
        <v/>
      </c>
      <c r="L688">
        <f>IF(OR(L$4="",$A688&gt;TODAY()),0,IF(OR(INDEX($B688:$D688,L$5)="F",AND(L$6&gt;0,$A688&lt;L$6),AND(L$7&gt;0,$A688&gt;L$7)),0,MAX(0,ROUND((INDEX($E688:$G688,L$5)-SUMIFS(TF_Timer,TF_Tekniker,L$4,TF_Dato,$A688))*2,0)/2)))</f>
        <v/>
      </c>
      <c r="M688">
        <f>IF(OR(M$4="",$A688&gt;TODAY()),0,IF(OR(INDEX($B688:$D688,M$5)="F",AND(M$6&gt;0,$A688&lt;M$6),AND(M$7&gt;0,$A688&gt;M$7)),0,MAX(0,ROUND((INDEX($E688:$G688,M$5)-SUMIFS(TF_Timer,TF_Tekniker,M$4,TF_Dato,$A688))*2,0)/2)))</f>
        <v/>
      </c>
      <c r="N688">
        <f>IF(OR(N$4="",$A688&gt;TODAY()),0,IF(OR(INDEX($B688:$D688,N$5)="F",AND(N$6&gt;0,$A688&lt;N$6),AND(N$7&gt;0,$A688&gt;N$7)),0,MAX(0,ROUND((INDEX($E688:$G688,N$5)-SUMIFS(TF_Timer,TF_Tekniker,N$4,TF_Dato,$A688))*2,0)/2)))</f>
        <v/>
      </c>
      <c r="O688">
        <f>IF(OR(O$4="",$A688&gt;TODAY()),0,IF(OR(INDEX($B688:$D688,O$5)="F",AND(O$6&gt;0,$A688&lt;O$6),AND(O$7&gt;0,$A688&gt;O$7)),0,MAX(0,ROUND((INDEX($E688:$G688,O$5)-SUMIFS(TF_Timer,TF_Tekniker,O$4,TF_Dato,$A688))*2,0)/2)))</f>
        <v/>
      </c>
      <c r="P688">
        <f>IF(OR(P$4="",$A688&gt;TODAY()),0,IF(OR(INDEX($B688:$D688,P$5)="F",AND(P$6&gt;0,$A688&lt;P$6),AND(P$7&gt;0,$A688&gt;P$7)),0,MAX(0,ROUND((INDEX($E688:$G688,P$5)-SUMIFS(TF_Timer,TF_Tekniker,P$4,TF_Dato,$A688))*2,0)/2)))</f>
        <v/>
      </c>
      <c r="Q688">
        <f>IF(OR(Q$4="",$A688&gt;TODAY()),0,IF(OR(INDEX($B688:$D688,Q$5)="F",AND(Q$6&gt;0,$A688&lt;Q$6),AND(Q$7&gt;0,$A688&gt;Q$7)),0,MAX(0,ROUND((INDEX($E688:$G688,Q$5)-SUMIFS(TF_Timer,TF_Tekniker,Q$4,TF_Dato,$A688))*2,0)/2)))</f>
        <v/>
      </c>
      <c r="R688">
        <f>IF(OR(R$4="",$A688&gt;TODAY()),0,IF(OR(INDEX($B688:$D688,R$5)="F",AND(R$6&gt;0,$A688&lt;R$6),AND(R$7&gt;0,$A688&gt;R$7)),0,MAX(0,ROUND((INDEX($E688:$G688,R$5)-SUMIFS(TF_Timer,TF_Tekniker,R$4,TF_Dato,$A688))*2,0)/2)))</f>
        <v/>
      </c>
      <c r="S688">
        <f>IF(OR(S$4="",$A688&gt;TODAY()),0,IF(OR(INDEX($B688:$D688,S$5)="F",AND(S$6&gt;0,$A688&lt;S$6),AND(S$7&gt;0,$A688&gt;S$7)),0,MAX(0,ROUND((INDEX($E688:$G688,S$5)-SUMIFS(TF_Timer,TF_Tekniker,S$4,TF_Dato,$A688))*2,0)/2)))</f>
        <v/>
      </c>
      <c r="T688">
        <f>IF(OR(T$4="",$A688&gt;TODAY()),0,IF(OR(INDEX($B688:$D688,T$5)="F",AND(T$6&gt;0,$A688&lt;T$6),AND(T$7&gt;0,$A688&gt;T$7)),0,MAX(0,ROUND((INDEX($E688:$G688,T$5)-SUMIFS(TF_Timer,TF_Tekniker,T$4,TF_Dato,$A688))*2,0)/2)))</f>
        <v/>
      </c>
      <c r="U688">
        <f>IF(OR(U$4="",$A688&gt;TODAY()),0,IF(OR(INDEX($B688:$D688,U$5)="F",AND(U$6&gt;0,$A688&lt;U$6),AND(U$7&gt;0,$A688&gt;U$7)),0,MAX(0,ROUND((INDEX($E688:$G688,U$5)-SUMIFS(TF_Timer,TF_Tekniker,U$4,TF_Dato,$A688))*2,0)/2)))</f>
        <v/>
      </c>
      <c r="V688">
        <f>IF(OR(V$4="",$A688&gt;TODAY()),0,IF(OR(INDEX($B688:$D688,V$5)="F",AND(V$6&gt;0,$A688&lt;V$6),AND(V$7&gt;0,$A688&gt;V$7)),0,MAX(0,ROUND((INDEX($E688:$G688,V$5)-SUMIFS(TF_Timer,TF_Tekniker,V$4,TF_Dato,$A688))*2,0)/2)))</f>
        <v/>
      </c>
      <c r="W688">
        <f>IF(OR(W$4="",$A688&gt;TODAY()),0,IF(OR(INDEX($B688:$D688,W$5)="F",AND(W$6&gt;0,$A688&lt;W$6),AND(W$7&gt;0,$A688&gt;W$7)),0,MAX(0,ROUND((INDEX($E688:$G688,W$5)-SUMIFS(TF_Timer,TF_Tekniker,W$4,TF_Dato,$A688))*2,0)/2)))</f>
        <v/>
      </c>
      <c r="X688">
        <f>IF(OR(X$4="",$A688&gt;TODAY()),0,IF(OR(INDEX($B688:$D688,X$5)="F",AND(X$6&gt;0,$A688&lt;X$6),AND(X$7&gt;0,$A688&gt;X$7)),0,MAX(0,ROUND((INDEX($E688:$G688,X$5)-SUMIFS(TF_Timer,TF_Tekniker,X$4,TF_Dato,$A688))*2,0)/2)))</f>
        <v/>
      </c>
      <c r="Y688">
        <f>IF(OR(Y$4="",$A688&gt;TODAY()),0,IF(OR(INDEX($B688:$D688,Y$5)="F",AND(Y$6&gt;0,$A688&lt;Y$6),AND(Y$7&gt;0,$A688&gt;Y$7)),0,MAX(0,ROUND((INDEX($E688:$G688,Y$5)-SUMIFS(TF_Timer,TF_Tekniker,Y$4,TF_Dato,$A688))*2,0)/2)))</f>
        <v/>
      </c>
      <c r="Z688">
        <f>IF(OR(Z$4="",$A688&gt;TODAY()),0,IF(OR(INDEX($B688:$D688,Z$5)="F",AND(Z$6&gt;0,$A688&lt;Z$6),AND(Z$7&gt;0,$A688&gt;Z$7)),0,MAX(0,ROUND((INDEX($E688:$G688,Z$5)-SUMIFS(TF_Timer,TF_Tekniker,Z$4,TF_Dato,$A688))*2,0)/2)))</f>
        <v/>
      </c>
      <c r="AA688">
        <f>IF(OR(AA$4="",$A688&gt;TODAY()),0,IF(OR(INDEX($B688:$D688,AA$5)="F",AND(AA$6&gt;0,$A688&lt;AA$6),AND(AA$7&gt;0,$A688&gt;AA$7)),0,MAX(0,ROUND((INDEX($E688:$G688,AA$5)-SUMIFS(TF_Timer,TF_Tekniker,AA$4,TF_Dato,$A688))*2,0)/2)))</f>
        <v/>
      </c>
      <c r="AB688">
        <f>IF(OR(AB$4="",$A688&gt;TODAY()),0,IF(OR(INDEX($B688:$D688,AB$5)="F",AND(AB$6&gt;0,$A688&lt;AB$6),AND(AB$7&gt;0,$A688&gt;AB$7)),0,MAX(0,ROUND((INDEX($E688:$G688,AB$5)-SUMIFS(TF_Timer,TF_Tekniker,AB$4,TF_Dato,$A688))*2,0)/2)))</f>
        <v/>
      </c>
      <c r="AC688">
        <f>IF(OR(AC$4="",$A688&gt;TODAY()),0,IF(OR(INDEX($B688:$D688,AC$5)="F",AND(AC$6&gt;0,$A688&lt;AC$6),AND(AC$7&gt;0,$A688&gt;AC$7)),0,MAX(0,ROUND((INDEX($E688:$G688,AC$5)-SUMIFS(TF_Timer,TF_Tekniker,AC$4,TF_Dato,$A688))*2,0)/2)))</f>
        <v/>
      </c>
      <c r="AD688">
        <f>IF(OR(AD$4="",$A688&gt;TODAY()),0,IF(OR(INDEX($B688:$D688,AD$5)="F",AND(AD$6&gt;0,$A688&lt;AD$6),AND(AD$7&gt;0,$A688&gt;AD$7)),0,MAX(0,ROUND((INDEX($E688:$G688,AD$5)-SUMIFS(TF_Timer,TF_Tekniker,AD$4,TF_Dato,$A688))*2,0)/2)))</f>
        <v/>
      </c>
      <c r="AE688">
        <f>IF(OR(AE$4="",$A688&gt;TODAY()),0,IF(OR(INDEX($B688:$D688,AE$5)="F",AND(AE$6&gt;0,$A688&lt;AE$6),AND(AE$7&gt;0,$A688&gt;AE$7)),0,MAX(0,ROUND((INDEX($E688:$G688,AE$5)-SUMIFS(TF_Timer,TF_Tekniker,AE$4,TF_Dato,$A688))*2,0)/2)))</f>
        <v/>
      </c>
      <c r="AF688">
        <f>IF(OR(AF$4="",$A688&gt;TODAY()),0,IF(OR(INDEX($B688:$D688,AF$5)="F",AND(AF$6&gt;0,$A688&lt;AF$6),AND(AF$7&gt;0,$A688&gt;AF$7)),0,MAX(0,ROUND((INDEX($E688:$G688,AF$5)-SUMIFS(TF_Timer,TF_Tekniker,AF$4,TF_Dato,$A688))*2,0)/2)))</f>
        <v/>
      </c>
      <c r="AG688">
        <f>IF(OR(AG$4="",$A688&gt;TODAY()),0,IF(OR(INDEX($B688:$D688,AG$5)="F",AND(AG$6&gt;0,$A688&lt;AG$6),AND(AG$7&gt;0,$A688&gt;AG$7)),0,MAX(0,ROUND((INDEX($E688:$G688,AG$5)-SUMIFS(TF_Timer,TF_Tekniker,AG$4,TF_Dato,$A688))*2,0)/2)))</f>
        <v/>
      </c>
      <c r="AH688">
        <f>IF(OR(AH$4="",$A688&gt;TODAY()),0,IF(OR(INDEX($B688:$D688,AH$5)="F",AND(AH$6&gt;0,$A688&lt;AH$6),AND(AH$7&gt;0,$A688&gt;AH$7)),0,MAX(0,ROUND((INDEX($E688:$G688,AH$5)-SUMIFS(TF_Timer,TF_Tekniker,AH$4,TF_Dato,$A688))*2,0)/2)))</f>
        <v/>
      </c>
      <c r="AI688">
        <f>IF(OR(AI$4="",$A688&gt;TODAY()),0,IF(OR(INDEX($B688:$D688,AI$5)="F",AND(AI$6&gt;0,$A688&lt;AI$6),AND(AI$7&gt;0,$A688&gt;AI$7)),0,MAX(0,ROUND((INDEX($E688:$G688,AI$5)-SUMIFS(TF_Timer,TF_Tekniker,AI$4,TF_Dato,$A688))*2,0)/2)))</f>
        <v/>
      </c>
      <c r="AJ688">
        <f>IF(OR(AJ$4="",$A688&gt;TODAY()),0,IF(OR(INDEX($B688:$D688,AJ$5)="F",AND(AJ$6&gt;0,$A688&lt;AJ$6),AND(AJ$7&gt;0,$A688&gt;AJ$7)),0,MAX(0,ROUND((INDEX($E688:$G688,AJ$5)-SUMIFS(TF_Timer,TF_Tekniker,AJ$4,TF_Dato,$A688))*2,0)/2)))</f>
        <v/>
      </c>
      <c r="AK688">
        <f>IF(OR(AK$4="",$A688&gt;TODAY()),0,IF(OR(INDEX($B688:$D688,AK$5)="F",AND(AK$6&gt;0,$A688&lt;AK$6),AND(AK$7&gt;0,$A688&gt;AK$7)),0,MAX(0,ROUND((INDEX($E688:$G688,AK$5)-SUMIFS(TF_Timer,TF_Tekniker,AK$4,TF_Dato,$A688))*2,0)/2)))</f>
        <v/>
      </c>
      <c r="AL688">
        <f>IF(OR(AL$4="",$A688&gt;TODAY()),0,IF(OR(INDEX($B688:$D688,AL$5)="F",AND(AL$6&gt;0,$A688&lt;AL$6),AND(AL$7&gt;0,$A688&gt;AL$7)),0,MAX(0,ROUND((INDEX($E688:$G688,AL$5)-SUMIFS(TF_Timer,TF_Tekniker,AL$4,TF_Dato,$A688))*2,0)/2)))</f>
        <v/>
      </c>
      <c r="AM688">
        <f>IF(OR(AM$4="",$A688&gt;TODAY()),0,IF(OR(INDEX($B688:$D688,AM$5)="F",AND(AM$6&gt;0,$A688&lt;AM$6),AND(AM$7&gt;0,$A688&gt;AM$7)),0,MAX(0,ROUND((INDEX($E688:$G688,AM$5)-SUMIFS(TF_Timer,TF_Tekniker,AM$4,TF_Dato,$A688))*2,0)/2)))</f>
        <v/>
      </c>
      <c r="AN688">
        <f>IF(OR(AN$4="",$A688&gt;TODAY()),0,IF(OR(INDEX($B688:$D688,AN$5)="F",AND(AN$6&gt;0,$A688&lt;AN$6),AND(AN$7&gt;0,$A688&gt;AN$7)),0,MAX(0,ROUND((INDEX($E688:$G688,AN$5)-SUMIFS(TF_Timer,TF_Tekniker,AN$4,TF_Dato,$A688))*2,0)/2)))</f>
        <v/>
      </c>
      <c r="AO688">
        <f>IF(OR(AO$4="",$A688&gt;TODAY()),0,IF(OR(INDEX($B688:$D688,AO$5)="F",AND(AO$6&gt;0,$A688&lt;AO$6),AND(AO$7&gt;0,$A688&gt;AO$7)),0,MAX(0,ROUND((INDEX($E688:$G688,AO$5)-SUMIFS(TF_Timer,TF_Tekniker,AO$4,TF_Dato,$A688))*2,0)/2)))</f>
        <v/>
      </c>
      <c r="AP688">
        <f>IF(OR(AP$4="",$A688&gt;TODAY()),0,IF(OR(INDEX($B688:$D688,AP$5)="F",AND(AP$6&gt;0,$A688&lt;AP$6),AND(AP$7&gt;0,$A688&gt;AP$7)),0,MAX(0,ROUND((INDEX($E688:$G688,AP$5)-SUMIFS(TF_Timer,TF_Tekniker,AP$4,TF_Dato,$A688))*2,0)/2)))</f>
        <v/>
      </c>
      <c r="AQ688">
        <f>IF(OR(AQ$4="",$A688&gt;TODAY()),0,IF(OR(INDEX($B688:$D688,AQ$5)="F",AND(AQ$6&gt;0,$A688&lt;AQ$6),AND(AQ$7&gt;0,$A688&gt;AQ$7)),0,MAX(0,ROUND((INDEX($E688:$G688,AQ$5)-SUMIFS(TF_Timer,TF_Tekniker,AQ$4,TF_Dato,$A688))*2,0)/2)))</f>
        <v/>
      </c>
      <c r="AR688">
        <f>IF(OR(AR$4="",$A688&gt;TODAY()),0,IF(OR(INDEX($B688:$D688,AR$5)="F",AND(AR$6&gt;0,$A688&lt;AR$6),AND(AR$7&gt;0,$A688&gt;AR$7)),0,MAX(0,ROUND((INDEX($E688:$G688,AR$5)-SUMIFS(TF_Timer,TF_Tekniker,AR$4,TF_Dato,$A688))*2,0)/2)))</f>
        <v/>
      </c>
      <c r="AS688">
        <f>IF(OR(AS$4="",$A688&gt;TODAY()),0,IF(OR(INDEX($B688:$D688,AS$5)="F",AND(AS$6&gt;0,$A688&lt;AS$6),AND(AS$7&gt;0,$A688&gt;AS$7)),0,MAX(0,ROUND((INDEX($E688:$G688,AS$5)-SUMIFS(TF_Timer,TF_Tekniker,AS$4,TF_Dato,$A688))*2,0)/2)))</f>
        <v/>
      </c>
      <c r="AT688">
        <f>IF(OR(AT$4="",$A688&gt;TODAY()),0,IF(OR(INDEX($B688:$D688,AT$5)="F",AND(AT$6&gt;0,$A688&lt;AT$6),AND(AT$7&gt;0,$A688&gt;AT$7)),0,MAX(0,ROUND((INDEX($E688:$G688,AT$5)-SUMIFS(TF_Timer,TF_Tekniker,AT$4,TF_Dato,$A688))*2,0)/2)))</f>
        <v/>
      </c>
      <c r="AU688">
        <f>IF(OR(AU$4="",$A688&gt;TODAY()),0,IF(OR(INDEX($B688:$D688,AU$5)="F",AND(AU$6&gt;0,$A688&lt;AU$6),AND(AU$7&gt;0,$A688&gt;AU$7)),0,MAX(0,ROUND((INDEX($E688:$G688,AU$5)-SUMIFS(TF_Timer,TF_Tekniker,AU$4,TF_Dato,$A688))*2,0)/2)))</f>
        <v/>
      </c>
      <c r="AV688">
        <f>IF(OR(AV$4="",$A688&gt;TODAY()),0,IF(OR(INDEX($B688:$D688,AV$5)="F",AND(AV$6&gt;0,$A688&lt;AV$6),AND(AV$7&gt;0,$A688&gt;AV$7)),0,MAX(0,ROUND((INDEX($E688:$G688,AV$5)-SUMIFS(TF_Timer,TF_Tekniker,AV$4,TF_Dato,$A688))*2,0)/2)))</f>
        <v/>
      </c>
      <c r="AW688">
        <f>IF(OR(AW$4="",$A688&gt;TODAY()),0,IF(OR(INDEX($B688:$D688,AW$5)="F",AND(AW$6&gt;0,$A688&lt;AW$6),AND(AW$7&gt;0,$A688&gt;AW$7)),0,MAX(0,ROUND((INDEX($E688:$G688,AW$5)-SUMIFS(TF_Timer,TF_Tekniker,AW$4,TF_Dato,$A688))*2,0)/2)))</f>
        <v/>
      </c>
      <c r="AX688">
        <f>IF(OR(AX$4="",$A688&gt;TODAY()),0,IF(OR(INDEX($B688:$D688,AX$5)="F",AND(AX$6&gt;0,$A688&lt;AX$6),AND(AX$7&gt;0,$A688&gt;AX$7)),0,MAX(0,ROUND((INDEX($E688:$G688,AX$5)-SUMIFS(TF_Timer,TF_Tekniker,AX$4,TF_Dato,$A688))*2,0)/2)))</f>
        <v/>
      </c>
      <c r="AY688">
        <f>IF(OR(AY$4="",$A688&gt;TODAY()),0,IF(OR(INDEX($B688:$D688,AY$5)="F",AND(AY$6&gt;0,$A688&lt;AY$6),AND(AY$7&gt;0,$A688&gt;AY$7)),0,MAX(0,ROUND((INDEX($E688:$G688,AY$5)-SUMIFS(TF_Timer,TF_Tekniker,AY$4,TF_Dato,$A688))*2,0)/2)))</f>
        <v/>
      </c>
      <c r="AZ688">
        <f>IF(OR(AZ$4="",$A688&gt;TODAY()),0,IF(OR(INDEX($B688:$D688,AZ$5)="F",AND(AZ$6&gt;0,$A688&lt;AZ$6),AND(AZ$7&gt;0,$A688&gt;AZ$7)),0,MAX(0,ROUND((INDEX($E688:$G688,AZ$5)-SUMIFS(TF_Timer,TF_Tekniker,AZ$4,TF_Dato,$A688))*2,0)/2)))</f>
        <v/>
      </c>
      <c r="BA688">
        <f>IF(OR(BA$4="",$A688&gt;TODAY()),0,IF(OR(INDEX($B688:$D688,BA$5)="F",AND(BA$6&gt;0,$A688&lt;BA$6),AND(BA$7&gt;0,$A688&gt;BA$7)),0,MAX(0,ROUND((INDEX($E688:$G688,BA$5)-SUMIFS(TF_Timer,TF_Tekniker,BA$4,TF_Dato,$A688))*2,0)/2)))</f>
        <v/>
      </c>
      <c r="BB688">
        <f>IF(OR(BB$4="",$A688&gt;TODAY()),0,IF(OR(INDEX($B688:$D688,BB$5)="F",AND(BB$6&gt;0,$A688&lt;BB$6),AND(BB$7&gt;0,$A688&gt;BB$7)),0,MAX(0,ROUND((INDEX($E688:$G688,BB$5)-SUMIFS(TF_Timer,TF_Tekniker,BB$4,TF_Dato,$A688))*2,0)/2)))</f>
        <v/>
      </c>
      <c r="BC688">
        <f>IF(OR(BC$4="",$A688&gt;TODAY()),0,IF(OR(INDEX($B688:$D688,BC$5)="F",AND(BC$6&gt;0,$A688&lt;BC$6),AND(BC$7&gt;0,$A688&gt;BC$7)),0,MAX(0,ROUND((INDEX($E688:$G688,BC$5)-SUMIFS(TF_Timer,TF_Tekniker,BC$4,TF_Dato,$A688))*2,0)/2)))</f>
        <v/>
      </c>
      <c r="BD688">
        <f>IF(OR(BD$4="",$A688&gt;TODAY()),0,IF(OR(INDEX($B688:$D688,BD$5)="F",AND(BD$6&gt;0,$A688&lt;BD$6),AND(BD$7&gt;0,$A688&gt;BD$7)),0,MAX(0,ROUND((INDEX($E688:$G688,BD$5)-SUMIFS(TF_Timer,TF_Tekniker,BD$4,TF_Dato,$A688))*2,0)/2)))</f>
        <v/>
      </c>
      <c r="BE688">
        <f>IF(OR(BE$4="",$A688&gt;TODAY()),0,IF(OR(INDEX($B688:$D688,BE$5)="F",AND(BE$6&gt;0,$A688&lt;BE$6),AND(BE$7&gt;0,$A688&gt;BE$7)),0,MAX(0,ROUND((INDEX($E688:$G688,BE$5)-SUMIFS(TF_Timer,TF_Tekniker,BE$4,TF_Dato,$A688))*2,0)/2)))</f>
        <v/>
      </c>
      <c r="BF688">
        <f>IF(OR(BF$4="",$A688&gt;TODAY()),0,IF(OR(INDEX($B688:$D688,BF$5)="F",AND(BF$6&gt;0,$A688&lt;BF$6),AND(BF$7&gt;0,$A688&gt;BF$7)),0,MAX(0,ROUND((INDEX($E688:$G688,BF$5)-SUMIFS(TF_Timer,TF_Tekniker,BF$4,TF_Dato,$A688))*2,0)/2)))</f>
        <v/>
      </c>
      <c r="BG688">
        <f>IF(OR(BG$4="",$A688&gt;TODAY()),0,IF(OR(INDEX($B688:$D688,BG$5)="F",AND(BG$6&gt;0,$A688&lt;BG$6),AND(BG$7&gt;0,$A688&gt;BG$7)),0,MAX(0,ROUND((INDEX($E688:$G688,BG$5)-SUMIFS(TF_Timer,TF_Tekniker,BG$4,TF_Dato,$A688))*2,0)/2)))</f>
        <v/>
      </c>
      <c r="BH688">
        <f>IF(OR(BH$4="",$A688&gt;TODAY()),0,IF(OR(INDEX($B688:$D688,BH$5)="F",AND(BH$6&gt;0,$A688&lt;BH$6),AND(BH$7&gt;0,$A688&gt;BH$7)),0,MAX(0,ROUND((INDEX($E688:$G688,BH$5)-SUMIFS(TF_Timer,TF_Tekniker,BH$4,TF_Dato,$A688))*2,0)/2)))</f>
        <v/>
      </c>
      <c r="BI688">
        <f>IF(OR(BI$4="",$A688&gt;TODAY()),0,IF(OR(INDEX($B688:$D688,BI$5)="F",AND(BI$6&gt;0,$A688&lt;BI$6),AND(BI$7&gt;0,$A688&gt;BI$7)),0,MAX(0,ROUND((INDEX($E688:$G688,BI$5)-SUMIFS(TF_Timer,TF_Tekniker,BI$4,TF_Dato,$A688))*2,0)/2)))</f>
        <v/>
      </c>
    </row>
    <row r="689">
      <c r="A689" s="64">
        <f>A688+1</f>
        <v/>
      </c>
      <c r="B689">
        <f>IF(MOD($A689-INDEX(SkiftStart,1),Syklus)&lt;DagK,"K",IF(MOD($A689-INDEX(SkiftStart,1),Syklus)&lt;DagK+DagH,"H",IF(MOD($A689-INDEX(SkiftStart,1),Syklus)&lt;DagK+DagH+DagD,"D","F")))</f>
        <v/>
      </c>
      <c r="C689">
        <f>IF(MOD($A689-INDEX(SkiftStart,2),Syklus)&lt;DagK,"K",IF(MOD($A689-INDEX(SkiftStart,2),Syklus)&lt;DagK+DagH,"H",IF(MOD($A689-INDEX(SkiftStart,2),Syklus)&lt;DagK+DagH+DagD,"D","F")))</f>
        <v/>
      </c>
      <c r="D689">
        <f>IF(MOD($A689-INDEX(SkiftStart,3),Syklus)&lt;DagK,"K",IF(MOD($A689-INDEX(SkiftStart,3),Syklus)&lt;DagK+DagH,"H",IF(MOD($A689-INDEX(SkiftStart,3),Syklus)&lt;DagK+DagH+DagD,"D","F")))</f>
        <v/>
      </c>
      <c r="E689">
        <f>IF(B689="F",0,IF(WEEKDAY($A689,2)=5,INDEX(TimerFr,MATCH(B689,FaseKode,0)),INDEX(TimerMT,MATCH(B689,FaseKode,0))))</f>
        <v/>
      </c>
      <c r="F689">
        <f>IF(C689="F",0,IF(WEEKDAY($A689,2)=5,INDEX(TimerFr,MATCH(C689,FaseKode,0)),INDEX(TimerMT,MATCH(C689,FaseKode,0))))</f>
        <v/>
      </c>
      <c r="G689">
        <f>IF(D689="F",0,IF(WEEKDAY($A689,2)=5,INDEX(TimerFr,MATCH(D689,FaseKode,0)),INDEX(TimerMT,MATCH(D689,FaseKode,0))))</f>
        <v/>
      </c>
      <c r="H689">
        <f>IF(OR(H$4="",$A689&gt;TODAY()),0,IF(OR(INDEX($B689:$D689,H$5)="F",AND(H$6&gt;0,$A689&lt;H$6),AND(H$7&gt;0,$A689&gt;H$7)),0,MAX(0,ROUND((INDEX($E689:$G689,H$5)-SUMIFS(TF_Timer,TF_Tekniker,H$4,TF_Dato,$A689))*2,0)/2)))</f>
        <v/>
      </c>
      <c r="I689">
        <f>IF(OR(I$4="",$A689&gt;TODAY()),0,IF(OR(INDEX($B689:$D689,I$5)="F",AND(I$6&gt;0,$A689&lt;I$6),AND(I$7&gt;0,$A689&gt;I$7)),0,MAX(0,ROUND((INDEX($E689:$G689,I$5)-SUMIFS(TF_Timer,TF_Tekniker,I$4,TF_Dato,$A689))*2,0)/2)))</f>
        <v/>
      </c>
      <c r="J689">
        <f>IF(OR(J$4="",$A689&gt;TODAY()),0,IF(OR(INDEX($B689:$D689,J$5)="F",AND(J$6&gt;0,$A689&lt;J$6),AND(J$7&gt;0,$A689&gt;J$7)),0,MAX(0,ROUND((INDEX($E689:$G689,J$5)-SUMIFS(TF_Timer,TF_Tekniker,J$4,TF_Dato,$A689))*2,0)/2)))</f>
        <v/>
      </c>
      <c r="K689">
        <f>IF(OR(K$4="",$A689&gt;TODAY()),0,IF(OR(INDEX($B689:$D689,K$5)="F",AND(K$6&gt;0,$A689&lt;K$6),AND(K$7&gt;0,$A689&gt;K$7)),0,MAX(0,ROUND((INDEX($E689:$G689,K$5)-SUMIFS(TF_Timer,TF_Tekniker,K$4,TF_Dato,$A689))*2,0)/2)))</f>
        <v/>
      </c>
      <c r="L689">
        <f>IF(OR(L$4="",$A689&gt;TODAY()),0,IF(OR(INDEX($B689:$D689,L$5)="F",AND(L$6&gt;0,$A689&lt;L$6),AND(L$7&gt;0,$A689&gt;L$7)),0,MAX(0,ROUND((INDEX($E689:$G689,L$5)-SUMIFS(TF_Timer,TF_Tekniker,L$4,TF_Dato,$A689))*2,0)/2)))</f>
        <v/>
      </c>
      <c r="M689">
        <f>IF(OR(M$4="",$A689&gt;TODAY()),0,IF(OR(INDEX($B689:$D689,M$5)="F",AND(M$6&gt;0,$A689&lt;M$6),AND(M$7&gt;0,$A689&gt;M$7)),0,MAX(0,ROUND((INDEX($E689:$G689,M$5)-SUMIFS(TF_Timer,TF_Tekniker,M$4,TF_Dato,$A689))*2,0)/2)))</f>
        <v/>
      </c>
      <c r="N689">
        <f>IF(OR(N$4="",$A689&gt;TODAY()),0,IF(OR(INDEX($B689:$D689,N$5)="F",AND(N$6&gt;0,$A689&lt;N$6),AND(N$7&gt;0,$A689&gt;N$7)),0,MAX(0,ROUND((INDEX($E689:$G689,N$5)-SUMIFS(TF_Timer,TF_Tekniker,N$4,TF_Dato,$A689))*2,0)/2)))</f>
        <v/>
      </c>
      <c r="O689">
        <f>IF(OR(O$4="",$A689&gt;TODAY()),0,IF(OR(INDEX($B689:$D689,O$5)="F",AND(O$6&gt;0,$A689&lt;O$6),AND(O$7&gt;0,$A689&gt;O$7)),0,MAX(0,ROUND((INDEX($E689:$G689,O$5)-SUMIFS(TF_Timer,TF_Tekniker,O$4,TF_Dato,$A689))*2,0)/2)))</f>
        <v/>
      </c>
      <c r="P689">
        <f>IF(OR(P$4="",$A689&gt;TODAY()),0,IF(OR(INDEX($B689:$D689,P$5)="F",AND(P$6&gt;0,$A689&lt;P$6),AND(P$7&gt;0,$A689&gt;P$7)),0,MAX(0,ROUND((INDEX($E689:$G689,P$5)-SUMIFS(TF_Timer,TF_Tekniker,P$4,TF_Dato,$A689))*2,0)/2)))</f>
        <v/>
      </c>
      <c r="Q689">
        <f>IF(OR(Q$4="",$A689&gt;TODAY()),0,IF(OR(INDEX($B689:$D689,Q$5)="F",AND(Q$6&gt;0,$A689&lt;Q$6),AND(Q$7&gt;0,$A689&gt;Q$7)),0,MAX(0,ROUND((INDEX($E689:$G689,Q$5)-SUMIFS(TF_Timer,TF_Tekniker,Q$4,TF_Dato,$A689))*2,0)/2)))</f>
        <v/>
      </c>
      <c r="R689">
        <f>IF(OR(R$4="",$A689&gt;TODAY()),0,IF(OR(INDEX($B689:$D689,R$5)="F",AND(R$6&gt;0,$A689&lt;R$6),AND(R$7&gt;0,$A689&gt;R$7)),0,MAX(0,ROUND((INDEX($E689:$G689,R$5)-SUMIFS(TF_Timer,TF_Tekniker,R$4,TF_Dato,$A689))*2,0)/2)))</f>
        <v/>
      </c>
      <c r="S689">
        <f>IF(OR(S$4="",$A689&gt;TODAY()),0,IF(OR(INDEX($B689:$D689,S$5)="F",AND(S$6&gt;0,$A689&lt;S$6),AND(S$7&gt;0,$A689&gt;S$7)),0,MAX(0,ROUND((INDEX($E689:$G689,S$5)-SUMIFS(TF_Timer,TF_Tekniker,S$4,TF_Dato,$A689))*2,0)/2)))</f>
        <v/>
      </c>
      <c r="T689">
        <f>IF(OR(T$4="",$A689&gt;TODAY()),0,IF(OR(INDEX($B689:$D689,T$5)="F",AND(T$6&gt;0,$A689&lt;T$6),AND(T$7&gt;0,$A689&gt;T$7)),0,MAX(0,ROUND((INDEX($E689:$G689,T$5)-SUMIFS(TF_Timer,TF_Tekniker,T$4,TF_Dato,$A689))*2,0)/2)))</f>
        <v/>
      </c>
      <c r="U689">
        <f>IF(OR(U$4="",$A689&gt;TODAY()),0,IF(OR(INDEX($B689:$D689,U$5)="F",AND(U$6&gt;0,$A689&lt;U$6),AND(U$7&gt;0,$A689&gt;U$7)),0,MAX(0,ROUND((INDEX($E689:$G689,U$5)-SUMIFS(TF_Timer,TF_Tekniker,U$4,TF_Dato,$A689))*2,0)/2)))</f>
        <v/>
      </c>
      <c r="V689">
        <f>IF(OR(V$4="",$A689&gt;TODAY()),0,IF(OR(INDEX($B689:$D689,V$5)="F",AND(V$6&gt;0,$A689&lt;V$6),AND(V$7&gt;0,$A689&gt;V$7)),0,MAX(0,ROUND((INDEX($E689:$G689,V$5)-SUMIFS(TF_Timer,TF_Tekniker,V$4,TF_Dato,$A689))*2,0)/2)))</f>
        <v/>
      </c>
      <c r="W689">
        <f>IF(OR(W$4="",$A689&gt;TODAY()),0,IF(OR(INDEX($B689:$D689,W$5)="F",AND(W$6&gt;0,$A689&lt;W$6),AND(W$7&gt;0,$A689&gt;W$7)),0,MAX(0,ROUND((INDEX($E689:$G689,W$5)-SUMIFS(TF_Timer,TF_Tekniker,W$4,TF_Dato,$A689))*2,0)/2)))</f>
        <v/>
      </c>
      <c r="X689">
        <f>IF(OR(X$4="",$A689&gt;TODAY()),0,IF(OR(INDEX($B689:$D689,X$5)="F",AND(X$6&gt;0,$A689&lt;X$6),AND(X$7&gt;0,$A689&gt;X$7)),0,MAX(0,ROUND((INDEX($E689:$G689,X$5)-SUMIFS(TF_Timer,TF_Tekniker,X$4,TF_Dato,$A689))*2,0)/2)))</f>
        <v/>
      </c>
      <c r="Y689">
        <f>IF(OR(Y$4="",$A689&gt;TODAY()),0,IF(OR(INDEX($B689:$D689,Y$5)="F",AND(Y$6&gt;0,$A689&lt;Y$6),AND(Y$7&gt;0,$A689&gt;Y$7)),0,MAX(0,ROUND((INDEX($E689:$G689,Y$5)-SUMIFS(TF_Timer,TF_Tekniker,Y$4,TF_Dato,$A689))*2,0)/2)))</f>
        <v/>
      </c>
      <c r="Z689">
        <f>IF(OR(Z$4="",$A689&gt;TODAY()),0,IF(OR(INDEX($B689:$D689,Z$5)="F",AND(Z$6&gt;0,$A689&lt;Z$6),AND(Z$7&gt;0,$A689&gt;Z$7)),0,MAX(0,ROUND((INDEX($E689:$G689,Z$5)-SUMIFS(TF_Timer,TF_Tekniker,Z$4,TF_Dato,$A689))*2,0)/2)))</f>
        <v/>
      </c>
      <c r="AA689">
        <f>IF(OR(AA$4="",$A689&gt;TODAY()),0,IF(OR(INDEX($B689:$D689,AA$5)="F",AND(AA$6&gt;0,$A689&lt;AA$6),AND(AA$7&gt;0,$A689&gt;AA$7)),0,MAX(0,ROUND((INDEX($E689:$G689,AA$5)-SUMIFS(TF_Timer,TF_Tekniker,AA$4,TF_Dato,$A689))*2,0)/2)))</f>
        <v/>
      </c>
      <c r="AB689">
        <f>IF(OR(AB$4="",$A689&gt;TODAY()),0,IF(OR(INDEX($B689:$D689,AB$5)="F",AND(AB$6&gt;0,$A689&lt;AB$6),AND(AB$7&gt;0,$A689&gt;AB$7)),0,MAX(0,ROUND((INDEX($E689:$G689,AB$5)-SUMIFS(TF_Timer,TF_Tekniker,AB$4,TF_Dato,$A689))*2,0)/2)))</f>
        <v/>
      </c>
      <c r="AC689">
        <f>IF(OR(AC$4="",$A689&gt;TODAY()),0,IF(OR(INDEX($B689:$D689,AC$5)="F",AND(AC$6&gt;0,$A689&lt;AC$6),AND(AC$7&gt;0,$A689&gt;AC$7)),0,MAX(0,ROUND((INDEX($E689:$G689,AC$5)-SUMIFS(TF_Timer,TF_Tekniker,AC$4,TF_Dato,$A689))*2,0)/2)))</f>
        <v/>
      </c>
      <c r="AD689">
        <f>IF(OR(AD$4="",$A689&gt;TODAY()),0,IF(OR(INDEX($B689:$D689,AD$5)="F",AND(AD$6&gt;0,$A689&lt;AD$6),AND(AD$7&gt;0,$A689&gt;AD$7)),0,MAX(0,ROUND((INDEX($E689:$G689,AD$5)-SUMIFS(TF_Timer,TF_Tekniker,AD$4,TF_Dato,$A689))*2,0)/2)))</f>
        <v/>
      </c>
      <c r="AE689">
        <f>IF(OR(AE$4="",$A689&gt;TODAY()),0,IF(OR(INDEX($B689:$D689,AE$5)="F",AND(AE$6&gt;0,$A689&lt;AE$6),AND(AE$7&gt;0,$A689&gt;AE$7)),0,MAX(0,ROUND((INDEX($E689:$G689,AE$5)-SUMIFS(TF_Timer,TF_Tekniker,AE$4,TF_Dato,$A689))*2,0)/2)))</f>
        <v/>
      </c>
      <c r="AF689">
        <f>IF(OR(AF$4="",$A689&gt;TODAY()),0,IF(OR(INDEX($B689:$D689,AF$5)="F",AND(AF$6&gt;0,$A689&lt;AF$6),AND(AF$7&gt;0,$A689&gt;AF$7)),0,MAX(0,ROUND((INDEX($E689:$G689,AF$5)-SUMIFS(TF_Timer,TF_Tekniker,AF$4,TF_Dato,$A689))*2,0)/2)))</f>
        <v/>
      </c>
      <c r="AG689">
        <f>IF(OR(AG$4="",$A689&gt;TODAY()),0,IF(OR(INDEX($B689:$D689,AG$5)="F",AND(AG$6&gt;0,$A689&lt;AG$6),AND(AG$7&gt;0,$A689&gt;AG$7)),0,MAX(0,ROUND((INDEX($E689:$G689,AG$5)-SUMIFS(TF_Timer,TF_Tekniker,AG$4,TF_Dato,$A689))*2,0)/2)))</f>
        <v/>
      </c>
      <c r="AH689">
        <f>IF(OR(AH$4="",$A689&gt;TODAY()),0,IF(OR(INDEX($B689:$D689,AH$5)="F",AND(AH$6&gt;0,$A689&lt;AH$6),AND(AH$7&gt;0,$A689&gt;AH$7)),0,MAX(0,ROUND((INDEX($E689:$G689,AH$5)-SUMIFS(TF_Timer,TF_Tekniker,AH$4,TF_Dato,$A689))*2,0)/2)))</f>
        <v/>
      </c>
      <c r="AI689">
        <f>IF(OR(AI$4="",$A689&gt;TODAY()),0,IF(OR(INDEX($B689:$D689,AI$5)="F",AND(AI$6&gt;0,$A689&lt;AI$6),AND(AI$7&gt;0,$A689&gt;AI$7)),0,MAX(0,ROUND((INDEX($E689:$G689,AI$5)-SUMIFS(TF_Timer,TF_Tekniker,AI$4,TF_Dato,$A689))*2,0)/2)))</f>
        <v/>
      </c>
      <c r="AJ689">
        <f>IF(OR(AJ$4="",$A689&gt;TODAY()),0,IF(OR(INDEX($B689:$D689,AJ$5)="F",AND(AJ$6&gt;0,$A689&lt;AJ$6),AND(AJ$7&gt;0,$A689&gt;AJ$7)),0,MAX(0,ROUND((INDEX($E689:$G689,AJ$5)-SUMIFS(TF_Timer,TF_Tekniker,AJ$4,TF_Dato,$A689))*2,0)/2)))</f>
        <v/>
      </c>
      <c r="AK689">
        <f>IF(OR(AK$4="",$A689&gt;TODAY()),0,IF(OR(INDEX($B689:$D689,AK$5)="F",AND(AK$6&gt;0,$A689&lt;AK$6),AND(AK$7&gt;0,$A689&gt;AK$7)),0,MAX(0,ROUND((INDEX($E689:$G689,AK$5)-SUMIFS(TF_Timer,TF_Tekniker,AK$4,TF_Dato,$A689))*2,0)/2)))</f>
        <v/>
      </c>
      <c r="AL689">
        <f>IF(OR(AL$4="",$A689&gt;TODAY()),0,IF(OR(INDEX($B689:$D689,AL$5)="F",AND(AL$6&gt;0,$A689&lt;AL$6),AND(AL$7&gt;0,$A689&gt;AL$7)),0,MAX(0,ROUND((INDEX($E689:$G689,AL$5)-SUMIFS(TF_Timer,TF_Tekniker,AL$4,TF_Dato,$A689))*2,0)/2)))</f>
        <v/>
      </c>
      <c r="AM689">
        <f>IF(OR(AM$4="",$A689&gt;TODAY()),0,IF(OR(INDEX($B689:$D689,AM$5)="F",AND(AM$6&gt;0,$A689&lt;AM$6),AND(AM$7&gt;0,$A689&gt;AM$7)),0,MAX(0,ROUND((INDEX($E689:$G689,AM$5)-SUMIFS(TF_Timer,TF_Tekniker,AM$4,TF_Dato,$A689))*2,0)/2)))</f>
        <v/>
      </c>
      <c r="AN689">
        <f>IF(OR(AN$4="",$A689&gt;TODAY()),0,IF(OR(INDEX($B689:$D689,AN$5)="F",AND(AN$6&gt;0,$A689&lt;AN$6),AND(AN$7&gt;0,$A689&gt;AN$7)),0,MAX(0,ROUND((INDEX($E689:$G689,AN$5)-SUMIFS(TF_Timer,TF_Tekniker,AN$4,TF_Dato,$A689))*2,0)/2)))</f>
        <v/>
      </c>
      <c r="AO689">
        <f>IF(OR(AO$4="",$A689&gt;TODAY()),0,IF(OR(INDEX($B689:$D689,AO$5)="F",AND(AO$6&gt;0,$A689&lt;AO$6),AND(AO$7&gt;0,$A689&gt;AO$7)),0,MAX(0,ROUND((INDEX($E689:$G689,AO$5)-SUMIFS(TF_Timer,TF_Tekniker,AO$4,TF_Dato,$A689))*2,0)/2)))</f>
        <v/>
      </c>
      <c r="AP689">
        <f>IF(OR(AP$4="",$A689&gt;TODAY()),0,IF(OR(INDEX($B689:$D689,AP$5)="F",AND(AP$6&gt;0,$A689&lt;AP$6),AND(AP$7&gt;0,$A689&gt;AP$7)),0,MAX(0,ROUND((INDEX($E689:$G689,AP$5)-SUMIFS(TF_Timer,TF_Tekniker,AP$4,TF_Dato,$A689))*2,0)/2)))</f>
        <v/>
      </c>
      <c r="AQ689">
        <f>IF(OR(AQ$4="",$A689&gt;TODAY()),0,IF(OR(INDEX($B689:$D689,AQ$5)="F",AND(AQ$6&gt;0,$A689&lt;AQ$6),AND(AQ$7&gt;0,$A689&gt;AQ$7)),0,MAX(0,ROUND((INDEX($E689:$G689,AQ$5)-SUMIFS(TF_Timer,TF_Tekniker,AQ$4,TF_Dato,$A689))*2,0)/2)))</f>
        <v/>
      </c>
      <c r="AR689">
        <f>IF(OR(AR$4="",$A689&gt;TODAY()),0,IF(OR(INDEX($B689:$D689,AR$5)="F",AND(AR$6&gt;0,$A689&lt;AR$6),AND(AR$7&gt;0,$A689&gt;AR$7)),0,MAX(0,ROUND((INDEX($E689:$G689,AR$5)-SUMIFS(TF_Timer,TF_Tekniker,AR$4,TF_Dato,$A689))*2,0)/2)))</f>
        <v/>
      </c>
      <c r="AS689">
        <f>IF(OR(AS$4="",$A689&gt;TODAY()),0,IF(OR(INDEX($B689:$D689,AS$5)="F",AND(AS$6&gt;0,$A689&lt;AS$6),AND(AS$7&gt;0,$A689&gt;AS$7)),0,MAX(0,ROUND((INDEX($E689:$G689,AS$5)-SUMIFS(TF_Timer,TF_Tekniker,AS$4,TF_Dato,$A689))*2,0)/2)))</f>
        <v/>
      </c>
      <c r="AT689">
        <f>IF(OR(AT$4="",$A689&gt;TODAY()),0,IF(OR(INDEX($B689:$D689,AT$5)="F",AND(AT$6&gt;0,$A689&lt;AT$6),AND(AT$7&gt;0,$A689&gt;AT$7)),0,MAX(0,ROUND((INDEX($E689:$G689,AT$5)-SUMIFS(TF_Timer,TF_Tekniker,AT$4,TF_Dato,$A689))*2,0)/2)))</f>
        <v/>
      </c>
      <c r="AU689">
        <f>IF(OR(AU$4="",$A689&gt;TODAY()),0,IF(OR(INDEX($B689:$D689,AU$5)="F",AND(AU$6&gt;0,$A689&lt;AU$6),AND(AU$7&gt;0,$A689&gt;AU$7)),0,MAX(0,ROUND((INDEX($E689:$G689,AU$5)-SUMIFS(TF_Timer,TF_Tekniker,AU$4,TF_Dato,$A689))*2,0)/2)))</f>
        <v/>
      </c>
      <c r="AV689">
        <f>IF(OR(AV$4="",$A689&gt;TODAY()),0,IF(OR(INDEX($B689:$D689,AV$5)="F",AND(AV$6&gt;0,$A689&lt;AV$6),AND(AV$7&gt;0,$A689&gt;AV$7)),0,MAX(0,ROUND((INDEX($E689:$G689,AV$5)-SUMIFS(TF_Timer,TF_Tekniker,AV$4,TF_Dato,$A689))*2,0)/2)))</f>
        <v/>
      </c>
      <c r="AW689">
        <f>IF(OR(AW$4="",$A689&gt;TODAY()),0,IF(OR(INDEX($B689:$D689,AW$5)="F",AND(AW$6&gt;0,$A689&lt;AW$6),AND(AW$7&gt;0,$A689&gt;AW$7)),0,MAX(0,ROUND((INDEX($E689:$G689,AW$5)-SUMIFS(TF_Timer,TF_Tekniker,AW$4,TF_Dato,$A689))*2,0)/2)))</f>
        <v/>
      </c>
      <c r="AX689">
        <f>IF(OR(AX$4="",$A689&gt;TODAY()),0,IF(OR(INDEX($B689:$D689,AX$5)="F",AND(AX$6&gt;0,$A689&lt;AX$6),AND(AX$7&gt;0,$A689&gt;AX$7)),0,MAX(0,ROUND((INDEX($E689:$G689,AX$5)-SUMIFS(TF_Timer,TF_Tekniker,AX$4,TF_Dato,$A689))*2,0)/2)))</f>
        <v/>
      </c>
      <c r="AY689">
        <f>IF(OR(AY$4="",$A689&gt;TODAY()),0,IF(OR(INDEX($B689:$D689,AY$5)="F",AND(AY$6&gt;0,$A689&lt;AY$6),AND(AY$7&gt;0,$A689&gt;AY$7)),0,MAX(0,ROUND((INDEX($E689:$G689,AY$5)-SUMIFS(TF_Timer,TF_Tekniker,AY$4,TF_Dato,$A689))*2,0)/2)))</f>
        <v/>
      </c>
      <c r="AZ689">
        <f>IF(OR(AZ$4="",$A689&gt;TODAY()),0,IF(OR(INDEX($B689:$D689,AZ$5)="F",AND(AZ$6&gt;0,$A689&lt;AZ$6),AND(AZ$7&gt;0,$A689&gt;AZ$7)),0,MAX(0,ROUND((INDEX($E689:$G689,AZ$5)-SUMIFS(TF_Timer,TF_Tekniker,AZ$4,TF_Dato,$A689))*2,0)/2)))</f>
        <v/>
      </c>
      <c r="BA689">
        <f>IF(OR(BA$4="",$A689&gt;TODAY()),0,IF(OR(INDEX($B689:$D689,BA$5)="F",AND(BA$6&gt;0,$A689&lt;BA$6),AND(BA$7&gt;0,$A689&gt;BA$7)),0,MAX(0,ROUND((INDEX($E689:$G689,BA$5)-SUMIFS(TF_Timer,TF_Tekniker,BA$4,TF_Dato,$A689))*2,0)/2)))</f>
        <v/>
      </c>
      <c r="BB689">
        <f>IF(OR(BB$4="",$A689&gt;TODAY()),0,IF(OR(INDEX($B689:$D689,BB$5)="F",AND(BB$6&gt;0,$A689&lt;BB$6),AND(BB$7&gt;0,$A689&gt;BB$7)),0,MAX(0,ROUND((INDEX($E689:$G689,BB$5)-SUMIFS(TF_Timer,TF_Tekniker,BB$4,TF_Dato,$A689))*2,0)/2)))</f>
        <v/>
      </c>
      <c r="BC689">
        <f>IF(OR(BC$4="",$A689&gt;TODAY()),0,IF(OR(INDEX($B689:$D689,BC$5)="F",AND(BC$6&gt;0,$A689&lt;BC$6),AND(BC$7&gt;0,$A689&gt;BC$7)),0,MAX(0,ROUND((INDEX($E689:$G689,BC$5)-SUMIFS(TF_Timer,TF_Tekniker,BC$4,TF_Dato,$A689))*2,0)/2)))</f>
        <v/>
      </c>
      <c r="BD689">
        <f>IF(OR(BD$4="",$A689&gt;TODAY()),0,IF(OR(INDEX($B689:$D689,BD$5)="F",AND(BD$6&gt;0,$A689&lt;BD$6),AND(BD$7&gt;0,$A689&gt;BD$7)),0,MAX(0,ROUND((INDEX($E689:$G689,BD$5)-SUMIFS(TF_Timer,TF_Tekniker,BD$4,TF_Dato,$A689))*2,0)/2)))</f>
        <v/>
      </c>
      <c r="BE689">
        <f>IF(OR(BE$4="",$A689&gt;TODAY()),0,IF(OR(INDEX($B689:$D689,BE$5)="F",AND(BE$6&gt;0,$A689&lt;BE$6),AND(BE$7&gt;0,$A689&gt;BE$7)),0,MAX(0,ROUND((INDEX($E689:$G689,BE$5)-SUMIFS(TF_Timer,TF_Tekniker,BE$4,TF_Dato,$A689))*2,0)/2)))</f>
        <v/>
      </c>
      <c r="BF689">
        <f>IF(OR(BF$4="",$A689&gt;TODAY()),0,IF(OR(INDEX($B689:$D689,BF$5)="F",AND(BF$6&gt;0,$A689&lt;BF$6),AND(BF$7&gt;0,$A689&gt;BF$7)),0,MAX(0,ROUND((INDEX($E689:$G689,BF$5)-SUMIFS(TF_Timer,TF_Tekniker,BF$4,TF_Dato,$A689))*2,0)/2)))</f>
        <v/>
      </c>
      <c r="BG689">
        <f>IF(OR(BG$4="",$A689&gt;TODAY()),0,IF(OR(INDEX($B689:$D689,BG$5)="F",AND(BG$6&gt;0,$A689&lt;BG$6),AND(BG$7&gt;0,$A689&gt;BG$7)),0,MAX(0,ROUND((INDEX($E689:$G689,BG$5)-SUMIFS(TF_Timer,TF_Tekniker,BG$4,TF_Dato,$A689))*2,0)/2)))</f>
        <v/>
      </c>
      <c r="BH689">
        <f>IF(OR(BH$4="",$A689&gt;TODAY()),0,IF(OR(INDEX($B689:$D689,BH$5)="F",AND(BH$6&gt;0,$A689&lt;BH$6),AND(BH$7&gt;0,$A689&gt;BH$7)),0,MAX(0,ROUND((INDEX($E689:$G689,BH$5)-SUMIFS(TF_Timer,TF_Tekniker,BH$4,TF_Dato,$A689))*2,0)/2)))</f>
        <v/>
      </c>
      <c r="BI689">
        <f>IF(OR(BI$4="",$A689&gt;TODAY()),0,IF(OR(INDEX($B689:$D689,BI$5)="F",AND(BI$6&gt;0,$A689&lt;BI$6),AND(BI$7&gt;0,$A689&gt;BI$7)),0,MAX(0,ROUND((INDEX($E689:$G689,BI$5)-SUMIFS(TF_Timer,TF_Tekniker,BI$4,TF_Dato,$A689))*2,0)/2)))</f>
        <v/>
      </c>
    </row>
    <row r="690">
      <c r="A690" s="64">
        <f>A689+1</f>
        <v/>
      </c>
      <c r="B690">
        <f>IF(MOD($A690-INDEX(SkiftStart,1),Syklus)&lt;DagK,"K",IF(MOD($A690-INDEX(SkiftStart,1),Syklus)&lt;DagK+DagH,"H",IF(MOD($A690-INDEX(SkiftStart,1),Syklus)&lt;DagK+DagH+DagD,"D","F")))</f>
        <v/>
      </c>
      <c r="C690">
        <f>IF(MOD($A690-INDEX(SkiftStart,2),Syklus)&lt;DagK,"K",IF(MOD($A690-INDEX(SkiftStart,2),Syklus)&lt;DagK+DagH,"H",IF(MOD($A690-INDEX(SkiftStart,2),Syklus)&lt;DagK+DagH+DagD,"D","F")))</f>
        <v/>
      </c>
      <c r="D690">
        <f>IF(MOD($A690-INDEX(SkiftStart,3),Syklus)&lt;DagK,"K",IF(MOD($A690-INDEX(SkiftStart,3),Syklus)&lt;DagK+DagH,"H",IF(MOD($A690-INDEX(SkiftStart,3),Syklus)&lt;DagK+DagH+DagD,"D","F")))</f>
        <v/>
      </c>
      <c r="E690">
        <f>IF(B690="F",0,IF(WEEKDAY($A690,2)=5,INDEX(TimerFr,MATCH(B690,FaseKode,0)),INDEX(TimerMT,MATCH(B690,FaseKode,0))))</f>
        <v/>
      </c>
      <c r="F690">
        <f>IF(C690="F",0,IF(WEEKDAY($A690,2)=5,INDEX(TimerFr,MATCH(C690,FaseKode,0)),INDEX(TimerMT,MATCH(C690,FaseKode,0))))</f>
        <v/>
      </c>
      <c r="G690">
        <f>IF(D690="F",0,IF(WEEKDAY($A690,2)=5,INDEX(TimerFr,MATCH(D690,FaseKode,0)),INDEX(TimerMT,MATCH(D690,FaseKode,0))))</f>
        <v/>
      </c>
      <c r="H690">
        <f>IF(OR(H$4="",$A690&gt;TODAY()),0,IF(OR(INDEX($B690:$D690,H$5)="F",AND(H$6&gt;0,$A690&lt;H$6),AND(H$7&gt;0,$A690&gt;H$7)),0,MAX(0,ROUND((INDEX($E690:$G690,H$5)-SUMIFS(TF_Timer,TF_Tekniker,H$4,TF_Dato,$A690))*2,0)/2)))</f>
        <v/>
      </c>
      <c r="I690">
        <f>IF(OR(I$4="",$A690&gt;TODAY()),0,IF(OR(INDEX($B690:$D690,I$5)="F",AND(I$6&gt;0,$A690&lt;I$6),AND(I$7&gt;0,$A690&gt;I$7)),0,MAX(0,ROUND((INDEX($E690:$G690,I$5)-SUMIFS(TF_Timer,TF_Tekniker,I$4,TF_Dato,$A690))*2,0)/2)))</f>
        <v/>
      </c>
      <c r="J690">
        <f>IF(OR(J$4="",$A690&gt;TODAY()),0,IF(OR(INDEX($B690:$D690,J$5)="F",AND(J$6&gt;0,$A690&lt;J$6),AND(J$7&gt;0,$A690&gt;J$7)),0,MAX(0,ROUND((INDEX($E690:$G690,J$5)-SUMIFS(TF_Timer,TF_Tekniker,J$4,TF_Dato,$A690))*2,0)/2)))</f>
        <v/>
      </c>
      <c r="K690">
        <f>IF(OR(K$4="",$A690&gt;TODAY()),0,IF(OR(INDEX($B690:$D690,K$5)="F",AND(K$6&gt;0,$A690&lt;K$6),AND(K$7&gt;0,$A690&gt;K$7)),0,MAX(0,ROUND((INDEX($E690:$G690,K$5)-SUMIFS(TF_Timer,TF_Tekniker,K$4,TF_Dato,$A690))*2,0)/2)))</f>
        <v/>
      </c>
      <c r="L690">
        <f>IF(OR(L$4="",$A690&gt;TODAY()),0,IF(OR(INDEX($B690:$D690,L$5)="F",AND(L$6&gt;0,$A690&lt;L$6),AND(L$7&gt;0,$A690&gt;L$7)),0,MAX(0,ROUND((INDEX($E690:$G690,L$5)-SUMIFS(TF_Timer,TF_Tekniker,L$4,TF_Dato,$A690))*2,0)/2)))</f>
        <v/>
      </c>
      <c r="M690">
        <f>IF(OR(M$4="",$A690&gt;TODAY()),0,IF(OR(INDEX($B690:$D690,M$5)="F",AND(M$6&gt;0,$A690&lt;M$6),AND(M$7&gt;0,$A690&gt;M$7)),0,MAX(0,ROUND((INDEX($E690:$G690,M$5)-SUMIFS(TF_Timer,TF_Tekniker,M$4,TF_Dato,$A690))*2,0)/2)))</f>
        <v/>
      </c>
      <c r="N690">
        <f>IF(OR(N$4="",$A690&gt;TODAY()),0,IF(OR(INDEX($B690:$D690,N$5)="F",AND(N$6&gt;0,$A690&lt;N$6),AND(N$7&gt;0,$A690&gt;N$7)),0,MAX(0,ROUND((INDEX($E690:$G690,N$5)-SUMIFS(TF_Timer,TF_Tekniker,N$4,TF_Dato,$A690))*2,0)/2)))</f>
        <v/>
      </c>
      <c r="O690">
        <f>IF(OR(O$4="",$A690&gt;TODAY()),0,IF(OR(INDEX($B690:$D690,O$5)="F",AND(O$6&gt;0,$A690&lt;O$6),AND(O$7&gt;0,$A690&gt;O$7)),0,MAX(0,ROUND((INDEX($E690:$G690,O$5)-SUMIFS(TF_Timer,TF_Tekniker,O$4,TF_Dato,$A690))*2,0)/2)))</f>
        <v/>
      </c>
      <c r="P690">
        <f>IF(OR(P$4="",$A690&gt;TODAY()),0,IF(OR(INDEX($B690:$D690,P$5)="F",AND(P$6&gt;0,$A690&lt;P$6),AND(P$7&gt;0,$A690&gt;P$7)),0,MAX(0,ROUND((INDEX($E690:$G690,P$5)-SUMIFS(TF_Timer,TF_Tekniker,P$4,TF_Dato,$A690))*2,0)/2)))</f>
        <v/>
      </c>
      <c r="Q690">
        <f>IF(OR(Q$4="",$A690&gt;TODAY()),0,IF(OR(INDEX($B690:$D690,Q$5)="F",AND(Q$6&gt;0,$A690&lt;Q$6),AND(Q$7&gt;0,$A690&gt;Q$7)),0,MAX(0,ROUND((INDEX($E690:$G690,Q$5)-SUMIFS(TF_Timer,TF_Tekniker,Q$4,TF_Dato,$A690))*2,0)/2)))</f>
        <v/>
      </c>
      <c r="R690">
        <f>IF(OR(R$4="",$A690&gt;TODAY()),0,IF(OR(INDEX($B690:$D690,R$5)="F",AND(R$6&gt;0,$A690&lt;R$6),AND(R$7&gt;0,$A690&gt;R$7)),0,MAX(0,ROUND((INDEX($E690:$G690,R$5)-SUMIFS(TF_Timer,TF_Tekniker,R$4,TF_Dato,$A690))*2,0)/2)))</f>
        <v/>
      </c>
      <c r="S690">
        <f>IF(OR(S$4="",$A690&gt;TODAY()),0,IF(OR(INDEX($B690:$D690,S$5)="F",AND(S$6&gt;0,$A690&lt;S$6),AND(S$7&gt;0,$A690&gt;S$7)),0,MAX(0,ROUND((INDEX($E690:$G690,S$5)-SUMIFS(TF_Timer,TF_Tekniker,S$4,TF_Dato,$A690))*2,0)/2)))</f>
        <v/>
      </c>
      <c r="T690">
        <f>IF(OR(T$4="",$A690&gt;TODAY()),0,IF(OR(INDEX($B690:$D690,T$5)="F",AND(T$6&gt;0,$A690&lt;T$6),AND(T$7&gt;0,$A690&gt;T$7)),0,MAX(0,ROUND((INDEX($E690:$G690,T$5)-SUMIFS(TF_Timer,TF_Tekniker,T$4,TF_Dato,$A690))*2,0)/2)))</f>
        <v/>
      </c>
      <c r="U690">
        <f>IF(OR(U$4="",$A690&gt;TODAY()),0,IF(OR(INDEX($B690:$D690,U$5)="F",AND(U$6&gt;0,$A690&lt;U$6),AND(U$7&gt;0,$A690&gt;U$7)),0,MAX(0,ROUND((INDEX($E690:$G690,U$5)-SUMIFS(TF_Timer,TF_Tekniker,U$4,TF_Dato,$A690))*2,0)/2)))</f>
        <v/>
      </c>
      <c r="V690">
        <f>IF(OR(V$4="",$A690&gt;TODAY()),0,IF(OR(INDEX($B690:$D690,V$5)="F",AND(V$6&gt;0,$A690&lt;V$6),AND(V$7&gt;0,$A690&gt;V$7)),0,MAX(0,ROUND((INDEX($E690:$G690,V$5)-SUMIFS(TF_Timer,TF_Tekniker,V$4,TF_Dato,$A690))*2,0)/2)))</f>
        <v/>
      </c>
      <c r="W690">
        <f>IF(OR(W$4="",$A690&gt;TODAY()),0,IF(OR(INDEX($B690:$D690,W$5)="F",AND(W$6&gt;0,$A690&lt;W$6),AND(W$7&gt;0,$A690&gt;W$7)),0,MAX(0,ROUND((INDEX($E690:$G690,W$5)-SUMIFS(TF_Timer,TF_Tekniker,W$4,TF_Dato,$A690))*2,0)/2)))</f>
        <v/>
      </c>
      <c r="X690">
        <f>IF(OR(X$4="",$A690&gt;TODAY()),0,IF(OR(INDEX($B690:$D690,X$5)="F",AND(X$6&gt;0,$A690&lt;X$6),AND(X$7&gt;0,$A690&gt;X$7)),0,MAX(0,ROUND((INDEX($E690:$G690,X$5)-SUMIFS(TF_Timer,TF_Tekniker,X$4,TF_Dato,$A690))*2,0)/2)))</f>
        <v/>
      </c>
      <c r="Y690">
        <f>IF(OR(Y$4="",$A690&gt;TODAY()),0,IF(OR(INDEX($B690:$D690,Y$5)="F",AND(Y$6&gt;0,$A690&lt;Y$6),AND(Y$7&gt;0,$A690&gt;Y$7)),0,MAX(0,ROUND((INDEX($E690:$G690,Y$5)-SUMIFS(TF_Timer,TF_Tekniker,Y$4,TF_Dato,$A690))*2,0)/2)))</f>
        <v/>
      </c>
      <c r="Z690">
        <f>IF(OR(Z$4="",$A690&gt;TODAY()),0,IF(OR(INDEX($B690:$D690,Z$5)="F",AND(Z$6&gt;0,$A690&lt;Z$6),AND(Z$7&gt;0,$A690&gt;Z$7)),0,MAX(0,ROUND((INDEX($E690:$G690,Z$5)-SUMIFS(TF_Timer,TF_Tekniker,Z$4,TF_Dato,$A690))*2,0)/2)))</f>
        <v/>
      </c>
      <c r="AA690">
        <f>IF(OR(AA$4="",$A690&gt;TODAY()),0,IF(OR(INDEX($B690:$D690,AA$5)="F",AND(AA$6&gt;0,$A690&lt;AA$6),AND(AA$7&gt;0,$A690&gt;AA$7)),0,MAX(0,ROUND((INDEX($E690:$G690,AA$5)-SUMIFS(TF_Timer,TF_Tekniker,AA$4,TF_Dato,$A690))*2,0)/2)))</f>
        <v/>
      </c>
      <c r="AB690">
        <f>IF(OR(AB$4="",$A690&gt;TODAY()),0,IF(OR(INDEX($B690:$D690,AB$5)="F",AND(AB$6&gt;0,$A690&lt;AB$6),AND(AB$7&gt;0,$A690&gt;AB$7)),0,MAX(0,ROUND((INDEX($E690:$G690,AB$5)-SUMIFS(TF_Timer,TF_Tekniker,AB$4,TF_Dato,$A690))*2,0)/2)))</f>
        <v/>
      </c>
      <c r="AC690">
        <f>IF(OR(AC$4="",$A690&gt;TODAY()),0,IF(OR(INDEX($B690:$D690,AC$5)="F",AND(AC$6&gt;0,$A690&lt;AC$6),AND(AC$7&gt;0,$A690&gt;AC$7)),0,MAX(0,ROUND((INDEX($E690:$G690,AC$5)-SUMIFS(TF_Timer,TF_Tekniker,AC$4,TF_Dato,$A690))*2,0)/2)))</f>
        <v/>
      </c>
      <c r="AD690">
        <f>IF(OR(AD$4="",$A690&gt;TODAY()),0,IF(OR(INDEX($B690:$D690,AD$5)="F",AND(AD$6&gt;0,$A690&lt;AD$6),AND(AD$7&gt;0,$A690&gt;AD$7)),0,MAX(0,ROUND((INDEX($E690:$G690,AD$5)-SUMIFS(TF_Timer,TF_Tekniker,AD$4,TF_Dato,$A690))*2,0)/2)))</f>
        <v/>
      </c>
      <c r="AE690">
        <f>IF(OR(AE$4="",$A690&gt;TODAY()),0,IF(OR(INDEX($B690:$D690,AE$5)="F",AND(AE$6&gt;0,$A690&lt;AE$6),AND(AE$7&gt;0,$A690&gt;AE$7)),0,MAX(0,ROUND((INDEX($E690:$G690,AE$5)-SUMIFS(TF_Timer,TF_Tekniker,AE$4,TF_Dato,$A690))*2,0)/2)))</f>
        <v/>
      </c>
      <c r="AF690">
        <f>IF(OR(AF$4="",$A690&gt;TODAY()),0,IF(OR(INDEX($B690:$D690,AF$5)="F",AND(AF$6&gt;0,$A690&lt;AF$6),AND(AF$7&gt;0,$A690&gt;AF$7)),0,MAX(0,ROUND((INDEX($E690:$G690,AF$5)-SUMIFS(TF_Timer,TF_Tekniker,AF$4,TF_Dato,$A690))*2,0)/2)))</f>
        <v/>
      </c>
      <c r="AG690">
        <f>IF(OR(AG$4="",$A690&gt;TODAY()),0,IF(OR(INDEX($B690:$D690,AG$5)="F",AND(AG$6&gt;0,$A690&lt;AG$6),AND(AG$7&gt;0,$A690&gt;AG$7)),0,MAX(0,ROUND((INDEX($E690:$G690,AG$5)-SUMIFS(TF_Timer,TF_Tekniker,AG$4,TF_Dato,$A690))*2,0)/2)))</f>
        <v/>
      </c>
      <c r="AH690">
        <f>IF(OR(AH$4="",$A690&gt;TODAY()),0,IF(OR(INDEX($B690:$D690,AH$5)="F",AND(AH$6&gt;0,$A690&lt;AH$6),AND(AH$7&gt;0,$A690&gt;AH$7)),0,MAX(0,ROUND((INDEX($E690:$G690,AH$5)-SUMIFS(TF_Timer,TF_Tekniker,AH$4,TF_Dato,$A690))*2,0)/2)))</f>
        <v/>
      </c>
      <c r="AI690">
        <f>IF(OR(AI$4="",$A690&gt;TODAY()),0,IF(OR(INDEX($B690:$D690,AI$5)="F",AND(AI$6&gt;0,$A690&lt;AI$6),AND(AI$7&gt;0,$A690&gt;AI$7)),0,MAX(0,ROUND((INDEX($E690:$G690,AI$5)-SUMIFS(TF_Timer,TF_Tekniker,AI$4,TF_Dato,$A690))*2,0)/2)))</f>
        <v/>
      </c>
      <c r="AJ690">
        <f>IF(OR(AJ$4="",$A690&gt;TODAY()),0,IF(OR(INDEX($B690:$D690,AJ$5)="F",AND(AJ$6&gt;0,$A690&lt;AJ$6),AND(AJ$7&gt;0,$A690&gt;AJ$7)),0,MAX(0,ROUND((INDEX($E690:$G690,AJ$5)-SUMIFS(TF_Timer,TF_Tekniker,AJ$4,TF_Dato,$A690))*2,0)/2)))</f>
        <v/>
      </c>
      <c r="AK690">
        <f>IF(OR(AK$4="",$A690&gt;TODAY()),0,IF(OR(INDEX($B690:$D690,AK$5)="F",AND(AK$6&gt;0,$A690&lt;AK$6),AND(AK$7&gt;0,$A690&gt;AK$7)),0,MAX(0,ROUND((INDEX($E690:$G690,AK$5)-SUMIFS(TF_Timer,TF_Tekniker,AK$4,TF_Dato,$A690))*2,0)/2)))</f>
        <v/>
      </c>
      <c r="AL690">
        <f>IF(OR(AL$4="",$A690&gt;TODAY()),0,IF(OR(INDEX($B690:$D690,AL$5)="F",AND(AL$6&gt;0,$A690&lt;AL$6),AND(AL$7&gt;0,$A690&gt;AL$7)),0,MAX(0,ROUND((INDEX($E690:$G690,AL$5)-SUMIFS(TF_Timer,TF_Tekniker,AL$4,TF_Dato,$A690))*2,0)/2)))</f>
        <v/>
      </c>
      <c r="AM690">
        <f>IF(OR(AM$4="",$A690&gt;TODAY()),0,IF(OR(INDEX($B690:$D690,AM$5)="F",AND(AM$6&gt;0,$A690&lt;AM$6),AND(AM$7&gt;0,$A690&gt;AM$7)),0,MAX(0,ROUND((INDEX($E690:$G690,AM$5)-SUMIFS(TF_Timer,TF_Tekniker,AM$4,TF_Dato,$A690))*2,0)/2)))</f>
        <v/>
      </c>
      <c r="AN690">
        <f>IF(OR(AN$4="",$A690&gt;TODAY()),0,IF(OR(INDEX($B690:$D690,AN$5)="F",AND(AN$6&gt;0,$A690&lt;AN$6),AND(AN$7&gt;0,$A690&gt;AN$7)),0,MAX(0,ROUND((INDEX($E690:$G690,AN$5)-SUMIFS(TF_Timer,TF_Tekniker,AN$4,TF_Dato,$A690))*2,0)/2)))</f>
        <v/>
      </c>
      <c r="AO690">
        <f>IF(OR(AO$4="",$A690&gt;TODAY()),0,IF(OR(INDEX($B690:$D690,AO$5)="F",AND(AO$6&gt;0,$A690&lt;AO$6),AND(AO$7&gt;0,$A690&gt;AO$7)),0,MAX(0,ROUND((INDEX($E690:$G690,AO$5)-SUMIFS(TF_Timer,TF_Tekniker,AO$4,TF_Dato,$A690))*2,0)/2)))</f>
        <v/>
      </c>
      <c r="AP690">
        <f>IF(OR(AP$4="",$A690&gt;TODAY()),0,IF(OR(INDEX($B690:$D690,AP$5)="F",AND(AP$6&gt;0,$A690&lt;AP$6),AND(AP$7&gt;0,$A690&gt;AP$7)),0,MAX(0,ROUND((INDEX($E690:$G690,AP$5)-SUMIFS(TF_Timer,TF_Tekniker,AP$4,TF_Dato,$A690))*2,0)/2)))</f>
        <v/>
      </c>
      <c r="AQ690">
        <f>IF(OR(AQ$4="",$A690&gt;TODAY()),0,IF(OR(INDEX($B690:$D690,AQ$5)="F",AND(AQ$6&gt;0,$A690&lt;AQ$6),AND(AQ$7&gt;0,$A690&gt;AQ$7)),0,MAX(0,ROUND((INDEX($E690:$G690,AQ$5)-SUMIFS(TF_Timer,TF_Tekniker,AQ$4,TF_Dato,$A690))*2,0)/2)))</f>
        <v/>
      </c>
      <c r="AR690">
        <f>IF(OR(AR$4="",$A690&gt;TODAY()),0,IF(OR(INDEX($B690:$D690,AR$5)="F",AND(AR$6&gt;0,$A690&lt;AR$6),AND(AR$7&gt;0,$A690&gt;AR$7)),0,MAX(0,ROUND((INDEX($E690:$G690,AR$5)-SUMIFS(TF_Timer,TF_Tekniker,AR$4,TF_Dato,$A690))*2,0)/2)))</f>
        <v/>
      </c>
      <c r="AS690">
        <f>IF(OR(AS$4="",$A690&gt;TODAY()),0,IF(OR(INDEX($B690:$D690,AS$5)="F",AND(AS$6&gt;0,$A690&lt;AS$6),AND(AS$7&gt;0,$A690&gt;AS$7)),0,MAX(0,ROUND((INDEX($E690:$G690,AS$5)-SUMIFS(TF_Timer,TF_Tekniker,AS$4,TF_Dato,$A690))*2,0)/2)))</f>
        <v/>
      </c>
      <c r="AT690">
        <f>IF(OR(AT$4="",$A690&gt;TODAY()),0,IF(OR(INDEX($B690:$D690,AT$5)="F",AND(AT$6&gt;0,$A690&lt;AT$6),AND(AT$7&gt;0,$A690&gt;AT$7)),0,MAX(0,ROUND((INDEX($E690:$G690,AT$5)-SUMIFS(TF_Timer,TF_Tekniker,AT$4,TF_Dato,$A690))*2,0)/2)))</f>
        <v/>
      </c>
      <c r="AU690">
        <f>IF(OR(AU$4="",$A690&gt;TODAY()),0,IF(OR(INDEX($B690:$D690,AU$5)="F",AND(AU$6&gt;0,$A690&lt;AU$6),AND(AU$7&gt;0,$A690&gt;AU$7)),0,MAX(0,ROUND((INDEX($E690:$G690,AU$5)-SUMIFS(TF_Timer,TF_Tekniker,AU$4,TF_Dato,$A690))*2,0)/2)))</f>
        <v/>
      </c>
      <c r="AV690">
        <f>IF(OR(AV$4="",$A690&gt;TODAY()),0,IF(OR(INDEX($B690:$D690,AV$5)="F",AND(AV$6&gt;0,$A690&lt;AV$6),AND(AV$7&gt;0,$A690&gt;AV$7)),0,MAX(0,ROUND((INDEX($E690:$G690,AV$5)-SUMIFS(TF_Timer,TF_Tekniker,AV$4,TF_Dato,$A690))*2,0)/2)))</f>
        <v/>
      </c>
      <c r="AW690">
        <f>IF(OR(AW$4="",$A690&gt;TODAY()),0,IF(OR(INDEX($B690:$D690,AW$5)="F",AND(AW$6&gt;0,$A690&lt;AW$6),AND(AW$7&gt;0,$A690&gt;AW$7)),0,MAX(0,ROUND((INDEX($E690:$G690,AW$5)-SUMIFS(TF_Timer,TF_Tekniker,AW$4,TF_Dato,$A690))*2,0)/2)))</f>
        <v/>
      </c>
      <c r="AX690">
        <f>IF(OR(AX$4="",$A690&gt;TODAY()),0,IF(OR(INDEX($B690:$D690,AX$5)="F",AND(AX$6&gt;0,$A690&lt;AX$6),AND(AX$7&gt;0,$A690&gt;AX$7)),0,MAX(0,ROUND((INDEX($E690:$G690,AX$5)-SUMIFS(TF_Timer,TF_Tekniker,AX$4,TF_Dato,$A690))*2,0)/2)))</f>
        <v/>
      </c>
      <c r="AY690">
        <f>IF(OR(AY$4="",$A690&gt;TODAY()),0,IF(OR(INDEX($B690:$D690,AY$5)="F",AND(AY$6&gt;0,$A690&lt;AY$6),AND(AY$7&gt;0,$A690&gt;AY$7)),0,MAX(0,ROUND((INDEX($E690:$G690,AY$5)-SUMIFS(TF_Timer,TF_Tekniker,AY$4,TF_Dato,$A690))*2,0)/2)))</f>
        <v/>
      </c>
      <c r="AZ690">
        <f>IF(OR(AZ$4="",$A690&gt;TODAY()),0,IF(OR(INDEX($B690:$D690,AZ$5)="F",AND(AZ$6&gt;0,$A690&lt;AZ$6),AND(AZ$7&gt;0,$A690&gt;AZ$7)),0,MAX(0,ROUND((INDEX($E690:$G690,AZ$5)-SUMIFS(TF_Timer,TF_Tekniker,AZ$4,TF_Dato,$A690))*2,0)/2)))</f>
        <v/>
      </c>
      <c r="BA690">
        <f>IF(OR(BA$4="",$A690&gt;TODAY()),0,IF(OR(INDEX($B690:$D690,BA$5)="F",AND(BA$6&gt;0,$A690&lt;BA$6),AND(BA$7&gt;0,$A690&gt;BA$7)),0,MAX(0,ROUND((INDEX($E690:$G690,BA$5)-SUMIFS(TF_Timer,TF_Tekniker,BA$4,TF_Dato,$A690))*2,0)/2)))</f>
        <v/>
      </c>
      <c r="BB690">
        <f>IF(OR(BB$4="",$A690&gt;TODAY()),0,IF(OR(INDEX($B690:$D690,BB$5)="F",AND(BB$6&gt;0,$A690&lt;BB$6),AND(BB$7&gt;0,$A690&gt;BB$7)),0,MAX(0,ROUND((INDEX($E690:$G690,BB$5)-SUMIFS(TF_Timer,TF_Tekniker,BB$4,TF_Dato,$A690))*2,0)/2)))</f>
        <v/>
      </c>
      <c r="BC690">
        <f>IF(OR(BC$4="",$A690&gt;TODAY()),0,IF(OR(INDEX($B690:$D690,BC$5)="F",AND(BC$6&gt;0,$A690&lt;BC$6),AND(BC$7&gt;0,$A690&gt;BC$7)),0,MAX(0,ROUND((INDEX($E690:$G690,BC$5)-SUMIFS(TF_Timer,TF_Tekniker,BC$4,TF_Dato,$A690))*2,0)/2)))</f>
        <v/>
      </c>
      <c r="BD690">
        <f>IF(OR(BD$4="",$A690&gt;TODAY()),0,IF(OR(INDEX($B690:$D690,BD$5)="F",AND(BD$6&gt;0,$A690&lt;BD$6),AND(BD$7&gt;0,$A690&gt;BD$7)),0,MAX(0,ROUND((INDEX($E690:$G690,BD$5)-SUMIFS(TF_Timer,TF_Tekniker,BD$4,TF_Dato,$A690))*2,0)/2)))</f>
        <v/>
      </c>
      <c r="BE690">
        <f>IF(OR(BE$4="",$A690&gt;TODAY()),0,IF(OR(INDEX($B690:$D690,BE$5)="F",AND(BE$6&gt;0,$A690&lt;BE$6),AND(BE$7&gt;0,$A690&gt;BE$7)),0,MAX(0,ROUND((INDEX($E690:$G690,BE$5)-SUMIFS(TF_Timer,TF_Tekniker,BE$4,TF_Dato,$A690))*2,0)/2)))</f>
        <v/>
      </c>
      <c r="BF690">
        <f>IF(OR(BF$4="",$A690&gt;TODAY()),0,IF(OR(INDEX($B690:$D690,BF$5)="F",AND(BF$6&gt;0,$A690&lt;BF$6),AND(BF$7&gt;0,$A690&gt;BF$7)),0,MAX(0,ROUND((INDEX($E690:$G690,BF$5)-SUMIFS(TF_Timer,TF_Tekniker,BF$4,TF_Dato,$A690))*2,0)/2)))</f>
        <v/>
      </c>
      <c r="BG690">
        <f>IF(OR(BG$4="",$A690&gt;TODAY()),0,IF(OR(INDEX($B690:$D690,BG$5)="F",AND(BG$6&gt;0,$A690&lt;BG$6),AND(BG$7&gt;0,$A690&gt;BG$7)),0,MAX(0,ROUND((INDEX($E690:$G690,BG$5)-SUMIFS(TF_Timer,TF_Tekniker,BG$4,TF_Dato,$A690))*2,0)/2)))</f>
        <v/>
      </c>
      <c r="BH690">
        <f>IF(OR(BH$4="",$A690&gt;TODAY()),0,IF(OR(INDEX($B690:$D690,BH$5)="F",AND(BH$6&gt;0,$A690&lt;BH$6),AND(BH$7&gt;0,$A690&gt;BH$7)),0,MAX(0,ROUND((INDEX($E690:$G690,BH$5)-SUMIFS(TF_Timer,TF_Tekniker,BH$4,TF_Dato,$A690))*2,0)/2)))</f>
        <v/>
      </c>
      <c r="BI690">
        <f>IF(OR(BI$4="",$A690&gt;TODAY()),0,IF(OR(INDEX($B690:$D690,BI$5)="F",AND(BI$6&gt;0,$A690&lt;BI$6),AND(BI$7&gt;0,$A690&gt;BI$7)),0,MAX(0,ROUND((INDEX($E690:$G690,BI$5)-SUMIFS(TF_Timer,TF_Tekniker,BI$4,TF_Dato,$A690))*2,0)/2)))</f>
        <v/>
      </c>
    </row>
    <row r="691">
      <c r="A691" s="64">
        <f>A690+1</f>
        <v/>
      </c>
      <c r="B691">
        <f>IF(MOD($A691-INDEX(SkiftStart,1),Syklus)&lt;DagK,"K",IF(MOD($A691-INDEX(SkiftStart,1),Syklus)&lt;DagK+DagH,"H",IF(MOD($A691-INDEX(SkiftStart,1),Syklus)&lt;DagK+DagH+DagD,"D","F")))</f>
        <v/>
      </c>
      <c r="C691">
        <f>IF(MOD($A691-INDEX(SkiftStart,2),Syklus)&lt;DagK,"K",IF(MOD($A691-INDEX(SkiftStart,2),Syklus)&lt;DagK+DagH,"H",IF(MOD($A691-INDEX(SkiftStart,2),Syklus)&lt;DagK+DagH+DagD,"D","F")))</f>
        <v/>
      </c>
      <c r="D691">
        <f>IF(MOD($A691-INDEX(SkiftStart,3),Syklus)&lt;DagK,"K",IF(MOD($A691-INDEX(SkiftStart,3),Syklus)&lt;DagK+DagH,"H",IF(MOD($A691-INDEX(SkiftStart,3),Syklus)&lt;DagK+DagH+DagD,"D","F")))</f>
        <v/>
      </c>
      <c r="E691">
        <f>IF(B691="F",0,IF(WEEKDAY($A691,2)=5,INDEX(TimerFr,MATCH(B691,FaseKode,0)),INDEX(TimerMT,MATCH(B691,FaseKode,0))))</f>
        <v/>
      </c>
      <c r="F691">
        <f>IF(C691="F",0,IF(WEEKDAY($A691,2)=5,INDEX(TimerFr,MATCH(C691,FaseKode,0)),INDEX(TimerMT,MATCH(C691,FaseKode,0))))</f>
        <v/>
      </c>
      <c r="G691">
        <f>IF(D691="F",0,IF(WEEKDAY($A691,2)=5,INDEX(TimerFr,MATCH(D691,FaseKode,0)),INDEX(TimerMT,MATCH(D691,FaseKode,0))))</f>
        <v/>
      </c>
      <c r="H691">
        <f>IF(OR(H$4="",$A691&gt;TODAY()),0,IF(OR(INDEX($B691:$D691,H$5)="F",AND(H$6&gt;0,$A691&lt;H$6),AND(H$7&gt;0,$A691&gt;H$7)),0,MAX(0,ROUND((INDEX($E691:$G691,H$5)-SUMIFS(TF_Timer,TF_Tekniker,H$4,TF_Dato,$A691))*2,0)/2)))</f>
        <v/>
      </c>
      <c r="I691">
        <f>IF(OR(I$4="",$A691&gt;TODAY()),0,IF(OR(INDEX($B691:$D691,I$5)="F",AND(I$6&gt;0,$A691&lt;I$6),AND(I$7&gt;0,$A691&gt;I$7)),0,MAX(0,ROUND((INDEX($E691:$G691,I$5)-SUMIFS(TF_Timer,TF_Tekniker,I$4,TF_Dato,$A691))*2,0)/2)))</f>
        <v/>
      </c>
      <c r="J691">
        <f>IF(OR(J$4="",$A691&gt;TODAY()),0,IF(OR(INDEX($B691:$D691,J$5)="F",AND(J$6&gt;0,$A691&lt;J$6),AND(J$7&gt;0,$A691&gt;J$7)),0,MAX(0,ROUND((INDEX($E691:$G691,J$5)-SUMIFS(TF_Timer,TF_Tekniker,J$4,TF_Dato,$A691))*2,0)/2)))</f>
        <v/>
      </c>
      <c r="K691">
        <f>IF(OR(K$4="",$A691&gt;TODAY()),0,IF(OR(INDEX($B691:$D691,K$5)="F",AND(K$6&gt;0,$A691&lt;K$6),AND(K$7&gt;0,$A691&gt;K$7)),0,MAX(0,ROUND((INDEX($E691:$G691,K$5)-SUMIFS(TF_Timer,TF_Tekniker,K$4,TF_Dato,$A691))*2,0)/2)))</f>
        <v/>
      </c>
      <c r="L691">
        <f>IF(OR(L$4="",$A691&gt;TODAY()),0,IF(OR(INDEX($B691:$D691,L$5)="F",AND(L$6&gt;0,$A691&lt;L$6),AND(L$7&gt;0,$A691&gt;L$7)),0,MAX(0,ROUND((INDEX($E691:$G691,L$5)-SUMIFS(TF_Timer,TF_Tekniker,L$4,TF_Dato,$A691))*2,0)/2)))</f>
        <v/>
      </c>
      <c r="M691">
        <f>IF(OR(M$4="",$A691&gt;TODAY()),0,IF(OR(INDEX($B691:$D691,M$5)="F",AND(M$6&gt;0,$A691&lt;M$6),AND(M$7&gt;0,$A691&gt;M$7)),0,MAX(0,ROUND((INDEX($E691:$G691,M$5)-SUMIFS(TF_Timer,TF_Tekniker,M$4,TF_Dato,$A691))*2,0)/2)))</f>
        <v/>
      </c>
      <c r="N691">
        <f>IF(OR(N$4="",$A691&gt;TODAY()),0,IF(OR(INDEX($B691:$D691,N$5)="F",AND(N$6&gt;0,$A691&lt;N$6),AND(N$7&gt;0,$A691&gt;N$7)),0,MAX(0,ROUND((INDEX($E691:$G691,N$5)-SUMIFS(TF_Timer,TF_Tekniker,N$4,TF_Dato,$A691))*2,0)/2)))</f>
        <v/>
      </c>
      <c r="O691">
        <f>IF(OR(O$4="",$A691&gt;TODAY()),0,IF(OR(INDEX($B691:$D691,O$5)="F",AND(O$6&gt;0,$A691&lt;O$6),AND(O$7&gt;0,$A691&gt;O$7)),0,MAX(0,ROUND((INDEX($E691:$G691,O$5)-SUMIFS(TF_Timer,TF_Tekniker,O$4,TF_Dato,$A691))*2,0)/2)))</f>
        <v/>
      </c>
      <c r="P691">
        <f>IF(OR(P$4="",$A691&gt;TODAY()),0,IF(OR(INDEX($B691:$D691,P$5)="F",AND(P$6&gt;0,$A691&lt;P$6),AND(P$7&gt;0,$A691&gt;P$7)),0,MAX(0,ROUND((INDEX($E691:$G691,P$5)-SUMIFS(TF_Timer,TF_Tekniker,P$4,TF_Dato,$A691))*2,0)/2)))</f>
        <v/>
      </c>
      <c r="Q691">
        <f>IF(OR(Q$4="",$A691&gt;TODAY()),0,IF(OR(INDEX($B691:$D691,Q$5)="F",AND(Q$6&gt;0,$A691&lt;Q$6),AND(Q$7&gt;0,$A691&gt;Q$7)),0,MAX(0,ROUND((INDEX($E691:$G691,Q$5)-SUMIFS(TF_Timer,TF_Tekniker,Q$4,TF_Dato,$A691))*2,0)/2)))</f>
        <v/>
      </c>
      <c r="R691">
        <f>IF(OR(R$4="",$A691&gt;TODAY()),0,IF(OR(INDEX($B691:$D691,R$5)="F",AND(R$6&gt;0,$A691&lt;R$6),AND(R$7&gt;0,$A691&gt;R$7)),0,MAX(0,ROUND((INDEX($E691:$G691,R$5)-SUMIFS(TF_Timer,TF_Tekniker,R$4,TF_Dato,$A691))*2,0)/2)))</f>
        <v/>
      </c>
      <c r="S691">
        <f>IF(OR(S$4="",$A691&gt;TODAY()),0,IF(OR(INDEX($B691:$D691,S$5)="F",AND(S$6&gt;0,$A691&lt;S$6),AND(S$7&gt;0,$A691&gt;S$7)),0,MAX(0,ROUND((INDEX($E691:$G691,S$5)-SUMIFS(TF_Timer,TF_Tekniker,S$4,TF_Dato,$A691))*2,0)/2)))</f>
        <v/>
      </c>
      <c r="T691">
        <f>IF(OR(T$4="",$A691&gt;TODAY()),0,IF(OR(INDEX($B691:$D691,T$5)="F",AND(T$6&gt;0,$A691&lt;T$6),AND(T$7&gt;0,$A691&gt;T$7)),0,MAX(0,ROUND((INDEX($E691:$G691,T$5)-SUMIFS(TF_Timer,TF_Tekniker,T$4,TF_Dato,$A691))*2,0)/2)))</f>
        <v/>
      </c>
      <c r="U691">
        <f>IF(OR(U$4="",$A691&gt;TODAY()),0,IF(OR(INDEX($B691:$D691,U$5)="F",AND(U$6&gt;0,$A691&lt;U$6),AND(U$7&gt;0,$A691&gt;U$7)),0,MAX(0,ROUND((INDEX($E691:$G691,U$5)-SUMIFS(TF_Timer,TF_Tekniker,U$4,TF_Dato,$A691))*2,0)/2)))</f>
        <v/>
      </c>
      <c r="V691">
        <f>IF(OR(V$4="",$A691&gt;TODAY()),0,IF(OR(INDEX($B691:$D691,V$5)="F",AND(V$6&gt;0,$A691&lt;V$6),AND(V$7&gt;0,$A691&gt;V$7)),0,MAX(0,ROUND((INDEX($E691:$G691,V$5)-SUMIFS(TF_Timer,TF_Tekniker,V$4,TF_Dato,$A691))*2,0)/2)))</f>
        <v/>
      </c>
      <c r="W691">
        <f>IF(OR(W$4="",$A691&gt;TODAY()),0,IF(OR(INDEX($B691:$D691,W$5)="F",AND(W$6&gt;0,$A691&lt;W$6),AND(W$7&gt;0,$A691&gt;W$7)),0,MAX(0,ROUND((INDEX($E691:$G691,W$5)-SUMIFS(TF_Timer,TF_Tekniker,W$4,TF_Dato,$A691))*2,0)/2)))</f>
        <v/>
      </c>
      <c r="X691">
        <f>IF(OR(X$4="",$A691&gt;TODAY()),0,IF(OR(INDEX($B691:$D691,X$5)="F",AND(X$6&gt;0,$A691&lt;X$6),AND(X$7&gt;0,$A691&gt;X$7)),0,MAX(0,ROUND((INDEX($E691:$G691,X$5)-SUMIFS(TF_Timer,TF_Tekniker,X$4,TF_Dato,$A691))*2,0)/2)))</f>
        <v/>
      </c>
      <c r="Y691">
        <f>IF(OR(Y$4="",$A691&gt;TODAY()),0,IF(OR(INDEX($B691:$D691,Y$5)="F",AND(Y$6&gt;0,$A691&lt;Y$6),AND(Y$7&gt;0,$A691&gt;Y$7)),0,MAX(0,ROUND((INDEX($E691:$G691,Y$5)-SUMIFS(TF_Timer,TF_Tekniker,Y$4,TF_Dato,$A691))*2,0)/2)))</f>
        <v/>
      </c>
      <c r="Z691">
        <f>IF(OR(Z$4="",$A691&gt;TODAY()),0,IF(OR(INDEX($B691:$D691,Z$5)="F",AND(Z$6&gt;0,$A691&lt;Z$6),AND(Z$7&gt;0,$A691&gt;Z$7)),0,MAX(0,ROUND((INDEX($E691:$G691,Z$5)-SUMIFS(TF_Timer,TF_Tekniker,Z$4,TF_Dato,$A691))*2,0)/2)))</f>
        <v/>
      </c>
      <c r="AA691">
        <f>IF(OR(AA$4="",$A691&gt;TODAY()),0,IF(OR(INDEX($B691:$D691,AA$5)="F",AND(AA$6&gt;0,$A691&lt;AA$6),AND(AA$7&gt;0,$A691&gt;AA$7)),0,MAX(0,ROUND((INDEX($E691:$G691,AA$5)-SUMIFS(TF_Timer,TF_Tekniker,AA$4,TF_Dato,$A691))*2,0)/2)))</f>
        <v/>
      </c>
      <c r="AB691">
        <f>IF(OR(AB$4="",$A691&gt;TODAY()),0,IF(OR(INDEX($B691:$D691,AB$5)="F",AND(AB$6&gt;0,$A691&lt;AB$6),AND(AB$7&gt;0,$A691&gt;AB$7)),0,MAX(0,ROUND((INDEX($E691:$G691,AB$5)-SUMIFS(TF_Timer,TF_Tekniker,AB$4,TF_Dato,$A691))*2,0)/2)))</f>
        <v/>
      </c>
      <c r="AC691">
        <f>IF(OR(AC$4="",$A691&gt;TODAY()),0,IF(OR(INDEX($B691:$D691,AC$5)="F",AND(AC$6&gt;0,$A691&lt;AC$6),AND(AC$7&gt;0,$A691&gt;AC$7)),0,MAX(0,ROUND((INDEX($E691:$G691,AC$5)-SUMIFS(TF_Timer,TF_Tekniker,AC$4,TF_Dato,$A691))*2,0)/2)))</f>
        <v/>
      </c>
      <c r="AD691">
        <f>IF(OR(AD$4="",$A691&gt;TODAY()),0,IF(OR(INDEX($B691:$D691,AD$5)="F",AND(AD$6&gt;0,$A691&lt;AD$6),AND(AD$7&gt;0,$A691&gt;AD$7)),0,MAX(0,ROUND((INDEX($E691:$G691,AD$5)-SUMIFS(TF_Timer,TF_Tekniker,AD$4,TF_Dato,$A691))*2,0)/2)))</f>
        <v/>
      </c>
      <c r="AE691">
        <f>IF(OR(AE$4="",$A691&gt;TODAY()),0,IF(OR(INDEX($B691:$D691,AE$5)="F",AND(AE$6&gt;0,$A691&lt;AE$6),AND(AE$7&gt;0,$A691&gt;AE$7)),0,MAX(0,ROUND((INDEX($E691:$G691,AE$5)-SUMIFS(TF_Timer,TF_Tekniker,AE$4,TF_Dato,$A691))*2,0)/2)))</f>
        <v/>
      </c>
      <c r="AF691">
        <f>IF(OR(AF$4="",$A691&gt;TODAY()),0,IF(OR(INDEX($B691:$D691,AF$5)="F",AND(AF$6&gt;0,$A691&lt;AF$6),AND(AF$7&gt;0,$A691&gt;AF$7)),0,MAX(0,ROUND((INDEX($E691:$G691,AF$5)-SUMIFS(TF_Timer,TF_Tekniker,AF$4,TF_Dato,$A691))*2,0)/2)))</f>
        <v/>
      </c>
      <c r="AG691">
        <f>IF(OR(AG$4="",$A691&gt;TODAY()),0,IF(OR(INDEX($B691:$D691,AG$5)="F",AND(AG$6&gt;0,$A691&lt;AG$6),AND(AG$7&gt;0,$A691&gt;AG$7)),0,MAX(0,ROUND((INDEX($E691:$G691,AG$5)-SUMIFS(TF_Timer,TF_Tekniker,AG$4,TF_Dato,$A691))*2,0)/2)))</f>
        <v/>
      </c>
      <c r="AH691">
        <f>IF(OR(AH$4="",$A691&gt;TODAY()),0,IF(OR(INDEX($B691:$D691,AH$5)="F",AND(AH$6&gt;0,$A691&lt;AH$6),AND(AH$7&gt;0,$A691&gt;AH$7)),0,MAX(0,ROUND((INDEX($E691:$G691,AH$5)-SUMIFS(TF_Timer,TF_Tekniker,AH$4,TF_Dato,$A691))*2,0)/2)))</f>
        <v/>
      </c>
      <c r="AI691">
        <f>IF(OR(AI$4="",$A691&gt;TODAY()),0,IF(OR(INDEX($B691:$D691,AI$5)="F",AND(AI$6&gt;0,$A691&lt;AI$6),AND(AI$7&gt;0,$A691&gt;AI$7)),0,MAX(0,ROUND((INDEX($E691:$G691,AI$5)-SUMIFS(TF_Timer,TF_Tekniker,AI$4,TF_Dato,$A691))*2,0)/2)))</f>
        <v/>
      </c>
      <c r="AJ691">
        <f>IF(OR(AJ$4="",$A691&gt;TODAY()),0,IF(OR(INDEX($B691:$D691,AJ$5)="F",AND(AJ$6&gt;0,$A691&lt;AJ$6),AND(AJ$7&gt;0,$A691&gt;AJ$7)),0,MAX(0,ROUND((INDEX($E691:$G691,AJ$5)-SUMIFS(TF_Timer,TF_Tekniker,AJ$4,TF_Dato,$A691))*2,0)/2)))</f>
        <v/>
      </c>
      <c r="AK691">
        <f>IF(OR(AK$4="",$A691&gt;TODAY()),0,IF(OR(INDEX($B691:$D691,AK$5)="F",AND(AK$6&gt;0,$A691&lt;AK$6),AND(AK$7&gt;0,$A691&gt;AK$7)),0,MAX(0,ROUND((INDEX($E691:$G691,AK$5)-SUMIFS(TF_Timer,TF_Tekniker,AK$4,TF_Dato,$A691))*2,0)/2)))</f>
        <v/>
      </c>
      <c r="AL691">
        <f>IF(OR(AL$4="",$A691&gt;TODAY()),0,IF(OR(INDEX($B691:$D691,AL$5)="F",AND(AL$6&gt;0,$A691&lt;AL$6),AND(AL$7&gt;0,$A691&gt;AL$7)),0,MAX(0,ROUND((INDEX($E691:$G691,AL$5)-SUMIFS(TF_Timer,TF_Tekniker,AL$4,TF_Dato,$A691))*2,0)/2)))</f>
        <v/>
      </c>
      <c r="AM691">
        <f>IF(OR(AM$4="",$A691&gt;TODAY()),0,IF(OR(INDEX($B691:$D691,AM$5)="F",AND(AM$6&gt;0,$A691&lt;AM$6),AND(AM$7&gt;0,$A691&gt;AM$7)),0,MAX(0,ROUND((INDEX($E691:$G691,AM$5)-SUMIFS(TF_Timer,TF_Tekniker,AM$4,TF_Dato,$A691))*2,0)/2)))</f>
        <v/>
      </c>
      <c r="AN691">
        <f>IF(OR(AN$4="",$A691&gt;TODAY()),0,IF(OR(INDEX($B691:$D691,AN$5)="F",AND(AN$6&gt;0,$A691&lt;AN$6),AND(AN$7&gt;0,$A691&gt;AN$7)),0,MAX(0,ROUND((INDEX($E691:$G691,AN$5)-SUMIFS(TF_Timer,TF_Tekniker,AN$4,TF_Dato,$A691))*2,0)/2)))</f>
        <v/>
      </c>
      <c r="AO691">
        <f>IF(OR(AO$4="",$A691&gt;TODAY()),0,IF(OR(INDEX($B691:$D691,AO$5)="F",AND(AO$6&gt;0,$A691&lt;AO$6),AND(AO$7&gt;0,$A691&gt;AO$7)),0,MAX(0,ROUND((INDEX($E691:$G691,AO$5)-SUMIFS(TF_Timer,TF_Tekniker,AO$4,TF_Dato,$A691))*2,0)/2)))</f>
        <v/>
      </c>
      <c r="AP691">
        <f>IF(OR(AP$4="",$A691&gt;TODAY()),0,IF(OR(INDEX($B691:$D691,AP$5)="F",AND(AP$6&gt;0,$A691&lt;AP$6),AND(AP$7&gt;0,$A691&gt;AP$7)),0,MAX(0,ROUND((INDEX($E691:$G691,AP$5)-SUMIFS(TF_Timer,TF_Tekniker,AP$4,TF_Dato,$A691))*2,0)/2)))</f>
        <v/>
      </c>
      <c r="AQ691">
        <f>IF(OR(AQ$4="",$A691&gt;TODAY()),0,IF(OR(INDEX($B691:$D691,AQ$5)="F",AND(AQ$6&gt;0,$A691&lt;AQ$6),AND(AQ$7&gt;0,$A691&gt;AQ$7)),0,MAX(0,ROUND((INDEX($E691:$G691,AQ$5)-SUMIFS(TF_Timer,TF_Tekniker,AQ$4,TF_Dato,$A691))*2,0)/2)))</f>
        <v/>
      </c>
      <c r="AR691">
        <f>IF(OR(AR$4="",$A691&gt;TODAY()),0,IF(OR(INDEX($B691:$D691,AR$5)="F",AND(AR$6&gt;0,$A691&lt;AR$6),AND(AR$7&gt;0,$A691&gt;AR$7)),0,MAX(0,ROUND((INDEX($E691:$G691,AR$5)-SUMIFS(TF_Timer,TF_Tekniker,AR$4,TF_Dato,$A691))*2,0)/2)))</f>
        <v/>
      </c>
      <c r="AS691">
        <f>IF(OR(AS$4="",$A691&gt;TODAY()),0,IF(OR(INDEX($B691:$D691,AS$5)="F",AND(AS$6&gt;0,$A691&lt;AS$6),AND(AS$7&gt;0,$A691&gt;AS$7)),0,MAX(0,ROUND((INDEX($E691:$G691,AS$5)-SUMIFS(TF_Timer,TF_Tekniker,AS$4,TF_Dato,$A691))*2,0)/2)))</f>
        <v/>
      </c>
      <c r="AT691">
        <f>IF(OR(AT$4="",$A691&gt;TODAY()),0,IF(OR(INDEX($B691:$D691,AT$5)="F",AND(AT$6&gt;0,$A691&lt;AT$6),AND(AT$7&gt;0,$A691&gt;AT$7)),0,MAX(0,ROUND((INDEX($E691:$G691,AT$5)-SUMIFS(TF_Timer,TF_Tekniker,AT$4,TF_Dato,$A691))*2,0)/2)))</f>
        <v/>
      </c>
      <c r="AU691">
        <f>IF(OR(AU$4="",$A691&gt;TODAY()),0,IF(OR(INDEX($B691:$D691,AU$5)="F",AND(AU$6&gt;0,$A691&lt;AU$6),AND(AU$7&gt;0,$A691&gt;AU$7)),0,MAX(0,ROUND((INDEX($E691:$G691,AU$5)-SUMIFS(TF_Timer,TF_Tekniker,AU$4,TF_Dato,$A691))*2,0)/2)))</f>
        <v/>
      </c>
      <c r="AV691">
        <f>IF(OR(AV$4="",$A691&gt;TODAY()),0,IF(OR(INDEX($B691:$D691,AV$5)="F",AND(AV$6&gt;0,$A691&lt;AV$6),AND(AV$7&gt;0,$A691&gt;AV$7)),0,MAX(0,ROUND((INDEX($E691:$G691,AV$5)-SUMIFS(TF_Timer,TF_Tekniker,AV$4,TF_Dato,$A691))*2,0)/2)))</f>
        <v/>
      </c>
      <c r="AW691">
        <f>IF(OR(AW$4="",$A691&gt;TODAY()),0,IF(OR(INDEX($B691:$D691,AW$5)="F",AND(AW$6&gt;0,$A691&lt;AW$6),AND(AW$7&gt;0,$A691&gt;AW$7)),0,MAX(0,ROUND((INDEX($E691:$G691,AW$5)-SUMIFS(TF_Timer,TF_Tekniker,AW$4,TF_Dato,$A691))*2,0)/2)))</f>
        <v/>
      </c>
      <c r="AX691">
        <f>IF(OR(AX$4="",$A691&gt;TODAY()),0,IF(OR(INDEX($B691:$D691,AX$5)="F",AND(AX$6&gt;0,$A691&lt;AX$6),AND(AX$7&gt;0,$A691&gt;AX$7)),0,MAX(0,ROUND((INDEX($E691:$G691,AX$5)-SUMIFS(TF_Timer,TF_Tekniker,AX$4,TF_Dato,$A691))*2,0)/2)))</f>
        <v/>
      </c>
      <c r="AY691">
        <f>IF(OR(AY$4="",$A691&gt;TODAY()),0,IF(OR(INDEX($B691:$D691,AY$5)="F",AND(AY$6&gt;0,$A691&lt;AY$6),AND(AY$7&gt;0,$A691&gt;AY$7)),0,MAX(0,ROUND((INDEX($E691:$G691,AY$5)-SUMIFS(TF_Timer,TF_Tekniker,AY$4,TF_Dato,$A691))*2,0)/2)))</f>
        <v/>
      </c>
      <c r="AZ691">
        <f>IF(OR(AZ$4="",$A691&gt;TODAY()),0,IF(OR(INDEX($B691:$D691,AZ$5)="F",AND(AZ$6&gt;0,$A691&lt;AZ$6),AND(AZ$7&gt;0,$A691&gt;AZ$7)),0,MAX(0,ROUND((INDEX($E691:$G691,AZ$5)-SUMIFS(TF_Timer,TF_Tekniker,AZ$4,TF_Dato,$A691))*2,0)/2)))</f>
        <v/>
      </c>
      <c r="BA691">
        <f>IF(OR(BA$4="",$A691&gt;TODAY()),0,IF(OR(INDEX($B691:$D691,BA$5)="F",AND(BA$6&gt;0,$A691&lt;BA$6),AND(BA$7&gt;0,$A691&gt;BA$7)),0,MAX(0,ROUND((INDEX($E691:$G691,BA$5)-SUMIFS(TF_Timer,TF_Tekniker,BA$4,TF_Dato,$A691))*2,0)/2)))</f>
        <v/>
      </c>
      <c r="BB691">
        <f>IF(OR(BB$4="",$A691&gt;TODAY()),0,IF(OR(INDEX($B691:$D691,BB$5)="F",AND(BB$6&gt;0,$A691&lt;BB$6),AND(BB$7&gt;0,$A691&gt;BB$7)),0,MAX(0,ROUND((INDEX($E691:$G691,BB$5)-SUMIFS(TF_Timer,TF_Tekniker,BB$4,TF_Dato,$A691))*2,0)/2)))</f>
        <v/>
      </c>
      <c r="BC691">
        <f>IF(OR(BC$4="",$A691&gt;TODAY()),0,IF(OR(INDEX($B691:$D691,BC$5)="F",AND(BC$6&gt;0,$A691&lt;BC$6),AND(BC$7&gt;0,$A691&gt;BC$7)),0,MAX(0,ROUND((INDEX($E691:$G691,BC$5)-SUMIFS(TF_Timer,TF_Tekniker,BC$4,TF_Dato,$A691))*2,0)/2)))</f>
        <v/>
      </c>
      <c r="BD691">
        <f>IF(OR(BD$4="",$A691&gt;TODAY()),0,IF(OR(INDEX($B691:$D691,BD$5)="F",AND(BD$6&gt;0,$A691&lt;BD$6),AND(BD$7&gt;0,$A691&gt;BD$7)),0,MAX(0,ROUND((INDEX($E691:$G691,BD$5)-SUMIFS(TF_Timer,TF_Tekniker,BD$4,TF_Dato,$A691))*2,0)/2)))</f>
        <v/>
      </c>
      <c r="BE691">
        <f>IF(OR(BE$4="",$A691&gt;TODAY()),0,IF(OR(INDEX($B691:$D691,BE$5)="F",AND(BE$6&gt;0,$A691&lt;BE$6),AND(BE$7&gt;0,$A691&gt;BE$7)),0,MAX(0,ROUND((INDEX($E691:$G691,BE$5)-SUMIFS(TF_Timer,TF_Tekniker,BE$4,TF_Dato,$A691))*2,0)/2)))</f>
        <v/>
      </c>
      <c r="BF691">
        <f>IF(OR(BF$4="",$A691&gt;TODAY()),0,IF(OR(INDEX($B691:$D691,BF$5)="F",AND(BF$6&gt;0,$A691&lt;BF$6),AND(BF$7&gt;0,$A691&gt;BF$7)),0,MAX(0,ROUND((INDEX($E691:$G691,BF$5)-SUMIFS(TF_Timer,TF_Tekniker,BF$4,TF_Dato,$A691))*2,0)/2)))</f>
        <v/>
      </c>
      <c r="BG691">
        <f>IF(OR(BG$4="",$A691&gt;TODAY()),0,IF(OR(INDEX($B691:$D691,BG$5)="F",AND(BG$6&gt;0,$A691&lt;BG$6),AND(BG$7&gt;0,$A691&gt;BG$7)),0,MAX(0,ROUND((INDEX($E691:$G691,BG$5)-SUMIFS(TF_Timer,TF_Tekniker,BG$4,TF_Dato,$A691))*2,0)/2)))</f>
        <v/>
      </c>
      <c r="BH691">
        <f>IF(OR(BH$4="",$A691&gt;TODAY()),0,IF(OR(INDEX($B691:$D691,BH$5)="F",AND(BH$6&gt;0,$A691&lt;BH$6),AND(BH$7&gt;0,$A691&gt;BH$7)),0,MAX(0,ROUND((INDEX($E691:$G691,BH$5)-SUMIFS(TF_Timer,TF_Tekniker,BH$4,TF_Dato,$A691))*2,0)/2)))</f>
        <v/>
      </c>
      <c r="BI691">
        <f>IF(OR(BI$4="",$A691&gt;TODAY()),0,IF(OR(INDEX($B691:$D691,BI$5)="F",AND(BI$6&gt;0,$A691&lt;BI$6),AND(BI$7&gt;0,$A691&gt;BI$7)),0,MAX(0,ROUND((INDEX($E691:$G691,BI$5)-SUMIFS(TF_Timer,TF_Tekniker,BI$4,TF_Dato,$A691))*2,0)/2)))</f>
        <v/>
      </c>
    </row>
    <row r="692">
      <c r="A692" s="64">
        <f>A691+1</f>
        <v/>
      </c>
      <c r="B692">
        <f>IF(MOD($A692-INDEX(SkiftStart,1),Syklus)&lt;DagK,"K",IF(MOD($A692-INDEX(SkiftStart,1),Syklus)&lt;DagK+DagH,"H",IF(MOD($A692-INDEX(SkiftStart,1),Syklus)&lt;DagK+DagH+DagD,"D","F")))</f>
        <v/>
      </c>
      <c r="C692">
        <f>IF(MOD($A692-INDEX(SkiftStart,2),Syklus)&lt;DagK,"K",IF(MOD($A692-INDEX(SkiftStart,2),Syklus)&lt;DagK+DagH,"H",IF(MOD($A692-INDEX(SkiftStart,2),Syklus)&lt;DagK+DagH+DagD,"D","F")))</f>
        <v/>
      </c>
      <c r="D692">
        <f>IF(MOD($A692-INDEX(SkiftStart,3),Syklus)&lt;DagK,"K",IF(MOD($A692-INDEX(SkiftStart,3),Syklus)&lt;DagK+DagH,"H",IF(MOD($A692-INDEX(SkiftStart,3),Syklus)&lt;DagK+DagH+DagD,"D","F")))</f>
        <v/>
      </c>
      <c r="E692">
        <f>IF(B692="F",0,IF(WEEKDAY($A692,2)=5,INDEX(TimerFr,MATCH(B692,FaseKode,0)),INDEX(TimerMT,MATCH(B692,FaseKode,0))))</f>
        <v/>
      </c>
      <c r="F692">
        <f>IF(C692="F",0,IF(WEEKDAY($A692,2)=5,INDEX(TimerFr,MATCH(C692,FaseKode,0)),INDEX(TimerMT,MATCH(C692,FaseKode,0))))</f>
        <v/>
      </c>
      <c r="G692">
        <f>IF(D692="F",0,IF(WEEKDAY($A692,2)=5,INDEX(TimerFr,MATCH(D692,FaseKode,0)),INDEX(TimerMT,MATCH(D692,FaseKode,0))))</f>
        <v/>
      </c>
      <c r="H692">
        <f>IF(OR(H$4="",$A692&gt;TODAY()),0,IF(OR(INDEX($B692:$D692,H$5)="F",AND(H$6&gt;0,$A692&lt;H$6),AND(H$7&gt;0,$A692&gt;H$7)),0,MAX(0,ROUND((INDEX($E692:$G692,H$5)-SUMIFS(TF_Timer,TF_Tekniker,H$4,TF_Dato,$A692))*2,0)/2)))</f>
        <v/>
      </c>
      <c r="I692">
        <f>IF(OR(I$4="",$A692&gt;TODAY()),0,IF(OR(INDEX($B692:$D692,I$5)="F",AND(I$6&gt;0,$A692&lt;I$6),AND(I$7&gt;0,$A692&gt;I$7)),0,MAX(0,ROUND((INDEX($E692:$G692,I$5)-SUMIFS(TF_Timer,TF_Tekniker,I$4,TF_Dato,$A692))*2,0)/2)))</f>
        <v/>
      </c>
      <c r="J692">
        <f>IF(OR(J$4="",$A692&gt;TODAY()),0,IF(OR(INDEX($B692:$D692,J$5)="F",AND(J$6&gt;0,$A692&lt;J$6),AND(J$7&gt;0,$A692&gt;J$7)),0,MAX(0,ROUND((INDEX($E692:$G692,J$5)-SUMIFS(TF_Timer,TF_Tekniker,J$4,TF_Dato,$A692))*2,0)/2)))</f>
        <v/>
      </c>
      <c r="K692">
        <f>IF(OR(K$4="",$A692&gt;TODAY()),0,IF(OR(INDEX($B692:$D692,K$5)="F",AND(K$6&gt;0,$A692&lt;K$6),AND(K$7&gt;0,$A692&gt;K$7)),0,MAX(0,ROUND((INDEX($E692:$G692,K$5)-SUMIFS(TF_Timer,TF_Tekniker,K$4,TF_Dato,$A692))*2,0)/2)))</f>
        <v/>
      </c>
      <c r="L692">
        <f>IF(OR(L$4="",$A692&gt;TODAY()),0,IF(OR(INDEX($B692:$D692,L$5)="F",AND(L$6&gt;0,$A692&lt;L$6),AND(L$7&gt;0,$A692&gt;L$7)),0,MAX(0,ROUND((INDEX($E692:$G692,L$5)-SUMIFS(TF_Timer,TF_Tekniker,L$4,TF_Dato,$A692))*2,0)/2)))</f>
        <v/>
      </c>
      <c r="M692">
        <f>IF(OR(M$4="",$A692&gt;TODAY()),0,IF(OR(INDEX($B692:$D692,M$5)="F",AND(M$6&gt;0,$A692&lt;M$6),AND(M$7&gt;0,$A692&gt;M$7)),0,MAX(0,ROUND((INDEX($E692:$G692,M$5)-SUMIFS(TF_Timer,TF_Tekniker,M$4,TF_Dato,$A692))*2,0)/2)))</f>
        <v/>
      </c>
      <c r="N692">
        <f>IF(OR(N$4="",$A692&gt;TODAY()),0,IF(OR(INDEX($B692:$D692,N$5)="F",AND(N$6&gt;0,$A692&lt;N$6),AND(N$7&gt;0,$A692&gt;N$7)),0,MAX(0,ROUND((INDEX($E692:$G692,N$5)-SUMIFS(TF_Timer,TF_Tekniker,N$4,TF_Dato,$A692))*2,0)/2)))</f>
        <v/>
      </c>
      <c r="O692">
        <f>IF(OR(O$4="",$A692&gt;TODAY()),0,IF(OR(INDEX($B692:$D692,O$5)="F",AND(O$6&gt;0,$A692&lt;O$6),AND(O$7&gt;0,$A692&gt;O$7)),0,MAX(0,ROUND((INDEX($E692:$G692,O$5)-SUMIFS(TF_Timer,TF_Tekniker,O$4,TF_Dato,$A692))*2,0)/2)))</f>
        <v/>
      </c>
      <c r="P692">
        <f>IF(OR(P$4="",$A692&gt;TODAY()),0,IF(OR(INDEX($B692:$D692,P$5)="F",AND(P$6&gt;0,$A692&lt;P$6),AND(P$7&gt;0,$A692&gt;P$7)),0,MAX(0,ROUND((INDEX($E692:$G692,P$5)-SUMIFS(TF_Timer,TF_Tekniker,P$4,TF_Dato,$A692))*2,0)/2)))</f>
        <v/>
      </c>
      <c r="Q692">
        <f>IF(OR(Q$4="",$A692&gt;TODAY()),0,IF(OR(INDEX($B692:$D692,Q$5)="F",AND(Q$6&gt;0,$A692&lt;Q$6),AND(Q$7&gt;0,$A692&gt;Q$7)),0,MAX(0,ROUND((INDEX($E692:$G692,Q$5)-SUMIFS(TF_Timer,TF_Tekniker,Q$4,TF_Dato,$A692))*2,0)/2)))</f>
        <v/>
      </c>
      <c r="R692">
        <f>IF(OR(R$4="",$A692&gt;TODAY()),0,IF(OR(INDEX($B692:$D692,R$5)="F",AND(R$6&gt;0,$A692&lt;R$6),AND(R$7&gt;0,$A692&gt;R$7)),0,MAX(0,ROUND((INDEX($E692:$G692,R$5)-SUMIFS(TF_Timer,TF_Tekniker,R$4,TF_Dato,$A692))*2,0)/2)))</f>
        <v/>
      </c>
      <c r="S692">
        <f>IF(OR(S$4="",$A692&gt;TODAY()),0,IF(OR(INDEX($B692:$D692,S$5)="F",AND(S$6&gt;0,$A692&lt;S$6),AND(S$7&gt;0,$A692&gt;S$7)),0,MAX(0,ROUND((INDEX($E692:$G692,S$5)-SUMIFS(TF_Timer,TF_Tekniker,S$4,TF_Dato,$A692))*2,0)/2)))</f>
        <v/>
      </c>
      <c r="T692">
        <f>IF(OR(T$4="",$A692&gt;TODAY()),0,IF(OR(INDEX($B692:$D692,T$5)="F",AND(T$6&gt;0,$A692&lt;T$6),AND(T$7&gt;0,$A692&gt;T$7)),0,MAX(0,ROUND((INDEX($E692:$G692,T$5)-SUMIFS(TF_Timer,TF_Tekniker,T$4,TF_Dato,$A692))*2,0)/2)))</f>
        <v/>
      </c>
      <c r="U692">
        <f>IF(OR(U$4="",$A692&gt;TODAY()),0,IF(OR(INDEX($B692:$D692,U$5)="F",AND(U$6&gt;0,$A692&lt;U$6),AND(U$7&gt;0,$A692&gt;U$7)),0,MAX(0,ROUND((INDEX($E692:$G692,U$5)-SUMIFS(TF_Timer,TF_Tekniker,U$4,TF_Dato,$A692))*2,0)/2)))</f>
        <v/>
      </c>
      <c r="V692">
        <f>IF(OR(V$4="",$A692&gt;TODAY()),0,IF(OR(INDEX($B692:$D692,V$5)="F",AND(V$6&gt;0,$A692&lt;V$6),AND(V$7&gt;0,$A692&gt;V$7)),0,MAX(0,ROUND((INDEX($E692:$G692,V$5)-SUMIFS(TF_Timer,TF_Tekniker,V$4,TF_Dato,$A692))*2,0)/2)))</f>
        <v/>
      </c>
      <c r="W692">
        <f>IF(OR(W$4="",$A692&gt;TODAY()),0,IF(OR(INDEX($B692:$D692,W$5)="F",AND(W$6&gt;0,$A692&lt;W$6),AND(W$7&gt;0,$A692&gt;W$7)),0,MAX(0,ROUND((INDEX($E692:$G692,W$5)-SUMIFS(TF_Timer,TF_Tekniker,W$4,TF_Dato,$A692))*2,0)/2)))</f>
        <v/>
      </c>
      <c r="X692">
        <f>IF(OR(X$4="",$A692&gt;TODAY()),0,IF(OR(INDEX($B692:$D692,X$5)="F",AND(X$6&gt;0,$A692&lt;X$6),AND(X$7&gt;0,$A692&gt;X$7)),0,MAX(0,ROUND((INDEX($E692:$G692,X$5)-SUMIFS(TF_Timer,TF_Tekniker,X$4,TF_Dato,$A692))*2,0)/2)))</f>
        <v/>
      </c>
      <c r="Y692">
        <f>IF(OR(Y$4="",$A692&gt;TODAY()),0,IF(OR(INDEX($B692:$D692,Y$5)="F",AND(Y$6&gt;0,$A692&lt;Y$6),AND(Y$7&gt;0,$A692&gt;Y$7)),0,MAX(0,ROUND((INDEX($E692:$G692,Y$5)-SUMIFS(TF_Timer,TF_Tekniker,Y$4,TF_Dato,$A692))*2,0)/2)))</f>
        <v/>
      </c>
      <c r="Z692">
        <f>IF(OR(Z$4="",$A692&gt;TODAY()),0,IF(OR(INDEX($B692:$D692,Z$5)="F",AND(Z$6&gt;0,$A692&lt;Z$6),AND(Z$7&gt;0,$A692&gt;Z$7)),0,MAX(0,ROUND((INDEX($E692:$G692,Z$5)-SUMIFS(TF_Timer,TF_Tekniker,Z$4,TF_Dato,$A692))*2,0)/2)))</f>
        <v/>
      </c>
      <c r="AA692">
        <f>IF(OR(AA$4="",$A692&gt;TODAY()),0,IF(OR(INDEX($B692:$D692,AA$5)="F",AND(AA$6&gt;0,$A692&lt;AA$6),AND(AA$7&gt;0,$A692&gt;AA$7)),0,MAX(0,ROUND((INDEX($E692:$G692,AA$5)-SUMIFS(TF_Timer,TF_Tekniker,AA$4,TF_Dato,$A692))*2,0)/2)))</f>
        <v/>
      </c>
      <c r="AB692">
        <f>IF(OR(AB$4="",$A692&gt;TODAY()),0,IF(OR(INDEX($B692:$D692,AB$5)="F",AND(AB$6&gt;0,$A692&lt;AB$6),AND(AB$7&gt;0,$A692&gt;AB$7)),0,MAX(0,ROUND((INDEX($E692:$G692,AB$5)-SUMIFS(TF_Timer,TF_Tekniker,AB$4,TF_Dato,$A692))*2,0)/2)))</f>
        <v/>
      </c>
      <c r="AC692">
        <f>IF(OR(AC$4="",$A692&gt;TODAY()),0,IF(OR(INDEX($B692:$D692,AC$5)="F",AND(AC$6&gt;0,$A692&lt;AC$6),AND(AC$7&gt;0,$A692&gt;AC$7)),0,MAX(0,ROUND((INDEX($E692:$G692,AC$5)-SUMIFS(TF_Timer,TF_Tekniker,AC$4,TF_Dato,$A692))*2,0)/2)))</f>
        <v/>
      </c>
      <c r="AD692">
        <f>IF(OR(AD$4="",$A692&gt;TODAY()),0,IF(OR(INDEX($B692:$D692,AD$5)="F",AND(AD$6&gt;0,$A692&lt;AD$6),AND(AD$7&gt;0,$A692&gt;AD$7)),0,MAX(0,ROUND((INDEX($E692:$G692,AD$5)-SUMIFS(TF_Timer,TF_Tekniker,AD$4,TF_Dato,$A692))*2,0)/2)))</f>
        <v/>
      </c>
      <c r="AE692">
        <f>IF(OR(AE$4="",$A692&gt;TODAY()),0,IF(OR(INDEX($B692:$D692,AE$5)="F",AND(AE$6&gt;0,$A692&lt;AE$6),AND(AE$7&gt;0,$A692&gt;AE$7)),0,MAX(0,ROUND((INDEX($E692:$G692,AE$5)-SUMIFS(TF_Timer,TF_Tekniker,AE$4,TF_Dato,$A692))*2,0)/2)))</f>
        <v/>
      </c>
      <c r="AF692">
        <f>IF(OR(AF$4="",$A692&gt;TODAY()),0,IF(OR(INDEX($B692:$D692,AF$5)="F",AND(AF$6&gt;0,$A692&lt;AF$6),AND(AF$7&gt;0,$A692&gt;AF$7)),0,MAX(0,ROUND((INDEX($E692:$G692,AF$5)-SUMIFS(TF_Timer,TF_Tekniker,AF$4,TF_Dato,$A692))*2,0)/2)))</f>
        <v/>
      </c>
      <c r="AG692">
        <f>IF(OR(AG$4="",$A692&gt;TODAY()),0,IF(OR(INDEX($B692:$D692,AG$5)="F",AND(AG$6&gt;0,$A692&lt;AG$6),AND(AG$7&gt;0,$A692&gt;AG$7)),0,MAX(0,ROUND((INDEX($E692:$G692,AG$5)-SUMIFS(TF_Timer,TF_Tekniker,AG$4,TF_Dato,$A692))*2,0)/2)))</f>
        <v/>
      </c>
      <c r="AH692">
        <f>IF(OR(AH$4="",$A692&gt;TODAY()),0,IF(OR(INDEX($B692:$D692,AH$5)="F",AND(AH$6&gt;0,$A692&lt;AH$6),AND(AH$7&gt;0,$A692&gt;AH$7)),0,MAX(0,ROUND((INDEX($E692:$G692,AH$5)-SUMIFS(TF_Timer,TF_Tekniker,AH$4,TF_Dato,$A692))*2,0)/2)))</f>
        <v/>
      </c>
      <c r="AI692">
        <f>IF(OR(AI$4="",$A692&gt;TODAY()),0,IF(OR(INDEX($B692:$D692,AI$5)="F",AND(AI$6&gt;0,$A692&lt;AI$6),AND(AI$7&gt;0,$A692&gt;AI$7)),0,MAX(0,ROUND((INDEX($E692:$G692,AI$5)-SUMIFS(TF_Timer,TF_Tekniker,AI$4,TF_Dato,$A692))*2,0)/2)))</f>
        <v/>
      </c>
      <c r="AJ692">
        <f>IF(OR(AJ$4="",$A692&gt;TODAY()),0,IF(OR(INDEX($B692:$D692,AJ$5)="F",AND(AJ$6&gt;0,$A692&lt;AJ$6),AND(AJ$7&gt;0,$A692&gt;AJ$7)),0,MAX(0,ROUND((INDEX($E692:$G692,AJ$5)-SUMIFS(TF_Timer,TF_Tekniker,AJ$4,TF_Dato,$A692))*2,0)/2)))</f>
        <v/>
      </c>
      <c r="AK692">
        <f>IF(OR(AK$4="",$A692&gt;TODAY()),0,IF(OR(INDEX($B692:$D692,AK$5)="F",AND(AK$6&gt;0,$A692&lt;AK$6),AND(AK$7&gt;0,$A692&gt;AK$7)),0,MAX(0,ROUND((INDEX($E692:$G692,AK$5)-SUMIFS(TF_Timer,TF_Tekniker,AK$4,TF_Dato,$A692))*2,0)/2)))</f>
        <v/>
      </c>
      <c r="AL692">
        <f>IF(OR(AL$4="",$A692&gt;TODAY()),0,IF(OR(INDEX($B692:$D692,AL$5)="F",AND(AL$6&gt;0,$A692&lt;AL$6),AND(AL$7&gt;0,$A692&gt;AL$7)),0,MAX(0,ROUND((INDEX($E692:$G692,AL$5)-SUMIFS(TF_Timer,TF_Tekniker,AL$4,TF_Dato,$A692))*2,0)/2)))</f>
        <v/>
      </c>
      <c r="AM692">
        <f>IF(OR(AM$4="",$A692&gt;TODAY()),0,IF(OR(INDEX($B692:$D692,AM$5)="F",AND(AM$6&gt;0,$A692&lt;AM$6),AND(AM$7&gt;0,$A692&gt;AM$7)),0,MAX(0,ROUND((INDEX($E692:$G692,AM$5)-SUMIFS(TF_Timer,TF_Tekniker,AM$4,TF_Dato,$A692))*2,0)/2)))</f>
        <v/>
      </c>
      <c r="AN692">
        <f>IF(OR(AN$4="",$A692&gt;TODAY()),0,IF(OR(INDEX($B692:$D692,AN$5)="F",AND(AN$6&gt;0,$A692&lt;AN$6),AND(AN$7&gt;0,$A692&gt;AN$7)),0,MAX(0,ROUND((INDEX($E692:$G692,AN$5)-SUMIFS(TF_Timer,TF_Tekniker,AN$4,TF_Dato,$A692))*2,0)/2)))</f>
        <v/>
      </c>
      <c r="AO692">
        <f>IF(OR(AO$4="",$A692&gt;TODAY()),0,IF(OR(INDEX($B692:$D692,AO$5)="F",AND(AO$6&gt;0,$A692&lt;AO$6),AND(AO$7&gt;0,$A692&gt;AO$7)),0,MAX(0,ROUND((INDEX($E692:$G692,AO$5)-SUMIFS(TF_Timer,TF_Tekniker,AO$4,TF_Dato,$A692))*2,0)/2)))</f>
        <v/>
      </c>
      <c r="AP692">
        <f>IF(OR(AP$4="",$A692&gt;TODAY()),0,IF(OR(INDEX($B692:$D692,AP$5)="F",AND(AP$6&gt;0,$A692&lt;AP$6),AND(AP$7&gt;0,$A692&gt;AP$7)),0,MAX(0,ROUND((INDEX($E692:$G692,AP$5)-SUMIFS(TF_Timer,TF_Tekniker,AP$4,TF_Dato,$A692))*2,0)/2)))</f>
        <v/>
      </c>
      <c r="AQ692">
        <f>IF(OR(AQ$4="",$A692&gt;TODAY()),0,IF(OR(INDEX($B692:$D692,AQ$5)="F",AND(AQ$6&gt;0,$A692&lt;AQ$6),AND(AQ$7&gt;0,$A692&gt;AQ$7)),0,MAX(0,ROUND((INDEX($E692:$G692,AQ$5)-SUMIFS(TF_Timer,TF_Tekniker,AQ$4,TF_Dato,$A692))*2,0)/2)))</f>
        <v/>
      </c>
      <c r="AR692">
        <f>IF(OR(AR$4="",$A692&gt;TODAY()),0,IF(OR(INDEX($B692:$D692,AR$5)="F",AND(AR$6&gt;0,$A692&lt;AR$6),AND(AR$7&gt;0,$A692&gt;AR$7)),0,MAX(0,ROUND((INDEX($E692:$G692,AR$5)-SUMIFS(TF_Timer,TF_Tekniker,AR$4,TF_Dato,$A692))*2,0)/2)))</f>
        <v/>
      </c>
      <c r="AS692">
        <f>IF(OR(AS$4="",$A692&gt;TODAY()),0,IF(OR(INDEX($B692:$D692,AS$5)="F",AND(AS$6&gt;0,$A692&lt;AS$6),AND(AS$7&gt;0,$A692&gt;AS$7)),0,MAX(0,ROUND((INDEX($E692:$G692,AS$5)-SUMIFS(TF_Timer,TF_Tekniker,AS$4,TF_Dato,$A692))*2,0)/2)))</f>
        <v/>
      </c>
      <c r="AT692">
        <f>IF(OR(AT$4="",$A692&gt;TODAY()),0,IF(OR(INDEX($B692:$D692,AT$5)="F",AND(AT$6&gt;0,$A692&lt;AT$6),AND(AT$7&gt;0,$A692&gt;AT$7)),0,MAX(0,ROUND((INDEX($E692:$G692,AT$5)-SUMIFS(TF_Timer,TF_Tekniker,AT$4,TF_Dato,$A692))*2,0)/2)))</f>
        <v/>
      </c>
      <c r="AU692">
        <f>IF(OR(AU$4="",$A692&gt;TODAY()),0,IF(OR(INDEX($B692:$D692,AU$5)="F",AND(AU$6&gt;0,$A692&lt;AU$6),AND(AU$7&gt;0,$A692&gt;AU$7)),0,MAX(0,ROUND((INDEX($E692:$G692,AU$5)-SUMIFS(TF_Timer,TF_Tekniker,AU$4,TF_Dato,$A692))*2,0)/2)))</f>
        <v/>
      </c>
      <c r="AV692">
        <f>IF(OR(AV$4="",$A692&gt;TODAY()),0,IF(OR(INDEX($B692:$D692,AV$5)="F",AND(AV$6&gt;0,$A692&lt;AV$6),AND(AV$7&gt;0,$A692&gt;AV$7)),0,MAX(0,ROUND((INDEX($E692:$G692,AV$5)-SUMIFS(TF_Timer,TF_Tekniker,AV$4,TF_Dato,$A692))*2,0)/2)))</f>
        <v/>
      </c>
      <c r="AW692">
        <f>IF(OR(AW$4="",$A692&gt;TODAY()),0,IF(OR(INDEX($B692:$D692,AW$5)="F",AND(AW$6&gt;0,$A692&lt;AW$6),AND(AW$7&gt;0,$A692&gt;AW$7)),0,MAX(0,ROUND((INDEX($E692:$G692,AW$5)-SUMIFS(TF_Timer,TF_Tekniker,AW$4,TF_Dato,$A692))*2,0)/2)))</f>
        <v/>
      </c>
      <c r="AX692">
        <f>IF(OR(AX$4="",$A692&gt;TODAY()),0,IF(OR(INDEX($B692:$D692,AX$5)="F",AND(AX$6&gt;0,$A692&lt;AX$6),AND(AX$7&gt;0,$A692&gt;AX$7)),0,MAX(0,ROUND((INDEX($E692:$G692,AX$5)-SUMIFS(TF_Timer,TF_Tekniker,AX$4,TF_Dato,$A692))*2,0)/2)))</f>
        <v/>
      </c>
      <c r="AY692">
        <f>IF(OR(AY$4="",$A692&gt;TODAY()),0,IF(OR(INDEX($B692:$D692,AY$5)="F",AND(AY$6&gt;0,$A692&lt;AY$6),AND(AY$7&gt;0,$A692&gt;AY$7)),0,MAX(0,ROUND((INDEX($E692:$G692,AY$5)-SUMIFS(TF_Timer,TF_Tekniker,AY$4,TF_Dato,$A692))*2,0)/2)))</f>
        <v/>
      </c>
      <c r="AZ692">
        <f>IF(OR(AZ$4="",$A692&gt;TODAY()),0,IF(OR(INDEX($B692:$D692,AZ$5)="F",AND(AZ$6&gt;0,$A692&lt;AZ$6),AND(AZ$7&gt;0,$A692&gt;AZ$7)),0,MAX(0,ROUND((INDEX($E692:$G692,AZ$5)-SUMIFS(TF_Timer,TF_Tekniker,AZ$4,TF_Dato,$A692))*2,0)/2)))</f>
        <v/>
      </c>
      <c r="BA692">
        <f>IF(OR(BA$4="",$A692&gt;TODAY()),0,IF(OR(INDEX($B692:$D692,BA$5)="F",AND(BA$6&gt;0,$A692&lt;BA$6),AND(BA$7&gt;0,$A692&gt;BA$7)),0,MAX(0,ROUND((INDEX($E692:$G692,BA$5)-SUMIFS(TF_Timer,TF_Tekniker,BA$4,TF_Dato,$A692))*2,0)/2)))</f>
        <v/>
      </c>
      <c r="BB692">
        <f>IF(OR(BB$4="",$A692&gt;TODAY()),0,IF(OR(INDEX($B692:$D692,BB$5)="F",AND(BB$6&gt;0,$A692&lt;BB$6),AND(BB$7&gt;0,$A692&gt;BB$7)),0,MAX(0,ROUND((INDEX($E692:$G692,BB$5)-SUMIFS(TF_Timer,TF_Tekniker,BB$4,TF_Dato,$A692))*2,0)/2)))</f>
        <v/>
      </c>
      <c r="BC692">
        <f>IF(OR(BC$4="",$A692&gt;TODAY()),0,IF(OR(INDEX($B692:$D692,BC$5)="F",AND(BC$6&gt;0,$A692&lt;BC$6),AND(BC$7&gt;0,$A692&gt;BC$7)),0,MAX(0,ROUND((INDEX($E692:$G692,BC$5)-SUMIFS(TF_Timer,TF_Tekniker,BC$4,TF_Dato,$A692))*2,0)/2)))</f>
        <v/>
      </c>
      <c r="BD692">
        <f>IF(OR(BD$4="",$A692&gt;TODAY()),0,IF(OR(INDEX($B692:$D692,BD$5)="F",AND(BD$6&gt;0,$A692&lt;BD$6),AND(BD$7&gt;0,$A692&gt;BD$7)),0,MAX(0,ROUND((INDEX($E692:$G692,BD$5)-SUMIFS(TF_Timer,TF_Tekniker,BD$4,TF_Dato,$A692))*2,0)/2)))</f>
        <v/>
      </c>
      <c r="BE692">
        <f>IF(OR(BE$4="",$A692&gt;TODAY()),0,IF(OR(INDEX($B692:$D692,BE$5)="F",AND(BE$6&gt;0,$A692&lt;BE$6),AND(BE$7&gt;0,$A692&gt;BE$7)),0,MAX(0,ROUND((INDEX($E692:$G692,BE$5)-SUMIFS(TF_Timer,TF_Tekniker,BE$4,TF_Dato,$A692))*2,0)/2)))</f>
        <v/>
      </c>
      <c r="BF692">
        <f>IF(OR(BF$4="",$A692&gt;TODAY()),0,IF(OR(INDEX($B692:$D692,BF$5)="F",AND(BF$6&gt;0,$A692&lt;BF$6),AND(BF$7&gt;0,$A692&gt;BF$7)),0,MAX(0,ROUND((INDEX($E692:$G692,BF$5)-SUMIFS(TF_Timer,TF_Tekniker,BF$4,TF_Dato,$A692))*2,0)/2)))</f>
        <v/>
      </c>
      <c r="BG692">
        <f>IF(OR(BG$4="",$A692&gt;TODAY()),0,IF(OR(INDEX($B692:$D692,BG$5)="F",AND(BG$6&gt;0,$A692&lt;BG$6),AND(BG$7&gt;0,$A692&gt;BG$7)),0,MAX(0,ROUND((INDEX($E692:$G692,BG$5)-SUMIFS(TF_Timer,TF_Tekniker,BG$4,TF_Dato,$A692))*2,0)/2)))</f>
        <v/>
      </c>
      <c r="BH692">
        <f>IF(OR(BH$4="",$A692&gt;TODAY()),0,IF(OR(INDEX($B692:$D692,BH$5)="F",AND(BH$6&gt;0,$A692&lt;BH$6),AND(BH$7&gt;0,$A692&gt;BH$7)),0,MAX(0,ROUND((INDEX($E692:$G692,BH$5)-SUMIFS(TF_Timer,TF_Tekniker,BH$4,TF_Dato,$A692))*2,0)/2)))</f>
        <v/>
      </c>
      <c r="BI692">
        <f>IF(OR(BI$4="",$A692&gt;TODAY()),0,IF(OR(INDEX($B692:$D692,BI$5)="F",AND(BI$6&gt;0,$A692&lt;BI$6),AND(BI$7&gt;0,$A692&gt;BI$7)),0,MAX(0,ROUND((INDEX($E692:$G692,BI$5)-SUMIFS(TF_Timer,TF_Tekniker,BI$4,TF_Dato,$A692))*2,0)/2)))</f>
        <v/>
      </c>
    </row>
    <row r="693">
      <c r="A693" s="64">
        <f>A692+1</f>
        <v/>
      </c>
      <c r="B693">
        <f>IF(MOD($A693-INDEX(SkiftStart,1),Syklus)&lt;DagK,"K",IF(MOD($A693-INDEX(SkiftStart,1),Syklus)&lt;DagK+DagH,"H",IF(MOD($A693-INDEX(SkiftStart,1),Syklus)&lt;DagK+DagH+DagD,"D","F")))</f>
        <v/>
      </c>
      <c r="C693">
        <f>IF(MOD($A693-INDEX(SkiftStart,2),Syklus)&lt;DagK,"K",IF(MOD($A693-INDEX(SkiftStart,2),Syklus)&lt;DagK+DagH,"H",IF(MOD($A693-INDEX(SkiftStart,2),Syklus)&lt;DagK+DagH+DagD,"D","F")))</f>
        <v/>
      </c>
      <c r="D693">
        <f>IF(MOD($A693-INDEX(SkiftStart,3),Syklus)&lt;DagK,"K",IF(MOD($A693-INDEX(SkiftStart,3),Syklus)&lt;DagK+DagH,"H",IF(MOD($A693-INDEX(SkiftStart,3),Syklus)&lt;DagK+DagH+DagD,"D","F")))</f>
        <v/>
      </c>
      <c r="E693">
        <f>IF(B693="F",0,IF(WEEKDAY($A693,2)=5,INDEX(TimerFr,MATCH(B693,FaseKode,0)),INDEX(TimerMT,MATCH(B693,FaseKode,0))))</f>
        <v/>
      </c>
      <c r="F693">
        <f>IF(C693="F",0,IF(WEEKDAY($A693,2)=5,INDEX(TimerFr,MATCH(C693,FaseKode,0)),INDEX(TimerMT,MATCH(C693,FaseKode,0))))</f>
        <v/>
      </c>
      <c r="G693">
        <f>IF(D693="F",0,IF(WEEKDAY($A693,2)=5,INDEX(TimerFr,MATCH(D693,FaseKode,0)),INDEX(TimerMT,MATCH(D693,FaseKode,0))))</f>
        <v/>
      </c>
      <c r="H693">
        <f>IF(OR(H$4="",$A693&gt;TODAY()),0,IF(OR(INDEX($B693:$D693,H$5)="F",AND(H$6&gt;0,$A693&lt;H$6),AND(H$7&gt;0,$A693&gt;H$7)),0,MAX(0,ROUND((INDEX($E693:$G693,H$5)-SUMIFS(TF_Timer,TF_Tekniker,H$4,TF_Dato,$A693))*2,0)/2)))</f>
        <v/>
      </c>
      <c r="I693">
        <f>IF(OR(I$4="",$A693&gt;TODAY()),0,IF(OR(INDEX($B693:$D693,I$5)="F",AND(I$6&gt;0,$A693&lt;I$6),AND(I$7&gt;0,$A693&gt;I$7)),0,MAX(0,ROUND((INDEX($E693:$G693,I$5)-SUMIFS(TF_Timer,TF_Tekniker,I$4,TF_Dato,$A693))*2,0)/2)))</f>
        <v/>
      </c>
      <c r="J693">
        <f>IF(OR(J$4="",$A693&gt;TODAY()),0,IF(OR(INDEX($B693:$D693,J$5)="F",AND(J$6&gt;0,$A693&lt;J$6),AND(J$7&gt;0,$A693&gt;J$7)),0,MAX(0,ROUND((INDEX($E693:$G693,J$5)-SUMIFS(TF_Timer,TF_Tekniker,J$4,TF_Dato,$A693))*2,0)/2)))</f>
        <v/>
      </c>
      <c r="K693">
        <f>IF(OR(K$4="",$A693&gt;TODAY()),0,IF(OR(INDEX($B693:$D693,K$5)="F",AND(K$6&gt;0,$A693&lt;K$6),AND(K$7&gt;0,$A693&gt;K$7)),0,MAX(0,ROUND((INDEX($E693:$G693,K$5)-SUMIFS(TF_Timer,TF_Tekniker,K$4,TF_Dato,$A693))*2,0)/2)))</f>
        <v/>
      </c>
      <c r="L693">
        <f>IF(OR(L$4="",$A693&gt;TODAY()),0,IF(OR(INDEX($B693:$D693,L$5)="F",AND(L$6&gt;0,$A693&lt;L$6),AND(L$7&gt;0,$A693&gt;L$7)),0,MAX(0,ROUND((INDEX($E693:$G693,L$5)-SUMIFS(TF_Timer,TF_Tekniker,L$4,TF_Dato,$A693))*2,0)/2)))</f>
        <v/>
      </c>
      <c r="M693">
        <f>IF(OR(M$4="",$A693&gt;TODAY()),0,IF(OR(INDEX($B693:$D693,M$5)="F",AND(M$6&gt;0,$A693&lt;M$6),AND(M$7&gt;0,$A693&gt;M$7)),0,MAX(0,ROUND((INDEX($E693:$G693,M$5)-SUMIFS(TF_Timer,TF_Tekniker,M$4,TF_Dato,$A693))*2,0)/2)))</f>
        <v/>
      </c>
      <c r="N693">
        <f>IF(OR(N$4="",$A693&gt;TODAY()),0,IF(OR(INDEX($B693:$D693,N$5)="F",AND(N$6&gt;0,$A693&lt;N$6),AND(N$7&gt;0,$A693&gt;N$7)),0,MAX(0,ROUND((INDEX($E693:$G693,N$5)-SUMIFS(TF_Timer,TF_Tekniker,N$4,TF_Dato,$A693))*2,0)/2)))</f>
        <v/>
      </c>
      <c r="O693">
        <f>IF(OR(O$4="",$A693&gt;TODAY()),0,IF(OR(INDEX($B693:$D693,O$5)="F",AND(O$6&gt;0,$A693&lt;O$6),AND(O$7&gt;0,$A693&gt;O$7)),0,MAX(0,ROUND((INDEX($E693:$G693,O$5)-SUMIFS(TF_Timer,TF_Tekniker,O$4,TF_Dato,$A693))*2,0)/2)))</f>
        <v/>
      </c>
      <c r="P693">
        <f>IF(OR(P$4="",$A693&gt;TODAY()),0,IF(OR(INDEX($B693:$D693,P$5)="F",AND(P$6&gt;0,$A693&lt;P$6),AND(P$7&gt;0,$A693&gt;P$7)),0,MAX(0,ROUND((INDEX($E693:$G693,P$5)-SUMIFS(TF_Timer,TF_Tekniker,P$4,TF_Dato,$A693))*2,0)/2)))</f>
        <v/>
      </c>
      <c r="Q693">
        <f>IF(OR(Q$4="",$A693&gt;TODAY()),0,IF(OR(INDEX($B693:$D693,Q$5)="F",AND(Q$6&gt;0,$A693&lt;Q$6),AND(Q$7&gt;0,$A693&gt;Q$7)),0,MAX(0,ROUND((INDEX($E693:$G693,Q$5)-SUMIFS(TF_Timer,TF_Tekniker,Q$4,TF_Dato,$A693))*2,0)/2)))</f>
        <v/>
      </c>
      <c r="R693">
        <f>IF(OR(R$4="",$A693&gt;TODAY()),0,IF(OR(INDEX($B693:$D693,R$5)="F",AND(R$6&gt;0,$A693&lt;R$6),AND(R$7&gt;0,$A693&gt;R$7)),0,MAX(0,ROUND((INDEX($E693:$G693,R$5)-SUMIFS(TF_Timer,TF_Tekniker,R$4,TF_Dato,$A693))*2,0)/2)))</f>
        <v/>
      </c>
      <c r="S693">
        <f>IF(OR(S$4="",$A693&gt;TODAY()),0,IF(OR(INDEX($B693:$D693,S$5)="F",AND(S$6&gt;0,$A693&lt;S$6),AND(S$7&gt;0,$A693&gt;S$7)),0,MAX(0,ROUND((INDEX($E693:$G693,S$5)-SUMIFS(TF_Timer,TF_Tekniker,S$4,TF_Dato,$A693))*2,0)/2)))</f>
        <v/>
      </c>
      <c r="T693">
        <f>IF(OR(T$4="",$A693&gt;TODAY()),0,IF(OR(INDEX($B693:$D693,T$5)="F",AND(T$6&gt;0,$A693&lt;T$6),AND(T$7&gt;0,$A693&gt;T$7)),0,MAX(0,ROUND((INDEX($E693:$G693,T$5)-SUMIFS(TF_Timer,TF_Tekniker,T$4,TF_Dato,$A693))*2,0)/2)))</f>
        <v/>
      </c>
      <c r="U693">
        <f>IF(OR(U$4="",$A693&gt;TODAY()),0,IF(OR(INDEX($B693:$D693,U$5)="F",AND(U$6&gt;0,$A693&lt;U$6),AND(U$7&gt;0,$A693&gt;U$7)),0,MAX(0,ROUND((INDEX($E693:$G693,U$5)-SUMIFS(TF_Timer,TF_Tekniker,U$4,TF_Dato,$A693))*2,0)/2)))</f>
        <v/>
      </c>
      <c r="V693">
        <f>IF(OR(V$4="",$A693&gt;TODAY()),0,IF(OR(INDEX($B693:$D693,V$5)="F",AND(V$6&gt;0,$A693&lt;V$6),AND(V$7&gt;0,$A693&gt;V$7)),0,MAX(0,ROUND((INDEX($E693:$G693,V$5)-SUMIFS(TF_Timer,TF_Tekniker,V$4,TF_Dato,$A693))*2,0)/2)))</f>
        <v/>
      </c>
      <c r="W693">
        <f>IF(OR(W$4="",$A693&gt;TODAY()),0,IF(OR(INDEX($B693:$D693,W$5)="F",AND(W$6&gt;0,$A693&lt;W$6),AND(W$7&gt;0,$A693&gt;W$7)),0,MAX(0,ROUND((INDEX($E693:$G693,W$5)-SUMIFS(TF_Timer,TF_Tekniker,W$4,TF_Dato,$A693))*2,0)/2)))</f>
        <v/>
      </c>
      <c r="X693">
        <f>IF(OR(X$4="",$A693&gt;TODAY()),0,IF(OR(INDEX($B693:$D693,X$5)="F",AND(X$6&gt;0,$A693&lt;X$6),AND(X$7&gt;0,$A693&gt;X$7)),0,MAX(0,ROUND((INDEX($E693:$G693,X$5)-SUMIFS(TF_Timer,TF_Tekniker,X$4,TF_Dato,$A693))*2,0)/2)))</f>
        <v/>
      </c>
      <c r="Y693">
        <f>IF(OR(Y$4="",$A693&gt;TODAY()),0,IF(OR(INDEX($B693:$D693,Y$5)="F",AND(Y$6&gt;0,$A693&lt;Y$6),AND(Y$7&gt;0,$A693&gt;Y$7)),0,MAX(0,ROUND((INDEX($E693:$G693,Y$5)-SUMIFS(TF_Timer,TF_Tekniker,Y$4,TF_Dato,$A693))*2,0)/2)))</f>
        <v/>
      </c>
      <c r="Z693">
        <f>IF(OR(Z$4="",$A693&gt;TODAY()),0,IF(OR(INDEX($B693:$D693,Z$5)="F",AND(Z$6&gt;0,$A693&lt;Z$6),AND(Z$7&gt;0,$A693&gt;Z$7)),0,MAX(0,ROUND((INDEX($E693:$G693,Z$5)-SUMIFS(TF_Timer,TF_Tekniker,Z$4,TF_Dato,$A693))*2,0)/2)))</f>
        <v/>
      </c>
      <c r="AA693">
        <f>IF(OR(AA$4="",$A693&gt;TODAY()),0,IF(OR(INDEX($B693:$D693,AA$5)="F",AND(AA$6&gt;0,$A693&lt;AA$6),AND(AA$7&gt;0,$A693&gt;AA$7)),0,MAX(0,ROUND((INDEX($E693:$G693,AA$5)-SUMIFS(TF_Timer,TF_Tekniker,AA$4,TF_Dato,$A693))*2,0)/2)))</f>
        <v/>
      </c>
      <c r="AB693">
        <f>IF(OR(AB$4="",$A693&gt;TODAY()),0,IF(OR(INDEX($B693:$D693,AB$5)="F",AND(AB$6&gt;0,$A693&lt;AB$6),AND(AB$7&gt;0,$A693&gt;AB$7)),0,MAX(0,ROUND((INDEX($E693:$G693,AB$5)-SUMIFS(TF_Timer,TF_Tekniker,AB$4,TF_Dato,$A693))*2,0)/2)))</f>
        <v/>
      </c>
      <c r="AC693">
        <f>IF(OR(AC$4="",$A693&gt;TODAY()),0,IF(OR(INDEX($B693:$D693,AC$5)="F",AND(AC$6&gt;0,$A693&lt;AC$6),AND(AC$7&gt;0,$A693&gt;AC$7)),0,MAX(0,ROUND((INDEX($E693:$G693,AC$5)-SUMIFS(TF_Timer,TF_Tekniker,AC$4,TF_Dato,$A693))*2,0)/2)))</f>
        <v/>
      </c>
      <c r="AD693">
        <f>IF(OR(AD$4="",$A693&gt;TODAY()),0,IF(OR(INDEX($B693:$D693,AD$5)="F",AND(AD$6&gt;0,$A693&lt;AD$6),AND(AD$7&gt;0,$A693&gt;AD$7)),0,MAX(0,ROUND((INDEX($E693:$G693,AD$5)-SUMIFS(TF_Timer,TF_Tekniker,AD$4,TF_Dato,$A693))*2,0)/2)))</f>
        <v/>
      </c>
      <c r="AE693">
        <f>IF(OR(AE$4="",$A693&gt;TODAY()),0,IF(OR(INDEX($B693:$D693,AE$5)="F",AND(AE$6&gt;0,$A693&lt;AE$6),AND(AE$7&gt;0,$A693&gt;AE$7)),0,MAX(0,ROUND((INDEX($E693:$G693,AE$5)-SUMIFS(TF_Timer,TF_Tekniker,AE$4,TF_Dato,$A693))*2,0)/2)))</f>
        <v/>
      </c>
      <c r="AF693">
        <f>IF(OR(AF$4="",$A693&gt;TODAY()),0,IF(OR(INDEX($B693:$D693,AF$5)="F",AND(AF$6&gt;0,$A693&lt;AF$6),AND(AF$7&gt;0,$A693&gt;AF$7)),0,MAX(0,ROUND((INDEX($E693:$G693,AF$5)-SUMIFS(TF_Timer,TF_Tekniker,AF$4,TF_Dato,$A693))*2,0)/2)))</f>
        <v/>
      </c>
      <c r="AG693">
        <f>IF(OR(AG$4="",$A693&gt;TODAY()),0,IF(OR(INDEX($B693:$D693,AG$5)="F",AND(AG$6&gt;0,$A693&lt;AG$6),AND(AG$7&gt;0,$A693&gt;AG$7)),0,MAX(0,ROUND((INDEX($E693:$G693,AG$5)-SUMIFS(TF_Timer,TF_Tekniker,AG$4,TF_Dato,$A693))*2,0)/2)))</f>
        <v/>
      </c>
      <c r="AH693">
        <f>IF(OR(AH$4="",$A693&gt;TODAY()),0,IF(OR(INDEX($B693:$D693,AH$5)="F",AND(AH$6&gt;0,$A693&lt;AH$6),AND(AH$7&gt;0,$A693&gt;AH$7)),0,MAX(0,ROUND((INDEX($E693:$G693,AH$5)-SUMIFS(TF_Timer,TF_Tekniker,AH$4,TF_Dato,$A693))*2,0)/2)))</f>
        <v/>
      </c>
      <c r="AI693">
        <f>IF(OR(AI$4="",$A693&gt;TODAY()),0,IF(OR(INDEX($B693:$D693,AI$5)="F",AND(AI$6&gt;0,$A693&lt;AI$6),AND(AI$7&gt;0,$A693&gt;AI$7)),0,MAX(0,ROUND((INDEX($E693:$G693,AI$5)-SUMIFS(TF_Timer,TF_Tekniker,AI$4,TF_Dato,$A693))*2,0)/2)))</f>
        <v/>
      </c>
      <c r="AJ693">
        <f>IF(OR(AJ$4="",$A693&gt;TODAY()),0,IF(OR(INDEX($B693:$D693,AJ$5)="F",AND(AJ$6&gt;0,$A693&lt;AJ$6),AND(AJ$7&gt;0,$A693&gt;AJ$7)),0,MAX(0,ROUND((INDEX($E693:$G693,AJ$5)-SUMIFS(TF_Timer,TF_Tekniker,AJ$4,TF_Dato,$A693))*2,0)/2)))</f>
        <v/>
      </c>
      <c r="AK693">
        <f>IF(OR(AK$4="",$A693&gt;TODAY()),0,IF(OR(INDEX($B693:$D693,AK$5)="F",AND(AK$6&gt;0,$A693&lt;AK$6),AND(AK$7&gt;0,$A693&gt;AK$7)),0,MAX(0,ROUND((INDEX($E693:$G693,AK$5)-SUMIFS(TF_Timer,TF_Tekniker,AK$4,TF_Dato,$A693))*2,0)/2)))</f>
        <v/>
      </c>
      <c r="AL693">
        <f>IF(OR(AL$4="",$A693&gt;TODAY()),0,IF(OR(INDEX($B693:$D693,AL$5)="F",AND(AL$6&gt;0,$A693&lt;AL$6),AND(AL$7&gt;0,$A693&gt;AL$7)),0,MAX(0,ROUND((INDEX($E693:$G693,AL$5)-SUMIFS(TF_Timer,TF_Tekniker,AL$4,TF_Dato,$A693))*2,0)/2)))</f>
        <v/>
      </c>
      <c r="AM693">
        <f>IF(OR(AM$4="",$A693&gt;TODAY()),0,IF(OR(INDEX($B693:$D693,AM$5)="F",AND(AM$6&gt;0,$A693&lt;AM$6),AND(AM$7&gt;0,$A693&gt;AM$7)),0,MAX(0,ROUND((INDEX($E693:$G693,AM$5)-SUMIFS(TF_Timer,TF_Tekniker,AM$4,TF_Dato,$A693))*2,0)/2)))</f>
        <v/>
      </c>
      <c r="AN693">
        <f>IF(OR(AN$4="",$A693&gt;TODAY()),0,IF(OR(INDEX($B693:$D693,AN$5)="F",AND(AN$6&gt;0,$A693&lt;AN$6),AND(AN$7&gt;0,$A693&gt;AN$7)),0,MAX(0,ROUND((INDEX($E693:$G693,AN$5)-SUMIFS(TF_Timer,TF_Tekniker,AN$4,TF_Dato,$A693))*2,0)/2)))</f>
        <v/>
      </c>
      <c r="AO693">
        <f>IF(OR(AO$4="",$A693&gt;TODAY()),0,IF(OR(INDEX($B693:$D693,AO$5)="F",AND(AO$6&gt;0,$A693&lt;AO$6),AND(AO$7&gt;0,$A693&gt;AO$7)),0,MAX(0,ROUND((INDEX($E693:$G693,AO$5)-SUMIFS(TF_Timer,TF_Tekniker,AO$4,TF_Dato,$A693))*2,0)/2)))</f>
        <v/>
      </c>
      <c r="AP693">
        <f>IF(OR(AP$4="",$A693&gt;TODAY()),0,IF(OR(INDEX($B693:$D693,AP$5)="F",AND(AP$6&gt;0,$A693&lt;AP$6),AND(AP$7&gt;0,$A693&gt;AP$7)),0,MAX(0,ROUND((INDEX($E693:$G693,AP$5)-SUMIFS(TF_Timer,TF_Tekniker,AP$4,TF_Dato,$A693))*2,0)/2)))</f>
        <v/>
      </c>
      <c r="AQ693">
        <f>IF(OR(AQ$4="",$A693&gt;TODAY()),0,IF(OR(INDEX($B693:$D693,AQ$5)="F",AND(AQ$6&gt;0,$A693&lt;AQ$6),AND(AQ$7&gt;0,$A693&gt;AQ$7)),0,MAX(0,ROUND((INDEX($E693:$G693,AQ$5)-SUMIFS(TF_Timer,TF_Tekniker,AQ$4,TF_Dato,$A693))*2,0)/2)))</f>
        <v/>
      </c>
      <c r="AR693">
        <f>IF(OR(AR$4="",$A693&gt;TODAY()),0,IF(OR(INDEX($B693:$D693,AR$5)="F",AND(AR$6&gt;0,$A693&lt;AR$6),AND(AR$7&gt;0,$A693&gt;AR$7)),0,MAX(0,ROUND((INDEX($E693:$G693,AR$5)-SUMIFS(TF_Timer,TF_Tekniker,AR$4,TF_Dato,$A693))*2,0)/2)))</f>
        <v/>
      </c>
      <c r="AS693">
        <f>IF(OR(AS$4="",$A693&gt;TODAY()),0,IF(OR(INDEX($B693:$D693,AS$5)="F",AND(AS$6&gt;0,$A693&lt;AS$6),AND(AS$7&gt;0,$A693&gt;AS$7)),0,MAX(0,ROUND((INDEX($E693:$G693,AS$5)-SUMIFS(TF_Timer,TF_Tekniker,AS$4,TF_Dato,$A693))*2,0)/2)))</f>
        <v/>
      </c>
      <c r="AT693">
        <f>IF(OR(AT$4="",$A693&gt;TODAY()),0,IF(OR(INDEX($B693:$D693,AT$5)="F",AND(AT$6&gt;0,$A693&lt;AT$6),AND(AT$7&gt;0,$A693&gt;AT$7)),0,MAX(0,ROUND((INDEX($E693:$G693,AT$5)-SUMIFS(TF_Timer,TF_Tekniker,AT$4,TF_Dato,$A693))*2,0)/2)))</f>
        <v/>
      </c>
      <c r="AU693">
        <f>IF(OR(AU$4="",$A693&gt;TODAY()),0,IF(OR(INDEX($B693:$D693,AU$5)="F",AND(AU$6&gt;0,$A693&lt;AU$6),AND(AU$7&gt;0,$A693&gt;AU$7)),0,MAX(0,ROUND((INDEX($E693:$G693,AU$5)-SUMIFS(TF_Timer,TF_Tekniker,AU$4,TF_Dato,$A693))*2,0)/2)))</f>
        <v/>
      </c>
      <c r="AV693">
        <f>IF(OR(AV$4="",$A693&gt;TODAY()),0,IF(OR(INDEX($B693:$D693,AV$5)="F",AND(AV$6&gt;0,$A693&lt;AV$6),AND(AV$7&gt;0,$A693&gt;AV$7)),0,MAX(0,ROUND((INDEX($E693:$G693,AV$5)-SUMIFS(TF_Timer,TF_Tekniker,AV$4,TF_Dato,$A693))*2,0)/2)))</f>
        <v/>
      </c>
      <c r="AW693">
        <f>IF(OR(AW$4="",$A693&gt;TODAY()),0,IF(OR(INDEX($B693:$D693,AW$5)="F",AND(AW$6&gt;0,$A693&lt;AW$6),AND(AW$7&gt;0,$A693&gt;AW$7)),0,MAX(0,ROUND((INDEX($E693:$G693,AW$5)-SUMIFS(TF_Timer,TF_Tekniker,AW$4,TF_Dato,$A693))*2,0)/2)))</f>
        <v/>
      </c>
      <c r="AX693">
        <f>IF(OR(AX$4="",$A693&gt;TODAY()),0,IF(OR(INDEX($B693:$D693,AX$5)="F",AND(AX$6&gt;0,$A693&lt;AX$6),AND(AX$7&gt;0,$A693&gt;AX$7)),0,MAX(0,ROUND((INDEX($E693:$G693,AX$5)-SUMIFS(TF_Timer,TF_Tekniker,AX$4,TF_Dato,$A693))*2,0)/2)))</f>
        <v/>
      </c>
      <c r="AY693">
        <f>IF(OR(AY$4="",$A693&gt;TODAY()),0,IF(OR(INDEX($B693:$D693,AY$5)="F",AND(AY$6&gt;0,$A693&lt;AY$6),AND(AY$7&gt;0,$A693&gt;AY$7)),0,MAX(0,ROUND((INDEX($E693:$G693,AY$5)-SUMIFS(TF_Timer,TF_Tekniker,AY$4,TF_Dato,$A693))*2,0)/2)))</f>
        <v/>
      </c>
      <c r="AZ693">
        <f>IF(OR(AZ$4="",$A693&gt;TODAY()),0,IF(OR(INDEX($B693:$D693,AZ$5)="F",AND(AZ$6&gt;0,$A693&lt;AZ$6),AND(AZ$7&gt;0,$A693&gt;AZ$7)),0,MAX(0,ROUND((INDEX($E693:$G693,AZ$5)-SUMIFS(TF_Timer,TF_Tekniker,AZ$4,TF_Dato,$A693))*2,0)/2)))</f>
        <v/>
      </c>
      <c r="BA693">
        <f>IF(OR(BA$4="",$A693&gt;TODAY()),0,IF(OR(INDEX($B693:$D693,BA$5)="F",AND(BA$6&gt;0,$A693&lt;BA$6),AND(BA$7&gt;0,$A693&gt;BA$7)),0,MAX(0,ROUND((INDEX($E693:$G693,BA$5)-SUMIFS(TF_Timer,TF_Tekniker,BA$4,TF_Dato,$A693))*2,0)/2)))</f>
        <v/>
      </c>
      <c r="BB693">
        <f>IF(OR(BB$4="",$A693&gt;TODAY()),0,IF(OR(INDEX($B693:$D693,BB$5)="F",AND(BB$6&gt;0,$A693&lt;BB$6),AND(BB$7&gt;0,$A693&gt;BB$7)),0,MAX(0,ROUND((INDEX($E693:$G693,BB$5)-SUMIFS(TF_Timer,TF_Tekniker,BB$4,TF_Dato,$A693))*2,0)/2)))</f>
        <v/>
      </c>
      <c r="BC693">
        <f>IF(OR(BC$4="",$A693&gt;TODAY()),0,IF(OR(INDEX($B693:$D693,BC$5)="F",AND(BC$6&gt;0,$A693&lt;BC$6),AND(BC$7&gt;0,$A693&gt;BC$7)),0,MAX(0,ROUND((INDEX($E693:$G693,BC$5)-SUMIFS(TF_Timer,TF_Tekniker,BC$4,TF_Dato,$A693))*2,0)/2)))</f>
        <v/>
      </c>
      <c r="BD693">
        <f>IF(OR(BD$4="",$A693&gt;TODAY()),0,IF(OR(INDEX($B693:$D693,BD$5)="F",AND(BD$6&gt;0,$A693&lt;BD$6),AND(BD$7&gt;0,$A693&gt;BD$7)),0,MAX(0,ROUND((INDEX($E693:$G693,BD$5)-SUMIFS(TF_Timer,TF_Tekniker,BD$4,TF_Dato,$A693))*2,0)/2)))</f>
        <v/>
      </c>
      <c r="BE693">
        <f>IF(OR(BE$4="",$A693&gt;TODAY()),0,IF(OR(INDEX($B693:$D693,BE$5)="F",AND(BE$6&gt;0,$A693&lt;BE$6),AND(BE$7&gt;0,$A693&gt;BE$7)),0,MAX(0,ROUND((INDEX($E693:$G693,BE$5)-SUMIFS(TF_Timer,TF_Tekniker,BE$4,TF_Dato,$A693))*2,0)/2)))</f>
        <v/>
      </c>
      <c r="BF693">
        <f>IF(OR(BF$4="",$A693&gt;TODAY()),0,IF(OR(INDEX($B693:$D693,BF$5)="F",AND(BF$6&gt;0,$A693&lt;BF$6),AND(BF$7&gt;0,$A693&gt;BF$7)),0,MAX(0,ROUND((INDEX($E693:$G693,BF$5)-SUMIFS(TF_Timer,TF_Tekniker,BF$4,TF_Dato,$A693))*2,0)/2)))</f>
        <v/>
      </c>
      <c r="BG693">
        <f>IF(OR(BG$4="",$A693&gt;TODAY()),0,IF(OR(INDEX($B693:$D693,BG$5)="F",AND(BG$6&gt;0,$A693&lt;BG$6),AND(BG$7&gt;0,$A693&gt;BG$7)),0,MAX(0,ROUND((INDEX($E693:$G693,BG$5)-SUMIFS(TF_Timer,TF_Tekniker,BG$4,TF_Dato,$A693))*2,0)/2)))</f>
        <v/>
      </c>
      <c r="BH693">
        <f>IF(OR(BH$4="",$A693&gt;TODAY()),0,IF(OR(INDEX($B693:$D693,BH$5)="F",AND(BH$6&gt;0,$A693&lt;BH$6),AND(BH$7&gt;0,$A693&gt;BH$7)),0,MAX(0,ROUND((INDEX($E693:$G693,BH$5)-SUMIFS(TF_Timer,TF_Tekniker,BH$4,TF_Dato,$A693))*2,0)/2)))</f>
        <v/>
      </c>
      <c r="BI693">
        <f>IF(OR(BI$4="",$A693&gt;TODAY()),0,IF(OR(INDEX($B693:$D693,BI$5)="F",AND(BI$6&gt;0,$A693&lt;BI$6),AND(BI$7&gt;0,$A693&gt;BI$7)),0,MAX(0,ROUND((INDEX($E693:$G693,BI$5)-SUMIFS(TF_Timer,TF_Tekniker,BI$4,TF_Dato,$A693))*2,0)/2)))</f>
        <v/>
      </c>
    </row>
    <row r="694">
      <c r="A694" s="64">
        <f>A693+1</f>
        <v/>
      </c>
      <c r="B694">
        <f>IF(MOD($A694-INDEX(SkiftStart,1),Syklus)&lt;DagK,"K",IF(MOD($A694-INDEX(SkiftStart,1),Syklus)&lt;DagK+DagH,"H",IF(MOD($A694-INDEX(SkiftStart,1),Syklus)&lt;DagK+DagH+DagD,"D","F")))</f>
        <v/>
      </c>
      <c r="C694">
        <f>IF(MOD($A694-INDEX(SkiftStart,2),Syklus)&lt;DagK,"K",IF(MOD($A694-INDEX(SkiftStart,2),Syklus)&lt;DagK+DagH,"H",IF(MOD($A694-INDEX(SkiftStart,2),Syklus)&lt;DagK+DagH+DagD,"D","F")))</f>
        <v/>
      </c>
      <c r="D694">
        <f>IF(MOD($A694-INDEX(SkiftStart,3),Syklus)&lt;DagK,"K",IF(MOD($A694-INDEX(SkiftStart,3),Syklus)&lt;DagK+DagH,"H",IF(MOD($A694-INDEX(SkiftStart,3),Syklus)&lt;DagK+DagH+DagD,"D","F")))</f>
        <v/>
      </c>
      <c r="E694">
        <f>IF(B694="F",0,IF(WEEKDAY($A694,2)=5,INDEX(TimerFr,MATCH(B694,FaseKode,0)),INDEX(TimerMT,MATCH(B694,FaseKode,0))))</f>
        <v/>
      </c>
      <c r="F694">
        <f>IF(C694="F",0,IF(WEEKDAY($A694,2)=5,INDEX(TimerFr,MATCH(C694,FaseKode,0)),INDEX(TimerMT,MATCH(C694,FaseKode,0))))</f>
        <v/>
      </c>
      <c r="G694">
        <f>IF(D694="F",0,IF(WEEKDAY($A694,2)=5,INDEX(TimerFr,MATCH(D694,FaseKode,0)),INDEX(TimerMT,MATCH(D694,FaseKode,0))))</f>
        <v/>
      </c>
      <c r="H694">
        <f>IF(OR(H$4="",$A694&gt;TODAY()),0,IF(OR(INDEX($B694:$D694,H$5)="F",AND(H$6&gt;0,$A694&lt;H$6),AND(H$7&gt;0,$A694&gt;H$7)),0,MAX(0,ROUND((INDEX($E694:$G694,H$5)-SUMIFS(TF_Timer,TF_Tekniker,H$4,TF_Dato,$A694))*2,0)/2)))</f>
        <v/>
      </c>
      <c r="I694">
        <f>IF(OR(I$4="",$A694&gt;TODAY()),0,IF(OR(INDEX($B694:$D694,I$5)="F",AND(I$6&gt;0,$A694&lt;I$6),AND(I$7&gt;0,$A694&gt;I$7)),0,MAX(0,ROUND((INDEX($E694:$G694,I$5)-SUMIFS(TF_Timer,TF_Tekniker,I$4,TF_Dato,$A694))*2,0)/2)))</f>
        <v/>
      </c>
      <c r="J694">
        <f>IF(OR(J$4="",$A694&gt;TODAY()),0,IF(OR(INDEX($B694:$D694,J$5)="F",AND(J$6&gt;0,$A694&lt;J$6),AND(J$7&gt;0,$A694&gt;J$7)),0,MAX(0,ROUND((INDEX($E694:$G694,J$5)-SUMIFS(TF_Timer,TF_Tekniker,J$4,TF_Dato,$A694))*2,0)/2)))</f>
        <v/>
      </c>
      <c r="K694">
        <f>IF(OR(K$4="",$A694&gt;TODAY()),0,IF(OR(INDEX($B694:$D694,K$5)="F",AND(K$6&gt;0,$A694&lt;K$6),AND(K$7&gt;0,$A694&gt;K$7)),0,MAX(0,ROUND((INDEX($E694:$G694,K$5)-SUMIFS(TF_Timer,TF_Tekniker,K$4,TF_Dato,$A694))*2,0)/2)))</f>
        <v/>
      </c>
      <c r="L694">
        <f>IF(OR(L$4="",$A694&gt;TODAY()),0,IF(OR(INDEX($B694:$D694,L$5)="F",AND(L$6&gt;0,$A694&lt;L$6),AND(L$7&gt;0,$A694&gt;L$7)),0,MAX(0,ROUND((INDEX($E694:$G694,L$5)-SUMIFS(TF_Timer,TF_Tekniker,L$4,TF_Dato,$A694))*2,0)/2)))</f>
        <v/>
      </c>
      <c r="M694">
        <f>IF(OR(M$4="",$A694&gt;TODAY()),0,IF(OR(INDEX($B694:$D694,M$5)="F",AND(M$6&gt;0,$A694&lt;M$6),AND(M$7&gt;0,$A694&gt;M$7)),0,MAX(0,ROUND((INDEX($E694:$G694,M$5)-SUMIFS(TF_Timer,TF_Tekniker,M$4,TF_Dato,$A694))*2,0)/2)))</f>
        <v/>
      </c>
      <c r="N694">
        <f>IF(OR(N$4="",$A694&gt;TODAY()),0,IF(OR(INDEX($B694:$D694,N$5)="F",AND(N$6&gt;0,$A694&lt;N$6),AND(N$7&gt;0,$A694&gt;N$7)),0,MAX(0,ROUND((INDEX($E694:$G694,N$5)-SUMIFS(TF_Timer,TF_Tekniker,N$4,TF_Dato,$A694))*2,0)/2)))</f>
        <v/>
      </c>
      <c r="O694">
        <f>IF(OR(O$4="",$A694&gt;TODAY()),0,IF(OR(INDEX($B694:$D694,O$5)="F",AND(O$6&gt;0,$A694&lt;O$6),AND(O$7&gt;0,$A694&gt;O$7)),0,MAX(0,ROUND((INDEX($E694:$G694,O$5)-SUMIFS(TF_Timer,TF_Tekniker,O$4,TF_Dato,$A694))*2,0)/2)))</f>
        <v/>
      </c>
      <c r="P694">
        <f>IF(OR(P$4="",$A694&gt;TODAY()),0,IF(OR(INDEX($B694:$D694,P$5)="F",AND(P$6&gt;0,$A694&lt;P$6),AND(P$7&gt;0,$A694&gt;P$7)),0,MAX(0,ROUND((INDEX($E694:$G694,P$5)-SUMIFS(TF_Timer,TF_Tekniker,P$4,TF_Dato,$A694))*2,0)/2)))</f>
        <v/>
      </c>
      <c r="Q694">
        <f>IF(OR(Q$4="",$A694&gt;TODAY()),0,IF(OR(INDEX($B694:$D694,Q$5)="F",AND(Q$6&gt;0,$A694&lt;Q$6),AND(Q$7&gt;0,$A694&gt;Q$7)),0,MAX(0,ROUND((INDEX($E694:$G694,Q$5)-SUMIFS(TF_Timer,TF_Tekniker,Q$4,TF_Dato,$A694))*2,0)/2)))</f>
        <v/>
      </c>
      <c r="R694">
        <f>IF(OR(R$4="",$A694&gt;TODAY()),0,IF(OR(INDEX($B694:$D694,R$5)="F",AND(R$6&gt;0,$A694&lt;R$6),AND(R$7&gt;0,$A694&gt;R$7)),0,MAX(0,ROUND((INDEX($E694:$G694,R$5)-SUMIFS(TF_Timer,TF_Tekniker,R$4,TF_Dato,$A694))*2,0)/2)))</f>
        <v/>
      </c>
      <c r="S694">
        <f>IF(OR(S$4="",$A694&gt;TODAY()),0,IF(OR(INDEX($B694:$D694,S$5)="F",AND(S$6&gt;0,$A694&lt;S$6),AND(S$7&gt;0,$A694&gt;S$7)),0,MAX(0,ROUND((INDEX($E694:$G694,S$5)-SUMIFS(TF_Timer,TF_Tekniker,S$4,TF_Dato,$A694))*2,0)/2)))</f>
        <v/>
      </c>
      <c r="T694">
        <f>IF(OR(T$4="",$A694&gt;TODAY()),0,IF(OR(INDEX($B694:$D694,T$5)="F",AND(T$6&gt;0,$A694&lt;T$6),AND(T$7&gt;0,$A694&gt;T$7)),0,MAX(0,ROUND((INDEX($E694:$G694,T$5)-SUMIFS(TF_Timer,TF_Tekniker,T$4,TF_Dato,$A694))*2,0)/2)))</f>
        <v/>
      </c>
      <c r="U694">
        <f>IF(OR(U$4="",$A694&gt;TODAY()),0,IF(OR(INDEX($B694:$D694,U$5)="F",AND(U$6&gt;0,$A694&lt;U$6),AND(U$7&gt;0,$A694&gt;U$7)),0,MAX(0,ROUND((INDEX($E694:$G694,U$5)-SUMIFS(TF_Timer,TF_Tekniker,U$4,TF_Dato,$A694))*2,0)/2)))</f>
        <v/>
      </c>
      <c r="V694">
        <f>IF(OR(V$4="",$A694&gt;TODAY()),0,IF(OR(INDEX($B694:$D694,V$5)="F",AND(V$6&gt;0,$A694&lt;V$6),AND(V$7&gt;0,$A694&gt;V$7)),0,MAX(0,ROUND((INDEX($E694:$G694,V$5)-SUMIFS(TF_Timer,TF_Tekniker,V$4,TF_Dato,$A694))*2,0)/2)))</f>
        <v/>
      </c>
      <c r="W694">
        <f>IF(OR(W$4="",$A694&gt;TODAY()),0,IF(OR(INDEX($B694:$D694,W$5)="F",AND(W$6&gt;0,$A694&lt;W$6),AND(W$7&gt;0,$A694&gt;W$7)),0,MAX(0,ROUND((INDEX($E694:$G694,W$5)-SUMIFS(TF_Timer,TF_Tekniker,W$4,TF_Dato,$A694))*2,0)/2)))</f>
        <v/>
      </c>
      <c r="X694">
        <f>IF(OR(X$4="",$A694&gt;TODAY()),0,IF(OR(INDEX($B694:$D694,X$5)="F",AND(X$6&gt;0,$A694&lt;X$6),AND(X$7&gt;0,$A694&gt;X$7)),0,MAX(0,ROUND((INDEX($E694:$G694,X$5)-SUMIFS(TF_Timer,TF_Tekniker,X$4,TF_Dato,$A694))*2,0)/2)))</f>
        <v/>
      </c>
      <c r="Y694">
        <f>IF(OR(Y$4="",$A694&gt;TODAY()),0,IF(OR(INDEX($B694:$D694,Y$5)="F",AND(Y$6&gt;0,$A694&lt;Y$6),AND(Y$7&gt;0,$A694&gt;Y$7)),0,MAX(0,ROUND((INDEX($E694:$G694,Y$5)-SUMIFS(TF_Timer,TF_Tekniker,Y$4,TF_Dato,$A694))*2,0)/2)))</f>
        <v/>
      </c>
      <c r="Z694">
        <f>IF(OR(Z$4="",$A694&gt;TODAY()),0,IF(OR(INDEX($B694:$D694,Z$5)="F",AND(Z$6&gt;0,$A694&lt;Z$6),AND(Z$7&gt;0,$A694&gt;Z$7)),0,MAX(0,ROUND((INDEX($E694:$G694,Z$5)-SUMIFS(TF_Timer,TF_Tekniker,Z$4,TF_Dato,$A694))*2,0)/2)))</f>
        <v/>
      </c>
      <c r="AA694">
        <f>IF(OR(AA$4="",$A694&gt;TODAY()),0,IF(OR(INDEX($B694:$D694,AA$5)="F",AND(AA$6&gt;0,$A694&lt;AA$6),AND(AA$7&gt;0,$A694&gt;AA$7)),0,MAX(0,ROUND((INDEX($E694:$G694,AA$5)-SUMIFS(TF_Timer,TF_Tekniker,AA$4,TF_Dato,$A694))*2,0)/2)))</f>
        <v/>
      </c>
      <c r="AB694">
        <f>IF(OR(AB$4="",$A694&gt;TODAY()),0,IF(OR(INDEX($B694:$D694,AB$5)="F",AND(AB$6&gt;0,$A694&lt;AB$6),AND(AB$7&gt;0,$A694&gt;AB$7)),0,MAX(0,ROUND((INDEX($E694:$G694,AB$5)-SUMIFS(TF_Timer,TF_Tekniker,AB$4,TF_Dato,$A694))*2,0)/2)))</f>
        <v/>
      </c>
      <c r="AC694">
        <f>IF(OR(AC$4="",$A694&gt;TODAY()),0,IF(OR(INDEX($B694:$D694,AC$5)="F",AND(AC$6&gt;0,$A694&lt;AC$6),AND(AC$7&gt;0,$A694&gt;AC$7)),0,MAX(0,ROUND((INDEX($E694:$G694,AC$5)-SUMIFS(TF_Timer,TF_Tekniker,AC$4,TF_Dato,$A694))*2,0)/2)))</f>
        <v/>
      </c>
      <c r="AD694">
        <f>IF(OR(AD$4="",$A694&gt;TODAY()),0,IF(OR(INDEX($B694:$D694,AD$5)="F",AND(AD$6&gt;0,$A694&lt;AD$6),AND(AD$7&gt;0,$A694&gt;AD$7)),0,MAX(0,ROUND((INDEX($E694:$G694,AD$5)-SUMIFS(TF_Timer,TF_Tekniker,AD$4,TF_Dato,$A694))*2,0)/2)))</f>
        <v/>
      </c>
      <c r="AE694">
        <f>IF(OR(AE$4="",$A694&gt;TODAY()),0,IF(OR(INDEX($B694:$D694,AE$5)="F",AND(AE$6&gt;0,$A694&lt;AE$6),AND(AE$7&gt;0,$A694&gt;AE$7)),0,MAX(0,ROUND((INDEX($E694:$G694,AE$5)-SUMIFS(TF_Timer,TF_Tekniker,AE$4,TF_Dato,$A694))*2,0)/2)))</f>
        <v/>
      </c>
      <c r="AF694">
        <f>IF(OR(AF$4="",$A694&gt;TODAY()),0,IF(OR(INDEX($B694:$D694,AF$5)="F",AND(AF$6&gt;0,$A694&lt;AF$6),AND(AF$7&gt;0,$A694&gt;AF$7)),0,MAX(0,ROUND((INDEX($E694:$G694,AF$5)-SUMIFS(TF_Timer,TF_Tekniker,AF$4,TF_Dato,$A694))*2,0)/2)))</f>
        <v/>
      </c>
      <c r="AG694">
        <f>IF(OR(AG$4="",$A694&gt;TODAY()),0,IF(OR(INDEX($B694:$D694,AG$5)="F",AND(AG$6&gt;0,$A694&lt;AG$6),AND(AG$7&gt;0,$A694&gt;AG$7)),0,MAX(0,ROUND((INDEX($E694:$G694,AG$5)-SUMIFS(TF_Timer,TF_Tekniker,AG$4,TF_Dato,$A694))*2,0)/2)))</f>
        <v/>
      </c>
      <c r="AH694">
        <f>IF(OR(AH$4="",$A694&gt;TODAY()),0,IF(OR(INDEX($B694:$D694,AH$5)="F",AND(AH$6&gt;0,$A694&lt;AH$6),AND(AH$7&gt;0,$A694&gt;AH$7)),0,MAX(0,ROUND((INDEX($E694:$G694,AH$5)-SUMIFS(TF_Timer,TF_Tekniker,AH$4,TF_Dato,$A694))*2,0)/2)))</f>
        <v/>
      </c>
      <c r="AI694">
        <f>IF(OR(AI$4="",$A694&gt;TODAY()),0,IF(OR(INDEX($B694:$D694,AI$5)="F",AND(AI$6&gt;0,$A694&lt;AI$6),AND(AI$7&gt;0,$A694&gt;AI$7)),0,MAX(0,ROUND((INDEX($E694:$G694,AI$5)-SUMIFS(TF_Timer,TF_Tekniker,AI$4,TF_Dato,$A694))*2,0)/2)))</f>
        <v/>
      </c>
      <c r="AJ694">
        <f>IF(OR(AJ$4="",$A694&gt;TODAY()),0,IF(OR(INDEX($B694:$D694,AJ$5)="F",AND(AJ$6&gt;0,$A694&lt;AJ$6),AND(AJ$7&gt;0,$A694&gt;AJ$7)),0,MAX(0,ROUND((INDEX($E694:$G694,AJ$5)-SUMIFS(TF_Timer,TF_Tekniker,AJ$4,TF_Dato,$A694))*2,0)/2)))</f>
        <v/>
      </c>
      <c r="AK694">
        <f>IF(OR(AK$4="",$A694&gt;TODAY()),0,IF(OR(INDEX($B694:$D694,AK$5)="F",AND(AK$6&gt;0,$A694&lt;AK$6),AND(AK$7&gt;0,$A694&gt;AK$7)),0,MAX(0,ROUND((INDEX($E694:$G694,AK$5)-SUMIFS(TF_Timer,TF_Tekniker,AK$4,TF_Dato,$A694))*2,0)/2)))</f>
        <v/>
      </c>
      <c r="AL694">
        <f>IF(OR(AL$4="",$A694&gt;TODAY()),0,IF(OR(INDEX($B694:$D694,AL$5)="F",AND(AL$6&gt;0,$A694&lt;AL$6),AND(AL$7&gt;0,$A694&gt;AL$7)),0,MAX(0,ROUND((INDEX($E694:$G694,AL$5)-SUMIFS(TF_Timer,TF_Tekniker,AL$4,TF_Dato,$A694))*2,0)/2)))</f>
        <v/>
      </c>
      <c r="AM694">
        <f>IF(OR(AM$4="",$A694&gt;TODAY()),0,IF(OR(INDEX($B694:$D694,AM$5)="F",AND(AM$6&gt;0,$A694&lt;AM$6),AND(AM$7&gt;0,$A694&gt;AM$7)),0,MAX(0,ROUND((INDEX($E694:$G694,AM$5)-SUMIFS(TF_Timer,TF_Tekniker,AM$4,TF_Dato,$A694))*2,0)/2)))</f>
        <v/>
      </c>
      <c r="AN694">
        <f>IF(OR(AN$4="",$A694&gt;TODAY()),0,IF(OR(INDEX($B694:$D694,AN$5)="F",AND(AN$6&gt;0,$A694&lt;AN$6),AND(AN$7&gt;0,$A694&gt;AN$7)),0,MAX(0,ROUND((INDEX($E694:$G694,AN$5)-SUMIFS(TF_Timer,TF_Tekniker,AN$4,TF_Dato,$A694))*2,0)/2)))</f>
        <v/>
      </c>
      <c r="AO694">
        <f>IF(OR(AO$4="",$A694&gt;TODAY()),0,IF(OR(INDEX($B694:$D694,AO$5)="F",AND(AO$6&gt;0,$A694&lt;AO$6),AND(AO$7&gt;0,$A694&gt;AO$7)),0,MAX(0,ROUND((INDEX($E694:$G694,AO$5)-SUMIFS(TF_Timer,TF_Tekniker,AO$4,TF_Dato,$A694))*2,0)/2)))</f>
        <v/>
      </c>
      <c r="AP694">
        <f>IF(OR(AP$4="",$A694&gt;TODAY()),0,IF(OR(INDEX($B694:$D694,AP$5)="F",AND(AP$6&gt;0,$A694&lt;AP$6),AND(AP$7&gt;0,$A694&gt;AP$7)),0,MAX(0,ROUND((INDEX($E694:$G694,AP$5)-SUMIFS(TF_Timer,TF_Tekniker,AP$4,TF_Dato,$A694))*2,0)/2)))</f>
        <v/>
      </c>
      <c r="AQ694">
        <f>IF(OR(AQ$4="",$A694&gt;TODAY()),0,IF(OR(INDEX($B694:$D694,AQ$5)="F",AND(AQ$6&gt;0,$A694&lt;AQ$6),AND(AQ$7&gt;0,$A694&gt;AQ$7)),0,MAX(0,ROUND((INDEX($E694:$G694,AQ$5)-SUMIFS(TF_Timer,TF_Tekniker,AQ$4,TF_Dato,$A694))*2,0)/2)))</f>
        <v/>
      </c>
      <c r="AR694">
        <f>IF(OR(AR$4="",$A694&gt;TODAY()),0,IF(OR(INDEX($B694:$D694,AR$5)="F",AND(AR$6&gt;0,$A694&lt;AR$6),AND(AR$7&gt;0,$A694&gt;AR$7)),0,MAX(0,ROUND((INDEX($E694:$G694,AR$5)-SUMIFS(TF_Timer,TF_Tekniker,AR$4,TF_Dato,$A694))*2,0)/2)))</f>
        <v/>
      </c>
      <c r="AS694">
        <f>IF(OR(AS$4="",$A694&gt;TODAY()),0,IF(OR(INDEX($B694:$D694,AS$5)="F",AND(AS$6&gt;0,$A694&lt;AS$6),AND(AS$7&gt;0,$A694&gt;AS$7)),0,MAX(0,ROUND((INDEX($E694:$G694,AS$5)-SUMIFS(TF_Timer,TF_Tekniker,AS$4,TF_Dato,$A694))*2,0)/2)))</f>
        <v/>
      </c>
      <c r="AT694">
        <f>IF(OR(AT$4="",$A694&gt;TODAY()),0,IF(OR(INDEX($B694:$D694,AT$5)="F",AND(AT$6&gt;0,$A694&lt;AT$6),AND(AT$7&gt;0,$A694&gt;AT$7)),0,MAX(0,ROUND((INDEX($E694:$G694,AT$5)-SUMIFS(TF_Timer,TF_Tekniker,AT$4,TF_Dato,$A694))*2,0)/2)))</f>
        <v/>
      </c>
      <c r="AU694">
        <f>IF(OR(AU$4="",$A694&gt;TODAY()),0,IF(OR(INDEX($B694:$D694,AU$5)="F",AND(AU$6&gt;0,$A694&lt;AU$6),AND(AU$7&gt;0,$A694&gt;AU$7)),0,MAX(0,ROUND((INDEX($E694:$G694,AU$5)-SUMIFS(TF_Timer,TF_Tekniker,AU$4,TF_Dato,$A694))*2,0)/2)))</f>
        <v/>
      </c>
      <c r="AV694">
        <f>IF(OR(AV$4="",$A694&gt;TODAY()),0,IF(OR(INDEX($B694:$D694,AV$5)="F",AND(AV$6&gt;0,$A694&lt;AV$6),AND(AV$7&gt;0,$A694&gt;AV$7)),0,MAX(0,ROUND((INDEX($E694:$G694,AV$5)-SUMIFS(TF_Timer,TF_Tekniker,AV$4,TF_Dato,$A694))*2,0)/2)))</f>
        <v/>
      </c>
      <c r="AW694">
        <f>IF(OR(AW$4="",$A694&gt;TODAY()),0,IF(OR(INDEX($B694:$D694,AW$5)="F",AND(AW$6&gt;0,$A694&lt;AW$6),AND(AW$7&gt;0,$A694&gt;AW$7)),0,MAX(0,ROUND((INDEX($E694:$G694,AW$5)-SUMIFS(TF_Timer,TF_Tekniker,AW$4,TF_Dato,$A694))*2,0)/2)))</f>
        <v/>
      </c>
      <c r="AX694">
        <f>IF(OR(AX$4="",$A694&gt;TODAY()),0,IF(OR(INDEX($B694:$D694,AX$5)="F",AND(AX$6&gt;0,$A694&lt;AX$6),AND(AX$7&gt;0,$A694&gt;AX$7)),0,MAX(0,ROUND((INDEX($E694:$G694,AX$5)-SUMIFS(TF_Timer,TF_Tekniker,AX$4,TF_Dato,$A694))*2,0)/2)))</f>
        <v/>
      </c>
      <c r="AY694">
        <f>IF(OR(AY$4="",$A694&gt;TODAY()),0,IF(OR(INDEX($B694:$D694,AY$5)="F",AND(AY$6&gt;0,$A694&lt;AY$6),AND(AY$7&gt;0,$A694&gt;AY$7)),0,MAX(0,ROUND((INDEX($E694:$G694,AY$5)-SUMIFS(TF_Timer,TF_Tekniker,AY$4,TF_Dato,$A694))*2,0)/2)))</f>
        <v/>
      </c>
      <c r="AZ694">
        <f>IF(OR(AZ$4="",$A694&gt;TODAY()),0,IF(OR(INDEX($B694:$D694,AZ$5)="F",AND(AZ$6&gt;0,$A694&lt;AZ$6),AND(AZ$7&gt;0,$A694&gt;AZ$7)),0,MAX(0,ROUND((INDEX($E694:$G694,AZ$5)-SUMIFS(TF_Timer,TF_Tekniker,AZ$4,TF_Dato,$A694))*2,0)/2)))</f>
        <v/>
      </c>
      <c r="BA694">
        <f>IF(OR(BA$4="",$A694&gt;TODAY()),0,IF(OR(INDEX($B694:$D694,BA$5)="F",AND(BA$6&gt;0,$A694&lt;BA$6),AND(BA$7&gt;0,$A694&gt;BA$7)),0,MAX(0,ROUND((INDEX($E694:$G694,BA$5)-SUMIFS(TF_Timer,TF_Tekniker,BA$4,TF_Dato,$A694))*2,0)/2)))</f>
        <v/>
      </c>
      <c r="BB694">
        <f>IF(OR(BB$4="",$A694&gt;TODAY()),0,IF(OR(INDEX($B694:$D694,BB$5)="F",AND(BB$6&gt;0,$A694&lt;BB$6),AND(BB$7&gt;0,$A694&gt;BB$7)),0,MAX(0,ROUND((INDEX($E694:$G694,BB$5)-SUMIFS(TF_Timer,TF_Tekniker,BB$4,TF_Dato,$A694))*2,0)/2)))</f>
        <v/>
      </c>
      <c r="BC694">
        <f>IF(OR(BC$4="",$A694&gt;TODAY()),0,IF(OR(INDEX($B694:$D694,BC$5)="F",AND(BC$6&gt;0,$A694&lt;BC$6),AND(BC$7&gt;0,$A694&gt;BC$7)),0,MAX(0,ROUND((INDEX($E694:$G694,BC$5)-SUMIFS(TF_Timer,TF_Tekniker,BC$4,TF_Dato,$A694))*2,0)/2)))</f>
        <v/>
      </c>
      <c r="BD694">
        <f>IF(OR(BD$4="",$A694&gt;TODAY()),0,IF(OR(INDEX($B694:$D694,BD$5)="F",AND(BD$6&gt;0,$A694&lt;BD$6),AND(BD$7&gt;0,$A694&gt;BD$7)),0,MAX(0,ROUND((INDEX($E694:$G694,BD$5)-SUMIFS(TF_Timer,TF_Tekniker,BD$4,TF_Dato,$A694))*2,0)/2)))</f>
        <v/>
      </c>
      <c r="BE694">
        <f>IF(OR(BE$4="",$A694&gt;TODAY()),0,IF(OR(INDEX($B694:$D694,BE$5)="F",AND(BE$6&gt;0,$A694&lt;BE$6),AND(BE$7&gt;0,$A694&gt;BE$7)),0,MAX(0,ROUND((INDEX($E694:$G694,BE$5)-SUMIFS(TF_Timer,TF_Tekniker,BE$4,TF_Dato,$A694))*2,0)/2)))</f>
        <v/>
      </c>
      <c r="BF694">
        <f>IF(OR(BF$4="",$A694&gt;TODAY()),0,IF(OR(INDEX($B694:$D694,BF$5)="F",AND(BF$6&gt;0,$A694&lt;BF$6),AND(BF$7&gt;0,$A694&gt;BF$7)),0,MAX(0,ROUND((INDEX($E694:$G694,BF$5)-SUMIFS(TF_Timer,TF_Tekniker,BF$4,TF_Dato,$A694))*2,0)/2)))</f>
        <v/>
      </c>
      <c r="BG694">
        <f>IF(OR(BG$4="",$A694&gt;TODAY()),0,IF(OR(INDEX($B694:$D694,BG$5)="F",AND(BG$6&gt;0,$A694&lt;BG$6),AND(BG$7&gt;0,$A694&gt;BG$7)),0,MAX(0,ROUND((INDEX($E694:$G694,BG$5)-SUMIFS(TF_Timer,TF_Tekniker,BG$4,TF_Dato,$A694))*2,0)/2)))</f>
        <v/>
      </c>
      <c r="BH694">
        <f>IF(OR(BH$4="",$A694&gt;TODAY()),0,IF(OR(INDEX($B694:$D694,BH$5)="F",AND(BH$6&gt;0,$A694&lt;BH$6),AND(BH$7&gt;0,$A694&gt;BH$7)),0,MAX(0,ROUND((INDEX($E694:$G694,BH$5)-SUMIFS(TF_Timer,TF_Tekniker,BH$4,TF_Dato,$A694))*2,0)/2)))</f>
        <v/>
      </c>
      <c r="BI694">
        <f>IF(OR(BI$4="",$A694&gt;TODAY()),0,IF(OR(INDEX($B694:$D694,BI$5)="F",AND(BI$6&gt;0,$A694&lt;BI$6),AND(BI$7&gt;0,$A694&gt;BI$7)),0,MAX(0,ROUND((INDEX($E694:$G694,BI$5)-SUMIFS(TF_Timer,TF_Tekniker,BI$4,TF_Dato,$A694))*2,0)/2)))</f>
        <v/>
      </c>
    </row>
    <row r="695">
      <c r="A695" s="64">
        <f>A694+1</f>
        <v/>
      </c>
      <c r="B695">
        <f>IF(MOD($A695-INDEX(SkiftStart,1),Syklus)&lt;DagK,"K",IF(MOD($A695-INDEX(SkiftStart,1),Syklus)&lt;DagK+DagH,"H",IF(MOD($A695-INDEX(SkiftStart,1),Syklus)&lt;DagK+DagH+DagD,"D","F")))</f>
        <v/>
      </c>
      <c r="C695">
        <f>IF(MOD($A695-INDEX(SkiftStart,2),Syklus)&lt;DagK,"K",IF(MOD($A695-INDEX(SkiftStart,2),Syklus)&lt;DagK+DagH,"H",IF(MOD($A695-INDEX(SkiftStart,2),Syklus)&lt;DagK+DagH+DagD,"D","F")))</f>
        <v/>
      </c>
      <c r="D695">
        <f>IF(MOD($A695-INDEX(SkiftStart,3),Syklus)&lt;DagK,"K",IF(MOD($A695-INDEX(SkiftStart,3),Syklus)&lt;DagK+DagH,"H",IF(MOD($A695-INDEX(SkiftStart,3),Syklus)&lt;DagK+DagH+DagD,"D","F")))</f>
        <v/>
      </c>
      <c r="E695">
        <f>IF(B695="F",0,IF(WEEKDAY($A695,2)=5,INDEX(TimerFr,MATCH(B695,FaseKode,0)),INDEX(TimerMT,MATCH(B695,FaseKode,0))))</f>
        <v/>
      </c>
      <c r="F695">
        <f>IF(C695="F",0,IF(WEEKDAY($A695,2)=5,INDEX(TimerFr,MATCH(C695,FaseKode,0)),INDEX(TimerMT,MATCH(C695,FaseKode,0))))</f>
        <v/>
      </c>
      <c r="G695">
        <f>IF(D695="F",0,IF(WEEKDAY($A695,2)=5,INDEX(TimerFr,MATCH(D695,FaseKode,0)),INDEX(TimerMT,MATCH(D695,FaseKode,0))))</f>
        <v/>
      </c>
      <c r="H695">
        <f>IF(OR(H$4="",$A695&gt;TODAY()),0,IF(OR(INDEX($B695:$D695,H$5)="F",AND(H$6&gt;0,$A695&lt;H$6),AND(H$7&gt;0,$A695&gt;H$7)),0,MAX(0,ROUND((INDEX($E695:$G695,H$5)-SUMIFS(TF_Timer,TF_Tekniker,H$4,TF_Dato,$A695))*2,0)/2)))</f>
        <v/>
      </c>
      <c r="I695">
        <f>IF(OR(I$4="",$A695&gt;TODAY()),0,IF(OR(INDEX($B695:$D695,I$5)="F",AND(I$6&gt;0,$A695&lt;I$6),AND(I$7&gt;0,$A695&gt;I$7)),0,MAX(0,ROUND((INDEX($E695:$G695,I$5)-SUMIFS(TF_Timer,TF_Tekniker,I$4,TF_Dato,$A695))*2,0)/2)))</f>
        <v/>
      </c>
      <c r="J695">
        <f>IF(OR(J$4="",$A695&gt;TODAY()),0,IF(OR(INDEX($B695:$D695,J$5)="F",AND(J$6&gt;0,$A695&lt;J$6),AND(J$7&gt;0,$A695&gt;J$7)),0,MAX(0,ROUND((INDEX($E695:$G695,J$5)-SUMIFS(TF_Timer,TF_Tekniker,J$4,TF_Dato,$A695))*2,0)/2)))</f>
        <v/>
      </c>
      <c r="K695">
        <f>IF(OR(K$4="",$A695&gt;TODAY()),0,IF(OR(INDEX($B695:$D695,K$5)="F",AND(K$6&gt;0,$A695&lt;K$6),AND(K$7&gt;0,$A695&gt;K$7)),0,MAX(0,ROUND((INDEX($E695:$G695,K$5)-SUMIFS(TF_Timer,TF_Tekniker,K$4,TF_Dato,$A695))*2,0)/2)))</f>
        <v/>
      </c>
      <c r="L695">
        <f>IF(OR(L$4="",$A695&gt;TODAY()),0,IF(OR(INDEX($B695:$D695,L$5)="F",AND(L$6&gt;0,$A695&lt;L$6),AND(L$7&gt;0,$A695&gt;L$7)),0,MAX(0,ROUND((INDEX($E695:$G695,L$5)-SUMIFS(TF_Timer,TF_Tekniker,L$4,TF_Dato,$A695))*2,0)/2)))</f>
        <v/>
      </c>
      <c r="M695">
        <f>IF(OR(M$4="",$A695&gt;TODAY()),0,IF(OR(INDEX($B695:$D695,M$5)="F",AND(M$6&gt;0,$A695&lt;M$6),AND(M$7&gt;0,$A695&gt;M$7)),0,MAX(0,ROUND((INDEX($E695:$G695,M$5)-SUMIFS(TF_Timer,TF_Tekniker,M$4,TF_Dato,$A695))*2,0)/2)))</f>
        <v/>
      </c>
      <c r="N695">
        <f>IF(OR(N$4="",$A695&gt;TODAY()),0,IF(OR(INDEX($B695:$D695,N$5)="F",AND(N$6&gt;0,$A695&lt;N$6),AND(N$7&gt;0,$A695&gt;N$7)),0,MAX(0,ROUND((INDEX($E695:$G695,N$5)-SUMIFS(TF_Timer,TF_Tekniker,N$4,TF_Dato,$A695))*2,0)/2)))</f>
        <v/>
      </c>
      <c r="O695">
        <f>IF(OR(O$4="",$A695&gt;TODAY()),0,IF(OR(INDEX($B695:$D695,O$5)="F",AND(O$6&gt;0,$A695&lt;O$6),AND(O$7&gt;0,$A695&gt;O$7)),0,MAX(0,ROUND((INDEX($E695:$G695,O$5)-SUMIFS(TF_Timer,TF_Tekniker,O$4,TF_Dato,$A695))*2,0)/2)))</f>
        <v/>
      </c>
      <c r="P695">
        <f>IF(OR(P$4="",$A695&gt;TODAY()),0,IF(OR(INDEX($B695:$D695,P$5)="F",AND(P$6&gt;0,$A695&lt;P$6),AND(P$7&gt;0,$A695&gt;P$7)),0,MAX(0,ROUND((INDEX($E695:$G695,P$5)-SUMIFS(TF_Timer,TF_Tekniker,P$4,TF_Dato,$A695))*2,0)/2)))</f>
        <v/>
      </c>
      <c r="Q695">
        <f>IF(OR(Q$4="",$A695&gt;TODAY()),0,IF(OR(INDEX($B695:$D695,Q$5)="F",AND(Q$6&gt;0,$A695&lt;Q$6),AND(Q$7&gt;0,$A695&gt;Q$7)),0,MAX(0,ROUND((INDEX($E695:$G695,Q$5)-SUMIFS(TF_Timer,TF_Tekniker,Q$4,TF_Dato,$A695))*2,0)/2)))</f>
        <v/>
      </c>
      <c r="R695">
        <f>IF(OR(R$4="",$A695&gt;TODAY()),0,IF(OR(INDEX($B695:$D695,R$5)="F",AND(R$6&gt;0,$A695&lt;R$6),AND(R$7&gt;0,$A695&gt;R$7)),0,MAX(0,ROUND((INDEX($E695:$G695,R$5)-SUMIFS(TF_Timer,TF_Tekniker,R$4,TF_Dato,$A695))*2,0)/2)))</f>
        <v/>
      </c>
      <c r="S695">
        <f>IF(OR(S$4="",$A695&gt;TODAY()),0,IF(OR(INDEX($B695:$D695,S$5)="F",AND(S$6&gt;0,$A695&lt;S$6),AND(S$7&gt;0,$A695&gt;S$7)),0,MAX(0,ROUND((INDEX($E695:$G695,S$5)-SUMIFS(TF_Timer,TF_Tekniker,S$4,TF_Dato,$A695))*2,0)/2)))</f>
        <v/>
      </c>
      <c r="T695">
        <f>IF(OR(T$4="",$A695&gt;TODAY()),0,IF(OR(INDEX($B695:$D695,T$5)="F",AND(T$6&gt;0,$A695&lt;T$6),AND(T$7&gt;0,$A695&gt;T$7)),0,MAX(0,ROUND((INDEX($E695:$G695,T$5)-SUMIFS(TF_Timer,TF_Tekniker,T$4,TF_Dato,$A695))*2,0)/2)))</f>
        <v/>
      </c>
      <c r="U695">
        <f>IF(OR(U$4="",$A695&gt;TODAY()),0,IF(OR(INDEX($B695:$D695,U$5)="F",AND(U$6&gt;0,$A695&lt;U$6),AND(U$7&gt;0,$A695&gt;U$7)),0,MAX(0,ROUND((INDEX($E695:$G695,U$5)-SUMIFS(TF_Timer,TF_Tekniker,U$4,TF_Dato,$A695))*2,0)/2)))</f>
        <v/>
      </c>
      <c r="V695">
        <f>IF(OR(V$4="",$A695&gt;TODAY()),0,IF(OR(INDEX($B695:$D695,V$5)="F",AND(V$6&gt;0,$A695&lt;V$6),AND(V$7&gt;0,$A695&gt;V$7)),0,MAX(0,ROUND((INDEX($E695:$G695,V$5)-SUMIFS(TF_Timer,TF_Tekniker,V$4,TF_Dato,$A695))*2,0)/2)))</f>
        <v/>
      </c>
      <c r="W695">
        <f>IF(OR(W$4="",$A695&gt;TODAY()),0,IF(OR(INDEX($B695:$D695,W$5)="F",AND(W$6&gt;0,$A695&lt;W$6),AND(W$7&gt;0,$A695&gt;W$7)),0,MAX(0,ROUND((INDEX($E695:$G695,W$5)-SUMIFS(TF_Timer,TF_Tekniker,W$4,TF_Dato,$A695))*2,0)/2)))</f>
        <v/>
      </c>
      <c r="X695">
        <f>IF(OR(X$4="",$A695&gt;TODAY()),0,IF(OR(INDEX($B695:$D695,X$5)="F",AND(X$6&gt;0,$A695&lt;X$6),AND(X$7&gt;0,$A695&gt;X$7)),0,MAX(0,ROUND((INDEX($E695:$G695,X$5)-SUMIFS(TF_Timer,TF_Tekniker,X$4,TF_Dato,$A695))*2,0)/2)))</f>
        <v/>
      </c>
      <c r="Y695">
        <f>IF(OR(Y$4="",$A695&gt;TODAY()),0,IF(OR(INDEX($B695:$D695,Y$5)="F",AND(Y$6&gt;0,$A695&lt;Y$6),AND(Y$7&gt;0,$A695&gt;Y$7)),0,MAX(0,ROUND((INDEX($E695:$G695,Y$5)-SUMIFS(TF_Timer,TF_Tekniker,Y$4,TF_Dato,$A695))*2,0)/2)))</f>
        <v/>
      </c>
      <c r="Z695">
        <f>IF(OR(Z$4="",$A695&gt;TODAY()),0,IF(OR(INDEX($B695:$D695,Z$5)="F",AND(Z$6&gt;0,$A695&lt;Z$6),AND(Z$7&gt;0,$A695&gt;Z$7)),0,MAX(0,ROUND((INDEX($E695:$G695,Z$5)-SUMIFS(TF_Timer,TF_Tekniker,Z$4,TF_Dato,$A695))*2,0)/2)))</f>
        <v/>
      </c>
      <c r="AA695">
        <f>IF(OR(AA$4="",$A695&gt;TODAY()),0,IF(OR(INDEX($B695:$D695,AA$5)="F",AND(AA$6&gt;0,$A695&lt;AA$6),AND(AA$7&gt;0,$A695&gt;AA$7)),0,MAX(0,ROUND((INDEX($E695:$G695,AA$5)-SUMIFS(TF_Timer,TF_Tekniker,AA$4,TF_Dato,$A695))*2,0)/2)))</f>
        <v/>
      </c>
      <c r="AB695">
        <f>IF(OR(AB$4="",$A695&gt;TODAY()),0,IF(OR(INDEX($B695:$D695,AB$5)="F",AND(AB$6&gt;0,$A695&lt;AB$6),AND(AB$7&gt;0,$A695&gt;AB$7)),0,MAX(0,ROUND((INDEX($E695:$G695,AB$5)-SUMIFS(TF_Timer,TF_Tekniker,AB$4,TF_Dato,$A695))*2,0)/2)))</f>
        <v/>
      </c>
      <c r="AC695">
        <f>IF(OR(AC$4="",$A695&gt;TODAY()),0,IF(OR(INDEX($B695:$D695,AC$5)="F",AND(AC$6&gt;0,$A695&lt;AC$6),AND(AC$7&gt;0,$A695&gt;AC$7)),0,MAX(0,ROUND((INDEX($E695:$G695,AC$5)-SUMIFS(TF_Timer,TF_Tekniker,AC$4,TF_Dato,$A695))*2,0)/2)))</f>
        <v/>
      </c>
      <c r="AD695">
        <f>IF(OR(AD$4="",$A695&gt;TODAY()),0,IF(OR(INDEX($B695:$D695,AD$5)="F",AND(AD$6&gt;0,$A695&lt;AD$6),AND(AD$7&gt;0,$A695&gt;AD$7)),0,MAX(0,ROUND((INDEX($E695:$G695,AD$5)-SUMIFS(TF_Timer,TF_Tekniker,AD$4,TF_Dato,$A695))*2,0)/2)))</f>
        <v/>
      </c>
      <c r="AE695">
        <f>IF(OR(AE$4="",$A695&gt;TODAY()),0,IF(OR(INDEX($B695:$D695,AE$5)="F",AND(AE$6&gt;0,$A695&lt;AE$6),AND(AE$7&gt;0,$A695&gt;AE$7)),0,MAX(0,ROUND((INDEX($E695:$G695,AE$5)-SUMIFS(TF_Timer,TF_Tekniker,AE$4,TF_Dato,$A695))*2,0)/2)))</f>
        <v/>
      </c>
      <c r="AF695">
        <f>IF(OR(AF$4="",$A695&gt;TODAY()),0,IF(OR(INDEX($B695:$D695,AF$5)="F",AND(AF$6&gt;0,$A695&lt;AF$6),AND(AF$7&gt;0,$A695&gt;AF$7)),0,MAX(0,ROUND((INDEX($E695:$G695,AF$5)-SUMIFS(TF_Timer,TF_Tekniker,AF$4,TF_Dato,$A695))*2,0)/2)))</f>
        <v/>
      </c>
      <c r="AG695">
        <f>IF(OR(AG$4="",$A695&gt;TODAY()),0,IF(OR(INDEX($B695:$D695,AG$5)="F",AND(AG$6&gt;0,$A695&lt;AG$6),AND(AG$7&gt;0,$A695&gt;AG$7)),0,MAX(0,ROUND((INDEX($E695:$G695,AG$5)-SUMIFS(TF_Timer,TF_Tekniker,AG$4,TF_Dato,$A695))*2,0)/2)))</f>
        <v/>
      </c>
      <c r="AH695">
        <f>IF(OR(AH$4="",$A695&gt;TODAY()),0,IF(OR(INDEX($B695:$D695,AH$5)="F",AND(AH$6&gt;0,$A695&lt;AH$6),AND(AH$7&gt;0,$A695&gt;AH$7)),0,MAX(0,ROUND((INDEX($E695:$G695,AH$5)-SUMIFS(TF_Timer,TF_Tekniker,AH$4,TF_Dato,$A695))*2,0)/2)))</f>
        <v/>
      </c>
      <c r="AI695">
        <f>IF(OR(AI$4="",$A695&gt;TODAY()),0,IF(OR(INDEX($B695:$D695,AI$5)="F",AND(AI$6&gt;0,$A695&lt;AI$6),AND(AI$7&gt;0,$A695&gt;AI$7)),0,MAX(0,ROUND((INDEX($E695:$G695,AI$5)-SUMIFS(TF_Timer,TF_Tekniker,AI$4,TF_Dato,$A695))*2,0)/2)))</f>
        <v/>
      </c>
      <c r="AJ695">
        <f>IF(OR(AJ$4="",$A695&gt;TODAY()),0,IF(OR(INDEX($B695:$D695,AJ$5)="F",AND(AJ$6&gt;0,$A695&lt;AJ$6),AND(AJ$7&gt;0,$A695&gt;AJ$7)),0,MAX(0,ROUND((INDEX($E695:$G695,AJ$5)-SUMIFS(TF_Timer,TF_Tekniker,AJ$4,TF_Dato,$A695))*2,0)/2)))</f>
        <v/>
      </c>
      <c r="AK695">
        <f>IF(OR(AK$4="",$A695&gt;TODAY()),0,IF(OR(INDEX($B695:$D695,AK$5)="F",AND(AK$6&gt;0,$A695&lt;AK$6),AND(AK$7&gt;0,$A695&gt;AK$7)),0,MAX(0,ROUND((INDEX($E695:$G695,AK$5)-SUMIFS(TF_Timer,TF_Tekniker,AK$4,TF_Dato,$A695))*2,0)/2)))</f>
        <v/>
      </c>
      <c r="AL695">
        <f>IF(OR(AL$4="",$A695&gt;TODAY()),0,IF(OR(INDEX($B695:$D695,AL$5)="F",AND(AL$6&gt;0,$A695&lt;AL$6),AND(AL$7&gt;0,$A695&gt;AL$7)),0,MAX(0,ROUND((INDEX($E695:$G695,AL$5)-SUMIFS(TF_Timer,TF_Tekniker,AL$4,TF_Dato,$A695))*2,0)/2)))</f>
        <v/>
      </c>
      <c r="AM695">
        <f>IF(OR(AM$4="",$A695&gt;TODAY()),0,IF(OR(INDEX($B695:$D695,AM$5)="F",AND(AM$6&gt;0,$A695&lt;AM$6),AND(AM$7&gt;0,$A695&gt;AM$7)),0,MAX(0,ROUND((INDEX($E695:$G695,AM$5)-SUMIFS(TF_Timer,TF_Tekniker,AM$4,TF_Dato,$A695))*2,0)/2)))</f>
        <v/>
      </c>
      <c r="AN695">
        <f>IF(OR(AN$4="",$A695&gt;TODAY()),0,IF(OR(INDEX($B695:$D695,AN$5)="F",AND(AN$6&gt;0,$A695&lt;AN$6),AND(AN$7&gt;0,$A695&gt;AN$7)),0,MAX(0,ROUND((INDEX($E695:$G695,AN$5)-SUMIFS(TF_Timer,TF_Tekniker,AN$4,TF_Dato,$A695))*2,0)/2)))</f>
        <v/>
      </c>
      <c r="AO695">
        <f>IF(OR(AO$4="",$A695&gt;TODAY()),0,IF(OR(INDEX($B695:$D695,AO$5)="F",AND(AO$6&gt;0,$A695&lt;AO$6),AND(AO$7&gt;0,$A695&gt;AO$7)),0,MAX(0,ROUND((INDEX($E695:$G695,AO$5)-SUMIFS(TF_Timer,TF_Tekniker,AO$4,TF_Dato,$A695))*2,0)/2)))</f>
        <v/>
      </c>
      <c r="AP695">
        <f>IF(OR(AP$4="",$A695&gt;TODAY()),0,IF(OR(INDEX($B695:$D695,AP$5)="F",AND(AP$6&gt;0,$A695&lt;AP$6),AND(AP$7&gt;0,$A695&gt;AP$7)),0,MAX(0,ROUND((INDEX($E695:$G695,AP$5)-SUMIFS(TF_Timer,TF_Tekniker,AP$4,TF_Dato,$A695))*2,0)/2)))</f>
        <v/>
      </c>
      <c r="AQ695">
        <f>IF(OR(AQ$4="",$A695&gt;TODAY()),0,IF(OR(INDEX($B695:$D695,AQ$5)="F",AND(AQ$6&gt;0,$A695&lt;AQ$6),AND(AQ$7&gt;0,$A695&gt;AQ$7)),0,MAX(0,ROUND((INDEX($E695:$G695,AQ$5)-SUMIFS(TF_Timer,TF_Tekniker,AQ$4,TF_Dato,$A695))*2,0)/2)))</f>
        <v/>
      </c>
      <c r="AR695">
        <f>IF(OR(AR$4="",$A695&gt;TODAY()),0,IF(OR(INDEX($B695:$D695,AR$5)="F",AND(AR$6&gt;0,$A695&lt;AR$6),AND(AR$7&gt;0,$A695&gt;AR$7)),0,MAX(0,ROUND((INDEX($E695:$G695,AR$5)-SUMIFS(TF_Timer,TF_Tekniker,AR$4,TF_Dato,$A695))*2,0)/2)))</f>
        <v/>
      </c>
      <c r="AS695">
        <f>IF(OR(AS$4="",$A695&gt;TODAY()),0,IF(OR(INDEX($B695:$D695,AS$5)="F",AND(AS$6&gt;0,$A695&lt;AS$6),AND(AS$7&gt;0,$A695&gt;AS$7)),0,MAX(0,ROUND((INDEX($E695:$G695,AS$5)-SUMIFS(TF_Timer,TF_Tekniker,AS$4,TF_Dato,$A695))*2,0)/2)))</f>
        <v/>
      </c>
      <c r="AT695">
        <f>IF(OR(AT$4="",$A695&gt;TODAY()),0,IF(OR(INDEX($B695:$D695,AT$5)="F",AND(AT$6&gt;0,$A695&lt;AT$6),AND(AT$7&gt;0,$A695&gt;AT$7)),0,MAX(0,ROUND((INDEX($E695:$G695,AT$5)-SUMIFS(TF_Timer,TF_Tekniker,AT$4,TF_Dato,$A695))*2,0)/2)))</f>
        <v/>
      </c>
      <c r="AU695">
        <f>IF(OR(AU$4="",$A695&gt;TODAY()),0,IF(OR(INDEX($B695:$D695,AU$5)="F",AND(AU$6&gt;0,$A695&lt;AU$6),AND(AU$7&gt;0,$A695&gt;AU$7)),0,MAX(0,ROUND((INDEX($E695:$G695,AU$5)-SUMIFS(TF_Timer,TF_Tekniker,AU$4,TF_Dato,$A695))*2,0)/2)))</f>
        <v/>
      </c>
      <c r="AV695">
        <f>IF(OR(AV$4="",$A695&gt;TODAY()),0,IF(OR(INDEX($B695:$D695,AV$5)="F",AND(AV$6&gt;0,$A695&lt;AV$6),AND(AV$7&gt;0,$A695&gt;AV$7)),0,MAX(0,ROUND((INDEX($E695:$G695,AV$5)-SUMIFS(TF_Timer,TF_Tekniker,AV$4,TF_Dato,$A695))*2,0)/2)))</f>
        <v/>
      </c>
      <c r="AW695">
        <f>IF(OR(AW$4="",$A695&gt;TODAY()),0,IF(OR(INDEX($B695:$D695,AW$5)="F",AND(AW$6&gt;0,$A695&lt;AW$6),AND(AW$7&gt;0,$A695&gt;AW$7)),0,MAX(0,ROUND((INDEX($E695:$G695,AW$5)-SUMIFS(TF_Timer,TF_Tekniker,AW$4,TF_Dato,$A695))*2,0)/2)))</f>
        <v/>
      </c>
      <c r="AX695">
        <f>IF(OR(AX$4="",$A695&gt;TODAY()),0,IF(OR(INDEX($B695:$D695,AX$5)="F",AND(AX$6&gt;0,$A695&lt;AX$6),AND(AX$7&gt;0,$A695&gt;AX$7)),0,MAX(0,ROUND((INDEX($E695:$G695,AX$5)-SUMIFS(TF_Timer,TF_Tekniker,AX$4,TF_Dato,$A695))*2,0)/2)))</f>
        <v/>
      </c>
      <c r="AY695">
        <f>IF(OR(AY$4="",$A695&gt;TODAY()),0,IF(OR(INDEX($B695:$D695,AY$5)="F",AND(AY$6&gt;0,$A695&lt;AY$6),AND(AY$7&gt;0,$A695&gt;AY$7)),0,MAX(0,ROUND((INDEX($E695:$G695,AY$5)-SUMIFS(TF_Timer,TF_Tekniker,AY$4,TF_Dato,$A695))*2,0)/2)))</f>
        <v/>
      </c>
      <c r="AZ695">
        <f>IF(OR(AZ$4="",$A695&gt;TODAY()),0,IF(OR(INDEX($B695:$D695,AZ$5)="F",AND(AZ$6&gt;0,$A695&lt;AZ$6),AND(AZ$7&gt;0,$A695&gt;AZ$7)),0,MAX(0,ROUND((INDEX($E695:$G695,AZ$5)-SUMIFS(TF_Timer,TF_Tekniker,AZ$4,TF_Dato,$A695))*2,0)/2)))</f>
        <v/>
      </c>
      <c r="BA695">
        <f>IF(OR(BA$4="",$A695&gt;TODAY()),0,IF(OR(INDEX($B695:$D695,BA$5)="F",AND(BA$6&gt;0,$A695&lt;BA$6),AND(BA$7&gt;0,$A695&gt;BA$7)),0,MAX(0,ROUND((INDEX($E695:$G695,BA$5)-SUMIFS(TF_Timer,TF_Tekniker,BA$4,TF_Dato,$A695))*2,0)/2)))</f>
        <v/>
      </c>
      <c r="BB695">
        <f>IF(OR(BB$4="",$A695&gt;TODAY()),0,IF(OR(INDEX($B695:$D695,BB$5)="F",AND(BB$6&gt;0,$A695&lt;BB$6),AND(BB$7&gt;0,$A695&gt;BB$7)),0,MAX(0,ROUND((INDEX($E695:$G695,BB$5)-SUMIFS(TF_Timer,TF_Tekniker,BB$4,TF_Dato,$A695))*2,0)/2)))</f>
        <v/>
      </c>
      <c r="BC695">
        <f>IF(OR(BC$4="",$A695&gt;TODAY()),0,IF(OR(INDEX($B695:$D695,BC$5)="F",AND(BC$6&gt;0,$A695&lt;BC$6),AND(BC$7&gt;0,$A695&gt;BC$7)),0,MAX(0,ROUND((INDEX($E695:$G695,BC$5)-SUMIFS(TF_Timer,TF_Tekniker,BC$4,TF_Dato,$A695))*2,0)/2)))</f>
        <v/>
      </c>
      <c r="BD695">
        <f>IF(OR(BD$4="",$A695&gt;TODAY()),0,IF(OR(INDEX($B695:$D695,BD$5)="F",AND(BD$6&gt;0,$A695&lt;BD$6),AND(BD$7&gt;0,$A695&gt;BD$7)),0,MAX(0,ROUND((INDEX($E695:$G695,BD$5)-SUMIFS(TF_Timer,TF_Tekniker,BD$4,TF_Dato,$A695))*2,0)/2)))</f>
        <v/>
      </c>
      <c r="BE695">
        <f>IF(OR(BE$4="",$A695&gt;TODAY()),0,IF(OR(INDEX($B695:$D695,BE$5)="F",AND(BE$6&gt;0,$A695&lt;BE$6),AND(BE$7&gt;0,$A695&gt;BE$7)),0,MAX(0,ROUND((INDEX($E695:$G695,BE$5)-SUMIFS(TF_Timer,TF_Tekniker,BE$4,TF_Dato,$A695))*2,0)/2)))</f>
        <v/>
      </c>
      <c r="BF695">
        <f>IF(OR(BF$4="",$A695&gt;TODAY()),0,IF(OR(INDEX($B695:$D695,BF$5)="F",AND(BF$6&gt;0,$A695&lt;BF$6),AND(BF$7&gt;0,$A695&gt;BF$7)),0,MAX(0,ROUND((INDEX($E695:$G695,BF$5)-SUMIFS(TF_Timer,TF_Tekniker,BF$4,TF_Dato,$A695))*2,0)/2)))</f>
        <v/>
      </c>
      <c r="BG695">
        <f>IF(OR(BG$4="",$A695&gt;TODAY()),0,IF(OR(INDEX($B695:$D695,BG$5)="F",AND(BG$6&gt;0,$A695&lt;BG$6),AND(BG$7&gt;0,$A695&gt;BG$7)),0,MAX(0,ROUND((INDEX($E695:$G695,BG$5)-SUMIFS(TF_Timer,TF_Tekniker,BG$4,TF_Dato,$A695))*2,0)/2)))</f>
        <v/>
      </c>
      <c r="BH695">
        <f>IF(OR(BH$4="",$A695&gt;TODAY()),0,IF(OR(INDEX($B695:$D695,BH$5)="F",AND(BH$6&gt;0,$A695&lt;BH$6),AND(BH$7&gt;0,$A695&gt;BH$7)),0,MAX(0,ROUND((INDEX($E695:$G695,BH$5)-SUMIFS(TF_Timer,TF_Tekniker,BH$4,TF_Dato,$A695))*2,0)/2)))</f>
        <v/>
      </c>
      <c r="BI695">
        <f>IF(OR(BI$4="",$A695&gt;TODAY()),0,IF(OR(INDEX($B695:$D695,BI$5)="F",AND(BI$6&gt;0,$A695&lt;BI$6),AND(BI$7&gt;0,$A695&gt;BI$7)),0,MAX(0,ROUND((INDEX($E695:$G695,BI$5)-SUMIFS(TF_Timer,TF_Tekniker,BI$4,TF_Dato,$A695))*2,0)/2)))</f>
        <v/>
      </c>
    </row>
    <row r="696">
      <c r="A696" s="64">
        <f>A695+1</f>
        <v/>
      </c>
      <c r="B696">
        <f>IF(MOD($A696-INDEX(SkiftStart,1),Syklus)&lt;DagK,"K",IF(MOD($A696-INDEX(SkiftStart,1),Syklus)&lt;DagK+DagH,"H",IF(MOD($A696-INDEX(SkiftStart,1),Syklus)&lt;DagK+DagH+DagD,"D","F")))</f>
        <v/>
      </c>
      <c r="C696">
        <f>IF(MOD($A696-INDEX(SkiftStart,2),Syklus)&lt;DagK,"K",IF(MOD($A696-INDEX(SkiftStart,2),Syklus)&lt;DagK+DagH,"H",IF(MOD($A696-INDEX(SkiftStart,2),Syklus)&lt;DagK+DagH+DagD,"D","F")))</f>
        <v/>
      </c>
      <c r="D696">
        <f>IF(MOD($A696-INDEX(SkiftStart,3),Syklus)&lt;DagK,"K",IF(MOD($A696-INDEX(SkiftStart,3),Syklus)&lt;DagK+DagH,"H",IF(MOD($A696-INDEX(SkiftStart,3),Syklus)&lt;DagK+DagH+DagD,"D","F")))</f>
        <v/>
      </c>
      <c r="E696">
        <f>IF(B696="F",0,IF(WEEKDAY($A696,2)=5,INDEX(TimerFr,MATCH(B696,FaseKode,0)),INDEX(TimerMT,MATCH(B696,FaseKode,0))))</f>
        <v/>
      </c>
      <c r="F696">
        <f>IF(C696="F",0,IF(WEEKDAY($A696,2)=5,INDEX(TimerFr,MATCH(C696,FaseKode,0)),INDEX(TimerMT,MATCH(C696,FaseKode,0))))</f>
        <v/>
      </c>
      <c r="G696">
        <f>IF(D696="F",0,IF(WEEKDAY($A696,2)=5,INDEX(TimerFr,MATCH(D696,FaseKode,0)),INDEX(TimerMT,MATCH(D696,FaseKode,0))))</f>
        <v/>
      </c>
      <c r="H696">
        <f>IF(OR(H$4="",$A696&gt;TODAY()),0,IF(OR(INDEX($B696:$D696,H$5)="F",AND(H$6&gt;0,$A696&lt;H$6),AND(H$7&gt;0,$A696&gt;H$7)),0,MAX(0,ROUND((INDEX($E696:$G696,H$5)-SUMIFS(TF_Timer,TF_Tekniker,H$4,TF_Dato,$A696))*2,0)/2)))</f>
        <v/>
      </c>
      <c r="I696">
        <f>IF(OR(I$4="",$A696&gt;TODAY()),0,IF(OR(INDEX($B696:$D696,I$5)="F",AND(I$6&gt;0,$A696&lt;I$6),AND(I$7&gt;0,$A696&gt;I$7)),0,MAX(0,ROUND((INDEX($E696:$G696,I$5)-SUMIFS(TF_Timer,TF_Tekniker,I$4,TF_Dato,$A696))*2,0)/2)))</f>
        <v/>
      </c>
      <c r="J696">
        <f>IF(OR(J$4="",$A696&gt;TODAY()),0,IF(OR(INDEX($B696:$D696,J$5)="F",AND(J$6&gt;0,$A696&lt;J$6),AND(J$7&gt;0,$A696&gt;J$7)),0,MAX(0,ROUND((INDEX($E696:$G696,J$5)-SUMIFS(TF_Timer,TF_Tekniker,J$4,TF_Dato,$A696))*2,0)/2)))</f>
        <v/>
      </c>
      <c r="K696">
        <f>IF(OR(K$4="",$A696&gt;TODAY()),0,IF(OR(INDEX($B696:$D696,K$5)="F",AND(K$6&gt;0,$A696&lt;K$6),AND(K$7&gt;0,$A696&gt;K$7)),0,MAX(0,ROUND((INDEX($E696:$G696,K$5)-SUMIFS(TF_Timer,TF_Tekniker,K$4,TF_Dato,$A696))*2,0)/2)))</f>
        <v/>
      </c>
      <c r="L696">
        <f>IF(OR(L$4="",$A696&gt;TODAY()),0,IF(OR(INDEX($B696:$D696,L$5)="F",AND(L$6&gt;0,$A696&lt;L$6),AND(L$7&gt;0,$A696&gt;L$7)),0,MAX(0,ROUND((INDEX($E696:$G696,L$5)-SUMIFS(TF_Timer,TF_Tekniker,L$4,TF_Dato,$A696))*2,0)/2)))</f>
        <v/>
      </c>
      <c r="M696">
        <f>IF(OR(M$4="",$A696&gt;TODAY()),0,IF(OR(INDEX($B696:$D696,M$5)="F",AND(M$6&gt;0,$A696&lt;M$6),AND(M$7&gt;0,$A696&gt;M$7)),0,MAX(0,ROUND((INDEX($E696:$G696,M$5)-SUMIFS(TF_Timer,TF_Tekniker,M$4,TF_Dato,$A696))*2,0)/2)))</f>
        <v/>
      </c>
      <c r="N696">
        <f>IF(OR(N$4="",$A696&gt;TODAY()),0,IF(OR(INDEX($B696:$D696,N$5)="F",AND(N$6&gt;0,$A696&lt;N$6),AND(N$7&gt;0,$A696&gt;N$7)),0,MAX(0,ROUND((INDEX($E696:$G696,N$5)-SUMIFS(TF_Timer,TF_Tekniker,N$4,TF_Dato,$A696))*2,0)/2)))</f>
        <v/>
      </c>
      <c r="O696">
        <f>IF(OR(O$4="",$A696&gt;TODAY()),0,IF(OR(INDEX($B696:$D696,O$5)="F",AND(O$6&gt;0,$A696&lt;O$6),AND(O$7&gt;0,$A696&gt;O$7)),0,MAX(0,ROUND((INDEX($E696:$G696,O$5)-SUMIFS(TF_Timer,TF_Tekniker,O$4,TF_Dato,$A696))*2,0)/2)))</f>
        <v/>
      </c>
      <c r="P696">
        <f>IF(OR(P$4="",$A696&gt;TODAY()),0,IF(OR(INDEX($B696:$D696,P$5)="F",AND(P$6&gt;0,$A696&lt;P$6),AND(P$7&gt;0,$A696&gt;P$7)),0,MAX(0,ROUND((INDEX($E696:$G696,P$5)-SUMIFS(TF_Timer,TF_Tekniker,P$4,TF_Dato,$A696))*2,0)/2)))</f>
        <v/>
      </c>
      <c r="Q696">
        <f>IF(OR(Q$4="",$A696&gt;TODAY()),0,IF(OR(INDEX($B696:$D696,Q$5)="F",AND(Q$6&gt;0,$A696&lt;Q$6),AND(Q$7&gt;0,$A696&gt;Q$7)),0,MAX(0,ROUND((INDEX($E696:$G696,Q$5)-SUMIFS(TF_Timer,TF_Tekniker,Q$4,TF_Dato,$A696))*2,0)/2)))</f>
        <v/>
      </c>
      <c r="R696">
        <f>IF(OR(R$4="",$A696&gt;TODAY()),0,IF(OR(INDEX($B696:$D696,R$5)="F",AND(R$6&gt;0,$A696&lt;R$6),AND(R$7&gt;0,$A696&gt;R$7)),0,MAX(0,ROUND((INDEX($E696:$G696,R$5)-SUMIFS(TF_Timer,TF_Tekniker,R$4,TF_Dato,$A696))*2,0)/2)))</f>
        <v/>
      </c>
      <c r="S696">
        <f>IF(OR(S$4="",$A696&gt;TODAY()),0,IF(OR(INDEX($B696:$D696,S$5)="F",AND(S$6&gt;0,$A696&lt;S$6),AND(S$7&gt;0,$A696&gt;S$7)),0,MAX(0,ROUND((INDEX($E696:$G696,S$5)-SUMIFS(TF_Timer,TF_Tekniker,S$4,TF_Dato,$A696))*2,0)/2)))</f>
        <v/>
      </c>
      <c r="T696">
        <f>IF(OR(T$4="",$A696&gt;TODAY()),0,IF(OR(INDEX($B696:$D696,T$5)="F",AND(T$6&gt;0,$A696&lt;T$6),AND(T$7&gt;0,$A696&gt;T$7)),0,MAX(0,ROUND((INDEX($E696:$G696,T$5)-SUMIFS(TF_Timer,TF_Tekniker,T$4,TF_Dato,$A696))*2,0)/2)))</f>
        <v/>
      </c>
      <c r="U696">
        <f>IF(OR(U$4="",$A696&gt;TODAY()),0,IF(OR(INDEX($B696:$D696,U$5)="F",AND(U$6&gt;0,$A696&lt;U$6),AND(U$7&gt;0,$A696&gt;U$7)),0,MAX(0,ROUND((INDEX($E696:$G696,U$5)-SUMIFS(TF_Timer,TF_Tekniker,U$4,TF_Dato,$A696))*2,0)/2)))</f>
        <v/>
      </c>
      <c r="V696">
        <f>IF(OR(V$4="",$A696&gt;TODAY()),0,IF(OR(INDEX($B696:$D696,V$5)="F",AND(V$6&gt;0,$A696&lt;V$6),AND(V$7&gt;0,$A696&gt;V$7)),0,MAX(0,ROUND((INDEX($E696:$G696,V$5)-SUMIFS(TF_Timer,TF_Tekniker,V$4,TF_Dato,$A696))*2,0)/2)))</f>
        <v/>
      </c>
      <c r="W696">
        <f>IF(OR(W$4="",$A696&gt;TODAY()),0,IF(OR(INDEX($B696:$D696,W$5)="F",AND(W$6&gt;0,$A696&lt;W$6),AND(W$7&gt;0,$A696&gt;W$7)),0,MAX(0,ROUND((INDEX($E696:$G696,W$5)-SUMIFS(TF_Timer,TF_Tekniker,W$4,TF_Dato,$A696))*2,0)/2)))</f>
        <v/>
      </c>
      <c r="X696">
        <f>IF(OR(X$4="",$A696&gt;TODAY()),0,IF(OR(INDEX($B696:$D696,X$5)="F",AND(X$6&gt;0,$A696&lt;X$6),AND(X$7&gt;0,$A696&gt;X$7)),0,MAX(0,ROUND((INDEX($E696:$G696,X$5)-SUMIFS(TF_Timer,TF_Tekniker,X$4,TF_Dato,$A696))*2,0)/2)))</f>
        <v/>
      </c>
      <c r="Y696">
        <f>IF(OR(Y$4="",$A696&gt;TODAY()),0,IF(OR(INDEX($B696:$D696,Y$5)="F",AND(Y$6&gt;0,$A696&lt;Y$6),AND(Y$7&gt;0,$A696&gt;Y$7)),0,MAX(0,ROUND((INDEX($E696:$G696,Y$5)-SUMIFS(TF_Timer,TF_Tekniker,Y$4,TF_Dato,$A696))*2,0)/2)))</f>
        <v/>
      </c>
      <c r="Z696">
        <f>IF(OR(Z$4="",$A696&gt;TODAY()),0,IF(OR(INDEX($B696:$D696,Z$5)="F",AND(Z$6&gt;0,$A696&lt;Z$6),AND(Z$7&gt;0,$A696&gt;Z$7)),0,MAX(0,ROUND((INDEX($E696:$G696,Z$5)-SUMIFS(TF_Timer,TF_Tekniker,Z$4,TF_Dato,$A696))*2,0)/2)))</f>
        <v/>
      </c>
      <c r="AA696">
        <f>IF(OR(AA$4="",$A696&gt;TODAY()),0,IF(OR(INDEX($B696:$D696,AA$5)="F",AND(AA$6&gt;0,$A696&lt;AA$6),AND(AA$7&gt;0,$A696&gt;AA$7)),0,MAX(0,ROUND((INDEX($E696:$G696,AA$5)-SUMIFS(TF_Timer,TF_Tekniker,AA$4,TF_Dato,$A696))*2,0)/2)))</f>
        <v/>
      </c>
      <c r="AB696">
        <f>IF(OR(AB$4="",$A696&gt;TODAY()),0,IF(OR(INDEX($B696:$D696,AB$5)="F",AND(AB$6&gt;0,$A696&lt;AB$6),AND(AB$7&gt;0,$A696&gt;AB$7)),0,MAX(0,ROUND((INDEX($E696:$G696,AB$5)-SUMIFS(TF_Timer,TF_Tekniker,AB$4,TF_Dato,$A696))*2,0)/2)))</f>
        <v/>
      </c>
      <c r="AC696">
        <f>IF(OR(AC$4="",$A696&gt;TODAY()),0,IF(OR(INDEX($B696:$D696,AC$5)="F",AND(AC$6&gt;0,$A696&lt;AC$6),AND(AC$7&gt;0,$A696&gt;AC$7)),0,MAX(0,ROUND((INDEX($E696:$G696,AC$5)-SUMIFS(TF_Timer,TF_Tekniker,AC$4,TF_Dato,$A696))*2,0)/2)))</f>
        <v/>
      </c>
      <c r="AD696">
        <f>IF(OR(AD$4="",$A696&gt;TODAY()),0,IF(OR(INDEX($B696:$D696,AD$5)="F",AND(AD$6&gt;0,$A696&lt;AD$6),AND(AD$7&gt;0,$A696&gt;AD$7)),0,MAX(0,ROUND((INDEX($E696:$G696,AD$5)-SUMIFS(TF_Timer,TF_Tekniker,AD$4,TF_Dato,$A696))*2,0)/2)))</f>
        <v/>
      </c>
      <c r="AE696">
        <f>IF(OR(AE$4="",$A696&gt;TODAY()),0,IF(OR(INDEX($B696:$D696,AE$5)="F",AND(AE$6&gt;0,$A696&lt;AE$6),AND(AE$7&gt;0,$A696&gt;AE$7)),0,MAX(0,ROUND((INDEX($E696:$G696,AE$5)-SUMIFS(TF_Timer,TF_Tekniker,AE$4,TF_Dato,$A696))*2,0)/2)))</f>
        <v/>
      </c>
      <c r="AF696">
        <f>IF(OR(AF$4="",$A696&gt;TODAY()),0,IF(OR(INDEX($B696:$D696,AF$5)="F",AND(AF$6&gt;0,$A696&lt;AF$6),AND(AF$7&gt;0,$A696&gt;AF$7)),0,MAX(0,ROUND((INDEX($E696:$G696,AF$5)-SUMIFS(TF_Timer,TF_Tekniker,AF$4,TF_Dato,$A696))*2,0)/2)))</f>
        <v/>
      </c>
      <c r="AG696">
        <f>IF(OR(AG$4="",$A696&gt;TODAY()),0,IF(OR(INDEX($B696:$D696,AG$5)="F",AND(AG$6&gt;0,$A696&lt;AG$6),AND(AG$7&gt;0,$A696&gt;AG$7)),0,MAX(0,ROUND((INDEX($E696:$G696,AG$5)-SUMIFS(TF_Timer,TF_Tekniker,AG$4,TF_Dato,$A696))*2,0)/2)))</f>
        <v/>
      </c>
      <c r="AH696">
        <f>IF(OR(AH$4="",$A696&gt;TODAY()),0,IF(OR(INDEX($B696:$D696,AH$5)="F",AND(AH$6&gt;0,$A696&lt;AH$6),AND(AH$7&gt;0,$A696&gt;AH$7)),0,MAX(0,ROUND((INDEX($E696:$G696,AH$5)-SUMIFS(TF_Timer,TF_Tekniker,AH$4,TF_Dato,$A696))*2,0)/2)))</f>
        <v/>
      </c>
      <c r="AI696">
        <f>IF(OR(AI$4="",$A696&gt;TODAY()),0,IF(OR(INDEX($B696:$D696,AI$5)="F",AND(AI$6&gt;0,$A696&lt;AI$6),AND(AI$7&gt;0,$A696&gt;AI$7)),0,MAX(0,ROUND((INDEX($E696:$G696,AI$5)-SUMIFS(TF_Timer,TF_Tekniker,AI$4,TF_Dato,$A696))*2,0)/2)))</f>
        <v/>
      </c>
      <c r="AJ696">
        <f>IF(OR(AJ$4="",$A696&gt;TODAY()),0,IF(OR(INDEX($B696:$D696,AJ$5)="F",AND(AJ$6&gt;0,$A696&lt;AJ$6),AND(AJ$7&gt;0,$A696&gt;AJ$7)),0,MAX(0,ROUND((INDEX($E696:$G696,AJ$5)-SUMIFS(TF_Timer,TF_Tekniker,AJ$4,TF_Dato,$A696))*2,0)/2)))</f>
        <v/>
      </c>
      <c r="AK696">
        <f>IF(OR(AK$4="",$A696&gt;TODAY()),0,IF(OR(INDEX($B696:$D696,AK$5)="F",AND(AK$6&gt;0,$A696&lt;AK$6),AND(AK$7&gt;0,$A696&gt;AK$7)),0,MAX(0,ROUND((INDEX($E696:$G696,AK$5)-SUMIFS(TF_Timer,TF_Tekniker,AK$4,TF_Dato,$A696))*2,0)/2)))</f>
        <v/>
      </c>
      <c r="AL696">
        <f>IF(OR(AL$4="",$A696&gt;TODAY()),0,IF(OR(INDEX($B696:$D696,AL$5)="F",AND(AL$6&gt;0,$A696&lt;AL$6),AND(AL$7&gt;0,$A696&gt;AL$7)),0,MAX(0,ROUND((INDEX($E696:$G696,AL$5)-SUMIFS(TF_Timer,TF_Tekniker,AL$4,TF_Dato,$A696))*2,0)/2)))</f>
        <v/>
      </c>
      <c r="AM696">
        <f>IF(OR(AM$4="",$A696&gt;TODAY()),0,IF(OR(INDEX($B696:$D696,AM$5)="F",AND(AM$6&gt;0,$A696&lt;AM$6),AND(AM$7&gt;0,$A696&gt;AM$7)),0,MAX(0,ROUND((INDEX($E696:$G696,AM$5)-SUMIFS(TF_Timer,TF_Tekniker,AM$4,TF_Dato,$A696))*2,0)/2)))</f>
        <v/>
      </c>
      <c r="AN696">
        <f>IF(OR(AN$4="",$A696&gt;TODAY()),0,IF(OR(INDEX($B696:$D696,AN$5)="F",AND(AN$6&gt;0,$A696&lt;AN$6),AND(AN$7&gt;0,$A696&gt;AN$7)),0,MAX(0,ROUND((INDEX($E696:$G696,AN$5)-SUMIFS(TF_Timer,TF_Tekniker,AN$4,TF_Dato,$A696))*2,0)/2)))</f>
        <v/>
      </c>
      <c r="AO696">
        <f>IF(OR(AO$4="",$A696&gt;TODAY()),0,IF(OR(INDEX($B696:$D696,AO$5)="F",AND(AO$6&gt;0,$A696&lt;AO$6),AND(AO$7&gt;0,$A696&gt;AO$7)),0,MAX(0,ROUND((INDEX($E696:$G696,AO$5)-SUMIFS(TF_Timer,TF_Tekniker,AO$4,TF_Dato,$A696))*2,0)/2)))</f>
        <v/>
      </c>
      <c r="AP696">
        <f>IF(OR(AP$4="",$A696&gt;TODAY()),0,IF(OR(INDEX($B696:$D696,AP$5)="F",AND(AP$6&gt;0,$A696&lt;AP$6),AND(AP$7&gt;0,$A696&gt;AP$7)),0,MAX(0,ROUND((INDEX($E696:$G696,AP$5)-SUMIFS(TF_Timer,TF_Tekniker,AP$4,TF_Dato,$A696))*2,0)/2)))</f>
        <v/>
      </c>
      <c r="AQ696">
        <f>IF(OR(AQ$4="",$A696&gt;TODAY()),0,IF(OR(INDEX($B696:$D696,AQ$5)="F",AND(AQ$6&gt;0,$A696&lt;AQ$6),AND(AQ$7&gt;0,$A696&gt;AQ$7)),0,MAX(0,ROUND((INDEX($E696:$G696,AQ$5)-SUMIFS(TF_Timer,TF_Tekniker,AQ$4,TF_Dato,$A696))*2,0)/2)))</f>
        <v/>
      </c>
      <c r="AR696">
        <f>IF(OR(AR$4="",$A696&gt;TODAY()),0,IF(OR(INDEX($B696:$D696,AR$5)="F",AND(AR$6&gt;0,$A696&lt;AR$6),AND(AR$7&gt;0,$A696&gt;AR$7)),0,MAX(0,ROUND((INDEX($E696:$G696,AR$5)-SUMIFS(TF_Timer,TF_Tekniker,AR$4,TF_Dato,$A696))*2,0)/2)))</f>
        <v/>
      </c>
      <c r="AS696">
        <f>IF(OR(AS$4="",$A696&gt;TODAY()),0,IF(OR(INDEX($B696:$D696,AS$5)="F",AND(AS$6&gt;0,$A696&lt;AS$6),AND(AS$7&gt;0,$A696&gt;AS$7)),0,MAX(0,ROUND((INDEX($E696:$G696,AS$5)-SUMIFS(TF_Timer,TF_Tekniker,AS$4,TF_Dato,$A696))*2,0)/2)))</f>
        <v/>
      </c>
      <c r="AT696">
        <f>IF(OR(AT$4="",$A696&gt;TODAY()),0,IF(OR(INDEX($B696:$D696,AT$5)="F",AND(AT$6&gt;0,$A696&lt;AT$6),AND(AT$7&gt;0,$A696&gt;AT$7)),0,MAX(0,ROUND((INDEX($E696:$G696,AT$5)-SUMIFS(TF_Timer,TF_Tekniker,AT$4,TF_Dato,$A696))*2,0)/2)))</f>
        <v/>
      </c>
      <c r="AU696">
        <f>IF(OR(AU$4="",$A696&gt;TODAY()),0,IF(OR(INDEX($B696:$D696,AU$5)="F",AND(AU$6&gt;0,$A696&lt;AU$6),AND(AU$7&gt;0,$A696&gt;AU$7)),0,MAX(0,ROUND((INDEX($E696:$G696,AU$5)-SUMIFS(TF_Timer,TF_Tekniker,AU$4,TF_Dato,$A696))*2,0)/2)))</f>
        <v/>
      </c>
      <c r="AV696">
        <f>IF(OR(AV$4="",$A696&gt;TODAY()),0,IF(OR(INDEX($B696:$D696,AV$5)="F",AND(AV$6&gt;0,$A696&lt;AV$6),AND(AV$7&gt;0,$A696&gt;AV$7)),0,MAX(0,ROUND((INDEX($E696:$G696,AV$5)-SUMIFS(TF_Timer,TF_Tekniker,AV$4,TF_Dato,$A696))*2,0)/2)))</f>
        <v/>
      </c>
      <c r="AW696">
        <f>IF(OR(AW$4="",$A696&gt;TODAY()),0,IF(OR(INDEX($B696:$D696,AW$5)="F",AND(AW$6&gt;0,$A696&lt;AW$6),AND(AW$7&gt;0,$A696&gt;AW$7)),0,MAX(0,ROUND((INDEX($E696:$G696,AW$5)-SUMIFS(TF_Timer,TF_Tekniker,AW$4,TF_Dato,$A696))*2,0)/2)))</f>
        <v/>
      </c>
      <c r="AX696">
        <f>IF(OR(AX$4="",$A696&gt;TODAY()),0,IF(OR(INDEX($B696:$D696,AX$5)="F",AND(AX$6&gt;0,$A696&lt;AX$6),AND(AX$7&gt;0,$A696&gt;AX$7)),0,MAX(0,ROUND((INDEX($E696:$G696,AX$5)-SUMIFS(TF_Timer,TF_Tekniker,AX$4,TF_Dato,$A696))*2,0)/2)))</f>
        <v/>
      </c>
      <c r="AY696">
        <f>IF(OR(AY$4="",$A696&gt;TODAY()),0,IF(OR(INDEX($B696:$D696,AY$5)="F",AND(AY$6&gt;0,$A696&lt;AY$6),AND(AY$7&gt;0,$A696&gt;AY$7)),0,MAX(0,ROUND((INDEX($E696:$G696,AY$5)-SUMIFS(TF_Timer,TF_Tekniker,AY$4,TF_Dato,$A696))*2,0)/2)))</f>
        <v/>
      </c>
      <c r="AZ696">
        <f>IF(OR(AZ$4="",$A696&gt;TODAY()),0,IF(OR(INDEX($B696:$D696,AZ$5)="F",AND(AZ$6&gt;0,$A696&lt;AZ$6),AND(AZ$7&gt;0,$A696&gt;AZ$7)),0,MAX(0,ROUND((INDEX($E696:$G696,AZ$5)-SUMIFS(TF_Timer,TF_Tekniker,AZ$4,TF_Dato,$A696))*2,0)/2)))</f>
        <v/>
      </c>
      <c r="BA696">
        <f>IF(OR(BA$4="",$A696&gt;TODAY()),0,IF(OR(INDEX($B696:$D696,BA$5)="F",AND(BA$6&gt;0,$A696&lt;BA$6),AND(BA$7&gt;0,$A696&gt;BA$7)),0,MAX(0,ROUND((INDEX($E696:$G696,BA$5)-SUMIFS(TF_Timer,TF_Tekniker,BA$4,TF_Dato,$A696))*2,0)/2)))</f>
        <v/>
      </c>
      <c r="BB696">
        <f>IF(OR(BB$4="",$A696&gt;TODAY()),0,IF(OR(INDEX($B696:$D696,BB$5)="F",AND(BB$6&gt;0,$A696&lt;BB$6),AND(BB$7&gt;0,$A696&gt;BB$7)),0,MAX(0,ROUND((INDEX($E696:$G696,BB$5)-SUMIFS(TF_Timer,TF_Tekniker,BB$4,TF_Dato,$A696))*2,0)/2)))</f>
        <v/>
      </c>
      <c r="BC696">
        <f>IF(OR(BC$4="",$A696&gt;TODAY()),0,IF(OR(INDEX($B696:$D696,BC$5)="F",AND(BC$6&gt;0,$A696&lt;BC$6),AND(BC$7&gt;0,$A696&gt;BC$7)),0,MAX(0,ROUND((INDEX($E696:$G696,BC$5)-SUMIFS(TF_Timer,TF_Tekniker,BC$4,TF_Dato,$A696))*2,0)/2)))</f>
        <v/>
      </c>
      <c r="BD696">
        <f>IF(OR(BD$4="",$A696&gt;TODAY()),0,IF(OR(INDEX($B696:$D696,BD$5)="F",AND(BD$6&gt;0,$A696&lt;BD$6),AND(BD$7&gt;0,$A696&gt;BD$7)),0,MAX(0,ROUND((INDEX($E696:$G696,BD$5)-SUMIFS(TF_Timer,TF_Tekniker,BD$4,TF_Dato,$A696))*2,0)/2)))</f>
        <v/>
      </c>
      <c r="BE696">
        <f>IF(OR(BE$4="",$A696&gt;TODAY()),0,IF(OR(INDEX($B696:$D696,BE$5)="F",AND(BE$6&gt;0,$A696&lt;BE$6),AND(BE$7&gt;0,$A696&gt;BE$7)),0,MAX(0,ROUND((INDEX($E696:$G696,BE$5)-SUMIFS(TF_Timer,TF_Tekniker,BE$4,TF_Dato,$A696))*2,0)/2)))</f>
        <v/>
      </c>
      <c r="BF696">
        <f>IF(OR(BF$4="",$A696&gt;TODAY()),0,IF(OR(INDEX($B696:$D696,BF$5)="F",AND(BF$6&gt;0,$A696&lt;BF$6),AND(BF$7&gt;0,$A696&gt;BF$7)),0,MAX(0,ROUND((INDEX($E696:$G696,BF$5)-SUMIFS(TF_Timer,TF_Tekniker,BF$4,TF_Dato,$A696))*2,0)/2)))</f>
        <v/>
      </c>
      <c r="BG696">
        <f>IF(OR(BG$4="",$A696&gt;TODAY()),0,IF(OR(INDEX($B696:$D696,BG$5)="F",AND(BG$6&gt;0,$A696&lt;BG$6),AND(BG$7&gt;0,$A696&gt;BG$7)),0,MAX(0,ROUND((INDEX($E696:$G696,BG$5)-SUMIFS(TF_Timer,TF_Tekniker,BG$4,TF_Dato,$A696))*2,0)/2)))</f>
        <v/>
      </c>
      <c r="BH696">
        <f>IF(OR(BH$4="",$A696&gt;TODAY()),0,IF(OR(INDEX($B696:$D696,BH$5)="F",AND(BH$6&gt;0,$A696&lt;BH$6),AND(BH$7&gt;0,$A696&gt;BH$7)),0,MAX(0,ROUND((INDEX($E696:$G696,BH$5)-SUMIFS(TF_Timer,TF_Tekniker,BH$4,TF_Dato,$A696))*2,0)/2)))</f>
        <v/>
      </c>
      <c r="BI696">
        <f>IF(OR(BI$4="",$A696&gt;TODAY()),0,IF(OR(INDEX($B696:$D696,BI$5)="F",AND(BI$6&gt;0,$A696&lt;BI$6),AND(BI$7&gt;0,$A696&gt;BI$7)),0,MAX(0,ROUND((INDEX($E696:$G696,BI$5)-SUMIFS(TF_Timer,TF_Tekniker,BI$4,TF_Dato,$A696))*2,0)/2)))</f>
        <v/>
      </c>
    </row>
    <row r="697">
      <c r="A697" s="64">
        <f>A696+1</f>
        <v/>
      </c>
      <c r="B697">
        <f>IF(MOD($A697-INDEX(SkiftStart,1),Syklus)&lt;DagK,"K",IF(MOD($A697-INDEX(SkiftStart,1),Syklus)&lt;DagK+DagH,"H",IF(MOD($A697-INDEX(SkiftStart,1),Syklus)&lt;DagK+DagH+DagD,"D","F")))</f>
        <v/>
      </c>
      <c r="C697">
        <f>IF(MOD($A697-INDEX(SkiftStart,2),Syklus)&lt;DagK,"K",IF(MOD($A697-INDEX(SkiftStart,2),Syklus)&lt;DagK+DagH,"H",IF(MOD($A697-INDEX(SkiftStart,2),Syklus)&lt;DagK+DagH+DagD,"D","F")))</f>
        <v/>
      </c>
      <c r="D697">
        <f>IF(MOD($A697-INDEX(SkiftStart,3),Syklus)&lt;DagK,"K",IF(MOD($A697-INDEX(SkiftStart,3),Syklus)&lt;DagK+DagH,"H",IF(MOD($A697-INDEX(SkiftStart,3),Syklus)&lt;DagK+DagH+DagD,"D","F")))</f>
        <v/>
      </c>
      <c r="E697">
        <f>IF(B697="F",0,IF(WEEKDAY($A697,2)=5,INDEX(TimerFr,MATCH(B697,FaseKode,0)),INDEX(TimerMT,MATCH(B697,FaseKode,0))))</f>
        <v/>
      </c>
      <c r="F697">
        <f>IF(C697="F",0,IF(WEEKDAY($A697,2)=5,INDEX(TimerFr,MATCH(C697,FaseKode,0)),INDEX(TimerMT,MATCH(C697,FaseKode,0))))</f>
        <v/>
      </c>
      <c r="G697">
        <f>IF(D697="F",0,IF(WEEKDAY($A697,2)=5,INDEX(TimerFr,MATCH(D697,FaseKode,0)),INDEX(TimerMT,MATCH(D697,FaseKode,0))))</f>
        <v/>
      </c>
      <c r="H697">
        <f>IF(OR(H$4="",$A697&gt;TODAY()),0,IF(OR(INDEX($B697:$D697,H$5)="F",AND(H$6&gt;0,$A697&lt;H$6),AND(H$7&gt;0,$A697&gt;H$7)),0,MAX(0,ROUND((INDEX($E697:$G697,H$5)-SUMIFS(TF_Timer,TF_Tekniker,H$4,TF_Dato,$A697))*2,0)/2)))</f>
        <v/>
      </c>
      <c r="I697">
        <f>IF(OR(I$4="",$A697&gt;TODAY()),0,IF(OR(INDEX($B697:$D697,I$5)="F",AND(I$6&gt;0,$A697&lt;I$6),AND(I$7&gt;0,$A697&gt;I$7)),0,MAX(0,ROUND((INDEX($E697:$G697,I$5)-SUMIFS(TF_Timer,TF_Tekniker,I$4,TF_Dato,$A697))*2,0)/2)))</f>
        <v/>
      </c>
      <c r="J697">
        <f>IF(OR(J$4="",$A697&gt;TODAY()),0,IF(OR(INDEX($B697:$D697,J$5)="F",AND(J$6&gt;0,$A697&lt;J$6),AND(J$7&gt;0,$A697&gt;J$7)),0,MAX(0,ROUND((INDEX($E697:$G697,J$5)-SUMIFS(TF_Timer,TF_Tekniker,J$4,TF_Dato,$A697))*2,0)/2)))</f>
        <v/>
      </c>
      <c r="K697">
        <f>IF(OR(K$4="",$A697&gt;TODAY()),0,IF(OR(INDEX($B697:$D697,K$5)="F",AND(K$6&gt;0,$A697&lt;K$6),AND(K$7&gt;0,$A697&gt;K$7)),0,MAX(0,ROUND((INDEX($E697:$G697,K$5)-SUMIFS(TF_Timer,TF_Tekniker,K$4,TF_Dato,$A697))*2,0)/2)))</f>
        <v/>
      </c>
      <c r="L697">
        <f>IF(OR(L$4="",$A697&gt;TODAY()),0,IF(OR(INDEX($B697:$D697,L$5)="F",AND(L$6&gt;0,$A697&lt;L$6),AND(L$7&gt;0,$A697&gt;L$7)),0,MAX(0,ROUND((INDEX($E697:$G697,L$5)-SUMIFS(TF_Timer,TF_Tekniker,L$4,TF_Dato,$A697))*2,0)/2)))</f>
        <v/>
      </c>
      <c r="M697">
        <f>IF(OR(M$4="",$A697&gt;TODAY()),0,IF(OR(INDEX($B697:$D697,M$5)="F",AND(M$6&gt;0,$A697&lt;M$6),AND(M$7&gt;0,$A697&gt;M$7)),0,MAX(0,ROUND((INDEX($E697:$G697,M$5)-SUMIFS(TF_Timer,TF_Tekniker,M$4,TF_Dato,$A697))*2,0)/2)))</f>
        <v/>
      </c>
      <c r="N697">
        <f>IF(OR(N$4="",$A697&gt;TODAY()),0,IF(OR(INDEX($B697:$D697,N$5)="F",AND(N$6&gt;0,$A697&lt;N$6),AND(N$7&gt;0,$A697&gt;N$7)),0,MAX(0,ROUND((INDEX($E697:$G697,N$5)-SUMIFS(TF_Timer,TF_Tekniker,N$4,TF_Dato,$A697))*2,0)/2)))</f>
        <v/>
      </c>
      <c r="O697">
        <f>IF(OR(O$4="",$A697&gt;TODAY()),0,IF(OR(INDEX($B697:$D697,O$5)="F",AND(O$6&gt;0,$A697&lt;O$6),AND(O$7&gt;0,$A697&gt;O$7)),0,MAX(0,ROUND((INDEX($E697:$G697,O$5)-SUMIFS(TF_Timer,TF_Tekniker,O$4,TF_Dato,$A697))*2,0)/2)))</f>
        <v/>
      </c>
      <c r="P697">
        <f>IF(OR(P$4="",$A697&gt;TODAY()),0,IF(OR(INDEX($B697:$D697,P$5)="F",AND(P$6&gt;0,$A697&lt;P$6),AND(P$7&gt;0,$A697&gt;P$7)),0,MAX(0,ROUND((INDEX($E697:$G697,P$5)-SUMIFS(TF_Timer,TF_Tekniker,P$4,TF_Dato,$A697))*2,0)/2)))</f>
        <v/>
      </c>
      <c r="Q697">
        <f>IF(OR(Q$4="",$A697&gt;TODAY()),0,IF(OR(INDEX($B697:$D697,Q$5)="F",AND(Q$6&gt;0,$A697&lt;Q$6),AND(Q$7&gt;0,$A697&gt;Q$7)),0,MAX(0,ROUND((INDEX($E697:$G697,Q$5)-SUMIFS(TF_Timer,TF_Tekniker,Q$4,TF_Dato,$A697))*2,0)/2)))</f>
        <v/>
      </c>
      <c r="R697">
        <f>IF(OR(R$4="",$A697&gt;TODAY()),0,IF(OR(INDEX($B697:$D697,R$5)="F",AND(R$6&gt;0,$A697&lt;R$6),AND(R$7&gt;0,$A697&gt;R$7)),0,MAX(0,ROUND((INDEX($E697:$G697,R$5)-SUMIFS(TF_Timer,TF_Tekniker,R$4,TF_Dato,$A697))*2,0)/2)))</f>
        <v/>
      </c>
      <c r="S697">
        <f>IF(OR(S$4="",$A697&gt;TODAY()),0,IF(OR(INDEX($B697:$D697,S$5)="F",AND(S$6&gt;0,$A697&lt;S$6),AND(S$7&gt;0,$A697&gt;S$7)),0,MAX(0,ROUND((INDEX($E697:$G697,S$5)-SUMIFS(TF_Timer,TF_Tekniker,S$4,TF_Dato,$A697))*2,0)/2)))</f>
        <v/>
      </c>
      <c r="T697">
        <f>IF(OR(T$4="",$A697&gt;TODAY()),0,IF(OR(INDEX($B697:$D697,T$5)="F",AND(T$6&gt;0,$A697&lt;T$6),AND(T$7&gt;0,$A697&gt;T$7)),0,MAX(0,ROUND((INDEX($E697:$G697,T$5)-SUMIFS(TF_Timer,TF_Tekniker,T$4,TF_Dato,$A697))*2,0)/2)))</f>
        <v/>
      </c>
      <c r="U697">
        <f>IF(OR(U$4="",$A697&gt;TODAY()),0,IF(OR(INDEX($B697:$D697,U$5)="F",AND(U$6&gt;0,$A697&lt;U$6),AND(U$7&gt;0,$A697&gt;U$7)),0,MAX(0,ROUND((INDEX($E697:$G697,U$5)-SUMIFS(TF_Timer,TF_Tekniker,U$4,TF_Dato,$A697))*2,0)/2)))</f>
        <v/>
      </c>
      <c r="V697">
        <f>IF(OR(V$4="",$A697&gt;TODAY()),0,IF(OR(INDEX($B697:$D697,V$5)="F",AND(V$6&gt;0,$A697&lt;V$6),AND(V$7&gt;0,$A697&gt;V$7)),0,MAX(0,ROUND((INDEX($E697:$G697,V$5)-SUMIFS(TF_Timer,TF_Tekniker,V$4,TF_Dato,$A697))*2,0)/2)))</f>
        <v/>
      </c>
      <c r="W697">
        <f>IF(OR(W$4="",$A697&gt;TODAY()),0,IF(OR(INDEX($B697:$D697,W$5)="F",AND(W$6&gt;0,$A697&lt;W$6),AND(W$7&gt;0,$A697&gt;W$7)),0,MAX(0,ROUND((INDEX($E697:$G697,W$5)-SUMIFS(TF_Timer,TF_Tekniker,W$4,TF_Dato,$A697))*2,0)/2)))</f>
        <v/>
      </c>
      <c r="X697">
        <f>IF(OR(X$4="",$A697&gt;TODAY()),0,IF(OR(INDEX($B697:$D697,X$5)="F",AND(X$6&gt;0,$A697&lt;X$6),AND(X$7&gt;0,$A697&gt;X$7)),0,MAX(0,ROUND((INDEX($E697:$G697,X$5)-SUMIFS(TF_Timer,TF_Tekniker,X$4,TF_Dato,$A697))*2,0)/2)))</f>
        <v/>
      </c>
      <c r="Y697">
        <f>IF(OR(Y$4="",$A697&gt;TODAY()),0,IF(OR(INDEX($B697:$D697,Y$5)="F",AND(Y$6&gt;0,$A697&lt;Y$6),AND(Y$7&gt;0,$A697&gt;Y$7)),0,MAX(0,ROUND((INDEX($E697:$G697,Y$5)-SUMIFS(TF_Timer,TF_Tekniker,Y$4,TF_Dato,$A697))*2,0)/2)))</f>
        <v/>
      </c>
      <c r="Z697">
        <f>IF(OR(Z$4="",$A697&gt;TODAY()),0,IF(OR(INDEX($B697:$D697,Z$5)="F",AND(Z$6&gt;0,$A697&lt;Z$6),AND(Z$7&gt;0,$A697&gt;Z$7)),0,MAX(0,ROUND((INDEX($E697:$G697,Z$5)-SUMIFS(TF_Timer,TF_Tekniker,Z$4,TF_Dato,$A697))*2,0)/2)))</f>
        <v/>
      </c>
      <c r="AA697">
        <f>IF(OR(AA$4="",$A697&gt;TODAY()),0,IF(OR(INDEX($B697:$D697,AA$5)="F",AND(AA$6&gt;0,$A697&lt;AA$6),AND(AA$7&gt;0,$A697&gt;AA$7)),0,MAX(0,ROUND((INDEX($E697:$G697,AA$5)-SUMIFS(TF_Timer,TF_Tekniker,AA$4,TF_Dato,$A697))*2,0)/2)))</f>
        <v/>
      </c>
      <c r="AB697">
        <f>IF(OR(AB$4="",$A697&gt;TODAY()),0,IF(OR(INDEX($B697:$D697,AB$5)="F",AND(AB$6&gt;0,$A697&lt;AB$6),AND(AB$7&gt;0,$A697&gt;AB$7)),0,MAX(0,ROUND((INDEX($E697:$G697,AB$5)-SUMIFS(TF_Timer,TF_Tekniker,AB$4,TF_Dato,$A697))*2,0)/2)))</f>
        <v/>
      </c>
      <c r="AC697">
        <f>IF(OR(AC$4="",$A697&gt;TODAY()),0,IF(OR(INDEX($B697:$D697,AC$5)="F",AND(AC$6&gt;0,$A697&lt;AC$6),AND(AC$7&gt;0,$A697&gt;AC$7)),0,MAX(0,ROUND((INDEX($E697:$G697,AC$5)-SUMIFS(TF_Timer,TF_Tekniker,AC$4,TF_Dato,$A697))*2,0)/2)))</f>
        <v/>
      </c>
      <c r="AD697">
        <f>IF(OR(AD$4="",$A697&gt;TODAY()),0,IF(OR(INDEX($B697:$D697,AD$5)="F",AND(AD$6&gt;0,$A697&lt;AD$6),AND(AD$7&gt;0,$A697&gt;AD$7)),0,MAX(0,ROUND((INDEX($E697:$G697,AD$5)-SUMIFS(TF_Timer,TF_Tekniker,AD$4,TF_Dato,$A697))*2,0)/2)))</f>
        <v/>
      </c>
      <c r="AE697">
        <f>IF(OR(AE$4="",$A697&gt;TODAY()),0,IF(OR(INDEX($B697:$D697,AE$5)="F",AND(AE$6&gt;0,$A697&lt;AE$6),AND(AE$7&gt;0,$A697&gt;AE$7)),0,MAX(0,ROUND((INDEX($E697:$G697,AE$5)-SUMIFS(TF_Timer,TF_Tekniker,AE$4,TF_Dato,$A697))*2,0)/2)))</f>
        <v/>
      </c>
      <c r="AF697">
        <f>IF(OR(AF$4="",$A697&gt;TODAY()),0,IF(OR(INDEX($B697:$D697,AF$5)="F",AND(AF$6&gt;0,$A697&lt;AF$6),AND(AF$7&gt;0,$A697&gt;AF$7)),0,MAX(0,ROUND((INDEX($E697:$G697,AF$5)-SUMIFS(TF_Timer,TF_Tekniker,AF$4,TF_Dato,$A697))*2,0)/2)))</f>
        <v/>
      </c>
      <c r="AG697">
        <f>IF(OR(AG$4="",$A697&gt;TODAY()),0,IF(OR(INDEX($B697:$D697,AG$5)="F",AND(AG$6&gt;0,$A697&lt;AG$6),AND(AG$7&gt;0,$A697&gt;AG$7)),0,MAX(0,ROUND((INDEX($E697:$G697,AG$5)-SUMIFS(TF_Timer,TF_Tekniker,AG$4,TF_Dato,$A697))*2,0)/2)))</f>
        <v/>
      </c>
      <c r="AH697">
        <f>IF(OR(AH$4="",$A697&gt;TODAY()),0,IF(OR(INDEX($B697:$D697,AH$5)="F",AND(AH$6&gt;0,$A697&lt;AH$6),AND(AH$7&gt;0,$A697&gt;AH$7)),0,MAX(0,ROUND((INDEX($E697:$G697,AH$5)-SUMIFS(TF_Timer,TF_Tekniker,AH$4,TF_Dato,$A697))*2,0)/2)))</f>
        <v/>
      </c>
      <c r="AI697">
        <f>IF(OR(AI$4="",$A697&gt;TODAY()),0,IF(OR(INDEX($B697:$D697,AI$5)="F",AND(AI$6&gt;0,$A697&lt;AI$6),AND(AI$7&gt;0,$A697&gt;AI$7)),0,MAX(0,ROUND((INDEX($E697:$G697,AI$5)-SUMIFS(TF_Timer,TF_Tekniker,AI$4,TF_Dato,$A697))*2,0)/2)))</f>
        <v/>
      </c>
      <c r="AJ697">
        <f>IF(OR(AJ$4="",$A697&gt;TODAY()),0,IF(OR(INDEX($B697:$D697,AJ$5)="F",AND(AJ$6&gt;0,$A697&lt;AJ$6),AND(AJ$7&gt;0,$A697&gt;AJ$7)),0,MAX(0,ROUND((INDEX($E697:$G697,AJ$5)-SUMIFS(TF_Timer,TF_Tekniker,AJ$4,TF_Dato,$A697))*2,0)/2)))</f>
        <v/>
      </c>
      <c r="AK697">
        <f>IF(OR(AK$4="",$A697&gt;TODAY()),0,IF(OR(INDEX($B697:$D697,AK$5)="F",AND(AK$6&gt;0,$A697&lt;AK$6),AND(AK$7&gt;0,$A697&gt;AK$7)),0,MAX(0,ROUND((INDEX($E697:$G697,AK$5)-SUMIFS(TF_Timer,TF_Tekniker,AK$4,TF_Dato,$A697))*2,0)/2)))</f>
        <v/>
      </c>
      <c r="AL697">
        <f>IF(OR(AL$4="",$A697&gt;TODAY()),0,IF(OR(INDEX($B697:$D697,AL$5)="F",AND(AL$6&gt;0,$A697&lt;AL$6),AND(AL$7&gt;0,$A697&gt;AL$7)),0,MAX(0,ROUND((INDEX($E697:$G697,AL$5)-SUMIFS(TF_Timer,TF_Tekniker,AL$4,TF_Dato,$A697))*2,0)/2)))</f>
        <v/>
      </c>
      <c r="AM697">
        <f>IF(OR(AM$4="",$A697&gt;TODAY()),0,IF(OR(INDEX($B697:$D697,AM$5)="F",AND(AM$6&gt;0,$A697&lt;AM$6),AND(AM$7&gt;0,$A697&gt;AM$7)),0,MAX(0,ROUND((INDEX($E697:$G697,AM$5)-SUMIFS(TF_Timer,TF_Tekniker,AM$4,TF_Dato,$A697))*2,0)/2)))</f>
        <v/>
      </c>
      <c r="AN697">
        <f>IF(OR(AN$4="",$A697&gt;TODAY()),0,IF(OR(INDEX($B697:$D697,AN$5)="F",AND(AN$6&gt;0,$A697&lt;AN$6),AND(AN$7&gt;0,$A697&gt;AN$7)),0,MAX(0,ROUND((INDEX($E697:$G697,AN$5)-SUMIFS(TF_Timer,TF_Tekniker,AN$4,TF_Dato,$A697))*2,0)/2)))</f>
        <v/>
      </c>
      <c r="AO697">
        <f>IF(OR(AO$4="",$A697&gt;TODAY()),0,IF(OR(INDEX($B697:$D697,AO$5)="F",AND(AO$6&gt;0,$A697&lt;AO$6),AND(AO$7&gt;0,$A697&gt;AO$7)),0,MAX(0,ROUND((INDEX($E697:$G697,AO$5)-SUMIFS(TF_Timer,TF_Tekniker,AO$4,TF_Dato,$A697))*2,0)/2)))</f>
        <v/>
      </c>
      <c r="AP697">
        <f>IF(OR(AP$4="",$A697&gt;TODAY()),0,IF(OR(INDEX($B697:$D697,AP$5)="F",AND(AP$6&gt;0,$A697&lt;AP$6),AND(AP$7&gt;0,$A697&gt;AP$7)),0,MAX(0,ROUND((INDEX($E697:$G697,AP$5)-SUMIFS(TF_Timer,TF_Tekniker,AP$4,TF_Dato,$A697))*2,0)/2)))</f>
        <v/>
      </c>
      <c r="AQ697">
        <f>IF(OR(AQ$4="",$A697&gt;TODAY()),0,IF(OR(INDEX($B697:$D697,AQ$5)="F",AND(AQ$6&gt;0,$A697&lt;AQ$6),AND(AQ$7&gt;0,$A697&gt;AQ$7)),0,MAX(0,ROUND((INDEX($E697:$G697,AQ$5)-SUMIFS(TF_Timer,TF_Tekniker,AQ$4,TF_Dato,$A697))*2,0)/2)))</f>
        <v/>
      </c>
      <c r="AR697">
        <f>IF(OR(AR$4="",$A697&gt;TODAY()),0,IF(OR(INDEX($B697:$D697,AR$5)="F",AND(AR$6&gt;0,$A697&lt;AR$6),AND(AR$7&gt;0,$A697&gt;AR$7)),0,MAX(0,ROUND((INDEX($E697:$G697,AR$5)-SUMIFS(TF_Timer,TF_Tekniker,AR$4,TF_Dato,$A697))*2,0)/2)))</f>
        <v/>
      </c>
      <c r="AS697">
        <f>IF(OR(AS$4="",$A697&gt;TODAY()),0,IF(OR(INDEX($B697:$D697,AS$5)="F",AND(AS$6&gt;0,$A697&lt;AS$6),AND(AS$7&gt;0,$A697&gt;AS$7)),0,MAX(0,ROUND((INDEX($E697:$G697,AS$5)-SUMIFS(TF_Timer,TF_Tekniker,AS$4,TF_Dato,$A697))*2,0)/2)))</f>
        <v/>
      </c>
      <c r="AT697">
        <f>IF(OR(AT$4="",$A697&gt;TODAY()),0,IF(OR(INDEX($B697:$D697,AT$5)="F",AND(AT$6&gt;0,$A697&lt;AT$6),AND(AT$7&gt;0,$A697&gt;AT$7)),0,MAX(0,ROUND((INDEX($E697:$G697,AT$5)-SUMIFS(TF_Timer,TF_Tekniker,AT$4,TF_Dato,$A697))*2,0)/2)))</f>
        <v/>
      </c>
      <c r="AU697">
        <f>IF(OR(AU$4="",$A697&gt;TODAY()),0,IF(OR(INDEX($B697:$D697,AU$5)="F",AND(AU$6&gt;0,$A697&lt;AU$6),AND(AU$7&gt;0,$A697&gt;AU$7)),0,MAX(0,ROUND((INDEX($E697:$G697,AU$5)-SUMIFS(TF_Timer,TF_Tekniker,AU$4,TF_Dato,$A697))*2,0)/2)))</f>
        <v/>
      </c>
      <c r="AV697">
        <f>IF(OR(AV$4="",$A697&gt;TODAY()),0,IF(OR(INDEX($B697:$D697,AV$5)="F",AND(AV$6&gt;0,$A697&lt;AV$6),AND(AV$7&gt;0,$A697&gt;AV$7)),0,MAX(0,ROUND((INDEX($E697:$G697,AV$5)-SUMIFS(TF_Timer,TF_Tekniker,AV$4,TF_Dato,$A697))*2,0)/2)))</f>
        <v/>
      </c>
      <c r="AW697">
        <f>IF(OR(AW$4="",$A697&gt;TODAY()),0,IF(OR(INDEX($B697:$D697,AW$5)="F",AND(AW$6&gt;0,$A697&lt;AW$6),AND(AW$7&gt;0,$A697&gt;AW$7)),0,MAX(0,ROUND((INDEX($E697:$G697,AW$5)-SUMIFS(TF_Timer,TF_Tekniker,AW$4,TF_Dato,$A697))*2,0)/2)))</f>
        <v/>
      </c>
      <c r="AX697">
        <f>IF(OR(AX$4="",$A697&gt;TODAY()),0,IF(OR(INDEX($B697:$D697,AX$5)="F",AND(AX$6&gt;0,$A697&lt;AX$6),AND(AX$7&gt;0,$A697&gt;AX$7)),0,MAX(0,ROUND((INDEX($E697:$G697,AX$5)-SUMIFS(TF_Timer,TF_Tekniker,AX$4,TF_Dato,$A697))*2,0)/2)))</f>
        <v/>
      </c>
      <c r="AY697">
        <f>IF(OR(AY$4="",$A697&gt;TODAY()),0,IF(OR(INDEX($B697:$D697,AY$5)="F",AND(AY$6&gt;0,$A697&lt;AY$6),AND(AY$7&gt;0,$A697&gt;AY$7)),0,MAX(0,ROUND((INDEX($E697:$G697,AY$5)-SUMIFS(TF_Timer,TF_Tekniker,AY$4,TF_Dato,$A697))*2,0)/2)))</f>
        <v/>
      </c>
      <c r="AZ697">
        <f>IF(OR(AZ$4="",$A697&gt;TODAY()),0,IF(OR(INDEX($B697:$D697,AZ$5)="F",AND(AZ$6&gt;0,$A697&lt;AZ$6),AND(AZ$7&gt;0,$A697&gt;AZ$7)),0,MAX(0,ROUND((INDEX($E697:$G697,AZ$5)-SUMIFS(TF_Timer,TF_Tekniker,AZ$4,TF_Dato,$A697))*2,0)/2)))</f>
        <v/>
      </c>
      <c r="BA697">
        <f>IF(OR(BA$4="",$A697&gt;TODAY()),0,IF(OR(INDEX($B697:$D697,BA$5)="F",AND(BA$6&gt;0,$A697&lt;BA$6),AND(BA$7&gt;0,$A697&gt;BA$7)),0,MAX(0,ROUND((INDEX($E697:$G697,BA$5)-SUMIFS(TF_Timer,TF_Tekniker,BA$4,TF_Dato,$A697))*2,0)/2)))</f>
        <v/>
      </c>
      <c r="BB697">
        <f>IF(OR(BB$4="",$A697&gt;TODAY()),0,IF(OR(INDEX($B697:$D697,BB$5)="F",AND(BB$6&gt;0,$A697&lt;BB$6),AND(BB$7&gt;0,$A697&gt;BB$7)),0,MAX(0,ROUND((INDEX($E697:$G697,BB$5)-SUMIFS(TF_Timer,TF_Tekniker,BB$4,TF_Dato,$A697))*2,0)/2)))</f>
        <v/>
      </c>
      <c r="BC697">
        <f>IF(OR(BC$4="",$A697&gt;TODAY()),0,IF(OR(INDEX($B697:$D697,BC$5)="F",AND(BC$6&gt;0,$A697&lt;BC$6),AND(BC$7&gt;0,$A697&gt;BC$7)),0,MAX(0,ROUND((INDEX($E697:$G697,BC$5)-SUMIFS(TF_Timer,TF_Tekniker,BC$4,TF_Dato,$A697))*2,0)/2)))</f>
        <v/>
      </c>
      <c r="BD697">
        <f>IF(OR(BD$4="",$A697&gt;TODAY()),0,IF(OR(INDEX($B697:$D697,BD$5)="F",AND(BD$6&gt;0,$A697&lt;BD$6),AND(BD$7&gt;0,$A697&gt;BD$7)),0,MAX(0,ROUND((INDEX($E697:$G697,BD$5)-SUMIFS(TF_Timer,TF_Tekniker,BD$4,TF_Dato,$A697))*2,0)/2)))</f>
        <v/>
      </c>
      <c r="BE697">
        <f>IF(OR(BE$4="",$A697&gt;TODAY()),0,IF(OR(INDEX($B697:$D697,BE$5)="F",AND(BE$6&gt;0,$A697&lt;BE$6),AND(BE$7&gt;0,$A697&gt;BE$7)),0,MAX(0,ROUND((INDEX($E697:$G697,BE$5)-SUMIFS(TF_Timer,TF_Tekniker,BE$4,TF_Dato,$A697))*2,0)/2)))</f>
        <v/>
      </c>
      <c r="BF697">
        <f>IF(OR(BF$4="",$A697&gt;TODAY()),0,IF(OR(INDEX($B697:$D697,BF$5)="F",AND(BF$6&gt;0,$A697&lt;BF$6),AND(BF$7&gt;0,$A697&gt;BF$7)),0,MAX(0,ROUND((INDEX($E697:$G697,BF$5)-SUMIFS(TF_Timer,TF_Tekniker,BF$4,TF_Dato,$A697))*2,0)/2)))</f>
        <v/>
      </c>
      <c r="BG697">
        <f>IF(OR(BG$4="",$A697&gt;TODAY()),0,IF(OR(INDEX($B697:$D697,BG$5)="F",AND(BG$6&gt;0,$A697&lt;BG$6),AND(BG$7&gt;0,$A697&gt;BG$7)),0,MAX(0,ROUND((INDEX($E697:$G697,BG$5)-SUMIFS(TF_Timer,TF_Tekniker,BG$4,TF_Dato,$A697))*2,0)/2)))</f>
        <v/>
      </c>
      <c r="BH697">
        <f>IF(OR(BH$4="",$A697&gt;TODAY()),0,IF(OR(INDEX($B697:$D697,BH$5)="F",AND(BH$6&gt;0,$A697&lt;BH$6),AND(BH$7&gt;0,$A697&gt;BH$7)),0,MAX(0,ROUND((INDEX($E697:$G697,BH$5)-SUMIFS(TF_Timer,TF_Tekniker,BH$4,TF_Dato,$A697))*2,0)/2)))</f>
        <v/>
      </c>
      <c r="BI697">
        <f>IF(OR(BI$4="",$A697&gt;TODAY()),0,IF(OR(INDEX($B697:$D697,BI$5)="F",AND(BI$6&gt;0,$A697&lt;BI$6),AND(BI$7&gt;0,$A697&gt;BI$7)),0,MAX(0,ROUND((INDEX($E697:$G697,BI$5)-SUMIFS(TF_Timer,TF_Tekniker,BI$4,TF_Dato,$A697))*2,0)/2)))</f>
        <v/>
      </c>
    </row>
    <row r="698">
      <c r="A698" s="64">
        <f>A697+1</f>
        <v/>
      </c>
      <c r="B698">
        <f>IF(MOD($A698-INDEX(SkiftStart,1),Syklus)&lt;DagK,"K",IF(MOD($A698-INDEX(SkiftStart,1),Syklus)&lt;DagK+DagH,"H",IF(MOD($A698-INDEX(SkiftStart,1),Syklus)&lt;DagK+DagH+DagD,"D","F")))</f>
        <v/>
      </c>
      <c r="C698">
        <f>IF(MOD($A698-INDEX(SkiftStart,2),Syklus)&lt;DagK,"K",IF(MOD($A698-INDEX(SkiftStart,2),Syklus)&lt;DagK+DagH,"H",IF(MOD($A698-INDEX(SkiftStart,2),Syklus)&lt;DagK+DagH+DagD,"D","F")))</f>
        <v/>
      </c>
      <c r="D698">
        <f>IF(MOD($A698-INDEX(SkiftStart,3),Syklus)&lt;DagK,"K",IF(MOD($A698-INDEX(SkiftStart,3),Syklus)&lt;DagK+DagH,"H",IF(MOD($A698-INDEX(SkiftStart,3),Syklus)&lt;DagK+DagH+DagD,"D","F")))</f>
        <v/>
      </c>
      <c r="E698">
        <f>IF(B698="F",0,IF(WEEKDAY($A698,2)=5,INDEX(TimerFr,MATCH(B698,FaseKode,0)),INDEX(TimerMT,MATCH(B698,FaseKode,0))))</f>
        <v/>
      </c>
      <c r="F698">
        <f>IF(C698="F",0,IF(WEEKDAY($A698,2)=5,INDEX(TimerFr,MATCH(C698,FaseKode,0)),INDEX(TimerMT,MATCH(C698,FaseKode,0))))</f>
        <v/>
      </c>
      <c r="G698">
        <f>IF(D698="F",0,IF(WEEKDAY($A698,2)=5,INDEX(TimerFr,MATCH(D698,FaseKode,0)),INDEX(TimerMT,MATCH(D698,FaseKode,0))))</f>
        <v/>
      </c>
      <c r="H698">
        <f>IF(OR(H$4="",$A698&gt;TODAY()),0,IF(OR(INDEX($B698:$D698,H$5)="F",AND(H$6&gt;0,$A698&lt;H$6),AND(H$7&gt;0,$A698&gt;H$7)),0,MAX(0,ROUND((INDEX($E698:$G698,H$5)-SUMIFS(TF_Timer,TF_Tekniker,H$4,TF_Dato,$A698))*2,0)/2)))</f>
        <v/>
      </c>
      <c r="I698">
        <f>IF(OR(I$4="",$A698&gt;TODAY()),0,IF(OR(INDEX($B698:$D698,I$5)="F",AND(I$6&gt;0,$A698&lt;I$6),AND(I$7&gt;0,$A698&gt;I$7)),0,MAX(0,ROUND((INDEX($E698:$G698,I$5)-SUMIFS(TF_Timer,TF_Tekniker,I$4,TF_Dato,$A698))*2,0)/2)))</f>
        <v/>
      </c>
      <c r="J698">
        <f>IF(OR(J$4="",$A698&gt;TODAY()),0,IF(OR(INDEX($B698:$D698,J$5)="F",AND(J$6&gt;0,$A698&lt;J$6),AND(J$7&gt;0,$A698&gt;J$7)),0,MAX(0,ROUND((INDEX($E698:$G698,J$5)-SUMIFS(TF_Timer,TF_Tekniker,J$4,TF_Dato,$A698))*2,0)/2)))</f>
        <v/>
      </c>
      <c r="K698">
        <f>IF(OR(K$4="",$A698&gt;TODAY()),0,IF(OR(INDEX($B698:$D698,K$5)="F",AND(K$6&gt;0,$A698&lt;K$6),AND(K$7&gt;0,$A698&gt;K$7)),0,MAX(0,ROUND((INDEX($E698:$G698,K$5)-SUMIFS(TF_Timer,TF_Tekniker,K$4,TF_Dato,$A698))*2,0)/2)))</f>
        <v/>
      </c>
      <c r="L698">
        <f>IF(OR(L$4="",$A698&gt;TODAY()),0,IF(OR(INDEX($B698:$D698,L$5)="F",AND(L$6&gt;0,$A698&lt;L$6),AND(L$7&gt;0,$A698&gt;L$7)),0,MAX(0,ROUND((INDEX($E698:$G698,L$5)-SUMIFS(TF_Timer,TF_Tekniker,L$4,TF_Dato,$A698))*2,0)/2)))</f>
        <v/>
      </c>
      <c r="M698">
        <f>IF(OR(M$4="",$A698&gt;TODAY()),0,IF(OR(INDEX($B698:$D698,M$5)="F",AND(M$6&gt;0,$A698&lt;M$6),AND(M$7&gt;0,$A698&gt;M$7)),0,MAX(0,ROUND((INDEX($E698:$G698,M$5)-SUMIFS(TF_Timer,TF_Tekniker,M$4,TF_Dato,$A698))*2,0)/2)))</f>
        <v/>
      </c>
      <c r="N698">
        <f>IF(OR(N$4="",$A698&gt;TODAY()),0,IF(OR(INDEX($B698:$D698,N$5)="F",AND(N$6&gt;0,$A698&lt;N$6),AND(N$7&gt;0,$A698&gt;N$7)),0,MAX(0,ROUND((INDEX($E698:$G698,N$5)-SUMIFS(TF_Timer,TF_Tekniker,N$4,TF_Dato,$A698))*2,0)/2)))</f>
        <v/>
      </c>
      <c r="O698">
        <f>IF(OR(O$4="",$A698&gt;TODAY()),0,IF(OR(INDEX($B698:$D698,O$5)="F",AND(O$6&gt;0,$A698&lt;O$6),AND(O$7&gt;0,$A698&gt;O$7)),0,MAX(0,ROUND((INDEX($E698:$G698,O$5)-SUMIFS(TF_Timer,TF_Tekniker,O$4,TF_Dato,$A698))*2,0)/2)))</f>
        <v/>
      </c>
      <c r="P698">
        <f>IF(OR(P$4="",$A698&gt;TODAY()),0,IF(OR(INDEX($B698:$D698,P$5)="F",AND(P$6&gt;0,$A698&lt;P$6),AND(P$7&gt;0,$A698&gt;P$7)),0,MAX(0,ROUND((INDEX($E698:$G698,P$5)-SUMIFS(TF_Timer,TF_Tekniker,P$4,TF_Dato,$A698))*2,0)/2)))</f>
        <v/>
      </c>
      <c r="Q698">
        <f>IF(OR(Q$4="",$A698&gt;TODAY()),0,IF(OR(INDEX($B698:$D698,Q$5)="F",AND(Q$6&gt;0,$A698&lt;Q$6),AND(Q$7&gt;0,$A698&gt;Q$7)),0,MAX(0,ROUND((INDEX($E698:$G698,Q$5)-SUMIFS(TF_Timer,TF_Tekniker,Q$4,TF_Dato,$A698))*2,0)/2)))</f>
        <v/>
      </c>
      <c r="R698">
        <f>IF(OR(R$4="",$A698&gt;TODAY()),0,IF(OR(INDEX($B698:$D698,R$5)="F",AND(R$6&gt;0,$A698&lt;R$6),AND(R$7&gt;0,$A698&gt;R$7)),0,MAX(0,ROUND((INDEX($E698:$G698,R$5)-SUMIFS(TF_Timer,TF_Tekniker,R$4,TF_Dato,$A698))*2,0)/2)))</f>
        <v/>
      </c>
      <c r="S698">
        <f>IF(OR(S$4="",$A698&gt;TODAY()),0,IF(OR(INDEX($B698:$D698,S$5)="F",AND(S$6&gt;0,$A698&lt;S$6),AND(S$7&gt;0,$A698&gt;S$7)),0,MAX(0,ROUND((INDEX($E698:$G698,S$5)-SUMIFS(TF_Timer,TF_Tekniker,S$4,TF_Dato,$A698))*2,0)/2)))</f>
        <v/>
      </c>
      <c r="T698">
        <f>IF(OR(T$4="",$A698&gt;TODAY()),0,IF(OR(INDEX($B698:$D698,T$5)="F",AND(T$6&gt;0,$A698&lt;T$6),AND(T$7&gt;0,$A698&gt;T$7)),0,MAX(0,ROUND((INDEX($E698:$G698,T$5)-SUMIFS(TF_Timer,TF_Tekniker,T$4,TF_Dato,$A698))*2,0)/2)))</f>
        <v/>
      </c>
      <c r="U698">
        <f>IF(OR(U$4="",$A698&gt;TODAY()),0,IF(OR(INDEX($B698:$D698,U$5)="F",AND(U$6&gt;0,$A698&lt;U$6),AND(U$7&gt;0,$A698&gt;U$7)),0,MAX(0,ROUND((INDEX($E698:$G698,U$5)-SUMIFS(TF_Timer,TF_Tekniker,U$4,TF_Dato,$A698))*2,0)/2)))</f>
        <v/>
      </c>
      <c r="V698">
        <f>IF(OR(V$4="",$A698&gt;TODAY()),0,IF(OR(INDEX($B698:$D698,V$5)="F",AND(V$6&gt;0,$A698&lt;V$6),AND(V$7&gt;0,$A698&gt;V$7)),0,MAX(0,ROUND((INDEX($E698:$G698,V$5)-SUMIFS(TF_Timer,TF_Tekniker,V$4,TF_Dato,$A698))*2,0)/2)))</f>
        <v/>
      </c>
      <c r="W698">
        <f>IF(OR(W$4="",$A698&gt;TODAY()),0,IF(OR(INDEX($B698:$D698,W$5)="F",AND(W$6&gt;0,$A698&lt;W$6),AND(W$7&gt;0,$A698&gt;W$7)),0,MAX(0,ROUND((INDEX($E698:$G698,W$5)-SUMIFS(TF_Timer,TF_Tekniker,W$4,TF_Dato,$A698))*2,0)/2)))</f>
        <v/>
      </c>
      <c r="X698">
        <f>IF(OR(X$4="",$A698&gt;TODAY()),0,IF(OR(INDEX($B698:$D698,X$5)="F",AND(X$6&gt;0,$A698&lt;X$6),AND(X$7&gt;0,$A698&gt;X$7)),0,MAX(0,ROUND((INDEX($E698:$G698,X$5)-SUMIFS(TF_Timer,TF_Tekniker,X$4,TF_Dato,$A698))*2,0)/2)))</f>
        <v/>
      </c>
      <c r="Y698">
        <f>IF(OR(Y$4="",$A698&gt;TODAY()),0,IF(OR(INDEX($B698:$D698,Y$5)="F",AND(Y$6&gt;0,$A698&lt;Y$6),AND(Y$7&gt;0,$A698&gt;Y$7)),0,MAX(0,ROUND((INDEX($E698:$G698,Y$5)-SUMIFS(TF_Timer,TF_Tekniker,Y$4,TF_Dato,$A698))*2,0)/2)))</f>
        <v/>
      </c>
      <c r="Z698">
        <f>IF(OR(Z$4="",$A698&gt;TODAY()),0,IF(OR(INDEX($B698:$D698,Z$5)="F",AND(Z$6&gt;0,$A698&lt;Z$6),AND(Z$7&gt;0,$A698&gt;Z$7)),0,MAX(0,ROUND((INDEX($E698:$G698,Z$5)-SUMIFS(TF_Timer,TF_Tekniker,Z$4,TF_Dato,$A698))*2,0)/2)))</f>
        <v/>
      </c>
      <c r="AA698">
        <f>IF(OR(AA$4="",$A698&gt;TODAY()),0,IF(OR(INDEX($B698:$D698,AA$5)="F",AND(AA$6&gt;0,$A698&lt;AA$6),AND(AA$7&gt;0,$A698&gt;AA$7)),0,MAX(0,ROUND((INDEX($E698:$G698,AA$5)-SUMIFS(TF_Timer,TF_Tekniker,AA$4,TF_Dato,$A698))*2,0)/2)))</f>
        <v/>
      </c>
      <c r="AB698">
        <f>IF(OR(AB$4="",$A698&gt;TODAY()),0,IF(OR(INDEX($B698:$D698,AB$5)="F",AND(AB$6&gt;0,$A698&lt;AB$6),AND(AB$7&gt;0,$A698&gt;AB$7)),0,MAX(0,ROUND((INDEX($E698:$G698,AB$5)-SUMIFS(TF_Timer,TF_Tekniker,AB$4,TF_Dato,$A698))*2,0)/2)))</f>
        <v/>
      </c>
      <c r="AC698">
        <f>IF(OR(AC$4="",$A698&gt;TODAY()),0,IF(OR(INDEX($B698:$D698,AC$5)="F",AND(AC$6&gt;0,$A698&lt;AC$6),AND(AC$7&gt;0,$A698&gt;AC$7)),0,MAX(0,ROUND((INDEX($E698:$G698,AC$5)-SUMIFS(TF_Timer,TF_Tekniker,AC$4,TF_Dato,$A698))*2,0)/2)))</f>
        <v/>
      </c>
      <c r="AD698">
        <f>IF(OR(AD$4="",$A698&gt;TODAY()),0,IF(OR(INDEX($B698:$D698,AD$5)="F",AND(AD$6&gt;0,$A698&lt;AD$6),AND(AD$7&gt;0,$A698&gt;AD$7)),0,MAX(0,ROUND((INDEX($E698:$G698,AD$5)-SUMIFS(TF_Timer,TF_Tekniker,AD$4,TF_Dato,$A698))*2,0)/2)))</f>
        <v/>
      </c>
      <c r="AE698">
        <f>IF(OR(AE$4="",$A698&gt;TODAY()),0,IF(OR(INDEX($B698:$D698,AE$5)="F",AND(AE$6&gt;0,$A698&lt;AE$6),AND(AE$7&gt;0,$A698&gt;AE$7)),0,MAX(0,ROUND((INDEX($E698:$G698,AE$5)-SUMIFS(TF_Timer,TF_Tekniker,AE$4,TF_Dato,$A698))*2,0)/2)))</f>
        <v/>
      </c>
      <c r="AF698">
        <f>IF(OR(AF$4="",$A698&gt;TODAY()),0,IF(OR(INDEX($B698:$D698,AF$5)="F",AND(AF$6&gt;0,$A698&lt;AF$6),AND(AF$7&gt;0,$A698&gt;AF$7)),0,MAX(0,ROUND((INDEX($E698:$G698,AF$5)-SUMIFS(TF_Timer,TF_Tekniker,AF$4,TF_Dato,$A698))*2,0)/2)))</f>
        <v/>
      </c>
      <c r="AG698">
        <f>IF(OR(AG$4="",$A698&gt;TODAY()),0,IF(OR(INDEX($B698:$D698,AG$5)="F",AND(AG$6&gt;0,$A698&lt;AG$6),AND(AG$7&gt;0,$A698&gt;AG$7)),0,MAX(0,ROUND((INDEX($E698:$G698,AG$5)-SUMIFS(TF_Timer,TF_Tekniker,AG$4,TF_Dato,$A698))*2,0)/2)))</f>
        <v/>
      </c>
      <c r="AH698">
        <f>IF(OR(AH$4="",$A698&gt;TODAY()),0,IF(OR(INDEX($B698:$D698,AH$5)="F",AND(AH$6&gt;0,$A698&lt;AH$6),AND(AH$7&gt;0,$A698&gt;AH$7)),0,MAX(0,ROUND((INDEX($E698:$G698,AH$5)-SUMIFS(TF_Timer,TF_Tekniker,AH$4,TF_Dato,$A698))*2,0)/2)))</f>
        <v/>
      </c>
      <c r="AI698">
        <f>IF(OR(AI$4="",$A698&gt;TODAY()),0,IF(OR(INDEX($B698:$D698,AI$5)="F",AND(AI$6&gt;0,$A698&lt;AI$6),AND(AI$7&gt;0,$A698&gt;AI$7)),0,MAX(0,ROUND((INDEX($E698:$G698,AI$5)-SUMIFS(TF_Timer,TF_Tekniker,AI$4,TF_Dato,$A698))*2,0)/2)))</f>
        <v/>
      </c>
      <c r="AJ698">
        <f>IF(OR(AJ$4="",$A698&gt;TODAY()),0,IF(OR(INDEX($B698:$D698,AJ$5)="F",AND(AJ$6&gt;0,$A698&lt;AJ$6),AND(AJ$7&gt;0,$A698&gt;AJ$7)),0,MAX(0,ROUND((INDEX($E698:$G698,AJ$5)-SUMIFS(TF_Timer,TF_Tekniker,AJ$4,TF_Dato,$A698))*2,0)/2)))</f>
        <v/>
      </c>
      <c r="AK698">
        <f>IF(OR(AK$4="",$A698&gt;TODAY()),0,IF(OR(INDEX($B698:$D698,AK$5)="F",AND(AK$6&gt;0,$A698&lt;AK$6),AND(AK$7&gt;0,$A698&gt;AK$7)),0,MAX(0,ROUND((INDEX($E698:$G698,AK$5)-SUMIFS(TF_Timer,TF_Tekniker,AK$4,TF_Dato,$A698))*2,0)/2)))</f>
        <v/>
      </c>
      <c r="AL698">
        <f>IF(OR(AL$4="",$A698&gt;TODAY()),0,IF(OR(INDEX($B698:$D698,AL$5)="F",AND(AL$6&gt;0,$A698&lt;AL$6),AND(AL$7&gt;0,$A698&gt;AL$7)),0,MAX(0,ROUND((INDEX($E698:$G698,AL$5)-SUMIFS(TF_Timer,TF_Tekniker,AL$4,TF_Dato,$A698))*2,0)/2)))</f>
        <v/>
      </c>
      <c r="AM698">
        <f>IF(OR(AM$4="",$A698&gt;TODAY()),0,IF(OR(INDEX($B698:$D698,AM$5)="F",AND(AM$6&gt;0,$A698&lt;AM$6),AND(AM$7&gt;0,$A698&gt;AM$7)),0,MAX(0,ROUND((INDEX($E698:$G698,AM$5)-SUMIFS(TF_Timer,TF_Tekniker,AM$4,TF_Dato,$A698))*2,0)/2)))</f>
        <v/>
      </c>
      <c r="AN698">
        <f>IF(OR(AN$4="",$A698&gt;TODAY()),0,IF(OR(INDEX($B698:$D698,AN$5)="F",AND(AN$6&gt;0,$A698&lt;AN$6),AND(AN$7&gt;0,$A698&gt;AN$7)),0,MAX(0,ROUND((INDEX($E698:$G698,AN$5)-SUMIFS(TF_Timer,TF_Tekniker,AN$4,TF_Dato,$A698))*2,0)/2)))</f>
        <v/>
      </c>
      <c r="AO698">
        <f>IF(OR(AO$4="",$A698&gt;TODAY()),0,IF(OR(INDEX($B698:$D698,AO$5)="F",AND(AO$6&gt;0,$A698&lt;AO$6),AND(AO$7&gt;0,$A698&gt;AO$7)),0,MAX(0,ROUND((INDEX($E698:$G698,AO$5)-SUMIFS(TF_Timer,TF_Tekniker,AO$4,TF_Dato,$A698))*2,0)/2)))</f>
        <v/>
      </c>
      <c r="AP698">
        <f>IF(OR(AP$4="",$A698&gt;TODAY()),0,IF(OR(INDEX($B698:$D698,AP$5)="F",AND(AP$6&gt;0,$A698&lt;AP$6),AND(AP$7&gt;0,$A698&gt;AP$7)),0,MAX(0,ROUND((INDEX($E698:$G698,AP$5)-SUMIFS(TF_Timer,TF_Tekniker,AP$4,TF_Dato,$A698))*2,0)/2)))</f>
        <v/>
      </c>
      <c r="AQ698">
        <f>IF(OR(AQ$4="",$A698&gt;TODAY()),0,IF(OR(INDEX($B698:$D698,AQ$5)="F",AND(AQ$6&gt;0,$A698&lt;AQ$6),AND(AQ$7&gt;0,$A698&gt;AQ$7)),0,MAX(0,ROUND((INDEX($E698:$G698,AQ$5)-SUMIFS(TF_Timer,TF_Tekniker,AQ$4,TF_Dato,$A698))*2,0)/2)))</f>
        <v/>
      </c>
      <c r="AR698">
        <f>IF(OR(AR$4="",$A698&gt;TODAY()),0,IF(OR(INDEX($B698:$D698,AR$5)="F",AND(AR$6&gt;0,$A698&lt;AR$6),AND(AR$7&gt;0,$A698&gt;AR$7)),0,MAX(0,ROUND((INDEX($E698:$G698,AR$5)-SUMIFS(TF_Timer,TF_Tekniker,AR$4,TF_Dato,$A698))*2,0)/2)))</f>
        <v/>
      </c>
      <c r="AS698">
        <f>IF(OR(AS$4="",$A698&gt;TODAY()),0,IF(OR(INDEX($B698:$D698,AS$5)="F",AND(AS$6&gt;0,$A698&lt;AS$6),AND(AS$7&gt;0,$A698&gt;AS$7)),0,MAX(0,ROUND((INDEX($E698:$G698,AS$5)-SUMIFS(TF_Timer,TF_Tekniker,AS$4,TF_Dato,$A698))*2,0)/2)))</f>
        <v/>
      </c>
      <c r="AT698">
        <f>IF(OR(AT$4="",$A698&gt;TODAY()),0,IF(OR(INDEX($B698:$D698,AT$5)="F",AND(AT$6&gt;0,$A698&lt;AT$6),AND(AT$7&gt;0,$A698&gt;AT$7)),0,MAX(0,ROUND((INDEX($E698:$G698,AT$5)-SUMIFS(TF_Timer,TF_Tekniker,AT$4,TF_Dato,$A698))*2,0)/2)))</f>
        <v/>
      </c>
      <c r="AU698">
        <f>IF(OR(AU$4="",$A698&gt;TODAY()),0,IF(OR(INDEX($B698:$D698,AU$5)="F",AND(AU$6&gt;0,$A698&lt;AU$6),AND(AU$7&gt;0,$A698&gt;AU$7)),0,MAX(0,ROUND((INDEX($E698:$G698,AU$5)-SUMIFS(TF_Timer,TF_Tekniker,AU$4,TF_Dato,$A698))*2,0)/2)))</f>
        <v/>
      </c>
      <c r="AV698">
        <f>IF(OR(AV$4="",$A698&gt;TODAY()),0,IF(OR(INDEX($B698:$D698,AV$5)="F",AND(AV$6&gt;0,$A698&lt;AV$6),AND(AV$7&gt;0,$A698&gt;AV$7)),0,MAX(0,ROUND((INDEX($E698:$G698,AV$5)-SUMIFS(TF_Timer,TF_Tekniker,AV$4,TF_Dato,$A698))*2,0)/2)))</f>
        <v/>
      </c>
      <c r="AW698">
        <f>IF(OR(AW$4="",$A698&gt;TODAY()),0,IF(OR(INDEX($B698:$D698,AW$5)="F",AND(AW$6&gt;0,$A698&lt;AW$6),AND(AW$7&gt;0,$A698&gt;AW$7)),0,MAX(0,ROUND((INDEX($E698:$G698,AW$5)-SUMIFS(TF_Timer,TF_Tekniker,AW$4,TF_Dato,$A698))*2,0)/2)))</f>
        <v/>
      </c>
      <c r="AX698">
        <f>IF(OR(AX$4="",$A698&gt;TODAY()),0,IF(OR(INDEX($B698:$D698,AX$5)="F",AND(AX$6&gt;0,$A698&lt;AX$6),AND(AX$7&gt;0,$A698&gt;AX$7)),0,MAX(0,ROUND((INDEX($E698:$G698,AX$5)-SUMIFS(TF_Timer,TF_Tekniker,AX$4,TF_Dato,$A698))*2,0)/2)))</f>
        <v/>
      </c>
      <c r="AY698">
        <f>IF(OR(AY$4="",$A698&gt;TODAY()),0,IF(OR(INDEX($B698:$D698,AY$5)="F",AND(AY$6&gt;0,$A698&lt;AY$6),AND(AY$7&gt;0,$A698&gt;AY$7)),0,MAX(0,ROUND((INDEX($E698:$G698,AY$5)-SUMIFS(TF_Timer,TF_Tekniker,AY$4,TF_Dato,$A698))*2,0)/2)))</f>
        <v/>
      </c>
      <c r="AZ698">
        <f>IF(OR(AZ$4="",$A698&gt;TODAY()),0,IF(OR(INDEX($B698:$D698,AZ$5)="F",AND(AZ$6&gt;0,$A698&lt;AZ$6),AND(AZ$7&gt;0,$A698&gt;AZ$7)),0,MAX(0,ROUND((INDEX($E698:$G698,AZ$5)-SUMIFS(TF_Timer,TF_Tekniker,AZ$4,TF_Dato,$A698))*2,0)/2)))</f>
        <v/>
      </c>
      <c r="BA698">
        <f>IF(OR(BA$4="",$A698&gt;TODAY()),0,IF(OR(INDEX($B698:$D698,BA$5)="F",AND(BA$6&gt;0,$A698&lt;BA$6),AND(BA$7&gt;0,$A698&gt;BA$7)),0,MAX(0,ROUND((INDEX($E698:$G698,BA$5)-SUMIFS(TF_Timer,TF_Tekniker,BA$4,TF_Dato,$A698))*2,0)/2)))</f>
        <v/>
      </c>
      <c r="BB698">
        <f>IF(OR(BB$4="",$A698&gt;TODAY()),0,IF(OR(INDEX($B698:$D698,BB$5)="F",AND(BB$6&gt;0,$A698&lt;BB$6),AND(BB$7&gt;0,$A698&gt;BB$7)),0,MAX(0,ROUND((INDEX($E698:$G698,BB$5)-SUMIFS(TF_Timer,TF_Tekniker,BB$4,TF_Dato,$A698))*2,0)/2)))</f>
        <v/>
      </c>
      <c r="BC698">
        <f>IF(OR(BC$4="",$A698&gt;TODAY()),0,IF(OR(INDEX($B698:$D698,BC$5)="F",AND(BC$6&gt;0,$A698&lt;BC$6),AND(BC$7&gt;0,$A698&gt;BC$7)),0,MAX(0,ROUND((INDEX($E698:$G698,BC$5)-SUMIFS(TF_Timer,TF_Tekniker,BC$4,TF_Dato,$A698))*2,0)/2)))</f>
        <v/>
      </c>
      <c r="BD698">
        <f>IF(OR(BD$4="",$A698&gt;TODAY()),0,IF(OR(INDEX($B698:$D698,BD$5)="F",AND(BD$6&gt;0,$A698&lt;BD$6),AND(BD$7&gt;0,$A698&gt;BD$7)),0,MAX(0,ROUND((INDEX($E698:$G698,BD$5)-SUMIFS(TF_Timer,TF_Tekniker,BD$4,TF_Dato,$A698))*2,0)/2)))</f>
        <v/>
      </c>
      <c r="BE698">
        <f>IF(OR(BE$4="",$A698&gt;TODAY()),0,IF(OR(INDEX($B698:$D698,BE$5)="F",AND(BE$6&gt;0,$A698&lt;BE$6),AND(BE$7&gt;0,$A698&gt;BE$7)),0,MAX(0,ROUND((INDEX($E698:$G698,BE$5)-SUMIFS(TF_Timer,TF_Tekniker,BE$4,TF_Dato,$A698))*2,0)/2)))</f>
        <v/>
      </c>
      <c r="BF698">
        <f>IF(OR(BF$4="",$A698&gt;TODAY()),0,IF(OR(INDEX($B698:$D698,BF$5)="F",AND(BF$6&gt;0,$A698&lt;BF$6),AND(BF$7&gt;0,$A698&gt;BF$7)),0,MAX(0,ROUND((INDEX($E698:$G698,BF$5)-SUMIFS(TF_Timer,TF_Tekniker,BF$4,TF_Dato,$A698))*2,0)/2)))</f>
        <v/>
      </c>
      <c r="BG698">
        <f>IF(OR(BG$4="",$A698&gt;TODAY()),0,IF(OR(INDEX($B698:$D698,BG$5)="F",AND(BG$6&gt;0,$A698&lt;BG$6),AND(BG$7&gt;0,$A698&gt;BG$7)),0,MAX(0,ROUND((INDEX($E698:$G698,BG$5)-SUMIFS(TF_Timer,TF_Tekniker,BG$4,TF_Dato,$A698))*2,0)/2)))</f>
        <v/>
      </c>
      <c r="BH698">
        <f>IF(OR(BH$4="",$A698&gt;TODAY()),0,IF(OR(INDEX($B698:$D698,BH$5)="F",AND(BH$6&gt;0,$A698&lt;BH$6),AND(BH$7&gt;0,$A698&gt;BH$7)),0,MAX(0,ROUND((INDEX($E698:$G698,BH$5)-SUMIFS(TF_Timer,TF_Tekniker,BH$4,TF_Dato,$A698))*2,0)/2)))</f>
        <v/>
      </c>
      <c r="BI698">
        <f>IF(OR(BI$4="",$A698&gt;TODAY()),0,IF(OR(INDEX($B698:$D698,BI$5)="F",AND(BI$6&gt;0,$A698&lt;BI$6),AND(BI$7&gt;0,$A698&gt;BI$7)),0,MAX(0,ROUND((INDEX($E698:$G698,BI$5)-SUMIFS(TF_Timer,TF_Tekniker,BI$4,TF_Dato,$A698))*2,0)/2)))</f>
        <v/>
      </c>
    </row>
    <row r="699">
      <c r="A699" s="64">
        <f>A698+1</f>
        <v/>
      </c>
      <c r="B699">
        <f>IF(MOD($A699-INDEX(SkiftStart,1),Syklus)&lt;DagK,"K",IF(MOD($A699-INDEX(SkiftStart,1),Syklus)&lt;DagK+DagH,"H",IF(MOD($A699-INDEX(SkiftStart,1),Syklus)&lt;DagK+DagH+DagD,"D","F")))</f>
        <v/>
      </c>
      <c r="C699">
        <f>IF(MOD($A699-INDEX(SkiftStart,2),Syklus)&lt;DagK,"K",IF(MOD($A699-INDEX(SkiftStart,2),Syklus)&lt;DagK+DagH,"H",IF(MOD($A699-INDEX(SkiftStart,2),Syklus)&lt;DagK+DagH+DagD,"D","F")))</f>
        <v/>
      </c>
      <c r="D699">
        <f>IF(MOD($A699-INDEX(SkiftStart,3),Syklus)&lt;DagK,"K",IF(MOD($A699-INDEX(SkiftStart,3),Syklus)&lt;DagK+DagH,"H",IF(MOD($A699-INDEX(SkiftStart,3),Syklus)&lt;DagK+DagH+DagD,"D","F")))</f>
        <v/>
      </c>
      <c r="E699">
        <f>IF(B699="F",0,IF(WEEKDAY($A699,2)=5,INDEX(TimerFr,MATCH(B699,FaseKode,0)),INDEX(TimerMT,MATCH(B699,FaseKode,0))))</f>
        <v/>
      </c>
      <c r="F699">
        <f>IF(C699="F",0,IF(WEEKDAY($A699,2)=5,INDEX(TimerFr,MATCH(C699,FaseKode,0)),INDEX(TimerMT,MATCH(C699,FaseKode,0))))</f>
        <v/>
      </c>
      <c r="G699">
        <f>IF(D699="F",0,IF(WEEKDAY($A699,2)=5,INDEX(TimerFr,MATCH(D699,FaseKode,0)),INDEX(TimerMT,MATCH(D699,FaseKode,0))))</f>
        <v/>
      </c>
      <c r="H699">
        <f>IF(OR(H$4="",$A699&gt;TODAY()),0,IF(OR(INDEX($B699:$D699,H$5)="F",AND(H$6&gt;0,$A699&lt;H$6),AND(H$7&gt;0,$A699&gt;H$7)),0,MAX(0,ROUND((INDEX($E699:$G699,H$5)-SUMIFS(TF_Timer,TF_Tekniker,H$4,TF_Dato,$A699))*2,0)/2)))</f>
        <v/>
      </c>
      <c r="I699">
        <f>IF(OR(I$4="",$A699&gt;TODAY()),0,IF(OR(INDEX($B699:$D699,I$5)="F",AND(I$6&gt;0,$A699&lt;I$6),AND(I$7&gt;0,$A699&gt;I$7)),0,MAX(0,ROUND((INDEX($E699:$G699,I$5)-SUMIFS(TF_Timer,TF_Tekniker,I$4,TF_Dato,$A699))*2,0)/2)))</f>
        <v/>
      </c>
      <c r="J699">
        <f>IF(OR(J$4="",$A699&gt;TODAY()),0,IF(OR(INDEX($B699:$D699,J$5)="F",AND(J$6&gt;0,$A699&lt;J$6),AND(J$7&gt;0,$A699&gt;J$7)),0,MAX(0,ROUND((INDEX($E699:$G699,J$5)-SUMIFS(TF_Timer,TF_Tekniker,J$4,TF_Dato,$A699))*2,0)/2)))</f>
        <v/>
      </c>
      <c r="K699">
        <f>IF(OR(K$4="",$A699&gt;TODAY()),0,IF(OR(INDEX($B699:$D699,K$5)="F",AND(K$6&gt;0,$A699&lt;K$6),AND(K$7&gt;0,$A699&gt;K$7)),0,MAX(0,ROUND((INDEX($E699:$G699,K$5)-SUMIFS(TF_Timer,TF_Tekniker,K$4,TF_Dato,$A699))*2,0)/2)))</f>
        <v/>
      </c>
      <c r="L699">
        <f>IF(OR(L$4="",$A699&gt;TODAY()),0,IF(OR(INDEX($B699:$D699,L$5)="F",AND(L$6&gt;0,$A699&lt;L$6),AND(L$7&gt;0,$A699&gt;L$7)),0,MAX(0,ROUND((INDEX($E699:$G699,L$5)-SUMIFS(TF_Timer,TF_Tekniker,L$4,TF_Dato,$A699))*2,0)/2)))</f>
        <v/>
      </c>
      <c r="M699">
        <f>IF(OR(M$4="",$A699&gt;TODAY()),0,IF(OR(INDEX($B699:$D699,M$5)="F",AND(M$6&gt;0,$A699&lt;M$6),AND(M$7&gt;0,$A699&gt;M$7)),0,MAX(0,ROUND((INDEX($E699:$G699,M$5)-SUMIFS(TF_Timer,TF_Tekniker,M$4,TF_Dato,$A699))*2,0)/2)))</f>
        <v/>
      </c>
      <c r="N699">
        <f>IF(OR(N$4="",$A699&gt;TODAY()),0,IF(OR(INDEX($B699:$D699,N$5)="F",AND(N$6&gt;0,$A699&lt;N$6),AND(N$7&gt;0,$A699&gt;N$7)),0,MAX(0,ROUND((INDEX($E699:$G699,N$5)-SUMIFS(TF_Timer,TF_Tekniker,N$4,TF_Dato,$A699))*2,0)/2)))</f>
        <v/>
      </c>
      <c r="O699">
        <f>IF(OR(O$4="",$A699&gt;TODAY()),0,IF(OR(INDEX($B699:$D699,O$5)="F",AND(O$6&gt;0,$A699&lt;O$6),AND(O$7&gt;0,$A699&gt;O$7)),0,MAX(0,ROUND((INDEX($E699:$G699,O$5)-SUMIFS(TF_Timer,TF_Tekniker,O$4,TF_Dato,$A699))*2,0)/2)))</f>
        <v/>
      </c>
      <c r="P699">
        <f>IF(OR(P$4="",$A699&gt;TODAY()),0,IF(OR(INDEX($B699:$D699,P$5)="F",AND(P$6&gt;0,$A699&lt;P$6),AND(P$7&gt;0,$A699&gt;P$7)),0,MAX(0,ROUND((INDEX($E699:$G699,P$5)-SUMIFS(TF_Timer,TF_Tekniker,P$4,TF_Dato,$A699))*2,0)/2)))</f>
        <v/>
      </c>
      <c r="Q699">
        <f>IF(OR(Q$4="",$A699&gt;TODAY()),0,IF(OR(INDEX($B699:$D699,Q$5)="F",AND(Q$6&gt;0,$A699&lt;Q$6),AND(Q$7&gt;0,$A699&gt;Q$7)),0,MAX(0,ROUND((INDEX($E699:$G699,Q$5)-SUMIFS(TF_Timer,TF_Tekniker,Q$4,TF_Dato,$A699))*2,0)/2)))</f>
        <v/>
      </c>
      <c r="R699">
        <f>IF(OR(R$4="",$A699&gt;TODAY()),0,IF(OR(INDEX($B699:$D699,R$5)="F",AND(R$6&gt;0,$A699&lt;R$6),AND(R$7&gt;0,$A699&gt;R$7)),0,MAX(0,ROUND((INDEX($E699:$G699,R$5)-SUMIFS(TF_Timer,TF_Tekniker,R$4,TF_Dato,$A699))*2,0)/2)))</f>
        <v/>
      </c>
      <c r="S699">
        <f>IF(OR(S$4="",$A699&gt;TODAY()),0,IF(OR(INDEX($B699:$D699,S$5)="F",AND(S$6&gt;0,$A699&lt;S$6),AND(S$7&gt;0,$A699&gt;S$7)),0,MAX(0,ROUND((INDEX($E699:$G699,S$5)-SUMIFS(TF_Timer,TF_Tekniker,S$4,TF_Dato,$A699))*2,0)/2)))</f>
        <v/>
      </c>
      <c r="T699">
        <f>IF(OR(T$4="",$A699&gt;TODAY()),0,IF(OR(INDEX($B699:$D699,T$5)="F",AND(T$6&gt;0,$A699&lt;T$6),AND(T$7&gt;0,$A699&gt;T$7)),0,MAX(0,ROUND((INDEX($E699:$G699,T$5)-SUMIFS(TF_Timer,TF_Tekniker,T$4,TF_Dato,$A699))*2,0)/2)))</f>
        <v/>
      </c>
      <c r="U699">
        <f>IF(OR(U$4="",$A699&gt;TODAY()),0,IF(OR(INDEX($B699:$D699,U$5)="F",AND(U$6&gt;0,$A699&lt;U$6),AND(U$7&gt;0,$A699&gt;U$7)),0,MAX(0,ROUND((INDEX($E699:$G699,U$5)-SUMIFS(TF_Timer,TF_Tekniker,U$4,TF_Dato,$A699))*2,0)/2)))</f>
        <v/>
      </c>
      <c r="V699">
        <f>IF(OR(V$4="",$A699&gt;TODAY()),0,IF(OR(INDEX($B699:$D699,V$5)="F",AND(V$6&gt;0,$A699&lt;V$6),AND(V$7&gt;0,$A699&gt;V$7)),0,MAX(0,ROUND((INDEX($E699:$G699,V$5)-SUMIFS(TF_Timer,TF_Tekniker,V$4,TF_Dato,$A699))*2,0)/2)))</f>
        <v/>
      </c>
      <c r="W699">
        <f>IF(OR(W$4="",$A699&gt;TODAY()),0,IF(OR(INDEX($B699:$D699,W$5)="F",AND(W$6&gt;0,$A699&lt;W$6),AND(W$7&gt;0,$A699&gt;W$7)),0,MAX(0,ROUND((INDEX($E699:$G699,W$5)-SUMIFS(TF_Timer,TF_Tekniker,W$4,TF_Dato,$A699))*2,0)/2)))</f>
        <v/>
      </c>
      <c r="X699">
        <f>IF(OR(X$4="",$A699&gt;TODAY()),0,IF(OR(INDEX($B699:$D699,X$5)="F",AND(X$6&gt;0,$A699&lt;X$6),AND(X$7&gt;0,$A699&gt;X$7)),0,MAX(0,ROUND((INDEX($E699:$G699,X$5)-SUMIFS(TF_Timer,TF_Tekniker,X$4,TF_Dato,$A699))*2,0)/2)))</f>
        <v/>
      </c>
      <c r="Y699">
        <f>IF(OR(Y$4="",$A699&gt;TODAY()),0,IF(OR(INDEX($B699:$D699,Y$5)="F",AND(Y$6&gt;0,$A699&lt;Y$6),AND(Y$7&gt;0,$A699&gt;Y$7)),0,MAX(0,ROUND((INDEX($E699:$G699,Y$5)-SUMIFS(TF_Timer,TF_Tekniker,Y$4,TF_Dato,$A699))*2,0)/2)))</f>
        <v/>
      </c>
      <c r="Z699">
        <f>IF(OR(Z$4="",$A699&gt;TODAY()),0,IF(OR(INDEX($B699:$D699,Z$5)="F",AND(Z$6&gt;0,$A699&lt;Z$6),AND(Z$7&gt;0,$A699&gt;Z$7)),0,MAX(0,ROUND((INDEX($E699:$G699,Z$5)-SUMIFS(TF_Timer,TF_Tekniker,Z$4,TF_Dato,$A699))*2,0)/2)))</f>
        <v/>
      </c>
      <c r="AA699">
        <f>IF(OR(AA$4="",$A699&gt;TODAY()),0,IF(OR(INDEX($B699:$D699,AA$5)="F",AND(AA$6&gt;0,$A699&lt;AA$6),AND(AA$7&gt;0,$A699&gt;AA$7)),0,MAX(0,ROUND((INDEX($E699:$G699,AA$5)-SUMIFS(TF_Timer,TF_Tekniker,AA$4,TF_Dato,$A699))*2,0)/2)))</f>
        <v/>
      </c>
      <c r="AB699">
        <f>IF(OR(AB$4="",$A699&gt;TODAY()),0,IF(OR(INDEX($B699:$D699,AB$5)="F",AND(AB$6&gt;0,$A699&lt;AB$6),AND(AB$7&gt;0,$A699&gt;AB$7)),0,MAX(0,ROUND((INDEX($E699:$G699,AB$5)-SUMIFS(TF_Timer,TF_Tekniker,AB$4,TF_Dato,$A699))*2,0)/2)))</f>
        <v/>
      </c>
      <c r="AC699">
        <f>IF(OR(AC$4="",$A699&gt;TODAY()),0,IF(OR(INDEX($B699:$D699,AC$5)="F",AND(AC$6&gt;0,$A699&lt;AC$6),AND(AC$7&gt;0,$A699&gt;AC$7)),0,MAX(0,ROUND((INDEX($E699:$G699,AC$5)-SUMIFS(TF_Timer,TF_Tekniker,AC$4,TF_Dato,$A699))*2,0)/2)))</f>
        <v/>
      </c>
      <c r="AD699">
        <f>IF(OR(AD$4="",$A699&gt;TODAY()),0,IF(OR(INDEX($B699:$D699,AD$5)="F",AND(AD$6&gt;0,$A699&lt;AD$6),AND(AD$7&gt;0,$A699&gt;AD$7)),0,MAX(0,ROUND((INDEX($E699:$G699,AD$5)-SUMIFS(TF_Timer,TF_Tekniker,AD$4,TF_Dato,$A699))*2,0)/2)))</f>
        <v/>
      </c>
      <c r="AE699">
        <f>IF(OR(AE$4="",$A699&gt;TODAY()),0,IF(OR(INDEX($B699:$D699,AE$5)="F",AND(AE$6&gt;0,$A699&lt;AE$6),AND(AE$7&gt;0,$A699&gt;AE$7)),0,MAX(0,ROUND((INDEX($E699:$G699,AE$5)-SUMIFS(TF_Timer,TF_Tekniker,AE$4,TF_Dato,$A699))*2,0)/2)))</f>
        <v/>
      </c>
      <c r="AF699">
        <f>IF(OR(AF$4="",$A699&gt;TODAY()),0,IF(OR(INDEX($B699:$D699,AF$5)="F",AND(AF$6&gt;0,$A699&lt;AF$6),AND(AF$7&gt;0,$A699&gt;AF$7)),0,MAX(0,ROUND((INDEX($E699:$G699,AF$5)-SUMIFS(TF_Timer,TF_Tekniker,AF$4,TF_Dato,$A699))*2,0)/2)))</f>
        <v/>
      </c>
      <c r="AG699">
        <f>IF(OR(AG$4="",$A699&gt;TODAY()),0,IF(OR(INDEX($B699:$D699,AG$5)="F",AND(AG$6&gt;0,$A699&lt;AG$6),AND(AG$7&gt;0,$A699&gt;AG$7)),0,MAX(0,ROUND((INDEX($E699:$G699,AG$5)-SUMIFS(TF_Timer,TF_Tekniker,AG$4,TF_Dato,$A699))*2,0)/2)))</f>
        <v/>
      </c>
      <c r="AH699">
        <f>IF(OR(AH$4="",$A699&gt;TODAY()),0,IF(OR(INDEX($B699:$D699,AH$5)="F",AND(AH$6&gt;0,$A699&lt;AH$6),AND(AH$7&gt;0,$A699&gt;AH$7)),0,MAX(0,ROUND((INDEX($E699:$G699,AH$5)-SUMIFS(TF_Timer,TF_Tekniker,AH$4,TF_Dato,$A699))*2,0)/2)))</f>
        <v/>
      </c>
      <c r="AI699">
        <f>IF(OR(AI$4="",$A699&gt;TODAY()),0,IF(OR(INDEX($B699:$D699,AI$5)="F",AND(AI$6&gt;0,$A699&lt;AI$6),AND(AI$7&gt;0,$A699&gt;AI$7)),0,MAX(0,ROUND((INDEX($E699:$G699,AI$5)-SUMIFS(TF_Timer,TF_Tekniker,AI$4,TF_Dato,$A699))*2,0)/2)))</f>
        <v/>
      </c>
      <c r="AJ699">
        <f>IF(OR(AJ$4="",$A699&gt;TODAY()),0,IF(OR(INDEX($B699:$D699,AJ$5)="F",AND(AJ$6&gt;0,$A699&lt;AJ$6),AND(AJ$7&gt;0,$A699&gt;AJ$7)),0,MAX(0,ROUND((INDEX($E699:$G699,AJ$5)-SUMIFS(TF_Timer,TF_Tekniker,AJ$4,TF_Dato,$A699))*2,0)/2)))</f>
        <v/>
      </c>
      <c r="AK699">
        <f>IF(OR(AK$4="",$A699&gt;TODAY()),0,IF(OR(INDEX($B699:$D699,AK$5)="F",AND(AK$6&gt;0,$A699&lt;AK$6),AND(AK$7&gt;0,$A699&gt;AK$7)),0,MAX(0,ROUND((INDEX($E699:$G699,AK$5)-SUMIFS(TF_Timer,TF_Tekniker,AK$4,TF_Dato,$A699))*2,0)/2)))</f>
        <v/>
      </c>
      <c r="AL699">
        <f>IF(OR(AL$4="",$A699&gt;TODAY()),0,IF(OR(INDEX($B699:$D699,AL$5)="F",AND(AL$6&gt;0,$A699&lt;AL$6),AND(AL$7&gt;0,$A699&gt;AL$7)),0,MAX(0,ROUND((INDEX($E699:$G699,AL$5)-SUMIFS(TF_Timer,TF_Tekniker,AL$4,TF_Dato,$A699))*2,0)/2)))</f>
        <v/>
      </c>
      <c r="AM699">
        <f>IF(OR(AM$4="",$A699&gt;TODAY()),0,IF(OR(INDEX($B699:$D699,AM$5)="F",AND(AM$6&gt;0,$A699&lt;AM$6),AND(AM$7&gt;0,$A699&gt;AM$7)),0,MAX(0,ROUND((INDEX($E699:$G699,AM$5)-SUMIFS(TF_Timer,TF_Tekniker,AM$4,TF_Dato,$A699))*2,0)/2)))</f>
        <v/>
      </c>
      <c r="AN699">
        <f>IF(OR(AN$4="",$A699&gt;TODAY()),0,IF(OR(INDEX($B699:$D699,AN$5)="F",AND(AN$6&gt;0,$A699&lt;AN$6),AND(AN$7&gt;0,$A699&gt;AN$7)),0,MAX(0,ROUND((INDEX($E699:$G699,AN$5)-SUMIFS(TF_Timer,TF_Tekniker,AN$4,TF_Dato,$A699))*2,0)/2)))</f>
        <v/>
      </c>
      <c r="AO699">
        <f>IF(OR(AO$4="",$A699&gt;TODAY()),0,IF(OR(INDEX($B699:$D699,AO$5)="F",AND(AO$6&gt;0,$A699&lt;AO$6),AND(AO$7&gt;0,$A699&gt;AO$7)),0,MAX(0,ROUND((INDEX($E699:$G699,AO$5)-SUMIFS(TF_Timer,TF_Tekniker,AO$4,TF_Dato,$A699))*2,0)/2)))</f>
        <v/>
      </c>
      <c r="AP699">
        <f>IF(OR(AP$4="",$A699&gt;TODAY()),0,IF(OR(INDEX($B699:$D699,AP$5)="F",AND(AP$6&gt;0,$A699&lt;AP$6),AND(AP$7&gt;0,$A699&gt;AP$7)),0,MAX(0,ROUND((INDEX($E699:$G699,AP$5)-SUMIFS(TF_Timer,TF_Tekniker,AP$4,TF_Dato,$A699))*2,0)/2)))</f>
        <v/>
      </c>
      <c r="AQ699">
        <f>IF(OR(AQ$4="",$A699&gt;TODAY()),0,IF(OR(INDEX($B699:$D699,AQ$5)="F",AND(AQ$6&gt;0,$A699&lt;AQ$6),AND(AQ$7&gt;0,$A699&gt;AQ$7)),0,MAX(0,ROUND((INDEX($E699:$G699,AQ$5)-SUMIFS(TF_Timer,TF_Tekniker,AQ$4,TF_Dato,$A699))*2,0)/2)))</f>
        <v/>
      </c>
      <c r="AR699">
        <f>IF(OR(AR$4="",$A699&gt;TODAY()),0,IF(OR(INDEX($B699:$D699,AR$5)="F",AND(AR$6&gt;0,$A699&lt;AR$6),AND(AR$7&gt;0,$A699&gt;AR$7)),0,MAX(0,ROUND((INDEX($E699:$G699,AR$5)-SUMIFS(TF_Timer,TF_Tekniker,AR$4,TF_Dato,$A699))*2,0)/2)))</f>
        <v/>
      </c>
      <c r="AS699">
        <f>IF(OR(AS$4="",$A699&gt;TODAY()),0,IF(OR(INDEX($B699:$D699,AS$5)="F",AND(AS$6&gt;0,$A699&lt;AS$6),AND(AS$7&gt;0,$A699&gt;AS$7)),0,MAX(0,ROUND((INDEX($E699:$G699,AS$5)-SUMIFS(TF_Timer,TF_Tekniker,AS$4,TF_Dato,$A699))*2,0)/2)))</f>
        <v/>
      </c>
      <c r="AT699">
        <f>IF(OR(AT$4="",$A699&gt;TODAY()),0,IF(OR(INDEX($B699:$D699,AT$5)="F",AND(AT$6&gt;0,$A699&lt;AT$6),AND(AT$7&gt;0,$A699&gt;AT$7)),0,MAX(0,ROUND((INDEX($E699:$G699,AT$5)-SUMIFS(TF_Timer,TF_Tekniker,AT$4,TF_Dato,$A699))*2,0)/2)))</f>
        <v/>
      </c>
      <c r="AU699">
        <f>IF(OR(AU$4="",$A699&gt;TODAY()),0,IF(OR(INDEX($B699:$D699,AU$5)="F",AND(AU$6&gt;0,$A699&lt;AU$6),AND(AU$7&gt;0,$A699&gt;AU$7)),0,MAX(0,ROUND((INDEX($E699:$G699,AU$5)-SUMIFS(TF_Timer,TF_Tekniker,AU$4,TF_Dato,$A699))*2,0)/2)))</f>
        <v/>
      </c>
      <c r="AV699">
        <f>IF(OR(AV$4="",$A699&gt;TODAY()),0,IF(OR(INDEX($B699:$D699,AV$5)="F",AND(AV$6&gt;0,$A699&lt;AV$6),AND(AV$7&gt;0,$A699&gt;AV$7)),0,MAX(0,ROUND((INDEX($E699:$G699,AV$5)-SUMIFS(TF_Timer,TF_Tekniker,AV$4,TF_Dato,$A699))*2,0)/2)))</f>
        <v/>
      </c>
      <c r="AW699">
        <f>IF(OR(AW$4="",$A699&gt;TODAY()),0,IF(OR(INDEX($B699:$D699,AW$5)="F",AND(AW$6&gt;0,$A699&lt;AW$6),AND(AW$7&gt;0,$A699&gt;AW$7)),0,MAX(0,ROUND((INDEX($E699:$G699,AW$5)-SUMIFS(TF_Timer,TF_Tekniker,AW$4,TF_Dato,$A699))*2,0)/2)))</f>
        <v/>
      </c>
      <c r="AX699">
        <f>IF(OR(AX$4="",$A699&gt;TODAY()),0,IF(OR(INDEX($B699:$D699,AX$5)="F",AND(AX$6&gt;0,$A699&lt;AX$6),AND(AX$7&gt;0,$A699&gt;AX$7)),0,MAX(0,ROUND((INDEX($E699:$G699,AX$5)-SUMIFS(TF_Timer,TF_Tekniker,AX$4,TF_Dato,$A699))*2,0)/2)))</f>
        <v/>
      </c>
      <c r="AY699">
        <f>IF(OR(AY$4="",$A699&gt;TODAY()),0,IF(OR(INDEX($B699:$D699,AY$5)="F",AND(AY$6&gt;0,$A699&lt;AY$6),AND(AY$7&gt;0,$A699&gt;AY$7)),0,MAX(0,ROUND((INDEX($E699:$G699,AY$5)-SUMIFS(TF_Timer,TF_Tekniker,AY$4,TF_Dato,$A699))*2,0)/2)))</f>
        <v/>
      </c>
      <c r="AZ699">
        <f>IF(OR(AZ$4="",$A699&gt;TODAY()),0,IF(OR(INDEX($B699:$D699,AZ$5)="F",AND(AZ$6&gt;0,$A699&lt;AZ$6),AND(AZ$7&gt;0,$A699&gt;AZ$7)),0,MAX(0,ROUND((INDEX($E699:$G699,AZ$5)-SUMIFS(TF_Timer,TF_Tekniker,AZ$4,TF_Dato,$A699))*2,0)/2)))</f>
        <v/>
      </c>
      <c r="BA699">
        <f>IF(OR(BA$4="",$A699&gt;TODAY()),0,IF(OR(INDEX($B699:$D699,BA$5)="F",AND(BA$6&gt;0,$A699&lt;BA$6),AND(BA$7&gt;0,$A699&gt;BA$7)),0,MAX(0,ROUND((INDEX($E699:$G699,BA$5)-SUMIFS(TF_Timer,TF_Tekniker,BA$4,TF_Dato,$A699))*2,0)/2)))</f>
        <v/>
      </c>
      <c r="BB699">
        <f>IF(OR(BB$4="",$A699&gt;TODAY()),0,IF(OR(INDEX($B699:$D699,BB$5)="F",AND(BB$6&gt;0,$A699&lt;BB$6),AND(BB$7&gt;0,$A699&gt;BB$7)),0,MAX(0,ROUND((INDEX($E699:$G699,BB$5)-SUMIFS(TF_Timer,TF_Tekniker,BB$4,TF_Dato,$A699))*2,0)/2)))</f>
        <v/>
      </c>
      <c r="BC699">
        <f>IF(OR(BC$4="",$A699&gt;TODAY()),0,IF(OR(INDEX($B699:$D699,BC$5)="F",AND(BC$6&gt;0,$A699&lt;BC$6),AND(BC$7&gt;0,$A699&gt;BC$7)),0,MAX(0,ROUND((INDEX($E699:$G699,BC$5)-SUMIFS(TF_Timer,TF_Tekniker,BC$4,TF_Dato,$A699))*2,0)/2)))</f>
        <v/>
      </c>
      <c r="BD699">
        <f>IF(OR(BD$4="",$A699&gt;TODAY()),0,IF(OR(INDEX($B699:$D699,BD$5)="F",AND(BD$6&gt;0,$A699&lt;BD$6),AND(BD$7&gt;0,$A699&gt;BD$7)),0,MAX(0,ROUND((INDEX($E699:$G699,BD$5)-SUMIFS(TF_Timer,TF_Tekniker,BD$4,TF_Dato,$A699))*2,0)/2)))</f>
        <v/>
      </c>
      <c r="BE699">
        <f>IF(OR(BE$4="",$A699&gt;TODAY()),0,IF(OR(INDEX($B699:$D699,BE$5)="F",AND(BE$6&gt;0,$A699&lt;BE$6),AND(BE$7&gt;0,$A699&gt;BE$7)),0,MAX(0,ROUND((INDEX($E699:$G699,BE$5)-SUMIFS(TF_Timer,TF_Tekniker,BE$4,TF_Dato,$A699))*2,0)/2)))</f>
        <v/>
      </c>
      <c r="BF699">
        <f>IF(OR(BF$4="",$A699&gt;TODAY()),0,IF(OR(INDEX($B699:$D699,BF$5)="F",AND(BF$6&gt;0,$A699&lt;BF$6),AND(BF$7&gt;0,$A699&gt;BF$7)),0,MAX(0,ROUND((INDEX($E699:$G699,BF$5)-SUMIFS(TF_Timer,TF_Tekniker,BF$4,TF_Dato,$A699))*2,0)/2)))</f>
        <v/>
      </c>
      <c r="BG699">
        <f>IF(OR(BG$4="",$A699&gt;TODAY()),0,IF(OR(INDEX($B699:$D699,BG$5)="F",AND(BG$6&gt;0,$A699&lt;BG$6),AND(BG$7&gt;0,$A699&gt;BG$7)),0,MAX(0,ROUND((INDEX($E699:$G699,BG$5)-SUMIFS(TF_Timer,TF_Tekniker,BG$4,TF_Dato,$A699))*2,0)/2)))</f>
        <v/>
      </c>
      <c r="BH699">
        <f>IF(OR(BH$4="",$A699&gt;TODAY()),0,IF(OR(INDEX($B699:$D699,BH$5)="F",AND(BH$6&gt;0,$A699&lt;BH$6),AND(BH$7&gt;0,$A699&gt;BH$7)),0,MAX(0,ROUND((INDEX($E699:$G699,BH$5)-SUMIFS(TF_Timer,TF_Tekniker,BH$4,TF_Dato,$A699))*2,0)/2)))</f>
        <v/>
      </c>
      <c r="BI699">
        <f>IF(OR(BI$4="",$A699&gt;TODAY()),0,IF(OR(INDEX($B699:$D699,BI$5)="F",AND(BI$6&gt;0,$A699&lt;BI$6),AND(BI$7&gt;0,$A699&gt;BI$7)),0,MAX(0,ROUND((INDEX($E699:$G699,BI$5)-SUMIFS(TF_Timer,TF_Tekniker,BI$4,TF_Dato,$A699))*2,0)/2)))</f>
        <v/>
      </c>
    </row>
    <row r="700">
      <c r="A700" s="64">
        <f>A699+1</f>
        <v/>
      </c>
      <c r="B700">
        <f>IF(MOD($A700-INDEX(SkiftStart,1),Syklus)&lt;DagK,"K",IF(MOD($A700-INDEX(SkiftStart,1),Syklus)&lt;DagK+DagH,"H",IF(MOD($A700-INDEX(SkiftStart,1),Syklus)&lt;DagK+DagH+DagD,"D","F")))</f>
        <v/>
      </c>
      <c r="C700">
        <f>IF(MOD($A700-INDEX(SkiftStart,2),Syklus)&lt;DagK,"K",IF(MOD($A700-INDEX(SkiftStart,2),Syklus)&lt;DagK+DagH,"H",IF(MOD($A700-INDEX(SkiftStart,2),Syklus)&lt;DagK+DagH+DagD,"D","F")))</f>
        <v/>
      </c>
      <c r="D700">
        <f>IF(MOD($A700-INDEX(SkiftStart,3),Syklus)&lt;DagK,"K",IF(MOD($A700-INDEX(SkiftStart,3),Syklus)&lt;DagK+DagH,"H",IF(MOD($A700-INDEX(SkiftStart,3),Syklus)&lt;DagK+DagH+DagD,"D","F")))</f>
        <v/>
      </c>
      <c r="E700">
        <f>IF(B700="F",0,IF(WEEKDAY($A700,2)=5,INDEX(TimerFr,MATCH(B700,FaseKode,0)),INDEX(TimerMT,MATCH(B700,FaseKode,0))))</f>
        <v/>
      </c>
      <c r="F700">
        <f>IF(C700="F",0,IF(WEEKDAY($A700,2)=5,INDEX(TimerFr,MATCH(C700,FaseKode,0)),INDEX(TimerMT,MATCH(C700,FaseKode,0))))</f>
        <v/>
      </c>
      <c r="G700">
        <f>IF(D700="F",0,IF(WEEKDAY($A700,2)=5,INDEX(TimerFr,MATCH(D700,FaseKode,0)),INDEX(TimerMT,MATCH(D700,FaseKode,0))))</f>
        <v/>
      </c>
      <c r="H700">
        <f>IF(OR(H$4="",$A700&gt;TODAY()),0,IF(OR(INDEX($B700:$D700,H$5)="F",AND(H$6&gt;0,$A700&lt;H$6),AND(H$7&gt;0,$A700&gt;H$7)),0,MAX(0,ROUND((INDEX($E700:$G700,H$5)-SUMIFS(TF_Timer,TF_Tekniker,H$4,TF_Dato,$A700))*2,0)/2)))</f>
        <v/>
      </c>
      <c r="I700">
        <f>IF(OR(I$4="",$A700&gt;TODAY()),0,IF(OR(INDEX($B700:$D700,I$5)="F",AND(I$6&gt;0,$A700&lt;I$6),AND(I$7&gt;0,$A700&gt;I$7)),0,MAX(0,ROUND((INDEX($E700:$G700,I$5)-SUMIFS(TF_Timer,TF_Tekniker,I$4,TF_Dato,$A700))*2,0)/2)))</f>
        <v/>
      </c>
      <c r="J700">
        <f>IF(OR(J$4="",$A700&gt;TODAY()),0,IF(OR(INDEX($B700:$D700,J$5)="F",AND(J$6&gt;0,$A700&lt;J$6),AND(J$7&gt;0,$A700&gt;J$7)),0,MAX(0,ROUND((INDEX($E700:$G700,J$5)-SUMIFS(TF_Timer,TF_Tekniker,J$4,TF_Dato,$A700))*2,0)/2)))</f>
        <v/>
      </c>
      <c r="K700">
        <f>IF(OR(K$4="",$A700&gt;TODAY()),0,IF(OR(INDEX($B700:$D700,K$5)="F",AND(K$6&gt;0,$A700&lt;K$6),AND(K$7&gt;0,$A700&gt;K$7)),0,MAX(0,ROUND((INDEX($E700:$G700,K$5)-SUMIFS(TF_Timer,TF_Tekniker,K$4,TF_Dato,$A700))*2,0)/2)))</f>
        <v/>
      </c>
      <c r="L700">
        <f>IF(OR(L$4="",$A700&gt;TODAY()),0,IF(OR(INDEX($B700:$D700,L$5)="F",AND(L$6&gt;0,$A700&lt;L$6),AND(L$7&gt;0,$A700&gt;L$7)),0,MAX(0,ROUND((INDEX($E700:$G700,L$5)-SUMIFS(TF_Timer,TF_Tekniker,L$4,TF_Dato,$A700))*2,0)/2)))</f>
        <v/>
      </c>
      <c r="M700">
        <f>IF(OR(M$4="",$A700&gt;TODAY()),0,IF(OR(INDEX($B700:$D700,M$5)="F",AND(M$6&gt;0,$A700&lt;M$6),AND(M$7&gt;0,$A700&gt;M$7)),0,MAX(0,ROUND((INDEX($E700:$G700,M$5)-SUMIFS(TF_Timer,TF_Tekniker,M$4,TF_Dato,$A700))*2,0)/2)))</f>
        <v/>
      </c>
      <c r="N700">
        <f>IF(OR(N$4="",$A700&gt;TODAY()),0,IF(OR(INDEX($B700:$D700,N$5)="F",AND(N$6&gt;0,$A700&lt;N$6),AND(N$7&gt;0,$A700&gt;N$7)),0,MAX(0,ROUND((INDEX($E700:$G700,N$5)-SUMIFS(TF_Timer,TF_Tekniker,N$4,TF_Dato,$A700))*2,0)/2)))</f>
        <v/>
      </c>
      <c r="O700">
        <f>IF(OR(O$4="",$A700&gt;TODAY()),0,IF(OR(INDEX($B700:$D700,O$5)="F",AND(O$6&gt;0,$A700&lt;O$6),AND(O$7&gt;0,$A700&gt;O$7)),0,MAX(0,ROUND((INDEX($E700:$G700,O$5)-SUMIFS(TF_Timer,TF_Tekniker,O$4,TF_Dato,$A700))*2,0)/2)))</f>
        <v/>
      </c>
      <c r="P700">
        <f>IF(OR(P$4="",$A700&gt;TODAY()),0,IF(OR(INDEX($B700:$D700,P$5)="F",AND(P$6&gt;0,$A700&lt;P$6),AND(P$7&gt;0,$A700&gt;P$7)),0,MAX(0,ROUND((INDEX($E700:$G700,P$5)-SUMIFS(TF_Timer,TF_Tekniker,P$4,TF_Dato,$A700))*2,0)/2)))</f>
        <v/>
      </c>
      <c r="Q700">
        <f>IF(OR(Q$4="",$A700&gt;TODAY()),0,IF(OR(INDEX($B700:$D700,Q$5)="F",AND(Q$6&gt;0,$A700&lt;Q$6),AND(Q$7&gt;0,$A700&gt;Q$7)),0,MAX(0,ROUND((INDEX($E700:$G700,Q$5)-SUMIFS(TF_Timer,TF_Tekniker,Q$4,TF_Dato,$A700))*2,0)/2)))</f>
        <v/>
      </c>
      <c r="R700">
        <f>IF(OR(R$4="",$A700&gt;TODAY()),0,IF(OR(INDEX($B700:$D700,R$5)="F",AND(R$6&gt;0,$A700&lt;R$6),AND(R$7&gt;0,$A700&gt;R$7)),0,MAX(0,ROUND((INDEX($E700:$G700,R$5)-SUMIFS(TF_Timer,TF_Tekniker,R$4,TF_Dato,$A700))*2,0)/2)))</f>
        <v/>
      </c>
      <c r="S700">
        <f>IF(OR(S$4="",$A700&gt;TODAY()),0,IF(OR(INDEX($B700:$D700,S$5)="F",AND(S$6&gt;0,$A700&lt;S$6),AND(S$7&gt;0,$A700&gt;S$7)),0,MAX(0,ROUND((INDEX($E700:$G700,S$5)-SUMIFS(TF_Timer,TF_Tekniker,S$4,TF_Dato,$A700))*2,0)/2)))</f>
        <v/>
      </c>
      <c r="T700">
        <f>IF(OR(T$4="",$A700&gt;TODAY()),0,IF(OR(INDEX($B700:$D700,T$5)="F",AND(T$6&gt;0,$A700&lt;T$6),AND(T$7&gt;0,$A700&gt;T$7)),0,MAX(0,ROUND((INDEX($E700:$G700,T$5)-SUMIFS(TF_Timer,TF_Tekniker,T$4,TF_Dato,$A700))*2,0)/2)))</f>
        <v/>
      </c>
      <c r="U700">
        <f>IF(OR(U$4="",$A700&gt;TODAY()),0,IF(OR(INDEX($B700:$D700,U$5)="F",AND(U$6&gt;0,$A700&lt;U$6),AND(U$7&gt;0,$A700&gt;U$7)),0,MAX(0,ROUND((INDEX($E700:$G700,U$5)-SUMIFS(TF_Timer,TF_Tekniker,U$4,TF_Dato,$A700))*2,0)/2)))</f>
        <v/>
      </c>
      <c r="V700">
        <f>IF(OR(V$4="",$A700&gt;TODAY()),0,IF(OR(INDEX($B700:$D700,V$5)="F",AND(V$6&gt;0,$A700&lt;V$6),AND(V$7&gt;0,$A700&gt;V$7)),0,MAX(0,ROUND((INDEX($E700:$G700,V$5)-SUMIFS(TF_Timer,TF_Tekniker,V$4,TF_Dato,$A700))*2,0)/2)))</f>
        <v/>
      </c>
      <c r="W700">
        <f>IF(OR(W$4="",$A700&gt;TODAY()),0,IF(OR(INDEX($B700:$D700,W$5)="F",AND(W$6&gt;0,$A700&lt;W$6),AND(W$7&gt;0,$A700&gt;W$7)),0,MAX(0,ROUND((INDEX($E700:$G700,W$5)-SUMIFS(TF_Timer,TF_Tekniker,W$4,TF_Dato,$A700))*2,0)/2)))</f>
        <v/>
      </c>
      <c r="X700">
        <f>IF(OR(X$4="",$A700&gt;TODAY()),0,IF(OR(INDEX($B700:$D700,X$5)="F",AND(X$6&gt;0,$A700&lt;X$6),AND(X$7&gt;0,$A700&gt;X$7)),0,MAX(0,ROUND((INDEX($E700:$G700,X$5)-SUMIFS(TF_Timer,TF_Tekniker,X$4,TF_Dato,$A700))*2,0)/2)))</f>
        <v/>
      </c>
      <c r="Y700">
        <f>IF(OR(Y$4="",$A700&gt;TODAY()),0,IF(OR(INDEX($B700:$D700,Y$5)="F",AND(Y$6&gt;0,$A700&lt;Y$6),AND(Y$7&gt;0,$A700&gt;Y$7)),0,MAX(0,ROUND((INDEX($E700:$G700,Y$5)-SUMIFS(TF_Timer,TF_Tekniker,Y$4,TF_Dato,$A700))*2,0)/2)))</f>
        <v/>
      </c>
      <c r="Z700">
        <f>IF(OR(Z$4="",$A700&gt;TODAY()),0,IF(OR(INDEX($B700:$D700,Z$5)="F",AND(Z$6&gt;0,$A700&lt;Z$6),AND(Z$7&gt;0,$A700&gt;Z$7)),0,MAX(0,ROUND((INDEX($E700:$G700,Z$5)-SUMIFS(TF_Timer,TF_Tekniker,Z$4,TF_Dato,$A700))*2,0)/2)))</f>
        <v/>
      </c>
      <c r="AA700">
        <f>IF(OR(AA$4="",$A700&gt;TODAY()),0,IF(OR(INDEX($B700:$D700,AA$5)="F",AND(AA$6&gt;0,$A700&lt;AA$6),AND(AA$7&gt;0,$A700&gt;AA$7)),0,MAX(0,ROUND((INDEX($E700:$G700,AA$5)-SUMIFS(TF_Timer,TF_Tekniker,AA$4,TF_Dato,$A700))*2,0)/2)))</f>
        <v/>
      </c>
      <c r="AB700">
        <f>IF(OR(AB$4="",$A700&gt;TODAY()),0,IF(OR(INDEX($B700:$D700,AB$5)="F",AND(AB$6&gt;0,$A700&lt;AB$6),AND(AB$7&gt;0,$A700&gt;AB$7)),0,MAX(0,ROUND((INDEX($E700:$G700,AB$5)-SUMIFS(TF_Timer,TF_Tekniker,AB$4,TF_Dato,$A700))*2,0)/2)))</f>
        <v/>
      </c>
      <c r="AC700">
        <f>IF(OR(AC$4="",$A700&gt;TODAY()),0,IF(OR(INDEX($B700:$D700,AC$5)="F",AND(AC$6&gt;0,$A700&lt;AC$6),AND(AC$7&gt;0,$A700&gt;AC$7)),0,MAX(0,ROUND((INDEX($E700:$G700,AC$5)-SUMIFS(TF_Timer,TF_Tekniker,AC$4,TF_Dato,$A700))*2,0)/2)))</f>
        <v/>
      </c>
      <c r="AD700">
        <f>IF(OR(AD$4="",$A700&gt;TODAY()),0,IF(OR(INDEX($B700:$D700,AD$5)="F",AND(AD$6&gt;0,$A700&lt;AD$6),AND(AD$7&gt;0,$A700&gt;AD$7)),0,MAX(0,ROUND((INDEX($E700:$G700,AD$5)-SUMIFS(TF_Timer,TF_Tekniker,AD$4,TF_Dato,$A700))*2,0)/2)))</f>
        <v/>
      </c>
      <c r="AE700">
        <f>IF(OR(AE$4="",$A700&gt;TODAY()),0,IF(OR(INDEX($B700:$D700,AE$5)="F",AND(AE$6&gt;0,$A700&lt;AE$6),AND(AE$7&gt;0,$A700&gt;AE$7)),0,MAX(0,ROUND((INDEX($E700:$G700,AE$5)-SUMIFS(TF_Timer,TF_Tekniker,AE$4,TF_Dato,$A700))*2,0)/2)))</f>
        <v/>
      </c>
      <c r="AF700">
        <f>IF(OR(AF$4="",$A700&gt;TODAY()),0,IF(OR(INDEX($B700:$D700,AF$5)="F",AND(AF$6&gt;0,$A700&lt;AF$6),AND(AF$7&gt;0,$A700&gt;AF$7)),0,MAX(0,ROUND((INDEX($E700:$G700,AF$5)-SUMIFS(TF_Timer,TF_Tekniker,AF$4,TF_Dato,$A700))*2,0)/2)))</f>
        <v/>
      </c>
      <c r="AG700">
        <f>IF(OR(AG$4="",$A700&gt;TODAY()),0,IF(OR(INDEX($B700:$D700,AG$5)="F",AND(AG$6&gt;0,$A700&lt;AG$6),AND(AG$7&gt;0,$A700&gt;AG$7)),0,MAX(0,ROUND((INDEX($E700:$G700,AG$5)-SUMIFS(TF_Timer,TF_Tekniker,AG$4,TF_Dato,$A700))*2,0)/2)))</f>
        <v/>
      </c>
      <c r="AH700">
        <f>IF(OR(AH$4="",$A700&gt;TODAY()),0,IF(OR(INDEX($B700:$D700,AH$5)="F",AND(AH$6&gt;0,$A700&lt;AH$6),AND(AH$7&gt;0,$A700&gt;AH$7)),0,MAX(0,ROUND((INDEX($E700:$G700,AH$5)-SUMIFS(TF_Timer,TF_Tekniker,AH$4,TF_Dato,$A700))*2,0)/2)))</f>
        <v/>
      </c>
      <c r="AI700">
        <f>IF(OR(AI$4="",$A700&gt;TODAY()),0,IF(OR(INDEX($B700:$D700,AI$5)="F",AND(AI$6&gt;0,$A700&lt;AI$6),AND(AI$7&gt;0,$A700&gt;AI$7)),0,MAX(0,ROUND((INDEX($E700:$G700,AI$5)-SUMIFS(TF_Timer,TF_Tekniker,AI$4,TF_Dato,$A700))*2,0)/2)))</f>
        <v/>
      </c>
      <c r="AJ700">
        <f>IF(OR(AJ$4="",$A700&gt;TODAY()),0,IF(OR(INDEX($B700:$D700,AJ$5)="F",AND(AJ$6&gt;0,$A700&lt;AJ$6),AND(AJ$7&gt;0,$A700&gt;AJ$7)),0,MAX(0,ROUND((INDEX($E700:$G700,AJ$5)-SUMIFS(TF_Timer,TF_Tekniker,AJ$4,TF_Dato,$A700))*2,0)/2)))</f>
        <v/>
      </c>
      <c r="AK700">
        <f>IF(OR(AK$4="",$A700&gt;TODAY()),0,IF(OR(INDEX($B700:$D700,AK$5)="F",AND(AK$6&gt;0,$A700&lt;AK$6),AND(AK$7&gt;0,$A700&gt;AK$7)),0,MAX(0,ROUND((INDEX($E700:$G700,AK$5)-SUMIFS(TF_Timer,TF_Tekniker,AK$4,TF_Dato,$A700))*2,0)/2)))</f>
        <v/>
      </c>
      <c r="AL700">
        <f>IF(OR(AL$4="",$A700&gt;TODAY()),0,IF(OR(INDEX($B700:$D700,AL$5)="F",AND(AL$6&gt;0,$A700&lt;AL$6),AND(AL$7&gt;0,$A700&gt;AL$7)),0,MAX(0,ROUND((INDEX($E700:$G700,AL$5)-SUMIFS(TF_Timer,TF_Tekniker,AL$4,TF_Dato,$A700))*2,0)/2)))</f>
        <v/>
      </c>
      <c r="AM700">
        <f>IF(OR(AM$4="",$A700&gt;TODAY()),0,IF(OR(INDEX($B700:$D700,AM$5)="F",AND(AM$6&gt;0,$A700&lt;AM$6),AND(AM$7&gt;0,$A700&gt;AM$7)),0,MAX(0,ROUND((INDEX($E700:$G700,AM$5)-SUMIFS(TF_Timer,TF_Tekniker,AM$4,TF_Dato,$A700))*2,0)/2)))</f>
        <v/>
      </c>
      <c r="AN700">
        <f>IF(OR(AN$4="",$A700&gt;TODAY()),0,IF(OR(INDEX($B700:$D700,AN$5)="F",AND(AN$6&gt;0,$A700&lt;AN$6),AND(AN$7&gt;0,$A700&gt;AN$7)),0,MAX(0,ROUND((INDEX($E700:$G700,AN$5)-SUMIFS(TF_Timer,TF_Tekniker,AN$4,TF_Dato,$A700))*2,0)/2)))</f>
        <v/>
      </c>
      <c r="AO700">
        <f>IF(OR(AO$4="",$A700&gt;TODAY()),0,IF(OR(INDEX($B700:$D700,AO$5)="F",AND(AO$6&gt;0,$A700&lt;AO$6),AND(AO$7&gt;0,$A700&gt;AO$7)),0,MAX(0,ROUND((INDEX($E700:$G700,AO$5)-SUMIFS(TF_Timer,TF_Tekniker,AO$4,TF_Dato,$A700))*2,0)/2)))</f>
        <v/>
      </c>
      <c r="AP700">
        <f>IF(OR(AP$4="",$A700&gt;TODAY()),0,IF(OR(INDEX($B700:$D700,AP$5)="F",AND(AP$6&gt;0,$A700&lt;AP$6),AND(AP$7&gt;0,$A700&gt;AP$7)),0,MAX(0,ROUND((INDEX($E700:$G700,AP$5)-SUMIFS(TF_Timer,TF_Tekniker,AP$4,TF_Dato,$A700))*2,0)/2)))</f>
        <v/>
      </c>
      <c r="AQ700">
        <f>IF(OR(AQ$4="",$A700&gt;TODAY()),0,IF(OR(INDEX($B700:$D700,AQ$5)="F",AND(AQ$6&gt;0,$A700&lt;AQ$6),AND(AQ$7&gt;0,$A700&gt;AQ$7)),0,MAX(0,ROUND((INDEX($E700:$G700,AQ$5)-SUMIFS(TF_Timer,TF_Tekniker,AQ$4,TF_Dato,$A700))*2,0)/2)))</f>
        <v/>
      </c>
      <c r="AR700">
        <f>IF(OR(AR$4="",$A700&gt;TODAY()),0,IF(OR(INDEX($B700:$D700,AR$5)="F",AND(AR$6&gt;0,$A700&lt;AR$6),AND(AR$7&gt;0,$A700&gt;AR$7)),0,MAX(0,ROUND((INDEX($E700:$G700,AR$5)-SUMIFS(TF_Timer,TF_Tekniker,AR$4,TF_Dato,$A700))*2,0)/2)))</f>
        <v/>
      </c>
      <c r="AS700">
        <f>IF(OR(AS$4="",$A700&gt;TODAY()),0,IF(OR(INDEX($B700:$D700,AS$5)="F",AND(AS$6&gt;0,$A700&lt;AS$6),AND(AS$7&gt;0,$A700&gt;AS$7)),0,MAX(0,ROUND((INDEX($E700:$G700,AS$5)-SUMIFS(TF_Timer,TF_Tekniker,AS$4,TF_Dato,$A700))*2,0)/2)))</f>
        <v/>
      </c>
      <c r="AT700">
        <f>IF(OR(AT$4="",$A700&gt;TODAY()),0,IF(OR(INDEX($B700:$D700,AT$5)="F",AND(AT$6&gt;0,$A700&lt;AT$6),AND(AT$7&gt;0,$A700&gt;AT$7)),0,MAX(0,ROUND((INDEX($E700:$G700,AT$5)-SUMIFS(TF_Timer,TF_Tekniker,AT$4,TF_Dato,$A700))*2,0)/2)))</f>
        <v/>
      </c>
      <c r="AU700">
        <f>IF(OR(AU$4="",$A700&gt;TODAY()),0,IF(OR(INDEX($B700:$D700,AU$5)="F",AND(AU$6&gt;0,$A700&lt;AU$6),AND(AU$7&gt;0,$A700&gt;AU$7)),0,MAX(0,ROUND((INDEX($E700:$G700,AU$5)-SUMIFS(TF_Timer,TF_Tekniker,AU$4,TF_Dato,$A700))*2,0)/2)))</f>
        <v/>
      </c>
      <c r="AV700">
        <f>IF(OR(AV$4="",$A700&gt;TODAY()),0,IF(OR(INDEX($B700:$D700,AV$5)="F",AND(AV$6&gt;0,$A700&lt;AV$6),AND(AV$7&gt;0,$A700&gt;AV$7)),0,MAX(0,ROUND((INDEX($E700:$G700,AV$5)-SUMIFS(TF_Timer,TF_Tekniker,AV$4,TF_Dato,$A700))*2,0)/2)))</f>
        <v/>
      </c>
      <c r="AW700">
        <f>IF(OR(AW$4="",$A700&gt;TODAY()),0,IF(OR(INDEX($B700:$D700,AW$5)="F",AND(AW$6&gt;0,$A700&lt;AW$6),AND(AW$7&gt;0,$A700&gt;AW$7)),0,MAX(0,ROUND((INDEX($E700:$G700,AW$5)-SUMIFS(TF_Timer,TF_Tekniker,AW$4,TF_Dato,$A700))*2,0)/2)))</f>
        <v/>
      </c>
      <c r="AX700">
        <f>IF(OR(AX$4="",$A700&gt;TODAY()),0,IF(OR(INDEX($B700:$D700,AX$5)="F",AND(AX$6&gt;0,$A700&lt;AX$6),AND(AX$7&gt;0,$A700&gt;AX$7)),0,MAX(0,ROUND((INDEX($E700:$G700,AX$5)-SUMIFS(TF_Timer,TF_Tekniker,AX$4,TF_Dato,$A700))*2,0)/2)))</f>
        <v/>
      </c>
      <c r="AY700">
        <f>IF(OR(AY$4="",$A700&gt;TODAY()),0,IF(OR(INDEX($B700:$D700,AY$5)="F",AND(AY$6&gt;0,$A700&lt;AY$6),AND(AY$7&gt;0,$A700&gt;AY$7)),0,MAX(0,ROUND((INDEX($E700:$G700,AY$5)-SUMIFS(TF_Timer,TF_Tekniker,AY$4,TF_Dato,$A700))*2,0)/2)))</f>
        <v/>
      </c>
      <c r="AZ700">
        <f>IF(OR(AZ$4="",$A700&gt;TODAY()),0,IF(OR(INDEX($B700:$D700,AZ$5)="F",AND(AZ$6&gt;0,$A700&lt;AZ$6),AND(AZ$7&gt;0,$A700&gt;AZ$7)),0,MAX(0,ROUND((INDEX($E700:$G700,AZ$5)-SUMIFS(TF_Timer,TF_Tekniker,AZ$4,TF_Dato,$A700))*2,0)/2)))</f>
        <v/>
      </c>
      <c r="BA700">
        <f>IF(OR(BA$4="",$A700&gt;TODAY()),0,IF(OR(INDEX($B700:$D700,BA$5)="F",AND(BA$6&gt;0,$A700&lt;BA$6),AND(BA$7&gt;0,$A700&gt;BA$7)),0,MAX(0,ROUND((INDEX($E700:$G700,BA$5)-SUMIFS(TF_Timer,TF_Tekniker,BA$4,TF_Dato,$A700))*2,0)/2)))</f>
        <v/>
      </c>
      <c r="BB700">
        <f>IF(OR(BB$4="",$A700&gt;TODAY()),0,IF(OR(INDEX($B700:$D700,BB$5)="F",AND(BB$6&gt;0,$A700&lt;BB$6),AND(BB$7&gt;0,$A700&gt;BB$7)),0,MAX(0,ROUND((INDEX($E700:$G700,BB$5)-SUMIFS(TF_Timer,TF_Tekniker,BB$4,TF_Dato,$A700))*2,0)/2)))</f>
        <v/>
      </c>
      <c r="BC700">
        <f>IF(OR(BC$4="",$A700&gt;TODAY()),0,IF(OR(INDEX($B700:$D700,BC$5)="F",AND(BC$6&gt;0,$A700&lt;BC$6),AND(BC$7&gt;0,$A700&gt;BC$7)),0,MAX(0,ROUND((INDEX($E700:$G700,BC$5)-SUMIFS(TF_Timer,TF_Tekniker,BC$4,TF_Dato,$A700))*2,0)/2)))</f>
        <v/>
      </c>
      <c r="BD700">
        <f>IF(OR(BD$4="",$A700&gt;TODAY()),0,IF(OR(INDEX($B700:$D700,BD$5)="F",AND(BD$6&gt;0,$A700&lt;BD$6),AND(BD$7&gt;0,$A700&gt;BD$7)),0,MAX(0,ROUND((INDEX($E700:$G700,BD$5)-SUMIFS(TF_Timer,TF_Tekniker,BD$4,TF_Dato,$A700))*2,0)/2)))</f>
        <v/>
      </c>
      <c r="BE700">
        <f>IF(OR(BE$4="",$A700&gt;TODAY()),0,IF(OR(INDEX($B700:$D700,BE$5)="F",AND(BE$6&gt;0,$A700&lt;BE$6),AND(BE$7&gt;0,$A700&gt;BE$7)),0,MAX(0,ROUND((INDEX($E700:$G700,BE$5)-SUMIFS(TF_Timer,TF_Tekniker,BE$4,TF_Dato,$A700))*2,0)/2)))</f>
        <v/>
      </c>
      <c r="BF700">
        <f>IF(OR(BF$4="",$A700&gt;TODAY()),0,IF(OR(INDEX($B700:$D700,BF$5)="F",AND(BF$6&gt;0,$A700&lt;BF$6),AND(BF$7&gt;0,$A700&gt;BF$7)),0,MAX(0,ROUND((INDEX($E700:$G700,BF$5)-SUMIFS(TF_Timer,TF_Tekniker,BF$4,TF_Dato,$A700))*2,0)/2)))</f>
        <v/>
      </c>
      <c r="BG700">
        <f>IF(OR(BG$4="",$A700&gt;TODAY()),0,IF(OR(INDEX($B700:$D700,BG$5)="F",AND(BG$6&gt;0,$A700&lt;BG$6),AND(BG$7&gt;0,$A700&gt;BG$7)),0,MAX(0,ROUND((INDEX($E700:$G700,BG$5)-SUMIFS(TF_Timer,TF_Tekniker,BG$4,TF_Dato,$A700))*2,0)/2)))</f>
        <v/>
      </c>
      <c r="BH700">
        <f>IF(OR(BH$4="",$A700&gt;TODAY()),0,IF(OR(INDEX($B700:$D700,BH$5)="F",AND(BH$6&gt;0,$A700&lt;BH$6),AND(BH$7&gt;0,$A700&gt;BH$7)),0,MAX(0,ROUND((INDEX($E700:$G700,BH$5)-SUMIFS(TF_Timer,TF_Tekniker,BH$4,TF_Dato,$A700))*2,0)/2)))</f>
        <v/>
      </c>
      <c r="BI700">
        <f>IF(OR(BI$4="",$A700&gt;TODAY()),0,IF(OR(INDEX($B700:$D700,BI$5)="F",AND(BI$6&gt;0,$A700&lt;BI$6),AND(BI$7&gt;0,$A700&gt;BI$7)),0,MAX(0,ROUND((INDEX($E700:$G700,BI$5)-SUMIFS(TF_Timer,TF_Tekniker,BI$4,TF_Dato,$A700))*2,0)/2)))</f>
        <v/>
      </c>
    </row>
    <row r="701">
      <c r="A701" s="64">
        <f>A700+1</f>
        <v/>
      </c>
      <c r="B701">
        <f>IF(MOD($A701-INDEX(SkiftStart,1),Syklus)&lt;DagK,"K",IF(MOD($A701-INDEX(SkiftStart,1),Syklus)&lt;DagK+DagH,"H",IF(MOD($A701-INDEX(SkiftStart,1),Syklus)&lt;DagK+DagH+DagD,"D","F")))</f>
        <v/>
      </c>
      <c r="C701">
        <f>IF(MOD($A701-INDEX(SkiftStart,2),Syklus)&lt;DagK,"K",IF(MOD($A701-INDEX(SkiftStart,2),Syklus)&lt;DagK+DagH,"H",IF(MOD($A701-INDEX(SkiftStart,2),Syklus)&lt;DagK+DagH+DagD,"D","F")))</f>
        <v/>
      </c>
      <c r="D701">
        <f>IF(MOD($A701-INDEX(SkiftStart,3),Syklus)&lt;DagK,"K",IF(MOD($A701-INDEX(SkiftStart,3),Syklus)&lt;DagK+DagH,"H",IF(MOD($A701-INDEX(SkiftStart,3),Syklus)&lt;DagK+DagH+DagD,"D","F")))</f>
        <v/>
      </c>
      <c r="E701">
        <f>IF(B701="F",0,IF(WEEKDAY($A701,2)=5,INDEX(TimerFr,MATCH(B701,FaseKode,0)),INDEX(TimerMT,MATCH(B701,FaseKode,0))))</f>
        <v/>
      </c>
      <c r="F701">
        <f>IF(C701="F",0,IF(WEEKDAY($A701,2)=5,INDEX(TimerFr,MATCH(C701,FaseKode,0)),INDEX(TimerMT,MATCH(C701,FaseKode,0))))</f>
        <v/>
      </c>
      <c r="G701">
        <f>IF(D701="F",0,IF(WEEKDAY($A701,2)=5,INDEX(TimerFr,MATCH(D701,FaseKode,0)),INDEX(TimerMT,MATCH(D701,FaseKode,0))))</f>
        <v/>
      </c>
      <c r="H701">
        <f>IF(OR(H$4="",$A701&gt;TODAY()),0,IF(OR(INDEX($B701:$D701,H$5)="F",AND(H$6&gt;0,$A701&lt;H$6),AND(H$7&gt;0,$A701&gt;H$7)),0,MAX(0,ROUND((INDEX($E701:$G701,H$5)-SUMIFS(TF_Timer,TF_Tekniker,H$4,TF_Dato,$A701))*2,0)/2)))</f>
        <v/>
      </c>
      <c r="I701">
        <f>IF(OR(I$4="",$A701&gt;TODAY()),0,IF(OR(INDEX($B701:$D701,I$5)="F",AND(I$6&gt;0,$A701&lt;I$6),AND(I$7&gt;0,$A701&gt;I$7)),0,MAX(0,ROUND((INDEX($E701:$G701,I$5)-SUMIFS(TF_Timer,TF_Tekniker,I$4,TF_Dato,$A701))*2,0)/2)))</f>
        <v/>
      </c>
      <c r="J701">
        <f>IF(OR(J$4="",$A701&gt;TODAY()),0,IF(OR(INDEX($B701:$D701,J$5)="F",AND(J$6&gt;0,$A701&lt;J$6),AND(J$7&gt;0,$A701&gt;J$7)),0,MAX(0,ROUND((INDEX($E701:$G701,J$5)-SUMIFS(TF_Timer,TF_Tekniker,J$4,TF_Dato,$A701))*2,0)/2)))</f>
        <v/>
      </c>
      <c r="K701">
        <f>IF(OR(K$4="",$A701&gt;TODAY()),0,IF(OR(INDEX($B701:$D701,K$5)="F",AND(K$6&gt;0,$A701&lt;K$6),AND(K$7&gt;0,$A701&gt;K$7)),0,MAX(0,ROUND((INDEX($E701:$G701,K$5)-SUMIFS(TF_Timer,TF_Tekniker,K$4,TF_Dato,$A701))*2,0)/2)))</f>
        <v/>
      </c>
      <c r="L701">
        <f>IF(OR(L$4="",$A701&gt;TODAY()),0,IF(OR(INDEX($B701:$D701,L$5)="F",AND(L$6&gt;0,$A701&lt;L$6),AND(L$7&gt;0,$A701&gt;L$7)),0,MAX(0,ROUND((INDEX($E701:$G701,L$5)-SUMIFS(TF_Timer,TF_Tekniker,L$4,TF_Dato,$A701))*2,0)/2)))</f>
        <v/>
      </c>
      <c r="M701">
        <f>IF(OR(M$4="",$A701&gt;TODAY()),0,IF(OR(INDEX($B701:$D701,M$5)="F",AND(M$6&gt;0,$A701&lt;M$6),AND(M$7&gt;0,$A701&gt;M$7)),0,MAX(0,ROUND((INDEX($E701:$G701,M$5)-SUMIFS(TF_Timer,TF_Tekniker,M$4,TF_Dato,$A701))*2,0)/2)))</f>
        <v/>
      </c>
      <c r="N701">
        <f>IF(OR(N$4="",$A701&gt;TODAY()),0,IF(OR(INDEX($B701:$D701,N$5)="F",AND(N$6&gt;0,$A701&lt;N$6),AND(N$7&gt;0,$A701&gt;N$7)),0,MAX(0,ROUND((INDEX($E701:$G701,N$5)-SUMIFS(TF_Timer,TF_Tekniker,N$4,TF_Dato,$A701))*2,0)/2)))</f>
        <v/>
      </c>
      <c r="O701">
        <f>IF(OR(O$4="",$A701&gt;TODAY()),0,IF(OR(INDEX($B701:$D701,O$5)="F",AND(O$6&gt;0,$A701&lt;O$6),AND(O$7&gt;0,$A701&gt;O$7)),0,MAX(0,ROUND((INDEX($E701:$G701,O$5)-SUMIFS(TF_Timer,TF_Tekniker,O$4,TF_Dato,$A701))*2,0)/2)))</f>
        <v/>
      </c>
      <c r="P701">
        <f>IF(OR(P$4="",$A701&gt;TODAY()),0,IF(OR(INDEX($B701:$D701,P$5)="F",AND(P$6&gt;0,$A701&lt;P$6),AND(P$7&gt;0,$A701&gt;P$7)),0,MAX(0,ROUND((INDEX($E701:$G701,P$5)-SUMIFS(TF_Timer,TF_Tekniker,P$4,TF_Dato,$A701))*2,0)/2)))</f>
        <v/>
      </c>
      <c r="Q701">
        <f>IF(OR(Q$4="",$A701&gt;TODAY()),0,IF(OR(INDEX($B701:$D701,Q$5)="F",AND(Q$6&gt;0,$A701&lt;Q$6),AND(Q$7&gt;0,$A701&gt;Q$7)),0,MAX(0,ROUND((INDEX($E701:$G701,Q$5)-SUMIFS(TF_Timer,TF_Tekniker,Q$4,TF_Dato,$A701))*2,0)/2)))</f>
        <v/>
      </c>
      <c r="R701">
        <f>IF(OR(R$4="",$A701&gt;TODAY()),0,IF(OR(INDEX($B701:$D701,R$5)="F",AND(R$6&gt;0,$A701&lt;R$6),AND(R$7&gt;0,$A701&gt;R$7)),0,MAX(0,ROUND((INDEX($E701:$G701,R$5)-SUMIFS(TF_Timer,TF_Tekniker,R$4,TF_Dato,$A701))*2,0)/2)))</f>
        <v/>
      </c>
      <c r="S701">
        <f>IF(OR(S$4="",$A701&gt;TODAY()),0,IF(OR(INDEX($B701:$D701,S$5)="F",AND(S$6&gt;0,$A701&lt;S$6),AND(S$7&gt;0,$A701&gt;S$7)),0,MAX(0,ROUND((INDEX($E701:$G701,S$5)-SUMIFS(TF_Timer,TF_Tekniker,S$4,TF_Dato,$A701))*2,0)/2)))</f>
        <v/>
      </c>
      <c r="T701">
        <f>IF(OR(T$4="",$A701&gt;TODAY()),0,IF(OR(INDEX($B701:$D701,T$5)="F",AND(T$6&gt;0,$A701&lt;T$6),AND(T$7&gt;0,$A701&gt;T$7)),0,MAX(0,ROUND((INDEX($E701:$G701,T$5)-SUMIFS(TF_Timer,TF_Tekniker,T$4,TF_Dato,$A701))*2,0)/2)))</f>
        <v/>
      </c>
      <c r="U701">
        <f>IF(OR(U$4="",$A701&gt;TODAY()),0,IF(OR(INDEX($B701:$D701,U$5)="F",AND(U$6&gt;0,$A701&lt;U$6),AND(U$7&gt;0,$A701&gt;U$7)),0,MAX(0,ROUND((INDEX($E701:$G701,U$5)-SUMIFS(TF_Timer,TF_Tekniker,U$4,TF_Dato,$A701))*2,0)/2)))</f>
        <v/>
      </c>
      <c r="V701">
        <f>IF(OR(V$4="",$A701&gt;TODAY()),0,IF(OR(INDEX($B701:$D701,V$5)="F",AND(V$6&gt;0,$A701&lt;V$6),AND(V$7&gt;0,$A701&gt;V$7)),0,MAX(0,ROUND((INDEX($E701:$G701,V$5)-SUMIFS(TF_Timer,TF_Tekniker,V$4,TF_Dato,$A701))*2,0)/2)))</f>
        <v/>
      </c>
      <c r="W701">
        <f>IF(OR(W$4="",$A701&gt;TODAY()),0,IF(OR(INDEX($B701:$D701,W$5)="F",AND(W$6&gt;0,$A701&lt;W$6),AND(W$7&gt;0,$A701&gt;W$7)),0,MAX(0,ROUND((INDEX($E701:$G701,W$5)-SUMIFS(TF_Timer,TF_Tekniker,W$4,TF_Dato,$A701))*2,0)/2)))</f>
        <v/>
      </c>
      <c r="X701">
        <f>IF(OR(X$4="",$A701&gt;TODAY()),0,IF(OR(INDEX($B701:$D701,X$5)="F",AND(X$6&gt;0,$A701&lt;X$6),AND(X$7&gt;0,$A701&gt;X$7)),0,MAX(0,ROUND((INDEX($E701:$G701,X$5)-SUMIFS(TF_Timer,TF_Tekniker,X$4,TF_Dato,$A701))*2,0)/2)))</f>
        <v/>
      </c>
      <c r="Y701">
        <f>IF(OR(Y$4="",$A701&gt;TODAY()),0,IF(OR(INDEX($B701:$D701,Y$5)="F",AND(Y$6&gt;0,$A701&lt;Y$6),AND(Y$7&gt;0,$A701&gt;Y$7)),0,MAX(0,ROUND((INDEX($E701:$G701,Y$5)-SUMIFS(TF_Timer,TF_Tekniker,Y$4,TF_Dato,$A701))*2,0)/2)))</f>
        <v/>
      </c>
      <c r="Z701">
        <f>IF(OR(Z$4="",$A701&gt;TODAY()),0,IF(OR(INDEX($B701:$D701,Z$5)="F",AND(Z$6&gt;0,$A701&lt;Z$6),AND(Z$7&gt;0,$A701&gt;Z$7)),0,MAX(0,ROUND((INDEX($E701:$G701,Z$5)-SUMIFS(TF_Timer,TF_Tekniker,Z$4,TF_Dato,$A701))*2,0)/2)))</f>
        <v/>
      </c>
      <c r="AA701">
        <f>IF(OR(AA$4="",$A701&gt;TODAY()),0,IF(OR(INDEX($B701:$D701,AA$5)="F",AND(AA$6&gt;0,$A701&lt;AA$6),AND(AA$7&gt;0,$A701&gt;AA$7)),0,MAX(0,ROUND((INDEX($E701:$G701,AA$5)-SUMIFS(TF_Timer,TF_Tekniker,AA$4,TF_Dato,$A701))*2,0)/2)))</f>
        <v/>
      </c>
      <c r="AB701">
        <f>IF(OR(AB$4="",$A701&gt;TODAY()),0,IF(OR(INDEX($B701:$D701,AB$5)="F",AND(AB$6&gt;0,$A701&lt;AB$6),AND(AB$7&gt;0,$A701&gt;AB$7)),0,MAX(0,ROUND((INDEX($E701:$G701,AB$5)-SUMIFS(TF_Timer,TF_Tekniker,AB$4,TF_Dato,$A701))*2,0)/2)))</f>
        <v/>
      </c>
      <c r="AC701">
        <f>IF(OR(AC$4="",$A701&gt;TODAY()),0,IF(OR(INDEX($B701:$D701,AC$5)="F",AND(AC$6&gt;0,$A701&lt;AC$6),AND(AC$7&gt;0,$A701&gt;AC$7)),0,MAX(0,ROUND((INDEX($E701:$G701,AC$5)-SUMIFS(TF_Timer,TF_Tekniker,AC$4,TF_Dato,$A701))*2,0)/2)))</f>
        <v/>
      </c>
      <c r="AD701">
        <f>IF(OR(AD$4="",$A701&gt;TODAY()),0,IF(OR(INDEX($B701:$D701,AD$5)="F",AND(AD$6&gt;0,$A701&lt;AD$6),AND(AD$7&gt;0,$A701&gt;AD$7)),0,MAX(0,ROUND((INDEX($E701:$G701,AD$5)-SUMIFS(TF_Timer,TF_Tekniker,AD$4,TF_Dato,$A701))*2,0)/2)))</f>
        <v/>
      </c>
      <c r="AE701">
        <f>IF(OR(AE$4="",$A701&gt;TODAY()),0,IF(OR(INDEX($B701:$D701,AE$5)="F",AND(AE$6&gt;0,$A701&lt;AE$6),AND(AE$7&gt;0,$A701&gt;AE$7)),0,MAX(0,ROUND((INDEX($E701:$G701,AE$5)-SUMIFS(TF_Timer,TF_Tekniker,AE$4,TF_Dato,$A701))*2,0)/2)))</f>
        <v/>
      </c>
      <c r="AF701">
        <f>IF(OR(AF$4="",$A701&gt;TODAY()),0,IF(OR(INDEX($B701:$D701,AF$5)="F",AND(AF$6&gt;0,$A701&lt;AF$6),AND(AF$7&gt;0,$A701&gt;AF$7)),0,MAX(0,ROUND((INDEX($E701:$G701,AF$5)-SUMIFS(TF_Timer,TF_Tekniker,AF$4,TF_Dato,$A701))*2,0)/2)))</f>
        <v/>
      </c>
      <c r="AG701">
        <f>IF(OR(AG$4="",$A701&gt;TODAY()),0,IF(OR(INDEX($B701:$D701,AG$5)="F",AND(AG$6&gt;0,$A701&lt;AG$6),AND(AG$7&gt;0,$A701&gt;AG$7)),0,MAX(0,ROUND((INDEX($E701:$G701,AG$5)-SUMIFS(TF_Timer,TF_Tekniker,AG$4,TF_Dato,$A701))*2,0)/2)))</f>
        <v/>
      </c>
      <c r="AH701">
        <f>IF(OR(AH$4="",$A701&gt;TODAY()),0,IF(OR(INDEX($B701:$D701,AH$5)="F",AND(AH$6&gt;0,$A701&lt;AH$6),AND(AH$7&gt;0,$A701&gt;AH$7)),0,MAX(0,ROUND((INDEX($E701:$G701,AH$5)-SUMIFS(TF_Timer,TF_Tekniker,AH$4,TF_Dato,$A701))*2,0)/2)))</f>
        <v/>
      </c>
      <c r="AI701">
        <f>IF(OR(AI$4="",$A701&gt;TODAY()),0,IF(OR(INDEX($B701:$D701,AI$5)="F",AND(AI$6&gt;0,$A701&lt;AI$6),AND(AI$7&gt;0,$A701&gt;AI$7)),0,MAX(0,ROUND((INDEX($E701:$G701,AI$5)-SUMIFS(TF_Timer,TF_Tekniker,AI$4,TF_Dato,$A701))*2,0)/2)))</f>
        <v/>
      </c>
      <c r="AJ701">
        <f>IF(OR(AJ$4="",$A701&gt;TODAY()),0,IF(OR(INDEX($B701:$D701,AJ$5)="F",AND(AJ$6&gt;0,$A701&lt;AJ$6),AND(AJ$7&gt;0,$A701&gt;AJ$7)),0,MAX(0,ROUND((INDEX($E701:$G701,AJ$5)-SUMIFS(TF_Timer,TF_Tekniker,AJ$4,TF_Dato,$A701))*2,0)/2)))</f>
        <v/>
      </c>
      <c r="AK701">
        <f>IF(OR(AK$4="",$A701&gt;TODAY()),0,IF(OR(INDEX($B701:$D701,AK$5)="F",AND(AK$6&gt;0,$A701&lt;AK$6),AND(AK$7&gt;0,$A701&gt;AK$7)),0,MAX(0,ROUND((INDEX($E701:$G701,AK$5)-SUMIFS(TF_Timer,TF_Tekniker,AK$4,TF_Dato,$A701))*2,0)/2)))</f>
        <v/>
      </c>
      <c r="AL701">
        <f>IF(OR(AL$4="",$A701&gt;TODAY()),0,IF(OR(INDEX($B701:$D701,AL$5)="F",AND(AL$6&gt;0,$A701&lt;AL$6),AND(AL$7&gt;0,$A701&gt;AL$7)),0,MAX(0,ROUND((INDEX($E701:$G701,AL$5)-SUMIFS(TF_Timer,TF_Tekniker,AL$4,TF_Dato,$A701))*2,0)/2)))</f>
        <v/>
      </c>
      <c r="AM701">
        <f>IF(OR(AM$4="",$A701&gt;TODAY()),0,IF(OR(INDEX($B701:$D701,AM$5)="F",AND(AM$6&gt;0,$A701&lt;AM$6),AND(AM$7&gt;0,$A701&gt;AM$7)),0,MAX(0,ROUND((INDEX($E701:$G701,AM$5)-SUMIFS(TF_Timer,TF_Tekniker,AM$4,TF_Dato,$A701))*2,0)/2)))</f>
        <v/>
      </c>
      <c r="AN701">
        <f>IF(OR(AN$4="",$A701&gt;TODAY()),0,IF(OR(INDEX($B701:$D701,AN$5)="F",AND(AN$6&gt;0,$A701&lt;AN$6),AND(AN$7&gt;0,$A701&gt;AN$7)),0,MAX(0,ROUND((INDEX($E701:$G701,AN$5)-SUMIFS(TF_Timer,TF_Tekniker,AN$4,TF_Dato,$A701))*2,0)/2)))</f>
        <v/>
      </c>
      <c r="AO701">
        <f>IF(OR(AO$4="",$A701&gt;TODAY()),0,IF(OR(INDEX($B701:$D701,AO$5)="F",AND(AO$6&gt;0,$A701&lt;AO$6),AND(AO$7&gt;0,$A701&gt;AO$7)),0,MAX(0,ROUND((INDEX($E701:$G701,AO$5)-SUMIFS(TF_Timer,TF_Tekniker,AO$4,TF_Dato,$A701))*2,0)/2)))</f>
        <v/>
      </c>
      <c r="AP701">
        <f>IF(OR(AP$4="",$A701&gt;TODAY()),0,IF(OR(INDEX($B701:$D701,AP$5)="F",AND(AP$6&gt;0,$A701&lt;AP$6),AND(AP$7&gt;0,$A701&gt;AP$7)),0,MAX(0,ROUND((INDEX($E701:$G701,AP$5)-SUMIFS(TF_Timer,TF_Tekniker,AP$4,TF_Dato,$A701))*2,0)/2)))</f>
        <v/>
      </c>
      <c r="AQ701">
        <f>IF(OR(AQ$4="",$A701&gt;TODAY()),0,IF(OR(INDEX($B701:$D701,AQ$5)="F",AND(AQ$6&gt;0,$A701&lt;AQ$6),AND(AQ$7&gt;0,$A701&gt;AQ$7)),0,MAX(0,ROUND((INDEX($E701:$G701,AQ$5)-SUMIFS(TF_Timer,TF_Tekniker,AQ$4,TF_Dato,$A701))*2,0)/2)))</f>
        <v/>
      </c>
      <c r="AR701">
        <f>IF(OR(AR$4="",$A701&gt;TODAY()),0,IF(OR(INDEX($B701:$D701,AR$5)="F",AND(AR$6&gt;0,$A701&lt;AR$6),AND(AR$7&gt;0,$A701&gt;AR$7)),0,MAX(0,ROUND((INDEX($E701:$G701,AR$5)-SUMIFS(TF_Timer,TF_Tekniker,AR$4,TF_Dato,$A701))*2,0)/2)))</f>
        <v/>
      </c>
      <c r="AS701">
        <f>IF(OR(AS$4="",$A701&gt;TODAY()),0,IF(OR(INDEX($B701:$D701,AS$5)="F",AND(AS$6&gt;0,$A701&lt;AS$6),AND(AS$7&gt;0,$A701&gt;AS$7)),0,MAX(0,ROUND((INDEX($E701:$G701,AS$5)-SUMIFS(TF_Timer,TF_Tekniker,AS$4,TF_Dato,$A701))*2,0)/2)))</f>
        <v/>
      </c>
      <c r="AT701">
        <f>IF(OR(AT$4="",$A701&gt;TODAY()),0,IF(OR(INDEX($B701:$D701,AT$5)="F",AND(AT$6&gt;0,$A701&lt;AT$6),AND(AT$7&gt;0,$A701&gt;AT$7)),0,MAX(0,ROUND((INDEX($E701:$G701,AT$5)-SUMIFS(TF_Timer,TF_Tekniker,AT$4,TF_Dato,$A701))*2,0)/2)))</f>
        <v/>
      </c>
      <c r="AU701">
        <f>IF(OR(AU$4="",$A701&gt;TODAY()),0,IF(OR(INDEX($B701:$D701,AU$5)="F",AND(AU$6&gt;0,$A701&lt;AU$6),AND(AU$7&gt;0,$A701&gt;AU$7)),0,MAX(0,ROUND((INDEX($E701:$G701,AU$5)-SUMIFS(TF_Timer,TF_Tekniker,AU$4,TF_Dato,$A701))*2,0)/2)))</f>
        <v/>
      </c>
      <c r="AV701">
        <f>IF(OR(AV$4="",$A701&gt;TODAY()),0,IF(OR(INDEX($B701:$D701,AV$5)="F",AND(AV$6&gt;0,$A701&lt;AV$6),AND(AV$7&gt;0,$A701&gt;AV$7)),0,MAX(0,ROUND((INDEX($E701:$G701,AV$5)-SUMIFS(TF_Timer,TF_Tekniker,AV$4,TF_Dato,$A701))*2,0)/2)))</f>
        <v/>
      </c>
      <c r="AW701">
        <f>IF(OR(AW$4="",$A701&gt;TODAY()),0,IF(OR(INDEX($B701:$D701,AW$5)="F",AND(AW$6&gt;0,$A701&lt;AW$6),AND(AW$7&gt;0,$A701&gt;AW$7)),0,MAX(0,ROUND((INDEX($E701:$G701,AW$5)-SUMIFS(TF_Timer,TF_Tekniker,AW$4,TF_Dato,$A701))*2,0)/2)))</f>
        <v/>
      </c>
      <c r="AX701">
        <f>IF(OR(AX$4="",$A701&gt;TODAY()),0,IF(OR(INDEX($B701:$D701,AX$5)="F",AND(AX$6&gt;0,$A701&lt;AX$6),AND(AX$7&gt;0,$A701&gt;AX$7)),0,MAX(0,ROUND((INDEX($E701:$G701,AX$5)-SUMIFS(TF_Timer,TF_Tekniker,AX$4,TF_Dato,$A701))*2,0)/2)))</f>
        <v/>
      </c>
      <c r="AY701">
        <f>IF(OR(AY$4="",$A701&gt;TODAY()),0,IF(OR(INDEX($B701:$D701,AY$5)="F",AND(AY$6&gt;0,$A701&lt;AY$6),AND(AY$7&gt;0,$A701&gt;AY$7)),0,MAX(0,ROUND((INDEX($E701:$G701,AY$5)-SUMIFS(TF_Timer,TF_Tekniker,AY$4,TF_Dato,$A701))*2,0)/2)))</f>
        <v/>
      </c>
      <c r="AZ701">
        <f>IF(OR(AZ$4="",$A701&gt;TODAY()),0,IF(OR(INDEX($B701:$D701,AZ$5)="F",AND(AZ$6&gt;0,$A701&lt;AZ$6),AND(AZ$7&gt;0,$A701&gt;AZ$7)),0,MAX(0,ROUND((INDEX($E701:$G701,AZ$5)-SUMIFS(TF_Timer,TF_Tekniker,AZ$4,TF_Dato,$A701))*2,0)/2)))</f>
        <v/>
      </c>
      <c r="BA701">
        <f>IF(OR(BA$4="",$A701&gt;TODAY()),0,IF(OR(INDEX($B701:$D701,BA$5)="F",AND(BA$6&gt;0,$A701&lt;BA$6),AND(BA$7&gt;0,$A701&gt;BA$7)),0,MAX(0,ROUND((INDEX($E701:$G701,BA$5)-SUMIFS(TF_Timer,TF_Tekniker,BA$4,TF_Dato,$A701))*2,0)/2)))</f>
        <v/>
      </c>
      <c r="BB701">
        <f>IF(OR(BB$4="",$A701&gt;TODAY()),0,IF(OR(INDEX($B701:$D701,BB$5)="F",AND(BB$6&gt;0,$A701&lt;BB$6),AND(BB$7&gt;0,$A701&gt;BB$7)),0,MAX(0,ROUND((INDEX($E701:$G701,BB$5)-SUMIFS(TF_Timer,TF_Tekniker,BB$4,TF_Dato,$A701))*2,0)/2)))</f>
        <v/>
      </c>
      <c r="BC701">
        <f>IF(OR(BC$4="",$A701&gt;TODAY()),0,IF(OR(INDEX($B701:$D701,BC$5)="F",AND(BC$6&gt;0,$A701&lt;BC$6),AND(BC$7&gt;0,$A701&gt;BC$7)),0,MAX(0,ROUND((INDEX($E701:$G701,BC$5)-SUMIFS(TF_Timer,TF_Tekniker,BC$4,TF_Dato,$A701))*2,0)/2)))</f>
        <v/>
      </c>
      <c r="BD701">
        <f>IF(OR(BD$4="",$A701&gt;TODAY()),0,IF(OR(INDEX($B701:$D701,BD$5)="F",AND(BD$6&gt;0,$A701&lt;BD$6),AND(BD$7&gt;0,$A701&gt;BD$7)),0,MAX(0,ROUND((INDEX($E701:$G701,BD$5)-SUMIFS(TF_Timer,TF_Tekniker,BD$4,TF_Dato,$A701))*2,0)/2)))</f>
        <v/>
      </c>
      <c r="BE701">
        <f>IF(OR(BE$4="",$A701&gt;TODAY()),0,IF(OR(INDEX($B701:$D701,BE$5)="F",AND(BE$6&gt;0,$A701&lt;BE$6),AND(BE$7&gt;0,$A701&gt;BE$7)),0,MAX(0,ROUND((INDEX($E701:$G701,BE$5)-SUMIFS(TF_Timer,TF_Tekniker,BE$4,TF_Dato,$A701))*2,0)/2)))</f>
        <v/>
      </c>
      <c r="BF701">
        <f>IF(OR(BF$4="",$A701&gt;TODAY()),0,IF(OR(INDEX($B701:$D701,BF$5)="F",AND(BF$6&gt;0,$A701&lt;BF$6),AND(BF$7&gt;0,$A701&gt;BF$7)),0,MAX(0,ROUND((INDEX($E701:$G701,BF$5)-SUMIFS(TF_Timer,TF_Tekniker,BF$4,TF_Dato,$A701))*2,0)/2)))</f>
        <v/>
      </c>
      <c r="BG701">
        <f>IF(OR(BG$4="",$A701&gt;TODAY()),0,IF(OR(INDEX($B701:$D701,BG$5)="F",AND(BG$6&gt;0,$A701&lt;BG$6),AND(BG$7&gt;0,$A701&gt;BG$7)),0,MAX(0,ROUND((INDEX($E701:$G701,BG$5)-SUMIFS(TF_Timer,TF_Tekniker,BG$4,TF_Dato,$A701))*2,0)/2)))</f>
        <v/>
      </c>
      <c r="BH701">
        <f>IF(OR(BH$4="",$A701&gt;TODAY()),0,IF(OR(INDEX($B701:$D701,BH$5)="F",AND(BH$6&gt;0,$A701&lt;BH$6),AND(BH$7&gt;0,$A701&gt;BH$7)),0,MAX(0,ROUND((INDEX($E701:$G701,BH$5)-SUMIFS(TF_Timer,TF_Tekniker,BH$4,TF_Dato,$A701))*2,0)/2)))</f>
        <v/>
      </c>
      <c r="BI701">
        <f>IF(OR(BI$4="",$A701&gt;TODAY()),0,IF(OR(INDEX($B701:$D701,BI$5)="F",AND(BI$6&gt;0,$A701&lt;BI$6),AND(BI$7&gt;0,$A701&gt;BI$7)),0,MAX(0,ROUND((INDEX($E701:$G701,BI$5)-SUMIFS(TF_Timer,TF_Tekniker,BI$4,TF_Dato,$A701))*2,0)/2)))</f>
        <v/>
      </c>
    </row>
    <row r="702">
      <c r="A702" s="64">
        <f>A701+1</f>
        <v/>
      </c>
      <c r="B702">
        <f>IF(MOD($A702-INDEX(SkiftStart,1),Syklus)&lt;DagK,"K",IF(MOD($A702-INDEX(SkiftStart,1),Syklus)&lt;DagK+DagH,"H",IF(MOD($A702-INDEX(SkiftStart,1),Syklus)&lt;DagK+DagH+DagD,"D","F")))</f>
        <v/>
      </c>
      <c r="C702">
        <f>IF(MOD($A702-INDEX(SkiftStart,2),Syklus)&lt;DagK,"K",IF(MOD($A702-INDEX(SkiftStart,2),Syklus)&lt;DagK+DagH,"H",IF(MOD($A702-INDEX(SkiftStart,2),Syklus)&lt;DagK+DagH+DagD,"D","F")))</f>
        <v/>
      </c>
      <c r="D702">
        <f>IF(MOD($A702-INDEX(SkiftStart,3),Syklus)&lt;DagK,"K",IF(MOD($A702-INDEX(SkiftStart,3),Syklus)&lt;DagK+DagH,"H",IF(MOD($A702-INDEX(SkiftStart,3),Syklus)&lt;DagK+DagH+DagD,"D","F")))</f>
        <v/>
      </c>
      <c r="E702">
        <f>IF(B702="F",0,IF(WEEKDAY($A702,2)=5,INDEX(TimerFr,MATCH(B702,FaseKode,0)),INDEX(TimerMT,MATCH(B702,FaseKode,0))))</f>
        <v/>
      </c>
      <c r="F702">
        <f>IF(C702="F",0,IF(WEEKDAY($A702,2)=5,INDEX(TimerFr,MATCH(C702,FaseKode,0)),INDEX(TimerMT,MATCH(C702,FaseKode,0))))</f>
        <v/>
      </c>
      <c r="G702">
        <f>IF(D702="F",0,IF(WEEKDAY($A702,2)=5,INDEX(TimerFr,MATCH(D702,FaseKode,0)),INDEX(TimerMT,MATCH(D702,FaseKode,0))))</f>
        <v/>
      </c>
      <c r="H702">
        <f>IF(OR(H$4="",$A702&gt;TODAY()),0,IF(OR(INDEX($B702:$D702,H$5)="F",AND(H$6&gt;0,$A702&lt;H$6),AND(H$7&gt;0,$A702&gt;H$7)),0,MAX(0,ROUND((INDEX($E702:$G702,H$5)-SUMIFS(TF_Timer,TF_Tekniker,H$4,TF_Dato,$A702))*2,0)/2)))</f>
        <v/>
      </c>
      <c r="I702">
        <f>IF(OR(I$4="",$A702&gt;TODAY()),0,IF(OR(INDEX($B702:$D702,I$5)="F",AND(I$6&gt;0,$A702&lt;I$6),AND(I$7&gt;0,$A702&gt;I$7)),0,MAX(0,ROUND((INDEX($E702:$G702,I$5)-SUMIFS(TF_Timer,TF_Tekniker,I$4,TF_Dato,$A702))*2,0)/2)))</f>
        <v/>
      </c>
      <c r="J702">
        <f>IF(OR(J$4="",$A702&gt;TODAY()),0,IF(OR(INDEX($B702:$D702,J$5)="F",AND(J$6&gt;0,$A702&lt;J$6),AND(J$7&gt;0,$A702&gt;J$7)),0,MAX(0,ROUND((INDEX($E702:$G702,J$5)-SUMIFS(TF_Timer,TF_Tekniker,J$4,TF_Dato,$A702))*2,0)/2)))</f>
        <v/>
      </c>
      <c r="K702">
        <f>IF(OR(K$4="",$A702&gt;TODAY()),0,IF(OR(INDEX($B702:$D702,K$5)="F",AND(K$6&gt;0,$A702&lt;K$6),AND(K$7&gt;0,$A702&gt;K$7)),0,MAX(0,ROUND((INDEX($E702:$G702,K$5)-SUMIFS(TF_Timer,TF_Tekniker,K$4,TF_Dato,$A702))*2,0)/2)))</f>
        <v/>
      </c>
      <c r="L702">
        <f>IF(OR(L$4="",$A702&gt;TODAY()),0,IF(OR(INDEX($B702:$D702,L$5)="F",AND(L$6&gt;0,$A702&lt;L$6),AND(L$7&gt;0,$A702&gt;L$7)),0,MAX(0,ROUND((INDEX($E702:$G702,L$5)-SUMIFS(TF_Timer,TF_Tekniker,L$4,TF_Dato,$A702))*2,0)/2)))</f>
        <v/>
      </c>
      <c r="M702">
        <f>IF(OR(M$4="",$A702&gt;TODAY()),0,IF(OR(INDEX($B702:$D702,M$5)="F",AND(M$6&gt;0,$A702&lt;M$6),AND(M$7&gt;0,$A702&gt;M$7)),0,MAX(0,ROUND((INDEX($E702:$G702,M$5)-SUMIFS(TF_Timer,TF_Tekniker,M$4,TF_Dato,$A702))*2,0)/2)))</f>
        <v/>
      </c>
      <c r="N702">
        <f>IF(OR(N$4="",$A702&gt;TODAY()),0,IF(OR(INDEX($B702:$D702,N$5)="F",AND(N$6&gt;0,$A702&lt;N$6),AND(N$7&gt;0,$A702&gt;N$7)),0,MAX(0,ROUND((INDEX($E702:$G702,N$5)-SUMIFS(TF_Timer,TF_Tekniker,N$4,TF_Dato,$A702))*2,0)/2)))</f>
        <v/>
      </c>
      <c r="O702">
        <f>IF(OR(O$4="",$A702&gt;TODAY()),0,IF(OR(INDEX($B702:$D702,O$5)="F",AND(O$6&gt;0,$A702&lt;O$6),AND(O$7&gt;0,$A702&gt;O$7)),0,MAX(0,ROUND((INDEX($E702:$G702,O$5)-SUMIFS(TF_Timer,TF_Tekniker,O$4,TF_Dato,$A702))*2,0)/2)))</f>
        <v/>
      </c>
      <c r="P702">
        <f>IF(OR(P$4="",$A702&gt;TODAY()),0,IF(OR(INDEX($B702:$D702,P$5)="F",AND(P$6&gt;0,$A702&lt;P$6),AND(P$7&gt;0,$A702&gt;P$7)),0,MAX(0,ROUND((INDEX($E702:$G702,P$5)-SUMIFS(TF_Timer,TF_Tekniker,P$4,TF_Dato,$A702))*2,0)/2)))</f>
        <v/>
      </c>
      <c r="Q702">
        <f>IF(OR(Q$4="",$A702&gt;TODAY()),0,IF(OR(INDEX($B702:$D702,Q$5)="F",AND(Q$6&gt;0,$A702&lt;Q$6),AND(Q$7&gt;0,$A702&gt;Q$7)),0,MAX(0,ROUND((INDEX($E702:$G702,Q$5)-SUMIFS(TF_Timer,TF_Tekniker,Q$4,TF_Dato,$A702))*2,0)/2)))</f>
        <v/>
      </c>
      <c r="R702">
        <f>IF(OR(R$4="",$A702&gt;TODAY()),0,IF(OR(INDEX($B702:$D702,R$5)="F",AND(R$6&gt;0,$A702&lt;R$6),AND(R$7&gt;0,$A702&gt;R$7)),0,MAX(0,ROUND((INDEX($E702:$G702,R$5)-SUMIFS(TF_Timer,TF_Tekniker,R$4,TF_Dato,$A702))*2,0)/2)))</f>
        <v/>
      </c>
      <c r="S702">
        <f>IF(OR(S$4="",$A702&gt;TODAY()),0,IF(OR(INDEX($B702:$D702,S$5)="F",AND(S$6&gt;0,$A702&lt;S$6),AND(S$7&gt;0,$A702&gt;S$7)),0,MAX(0,ROUND((INDEX($E702:$G702,S$5)-SUMIFS(TF_Timer,TF_Tekniker,S$4,TF_Dato,$A702))*2,0)/2)))</f>
        <v/>
      </c>
      <c r="T702">
        <f>IF(OR(T$4="",$A702&gt;TODAY()),0,IF(OR(INDEX($B702:$D702,T$5)="F",AND(T$6&gt;0,$A702&lt;T$6),AND(T$7&gt;0,$A702&gt;T$7)),0,MAX(0,ROUND((INDEX($E702:$G702,T$5)-SUMIFS(TF_Timer,TF_Tekniker,T$4,TF_Dato,$A702))*2,0)/2)))</f>
        <v/>
      </c>
      <c r="U702">
        <f>IF(OR(U$4="",$A702&gt;TODAY()),0,IF(OR(INDEX($B702:$D702,U$5)="F",AND(U$6&gt;0,$A702&lt;U$6),AND(U$7&gt;0,$A702&gt;U$7)),0,MAX(0,ROUND((INDEX($E702:$G702,U$5)-SUMIFS(TF_Timer,TF_Tekniker,U$4,TF_Dato,$A702))*2,0)/2)))</f>
        <v/>
      </c>
      <c r="V702">
        <f>IF(OR(V$4="",$A702&gt;TODAY()),0,IF(OR(INDEX($B702:$D702,V$5)="F",AND(V$6&gt;0,$A702&lt;V$6),AND(V$7&gt;0,$A702&gt;V$7)),0,MAX(0,ROUND((INDEX($E702:$G702,V$5)-SUMIFS(TF_Timer,TF_Tekniker,V$4,TF_Dato,$A702))*2,0)/2)))</f>
        <v/>
      </c>
      <c r="W702">
        <f>IF(OR(W$4="",$A702&gt;TODAY()),0,IF(OR(INDEX($B702:$D702,W$5)="F",AND(W$6&gt;0,$A702&lt;W$6),AND(W$7&gt;0,$A702&gt;W$7)),0,MAX(0,ROUND((INDEX($E702:$G702,W$5)-SUMIFS(TF_Timer,TF_Tekniker,W$4,TF_Dato,$A702))*2,0)/2)))</f>
        <v/>
      </c>
      <c r="X702">
        <f>IF(OR(X$4="",$A702&gt;TODAY()),0,IF(OR(INDEX($B702:$D702,X$5)="F",AND(X$6&gt;0,$A702&lt;X$6),AND(X$7&gt;0,$A702&gt;X$7)),0,MAX(0,ROUND((INDEX($E702:$G702,X$5)-SUMIFS(TF_Timer,TF_Tekniker,X$4,TF_Dato,$A702))*2,0)/2)))</f>
        <v/>
      </c>
      <c r="Y702">
        <f>IF(OR(Y$4="",$A702&gt;TODAY()),0,IF(OR(INDEX($B702:$D702,Y$5)="F",AND(Y$6&gt;0,$A702&lt;Y$6),AND(Y$7&gt;0,$A702&gt;Y$7)),0,MAX(0,ROUND((INDEX($E702:$G702,Y$5)-SUMIFS(TF_Timer,TF_Tekniker,Y$4,TF_Dato,$A702))*2,0)/2)))</f>
        <v/>
      </c>
      <c r="Z702">
        <f>IF(OR(Z$4="",$A702&gt;TODAY()),0,IF(OR(INDEX($B702:$D702,Z$5)="F",AND(Z$6&gt;0,$A702&lt;Z$6),AND(Z$7&gt;0,$A702&gt;Z$7)),0,MAX(0,ROUND((INDEX($E702:$G702,Z$5)-SUMIFS(TF_Timer,TF_Tekniker,Z$4,TF_Dato,$A702))*2,0)/2)))</f>
        <v/>
      </c>
      <c r="AA702">
        <f>IF(OR(AA$4="",$A702&gt;TODAY()),0,IF(OR(INDEX($B702:$D702,AA$5)="F",AND(AA$6&gt;0,$A702&lt;AA$6),AND(AA$7&gt;0,$A702&gt;AA$7)),0,MAX(0,ROUND((INDEX($E702:$G702,AA$5)-SUMIFS(TF_Timer,TF_Tekniker,AA$4,TF_Dato,$A702))*2,0)/2)))</f>
        <v/>
      </c>
      <c r="AB702">
        <f>IF(OR(AB$4="",$A702&gt;TODAY()),0,IF(OR(INDEX($B702:$D702,AB$5)="F",AND(AB$6&gt;0,$A702&lt;AB$6),AND(AB$7&gt;0,$A702&gt;AB$7)),0,MAX(0,ROUND((INDEX($E702:$G702,AB$5)-SUMIFS(TF_Timer,TF_Tekniker,AB$4,TF_Dato,$A702))*2,0)/2)))</f>
        <v/>
      </c>
      <c r="AC702">
        <f>IF(OR(AC$4="",$A702&gt;TODAY()),0,IF(OR(INDEX($B702:$D702,AC$5)="F",AND(AC$6&gt;0,$A702&lt;AC$6),AND(AC$7&gt;0,$A702&gt;AC$7)),0,MAX(0,ROUND((INDEX($E702:$G702,AC$5)-SUMIFS(TF_Timer,TF_Tekniker,AC$4,TF_Dato,$A702))*2,0)/2)))</f>
        <v/>
      </c>
      <c r="AD702">
        <f>IF(OR(AD$4="",$A702&gt;TODAY()),0,IF(OR(INDEX($B702:$D702,AD$5)="F",AND(AD$6&gt;0,$A702&lt;AD$6),AND(AD$7&gt;0,$A702&gt;AD$7)),0,MAX(0,ROUND((INDEX($E702:$G702,AD$5)-SUMIFS(TF_Timer,TF_Tekniker,AD$4,TF_Dato,$A702))*2,0)/2)))</f>
        <v/>
      </c>
      <c r="AE702">
        <f>IF(OR(AE$4="",$A702&gt;TODAY()),0,IF(OR(INDEX($B702:$D702,AE$5)="F",AND(AE$6&gt;0,$A702&lt;AE$6),AND(AE$7&gt;0,$A702&gt;AE$7)),0,MAX(0,ROUND((INDEX($E702:$G702,AE$5)-SUMIFS(TF_Timer,TF_Tekniker,AE$4,TF_Dato,$A702))*2,0)/2)))</f>
        <v/>
      </c>
      <c r="AF702">
        <f>IF(OR(AF$4="",$A702&gt;TODAY()),0,IF(OR(INDEX($B702:$D702,AF$5)="F",AND(AF$6&gt;0,$A702&lt;AF$6),AND(AF$7&gt;0,$A702&gt;AF$7)),0,MAX(0,ROUND((INDEX($E702:$G702,AF$5)-SUMIFS(TF_Timer,TF_Tekniker,AF$4,TF_Dato,$A702))*2,0)/2)))</f>
        <v/>
      </c>
      <c r="AG702">
        <f>IF(OR(AG$4="",$A702&gt;TODAY()),0,IF(OR(INDEX($B702:$D702,AG$5)="F",AND(AG$6&gt;0,$A702&lt;AG$6),AND(AG$7&gt;0,$A702&gt;AG$7)),0,MAX(0,ROUND((INDEX($E702:$G702,AG$5)-SUMIFS(TF_Timer,TF_Tekniker,AG$4,TF_Dato,$A702))*2,0)/2)))</f>
        <v/>
      </c>
      <c r="AH702">
        <f>IF(OR(AH$4="",$A702&gt;TODAY()),0,IF(OR(INDEX($B702:$D702,AH$5)="F",AND(AH$6&gt;0,$A702&lt;AH$6),AND(AH$7&gt;0,$A702&gt;AH$7)),0,MAX(0,ROUND((INDEX($E702:$G702,AH$5)-SUMIFS(TF_Timer,TF_Tekniker,AH$4,TF_Dato,$A702))*2,0)/2)))</f>
        <v/>
      </c>
      <c r="AI702">
        <f>IF(OR(AI$4="",$A702&gt;TODAY()),0,IF(OR(INDEX($B702:$D702,AI$5)="F",AND(AI$6&gt;0,$A702&lt;AI$6),AND(AI$7&gt;0,$A702&gt;AI$7)),0,MAX(0,ROUND((INDEX($E702:$G702,AI$5)-SUMIFS(TF_Timer,TF_Tekniker,AI$4,TF_Dato,$A702))*2,0)/2)))</f>
        <v/>
      </c>
      <c r="AJ702">
        <f>IF(OR(AJ$4="",$A702&gt;TODAY()),0,IF(OR(INDEX($B702:$D702,AJ$5)="F",AND(AJ$6&gt;0,$A702&lt;AJ$6),AND(AJ$7&gt;0,$A702&gt;AJ$7)),0,MAX(0,ROUND((INDEX($E702:$G702,AJ$5)-SUMIFS(TF_Timer,TF_Tekniker,AJ$4,TF_Dato,$A702))*2,0)/2)))</f>
        <v/>
      </c>
      <c r="AK702">
        <f>IF(OR(AK$4="",$A702&gt;TODAY()),0,IF(OR(INDEX($B702:$D702,AK$5)="F",AND(AK$6&gt;0,$A702&lt;AK$6),AND(AK$7&gt;0,$A702&gt;AK$7)),0,MAX(0,ROUND((INDEX($E702:$G702,AK$5)-SUMIFS(TF_Timer,TF_Tekniker,AK$4,TF_Dato,$A702))*2,0)/2)))</f>
        <v/>
      </c>
      <c r="AL702">
        <f>IF(OR(AL$4="",$A702&gt;TODAY()),0,IF(OR(INDEX($B702:$D702,AL$5)="F",AND(AL$6&gt;0,$A702&lt;AL$6),AND(AL$7&gt;0,$A702&gt;AL$7)),0,MAX(0,ROUND((INDEX($E702:$G702,AL$5)-SUMIFS(TF_Timer,TF_Tekniker,AL$4,TF_Dato,$A702))*2,0)/2)))</f>
        <v/>
      </c>
      <c r="AM702">
        <f>IF(OR(AM$4="",$A702&gt;TODAY()),0,IF(OR(INDEX($B702:$D702,AM$5)="F",AND(AM$6&gt;0,$A702&lt;AM$6),AND(AM$7&gt;0,$A702&gt;AM$7)),0,MAX(0,ROUND((INDEX($E702:$G702,AM$5)-SUMIFS(TF_Timer,TF_Tekniker,AM$4,TF_Dato,$A702))*2,0)/2)))</f>
        <v/>
      </c>
      <c r="AN702">
        <f>IF(OR(AN$4="",$A702&gt;TODAY()),0,IF(OR(INDEX($B702:$D702,AN$5)="F",AND(AN$6&gt;0,$A702&lt;AN$6),AND(AN$7&gt;0,$A702&gt;AN$7)),0,MAX(0,ROUND((INDEX($E702:$G702,AN$5)-SUMIFS(TF_Timer,TF_Tekniker,AN$4,TF_Dato,$A702))*2,0)/2)))</f>
        <v/>
      </c>
      <c r="AO702">
        <f>IF(OR(AO$4="",$A702&gt;TODAY()),0,IF(OR(INDEX($B702:$D702,AO$5)="F",AND(AO$6&gt;0,$A702&lt;AO$6),AND(AO$7&gt;0,$A702&gt;AO$7)),0,MAX(0,ROUND((INDEX($E702:$G702,AO$5)-SUMIFS(TF_Timer,TF_Tekniker,AO$4,TF_Dato,$A702))*2,0)/2)))</f>
        <v/>
      </c>
      <c r="AP702">
        <f>IF(OR(AP$4="",$A702&gt;TODAY()),0,IF(OR(INDEX($B702:$D702,AP$5)="F",AND(AP$6&gt;0,$A702&lt;AP$6),AND(AP$7&gt;0,$A702&gt;AP$7)),0,MAX(0,ROUND((INDEX($E702:$G702,AP$5)-SUMIFS(TF_Timer,TF_Tekniker,AP$4,TF_Dato,$A702))*2,0)/2)))</f>
        <v/>
      </c>
      <c r="AQ702">
        <f>IF(OR(AQ$4="",$A702&gt;TODAY()),0,IF(OR(INDEX($B702:$D702,AQ$5)="F",AND(AQ$6&gt;0,$A702&lt;AQ$6),AND(AQ$7&gt;0,$A702&gt;AQ$7)),0,MAX(0,ROUND((INDEX($E702:$G702,AQ$5)-SUMIFS(TF_Timer,TF_Tekniker,AQ$4,TF_Dato,$A702))*2,0)/2)))</f>
        <v/>
      </c>
      <c r="AR702">
        <f>IF(OR(AR$4="",$A702&gt;TODAY()),0,IF(OR(INDEX($B702:$D702,AR$5)="F",AND(AR$6&gt;0,$A702&lt;AR$6),AND(AR$7&gt;0,$A702&gt;AR$7)),0,MAX(0,ROUND((INDEX($E702:$G702,AR$5)-SUMIFS(TF_Timer,TF_Tekniker,AR$4,TF_Dato,$A702))*2,0)/2)))</f>
        <v/>
      </c>
      <c r="AS702">
        <f>IF(OR(AS$4="",$A702&gt;TODAY()),0,IF(OR(INDEX($B702:$D702,AS$5)="F",AND(AS$6&gt;0,$A702&lt;AS$6),AND(AS$7&gt;0,$A702&gt;AS$7)),0,MAX(0,ROUND((INDEX($E702:$G702,AS$5)-SUMIFS(TF_Timer,TF_Tekniker,AS$4,TF_Dato,$A702))*2,0)/2)))</f>
        <v/>
      </c>
      <c r="AT702">
        <f>IF(OR(AT$4="",$A702&gt;TODAY()),0,IF(OR(INDEX($B702:$D702,AT$5)="F",AND(AT$6&gt;0,$A702&lt;AT$6),AND(AT$7&gt;0,$A702&gt;AT$7)),0,MAX(0,ROUND((INDEX($E702:$G702,AT$5)-SUMIFS(TF_Timer,TF_Tekniker,AT$4,TF_Dato,$A702))*2,0)/2)))</f>
        <v/>
      </c>
      <c r="AU702">
        <f>IF(OR(AU$4="",$A702&gt;TODAY()),0,IF(OR(INDEX($B702:$D702,AU$5)="F",AND(AU$6&gt;0,$A702&lt;AU$6),AND(AU$7&gt;0,$A702&gt;AU$7)),0,MAX(0,ROUND((INDEX($E702:$G702,AU$5)-SUMIFS(TF_Timer,TF_Tekniker,AU$4,TF_Dato,$A702))*2,0)/2)))</f>
        <v/>
      </c>
      <c r="AV702">
        <f>IF(OR(AV$4="",$A702&gt;TODAY()),0,IF(OR(INDEX($B702:$D702,AV$5)="F",AND(AV$6&gt;0,$A702&lt;AV$6),AND(AV$7&gt;0,$A702&gt;AV$7)),0,MAX(0,ROUND((INDEX($E702:$G702,AV$5)-SUMIFS(TF_Timer,TF_Tekniker,AV$4,TF_Dato,$A702))*2,0)/2)))</f>
        <v/>
      </c>
      <c r="AW702">
        <f>IF(OR(AW$4="",$A702&gt;TODAY()),0,IF(OR(INDEX($B702:$D702,AW$5)="F",AND(AW$6&gt;0,$A702&lt;AW$6),AND(AW$7&gt;0,$A702&gt;AW$7)),0,MAX(0,ROUND((INDEX($E702:$G702,AW$5)-SUMIFS(TF_Timer,TF_Tekniker,AW$4,TF_Dato,$A702))*2,0)/2)))</f>
        <v/>
      </c>
      <c r="AX702">
        <f>IF(OR(AX$4="",$A702&gt;TODAY()),0,IF(OR(INDEX($B702:$D702,AX$5)="F",AND(AX$6&gt;0,$A702&lt;AX$6),AND(AX$7&gt;0,$A702&gt;AX$7)),0,MAX(0,ROUND((INDEX($E702:$G702,AX$5)-SUMIFS(TF_Timer,TF_Tekniker,AX$4,TF_Dato,$A702))*2,0)/2)))</f>
        <v/>
      </c>
      <c r="AY702">
        <f>IF(OR(AY$4="",$A702&gt;TODAY()),0,IF(OR(INDEX($B702:$D702,AY$5)="F",AND(AY$6&gt;0,$A702&lt;AY$6),AND(AY$7&gt;0,$A702&gt;AY$7)),0,MAX(0,ROUND((INDEX($E702:$G702,AY$5)-SUMIFS(TF_Timer,TF_Tekniker,AY$4,TF_Dato,$A702))*2,0)/2)))</f>
        <v/>
      </c>
      <c r="AZ702">
        <f>IF(OR(AZ$4="",$A702&gt;TODAY()),0,IF(OR(INDEX($B702:$D702,AZ$5)="F",AND(AZ$6&gt;0,$A702&lt;AZ$6),AND(AZ$7&gt;0,$A702&gt;AZ$7)),0,MAX(0,ROUND((INDEX($E702:$G702,AZ$5)-SUMIFS(TF_Timer,TF_Tekniker,AZ$4,TF_Dato,$A702))*2,0)/2)))</f>
        <v/>
      </c>
      <c r="BA702">
        <f>IF(OR(BA$4="",$A702&gt;TODAY()),0,IF(OR(INDEX($B702:$D702,BA$5)="F",AND(BA$6&gt;0,$A702&lt;BA$6),AND(BA$7&gt;0,$A702&gt;BA$7)),0,MAX(0,ROUND((INDEX($E702:$G702,BA$5)-SUMIFS(TF_Timer,TF_Tekniker,BA$4,TF_Dato,$A702))*2,0)/2)))</f>
        <v/>
      </c>
      <c r="BB702">
        <f>IF(OR(BB$4="",$A702&gt;TODAY()),0,IF(OR(INDEX($B702:$D702,BB$5)="F",AND(BB$6&gt;0,$A702&lt;BB$6),AND(BB$7&gt;0,$A702&gt;BB$7)),0,MAX(0,ROUND((INDEX($E702:$G702,BB$5)-SUMIFS(TF_Timer,TF_Tekniker,BB$4,TF_Dato,$A702))*2,0)/2)))</f>
        <v/>
      </c>
      <c r="BC702">
        <f>IF(OR(BC$4="",$A702&gt;TODAY()),0,IF(OR(INDEX($B702:$D702,BC$5)="F",AND(BC$6&gt;0,$A702&lt;BC$6),AND(BC$7&gt;0,$A702&gt;BC$7)),0,MAX(0,ROUND((INDEX($E702:$G702,BC$5)-SUMIFS(TF_Timer,TF_Tekniker,BC$4,TF_Dato,$A702))*2,0)/2)))</f>
        <v/>
      </c>
      <c r="BD702">
        <f>IF(OR(BD$4="",$A702&gt;TODAY()),0,IF(OR(INDEX($B702:$D702,BD$5)="F",AND(BD$6&gt;0,$A702&lt;BD$6),AND(BD$7&gt;0,$A702&gt;BD$7)),0,MAX(0,ROUND((INDEX($E702:$G702,BD$5)-SUMIFS(TF_Timer,TF_Tekniker,BD$4,TF_Dato,$A702))*2,0)/2)))</f>
        <v/>
      </c>
      <c r="BE702">
        <f>IF(OR(BE$4="",$A702&gt;TODAY()),0,IF(OR(INDEX($B702:$D702,BE$5)="F",AND(BE$6&gt;0,$A702&lt;BE$6),AND(BE$7&gt;0,$A702&gt;BE$7)),0,MAX(0,ROUND((INDEX($E702:$G702,BE$5)-SUMIFS(TF_Timer,TF_Tekniker,BE$4,TF_Dato,$A702))*2,0)/2)))</f>
        <v/>
      </c>
      <c r="BF702">
        <f>IF(OR(BF$4="",$A702&gt;TODAY()),0,IF(OR(INDEX($B702:$D702,BF$5)="F",AND(BF$6&gt;0,$A702&lt;BF$6),AND(BF$7&gt;0,$A702&gt;BF$7)),0,MAX(0,ROUND((INDEX($E702:$G702,BF$5)-SUMIFS(TF_Timer,TF_Tekniker,BF$4,TF_Dato,$A702))*2,0)/2)))</f>
        <v/>
      </c>
      <c r="BG702">
        <f>IF(OR(BG$4="",$A702&gt;TODAY()),0,IF(OR(INDEX($B702:$D702,BG$5)="F",AND(BG$6&gt;0,$A702&lt;BG$6),AND(BG$7&gt;0,$A702&gt;BG$7)),0,MAX(0,ROUND((INDEX($E702:$G702,BG$5)-SUMIFS(TF_Timer,TF_Tekniker,BG$4,TF_Dato,$A702))*2,0)/2)))</f>
        <v/>
      </c>
      <c r="BH702">
        <f>IF(OR(BH$4="",$A702&gt;TODAY()),0,IF(OR(INDEX($B702:$D702,BH$5)="F",AND(BH$6&gt;0,$A702&lt;BH$6),AND(BH$7&gt;0,$A702&gt;BH$7)),0,MAX(0,ROUND((INDEX($E702:$G702,BH$5)-SUMIFS(TF_Timer,TF_Tekniker,BH$4,TF_Dato,$A702))*2,0)/2)))</f>
        <v/>
      </c>
      <c r="BI702">
        <f>IF(OR(BI$4="",$A702&gt;TODAY()),0,IF(OR(INDEX($B702:$D702,BI$5)="F",AND(BI$6&gt;0,$A702&lt;BI$6),AND(BI$7&gt;0,$A702&gt;BI$7)),0,MAX(0,ROUND((INDEX($E702:$G702,BI$5)-SUMIFS(TF_Timer,TF_Tekniker,BI$4,TF_Dato,$A702))*2,0)/2)))</f>
        <v/>
      </c>
    </row>
    <row r="703">
      <c r="A703" s="64">
        <f>A702+1</f>
        <v/>
      </c>
      <c r="B703">
        <f>IF(MOD($A703-INDEX(SkiftStart,1),Syklus)&lt;DagK,"K",IF(MOD($A703-INDEX(SkiftStart,1),Syklus)&lt;DagK+DagH,"H",IF(MOD($A703-INDEX(SkiftStart,1),Syklus)&lt;DagK+DagH+DagD,"D","F")))</f>
        <v/>
      </c>
      <c r="C703">
        <f>IF(MOD($A703-INDEX(SkiftStart,2),Syklus)&lt;DagK,"K",IF(MOD($A703-INDEX(SkiftStart,2),Syklus)&lt;DagK+DagH,"H",IF(MOD($A703-INDEX(SkiftStart,2),Syklus)&lt;DagK+DagH+DagD,"D","F")))</f>
        <v/>
      </c>
      <c r="D703">
        <f>IF(MOD($A703-INDEX(SkiftStart,3),Syklus)&lt;DagK,"K",IF(MOD($A703-INDEX(SkiftStart,3),Syklus)&lt;DagK+DagH,"H",IF(MOD($A703-INDEX(SkiftStart,3),Syklus)&lt;DagK+DagH+DagD,"D","F")))</f>
        <v/>
      </c>
      <c r="E703">
        <f>IF(B703="F",0,IF(WEEKDAY($A703,2)=5,INDEX(TimerFr,MATCH(B703,FaseKode,0)),INDEX(TimerMT,MATCH(B703,FaseKode,0))))</f>
        <v/>
      </c>
      <c r="F703">
        <f>IF(C703="F",0,IF(WEEKDAY($A703,2)=5,INDEX(TimerFr,MATCH(C703,FaseKode,0)),INDEX(TimerMT,MATCH(C703,FaseKode,0))))</f>
        <v/>
      </c>
      <c r="G703">
        <f>IF(D703="F",0,IF(WEEKDAY($A703,2)=5,INDEX(TimerFr,MATCH(D703,FaseKode,0)),INDEX(TimerMT,MATCH(D703,FaseKode,0))))</f>
        <v/>
      </c>
      <c r="H703">
        <f>IF(OR(H$4="",$A703&gt;TODAY()),0,IF(OR(INDEX($B703:$D703,H$5)="F",AND(H$6&gt;0,$A703&lt;H$6),AND(H$7&gt;0,$A703&gt;H$7)),0,MAX(0,ROUND((INDEX($E703:$G703,H$5)-SUMIFS(TF_Timer,TF_Tekniker,H$4,TF_Dato,$A703))*2,0)/2)))</f>
        <v/>
      </c>
      <c r="I703">
        <f>IF(OR(I$4="",$A703&gt;TODAY()),0,IF(OR(INDEX($B703:$D703,I$5)="F",AND(I$6&gt;0,$A703&lt;I$6),AND(I$7&gt;0,$A703&gt;I$7)),0,MAX(0,ROUND((INDEX($E703:$G703,I$5)-SUMIFS(TF_Timer,TF_Tekniker,I$4,TF_Dato,$A703))*2,0)/2)))</f>
        <v/>
      </c>
      <c r="J703">
        <f>IF(OR(J$4="",$A703&gt;TODAY()),0,IF(OR(INDEX($B703:$D703,J$5)="F",AND(J$6&gt;0,$A703&lt;J$6),AND(J$7&gt;0,$A703&gt;J$7)),0,MAX(0,ROUND((INDEX($E703:$G703,J$5)-SUMIFS(TF_Timer,TF_Tekniker,J$4,TF_Dato,$A703))*2,0)/2)))</f>
        <v/>
      </c>
      <c r="K703">
        <f>IF(OR(K$4="",$A703&gt;TODAY()),0,IF(OR(INDEX($B703:$D703,K$5)="F",AND(K$6&gt;0,$A703&lt;K$6),AND(K$7&gt;0,$A703&gt;K$7)),0,MAX(0,ROUND((INDEX($E703:$G703,K$5)-SUMIFS(TF_Timer,TF_Tekniker,K$4,TF_Dato,$A703))*2,0)/2)))</f>
        <v/>
      </c>
      <c r="L703">
        <f>IF(OR(L$4="",$A703&gt;TODAY()),0,IF(OR(INDEX($B703:$D703,L$5)="F",AND(L$6&gt;0,$A703&lt;L$6),AND(L$7&gt;0,$A703&gt;L$7)),0,MAX(0,ROUND((INDEX($E703:$G703,L$5)-SUMIFS(TF_Timer,TF_Tekniker,L$4,TF_Dato,$A703))*2,0)/2)))</f>
        <v/>
      </c>
      <c r="M703">
        <f>IF(OR(M$4="",$A703&gt;TODAY()),0,IF(OR(INDEX($B703:$D703,M$5)="F",AND(M$6&gt;0,$A703&lt;M$6),AND(M$7&gt;0,$A703&gt;M$7)),0,MAX(0,ROUND((INDEX($E703:$G703,M$5)-SUMIFS(TF_Timer,TF_Tekniker,M$4,TF_Dato,$A703))*2,0)/2)))</f>
        <v/>
      </c>
      <c r="N703">
        <f>IF(OR(N$4="",$A703&gt;TODAY()),0,IF(OR(INDEX($B703:$D703,N$5)="F",AND(N$6&gt;0,$A703&lt;N$6),AND(N$7&gt;0,$A703&gt;N$7)),0,MAX(0,ROUND((INDEX($E703:$G703,N$5)-SUMIFS(TF_Timer,TF_Tekniker,N$4,TF_Dato,$A703))*2,0)/2)))</f>
        <v/>
      </c>
      <c r="O703">
        <f>IF(OR(O$4="",$A703&gt;TODAY()),0,IF(OR(INDEX($B703:$D703,O$5)="F",AND(O$6&gt;0,$A703&lt;O$6),AND(O$7&gt;0,$A703&gt;O$7)),0,MAX(0,ROUND((INDEX($E703:$G703,O$5)-SUMIFS(TF_Timer,TF_Tekniker,O$4,TF_Dato,$A703))*2,0)/2)))</f>
        <v/>
      </c>
      <c r="P703">
        <f>IF(OR(P$4="",$A703&gt;TODAY()),0,IF(OR(INDEX($B703:$D703,P$5)="F",AND(P$6&gt;0,$A703&lt;P$6),AND(P$7&gt;0,$A703&gt;P$7)),0,MAX(0,ROUND((INDEX($E703:$G703,P$5)-SUMIFS(TF_Timer,TF_Tekniker,P$4,TF_Dato,$A703))*2,0)/2)))</f>
        <v/>
      </c>
      <c r="Q703">
        <f>IF(OR(Q$4="",$A703&gt;TODAY()),0,IF(OR(INDEX($B703:$D703,Q$5)="F",AND(Q$6&gt;0,$A703&lt;Q$6),AND(Q$7&gt;0,$A703&gt;Q$7)),0,MAX(0,ROUND((INDEX($E703:$G703,Q$5)-SUMIFS(TF_Timer,TF_Tekniker,Q$4,TF_Dato,$A703))*2,0)/2)))</f>
        <v/>
      </c>
      <c r="R703">
        <f>IF(OR(R$4="",$A703&gt;TODAY()),0,IF(OR(INDEX($B703:$D703,R$5)="F",AND(R$6&gt;0,$A703&lt;R$6),AND(R$7&gt;0,$A703&gt;R$7)),0,MAX(0,ROUND((INDEX($E703:$G703,R$5)-SUMIFS(TF_Timer,TF_Tekniker,R$4,TF_Dato,$A703))*2,0)/2)))</f>
        <v/>
      </c>
      <c r="S703">
        <f>IF(OR(S$4="",$A703&gt;TODAY()),0,IF(OR(INDEX($B703:$D703,S$5)="F",AND(S$6&gt;0,$A703&lt;S$6),AND(S$7&gt;0,$A703&gt;S$7)),0,MAX(0,ROUND((INDEX($E703:$G703,S$5)-SUMIFS(TF_Timer,TF_Tekniker,S$4,TF_Dato,$A703))*2,0)/2)))</f>
        <v/>
      </c>
      <c r="T703">
        <f>IF(OR(T$4="",$A703&gt;TODAY()),0,IF(OR(INDEX($B703:$D703,T$5)="F",AND(T$6&gt;0,$A703&lt;T$6),AND(T$7&gt;0,$A703&gt;T$7)),0,MAX(0,ROUND((INDEX($E703:$G703,T$5)-SUMIFS(TF_Timer,TF_Tekniker,T$4,TF_Dato,$A703))*2,0)/2)))</f>
        <v/>
      </c>
      <c r="U703">
        <f>IF(OR(U$4="",$A703&gt;TODAY()),0,IF(OR(INDEX($B703:$D703,U$5)="F",AND(U$6&gt;0,$A703&lt;U$6),AND(U$7&gt;0,$A703&gt;U$7)),0,MAX(0,ROUND((INDEX($E703:$G703,U$5)-SUMIFS(TF_Timer,TF_Tekniker,U$4,TF_Dato,$A703))*2,0)/2)))</f>
        <v/>
      </c>
      <c r="V703">
        <f>IF(OR(V$4="",$A703&gt;TODAY()),0,IF(OR(INDEX($B703:$D703,V$5)="F",AND(V$6&gt;0,$A703&lt;V$6),AND(V$7&gt;0,$A703&gt;V$7)),0,MAX(0,ROUND((INDEX($E703:$G703,V$5)-SUMIFS(TF_Timer,TF_Tekniker,V$4,TF_Dato,$A703))*2,0)/2)))</f>
        <v/>
      </c>
      <c r="W703">
        <f>IF(OR(W$4="",$A703&gt;TODAY()),0,IF(OR(INDEX($B703:$D703,W$5)="F",AND(W$6&gt;0,$A703&lt;W$6),AND(W$7&gt;0,$A703&gt;W$7)),0,MAX(0,ROUND((INDEX($E703:$G703,W$5)-SUMIFS(TF_Timer,TF_Tekniker,W$4,TF_Dato,$A703))*2,0)/2)))</f>
        <v/>
      </c>
      <c r="X703">
        <f>IF(OR(X$4="",$A703&gt;TODAY()),0,IF(OR(INDEX($B703:$D703,X$5)="F",AND(X$6&gt;0,$A703&lt;X$6),AND(X$7&gt;0,$A703&gt;X$7)),0,MAX(0,ROUND((INDEX($E703:$G703,X$5)-SUMIFS(TF_Timer,TF_Tekniker,X$4,TF_Dato,$A703))*2,0)/2)))</f>
        <v/>
      </c>
      <c r="Y703">
        <f>IF(OR(Y$4="",$A703&gt;TODAY()),0,IF(OR(INDEX($B703:$D703,Y$5)="F",AND(Y$6&gt;0,$A703&lt;Y$6),AND(Y$7&gt;0,$A703&gt;Y$7)),0,MAX(0,ROUND((INDEX($E703:$G703,Y$5)-SUMIFS(TF_Timer,TF_Tekniker,Y$4,TF_Dato,$A703))*2,0)/2)))</f>
        <v/>
      </c>
      <c r="Z703">
        <f>IF(OR(Z$4="",$A703&gt;TODAY()),0,IF(OR(INDEX($B703:$D703,Z$5)="F",AND(Z$6&gt;0,$A703&lt;Z$6),AND(Z$7&gt;0,$A703&gt;Z$7)),0,MAX(0,ROUND((INDEX($E703:$G703,Z$5)-SUMIFS(TF_Timer,TF_Tekniker,Z$4,TF_Dato,$A703))*2,0)/2)))</f>
        <v/>
      </c>
      <c r="AA703">
        <f>IF(OR(AA$4="",$A703&gt;TODAY()),0,IF(OR(INDEX($B703:$D703,AA$5)="F",AND(AA$6&gt;0,$A703&lt;AA$6),AND(AA$7&gt;0,$A703&gt;AA$7)),0,MAX(0,ROUND((INDEX($E703:$G703,AA$5)-SUMIFS(TF_Timer,TF_Tekniker,AA$4,TF_Dato,$A703))*2,0)/2)))</f>
        <v/>
      </c>
      <c r="AB703">
        <f>IF(OR(AB$4="",$A703&gt;TODAY()),0,IF(OR(INDEX($B703:$D703,AB$5)="F",AND(AB$6&gt;0,$A703&lt;AB$6),AND(AB$7&gt;0,$A703&gt;AB$7)),0,MAX(0,ROUND((INDEX($E703:$G703,AB$5)-SUMIFS(TF_Timer,TF_Tekniker,AB$4,TF_Dato,$A703))*2,0)/2)))</f>
        <v/>
      </c>
      <c r="AC703">
        <f>IF(OR(AC$4="",$A703&gt;TODAY()),0,IF(OR(INDEX($B703:$D703,AC$5)="F",AND(AC$6&gt;0,$A703&lt;AC$6),AND(AC$7&gt;0,$A703&gt;AC$7)),0,MAX(0,ROUND((INDEX($E703:$G703,AC$5)-SUMIFS(TF_Timer,TF_Tekniker,AC$4,TF_Dato,$A703))*2,0)/2)))</f>
        <v/>
      </c>
      <c r="AD703">
        <f>IF(OR(AD$4="",$A703&gt;TODAY()),0,IF(OR(INDEX($B703:$D703,AD$5)="F",AND(AD$6&gt;0,$A703&lt;AD$6),AND(AD$7&gt;0,$A703&gt;AD$7)),0,MAX(0,ROUND((INDEX($E703:$G703,AD$5)-SUMIFS(TF_Timer,TF_Tekniker,AD$4,TF_Dato,$A703))*2,0)/2)))</f>
        <v/>
      </c>
      <c r="AE703">
        <f>IF(OR(AE$4="",$A703&gt;TODAY()),0,IF(OR(INDEX($B703:$D703,AE$5)="F",AND(AE$6&gt;0,$A703&lt;AE$6),AND(AE$7&gt;0,$A703&gt;AE$7)),0,MAX(0,ROUND((INDEX($E703:$G703,AE$5)-SUMIFS(TF_Timer,TF_Tekniker,AE$4,TF_Dato,$A703))*2,0)/2)))</f>
        <v/>
      </c>
      <c r="AF703">
        <f>IF(OR(AF$4="",$A703&gt;TODAY()),0,IF(OR(INDEX($B703:$D703,AF$5)="F",AND(AF$6&gt;0,$A703&lt;AF$6),AND(AF$7&gt;0,$A703&gt;AF$7)),0,MAX(0,ROUND((INDEX($E703:$G703,AF$5)-SUMIFS(TF_Timer,TF_Tekniker,AF$4,TF_Dato,$A703))*2,0)/2)))</f>
        <v/>
      </c>
      <c r="AG703">
        <f>IF(OR(AG$4="",$A703&gt;TODAY()),0,IF(OR(INDEX($B703:$D703,AG$5)="F",AND(AG$6&gt;0,$A703&lt;AG$6),AND(AG$7&gt;0,$A703&gt;AG$7)),0,MAX(0,ROUND((INDEX($E703:$G703,AG$5)-SUMIFS(TF_Timer,TF_Tekniker,AG$4,TF_Dato,$A703))*2,0)/2)))</f>
        <v/>
      </c>
      <c r="AH703">
        <f>IF(OR(AH$4="",$A703&gt;TODAY()),0,IF(OR(INDEX($B703:$D703,AH$5)="F",AND(AH$6&gt;0,$A703&lt;AH$6),AND(AH$7&gt;0,$A703&gt;AH$7)),0,MAX(0,ROUND((INDEX($E703:$G703,AH$5)-SUMIFS(TF_Timer,TF_Tekniker,AH$4,TF_Dato,$A703))*2,0)/2)))</f>
        <v/>
      </c>
      <c r="AI703">
        <f>IF(OR(AI$4="",$A703&gt;TODAY()),0,IF(OR(INDEX($B703:$D703,AI$5)="F",AND(AI$6&gt;0,$A703&lt;AI$6),AND(AI$7&gt;0,$A703&gt;AI$7)),0,MAX(0,ROUND((INDEX($E703:$G703,AI$5)-SUMIFS(TF_Timer,TF_Tekniker,AI$4,TF_Dato,$A703))*2,0)/2)))</f>
        <v/>
      </c>
      <c r="AJ703">
        <f>IF(OR(AJ$4="",$A703&gt;TODAY()),0,IF(OR(INDEX($B703:$D703,AJ$5)="F",AND(AJ$6&gt;0,$A703&lt;AJ$6),AND(AJ$7&gt;0,$A703&gt;AJ$7)),0,MAX(0,ROUND((INDEX($E703:$G703,AJ$5)-SUMIFS(TF_Timer,TF_Tekniker,AJ$4,TF_Dato,$A703))*2,0)/2)))</f>
        <v/>
      </c>
      <c r="AK703">
        <f>IF(OR(AK$4="",$A703&gt;TODAY()),0,IF(OR(INDEX($B703:$D703,AK$5)="F",AND(AK$6&gt;0,$A703&lt;AK$6),AND(AK$7&gt;0,$A703&gt;AK$7)),0,MAX(0,ROUND((INDEX($E703:$G703,AK$5)-SUMIFS(TF_Timer,TF_Tekniker,AK$4,TF_Dato,$A703))*2,0)/2)))</f>
        <v/>
      </c>
      <c r="AL703">
        <f>IF(OR(AL$4="",$A703&gt;TODAY()),0,IF(OR(INDEX($B703:$D703,AL$5)="F",AND(AL$6&gt;0,$A703&lt;AL$6),AND(AL$7&gt;0,$A703&gt;AL$7)),0,MAX(0,ROUND((INDEX($E703:$G703,AL$5)-SUMIFS(TF_Timer,TF_Tekniker,AL$4,TF_Dato,$A703))*2,0)/2)))</f>
        <v/>
      </c>
      <c r="AM703">
        <f>IF(OR(AM$4="",$A703&gt;TODAY()),0,IF(OR(INDEX($B703:$D703,AM$5)="F",AND(AM$6&gt;0,$A703&lt;AM$6),AND(AM$7&gt;0,$A703&gt;AM$7)),0,MAX(0,ROUND((INDEX($E703:$G703,AM$5)-SUMIFS(TF_Timer,TF_Tekniker,AM$4,TF_Dato,$A703))*2,0)/2)))</f>
        <v/>
      </c>
      <c r="AN703">
        <f>IF(OR(AN$4="",$A703&gt;TODAY()),0,IF(OR(INDEX($B703:$D703,AN$5)="F",AND(AN$6&gt;0,$A703&lt;AN$6),AND(AN$7&gt;0,$A703&gt;AN$7)),0,MAX(0,ROUND((INDEX($E703:$G703,AN$5)-SUMIFS(TF_Timer,TF_Tekniker,AN$4,TF_Dato,$A703))*2,0)/2)))</f>
        <v/>
      </c>
      <c r="AO703">
        <f>IF(OR(AO$4="",$A703&gt;TODAY()),0,IF(OR(INDEX($B703:$D703,AO$5)="F",AND(AO$6&gt;0,$A703&lt;AO$6),AND(AO$7&gt;0,$A703&gt;AO$7)),0,MAX(0,ROUND((INDEX($E703:$G703,AO$5)-SUMIFS(TF_Timer,TF_Tekniker,AO$4,TF_Dato,$A703))*2,0)/2)))</f>
        <v/>
      </c>
      <c r="AP703">
        <f>IF(OR(AP$4="",$A703&gt;TODAY()),0,IF(OR(INDEX($B703:$D703,AP$5)="F",AND(AP$6&gt;0,$A703&lt;AP$6),AND(AP$7&gt;0,$A703&gt;AP$7)),0,MAX(0,ROUND((INDEX($E703:$G703,AP$5)-SUMIFS(TF_Timer,TF_Tekniker,AP$4,TF_Dato,$A703))*2,0)/2)))</f>
        <v/>
      </c>
      <c r="AQ703">
        <f>IF(OR(AQ$4="",$A703&gt;TODAY()),0,IF(OR(INDEX($B703:$D703,AQ$5)="F",AND(AQ$6&gt;0,$A703&lt;AQ$6),AND(AQ$7&gt;0,$A703&gt;AQ$7)),0,MAX(0,ROUND((INDEX($E703:$G703,AQ$5)-SUMIFS(TF_Timer,TF_Tekniker,AQ$4,TF_Dato,$A703))*2,0)/2)))</f>
        <v/>
      </c>
      <c r="AR703">
        <f>IF(OR(AR$4="",$A703&gt;TODAY()),0,IF(OR(INDEX($B703:$D703,AR$5)="F",AND(AR$6&gt;0,$A703&lt;AR$6),AND(AR$7&gt;0,$A703&gt;AR$7)),0,MAX(0,ROUND((INDEX($E703:$G703,AR$5)-SUMIFS(TF_Timer,TF_Tekniker,AR$4,TF_Dato,$A703))*2,0)/2)))</f>
        <v/>
      </c>
      <c r="AS703">
        <f>IF(OR(AS$4="",$A703&gt;TODAY()),0,IF(OR(INDEX($B703:$D703,AS$5)="F",AND(AS$6&gt;0,$A703&lt;AS$6),AND(AS$7&gt;0,$A703&gt;AS$7)),0,MAX(0,ROUND((INDEX($E703:$G703,AS$5)-SUMIFS(TF_Timer,TF_Tekniker,AS$4,TF_Dato,$A703))*2,0)/2)))</f>
        <v/>
      </c>
      <c r="AT703">
        <f>IF(OR(AT$4="",$A703&gt;TODAY()),0,IF(OR(INDEX($B703:$D703,AT$5)="F",AND(AT$6&gt;0,$A703&lt;AT$6),AND(AT$7&gt;0,$A703&gt;AT$7)),0,MAX(0,ROUND((INDEX($E703:$G703,AT$5)-SUMIFS(TF_Timer,TF_Tekniker,AT$4,TF_Dato,$A703))*2,0)/2)))</f>
        <v/>
      </c>
      <c r="AU703">
        <f>IF(OR(AU$4="",$A703&gt;TODAY()),0,IF(OR(INDEX($B703:$D703,AU$5)="F",AND(AU$6&gt;0,$A703&lt;AU$6),AND(AU$7&gt;0,$A703&gt;AU$7)),0,MAX(0,ROUND((INDEX($E703:$G703,AU$5)-SUMIFS(TF_Timer,TF_Tekniker,AU$4,TF_Dato,$A703))*2,0)/2)))</f>
        <v/>
      </c>
      <c r="AV703">
        <f>IF(OR(AV$4="",$A703&gt;TODAY()),0,IF(OR(INDEX($B703:$D703,AV$5)="F",AND(AV$6&gt;0,$A703&lt;AV$6),AND(AV$7&gt;0,$A703&gt;AV$7)),0,MAX(0,ROUND((INDEX($E703:$G703,AV$5)-SUMIFS(TF_Timer,TF_Tekniker,AV$4,TF_Dato,$A703))*2,0)/2)))</f>
        <v/>
      </c>
      <c r="AW703">
        <f>IF(OR(AW$4="",$A703&gt;TODAY()),0,IF(OR(INDEX($B703:$D703,AW$5)="F",AND(AW$6&gt;0,$A703&lt;AW$6),AND(AW$7&gt;0,$A703&gt;AW$7)),0,MAX(0,ROUND((INDEX($E703:$G703,AW$5)-SUMIFS(TF_Timer,TF_Tekniker,AW$4,TF_Dato,$A703))*2,0)/2)))</f>
        <v/>
      </c>
      <c r="AX703">
        <f>IF(OR(AX$4="",$A703&gt;TODAY()),0,IF(OR(INDEX($B703:$D703,AX$5)="F",AND(AX$6&gt;0,$A703&lt;AX$6),AND(AX$7&gt;0,$A703&gt;AX$7)),0,MAX(0,ROUND((INDEX($E703:$G703,AX$5)-SUMIFS(TF_Timer,TF_Tekniker,AX$4,TF_Dato,$A703))*2,0)/2)))</f>
        <v/>
      </c>
      <c r="AY703">
        <f>IF(OR(AY$4="",$A703&gt;TODAY()),0,IF(OR(INDEX($B703:$D703,AY$5)="F",AND(AY$6&gt;0,$A703&lt;AY$6),AND(AY$7&gt;0,$A703&gt;AY$7)),0,MAX(0,ROUND((INDEX($E703:$G703,AY$5)-SUMIFS(TF_Timer,TF_Tekniker,AY$4,TF_Dato,$A703))*2,0)/2)))</f>
        <v/>
      </c>
      <c r="AZ703">
        <f>IF(OR(AZ$4="",$A703&gt;TODAY()),0,IF(OR(INDEX($B703:$D703,AZ$5)="F",AND(AZ$6&gt;0,$A703&lt;AZ$6),AND(AZ$7&gt;0,$A703&gt;AZ$7)),0,MAX(0,ROUND((INDEX($E703:$G703,AZ$5)-SUMIFS(TF_Timer,TF_Tekniker,AZ$4,TF_Dato,$A703))*2,0)/2)))</f>
        <v/>
      </c>
      <c r="BA703">
        <f>IF(OR(BA$4="",$A703&gt;TODAY()),0,IF(OR(INDEX($B703:$D703,BA$5)="F",AND(BA$6&gt;0,$A703&lt;BA$6),AND(BA$7&gt;0,$A703&gt;BA$7)),0,MAX(0,ROUND((INDEX($E703:$G703,BA$5)-SUMIFS(TF_Timer,TF_Tekniker,BA$4,TF_Dato,$A703))*2,0)/2)))</f>
        <v/>
      </c>
      <c r="BB703">
        <f>IF(OR(BB$4="",$A703&gt;TODAY()),0,IF(OR(INDEX($B703:$D703,BB$5)="F",AND(BB$6&gt;0,$A703&lt;BB$6),AND(BB$7&gt;0,$A703&gt;BB$7)),0,MAX(0,ROUND((INDEX($E703:$G703,BB$5)-SUMIFS(TF_Timer,TF_Tekniker,BB$4,TF_Dato,$A703))*2,0)/2)))</f>
        <v/>
      </c>
      <c r="BC703">
        <f>IF(OR(BC$4="",$A703&gt;TODAY()),0,IF(OR(INDEX($B703:$D703,BC$5)="F",AND(BC$6&gt;0,$A703&lt;BC$6),AND(BC$7&gt;0,$A703&gt;BC$7)),0,MAX(0,ROUND((INDEX($E703:$G703,BC$5)-SUMIFS(TF_Timer,TF_Tekniker,BC$4,TF_Dato,$A703))*2,0)/2)))</f>
        <v/>
      </c>
      <c r="BD703">
        <f>IF(OR(BD$4="",$A703&gt;TODAY()),0,IF(OR(INDEX($B703:$D703,BD$5)="F",AND(BD$6&gt;0,$A703&lt;BD$6),AND(BD$7&gt;0,$A703&gt;BD$7)),0,MAX(0,ROUND((INDEX($E703:$G703,BD$5)-SUMIFS(TF_Timer,TF_Tekniker,BD$4,TF_Dato,$A703))*2,0)/2)))</f>
        <v/>
      </c>
      <c r="BE703">
        <f>IF(OR(BE$4="",$A703&gt;TODAY()),0,IF(OR(INDEX($B703:$D703,BE$5)="F",AND(BE$6&gt;0,$A703&lt;BE$6),AND(BE$7&gt;0,$A703&gt;BE$7)),0,MAX(0,ROUND((INDEX($E703:$G703,BE$5)-SUMIFS(TF_Timer,TF_Tekniker,BE$4,TF_Dato,$A703))*2,0)/2)))</f>
        <v/>
      </c>
      <c r="BF703">
        <f>IF(OR(BF$4="",$A703&gt;TODAY()),0,IF(OR(INDEX($B703:$D703,BF$5)="F",AND(BF$6&gt;0,$A703&lt;BF$6),AND(BF$7&gt;0,$A703&gt;BF$7)),0,MAX(0,ROUND((INDEX($E703:$G703,BF$5)-SUMIFS(TF_Timer,TF_Tekniker,BF$4,TF_Dato,$A703))*2,0)/2)))</f>
        <v/>
      </c>
      <c r="BG703">
        <f>IF(OR(BG$4="",$A703&gt;TODAY()),0,IF(OR(INDEX($B703:$D703,BG$5)="F",AND(BG$6&gt;0,$A703&lt;BG$6),AND(BG$7&gt;0,$A703&gt;BG$7)),0,MAX(0,ROUND((INDEX($E703:$G703,BG$5)-SUMIFS(TF_Timer,TF_Tekniker,BG$4,TF_Dato,$A703))*2,0)/2)))</f>
        <v/>
      </c>
      <c r="BH703">
        <f>IF(OR(BH$4="",$A703&gt;TODAY()),0,IF(OR(INDEX($B703:$D703,BH$5)="F",AND(BH$6&gt;0,$A703&lt;BH$6),AND(BH$7&gt;0,$A703&gt;BH$7)),0,MAX(0,ROUND((INDEX($E703:$G703,BH$5)-SUMIFS(TF_Timer,TF_Tekniker,BH$4,TF_Dato,$A703))*2,0)/2)))</f>
        <v/>
      </c>
      <c r="BI703">
        <f>IF(OR(BI$4="",$A703&gt;TODAY()),0,IF(OR(INDEX($B703:$D703,BI$5)="F",AND(BI$6&gt;0,$A703&lt;BI$6),AND(BI$7&gt;0,$A703&gt;BI$7)),0,MAX(0,ROUND((INDEX($E703:$G703,BI$5)-SUMIFS(TF_Timer,TF_Tekniker,BI$4,TF_Dato,$A703))*2,0)/2)))</f>
        <v/>
      </c>
    </row>
    <row r="704">
      <c r="A704" s="64">
        <f>A703+1</f>
        <v/>
      </c>
      <c r="B704">
        <f>IF(MOD($A704-INDEX(SkiftStart,1),Syklus)&lt;DagK,"K",IF(MOD($A704-INDEX(SkiftStart,1),Syklus)&lt;DagK+DagH,"H",IF(MOD($A704-INDEX(SkiftStart,1),Syklus)&lt;DagK+DagH+DagD,"D","F")))</f>
        <v/>
      </c>
      <c r="C704">
        <f>IF(MOD($A704-INDEX(SkiftStart,2),Syklus)&lt;DagK,"K",IF(MOD($A704-INDEX(SkiftStart,2),Syklus)&lt;DagK+DagH,"H",IF(MOD($A704-INDEX(SkiftStart,2),Syklus)&lt;DagK+DagH+DagD,"D","F")))</f>
        <v/>
      </c>
      <c r="D704">
        <f>IF(MOD($A704-INDEX(SkiftStart,3),Syklus)&lt;DagK,"K",IF(MOD($A704-INDEX(SkiftStart,3),Syklus)&lt;DagK+DagH,"H",IF(MOD($A704-INDEX(SkiftStart,3),Syklus)&lt;DagK+DagH+DagD,"D","F")))</f>
        <v/>
      </c>
      <c r="E704">
        <f>IF(B704="F",0,IF(WEEKDAY($A704,2)=5,INDEX(TimerFr,MATCH(B704,FaseKode,0)),INDEX(TimerMT,MATCH(B704,FaseKode,0))))</f>
        <v/>
      </c>
      <c r="F704">
        <f>IF(C704="F",0,IF(WEEKDAY($A704,2)=5,INDEX(TimerFr,MATCH(C704,FaseKode,0)),INDEX(TimerMT,MATCH(C704,FaseKode,0))))</f>
        <v/>
      </c>
      <c r="G704">
        <f>IF(D704="F",0,IF(WEEKDAY($A704,2)=5,INDEX(TimerFr,MATCH(D704,FaseKode,0)),INDEX(TimerMT,MATCH(D704,FaseKode,0))))</f>
        <v/>
      </c>
      <c r="H704">
        <f>IF(OR(H$4="",$A704&gt;TODAY()),0,IF(OR(INDEX($B704:$D704,H$5)="F",AND(H$6&gt;0,$A704&lt;H$6),AND(H$7&gt;0,$A704&gt;H$7)),0,MAX(0,ROUND((INDEX($E704:$G704,H$5)-SUMIFS(TF_Timer,TF_Tekniker,H$4,TF_Dato,$A704))*2,0)/2)))</f>
        <v/>
      </c>
      <c r="I704">
        <f>IF(OR(I$4="",$A704&gt;TODAY()),0,IF(OR(INDEX($B704:$D704,I$5)="F",AND(I$6&gt;0,$A704&lt;I$6),AND(I$7&gt;0,$A704&gt;I$7)),0,MAX(0,ROUND((INDEX($E704:$G704,I$5)-SUMIFS(TF_Timer,TF_Tekniker,I$4,TF_Dato,$A704))*2,0)/2)))</f>
        <v/>
      </c>
      <c r="J704">
        <f>IF(OR(J$4="",$A704&gt;TODAY()),0,IF(OR(INDEX($B704:$D704,J$5)="F",AND(J$6&gt;0,$A704&lt;J$6),AND(J$7&gt;0,$A704&gt;J$7)),0,MAX(0,ROUND((INDEX($E704:$G704,J$5)-SUMIFS(TF_Timer,TF_Tekniker,J$4,TF_Dato,$A704))*2,0)/2)))</f>
        <v/>
      </c>
      <c r="K704">
        <f>IF(OR(K$4="",$A704&gt;TODAY()),0,IF(OR(INDEX($B704:$D704,K$5)="F",AND(K$6&gt;0,$A704&lt;K$6),AND(K$7&gt;0,$A704&gt;K$7)),0,MAX(0,ROUND((INDEX($E704:$G704,K$5)-SUMIFS(TF_Timer,TF_Tekniker,K$4,TF_Dato,$A704))*2,0)/2)))</f>
        <v/>
      </c>
      <c r="L704">
        <f>IF(OR(L$4="",$A704&gt;TODAY()),0,IF(OR(INDEX($B704:$D704,L$5)="F",AND(L$6&gt;0,$A704&lt;L$6),AND(L$7&gt;0,$A704&gt;L$7)),0,MAX(0,ROUND((INDEX($E704:$G704,L$5)-SUMIFS(TF_Timer,TF_Tekniker,L$4,TF_Dato,$A704))*2,0)/2)))</f>
        <v/>
      </c>
      <c r="M704">
        <f>IF(OR(M$4="",$A704&gt;TODAY()),0,IF(OR(INDEX($B704:$D704,M$5)="F",AND(M$6&gt;0,$A704&lt;M$6),AND(M$7&gt;0,$A704&gt;M$7)),0,MAX(0,ROUND((INDEX($E704:$G704,M$5)-SUMIFS(TF_Timer,TF_Tekniker,M$4,TF_Dato,$A704))*2,0)/2)))</f>
        <v/>
      </c>
      <c r="N704">
        <f>IF(OR(N$4="",$A704&gt;TODAY()),0,IF(OR(INDEX($B704:$D704,N$5)="F",AND(N$6&gt;0,$A704&lt;N$6),AND(N$7&gt;0,$A704&gt;N$7)),0,MAX(0,ROUND((INDEX($E704:$G704,N$5)-SUMIFS(TF_Timer,TF_Tekniker,N$4,TF_Dato,$A704))*2,0)/2)))</f>
        <v/>
      </c>
      <c r="O704">
        <f>IF(OR(O$4="",$A704&gt;TODAY()),0,IF(OR(INDEX($B704:$D704,O$5)="F",AND(O$6&gt;0,$A704&lt;O$6),AND(O$7&gt;0,$A704&gt;O$7)),0,MAX(0,ROUND((INDEX($E704:$G704,O$5)-SUMIFS(TF_Timer,TF_Tekniker,O$4,TF_Dato,$A704))*2,0)/2)))</f>
        <v/>
      </c>
      <c r="P704">
        <f>IF(OR(P$4="",$A704&gt;TODAY()),0,IF(OR(INDEX($B704:$D704,P$5)="F",AND(P$6&gt;0,$A704&lt;P$6),AND(P$7&gt;0,$A704&gt;P$7)),0,MAX(0,ROUND((INDEX($E704:$G704,P$5)-SUMIFS(TF_Timer,TF_Tekniker,P$4,TF_Dato,$A704))*2,0)/2)))</f>
        <v/>
      </c>
      <c r="Q704">
        <f>IF(OR(Q$4="",$A704&gt;TODAY()),0,IF(OR(INDEX($B704:$D704,Q$5)="F",AND(Q$6&gt;0,$A704&lt;Q$6),AND(Q$7&gt;0,$A704&gt;Q$7)),0,MAX(0,ROUND((INDEX($E704:$G704,Q$5)-SUMIFS(TF_Timer,TF_Tekniker,Q$4,TF_Dato,$A704))*2,0)/2)))</f>
        <v/>
      </c>
      <c r="R704">
        <f>IF(OR(R$4="",$A704&gt;TODAY()),0,IF(OR(INDEX($B704:$D704,R$5)="F",AND(R$6&gt;0,$A704&lt;R$6),AND(R$7&gt;0,$A704&gt;R$7)),0,MAX(0,ROUND((INDEX($E704:$G704,R$5)-SUMIFS(TF_Timer,TF_Tekniker,R$4,TF_Dato,$A704))*2,0)/2)))</f>
        <v/>
      </c>
      <c r="S704">
        <f>IF(OR(S$4="",$A704&gt;TODAY()),0,IF(OR(INDEX($B704:$D704,S$5)="F",AND(S$6&gt;0,$A704&lt;S$6),AND(S$7&gt;0,$A704&gt;S$7)),0,MAX(0,ROUND((INDEX($E704:$G704,S$5)-SUMIFS(TF_Timer,TF_Tekniker,S$4,TF_Dato,$A704))*2,0)/2)))</f>
        <v/>
      </c>
      <c r="T704">
        <f>IF(OR(T$4="",$A704&gt;TODAY()),0,IF(OR(INDEX($B704:$D704,T$5)="F",AND(T$6&gt;0,$A704&lt;T$6),AND(T$7&gt;0,$A704&gt;T$7)),0,MAX(0,ROUND((INDEX($E704:$G704,T$5)-SUMIFS(TF_Timer,TF_Tekniker,T$4,TF_Dato,$A704))*2,0)/2)))</f>
        <v/>
      </c>
      <c r="U704">
        <f>IF(OR(U$4="",$A704&gt;TODAY()),0,IF(OR(INDEX($B704:$D704,U$5)="F",AND(U$6&gt;0,$A704&lt;U$6),AND(U$7&gt;0,$A704&gt;U$7)),0,MAX(0,ROUND((INDEX($E704:$G704,U$5)-SUMIFS(TF_Timer,TF_Tekniker,U$4,TF_Dato,$A704))*2,0)/2)))</f>
        <v/>
      </c>
      <c r="V704">
        <f>IF(OR(V$4="",$A704&gt;TODAY()),0,IF(OR(INDEX($B704:$D704,V$5)="F",AND(V$6&gt;0,$A704&lt;V$6),AND(V$7&gt;0,$A704&gt;V$7)),0,MAX(0,ROUND((INDEX($E704:$G704,V$5)-SUMIFS(TF_Timer,TF_Tekniker,V$4,TF_Dato,$A704))*2,0)/2)))</f>
        <v/>
      </c>
      <c r="W704">
        <f>IF(OR(W$4="",$A704&gt;TODAY()),0,IF(OR(INDEX($B704:$D704,W$5)="F",AND(W$6&gt;0,$A704&lt;W$6),AND(W$7&gt;0,$A704&gt;W$7)),0,MAX(0,ROUND((INDEX($E704:$G704,W$5)-SUMIFS(TF_Timer,TF_Tekniker,W$4,TF_Dato,$A704))*2,0)/2)))</f>
        <v/>
      </c>
      <c r="X704">
        <f>IF(OR(X$4="",$A704&gt;TODAY()),0,IF(OR(INDEX($B704:$D704,X$5)="F",AND(X$6&gt;0,$A704&lt;X$6),AND(X$7&gt;0,$A704&gt;X$7)),0,MAX(0,ROUND((INDEX($E704:$G704,X$5)-SUMIFS(TF_Timer,TF_Tekniker,X$4,TF_Dato,$A704))*2,0)/2)))</f>
        <v/>
      </c>
      <c r="Y704">
        <f>IF(OR(Y$4="",$A704&gt;TODAY()),0,IF(OR(INDEX($B704:$D704,Y$5)="F",AND(Y$6&gt;0,$A704&lt;Y$6),AND(Y$7&gt;0,$A704&gt;Y$7)),0,MAX(0,ROUND((INDEX($E704:$G704,Y$5)-SUMIFS(TF_Timer,TF_Tekniker,Y$4,TF_Dato,$A704))*2,0)/2)))</f>
        <v/>
      </c>
      <c r="Z704">
        <f>IF(OR(Z$4="",$A704&gt;TODAY()),0,IF(OR(INDEX($B704:$D704,Z$5)="F",AND(Z$6&gt;0,$A704&lt;Z$6),AND(Z$7&gt;0,$A704&gt;Z$7)),0,MAX(0,ROUND((INDEX($E704:$G704,Z$5)-SUMIFS(TF_Timer,TF_Tekniker,Z$4,TF_Dato,$A704))*2,0)/2)))</f>
        <v/>
      </c>
      <c r="AA704">
        <f>IF(OR(AA$4="",$A704&gt;TODAY()),0,IF(OR(INDEX($B704:$D704,AA$5)="F",AND(AA$6&gt;0,$A704&lt;AA$6),AND(AA$7&gt;0,$A704&gt;AA$7)),0,MAX(0,ROUND((INDEX($E704:$G704,AA$5)-SUMIFS(TF_Timer,TF_Tekniker,AA$4,TF_Dato,$A704))*2,0)/2)))</f>
        <v/>
      </c>
      <c r="AB704">
        <f>IF(OR(AB$4="",$A704&gt;TODAY()),0,IF(OR(INDEX($B704:$D704,AB$5)="F",AND(AB$6&gt;0,$A704&lt;AB$6),AND(AB$7&gt;0,$A704&gt;AB$7)),0,MAX(0,ROUND((INDEX($E704:$G704,AB$5)-SUMIFS(TF_Timer,TF_Tekniker,AB$4,TF_Dato,$A704))*2,0)/2)))</f>
        <v/>
      </c>
      <c r="AC704">
        <f>IF(OR(AC$4="",$A704&gt;TODAY()),0,IF(OR(INDEX($B704:$D704,AC$5)="F",AND(AC$6&gt;0,$A704&lt;AC$6),AND(AC$7&gt;0,$A704&gt;AC$7)),0,MAX(0,ROUND((INDEX($E704:$G704,AC$5)-SUMIFS(TF_Timer,TF_Tekniker,AC$4,TF_Dato,$A704))*2,0)/2)))</f>
        <v/>
      </c>
      <c r="AD704">
        <f>IF(OR(AD$4="",$A704&gt;TODAY()),0,IF(OR(INDEX($B704:$D704,AD$5)="F",AND(AD$6&gt;0,$A704&lt;AD$6),AND(AD$7&gt;0,$A704&gt;AD$7)),0,MAX(0,ROUND((INDEX($E704:$G704,AD$5)-SUMIFS(TF_Timer,TF_Tekniker,AD$4,TF_Dato,$A704))*2,0)/2)))</f>
        <v/>
      </c>
      <c r="AE704">
        <f>IF(OR(AE$4="",$A704&gt;TODAY()),0,IF(OR(INDEX($B704:$D704,AE$5)="F",AND(AE$6&gt;0,$A704&lt;AE$6),AND(AE$7&gt;0,$A704&gt;AE$7)),0,MAX(0,ROUND((INDEX($E704:$G704,AE$5)-SUMIFS(TF_Timer,TF_Tekniker,AE$4,TF_Dato,$A704))*2,0)/2)))</f>
        <v/>
      </c>
      <c r="AF704">
        <f>IF(OR(AF$4="",$A704&gt;TODAY()),0,IF(OR(INDEX($B704:$D704,AF$5)="F",AND(AF$6&gt;0,$A704&lt;AF$6),AND(AF$7&gt;0,$A704&gt;AF$7)),0,MAX(0,ROUND((INDEX($E704:$G704,AF$5)-SUMIFS(TF_Timer,TF_Tekniker,AF$4,TF_Dato,$A704))*2,0)/2)))</f>
        <v/>
      </c>
      <c r="AG704">
        <f>IF(OR(AG$4="",$A704&gt;TODAY()),0,IF(OR(INDEX($B704:$D704,AG$5)="F",AND(AG$6&gt;0,$A704&lt;AG$6),AND(AG$7&gt;0,$A704&gt;AG$7)),0,MAX(0,ROUND((INDEX($E704:$G704,AG$5)-SUMIFS(TF_Timer,TF_Tekniker,AG$4,TF_Dato,$A704))*2,0)/2)))</f>
        <v/>
      </c>
      <c r="AH704">
        <f>IF(OR(AH$4="",$A704&gt;TODAY()),0,IF(OR(INDEX($B704:$D704,AH$5)="F",AND(AH$6&gt;0,$A704&lt;AH$6),AND(AH$7&gt;0,$A704&gt;AH$7)),0,MAX(0,ROUND((INDEX($E704:$G704,AH$5)-SUMIFS(TF_Timer,TF_Tekniker,AH$4,TF_Dato,$A704))*2,0)/2)))</f>
        <v/>
      </c>
      <c r="AI704">
        <f>IF(OR(AI$4="",$A704&gt;TODAY()),0,IF(OR(INDEX($B704:$D704,AI$5)="F",AND(AI$6&gt;0,$A704&lt;AI$6),AND(AI$7&gt;0,$A704&gt;AI$7)),0,MAX(0,ROUND((INDEX($E704:$G704,AI$5)-SUMIFS(TF_Timer,TF_Tekniker,AI$4,TF_Dato,$A704))*2,0)/2)))</f>
        <v/>
      </c>
      <c r="AJ704">
        <f>IF(OR(AJ$4="",$A704&gt;TODAY()),0,IF(OR(INDEX($B704:$D704,AJ$5)="F",AND(AJ$6&gt;0,$A704&lt;AJ$6),AND(AJ$7&gt;0,$A704&gt;AJ$7)),0,MAX(0,ROUND((INDEX($E704:$G704,AJ$5)-SUMIFS(TF_Timer,TF_Tekniker,AJ$4,TF_Dato,$A704))*2,0)/2)))</f>
        <v/>
      </c>
      <c r="AK704">
        <f>IF(OR(AK$4="",$A704&gt;TODAY()),0,IF(OR(INDEX($B704:$D704,AK$5)="F",AND(AK$6&gt;0,$A704&lt;AK$6),AND(AK$7&gt;0,$A704&gt;AK$7)),0,MAX(0,ROUND((INDEX($E704:$G704,AK$5)-SUMIFS(TF_Timer,TF_Tekniker,AK$4,TF_Dato,$A704))*2,0)/2)))</f>
        <v/>
      </c>
      <c r="AL704">
        <f>IF(OR(AL$4="",$A704&gt;TODAY()),0,IF(OR(INDEX($B704:$D704,AL$5)="F",AND(AL$6&gt;0,$A704&lt;AL$6),AND(AL$7&gt;0,$A704&gt;AL$7)),0,MAX(0,ROUND((INDEX($E704:$G704,AL$5)-SUMIFS(TF_Timer,TF_Tekniker,AL$4,TF_Dato,$A704))*2,0)/2)))</f>
        <v/>
      </c>
      <c r="AM704">
        <f>IF(OR(AM$4="",$A704&gt;TODAY()),0,IF(OR(INDEX($B704:$D704,AM$5)="F",AND(AM$6&gt;0,$A704&lt;AM$6),AND(AM$7&gt;0,$A704&gt;AM$7)),0,MAX(0,ROUND((INDEX($E704:$G704,AM$5)-SUMIFS(TF_Timer,TF_Tekniker,AM$4,TF_Dato,$A704))*2,0)/2)))</f>
        <v/>
      </c>
      <c r="AN704">
        <f>IF(OR(AN$4="",$A704&gt;TODAY()),0,IF(OR(INDEX($B704:$D704,AN$5)="F",AND(AN$6&gt;0,$A704&lt;AN$6),AND(AN$7&gt;0,$A704&gt;AN$7)),0,MAX(0,ROUND((INDEX($E704:$G704,AN$5)-SUMIFS(TF_Timer,TF_Tekniker,AN$4,TF_Dato,$A704))*2,0)/2)))</f>
        <v/>
      </c>
      <c r="AO704">
        <f>IF(OR(AO$4="",$A704&gt;TODAY()),0,IF(OR(INDEX($B704:$D704,AO$5)="F",AND(AO$6&gt;0,$A704&lt;AO$6),AND(AO$7&gt;0,$A704&gt;AO$7)),0,MAX(0,ROUND((INDEX($E704:$G704,AO$5)-SUMIFS(TF_Timer,TF_Tekniker,AO$4,TF_Dato,$A704))*2,0)/2)))</f>
        <v/>
      </c>
      <c r="AP704">
        <f>IF(OR(AP$4="",$A704&gt;TODAY()),0,IF(OR(INDEX($B704:$D704,AP$5)="F",AND(AP$6&gt;0,$A704&lt;AP$6),AND(AP$7&gt;0,$A704&gt;AP$7)),0,MAX(0,ROUND((INDEX($E704:$G704,AP$5)-SUMIFS(TF_Timer,TF_Tekniker,AP$4,TF_Dato,$A704))*2,0)/2)))</f>
        <v/>
      </c>
      <c r="AQ704">
        <f>IF(OR(AQ$4="",$A704&gt;TODAY()),0,IF(OR(INDEX($B704:$D704,AQ$5)="F",AND(AQ$6&gt;0,$A704&lt;AQ$6),AND(AQ$7&gt;0,$A704&gt;AQ$7)),0,MAX(0,ROUND((INDEX($E704:$G704,AQ$5)-SUMIFS(TF_Timer,TF_Tekniker,AQ$4,TF_Dato,$A704))*2,0)/2)))</f>
        <v/>
      </c>
      <c r="AR704">
        <f>IF(OR(AR$4="",$A704&gt;TODAY()),0,IF(OR(INDEX($B704:$D704,AR$5)="F",AND(AR$6&gt;0,$A704&lt;AR$6),AND(AR$7&gt;0,$A704&gt;AR$7)),0,MAX(0,ROUND((INDEX($E704:$G704,AR$5)-SUMIFS(TF_Timer,TF_Tekniker,AR$4,TF_Dato,$A704))*2,0)/2)))</f>
        <v/>
      </c>
      <c r="AS704">
        <f>IF(OR(AS$4="",$A704&gt;TODAY()),0,IF(OR(INDEX($B704:$D704,AS$5)="F",AND(AS$6&gt;0,$A704&lt;AS$6),AND(AS$7&gt;0,$A704&gt;AS$7)),0,MAX(0,ROUND((INDEX($E704:$G704,AS$5)-SUMIFS(TF_Timer,TF_Tekniker,AS$4,TF_Dato,$A704))*2,0)/2)))</f>
        <v/>
      </c>
      <c r="AT704">
        <f>IF(OR(AT$4="",$A704&gt;TODAY()),0,IF(OR(INDEX($B704:$D704,AT$5)="F",AND(AT$6&gt;0,$A704&lt;AT$6),AND(AT$7&gt;0,$A704&gt;AT$7)),0,MAX(0,ROUND((INDEX($E704:$G704,AT$5)-SUMIFS(TF_Timer,TF_Tekniker,AT$4,TF_Dato,$A704))*2,0)/2)))</f>
        <v/>
      </c>
      <c r="AU704">
        <f>IF(OR(AU$4="",$A704&gt;TODAY()),0,IF(OR(INDEX($B704:$D704,AU$5)="F",AND(AU$6&gt;0,$A704&lt;AU$6),AND(AU$7&gt;0,$A704&gt;AU$7)),0,MAX(0,ROUND((INDEX($E704:$G704,AU$5)-SUMIFS(TF_Timer,TF_Tekniker,AU$4,TF_Dato,$A704))*2,0)/2)))</f>
        <v/>
      </c>
      <c r="AV704">
        <f>IF(OR(AV$4="",$A704&gt;TODAY()),0,IF(OR(INDEX($B704:$D704,AV$5)="F",AND(AV$6&gt;0,$A704&lt;AV$6),AND(AV$7&gt;0,$A704&gt;AV$7)),0,MAX(0,ROUND((INDEX($E704:$G704,AV$5)-SUMIFS(TF_Timer,TF_Tekniker,AV$4,TF_Dato,$A704))*2,0)/2)))</f>
        <v/>
      </c>
      <c r="AW704">
        <f>IF(OR(AW$4="",$A704&gt;TODAY()),0,IF(OR(INDEX($B704:$D704,AW$5)="F",AND(AW$6&gt;0,$A704&lt;AW$6),AND(AW$7&gt;0,$A704&gt;AW$7)),0,MAX(0,ROUND((INDEX($E704:$G704,AW$5)-SUMIFS(TF_Timer,TF_Tekniker,AW$4,TF_Dato,$A704))*2,0)/2)))</f>
        <v/>
      </c>
      <c r="AX704">
        <f>IF(OR(AX$4="",$A704&gt;TODAY()),0,IF(OR(INDEX($B704:$D704,AX$5)="F",AND(AX$6&gt;0,$A704&lt;AX$6),AND(AX$7&gt;0,$A704&gt;AX$7)),0,MAX(0,ROUND((INDEX($E704:$G704,AX$5)-SUMIFS(TF_Timer,TF_Tekniker,AX$4,TF_Dato,$A704))*2,0)/2)))</f>
        <v/>
      </c>
      <c r="AY704">
        <f>IF(OR(AY$4="",$A704&gt;TODAY()),0,IF(OR(INDEX($B704:$D704,AY$5)="F",AND(AY$6&gt;0,$A704&lt;AY$6),AND(AY$7&gt;0,$A704&gt;AY$7)),0,MAX(0,ROUND((INDEX($E704:$G704,AY$5)-SUMIFS(TF_Timer,TF_Tekniker,AY$4,TF_Dato,$A704))*2,0)/2)))</f>
        <v/>
      </c>
      <c r="AZ704">
        <f>IF(OR(AZ$4="",$A704&gt;TODAY()),0,IF(OR(INDEX($B704:$D704,AZ$5)="F",AND(AZ$6&gt;0,$A704&lt;AZ$6),AND(AZ$7&gt;0,$A704&gt;AZ$7)),0,MAX(0,ROUND((INDEX($E704:$G704,AZ$5)-SUMIFS(TF_Timer,TF_Tekniker,AZ$4,TF_Dato,$A704))*2,0)/2)))</f>
        <v/>
      </c>
      <c r="BA704">
        <f>IF(OR(BA$4="",$A704&gt;TODAY()),0,IF(OR(INDEX($B704:$D704,BA$5)="F",AND(BA$6&gt;0,$A704&lt;BA$6),AND(BA$7&gt;0,$A704&gt;BA$7)),0,MAX(0,ROUND((INDEX($E704:$G704,BA$5)-SUMIFS(TF_Timer,TF_Tekniker,BA$4,TF_Dato,$A704))*2,0)/2)))</f>
        <v/>
      </c>
      <c r="BB704">
        <f>IF(OR(BB$4="",$A704&gt;TODAY()),0,IF(OR(INDEX($B704:$D704,BB$5)="F",AND(BB$6&gt;0,$A704&lt;BB$6),AND(BB$7&gt;0,$A704&gt;BB$7)),0,MAX(0,ROUND((INDEX($E704:$G704,BB$5)-SUMIFS(TF_Timer,TF_Tekniker,BB$4,TF_Dato,$A704))*2,0)/2)))</f>
        <v/>
      </c>
      <c r="BC704">
        <f>IF(OR(BC$4="",$A704&gt;TODAY()),0,IF(OR(INDEX($B704:$D704,BC$5)="F",AND(BC$6&gt;0,$A704&lt;BC$6),AND(BC$7&gt;0,$A704&gt;BC$7)),0,MAX(0,ROUND((INDEX($E704:$G704,BC$5)-SUMIFS(TF_Timer,TF_Tekniker,BC$4,TF_Dato,$A704))*2,0)/2)))</f>
        <v/>
      </c>
      <c r="BD704">
        <f>IF(OR(BD$4="",$A704&gt;TODAY()),0,IF(OR(INDEX($B704:$D704,BD$5)="F",AND(BD$6&gt;0,$A704&lt;BD$6),AND(BD$7&gt;0,$A704&gt;BD$7)),0,MAX(0,ROUND((INDEX($E704:$G704,BD$5)-SUMIFS(TF_Timer,TF_Tekniker,BD$4,TF_Dato,$A704))*2,0)/2)))</f>
        <v/>
      </c>
      <c r="BE704">
        <f>IF(OR(BE$4="",$A704&gt;TODAY()),0,IF(OR(INDEX($B704:$D704,BE$5)="F",AND(BE$6&gt;0,$A704&lt;BE$6),AND(BE$7&gt;0,$A704&gt;BE$7)),0,MAX(0,ROUND((INDEX($E704:$G704,BE$5)-SUMIFS(TF_Timer,TF_Tekniker,BE$4,TF_Dato,$A704))*2,0)/2)))</f>
        <v/>
      </c>
      <c r="BF704">
        <f>IF(OR(BF$4="",$A704&gt;TODAY()),0,IF(OR(INDEX($B704:$D704,BF$5)="F",AND(BF$6&gt;0,$A704&lt;BF$6),AND(BF$7&gt;0,$A704&gt;BF$7)),0,MAX(0,ROUND((INDEX($E704:$G704,BF$5)-SUMIFS(TF_Timer,TF_Tekniker,BF$4,TF_Dato,$A704))*2,0)/2)))</f>
        <v/>
      </c>
      <c r="BG704">
        <f>IF(OR(BG$4="",$A704&gt;TODAY()),0,IF(OR(INDEX($B704:$D704,BG$5)="F",AND(BG$6&gt;0,$A704&lt;BG$6),AND(BG$7&gt;0,$A704&gt;BG$7)),0,MAX(0,ROUND((INDEX($E704:$G704,BG$5)-SUMIFS(TF_Timer,TF_Tekniker,BG$4,TF_Dato,$A704))*2,0)/2)))</f>
        <v/>
      </c>
      <c r="BH704">
        <f>IF(OR(BH$4="",$A704&gt;TODAY()),0,IF(OR(INDEX($B704:$D704,BH$5)="F",AND(BH$6&gt;0,$A704&lt;BH$6),AND(BH$7&gt;0,$A704&gt;BH$7)),0,MAX(0,ROUND((INDEX($E704:$G704,BH$5)-SUMIFS(TF_Timer,TF_Tekniker,BH$4,TF_Dato,$A704))*2,0)/2)))</f>
        <v/>
      </c>
      <c r="BI704">
        <f>IF(OR(BI$4="",$A704&gt;TODAY()),0,IF(OR(INDEX($B704:$D704,BI$5)="F",AND(BI$6&gt;0,$A704&lt;BI$6),AND(BI$7&gt;0,$A704&gt;BI$7)),0,MAX(0,ROUND((INDEX($E704:$G704,BI$5)-SUMIFS(TF_Timer,TF_Tekniker,BI$4,TF_Dato,$A704))*2,0)/2)))</f>
        <v/>
      </c>
    </row>
    <row r="705">
      <c r="A705" s="64">
        <f>A704+1</f>
        <v/>
      </c>
      <c r="B705">
        <f>IF(MOD($A705-INDEX(SkiftStart,1),Syklus)&lt;DagK,"K",IF(MOD($A705-INDEX(SkiftStart,1),Syklus)&lt;DagK+DagH,"H",IF(MOD($A705-INDEX(SkiftStart,1),Syklus)&lt;DagK+DagH+DagD,"D","F")))</f>
        <v/>
      </c>
      <c r="C705">
        <f>IF(MOD($A705-INDEX(SkiftStart,2),Syklus)&lt;DagK,"K",IF(MOD($A705-INDEX(SkiftStart,2),Syklus)&lt;DagK+DagH,"H",IF(MOD($A705-INDEX(SkiftStart,2),Syklus)&lt;DagK+DagH+DagD,"D","F")))</f>
        <v/>
      </c>
      <c r="D705">
        <f>IF(MOD($A705-INDEX(SkiftStart,3),Syklus)&lt;DagK,"K",IF(MOD($A705-INDEX(SkiftStart,3),Syklus)&lt;DagK+DagH,"H",IF(MOD($A705-INDEX(SkiftStart,3),Syklus)&lt;DagK+DagH+DagD,"D","F")))</f>
        <v/>
      </c>
      <c r="E705">
        <f>IF(B705="F",0,IF(WEEKDAY($A705,2)=5,INDEX(TimerFr,MATCH(B705,FaseKode,0)),INDEX(TimerMT,MATCH(B705,FaseKode,0))))</f>
        <v/>
      </c>
      <c r="F705">
        <f>IF(C705="F",0,IF(WEEKDAY($A705,2)=5,INDEX(TimerFr,MATCH(C705,FaseKode,0)),INDEX(TimerMT,MATCH(C705,FaseKode,0))))</f>
        <v/>
      </c>
      <c r="G705">
        <f>IF(D705="F",0,IF(WEEKDAY($A705,2)=5,INDEX(TimerFr,MATCH(D705,FaseKode,0)),INDEX(TimerMT,MATCH(D705,FaseKode,0))))</f>
        <v/>
      </c>
      <c r="H705">
        <f>IF(OR(H$4="",$A705&gt;TODAY()),0,IF(OR(INDEX($B705:$D705,H$5)="F",AND(H$6&gt;0,$A705&lt;H$6),AND(H$7&gt;0,$A705&gt;H$7)),0,MAX(0,ROUND((INDEX($E705:$G705,H$5)-SUMIFS(TF_Timer,TF_Tekniker,H$4,TF_Dato,$A705))*2,0)/2)))</f>
        <v/>
      </c>
      <c r="I705">
        <f>IF(OR(I$4="",$A705&gt;TODAY()),0,IF(OR(INDEX($B705:$D705,I$5)="F",AND(I$6&gt;0,$A705&lt;I$6),AND(I$7&gt;0,$A705&gt;I$7)),0,MAX(0,ROUND((INDEX($E705:$G705,I$5)-SUMIFS(TF_Timer,TF_Tekniker,I$4,TF_Dato,$A705))*2,0)/2)))</f>
        <v/>
      </c>
      <c r="J705">
        <f>IF(OR(J$4="",$A705&gt;TODAY()),0,IF(OR(INDEX($B705:$D705,J$5)="F",AND(J$6&gt;0,$A705&lt;J$6),AND(J$7&gt;0,$A705&gt;J$7)),0,MAX(0,ROUND((INDEX($E705:$G705,J$5)-SUMIFS(TF_Timer,TF_Tekniker,J$4,TF_Dato,$A705))*2,0)/2)))</f>
        <v/>
      </c>
      <c r="K705">
        <f>IF(OR(K$4="",$A705&gt;TODAY()),0,IF(OR(INDEX($B705:$D705,K$5)="F",AND(K$6&gt;0,$A705&lt;K$6),AND(K$7&gt;0,$A705&gt;K$7)),0,MAX(0,ROUND((INDEX($E705:$G705,K$5)-SUMIFS(TF_Timer,TF_Tekniker,K$4,TF_Dato,$A705))*2,0)/2)))</f>
        <v/>
      </c>
      <c r="L705">
        <f>IF(OR(L$4="",$A705&gt;TODAY()),0,IF(OR(INDEX($B705:$D705,L$5)="F",AND(L$6&gt;0,$A705&lt;L$6),AND(L$7&gt;0,$A705&gt;L$7)),0,MAX(0,ROUND((INDEX($E705:$G705,L$5)-SUMIFS(TF_Timer,TF_Tekniker,L$4,TF_Dato,$A705))*2,0)/2)))</f>
        <v/>
      </c>
      <c r="M705">
        <f>IF(OR(M$4="",$A705&gt;TODAY()),0,IF(OR(INDEX($B705:$D705,M$5)="F",AND(M$6&gt;0,$A705&lt;M$6),AND(M$7&gt;0,$A705&gt;M$7)),0,MAX(0,ROUND((INDEX($E705:$G705,M$5)-SUMIFS(TF_Timer,TF_Tekniker,M$4,TF_Dato,$A705))*2,0)/2)))</f>
        <v/>
      </c>
      <c r="N705">
        <f>IF(OR(N$4="",$A705&gt;TODAY()),0,IF(OR(INDEX($B705:$D705,N$5)="F",AND(N$6&gt;0,$A705&lt;N$6),AND(N$7&gt;0,$A705&gt;N$7)),0,MAX(0,ROUND((INDEX($E705:$G705,N$5)-SUMIFS(TF_Timer,TF_Tekniker,N$4,TF_Dato,$A705))*2,0)/2)))</f>
        <v/>
      </c>
      <c r="O705">
        <f>IF(OR(O$4="",$A705&gt;TODAY()),0,IF(OR(INDEX($B705:$D705,O$5)="F",AND(O$6&gt;0,$A705&lt;O$6),AND(O$7&gt;0,$A705&gt;O$7)),0,MAX(0,ROUND((INDEX($E705:$G705,O$5)-SUMIFS(TF_Timer,TF_Tekniker,O$4,TF_Dato,$A705))*2,0)/2)))</f>
        <v/>
      </c>
      <c r="P705">
        <f>IF(OR(P$4="",$A705&gt;TODAY()),0,IF(OR(INDEX($B705:$D705,P$5)="F",AND(P$6&gt;0,$A705&lt;P$6),AND(P$7&gt;0,$A705&gt;P$7)),0,MAX(0,ROUND((INDEX($E705:$G705,P$5)-SUMIFS(TF_Timer,TF_Tekniker,P$4,TF_Dato,$A705))*2,0)/2)))</f>
        <v/>
      </c>
      <c r="Q705">
        <f>IF(OR(Q$4="",$A705&gt;TODAY()),0,IF(OR(INDEX($B705:$D705,Q$5)="F",AND(Q$6&gt;0,$A705&lt;Q$6),AND(Q$7&gt;0,$A705&gt;Q$7)),0,MAX(0,ROUND((INDEX($E705:$G705,Q$5)-SUMIFS(TF_Timer,TF_Tekniker,Q$4,TF_Dato,$A705))*2,0)/2)))</f>
        <v/>
      </c>
      <c r="R705">
        <f>IF(OR(R$4="",$A705&gt;TODAY()),0,IF(OR(INDEX($B705:$D705,R$5)="F",AND(R$6&gt;0,$A705&lt;R$6),AND(R$7&gt;0,$A705&gt;R$7)),0,MAX(0,ROUND((INDEX($E705:$G705,R$5)-SUMIFS(TF_Timer,TF_Tekniker,R$4,TF_Dato,$A705))*2,0)/2)))</f>
        <v/>
      </c>
      <c r="S705">
        <f>IF(OR(S$4="",$A705&gt;TODAY()),0,IF(OR(INDEX($B705:$D705,S$5)="F",AND(S$6&gt;0,$A705&lt;S$6),AND(S$7&gt;0,$A705&gt;S$7)),0,MAX(0,ROUND((INDEX($E705:$G705,S$5)-SUMIFS(TF_Timer,TF_Tekniker,S$4,TF_Dato,$A705))*2,0)/2)))</f>
        <v/>
      </c>
      <c r="T705">
        <f>IF(OR(T$4="",$A705&gt;TODAY()),0,IF(OR(INDEX($B705:$D705,T$5)="F",AND(T$6&gt;0,$A705&lt;T$6),AND(T$7&gt;0,$A705&gt;T$7)),0,MAX(0,ROUND((INDEX($E705:$G705,T$5)-SUMIFS(TF_Timer,TF_Tekniker,T$4,TF_Dato,$A705))*2,0)/2)))</f>
        <v/>
      </c>
      <c r="U705">
        <f>IF(OR(U$4="",$A705&gt;TODAY()),0,IF(OR(INDEX($B705:$D705,U$5)="F",AND(U$6&gt;0,$A705&lt;U$6),AND(U$7&gt;0,$A705&gt;U$7)),0,MAX(0,ROUND((INDEX($E705:$G705,U$5)-SUMIFS(TF_Timer,TF_Tekniker,U$4,TF_Dato,$A705))*2,0)/2)))</f>
        <v/>
      </c>
      <c r="V705">
        <f>IF(OR(V$4="",$A705&gt;TODAY()),0,IF(OR(INDEX($B705:$D705,V$5)="F",AND(V$6&gt;0,$A705&lt;V$6),AND(V$7&gt;0,$A705&gt;V$7)),0,MAX(0,ROUND((INDEX($E705:$G705,V$5)-SUMIFS(TF_Timer,TF_Tekniker,V$4,TF_Dato,$A705))*2,0)/2)))</f>
        <v/>
      </c>
      <c r="W705">
        <f>IF(OR(W$4="",$A705&gt;TODAY()),0,IF(OR(INDEX($B705:$D705,W$5)="F",AND(W$6&gt;0,$A705&lt;W$6),AND(W$7&gt;0,$A705&gt;W$7)),0,MAX(0,ROUND((INDEX($E705:$G705,W$5)-SUMIFS(TF_Timer,TF_Tekniker,W$4,TF_Dato,$A705))*2,0)/2)))</f>
        <v/>
      </c>
      <c r="X705">
        <f>IF(OR(X$4="",$A705&gt;TODAY()),0,IF(OR(INDEX($B705:$D705,X$5)="F",AND(X$6&gt;0,$A705&lt;X$6),AND(X$7&gt;0,$A705&gt;X$7)),0,MAX(0,ROUND((INDEX($E705:$G705,X$5)-SUMIFS(TF_Timer,TF_Tekniker,X$4,TF_Dato,$A705))*2,0)/2)))</f>
        <v/>
      </c>
      <c r="Y705">
        <f>IF(OR(Y$4="",$A705&gt;TODAY()),0,IF(OR(INDEX($B705:$D705,Y$5)="F",AND(Y$6&gt;0,$A705&lt;Y$6),AND(Y$7&gt;0,$A705&gt;Y$7)),0,MAX(0,ROUND((INDEX($E705:$G705,Y$5)-SUMIFS(TF_Timer,TF_Tekniker,Y$4,TF_Dato,$A705))*2,0)/2)))</f>
        <v/>
      </c>
      <c r="Z705">
        <f>IF(OR(Z$4="",$A705&gt;TODAY()),0,IF(OR(INDEX($B705:$D705,Z$5)="F",AND(Z$6&gt;0,$A705&lt;Z$6),AND(Z$7&gt;0,$A705&gt;Z$7)),0,MAX(0,ROUND((INDEX($E705:$G705,Z$5)-SUMIFS(TF_Timer,TF_Tekniker,Z$4,TF_Dato,$A705))*2,0)/2)))</f>
        <v/>
      </c>
      <c r="AA705">
        <f>IF(OR(AA$4="",$A705&gt;TODAY()),0,IF(OR(INDEX($B705:$D705,AA$5)="F",AND(AA$6&gt;0,$A705&lt;AA$6),AND(AA$7&gt;0,$A705&gt;AA$7)),0,MAX(0,ROUND((INDEX($E705:$G705,AA$5)-SUMIFS(TF_Timer,TF_Tekniker,AA$4,TF_Dato,$A705))*2,0)/2)))</f>
        <v/>
      </c>
      <c r="AB705">
        <f>IF(OR(AB$4="",$A705&gt;TODAY()),0,IF(OR(INDEX($B705:$D705,AB$5)="F",AND(AB$6&gt;0,$A705&lt;AB$6),AND(AB$7&gt;0,$A705&gt;AB$7)),0,MAX(0,ROUND((INDEX($E705:$G705,AB$5)-SUMIFS(TF_Timer,TF_Tekniker,AB$4,TF_Dato,$A705))*2,0)/2)))</f>
        <v/>
      </c>
      <c r="AC705">
        <f>IF(OR(AC$4="",$A705&gt;TODAY()),0,IF(OR(INDEX($B705:$D705,AC$5)="F",AND(AC$6&gt;0,$A705&lt;AC$6),AND(AC$7&gt;0,$A705&gt;AC$7)),0,MAX(0,ROUND((INDEX($E705:$G705,AC$5)-SUMIFS(TF_Timer,TF_Tekniker,AC$4,TF_Dato,$A705))*2,0)/2)))</f>
        <v/>
      </c>
      <c r="AD705">
        <f>IF(OR(AD$4="",$A705&gt;TODAY()),0,IF(OR(INDEX($B705:$D705,AD$5)="F",AND(AD$6&gt;0,$A705&lt;AD$6),AND(AD$7&gt;0,$A705&gt;AD$7)),0,MAX(0,ROUND((INDEX($E705:$G705,AD$5)-SUMIFS(TF_Timer,TF_Tekniker,AD$4,TF_Dato,$A705))*2,0)/2)))</f>
        <v/>
      </c>
      <c r="AE705">
        <f>IF(OR(AE$4="",$A705&gt;TODAY()),0,IF(OR(INDEX($B705:$D705,AE$5)="F",AND(AE$6&gt;0,$A705&lt;AE$6),AND(AE$7&gt;0,$A705&gt;AE$7)),0,MAX(0,ROUND((INDEX($E705:$G705,AE$5)-SUMIFS(TF_Timer,TF_Tekniker,AE$4,TF_Dato,$A705))*2,0)/2)))</f>
        <v/>
      </c>
      <c r="AF705">
        <f>IF(OR(AF$4="",$A705&gt;TODAY()),0,IF(OR(INDEX($B705:$D705,AF$5)="F",AND(AF$6&gt;0,$A705&lt;AF$6),AND(AF$7&gt;0,$A705&gt;AF$7)),0,MAX(0,ROUND((INDEX($E705:$G705,AF$5)-SUMIFS(TF_Timer,TF_Tekniker,AF$4,TF_Dato,$A705))*2,0)/2)))</f>
        <v/>
      </c>
      <c r="AG705">
        <f>IF(OR(AG$4="",$A705&gt;TODAY()),0,IF(OR(INDEX($B705:$D705,AG$5)="F",AND(AG$6&gt;0,$A705&lt;AG$6),AND(AG$7&gt;0,$A705&gt;AG$7)),0,MAX(0,ROUND((INDEX($E705:$G705,AG$5)-SUMIFS(TF_Timer,TF_Tekniker,AG$4,TF_Dato,$A705))*2,0)/2)))</f>
        <v/>
      </c>
      <c r="AH705">
        <f>IF(OR(AH$4="",$A705&gt;TODAY()),0,IF(OR(INDEX($B705:$D705,AH$5)="F",AND(AH$6&gt;0,$A705&lt;AH$6),AND(AH$7&gt;0,$A705&gt;AH$7)),0,MAX(0,ROUND((INDEX($E705:$G705,AH$5)-SUMIFS(TF_Timer,TF_Tekniker,AH$4,TF_Dato,$A705))*2,0)/2)))</f>
        <v/>
      </c>
      <c r="AI705">
        <f>IF(OR(AI$4="",$A705&gt;TODAY()),0,IF(OR(INDEX($B705:$D705,AI$5)="F",AND(AI$6&gt;0,$A705&lt;AI$6),AND(AI$7&gt;0,$A705&gt;AI$7)),0,MAX(0,ROUND((INDEX($E705:$G705,AI$5)-SUMIFS(TF_Timer,TF_Tekniker,AI$4,TF_Dato,$A705))*2,0)/2)))</f>
        <v/>
      </c>
      <c r="AJ705">
        <f>IF(OR(AJ$4="",$A705&gt;TODAY()),0,IF(OR(INDEX($B705:$D705,AJ$5)="F",AND(AJ$6&gt;0,$A705&lt;AJ$6),AND(AJ$7&gt;0,$A705&gt;AJ$7)),0,MAX(0,ROUND((INDEX($E705:$G705,AJ$5)-SUMIFS(TF_Timer,TF_Tekniker,AJ$4,TF_Dato,$A705))*2,0)/2)))</f>
        <v/>
      </c>
      <c r="AK705">
        <f>IF(OR(AK$4="",$A705&gt;TODAY()),0,IF(OR(INDEX($B705:$D705,AK$5)="F",AND(AK$6&gt;0,$A705&lt;AK$6),AND(AK$7&gt;0,$A705&gt;AK$7)),0,MAX(0,ROUND((INDEX($E705:$G705,AK$5)-SUMIFS(TF_Timer,TF_Tekniker,AK$4,TF_Dato,$A705))*2,0)/2)))</f>
        <v/>
      </c>
      <c r="AL705">
        <f>IF(OR(AL$4="",$A705&gt;TODAY()),0,IF(OR(INDEX($B705:$D705,AL$5)="F",AND(AL$6&gt;0,$A705&lt;AL$6),AND(AL$7&gt;0,$A705&gt;AL$7)),0,MAX(0,ROUND((INDEX($E705:$G705,AL$5)-SUMIFS(TF_Timer,TF_Tekniker,AL$4,TF_Dato,$A705))*2,0)/2)))</f>
        <v/>
      </c>
      <c r="AM705">
        <f>IF(OR(AM$4="",$A705&gt;TODAY()),0,IF(OR(INDEX($B705:$D705,AM$5)="F",AND(AM$6&gt;0,$A705&lt;AM$6),AND(AM$7&gt;0,$A705&gt;AM$7)),0,MAX(0,ROUND((INDEX($E705:$G705,AM$5)-SUMIFS(TF_Timer,TF_Tekniker,AM$4,TF_Dato,$A705))*2,0)/2)))</f>
        <v/>
      </c>
      <c r="AN705">
        <f>IF(OR(AN$4="",$A705&gt;TODAY()),0,IF(OR(INDEX($B705:$D705,AN$5)="F",AND(AN$6&gt;0,$A705&lt;AN$6),AND(AN$7&gt;0,$A705&gt;AN$7)),0,MAX(0,ROUND((INDEX($E705:$G705,AN$5)-SUMIFS(TF_Timer,TF_Tekniker,AN$4,TF_Dato,$A705))*2,0)/2)))</f>
        <v/>
      </c>
      <c r="AO705">
        <f>IF(OR(AO$4="",$A705&gt;TODAY()),0,IF(OR(INDEX($B705:$D705,AO$5)="F",AND(AO$6&gt;0,$A705&lt;AO$6),AND(AO$7&gt;0,$A705&gt;AO$7)),0,MAX(0,ROUND((INDEX($E705:$G705,AO$5)-SUMIFS(TF_Timer,TF_Tekniker,AO$4,TF_Dato,$A705))*2,0)/2)))</f>
        <v/>
      </c>
      <c r="AP705">
        <f>IF(OR(AP$4="",$A705&gt;TODAY()),0,IF(OR(INDEX($B705:$D705,AP$5)="F",AND(AP$6&gt;0,$A705&lt;AP$6),AND(AP$7&gt;0,$A705&gt;AP$7)),0,MAX(0,ROUND((INDEX($E705:$G705,AP$5)-SUMIFS(TF_Timer,TF_Tekniker,AP$4,TF_Dato,$A705))*2,0)/2)))</f>
        <v/>
      </c>
      <c r="AQ705">
        <f>IF(OR(AQ$4="",$A705&gt;TODAY()),0,IF(OR(INDEX($B705:$D705,AQ$5)="F",AND(AQ$6&gt;0,$A705&lt;AQ$6),AND(AQ$7&gt;0,$A705&gt;AQ$7)),0,MAX(0,ROUND((INDEX($E705:$G705,AQ$5)-SUMIFS(TF_Timer,TF_Tekniker,AQ$4,TF_Dato,$A705))*2,0)/2)))</f>
        <v/>
      </c>
      <c r="AR705">
        <f>IF(OR(AR$4="",$A705&gt;TODAY()),0,IF(OR(INDEX($B705:$D705,AR$5)="F",AND(AR$6&gt;0,$A705&lt;AR$6),AND(AR$7&gt;0,$A705&gt;AR$7)),0,MAX(0,ROUND((INDEX($E705:$G705,AR$5)-SUMIFS(TF_Timer,TF_Tekniker,AR$4,TF_Dato,$A705))*2,0)/2)))</f>
        <v/>
      </c>
      <c r="AS705">
        <f>IF(OR(AS$4="",$A705&gt;TODAY()),0,IF(OR(INDEX($B705:$D705,AS$5)="F",AND(AS$6&gt;0,$A705&lt;AS$6),AND(AS$7&gt;0,$A705&gt;AS$7)),0,MAX(0,ROUND((INDEX($E705:$G705,AS$5)-SUMIFS(TF_Timer,TF_Tekniker,AS$4,TF_Dato,$A705))*2,0)/2)))</f>
        <v/>
      </c>
      <c r="AT705">
        <f>IF(OR(AT$4="",$A705&gt;TODAY()),0,IF(OR(INDEX($B705:$D705,AT$5)="F",AND(AT$6&gt;0,$A705&lt;AT$6),AND(AT$7&gt;0,$A705&gt;AT$7)),0,MAX(0,ROUND((INDEX($E705:$G705,AT$5)-SUMIFS(TF_Timer,TF_Tekniker,AT$4,TF_Dato,$A705))*2,0)/2)))</f>
        <v/>
      </c>
      <c r="AU705">
        <f>IF(OR(AU$4="",$A705&gt;TODAY()),0,IF(OR(INDEX($B705:$D705,AU$5)="F",AND(AU$6&gt;0,$A705&lt;AU$6),AND(AU$7&gt;0,$A705&gt;AU$7)),0,MAX(0,ROUND((INDEX($E705:$G705,AU$5)-SUMIFS(TF_Timer,TF_Tekniker,AU$4,TF_Dato,$A705))*2,0)/2)))</f>
        <v/>
      </c>
      <c r="AV705">
        <f>IF(OR(AV$4="",$A705&gt;TODAY()),0,IF(OR(INDEX($B705:$D705,AV$5)="F",AND(AV$6&gt;0,$A705&lt;AV$6),AND(AV$7&gt;0,$A705&gt;AV$7)),0,MAX(0,ROUND((INDEX($E705:$G705,AV$5)-SUMIFS(TF_Timer,TF_Tekniker,AV$4,TF_Dato,$A705))*2,0)/2)))</f>
        <v/>
      </c>
      <c r="AW705">
        <f>IF(OR(AW$4="",$A705&gt;TODAY()),0,IF(OR(INDEX($B705:$D705,AW$5)="F",AND(AW$6&gt;0,$A705&lt;AW$6),AND(AW$7&gt;0,$A705&gt;AW$7)),0,MAX(0,ROUND((INDEX($E705:$G705,AW$5)-SUMIFS(TF_Timer,TF_Tekniker,AW$4,TF_Dato,$A705))*2,0)/2)))</f>
        <v/>
      </c>
      <c r="AX705">
        <f>IF(OR(AX$4="",$A705&gt;TODAY()),0,IF(OR(INDEX($B705:$D705,AX$5)="F",AND(AX$6&gt;0,$A705&lt;AX$6),AND(AX$7&gt;0,$A705&gt;AX$7)),0,MAX(0,ROUND((INDEX($E705:$G705,AX$5)-SUMIFS(TF_Timer,TF_Tekniker,AX$4,TF_Dato,$A705))*2,0)/2)))</f>
        <v/>
      </c>
      <c r="AY705">
        <f>IF(OR(AY$4="",$A705&gt;TODAY()),0,IF(OR(INDEX($B705:$D705,AY$5)="F",AND(AY$6&gt;0,$A705&lt;AY$6),AND(AY$7&gt;0,$A705&gt;AY$7)),0,MAX(0,ROUND((INDEX($E705:$G705,AY$5)-SUMIFS(TF_Timer,TF_Tekniker,AY$4,TF_Dato,$A705))*2,0)/2)))</f>
        <v/>
      </c>
      <c r="AZ705">
        <f>IF(OR(AZ$4="",$A705&gt;TODAY()),0,IF(OR(INDEX($B705:$D705,AZ$5)="F",AND(AZ$6&gt;0,$A705&lt;AZ$6),AND(AZ$7&gt;0,$A705&gt;AZ$7)),0,MAX(0,ROUND((INDEX($E705:$G705,AZ$5)-SUMIFS(TF_Timer,TF_Tekniker,AZ$4,TF_Dato,$A705))*2,0)/2)))</f>
        <v/>
      </c>
      <c r="BA705">
        <f>IF(OR(BA$4="",$A705&gt;TODAY()),0,IF(OR(INDEX($B705:$D705,BA$5)="F",AND(BA$6&gt;0,$A705&lt;BA$6),AND(BA$7&gt;0,$A705&gt;BA$7)),0,MAX(0,ROUND((INDEX($E705:$G705,BA$5)-SUMIFS(TF_Timer,TF_Tekniker,BA$4,TF_Dato,$A705))*2,0)/2)))</f>
        <v/>
      </c>
      <c r="BB705">
        <f>IF(OR(BB$4="",$A705&gt;TODAY()),0,IF(OR(INDEX($B705:$D705,BB$5)="F",AND(BB$6&gt;0,$A705&lt;BB$6),AND(BB$7&gt;0,$A705&gt;BB$7)),0,MAX(0,ROUND((INDEX($E705:$G705,BB$5)-SUMIFS(TF_Timer,TF_Tekniker,BB$4,TF_Dato,$A705))*2,0)/2)))</f>
        <v/>
      </c>
      <c r="BC705">
        <f>IF(OR(BC$4="",$A705&gt;TODAY()),0,IF(OR(INDEX($B705:$D705,BC$5)="F",AND(BC$6&gt;0,$A705&lt;BC$6),AND(BC$7&gt;0,$A705&gt;BC$7)),0,MAX(0,ROUND((INDEX($E705:$G705,BC$5)-SUMIFS(TF_Timer,TF_Tekniker,BC$4,TF_Dato,$A705))*2,0)/2)))</f>
        <v/>
      </c>
      <c r="BD705">
        <f>IF(OR(BD$4="",$A705&gt;TODAY()),0,IF(OR(INDEX($B705:$D705,BD$5)="F",AND(BD$6&gt;0,$A705&lt;BD$6),AND(BD$7&gt;0,$A705&gt;BD$7)),0,MAX(0,ROUND((INDEX($E705:$G705,BD$5)-SUMIFS(TF_Timer,TF_Tekniker,BD$4,TF_Dato,$A705))*2,0)/2)))</f>
        <v/>
      </c>
      <c r="BE705">
        <f>IF(OR(BE$4="",$A705&gt;TODAY()),0,IF(OR(INDEX($B705:$D705,BE$5)="F",AND(BE$6&gt;0,$A705&lt;BE$6),AND(BE$7&gt;0,$A705&gt;BE$7)),0,MAX(0,ROUND((INDEX($E705:$G705,BE$5)-SUMIFS(TF_Timer,TF_Tekniker,BE$4,TF_Dato,$A705))*2,0)/2)))</f>
        <v/>
      </c>
      <c r="BF705">
        <f>IF(OR(BF$4="",$A705&gt;TODAY()),0,IF(OR(INDEX($B705:$D705,BF$5)="F",AND(BF$6&gt;0,$A705&lt;BF$6),AND(BF$7&gt;0,$A705&gt;BF$7)),0,MAX(0,ROUND((INDEX($E705:$G705,BF$5)-SUMIFS(TF_Timer,TF_Tekniker,BF$4,TF_Dato,$A705))*2,0)/2)))</f>
        <v/>
      </c>
      <c r="BG705">
        <f>IF(OR(BG$4="",$A705&gt;TODAY()),0,IF(OR(INDEX($B705:$D705,BG$5)="F",AND(BG$6&gt;0,$A705&lt;BG$6),AND(BG$7&gt;0,$A705&gt;BG$7)),0,MAX(0,ROUND((INDEX($E705:$G705,BG$5)-SUMIFS(TF_Timer,TF_Tekniker,BG$4,TF_Dato,$A705))*2,0)/2)))</f>
        <v/>
      </c>
      <c r="BH705">
        <f>IF(OR(BH$4="",$A705&gt;TODAY()),0,IF(OR(INDEX($B705:$D705,BH$5)="F",AND(BH$6&gt;0,$A705&lt;BH$6),AND(BH$7&gt;0,$A705&gt;BH$7)),0,MAX(0,ROUND((INDEX($E705:$G705,BH$5)-SUMIFS(TF_Timer,TF_Tekniker,BH$4,TF_Dato,$A705))*2,0)/2)))</f>
        <v/>
      </c>
      <c r="BI705">
        <f>IF(OR(BI$4="",$A705&gt;TODAY()),0,IF(OR(INDEX($B705:$D705,BI$5)="F",AND(BI$6&gt;0,$A705&lt;BI$6),AND(BI$7&gt;0,$A705&gt;BI$7)),0,MAX(0,ROUND((INDEX($E705:$G705,BI$5)-SUMIFS(TF_Timer,TF_Tekniker,BI$4,TF_Dato,$A705))*2,0)/2)))</f>
        <v/>
      </c>
    </row>
    <row r="706">
      <c r="A706" s="64">
        <f>A705+1</f>
        <v/>
      </c>
      <c r="B706">
        <f>IF(MOD($A706-INDEX(SkiftStart,1),Syklus)&lt;DagK,"K",IF(MOD($A706-INDEX(SkiftStart,1),Syklus)&lt;DagK+DagH,"H",IF(MOD($A706-INDEX(SkiftStart,1),Syklus)&lt;DagK+DagH+DagD,"D","F")))</f>
        <v/>
      </c>
      <c r="C706">
        <f>IF(MOD($A706-INDEX(SkiftStart,2),Syklus)&lt;DagK,"K",IF(MOD($A706-INDEX(SkiftStart,2),Syklus)&lt;DagK+DagH,"H",IF(MOD($A706-INDEX(SkiftStart,2),Syklus)&lt;DagK+DagH+DagD,"D","F")))</f>
        <v/>
      </c>
      <c r="D706">
        <f>IF(MOD($A706-INDEX(SkiftStart,3),Syklus)&lt;DagK,"K",IF(MOD($A706-INDEX(SkiftStart,3),Syklus)&lt;DagK+DagH,"H",IF(MOD($A706-INDEX(SkiftStart,3),Syklus)&lt;DagK+DagH+DagD,"D","F")))</f>
        <v/>
      </c>
      <c r="E706">
        <f>IF(B706="F",0,IF(WEEKDAY($A706,2)=5,INDEX(TimerFr,MATCH(B706,FaseKode,0)),INDEX(TimerMT,MATCH(B706,FaseKode,0))))</f>
        <v/>
      </c>
      <c r="F706">
        <f>IF(C706="F",0,IF(WEEKDAY($A706,2)=5,INDEX(TimerFr,MATCH(C706,FaseKode,0)),INDEX(TimerMT,MATCH(C706,FaseKode,0))))</f>
        <v/>
      </c>
      <c r="G706">
        <f>IF(D706="F",0,IF(WEEKDAY($A706,2)=5,INDEX(TimerFr,MATCH(D706,FaseKode,0)),INDEX(TimerMT,MATCH(D706,FaseKode,0))))</f>
        <v/>
      </c>
      <c r="H706">
        <f>IF(OR(H$4="",$A706&gt;TODAY()),0,IF(OR(INDEX($B706:$D706,H$5)="F",AND(H$6&gt;0,$A706&lt;H$6),AND(H$7&gt;0,$A706&gt;H$7)),0,MAX(0,ROUND((INDEX($E706:$G706,H$5)-SUMIFS(TF_Timer,TF_Tekniker,H$4,TF_Dato,$A706))*2,0)/2)))</f>
        <v/>
      </c>
      <c r="I706">
        <f>IF(OR(I$4="",$A706&gt;TODAY()),0,IF(OR(INDEX($B706:$D706,I$5)="F",AND(I$6&gt;0,$A706&lt;I$6),AND(I$7&gt;0,$A706&gt;I$7)),0,MAX(0,ROUND((INDEX($E706:$G706,I$5)-SUMIFS(TF_Timer,TF_Tekniker,I$4,TF_Dato,$A706))*2,0)/2)))</f>
        <v/>
      </c>
      <c r="J706">
        <f>IF(OR(J$4="",$A706&gt;TODAY()),0,IF(OR(INDEX($B706:$D706,J$5)="F",AND(J$6&gt;0,$A706&lt;J$6),AND(J$7&gt;0,$A706&gt;J$7)),0,MAX(0,ROUND((INDEX($E706:$G706,J$5)-SUMIFS(TF_Timer,TF_Tekniker,J$4,TF_Dato,$A706))*2,0)/2)))</f>
        <v/>
      </c>
      <c r="K706">
        <f>IF(OR(K$4="",$A706&gt;TODAY()),0,IF(OR(INDEX($B706:$D706,K$5)="F",AND(K$6&gt;0,$A706&lt;K$6),AND(K$7&gt;0,$A706&gt;K$7)),0,MAX(0,ROUND((INDEX($E706:$G706,K$5)-SUMIFS(TF_Timer,TF_Tekniker,K$4,TF_Dato,$A706))*2,0)/2)))</f>
        <v/>
      </c>
      <c r="L706">
        <f>IF(OR(L$4="",$A706&gt;TODAY()),0,IF(OR(INDEX($B706:$D706,L$5)="F",AND(L$6&gt;0,$A706&lt;L$6),AND(L$7&gt;0,$A706&gt;L$7)),0,MAX(0,ROUND((INDEX($E706:$G706,L$5)-SUMIFS(TF_Timer,TF_Tekniker,L$4,TF_Dato,$A706))*2,0)/2)))</f>
        <v/>
      </c>
      <c r="M706">
        <f>IF(OR(M$4="",$A706&gt;TODAY()),0,IF(OR(INDEX($B706:$D706,M$5)="F",AND(M$6&gt;0,$A706&lt;M$6),AND(M$7&gt;0,$A706&gt;M$7)),0,MAX(0,ROUND((INDEX($E706:$G706,M$5)-SUMIFS(TF_Timer,TF_Tekniker,M$4,TF_Dato,$A706))*2,0)/2)))</f>
        <v/>
      </c>
      <c r="N706">
        <f>IF(OR(N$4="",$A706&gt;TODAY()),0,IF(OR(INDEX($B706:$D706,N$5)="F",AND(N$6&gt;0,$A706&lt;N$6),AND(N$7&gt;0,$A706&gt;N$7)),0,MAX(0,ROUND((INDEX($E706:$G706,N$5)-SUMIFS(TF_Timer,TF_Tekniker,N$4,TF_Dato,$A706))*2,0)/2)))</f>
        <v/>
      </c>
      <c r="O706">
        <f>IF(OR(O$4="",$A706&gt;TODAY()),0,IF(OR(INDEX($B706:$D706,O$5)="F",AND(O$6&gt;0,$A706&lt;O$6),AND(O$7&gt;0,$A706&gt;O$7)),0,MAX(0,ROUND((INDEX($E706:$G706,O$5)-SUMIFS(TF_Timer,TF_Tekniker,O$4,TF_Dato,$A706))*2,0)/2)))</f>
        <v/>
      </c>
      <c r="P706">
        <f>IF(OR(P$4="",$A706&gt;TODAY()),0,IF(OR(INDEX($B706:$D706,P$5)="F",AND(P$6&gt;0,$A706&lt;P$6),AND(P$7&gt;0,$A706&gt;P$7)),0,MAX(0,ROUND((INDEX($E706:$G706,P$5)-SUMIFS(TF_Timer,TF_Tekniker,P$4,TF_Dato,$A706))*2,0)/2)))</f>
        <v/>
      </c>
      <c r="Q706">
        <f>IF(OR(Q$4="",$A706&gt;TODAY()),0,IF(OR(INDEX($B706:$D706,Q$5)="F",AND(Q$6&gt;0,$A706&lt;Q$6),AND(Q$7&gt;0,$A706&gt;Q$7)),0,MAX(0,ROUND((INDEX($E706:$G706,Q$5)-SUMIFS(TF_Timer,TF_Tekniker,Q$4,TF_Dato,$A706))*2,0)/2)))</f>
        <v/>
      </c>
      <c r="R706">
        <f>IF(OR(R$4="",$A706&gt;TODAY()),0,IF(OR(INDEX($B706:$D706,R$5)="F",AND(R$6&gt;0,$A706&lt;R$6),AND(R$7&gt;0,$A706&gt;R$7)),0,MAX(0,ROUND((INDEX($E706:$G706,R$5)-SUMIFS(TF_Timer,TF_Tekniker,R$4,TF_Dato,$A706))*2,0)/2)))</f>
        <v/>
      </c>
      <c r="S706">
        <f>IF(OR(S$4="",$A706&gt;TODAY()),0,IF(OR(INDEX($B706:$D706,S$5)="F",AND(S$6&gt;0,$A706&lt;S$6),AND(S$7&gt;0,$A706&gt;S$7)),0,MAX(0,ROUND((INDEX($E706:$G706,S$5)-SUMIFS(TF_Timer,TF_Tekniker,S$4,TF_Dato,$A706))*2,0)/2)))</f>
        <v/>
      </c>
      <c r="T706">
        <f>IF(OR(T$4="",$A706&gt;TODAY()),0,IF(OR(INDEX($B706:$D706,T$5)="F",AND(T$6&gt;0,$A706&lt;T$6),AND(T$7&gt;0,$A706&gt;T$7)),0,MAX(0,ROUND((INDEX($E706:$G706,T$5)-SUMIFS(TF_Timer,TF_Tekniker,T$4,TF_Dato,$A706))*2,0)/2)))</f>
        <v/>
      </c>
      <c r="U706">
        <f>IF(OR(U$4="",$A706&gt;TODAY()),0,IF(OR(INDEX($B706:$D706,U$5)="F",AND(U$6&gt;0,$A706&lt;U$6),AND(U$7&gt;0,$A706&gt;U$7)),0,MAX(0,ROUND((INDEX($E706:$G706,U$5)-SUMIFS(TF_Timer,TF_Tekniker,U$4,TF_Dato,$A706))*2,0)/2)))</f>
        <v/>
      </c>
      <c r="V706">
        <f>IF(OR(V$4="",$A706&gt;TODAY()),0,IF(OR(INDEX($B706:$D706,V$5)="F",AND(V$6&gt;0,$A706&lt;V$6),AND(V$7&gt;0,$A706&gt;V$7)),0,MAX(0,ROUND((INDEX($E706:$G706,V$5)-SUMIFS(TF_Timer,TF_Tekniker,V$4,TF_Dato,$A706))*2,0)/2)))</f>
        <v/>
      </c>
      <c r="W706">
        <f>IF(OR(W$4="",$A706&gt;TODAY()),0,IF(OR(INDEX($B706:$D706,W$5)="F",AND(W$6&gt;0,$A706&lt;W$6),AND(W$7&gt;0,$A706&gt;W$7)),0,MAX(0,ROUND((INDEX($E706:$G706,W$5)-SUMIFS(TF_Timer,TF_Tekniker,W$4,TF_Dato,$A706))*2,0)/2)))</f>
        <v/>
      </c>
      <c r="X706">
        <f>IF(OR(X$4="",$A706&gt;TODAY()),0,IF(OR(INDEX($B706:$D706,X$5)="F",AND(X$6&gt;0,$A706&lt;X$6),AND(X$7&gt;0,$A706&gt;X$7)),0,MAX(0,ROUND((INDEX($E706:$G706,X$5)-SUMIFS(TF_Timer,TF_Tekniker,X$4,TF_Dato,$A706))*2,0)/2)))</f>
        <v/>
      </c>
      <c r="Y706">
        <f>IF(OR(Y$4="",$A706&gt;TODAY()),0,IF(OR(INDEX($B706:$D706,Y$5)="F",AND(Y$6&gt;0,$A706&lt;Y$6),AND(Y$7&gt;0,$A706&gt;Y$7)),0,MAX(0,ROUND((INDEX($E706:$G706,Y$5)-SUMIFS(TF_Timer,TF_Tekniker,Y$4,TF_Dato,$A706))*2,0)/2)))</f>
        <v/>
      </c>
      <c r="Z706">
        <f>IF(OR(Z$4="",$A706&gt;TODAY()),0,IF(OR(INDEX($B706:$D706,Z$5)="F",AND(Z$6&gt;0,$A706&lt;Z$6),AND(Z$7&gt;0,$A706&gt;Z$7)),0,MAX(0,ROUND((INDEX($E706:$G706,Z$5)-SUMIFS(TF_Timer,TF_Tekniker,Z$4,TF_Dato,$A706))*2,0)/2)))</f>
        <v/>
      </c>
      <c r="AA706">
        <f>IF(OR(AA$4="",$A706&gt;TODAY()),0,IF(OR(INDEX($B706:$D706,AA$5)="F",AND(AA$6&gt;0,$A706&lt;AA$6),AND(AA$7&gt;0,$A706&gt;AA$7)),0,MAX(0,ROUND((INDEX($E706:$G706,AA$5)-SUMIFS(TF_Timer,TF_Tekniker,AA$4,TF_Dato,$A706))*2,0)/2)))</f>
        <v/>
      </c>
      <c r="AB706">
        <f>IF(OR(AB$4="",$A706&gt;TODAY()),0,IF(OR(INDEX($B706:$D706,AB$5)="F",AND(AB$6&gt;0,$A706&lt;AB$6),AND(AB$7&gt;0,$A706&gt;AB$7)),0,MAX(0,ROUND((INDEX($E706:$G706,AB$5)-SUMIFS(TF_Timer,TF_Tekniker,AB$4,TF_Dato,$A706))*2,0)/2)))</f>
        <v/>
      </c>
      <c r="AC706">
        <f>IF(OR(AC$4="",$A706&gt;TODAY()),0,IF(OR(INDEX($B706:$D706,AC$5)="F",AND(AC$6&gt;0,$A706&lt;AC$6),AND(AC$7&gt;0,$A706&gt;AC$7)),0,MAX(0,ROUND((INDEX($E706:$G706,AC$5)-SUMIFS(TF_Timer,TF_Tekniker,AC$4,TF_Dato,$A706))*2,0)/2)))</f>
        <v/>
      </c>
      <c r="AD706">
        <f>IF(OR(AD$4="",$A706&gt;TODAY()),0,IF(OR(INDEX($B706:$D706,AD$5)="F",AND(AD$6&gt;0,$A706&lt;AD$6),AND(AD$7&gt;0,$A706&gt;AD$7)),0,MAX(0,ROUND((INDEX($E706:$G706,AD$5)-SUMIFS(TF_Timer,TF_Tekniker,AD$4,TF_Dato,$A706))*2,0)/2)))</f>
        <v/>
      </c>
      <c r="AE706">
        <f>IF(OR(AE$4="",$A706&gt;TODAY()),0,IF(OR(INDEX($B706:$D706,AE$5)="F",AND(AE$6&gt;0,$A706&lt;AE$6),AND(AE$7&gt;0,$A706&gt;AE$7)),0,MAX(0,ROUND((INDEX($E706:$G706,AE$5)-SUMIFS(TF_Timer,TF_Tekniker,AE$4,TF_Dato,$A706))*2,0)/2)))</f>
        <v/>
      </c>
      <c r="AF706">
        <f>IF(OR(AF$4="",$A706&gt;TODAY()),0,IF(OR(INDEX($B706:$D706,AF$5)="F",AND(AF$6&gt;0,$A706&lt;AF$6),AND(AF$7&gt;0,$A706&gt;AF$7)),0,MAX(0,ROUND((INDEX($E706:$G706,AF$5)-SUMIFS(TF_Timer,TF_Tekniker,AF$4,TF_Dato,$A706))*2,0)/2)))</f>
        <v/>
      </c>
      <c r="AG706">
        <f>IF(OR(AG$4="",$A706&gt;TODAY()),0,IF(OR(INDEX($B706:$D706,AG$5)="F",AND(AG$6&gt;0,$A706&lt;AG$6),AND(AG$7&gt;0,$A706&gt;AG$7)),0,MAX(0,ROUND((INDEX($E706:$G706,AG$5)-SUMIFS(TF_Timer,TF_Tekniker,AG$4,TF_Dato,$A706))*2,0)/2)))</f>
        <v/>
      </c>
      <c r="AH706">
        <f>IF(OR(AH$4="",$A706&gt;TODAY()),0,IF(OR(INDEX($B706:$D706,AH$5)="F",AND(AH$6&gt;0,$A706&lt;AH$6),AND(AH$7&gt;0,$A706&gt;AH$7)),0,MAX(0,ROUND((INDEX($E706:$G706,AH$5)-SUMIFS(TF_Timer,TF_Tekniker,AH$4,TF_Dato,$A706))*2,0)/2)))</f>
        <v/>
      </c>
      <c r="AI706">
        <f>IF(OR(AI$4="",$A706&gt;TODAY()),0,IF(OR(INDEX($B706:$D706,AI$5)="F",AND(AI$6&gt;0,$A706&lt;AI$6),AND(AI$7&gt;0,$A706&gt;AI$7)),0,MAX(0,ROUND((INDEX($E706:$G706,AI$5)-SUMIFS(TF_Timer,TF_Tekniker,AI$4,TF_Dato,$A706))*2,0)/2)))</f>
        <v/>
      </c>
      <c r="AJ706">
        <f>IF(OR(AJ$4="",$A706&gt;TODAY()),0,IF(OR(INDEX($B706:$D706,AJ$5)="F",AND(AJ$6&gt;0,$A706&lt;AJ$6),AND(AJ$7&gt;0,$A706&gt;AJ$7)),0,MAX(0,ROUND((INDEX($E706:$G706,AJ$5)-SUMIFS(TF_Timer,TF_Tekniker,AJ$4,TF_Dato,$A706))*2,0)/2)))</f>
        <v/>
      </c>
      <c r="AK706">
        <f>IF(OR(AK$4="",$A706&gt;TODAY()),0,IF(OR(INDEX($B706:$D706,AK$5)="F",AND(AK$6&gt;0,$A706&lt;AK$6),AND(AK$7&gt;0,$A706&gt;AK$7)),0,MAX(0,ROUND((INDEX($E706:$G706,AK$5)-SUMIFS(TF_Timer,TF_Tekniker,AK$4,TF_Dato,$A706))*2,0)/2)))</f>
        <v/>
      </c>
      <c r="AL706">
        <f>IF(OR(AL$4="",$A706&gt;TODAY()),0,IF(OR(INDEX($B706:$D706,AL$5)="F",AND(AL$6&gt;0,$A706&lt;AL$6),AND(AL$7&gt;0,$A706&gt;AL$7)),0,MAX(0,ROUND((INDEX($E706:$G706,AL$5)-SUMIFS(TF_Timer,TF_Tekniker,AL$4,TF_Dato,$A706))*2,0)/2)))</f>
        <v/>
      </c>
      <c r="AM706">
        <f>IF(OR(AM$4="",$A706&gt;TODAY()),0,IF(OR(INDEX($B706:$D706,AM$5)="F",AND(AM$6&gt;0,$A706&lt;AM$6),AND(AM$7&gt;0,$A706&gt;AM$7)),0,MAX(0,ROUND((INDEX($E706:$G706,AM$5)-SUMIFS(TF_Timer,TF_Tekniker,AM$4,TF_Dato,$A706))*2,0)/2)))</f>
        <v/>
      </c>
      <c r="AN706">
        <f>IF(OR(AN$4="",$A706&gt;TODAY()),0,IF(OR(INDEX($B706:$D706,AN$5)="F",AND(AN$6&gt;0,$A706&lt;AN$6),AND(AN$7&gt;0,$A706&gt;AN$7)),0,MAX(0,ROUND((INDEX($E706:$G706,AN$5)-SUMIFS(TF_Timer,TF_Tekniker,AN$4,TF_Dato,$A706))*2,0)/2)))</f>
        <v/>
      </c>
      <c r="AO706">
        <f>IF(OR(AO$4="",$A706&gt;TODAY()),0,IF(OR(INDEX($B706:$D706,AO$5)="F",AND(AO$6&gt;0,$A706&lt;AO$6),AND(AO$7&gt;0,$A706&gt;AO$7)),0,MAX(0,ROUND((INDEX($E706:$G706,AO$5)-SUMIFS(TF_Timer,TF_Tekniker,AO$4,TF_Dato,$A706))*2,0)/2)))</f>
        <v/>
      </c>
      <c r="AP706">
        <f>IF(OR(AP$4="",$A706&gt;TODAY()),0,IF(OR(INDEX($B706:$D706,AP$5)="F",AND(AP$6&gt;0,$A706&lt;AP$6),AND(AP$7&gt;0,$A706&gt;AP$7)),0,MAX(0,ROUND((INDEX($E706:$G706,AP$5)-SUMIFS(TF_Timer,TF_Tekniker,AP$4,TF_Dato,$A706))*2,0)/2)))</f>
        <v/>
      </c>
      <c r="AQ706">
        <f>IF(OR(AQ$4="",$A706&gt;TODAY()),0,IF(OR(INDEX($B706:$D706,AQ$5)="F",AND(AQ$6&gt;0,$A706&lt;AQ$6),AND(AQ$7&gt;0,$A706&gt;AQ$7)),0,MAX(0,ROUND((INDEX($E706:$G706,AQ$5)-SUMIFS(TF_Timer,TF_Tekniker,AQ$4,TF_Dato,$A706))*2,0)/2)))</f>
        <v/>
      </c>
      <c r="AR706">
        <f>IF(OR(AR$4="",$A706&gt;TODAY()),0,IF(OR(INDEX($B706:$D706,AR$5)="F",AND(AR$6&gt;0,$A706&lt;AR$6),AND(AR$7&gt;0,$A706&gt;AR$7)),0,MAX(0,ROUND((INDEX($E706:$G706,AR$5)-SUMIFS(TF_Timer,TF_Tekniker,AR$4,TF_Dato,$A706))*2,0)/2)))</f>
        <v/>
      </c>
      <c r="AS706">
        <f>IF(OR(AS$4="",$A706&gt;TODAY()),0,IF(OR(INDEX($B706:$D706,AS$5)="F",AND(AS$6&gt;0,$A706&lt;AS$6),AND(AS$7&gt;0,$A706&gt;AS$7)),0,MAX(0,ROUND((INDEX($E706:$G706,AS$5)-SUMIFS(TF_Timer,TF_Tekniker,AS$4,TF_Dato,$A706))*2,0)/2)))</f>
        <v/>
      </c>
      <c r="AT706">
        <f>IF(OR(AT$4="",$A706&gt;TODAY()),0,IF(OR(INDEX($B706:$D706,AT$5)="F",AND(AT$6&gt;0,$A706&lt;AT$6),AND(AT$7&gt;0,$A706&gt;AT$7)),0,MAX(0,ROUND((INDEX($E706:$G706,AT$5)-SUMIFS(TF_Timer,TF_Tekniker,AT$4,TF_Dato,$A706))*2,0)/2)))</f>
        <v/>
      </c>
      <c r="AU706">
        <f>IF(OR(AU$4="",$A706&gt;TODAY()),0,IF(OR(INDEX($B706:$D706,AU$5)="F",AND(AU$6&gt;0,$A706&lt;AU$6),AND(AU$7&gt;0,$A706&gt;AU$7)),0,MAX(0,ROUND((INDEX($E706:$G706,AU$5)-SUMIFS(TF_Timer,TF_Tekniker,AU$4,TF_Dato,$A706))*2,0)/2)))</f>
        <v/>
      </c>
      <c r="AV706">
        <f>IF(OR(AV$4="",$A706&gt;TODAY()),0,IF(OR(INDEX($B706:$D706,AV$5)="F",AND(AV$6&gt;0,$A706&lt;AV$6),AND(AV$7&gt;0,$A706&gt;AV$7)),0,MAX(0,ROUND((INDEX($E706:$G706,AV$5)-SUMIFS(TF_Timer,TF_Tekniker,AV$4,TF_Dato,$A706))*2,0)/2)))</f>
        <v/>
      </c>
      <c r="AW706">
        <f>IF(OR(AW$4="",$A706&gt;TODAY()),0,IF(OR(INDEX($B706:$D706,AW$5)="F",AND(AW$6&gt;0,$A706&lt;AW$6),AND(AW$7&gt;0,$A706&gt;AW$7)),0,MAX(0,ROUND((INDEX($E706:$G706,AW$5)-SUMIFS(TF_Timer,TF_Tekniker,AW$4,TF_Dato,$A706))*2,0)/2)))</f>
        <v/>
      </c>
      <c r="AX706">
        <f>IF(OR(AX$4="",$A706&gt;TODAY()),0,IF(OR(INDEX($B706:$D706,AX$5)="F",AND(AX$6&gt;0,$A706&lt;AX$6),AND(AX$7&gt;0,$A706&gt;AX$7)),0,MAX(0,ROUND((INDEX($E706:$G706,AX$5)-SUMIFS(TF_Timer,TF_Tekniker,AX$4,TF_Dato,$A706))*2,0)/2)))</f>
        <v/>
      </c>
      <c r="AY706">
        <f>IF(OR(AY$4="",$A706&gt;TODAY()),0,IF(OR(INDEX($B706:$D706,AY$5)="F",AND(AY$6&gt;0,$A706&lt;AY$6),AND(AY$7&gt;0,$A706&gt;AY$7)),0,MAX(0,ROUND((INDEX($E706:$G706,AY$5)-SUMIFS(TF_Timer,TF_Tekniker,AY$4,TF_Dato,$A706))*2,0)/2)))</f>
        <v/>
      </c>
      <c r="AZ706">
        <f>IF(OR(AZ$4="",$A706&gt;TODAY()),0,IF(OR(INDEX($B706:$D706,AZ$5)="F",AND(AZ$6&gt;0,$A706&lt;AZ$6),AND(AZ$7&gt;0,$A706&gt;AZ$7)),0,MAX(0,ROUND((INDEX($E706:$G706,AZ$5)-SUMIFS(TF_Timer,TF_Tekniker,AZ$4,TF_Dato,$A706))*2,0)/2)))</f>
        <v/>
      </c>
      <c r="BA706">
        <f>IF(OR(BA$4="",$A706&gt;TODAY()),0,IF(OR(INDEX($B706:$D706,BA$5)="F",AND(BA$6&gt;0,$A706&lt;BA$6),AND(BA$7&gt;0,$A706&gt;BA$7)),0,MAX(0,ROUND((INDEX($E706:$G706,BA$5)-SUMIFS(TF_Timer,TF_Tekniker,BA$4,TF_Dato,$A706))*2,0)/2)))</f>
        <v/>
      </c>
      <c r="BB706">
        <f>IF(OR(BB$4="",$A706&gt;TODAY()),0,IF(OR(INDEX($B706:$D706,BB$5)="F",AND(BB$6&gt;0,$A706&lt;BB$6),AND(BB$7&gt;0,$A706&gt;BB$7)),0,MAX(0,ROUND((INDEX($E706:$G706,BB$5)-SUMIFS(TF_Timer,TF_Tekniker,BB$4,TF_Dato,$A706))*2,0)/2)))</f>
        <v/>
      </c>
      <c r="BC706">
        <f>IF(OR(BC$4="",$A706&gt;TODAY()),0,IF(OR(INDEX($B706:$D706,BC$5)="F",AND(BC$6&gt;0,$A706&lt;BC$6),AND(BC$7&gt;0,$A706&gt;BC$7)),0,MAX(0,ROUND((INDEX($E706:$G706,BC$5)-SUMIFS(TF_Timer,TF_Tekniker,BC$4,TF_Dato,$A706))*2,0)/2)))</f>
        <v/>
      </c>
      <c r="BD706">
        <f>IF(OR(BD$4="",$A706&gt;TODAY()),0,IF(OR(INDEX($B706:$D706,BD$5)="F",AND(BD$6&gt;0,$A706&lt;BD$6),AND(BD$7&gt;0,$A706&gt;BD$7)),0,MAX(0,ROUND((INDEX($E706:$G706,BD$5)-SUMIFS(TF_Timer,TF_Tekniker,BD$4,TF_Dato,$A706))*2,0)/2)))</f>
        <v/>
      </c>
      <c r="BE706">
        <f>IF(OR(BE$4="",$A706&gt;TODAY()),0,IF(OR(INDEX($B706:$D706,BE$5)="F",AND(BE$6&gt;0,$A706&lt;BE$6),AND(BE$7&gt;0,$A706&gt;BE$7)),0,MAX(0,ROUND((INDEX($E706:$G706,BE$5)-SUMIFS(TF_Timer,TF_Tekniker,BE$4,TF_Dato,$A706))*2,0)/2)))</f>
        <v/>
      </c>
      <c r="BF706">
        <f>IF(OR(BF$4="",$A706&gt;TODAY()),0,IF(OR(INDEX($B706:$D706,BF$5)="F",AND(BF$6&gt;0,$A706&lt;BF$6),AND(BF$7&gt;0,$A706&gt;BF$7)),0,MAX(0,ROUND((INDEX($E706:$G706,BF$5)-SUMIFS(TF_Timer,TF_Tekniker,BF$4,TF_Dato,$A706))*2,0)/2)))</f>
        <v/>
      </c>
      <c r="BG706">
        <f>IF(OR(BG$4="",$A706&gt;TODAY()),0,IF(OR(INDEX($B706:$D706,BG$5)="F",AND(BG$6&gt;0,$A706&lt;BG$6),AND(BG$7&gt;0,$A706&gt;BG$7)),0,MAX(0,ROUND((INDEX($E706:$G706,BG$5)-SUMIFS(TF_Timer,TF_Tekniker,BG$4,TF_Dato,$A706))*2,0)/2)))</f>
        <v/>
      </c>
      <c r="BH706">
        <f>IF(OR(BH$4="",$A706&gt;TODAY()),0,IF(OR(INDEX($B706:$D706,BH$5)="F",AND(BH$6&gt;0,$A706&lt;BH$6),AND(BH$7&gt;0,$A706&gt;BH$7)),0,MAX(0,ROUND((INDEX($E706:$G706,BH$5)-SUMIFS(TF_Timer,TF_Tekniker,BH$4,TF_Dato,$A706))*2,0)/2)))</f>
        <v/>
      </c>
      <c r="BI706">
        <f>IF(OR(BI$4="",$A706&gt;TODAY()),0,IF(OR(INDEX($B706:$D706,BI$5)="F",AND(BI$6&gt;0,$A706&lt;BI$6),AND(BI$7&gt;0,$A706&gt;BI$7)),0,MAX(0,ROUND((INDEX($E706:$G706,BI$5)-SUMIFS(TF_Timer,TF_Tekniker,BI$4,TF_Dato,$A706))*2,0)/2)))</f>
        <v/>
      </c>
    </row>
    <row r="707">
      <c r="A707" s="64">
        <f>A706+1</f>
        <v/>
      </c>
      <c r="B707">
        <f>IF(MOD($A707-INDEX(SkiftStart,1),Syklus)&lt;DagK,"K",IF(MOD($A707-INDEX(SkiftStart,1),Syklus)&lt;DagK+DagH,"H",IF(MOD($A707-INDEX(SkiftStart,1),Syklus)&lt;DagK+DagH+DagD,"D","F")))</f>
        <v/>
      </c>
      <c r="C707">
        <f>IF(MOD($A707-INDEX(SkiftStart,2),Syklus)&lt;DagK,"K",IF(MOD($A707-INDEX(SkiftStart,2),Syklus)&lt;DagK+DagH,"H",IF(MOD($A707-INDEX(SkiftStart,2),Syklus)&lt;DagK+DagH+DagD,"D","F")))</f>
        <v/>
      </c>
      <c r="D707">
        <f>IF(MOD($A707-INDEX(SkiftStart,3),Syklus)&lt;DagK,"K",IF(MOD($A707-INDEX(SkiftStart,3),Syklus)&lt;DagK+DagH,"H",IF(MOD($A707-INDEX(SkiftStart,3),Syklus)&lt;DagK+DagH+DagD,"D","F")))</f>
        <v/>
      </c>
      <c r="E707">
        <f>IF(B707="F",0,IF(WEEKDAY($A707,2)=5,INDEX(TimerFr,MATCH(B707,FaseKode,0)),INDEX(TimerMT,MATCH(B707,FaseKode,0))))</f>
        <v/>
      </c>
      <c r="F707">
        <f>IF(C707="F",0,IF(WEEKDAY($A707,2)=5,INDEX(TimerFr,MATCH(C707,FaseKode,0)),INDEX(TimerMT,MATCH(C707,FaseKode,0))))</f>
        <v/>
      </c>
      <c r="G707">
        <f>IF(D707="F",0,IF(WEEKDAY($A707,2)=5,INDEX(TimerFr,MATCH(D707,FaseKode,0)),INDEX(TimerMT,MATCH(D707,FaseKode,0))))</f>
        <v/>
      </c>
      <c r="H707">
        <f>IF(OR(H$4="",$A707&gt;TODAY()),0,IF(OR(INDEX($B707:$D707,H$5)="F",AND(H$6&gt;0,$A707&lt;H$6),AND(H$7&gt;0,$A707&gt;H$7)),0,MAX(0,ROUND((INDEX($E707:$G707,H$5)-SUMIFS(TF_Timer,TF_Tekniker,H$4,TF_Dato,$A707))*2,0)/2)))</f>
        <v/>
      </c>
      <c r="I707">
        <f>IF(OR(I$4="",$A707&gt;TODAY()),0,IF(OR(INDEX($B707:$D707,I$5)="F",AND(I$6&gt;0,$A707&lt;I$6),AND(I$7&gt;0,$A707&gt;I$7)),0,MAX(0,ROUND((INDEX($E707:$G707,I$5)-SUMIFS(TF_Timer,TF_Tekniker,I$4,TF_Dato,$A707))*2,0)/2)))</f>
        <v/>
      </c>
      <c r="J707">
        <f>IF(OR(J$4="",$A707&gt;TODAY()),0,IF(OR(INDEX($B707:$D707,J$5)="F",AND(J$6&gt;0,$A707&lt;J$6),AND(J$7&gt;0,$A707&gt;J$7)),0,MAX(0,ROUND((INDEX($E707:$G707,J$5)-SUMIFS(TF_Timer,TF_Tekniker,J$4,TF_Dato,$A707))*2,0)/2)))</f>
        <v/>
      </c>
      <c r="K707">
        <f>IF(OR(K$4="",$A707&gt;TODAY()),0,IF(OR(INDEX($B707:$D707,K$5)="F",AND(K$6&gt;0,$A707&lt;K$6),AND(K$7&gt;0,$A707&gt;K$7)),0,MAX(0,ROUND((INDEX($E707:$G707,K$5)-SUMIFS(TF_Timer,TF_Tekniker,K$4,TF_Dato,$A707))*2,0)/2)))</f>
        <v/>
      </c>
      <c r="L707">
        <f>IF(OR(L$4="",$A707&gt;TODAY()),0,IF(OR(INDEX($B707:$D707,L$5)="F",AND(L$6&gt;0,$A707&lt;L$6),AND(L$7&gt;0,$A707&gt;L$7)),0,MAX(0,ROUND((INDEX($E707:$G707,L$5)-SUMIFS(TF_Timer,TF_Tekniker,L$4,TF_Dato,$A707))*2,0)/2)))</f>
        <v/>
      </c>
      <c r="M707">
        <f>IF(OR(M$4="",$A707&gt;TODAY()),0,IF(OR(INDEX($B707:$D707,M$5)="F",AND(M$6&gt;0,$A707&lt;M$6),AND(M$7&gt;0,$A707&gt;M$7)),0,MAX(0,ROUND((INDEX($E707:$G707,M$5)-SUMIFS(TF_Timer,TF_Tekniker,M$4,TF_Dato,$A707))*2,0)/2)))</f>
        <v/>
      </c>
      <c r="N707">
        <f>IF(OR(N$4="",$A707&gt;TODAY()),0,IF(OR(INDEX($B707:$D707,N$5)="F",AND(N$6&gt;0,$A707&lt;N$6),AND(N$7&gt;0,$A707&gt;N$7)),0,MAX(0,ROUND((INDEX($E707:$G707,N$5)-SUMIFS(TF_Timer,TF_Tekniker,N$4,TF_Dato,$A707))*2,0)/2)))</f>
        <v/>
      </c>
      <c r="O707">
        <f>IF(OR(O$4="",$A707&gt;TODAY()),0,IF(OR(INDEX($B707:$D707,O$5)="F",AND(O$6&gt;0,$A707&lt;O$6),AND(O$7&gt;0,$A707&gt;O$7)),0,MAX(0,ROUND((INDEX($E707:$G707,O$5)-SUMIFS(TF_Timer,TF_Tekniker,O$4,TF_Dato,$A707))*2,0)/2)))</f>
        <v/>
      </c>
      <c r="P707">
        <f>IF(OR(P$4="",$A707&gt;TODAY()),0,IF(OR(INDEX($B707:$D707,P$5)="F",AND(P$6&gt;0,$A707&lt;P$6),AND(P$7&gt;0,$A707&gt;P$7)),0,MAX(0,ROUND((INDEX($E707:$G707,P$5)-SUMIFS(TF_Timer,TF_Tekniker,P$4,TF_Dato,$A707))*2,0)/2)))</f>
        <v/>
      </c>
      <c r="Q707">
        <f>IF(OR(Q$4="",$A707&gt;TODAY()),0,IF(OR(INDEX($B707:$D707,Q$5)="F",AND(Q$6&gt;0,$A707&lt;Q$6),AND(Q$7&gt;0,$A707&gt;Q$7)),0,MAX(0,ROUND((INDEX($E707:$G707,Q$5)-SUMIFS(TF_Timer,TF_Tekniker,Q$4,TF_Dato,$A707))*2,0)/2)))</f>
        <v/>
      </c>
      <c r="R707">
        <f>IF(OR(R$4="",$A707&gt;TODAY()),0,IF(OR(INDEX($B707:$D707,R$5)="F",AND(R$6&gt;0,$A707&lt;R$6),AND(R$7&gt;0,$A707&gt;R$7)),0,MAX(0,ROUND((INDEX($E707:$G707,R$5)-SUMIFS(TF_Timer,TF_Tekniker,R$4,TF_Dato,$A707))*2,0)/2)))</f>
        <v/>
      </c>
      <c r="S707">
        <f>IF(OR(S$4="",$A707&gt;TODAY()),0,IF(OR(INDEX($B707:$D707,S$5)="F",AND(S$6&gt;0,$A707&lt;S$6),AND(S$7&gt;0,$A707&gt;S$7)),0,MAX(0,ROUND((INDEX($E707:$G707,S$5)-SUMIFS(TF_Timer,TF_Tekniker,S$4,TF_Dato,$A707))*2,0)/2)))</f>
        <v/>
      </c>
      <c r="T707">
        <f>IF(OR(T$4="",$A707&gt;TODAY()),0,IF(OR(INDEX($B707:$D707,T$5)="F",AND(T$6&gt;0,$A707&lt;T$6),AND(T$7&gt;0,$A707&gt;T$7)),0,MAX(0,ROUND((INDEX($E707:$G707,T$5)-SUMIFS(TF_Timer,TF_Tekniker,T$4,TF_Dato,$A707))*2,0)/2)))</f>
        <v/>
      </c>
      <c r="U707">
        <f>IF(OR(U$4="",$A707&gt;TODAY()),0,IF(OR(INDEX($B707:$D707,U$5)="F",AND(U$6&gt;0,$A707&lt;U$6),AND(U$7&gt;0,$A707&gt;U$7)),0,MAX(0,ROUND((INDEX($E707:$G707,U$5)-SUMIFS(TF_Timer,TF_Tekniker,U$4,TF_Dato,$A707))*2,0)/2)))</f>
        <v/>
      </c>
      <c r="V707">
        <f>IF(OR(V$4="",$A707&gt;TODAY()),0,IF(OR(INDEX($B707:$D707,V$5)="F",AND(V$6&gt;0,$A707&lt;V$6),AND(V$7&gt;0,$A707&gt;V$7)),0,MAX(0,ROUND((INDEX($E707:$G707,V$5)-SUMIFS(TF_Timer,TF_Tekniker,V$4,TF_Dato,$A707))*2,0)/2)))</f>
        <v/>
      </c>
      <c r="W707">
        <f>IF(OR(W$4="",$A707&gt;TODAY()),0,IF(OR(INDEX($B707:$D707,W$5)="F",AND(W$6&gt;0,$A707&lt;W$6),AND(W$7&gt;0,$A707&gt;W$7)),0,MAX(0,ROUND((INDEX($E707:$G707,W$5)-SUMIFS(TF_Timer,TF_Tekniker,W$4,TF_Dato,$A707))*2,0)/2)))</f>
        <v/>
      </c>
      <c r="X707">
        <f>IF(OR(X$4="",$A707&gt;TODAY()),0,IF(OR(INDEX($B707:$D707,X$5)="F",AND(X$6&gt;0,$A707&lt;X$6),AND(X$7&gt;0,$A707&gt;X$7)),0,MAX(0,ROUND((INDEX($E707:$G707,X$5)-SUMIFS(TF_Timer,TF_Tekniker,X$4,TF_Dato,$A707))*2,0)/2)))</f>
        <v/>
      </c>
      <c r="Y707">
        <f>IF(OR(Y$4="",$A707&gt;TODAY()),0,IF(OR(INDEX($B707:$D707,Y$5)="F",AND(Y$6&gt;0,$A707&lt;Y$6),AND(Y$7&gt;0,$A707&gt;Y$7)),0,MAX(0,ROUND((INDEX($E707:$G707,Y$5)-SUMIFS(TF_Timer,TF_Tekniker,Y$4,TF_Dato,$A707))*2,0)/2)))</f>
        <v/>
      </c>
      <c r="Z707">
        <f>IF(OR(Z$4="",$A707&gt;TODAY()),0,IF(OR(INDEX($B707:$D707,Z$5)="F",AND(Z$6&gt;0,$A707&lt;Z$6),AND(Z$7&gt;0,$A707&gt;Z$7)),0,MAX(0,ROUND((INDEX($E707:$G707,Z$5)-SUMIFS(TF_Timer,TF_Tekniker,Z$4,TF_Dato,$A707))*2,0)/2)))</f>
        <v/>
      </c>
      <c r="AA707">
        <f>IF(OR(AA$4="",$A707&gt;TODAY()),0,IF(OR(INDEX($B707:$D707,AA$5)="F",AND(AA$6&gt;0,$A707&lt;AA$6),AND(AA$7&gt;0,$A707&gt;AA$7)),0,MAX(0,ROUND((INDEX($E707:$G707,AA$5)-SUMIFS(TF_Timer,TF_Tekniker,AA$4,TF_Dato,$A707))*2,0)/2)))</f>
        <v/>
      </c>
      <c r="AB707">
        <f>IF(OR(AB$4="",$A707&gt;TODAY()),0,IF(OR(INDEX($B707:$D707,AB$5)="F",AND(AB$6&gt;0,$A707&lt;AB$6),AND(AB$7&gt;0,$A707&gt;AB$7)),0,MAX(0,ROUND((INDEX($E707:$G707,AB$5)-SUMIFS(TF_Timer,TF_Tekniker,AB$4,TF_Dato,$A707))*2,0)/2)))</f>
        <v/>
      </c>
      <c r="AC707">
        <f>IF(OR(AC$4="",$A707&gt;TODAY()),0,IF(OR(INDEX($B707:$D707,AC$5)="F",AND(AC$6&gt;0,$A707&lt;AC$6),AND(AC$7&gt;0,$A707&gt;AC$7)),0,MAX(0,ROUND((INDEX($E707:$G707,AC$5)-SUMIFS(TF_Timer,TF_Tekniker,AC$4,TF_Dato,$A707))*2,0)/2)))</f>
        <v/>
      </c>
      <c r="AD707">
        <f>IF(OR(AD$4="",$A707&gt;TODAY()),0,IF(OR(INDEX($B707:$D707,AD$5)="F",AND(AD$6&gt;0,$A707&lt;AD$6),AND(AD$7&gt;0,$A707&gt;AD$7)),0,MAX(0,ROUND((INDEX($E707:$G707,AD$5)-SUMIFS(TF_Timer,TF_Tekniker,AD$4,TF_Dato,$A707))*2,0)/2)))</f>
        <v/>
      </c>
      <c r="AE707">
        <f>IF(OR(AE$4="",$A707&gt;TODAY()),0,IF(OR(INDEX($B707:$D707,AE$5)="F",AND(AE$6&gt;0,$A707&lt;AE$6),AND(AE$7&gt;0,$A707&gt;AE$7)),0,MAX(0,ROUND((INDEX($E707:$G707,AE$5)-SUMIFS(TF_Timer,TF_Tekniker,AE$4,TF_Dato,$A707))*2,0)/2)))</f>
        <v/>
      </c>
      <c r="AF707">
        <f>IF(OR(AF$4="",$A707&gt;TODAY()),0,IF(OR(INDEX($B707:$D707,AF$5)="F",AND(AF$6&gt;0,$A707&lt;AF$6),AND(AF$7&gt;0,$A707&gt;AF$7)),0,MAX(0,ROUND((INDEX($E707:$G707,AF$5)-SUMIFS(TF_Timer,TF_Tekniker,AF$4,TF_Dato,$A707))*2,0)/2)))</f>
        <v/>
      </c>
      <c r="AG707">
        <f>IF(OR(AG$4="",$A707&gt;TODAY()),0,IF(OR(INDEX($B707:$D707,AG$5)="F",AND(AG$6&gt;0,$A707&lt;AG$6),AND(AG$7&gt;0,$A707&gt;AG$7)),0,MAX(0,ROUND((INDEX($E707:$G707,AG$5)-SUMIFS(TF_Timer,TF_Tekniker,AG$4,TF_Dato,$A707))*2,0)/2)))</f>
        <v/>
      </c>
      <c r="AH707">
        <f>IF(OR(AH$4="",$A707&gt;TODAY()),0,IF(OR(INDEX($B707:$D707,AH$5)="F",AND(AH$6&gt;0,$A707&lt;AH$6),AND(AH$7&gt;0,$A707&gt;AH$7)),0,MAX(0,ROUND((INDEX($E707:$G707,AH$5)-SUMIFS(TF_Timer,TF_Tekniker,AH$4,TF_Dato,$A707))*2,0)/2)))</f>
        <v/>
      </c>
      <c r="AI707">
        <f>IF(OR(AI$4="",$A707&gt;TODAY()),0,IF(OR(INDEX($B707:$D707,AI$5)="F",AND(AI$6&gt;0,$A707&lt;AI$6),AND(AI$7&gt;0,$A707&gt;AI$7)),0,MAX(0,ROUND((INDEX($E707:$G707,AI$5)-SUMIFS(TF_Timer,TF_Tekniker,AI$4,TF_Dato,$A707))*2,0)/2)))</f>
        <v/>
      </c>
      <c r="AJ707">
        <f>IF(OR(AJ$4="",$A707&gt;TODAY()),0,IF(OR(INDEX($B707:$D707,AJ$5)="F",AND(AJ$6&gt;0,$A707&lt;AJ$6),AND(AJ$7&gt;0,$A707&gt;AJ$7)),0,MAX(0,ROUND((INDEX($E707:$G707,AJ$5)-SUMIFS(TF_Timer,TF_Tekniker,AJ$4,TF_Dato,$A707))*2,0)/2)))</f>
        <v/>
      </c>
      <c r="AK707">
        <f>IF(OR(AK$4="",$A707&gt;TODAY()),0,IF(OR(INDEX($B707:$D707,AK$5)="F",AND(AK$6&gt;0,$A707&lt;AK$6),AND(AK$7&gt;0,$A707&gt;AK$7)),0,MAX(0,ROUND((INDEX($E707:$G707,AK$5)-SUMIFS(TF_Timer,TF_Tekniker,AK$4,TF_Dato,$A707))*2,0)/2)))</f>
        <v/>
      </c>
      <c r="AL707">
        <f>IF(OR(AL$4="",$A707&gt;TODAY()),0,IF(OR(INDEX($B707:$D707,AL$5)="F",AND(AL$6&gt;0,$A707&lt;AL$6),AND(AL$7&gt;0,$A707&gt;AL$7)),0,MAX(0,ROUND((INDEX($E707:$G707,AL$5)-SUMIFS(TF_Timer,TF_Tekniker,AL$4,TF_Dato,$A707))*2,0)/2)))</f>
        <v/>
      </c>
      <c r="AM707">
        <f>IF(OR(AM$4="",$A707&gt;TODAY()),0,IF(OR(INDEX($B707:$D707,AM$5)="F",AND(AM$6&gt;0,$A707&lt;AM$6),AND(AM$7&gt;0,$A707&gt;AM$7)),0,MAX(0,ROUND((INDEX($E707:$G707,AM$5)-SUMIFS(TF_Timer,TF_Tekniker,AM$4,TF_Dato,$A707))*2,0)/2)))</f>
        <v/>
      </c>
      <c r="AN707">
        <f>IF(OR(AN$4="",$A707&gt;TODAY()),0,IF(OR(INDEX($B707:$D707,AN$5)="F",AND(AN$6&gt;0,$A707&lt;AN$6),AND(AN$7&gt;0,$A707&gt;AN$7)),0,MAX(0,ROUND((INDEX($E707:$G707,AN$5)-SUMIFS(TF_Timer,TF_Tekniker,AN$4,TF_Dato,$A707))*2,0)/2)))</f>
        <v/>
      </c>
      <c r="AO707">
        <f>IF(OR(AO$4="",$A707&gt;TODAY()),0,IF(OR(INDEX($B707:$D707,AO$5)="F",AND(AO$6&gt;0,$A707&lt;AO$6),AND(AO$7&gt;0,$A707&gt;AO$7)),0,MAX(0,ROUND((INDEX($E707:$G707,AO$5)-SUMIFS(TF_Timer,TF_Tekniker,AO$4,TF_Dato,$A707))*2,0)/2)))</f>
        <v/>
      </c>
      <c r="AP707">
        <f>IF(OR(AP$4="",$A707&gt;TODAY()),0,IF(OR(INDEX($B707:$D707,AP$5)="F",AND(AP$6&gt;0,$A707&lt;AP$6),AND(AP$7&gt;0,$A707&gt;AP$7)),0,MAX(0,ROUND((INDEX($E707:$G707,AP$5)-SUMIFS(TF_Timer,TF_Tekniker,AP$4,TF_Dato,$A707))*2,0)/2)))</f>
        <v/>
      </c>
      <c r="AQ707">
        <f>IF(OR(AQ$4="",$A707&gt;TODAY()),0,IF(OR(INDEX($B707:$D707,AQ$5)="F",AND(AQ$6&gt;0,$A707&lt;AQ$6),AND(AQ$7&gt;0,$A707&gt;AQ$7)),0,MAX(0,ROUND((INDEX($E707:$G707,AQ$5)-SUMIFS(TF_Timer,TF_Tekniker,AQ$4,TF_Dato,$A707))*2,0)/2)))</f>
        <v/>
      </c>
      <c r="AR707">
        <f>IF(OR(AR$4="",$A707&gt;TODAY()),0,IF(OR(INDEX($B707:$D707,AR$5)="F",AND(AR$6&gt;0,$A707&lt;AR$6),AND(AR$7&gt;0,$A707&gt;AR$7)),0,MAX(0,ROUND((INDEX($E707:$G707,AR$5)-SUMIFS(TF_Timer,TF_Tekniker,AR$4,TF_Dato,$A707))*2,0)/2)))</f>
        <v/>
      </c>
      <c r="AS707">
        <f>IF(OR(AS$4="",$A707&gt;TODAY()),0,IF(OR(INDEX($B707:$D707,AS$5)="F",AND(AS$6&gt;0,$A707&lt;AS$6),AND(AS$7&gt;0,$A707&gt;AS$7)),0,MAX(0,ROUND((INDEX($E707:$G707,AS$5)-SUMIFS(TF_Timer,TF_Tekniker,AS$4,TF_Dato,$A707))*2,0)/2)))</f>
        <v/>
      </c>
      <c r="AT707">
        <f>IF(OR(AT$4="",$A707&gt;TODAY()),0,IF(OR(INDEX($B707:$D707,AT$5)="F",AND(AT$6&gt;0,$A707&lt;AT$6),AND(AT$7&gt;0,$A707&gt;AT$7)),0,MAX(0,ROUND((INDEX($E707:$G707,AT$5)-SUMIFS(TF_Timer,TF_Tekniker,AT$4,TF_Dato,$A707))*2,0)/2)))</f>
        <v/>
      </c>
      <c r="AU707">
        <f>IF(OR(AU$4="",$A707&gt;TODAY()),0,IF(OR(INDEX($B707:$D707,AU$5)="F",AND(AU$6&gt;0,$A707&lt;AU$6),AND(AU$7&gt;0,$A707&gt;AU$7)),0,MAX(0,ROUND((INDEX($E707:$G707,AU$5)-SUMIFS(TF_Timer,TF_Tekniker,AU$4,TF_Dato,$A707))*2,0)/2)))</f>
        <v/>
      </c>
      <c r="AV707">
        <f>IF(OR(AV$4="",$A707&gt;TODAY()),0,IF(OR(INDEX($B707:$D707,AV$5)="F",AND(AV$6&gt;0,$A707&lt;AV$6),AND(AV$7&gt;0,$A707&gt;AV$7)),0,MAX(0,ROUND((INDEX($E707:$G707,AV$5)-SUMIFS(TF_Timer,TF_Tekniker,AV$4,TF_Dato,$A707))*2,0)/2)))</f>
        <v/>
      </c>
      <c r="AW707">
        <f>IF(OR(AW$4="",$A707&gt;TODAY()),0,IF(OR(INDEX($B707:$D707,AW$5)="F",AND(AW$6&gt;0,$A707&lt;AW$6),AND(AW$7&gt;0,$A707&gt;AW$7)),0,MAX(0,ROUND((INDEX($E707:$G707,AW$5)-SUMIFS(TF_Timer,TF_Tekniker,AW$4,TF_Dato,$A707))*2,0)/2)))</f>
        <v/>
      </c>
      <c r="AX707">
        <f>IF(OR(AX$4="",$A707&gt;TODAY()),0,IF(OR(INDEX($B707:$D707,AX$5)="F",AND(AX$6&gt;0,$A707&lt;AX$6),AND(AX$7&gt;0,$A707&gt;AX$7)),0,MAX(0,ROUND((INDEX($E707:$G707,AX$5)-SUMIFS(TF_Timer,TF_Tekniker,AX$4,TF_Dato,$A707))*2,0)/2)))</f>
        <v/>
      </c>
      <c r="AY707">
        <f>IF(OR(AY$4="",$A707&gt;TODAY()),0,IF(OR(INDEX($B707:$D707,AY$5)="F",AND(AY$6&gt;0,$A707&lt;AY$6),AND(AY$7&gt;0,$A707&gt;AY$7)),0,MAX(0,ROUND((INDEX($E707:$G707,AY$5)-SUMIFS(TF_Timer,TF_Tekniker,AY$4,TF_Dato,$A707))*2,0)/2)))</f>
        <v/>
      </c>
      <c r="AZ707">
        <f>IF(OR(AZ$4="",$A707&gt;TODAY()),0,IF(OR(INDEX($B707:$D707,AZ$5)="F",AND(AZ$6&gt;0,$A707&lt;AZ$6),AND(AZ$7&gt;0,$A707&gt;AZ$7)),0,MAX(0,ROUND((INDEX($E707:$G707,AZ$5)-SUMIFS(TF_Timer,TF_Tekniker,AZ$4,TF_Dato,$A707))*2,0)/2)))</f>
        <v/>
      </c>
      <c r="BA707">
        <f>IF(OR(BA$4="",$A707&gt;TODAY()),0,IF(OR(INDEX($B707:$D707,BA$5)="F",AND(BA$6&gt;0,$A707&lt;BA$6),AND(BA$7&gt;0,$A707&gt;BA$7)),0,MAX(0,ROUND((INDEX($E707:$G707,BA$5)-SUMIFS(TF_Timer,TF_Tekniker,BA$4,TF_Dato,$A707))*2,0)/2)))</f>
        <v/>
      </c>
      <c r="BB707">
        <f>IF(OR(BB$4="",$A707&gt;TODAY()),0,IF(OR(INDEX($B707:$D707,BB$5)="F",AND(BB$6&gt;0,$A707&lt;BB$6),AND(BB$7&gt;0,$A707&gt;BB$7)),0,MAX(0,ROUND((INDEX($E707:$G707,BB$5)-SUMIFS(TF_Timer,TF_Tekniker,BB$4,TF_Dato,$A707))*2,0)/2)))</f>
        <v/>
      </c>
      <c r="BC707">
        <f>IF(OR(BC$4="",$A707&gt;TODAY()),0,IF(OR(INDEX($B707:$D707,BC$5)="F",AND(BC$6&gt;0,$A707&lt;BC$6),AND(BC$7&gt;0,$A707&gt;BC$7)),0,MAX(0,ROUND((INDEX($E707:$G707,BC$5)-SUMIFS(TF_Timer,TF_Tekniker,BC$4,TF_Dato,$A707))*2,0)/2)))</f>
        <v/>
      </c>
      <c r="BD707">
        <f>IF(OR(BD$4="",$A707&gt;TODAY()),0,IF(OR(INDEX($B707:$D707,BD$5)="F",AND(BD$6&gt;0,$A707&lt;BD$6),AND(BD$7&gt;0,$A707&gt;BD$7)),0,MAX(0,ROUND((INDEX($E707:$G707,BD$5)-SUMIFS(TF_Timer,TF_Tekniker,BD$4,TF_Dato,$A707))*2,0)/2)))</f>
        <v/>
      </c>
      <c r="BE707">
        <f>IF(OR(BE$4="",$A707&gt;TODAY()),0,IF(OR(INDEX($B707:$D707,BE$5)="F",AND(BE$6&gt;0,$A707&lt;BE$6),AND(BE$7&gt;0,$A707&gt;BE$7)),0,MAX(0,ROUND((INDEX($E707:$G707,BE$5)-SUMIFS(TF_Timer,TF_Tekniker,BE$4,TF_Dato,$A707))*2,0)/2)))</f>
        <v/>
      </c>
      <c r="BF707">
        <f>IF(OR(BF$4="",$A707&gt;TODAY()),0,IF(OR(INDEX($B707:$D707,BF$5)="F",AND(BF$6&gt;0,$A707&lt;BF$6),AND(BF$7&gt;0,$A707&gt;BF$7)),0,MAX(0,ROUND((INDEX($E707:$G707,BF$5)-SUMIFS(TF_Timer,TF_Tekniker,BF$4,TF_Dato,$A707))*2,0)/2)))</f>
        <v/>
      </c>
      <c r="BG707">
        <f>IF(OR(BG$4="",$A707&gt;TODAY()),0,IF(OR(INDEX($B707:$D707,BG$5)="F",AND(BG$6&gt;0,$A707&lt;BG$6),AND(BG$7&gt;0,$A707&gt;BG$7)),0,MAX(0,ROUND((INDEX($E707:$G707,BG$5)-SUMIFS(TF_Timer,TF_Tekniker,BG$4,TF_Dato,$A707))*2,0)/2)))</f>
        <v/>
      </c>
      <c r="BH707">
        <f>IF(OR(BH$4="",$A707&gt;TODAY()),0,IF(OR(INDEX($B707:$D707,BH$5)="F",AND(BH$6&gt;0,$A707&lt;BH$6),AND(BH$7&gt;0,$A707&gt;BH$7)),0,MAX(0,ROUND((INDEX($E707:$G707,BH$5)-SUMIFS(TF_Timer,TF_Tekniker,BH$4,TF_Dato,$A707))*2,0)/2)))</f>
        <v/>
      </c>
      <c r="BI707">
        <f>IF(OR(BI$4="",$A707&gt;TODAY()),0,IF(OR(INDEX($B707:$D707,BI$5)="F",AND(BI$6&gt;0,$A707&lt;BI$6),AND(BI$7&gt;0,$A707&gt;BI$7)),0,MAX(0,ROUND((INDEX($E707:$G707,BI$5)-SUMIFS(TF_Timer,TF_Tekniker,BI$4,TF_Dato,$A707))*2,0)/2)))</f>
        <v/>
      </c>
    </row>
    <row r="708">
      <c r="A708" s="64">
        <f>A707+1</f>
        <v/>
      </c>
      <c r="B708">
        <f>IF(MOD($A708-INDEX(SkiftStart,1),Syklus)&lt;DagK,"K",IF(MOD($A708-INDEX(SkiftStart,1),Syklus)&lt;DagK+DagH,"H",IF(MOD($A708-INDEX(SkiftStart,1),Syklus)&lt;DagK+DagH+DagD,"D","F")))</f>
        <v/>
      </c>
      <c r="C708">
        <f>IF(MOD($A708-INDEX(SkiftStart,2),Syklus)&lt;DagK,"K",IF(MOD($A708-INDEX(SkiftStart,2),Syklus)&lt;DagK+DagH,"H",IF(MOD($A708-INDEX(SkiftStart,2),Syklus)&lt;DagK+DagH+DagD,"D","F")))</f>
        <v/>
      </c>
      <c r="D708">
        <f>IF(MOD($A708-INDEX(SkiftStart,3),Syklus)&lt;DagK,"K",IF(MOD($A708-INDEX(SkiftStart,3),Syklus)&lt;DagK+DagH,"H",IF(MOD($A708-INDEX(SkiftStart,3),Syklus)&lt;DagK+DagH+DagD,"D","F")))</f>
        <v/>
      </c>
      <c r="E708">
        <f>IF(B708="F",0,IF(WEEKDAY($A708,2)=5,INDEX(TimerFr,MATCH(B708,FaseKode,0)),INDEX(TimerMT,MATCH(B708,FaseKode,0))))</f>
        <v/>
      </c>
      <c r="F708">
        <f>IF(C708="F",0,IF(WEEKDAY($A708,2)=5,INDEX(TimerFr,MATCH(C708,FaseKode,0)),INDEX(TimerMT,MATCH(C708,FaseKode,0))))</f>
        <v/>
      </c>
      <c r="G708">
        <f>IF(D708="F",0,IF(WEEKDAY($A708,2)=5,INDEX(TimerFr,MATCH(D708,FaseKode,0)),INDEX(TimerMT,MATCH(D708,FaseKode,0))))</f>
        <v/>
      </c>
      <c r="H708">
        <f>IF(OR(H$4="",$A708&gt;TODAY()),0,IF(OR(INDEX($B708:$D708,H$5)="F",AND(H$6&gt;0,$A708&lt;H$6),AND(H$7&gt;0,$A708&gt;H$7)),0,MAX(0,ROUND((INDEX($E708:$G708,H$5)-SUMIFS(TF_Timer,TF_Tekniker,H$4,TF_Dato,$A708))*2,0)/2)))</f>
        <v/>
      </c>
      <c r="I708">
        <f>IF(OR(I$4="",$A708&gt;TODAY()),0,IF(OR(INDEX($B708:$D708,I$5)="F",AND(I$6&gt;0,$A708&lt;I$6),AND(I$7&gt;0,$A708&gt;I$7)),0,MAX(0,ROUND((INDEX($E708:$G708,I$5)-SUMIFS(TF_Timer,TF_Tekniker,I$4,TF_Dato,$A708))*2,0)/2)))</f>
        <v/>
      </c>
      <c r="J708">
        <f>IF(OR(J$4="",$A708&gt;TODAY()),0,IF(OR(INDEX($B708:$D708,J$5)="F",AND(J$6&gt;0,$A708&lt;J$6),AND(J$7&gt;0,$A708&gt;J$7)),0,MAX(0,ROUND((INDEX($E708:$G708,J$5)-SUMIFS(TF_Timer,TF_Tekniker,J$4,TF_Dato,$A708))*2,0)/2)))</f>
        <v/>
      </c>
      <c r="K708">
        <f>IF(OR(K$4="",$A708&gt;TODAY()),0,IF(OR(INDEX($B708:$D708,K$5)="F",AND(K$6&gt;0,$A708&lt;K$6),AND(K$7&gt;0,$A708&gt;K$7)),0,MAX(0,ROUND((INDEX($E708:$G708,K$5)-SUMIFS(TF_Timer,TF_Tekniker,K$4,TF_Dato,$A708))*2,0)/2)))</f>
        <v/>
      </c>
      <c r="L708">
        <f>IF(OR(L$4="",$A708&gt;TODAY()),0,IF(OR(INDEX($B708:$D708,L$5)="F",AND(L$6&gt;0,$A708&lt;L$6),AND(L$7&gt;0,$A708&gt;L$7)),0,MAX(0,ROUND((INDEX($E708:$G708,L$5)-SUMIFS(TF_Timer,TF_Tekniker,L$4,TF_Dato,$A708))*2,0)/2)))</f>
        <v/>
      </c>
      <c r="M708">
        <f>IF(OR(M$4="",$A708&gt;TODAY()),0,IF(OR(INDEX($B708:$D708,M$5)="F",AND(M$6&gt;0,$A708&lt;M$6),AND(M$7&gt;0,$A708&gt;M$7)),0,MAX(0,ROUND((INDEX($E708:$G708,M$5)-SUMIFS(TF_Timer,TF_Tekniker,M$4,TF_Dato,$A708))*2,0)/2)))</f>
        <v/>
      </c>
      <c r="N708">
        <f>IF(OR(N$4="",$A708&gt;TODAY()),0,IF(OR(INDEX($B708:$D708,N$5)="F",AND(N$6&gt;0,$A708&lt;N$6),AND(N$7&gt;0,$A708&gt;N$7)),0,MAX(0,ROUND((INDEX($E708:$G708,N$5)-SUMIFS(TF_Timer,TF_Tekniker,N$4,TF_Dato,$A708))*2,0)/2)))</f>
        <v/>
      </c>
      <c r="O708">
        <f>IF(OR(O$4="",$A708&gt;TODAY()),0,IF(OR(INDEX($B708:$D708,O$5)="F",AND(O$6&gt;0,$A708&lt;O$6),AND(O$7&gt;0,$A708&gt;O$7)),0,MAX(0,ROUND((INDEX($E708:$G708,O$5)-SUMIFS(TF_Timer,TF_Tekniker,O$4,TF_Dato,$A708))*2,0)/2)))</f>
        <v/>
      </c>
      <c r="P708">
        <f>IF(OR(P$4="",$A708&gt;TODAY()),0,IF(OR(INDEX($B708:$D708,P$5)="F",AND(P$6&gt;0,$A708&lt;P$6),AND(P$7&gt;0,$A708&gt;P$7)),0,MAX(0,ROUND((INDEX($E708:$G708,P$5)-SUMIFS(TF_Timer,TF_Tekniker,P$4,TF_Dato,$A708))*2,0)/2)))</f>
        <v/>
      </c>
      <c r="Q708">
        <f>IF(OR(Q$4="",$A708&gt;TODAY()),0,IF(OR(INDEX($B708:$D708,Q$5)="F",AND(Q$6&gt;0,$A708&lt;Q$6),AND(Q$7&gt;0,$A708&gt;Q$7)),0,MAX(0,ROUND((INDEX($E708:$G708,Q$5)-SUMIFS(TF_Timer,TF_Tekniker,Q$4,TF_Dato,$A708))*2,0)/2)))</f>
        <v/>
      </c>
      <c r="R708">
        <f>IF(OR(R$4="",$A708&gt;TODAY()),0,IF(OR(INDEX($B708:$D708,R$5)="F",AND(R$6&gt;0,$A708&lt;R$6),AND(R$7&gt;0,$A708&gt;R$7)),0,MAX(0,ROUND((INDEX($E708:$G708,R$5)-SUMIFS(TF_Timer,TF_Tekniker,R$4,TF_Dato,$A708))*2,0)/2)))</f>
        <v/>
      </c>
      <c r="S708">
        <f>IF(OR(S$4="",$A708&gt;TODAY()),0,IF(OR(INDEX($B708:$D708,S$5)="F",AND(S$6&gt;0,$A708&lt;S$6),AND(S$7&gt;0,$A708&gt;S$7)),0,MAX(0,ROUND((INDEX($E708:$G708,S$5)-SUMIFS(TF_Timer,TF_Tekniker,S$4,TF_Dato,$A708))*2,0)/2)))</f>
        <v/>
      </c>
      <c r="T708">
        <f>IF(OR(T$4="",$A708&gt;TODAY()),0,IF(OR(INDEX($B708:$D708,T$5)="F",AND(T$6&gt;0,$A708&lt;T$6),AND(T$7&gt;0,$A708&gt;T$7)),0,MAX(0,ROUND((INDEX($E708:$G708,T$5)-SUMIFS(TF_Timer,TF_Tekniker,T$4,TF_Dato,$A708))*2,0)/2)))</f>
        <v/>
      </c>
      <c r="U708">
        <f>IF(OR(U$4="",$A708&gt;TODAY()),0,IF(OR(INDEX($B708:$D708,U$5)="F",AND(U$6&gt;0,$A708&lt;U$6),AND(U$7&gt;0,$A708&gt;U$7)),0,MAX(0,ROUND((INDEX($E708:$G708,U$5)-SUMIFS(TF_Timer,TF_Tekniker,U$4,TF_Dato,$A708))*2,0)/2)))</f>
        <v/>
      </c>
      <c r="V708">
        <f>IF(OR(V$4="",$A708&gt;TODAY()),0,IF(OR(INDEX($B708:$D708,V$5)="F",AND(V$6&gt;0,$A708&lt;V$6),AND(V$7&gt;0,$A708&gt;V$7)),0,MAX(0,ROUND((INDEX($E708:$G708,V$5)-SUMIFS(TF_Timer,TF_Tekniker,V$4,TF_Dato,$A708))*2,0)/2)))</f>
        <v/>
      </c>
      <c r="W708">
        <f>IF(OR(W$4="",$A708&gt;TODAY()),0,IF(OR(INDEX($B708:$D708,W$5)="F",AND(W$6&gt;0,$A708&lt;W$6),AND(W$7&gt;0,$A708&gt;W$7)),0,MAX(0,ROUND((INDEX($E708:$G708,W$5)-SUMIFS(TF_Timer,TF_Tekniker,W$4,TF_Dato,$A708))*2,0)/2)))</f>
        <v/>
      </c>
      <c r="X708">
        <f>IF(OR(X$4="",$A708&gt;TODAY()),0,IF(OR(INDEX($B708:$D708,X$5)="F",AND(X$6&gt;0,$A708&lt;X$6),AND(X$7&gt;0,$A708&gt;X$7)),0,MAX(0,ROUND((INDEX($E708:$G708,X$5)-SUMIFS(TF_Timer,TF_Tekniker,X$4,TF_Dato,$A708))*2,0)/2)))</f>
        <v/>
      </c>
      <c r="Y708">
        <f>IF(OR(Y$4="",$A708&gt;TODAY()),0,IF(OR(INDEX($B708:$D708,Y$5)="F",AND(Y$6&gt;0,$A708&lt;Y$6),AND(Y$7&gt;0,$A708&gt;Y$7)),0,MAX(0,ROUND((INDEX($E708:$G708,Y$5)-SUMIFS(TF_Timer,TF_Tekniker,Y$4,TF_Dato,$A708))*2,0)/2)))</f>
        <v/>
      </c>
      <c r="Z708">
        <f>IF(OR(Z$4="",$A708&gt;TODAY()),0,IF(OR(INDEX($B708:$D708,Z$5)="F",AND(Z$6&gt;0,$A708&lt;Z$6),AND(Z$7&gt;0,$A708&gt;Z$7)),0,MAX(0,ROUND((INDEX($E708:$G708,Z$5)-SUMIFS(TF_Timer,TF_Tekniker,Z$4,TF_Dato,$A708))*2,0)/2)))</f>
        <v/>
      </c>
      <c r="AA708">
        <f>IF(OR(AA$4="",$A708&gt;TODAY()),0,IF(OR(INDEX($B708:$D708,AA$5)="F",AND(AA$6&gt;0,$A708&lt;AA$6),AND(AA$7&gt;0,$A708&gt;AA$7)),0,MAX(0,ROUND((INDEX($E708:$G708,AA$5)-SUMIFS(TF_Timer,TF_Tekniker,AA$4,TF_Dato,$A708))*2,0)/2)))</f>
        <v/>
      </c>
      <c r="AB708">
        <f>IF(OR(AB$4="",$A708&gt;TODAY()),0,IF(OR(INDEX($B708:$D708,AB$5)="F",AND(AB$6&gt;0,$A708&lt;AB$6),AND(AB$7&gt;0,$A708&gt;AB$7)),0,MAX(0,ROUND((INDEX($E708:$G708,AB$5)-SUMIFS(TF_Timer,TF_Tekniker,AB$4,TF_Dato,$A708))*2,0)/2)))</f>
        <v/>
      </c>
      <c r="AC708">
        <f>IF(OR(AC$4="",$A708&gt;TODAY()),0,IF(OR(INDEX($B708:$D708,AC$5)="F",AND(AC$6&gt;0,$A708&lt;AC$6),AND(AC$7&gt;0,$A708&gt;AC$7)),0,MAX(0,ROUND((INDEX($E708:$G708,AC$5)-SUMIFS(TF_Timer,TF_Tekniker,AC$4,TF_Dato,$A708))*2,0)/2)))</f>
        <v/>
      </c>
      <c r="AD708">
        <f>IF(OR(AD$4="",$A708&gt;TODAY()),0,IF(OR(INDEX($B708:$D708,AD$5)="F",AND(AD$6&gt;0,$A708&lt;AD$6),AND(AD$7&gt;0,$A708&gt;AD$7)),0,MAX(0,ROUND((INDEX($E708:$G708,AD$5)-SUMIFS(TF_Timer,TF_Tekniker,AD$4,TF_Dato,$A708))*2,0)/2)))</f>
        <v/>
      </c>
      <c r="AE708">
        <f>IF(OR(AE$4="",$A708&gt;TODAY()),0,IF(OR(INDEX($B708:$D708,AE$5)="F",AND(AE$6&gt;0,$A708&lt;AE$6),AND(AE$7&gt;0,$A708&gt;AE$7)),0,MAX(0,ROUND((INDEX($E708:$G708,AE$5)-SUMIFS(TF_Timer,TF_Tekniker,AE$4,TF_Dato,$A708))*2,0)/2)))</f>
        <v/>
      </c>
      <c r="AF708">
        <f>IF(OR(AF$4="",$A708&gt;TODAY()),0,IF(OR(INDEX($B708:$D708,AF$5)="F",AND(AF$6&gt;0,$A708&lt;AF$6),AND(AF$7&gt;0,$A708&gt;AF$7)),0,MAX(0,ROUND((INDEX($E708:$G708,AF$5)-SUMIFS(TF_Timer,TF_Tekniker,AF$4,TF_Dato,$A708))*2,0)/2)))</f>
        <v/>
      </c>
      <c r="AG708">
        <f>IF(OR(AG$4="",$A708&gt;TODAY()),0,IF(OR(INDEX($B708:$D708,AG$5)="F",AND(AG$6&gt;0,$A708&lt;AG$6),AND(AG$7&gt;0,$A708&gt;AG$7)),0,MAX(0,ROUND((INDEX($E708:$G708,AG$5)-SUMIFS(TF_Timer,TF_Tekniker,AG$4,TF_Dato,$A708))*2,0)/2)))</f>
        <v/>
      </c>
      <c r="AH708">
        <f>IF(OR(AH$4="",$A708&gt;TODAY()),0,IF(OR(INDEX($B708:$D708,AH$5)="F",AND(AH$6&gt;0,$A708&lt;AH$6),AND(AH$7&gt;0,$A708&gt;AH$7)),0,MAX(0,ROUND((INDEX($E708:$G708,AH$5)-SUMIFS(TF_Timer,TF_Tekniker,AH$4,TF_Dato,$A708))*2,0)/2)))</f>
        <v/>
      </c>
      <c r="AI708">
        <f>IF(OR(AI$4="",$A708&gt;TODAY()),0,IF(OR(INDEX($B708:$D708,AI$5)="F",AND(AI$6&gt;0,$A708&lt;AI$6),AND(AI$7&gt;0,$A708&gt;AI$7)),0,MAX(0,ROUND((INDEX($E708:$G708,AI$5)-SUMIFS(TF_Timer,TF_Tekniker,AI$4,TF_Dato,$A708))*2,0)/2)))</f>
        <v/>
      </c>
      <c r="AJ708">
        <f>IF(OR(AJ$4="",$A708&gt;TODAY()),0,IF(OR(INDEX($B708:$D708,AJ$5)="F",AND(AJ$6&gt;0,$A708&lt;AJ$6),AND(AJ$7&gt;0,$A708&gt;AJ$7)),0,MAX(0,ROUND((INDEX($E708:$G708,AJ$5)-SUMIFS(TF_Timer,TF_Tekniker,AJ$4,TF_Dato,$A708))*2,0)/2)))</f>
        <v/>
      </c>
      <c r="AK708">
        <f>IF(OR(AK$4="",$A708&gt;TODAY()),0,IF(OR(INDEX($B708:$D708,AK$5)="F",AND(AK$6&gt;0,$A708&lt;AK$6),AND(AK$7&gt;0,$A708&gt;AK$7)),0,MAX(0,ROUND((INDEX($E708:$G708,AK$5)-SUMIFS(TF_Timer,TF_Tekniker,AK$4,TF_Dato,$A708))*2,0)/2)))</f>
        <v/>
      </c>
      <c r="AL708">
        <f>IF(OR(AL$4="",$A708&gt;TODAY()),0,IF(OR(INDEX($B708:$D708,AL$5)="F",AND(AL$6&gt;0,$A708&lt;AL$6),AND(AL$7&gt;0,$A708&gt;AL$7)),0,MAX(0,ROUND((INDEX($E708:$G708,AL$5)-SUMIFS(TF_Timer,TF_Tekniker,AL$4,TF_Dato,$A708))*2,0)/2)))</f>
        <v/>
      </c>
      <c r="AM708">
        <f>IF(OR(AM$4="",$A708&gt;TODAY()),0,IF(OR(INDEX($B708:$D708,AM$5)="F",AND(AM$6&gt;0,$A708&lt;AM$6),AND(AM$7&gt;0,$A708&gt;AM$7)),0,MAX(0,ROUND((INDEX($E708:$G708,AM$5)-SUMIFS(TF_Timer,TF_Tekniker,AM$4,TF_Dato,$A708))*2,0)/2)))</f>
        <v/>
      </c>
      <c r="AN708">
        <f>IF(OR(AN$4="",$A708&gt;TODAY()),0,IF(OR(INDEX($B708:$D708,AN$5)="F",AND(AN$6&gt;0,$A708&lt;AN$6),AND(AN$7&gt;0,$A708&gt;AN$7)),0,MAX(0,ROUND((INDEX($E708:$G708,AN$5)-SUMIFS(TF_Timer,TF_Tekniker,AN$4,TF_Dato,$A708))*2,0)/2)))</f>
        <v/>
      </c>
      <c r="AO708">
        <f>IF(OR(AO$4="",$A708&gt;TODAY()),0,IF(OR(INDEX($B708:$D708,AO$5)="F",AND(AO$6&gt;0,$A708&lt;AO$6),AND(AO$7&gt;0,$A708&gt;AO$7)),0,MAX(0,ROUND((INDEX($E708:$G708,AO$5)-SUMIFS(TF_Timer,TF_Tekniker,AO$4,TF_Dato,$A708))*2,0)/2)))</f>
        <v/>
      </c>
      <c r="AP708">
        <f>IF(OR(AP$4="",$A708&gt;TODAY()),0,IF(OR(INDEX($B708:$D708,AP$5)="F",AND(AP$6&gt;0,$A708&lt;AP$6),AND(AP$7&gt;0,$A708&gt;AP$7)),0,MAX(0,ROUND((INDEX($E708:$G708,AP$5)-SUMIFS(TF_Timer,TF_Tekniker,AP$4,TF_Dato,$A708))*2,0)/2)))</f>
        <v/>
      </c>
      <c r="AQ708">
        <f>IF(OR(AQ$4="",$A708&gt;TODAY()),0,IF(OR(INDEX($B708:$D708,AQ$5)="F",AND(AQ$6&gt;0,$A708&lt;AQ$6),AND(AQ$7&gt;0,$A708&gt;AQ$7)),0,MAX(0,ROUND((INDEX($E708:$G708,AQ$5)-SUMIFS(TF_Timer,TF_Tekniker,AQ$4,TF_Dato,$A708))*2,0)/2)))</f>
        <v/>
      </c>
      <c r="AR708">
        <f>IF(OR(AR$4="",$A708&gt;TODAY()),0,IF(OR(INDEX($B708:$D708,AR$5)="F",AND(AR$6&gt;0,$A708&lt;AR$6),AND(AR$7&gt;0,$A708&gt;AR$7)),0,MAX(0,ROUND((INDEX($E708:$G708,AR$5)-SUMIFS(TF_Timer,TF_Tekniker,AR$4,TF_Dato,$A708))*2,0)/2)))</f>
        <v/>
      </c>
      <c r="AS708">
        <f>IF(OR(AS$4="",$A708&gt;TODAY()),0,IF(OR(INDEX($B708:$D708,AS$5)="F",AND(AS$6&gt;0,$A708&lt;AS$6),AND(AS$7&gt;0,$A708&gt;AS$7)),0,MAX(0,ROUND((INDEX($E708:$G708,AS$5)-SUMIFS(TF_Timer,TF_Tekniker,AS$4,TF_Dato,$A708))*2,0)/2)))</f>
        <v/>
      </c>
      <c r="AT708">
        <f>IF(OR(AT$4="",$A708&gt;TODAY()),0,IF(OR(INDEX($B708:$D708,AT$5)="F",AND(AT$6&gt;0,$A708&lt;AT$6),AND(AT$7&gt;0,$A708&gt;AT$7)),0,MAX(0,ROUND((INDEX($E708:$G708,AT$5)-SUMIFS(TF_Timer,TF_Tekniker,AT$4,TF_Dato,$A708))*2,0)/2)))</f>
        <v/>
      </c>
      <c r="AU708">
        <f>IF(OR(AU$4="",$A708&gt;TODAY()),0,IF(OR(INDEX($B708:$D708,AU$5)="F",AND(AU$6&gt;0,$A708&lt;AU$6),AND(AU$7&gt;0,$A708&gt;AU$7)),0,MAX(0,ROUND((INDEX($E708:$G708,AU$5)-SUMIFS(TF_Timer,TF_Tekniker,AU$4,TF_Dato,$A708))*2,0)/2)))</f>
        <v/>
      </c>
      <c r="AV708">
        <f>IF(OR(AV$4="",$A708&gt;TODAY()),0,IF(OR(INDEX($B708:$D708,AV$5)="F",AND(AV$6&gt;0,$A708&lt;AV$6),AND(AV$7&gt;0,$A708&gt;AV$7)),0,MAX(0,ROUND((INDEX($E708:$G708,AV$5)-SUMIFS(TF_Timer,TF_Tekniker,AV$4,TF_Dato,$A708))*2,0)/2)))</f>
        <v/>
      </c>
      <c r="AW708">
        <f>IF(OR(AW$4="",$A708&gt;TODAY()),0,IF(OR(INDEX($B708:$D708,AW$5)="F",AND(AW$6&gt;0,$A708&lt;AW$6),AND(AW$7&gt;0,$A708&gt;AW$7)),0,MAX(0,ROUND((INDEX($E708:$G708,AW$5)-SUMIFS(TF_Timer,TF_Tekniker,AW$4,TF_Dato,$A708))*2,0)/2)))</f>
        <v/>
      </c>
      <c r="AX708">
        <f>IF(OR(AX$4="",$A708&gt;TODAY()),0,IF(OR(INDEX($B708:$D708,AX$5)="F",AND(AX$6&gt;0,$A708&lt;AX$6),AND(AX$7&gt;0,$A708&gt;AX$7)),0,MAX(0,ROUND((INDEX($E708:$G708,AX$5)-SUMIFS(TF_Timer,TF_Tekniker,AX$4,TF_Dato,$A708))*2,0)/2)))</f>
        <v/>
      </c>
      <c r="AY708">
        <f>IF(OR(AY$4="",$A708&gt;TODAY()),0,IF(OR(INDEX($B708:$D708,AY$5)="F",AND(AY$6&gt;0,$A708&lt;AY$6),AND(AY$7&gt;0,$A708&gt;AY$7)),0,MAX(0,ROUND((INDEX($E708:$G708,AY$5)-SUMIFS(TF_Timer,TF_Tekniker,AY$4,TF_Dato,$A708))*2,0)/2)))</f>
        <v/>
      </c>
      <c r="AZ708">
        <f>IF(OR(AZ$4="",$A708&gt;TODAY()),0,IF(OR(INDEX($B708:$D708,AZ$5)="F",AND(AZ$6&gt;0,$A708&lt;AZ$6),AND(AZ$7&gt;0,$A708&gt;AZ$7)),0,MAX(0,ROUND((INDEX($E708:$G708,AZ$5)-SUMIFS(TF_Timer,TF_Tekniker,AZ$4,TF_Dato,$A708))*2,0)/2)))</f>
        <v/>
      </c>
      <c r="BA708">
        <f>IF(OR(BA$4="",$A708&gt;TODAY()),0,IF(OR(INDEX($B708:$D708,BA$5)="F",AND(BA$6&gt;0,$A708&lt;BA$6),AND(BA$7&gt;0,$A708&gt;BA$7)),0,MAX(0,ROUND((INDEX($E708:$G708,BA$5)-SUMIFS(TF_Timer,TF_Tekniker,BA$4,TF_Dato,$A708))*2,0)/2)))</f>
        <v/>
      </c>
      <c r="BB708">
        <f>IF(OR(BB$4="",$A708&gt;TODAY()),0,IF(OR(INDEX($B708:$D708,BB$5)="F",AND(BB$6&gt;0,$A708&lt;BB$6),AND(BB$7&gt;0,$A708&gt;BB$7)),0,MAX(0,ROUND((INDEX($E708:$G708,BB$5)-SUMIFS(TF_Timer,TF_Tekniker,BB$4,TF_Dato,$A708))*2,0)/2)))</f>
        <v/>
      </c>
      <c r="BC708">
        <f>IF(OR(BC$4="",$A708&gt;TODAY()),0,IF(OR(INDEX($B708:$D708,BC$5)="F",AND(BC$6&gt;0,$A708&lt;BC$6),AND(BC$7&gt;0,$A708&gt;BC$7)),0,MAX(0,ROUND((INDEX($E708:$G708,BC$5)-SUMIFS(TF_Timer,TF_Tekniker,BC$4,TF_Dato,$A708))*2,0)/2)))</f>
        <v/>
      </c>
      <c r="BD708">
        <f>IF(OR(BD$4="",$A708&gt;TODAY()),0,IF(OR(INDEX($B708:$D708,BD$5)="F",AND(BD$6&gt;0,$A708&lt;BD$6),AND(BD$7&gt;0,$A708&gt;BD$7)),0,MAX(0,ROUND((INDEX($E708:$G708,BD$5)-SUMIFS(TF_Timer,TF_Tekniker,BD$4,TF_Dato,$A708))*2,0)/2)))</f>
        <v/>
      </c>
      <c r="BE708">
        <f>IF(OR(BE$4="",$A708&gt;TODAY()),0,IF(OR(INDEX($B708:$D708,BE$5)="F",AND(BE$6&gt;0,$A708&lt;BE$6),AND(BE$7&gt;0,$A708&gt;BE$7)),0,MAX(0,ROUND((INDEX($E708:$G708,BE$5)-SUMIFS(TF_Timer,TF_Tekniker,BE$4,TF_Dato,$A708))*2,0)/2)))</f>
        <v/>
      </c>
      <c r="BF708">
        <f>IF(OR(BF$4="",$A708&gt;TODAY()),0,IF(OR(INDEX($B708:$D708,BF$5)="F",AND(BF$6&gt;0,$A708&lt;BF$6),AND(BF$7&gt;0,$A708&gt;BF$7)),0,MAX(0,ROUND((INDEX($E708:$G708,BF$5)-SUMIFS(TF_Timer,TF_Tekniker,BF$4,TF_Dato,$A708))*2,0)/2)))</f>
        <v/>
      </c>
      <c r="BG708">
        <f>IF(OR(BG$4="",$A708&gt;TODAY()),0,IF(OR(INDEX($B708:$D708,BG$5)="F",AND(BG$6&gt;0,$A708&lt;BG$6),AND(BG$7&gt;0,$A708&gt;BG$7)),0,MAX(0,ROUND((INDEX($E708:$G708,BG$5)-SUMIFS(TF_Timer,TF_Tekniker,BG$4,TF_Dato,$A708))*2,0)/2)))</f>
        <v/>
      </c>
      <c r="BH708">
        <f>IF(OR(BH$4="",$A708&gt;TODAY()),0,IF(OR(INDEX($B708:$D708,BH$5)="F",AND(BH$6&gt;0,$A708&lt;BH$6),AND(BH$7&gt;0,$A708&gt;BH$7)),0,MAX(0,ROUND((INDEX($E708:$G708,BH$5)-SUMIFS(TF_Timer,TF_Tekniker,BH$4,TF_Dato,$A708))*2,0)/2)))</f>
        <v/>
      </c>
      <c r="BI708">
        <f>IF(OR(BI$4="",$A708&gt;TODAY()),0,IF(OR(INDEX($B708:$D708,BI$5)="F",AND(BI$6&gt;0,$A708&lt;BI$6),AND(BI$7&gt;0,$A708&gt;BI$7)),0,MAX(0,ROUND((INDEX($E708:$G708,BI$5)-SUMIFS(TF_Timer,TF_Tekniker,BI$4,TF_Dato,$A708))*2,0)/2)))</f>
        <v/>
      </c>
    </row>
    <row r="709">
      <c r="A709" s="64">
        <f>A708+1</f>
        <v/>
      </c>
      <c r="B709">
        <f>IF(MOD($A709-INDEX(SkiftStart,1),Syklus)&lt;DagK,"K",IF(MOD($A709-INDEX(SkiftStart,1),Syklus)&lt;DagK+DagH,"H",IF(MOD($A709-INDEX(SkiftStart,1),Syklus)&lt;DagK+DagH+DagD,"D","F")))</f>
        <v/>
      </c>
      <c r="C709">
        <f>IF(MOD($A709-INDEX(SkiftStart,2),Syklus)&lt;DagK,"K",IF(MOD($A709-INDEX(SkiftStart,2),Syklus)&lt;DagK+DagH,"H",IF(MOD($A709-INDEX(SkiftStart,2),Syklus)&lt;DagK+DagH+DagD,"D","F")))</f>
        <v/>
      </c>
      <c r="D709">
        <f>IF(MOD($A709-INDEX(SkiftStart,3),Syklus)&lt;DagK,"K",IF(MOD($A709-INDEX(SkiftStart,3),Syklus)&lt;DagK+DagH,"H",IF(MOD($A709-INDEX(SkiftStart,3),Syklus)&lt;DagK+DagH+DagD,"D","F")))</f>
        <v/>
      </c>
      <c r="E709">
        <f>IF(B709="F",0,IF(WEEKDAY($A709,2)=5,INDEX(TimerFr,MATCH(B709,FaseKode,0)),INDEX(TimerMT,MATCH(B709,FaseKode,0))))</f>
        <v/>
      </c>
      <c r="F709">
        <f>IF(C709="F",0,IF(WEEKDAY($A709,2)=5,INDEX(TimerFr,MATCH(C709,FaseKode,0)),INDEX(TimerMT,MATCH(C709,FaseKode,0))))</f>
        <v/>
      </c>
      <c r="G709">
        <f>IF(D709="F",0,IF(WEEKDAY($A709,2)=5,INDEX(TimerFr,MATCH(D709,FaseKode,0)),INDEX(TimerMT,MATCH(D709,FaseKode,0))))</f>
        <v/>
      </c>
      <c r="H709">
        <f>IF(OR(H$4="",$A709&gt;TODAY()),0,IF(OR(INDEX($B709:$D709,H$5)="F",AND(H$6&gt;0,$A709&lt;H$6),AND(H$7&gt;0,$A709&gt;H$7)),0,MAX(0,ROUND((INDEX($E709:$G709,H$5)-SUMIFS(TF_Timer,TF_Tekniker,H$4,TF_Dato,$A709))*2,0)/2)))</f>
        <v/>
      </c>
      <c r="I709">
        <f>IF(OR(I$4="",$A709&gt;TODAY()),0,IF(OR(INDEX($B709:$D709,I$5)="F",AND(I$6&gt;0,$A709&lt;I$6),AND(I$7&gt;0,$A709&gt;I$7)),0,MAX(0,ROUND((INDEX($E709:$G709,I$5)-SUMIFS(TF_Timer,TF_Tekniker,I$4,TF_Dato,$A709))*2,0)/2)))</f>
        <v/>
      </c>
      <c r="J709">
        <f>IF(OR(J$4="",$A709&gt;TODAY()),0,IF(OR(INDEX($B709:$D709,J$5)="F",AND(J$6&gt;0,$A709&lt;J$6),AND(J$7&gt;0,$A709&gt;J$7)),0,MAX(0,ROUND((INDEX($E709:$G709,J$5)-SUMIFS(TF_Timer,TF_Tekniker,J$4,TF_Dato,$A709))*2,0)/2)))</f>
        <v/>
      </c>
      <c r="K709">
        <f>IF(OR(K$4="",$A709&gt;TODAY()),0,IF(OR(INDEX($B709:$D709,K$5)="F",AND(K$6&gt;0,$A709&lt;K$6),AND(K$7&gt;0,$A709&gt;K$7)),0,MAX(0,ROUND((INDEX($E709:$G709,K$5)-SUMIFS(TF_Timer,TF_Tekniker,K$4,TF_Dato,$A709))*2,0)/2)))</f>
        <v/>
      </c>
      <c r="L709">
        <f>IF(OR(L$4="",$A709&gt;TODAY()),0,IF(OR(INDEX($B709:$D709,L$5)="F",AND(L$6&gt;0,$A709&lt;L$6),AND(L$7&gt;0,$A709&gt;L$7)),0,MAX(0,ROUND((INDEX($E709:$G709,L$5)-SUMIFS(TF_Timer,TF_Tekniker,L$4,TF_Dato,$A709))*2,0)/2)))</f>
        <v/>
      </c>
      <c r="M709">
        <f>IF(OR(M$4="",$A709&gt;TODAY()),0,IF(OR(INDEX($B709:$D709,M$5)="F",AND(M$6&gt;0,$A709&lt;M$6),AND(M$7&gt;0,$A709&gt;M$7)),0,MAX(0,ROUND((INDEX($E709:$G709,M$5)-SUMIFS(TF_Timer,TF_Tekniker,M$4,TF_Dato,$A709))*2,0)/2)))</f>
        <v/>
      </c>
      <c r="N709">
        <f>IF(OR(N$4="",$A709&gt;TODAY()),0,IF(OR(INDEX($B709:$D709,N$5)="F",AND(N$6&gt;0,$A709&lt;N$6),AND(N$7&gt;0,$A709&gt;N$7)),0,MAX(0,ROUND((INDEX($E709:$G709,N$5)-SUMIFS(TF_Timer,TF_Tekniker,N$4,TF_Dato,$A709))*2,0)/2)))</f>
        <v/>
      </c>
      <c r="O709">
        <f>IF(OR(O$4="",$A709&gt;TODAY()),0,IF(OR(INDEX($B709:$D709,O$5)="F",AND(O$6&gt;0,$A709&lt;O$6),AND(O$7&gt;0,$A709&gt;O$7)),0,MAX(0,ROUND((INDEX($E709:$G709,O$5)-SUMIFS(TF_Timer,TF_Tekniker,O$4,TF_Dato,$A709))*2,0)/2)))</f>
        <v/>
      </c>
      <c r="P709">
        <f>IF(OR(P$4="",$A709&gt;TODAY()),0,IF(OR(INDEX($B709:$D709,P$5)="F",AND(P$6&gt;0,$A709&lt;P$6),AND(P$7&gt;0,$A709&gt;P$7)),0,MAX(0,ROUND((INDEX($E709:$G709,P$5)-SUMIFS(TF_Timer,TF_Tekniker,P$4,TF_Dato,$A709))*2,0)/2)))</f>
        <v/>
      </c>
      <c r="Q709">
        <f>IF(OR(Q$4="",$A709&gt;TODAY()),0,IF(OR(INDEX($B709:$D709,Q$5)="F",AND(Q$6&gt;0,$A709&lt;Q$6),AND(Q$7&gt;0,$A709&gt;Q$7)),0,MAX(0,ROUND((INDEX($E709:$G709,Q$5)-SUMIFS(TF_Timer,TF_Tekniker,Q$4,TF_Dato,$A709))*2,0)/2)))</f>
        <v/>
      </c>
      <c r="R709">
        <f>IF(OR(R$4="",$A709&gt;TODAY()),0,IF(OR(INDEX($B709:$D709,R$5)="F",AND(R$6&gt;0,$A709&lt;R$6),AND(R$7&gt;0,$A709&gt;R$7)),0,MAX(0,ROUND((INDEX($E709:$G709,R$5)-SUMIFS(TF_Timer,TF_Tekniker,R$4,TF_Dato,$A709))*2,0)/2)))</f>
        <v/>
      </c>
      <c r="S709">
        <f>IF(OR(S$4="",$A709&gt;TODAY()),0,IF(OR(INDEX($B709:$D709,S$5)="F",AND(S$6&gt;0,$A709&lt;S$6),AND(S$7&gt;0,$A709&gt;S$7)),0,MAX(0,ROUND((INDEX($E709:$G709,S$5)-SUMIFS(TF_Timer,TF_Tekniker,S$4,TF_Dato,$A709))*2,0)/2)))</f>
        <v/>
      </c>
      <c r="T709">
        <f>IF(OR(T$4="",$A709&gt;TODAY()),0,IF(OR(INDEX($B709:$D709,T$5)="F",AND(T$6&gt;0,$A709&lt;T$6),AND(T$7&gt;0,$A709&gt;T$7)),0,MAX(0,ROUND((INDEX($E709:$G709,T$5)-SUMIFS(TF_Timer,TF_Tekniker,T$4,TF_Dato,$A709))*2,0)/2)))</f>
        <v/>
      </c>
      <c r="U709">
        <f>IF(OR(U$4="",$A709&gt;TODAY()),0,IF(OR(INDEX($B709:$D709,U$5)="F",AND(U$6&gt;0,$A709&lt;U$6),AND(U$7&gt;0,$A709&gt;U$7)),0,MAX(0,ROUND((INDEX($E709:$G709,U$5)-SUMIFS(TF_Timer,TF_Tekniker,U$4,TF_Dato,$A709))*2,0)/2)))</f>
        <v/>
      </c>
      <c r="V709">
        <f>IF(OR(V$4="",$A709&gt;TODAY()),0,IF(OR(INDEX($B709:$D709,V$5)="F",AND(V$6&gt;0,$A709&lt;V$6),AND(V$7&gt;0,$A709&gt;V$7)),0,MAX(0,ROUND((INDEX($E709:$G709,V$5)-SUMIFS(TF_Timer,TF_Tekniker,V$4,TF_Dato,$A709))*2,0)/2)))</f>
        <v/>
      </c>
      <c r="W709">
        <f>IF(OR(W$4="",$A709&gt;TODAY()),0,IF(OR(INDEX($B709:$D709,W$5)="F",AND(W$6&gt;0,$A709&lt;W$6),AND(W$7&gt;0,$A709&gt;W$7)),0,MAX(0,ROUND((INDEX($E709:$G709,W$5)-SUMIFS(TF_Timer,TF_Tekniker,W$4,TF_Dato,$A709))*2,0)/2)))</f>
        <v/>
      </c>
      <c r="X709">
        <f>IF(OR(X$4="",$A709&gt;TODAY()),0,IF(OR(INDEX($B709:$D709,X$5)="F",AND(X$6&gt;0,$A709&lt;X$6),AND(X$7&gt;0,$A709&gt;X$7)),0,MAX(0,ROUND((INDEX($E709:$G709,X$5)-SUMIFS(TF_Timer,TF_Tekniker,X$4,TF_Dato,$A709))*2,0)/2)))</f>
        <v/>
      </c>
      <c r="Y709">
        <f>IF(OR(Y$4="",$A709&gt;TODAY()),0,IF(OR(INDEX($B709:$D709,Y$5)="F",AND(Y$6&gt;0,$A709&lt;Y$6),AND(Y$7&gt;0,$A709&gt;Y$7)),0,MAX(0,ROUND((INDEX($E709:$G709,Y$5)-SUMIFS(TF_Timer,TF_Tekniker,Y$4,TF_Dato,$A709))*2,0)/2)))</f>
        <v/>
      </c>
      <c r="Z709">
        <f>IF(OR(Z$4="",$A709&gt;TODAY()),0,IF(OR(INDEX($B709:$D709,Z$5)="F",AND(Z$6&gt;0,$A709&lt;Z$6),AND(Z$7&gt;0,$A709&gt;Z$7)),0,MAX(0,ROUND((INDEX($E709:$G709,Z$5)-SUMIFS(TF_Timer,TF_Tekniker,Z$4,TF_Dato,$A709))*2,0)/2)))</f>
        <v/>
      </c>
      <c r="AA709">
        <f>IF(OR(AA$4="",$A709&gt;TODAY()),0,IF(OR(INDEX($B709:$D709,AA$5)="F",AND(AA$6&gt;0,$A709&lt;AA$6),AND(AA$7&gt;0,$A709&gt;AA$7)),0,MAX(0,ROUND((INDEX($E709:$G709,AA$5)-SUMIFS(TF_Timer,TF_Tekniker,AA$4,TF_Dato,$A709))*2,0)/2)))</f>
        <v/>
      </c>
      <c r="AB709">
        <f>IF(OR(AB$4="",$A709&gt;TODAY()),0,IF(OR(INDEX($B709:$D709,AB$5)="F",AND(AB$6&gt;0,$A709&lt;AB$6),AND(AB$7&gt;0,$A709&gt;AB$7)),0,MAX(0,ROUND((INDEX($E709:$G709,AB$5)-SUMIFS(TF_Timer,TF_Tekniker,AB$4,TF_Dato,$A709))*2,0)/2)))</f>
        <v/>
      </c>
      <c r="AC709">
        <f>IF(OR(AC$4="",$A709&gt;TODAY()),0,IF(OR(INDEX($B709:$D709,AC$5)="F",AND(AC$6&gt;0,$A709&lt;AC$6),AND(AC$7&gt;0,$A709&gt;AC$7)),0,MAX(0,ROUND((INDEX($E709:$G709,AC$5)-SUMIFS(TF_Timer,TF_Tekniker,AC$4,TF_Dato,$A709))*2,0)/2)))</f>
        <v/>
      </c>
      <c r="AD709">
        <f>IF(OR(AD$4="",$A709&gt;TODAY()),0,IF(OR(INDEX($B709:$D709,AD$5)="F",AND(AD$6&gt;0,$A709&lt;AD$6),AND(AD$7&gt;0,$A709&gt;AD$7)),0,MAX(0,ROUND((INDEX($E709:$G709,AD$5)-SUMIFS(TF_Timer,TF_Tekniker,AD$4,TF_Dato,$A709))*2,0)/2)))</f>
        <v/>
      </c>
      <c r="AE709">
        <f>IF(OR(AE$4="",$A709&gt;TODAY()),0,IF(OR(INDEX($B709:$D709,AE$5)="F",AND(AE$6&gt;0,$A709&lt;AE$6),AND(AE$7&gt;0,$A709&gt;AE$7)),0,MAX(0,ROUND((INDEX($E709:$G709,AE$5)-SUMIFS(TF_Timer,TF_Tekniker,AE$4,TF_Dato,$A709))*2,0)/2)))</f>
        <v/>
      </c>
      <c r="AF709">
        <f>IF(OR(AF$4="",$A709&gt;TODAY()),0,IF(OR(INDEX($B709:$D709,AF$5)="F",AND(AF$6&gt;0,$A709&lt;AF$6),AND(AF$7&gt;0,$A709&gt;AF$7)),0,MAX(0,ROUND((INDEX($E709:$G709,AF$5)-SUMIFS(TF_Timer,TF_Tekniker,AF$4,TF_Dato,$A709))*2,0)/2)))</f>
        <v/>
      </c>
      <c r="AG709">
        <f>IF(OR(AG$4="",$A709&gt;TODAY()),0,IF(OR(INDEX($B709:$D709,AG$5)="F",AND(AG$6&gt;0,$A709&lt;AG$6),AND(AG$7&gt;0,$A709&gt;AG$7)),0,MAX(0,ROUND((INDEX($E709:$G709,AG$5)-SUMIFS(TF_Timer,TF_Tekniker,AG$4,TF_Dato,$A709))*2,0)/2)))</f>
        <v/>
      </c>
      <c r="AH709">
        <f>IF(OR(AH$4="",$A709&gt;TODAY()),0,IF(OR(INDEX($B709:$D709,AH$5)="F",AND(AH$6&gt;0,$A709&lt;AH$6),AND(AH$7&gt;0,$A709&gt;AH$7)),0,MAX(0,ROUND((INDEX($E709:$G709,AH$5)-SUMIFS(TF_Timer,TF_Tekniker,AH$4,TF_Dato,$A709))*2,0)/2)))</f>
        <v/>
      </c>
      <c r="AI709">
        <f>IF(OR(AI$4="",$A709&gt;TODAY()),0,IF(OR(INDEX($B709:$D709,AI$5)="F",AND(AI$6&gt;0,$A709&lt;AI$6),AND(AI$7&gt;0,$A709&gt;AI$7)),0,MAX(0,ROUND((INDEX($E709:$G709,AI$5)-SUMIFS(TF_Timer,TF_Tekniker,AI$4,TF_Dato,$A709))*2,0)/2)))</f>
        <v/>
      </c>
      <c r="AJ709">
        <f>IF(OR(AJ$4="",$A709&gt;TODAY()),0,IF(OR(INDEX($B709:$D709,AJ$5)="F",AND(AJ$6&gt;0,$A709&lt;AJ$6),AND(AJ$7&gt;0,$A709&gt;AJ$7)),0,MAX(0,ROUND((INDEX($E709:$G709,AJ$5)-SUMIFS(TF_Timer,TF_Tekniker,AJ$4,TF_Dato,$A709))*2,0)/2)))</f>
        <v/>
      </c>
      <c r="AK709">
        <f>IF(OR(AK$4="",$A709&gt;TODAY()),0,IF(OR(INDEX($B709:$D709,AK$5)="F",AND(AK$6&gt;0,$A709&lt;AK$6),AND(AK$7&gt;0,$A709&gt;AK$7)),0,MAX(0,ROUND((INDEX($E709:$G709,AK$5)-SUMIFS(TF_Timer,TF_Tekniker,AK$4,TF_Dato,$A709))*2,0)/2)))</f>
        <v/>
      </c>
      <c r="AL709">
        <f>IF(OR(AL$4="",$A709&gt;TODAY()),0,IF(OR(INDEX($B709:$D709,AL$5)="F",AND(AL$6&gt;0,$A709&lt;AL$6),AND(AL$7&gt;0,$A709&gt;AL$7)),0,MAX(0,ROUND((INDEX($E709:$G709,AL$5)-SUMIFS(TF_Timer,TF_Tekniker,AL$4,TF_Dato,$A709))*2,0)/2)))</f>
        <v/>
      </c>
      <c r="AM709">
        <f>IF(OR(AM$4="",$A709&gt;TODAY()),0,IF(OR(INDEX($B709:$D709,AM$5)="F",AND(AM$6&gt;0,$A709&lt;AM$6),AND(AM$7&gt;0,$A709&gt;AM$7)),0,MAX(0,ROUND((INDEX($E709:$G709,AM$5)-SUMIFS(TF_Timer,TF_Tekniker,AM$4,TF_Dato,$A709))*2,0)/2)))</f>
        <v/>
      </c>
      <c r="AN709">
        <f>IF(OR(AN$4="",$A709&gt;TODAY()),0,IF(OR(INDEX($B709:$D709,AN$5)="F",AND(AN$6&gt;0,$A709&lt;AN$6),AND(AN$7&gt;0,$A709&gt;AN$7)),0,MAX(0,ROUND((INDEX($E709:$G709,AN$5)-SUMIFS(TF_Timer,TF_Tekniker,AN$4,TF_Dato,$A709))*2,0)/2)))</f>
        <v/>
      </c>
      <c r="AO709">
        <f>IF(OR(AO$4="",$A709&gt;TODAY()),0,IF(OR(INDEX($B709:$D709,AO$5)="F",AND(AO$6&gt;0,$A709&lt;AO$6),AND(AO$7&gt;0,$A709&gt;AO$7)),0,MAX(0,ROUND((INDEX($E709:$G709,AO$5)-SUMIFS(TF_Timer,TF_Tekniker,AO$4,TF_Dato,$A709))*2,0)/2)))</f>
        <v/>
      </c>
      <c r="AP709">
        <f>IF(OR(AP$4="",$A709&gt;TODAY()),0,IF(OR(INDEX($B709:$D709,AP$5)="F",AND(AP$6&gt;0,$A709&lt;AP$6),AND(AP$7&gt;0,$A709&gt;AP$7)),0,MAX(0,ROUND((INDEX($E709:$G709,AP$5)-SUMIFS(TF_Timer,TF_Tekniker,AP$4,TF_Dato,$A709))*2,0)/2)))</f>
        <v/>
      </c>
      <c r="AQ709">
        <f>IF(OR(AQ$4="",$A709&gt;TODAY()),0,IF(OR(INDEX($B709:$D709,AQ$5)="F",AND(AQ$6&gt;0,$A709&lt;AQ$6),AND(AQ$7&gt;0,$A709&gt;AQ$7)),0,MAX(0,ROUND((INDEX($E709:$G709,AQ$5)-SUMIFS(TF_Timer,TF_Tekniker,AQ$4,TF_Dato,$A709))*2,0)/2)))</f>
        <v/>
      </c>
      <c r="AR709">
        <f>IF(OR(AR$4="",$A709&gt;TODAY()),0,IF(OR(INDEX($B709:$D709,AR$5)="F",AND(AR$6&gt;0,$A709&lt;AR$6),AND(AR$7&gt;0,$A709&gt;AR$7)),0,MAX(0,ROUND((INDEX($E709:$G709,AR$5)-SUMIFS(TF_Timer,TF_Tekniker,AR$4,TF_Dato,$A709))*2,0)/2)))</f>
        <v/>
      </c>
      <c r="AS709">
        <f>IF(OR(AS$4="",$A709&gt;TODAY()),0,IF(OR(INDEX($B709:$D709,AS$5)="F",AND(AS$6&gt;0,$A709&lt;AS$6),AND(AS$7&gt;0,$A709&gt;AS$7)),0,MAX(0,ROUND((INDEX($E709:$G709,AS$5)-SUMIFS(TF_Timer,TF_Tekniker,AS$4,TF_Dato,$A709))*2,0)/2)))</f>
        <v/>
      </c>
      <c r="AT709">
        <f>IF(OR(AT$4="",$A709&gt;TODAY()),0,IF(OR(INDEX($B709:$D709,AT$5)="F",AND(AT$6&gt;0,$A709&lt;AT$6),AND(AT$7&gt;0,$A709&gt;AT$7)),0,MAX(0,ROUND((INDEX($E709:$G709,AT$5)-SUMIFS(TF_Timer,TF_Tekniker,AT$4,TF_Dato,$A709))*2,0)/2)))</f>
        <v/>
      </c>
      <c r="AU709">
        <f>IF(OR(AU$4="",$A709&gt;TODAY()),0,IF(OR(INDEX($B709:$D709,AU$5)="F",AND(AU$6&gt;0,$A709&lt;AU$6),AND(AU$7&gt;0,$A709&gt;AU$7)),0,MAX(0,ROUND((INDEX($E709:$G709,AU$5)-SUMIFS(TF_Timer,TF_Tekniker,AU$4,TF_Dato,$A709))*2,0)/2)))</f>
        <v/>
      </c>
      <c r="AV709">
        <f>IF(OR(AV$4="",$A709&gt;TODAY()),0,IF(OR(INDEX($B709:$D709,AV$5)="F",AND(AV$6&gt;0,$A709&lt;AV$6),AND(AV$7&gt;0,$A709&gt;AV$7)),0,MAX(0,ROUND((INDEX($E709:$G709,AV$5)-SUMIFS(TF_Timer,TF_Tekniker,AV$4,TF_Dato,$A709))*2,0)/2)))</f>
        <v/>
      </c>
      <c r="AW709">
        <f>IF(OR(AW$4="",$A709&gt;TODAY()),0,IF(OR(INDEX($B709:$D709,AW$5)="F",AND(AW$6&gt;0,$A709&lt;AW$6),AND(AW$7&gt;0,$A709&gt;AW$7)),0,MAX(0,ROUND((INDEX($E709:$G709,AW$5)-SUMIFS(TF_Timer,TF_Tekniker,AW$4,TF_Dato,$A709))*2,0)/2)))</f>
        <v/>
      </c>
      <c r="AX709">
        <f>IF(OR(AX$4="",$A709&gt;TODAY()),0,IF(OR(INDEX($B709:$D709,AX$5)="F",AND(AX$6&gt;0,$A709&lt;AX$6),AND(AX$7&gt;0,$A709&gt;AX$7)),0,MAX(0,ROUND((INDEX($E709:$G709,AX$5)-SUMIFS(TF_Timer,TF_Tekniker,AX$4,TF_Dato,$A709))*2,0)/2)))</f>
        <v/>
      </c>
      <c r="AY709">
        <f>IF(OR(AY$4="",$A709&gt;TODAY()),0,IF(OR(INDEX($B709:$D709,AY$5)="F",AND(AY$6&gt;0,$A709&lt;AY$6),AND(AY$7&gt;0,$A709&gt;AY$7)),0,MAX(0,ROUND((INDEX($E709:$G709,AY$5)-SUMIFS(TF_Timer,TF_Tekniker,AY$4,TF_Dato,$A709))*2,0)/2)))</f>
        <v/>
      </c>
      <c r="AZ709">
        <f>IF(OR(AZ$4="",$A709&gt;TODAY()),0,IF(OR(INDEX($B709:$D709,AZ$5)="F",AND(AZ$6&gt;0,$A709&lt;AZ$6),AND(AZ$7&gt;0,$A709&gt;AZ$7)),0,MAX(0,ROUND((INDEX($E709:$G709,AZ$5)-SUMIFS(TF_Timer,TF_Tekniker,AZ$4,TF_Dato,$A709))*2,0)/2)))</f>
        <v/>
      </c>
      <c r="BA709">
        <f>IF(OR(BA$4="",$A709&gt;TODAY()),0,IF(OR(INDEX($B709:$D709,BA$5)="F",AND(BA$6&gt;0,$A709&lt;BA$6),AND(BA$7&gt;0,$A709&gt;BA$7)),0,MAX(0,ROUND((INDEX($E709:$G709,BA$5)-SUMIFS(TF_Timer,TF_Tekniker,BA$4,TF_Dato,$A709))*2,0)/2)))</f>
        <v/>
      </c>
      <c r="BB709">
        <f>IF(OR(BB$4="",$A709&gt;TODAY()),0,IF(OR(INDEX($B709:$D709,BB$5)="F",AND(BB$6&gt;0,$A709&lt;BB$6),AND(BB$7&gt;0,$A709&gt;BB$7)),0,MAX(0,ROUND((INDEX($E709:$G709,BB$5)-SUMIFS(TF_Timer,TF_Tekniker,BB$4,TF_Dato,$A709))*2,0)/2)))</f>
        <v/>
      </c>
      <c r="BC709">
        <f>IF(OR(BC$4="",$A709&gt;TODAY()),0,IF(OR(INDEX($B709:$D709,BC$5)="F",AND(BC$6&gt;0,$A709&lt;BC$6),AND(BC$7&gt;0,$A709&gt;BC$7)),0,MAX(0,ROUND((INDEX($E709:$G709,BC$5)-SUMIFS(TF_Timer,TF_Tekniker,BC$4,TF_Dato,$A709))*2,0)/2)))</f>
        <v/>
      </c>
      <c r="BD709">
        <f>IF(OR(BD$4="",$A709&gt;TODAY()),0,IF(OR(INDEX($B709:$D709,BD$5)="F",AND(BD$6&gt;0,$A709&lt;BD$6),AND(BD$7&gt;0,$A709&gt;BD$7)),0,MAX(0,ROUND((INDEX($E709:$G709,BD$5)-SUMIFS(TF_Timer,TF_Tekniker,BD$4,TF_Dato,$A709))*2,0)/2)))</f>
        <v/>
      </c>
      <c r="BE709">
        <f>IF(OR(BE$4="",$A709&gt;TODAY()),0,IF(OR(INDEX($B709:$D709,BE$5)="F",AND(BE$6&gt;0,$A709&lt;BE$6),AND(BE$7&gt;0,$A709&gt;BE$7)),0,MAX(0,ROUND((INDEX($E709:$G709,BE$5)-SUMIFS(TF_Timer,TF_Tekniker,BE$4,TF_Dato,$A709))*2,0)/2)))</f>
        <v/>
      </c>
      <c r="BF709">
        <f>IF(OR(BF$4="",$A709&gt;TODAY()),0,IF(OR(INDEX($B709:$D709,BF$5)="F",AND(BF$6&gt;0,$A709&lt;BF$6),AND(BF$7&gt;0,$A709&gt;BF$7)),0,MAX(0,ROUND((INDEX($E709:$G709,BF$5)-SUMIFS(TF_Timer,TF_Tekniker,BF$4,TF_Dato,$A709))*2,0)/2)))</f>
        <v/>
      </c>
      <c r="BG709">
        <f>IF(OR(BG$4="",$A709&gt;TODAY()),0,IF(OR(INDEX($B709:$D709,BG$5)="F",AND(BG$6&gt;0,$A709&lt;BG$6),AND(BG$7&gt;0,$A709&gt;BG$7)),0,MAX(0,ROUND((INDEX($E709:$G709,BG$5)-SUMIFS(TF_Timer,TF_Tekniker,BG$4,TF_Dato,$A709))*2,0)/2)))</f>
        <v/>
      </c>
      <c r="BH709">
        <f>IF(OR(BH$4="",$A709&gt;TODAY()),0,IF(OR(INDEX($B709:$D709,BH$5)="F",AND(BH$6&gt;0,$A709&lt;BH$6),AND(BH$7&gt;0,$A709&gt;BH$7)),0,MAX(0,ROUND((INDEX($E709:$G709,BH$5)-SUMIFS(TF_Timer,TF_Tekniker,BH$4,TF_Dato,$A709))*2,0)/2)))</f>
        <v/>
      </c>
      <c r="BI709">
        <f>IF(OR(BI$4="",$A709&gt;TODAY()),0,IF(OR(INDEX($B709:$D709,BI$5)="F",AND(BI$6&gt;0,$A709&lt;BI$6),AND(BI$7&gt;0,$A709&gt;BI$7)),0,MAX(0,ROUND((INDEX($E709:$G709,BI$5)-SUMIFS(TF_Timer,TF_Tekniker,BI$4,TF_Dato,$A709))*2,0)/2)))</f>
        <v/>
      </c>
    </row>
    <row r="710">
      <c r="A710" s="64">
        <f>A709+1</f>
        <v/>
      </c>
      <c r="B710">
        <f>IF(MOD($A710-INDEX(SkiftStart,1),Syklus)&lt;DagK,"K",IF(MOD($A710-INDEX(SkiftStart,1),Syklus)&lt;DagK+DagH,"H",IF(MOD($A710-INDEX(SkiftStart,1),Syklus)&lt;DagK+DagH+DagD,"D","F")))</f>
        <v/>
      </c>
      <c r="C710">
        <f>IF(MOD($A710-INDEX(SkiftStart,2),Syklus)&lt;DagK,"K",IF(MOD($A710-INDEX(SkiftStart,2),Syklus)&lt;DagK+DagH,"H",IF(MOD($A710-INDEX(SkiftStart,2),Syklus)&lt;DagK+DagH+DagD,"D","F")))</f>
        <v/>
      </c>
      <c r="D710">
        <f>IF(MOD($A710-INDEX(SkiftStart,3),Syklus)&lt;DagK,"K",IF(MOD($A710-INDEX(SkiftStart,3),Syklus)&lt;DagK+DagH,"H",IF(MOD($A710-INDEX(SkiftStart,3),Syklus)&lt;DagK+DagH+DagD,"D","F")))</f>
        <v/>
      </c>
      <c r="E710">
        <f>IF(B710="F",0,IF(WEEKDAY($A710,2)=5,INDEX(TimerFr,MATCH(B710,FaseKode,0)),INDEX(TimerMT,MATCH(B710,FaseKode,0))))</f>
        <v/>
      </c>
      <c r="F710">
        <f>IF(C710="F",0,IF(WEEKDAY($A710,2)=5,INDEX(TimerFr,MATCH(C710,FaseKode,0)),INDEX(TimerMT,MATCH(C710,FaseKode,0))))</f>
        <v/>
      </c>
      <c r="G710">
        <f>IF(D710="F",0,IF(WEEKDAY($A710,2)=5,INDEX(TimerFr,MATCH(D710,FaseKode,0)),INDEX(TimerMT,MATCH(D710,FaseKode,0))))</f>
        <v/>
      </c>
      <c r="H710">
        <f>IF(OR(H$4="",$A710&gt;TODAY()),0,IF(OR(INDEX($B710:$D710,H$5)="F",AND(H$6&gt;0,$A710&lt;H$6),AND(H$7&gt;0,$A710&gt;H$7)),0,MAX(0,ROUND((INDEX($E710:$G710,H$5)-SUMIFS(TF_Timer,TF_Tekniker,H$4,TF_Dato,$A710))*2,0)/2)))</f>
        <v/>
      </c>
      <c r="I710">
        <f>IF(OR(I$4="",$A710&gt;TODAY()),0,IF(OR(INDEX($B710:$D710,I$5)="F",AND(I$6&gt;0,$A710&lt;I$6),AND(I$7&gt;0,$A710&gt;I$7)),0,MAX(0,ROUND((INDEX($E710:$G710,I$5)-SUMIFS(TF_Timer,TF_Tekniker,I$4,TF_Dato,$A710))*2,0)/2)))</f>
        <v/>
      </c>
      <c r="J710">
        <f>IF(OR(J$4="",$A710&gt;TODAY()),0,IF(OR(INDEX($B710:$D710,J$5)="F",AND(J$6&gt;0,$A710&lt;J$6),AND(J$7&gt;0,$A710&gt;J$7)),0,MAX(0,ROUND((INDEX($E710:$G710,J$5)-SUMIFS(TF_Timer,TF_Tekniker,J$4,TF_Dato,$A710))*2,0)/2)))</f>
        <v/>
      </c>
      <c r="K710">
        <f>IF(OR(K$4="",$A710&gt;TODAY()),0,IF(OR(INDEX($B710:$D710,K$5)="F",AND(K$6&gt;0,$A710&lt;K$6),AND(K$7&gt;0,$A710&gt;K$7)),0,MAX(0,ROUND((INDEX($E710:$G710,K$5)-SUMIFS(TF_Timer,TF_Tekniker,K$4,TF_Dato,$A710))*2,0)/2)))</f>
        <v/>
      </c>
      <c r="L710">
        <f>IF(OR(L$4="",$A710&gt;TODAY()),0,IF(OR(INDEX($B710:$D710,L$5)="F",AND(L$6&gt;0,$A710&lt;L$6),AND(L$7&gt;0,$A710&gt;L$7)),0,MAX(0,ROUND((INDEX($E710:$G710,L$5)-SUMIFS(TF_Timer,TF_Tekniker,L$4,TF_Dato,$A710))*2,0)/2)))</f>
        <v/>
      </c>
      <c r="M710">
        <f>IF(OR(M$4="",$A710&gt;TODAY()),0,IF(OR(INDEX($B710:$D710,M$5)="F",AND(M$6&gt;0,$A710&lt;M$6),AND(M$7&gt;0,$A710&gt;M$7)),0,MAX(0,ROUND((INDEX($E710:$G710,M$5)-SUMIFS(TF_Timer,TF_Tekniker,M$4,TF_Dato,$A710))*2,0)/2)))</f>
        <v/>
      </c>
      <c r="N710">
        <f>IF(OR(N$4="",$A710&gt;TODAY()),0,IF(OR(INDEX($B710:$D710,N$5)="F",AND(N$6&gt;0,$A710&lt;N$6),AND(N$7&gt;0,$A710&gt;N$7)),0,MAX(0,ROUND((INDEX($E710:$G710,N$5)-SUMIFS(TF_Timer,TF_Tekniker,N$4,TF_Dato,$A710))*2,0)/2)))</f>
        <v/>
      </c>
      <c r="O710">
        <f>IF(OR(O$4="",$A710&gt;TODAY()),0,IF(OR(INDEX($B710:$D710,O$5)="F",AND(O$6&gt;0,$A710&lt;O$6),AND(O$7&gt;0,$A710&gt;O$7)),0,MAX(0,ROUND((INDEX($E710:$G710,O$5)-SUMIFS(TF_Timer,TF_Tekniker,O$4,TF_Dato,$A710))*2,0)/2)))</f>
        <v/>
      </c>
      <c r="P710">
        <f>IF(OR(P$4="",$A710&gt;TODAY()),0,IF(OR(INDEX($B710:$D710,P$5)="F",AND(P$6&gt;0,$A710&lt;P$6),AND(P$7&gt;0,$A710&gt;P$7)),0,MAX(0,ROUND((INDEX($E710:$G710,P$5)-SUMIFS(TF_Timer,TF_Tekniker,P$4,TF_Dato,$A710))*2,0)/2)))</f>
        <v/>
      </c>
      <c r="Q710">
        <f>IF(OR(Q$4="",$A710&gt;TODAY()),0,IF(OR(INDEX($B710:$D710,Q$5)="F",AND(Q$6&gt;0,$A710&lt;Q$6),AND(Q$7&gt;0,$A710&gt;Q$7)),0,MAX(0,ROUND((INDEX($E710:$G710,Q$5)-SUMIFS(TF_Timer,TF_Tekniker,Q$4,TF_Dato,$A710))*2,0)/2)))</f>
        <v/>
      </c>
      <c r="R710">
        <f>IF(OR(R$4="",$A710&gt;TODAY()),0,IF(OR(INDEX($B710:$D710,R$5)="F",AND(R$6&gt;0,$A710&lt;R$6),AND(R$7&gt;0,$A710&gt;R$7)),0,MAX(0,ROUND((INDEX($E710:$G710,R$5)-SUMIFS(TF_Timer,TF_Tekniker,R$4,TF_Dato,$A710))*2,0)/2)))</f>
        <v/>
      </c>
      <c r="S710">
        <f>IF(OR(S$4="",$A710&gt;TODAY()),0,IF(OR(INDEX($B710:$D710,S$5)="F",AND(S$6&gt;0,$A710&lt;S$6),AND(S$7&gt;0,$A710&gt;S$7)),0,MAX(0,ROUND((INDEX($E710:$G710,S$5)-SUMIFS(TF_Timer,TF_Tekniker,S$4,TF_Dato,$A710))*2,0)/2)))</f>
        <v/>
      </c>
      <c r="T710">
        <f>IF(OR(T$4="",$A710&gt;TODAY()),0,IF(OR(INDEX($B710:$D710,T$5)="F",AND(T$6&gt;0,$A710&lt;T$6),AND(T$7&gt;0,$A710&gt;T$7)),0,MAX(0,ROUND((INDEX($E710:$G710,T$5)-SUMIFS(TF_Timer,TF_Tekniker,T$4,TF_Dato,$A710))*2,0)/2)))</f>
        <v/>
      </c>
      <c r="U710">
        <f>IF(OR(U$4="",$A710&gt;TODAY()),0,IF(OR(INDEX($B710:$D710,U$5)="F",AND(U$6&gt;0,$A710&lt;U$6),AND(U$7&gt;0,$A710&gt;U$7)),0,MAX(0,ROUND((INDEX($E710:$G710,U$5)-SUMIFS(TF_Timer,TF_Tekniker,U$4,TF_Dato,$A710))*2,0)/2)))</f>
        <v/>
      </c>
      <c r="V710">
        <f>IF(OR(V$4="",$A710&gt;TODAY()),0,IF(OR(INDEX($B710:$D710,V$5)="F",AND(V$6&gt;0,$A710&lt;V$6),AND(V$7&gt;0,$A710&gt;V$7)),0,MAX(0,ROUND((INDEX($E710:$G710,V$5)-SUMIFS(TF_Timer,TF_Tekniker,V$4,TF_Dato,$A710))*2,0)/2)))</f>
        <v/>
      </c>
      <c r="W710">
        <f>IF(OR(W$4="",$A710&gt;TODAY()),0,IF(OR(INDEX($B710:$D710,W$5)="F",AND(W$6&gt;0,$A710&lt;W$6),AND(W$7&gt;0,$A710&gt;W$7)),0,MAX(0,ROUND((INDEX($E710:$G710,W$5)-SUMIFS(TF_Timer,TF_Tekniker,W$4,TF_Dato,$A710))*2,0)/2)))</f>
        <v/>
      </c>
      <c r="X710">
        <f>IF(OR(X$4="",$A710&gt;TODAY()),0,IF(OR(INDEX($B710:$D710,X$5)="F",AND(X$6&gt;0,$A710&lt;X$6),AND(X$7&gt;0,$A710&gt;X$7)),0,MAX(0,ROUND((INDEX($E710:$G710,X$5)-SUMIFS(TF_Timer,TF_Tekniker,X$4,TF_Dato,$A710))*2,0)/2)))</f>
        <v/>
      </c>
      <c r="Y710">
        <f>IF(OR(Y$4="",$A710&gt;TODAY()),0,IF(OR(INDEX($B710:$D710,Y$5)="F",AND(Y$6&gt;0,$A710&lt;Y$6),AND(Y$7&gt;0,$A710&gt;Y$7)),0,MAX(0,ROUND((INDEX($E710:$G710,Y$5)-SUMIFS(TF_Timer,TF_Tekniker,Y$4,TF_Dato,$A710))*2,0)/2)))</f>
        <v/>
      </c>
      <c r="Z710">
        <f>IF(OR(Z$4="",$A710&gt;TODAY()),0,IF(OR(INDEX($B710:$D710,Z$5)="F",AND(Z$6&gt;0,$A710&lt;Z$6),AND(Z$7&gt;0,$A710&gt;Z$7)),0,MAX(0,ROUND((INDEX($E710:$G710,Z$5)-SUMIFS(TF_Timer,TF_Tekniker,Z$4,TF_Dato,$A710))*2,0)/2)))</f>
        <v/>
      </c>
      <c r="AA710">
        <f>IF(OR(AA$4="",$A710&gt;TODAY()),0,IF(OR(INDEX($B710:$D710,AA$5)="F",AND(AA$6&gt;0,$A710&lt;AA$6),AND(AA$7&gt;0,$A710&gt;AA$7)),0,MAX(0,ROUND((INDEX($E710:$G710,AA$5)-SUMIFS(TF_Timer,TF_Tekniker,AA$4,TF_Dato,$A710))*2,0)/2)))</f>
        <v/>
      </c>
      <c r="AB710">
        <f>IF(OR(AB$4="",$A710&gt;TODAY()),0,IF(OR(INDEX($B710:$D710,AB$5)="F",AND(AB$6&gt;0,$A710&lt;AB$6),AND(AB$7&gt;0,$A710&gt;AB$7)),0,MAX(0,ROUND((INDEX($E710:$G710,AB$5)-SUMIFS(TF_Timer,TF_Tekniker,AB$4,TF_Dato,$A710))*2,0)/2)))</f>
        <v/>
      </c>
      <c r="AC710">
        <f>IF(OR(AC$4="",$A710&gt;TODAY()),0,IF(OR(INDEX($B710:$D710,AC$5)="F",AND(AC$6&gt;0,$A710&lt;AC$6),AND(AC$7&gt;0,$A710&gt;AC$7)),0,MAX(0,ROUND((INDEX($E710:$G710,AC$5)-SUMIFS(TF_Timer,TF_Tekniker,AC$4,TF_Dato,$A710))*2,0)/2)))</f>
        <v/>
      </c>
      <c r="AD710">
        <f>IF(OR(AD$4="",$A710&gt;TODAY()),0,IF(OR(INDEX($B710:$D710,AD$5)="F",AND(AD$6&gt;0,$A710&lt;AD$6),AND(AD$7&gt;0,$A710&gt;AD$7)),0,MAX(0,ROUND((INDEX($E710:$G710,AD$5)-SUMIFS(TF_Timer,TF_Tekniker,AD$4,TF_Dato,$A710))*2,0)/2)))</f>
        <v/>
      </c>
      <c r="AE710">
        <f>IF(OR(AE$4="",$A710&gt;TODAY()),0,IF(OR(INDEX($B710:$D710,AE$5)="F",AND(AE$6&gt;0,$A710&lt;AE$6),AND(AE$7&gt;0,$A710&gt;AE$7)),0,MAX(0,ROUND((INDEX($E710:$G710,AE$5)-SUMIFS(TF_Timer,TF_Tekniker,AE$4,TF_Dato,$A710))*2,0)/2)))</f>
        <v/>
      </c>
      <c r="AF710">
        <f>IF(OR(AF$4="",$A710&gt;TODAY()),0,IF(OR(INDEX($B710:$D710,AF$5)="F",AND(AF$6&gt;0,$A710&lt;AF$6),AND(AF$7&gt;0,$A710&gt;AF$7)),0,MAX(0,ROUND((INDEX($E710:$G710,AF$5)-SUMIFS(TF_Timer,TF_Tekniker,AF$4,TF_Dato,$A710))*2,0)/2)))</f>
        <v/>
      </c>
      <c r="AG710">
        <f>IF(OR(AG$4="",$A710&gt;TODAY()),0,IF(OR(INDEX($B710:$D710,AG$5)="F",AND(AG$6&gt;0,$A710&lt;AG$6),AND(AG$7&gt;0,$A710&gt;AG$7)),0,MAX(0,ROUND((INDEX($E710:$G710,AG$5)-SUMIFS(TF_Timer,TF_Tekniker,AG$4,TF_Dato,$A710))*2,0)/2)))</f>
        <v/>
      </c>
      <c r="AH710">
        <f>IF(OR(AH$4="",$A710&gt;TODAY()),0,IF(OR(INDEX($B710:$D710,AH$5)="F",AND(AH$6&gt;0,$A710&lt;AH$6),AND(AH$7&gt;0,$A710&gt;AH$7)),0,MAX(0,ROUND((INDEX($E710:$G710,AH$5)-SUMIFS(TF_Timer,TF_Tekniker,AH$4,TF_Dato,$A710))*2,0)/2)))</f>
        <v/>
      </c>
      <c r="AI710">
        <f>IF(OR(AI$4="",$A710&gt;TODAY()),0,IF(OR(INDEX($B710:$D710,AI$5)="F",AND(AI$6&gt;0,$A710&lt;AI$6),AND(AI$7&gt;0,$A710&gt;AI$7)),0,MAX(0,ROUND((INDEX($E710:$G710,AI$5)-SUMIFS(TF_Timer,TF_Tekniker,AI$4,TF_Dato,$A710))*2,0)/2)))</f>
        <v/>
      </c>
      <c r="AJ710">
        <f>IF(OR(AJ$4="",$A710&gt;TODAY()),0,IF(OR(INDEX($B710:$D710,AJ$5)="F",AND(AJ$6&gt;0,$A710&lt;AJ$6),AND(AJ$7&gt;0,$A710&gt;AJ$7)),0,MAX(0,ROUND((INDEX($E710:$G710,AJ$5)-SUMIFS(TF_Timer,TF_Tekniker,AJ$4,TF_Dato,$A710))*2,0)/2)))</f>
        <v/>
      </c>
      <c r="AK710">
        <f>IF(OR(AK$4="",$A710&gt;TODAY()),0,IF(OR(INDEX($B710:$D710,AK$5)="F",AND(AK$6&gt;0,$A710&lt;AK$6),AND(AK$7&gt;0,$A710&gt;AK$7)),0,MAX(0,ROUND((INDEX($E710:$G710,AK$5)-SUMIFS(TF_Timer,TF_Tekniker,AK$4,TF_Dato,$A710))*2,0)/2)))</f>
        <v/>
      </c>
      <c r="AL710">
        <f>IF(OR(AL$4="",$A710&gt;TODAY()),0,IF(OR(INDEX($B710:$D710,AL$5)="F",AND(AL$6&gt;0,$A710&lt;AL$6),AND(AL$7&gt;0,$A710&gt;AL$7)),0,MAX(0,ROUND((INDEX($E710:$G710,AL$5)-SUMIFS(TF_Timer,TF_Tekniker,AL$4,TF_Dato,$A710))*2,0)/2)))</f>
        <v/>
      </c>
      <c r="AM710">
        <f>IF(OR(AM$4="",$A710&gt;TODAY()),0,IF(OR(INDEX($B710:$D710,AM$5)="F",AND(AM$6&gt;0,$A710&lt;AM$6),AND(AM$7&gt;0,$A710&gt;AM$7)),0,MAX(0,ROUND((INDEX($E710:$G710,AM$5)-SUMIFS(TF_Timer,TF_Tekniker,AM$4,TF_Dato,$A710))*2,0)/2)))</f>
        <v/>
      </c>
      <c r="AN710">
        <f>IF(OR(AN$4="",$A710&gt;TODAY()),0,IF(OR(INDEX($B710:$D710,AN$5)="F",AND(AN$6&gt;0,$A710&lt;AN$6),AND(AN$7&gt;0,$A710&gt;AN$7)),0,MAX(0,ROUND((INDEX($E710:$G710,AN$5)-SUMIFS(TF_Timer,TF_Tekniker,AN$4,TF_Dato,$A710))*2,0)/2)))</f>
        <v/>
      </c>
      <c r="AO710">
        <f>IF(OR(AO$4="",$A710&gt;TODAY()),0,IF(OR(INDEX($B710:$D710,AO$5)="F",AND(AO$6&gt;0,$A710&lt;AO$6),AND(AO$7&gt;0,$A710&gt;AO$7)),0,MAX(0,ROUND((INDEX($E710:$G710,AO$5)-SUMIFS(TF_Timer,TF_Tekniker,AO$4,TF_Dato,$A710))*2,0)/2)))</f>
        <v/>
      </c>
      <c r="AP710">
        <f>IF(OR(AP$4="",$A710&gt;TODAY()),0,IF(OR(INDEX($B710:$D710,AP$5)="F",AND(AP$6&gt;0,$A710&lt;AP$6),AND(AP$7&gt;0,$A710&gt;AP$7)),0,MAX(0,ROUND((INDEX($E710:$G710,AP$5)-SUMIFS(TF_Timer,TF_Tekniker,AP$4,TF_Dato,$A710))*2,0)/2)))</f>
        <v/>
      </c>
      <c r="AQ710">
        <f>IF(OR(AQ$4="",$A710&gt;TODAY()),0,IF(OR(INDEX($B710:$D710,AQ$5)="F",AND(AQ$6&gt;0,$A710&lt;AQ$6),AND(AQ$7&gt;0,$A710&gt;AQ$7)),0,MAX(0,ROUND((INDEX($E710:$G710,AQ$5)-SUMIFS(TF_Timer,TF_Tekniker,AQ$4,TF_Dato,$A710))*2,0)/2)))</f>
        <v/>
      </c>
      <c r="AR710">
        <f>IF(OR(AR$4="",$A710&gt;TODAY()),0,IF(OR(INDEX($B710:$D710,AR$5)="F",AND(AR$6&gt;0,$A710&lt;AR$6),AND(AR$7&gt;0,$A710&gt;AR$7)),0,MAX(0,ROUND((INDEX($E710:$G710,AR$5)-SUMIFS(TF_Timer,TF_Tekniker,AR$4,TF_Dato,$A710))*2,0)/2)))</f>
        <v/>
      </c>
      <c r="AS710">
        <f>IF(OR(AS$4="",$A710&gt;TODAY()),0,IF(OR(INDEX($B710:$D710,AS$5)="F",AND(AS$6&gt;0,$A710&lt;AS$6),AND(AS$7&gt;0,$A710&gt;AS$7)),0,MAX(0,ROUND((INDEX($E710:$G710,AS$5)-SUMIFS(TF_Timer,TF_Tekniker,AS$4,TF_Dato,$A710))*2,0)/2)))</f>
        <v/>
      </c>
      <c r="AT710">
        <f>IF(OR(AT$4="",$A710&gt;TODAY()),0,IF(OR(INDEX($B710:$D710,AT$5)="F",AND(AT$6&gt;0,$A710&lt;AT$6),AND(AT$7&gt;0,$A710&gt;AT$7)),0,MAX(0,ROUND((INDEX($E710:$G710,AT$5)-SUMIFS(TF_Timer,TF_Tekniker,AT$4,TF_Dato,$A710))*2,0)/2)))</f>
        <v/>
      </c>
      <c r="AU710">
        <f>IF(OR(AU$4="",$A710&gt;TODAY()),0,IF(OR(INDEX($B710:$D710,AU$5)="F",AND(AU$6&gt;0,$A710&lt;AU$6),AND(AU$7&gt;0,$A710&gt;AU$7)),0,MAX(0,ROUND((INDEX($E710:$G710,AU$5)-SUMIFS(TF_Timer,TF_Tekniker,AU$4,TF_Dato,$A710))*2,0)/2)))</f>
        <v/>
      </c>
      <c r="AV710">
        <f>IF(OR(AV$4="",$A710&gt;TODAY()),0,IF(OR(INDEX($B710:$D710,AV$5)="F",AND(AV$6&gt;0,$A710&lt;AV$6),AND(AV$7&gt;0,$A710&gt;AV$7)),0,MAX(0,ROUND((INDEX($E710:$G710,AV$5)-SUMIFS(TF_Timer,TF_Tekniker,AV$4,TF_Dato,$A710))*2,0)/2)))</f>
        <v/>
      </c>
      <c r="AW710">
        <f>IF(OR(AW$4="",$A710&gt;TODAY()),0,IF(OR(INDEX($B710:$D710,AW$5)="F",AND(AW$6&gt;0,$A710&lt;AW$6),AND(AW$7&gt;0,$A710&gt;AW$7)),0,MAX(0,ROUND((INDEX($E710:$G710,AW$5)-SUMIFS(TF_Timer,TF_Tekniker,AW$4,TF_Dato,$A710))*2,0)/2)))</f>
        <v/>
      </c>
      <c r="AX710">
        <f>IF(OR(AX$4="",$A710&gt;TODAY()),0,IF(OR(INDEX($B710:$D710,AX$5)="F",AND(AX$6&gt;0,$A710&lt;AX$6),AND(AX$7&gt;0,$A710&gt;AX$7)),0,MAX(0,ROUND((INDEX($E710:$G710,AX$5)-SUMIFS(TF_Timer,TF_Tekniker,AX$4,TF_Dato,$A710))*2,0)/2)))</f>
        <v/>
      </c>
      <c r="AY710">
        <f>IF(OR(AY$4="",$A710&gt;TODAY()),0,IF(OR(INDEX($B710:$D710,AY$5)="F",AND(AY$6&gt;0,$A710&lt;AY$6),AND(AY$7&gt;0,$A710&gt;AY$7)),0,MAX(0,ROUND((INDEX($E710:$G710,AY$5)-SUMIFS(TF_Timer,TF_Tekniker,AY$4,TF_Dato,$A710))*2,0)/2)))</f>
        <v/>
      </c>
      <c r="AZ710">
        <f>IF(OR(AZ$4="",$A710&gt;TODAY()),0,IF(OR(INDEX($B710:$D710,AZ$5)="F",AND(AZ$6&gt;0,$A710&lt;AZ$6),AND(AZ$7&gt;0,$A710&gt;AZ$7)),0,MAX(0,ROUND((INDEX($E710:$G710,AZ$5)-SUMIFS(TF_Timer,TF_Tekniker,AZ$4,TF_Dato,$A710))*2,0)/2)))</f>
        <v/>
      </c>
      <c r="BA710">
        <f>IF(OR(BA$4="",$A710&gt;TODAY()),0,IF(OR(INDEX($B710:$D710,BA$5)="F",AND(BA$6&gt;0,$A710&lt;BA$6),AND(BA$7&gt;0,$A710&gt;BA$7)),0,MAX(0,ROUND((INDEX($E710:$G710,BA$5)-SUMIFS(TF_Timer,TF_Tekniker,BA$4,TF_Dato,$A710))*2,0)/2)))</f>
        <v/>
      </c>
      <c r="BB710">
        <f>IF(OR(BB$4="",$A710&gt;TODAY()),0,IF(OR(INDEX($B710:$D710,BB$5)="F",AND(BB$6&gt;0,$A710&lt;BB$6),AND(BB$7&gt;0,$A710&gt;BB$7)),0,MAX(0,ROUND((INDEX($E710:$G710,BB$5)-SUMIFS(TF_Timer,TF_Tekniker,BB$4,TF_Dato,$A710))*2,0)/2)))</f>
        <v/>
      </c>
      <c r="BC710">
        <f>IF(OR(BC$4="",$A710&gt;TODAY()),0,IF(OR(INDEX($B710:$D710,BC$5)="F",AND(BC$6&gt;0,$A710&lt;BC$6),AND(BC$7&gt;0,$A710&gt;BC$7)),0,MAX(0,ROUND((INDEX($E710:$G710,BC$5)-SUMIFS(TF_Timer,TF_Tekniker,BC$4,TF_Dato,$A710))*2,0)/2)))</f>
        <v/>
      </c>
      <c r="BD710">
        <f>IF(OR(BD$4="",$A710&gt;TODAY()),0,IF(OR(INDEX($B710:$D710,BD$5)="F",AND(BD$6&gt;0,$A710&lt;BD$6),AND(BD$7&gt;0,$A710&gt;BD$7)),0,MAX(0,ROUND((INDEX($E710:$G710,BD$5)-SUMIFS(TF_Timer,TF_Tekniker,BD$4,TF_Dato,$A710))*2,0)/2)))</f>
        <v/>
      </c>
      <c r="BE710">
        <f>IF(OR(BE$4="",$A710&gt;TODAY()),0,IF(OR(INDEX($B710:$D710,BE$5)="F",AND(BE$6&gt;0,$A710&lt;BE$6),AND(BE$7&gt;0,$A710&gt;BE$7)),0,MAX(0,ROUND((INDEX($E710:$G710,BE$5)-SUMIFS(TF_Timer,TF_Tekniker,BE$4,TF_Dato,$A710))*2,0)/2)))</f>
        <v/>
      </c>
      <c r="BF710">
        <f>IF(OR(BF$4="",$A710&gt;TODAY()),0,IF(OR(INDEX($B710:$D710,BF$5)="F",AND(BF$6&gt;0,$A710&lt;BF$6),AND(BF$7&gt;0,$A710&gt;BF$7)),0,MAX(0,ROUND((INDEX($E710:$G710,BF$5)-SUMIFS(TF_Timer,TF_Tekniker,BF$4,TF_Dato,$A710))*2,0)/2)))</f>
        <v/>
      </c>
      <c r="BG710">
        <f>IF(OR(BG$4="",$A710&gt;TODAY()),0,IF(OR(INDEX($B710:$D710,BG$5)="F",AND(BG$6&gt;0,$A710&lt;BG$6),AND(BG$7&gt;0,$A710&gt;BG$7)),0,MAX(0,ROUND((INDEX($E710:$G710,BG$5)-SUMIFS(TF_Timer,TF_Tekniker,BG$4,TF_Dato,$A710))*2,0)/2)))</f>
        <v/>
      </c>
      <c r="BH710">
        <f>IF(OR(BH$4="",$A710&gt;TODAY()),0,IF(OR(INDEX($B710:$D710,BH$5)="F",AND(BH$6&gt;0,$A710&lt;BH$6),AND(BH$7&gt;0,$A710&gt;BH$7)),0,MAX(0,ROUND((INDEX($E710:$G710,BH$5)-SUMIFS(TF_Timer,TF_Tekniker,BH$4,TF_Dato,$A710))*2,0)/2)))</f>
        <v/>
      </c>
      <c r="BI710">
        <f>IF(OR(BI$4="",$A710&gt;TODAY()),0,IF(OR(INDEX($B710:$D710,BI$5)="F",AND(BI$6&gt;0,$A710&lt;BI$6),AND(BI$7&gt;0,$A710&gt;BI$7)),0,MAX(0,ROUND((INDEX($E710:$G710,BI$5)-SUMIFS(TF_Timer,TF_Tekniker,BI$4,TF_Dato,$A710))*2,0)/2)))</f>
        <v/>
      </c>
    </row>
    <row r="711">
      <c r="A711" s="64">
        <f>A710+1</f>
        <v/>
      </c>
      <c r="B711">
        <f>IF(MOD($A711-INDEX(SkiftStart,1),Syklus)&lt;DagK,"K",IF(MOD($A711-INDEX(SkiftStart,1),Syklus)&lt;DagK+DagH,"H",IF(MOD($A711-INDEX(SkiftStart,1),Syklus)&lt;DagK+DagH+DagD,"D","F")))</f>
        <v/>
      </c>
      <c r="C711">
        <f>IF(MOD($A711-INDEX(SkiftStart,2),Syklus)&lt;DagK,"K",IF(MOD($A711-INDEX(SkiftStart,2),Syklus)&lt;DagK+DagH,"H",IF(MOD($A711-INDEX(SkiftStart,2),Syklus)&lt;DagK+DagH+DagD,"D","F")))</f>
        <v/>
      </c>
      <c r="D711">
        <f>IF(MOD($A711-INDEX(SkiftStart,3),Syklus)&lt;DagK,"K",IF(MOD($A711-INDEX(SkiftStart,3),Syklus)&lt;DagK+DagH,"H",IF(MOD($A711-INDEX(SkiftStart,3),Syklus)&lt;DagK+DagH+DagD,"D","F")))</f>
        <v/>
      </c>
      <c r="E711">
        <f>IF(B711="F",0,IF(WEEKDAY($A711,2)=5,INDEX(TimerFr,MATCH(B711,FaseKode,0)),INDEX(TimerMT,MATCH(B711,FaseKode,0))))</f>
        <v/>
      </c>
      <c r="F711">
        <f>IF(C711="F",0,IF(WEEKDAY($A711,2)=5,INDEX(TimerFr,MATCH(C711,FaseKode,0)),INDEX(TimerMT,MATCH(C711,FaseKode,0))))</f>
        <v/>
      </c>
      <c r="G711">
        <f>IF(D711="F",0,IF(WEEKDAY($A711,2)=5,INDEX(TimerFr,MATCH(D711,FaseKode,0)),INDEX(TimerMT,MATCH(D711,FaseKode,0))))</f>
        <v/>
      </c>
      <c r="H711">
        <f>IF(OR(H$4="",$A711&gt;TODAY()),0,IF(OR(INDEX($B711:$D711,H$5)="F",AND(H$6&gt;0,$A711&lt;H$6),AND(H$7&gt;0,$A711&gt;H$7)),0,MAX(0,ROUND((INDEX($E711:$G711,H$5)-SUMIFS(TF_Timer,TF_Tekniker,H$4,TF_Dato,$A711))*2,0)/2)))</f>
        <v/>
      </c>
      <c r="I711">
        <f>IF(OR(I$4="",$A711&gt;TODAY()),0,IF(OR(INDEX($B711:$D711,I$5)="F",AND(I$6&gt;0,$A711&lt;I$6),AND(I$7&gt;0,$A711&gt;I$7)),0,MAX(0,ROUND((INDEX($E711:$G711,I$5)-SUMIFS(TF_Timer,TF_Tekniker,I$4,TF_Dato,$A711))*2,0)/2)))</f>
        <v/>
      </c>
      <c r="J711">
        <f>IF(OR(J$4="",$A711&gt;TODAY()),0,IF(OR(INDEX($B711:$D711,J$5)="F",AND(J$6&gt;0,$A711&lt;J$6),AND(J$7&gt;0,$A711&gt;J$7)),0,MAX(0,ROUND((INDEX($E711:$G711,J$5)-SUMIFS(TF_Timer,TF_Tekniker,J$4,TF_Dato,$A711))*2,0)/2)))</f>
        <v/>
      </c>
      <c r="K711">
        <f>IF(OR(K$4="",$A711&gt;TODAY()),0,IF(OR(INDEX($B711:$D711,K$5)="F",AND(K$6&gt;0,$A711&lt;K$6),AND(K$7&gt;0,$A711&gt;K$7)),0,MAX(0,ROUND((INDEX($E711:$G711,K$5)-SUMIFS(TF_Timer,TF_Tekniker,K$4,TF_Dato,$A711))*2,0)/2)))</f>
        <v/>
      </c>
      <c r="L711">
        <f>IF(OR(L$4="",$A711&gt;TODAY()),0,IF(OR(INDEX($B711:$D711,L$5)="F",AND(L$6&gt;0,$A711&lt;L$6),AND(L$7&gt;0,$A711&gt;L$7)),0,MAX(0,ROUND((INDEX($E711:$G711,L$5)-SUMIFS(TF_Timer,TF_Tekniker,L$4,TF_Dato,$A711))*2,0)/2)))</f>
        <v/>
      </c>
      <c r="M711">
        <f>IF(OR(M$4="",$A711&gt;TODAY()),0,IF(OR(INDEX($B711:$D711,M$5)="F",AND(M$6&gt;0,$A711&lt;M$6),AND(M$7&gt;0,$A711&gt;M$7)),0,MAX(0,ROUND((INDEX($E711:$G711,M$5)-SUMIFS(TF_Timer,TF_Tekniker,M$4,TF_Dato,$A711))*2,0)/2)))</f>
        <v/>
      </c>
      <c r="N711">
        <f>IF(OR(N$4="",$A711&gt;TODAY()),0,IF(OR(INDEX($B711:$D711,N$5)="F",AND(N$6&gt;0,$A711&lt;N$6),AND(N$7&gt;0,$A711&gt;N$7)),0,MAX(0,ROUND((INDEX($E711:$G711,N$5)-SUMIFS(TF_Timer,TF_Tekniker,N$4,TF_Dato,$A711))*2,0)/2)))</f>
        <v/>
      </c>
      <c r="O711">
        <f>IF(OR(O$4="",$A711&gt;TODAY()),0,IF(OR(INDEX($B711:$D711,O$5)="F",AND(O$6&gt;0,$A711&lt;O$6),AND(O$7&gt;0,$A711&gt;O$7)),0,MAX(0,ROUND((INDEX($E711:$G711,O$5)-SUMIFS(TF_Timer,TF_Tekniker,O$4,TF_Dato,$A711))*2,0)/2)))</f>
        <v/>
      </c>
      <c r="P711">
        <f>IF(OR(P$4="",$A711&gt;TODAY()),0,IF(OR(INDEX($B711:$D711,P$5)="F",AND(P$6&gt;0,$A711&lt;P$6),AND(P$7&gt;0,$A711&gt;P$7)),0,MAX(0,ROUND((INDEX($E711:$G711,P$5)-SUMIFS(TF_Timer,TF_Tekniker,P$4,TF_Dato,$A711))*2,0)/2)))</f>
        <v/>
      </c>
      <c r="Q711">
        <f>IF(OR(Q$4="",$A711&gt;TODAY()),0,IF(OR(INDEX($B711:$D711,Q$5)="F",AND(Q$6&gt;0,$A711&lt;Q$6),AND(Q$7&gt;0,$A711&gt;Q$7)),0,MAX(0,ROUND((INDEX($E711:$G711,Q$5)-SUMIFS(TF_Timer,TF_Tekniker,Q$4,TF_Dato,$A711))*2,0)/2)))</f>
        <v/>
      </c>
      <c r="R711">
        <f>IF(OR(R$4="",$A711&gt;TODAY()),0,IF(OR(INDEX($B711:$D711,R$5)="F",AND(R$6&gt;0,$A711&lt;R$6),AND(R$7&gt;0,$A711&gt;R$7)),0,MAX(0,ROUND((INDEX($E711:$G711,R$5)-SUMIFS(TF_Timer,TF_Tekniker,R$4,TF_Dato,$A711))*2,0)/2)))</f>
        <v/>
      </c>
      <c r="S711">
        <f>IF(OR(S$4="",$A711&gt;TODAY()),0,IF(OR(INDEX($B711:$D711,S$5)="F",AND(S$6&gt;0,$A711&lt;S$6),AND(S$7&gt;0,$A711&gt;S$7)),0,MAX(0,ROUND((INDEX($E711:$G711,S$5)-SUMIFS(TF_Timer,TF_Tekniker,S$4,TF_Dato,$A711))*2,0)/2)))</f>
        <v/>
      </c>
      <c r="T711">
        <f>IF(OR(T$4="",$A711&gt;TODAY()),0,IF(OR(INDEX($B711:$D711,T$5)="F",AND(T$6&gt;0,$A711&lt;T$6),AND(T$7&gt;0,$A711&gt;T$7)),0,MAX(0,ROUND((INDEX($E711:$G711,T$5)-SUMIFS(TF_Timer,TF_Tekniker,T$4,TF_Dato,$A711))*2,0)/2)))</f>
        <v/>
      </c>
      <c r="U711">
        <f>IF(OR(U$4="",$A711&gt;TODAY()),0,IF(OR(INDEX($B711:$D711,U$5)="F",AND(U$6&gt;0,$A711&lt;U$6),AND(U$7&gt;0,$A711&gt;U$7)),0,MAX(0,ROUND((INDEX($E711:$G711,U$5)-SUMIFS(TF_Timer,TF_Tekniker,U$4,TF_Dato,$A711))*2,0)/2)))</f>
        <v/>
      </c>
      <c r="V711">
        <f>IF(OR(V$4="",$A711&gt;TODAY()),0,IF(OR(INDEX($B711:$D711,V$5)="F",AND(V$6&gt;0,$A711&lt;V$6),AND(V$7&gt;0,$A711&gt;V$7)),0,MAX(0,ROUND((INDEX($E711:$G711,V$5)-SUMIFS(TF_Timer,TF_Tekniker,V$4,TF_Dato,$A711))*2,0)/2)))</f>
        <v/>
      </c>
      <c r="W711">
        <f>IF(OR(W$4="",$A711&gt;TODAY()),0,IF(OR(INDEX($B711:$D711,W$5)="F",AND(W$6&gt;0,$A711&lt;W$6),AND(W$7&gt;0,$A711&gt;W$7)),0,MAX(0,ROUND((INDEX($E711:$G711,W$5)-SUMIFS(TF_Timer,TF_Tekniker,W$4,TF_Dato,$A711))*2,0)/2)))</f>
        <v/>
      </c>
      <c r="X711">
        <f>IF(OR(X$4="",$A711&gt;TODAY()),0,IF(OR(INDEX($B711:$D711,X$5)="F",AND(X$6&gt;0,$A711&lt;X$6),AND(X$7&gt;0,$A711&gt;X$7)),0,MAX(0,ROUND((INDEX($E711:$G711,X$5)-SUMIFS(TF_Timer,TF_Tekniker,X$4,TF_Dato,$A711))*2,0)/2)))</f>
        <v/>
      </c>
      <c r="Y711">
        <f>IF(OR(Y$4="",$A711&gt;TODAY()),0,IF(OR(INDEX($B711:$D711,Y$5)="F",AND(Y$6&gt;0,$A711&lt;Y$6),AND(Y$7&gt;0,$A711&gt;Y$7)),0,MAX(0,ROUND((INDEX($E711:$G711,Y$5)-SUMIFS(TF_Timer,TF_Tekniker,Y$4,TF_Dato,$A711))*2,0)/2)))</f>
        <v/>
      </c>
      <c r="Z711">
        <f>IF(OR(Z$4="",$A711&gt;TODAY()),0,IF(OR(INDEX($B711:$D711,Z$5)="F",AND(Z$6&gt;0,$A711&lt;Z$6),AND(Z$7&gt;0,$A711&gt;Z$7)),0,MAX(0,ROUND((INDEX($E711:$G711,Z$5)-SUMIFS(TF_Timer,TF_Tekniker,Z$4,TF_Dato,$A711))*2,0)/2)))</f>
        <v/>
      </c>
      <c r="AA711">
        <f>IF(OR(AA$4="",$A711&gt;TODAY()),0,IF(OR(INDEX($B711:$D711,AA$5)="F",AND(AA$6&gt;0,$A711&lt;AA$6),AND(AA$7&gt;0,$A711&gt;AA$7)),0,MAX(0,ROUND((INDEX($E711:$G711,AA$5)-SUMIFS(TF_Timer,TF_Tekniker,AA$4,TF_Dato,$A711))*2,0)/2)))</f>
        <v/>
      </c>
      <c r="AB711">
        <f>IF(OR(AB$4="",$A711&gt;TODAY()),0,IF(OR(INDEX($B711:$D711,AB$5)="F",AND(AB$6&gt;0,$A711&lt;AB$6),AND(AB$7&gt;0,$A711&gt;AB$7)),0,MAX(0,ROUND((INDEX($E711:$G711,AB$5)-SUMIFS(TF_Timer,TF_Tekniker,AB$4,TF_Dato,$A711))*2,0)/2)))</f>
        <v/>
      </c>
      <c r="AC711">
        <f>IF(OR(AC$4="",$A711&gt;TODAY()),0,IF(OR(INDEX($B711:$D711,AC$5)="F",AND(AC$6&gt;0,$A711&lt;AC$6),AND(AC$7&gt;0,$A711&gt;AC$7)),0,MAX(0,ROUND((INDEX($E711:$G711,AC$5)-SUMIFS(TF_Timer,TF_Tekniker,AC$4,TF_Dato,$A711))*2,0)/2)))</f>
        <v/>
      </c>
      <c r="AD711">
        <f>IF(OR(AD$4="",$A711&gt;TODAY()),0,IF(OR(INDEX($B711:$D711,AD$5)="F",AND(AD$6&gt;0,$A711&lt;AD$6),AND(AD$7&gt;0,$A711&gt;AD$7)),0,MAX(0,ROUND((INDEX($E711:$G711,AD$5)-SUMIFS(TF_Timer,TF_Tekniker,AD$4,TF_Dato,$A711))*2,0)/2)))</f>
        <v/>
      </c>
      <c r="AE711">
        <f>IF(OR(AE$4="",$A711&gt;TODAY()),0,IF(OR(INDEX($B711:$D711,AE$5)="F",AND(AE$6&gt;0,$A711&lt;AE$6),AND(AE$7&gt;0,$A711&gt;AE$7)),0,MAX(0,ROUND((INDEX($E711:$G711,AE$5)-SUMIFS(TF_Timer,TF_Tekniker,AE$4,TF_Dato,$A711))*2,0)/2)))</f>
        <v/>
      </c>
      <c r="AF711">
        <f>IF(OR(AF$4="",$A711&gt;TODAY()),0,IF(OR(INDEX($B711:$D711,AF$5)="F",AND(AF$6&gt;0,$A711&lt;AF$6),AND(AF$7&gt;0,$A711&gt;AF$7)),0,MAX(0,ROUND((INDEX($E711:$G711,AF$5)-SUMIFS(TF_Timer,TF_Tekniker,AF$4,TF_Dato,$A711))*2,0)/2)))</f>
        <v/>
      </c>
      <c r="AG711">
        <f>IF(OR(AG$4="",$A711&gt;TODAY()),0,IF(OR(INDEX($B711:$D711,AG$5)="F",AND(AG$6&gt;0,$A711&lt;AG$6),AND(AG$7&gt;0,$A711&gt;AG$7)),0,MAX(0,ROUND((INDEX($E711:$G711,AG$5)-SUMIFS(TF_Timer,TF_Tekniker,AG$4,TF_Dato,$A711))*2,0)/2)))</f>
        <v/>
      </c>
      <c r="AH711">
        <f>IF(OR(AH$4="",$A711&gt;TODAY()),0,IF(OR(INDEX($B711:$D711,AH$5)="F",AND(AH$6&gt;0,$A711&lt;AH$6),AND(AH$7&gt;0,$A711&gt;AH$7)),0,MAX(0,ROUND((INDEX($E711:$G711,AH$5)-SUMIFS(TF_Timer,TF_Tekniker,AH$4,TF_Dato,$A711))*2,0)/2)))</f>
        <v/>
      </c>
      <c r="AI711">
        <f>IF(OR(AI$4="",$A711&gt;TODAY()),0,IF(OR(INDEX($B711:$D711,AI$5)="F",AND(AI$6&gt;0,$A711&lt;AI$6),AND(AI$7&gt;0,$A711&gt;AI$7)),0,MAX(0,ROUND((INDEX($E711:$G711,AI$5)-SUMIFS(TF_Timer,TF_Tekniker,AI$4,TF_Dato,$A711))*2,0)/2)))</f>
        <v/>
      </c>
      <c r="AJ711">
        <f>IF(OR(AJ$4="",$A711&gt;TODAY()),0,IF(OR(INDEX($B711:$D711,AJ$5)="F",AND(AJ$6&gt;0,$A711&lt;AJ$6),AND(AJ$7&gt;0,$A711&gt;AJ$7)),0,MAX(0,ROUND((INDEX($E711:$G711,AJ$5)-SUMIFS(TF_Timer,TF_Tekniker,AJ$4,TF_Dato,$A711))*2,0)/2)))</f>
        <v/>
      </c>
      <c r="AK711">
        <f>IF(OR(AK$4="",$A711&gt;TODAY()),0,IF(OR(INDEX($B711:$D711,AK$5)="F",AND(AK$6&gt;0,$A711&lt;AK$6),AND(AK$7&gt;0,$A711&gt;AK$7)),0,MAX(0,ROUND((INDEX($E711:$G711,AK$5)-SUMIFS(TF_Timer,TF_Tekniker,AK$4,TF_Dato,$A711))*2,0)/2)))</f>
        <v/>
      </c>
      <c r="AL711">
        <f>IF(OR(AL$4="",$A711&gt;TODAY()),0,IF(OR(INDEX($B711:$D711,AL$5)="F",AND(AL$6&gt;0,$A711&lt;AL$6),AND(AL$7&gt;0,$A711&gt;AL$7)),0,MAX(0,ROUND((INDEX($E711:$G711,AL$5)-SUMIFS(TF_Timer,TF_Tekniker,AL$4,TF_Dato,$A711))*2,0)/2)))</f>
        <v/>
      </c>
      <c r="AM711">
        <f>IF(OR(AM$4="",$A711&gt;TODAY()),0,IF(OR(INDEX($B711:$D711,AM$5)="F",AND(AM$6&gt;0,$A711&lt;AM$6),AND(AM$7&gt;0,$A711&gt;AM$7)),0,MAX(0,ROUND((INDEX($E711:$G711,AM$5)-SUMIFS(TF_Timer,TF_Tekniker,AM$4,TF_Dato,$A711))*2,0)/2)))</f>
        <v/>
      </c>
      <c r="AN711">
        <f>IF(OR(AN$4="",$A711&gt;TODAY()),0,IF(OR(INDEX($B711:$D711,AN$5)="F",AND(AN$6&gt;0,$A711&lt;AN$6),AND(AN$7&gt;0,$A711&gt;AN$7)),0,MAX(0,ROUND((INDEX($E711:$G711,AN$5)-SUMIFS(TF_Timer,TF_Tekniker,AN$4,TF_Dato,$A711))*2,0)/2)))</f>
        <v/>
      </c>
      <c r="AO711">
        <f>IF(OR(AO$4="",$A711&gt;TODAY()),0,IF(OR(INDEX($B711:$D711,AO$5)="F",AND(AO$6&gt;0,$A711&lt;AO$6),AND(AO$7&gt;0,$A711&gt;AO$7)),0,MAX(0,ROUND((INDEX($E711:$G711,AO$5)-SUMIFS(TF_Timer,TF_Tekniker,AO$4,TF_Dato,$A711))*2,0)/2)))</f>
        <v/>
      </c>
      <c r="AP711">
        <f>IF(OR(AP$4="",$A711&gt;TODAY()),0,IF(OR(INDEX($B711:$D711,AP$5)="F",AND(AP$6&gt;0,$A711&lt;AP$6),AND(AP$7&gt;0,$A711&gt;AP$7)),0,MAX(0,ROUND((INDEX($E711:$G711,AP$5)-SUMIFS(TF_Timer,TF_Tekniker,AP$4,TF_Dato,$A711))*2,0)/2)))</f>
        <v/>
      </c>
      <c r="AQ711">
        <f>IF(OR(AQ$4="",$A711&gt;TODAY()),0,IF(OR(INDEX($B711:$D711,AQ$5)="F",AND(AQ$6&gt;0,$A711&lt;AQ$6),AND(AQ$7&gt;0,$A711&gt;AQ$7)),0,MAX(0,ROUND((INDEX($E711:$G711,AQ$5)-SUMIFS(TF_Timer,TF_Tekniker,AQ$4,TF_Dato,$A711))*2,0)/2)))</f>
        <v/>
      </c>
      <c r="AR711">
        <f>IF(OR(AR$4="",$A711&gt;TODAY()),0,IF(OR(INDEX($B711:$D711,AR$5)="F",AND(AR$6&gt;0,$A711&lt;AR$6),AND(AR$7&gt;0,$A711&gt;AR$7)),0,MAX(0,ROUND((INDEX($E711:$G711,AR$5)-SUMIFS(TF_Timer,TF_Tekniker,AR$4,TF_Dato,$A711))*2,0)/2)))</f>
        <v/>
      </c>
      <c r="AS711">
        <f>IF(OR(AS$4="",$A711&gt;TODAY()),0,IF(OR(INDEX($B711:$D711,AS$5)="F",AND(AS$6&gt;0,$A711&lt;AS$6),AND(AS$7&gt;0,$A711&gt;AS$7)),0,MAX(0,ROUND((INDEX($E711:$G711,AS$5)-SUMIFS(TF_Timer,TF_Tekniker,AS$4,TF_Dato,$A711))*2,0)/2)))</f>
        <v/>
      </c>
      <c r="AT711">
        <f>IF(OR(AT$4="",$A711&gt;TODAY()),0,IF(OR(INDEX($B711:$D711,AT$5)="F",AND(AT$6&gt;0,$A711&lt;AT$6),AND(AT$7&gt;0,$A711&gt;AT$7)),0,MAX(0,ROUND((INDEX($E711:$G711,AT$5)-SUMIFS(TF_Timer,TF_Tekniker,AT$4,TF_Dato,$A711))*2,0)/2)))</f>
        <v/>
      </c>
      <c r="AU711">
        <f>IF(OR(AU$4="",$A711&gt;TODAY()),0,IF(OR(INDEX($B711:$D711,AU$5)="F",AND(AU$6&gt;0,$A711&lt;AU$6),AND(AU$7&gt;0,$A711&gt;AU$7)),0,MAX(0,ROUND((INDEX($E711:$G711,AU$5)-SUMIFS(TF_Timer,TF_Tekniker,AU$4,TF_Dato,$A711))*2,0)/2)))</f>
        <v/>
      </c>
      <c r="AV711">
        <f>IF(OR(AV$4="",$A711&gt;TODAY()),0,IF(OR(INDEX($B711:$D711,AV$5)="F",AND(AV$6&gt;0,$A711&lt;AV$6),AND(AV$7&gt;0,$A711&gt;AV$7)),0,MAX(0,ROUND((INDEX($E711:$G711,AV$5)-SUMIFS(TF_Timer,TF_Tekniker,AV$4,TF_Dato,$A711))*2,0)/2)))</f>
        <v/>
      </c>
      <c r="AW711">
        <f>IF(OR(AW$4="",$A711&gt;TODAY()),0,IF(OR(INDEX($B711:$D711,AW$5)="F",AND(AW$6&gt;0,$A711&lt;AW$6),AND(AW$7&gt;0,$A711&gt;AW$7)),0,MAX(0,ROUND((INDEX($E711:$G711,AW$5)-SUMIFS(TF_Timer,TF_Tekniker,AW$4,TF_Dato,$A711))*2,0)/2)))</f>
        <v/>
      </c>
      <c r="AX711">
        <f>IF(OR(AX$4="",$A711&gt;TODAY()),0,IF(OR(INDEX($B711:$D711,AX$5)="F",AND(AX$6&gt;0,$A711&lt;AX$6),AND(AX$7&gt;0,$A711&gt;AX$7)),0,MAX(0,ROUND((INDEX($E711:$G711,AX$5)-SUMIFS(TF_Timer,TF_Tekniker,AX$4,TF_Dato,$A711))*2,0)/2)))</f>
        <v/>
      </c>
      <c r="AY711">
        <f>IF(OR(AY$4="",$A711&gt;TODAY()),0,IF(OR(INDEX($B711:$D711,AY$5)="F",AND(AY$6&gt;0,$A711&lt;AY$6),AND(AY$7&gt;0,$A711&gt;AY$7)),0,MAX(0,ROUND((INDEX($E711:$G711,AY$5)-SUMIFS(TF_Timer,TF_Tekniker,AY$4,TF_Dato,$A711))*2,0)/2)))</f>
        <v/>
      </c>
      <c r="AZ711">
        <f>IF(OR(AZ$4="",$A711&gt;TODAY()),0,IF(OR(INDEX($B711:$D711,AZ$5)="F",AND(AZ$6&gt;0,$A711&lt;AZ$6),AND(AZ$7&gt;0,$A711&gt;AZ$7)),0,MAX(0,ROUND((INDEX($E711:$G711,AZ$5)-SUMIFS(TF_Timer,TF_Tekniker,AZ$4,TF_Dato,$A711))*2,0)/2)))</f>
        <v/>
      </c>
      <c r="BA711">
        <f>IF(OR(BA$4="",$A711&gt;TODAY()),0,IF(OR(INDEX($B711:$D711,BA$5)="F",AND(BA$6&gt;0,$A711&lt;BA$6),AND(BA$7&gt;0,$A711&gt;BA$7)),0,MAX(0,ROUND((INDEX($E711:$G711,BA$5)-SUMIFS(TF_Timer,TF_Tekniker,BA$4,TF_Dato,$A711))*2,0)/2)))</f>
        <v/>
      </c>
      <c r="BB711">
        <f>IF(OR(BB$4="",$A711&gt;TODAY()),0,IF(OR(INDEX($B711:$D711,BB$5)="F",AND(BB$6&gt;0,$A711&lt;BB$6),AND(BB$7&gt;0,$A711&gt;BB$7)),0,MAX(0,ROUND((INDEX($E711:$G711,BB$5)-SUMIFS(TF_Timer,TF_Tekniker,BB$4,TF_Dato,$A711))*2,0)/2)))</f>
        <v/>
      </c>
      <c r="BC711">
        <f>IF(OR(BC$4="",$A711&gt;TODAY()),0,IF(OR(INDEX($B711:$D711,BC$5)="F",AND(BC$6&gt;0,$A711&lt;BC$6),AND(BC$7&gt;0,$A711&gt;BC$7)),0,MAX(0,ROUND((INDEX($E711:$G711,BC$5)-SUMIFS(TF_Timer,TF_Tekniker,BC$4,TF_Dato,$A711))*2,0)/2)))</f>
        <v/>
      </c>
      <c r="BD711">
        <f>IF(OR(BD$4="",$A711&gt;TODAY()),0,IF(OR(INDEX($B711:$D711,BD$5)="F",AND(BD$6&gt;0,$A711&lt;BD$6),AND(BD$7&gt;0,$A711&gt;BD$7)),0,MAX(0,ROUND((INDEX($E711:$G711,BD$5)-SUMIFS(TF_Timer,TF_Tekniker,BD$4,TF_Dato,$A711))*2,0)/2)))</f>
        <v/>
      </c>
      <c r="BE711">
        <f>IF(OR(BE$4="",$A711&gt;TODAY()),0,IF(OR(INDEX($B711:$D711,BE$5)="F",AND(BE$6&gt;0,$A711&lt;BE$6),AND(BE$7&gt;0,$A711&gt;BE$7)),0,MAX(0,ROUND((INDEX($E711:$G711,BE$5)-SUMIFS(TF_Timer,TF_Tekniker,BE$4,TF_Dato,$A711))*2,0)/2)))</f>
        <v/>
      </c>
      <c r="BF711">
        <f>IF(OR(BF$4="",$A711&gt;TODAY()),0,IF(OR(INDEX($B711:$D711,BF$5)="F",AND(BF$6&gt;0,$A711&lt;BF$6),AND(BF$7&gt;0,$A711&gt;BF$7)),0,MAX(0,ROUND((INDEX($E711:$G711,BF$5)-SUMIFS(TF_Timer,TF_Tekniker,BF$4,TF_Dato,$A711))*2,0)/2)))</f>
        <v/>
      </c>
      <c r="BG711">
        <f>IF(OR(BG$4="",$A711&gt;TODAY()),0,IF(OR(INDEX($B711:$D711,BG$5)="F",AND(BG$6&gt;0,$A711&lt;BG$6),AND(BG$7&gt;0,$A711&gt;BG$7)),0,MAX(0,ROUND((INDEX($E711:$G711,BG$5)-SUMIFS(TF_Timer,TF_Tekniker,BG$4,TF_Dato,$A711))*2,0)/2)))</f>
        <v/>
      </c>
      <c r="BH711">
        <f>IF(OR(BH$4="",$A711&gt;TODAY()),0,IF(OR(INDEX($B711:$D711,BH$5)="F",AND(BH$6&gt;0,$A711&lt;BH$6),AND(BH$7&gt;0,$A711&gt;BH$7)),0,MAX(0,ROUND((INDEX($E711:$G711,BH$5)-SUMIFS(TF_Timer,TF_Tekniker,BH$4,TF_Dato,$A711))*2,0)/2)))</f>
        <v/>
      </c>
      <c r="BI711">
        <f>IF(OR(BI$4="",$A711&gt;TODAY()),0,IF(OR(INDEX($B711:$D711,BI$5)="F",AND(BI$6&gt;0,$A711&lt;BI$6),AND(BI$7&gt;0,$A711&gt;BI$7)),0,MAX(0,ROUND((INDEX($E711:$G711,BI$5)-SUMIFS(TF_Timer,TF_Tekniker,BI$4,TF_Dato,$A711))*2,0)/2)))</f>
        <v/>
      </c>
    </row>
    <row r="712">
      <c r="A712" s="64">
        <f>A711+1</f>
        <v/>
      </c>
      <c r="B712">
        <f>IF(MOD($A712-INDEX(SkiftStart,1),Syklus)&lt;DagK,"K",IF(MOD($A712-INDEX(SkiftStart,1),Syklus)&lt;DagK+DagH,"H",IF(MOD($A712-INDEX(SkiftStart,1),Syklus)&lt;DagK+DagH+DagD,"D","F")))</f>
        <v/>
      </c>
      <c r="C712">
        <f>IF(MOD($A712-INDEX(SkiftStart,2),Syklus)&lt;DagK,"K",IF(MOD($A712-INDEX(SkiftStart,2),Syklus)&lt;DagK+DagH,"H",IF(MOD($A712-INDEX(SkiftStart,2),Syklus)&lt;DagK+DagH+DagD,"D","F")))</f>
        <v/>
      </c>
      <c r="D712">
        <f>IF(MOD($A712-INDEX(SkiftStart,3),Syklus)&lt;DagK,"K",IF(MOD($A712-INDEX(SkiftStart,3),Syklus)&lt;DagK+DagH,"H",IF(MOD($A712-INDEX(SkiftStart,3),Syklus)&lt;DagK+DagH+DagD,"D","F")))</f>
        <v/>
      </c>
      <c r="E712">
        <f>IF(B712="F",0,IF(WEEKDAY($A712,2)=5,INDEX(TimerFr,MATCH(B712,FaseKode,0)),INDEX(TimerMT,MATCH(B712,FaseKode,0))))</f>
        <v/>
      </c>
      <c r="F712">
        <f>IF(C712="F",0,IF(WEEKDAY($A712,2)=5,INDEX(TimerFr,MATCH(C712,FaseKode,0)),INDEX(TimerMT,MATCH(C712,FaseKode,0))))</f>
        <v/>
      </c>
      <c r="G712">
        <f>IF(D712="F",0,IF(WEEKDAY($A712,2)=5,INDEX(TimerFr,MATCH(D712,FaseKode,0)),INDEX(TimerMT,MATCH(D712,FaseKode,0))))</f>
        <v/>
      </c>
      <c r="H712">
        <f>IF(OR(H$4="",$A712&gt;TODAY()),0,IF(OR(INDEX($B712:$D712,H$5)="F",AND(H$6&gt;0,$A712&lt;H$6),AND(H$7&gt;0,$A712&gt;H$7)),0,MAX(0,ROUND((INDEX($E712:$G712,H$5)-SUMIFS(TF_Timer,TF_Tekniker,H$4,TF_Dato,$A712))*2,0)/2)))</f>
        <v/>
      </c>
      <c r="I712">
        <f>IF(OR(I$4="",$A712&gt;TODAY()),0,IF(OR(INDEX($B712:$D712,I$5)="F",AND(I$6&gt;0,$A712&lt;I$6),AND(I$7&gt;0,$A712&gt;I$7)),0,MAX(0,ROUND((INDEX($E712:$G712,I$5)-SUMIFS(TF_Timer,TF_Tekniker,I$4,TF_Dato,$A712))*2,0)/2)))</f>
        <v/>
      </c>
      <c r="J712">
        <f>IF(OR(J$4="",$A712&gt;TODAY()),0,IF(OR(INDEX($B712:$D712,J$5)="F",AND(J$6&gt;0,$A712&lt;J$6),AND(J$7&gt;0,$A712&gt;J$7)),0,MAX(0,ROUND((INDEX($E712:$G712,J$5)-SUMIFS(TF_Timer,TF_Tekniker,J$4,TF_Dato,$A712))*2,0)/2)))</f>
        <v/>
      </c>
      <c r="K712">
        <f>IF(OR(K$4="",$A712&gt;TODAY()),0,IF(OR(INDEX($B712:$D712,K$5)="F",AND(K$6&gt;0,$A712&lt;K$6),AND(K$7&gt;0,$A712&gt;K$7)),0,MAX(0,ROUND((INDEX($E712:$G712,K$5)-SUMIFS(TF_Timer,TF_Tekniker,K$4,TF_Dato,$A712))*2,0)/2)))</f>
        <v/>
      </c>
      <c r="L712">
        <f>IF(OR(L$4="",$A712&gt;TODAY()),0,IF(OR(INDEX($B712:$D712,L$5)="F",AND(L$6&gt;0,$A712&lt;L$6),AND(L$7&gt;0,$A712&gt;L$7)),0,MAX(0,ROUND((INDEX($E712:$G712,L$5)-SUMIFS(TF_Timer,TF_Tekniker,L$4,TF_Dato,$A712))*2,0)/2)))</f>
        <v/>
      </c>
      <c r="M712">
        <f>IF(OR(M$4="",$A712&gt;TODAY()),0,IF(OR(INDEX($B712:$D712,M$5)="F",AND(M$6&gt;0,$A712&lt;M$6),AND(M$7&gt;0,$A712&gt;M$7)),0,MAX(0,ROUND((INDEX($E712:$G712,M$5)-SUMIFS(TF_Timer,TF_Tekniker,M$4,TF_Dato,$A712))*2,0)/2)))</f>
        <v/>
      </c>
      <c r="N712">
        <f>IF(OR(N$4="",$A712&gt;TODAY()),0,IF(OR(INDEX($B712:$D712,N$5)="F",AND(N$6&gt;0,$A712&lt;N$6),AND(N$7&gt;0,$A712&gt;N$7)),0,MAX(0,ROUND((INDEX($E712:$G712,N$5)-SUMIFS(TF_Timer,TF_Tekniker,N$4,TF_Dato,$A712))*2,0)/2)))</f>
        <v/>
      </c>
      <c r="O712">
        <f>IF(OR(O$4="",$A712&gt;TODAY()),0,IF(OR(INDEX($B712:$D712,O$5)="F",AND(O$6&gt;0,$A712&lt;O$6),AND(O$7&gt;0,$A712&gt;O$7)),0,MAX(0,ROUND((INDEX($E712:$G712,O$5)-SUMIFS(TF_Timer,TF_Tekniker,O$4,TF_Dato,$A712))*2,0)/2)))</f>
        <v/>
      </c>
      <c r="P712">
        <f>IF(OR(P$4="",$A712&gt;TODAY()),0,IF(OR(INDEX($B712:$D712,P$5)="F",AND(P$6&gt;0,$A712&lt;P$6),AND(P$7&gt;0,$A712&gt;P$7)),0,MAX(0,ROUND((INDEX($E712:$G712,P$5)-SUMIFS(TF_Timer,TF_Tekniker,P$4,TF_Dato,$A712))*2,0)/2)))</f>
        <v/>
      </c>
      <c r="Q712">
        <f>IF(OR(Q$4="",$A712&gt;TODAY()),0,IF(OR(INDEX($B712:$D712,Q$5)="F",AND(Q$6&gt;0,$A712&lt;Q$6),AND(Q$7&gt;0,$A712&gt;Q$7)),0,MAX(0,ROUND((INDEX($E712:$G712,Q$5)-SUMIFS(TF_Timer,TF_Tekniker,Q$4,TF_Dato,$A712))*2,0)/2)))</f>
        <v/>
      </c>
      <c r="R712">
        <f>IF(OR(R$4="",$A712&gt;TODAY()),0,IF(OR(INDEX($B712:$D712,R$5)="F",AND(R$6&gt;0,$A712&lt;R$6),AND(R$7&gt;0,$A712&gt;R$7)),0,MAX(0,ROUND((INDEX($E712:$G712,R$5)-SUMIFS(TF_Timer,TF_Tekniker,R$4,TF_Dato,$A712))*2,0)/2)))</f>
        <v/>
      </c>
      <c r="S712">
        <f>IF(OR(S$4="",$A712&gt;TODAY()),0,IF(OR(INDEX($B712:$D712,S$5)="F",AND(S$6&gt;0,$A712&lt;S$6),AND(S$7&gt;0,$A712&gt;S$7)),0,MAX(0,ROUND((INDEX($E712:$G712,S$5)-SUMIFS(TF_Timer,TF_Tekniker,S$4,TF_Dato,$A712))*2,0)/2)))</f>
        <v/>
      </c>
      <c r="T712">
        <f>IF(OR(T$4="",$A712&gt;TODAY()),0,IF(OR(INDEX($B712:$D712,T$5)="F",AND(T$6&gt;0,$A712&lt;T$6),AND(T$7&gt;0,$A712&gt;T$7)),0,MAX(0,ROUND((INDEX($E712:$G712,T$5)-SUMIFS(TF_Timer,TF_Tekniker,T$4,TF_Dato,$A712))*2,0)/2)))</f>
        <v/>
      </c>
      <c r="U712">
        <f>IF(OR(U$4="",$A712&gt;TODAY()),0,IF(OR(INDEX($B712:$D712,U$5)="F",AND(U$6&gt;0,$A712&lt;U$6),AND(U$7&gt;0,$A712&gt;U$7)),0,MAX(0,ROUND((INDEX($E712:$G712,U$5)-SUMIFS(TF_Timer,TF_Tekniker,U$4,TF_Dato,$A712))*2,0)/2)))</f>
        <v/>
      </c>
      <c r="V712">
        <f>IF(OR(V$4="",$A712&gt;TODAY()),0,IF(OR(INDEX($B712:$D712,V$5)="F",AND(V$6&gt;0,$A712&lt;V$6),AND(V$7&gt;0,$A712&gt;V$7)),0,MAX(0,ROUND((INDEX($E712:$G712,V$5)-SUMIFS(TF_Timer,TF_Tekniker,V$4,TF_Dato,$A712))*2,0)/2)))</f>
        <v/>
      </c>
      <c r="W712">
        <f>IF(OR(W$4="",$A712&gt;TODAY()),0,IF(OR(INDEX($B712:$D712,W$5)="F",AND(W$6&gt;0,$A712&lt;W$6),AND(W$7&gt;0,$A712&gt;W$7)),0,MAX(0,ROUND((INDEX($E712:$G712,W$5)-SUMIFS(TF_Timer,TF_Tekniker,W$4,TF_Dato,$A712))*2,0)/2)))</f>
        <v/>
      </c>
      <c r="X712">
        <f>IF(OR(X$4="",$A712&gt;TODAY()),0,IF(OR(INDEX($B712:$D712,X$5)="F",AND(X$6&gt;0,$A712&lt;X$6),AND(X$7&gt;0,$A712&gt;X$7)),0,MAX(0,ROUND((INDEX($E712:$G712,X$5)-SUMIFS(TF_Timer,TF_Tekniker,X$4,TF_Dato,$A712))*2,0)/2)))</f>
        <v/>
      </c>
      <c r="Y712">
        <f>IF(OR(Y$4="",$A712&gt;TODAY()),0,IF(OR(INDEX($B712:$D712,Y$5)="F",AND(Y$6&gt;0,$A712&lt;Y$6),AND(Y$7&gt;0,$A712&gt;Y$7)),0,MAX(0,ROUND((INDEX($E712:$G712,Y$5)-SUMIFS(TF_Timer,TF_Tekniker,Y$4,TF_Dato,$A712))*2,0)/2)))</f>
        <v/>
      </c>
      <c r="Z712">
        <f>IF(OR(Z$4="",$A712&gt;TODAY()),0,IF(OR(INDEX($B712:$D712,Z$5)="F",AND(Z$6&gt;0,$A712&lt;Z$6),AND(Z$7&gt;0,$A712&gt;Z$7)),0,MAX(0,ROUND((INDEX($E712:$G712,Z$5)-SUMIFS(TF_Timer,TF_Tekniker,Z$4,TF_Dato,$A712))*2,0)/2)))</f>
        <v/>
      </c>
      <c r="AA712">
        <f>IF(OR(AA$4="",$A712&gt;TODAY()),0,IF(OR(INDEX($B712:$D712,AA$5)="F",AND(AA$6&gt;0,$A712&lt;AA$6),AND(AA$7&gt;0,$A712&gt;AA$7)),0,MAX(0,ROUND((INDEX($E712:$G712,AA$5)-SUMIFS(TF_Timer,TF_Tekniker,AA$4,TF_Dato,$A712))*2,0)/2)))</f>
        <v/>
      </c>
      <c r="AB712">
        <f>IF(OR(AB$4="",$A712&gt;TODAY()),0,IF(OR(INDEX($B712:$D712,AB$5)="F",AND(AB$6&gt;0,$A712&lt;AB$6),AND(AB$7&gt;0,$A712&gt;AB$7)),0,MAX(0,ROUND((INDEX($E712:$G712,AB$5)-SUMIFS(TF_Timer,TF_Tekniker,AB$4,TF_Dato,$A712))*2,0)/2)))</f>
        <v/>
      </c>
      <c r="AC712">
        <f>IF(OR(AC$4="",$A712&gt;TODAY()),0,IF(OR(INDEX($B712:$D712,AC$5)="F",AND(AC$6&gt;0,$A712&lt;AC$6),AND(AC$7&gt;0,$A712&gt;AC$7)),0,MAX(0,ROUND((INDEX($E712:$G712,AC$5)-SUMIFS(TF_Timer,TF_Tekniker,AC$4,TF_Dato,$A712))*2,0)/2)))</f>
        <v/>
      </c>
      <c r="AD712">
        <f>IF(OR(AD$4="",$A712&gt;TODAY()),0,IF(OR(INDEX($B712:$D712,AD$5)="F",AND(AD$6&gt;0,$A712&lt;AD$6),AND(AD$7&gt;0,$A712&gt;AD$7)),0,MAX(0,ROUND((INDEX($E712:$G712,AD$5)-SUMIFS(TF_Timer,TF_Tekniker,AD$4,TF_Dato,$A712))*2,0)/2)))</f>
        <v/>
      </c>
      <c r="AE712">
        <f>IF(OR(AE$4="",$A712&gt;TODAY()),0,IF(OR(INDEX($B712:$D712,AE$5)="F",AND(AE$6&gt;0,$A712&lt;AE$6),AND(AE$7&gt;0,$A712&gt;AE$7)),0,MAX(0,ROUND((INDEX($E712:$G712,AE$5)-SUMIFS(TF_Timer,TF_Tekniker,AE$4,TF_Dato,$A712))*2,0)/2)))</f>
        <v/>
      </c>
      <c r="AF712">
        <f>IF(OR(AF$4="",$A712&gt;TODAY()),0,IF(OR(INDEX($B712:$D712,AF$5)="F",AND(AF$6&gt;0,$A712&lt;AF$6),AND(AF$7&gt;0,$A712&gt;AF$7)),0,MAX(0,ROUND((INDEX($E712:$G712,AF$5)-SUMIFS(TF_Timer,TF_Tekniker,AF$4,TF_Dato,$A712))*2,0)/2)))</f>
        <v/>
      </c>
      <c r="AG712">
        <f>IF(OR(AG$4="",$A712&gt;TODAY()),0,IF(OR(INDEX($B712:$D712,AG$5)="F",AND(AG$6&gt;0,$A712&lt;AG$6),AND(AG$7&gt;0,$A712&gt;AG$7)),0,MAX(0,ROUND((INDEX($E712:$G712,AG$5)-SUMIFS(TF_Timer,TF_Tekniker,AG$4,TF_Dato,$A712))*2,0)/2)))</f>
        <v/>
      </c>
      <c r="AH712">
        <f>IF(OR(AH$4="",$A712&gt;TODAY()),0,IF(OR(INDEX($B712:$D712,AH$5)="F",AND(AH$6&gt;0,$A712&lt;AH$6),AND(AH$7&gt;0,$A712&gt;AH$7)),0,MAX(0,ROUND((INDEX($E712:$G712,AH$5)-SUMIFS(TF_Timer,TF_Tekniker,AH$4,TF_Dato,$A712))*2,0)/2)))</f>
        <v/>
      </c>
      <c r="AI712">
        <f>IF(OR(AI$4="",$A712&gt;TODAY()),0,IF(OR(INDEX($B712:$D712,AI$5)="F",AND(AI$6&gt;0,$A712&lt;AI$6),AND(AI$7&gt;0,$A712&gt;AI$7)),0,MAX(0,ROUND((INDEX($E712:$G712,AI$5)-SUMIFS(TF_Timer,TF_Tekniker,AI$4,TF_Dato,$A712))*2,0)/2)))</f>
        <v/>
      </c>
      <c r="AJ712">
        <f>IF(OR(AJ$4="",$A712&gt;TODAY()),0,IF(OR(INDEX($B712:$D712,AJ$5)="F",AND(AJ$6&gt;0,$A712&lt;AJ$6),AND(AJ$7&gt;0,$A712&gt;AJ$7)),0,MAX(0,ROUND((INDEX($E712:$G712,AJ$5)-SUMIFS(TF_Timer,TF_Tekniker,AJ$4,TF_Dato,$A712))*2,0)/2)))</f>
        <v/>
      </c>
      <c r="AK712">
        <f>IF(OR(AK$4="",$A712&gt;TODAY()),0,IF(OR(INDEX($B712:$D712,AK$5)="F",AND(AK$6&gt;0,$A712&lt;AK$6),AND(AK$7&gt;0,$A712&gt;AK$7)),0,MAX(0,ROUND((INDEX($E712:$G712,AK$5)-SUMIFS(TF_Timer,TF_Tekniker,AK$4,TF_Dato,$A712))*2,0)/2)))</f>
        <v/>
      </c>
      <c r="AL712">
        <f>IF(OR(AL$4="",$A712&gt;TODAY()),0,IF(OR(INDEX($B712:$D712,AL$5)="F",AND(AL$6&gt;0,$A712&lt;AL$6),AND(AL$7&gt;0,$A712&gt;AL$7)),0,MAX(0,ROUND((INDEX($E712:$G712,AL$5)-SUMIFS(TF_Timer,TF_Tekniker,AL$4,TF_Dato,$A712))*2,0)/2)))</f>
        <v/>
      </c>
      <c r="AM712">
        <f>IF(OR(AM$4="",$A712&gt;TODAY()),0,IF(OR(INDEX($B712:$D712,AM$5)="F",AND(AM$6&gt;0,$A712&lt;AM$6),AND(AM$7&gt;0,$A712&gt;AM$7)),0,MAX(0,ROUND((INDEX($E712:$G712,AM$5)-SUMIFS(TF_Timer,TF_Tekniker,AM$4,TF_Dato,$A712))*2,0)/2)))</f>
        <v/>
      </c>
      <c r="AN712">
        <f>IF(OR(AN$4="",$A712&gt;TODAY()),0,IF(OR(INDEX($B712:$D712,AN$5)="F",AND(AN$6&gt;0,$A712&lt;AN$6),AND(AN$7&gt;0,$A712&gt;AN$7)),0,MAX(0,ROUND((INDEX($E712:$G712,AN$5)-SUMIFS(TF_Timer,TF_Tekniker,AN$4,TF_Dato,$A712))*2,0)/2)))</f>
        <v/>
      </c>
      <c r="AO712">
        <f>IF(OR(AO$4="",$A712&gt;TODAY()),0,IF(OR(INDEX($B712:$D712,AO$5)="F",AND(AO$6&gt;0,$A712&lt;AO$6),AND(AO$7&gt;0,$A712&gt;AO$7)),0,MAX(0,ROUND((INDEX($E712:$G712,AO$5)-SUMIFS(TF_Timer,TF_Tekniker,AO$4,TF_Dato,$A712))*2,0)/2)))</f>
        <v/>
      </c>
      <c r="AP712">
        <f>IF(OR(AP$4="",$A712&gt;TODAY()),0,IF(OR(INDEX($B712:$D712,AP$5)="F",AND(AP$6&gt;0,$A712&lt;AP$6),AND(AP$7&gt;0,$A712&gt;AP$7)),0,MAX(0,ROUND((INDEX($E712:$G712,AP$5)-SUMIFS(TF_Timer,TF_Tekniker,AP$4,TF_Dato,$A712))*2,0)/2)))</f>
        <v/>
      </c>
      <c r="AQ712">
        <f>IF(OR(AQ$4="",$A712&gt;TODAY()),0,IF(OR(INDEX($B712:$D712,AQ$5)="F",AND(AQ$6&gt;0,$A712&lt;AQ$6),AND(AQ$7&gt;0,$A712&gt;AQ$7)),0,MAX(0,ROUND((INDEX($E712:$G712,AQ$5)-SUMIFS(TF_Timer,TF_Tekniker,AQ$4,TF_Dato,$A712))*2,0)/2)))</f>
        <v/>
      </c>
      <c r="AR712">
        <f>IF(OR(AR$4="",$A712&gt;TODAY()),0,IF(OR(INDEX($B712:$D712,AR$5)="F",AND(AR$6&gt;0,$A712&lt;AR$6),AND(AR$7&gt;0,$A712&gt;AR$7)),0,MAX(0,ROUND((INDEX($E712:$G712,AR$5)-SUMIFS(TF_Timer,TF_Tekniker,AR$4,TF_Dato,$A712))*2,0)/2)))</f>
        <v/>
      </c>
      <c r="AS712">
        <f>IF(OR(AS$4="",$A712&gt;TODAY()),0,IF(OR(INDEX($B712:$D712,AS$5)="F",AND(AS$6&gt;0,$A712&lt;AS$6),AND(AS$7&gt;0,$A712&gt;AS$7)),0,MAX(0,ROUND((INDEX($E712:$G712,AS$5)-SUMIFS(TF_Timer,TF_Tekniker,AS$4,TF_Dato,$A712))*2,0)/2)))</f>
        <v/>
      </c>
      <c r="AT712">
        <f>IF(OR(AT$4="",$A712&gt;TODAY()),0,IF(OR(INDEX($B712:$D712,AT$5)="F",AND(AT$6&gt;0,$A712&lt;AT$6),AND(AT$7&gt;0,$A712&gt;AT$7)),0,MAX(0,ROUND((INDEX($E712:$G712,AT$5)-SUMIFS(TF_Timer,TF_Tekniker,AT$4,TF_Dato,$A712))*2,0)/2)))</f>
        <v/>
      </c>
      <c r="AU712">
        <f>IF(OR(AU$4="",$A712&gt;TODAY()),0,IF(OR(INDEX($B712:$D712,AU$5)="F",AND(AU$6&gt;0,$A712&lt;AU$6),AND(AU$7&gt;0,$A712&gt;AU$7)),0,MAX(0,ROUND((INDEX($E712:$G712,AU$5)-SUMIFS(TF_Timer,TF_Tekniker,AU$4,TF_Dato,$A712))*2,0)/2)))</f>
        <v/>
      </c>
      <c r="AV712">
        <f>IF(OR(AV$4="",$A712&gt;TODAY()),0,IF(OR(INDEX($B712:$D712,AV$5)="F",AND(AV$6&gt;0,$A712&lt;AV$6),AND(AV$7&gt;0,$A712&gt;AV$7)),0,MAX(0,ROUND((INDEX($E712:$G712,AV$5)-SUMIFS(TF_Timer,TF_Tekniker,AV$4,TF_Dato,$A712))*2,0)/2)))</f>
        <v/>
      </c>
      <c r="AW712">
        <f>IF(OR(AW$4="",$A712&gt;TODAY()),0,IF(OR(INDEX($B712:$D712,AW$5)="F",AND(AW$6&gt;0,$A712&lt;AW$6),AND(AW$7&gt;0,$A712&gt;AW$7)),0,MAX(0,ROUND((INDEX($E712:$G712,AW$5)-SUMIFS(TF_Timer,TF_Tekniker,AW$4,TF_Dato,$A712))*2,0)/2)))</f>
        <v/>
      </c>
      <c r="AX712">
        <f>IF(OR(AX$4="",$A712&gt;TODAY()),0,IF(OR(INDEX($B712:$D712,AX$5)="F",AND(AX$6&gt;0,$A712&lt;AX$6),AND(AX$7&gt;0,$A712&gt;AX$7)),0,MAX(0,ROUND((INDEX($E712:$G712,AX$5)-SUMIFS(TF_Timer,TF_Tekniker,AX$4,TF_Dato,$A712))*2,0)/2)))</f>
        <v/>
      </c>
      <c r="AY712">
        <f>IF(OR(AY$4="",$A712&gt;TODAY()),0,IF(OR(INDEX($B712:$D712,AY$5)="F",AND(AY$6&gt;0,$A712&lt;AY$6),AND(AY$7&gt;0,$A712&gt;AY$7)),0,MAX(0,ROUND((INDEX($E712:$G712,AY$5)-SUMIFS(TF_Timer,TF_Tekniker,AY$4,TF_Dato,$A712))*2,0)/2)))</f>
        <v/>
      </c>
      <c r="AZ712">
        <f>IF(OR(AZ$4="",$A712&gt;TODAY()),0,IF(OR(INDEX($B712:$D712,AZ$5)="F",AND(AZ$6&gt;0,$A712&lt;AZ$6),AND(AZ$7&gt;0,$A712&gt;AZ$7)),0,MAX(0,ROUND((INDEX($E712:$G712,AZ$5)-SUMIFS(TF_Timer,TF_Tekniker,AZ$4,TF_Dato,$A712))*2,0)/2)))</f>
        <v/>
      </c>
      <c r="BA712">
        <f>IF(OR(BA$4="",$A712&gt;TODAY()),0,IF(OR(INDEX($B712:$D712,BA$5)="F",AND(BA$6&gt;0,$A712&lt;BA$6),AND(BA$7&gt;0,$A712&gt;BA$7)),0,MAX(0,ROUND((INDEX($E712:$G712,BA$5)-SUMIFS(TF_Timer,TF_Tekniker,BA$4,TF_Dato,$A712))*2,0)/2)))</f>
        <v/>
      </c>
      <c r="BB712">
        <f>IF(OR(BB$4="",$A712&gt;TODAY()),0,IF(OR(INDEX($B712:$D712,BB$5)="F",AND(BB$6&gt;0,$A712&lt;BB$6),AND(BB$7&gt;0,$A712&gt;BB$7)),0,MAX(0,ROUND((INDEX($E712:$G712,BB$5)-SUMIFS(TF_Timer,TF_Tekniker,BB$4,TF_Dato,$A712))*2,0)/2)))</f>
        <v/>
      </c>
      <c r="BC712">
        <f>IF(OR(BC$4="",$A712&gt;TODAY()),0,IF(OR(INDEX($B712:$D712,BC$5)="F",AND(BC$6&gt;0,$A712&lt;BC$6),AND(BC$7&gt;0,$A712&gt;BC$7)),0,MAX(0,ROUND((INDEX($E712:$G712,BC$5)-SUMIFS(TF_Timer,TF_Tekniker,BC$4,TF_Dato,$A712))*2,0)/2)))</f>
        <v/>
      </c>
      <c r="BD712">
        <f>IF(OR(BD$4="",$A712&gt;TODAY()),0,IF(OR(INDEX($B712:$D712,BD$5)="F",AND(BD$6&gt;0,$A712&lt;BD$6),AND(BD$7&gt;0,$A712&gt;BD$7)),0,MAX(0,ROUND((INDEX($E712:$G712,BD$5)-SUMIFS(TF_Timer,TF_Tekniker,BD$4,TF_Dato,$A712))*2,0)/2)))</f>
        <v/>
      </c>
      <c r="BE712">
        <f>IF(OR(BE$4="",$A712&gt;TODAY()),0,IF(OR(INDEX($B712:$D712,BE$5)="F",AND(BE$6&gt;0,$A712&lt;BE$6),AND(BE$7&gt;0,$A712&gt;BE$7)),0,MAX(0,ROUND((INDEX($E712:$G712,BE$5)-SUMIFS(TF_Timer,TF_Tekniker,BE$4,TF_Dato,$A712))*2,0)/2)))</f>
        <v/>
      </c>
      <c r="BF712">
        <f>IF(OR(BF$4="",$A712&gt;TODAY()),0,IF(OR(INDEX($B712:$D712,BF$5)="F",AND(BF$6&gt;0,$A712&lt;BF$6),AND(BF$7&gt;0,$A712&gt;BF$7)),0,MAX(0,ROUND((INDEX($E712:$G712,BF$5)-SUMIFS(TF_Timer,TF_Tekniker,BF$4,TF_Dato,$A712))*2,0)/2)))</f>
        <v/>
      </c>
      <c r="BG712">
        <f>IF(OR(BG$4="",$A712&gt;TODAY()),0,IF(OR(INDEX($B712:$D712,BG$5)="F",AND(BG$6&gt;0,$A712&lt;BG$6),AND(BG$7&gt;0,$A712&gt;BG$7)),0,MAX(0,ROUND((INDEX($E712:$G712,BG$5)-SUMIFS(TF_Timer,TF_Tekniker,BG$4,TF_Dato,$A712))*2,0)/2)))</f>
        <v/>
      </c>
      <c r="BH712">
        <f>IF(OR(BH$4="",$A712&gt;TODAY()),0,IF(OR(INDEX($B712:$D712,BH$5)="F",AND(BH$6&gt;0,$A712&lt;BH$6),AND(BH$7&gt;0,$A712&gt;BH$7)),0,MAX(0,ROUND((INDEX($E712:$G712,BH$5)-SUMIFS(TF_Timer,TF_Tekniker,BH$4,TF_Dato,$A712))*2,0)/2)))</f>
        <v/>
      </c>
      <c r="BI712">
        <f>IF(OR(BI$4="",$A712&gt;TODAY()),0,IF(OR(INDEX($B712:$D712,BI$5)="F",AND(BI$6&gt;0,$A712&lt;BI$6),AND(BI$7&gt;0,$A712&gt;BI$7)),0,MAX(0,ROUND((INDEX($E712:$G712,BI$5)-SUMIFS(TF_Timer,TF_Tekniker,BI$4,TF_Dato,$A712))*2,0)/2)))</f>
        <v/>
      </c>
    </row>
    <row r="713">
      <c r="A713" s="64">
        <f>A712+1</f>
        <v/>
      </c>
      <c r="B713">
        <f>IF(MOD($A713-INDEX(SkiftStart,1),Syklus)&lt;DagK,"K",IF(MOD($A713-INDEX(SkiftStart,1),Syklus)&lt;DagK+DagH,"H",IF(MOD($A713-INDEX(SkiftStart,1),Syklus)&lt;DagK+DagH+DagD,"D","F")))</f>
        <v/>
      </c>
      <c r="C713">
        <f>IF(MOD($A713-INDEX(SkiftStart,2),Syklus)&lt;DagK,"K",IF(MOD($A713-INDEX(SkiftStart,2),Syklus)&lt;DagK+DagH,"H",IF(MOD($A713-INDEX(SkiftStart,2),Syklus)&lt;DagK+DagH+DagD,"D","F")))</f>
        <v/>
      </c>
      <c r="D713">
        <f>IF(MOD($A713-INDEX(SkiftStart,3),Syklus)&lt;DagK,"K",IF(MOD($A713-INDEX(SkiftStart,3),Syklus)&lt;DagK+DagH,"H",IF(MOD($A713-INDEX(SkiftStart,3),Syklus)&lt;DagK+DagH+DagD,"D","F")))</f>
        <v/>
      </c>
      <c r="E713">
        <f>IF(B713="F",0,IF(WEEKDAY($A713,2)=5,INDEX(TimerFr,MATCH(B713,FaseKode,0)),INDEX(TimerMT,MATCH(B713,FaseKode,0))))</f>
        <v/>
      </c>
      <c r="F713">
        <f>IF(C713="F",0,IF(WEEKDAY($A713,2)=5,INDEX(TimerFr,MATCH(C713,FaseKode,0)),INDEX(TimerMT,MATCH(C713,FaseKode,0))))</f>
        <v/>
      </c>
      <c r="G713">
        <f>IF(D713="F",0,IF(WEEKDAY($A713,2)=5,INDEX(TimerFr,MATCH(D713,FaseKode,0)),INDEX(TimerMT,MATCH(D713,FaseKode,0))))</f>
        <v/>
      </c>
      <c r="H713">
        <f>IF(OR(H$4="",$A713&gt;TODAY()),0,IF(OR(INDEX($B713:$D713,H$5)="F",AND(H$6&gt;0,$A713&lt;H$6),AND(H$7&gt;0,$A713&gt;H$7)),0,MAX(0,ROUND((INDEX($E713:$G713,H$5)-SUMIFS(TF_Timer,TF_Tekniker,H$4,TF_Dato,$A713))*2,0)/2)))</f>
        <v/>
      </c>
      <c r="I713">
        <f>IF(OR(I$4="",$A713&gt;TODAY()),0,IF(OR(INDEX($B713:$D713,I$5)="F",AND(I$6&gt;0,$A713&lt;I$6),AND(I$7&gt;0,$A713&gt;I$7)),0,MAX(0,ROUND((INDEX($E713:$G713,I$5)-SUMIFS(TF_Timer,TF_Tekniker,I$4,TF_Dato,$A713))*2,0)/2)))</f>
        <v/>
      </c>
      <c r="J713">
        <f>IF(OR(J$4="",$A713&gt;TODAY()),0,IF(OR(INDEX($B713:$D713,J$5)="F",AND(J$6&gt;0,$A713&lt;J$6),AND(J$7&gt;0,$A713&gt;J$7)),0,MAX(0,ROUND((INDEX($E713:$G713,J$5)-SUMIFS(TF_Timer,TF_Tekniker,J$4,TF_Dato,$A713))*2,0)/2)))</f>
        <v/>
      </c>
      <c r="K713">
        <f>IF(OR(K$4="",$A713&gt;TODAY()),0,IF(OR(INDEX($B713:$D713,K$5)="F",AND(K$6&gt;0,$A713&lt;K$6),AND(K$7&gt;0,$A713&gt;K$7)),0,MAX(0,ROUND((INDEX($E713:$G713,K$5)-SUMIFS(TF_Timer,TF_Tekniker,K$4,TF_Dato,$A713))*2,0)/2)))</f>
        <v/>
      </c>
      <c r="L713">
        <f>IF(OR(L$4="",$A713&gt;TODAY()),0,IF(OR(INDEX($B713:$D713,L$5)="F",AND(L$6&gt;0,$A713&lt;L$6),AND(L$7&gt;0,$A713&gt;L$7)),0,MAX(0,ROUND((INDEX($E713:$G713,L$5)-SUMIFS(TF_Timer,TF_Tekniker,L$4,TF_Dato,$A713))*2,0)/2)))</f>
        <v/>
      </c>
      <c r="M713">
        <f>IF(OR(M$4="",$A713&gt;TODAY()),0,IF(OR(INDEX($B713:$D713,M$5)="F",AND(M$6&gt;0,$A713&lt;M$6),AND(M$7&gt;0,$A713&gt;M$7)),0,MAX(0,ROUND((INDEX($E713:$G713,M$5)-SUMIFS(TF_Timer,TF_Tekniker,M$4,TF_Dato,$A713))*2,0)/2)))</f>
        <v/>
      </c>
      <c r="N713">
        <f>IF(OR(N$4="",$A713&gt;TODAY()),0,IF(OR(INDEX($B713:$D713,N$5)="F",AND(N$6&gt;0,$A713&lt;N$6),AND(N$7&gt;0,$A713&gt;N$7)),0,MAX(0,ROUND((INDEX($E713:$G713,N$5)-SUMIFS(TF_Timer,TF_Tekniker,N$4,TF_Dato,$A713))*2,0)/2)))</f>
        <v/>
      </c>
      <c r="O713">
        <f>IF(OR(O$4="",$A713&gt;TODAY()),0,IF(OR(INDEX($B713:$D713,O$5)="F",AND(O$6&gt;0,$A713&lt;O$6),AND(O$7&gt;0,$A713&gt;O$7)),0,MAX(0,ROUND((INDEX($E713:$G713,O$5)-SUMIFS(TF_Timer,TF_Tekniker,O$4,TF_Dato,$A713))*2,0)/2)))</f>
        <v/>
      </c>
      <c r="P713">
        <f>IF(OR(P$4="",$A713&gt;TODAY()),0,IF(OR(INDEX($B713:$D713,P$5)="F",AND(P$6&gt;0,$A713&lt;P$6),AND(P$7&gt;0,$A713&gt;P$7)),0,MAX(0,ROUND((INDEX($E713:$G713,P$5)-SUMIFS(TF_Timer,TF_Tekniker,P$4,TF_Dato,$A713))*2,0)/2)))</f>
        <v/>
      </c>
      <c r="Q713">
        <f>IF(OR(Q$4="",$A713&gt;TODAY()),0,IF(OR(INDEX($B713:$D713,Q$5)="F",AND(Q$6&gt;0,$A713&lt;Q$6),AND(Q$7&gt;0,$A713&gt;Q$7)),0,MAX(0,ROUND((INDEX($E713:$G713,Q$5)-SUMIFS(TF_Timer,TF_Tekniker,Q$4,TF_Dato,$A713))*2,0)/2)))</f>
        <v/>
      </c>
      <c r="R713">
        <f>IF(OR(R$4="",$A713&gt;TODAY()),0,IF(OR(INDEX($B713:$D713,R$5)="F",AND(R$6&gt;0,$A713&lt;R$6),AND(R$7&gt;0,$A713&gt;R$7)),0,MAX(0,ROUND((INDEX($E713:$G713,R$5)-SUMIFS(TF_Timer,TF_Tekniker,R$4,TF_Dato,$A713))*2,0)/2)))</f>
        <v/>
      </c>
      <c r="S713">
        <f>IF(OR(S$4="",$A713&gt;TODAY()),0,IF(OR(INDEX($B713:$D713,S$5)="F",AND(S$6&gt;0,$A713&lt;S$6),AND(S$7&gt;0,$A713&gt;S$7)),0,MAX(0,ROUND((INDEX($E713:$G713,S$5)-SUMIFS(TF_Timer,TF_Tekniker,S$4,TF_Dato,$A713))*2,0)/2)))</f>
        <v/>
      </c>
      <c r="T713">
        <f>IF(OR(T$4="",$A713&gt;TODAY()),0,IF(OR(INDEX($B713:$D713,T$5)="F",AND(T$6&gt;0,$A713&lt;T$6),AND(T$7&gt;0,$A713&gt;T$7)),0,MAX(0,ROUND((INDEX($E713:$G713,T$5)-SUMIFS(TF_Timer,TF_Tekniker,T$4,TF_Dato,$A713))*2,0)/2)))</f>
        <v/>
      </c>
      <c r="U713">
        <f>IF(OR(U$4="",$A713&gt;TODAY()),0,IF(OR(INDEX($B713:$D713,U$5)="F",AND(U$6&gt;0,$A713&lt;U$6),AND(U$7&gt;0,$A713&gt;U$7)),0,MAX(0,ROUND((INDEX($E713:$G713,U$5)-SUMIFS(TF_Timer,TF_Tekniker,U$4,TF_Dato,$A713))*2,0)/2)))</f>
        <v/>
      </c>
      <c r="V713">
        <f>IF(OR(V$4="",$A713&gt;TODAY()),0,IF(OR(INDEX($B713:$D713,V$5)="F",AND(V$6&gt;0,$A713&lt;V$6),AND(V$7&gt;0,$A713&gt;V$7)),0,MAX(0,ROUND((INDEX($E713:$G713,V$5)-SUMIFS(TF_Timer,TF_Tekniker,V$4,TF_Dato,$A713))*2,0)/2)))</f>
        <v/>
      </c>
      <c r="W713">
        <f>IF(OR(W$4="",$A713&gt;TODAY()),0,IF(OR(INDEX($B713:$D713,W$5)="F",AND(W$6&gt;0,$A713&lt;W$6),AND(W$7&gt;0,$A713&gt;W$7)),0,MAX(0,ROUND((INDEX($E713:$G713,W$5)-SUMIFS(TF_Timer,TF_Tekniker,W$4,TF_Dato,$A713))*2,0)/2)))</f>
        <v/>
      </c>
      <c r="X713">
        <f>IF(OR(X$4="",$A713&gt;TODAY()),0,IF(OR(INDEX($B713:$D713,X$5)="F",AND(X$6&gt;0,$A713&lt;X$6),AND(X$7&gt;0,$A713&gt;X$7)),0,MAX(0,ROUND((INDEX($E713:$G713,X$5)-SUMIFS(TF_Timer,TF_Tekniker,X$4,TF_Dato,$A713))*2,0)/2)))</f>
        <v/>
      </c>
      <c r="Y713">
        <f>IF(OR(Y$4="",$A713&gt;TODAY()),0,IF(OR(INDEX($B713:$D713,Y$5)="F",AND(Y$6&gt;0,$A713&lt;Y$6),AND(Y$7&gt;0,$A713&gt;Y$7)),0,MAX(0,ROUND((INDEX($E713:$G713,Y$5)-SUMIFS(TF_Timer,TF_Tekniker,Y$4,TF_Dato,$A713))*2,0)/2)))</f>
        <v/>
      </c>
      <c r="Z713">
        <f>IF(OR(Z$4="",$A713&gt;TODAY()),0,IF(OR(INDEX($B713:$D713,Z$5)="F",AND(Z$6&gt;0,$A713&lt;Z$6),AND(Z$7&gt;0,$A713&gt;Z$7)),0,MAX(0,ROUND((INDEX($E713:$G713,Z$5)-SUMIFS(TF_Timer,TF_Tekniker,Z$4,TF_Dato,$A713))*2,0)/2)))</f>
        <v/>
      </c>
      <c r="AA713">
        <f>IF(OR(AA$4="",$A713&gt;TODAY()),0,IF(OR(INDEX($B713:$D713,AA$5)="F",AND(AA$6&gt;0,$A713&lt;AA$6),AND(AA$7&gt;0,$A713&gt;AA$7)),0,MAX(0,ROUND((INDEX($E713:$G713,AA$5)-SUMIFS(TF_Timer,TF_Tekniker,AA$4,TF_Dato,$A713))*2,0)/2)))</f>
        <v/>
      </c>
      <c r="AB713">
        <f>IF(OR(AB$4="",$A713&gt;TODAY()),0,IF(OR(INDEX($B713:$D713,AB$5)="F",AND(AB$6&gt;0,$A713&lt;AB$6),AND(AB$7&gt;0,$A713&gt;AB$7)),0,MAX(0,ROUND((INDEX($E713:$G713,AB$5)-SUMIFS(TF_Timer,TF_Tekniker,AB$4,TF_Dato,$A713))*2,0)/2)))</f>
        <v/>
      </c>
      <c r="AC713">
        <f>IF(OR(AC$4="",$A713&gt;TODAY()),0,IF(OR(INDEX($B713:$D713,AC$5)="F",AND(AC$6&gt;0,$A713&lt;AC$6),AND(AC$7&gt;0,$A713&gt;AC$7)),0,MAX(0,ROUND((INDEX($E713:$G713,AC$5)-SUMIFS(TF_Timer,TF_Tekniker,AC$4,TF_Dato,$A713))*2,0)/2)))</f>
        <v/>
      </c>
      <c r="AD713">
        <f>IF(OR(AD$4="",$A713&gt;TODAY()),0,IF(OR(INDEX($B713:$D713,AD$5)="F",AND(AD$6&gt;0,$A713&lt;AD$6),AND(AD$7&gt;0,$A713&gt;AD$7)),0,MAX(0,ROUND((INDEX($E713:$G713,AD$5)-SUMIFS(TF_Timer,TF_Tekniker,AD$4,TF_Dato,$A713))*2,0)/2)))</f>
        <v/>
      </c>
      <c r="AE713">
        <f>IF(OR(AE$4="",$A713&gt;TODAY()),0,IF(OR(INDEX($B713:$D713,AE$5)="F",AND(AE$6&gt;0,$A713&lt;AE$6),AND(AE$7&gt;0,$A713&gt;AE$7)),0,MAX(0,ROUND((INDEX($E713:$G713,AE$5)-SUMIFS(TF_Timer,TF_Tekniker,AE$4,TF_Dato,$A713))*2,0)/2)))</f>
        <v/>
      </c>
      <c r="AF713">
        <f>IF(OR(AF$4="",$A713&gt;TODAY()),0,IF(OR(INDEX($B713:$D713,AF$5)="F",AND(AF$6&gt;0,$A713&lt;AF$6),AND(AF$7&gt;0,$A713&gt;AF$7)),0,MAX(0,ROUND((INDEX($E713:$G713,AF$5)-SUMIFS(TF_Timer,TF_Tekniker,AF$4,TF_Dato,$A713))*2,0)/2)))</f>
        <v/>
      </c>
      <c r="AG713">
        <f>IF(OR(AG$4="",$A713&gt;TODAY()),0,IF(OR(INDEX($B713:$D713,AG$5)="F",AND(AG$6&gt;0,$A713&lt;AG$6),AND(AG$7&gt;0,$A713&gt;AG$7)),0,MAX(0,ROUND((INDEX($E713:$G713,AG$5)-SUMIFS(TF_Timer,TF_Tekniker,AG$4,TF_Dato,$A713))*2,0)/2)))</f>
        <v/>
      </c>
      <c r="AH713">
        <f>IF(OR(AH$4="",$A713&gt;TODAY()),0,IF(OR(INDEX($B713:$D713,AH$5)="F",AND(AH$6&gt;0,$A713&lt;AH$6),AND(AH$7&gt;0,$A713&gt;AH$7)),0,MAX(0,ROUND((INDEX($E713:$G713,AH$5)-SUMIFS(TF_Timer,TF_Tekniker,AH$4,TF_Dato,$A713))*2,0)/2)))</f>
        <v/>
      </c>
      <c r="AI713">
        <f>IF(OR(AI$4="",$A713&gt;TODAY()),0,IF(OR(INDEX($B713:$D713,AI$5)="F",AND(AI$6&gt;0,$A713&lt;AI$6),AND(AI$7&gt;0,$A713&gt;AI$7)),0,MAX(0,ROUND((INDEX($E713:$G713,AI$5)-SUMIFS(TF_Timer,TF_Tekniker,AI$4,TF_Dato,$A713))*2,0)/2)))</f>
        <v/>
      </c>
      <c r="AJ713">
        <f>IF(OR(AJ$4="",$A713&gt;TODAY()),0,IF(OR(INDEX($B713:$D713,AJ$5)="F",AND(AJ$6&gt;0,$A713&lt;AJ$6),AND(AJ$7&gt;0,$A713&gt;AJ$7)),0,MAX(0,ROUND((INDEX($E713:$G713,AJ$5)-SUMIFS(TF_Timer,TF_Tekniker,AJ$4,TF_Dato,$A713))*2,0)/2)))</f>
        <v/>
      </c>
      <c r="AK713">
        <f>IF(OR(AK$4="",$A713&gt;TODAY()),0,IF(OR(INDEX($B713:$D713,AK$5)="F",AND(AK$6&gt;0,$A713&lt;AK$6),AND(AK$7&gt;0,$A713&gt;AK$7)),0,MAX(0,ROUND((INDEX($E713:$G713,AK$5)-SUMIFS(TF_Timer,TF_Tekniker,AK$4,TF_Dato,$A713))*2,0)/2)))</f>
        <v/>
      </c>
      <c r="AL713">
        <f>IF(OR(AL$4="",$A713&gt;TODAY()),0,IF(OR(INDEX($B713:$D713,AL$5)="F",AND(AL$6&gt;0,$A713&lt;AL$6),AND(AL$7&gt;0,$A713&gt;AL$7)),0,MAX(0,ROUND((INDEX($E713:$G713,AL$5)-SUMIFS(TF_Timer,TF_Tekniker,AL$4,TF_Dato,$A713))*2,0)/2)))</f>
        <v/>
      </c>
      <c r="AM713">
        <f>IF(OR(AM$4="",$A713&gt;TODAY()),0,IF(OR(INDEX($B713:$D713,AM$5)="F",AND(AM$6&gt;0,$A713&lt;AM$6),AND(AM$7&gt;0,$A713&gt;AM$7)),0,MAX(0,ROUND((INDEX($E713:$G713,AM$5)-SUMIFS(TF_Timer,TF_Tekniker,AM$4,TF_Dato,$A713))*2,0)/2)))</f>
        <v/>
      </c>
      <c r="AN713">
        <f>IF(OR(AN$4="",$A713&gt;TODAY()),0,IF(OR(INDEX($B713:$D713,AN$5)="F",AND(AN$6&gt;0,$A713&lt;AN$6),AND(AN$7&gt;0,$A713&gt;AN$7)),0,MAX(0,ROUND((INDEX($E713:$G713,AN$5)-SUMIFS(TF_Timer,TF_Tekniker,AN$4,TF_Dato,$A713))*2,0)/2)))</f>
        <v/>
      </c>
      <c r="AO713">
        <f>IF(OR(AO$4="",$A713&gt;TODAY()),0,IF(OR(INDEX($B713:$D713,AO$5)="F",AND(AO$6&gt;0,$A713&lt;AO$6),AND(AO$7&gt;0,$A713&gt;AO$7)),0,MAX(0,ROUND((INDEX($E713:$G713,AO$5)-SUMIFS(TF_Timer,TF_Tekniker,AO$4,TF_Dato,$A713))*2,0)/2)))</f>
        <v/>
      </c>
      <c r="AP713">
        <f>IF(OR(AP$4="",$A713&gt;TODAY()),0,IF(OR(INDEX($B713:$D713,AP$5)="F",AND(AP$6&gt;0,$A713&lt;AP$6),AND(AP$7&gt;0,$A713&gt;AP$7)),0,MAX(0,ROUND((INDEX($E713:$G713,AP$5)-SUMIFS(TF_Timer,TF_Tekniker,AP$4,TF_Dato,$A713))*2,0)/2)))</f>
        <v/>
      </c>
      <c r="AQ713">
        <f>IF(OR(AQ$4="",$A713&gt;TODAY()),0,IF(OR(INDEX($B713:$D713,AQ$5)="F",AND(AQ$6&gt;0,$A713&lt;AQ$6),AND(AQ$7&gt;0,$A713&gt;AQ$7)),0,MAX(0,ROUND((INDEX($E713:$G713,AQ$5)-SUMIFS(TF_Timer,TF_Tekniker,AQ$4,TF_Dato,$A713))*2,0)/2)))</f>
        <v/>
      </c>
      <c r="AR713">
        <f>IF(OR(AR$4="",$A713&gt;TODAY()),0,IF(OR(INDEX($B713:$D713,AR$5)="F",AND(AR$6&gt;0,$A713&lt;AR$6),AND(AR$7&gt;0,$A713&gt;AR$7)),0,MAX(0,ROUND((INDEX($E713:$G713,AR$5)-SUMIFS(TF_Timer,TF_Tekniker,AR$4,TF_Dato,$A713))*2,0)/2)))</f>
        <v/>
      </c>
      <c r="AS713">
        <f>IF(OR(AS$4="",$A713&gt;TODAY()),0,IF(OR(INDEX($B713:$D713,AS$5)="F",AND(AS$6&gt;0,$A713&lt;AS$6),AND(AS$7&gt;0,$A713&gt;AS$7)),0,MAX(0,ROUND((INDEX($E713:$G713,AS$5)-SUMIFS(TF_Timer,TF_Tekniker,AS$4,TF_Dato,$A713))*2,0)/2)))</f>
        <v/>
      </c>
      <c r="AT713">
        <f>IF(OR(AT$4="",$A713&gt;TODAY()),0,IF(OR(INDEX($B713:$D713,AT$5)="F",AND(AT$6&gt;0,$A713&lt;AT$6),AND(AT$7&gt;0,$A713&gt;AT$7)),0,MAX(0,ROUND((INDEX($E713:$G713,AT$5)-SUMIFS(TF_Timer,TF_Tekniker,AT$4,TF_Dato,$A713))*2,0)/2)))</f>
        <v/>
      </c>
      <c r="AU713">
        <f>IF(OR(AU$4="",$A713&gt;TODAY()),0,IF(OR(INDEX($B713:$D713,AU$5)="F",AND(AU$6&gt;0,$A713&lt;AU$6),AND(AU$7&gt;0,$A713&gt;AU$7)),0,MAX(0,ROUND((INDEX($E713:$G713,AU$5)-SUMIFS(TF_Timer,TF_Tekniker,AU$4,TF_Dato,$A713))*2,0)/2)))</f>
        <v/>
      </c>
      <c r="AV713">
        <f>IF(OR(AV$4="",$A713&gt;TODAY()),0,IF(OR(INDEX($B713:$D713,AV$5)="F",AND(AV$6&gt;0,$A713&lt;AV$6),AND(AV$7&gt;0,$A713&gt;AV$7)),0,MAX(0,ROUND((INDEX($E713:$G713,AV$5)-SUMIFS(TF_Timer,TF_Tekniker,AV$4,TF_Dato,$A713))*2,0)/2)))</f>
        <v/>
      </c>
      <c r="AW713">
        <f>IF(OR(AW$4="",$A713&gt;TODAY()),0,IF(OR(INDEX($B713:$D713,AW$5)="F",AND(AW$6&gt;0,$A713&lt;AW$6),AND(AW$7&gt;0,$A713&gt;AW$7)),0,MAX(0,ROUND((INDEX($E713:$G713,AW$5)-SUMIFS(TF_Timer,TF_Tekniker,AW$4,TF_Dato,$A713))*2,0)/2)))</f>
        <v/>
      </c>
      <c r="AX713">
        <f>IF(OR(AX$4="",$A713&gt;TODAY()),0,IF(OR(INDEX($B713:$D713,AX$5)="F",AND(AX$6&gt;0,$A713&lt;AX$6),AND(AX$7&gt;0,$A713&gt;AX$7)),0,MAX(0,ROUND((INDEX($E713:$G713,AX$5)-SUMIFS(TF_Timer,TF_Tekniker,AX$4,TF_Dato,$A713))*2,0)/2)))</f>
        <v/>
      </c>
      <c r="AY713">
        <f>IF(OR(AY$4="",$A713&gt;TODAY()),0,IF(OR(INDEX($B713:$D713,AY$5)="F",AND(AY$6&gt;0,$A713&lt;AY$6),AND(AY$7&gt;0,$A713&gt;AY$7)),0,MAX(0,ROUND((INDEX($E713:$G713,AY$5)-SUMIFS(TF_Timer,TF_Tekniker,AY$4,TF_Dato,$A713))*2,0)/2)))</f>
        <v/>
      </c>
      <c r="AZ713">
        <f>IF(OR(AZ$4="",$A713&gt;TODAY()),0,IF(OR(INDEX($B713:$D713,AZ$5)="F",AND(AZ$6&gt;0,$A713&lt;AZ$6),AND(AZ$7&gt;0,$A713&gt;AZ$7)),0,MAX(0,ROUND((INDEX($E713:$G713,AZ$5)-SUMIFS(TF_Timer,TF_Tekniker,AZ$4,TF_Dato,$A713))*2,0)/2)))</f>
        <v/>
      </c>
      <c r="BA713">
        <f>IF(OR(BA$4="",$A713&gt;TODAY()),0,IF(OR(INDEX($B713:$D713,BA$5)="F",AND(BA$6&gt;0,$A713&lt;BA$6),AND(BA$7&gt;0,$A713&gt;BA$7)),0,MAX(0,ROUND((INDEX($E713:$G713,BA$5)-SUMIFS(TF_Timer,TF_Tekniker,BA$4,TF_Dato,$A713))*2,0)/2)))</f>
        <v/>
      </c>
      <c r="BB713">
        <f>IF(OR(BB$4="",$A713&gt;TODAY()),0,IF(OR(INDEX($B713:$D713,BB$5)="F",AND(BB$6&gt;0,$A713&lt;BB$6),AND(BB$7&gt;0,$A713&gt;BB$7)),0,MAX(0,ROUND((INDEX($E713:$G713,BB$5)-SUMIFS(TF_Timer,TF_Tekniker,BB$4,TF_Dato,$A713))*2,0)/2)))</f>
        <v/>
      </c>
      <c r="BC713">
        <f>IF(OR(BC$4="",$A713&gt;TODAY()),0,IF(OR(INDEX($B713:$D713,BC$5)="F",AND(BC$6&gt;0,$A713&lt;BC$6),AND(BC$7&gt;0,$A713&gt;BC$7)),0,MAX(0,ROUND((INDEX($E713:$G713,BC$5)-SUMIFS(TF_Timer,TF_Tekniker,BC$4,TF_Dato,$A713))*2,0)/2)))</f>
        <v/>
      </c>
      <c r="BD713">
        <f>IF(OR(BD$4="",$A713&gt;TODAY()),0,IF(OR(INDEX($B713:$D713,BD$5)="F",AND(BD$6&gt;0,$A713&lt;BD$6),AND(BD$7&gt;0,$A713&gt;BD$7)),0,MAX(0,ROUND((INDEX($E713:$G713,BD$5)-SUMIFS(TF_Timer,TF_Tekniker,BD$4,TF_Dato,$A713))*2,0)/2)))</f>
        <v/>
      </c>
      <c r="BE713">
        <f>IF(OR(BE$4="",$A713&gt;TODAY()),0,IF(OR(INDEX($B713:$D713,BE$5)="F",AND(BE$6&gt;0,$A713&lt;BE$6),AND(BE$7&gt;0,$A713&gt;BE$7)),0,MAX(0,ROUND((INDEX($E713:$G713,BE$5)-SUMIFS(TF_Timer,TF_Tekniker,BE$4,TF_Dato,$A713))*2,0)/2)))</f>
        <v/>
      </c>
      <c r="BF713">
        <f>IF(OR(BF$4="",$A713&gt;TODAY()),0,IF(OR(INDEX($B713:$D713,BF$5)="F",AND(BF$6&gt;0,$A713&lt;BF$6),AND(BF$7&gt;0,$A713&gt;BF$7)),0,MAX(0,ROUND((INDEX($E713:$G713,BF$5)-SUMIFS(TF_Timer,TF_Tekniker,BF$4,TF_Dato,$A713))*2,0)/2)))</f>
        <v/>
      </c>
      <c r="BG713">
        <f>IF(OR(BG$4="",$A713&gt;TODAY()),0,IF(OR(INDEX($B713:$D713,BG$5)="F",AND(BG$6&gt;0,$A713&lt;BG$6),AND(BG$7&gt;0,$A713&gt;BG$7)),0,MAX(0,ROUND((INDEX($E713:$G713,BG$5)-SUMIFS(TF_Timer,TF_Tekniker,BG$4,TF_Dato,$A713))*2,0)/2)))</f>
        <v/>
      </c>
      <c r="BH713">
        <f>IF(OR(BH$4="",$A713&gt;TODAY()),0,IF(OR(INDEX($B713:$D713,BH$5)="F",AND(BH$6&gt;0,$A713&lt;BH$6),AND(BH$7&gt;0,$A713&gt;BH$7)),0,MAX(0,ROUND((INDEX($E713:$G713,BH$5)-SUMIFS(TF_Timer,TF_Tekniker,BH$4,TF_Dato,$A713))*2,0)/2)))</f>
        <v/>
      </c>
      <c r="BI713">
        <f>IF(OR(BI$4="",$A713&gt;TODAY()),0,IF(OR(INDEX($B713:$D713,BI$5)="F",AND(BI$6&gt;0,$A713&lt;BI$6),AND(BI$7&gt;0,$A713&gt;BI$7)),0,MAX(0,ROUND((INDEX($E713:$G713,BI$5)-SUMIFS(TF_Timer,TF_Tekniker,BI$4,TF_Dato,$A713))*2,0)/2)))</f>
        <v/>
      </c>
    </row>
    <row r="714">
      <c r="A714" s="64">
        <f>A713+1</f>
        <v/>
      </c>
      <c r="B714">
        <f>IF(MOD($A714-INDEX(SkiftStart,1),Syklus)&lt;DagK,"K",IF(MOD($A714-INDEX(SkiftStart,1),Syklus)&lt;DagK+DagH,"H",IF(MOD($A714-INDEX(SkiftStart,1),Syklus)&lt;DagK+DagH+DagD,"D","F")))</f>
        <v/>
      </c>
      <c r="C714">
        <f>IF(MOD($A714-INDEX(SkiftStart,2),Syklus)&lt;DagK,"K",IF(MOD($A714-INDEX(SkiftStart,2),Syklus)&lt;DagK+DagH,"H",IF(MOD($A714-INDEX(SkiftStart,2),Syklus)&lt;DagK+DagH+DagD,"D","F")))</f>
        <v/>
      </c>
      <c r="D714">
        <f>IF(MOD($A714-INDEX(SkiftStart,3),Syklus)&lt;DagK,"K",IF(MOD($A714-INDEX(SkiftStart,3),Syklus)&lt;DagK+DagH,"H",IF(MOD($A714-INDEX(SkiftStart,3),Syklus)&lt;DagK+DagH+DagD,"D","F")))</f>
        <v/>
      </c>
      <c r="E714">
        <f>IF(B714="F",0,IF(WEEKDAY($A714,2)=5,INDEX(TimerFr,MATCH(B714,FaseKode,0)),INDEX(TimerMT,MATCH(B714,FaseKode,0))))</f>
        <v/>
      </c>
      <c r="F714">
        <f>IF(C714="F",0,IF(WEEKDAY($A714,2)=5,INDEX(TimerFr,MATCH(C714,FaseKode,0)),INDEX(TimerMT,MATCH(C714,FaseKode,0))))</f>
        <v/>
      </c>
      <c r="G714">
        <f>IF(D714="F",0,IF(WEEKDAY($A714,2)=5,INDEX(TimerFr,MATCH(D714,FaseKode,0)),INDEX(TimerMT,MATCH(D714,FaseKode,0))))</f>
        <v/>
      </c>
      <c r="H714">
        <f>IF(OR(H$4="",$A714&gt;TODAY()),0,IF(OR(INDEX($B714:$D714,H$5)="F",AND(H$6&gt;0,$A714&lt;H$6),AND(H$7&gt;0,$A714&gt;H$7)),0,MAX(0,ROUND((INDEX($E714:$G714,H$5)-SUMIFS(TF_Timer,TF_Tekniker,H$4,TF_Dato,$A714))*2,0)/2)))</f>
        <v/>
      </c>
      <c r="I714">
        <f>IF(OR(I$4="",$A714&gt;TODAY()),0,IF(OR(INDEX($B714:$D714,I$5)="F",AND(I$6&gt;0,$A714&lt;I$6),AND(I$7&gt;0,$A714&gt;I$7)),0,MAX(0,ROUND((INDEX($E714:$G714,I$5)-SUMIFS(TF_Timer,TF_Tekniker,I$4,TF_Dato,$A714))*2,0)/2)))</f>
        <v/>
      </c>
      <c r="J714">
        <f>IF(OR(J$4="",$A714&gt;TODAY()),0,IF(OR(INDEX($B714:$D714,J$5)="F",AND(J$6&gt;0,$A714&lt;J$6),AND(J$7&gt;0,$A714&gt;J$7)),0,MAX(0,ROUND((INDEX($E714:$G714,J$5)-SUMIFS(TF_Timer,TF_Tekniker,J$4,TF_Dato,$A714))*2,0)/2)))</f>
        <v/>
      </c>
      <c r="K714">
        <f>IF(OR(K$4="",$A714&gt;TODAY()),0,IF(OR(INDEX($B714:$D714,K$5)="F",AND(K$6&gt;0,$A714&lt;K$6),AND(K$7&gt;0,$A714&gt;K$7)),0,MAX(0,ROUND((INDEX($E714:$G714,K$5)-SUMIFS(TF_Timer,TF_Tekniker,K$4,TF_Dato,$A714))*2,0)/2)))</f>
        <v/>
      </c>
      <c r="L714">
        <f>IF(OR(L$4="",$A714&gt;TODAY()),0,IF(OR(INDEX($B714:$D714,L$5)="F",AND(L$6&gt;0,$A714&lt;L$6),AND(L$7&gt;0,$A714&gt;L$7)),0,MAX(0,ROUND((INDEX($E714:$G714,L$5)-SUMIFS(TF_Timer,TF_Tekniker,L$4,TF_Dato,$A714))*2,0)/2)))</f>
        <v/>
      </c>
      <c r="M714">
        <f>IF(OR(M$4="",$A714&gt;TODAY()),0,IF(OR(INDEX($B714:$D714,M$5)="F",AND(M$6&gt;0,$A714&lt;M$6),AND(M$7&gt;0,$A714&gt;M$7)),0,MAX(0,ROUND((INDEX($E714:$G714,M$5)-SUMIFS(TF_Timer,TF_Tekniker,M$4,TF_Dato,$A714))*2,0)/2)))</f>
        <v/>
      </c>
      <c r="N714">
        <f>IF(OR(N$4="",$A714&gt;TODAY()),0,IF(OR(INDEX($B714:$D714,N$5)="F",AND(N$6&gt;0,$A714&lt;N$6),AND(N$7&gt;0,$A714&gt;N$7)),0,MAX(0,ROUND((INDEX($E714:$G714,N$5)-SUMIFS(TF_Timer,TF_Tekniker,N$4,TF_Dato,$A714))*2,0)/2)))</f>
        <v/>
      </c>
      <c r="O714">
        <f>IF(OR(O$4="",$A714&gt;TODAY()),0,IF(OR(INDEX($B714:$D714,O$5)="F",AND(O$6&gt;0,$A714&lt;O$6),AND(O$7&gt;0,$A714&gt;O$7)),0,MAX(0,ROUND((INDEX($E714:$G714,O$5)-SUMIFS(TF_Timer,TF_Tekniker,O$4,TF_Dato,$A714))*2,0)/2)))</f>
        <v/>
      </c>
      <c r="P714">
        <f>IF(OR(P$4="",$A714&gt;TODAY()),0,IF(OR(INDEX($B714:$D714,P$5)="F",AND(P$6&gt;0,$A714&lt;P$6),AND(P$7&gt;0,$A714&gt;P$7)),0,MAX(0,ROUND((INDEX($E714:$G714,P$5)-SUMIFS(TF_Timer,TF_Tekniker,P$4,TF_Dato,$A714))*2,0)/2)))</f>
        <v/>
      </c>
      <c r="Q714">
        <f>IF(OR(Q$4="",$A714&gt;TODAY()),0,IF(OR(INDEX($B714:$D714,Q$5)="F",AND(Q$6&gt;0,$A714&lt;Q$6),AND(Q$7&gt;0,$A714&gt;Q$7)),0,MAX(0,ROUND((INDEX($E714:$G714,Q$5)-SUMIFS(TF_Timer,TF_Tekniker,Q$4,TF_Dato,$A714))*2,0)/2)))</f>
        <v/>
      </c>
      <c r="R714">
        <f>IF(OR(R$4="",$A714&gt;TODAY()),0,IF(OR(INDEX($B714:$D714,R$5)="F",AND(R$6&gt;0,$A714&lt;R$6),AND(R$7&gt;0,$A714&gt;R$7)),0,MAX(0,ROUND((INDEX($E714:$G714,R$5)-SUMIFS(TF_Timer,TF_Tekniker,R$4,TF_Dato,$A714))*2,0)/2)))</f>
        <v/>
      </c>
      <c r="S714">
        <f>IF(OR(S$4="",$A714&gt;TODAY()),0,IF(OR(INDEX($B714:$D714,S$5)="F",AND(S$6&gt;0,$A714&lt;S$6),AND(S$7&gt;0,$A714&gt;S$7)),0,MAX(0,ROUND((INDEX($E714:$G714,S$5)-SUMIFS(TF_Timer,TF_Tekniker,S$4,TF_Dato,$A714))*2,0)/2)))</f>
        <v/>
      </c>
      <c r="T714">
        <f>IF(OR(T$4="",$A714&gt;TODAY()),0,IF(OR(INDEX($B714:$D714,T$5)="F",AND(T$6&gt;0,$A714&lt;T$6),AND(T$7&gt;0,$A714&gt;T$7)),0,MAX(0,ROUND((INDEX($E714:$G714,T$5)-SUMIFS(TF_Timer,TF_Tekniker,T$4,TF_Dato,$A714))*2,0)/2)))</f>
        <v/>
      </c>
      <c r="U714">
        <f>IF(OR(U$4="",$A714&gt;TODAY()),0,IF(OR(INDEX($B714:$D714,U$5)="F",AND(U$6&gt;0,$A714&lt;U$6),AND(U$7&gt;0,$A714&gt;U$7)),0,MAX(0,ROUND((INDEX($E714:$G714,U$5)-SUMIFS(TF_Timer,TF_Tekniker,U$4,TF_Dato,$A714))*2,0)/2)))</f>
        <v/>
      </c>
      <c r="V714">
        <f>IF(OR(V$4="",$A714&gt;TODAY()),0,IF(OR(INDEX($B714:$D714,V$5)="F",AND(V$6&gt;0,$A714&lt;V$6),AND(V$7&gt;0,$A714&gt;V$7)),0,MAX(0,ROUND((INDEX($E714:$G714,V$5)-SUMIFS(TF_Timer,TF_Tekniker,V$4,TF_Dato,$A714))*2,0)/2)))</f>
        <v/>
      </c>
      <c r="W714">
        <f>IF(OR(W$4="",$A714&gt;TODAY()),0,IF(OR(INDEX($B714:$D714,W$5)="F",AND(W$6&gt;0,$A714&lt;W$6),AND(W$7&gt;0,$A714&gt;W$7)),0,MAX(0,ROUND((INDEX($E714:$G714,W$5)-SUMIFS(TF_Timer,TF_Tekniker,W$4,TF_Dato,$A714))*2,0)/2)))</f>
        <v/>
      </c>
      <c r="X714">
        <f>IF(OR(X$4="",$A714&gt;TODAY()),0,IF(OR(INDEX($B714:$D714,X$5)="F",AND(X$6&gt;0,$A714&lt;X$6),AND(X$7&gt;0,$A714&gt;X$7)),0,MAX(0,ROUND((INDEX($E714:$G714,X$5)-SUMIFS(TF_Timer,TF_Tekniker,X$4,TF_Dato,$A714))*2,0)/2)))</f>
        <v/>
      </c>
      <c r="Y714">
        <f>IF(OR(Y$4="",$A714&gt;TODAY()),0,IF(OR(INDEX($B714:$D714,Y$5)="F",AND(Y$6&gt;0,$A714&lt;Y$6),AND(Y$7&gt;0,$A714&gt;Y$7)),0,MAX(0,ROUND((INDEX($E714:$G714,Y$5)-SUMIFS(TF_Timer,TF_Tekniker,Y$4,TF_Dato,$A714))*2,0)/2)))</f>
        <v/>
      </c>
      <c r="Z714">
        <f>IF(OR(Z$4="",$A714&gt;TODAY()),0,IF(OR(INDEX($B714:$D714,Z$5)="F",AND(Z$6&gt;0,$A714&lt;Z$6),AND(Z$7&gt;0,$A714&gt;Z$7)),0,MAX(0,ROUND((INDEX($E714:$G714,Z$5)-SUMIFS(TF_Timer,TF_Tekniker,Z$4,TF_Dato,$A714))*2,0)/2)))</f>
        <v/>
      </c>
      <c r="AA714">
        <f>IF(OR(AA$4="",$A714&gt;TODAY()),0,IF(OR(INDEX($B714:$D714,AA$5)="F",AND(AA$6&gt;0,$A714&lt;AA$6),AND(AA$7&gt;0,$A714&gt;AA$7)),0,MAX(0,ROUND((INDEX($E714:$G714,AA$5)-SUMIFS(TF_Timer,TF_Tekniker,AA$4,TF_Dato,$A714))*2,0)/2)))</f>
        <v/>
      </c>
      <c r="AB714">
        <f>IF(OR(AB$4="",$A714&gt;TODAY()),0,IF(OR(INDEX($B714:$D714,AB$5)="F",AND(AB$6&gt;0,$A714&lt;AB$6),AND(AB$7&gt;0,$A714&gt;AB$7)),0,MAX(0,ROUND((INDEX($E714:$G714,AB$5)-SUMIFS(TF_Timer,TF_Tekniker,AB$4,TF_Dato,$A714))*2,0)/2)))</f>
        <v/>
      </c>
      <c r="AC714">
        <f>IF(OR(AC$4="",$A714&gt;TODAY()),0,IF(OR(INDEX($B714:$D714,AC$5)="F",AND(AC$6&gt;0,$A714&lt;AC$6),AND(AC$7&gt;0,$A714&gt;AC$7)),0,MAX(0,ROUND((INDEX($E714:$G714,AC$5)-SUMIFS(TF_Timer,TF_Tekniker,AC$4,TF_Dato,$A714))*2,0)/2)))</f>
        <v/>
      </c>
      <c r="AD714">
        <f>IF(OR(AD$4="",$A714&gt;TODAY()),0,IF(OR(INDEX($B714:$D714,AD$5)="F",AND(AD$6&gt;0,$A714&lt;AD$6),AND(AD$7&gt;0,$A714&gt;AD$7)),0,MAX(0,ROUND((INDEX($E714:$G714,AD$5)-SUMIFS(TF_Timer,TF_Tekniker,AD$4,TF_Dato,$A714))*2,0)/2)))</f>
        <v/>
      </c>
      <c r="AE714">
        <f>IF(OR(AE$4="",$A714&gt;TODAY()),0,IF(OR(INDEX($B714:$D714,AE$5)="F",AND(AE$6&gt;0,$A714&lt;AE$6),AND(AE$7&gt;0,$A714&gt;AE$7)),0,MAX(0,ROUND((INDEX($E714:$G714,AE$5)-SUMIFS(TF_Timer,TF_Tekniker,AE$4,TF_Dato,$A714))*2,0)/2)))</f>
        <v/>
      </c>
      <c r="AF714">
        <f>IF(OR(AF$4="",$A714&gt;TODAY()),0,IF(OR(INDEX($B714:$D714,AF$5)="F",AND(AF$6&gt;0,$A714&lt;AF$6),AND(AF$7&gt;0,$A714&gt;AF$7)),0,MAX(0,ROUND((INDEX($E714:$G714,AF$5)-SUMIFS(TF_Timer,TF_Tekniker,AF$4,TF_Dato,$A714))*2,0)/2)))</f>
        <v/>
      </c>
      <c r="AG714">
        <f>IF(OR(AG$4="",$A714&gt;TODAY()),0,IF(OR(INDEX($B714:$D714,AG$5)="F",AND(AG$6&gt;0,$A714&lt;AG$6),AND(AG$7&gt;0,$A714&gt;AG$7)),0,MAX(0,ROUND((INDEX($E714:$G714,AG$5)-SUMIFS(TF_Timer,TF_Tekniker,AG$4,TF_Dato,$A714))*2,0)/2)))</f>
        <v/>
      </c>
      <c r="AH714">
        <f>IF(OR(AH$4="",$A714&gt;TODAY()),0,IF(OR(INDEX($B714:$D714,AH$5)="F",AND(AH$6&gt;0,$A714&lt;AH$6),AND(AH$7&gt;0,$A714&gt;AH$7)),0,MAX(0,ROUND((INDEX($E714:$G714,AH$5)-SUMIFS(TF_Timer,TF_Tekniker,AH$4,TF_Dato,$A714))*2,0)/2)))</f>
        <v/>
      </c>
      <c r="AI714">
        <f>IF(OR(AI$4="",$A714&gt;TODAY()),0,IF(OR(INDEX($B714:$D714,AI$5)="F",AND(AI$6&gt;0,$A714&lt;AI$6),AND(AI$7&gt;0,$A714&gt;AI$7)),0,MAX(0,ROUND((INDEX($E714:$G714,AI$5)-SUMIFS(TF_Timer,TF_Tekniker,AI$4,TF_Dato,$A714))*2,0)/2)))</f>
        <v/>
      </c>
      <c r="AJ714">
        <f>IF(OR(AJ$4="",$A714&gt;TODAY()),0,IF(OR(INDEX($B714:$D714,AJ$5)="F",AND(AJ$6&gt;0,$A714&lt;AJ$6),AND(AJ$7&gt;0,$A714&gt;AJ$7)),0,MAX(0,ROUND((INDEX($E714:$G714,AJ$5)-SUMIFS(TF_Timer,TF_Tekniker,AJ$4,TF_Dato,$A714))*2,0)/2)))</f>
        <v/>
      </c>
      <c r="AK714">
        <f>IF(OR(AK$4="",$A714&gt;TODAY()),0,IF(OR(INDEX($B714:$D714,AK$5)="F",AND(AK$6&gt;0,$A714&lt;AK$6),AND(AK$7&gt;0,$A714&gt;AK$7)),0,MAX(0,ROUND((INDEX($E714:$G714,AK$5)-SUMIFS(TF_Timer,TF_Tekniker,AK$4,TF_Dato,$A714))*2,0)/2)))</f>
        <v/>
      </c>
      <c r="AL714">
        <f>IF(OR(AL$4="",$A714&gt;TODAY()),0,IF(OR(INDEX($B714:$D714,AL$5)="F",AND(AL$6&gt;0,$A714&lt;AL$6),AND(AL$7&gt;0,$A714&gt;AL$7)),0,MAX(0,ROUND((INDEX($E714:$G714,AL$5)-SUMIFS(TF_Timer,TF_Tekniker,AL$4,TF_Dato,$A714))*2,0)/2)))</f>
        <v/>
      </c>
      <c r="AM714">
        <f>IF(OR(AM$4="",$A714&gt;TODAY()),0,IF(OR(INDEX($B714:$D714,AM$5)="F",AND(AM$6&gt;0,$A714&lt;AM$6),AND(AM$7&gt;0,$A714&gt;AM$7)),0,MAX(0,ROUND((INDEX($E714:$G714,AM$5)-SUMIFS(TF_Timer,TF_Tekniker,AM$4,TF_Dato,$A714))*2,0)/2)))</f>
        <v/>
      </c>
      <c r="AN714">
        <f>IF(OR(AN$4="",$A714&gt;TODAY()),0,IF(OR(INDEX($B714:$D714,AN$5)="F",AND(AN$6&gt;0,$A714&lt;AN$6),AND(AN$7&gt;0,$A714&gt;AN$7)),0,MAX(0,ROUND((INDEX($E714:$G714,AN$5)-SUMIFS(TF_Timer,TF_Tekniker,AN$4,TF_Dato,$A714))*2,0)/2)))</f>
        <v/>
      </c>
      <c r="AO714">
        <f>IF(OR(AO$4="",$A714&gt;TODAY()),0,IF(OR(INDEX($B714:$D714,AO$5)="F",AND(AO$6&gt;0,$A714&lt;AO$6),AND(AO$7&gt;0,$A714&gt;AO$7)),0,MAX(0,ROUND((INDEX($E714:$G714,AO$5)-SUMIFS(TF_Timer,TF_Tekniker,AO$4,TF_Dato,$A714))*2,0)/2)))</f>
        <v/>
      </c>
      <c r="AP714">
        <f>IF(OR(AP$4="",$A714&gt;TODAY()),0,IF(OR(INDEX($B714:$D714,AP$5)="F",AND(AP$6&gt;0,$A714&lt;AP$6),AND(AP$7&gt;0,$A714&gt;AP$7)),0,MAX(0,ROUND((INDEX($E714:$G714,AP$5)-SUMIFS(TF_Timer,TF_Tekniker,AP$4,TF_Dato,$A714))*2,0)/2)))</f>
        <v/>
      </c>
      <c r="AQ714">
        <f>IF(OR(AQ$4="",$A714&gt;TODAY()),0,IF(OR(INDEX($B714:$D714,AQ$5)="F",AND(AQ$6&gt;0,$A714&lt;AQ$6),AND(AQ$7&gt;0,$A714&gt;AQ$7)),0,MAX(0,ROUND((INDEX($E714:$G714,AQ$5)-SUMIFS(TF_Timer,TF_Tekniker,AQ$4,TF_Dato,$A714))*2,0)/2)))</f>
        <v/>
      </c>
      <c r="AR714">
        <f>IF(OR(AR$4="",$A714&gt;TODAY()),0,IF(OR(INDEX($B714:$D714,AR$5)="F",AND(AR$6&gt;0,$A714&lt;AR$6),AND(AR$7&gt;0,$A714&gt;AR$7)),0,MAX(0,ROUND((INDEX($E714:$G714,AR$5)-SUMIFS(TF_Timer,TF_Tekniker,AR$4,TF_Dato,$A714))*2,0)/2)))</f>
        <v/>
      </c>
      <c r="AS714">
        <f>IF(OR(AS$4="",$A714&gt;TODAY()),0,IF(OR(INDEX($B714:$D714,AS$5)="F",AND(AS$6&gt;0,$A714&lt;AS$6),AND(AS$7&gt;0,$A714&gt;AS$7)),0,MAX(0,ROUND((INDEX($E714:$G714,AS$5)-SUMIFS(TF_Timer,TF_Tekniker,AS$4,TF_Dato,$A714))*2,0)/2)))</f>
        <v/>
      </c>
      <c r="AT714">
        <f>IF(OR(AT$4="",$A714&gt;TODAY()),0,IF(OR(INDEX($B714:$D714,AT$5)="F",AND(AT$6&gt;0,$A714&lt;AT$6),AND(AT$7&gt;0,$A714&gt;AT$7)),0,MAX(0,ROUND((INDEX($E714:$G714,AT$5)-SUMIFS(TF_Timer,TF_Tekniker,AT$4,TF_Dato,$A714))*2,0)/2)))</f>
        <v/>
      </c>
      <c r="AU714">
        <f>IF(OR(AU$4="",$A714&gt;TODAY()),0,IF(OR(INDEX($B714:$D714,AU$5)="F",AND(AU$6&gt;0,$A714&lt;AU$6),AND(AU$7&gt;0,$A714&gt;AU$7)),0,MAX(0,ROUND((INDEX($E714:$G714,AU$5)-SUMIFS(TF_Timer,TF_Tekniker,AU$4,TF_Dato,$A714))*2,0)/2)))</f>
        <v/>
      </c>
      <c r="AV714">
        <f>IF(OR(AV$4="",$A714&gt;TODAY()),0,IF(OR(INDEX($B714:$D714,AV$5)="F",AND(AV$6&gt;0,$A714&lt;AV$6),AND(AV$7&gt;0,$A714&gt;AV$7)),0,MAX(0,ROUND((INDEX($E714:$G714,AV$5)-SUMIFS(TF_Timer,TF_Tekniker,AV$4,TF_Dato,$A714))*2,0)/2)))</f>
        <v/>
      </c>
      <c r="AW714">
        <f>IF(OR(AW$4="",$A714&gt;TODAY()),0,IF(OR(INDEX($B714:$D714,AW$5)="F",AND(AW$6&gt;0,$A714&lt;AW$6),AND(AW$7&gt;0,$A714&gt;AW$7)),0,MAX(0,ROUND((INDEX($E714:$G714,AW$5)-SUMIFS(TF_Timer,TF_Tekniker,AW$4,TF_Dato,$A714))*2,0)/2)))</f>
        <v/>
      </c>
      <c r="AX714">
        <f>IF(OR(AX$4="",$A714&gt;TODAY()),0,IF(OR(INDEX($B714:$D714,AX$5)="F",AND(AX$6&gt;0,$A714&lt;AX$6),AND(AX$7&gt;0,$A714&gt;AX$7)),0,MAX(0,ROUND((INDEX($E714:$G714,AX$5)-SUMIFS(TF_Timer,TF_Tekniker,AX$4,TF_Dato,$A714))*2,0)/2)))</f>
        <v/>
      </c>
      <c r="AY714">
        <f>IF(OR(AY$4="",$A714&gt;TODAY()),0,IF(OR(INDEX($B714:$D714,AY$5)="F",AND(AY$6&gt;0,$A714&lt;AY$6),AND(AY$7&gt;0,$A714&gt;AY$7)),0,MAX(0,ROUND((INDEX($E714:$G714,AY$5)-SUMIFS(TF_Timer,TF_Tekniker,AY$4,TF_Dato,$A714))*2,0)/2)))</f>
        <v/>
      </c>
      <c r="AZ714">
        <f>IF(OR(AZ$4="",$A714&gt;TODAY()),0,IF(OR(INDEX($B714:$D714,AZ$5)="F",AND(AZ$6&gt;0,$A714&lt;AZ$6),AND(AZ$7&gt;0,$A714&gt;AZ$7)),0,MAX(0,ROUND((INDEX($E714:$G714,AZ$5)-SUMIFS(TF_Timer,TF_Tekniker,AZ$4,TF_Dato,$A714))*2,0)/2)))</f>
        <v/>
      </c>
      <c r="BA714">
        <f>IF(OR(BA$4="",$A714&gt;TODAY()),0,IF(OR(INDEX($B714:$D714,BA$5)="F",AND(BA$6&gt;0,$A714&lt;BA$6),AND(BA$7&gt;0,$A714&gt;BA$7)),0,MAX(0,ROUND((INDEX($E714:$G714,BA$5)-SUMIFS(TF_Timer,TF_Tekniker,BA$4,TF_Dato,$A714))*2,0)/2)))</f>
        <v/>
      </c>
      <c r="BB714">
        <f>IF(OR(BB$4="",$A714&gt;TODAY()),0,IF(OR(INDEX($B714:$D714,BB$5)="F",AND(BB$6&gt;0,$A714&lt;BB$6),AND(BB$7&gt;0,$A714&gt;BB$7)),0,MAX(0,ROUND((INDEX($E714:$G714,BB$5)-SUMIFS(TF_Timer,TF_Tekniker,BB$4,TF_Dato,$A714))*2,0)/2)))</f>
        <v/>
      </c>
      <c r="BC714">
        <f>IF(OR(BC$4="",$A714&gt;TODAY()),0,IF(OR(INDEX($B714:$D714,BC$5)="F",AND(BC$6&gt;0,$A714&lt;BC$6),AND(BC$7&gt;0,$A714&gt;BC$7)),0,MAX(0,ROUND((INDEX($E714:$G714,BC$5)-SUMIFS(TF_Timer,TF_Tekniker,BC$4,TF_Dato,$A714))*2,0)/2)))</f>
        <v/>
      </c>
      <c r="BD714">
        <f>IF(OR(BD$4="",$A714&gt;TODAY()),0,IF(OR(INDEX($B714:$D714,BD$5)="F",AND(BD$6&gt;0,$A714&lt;BD$6),AND(BD$7&gt;0,$A714&gt;BD$7)),0,MAX(0,ROUND((INDEX($E714:$G714,BD$5)-SUMIFS(TF_Timer,TF_Tekniker,BD$4,TF_Dato,$A714))*2,0)/2)))</f>
        <v/>
      </c>
      <c r="BE714">
        <f>IF(OR(BE$4="",$A714&gt;TODAY()),0,IF(OR(INDEX($B714:$D714,BE$5)="F",AND(BE$6&gt;0,$A714&lt;BE$6),AND(BE$7&gt;0,$A714&gt;BE$7)),0,MAX(0,ROUND((INDEX($E714:$G714,BE$5)-SUMIFS(TF_Timer,TF_Tekniker,BE$4,TF_Dato,$A714))*2,0)/2)))</f>
        <v/>
      </c>
      <c r="BF714">
        <f>IF(OR(BF$4="",$A714&gt;TODAY()),0,IF(OR(INDEX($B714:$D714,BF$5)="F",AND(BF$6&gt;0,$A714&lt;BF$6),AND(BF$7&gt;0,$A714&gt;BF$7)),0,MAX(0,ROUND((INDEX($E714:$G714,BF$5)-SUMIFS(TF_Timer,TF_Tekniker,BF$4,TF_Dato,$A714))*2,0)/2)))</f>
        <v/>
      </c>
      <c r="BG714">
        <f>IF(OR(BG$4="",$A714&gt;TODAY()),0,IF(OR(INDEX($B714:$D714,BG$5)="F",AND(BG$6&gt;0,$A714&lt;BG$6),AND(BG$7&gt;0,$A714&gt;BG$7)),0,MAX(0,ROUND((INDEX($E714:$G714,BG$5)-SUMIFS(TF_Timer,TF_Tekniker,BG$4,TF_Dato,$A714))*2,0)/2)))</f>
        <v/>
      </c>
      <c r="BH714">
        <f>IF(OR(BH$4="",$A714&gt;TODAY()),0,IF(OR(INDEX($B714:$D714,BH$5)="F",AND(BH$6&gt;0,$A714&lt;BH$6),AND(BH$7&gt;0,$A714&gt;BH$7)),0,MAX(0,ROUND((INDEX($E714:$G714,BH$5)-SUMIFS(TF_Timer,TF_Tekniker,BH$4,TF_Dato,$A714))*2,0)/2)))</f>
        <v/>
      </c>
      <c r="BI714">
        <f>IF(OR(BI$4="",$A714&gt;TODAY()),0,IF(OR(INDEX($B714:$D714,BI$5)="F",AND(BI$6&gt;0,$A714&lt;BI$6),AND(BI$7&gt;0,$A714&gt;BI$7)),0,MAX(0,ROUND((INDEX($E714:$G714,BI$5)-SUMIFS(TF_Timer,TF_Tekniker,BI$4,TF_Dato,$A714))*2,0)/2)))</f>
        <v/>
      </c>
    </row>
    <row r="715">
      <c r="A715" s="64">
        <f>A714+1</f>
        <v/>
      </c>
      <c r="B715">
        <f>IF(MOD($A715-INDEX(SkiftStart,1),Syklus)&lt;DagK,"K",IF(MOD($A715-INDEX(SkiftStart,1),Syklus)&lt;DagK+DagH,"H",IF(MOD($A715-INDEX(SkiftStart,1),Syklus)&lt;DagK+DagH+DagD,"D","F")))</f>
        <v/>
      </c>
      <c r="C715">
        <f>IF(MOD($A715-INDEX(SkiftStart,2),Syklus)&lt;DagK,"K",IF(MOD($A715-INDEX(SkiftStart,2),Syklus)&lt;DagK+DagH,"H",IF(MOD($A715-INDEX(SkiftStart,2),Syklus)&lt;DagK+DagH+DagD,"D","F")))</f>
        <v/>
      </c>
      <c r="D715">
        <f>IF(MOD($A715-INDEX(SkiftStart,3),Syklus)&lt;DagK,"K",IF(MOD($A715-INDEX(SkiftStart,3),Syklus)&lt;DagK+DagH,"H",IF(MOD($A715-INDEX(SkiftStart,3),Syklus)&lt;DagK+DagH+DagD,"D","F")))</f>
        <v/>
      </c>
      <c r="E715">
        <f>IF(B715="F",0,IF(WEEKDAY($A715,2)=5,INDEX(TimerFr,MATCH(B715,FaseKode,0)),INDEX(TimerMT,MATCH(B715,FaseKode,0))))</f>
        <v/>
      </c>
      <c r="F715">
        <f>IF(C715="F",0,IF(WEEKDAY($A715,2)=5,INDEX(TimerFr,MATCH(C715,FaseKode,0)),INDEX(TimerMT,MATCH(C715,FaseKode,0))))</f>
        <v/>
      </c>
      <c r="G715">
        <f>IF(D715="F",0,IF(WEEKDAY($A715,2)=5,INDEX(TimerFr,MATCH(D715,FaseKode,0)),INDEX(TimerMT,MATCH(D715,FaseKode,0))))</f>
        <v/>
      </c>
      <c r="H715">
        <f>IF(OR(H$4="",$A715&gt;TODAY()),0,IF(OR(INDEX($B715:$D715,H$5)="F",AND(H$6&gt;0,$A715&lt;H$6),AND(H$7&gt;0,$A715&gt;H$7)),0,MAX(0,ROUND((INDEX($E715:$G715,H$5)-SUMIFS(TF_Timer,TF_Tekniker,H$4,TF_Dato,$A715))*2,0)/2)))</f>
        <v/>
      </c>
      <c r="I715">
        <f>IF(OR(I$4="",$A715&gt;TODAY()),0,IF(OR(INDEX($B715:$D715,I$5)="F",AND(I$6&gt;0,$A715&lt;I$6),AND(I$7&gt;0,$A715&gt;I$7)),0,MAX(0,ROUND((INDEX($E715:$G715,I$5)-SUMIFS(TF_Timer,TF_Tekniker,I$4,TF_Dato,$A715))*2,0)/2)))</f>
        <v/>
      </c>
      <c r="J715">
        <f>IF(OR(J$4="",$A715&gt;TODAY()),0,IF(OR(INDEX($B715:$D715,J$5)="F",AND(J$6&gt;0,$A715&lt;J$6),AND(J$7&gt;0,$A715&gt;J$7)),0,MAX(0,ROUND((INDEX($E715:$G715,J$5)-SUMIFS(TF_Timer,TF_Tekniker,J$4,TF_Dato,$A715))*2,0)/2)))</f>
        <v/>
      </c>
      <c r="K715">
        <f>IF(OR(K$4="",$A715&gt;TODAY()),0,IF(OR(INDEX($B715:$D715,K$5)="F",AND(K$6&gt;0,$A715&lt;K$6),AND(K$7&gt;0,$A715&gt;K$7)),0,MAX(0,ROUND((INDEX($E715:$G715,K$5)-SUMIFS(TF_Timer,TF_Tekniker,K$4,TF_Dato,$A715))*2,0)/2)))</f>
        <v/>
      </c>
      <c r="L715">
        <f>IF(OR(L$4="",$A715&gt;TODAY()),0,IF(OR(INDEX($B715:$D715,L$5)="F",AND(L$6&gt;0,$A715&lt;L$6),AND(L$7&gt;0,$A715&gt;L$7)),0,MAX(0,ROUND((INDEX($E715:$G715,L$5)-SUMIFS(TF_Timer,TF_Tekniker,L$4,TF_Dato,$A715))*2,0)/2)))</f>
        <v/>
      </c>
      <c r="M715">
        <f>IF(OR(M$4="",$A715&gt;TODAY()),0,IF(OR(INDEX($B715:$D715,M$5)="F",AND(M$6&gt;0,$A715&lt;M$6),AND(M$7&gt;0,$A715&gt;M$7)),0,MAX(0,ROUND((INDEX($E715:$G715,M$5)-SUMIFS(TF_Timer,TF_Tekniker,M$4,TF_Dato,$A715))*2,0)/2)))</f>
        <v/>
      </c>
      <c r="N715">
        <f>IF(OR(N$4="",$A715&gt;TODAY()),0,IF(OR(INDEX($B715:$D715,N$5)="F",AND(N$6&gt;0,$A715&lt;N$6),AND(N$7&gt;0,$A715&gt;N$7)),0,MAX(0,ROUND((INDEX($E715:$G715,N$5)-SUMIFS(TF_Timer,TF_Tekniker,N$4,TF_Dato,$A715))*2,0)/2)))</f>
        <v/>
      </c>
      <c r="O715">
        <f>IF(OR(O$4="",$A715&gt;TODAY()),0,IF(OR(INDEX($B715:$D715,O$5)="F",AND(O$6&gt;0,$A715&lt;O$6),AND(O$7&gt;0,$A715&gt;O$7)),0,MAX(0,ROUND((INDEX($E715:$G715,O$5)-SUMIFS(TF_Timer,TF_Tekniker,O$4,TF_Dato,$A715))*2,0)/2)))</f>
        <v/>
      </c>
      <c r="P715">
        <f>IF(OR(P$4="",$A715&gt;TODAY()),0,IF(OR(INDEX($B715:$D715,P$5)="F",AND(P$6&gt;0,$A715&lt;P$6),AND(P$7&gt;0,$A715&gt;P$7)),0,MAX(0,ROUND((INDEX($E715:$G715,P$5)-SUMIFS(TF_Timer,TF_Tekniker,P$4,TF_Dato,$A715))*2,0)/2)))</f>
        <v/>
      </c>
      <c r="Q715">
        <f>IF(OR(Q$4="",$A715&gt;TODAY()),0,IF(OR(INDEX($B715:$D715,Q$5)="F",AND(Q$6&gt;0,$A715&lt;Q$6),AND(Q$7&gt;0,$A715&gt;Q$7)),0,MAX(0,ROUND((INDEX($E715:$G715,Q$5)-SUMIFS(TF_Timer,TF_Tekniker,Q$4,TF_Dato,$A715))*2,0)/2)))</f>
        <v/>
      </c>
      <c r="R715">
        <f>IF(OR(R$4="",$A715&gt;TODAY()),0,IF(OR(INDEX($B715:$D715,R$5)="F",AND(R$6&gt;0,$A715&lt;R$6),AND(R$7&gt;0,$A715&gt;R$7)),0,MAX(0,ROUND((INDEX($E715:$G715,R$5)-SUMIFS(TF_Timer,TF_Tekniker,R$4,TF_Dato,$A715))*2,0)/2)))</f>
        <v/>
      </c>
      <c r="S715">
        <f>IF(OR(S$4="",$A715&gt;TODAY()),0,IF(OR(INDEX($B715:$D715,S$5)="F",AND(S$6&gt;0,$A715&lt;S$6),AND(S$7&gt;0,$A715&gt;S$7)),0,MAX(0,ROUND((INDEX($E715:$G715,S$5)-SUMIFS(TF_Timer,TF_Tekniker,S$4,TF_Dato,$A715))*2,0)/2)))</f>
        <v/>
      </c>
      <c r="T715">
        <f>IF(OR(T$4="",$A715&gt;TODAY()),0,IF(OR(INDEX($B715:$D715,T$5)="F",AND(T$6&gt;0,$A715&lt;T$6),AND(T$7&gt;0,$A715&gt;T$7)),0,MAX(0,ROUND((INDEX($E715:$G715,T$5)-SUMIFS(TF_Timer,TF_Tekniker,T$4,TF_Dato,$A715))*2,0)/2)))</f>
        <v/>
      </c>
      <c r="U715">
        <f>IF(OR(U$4="",$A715&gt;TODAY()),0,IF(OR(INDEX($B715:$D715,U$5)="F",AND(U$6&gt;0,$A715&lt;U$6),AND(U$7&gt;0,$A715&gt;U$7)),0,MAX(0,ROUND((INDEX($E715:$G715,U$5)-SUMIFS(TF_Timer,TF_Tekniker,U$4,TF_Dato,$A715))*2,0)/2)))</f>
        <v/>
      </c>
      <c r="V715">
        <f>IF(OR(V$4="",$A715&gt;TODAY()),0,IF(OR(INDEX($B715:$D715,V$5)="F",AND(V$6&gt;0,$A715&lt;V$6),AND(V$7&gt;0,$A715&gt;V$7)),0,MAX(0,ROUND((INDEX($E715:$G715,V$5)-SUMIFS(TF_Timer,TF_Tekniker,V$4,TF_Dato,$A715))*2,0)/2)))</f>
        <v/>
      </c>
      <c r="W715">
        <f>IF(OR(W$4="",$A715&gt;TODAY()),0,IF(OR(INDEX($B715:$D715,W$5)="F",AND(W$6&gt;0,$A715&lt;W$6),AND(W$7&gt;0,$A715&gt;W$7)),0,MAX(0,ROUND((INDEX($E715:$G715,W$5)-SUMIFS(TF_Timer,TF_Tekniker,W$4,TF_Dato,$A715))*2,0)/2)))</f>
        <v/>
      </c>
      <c r="X715">
        <f>IF(OR(X$4="",$A715&gt;TODAY()),0,IF(OR(INDEX($B715:$D715,X$5)="F",AND(X$6&gt;0,$A715&lt;X$6),AND(X$7&gt;0,$A715&gt;X$7)),0,MAX(0,ROUND((INDEX($E715:$G715,X$5)-SUMIFS(TF_Timer,TF_Tekniker,X$4,TF_Dato,$A715))*2,0)/2)))</f>
        <v/>
      </c>
      <c r="Y715">
        <f>IF(OR(Y$4="",$A715&gt;TODAY()),0,IF(OR(INDEX($B715:$D715,Y$5)="F",AND(Y$6&gt;0,$A715&lt;Y$6),AND(Y$7&gt;0,$A715&gt;Y$7)),0,MAX(0,ROUND((INDEX($E715:$G715,Y$5)-SUMIFS(TF_Timer,TF_Tekniker,Y$4,TF_Dato,$A715))*2,0)/2)))</f>
        <v/>
      </c>
      <c r="Z715">
        <f>IF(OR(Z$4="",$A715&gt;TODAY()),0,IF(OR(INDEX($B715:$D715,Z$5)="F",AND(Z$6&gt;0,$A715&lt;Z$6),AND(Z$7&gt;0,$A715&gt;Z$7)),0,MAX(0,ROUND((INDEX($E715:$G715,Z$5)-SUMIFS(TF_Timer,TF_Tekniker,Z$4,TF_Dato,$A715))*2,0)/2)))</f>
        <v/>
      </c>
      <c r="AA715">
        <f>IF(OR(AA$4="",$A715&gt;TODAY()),0,IF(OR(INDEX($B715:$D715,AA$5)="F",AND(AA$6&gt;0,$A715&lt;AA$6),AND(AA$7&gt;0,$A715&gt;AA$7)),0,MAX(0,ROUND((INDEX($E715:$G715,AA$5)-SUMIFS(TF_Timer,TF_Tekniker,AA$4,TF_Dato,$A715))*2,0)/2)))</f>
        <v/>
      </c>
      <c r="AB715">
        <f>IF(OR(AB$4="",$A715&gt;TODAY()),0,IF(OR(INDEX($B715:$D715,AB$5)="F",AND(AB$6&gt;0,$A715&lt;AB$6),AND(AB$7&gt;0,$A715&gt;AB$7)),0,MAX(0,ROUND((INDEX($E715:$G715,AB$5)-SUMIFS(TF_Timer,TF_Tekniker,AB$4,TF_Dato,$A715))*2,0)/2)))</f>
        <v/>
      </c>
      <c r="AC715">
        <f>IF(OR(AC$4="",$A715&gt;TODAY()),0,IF(OR(INDEX($B715:$D715,AC$5)="F",AND(AC$6&gt;0,$A715&lt;AC$6),AND(AC$7&gt;0,$A715&gt;AC$7)),0,MAX(0,ROUND((INDEX($E715:$G715,AC$5)-SUMIFS(TF_Timer,TF_Tekniker,AC$4,TF_Dato,$A715))*2,0)/2)))</f>
        <v/>
      </c>
      <c r="AD715">
        <f>IF(OR(AD$4="",$A715&gt;TODAY()),0,IF(OR(INDEX($B715:$D715,AD$5)="F",AND(AD$6&gt;0,$A715&lt;AD$6),AND(AD$7&gt;0,$A715&gt;AD$7)),0,MAX(0,ROUND((INDEX($E715:$G715,AD$5)-SUMIFS(TF_Timer,TF_Tekniker,AD$4,TF_Dato,$A715))*2,0)/2)))</f>
        <v/>
      </c>
      <c r="AE715">
        <f>IF(OR(AE$4="",$A715&gt;TODAY()),0,IF(OR(INDEX($B715:$D715,AE$5)="F",AND(AE$6&gt;0,$A715&lt;AE$6),AND(AE$7&gt;0,$A715&gt;AE$7)),0,MAX(0,ROUND((INDEX($E715:$G715,AE$5)-SUMIFS(TF_Timer,TF_Tekniker,AE$4,TF_Dato,$A715))*2,0)/2)))</f>
        <v/>
      </c>
      <c r="AF715">
        <f>IF(OR(AF$4="",$A715&gt;TODAY()),0,IF(OR(INDEX($B715:$D715,AF$5)="F",AND(AF$6&gt;0,$A715&lt;AF$6),AND(AF$7&gt;0,$A715&gt;AF$7)),0,MAX(0,ROUND((INDEX($E715:$G715,AF$5)-SUMIFS(TF_Timer,TF_Tekniker,AF$4,TF_Dato,$A715))*2,0)/2)))</f>
        <v/>
      </c>
      <c r="AG715">
        <f>IF(OR(AG$4="",$A715&gt;TODAY()),0,IF(OR(INDEX($B715:$D715,AG$5)="F",AND(AG$6&gt;0,$A715&lt;AG$6),AND(AG$7&gt;0,$A715&gt;AG$7)),0,MAX(0,ROUND((INDEX($E715:$G715,AG$5)-SUMIFS(TF_Timer,TF_Tekniker,AG$4,TF_Dato,$A715))*2,0)/2)))</f>
        <v/>
      </c>
      <c r="AH715">
        <f>IF(OR(AH$4="",$A715&gt;TODAY()),0,IF(OR(INDEX($B715:$D715,AH$5)="F",AND(AH$6&gt;0,$A715&lt;AH$6),AND(AH$7&gt;0,$A715&gt;AH$7)),0,MAX(0,ROUND((INDEX($E715:$G715,AH$5)-SUMIFS(TF_Timer,TF_Tekniker,AH$4,TF_Dato,$A715))*2,0)/2)))</f>
        <v/>
      </c>
      <c r="AI715">
        <f>IF(OR(AI$4="",$A715&gt;TODAY()),0,IF(OR(INDEX($B715:$D715,AI$5)="F",AND(AI$6&gt;0,$A715&lt;AI$6),AND(AI$7&gt;0,$A715&gt;AI$7)),0,MAX(0,ROUND((INDEX($E715:$G715,AI$5)-SUMIFS(TF_Timer,TF_Tekniker,AI$4,TF_Dato,$A715))*2,0)/2)))</f>
        <v/>
      </c>
      <c r="AJ715">
        <f>IF(OR(AJ$4="",$A715&gt;TODAY()),0,IF(OR(INDEX($B715:$D715,AJ$5)="F",AND(AJ$6&gt;0,$A715&lt;AJ$6),AND(AJ$7&gt;0,$A715&gt;AJ$7)),0,MAX(0,ROUND((INDEX($E715:$G715,AJ$5)-SUMIFS(TF_Timer,TF_Tekniker,AJ$4,TF_Dato,$A715))*2,0)/2)))</f>
        <v/>
      </c>
      <c r="AK715">
        <f>IF(OR(AK$4="",$A715&gt;TODAY()),0,IF(OR(INDEX($B715:$D715,AK$5)="F",AND(AK$6&gt;0,$A715&lt;AK$6),AND(AK$7&gt;0,$A715&gt;AK$7)),0,MAX(0,ROUND((INDEX($E715:$G715,AK$5)-SUMIFS(TF_Timer,TF_Tekniker,AK$4,TF_Dato,$A715))*2,0)/2)))</f>
        <v/>
      </c>
      <c r="AL715">
        <f>IF(OR(AL$4="",$A715&gt;TODAY()),0,IF(OR(INDEX($B715:$D715,AL$5)="F",AND(AL$6&gt;0,$A715&lt;AL$6),AND(AL$7&gt;0,$A715&gt;AL$7)),0,MAX(0,ROUND((INDEX($E715:$G715,AL$5)-SUMIFS(TF_Timer,TF_Tekniker,AL$4,TF_Dato,$A715))*2,0)/2)))</f>
        <v/>
      </c>
      <c r="AM715">
        <f>IF(OR(AM$4="",$A715&gt;TODAY()),0,IF(OR(INDEX($B715:$D715,AM$5)="F",AND(AM$6&gt;0,$A715&lt;AM$6),AND(AM$7&gt;0,$A715&gt;AM$7)),0,MAX(0,ROUND((INDEX($E715:$G715,AM$5)-SUMIFS(TF_Timer,TF_Tekniker,AM$4,TF_Dato,$A715))*2,0)/2)))</f>
        <v/>
      </c>
      <c r="AN715">
        <f>IF(OR(AN$4="",$A715&gt;TODAY()),0,IF(OR(INDEX($B715:$D715,AN$5)="F",AND(AN$6&gt;0,$A715&lt;AN$6),AND(AN$7&gt;0,$A715&gt;AN$7)),0,MAX(0,ROUND((INDEX($E715:$G715,AN$5)-SUMIFS(TF_Timer,TF_Tekniker,AN$4,TF_Dato,$A715))*2,0)/2)))</f>
        <v/>
      </c>
      <c r="AO715">
        <f>IF(OR(AO$4="",$A715&gt;TODAY()),0,IF(OR(INDEX($B715:$D715,AO$5)="F",AND(AO$6&gt;0,$A715&lt;AO$6),AND(AO$7&gt;0,$A715&gt;AO$7)),0,MAX(0,ROUND((INDEX($E715:$G715,AO$5)-SUMIFS(TF_Timer,TF_Tekniker,AO$4,TF_Dato,$A715))*2,0)/2)))</f>
        <v/>
      </c>
      <c r="AP715">
        <f>IF(OR(AP$4="",$A715&gt;TODAY()),0,IF(OR(INDEX($B715:$D715,AP$5)="F",AND(AP$6&gt;0,$A715&lt;AP$6),AND(AP$7&gt;0,$A715&gt;AP$7)),0,MAX(0,ROUND((INDEX($E715:$G715,AP$5)-SUMIFS(TF_Timer,TF_Tekniker,AP$4,TF_Dato,$A715))*2,0)/2)))</f>
        <v/>
      </c>
      <c r="AQ715">
        <f>IF(OR(AQ$4="",$A715&gt;TODAY()),0,IF(OR(INDEX($B715:$D715,AQ$5)="F",AND(AQ$6&gt;0,$A715&lt;AQ$6),AND(AQ$7&gt;0,$A715&gt;AQ$7)),0,MAX(0,ROUND((INDEX($E715:$G715,AQ$5)-SUMIFS(TF_Timer,TF_Tekniker,AQ$4,TF_Dato,$A715))*2,0)/2)))</f>
        <v/>
      </c>
      <c r="AR715">
        <f>IF(OR(AR$4="",$A715&gt;TODAY()),0,IF(OR(INDEX($B715:$D715,AR$5)="F",AND(AR$6&gt;0,$A715&lt;AR$6),AND(AR$7&gt;0,$A715&gt;AR$7)),0,MAX(0,ROUND((INDEX($E715:$G715,AR$5)-SUMIFS(TF_Timer,TF_Tekniker,AR$4,TF_Dato,$A715))*2,0)/2)))</f>
        <v/>
      </c>
      <c r="AS715">
        <f>IF(OR(AS$4="",$A715&gt;TODAY()),0,IF(OR(INDEX($B715:$D715,AS$5)="F",AND(AS$6&gt;0,$A715&lt;AS$6),AND(AS$7&gt;0,$A715&gt;AS$7)),0,MAX(0,ROUND((INDEX($E715:$G715,AS$5)-SUMIFS(TF_Timer,TF_Tekniker,AS$4,TF_Dato,$A715))*2,0)/2)))</f>
        <v/>
      </c>
      <c r="AT715">
        <f>IF(OR(AT$4="",$A715&gt;TODAY()),0,IF(OR(INDEX($B715:$D715,AT$5)="F",AND(AT$6&gt;0,$A715&lt;AT$6),AND(AT$7&gt;0,$A715&gt;AT$7)),0,MAX(0,ROUND((INDEX($E715:$G715,AT$5)-SUMIFS(TF_Timer,TF_Tekniker,AT$4,TF_Dato,$A715))*2,0)/2)))</f>
        <v/>
      </c>
      <c r="AU715">
        <f>IF(OR(AU$4="",$A715&gt;TODAY()),0,IF(OR(INDEX($B715:$D715,AU$5)="F",AND(AU$6&gt;0,$A715&lt;AU$6),AND(AU$7&gt;0,$A715&gt;AU$7)),0,MAX(0,ROUND((INDEX($E715:$G715,AU$5)-SUMIFS(TF_Timer,TF_Tekniker,AU$4,TF_Dato,$A715))*2,0)/2)))</f>
        <v/>
      </c>
      <c r="AV715">
        <f>IF(OR(AV$4="",$A715&gt;TODAY()),0,IF(OR(INDEX($B715:$D715,AV$5)="F",AND(AV$6&gt;0,$A715&lt;AV$6),AND(AV$7&gt;0,$A715&gt;AV$7)),0,MAX(0,ROUND((INDEX($E715:$G715,AV$5)-SUMIFS(TF_Timer,TF_Tekniker,AV$4,TF_Dato,$A715))*2,0)/2)))</f>
        <v/>
      </c>
      <c r="AW715">
        <f>IF(OR(AW$4="",$A715&gt;TODAY()),0,IF(OR(INDEX($B715:$D715,AW$5)="F",AND(AW$6&gt;0,$A715&lt;AW$6),AND(AW$7&gt;0,$A715&gt;AW$7)),0,MAX(0,ROUND((INDEX($E715:$G715,AW$5)-SUMIFS(TF_Timer,TF_Tekniker,AW$4,TF_Dato,$A715))*2,0)/2)))</f>
        <v/>
      </c>
      <c r="AX715">
        <f>IF(OR(AX$4="",$A715&gt;TODAY()),0,IF(OR(INDEX($B715:$D715,AX$5)="F",AND(AX$6&gt;0,$A715&lt;AX$6),AND(AX$7&gt;0,$A715&gt;AX$7)),0,MAX(0,ROUND((INDEX($E715:$G715,AX$5)-SUMIFS(TF_Timer,TF_Tekniker,AX$4,TF_Dato,$A715))*2,0)/2)))</f>
        <v/>
      </c>
      <c r="AY715">
        <f>IF(OR(AY$4="",$A715&gt;TODAY()),0,IF(OR(INDEX($B715:$D715,AY$5)="F",AND(AY$6&gt;0,$A715&lt;AY$6),AND(AY$7&gt;0,$A715&gt;AY$7)),0,MAX(0,ROUND((INDEX($E715:$G715,AY$5)-SUMIFS(TF_Timer,TF_Tekniker,AY$4,TF_Dato,$A715))*2,0)/2)))</f>
        <v/>
      </c>
      <c r="AZ715">
        <f>IF(OR(AZ$4="",$A715&gt;TODAY()),0,IF(OR(INDEX($B715:$D715,AZ$5)="F",AND(AZ$6&gt;0,$A715&lt;AZ$6),AND(AZ$7&gt;0,$A715&gt;AZ$7)),0,MAX(0,ROUND((INDEX($E715:$G715,AZ$5)-SUMIFS(TF_Timer,TF_Tekniker,AZ$4,TF_Dato,$A715))*2,0)/2)))</f>
        <v/>
      </c>
      <c r="BA715">
        <f>IF(OR(BA$4="",$A715&gt;TODAY()),0,IF(OR(INDEX($B715:$D715,BA$5)="F",AND(BA$6&gt;0,$A715&lt;BA$6),AND(BA$7&gt;0,$A715&gt;BA$7)),0,MAX(0,ROUND((INDEX($E715:$G715,BA$5)-SUMIFS(TF_Timer,TF_Tekniker,BA$4,TF_Dato,$A715))*2,0)/2)))</f>
        <v/>
      </c>
      <c r="BB715">
        <f>IF(OR(BB$4="",$A715&gt;TODAY()),0,IF(OR(INDEX($B715:$D715,BB$5)="F",AND(BB$6&gt;0,$A715&lt;BB$6),AND(BB$7&gt;0,$A715&gt;BB$7)),0,MAX(0,ROUND((INDEX($E715:$G715,BB$5)-SUMIFS(TF_Timer,TF_Tekniker,BB$4,TF_Dato,$A715))*2,0)/2)))</f>
        <v/>
      </c>
      <c r="BC715">
        <f>IF(OR(BC$4="",$A715&gt;TODAY()),0,IF(OR(INDEX($B715:$D715,BC$5)="F",AND(BC$6&gt;0,$A715&lt;BC$6),AND(BC$7&gt;0,$A715&gt;BC$7)),0,MAX(0,ROUND((INDEX($E715:$G715,BC$5)-SUMIFS(TF_Timer,TF_Tekniker,BC$4,TF_Dato,$A715))*2,0)/2)))</f>
        <v/>
      </c>
      <c r="BD715">
        <f>IF(OR(BD$4="",$A715&gt;TODAY()),0,IF(OR(INDEX($B715:$D715,BD$5)="F",AND(BD$6&gt;0,$A715&lt;BD$6),AND(BD$7&gt;0,$A715&gt;BD$7)),0,MAX(0,ROUND((INDEX($E715:$G715,BD$5)-SUMIFS(TF_Timer,TF_Tekniker,BD$4,TF_Dato,$A715))*2,0)/2)))</f>
        <v/>
      </c>
      <c r="BE715">
        <f>IF(OR(BE$4="",$A715&gt;TODAY()),0,IF(OR(INDEX($B715:$D715,BE$5)="F",AND(BE$6&gt;0,$A715&lt;BE$6),AND(BE$7&gt;0,$A715&gt;BE$7)),0,MAX(0,ROUND((INDEX($E715:$G715,BE$5)-SUMIFS(TF_Timer,TF_Tekniker,BE$4,TF_Dato,$A715))*2,0)/2)))</f>
        <v/>
      </c>
      <c r="BF715">
        <f>IF(OR(BF$4="",$A715&gt;TODAY()),0,IF(OR(INDEX($B715:$D715,BF$5)="F",AND(BF$6&gt;0,$A715&lt;BF$6),AND(BF$7&gt;0,$A715&gt;BF$7)),0,MAX(0,ROUND((INDEX($E715:$G715,BF$5)-SUMIFS(TF_Timer,TF_Tekniker,BF$4,TF_Dato,$A715))*2,0)/2)))</f>
        <v/>
      </c>
      <c r="BG715">
        <f>IF(OR(BG$4="",$A715&gt;TODAY()),0,IF(OR(INDEX($B715:$D715,BG$5)="F",AND(BG$6&gt;0,$A715&lt;BG$6),AND(BG$7&gt;0,$A715&gt;BG$7)),0,MAX(0,ROUND((INDEX($E715:$G715,BG$5)-SUMIFS(TF_Timer,TF_Tekniker,BG$4,TF_Dato,$A715))*2,0)/2)))</f>
        <v/>
      </c>
      <c r="BH715">
        <f>IF(OR(BH$4="",$A715&gt;TODAY()),0,IF(OR(INDEX($B715:$D715,BH$5)="F",AND(BH$6&gt;0,$A715&lt;BH$6),AND(BH$7&gt;0,$A715&gt;BH$7)),0,MAX(0,ROUND((INDEX($E715:$G715,BH$5)-SUMIFS(TF_Timer,TF_Tekniker,BH$4,TF_Dato,$A715))*2,0)/2)))</f>
        <v/>
      </c>
      <c r="BI715">
        <f>IF(OR(BI$4="",$A715&gt;TODAY()),0,IF(OR(INDEX($B715:$D715,BI$5)="F",AND(BI$6&gt;0,$A715&lt;BI$6),AND(BI$7&gt;0,$A715&gt;BI$7)),0,MAX(0,ROUND((INDEX($E715:$G715,BI$5)-SUMIFS(TF_Timer,TF_Tekniker,BI$4,TF_Dato,$A715))*2,0)/2)))</f>
        <v/>
      </c>
    </row>
    <row r="716">
      <c r="A716" s="64">
        <f>A715+1</f>
        <v/>
      </c>
      <c r="B716">
        <f>IF(MOD($A716-INDEX(SkiftStart,1),Syklus)&lt;DagK,"K",IF(MOD($A716-INDEX(SkiftStart,1),Syklus)&lt;DagK+DagH,"H",IF(MOD($A716-INDEX(SkiftStart,1),Syklus)&lt;DagK+DagH+DagD,"D","F")))</f>
        <v/>
      </c>
      <c r="C716">
        <f>IF(MOD($A716-INDEX(SkiftStart,2),Syklus)&lt;DagK,"K",IF(MOD($A716-INDEX(SkiftStart,2),Syklus)&lt;DagK+DagH,"H",IF(MOD($A716-INDEX(SkiftStart,2),Syklus)&lt;DagK+DagH+DagD,"D","F")))</f>
        <v/>
      </c>
      <c r="D716">
        <f>IF(MOD($A716-INDEX(SkiftStart,3),Syklus)&lt;DagK,"K",IF(MOD($A716-INDEX(SkiftStart,3),Syklus)&lt;DagK+DagH,"H",IF(MOD($A716-INDEX(SkiftStart,3),Syklus)&lt;DagK+DagH+DagD,"D","F")))</f>
        <v/>
      </c>
      <c r="E716">
        <f>IF(B716="F",0,IF(WEEKDAY($A716,2)=5,INDEX(TimerFr,MATCH(B716,FaseKode,0)),INDEX(TimerMT,MATCH(B716,FaseKode,0))))</f>
        <v/>
      </c>
      <c r="F716">
        <f>IF(C716="F",0,IF(WEEKDAY($A716,2)=5,INDEX(TimerFr,MATCH(C716,FaseKode,0)),INDEX(TimerMT,MATCH(C716,FaseKode,0))))</f>
        <v/>
      </c>
      <c r="G716">
        <f>IF(D716="F",0,IF(WEEKDAY($A716,2)=5,INDEX(TimerFr,MATCH(D716,FaseKode,0)),INDEX(TimerMT,MATCH(D716,FaseKode,0))))</f>
        <v/>
      </c>
      <c r="H716">
        <f>IF(OR(H$4="",$A716&gt;TODAY()),0,IF(OR(INDEX($B716:$D716,H$5)="F",AND(H$6&gt;0,$A716&lt;H$6),AND(H$7&gt;0,$A716&gt;H$7)),0,MAX(0,ROUND((INDEX($E716:$G716,H$5)-SUMIFS(TF_Timer,TF_Tekniker,H$4,TF_Dato,$A716))*2,0)/2)))</f>
        <v/>
      </c>
      <c r="I716">
        <f>IF(OR(I$4="",$A716&gt;TODAY()),0,IF(OR(INDEX($B716:$D716,I$5)="F",AND(I$6&gt;0,$A716&lt;I$6),AND(I$7&gt;0,$A716&gt;I$7)),0,MAX(0,ROUND((INDEX($E716:$G716,I$5)-SUMIFS(TF_Timer,TF_Tekniker,I$4,TF_Dato,$A716))*2,0)/2)))</f>
        <v/>
      </c>
      <c r="J716">
        <f>IF(OR(J$4="",$A716&gt;TODAY()),0,IF(OR(INDEX($B716:$D716,J$5)="F",AND(J$6&gt;0,$A716&lt;J$6),AND(J$7&gt;0,$A716&gt;J$7)),0,MAX(0,ROUND((INDEX($E716:$G716,J$5)-SUMIFS(TF_Timer,TF_Tekniker,J$4,TF_Dato,$A716))*2,0)/2)))</f>
        <v/>
      </c>
      <c r="K716">
        <f>IF(OR(K$4="",$A716&gt;TODAY()),0,IF(OR(INDEX($B716:$D716,K$5)="F",AND(K$6&gt;0,$A716&lt;K$6),AND(K$7&gt;0,$A716&gt;K$7)),0,MAX(0,ROUND((INDEX($E716:$G716,K$5)-SUMIFS(TF_Timer,TF_Tekniker,K$4,TF_Dato,$A716))*2,0)/2)))</f>
        <v/>
      </c>
      <c r="L716">
        <f>IF(OR(L$4="",$A716&gt;TODAY()),0,IF(OR(INDEX($B716:$D716,L$5)="F",AND(L$6&gt;0,$A716&lt;L$6),AND(L$7&gt;0,$A716&gt;L$7)),0,MAX(0,ROUND((INDEX($E716:$G716,L$5)-SUMIFS(TF_Timer,TF_Tekniker,L$4,TF_Dato,$A716))*2,0)/2)))</f>
        <v/>
      </c>
      <c r="M716">
        <f>IF(OR(M$4="",$A716&gt;TODAY()),0,IF(OR(INDEX($B716:$D716,M$5)="F",AND(M$6&gt;0,$A716&lt;M$6),AND(M$7&gt;0,$A716&gt;M$7)),0,MAX(0,ROUND((INDEX($E716:$G716,M$5)-SUMIFS(TF_Timer,TF_Tekniker,M$4,TF_Dato,$A716))*2,0)/2)))</f>
        <v/>
      </c>
      <c r="N716">
        <f>IF(OR(N$4="",$A716&gt;TODAY()),0,IF(OR(INDEX($B716:$D716,N$5)="F",AND(N$6&gt;0,$A716&lt;N$6),AND(N$7&gt;0,$A716&gt;N$7)),0,MAX(0,ROUND((INDEX($E716:$G716,N$5)-SUMIFS(TF_Timer,TF_Tekniker,N$4,TF_Dato,$A716))*2,0)/2)))</f>
        <v/>
      </c>
      <c r="O716">
        <f>IF(OR(O$4="",$A716&gt;TODAY()),0,IF(OR(INDEX($B716:$D716,O$5)="F",AND(O$6&gt;0,$A716&lt;O$6),AND(O$7&gt;0,$A716&gt;O$7)),0,MAX(0,ROUND((INDEX($E716:$G716,O$5)-SUMIFS(TF_Timer,TF_Tekniker,O$4,TF_Dato,$A716))*2,0)/2)))</f>
        <v/>
      </c>
      <c r="P716">
        <f>IF(OR(P$4="",$A716&gt;TODAY()),0,IF(OR(INDEX($B716:$D716,P$5)="F",AND(P$6&gt;0,$A716&lt;P$6),AND(P$7&gt;0,$A716&gt;P$7)),0,MAX(0,ROUND((INDEX($E716:$G716,P$5)-SUMIFS(TF_Timer,TF_Tekniker,P$4,TF_Dato,$A716))*2,0)/2)))</f>
        <v/>
      </c>
      <c r="Q716">
        <f>IF(OR(Q$4="",$A716&gt;TODAY()),0,IF(OR(INDEX($B716:$D716,Q$5)="F",AND(Q$6&gt;0,$A716&lt;Q$6),AND(Q$7&gt;0,$A716&gt;Q$7)),0,MAX(0,ROUND((INDEX($E716:$G716,Q$5)-SUMIFS(TF_Timer,TF_Tekniker,Q$4,TF_Dato,$A716))*2,0)/2)))</f>
        <v/>
      </c>
      <c r="R716">
        <f>IF(OR(R$4="",$A716&gt;TODAY()),0,IF(OR(INDEX($B716:$D716,R$5)="F",AND(R$6&gt;0,$A716&lt;R$6),AND(R$7&gt;0,$A716&gt;R$7)),0,MAX(0,ROUND((INDEX($E716:$G716,R$5)-SUMIFS(TF_Timer,TF_Tekniker,R$4,TF_Dato,$A716))*2,0)/2)))</f>
        <v/>
      </c>
      <c r="S716">
        <f>IF(OR(S$4="",$A716&gt;TODAY()),0,IF(OR(INDEX($B716:$D716,S$5)="F",AND(S$6&gt;0,$A716&lt;S$6),AND(S$7&gt;0,$A716&gt;S$7)),0,MAX(0,ROUND((INDEX($E716:$G716,S$5)-SUMIFS(TF_Timer,TF_Tekniker,S$4,TF_Dato,$A716))*2,0)/2)))</f>
        <v/>
      </c>
      <c r="T716">
        <f>IF(OR(T$4="",$A716&gt;TODAY()),0,IF(OR(INDEX($B716:$D716,T$5)="F",AND(T$6&gt;0,$A716&lt;T$6),AND(T$7&gt;0,$A716&gt;T$7)),0,MAX(0,ROUND((INDEX($E716:$G716,T$5)-SUMIFS(TF_Timer,TF_Tekniker,T$4,TF_Dato,$A716))*2,0)/2)))</f>
        <v/>
      </c>
      <c r="U716">
        <f>IF(OR(U$4="",$A716&gt;TODAY()),0,IF(OR(INDEX($B716:$D716,U$5)="F",AND(U$6&gt;0,$A716&lt;U$6),AND(U$7&gt;0,$A716&gt;U$7)),0,MAX(0,ROUND((INDEX($E716:$G716,U$5)-SUMIFS(TF_Timer,TF_Tekniker,U$4,TF_Dato,$A716))*2,0)/2)))</f>
        <v/>
      </c>
      <c r="V716">
        <f>IF(OR(V$4="",$A716&gt;TODAY()),0,IF(OR(INDEX($B716:$D716,V$5)="F",AND(V$6&gt;0,$A716&lt;V$6),AND(V$7&gt;0,$A716&gt;V$7)),0,MAX(0,ROUND((INDEX($E716:$G716,V$5)-SUMIFS(TF_Timer,TF_Tekniker,V$4,TF_Dato,$A716))*2,0)/2)))</f>
        <v/>
      </c>
      <c r="W716">
        <f>IF(OR(W$4="",$A716&gt;TODAY()),0,IF(OR(INDEX($B716:$D716,W$5)="F",AND(W$6&gt;0,$A716&lt;W$6),AND(W$7&gt;0,$A716&gt;W$7)),0,MAX(0,ROUND((INDEX($E716:$G716,W$5)-SUMIFS(TF_Timer,TF_Tekniker,W$4,TF_Dato,$A716))*2,0)/2)))</f>
        <v/>
      </c>
      <c r="X716">
        <f>IF(OR(X$4="",$A716&gt;TODAY()),0,IF(OR(INDEX($B716:$D716,X$5)="F",AND(X$6&gt;0,$A716&lt;X$6),AND(X$7&gt;0,$A716&gt;X$7)),0,MAX(0,ROUND((INDEX($E716:$G716,X$5)-SUMIFS(TF_Timer,TF_Tekniker,X$4,TF_Dato,$A716))*2,0)/2)))</f>
        <v/>
      </c>
      <c r="Y716">
        <f>IF(OR(Y$4="",$A716&gt;TODAY()),0,IF(OR(INDEX($B716:$D716,Y$5)="F",AND(Y$6&gt;0,$A716&lt;Y$6),AND(Y$7&gt;0,$A716&gt;Y$7)),0,MAX(0,ROUND((INDEX($E716:$G716,Y$5)-SUMIFS(TF_Timer,TF_Tekniker,Y$4,TF_Dato,$A716))*2,0)/2)))</f>
        <v/>
      </c>
      <c r="Z716">
        <f>IF(OR(Z$4="",$A716&gt;TODAY()),0,IF(OR(INDEX($B716:$D716,Z$5)="F",AND(Z$6&gt;0,$A716&lt;Z$6),AND(Z$7&gt;0,$A716&gt;Z$7)),0,MAX(0,ROUND((INDEX($E716:$G716,Z$5)-SUMIFS(TF_Timer,TF_Tekniker,Z$4,TF_Dato,$A716))*2,0)/2)))</f>
        <v/>
      </c>
      <c r="AA716">
        <f>IF(OR(AA$4="",$A716&gt;TODAY()),0,IF(OR(INDEX($B716:$D716,AA$5)="F",AND(AA$6&gt;0,$A716&lt;AA$6),AND(AA$7&gt;0,$A716&gt;AA$7)),0,MAX(0,ROUND((INDEX($E716:$G716,AA$5)-SUMIFS(TF_Timer,TF_Tekniker,AA$4,TF_Dato,$A716))*2,0)/2)))</f>
        <v/>
      </c>
      <c r="AB716">
        <f>IF(OR(AB$4="",$A716&gt;TODAY()),0,IF(OR(INDEX($B716:$D716,AB$5)="F",AND(AB$6&gt;0,$A716&lt;AB$6),AND(AB$7&gt;0,$A716&gt;AB$7)),0,MAX(0,ROUND((INDEX($E716:$G716,AB$5)-SUMIFS(TF_Timer,TF_Tekniker,AB$4,TF_Dato,$A716))*2,0)/2)))</f>
        <v/>
      </c>
      <c r="AC716">
        <f>IF(OR(AC$4="",$A716&gt;TODAY()),0,IF(OR(INDEX($B716:$D716,AC$5)="F",AND(AC$6&gt;0,$A716&lt;AC$6),AND(AC$7&gt;0,$A716&gt;AC$7)),0,MAX(0,ROUND((INDEX($E716:$G716,AC$5)-SUMIFS(TF_Timer,TF_Tekniker,AC$4,TF_Dato,$A716))*2,0)/2)))</f>
        <v/>
      </c>
      <c r="AD716">
        <f>IF(OR(AD$4="",$A716&gt;TODAY()),0,IF(OR(INDEX($B716:$D716,AD$5)="F",AND(AD$6&gt;0,$A716&lt;AD$6),AND(AD$7&gt;0,$A716&gt;AD$7)),0,MAX(0,ROUND((INDEX($E716:$G716,AD$5)-SUMIFS(TF_Timer,TF_Tekniker,AD$4,TF_Dato,$A716))*2,0)/2)))</f>
        <v/>
      </c>
      <c r="AE716">
        <f>IF(OR(AE$4="",$A716&gt;TODAY()),0,IF(OR(INDEX($B716:$D716,AE$5)="F",AND(AE$6&gt;0,$A716&lt;AE$6),AND(AE$7&gt;0,$A716&gt;AE$7)),0,MAX(0,ROUND((INDEX($E716:$G716,AE$5)-SUMIFS(TF_Timer,TF_Tekniker,AE$4,TF_Dato,$A716))*2,0)/2)))</f>
        <v/>
      </c>
      <c r="AF716">
        <f>IF(OR(AF$4="",$A716&gt;TODAY()),0,IF(OR(INDEX($B716:$D716,AF$5)="F",AND(AF$6&gt;0,$A716&lt;AF$6),AND(AF$7&gt;0,$A716&gt;AF$7)),0,MAX(0,ROUND((INDEX($E716:$G716,AF$5)-SUMIFS(TF_Timer,TF_Tekniker,AF$4,TF_Dato,$A716))*2,0)/2)))</f>
        <v/>
      </c>
      <c r="AG716">
        <f>IF(OR(AG$4="",$A716&gt;TODAY()),0,IF(OR(INDEX($B716:$D716,AG$5)="F",AND(AG$6&gt;0,$A716&lt;AG$6),AND(AG$7&gt;0,$A716&gt;AG$7)),0,MAX(0,ROUND((INDEX($E716:$G716,AG$5)-SUMIFS(TF_Timer,TF_Tekniker,AG$4,TF_Dato,$A716))*2,0)/2)))</f>
        <v/>
      </c>
      <c r="AH716">
        <f>IF(OR(AH$4="",$A716&gt;TODAY()),0,IF(OR(INDEX($B716:$D716,AH$5)="F",AND(AH$6&gt;0,$A716&lt;AH$6),AND(AH$7&gt;0,$A716&gt;AH$7)),0,MAX(0,ROUND((INDEX($E716:$G716,AH$5)-SUMIFS(TF_Timer,TF_Tekniker,AH$4,TF_Dato,$A716))*2,0)/2)))</f>
        <v/>
      </c>
      <c r="AI716">
        <f>IF(OR(AI$4="",$A716&gt;TODAY()),0,IF(OR(INDEX($B716:$D716,AI$5)="F",AND(AI$6&gt;0,$A716&lt;AI$6),AND(AI$7&gt;0,$A716&gt;AI$7)),0,MAX(0,ROUND((INDEX($E716:$G716,AI$5)-SUMIFS(TF_Timer,TF_Tekniker,AI$4,TF_Dato,$A716))*2,0)/2)))</f>
        <v/>
      </c>
      <c r="AJ716">
        <f>IF(OR(AJ$4="",$A716&gt;TODAY()),0,IF(OR(INDEX($B716:$D716,AJ$5)="F",AND(AJ$6&gt;0,$A716&lt;AJ$6),AND(AJ$7&gt;0,$A716&gt;AJ$7)),0,MAX(0,ROUND((INDEX($E716:$G716,AJ$5)-SUMIFS(TF_Timer,TF_Tekniker,AJ$4,TF_Dato,$A716))*2,0)/2)))</f>
        <v/>
      </c>
      <c r="AK716">
        <f>IF(OR(AK$4="",$A716&gt;TODAY()),0,IF(OR(INDEX($B716:$D716,AK$5)="F",AND(AK$6&gt;0,$A716&lt;AK$6),AND(AK$7&gt;0,$A716&gt;AK$7)),0,MAX(0,ROUND((INDEX($E716:$G716,AK$5)-SUMIFS(TF_Timer,TF_Tekniker,AK$4,TF_Dato,$A716))*2,0)/2)))</f>
        <v/>
      </c>
      <c r="AL716">
        <f>IF(OR(AL$4="",$A716&gt;TODAY()),0,IF(OR(INDEX($B716:$D716,AL$5)="F",AND(AL$6&gt;0,$A716&lt;AL$6),AND(AL$7&gt;0,$A716&gt;AL$7)),0,MAX(0,ROUND((INDEX($E716:$G716,AL$5)-SUMIFS(TF_Timer,TF_Tekniker,AL$4,TF_Dato,$A716))*2,0)/2)))</f>
        <v/>
      </c>
      <c r="AM716">
        <f>IF(OR(AM$4="",$A716&gt;TODAY()),0,IF(OR(INDEX($B716:$D716,AM$5)="F",AND(AM$6&gt;0,$A716&lt;AM$6),AND(AM$7&gt;0,$A716&gt;AM$7)),0,MAX(0,ROUND((INDEX($E716:$G716,AM$5)-SUMIFS(TF_Timer,TF_Tekniker,AM$4,TF_Dato,$A716))*2,0)/2)))</f>
        <v/>
      </c>
      <c r="AN716">
        <f>IF(OR(AN$4="",$A716&gt;TODAY()),0,IF(OR(INDEX($B716:$D716,AN$5)="F",AND(AN$6&gt;0,$A716&lt;AN$6),AND(AN$7&gt;0,$A716&gt;AN$7)),0,MAX(0,ROUND((INDEX($E716:$G716,AN$5)-SUMIFS(TF_Timer,TF_Tekniker,AN$4,TF_Dato,$A716))*2,0)/2)))</f>
        <v/>
      </c>
      <c r="AO716">
        <f>IF(OR(AO$4="",$A716&gt;TODAY()),0,IF(OR(INDEX($B716:$D716,AO$5)="F",AND(AO$6&gt;0,$A716&lt;AO$6),AND(AO$7&gt;0,$A716&gt;AO$7)),0,MAX(0,ROUND((INDEX($E716:$G716,AO$5)-SUMIFS(TF_Timer,TF_Tekniker,AO$4,TF_Dato,$A716))*2,0)/2)))</f>
        <v/>
      </c>
      <c r="AP716">
        <f>IF(OR(AP$4="",$A716&gt;TODAY()),0,IF(OR(INDEX($B716:$D716,AP$5)="F",AND(AP$6&gt;0,$A716&lt;AP$6),AND(AP$7&gt;0,$A716&gt;AP$7)),0,MAX(0,ROUND((INDEX($E716:$G716,AP$5)-SUMIFS(TF_Timer,TF_Tekniker,AP$4,TF_Dato,$A716))*2,0)/2)))</f>
        <v/>
      </c>
      <c r="AQ716">
        <f>IF(OR(AQ$4="",$A716&gt;TODAY()),0,IF(OR(INDEX($B716:$D716,AQ$5)="F",AND(AQ$6&gt;0,$A716&lt;AQ$6),AND(AQ$7&gt;0,$A716&gt;AQ$7)),0,MAX(0,ROUND((INDEX($E716:$G716,AQ$5)-SUMIFS(TF_Timer,TF_Tekniker,AQ$4,TF_Dato,$A716))*2,0)/2)))</f>
        <v/>
      </c>
      <c r="AR716">
        <f>IF(OR(AR$4="",$A716&gt;TODAY()),0,IF(OR(INDEX($B716:$D716,AR$5)="F",AND(AR$6&gt;0,$A716&lt;AR$6),AND(AR$7&gt;0,$A716&gt;AR$7)),0,MAX(0,ROUND((INDEX($E716:$G716,AR$5)-SUMIFS(TF_Timer,TF_Tekniker,AR$4,TF_Dato,$A716))*2,0)/2)))</f>
        <v/>
      </c>
      <c r="AS716">
        <f>IF(OR(AS$4="",$A716&gt;TODAY()),0,IF(OR(INDEX($B716:$D716,AS$5)="F",AND(AS$6&gt;0,$A716&lt;AS$6),AND(AS$7&gt;0,$A716&gt;AS$7)),0,MAX(0,ROUND((INDEX($E716:$G716,AS$5)-SUMIFS(TF_Timer,TF_Tekniker,AS$4,TF_Dato,$A716))*2,0)/2)))</f>
        <v/>
      </c>
      <c r="AT716">
        <f>IF(OR(AT$4="",$A716&gt;TODAY()),0,IF(OR(INDEX($B716:$D716,AT$5)="F",AND(AT$6&gt;0,$A716&lt;AT$6),AND(AT$7&gt;0,$A716&gt;AT$7)),0,MAX(0,ROUND((INDEX($E716:$G716,AT$5)-SUMIFS(TF_Timer,TF_Tekniker,AT$4,TF_Dato,$A716))*2,0)/2)))</f>
        <v/>
      </c>
      <c r="AU716">
        <f>IF(OR(AU$4="",$A716&gt;TODAY()),0,IF(OR(INDEX($B716:$D716,AU$5)="F",AND(AU$6&gt;0,$A716&lt;AU$6),AND(AU$7&gt;0,$A716&gt;AU$7)),0,MAX(0,ROUND((INDEX($E716:$G716,AU$5)-SUMIFS(TF_Timer,TF_Tekniker,AU$4,TF_Dato,$A716))*2,0)/2)))</f>
        <v/>
      </c>
      <c r="AV716">
        <f>IF(OR(AV$4="",$A716&gt;TODAY()),0,IF(OR(INDEX($B716:$D716,AV$5)="F",AND(AV$6&gt;0,$A716&lt;AV$6),AND(AV$7&gt;0,$A716&gt;AV$7)),0,MAX(0,ROUND((INDEX($E716:$G716,AV$5)-SUMIFS(TF_Timer,TF_Tekniker,AV$4,TF_Dato,$A716))*2,0)/2)))</f>
        <v/>
      </c>
      <c r="AW716">
        <f>IF(OR(AW$4="",$A716&gt;TODAY()),0,IF(OR(INDEX($B716:$D716,AW$5)="F",AND(AW$6&gt;0,$A716&lt;AW$6),AND(AW$7&gt;0,$A716&gt;AW$7)),0,MAX(0,ROUND((INDEX($E716:$G716,AW$5)-SUMIFS(TF_Timer,TF_Tekniker,AW$4,TF_Dato,$A716))*2,0)/2)))</f>
        <v/>
      </c>
      <c r="AX716">
        <f>IF(OR(AX$4="",$A716&gt;TODAY()),0,IF(OR(INDEX($B716:$D716,AX$5)="F",AND(AX$6&gt;0,$A716&lt;AX$6),AND(AX$7&gt;0,$A716&gt;AX$7)),0,MAX(0,ROUND((INDEX($E716:$G716,AX$5)-SUMIFS(TF_Timer,TF_Tekniker,AX$4,TF_Dato,$A716))*2,0)/2)))</f>
        <v/>
      </c>
      <c r="AY716">
        <f>IF(OR(AY$4="",$A716&gt;TODAY()),0,IF(OR(INDEX($B716:$D716,AY$5)="F",AND(AY$6&gt;0,$A716&lt;AY$6),AND(AY$7&gt;0,$A716&gt;AY$7)),0,MAX(0,ROUND((INDEX($E716:$G716,AY$5)-SUMIFS(TF_Timer,TF_Tekniker,AY$4,TF_Dato,$A716))*2,0)/2)))</f>
        <v/>
      </c>
      <c r="AZ716">
        <f>IF(OR(AZ$4="",$A716&gt;TODAY()),0,IF(OR(INDEX($B716:$D716,AZ$5)="F",AND(AZ$6&gt;0,$A716&lt;AZ$6),AND(AZ$7&gt;0,$A716&gt;AZ$7)),0,MAX(0,ROUND((INDEX($E716:$G716,AZ$5)-SUMIFS(TF_Timer,TF_Tekniker,AZ$4,TF_Dato,$A716))*2,0)/2)))</f>
        <v/>
      </c>
      <c r="BA716">
        <f>IF(OR(BA$4="",$A716&gt;TODAY()),0,IF(OR(INDEX($B716:$D716,BA$5)="F",AND(BA$6&gt;0,$A716&lt;BA$6),AND(BA$7&gt;0,$A716&gt;BA$7)),0,MAX(0,ROUND((INDEX($E716:$G716,BA$5)-SUMIFS(TF_Timer,TF_Tekniker,BA$4,TF_Dato,$A716))*2,0)/2)))</f>
        <v/>
      </c>
      <c r="BB716">
        <f>IF(OR(BB$4="",$A716&gt;TODAY()),0,IF(OR(INDEX($B716:$D716,BB$5)="F",AND(BB$6&gt;0,$A716&lt;BB$6),AND(BB$7&gt;0,$A716&gt;BB$7)),0,MAX(0,ROUND((INDEX($E716:$G716,BB$5)-SUMIFS(TF_Timer,TF_Tekniker,BB$4,TF_Dato,$A716))*2,0)/2)))</f>
        <v/>
      </c>
      <c r="BC716">
        <f>IF(OR(BC$4="",$A716&gt;TODAY()),0,IF(OR(INDEX($B716:$D716,BC$5)="F",AND(BC$6&gt;0,$A716&lt;BC$6),AND(BC$7&gt;0,$A716&gt;BC$7)),0,MAX(0,ROUND((INDEX($E716:$G716,BC$5)-SUMIFS(TF_Timer,TF_Tekniker,BC$4,TF_Dato,$A716))*2,0)/2)))</f>
        <v/>
      </c>
      <c r="BD716">
        <f>IF(OR(BD$4="",$A716&gt;TODAY()),0,IF(OR(INDEX($B716:$D716,BD$5)="F",AND(BD$6&gt;0,$A716&lt;BD$6),AND(BD$7&gt;0,$A716&gt;BD$7)),0,MAX(0,ROUND((INDEX($E716:$G716,BD$5)-SUMIFS(TF_Timer,TF_Tekniker,BD$4,TF_Dato,$A716))*2,0)/2)))</f>
        <v/>
      </c>
      <c r="BE716">
        <f>IF(OR(BE$4="",$A716&gt;TODAY()),0,IF(OR(INDEX($B716:$D716,BE$5)="F",AND(BE$6&gt;0,$A716&lt;BE$6),AND(BE$7&gt;0,$A716&gt;BE$7)),0,MAX(0,ROUND((INDEX($E716:$G716,BE$5)-SUMIFS(TF_Timer,TF_Tekniker,BE$4,TF_Dato,$A716))*2,0)/2)))</f>
        <v/>
      </c>
      <c r="BF716">
        <f>IF(OR(BF$4="",$A716&gt;TODAY()),0,IF(OR(INDEX($B716:$D716,BF$5)="F",AND(BF$6&gt;0,$A716&lt;BF$6),AND(BF$7&gt;0,$A716&gt;BF$7)),0,MAX(0,ROUND((INDEX($E716:$G716,BF$5)-SUMIFS(TF_Timer,TF_Tekniker,BF$4,TF_Dato,$A716))*2,0)/2)))</f>
        <v/>
      </c>
      <c r="BG716">
        <f>IF(OR(BG$4="",$A716&gt;TODAY()),0,IF(OR(INDEX($B716:$D716,BG$5)="F",AND(BG$6&gt;0,$A716&lt;BG$6),AND(BG$7&gt;0,$A716&gt;BG$7)),0,MAX(0,ROUND((INDEX($E716:$G716,BG$5)-SUMIFS(TF_Timer,TF_Tekniker,BG$4,TF_Dato,$A716))*2,0)/2)))</f>
        <v/>
      </c>
      <c r="BH716">
        <f>IF(OR(BH$4="",$A716&gt;TODAY()),0,IF(OR(INDEX($B716:$D716,BH$5)="F",AND(BH$6&gt;0,$A716&lt;BH$6),AND(BH$7&gt;0,$A716&gt;BH$7)),0,MAX(0,ROUND((INDEX($E716:$G716,BH$5)-SUMIFS(TF_Timer,TF_Tekniker,BH$4,TF_Dato,$A716))*2,0)/2)))</f>
        <v/>
      </c>
      <c r="BI716">
        <f>IF(OR(BI$4="",$A716&gt;TODAY()),0,IF(OR(INDEX($B716:$D716,BI$5)="F",AND(BI$6&gt;0,$A716&lt;BI$6),AND(BI$7&gt;0,$A716&gt;BI$7)),0,MAX(0,ROUND((INDEX($E716:$G716,BI$5)-SUMIFS(TF_Timer,TF_Tekniker,BI$4,TF_Dato,$A716))*2,0)/2)))</f>
        <v/>
      </c>
    </row>
    <row r="717">
      <c r="A717" s="64">
        <f>A716+1</f>
        <v/>
      </c>
      <c r="B717">
        <f>IF(MOD($A717-INDEX(SkiftStart,1),Syklus)&lt;DagK,"K",IF(MOD($A717-INDEX(SkiftStart,1),Syklus)&lt;DagK+DagH,"H",IF(MOD($A717-INDEX(SkiftStart,1),Syklus)&lt;DagK+DagH+DagD,"D","F")))</f>
        <v/>
      </c>
      <c r="C717">
        <f>IF(MOD($A717-INDEX(SkiftStart,2),Syklus)&lt;DagK,"K",IF(MOD($A717-INDEX(SkiftStart,2),Syklus)&lt;DagK+DagH,"H",IF(MOD($A717-INDEX(SkiftStart,2),Syklus)&lt;DagK+DagH+DagD,"D","F")))</f>
        <v/>
      </c>
      <c r="D717">
        <f>IF(MOD($A717-INDEX(SkiftStart,3),Syklus)&lt;DagK,"K",IF(MOD($A717-INDEX(SkiftStart,3),Syklus)&lt;DagK+DagH,"H",IF(MOD($A717-INDEX(SkiftStart,3),Syklus)&lt;DagK+DagH+DagD,"D","F")))</f>
        <v/>
      </c>
      <c r="E717">
        <f>IF(B717="F",0,IF(WEEKDAY($A717,2)=5,INDEX(TimerFr,MATCH(B717,FaseKode,0)),INDEX(TimerMT,MATCH(B717,FaseKode,0))))</f>
        <v/>
      </c>
      <c r="F717">
        <f>IF(C717="F",0,IF(WEEKDAY($A717,2)=5,INDEX(TimerFr,MATCH(C717,FaseKode,0)),INDEX(TimerMT,MATCH(C717,FaseKode,0))))</f>
        <v/>
      </c>
      <c r="G717">
        <f>IF(D717="F",0,IF(WEEKDAY($A717,2)=5,INDEX(TimerFr,MATCH(D717,FaseKode,0)),INDEX(TimerMT,MATCH(D717,FaseKode,0))))</f>
        <v/>
      </c>
      <c r="H717">
        <f>IF(OR(H$4="",$A717&gt;TODAY()),0,IF(OR(INDEX($B717:$D717,H$5)="F",AND(H$6&gt;0,$A717&lt;H$6),AND(H$7&gt;0,$A717&gt;H$7)),0,MAX(0,ROUND((INDEX($E717:$G717,H$5)-SUMIFS(TF_Timer,TF_Tekniker,H$4,TF_Dato,$A717))*2,0)/2)))</f>
        <v/>
      </c>
      <c r="I717">
        <f>IF(OR(I$4="",$A717&gt;TODAY()),0,IF(OR(INDEX($B717:$D717,I$5)="F",AND(I$6&gt;0,$A717&lt;I$6),AND(I$7&gt;0,$A717&gt;I$7)),0,MAX(0,ROUND((INDEX($E717:$G717,I$5)-SUMIFS(TF_Timer,TF_Tekniker,I$4,TF_Dato,$A717))*2,0)/2)))</f>
        <v/>
      </c>
      <c r="J717">
        <f>IF(OR(J$4="",$A717&gt;TODAY()),0,IF(OR(INDEX($B717:$D717,J$5)="F",AND(J$6&gt;0,$A717&lt;J$6),AND(J$7&gt;0,$A717&gt;J$7)),0,MAX(0,ROUND((INDEX($E717:$G717,J$5)-SUMIFS(TF_Timer,TF_Tekniker,J$4,TF_Dato,$A717))*2,0)/2)))</f>
        <v/>
      </c>
      <c r="K717">
        <f>IF(OR(K$4="",$A717&gt;TODAY()),0,IF(OR(INDEX($B717:$D717,K$5)="F",AND(K$6&gt;0,$A717&lt;K$6),AND(K$7&gt;0,$A717&gt;K$7)),0,MAX(0,ROUND((INDEX($E717:$G717,K$5)-SUMIFS(TF_Timer,TF_Tekniker,K$4,TF_Dato,$A717))*2,0)/2)))</f>
        <v/>
      </c>
      <c r="L717">
        <f>IF(OR(L$4="",$A717&gt;TODAY()),0,IF(OR(INDEX($B717:$D717,L$5)="F",AND(L$6&gt;0,$A717&lt;L$6),AND(L$7&gt;0,$A717&gt;L$7)),0,MAX(0,ROUND((INDEX($E717:$G717,L$5)-SUMIFS(TF_Timer,TF_Tekniker,L$4,TF_Dato,$A717))*2,0)/2)))</f>
        <v/>
      </c>
      <c r="M717">
        <f>IF(OR(M$4="",$A717&gt;TODAY()),0,IF(OR(INDEX($B717:$D717,M$5)="F",AND(M$6&gt;0,$A717&lt;M$6),AND(M$7&gt;0,$A717&gt;M$7)),0,MAX(0,ROUND((INDEX($E717:$G717,M$5)-SUMIFS(TF_Timer,TF_Tekniker,M$4,TF_Dato,$A717))*2,0)/2)))</f>
        <v/>
      </c>
      <c r="N717">
        <f>IF(OR(N$4="",$A717&gt;TODAY()),0,IF(OR(INDEX($B717:$D717,N$5)="F",AND(N$6&gt;0,$A717&lt;N$6),AND(N$7&gt;0,$A717&gt;N$7)),0,MAX(0,ROUND((INDEX($E717:$G717,N$5)-SUMIFS(TF_Timer,TF_Tekniker,N$4,TF_Dato,$A717))*2,0)/2)))</f>
        <v/>
      </c>
      <c r="O717">
        <f>IF(OR(O$4="",$A717&gt;TODAY()),0,IF(OR(INDEX($B717:$D717,O$5)="F",AND(O$6&gt;0,$A717&lt;O$6),AND(O$7&gt;0,$A717&gt;O$7)),0,MAX(0,ROUND((INDEX($E717:$G717,O$5)-SUMIFS(TF_Timer,TF_Tekniker,O$4,TF_Dato,$A717))*2,0)/2)))</f>
        <v/>
      </c>
      <c r="P717">
        <f>IF(OR(P$4="",$A717&gt;TODAY()),0,IF(OR(INDEX($B717:$D717,P$5)="F",AND(P$6&gt;0,$A717&lt;P$6),AND(P$7&gt;0,$A717&gt;P$7)),0,MAX(0,ROUND((INDEX($E717:$G717,P$5)-SUMIFS(TF_Timer,TF_Tekniker,P$4,TF_Dato,$A717))*2,0)/2)))</f>
        <v/>
      </c>
      <c r="Q717">
        <f>IF(OR(Q$4="",$A717&gt;TODAY()),0,IF(OR(INDEX($B717:$D717,Q$5)="F",AND(Q$6&gt;0,$A717&lt;Q$6),AND(Q$7&gt;0,$A717&gt;Q$7)),0,MAX(0,ROUND((INDEX($E717:$G717,Q$5)-SUMIFS(TF_Timer,TF_Tekniker,Q$4,TF_Dato,$A717))*2,0)/2)))</f>
        <v/>
      </c>
      <c r="R717">
        <f>IF(OR(R$4="",$A717&gt;TODAY()),0,IF(OR(INDEX($B717:$D717,R$5)="F",AND(R$6&gt;0,$A717&lt;R$6),AND(R$7&gt;0,$A717&gt;R$7)),0,MAX(0,ROUND((INDEX($E717:$G717,R$5)-SUMIFS(TF_Timer,TF_Tekniker,R$4,TF_Dato,$A717))*2,0)/2)))</f>
        <v/>
      </c>
      <c r="S717">
        <f>IF(OR(S$4="",$A717&gt;TODAY()),0,IF(OR(INDEX($B717:$D717,S$5)="F",AND(S$6&gt;0,$A717&lt;S$6),AND(S$7&gt;0,$A717&gt;S$7)),0,MAX(0,ROUND((INDEX($E717:$G717,S$5)-SUMIFS(TF_Timer,TF_Tekniker,S$4,TF_Dato,$A717))*2,0)/2)))</f>
        <v/>
      </c>
      <c r="T717">
        <f>IF(OR(T$4="",$A717&gt;TODAY()),0,IF(OR(INDEX($B717:$D717,T$5)="F",AND(T$6&gt;0,$A717&lt;T$6),AND(T$7&gt;0,$A717&gt;T$7)),0,MAX(0,ROUND((INDEX($E717:$G717,T$5)-SUMIFS(TF_Timer,TF_Tekniker,T$4,TF_Dato,$A717))*2,0)/2)))</f>
        <v/>
      </c>
      <c r="U717">
        <f>IF(OR(U$4="",$A717&gt;TODAY()),0,IF(OR(INDEX($B717:$D717,U$5)="F",AND(U$6&gt;0,$A717&lt;U$6),AND(U$7&gt;0,$A717&gt;U$7)),0,MAX(0,ROUND((INDEX($E717:$G717,U$5)-SUMIFS(TF_Timer,TF_Tekniker,U$4,TF_Dato,$A717))*2,0)/2)))</f>
        <v/>
      </c>
      <c r="V717">
        <f>IF(OR(V$4="",$A717&gt;TODAY()),0,IF(OR(INDEX($B717:$D717,V$5)="F",AND(V$6&gt;0,$A717&lt;V$6),AND(V$7&gt;0,$A717&gt;V$7)),0,MAX(0,ROUND((INDEX($E717:$G717,V$5)-SUMIFS(TF_Timer,TF_Tekniker,V$4,TF_Dato,$A717))*2,0)/2)))</f>
        <v/>
      </c>
      <c r="W717">
        <f>IF(OR(W$4="",$A717&gt;TODAY()),0,IF(OR(INDEX($B717:$D717,W$5)="F",AND(W$6&gt;0,$A717&lt;W$6),AND(W$7&gt;0,$A717&gt;W$7)),0,MAX(0,ROUND((INDEX($E717:$G717,W$5)-SUMIFS(TF_Timer,TF_Tekniker,W$4,TF_Dato,$A717))*2,0)/2)))</f>
        <v/>
      </c>
      <c r="X717">
        <f>IF(OR(X$4="",$A717&gt;TODAY()),0,IF(OR(INDEX($B717:$D717,X$5)="F",AND(X$6&gt;0,$A717&lt;X$6),AND(X$7&gt;0,$A717&gt;X$7)),0,MAX(0,ROUND((INDEX($E717:$G717,X$5)-SUMIFS(TF_Timer,TF_Tekniker,X$4,TF_Dato,$A717))*2,0)/2)))</f>
        <v/>
      </c>
      <c r="Y717">
        <f>IF(OR(Y$4="",$A717&gt;TODAY()),0,IF(OR(INDEX($B717:$D717,Y$5)="F",AND(Y$6&gt;0,$A717&lt;Y$6),AND(Y$7&gt;0,$A717&gt;Y$7)),0,MAX(0,ROUND((INDEX($E717:$G717,Y$5)-SUMIFS(TF_Timer,TF_Tekniker,Y$4,TF_Dato,$A717))*2,0)/2)))</f>
        <v/>
      </c>
      <c r="Z717">
        <f>IF(OR(Z$4="",$A717&gt;TODAY()),0,IF(OR(INDEX($B717:$D717,Z$5)="F",AND(Z$6&gt;0,$A717&lt;Z$6),AND(Z$7&gt;0,$A717&gt;Z$7)),0,MAX(0,ROUND((INDEX($E717:$G717,Z$5)-SUMIFS(TF_Timer,TF_Tekniker,Z$4,TF_Dato,$A717))*2,0)/2)))</f>
        <v/>
      </c>
      <c r="AA717">
        <f>IF(OR(AA$4="",$A717&gt;TODAY()),0,IF(OR(INDEX($B717:$D717,AA$5)="F",AND(AA$6&gt;0,$A717&lt;AA$6),AND(AA$7&gt;0,$A717&gt;AA$7)),0,MAX(0,ROUND((INDEX($E717:$G717,AA$5)-SUMIFS(TF_Timer,TF_Tekniker,AA$4,TF_Dato,$A717))*2,0)/2)))</f>
        <v/>
      </c>
      <c r="AB717">
        <f>IF(OR(AB$4="",$A717&gt;TODAY()),0,IF(OR(INDEX($B717:$D717,AB$5)="F",AND(AB$6&gt;0,$A717&lt;AB$6),AND(AB$7&gt;0,$A717&gt;AB$7)),0,MAX(0,ROUND((INDEX($E717:$G717,AB$5)-SUMIFS(TF_Timer,TF_Tekniker,AB$4,TF_Dato,$A717))*2,0)/2)))</f>
        <v/>
      </c>
      <c r="AC717">
        <f>IF(OR(AC$4="",$A717&gt;TODAY()),0,IF(OR(INDEX($B717:$D717,AC$5)="F",AND(AC$6&gt;0,$A717&lt;AC$6),AND(AC$7&gt;0,$A717&gt;AC$7)),0,MAX(0,ROUND((INDEX($E717:$G717,AC$5)-SUMIFS(TF_Timer,TF_Tekniker,AC$4,TF_Dato,$A717))*2,0)/2)))</f>
        <v/>
      </c>
      <c r="AD717">
        <f>IF(OR(AD$4="",$A717&gt;TODAY()),0,IF(OR(INDEX($B717:$D717,AD$5)="F",AND(AD$6&gt;0,$A717&lt;AD$6),AND(AD$7&gt;0,$A717&gt;AD$7)),0,MAX(0,ROUND((INDEX($E717:$G717,AD$5)-SUMIFS(TF_Timer,TF_Tekniker,AD$4,TF_Dato,$A717))*2,0)/2)))</f>
        <v/>
      </c>
      <c r="AE717">
        <f>IF(OR(AE$4="",$A717&gt;TODAY()),0,IF(OR(INDEX($B717:$D717,AE$5)="F",AND(AE$6&gt;0,$A717&lt;AE$6),AND(AE$7&gt;0,$A717&gt;AE$7)),0,MAX(0,ROUND((INDEX($E717:$G717,AE$5)-SUMIFS(TF_Timer,TF_Tekniker,AE$4,TF_Dato,$A717))*2,0)/2)))</f>
        <v/>
      </c>
      <c r="AF717">
        <f>IF(OR(AF$4="",$A717&gt;TODAY()),0,IF(OR(INDEX($B717:$D717,AF$5)="F",AND(AF$6&gt;0,$A717&lt;AF$6),AND(AF$7&gt;0,$A717&gt;AF$7)),0,MAX(0,ROUND((INDEX($E717:$G717,AF$5)-SUMIFS(TF_Timer,TF_Tekniker,AF$4,TF_Dato,$A717))*2,0)/2)))</f>
        <v/>
      </c>
      <c r="AG717">
        <f>IF(OR(AG$4="",$A717&gt;TODAY()),0,IF(OR(INDEX($B717:$D717,AG$5)="F",AND(AG$6&gt;0,$A717&lt;AG$6),AND(AG$7&gt;0,$A717&gt;AG$7)),0,MAX(0,ROUND((INDEX($E717:$G717,AG$5)-SUMIFS(TF_Timer,TF_Tekniker,AG$4,TF_Dato,$A717))*2,0)/2)))</f>
        <v/>
      </c>
      <c r="AH717">
        <f>IF(OR(AH$4="",$A717&gt;TODAY()),0,IF(OR(INDEX($B717:$D717,AH$5)="F",AND(AH$6&gt;0,$A717&lt;AH$6),AND(AH$7&gt;0,$A717&gt;AH$7)),0,MAX(0,ROUND((INDEX($E717:$G717,AH$5)-SUMIFS(TF_Timer,TF_Tekniker,AH$4,TF_Dato,$A717))*2,0)/2)))</f>
        <v/>
      </c>
      <c r="AI717">
        <f>IF(OR(AI$4="",$A717&gt;TODAY()),0,IF(OR(INDEX($B717:$D717,AI$5)="F",AND(AI$6&gt;0,$A717&lt;AI$6),AND(AI$7&gt;0,$A717&gt;AI$7)),0,MAX(0,ROUND((INDEX($E717:$G717,AI$5)-SUMIFS(TF_Timer,TF_Tekniker,AI$4,TF_Dato,$A717))*2,0)/2)))</f>
        <v/>
      </c>
      <c r="AJ717">
        <f>IF(OR(AJ$4="",$A717&gt;TODAY()),0,IF(OR(INDEX($B717:$D717,AJ$5)="F",AND(AJ$6&gt;0,$A717&lt;AJ$6),AND(AJ$7&gt;0,$A717&gt;AJ$7)),0,MAX(0,ROUND((INDEX($E717:$G717,AJ$5)-SUMIFS(TF_Timer,TF_Tekniker,AJ$4,TF_Dato,$A717))*2,0)/2)))</f>
        <v/>
      </c>
      <c r="AK717">
        <f>IF(OR(AK$4="",$A717&gt;TODAY()),0,IF(OR(INDEX($B717:$D717,AK$5)="F",AND(AK$6&gt;0,$A717&lt;AK$6),AND(AK$7&gt;0,$A717&gt;AK$7)),0,MAX(0,ROUND((INDEX($E717:$G717,AK$5)-SUMIFS(TF_Timer,TF_Tekniker,AK$4,TF_Dato,$A717))*2,0)/2)))</f>
        <v/>
      </c>
      <c r="AL717">
        <f>IF(OR(AL$4="",$A717&gt;TODAY()),0,IF(OR(INDEX($B717:$D717,AL$5)="F",AND(AL$6&gt;0,$A717&lt;AL$6),AND(AL$7&gt;0,$A717&gt;AL$7)),0,MAX(0,ROUND((INDEX($E717:$G717,AL$5)-SUMIFS(TF_Timer,TF_Tekniker,AL$4,TF_Dato,$A717))*2,0)/2)))</f>
        <v/>
      </c>
      <c r="AM717">
        <f>IF(OR(AM$4="",$A717&gt;TODAY()),0,IF(OR(INDEX($B717:$D717,AM$5)="F",AND(AM$6&gt;0,$A717&lt;AM$6),AND(AM$7&gt;0,$A717&gt;AM$7)),0,MAX(0,ROUND((INDEX($E717:$G717,AM$5)-SUMIFS(TF_Timer,TF_Tekniker,AM$4,TF_Dato,$A717))*2,0)/2)))</f>
        <v/>
      </c>
      <c r="AN717">
        <f>IF(OR(AN$4="",$A717&gt;TODAY()),0,IF(OR(INDEX($B717:$D717,AN$5)="F",AND(AN$6&gt;0,$A717&lt;AN$6),AND(AN$7&gt;0,$A717&gt;AN$7)),0,MAX(0,ROUND((INDEX($E717:$G717,AN$5)-SUMIFS(TF_Timer,TF_Tekniker,AN$4,TF_Dato,$A717))*2,0)/2)))</f>
        <v/>
      </c>
      <c r="AO717">
        <f>IF(OR(AO$4="",$A717&gt;TODAY()),0,IF(OR(INDEX($B717:$D717,AO$5)="F",AND(AO$6&gt;0,$A717&lt;AO$6),AND(AO$7&gt;0,$A717&gt;AO$7)),0,MAX(0,ROUND((INDEX($E717:$G717,AO$5)-SUMIFS(TF_Timer,TF_Tekniker,AO$4,TF_Dato,$A717))*2,0)/2)))</f>
        <v/>
      </c>
      <c r="AP717">
        <f>IF(OR(AP$4="",$A717&gt;TODAY()),0,IF(OR(INDEX($B717:$D717,AP$5)="F",AND(AP$6&gt;0,$A717&lt;AP$6),AND(AP$7&gt;0,$A717&gt;AP$7)),0,MAX(0,ROUND((INDEX($E717:$G717,AP$5)-SUMIFS(TF_Timer,TF_Tekniker,AP$4,TF_Dato,$A717))*2,0)/2)))</f>
        <v/>
      </c>
      <c r="AQ717">
        <f>IF(OR(AQ$4="",$A717&gt;TODAY()),0,IF(OR(INDEX($B717:$D717,AQ$5)="F",AND(AQ$6&gt;0,$A717&lt;AQ$6),AND(AQ$7&gt;0,$A717&gt;AQ$7)),0,MAX(0,ROUND((INDEX($E717:$G717,AQ$5)-SUMIFS(TF_Timer,TF_Tekniker,AQ$4,TF_Dato,$A717))*2,0)/2)))</f>
        <v/>
      </c>
      <c r="AR717">
        <f>IF(OR(AR$4="",$A717&gt;TODAY()),0,IF(OR(INDEX($B717:$D717,AR$5)="F",AND(AR$6&gt;0,$A717&lt;AR$6),AND(AR$7&gt;0,$A717&gt;AR$7)),0,MAX(0,ROUND((INDEX($E717:$G717,AR$5)-SUMIFS(TF_Timer,TF_Tekniker,AR$4,TF_Dato,$A717))*2,0)/2)))</f>
        <v/>
      </c>
      <c r="AS717">
        <f>IF(OR(AS$4="",$A717&gt;TODAY()),0,IF(OR(INDEX($B717:$D717,AS$5)="F",AND(AS$6&gt;0,$A717&lt;AS$6),AND(AS$7&gt;0,$A717&gt;AS$7)),0,MAX(0,ROUND((INDEX($E717:$G717,AS$5)-SUMIFS(TF_Timer,TF_Tekniker,AS$4,TF_Dato,$A717))*2,0)/2)))</f>
        <v/>
      </c>
      <c r="AT717">
        <f>IF(OR(AT$4="",$A717&gt;TODAY()),0,IF(OR(INDEX($B717:$D717,AT$5)="F",AND(AT$6&gt;0,$A717&lt;AT$6),AND(AT$7&gt;0,$A717&gt;AT$7)),0,MAX(0,ROUND((INDEX($E717:$G717,AT$5)-SUMIFS(TF_Timer,TF_Tekniker,AT$4,TF_Dato,$A717))*2,0)/2)))</f>
        <v/>
      </c>
      <c r="AU717">
        <f>IF(OR(AU$4="",$A717&gt;TODAY()),0,IF(OR(INDEX($B717:$D717,AU$5)="F",AND(AU$6&gt;0,$A717&lt;AU$6),AND(AU$7&gt;0,$A717&gt;AU$7)),0,MAX(0,ROUND((INDEX($E717:$G717,AU$5)-SUMIFS(TF_Timer,TF_Tekniker,AU$4,TF_Dato,$A717))*2,0)/2)))</f>
        <v/>
      </c>
      <c r="AV717">
        <f>IF(OR(AV$4="",$A717&gt;TODAY()),0,IF(OR(INDEX($B717:$D717,AV$5)="F",AND(AV$6&gt;0,$A717&lt;AV$6),AND(AV$7&gt;0,$A717&gt;AV$7)),0,MAX(0,ROUND((INDEX($E717:$G717,AV$5)-SUMIFS(TF_Timer,TF_Tekniker,AV$4,TF_Dato,$A717))*2,0)/2)))</f>
        <v/>
      </c>
      <c r="AW717">
        <f>IF(OR(AW$4="",$A717&gt;TODAY()),0,IF(OR(INDEX($B717:$D717,AW$5)="F",AND(AW$6&gt;0,$A717&lt;AW$6),AND(AW$7&gt;0,$A717&gt;AW$7)),0,MAX(0,ROUND((INDEX($E717:$G717,AW$5)-SUMIFS(TF_Timer,TF_Tekniker,AW$4,TF_Dato,$A717))*2,0)/2)))</f>
        <v/>
      </c>
      <c r="AX717">
        <f>IF(OR(AX$4="",$A717&gt;TODAY()),0,IF(OR(INDEX($B717:$D717,AX$5)="F",AND(AX$6&gt;0,$A717&lt;AX$6),AND(AX$7&gt;0,$A717&gt;AX$7)),0,MAX(0,ROUND((INDEX($E717:$G717,AX$5)-SUMIFS(TF_Timer,TF_Tekniker,AX$4,TF_Dato,$A717))*2,0)/2)))</f>
        <v/>
      </c>
      <c r="AY717">
        <f>IF(OR(AY$4="",$A717&gt;TODAY()),0,IF(OR(INDEX($B717:$D717,AY$5)="F",AND(AY$6&gt;0,$A717&lt;AY$6),AND(AY$7&gt;0,$A717&gt;AY$7)),0,MAX(0,ROUND((INDEX($E717:$G717,AY$5)-SUMIFS(TF_Timer,TF_Tekniker,AY$4,TF_Dato,$A717))*2,0)/2)))</f>
        <v/>
      </c>
      <c r="AZ717">
        <f>IF(OR(AZ$4="",$A717&gt;TODAY()),0,IF(OR(INDEX($B717:$D717,AZ$5)="F",AND(AZ$6&gt;0,$A717&lt;AZ$6),AND(AZ$7&gt;0,$A717&gt;AZ$7)),0,MAX(0,ROUND((INDEX($E717:$G717,AZ$5)-SUMIFS(TF_Timer,TF_Tekniker,AZ$4,TF_Dato,$A717))*2,0)/2)))</f>
        <v/>
      </c>
      <c r="BA717">
        <f>IF(OR(BA$4="",$A717&gt;TODAY()),0,IF(OR(INDEX($B717:$D717,BA$5)="F",AND(BA$6&gt;0,$A717&lt;BA$6),AND(BA$7&gt;0,$A717&gt;BA$7)),0,MAX(0,ROUND((INDEX($E717:$G717,BA$5)-SUMIFS(TF_Timer,TF_Tekniker,BA$4,TF_Dato,$A717))*2,0)/2)))</f>
        <v/>
      </c>
      <c r="BB717">
        <f>IF(OR(BB$4="",$A717&gt;TODAY()),0,IF(OR(INDEX($B717:$D717,BB$5)="F",AND(BB$6&gt;0,$A717&lt;BB$6),AND(BB$7&gt;0,$A717&gt;BB$7)),0,MAX(0,ROUND((INDEX($E717:$G717,BB$5)-SUMIFS(TF_Timer,TF_Tekniker,BB$4,TF_Dato,$A717))*2,0)/2)))</f>
        <v/>
      </c>
      <c r="BC717">
        <f>IF(OR(BC$4="",$A717&gt;TODAY()),0,IF(OR(INDEX($B717:$D717,BC$5)="F",AND(BC$6&gt;0,$A717&lt;BC$6),AND(BC$7&gt;0,$A717&gt;BC$7)),0,MAX(0,ROUND((INDEX($E717:$G717,BC$5)-SUMIFS(TF_Timer,TF_Tekniker,BC$4,TF_Dato,$A717))*2,0)/2)))</f>
        <v/>
      </c>
      <c r="BD717">
        <f>IF(OR(BD$4="",$A717&gt;TODAY()),0,IF(OR(INDEX($B717:$D717,BD$5)="F",AND(BD$6&gt;0,$A717&lt;BD$6),AND(BD$7&gt;0,$A717&gt;BD$7)),0,MAX(0,ROUND((INDEX($E717:$G717,BD$5)-SUMIFS(TF_Timer,TF_Tekniker,BD$4,TF_Dato,$A717))*2,0)/2)))</f>
        <v/>
      </c>
      <c r="BE717">
        <f>IF(OR(BE$4="",$A717&gt;TODAY()),0,IF(OR(INDEX($B717:$D717,BE$5)="F",AND(BE$6&gt;0,$A717&lt;BE$6),AND(BE$7&gt;0,$A717&gt;BE$7)),0,MAX(0,ROUND((INDEX($E717:$G717,BE$5)-SUMIFS(TF_Timer,TF_Tekniker,BE$4,TF_Dato,$A717))*2,0)/2)))</f>
        <v/>
      </c>
      <c r="BF717">
        <f>IF(OR(BF$4="",$A717&gt;TODAY()),0,IF(OR(INDEX($B717:$D717,BF$5)="F",AND(BF$6&gt;0,$A717&lt;BF$6),AND(BF$7&gt;0,$A717&gt;BF$7)),0,MAX(0,ROUND((INDEX($E717:$G717,BF$5)-SUMIFS(TF_Timer,TF_Tekniker,BF$4,TF_Dato,$A717))*2,0)/2)))</f>
        <v/>
      </c>
      <c r="BG717">
        <f>IF(OR(BG$4="",$A717&gt;TODAY()),0,IF(OR(INDEX($B717:$D717,BG$5)="F",AND(BG$6&gt;0,$A717&lt;BG$6),AND(BG$7&gt;0,$A717&gt;BG$7)),0,MAX(0,ROUND((INDEX($E717:$G717,BG$5)-SUMIFS(TF_Timer,TF_Tekniker,BG$4,TF_Dato,$A717))*2,0)/2)))</f>
        <v/>
      </c>
      <c r="BH717">
        <f>IF(OR(BH$4="",$A717&gt;TODAY()),0,IF(OR(INDEX($B717:$D717,BH$5)="F",AND(BH$6&gt;0,$A717&lt;BH$6),AND(BH$7&gt;0,$A717&gt;BH$7)),0,MAX(0,ROUND((INDEX($E717:$G717,BH$5)-SUMIFS(TF_Timer,TF_Tekniker,BH$4,TF_Dato,$A717))*2,0)/2)))</f>
        <v/>
      </c>
      <c r="BI717">
        <f>IF(OR(BI$4="",$A717&gt;TODAY()),0,IF(OR(INDEX($B717:$D717,BI$5)="F",AND(BI$6&gt;0,$A717&lt;BI$6),AND(BI$7&gt;0,$A717&gt;BI$7)),0,MAX(0,ROUND((INDEX($E717:$G717,BI$5)-SUMIFS(TF_Timer,TF_Tekniker,BI$4,TF_Dato,$A717))*2,0)/2)))</f>
        <v/>
      </c>
    </row>
    <row r="718">
      <c r="A718" s="64">
        <f>A717+1</f>
        <v/>
      </c>
      <c r="B718">
        <f>IF(MOD($A718-INDEX(SkiftStart,1),Syklus)&lt;DagK,"K",IF(MOD($A718-INDEX(SkiftStart,1),Syklus)&lt;DagK+DagH,"H",IF(MOD($A718-INDEX(SkiftStart,1),Syklus)&lt;DagK+DagH+DagD,"D","F")))</f>
        <v/>
      </c>
      <c r="C718">
        <f>IF(MOD($A718-INDEX(SkiftStart,2),Syklus)&lt;DagK,"K",IF(MOD($A718-INDEX(SkiftStart,2),Syklus)&lt;DagK+DagH,"H",IF(MOD($A718-INDEX(SkiftStart,2),Syklus)&lt;DagK+DagH+DagD,"D","F")))</f>
        <v/>
      </c>
      <c r="D718">
        <f>IF(MOD($A718-INDEX(SkiftStart,3),Syklus)&lt;DagK,"K",IF(MOD($A718-INDEX(SkiftStart,3),Syklus)&lt;DagK+DagH,"H",IF(MOD($A718-INDEX(SkiftStart,3),Syklus)&lt;DagK+DagH+DagD,"D","F")))</f>
        <v/>
      </c>
      <c r="E718">
        <f>IF(B718="F",0,IF(WEEKDAY($A718,2)=5,INDEX(TimerFr,MATCH(B718,FaseKode,0)),INDEX(TimerMT,MATCH(B718,FaseKode,0))))</f>
        <v/>
      </c>
      <c r="F718">
        <f>IF(C718="F",0,IF(WEEKDAY($A718,2)=5,INDEX(TimerFr,MATCH(C718,FaseKode,0)),INDEX(TimerMT,MATCH(C718,FaseKode,0))))</f>
        <v/>
      </c>
      <c r="G718">
        <f>IF(D718="F",0,IF(WEEKDAY($A718,2)=5,INDEX(TimerFr,MATCH(D718,FaseKode,0)),INDEX(TimerMT,MATCH(D718,FaseKode,0))))</f>
        <v/>
      </c>
      <c r="H718">
        <f>IF(OR(H$4="",$A718&gt;TODAY()),0,IF(OR(INDEX($B718:$D718,H$5)="F",AND(H$6&gt;0,$A718&lt;H$6),AND(H$7&gt;0,$A718&gt;H$7)),0,MAX(0,ROUND((INDEX($E718:$G718,H$5)-SUMIFS(TF_Timer,TF_Tekniker,H$4,TF_Dato,$A718))*2,0)/2)))</f>
        <v/>
      </c>
      <c r="I718">
        <f>IF(OR(I$4="",$A718&gt;TODAY()),0,IF(OR(INDEX($B718:$D718,I$5)="F",AND(I$6&gt;0,$A718&lt;I$6),AND(I$7&gt;0,$A718&gt;I$7)),0,MAX(0,ROUND((INDEX($E718:$G718,I$5)-SUMIFS(TF_Timer,TF_Tekniker,I$4,TF_Dato,$A718))*2,0)/2)))</f>
        <v/>
      </c>
      <c r="J718">
        <f>IF(OR(J$4="",$A718&gt;TODAY()),0,IF(OR(INDEX($B718:$D718,J$5)="F",AND(J$6&gt;0,$A718&lt;J$6),AND(J$7&gt;0,$A718&gt;J$7)),0,MAX(0,ROUND((INDEX($E718:$G718,J$5)-SUMIFS(TF_Timer,TF_Tekniker,J$4,TF_Dato,$A718))*2,0)/2)))</f>
        <v/>
      </c>
      <c r="K718">
        <f>IF(OR(K$4="",$A718&gt;TODAY()),0,IF(OR(INDEX($B718:$D718,K$5)="F",AND(K$6&gt;0,$A718&lt;K$6),AND(K$7&gt;0,$A718&gt;K$7)),0,MAX(0,ROUND((INDEX($E718:$G718,K$5)-SUMIFS(TF_Timer,TF_Tekniker,K$4,TF_Dato,$A718))*2,0)/2)))</f>
        <v/>
      </c>
      <c r="L718">
        <f>IF(OR(L$4="",$A718&gt;TODAY()),0,IF(OR(INDEX($B718:$D718,L$5)="F",AND(L$6&gt;0,$A718&lt;L$6),AND(L$7&gt;0,$A718&gt;L$7)),0,MAX(0,ROUND((INDEX($E718:$G718,L$5)-SUMIFS(TF_Timer,TF_Tekniker,L$4,TF_Dato,$A718))*2,0)/2)))</f>
        <v/>
      </c>
      <c r="M718">
        <f>IF(OR(M$4="",$A718&gt;TODAY()),0,IF(OR(INDEX($B718:$D718,M$5)="F",AND(M$6&gt;0,$A718&lt;M$6),AND(M$7&gt;0,$A718&gt;M$7)),0,MAX(0,ROUND((INDEX($E718:$G718,M$5)-SUMIFS(TF_Timer,TF_Tekniker,M$4,TF_Dato,$A718))*2,0)/2)))</f>
        <v/>
      </c>
      <c r="N718">
        <f>IF(OR(N$4="",$A718&gt;TODAY()),0,IF(OR(INDEX($B718:$D718,N$5)="F",AND(N$6&gt;0,$A718&lt;N$6),AND(N$7&gt;0,$A718&gt;N$7)),0,MAX(0,ROUND((INDEX($E718:$G718,N$5)-SUMIFS(TF_Timer,TF_Tekniker,N$4,TF_Dato,$A718))*2,0)/2)))</f>
        <v/>
      </c>
      <c r="O718">
        <f>IF(OR(O$4="",$A718&gt;TODAY()),0,IF(OR(INDEX($B718:$D718,O$5)="F",AND(O$6&gt;0,$A718&lt;O$6),AND(O$7&gt;0,$A718&gt;O$7)),0,MAX(0,ROUND((INDEX($E718:$G718,O$5)-SUMIFS(TF_Timer,TF_Tekniker,O$4,TF_Dato,$A718))*2,0)/2)))</f>
        <v/>
      </c>
      <c r="P718">
        <f>IF(OR(P$4="",$A718&gt;TODAY()),0,IF(OR(INDEX($B718:$D718,P$5)="F",AND(P$6&gt;0,$A718&lt;P$6),AND(P$7&gt;0,$A718&gt;P$7)),0,MAX(0,ROUND((INDEX($E718:$G718,P$5)-SUMIFS(TF_Timer,TF_Tekniker,P$4,TF_Dato,$A718))*2,0)/2)))</f>
        <v/>
      </c>
      <c r="Q718">
        <f>IF(OR(Q$4="",$A718&gt;TODAY()),0,IF(OR(INDEX($B718:$D718,Q$5)="F",AND(Q$6&gt;0,$A718&lt;Q$6),AND(Q$7&gt;0,$A718&gt;Q$7)),0,MAX(0,ROUND((INDEX($E718:$G718,Q$5)-SUMIFS(TF_Timer,TF_Tekniker,Q$4,TF_Dato,$A718))*2,0)/2)))</f>
        <v/>
      </c>
      <c r="R718">
        <f>IF(OR(R$4="",$A718&gt;TODAY()),0,IF(OR(INDEX($B718:$D718,R$5)="F",AND(R$6&gt;0,$A718&lt;R$6),AND(R$7&gt;0,$A718&gt;R$7)),0,MAX(0,ROUND((INDEX($E718:$G718,R$5)-SUMIFS(TF_Timer,TF_Tekniker,R$4,TF_Dato,$A718))*2,0)/2)))</f>
        <v/>
      </c>
      <c r="S718">
        <f>IF(OR(S$4="",$A718&gt;TODAY()),0,IF(OR(INDEX($B718:$D718,S$5)="F",AND(S$6&gt;0,$A718&lt;S$6),AND(S$7&gt;0,$A718&gt;S$7)),0,MAX(0,ROUND((INDEX($E718:$G718,S$5)-SUMIFS(TF_Timer,TF_Tekniker,S$4,TF_Dato,$A718))*2,0)/2)))</f>
        <v/>
      </c>
      <c r="T718">
        <f>IF(OR(T$4="",$A718&gt;TODAY()),0,IF(OR(INDEX($B718:$D718,T$5)="F",AND(T$6&gt;0,$A718&lt;T$6),AND(T$7&gt;0,$A718&gt;T$7)),0,MAX(0,ROUND((INDEX($E718:$G718,T$5)-SUMIFS(TF_Timer,TF_Tekniker,T$4,TF_Dato,$A718))*2,0)/2)))</f>
        <v/>
      </c>
      <c r="U718">
        <f>IF(OR(U$4="",$A718&gt;TODAY()),0,IF(OR(INDEX($B718:$D718,U$5)="F",AND(U$6&gt;0,$A718&lt;U$6),AND(U$7&gt;0,$A718&gt;U$7)),0,MAX(0,ROUND((INDEX($E718:$G718,U$5)-SUMIFS(TF_Timer,TF_Tekniker,U$4,TF_Dato,$A718))*2,0)/2)))</f>
        <v/>
      </c>
      <c r="V718">
        <f>IF(OR(V$4="",$A718&gt;TODAY()),0,IF(OR(INDEX($B718:$D718,V$5)="F",AND(V$6&gt;0,$A718&lt;V$6),AND(V$7&gt;0,$A718&gt;V$7)),0,MAX(0,ROUND((INDEX($E718:$G718,V$5)-SUMIFS(TF_Timer,TF_Tekniker,V$4,TF_Dato,$A718))*2,0)/2)))</f>
        <v/>
      </c>
      <c r="W718">
        <f>IF(OR(W$4="",$A718&gt;TODAY()),0,IF(OR(INDEX($B718:$D718,W$5)="F",AND(W$6&gt;0,$A718&lt;W$6),AND(W$7&gt;0,$A718&gt;W$7)),0,MAX(0,ROUND((INDEX($E718:$G718,W$5)-SUMIFS(TF_Timer,TF_Tekniker,W$4,TF_Dato,$A718))*2,0)/2)))</f>
        <v/>
      </c>
      <c r="X718">
        <f>IF(OR(X$4="",$A718&gt;TODAY()),0,IF(OR(INDEX($B718:$D718,X$5)="F",AND(X$6&gt;0,$A718&lt;X$6),AND(X$7&gt;0,$A718&gt;X$7)),0,MAX(0,ROUND((INDEX($E718:$G718,X$5)-SUMIFS(TF_Timer,TF_Tekniker,X$4,TF_Dato,$A718))*2,0)/2)))</f>
        <v/>
      </c>
      <c r="Y718">
        <f>IF(OR(Y$4="",$A718&gt;TODAY()),0,IF(OR(INDEX($B718:$D718,Y$5)="F",AND(Y$6&gt;0,$A718&lt;Y$6),AND(Y$7&gt;0,$A718&gt;Y$7)),0,MAX(0,ROUND((INDEX($E718:$G718,Y$5)-SUMIFS(TF_Timer,TF_Tekniker,Y$4,TF_Dato,$A718))*2,0)/2)))</f>
        <v/>
      </c>
      <c r="Z718">
        <f>IF(OR(Z$4="",$A718&gt;TODAY()),0,IF(OR(INDEX($B718:$D718,Z$5)="F",AND(Z$6&gt;0,$A718&lt;Z$6),AND(Z$7&gt;0,$A718&gt;Z$7)),0,MAX(0,ROUND((INDEX($E718:$G718,Z$5)-SUMIFS(TF_Timer,TF_Tekniker,Z$4,TF_Dato,$A718))*2,0)/2)))</f>
        <v/>
      </c>
      <c r="AA718">
        <f>IF(OR(AA$4="",$A718&gt;TODAY()),0,IF(OR(INDEX($B718:$D718,AA$5)="F",AND(AA$6&gt;0,$A718&lt;AA$6),AND(AA$7&gt;0,$A718&gt;AA$7)),0,MAX(0,ROUND((INDEX($E718:$G718,AA$5)-SUMIFS(TF_Timer,TF_Tekniker,AA$4,TF_Dato,$A718))*2,0)/2)))</f>
        <v/>
      </c>
      <c r="AB718">
        <f>IF(OR(AB$4="",$A718&gt;TODAY()),0,IF(OR(INDEX($B718:$D718,AB$5)="F",AND(AB$6&gt;0,$A718&lt;AB$6),AND(AB$7&gt;0,$A718&gt;AB$7)),0,MAX(0,ROUND((INDEX($E718:$G718,AB$5)-SUMIFS(TF_Timer,TF_Tekniker,AB$4,TF_Dato,$A718))*2,0)/2)))</f>
        <v/>
      </c>
      <c r="AC718">
        <f>IF(OR(AC$4="",$A718&gt;TODAY()),0,IF(OR(INDEX($B718:$D718,AC$5)="F",AND(AC$6&gt;0,$A718&lt;AC$6),AND(AC$7&gt;0,$A718&gt;AC$7)),0,MAX(0,ROUND((INDEX($E718:$G718,AC$5)-SUMIFS(TF_Timer,TF_Tekniker,AC$4,TF_Dato,$A718))*2,0)/2)))</f>
        <v/>
      </c>
      <c r="AD718">
        <f>IF(OR(AD$4="",$A718&gt;TODAY()),0,IF(OR(INDEX($B718:$D718,AD$5)="F",AND(AD$6&gt;0,$A718&lt;AD$6),AND(AD$7&gt;0,$A718&gt;AD$7)),0,MAX(0,ROUND((INDEX($E718:$G718,AD$5)-SUMIFS(TF_Timer,TF_Tekniker,AD$4,TF_Dato,$A718))*2,0)/2)))</f>
        <v/>
      </c>
      <c r="AE718">
        <f>IF(OR(AE$4="",$A718&gt;TODAY()),0,IF(OR(INDEX($B718:$D718,AE$5)="F",AND(AE$6&gt;0,$A718&lt;AE$6),AND(AE$7&gt;0,$A718&gt;AE$7)),0,MAX(0,ROUND((INDEX($E718:$G718,AE$5)-SUMIFS(TF_Timer,TF_Tekniker,AE$4,TF_Dato,$A718))*2,0)/2)))</f>
        <v/>
      </c>
      <c r="AF718">
        <f>IF(OR(AF$4="",$A718&gt;TODAY()),0,IF(OR(INDEX($B718:$D718,AF$5)="F",AND(AF$6&gt;0,$A718&lt;AF$6),AND(AF$7&gt;0,$A718&gt;AF$7)),0,MAX(0,ROUND((INDEX($E718:$G718,AF$5)-SUMIFS(TF_Timer,TF_Tekniker,AF$4,TF_Dato,$A718))*2,0)/2)))</f>
        <v/>
      </c>
      <c r="AG718">
        <f>IF(OR(AG$4="",$A718&gt;TODAY()),0,IF(OR(INDEX($B718:$D718,AG$5)="F",AND(AG$6&gt;0,$A718&lt;AG$6),AND(AG$7&gt;0,$A718&gt;AG$7)),0,MAX(0,ROUND((INDEX($E718:$G718,AG$5)-SUMIFS(TF_Timer,TF_Tekniker,AG$4,TF_Dato,$A718))*2,0)/2)))</f>
        <v/>
      </c>
      <c r="AH718">
        <f>IF(OR(AH$4="",$A718&gt;TODAY()),0,IF(OR(INDEX($B718:$D718,AH$5)="F",AND(AH$6&gt;0,$A718&lt;AH$6),AND(AH$7&gt;0,$A718&gt;AH$7)),0,MAX(0,ROUND((INDEX($E718:$G718,AH$5)-SUMIFS(TF_Timer,TF_Tekniker,AH$4,TF_Dato,$A718))*2,0)/2)))</f>
        <v/>
      </c>
      <c r="AI718">
        <f>IF(OR(AI$4="",$A718&gt;TODAY()),0,IF(OR(INDEX($B718:$D718,AI$5)="F",AND(AI$6&gt;0,$A718&lt;AI$6),AND(AI$7&gt;0,$A718&gt;AI$7)),0,MAX(0,ROUND((INDEX($E718:$G718,AI$5)-SUMIFS(TF_Timer,TF_Tekniker,AI$4,TF_Dato,$A718))*2,0)/2)))</f>
        <v/>
      </c>
      <c r="AJ718">
        <f>IF(OR(AJ$4="",$A718&gt;TODAY()),0,IF(OR(INDEX($B718:$D718,AJ$5)="F",AND(AJ$6&gt;0,$A718&lt;AJ$6),AND(AJ$7&gt;0,$A718&gt;AJ$7)),0,MAX(0,ROUND((INDEX($E718:$G718,AJ$5)-SUMIFS(TF_Timer,TF_Tekniker,AJ$4,TF_Dato,$A718))*2,0)/2)))</f>
        <v/>
      </c>
      <c r="AK718">
        <f>IF(OR(AK$4="",$A718&gt;TODAY()),0,IF(OR(INDEX($B718:$D718,AK$5)="F",AND(AK$6&gt;0,$A718&lt;AK$6),AND(AK$7&gt;0,$A718&gt;AK$7)),0,MAX(0,ROUND((INDEX($E718:$G718,AK$5)-SUMIFS(TF_Timer,TF_Tekniker,AK$4,TF_Dato,$A718))*2,0)/2)))</f>
        <v/>
      </c>
      <c r="AL718">
        <f>IF(OR(AL$4="",$A718&gt;TODAY()),0,IF(OR(INDEX($B718:$D718,AL$5)="F",AND(AL$6&gt;0,$A718&lt;AL$6),AND(AL$7&gt;0,$A718&gt;AL$7)),0,MAX(0,ROUND((INDEX($E718:$G718,AL$5)-SUMIFS(TF_Timer,TF_Tekniker,AL$4,TF_Dato,$A718))*2,0)/2)))</f>
        <v/>
      </c>
      <c r="AM718">
        <f>IF(OR(AM$4="",$A718&gt;TODAY()),0,IF(OR(INDEX($B718:$D718,AM$5)="F",AND(AM$6&gt;0,$A718&lt;AM$6),AND(AM$7&gt;0,$A718&gt;AM$7)),0,MAX(0,ROUND((INDEX($E718:$G718,AM$5)-SUMIFS(TF_Timer,TF_Tekniker,AM$4,TF_Dato,$A718))*2,0)/2)))</f>
        <v/>
      </c>
      <c r="AN718">
        <f>IF(OR(AN$4="",$A718&gt;TODAY()),0,IF(OR(INDEX($B718:$D718,AN$5)="F",AND(AN$6&gt;0,$A718&lt;AN$6),AND(AN$7&gt;0,$A718&gt;AN$7)),0,MAX(0,ROUND((INDEX($E718:$G718,AN$5)-SUMIFS(TF_Timer,TF_Tekniker,AN$4,TF_Dato,$A718))*2,0)/2)))</f>
        <v/>
      </c>
      <c r="AO718">
        <f>IF(OR(AO$4="",$A718&gt;TODAY()),0,IF(OR(INDEX($B718:$D718,AO$5)="F",AND(AO$6&gt;0,$A718&lt;AO$6),AND(AO$7&gt;0,$A718&gt;AO$7)),0,MAX(0,ROUND((INDEX($E718:$G718,AO$5)-SUMIFS(TF_Timer,TF_Tekniker,AO$4,TF_Dato,$A718))*2,0)/2)))</f>
        <v/>
      </c>
      <c r="AP718">
        <f>IF(OR(AP$4="",$A718&gt;TODAY()),0,IF(OR(INDEX($B718:$D718,AP$5)="F",AND(AP$6&gt;0,$A718&lt;AP$6),AND(AP$7&gt;0,$A718&gt;AP$7)),0,MAX(0,ROUND((INDEX($E718:$G718,AP$5)-SUMIFS(TF_Timer,TF_Tekniker,AP$4,TF_Dato,$A718))*2,0)/2)))</f>
        <v/>
      </c>
      <c r="AQ718">
        <f>IF(OR(AQ$4="",$A718&gt;TODAY()),0,IF(OR(INDEX($B718:$D718,AQ$5)="F",AND(AQ$6&gt;0,$A718&lt;AQ$6),AND(AQ$7&gt;0,$A718&gt;AQ$7)),0,MAX(0,ROUND((INDEX($E718:$G718,AQ$5)-SUMIFS(TF_Timer,TF_Tekniker,AQ$4,TF_Dato,$A718))*2,0)/2)))</f>
        <v/>
      </c>
      <c r="AR718">
        <f>IF(OR(AR$4="",$A718&gt;TODAY()),0,IF(OR(INDEX($B718:$D718,AR$5)="F",AND(AR$6&gt;0,$A718&lt;AR$6),AND(AR$7&gt;0,$A718&gt;AR$7)),0,MAX(0,ROUND((INDEX($E718:$G718,AR$5)-SUMIFS(TF_Timer,TF_Tekniker,AR$4,TF_Dato,$A718))*2,0)/2)))</f>
        <v/>
      </c>
      <c r="AS718">
        <f>IF(OR(AS$4="",$A718&gt;TODAY()),0,IF(OR(INDEX($B718:$D718,AS$5)="F",AND(AS$6&gt;0,$A718&lt;AS$6),AND(AS$7&gt;0,$A718&gt;AS$7)),0,MAX(0,ROUND((INDEX($E718:$G718,AS$5)-SUMIFS(TF_Timer,TF_Tekniker,AS$4,TF_Dato,$A718))*2,0)/2)))</f>
        <v/>
      </c>
      <c r="AT718">
        <f>IF(OR(AT$4="",$A718&gt;TODAY()),0,IF(OR(INDEX($B718:$D718,AT$5)="F",AND(AT$6&gt;0,$A718&lt;AT$6),AND(AT$7&gt;0,$A718&gt;AT$7)),0,MAX(0,ROUND((INDEX($E718:$G718,AT$5)-SUMIFS(TF_Timer,TF_Tekniker,AT$4,TF_Dato,$A718))*2,0)/2)))</f>
        <v/>
      </c>
      <c r="AU718">
        <f>IF(OR(AU$4="",$A718&gt;TODAY()),0,IF(OR(INDEX($B718:$D718,AU$5)="F",AND(AU$6&gt;0,$A718&lt;AU$6),AND(AU$7&gt;0,$A718&gt;AU$7)),0,MAX(0,ROUND((INDEX($E718:$G718,AU$5)-SUMIFS(TF_Timer,TF_Tekniker,AU$4,TF_Dato,$A718))*2,0)/2)))</f>
        <v/>
      </c>
      <c r="AV718">
        <f>IF(OR(AV$4="",$A718&gt;TODAY()),0,IF(OR(INDEX($B718:$D718,AV$5)="F",AND(AV$6&gt;0,$A718&lt;AV$6),AND(AV$7&gt;0,$A718&gt;AV$7)),0,MAX(0,ROUND((INDEX($E718:$G718,AV$5)-SUMIFS(TF_Timer,TF_Tekniker,AV$4,TF_Dato,$A718))*2,0)/2)))</f>
        <v/>
      </c>
      <c r="AW718">
        <f>IF(OR(AW$4="",$A718&gt;TODAY()),0,IF(OR(INDEX($B718:$D718,AW$5)="F",AND(AW$6&gt;0,$A718&lt;AW$6),AND(AW$7&gt;0,$A718&gt;AW$7)),0,MAX(0,ROUND((INDEX($E718:$G718,AW$5)-SUMIFS(TF_Timer,TF_Tekniker,AW$4,TF_Dato,$A718))*2,0)/2)))</f>
        <v/>
      </c>
      <c r="AX718">
        <f>IF(OR(AX$4="",$A718&gt;TODAY()),0,IF(OR(INDEX($B718:$D718,AX$5)="F",AND(AX$6&gt;0,$A718&lt;AX$6),AND(AX$7&gt;0,$A718&gt;AX$7)),0,MAX(0,ROUND((INDEX($E718:$G718,AX$5)-SUMIFS(TF_Timer,TF_Tekniker,AX$4,TF_Dato,$A718))*2,0)/2)))</f>
        <v/>
      </c>
      <c r="AY718">
        <f>IF(OR(AY$4="",$A718&gt;TODAY()),0,IF(OR(INDEX($B718:$D718,AY$5)="F",AND(AY$6&gt;0,$A718&lt;AY$6),AND(AY$7&gt;0,$A718&gt;AY$7)),0,MAX(0,ROUND((INDEX($E718:$G718,AY$5)-SUMIFS(TF_Timer,TF_Tekniker,AY$4,TF_Dato,$A718))*2,0)/2)))</f>
        <v/>
      </c>
      <c r="AZ718">
        <f>IF(OR(AZ$4="",$A718&gt;TODAY()),0,IF(OR(INDEX($B718:$D718,AZ$5)="F",AND(AZ$6&gt;0,$A718&lt;AZ$6),AND(AZ$7&gt;0,$A718&gt;AZ$7)),0,MAX(0,ROUND((INDEX($E718:$G718,AZ$5)-SUMIFS(TF_Timer,TF_Tekniker,AZ$4,TF_Dato,$A718))*2,0)/2)))</f>
        <v/>
      </c>
      <c r="BA718">
        <f>IF(OR(BA$4="",$A718&gt;TODAY()),0,IF(OR(INDEX($B718:$D718,BA$5)="F",AND(BA$6&gt;0,$A718&lt;BA$6),AND(BA$7&gt;0,$A718&gt;BA$7)),0,MAX(0,ROUND((INDEX($E718:$G718,BA$5)-SUMIFS(TF_Timer,TF_Tekniker,BA$4,TF_Dato,$A718))*2,0)/2)))</f>
        <v/>
      </c>
      <c r="BB718">
        <f>IF(OR(BB$4="",$A718&gt;TODAY()),0,IF(OR(INDEX($B718:$D718,BB$5)="F",AND(BB$6&gt;0,$A718&lt;BB$6),AND(BB$7&gt;0,$A718&gt;BB$7)),0,MAX(0,ROUND((INDEX($E718:$G718,BB$5)-SUMIFS(TF_Timer,TF_Tekniker,BB$4,TF_Dato,$A718))*2,0)/2)))</f>
        <v/>
      </c>
      <c r="BC718">
        <f>IF(OR(BC$4="",$A718&gt;TODAY()),0,IF(OR(INDEX($B718:$D718,BC$5)="F",AND(BC$6&gt;0,$A718&lt;BC$6),AND(BC$7&gt;0,$A718&gt;BC$7)),0,MAX(0,ROUND((INDEX($E718:$G718,BC$5)-SUMIFS(TF_Timer,TF_Tekniker,BC$4,TF_Dato,$A718))*2,0)/2)))</f>
        <v/>
      </c>
      <c r="BD718">
        <f>IF(OR(BD$4="",$A718&gt;TODAY()),0,IF(OR(INDEX($B718:$D718,BD$5)="F",AND(BD$6&gt;0,$A718&lt;BD$6),AND(BD$7&gt;0,$A718&gt;BD$7)),0,MAX(0,ROUND((INDEX($E718:$G718,BD$5)-SUMIFS(TF_Timer,TF_Tekniker,BD$4,TF_Dato,$A718))*2,0)/2)))</f>
        <v/>
      </c>
      <c r="BE718">
        <f>IF(OR(BE$4="",$A718&gt;TODAY()),0,IF(OR(INDEX($B718:$D718,BE$5)="F",AND(BE$6&gt;0,$A718&lt;BE$6),AND(BE$7&gt;0,$A718&gt;BE$7)),0,MAX(0,ROUND((INDEX($E718:$G718,BE$5)-SUMIFS(TF_Timer,TF_Tekniker,BE$4,TF_Dato,$A718))*2,0)/2)))</f>
        <v/>
      </c>
      <c r="BF718">
        <f>IF(OR(BF$4="",$A718&gt;TODAY()),0,IF(OR(INDEX($B718:$D718,BF$5)="F",AND(BF$6&gt;0,$A718&lt;BF$6),AND(BF$7&gt;0,$A718&gt;BF$7)),0,MAX(0,ROUND((INDEX($E718:$G718,BF$5)-SUMIFS(TF_Timer,TF_Tekniker,BF$4,TF_Dato,$A718))*2,0)/2)))</f>
        <v/>
      </c>
      <c r="BG718">
        <f>IF(OR(BG$4="",$A718&gt;TODAY()),0,IF(OR(INDEX($B718:$D718,BG$5)="F",AND(BG$6&gt;0,$A718&lt;BG$6),AND(BG$7&gt;0,$A718&gt;BG$7)),0,MAX(0,ROUND((INDEX($E718:$G718,BG$5)-SUMIFS(TF_Timer,TF_Tekniker,BG$4,TF_Dato,$A718))*2,0)/2)))</f>
        <v/>
      </c>
      <c r="BH718">
        <f>IF(OR(BH$4="",$A718&gt;TODAY()),0,IF(OR(INDEX($B718:$D718,BH$5)="F",AND(BH$6&gt;0,$A718&lt;BH$6),AND(BH$7&gt;0,$A718&gt;BH$7)),0,MAX(0,ROUND((INDEX($E718:$G718,BH$5)-SUMIFS(TF_Timer,TF_Tekniker,BH$4,TF_Dato,$A718))*2,0)/2)))</f>
        <v/>
      </c>
      <c r="BI718">
        <f>IF(OR(BI$4="",$A718&gt;TODAY()),0,IF(OR(INDEX($B718:$D718,BI$5)="F",AND(BI$6&gt;0,$A718&lt;BI$6),AND(BI$7&gt;0,$A718&gt;BI$7)),0,MAX(0,ROUND((INDEX($E718:$G718,BI$5)-SUMIFS(TF_Timer,TF_Tekniker,BI$4,TF_Dato,$A718))*2,0)/2)))</f>
        <v/>
      </c>
    </row>
    <row r="719">
      <c r="A719" s="64">
        <f>A718+1</f>
        <v/>
      </c>
      <c r="B719">
        <f>IF(MOD($A719-INDEX(SkiftStart,1),Syklus)&lt;DagK,"K",IF(MOD($A719-INDEX(SkiftStart,1),Syklus)&lt;DagK+DagH,"H",IF(MOD($A719-INDEX(SkiftStart,1),Syklus)&lt;DagK+DagH+DagD,"D","F")))</f>
        <v/>
      </c>
      <c r="C719">
        <f>IF(MOD($A719-INDEX(SkiftStart,2),Syklus)&lt;DagK,"K",IF(MOD($A719-INDEX(SkiftStart,2),Syklus)&lt;DagK+DagH,"H",IF(MOD($A719-INDEX(SkiftStart,2),Syklus)&lt;DagK+DagH+DagD,"D","F")))</f>
        <v/>
      </c>
      <c r="D719">
        <f>IF(MOD($A719-INDEX(SkiftStart,3),Syklus)&lt;DagK,"K",IF(MOD($A719-INDEX(SkiftStart,3),Syklus)&lt;DagK+DagH,"H",IF(MOD($A719-INDEX(SkiftStart,3),Syklus)&lt;DagK+DagH+DagD,"D","F")))</f>
        <v/>
      </c>
      <c r="E719">
        <f>IF(B719="F",0,IF(WEEKDAY($A719,2)=5,INDEX(TimerFr,MATCH(B719,FaseKode,0)),INDEX(TimerMT,MATCH(B719,FaseKode,0))))</f>
        <v/>
      </c>
      <c r="F719">
        <f>IF(C719="F",0,IF(WEEKDAY($A719,2)=5,INDEX(TimerFr,MATCH(C719,FaseKode,0)),INDEX(TimerMT,MATCH(C719,FaseKode,0))))</f>
        <v/>
      </c>
      <c r="G719">
        <f>IF(D719="F",0,IF(WEEKDAY($A719,2)=5,INDEX(TimerFr,MATCH(D719,FaseKode,0)),INDEX(TimerMT,MATCH(D719,FaseKode,0))))</f>
        <v/>
      </c>
      <c r="H719">
        <f>IF(OR(H$4="",$A719&gt;TODAY()),0,IF(OR(INDEX($B719:$D719,H$5)="F",AND(H$6&gt;0,$A719&lt;H$6),AND(H$7&gt;0,$A719&gt;H$7)),0,MAX(0,ROUND((INDEX($E719:$G719,H$5)-SUMIFS(TF_Timer,TF_Tekniker,H$4,TF_Dato,$A719))*2,0)/2)))</f>
        <v/>
      </c>
      <c r="I719">
        <f>IF(OR(I$4="",$A719&gt;TODAY()),0,IF(OR(INDEX($B719:$D719,I$5)="F",AND(I$6&gt;0,$A719&lt;I$6),AND(I$7&gt;0,$A719&gt;I$7)),0,MAX(0,ROUND((INDEX($E719:$G719,I$5)-SUMIFS(TF_Timer,TF_Tekniker,I$4,TF_Dato,$A719))*2,0)/2)))</f>
        <v/>
      </c>
      <c r="J719">
        <f>IF(OR(J$4="",$A719&gt;TODAY()),0,IF(OR(INDEX($B719:$D719,J$5)="F",AND(J$6&gt;0,$A719&lt;J$6),AND(J$7&gt;0,$A719&gt;J$7)),0,MAX(0,ROUND((INDEX($E719:$G719,J$5)-SUMIFS(TF_Timer,TF_Tekniker,J$4,TF_Dato,$A719))*2,0)/2)))</f>
        <v/>
      </c>
      <c r="K719">
        <f>IF(OR(K$4="",$A719&gt;TODAY()),0,IF(OR(INDEX($B719:$D719,K$5)="F",AND(K$6&gt;0,$A719&lt;K$6),AND(K$7&gt;0,$A719&gt;K$7)),0,MAX(0,ROUND((INDEX($E719:$G719,K$5)-SUMIFS(TF_Timer,TF_Tekniker,K$4,TF_Dato,$A719))*2,0)/2)))</f>
        <v/>
      </c>
      <c r="L719">
        <f>IF(OR(L$4="",$A719&gt;TODAY()),0,IF(OR(INDEX($B719:$D719,L$5)="F",AND(L$6&gt;0,$A719&lt;L$6),AND(L$7&gt;0,$A719&gt;L$7)),0,MAX(0,ROUND((INDEX($E719:$G719,L$5)-SUMIFS(TF_Timer,TF_Tekniker,L$4,TF_Dato,$A719))*2,0)/2)))</f>
        <v/>
      </c>
      <c r="M719">
        <f>IF(OR(M$4="",$A719&gt;TODAY()),0,IF(OR(INDEX($B719:$D719,M$5)="F",AND(M$6&gt;0,$A719&lt;M$6),AND(M$7&gt;0,$A719&gt;M$7)),0,MAX(0,ROUND((INDEX($E719:$G719,M$5)-SUMIFS(TF_Timer,TF_Tekniker,M$4,TF_Dato,$A719))*2,0)/2)))</f>
        <v/>
      </c>
      <c r="N719">
        <f>IF(OR(N$4="",$A719&gt;TODAY()),0,IF(OR(INDEX($B719:$D719,N$5)="F",AND(N$6&gt;0,$A719&lt;N$6),AND(N$7&gt;0,$A719&gt;N$7)),0,MAX(0,ROUND((INDEX($E719:$G719,N$5)-SUMIFS(TF_Timer,TF_Tekniker,N$4,TF_Dato,$A719))*2,0)/2)))</f>
        <v/>
      </c>
      <c r="O719">
        <f>IF(OR(O$4="",$A719&gt;TODAY()),0,IF(OR(INDEX($B719:$D719,O$5)="F",AND(O$6&gt;0,$A719&lt;O$6),AND(O$7&gt;0,$A719&gt;O$7)),0,MAX(0,ROUND((INDEX($E719:$G719,O$5)-SUMIFS(TF_Timer,TF_Tekniker,O$4,TF_Dato,$A719))*2,0)/2)))</f>
        <v/>
      </c>
      <c r="P719">
        <f>IF(OR(P$4="",$A719&gt;TODAY()),0,IF(OR(INDEX($B719:$D719,P$5)="F",AND(P$6&gt;0,$A719&lt;P$6),AND(P$7&gt;0,$A719&gt;P$7)),0,MAX(0,ROUND((INDEX($E719:$G719,P$5)-SUMIFS(TF_Timer,TF_Tekniker,P$4,TF_Dato,$A719))*2,0)/2)))</f>
        <v/>
      </c>
      <c r="Q719">
        <f>IF(OR(Q$4="",$A719&gt;TODAY()),0,IF(OR(INDEX($B719:$D719,Q$5)="F",AND(Q$6&gt;0,$A719&lt;Q$6),AND(Q$7&gt;0,$A719&gt;Q$7)),0,MAX(0,ROUND((INDEX($E719:$G719,Q$5)-SUMIFS(TF_Timer,TF_Tekniker,Q$4,TF_Dato,$A719))*2,0)/2)))</f>
        <v/>
      </c>
      <c r="R719">
        <f>IF(OR(R$4="",$A719&gt;TODAY()),0,IF(OR(INDEX($B719:$D719,R$5)="F",AND(R$6&gt;0,$A719&lt;R$6),AND(R$7&gt;0,$A719&gt;R$7)),0,MAX(0,ROUND((INDEX($E719:$G719,R$5)-SUMIFS(TF_Timer,TF_Tekniker,R$4,TF_Dato,$A719))*2,0)/2)))</f>
        <v/>
      </c>
      <c r="S719">
        <f>IF(OR(S$4="",$A719&gt;TODAY()),0,IF(OR(INDEX($B719:$D719,S$5)="F",AND(S$6&gt;0,$A719&lt;S$6),AND(S$7&gt;0,$A719&gt;S$7)),0,MAX(0,ROUND((INDEX($E719:$G719,S$5)-SUMIFS(TF_Timer,TF_Tekniker,S$4,TF_Dato,$A719))*2,0)/2)))</f>
        <v/>
      </c>
      <c r="T719">
        <f>IF(OR(T$4="",$A719&gt;TODAY()),0,IF(OR(INDEX($B719:$D719,T$5)="F",AND(T$6&gt;0,$A719&lt;T$6),AND(T$7&gt;0,$A719&gt;T$7)),0,MAX(0,ROUND((INDEX($E719:$G719,T$5)-SUMIFS(TF_Timer,TF_Tekniker,T$4,TF_Dato,$A719))*2,0)/2)))</f>
        <v/>
      </c>
      <c r="U719">
        <f>IF(OR(U$4="",$A719&gt;TODAY()),0,IF(OR(INDEX($B719:$D719,U$5)="F",AND(U$6&gt;0,$A719&lt;U$6),AND(U$7&gt;0,$A719&gt;U$7)),0,MAX(0,ROUND((INDEX($E719:$G719,U$5)-SUMIFS(TF_Timer,TF_Tekniker,U$4,TF_Dato,$A719))*2,0)/2)))</f>
        <v/>
      </c>
      <c r="V719">
        <f>IF(OR(V$4="",$A719&gt;TODAY()),0,IF(OR(INDEX($B719:$D719,V$5)="F",AND(V$6&gt;0,$A719&lt;V$6),AND(V$7&gt;0,$A719&gt;V$7)),0,MAX(0,ROUND((INDEX($E719:$G719,V$5)-SUMIFS(TF_Timer,TF_Tekniker,V$4,TF_Dato,$A719))*2,0)/2)))</f>
        <v/>
      </c>
      <c r="W719">
        <f>IF(OR(W$4="",$A719&gt;TODAY()),0,IF(OR(INDEX($B719:$D719,W$5)="F",AND(W$6&gt;0,$A719&lt;W$6),AND(W$7&gt;0,$A719&gt;W$7)),0,MAX(0,ROUND((INDEX($E719:$G719,W$5)-SUMIFS(TF_Timer,TF_Tekniker,W$4,TF_Dato,$A719))*2,0)/2)))</f>
        <v/>
      </c>
      <c r="X719">
        <f>IF(OR(X$4="",$A719&gt;TODAY()),0,IF(OR(INDEX($B719:$D719,X$5)="F",AND(X$6&gt;0,$A719&lt;X$6),AND(X$7&gt;0,$A719&gt;X$7)),0,MAX(0,ROUND((INDEX($E719:$G719,X$5)-SUMIFS(TF_Timer,TF_Tekniker,X$4,TF_Dato,$A719))*2,0)/2)))</f>
        <v/>
      </c>
      <c r="Y719">
        <f>IF(OR(Y$4="",$A719&gt;TODAY()),0,IF(OR(INDEX($B719:$D719,Y$5)="F",AND(Y$6&gt;0,$A719&lt;Y$6),AND(Y$7&gt;0,$A719&gt;Y$7)),0,MAX(0,ROUND((INDEX($E719:$G719,Y$5)-SUMIFS(TF_Timer,TF_Tekniker,Y$4,TF_Dato,$A719))*2,0)/2)))</f>
        <v/>
      </c>
      <c r="Z719">
        <f>IF(OR(Z$4="",$A719&gt;TODAY()),0,IF(OR(INDEX($B719:$D719,Z$5)="F",AND(Z$6&gt;0,$A719&lt;Z$6),AND(Z$7&gt;0,$A719&gt;Z$7)),0,MAX(0,ROUND((INDEX($E719:$G719,Z$5)-SUMIFS(TF_Timer,TF_Tekniker,Z$4,TF_Dato,$A719))*2,0)/2)))</f>
        <v/>
      </c>
      <c r="AA719">
        <f>IF(OR(AA$4="",$A719&gt;TODAY()),0,IF(OR(INDEX($B719:$D719,AA$5)="F",AND(AA$6&gt;0,$A719&lt;AA$6),AND(AA$7&gt;0,$A719&gt;AA$7)),0,MAX(0,ROUND((INDEX($E719:$G719,AA$5)-SUMIFS(TF_Timer,TF_Tekniker,AA$4,TF_Dato,$A719))*2,0)/2)))</f>
        <v/>
      </c>
      <c r="AB719">
        <f>IF(OR(AB$4="",$A719&gt;TODAY()),0,IF(OR(INDEX($B719:$D719,AB$5)="F",AND(AB$6&gt;0,$A719&lt;AB$6),AND(AB$7&gt;0,$A719&gt;AB$7)),0,MAX(0,ROUND((INDEX($E719:$G719,AB$5)-SUMIFS(TF_Timer,TF_Tekniker,AB$4,TF_Dato,$A719))*2,0)/2)))</f>
        <v/>
      </c>
      <c r="AC719">
        <f>IF(OR(AC$4="",$A719&gt;TODAY()),0,IF(OR(INDEX($B719:$D719,AC$5)="F",AND(AC$6&gt;0,$A719&lt;AC$6),AND(AC$7&gt;0,$A719&gt;AC$7)),0,MAX(0,ROUND((INDEX($E719:$G719,AC$5)-SUMIFS(TF_Timer,TF_Tekniker,AC$4,TF_Dato,$A719))*2,0)/2)))</f>
        <v/>
      </c>
      <c r="AD719">
        <f>IF(OR(AD$4="",$A719&gt;TODAY()),0,IF(OR(INDEX($B719:$D719,AD$5)="F",AND(AD$6&gt;0,$A719&lt;AD$6),AND(AD$7&gt;0,$A719&gt;AD$7)),0,MAX(0,ROUND((INDEX($E719:$G719,AD$5)-SUMIFS(TF_Timer,TF_Tekniker,AD$4,TF_Dato,$A719))*2,0)/2)))</f>
        <v/>
      </c>
      <c r="AE719">
        <f>IF(OR(AE$4="",$A719&gt;TODAY()),0,IF(OR(INDEX($B719:$D719,AE$5)="F",AND(AE$6&gt;0,$A719&lt;AE$6),AND(AE$7&gt;0,$A719&gt;AE$7)),0,MAX(0,ROUND((INDEX($E719:$G719,AE$5)-SUMIFS(TF_Timer,TF_Tekniker,AE$4,TF_Dato,$A719))*2,0)/2)))</f>
        <v/>
      </c>
      <c r="AF719">
        <f>IF(OR(AF$4="",$A719&gt;TODAY()),0,IF(OR(INDEX($B719:$D719,AF$5)="F",AND(AF$6&gt;0,$A719&lt;AF$6),AND(AF$7&gt;0,$A719&gt;AF$7)),0,MAX(0,ROUND((INDEX($E719:$G719,AF$5)-SUMIFS(TF_Timer,TF_Tekniker,AF$4,TF_Dato,$A719))*2,0)/2)))</f>
        <v/>
      </c>
      <c r="AG719">
        <f>IF(OR(AG$4="",$A719&gt;TODAY()),0,IF(OR(INDEX($B719:$D719,AG$5)="F",AND(AG$6&gt;0,$A719&lt;AG$6),AND(AG$7&gt;0,$A719&gt;AG$7)),0,MAX(0,ROUND((INDEX($E719:$G719,AG$5)-SUMIFS(TF_Timer,TF_Tekniker,AG$4,TF_Dato,$A719))*2,0)/2)))</f>
        <v/>
      </c>
      <c r="AH719">
        <f>IF(OR(AH$4="",$A719&gt;TODAY()),0,IF(OR(INDEX($B719:$D719,AH$5)="F",AND(AH$6&gt;0,$A719&lt;AH$6),AND(AH$7&gt;0,$A719&gt;AH$7)),0,MAX(0,ROUND((INDEX($E719:$G719,AH$5)-SUMIFS(TF_Timer,TF_Tekniker,AH$4,TF_Dato,$A719))*2,0)/2)))</f>
        <v/>
      </c>
      <c r="AI719">
        <f>IF(OR(AI$4="",$A719&gt;TODAY()),0,IF(OR(INDEX($B719:$D719,AI$5)="F",AND(AI$6&gt;0,$A719&lt;AI$6),AND(AI$7&gt;0,$A719&gt;AI$7)),0,MAX(0,ROUND((INDEX($E719:$G719,AI$5)-SUMIFS(TF_Timer,TF_Tekniker,AI$4,TF_Dato,$A719))*2,0)/2)))</f>
        <v/>
      </c>
      <c r="AJ719">
        <f>IF(OR(AJ$4="",$A719&gt;TODAY()),0,IF(OR(INDEX($B719:$D719,AJ$5)="F",AND(AJ$6&gt;0,$A719&lt;AJ$6),AND(AJ$7&gt;0,$A719&gt;AJ$7)),0,MAX(0,ROUND((INDEX($E719:$G719,AJ$5)-SUMIFS(TF_Timer,TF_Tekniker,AJ$4,TF_Dato,$A719))*2,0)/2)))</f>
        <v/>
      </c>
      <c r="AK719">
        <f>IF(OR(AK$4="",$A719&gt;TODAY()),0,IF(OR(INDEX($B719:$D719,AK$5)="F",AND(AK$6&gt;0,$A719&lt;AK$6),AND(AK$7&gt;0,$A719&gt;AK$7)),0,MAX(0,ROUND((INDEX($E719:$G719,AK$5)-SUMIFS(TF_Timer,TF_Tekniker,AK$4,TF_Dato,$A719))*2,0)/2)))</f>
        <v/>
      </c>
      <c r="AL719">
        <f>IF(OR(AL$4="",$A719&gt;TODAY()),0,IF(OR(INDEX($B719:$D719,AL$5)="F",AND(AL$6&gt;0,$A719&lt;AL$6),AND(AL$7&gt;0,$A719&gt;AL$7)),0,MAX(0,ROUND((INDEX($E719:$G719,AL$5)-SUMIFS(TF_Timer,TF_Tekniker,AL$4,TF_Dato,$A719))*2,0)/2)))</f>
        <v/>
      </c>
      <c r="AM719">
        <f>IF(OR(AM$4="",$A719&gt;TODAY()),0,IF(OR(INDEX($B719:$D719,AM$5)="F",AND(AM$6&gt;0,$A719&lt;AM$6),AND(AM$7&gt;0,$A719&gt;AM$7)),0,MAX(0,ROUND((INDEX($E719:$G719,AM$5)-SUMIFS(TF_Timer,TF_Tekniker,AM$4,TF_Dato,$A719))*2,0)/2)))</f>
        <v/>
      </c>
      <c r="AN719">
        <f>IF(OR(AN$4="",$A719&gt;TODAY()),0,IF(OR(INDEX($B719:$D719,AN$5)="F",AND(AN$6&gt;0,$A719&lt;AN$6),AND(AN$7&gt;0,$A719&gt;AN$7)),0,MAX(0,ROUND((INDEX($E719:$G719,AN$5)-SUMIFS(TF_Timer,TF_Tekniker,AN$4,TF_Dato,$A719))*2,0)/2)))</f>
        <v/>
      </c>
      <c r="AO719">
        <f>IF(OR(AO$4="",$A719&gt;TODAY()),0,IF(OR(INDEX($B719:$D719,AO$5)="F",AND(AO$6&gt;0,$A719&lt;AO$6),AND(AO$7&gt;0,$A719&gt;AO$7)),0,MAX(0,ROUND((INDEX($E719:$G719,AO$5)-SUMIFS(TF_Timer,TF_Tekniker,AO$4,TF_Dato,$A719))*2,0)/2)))</f>
        <v/>
      </c>
      <c r="AP719">
        <f>IF(OR(AP$4="",$A719&gt;TODAY()),0,IF(OR(INDEX($B719:$D719,AP$5)="F",AND(AP$6&gt;0,$A719&lt;AP$6),AND(AP$7&gt;0,$A719&gt;AP$7)),0,MAX(0,ROUND((INDEX($E719:$G719,AP$5)-SUMIFS(TF_Timer,TF_Tekniker,AP$4,TF_Dato,$A719))*2,0)/2)))</f>
        <v/>
      </c>
      <c r="AQ719">
        <f>IF(OR(AQ$4="",$A719&gt;TODAY()),0,IF(OR(INDEX($B719:$D719,AQ$5)="F",AND(AQ$6&gt;0,$A719&lt;AQ$6),AND(AQ$7&gt;0,$A719&gt;AQ$7)),0,MAX(0,ROUND((INDEX($E719:$G719,AQ$5)-SUMIFS(TF_Timer,TF_Tekniker,AQ$4,TF_Dato,$A719))*2,0)/2)))</f>
        <v/>
      </c>
      <c r="AR719">
        <f>IF(OR(AR$4="",$A719&gt;TODAY()),0,IF(OR(INDEX($B719:$D719,AR$5)="F",AND(AR$6&gt;0,$A719&lt;AR$6),AND(AR$7&gt;0,$A719&gt;AR$7)),0,MAX(0,ROUND((INDEX($E719:$G719,AR$5)-SUMIFS(TF_Timer,TF_Tekniker,AR$4,TF_Dato,$A719))*2,0)/2)))</f>
        <v/>
      </c>
      <c r="AS719">
        <f>IF(OR(AS$4="",$A719&gt;TODAY()),0,IF(OR(INDEX($B719:$D719,AS$5)="F",AND(AS$6&gt;0,$A719&lt;AS$6),AND(AS$7&gt;0,$A719&gt;AS$7)),0,MAX(0,ROUND((INDEX($E719:$G719,AS$5)-SUMIFS(TF_Timer,TF_Tekniker,AS$4,TF_Dato,$A719))*2,0)/2)))</f>
        <v/>
      </c>
      <c r="AT719">
        <f>IF(OR(AT$4="",$A719&gt;TODAY()),0,IF(OR(INDEX($B719:$D719,AT$5)="F",AND(AT$6&gt;0,$A719&lt;AT$6),AND(AT$7&gt;0,$A719&gt;AT$7)),0,MAX(0,ROUND((INDEX($E719:$G719,AT$5)-SUMIFS(TF_Timer,TF_Tekniker,AT$4,TF_Dato,$A719))*2,0)/2)))</f>
        <v/>
      </c>
      <c r="AU719">
        <f>IF(OR(AU$4="",$A719&gt;TODAY()),0,IF(OR(INDEX($B719:$D719,AU$5)="F",AND(AU$6&gt;0,$A719&lt;AU$6),AND(AU$7&gt;0,$A719&gt;AU$7)),0,MAX(0,ROUND((INDEX($E719:$G719,AU$5)-SUMIFS(TF_Timer,TF_Tekniker,AU$4,TF_Dato,$A719))*2,0)/2)))</f>
        <v/>
      </c>
      <c r="AV719">
        <f>IF(OR(AV$4="",$A719&gt;TODAY()),0,IF(OR(INDEX($B719:$D719,AV$5)="F",AND(AV$6&gt;0,$A719&lt;AV$6),AND(AV$7&gt;0,$A719&gt;AV$7)),0,MAX(0,ROUND((INDEX($E719:$G719,AV$5)-SUMIFS(TF_Timer,TF_Tekniker,AV$4,TF_Dato,$A719))*2,0)/2)))</f>
        <v/>
      </c>
      <c r="AW719">
        <f>IF(OR(AW$4="",$A719&gt;TODAY()),0,IF(OR(INDEX($B719:$D719,AW$5)="F",AND(AW$6&gt;0,$A719&lt;AW$6),AND(AW$7&gt;0,$A719&gt;AW$7)),0,MAX(0,ROUND((INDEX($E719:$G719,AW$5)-SUMIFS(TF_Timer,TF_Tekniker,AW$4,TF_Dato,$A719))*2,0)/2)))</f>
        <v/>
      </c>
      <c r="AX719">
        <f>IF(OR(AX$4="",$A719&gt;TODAY()),0,IF(OR(INDEX($B719:$D719,AX$5)="F",AND(AX$6&gt;0,$A719&lt;AX$6),AND(AX$7&gt;0,$A719&gt;AX$7)),0,MAX(0,ROUND((INDEX($E719:$G719,AX$5)-SUMIFS(TF_Timer,TF_Tekniker,AX$4,TF_Dato,$A719))*2,0)/2)))</f>
        <v/>
      </c>
      <c r="AY719">
        <f>IF(OR(AY$4="",$A719&gt;TODAY()),0,IF(OR(INDEX($B719:$D719,AY$5)="F",AND(AY$6&gt;0,$A719&lt;AY$6),AND(AY$7&gt;0,$A719&gt;AY$7)),0,MAX(0,ROUND((INDEX($E719:$G719,AY$5)-SUMIFS(TF_Timer,TF_Tekniker,AY$4,TF_Dato,$A719))*2,0)/2)))</f>
        <v/>
      </c>
      <c r="AZ719">
        <f>IF(OR(AZ$4="",$A719&gt;TODAY()),0,IF(OR(INDEX($B719:$D719,AZ$5)="F",AND(AZ$6&gt;0,$A719&lt;AZ$6),AND(AZ$7&gt;0,$A719&gt;AZ$7)),0,MAX(0,ROUND((INDEX($E719:$G719,AZ$5)-SUMIFS(TF_Timer,TF_Tekniker,AZ$4,TF_Dato,$A719))*2,0)/2)))</f>
        <v/>
      </c>
      <c r="BA719">
        <f>IF(OR(BA$4="",$A719&gt;TODAY()),0,IF(OR(INDEX($B719:$D719,BA$5)="F",AND(BA$6&gt;0,$A719&lt;BA$6),AND(BA$7&gt;0,$A719&gt;BA$7)),0,MAX(0,ROUND((INDEX($E719:$G719,BA$5)-SUMIFS(TF_Timer,TF_Tekniker,BA$4,TF_Dato,$A719))*2,0)/2)))</f>
        <v/>
      </c>
      <c r="BB719">
        <f>IF(OR(BB$4="",$A719&gt;TODAY()),0,IF(OR(INDEX($B719:$D719,BB$5)="F",AND(BB$6&gt;0,$A719&lt;BB$6),AND(BB$7&gt;0,$A719&gt;BB$7)),0,MAX(0,ROUND((INDEX($E719:$G719,BB$5)-SUMIFS(TF_Timer,TF_Tekniker,BB$4,TF_Dato,$A719))*2,0)/2)))</f>
        <v/>
      </c>
      <c r="BC719">
        <f>IF(OR(BC$4="",$A719&gt;TODAY()),0,IF(OR(INDEX($B719:$D719,BC$5)="F",AND(BC$6&gt;0,$A719&lt;BC$6),AND(BC$7&gt;0,$A719&gt;BC$7)),0,MAX(0,ROUND((INDEX($E719:$G719,BC$5)-SUMIFS(TF_Timer,TF_Tekniker,BC$4,TF_Dato,$A719))*2,0)/2)))</f>
        <v/>
      </c>
      <c r="BD719">
        <f>IF(OR(BD$4="",$A719&gt;TODAY()),0,IF(OR(INDEX($B719:$D719,BD$5)="F",AND(BD$6&gt;0,$A719&lt;BD$6),AND(BD$7&gt;0,$A719&gt;BD$7)),0,MAX(0,ROUND((INDEX($E719:$G719,BD$5)-SUMIFS(TF_Timer,TF_Tekniker,BD$4,TF_Dato,$A719))*2,0)/2)))</f>
        <v/>
      </c>
      <c r="BE719">
        <f>IF(OR(BE$4="",$A719&gt;TODAY()),0,IF(OR(INDEX($B719:$D719,BE$5)="F",AND(BE$6&gt;0,$A719&lt;BE$6),AND(BE$7&gt;0,$A719&gt;BE$7)),0,MAX(0,ROUND((INDEX($E719:$G719,BE$5)-SUMIFS(TF_Timer,TF_Tekniker,BE$4,TF_Dato,$A719))*2,0)/2)))</f>
        <v/>
      </c>
      <c r="BF719">
        <f>IF(OR(BF$4="",$A719&gt;TODAY()),0,IF(OR(INDEX($B719:$D719,BF$5)="F",AND(BF$6&gt;0,$A719&lt;BF$6),AND(BF$7&gt;0,$A719&gt;BF$7)),0,MAX(0,ROUND((INDEX($E719:$G719,BF$5)-SUMIFS(TF_Timer,TF_Tekniker,BF$4,TF_Dato,$A719))*2,0)/2)))</f>
        <v/>
      </c>
      <c r="BG719">
        <f>IF(OR(BG$4="",$A719&gt;TODAY()),0,IF(OR(INDEX($B719:$D719,BG$5)="F",AND(BG$6&gt;0,$A719&lt;BG$6),AND(BG$7&gt;0,$A719&gt;BG$7)),0,MAX(0,ROUND((INDEX($E719:$G719,BG$5)-SUMIFS(TF_Timer,TF_Tekniker,BG$4,TF_Dato,$A719))*2,0)/2)))</f>
        <v/>
      </c>
      <c r="BH719">
        <f>IF(OR(BH$4="",$A719&gt;TODAY()),0,IF(OR(INDEX($B719:$D719,BH$5)="F",AND(BH$6&gt;0,$A719&lt;BH$6),AND(BH$7&gt;0,$A719&gt;BH$7)),0,MAX(0,ROUND((INDEX($E719:$G719,BH$5)-SUMIFS(TF_Timer,TF_Tekniker,BH$4,TF_Dato,$A719))*2,0)/2)))</f>
        <v/>
      </c>
      <c r="BI719">
        <f>IF(OR(BI$4="",$A719&gt;TODAY()),0,IF(OR(INDEX($B719:$D719,BI$5)="F",AND(BI$6&gt;0,$A719&lt;BI$6),AND(BI$7&gt;0,$A719&gt;BI$7)),0,MAX(0,ROUND((INDEX($E719:$G719,BI$5)-SUMIFS(TF_Timer,TF_Tekniker,BI$4,TF_Dato,$A719))*2,0)/2)))</f>
        <v/>
      </c>
    </row>
    <row r="720">
      <c r="A720" s="64">
        <f>A719+1</f>
        <v/>
      </c>
      <c r="B720">
        <f>IF(MOD($A720-INDEX(SkiftStart,1),Syklus)&lt;DagK,"K",IF(MOD($A720-INDEX(SkiftStart,1),Syklus)&lt;DagK+DagH,"H",IF(MOD($A720-INDEX(SkiftStart,1),Syklus)&lt;DagK+DagH+DagD,"D","F")))</f>
        <v/>
      </c>
      <c r="C720">
        <f>IF(MOD($A720-INDEX(SkiftStart,2),Syklus)&lt;DagK,"K",IF(MOD($A720-INDEX(SkiftStart,2),Syklus)&lt;DagK+DagH,"H",IF(MOD($A720-INDEX(SkiftStart,2),Syklus)&lt;DagK+DagH+DagD,"D","F")))</f>
        <v/>
      </c>
      <c r="D720">
        <f>IF(MOD($A720-INDEX(SkiftStart,3),Syklus)&lt;DagK,"K",IF(MOD($A720-INDEX(SkiftStart,3),Syklus)&lt;DagK+DagH,"H",IF(MOD($A720-INDEX(SkiftStart,3),Syklus)&lt;DagK+DagH+DagD,"D","F")))</f>
        <v/>
      </c>
      <c r="E720">
        <f>IF(B720="F",0,IF(WEEKDAY($A720,2)=5,INDEX(TimerFr,MATCH(B720,FaseKode,0)),INDEX(TimerMT,MATCH(B720,FaseKode,0))))</f>
        <v/>
      </c>
      <c r="F720">
        <f>IF(C720="F",0,IF(WEEKDAY($A720,2)=5,INDEX(TimerFr,MATCH(C720,FaseKode,0)),INDEX(TimerMT,MATCH(C720,FaseKode,0))))</f>
        <v/>
      </c>
      <c r="G720">
        <f>IF(D720="F",0,IF(WEEKDAY($A720,2)=5,INDEX(TimerFr,MATCH(D720,FaseKode,0)),INDEX(TimerMT,MATCH(D720,FaseKode,0))))</f>
        <v/>
      </c>
      <c r="H720">
        <f>IF(OR(H$4="",$A720&gt;TODAY()),0,IF(OR(INDEX($B720:$D720,H$5)="F",AND(H$6&gt;0,$A720&lt;H$6),AND(H$7&gt;0,$A720&gt;H$7)),0,MAX(0,ROUND((INDEX($E720:$G720,H$5)-SUMIFS(TF_Timer,TF_Tekniker,H$4,TF_Dato,$A720))*2,0)/2)))</f>
        <v/>
      </c>
      <c r="I720">
        <f>IF(OR(I$4="",$A720&gt;TODAY()),0,IF(OR(INDEX($B720:$D720,I$5)="F",AND(I$6&gt;0,$A720&lt;I$6),AND(I$7&gt;0,$A720&gt;I$7)),0,MAX(0,ROUND((INDEX($E720:$G720,I$5)-SUMIFS(TF_Timer,TF_Tekniker,I$4,TF_Dato,$A720))*2,0)/2)))</f>
        <v/>
      </c>
      <c r="J720">
        <f>IF(OR(J$4="",$A720&gt;TODAY()),0,IF(OR(INDEX($B720:$D720,J$5)="F",AND(J$6&gt;0,$A720&lt;J$6),AND(J$7&gt;0,$A720&gt;J$7)),0,MAX(0,ROUND((INDEX($E720:$G720,J$5)-SUMIFS(TF_Timer,TF_Tekniker,J$4,TF_Dato,$A720))*2,0)/2)))</f>
        <v/>
      </c>
      <c r="K720">
        <f>IF(OR(K$4="",$A720&gt;TODAY()),0,IF(OR(INDEX($B720:$D720,K$5)="F",AND(K$6&gt;0,$A720&lt;K$6),AND(K$7&gt;0,$A720&gt;K$7)),0,MAX(0,ROUND((INDEX($E720:$G720,K$5)-SUMIFS(TF_Timer,TF_Tekniker,K$4,TF_Dato,$A720))*2,0)/2)))</f>
        <v/>
      </c>
      <c r="L720">
        <f>IF(OR(L$4="",$A720&gt;TODAY()),0,IF(OR(INDEX($B720:$D720,L$5)="F",AND(L$6&gt;0,$A720&lt;L$6),AND(L$7&gt;0,$A720&gt;L$7)),0,MAX(0,ROUND((INDEX($E720:$G720,L$5)-SUMIFS(TF_Timer,TF_Tekniker,L$4,TF_Dato,$A720))*2,0)/2)))</f>
        <v/>
      </c>
      <c r="M720">
        <f>IF(OR(M$4="",$A720&gt;TODAY()),0,IF(OR(INDEX($B720:$D720,M$5)="F",AND(M$6&gt;0,$A720&lt;M$6),AND(M$7&gt;0,$A720&gt;M$7)),0,MAX(0,ROUND((INDEX($E720:$G720,M$5)-SUMIFS(TF_Timer,TF_Tekniker,M$4,TF_Dato,$A720))*2,0)/2)))</f>
        <v/>
      </c>
      <c r="N720">
        <f>IF(OR(N$4="",$A720&gt;TODAY()),0,IF(OR(INDEX($B720:$D720,N$5)="F",AND(N$6&gt;0,$A720&lt;N$6),AND(N$7&gt;0,$A720&gt;N$7)),0,MAX(0,ROUND((INDEX($E720:$G720,N$5)-SUMIFS(TF_Timer,TF_Tekniker,N$4,TF_Dato,$A720))*2,0)/2)))</f>
        <v/>
      </c>
      <c r="O720">
        <f>IF(OR(O$4="",$A720&gt;TODAY()),0,IF(OR(INDEX($B720:$D720,O$5)="F",AND(O$6&gt;0,$A720&lt;O$6),AND(O$7&gt;0,$A720&gt;O$7)),0,MAX(0,ROUND((INDEX($E720:$G720,O$5)-SUMIFS(TF_Timer,TF_Tekniker,O$4,TF_Dato,$A720))*2,0)/2)))</f>
        <v/>
      </c>
      <c r="P720">
        <f>IF(OR(P$4="",$A720&gt;TODAY()),0,IF(OR(INDEX($B720:$D720,P$5)="F",AND(P$6&gt;0,$A720&lt;P$6),AND(P$7&gt;0,$A720&gt;P$7)),0,MAX(0,ROUND((INDEX($E720:$G720,P$5)-SUMIFS(TF_Timer,TF_Tekniker,P$4,TF_Dato,$A720))*2,0)/2)))</f>
        <v/>
      </c>
      <c r="Q720">
        <f>IF(OR(Q$4="",$A720&gt;TODAY()),0,IF(OR(INDEX($B720:$D720,Q$5)="F",AND(Q$6&gt;0,$A720&lt;Q$6),AND(Q$7&gt;0,$A720&gt;Q$7)),0,MAX(0,ROUND((INDEX($E720:$G720,Q$5)-SUMIFS(TF_Timer,TF_Tekniker,Q$4,TF_Dato,$A720))*2,0)/2)))</f>
        <v/>
      </c>
      <c r="R720">
        <f>IF(OR(R$4="",$A720&gt;TODAY()),0,IF(OR(INDEX($B720:$D720,R$5)="F",AND(R$6&gt;0,$A720&lt;R$6),AND(R$7&gt;0,$A720&gt;R$7)),0,MAX(0,ROUND((INDEX($E720:$G720,R$5)-SUMIFS(TF_Timer,TF_Tekniker,R$4,TF_Dato,$A720))*2,0)/2)))</f>
        <v/>
      </c>
      <c r="S720">
        <f>IF(OR(S$4="",$A720&gt;TODAY()),0,IF(OR(INDEX($B720:$D720,S$5)="F",AND(S$6&gt;0,$A720&lt;S$6),AND(S$7&gt;0,$A720&gt;S$7)),0,MAX(0,ROUND((INDEX($E720:$G720,S$5)-SUMIFS(TF_Timer,TF_Tekniker,S$4,TF_Dato,$A720))*2,0)/2)))</f>
        <v/>
      </c>
      <c r="T720">
        <f>IF(OR(T$4="",$A720&gt;TODAY()),0,IF(OR(INDEX($B720:$D720,T$5)="F",AND(T$6&gt;0,$A720&lt;T$6),AND(T$7&gt;0,$A720&gt;T$7)),0,MAX(0,ROUND((INDEX($E720:$G720,T$5)-SUMIFS(TF_Timer,TF_Tekniker,T$4,TF_Dato,$A720))*2,0)/2)))</f>
        <v/>
      </c>
      <c r="U720">
        <f>IF(OR(U$4="",$A720&gt;TODAY()),0,IF(OR(INDEX($B720:$D720,U$5)="F",AND(U$6&gt;0,$A720&lt;U$6),AND(U$7&gt;0,$A720&gt;U$7)),0,MAX(0,ROUND((INDEX($E720:$G720,U$5)-SUMIFS(TF_Timer,TF_Tekniker,U$4,TF_Dato,$A720))*2,0)/2)))</f>
        <v/>
      </c>
      <c r="V720">
        <f>IF(OR(V$4="",$A720&gt;TODAY()),0,IF(OR(INDEX($B720:$D720,V$5)="F",AND(V$6&gt;0,$A720&lt;V$6),AND(V$7&gt;0,$A720&gt;V$7)),0,MAX(0,ROUND((INDEX($E720:$G720,V$5)-SUMIFS(TF_Timer,TF_Tekniker,V$4,TF_Dato,$A720))*2,0)/2)))</f>
        <v/>
      </c>
      <c r="W720">
        <f>IF(OR(W$4="",$A720&gt;TODAY()),0,IF(OR(INDEX($B720:$D720,W$5)="F",AND(W$6&gt;0,$A720&lt;W$6),AND(W$7&gt;0,$A720&gt;W$7)),0,MAX(0,ROUND((INDEX($E720:$G720,W$5)-SUMIFS(TF_Timer,TF_Tekniker,W$4,TF_Dato,$A720))*2,0)/2)))</f>
        <v/>
      </c>
      <c r="X720">
        <f>IF(OR(X$4="",$A720&gt;TODAY()),0,IF(OR(INDEX($B720:$D720,X$5)="F",AND(X$6&gt;0,$A720&lt;X$6),AND(X$7&gt;0,$A720&gt;X$7)),0,MAX(0,ROUND((INDEX($E720:$G720,X$5)-SUMIFS(TF_Timer,TF_Tekniker,X$4,TF_Dato,$A720))*2,0)/2)))</f>
        <v/>
      </c>
      <c r="Y720">
        <f>IF(OR(Y$4="",$A720&gt;TODAY()),0,IF(OR(INDEX($B720:$D720,Y$5)="F",AND(Y$6&gt;0,$A720&lt;Y$6),AND(Y$7&gt;0,$A720&gt;Y$7)),0,MAX(0,ROUND((INDEX($E720:$G720,Y$5)-SUMIFS(TF_Timer,TF_Tekniker,Y$4,TF_Dato,$A720))*2,0)/2)))</f>
        <v/>
      </c>
      <c r="Z720">
        <f>IF(OR(Z$4="",$A720&gt;TODAY()),0,IF(OR(INDEX($B720:$D720,Z$5)="F",AND(Z$6&gt;0,$A720&lt;Z$6),AND(Z$7&gt;0,$A720&gt;Z$7)),0,MAX(0,ROUND((INDEX($E720:$G720,Z$5)-SUMIFS(TF_Timer,TF_Tekniker,Z$4,TF_Dato,$A720))*2,0)/2)))</f>
        <v/>
      </c>
      <c r="AA720">
        <f>IF(OR(AA$4="",$A720&gt;TODAY()),0,IF(OR(INDEX($B720:$D720,AA$5)="F",AND(AA$6&gt;0,$A720&lt;AA$6),AND(AA$7&gt;0,$A720&gt;AA$7)),0,MAX(0,ROUND((INDEX($E720:$G720,AA$5)-SUMIFS(TF_Timer,TF_Tekniker,AA$4,TF_Dato,$A720))*2,0)/2)))</f>
        <v/>
      </c>
      <c r="AB720">
        <f>IF(OR(AB$4="",$A720&gt;TODAY()),0,IF(OR(INDEX($B720:$D720,AB$5)="F",AND(AB$6&gt;0,$A720&lt;AB$6),AND(AB$7&gt;0,$A720&gt;AB$7)),0,MAX(0,ROUND((INDEX($E720:$G720,AB$5)-SUMIFS(TF_Timer,TF_Tekniker,AB$4,TF_Dato,$A720))*2,0)/2)))</f>
        <v/>
      </c>
      <c r="AC720">
        <f>IF(OR(AC$4="",$A720&gt;TODAY()),0,IF(OR(INDEX($B720:$D720,AC$5)="F",AND(AC$6&gt;0,$A720&lt;AC$6),AND(AC$7&gt;0,$A720&gt;AC$7)),0,MAX(0,ROUND((INDEX($E720:$G720,AC$5)-SUMIFS(TF_Timer,TF_Tekniker,AC$4,TF_Dato,$A720))*2,0)/2)))</f>
        <v/>
      </c>
      <c r="AD720">
        <f>IF(OR(AD$4="",$A720&gt;TODAY()),0,IF(OR(INDEX($B720:$D720,AD$5)="F",AND(AD$6&gt;0,$A720&lt;AD$6),AND(AD$7&gt;0,$A720&gt;AD$7)),0,MAX(0,ROUND((INDEX($E720:$G720,AD$5)-SUMIFS(TF_Timer,TF_Tekniker,AD$4,TF_Dato,$A720))*2,0)/2)))</f>
        <v/>
      </c>
      <c r="AE720">
        <f>IF(OR(AE$4="",$A720&gt;TODAY()),0,IF(OR(INDEX($B720:$D720,AE$5)="F",AND(AE$6&gt;0,$A720&lt;AE$6),AND(AE$7&gt;0,$A720&gt;AE$7)),0,MAX(0,ROUND((INDEX($E720:$G720,AE$5)-SUMIFS(TF_Timer,TF_Tekniker,AE$4,TF_Dato,$A720))*2,0)/2)))</f>
        <v/>
      </c>
      <c r="AF720">
        <f>IF(OR(AF$4="",$A720&gt;TODAY()),0,IF(OR(INDEX($B720:$D720,AF$5)="F",AND(AF$6&gt;0,$A720&lt;AF$6),AND(AF$7&gt;0,$A720&gt;AF$7)),0,MAX(0,ROUND((INDEX($E720:$G720,AF$5)-SUMIFS(TF_Timer,TF_Tekniker,AF$4,TF_Dato,$A720))*2,0)/2)))</f>
        <v/>
      </c>
      <c r="AG720">
        <f>IF(OR(AG$4="",$A720&gt;TODAY()),0,IF(OR(INDEX($B720:$D720,AG$5)="F",AND(AG$6&gt;0,$A720&lt;AG$6),AND(AG$7&gt;0,$A720&gt;AG$7)),0,MAX(0,ROUND((INDEX($E720:$G720,AG$5)-SUMIFS(TF_Timer,TF_Tekniker,AG$4,TF_Dato,$A720))*2,0)/2)))</f>
        <v/>
      </c>
      <c r="AH720">
        <f>IF(OR(AH$4="",$A720&gt;TODAY()),0,IF(OR(INDEX($B720:$D720,AH$5)="F",AND(AH$6&gt;0,$A720&lt;AH$6),AND(AH$7&gt;0,$A720&gt;AH$7)),0,MAX(0,ROUND((INDEX($E720:$G720,AH$5)-SUMIFS(TF_Timer,TF_Tekniker,AH$4,TF_Dato,$A720))*2,0)/2)))</f>
        <v/>
      </c>
      <c r="AI720">
        <f>IF(OR(AI$4="",$A720&gt;TODAY()),0,IF(OR(INDEX($B720:$D720,AI$5)="F",AND(AI$6&gt;0,$A720&lt;AI$6),AND(AI$7&gt;0,$A720&gt;AI$7)),0,MAX(0,ROUND((INDEX($E720:$G720,AI$5)-SUMIFS(TF_Timer,TF_Tekniker,AI$4,TF_Dato,$A720))*2,0)/2)))</f>
        <v/>
      </c>
      <c r="AJ720">
        <f>IF(OR(AJ$4="",$A720&gt;TODAY()),0,IF(OR(INDEX($B720:$D720,AJ$5)="F",AND(AJ$6&gt;0,$A720&lt;AJ$6),AND(AJ$7&gt;0,$A720&gt;AJ$7)),0,MAX(0,ROUND((INDEX($E720:$G720,AJ$5)-SUMIFS(TF_Timer,TF_Tekniker,AJ$4,TF_Dato,$A720))*2,0)/2)))</f>
        <v/>
      </c>
      <c r="AK720">
        <f>IF(OR(AK$4="",$A720&gt;TODAY()),0,IF(OR(INDEX($B720:$D720,AK$5)="F",AND(AK$6&gt;0,$A720&lt;AK$6),AND(AK$7&gt;0,$A720&gt;AK$7)),0,MAX(0,ROUND((INDEX($E720:$G720,AK$5)-SUMIFS(TF_Timer,TF_Tekniker,AK$4,TF_Dato,$A720))*2,0)/2)))</f>
        <v/>
      </c>
      <c r="AL720">
        <f>IF(OR(AL$4="",$A720&gt;TODAY()),0,IF(OR(INDEX($B720:$D720,AL$5)="F",AND(AL$6&gt;0,$A720&lt;AL$6),AND(AL$7&gt;0,$A720&gt;AL$7)),0,MAX(0,ROUND((INDEX($E720:$G720,AL$5)-SUMIFS(TF_Timer,TF_Tekniker,AL$4,TF_Dato,$A720))*2,0)/2)))</f>
        <v/>
      </c>
      <c r="AM720">
        <f>IF(OR(AM$4="",$A720&gt;TODAY()),0,IF(OR(INDEX($B720:$D720,AM$5)="F",AND(AM$6&gt;0,$A720&lt;AM$6),AND(AM$7&gt;0,$A720&gt;AM$7)),0,MAX(0,ROUND((INDEX($E720:$G720,AM$5)-SUMIFS(TF_Timer,TF_Tekniker,AM$4,TF_Dato,$A720))*2,0)/2)))</f>
        <v/>
      </c>
      <c r="AN720">
        <f>IF(OR(AN$4="",$A720&gt;TODAY()),0,IF(OR(INDEX($B720:$D720,AN$5)="F",AND(AN$6&gt;0,$A720&lt;AN$6),AND(AN$7&gt;0,$A720&gt;AN$7)),0,MAX(0,ROUND((INDEX($E720:$G720,AN$5)-SUMIFS(TF_Timer,TF_Tekniker,AN$4,TF_Dato,$A720))*2,0)/2)))</f>
        <v/>
      </c>
      <c r="AO720">
        <f>IF(OR(AO$4="",$A720&gt;TODAY()),0,IF(OR(INDEX($B720:$D720,AO$5)="F",AND(AO$6&gt;0,$A720&lt;AO$6),AND(AO$7&gt;0,$A720&gt;AO$7)),0,MAX(0,ROUND((INDEX($E720:$G720,AO$5)-SUMIFS(TF_Timer,TF_Tekniker,AO$4,TF_Dato,$A720))*2,0)/2)))</f>
        <v/>
      </c>
      <c r="AP720">
        <f>IF(OR(AP$4="",$A720&gt;TODAY()),0,IF(OR(INDEX($B720:$D720,AP$5)="F",AND(AP$6&gt;0,$A720&lt;AP$6),AND(AP$7&gt;0,$A720&gt;AP$7)),0,MAX(0,ROUND((INDEX($E720:$G720,AP$5)-SUMIFS(TF_Timer,TF_Tekniker,AP$4,TF_Dato,$A720))*2,0)/2)))</f>
        <v/>
      </c>
      <c r="AQ720">
        <f>IF(OR(AQ$4="",$A720&gt;TODAY()),0,IF(OR(INDEX($B720:$D720,AQ$5)="F",AND(AQ$6&gt;0,$A720&lt;AQ$6),AND(AQ$7&gt;0,$A720&gt;AQ$7)),0,MAX(0,ROUND((INDEX($E720:$G720,AQ$5)-SUMIFS(TF_Timer,TF_Tekniker,AQ$4,TF_Dato,$A720))*2,0)/2)))</f>
        <v/>
      </c>
      <c r="AR720">
        <f>IF(OR(AR$4="",$A720&gt;TODAY()),0,IF(OR(INDEX($B720:$D720,AR$5)="F",AND(AR$6&gt;0,$A720&lt;AR$6),AND(AR$7&gt;0,$A720&gt;AR$7)),0,MAX(0,ROUND((INDEX($E720:$G720,AR$5)-SUMIFS(TF_Timer,TF_Tekniker,AR$4,TF_Dato,$A720))*2,0)/2)))</f>
        <v/>
      </c>
      <c r="AS720">
        <f>IF(OR(AS$4="",$A720&gt;TODAY()),0,IF(OR(INDEX($B720:$D720,AS$5)="F",AND(AS$6&gt;0,$A720&lt;AS$6),AND(AS$7&gt;0,$A720&gt;AS$7)),0,MAX(0,ROUND((INDEX($E720:$G720,AS$5)-SUMIFS(TF_Timer,TF_Tekniker,AS$4,TF_Dato,$A720))*2,0)/2)))</f>
        <v/>
      </c>
      <c r="AT720">
        <f>IF(OR(AT$4="",$A720&gt;TODAY()),0,IF(OR(INDEX($B720:$D720,AT$5)="F",AND(AT$6&gt;0,$A720&lt;AT$6),AND(AT$7&gt;0,$A720&gt;AT$7)),0,MAX(0,ROUND((INDEX($E720:$G720,AT$5)-SUMIFS(TF_Timer,TF_Tekniker,AT$4,TF_Dato,$A720))*2,0)/2)))</f>
        <v/>
      </c>
      <c r="AU720">
        <f>IF(OR(AU$4="",$A720&gt;TODAY()),0,IF(OR(INDEX($B720:$D720,AU$5)="F",AND(AU$6&gt;0,$A720&lt;AU$6),AND(AU$7&gt;0,$A720&gt;AU$7)),0,MAX(0,ROUND((INDEX($E720:$G720,AU$5)-SUMIFS(TF_Timer,TF_Tekniker,AU$4,TF_Dato,$A720))*2,0)/2)))</f>
        <v/>
      </c>
      <c r="AV720">
        <f>IF(OR(AV$4="",$A720&gt;TODAY()),0,IF(OR(INDEX($B720:$D720,AV$5)="F",AND(AV$6&gt;0,$A720&lt;AV$6),AND(AV$7&gt;0,$A720&gt;AV$7)),0,MAX(0,ROUND((INDEX($E720:$G720,AV$5)-SUMIFS(TF_Timer,TF_Tekniker,AV$4,TF_Dato,$A720))*2,0)/2)))</f>
        <v/>
      </c>
      <c r="AW720">
        <f>IF(OR(AW$4="",$A720&gt;TODAY()),0,IF(OR(INDEX($B720:$D720,AW$5)="F",AND(AW$6&gt;0,$A720&lt;AW$6),AND(AW$7&gt;0,$A720&gt;AW$7)),0,MAX(0,ROUND((INDEX($E720:$G720,AW$5)-SUMIFS(TF_Timer,TF_Tekniker,AW$4,TF_Dato,$A720))*2,0)/2)))</f>
        <v/>
      </c>
      <c r="AX720">
        <f>IF(OR(AX$4="",$A720&gt;TODAY()),0,IF(OR(INDEX($B720:$D720,AX$5)="F",AND(AX$6&gt;0,$A720&lt;AX$6),AND(AX$7&gt;0,$A720&gt;AX$7)),0,MAX(0,ROUND((INDEX($E720:$G720,AX$5)-SUMIFS(TF_Timer,TF_Tekniker,AX$4,TF_Dato,$A720))*2,0)/2)))</f>
        <v/>
      </c>
      <c r="AY720">
        <f>IF(OR(AY$4="",$A720&gt;TODAY()),0,IF(OR(INDEX($B720:$D720,AY$5)="F",AND(AY$6&gt;0,$A720&lt;AY$6),AND(AY$7&gt;0,$A720&gt;AY$7)),0,MAX(0,ROUND((INDEX($E720:$G720,AY$5)-SUMIFS(TF_Timer,TF_Tekniker,AY$4,TF_Dato,$A720))*2,0)/2)))</f>
        <v/>
      </c>
      <c r="AZ720">
        <f>IF(OR(AZ$4="",$A720&gt;TODAY()),0,IF(OR(INDEX($B720:$D720,AZ$5)="F",AND(AZ$6&gt;0,$A720&lt;AZ$6),AND(AZ$7&gt;0,$A720&gt;AZ$7)),0,MAX(0,ROUND((INDEX($E720:$G720,AZ$5)-SUMIFS(TF_Timer,TF_Tekniker,AZ$4,TF_Dato,$A720))*2,0)/2)))</f>
        <v/>
      </c>
      <c r="BA720">
        <f>IF(OR(BA$4="",$A720&gt;TODAY()),0,IF(OR(INDEX($B720:$D720,BA$5)="F",AND(BA$6&gt;0,$A720&lt;BA$6),AND(BA$7&gt;0,$A720&gt;BA$7)),0,MAX(0,ROUND((INDEX($E720:$G720,BA$5)-SUMIFS(TF_Timer,TF_Tekniker,BA$4,TF_Dato,$A720))*2,0)/2)))</f>
        <v/>
      </c>
      <c r="BB720">
        <f>IF(OR(BB$4="",$A720&gt;TODAY()),0,IF(OR(INDEX($B720:$D720,BB$5)="F",AND(BB$6&gt;0,$A720&lt;BB$6),AND(BB$7&gt;0,$A720&gt;BB$7)),0,MAX(0,ROUND((INDEX($E720:$G720,BB$5)-SUMIFS(TF_Timer,TF_Tekniker,BB$4,TF_Dato,$A720))*2,0)/2)))</f>
        <v/>
      </c>
      <c r="BC720">
        <f>IF(OR(BC$4="",$A720&gt;TODAY()),0,IF(OR(INDEX($B720:$D720,BC$5)="F",AND(BC$6&gt;0,$A720&lt;BC$6),AND(BC$7&gt;0,$A720&gt;BC$7)),0,MAX(0,ROUND((INDEX($E720:$G720,BC$5)-SUMIFS(TF_Timer,TF_Tekniker,BC$4,TF_Dato,$A720))*2,0)/2)))</f>
        <v/>
      </c>
      <c r="BD720">
        <f>IF(OR(BD$4="",$A720&gt;TODAY()),0,IF(OR(INDEX($B720:$D720,BD$5)="F",AND(BD$6&gt;0,$A720&lt;BD$6),AND(BD$7&gt;0,$A720&gt;BD$7)),0,MAX(0,ROUND((INDEX($E720:$G720,BD$5)-SUMIFS(TF_Timer,TF_Tekniker,BD$4,TF_Dato,$A720))*2,0)/2)))</f>
        <v/>
      </c>
      <c r="BE720">
        <f>IF(OR(BE$4="",$A720&gt;TODAY()),0,IF(OR(INDEX($B720:$D720,BE$5)="F",AND(BE$6&gt;0,$A720&lt;BE$6),AND(BE$7&gt;0,$A720&gt;BE$7)),0,MAX(0,ROUND((INDEX($E720:$G720,BE$5)-SUMIFS(TF_Timer,TF_Tekniker,BE$4,TF_Dato,$A720))*2,0)/2)))</f>
        <v/>
      </c>
      <c r="BF720">
        <f>IF(OR(BF$4="",$A720&gt;TODAY()),0,IF(OR(INDEX($B720:$D720,BF$5)="F",AND(BF$6&gt;0,$A720&lt;BF$6),AND(BF$7&gt;0,$A720&gt;BF$7)),0,MAX(0,ROUND((INDEX($E720:$G720,BF$5)-SUMIFS(TF_Timer,TF_Tekniker,BF$4,TF_Dato,$A720))*2,0)/2)))</f>
        <v/>
      </c>
      <c r="BG720">
        <f>IF(OR(BG$4="",$A720&gt;TODAY()),0,IF(OR(INDEX($B720:$D720,BG$5)="F",AND(BG$6&gt;0,$A720&lt;BG$6),AND(BG$7&gt;0,$A720&gt;BG$7)),0,MAX(0,ROUND((INDEX($E720:$G720,BG$5)-SUMIFS(TF_Timer,TF_Tekniker,BG$4,TF_Dato,$A720))*2,0)/2)))</f>
        <v/>
      </c>
      <c r="BH720">
        <f>IF(OR(BH$4="",$A720&gt;TODAY()),0,IF(OR(INDEX($B720:$D720,BH$5)="F",AND(BH$6&gt;0,$A720&lt;BH$6),AND(BH$7&gt;0,$A720&gt;BH$7)),0,MAX(0,ROUND((INDEX($E720:$G720,BH$5)-SUMIFS(TF_Timer,TF_Tekniker,BH$4,TF_Dato,$A720))*2,0)/2)))</f>
        <v/>
      </c>
      <c r="BI720">
        <f>IF(OR(BI$4="",$A720&gt;TODAY()),0,IF(OR(INDEX($B720:$D720,BI$5)="F",AND(BI$6&gt;0,$A720&lt;BI$6),AND(BI$7&gt;0,$A720&gt;BI$7)),0,MAX(0,ROUND((INDEX($E720:$G720,BI$5)-SUMIFS(TF_Timer,TF_Tekniker,BI$4,TF_Dato,$A720))*2,0)/2)))</f>
        <v/>
      </c>
    </row>
    <row r="721">
      <c r="A721" s="64">
        <f>A720+1</f>
        <v/>
      </c>
      <c r="B721">
        <f>IF(MOD($A721-INDEX(SkiftStart,1),Syklus)&lt;DagK,"K",IF(MOD($A721-INDEX(SkiftStart,1),Syklus)&lt;DagK+DagH,"H",IF(MOD($A721-INDEX(SkiftStart,1),Syklus)&lt;DagK+DagH+DagD,"D","F")))</f>
        <v/>
      </c>
      <c r="C721">
        <f>IF(MOD($A721-INDEX(SkiftStart,2),Syklus)&lt;DagK,"K",IF(MOD($A721-INDEX(SkiftStart,2),Syklus)&lt;DagK+DagH,"H",IF(MOD($A721-INDEX(SkiftStart,2),Syklus)&lt;DagK+DagH+DagD,"D","F")))</f>
        <v/>
      </c>
      <c r="D721">
        <f>IF(MOD($A721-INDEX(SkiftStart,3),Syklus)&lt;DagK,"K",IF(MOD($A721-INDEX(SkiftStart,3),Syklus)&lt;DagK+DagH,"H",IF(MOD($A721-INDEX(SkiftStart,3),Syklus)&lt;DagK+DagH+DagD,"D","F")))</f>
        <v/>
      </c>
      <c r="E721">
        <f>IF(B721="F",0,IF(WEEKDAY($A721,2)=5,INDEX(TimerFr,MATCH(B721,FaseKode,0)),INDEX(TimerMT,MATCH(B721,FaseKode,0))))</f>
        <v/>
      </c>
      <c r="F721">
        <f>IF(C721="F",0,IF(WEEKDAY($A721,2)=5,INDEX(TimerFr,MATCH(C721,FaseKode,0)),INDEX(TimerMT,MATCH(C721,FaseKode,0))))</f>
        <v/>
      </c>
      <c r="G721">
        <f>IF(D721="F",0,IF(WEEKDAY($A721,2)=5,INDEX(TimerFr,MATCH(D721,FaseKode,0)),INDEX(TimerMT,MATCH(D721,FaseKode,0))))</f>
        <v/>
      </c>
      <c r="H721">
        <f>IF(OR(H$4="",$A721&gt;TODAY()),0,IF(OR(INDEX($B721:$D721,H$5)="F",AND(H$6&gt;0,$A721&lt;H$6),AND(H$7&gt;0,$A721&gt;H$7)),0,MAX(0,ROUND((INDEX($E721:$G721,H$5)-SUMIFS(TF_Timer,TF_Tekniker,H$4,TF_Dato,$A721))*2,0)/2)))</f>
        <v/>
      </c>
      <c r="I721">
        <f>IF(OR(I$4="",$A721&gt;TODAY()),0,IF(OR(INDEX($B721:$D721,I$5)="F",AND(I$6&gt;0,$A721&lt;I$6),AND(I$7&gt;0,$A721&gt;I$7)),0,MAX(0,ROUND((INDEX($E721:$G721,I$5)-SUMIFS(TF_Timer,TF_Tekniker,I$4,TF_Dato,$A721))*2,0)/2)))</f>
        <v/>
      </c>
      <c r="J721">
        <f>IF(OR(J$4="",$A721&gt;TODAY()),0,IF(OR(INDEX($B721:$D721,J$5)="F",AND(J$6&gt;0,$A721&lt;J$6),AND(J$7&gt;0,$A721&gt;J$7)),0,MAX(0,ROUND((INDEX($E721:$G721,J$5)-SUMIFS(TF_Timer,TF_Tekniker,J$4,TF_Dato,$A721))*2,0)/2)))</f>
        <v/>
      </c>
      <c r="K721">
        <f>IF(OR(K$4="",$A721&gt;TODAY()),0,IF(OR(INDEX($B721:$D721,K$5)="F",AND(K$6&gt;0,$A721&lt;K$6),AND(K$7&gt;0,$A721&gt;K$7)),0,MAX(0,ROUND((INDEX($E721:$G721,K$5)-SUMIFS(TF_Timer,TF_Tekniker,K$4,TF_Dato,$A721))*2,0)/2)))</f>
        <v/>
      </c>
      <c r="L721">
        <f>IF(OR(L$4="",$A721&gt;TODAY()),0,IF(OR(INDEX($B721:$D721,L$5)="F",AND(L$6&gt;0,$A721&lt;L$6),AND(L$7&gt;0,$A721&gt;L$7)),0,MAX(0,ROUND((INDEX($E721:$G721,L$5)-SUMIFS(TF_Timer,TF_Tekniker,L$4,TF_Dato,$A721))*2,0)/2)))</f>
        <v/>
      </c>
      <c r="M721">
        <f>IF(OR(M$4="",$A721&gt;TODAY()),0,IF(OR(INDEX($B721:$D721,M$5)="F",AND(M$6&gt;0,$A721&lt;M$6),AND(M$7&gt;0,$A721&gt;M$7)),0,MAX(0,ROUND((INDEX($E721:$G721,M$5)-SUMIFS(TF_Timer,TF_Tekniker,M$4,TF_Dato,$A721))*2,0)/2)))</f>
        <v/>
      </c>
      <c r="N721">
        <f>IF(OR(N$4="",$A721&gt;TODAY()),0,IF(OR(INDEX($B721:$D721,N$5)="F",AND(N$6&gt;0,$A721&lt;N$6),AND(N$7&gt;0,$A721&gt;N$7)),0,MAX(0,ROUND((INDEX($E721:$G721,N$5)-SUMIFS(TF_Timer,TF_Tekniker,N$4,TF_Dato,$A721))*2,0)/2)))</f>
        <v/>
      </c>
      <c r="O721">
        <f>IF(OR(O$4="",$A721&gt;TODAY()),0,IF(OR(INDEX($B721:$D721,O$5)="F",AND(O$6&gt;0,$A721&lt;O$6),AND(O$7&gt;0,$A721&gt;O$7)),0,MAX(0,ROUND((INDEX($E721:$G721,O$5)-SUMIFS(TF_Timer,TF_Tekniker,O$4,TF_Dato,$A721))*2,0)/2)))</f>
        <v/>
      </c>
      <c r="P721">
        <f>IF(OR(P$4="",$A721&gt;TODAY()),0,IF(OR(INDEX($B721:$D721,P$5)="F",AND(P$6&gt;0,$A721&lt;P$6),AND(P$7&gt;0,$A721&gt;P$7)),0,MAX(0,ROUND((INDEX($E721:$G721,P$5)-SUMIFS(TF_Timer,TF_Tekniker,P$4,TF_Dato,$A721))*2,0)/2)))</f>
        <v/>
      </c>
      <c r="Q721">
        <f>IF(OR(Q$4="",$A721&gt;TODAY()),0,IF(OR(INDEX($B721:$D721,Q$5)="F",AND(Q$6&gt;0,$A721&lt;Q$6),AND(Q$7&gt;0,$A721&gt;Q$7)),0,MAX(0,ROUND((INDEX($E721:$G721,Q$5)-SUMIFS(TF_Timer,TF_Tekniker,Q$4,TF_Dato,$A721))*2,0)/2)))</f>
        <v/>
      </c>
      <c r="R721">
        <f>IF(OR(R$4="",$A721&gt;TODAY()),0,IF(OR(INDEX($B721:$D721,R$5)="F",AND(R$6&gt;0,$A721&lt;R$6),AND(R$7&gt;0,$A721&gt;R$7)),0,MAX(0,ROUND((INDEX($E721:$G721,R$5)-SUMIFS(TF_Timer,TF_Tekniker,R$4,TF_Dato,$A721))*2,0)/2)))</f>
        <v/>
      </c>
      <c r="S721">
        <f>IF(OR(S$4="",$A721&gt;TODAY()),0,IF(OR(INDEX($B721:$D721,S$5)="F",AND(S$6&gt;0,$A721&lt;S$6),AND(S$7&gt;0,$A721&gt;S$7)),0,MAX(0,ROUND((INDEX($E721:$G721,S$5)-SUMIFS(TF_Timer,TF_Tekniker,S$4,TF_Dato,$A721))*2,0)/2)))</f>
        <v/>
      </c>
      <c r="T721">
        <f>IF(OR(T$4="",$A721&gt;TODAY()),0,IF(OR(INDEX($B721:$D721,T$5)="F",AND(T$6&gt;0,$A721&lt;T$6),AND(T$7&gt;0,$A721&gt;T$7)),0,MAX(0,ROUND((INDEX($E721:$G721,T$5)-SUMIFS(TF_Timer,TF_Tekniker,T$4,TF_Dato,$A721))*2,0)/2)))</f>
        <v/>
      </c>
      <c r="U721">
        <f>IF(OR(U$4="",$A721&gt;TODAY()),0,IF(OR(INDEX($B721:$D721,U$5)="F",AND(U$6&gt;0,$A721&lt;U$6),AND(U$7&gt;0,$A721&gt;U$7)),0,MAX(0,ROUND((INDEX($E721:$G721,U$5)-SUMIFS(TF_Timer,TF_Tekniker,U$4,TF_Dato,$A721))*2,0)/2)))</f>
        <v/>
      </c>
      <c r="V721">
        <f>IF(OR(V$4="",$A721&gt;TODAY()),0,IF(OR(INDEX($B721:$D721,V$5)="F",AND(V$6&gt;0,$A721&lt;V$6),AND(V$7&gt;0,$A721&gt;V$7)),0,MAX(0,ROUND((INDEX($E721:$G721,V$5)-SUMIFS(TF_Timer,TF_Tekniker,V$4,TF_Dato,$A721))*2,0)/2)))</f>
        <v/>
      </c>
      <c r="W721">
        <f>IF(OR(W$4="",$A721&gt;TODAY()),0,IF(OR(INDEX($B721:$D721,W$5)="F",AND(W$6&gt;0,$A721&lt;W$6),AND(W$7&gt;0,$A721&gt;W$7)),0,MAX(0,ROUND((INDEX($E721:$G721,W$5)-SUMIFS(TF_Timer,TF_Tekniker,W$4,TF_Dato,$A721))*2,0)/2)))</f>
        <v/>
      </c>
      <c r="X721">
        <f>IF(OR(X$4="",$A721&gt;TODAY()),0,IF(OR(INDEX($B721:$D721,X$5)="F",AND(X$6&gt;0,$A721&lt;X$6),AND(X$7&gt;0,$A721&gt;X$7)),0,MAX(0,ROUND((INDEX($E721:$G721,X$5)-SUMIFS(TF_Timer,TF_Tekniker,X$4,TF_Dato,$A721))*2,0)/2)))</f>
        <v/>
      </c>
      <c r="Y721">
        <f>IF(OR(Y$4="",$A721&gt;TODAY()),0,IF(OR(INDEX($B721:$D721,Y$5)="F",AND(Y$6&gt;0,$A721&lt;Y$6),AND(Y$7&gt;0,$A721&gt;Y$7)),0,MAX(0,ROUND((INDEX($E721:$G721,Y$5)-SUMIFS(TF_Timer,TF_Tekniker,Y$4,TF_Dato,$A721))*2,0)/2)))</f>
        <v/>
      </c>
      <c r="Z721">
        <f>IF(OR(Z$4="",$A721&gt;TODAY()),0,IF(OR(INDEX($B721:$D721,Z$5)="F",AND(Z$6&gt;0,$A721&lt;Z$6),AND(Z$7&gt;0,$A721&gt;Z$7)),0,MAX(0,ROUND((INDEX($E721:$G721,Z$5)-SUMIFS(TF_Timer,TF_Tekniker,Z$4,TF_Dato,$A721))*2,0)/2)))</f>
        <v/>
      </c>
      <c r="AA721">
        <f>IF(OR(AA$4="",$A721&gt;TODAY()),0,IF(OR(INDEX($B721:$D721,AA$5)="F",AND(AA$6&gt;0,$A721&lt;AA$6),AND(AA$7&gt;0,$A721&gt;AA$7)),0,MAX(0,ROUND((INDEX($E721:$G721,AA$5)-SUMIFS(TF_Timer,TF_Tekniker,AA$4,TF_Dato,$A721))*2,0)/2)))</f>
        <v/>
      </c>
      <c r="AB721">
        <f>IF(OR(AB$4="",$A721&gt;TODAY()),0,IF(OR(INDEX($B721:$D721,AB$5)="F",AND(AB$6&gt;0,$A721&lt;AB$6),AND(AB$7&gt;0,$A721&gt;AB$7)),0,MAX(0,ROUND((INDEX($E721:$G721,AB$5)-SUMIFS(TF_Timer,TF_Tekniker,AB$4,TF_Dato,$A721))*2,0)/2)))</f>
        <v/>
      </c>
      <c r="AC721">
        <f>IF(OR(AC$4="",$A721&gt;TODAY()),0,IF(OR(INDEX($B721:$D721,AC$5)="F",AND(AC$6&gt;0,$A721&lt;AC$6),AND(AC$7&gt;0,$A721&gt;AC$7)),0,MAX(0,ROUND((INDEX($E721:$G721,AC$5)-SUMIFS(TF_Timer,TF_Tekniker,AC$4,TF_Dato,$A721))*2,0)/2)))</f>
        <v/>
      </c>
      <c r="AD721">
        <f>IF(OR(AD$4="",$A721&gt;TODAY()),0,IF(OR(INDEX($B721:$D721,AD$5)="F",AND(AD$6&gt;0,$A721&lt;AD$6),AND(AD$7&gt;0,$A721&gt;AD$7)),0,MAX(0,ROUND((INDEX($E721:$G721,AD$5)-SUMIFS(TF_Timer,TF_Tekniker,AD$4,TF_Dato,$A721))*2,0)/2)))</f>
        <v/>
      </c>
      <c r="AE721">
        <f>IF(OR(AE$4="",$A721&gt;TODAY()),0,IF(OR(INDEX($B721:$D721,AE$5)="F",AND(AE$6&gt;0,$A721&lt;AE$6),AND(AE$7&gt;0,$A721&gt;AE$7)),0,MAX(0,ROUND((INDEX($E721:$G721,AE$5)-SUMIFS(TF_Timer,TF_Tekniker,AE$4,TF_Dato,$A721))*2,0)/2)))</f>
        <v/>
      </c>
      <c r="AF721">
        <f>IF(OR(AF$4="",$A721&gt;TODAY()),0,IF(OR(INDEX($B721:$D721,AF$5)="F",AND(AF$6&gt;0,$A721&lt;AF$6),AND(AF$7&gt;0,$A721&gt;AF$7)),0,MAX(0,ROUND((INDEX($E721:$G721,AF$5)-SUMIFS(TF_Timer,TF_Tekniker,AF$4,TF_Dato,$A721))*2,0)/2)))</f>
        <v/>
      </c>
      <c r="AG721">
        <f>IF(OR(AG$4="",$A721&gt;TODAY()),0,IF(OR(INDEX($B721:$D721,AG$5)="F",AND(AG$6&gt;0,$A721&lt;AG$6),AND(AG$7&gt;0,$A721&gt;AG$7)),0,MAX(0,ROUND((INDEX($E721:$G721,AG$5)-SUMIFS(TF_Timer,TF_Tekniker,AG$4,TF_Dato,$A721))*2,0)/2)))</f>
        <v/>
      </c>
      <c r="AH721">
        <f>IF(OR(AH$4="",$A721&gt;TODAY()),0,IF(OR(INDEX($B721:$D721,AH$5)="F",AND(AH$6&gt;0,$A721&lt;AH$6),AND(AH$7&gt;0,$A721&gt;AH$7)),0,MAX(0,ROUND((INDEX($E721:$G721,AH$5)-SUMIFS(TF_Timer,TF_Tekniker,AH$4,TF_Dato,$A721))*2,0)/2)))</f>
        <v/>
      </c>
      <c r="AI721">
        <f>IF(OR(AI$4="",$A721&gt;TODAY()),0,IF(OR(INDEX($B721:$D721,AI$5)="F",AND(AI$6&gt;0,$A721&lt;AI$6),AND(AI$7&gt;0,$A721&gt;AI$7)),0,MAX(0,ROUND((INDEX($E721:$G721,AI$5)-SUMIFS(TF_Timer,TF_Tekniker,AI$4,TF_Dato,$A721))*2,0)/2)))</f>
        <v/>
      </c>
      <c r="AJ721">
        <f>IF(OR(AJ$4="",$A721&gt;TODAY()),0,IF(OR(INDEX($B721:$D721,AJ$5)="F",AND(AJ$6&gt;0,$A721&lt;AJ$6),AND(AJ$7&gt;0,$A721&gt;AJ$7)),0,MAX(0,ROUND((INDEX($E721:$G721,AJ$5)-SUMIFS(TF_Timer,TF_Tekniker,AJ$4,TF_Dato,$A721))*2,0)/2)))</f>
        <v/>
      </c>
      <c r="AK721">
        <f>IF(OR(AK$4="",$A721&gt;TODAY()),0,IF(OR(INDEX($B721:$D721,AK$5)="F",AND(AK$6&gt;0,$A721&lt;AK$6),AND(AK$7&gt;0,$A721&gt;AK$7)),0,MAX(0,ROUND((INDEX($E721:$G721,AK$5)-SUMIFS(TF_Timer,TF_Tekniker,AK$4,TF_Dato,$A721))*2,0)/2)))</f>
        <v/>
      </c>
      <c r="AL721">
        <f>IF(OR(AL$4="",$A721&gt;TODAY()),0,IF(OR(INDEX($B721:$D721,AL$5)="F",AND(AL$6&gt;0,$A721&lt;AL$6),AND(AL$7&gt;0,$A721&gt;AL$7)),0,MAX(0,ROUND((INDEX($E721:$G721,AL$5)-SUMIFS(TF_Timer,TF_Tekniker,AL$4,TF_Dato,$A721))*2,0)/2)))</f>
        <v/>
      </c>
      <c r="AM721">
        <f>IF(OR(AM$4="",$A721&gt;TODAY()),0,IF(OR(INDEX($B721:$D721,AM$5)="F",AND(AM$6&gt;0,$A721&lt;AM$6),AND(AM$7&gt;0,$A721&gt;AM$7)),0,MAX(0,ROUND((INDEX($E721:$G721,AM$5)-SUMIFS(TF_Timer,TF_Tekniker,AM$4,TF_Dato,$A721))*2,0)/2)))</f>
        <v/>
      </c>
      <c r="AN721">
        <f>IF(OR(AN$4="",$A721&gt;TODAY()),0,IF(OR(INDEX($B721:$D721,AN$5)="F",AND(AN$6&gt;0,$A721&lt;AN$6),AND(AN$7&gt;0,$A721&gt;AN$7)),0,MAX(0,ROUND((INDEX($E721:$G721,AN$5)-SUMIFS(TF_Timer,TF_Tekniker,AN$4,TF_Dato,$A721))*2,0)/2)))</f>
        <v/>
      </c>
      <c r="AO721">
        <f>IF(OR(AO$4="",$A721&gt;TODAY()),0,IF(OR(INDEX($B721:$D721,AO$5)="F",AND(AO$6&gt;0,$A721&lt;AO$6),AND(AO$7&gt;0,$A721&gt;AO$7)),0,MAX(0,ROUND((INDEX($E721:$G721,AO$5)-SUMIFS(TF_Timer,TF_Tekniker,AO$4,TF_Dato,$A721))*2,0)/2)))</f>
        <v/>
      </c>
      <c r="AP721">
        <f>IF(OR(AP$4="",$A721&gt;TODAY()),0,IF(OR(INDEX($B721:$D721,AP$5)="F",AND(AP$6&gt;0,$A721&lt;AP$6),AND(AP$7&gt;0,$A721&gt;AP$7)),0,MAX(0,ROUND((INDEX($E721:$G721,AP$5)-SUMIFS(TF_Timer,TF_Tekniker,AP$4,TF_Dato,$A721))*2,0)/2)))</f>
        <v/>
      </c>
      <c r="AQ721">
        <f>IF(OR(AQ$4="",$A721&gt;TODAY()),0,IF(OR(INDEX($B721:$D721,AQ$5)="F",AND(AQ$6&gt;0,$A721&lt;AQ$6),AND(AQ$7&gt;0,$A721&gt;AQ$7)),0,MAX(0,ROUND((INDEX($E721:$G721,AQ$5)-SUMIFS(TF_Timer,TF_Tekniker,AQ$4,TF_Dato,$A721))*2,0)/2)))</f>
        <v/>
      </c>
      <c r="AR721">
        <f>IF(OR(AR$4="",$A721&gt;TODAY()),0,IF(OR(INDEX($B721:$D721,AR$5)="F",AND(AR$6&gt;0,$A721&lt;AR$6),AND(AR$7&gt;0,$A721&gt;AR$7)),0,MAX(0,ROUND((INDEX($E721:$G721,AR$5)-SUMIFS(TF_Timer,TF_Tekniker,AR$4,TF_Dato,$A721))*2,0)/2)))</f>
        <v/>
      </c>
      <c r="AS721">
        <f>IF(OR(AS$4="",$A721&gt;TODAY()),0,IF(OR(INDEX($B721:$D721,AS$5)="F",AND(AS$6&gt;0,$A721&lt;AS$6),AND(AS$7&gt;0,$A721&gt;AS$7)),0,MAX(0,ROUND((INDEX($E721:$G721,AS$5)-SUMIFS(TF_Timer,TF_Tekniker,AS$4,TF_Dato,$A721))*2,0)/2)))</f>
        <v/>
      </c>
      <c r="AT721">
        <f>IF(OR(AT$4="",$A721&gt;TODAY()),0,IF(OR(INDEX($B721:$D721,AT$5)="F",AND(AT$6&gt;0,$A721&lt;AT$6),AND(AT$7&gt;0,$A721&gt;AT$7)),0,MAX(0,ROUND((INDEX($E721:$G721,AT$5)-SUMIFS(TF_Timer,TF_Tekniker,AT$4,TF_Dato,$A721))*2,0)/2)))</f>
        <v/>
      </c>
      <c r="AU721">
        <f>IF(OR(AU$4="",$A721&gt;TODAY()),0,IF(OR(INDEX($B721:$D721,AU$5)="F",AND(AU$6&gt;0,$A721&lt;AU$6),AND(AU$7&gt;0,$A721&gt;AU$7)),0,MAX(0,ROUND((INDEX($E721:$G721,AU$5)-SUMIFS(TF_Timer,TF_Tekniker,AU$4,TF_Dato,$A721))*2,0)/2)))</f>
        <v/>
      </c>
      <c r="AV721">
        <f>IF(OR(AV$4="",$A721&gt;TODAY()),0,IF(OR(INDEX($B721:$D721,AV$5)="F",AND(AV$6&gt;0,$A721&lt;AV$6),AND(AV$7&gt;0,$A721&gt;AV$7)),0,MAX(0,ROUND((INDEX($E721:$G721,AV$5)-SUMIFS(TF_Timer,TF_Tekniker,AV$4,TF_Dato,$A721))*2,0)/2)))</f>
        <v/>
      </c>
      <c r="AW721">
        <f>IF(OR(AW$4="",$A721&gt;TODAY()),0,IF(OR(INDEX($B721:$D721,AW$5)="F",AND(AW$6&gt;0,$A721&lt;AW$6),AND(AW$7&gt;0,$A721&gt;AW$7)),0,MAX(0,ROUND((INDEX($E721:$G721,AW$5)-SUMIFS(TF_Timer,TF_Tekniker,AW$4,TF_Dato,$A721))*2,0)/2)))</f>
        <v/>
      </c>
      <c r="AX721">
        <f>IF(OR(AX$4="",$A721&gt;TODAY()),0,IF(OR(INDEX($B721:$D721,AX$5)="F",AND(AX$6&gt;0,$A721&lt;AX$6),AND(AX$7&gt;0,$A721&gt;AX$7)),0,MAX(0,ROUND((INDEX($E721:$G721,AX$5)-SUMIFS(TF_Timer,TF_Tekniker,AX$4,TF_Dato,$A721))*2,0)/2)))</f>
        <v/>
      </c>
      <c r="AY721">
        <f>IF(OR(AY$4="",$A721&gt;TODAY()),0,IF(OR(INDEX($B721:$D721,AY$5)="F",AND(AY$6&gt;0,$A721&lt;AY$6),AND(AY$7&gt;0,$A721&gt;AY$7)),0,MAX(0,ROUND((INDEX($E721:$G721,AY$5)-SUMIFS(TF_Timer,TF_Tekniker,AY$4,TF_Dato,$A721))*2,0)/2)))</f>
        <v/>
      </c>
      <c r="AZ721">
        <f>IF(OR(AZ$4="",$A721&gt;TODAY()),0,IF(OR(INDEX($B721:$D721,AZ$5)="F",AND(AZ$6&gt;0,$A721&lt;AZ$6),AND(AZ$7&gt;0,$A721&gt;AZ$7)),0,MAX(0,ROUND((INDEX($E721:$G721,AZ$5)-SUMIFS(TF_Timer,TF_Tekniker,AZ$4,TF_Dato,$A721))*2,0)/2)))</f>
        <v/>
      </c>
      <c r="BA721">
        <f>IF(OR(BA$4="",$A721&gt;TODAY()),0,IF(OR(INDEX($B721:$D721,BA$5)="F",AND(BA$6&gt;0,$A721&lt;BA$6),AND(BA$7&gt;0,$A721&gt;BA$7)),0,MAX(0,ROUND((INDEX($E721:$G721,BA$5)-SUMIFS(TF_Timer,TF_Tekniker,BA$4,TF_Dato,$A721))*2,0)/2)))</f>
        <v/>
      </c>
      <c r="BB721">
        <f>IF(OR(BB$4="",$A721&gt;TODAY()),0,IF(OR(INDEX($B721:$D721,BB$5)="F",AND(BB$6&gt;0,$A721&lt;BB$6),AND(BB$7&gt;0,$A721&gt;BB$7)),0,MAX(0,ROUND((INDEX($E721:$G721,BB$5)-SUMIFS(TF_Timer,TF_Tekniker,BB$4,TF_Dato,$A721))*2,0)/2)))</f>
        <v/>
      </c>
      <c r="BC721">
        <f>IF(OR(BC$4="",$A721&gt;TODAY()),0,IF(OR(INDEX($B721:$D721,BC$5)="F",AND(BC$6&gt;0,$A721&lt;BC$6),AND(BC$7&gt;0,$A721&gt;BC$7)),0,MAX(0,ROUND((INDEX($E721:$G721,BC$5)-SUMIFS(TF_Timer,TF_Tekniker,BC$4,TF_Dato,$A721))*2,0)/2)))</f>
        <v/>
      </c>
      <c r="BD721">
        <f>IF(OR(BD$4="",$A721&gt;TODAY()),0,IF(OR(INDEX($B721:$D721,BD$5)="F",AND(BD$6&gt;0,$A721&lt;BD$6),AND(BD$7&gt;0,$A721&gt;BD$7)),0,MAX(0,ROUND((INDEX($E721:$G721,BD$5)-SUMIFS(TF_Timer,TF_Tekniker,BD$4,TF_Dato,$A721))*2,0)/2)))</f>
        <v/>
      </c>
      <c r="BE721">
        <f>IF(OR(BE$4="",$A721&gt;TODAY()),0,IF(OR(INDEX($B721:$D721,BE$5)="F",AND(BE$6&gt;0,$A721&lt;BE$6),AND(BE$7&gt;0,$A721&gt;BE$7)),0,MAX(0,ROUND((INDEX($E721:$G721,BE$5)-SUMIFS(TF_Timer,TF_Tekniker,BE$4,TF_Dato,$A721))*2,0)/2)))</f>
        <v/>
      </c>
      <c r="BF721">
        <f>IF(OR(BF$4="",$A721&gt;TODAY()),0,IF(OR(INDEX($B721:$D721,BF$5)="F",AND(BF$6&gt;0,$A721&lt;BF$6),AND(BF$7&gt;0,$A721&gt;BF$7)),0,MAX(0,ROUND((INDEX($E721:$G721,BF$5)-SUMIFS(TF_Timer,TF_Tekniker,BF$4,TF_Dato,$A721))*2,0)/2)))</f>
        <v/>
      </c>
      <c r="BG721">
        <f>IF(OR(BG$4="",$A721&gt;TODAY()),0,IF(OR(INDEX($B721:$D721,BG$5)="F",AND(BG$6&gt;0,$A721&lt;BG$6),AND(BG$7&gt;0,$A721&gt;BG$7)),0,MAX(0,ROUND((INDEX($E721:$G721,BG$5)-SUMIFS(TF_Timer,TF_Tekniker,BG$4,TF_Dato,$A721))*2,0)/2)))</f>
        <v/>
      </c>
      <c r="BH721">
        <f>IF(OR(BH$4="",$A721&gt;TODAY()),0,IF(OR(INDEX($B721:$D721,BH$5)="F",AND(BH$6&gt;0,$A721&lt;BH$6),AND(BH$7&gt;0,$A721&gt;BH$7)),0,MAX(0,ROUND((INDEX($E721:$G721,BH$5)-SUMIFS(TF_Timer,TF_Tekniker,BH$4,TF_Dato,$A721))*2,0)/2)))</f>
        <v/>
      </c>
      <c r="BI721">
        <f>IF(OR(BI$4="",$A721&gt;TODAY()),0,IF(OR(INDEX($B721:$D721,BI$5)="F",AND(BI$6&gt;0,$A721&lt;BI$6),AND(BI$7&gt;0,$A721&gt;BI$7)),0,MAX(0,ROUND((INDEX($E721:$G721,BI$5)-SUMIFS(TF_Timer,TF_Tekniker,BI$4,TF_Dato,$A721))*2,0)/2)))</f>
        <v/>
      </c>
    </row>
    <row r="722">
      <c r="A722" s="64">
        <f>A721+1</f>
        <v/>
      </c>
      <c r="B722">
        <f>IF(MOD($A722-INDEX(SkiftStart,1),Syklus)&lt;DagK,"K",IF(MOD($A722-INDEX(SkiftStart,1),Syklus)&lt;DagK+DagH,"H",IF(MOD($A722-INDEX(SkiftStart,1),Syklus)&lt;DagK+DagH+DagD,"D","F")))</f>
        <v/>
      </c>
      <c r="C722">
        <f>IF(MOD($A722-INDEX(SkiftStart,2),Syklus)&lt;DagK,"K",IF(MOD($A722-INDEX(SkiftStart,2),Syklus)&lt;DagK+DagH,"H",IF(MOD($A722-INDEX(SkiftStart,2),Syklus)&lt;DagK+DagH+DagD,"D","F")))</f>
        <v/>
      </c>
      <c r="D722">
        <f>IF(MOD($A722-INDEX(SkiftStart,3),Syklus)&lt;DagK,"K",IF(MOD($A722-INDEX(SkiftStart,3),Syklus)&lt;DagK+DagH,"H",IF(MOD($A722-INDEX(SkiftStart,3),Syklus)&lt;DagK+DagH+DagD,"D","F")))</f>
        <v/>
      </c>
      <c r="E722">
        <f>IF(B722="F",0,IF(WEEKDAY($A722,2)=5,INDEX(TimerFr,MATCH(B722,FaseKode,0)),INDEX(TimerMT,MATCH(B722,FaseKode,0))))</f>
        <v/>
      </c>
      <c r="F722">
        <f>IF(C722="F",0,IF(WEEKDAY($A722,2)=5,INDEX(TimerFr,MATCH(C722,FaseKode,0)),INDEX(TimerMT,MATCH(C722,FaseKode,0))))</f>
        <v/>
      </c>
      <c r="G722">
        <f>IF(D722="F",0,IF(WEEKDAY($A722,2)=5,INDEX(TimerFr,MATCH(D722,FaseKode,0)),INDEX(TimerMT,MATCH(D722,FaseKode,0))))</f>
        <v/>
      </c>
      <c r="H722">
        <f>IF(OR(H$4="",$A722&gt;TODAY()),0,IF(OR(INDEX($B722:$D722,H$5)="F",AND(H$6&gt;0,$A722&lt;H$6),AND(H$7&gt;0,$A722&gt;H$7)),0,MAX(0,ROUND((INDEX($E722:$G722,H$5)-SUMIFS(TF_Timer,TF_Tekniker,H$4,TF_Dato,$A722))*2,0)/2)))</f>
        <v/>
      </c>
      <c r="I722">
        <f>IF(OR(I$4="",$A722&gt;TODAY()),0,IF(OR(INDEX($B722:$D722,I$5)="F",AND(I$6&gt;0,$A722&lt;I$6),AND(I$7&gt;0,$A722&gt;I$7)),0,MAX(0,ROUND((INDEX($E722:$G722,I$5)-SUMIFS(TF_Timer,TF_Tekniker,I$4,TF_Dato,$A722))*2,0)/2)))</f>
        <v/>
      </c>
      <c r="J722">
        <f>IF(OR(J$4="",$A722&gt;TODAY()),0,IF(OR(INDEX($B722:$D722,J$5)="F",AND(J$6&gt;0,$A722&lt;J$6),AND(J$7&gt;0,$A722&gt;J$7)),0,MAX(0,ROUND((INDEX($E722:$G722,J$5)-SUMIFS(TF_Timer,TF_Tekniker,J$4,TF_Dato,$A722))*2,0)/2)))</f>
        <v/>
      </c>
      <c r="K722">
        <f>IF(OR(K$4="",$A722&gt;TODAY()),0,IF(OR(INDEX($B722:$D722,K$5)="F",AND(K$6&gt;0,$A722&lt;K$6),AND(K$7&gt;0,$A722&gt;K$7)),0,MAX(0,ROUND((INDEX($E722:$G722,K$5)-SUMIFS(TF_Timer,TF_Tekniker,K$4,TF_Dato,$A722))*2,0)/2)))</f>
        <v/>
      </c>
      <c r="L722">
        <f>IF(OR(L$4="",$A722&gt;TODAY()),0,IF(OR(INDEX($B722:$D722,L$5)="F",AND(L$6&gt;0,$A722&lt;L$6),AND(L$7&gt;0,$A722&gt;L$7)),0,MAX(0,ROUND((INDEX($E722:$G722,L$5)-SUMIFS(TF_Timer,TF_Tekniker,L$4,TF_Dato,$A722))*2,0)/2)))</f>
        <v/>
      </c>
      <c r="M722">
        <f>IF(OR(M$4="",$A722&gt;TODAY()),0,IF(OR(INDEX($B722:$D722,M$5)="F",AND(M$6&gt;0,$A722&lt;M$6),AND(M$7&gt;0,$A722&gt;M$7)),0,MAX(0,ROUND((INDEX($E722:$G722,M$5)-SUMIFS(TF_Timer,TF_Tekniker,M$4,TF_Dato,$A722))*2,0)/2)))</f>
        <v/>
      </c>
      <c r="N722">
        <f>IF(OR(N$4="",$A722&gt;TODAY()),0,IF(OR(INDEX($B722:$D722,N$5)="F",AND(N$6&gt;0,$A722&lt;N$6),AND(N$7&gt;0,$A722&gt;N$7)),0,MAX(0,ROUND((INDEX($E722:$G722,N$5)-SUMIFS(TF_Timer,TF_Tekniker,N$4,TF_Dato,$A722))*2,0)/2)))</f>
        <v/>
      </c>
      <c r="O722">
        <f>IF(OR(O$4="",$A722&gt;TODAY()),0,IF(OR(INDEX($B722:$D722,O$5)="F",AND(O$6&gt;0,$A722&lt;O$6),AND(O$7&gt;0,$A722&gt;O$7)),0,MAX(0,ROUND((INDEX($E722:$G722,O$5)-SUMIFS(TF_Timer,TF_Tekniker,O$4,TF_Dato,$A722))*2,0)/2)))</f>
        <v/>
      </c>
      <c r="P722">
        <f>IF(OR(P$4="",$A722&gt;TODAY()),0,IF(OR(INDEX($B722:$D722,P$5)="F",AND(P$6&gt;0,$A722&lt;P$6),AND(P$7&gt;0,$A722&gt;P$7)),0,MAX(0,ROUND((INDEX($E722:$G722,P$5)-SUMIFS(TF_Timer,TF_Tekniker,P$4,TF_Dato,$A722))*2,0)/2)))</f>
        <v/>
      </c>
      <c r="Q722">
        <f>IF(OR(Q$4="",$A722&gt;TODAY()),0,IF(OR(INDEX($B722:$D722,Q$5)="F",AND(Q$6&gt;0,$A722&lt;Q$6),AND(Q$7&gt;0,$A722&gt;Q$7)),0,MAX(0,ROUND((INDEX($E722:$G722,Q$5)-SUMIFS(TF_Timer,TF_Tekniker,Q$4,TF_Dato,$A722))*2,0)/2)))</f>
        <v/>
      </c>
      <c r="R722">
        <f>IF(OR(R$4="",$A722&gt;TODAY()),0,IF(OR(INDEX($B722:$D722,R$5)="F",AND(R$6&gt;0,$A722&lt;R$6),AND(R$7&gt;0,$A722&gt;R$7)),0,MAX(0,ROUND((INDEX($E722:$G722,R$5)-SUMIFS(TF_Timer,TF_Tekniker,R$4,TF_Dato,$A722))*2,0)/2)))</f>
        <v/>
      </c>
      <c r="S722">
        <f>IF(OR(S$4="",$A722&gt;TODAY()),0,IF(OR(INDEX($B722:$D722,S$5)="F",AND(S$6&gt;0,$A722&lt;S$6),AND(S$7&gt;0,$A722&gt;S$7)),0,MAX(0,ROUND((INDEX($E722:$G722,S$5)-SUMIFS(TF_Timer,TF_Tekniker,S$4,TF_Dato,$A722))*2,0)/2)))</f>
        <v/>
      </c>
      <c r="T722">
        <f>IF(OR(T$4="",$A722&gt;TODAY()),0,IF(OR(INDEX($B722:$D722,T$5)="F",AND(T$6&gt;0,$A722&lt;T$6),AND(T$7&gt;0,$A722&gt;T$7)),0,MAX(0,ROUND((INDEX($E722:$G722,T$5)-SUMIFS(TF_Timer,TF_Tekniker,T$4,TF_Dato,$A722))*2,0)/2)))</f>
        <v/>
      </c>
      <c r="U722">
        <f>IF(OR(U$4="",$A722&gt;TODAY()),0,IF(OR(INDEX($B722:$D722,U$5)="F",AND(U$6&gt;0,$A722&lt;U$6),AND(U$7&gt;0,$A722&gt;U$7)),0,MAX(0,ROUND((INDEX($E722:$G722,U$5)-SUMIFS(TF_Timer,TF_Tekniker,U$4,TF_Dato,$A722))*2,0)/2)))</f>
        <v/>
      </c>
      <c r="V722">
        <f>IF(OR(V$4="",$A722&gt;TODAY()),0,IF(OR(INDEX($B722:$D722,V$5)="F",AND(V$6&gt;0,$A722&lt;V$6),AND(V$7&gt;0,$A722&gt;V$7)),0,MAX(0,ROUND((INDEX($E722:$G722,V$5)-SUMIFS(TF_Timer,TF_Tekniker,V$4,TF_Dato,$A722))*2,0)/2)))</f>
        <v/>
      </c>
      <c r="W722">
        <f>IF(OR(W$4="",$A722&gt;TODAY()),0,IF(OR(INDEX($B722:$D722,W$5)="F",AND(W$6&gt;0,$A722&lt;W$6),AND(W$7&gt;0,$A722&gt;W$7)),0,MAX(0,ROUND((INDEX($E722:$G722,W$5)-SUMIFS(TF_Timer,TF_Tekniker,W$4,TF_Dato,$A722))*2,0)/2)))</f>
        <v/>
      </c>
      <c r="X722">
        <f>IF(OR(X$4="",$A722&gt;TODAY()),0,IF(OR(INDEX($B722:$D722,X$5)="F",AND(X$6&gt;0,$A722&lt;X$6),AND(X$7&gt;0,$A722&gt;X$7)),0,MAX(0,ROUND((INDEX($E722:$G722,X$5)-SUMIFS(TF_Timer,TF_Tekniker,X$4,TF_Dato,$A722))*2,0)/2)))</f>
        <v/>
      </c>
      <c r="Y722">
        <f>IF(OR(Y$4="",$A722&gt;TODAY()),0,IF(OR(INDEX($B722:$D722,Y$5)="F",AND(Y$6&gt;0,$A722&lt;Y$6),AND(Y$7&gt;0,$A722&gt;Y$7)),0,MAX(0,ROUND((INDEX($E722:$G722,Y$5)-SUMIFS(TF_Timer,TF_Tekniker,Y$4,TF_Dato,$A722))*2,0)/2)))</f>
        <v/>
      </c>
      <c r="Z722">
        <f>IF(OR(Z$4="",$A722&gt;TODAY()),0,IF(OR(INDEX($B722:$D722,Z$5)="F",AND(Z$6&gt;0,$A722&lt;Z$6),AND(Z$7&gt;0,$A722&gt;Z$7)),0,MAX(0,ROUND((INDEX($E722:$G722,Z$5)-SUMIFS(TF_Timer,TF_Tekniker,Z$4,TF_Dato,$A722))*2,0)/2)))</f>
        <v/>
      </c>
      <c r="AA722">
        <f>IF(OR(AA$4="",$A722&gt;TODAY()),0,IF(OR(INDEX($B722:$D722,AA$5)="F",AND(AA$6&gt;0,$A722&lt;AA$6),AND(AA$7&gt;0,$A722&gt;AA$7)),0,MAX(0,ROUND((INDEX($E722:$G722,AA$5)-SUMIFS(TF_Timer,TF_Tekniker,AA$4,TF_Dato,$A722))*2,0)/2)))</f>
        <v/>
      </c>
      <c r="AB722">
        <f>IF(OR(AB$4="",$A722&gt;TODAY()),0,IF(OR(INDEX($B722:$D722,AB$5)="F",AND(AB$6&gt;0,$A722&lt;AB$6),AND(AB$7&gt;0,$A722&gt;AB$7)),0,MAX(0,ROUND((INDEX($E722:$G722,AB$5)-SUMIFS(TF_Timer,TF_Tekniker,AB$4,TF_Dato,$A722))*2,0)/2)))</f>
        <v/>
      </c>
      <c r="AC722">
        <f>IF(OR(AC$4="",$A722&gt;TODAY()),0,IF(OR(INDEX($B722:$D722,AC$5)="F",AND(AC$6&gt;0,$A722&lt;AC$6),AND(AC$7&gt;0,$A722&gt;AC$7)),0,MAX(0,ROUND((INDEX($E722:$G722,AC$5)-SUMIFS(TF_Timer,TF_Tekniker,AC$4,TF_Dato,$A722))*2,0)/2)))</f>
        <v/>
      </c>
      <c r="AD722">
        <f>IF(OR(AD$4="",$A722&gt;TODAY()),0,IF(OR(INDEX($B722:$D722,AD$5)="F",AND(AD$6&gt;0,$A722&lt;AD$6),AND(AD$7&gt;0,$A722&gt;AD$7)),0,MAX(0,ROUND((INDEX($E722:$G722,AD$5)-SUMIFS(TF_Timer,TF_Tekniker,AD$4,TF_Dato,$A722))*2,0)/2)))</f>
        <v/>
      </c>
      <c r="AE722">
        <f>IF(OR(AE$4="",$A722&gt;TODAY()),0,IF(OR(INDEX($B722:$D722,AE$5)="F",AND(AE$6&gt;0,$A722&lt;AE$6),AND(AE$7&gt;0,$A722&gt;AE$7)),0,MAX(0,ROUND((INDEX($E722:$G722,AE$5)-SUMIFS(TF_Timer,TF_Tekniker,AE$4,TF_Dato,$A722))*2,0)/2)))</f>
        <v/>
      </c>
      <c r="AF722">
        <f>IF(OR(AF$4="",$A722&gt;TODAY()),0,IF(OR(INDEX($B722:$D722,AF$5)="F",AND(AF$6&gt;0,$A722&lt;AF$6),AND(AF$7&gt;0,$A722&gt;AF$7)),0,MAX(0,ROUND((INDEX($E722:$G722,AF$5)-SUMIFS(TF_Timer,TF_Tekniker,AF$4,TF_Dato,$A722))*2,0)/2)))</f>
        <v/>
      </c>
      <c r="AG722">
        <f>IF(OR(AG$4="",$A722&gt;TODAY()),0,IF(OR(INDEX($B722:$D722,AG$5)="F",AND(AG$6&gt;0,$A722&lt;AG$6),AND(AG$7&gt;0,$A722&gt;AG$7)),0,MAX(0,ROUND((INDEX($E722:$G722,AG$5)-SUMIFS(TF_Timer,TF_Tekniker,AG$4,TF_Dato,$A722))*2,0)/2)))</f>
        <v/>
      </c>
      <c r="AH722">
        <f>IF(OR(AH$4="",$A722&gt;TODAY()),0,IF(OR(INDEX($B722:$D722,AH$5)="F",AND(AH$6&gt;0,$A722&lt;AH$6),AND(AH$7&gt;0,$A722&gt;AH$7)),0,MAX(0,ROUND((INDEX($E722:$G722,AH$5)-SUMIFS(TF_Timer,TF_Tekniker,AH$4,TF_Dato,$A722))*2,0)/2)))</f>
        <v/>
      </c>
      <c r="AI722">
        <f>IF(OR(AI$4="",$A722&gt;TODAY()),0,IF(OR(INDEX($B722:$D722,AI$5)="F",AND(AI$6&gt;0,$A722&lt;AI$6),AND(AI$7&gt;0,$A722&gt;AI$7)),0,MAX(0,ROUND((INDEX($E722:$G722,AI$5)-SUMIFS(TF_Timer,TF_Tekniker,AI$4,TF_Dato,$A722))*2,0)/2)))</f>
        <v/>
      </c>
      <c r="AJ722">
        <f>IF(OR(AJ$4="",$A722&gt;TODAY()),0,IF(OR(INDEX($B722:$D722,AJ$5)="F",AND(AJ$6&gt;0,$A722&lt;AJ$6),AND(AJ$7&gt;0,$A722&gt;AJ$7)),0,MAX(0,ROUND((INDEX($E722:$G722,AJ$5)-SUMIFS(TF_Timer,TF_Tekniker,AJ$4,TF_Dato,$A722))*2,0)/2)))</f>
        <v/>
      </c>
      <c r="AK722">
        <f>IF(OR(AK$4="",$A722&gt;TODAY()),0,IF(OR(INDEX($B722:$D722,AK$5)="F",AND(AK$6&gt;0,$A722&lt;AK$6),AND(AK$7&gt;0,$A722&gt;AK$7)),0,MAX(0,ROUND((INDEX($E722:$G722,AK$5)-SUMIFS(TF_Timer,TF_Tekniker,AK$4,TF_Dato,$A722))*2,0)/2)))</f>
        <v/>
      </c>
      <c r="AL722">
        <f>IF(OR(AL$4="",$A722&gt;TODAY()),0,IF(OR(INDEX($B722:$D722,AL$5)="F",AND(AL$6&gt;0,$A722&lt;AL$6),AND(AL$7&gt;0,$A722&gt;AL$7)),0,MAX(0,ROUND((INDEX($E722:$G722,AL$5)-SUMIFS(TF_Timer,TF_Tekniker,AL$4,TF_Dato,$A722))*2,0)/2)))</f>
        <v/>
      </c>
      <c r="AM722">
        <f>IF(OR(AM$4="",$A722&gt;TODAY()),0,IF(OR(INDEX($B722:$D722,AM$5)="F",AND(AM$6&gt;0,$A722&lt;AM$6),AND(AM$7&gt;0,$A722&gt;AM$7)),0,MAX(0,ROUND((INDEX($E722:$G722,AM$5)-SUMIFS(TF_Timer,TF_Tekniker,AM$4,TF_Dato,$A722))*2,0)/2)))</f>
        <v/>
      </c>
      <c r="AN722">
        <f>IF(OR(AN$4="",$A722&gt;TODAY()),0,IF(OR(INDEX($B722:$D722,AN$5)="F",AND(AN$6&gt;0,$A722&lt;AN$6),AND(AN$7&gt;0,$A722&gt;AN$7)),0,MAX(0,ROUND((INDEX($E722:$G722,AN$5)-SUMIFS(TF_Timer,TF_Tekniker,AN$4,TF_Dato,$A722))*2,0)/2)))</f>
        <v/>
      </c>
      <c r="AO722">
        <f>IF(OR(AO$4="",$A722&gt;TODAY()),0,IF(OR(INDEX($B722:$D722,AO$5)="F",AND(AO$6&gt;0,$A722&lt;AO$6),AND(AO$7&gt;0,$A722&gt;AO$7)),0,MAX(0,ROUND((INDEX($E722:$G722,AO$5)-SUMIFS(TF_Timer,TF_Tekniker,AO$4,TF_Dato,$A722))*2,0)/2)))</f>
        <v/>
      </c>
      <c r="AP722">
        <f>IF(OR(AP$4="",$A722&gt;TODAY()),0,IF(OR(INDEX($B722:$D722,AP$5)="F",AND(AP$6&gt;0,$A722&lt;AP$6),AND(AP$7&gt;0,$A722&gt;AP$7)),0,MAX(0,ROUND((INDEX($E722:$G722,AP$5)-SUMIFS(TF_Timer,TF_Tekniker,AP$4,TF_Dato,$A722))*2,0)/2)))</f>
        <v/>
      </c>
      <c r="AQ722">
        <f>IF(OR(AQ$4="",$A722&gt;TODAY()),0,IF(OR(INDEX($B722:$D722,AQ$5)="F",AND(AQ$6&gt;0,$A722&lt;AQ$6),AND(AQ$7&gt;0,$A722&gt;AQ$7)),0,MAX(0,ROUND((INDEX($E722:$G722,AQ$5)-SUMIFS(TF_Timer,TF_Tekniker,AQ$4,TF_Dato,$A722))*2,0)/2)))</f>
        <v/>
      </c>
      <c r="AR722">
        <f>IF(OR(AR$4="",$A722&gt;TODAY()),0,IF(OR(INDEX($B722:$D722,AR$5)="F",AND(AR$6&gt;0,$A722&lt;AR$6),AND(AR$7&gt;0,$A722&gt;AR$7)),0,MAX(0,ROUND((INDEX($E722:$G722,AR$5)-SUMIFS(TF_Timer,TF_Tekniker,AR$4,TF_Dato,$A722))*2,0)/2)))</f>
        <v/>
      </c>
      <c r="AS722">
        <f>IF(OR(AS$4="",$A722&gt;TODAY()),0,IF(OR(INDEX($B722:$D722,AS$5)="F",AND(AS$6&gt;0,$A722&lt;AS$6),AND(AS$7&gt;0,$A722&gt;AS$7)),0,MAX(0,ROUND((INDEX($E722:$G722,AS$5)-SUMIFS(TF_Timer,TF_Tekniker,AS$4,TF_Dato,$A722))*2,0)/2)))</f>
        <v/>
      </c>
      <c r="AT722">
        <f>IF(OR(AT$4="",$A722&gt;TODAY()),0,IF(OR(INDEX($B722:$D722,AT$5)="F",AND(AT$6&gt;0,$A722&lt;AT$6),AND(AT$7&gt;0,$A722&gt;AT$7)),0,MAX(0,ROUND((INDEX($E722:$G722,AT$5)-SUMIFS(TF_Timer,TF_Tekniker,AT$4,TF_Dato,$A722))*2,0)/2)))</f>
        <v/>
      </c>
      <c r="AU722">
        <f>IF(OR(AU$4="",$A722&gt;TODAY()),0,IF(OR(INDEX($B722:$D722,AU$5)="F",AND(AU$6&gt;0,$A722&lt;AU$6),AND(AU$7&gt;0,$A722&gt;AU$7)),0,MAX(0,ROUND((INDEX($E722:$G722,AU$5)-SUMIFS(TF_Timer,TF_Tekniker,AU$4,TF_Dato,$A722))*2,0)/2)))</f>
        <v/>
      </c>
      <c r="AV722">
        <f>IF(OR(AV$4="",$A722&gt;TODAY()),0,IF(OR(INDEX($B722:$D722,AV$5)="F",AND(AV$6&gt;0,$A722&lt;AV$6),AND(AV$7&gt;0,$A722&gt;AV$7)),0,MAX(0,ROUND((INDEX($E722:$G722,AV$5)-SUMIFS(TF_Timer,TF_Tekniker,AV$4,TF_Dato,$A722))*2,0)/2)))</f>
        <v/>
      </c>
      <c r="AW722">
        <f>IF(OR(AW$4="",$A722&gt;TODAY()),0,IF(OR(INDEX($B722:$D722,AW$5)="F",AND(AW$6&gt;0,$A722&lt;AW$6),AND(AW$7&gt;0,$A722&gt;AW$7)),0,MAX(0,ROUND((INDEX($E722:$G722,AW$5)-SUMIFS(TF_Timer,TF_Tekniker,AW$4,TF_Dato,$A722))*2,0)/2)))</f>
        <v/>
      </c>
      <c r="AX722">
        <f>IF(OR(AX$4="",$A722&gt;TODAY()),0,IF(OR(INDEX($B722:$D722,AX$5)="F",AND(AX$6&gt;0,$A722&lt;AX$6),AND(AX$7&gt;0,$A722&gt;AX$7)),0,MAX(0,ROUND((INDEX($E722:$G722,AX$5)-SUMIFS(TF_Timer,TF_Tekniker,AX$4,TF_Dato,$A722))*2,0)/2)))</f>
        <v/>
      </c>
      <c r="AY722">
        <f>IF(OR(AY$4="",$A722&gt;TODAY()),0,IF(OR(INDEX($B722:$D722,AY$5)="F",AND(AY$6&gt;0,$A722&lt;AY$6),AND(AY$7&gt;0,$A722&gt;AY$7)),0,MAX(0,ROUND((INDEX($E722:$G722,AY$5)-SUMIFS(TF_Timer,TF_Tekniker,AY$4,TF_Dato,$A722))*2,0)/2)))</f>
        <v/>
      </c>
      <c r="AZ722">
        <f>IF(OR(AZ$4="",$A722&gt;TODAY()),0,IF(OR(INDEX($B722:$D722,AZ$5)="F",AND(AZ$6&gt;0,$A722&lt;AZ$6),AND(AZ$7&gt;0,$A722&gt;AZ$7)),0,MAX(0,ROUND((INDEX($E722:$G722,AZ$5)-SUMIFS(TF_Timer,TF_Tekniker,AZ$4,TF_Dato,$A722))*2,0)/2)))</f>
        <v/>
      </c>
      <c r="BA722">
        <f>IF(OR(BA$4="",$A722&gt;TODAY()),0,IF(OR(INDEX($B722:$D722,BA$5)="F",AND(BA$6&gt;0,$A722&lt;BA$6),AND(BA$7&gt;0,$A722&gt;BA$7)),0,MAX(0,ROUND((INDEX($E722:$G722,BA$5)-SUMIFS(TF_Timer,TF_Tekniker,BA$4,TF_Dato,$A722))*2,0)/2)))</f>
        <v/>
      </c>
      <c r="BB722">
        <f>IF(OR(BB$4="",$A722&gt;TODAY()),0,IF(OR(INDEX($B722:$D722,BB$5)="F",AND(BB$6&gt;0,$A722&lt;BB$6),AND(BB$7&gt;0,$A722&gt;BB$7)),0,MAX(0,ROUND((INDEX($E722:$G722,BB$5)-SUMIFS(TF_Timer,TF_Tekniker,BB$4,TF_Dato,$A722))*2,0)/2)))</f>
        <v/>
      </c>
      <c r="BC722">
        <f>IF(OR(BC$4="",$A722&gt;TODAY()),0,IF(OR(INDEX($B722:$D722,BC$5)="F",AND(BC$6&gt;0,$A722&lt;BC$6),AND(BC$7&gt;0,$A722&gt;BC$7)),0,MAX(0,ROUND((INDEX($E722:$G722,BC$5)-SUMIFS(TF_Timer,TF_Tekniker,BC$4,TF_Dato,$A722))*2,0)/2)))</f>
        <v/>
      </c>
      <c r="BD722">
        <f>IF(OR(BD$4="",$A722&gt;TODAY()),0,IF(OR(INDEX($B722:$D722,BD$5)="F",AND(BD$6&gt;0,$A722&lt;BD$6),AND(BD$7&gt;0,$A722&gt;BD$7)),0,MAX(0,ROUND((INDEX($E722:$G722,BD$5)-SUMIFS(TF_Timer,TF_Tekniker,BD$4,TF_Dato,$A722))*2,0)/2)))</f>
        <v/>
      </c>
      <c r="BE722">
        <f>IF(OR(BE$4="",$A722&gt;TODAY()),0,IF(OR(INDEX($B722:$D722,BE$5)="F",AND(BE$6&gt;0,$A722&lt;BE$6),AND(BE$7&gt;0,$A722&gt;BE$7)),0,MAX(0,ROUND((INDEX($E722:$G722,BE$5)-SUMIFS(TF_Timer,TF_Tekniker,BE$4,TF_Dato,$A722))*2,0)/2)))</f>
        <v/>
      </c>
      <c r="BF722">
        <f>IF(OR(BF$4="",$A722&gt;TODAY()),0,IF(OR(INDEX($B722:$D722,BF$5)="F",AND(BF$6&gt;0,$A722&lt;BF$6),AND(BF$7&gt;0,$A722&gt;BF$7)),0,MAX(0,ROUND((INDEX($E722:$G722,BF$5)-SUMIFS(TF_Timer,TF_Tekniker,BF$4,TF_Dato,$A722))*2,0)/2)))</f>
        <v/>
      </c>
      <c r="BG722">
        <f>IF(OR(BG$4="",$A722&gt;TODAY()),0,IF(OR(INDEX($B722:$D722,BG$5)="F",AND(BG$6&gt;0,$A722&lt;BG$6),AND(BG$7&gt;0,$A722&gt;BG$7)),0,MAX(0,ROUND((INDEX($E722:$G722,BG$5)-SUMIFS(TF_Timer,TF_Tekniker,BG$4,TF_Dato,$A722))*2,0)/2)))</f>
        <v/>
      </c>
      <c r="BH722">
        <f>IF(OR(BH$4="",$A722&gt;TODAY()),0,IF(OR(INDEX($B722:$D722,BH$5)="F",AND(BH$6&gt;0,$A722&lt;BH$6),AND(BH$7&gt;0,$A722&gt;BH$7)),0,MAX(0,ROUND((INDEX($E722:$G722,BH$5)-SUMIFS(TF_Timer,TF_Tekniker,BH$4,TF_Dato,$A722))*2,0)/2)))</f>
        <v/>
      </c>
      <c r="BI722">
        <f>IF(OR(BI$4="",$A722&gt;TODAY()),0,IF(OR(INDEX($B722:$D722,BI$5)="F",AND(BI$6&gt;0,$A722&lt;BI$6),AND(BI$7&gt;0,$A722&gt;BI$7)),0,MAX(0,ROUND((INDEX($E722:$G722,BI$5)-SUMIFS(TF_Timer,TF_Tekniker,BI$4,TF_Dato,$A722))*2,0)/2)))</f>
        <v/>
      </c>
    </row>
    <row r="723">
      <c r="A723" s="64">
        <f>A722+1</f>
        <v/>
      </c>
      <c r="B723">
        <f>IF(MOD($A723-INDEX(SkiftStart,1),Syklus)&lt;DagK,"K",IF(MOD($A723-INDEX(SkiftStart,1),Syklus)&lt;DagK+DagH,"H",IF(MOD($A723-INDEX(SkiftStart,1),Syklus)&lt;DagK+DagH+DagD,"D","F")))</f>
        <v/>
      </c>
      <c r="C723">
        <f>IF(MOD($A723-INDEX(SkiftStart,2),Syklus)&lt;DagK,"K",IF(MOD($A723-INDEX(SkiftStart,2),Syklus)&lt;DagK+DagH,"H",IF(MOD($A723-INDEX(SkiftStart,2),Syklus)&lt;DagK+DagH+DagD,"D","F")))</f>
        <v/>
      </c>
      <c r="D723">
        <f>IF(MOD($A723-INDEX(SkiftStart,3),Syklus)&lt;DagK,"K",IF(MOD($A723-INDEX(SkiftStart,3),Syklus)&lt;DagK+DagH,"H",IF(MOD($A723-INDEX(SkiftStart,3),Syklus)&lt;DagK+DagH+DagD,"D","F")))</f>
        <v/>
      </c>
      <c r="E723">
        <f>IF(B723="F",0,IF(WEEKDAY($A723,2)=5,INDEX(TimerFr,MATCH(B723,FaseKode,0)),INDEX(TimerMT,MATCH(B723,FaseKode,0))))</f>
        <v/>
      </c>
      <c r="F723">
        <f>IF(C723="F",0,IF(WEEKDAY($A723,2)=5,INDEX(TimerFr,MATCH(C723,FaseKode,0)),INDEX(TimerMT,MATCH(C723,FaseKode,0))))</f>
        <v/>
      </c>
      <c r="G723">
        <f>IF(D723="F",0,IF(WEEKDAY($A723,2)=5,INDEX(TimerFr,MATCH(D723,FaseKode,0)),INDEX(TimerMT,MATCH(D723,FaseKode,0))))</f>
        <v/>
      </c>
      <c r="H723">
        <f>IF(OR(H$4="",$A723&gt;TODAY()),0,IF(OR(INDEX($B723:$D723,H$5)="F",AND(H$6&gt;0,$A723&lt;H$6),AND(H$7&gt;0,$A723&gt;H$7)),0,MAX(0,ROUND((INDEX($E723:$G723,H$5)-SUMIFS(TF_Timer,TF_Tekniker,H$4,TF_Dato,$A723))*2,0)/2)))</f>
        <v/>
      </c>
      <c r="I723">
        <f>IF(OR(I$4="",$A723&gt;TODAY()),0,IF(OR(INDEX($B723:$D723,I$5)="F",AND(I$6&gt;0,$A723&lt;I$6),AND(I$7&gt;0,$A723&gt;I$7)),0,MAX(0,ROUND((INDEX($E723:$G723,I$5)-SUMIFS(TF_Timer,TF_Tekniker,I$4,TF_Dato,$A723))*2,0)/2)))</f>
        <v/>
      </c>
      <c r="J723">
        <f>IF(OR(J$4="",$A723&gt;TODAY()),0,IF(OR(INDEX($B723:$D723,J$5)="F",AND(J$6&gt;0,$A723&lt;J$6),AND(J$7&gt;0,$A723&gt;J$7)),0,MAX(0,ROUND((INDEX($E723:$G723,J$5)-SUMIFS(TF_Timer,TF_Tekniker,J$4,TF_Dato,$A723))*2,0)/2)))</f>
        <v/>
      </c>
      <c r="K723">
        <f>IF(OR(K$4="",$A723&gt;TODAY()),0,IF(OR(INDEX($B723:$D723,K$5)="F",AND(K$6&gt;0,$A723&lt;K$6),AND(K$7&gt;0,$A723&gt;K$7)),0,MAX(0,ROUND((INDEX($E723:$G723,K$5)-SUMIFS(TF_Timer,TF_Tekniker,K$4,TF_Dato,$A723))*2,0)/2)))</f>
        <v/>
      </c>
      <c r="L723">
        <f>IF(OR(L$4="",$A723&gt;TODAY()),0,IF(OR(INDEX($B723:$D723,L$5)="F",AND(L$6&gt;0,$A723&lt;L$6),AND(L$7&gt;0,$A723&gt;L$7)),0,MAX(0,ROUND((INDEX($E723:$G723,L$5)-SUMIFS(TF_Timer,TF_Tekniker,L$4,TF_Dato,$A723))*2,0)/2)))</f>
        <v/>
      </c>
      <c r="M723">
        <f>IF(OR(M$4="",$A723&gt;TODAY()),0,IF(OR(INDEX($B723:$D723,M$5)="F",AND(M$6&gt;0,$A723&lt;M$6),AND(M$7&gt;0,$A723&gt;M$7)),0,MAX(0,ROUND((INDEX($E723:$G723,M$5)-SUMIFS(TF_Timer,TF_Tekniker,M$4,TF_Dato,$A723))*2,0)/2)))</f>
        <v/>
      </c>
      <c r="N723">
        <f>IF(OR(N$4="",$A723&gt;TODAY()),0,IF(OR(INDEX($B723:$D723,N$5)="F",AND(N$6&gt;0,$A723&lt;N$6),AND(N$7&gt;0,$A723&gt;N$7)),0,MAX(0,ROUND((INDEX($E723:$G723,N$5)-SUMIFS(TF_Timer,TF_Tekniker,N$4,TF_Dato,$A723))*2,0)/2)))</f>
        <v/>
      </c>
      <c r="O723">
        <f>IF(OR(O$4="",$A723&gt;TODAY()),0,IF(OR(INDEX($B723:$D723,O$5)="F",AND(O$6&gt;0,$A723&lt;O$6),AND(O$7&gt;0,$A723&gt;O$7)),0,MAX(0,ROUND((INDEX($E723:$G723,O$5)-SUMIFS(TF_Timer,TF_Tekniker,O$4,TF_Dato,$A723))*2,0)/2)))</f>
        <v/>
      </c>
      <c r="P723">
        <f>IF(OR(P$4="",$A723&gt;TODAY()),0,IF(OR(INDEX($B723:$D723,P$5)="F",AND(P$6&gt;0,$A723&lt;P$6),AND(P$7&gt;0,$A723&gt;P$7)),0,MAX(0,ROUND((INDEX($E723:$G723,P$5)-SUMIFS(TF_Timer,TF_Tekniker,P$4,TF_Dato,$A723))*2,0)/2)))</f>
        <v/>
      </c>
      <c r="Q723">
        <f>IF(OR(Q$4="",$A723&gt;TODAY()),0,IF(OR(INDEX($B723:$D723,Q$5)="F",AND(Q$6&gt;0,$A723&lt;Q$6),AND(Q$7&gt;0,$A723&gt;Q$7)),0,MAX(0,ROUND((INDEX($E723:$G723,Q$5)-SUMIFS(TF_Timer,TF_Tekniker,Q$4,TF_Dato,$A723))*2,0)/2)))</f>
        <v/>
      </c>
      <c r="R723">
        <f>IF(OR(R$4="",$A723&gt;TODAY()),0,IF(OR(INDEX($B723:$D723,R$5)="F",AND(R$6&gt;0,$A723&lt;R$6),AND(R$7&gt;0,$A723&gt;R$7)),0,MAX(0,ROUND((INDEX($E723:$G723,R$5)-SUMIFS(TF_Timer,TF_Tekniker,R$4,TF_Dato,$A723))*2,0)/2)))</f>
        <v/>
      </c>
      <c r="S723">
        <f>IF(OR(S$4="",$A723&gt;TODAY()),0,IF(OR(INDEX($B723:$D723,S$5)="F",AND(S$6&gt;0,$A723&lt;S$6),AND(S$7&gt;0,$A723&gt;S$7)),0,MAX(0,ROUND((INDEX($E723:$G723,S$5)-SUMIFS(TF_Timer,TF_Tekniker,S$4,TF_Dato,$A723))*2,0)/2)))</f>
        <v/>
      </c>
      <c r="T723">
        <f>IF(OR(T$4="",$A723&gt;TODAY()),0,IF(OR(INDEX($B723:$D723,T$5)="F",AND(T$6&gt;0,$A723&lt;T$6),AND(T$7&gt;0,$A723&gt;T$7)),0,MAX(0,ROUND((INDEX($E723:$G723,T$5)-SUMIFS(TF_Timer,TF_Tekniker,T$4,TF_Dato,$A723))*2,0)/2)))</f>
        <v/>
      </c>
      <c r="U723">
        <f>IF(OR(U$4="",$A723&gt;TODAY()),0,IF(OR(INDEX($B723:$D723,U$5)="F",AND(U$6&gt;0,$A723&lt;U$6),AND(U$7&gt;0,$A723&gt;U$7)),0,MAX(0,ROUND((INDEX($E723:$G723,U$5)-SUMIFS(TF_Timer,TF_Tekniker,U$4,TF_Dato,$A723))*2,0)/2)))</f>
        <v/>
      </c>
      <c r="V723">
        <f>IF(OR(V$4="",$A723&gt;TODAY()),0,IF(OR(INDEX($B723:$D723,V$5)="F",AND(V$6&gt;0,$A723&lt;V$6),AND(V$7&gt;0,$A723&gt;V$7)),0,MAX(0,ROUND((INDEX($E723:$G723,V$5)-SUMIFS(TF_Timer,TF_Tekniker,V$4,TF_Dato,$A723))*2,0)/2)))</f>
        <v/>
      </c>
      <c r="W723">
        <f>IF(OR(W$4="",$A723&gt;TODAY()),0,IF(OR(INDEX($B723:$D723,W$5)="F",AND(W$6&gt;0,$A723&lt;W$6),AND(W$7&gt;0,$A723&gt;W$7)),0,MAX(0,ROUND((INDEX($E723:$G723,W$5)-SUMIFS(TF_Timer,TF_Tekniker,W$4,TF_Dato,$A723))*2,0)/2)))</f>
        <v/>
      </c>
      <c r="X723">
        <f>IF(OR(X$4="",$A723&gt;TODAY()),0,IF(OR(INDEX($B723:$D723,X$5)="F",AND(X$6&gt;0,$A723&lt;X$6),AND(X$7&gt;0,$A723&gt;X$7)),0,MAX(0,ROUND((INDEX($E723:$G723,X$5)-SUMIFS(TF_Timer,TF_Tekniker,X$4,TF_Dato,$A723))*2,0)/2)))</f>
        <v/>
      </c>
      <c r="Y723">
        <f>IF(OR(Y$4="",$A723&gt;TODAY()),0,IF(OR(INDEX($B723:$D723,Y$5)="F",AND(Y$6&gt;0,$A723&lt;Y$6),AND(Y$7&gt;0,$A723&gt;Y$7)),0,MAX(0,ROUND((INDEX($E723:$G723,Y$5)-SUMIFS(TF_Timer,TF_Tekniker,Y$4,TF_Dato,$A723))*2,0)/2)))</f>
        <v/>
      </c>
      <c r="Z723">
        <f>IF(OR(Z$4="",$A723&gt;TODAY()),0,IF(OR(INDEX($B723:$D723,Z$5)="F",AND(Z$6&gt;0,$A723&lt;Z$6),AND(Z$7&gt;0,$A723&gt;Z$7)),0,MAX(0,ROUND((INDEX($E723:$G723,Z$5)-SUMIFS(TF_Timer,TF_Tekniker,Z$4,TF_Dato,$A723))*2,0)/2)))</f>
        <v/>
      </c>
      <c r="AA723">
        <f>IF(OR(AA$4="",$A723&gt;TODAY()),0,IF(OR(INDEX($B723:$D723,AA$5)="F",AND(AA$6&gt;0,$A723&lt;AA$6),AND(AA$7&gt;0,$A723&gt;AA$7)),0,MAX(0,ROUND((INDEX($E723:$G723,AA$5)-SUMIFS(TF_Timer,TF_Tekniker,AA$4,TF_Dato,$A723))*2,0)/2)))</f>
        <v/>
      </c>
      <c r="AB723">
        <f>IF(OR(AB$4="",$A723&gt;TODAY()),0,IF(OR(INDEX($B723:$D723,AB$5)="F",AND(AB$6&gt;0,$A723&lt;AB$6),AND(AB$7&gt;0,$A723&gt;AB$7)),0,MAX(0,ROUND((INDEX($E723:$G723,AB$5)-SUMIFS(TF_Timer,TF_Tekniker,AB$4,TF_Dato,$A723))*2,0)/2)))</f>
        <v/>
      </c>
      <c r="AC723">
        <f>IF(OR(AC$4="",$A723&gt;TODAY()),0,IF(OR(INDEX($B723:$D723,AC$5)="F",AND(AC$6&gt;0,$A723&lt;AC$6),AND(AC$7&gt;0,$A723&gt;AC$7)),0,MAX(0,ROUND((INDEX($E723:$G723,AC$5)-SUMIFS(TF_Timer,TF_Tekniker,AC$4,TF_Dato,$A723))*2,0)/2)))</f>
        <v/>
      </c>
      <c r="AD723">
        <f>IF(OR(AD$4="",$A723&gt;TODAY()),0,IF(OR(INDEX($B723:$D723,AD$5)="F",AND(AD$6&gt;0,$A723&lt;AD$6),AND(AD$7&gt;0,$A723&gt;AD$7)),0,MAX(0,ROUND((INDEX($E723:$G723,AD$5)-SUMIFS(TF_Timer,TF_Tekniker,AD$4,TF_Dato,$A723))*2,0)/2)))</f>
        <v/>
      </c>
      <c r="AE723">
        <f>IF(OR(AE$4="",$A723&gt;TODAY()),0,IF(OR(INDEX($B723:$D723,AE$5)="F",AND(AE$6&gt;0,$A723&lt;AE$6),AND(AE$7&gt;0,$A723&gt;AE$7)),0,MAX(0,ROUND((INDEX($E723:$G723,AE$5)-SUMIFS(TF_Timer,TF_Tekniker,AE$4,TF_Dato,$A723))*2,0)/2)))</f>
        <v/>
      </c>
      <c r="AF723">
        <f>IF(OR(AF$4="",$A723&gt;TODAY()),0,IF(OR(INDEX($B723:$D723,AF$5)="F",AND(AF$6&gt;0,$A723&lt;AF$6),AND(AF$7&gt;0,$A723&gt;AF$7)),0,MAX(0,ROUND((INDEX($E723:$G723,AF$5)-SUMIFS(TF_Timer,TF_Tekniker,AF$4,TF_Dato,$A723))*2,0)/2)))</f>
        <v/>
      </c>
      <c r="AG723">
        <f>IF(OR(AG$4="",$A723&gt;TODAY()),0,IF(OR(INDEX($B723:$D723,AG$5)="F",AND(AG$6&gt;0,$A723&lt;AG$6),AND(AG$7&gt;0,$A723&gt;AG$7)),0,MAX(0,ROUND((INDEX($E723:$G723,AG$5)-SUMIFS(TF_Timer,TF_Tekniker,AG$4,TF_Dato,$A723))*2,0)/2)))</f>
        <v/>
      </c>
      <c r="AH723">
        <f>IF(OR(AH$4="",$A723&gt;TODAY()),0,IF(OR(INDEX($B723:$D723,AH$5)="F",AND(AH$6&gt;0,$A723&lt;AH$6),AND(AH$7&gt;0,$A723&gt;AH$7)),0,MAX(0,ROUND((INDEX($E723:$G723,AH$5)-SUMIFS(TF_Timer,TF_Tekniker,AH$4,TF_Dato,$A723))*2,0)/2)))</f>
        <v/>
      </c>
      <c r="AI723">
        <f>IF(OR(AI$4="",$A723&gt;TODAY()),0,IF(OR(INDEX($B723:$D723,AI$5)="F",AND(AI$6&gt;0,$A723&lt;AI$6),AND(AI$7&gt;0,$A723&gt;AI$7)),0,MAX(0,ROUND((INDEX($E723:$G723,AI$5)-SUMIFS(TF_Timer,TF_Tekniker,AI$4,TF_Dato,$A723))*2,0)/2)))</f>
        <v/>
      </c>
      <c r="AJ723">
        <f>IF(OR(AJ$4="",$A723&gt;TODAY()),0,IF(OR(INDEX($B723:$D723,AJ$5)="F",AND(AJ$6&gt;0,$A723&lt;AJ$6),AND(AJ$7&gt;0,$A723&gt;AJ$7)),0,MAX(0,ROUND((INDEX($E723:$G723,AJ$5)-SUMIFS(TF_Timer,TF_Tekniker,AJ$4,TF_Dato,$A723))*2,0)/2)))</f>
        <v/>
      </c>
      <c r="AK723">
        <f>IF(OR(AK$4="",$A723&gt;TODAY()),0,IF(OR(INDEX($B723:$D723,AK$5)="F",AND(AK$6&gt;0,$A723&lt;AK$6),AND(AK$7&gt;0,$A723&gt;AK$7)),0,MAX(0,ROUND((INDEX($E723:$G723,AK$5)-SUMIFS(TF_Timer,TF_Tekniker,AK$4,TF_Dato,$A723))*2,0)/2)))</f>
        <v/>
      </c>
      <c r="AL723">
        <f>IF(OR(AL$4="",$A723&gt;TODAY()),0,IF(OR(INDEX($B723:$D723,AL$5)="F",AND(AL$6&gt;0,$A723&lt;AL$6),AND(AL$7&gt;0,$A723&gt;AL$7)),0,MAX(0,ROUND((INDEX($E723:$G723,AL$5)-SUMIFS(TF_Timer,TF_Tekniker,AL$4,TF_Dato,$A723))*2,0)/2)))</f>
        <v/>
      </c>
      <c r="AM723">
        <f>IF(OR(AM$4="",$A723&gt;TODAY()),0,IF(OR(INDEX($B723:$D723,AM$5)="F",AND(AM$6&gt;0,$A723&lt;AM$6),AND(AM$7&gt;0,$A723&gt;AM$7)),0,MAX(0,ROUND((INDEX($E723:$G723,AM$5)-SUMIFS(TF_Timer,TF_Tekniker,AM$4,TF_Dato,$A723))*2,0)/2)))</f>
        <v/>
      </c>
      <c r="AN723">
        <f>IF(OR(AN$4="",$A723&gt;TODAY()),0,IF(OR(INDEX($B723:$D723,AN$5)="F",AND(AN$6&gt;0,$A723&lt;AN$6),AND(AN$7&gt;0,$A723&gt;AN$7)),0,MAX(0,ROUND((INDEX($E723:$G723,AN$5)-SUMIFS(TF_Timer,TF_Tekniker,AN$4,TF_Dato,$A723))*2,0)/2)))</f>
        <v/>
      </c>
      <c r="AO723">
        <f>IF(OR(AO$4="",$A723&gt;TODAY()),0,IF(OR(INDEX($B723:$D723,AO$5)="F",AND(AO$6&gt;0,$A723&lt;AO$6),AND(AO$7&gt;0,$A723&gt;AO$7)),0,MAX(0,ROUND((INDEX($E723:$G723,AO$5)-SUMIFS(TF_Timer,TF_Tekniker,AO$4,TF_Dato,$A723))*2,0)/2)))</f>
        <v/>
      </c>
      <c r="AP723">
        <f>IF(OR(AP$4="",$A723&gt;TODAY()),0,IF(OR(INDEX($B723:$D723,AP$5)="F",AND(AP$6&gt;0,$A723&lt;AP$6),AND(AP$7&gt;0,$A723&gt;AP$7)),0,MAX(0,ROUND((INDEX($E723:$G723,AP$5)-SUMIFS(TF_Timer,TF_Tekniker,AP$4,TF_Dato,$A723))*2,0)/2)))</f>
        <v/>
      </c>
      <c r="AQ723">
        <f>IF(OR(AQ$4="",$A723&gt;TODAY()),0,IF(OR(INDEX($B723:$D723,AQ$5)="F",AND(AQ$6&gt;0,$A723&lt;AQ$6),AND(AQ$7&gt;0,$A723&gt;AQ$7)),0,MAX(0,ROUND((INDEX($E723:$G723,AQ$5)-SUMIFS(TF_Timer,TF_Tekniker,AQ$4,TF_Dato,$A723))*2,0)/2)))</f>
        <v/>
      </c>
      <c r="AR723">
        <f>IF(OR(AR$4="",$A723&gt;TODAY()),0,IF(OR(INDEX($B723:$D723,AR$5)="F",AND(AR$6&gt;0,$A723&lt;AR$6),AND(AR$7&gt;0,$A723&gt;AR$7)),0,MAX(0,ROUND((INDEX($E723:$G723,AR$5)-SUMIFS(TF_Timer,TF_Tekniker,AR$4,TF_Dato,$A723))*2,0)/2)))</f>
        <v/>
      </c>
      <c r="AS723">
        <f>IF(OR(AS$4="",$A723&gt;TODAY()),0,IF(OR(INDEX($B723:$D723,AS$5)="F",AND(AS$6&gt;0,$A723&lt;AS$6),AND(AS$7&gt;0,$A723&gt;AS$7)),0,MAX(0,ROUND((INDEX($E723:$G723,AS$5)-SUMIFS(TF_Timer,TF_Tekniker,AS$4,TF_Dato,$A723))*2,0)/2)))</f>
        <v/>
      </c>
      <c r="AT723">
        <f>IF(OR(AT$4="",$A723&gt;TODAY()),0,IF(OR(INDEX($B723:$D723,AT$5)="F",AND(AT$6&gt;0,$A723&lt;AT$6),AND(AT$7&gt;0,$A723&gt;AT$7)),0,MAX(0,ROUND((INDEX($E723:$G723,AT$5)-SUMIFS(TF_Timer,TF_Tekniker,AT$4,TF_Dato,$A723))*2,0)/2)))</f>
        <v/>
      </c>
      <c r="AU723">
        <f>IF(OR(AU$4="",$A723&gt;TODAY()),0,IF(OR(INDEX($B723:$D723,AU$5)="F",AND(AU$6&gt;0,$A723&lt;AU$6),AND(AU$7&gt;0,$A723&gt;AU$7)),0,MAX(0,ROUND((INDEX($E723:$G723,AU$5)-SUMIFS(TF_Timer,TF_Tekniker,AU$4,TF_Dato,$A723))*2,0)/2)))</f>
        <v/>
      </c>
      <c r="AV723">
        <f>IF(OR(AV$4="",$A723&gt;TODAY()),0,IF(OR(INDEX($B723:$D723,AV$5)="F",AND(AV$6&gt;0,$A723&lt;AV$6),AND(AV$7&gt;0,$A723&gt;AV$7)),0,MAX(0,ROUND((INDEX($E723:$G723,AV$5)-SUMIFS(TF_Timer,TF_Tekniker,AV$4,TF_Dato,$A723))*2,0)/2)))</f>
        <v/>
      </c>
      <c r="AW723">
        <f>IF(OR(AW$4="",$A723&gt;TODAY()),0,IF(OR(INDEX($B723:$D723,AW$5)="F",AND(AW$6&gt;0,$A723&lt;AW$6),AND(AW$7&gt;0,$A723&gt;AW$7)),0,MAX(0,ROUND((INDEX($E723:$G723,AW$5)-SUMIFS(TF_Timer,TF_Tekniker,AW$4,TF_Dato,$A723))*2,0)/2)))</f>
        <v/>
      </c>
      <c r="AX723">
        <f>IF(OR(AX$4="",$A723&gt;TODAY()),0,IF(OR(INDEX($B723:$D723,AX$5)="F",AND(AX$6&gt;0,$A723&lt;AX$6),AND(AX$7&gt;0,$A723&gt;AX$7)),0,MAX(0,ROUND((INDEX($E723:$G723,AX$5)-SUMIFS(TF_Timer,TF_Tekniker,AX$4,TF_Dato,$A723))*2,0)/2)))</f>
        <v/>
      </c>
      <c r="AY723">
        <f>IF(OR(AY$4="",$A723&gt;TODAY()),0,IF(OR(INDEX($B723:$D723,AY$5)="F",AND(AY$6&gt;0,$A723&lt;AY$6),AND(AY$7&gt;0,$A723&gt;AY$7)),0,MAX(0,ROUND((INDEX($E723:$G723,AY$5)-SUMIFS(TF_Timer,TF_Tekniker,AY$4,TF_Dato,$A723))*2,0)/2)))</f>
        <v/>
      </c>
      <c r="AZ723">
        <f>IF(OR(AZ$4="",$A723&gt;TODAY()),0,IF(OR(INDEX($B723:$D723,AZ$5)="F",AND(AZ$6&gt;0,$A723&lt;AZ$6),AND(AZ$7&gt;0,$A723&gt;AZ$7)),0,MAX(0,ROUND((INDEX($E723:$G723,AZ$5)-SUMIFS(TF_Timer,TF_Tekniker,AZ$4,TF_Dato,$A723))*2,0)/2)))</f>
        <v/>
      </c>
      <c r="BA723">
        <f>IF(OR(BA$4="",$A723&gt;TODAY()),0,IF(OR(INDEX($B723:$D723,BA$5)="F",AND(BA$6&gt;0,$A723&lt;BA$6),AND(BA$7&gt;0,$A723&gt;BA$7)),0,MAX(0,ROUND((INDEX($E723:$G723,BA$5)-SUMIFS(TF_Timer,TF_Tekniker,BA$4,TF_Dato,$A723))*2,0)/2)))</f>
        <v/>
      </c>
      <c r="BB723">
        <f>IF(OR(BB$4="",$A723&gt;TODAY()),0,IF(OR(INDEX($B723:$D723,BB$5)="F",AND(BB$6&gt;0,$A723&lt;BB$6),AND(BB$7&gt;0,$A723&gt;BB$7)),0,MAX(0,ROUND((INDEX($E723:$G723,BB$5)-SUMIFS(TF_Timer,TF_Tekniker,BB$4,TF_Dato,$A723))*2,0)/2)))</f>
        <v/>
      </c>
      <c r="BC723">
        <f>IF(OR(BC$4="",$A723&gt;TODAY()),0,IF(OR(INDEX($B723:$D723,BC$5)="F",AND(BC$6&gt;0,$A723&lt;BC$6),AND(BC$7&gt;0,$A723&gt;BC$7)),0,MAX(0,ROUND((INDEX($E723:$G723,BC$5)-SUMIFS(TF_Timer,TF_Tekniker,BC$4,TF_Dato,$A723))*2,0)/2)))</f>
        <v/>
      </c>
      <c r="BD723">
        <f>IF(OR(BD$4="",$A723&gt;TODAY()),0,IF(OR(INDEX($B723:$D723,BD$5)="F",AND(BD$6&gt;0,$A723&lt;BD$6),AND(BD$7&gt;0,$A723&gt;BD$7)),0,MAX(0,ROUND((INDEX($E723:$G723,BD$5)-SUMIFS(TF_Timer,TF_Tekniker,BD$4,TF_Dato,$A723))*2,0)/2)))</f>
        <v/>
      </c>
      <c r="BE723">
        <f>IF(OR(BE$4="",$A723&gt;TODAY()),0,IF(OR(INDEX($B723:$D723,BE$5)="F",AND(BE$6&gt;0,$A723&lt;BE$6),AND(BE$7&gt;0,$A723&gt;BE$7)),0,MAX(0,ROUND((INDEX($E723:$G723,BE$5)-SUMIFS(TF_Timer,TF_Tekniker,BE$4,TF_Dato,$A723))*2,0)/2)))</f>
        <v/>
      </c>
      <c r="BF723">
        <f>IF(OR(BF$4="",$A723&gt;TODAY()),0,IF(OR(INDEX($B723:$D723,BF$5)="F",AND(BF$6&gt;0,$A723&lt;BF$6),AND(BF$7&gt;0,$A723&gt;BF$7)),0,MAX(0,ROUND((INDEX($E723:$G723,BF$5)-SUMIFS(TF_Timer,TF_Tekniker,BF$4,TF_Dato,$A723))*2,0)/2)))</f>
        <v/>
      </c>
      <c r="BG723">
        <f>IF(OR(BG$4="",$A723&gt;TODAY()),0,IF(OR(INDEX($B723:$D723,BG$5)="F",AND(BG$6&gt;0,$A723&lt;BG$6),AND(BG$7&gt;0,$A723&gt;BG$7)),0,MAX(0,ROUND((INDEX($E723:$G723,BG$5)-SUMIFS(TF_Timer,TF_Tekniker,BG$4,TF_Dato,$A723))*2,0)/2)))</f>
        <v/>
      </c>
      <c r="BH723">
        <f>IF(OR(BH$4="",$A723&gt;TODAY()),0,IF(OR(INDEX($B723:$D723,BH$5)="F",AND(BH$6&gt;0,$A723&lt;BH$6),AND(BH$7&gt;0,$A723&gt;BH$7)),0,MAX(0,ROUND((INDEX($E723:$G723,BH$5)-SUMIFS(TF_Timer,TF_Tekniker,BH$4,TF_Dato,$A723))*2,0)/2)))</f>
        <v/>
      </c>
      <c r="BI723">
        <f>IF(OR(BI$4="",$A723&gt;TODAY()),0,IF(OR(INDEX($B723:$D723,BI$5)="F",AND(BI$6&gt;0,$A723&lt;BI$6),AND(BI$7&gt;0,$A723&gt;BI$7)),0,MAX(0,ROUND((INDEX($E723:$G723,BI$5)-SUMIFS(TF_Timer,TF_Tekniker,BI$4,TF_Dato,$A723))*2,0)/2)))</f>
        <v/>
      </c>
    </row>
    <row r="724">
      <c r="A724" s="64">
        <f>A723+1</f>
        <v/>
      </c>
      <c r="B724">
        <f>IF(MOD($A724-INDEX(SkiftStart,1),Syklus)&lt;DagK,"K",IF(MOD($A724-INDEX(SkiftStart,1),Syklus)&lt;DagK+DagH,"H",IF(MOD($A724-INDEX(SkiftStart,1),Syklus)&lt;DagK+DagH+DagD,"D","F")))</f>
        <v/>
      </c>
      <c r="C724">
        <f>IF(MOD($A724-INDEX(SkiftStart,2),Syklus)&lt;DagK,"K",IF(MOD($A724-INDEX(SkiftStart,2),Syklus)&lt;DagK+DagH,"H",IF(MOD($A724-INDEX(SkiftStart,2),Syklus)&lt;DagK+DagH+DagD,"D","F")))</f>
        <v/>
      </c>
      <c r="D724">
        <f>IF(MOD($A724-INDEX(SkiftStart,3),Syklus)&lt;DagK,"K",IF(MOD($A724-INDEX(SkiftStart,3),Syklus)&lt;DagK+DagH,"H",IF(MOD($A724-INDEX(SkiftStart,3),Syklus)&lt;DagK+DagH+DagD,"D","F")))</f>
        <v/>
      </c>
      <c r="E724">
        <f>IF(B724="F",0,IF(WEEKDAY($A724,2)=5,INDEX(TimerFr,MATCH(B724,FaseKode,0)),INDEX(TimerMT,MATCH(B724,FaseKode,0))))</f>
        <v/>
      </c>
      <c r="F724">
        <f>IF(C724="F",0,IF(WEEKDAY($A724,2)=5,INDEX(TimerFr,MATCH(C724,FaseKode,0)),INDEX(TimerMT,MATCH(C724,FaseKode,0))))</f>
        <v/>
      </c>
      <c r="G724">
        <f>IF(D724="F",0,IF(WEEKDAY($A724,2)=5,INDEX(TimerFr,MATCH(D724,FaseKode,0)),INDEX(TimerMT,MATCH(D724,FaseKode,0))))</f>
        <v/>
      </c>
      <c r="H724">
        <f>IF(OR(H$4="",$A724&gt;TODAY()),0,IF(OR(INDEX($B724:$D724,H$5)="F",AND(H$6&gt;0,$A724&lt;H$6),AND(H$7&gt;0,$A724&gt;H$7)),0,MAX(0,ROUND((INDEX($E724:$G724,H$5)-SUMIFS(TF_Timer,TF_Tekniker,H$4,TF_Dato,$A724))*2,0)/2)))</f>
        <v/>
      </c>
      <c r="I724">
        <f>IF(OR(I$4="",$A724&gt;TODAY()),0,IF(OR(INDEX($B724:$D724,I$5)="F",AND(I$6&gt;0,$A724&lt;I$6),AND(I$7&gt;0,$A724&gt;I$7)),0,MAX(0,ROUND((INDEX($E724:$G724,I$5)-SUMIFS(TF_Timer,TF_Tekniker,I$4,TF_Dato,$A724))*2,0)/2)))</f>
        <v/>
      </c>
      <c r="J724">
        <f>IF(OR(J$4="",$A724&gt;TODAY()),0,IF(OR(INDEX($B724:$D724,J$5)="F",AND(J$6&gt;0,$A724&lt;J$6),AND(J$7&gt;0,$A724&gt;J$7)),0,MAX(0,ROUND((INDEX($E724:$G724,J$5)-SUMIFS(TF_Timer,TF_Tekniker,J$4,TF_Dato,$A724))*2,0)/2)))</f>
        <v/>
      </c>
      <c r="K724">
        <f>IF(OR(K$4="",$A724&gt;TODAY()),0,IF(OR(INDEX($B724:$D724,K$5)="F",AND(K$6&gt;0,$A724&lt;K$6),AND(K$7&gt;0,$A724&gt;K$7)),0,MAX(0,ROUND((INDEX($E724:$G724,K$5)-SUMIFS(TF_Timer,TF_Tekniker,K$4,TF_Dato,$A724))*2,0)/2)))</f>
        <v/>
      </c>
      <c r="L724">
        <f>IF(OR(L$4="",$A724&gt;TODAY()),0,IF(OR(INDEX($B724:$D724,L$5)="F",AND(L$6&gt;0,$A724&lt;L$6),AND(L$7&gt;0,$A724&gt;L$7)),0,MAX(0,ROUND((INDEX($E724:$G724,L$5)-SUMIFS(TF_Timer,TF_Tekniker,L$4,TF_Dato,$A724))*2,0)/2)))</f>
        <v/>
      </c>
      <c r="M724">
        <f>IF(OR(M$4="",$A724&gt;TODAY()),0,IF(OR(INDEX($B724:$D724,M$5)="F",AND(M$6&gt;0,$A724&lt;M$6),AND(M$7&gt;0,$A724&gt;M$7)),0,MAX(0,ROUND((INDEX($E724:$G724,M$5)-SUMIFS(TF_Timer,TF_Tekniker,M$4,TF_Dato,$A724))*2,0)/2)))</f>
        <v/>
      </c>
      <c r="N724">
        <f>IF(OR(N$4="",$A724&gt;TODAY()),0,IF(OR(INDEX($B724:$D724,N$5)="F",AND(N$6&gt;0,$A724&lt;N$6),AND(N$7&gt;0,$A724&gt;N$7)),0,MAX(0,ROUND((INDEX($E724:$G724,N$5)-SUMIFS(TF_Timer,TF_Tekniker,N$4,TF_Dato,$A724))*2,0)/2)))</f>
        <v/>
      </c>
      <c r="O724">
        <f>IF(OR(O$4="",$A724&gt;TODAY()),0,IF(OR(INDEX($B724:$D724,O$5)="F",AND(O$6&gt;0,$A724&lt;O$6),AND(O$7&gt;0,$A724&gt;O$7)),0,MAX(0,ROUND((INDEX($E724:$G724,O$5)-SUMIFS(TF_Timer,TF_Tekniker,O$4,TF_Dato,$A724))*2,0)/2)))</f>
        <v/>
      </c>
      <c r="P724">
        <f>IF(OR(P$4="",$A724&gt;TODAY()),0,IF(OR(INDEX($B724:$D724,P$5)="F",AND(P$6&gt;0,$A724&lt;P$6),AND(P$7&gt;0,$A724&gt;P$7)),0,MAX(0,ROUND((INDEX($E724:$G724,P$5)-SUMIFS(TF_Timer,TF_Tekniker,P$4,TF_Dato,$A724))*2,0)/2)))</f>
        <v/>
      </c>
      <c r="Q724">
        <f>IF(OR(Q$4="",$A724&gt;TODAY()),0,IF(OR(INDEX($B724:$D724,Q$5)="F",AND(Q$6&gt;0,$A724&lt;Q$6),AND(Q$7&gt;0,$A724&gt;Q$7)),0,MAX(0,ROUND((INDEX($E724:$G724,Q$5)-SUMIFS(TF_Timer,TF_Tekniker,Q$4,TF_Dato,$A724))*2,0)/2)))</f>
        <v/>
      </c>
      <c r="R724">
        <f>IF(OR(R$4="",$A724&gt;TODAY()),0,IF(OR(INDEX($B724:$D724,R$5)="F",AND(R$6&gt;0,$A724&lt;R$6),AND(R$7&gt;0,$A724&gt;R$7)),0,MAX(0,ROUND((INDEX($E724:$G724,R$5)-SUMIFS(TF_Timer,TF_Tekniker,R$4,TF_Dato,$A724))*2,0)/2)))</f>
        <v/>
      </c>
      <c r="S724">
        <f>IF(OR(S$4="",$A724&gt;TODAY()),0,IF(OR(INDEX($B724:$D724,S$5)="F",AND(S$6&gt;0,$A724&lt;S$6),AND(S$7&gt;0,$A724&gt;S$7)),0,MAX(0,ROUND((INDEX($E724:$G724,S$5)-SUMIFS(TF_Timer,TF_Tekniker,S$4,TF_Dato,$A724))*2,0)/2)))</f>
        <v/>
      </c>
      <c r="T724">
        <f>IF(OR(T$4="",$A724&gt;TODAY()),0,IF(OR(INDEX($B724:$D724,T$5)="F",AND(T$6&gt;0,$A724&lt;T$6),AND(T$7&gt;0,$A724&gt;T$7)),0,MAX(0,ROUND((INDEX($E724:$G724,T$5)-SUMIFS(TF_Timer,TF_Tekniker,T$4,TF_Dato,$A724))*2,0)/2)))</f>
        <v/>
      </c>
      <c r="U724">
        <f>IF(OR(U$4="",$A724&gt;TODAY()),0,IF(OR(INDEX($B724:$D724,U$5)="F",AND(U$6&gt;0,$A724&lt;U$6),AND(U$7&gt;0,$A724&gt;U$7)),0,MAX(0,ROUND((INDEX($E724:$G724,U$5)-SUMIFS(TF_Timer,TF_Tekniker,U$4,TF_Dato,$A724))*2,0)/2)))</f>
        <v/>
      </c>
      <c r="V724">
        <f>IF(OR(V$4="",$A724&gt;TODAY()),0,IF(OR(INDEX($B724:$D724,V$5)="F",AND(V$6&gt;0,$A724&lt;V$6),AND(V$7&gt;0,$A724&gt;V$7)),0,MAX(0,ROUND((INDEX($E724:$G724,V$5)-SUMIFS(TF_Timer,TF_Tekniker,V$4,TF_Dato,$A724))*2,0)/2)))</f>
        <v/>
      </c>
      <c r="W724">
        <f>IF(OR(W$4="",$A724&gt;TODAY()),0,IF(OR(INDEX($B724:$D724,W$5)="F",AND(W$6&gt;0,$A724&lt;W$6),AND(W$7&gt;0,$A724&gt;W$7)),0,MAX(0,ROUND((INDEX($E724:$G724,W$5)-SUMIFS(TF_Timer,TF_Tekniker,W$4,TF_Dato,$A724))*2,0)/2)))</f>
        <v/>
      </c>
      <c r="X724">
        <f>IF(OR(X$4="",$A724&gt;TODAY()),0,IF(OR(INDEX($B724:$D724,X$5)="F",AND(X$6&gt;0,$A724&lt;X$6),AND(X$7&gt;0,$A724&gt;X$7)),0,MAX(0,ROUND((INDEX($E724:$G724,X$5)-SUMIFS(TF_Timer,TF_Tekniker,X$4,TF_Dato,$A724))*2,0)/2)))</f>
        <v/>
      </c>
      <c r="Y724">
        <f>IF(OR(Y$4="",$A724&gt;TODAY()),0,IF(OR(INDEX($B724:$D724,Y$5)="F",AND(Y$6&gt;0,$A724&lt;Y$6),AND(Y$7&gt;0,$A724&gt;Y$7)),0,MAX(0,ROUND((INDEX($E724:$G724,Y$5)-SUMIFS(TF_Timer,TF_Tekniker,Y$4,TF_Dato,$A724))*2,0)/2)))</f>
        <v/>
      </c>
      <c r="Z724">
        <f>IF(OR(Z$4="",$A724&gt;TODAY()),0,IF(OR(INDEX($B724:$D724,Z$5)="F",AND(Z$6&gt;0,$A724&lt;Z$6),AND(Z$7&gt;0,$A724&gt;Z$7)),0,MAX(0,ROUND((INDEX($E724:$G724,Z$5)-SUMIFS(TF_Timer,TF_Tekniker,Z$4,TF_Dato,$A724))*2,0)/2)))</f>
        <v/>
      </c>
      <c r="AA724">
        <f>IF(OR(AA$4="",$A724&gt;TODAY()),0,IF(OR(INDEX($B724:$D724,AA$5)="F",AND(AA$6&gt;0,$A724&lt;AA$6),AND(AA$7&gt;0,$A724&gt;AA$7)),0,MAX(0,ROUND((INDEX($E724:$G724,AA$5)-SUMIFS(TF_Timer,TF_Tekniker,AA$4,TF_Dato,$A724))*2,0)/2)))</f>
        <v/>
      </c>
      <c r="AB724">
        <f>IF(OR(AB$4="",$A724&gt;TODAY()),0,IF(OR(INDEX($B724:$D724,AB$5)="F",AND(AB$6&gt;0,$A724&lt;AB$6),AND(AB$7&gt;0,$A724&gt;AB$7)),0,MAX(0,ROUND((INDEX($E724:$G724,AB$5)-SUMIFS(TF_Timer,TF_Tekniker,AB$4,TF_Dato,$A724))*2,0)/2)))</f>
        <v/>
      </c>
      <c r="AC724">
        <f>IF(OR(AC$4="",$A724&gt;TODAY()),0,IF(OR(INDEX($B724:$D724,AC$5)="F",AND(AC$6&gt;0,$A724&lt;AC$6),AND(AC$7&gt;0,$A724&gt;AC$7)),0,MAX(0,ROUND((INDEX($E724:$G724,AC$5)-SUMIFS(TF_Timer,TF_Tekniker,AC$4,TF_Dato,$A724))*2,0)/2)))</f>
        <v/>
      </c>
      <c r="AD724">
        <f>IF(OR(AD$4="",$A724&gt;TODAY()),0,IF(OR(INDEX($B724:$D724,AD$5)="F",AND(AD$6&gt;0,$A724&lt;AD$6),AND(AD$7&gt;0,$A724&gt;AD$7)),0,MAX(0,ROUND((INDEX($E724:$G724,AD$5)-SUMIFS(TF_Timer,TF_Tekniker,AD$4,TF_Dato,$A724))*2,0)/2)))</f>
        <v/>
      </c>
      <c r="AE724">
        <f>IF(OR(AE$4="",$A724&gt;TODAY()),0,IF(OR(INDEX($B724:$D724,AE$5)="F",AND(AE$6&gt;0,$A724&lt;AE$6),AND(AE$7&gt;0,$A724&gt;AE$7)),0,MAX(0,ROUND((INDEX($E724:$G724,AE$5)-SUMIFS(TF_Timer,TF_Tekniker,AE$4,TF_Dato,$A724))*2,0)/2)))</f>
        <v/>
      </c>
      <c r="AF724">
        <f>IF(OR(AF$4="",$A724&gt;TODAY()),0,IF(OR(INDEX($B724:$D724,AF$5)="F",AND(AF$6&gt;0,$A724&lt;AF$6),AND(AF$7&gt;0,$A724&gt;AF$7)),0,MAX(0,ROUND((INDEX($E724:$G724,AF$5)-SUMIFS(TF_Timer,TF_Tekniker,AF$4,TF_Dato,$A724))*2,0)/2)))</f>
        <v/>
      </c>
      <c r="AG724">
        <f>IF(OR(AG$4="",$A724&gt;TODAY()),0,IF(OR(INDEX($B724:$D724,AG$5)="F",AND(AG$6&gt;0,$A724&lt;AG$6),AND(AG$7&gt;0,$A724&gt;AG$7)),0,MAX(0,ROUND((INDEX($E724:$G724,AG$5)-SUMIFS(TF_Timer,TF_Tekniker,AG$4,TF_Dato,$A724))*2,0)/2)))</f>
        <v/>
      </c>
      <c r="AH724">
        <f>IF(OR(AH$4="",$A724&gt;TODAY()),0,IF(OR(INDEX($B724:$D724,AH$5)="F",AND(AH$6&gt;0,$A724&lt;AH$6),AND(AH$7&gt;0,$A724&gt;AH$7)),0,MAX(0,ROUND((INDEX($E724:$G724,AH$5)-SUMIFS(TF_Timer,TF_Tekniker,AH$4,TF_Dato,$A724))*2,0)/2)))</f>
        <v/>
      </c>
      <c r="AI724">
        <f>IF(OR(AI$4="",$A724&gt;TODAY()),0,IF(OR(INDEX($B724:$D724,AI$5)="F",AND(AI$6&gt;0,$A724&lt;AI$6),AND(AI$7&gt;0,$A724&gt;AI$7)),0,MAX(0,ROUND((INDEX($E724:$G724,AI$5)-SUMIFS(TF_Timer,TF_Tekniker,AI$4,TF_Dato,$A724))*2,0)/2)))</f>
        <v/>
      </c>
      <c r="AJ724">
        <f>IF(OR(AJ$4="",$A724&gt;TODAY()),0,IF(OR(INDEX($B724:$D724,AJ$5)="F",AND(AJ$6&gt;0,$A724&lt;AJ$6),AND(AJ$7&gt;0,$A724&gt;AJ$7)),0,MAX(0,ROUND((INDEX($E724:$G724,AJ$5)-SUMIFS(TF_Timer,TF_Tekniker,AJ$4,TF_Dato,$A724))*2,0)/2)))</f>
        <v/>
      </c>
      <c r="AK724">
        <f>IF(OR(AK$4="",$A724&gt;TODAY()),0,IF(OR(INDEX($B724:$D724,AK$5)="F",AND(AK$6&gt;0,$A724&lt;AK$6),AND(AK$7&gt;0,$A724&gt;AK$7)),0,MAX(0,ROUND((INDEX($E724:$G724,AK$5)-SUMIFS(TF_Timer,TF_Tekniker,AK$4,TF_Dato,$A724))*2,0)/2)))</f>
        <v/>
      </c>
      <c r="AL724">
        <f>IF(OR(AL$4="",$A724&gt;TODAY()),0,IF(OR(INDEX($B724:$D724,AL$5)="F",AND(AL$6&gt;0,$A724&lt;AL$6),AND(AL$7&gt;0,$A724&gt;AL$7)),0,MAX(0,ROUND((INDEX($E724:$G724,AL$5)-SUMIFS(TF_Timer,TF_Tekniker,AL$4,TF_Dato,$A724))*2,0)/2)))</f>
        <v/>
      </c>
      <c r="AM724">
        <f>IF(OR(AM$4="",$A724&gt;TODAY()),0,IF(OR(INDEX($B724:$D724,AM$5)="F",AND(AM$6&gt;0,$A724&lt;AM$6),AND(AM$7&gt;0,$A724&gt;AM$7)),0,MAX(0,ROUND((INDEX($E724:$G724,AM$5)-SUMIFS(TF_Timer,TF_Tekniker,AM$4,TF_Dato,$A724))*2,0)/2)))</f>
        <v/>
      </c>
      <c r="AN724">
        <f>IF(OR(AN$4="",$A724&gt;TODAY()),0,IF(OR(INDEX($B724:$D724,AN$5)="F",AND(AN$6&gt;0,$A724&lt;AN$6),AND(AN$7&gt;0,$A724&gt;AN$7)),0,MAX(0,ROUND((INDEX($E724:$G724,AN$5)-SUMIFS(TF_Timer,TF_Tekniker,AN$4,TF_Dato,$A724))*2,0)/2)))</f>
        <v/>
      </c>
      <c r="AO724">
        <f>IF(OR(AO$4="",$A724&gt;TODAY()),0,IF(OR(INDEX($B724:$D724,AO$5)="F",AND(AO$6&gt;0,$A724&lt;AO$6),AND(AO$7&gt;0,$A724&gt;AO$7)),0,MAX(0,ROUND((INDEX($E724:$G724,AO$5)-SUMIFS(TF_Timer,TF_Tekniker,AO$4,TF_Dato,$A724))*2,0)/2)))</f>
        <v/>
      </c>
      <c r="AP724">
        <f>IF(OR(AP$4="",$A724&gt;TODAY()),0,IF(OR(INDEX($B724:$D724,AP$5)="F",AND(AP$6&gt;0,$A724&lt;AP$6),AND(AP$7&gt;0,$A724&gt;AP$7)),0,MAX(0,ROUND((INDEX($E724:$G724,AP$5)-SUMIFS(TF_Timer,TF_Tekniker,AP$4,TF_Dato,$A724))*2,0)/2)))</f>
        <v/>
      </c>
      <c r="AQ724">
        <f>IF(OR(AQ$4="",$A724&gt;TODAY()),0,IF(OR(INDEX($B724:$D724,AQ$5)="F",AND(AQ$6&gt;0,$A724&lt;AQ$6),AND(AQ$7&gt;0,$A724&gt;AQ$7)),0,MAX(0,ROUND((INDEX($E724:$G724,AQ$5)-SUMIFS(TF_Timer,TF_Tekniker,AQ$4,TF_Dato,$A724))*2,0)/2)))</f>
        <v/>
      </c>
      <c r="AR724">
        <f>IF(OR(AR$4="",$A724&gt;TODAY()),0,IF(OR(INDEX($B724:$D724,AR$5)="F",AND(AR$6&gt;0,$A724&lt;AR$6),AND(AR$7&gt;0,$A724&gt;AR$7)),0,MAX(0,ROUND((INDEX($E724:$G724,AR$5)-SUMIFS(TF_Timer,TF_Tekniker,AR$4,TF_Dato,$A724))*2,0)/2)))</f>
        <v/>
      </c>
      <c r="AS724">
        <f>IF(OR(AS$4="",$A724&gt;TODAY()),0,IF(OR(INDEX($B724:$D724,AS$5)="F",AND(AS$6&gt;0,$A724&lt;AS$6),AND(AS$7&gt;0,$A724&gt;AS$7)),0,MAX(0,ROUND((INDEX($E724:$G724,AS$5)-SUMIFS(TF_Timer,TF_Tekniker,AS$4,TF_Dato,$A724))*2,0)/2)))</f>
        <v/>
      </c>
      <c r="AT724">
        <f>IF(OR(AT$4="",$A724&gt;TODAY()),0,IF(OR(INDEX($B724:$D724,AT$5)="F",AND(AT$6&gt;0,$A724&lt;AT$6),AND(AT$7&gt;0,$A724&gt;AT$7)),0,MAX(0,ROUND((INDEX($E724:$G724,AT$5)-SUMIFS(TF_Timer,TF_Tekniker,AT$4,TF_Dato,$A724))*2,0)/2)))</f>
        <v/>
      </c>
      <c r="AU724">
        <f>IF(OR(AU$4="",$A724&gt;TODAY()),0,IF(OR(INDEX($B724:$D724,AU$5)="F",AND(AU$6&gt;0,$A724&lt;AU$6),AND(AU$7&gt;0,$A724&gt;AU$7)),0,MAX(0,ROUND((INDEX($E724:$G724,AU$5)-SUMIFS(TF_Timer,TF_Tekniker,AU$4,TF_Dato,$A724))*2,0)/2)))</f>
        <v/>
      </c>
      <c r="AV724">
        <f>IF(OR(AV$4="",$A724&gt;TODAY()),0,IF(OR(INDEX($B724:$D724,AV$5)="F",AND(AV$6&gt;0,$A724&lt;AV$6),AND(AV$7&gt;0,$A724&gt;AV$7)),0,MAX(0,ROUND((INDEX($E724:$G724,AV$5)-SUMIFS(TF_Timer,TF_Tekniker,AV$4,TF_Dato,$A724))*2,0)/2)))</f>
        <v/>
      </c>
      <c r="AW724">
        <f>IF(OR(AW$4="",$A724&gt;TODAY()),0,IF(OR(INDEX($B724:$D724,AW$5)="F",AND(AW$6&gt;0,$A724&lt;AW$6),AND(AW$7&gt;0,$A724&gt;AW$7)),0,MAX(0,ROUND((INDEX($E724:$G724,AW$5)-SUMIFS(TF_Timer,TF_Tekniker,AW$4,TF_Dato,$A724))*2,0)/2)))</f>
        <v/>
      </c>
      <c r="AX724">
        <f>IF(OR(AX$4="",$A724&gt;TODAY()),0,IF(OR(INDEX($B724:$D724,AX$5)="F",AND(AX$6&gt;0,$A724&lt;AX$6),AND(AX$7&gt;0,$A724&gt;AX$7)),0,MAX(0,ROUND((INDEX($E724:$G724,AX$5)-SUMIFS(TF_Timer,TF_Tekniker,AX$4,TF_Dato,$A724))*2,0)/2)))</f>
        <v/>
      </c>
      <c r="AY724">
        <f>IF(OR(AY$4="",$A724&gt;TODAY()),0,IF(OR(INDEX($B724:$D724,AY$5)="F",AND(AY$6&gt;0,$A724&lt;AY$6),AND(AY$7&gt;0,$A724&gt;AY$7)),0,MAX(0,ROUND((INDEX($E724:$G724,AY$5)-SUMIFS(TF_Timer,TF_Tekniker,AY$4,TF_Dato,$A724))*2,0)/2)))</f>
        <v/>
      </c>
      <c r="AZ724">
        <f>IF(OR(AZ$4="",$A724&gt;TODAY()),0,IF(OR(INDEX($B724:$D724,AZ$5)="F",AND(AZ$6&gt;0,$A724&lt;AZ$6),AND(AZ$7&gt;0,$A724&gt;AZ$7)),0,MAX(0,ROUND((INDEX($E724:$G724,AZ$5)-SUMIFS(TF_Timer,TF_Tekniker,AZ$4,TF_Dato,$A724))*2,0)/2)))</f>
        <v/>
      </c>
      <c r="BA724">
        <f>IF(OR(BA$4="",$A724&gt;TODAY()),0,IF(OR(INDEX($B724:$D724,BA$5)="F",AND(BA$6&gt;0,$A724&lt;BA$6),AND(BA$7&gt;0,$A724&gt;BA$7)),0,MAX(0,ROUND((INDEX($E724:$G724,BA$5)-SUMIFS(TF_Timer,TF_Tekniker,BA$4,TF_Dato,$A724))*2,0)/2)))</f>
        <v/>
      </c>
      <c r="BB724">
        <f>IF(OR(BB$4="",$A724&gt;TODAY()),0,IF(OR(INDEX($B724:$D724,BB$5)="F",AND(BB$6&gt;0,$A724&lt;BB$6),AND(BB$7&gt;0,$A724&gt;BB$7)),0,MAX(0,ROUND((INDEX($E724:$G724,BB$5)-SUMIFS(TF_Timer,TF_Tekniker,BB$4,TF_Dato,$A724))*2,0)/2)))</f>
        <v/>
      </c>
      <c r="BC724">
        <f>IF(OR(BC$4="",$A724&gt;TODAY()),0,IF(OR(INDEX($B724:$D724,BC$5)="F",AND(BC$6&gt;0,$A724&lt;BC$6),AND(BC$7&gt;0,$A724&gt;BC$7)),0,MAX(0,ROUND((INDEX($E724:$G724,BC$5)-SUMIFS(TF_Timer,TF_Tekniker,BC$4,TF_Dato,$A724))*2,0)/2)))</f>
        <v/>
      </c>
      <c r="BD724">
        <f>IF(OR(BD$4="",$A724&gt;TODAY()),0,IF(OR(INDEX($B724:$D724,BD$5)="F",AND(BD$6&gt;0,$A724&lt;BD$6),AND(BD$7&gt;0,$A724&gt;BD$7)),0,MAX(0,ROUND((INDEX($E724:$G724,BD$5)-SUMIFS(TF_Timer,TF_Tekniker,BD$4,TF_Dato,$A724))*2,0)/2)))</f>
        <v/>
      </c>
      <c r="BE724">
        <f>IF(OR(BE$4="",$A724&gt;TODAY()),0,IF(OR(INDEX($B724:$D724,BE$5)="F",AND(BE$6&gt;0,$A724&lt;BE$6),AND(BE$7&gt;0,$A724&gt;BE$7)),0,MAX(0,ROUND((INDEX($E724:$G724,BE$5)-SUMIFS(TF_Timer,TF_Tekniker,BE$4,TF_Dato,$A724))*2,0)/2)))</f>
        <v/>
      </c>
      <c r="BF724">
        <f>IF(OR(BF$4="",$A724&gt;TODAY()),0,IF(OR(INDEX($B724:$D724,BF$5)="F",AND(BF$6&gt;0,$A724&lt;BF$6),AND(BF$7&gt;0,$A724&gt;BF$7)),0,MAX(0,ROUND((INDEX($E724:$G724,BF$5)-SUMIFS(TF_Timer,TF_Tekniker,BF$4,TF_Dato,$A724))*2,0)/2)))</f>
        <v/>
      </c>
      <c r="BG724">
        <f>IF(OR(BG$4="",$A724&gt;TODAY()),0,IF(OR(INDEX($B724:$D724,BG$5)="F",AND(BG$6&gt;0,$A724&lt;BG$6),AND(BG$7&gt;0,$A724&gt;BG$7)),0,MAX(0,ROUND((INDEX($E724:$G724,BG$5)-SUMIFS(TF_Timer,TF_Tekniker,BG$4,TF_Dato,$A724))*2,0)/2)))</f>
        <v/>
      </c>
      <c r="BH724">
        <f>IF(OR(BH$4="",$A724&gt;TODAY()),0,IF(OR(INDEX($B724:$D724,BH$5)="F",AND(BH$6&gt;0,$A724&lt;BH$6),AND(BH$7&gt;0,$A724&gt;BH$7)),0,MAX(0,ROUND((INDEX($E724:$G724,BH$5)-SUMIFS(TF_Timer,TF_Tekniker,BH$4,TF_Dato,$A724))*2,0)/2)))</f>
        <v/>
      </c>
      <c r="BI724">
        <f>IF(OR(BI$4="",$A724&gt;TODAY()),0,IF(OR(INDEX($B724:$D724,BI$5)="F",AND(BI$6&gt;0,$A724&lt;BI$6),AND(BI$7&gt;0,$A724&gt;BI$7)),0,MAX(0,ROUND((INDEX($E724:$G724,BI$5)-SUMIFS(TF_Timer,TF_Tekniker,BI$4,TF_Dato,$A724))*2,0)/2)))</f>
        <v/>
      </c>
    </row>
    <row r="725">
      <c r="A725" s="64">
        <f>A724+1</f>
        <v/>
      </c>
      <c r="B725">
        <f>IF(MOD($A725-INDEX(SkiftStart,1),Syklus)&lt;DagK,"K",IF(MOD($A725-INDEX(SkiftStart,1),Syklus)&lt;DagK+DagH,"H",IF(MOD($A725-INDEX(SkiftStart,1),Syklus)&lt;DagK+DagH+DagD,"D","F")))</f>
        <v/>
      </c>
      <c r="C725">
        <f>IF(MOD($A725-INDEX(SkiftStart,2),Syklus)&lt;DagK,"K",IF(MOD($A725-INDEX(SkiftStart,2),Syklus)&lt;DagK+DagH,"H",IF(MOD($A725-INDEX(SkiftStart,2),Syklus)&lt;DagK+DagH+DagD,"D","F")))</f>
        <v/>
      </c>
      <c r="D725">
        <f>IF(MOD($A725-INDEX(SkiftStart,3),Syklus)&lt;DagK,"K",IF(MOD($A725-INDEX(SkiftStart,3),Syklus)&lt;DagK+DagH,"H",IF(MOD($A725-INDEX(SkiftStart,3),Syklus)&lt;DagK+DagH+DagD,"D","F")))</f>
        <v/>
      </c>
      <c r="E725">
        <f>IF(B725="F",0,IF(WEEKDAY($A725,2)=5,INDEX(TimerFr,MATCH(B725,FaseKode,0)),INDEX(TimerMT,MATCH(B725,FaseKode,0))))</f>
        <v/>
      </c>
      <c r="F725">
        <f>IF(C725="F",0,IF(WEEKDAY($A725,2)=5,INDEX(TimerFr,MATCH(C725,FaseKode,0)),INDEX(TimerMT,MATCH(C725,FaseKode,0))))</f>
        <v/>
      </c>
      <c r="G725">
        <f>IF(D725="F",0,IF(WEEKDAY($A725,2)=5,INDEX(TimerFr,MATCH(D725,FaseKode,0)),INDEX(TimerMT,MATCH(D725,FaseKode,0))))</f>
        <v/>
      </c>
      <c r="H725">
        <f>IF(OR(H$4="",$A725&gt;TODAY()),0,IF(OR(INDEX($B725:$D725,H$5)="F",AND(H$6&gt;0,$A725&lt;H$6),AND(H$7&gt;0,$A725&gt;H$7)),0,MAX(0,ROUND((INDEX($E725:$G725,H$5)-SUMIFS(TF_Timer,TF_Tekniker,H$4,TF_Dato,$A725))*2,0)/2)))</f>
        <v/>
      </c>
      <c r="I725">
        <f>IF(OR(I$4="",$A725&gt;TODAY()),0,IF(OR(INDEX($B725:$D725,I$5)="F",AND(I$6&gt;0,$A725&lt;I$6),AND(I$7&gt;0,$A725&gt;I$7)),0,MAX(0,ROUND((INDEX($E725:$G725,I$5)-SUMIFS(TF_Timer,TF_Tekniker,I$4,TF_Dato,$A725))*2,0)/2)))</f>
        <v/>
      </c>
      <c r="J725">
        <f>IF(OR(J$4="",$A725&gt;TODAY()),0,IF(OR(INDEX($B725:$D725,J$5)="F",AND(J$6&gt;0,$A725&lt;J$6),AND(J$7&gt;0,$A725&gt;J$7)),0,MAX(0,ROUND((INDEX($E725:$G725,J$5)-SUMIFS(TF_Timer,TF_Tekniker,J$4,TF_Dato,$A725))*2,0)/2)))</f>
        <v/>
      </c>
      <c r="K725">
        <f>IF(OR(K$4="",$A725&gt;TODAY()),0,IF(OR(INDEX($B725:$D725,K$5)="F",AND(K$6&gt;0,$A725&lt;K$6),AND(K$7&gt;0,$A725&gt;K$7)),0,MAX(0,ROUND((INDEX($E725:$G725,K$5)-SUMIFS(TF_Timer,TF_Tekniker,K$4,TF_Dato,$A725))*2,0)/2)))</f>
        <v/>
      </c>
      <c r="L725">
        <f>IF(OR(L$4="",$A725&gt;TODAY()),0,IF(OR(INDEX($B725:$D725,L$5)="F",AND(L$6&gt;0,$A725&lt;L$6),AND(L$7&gt;0,$A725&gt;L$7)),0,MAX(0,ROUND((INDEX($E725:$G725,L$5)-SUMIFS(TF_Timer,TF_Tekniker,L$4,TF_Dato,$A725))*2,0)/2)))</f>
        <v/>
      </c>
      <c r="M725">
        <f>IF(OR(M$4="",$A725&gt;TODAY()),0,IF(OR(INDEX($B725:$D725,M$5)="F",AND(M$6&gt;0,$A725&lt;M$6),AND(M$7&gt;0,$A725&gt;M$7)),0,MAX(0,ROUND((INDEX($E725:$G725,M$5)-SUMIFS(TF_Timer,TF_Tekniker,M$4,TF_Dato,$A725))*2,0)/2)))</f>
        <v/>
      </c>
      <c r="N725">
        <f>IF(OR(N$4="",$A725&gt;TODAY()),0,IF(OR(INDEX($B725:$D725,N$5)="F",AND(N$6&gt;0,$A725&lt;N$6),AND(N$7&gt;0,$A725&gt;N$7)),0,MAX(0,ROUND((INDEX($E725:$G725,N$5)-SUMIFS(TF_Timer,TF_Tekniker,N$4,TF_Dato,$A725))*2,0)/2)))</f>
        <v/>
      </c>
      <c r="O725">
        <f>IF(OR(O$4="",$A725&gt;TODAY()),0,IF(OR(INDEX($B725:$D725,O$5)="F",AND(O$6&gt;0,$A725&lt;O$6),AND(O$7&gt;0,$A725&gt;O$7)),0,MAX(0,ROUND((INDEX($E725:$G725,O$5)-SUMIFS(TF_Timer,TF_Tekniker,O$4,TF_Dato,$A725))*2,0)/2)))</f>
        <v/>
      </c>
      <c r="P725">
        <f>IF(OR(P$4="",$A725&gt;TODAY()),0,IF(OR(INDEX($B725:$D725,P$5)="F",AND(P$6&gt;0,$A725&lt;P$6),AND(P$7&gt;0,$A725&gt;P$7)),0,MAX(0,ROUND((INDEX($E725:$G725,P$5)-SUMIFS(TF_Timer,TF_Tekniker,P$4,TF_Dato,$A725))*2,0)/2)))</f>
        <v/>
      </c>
      <c r="Q725">
        <f>IF(OR(Q$4="",$A725&gt;TODAY()),0,IF(OR(INDEX($B725:$D725,Q$5)="F",AND(Q$6&gt;0,$A725&lt;Q$6),AND(Q$7&gt;0,$A725&gt;Q$7)),0,MAX(0,ROUND((INDEX($E725:$G725,Q$5)-SUMIFS(TF_Timer,TF_Tekniker,Q$4,TF_Dato,$A725))*2,0)/2)))</f>
        <v/>
      </c>
      <c r="R725">
        <f>IF(OR(R$4="",$A725&gt;TODAY()),0,IF(OR(INDEX($B725:$D725,R$5)="F",AND(R$6&gt;0,$A725&lt;R$6),AND(R$7&gt;0,$A725&gt;R$7)),0,MAX(0,ROUND((INDEX($E725:$G725,R$5)-SUMIFS(TF_Timer,TF_Tekniker,R$4,TF_Dato,$A725))*2,0)/2)))</f>
        <v/>
      </c>
      <c r="S725">
        <f>IF(OR(S$4="",$A725&gt;TODAY()),0,IF(OR(INDEX($B725:$D725,S$5)="F",AND(S$6&gt;0,$A725&lt;S$6),AND(S$7&gt;0,$A725&gt;S$7)),0,MAX(0,ROUND((INDEX($E725:$G725,S$5)-SUMIFS(TF_Timer,TF_Tekniker,S$4,TF_Dato,$A725))*2,0)/2)))</f>
        <v/>
      </c>
      <c r="T725">
        <f>IF(OR(T$4="",$A725&gt;TODAY()),0,IF(OR(INDEX($B725:$D725,T$5)="F",AND(T$6&gt;0,$A725&lt;T$6),AND(T$7&gt;0,$A725&gt;T$7)),0,MAX(0,ROUND((INDEX($E725:$G725,T$5)-SUMIFS(TF_Timer,TF_Tekniker,T$4,TF_Dato,$A725))*2,0)/2)))</f>
        <v/>
      </c>
      <c r="U725">
        <f>IF(OR(U$4="",$A725&gt;TODAY()),0,IF(OR(INDEX($B725:$D725,U$5)="F",AND(U$6&gt;0,$A725&lt;U$6),AND(U$7&gt;0,$A725&gt;U$7)),0,MAX(0,ROUND((INDEX($E725:$G725,U$5)-SUMIFS(TF_Timer,TF_Tekniker,U$4,TF_Dato,$A725))*2,0)/2)))</f>
        <v/>
      </c>
      <c r="V725">
        <f>IF(OR(V$4="",$A725&gt;TODAY()),0,IF(OR(INDEX($B725:$D725,V$5)="F",AND(V$6&gt;0,$A725&lt;V$6),AND(V$7&gt;0,$A725&gt;V$7)),0,MAX(0,ROUND((INDEX($E725:$G725,V$5)-SUMIFS(TF_Timer,TF_Tekniker,V$4,TF_Dato,$A725))*2,0)/2)))</f>
        <v/>
      </c>
      <c r="W725">
        <f>IF(OR(W$4="",$A725&gt;TODAY()),0,IF(OR(INDEX($B725:$D725,W$5)="F",AND(W$6&gt;0,$A725&lt;W$6),AND(W$7&gt;0,$A725&gt;W$7)),0,MAX(0,ROUND((INDEX($E725:$G725,W$5)-SUMIFS(TF_Timer,TF_Tekniker,W$4,TF_Dato,$A725))*2,0)/2)))</f>
        <v/>
      </c>
      <c r="X725">
        <f>IF(OR(X$4="",$A725&gt;TODAY()),0,IF(OR(INDEX($B725:$D725,X$5)="F",AND(X$6&gt;0,$A725&lt;X$6),AND(X$7&gt;0,$A725&gt;X$7)),0,MAX(0,ROUND((INDEX($E725:$G725,X$5)-SUMIFS(TF_Timer,TF_Tekniker,X$4,TF_Dato,$A725))*2,0)/2)))</f>
        <v/>
      </c>
      <c r="Y725">
        <f>IF(OR(Y$4="",$A725&gt;TODAY()),0,IF(OR(INDEX($B725:$D725,Y$5)="F",AND(Y$6&gt;0,$A725&lt;Y$6),AND(Y$7&gt;0,$A725&gt;Y$7)),0,MAX(0,ROUND((INDEX($E725:$G725,Y$5)-SUMIFS(TF_Timer,TF_Tekniker,Y$4,TF_Dato,$A725))*2,0)/2)))</f>
        <v/>
      </c>
      <c r="Z725">
        <f>IF(OR(Z$4="",$A725&gt;TODAY()),0,IF(OR(INDEX($B725:$D725,Z$5)="F",AND(Z$6&gt;0,$A725&lt;Z$6),AND(Z$7&gt;0,$A725&gt;Z$7)),0,MAX(0,ROUND((INDEX($E725:$G725,Z$5)-SUMIFS(TF_Timer,TF_Tekniker,Z$4,TF_Dato,$A725))*2,0)/2)))</f>
        <v/>
      </c>
      <c r="AA725">
        <f>IF(OR(AA$4="",$A725&gt;TODAY()),0,IF(OR(INDEX($B725:$D725,AA$5)="F",AND(AA$6&gt;0,$A725&lt;AA$6),AND(AA$7&gt;0,$A725&gt;AA$7)),0,MAX(0,ROUND((INDEX($E725:$G725,AA$5)-SUMIFS(TF_Timer,TF_Tekniker,AA$4,TF_Dato,$A725))*2,0)/2)))</f>
        <v/>
      </c>
      <c r="AB725">
        <f>IF(OR(AB$4="",$A725&gt;TODAY()),0,IF(OR(INDEX($B725:$D725,AB$5)="F",AND(AB$6&gt;0,$A725&lt;AB$6),AND(AB$7&gt;0,$A725&gt;AB$7)),0,MAX(0,ROUND((INDEX($E725:$G725,AB$5)-SUMIFS(TF_Timer,TF_Tekniker,AB$4,TF_Dato,$A725))*2,0)/2)))</f>
        <v/>
      </c>
      <c r="AC725">
        <f>IF(OR(AC$4="",$A725&gt;TODAY()),0,IF(OR(INDEX($B725:$D725,AC$5)="F",AND(AC$6&gt;0,$A725&lt;AC$6),AND(AC$7&gt;0,$A725&gt;AC$7)),0,MAX(0,ROUND((INDEX($E725:$G725,AC$5)-SUMIFS(TF_Timer,TF_Tekniker,AC$4,TF_Dato,$A725))*2,0)/2)))</f>
        <v/>
      </c>
      <c r="AD725">
        <f>IF(OR(AD$4="",$A725&gt;TODAY()),0,IF(OR(INDEX($B725:$D725,AD$5)="F",AND(AD$6&gt;0,$A725&lt;AD$6),AND(AD$7&gt;0,$A725&gt;AD$7)),0,MAX(0,ROUND((INDEX($E725:$G725,AD$5)-SUMIFS(TF_Timer,TF_Tekniker,AD$4,TF_Dato,$A725))*2,0)/2)))</f>
        <v/>
      </c>
      <c r="AE725">
        <f>IF(OR(AE$4="",$A725&gt;TODAY()),0,IF(OR(INDEX($B725:$D725,AE$5)="F",AND(AE$6&gt;0,$A725&lt;AE$6),AND(AE$7&gt;0,$A725&gt;AE$7)),0,MAX(0,ROUND((INDEX($E725:$G725,AE$5)-SUMIFS(TF_Timer,TF_Tekniker,AE$4,TF_Dato,$A725))*2,0)/2)))</f>
        <v/>
      </c>
      <c r="AF725">
        <f>IF(OR(AF$4="",$A725&gt;TODAY()),0,IF(OR(INDEX($B725:$D725,AF$5)="F",AND(AF$6&gt;0,$A725&lt;AF$6),AND(AF$7&gt;0,$A725&gt;AF$7)),0,MAX(0,ROUND((INDEX($E725:$G725,AF$5)-SUMIFS(TF_Timer,TF_Tekniker,AF$4,TF_Dato,$A725))*2,0)/2)))</f>
        <v/>
      </c>
      <c r="AG725">
        <f>IF(OR(AG$4="",$A725&gt;TODAY()),0,IF(OR(INDEX($B725:$D725,AG$5)="F",AND(AG$6&gt;0,$A725&lt;AG$6),AND(AG$7&gt;0,$A725&gt;AG$7)),0,MAX(0,ROUND((INDEX($E725:$G725,AG$5)-SUMIFS(TF_Timer,TF_Tekniker,AG$4,TF_Dato,$A725))*2,0)/2)))</f>
        <v/>
      </c>
      <c r="AH725">
        <f>IF(OR(AH$4="",$A725&gt;TODAY()),0,IF(OR(INDEX($B725:$D725,AH$5)="F",AND(AH$6&gt;0,$A725&lt;AH$6),AND(AH$7&gt;0,$A725&gt;AH$7)),0,MAX(0,ROUND((INDEX($E725:$G725,AH$5)-SUMIFS(TF_Timer,TF_Tekniker,AH$4,TF_Dato,$A725))*2,0)/2)))</f>
        <v/>
      </c>
      <c r="AI725">
        <f>IF(OR(AI$4="",$A725&gt;TODAY()),0,IF(OR(INDEX($B725:$D725,AI$5)="F",AND(AI$6&gt;0,$A725&lt;AI$6),AND(AI$7&gt;0,$A725&gt;AI$7)),0,MAX(0,ROUND((INDEX($E725:$G725,AI$5)-SUMIFS(TF_Timer,TF_Tekniker,AI$4,TF_Dato,$A725))*2,0)/2)))</f>
        <v/>
      </c>
      <c r="AJ725">
        <f>IF(OR(AJ$4="",$A725&gt;TODAY()),0,IF(OR(INDEX($B725:$D725,AJ$5)="F",AND(AJ$6&gt;0,$A725&lt;AJ$6),AND(AJ$7&gt;0,$A725&gt;AJ$7)),0,MAX(0,ROUND((INDEX($E725:$G725,AJ$5)-SUMIFS(TF_Timer,TF_Tekniker,AJ$4,TF_Dato,$A725))*2,0)/2)))</f>
        <v/>
      </c>
      <c r="AK725">
        <f>IF(OR(AK$4="",$A725&gt;TODAY()),0,IF(OR(INDEX($B725:$D725,AK$5)="F",AND(AK$6&gt;0,$A725&lt;AK$6),AND(AK$7&gt;0,$A725&gt;AK$7)),0,MAX(0,ROUND((INDEX($E725:$G725,AK$5)-SUMIFS(TF_Timer,TF_Tekniker,AK$4,TF_Dato,$A725))*2,0)/2)))</f>
        <v/>
      </c>
      <c r="AL725">
        <f>IF(OR(AL$4="",$A725&gt;TODAY()),0,IF(OR(INDEX($B725:$D725,AL$5)="F",AND(AL$6&gt;0,$A725&lt;AL$6),AND(AL$7&gt;0,$A725&gt;AL$7)),0,MAX(0,ROUND((INDEX($E725:$G725,AL$5)-SUMIFS(TF_Timer,TF_Tekniker,AL$4,TF_Dato,$A725))*2,0)/2)))</f>
        <v/>
      </c>
      <c r="AM725">
        <f>IF(OR(AM$4="",$A725&gt;TODAY()),0,IF(OR(INDEX($B725:$D725,AM$5)="F",AND(AM$6&gt;0,$A725&lt;AM$6),AND(AM$7&gt;0,$A725&gt;AM$7)),0,MAX(0,ROUND((INDEX($E725:$G725,AM$5)-SUMIFS(TF_Timer,TF_Tekniker,AM$4,TF_Dato,$A725))*2,0)/2)))</f>
        <v/>
      </c>
      <c r="AN725">
        <f>IF(OR(AN$4="",$A725&gt;TODAY()),0,IF(OR(INDEX($B725:$D725,AN$5)="F",AND(AN$6&gt;0,$A725&lt;AN$6),AND(AN$7&gt;0,$A725&gt;AN$7)),0,MAX(0,ROUND((INDEX($E725:$G725,AN$5)-SUMIFS(TF_Timer,TF_Tekniker,AN$4,TF_Dato,$A725))*2,0)/2)))</f>
        <v/>
      </c>
      <c r="AO725">
        <f>IF(OR(AO$4="",$A725&gt;TODAY()),0,IF(OR(INDEX($B725:$D725,AO$5)="F",AND(AO$6&gt;0,$A725&lt;AO$6),AND(AO$7&gt;0,$A725&gt;AO$7)),0,MAX(0,ROUND((INDEX($E725:$G725,AO$5)-SUMIFS(TF_Timer,TF_Tekniker,AO$4,TF_Dato,$A725))*2,0)/2)))</f>
        <v/>
      </c>
      <c r="AP725">
        <f>IF(OR(AP$4="",$A725&gt;TODAY()),0,IF(OR(INDEX($B725:$D725,AP$5)="F",AND(AP$6&gt;0,$A725&lt;AP$6),AND(AP$7&gt;0,$A725&gt;AP$7)),0,MAX(0,ROUND((INDEX($E725:$G725,AP$5)-SUMIFS(TF_Timer,TF_Tekniker,AP$4,TF_Dato,$A725))*2,0)/2)))</f>
        <v/>
      </c>
      <c r="AQ725">
        <f>IF(OR(AQ$4="",$A725&gt;TODAY()),0,IF(OR(INDEX($B725:$D725,AQ$5)="F",AND(AQ$6&gt;0,$A725&lt;AQ$6),AND(AQ$7&gt;0,$A725&gt;AQ$7)),0,MAX(0,ROUND((INDEX($E725:$G725,AQ$5)-SUMIFS(TF_Timer,TF_Tekniker,AQ$4,TF_Dato,$A725))*2,0)/2)))</f>
        <v/>
      </c>
      <c r="AR725">
        <f>IF(OR(AR$4="",$A725&gt;TODAY()),0,IF(OR(INDEX($B725:$D725,AR$5)="F",AND(AR$6&gt;0,$A725&lt;AR$6),AND(AR$7&gt;0,$A725&gt;AR$7)),0,MAX(0,ROUND((INDEX($E725:$G725,AR$5)-SUMIFS(TF_Timer,TF_Tekniker,AR$4,TF_Dato,$A725))*2,0)/2)))</f>
        <v/>
      </c>
      <c r="AS725">
        <f>IF(OR(AS$4="",$A725&gt;TODAY()),0,IF(OR(INDEX($B725:$D725,AS$5)="F",AND(AS$6&gt;0,$A725&lt;AS$6),AND(AS$7&gt;0,$A725&gt;AS$7)),0,MAX(0,ROUND((INDEX($E725:$G725,AS$5)-SUMIFS(TF_Timer,TF_Tekniker,AS$4,TF_Dato,$A725))*2,0)/2)))</f>
        <v/>
      </c>
      <c r="AT725">
        <f>IF(OR(AT$4="",$A725&gt;TODAY()),0,IF(OR(INDEX($B725:$D725,AT$5)="F",AND(AT$6&gt;0,$A725&lt;AT$6),AND(AT$7&gt;0,$A725&gt;AT$7)),0,MAX(0,ROUND((INDEX($E725:$G725,AT$5)-SUMIFS(TF_Timer,TF_Tekniker,AT$4,TF_Dato,$A725))*2,0)/2)))</f>
        <v/>
      </c>
      <c r="AU725">
        <f>IF(OR(AU$4="",$A725&gt;TODAY()),0,IF(OR(INDEX($B725:$D725,AU$5)="F",AND(AU$6&gt;0,$A725&lt;AU$6),AND(AU$7&gt;0,$A725&gt;AU$7)),0,MAX(0,ROUND((INDEX($E725:$G725,AU$5)-SUMIFS(TF_Timer,TF_Tekniker,AU$4,TF_Dato,$A725))*2,0)/2)))</f>
        <v/>
      </c>
      <c r="AV725">
        <f>IF(OR(AV$4="",$A725&gt;TODAY()),0,IF(OR(INDEX($B725:$D725,AV$5)="F",AND(AV$6&gt;0,$A725&lt;AV$6),AND(AV$7&gt;0,$A725&gt;AV$7)),0,MAX(0,ROUND((INDEX($E725:$G725,AV$5)-SUMIFS(TF_Timer,TF_Tekniker,AV$4,TF_Dato,$A725))*2,0)/2)))</f>
        <v/>
      </c>
      <c r="AW725">
        <f>IF(OR(AW$4="",$A725&gt;TODAY()),0,IF(OR(INDEX($B725:$D725,AW$5)="F",AND(AW$6&gt;0,$A725&lt;AW$6),AND(AW$7&gt;0,$A725&gt;AW$7)),0,MAX(0,ROUND((INDEX($E725:$G725,AW$5)-SUMIFS(TF_Timer,TF_Tekniker,AW$4,TF_Dato,$A725))*2,0)/2)))</f>
        <v/>
      </c>
      <c r="AX725">
        <f>IF(OR(AX$4="",$A725&gt;TODAY()),0,IF(OR(INDEX($B725:$D725,AX$5)="F",AND(AX$6&gt;0,$A725&lt;AX$6),AND(AX$7&gt;0,$A725&gt;AX$7)),0,MAX(0,ROUND((INDEX($E725:$G725,AX$5)-SUMIFS(TF_Timer,TF_Tekniker,AX$4,TF_Dato,$A725))*2,0)/2)))</f>
        <v/>
      </c>
      <c r="AY725">
        <f>IF(OR(AY$4="",$A725&gt;TODAY()),0,IF(OR(INDEX($B725:$D725,AY$5)="F",AND(AY$6&gt;0,$A725&lt;AY$6),AND(AY$7&gt;0,$A725&gt;AY$7)),0,MAX(0,ROUND((INDEX($E725:$G725,AY$5)-SUMIFS(TF_Timer,TF_Tekniker,AY$4,TF_Dato,$A725))*2,0)/2)))</f>
        <v/>
      </c>
      <c r="AZ725">
        <f>IF(OR(AZ$4="",$A725&gt;TODAY()),0,IF(OR(INDEX($B725:$D725,AZ$5)="F",AND(AZ$6&gt;0,$A725&lt;AZ$6),AND(AZ$7&gt;0,$A725&gt;AZ$7)),0,MAX(0,ROUND((INDEX($E725:$G725,AZ$5)-SUMIFS(TF_Timer,TF_Tekniker,AZ$4,TF_Dato,$A725))*2,0)/2)))</f>
        <v/>
      </c>
      <c r="BA725">
        <f>IF(OR(BA$4="",$A725&gt;TODAY()),0,IF(OR(INDEX($B725:$D725,BA$5)="F",AND(BA$6&gt;0,$A725&lt;BA$6),AND(BA$7&gt;0,$A725&gt;BA$7)),0,MAX(0,ROUND((INDEX($E725:$G725,BA$5)-SUMIFS(TF_Timer,TF_Tekniker,BA$4,TF_Dato,$A725))*2,0)/2)))</f>
        <v/>
      </c>
      <c r="BB725">
        <f>IF(OR(BB$4="",$A725&gt;TODAY()),0,IF(OR(INDEX($B725:$D725,BB$5)="F",AND(BB$6&gt;0,$A725&lt;BB$6),AND(BB$7&gt;0,$A725&gt;BB$7)),0,MAX(0,ROUND((INDEX($E725:$G725,BB$5)-SUMIFS(TF_Timer,TF_Tekniker,BB$4,TF_Dato,$A725))*2,0)/2)))</f>
        <v/>
      </c>
      <c r="BC725">
        <f>IF(OR(BC$4="",$A725&gt;TODAY()),0,IF(OR(INDEX($B725:$D725,BC$5)="F",AND(BC$6&gt;0,$A725&lt;BC$6),AND(BC$7&gt;0,$A725&gt;BC$7)),0,MAX(0,ROUND((INDEX($E725:$G725,BC$5)-SUMIFS(TF_Timer,TF_Tekniker,BC$4,TF_Dato,$A725))*2,0)/2)))</f>
        <v/>
      </c>
      <c r="BD725">
        <f>IF(OR(BD$4="",$A725&gt;TODAY()),0,IF(OR(INDEX($B725:$D725,BD$5)="F",AND(BD$6&gt;0,$A725&lt;BD$6),AND(BD$7&gt;0,$A725&gt;BD$7)),0,MAX(0,ROUND((INDEX($E725:$G725,BD$5)-SUMIFS(TF_Timer,TF_Tekniker,BD$4,TF_Dato,$A725))*2,0)/2)))</f>
        <v/>
      </c>
      <c r="BE725">
        <f>IF(OR(BE$4="",$A725&gt;TODAY()),0,IF(OR(INDEX($B725:$D725,BE$5)="F",AND(BE$6&gt;0,$A725&lt;BE$6),AND(BE$7&gt;0,$A725&gt;BE$7)),0,MAX(0,ROUND((INDEX($E725:$G725,BE$5)-SUMIFS(TF_Timer,TF_Tekniker,BE$4,TF_Dato,$A725))*2,0)/2)))</f>
        <v/>
      </c>
      <c r="BF725">
        <f>IF(OR(BF$4="",$A725&gt;TODAY()),0,IF(OR(INDEX($B725:$D725,BF$5)="F",AND(BF$6&gt;0,$A725&lt;BF$6),AND(BF$7&gt;0,$A725&gt;BF$7)),0,MAX(0,ROUND((INDEX($E725:$G725,BF$5)-SUMIFS(TF_Timer,TF_Tekniker,BF$4,TF_Dato,$A725))*2,0)/2)))</f>
        <v/>
      </c>
      <c r="BG725">
        <f>IF(OR(BG$4="",$A725&gt;TODAY()),0,IF(OR(INDEX($B725:$D725,BG$5)="F",AND(BG$6&gt;0,$A725&lt;BG$6),AND(BG$7&gt;0,$A725&gt;BG$7)),0,MAX(0,ROUND((INDEX($E725:$G725,BG$5)-SUMIFS(TF_Timer,TF_Tekniker,BG$4,TF_Dato,$A725))*2,0)/2)))</f>
        <v/>
      </c>
      <c r="BH725">
        <f>IF(OR(BH$4="",$A725&gt;TODAY()),0,IF(OR(INDEX($B725:$D725,BH$5)="F",AND(BH$6&gt;0,$A725&lt;BH$6),AND(BH$7&gt;0,$A725&gt;BH$7)),0,MAX(0,ROUND((INDEX($E725:$G725,BH$5)-SUMIFS(TF_Timer,TF_Tekniker,BH$4,TF_Dato,$A725))*2,0)/2)))</f>
        <v/>
      </c>
      <c r="BI725">
        <f>IF(OR(BI$4="",$A725&gt;TODAY()),0,IF(OR(INDEX($B725:$D725,BI$5)="F",AND(BI$6&gt;0,$A725&lt;BI$6),AND(BI$7&gt;0,$A725&gt;BI$7)),0,MAX(0,ROUND((INDEX($E725:$G725,BI$5)-SUMIFS(TF_Timer,TF_Tekniker,BI$4,TF_Dato,$A725))*2,0)/2)))</f>
        <v/>
      </c>
    </row>
    <row r="726">
      <c r="A726" s="64">
        <f>A725+1</f>
        <v/>
      </c>
      <c r="B726">
        <f>IF(MOD($A726-INDEX(SkiftStart,1),Syklus)&lt;DagK,"K",IF(MOD($A726-INDEX(SkiftStart,1),Syklus)&lt;DagK+DagH,"H",IF(MOD($A726-INDEX(SkiftStart,1),Syklus)&lt;DagK+DagH+DagD,"D","F")))</f>
        <v/>
      </c>
      <c r="C726">
        <f>IF(MOD($A726-INDEX(SkiftStart,2),Syklus)&lt;DagK,"K",IF(MOD($A726-INDEX(SkiftStart,2),Syklus)&lt;DagK+DagH,"H",IF(MOD($A726-INDEX(SkiftStart,2),Syklus)&lt;DagK+DagH+DagD,"D","F")))</f>
        <v/>
      </c>
      <c r="D726">
        <f>IF(MOD($A726-INDEX(SkiftStart,3),Syklus)&lt;DagK,"K",IF(MOD($A726-INDEX(SkiftStart,3),Syklus)&lt;DagK+DagH,"H",IF(MOD($A726-INDEX(SkiftStart,3),Syklus)&lt;DagK+DagH+DagD,"D","F")))</f>
        <v/>
      </c>
      <c r="E726">
        <f>IF(B726="F",0,IF(WEEKDAY($A726,2)=5,INDEX(TimerFr,MATCH(B726,FaseKode,0)),INDEX(TimerMT,MATCH(B726,FaseKode,0))))</f>
        <v/>
      </c>
      <c r="F726">
        <f>IF(C726="F",0,IF(WEEKDAY($A726,2)=5,INDEX(TimerFr,MATCH(C726,FaseKode,0)),INDEX(TimerMT,MATCH(C726,FaseKode,0))))</f>
        <v/>
      </c>
      <c r="G726">
        <f>IF(D726="F",0,IF(WEEKDAY($A726,2)=5,INDEX(TimerFr,MATCH(D726,FaseKode,0)),INDEX(TimerMT,MATCH(D726,FaseKode,0))))</f>
        <v/>
      </c>
      <c r="H726">
        <f>IF(OR(H$4="",$A726&gt;TODAY()),0,IF(OR(INDEX($B726:$D726,H$5)="F",AND(H$6&gt;0,$A726&lt;H$6),AND(H$7&gt;0,$A726&gt;H$7)),0,MAX(0,ROUND((INDEX($E726:$G726,H$5)-SUMIFS(TF_Timer,TF_Tekniker,H$4,TF_Dato,$A726))*2,0)/2)))</f>
        <v/>
      </c>
      <c r="I726">
        <f>IF(OR(I$4="",$A726&gt;TODAY()),0,IF(OR(INDEX($B726:$D726,I$5)="F",AND(I$6&gt;0,$A726&lt;I$6),AND(I$7&gt;0,$A726&gt;I$7)),0,MAX(0,ROUND((INDEX($E726:$G726,I$5)-SUMIFS(TF_Timer,TF_Tekniker,I$4,TF_Dato,$A726))*2,0)/2)))</f>
        <v/>
      </c>
      <c r="J726">
        <f>IF(OR(J$4="",$A726&gt;TODAY()),0,IF(OR(INDEX($B726:$D726,J$5)="F",AND(J$6&gt;0,$A726&lt;J$6),AND(J$7&gt;0,$A726&gt;J$7)),0,MAX(0,ROUND((INDEX($E726:$G726,J$5)-SUMIFS(TF_Timer,TF_Tekniker,J$4,TF_Dato,$A726))*2,0)/2)))</f>
        <v/>
      </c>
      <c r="K726">
        <f>IF(OR(K$4="",$A726&gt;TODAY()),0,IF(OR(INDEX($B726:$D726,K$5)="F",AND(K$6&gt;0,$A726&lt;K$6),AND(K$7&gt;0,$A726&gt;K$7)),0,MAX(0,ROUND((INDEX($E726:$G726,K$5)-SUMIFS(TF_Timer,TF_Tekniker,K$4,TF_Dato,$A726))*2,0)/2)))</f>
        <v/>
      </c>
      <c r="L726">
        <f>IF(OR(L$4="",$A726&gt;TODAY()),0,IF(OR(INDEX($B726:$D726,L$5)="F",AND(L$6&gt;0,$A726&lt;L$6),AND(L$7&gt;0,$A726&gt;L$7)),0,MAX(0,ROUND((INDEX($E726:$G726,L$5)-SUMIFS(TF_Timer,TF_Tekniker,L$4,TF_Dato,$A726))*2,0)/2)))</f>
        <v/>
      </c>
      <c r="M726">
        <f>IF(OR(M$4="",$A726&gt;TODAY()),0,IF(OR(INDEX($B726:$D726,M$5)="F",AND(M$6&gt;0,$A726&lt;M$6),AND(M$7&gt;0,$A726&gt;M$7)),0,MAX(0,ROUND((INDEX($E726:$G726,M$5)-SUMIFS(TF_Timer,TF_Tekniker,M$4,TF_Dato,$A726))*2,0)/2)))</f>
        <v/>
      </c>
      <c r="N726">
        <f>IF(OR(N$4="",$A726&gt;TODAY()),0,IF(OR(INDEX($B726:$D726,N$5)="F",AND(N$6&gt;0,$A726&lt;N$6),AND(N$7&gt;0,$A726&gt;N$7)),0,MAX(0,ROUND((INDEX($E726:$G726,N$5)-SUMIFS(TF_Timer,TF_Tekniker,N$4,TF_Dato,$A726))*2,0)/2)))</f>
        <v/>
      </c>
      <c r="O726">
        <f>IF(OR(O$4="",$A726&gt;TODAY()),0,IF(OR(INDEX($B726:$D726,O$5)="F",AND(O$6&gt;0,$A726&lt;O$6),AND(O$7&gt;0,$A726&gt;O$7)),0,MAX(0,ROUND((INDEX($E726:$G726,O$5)-SUMIFS(TF_Timer,TF_Tekniker,O$4,TF_Dato,$A726))*2,0)/2)))</f>
        <v/>
      </c>
      <c r="P726">
        <f>IF(OR(P$4="",$A726&gt;TODAY()),0,IF(OR(INDEX($B726:$D726,P$5)="F",AND(P$6&gt;0,$A726&lt;P$6),AND(P$7&gt;0,$A726&gt;P$7)),0,MAX(0,ROUND((INDEX($E726:$G726,P$5)-SUMIFS(TF_Timer,TF_Tekniker,P$4,TF_Dato,$A726))*2,0)/2)))</f>
        <v/>
      </c>
      <c r="Q726">
        <f>IF(OR(Q$4="",$A726&gt;TODAY()),0,IF(OR(INDEX($B726:$D726,Q$5)="F",AND(Q$6&gt;0,$A726&lt;Q$6),AND(Q$7&gt;0,$A726&gt;Q$7)),0,MAX(0,ROUND((INDEX($E726:$G726,Q$5)-SUMIFS(TF_Timer,TF_Tekniker,Q$4,TF_Dato,$A726))*2,0)/2)))</f>
        <v/>
      </c>
      <c r="R726">
        <f>IF(OR(R$4="",$A726&gt;TODAY()),0,IF(OR(INDEX($B726:$D726,R$5)="F",AND(R$6&gt;0,$A726&lt;R$6),AND(R$7&gt;0,$A726&gt;R$7)),0,MAX(0,ROUND((INDEX($E726:$G726,R$5)-SUMIFS(TF_Timer,TF_Tekniker,R$4,TF_Dato,$A726))*2,0)/2)))</f>
        <v/>
      </c>
      <c r="S726">
        <f>IF(OR(S$4="",$A726&gt;TODAY()),0,IF(OR(INDEX($B726:$D726,S$5)="F",AND(S$6&gt;0,$A726&lt;S$6),AND(S$7&gt;0,$A726&gt;S$7)),0,MAX(0,ROUND((INDEX($E726:$G726,S$5)-SUMIFS(TF_Timer,TF_Tekniker,S$4,TF_Dato,$A726))*2,0)/2)))</f>
        <v/>
      </c>
      <c r="T726">
        <f>IF(OR(T$4="",$A726&gt;TODAY()),0,IF(OR(INDEX($B726:$D726,T$5)="F",AND(T$6&gt;0,$A726&lt;T$6),AND(T$7&gt;0,$A726&gt;T$7)),0,MAX(0,ROUND((INDEX($E726:$G726,T$5)-SUMIFS(TF_Timer,TF_Tekniker,T$4,TF_Dato,$A726))*2,0)/2)))</f>
        <v/>
      </c>
      <c r="U726">
        <f>IF(OR(U$4="",$A726&gt;TODAY()),0,IF(OR(INDEX($B726:$D726,U$5)="F",AND(U$6&gt;0,$A726&lt;U$6),AND(U$7&gt;0,$A726&gt;U$7)),0,MAX(0,ROUND((INDEX($E726:$G726,U$5)-SUMIFS(TF_Timer,TF_Tekniker,U$4,TF_Dato,$A726))*2,0)/2)))</f>
        <v/>
      </c>
      <c r="V726">
        <f>IF(OR(V$4="",$A726&gt;TODAY()),0,IF(OR(INDEX($B726:$D726,V$5)="F",AND(V$6&gt;0,$A726&lt;V$6),AND(V$7&gt;0,$A726&gt;V$7)),0,MAX(0,ROUND((INDEX($E726:$G726,V$5)-SUMIFS(TF_Timer,TF_Tekniker,V$4,TF_Dato,$A726))*2,0)/2)))</f>
        <v/>
      </c>
      <c r="W726">
        <f>IF(OR(W$4="",$A726&gt;TODAY()),0,IF(OR(INDEX($B726:$D726,W$5)="F",AND(W$6&gt;0,$A726&lt;W$6),AND(W$7&gt;0,$A726&gt;W$7)),0,MAX(0,ROUND((INDEX($E726:$G726,W$5)-SUMIFS(TF_Timer,TF_Tekniker,W$4,TF_Dato,$A726))*2,0)/2)))</f>
        <v/>
      </c>
      <c r="X726">
        <f>IF(OR(X$4="",$A726&gt;TODAY()),0,IF(OR(INDEX($B726:$D726,X$5)="F",AND(X$6&gt;0,$A726&lt;X$6),AND(X$7&gt;0,$A726&gt;X$7)),0,MAX(0,ROUND((INDEX($E726:$G726,X$5)-SUMIFS(TF_Timer,TF_Tekniker,X$4,TF_Dato,$A726))*2,0)/2)))</f>
        <v/>
      </c>
      <c r="Y726">
        <f>IF(OR(Y$4="",$A726&gt;TODAY()),0,IF(OR(INDEX($B726:$D726,Y$5)="F",AND(Y$6&gt;0,$A726&lt;Y$6),AND(Y$7&gt;0,$A726&gt;Y$7)),0,MAX(0,ROUND((INDEX($E726:$G726,Y$5)-SUMIFS(TF_Timer,TF_Tekniker,Y$4,TF_Dato,$A726))*2,0)/2)))</f>
        <v/>
      </c>
      <c r="Z726">
        <f>IF(OR(Z$4="",$A726&gt;TODAY()),0,IF(OR(INDEX($B726:$D726,Z$5)="F",AND(Z$6&gt;0,$A726&lt;Z$6),AND(Z$7&gt;0,$A726&gt;Z$7)),0,MAX(0,ROUND((INDEX($E726:$G726,Z$5)-SUMIFS(TF_Timer,TF_Tekniker,Z$4,TF_Dato,$A726))*2,0)/2)))</f>
        <v/>
      </c>
      <c r="AA726">
        <f>IF(OR(AA$4="",$A726&gt;TODAY()),0,IF(OR(INDEX($B726:$D726,AA$5)="F",AND(AA$6&gt;0,$A726&lt;AA$6),AND(AA$7&gt;0,$A726&gt;AA$7)),0,MAX(0,ROUND((INDEX($E726:$G726,AA$5)-SUMIFS(TF_Timer,TF_Tekniker,AA$4,TF_Dato,$A726))*2,0)/2)))</f>
        <v/>
      </c>
      <c r="AB726">
        <f>IF(OR(AB$4="",$A726&gt;TODAY()),0,IF(OR(INDEX($B726:$D726,AB$5)="F",AND(AB$6&gt;0,$A726&lt;AB$6),AND(AB$7&gt;0,$A726&gt;AB$7)),0,MAX(0,ROUND((INDEX($E726:$G726,AB$5)-SUMIFS(TF_Timer,TF_Tekniker,AB$4,TF_Dato,$A726))*2,0)/2)))</f>
        <v/>
      </c>
      <c r="AC726">
        <f>IF(OR(AC$4="",$A726&gt;TODAY()),0,IF(OR(INDEX($B726:$D726,AC$5)="F",AND(AC$6&gt;0,$A726&lt;AC$6),AND(AC$7&gt;0,$A726&gt;AC$7)),0,MAX(0,ROUND((INDEX($E726:$G726,AC$5)-SUMIFS(TF_Timer,TF_Tekniker,AC$4,TF_Dato,$A726))*2,0)/2)))</f>
        <v/>
      </c>
      <c r="AD726">
        <f>IF(OR(AD$4="",$A726&gt;TODAY()),0,IF(OR(INDEX($B726:$D726,AD$5)="F",AND(AD$6&gt;0,$A726&lt;AD$6),AND(AD$7&gt;0,$A726&gt;AD$7)),0,MAX(0,ROUND((INDEX($E726:$G726,AD$5)-SUMIFS(TF_Timer,TF_Tekniker,AD$4,TF_Dato,$A726))*2,0)/2)))</f>
        <v/>
      </c>
      <c r="AE726">
        <f>IF(OR(AE$4="",$A726&gt;TODAY()),0,IF(OR(INDEX($B726:$D726,AE$5)="F",AND(AE$6&gt;0,$A726&lt;AE$6),AND(AE$7&gt;0,$A726&gt;AE$7)),0,MAX(0,ROUND((INDEX($E726:$G726,AE$5)-SUMIFS(TF_Timer,TF_Tekniker,AE$4,TF_Dato,$A726))*2,0)/2)))</f>
        <v/>
      </c>
      <c r="AF726">
        <f>IF(OR(AF$4="",$A726&gt;TODAY()),0,IF(OR(INDEX($B726:$D726,AF$5)="F",AND(AF$6&gt;0,$A726&lt;AF$6),AND(AF$7&gt;0,$A726&gt;AF$7)),0,MAX(0,ROUND((INDEX($E726:$G726,AF$5)-SUMIFS(TF_Timer,TF_Tekniker,AF$4,TF_Dato,$A726))*2,0)/2)))</f>
        <v/>
      </c>
      <c r="AG726">
        <f>IF(OR(AG$4="",$A726&gt;TODAY()),0,IF(OR(INDEX($B726:$D726,AG$5)="F",AND(AG$6&gt;0,$A726&lt;AG$6),AND(AG$7&gt;0,$A726&gt;AG$7)),0,MAX(0,ROUND((INDEX($E726:$G726,AG$5)-SUMIFS(TF_Timer,TF_Tekniker,AG$4,TF_Dato,$A726))*2,0)/2)))</f>
        <v/>
      </c>
      <c r="AH726">
        <f>IF(OR(AH$4="",$A726&gt;TODAY()),0,IF(OR(INDEX($B726:$D726,AH$5)="F",AND(AH$6&gt;0,$A726&lt;AH$6),AND(AH$7&gt;0,$A726&gt;AH$7)),0,MAX(0,ROUND((INDEX($E726:$G726,AH$5)-SUMIFS(TF_Timer,TF_Tekniker,AH$4,TF_Dato,$A726))*2,0)/2)))</f>
        <v/>
      </c>
      <c r="AI726">
        <f>IF(OR(AI$4="",$A726&gt;TODAY()),0,IF(OR(INDEX($B726:$D726,AI$5)="F",AND(AI$6&gt;0,$A726&lt;AI$6),AND(AI$7&gt;0,$A726&gt;AI$7)),0,MAX(0,ROUND((INDEX($E726:$G726,AI$5)-SUMIFS(TF_Timer,TF_Tekniker,AI$4,TF_Dato,$A726))*2,0)/2)))</f>
        <v/>
      </c>
      <c r="AJ726">
        <f>IF(OR(AJ$4="",$A726&gt;TODAY()),0,IF(OR(INDEX($B726:$D726,AJ$5)="F",AND(AJ$6&gt;0,$A726&lt;AJ$6),AND(AJ$7&gt;0,$A726&gt;AJ$7)),0,MAX(0,ROUND((INDEX($E726:$G726,AJ$5)-SUMIFS(TF_Timer,TF_Tekniker,AJ$4,TF_Dato,$A726))*2,0)/2)))</f>
        <v/>
      </c>
      <c r="AK726">
        <f>IF(OR(AK$4="",$A726&gt;TODAY()),0,IF(OR(INDEX($B726:$D726,AK$5)="F",AND(AK$6&gt;0,$A726&lt;AK$6),AND(AK$7&gt;0,$A726&gt;AK$7)),0,MAX(0,ROUND((INDEX($E726:$G726,AK$5)-SUMIFS(TF_Timer,TF_Tekniker,AK$4,TF_Dato,$A726))*2,0)/2)))</f>
        <v/>
      </c>
      <c r="AL726">
        <f>IF(OR(AL$4="",$A726&gt;TODAY()),0,IF(OR(INDEX($B726:$D726,AL$5)="F",AND(AL$6&gt;0,$A726&lt;AL$6),AND(AL$7&gt;0,$A726&gt;AL$7)),0,MAX(0,ROUND((INDEX($E726:$G726,AL$5)-SUMIFS(TF_Timer,TF_Tekniker,AL$4,TF_Dato,$A726))*2,0)/2)))</f>
        <v/>
      </c>
      <c r="AM726">
        <f>IF(OR(AM$4="",$A726&gt;TODAY()),0,IF(OR(INDEX($B726:$D726,AM$5)="F",AND(AM$6&gt;0,$A726&lt;AM$6),AND(AM$7&gt;0,$A726&gt;AM$7)),0,MAX(0,ROUND((INDEX($E726:$G726,AM$5)-SUMIFS(TF_Timer,TF_Tekniker,AM$4,TF_Dato,$A726))*2,0)/2)))</f>
        <v/>
      </c>
      <c r="AN726">
        <f>IF(OR(AN$4="",$A726&gt;TODAY()),0,IF(OR(INDEX($B726:$D726,AN$5)="F",AND(AN$6&gt;0,$A726&lt;AN$6),AND(AN$7&gt;0,$A726&gt;AN$7)),0,MAX(0,ROUND((INDEX($E726:$G726,AN$5)-SUMIFS(TF_Timer,TF_Tekniker,AN$4,TF_Dato,$A726))*2,0)/2)))</f>
        <v/>
      </c>
      <c r="AO726">
        <f>IF(OR(AO$4="",$A726&gt;TODAY()),0,IF(OR(INDEX($B726:$D726,AO$5)="F",AND(AO$6&gt;0,$A726&lt;AO$6),AND(AO$7&gt;0,$A726&gt;AO$7)),0,MAX(0,ROUND((INDEX($E726:$G726,AO$5)-SUMIFS(TF_Timer,TF_Tekniker,AO$4,TF_Dato,$A726))*2,0)/2)))</f>
        <v/>
      </c>
      <c r="AP726">
        <f>IF(OR(AP$4="",$A726&gt;TODAY()),0,IF(OR(INDEX($B726:$D726,AP$5)="F",AND(AP$6&gt;0,$A726&lt;AP$6),AND(AP$7&gt;0,$A726&gt;AP$7)),0,MAX(0,ROUND((INDEX($E726:$G726,AP$5)-SUMIFS(TF_Timer,TF_Tekniker,AP$4,TF_Dato,$A726))*2,0)/2)))</f>
        <v/>
      </c>
      <c r="AQ726">
        <f>IF(OR(AQ$4="",$A726&gt;TODAY()),0,IF(OR(INDEX($B726:$D726,AQ$5)="F",AND(AQ$6&gt;0,$A726&lt;AQ$6),AND(AQ$7&gt;0,$A726&gt;AQ$7)),0,MAX(0,ROUND((INDEX($E726:$G726,AQ$5)-SUMIFS(TF_Timer,TF_Tekniker,AQ$4,TF_Dato,$A726))*2,0)/2)))</f>
        <v/>
      </c>
      <c r="AR726">
        <f>IF(OR(AR$4="",$A726&gt;TODAY()),0,IF(OR(INDEX($B726:$D726,AR$5)="F",AND(AR$6&gt;0,$A726&lt;AR$6),AND(AR$7&gt;0,$A726&gt;AR$7)),0,MAX(0,ROUND((INDEX($E726:$G726,AR$5)-SUMIFS(TF_Timer,TF_Tekniker,AR$4,TF_Dato,$A726))*2,0)/2)))</f>
        <v/>
      </c>
      <c r="AS726">
        <f>IF(OR(AS$4="",$A726&gt;TODAY()),0,IF(OR(INDEX($B726:$D726,AS$5)="F",AND(AS$6&gt;0,$A726&lt;AS$6),AND(AS$7&gt;0,$A726&gt;AS$7)),0,MAX(0,ROUND((INDEX($E726:$G726,AS$5)-SUMIFS(TF_Timer,TF_Tekniker,AS$4,TF_Dato,$A726))*2,0)/2)))</f>
        <v/>
      </c>
      <c r="AT726">
        <f>IF(OR(AT$4="",$A726&gt;TODAY()),0,IF(OR(INDEX($B726:$D726,AT$5)="F",AND(AT$6&gt;0,$A726&lt;AT$6),AND(AT$7&gt;0,$A726&gt;AT$7)),0,MAX(0,ROUND((INDEX($E726:$G726,AT$5)-SUMIFS(TF_Timer,TF_Tekniker,AT$4,TF_Dato,$A726))*2,0)/2)))</f>
        <v/>
      </c>
      <c r="AU726">
        <f>IF(OR(AU$4="",$A726&gt;TODAY()),0,IF(OR(INDEX($B726:$D726,AU$5)="F",AND(AU$6&gt;0,$A726&lt;AU$6),AND(AU$7&gt;0,$A726&gt;AU$7)),0,MAX(0,ROUND((INDEX($E726:$G726,AU$5)-SUMIFS(TF_Timer,TF_Tekniker,AU$4,TF_Dato,$A726))*2,0)/2)))</f>
        <v/>
      </c>
      <c r="AV726">
        <f>IF(OR(AV$4="",$A726&gt;TODAY()),0,IF(OR(INDEX($B726:$D726,AV$5)="F",AND(AV$6&gt;0,$A726&lt;AV$6),AND(AV$7&gt;0,$A726&gt;AV$7)),0,MAX(0,ROUND((INDEX($E726:$G726,AV$5)-SUMIFS(TF_Timer,TF_Tekniker,AV$4,TF_Dato,$A726))*2,0)/2)))</f>
        <v/>
      </c>
      <c r="AW726">
        <f>IF(OR(AW$4="",$A726&gt;TODAY()),0,IF(OR(INDEX($B726:$D726,AW$5)="F",AND(AW$6&gt;0,$A726&lt;AW$6),AND(AW$7&gt;0,$A726&gt;AW$7)),0,MAX(0,ROUND((INDEX($E726:$G726,AW$5)-SUMIFS(TF_Timer,TF_Tekniker,AW$4,TF_Dato,$A726))*2,0)/2)))</f>
        <v/>
      </c>
      <c r="AX726">
        <f>IF(OR(AX$4="",$A726&gt;TODAY()),0,IF(OR(INDEX($B726:$D726,AX$5)="F",AND(AX$6&gt;0,$A726&lt;AX$6),AND(AX$7&gt;0,$A726&gt;AX$7)),0,MAX(0,ROUND((INDEX($E726:$G726,AX$5)-SUMIFS(TF_Timer,TF_Tekniker,AX$4,TF_Dato,$A726))*2,0)/2)))</f>
        <v/>
      </c>
      <c r="AY726">
        <f>IF(OR(AY$4="",$A726&gt;TODAY()),0,IF(OR(INDEX($B726:$D726,AY$5)="F",AND(AY$6&gt;0,$A726&lt;AY$6),AND(AY$7&gt;0,$A726&gt;AY$7)),0,MAX(0,ROUND((INDEX($E726:$G726,AY$5)-SUMIFS(TF_Timer,TF_Tekniker,AY$4,TF_Dato,$A726))*2,0)/2)))</f>
        <v/>
      </c>
      <c r="AZ726">
        <f>IF(OR(AZ$4="",$A726&gt;TODAY()),0,IF(OR(INDEX($B726:$D726,AZ$5)="F",AND(AZ$6&gt;0,$A726&lt;AZ$6),AND(AZ$7&gt;0,$A726&gt;AZ$7)),0,MAX(0,ROUND((INDEX($E726:$G726,AZ$5)-SUMIFS(TF_Timer,TF_Tekniker,AZ$4,TF_Dato,$A726))*2,0)/2)))</f>
        <v/>
      </c>
      <c r="BA726">
        <f>IF(OR(BA$4="",$A726&gt;TODAY()),0,IF(OR(INDEX($B726:$D726,BA$5)="F",AND(BA$6&gt;0,$A726&lt;BA$6),AND(BA$7&gt;0,$A726&gt;BA$7)),0,MAX(0,ROUND((INDEX($E726:$G726,BA$5)-SUMIFS(TF_Timer,TF_Tekniker,BA$4,TF_Dato,$A726))*2,0)/2)))</f>
        <v/>
      </c>
      <c r="BB726">
        <f>IF(OR(BB$4="",$A726&gt;TODAY()),0,IF(OR(INDEX($B726:$D726,BB$5)="F",AND(BB$6&gt;0,$A726&lt;BB$6),AND(BB$7&gt;0,$A726&gt;BB$7)),0,MAX(0,ROUND((INDEX($E726:$G726,BB$5)-SUMIFS(TF_Timer,TF_Tekniker,BB$4,TF_Dato,$A726))*2,0)/2)))</f>
        <v/>
      </c>
      <c r="BC726">
        <f>IF(OR(BC$4="",$A726&gt;TODAY()),0,IF(OR(INDEX($B726:$D726,BC$5)="F",AND(BC$6&gt;0,$A726&lt;BC$6),AND(BC$7&gt;0,$A726&gt;BC$7)),0,MAX(0,ROUND((INDEX($E726:$G726,BC$5)-SUMIFS(TF_Timer,TF_Tekniker,BC$4,TF_Dato,$A726))*2,0)/2)))</f>
        <v/>
      </c>
      <c r="BD726">
        <f>IF(OR(BD$4="",$A726&gt;TODAY()),0,IF(OR(INDEX($B726:$D726,BD$5)="F",AND(BD$6&gt;0,$A726&lt;BD$6),AND(BD$7&gt;0,$A726&gt;BD$7)),0,MAX(0,ROUND((INDEX($E726:$G726,BD$5)-SUMIFS(TF_Timer,TF_Tekniker,BD$4,TF_Dato,$A726))*2,0)/2)))</f>
        <v/>
      </c>
      <c r="BE726">
        <f>IF(OR(BE$4="",$A726&gt;TODAY()),0,IF(OR(INDEX($B726:$D726,BE$5)="F",AND(BE$6&gt;0,$A726&lt;BE$6),AND(BE$7&gt;0,$A726&gt;BE$7)),0,MAX(0,ROUND((INDEX($E726:$G726,BE$5)-SUMIFS(TF_Timer,TF_Tekniker,BE$4,TF_Dato,$A726))*2,0)/2)))</f>
        <v/>
      </c>
      <c r="BF726">
        <f>IF(OR(BF$4="",$A726&gt;TODAY()),0,IF(OR(INDEX($B726:$D726,BF$5)="F",AND(BF$6&gt;0,$A726&lt;BF$6),AND(BF$7&gt;0,$A726&gt;BF$7)),0,MAX(0,ROUND((INDEX($E726:$G726,BF$5)-SUMIFS(TF_Timer,TF_Tekniker,BF$4,TF_Dato,$A726))*2,0)/2)))</f>
        <v/>
      </c>
      <c r="BG726">
        <f>IF(OR(BG$4="",$A726&gt;TODAY()),0,IF(OR(INDEX($B726:$D726,BG$5)="F",AND(BG$6&gt;0,$A726&lt;BG$6),AND(BG$7&gt;0,$A726&gt;BG$7)),0,MAX(0,ROUND((INDEX($E726:$G726,BG$5)-SUMIFS(TF_Timer,TF_Tekniker,BG$4,TF_Dato,$A726))*2,0)/2)))</f>
        <v/>
      </c>
      <c r="BH726">
        <f>IF(OR(BH$4="",$A726&gt;TODAY()),0,IF(OR(INDEX($B726:$D726,BH$5)="F",AND(BH$6&gt;0,$A726&lt;BH$6),AND(BH$7&gt;0,$A726&gt;BH$7)),0,MAX(0,ROUND((INDEX($E726:$G726,BH$5)-SUMIFS(TF_Timer,TF_Tekniker,BH$4,TF_Dato,$A726))*2,0)/2)))</f>
        <v/>
      </c>
      <c r="BI726">
        <f>IF(OR(BI$4="",$A726&gt;TODAY()),0,IF(OR(INDEX($B726:$D726,BI$5)="F",AND(BI$6&gt;0,$A726&lt;BI$6),AND(BI$7&gt;0,$A726&gt;BI$7)),0,MAX(0,ROUND((INDEX($E726:$G726,BI$5)-SUMIFS(TF_Timer,TF_Tekniker,BI$4,TF_Dato,$A726))*2,0)/2)))</f>
        <v/>
      </c>
    </row>
    <row r="727">
      <c r="A727" s="64">
        <f>A726+1</f>
        <v/>
      </c>
      <c r="B727">
        <f>IF(MOD($A727-INDEX(SkiftStart,1),Syklus)&lt;DagK,"K",IF(MOD($A727-INDEX(SkiftStart,1),Syklus)&lt;DagK+DagH,"H",IF(MOD($A727-INDEX(SkiftStart,1),Syklus)&lt;DagK+DagH+DagD,"D","F")))</f>
        <v/>
      </c>
      <c r="C727">
        <f>IF(MOD($A727-INDEX(SkiftStart,2),Syklus)&lt;DagK,"K",IF(MOD($A727-INDEX(SkiftStart,2),Syklus)&lt;DagK+DagH,"H",IF(MOD($A727-INDEX(SkiftStart,2),Syklus)&lt;DagK+DagH+DagD,"D","F")))</f>
        <v/>
      </c>
      <c r="D727">
        <f>IF(MOD($A727-INDEX(SkiftStart,3),Syklus)&lt;DagK,"K",IF(MOD($A727-INDEX(SkiftStart,3),Syklus)&lt;DagK+DagH,"H",IF(MOD($A727-INDEX(SkiftStart,3),Syklus)&lt;DagK+DagH+DagD,"D","F")))</f>
        <v/>
      </c>
      <c r="E727">
        <f>IF(B727="F",0,IF(WEEKDAY($A727,2)=5,INDEX(TimerFr,MATCH(B727,FaseKode,0)),INDEX(TimerMT,MATCH(B727,FaseKode,0))))</f>
        <v/>
      </c>
      <c r="F727">
        <f>IF(C727="F",0,IF(WEEKDAY($A727,2)=5,INDEX(TimerFr,MATCH(C727,FaseKode,0)),INDEX(TimerMT,MATCH(C727,FaseKode,0))))</f>
        <v/>
      </c>
      <c r="G727">
        <f>IF(D727="F",0,IF(WEEKDAY($A727,2)=5,INDEX(TimerFr,MATCH(D727,FaseKode,0)),INDEX(TimerMT,MATCH(D727,FaseKode,0))))</f>
        <v/>
      </c>
      <c r="H727">
        <f>IF(OR(H$4="",$A727&gt;TODAY()),0,IF(OR(INDEX($B727:$D727,H$5)="F",AND(H$6&gt;0,$A727&lt;H$6),AND(H$7&gt;0,$A727&gt;H$7)),0,MAX(0,ROUND((INDEX($E727:$G727,H$5)-SUMIFS(TF_Timer,TF_Tekniker,H$4,TF_Dato,$A727))*2,0)/2)))</f>
        <v/>
      </c>
      <c r="I727">
        <f>IF(OR(I$4="",$A727&gt;TODAY()),0,IF(OR(INDEX($B727:$D727,I$5)="F",AND(I$6&gt;0,$A727&lt;I$6),AND(I$7&gt;0,$A727&gt;I$7)),0,MAX(0,ROUND((INDEX($E727:$G727,I$5)-SUMIFS(TF_Timer,TF_Tekniker,I$4,TF_Dato,$A727))*2,0)/2)))</f>
        <v/>
      </c>
      <c r="J727">
        <f>IF(OR(J$4="",$A727&gt;TODAY()),0,IF(OR(INDEX($B727:$D727,J$5)="F",AND(J$6&gt;0,$A727&lt;J$6),AND(J$7&gt;0,$A727&gt;J$7)),0,MAX(0,ROUND((INDEX($E727:$G727,J$5)-SUMIFS(TF_Timer,TF_Tekniker,J$4,TF_Dato,$A727))*2,0)/2)))</f>
        <v/>
      </c>
      <c r="K727">
        <f>IF(OR(K$4="",$A727&gt;TODAY()),0,IF(OR(INDEX($B727:$D727,K$5)="F",AND(K$6&gt;0,$A727&lt;K$6),AND(K$7&gt;0,$A727&gt;K$7)),0,MAX(0,ROUND((INDEX($E727:$G727,K$5)-SUMIFS(TF_Timer,TF_Tekniker,K$4,TF_Dato,$A727))*2,0)/2)))</f>
        <v/>
      </c>
      <c r="L727">
        <f>IF(OR(L$4="",$A727&gt;TODAY()),0,IF(OR(INDEX($B727:$D727,L$5)="F",AND(L$6&gt;0,$A727&lt;L$6),AND(L$7&gt;0,$A727&gt;L$7)),0,MAX(0,ROUND((INDEX($E727:$G727,L$5)-SUMIFS(TF_Timer,TF_Tekniker,L$4,TF_Dato,$A727))*2,0)/2)))</f>
        <v/>
      </c>
      <c r="M727">
        <f>IF(OR(M$4="",$A727&gt;TODAY()),0,IF(OR(INDEX($B727:$D727,M$5)="F",AND(M$6&gt;0,$A727&lt;M$6),AND(M$7&gt;0,$A727&gt;M$7)),0,MAX(0,ROUND((INDEX($E727:$G727,M$5)-SUMIFS(TF_Timer,TF_Tekniker,M$4,TF_Dato,$A727))*2,0)/2)))</f>
        <v/>
      </c>
      <c r="N727">
        <f>IF(OR(N$4="",$A727&gt;TODAY()),0,IF(OR(INDEX($B727:$D727,N$5)="F",AND(N$6&gt;0,$A727&lt;N$6),AND(N$7&gt;0,$A727&gt;N$7)),0,MAX(0,ROUND((INDEX($E727:$G727,N$5)-SUMIFS(TF_Timer,TF_Tekniker,N$4,TF_Dato,$A727))*2,0)/2)))</f>
        <v/>
      </c>
      <c r="O727">
        <f>IF(OR(O$4="",$A727&gt;TODAY()),0,IF(OR(INDEX($B727:$D727,O$5)="F",AND(O$6&gt;0,$A727&lt;O$6),AND(O$7&gt;0,$A727&gt;O$7)),0,MAX(0,ROUND((INDEX($E727:$G727,O$5)-SUMIFS(TF_Timer,TF_Tekniker,O$4,TF_Dato,$A727))*2,0)/2)))</f>
        <v/>
      </c>
      <c r="P727">
        <f>IF(OR(P$4="",$A727&gt;TODAY()),0,IF(OR(INDEX($B727:$D727,P$5)="F",AND(P$6&gt;0,$A727&lt;P$6),AND(P$7&gt;0,$A727&gt;P$7)),0,MAX(0,ROUND((INDEX($E727:$G727,P$5)-SUMIFS(TF_Timer,TF_Tekniker,P$4,TF_Dato,$A727))*2,0)/2)))</f>
        <v/>
      </c>
      <c r="Q727">
        <f>IF(OR(Q$4="",$A727&gt;TODAY()),0,IF(OR(INDEX($B727:$D727,Q$5)="F",AND(Q$6&gt;0,$A727&lt;Q$6),AND(Q$7&gt;0,$A727&gt;Q$7)),0,MAX(0,ROUND((INDEX($E727:$G727,Q$5)-SUMIFS(TF_Timer,TF_Tekniker,Q$4,TF_Dato,$A727))*2,0)/2)))</f>
        <v/>
      </c>
      <c r="R727">
        <f>IF(OR(R$4="",$A727&gt;TODAY()),0,IF(OR(INDEX($B727:$D727,R$5)="F",AND(R$6&gt;0,$A727&lt;R$6),AND(R$7&gt;0,$A727&gt;R$7)),0,MAX(0,ROUND((INDEX($E727:$G727,R$5)-SUMIFS(TF_Timer,TF_Tekniker,R$4,TF_Dato,$A727))*2,0)/2)))</f>
        <v/>
      </c>
      <c r="S727">
        <f>IF(OR(S$4="",$A727&gt;TODAY()),0,IF(OR(INDEX($B727:$D727,S$5)="F",AND(S$6&gt;0,$A727&lt;S$6),AND(S$7&gt;0,$A727&gt;S$7)),0,MAX(0,ROUND((INDEX($E727:$G727,S$5)-SUMIFS(TF_Timer,TF_Tekniker,S$4,TF_Dato,$A727))*2,0)/2)))</f>
        <v/>
      </c>
      <c r="T727">
        <f>IF(OR(T$4="",$A727&gt;TODAY()),0,IF(OR(INDEX($B727:$D727,T$5)="F",AND(T$6&gt;0,$A727&lt;T$6),AND(T$7&gt;0,$A727&gt;T$7)),0,MAX(0,ROUND((INDEX($E727:$G727,T$5)-SUMIFS(TF_Timer,TF_Tekniker,T$4,TF_Dato,$A727))*2,0)/2)))</f>
        <v/>
      </c>
      <c r="U727">
        <f>IF(OR(U$4="",$A727&gt;TODAY()),0,IF(OR(INDEX($B727:$D727,U$5)="F",AND(U$6&gt;0,$A727&lt;U$6),AND(U$7&gt;0,$A727&gt;U$7)),0,MAX(0,ROUND((INDEX($E727:$G727,U$5)-SUMIFS(TF_Timer,TF_Tekniker,U$4,TF_Dato,$A727))*2,0)/2)))</f>
        <v/>
      </c>
      <c r="V727">
        <f>IF(OR(V$4="",$A727&gt;TODAY()),0,IF(OR(INDEX($B727:$D727,V$5)="F",AND(V$6&gt;0,$A727&lt;V$6),AND(V$7&gt;0,$A727&gt;V$7)),0,MAX(0,ROUND((INDEX($E727:$G727,V$5)-SUMIFS(TF_Timer,TF_Tekniker,V$4,TF_Dato,$A727))*2,0)/2)))</f>
        <v/>
      </c>
      <c r="W727">
        <f>IF(OR(W$4="",$A727&gt;TODAY()),0,IF(OR(INDEX($B727:$D727,W$5)="F",AND(W$6&gt;0,$A727&lt;W$6),AND(W$7&gt;0,$A727&gt;W$7)),0,MAX(0,ROUND((INDEX($E727:$G727,W$5)-SUMIFS(TF_Timer,TF_Tekniker,W$4,TF_Dato,$A727))*2,0)/2)))</f>
        <v/>
      </c>
      <c r="X727">
        <f>IF(OR(X$4="",$A727&gt;TODAY()),0,IF(OR(INDEX($B727:$D727,X$5)="F",AND(X$6&gt;0,$A727&lt;X$6),AND(X$7&gt;0,$A727&gt;X$7)),0,MAX(0,ROUND((INDEX($E727:$G727,X$5)-SUMIFS(TF_Timer,TF_Tekniker,X$4,TF_Dato,$A727))*2,0)/2)))</f>
        <v/>
      </c>
      <c r="Y727">
        <f>IF(OR(Y$4="",$A727&gt;TODAY()),0,IF(OR(INDEX($B727:$D727,Y$5)="F",AND(Y$6&gt;0,$A727&lt;Y$6),AND(Y$7&gt;0,$A727&gt;Y$7)),0,MAX(0,ROUND((INDEX($E727:$G727,Y$5)-SUMIFS(TF_Timer,TF_Tekniker,Y$4,TF_Dato,$A727))*2,0)/2)))</f>
        <v/>
      </c>
      <c r="Z727">
        <f>IF(OR(Z$4="",$A727&gt;TODAY()),0,IF(OR(INDEX($B727:$D727,Z$5)="F",AND(Z$6&gt;0,$A727&lt;Z$6),AND(Z$7&gt;0,$A727&gt;Z$7)),0,MAX(0,ROUND((INDEX($E727:$G727,Z$5)-SUMIFS(TF_Timer,TF_Tekniker,Z$4,TF_Dato,$A727))*2,0)/2)))</f>
        <v/>
      </c>
      <c r="AA727">
        <f>IF(OR(AA$4="",$A727&gt;TODAY()),0,IF(OR(INDEX($B727:$D727,AA$5)="F",AND(AA$6&gt;0,$A727&lt;AA$6),AND(AA$7&gt;0,$A727&gt;AA$7)),0,MAX(0,ROUND((INDEX($E727:$G727,AA$5)-SUMIFS(TF_Timer,TF_Tekniker,AA$4,TF_Dato,$A727))*2,0)/2)))</f>
        <v/>
      </c>
      <c r="AB727">
        <f>IF(OR(AB$4="",$A727&gt;TODAY()),0,IF(OR(INDEX($B727:$D727,AB$5)="F",AND(AB$6&gt;0,$A727&lt;AB$6),AND(AB$7&gt;0,$A727&gt;AB$7)),0,MAX(0,ROUND((INDEX($E727:$G727,AB$5)-SUMIFS(TF_Timer,TF_Tekniker,AB$4,TF_Dato,$A727))*2,0)/2)))</f>
        <v/>
      </c>
      <c r="AC727">
        <f>IF(OR(AC$4="",$A727&gt;TODAY()),0,IF(OR(INDEX($B727:$D727,AC$5)="F",AND(AC$6&gt;0,$A727&lt;AC$6),AND(AC$7&gt;0,$A727&gt;AC$7)),0,MAX(0,ROUND((INDEX($E727:$G727,AC$5)-SUMIFS(TF_Timer,TF_Tekniker,AC$4,TF_Dato,$A727))*2,0)/2)))</f>
        <v/>
      </c>
      <c r="AD727">
        <f>IF(OR(AD$4="",$A727&gt;TODAY()),0,IF(OR(INDEX($B727:$D727,AD$5)="F",AND(AD$6&gt;0,$A727&lt;AD$6),AND(AD$7&gt;0,$A727&gt;AD$7)),0,MAX(0,ROUND((INDEX($E727:$G727,AD$5)-SUMIFS(TF_Timer,TF_Tekniker,AD$4,TF_Dato,$A727))*2,0)/2)))</f>
        <v/>
      </c>
      <c r="AE727">
        <f>IF(OR(AE$4="",$A727&gt;TODAY()),0,IF(OR(INDEX($B727:$D727,AE$5)="F",AND(AE$6&gt;0,$A727&lt;AE$6),AND(AE$7&gt;0,$A727&gt;AE$7)),0,MAX(0,ROUND((INDEX($E727:$G727,AE$5)-SUMIFS(TF_Timer,TF_Tekniker,AE$4,TF_Dato,$A727))*2,0)/2)))</f>
        <v/>
      </c>
      <c r="AF727">
        <f>IF(OR(AF$4="",$A727&gt;TODAY()),0,IF(OR(INDEX($B727:$D727,AF$5)="F",AND(AF$6&gt;0,$A727&lt;AF$6),AND(AF$7&gt;0,$A727&gt;AF$7)),0,MAX(0,ROUND((INDEX($E727:$G727,AF$5)-SUMIFS(TF_Timer,TF_Tekniker,AF$4,TF_Dato,$A727))*2,0)/2)))</f>
        <v/>
      </c>
      <c r="AG727">
        <f>IF(OR(AG$4="",$A727&gt;TODAY()),0,IF(OR(INDEX($B727:$D727,AG$5)="F",AND(AG$6&gt;0,$A727&lt;AG$6),AND(AG$7&gt;0,$A727&gt;AG$7)),0,MAX(0,ROUND((INDEX($E727:$G727,AG$5)-SUMIFS(TF_Timer,TF_Tekniker,AG$4,TF_Dato,$A727))*2,0)/2)))</f>
        <v/>
      </c>
      <c r="AH727">
        <f>IF(OR(AH$4="",$A727&gt;TODAY()),0,IF(OR(INDEX($B727:$D727,AH$5)="F",AND(AH$6&gt;0,$A727&lt;AH$6),AND(AH$7&gt;0,$A727&gt;AH$7)),0,MAX(0,ROUND((INDEX($E727:$G727,AH$5)-SUMIFS(TF_Timer,TF_Tekniker,AH$4,TF_Dato,$A727))*2,0)/2)))</f>
        <v/>
      </c>
      <c r="AI727">
        <f>IF(OR(AI$4="",$A727&gt;TODAY()),0,IF(OR(INDEX($B727:$D727,AI$5)="F",AND(AI$6&gt;0,$A727&lt;AI$6),AND(AI$7&gt;0,$A727&gt;AI$7)),0,MAX(0,ROUND((INDEX($E727:$G727,AI$5)-SUMIFS(TF_Timer,TF_Tekniker,AI$4,TF_Dato,$A727))*2,0)/2)))</f>
        <v/>
      </c>
      <c r="AJ727">
        <f>IF(OR(AJ$4="",$A727&gt;TODAY()),0,IF(OR(INDEX($B727:$D727,AJ$5)="F",AND(AJ$6&gt;0,$A727&lt;AJ$6),AND(AJ$7&gt;0,$A727&gt;AJ$7)),0,MAX(0,ROUND((INDEX($E727:$G727,AJ$5)-SUMIFS(TF_Timer,TF_Tekniker,AJ$4,TF_Dato,$A727))*2,0)/2)))</f>
        <v/>
      </c>
      <c r="AK727">
        <f>IF(OR(AK$4="",$A727&gt;TODAY()),0,IF(OR(INDEX($B727:$D727,AK$5)="F",AND(AK$6&gt;0,$A727&lt;AK$6),AND(AK$7&gt;0,$A727&gt;AK$7)),0,MAX(0,ROUND((INDEX($E727:$G727,AK$5)-SUMIFS(TF_Timer,TF_Tekniker,AK$4,TF_Dato,$A727))*2,0)/2)))</f>
        <v/>
      </c>
      <c r="AL727">
        <f>IF(OR(AL$4="",$A727&gt;TODAY()),0,IF(OR(INDEX($B727:$D727,AL$5)="F",AND(AL$6&gt;0,$A727&lt;AL$6),AND(AL$7&gt;0,$A727&gt;AL$7)),0,MAX(0,ROUND((INDEX($E727:$G727,AL$5)-SUMIFS(TF_Timer,TF_Tekniker,AL$4,TF_Dato,$A727))*2,0)/2)))</f>
        <v/>
      </c>
      <c r="AM727">
        <f>IF(OR(AM$4="",$A727&gt;TODAY()),0,IF(OR(INDEX($B727:$D727,AM$5)="F",AND(AM$6&gt;0,$A727&lt;AM$6),AND(AM$7&gt;0,$A727&gt;AM$7)),0,MAX(0,ROUND((INDEX($E727:$G727,AM$5)-SUMIFS(TF_Timer,TF_Tekniker,AM$4,TF_Dato,$A727))*2,0)/2)))</f>
        <v/>
      </c>
      <c r="AN727">
        <f>IF(OR(AN$4="",$A727&gt;TODAY()),0,IF(OR(INDEX($B727:$D727,AN$5)="F",AND(AN$6&gt;0,$A727&lt;AN$6),AND(AN$7&gt;0,$A727&gt;AN$7)),0,MAX(0,ROUND((INDEX($E727:$G727,AN$5)-SUMIFS(TF_Timer,TF_Tekniker,AN$4,TF_Dato,$A727))*2,0)/2)))</f>
        <v/>
      </c>
      <c r="AO727">
        <f>IF(OR(AO$4="",$A727&gt;TODAY()),0,IF(OR(INDEX($B727:$D727,AO$5)="F",AND(AO$6&gt;0,$A727&lt;AO$6),AND(AO$7&gt;0,$A727&gt;AO$7)),0,MAX(0,ROUND((INDEX($E727:$G727,AO$5)-SUMIFS(TF_Timer,TF_Tekniker,AO$4,TF_Dato,$A727))*2,0)/2)))</f>
        <v/>
      </c>
      <c r="AP727">
        <f>IF(OR(AP$4="",$A727&gt;TODAY()),0,IF(OR(INDEX($B727:$D727,AP$5)="F",AND(AP$6&gt;0,$A727&lt;AP$6),AND(AP$7&gt;0,$A727&gt;AP$7)),0,MAX(0,ROUND((INDEX($E727:$G727,AP$5)-SUMIFS(TF_Timer,TF_Tekniker,AP$4,TF_Dato,$A727))*2,0)/2)))</f>
        <v/>
      </c>
      <c r="AQ727">
        <f>IF(OR(AQ$4="",$A727&gt;TODAY()),0,IF(OR(INDEX($B727:$D727,AQ$5)="F",AND(AQ$6&gt;0,$A727&lt;AQ$6),AND(AQ$7&gt;0,$A727&gt;AQ$7)),0,MAX(0,ROUND((INDEX($E727:$G727,AQ$5)-SUMIFS(TF_Timer,TF_Tekniker,AQ$4,TF_Dato,$A727))*2,0)/2)))</f>
        <v/>
      </c>
      <c r="AR727">
        <f>IF(OR(AR$4="",$A727&gt;TODAY()),0,IF(OR(INDEX($B727:$D727,AR$5)="F",AND(AR$6&gt;0,$A727&lt;AR$6),AND(AR$7&gt;0,$A727&gt;AR$7)),0,MAX(0,ROUND((INDEX($E727:$G727,AR$5)-SUMIFS(TF_Timer,TF_Tekniker,AR$4,TF_Dato,$A727))*2,0)/2)))</f>
        <v/>
      </c>
      <c r="AS727">
        <f>IF(OR(AS$4="",$A727&gt;TODAY()),0,IF(OR(INDEX($B727:$D727,AS$5)="F",AND(AS$6&gt;0,$A727&lt;AS$6),AND(AS$7&gt;0,$A727&gt;AS$7)),0,MAX(0,ROUND((INDEX($E727:$G727,AS$5)-SUMIFS(TF_Timer,TF_Tekniker,AS$4,TF_Dato,$A727))*2,0)/2)))</f>
        <v/>
      </c>
      <c r="AT727">
        <f>IF(OR(AT$4="",$A727&gt;TODAY()),0,IF(OR(INDEX($B727:$D727,AT$5)="F",AND(AT$6&gt;0,$A727&lt;AT$6),AND(AT$7&gt;0,$A727&gt;AT$7)),0,MAX(0,ROUND((INDEX($E727:$G727,AT$5)-SUMIFS(TF_Timer,TF_Tekniker,AT$4,TF_Dato,$A727))*2,0)/2)))</f>
        <v/>
      </c>
      <c r="AU727">
        <f>IF(OR(AU$4="",$A727&gt;TODAY()),0,IF(OR(INDEX($B727:$D727,AU$5)="F",AND(AU$6&gt;0,$A727&lt;AU$6),AND(AU$7&gt;0,$A727&gt;AU$7)),0,MAX(0,ROUND((INDEX($E727:$G727,AU$5)-SUMIFS(TF_Timer,TF_Tekniker,AU$4,TF_Dato,$A727))*2,0)/2)))</f>
        <v/>
      </c>
      <c r="AV727">
        <f>IF(OR(AV$4="",$A727&gt;TODAY()),0,IF(OR(INDEX($B727:$D727,AV$5)="F",AND(AV$6&gt;0,$A727&lt;AV$6),AND(AV$7&gt;0,$A727&gt;AV$7)),0,MAX(0,ROUND((INDEX($E727:$G727,AV$5)-SUMIFS(TF_Timer,TF_Tekniker,AV$4,TF_Dato,$A727))*2,0)/2)))</f>
        <v/>
      </c>
      <c r="AW727">
        <f>IF(OR(AW$4="",$A727&gt;TODAY()),0,IF(OR(INDEX($B727:$D727,AW$5)="F",AND(AW$6&gt;0,$A727&lt;AW$6),AND(AW$7&gt;0,$A727&gt;AW$7)),0,MAX(0,ROUND((INDEX($E727:$G727,AW$5)-SUMIFS(TF_Timer,TF_Tekniker,AW$4,TF_Dato,$A727))*2,0)/2)))</f>
        <v/>
      </c>
      <c r="AX727">
        <f>IF(OR(AX$4="",$A727&gt;TODAY()),0,IF(OR(INDEX($B727:$D727,AX$5)="F",AND(AX$6&gt;0,$A727&lt;AX$6),AND(AX$7&gt;0,$A727&gt;AX$7)),0,MAX(0,ROUND((INDEX($E727:$G727,AX$5)-SUMIFS(TF_Timer,TF_Tekniker,AX$4,TF_Dato,$A727))*2,0)/2)))</f>
        <v/>
      </c>
      <c r="AY727">
        <f>IF(OR(AY$4="",$A727&gt;TODAY()),0,IF(OR(INDEX($B727:$D727,AY$5)="F",AND(AY$6&gt;0,$A727&lt;AY$6),AND(AY$7&gt;0,$A727&gt;AY$7)),0,MAX(0,ROUND((INDEX($E727:$G727,AY$5)-SUMIFS(TF_Timer,TF_Tekniker,AY$4,TF_Dato,$A727))*2,0)/2)))</f>
        <v/>
      </c>
      <c r="AZ727">
        <f>IF(OR(AZ$4="",$A727&gt;TODAY()),0,IF(OR(INDEX($B727:$D727,AZ$5)="F",AND(AZ$6&gt;0,$A727&lt;AZ$6),AND(AZ$7&gt;0,$A727&gt;AZ$7)),0,MAX(0,ROUND((INDEX($E727:$G727,AZ$5)-SUMIFS(TF_Timer,TF_Tekniker,AZ$4,TF_Dato,$A727))*2,0)/2)))</f>
        <v/>
      </c>
      <c r="BA727">
        <f>IF(OR(BA$4="",$A727&gt;TODAY()),0,IF(OR(INDEX($B727:$D727,BA$5)="F",AND(BA$6&gt;0,$A727&lt;BA$6),AND(BA$7&gt;0,$A727&gt;BA$7)),0,MAX(0,ROUND((INDEX($E727:$G727,BA$5)-SUMIFS(TF_Timer,TF_Tekniker,BA$4,TF_Dato,$A727))*2,0)/2)))</f>
        <v/>
      </c>
      <c r="BB727">
        <f>IF(OR(BB$4="",$A727&gt;TODAY()),0,IF(OR(INDEX($B727:$D727,BB$5)="F",AND(BB$6&gt;0,$A727&lt;BB$6),AND(BB$7&gt;0,$A727&gt;BB$7)),0,MAX(0,ROUND((INDEX($E727:$G727,BB$5)-SUMIFS(TF_Timer,TF_Tekniker,BB$4,TF_Dato,$A727))*2,0)/2)))</f>
        <v/>
      </c>
      <c r="BC727">
        <f>IF(OR(BC$4="",$A727&gt;TODAY()),0,IF(OR(INDEX($B727:$D727,BC$5)="F",AND(BC$6&gt;0,$A727&lt;BC$6),AND(BC$7&gt;0,$A727&gt;BC$7)),0,MAX(0,ROUND((INDEX($E727:$G727,BC$5)-SUMIFS(TF_Timer,TF_Tekniker,BC$4,TF_Dato,$A727))*2,0)/2)))</f>
        <v/>
      </c>
      <c r="BD727">
        <f>IF(OR(BD$4="",$A727&gt;TODAY()),0,IF(OR(INDEX($B727:$D727,BD$5)="F",AND(BD$6&gt;0,$A727&lt;BD$6),AND(BD$7&gt;0,$A727&gt;BD$7)),0,MAX(0,ROUND((INDEX($E727:$G727,BD$5)-SUMIFS(TF_Timer,TF_Tekniker,BD$4,TF_Dato,$A727))*2,0)/2)))</f>
        <v/>
      </c>
      <c r="BE727">
        <f>IF(OR(BE$4="",$A727&gt;TODAY()),0,IF(OR(INDEX($B727:$D727,BE$5)="F",AND(BE$6&gt;0,$A727&lt;BE$6),AND(BE$7&gt;0,$A727&gt;BE$7)),0,MAX(0,ROUND((INDEX($E727:$G727,BE$5)-SUMIFS(TF_Timer,TF_Tekniker,BE$4,TF_Dato,$A727))*2,0)/2)))</f>
        <v/>
      </c>
      <c r="BF727">
        <f>IF(OR(BF$4="",$A727&gt;TODAY()),0,IF(OR(INDEX($B727:$D727,BF$5)="F",AND(BF$6&gt;0,$A727&lt;BF$6),AND(BF$7&gt;0,$A727&gt;BF$7)),0,MAX(0,ROUND((INDEX($E727:$G727,BF$5)-SUMIFS(TF_Timer,TF_Tekniker,BF$4,TF_Dato,$A727))*2,0)/2)))</f>
        <v/>
      </c>
      <c r="BG727">
        <f>IF(OR(BG$4="",$A727&gt;TODAY()),0,IF(OR(INDEX($B727:$D727,BG$5)="F",AND(BG$6&gt;0,$A727&lt;BG$6),AND(BG$7&gt;0,$A727&gt;BG$7)),0,MAX(0,ROUND((INDEX($E727:$G727,BG$5)-SUMIFS(TF_Timer,TF_Tekniker,BG$4,TF_Dato,$A727))*2,0)/2)))</f>
        <v/>
      </c>
      <c r="BH727">
        <f>IF(OR(BH$4="",$A727&gt;TODAY()),0,IF(OR(INDEX($B727:$D727,BH$5)="F",AND(BH$6&gt;0,$A727&lt;BH$6),AND(BH$7&gt;0,$A727&gt;BH$7)),0,MAX(0,ROUND((INDEX($E727:$G727,BH$5)-SUMIFS(TF_Timer,TF_Tekniker,BH$4,TF_Dato,$A727))*2,0)/2)))</f>
        <v/>
      </c>
      <c r="BI727">
        <f>IF(OR(BI$4="",$A727&gt;TODAY()),0,IF(OR(INDEX($B727:$D727,BI$5)="F",AND(BI$6&gt;0,$A727&lt;BI$6),AND(BI$7&gt;0,$A727&gt;BI$7)),0,MAX(0,ROUND((INDEX($E727:$G727,BI$5)-SUMIFS(TF_Timer,TF_Tekniker,BI$4,TF_Dato,$A727))*2,0)/2)))</f>
        <v/>
      </c>
    </row>
    <row r="728">
      <c r="A728" s="64">
        <f>A727+1</f>
        <v/>
      </c>
      <c r="B728">
        <f>IF(MOD($A728-INDEX(SkiftStart,1),Syklus)&lt;DagK,"K",IF(MOD($A728-INDEX(SkiftStart,1),Syklus)&lt;DagK+DagH,"H",IF(MOD($A728-INDEX(SkiftStart,1),Syklus)&lt;DagK+DagH+DagD,"D","F")))</f>
        <v/>
      </c>
      <c r="C728">
        <f>IF(MOD($A728-INDEX(SkiftStart,2),Syklus)&lt;DagK,"K",IF(MOD($A728-INDEX(SkiftStart,2),Syklus)&lt;DagK+DagH,"H",IF(MOD($A728-INDEX(SkiftStart,2),Syklus)&lt;DagK+DagH+DagD,"D","F")))</f>
        <v/>
      </c>
      <c r="D728">
        <f>IF(MOD($A728-INDEX(SkiftStart,3),Syklus)&lt;DagK,"K",IF(MOD($A728-INDEX(SkiftStart,3),Syklus)&lt;DagK+DagH,"H",IF(MOD($A728-INDEX(SkiftStart,3),Syklus)&lt;DagK+DagH+DagD,"D","F")))</f>
        <v/>
      </c>
      <c r="E728">
        <f>IF(B728="F",0,IF(WEEKDAY($A728,2)=5,INDEX(TimerFr,MATCH(B728,FaseKode,0)),INDEX(TimerMT,MATCH(B728,FaseKode,0))))</f>
        <v/>
      </c>
      <c r="F728">
        <f>IF(C728="F",0,IF(WEEKDAY($A728,2)=5,INDEX(TimerFr,MATCH(C728,FaseKode,0)),INDEX(TimerMT,MATCH(C728,FaseKode,0))))</f>
        <v/>
      </c>
      <c r="G728">
        <f>IF(D728="F",0,IF(WEEKDAY($A728,2)=5,INDEX(TimerFr,MATCH(D728,FaseKode,0)),INDEX(TimerMT,MATCH(D728,FaseKode,0))))</f>
        <v/>
      </c>
      <c r="H728">
        <f>IF(OR(H$4="",$A728&gt;TODAY()),0,IF(OR(INDEX($B728:$D728,H$5)="F",AND(H$6&gt;0,$A728&lt;H$6),AND(H$7&gt;0,$A728&gt;H$7)),0,MAX(0,ROUND((INDEX($E728:$G728,H$5)-SUMIFS(TF_Timer,TF_Tekniker,H$4,TF_Dato,$A728))*2,0)/2)))</f>
        <v/>
      </c>
      <c r="I728">
        <f>IF(OR(I$4="",$A728&gt;TODAY()),0,IF(OR(INDEX($B728:$D728,I$5)="F",AND(I$6&gt;0,$A728&lt;I$6),AND(I$7&gt;0,$A728&gt;I$7)),0,MAX(0,ROUND((INDEX($E728:$G728,I$5)-SUMIFS(TF_Timer,TF_Tekniker,I$4,TF_Dato,$A728))*2,0)/2)))</f>
        <v/>
      </c>
      <c r="J728">
        <f>IF(OR(J$4="",$A728&gt;TODAY()),0,IF(OR(INDEX($B728:$D728,J$5)="F",AND(J$6&gt;0,$A728&lt;J$6),AND(J$7&gt;0,$A728&gt;J$7)),0,MAX(0,ROUND((INDEX($E728:$G728,J$5)-SUMIFS(TF_Timer,TF_Tekniker,J$4,TF_Dato,$A728))*2,0)/2)))</f>
        <v/>
      </c>
      <c r="K728">
        <f>IF(OR(K$4="",$A728&gt;TODAY()),0,IF(OR(INDEX($B728:$D728,K$5)="F",AND(K$6&gt;0,$A728&lt;K$6),AND(K$7&gt;0,$A728&gt;K$7)),0,MAX(0,ROUND((INDEX($E728:$G728,K$5)-SUMIFS(TF_Timer,TF_Tekniker,K$4,TF_Dato,$A728))*2,0)/2)))</f>
        <v/>
      </c>
      <c r="L728">
        <f>IF(OR(L$4="",$A728&gt;TODAY()),0,IF(OR(INDEX($B728:$D728,L$5)="F",AND(L$6&gt;0,$A728&lt;L$6),AND(L$7&gt;0,$A728&gt;L$7)),0,MAX(0,ROUND((INDEX($E728:$G728,L$5)-SUMIFS(TF_Timer,TF_Tekniker,L$4,TF_Dato,$A728))*2,0)/2)))</f>
        <v/>
      </c>
      <c r="M728">
        <f>IF(OR(M$4="",$A728&gt;TODAY()),0,IF(OR(INDEX($B728:$D728,M$5)="F",AND(M$6&gt;0,$A728&lt;M$6),AND(M$7&gt;0,$A728&gt;M$7)),0,MAX(0,ROUND((INDEX($E728:$G728,M$5)-SUMIFS(TF_Timer,TF_Tekniker,M$4,TF_Dato,$A728))*2,0)/2)))</f>
        <v/>
      </c>
      <c r="N728">
        <f>IF(OR(N$4="",$A728&gt;TODAY()),0,IF(OR(INDEX($B728:$D728,N$5)="F",AND(N$6&gt;0,$A728&lt;N$6),AND(N$7&gt;0,$A728&gt;N$7)),0,MAX(0,ROUND((INDEX($E728:$G728,N$5)-SUMIFS(TF_Timer,TF_Tekniker,N$4,TF_Dato,$A728))*2,0)/2)))</f>
        <v/>
      </c>
      <c r="O728">
        <f>IF(OR(O$4="",$A728&gt;TODAY()),0,IF(OR(INDEX($B728:$D728,O$5)="F",AND(O$6&gt;0,$A728&lt;O$6),AND(O$7&gt;0,$A728&gt;O$7)),0,MAX(0,ROUND((INDEX($E728:$G728,O$5)-SUMIFS(TF_Timer,TF_Tekniker,O$4,TF_Dato,$A728))*2,0)/2)))</f>
        <v/>
      </c>
      <c r="P728">
        <f>IF(OR(P$4="",$A728&gt;TODAY()),0,IF(OR(INDEX($B728:$D728,P$5)="F",AND(P$6&gt;0,$A728&lt;P$6),AND(P$7&gt;0,$A728&gt;P$7)),0,MAX(0,ROUND((INDEX($E728:$G728,P$5)-SUMIFS(TF_Timer,TF_Tekniker,P$4,TF_Dato,$A728))*2,0)/2)))</f>
        <v/>
      </c>
      <c r="Q728">
        <f>IF(OR(Q$4="",$A728&gt;TODAY()),0,IF(OR(INDEX($B728:$D728,Q$5)="F",AND(Q$6&gt;0,$A728&lt;Q$6),AND(Q$7&gt;0,$A728&gt;Q$7)),0,MAX(0,ROUND((INDEX($E728:$G728,Q$5)-SUMIFS(TF_Timer,TF_Tekniker,Q$4,TF_Dato,$A728))*2,0)/2)))</f>
        <v/>
      </c>
      <c r="R728">
        <f>IF(OR(R$4="",$A728&gt;TODAY()),0,IF(OR(INDEX($B728:$D728,R$5)="F",AND(R$6&gt;0,$A728&lt;R$6),AND(R$7&gt;0,$A728&gt;R$7)),0,MAX(0,ROUND((INDEX($E728:$G728,R$5)-SUMIFS(TF_Timer,TF_Tekniker,R$4,TF_Dato,$A728))*2,0)/2)))</f>
        <v/>
      </c>
      <c r="S728">
        <f>IF(OR(S$4="",$A728&gt;TODAY()),0,IF(OR(INDEX($B728:$D728,S$5)="F",AND(S$6&gt;0,$A728&lt;S$6),AND(S$7&gt;0,$A728&gt;S$7)),0,MAX(0,ROUND((INDEX($E728:$G728,S$5)-SUMIFS(TF_Timer,TF_Tekniker,S$4,TF_Dato,$A728))*2,0)/2)))</f>
        <v/>
      </c>
      <c r="T728">
        <f>IF(OR(T$4="",$A728&gt;TODAY()),0,IF(OR(INDEX($B728:$D728,T$5)="F",AND(T$6&gt;0,$A728&lt;T$6),AND(T$7&gt;0,$A728&gt;T$7)),0,MAX(0,ROUND((INDEX($E728:$G728,T$5)-SUMIFS(TF_Timer,TF_Tekniker,T$4,TF_Dato,$A728))*2,0)/2)))</f>
        <v/>
      </c>
      <c r="U728">
        <f>IF(OR(U$4="",$A728&gt;TODAY()),0,IF(OR(INDEX($B728:$D728,U$5)="F",AND(U$6&gt;0,$A728&lt;U$6),AND(U$7&gt;0,$A728&gt;U$7)),0,MAX(0,ROUND((INDEX($E728:$G728,U$5)-SUMIFS(TF_Timer,TF_Tekniker,U$4,TF_Dato,$A728))*2,0)/2)))</f>
        <v/>
      </c>
      <c r="V728">
        <f>IF(OR(V$4="",$A728&gt;TODAY()),0,IF(OR(INDEX($B728:$D728,V$5)="F",AND(V$6&gt;0,$A728&lt;V$6),AND(V$7&gt;0,$A728&gt;V$7)),0,MAX(0,ROUND((INDEX($E728:$G728,V$5)-SUMIFS(TF_Timer,TF_Tekniker,V$4,TF_Dato,$A728))*2,0)/2)))</f>
        <v/>
      </c>
      <c r="W728">
        <f>IF(OR(W$4="",$A728&gt;TODAY()),0,IF(OR(INDEX($B728:$D728,W$5)="F",AND(W$6&gt;0,$A728&lt;W$6),AND(W$7&gt;0,$A728&gt;W$7)),0,MAX(0,ROUND((INDEX($E728:$G728,W$5)-SUMIFS(TF_Timer,TF_Tekniker,W$4,TF_Dato,$A728))*2,0)/2)))</f>
        <v/>
      </c>
      <c r="X728">
        <f>IF(OR(X$4="",$A728&gt;TODAY()),0,IF(OR(INDEX($B728:$D728,X$5)="F",AND(X$6&gt;0,$A728&lt;X$6),AND(X$7&gt;0,$A728&gt;X$7)),0,MAX(0,ROUND((INDEX($E728:$G728,X$5)-SUMIFS(TF_Timer,TF_Tekniker,X$4,TF_Dato,$A728))*2,0)/2)))</f>
        <v/>
      </c>
      <c r="Y728">
        <f>IF(OR(Y$4="",$A728&gt;TODAY()),0,IF(OR(INDEX($B728:$D728,Y$5)="F",AND(Y$6&gt;0,$A728&lt;Y$6),AND(Y$7&gt;0,$A728&gt;Y$7)),0,MAX(0,ROUND((INDEX($E728:$G728,Y$5)-SUMIFS(TF_Timer,TF_Tekniker,Y$4,TF_Dato,$A728))*2,0)/2)))</f>
        <v/>
      </c>
      <c r="Z728">
        <f>IF(OR(Z$4="",$A728&gt;TODAY()),0,IF(OR(INDEX($B728:$D728,Z$5)="F",AND(Z$6&gt;0,$A728&lt;Z$6),AND(Z$7&gt;0,$A728&gt;Z$7)),0,MAX(0,ROUND((INDEX($E728:$G728,Z$5)-SUMIFS(TF_Timer,TF_Tekniker,Z$4,TF_Dato,$A728))*2,0)/2)))</f>
        <v/>
      </c>
      <c r="AA728">
        <f>IF(OR(AA$4="",$A728&gt;TODAY()),0,IF(OR(INDEX($B728:$D728,AA$5)="F",AND(AA$6&gt;0,$A728&lt;AA$6),AND(AA$7&gt;0,$A728&gt;AA$7)),0,MAX(0,ROUND((INDEX($E728:$G728,AA$5)-SUMIFS(TF_Timer,TF_Tekniker,AA$4,TF_Dato,$A728))*2,0)/2)))</f>
        <v/>
      </c>
      <c r="AB728">
        <f>IF(OR(AB$4="",$A728&gt;TODAY()),0,IF(OR(INDEX($B728:$D728,AB$5)="F",AND(AB$6&gt;0,$A728&lt;AB$6),AND(AB$7&gt;0,$A728&gt;AB$7)),0,MAX(0,ROUND((INDEX($E728:$G728,AB$5)-SUMIFS(TF_Timer,TF_Tekniker,AB$4,TF_Dato,$A728))*2,0)/2)))</f>
        <v/>
      </c>
      <c r="AC728">
        <f>IF(OR(AC$4="",$A728&gt;TODAY()),0,IF(OR(INDEX($B728:$D728,AC$5)="F",AND(AC$6&gt;0,$A728&lt;AC$6),AND(AC$7&gt;0,$A728&gt;AC$7)),0,MAX(0,ROUND((INDEX($E728:$G728,AC$5)-SUMIFS(TF_Timer,TF_Tekniker,AC$4,TF_Dato,$A728))*2,0)/2)))</f>
        <v/>
      </c>
      <c r="AD728">
        <f>IF(OR(AD$4="",$A728&gt;TODAY()),0,IF(OR(INDEX($B728:$D728,AD$5)="F",AND(AD$6&gt;0,$A728&lt;AD$6),AND(AD$7&gt;0,$A728&gt;AD$7)),0,MAX(0,ROUND((INDEX($E728:$G728,AD$5)-SUMIFS(TF_Timer,TF_Tekniker,AD$4,TF_Dato,$A728))*2,0)/2)))</f>
        <v/>
      </c>
      <c r="AE728">
        <f>IF(OR(AE$4="",$A728&gt;TODAY()),0,IF(OR(INDEX($B728:$D728,AE$5)="F",AND(AE$6&gt;0,$A728&lt;AE$6),AND(AE$7&gt;0,$A728&gt;AE$7)),0,MAX(0,ROUND((INDEX($E728:$G728,AE$5)-SUMIFS(TF_Timer,TF_Tekniker,AE$4,TF_Dato,$A728))*2,0)/2)))</f>
        <v/>
      </c>
      <c r="AF728">
        <f>IF(OR(AF$4="",$A728&gt;TODAY()),0,IF(OR(INDEX($B728:$D728,AF$5)="F",AND(AF$6&gt;0,$A728&lt;AF$6),AND(AF$7&gt;0,$A728&gt;AF$7)),0,MAX(0,ROUND((INDEX($E728:$G728,AF$5)-SUMIFS(TF_Timer,TF_Tekniker,AF$4,TF_Dato,$A728))*2,0)/2)))</f>
        <v/>
      </c>
      <c r="AG728">
        <f>IF(OR(AG$4="",$A728&gt;TODAY()),0,IF(OR(INDEX($B728:$D728,AG$5)="F",AND(AG$6&gt;0,$A728&lt;AG$6),AND(AG$7&gt;0,$A728&gt;AG$7)),0,MAX(0,ROUND((INDEX($E728:$G728,AG$5)-SUMIFS(TF_Timer,TF_Tekniker,AG$4,TF_Dato,$A728))*2,0)/2)))</f>
        <v/>
      </c>
      <c r="AH728">
        <f>IF(OR(AH$4="",$A728&gt;TODAY()),0,IF(OR(INDEX($B728:$D728,AH$5)="F",AND(AH$6&gt;0,$A728&lt;AH$6),AND(AH$7&gt;0,$A728&gt;AH$7)),0,MAX(0,ROUND((INDEX($E728:$G728,AH$5)-SUMIFS(TF_Timer,TF_Tekniker,AH$4,TF_Dato,$A728))*2,0)/2)))</f>
        <v/>
      </c>
      <c r="AI728">
        <f>IF(OR(AI$4="",$A728&gt;TODAY()),0,IF(OR(INDEX($B728:$D728,AI$5)="F",AND(AI$6&gt;0,$A728&lt;AI$6),AND(AI$7&gt;0,$A728&gt;AI$7)),0,MAX(0,ROUND((INDEX($E728:$G728,AI$5)-SUMIFS(TF_Timer,TF_Tekniker,AI$4,TF_Dato,$A728))*2,0)/2)))</f>
        <v/>
      </c>
      <c r="AJ728">
        <f>IF(OR(AJ$4="",$A728&gt;TODAY()),0,IF(OR(INDEX($B728:$D728,AJ$5)="F",AND(AJ$6&gt;0,$A728&lt;AJ$6),AND(AJ$7&gt;0,$A728&gt;AJ$7)),0,MAX(0,ROUND((INDEX($E728:$G728,AJ$5)-SUMIFS(TF_Timer,TF_Tekniker,AJ$4,TF_Dato,$A728))*2,0)/2)))</f>
        <v/>
      </c>
      <c r="AK728">
        <f>IF(OR(AK$4="",$A728&gt;TODAY()),0,IF(OR(INDEX($B728:$D728,AK$5)="F",AND(AK$6&gt;0,$A728&lt;AK$6),AND(AK$7&gt;0,$A728&gt;AK$7)),0,MAX(0,ROUND((INDEX($E728:$G728,AK$5)-SUMIFS(TF_Timer,TF_Tekniker,AK$4,TF_Dato,$A728))*2,0)/2)))</f>
        <v/>
      </c>
      <c r="AL728">
        <f>IF(OR(AL$4="",$A728&gt;TODAY()),0,IF(OR(INDEX($B728:$D728,AL$5)="F",AND(AL$6&gt;0,$A728&lt;AL$6),AND(AL$7&gt;0,$A728&gt;AL$7)),0,MAX(0,ROUND((INDEX($E728:$G728,AL$5)-SUMIFS(TF_Timer,TF_Tekniker,AL$4,TF_Dato,$A728))*2,0)/2)))</f>
        <v/>
      </c>
      <c r="AM728">
        <f>IF(OR(AM$4="",$A728&gt;TODAY()),0,IF(OR(INDEX($B728:$D728,AM$5)="F",AND(AM$6&gt;0,$A728&lt;AM$6),AND(AM$7&gt;0,$A728&gt;AM$7)),0,MAX(0,ROUND((INDEX($E728:$G728,AM$5)-SUMIFS(TF_Timer,TF_Tekniker,AM$4,TF_Dato,$A728))*2,0)/2)))</f>
        <v/>
      </c>
      <c r="AN728">
        <f>IF(OR(AN$4="",$A728&gt;TODAY()),0,IF(OR(INDEX($B728:$D728,AN$5)="F",AND(AN$6&gt;0,$A728&lt;AN$6),AND(AN$7&gt;0,$A728&gt;AN$7)),0,MAX(0,ROUND((INDEX($E728:$G728,AN$5)-SUMIFS(TF_Timer,TF_Tekniker,AN$4,TF_Dato,$A728))*2,0)/2)))</f>
        <v/>
      </c>
      <c r="AO728">
        <f>IF(OR(AO$4="",$A728&gt;TODAY()),0,IF(OR(INDEX($B728:$D728,AO$5)="F",AND(AO$6&gt;0,$A728&lt;AO$6),AND(AO$7&gt;0,$A728&gt;AO$7)),0,MAX(0,ROUND((INDEX($E728:$G728,AO$5)-SUMIFS(TF_Timer,TF_Tekniker,AO$4,TF_Dato,$A728))*2,0)/2)))</f>
        <v/>
      </c>
      <c r="AP728">
        <f>IF(OR(AP$4="",$A728&gt;TODAY()),0,IF(OR(INDEX($B728:$D728,AP$5)="F",AND(AP$6&gt;0,$A728&lt;AP$6),AND(AP$7&gt;0,$A728&gt;AP$7)),0,MAX(0,ROUND((INDEX($E728:$G728,AP$5)-SUMIFS(TF_Timer,TF_Tekniker,AP$4,TF_Dato,$A728))*2,0)/2)))</f>
        <v/>
      </c>
      <c r="AQ728">
        <f>IF(OR(AQ$4="",$A728&gt;TODAY()),0,IF(OR(INDEX($B728:$D728,AQ$5)="F",AND(AQ$6&gt;0,$A728&lt;AQ$6),AND(AQ$7&gt;0,$A728&gt;AQ$7)),0,MAX(0,ROUND((INDEX($E728:$G728,AQ$5)-SUMIFS(TF_Timer,TF_Tekniker,AQ$4,TF_Dato,$A728))*2,0)/2)))</f>
        <v/>
      </c>
      <c r="AR728">
        <f>IF(OR(AR$4="",$A728&gt;TODAY()),0,IF(OR(INDEX($B728:$D728,AR$5)="F",AND(AR$6&gt;0,$A728&lt;AR$6),AND(AR$7&gt;0,$A728&gt;AR$7)),0,MAX(0,ROUND((INDEX($E728:$G728,AR$5)-SUMIFS(TF_Timer,TF_Tekniker,AR$4,TF_Dato,$A728))*2,0)/2)))</f>
        <v/>
      </c>
      <c r="AS728">
        <f>IF(OR(AS$4="",$A728&gt;TODAY()),0,IF(OR(INDEX($B728:$D728,AS$5)="F",AND(AS$6&gt;0,$A728&lt;AS$6),AND(AS$7&gt;0,$A728&gt;AS$7)),0,MAX(0,ROUND((INDEX($E728:$G728,AS$5)-SUMIFS(TF_Timer,TF_Tekniker,AS$4,TF_Dato,$A728))*2,0)/2)))</f>
        <v/>
      </c>
      <c r="AT728">
        <f>IF(OR(AT$4="",$A728&gt;TODAY()),0,IF(OR(INDEX($B728:$D728,AT$5)="F",AND(AT$6&gt;0,$A728&lt;AT$6),AND(AT$7&gt;0,$A728&gt;AT$7)),0,MAX(0,ROUND((INDEX($E728:$G728,AT$5)-SUMIFS(TF_Timer,TF_Tekniker,AT$4,TF_Dato,$A728))*2,0)/2)))</f>
        <v/>
      </c>
      <c r="AU728">
        <f>IF(OR(AU$4="",$A728&gt;TODAY()),0,IF(OR(INDEX($B728:$D728,AU$5)="F",AND(AU$6&gt;0,$A728&lt;AU$6),AND(AU$7&gt;0,$A728&gt;AU$7)),0,MAX(0,ROUND((INDEX($E728:$G728,AU$5)-SUMIFS(TF_Timer,TF_Tekniker,AU$4,TF_Dato,$A728))*2,0)/2)))</f>
        <v/>
      </c>
      <c r="AV728">
        <f>IF(OR(AV$4="",$A728&gt;TODAY()),0,IF(OR(INDEX($B728:$D728,AV$5)="F",AND(AV$6&gt;0,$A728&lt;AV$6),AND(AV$7&gt;0,$A728&gt;AV$7)),0,MAX(0,ROUND((INDEX($E728:$G728,AV$5)-SUMIFS(TF_Timer,TF_Tekniker,AV$4,TF_Dato,$A728))*2,0)/2)))</f>
        <v/>
      </c>
      <c r="AW728">
        <f>IF(OR(AW$4="",$A728&gt;TODAY()),0,IF(OR(INDEX($B728:$D728,AW$5)="F",AND(AW$6&gt;0,$A728&lt;AW$6),AND(AW$7&gt;0,$A728&gt;AW$7)),0,MAX(0,ROUND((INDEX($E728:$G728,AW$5)-SUMIFS(TF_Timer,TF_Tekniker,AW$4,TF_Dato,$A728))*2,0)/2)))</f>
        <v/>
      </c>
      <c r="AX728">
        <f>IF(OR(AX$4="",$A728&gt;TODAY()),0,IF(OR(INDEX($B728:$D728,AX$5)="F",AND(AX$6&gt;0,$A728&lt;AX$6),AND(AX$7&gt;0,$A728&gt;AX$7)),0,MAX(0,ROUND((INDEX($E728:$G728,AX$5)-SUMIFS(TF_Timer,TF_Tekniker,AX$4,TF_Dato,$A728))*2,0)/2)))</f>
        <v/>
      </c>
      <c r="AY728">
        <f>IF(OR(AY$4="",$A728&gt;TODAY()),0,IF(OR(INDEX($B728:$D728,AY$5)="F",AND(AY$6&gt;0,$A728&lt;AY$6),AND(AY$7&gt;0,$A728&gt;AY$7)),0,MAX(0,ROUND((INDEX($E728:$G728,AY$5)-SUMIFS(TF_Timer,TF_Tekniker,AY$4,TF_Dato,$A728))*2,0)/2)))</f>
        <v/>
      </c>
      <c r="AZ728">
        <f>IF(OR(AZ$4="",$A728&gt;TODAY()),0,IF(OR(INDEX($B728:$D728,AZ$5)="F",AND(AZ$6&gt;0,$A728&lt;AZ$6),AND(AZ$7&gt;0,$A728&gt;AZ$7)),0,MAX(0,ROUND((INDEX($E728:$G728,AZ$5)-SUMIFS(TF_Timer,TF_Tekniker,AZ$4,TF_Dato,$A728))*2,0)/2)))</f>
        <v/>
      </c>
      <c r="BA728">
        <f>IF(OR(BA$4="",$A728&gt;TODAY()),0,IF(OR(INDEX($B728:$D728,BA$5)="F",AND(BA$6&gt;0,$A728&lt;BA$6),AND(BA$7&gt;0,$A728&gt;BA$7)),0,MAX(0,ROUND((INDEX($E728:$G728,BA$5)-SUMIFS(TF_Timer,TF_Tekniker,BA$4,TF_Dato,$A728))*2,0)/2)))</f>
        <v/>
      </c>
      <c r="BB728">
        <f>IF(OR(BB$4="",$A728&gt;TODAY()),0,IF(OR(INDEX($B728:$D728,BB$5)="F",AND(BB$6&gt;0,$A728&lt;BB$6),AND(BB$7&gt;0,$A728&gt;BB$7)),0,MAX(0,ROUND((INDEX($E728:$G728,BB$5)-SUMIFS(TF_Timer,TF_Tekniker,BB$4,TF_Dato,$A728))*2,0)/2)))</f>
        <v/>
      </c>
      <c r="BC728">
        <f>IF(OR(BC$4="",$A728&gt;TODAY()),0,IF(OR(INDEX($B728:$D728,BC$5)="F",AND(BC$6&gt;0,$A728&lt;BC$6),AND(BC$7&gt;0,$A728&gt;BC$7)),0,MAX(0,ROUND((INDEX($E728:$G728,BC$5)-SUMIFS(TF_Timer,TF_Tekniker,BC$4,TF_Dato,$A728))*2,0)/2)))</f>
        <v/>
      </c>
      <c r="BD728">
        <f>IF(OR(BD$4="",$A728&gt;TODAY()),0,IF(OR(INDEX($B728:$D728,BD$5)="F",AND(BD$6&gt;0,$A728&lt;BD$6),AND(BD$7&gt;0,$A728&gt;BD$7)),0,MAX(0,ROUND((INDEX($E728:$G728,BD$5)-SUMIFS(TF_Timer,TF_Tekniker,BD$4,TF_Dato,$A728))*2,0)/2)))</f>
        <v/>
      </c>
      <c r="BE728">
        <f>IF(OR(BE$4="",$A728&gt;TODAY()),0,IF(OR(INDEX($B728:$D728,BE$5)="F",AND(BE$6&gt;0,$A728&lt;BE$6),AND(BE$7&gt;0,$A728&gt;BE$7)),0,MAX(0,ROUND((INDEX($E728:$G728,BE$5)-SUMIFS(TF_Timer,TF_Tekniker,BE$4,TF_Dato,$A728))*2,0)/2)))</f>
        <v/>
      </c>
      <c r="BF728">
        <f>IF(OR(BF$4="",$A728&gt;TODAY()),0,IF(OR(INDEX($B728:$D728,BF$5)="F",AND(BF$6&gt;0,$A728&lt;BF$6),AND(BF$7&gt;0,$A728&gt;BF$7)),0,MAX(0,ROUND((INDEX($E728:$G728,BF$5)-SUMIFS(TF_Timer,TF_Tekniker,BF$4,TF_Dato,$A728))*2,0)/2)))</f>
        <v/>
      </c>
      <c r="BG728">
        <f>IF(OR(BG$4="",$A728&gt;TODAY()),0,IF(OR(INDEX($B728:$D728,BG$5)="F",AND(BG$6&gt;0,$A728&lt;BG$6),AND(BG$7&gt;0,$A728&gt;BG$7)),0,MAX(0,ROUND((INDEX($E728:$G728,BG$5)-SUMIFS(TF_Timer,TF_Tekniker,BG$4,TF_Dato,$A728))*2,0)/2)))</f>
        <v/>
      </c>
      <c r="BH728">
        <f>IF(OR(BH$4="",$A728&gt;TODAY()),0,IF(OR(INDEX($B728:$D728,BH$5)="F",AND(BH$6&gt;0,$A728&lt;BH$6),AND(BH$7&gt;0,$A728&gt;BH$7)),0,MAX(0,ROUND((INDEX($E728:$G728,BH$5)-SUMIFS(TF_Timer,TF_Tekniker,BH$4,TF_Dato,$A728))*2,0)/2)))</f>
        <v/>
      </c>
      <c r="BI728">
        <f>IF(OR(BI$4="",$A728&gt;TODAY()),0,IF(OR(INDEX($B728:$D728,BI$5)="F",AND(BI$6&gt;0,$A728&lt;BI$6),AND(BI$7&gt;0,$A728&gt;BI$7)),0,MAX(0,ROUND((INDEX($E728:$G728,BI$5)-SUMIFS(TF_Timer,TF_Tekniker,BI$4,TF_Dato,$A728))*2,0)/2)))</f>
        <v/>
      </c>
    </row>
    <row r="729">
      <c r="A729" s="64">
        <f>A728+1</f>
        <v/>
      </c>
      <c r="B729">
        <f>IF(MOD($A729-INDEX(SkiftStart,1),Syklus)&lt;DagK,"K",IF(MOD($A729-INDEX(SkiftStart,1),Syklus)&lt;DagK+DagH,"H",IF(MOD($A729-INDEX(SkiftStart,1),Syklus)&lt;DagK+DagH+DagD,"D","F")))</f>
        <v/>
      </c>
      <c r="C729">
        <f>IF(MOD($A729-INDEX(SkiftStart,2),Syklus)&lt;DagK,"K",IF(MOD($A729-INDEX(SkiftStart,2),Syklus)&lt;DagK+DagH,"H",IF(MOD($A729-INDEX(SkiftStart,2),Syklus)&lt;DagK+DagH+DagD,"D","F")))</f>
        <v/>
      </c>
      <c r="D729">
        <f>IF(MOD($A729-INDEX(SkiftStart,3),Syklus)&lt;DagK,"K",IF(MOD($A729-INDEX(SkiftStart,3),Syklus)&lt;DagK+DagH,"H",IF(MOD($A729-INDEX(SkiftStart,3),Syklus)&lt;DagK+DagH+DagD,"D","F")))</f>
        <v/>
      </c>
      <c r="E729">
        <f>IF(B729="F",0,IF(WEEKDAY($A729,2)=5,INDEX(TimerFr,MATCH(B729,FaseKode,0)),INDEX(TimerMT,MATCH(B729,FaseKode,0))))</f>
        <v/>
      </c>
      <c r="F729">
        <f>IF(C729="F",0,IF(WEEKDAY($A729,2)=5,INDEX(TimerFr,MATCH(C729,FaseKode,0)),INDEX(TimerMT,MATCH(C729,FaseKode,0))))</f>
        <v/>
      </c>
      <c r="G729">
        <f>IF(D729="F",0,IF(WEEKDAY($A729,2)=5,INDEX(TimerFr,MATCH(D729,FaseKode,0)),INDEX(TimerMT,MATCH(D729,FaseKode,0))))</f>
        <v/>
      </c>
      <c r="H729">
        <f>IF(OR(H$4="",$A729&gt;TODAY()),0,IF(OR(INDEX($B729:$D729,H$5)="F",AND(H$6&gt;0,$A729&lt;H$6),AND(H$7&gt;0,$A729&gt;H$7)),0,MAX(0,ROUND((INDEX($E729:$G729,H$5)-SUMIFS(TF_Timer,TF_Tekniker,H$4,TF_Dato,$A729))*2,0)/2)))</f>
        <v/>
      </c>
      <c r="I729">
        <f>IF(OR(I$4="",$A729&gt;TODAY()),0,IF(OR(INDEX($B729:$D729,I$5)="F",AND(I$6&gt;0,$A729&lt;I$6),AND(I$7&gt;0,$A729&gt;I$7)),0,MAX(0,ROUND((INDEX($E729:$G729,I$5)-SUMIFS(TF_Timer,TF_Tekniker,I$4,TF_Dato,$A729))*2,0)/2)))</f>
        <v/>
      </c>
      <c r="J729">
        <f>IF(OR(J$4="",$A729&gt;TODAY()),0,IF(OR(INDEX($B729:$D729,J$5)="F",AND(J$6&gt;0,$A729&lt;J$6),AND(J$7&gt;0,$A729&gt;J$7)),0,MAX(0,ROUND((INDEX($E729:$G729,J$5)-SUMIFS(TF_Timer,TF_Tekniker,J$4,TF_Dato,$A729))*2,0)/2)))</f>
        <v/>
      </c>
      <c r="K729">
        <f>IF(OR(K$4="",$A729&gt;TODAY()),0,IF(OR(INDEX($B729:$D729,K$5)="F",AND(K$6&gt;0,$A729&lt;K$6),AND(K$7&gt;0,$A729&gt;K$7)),0,MAX(0,ROUND((INDEX($E729:$G729,K$5)-SUMIFS(TF_Timer,TF_Tekniker,K$4,TF_Dato,$A729))*2,0)/2)))</f>
        <v/>
      </c>
      <c r="L729">
        <f>IF(OR(L$4="",$A729&gt;TODAY()),0,IF(OR(INDEX($B729:$D729,L$5)="F",AND(L$6&gt;0,$A729&lt;L$6),AND(L$7&gt;0,$A729&gt;L$7)),0,MAX(0,ROUND((INDEX($E729:$G729,L$5)-SUMIFS(TF_Timer,TF_Tekniker,L$4,TF_Dato,$A729))*2,0)/2)))</f>
        <v/>
      </c>
      <c r="M729">
        <f>IF(OR(M$4="",$A729&gt;TODAY()),0,IF(OR(INDEX($B729:$D729,M$5)="F",AND(M$6&gt;0,$A729&lt;M$6),AND(M$7&gt;0,$A729&gt;M$7)),0,MAX(0,ROUND((INDEX($E729:$G729,M$5)-SUMIFS(TF_Timer,TF_Tekniker,M$4,TF_Dato,$A729))*2,0)/2)))</f>
        <v/>
      </c>
      <c r="N729">
        <f>IF(OR(N$4="",$A729&gt;TODAY()),0,IF(OR(INDEX($B729:$D729,N$5)="F",AND(N$6&gt;0,$A729&lt;N$6),AND(N$7&gt;0,$A729&gt;N$7)),0,MAX(0,ROUND((INDEX($E729:$G729,N$5)-SUMIFS(TF_Timer,TF_Tekniker,N$4,TF_Dato,$A729))*2,0)/2)))</f>
        <v/>
      </c>
      <c r="O729">
        <f>IF(OR(O$4="",$A729&gt;TODAY()),0,IF(OR(INDEX($B729:$D729,O$5)="F",AND(O$6&gt;0,$A729&lt;O$6),AND(O$7&gt;0,$A729&gt;O$7)),0,MAX(0,ROUND((INDEX($E729:$G729,O$5)-SUMIFS(TF_Timer,TF_Tekniker,O$4,TF_Dato,$A729))*2,0)/2)))</f>
        <v/>
      </c>
      <c r="P729">
        <f>IF(OR(P$4="",$A729&gt;TODAY()),0,IF(OR(INDEX($B729:$D729,P$5)="F",AND(P$6&gt;0,$A729&lt;P$6),AND(P$7&gt;0,$A729&gt;P$7)),0,MAX(0,ROUND((INDEX($E729:$G729,P$5)-SUMIFS(TF_Timer,TF_Tekniker,P$4,TF_Dato,$A729))*2,0)/2)))</f>
        <v/>
      </c>
      <c r="Q729">
        <f>IF(OR(Q$4="",$A729&gt;TODAY()),0,IF(OR(INDEX($B729:$D729,Q$5)="F",AND(Q$6&gt;0,$A729&lt;Q$6),AND(Q$7&gt;0,$A729&gt;Q$7)),0,MAX(0,ROUND((INDEX($E729:$G729,Q$5)-SUMIFS(TF_Timer,TF_Tekniker,Q$4,TF_Dato,$A729))*2,0)/2)))</f>
        <v/>
      </c>
      <c r="R729">
        <f>IF(OR(R$4="",$A729&gt;TODAY()),0,IF(OR(INDEX($B729:$D729,R$5)="F",AND(R$6&gt;0,$A729&lt;R$6),AND(R$7&gt;0,$A729&gt;R$7)),0,MAX(0,ROUND((INDEX($E729:$G729,R$5)-SUMIFS(TF_Timer,TF_Tekniker,R$4,TF_Dato,$A729))*2,0)/2)))</f>
        <v/>
      </c>
      <c r="S729">
        <f>IF(OR(S$4="",$A729&gt;TODAY()),0,IF(OR(INDEX($B729:$D729,S$5)="F",AND(S$6&gt;0,$A729&lt;S$6),AND(S$7&gt;0,$A729&gt;S$7)),0,MAX(0,ROUND((INDEX($E729:$G729,S$5)-SUMIFS(TF_Timer,TF_Tekniker,S$4,TF_Dato,$A729))*2,0)/2)))</f>
        <v/>
      </c>
      <c r="T729">
        <f>IF(OR(T$4="",$A729&gt;TODAY()),0,IF(OR(INDEX($B729:$D729,T$5)="F",AND(T$6&gt;0,$A729&lt;T$6),AND(T$7&gt;0,$A729&gt;T$7)),0,MAX(0,ROUND((INDEX($E729:$G729,T$5)-SUMIFS(TF_Timer,TF_Tekniker,T$4,TF_Dato,$A729))*2,0)/2)))</f>
        <v/>
      </c>
      <c r="U729">
        <f>IF(OR(U$4="",$A729&gt;TODAY()),0,IF(OR(INDEX($B729:$D729,U$5)="F",AND(U$6&gt;0,$A729&lt;U$6),AND(U$7&gt;0,$A729&gt;U$7)),0,MAX(0,ROUND((INDEX($E729:$G729,U$5)-SUMIFS(TF_Timer,TF_Tekniker,U$4,TF_Dato,$A729))*2,0)/2)))</f>
        <v/>
      </c>
      <c r="V729">
        <f>IF(OR(V$4="",$A729&gt;TODAY()),0,IF(OR(INDEX($B729:$D729,V$5)="F",AND(V$6&gt;0,$A729&lt;V$6),AND(V$7&gt;0,$A729&gt;V$7)),0,MAX(0,ROUND((INDEX($E729:$G729,V$5)-SUMIFS(TF_Timer,TF_Tekniker,V$4,TF_Dato,$A729))*2,0)/2)))</f>
        <v/>
      </c>
      <c r="W729">
        <f>IF(OR(W$4="",$A729&gt;TODAY()),0,IF(OR(INDEX($B729:$D729,W$5)="F",AND(W$6&gt;0,$A729&lt;W$6),AND(W$7&gt;0,$A729&gt;W$7)),0,MAX(0,ROUND((INDEX($E729:$G729,W$5)-SUMIFS(TF_Timer,TF_Tekniker,W$4,TF_Dato,$A729))*2,0)/2)))</f>
        <v/>
      </c>
      <c r="X729">
        <f>IF(OR(X$4="",$A729&gt;TODAY()),0,IF(OR(INDEX($B729:$D729,X$5)="F",AND(X$6&gt;0,$A729&lt;X$6),AND(X$7&gt;0,$A729&gt;X$7)),0,MAX(0,ROUND((INDEX($E729:$G729,X$5)-SUMIFS(TF_Timer,TF_Tekniker,X$4,TF_Dato,$A729))*2,0)/2)))</f>
        <v/>
      </c>
      <c r="Y729">
        <f>IF(OR(Y$4="",$A729&gt;TODAY()),0,IF(OR(INDEX($B729:$D729,Y$5)="F",AND(Y$6&gt;0,$A729&lt;Y$6),AND(Y$7&gt;0,$A729&gt;Y$7)),0,MAX(0,ROUND((INDEX($E729:$G729,Y$5)-SUMIFS(TF_Timer,TF_Tekniker,Y$4,TF_Dato,$A729))*2,0)/2)))</f>
        <v/>
      </c>
      <c r="Z729">
        <f>IF(OR(Z$4="",$A729&gt;TODAY()),0,IF(OR(INDEX($B729:$D729,Z$5)="F",AND(Z$6&gt;0,$A729&lt;Z$6),AND(Z$7&gt;0,$A729&gt;Z$7)),0,MAX(0,ROUND((INDEX($E729:$G729,Z$5)-SUMIFS(TF_Timer,TF_Tekniker,Z$4,TF_Dato,$A729))*2,0)/2)))</f>
        <v/>
      </c>
      <c r="AA729">
        <f>IF(OR(AA$4="",$A729&gt;TODAY()),0,IF(OR(INDEX($B729:$D729,AA$5)="F",AND(AA$6&gt;0,$A729&lt;AA$6),AND(AA$7&gt;0,$A729&gt;AA$7)),0,MAX(0,ROUND((INDEX($E729:$G729,AA$5)-SUMIFS(TF_Timer,TF_Tekniker,AA$4,TF_Dato,$A729))*2,0)/2)))</f>
        <v/>
      </c>
      <c r="AB729">
        <f>IF(OR(AB$4="",$A729&gt;TODAY()),0,IF(OR(INDEX($B729:$D729,AB$5)="F",AND(AB$6&gt;0,$A729&lt;AB$6),AND(AB$7&gt;0,$A729&gt;AB$7)),0,MAX(0,ROUND((INDEX($E729:$G729,AB$5)-SUMIFS(TF_Timer,TF_Tekniker,AB$4,TF_Dato,$A729))*2,0)/2)))</f>
        <v/>
      </c>
      <c r="AC729">
        <f>IF(OR(AC$4="",$A729&gt;TODAY()),0,IF(OR(INDEX($B729:$D729,AC$5)="F",AND(AC$6&gt;0,$A729&lt;AC$6),AND(AC$7&gt;0,$A729&gt;AC$7)),0,MAX(0,ROUND((INDEX($E729:$G729,AC$5)-SUMIFS(TF_Timer,TF_Tekniker,AC$4,TF_Dato,$A729))*2,0)/2)))</f>
        <v/>
      </c>
      <c r="AD729">
        <f>IF(OR(AD$4="",$A729&gt;TODAY()),0,IF(OR(INDEX($B729:$D729,AD$5)="F",AND(AD$6&gt;0,$A729&lt;AD$6),AND(AD$7&gt;0,$A729&gt;AD$7)),0,MAX(0,ROUND((INDEX($E729:$G729,AD$5)-SUMIFS(TF_Timer,TF_Tekniker,AD$4,TF_Dato,$A729))*2,0)/2)))</f>
        <v/>
      </c>
      <c r="AE729">
        <f>IF(OR(AE$4="",$A729&gt;TODAY()),0,IF(OR(INDEX($B729:$D729,AE$5)="F",AND(AE$6&gt;0,$A729&lt;AE$6),AND(AE$7&gt;0,$A729&gt;AE$7)),0,MAX(0,ROUND((INDEX($E729:$G729,AE$5)-SUMIFS(TF_Timer,TF_Tekniker,AE$4,TF_Dato,$A729))*2,0)/2)))</f>
        <v/>
      </c>
      <c r="AF729">
        <f>IF(OR(AF$4="",$A729&gt;TODAY()),0,IF(OR(INDEX($B729:$D729,AF$5)="F",AND(AF$6&gt;0,$A729&lt;AF$6),AND(AF$7&gt;0,$A729&gt;AF$7)),0,MAX(0,ROUND((INDEX($E729:$G729,AF$5)-SUMIFS(TF_Timer,TF_Tekniker,AF$4,TF_Dato,$A729))*2,0)/2)))</f>
        <v/>
      </c>
      <c r="AG729">
        <f>IF(OR(AG$4="",$A729&gt;TODAY()),0,IF(OR(INDEX($B729:$D729,AG$5)="F",AND(AG$6&gt;0,$A729&lt;AG$6),AND(AG$7&gt;0,$A729&gt;AG$7)),0,MAX(0,ROUND((INDEX($E729:$G729,AG$5)-SUMIFS(TF_Timer,TF_Tekniker,AG$4,TF_Dato,$A729))*2,0)/2)))</f>
        <v/>
      </c>
      <c r="AH729">
        <f>IF(OR(AH$4="",$A729&gt;TODAY()),0,IF(OR(INDEX($B729:$D729,AH$5)="F",AND(AH$6&gt;0,$A729&lt;AH$6),AND(AH$7&gt;0,$A729&gt;AH$7)),0,MAX(0,ROUND((INDEX($E729:$G729,AH$5)-SUMIFS(TF_Timer,TF_Tekniker,AH$4,TF_Dato,$A729))*2,0)/2)))</f>
        <v/>
      </c>
      <c r="AI729">
        <f>IF(OR(AI$4="",$A729&gt;TODAY()),0,IF(OR(INDEX($B729:$D729,AI$5)="F",AND(AI$6&gt;0,$A729&lt;AI$6),AND(AI$7&gt;0,$A729&gt;AI$7)),0,MAX(0,ROUND((INDEX($E729:$G729,AI$5)-SUMIFS(TF_Timer,TF_Tekniker,AI$4,TF_Dato,$A729))*2,0)/2)))</f>
        <v/>
      </c>
      <c r="AJ729">
        <f>IF(OR(AJ$4="",$A729&gt;TODAY()),0,IF(OR(INDEX($B729:$D729,AJ$5)="F",AND(AJ$6&gt;0,$A729&lt;AJ$6),AND(AJ$7&gt;0,$A729&gt;AJ$7)),0,MAX(0,ROUND((INDEX($E729:$G729,AJ$5)-SUMIFS(TF_Timer,TF_Tekniker,AJ$4,TF_Dato,$A729))*2,0)/2)))</f>
        <v/>
      </c>
      <c r="AK729">
        <f>IF(OR(AK$4="",$A729&gt;TODAY()),0,IF(OR(INDEX($B729:$D729,AK$5)="F",AND(AK$6&gt;0,$A729&lt;AK$6),AND(AK$7&gt;0,$A729&gt;AK$7)),0,MAX(0,ROUND((INDEX($E729:$G729,AK$5)-SUMIFS(TF_Timer,TF_Tekniker,AK$4,TF_Dato,$A729))*2,0)/2)))</f>
        <v/>
      </c>
      <c r="AL729">
        <f>IF(OR(AL$4="",$A729&gt;TODAY()),0,IF(OR(INDEX($B729:$D729,AL$5)="F",AND(AL$6&gt;0,$A729&lt;AL$6),AND(AL$7&gt;0,$A729&gt;AL$7)),0,MAX(0,ROUND((INDEX($E729:$G729,AL$5)-SUMIFS(TF_Timer,TF_Tekniker,AL$4,TF_Dato,$A729))*2,0)/2)))</f>
        <v/>
      </c>
      <c r="AM729">
        <f>IF(OR(AM$4="",$A729&gt;TODAY()),0,IF(OR(INDEX($B729:$D729,AM$5)="F",AND(AM$6&gt;0,$A729&lt;AM$6),AND(AM$7&gt;0,$A729&gt;AM$7)),0,MAX(0,ROUND((INDEX($E729:$G729,AM$5)-SUMIFS(TF_Timer,TF_Tekniker,AM$4,TF_Dato,$A729))*2,0)/2)))</f>
        <v/>
      </c>
      <c r="AN729">
        <f>IF(OR(AN$4="",$A729&gt;TODAY()),0,IF(OR(INDEX($B729:$D729,AN$5)="F",AND(AN$6&gt;0,$A729&lt;AN$6),AND(AN$7&gt;0,$A729&gt;AN$7)),0,MAX(0,ROUND((INDEX($E729:$G729,AN$5)-SUMIFS(TF_Timer,TF_Tekniker,AN$4,TF_Dato,$A729))*2,0)/2)))</f>
        <v/>
      </c>
      <c r="AO729">
        <f>IF(OR(AO$4="",$A729&gt;TODAY()),0,IF(OR(INDEX($B729:$D729,AO$5)="F",AND(AO$6&gt;0,$A729&lt;AO$6),AND(AO$7&gt;0,$A729&gt;AO$7)),0,MAX(0,ROUND((INDEX($E729:$G729,AO$5)-SUMIFS(TF_Timer,TF_Tekniker,AO$4,TF_Dato,$A729))*2,0)/2)))</f>
        <v/>
      </c>
      <c r="AP729">
        <f>IF(OR(AP$4="",$A729&gt;TODAY()),0,IF(OR(INDEX($B729:$D729,AP$5)="F",AND(AP$6&gt;0,$A729&lt;AP$6),AND(AP$7&gt;0,$A729&gt;AP$7)),0,MAX(0,ROUND((INDEX($E729:$G729,AP$5)-SUMIFS(TF_Timer,TF_Tekniker,AP$4,TF_Dato,$A729))*2,0)/2)))</f>
        <v/>
      </c>
      <c r="AQ729">
        <f>IF(OR(AQ$4="",$A729&gt;TODAY()),0,IF(OR(INDEX($B729:$D729,AQ$5)="F",AND(AQ$6&gt;0,$A729&lt;AQ$6),AND(AQ$7&gt;0,$A729&gt;AQ$7)),0,MAX(0,ROUND((INDEX($E729:$G729,AQ$5)-SUMIFS(TF_Timer,TF_Tekniker,AQ$4,TF_Dato,$A729))*2,0)/2)))</f>
        <v/>
      </c>
      <c r="AR729">
        <f>IF(OR(AR$4="",$A729&gt;TODAY()),0,IF(OR(INDEX($B729:$D729,AR$5)="F",AND(AR$6&gt;0,$A729&lt;AR$6),AND(AR$7&gt;0,$A729&gt;AR$7)),0,MAX(0,ROUND((INDEX($E729:$G729,AR$5)-SUMIFS(TF_Timer,TF_Tekniker,AR$4,TF_Dato,$A729))*2,0)/2)))</f>
        <v/>
      </c>
      <c r="AS729">
        <f>IF(OR(AS$4="",$A729&gt;TODAY()),0,IF(OR(INDEX($B729:$D729,AS$5)="F",AND(AS$6&gt;0,$A729&lt;AS$6),AND(AS$7&gt;0,$A729&gt;AS$7)),0,MAX(0,ROUND((INDEX($E729:$G729,AS$5)-SUMIFS(TF_Timer,TF_Tekniker,AS$4,TF_Dato,$A729))*2,0)/2)))</f>
        <v/>
      </c>
      <c r="AT729">
        <f>IF(OR(AT$4="",$A729&gt;TODAY()),0,IF(OR(INDEX($B729:$D729,AT$5)="F",AND(AT$6&gt;0,$A729&lt;AT$6),AND(AT$7&gt;0,$A729&gt;AT$7)),0,MAX(0,ROUND((INDEX($E729:$G729,AT$5)-SUMIFS(TF_Timer,TF_Tekniker,AT$4,TF_Dato,$A729))*2,0)/2)))</f>
        <v/>
      </c>
      <c r="AU729">
        <f>IF(OR(AU$4="",$A729&gt;TODAY()),0,IF(OR(INDEX($B729:$D729,AU$5)="F",AND(AU$6&gt;0,$A729&lt;AU$6),AND(AU$7&gt;0,$A729&gt;AU$7)),0,MAX(0,ROUND((INDEX($E729:$G729,AU$5)-SUMIFS(TF_Timer,TF_Tekniker,AU$4,TF_Dato,$A729))*2,0)/2)))</f>
        <v/>
      </c>
      <c r="AV729">
        <f>IF(OR(AV$4="",$A729&gt;TODAY()),0,IF(OR(INDEX($B729:$D729,AV$5)="F",AND(AV$6&gt;0,$A729&lt;AV$6),AND(AV$7&gt;0,$A729&gt;AV$7)),0,MAX(0,ROUND((INDEX($E729:$G729,AV$5)-SUMIFS(TF_Timer,TF_Tekniker,AV$4,TF_Dato,$A729))*2,0)/2)))</f>
        <v/>
      </c>
      <c r="AW729">
        <f>IF(OR(AW$4="",$A729&gt;TODAY()),0,IF(OR(INDEX($B729:$D729,AW$5)="F",AND(AW$6&gt;0,$A729&lt;AW$6),AND(AW$7&gt;0,$A729&gt;AW$7)),0,MAX(0,ROUND((INDEX($E729:$G729,AW$5)-SUMIFS(TF_Timer,TF_Tekniker,AW$4,TF_Dato,$A729))*2,0)/2)))</f>
        <v/>
      </c>
      <c r="AX729">
        <f>IF(OR(AX$4="",$A729&gt;TODAY()),0,IF(OR(INDEX($B729:$D729,AX$5)="F",AND(AX$6&gt;0,$A729&lt;AX$6),AND(AX$7&gt;0,$A729&gt;AX$7)),0,MAX(0,ROUND((INDEX($E729:$G729,AX$5)-SUMIFS(TF_Timer,TF_Tekniker,AX$4,TF_Dato,$A729))*2,0)/2)))</f>
        <v/>
      </c>
      <c r="AY729">
        <f>IF(OR(AY$4="",$A729&gt;TODAY()),0,IF(OR(INDEX($B729:$D729,AY$5)="F",AND(AY$6&gt;0,$A729&lt;AY$6),AND(AY$7&gt;0,$A729&gt;AY$7)),0,MAX(0,ROUND((INDEX($E729:$G729,AY$5)-SUMIFS(TF_Timer,TF_Tekniker,AY$4,TF_Dato,$A729))*2,0)/2)))</f>
        <v/>
      </c>
      <c r="AZ729">
        <f>IF(OR(AZ$4="",$A729&gt;TODAY()),0,IF(OR(INDEX($B729:$D729,AZ$5)="F",AND(AZ$6&gt;0,$A729&lt;AZ$6),AND(AZ$7&gt;0,$A729&gt;AZ$7)),0,MAX(0,ROUND((INDEX($E729:$G729,AZ$5)-SUMIFS(TF_Timer,TF_Tekniker,AZ$4,TF_Dato,$A729))*2,0)/2)))</f>
        <v/>
      </c>
      <c r="BA729">
        <f>IF(OR(BA$4="",$A729&gt;TODAY()),0,IF(OR(INDEX($B729:$D729,BA$5)="F",AND(BA$6&gt;0,$A729&lt;BA$6),AND(BA$7&gt;0,$A729&gt;BA$7)),0,MAX(0,ROUND((INDEX($E729:$G729,BA$5)-SUMIFS(TF_Timer,TF_Tekniker,BA$4,TF_Dato,$A729))*2,0)/2)))</f>
        <v/>
      </c>
      <c r="BB729">
        <f>IF(OR(BB$4="",$A729&gt;TODAY()),0,IF(OR(INDEX($B729:$D729,BB$5)="F",AND(BB$6&gt;0,$A729&lt;BB$6),AND(BB$7&gt;0,$A729&gt;BB$7)),0,MAX(0,ROUND((INDEX($E729:$G729,BB$5)-SUMIFS(TF_Timer,TF_Tekniker,BB$4,TF_Dato,$A729))*2,0)/2)))</f>
        <v/>
      </c>
      <c r="BC729">
        <f>IF(OR(BC$4="",$A729&gt;TODAY()),0,IF(OR(INDEX($B729:$D729,BC$5)="F",AND(BC$6&gt;0,$A729&lt;BC$6),AND(BC$7&gt;0,$A729&gt;BC$7)),0,MAX(0,ROUND((INDEX($E729:$G729,BC$5)-SUMIFS(TF_Timer,TF_Tekniker,BC$4,TF_Dato,$A729))*2,0)/2)))</f>
        <v/>
      </c>
      <c r="BD729">
        <f>IF(OR(BD$4="",$A729&gt;TODAY()),0,IF(OR(INDEX($B729:$D729,BD$5)="F",AND(BD$6&gt;0,$A729&lt;BD$6),AND(BD$7&gt;0,$A729&gt;BD$7)),0,MAX(0,ROUND((INDEX($E729:$G729,BD$5)-SUMIFS(TF_Timer,TF_Tekniker,BD$4,TF_Dato,$A729))*2,0)/2)))</f>
        <v/>
      </c>
      <c r="BE729">
        <f>IF(OR(BE$4="",$A729&gt;TODAY()),0,IF(OR(INDEX($B729:$D729,BE$5)="F",AND(BE$6&gt;0,$A729&lt;BE$6),AND(BE$7&gt;0,$A729&gt;BE$7)),0,MAX(0,ROUND((INDEX($E729:$G729,BE$5)-SUMIFS(TF_Timer,TF_Tekniker,BE$4,TF_Dato,$A729))*2,0)/2)))</f>
        <v/>
      </c>
      <c r="BF729">
        <f>IF(OR(BF$4="",$A729&gt;TODAY()),0,IF(OR(INDEX($B729:$D729,BF$5)="F",AND(BF$6&gt;0,$A729&lt;BF$6),AND(BF$7&gt;0,$A729&gt;BF$7)),0,MAX(0,ROUND((INDEX($E729:$G729,BF$5)-SUMIFS(TF_Timer,TF_Tekniker,BF$4,TF_Dato,$A729))*2,0)/2)))</f>
        <v/>
      </c>
      <c r="BG729">
        <f>IF(OR(BG$4="",$A729&gt;TODAY()),0,IF(OR(INDEX($B729:$D729,BG$5)="F",AND(BG$6&gt;0,$A729&lt;BG$6),AND(BG$7&gt;0,$A729&gt;BG$7)),0,MAX(0,ROUND((INDEX($E729:$G729,BG$5)-SUMIFS(TF_Timer,TF_Tekniker,BG$4,TF_Dato,$A729))*2,0)/2)))</f>
        <v/>
      </c>
      <c r="BH729">
        <f>IF(OR(BH$4="",$A729&gt;TODAY()),0,IF(OR(INDEX($B729:$D729,BH$5)="F",AND(BH$6&gt;0,$A729&lt;BH$6),AND(BH$7&gt;0,$A729&gt;BH$7)),0,MAX(0,ROUND((INDEX($E729:$G729,BH$5)-SUMIFS(TF_Timer,TF_Tekniker,BH$4,TF_Dato,$A729))*2,0)/2)))</f>
        <v/>
      </c>
      <c r="BI729">
        <f>IF(OR(BI$4="",$A729&gt;TODAY()),0,IF(OR(INDEX($B729:$D729,BI$5)="F",AND(BI$6&gt;0,$A729&lt;BI$6),AND(BI$7&gt;0,$A729&gt;BI$7)),0,MAX(0,ROUND((INDEX($E729:$G729,BI$5)-SUMIFS(TF_Timer,TF_Tekniker,BI$4,TF_Dato,$A729))*2,0)/2)))</f>
        <v/>
      </c>
    </row>
    <row r="730">
      <c r="A730" s="64">
        <f>A729+1</f>
        <v/>
      </c>
      <c r="B730">
        <f>IF(MOD($A730-INDEX(SkiftStart,1),Syklus)&lt;DagK,"K",IF(MOD($A730-INDEX(SkiftStart,1),Syklus)&lt;DagK+DagH,"H",IF(MOD($A730-INDEX(SkiftStart,1),Syklus)&lt;DagK+DagH+DagD,"D","F")))</f>
        <v/>
      </c>
      <c r="C730">
        <f>IF(MOD($A730-INDEX(SkiftStart,2),Syklus)&lt;DagK,"K",IF(MOD($A730-INDEX(SkiftStart,2),Syklus)&lt;DagK+DagH,"H",IF(MOD($A730-INDEX(SkiftStart,2),Syklus)&lt;DagK+DagH+DagD,"D","F")))</f>
        <v/>
      </c>
      <c r="D730">
        <f>IF(MOD($A730-INDEX(SkiftStart,3),Syklus)&lt;DagK,"K",IF(MOD($A730-INDEX(SkiftStart,3),Syklus)&lt;DagK+DagH,"H",IF(MOD($A730-INDEX(SkiftStart,3),Syklus)&lt;DagK+DagH+DagD,"D","F")))</f>
        <v/>
      </c>
      <c r="E730">
        <f>IF(B730="F",0,IF(WEEKDAY($A730,2)=5,INDEX(TimerFr,MATCH(B730,FaseKode,0)),INDEX(TimerMT,MATCH(B730,FaseKode,0))))</f>
        <v/>
      </c>
      <c r="F730">
        <f>IF(C730="F",0,IF(WEEKDAY($A730,2)=5,INDEX(TimerFr,MATCH(C730,FaseKode,0)),INDEX(TimerMT,MATCH(C730,FaseKode,0))))</f>
        <v/>
      </c>
      <c r="G730">
        <f>IF(D730="F",0,IF(WEEKDAY($A730,2)=5,INDEX(TimerFr,MATCH(D730,FaseKode,0)),INDEX(TimerMT,MATCH(D730,FaseKode,0))))</f>
        <v/>
      </c>
      <c r="H730">
        <f>IF(OR(H$4="",$A730&gt;TODAY()),0,IF(OR(INDEX($B730:$D730,H$5)="F",AND(H$6&gt;0,$A730&lt;H$6),AND(H$7&gt;0,$A730&gt;H$7)),0,MAX(0,ROUND((INDEX($E730:$G730,H$5)-SUMIFS(TF_Timer,TF_Tekniker,H$4,TF_Dato,$A730))*2,0)/2)))</f>
        <v/>
      </c>
      <c r="I730">
        <f>IF(OR(I$4="",$A730&gt;TODAY()),0,IF(OR(INDEX($B730:$D730,I$5)="F",AND(I$6&gt;0,$A730&lt;I$6),AND(I$7&gt;0,$A730&gt;I$7)),0,MAX(0,ROUND((INDEX($E730:$G730,I$5)-SUMIFS(TF_Timer,TF_Tekniker,I$4,TF_Dato,$A730))*2,0)/2)))</f>
        <v/>
      </c>
      <c r="J730">
        <f>IF(OR(J$4="",$A730&gt;TODAY()),0,IF(OR(INDEX($B730:$D730,J$5)="F",AND(J$6&gt;0,$A730&lt;J$6),AND(J$7&gt;0,$A730&gt;J$7)),0,MAX(0,ROUND((INDEX($E730:$G730,J$5)-SUMIFS(TF_Timer,TF_Tekniker,J$4,TF_Dato,$A730))*2,0)/2)))</f>
        <v/>
      </c>
      <c r="K730">
        <f>IF(OR(K$4="",$A730&gt;TODAY()),0,IF(OR(INDEX($B730:$D730,K$5)="F",AND(K$6&gt;0,$A730&lt;K$6),AND(K$7&gt;0,$A730&gt;K$7)),0,MAX(0,ROUND((INDEX($E730:$G730,K$5)-SUMIFS(TF_Timer,TF_Tekniker,K$4,TF_Dato,$A730))*2,0)/2)))</f>
        <v/>
      </c>
      <c r="L730">
        <f>IF(OR(L$4="",$A730&gt;TODAY()),0,IF(OR(INDEX($B730:$D730,L$5)="F",AND(L$6&gt;0,$A730&lt;L$6),AND(L$7&gt;0,$A730&gt;L$7)),0,MAX(0,ROUND((INDEX($E730:$G730,L$5)-SUMIFS(TF_Timer,TF_Tekniker,L$4,TF_Dato,$A730))*2,0)/2)))</f>
        <v/>
      </c>
      <c r="M730">
        <f>IF(OR(M$4="",$A730&gt;TODAY()),0,IF(OR(INDEX($B730:$D730,M$5)="F",AND(M$6&gt;0,$A730&lt;M$6),AND(M$7&gt;0,$A730&gt;M$7)),0,MAX(0,ROUND((INDEX($E730:$G730,M$5)-SUMIFS(TF_Timer,TF_Tekniker,M$4,TF_Dato,$A730))*2,0)/2)))</f>
        <v/>
      </c>
      <c r="N730">
        <f>IF(OR(N$4="",$A730&gt;TODAY()),0,IF(OR(INDEX($B730:$D730,N$5)="F",AND(N$6&gt;0,$A730&lt;N$6),AND(N$7&gt;0,$A730&gt;N$7)),0,MAX(0,ROUND((INDEX($E730:$G730,N$5)-SUMIFS(TF_Timer,TF_Tekniker,N$4,TF_Dato,$A730))*2,0)/2)))</f>
        <v/>
      </c>
      <c r="O730">
        <f>IF(OR(O$4="",$A730&gt;TODAY()),0,IF(OR(INDEX($B730:$D730,O$5)="F",AND(O$6&gt;0,$A730&lt;O$6),AND(O$7&gt;0,$A730&gt;O$7)),0,MAX(0,ROUND((INDEX($E730:$G730,O$5)-SUMIFS(TF_Timer,TF_Tekniker,O$4,TF_Dato,$A730))*2,0)/2)))</f>
        <v/>
      </c>
      <c r="P730">
        <f>IF(OR(P$4="",$A730&gt;TODAY()),0,IF(OR(INDEX($B730:$D730,P$5)="F",AND(P$6&gt;0,$A730&lt;P$6),AND(P$7&gt;0,$A730&gt;P$7)),0,MAX(0,ROUND((INDEX($E730:$G730,P$5)-SUMIFS(TF_Timer,TF_Tekniker,P$4,TF_Dato,$A730))*2,0)/2)))</f>
        <v/>
      </c>
      <c r="Q730">
        <f>IF(OR(Q$4="",$A730&gt;TODAY()),0,IF(OR(INDEX($B730:$D730,Q$5)="F",AND(Q$6&gt;0,$A730&lt;Q$6),AND(Q$7&gt;0,$A730&gt;Q$7)),0,MAX(0,ROUND((INDEX($E730:$G730,Q$5)-SUMIFS(TF_Timer,TF_Tekniker,Q$4,TF_Dato,$A730))*2,0)/2)))</f>
        <v/>
      </c>
      <c r="R730">
        <f>IF(OR(R$4="",$A730&gt;TODAY()),0,IF(OR(INDEX($B730:$D730,R$5)="F",AND(R$6&gt;0,$A730&lt;R$6),AND(R$7&gt;0,$A730&gt;R$7)),0,MAX(0,ROUND((INDEX($E730:$G730,R$5)-SUMIFS(TF_Timer,TF_Tekniker,R$4,TF_Dato,$A730))*2,0)/2)))</f>
        <v/>
      </c>
      <c r="S730">
        <f>IF(OR(S$4="",$A730&gt;TODAY()),0,IF(OR(INDEX($B730:$D730,S$5)="F",AND(S$6&gt;0,$A730&lt;S$6),AND(S$7&gt;0,$A730&gt;S$7)),0,MAX(0,ROUND((INDEX($E730:$G730,S$5)-SUMIFS(TF_Timer,TF_Tekniker,S$4,TF_Dato,$A730))*2,0)/2)))</f>
        <v/>
      </c>
      <c r="T730">
        <f>IF(OR(T$4="",$A730&gt;TODAY()),0,IF(OR(INDEX($B730:$D730,T$5)="F",AND(T$6&gt;0,$A730&lt;T$6),AND(T$7&gt;0,$A730&gt;T$7)),0,MAX(0,ROUND((INDEX($E730:$G730,T$5)-SUMIFS(TF_Timer,TF_Tekniker,T$4,TF_Dato,$A730))*2,0)/2)))</f>
        <v/>
      </c>
      <c r="U730">
        <f>IF(OR(U$4="",$A730&gt;TODAY()),0,IF(OR(INDEX($B730:$D730,U$5)="F",AND(U$6&gt;0,$A730&lt;U$6),AND(U$7&gt;0,$A730&gt;U$7)),0,MAX(0,ROUND((INDEX($E730:$G730,U$5)-SUMIFS(TF_Timer,TF_Tekniker,U$4,TF_Dato,$A730))*2,0)/2)))</f>
        <v/>
      </c>
      <c r="V730">
        <f>IF(OR(V$4="",$A730&gt;TODAY()),0,IF(OR(INDEX($B730:$D730,V$5)="F",AND(V$6&gt;0,$A730&lt;V$6),AND(V$7&gt;0,$A730&gt;V$7)),0,MAX(0,ROUND((INDEX($E730:$G730,V$5)-SUMIFS(TF_Timer,TF_Tekniker,V$4,TF_Dato,$A730))*2,0)/2)))</f>
        <v/>
      </c>
      <c r="W730">
        <f>IF(OR(W$4="",$A730&gt;TODAY()),0,IF(OR(INDEX($B730:$D730,W$5)="F",AND(W$6&gt;0,$A730&lt;W$6),AND(W$7&gt;0,$A730&gt;W$7)),0,MAX(0,ROUND((INDEX($E730:$G730,W$5)-SUMIFS(TF_Timer,TF_Tekniker,W$4,TF_Dato,$A730))*2,0)/2)))</f>
        <v/>
      </c>
      <c r="X730">
        <f>IF(OR(X$4="",$A730&gt;TODAY()),0,IF(OR(INDEX($B730:$D730,X$5)="F",AND(X$6&gt;0,$A730&lt;X$6),AND(X$7&gt;0,$A730&gt;X$7)),0,MAX(0,ROUND((INDEX($E730:$G730,X$5)-SUMIFS(TF_Timer,TF_Tekniker,X$4,TF_Dato,$A730))*2,0)/2)))</f>
        <v/>
      </c>
      <c r="Y730">
        <f>IF(OR(Y$4="",$A730&gt;TODAY()),0,IF(OR(INDEX($B730:$D730,Y$5)="F",AND(Y$6&gt;0,$A730&lt;Y$6),AND(Y$7&gt;0,$A730&gt;Y$7)),0,MAX(0,ROUND((INDEX($E730:$G730,Y$5)-SUMIFS(TF_Timer,TF_Tekniker,Y$4,TF_Dato,$A730))*2,0)/2)))</f>
        <v/>
      </c>
      <c r="Z730">
        <f>IF(OR(Z$4="",$A730&gt;TODAY()),0,IF(OR(INDEX($B730:$D730,Z$5)="F",AND(Z$6&gt;0,$A730&lt;Z$6),AND(Z$7&gt;0,$A730&gt;Z$7)),0,MAX(0,ROUND((INDEX($E730:$G730,Z$5)-SUMIFS(TF_Timer,TF_Tekniker,Z$4,TF_Dato,$A730))*2,0)/2)))</f>
        <v/>
      </c>
      <c r="AA730">
        <f>IF(OR(AA$4="",$A730&gt;TODAY()),0,IF(OR(INDEX($B730:$D730,AA$5)="F",AND(AA$6&gt;0,$A730&lt;AA$6),AND(AA$7&gt;0,$A730&gt;AA$7)),0,MAX(0,ROUND((INDEX($E730:$G730,AA$5)-SUMIFS(TF_Timer,TF_Tekniker,AA$4,TF_Dato,$A730))*2,0)/2)))</f>
        <v/>
      </c>
      <c r="AB730">
        <f>IF(OR(AB$4="",$A730&gt;TODAY()),0,IF(OR(INDEX($B730:$D730,AB$5)="F",AND(AB$6&gt;0,$A730&lt;AB$6),AND(AB$7&gt;0,$A730&gt;AB$7)),0,MAX(0,ROUND((INDEX($E730:$G730,AB$5)-SUMIFS(TF_Timer,TF_Tekniker,AB$4,TF_Dato,$A730))*2,0)/2)))</f>
        <v/>
      </c>
      <c r="AC730">
        <f>IF(OR(AC$4="",$A730&gt;TODAY()),0,IF(OR(INDEX($B730:$D730,AC$5)="F",AND(AC$6&gt;0,$A730&lt;AC$6),AND(AC$7&gt;0,$A730&gt;AC$7)),0,MAX(0,ROUND((INDEX($E730:$G730,AC$5)-SUMIFS(TF_Timer,TF_Tekniker,AC$4,TF_Dato,$A730))*2,0)/2)))</f>
        <v/>
      </c>
      <c r="AD730">
        <f>IF(OR(AD$4="",$A730&gt;TODAY()),0,IF(OR(INDEX($B730:$D730,AD$5)="F",AND(AD$6&gt;0,$A730&lt;AD$6),AND(AD$7&gt;0,$A730&gt;AD$7)),0,MAX(0,ROUND((INDEX($E730:$G730,AD$5)-SUMIFS(TF_Timer,TF_Tekniker,AD$4,TF_Dato,$A730))*2,0)/2)))</f>
        <v/>
      </c>
      <c r="AE730">
        <f>IF(OR(AE$4="",$A730&gt;TODAY()),0,IF(OR(INDEX($B730:$D730,AE$5)="F",AND(AE$6&gt;0,$A730&lt;AE$6),AND(AE$7&gt;0,$A730&gt;AE$7)),0,MAX(0,ROUND((INDEX($E730:$G730,AE$5)-SUMIFS(TF_Timer,TF_Tekniker,AE$4,TF_Dato,$A730))*2,0)/2)))</f>
        <v/>
      </c>
      <c r="AF730">
        <f>IF(OR(AF$4="",$A730&gt;TODAY()),0,IF(OR(INDEX($B730:$D730,AF$5)="F",AND(AF$6&gt;0,$A730&lt;AF$6),AND(AF$7&gt;0,$A730&gt;AF$7)),0,MAX(0,ROUND((INDEX($E730:$G730,AF$5)-SUMIFS(TF_Timer,TF_Tekniker,AF$4,TF_Dato,$A730))*2,0)/2)))</f>
        <v/>
      </c>
      <c r="AG730">
        <f>IF(OR(AG$4="",$A730&gt;TODAY()),0,IF(OR(INDEX($B730:$D730,AG$5)="F",AND(AG$6&gt;0,$A730&lt;AG$6),AND(AG$7&gt;0,$A730&gt;AG$7)),0,MAX(0,ROUND((INDEX($E730:$G730,AG$5)-SUMIFS(TF_Timer,TF_Tekniker,AG$4,TF_Dato,$A730))*2,0)/2)))</f>
        <v/>
      </c>
      <c r="AH730">
        <f>IF(OR(AH$4="",$A730&gt;TODAY()),0,IF(OR(INDEX($B730:$D730,AH$5)="F",AND(AH$6&gt;0,$A730&lt;AH$6),AND(AH$7&gt;0,$A730&gt;AH$7)),0,MAX(0,ROUND((INDEX($E730:$G730,AH$5)-SUMIFS(TF_Timer,TF_Tekniker,AH$4,TF_Dato,$A730))*2,0)/2)))</f>
        <v/>
      </c>
      <c r="AI730">
        <f>IF(OR(AI$4="",$A730&gt;TODAY()),0,IF(OR(INDEX($B730:$D730,AI$5)="F",AND(AI$6&gt;0,$A730&lt;AI$6),AND(AI$7&gt;0,$A730&gt;AI$7)),0,MAX(0,ROUND((INDEX($E730:$G730,AI$5)-SUMIFS(TF_Timer,TF_Tekniker,AI$4,TF_Dato,$A730))*2,0)/2)))</f>
        <v/>
      </c>
      <c r="AJ730">
        <f>IF(OR(AJ$4="",$A730&gt;TODAY()),0,IF(OR(INDEX($B730:$D730,AJ$5)="F",AND(AJ$6&gt;0,$A730&lt;AJ$6),AND(AJ$7&gt;0,$A730&gt;AJ$7)),0,MAX(0,ROUND((INDEX($E730:$G730,AJ$5)-SUMIFS(TF_Timer,TF_Tekniker,AJ$4,TF_Dato,$A730))*2,0)/2)))</f>
        <v/>
      </c>
      <c r="AK730">
        <f>IF(OR(AK$4="",$A730&gt;TODAY()),0,IF(OR(INDEX($B730:$D730,AK$5)="F",AND(AK$6&gt;0,$A730&lt;AK$6),AND(AK$7&gt;0,$A730&gt;AK$7)),0,MAX(0,ROUND((INDEX($E730:$G730,AK$5)-SUMIFS(TF_Timer,TF_Tekniker,AK$4,TF_Dato,$A730))*2,0)/2)))</f>
        <v/>
      </c>
      <c r="AL730">
        <f>IF(OR(AL$4="",$A730&gt;TODAY()),0,IF(OR(INDEX($B730:$D730,AL$5)="F",AND(AL$6&gt;0,$A730&lt;AL$6),AND(AL$7&gt;0,$A730&gt;AL$7)),0,MAX(0,ROUND((INDEX($E730:$G730,AL$5)-SUMIFS(TF_Timer,TF_Tekniker,AL$4,TF_Dato,$A730))*2,0)/2)))</f>
        <v/>
      </c>
      <c r="AM730">
        <f>IF(OR(AM$4="",$A730&gt;TODAY()),0,IF(OR(INDEX($B730:$D730,AM$5)="F",AND(AM$6&gt;0,$A730&lt;AM$6),AND(AM$7&gt;0,$A730&gt;AM$7)),0,MAX(0,ROUND((INDEX($E730:$G730,AM$5)-SUMIFS(TF_Timer,TF_Tekniker,AM$4,TF_Dato,$A730))*2,0)/2)))</f>
        <v/>
      </c>
      <c r="AN730">
        <f>IF(OR(AN$4="",$A730&gt;TODAY()),0,IF(OR(INDEX($B730:$D730,AN$5)="F",AND(AN$6&gt;0,$A730&lt;AN$6),AND(AN$7&gt;0,$A730&gt;AN$7)),0,MAX(0,ROUND((INDEX($E730:$G730,AN$5)-SUMIFS(TF_Timer,TF_Tekniker,AN$4,TF_Dato,$A730))*2,0)/2)))</f>
        <v/>
      </c>
      <c r="AO730">
        <f>IF(OR(AO$4="",$A730&gt;TODAY()),0,IF(OR(INDEX($B730:$D730,AO$5)="F",AND(AO$6&gt;0,$A730&lt;AO$6),AND(AO$7&gt;0,$A730&gt;AO$7)),0,MAX(0,ROUND((INDEX($E730:$G730,AO$5)-SUMIFS(TF_Timer,TF_Tekniker,AO$4,TF_Dato,$A730))*2,0)/2)))</f>
        <v/>
      </c>
      <c r="AP730">
        <f>IF(OR(AP$4="",$A730&gt;TODAY()),0,IF(OR(INDEX($B730:$D730,AP$5)="F",AND(AP$6&gt;0,$A730&lt;AP$6),AND(AP$7&gt;0,$A730&gt;AP$7)),0,MAX(0,ROUND((INDEX($E730:$G730,AP$5)-SUMIFS(TF_Timer,TF_Tekniker,AP$4,TF_Dato,$A730))*2,0)/2)))</f>
        <v/>
      </c>
      <c r="AQ730">
        <f>IF(OR(AQ$4="",$A730&gt;TODAY()),0,IF(OR(INDEX($B730:$D730,AQ$5)="F",AND(AQ$6&gt;0,$A730&lt;AQ$6),AND(AQ$7&gt;0,$A730&gt;AQ$7)),0,MAX(0,ROUND((INDEX($E730:$G730,AQ$5)-SUMIFS(TF_Timer,TF_Tekniker,AQ$4,TF_Dato,$A730))*2,0)/2)))</f>
        <v/>
      </c>
      <c r="AR730">
        <f>IF(OR(AR$4="",$A730&gt;TODAY()),0,IF(OR(INDEX($B730:$D730,AR$5)="F",AND(AR$6&gt;0,$A730&lt;AR$6),AND(AR$7&gt;0,$A730&gt;AR$7)),0,MAX(0,ROUND((INDEX($E730:$G730,AR$5)-SUMIFS(TF_Timer,TF_Tekniker,AR$4,TF_Dato,$A730))*2,0)/2)))</f>
        <v/>
      </c>
      <c r="AS730">
        <f>IF(OR(AS$4="",$A730&gt;TODAY()),0,IF(OR(INDEX($B730:$D730,AS$5)="F",AND(AS$6&gt;0,$A730&lt;AS$6),AND(AS$7&gt;0,$A730&gt;AS$7)),0,MAX(0,ROUND((INDEX($E730:$G730,AS$5)-SUMIFS(TF_Timer,TF_Tekniker,AS$4,TF_Dato,$A730))*2,0)/2)))</f>
        <v/>
      </c>
      <c r="AT730">
        <f>IF(OR(AT$4="",$A730&gt;TODAY()),0,IF(OR(INDEX($B730:$D730,AT$5)="F",AND(AT$6&gt;0,$A730&lt;AT$6),AND(AT$7&gt;0,$A730&gt;AT$7)),0,MAX(0,ROUND((INDEX($E730:$G730,AT$5)-SUMIFS(TF_Timer,TF_Tekniker,AT$4,TF_Dato,$A730))*2,0)/2)))</f>
        <v/>
      </c>
      <c r="AU730">
        <f>IF(OR(AU$4="",$A730&gt;TODAY()),0,IF(OR(INDEX($B730:$D730,AU$5)="F",AND(AU$6&gt;0,$A730&lt;AU$6),AND(AU$7&gt;0,$A730&gt;AU$7)),0,MAX(0,ROUND((INDEX($E730:$G730,AU$5)-SUMIFS(TF_Timer,TF_Tekniker,AU$4,TF_Dato,$A730))*2,0)/2)))</f>
        <v/>
      </c>
      <c r="AV730">
        <f>IF(OR(AV$4="",$A730&gt;TODAY()),0,IF(OR(INDEX($B730:$D730,AV$5)="F",AND(AV$6&gt;0,$A730&lt;AV$6),AND(AV$7&gt;0,$A730&gt;AV$7)),0,MAX(0,ROUND((INDEX($E730:$G730,AV$5)-SUMIFS(TF_Timer,TF_Tekniker,AV$4,TF_Dato,$A730))*2,0)/2)))</f>
        <v/>
      </c>
      <c r="AW730">
        <f>IF(OR(AW$4="",$A730&gt;TODAY()),0,IF(OR(INDEX($B730:$D730,AW$5)="F",AND(AW$6&gt;0,$A730&lt;AW$6),AND(AW$7&gt;0,$A730&gt;AW$7)),0,MAX(0,ROUND((INDEX($E730:$G730,AW$5)-SUMIFS(TF_Timer,TF_Tekniker,AW$4,TF_Dato,$A730))*2,0)/2)))</f>
        <v/>
      </c>
      <c r="AX730">
        <f>IF(OR(AX$4="",$A730&gt;TODAY()),0,IF(OR(INDEX($B730:$D730,AX$5)="F",AND(AX$6&gt;0,$A730&lt;AX$6),AND(AX$7&gt;0,$A730&gt;AX$7)),0,MAX(0,ROUND((INDEX($E730:$G730,AX$5)-SUMIFS(TF_Timer,TF_Tekniker,AX$4,TF_Dato,$A730))*2,0)/2)))</f>
        <v/>
      </c>
      <c r="AY730">
        <f>IF(OR(AY$4="",$A730&gt;TODAY()),0,IF(OR(INDEX($B730:$D730,AY$5)="F",AND(AY$6&gt;0,$A730&lt;AY$6),AND(AY$7&gt;0,$A730&gt;AY$7)),0,MAX(0,ROUND((INDEX($E730:$G730,AY$5)-SUMIFS(TF_Timer,TF_Tekniker,AY$4,TF_Dato,$A730))*2,0)/2)))</f>
        <v/>
      </c>
      <c r="AZ730">
        <f>IF(OR(AZ$4="",$A730&gt;TODAY()),0,IF(OR(INDEX($B730:$D730,AZ$5)="F",AND(AZ$6&gt;0,$A730&lt;AZ$6),AND(AZ$7&gt;0,$A730&gt;AZ$7)),0,MAX(0,ROUND((INDEX($E730:$G730,AZ$5)-SUMIFS(TF_Timer,TF_Tekniker,AZ$4,TF_Dato,$A730))*2,0)/2)))</f>
        <v/>
      </c>
      <c r="BA730">
        <f>IF(OR(BA$4="",$A730&gt;TODAY()),0,IF(OR(INDEX($B730:$D730,BA$5)="F",AND(BA$6&gt;0,$A730&lt;BA$6),AND(BA$7&gt;0,$A730&gt;BA$7)),0,MAX(0,ROUND((INDEX($E730:$G730,BA$5)-SUMIFS(TF_Timer,TF_Tekniker,BA$4,TF_Dato,$A730))*2,0)/2)))</f>
        <v/>
      </c>
      <c r="BB730">
        <f>IF(OR(BB$4="",$A730&gt;TODAY()),0,IF(OR(INDEX($B730:$D730,BB$5)="F",AND(BB$6&gt;0,$A730&lt;BB$6),AND(BB$7&gt;0,$A730&gt;BB$7)),0,MAX(0,ROUND((INDEX($E730:$G730,BB$5)-SUMIFS(TF_Timer,TF_Tekniker,BB$4,TF_Dato,$A730))*2,0)/2)))</f>
        <v/>
      </c>
      <c r="BC730">
        <f>IF(OR(BC$4="",$A730&gt;TODAY()),0,IF(OR(INDEX($B730:$D730,BC$5)="F",AND(BC$6&gt;0,$A730&lt;BC$6),AND(BC$7&gt;0,$A730&gt;BC$7)),0,MAX(0,ROUND((INDEX($E730:$G730,BC$5)-SUMIFS(TF_Timer,TF_Tekniker,BC$4,TF_Dato,$A730))*2,0)/2)))</f>
        <v/>
      </c>
      <c r="BD730">
        <f>IF(OR(BD$4="",$A730&gt;TODAY()),0,IF(OR(INDEX($B730:$D730,BD$5)="F",AND(BD$6&gt;0,$A730&lt;BD$6),AND(BD$7&gt;0,$A730&gt;BD$7)),0,MAX(0,ROUND((INDEX($E730:$G730,BD$5)-SUMIFS(TF_Timer,TF_Tekniker,BD$4,TF_Dato,$A730))*2,0)/2)))</f>
        <v/>
      </c>
      <c r="BE730">
        <f>IF(OR(BE$4="",$A730&gt;TODAY()),0,IF(OR(INDEX($B730:$D730,BE$5)="F",AND(BE$6&gt;0,$A730&lt;BE$6),AND(BE$7&gt;0,$A730&gt;BE$7)),0,MAX(0,ROUND((INDEX($E730:$G730,BE$5)-SUMIFS(TF_Timer,TF_Tekniker,BE$4,TF_Dato,$A730))*2,0)/2)))</f>
        <v/>
      </c>
      <c r="BF730">
        <f>IF(OR(BF$4="",$A730&gt;TODAY()),0,IF(OR(INDEX($B730:$D730,BF$5)="F",AND(BF$6&gt;0,$A730&lt;BF$6),AND(BF$7&gt;0,$A730&gt;BF$7)),0,MAX(0,ROUND((INDEX($E730:$G730,BF$5)-SUMIFS(TF_Timer,TF_Tekniker,BF$4,TF_Dato,$A730))*2,0)/2)))</f>
        <v/>
      </c>
      <c r="BG730">
        <f>IF(OR(BG$4="",$A730&gt;TODAY()),0,IF(OR(INDEX($B730:$D730,BG$5)="F",AND(BG$6&gt;0,$A730&lt;BG$6),AND(BG$7&gt;0,$A730&gt;BG$7)),0,MAX(0,ROUND((INDEX($E730:$G730,BG$5)-SUMIFS(TF_Timer,TF_Tekniker,BG$4,TF_Dato,$A730))*2,0)/2)))</f>
        <v/>
      </c>
      <c r="BH730">
        <f>IF(OR(BH$4="",$A730&gt;TODAY()),0,IF(OR(INDEX($B730:$D730,BH$5)="F",AND(BH$6&gt;0,$A730&lt;BH$6),AND(BH$7&gt;0,$A730&gt;BH$7)),0,MAX(0,ROUND((INDEX($E730:$G730,BH$5)-SUMIFS(TF_Timer,TF_Tekniker,BH$4,TF_Dato,$A730))*2,0)/2)))</f>
        <v/>
      </c>
      <c r="BI730">
        <f>IF(OR(BI$4="",$A730&gt;TODAY()),0,IF(OR(INDEX($B730:$D730,BI$5)="F",AND(BI$6&gt;0,$A730&lt;BI$6),AND(BI$7&gt;0,$A730&gt;BI$7)),0,MAX(0,ROUND((INDEX($E730:$G730,BI$5)-SUMIFS(TF_Timer,TF_Tekniker,BI$4,TF_Dato,$A730))*2,0)/2)))</f>
        <v/>
      </c>
    </row>
    <row r="731">
      <c r="A731" s="64">
        <f>A730+1</f>
        <v/>
      </c>
      <c r="B731">
        <f>IF(MOD($A731-INDEX(SkiftStart,1),Syklus)&lt;DagK,"K",IF(MOD($A731-INDEX(SkiftStart,1),Syklus)&lt;DagK+DagH,"H",IF(MOD($A731-INDEX(SkiftStart,1),Syklus)&lt;DagK+DagH+DagD,"D","F")))</f>
        <v/>
      </c>
      <c r="C731">
        <f>IF(MOD($A731-INDEX(SkiftStart,2),Syklus)&lt;DagK,"K",IF(MOD($A731-INDEX(SkiftStart,2),Syklus)&lt;DagK+DagH,"H",IF(MOD($A731-INDEX(SkiftStart,2),Syklus)&lt;DagK+DagH+DagD,"D","F")))</f>
        <v/>
      </c>
      <c r="D731">
        <f>IF(MOD($A731-INDEX(SkiftStart,3),Syklus)&lt;DagK,"K",IF(MOD($A731-INDEX(SkiftStart,3),Syklus)&lt;DagK+DagH,"H",IF(MOD($A731-INDEX(SkiftStart,3),Syklus)&lt;DagK+DagH+DagD,"D","F")))</f>
        <v/>
      </c>
      <c r="E731">
        <f>IF(B731="F",0,IF(WEEKDAY($A731,2)=5,INDEX(TimerFr,MATCH(B731,FaseKode,0)),INDEX(TimerMT,MATCH(B731,FaseKode,0))))</f>
        <v/>
      </c>
      <c r="F731">
        <f>IF(C731="F",0,IF(WEEKDAY($A731,2)=5,INDEX(TimerFr,MATCH(C731,FaseKode,0)),INDEX(TimerMT,MATCH(C731,FaseKode,0))))</f>
        <v/>
      </c>
      <c r="G731">
        <f>IF(D731="F",0,IF(WEEKDAY($A731,2)=5,INDEX(TimerFr,MATCH(D731,FaseKode,0)),INDEX(TimerMT,MATCH(D731,FaseKode,0))))</f>
        <v/>
      </c>
      <c r="H731">
        <f>IF(OR(H$4="",$A731&gt;TODAY()),0,IF(OR(INDEX($B731:$D731,H$5)="F",AND(H$6&gt;0,$A731&lt;H$6),AND(H$7&gt;0,$A731&gt;H$7)),0,MAX(0,ROUND((INDEX($E731:$G731,H$5)-SUMIFS(TF_Timer,TF_Tekniker,H$4,TF_Dato,$A731))*2,0)/2)))</f>
        <v/>
      </c>
      <c r="I731">
        <f>IF(OR(I$4="",$A731&gt;TODAY()),0,IF(OR(INDEX($B731:$D731,I$5)="F",AND(I$6&gt;0,$A731&lt;I$6),AND(I$7&gt;0,$A731&gt;I$7)),0,MAX(0,ROUND((INDEX($E731:$G731,I$5)-SUMIFS(TF_Timer,TF_Tekniker,I$4,TF_Dato,$A731))*2,0)/2)))</f>
        <v/>
      </c>
      <c r="J731">
        <f>IF(OR(J$4="",$A731&gt;TODAY()),0,IF(OR(INDEX($B731:$D731,J$5)="F",AND(J$6&gt;0,$A731&lt;J$6),AND(J$7&gt;0,$A731&gt;J$7)),0,MAX(0,ROUND((INDEX($E731:$G731,J$5)-SUMIFS(TF_Timer,TF_Tekniker,J$4,TF_Dato,$A731))*2,0)/2)))</f>
        <v/>
      </c>
      <c r="K731">
        <f>IF(OR(K$4="",$A731&gt;TODAY()),0,IF(OR(INDEX($B731:$D731,K$5)="F",AND(K$6&gt;0,$A731&lt;K$6),AND(K$7&gt;0,$A731&gt;K$7)),0,MAX(0,ROUND((INDEX($E731:$G731,K$5)-SUMIFS(TF_Timer,TF_Tekniker,K$4,TF_Dato,$A731))*2,0)/2)))</f>
        <v/>
      </c>
      <c r="L731">
        <f>IF(OR(L$4="",$A731&gt;TODAY()),0,IF(OR(INDEX($B731:$D731,L$5)="F",AND(L$6&gt;0,$A731&lt;L$6),AND(L$7&gt;0,$A731&gt;L$7)),0,MAX(0,ROUND((INDEX($E731:$G731,L$5)-SUMIFS(TF_Timer,TF_Tekniker,L$4,TF_Dato,$A731))*2,0)/2)))</f>
        <v/>
      </c>
      <c r="M731">
        <f>IF(OR(M$4="",$A731&gt;TODAY()),0,IF(OR(INDEX($B731:$D731,M$5)="F",AND(M$6&gt;0,$A731&lt;M$6),AND(M$7&gt;0,$A731&gt;M$7)),0,MAX(0,ROUND((INDEX($E731:$G731,M$5)-SUMIFS(TF_Timer,TF_Tekniker,M$4,TF_Dato,$A731))*2,0)/2)))</f>
        <v/>
      </c>
      <c r="N731">
        <f>IF(OR(N$4="",$A731&gt;TODAY()),0,IF(OR(INDEX($B731:$D731,N$5)="F",AND(N$6&gt;0,$A731&lt;N$6),AND(N$7&gt;0,$A731&gt;N$7)),0,MAX(0,ROUND((INDEX($E731:$G731,N$5)-SUMIFS(TF_Timer,TF_Tekniker,N$4,TF_Dato,$A731))*2,0)/2)))</f>
        <v/>
      </c>
      <c r="O731">
        <f>IF(OR(O$4="",$A731&gt;TODAY()),0,IF(OR(INDEX($B731:$D731,O$5)="F",AND(O$6&gt;0,$A731&lt;O$6),AND(O$7&gt;0,$A731&gt;O$7)),0,MAX(0,ROUND((INDEX($E731:$G731,O$5)-SUMIFS(TF_Timer,TF_Tekniker,O$4,TF_Dato,$A731))*2,0)/2)))</f>
        <v/>
      </c>
      <c r="P731">
        <f>IF(OR(P$4="",$A731&gt;TODAY()),0,IF(OR(INDEX($B731:$D731,P$5)="F",AND(P$6&gt;0,$A731&lt;P$6),AND(P$7&gt;0,$A731&gt;P$7)),0,MAX(0,ROUND((INDEX($E731:$G731,P$5)-SUMIFS(TF_Timer,TF_Tekniker,P$4,TF_Dato,$A731))*2,0)/2)))</f>
        <v/>
      </c>
      <c r="Q731">
        <f>IF(OR(Q$4="",$A731&gt;TODAY()),0,IF(OR(INDEX($B731:$D731,Q$5)="F",AND(Q$6&gt;0,$A731&lt;Q$6),AND(Q$7&gt;0,$A731&gt;Q$7)),0,MAX(0,ROUND((INDEX($E731:$G731,Q$5)-SUMIFS(TF_Timer,TF_Tekniker,Q$4,TF_Dato,$A731))*2,0)/2)))</f>
        <v/>
      </c>
      <c r="R731">
        <f>IF(OR(R$4="",$A731&gt;TODAY()),0,IF(OR(INDEX($B731:$D731,R$5)="F",AND(R$6&gt;0,$A731&lt;R$6),AND(R$7&gt;0,$A731&gt;R$7)),0,MAX(0,ROUND((INDEX($E731:$G731,R$5)-SUMIFS(TF_Timer,TF_Tekniker,R$4,TF_Dato,$A731))*2,0)/2)))</f>
        <v/>
      </c>
      <c r="S731">
        <f>IF(OR(S$4="",$A731&gt;TODAY()),0,IF(OR(INDEX($B731:$D731,S$5)="F",AND(S$6&gt;0,$A731&lt;S$6),AND(S$7&gt;0,$A731&gt;S$7)),0,MAX(0,ROUND((INDEX($E731:$G731,S$5)-SUMIFS(TF_Timer,TF_Tekniker,S$4,TF_Dato,$A731))*2,0)/2)))</f>
        <v/>
      </c>
      <c r="T731">
        <f>IF(OR(T$4="",$A731&gt;TODAY()),0,IF(OR(INDEX($B731:$D731,T$5)="F",AND(T$6&gt;0,$A731&lt;T$6),AND(T$7&gt;0,$A731&gt;T$7)),0,MAX(0,ROUND((INDEX($E731:$G731,T$5)-SUMIFS(TF_Timer,TF_Tekniker,T$4,TF_Dato,$A731))*2,0)/2)))</f>
        <v/>
      </c>
      <c r="U731">
        <f>IF(OR(U$4="",$A731&gt;TODAY()),0,IF(OR(INDEX($B731:$D731,U$5)="F",AND(U$6&gt;0,$A731&lt;U$6),AND(U$7&gt;0,$A731&gt;U$7)),0,MAX(0,ROUND((INDEX($E731:$G731,U$5)-SUMIFS(TF_Timer,TF_Tekniker,U$4,TF_Dato,$A731))*2,0)/2)))</f>
        <v/>
      </c>
      <c r="V731">
        <f>IF(OR(V$4="",$A731&gt;TODAY()),0,IF(OR(INDEX($B731:$D731,V$5)="F",AND(V$6&gt;0,$A731&lt;V$6),AND(V$7&gt;0,$A731&gt;V$7)),0,MAX(0,ROUND((INDEX($E731:$G731,V$5)-SUMIFS(TF_Timer,TF_Tekniker,V$4,TF_Dato,$A731))*2,0)/2)))</f>
        <v/>
      </c>
      <c r="W731">
        <f>IF(OR(W$4="",$A731&gt;TODAY()),0,IF(OR(INDEX($B731:$D731,W$5)="F",AND(W$6&gt;0,$A731&lt;W$6),AND(W$7&gt;0,$A731&gt;W$7)),0,MAX(0,ROUND((INDEX($E731:$G731,W$5)-SUMIFS(TF_Timer,TF_Tekniker,W$4,TF_Dato,$A731))*2,0)/2)))</f>
        <v/>
      </c>
      <c r="X731">
        <f>IF(OR(X$4="",$A731&gt;TODAY()),0,IF(OR(INDEX($B731:$D731,X$5)="F",AND(X$6&gt;0,$A731&lt;X$6),AND(X$7&gt;0,$A731&gt;X$7)),0,MAX(0,ROUND((INDEX($E731:$G731,X$5)-SUMIFS(TF_Timer,TF_Tekniker,X$4,TF_Dato,$A731))*2,0)/2)))</f>
        <v/>
      </c>
      <c r="Y731">
        <f>IF(OR(Y$4="",$A731&gt;TODAY()),0,IF(OR(INDEX($B731:$D731,Y$5)="F",AND(Y$6&gt;0,$A731&lt;Y$6),AND(Y$7&gt;0,$A731&gt;Y$7)),0,MAX(0,ROUND((INDEX($E731:$G731,Y$5)-SUMIFS(TF_Timer,TF_Tekniker,Y$4,TF_Dato,$A731))*2,0)/2)))</f>
        <v/>
      </c>
      <c r="Z731">
        <f>IF(OR(Z$4="",$A731&gt;TODAY()),0,IF(OR(INDEX($B731:$D731,Z$5)="F",AND(Z$6&gt;0,$A731&lt;Z$6),AND(Z$7&gt;0,$A731&gt;Z$7)),0,MAX(0,ROUND((INDEX($E731:$G731,Z$5)-SUMIFS(TF_Timer,TF_Tekniker,Z$4,TF_Dato,$A731))*2,0)/2)))</f>
        <v/>
      </c>
      <c r="AA731">
        <f>IF(OR(AA$4="",$A731&gt;TODAY()),0,IF(OR(INDEX($B731:$D731,AA$5)="F",AND(AA$6&gt;0,$A731&lt;AA$6),AND(AA$7&gt;0,$A731&gt;AA$7)),0,MAX(0,ROUND((INDEX($E731:$G731,AA$5)-SUMIFS(TF_Timer,TF_Tekniker,AA$4,TF_Dato,$A731))*2,0)/2)))</f>
        <v/>
      </c>
      <c r="AB731">
        <f>IF(OR(AB$4="",$A731&gt;TODAY()),0,IF(OR(INDEX($B731:$D731,AB$5)="F",AND(AB$6&gt;0,$A731&lt;AB$6),AND(AB$7&gt;0,$A731&gt;AB$7)),0,MAX(0,ROUND((INDEX($E731:$G731,AB$5)-SUMIFS(TF_Timer,TF_Tekniker,AB$4,TF_Dato,$A731))*2,0)/2)))</f>
        <v/>
      </c>
      <c r="AC731">
        <f>IF(OR(AC$4="",$A731&gt;TODAY()),0,IF(OR(INDEX($B731:$D731,AC$5)="F",AND(AC$6&gt;0,$A731&lt;AC$6),AND(AC$7&gt;0,$A731&gt;AC$7)),0,MAX(0,ROUND((INDEX($E731:$G731,AC$5)-SUMIFS(TF_Timer,TF_Tekniker,AC$4,TF_Dato,$A731))*2,0)/2)))</f>
        <v/>
      </c>
      <c r="AD731">
        <f>IF(OR(AD$4="",$A731&gt;TODAY()),0,IF(OR(INDEX($B731:$D731,AD$5)="F",AND(AD$6&gt;0,$A731&lt;AD$6),AND(AD$7&gt;0,$A731&gt;AD$7)),0,MAX(0,ROUND((INDEX($E731:$G731,AD$5)-SUMIFS(TF_Timer,TF_Tekniker,AD$4,TF_Dato,$A731))*2,0)/2)))</f>
        <v/>
      </c>
      <c r="AE731">
        <f>IF(OR(AE$4="",$A731&gt;TODAY()),0,IF(OR(INDEX($B731:$D731,AE$5)="F",AND(AE$6&gt;0,$A731&lt;AE$6),AND(AE$7&gt;0,$A731&gt;AE$7)),0,MAX(0,ROUND((INDEX($E731:$G731,AE$5)-SUMIFS(TF_Timer,TF_Tekniker,AE$4,TF_Dato,$A731))*2,0)/2)))</f>
        <v/>
      </c>
      <c r="AF731">
        <f>IF(OR(AF$4="",$A731&gt;TODAY()),0,IF(OR(INDEX($B731:$D731,AF$5)="F",AND(AF$6&gt;0,$A731&lt;AF$6),AND(AF$7&gt;0,$A731&gt;AF$7)),0,MAX(0,ROUND((INDEX($E731:$G731,AF$5)-SUMIFS(TF_Timer,TF_Tekniker,AF$4,TF_Dato,$A731))*2,0)/2)))</f>
        <v/>
      </c>
      <c r="AG731">
        <f>IF(OR(AG$4="",$A731&gt;TODAY()),0,IF(OR(INDEX($B731:$D731,AG$5)="F",AND(AG$6&gt;0,$A731&lt;AG$6),AND(AG$7&gt;0,$A731&gt;AG$7)),0,MAX(0,ROUND((INDEX($E731:$G731,AG$5)-SUMIFS(TF_Timer,TF_Tekniker,AG$4,TF_Dato,$A731))*2,0)/2)))</f>
        <v/>
      </c>
      <c r="AH731">
        <f>IF(OR(AH$4="",$A731&gt;TODAY()),0,IF(OR(INDEX($B731:$D731,AH$5)="F",AND(AH$6&gt;0,$A731&lt;AH$6),AND(AH$7&gt;0,$A731&gt;AH$7)),0,MAX(0,ROUND((INDEX($E731:$G731,AH$5)-SUMIFS(TF_Timer,TF_Tekniker,AH$4,TF_Dato,$A731))*2,0)/2)))</f>
        <v/>
      </c>
      <c r="AI731">
        <f>IF(OR(AI$4="",$A731&gt;TODAY()),0,IF(OR(INDEX($B731:$D731,AI$5)="F",AND(AI$6&gt;0,$A731&lt;AI$6),AND(AI$7&gt;0,$A731&gt;AI$7)),0,MAX(0,ROUND((INDEX($E731:$G731,AI$5)-SUMIFS(TF_Timer,TF_Tekniker,AI$4,TF_Dato,$A731))*2,0)/2)))</f>
        <v/>
      </c>
      <c r="AJ731">
        <f>IF(OR(AJ$4="",$A731&gt;TODAY()),0,IF(OR(INDEX($B731:$D731,AJ$5)="F",AND(AJ$6&gt;0,$A731&lt;AJ$6),AND(AJ$7&gt;0,$A731&gt;AJ$7)),0,MAX(0,ROUND((INDEX($E731:$G731,AJ$5)-SUMIFS(TF_Timer,TF_Tekniker,AJ$4,TF_Dato,$A731))*2,0)/2)))</f>
        <v/>
      </c>
      <c r="AK731">
        <f>IF(OR(AK$4="",$A731&gt;TODAY()),0,IF(OR(INDEX($B731:$D731,AK$5)="F",AND(AK$6&gt;0,$A731&lt;AK$6),AND(AK$7&gt;0,$A731&gt;AK$7)),0,MAX(0,ROUND((INDEX($E731:$G731,AK$5)-SUMIFS(TF_Timer,TF_Tekniker,AK$4,TF_Dato,$A731))*2,0)/2)))</f>
        <v/>
      </c>
      <c r="AL731">
        <f>IF(OR(AL$4="",$A731&gt;TODAY()),0,IF(OR(INDEX($B731:$D731,AL$5)="F",AND(AL$6&gt;0,$A731&lt;AL$6),AND(AL$7&gt;0,$A731&gt;AL$7)),0,MAX(0,ROUND((INDEX($E731:$G731,AL$5)-SUMIFS(TF_Timer,TF_Tekniker,AL$4,TF_Dato,$A731))*2,0)/2)))</f>
        <v/>
      </c>
      <c r="AM731">
        <f>IF(OR(AM$4="",$A731&gt;TODAY()),0,IF(OR(INDEX($B731:$D731,AM$5)="F",AND(AM$6&gt;0,$A731&lt;AM$6),AND(AM$7&gt;0,$A731&gt;AM$7)),0,MAX(0,ROUND((INDEX($E731:$G731,AM$5)-SUMIFS(TF_Timer,TF_Tekniker,AM$4,TF_Dato,$A731))*2,0)/2)))</f>
        <v/>
      </c>
      <c r="AN731">
        <f>IF(OR(AN$4="",$A731&gt;TODAY()),0,IF(OR(INDEX($B731:$D731,AN$5)="F",AND(AN$6&gt;0,$A731&lt;AN$6),AND(AN$7&gt;0,$A731&gt;AN$7)),0,MAX(0,ROUND((INDEX($E731:$G731,AN$5)-SUMIFS(TF_Timer,TF_Tekniker,AN$4,TF_Dato,$A731))*2,0)/2)))</f>
        <v/>
      </c>
      <c r="AO731">
        <f>IF(OR(AO$4="",$A731&gt;TODAY()),0,IF(OR(INDEX($B731:$D731,AO$5)="F",AND(AO$6&gt;0,$A731&lt;AO$6),AND(AO$7&gt;0,$A731&gt;AO$7)),0,MAX(0,ROUND((INDEX($E731:$G731,AO$5)-SUMIFS(TF_Timer,TF_Tekniker,AO$4,TF_Dato,$A731))*2,0)/2)))</f>
        <v/>
      </c>
      <c r="AP731">
        <f>IF(OR(AP$4="",$A731&gt;TODAY()),0,IF(OR(INDEX($B731:$D731,AP$5)="F",AND(AP$6&gt;0,$A731&lt;AP$6),AND(AP$7&gt;0,$A731&gt;AP$7)),0,MAX(0,ROUND((INDEX($E731:$G731,AP$5)-SUMIFS(TF_Timer,TF_Tekniker,AP$4,TF_Dato,$A731))*2,0)/2)))</f>
        <v/>
      </c>
      <c r="AQ731">
        <f>IF(OR(AQ$4="",$A731&gt;TODAY()),0,IF(OR(INDEX($B731:$D731,AQ$5)="F",AND(AQ$6&gt;0,$A731&lt;AQ$6),AND(AQ$7&gt;0,$A731&gt;AQ$7)),0,MAX(0,ROUND((INDEX($E731:$G731,AQ$5)-SUMIFS(TF_Timer,TF_Tekniker,AQ$4,TF_Dato,$A731))*2,0)/2)))</f>
        <v/>
      </c>
      <c r="AR731">
        <f>IF(OR(AR$4="",$A731&gt;TODAY()),0,IF(OR(INDEX($B731:$D731,AR$5)="F",AND(AR$6&gt;0,$A731&lt;AR$6),AND(AR$7&gt;0,$A731&gt;AR$7)),0,MAX(0,ROUND((INDEX($E731:$G731,AR$5)-SUMIFS(TF_Timer,TF_Tekniker,AR$4,TF_Dato,$A731))*2,0)/2)))</f>
        <v/>
      </c>
      <c r="AS731">
        <f>IF(OR(AS$4="",$A731&gt;TODAY()),0,IF(OR(INDEX($B731:$D731,AS$5)="F",AND(AS$6&gt;0,$A731&lt;AS$6),AND(AS$7&gt;0,$A731&gt;AS$7)),0,MAX(0,ROUND((INDEX($E731:$G731,AS$5)-SUMIFS(TF_Timer,TF_Tekniker,AS$4,TF_Dato,$A731))*2,0)/2)))</f>
        <v/>
      </c>
      <c r="AT731">
        <f>IF(OR(AT$4="",$A731&gt;TODAY()),0,IF(OR(INDEX($B731:$D731,AT$5)="F",AND(AT$6&gt;0,$A731&lt;AT$6),AND(AT$7&gt;0,$A731&gt;AT$7)),0,MAX(0,ROUND((INDEX($E731:$G731,AT$5)-SUMIFS(TF_Timer,TF_Tekniker,AT$4,TF_Dato,$A731))*2,0)/2)))</f>
        <v/>
      </c>
      <c r="AU731">
        <f>IF(OR(AU$4="",$A731&gt;TODAY()),0,IF(OR(INDEX($B731:$D731,AU$5)="F",AND(AU$6&gt;0,$A731&lt;AU$6),AND(AU$7&gt;0,$A731&gt;AU$7)),0,MAX(0,ROUND((INDEX($E731:$G731,AU$5)-SUMIFS(TF_Timer,TF_Tekniker,AU$4,TF_Dato,$A731))*2,0)/2)))</f>
        <v/>
      </c>
      <c r="AV731">
        <f>IF(OR(AV$4="",$A731&gt;TODAY()),0,IF(OR(INDEX($B731:$D731,AV$5)="F",AND(AV$6&gt;0,$A731&lt;AV$6),AND(AV$7&gt;0,$A731&gt;AV$7)),0,MAX(0,ROUND((INDEX($E731:$G731,AV$5)-SUMIFS(TF_Timer,TF_Tekniker,AV$4,TF_Dato,$A731))*2,0)/2)))</f>
        <v/>
      </c>
      <c r="AW731">
        <f>IF(OR(AW$4="",$A731&gt;TODAY()),0,IF(OR(INDEX($B731:$D731,AW$5)="F",AND(AW$6&gt;0,$A731&lt;AW$6),AND(AW$7&gt;0,$A731&gt;AW$7)),0,MAX(0,ROUND((INDEX($E731:$G731,AW$5)-SUMIFS(TF_Timer,TF_Tekniker,AW$4,TF_Dato,$A731))*2,0)/2)))</f>
        <v/>
      </c>
      <c r="AX731">
        <f>IF(OR(AX$4="",$A731&gt;TODAY()),0,IF(OR(INDEX($B731:$D731,AX$5)="F",AND(AX$6&gt;0,$A731&lt;AX$6),AND(AX$7&gt;0,$A731&gt;AX$7)),0,MAX(0,ROUND((INDEX($E731:$G731,AX$5)-SUMIFS(TF_Timer,TF_Tekniker,AX$4,TF_Dato,$A731))*2,0)/2)))</f>
        <v/>
      </c>
      <c r="AY731">
        <f>IF(OR(AY$4="",$A731&gt;TODAY()),0,IF(OR(INDEX($B731:$D731,AY$5)="F",AND(AY$6&gt;0,$A731&lt;AY$6),AND(AY$7&gt;0,$A731&gt;AY$7)),0,MAX(0,ROUND((INDEX($E731:$G731,AY$5)-SUMIFS(TF_Timer,TF_Tekniker,AY$4,TF_Dato,$A731))*2,0)/2)))</f>
        <v/>
      </c>
      <c r="AZ731">
        <f>IF(OR(AZ$4="",$A731&gt;TODAY()),0,IF(OR(INDEX($B731:$D731,AZ$5)="F",AND(AZ$6&gt;0,$A731&lt;AZ$6),AND(AZ$7&gt;0,$A731&gt;AZ$7)),0,MAX(0,ROUND((INDEX($E731:$G731,AZ$5)-SUMIFS(TF_Timer,TF_Tekniker,AZ$4,TF_Dato,$A731))*2,0)/2)))</f>
        <v/>
      </c>
      <c r="BA731">
        <f>IF(OR(BA$4="",$A731&gt;TODAY()),0,IF(OR(INDEX($B731:$D731,BA$5)="F",AND(BA$6&gt;0,$A731&lt;BA$6),AND(BA$7&gt;0,$A731&gt;BA$7)),0,MAX(0,ROUND((INDEX($E731:$G731,BA$5)-SUMIFS(TF_Timer,TF_Tekniker,BA$4,TF_Dato,$A731))*2,0)/2)))</f>
        <v/>
      </c>
      <c r="BB731">
        <f>IF(OR(BB$4="",$A731&gt;TODAY()),0,IF(OR(INDEX($B731:$D731,BB$5)="F",AND(BB$6&gt;0,$A731&lt;BB$6),AND(BB$7&gt;0,$A731&gt;BB$7)),0,MAX(0,ROUND((INDEX($E731:$G731,BB$5)-SUMIFS(TF_Timer,TF_Tekniker,BB$4,TF_Dato,$A731))*2,0)/2)))</f>
        <v/>
      </c>
      <c r="BC731">
        <f>IF(OR(BC$4="",$A731&gt;TODAY()),0,IF(OR(INDEX($B731:$D731,BC$5)="F",AND(BC$6&gt;0,$A731&lt;BC$6),AND(BC$7&gt;0,$A731&gt;BC$7)),0,MAX(0,ROUND((INDEX($E731:$G731,BC$5)-SUMIFS(TF_Timer,TF_Tekniker,BC$4,TF_Dato,$A731))*2,0)/2)))</f>
        <v/>
      </c>
      <c r="BD731">
        <f>IF(OR(BD$4="",$A731&gt;TODAY()),0,IF(OR(INDEX($B731:$D731,BD$5)="F",AND(BD$6&gt;0,$A731&lt;BD$6),AND(BD$7&gt;0,$A731&gt;BD$7)),0,MAX(0,ROUND((INDEX($E731:$G731,BD$5)-SUMIFS(TF_Timer,TF_Tekniker,BD$4,TF_Dato,$A731))*2,0)/2)))</f>
        <v/>
      </c>
      <c r="BE731">
        <f>IF(OR(BE$4="",$A731&gt;TODAY()),0,IF(OR(INDEX($B731:$D731,BE$5)="F",AND(BE$6&gt;0,$A731&lt;BE$6),AND(BE$7&gt;0,$A731&gt;BE$7)),0,MAX(0,ROUND((INDEX($E731:$G731,BE$5)-SUMIFS(TF_Timer,TF_Tekniker,BE$4,TF_Dato,$A731))*2,0)/2)))</f>
        <v/>
      </c>
      <c r="BF731">
        <f>IF(OR(BF$4="",$A731&gt;TODAY()),0,IF(OR(INDEX($B731:$D731,BF$5)="F",AND(BF$6&gt;0,$A731&lt;BF$6),AND(BF$7&gt;0,$A731&gt;BF$7)),0,MAX(0,ROUND((INDEX($E731:$G731,BF$5)-SUMIFS(TF_Timer,TF_Tekniker,BF$4,TF_Dato,$A731))*2,0)/2)))</f>
        <v/>
      </c>
      <c r="BG731">
        <f>IF(OR(BG$4="",$A731&gt;TODAY()),0,IF(OR(INDEX($B731:$D731,BG$5)="F",AND(BG$6&gt;0,$A731&lt;BG$6),AND(BG$7&gt;0,$A731&gt;BG$7)),0,MAX(0,ROUND((INDEX($E731:$G731,BG$5)-SUMIFS(TF_Timer,TF_Tekniker,BG$4,TF_Dato,$A731))*2,0)/2)))</f>
        <v/>
      </c>
      <c r="BH731">
        <f>IF(OR(BH$4="",$A731&gt;TODAY()),0,IF(OR(INDEX($B731:$D731,BH$5)="F",AND(BH$6&gt;0,$A731&lt;BH$6),AND(BH$7&gt;0,$A731&gt;BH$7)),0,MAX(0,ROUND((INDEX($E731:$G731,BH$5)-SUMIFS(TF_Timer,TF_Tekniker,BH$4,TF_Dato,$A731))*2,0)/2)))</f>
        <v/>
      </c>
      <c r="BI731">
        <f>IF(OR(BI$4="",$A731&gt;TODAY()),0,IF(OR(INDEX($B731:$D731,BI$5)="F",AND(BI$6&gt;0,$A731&lt;BI$6),AND(BI$7&gt;0,$A731&gt;BI$7)),0,MAX(0,ROUND((INDEX($E731:$G731,BI$5)-SUMIFS(TF_Timer,TF_Tekniker,BI$4,TF_Dato,$A731))*2,0)/2)))</f>
        <v/>
      </c>
    </row>
    <row r="732">
      <c r="A732" s="64">
        <f>A731+1</f>
        <v/>
      </c>
      <c r="B732">
        <f>IF(MOD($A732-INDEX(SkiftStart,1),Syklus)&lt;DagK,"K",IF(MOD($A732-INDEX(SkiftStart,1),Syklus)&lt;DagK+DagH,"H",IF(MOD($A732-INDEX(SkiftStart,1),Syklus)&lt;DagK+DagH+DagD,"D","F")))</f>
        <v/>
      </c>
      <c r="C732">
        <f>IF(MOD($A732-INDEX(SkiftStart,2),Syklus)&lt;DagK,"K",IF(MOD($A732-INDEX(SkiftStart,2),Syklus)&lt;DagK+DagH,"H",IF(MOD($A732-INDEX(SkiftStart,2),Syklus)&lt;DagK+DagH+DagD,"D","F")))</f>
        <v/>
      </c>
      <c r="D732">
        <f>IF(MOD($A732-INDEX(SkiftStart,3),Syklus)&lt;DagK,"K",IF(MOD($A732-INDEX(SkiftStart,3),Syklus)&lt;DagK+DagH,"H",IF(MOD($A732-INDEX(SkiftStart,3),Syklus)&lt;DagK+DagH+DagD,"D","F")))</f>
        <v/>
      </c>
      <c r="E732">
        <f>IF(B732="F",0,IF(WEEKDAY($A732,2)=5,INDEX(TimerFr,MATCH(B732,FaseKode,0)),INDEX(TimerMT,MATCH(B732,FaseKode,0))))</f>
        <v/>
      </c>
      <c r="F732">
        <f>IF(C732="F",0,IF(WEEKDAY($A732,2)=5,INDEX(TimerFr,MATCH(C732,FaseKode,0)),INDEX(TimerMT,MATCH(C732,FaseKode,0))))</f>
        <v/>
      </c>
      <c r="G732">
        <f>IF(D732="F",0,IF(WEEKDAY($A732,2)=5,INDEX(TimerFr,MATCH(D732,FaseKode,0)),INDEX(TimerMT,MATCH(D732,FaseKode,0))))</f>
        <v/>
      </c>
      <c r="H732">
        <f>IF(OR(H$4="",$A732&gt;TODAY()),0,IF(OR(INDEX($B732:$D732,H$5)="F",AND(H$6&gt;0,$A732&lt;H$6),AND(H$7&gt;0,$A732&gt;H$7)),0,MAX(0,ROUND((INDEX($E732:$G732,H$5)-SUMIFS(TF_Timer,TF_Tekniker,H$4,TF_Dato,$A732))*2,0)/2)))</f>
        <v/>
      </c>
      <c r="I732">
        <f>IF(OR(I$4="",$A732&gt;TODAY()),0,IF(OR(INDEX($B732:$D732,I$5)="F",AND(I$6&gt;0,$A732&lt;I$6),AND(I$7&gt;0,$A732&gt;I$7)),0,MAX(0,ROUND((INDEX($E732:$G732,I$5)-SUMIFS(TF_Timer,TF_Tekniker,I$4,TF_Dato,$A732))*2,0)/2)))</f>
        <v/>
      </c>
      <c r="J732">
        <f>IF(OR(J$4="",$A732&gt;TODAY()),0,IF(OR(INDEX($B732:$D732,J$5)="F",AND(J$6&gt;0,$A732&lt;J$6),AND(J$7&gt;0,$A732&gt;J$7)),0,MAX(0,ROUND((INDEX($E732:$G732,J$5)-SUMIFS(TF_Timer,TF_Tekniker,J$4,TF_Dato,$A732))*2,0)/2)))</f>
        <v/>
      </c>
      <c r="K732">
        <f>IF(OR(K$4="",$A732&gt;TODAY()),0,IF(OR(INDEX($B732:$D732,K$5)="F",AND(K$6&gt;0,$A732&lt;K$6),AND(K$7&gt;0,$A732&gt;K$7)),0,MAX(0,ROUND((INDEX($E732:$G732,K$5)-SUMIFS(TF_Timer,TF_Tekniker,K$4,TF_Dato,$A732))*2,0)/2)))</f>
        <v/>
      </c>
      <c r="L732">
        <f>IF(OR(L$4="",$A732&gt;TODAY()),0,IF(OR(INDEX($B732:$D732,L$5)="F",AND(L$6&gt;0,$A732&lt;L$6),AND(L$7&gt;0,$A732&gt;L$7)),0,MAX(0,ROUND((INDEX($E732:$G732,L$5)-SUMIFS(TF_Timer,TF_Tekniker,L$4,TF_Dato,$A732))*2,0)/2)))</f>
        <v/>
      </c>
      <c r="M732">
        <f>IF(OR(M$4="",$A732&gt;TODAY()),0,IF(OR(INDEX($B732:$D732,M$5)="F",AND(M$6&gt;0,$A732&lt;M$6),AND(M$7&gt;0,$A732&gt;M$7)),0,MAX(0,ROUND((INDEX($E732:$G732,M$5)-SUMIFS(TF_Timer,TF_Tekniker,M$4,TF_Dato,$A732))*2,0)/2)))</f>
        <v/>
      </c>
      <c r="N732">
        <f>IF(OR(N$4="",$A732&gt;TODAY()),0,IF(OR(INDEX($B732:$D732,N$5)="F",AND(N$6&gt;0,$A732&lt;N$6),AND(N$7&gt;0,$A732&gt;N$7)),0,MAX(0,ROUND((INDEX($E732:$G732,N$5)-SUMIFS(TF_Timer,TF_Tekniker,N$4,TF_Dato,$A732))*2,0)/2)))</f>
        <v/>
      </c>
      <c r="O732">
        <f>IF(OR(O$4="",$A732&gt;TODAY()),0,IF(OR(INDEX($B732:$D732,O$5)="F",AND(O$6&gt;0,$A732&lt;O$6),AND(O$7&gt;0,$A732&gt;O$7)),0,MAX(0,ROUND((INDEX($E732:$G732,O$5)-SUMIFS(TF_Timer,TF_Tekniker,O$4,TF_Dato,$A732))*2,0)/2)))</f>
        <v/>
      </c>
      <c r="P732">
        <f>IF(OR(P$4="",$A732&gt;TODAY()),0,IF(OR(INDEX($B732:$D732,P$5)="F",AND(P$6&gt;0,$A732&lt;P$6),AND(P$7&gt;0,$A732&gt;P$7)),0,MAX(0,ROUND((INDEX($E732:$G732,P$5)-SUMIFS(TF_Timer,TF_Tekniker,P$4,TF_Dato,$A732))*2,0)/2)))</f>
        <v/>
      </c>
      <c r="Q732">
        <f>IF(OR(Q$4="",$A732&gt;TODAY()),0,IF(OR(INDEX($B732:$D732,Q$5)="F",AND(Q$6&gt;0,$A732&lt;Q$6),AND(Q$7&gt;0,$A732&gt;Q$7)),0,MAX(0,ROUND((INDEX($E732:$G732,Q$5)-SUMIFS(TF_Timer,TF_Tekniker,Q$4,TF_Dato,$A732))*2,0)/2)))</f>
        <v/>
      </c>
      <c r="R732">
        <f>IF(OR(R$4="",$A732&gt;TODAY()),0,IF(OR(INDEX($B732:$D732,R$5)="F",AND(R$6&gt;0,$A732&lt;R$6),AND(R$7&gt;0,$A732&gt;R$7)),0,MAX(0,ROUND((INDEX($E732:$G732,R$5)-SUMIFS(TF_Timer,TF_Tekniker,R$4,TF_Dato,$A732))*2,0)/2)))</f>
        <v/>
      </c>
      <c r="S732">
        <f>IF(OR(S$4="",$A732&gt;TODAY()),0,IF(OR(INDEX($B732:$D732,S$5)="F",AND(S$6&gt;0,$A732&lt;S$6),AND(S$7&gt;0,$A732&gt;S$7)),0,MAX(0,ROUND((INDEX($E732:$G732,S$5)-SUMIFS(TF_Timer,TF_Tekniker,S$4,TF_Dato,$A732))*2,0)/2)))</f>
        <v/>
      </c>
      <c r="T732">
        <f>IF(OR(T$4="",$A732&gt;TODAY()),0,IF(OR(INDEX($B732:$D732,T$5)="F",AND(T$6&gt;0,$A732&lt;T$6),AND(T$7&gt;0,$A732&gt;T$7)),0,MAX(0,ROUND((INDEX($E732:$G732,T$5)-SUMIFS(TF_Timer,TF_Tekniker,T$4,TF_Dato,$A732))*2,0)/2)))</f>
        <v/>
      </c>
      <c r="U732">
        <f>IF(OR(U$4="",$A732&gt;TODAY()),0,IF(OR(INDEX($B732:$D732,U$5)="F",AND(U$6&gt;0,$A732&lt;U$6),AND(U$7&gt;0,$A732&gt;U$7)),0,MAX(0,ROUND((INDEX($E732:$G732,U$5)-SUMIFS(TF_Timer,TF_Tekniker,U$4,TF_Dato,$A732))*2,0)/2)))</f>
        <v/>
      </c>
      <c r="V732">
        <f>IF(OR(V$4="",$A732&gt;TODAY()),0,IF(OR(INDEX($B732:$D732,V$5)="F",AND(V$6&gt;0,$A732&lt;V$6),AND(V$7&gt;0,$A732&gt;V$7)),0,MAX(0,ROUND((INDEX($E732:$G732,V$5)-SUMIFS(TF_Timer,TF_Tekniker,V$4,TF_Dato,$A732))*2,0)/2)))</f>
        <v/>
      </c>
      <c r="W732">
        <f>IF(OR(W$4="",$A732&gt;TODAY()),0,IF(OR(INDEX($B732:$D732,W$5)="F",AND(W$6&gt;0,$A732&lt;W$6),AND(W$7&gt;0,$A732&gt;W$7)),0,MAX(0,ROUND((INDEX($E732:$G732,W$5)-SUMIFS(TF_Timer,TF_Tekniker,W$4,TF_Dato,$A732))*2,0)/2)))</f>
        <v/>
      </c>
      <c r="X732">
        <f>IF(OR(X$4="",$A732&gt;TODAY()),0,IF(OR(INDEX($B732:$D732,X$5)="F",AND(X$6&gt;0,$A732&lt;X$6),AND(X$7&gt;0,$A732&gt;X$7)),0,MAX(0,ROUND((INDEX($E732:$G732,X$5)-SUMIFS(TF_Timer,TF_Tekniker,X$4,TF_Dato,$A732))*2,0)/2)))</f>
        <v/>
      </c>
      <c r="Y732">
        <f>IF(OR(Y$4="",$A732&gt;TODAY()),0,IF(OR(INDEX($B732:$D732,Y$5)="F",AND(Y$6&gt;0,$A732&lt;Y$6),AND(Y$7&gt;0,$A732&gt;Y$7)),0,MAX(0,ROUND((INDEX($E732:$G732,Y$5)-SUMIFS(TF_Timer,TF_Tekniker,Y$4,TF_Dato,$A732))*2,0)/2)))</f>
        <v/>
      </c>
      <c r="Z732">
        <f>IF(OR(Z$4="",$A732&gt;TODAY()),0,IF(OR(INDEX($B732:$D732,Z$5)="F",AND(Z$6&gt;0,$A732&lt;Z$6),AND(Z$7&gt;0,$A732&gt;Z$7)),0,MAX(0,ROUND((INDEX($E732:$G732,Z$5)-SUMIFS(TF_Timer,TF_Tekniker,Z$4,TF_Dato,$A732))*2,0)/2)))</f>
        <v/>
      </c>
      <c r="AA732">
        <f>IF(OR(AA$4="",$A732&gt;TODAY()),0,IF(OR(INDEX($B732:$D732,AA$5)="F",AND(AA$6&gt;0,$A732&lt;AA$6),AND(AA$7&gt;0,$A732&gt;AA$7)),0,MAX(0,ROUND((INDEX($E732:$G732,AA$5)-SUMIFS(TF_Timer,TF_Tekniker,AA$4,TF_Dato,$A732))*2,0)/2)))</f>
        <v/>
      </c>
      <c r="AB732">
        <f>IF(OR(AB$4="",$A732&gt;TODAY()),0,IF(OR(INDEX($B732:$D732,AB$5)="F",AND(AB$6&gt;0,$A732&lt;AB$6),AND(AB$7&gt;0,$A732&gt;AB$7)),0,MAX(0,ROUND((INDEX($E732:$G732,AB$5)-SUMIFS(TF_Timer,TF_Tekniker,AB$4,TF_Dato,$A732))*2,0)/2)))</f>
        <v/>
      </c>
      <c r="AC732">
        <f>IF(OR(AC$4="",$A732&gt;TODAY()),0,IF(OR(INDEX($B732:$D732,AC$5)="F",AND(AC$6&gt;0,$A732&lt;AC$6),AND(AC$7&gt;0,$A732&gt;AC$7)),0,MAX(0,ROUND((INDEX($E732:$G732,AC$5)-SUMIFS(TF_Timer,TF_Tekniker,AC$4,TF_Dato,$A732))*2,0)/2)))</f>
        <v/>
      </c>
      <c r="AD732">
        <f>IF(OR(AD$4="",$A732&gt;TODAY()),0,IF(OR(INDEX($B732:$D732,AD$5)="F",AND(AD$6&gt;0,$A732&lt;AD$6),AND(AD$7&gt;0,$A732&gt;AD$7)),0,MAX(0,ROUND((INDEX($E732:$G732,AD$5)-SUMIFS(TF_Timer,TF_Tekniker,AD$4,TF_Dato,$A732))*2,0)/2)))</f>
        <v/>
      </c>
      <c r="AE732">
        <f>IF(OR(AE$4="",$A732&gt;TODAY()),0,IF(OR(INDEX($B732:$D732,AE$5)="F",AND(AE$6&gt;0,$A732&lt;AE$6),AND(AE$7&gt;0,$A732&gt;AE$7)),0,MAX(0,ROUND((INDEX($E732:$G732,AE$5)-SUMIFS(TF_Timer,TF_Tekniker,AE$4,TF_Dato,$A732))*2,0)/2)))</f>
        <v/>
      </c>
      <c r="AF732">
        <f>IF(OR(AF$4="",$A732&gt;TODAY()),0,IF(OR(INDEX($B732:$D732,AF$5)="F",AND(AF$6&gt;0,$A732&lt;AF$6),AND(AF$7&gt;0,$A732&gt;AF$7)),0,MAX(0,ROUND((INDEX($E732:$G732,AF$5)-SUMIFS(TF_Timer,TF_Tekniker,AF$4,TF_Dato,$A732))*2,0)/2)))</f>
        <v/>
      </c>
      <c r="AG732">
        <f>IF(OR(AG$4="",$A732&gt;TODAY()),0,IF(OR(INDEX($B732:$D732,AG$5)="F",AND(AG$6&gt;0,$A732&lt;AG$6),AND(AG$7&gt;0,$A732&gt;AG$7)),0,MAX(0,ROUND((INDEX($E732:$G732,AG$5)-SUMIFS(TF_Timer,TF_Tekniker,AG$4,TF_Dato,$A732))*2,0)/2)))</f>
        <v/>
      </c>
      <c r="AH732">
        <f>IF(OR(AH$4="",$A732&gt;TODAY()),0,IF(OR(INDEX($B732:$D732,AH$5)="F",AND(AH$6&gt;0,$A732&lt;AH$6),AND(AH$7&gt;0,$A732&gt;AH$7)),0,MAX(0,ROUND((INDEX($E732:$G732,AH$5)-SUMIFS(TF_Timer,TF_Tekniker,AH$4,TF_Dato,$A732))*2,0)/2)))</f>
        <v/>
      </c>
      <c r="AI732">
        <f>IF(OR(AI$4="",$A732&gt;TODAY()),0,IF(OR(INDEX($B732:$D732,AI$5)="F",AND(AI$6&gt;0,$A732&lt;AI$6),AND(AI$7&gt;0,$A732&gt;AI$7)),0,MAX(0,ROUND((INDEX($E732:$G732,AI$5)-SUMIFS(TF_Timer,TF_Tekniker,AI$4,TF_Dato,$A732))*2,0)/2)))</f>
        <v/>
      </c>
      <c r="AJ732">
        <f>IF(OR(AJ$4="",$A732&gt;TODAY()),0,IF(OR(INDEX($B732:$D732,AJ$5)="F",AND(AJ$6&gt;0,$A732&lt;AJ$6),AND(AJ$7&gt;0,$A732&gt;AJ$7)),0,MAX(0,ROUND((INDEX($E732:$G732,AJ$5)-SUMIFS(TF_Timer,TF_Tekniker,AJ$4,TF_Dato,$A732))*2,0)/2)))</f>
        <v/>
      </c>
      <c r="AK732">
        <f>IF(OR(AK$4="",$A732&gt;TODAY()),0,IF(OR(INDEX($B732:$D732,AK$5)="F",AND(AK$6&gt;0,$A732&lt;AK$6),AND(AK$7&gt;0,$A732&gt;AK$7)),0,MAX(0,ROUND((INDEX($E732:$G732,AK$5)-SUMIFS(TF_Timer,TF_Tekniker,AK$4,TF_Dato,$A732))*2,0)/2)))</f>
        <v/>
      </c>
      <c r="AL732">
        <f>IF(OR(AL$4="",$A732&gt;TODAY()),0,IF(OR(INDEX($B732:$D732,AL$5)="F",AND(AL$6&gt;0,$A732&lt;AL$6),AND(AL$7&gt;0,$A732&gt;AL$7)),0,MAX(0,ROUND((INDEX($E732:$G732,AL$5)-SUMIFS(TF_Timer,TF_Tekniker,AL$4,TF_Dato,$A732))*2,0)/2)))</f>
        <v/>
      </c>
      <c r="AM732">
        <f>IF(OR(AM$4="",$A732&gt;TODAY()),0,IF(OR(INDEX($B732:$D732,AM$5)="F",AND(AM$6&gt;0,$A732&lt;AM$6),AND(AM$7&gt;0,$A732&gt;AM$7)),0,MAX(0,ROUND((INDEX($E732:$G732,AM$5)-SUMIFS(TF_Timer,TF_Tekniker,AM$4,TF_Dato,$A732))*2,0)/2)))</f>
        <v/>
      </c>
      <c r="AN732">
        <f>IF(OR(AN$4="",$A732&gt;TODAY()),0,IF(OR(INDEX($B732:$D732,AN$5)="F",AND(AN$6&gt;0,$A732&lt;AN$6),AND(AN$7&gt;0,$A732&gt;AN$7)),0,MAX(0,ROUND((INDEX($E732:$G732,AN$5)-SUMIFS(TF_Timer,TF_Tekniker,AN$4,TF_Dato,$A732))*2,0)/2)))</f>
        <v/>
      </c>
      <c r="AO732">
        <f>IF(OR(AO$4="",$A732&gt;TODAY()),0,IF(OR(INDEX($B732:$D732,AO$5)="F",AND(AO$6&gt;0,$A732&lt;AO$6),AND(AO$7&gt;0,$A732&gt;AO$7)),0,MAX(0,ROUND((INDEX($E732:$G732,AO$5)-SUMIFS(TF_Timer,TF_Tekniker,AO$4,TF_Dato,$A732))*2,0)/2)))</f>
        <v/>
      </c>
      <c r="AP732">
        <f>IF(OR(AP$4="",$A732&gt;TODAY()),0,IF(OR(INDEX($B732:$D732,AP$5)="F",AND(AP$6&gt;0,$A732&lt;AP$6),AND(AP$7&gt;0,$A732&gt;AP$7)),0,MAX(0,ROUND((INDEX($E732:$G732,AP$5)-SUMIFS(TF_Timer,TF_Tekniker,AP$4,TF_Dato,$A732))*2,0)/2)))</f>
        <v/>
      </c>
      <c r="AQ732">
        <f>IF(OR(AQ$4="",$A732&gt;TODAY()),0,IF(OR(INDEX($B732:$D732,AQ$5)="F",AND(AQ$6&gt;0,$A732&lt;AQ$6),AND(AQ$7&gt;0,$A732&gt;AQ$7)),0,MAX(0,ROUND((INDEX($E732:$G732,AQ$5)-SUMIFS(TF_Timer,TF_Tekniker,AQ$4,TF_Dato,$A732))*2,0)/2)))</f>
        <v/>
      </c>
      <c r="AR732">
        <f>IF(OR(AR$4="",$A732&gt;TODAY()),0,IF(OR(INDEX($B732:$D732,AR$5)="F",AND(AR$6&gt;0,$A732&lt;AR$6),AND(AR$7&gt;0,$A732&gt;AR$7)),0,MAX(0,ROUND((INDEX($E732:$G732,AR$5)-SUMIFS(TF_Timer,TF_Tekniker,AR$4,TF_Dato,$A732))*2,0)/2)))</f>
        <v/>
      </c>
      <c r="AS732">
        <f>IF(OR(AS$4="",$A732&gt;TODAY()),0,IF(OR(INDEX($B732:$D732,AS$5)="F",AND(AS$6&gt;0,$A732&lt;AS$6),AND(AS$7&gt;0,$A732&gt;AS$7)),0,MAX(0,ROUND((INDEX($E732:$G732,AS$5)-SUMIFS(TF_Timer,TF_Tekniker,AS$4,TF_Dato,$A732))*2,0)/2)))</f>
        <v/>
      </c>
      <c r="AT732">
        <f>IF(OR(AT$4="",$A732&gt;TODAY()),0,IF(OR(INDEX($B732:$D732,AT$5)="F",AND(AT$6&gt;0,$A732&lt;AT$6),AND(AT$7&gt;0,$A732&gt;AT$7)),0,MAX(0,ROUND((INDEX($E732:$G732,AT$5)-SUMIFS(TF_Timer,TF_Tekniker,AT$4,TF_Dato,$A732))*2,0)/2)))</f>
        <v/>
      </c>
      <c r="AU732">
        <f>IF(OR(AU$4="",$A732&gt;TODAY()),0,IF(OR(INDEX($B732:$D732,AU$5)="F",AND(AU$6&gt;0,$A732&lt;AU$6),AND(AU$7&gt;0,$A732&gt;AU$7)),0,MAX(0,ROUND((INDEX($E732:$G732,AU$5)-SUMIFS(TF_Timer,TF_Tekniker,AU$4,TF_Dato,$A732))*2,0)/2)))</f>
        <v/>
      </c>
      <c r="AV732">
        <f>IF(OR(AV$4="",$A732&gt;TODAY()),0,IF(OR(INDEX($B732:$D732,AV$5)="F",AND(AV$6&gt;0,$A732&lt;AV$6),AND(AV$7&gt;0,$A732&gt;AV$7)),0,MAX(0,ROUND((INDEX($E732:$G732,AV$5)-SUMIFS(TF_Timer,TF_Tekniker,AV$4,TF_Dato,$A732))*2,0)/2)))</f>
        <v/>
      </c>
      <c r="AW732">
        <f>IF(OR(AW$4="",$A732&gt;TODAY()),0,IF(OR(INDEX($B732:$D732,AW$5)="F",AND(AW$6&gt;0,$A732&lt;AW$6),AND(AW$7&gt;0,$A732&gt;AW$7)),0,MAX(0,ROUND((INDEX($E732:$G732,AW$5)-SUMIFS(TF_Timer,TF_Tekniker,AW$4,TF_Dato,$A732))*2,0)/2)))</f>
        <v/>
      </c>
      <c r="AX732">
        <f>IF(OR(AX$4="",$A732&gt;TODAY()),0,IF(OR(INDEX($B732:$D732,AX$5)="F",AND(AX$6&gt;0,$A732&lt;AX$6),AND(AX$7&gt;0,$A732&gt;AX$7)),0,MAX(0,ROUND((INDEX($E732:$G732,AX$5)-SUMIFS(TF_Timer,TF_Tekniker,AX$4,TF_Dato,$A732))*2,0)/2)))</f>
        <v/>
      </c>
      <c r="AY732">
        <f>IF(OR(AY$4="",$A732&gt;TODAY()),0,IF(OR(INDEX($B732:$D732,AY$5)="F",AND(AY$6&gt;0,$A732&lt;AY$6),AND(AY$7&gt;0,$A732&gt;AY$7)),0,MAX(0,ROUND((INDEX($E732:$G732,AY$5)-SUMIFS(TF_Timer,TF_Tekniker,AY$4,TF_Dato,$A732))*2,0)/2)))</f>
        <v/>
      </c>
      <c r="AZ732">
        <f>IF(OR(AZ$4="",$A732&gt;TODAY()),0,IF(OR(INDEX($B732:$D732,AZ$5)="F",AND(AZ$6&gt;0,$A732&lt;AZ$6),AND(AZ$7&gt;0,$A732&gt;AZ$7)),0,MAX(0,ROUND((INDEX($E732:$G732,AZ$5)-SUMIFS(TF_Timer,TF_Tekniker,AZ$4,TF_Dato,$A732))*2,0)/2)))</f>
        <v/>
      </c>
      <c r="BA732">
        <f>IF(OR(BA$4="",$A732&gt;TODAY()),0,IF(OR(INDEX($B732:$D732,BA$5)="F",AND(BA$6&gt;0,$A732&lt;BA$6),AND(BA$7&gt;0,$A732&gt;BA$7)),0,MAX(0,ROUND((INDEX($E732:$G732,BA$5)-SUMIFS(TF_Timer,TF_Tekniker,BA$4,TF_Dato,$A732))*2,0)/2)))</f>
        <v/>
      </c>
      <c r="BB732">
        <f>IF(OR(BB$4="",$A732&gt;TODAY()),0,IF(OR(INDEX($B732:$D732,BB$5)="F",AND(BB$6&gt;0,$A732&lt;BB$6),AND(BB$7&gt;0,$A732&gt;BB$7)),0,MAX(0,ROUND((INDEX($E732:$G732,BB$5)-SUMIFS(TF_Timer,TF_Tekniker,BB$4,TF_Dato,$A732))*2,0)/2)))</f>
        <v/>
      </c>
      <c r="BC732">
        <f>IF(OR(BC$4="",$A732&gt;TODAY()),0,IF(OR(INDEX($B732:$D732,BC$5)="F",AND(BC$6&gt;0,$A732&lt;BC$6),AND(BC$7&gt;0,$A732&gt;BC$7)),0,MAX(0,ROUND((INDEX($E732:$G732,BC$5)-SUMIFS(TF_Timer,TF_Tekniker,BC$4,TF_Dato,$A732))*2,0)/2)))</f>
        <v/>
      </c>
      <c r="BD732">
        <f>IF(OR(BD$4="",$A732&gt;TODAY()),0,IF(OR(INDEX($B732:$D732,BD$5)="F",AND(BD$6&gt;0,$A732&lt;BD$6),AND(BD$7&gt;0,$A732&gt;BD$7)),0,MAX(0,ROUND((INDEX($E732:$G732,BD$5)-SUMIFS(TF_Timer,TF_Tekniker,BD$4,TF_Dato,$A732))*2,0)/2)))</f>
        <v/>
      </c>
      <c r="BE732">
        <f>IF(OR(BE$4="",$A732&gt;TODAY()),0,IF(OR(INDEX($B732:$D732,BE$5)="F",AND(BE$6&gt;0,$A732&lt;BE$6),AND(BE$7&gt;0,$A732&gt;BE$7)),0,MAX(0,ROUND((INDEX($E732:$G732,BE$5)-SUMIFS(TF_Timer,TF_Tekniker,BE$4,TF_Dato,$A732))*2,0)/2)))</f>
        <v/>
      </c>
      <c r="BF732">
        <f>IF(OR(BF$4="",$A732&gt;TODAY()),0,IF(OR(INDEX($B732:$D732,BF$5)="F",AND(BF$6&gt;0,$A732&lt;BF$6),AND(BF$7&gt;0,$A732&gt;BF$7)),0,MAX(0,ROUND((INDEX($E732:$G732,BF$5)-SUMIFS(TF_Timer,TF_Tekniker,BF$4,TF_Dato,$A732))*2,0)/2)))</f>
        <v/>
      </c>
      <c r="BG732">
        <f>IF(OR(BG$4="",$A732&gt;TODAY()),0,IF(OR(INDEX($B732:$D732,BG$5)="F",AND(BG$6&gt;0,$A732&lt;BG$6),AND(BG$7&gt;0,$A732&gt;BG$7)),0,MAX(0,ROUND((INDEX($E732:$G732,BG$5)-SUMIFS(TF_Timer,TF_Tekniker,BG$4,TF_Dato,$A732))*2,0)/2)))</f>
        <v/>
      </c>
      <c r="BH732">
        <f>IF(OR(BH$4="",$A732&gt;TODAY()),0,IF(OR(INDEX($B732:$D732,BH$5)="F",AND(BH$6&gt;0,$A732&lt;BH$6),AND(BH$7&gt;0,$A732&gt;BH$7)),0,MAX(0,ROUND((INDEX($E732:$G732,BH$5)-SUMIFS(TF_Timer,TF_Tekniker,BH$4,TF_Dato,$A732))*2,0)/2)))</f>
        <v/>
      </c>
      <c r="BI732">
        <f>IF(OR(BI$4="",$A732&gt;TODAY()),0,IF(OR(INDEX($B732:$D732,BI$5)="F",AND(BI$6&gt;0,$A732&lt;BI$6),AND(BI$7&gt;0,$A732&gt;BI$7)),0,MAX(0,ROUND((INDEX($E732:$G732,BI$5)-SUMIFS(TF_Timer,TF_Tekniker,BI$4,TF_Dato,$A732))*2,0)/2)))</f>
        <v/>
      </c>
    </row>
    <row r="733">
      <c r="A733" s="64">
        <f>A732+1</f>
        <v/>
      </c>
      <c r="B733">
        <f>IF(MOD($A733-INDEX(SkiftStart,1),Syklus)&lt;DagK,"K",IF(MOD($A733-INDEX(SkiftStart,1),Syklus)&lt;DagK+DagH,"H",IF(MOD($A733-INDEX(SkiftStart,1),Syklus)&lt;DagK+DagH+DagD,"D","F")))</f>
        <v/>
      </c>
      <c r="C733">
        <f>IF(MOD($A733-INDEX(SkiftStart,2),Syklus)&lt;DagK,"K",IF(MOD($A733-INDEX(SkiftStart,2),Syklus)&lt;DagK+DagH,"H",IF(MOD($A733-INDEX(SkiftStart,2),Syklus)&lt;DagK+DagH+DagD,"D","F")))</f>
        <v/>
      </c>
      <c r="D733">
        <f>IF(MOD($A733-INDEX(SkiftStart,3),Syklus)&lt;DagK,"K",IF(MOD($A733-INDEX(SkiftStart,3),Syklus)&lt;DagK+DagH,"H",IF(MOD($A733-INDEX(SkiftStart,3),Syklus)&lt;DagK+DagH+DagD,"D","F")))</f>
        <v/>
      </c>
      <c r="E733">
        <f>IF(B733="F",0,IF(WEEKDAY($A733,2)=5,INDEX(TimerFr,MATCH(B733,FaseKode,0)),INDEX(TimerMT,MATCH(B733,FaseKode,0))))</f>
        <v/>
      </c>
      <c r="F733">
        <f>IF(C733="F",0,IF(WEEKDAY($A733,2)=5,INDEX(TimerFr,MATCH(C733,FaseKode,0)),INDEX(TimerMT,MATCH(C733,FaseKode,0))))</f>
        <v/>
      </c>
      <c r="G733">
        <f>IF(D733="F",0,IF(WEEKDAY($A733,2)=5,INDEX(TimerFr,MATCH(D733,FaseKode,0)),INDEX(TimerMT,MATCH(D733,FaseKode,0))))</f>
        <v/>
      </c>
      <c r="H733">
        <f>IF(OR(H$4="",$A733&gt;TODAY()),0,IF(OR(INDEX($B733:$D733,H$5)="F",AND(H$6&gt;0,$A733&lt;H$6),AND(H$7&gt;0,$A733&gt;H$7)),0,MAX(0,ROUND((INDEX($E733:$G733,H$5)-SUMIFS(TF_Timer,TF_Tekniker,H$4,TF_Dato,$A733))*2,0)/2)))</f>
        <v/>
      </c>
      <c r="I733">
        <f>IF(OR(I$4="",$A733&gt;TODAY()),0,IF(OR(INDEX($B733:$D733,I$5)="F",AND(I$6&gt;0,$A733&lt;I$6),AND(I$7&gt;0,$A733&gt;I$7)),0,MAX(0,ROUND((INDEX($E733:$G733,I$5)-SUMIFS(TF_Timer,TF_Tekniker,I$4,TF_Dato,$A733))*2,0)/2)))</f>
        <v/>
      </c>
      <c r="J733">
        <f>IF(OR(J$4="",$A733&gt;TODAY()),0,IF(OR(INDEX($B733:$D733,J$5)="F",AND(J$6&gt;0,$A733&lt;J$6),AND(J$7&gt;0,$A733&gt;J$7)),0,MAX(0,ROUND((INDEX($E733:$G733,J$5)-SUMIFS(TF_Timer,TF_Tekniker,J$4,TF_Dato,$A733))*2,0)/2)))</f>
        <v/>
      </c>
      <c r="K733">
        <f>IF(OR(K$4="",$A733&gt;TODAY()),0,IF(OR(INDEX($B733:$D733,K$5)="F",AND(K$6&gt;0,$A733&lt;K$6),AND(K$7&gt;0,$A733&gt;K$7)),0,MAX(0,ROUND((INDEX($E733:$G733,K$5)-SUMIFS(TF_Timer,TF_Tekniker,K$4,TF_Dato,$A733))*2,0)/2)))</f>
        <v/>
      </c>
      <c r="L733">
        <f>IF(OR(L$4="",$A733&gt;TODAY()),0,IF(OR(INDEX($B733:$D733,L$5)="F",AND(L$6&gt;0,$A733&lt;L$6),AND(L$7&gt;0,$A733&gt;L$7)),0,MAX(0,ROUND((INDEX($E733:$G733,L$5)-SUMIFS(TF_Timer,TF_Tekniker,L$4,TF_Dato,$A733))*2,0)/2)))</f>
        <v/>
      </c>
      <c r="M733">
        <f>IF(OR(M$4="",$A733&gt;TODAY()),0,IF(OR(INDEX($B733:$D733,M$5)="F",AND(M$6&gt;0,$A733&lt;M$6),AND(M$7&gt;0,$A733&gt;M$7)),0,MAX(0,ROUND((INDEX($E733:$G733,M$5)-SUMIFS(TF_Timer,TF_Tekniker,M$4,TF_Dato,$A733))*2,0)/2)))</f>
        <v/>
      </c>
      <c r="N733">
        <f>IF(OR(N$4="",$A733&gt;TODAY()),0,IF(OR(INDEX($B733:$D733,N$5)="F",AND(N$6&gt;0,$A733&lt;N$6),AND(N$7&gt;0,$A733&gt;N$7)),0,MAX(0,ROUND((INDEX($E733:$G733,N$5)-SUMIFS(TF_Timer,TF_Tekniker,N$4,TF_Dato,$A733))*2,0)/2)))</f>
        <v/>
      </c>
      <c r="O733">
        <f>IF(OR(O$4="",$A733&gt;TODAY()),0,IF(OR(INDEX($B733:$D733,O$5)="F",AND(O$6&gt;0,$A733&lt;O$6),AND(O$7&gt;0,$A733&gt;O$7)),0,MAX(0,ROUND((INDEX($E733:$G733,O$5)-SUMIFS(TF_Timer,TF_Tekniker,O$4,TF_Dato,$A733))*2,0)/2)))</f>
        <v/>
      </c>
      <c r="P733">
        <f>IF(OR(P$4="",$A733&gt;TODAY()),0,IF(OR(INDEX($B733:$D733,P$5)="F",AND(P$6&gt;0,$A733&lt;P$6),AND(P$7&gt;0,$A733&gt;P$7)),0,MAX(0,ROUND((INDEX($E733:$G733,P$5)-SUMIFS(TF_Timer,TF_Tekniker,P$4,TF_Dato,$A733))*2,0)/2)))</f>
        <v/>
      </c>
      <c r="Q733">
        <f>IF(OR(Q$4="",$A733&gt;TODAY()),0,IF(OR(INDEX($B733:$D733,Q$5)="F",AND(Q$6&gt;0,$A733&lt;Q$6),AND(Q$7&gt;0,$A733&gt;Q$7)),0,MAX(0,ROUND((INDEX($E733:$G733,Q$5)-SUMIFS(TF_Timer,TF_Tekniker,Q$4,TF_Dato,$A733))*2,0)/2)))</f>
        <v/>
      </c>
      <c r="R733">
        <f>IF(OR(R$4="",$A733&gt;TODAY()),0,IF(OR(INDEX($B733:$D733,R$5)="F",AND(R$6&gt;0,$A733&lt;R$6),AND(R$7&gt;0,$A733&gt;R$7)),0,MAX(0,ROUND((INDEX($E733:$G733,R$5)-SUMIFS(TF_Timer,TF_Tekniker,R$4,TF_Dato,$A733))*2,0)/2)))</f>
        <v/>
      </c>
      <c r="S733">
        <f>IF(OR(S$4="",$A733&gt;TODAY()),0,IF(OR(INDEX($B733:$D733,S$5)="F",AND(S$6&gt;0,$A733&lt;S$6),AND(S$7&gt;0,$A733&gt;S$7)),0,MAX(0,ROUND((INDEX($E733:$G733,S$5)-SUMIFS(TF_Timer,TF_Tekniker,S$4,TF_Dato,$A733))*2,0)/2)))</f>
        <v/>
      </c>
      <c r="T733">
        <f>IF(OR(T$4="",$A733&gt;TODAY()),0,IF(OR(INDEX($B733:$D733,T$5)="F",AND(T$6&gt;0,$A733&lt;T$6),AND(T$7&gt;0,$A733&gt;T$7)),0,MAX(0,ROUND((INDEX($E733:$G733,T$5)-SUMIFS(TF_Timer,TF_Tekniker,T$4,TF_Dato,$A733))*2,0)/2)))</f>
        <v/>
      </c>
      <c r="U733">
        <f>IF(OR(U$4="",$A733&gt;TODAY()),0,IF(OR(INDEX($B733:$D733,U$5)="F",AND(U$6&gt;0,$A733&lt;U$6),AND(U$7&gt;0,$A733&gt;U$7)),0,MAX(0,ROUND((INDEX($E733:$G733,U$5)-SUMIFS(TF_Timer,TF_Tekniker,U$4,TF_Dato,$A733))*2,0)/2)))</f>
        <v/>
      </c>
      <c r="V733">
        <f>IF(OR(V$4="",$A733&gt;TODAY()),0,IF(OR(INDEX($B733:$D733,V$5)="F",AND(V$6&gt;0,$A733&lt;V$6),AND(V$7&gt;0,$A733&gt;V$7)),0,MAX(0,ROUND((INDEX($E733:$G733,V$5)-SUMIFS(TF_Timer,TF_Tekniker,V$4,TF_Dato,$A733))*2,0)/2)))</f>
        <v/>
      </c>
      <c r="W733">
        <f>IF(OR(W$4="",$A733&gt;TODAY()),0,IF(OR(INDEX($B733:$D733,W$5)="F",AND(W$6&gt;0,$A733&lt;W$6),AND(W$7&gt;0,$A733&gt;W$7)),0,MAX(0,ROUND((INDEX($E733:$G733,W$5)-SUMIFS(TF_Timer,TF_Tekniker,W$4,TF_Dato,$A733))*2,0)/2)))</f>
        <v/>
      </c>
      <c r="X733">
        <f>IF(OR(X$4="",$A733&gt;TODAY()),0,IF(OR(INDEX($B733:$D733,X$5)="F",AND(X$6&gt;0,$A733&lt;X$6),AND(X$7&gt;0,$A733&gt;X$7)),0,MAX(0,ROUND((INDEX($E733:$G733,X$5)-SUMIFS(TF_Timer,TF_Tekniker,X$4,TF_Dato,$A733))*2,0)/2)))</f>
        <v/>
      </c>
      <c r="Y733">
        <f>IF(OR(Y$4="",$A733&gt;TODAY()),0,IF(OR(INDEX($B733:$D733,Y$5)="F",AND(Y$6&gt;0,$A733&lt;Y$6),AND(Y$7&gt;0,$A733&gt;Y$7)),0,MAX(0,ROUND((INDEX($E733:$G733,Y$5)-SUMIFS(TF_Timer,TF_Tekniker,Y$4,TF_Dato,$A733))*2,0)/2)))</f>
        <v/>
      </c>
      <c r="Z733">
        <f>IF(OR(Z$4="",$A733&gt;TODAY()),0,IF(OR(INDEX($B733:$D733,Z$5)="F",AND(Z$6&gt;0,$A733&lt;Z$6),AND(Z$7&gt;0,$A733&gt;Z$7)),0,MAX(0,ROUND((INDEX($E733:$G733,Z$5)-SUMIFS(TF_Timer,TF_Tekniker,Z$4,TF_Dato,$A733))*2,0)/2)))</f>
        <v/>
      </c>
      <c r="AA733">
        <f>IF(OR(AA$4="",$A733&gt;TODAY()),0,IF(OR(INDEX($B733:$D733,AA$5)="F",AND(AA$6&gt;0,$A733&lt;AA$6),AND(AA$7&gt;0,$A733&gt;AA$7)),0,MAX(0,ROUND((INDEX($E733:$G733,AA$5)-SUMIFS(TF_Timer,TF_Tekniker,AA$4,TF_Dato,$A733))*2,0)/2)))</f>
        <v/>
      </c>
      <c r="AB733">
        <f>IF(OR(AB$4="",$A733&gt;TODAY()),0,IF(OR(INDEX($B733:$D733,AB$5)="F",AND(AB$6&gt;0,$A733&lt;AB$6),AND(AB$7&gt;0,$A733&gt;AB$7)),0,MAX(0,ROUND((INDEX($E733:$G733,AB$5)-SUMIFS(TF_Timer,TF_Tekniker,AB$4,TF_Dato,$A733))*2,0)/2)))</f>
        <v/>
      </c>
      <c r="AC733">
        <f>IF(OR(AC$4="",$A733&gt;TODAY()),0,IF(OR(INDEX($B733:$D733,AC$5)="F",AND(AC$6&gt;0,$A733&lt;AC$6),AND(AC$7&gt;0,$A733&gt;AC$7)),0,MAX(0,ROUND((INDEX($E733:$G733,AC$5)-SUMIFS(TF_Timer,TF_Tekniker,AC$4,TF_Dato,$A733))*2,0)/2)))</f>
        <v/>
      </c>
      <c r="AD733">
        <f>IF(OR(AD$4="",$A733&gt;TODAY()),0,IF(OR(INDEX($B733:$D733,AD$5)="F",AND(AD$6&gt;0,$A733&lt;AD$6),AND(AD$7&gt;0,$A733&gt;AD$7)),0,MAX(0,ROUND((INDEX($E733:$G733,AD$5)-SUMIFS(TF_Timer,TF_Tekniker,AD$4,TF_Dato,$A733))*2,0)/2)))</f>
        <v/>
      </c>
      <c r="AE733">
        <f>IF(OR(AE$4="",$A733&gt;TODAY()),0,IF(OR(INDEX($B733:$D733,AE$5)="F",AND(AE$6&gt;0,$A733&lt;AE$6),AND(AE$7&gt;0,$A733&gt;AE$7)),0,MAX(0,ROUND((INDEX($E733:$G733,AE$5)-SUMIFS(TF_Timer,TF_Tekniker,AE$4,TF_Dato,$A733))*2,0)/2)))</f>
        <v/>
      </c>
      <c r="AF733">
        <f>IF(OR(AF$4="",$A733&gt;TODAY()),0,IF(OR(INDEX($B733:$D733,AF$5)="F",AND(AF$6&gt;0,$A733&lt;AF$6),AND(AF$7&gt;0,$A733&gt;AF$7)),0,MAX(0,ROUND((INDEX($E733:$G733,AF$5)-SUMIFS(TF_Timer,TF_Tekniker,AF$4,TF_Dato,$A733))*2,0)/2)))</f>
        <v/>
      </c>
      <c r="AG733">
        <f>IF(OR(AG$4="",$A733&gt;TODAY()),0,IF(OR(INDEX($B733:$D733,AG$5)="F",AND(AG$6&gt;0,$A733&lt;AG$6),AND(AG$7&gt;0,$A733&gt;AG$7)),0,MAX(0,ROUND((INDEX($E733:$G733,AG$5)-SUMIFS(TF_Timer,TF_Tekniker,AG$4,TF_Dato,$A733))*2,0)/2)))</f>
        <v/>
      </c>
      <c r="AH733">
        <f>IF(OR(AH$4="",$A733&gt;TODAY()),0,IF(OR(INDEX($B733:$D733,AH$5)="F",AND(AH$6&gt;0,$A733&lt;AH$6),AND(AH$7&gt;0,$A733&gt;AH$7)),0,MAX(0,ROUND((INDEX($E733:$G733,AH$5)-SUMIFS(TF_Timer,TF_Tekniker,AH$4,TF_Dato,$A733))*2,0)/2)))</f>
        <v/>
      </c>
      <c r="AI733">
        <f>IF(OR(AI$4="",$A733&gt;TODAY()),0,IF(OR(INDEX($B733:$D733,AI$5)="F",AND(AI$6&gt;0,$A733&lt;AI$6),AND(AI$7&gt;0,$A733&gt;AI$7)),0,MAX(0,ROUND((INDEX($E733:$G733,AI$5)-SUMIFS(TF_Timer,TF_Tekniker,AI$4,TF_Dato,$A733))*2,0)/2)))</f>
        <v/>
      </c>
      <c r="AJ733">
        <f>IF(OR(AJ$4="",$A733&gt;TODAY()),0,IF(OR(INDEX($B733:$D733,AJ$5)="F",AND(AJ$6&gt;0,$A733&lt;AJ$6),AND(AJ$7&gt;0,$A733&gt;AJ$7)),0,MAX(0,ROUND((INDEX($E733:$G733,AJ$5)-SUMIFS(TF_Timer,TF_Tekniker,AJ$4,TF_Dato,$A733))*2,0)/2)))</f>
        <v/>
      </c>
      <c r="AK733">
        <f>IF(OR(AK$4="",$A733&gt;TODAY()),0,IF(OR(INDEX($B733:$D733,AK$5)="F",AND(AK$6&gt;0,$A733&lt;AK$6),AND(AK$7&gt;0,$A733&gt;AK$7)),0,MAX(0,ROUND((INDEX($E733:$G733,AK$5)-SUMIFS(TF_Timer,TF_Tekniker,AK$4,TF_Dato,$A733))*2,0)/2)))</f>
        <v/>
      </c>
      <c r="AL733">
        <f>IF(OR(AL$4="",$A733&gt;TODAY()),0,IF(OR(INDEX($B733:$D733,AL$5)="F",AND(AL$6&gt;0,$A733&lt;AL$6),AND(AL$7&gt;0,$A733&gt;AL$7)),0,MAX(0,ROUND((INDEX($E733:$G733,AL$5)-SUMIFS(TF_Timer,TF_Tekniker,AL$4,TF_Dato,$A733))*2,0)/2)))</f>
        <v/>
      </c>
      <c r="AM733">
        <f>IF(OR(AM$4="",$A733&gt;TODAY()),0,IF(OR(INDEX($B733:$D733,AM$5)="F",AND(AM$6&gt;0,$A733&lt;AM$6),AND(AM$7&gt;0,$A733&gt;AM$7)),0,MAX(0,ROUND((INDEX($E733:$G733,AM$5)-SUMIFS(TF_Timer,TF_Tekniker,AM$4,TF_Dato,$A733))*2,0)/2)))</f>
        <v/>
      </c>
      <c r="AN733">
        <f>IF(OR(AN$4="",$A733&gt;TODAY()),0,IF(OR(INDEX($B733:$D733,AN$5)="F",AND(AN$6&gt;0,$A733&lt;AN$6),AND(AN$7&gt;0,$A733&gt;AN$7)),0,MAX(0,ROUND((INDEX($E733:$G733,AN$5)-SUMIFS(TF_Timer,TF_Tekniker,AN$4,TF_Dato,$A733))*2,0)/2)))</f>
        <v/>
      </c>
      <c r="AO733">
        <f>IF(OR(AO$4="",$A733&gt;TODAY()),0,IF(OR(INDEX($B733:$D733,AO$5)="F",AND(AO$6&gt;0,$A733&lt;AO$6),AND(AO$7&gt;0,$A733&gt;AO$7)),0,MAX(0,ROUND((INDEX($E733:$G733,AO$5)-SUMIFS(TF_Timer,TF_Tekniker,AO$4,TF_Dato,$A733))*2,0)/2)))</f>
        <v/>
      </c>
      <c r="AP733">
        <f>IF(OR(AP$4="",$A733&gt;TODAY()),0,IF(OR(INDEX($B733:$D733,AP$5)="F",AND(AP$6&gt;0,$A733&lt;AP$6),AND(AP$7&gt;0,$A733&gt;AP$7)),0,MAX(0,ROUND((INDEX($E733:$G733,AP$5)-SUMIFS(TF_Timer,TF_Tekniker,AP$4,TF_Dato,$A733))*2,0)/2)))</f>
        <v/>
      </c>
      <c r="AQ733">
        <f>IF(OR(AQ$4="",$A733&gt;TODAY()),0,IF(OR(INDEX($B733:$D733,AQ$5)="F",AND(AQ$6&gt;0,$A733&lt;AQ$6),AND(AQ$7&gt;0,$A733&gt;AQ$7)),0,MAX(0,ROUND((INDEX($E733:$G733,AQ$5)-SUMIFS(TF_Timer,TF_Tekniker,AQ$4,TF_Dato,$A733))*2,0)/2)))</f>
        <v/>
      </c>
      <c r="AR733">
        <f>IF(OR(AR$4="",$A733&gt;TODAY()),0,IF(OR(INDEX($B733:$D733,AR$5)="F",AND(AR$6&gt;0,$A733&lt;AR$6),AND(AR$7&gt;0,$A733&gt;AR$7)),0,MAX(0,ROUND((INDEX($E733:$G733,AR$5)-SUMIFS(TF_Timer,TF_Tekniker,AR$4,TF_Dato,$A733))*2,0)/2)))</f>
        <v/>
      </c>
      <c r="AS733">
        <f>IF(OR(AS$4="",$A733&gt;TODAY()),0,IF(OR(INDEX($B733:$D733,AS$5)="F",AND(AS$6&gt;0,$A733&lt;AS$6),AND(AS$7&gt;0,$A733&gt;AS$7)),0,MAX(0,ROUND((INDEX($E733:$G733,AS$5)-SUMIFS(TF_Timer,TF_Tekniker,AS$4,TF_Dato,$A733))*2,0)/2)))</f>
        <v/>
      </c>
      <c r="AT733">
        <f>IF(OR(AT$4="",$A733&gt;TODAY()),0,IF(OR(INDEX($B733:$D733,AT$5)="F",AND(AT$6&gt;0,$A733&lt;AT$6),AND(AT$7&gt;0,$A733&gt;AT$7)),0,MAX(0,ROUND((INDEX($E733:$G733,AT$5)-SUMIFS(TF_Timer,TF_Tekniker,AT$4,TF_Dato,$A733))*2,0)/2)))</f>
        <v/>
      </c>
      <c r="AU733">
        <f>IF(OR(AU$4="",$A733&gt;TODAY()),0,IF(OR(INDEX($B733:$D733,AU$5)="F",AND(AU$6&gt;0,$A733&lt;AU$6),AND(AU$7&gt;0,$A733&gt;AU$7)),0,MAX(0,ROUND((INDEX($E733:$G733,AU$5)-SUMIFS(TF_Timer,TF_Tekniker,AU$4,TF_Dato,$A733))*2,0)/2)))</f>
        <v/>
      </c>
      <c r="AV733">
        <f>IF(OR(AV$4="",$A733&gt;TODAY()),0,IF(OR(INDEX($B733:$D733,AV$5)="F",AND(AV$6&gt;0,$A733&lt;AV$6),AND(AV$7&gt;0,$A733&gt;AV$7)),0,MAX(0,ROUND((INDEX($E733:$G733,AV$5)-SUMIFS(TF_Timer,TF_Tekniker,AV$4,TF_Dato,$A733))*2,0)/2)))</f>
        <v/>
      </c>
      <c r="AW733">
        <f>IF(OR(AW$4="",$A733&gt;TODAY()),0,IF(OR(INDEX($B733:$D733,AW$5)="F",AND(AW$6&gt;0,$A733&lt;AW$6),AND(AW$7&gt;0,$A733&gt;AW$7)),0,MAX(0,ROUND((INDEX($E733:$G733,AW$5)-SUMIFS(TF_Timer,TF_Tekniker,AW$4,TF_Dato,$A733))*2,0)/2)))</f>
        <v/>
      </c>
      <c r="AX733">
        <f>IF(OR(AX$4="",$A733&gt;TODAY()),0,IF(OR(INDEX($B733:$D733,AX$5)="F",AND(AX$6&gt;0,$A733&lt;AX$6),AND(AX$7&gt;0,$A733&gt;AX$7)),0,MAX(0,ROUND((INDEX($E733:$G733,AX$5)-SUMIFS(TF_Timer,TF_Tekniker,AX$4,TF_Dato,$A733))*2,0)/2)))</f>
        <v/>
      </c>
      <c r="AY733">
        <f>IF(OR(AY$4="",$A733&gt;TODAY()),0,IF(OR(INDEX($B733:$D733,AY$5)="F",AND(AY$6&gt;0,$A733&lt;AY$6),AND(AY$7&gt;0,$A733&gt;AY$7)),0,MAX(0,ROUND((INDEX($E733:$G733,AY$5)-SUMIFS(TF_Timer,TF_Tekniker,AY$4,TF_Dato,$A733))*2,0)/2)))</f>
        <v/>
      </c>
      <c r="AZ733">
        <f>IF(OR(AZ$4="",$A733&gt;TODAY()),0,IF(OR(INDEX($B733:$D733,AZ$5)="F",AND(AZ$6&gt;0,$A733&lt;AZ$6),AND(AZ$7&gt;0,$A733&gt;AZ$7)),0,MAX(0,ROUND((INDEX($E733:$G733,AZ$5)-SUMIFS(TF_Timer,TF_Tekniker,AZ$4,TF_Dato,$A733))*2,0)/2)))</f>
        <v/>
      </c>
      <c r="BA733">
        <f>IF(OR(BA$4="",$A733&gt;TODAY()),0,IF(OR(INDEX($B733:$D733,BA$5)="F",AND(BA$6&gt;0,$A733&lt;BA$6),AND(BA$7&gt;0,$A733&gt;BA$7)),0,MAX(0,ROUND((INDEX($E733:$G733,BA$5)-SUMIFS(TF_Timer,TF_Tekniker,BA$4,TF_Dato,$A733))*2,0)/2)))</f>
        <v/>
      </c>
      <c r="BB733">
        <f>IF(OR(BB$4="",$A733&gt;TODAY()),0,IF(OR(INDEX($B733:$D733,BB$5)="F",AND(BB$6&gt;0,$A733&lt;BB$6),AND(BB$7&gt;0,$A733&gt;BB$7)),0,MAX(0,ROUND((INDEX($E733:$G733,BB$5)-SUMIFS(TF_Timer,TF_Tekniker,BB$4,TF_Dato,$A733))*2,0)/2)))</f>
        <v/>
      </c>
      <c r="BC733">
        <f>IF(OR(BC$4="",$A733&gt;TODAY()),0,IF(OR(INDEX($B733:$D733,BC$5)="F",AND(BC$6&gt;0,$A733&lt;BC$6),AND(BC$7&gt;0,$A733&gt;BC$7)),0,MAX(0,ROUND((INDEX($E733:$G733,BC$5)-SUMIFS(TF_Timer,TF_Tekniker,BC$4,TF_Dato,$A733))*2,0)/2)))</f>
        <v/>
      </c>
      <c r="BD733">
        <f>IF(OR(BD$4="",$A733&gt;TODAY()),0,IF(OR(INDEX($B733:$D733,BD$5)="F",AND(BD$6&gt;0,$A733&lt;BD$6),AND(BD$7&gt;0,$A733&gt;BD$7)),0,MAX(0,ROUND((INDEX($E733:$G733,BD$5)-SUMIFS(TF_Timer,TF_Tekniker,BD$4,TF_Dato,$A733))*2,0)/2)))</f>
        <v/>
      </c>
      <c r="BE733">
        <f>IF(OR(BE$4="",$A733&gt;TODAY()),0,IF(OR(INDEX($B733:$D733,BE$5)="F",AND(BE$6&gt;0,$A733&lt;BE$6),AND(BE$7&gt;0,$A733&gt;BE$7)),0,MAX(0,ROUND((INDEX($E733:$G733,BE$5)-SUMIFS(TF_Timer,TF_Tekniker,BE$4,TF_Dato,$A733))*2,0)/2)))</f>
        <v/>
      </c>
      <c r="BF733">
        <f>IF(OR(BF$4="",$A733&gt;TODAY()),0,IF(OR(INDEX($B733:$D733,BF$5)="F",AND(BF$6&gt;0,$A733&lt;BF$6),AND(BF$7&gt;0,$A733&gt;BF$7)),0,MAX(0,ROUND((INDEX($E733:$G733,BF$5)-SUMIFS(TF_Timer,TF_Tekniker,BF$4,TF_Dato,$A733))*2,0)/2)))</f>
        <v/>
      </c>
      <c r="BG733">
        <f>IF(OR(BG$4="",$A733&gt;TODAY()),0,IF(OR(INDEX($B733:$D733,BG$5)="F",AND(BG$6&gt;0,$A733&lt;BG$6),AND(BG$7&gt;0,$A733&gt;BG$7)),0,MAX(0,ROUND((INDEX($E733:$G733,BG$5)-SUMIFS(TF_Timer,TF_Tekniker,BG$4,TF_Dato,$A733))*2,0)/2)))</f>
        <v/>
      </c>
      <c r="BH733">
        <f>IF(OR(BH$4="",$A733&gt;TODAY()),0,IF(OR(INDEX($B733:$D733,BH$5)="F",AND(BH$6&gt;0,$A733&lt;BH$6),AND(BH$7&gt;0,$A733&gt;BH$7)),0,MAX(0,ROUND((INDEX($E733:$G733,BH$5)-SUMIFS(TF_Timer,TF_Tekniker,BH$4,TF_Dato,$A733))*2,0)/2)))</f>
        <v/>
      </c>
      <c r="BI733">
        <f>IF(OR(BI$4="",$A733&gt;TODAY()),0,IF(OR(INDEX($B733:$D733,BI$5)="F",AND(BI$6&gt;0,$A733&lt;BI$6),AND(BI$7&gt;0,$A733&gt;BI$7)),0,MAX(0,ROUND((INDEX($E733:$G733,BI$5)-SUMIFS(TF_Timer,TF_Tekniker,BI$4,TF_Dato,$A733))*2,0)/2)))</f>
        <v/>
      </c>
    </row>
    <row r="734">
      <c r="A734" s="64">
        <f>A733+1</f>
        <v/>
      </c>
      <c r="B734">
        <f>IF(MOD($A734-INDEX(SkiftStart,1),Syklus)&lt;DagK,"K",IF(MOD($A734-INDEX(SkiftStart,1),Syklus)&lt;DagK+DagH,"H",IF(MOD($A734-INDEX(SkiftStart,1),Syklus)&lt;DagK+DagH+DagD,"D","F")))</f>
        <v/>
      </c>
      <c r="C734">
        <f>IF(MOD($A734-INDEX(SkiftStart,2),Syklus)&lt;DagK,"K",IF(MOD($A734-INDEX(SkiftStart,2),Syklus)&lt;DagK+DagH,"H",IF(MOD($A734-INDEX(SkiftStart,2),Syklus)&lt;DagK+DagH+DagD,"D","F")))</f>
        <v/>
      </c>
      <c r="D734">
        <f>IF(MOD($A734-INDEX(SkiftStart,3),Syklus)&lt;DagK,"K",IF(MOD($A734-INDEX(SkiftStart,3),Syklus)&lt;DagK+DagH,"H",IF(MOD($A734-INDEX(SkiftStart,3),Syklus)&lt;DagK+DagH+DagD,"D","F")))</f>
        <v/>
      </c>
      <c r="E734">
        <f>IF(B734="F",0,IF(WEEKDAY($A734,2)=5,INDEX(TimerFr,MATCH(B734,FaseKode,0)),INDEX(TimerMT,MATCH(B734,FaseKode,0))))</f>
        <v/>
      </c>
      <c r="F734">
        <f>IF(C734="F",0,IF(WEEKDAY($A734,2)=5,INDEX(TimerFr,MATCH(C734,FaseKode,0)),INDEX(TimerMT,MATCH(C734,FaseKode,0))))</f>
        <v/>
      </c>
      <c r="G734">
        <f>IF(D734="F",0,IF(WEEKDAY($A734,2)=5,INDEX(TimerFr,MATCH(D734,FaseKode,0)),INDEX(TimerMT,MATCH(D734,FaseKode,0))))</f>
        <v/>
      </c>
      <c r="H734">
        <f>IF(OR(H$4="",$A734&gt;TODAY()),0,IF(OR(INDEX($B734:$D734,H$5)="F",AND(H$6&gt;0,$A734&lt;H$6),AND(H$7&gt;0,$A734&gt;H$7)),0,MAX(0,ROUND((INDEX($E734:$G734,H$5)-SUMIFS(TF_Timer,TF_Tekniker,H$4,TF_Dato,$A734))*2,0)/2)))</f>
        <v/>
      </c>
      <c r="I734">
        <f>IF(OR(I$4="",$A734&gt;TODAY()),0,IF(OR(INDEX($B734:$D734,I$5)="F",AND(I$6&gt;0,$A734&lt;I$6),AND(I$7&gt;0,$A734&gt;I$7)),0,MAX(0,ROUND((INDEX($E734:$G734,I$5)-SUMIFS(TF_Timer,TF_Tekniker,I$4,TF_Dato,$A734))*2,0)/2)))</f>
        <v/>
      </c>
      <c r="J734">
        <f>IF(OR(J$4="",$A734&gt;TODAY()),0,IF(OR(INDEX($B734:$D734,J$5)="F",AND(J$6&gt;0,$A734&lt;J$6),AND(J$7&gt;0,$A734&gt;J$7)),0,MAX(0,ROUND((INDEX($E734:$G734,J$5)-SUMIFS(TF_Timer,TF_Tekniker,J$4,TF_Dato,$A734))*2,0)/2)))</f>
        <v/>
      </c>
      <c r="K734">
        <f>IF(OR(K$4="",$A734&gt;TODAY()),0,IF(OR(INDEX($B734:$D734,K$5)="F",AND(K$6&gt;0,$A734&lt;K$6),AND(K$7&gt;0,$A734&gt;K$7)),0,MAX(0,ROUND((INDEX($E734:$G734,K$5)-SUMIFS(TF_Timer,TF_Tekniker,K$4,TF_Dato,$A734))*2,0)/2)))</f>
        <v/>
      </c>
      <c r="L734">
        <f>IF(OR(L$4="",$A734&gt;TODAY()),0,IF(OR(INDEX($B734:$D734,L$5)="F",AND(L$6&gt;0,$A734&lt;L$6),AND(L$7&gt;0,$A734&gt;L$7)),0,MAX(0,ROUND((INDEX($E734:$G734,L$5)-SUMIFS(TF_Timer,TF_Tekniker,L$4,TF_Dato,$A734))*2,0)/2)))</f>
        <v/>
      </c>
      <c r="M734">
        <f>IF(OR(M$4="",$A734&gt;TODAY()),0,IF(OR(INDEX($B734:$D734,M$5)="F",AND(M$6&gt;0,$A734&lt;M$6),AND(M$7&gt;0,$A734&gt;M$7)),0,MAX(0,ROUND((INDEX($E734:$G734,M$5)-SUMIFS(TF_Timer,TF_Tekniker,M$4,TF_Dato,$A734))*2,0)/2)))</f>
        <v/>
      </c>
      <c r="N734">
        <f>IF(OR(N$4="",$A734&gt;TODAY()),0,IF(OR(INDEX($B734:$D734,N$5)="F",AND(N$6&gt;0,$A734&lt;N$6),AND(N$7&gt;0,$A734&gt;N$7)),0,MAX(0,ROUND((INDEX($E734:$G734,N$5)-SUMIFS(TF_Timer,TF_Tekniker,N$4,TF_Dato,$A734))*2,0)/2)))</f>
        <v/>
      </c>
      <c r="O734">
        <f>IF(OR(O$4="",$A734&gt;TODAY()),0,IF(OR(INDEX($B734:$D734,O$5)="F",AND(O$6&gt;0,$A734&lt;O$6),AND(O$7&gt;0,$A734&gt;O$7)),0,MAX(0,ROUND((INDEX($E734:$G734,O$5)-SUMIFS(TF_Timer,TF_Tekniker,O$4,TF_Dato,$A734))*2,0)/2)))</f>
        <v/>
      </c>
      <c r="P734">
        <f>IF(OR(P$4="",$A734&gt;TODAY()),0,IF(OR(INDEX($B734:$D734,P$5)="F",AND(P$6&gt;0,$A734&lt;P$6),AND(P$7&gt;0,$A734&gt;P$7)),0,MAX(0,ROUND((INDEX($E734:$G734,P$5)-SUMIFS(TF_Timer,TF_Tekniker,P$4,TF_Dato,$A734))*2,0)/2)))</f>
        <v/>
      </c>
      <c r="Q734">
        <f>IF(OR(Q$4="",$A734&gt;TODAY()),0,IF(OR(INDEX($B734:$D734,Q$5)="F",AND(Q$6&gt;0,$A734&lt;Q$6),AND(Q$7&gt;0,$A734&gt;Q$7)),0,MAX(0,ROUND((INDEX($E734:$G734,Q$5)-SUMIFS(TF_Timer,TF_Tekniker,Q$4,TF_Dato,$A734))*2,0)/2)))</f>
        <v/>
      </c>
      <c r="R734">
        <f>IF(OR(R$4="",$A734&gt;TODAY()),0,IF(OR(INDEX($B734:$D734,R$5)="F",AND(R$6&gt;0,$A734&lt;R$6),AND(R$7&gt;0,$A734&gt;R$7)),0,MAX(0,ROUND((INDEX($E734:$G734,R$5)-SUMIFS(TF_Timer,TF_Tekniker,R$4,TF_Dato,$A734))*2,0)/2)))</f>
        <v/>
      </c>
      <c r="S734">
        <f>IF(OR(S$4="",$A734&gt;TODAY()),0,IF(OR(INDEX($B734:$D734,S$5)="F",AND(S$6&gt;0,$A734&lt;S$6),AND(S$7&gt;0,$A734&gt;S$7)),0,MAX(0,ROUND((INDEX($E734:$G734,S$5)-SUMIFS(TF_Timer,TF_Tekniker,S$4,TF_Dato,$A734))*2,0)/2)))</f>
        <v/>
      </c>
      <c r="T734">
        <f>IF(OR(T$4="",$A734&gt;TODAY()),0,IF(OR(INDEX($B734:$D734,T$5)="F",AND(T$6&gt;0,$A734&lt;T$6),AND(T$7&gt;0,$A734&gt;T$7)),0,MAX(0,ROUND((INDEX($E734:$G734,T$5)-SUMIFS(TF_Timer,TF_Tekniker,T$4,TF_Dato,$A734))*2,0)/2)))</f>
        <v/>
      </c>
      <c r="U734">
        <f>IF(OR(U$4="",$A734&gt;TODAY()),0,IF(OR(INDEX($B734:$D734,U$5)="F",AND(U$6&gt;0,$A734&lt;U$6),AND(U$7&gt;0,$A734&gt;U$7)),0,MAX(0,ROUND((INDEX($E734:$G734,U$5)-SUMIFS(TF_Timer,TF_Tekniker,U$4,TF_Dato,$A734))*2,0)/2)))</f>
        <v/>
      </c>
      <c r="V734">
        <f>IF(OR(V$4="",$A734&gt;TODAY()),0,IF(OR(INDEX($B734:$D734,V$5)="F",AND(V$6&gt;0,$A734&lt;V$6),AND(V$7&gt;0,$A734&gt;V$7)),0,MAX(0,ROUND((INDEX($E734:$G734,V$5)-SUMIFS(TF_Timer,TF_Tekniker,V$4,TF_Dato,$A734))*2,0)/2)))</f>
        <v/>
      </c>
      <c r="W734">
        <f>IF(OR(W$4="",$A734&gt;TODAY()),0,IF(OR(INDEX($B734:$D734,W$5)="F",AND(W$6&gt;0,$A734&lt;W$6),AND(W$7&gt;0,$A734&gt;W$7)),0,MAX(0,ROUND((INDEX($E734:$G734,W$5)-SUMIFS(TF_Timer,TF_Tekniker,W$4,TF_Dato,$A734))*2,0)/2)))</f>
        <v/>
      </c>
      <c r="X734">
        <f>IF(OR(X$4="",$A734&gt;TODAY()),0,IF(OR(INDEX($B734:$D734,X$5)="F",AND(X$6&gt;0,$A734&lt;X$6),AND(X$7&gt;0,$A734&gt;X$7)),0,MAX(0,ROUND((INDEX($E734:$G734,X$5)-SUMIFS(TF_Timer,TF_Tekniker,X$4,TF_Dato,$A734))*2,0)/2)))</f>
        <v/>
      </c>
      <c r="Y734">
        <f>IF(OR(Y$4="",$A734&gt;TODAY()),0,IF(OR(INDEX($B734:$D734,Y$5)="F",AND(Y$6&gt;0,$A734&lt;Y$6),AND(Y$7&gt;0,$A734&gt;Y$7)),0,MAX(0,ROUND((INDEX($E734:$G734,Y$5)-SUMIFS(TF_Timer,TF_Tekniker,Y$4,TF_Dato,$A734))*2,0)/2)))</f>
        <v/>
      </c>
      <c r="Z734">
        <f>IF(OR(Z$4="",$A734&gt;TODAY()),0,IF(OR(INDEX($B734:$D734,Z$5)="F",AND(Z$6&gt;0,$A734&lt;Z$6),AND(Z$7&gt;0,$A734&gt;Z$7)),0,MAX(0,ROUND((INDEX($E734:$G734,Z$5)-SUMIFS(TF_Timer,TF_Tekniker,Z$4,TF_Dato,$A734))*2,0)/2)))</f>
        <v/>
      </c>
      <c r="AA734">
        <f>IF(OR(AA$4="",$A734&gt;TODAY()),0,IF(OR(INDEX($B734:$D734,AA$5)="F",AND(AA$6&gt;0,$A734&lt;AA$6),AND(AA$7&gt;0,$A734&gt;AA$7)),0,MAX(0,ROUND((INDEX($E734:$G734,AA$5)-SUMIFS(TF_Timer,TF_Tekniker,AA$4,TF_Dato,$A734))*2,0)/2)))</f>
        <v/>
      </c>
      <c r="AB734">
        <f>IF(OR(AB$4="",$A734&gt;TODAY()),0,IF(OR(INDEX($B734:$D734,AB$5)="F",AND(AB$6&gt;0,$A734&lt;AB$6),AND(AB$7&gt;0,$A734&gt;AB$7)),0,MAX(0,ROUND((INDEX($E734:$G734,AB$5)-SUMIFS(TF_Timer,TF_Tekniker,AB$4,TF_Dato,$A734))*2,0)/2)))</f>
        <v/>
      </c>
      <c r="AC734">
        <f>IF(OR(AC$4="",$A734&gt;TODAY()),0,IF(OR(INDEX($B734:$D734,AC$5)="F",AND(AC$6&gt;0,$A734&lt;AC$6),AND(AC$7&gt;0,$A734&gt;AC$7)),0,MAX(0,ROUND((INDEX($E734:$G734,AC$5)-SUMIFS(TF_Timer,TF_Tekniker,AC$4,TF_Dato,$A734))*2,0)/2)))</f>
        <v/>
      </c>
      <c r="AD734">
        <f>IF(OR(AD$4="",$A734&gt;TODAY()),0,IF(OR(INDEX($B734:$D734,AD$5)="F",AND(AD$6&gt;0,$A734&lt;AD$6),AND(AD$7&gt;0,$A734&gt;AD$7)),0,MAX(0,ROUND((INDEX($E734:$G734,AD$5)-SUMIFS(TF_Timer,TF_Tekniker,AD$4,TF_Dato,$A734))*2,0)/2)))</f>
        <v/>
      </c>
      <c r="AE734">
        <f>IF(OR(AE$4="",$A734&gt;TODAY()),0,IF(OR(INDEX($B734:$D734,AE$5)="F",AND(AE$6&gt;0,$A734&lt;AE$6),AND(AE$7&gt;0,$A734&gt;AE$7)),0,MAX(0,ROUND((INDEX($E734:$G734,AE$5)-SUMIFS(TF_Timer,TF_Tekniker,AE$4,TF_Dato,$A734))*2,0)/2)))</f>
        <v/>
      </c>
      <c r="AF734">
        <f>IF(OR(AF$4="",$A734&gt;TODAY()),0,IF(OR(INDEX($B734:$D734,AF$5)="F",AND(AF$6&gt;0,$A734&lt;AF$6),AND(AF$7&gt;0,$A734&gt;AF$7)),0,MAX(0,ROUND((INDEX($E734:$G734,AF$5)-SUMIFS(TF_Timer,TF_Tekniker,AF$4,TF_Dato,$A734))*2,0)/2)))</f>
        <v/>
      </c>
      <c r="AG734">
        <f>IF(OR(AG$4="",$A734&gt;TODAY()),0,IF(OR(INDEX($B734:$D734,AG$5)="F",AND(AG$6&gt;0,$A734&lt;AG$6),AND(AG$7&gt;0,$A734&gt;AG$7)),0,MAX(0,ROUND((INDEX($E734:$G734,AG$5)-SUMIFS(TF_Timer,TF_Tekniker,AG$4,TF_Dato,$A734))*2,0)/2)))</f>
        <v/>
      </c>
      <c r="AH734">
        <f>IF(OR(AH$4="",$A734&gt;TODAY()),0,IF(OR(INDEX($B734:$D734,AH$5)="F",AND(AH$6&gt;0,$A734&lt;AH$6),AND(AH$7&gt;0,$A734&gt;AH$7)),0,MAX(0,ROUND((INDEX($E734:$G734,AH$5)-SUMIFS(TF_Timer,TF_Tekniker,AH$4,TF_Dato,$A734))*2,0)/2)))</f>
        <v/>
      </c>
      <c r="AI734">
        <f>IF(OR(AI$4="",$A734&gt;TODAY()),0,IF(OR(INDEX($B734:$D734,AI$5)="F",AND(AI$6&gt;0,$A734&lt;AI$6),AND(AI$7&gt;0,$A734&gt;AI$7)),0,MAX(0,ROUND((INDEX($E734:$G734,AI$5)-SUMIFS(TF_Timer,TF_Tekniker,AI$4,TF_Dato,$A734))*2,0)/2)))</f>
        <v/>
      </c>
      <c r="AJ734">
        <f>IF(OR(AJ$4="",$A734&gt;TODAY()),0,IF(OR(INDEX($B734:$D734,AJ$5)="F",AND(AJ$6&gt;0,$A734&lt;AJ$6),AND(AJ$7&gt;0,$A734&gt;AJ$7)),0,MAX(0,ROUND((INDEX($E734:$G734,AJ$5)-SUMIFS(TF_Timer,TF_Tekniker,AJ$4,TF_Dato,$A734))*2,0)/2)))</f>
        <v/>
      </c>
      <c r="AK734">
        <f>IF(OR(AK$4="",$A734&gt;TODAY()),0,IF(OR(INDEX($B734:$D734,AK$5)="F",AND(AK$6&gt;0,$A734&lt;AK$6),AND(AK$7&gt;0,$A734&gt;AK$7)),0,MAX(0,ROUND((INDEX($E734:$G734,AK$5)-SUMIFS(TF_Timer,TF_Tekniker,AK$4,TF_Dato,$A734))*2,0)/2)))</f>
        <v/>
      </c>
      <c r="AL734">
        <f>IF(OR(AL$4="",$A734&gt;TODAY()),0,IF(OR(INDEX($B734:$D734,AL$5)="F",AND(AL$6&gt;0,$A734&lt;AL$6),AND(AL$7&gt;0,$A734&gt;AL$7)),0,MAX(0,ROUND((INDEX($E734:$G734,AL$5)-SUMIFS(TF_Timer,TF_Tekniker,AL$4,TF_Dato,$A734))*2,0)/2)))</f>
        <v/>
      </c>
      <c r="AM734">
        <f>IF(OR(AM$4="",$A734&gt;TODAY()),0,IF(OR(INDEX($B734:$D734,AM$5)="F",AND(AM$6&gt;0,$A734&lt;AM$6),AND(AM$7&gt;0,$A734&gt;AM$7)),0,MAX(0,ROUND((INDEX($E734:$G734,AM$5)-SUMIFS(TF_Timer,TF_Tekniker,AM$4,TF_Dato,$A734))*2,0)/2)))</f>
        <v/>
      </c>
      <c r="AN734">
        <f>IF(OR(AN$4="",$A734&gt;TODAY()),0,IF(OR(INDEX($B734:$D734,AN$5)="F",AND(AN$6&gt;0,$A734&lt;AN$6),AND(AN$7&gt;0,$A734&gt;AN$7)),0,MAX(0,ROUND((INDEX($E734:$G734,AN$5)-SUMIFS(TF_Timer,TF_Tekniker,AN$4,TF_Dato,$A734))*2,0)/2)))</f>
        <v/>
      </c>
      <c r="AO734">
        <f>IF(OR(AO$4="",$A734&gt;TODAY()),0,IF(OR(INDEX($B734:$D734,AO$5)="F",AND(AO$6&gt;0,$A734&lt;AO$6),AND(AO$7&gt;0,$A734&gt;AO$7)),0,MAX(0,ROUND((INDEX($E734:$G734,AO$5)-SUMIFS(TF_Timer,TF_Tekniker,AO$4,TF_Dato,$A734))*2,0)/2)))</f>
        <v/>
      </c>
      <c r="AP734">
        <f>IF(OR(AP$4="",$A734&gt;TODAY()),0,IF(OR(INDEX($B734:$D734,AP$5)="F",AND(AP$6&gt;0,$A734&lt;AP$6),AND(AP$7&gt;0,$A734&gt;AP$7)),0,MAX(0,ROUND((INDEX($E734:$G734,AP$5)-SUMIFS(TF_Timer,TF_Tekniker,AP$4,TF_Dato,$A734))*2,0)/2)))</f>
        <v/>
      </c>
      <c r="AQ734">
        <f>IF(OR(AQ$4="",$A734&gt;TODAY()),0,IF(OR(INDEX($B734:$D734,AQ$5)="F",AND(AQ$6&gt;0,$A734&lt;AQ$6),AND(AQ$7&gt;0,$A734&gt;AQ$7)),0,MAX(0,ROUND((INDEX($E734:$G734,AQ$5)-SUMIFS(TF_Timer,TF_Tekniker,AQ$4,TF_Dato,$A734))*2,0)/2)))</f>
        <v/>
      </c>
      <c r="AR734">
        <f>IF(OR(AR$4="",$A734&gt;TODAY()),0,IF(OR(INDEX($B734:$D734,AR$5)="F",AND(AR$6&gt;0,$A734&lt;AR$6),AND(AR$7&gt;0,$A734&gt;AR$7)),0,MAX(0,ROUND((INDEX($E734:$G734,AR$5)-SUMIFS(TF_Timer,TF_Tekniker,AR$4,TF_Dato,$A734))*2,0)/2)))</f>
        <v/>
      </c>
      <c r="AS734">
        <f>IF(OR(AS$4="",$A734&gt;TODAY()),0,IF(OR(INDEX($B734:$D734,AS$5)="F",AND(AS$6&gt;0,$A734&lt;AS$6),AND(AS$7&gt;0,$A734&gt;AS$7)),0,MAX(0,ROUND((INDEX($E734:$G734,AS$5)-SUMIFS(TF_Timer,TF_Tekniker,AS$4,TF_Dato,$A734))*2,0)/2)))</f>
        <v/>
      </c>
      <c r="AT734">
        <f>IF(OR(AT$4="",$A734&gt;TODAY()),0,IF(OR(INDEX($B734:$D734,AT$5)="F",AND(AT$6&gt;0,$A734&lt;AT$6),AND(AT$7&gt;0,$A734&gt;AT$7)),0,MAX(0,ROUND((INDEX($E734:$G734,AT$5)-SUMIFS(TF_Timer,TF_Tekniker,AT$4,TF_Dato,$A734))*2,0)/2)))</f>
        <v/>
      </c>
      <c r="AU734">
        <f>IF(OR(AU$4="",$A734&gt;TODAY()),0,IF(OR(INDEX($B734:$D734,AU$5)="F",AND(AU$6&gt;0,$A734&lt;AU$6),AND(AU$7&gt;0,$A734&gt;AU$7)),0,MAX(0,ROUND((INDEX($E734:$G734,AU$5)-SUMIFS(TF_Timer,TF_Tekniker,AU$4,TF_Dato,$A734))*2,0)/2)))</f>
        <v/>
      </c>
      <c r="AV734">
        <f>IF(OR(AV$4="",$A734&gt;TODAY()),0,IF(OR(INDEX($B734:$D734,AV$5)="F",AND(AV$6&gt;0,$A734&lt;AV$6),AND(AV$7&gt;0,$A734&gt;AV$7)),0,MAX(0,ROUND((INDEX($E734:$G734,AV$5)-SUMIFS(TF_Timer,TF_Tekniker,AV$4,TF_Dato,$A734))*2,0)/2)))</f>
        <v/>
      </c>
      <c r="AW734">
        <f>IF(OR(AW$4="",$A734&gt;TODAY()),0,IF(OR(INDEX($B734:$D734,AW$5)="F",AND(AW$6&gt;0,$A734&lt;AW$6),AND(AW$7&gt;0,$A734&gt;AW$7)),0,MAX(0,ROUND((INDEX($E734:$G734,AW$5)-SUMIFS(TF_Timer,TF_Tekniker,AW$4,TF_Dato,$A734))*2,0)/2)))</f>
        <v/>
      </c>
      <c r="AX734">
        <f>IF(OR(AX$4="",$A734&gt;TODAY()),0,IF(OR(INDEX($B734:$D734,AX$5)="F",AND(AX$6&gt;0,$A734&lt;AX$6),AND(AX$7&gt;0,$A734&gt;AX$7)),0,MAX(0,ROUND((INDEX($E734:$G734,AX$5)-SUMIFS(TF_Timer,TF_Tekniker,AX$4,TF_Dato,$A734))*2,0)/2)))</f>
        <v/>
      </c>
      <c r="AY734">
        <f>IF(OR(AY$4="",$A734&gt;TODAY()),0,IF(OR(INDEX($B734:$D734,AY$5)="F",AND(AY$6&gt;0,$A734&lt;AY$6),AND(AY$7&gt;0,$A734&gt;AY$7)),0,MAX(0,ROUND((INDEX($E734:$G734,AY$5)-SUMIFS(TF_Timer,TF_Tekniker,AY$4,TF_Dato,$A734))*2,0)/2)))</f>
        <v/>
      </c>
      <c r="AZ734">
        <f>IF(OR(AZ$4="",$A734&gt;TODAY()),0,IF(OR(INDEX($B734:$D734,AZ$5)="F",AND(AZ$6&gt;0,$A734&lt;AZ$6),AND(AZ$7&gt;0,$A734&gt;AZ$7)),0,MAX(0,ROUND((INDEX($E734:$G734,AZ$5)-SUMIFS(TF_Timer,TF_Tekniker,AZ$4,TF_Dato,$A734))*2,0)/2)))</f>
        <v/>
      </c>
      <c r="BA734">
        <f>IF(OR(BA$4="",$A734&gt;TODAY()),0,IF(OR(INDEX($B734:$D734,BA$5)="F",AND(BA$6&gt;0,$A734&lt;BA$6),AND(BA$7&gt;0,$A734&gt;BA$7)),0,MAX(0,ROUND((INDEX($E734:$G734,BA$5)-SUMIFS(TF_Timer,TF_Tekniker,BA$4,TF_Dato,$A734))*2,0)/2)))</f>
        <v/>
      </c>
      <c r="BB734">
        <f>IF(OR(BB$4="",$A734&gt;TODAY()),0,IF(OR(INDEX($B734:$D734,BB$5)="F",AND(BB$6&gt;0,$A734&lt;BB$6),AND(BB$7&gt;0,$A734&gt;BB$7)),0,MAX(0,ROUND((INDEX($E734:$G734,BB$5)-SUMIFS(TF_Timer,TF_Tekniker,BB$4,TF_Dato,$A734))*2,0)/2)))</f>
        <v/>
      </c>
      <c r="BC734">
        <f>IF(OR(BC$4="",$A734&gt;TODAY()),0,IF(OR(INDEX($B734:$D734,BC$5)="F",AND(BC$6&gt;0,$A734&lt;BC$6),AND(BC$7&gt;0,$A734&gt;BC$7)),0,MAX(0,ROUND((INDEX($E734:$G734,BC$5)-SUMIFS(TF_Timer,TF_Tekniker,BC$4,TF_Dato,$A734))*2,0)/2)))</f>
        <v/>
      </c>
      <c r="BD734">
        <f>IF(OR(BD$4="",$A734&gt;TODAY()),0,IF(OR(INDEX($B734:$D734,BD$5)="F",AND(BD$6&gt;0,$A734&lt;BD$6),AND(BD$7&gt;0,$A734&gt;BD$7)),0,MAX(0,ROUND((INDEX($E734:$G734,BD$5)-SUMIFS(TF_Timer,TF_Tekniker,BD$4,TF_Dato,$A734))*2,0)/2)))</f>
        <v/>
      </c>
      <c r="BE734">
        <f>IF(OR(BE$4="",$A734&gt;TODAY()),0,IF(OR(INDEX($B734:$D734,BE$5)="F",AND(BE$6&gt;0,$A734&lt;BE$6),AND(BE$7&gt;0,$A734&gt;BE$7)),0,MAX(0,ROUND((INDEX($E734:$G734,BE$5)-SUMIFS(TF_Timer,TF_Tekniker,BE$4,TF_Dato,$A734))*2,0)/2)))</f>
        <v/>
      </c>
      <c r="BF734">
        <f>IF(OR(BF$4="",$A734&gt;TODAY()),0,IF(OR(INDEX($B734:$D734,BF$5)="F",AND(BF$6&gt;0,$A734&lt;BF$6),AND(BF$7&gt;0,$A734&gt;BF$7)),0,MAX(0,ROUND((INDEX($E734:$G734,BF$5)-SUMIFS(TF_Timer,TF_Tekniker,BF$4,TF_Dato,$A734))*2,0)/2)))</f>
        <v/>
      </c>
      <c r="BG734">
        <f>IF(OR(BG$4="",$A734&gt;TODAY()),0,IF(OR(INDEX($B734:$D734,BG$5)="F",AND(BG$6&gt;0,$A734&lt;BG$6),AND(BG$7&gt;0,$A734&gt;BG$7)),0,MAX(0,ROUND((INDEX($E734:$G734,BG$5)-SUMIFS(TF_Timer,TF_Tekniker,BG$4,TF_Dato,$A734))*2,0)/2)))</f>
        <v/>
      </c>
      <c r="BH734">
        <f>IF(OR(BH$4="",$A734&gt;TODAY()),0,IF(OR(INDEX($B734:$D734,BH$5)="F",AND(BH$6&gt;0,$A734&lt;BH$6),AND(BH$7&gt;0,$A734&gt;BH$7)),0,MAX(0,ROUND((INDEX($E734:$G734,BH$5)-SUMIFS(TF_Timer,TF_Tekniker,BH$4,TF_Dato,$A734))*2,0)/2)))</f>
        <v/>
      </c>
      <c r="BI734">
        <f>IF(OR(BI$4="",$A734&gt;TODAY()),0,IF(OR(INDEX($B734:$D734,BI$5)="F",AND(BI$6&gt;0,$A734&lt;BI$6),AND(BI$7&gt;0,$A734&gt;BI$7)),0,MAX(0,ROUND((INDEX($E734:$G734,BI$5)-SUMIFS(TF_Timer,TF_Tekniker,BI$4,TF_Dato,$A734))*2,0)/2)))</f>
        <v/>
      </c>
    </row>
    <row r="735">
      <c r="A735" s="64">
        <f>A734+1</f>
        <v/>
      </c>
      <c r="B735">
        <f>IF(MOD($A735-INDEX(SkiftStart,1),Syklus)&lt;DagK,"K",IF(MOD($A735-INDEX(SkiftStart,1),Syklus)&lt;DagK+DagH,"H",IF(MOD($A735-INDEX(SkiftStart,1),Syklus)&lt;DagK+DagH+DagD,"D","F")))</f>
        <v/>
      </c>
      <c r="C735">
        <f>IF(MOD($A735-INDEX(SkiftStart,2),Syklus)&lt;DagK,"K",IF(MOD($A735-INDEX(SkiftStart,2),Syklus)&lt;DagK+DagH,"H",IF(MOD($A735-INDEX(SkiftStart,2),Syklus)&lt;DagK+DagH+DagD,"D","F")))</f>
        <v/>
      </c>
      <c r="D735">
        <f>IF(MOD($A735-INDEX(SkiftStart,3),Syklus)&lt;DagK,"K",IF(MOD($A735-INDEX(SkiftStart,3),Syklus)&lt;DagK+DagH,"H",IF(MOD($A735-INDEX(SkiftStart,3),Syklus)&lt;DagK+DagH+DagD,"D","F")))</f>
        <v/>
      </c>
      <c r="E735">
        <f>IF(B735="F",0,IF(WEEKDAY($A735,2)=5,INDEX(TimerFr,MATCH(B735,FaseKode,0)),INDEX(TimerMT,MATCH(B735,FaseKode,0))))</f>
        <v/>
      </c>
      <c r="F735">
        <f>IF(C735="F",0,IF(WEEKDAY($A735,2)=5,INDEX(TimerFr,MATCH(C735,FaseKode,0)),INDEX(TimerMT,MATCH(C735,FaseKode,0))))</f>
        <v/>
      </c>
      <c r="G735">
        <f>IF(D735="F",0,IF(WEEKDAY($A735,2)=5,INDEX(TimerFr,MATCH(D735,FaseKode,0)),INDEX(TimerMT,MATCH(D735,FaseKode,0))))</f>
        <v/>
      </c>
      <c r="H735">
        <f>IF(OR(H$4="",$A735&gt;TODAY()),0,IF(OR(INDEX($B735:$D735,H$5)="F",AND(H$6&gt;0,$A735&lt;H$6),AND(H$7&gt;0,$A735&gt;H$7)),0,MAX(0,ROUND((INDEX($E735:$G735,H$5)-SUMIFS(TF_Timer,TF_Tekniker,H$4,TF_Dato,$A735))*2,0)/2)))</f>
        <v/>
      </c>
      <c r="I735">
        <f>IF(OR(I$4="",$A735&gt;TODAY()),0,IF(OR(INDEX($B735:$D735,I$5)="F",AND(I$6&gt;0,$A735&lt;I$6),AND(I$7&gt;0,$A735&gt;I$7)),0,MAX(0,ROUND((INDEX($E735:$G735,I$5)-SUMIFS(TF_Timer,TF_Tekniker,I$4,TF_Dato,$A735))*2,0)/2)))</f>
        <v/>
      </c>
      <c r="J735">
        <f>IF(OR(J$4="",$A735&gt;TODAY()),0,IF(OR(INDEX($B735:$D735,J$5)="F",AND(J$6&gt;0,$A735&lt;J$6),AND(J$7&gt;0,$A735&gt;J$7)),0,MAX(0,ROUND((INDEX($E735:$G735,J$5)-SUMIFS(TF_Timer,TF_Tekniker,J$4,TF_Dato,$A735))*2,0)/2)))</f>
        <v/>
      </c>
      <c r="K735">
        <f>IF(OR(K$4="",$A735&gt;TODAY()),0,IF(OR(INDEX($B735:$D735,K$5)="F",AND(K$6&gt;0,$A735&lt;K$6),AND(K$7&gt;0,$A735&gt;K$7)),0,MAX(0,ROUND((INDEX($E735:$G735,K$5)-SUMIFS(TF_Timer,TF_Tekniker,K$4,TF_Dato,$A735))*2,0)/2)))</f>
        <v/>
      </c>
      <c r="L735">
        <f>IF(OR(L$4="",$A735&gt;TODAY()),0,IF(OR(INDEX($B735:$D735,L$5)="F",AND(L$6&gt;0,$A735&lt;L$6),AND(L$7&gt;0,$A735&gt;L$7)),0,MAX(0,ROUND((INDEX($E735:$G735,L$5)-SUMIFS(TF_Timer,TF_Tekniker,L$4,TF_Dato,$A735))*2,0)/2)))</f>
        <v/>
      </c>
      <c r="M735">
        <f>IF(OR(M$4="",$A735&gt;TODAY()),0,IF(OR(INDEX($B735:$D735,M$5)="F",AND(M$6&gt;0,$A735&lt;M$6),AND(M$7&gt;0,$A735&gt;M$7)),0,MAX(0,ROUND((INDEX($E735:$G735,M$5)-SUMIFS(TF_Timer,TF_Tekniker,M$4,TF_Dato,$A735))*2,0)/2)))</f>
        <v/>
      </c>
      <c r="N735">
        <f>IF(OR(N$4="",$A735&gt;TODAY()),0,IF(OR(INDEX($B735:$D735,N$5)="F",AND(N$6&gt;0,$A735&lt;N$6),AND(N$7&gt;0,$A735&gt;N$7)),0,MAX(0,ROUND((INDEX($E735:$G735,N$5)-SUMIFS(TF_Timer,TF_Tekniker,N$4,TF_Dato,$A735))*2,0)/2)))</f>
        <v/>
      </c>
      <c r="O735">
        <f>IF(OR(O$4="",$A735&gt;TODAY()),0,IF(OR(INDEX($B735:$D735,O$5)="F",AND(O$6&gt;0,$A735&lt;O$6),AND(O$7&gt;0,$A735&gt;O$7)),0,MAX(0,ROUND((INDEX($E735:$G735,O$5)-SUMIFS(TF_Timer,TF_Tekniker,O$4,TF_Dato,$A735))*2,0)/2)))</f>
        <v/>
      </c>
      <c r="P735">
        <f>IF(OR(P$4="",$A735&gt;TODAY()),0,IF(OR(INDEX($B735:$D735,P$5)="F",AND(P$6&gt;0,$A735&lt;P$6),AND(P$7&gt;0,$A735&gt;P$7)),0,MAX(0,ROUND((INDEX($E735:$G735,P$5)-SUMIFS(TF_Timer,TF_Tekniker,P$4,TF_Dato,$A735))*2,0)/2)))</f>
        <v/>
      </c>
      <c r="Q735">
        <f>IF(OR(Q$4="",$A735&gt;TODAY()),0,IF(OR(INDEX($B735:$D735,Q$5)="F",AND(Q$6&gt;0,$A735&lt;Q$6),AND(Q$7&gt;0,$A735&gt;Q$7)),0,MAX(0,ROUND((INDEX($E735:$G735,Q$5)-SUMIFS(TF_Timer,TF_Tekniker,Q$4,TF_Dato,$A735))*2,0)/2)))</f>
        <v/>
      </c>
      <c r="R735">
        <f>IF(OR(R$4="",$A735&gt;TODAY()),0,IF(OR(INDEX($B735:$D735,R$5)="F",AND(R$6&gt;0,$A735&lt;R$6),AND(R$7&gt;0,$A735&gt;R$7)),0,MAX(0,ROUND((INDEX($E735:$G735,R$5)-SUMIFS(TF_Timer,TF_Tekniker,R$4,TF_Dato,$A735))*2,0)/2)))</f>
        <v/>
      </c>
      <c r="S735">
        <f>IF(OR(S$4="",$A735&gt;TODAY()),0,IF(OR(INDEX($B735:$D735,S$5)="F",AND(S$6&gt;0,$A735&lt;S$6),AND(S$7&gt;0,$A735&gt;S$7)),0,MAX(0,ROUND((INDEX($E735:$G735,S$5)-SUMIFS(TF_Timer,TF_Tekniker,S$4,TF_Dato,$A735))*2,0)/2)))</f>
        <v/>
      </c>
      <c r="T735">
        <f>IF(OR(T$4="",$A735&gt;TODAY()),0,IF(OR(INDEX($B735:$D735,T$5)="F",AND(T$6&gt;0,$A735&lt;T$6),AND(T$7&gt;0,$A735&gt;T$7)),0,MAX(0,ROUND((INDEX($E735:$G735,T$5)-SUMIFS(TF_Timer,TF_Tekniker,T$4,TF_Dato,$A735))*2,0)/2)))</f>
        <v/>
      </c>
      <c r="U735">
        <f>IF(OR(U$4="",$A735&gt;TODAY()),0,IF(OR(INDEX($B735:$D735,U$5)="F",AND(U$6&gt;0,$A735&lt;U$6),AND(U$7&gt;0,$A735&gt;U$7)),0,MAX(0,ROUND((INDEX($E735:$G735,U$5)-SUMIFS(TF_Timer,TF_Tekniker,U$4,TF_Dato,$A735))*2,0)/2)))</f>
        <v/>
      </c>
      <c r="V735">
        <f>IF(OR(V$4="",$A735&gt;TODAY()),0,IF(OR(INDEX($B735:$D735,V$5)="F",AND(V$6&gt;0,$A735&lt;V$6),AND(V$7&gt;0,$A735&gt;V$7)),0,MAX(0,ROUND((INDEX($E735:$G735,V$5)-SUMIFS(TF_Timer,TF_Tekniker,V$4,TF_Dato,$A735))*2,0)/2)))</f>
        <v/>
      </c>
      <c r="W735">
        <f>IF(OR(W$4="",$A735&gt;TODAY()),0,IF(OR(INDEX($B735:$D735,W$5)="F",AND(W$6&gt;0,$A735&lt;W$6),AND(W$7&gt;0,$A735&gt;W$7)),0,MAX(0,ROUND((INDEX($E735:$G735,W$5)-SUMIFS(TF_Timer,TF_Tekniker,W$4,TF_Dato,$A735))*2,0)/2)))</f>
        <v/>
      </c>
      <c r="X735">
        <f>IF(OR(X$4="",$A735&gt;TODAY()),0,IF(OR(INDEX($B735:$D735,X$5)="F",AND(X$6&gt;0,$A735&lt;X$6),AND(X$7&gt;0,$A735&gt;X$7)),0,MAX(0,ROUND((INDEX($E735:$G735,X$5)-SUMIFS(TF_Timer,TF_Tekniker,X$4,TF_Dato,$A735))*2,0)/2)))</f>
        <v/>
      </c>
      <c r="Y735">
        <f>IF(OR(Y$4="",$A735&gt;TODAY()),0,IF(OR(INDEX($B735:$D735,Y$5)="F",AND(Y$6&gt;0,$A735&lt;Y$6),AND(Y$7&gt;0,$A735&gt;Y$7)),0,MAX(0,ROUND((INDEX($E735:$G735,Y$5)-SUMIFS(TF_Timer,TF_Tekniker,Y$4,TF_Dato,$A735))*2,0)/2)))</f>
        <v/>
      </c>
      <c r="Z735">
        <f>IF(OR(Z$4="",$A735&gt;TODAY()),0,IF(OR(INDEX($B735:$D735,Z$5)="F",AND(Z$6&gt;0,$A735&lt;Z$6),AND(Z$7&gt;0,$A735&gt;Z$7)),0,MAX(0,ROUND((INDEX($E735:$G735,Z$5)-SUMIFS(TF_Timer,TF_Tekniker,Z$4,TF_Dato,$A735))*2,0)/2)))</f>
        <v/>
      </c>
      <c r="AA735">
        <f>IF(OR(AA$4="",$A735&gt;TODAY()),0,IF(OR(INDEX($B735:$D735,AA$5)="F",AND(AA$6&gt;0,$A735&lt;AA$6),AND(AA$7&gt;0,$A735&gt;AA$7)),0,MAX(0,ROUND((INDEX($E735:$G735,AA$5)-SUMIFS(TF_Timer,TF_Tekniker,AA$4,TF_Dato,$A735))*2,0)/2)))</f>
        <v/>
      </c>
      <c r="AB735">
        <f>IF(OR(AB$4="",$A735&gt;TODAY()),0,IF(OR(INDEX($B735:$D735,AB$5)="F",AND(AB$6&gt;0,$A735&lt;AB$6),AND(AB$7&gt;0,$A735&gt;AB$7)),0,MAX(0,ROUND((INDEX($E735:$G735,AB$5)-SUMIFS(TF_Timer,TF_Tekniker,AB$4,TF_Dato,$A735))*2,0)/2)))</f>
        <v/>
      </c>
      <c r="AC735">
        <f>IF(OR(AC$4="",$A735&gt;TODAY()),0,IF(OR(INDEX($B735:$D735,AC$5)="F",AND(AC$6&gt;0,$A735&lt;AC$6),AND(AC$7&gt;0,$A735&gt;AC$7)),0,MAX(0,ROUND((INDEX($E735:$G735,AC$5)-SUMIFS(TF_Timer,TF_Tekniker,AC$4,TF_Dato,$A735))*2,0)/2)))</f>
        <v/>
      </c>
      <c r="AD735">
        <f>IF(OR(AD$4="",$A735&gt;TODAY()),0,IF(OR(INDEX($B735:$D735,AD$5)="F",AND(AD$6&gt;0,$A735&lt;AD$6),AND(AD$7&gt;0,$A735&gt;AD$7)),0,MAX(0,ROUND((INDEX($E735:$G735,AD$5)-SUMIFS(TF_Timer,TF_Tekniker,AD$4,TF_Dato,$A735))*2,0)/2)))</f>
        <v/>
      </c>
      <c r="AE735">
        <f>IF(OR(AE$4="",$A735&gt;TODAY()),0,IF(OR(INDEX($B735:$D735,AE$5)="F",AND(AE$6&gt;0,$A735&lt;AE$6),AND(AE$7&gt;0,$A735&gt;AE$7)),0,MAX(0,ROUND((INDEX($E735:$G735,AE$5)-SUMIFS(TF_Timer,TF_Tekniker,AE$4,TF_Dato,$A735))*2,0)/2)))</f>
        <v/>
      </c>
      <c r="AF735">
        <f>IF(OR(AF$4="",$A735&gt;TODAY()),0,IF(OR(INDEX($B735:$D735,AF$5)="F",AND(AF$6&gt;0,$A735&lt;AF$6),AND(AF$7&gt;0,$A735&gt;AF$7)),0,MAX(0,ROUND((INDEX($E735:$G735,AF$5)-SUMIFS(TF_Timer,TF_Tekniker,AF$4,TF_Dato,$A735))*2,0)/2)))</f>
        <v/>
      </c>
      <c r="AG735">
        <f>IF(OR(AG$4="",$A735&gt;TODAY()),0,IF(OR(INDEX($B735:$D735,AG$5)="F",AND(AG$6&gt;0,$A735&lt;AG$6),AND(AG$7&gt;0,$A735&gt;AG$7)),0,MAX(0,ROUND((INDEX($E735:$G735,AG$5)-SUMIFS(TF_Timer,TF_Tekniker,AG$4,TF_Dato,$A735))*2,0)/2)))</f>
        <v/>
      </c>
      <c r="AH735">
        <f>IF(OR(AH$4="",$A735&gt;TODAY()),0,IF(OR(INDEX($B735:$D735,AH$5)="F",AND(AH$6&gt;0,$A735&lt;AH$6),AND(AH$7&gt;0,$A735&gt;AH$7)),0,MAX(0,ROUND((INDEX($E735:$G735,AH$5)-SUMIFS(TF_Timer,TF_Tekniker,AH$4,TF_Dato,$A735))*2,0)/2)))</f>
        <v/>
      </c>
      <c r="AI735">
        <f>IF(OR(AI$4="",$A735&gt;TODAY()),0,IF(OR(INDEX($B735:$D735,AI$5)="F",AND(AI$6&gt;0,$A735&lt;AI$6),AND(AI$7&gt;0,$A735&gt;AI$7)),0,MAX(0,ROUND((INDEX($E735:$G735,AI$5)-SUMIFS(TF_Timer,TF_Tekniker,AI$4,TF_Dato,$A735))*2,0)/2)))</f>
        <v/>
      </c>
      <c r="AJ735">
        <f>IF(OR(AJ$4="",$A735&gt;TODAY()),0,IF(OR(INDEX($B735:$D735,AJ$5)="F",AND(AJ$6&gt;0,$A735&lt;AJ$6),AND(AJ$7&gt;0,$A735&gt;AJ$7)),0,MAX(0,ROUND((INDEX($E735:$G735,AJ$5)-SUMIFS(TF_Timer,TF_Tekniker,AJ$4,TF_Dato,$A735))*2,0)/2)))</f>
        <v/>
      </c>
      <c r="AK735">
        <f>IF(OR(AK$4="",$A735&gt;TODAY()),0,IF(OR(INDEX($B735:$D735,AK$5)="F",AND(AK$6&gt;0,$A735&lt;AK$6),AND(AK$7&gt;0,$A735&gt;AK$7)),0,MAX(0,ROUND((INDEX($E735:$G735,AK$5)-SUMIFS(TF_Timer,TF_Tekniker,AK$4,TF_Dato,$A735))*2,0)/2)))</f>
        <v/>
      </c>
      <c r="AL735">
        <f>IF(OR(AL$4="",$A735&gt;TODAY()),0,IF(OR(INDEX($B735:$D735,AL$5)="F",AND(AL$6&gt;0,$A735&lt;AL$6),AND(AL$7&gt;0,$A735&gt;AL$7)),0,MAX(0,ROUND((INDEX($E735:$G735,AL$5)-SUMIFS(TF_Timer,TF_Tekniker,AL$4,TF_Dato,$A735))*2,0)/2)))</f>
        <v/>
      </c>
      <c r="AM735">
        <f>IF(OR(AM$4="",$A735&gt;TODAY()),0,IF(OR(INDEX($B735:$D735,AM$5)="F",AND(AM$6&gt;0,$A735&lt;AM$6),AND(AM$7&gt;0,$A735&gt;AM$7)),0,MAX(0,ROUND((INDEX($E735:$G735,AM$5)-SUMIFS(TF_Timer,TF_Tekniker,AM$4,TF_Dato,$A735))*2,0)/2)))</f>
        <v/>
      </c>
      <c r="AN735">
        <f>IF(OR(AN$4="",$A735&gt;TODAY()),0,IF(OR(INDEX($B735:$D735,AN$5)="F",AND(AN$6&gt;0,$A735&lt;AN$6),AND(AN$7&gt;0,$A735&gt;AN$7)),0,MAX(0,ROUND((INDEX($E735:$G735,AN$5)-SUMIFS(TF_Timer,TF_Tekniker,AN$4,TF_Dato,$A735))*2,0)/2)))</f>
        <v/>
      </c>
      <c r="AO735">
        <f>IF(OR(AO$4="",$A735&gt;TODAY()),0,IF(OR(INDEX($B735:$D735,AO$5)="F",AND(AO$6&gt;0,$A735&lt;AO$6),AND(AO$7&gt;0,$A735&gt;AO$7)),0,MAX(0,ROUND((INDEX($E735:$G735,AO$5)-SUMIFS(TF_Timer,TF_Tekniker,AO$4,TF_Dato,$A735))*2,0)/2)))</f>
        <v/>
      </c>
      <c r="AP735">
        <f>IF(OR(AP$4="",$A735&gt;TODAY()),0,IF(OR(INDEX($B735:$D735,AP$5)="F",AND(AP$6&gt;0,$A735&lt;AP$6),AND(AP$7&gt;0,$A735&gt;AP$7)),0,MAX(0,ROUND((INDEX($E735:$G735,AP$5)-SUMIFS(TF_Timer,TF_Tekniker,AP$4,TF_Dato,$A735))*2,0)/2)))</f>
        <v/>
      </c>
      <c r="AQ735">
        <f>IF(OR(AQ$4="",$A735&gt;TODAY()),0,IF(OR(INDEX($B735:$D735,AQ$5)="F",AND(AQ$6&gt;0,$A735&lt;AQ$6),AND(AQ$7&gt;0,$A735&gt;AQ$7)),0,MAX(0,ROUND((INDEX($E735:$G735,AQ$5)-SUMIFS(TF_Timer,TF_Tekniker,AQ$4,TF_Dato,$A735))*2,0)/2)))</f>
        <v/>
      </c>
      <c r="AR735">
        <f>IF(OR(AR$4="",$A735&gt;TODAY()),0,IF(OR(INDEX($B735:$D735,AR$5)="F",AND(AR$6&gt;0,$A735&lt;AR$6),AND(AR$7&gt;0,$A735&gt;AR$7)),0,MAX(0,ROUND((INDEX($E735:$G735,AR$5)-SUMIFS(TF_Timer,TF_Tekniker,AR$4,TF_Dato,$A735))*2,0)/2)))</f>
        <v/>
      </c>
      <c r="AS735">
        <f>IF(OR(AS$4="",$A735&gt;TODAY()),0,IF(OR(INDEX($B735:$D735,AS$5)="F",AND(AS$6&gt;0,$A735&lt;AS$6),AND(AS$7&gt;0,$A735&gt;AS$7)),0,MAX(0,ROUND((INDEX($E735:$G735,AS$5)-SUMIFS(TF_Timer,TF_Tekniker,AS$4,TF_Dato,$A735))*2,0)/2)))</f>
        <v/>
      </c>
      <c r="AT735">
        <f>IF(OR(AT$4="",$A735&gt;TODAY()),0,IF(OR(INDEX($B735:$D735,AT$5)="F",AND(AT$6&gt;0,$A735&lt;AT$6),AND(AT$7&gt;0,$A735&gt;AT$7)),0,MAX(0,ROUND((INDEX($E735:$G735,AT$5)-SUMIFS(TF_Timer,TF_Tekniker,AT$4,TF_Dato,$A735))*2,0)/2)))</f>
        <v/>
      </c>
      <c r="AU735">
        <f>IF(OR(AU$4="",$A735&gt;TODAY()),0,IF(OR(INDEX($B735:$D735,AU$5)="F",AND(AU$6&gt;0,$A735&lt;AU$6),AND(AU$7&gt;0,$A735&gt;AU$7)),0,MAX(0,ROUND((INDEX($E735:$G735,AU$5)-SUMIFS(TF_Timer,TF_Tekniker,AU$4,TF_Dato,$A735))*2,0)/2)))</f>
        <v/>
      </c>
      <c r="AV735">
        <f>IF(OR(AV$4="",$A735&gt;TODAY()),0,IF(OR(INDEX($B735:$D735,AV$5)="F",AND(AV$6&gt;0,$A735&lt;AV$6),AND(AV$7&gt;0,$A735&gt;AV$7)),0,MAX(0,ROUND((INDEX($E735:$G735,AV$5)-SUMIFS(TF_Timer,TF_Tekniker,AV$4,TF_Dato,$A735))*2,0)/2)))</f>
        <v/>
      </c>
      <c r="AW735">
        <f>IF(OR(AW$4="",$A735&gt;TODAY()),0,IF(OR(INDEX($B735:$D735,AW$5)="F",AND(AW$6&gt;0,$A735&lt;AW$6),AND(AW$7&gt;0,$A735&gt;AW$7)),0,MAX(0,ROUND((INDEX($E735:$G735,AW$5)-SUMIFS(TF_Timer,TF_Tekniker,AW$4,TF_Dato,$A735))*2,0)/2)))</f>
        <v/>
      </c>
      <c r="AX735">
        <f>IF(OR(AX$4="",$A735&gt;TODAY()),0,IF(OR(INDEX($B735:$D735,AX$5)="F",AND(AX$6&gt;0,$A735&lt;AX$6),AND(AX$7&gt;0,$A735&gt;AX$7)),0,MAX(0,ROUND((INDEX($E735:$G735,AX$5)-SUMIFS(TF_Timer,TF_Tekniker,AX$4,TF_Dato,$A735))*2,0)/2)))</f>
        <v/>
      </c>
      <c r="AY735">
        <f>IF(OR(AY$4="",$A735&gt;TODAY()),0,IF(OR(INDEX($B735:$D735,AY$5)="F",AND(AY$6&gt;0,$A735&lt;AY$6),AND(AY$7&gt;0,$A735&gt;AY$7)),0,MAX(0,ROUND((INDEX($E735:$G735,AY$5)-SUMIFS(TF_Timer,TF_Tekniker,AY$4,TF_Dato,$A735))*2,0)/2)))</f>
        <v/>
      </c>
      <c r="AZ735">
        <f>IF(OR(AZ$4="",$A735&gt;TODAY()),0,IF(OR(INDEX($B735:$D735,AZ$5)="F",AND(AZ$6&gt;0,$A735&lt;AZ$6),AND(AZ$7&gt;0,$A735&gt;AZ$7)),0,MAX(0,ROUND((INDEX($E735:$G735,AZ$5)-SUMIFS(TF_Timer,TF_Tekniker,AZ$4,TF_Dato,$A735))*2,0)/2)))</f>
        <v/>
      </c>
      <c r="BA735">
        <f>IF(OR(BA$4="",$A735&gt;TODAY()),0,IF(OR(INDEX($B735:$D735,BA$5)="F",AND(BA$6&gt;0,$A735&lt;BA$6),AND(BA$7&gt;0,$A735&gt;BA$7)),0,MAX(0,ROUND((INDEX($E735:$G735,BA$5)-SUMIFS(TF_Timer,TF_Tekniker,BA$4,TF_Dato,$A735))*2,0)/2)))</f>
        <v/>
      </c>
      <c r="BB735">
        <f>IF(OR(BB$4="",$A735&gt;TODAY()),0,IF(OR(INDEX($B735:$D735,BB$5)="F",AND(BB$6&gt;0,$A735&lt;BB$6),AND(BB$7&gt;0,$A735&gt;BB$7)),0,MAX(0,ROUND((INDEX($E735:$G735,BB$5)-SUMIFS(TF_Timer,TF_Tekniker,BB$4,TF_Dato,$A735))*2,0)/2)))</f>
        <v/>
      </c>
      <c r="BC735">
        <f>IF(OR(BC$4="",$A735&gt;TODAY()),0,IF(OR(INDEX($B735:$D735,BC$5)="F",AND(BC$6&gt;0,$A735&lt;BC$6),AND(BC$7&gt;0,$A735&gt;BC$7)),0,MAX(0,ROUND((INDEX($E735:$G735,BC$5)-SUMIFS(TF_Timer,TF_Tekniker,BC$4,TF_Dato,$A735))*2,0)/2)))</f>
        <v/>
      </c>
      <c r="BD735">
        <f>IF(OR(BD$4="",$A735&gt;TODAY()),0,IF(OR(INDEX($B735:$D735,BD$5)="F",AND(BD$6&gt;0,$A735&lt;BD$6),AND(BD$7&gt;0,$A735&gt;BD$7)),0,MAX(0,ROUND((INDEX($E735:$G735,BD$5)-SUMIFS(TF_Timer,TF_Tekniker,BD$4,TF_Dato,$A735))*2,0)/2)))</f>
        <v/>
      </c>
      <c r="BE735">
        <f>IF(OR(BE$4="",$A735&gt;TODAY()),0,IF(OR(INDEX($B735:$D735,BE$5)="F",AND(BE$6&gt;0,$A735&lt;BE$6),AND(BE$7&gt;0,$A735&gt;BE$7)),0,MAX(0,ROUND((INDEX($E735:$G735,BE$5)-SUMIFS(TF_Timer,TF_Tekniker,BE$4,TF_Dato,$A735))*2,0)/2)))</f>
        <v/>
      </c>
      <c r="BF735">
        <f>IF(OR(BF$4="",$A735&gt;TODAY()),0,IF(OR(INDEX($B735:$D735,BF$5)="F",AND(BF$6&gt;0,$A735&lt;BF$6),AND(BF$7&gt;0,$A735&gt;BF$7)),0,MAX(0,ROUND((INDEX($E735:$G735,BF$5)-SUMIFS(TF_Timer,TF_Tekniker,BF$4,TF_Dato,$A735))*2,0)/2)))</f>
        <v/>
      </c>
      <c r="BG735">
        <f>IF(OR(BG$4="",$A735&gt;TODAY()),0,IF(OR(INDEX($B735:$D735,BG$5)="F",AND(BG$6&gt;0,$A735&lt;BG$6),AND(BG$7&gt;0,$A735&gt;BG$7)),0,MAX(0,ROUND((INDEX($E735:$G735,BG$5)-SUMIFS(TF_Timer,TF_Tekniker,BG$4,TF_Dato,$A735))*2,0)/2)))</f>
        <v/>
      </c>
      <c r="BH735">
        <f>IF(OR(BH$4="",$A735&gt;TODAY()),0,IF(OR(INDEX($B735:$D735,BH$5)="F",AND(BH$6&gt;0,$A735&lt;BH$6),AND(BH$7&gt;0,$A735&gt;BH$7)),0,MAX(0,ROUND((INDEX($E735:$G735,BH$5)-SUMIFS(TF_Timer,TF_Tekniker,BH$4,TF_Dato,$A735))*2,0)/2)))</f>
        <v/>
      </c>
      <c r="BI735">
        <f>IF(OR(BI$4="",$A735&gt;TODAY()),0,IF(OR(INDEX($B735:$D735,BI$5)="F",AND(BI$6&gt;0,$A735&lt;BI$6),AND(BI$7&gt;0,$A735&gt;BI$7)),0,MAX(0,ROUND((INDEX($E735:$G735,BI$5)-SUMIFS(TF_Timer,TF_Tekniker,BI$4,TF_Dato,$A735))*2,0)/2)))</f>
        <v/>
      </c>
    </row>
    <row r="736">
      <c r="A736" s="64">
        <f>A735+1</f>
        <v/>
      </c>
      <c r="B736">
        <f>IF(MOD($A736-INDEX(SkiftStart,1),Syklus)&lt;DagK,"K",IF(MOD($A736-INDEX(SkiftStart,1),Syklus)&lt;DagK+DagH,"H",IF(MOD($A736-INDEX(SkiftStart,1),Syklus)&lt;DagK+DagH+DagD,"D","F")))</f>
        <v/>
      </c>
      <c r="C736">
        <f>IF(MOD($A736-INDEX(SkiftStart,2),Syklus)&lt;DagK,"K",IF(MOD($A736-INDEX(SkiftStart,2),Syklus)&lt;DagK+DagH,"H",IF(MOD($A736-INDEX(SkiftStart,2),Syklus)&lt;DagK+DagH+DagD,"D","F")))</f>
        <v/>
      </c>
      <c r="D736">
        <f>IF(MOD($A736-INDEX(SkiftStart,3),Syklus)&lt;DagK,"K",IF(MOD($A736-INDEX(SkiftStart,3),Syklus)&lt;DagK+DagH,"H",IF(MOD($A736-INDEX(SkiftStart,3),Syklus)&lt;DagK+DagH+DagD,"D","F")))</f>
        <v/>
      </c>
      <c r="E736">
        <f>IF(B736="F",0,IF(WEEKDAY($A736,2)=5,INDEX(TimerFr,MATCH(B736,FaseKode,0)),INDEX(TimerMT,MATCH(B736,FaseKode,0))))</f>
        <v/>
      </c>
      <c r="F736">
        <f>IF(C736="F",0,IF(WEEKDAY($A736,2)=5,INDEX(TimerFr,MATCH(C736,FaseKode,0)),INDEX(TimerMT,MATCH(C736,FaseKode,0))))</f>
        <v/>
      </c>
      <c r="G736">
        <f>IF(D736="F",0,IF(WEEKDAY($A736,2)=5,INDEX(TimerFr,MATCH(D736,FaseKode,0)),INDEX(TimerMT,MATCH(D736,FaseKode,0))))</f>
        <v/>
      </c>
      <c r="H736">
        <f>IF(OR(H$4="",$A736&gt;TODAY()),0,IF(OR(INDEX($B736:$D736,H$5)="F",AND(H$6&gt;0,$A736&lt;H$6),AND(H$7&gt;0,$A736&gt;H$7)),0,MAX(0,ROUND((INDEX($E736:$G736,H$5)-SUMIFS(TF_Timer,TF_Tekniker,H$4,TF_Dato,$A736))*2,0)/2)))</f>
        <v/>
      </c>
      <c r="I736">
        <f>IF(OR(I$4="",$A736&gt;TODAY()),0,IF(OR(INDEX($B736:$D736,I$5)="F",AND(I$6&gt;0,$A736&lt;I$6),AND(I$7&gt;0,$A736&gt;I$7)),0,MAX(0,ROUND((INDEX($E736:$G736,I$5)-SUMIFS(TF_Timer,TF_Tekniker,I$4,TF_Dato,$A736))*2,0)/2)))</f>
        <v/>
      </c>
      <c r="J736">
        <f>IF(OR(J$4="",$A736&gt;TODAY()),0,IF(OR(INDEX($B736:$D736,J$5)="F",AND(J$6&gt;0,$A736&lt;J$6),AND(J$7&gt;0,$A736&gt;J$7)),0,MAX(0,ROUND((INDEX($E736:$G736,J$5)-SUMIFS(TF_Timer,TF_Tekniker,J$4,TF_Dato,$A736))*2,0)/2)))</f>
        <v/>
      </c>
      <c r="K736">
        <f>IF(OR(K$4="",$A736&gt;TODAY()),0,IF(OR(INDEX($B736:$D736,K$5)="F",AND(K$6&gt;0,$A736&lt;K$6),AND(K$7&gt;0,$A736&gt;K$7)),0,MAX(0,ROUND((INDEX($E736:$G736,K$5)-SUMIFS(TF_Timer,TF_Tekniker,K$4,TF_Dato,$A736))*2,0)/2)))</f>
        <v/>
      </c>
      <c r="L736">
        <f>IF(OR(L$4="",$A736&gt;TODAY()),0,IF(OR(INDEX($B736:$D736,L$5)="F",AND(L$6&gt;0,$A736&lt;L$6),AND(L$7&gt;0,$A736&gt;L$7)),0,MAX(0,ROUND((INDEX($E736:$G736,L$5)-SUMIFS(TF_Timer,TF_Tekniker,L$4,TF_Dato,$A736))*2,0)/2)))</f>
        <v/>
      </c>
      <c r="M736">
        <f>IF(OR(M$4="",$A736&gt;TODAY()),0,IF(OR(INDEX($B736:$D736,M$5)="F",AND(M$6&gt;0,$A736&lt;M$6),AND(M$7&gt;0,$A736&gt;M$7)),0,MAX(0,ROUND((INDEX($E736:$G736,M$5)-SUMIFS(TF_Timer,TF_Tekniker,M$4,TF_Dato,$A736))*2,0)/2)))</f>
        <v/>
      </c>
      <c r="N736">
        <f>IF(OR(N$4="",$A736&gt;TODAY()),0,IF(OR(INDEX($B736:$D736,N$5)="F",AND(N$6&gt;0,$A736&lt;N$6),AND(N$7&gt;0,$A736&gt;N$7)),0,MAX(0,ROUND((INDEX($E736:$G736,N$5)-SUMIFS(TF_Timer,TF_Tekniker,N$4,TF_Dato,$A736))*2,0)/2)))</f>
        <v/>
      </c>
      <c r="O736">
        <f>IF(OR(O$4="",$A736&gt;TODAY()),0,IF(OR(INDEX($B736:$D736,O$5)="F",AND(O$6&gt;0,$A736&lt;O$6),AND(O$7&gt;0,$A736&gt;O$7)),0,MAX(0,ROUND((INDEX($E736:$G736,O$5)-SUMIFS(TF_Timer,TF_Tekniker,O$4,TF_Dato,$A736))*2,0)/2)))</f>
        <v/>
      </c>
      <c r="P736">
        <f>IF(OR(P$4="",$A736&gt;TODAY()),0,IF(OR(INDEX($B736:$D736,P$5)="F",AND(P$6&gt;0,$A736&lt;P$6),AND(P$7&gt;0,$A736&gt;P$7)),0,MAX(0,ROUND((INDEX($E736:$G736,P$5)-SUMIFS(TF_Timer,TF_Tekniker,P$4,TF_Dato,$A736))*2,0)/2)))</f>
        <v/>
      </c>
      <c r="Q736">
        <f>IF(OR(Q$4="",$A736&gt;TODAY()),0,IF(OR(INDEX($B736:$D736,Q$5)="F",AND(Q$6&gt;0,$A736&lt;Q$6),AND(Q$7&gt;0,$A736&gt;Q$7)),0,MAX(0,ROUND((INDEX($E736:$G736,Q$5)-SUMIFS(TF_Timer,TF_Tekniker,Q$4,TF_Dato,$A736))*2,0)/2)))</f>
        <v/>
      </c>
      <c r="R736">
        <f>IF(OR(R$4="",$A736&gt;TODAY()),0,IF(OR(INDEX($B736:$D736,R$5)="F",AND(R$6&gt;0,$A736&lt;R$6),AND(R$7&gt;0,$A736&gt;R$7)),0,MAX(0,ROUND((INDEX($E736:$G736,R$5)-SUMIFS(TF_Timer,TF_Tekniker,R$4,TF_Dato,$A736))*2,0)/2)))</f>
        <v/>
      </c>
      <c r="S736">
        <f>IF(OR(S$4="",$A736&gt;TODAY()),0,IF(OR(INDEX($B736:$D736,S$5)="F",AND(S$6&gt;0,$A736&lt;S$6),AND(S$7&gt;0,$A736&gt;S$7)),0,MAX(0,ROUND((INDEX($E736:$G736,S$5)-SUMIFS(TF_Timer,TF_Tekniker,S$4,TF_Dato,$A736))*2,0)/2)))</f>
        <v/>
      </c>
      <c r="T736">
        <f>IF(OR(T$4="",$A736&gt;TODAY()),0,IF(OR(INDEX($B736:$D736,T$5)="F",AND(T$6&gt;0,$A736&lt;T$6),AND(T$7&gt;0,$A736&gt;T$7)),0,MAX(0,ROUND((INDEX($E736:$G736,T$5)-SUMIFS(TF_Timer,TF_Tekniker,T$4,TF_Dato,$A736))*2,0)/2)))</f>
        <v/>
      </c>
      <c r="U736">
        <f>IF(OR(U$4="",$A736&gt;TODAY()),0,IF(OR(INDEX($B736:$D736,U$5)="F",AND(U$6&gt;0,$A736&lt;U$6),AND(U$7&gt;0,$A736&gt;U$7)),0,MAX(0,ROUND((INDEX($E736:$G736,U$5)-SUMIFS(TF_Timer,TF_Tekniker,U$4,TF_Dato,$A736))*2,0)/2)))</f>
        <v/>
      </c>
      <c r="V736">
        <f>IF(OR(V$4="",$A736&gt;TODAY()),0,IF(OR(INDEX($B736:$D736,V$5)="F",AND(V$6&gt;0,$A736&lt;V$6),AND(V$7&gt;0,$A736&gt;V$7)),0,MAX(0,ROUND((INDEX($E736:$G736,V$5)-SUMIFS(TF_Timer,TF_Tekniker,V$4,TF_Dato,$A736))*2,0)/2)))</f>
        <v/>
      </c>
      <c r="W736">
        <f>IF(OR(W$4="",$A736&gt;TODAY()),0,IF(OR(INDEX($B736:$D736,W$5)="F",AND(W$6&gt;0,$A736&lt;W$6),AND(W$7&gt;0,$A736&gt;W$7)),0,MAX(0,ROUND((INDEX($E736:$G736,W$5)-SUMIFS(TF_Timer,TF_Tekniker,W$4,TF_Dato,$A736))*2,0)/2)))</f>
        <v/>
      </c>
      <c r="X736">
        <f>IF(OR(X$4="",$A736&gt;TODAY()),0,IF(OR(INDEX($B736:$D736,X$5)="F",AND(X$6&gt;0,$A736&lt;X$6),AND(X$7&gt;0,$A736&gt;X$7)),0,MAX(0,ROUND((INDEX($E736:$G736,X$5)-SUMIFS(TF_Timer,TF_Tekniker,X$4,TF_Dato,$A736))*2,0)/2)))</f>
        <v/>
      </c>
      <c r="Y736">
        <f>IF(OR(Y$4="",$A736&gt;TODAY()),0,IF(OR(INDEX($B736:$D736,Y$5)="F",AND(Y$6&gt;0,$A736&lt;Y$6),AND(Y$7&gt;0,$A736&gt;Y$7)),0,MAX(0,ROUND((INDEX($E736:$G736,Y$5)-SUMIFS(TF_Timer,TF_Tekniker,Y$4,TF_Dato,$A736))*2,0)/2)))</f>
        <v/>
      </c>
      <c r="Z736">
        <f>IF(OR(Z$4="",$A736&gt;TODAY()),0,IF(OR(INDEX($B736:$D736,Z$5)="F",AND(Z$6&gt;0,$A736&lt;Z$6),AND(Z$7&gt;0,$A736&gt;Z$7)),0,MAX(0,ROUND((INDEX($E736:$G736,Z$5)-SUMIFS(TF_Timer,TF_Tekniker,Z$4,TF_Dato,$A736))*2,0)/2)))</f>
        <v/>
      </c>
      <c r="AA736">
        <f>IF(OR(AA$4="",$A736&gt;TODAY()),0,IF(OR(INDEX($B736:$D736,AA$5)="F",AND(AA$6&gt;0,$A736&lt;AA$6),AND(AA$7&gt;0,$A736&gt;AA$7)),0,MAX(0,ROUND((INDEX($E736:$G736,AA$5)-SUMIFS(TF_Timer,TF_Tekniker,AA$4,TF_Dato,$A736))*2,0)/2)))</f>
        <v/>
      </c>
      <c r="AB736">
        <f>IF(OR(AB$4="",$A736&gt;TODAY()),0,IF(OR(INDEX($B736:$D736,AB$5)="F",AND(AB$6&gt;0,$A736&lt;AB$6),AND(AB$7&gt;0,$A736&gt;AB$7)),0,MAX(0,ROUND((INDEX($E736:$G736,AB$5)-SUMIFS(TF_Timer,TF_Tekniker,AB$4,TF_Dato,$A736))*2,0)/2)))</f>
        <v/>
      </c>
      <c r="AC736">
        <f>IF(OR(AC$4="",$A736&gt;TODAY()),0,IF(OR(INDEX($B736:$D736,AC$5)="F",AND(AC$6&gt;0,$A736&lt;AC$6),AND(AC$7&gt;0,$A736&gt;AC$7)),0,MAX(0,ROUND((INDEX($E736:$G736,AC$5)-SUMIFS(TF_Timer,TF_Tekniker,AC$4,TF_Dato,$A736))*2,0)/2)))</f>
        <v/>
      </c>
      <c r="AD736">
        <f>IF(OR(AD$4="",$A736&gt;TODAY()),0,IF(OR(INDEX($B736:$D736,AD$5)="F",AND(AD$6&gt;0,$A736&lt;AD$6),AND(AD$7&gt;0,$A736&gt;AD$7)),0,MAX(0,ROUND((INDEX($E736:$G736,AD$5)-SUMIFS(TF_Timer,TF_Tekniker,AD$4,TF_Dato,$A736))*2,0)/2)))</f>
        <v/>
      </c>
      <c r="AE736">
        <f>IF(OR(AE$4="",$A736&gt;TODAY()),0,IF(OR(INDEX($B736:$D736,AE$5)="F",AND(AE$6&gt;0,$A736&lt;AE$6),AND(AE$7&gt;0,$A736&gt;AE$7)),0,MAX(0,ROUND((INDEX($E736:$G736,AE$5)-SUMIFS(TF_Timer,TF_Tekniker,AE$4,TF_Dato,$A736))*2,0)/2)))</f>
        <v/>
      </c>
      <c r="AF736">
        <f>IF(OR(AF$4="",$A736&gt;TODAY()),0,IF(OR(INDEX($B736:$D736,AF$5)="F",AND(AF$6&gt;0,$A736&lt;AF$6),AND(AF$7&gt;0,$A736&gt;AF$7)),0,MAX(0,ROUND((INDEX($E736:$G736,AF$5)-SUMIFS(TF_Timer,TF_Tekniker,AF$4,TF_Dato,$A736))*2,0)/2)))</f>
        <v/>
      </c>
      <c r="AG736">
        <f>IF(OR(AG$4="",$A736&gt;TODAY()),0,IF(OR(INDEX($B736:$D736,AG$5)="F",AND(AG$6&gt;0,$A736&lt;AG$6),AND(AG$7&gt;0,$A736&gt;AG$7)),0,MAX(0,ROUND((INDEX($E736:$G736,AG$5)-SUMIFS(TF_Timer,TF_Tekniker,AG$4,TF_Dato,$A736))*2,0)/2)))</f>
        <v/>
      </c>
      <c r="AH736">
        <f>IF(OR(AH$4="",$A736&gt;TODAY()),0,IF(OR(INDEX($B736:$D736,AH$5)="F",AND(AH$6&gt;0,$A736&lt;AH$6),AND(AH$7&gt;0,$A736&gt;AH$7)),0,MAX(0,ROUND((INDEX($E736:$G736,AH$5)-SUMIFS(TF_Timer,TF_Tekniker,AH$4,TF_Dato,$A736))*2,0)/2)))</f>
        <v/>
      </c>
      <c r="AI736">
        <f>IF(OR(AI$4="",$A736&gt;TODAY()),0,IF(OR(INDEX($B736:$D736,AI$5)="F",AND(AI$6&gt;0,$A736&lt;AI$6),AND(AI$7&gt;0,$A736&gt;AI$7)),0,MAX(0,ROUND((INDEX($E736:$G736,AI$5)-SUMIFS(TF_Timer,TF_Tekniker,AI$4,TF_Dato,$A736))*2,0)/2)))</f>
        <v/>
      </c>
      <c r="AJ736">
        <f>IF(OR(AJ$4="",$A736&gt;TODAY()),0,IF(OR(INDEX($B736:$D736,AJ$5)="F",AND(AJ$6&gt;0,$A736&lt;AJ$6),AND(AJ$7&gt;0,$A736&gt;AJ$7)),0,MAX(0,ROUND((INDEX($E736:$G736,AJ$5)-SUMIFS(TF_Timer,TF_Tekniker,AJ$4,TF_Dato,$A736))*2,0)/2)))</f>
        <v/>
      </c>
      <c r="AK736">
        <f>IF(OR(AK$4="",$A736&gt;TODAY()),0,IF(OR(INDEX($B736:$D736,AK$5)="F",AND(AK$6&gt;0,$A736&lt;AK$6),AND(AK$7&gt;0,$A736&gt;AK$7)),0,MAX(0,ROUND((INDEX($E736:$G736,AK$5)-SUMIFS(TF_Timer,TF_Tekniker,AK$4,TF_Dato,$A736))*2,0)/2)))</f>
        <v/>
      </c>
      <c r="AL736">
        <f>IF(OR(AL$4="",$A736&gt;TODAY()),0,IF(OR(INDEX($B736:$D736,AL$5)="F",AND(AL$6&gt;0,$A736&lt;AL$6),AND(AL$7&gt;0,$A736&gt;AL$7)),0,MAX(0,ROUND((INDEX($E736:$G736,AL$5)-SUMIFS(TF_Timer,TF_Tekniker,AL$4,TF_Dato,$A736))*2,0)/2)))</f>
        <v/>
      </c>
      <c r="AM736">
        <f>IF(OR(AM$4="",$A736&gt;TODAY()),0,IF(OR(INDEX($B736:$D736,AM$5)="F",AND(AM$6&gt;0,$A736&lt;AM$6),AND(AM$7&gt;0,$A736&gt;AM$7)),0,MAX(0,ROUND((INDEX($E736:$G736,AM$5)-SUMIFS(TF_Timer,TF_Tekniker,AM$4,TF_Dato,$A736))*2,0)/2)))</f>
        <v/>
      </c>
      <c r="AN736">
        <f>IF(OR(AN$4="",$A736&gt;TODAY()),0,IF(OR(INDEX($B736:$D736,AN$5)="F",AND(AN$6&gt;0,$A736&lt;AN$6),AND(AN$7&gt;0,$A736&gt;AN$7)),0,MAX(0,ROUND((INDEX($E736:$G736,AN$5)-SUMIFS(TF_Timer,TF_Tekniker,AN$4,TF_Dato,$A736))*2,0)/2)))</f>
        <v/>
      </c>
      <c r="AO736">
        <f>IF(OR(AO$4="",$A736&gt;TODAY()),0,IF(OR(INDEX($B736:$D736,AO$5)="F",AND(AO$6&gt;0,$A736&lt;AO$6),AND(AO$7&gt;0,$A736&gt;AO$7)),0,MAX(0,ROUND((INDEX($E736:$G736,AO$5)-SUMIFS(TF_Timer,TF_Tekniker,AO$4,TF_Dato,$A736))*2,0)/2)))</f>
        <v/>
      </c>
      <c r="AP736">
        <f>IF(OR(AP$4="",$A736&gt;TODAY()),0,IF(OR(INDEX($B736:$D736,AP$5)="F",AND(AP$6&gt;0,$A736&lt;AP$6),AND(AP$7&gt;0,$A736&gt;AP$7)),0,MAX(0,ROUND((INDEX($E736:$G736,AP$5)-SUMIFS(TF_Timer,TF_Tekniker,AP$4,TF_Dato,$A736))*2,0)/2)))</f>
        <v/>
      </c>
      <c r="AQ736">
        <f>IF(OR(AQ$4="",$A736&gt;TODAY()),0,IF(OR(INDEX($B736:$D736,AQ$5)="F",AND(AQ$6&gt;0,$A736&lt;AQ$6),AND(AQ$7&gt;0,$A736&gt;AQ$7)),0,MAX(0,ROUND((INDEX($E736:$G736,AQ$5)-SUMIFS(TF_Timer,TF_Tekniker,AQ$4,TF_Dato,$A736))*2,0)/2)))</f>
        <v/>
      </c>
      <c r="AR736">
        <f>IF(OR(AR$4="",$A736&gt;TODAY()),0,IF(OR(INDEX($B736:$D736,AR$5)="F",AND(AR$6&gt;0,$A736&lt;AR$6),AND(AR$7&gt;0,$A736&gt;AR$7)),0,MAX(0,ROUND((INDEX($E736:$G736,AR$5)-SUMIFS(TF_Timer,TF_Tekniker,AR$4,TF_Dato,$A736))*2,0)/2)))</f>
        <v/>
      </c>
      <c r="AS736">
        <f>IF(OR(AS$4="",$A736&gt;TODAY()),0,IF(OR(INDEX($B736:$D736,AS$5)="F",AND(AS$6&gt;0,$A736&lt;AS$6),AND(AS$7&gt;0,$A736&gt;AS$7)),0,MAX(0,ROUND((INDEX($E736:$G736,AS$5)-SUMIFS(TF_Timer,TF_Tekniker,AS$4,TF_Dato,$A736))*2,0)/2)))</f>
        <v/>
      </c>
      <c r="AT736">
        <f>IF(OR(AT$4="",$A736&gt;TODAY()),0,IF(OR(INDEX($B736:$D736,AT$5)="F",AND(AT$6&gt;0,$A736&lt;AT$6),AND(AT$7&gt;0,$A736&gt;AT$7)),0,MAX(0,ROUND((INDEX($E736:$G736,AT$5)-SUMIFS(TF_Timer,TF_Tekniker,AT$4,TF_Dato,$A736))*2,0)/2)))</f>
        <v/>
      </c>
      <c r="AU736">
        <f>IF(OR(AU$4="",$A736&gt;TODAY()),0,IF(OR(INDEX($B736:$D736,AU$5)="F",AND(AU$6&gt;0,$A736&lt;AU$6),AND(AU$7&gt;0,$A736&gt;AU$7)),0,MAX(0,ROUND((INDEX($E736:$G736,AU$5)-SUMIFS(TF_Timer,TF_Tekniker,AU$4,TF_Dato,$A736))*2,0)/2)))</f>
        <v/>
      </c>
      <c r="AV736">
        <f>IF(OR(AV$4="",$A736&gt;TODAY()),0,IF(OR(INDEX($B736:$D736,AV$5)="F",AND(AV$6&gt;0,$A736&lt;AV$6),AND(AV$7&gt;0,$A736&gt;AV$7)),0,MAX(0,ROUND((INDEX($E736:$G736,AV$5)-SUMIFS(TF_Timer,TF_Tekniker,AV$4,TF_Dato,$A736))*2,0)/2)))</f>
        <v/>
      </c>
      <c r="AW736">
        <f>IF(OR(AW$4="",$A736&gt;TODAY()),0,IF(OR(INDEX($B736:$D736,AW$5)="F",AND(AW$6&gt;0,$A736&lt;AW$6),AND(AW$7&gt;0,$A736&gt;AW$7)),0,MAX(0,ROUND((INDEX($E736:$G736,AW$5)-SUMIFS(TF_Timer,TF_Tekniker,AW$4,TF_Dato,$A736))*2,0)/2)))</f>
        <v/>
      </c>
      <c r="AX736">
        <f>IF(OR(AX$4="",$A736&gt;TODAY()),0,IF(OR(INDEX($B736:$D736,AX$5)="F",AND(AX$6&gt;0,$A736&lt;AX$6),AND(AX$7&gt;0,$A736&gt;AX$7)),0,MAX(0,ROUND((INDEX($E736:$G736,AX$5)-SUMIFS(TF_Timer,TF_Tekniker,AX$4,TF_Dato,$A736))*2,0)/2)))</f>
        <v/>
      </c>
      <c r="AY736">
        <f>IF(OR(AY$4="",$A736&gt;TODAY()),0,IF(OR(INDEX($B736:$D736,AY$5)="F",AND(AY$6&gt;0,$A736&lt;AY$6),AND(AY$7&gt;0,$A736&gt;AY$7)),0,MAX(0,ROUND((INDEX($E736:$G736,AY$5)-SUMIFS(TF_Timer,TF_Tekniker,AY$4,TF_Dato,$A736))*2,0)/2)))</f>
        <v/>
      </c>
      <c r="AZ736">
        <f>IF(OR(AZ$4="",$A736&gt;TODAY()),0,IF(OR(INDEX($B736:$D736,AZ$5)="F",AND(AZ$6&gt;0,$A736&lt;AZ$6),AND(AZ$7&gt;0,$A736&gt;AZ$7)),0,MAX(0,ROUND((INDEX($E736:$G736,AZ$5)-SUMIFS(TF_Timer,TF_Tekniker,AZ$4,TF_Dato,$A736))*2,0)/2)))</f>
        <v/>
      </c>
      <c r="BA736">
        <f>IF(OR(BA$4="",$A736&gt;TODAY()),0,IF(OR(INDEX($B736:$D736,BA$5)="F",AND(BA$6&gt;0,$A736&lt;BA$6),AND(BA$7&gt;0,$A736&gt;BA$7)),0,MAX(0,ROUND((INDEX($E736:$G736,BA$5)-SUMIFS(TF_Timer,TF_Tekniker,BA$4,TF_Dato,$A736))*2,0)/2)))</f>
        <v/>
      </c>
      <c r="BB736">
        <f>IF(OR(BB$4="",$A736&gt;TODAY()),0,IF(OR(INDEX($B736:$D736,BB$5)="F",AND(BB$6&gt;0,$A736&lt;BB$6),AND(BB$7&gt;0,$A736&gt;BB$7)),0,MAX(0,ROUND((INDEX($E736:$G736,BB$5)-SUMIFS(TF_Timer,TF_Tekniker,BB$4,TF_Dato,$A736))*2,0)/2)))</f>
        <v/>
      </c>
      <c r="BC736">
        <f>IF(OR(BC$4="",$A736&gt;TODAY()),0,IF(OR(INDEX($B736:$D736,BC$5)="F",AND(BC$6&gt;0,$A736&lt;BC$6),AND(BC$7&gt;0,$A736&gt;BC$7)),0,MAX(0,ROUND((INDEX($E736:$G736,BC$5)-SUMIFS(TF_Timer,TF_Tekniker,BC$4,TF_Dato,$A736))*2,0)/2)))</f>
        <v/>
      </c>
      <c r="BD736">
        <f>IF(OR(BD$4="",$A736&gt;TODAY()),0,IF(OR(INDEX($B736:$D736,BD$5)="F",AND(BD$6&gt;0,$A736&lt;BD$6),AND(BD$7&gt;0,$A736&gt;BD$7)),0,MAX(0,ROUND((INDEX($E736:$G736,BD$5)-SUMIFS(TF_Timer,TF_Tekniker,BD$4,TF_Dato,$A736))*2,0)/2)))</f>
        <v/>
      </c>
      <c r="BE736">
        <f>IF(OR(BE$4="",$A736&gt;TODAY()),0,IF(OR(INDEX($B736:$D736,BE$5)="F",AND(BE$6&gt;0,$A736&lt;BE$6),AND(BE$7&gt;0,$A736&gt;BE$7)),0,MAX(0,ROUND((INDEX($E736:$G736,BE$5)-SUMIFS(TF_Timer,TF_Tekniker,BE$4,TF_Dato,$A736))*2,0)/2)))</f>
        <v/>
      </c>
      <c r="BF736">
        <f>IF(OR(BF$4="",$A736&gt;TODAY()),0,IF(OR(INDEX($B736:$D736,BF$5)="F",AND(BF$6&gt;0,$A736&lt;BF$6),AND(BF$7&gt;0,$A736&gt;BF$7)),0,MAX(0,ROUND((INDEX($E736:$G736,BF$5)-SUMIFS(TF_Timer,TF_Tekniker,BF$4,TF_Dato,$A736))*2,0)/2)))</f>
        <v/>
      </c>
      <c r="BG736">
        <f>IF(OR(BG$4="",$A736&gt;TODAY()),0,IF(OR(INDEX($B736:$D736,BG$5)="F",AND(BG$6&gt;0,$A736&lt;BG$6),AND(BG$7&gt;0,$A736&gt;BG$7)),0,MAX(0,ROUND((INDEX($E736:$G736,BG$5)-SUMIFS(TF_Timer,TF_Tekniker,BG$4,TF_Dato,$A736))*2,0)/2)))</f>
        <v/>
      </c>
      <c r="BH736">
        <f>IF(OR(BH$4="",$A736&gt;TODAY()),0,IF(OR(INDEX($B736:$D736,BH$5)="F",AND(BH$6&gt;0,$A736&lt;BH$6),AND(BH$7&gt;0,$A736&gt;BH$7)),0,MAX(0,ROUND((INDEX($E736:$G736,BH$5)-SUMIFS(TF_Timer,TF_Tekniker,BH$4,TF_Dato,$A736))*2,0)/2)))</f>
        <v/>
      </c>
      <c r="BI736">
        <f>IF(OR(BI$4="",$A736&gt;TODAY()),0,IF(OR(INDEX($B736:$D736,BI$5)="F",AND(BI$6&gt;0,$A736&lt;BI$6),AND(BI$7&gt;0,$A736&gt;BI$7)),0,MAX(0,ROUND((INDEX($E736:$G736,BI$5)-SUMIFS(TF_Timer,TF_Tekniker,BI$4,TF_Dato,$A736))*2,0)/2)))</f>
        <v/>
      </c>
    </row>
    <row r="737">
      <c r="A737" s="64">
        <f>A736+1</f>
        <v/>
      </c>
      <c r="B737">
        <f>IF(MOD($A737-INDEX(SkiftStart,1),Syklus)&lt;DagK,"K",IF(MOD($A737-INDEX(SkiftStart,1),Syklus)&lt;DagK+DagH,"H",IF(MOD($A737-INDEX(SkiftStart,1),Syklus)&lt;DagK+DagH+DagD,"D","F")))</f>
        <v/>
      </c>
      <c r="C737">
        <f>IF(MOD($A737-INDEX(SkiftStart,2),Syklus)&lt;DagK,"K",IF(MOD($A737-INDEX(SkiftStart,2),Syklus)&lt;DagK+DagH,"H",IF(MOD($A737-INDEX(SkiftStart,2),Syklus)&lt;DagK+DagH+DagD,"D","F")))</f>
        <v/>
      </c>
      <c r="D737">
        <f>IF(MOD($A737-INDEX(SkiftStart,3),Syklus)&lt;DagK,"K",IF(MOD($A737-INDEX(SkiftStart,3),Syklus)&lt;DagK+DagH,"H",IF(MOD($A737-INDEX(SkiftStart,3),Syklus)&lt;DagK+DagH+DagD,"D","F")))</f>
        <v/>
      </c>
      <c r="E737">
        <f>IF(B737="F",0,IF(WEEKDAY($A737,2)=5,INDEX(TimerFr,MATCH(B737,FaseKode,0)),INDEX(TimerMT,MATCH(B737,FaseKode,0))))</f>
        <v/>
      </c>
      <c r="F737">
        <f>IF(C737="F",0,IF(WEEKDAY($A737,2)=5,INDEX(TimerFr,MATCH(C737,FaseKode,0)),INDEX(TimerMT,MATCH(C737,FaseKode,0))))</f>
        <v/>
      </c>
      <c r="G737">
        <f>IF(D737="F",0,IF(WEEKDAY($A737,2)=5,INDEX(TimerFr,MATCH(D737,FaseKode,0)),INDEX(TimerMT,MATCH(D737,FaseKode,0))))</f>
        <v/>
      </c>
      <c r="H737">
        <f>IF(OR(H$4="",$A737&gt;TODAY()),0,IF(OR(INDEX($B737:$D737,H$5)="F",AND(H$6&gt;0,$A737&lt;H$6),AND(H$7&gt;0,$A737&gt;H$7)),0,MAX(0,ROUND((INDEX($E737:$G737,H$5)-SUMIFS(TF_Timer,TF_Tekniker,H$4,TF_Dato,$A737))*2,0)/2)))</f>
        <v/>
      </c>
      <c r="I737">
        <f>IF(OR(I$4="",$A737&gt;TODAY()),0,IF(OR(INDEX($B737:$D737,I$5)="F",AND(I$6&gt;0,$A737&lt;I$6),AND(I$7&gt;0,$A737&gt;I$7)),0,MAX(0,ROUND((INDEX($E737:$G737,I$5)-SUMIFS(TF_Timer,TF_Tekniker,I$4,TF_Dato,$A737))*2,0)/2)))</f>
        <v/>
      </c>
      <c r="J737">
        <f>IF(OR(J$4="",$A737&gt;TODAY()),0,IF(OR(INDEX($B737:$D737,J$5)="F",AND(J$6&gt;0,$A737&lt;J$6),AND(J$7&gt;0,$A737&gt;J$7)),0,MAX(0,ROUND((INDEX($E737:$G737,J$5)-SUMIFS(TF_Timer,TF_Tekniker,J$4,TF_Dato,$A737))*2,0)/2)))</f>
        <v/>
      </c>
      <c r="K737">
        <f>IF(OR(K$4="",$A737&gt;TODAY()),0,IF(OR(INDEX($B737:$D737,K$5)="F",AND(K$6&gt;0,$A737&lt;K$6),AND(K$7&gt;0,$A737&gt;K$7)),0,MAX(0,ROUND((INDEX($E737:$G737,K$5)-SUMIFS(TF_Timer,TF_Tekniker,K$4,TF_Dato,$A737))*2,0)/2)))</f>
        <v/>
      </c>
      <c r="L737">
        <f>IF(OR(L$4="",$A737&gt;TODAY()),0,IF(OR(INDEX($B737:$D737,L$5)="F",AND(L$6&gt;0,$A737&lt;L$6),AND(L$7&gt;0,$A737&gt;L$7)),0,MAX(0,ROUND((INDEX($E737:$G737,L$5)-SUMIFS(TF_Timer,TF_Tekniker,L$4,TF_Dato,$A737))*2,0)/2)))</f>
        <v/>
      </c>
      <c r="M737">
        <f>IF(OR(M$4="",$A737&gt;TODAY()),0,IF(OR(INDEX($B737:$D737,M$5)="F",AND(M$6&gt;0,$A737&lt;M$6),AND(M$7&gt;0,$A737&gt;M$7)),0,MAX(0,ROUND((INDEX($E737:$G737,M$5)-SUMIFS(TF_Timer,TF_Tekniker,M$4,TF_Dato,$A737))*2,0)/2)))</f>
        <v/>
      </c>
      <c r="N737">
        <f>IF(OR(N$4="",$A737&gt;TODAY()),0,IF(OR(INDEX($B737:$D737,N$5)="F",AND(N$6&gt;0,$A737&lt;N$6),AND(N$7&gt;0,$A737&gt;N$7)),0,MAX(0,ROUND((INDEX($E737:$G737,N$5)-SUMIFS(TF_Timer,TF_Tekniker,N$4,TF_Dato,$A737))*2,0)/2)))</f>
        <v/>
      </c>
      <c r="O737">
        <f>IF(OR(O$4="",$A737&gt;TODAY()),0,IF(OR(INDEX($B737:$D737,O$5)="F",AND(O$6&gt;0,$A737&lt;O$6),AND(O$7&gt;0,$A737&gt;O$7)),0,MAX(0,ROUND((INDEX($E737:$G737,O$5)-SUMIFS(TF_Timer,TF_Tekniker,O$4,TF_Dato,$A737))*2,0)/2)))</f>
        <v/>
      </c>
      <c r="P737">
        <f>IF(OR(P$4="",$A737&gt;TODAY()),0,IF(OR(INDEX($B737:$D737,P$5)="F",AND(P$6&gt;0,$A737&lt;P$6),AND(P$7&gt;0,$A737&gt;P$7)),0,MAX(0,ROUND((INDEX($E737:$G737,P$5)-SUMIFS(TF_Timer,TF_Tekniker,P$4,TF_Dato,$A737))*2,0)/2)))</f>
        <v/>
      </c>
      <c r="Q737">
        <f>IF(OR(Q$4="",$A737&gt;TODAY()),0,IF(OR(INDEX($B737:$D737,Q$5)="F",AND(Q$6&gt;0,$A737&lt;Q$6),AND(Q$7&gt;0,$A737&gt;Q$7)),0,MAX(0,ROUND((INDEX($E737:$G737,Q$5)-SUMIFS(TF_Timer,TF_Tekniker,Q$4,TF_Dato,$A737))*2,0)/2)))</f>
        <v/>
      </c>
      <c r="R737">
        <f>IF(OR(R$4="",$A737&gt;TODAY()),0,IF(OR(INDEX($B737:$D737,R$5)="F",AND(R$6&gt;0,$A737&lt;R$6),AND(R$7&gt;0,$A737&gt;R$7)),0,MAX(0,ROUND((INDEX($E737:$G737,R$5)-SUMIFS(TF_Timer,TF_Tekniker,R$4,TF_Dato,$A737))*2,0)/2)))</f>
        <v/>
      </c>
      <c r="S737">
        <f>IF(OR(S$4="",$A737&gt;TODAY()),0,IF(OR(INDEX($B737:$D737,S$5)="F",AND(S$6&gt;0,$A737&lt;S$6),AND(S$7&gt;0,$A737&gt;S$7)),0,MAX(0,ROUND((INDEX($E737:$G737,S$5)-SUMIFS(TF_Timer,TF_Tekniker,S$4,TF_Dato,$A737))*2,0)/2)))</f>
        <v/>
      </c>
      <c r="T737">
        <f>IF(OR(T$4="",$A737&gt;TODAY()),0,IF(OR(INDEX($B737:$D737,T$5)="F",AND(T$6&gt;0,$A737&lt;T$6),AND(T$7&gt;0,$A737&gt;T$7)),0,MAX(0,ROUND((INDEX($E737:$G737,T$5)-SUMIFS(TF_Timer,TF_Tekniker,T$4,TF_Dato,$A737))*2,0)/2)))</f>
        <v/>
      </c>
      <c r="U737">
        <f>IF(OR(U$4="",$A737&gt;TODAY()),0,IF(OR(INDEX($B737:$D737,U$5)="F",AND(U$6&gt;0,$A737&lt;U$6),AND(U$7&gt;0,$A737&gt;U$7)),0,MAX(0,ROUND((INDEX($E737:$G737,U$5)-SUMIFS(TF_Timer,TF_Tekniker,U$4,TF_Dato,$A737))*2,0)/2)))</f>
        <v/>
      </c>
      <c r="V737">
        <f>IF(OR(V$4="",$A737&gt;TODAY()),0,IF(OR(INDEX($B737:$D737,V$5)="F",AND(V$6&gt;0,$A737&lt;V$6),AND(V$7&gt;0,$A737&gt;V$7)),0,MAX(0,ROUND((INDEX($E737:$G737,V$5)-SUMIFS(TF_Timer,TF_Tekniker,V$4,TF_Dato,$A737))*2,0)/2)))</f>
        <v/>
      </c>
      <c r="W737">
        <f>IF(OR(W$4="",$A737&gt;TODAY()),0,IF(OR(INDEX($B737:$D737,W$5)="F",AND(W$6&gt;0,$A737&lt;W$6),AND(W$7&gt;0,$A737&gt;W$7)),0,MAX(0,ROUND((INDEX($E737:$G737,W$5)-SUMIFS(TF_Timer,TF_Tekniker,W$4,TF_Dato,$A737))*2,0)/2)))</f>
        <v/>
      </c>
      <c r="X737">
        <f>IF(OR(X$4="",$A737&gt;TODAY()),0,IF(OR(INDEX($B737:$D737,X$5)="F",AND(X$6&gt;0,$A737&lt;X$6),AND(X$7&gt;0,$A737&gt;X$7)),0,MAX(0,ROUND((INDEX($E737:$G737,X$5)-SUMIFS(TF_Timer,TF_Tekniker,X$4,TF_Dato,$A737))*2,0)/2)))</f>
        <v/>
      </c>
      <c r="Y737">
        <f>IF(OR(Y$4="",$A737&gt;TODAY()),0,IF(OR(INDEX($B737:$D737,Y$5)="F",AND(Y$6&gt;0,$A737&lt;Y$6),AND(Y$7&gt;0,$A737&gt;Y$7)),0,MAX(0,ROUND((INDEX($E737:$G737,Y$5)-SUMIFS(TF_Timer,TF_Tekniker,Y$4,TF_Dato,$A737))*2,0)/2)))</f>
        <v/>
      </c>
      <c r="Z737">
        <f>IF(OR(Z$4="",$A737&gt;TODAY()),0,IF(OR(INDEX($B737:$D737,Z$5)="F",AND(Z$6&gt;0,$A737&lt;Z$6),AND(Z$7&gt;0,$A737&gt;Z$7)),0,MAX(0,ROUND((INDEX($E737:$G737,Z$5)-SUMIFS(TF_Timer,TF_Tekniker,Z$4,TF_Dato,$A737))*2,0)/2)))</f>
        <v/>
      </c>
      <c r="AA737">
        <f>IF(OR(AA$4="",$A737&gt;TODAY()),0,IF(OR(INDEX($B737:$D737,AA$5)="F",AND(AA$6&gt;0,$A737&lt;AA$6),AND(AA$7&gt;0,$A737&gt;AA$7)),0,MAX(0,ROUND((INDEX($E737:$G737,AA$5)-SUMIFS(TF_Timer,TF_Tekniker,AA$4,TF_Dato,$A737))*2,0)/2)))</f>
        <v/>
      </c>
      <c r="AB737">
        <f>IF(OR(AB$4="",$A737&gt;TODAY()),0,IF(OR(INDEX($B737:$D737,AB$5)="F",AND(AB$6&gt;0,$A737&lt;AB$6),AND(AB$7&gt;0,$A737&gt;AB$7)),0,MAX(0,ROUND((INDEX($E737:$G737,AB$5)-SUMIFS(TF_Timer,TF_Tekniker,AB$4,TF_Dato,$A737))*2,0)/2)))</f>
        <v/>
      </c>
      <c r="AC737">
        <f>IF(OR(AC$4="",$A737&gt;TODAY()),0,IF(OR(INDEX($B737:$D737,AC$5)="F",AND(AC$6&gt;0,$A737&lt;AC$6),AND(AC$7&gt;0,$A737&gt;AC$7)),0,MAX(0,ROUND((INDEX($E737:$G737,AC$5)-SUMIFS(TF_Timer,TF_Tekniker,AC$4,TF_Dato,$A737))*2,0)/2)))</f>
        <v/>
      </c>
      <c r="AD737">
        <f>IF(OR(AD$4="",$A737&gt;TODAY()),0,IF(OR(INDEX($B737:$D737,AD$5)="F",AND(AD$6&gt;0,$A737&lt;AD$6),AND(AD$7&gt;0,$A737&gt;AD$7)),0,MAX(0,ROUND((INDEX($E737:$G737,AD$5)-SUMIFS(TF_Timer,TF_Tekniker,AD$4,TF_Dato,$A737))*2,0)/2)))</f>
        <v/>
      </c>
      <c r="AE737">
        <f>IF(OR(AE$4="",$A737&gt;TODAY()),0,IF(OR(INDEX($B737:$D737,AE$5)="F",AND(AE$6&gt;0,$A737&lt;AE$6),AND(AE$7&gt;0,$A737&gt;AE$7)),0,MAX(0,ROUND((INDEX($E737:$G737,AE$5)-SUMIFS(TF_Timer,TF_Tekniker,AE$4,TF_Dato,$A737))*2,0)/2)))</f>
        <v/>
      </c>
      <c r="AF737">
        <f>IF(OR(AF$4="",$A737&gt;TODAY()),0,IF(OR(INDEX($B737:$D737,AF$5)="F",AND(AF$6&gt;0,$A737&lt;AF$6),AND(AF$7&gt;0,$A737&gt;AF$7)),0,MAX(0,ROUND((INDEX($E737:$G737,AF$5)-SUMIFS(TF_Timer,TF_Tekniker,AF$4,TF_Dato,$A737))*2,0)/2)))</f>
        <v/>
      </c>
      <c r="AG737">
        <f>IF(OR(AG$4="",$A737&gt;TODAY()),0,IF(OR(INDEX($B737:$D737,AG$5)="F",AND(AG$6&gt;0,$A737&lt;AG$6),AND(AG$7&gt;0,$A737&gt;AG$7)),0,MAX(0,ROUND((INDEX($E737:$G737,AG$5)-SUMIFS(TF_Timer,TF_Tekniker,AG$4,TF_Dato,$A737))*2,0)/2)))</f>
        <v/>
      </c>
      <c r="AH737">
        <f>IF(OR(AH$4="",$A737&gt;TODAY()),0,IF(OR(INDEX($B737:$D737,AH$5)="F",AND(AH$6&gt;0,$A737&lt;AH$6),AND(AH$7&gt;0,$A737&gt;AH$7)),0,MAX(0,ROUND((INDEX($E737:$G737,AH$5)-SUMIFS(TF_Timer,TF_Tekniker,AH$4,TF_Dato,$A737))*2,0)/2)))</f>
        <v/>
      </c>
      <c r="AI737">
        <f>IF(OR(AI$4="",$A737&gt;TODAY()),0,IF(OR(INDEX($B737:$D737,AI$5)="F",AND(AI$6&gt;0,$A737&lt;AI$6),AND(AI$7&gt;0,$A737&gt;AI$7)),0,MAX(0,ROUND((INDEX($E737:$G737,AI$5)-SUMIFS(TF_Timer,TF_Tekniker,AI$4,TF_Dato,$A737))*2,0)/2)))</f>
        <v/>
      </c>
      <c r="AJ737">
        <f>IF(OR(AJ$4="",$A737&gt;TODAY()),0,IF(OR(INDEX($B737:$D737,AJ$5)="F",AND(AJ$6&gt;0,$A737&lt;AJ$6),AND(AJ$7&gt;0,$A737&gt;AJ$7)),0,MAX(0,ROUND((INDEX($E737:$G737,AJ$5)-SUMIFS(TF_Timer,TF_Tekniker,AJ$4,TF_Dato,$A737))*2,0)/2)))</f>
        <v/>
      </c>
      <c r="AK737">
        <f>IF(OR(AK$4="",$A737&gt;TODAY()),0,IF(OR(INDEX($B737:$D737,AK$5)="F",AND(AK$6&gt;0,$A737&lt;AK$6),AND(AK$7&gt;0,$A737&gt;AK$7)),0,MAX(0,ROUND((INDEX($E737:$G737,AK$5)-SUMIFS(TF_Timer,TF_Tekniker,AK$4,TF_Dato,$A737))*2,0)/2)))</f>
        <v/>
      </c>
      <c r="AL737">
        <f>IF(OR(AL$4="",$A737&gt;TODAY()),0,IF(OR(INDEX($B737:$D737,AL$5)="F",AND(AL$6&gt;0,$A737&lt;AL$6),AND(AL$7&gt;0,$A737&gt;AL$7)),0,MAX(0,ROUND((INDEX($E737:$G737,AL$5)-SUMIFS(TF_Timer,TF_Tekniker,AL$4,TF_Dato,$A737))*2,0)/2)))</f>
        <v/>
      </c>
      <c r="AM737">
        <f>IF(OR(AM$4="",$A737&gt;TODAY()),0,IF(OR(INDEX($B737:$D737,AM$5)="F",AND(AM$6&gt;0,$A737&lt;AM$6),AND(AM$7&gt;0,$A737&gt;AM$7)),0,MAX(0,ROUND((INDEX($E737:$G737,AM$5)-SUMIFS(TF_Timer,TF_Tekniker,AM$4,TF_Dato,$A737))*2,0)/2)))</f>
        <v/>
      </c>
      <c r="AN737">
        <f>IF(OR(AN$4="",$A737&gt;TODAY()),0,IF(OR(INDEX($B737:$D737,AN$5)="F",AND(AN$6&gt;0,$A737&lt;AN$6),AND(AN$7&gt;0,$A737&gt;AN$7)),0,MAX(0,ROUND((INDEX($E737:$G737,AN$5)-SUMIFS(TF_Timer,TF_Tekniker,AN$4,TF_Dato,$A737))*2,0)/2)))</f>
        <v/>
      </c>
      <c r="AO737">
        <f>IF(OR(AO$4="",$A737&gt;TODAY()),0,IF(OR(INDEX($B737:$D737,AO$5)="F",AND(AO$6&gt;0,$A737&lt;AO$6),AND(AO$7&gt;0,$A737&gt;AO$7)),0,MAX(0,ROUND((INDEX($E737:$G737,AO$5)-SUMIFS(TF_Timer,TF_Tekniker,AO$4,TF_Dato,$A737))*2,0)/2)))</f>
        <v/>
      </c>
      <c r="AP737">
        <f>IF(OR(AP$4="",$A737&gt;TODAY()),0,IF(OR(INDEX($B737:$D737,AP$5)="F",AND(AP$6&gt;0,$A737&lt;AP$6),AND(AP$7&gt;0,$A737&gt;AP$7)),0,MAX(0,ROUND((INDEX($E737:$G737,AP$5)-SUMIFS(TF_Timer,TF_Tekniker,AP$4,TF_Dato,$A737))*2,0)/2)))</f>
        <v/>
      </c>
      <c r="AQ737">
        <f>IF(OR(AQ$4="",$A737&gt;TODAY()),0,IF(OR(INDEX($B737:$D737,AQ$5)="F",AND(AQ$6&gt;0,$A737&lt;AQ$6),AND(AQ$7&gt;0,$A737&gt;AQ$7)),0,MAX(0,ROUND((INDEX($E737:$G737,AQ$5)-SUMIFS(TF_Timer,TF_Tekniker,AQ$4,TF_Dato,$A737))*2,0)/2)))</f>
        <v/>
      </c>
      <c r="AR737">
        <f>IF(OR(AR$4="",$A737&gt;TODAY()),0,IF(OR(INDEX($B737:$D737,AR$5)="F",AND(AR$6&gt;0,$A737&lt;AR$6),AND(AR$7&gt;0,$A737&gt;AR$7)),0,MAX(0,ROUND((INDEX($E737:$G737,AR$5)-SUMIFS(TF_Timer,TF_Tekniker,AR$4,TF_Dato,$A737))*2,0)/2)))</f>
        <v/>
      </c>
      <c r="AS737">
        <f>IF(OR(AS$4="",$A737&gt;TODAY()),0,IF(OR(INDEX($B737:$D737,AS$5)="F",AND(AS$6&gt;0,$A737&lt;AS$6),AND(AS$7&gt;0,$A737&gt;AS$7)),0,MAX(0,ROUND((INDEX($E737:$G737,AS$5)-SUMIFS(TF_Timer,TF_Tekniker,AS$4,TF_Dato,$A737))*2,0)/2)))</f>
        <v/>
      </c>
      <c r="AT737">
        <f>IF(OR(AT$4="",$A737&gt;TODAY()),0,IF(OR(INDEX($B737:$D737,AT$5)="F",AND(AT$6&gt;0,$A737&lt;AT$6),AND(AT$7&gt;0,$A737&gt;AT$7)),0,MAX(0,ROUND((INDEX($E737:$G737,AT$5)-SUMIFS(TF_Timer,TF_Tekniker,AT$4,TF_Dato,$A737))*2,0)/2)))</f>
        <v/>
      </c>
      <c r="AU737">
        <f>IF(OR(AU$4="",$A737&gt;TODAY()),0,IF(OR(INDEX($B737:$D737,AU$5)="F",AND(AU$6&gt;0,$A737&lt;AU$6),AND(AU$7&gt;0,$A737&gt;AU$7)),0,MAX(0,ROUND((INDEX($E737:$G737,AU$5)-SUMIFS(TF_Timer,TF_Tekniker,AU$4,TF_Dato,$A737))*2,0)/2)))</f>
        <v/>
      </c>
      <c r="AV737">
        <f>IF(OR(AV$4="",$A737&gt;TODAY()),0,IF(OR(INDEX($B737:$D737,AV$5)="F",AND(AV$6&gt;0,$A737&lt;AV$6),AND(AV$7&gt;0,$A737&gt;AV$7)),0,MAX(0,ROUND((INDEX($E737:$G737,AV$5)-SUMIFS(TF_Timer,TF_Tekniker,AV$4,TF_Dato,$A737))*2,0)/2)))</f>
        <v/>
      </c>
      <c r="AW737">
        <f>IF(OR(AW$4="",$A737&gt;TODAY()),0,IF(OR(INDEX($B737:$D737,AW$5)="F",AND(AW$6&gt;0,$A737&lt;AW$6),AND(AW$7&gt;0,$A737&gt;AW$7)),0,MAX(0,ROUND((INDEX($E737:$G737,AW$5)-SUMIFS(TF_Timer,TF_Tekniker,AW$4,TF_Dato,$A737))*2,0)/2)))</f>
        <v/>
      </c>
      <c r="AX737">
        <f>IF(OR(AX$4="",$A737&gt;TODAY()),0,IF(OR(INDEX($B737:$D737,AX$5)="F",AND(AX$6&gt;0,$A737&lt;AX$6),AND(AX$7&gt;0,$A737&gt;AX$7)),0,MAX(0,ROUND((INDEX($E737:$G737,AX$5)-SUMIFS(TF_Timer,TF_Tekniker,AX$4,TF_Dato,$A737))*2,0)/2)))</f>
        <v/>
      </c>
      <c r="AY737">
        <f>IF(OR(AY$4="",$A737&gt;TODAY()),0,IF(OR(INDEX($B737:$D737,AY$5)="F",AND(AY$6&gt;0,$A737&lt;AY$6),AND(AY$7&gt;0,$A737&gt;AY$7)),0,MAX(0,ROUND((INDEX($E737:$G737,AY$5)-SUMIFS(TF_Timer,TF_Tekniker,AY$4,TF_Dato,$A737))*2,0)/2)))</f>
        <v/>
      </c>
      <c r="AZ737">
        <f>IF(OR(AZ$4="",$A737&gt;TODAY()),0,IF(OR(INDEX($B737:$D737,AZ$5)="F",AND(AZ$6&gt;0,$A737&lt;AZ$6),AND(AZ$7&gt;0,$A737&gt;AZ$7)),0,MAX(0,ROUND((INDEX($E737:$G737,AZ$5)-SUMIFS(TF_Timer,TF_Tekniker,AZ$4,TF_Dato,$A737))*2,0)/2)))</f>
        <v/>
      </c>
      <c r="BA737">
        <f>IF(OR(BA$4="",$A737&gt;TODAY()),0,IF(OR(INDEX($B737:$D737,BA$5)="F",AND(BA$6&gt;0,$A737&lt;BA$6),AND(BA$7&gt;0,$A737&gt;BA$7)),0,MAX(0,ROUND((INDEX($E737:$G737,BA$5)-SUMIFS(TF_Timer,TF_Tekniker,BA$4,TF_Dato,$A737))*2,0)/2)))</f>
        <v/>
      </c>
      <c r="BB737">
        <f>IF(OR(BB$4="",$A737&gt;TODAY()),0,IF(OR(INDEX($B737:$D737,BB$5)="F",AND(BB$6&gt;0,$A737&lt;BB$6),AND(BB$7&gt;0,$A737&gt;BB$7)),0,MAX(0,ROUND((INDEX($E737:$G737,BB$5)-SUMIFS(TF_Timer,TF_Tekniker,BB$4,TF_Dato,$A737))*2,0)/2)))</f>
        <v/>
      </c>
      <c r="BC737">
        <f>IF(OR(BC$4="",$A737&gt;TODAY()),0,IF(OR(INDEX($B737:$D737,BC$5)="F",AND(BC$6&gt;0,$A737&lt;BC$6),AND(BC$7&gt;0,$A737&gt;BC$7)),0,MAX(0,ROUND((INDEX($E737:$G737,BC$5)-SUMIFS(TF_Timer,TF_Tekniker,BC$4,TF_Dato,$A737))*2,0)/2)))</f>
        <v/>
      </c>
      <c r="BD737">
        <f>IF(OR(BD$4="",$A737&gt;TODAY()),0,IF(OR(INDEX($B737:$D737,BD$5)="F",AND(BD$6&gt;0,$A737&lt;BD$6),AND(BD$7&gt;0,$A737&gt;BD$7)),0,MAX(0,ROUND((INDEX($E737:$G737,BD$5)-SUMIFS(TF_Timer,TF_Tekniker,BD$4,TF_Dato,$A737))*2,0)/2)))</f>
        <v/>
      </c>
      <c r="BE737">
        <f>IF(OR(BE$4="",$A737&gt;TODAY()),0,IF(OR(INDEX($B737:$D737,BE$5)="F",AND(BE$6&gt;0,$A737&lt;BE$6),AND(BE$7&gt;0,$A737&gt;BE$7)),0,MAX(0,ROUND((INDEX($E737:$G737,BE$5)-SUMIFS(TF_Timer,TF_Tekniker,BE$4,TF_Dato,$A737))*2,0)/2)))</f>
        <v/>
      </c>
      <c r="BF737">
        <f>IF(OR(BF$4="",$A737&gt;TODAY()),0,IF(OR(INDEX($B737:$D737,BF$5)="F",AND(BF$6&gt;0,$A737&lt;BF$6),AND(BF$7&gt;0,$A737&gt;BF$7)),0,MAX(0,ROUND((INDEX($E737:$G737,BF$5)-SUMIFS(TF_Timer,TF_Tekniker,BF$4,TF_Dato,$A737))*2,0)/2)))</f>
        <v/>
      </c>
      <c r="BG737">
        <f>IF(OR(BG$4="",$A737&gt;TODAY()),0,IF(OR(INDEX($B737:$D737,BG$5)="F",AND(BG$6&gt;0,$A737&lt;BG$6),AND(BG$7&gt;0,$A737&gt;BG$7)),0,MAX(0,ROUND((INDEX($E737:$G737,BG$5)-SUMIFS(TF_Timer,TF_Tekniker,BG$4,TF_Dato,$A737))*2,0)/2)))</f>
        <v/>
      </c>
      <c r="BH737">
        <f>IF(OR(BH$4="",$A737&gt;TODAY()),0,IF(OR(INDEX($B737:$D737,BH$5)="F",AND(BH$6&gt;0,$A737&lt;BH$6),AND(BH$7&gt;0,$A737&gt;BH$7)),0,MAX(0,ROUND((INDEX($E737:$G737,BH$5)-SUMIFS(TF_Timer,TF_Tekniker,BH$4,TF_Dato,$A737))*2,0)/2)))</f>
        <v/>
      </c>
      <c r="BI737">
        <f>IF(OR(BI$4="",$A737&gt;TODAY()),0,IF(OR(INDEX($B737:$D737,BI$5)="F",AND(BI$6&gt;0,$A737&lt;BI$6),AND(BI$7&gt;0,$A737&gt;BI$7)),0,MAX(0,ROUND((INDEX($E737:$G737,BI$5)-SUMIFS(TF_Timer,TF_Tekniker,BI$4,TF_Dato,$A737))*2,0)/2)))</f>
        <v/>
      </c>
    </row>
    <row r="738">
      <c r="A738" s="64">
        <f>A737+1</f>
        <v/>
      </c>
      <c r="B738">
        <f>IF(MOD($A738-INDEX(SkiftStart,1),Syklus)&lt;DagK,"K",IF(MOD($A738-INDEX(SkiftStart,1),Syklus)&lt;DagK+DagH,"H",IF(MOD($A738-INDEX(SkiftStart,1),Syklus)&lt;DagK+DagH+DagD,"D","F")))</f>
        <v/>
      </c>
      <c r="C738">
        <f>IF(MOD($A738-INDEX(SkiftStart,2),Syklus)&lt;DagK,"K",IF(MOD($A738-INDEX(SkiftStart,2),Syklus)&lt;DagK+DagH,"H",IF(MOD($A738-INDEX(SkiftStart,2),Syklus)&lt;DagK+DagH+DagD,"D","F")))</f>
        <v/>
      </c>
      <c r="D738">
        <f>IF(MOD($A738-INDEX(SkiftStart,3),Syklus)&lt;DagK,"K",IF(MOD($A738-INDEX(SkiftStart,3),Syklus)&lt;DagK+DagH,"H",IF(MOD($A738-INDEX(SkiftStart,3),Syklus)&lt;DagK+DagH+DagD,"D","F")))</f>
        <v/>
      </c>
      <c r="E738">
        <f>IF(B738="F",0,IF(WEEKDAY($A738,2)=5,INDEX(TimerFr,MATCH(B738,FaseKode,0)),INDEX(TimerMT,MATCH(B738,FaseKode,0))))</f>
        <v/>
      </c>
      <c r="F738">
        <f>IF(C738="F",0,IF(WEEKDAY($A738,2)=5,INDEX(TimerFr,MATCH(C738,FaseKode,0)),INDEX(TimerMT,MATCH(C738,FaseKode,0))))</f>
        <v/>
      </c>
      <c r="G738">
        <f>IF(D738="F",0,IF(WEEKDAY($A738,2)=5,INDEX(TimerFr,MATCH(D738,FaseKode,0)),INDEX(TimerMT,MATCH(D738,FaseKode,0))))</f>
        <v/>
      </c>
      <c r="H738">
        <f>IF(OR(H$4="",$A738&gt;TODAY()),0,IF(OR(INDEX($B738:$D738,H$5)="F",AND(H$6&gt;0,$A738&lt;H$6),AND(H$7&gt;0,$A738&gt;H$7)),0,MAX(0,ROUND((INDEX($E738:$G738,H$5)-SUMIFS(TF_Timer,TF_Tekniker,H$4,TF_Dato,$A738))*2,0)/2)))</f>
        <v/>
      </c>
      <c r="I738">
        <f>IF(OR(I$4="",$A738&gt;TODAY()),0,IF(OR(INDEX($B738:$D738,I$5)="F",AND(I$6&gt;0,$A738&lt;I$6),AND(I$7&gt;0,$A738&gt;I$7)),0,MAX(0,ROUND((INDEX($E738:$G738,I$5)-SUMIFS(TF_Timer,TF_Tekniker,I$4,TF_Dato,$A738))*2,0)/2)))</f>
        <v/>
      </c>
      <c r="J738">
        <f>IF(OR(J$4="",$A738&gt;TODAY()),0,IF(OR(INDEX($B738:$D738,J$5)="F",AND(J$6&gt;0,$A738&lt;J$6),AND(J$7&gt;0,$A738&gt;J$7)),0,MAX(0,ROUND((INDEX($E738:$G738,J$5)-SUMIFS(TF_Timer,TF_Tekniker,J$4,TF_Dato,$A738))*2,0)/2)))</f>
        <v/>
      </c>
      <c r="K738">
        <f>IF(OR(K$4="",$A738&gt;TODAY()),0,IF(OR(INDEX($B738:$D738,K$5)="F",AND(K$6&gt;0,$A738&lt;K$6),AND(K$7&gt;0,$A738&gt;K$7)),0,MAX(0,ROUND((INDEX($E738:$G738,K$5)-SUMIFS(TF_Timer,TF_Tekniker,K$4,TF_Dato,$A738))*2,0)/2)))</f>
        <v/>
      </c>
      <c r="L738">
        <f>IF(OR(L$4="",$A738&gt;TODAY()),0,IF(OR(INDEX($B738:$D738,L$5)="F",AND(L$6&gt;0,$A738&lt;L$6),AND(L$7&gt;0,$A738&gt;L$7)),0,MAX(0,ROUND((INDEX($E738:$G738,L$5)-SUMIFS(TF_Timer,TF_Tekniker,L$4,TF_Dato,$A738))*2,0)/2)))</f>
        <v/>
      </c>
      <c r="M738">
        <f>IF(OR(M$4="",$A738&gt;TODAY()),0,IF(OR(INDEX($B738:$D738,M$5)="F",AND(M$6&gt;0,$A738&lt;M$6),AND(M$7&gt;0,$A738&gt;M$7)),0,MAX(0,ROUND((INDEX($E738:$G738,M$5)-SUMIFS(TF_Timer,TF_Tekniker,M$4,TF_Dato,$A738))*2,0)/2)))</f>
        <v/>
      </c>
      <c r="N738">
        <f>IF(OR(N$4="",$A738&gt;TODAY()),0,IF(OR(INDEX($B738:$D738,N$5)="F",AND(N$6&gt;0,$A738&lt;N$6),AND(N$7&gt;0,$A738&gt;N$7)),0,MAX(0,ROUND((INDEX($E738:$G738,N$5)-SUMIFS(TF_Timer,TF_Tekniker,N$4,TF_Dato,$A738))*2,0)/2)))</f>
        <v/>
      </c>
      <c r="O738">
        <f>IF(OR(O$4="",$A738&gt;TODAY()),0,IF(OR(INDEX($B738:$D738,O$5)="F",AND(O$6&gt;0,$A738&lt;O$6),AND(O$7&gt;0,$A738&gt;O$7)),0,MAX(0,ROUND((INDEX($E738:$G738,O$5)-SUMIFS(TF_Timer,TF_Tekniker,O$4,TF_Dato,$A738))*2,0)/2)))</f>
        <v/>
      </c>
      <c r="P738">
        <f>IF(OR(P$4="",$A738&gt;TODAY()),0,IF(OR(INDEX($B738:$D738,P$5)="F",AND(P$6&gt;0,$A738&lt;P$6),AND(P$7&gt;0,$A738&gt;P$7)),0,MAX(0,ROUND((INDEX($E738:$G738,P$5)-SUMIFS(TF_Timer,TF_Tekniker,P$4,TF_Dato,$A738))*2,0)/2)))</f>
        <v/>
      </c>
      <c r="Q738">
        <f>IF(OR(Q$4="",$A738&gt;TODAY()),0,IF(OR(INDEX($B738:$D738,Q$5)="F",AND(Q$6&gt;0,$A738&lt;Q$6),AND(Q$7&gt;0,$A738&gt;Q$7)),0,MAX(0,ROUND((INDEX($E738:$G738,Q$5)-SUMIFS(TF_Timer,TF_Tekniker,Q$4,TF_Dato,$A738))*2,0)/2)))</f>
        <v/>
      </c>
      <c r="R738">
        <f>IF(OR(R$4="",$A738&gt;TODAY()),0,IF(OR(INDEX($B738:$D738,R$5)="F",AND(R$6&gt;0,$A738&lt;R$6),AND(R$7&gt;0,$A738&gt;R$7)),0,MAX(0,ROUND((INDEX($E738:$G738,R$5)-SUMIFS(TF_Timer,TF_Tekniker,R$4,TF_Dato,$A738))*2,0)/2)))</f>
        <v/>
      </c>
      <c r="S738">
        <f>IF(OR(S$4="",$A738&gt;TODAY()),0,IF(OR(INDEX($B738:$D738,S$5)="F",AND(S$6&gt;0,$A738&lt;S$6),AND(S$7&gt;0,$A738&gt;S$7)),0,MAX(0,ROUND((INDEX($E738:$G738,S$5)-SUMIFS(TF_Timer,TF_Tekniker,S$4,TF_Dato,$A738))*2,0)/2)))</f>
        <v/>
      </c>
      <c r="T738">
        <f>IF(OR(T$4="",$A738&gt;TODAY()),0,IF(OR(INDEX($B738:$D738,T$5)="F",AND(T$6&gt;0,$A738&lt;T$6),AND(T$7&gt;0,$A738&gt;T$7)),0,MAX(0,ROUND((INDEX($E738:$G738,T$5)-SUMIFS(TF_Timer,TF_Tekniker,T$4,TF_Dato,$A738))*2,0)/2)))</f>
        <v/>
      </c>
      <c r="U738">
        <f>IF(OR(U$4="",$A738&gt;TODAY()),0,IF(OR(INDEX($B738:$D738,U$5)="F",AND(U$6&gt;0,$A738&lt;U$6),AND(U$7&gt;0,$A738&gt;U$7)),0,MAX(0,ROUND((INDEX($E738:$G738,U$5)-SUMIFS(TF_Timer,TF_Tekniker,U$4,TF_Dato,$A738))*2,0)/2)))</f>
        <v/>
      </c>
      <c r="V738">
        <f>IF(OR(V$4="",$A738&gt;TODAY()),0,IF(OR(INDEX($B738:$D738,V$5)="F",AND(V$6&gt;0,$A738&lt;V$6),AND(V$7&gt;0,$A738&gt;V$7)),0,MAX(0,ROUND((INDEX($E738:$G738,V$5)-SUMIFS(TF_Timer,TF_Tekniker,V$4,TF_Dato,$A738))*2,0)/2)))</f>
        <v/>
      </c>
      <c r="W738">
        <f>IF(OR(W$4="",$A738&gt;TODAY()),0,IF(OR(INDEX($B738:$D738,W$5)="F",AND(W$6&gt;0,$A738&lt;W$6),AND(W$7&gt;0,$A738&gt;W$7)),0,MAX(0,ROUND((INDEX($E738:$G738,W$5)-SUMIFS(TF_Timer,TF_Tekniker,W$4,TF_Dato,$A738))*2,0)/2)))</f>
        <v/>
      </c>
      <c r="X738">
        <f>IF(OR(X$4="",$A738&gt;TODAY()),0,IF(OR(INDEX($B738:$D738,X$5)="F",AND(X$6&gt;0,$A738&lt;X$6),AND(X$7&gt;0,$A738&gt;X$7)),0,MAX(0,ROUND((INDEX($E738:$G738,X$5)-SUMIFS(TF_Timer,TF_Tekniker,X$4,TF_Dato,$A738))*2,0)/2)))</f>
        <v/>
      </c>
      <c r="Y738">
        <f>IF(OR(Y$4="",$A738&gt;TODAY()),0,IF(OR(INDEX($B738:$D738,Y$5)="F",AND(Y$6&gt;0,$A738&lt;Y$6),AND(Y$7&gt;0,$A738&gt;Y$7)),0,MAX(0,ROUND((INDEX($E738:$G738,Y$5)-SUMIFS(TF_Timer,TF_Tekniker,Y$4,TF_Dato,$A738))*2,0)/2)))</f>
        <v/>
      </c>
      <c r="Z738">
        <f>IF(OR(Z$4="",$A738&gt;TODAY()),0,IF(OR(INDEX($B738:$D738,Z$5)="F",AND(Z$6&gt;0,$A738&lt;Z$6),AND(Z$7&gt;0,$A738&gt;Z$7)),0,MAX(0,ROUND((INDEX($E738:$G738,Z$5)-SUMIFS(TF_Timer,TF_Tekniker,Z$4,TF_Dato,$A738))*2,0)/2)))</f>
        <v/>
      </c>
      <c r="AA738">
        <f>IF(OR(AA$4="",$A738&gt;TODAY()),0,IF(OR(INDEX($B738:$D738,AA$5)="F",AND(AA$6&gt;0,$A738&lt;AA$6),AND(AA$7&gt;0,$A738&gt;AA$7)),0,MAX(0,ROUND((INDEX($E738:$G738,AA$5)-SUMIFS(TF_Timer,TF_Tekniker,AA$4,TF_Dato,$A738))*2,0)/2)))</f>
        <v/>
      </c>
      <c r="AB738">
        <f>IF(OR(AB$4="",$A738&gt;TODAY()),0,IF(OR(INDEX($B738:$D738,AB$5)="F",AND(AB$6&gt;0,$A738&lt;AB$6),AND(AB$7&gt;0,$A738&gt;AB$7)),0,MAX(0,ROUND((INDEX($E738:$G738,AB$5)-SUMIFS(TF_Timer,TF_Tekniker,AB$4,TF_Dato,$A738))*2,0)/2)))</f>
        <v/>
      </c>
      <c r="AC738">
        <f>IF(OR(AC$4="",$A738&gt;TODAY()),0,IF(OR(INDEX($B738:$D738,AC$5)="F",AND(AC$6&gt;0,$A738&lt;AC$6),AND(AC$7&gt;0,$A738&gt;AC$7)),0,MAX(0,ROUND((INDEX($E738:$G738,AC$5)-SUMIFS(TF_Timer,TF_Tekniker,AC$4,TF_Dato,$A738))*2,0)/2)))</f>
        <v/>
      </c>
      <c r="AD738">
        <f>IF(OR(AD$4="",$A738&gt;TODAY()),0,IF(OR(INDEX($B738:$D738,AD$5)="F",AND(AD$6&gt;0,$A738&lt;AD$6),AND(AD$7&gt;0,$A738&gt;AD$7)),0,MAX(0,ROUND((INDEX($E738:$G738,AD$5)-SUMIFS(TF_Timer,TF_Tekniker,AD$4,TF_Dato,$A738))*2,0)/2)))</f>
        <v/>
      </c>
      <c r="AE738">
        <f>IF(OR(AE$4="",$A738&gt;TODAY()),0,IF(OR(INDEX($B738:$D738,AE$5)="F",AND(AE$6&gt;0,$A738&lt;AE$6),AND(AE$7&gt;0,$A738&gt;AE$7)),0,MAX(0,ROUND((INDEX($E738:$G738,AE$5)-SUMIFS(TF_Timer,TF_Tekniker,AE$4,TF_Dato,$A738))*2,0)/2)))</f>
        <v/>
      </c>
      <c r="AF738">
        <f>IF(OR(AF$4="",$A738&gt;TODAY()),0,IF(OR(INDEX($B738:$D738,AF$5)="F",AND(AF$6&gt;0,$A738&lt;AF$6),AND(AF$7&gt;0,$A738&gt;AF$7)),0,MAX(0,ROUND((INDEX($E738:$G738,AF$5)-SUMIFS(TF_Timer,TF_Tekniker,AF$4,TF_Dato,$A738))*2,0)/2)))</f>
        <v/>
      </c>
      <c r="AG738">
        <f>IF(OR(AG$4="",$A738&gt;TODAY()),0,IF(OR(INDEX($B738:$D738,AG$5)="F",AND(AG$6&gt;0,$A738&lt;AG$6),AND(AG$7&gt;0,$A738&gt;AG$7)),0,MAX(0,ROUND((INDEX($E738:$G738,AG$5)-SUMIFS(TF_Timer,TF_Tekniker,AG$4,TF_Dato,$A738))*2,0)/2)))</f>
        <v/>
      </c>
      <c r="AH738">
        <f>IF(OR(AH$4="",$A738&gt;TODAY()),0,IF(OR(INDEX($B738:$D738,AH$5)="F",AND(AH$6&gt;0,$A738&lt;AH$6),AND(AH$7&gt;0,$A738&gt;AH$7)),0,MAX(0,ROUND((INDEX($E738:$G738,AH$5)-SUMIFS(TF_Timer,TF_Tekniker,AH$4,TF_Dato,$A738))*2,0)/2)))</f>
        <v/>
      </c>
      <c r="AI738">
        <f>IF(OR(AI$4="",$A738&gt;TODAY()),0,IF(OR(INDEX($B738:$D738,AI$5)="F",AND(AI$6&gt;0,$A738&lt;AI$6),AND(AI$7&gt;0,$A738&gt;AI$7)),0,MAX(0,ROUND((INDEX($E738:$G738,AI$5)-SUMIFS(TF_Timer,TF_Tekniker,AI$4,TF_Dato,$A738))*2,0)/2)))</f>
        <v/>
      </c>
      <c r="AJ738">
        <f>IF(OR(AJ$4="",$A738&gt;TODAY()),0,IF(OR(INDEX($B738:$D738,AJ$5)="F",AND(AJ$6&gt;0,$A738&lt;AJ$6),AND(AJ$7&gt;0,$A738&gt;AJ$7)),0,MAX(0,ROUND((INDEX($E738:$G738,AJ$5)-SUMIFS(TF_Timer,TF_Tekniker,AJ$4,TF_Dato,$A738))*2,0)/2)))</f>
        <v/>
      </c>
      <c r="AK738">
        <f>IF(OR(AK$4="",$A738&gt;TODAY()),0,IF(OR(INDEX($B738:$D738,AK$5)="F",AND(AK$6&gt;0,$A738&lt;AK$6),AND(AK$7&gt;0,$A738&gt;AK$7)),0,MAX(0,ROUND((INDEX($E738:$G738,AK$5)-SUMIFS(TF_Timer,TF_Tekniker,AK$4,TF_Dato,$A738))*2,0)/2)))</f>
        <v/>
      </c>
      <c r="AL738">
        <f>IF(OR(AL$4="",$A738&gt;TODAY()),0,IF(OR(INDEX($B738:$D738,AL$5)="F",AND(AL$6&gt;0,$A738&lt;AL$6),AND(AL$7&gt;0,$A738&gt;AL$7)),0,MAX(0,ROUND((INDEX($E738:$G738,AL$5)-SUMIFS(TF_Timer,TF_Tekniker,AL$4,TF_Dato,$A738))*2,0)/2)))</f>
        <v/>
      </c>
      <c r="AM738">
        <f>IF(OR(AM$4="",$A738&gt;TODAY()),0,IF(OR(INDEX($B738:$D738,AM$5)="F",AND(AM$6&gt;0,$A738&lt;AM$6),AND(AM$7&gt;0,$A738&gt;AM$7)),0,MAX(0,ROUND((INDEX($E738:$G738,AM$5)-SUMIFS(TF_Timer,TF_Tekniker,AM$4,TF_Dato,$A738))*2,0)/2)))</f>
        <v/>
      </c>
      <c r="AN738">
        <f>IF(OR(AN$4="",$A738&gt;TODAY()),0,IF(OR(INDEX($B738:$D738,AN$5)="F",AND(AN$6&gt;0,$A738&lt;AN$6),AND(AN$7&gt;0,$A738&gt;AN$7)),0,MAX(0,ROUND((INDEX($E738:$G738,AN$5)-SUMIFS(TF_Timer,TF_Tekniker,AN$4,TF_Dato,$A738))*2,0)/2)))</f>
        <v/>
      </c>
      <c r="AO738">
        <f>IF(OR(AO$4="",$A738&gt;TODAY()),0,IF(OR(INDEX($B738:$D738,AO$5)="F",AND(AO$6&gt;0,$A738&lt;AO$6),AND(AO$7&gt;0,$A738&gt;AO$7)),0,MAX(0,ROUND((INDEX($E738:$G738,AO$5)-SUMIFS(TF_Timer,TF_Tekniker,AO$4,TF_Dato,$A738))*2,0)/2)))</f>
        <v/>
      </c>
      <c r="AP738">
        <f>IF(OR(AP$4="",$A738&gt;TODAY()),0,IF(OR(INDEX($B738:$D738,AP$5)="F",AND(AP$6&gt;0,$A738&lt;AP$6),AND(AP$7&gt;0,$A738&gt;AP$7)),0,MAX(0,ROUND((INDEX($E738:$G738,AP$5)-SUMIFS(TF_Timer,TF_Tekniker,AP$4,TF_Dato,$A738))*2,0)/2)))</f>
        <v/>
      </c>
      <c r="AQ738">
        <f>IF(OR(AQ$4="",$A738&gt;TODAY()),0,IF(OR(INDEX($B738:$D738,AQ$5)="F",AND(AQ$6&gt;0,$A738&lt;AQ$6),AND(AQ$7&gt;0,$A738&gt;AQ$7)),0,MAX(0,ROUND((INDEX($E738:$G738,AQ$5)-SUMIFS(TF_Timer,TF_Tekniker,AQ$4,TF_Dato,$A738))*2,0)/2)))</f>
        <v/>
      </c>
      <c r="AR738">
        <f>IF(OR(AR$4="",$A738&gt;TODAY()),0,IF(OR(INDEX($B738:$D738,AR$5)="F",AND(AR$6&gt;0,$A738&lt;AR$6),AND(AR$7&gt;0,$A738&gt;AR$7)),0,MAX(0,ROUND((INDEX($E738:$G738,AR$5)-SUMIFS(TF_Timer,TF_Tekniker,AR$4,TF_Dato,$A738))*2,0)/2)))</f>
        <v/>
      </c>
      <c r="AS738">
        <f>IF(OR(AS$4="",$A738&gt;TODAY()),0,IF(OR(INDEX($B738:$D738,AS$5)="F",AND(AS$6&gt;0,$A738&lt;AS$6),AND(AS$7&gt;0,$A738&gt;AS$7)),0,MAX(0,ROUND((INDEX($E738:$G738,AS$5)-SUMIFS(TF_Timer,TF_Tekniker,AS$4,TF_Dato,$A738))*2,0)/2)))</f>
        <v/>
      </c>
      <c r="AT738">
        <f>IF(OR(AT$4="",$A738&gt;TODAY()),0,IF(OR(INDEX($B738:$D738,AT$5)="F",AND(AT$6&gt;0,$A738&lt;AT$6),AND(AT$7&gt;0,$A738&gt;AT$7)),0,MAX(0,ROUND((INDEX($E738:$G738,AT$5)-SUMIFS(TF_Timer,TF_Tekniker,AT$4,TF_Dato,$A738))*2,0)/2)))</f>
        <v/>
      </c>
      <c r="AU738">
        <f>IF(OR(AU$4="",$A738&gt;TODAY()),0,IF(OR(INDEX($B738:$D738,AU$5)="F",AND(AU$6&gt;0,$A738&lt;AU$6),AND(AU$7&gt;0,$A738&gt;AU$7)),0,MAX(0,ROUND((INDEX($E738:$G738,AU$5)-SUMIFS(TF_Timer,TF_Tekniker,AU$4,TF_Dato,$A738))*2,0)/2)))</f>
        <v/>
      </c>
      <c r="AV738">
        <f>IF(OR(AV$4="",$A738&gt;TODAY()),0,IF(OR(INDEX($B738:$D738,AV$5)="F",AND(AV$6&gt;0,$A738&lt;AV$6),AND(AV$7&gt;0,$A738&gt;AV$7)),0,MAX(0,ROUND((INDEX($E738:$G738,AV$5)-SUMIFS(TF_Timer,TF_Tekniker,AV$4,TF_Dato,$A738))*2,0)/2)))</f>
        <v/>
      </c>
      <c r="AW738">
        <f>IF(OR(AW$4="",$A738&gt;TODAY()),0,IF(OR(INDEX($B738:$D738,AW$5)="F",AND(AW$6&gt;0,$A738&lt;AW$6),AND(AW$7&gt;0,$A738&gt;AW$7)),0,MAX(0,ROUND((INDEX($E738:$G738,AW$5)-SUMIFS(TF_Timer,TF_Tekniker,AW$4,TF_Dato,$A738))*2,0)/2)))</f>
        <v/>
      </c>
      <c r="AX738">
        <f>IF(OR(AX$4="",$A738&gt;TODAY()),0,IF(OR(INDEX($B738:$D738,AX$5)="F",AND(AX$6&gt;0,$A738&lt;AX$6),AND(AX$7&gt;0,$A738&gt;AX$7)),0,MAX(0,ROUND((INDEX($E738:$G738,AX$5)-SUMIFS(TF_Timer,TF_Tekniker,AX$4,TF_Dato,$A738))*2,0)/2)))</f>
        <v/>
      </c>
      <c r="AY738">
        <f>IF(OR(AY$4="",$A738&gt;TODAY()),0,IF(OR(INDEX($B738:$D738,AY$5)="F",AND(AY$6&gt;0,$A738&lt;AY$6),AND(AY$7&gt;0,$A738&gt;AY$7)),0,MAX(0,ROUND((INDEX($E738:$G738,AY$5)-SUMIFS(TF_Timer,TF_Tekniker,AY$4,TF_Dato,$A738))*2,0)/2)))</f>
        <v/>
      </c>
      <c r="AZ738">
        <f>IF(OR(AZ$4="",$A738&gt;TODAY()),0,IF(OR(INDEX($B738:$D738,AZ$5)="F",AND(AZ$6&gt;0,$A738&lt;AZ$6),AND(AZ$7&gt;0,$A738&gt;AZ$7)),0,MAX(0,ROUND((INDEX($E738:$G738,AZ$5)-SUMIFS(TF_Timer,TF_Tekniker,AZ$4,TF_Dato,$A738))*2,0)/2)))</f>
        <v/>
      </c>
      <c r="BA738">
        <f>IF(OR(BA$4="",$A738&gt;TODAY()),0,IF(OR(INDEX($B738:$D738,BA$5)="F",AND(BA$6&gt;0,$A738&lt;BA$6),AND(BA$7&gt;0,$A738&gt;BA$7)),0,MAX(0,ROUND((INDEX($E738:$G738,BA$5)-SUMIFS(TF_Timer,TF_Tekniker,BA$4,TF_Dato,$A738))*2,0)/2)))</f>
        <v/>
      </c>
      <c r="BB738">
        <f>IF(OR(BB$4="",$A738&gt;TODAY()),0,IF(OR(INDEX($B738:$D738,BB$5)="F",AND(BB$6&gt;0,$A738&lt;BB$6),AND(BB$7&gt;0,$A738&gt;BB$7)),0,MAX(0,ROUND((INDEX($E738:$G738,BB$5)-SUMIFS(TF_Timer,TF_Tekniker,BB$4,TF_Dato,$A738))*2,0)/2)))</f>
        <v/>
      </c>
      <c r="BC738">
        <f>IF(OR(BC$4="",$A738&gt;TODAY()),0,IF(OR(INDEX($B738:$D738,BC$5)="F",AND(BC$6&gt;0,$A738&lt;BC$6),AND(BC$7&gt;0,$A738&gt;BC$7)),0,MAX(0,ROUND((INDEX($E738:$G738,BC$5)-SUMIFS(TF_Timer,TF_Tekniker,BC$4,TF_Dato,$A738))*2,0)/2)))</f>
        <v/>
      </c>
      <c r="BD738">
        <f>IF(OR(BD$4="",$A738&gt;TODAY()),0,IF(OR(INDEX($B738:$D738,BD$5)="F",AND(BD$6&gt;0,$A738&lt;BD$6),AND(BD$7&gt;0,$A738&gt;BD$7)),0,MAX(0,ROUND((INDEX($E738:$G738,BD$5)-SUMIFS(TF_Timer,TF_Tekniker,BD$4,TF_Dato,$A738))*2,0)/2)))</f>
        <v/>
      </c>
      <c r="BE738">
        <f>IF(OR(BE$4="",$A738&gt;TODAY()),0,IF(OR(INDEX($B738:$D738,BE$5)="F",AND(BE$6&gt;0,$A738&lt;BE$6),AND(BE$7&gt;0,$A738&gt;BE$7)),0,MAX(0,ROUND((INDEX($E738:$G738,BE$5)-SUMIFS(TF_Timer,TF_Tekniker,BE$4,TF_Dato,$A738))*2,0)/2)))</f>
        <v/>
      </c>
      <c r="BF738">
        <f>IF(OR(BF$4="",$A738&gt;TODAY()),0,IF(OR(INDEX($B738:$D738,BF$5)="F",AND(BF$6&gt;0,$A738&lt;BF$6),AND(BF$7&gt;0,$A738&gt;BF$7)),0,MAX(0,ROUND((INDEX($E738:$G738,BF$5)-SUMIFS(TF_Timer,TF_Tekniker,BF$4,TF_Dato,$A738))*2,0)/2)))</f>
        <v/>
      </c>
      <c r="BG738">
        <f>IF(OR(BG$4="",$A738&gt;TODAY()),0,IF(OR(INDEX($B738:$D738,BG$5)="F",AND(BG$6&gt;0,$A738&lt;BG$6),AND(BG$7&gt;0,$A738&gt;BG$7)),0,MAX(0,ROUND((INDEX($E738:$G738,BG$5)-SUMIFS(TF_Timer,TF_Tekniker,BG$4,TF_Dato,$A738))*2,0)/2)))</f>
        <v/>
      </c>
      <c r="BH738">
        <f>IF(OR(BH$4="",$A738&gt;TODAY()),0,IF(OR(INDEX($B738:$D738,BH$5)="F",AND(BH$6&gt;0,$A738&lt;BH$6),AND(BH$7&gt;0,$A738&gt;BH$7)),0,MAX(0,ROUND((INDEX($E738:$G738,BH$5)-SUMIFS(TF_Timer,TF_Tekniker,BH$4,TF_Dato,$A738))*2,0)/2)))</f>
        <v/>
      </c>
      <c r="BI738">
        <f>IF(OR(BI$4="",$A738&gt;TODAY()),0,IF(OR(INDEX($B738:$D738,BI$5)="F",AND(BI$6&gt;0,$A738&lt;BI$6),AND(BI$7&gt;0,$A738&gt;BI$7)),0,MAX(0,ROUND((INDEX($E738:$G738,BI$5)-SUMIFS(TF_Timer,TF_Tekniker,BI$4,TF_Dato,$A738))*2,0)/2)))</f>
        <v/>
      </c>
    </row>
    <row r="739">
      <c r="A739" s="64">
        <f>A738+1</f>
        <v/>
      </c>
      <c r="B739">
        <f>IF(MOD($A739-INDEX(SkiftStart,1),Syklus)&lt;DagK,"K",IF(MOD($A739-INDEX(SkiftStart,1),Syklus)&lt;DagK+DagH,"H",IF(MOD($A739-INDEX(SkiftStart,1),Syklus)&lt;DagK+DagH+DagD,"D","F")))</f>
        <v/>
      </c>
      <c r="C739">
        <f>IF(MOD($A739-INDEX(SkiftStart,2),Syklus)&lt;DagK,"K",IF(MOD($A739-INDEX(SkiftStart,2),Syklus)&lt;DagK+DagH,"H",IF(MOD($A739-INDEX(SkiftStart,2),Syklus)&lt;DagK+DagH+DagD,"D","F")))</f>
        <v/>
      </c>
      <c r="D739">
        <f>IF(MOD($A739-INDEX(SkiftStart,3),Syklus)&lt;DagK,"K",IF(MOD($A739-INDEX(SkiftStart,3),Syklus)&lt;DagK+DagH,"H",IF(MOD($A739-INDEX(SkiftStart,3),Syklus)&lt;DagK+DagH+DagD,"D","F")))</f>
        <v/>
      </c>
      <c r="E739">
        <f>IF(B739="F",0,IF(WEEKDAY($A739,2)=5,INDEX(TimerFr,MATCH(B739,FaseKode,0)),INDEX(TimerMT,MATCH(B739,FaseKode,0))))</f>
        <v/>
      </c>
      <c r="F739">
        <f>IF(C739="F",0,IF(WEEKDAY($A739,2)=5,INDEX(TimerFr,MATCH(C739,FaseKode,0)),INDEX(TimerMT,MATCH(C739,FaseKode,0))))</f>
        <v/>
      </c>
      <c r="G739">
        <f>IF(D739="F",0,IF(WEEKDAY($A739,2)=5,INDEX(TimerFr,MATCH(D739,FaseKode,0)),INDEX(TimerMT,MATCH(D739,FaseKode,0))))</f>
        <v/>
      </c>
      <c r="H739">
        <f>IF(OR(H$4="",$A739&gt;TODAY()),0,IF(OR(INDEX($B739:$D739,H$5)="F",AND(H$6&gt;0,$A739&lt;H$6),AND(H$7&gt;0,$A739&gt;H$7)),0,MAX(0,ROUND((INDEX($E739:$G739,H$5)-SUMIFS(TF_Timer,TF_Tekniker,H$4,TF_Dato,$A739))*2,0)/2)))</f>
        <v/>
      </c>
      <c r="I739">
        <f>IF(OR(I$4="",$A739&gt;TODAY()),0,IF(OR(INDEX($B739:$D739,I$5)="F",AND(I$6&gt;0,$A739&lt;I$6),AND(I$7&gt;0,$A739&gt;I$7)),0,MAX(0,ROUND((INDEX($E739:$G739,I$5)-SUMIFS(TF_Timer,TF_Tekniker,I$4,TF_Dato,$A739))*2,0)/2)))</f>
        <v/>
      </c>
      <c r="J739">
        <f>IF(OR(J$4="",$A739&gt;TODAY()),0,IF(OR(INDEX($B739:$D739,J$5)="F",AND(J$6&gt;0,$A739&lt;J$6),AND(J$7&gt;0,$A739&gt;J$7)),0,MAX(0,ROUND((INDEX($E739:$G739,J$5)-SUMIFS(TF_Timer,TF_Tekniker,J$4,TF_Dato,$A739))*2,0)/2)))</f>
        <v/>
      </c>
      <c r="K739">
        <f>IF(OR(K$4="",$A739&gt;TODAY()),0,IF(OR(INDEX($B739:$D739,K$5)="F",AND(K$6&gt;0,$A739&lt;K$6),AND(K$7&gt;0,$A739&gt;K$7)),0,MAX(0,ROUND((INDEX($E739:$G739,K$5)-SUMIFS(TF_Timer,TF_Tekniker,K$4,TF_Dato,$A739))*2,0)/2)))</f>
        <v/>
      </c>
      <c r="L739">
        <f>IF(OR(L$4="",$A739&gt;TODAY()),0,IF(OR(INDEX($B739:$D739,L$5)="F",AND(L$6&gt;0,$A739&lt;L$6),AND(L$7&gt;0,$A739&gt;L$7)),0,MAX(0,ROUND((INDEX($E739:$G739,L$5)-SUMIFS(TF_Timer,TF_Tekniker,L$4,TF_Dato,$A739))*2,0)/2)))</f>
        <v/>
      </c>
      <c r="M739">
        <f>IF(OR(M$4="",$A739&gt;TODAY()),0,IF(OR(INDEX($B739:$D739,M$5)="F",AND(M$6&gt;0,$A739&lt;M$6),AND(M$7&gt;0,$A739&gt;M$7)),0,MAX(0,ROUND((INDEX($E739:$G739,M$5)-SUMIFS(TF_Timer,TF_Tekniker,M$4,TF_Dato,$A739))*2,0)/2)))</f>
        <v/>
      </c>
      <c r="N739">
        <f>IF(OR(N$4="",$A739&gt;TODAY()),0,IF(OR(INDEX($B739:$D739,N$5)="F",AND(N$6&gt;0,$A739&lt;N$6),AND(N$7&gt;0,$A739&gt;N$7)),0,MAX(0,ROUND((INDEX($E739:$G739,N$5)-SUMIFS(TF_Timer,TF_Tekniker,N$4,TF_Dato,$A739))*2,0)/2)))</f>
        <v/>
      </c>
      <c r="O739">
        <f>IF(OR(O$4="",$A739&gt;TODAY()),0,IF(OR(INDEX($B739:$D739,O$5)="F",AND(O$6&gt;0,$A739&lt;O$6),AND(O$7&gt;0,$A739&gt;O$7)),0,MAX(0,ROUND((INDEX($E739:$G739,O$5)-SUMIFS(TF_Timer,TF_Tekniker,O$4,TF_Dato,$A739))*2,0)/2)))</f>
        <v/>
      </c>
      <c r="P739">
        <f>IF(OR(P$4="",$A739&gt;TODAY()),0,IF(OR(INDEX($B739:$D739,P$5)="F",AND(P$6&gt;0,$A739&lt;P$6),AND(P$7&gt;0,$A739&gt;P$7)),0,MAX(0,ROUND((INDEX($E739:$G739,P$5)-SUMIFS(TF_Timer,TF_Tekniker,P$4,TF_Dato,$A739))*2,0)/2)))</f>
        <v/>
      </c>
      <c r="Q739">
        <f>IF(OR(Q$4="",$A739&gt;TODAY()),0,IF(OR(INDEX($B739:$D739,Q$5)="F",AND(Q$6&gt;0,$A739&lt;Q$6),AND(Q$7&gt;0,$A739&gt;Q$7)),0,MAX(0,ROUND((INDEX($E739:$G739,Q$5)-SUMIFS(TF_Timer,TF_Tekniker,Q$4,TF_Dato,$A739))*2,0)/2)))</f>
        <v/>
      </c>
      <c r="R739">
        <f>IF(OR(R$4="",$A739&gt;TODAY()),0,IF(OR(INDEX($B739:$D739,R$5)="F",AND(R$6&gt;0,$A739&lt;R$6),AND(R$7&gt;0,$A739&gt;R$7)),0,MAX(0,ROUND((INDEX($E739:$G739,R$5)-SUMIFS(TF_Timer,TF_Tekniker,R$4,TF_Dato,$A739))*2,0)/2)))</f>
        <v/>
      </c>
      <c r="S739">
        <f>IF(OR(S$4="",$A739&gt;TODAY()),0,IF(OR(INDEX($B739:$D739,S$5)="F",AND(S$6&gt;0,$A739&lt;S$6),AND(S$7&gt;0,$A739&gt;S$7)),0,MAX(0,ROUND((INDEX($E739:$G739,S$5)-SUMIFS(TF_Timer,TF_Tekniker,S$4,TF_Dato,$A739))*2,0)/2)))</f>
        <v/>
      </c>
      <c r="T739">
        <f>IF(OR(T$4="",$A739&gt;TODAY()),0,IF(OR(INDEX($B739:$D739,T$5)="F",AND(T$6&gt;0,$A739&lt;T$6),AND(T$7&gt;0,$A739&gt;T$7)),0,MAX(0,ROUND((INDEX($E739:$G739,T$5)-SUMIFS(TF_Timer,TF_Tekniker,T$4,TF_Dato,$A739))*2,0)/2)))</f>
        <v/>
      </c>
      <c r="U739">
        <f>IF(OR(U$4="",$A739&gt;TODAY()),0,IF(OR(INDEX($B739:$D739,U$5)="F",AND(U$6&gt;0,$A739&lt;U$6),AND(U$7&gt;0,$A739&gt;U$7)),0,MAX(0,ROUND((INDEX($E739:$G739,U$5)-SUMIFS(TF_Timer,TF_Tekniker,U$4,TF_Dato,$A739))*2,0)/2)))</f>
        <v/>
      </c>
      <c r="V739">
        <f>IF(OR(V$4="",$A739&gt;TODAY()),0,IF(OR(INDEX($B739:$D739,V$5)="F",AND(V$6&gt;0,$A739&lt;V$6),AND(V$7&gt;0,$A739&gt;V$7)),0,MAX(0,ROUND((INDEX($E739:$G739,V$5)-SUMIFS(TF_Timer,TF_Tekniker,V$4,TF_Dato,$A739))*2,0)/2)))</f>
        <v/>
      </c>
      <c r="W739">
        <f>IF(OR(W$4="",$A739&gt;TODAY()),0,IF(OR(INDEX($B739:$D739,W$5)="F",AND(W$6&gt;0,$A739&lt;W$6),AND(W$7&gt;0,$A739&gt;W$7)),0,MAX(0,ROUND((INDEX($E739:$G739,W$5)-SUMIFS(TF_Timer,TF_Tekniker,W$4,TF_Dato,$A739))*2,0)/2)))</f>
        <v/>
      </c>
      <c r="X739">
        <f>IF(OR(X$4="",$A739&gt;TODAY()),0,IF(OR(INDEX($B739:$D739,X$5)="F",AND(X$6&gt;0,$A739&lt;X$6),AND(X$7&gt;0,$A739&gt;X$7)),0,MAX(0,ROUND((INDEX($E739:$G739,X$5)-SUMIFS(TF_Timer,TF_Tekniker,X$4,TF_Dato,$A739))*2,0)/2)))</f>
        <v/>
      </c>
      <c r="Y739">
        <f>IF(OR(Y$4="",$A739&gt;TODAY()),0,IF(OR(INDEX($B739:$D739,Y$5)="F",AND(Y$6&gt;0,$A739&lt;Y$6),AND(Y$7&gt;0,$A739&gt;Y$7)),0,MAX(0,ROUND((INDEX($E739:$G739,Y$5)-SUMIFS(TF_Timer,TF_Tekniker,Y$4,TF_Dato,$A739))*2,0)/2)))</f>
        <v/>
      </c>
      <c r="Z739">
        <f>IF(OR(Z$4="",$A739&gt;TODAY()),0,IF(OR(INDEX($B739:$D739,Z$5)="F",AND(Z$6&gt;0,$A739&lt;Z$6),AND(Z$7&gt;0,$A739&gt;Z$7)),0,MAX(0,ROUND((INDEX($E739:$G739,Z$5)-SUMIFS(TF_Timer,TF_Tekniker,Z$4,TF_Dato,$A739))*2,0)/2)))</f>
        <v/>
      </c>
      <c r="AA739">
        <f>IF(OR(AA$4="",$A739&gt;TODAY()),0,IF(OR(INDEX($B739:$D739,AA$5)="F",AND(AA$6&gt;0,$A739&lt;AA$6),AND(AA$7&gt;0,$A739&gt;AA$7)),0,MAX(0,ROUND((INDEX($E739:$G739,AA$5)-SUMIFS(TF_Timer,TF_Tekniker,AA$4,TF_Dato,$A739))*2,0)/2)))</f>
        <v/>
      </c>
      <c r="AB739">
        <f>IF(OR(AB$4="",$A739&gt;TODAY()),0,IF(OR(INDEX($B739:$D739,AB$5)="F",AND(AB$6&gt;0,$A739&lt;AB$6),AND(AB$7&gt;0,$A739&gt;AB$7)),0,MAX(0,ROUND((INDEX($E739:$G739,AB$5)-SUMIFS(TF_Timer,TF_Tekniker,AB$4,TF_Dato,$A739))*2,0)/2)))</f>
        <v/>
      </c>
      <c r="AC739">
        <f>IF(OR(AC$4="",$A739&gt;TODAY()),0,IF(OR(INDEX($B739:$D739,AC$5)="F",AND(AC$6&gt;0,$A739&lt;AC$6),AND(AC$7&gt;0,$A739&gt;AC$7)),0,MAX(0,ROUND((INDEX($E739:$G739,AC$5)-SUMIFS(TF_Timer,TF_Tekniker,AC$4,TF_Dato,$A739))*2,0)/2)))</f>
        <v/>
      </c>
      <c r="AD739">
        <f>IF(OR(AD$4="",$A739&gt;TODAY()),0,IF(OR(INDEX($B739:$D739,AD$5)="F",AND(AD$6&gt;0,$A739&lt;AD$6),AND(AD$7&gt;0,$A739&gt;AD$7)),0,MAX(0,ROUND((INDEX($E739:$G739,AD$5)-SUMIFS(TF_Timer,TF_Tekniker,AD$4,TF_Dato,$A739))*2,0)/2)))</f>
        <v/>
      </c>
      <c r="AE739">
        <f>IF(OR(AE$4="",$A739&gt;TODAY()),0,IF(OR(INDEX($B739:$D739,AE$5)="F",AND(AE$6&gt;0,$A739&lt;AE$6),AND(AE$7&gt;0,$A739&gt;AE$7)),0,MAX(0,ROUND((INDEX($E739:$G739,AE$5)-SUMIFS(TF_Timer,TF_Tekniker,AE$4,TF_Dato,$A739))*2,0)/2)))</f>
        <v/>
      </c>
      <c r="AF739">
        <f>IF(OR(AF$4="",$A739&gt;TODAY()),0,IF(OR(INDEX($B739:$D739,AF$5)="F",AND(AF$6&gt;0,$A739&lt;AF$6),AND(AF$7&gt;0,$A739&gt;AF$7)),0,MAX(0,ROUND((INDEX($E739:$G739,AF$5)-SUMIFS(TF_Timer,TF_Tekniker,AF$4,TF_Dato,$A739))*2,0)/2)))</f>
        <v/>
      </c>
      <c r="AG739">
        <f>IF(OR(AG$4="",$A739&gt;TODAY()),0,IF(OR(INDEX($B739:$D739,AG$5)="F",AND(AG$6&gt;0,$A739&lt;AG$6),AND(AG$7&gt;0,$A739&gt;AG$7)),0,MAX(0,ROUND((INDEX($E739:$G739,AG$5)-SUMIFS(TF_Timer,TF_Tekniker,AG$4,TF_Dato,$A739))*2,0)/2)))</f>
        <v/>
      </c>
      <c r="AH739">
        <f>IF(OR(AH$4="",$A739&gt;TODAY()),0,IF(OR(INDEX($B739:$D739,AH$5)="F",AND(AH$6&gt;0,$A739&lt;AH$6),AND(AH$7&gt;0,$A739&gt;AH$7)),0,MAX(0,ROUND((INDEX($E739:$G739,AH$5)-SUMIFS(TF_Timer,TF_Tekniker,AH$4,TF_Dato,$A739))*2,0)/2)))</f>
        <v/>
      </c>
      <c r="AI739">
        <f>IF(OR(AI$4="",$A739&gt;TODAY()),0,IF(OR(INDEX($B739:$D739,AI$5)="F",AND(AI$6&gt;0,$A739&lt;AI$6),AND(AI$7&gt;0,$A739&gt;AI$7)),0,MAX(0,ROUND((INDEX($E739:$G739,AI$5)-SUMIFS(TF_Timer,TF_Tekniker,AI$4,TF_Dato,$A739))*2,0)/2)))</f>
        <v/>
      </c>
      <c r="AJ739">
        <f>IF(OR(AJ$4="",$A739&gt;TODAY()),0,IF(OR(INDEX($B739:$D739,AJ$5)="F",AND(AJ$6&gt;0,$A739&lt;AJ$6),AND(AJ$7&gt;0,$A739&gt;AJ$7)),0,MAX(0,ROUND((INDEX($E739:$G739,AJ$5)-SUMIFS(TF_Timer,TF_Tekniker,AJ$4,TF_Dato,$A739))*2,0)/2)))</f>
        <v/>
      </c>
      <c r="AK739">
        <f>IF(OR(AK$4="",$A739&gt;TODAY()),0,IF(OR(INDEX($B739:$D739,AK$5)="F",AND(AK$6&gt;0,$A739&lt;AK$6),AND(AK$7&gt;0,$A739&gt;AK$7)),0,MAX(0,ROUND((INDEX($E739:$G739,AK$5)-SUMIFS(TF_Timer,TF_Tekniker,AK$4,TF_Dato,$A739))*2,0)/2)))</f>
        <v/>
      </c>
      <c r="AL739">
        <f>IF(OR(AL$4="",$A739&gt;TODAY()),0,IF(OR(INDEX($B739:$D739,AL$5)="F",AND(AL$6&gt;0,$A739&lt;AL$6),AND(AL$7&gt;0,$A739&gt;AL$7)),0,MAX(0,ROUND((INDEX($E739:$G739,AL$5)-SUMIFS(TF_Timer,TF_Tekniker,AL$4,TF_Dato,$A739))*2,0)/2)))</f>
        <v/>
      </c>
      <c r="AM739">
        <f>IF(OR(AM$4="",$A739&gt;TODAY()),0,IF(OR(INDEX($B739:$D739,AM$5)="F",AND(AM$6&gt;0,$A739&lt;AM$6),AND(AM$7&gt;0,$A739&gt;AM$7)),0,MAX(0,ROUND((INDEX($E739:$G739,AM$5)-SUMIFS(TF_Timer,TF_Tekniker,AM$4,TF_Dato,$A739))*2,0)/2)))</f>
        <v/>
      </c>
      <c r="AN739">
        <f>IF(OR(AN$4="",$A739&gt;TODAY()),0,IF(OR(INDEX($B739:$D739,AN$5)="F",AND(AN$6&gt;0,$A739&lt;AN$6),AND(AN$7&gt;0,$A739&gt;AN$7)),0,MAX(0,ROUND((INDEX($E739:$G739,AN$5)-SUMIFS(TF_Timer,TF_Tekniker,AN$4,TF_Dato,$A739))*2,0)/2)))</f>
        <v/>
      </c>
      <c r="AO739">
        <f>IF(OR(AO$4="",$A739&gt;TODAY()),0,IF(OR(INDEX($B739:$D739,AO$5)="F",AND(AO$6&gt;0,$A739&lt;AO$6),AND(AO$7&gt;0,$A739&gt;AO$7)),0,MAX(0,ROUND((INDEX($E739:$G739,AO$5)-SUMIFS(TF_Timer,TF_Tekniker,AO$4,TF_Dato,$A739))*2,0)/2)))</f>
        <v/>
      </c>
      <c r="AP739">
        <f>IF(OR(AP$4="",$A739&gt;TODAY()),0,IF(OR(INDEX($B739:$D739,AP$5)="F",AND(AP$6&gt;0,$A739&lt;AP$6),AND(AP$7&gt;0,$A739&gt;AP$7)),0,MAX(0,ROUND((INDEX($E739:$G739,AP$5)-SUMIFS(TF_Timer,TF_Tekniker,AP$4,TF_Dato,$A739))*2,0)/2)))</f>
        <v/>
      </c>
      <c r="AQ739">
        <f>IF(OR(AQ$4="",$A739&gt;TODAY()),0,IF(OR(INDEX($B739:$D739,AQ$5)="F",AND(AQ$6&gt;0,$A739&lt;AQ$6),AND(AQ$7&gt;0,$A739&gt;AQ$7)),0,MAX(0,ROUND((INDEX($E739:$G739,AQ$5)-SUMIFS(TF_Timer,TF_Tekniker,AQ$4,TF_Dato,$A739))*2,0)/2)))</f>
        <v/>
      </c>
      <c r="AR739">
        <f>IF(OR(AR$4="",$A739&gt;TODAY()),0,IF(OR(INDEX($B739:$D739,AR$5)="F",AND(AR$6&gt;0,$A739&lt;AR$6),AND(AR$7&gt;0,$A739&gt;AR$7)),0,MAX(0,ROUND((INDEX($E739:$G739,AR$5)-SUMIFS(TF_Timer,TF_Tekniker,AR$4,TF_Dato,$A739))*2,0)/2)))</f>
        <v/>
      </c>
      <c r="AS739">
        <f>IF(OR(AS$4="",$A739&gt;TODAY()),0,IF(OR(INDEX($B739:$D739,AS$5)="F",AND(AS$6&gt;0,$A739&lt;AS$6),AND(AS$7&gt;0,$A739&gt;AS$7)),0,MAX(0,ROUND((INDEX($E739:$G739,AS$5)-SUMIFS(TF_Timer,TF_Tekniker,AS$4,TF_Dato,$A739))*2,0)/2)))</f>
        <v/>
      </c>
      <c r="AT739">
        <f>IF(OR(AT$4="",$A739&gt;TODAY()),0,IF(OR(INDEX($B739:$D739,AT$5)="F",AND(AT$6&gt;0,$A739&lt;AT$6),AND(AT$7&gt;0,$A739&gt;AT$7)),0,MAX(0,ROUND((INDEX($E739:$G739,AT$5)-SUMIFS(TF_Timer,TF_Tekniker,AT$4,TF_Dato,$A739))*2,0)/2)))</f>
        <v/>
      </c>
      <c r="AU739">
        <f>IF(OR(AU$4="",$A739&gt;TODAY()),0,IF(OR(INDEX($B739:$D739,AU$5)="F",AND(AU$6&gt;0,$A739&lt;AU$6),AND(AU$7&gt;0,$A739&gt;AU$7)),0,MAX(0,ROUND((INDEX($E739:$G739,AU$5)-SUMIFS(TF_Timer,TF_Tekniker,AU$4,TF_Dato,$A739))*2,0)/2)))</f>
        <v/>
      </c>
      <c r="AV739">
        <f>IF(OR(AV$4="",$A739&gt;TODAY()),0,IF(OR(INDEX($B739:$D739,AV$5)="F",AND(AV$6&gt;0,$A739&lt;AV$6),AND(AV$7&gt;0,$A739&gt;AV$7)),0,MAX(0,ROUND((INDEX($E739:$G739,AV$5)-SUMIFS(TF_Timer,TF_Tekniker,AV$4,TF_Dato,$A739))*2,0)/2)))</f>
        <v/>
      </c>
      <c r="AW739">
        <f>IF(OR(AW$4="",$A739&gt;TODAY()),0,IF(OR(INDEX($B739:$D739,AW$5)="F",AND(AW$6&gt;0,$A739&lt;AW$6),AND(AW$7&gt;0,$A739&gt;AW$7)),0,MAX(0,ROUND((INDEX($E739:$G739,AW$5)-SUMIFS(TF_Timer,TF_Tekniker,AW$4,TF_Dato,$A739))*2,0)/2)))</f>
        <v/>
      </c>
      <c r="AX739">
        <f>IF(OR(AX$4="",$A739&gt;TODAY()),0,IF(OR(INDEX($B739:$D739,AX$5)="F",AND(AX$6&gt;0,$A739&lt;AX$6),AND(AX$7&gt;0,$A739&gt;AX$7)),0,MAX(0,ROUND((INDEX($E739:$G739,AX$5)-SUMIFS(TF_Timer,TF_Tekniker,AX$4,TF_Dato,$A739))*2,0)/2)))</f>
        <v/>
      </c>
      <c r="AY739">
        <f>IF(OR(AY$4="",$A739&gt;TODAY()),0,IF(OR(INDEX($B739:$D739,AY$5)="F",AND(AY$6&gt;0,$A739&lt;AY$6),AND(AY$7&gt;0,$A739&gt;AY$7)),0,MAX(0,ROUND((INDEX($E739:$G739,AY$5)-SUMIFS(TF_Timer,TF_Tekniker,AY$4,TF_Dato,$A739))*2,0)/2)))</f>
        <v/>
      </c>
      <c r="AZ739">
        <f>IF(OR(AZ$4="",$A739&gt;TODAY()),0,IF(OR(INDEX($B739:$D739,AZ$5)="F",AND(AZ$6&gt;0,$A739&lt;AZ$6),AND(AZ$7&gt;0,$A739&gt;AZ$7)),0,MAX(0,ROUND((INDEX($E739:$G739,AZ$5)-SUMIFS(TF_Timer,TF_Tekniker,AZ$4,TF_Dato,$A739))*2,0)/2)))</f>
        <v/>
      </c>
      <c r="BA739">
        <f>IF(OR(BA$4="",$A739&gt;TODAY()),0,IF(OR(INDEX($B739:$D739,BA$5)="F",AND(BA$6&gt;0,$A739&lt;BA$6),AND(BA$7&gt;0,$A739&gt;BA$7)),0,MAX(0,ROUND((INDEX($E739:$G739,BA$5)-SUMIFS(TF_Timer,TF_Tekniker,BA$4,TF_Dato,$A739))*2,0)/2)))</f>
        <v/>
      </c>
      <c r="BB739">
        <f>IF(OR(BB$4="",$A739&gt;TODAY()),0,IF(OR(INDEX($B739:$D739,BB$5)="F",AND(BB$6&gt;0,$A739&lt;BB$6),AND(BB$7&gt;0,$A739&gt;BB$7)),0,MAX(0,ROUND((INDEX($E739:$G739,BB$5)-SUMIFS(TF_Timer,TF_Tekniker,BB$4,TF_Dato,$A739))*2,0)/2)))</f>
        <v/>
      </c>
      <c r="BC739">
        <f>IF(OR(BC$4="",$A739&gt;TODAY()),0,IF(OR(INDEX($B739:$D739,BC$5)="F",AND(BC$6&gt;0,$A739&lt;BC$6),AND(BC$7&gt;0,$A739&gt;BC$7)),0,MAX(0,ROUND((INDEX($E739:$G739,BC$5)-SUMIFS(TF_Timer,TF_Tekniker,BC$4,TF_Dato,$A739))*2,0)/2)))</f>
        <v/>
      </c>
      <c r="BD739">
        <f>IF(OR(BD$4="",$A739&gt;TODAY()),0,IF(OR(INDEX($B739:$D739,BD$5)="F",AND(BD$6&gt;0,$A739&lt;BD$6),AND(BD$7&gt;0,$A739&gt;BD$7)),0,MAX(0,ROUND((INDEX($E739:$G739,BD$5)-SUMIFS(TF_Timer,TF_Tekniker,BD$4,TF_Dato,$A739))*2,0)/2)))</f>
        <v/>
      </c>
      <c r="BE739">
        <f>IF(OR(BE$4="",$A739&gt;TODAY()),0,IF(OR(INDEX($B739:$D739,BE$5)="F",AND(BE$6&gt;0,$A739&lt;BE$6),AND(BE$7&gt;0,$A739&gt;BE$7)),0,MAX(0,ROUND((INDEX($E739:$G739,BE$5)-SUMIFS(TF_Timer,TF_Tekniker,BE$4,TF_Dato,$A739))*2,0)/2)))</f>
        <v/>
      </c>
      <c r="BF739">
        <f>IF(OR(BF$4="",$A739&gt;TODAY()),0,IF(OR(INDEX($B739:$D739,BF$5)="F",AND(BF$6&gt;0,$A739&lt;BF$6),AND(BF$7&gt;0,$A739&gt;BF$7)),0,MAX(0,ROUND((INDEX($E739:$G739,BF$5)-SUMIFS(TF_Timer,TF_Tekniker,BF$4,TF_Dato,$A739))*2,0)/2)))</f>
        <v/>
      </c>
      <c r="BG739">
        <f>IF(OR(BG$4="",$A739&gt;TODAY()),0,IF(OR(INDEX($B739:$D739,BG$5)="F",AND(BG$6&gt;0,$A739&lt;BG$6),AND(BG$7&gt;0,$A739&gt;BG$7)),0,MAX(0,ROUND((INDEX($E739:$G739,BG$5)-SUMIFS(TF_Timer,TF_Tekniker,BG$4,TF_Dato,$A739))*2,0)/2)))</f>
        <v/>
      </c>
      <c r="BH739">
        <f>IF(OR(BH$4="",$A739&gt;TODAY()),0,IF(OR(INDEX($B739:$D739,BH$5)="F",AND(BH$6&gt;0,$A739&lt;BH$6),AND(BH$7&gt;0,$A739&gt;BH$7)),0,MAX(0,ROUND((INDEX($E739:$G739,BH$5)-SUMIFS(TF_Timer,TF_Tekniker,BH$4,TF_Dato,$A739))*2,0)/2)))</f>
        <v/>
      </c>
      <c r="BI739">
        <f>IF(OR(BI$4="",$A739&gt;TODAY()),0,IF(OR(INDEX($B739:$D739,BI$5)="F",AND(BI$6&gt;0,$A739&lt;BI$6),AND(BI$7&gt;0,$A739&gt;BI$7)),0,MAX(0,ROUND((INDEX($E739:$G739,BI$5)-SUMIFS(TF_Timer,TF_Tekniker,BI$4,TF_Dato,$A739))*2,0)/2)))</f>
        <v/>
      </c>
    </row>
    <row r="740">
      <c r="A740" s="64">
        <f>A739+1</f>
        <v/>
      </c>
      <c r="B740">
        <f>IF(MOD($A740-INDEX(SkiftStart,1),Syklus)&lt;DagK,"K",IF(MOD($A740-INDEX(SkiftStart,1),Syklus)&lt;DagK+DagH,"H",IF(MOD($A740-INDEX(SkiftStart,1),Syklus)&lt;DagK+DagH+DagD,"D","F")))</f>
        <v/>
      </c>
      <c r="C740">
        <f>IF(MOD($A740-INDEX(SkiftStart,2),Syklus)&lt;DagK,"K",IF(MOD($A740-INDEX(SkiftStart,2),Syklus)&lt;DagK+DagH,"H",IF(MOD($A740-INDEX(SkiftStart,2),Syklus)&lt;DagK+DagH+DagD,"D","F")))</f>
        <v/>
      </c>
      <c r="D740">
        <f>IF(MOD($A740-INDEX(SkiftStart,3),Syklus)&lt;DagK,"K",IF(MOD($A740-INDEX(SkiftStart,3),Syklus)&lt;DagK+DagH,"H",IF(MOD($A740-INDEX(SkiftStart,3),Syklus)&lt;DagK+DagH+DagD,"D","F")))</f>
        <v/>
      </c>
      <c r="E740">
        <f>IF(B740="F",0,IF(WEEKDAY($A740,2)=5,INDEX(TimerFr,MATCH(B740,FaseKode,0)),INDEX(TimerMT,MATCH(B740,FaseKode,0))))</f>
        <v/>
      </c>
      <c r="F740">
        <f>IF(C740="F",0,IF(WEEKDAY($A740,2)=5,INDEX(TimerFr,MATCH(C740,FaseKode,0)),INDEX(TimerMT,MATCH(C740,FaseKode,0))))</f>
        <v/>
      </c>
      <c r="G740">
        <f>IF(D740="F",0,IF(WEEKDAY($A740,2)=5,INDEX(TimerFr,MATCH(D740,FaseKode,0)),INDEX(TimerMT,MATCH(D740,FaseKode,0))))</f>
        <v/>
      </c>
      <c r="H740">
        <f>IF(OR(H$4="",$A740&gt;TODAY()),0,IF(OR(INDEX($B740:$D740,H$5)="F",AND(H$6&gt;0,$A740&lt;H$6),AND(H$7&gt;0,$A740&gt;H$7)),0,MAX(0,ROUND((INDEX($E740:$G740,H$5)-SUMIFS(TF_Timer,TF_Tekniker,H$4,TF_Dato,$A740))*2,0)/2)))</f>
        <v/>
      </c>
      <c r="I740">
        <f>IF(OR(I$4="",$A740&gt;TODAY()),0,IF(OR(INDEX($B740:$D740,I$5)="F",AND(I$6&gt;0,$A740&lt;I$6),AND(I$7&gt;0,$A740&gt;I$7)),0,MAX(0,ROUND((INDEX($E740:$G740,I$5)-SUMIFS(TF_Timer,TF_Tekniker,I$4,TF_Dato,$A740))*2,0)/2)))</f>
        <v/>
      </c>
      <c r="J740">
        <f>IF(OR(J$4="",$A740&gt;TODAY()),0,IF(OR(INDEX($B740:$D740,J$5)="F",AND(J$6&gt;0,$A740&lt;J$6),AND(J$7&gt;0,$A740&gt;J$7)),0,MAX(0,ROUND((INDEX($E740:$G740,J$5)-SUMIFS(TF_Timer,TF_Tekniker,J$4,TF_Dato,$A740))*2,0)/2)))</f>
        <v/>
      </c>
      <c r="K740">
        <f>IF(OR(K$4="",$A740&gt;TODAY()),0,IF(OR(INDEX($B740:$D740,K$5)="F",AND(K$6&gt;0,$A740&lt;K$6),AND(K$7&gt;0,$A740&gt;K$7)),0,MAX(0,ROUND((INDEX($E740:$G740,K$5)-SUMIFS(TF_Timer,TF_Tekniker,K$4,TF_Dato,$A740))*2,0)/2)))</f>
        <v/>
      </c>
      <c r="L740">
        <f>IF(OR(L$4="",$A740&gt;TODAY()),0,IF(OR(INDEX($B740:$D740,L$5)="F",AND(L$6&gt;0,$A740&lt;L$6),AND(L$7&gt;0,$A740&gt;L$7)),0,MAX(0,ROUND((INDEX($E740:$G740,L$5)-SUMIFS(TF_Timer,TF_Tekniker,L$4,TF_Dato,$A740))*2,0)/2)))</f>
        <v/>
      </c>
      <c r="M740">
        <f>IF(OR(M$4="",$A740&gt;TODAY()),0,IF(OR(INDEX($B740:$D740,M$5)="F",AND(M$6&gt;0,$A740&lt;M$6),AND(M$7&gt;0,$A740&gt;M$7)),0,MAX(0,ROUND((INDEX($E740:$G740,M$5)-SUMIFS(TF_Timer,TF_Tekniker,M$4,TF_Dato,$A740))*2,0)/2)))</f>
        <v/>
      </c>
      <c r="N740">
        <f>IF(OR(N$4="",$A740&gt;TODAY()),0,IF(OR(INDEX($B740:$D740,N$5)="F",AND(N$6&gt;0,$A740&lt;N$6),AND(N$7&gt;0,$A740&gt;N$7)),0,MAX(0,ROUND((INDEX($E740:$G740,N$5)-SUMIFS(TF_Timer,TF_Tekniker,N$4,TF_Dato,$A740))*2,0)/2)))</f>
        <v/>
      </c>
      <c r="O740">
        <f>IF(OR(O$4="",$A740&gt;TODAY()),0,IF(OR(INDEX($B740:$D740,O$5)="F",AND(O$6&gt;0,$A740&lt;O$6),AND(O$7&gt;0,$A740&gt;O$7)),0,MAX(0,ROUND((INDEX($E740:$G740,O$5)-SUMIFS(TF_Timer,TF_Tekniker,O$4,TF_Dato,$A740))*2,0)/2)))</f>
        <v/>
      </c>
      <c r="P740">
        <f>IF(OR(P$4="",$A740&gt;TODAY()),0,IF(OR(INDEX($B740:$D740,P$5)="F",AND(P$6&gt;0,$A740&lt;P$6),AND(P$7&gt;0,$A740&gt;P$7)),0,MAX(0,ROUND((INDEX($E740:$G740,P$5)-SUMIFS(TF_Timer,TF_Tekniker,P$4,TF_Dato,$A740))*2,0)/2)))</f>
        <v/>
      </c>
      <c r="Q740">
        <f>IF(OR(Q$4="",$A740&gt;TODAY()),0,IF(OR(INDEX($B740:$D740,Q$5)="F",AND(Q$6&gt;0,$A740&lt;Q$6),AND(Q$7&gt;0,$A740&gt;Q$7)),0,MAX(0,ROUND((INDEX($E740:$G740,Q$5)-SUMIFS(TF_Timer,TF_Tekniker,Q$4,TF_Dato,$A740))*2,0)/2)))</f>
        <v/>
      </c>
      <c r="R740">
        <f>IF(OR(R$4="",$A740&gt;TODAY()),0,IF(OR(INDEX($B740:$D740,R$5)="F",AND(R$6&gt;0,$A740&lt;R$6),AND(R$7&gt;0,$A740&gt;R$7)),0,MAX(0,ROUND((INDEX($E740:$G740,R$5)-SUMIFS(TF_Timer,TF_Tekniker,R$4,TF_Dato,$A740))*2,0)/2)))</f>
        <v/>
      </c>
      <c r="S740">
        <f>IF(OR(S$4="",$A740&gt;TODAY()),0,IF(OR(INDEX($B740:$D740,S$5)="F",AND(S$6&gt;0,$A740&lt;S$6),AND(S$7&gt;0,$A740&gt;S$7)),0,MAX(0,ROUND((INDEX($E740:$G740,S$5)-SUMIFS(TF_Timer,TF_Tekniker,S$4,TF_Dato,$A740))*2,0)/2)))</f>
        <v/>
      </c>
      <c r="T740">
        <f>IF(OR(T$4="",$A740&gt;TODAY()),0,IF(OR(INDEX($B740:$D740,T$5)="F",AND(T$6&gt;0,$A740&lt;T$6),AND(T$7&gt;0,$A740&gt;T$7)),0,MAX(0,ROUND((INDEX($E740:$G740,T$5)-SUMIFS(TF_Timer,TF_Tekniker,T$4,TF_Dato,$A740))*2,0)/2)))</f>
        <v/>
      </c>
      <c r="U740">
        <f>IF(OR(U$4="",$A740&gt;TODAY()),0,IF(OR(INDEX($B740:$D740,U$5)="F",AND(U$6&gt;0,$A740&lt;U$6),AND(U$7&gt;0,$A740&gt;U$7)),0,MAX(0,ROUND((INDEX($E740:$G740,U$5)-SUMIFS(TF_Timer,TF_Tekniker,U$4,TF_Dato,$A740))*2,0)/2)))</f>
        <v/>
      </c>
      <c r="V740">
        <f>IF(OR(V$4="",$A740&gt;TODAY()),0,IF(OR(INDEX($B740:$D740,V$5)="F",AND(V$6&gt;0,$A740&lt;V$6),AND(V$7&gt;0,$A740&gt;V$7)),0,MAX(0,ROUND((INDEX($E740:$G740,V$5)-SUMIFS(TF_Timer,TF_Tekniker,V$4,TF_Dato,$A740))*2,0)/2)))</f>
        <v/>
      </c>
      <c r="W740">
        <f>IF(OR(W$4="",$A740&gt;TODAY()),0,IF(OR(INDEX($B740:$D740,W$5)="F",AND(W$6&gt;0,$A740&lt;W$6),AND(W$7&gt;0,$A740&gt;W$7)),0,MAX(0,ROUND((INDEX($E740:$G740,W$5)-SUMIFS(TF_Timer,TF_Tekniker,W$4,TF_Dato,$A740))*2,0)/2)))</f>
        <v/>
      </c>
      <c r="X740">
        <f>IF(OR(X$4="",$A740&gt;TODAY()),0,IF(OR(INDEX($B740:$D740,X$5)="F",AND(X$6&gt;0,$A740&lt;X$6),AND(X$7&gt;0,$A740&gt;X$7)),0,MAX(0,ROUND((INDEX($E740:$G740,X$5)-SUMIFS(TF_Timer,TF_Tekniker,X$4,TF_Dato,$A740))*2,0)/2)))</f>
        <v/>
      </c>
      <c r="Y740">
        <f>IF(OR(Y$4="",$A740&gt;TODAY()),0,IF(OR(INDEX($B740:$D740,Y$5)="F",AND(Y$6&gt;0,$A740&lt;Y$6),AND(Y$7&gt;0,$A740&gt;Y$7)),0,MAX(0,ROUND((INDEX($E740:$G740,Y$5)-SUMIFS(TF_Timer,TF_Tekniker,Y$4,TF_Dato,$A740))*2,0)/2)))</f>
        <v/>
      </c>
      <c r="Z740">
        <f>IF(OR(Z$4="",$A740&gt;TODAY()),0,IF(OR(INDEX($B740:$D740,Z$5)="F",AND(Z$6&gt;0,$A740&lt;Z$6),AND(Z$7&gt;0,$A740&gt;Z$7)),0,MAX(0,ROUND((INDEX($E740:$G740,Z$5)-SUMIFS(TF_Timer,TF_Tekniker,Z$4,TF_Dato,$A740))*2,0)/2)))</f>
        <v/>
      </c>
      <c r="AA740">
        <f>IF(OR(AA$4="",$A740&gt;TODAY()),0,IF(OR(INDEX($B740:$D740,AA$5)="F",AND(AA$6&gt;0,$A740&lt;AA$6),AND(AA$7&gt;0,$A740&gt;AA$7)),0,MAX(0,ROUND((INDEX($E740:$G740,AA$5)-SUMIFS(TF_Timer,TF_Tekniker,AA$4,TF_Dato,$A740))*2,0)/2)))</f>
        <v/>
      </c>
      <c r="AB740">
        <f>IF(OR(AB$4="",$A740&gt;TODAY()),0,IF(OR(INDEX($B740:$D740,AB$5)="F",AND(AB$6&gt;0,$A740&lt;AB$6),AND(AB$7&gt;0,$A740&gt;AB$7)),0,MAX(0,ROUND((INDEX($E740:$G740,AB$5)-SUMIFS(TF_Timer,TF_Tekniker,AB$4,TF_Dato,$A740))*2,0)/2)))</f>
        <v/>
      </c>
      <c r="AC740">
        <f>IF(OR(AC$4="",$A740&gt;TODAY()),0,IF(OR(INDEX($B740:$D740,AC$5)="F",AND(AC$6&gt;0,$A740&lt;AC$6),AND(AC$7&gt;0,$A740&gt;AC$7)),0,MAX(0,ROUND((INDEX($E740:$G740,AC$5)-SUMIFS(TF_Timer,TF_Tekniker,AC$4,TF_Dato,$A740))*2,0)/2)))</f>
        <v/>
      </c>
      <c r="AD740">
        <f>IF(OR(AD$4="",$A740&gt;TODAY()),0,IF(OR(INDEX($B740:$D740,AD$5)="F",AND(AD$6&gt;0,$A740&lt;AD$6),AND(AD$7&gt;0,$A740&gt;AD$7)),0,MAX(0,ROUND((INDEX($E740:$G740,AD$5)-SUMIFS(TF_Timer,TF_Tekniker,AD$4,TF_Dato,$A740))*2,0)/2)))</f>
        <v/>
      </c>
      <c r="AE740">
        <f>IF(OR(AE$4="",$A740&gt;TODAY()),0,IF(OR(INDEX($B740:$D740,AE$5)="F",AND(AE$6&gt;0,$A740&lt;AE$6),AND(AE$7&gt;0,$A740&gt;AE$7)),0,MAX(0,ROUND((INDEX($E740:$G740,AE$5)-SUMIFS(TF_Timer,TF_Tekniker,AE$4,TF_Dato,$A740))*2,0)/2)))</f>
        <v/>
      </c>
      <c r="AF740">
        <f>IF(OR(AF$4="",$A740&gt;TODAY()),0,IF(OR(INDEX($B740:$D740,AF$5)="F",AND(AF$6&gt;0,$A740&lt;AF$6),AND(AF$7&gt;0,$A740&gt;AF$7)),0,MAX(0,ROUND((INDEX($E740:$G740,AF$5)-SUMIFS(TF_Timer,TF_Tekniker,AF$4,TF_Dato,$A740))*2,0)/2)))</f>
        <v/>
      </c>
      <c r="AG740">
        <f>IF(OR(AG$4="",$A740&gt;TODAY()),0,IF(OR(INDEX($B740:$D740,AG$5)="F",AND(AG$6&gt;0,$A740&lt;AG$6),AND(AG$7&gt;0,$A740&gt;AG$7)),0,MAX(0,ROUND((INDEX($E740:$G740,AG$5)-SUMIFS(TF_Timer,TF_Tekniker,AG$4,TF_Dato,$A740))*2,0)/2)))</f>
        <v/>
      </c>
      <c r="AH740">
        <f>IF(OR(AH$4="",$A740&gt;TODAY()),0,IF(OR(INDEX($B740:$D740,AH$5)="F",AND(AH$6&gt;0,$A740&lt;AH$6),AND(AH$7&gt;0,$A740&gt;AH$7)),0,MAX(0,ROUND((INDEX($E740:$G740,AH$5)-SUMIFS(TF_Timer,TF_Tekniker,AH$4,TF_Dato,$A740))*2,0)/2)))</f>
        <v/>
      </c>
      <c r="AI740">
        <f>IF(OR(AI$4="",$A740&gt;TODAY()),0,IF(OR(INDEX($B740:$D740,AI$5)="F",AND(AI$6&gt;0,$A740&lt;AI$6),AND(AI$7&gt;0,$A740&gt;AI$7)),0,MAX(0,ROUND((INDEX($E740:$G740,AI$5)-SUMIFS(TF_Timer,TF_Tekniker,AI$4,TF_Dato,$A740))*2,0)/2)))</f>
        <v/>
      </c>
      <c r="AJ740">
        <f>IF(OR(AJ$4="",$A740&gt;TODAY()),0,IF(OR(INDEX($B740:$D740,AJ$5)="F",AND(AJ$6&gt;0,$A740&lt;AJ$6),AND(AJ$7&gt;0,$A740&gt;AJ$7)),0,MAX(0,ROUND((INDEX($E740:$G740,AJ$5)-SUMIFS(TF_Timer,TF_Tekniker,AJ$4,TF_Dato,$A740))*2,0)/2)))</f>
        <v/>
      </c>
      <c r="AK740">
        <f>IF(OR(AK$4="",$A740&gt;TODAY()),0,IF(OR(INDEX($B740:$D740,AK$5)="F",AND(AK$6&gt;0,$A740&lt;AK$6),AND(AK$7&gt;0,$A740&gt;AK$7)),0,MAX(0,ROUND((INDEX($E740:$G740,AK$5)-SUMIFS(TF_Timer,TF_Tekniker,AK$4,TF_Dato,$A740))*2,0)/2)))</f>
        <v/>
      </c>
      <c r="AL740">
        <f>IF(OR(AL$4="",$A740&gt;TODAY()),0,IF(OR(INDEX($B740:$D740,AL$5)="F",AND(AL$6&gt;0,$A740&lt;AL$6),AND(AL$7&gt;0,$A740&gt;AL$7)),0,MAX(0,ROUND((INDEX($E740:$G740,AL$5)-SUMIFS(TF_Timer,TF_Tekniker,AL$4,TF_Dato,$A740))*2,0)/2)))</f>
        <v/>
      </c>
      <c r="AM740">
        <f>IF(OR(AM$4="",$A740&gt;TODAY()),0,IF(OR(INDEX($B740:$D740,AM$5)="F",AND(AM$6&gt;0,$A740&lt;AM$6),AND(AM$7&gt;0,$A740&gt;AM$7)),0,MAX(0,ROUND((INDEX($E740:$G740,AM$5)-SUMIFS(TF_Timer,TF_Tekniker,AM$4,TF_Dato,$A740))*2,0)/2)))</f>
        <v/>
      </c>
      <c r="AN740">
        <f>IF(OR(AN$4="",$A740&gt;TODAY()),0,IF(OR(INDEX($B740:$D740,AN$5)="F",AND(AN$6&gt;0,$A740&lt;AN$6),AND(AN$7&gt;0,$A740&gt;AN$7)),0,MAX(0,ROUND((INDEX($E740:$G740,AN$5)-SUMIFS(TF_Timer,TF_Tekniker,AN$4,TF_Dato,$A740))*2,0)/2)))</f>
        <v/>
      </c>
      <c r="AO740">
        <f>IF(OR(AO$4="",$A740&gt;TODAY()),0,IF(OR(INDEX($B740:$D740,AO$5)="F",AND(AO$6&gt;0,$A740&lt;AO$6),AND(AO$7&gt;0,$A740&gt;AO$7)),0,MAX(0,ROUND((INDEX($E740:$G740,AO$5)-SUMIFS(TF_Timer,TF_Tekniker,AO$4,TF_Dato,$A740))*2,0)/2)))</f>
        <v/>
      </c>
      <c r="AP740">
        <f>IF(OR(AP$4="",$A740&gt;TODAY()),0,IF(OR(INDEX($B740:$D740,AP$5)="F",AND(AP$6&gt;0,$A740&lt;AP$6),AND(AP$7&gt;0,$A740&gt;AP$7)),0,MAX(0,ROUND((INDEX($E740:$G740,AP$5)-SUMIFS(TF_Timer,TF_Tekniker,AP$4,TF_Dato,$A740))*2,0)/2)))</f>
        <v/>
      </c>
      <c r="AQ740">
        <f>IF(OR(AQ$4="",$A740&gt;TODAY()),0,IF(OR(INDEX($B740:$D740,AQ$5)="F",AND(AQ$6&gt;0,$A740&lt;AQ$6),AND(AQ$7&gt;0,$A740&gt;AQ$7)),0,MAX(0,ROUND((INDEX($E740:$G740,AQ$5)-SUMIFS(TF_Timer,TF_Tekniker,AQ$4,TF_Dato,$A740))*2,0)/2)))</f>
        <v/>
      </c>
      <c r="AR740">
        <f>IF(OR(AR$4="",$A740&gt;TODAY()),0,IF(OR(INDEX($B740:$D740,AR$5)="F",AND(AR$6&gt;0,$A740&lt;AR$6),AND(AR$7&gt;0,$A740&gt;AR$7)),0,MAX(0,ROUND((INDEX($E740:$G740,AR$5)-SUMIFS(TF_Timer,TF_Tekniker,AR$4,TF_Dato,$A740))*2,0)/2)))</f>
        <v/>
      </c>
      <c r="AS740">
        <f>IF(OR(AS$4="",$A740&gt;TODAY()),0,IF(OR(INDEX($B740:$D740,AS$5)="F",AND(AS$6&gt;0,$A740&lt;AS$6),AND(AS$7&gt;0,$A740&gt;AS$7)),0,MAX(0,ROUND((INDEX($E740:$G740,AS$5)-SUMIFS(TF_Timer,TF_Tekniker,AS$4,TF_Dato,$A740))*2,0)/2)))</f>
        <v/>
      </c>
      <c r="AT740">
        <f>IF(OR(AT$4="",$A740&gt;TODAY()),0,IF(OR(INDEX($B740:$D740,AT$5)="F",AND(AT$6&gt;0,$A740&lt;AT$6),AND(AT$7&gt;0,$A740&gt;AT$7)),0,MAX(0,ROUND((INDEX($E740:$G740,AT$5)-SUMIFS(TF_Timer,TF_Tekniker,AT$4,TF_Dato,$A740))*2,0)/2)))</f>
        <v/>
      </c>
      <c r="AU740">
        <f>IF(OR(AU$4="",$A740&gt;TODAY()),0,IF(OR(INDEX($B740:$D740,AU$5)="F",AND(AU$6&gt;0,$A740&lt;AU$6),AND(AU$7&gt;0,$A740&gt;AU$7)),0,MAX(0,ROUND((INDEX($E740:$G740,AU$5)-SUMIFS(TF_Timer,TF_Tekniker,AU$4,TF_Dato,$A740))*2,0)/2)))</f>
        <v/>
      </c>
      <c r="AV740">
        <f>IF(OR(AV$4="",$A740&gt;TODAY()),0,IF(OR(INDEX($B740:$D740,AV$5)="F",AND(AV$6&gt;0,$A740&lt;AV$6),AND(AV$7&gt;0,$A740&gt;AV$7)),0,MAX(0,ROUND((INDEX($E740:$G740,AV$5)-SUMIFS(TF_Timer,TF_Tekniker,AV$4,TF_Dato,$A740))*2,0)/2)))</f>
        <v/>
      </c>
      <c r="AW740">
        <f>IF(OR(AW$4="",$A740&gt;TODAY()),0,IF(OR(INDEX($B740:$D740,AW$5)="F",AND(AW$6&gt;0,$A740&lt;AW$6),AND(AW$7&gt;0,$A740&gt;AW$7)),0,MAX(0,ROUND((INDEX($E740:$G740,AW$5)-SUMIFS(TF_Timer,TF_Tekniker,AW$4,TF_Dato,$A740))*2,0)/2)))</f>
        <v/>
      </c>
      <c r="AX740">
        <f>IF(OR(AX$4="",$A740&gt;TODAY()),0,IF(OR(INDEX($B740:$D740,AX$5)="F",AND(AX$6&gt;0,$A740&lt;AX$6),AND(AX$7&gt;0,$A740&gt;AX$7)),0,MAX(0,ROUND((INDEX($E740:$G740,AX$5)-SUMIFS(TF_Timer,TF_Tekniker,AX$4,TF_Dato,$A740))*2,0)/2)))</f>
        <v/>
      </c>
      <c r="AY740">
        <f>IF(OR(AY$4="",$A740&gt;TODAY()),0,IF(OR(INDEX($B740:$D740,AY$5)="F",AND(AY$6&gt;0,$A740&lt;AY$6),AND(AY$7&gt;0,$A740&gt;AY$7)),0,MAX(0,ROUND((INDEX($E740:$G740,AY$5)-SUMIFS(TF_Timer,TF_Tekniker,AY$4,TF_Dato,$A740))*2,0)/2)))</f>
        <v/>
      </c>
      <c r="AZ740">
        <f>IF(OR(AZ$4="",$A740&gt;TODAY()),0,IF(OR(INDEX($B740:$D740,AZ$5)="F",AND(AZ$6&gt;0,$A740&lt;AZ$6),AND(AZ$7&gt;0,$A740&gt;AZ$7)),0,MAX(0,ROUND((INDEX($E740:$G740,AZ$5)-SUMIFS(TF_Timer,TF_Tekniker,AZ$4,TF_Dato,$A740))*2,0)/2)))</f>
        <v/>
      </c>
      <c r="BA740">
        <f>IF(OR(BA$4="",$A740&gt;TODAY()),0,IF(OR(INDEX($B740:$D740,BA$5)="F",AND(BA$6&gt;0,$A740&lt;BA$6),AND(BA$7&gt;0,$A740&gt;BA$7)),0,MAX(0,ROUND((INDEX($E740:$G740,BA$5)-SUMIFS(TF_Timer,TF_Tekniker,BA$4,TF_Dato,$A740))*2,0)/2)))</f>
        <v/>
      </c>
      <c r="BB740">
        <f>IF(OR(BB$4="",$A740&gt;TODAY()),0,IF(OR(INDEX($B740:$D740,BB$5)="F",AND(BB$6&gt;0,$A740&lt;BB$6),AND(BB$7&gt;0,$A740&gt;BB$7)),0,MAX(0,ROUND((INDEX($E740:$G740,BB$5)-SUMIFS(TF_Timer,TF_Tekniker,BB$4,TF_Dato,$A740))*2,0)/2)))</f>
        <v/>
      </c>
      <c r="BC740">
        <f>IF(OR(BC$4="",$A740&gt;TODAY()),0,IF(OR(INDEX($B740:$D740,BC$5)="F",AND(BC$6&gt;0,$A740&lt;BC$6),AND(BC$7&gt;0,$A740&gt;BC$7)),0,MAX(0,ROUND((INDEX($E740:$G740,BC$5)-SUMIFS(TF_Timer,TF_Tekniker,BC$4,TF_Dato,$A740))*2,0)/2)))</f>
        <v/>
      </c>
      <c r="BD740">
        <f>IF(OR(BD$4="",$A740&gt;TODAY()),0,IF(OR(INDEX($B740:$D740,BD$5)="F",AND(BD$6&gt;0,$A740&lt;BD$6),AND(BD$7&gt;0,$A740&gt;BD$7)),0,MAX(0,ROUND((INDEX($E740:$G740,BD$5)-SUMIFS(TF_Timer,TF_Tekniker,BD$4,TF_Dato,$A740))*2,0)/2)))</f>
        <v/>
      </c>
      <c r="BE740">
        <f>IF(OR(BE$4="",$A740&gt;TODAY()),0,IF(OR(INDEX($B740:$D740,BE$5)="F",AND(BE$6&gt;0,$A740&lt;BE$6),AND(BE$7&gt;0,$A740&gt;BE$7)),0,MAX(0,ROUND((INDEX($E740:$G740,BE$5)-SUMIFS(TF_Timer,TF_Tekniker,BE$4,TF_Dato,$A740))*2,0)/2)))</f>
        <v/>
      </c>
      <c r="BF740">
        <f>IF(OR(BF$4="",$A740&gt;TODAY()),0,IF(OR(INDEX($B740:$D740,BF$5)="F",AND(BF$6&gt;0,$A740&lt;BF$6),AND(BF$7&gt;0,$A740&gt;BF$7)),0,MAX(0,ROUND((INDEX($E740:$G740,BF$5)-SUMIFS(TF_Timer,TF_Tekniker,BF$4,TF_Dato,$A740))*2,0)/2)))</f>
        <v/>
      </c>
      <c r="BG740">
        <f>IF(OR(BG$4="",$A740&gt;TODAY()),0,IF(OR(INDEX($B740:$D740,BG$5)="F",AND(BG$6&gt;0,$A740&lt;BG$6),AND(BG$7&gt;0,$A740&gt;BG$7)),0,MAX(0,ROUND((INDEX($E740:$G740,BG$5)-SUMIFS(TF_Timer,TF_Tekniker,BG$4,TF_Dato,$A740))*2,0)/2)))</f>
        <v/>
      </c>
      <c r="BH740">
        <f>IF(OR(BH$4="",$A740&gt;TODAY()),0,IF(OR(INDEX($B740:$D740,BH$5)="F",AND(BH$6&gt;0,$A740&lt;BH$6),AND(BH$7&gt;0,$A740&gt;BH$7)),0,MAX(0,ROUND((INDEX($E740:$G740,BH$5)-SUMIFS(TF_Timer,TF_Tekniker,BH$4,TF_Dato,$A740))*2,0)/2)))</f>
        <v/>
      </c>
      <c r="BI740">
        <f>IF(OR(BI$4="",$A740&gt;TODAY()),0,IF(OR(INDEX($B740:$D740,BI$5)="F",AND(BI$6&gt;0,$A740&lt;BI$6),AND(BI$7&gt;0,$A740&gt;BI$7)),0,MAX(0,ROUND((INDEX($E740:$G740,BI$5)-SUMIFS(TF_Timer,TF_Tekniker,BI$4,TF_Dato,$A740))*2,0)/2)))</f>
        <v/>
      </c>
    </row>
    <row r="741">
      <c r="A741" s="64">
        <f>A740+1</f>
        <v/>
      </c>
      <c r="B741">
        <f>IF(MOD($A741-INDEX(SkiftStart,1),Syklus)&lt;DagK,"K",IF(MOD($A741-INDEX(SkiftStart,1),Syklus)&lt;DagK+DagH,"H",IF(MOD($A741-INDEX(SkiftStart,1),Syklus)&lt;DagK+DagH+DagD,"D","F")))</f>
        <v/>
      </c>
      <c r="C741">
        <f>IF(MOD($A741-INDEX(SkiftStart,2),Syklus)&lt;DagK,"K",IF(MOD($A741-INDEX(SkiftStart,2),Syklus)&lt;DagK+DagH,"H",IF(MOD($A741-INDEX(SkiftStart,2),Syklus)&lt;DagK+DagH+DagD,"D","F")))</f>
        <v/>
      </c>
      <c r="D741">
        <f>IF(MOD($A741-INDEX(SkiftStart,3),Syklus)&lt;DagK,"K",IF(MOD($A741-INDEX(SkiftStart,3),Syklus)&lt;DagK+DagH,"H",IF(MOD($A741-INDEX(SkiftStart,3),Syklus)&lt;DagK+DagH+DagD,"D","F")))</f>
        <v/>
      </c>
      <c r="E741">
        <f>IF(B741="F",0,IF(WEEKDAY($A741,2)=5,INDEX(TimerFr,MATCH(B741,FaseKode,0)),INDEX(TimerMT,MATCH(B741,FaseKode,0))))</f>
        <v/>
      </c>
      <c r="F741">
        <f>IF(C741="F",0,IF(WEEKDAY($A741,2)=5,INDEX(TimerFr,MATCH(C741,FaseKode,0)),INDEX(TimerMT,MATCH(C741,FaseKode,0))))</f>
        <v/>
      </c>
      <c r="G741">
        <f>IF(D741="F",0,IF(WEEKDAY($A741,2)=5,INDEX(TimerFr,MATCH(D741,FaseKode,0)),INDEX(TimerMT,MATCH(D741,FaseKode,0))))</f>
        <v/>
      </c>
      <c r="H741">
        <f>IF(OR(H$4="",$A741&gt;TODAY()),0,IF(OR(INDEX($B741:$D741,H$5)="F",AND(H$6&gt;0,$A741&lt;H$6),AND(H$7&gt;0,$A741&gt;H$7)),0,MAX(0,ROUND((INDEX($E741:$G741,H$5)-SUMIFS(TF_Timer,TF_Tekniker,H$4,TF_Dato,$A741))*2,0)/2)))</f>
        <v/>
      </c>
      <c r="I741">
        <f>IF(OR(I$4="",$A741&gt;TODAY()),0,IF(OR(INDEX($B741:$D741,I$5)="F",AND(I$6&gt;0,$A741&lt;I$6),AND(I$7&gt;0,$A741&gt;I$7)),0,MAX(0,ROUND((INDEX($E741:$G741,I$5)-SUMIFS(TF_Timer,TF_Tekniker,I$4,TF_Dato,$A741))*2,0)/2)))</f>
        <v/>
      </c>
      <c r="J741">
        <f>IF(OR(J$4="",$A741&gt;TODAY()),0,IF(OR(INDEX($B741:$D741,J$5)="F",AND(J$6&gt;0,$A741&lt;J$6),AND(J$7&gt;0,$A741&gt;J$7)),0,MAX(0,ROUND((INDEX($E741:$G741,J$5)-SUMIFS(TF_Timer,TF_Tekniker,J$4,TF_Dato,$A741))*2,0)/2)))</f>
        <v/>
      </c>
      <c r="K741">
        <f>IF(OR(K$4="",$A741&gt;TODAY()),0,IF(OR(INDEX($B741:$D741,K$5)="F",AND(K$6&gt;0,$A741&lt;K$6),AND(K$7&gt;0,$A741&gt;K$7)),0,MAX(0,ROUND((INDEX($E741:$G741,K$5)-SUMIFS(TF_Timer,TF_Tekniker,K$4,TF_Dato,$A741))*2,0)/2)))</f>
        <v/>
      </c>
      <c r="L741">
        <f>IF(OR(L$4="",$A741&gt;TODAY()),0,IF(OR(INDEX($B741:$D741,L$5)="F",AND(L$6&gt;0,$A741&lt;L$6),AND(L$7&gt;0,$A741&gt;L$7)),0,MAX(0,ROUND((INDEX($E741:$G741,L$5)-SUMIFS(TF_Timer,TF_Tekniker,L$4,TF_Dato,$A741))*2,0)/2)))</f>
        <v/>
      </c>
      <c r="M741">
        <f>IF(OR(M$4="",$A741&gt;TODAY()),0,IF(OR(INDEX($B741:$D741,M$5)="F",AND(M$6&gt;0,$A741&lt;M$6),AND(M$7&gt;0,$A741&gt;M$7)),0,MAX(0,ROUND((INDEX($E741:$G741,M$5)-SUMIFS(TF_Timer,TF_Tekniker,M$4,TF_Dato,$A741))*2,0)/2)))</f>
        <v/>
      </c>
      <c r="N741">
        <f>IF(OR(N$4="",$A741&gt;TODAY()),0,IF(OR(INDEX($B741:$D741,N$5)="F",AND(N$6&gt;0,$A741&lt;N$6),AND(N$7&gt;0,$A741&gt;N$7)),0,MAX(0,ROUND((INDEX($E741:$G741,N$5)-SUMIFS(TF_Timer,TF_Tekniker,N$4,TF_Dato,$A741))*2,0)/2)))</f>
        <v/>
      </c>
      <c r="O741">
        <f>IF(OR(O$4="",$A741&gt;TODAY()),0,IF(OR(INDEX($B741:$D741,O$5)="F",AND(O$6&gt;0,$A741&lt;O$6),AND(O$7&gt;0,$A741&gt;O$7)),0,MAX(0,ROUND((INDEX($E741:$G741,O$5)-SUMIFS(TF_Timer,TF_Tekniker,O$4,TF_Dato,$A741))*2,0)/2)))</f>
        <v/>
      </c>
      <c r="P741">
        <f>IF(OR(P$4="",$A741&gt;TODAY()),0,IF(OR(INDEX($B741:$D741,P$5)="F",AND(P$6&gt;0,$A741&lt;P$6),AND(P$7&gt;0,$A741&gt;P$7)),0,MAX(0,ROUND((INDEX($E741:$G741,P$5)-SUMIFS(TF_Timer,TF_Tekniker,P$4,TF_Dato,$A741))*2,0)/2)))</f>
        <v/>
      </c>
      <c r="Q741">
        <f>IF(OR(Q$4="",$A741&gt;TODAY()),0,IF(OR(INDEX($B741:$D741,Q$5)="F",AND(Q$6&gt;0,$A741&lt;Q$6),AND(Q$7&gt;0,$A741&gt;Q$7)),0,MAX(0,ROUND((INDEX($E741:$G741,Q$5)-SUMIFS(TF_Timer,TF_Tekniker,Q$4,TF_Dato,$A741))*2,0)/2)))</f>
        <v/>
      </c>
      <c r="R741">
        <f>IF(OR(R$4="",$A741&gt;TODAY()),0,IF(OR(INDEX($B741:$D741,R$5)="F",AND(R$6&gt;0,$A741&lt;R$6),AND(R$7&gt;0,$A741&gt;R$7)),0,MAX(0,ROUND((INDEX($E741:$G741,R$5)-SUMIFS(TF_Timer,TF_Tekniker,R$4,TF_Dato,$A741))*2,0)/2)))</f>
        <v/>
      </c>
      <c r="S741">
        <f>IF(OR(S$4="",$A741&gt;TODAY()),0,IF(OR(INDEX($B741:$D741,S$5)="F",AND(S$6&gt;0,$A741&lt;S$6),AND(S$7&gt;0,$A741&gt;S$7)),0,MAX(0,ROUND((INDEX($E741:$G741,S$5)-SUMIFS(TF_Timer,TF_Tekniker,S$4,TF_Dato,$A741))*2,0)/2)))</f>
        <v/>
      </c>
      <c r="T741">
        <f>IF(OR(T$4="",$A741&gt;TODAY()),0,IF(OR(INDEX($B741:$D741,T$5)="F",AND(T$6&gt;0,$A741&lt;T$6),AND(T$7&gt;0,$A741&gt;T$7)),0,MAX(0,ROUND((INDEX($E741:$G741,T$5)-SUMIFS(TF_Timer,TF_Tekniker,T$4,TF_Dato,$A741))*2,0)/2)))</f>
        <v/>
      </c>
      <c r="U741">
        <f>IF(OR(U$4="",$A741&gt;TODAY()),0,IF(OR(INDEX($B741:$D741,U$5)="F",AND(U$6&gt;0,$A741&lt;U$6),AND(U$7&gt;0,$A741&gt;U$7)),0,MAX(0,ROUND((INDEX($E741:$G741,U$5)-SUMIFS(TF_Timer,TF_Tekniker,U$4,TF_Dato,$A741))*2,0)/2)))</f>
        <v/>
      </c>
      <c r="V741">
        <f>IF(OR(V$4="",$A741&gt;TODAY()),0,IF(OR(INDEX($B741:$D741,V$5)="F",AND(V$6&gt;0,$A741&lt;V$6),AND(V$7&gt;0,$A741&gt;V$7)),0,MAX(0,ROUND((INDEX($E741:$G741,V$5)-SUMIFS(TF_Timer,TF_Tekniker,V$4,TF_Dato,$A741))*2,0)/2)))</f>
        <v/>
      </c>
      <c r="W741">
        <f>IF(OR(W$4="",$A741&gt;TODAY()),0,IF(OR(INDEX($B741:$D741,W$5)="F",AND(W$6&gt;0,$A741&lt;W$6),AND(W$7&gt;0,$A741&gt;W$7)),0,MAX(0,ROUND((INDEX($E741:$G741,W$5)-SUMIFS(TF_Timer,TF_Tekniker,W$4,TF_Dato,$A741))*2,0)/2)))</f>
        <v/>
      </c>
      <c r="X741">
        <f>IF(OR(X$4="",$A741&gt;TODAY()),0,IF(OR(INDEX($B741:$D741,X$5)="F",AND(X$6&gt;0,$A741&lt;X$6),AND(X$7&gt;0,$A741&gt;X$7)),0,MAX(0,ROUND((INDEX($E741:$G741,X$5)-SUMIFS(TF_Timer,TF_Tekniker,X$4,TF_Dato,$A741))*2,0)/2)))</f>
        <v/>
      </c>
      <c r="Y741">
        <f>IF(OR(Y$4="",$A741&gt;TODAY()),0,IF(OR(INDEX($B741:$D741,Y$5)="F",AND(Y$6&gt;0,$A741&lt;Y$6),AND(Y$7&gt;0,$A741&gt;Y$7)),0,MAX(0,ROUND((INDEX($E741:$G741,Y$5)-SUMIFS(TF_Timer,TF_Tekniker,Y$4,TF_Dato,$A741))*2,0)/2)))</f>
        <v/>
      </c>
      <c r="Z741">
        <f>IF(OR(Z$4="",$A741&gt;TODAY()),0,IF(OR(INDEX($B741:$D741,Z$5)="F",AND(Z$6&gt;0,$A741&lt;Z$6),AND(Z$7&gt;0,$A741&gt;Z$7)),0,MAX(0,ROUND((INDEX($E741:$G741,Z$5)-SUMIFS(TF_Timer,TF_Tekniker,Z$4,TF_Dato,$A741))*2,0)/2)))</f>
        <v/>
      </c>
      <c r="AA741">
        <f>IF(OR(AA$4="",$A741&gt;TODAY()),0,IF(OR(INDEX($B741:$D741,AA$5)="F",AND(AA$6&gt;0,$A741&lt;AA$6),AND(AA$7&gt;0,$A741&gt;AA$7)),0,MAX(0,ROUND((INDEX($E741:$G741,AA$5)-SUMIFS(TF_Timer,TF_Tekniker,AA$4,TF_Dato,$A741))*2,0)/2)))</f>
        <v/>
      </c>
      <c r="AB741">
        <f>IF(OR(AB$4="",$A741&gt;TODAY()),0,IF(OR(INDEX($B741:$D741,AB$5)="F",AND(AB$6&gt;0,$A741&lt;AB$6),AND(AB$7&gt;0,$A741&gt;AB$7)),0,MAX(0,ROUND((INDEX($E741:$G741,AB$5)-SUMIFS(TF_Timer,TF_Tekniker,AB$4,TF_Dato,$A741))*2,0)/2)))</f>
        <v/>
      </c>
      <c r="AC741">
        <f>IF(OR(AC$4="",$A741&gt;TODAY()),0,IF(OR(INDEX($B741:$D741,AC$5)="F",AND(AC$6&gt;0,$A741&lt;AC$6),AND(AC$7&gt;0,$A741&gt;AC$7)),0,MAX(0,ROUND((INDEX($E741:$G741,AC$5)-SUMIFS(TF_Timer,TF_Tekniker,AC$4,TF_Dato,$A741))*2,0)/2)))</f>
        <v/>
      </c>
      <c r="AD741">
        <f>IF(OR(AD$4="",$A741&gt;TODAY()),0,IF(OR(INDEX($B741:$D741,AD$5)="F",AND(AD$6&gt;0,$A741&lt;AD$6),AND(AD$7&gt;0,$A741&gt;AD$7)),0,MAX(0,ROUND((INDEX($E741:$G741,AD$5)-SUMIFS(TF_Timer,TF_Tekniker,AD$4,TF_Dato,$A741))*2,0)/2)))</f>
        <v/>
      </c>
      <c r="AE741">
        <f>IF(OR(AE$4="",$A741&gt;TODAY()),0,IF(OR(INDEX($B741:$D741,AE$5)="F",AND(AE$6&gt;0,$A741&lt;AE$6),AND(AE$7&gt;0,$A741&gt;AE$7)),0,MAX(0,ROUND((INDEX($E741:$G741,AE$5)-SUMIFS(TF_Timer,TF_Tekniker,AE$4,TF_Dato,$A741))*2,0)/2)))</f>
        <v/>
      </c>
      <c r="AF741">
        <f>IF(OR(AF$4="",$A741&gt;TODAY()),0,IF(OR(INDEX($B741:$D741,AF$5)="F",AND(AF$6&gt;0,$A741&lt;AF$6),AND(AF$7&gt;0,$A741&gt;AF$7)),0,MAX(0,ROUND((INDEX($E741:$G741,AF$5)-SUMIFS(TF_Timer,TF_Tekniker,AF$4,TF_Dato,$A741))*2,0)/2)))</f>
        <v/>
      </c>
      <c r="AG741">
        <f>IF(OR(AG$4="",$A741&gt;TODAY()),0,IF(OR(INDEX($B741:$D741,AG$5)="F",AND(AG$6&gt;0,$A741&lt;AG$6),AND(AG$7&gt;0,$A741&gt;AG$7)),0,MAX(0,ROUND((INDEX($E741:$G741,AG$5)-SUMIFS(TF_Timer,TF_Tekniker,AG$4,TF_Dato,$A741))*2,0)/2)))</f>
        <v/>
      </c>
      <c r="AH741">
        <f>IF(OR(AH$4="",$A741&gt;TODAY()),0,IF(OR(INDEX($B741:$D741,AH$5)="F",AND(AH$6&gt;0,$A741&lt;AH$6),AND(AH$7&gt;0,$A741&gt;AH$7)),0,MAX(0,ROUND((INDEX($E741:$G741,AH$5)-SUMIFS(TF_Timer,TF_Tekniker,AH$4,TF_Dato,$A741))*2,0)/2)))</f>
        <v/>
      </c>
      <c r="AI741">
        <f>IF(OR(AI$4="",$A741&gt;TODAY()),0,IF(OR(INDEX($B741:$D741,AI$5)="F",AND(AI$6&gt;0,$A741&lt;AI$6),AND(AI$7&gt;0,$A741&gt;AI$7)),0,MAX(0,ROUND((INDEX($E741:$G741,AI$5)-SUMIFS(TF_Timer,TF_Tekniker,AI$4,TF_Dato,$A741))*2,0)/2)))</f>
        <v/>
      </c>
      <c r="AJ741">
        <f>IF(OR(AJ$4="",$A741&gt;TODAY()),0,IF(OR(INDEX($B741:$D741,AJ$5)="F",AND(AJ$6&gt;0,$A741&lt;AJ$6),AND(AJ$7&gt;0,$A741&gt;AJ$7)),0,MAX(0,ROUND((INDEX($E741:$G741,AJ$5)-SUMIFS(TF_Timer,TF_Tekniker,AJ$4,TF_Dato,$A741))*2,0)/2)))</f>
        <v/>
      </c>
      <c r="AK741">
        <f>IF(OR(AK$4="",$A741&gt;TODAY()),0,IF(OR(INDEX($B741:$D741,AK$5)="F",AND(AK$6&gt;0,$A741&lt;AK$6),AND(AK$7&gt;0,$A741&gt;AK$7)),0,MAX(0,ROUND((INDEX($E741:$G741,AK$5)-SUMIFS(TF_Timer,TF_Tekniker,AK$4,TF_Dato,$A741))*2,0)/2)))</f>
        <v/>
      </c>
      <c r="AL741">
        <f>IF(OR(AL$4="",$A741&gt;TODAY()),0,IF(OR(INDEX($B741:$D741,AL$5)="F",AND(AL$6&gt;0,$A741&lt;AL$6),AND(AL$7&gt;0,$A741&gt;AL$7)),0,MAX(0,ROUND((INDEX($E741:$G741,AL$5)-SUMIFS(TF_Timer,TF_Tekniker,AL$4,TF_Dato,$A741))*2,0)/2)))</f>
        <v/>
      </c>
      <c r="AM741">
        <f>IF(OR(AM$4="",$A741&gt;TODAY()),0,IF(OR(INDEX($B741:$D741,AM$5)="F",AND(AM$6&gt;0,$A741&lt;AM$6),AND(AM$7&gt;0,$A741&gt;AM$7)),0,MAX(0,ROUND((INDEX($E741:$G741,AM$5)-SUMIFS(TF_Timer,TF_Tekniker,AM$4,TF_Dato,$A741))*2,0)/2)))</f>
        <v/>
      </c>
      <c r="AN741">
        <f>IF(OR(AN$4="",$A741&gt;TODAY()),0,IF(OR(INDEX($B741:$D741,AN$5)="F",AND(AN$6&gt;0,$A741&lt;AN$6),AND(AN$7&gt;0,$A741&gt;AN$7)),0,MAX(0,ROUND((INDEX($E741:$G741,AN$5)-SUMIFS(TF_Timer,TF_Tekniker,AN$4,TF_Dato,$A741))*2,0)/2)))</f>
        <v/>
      </c>
      <c r="AO741">
        <f>IF(OR(AO$4="",$A741&gt;TODAY()),0,IF(OR(INDEX($B741:$D741,AO$5)="F",AND(AO$6&gt;0,$A741&lt;AO$6),AND(AO$7&gt;0,$A741&gt;AO$7)),0,MAX(0,ROUND((INDEX($E741:$G741,AO$5)-SUMIFS(TF_Timer,TF_Tekniker,AO$4,TF_Dato,$A741))*2,0)/2)))</f>
        <v/>
      </c>
      <c r="AP741">
        <f>IF(OR(AP$4="",$A741&gt;TODAY()),0,IF(OR(INDEX($B741:$D741,AP$5)="F",AND(AP$6&gt;0,$A741&lt;AP$6),AND(AP$7&gt;0,$A741&gt;AP$7)),0,MAX(0,ROUND((INDEX($E741:$G741,AP$5)-SUMIFS(TF_Timer,TF_Tekniker,AP$4,TF_Dato,$A741))*2,0)/2)))</f>
        <v/>
      </c>
      <c r="AQ741">
        <f>IF(OR(AQ$4="",$A741&gt;TODAY()),0,IF(OR(INDEX($B741:$D741,AQ$5)="F",AND(AQ$6&gt;0,$A741&lt;AQ$6),AND(AQ$7&gt;0,$A741&gt;AQ$7)),0,MAX(0,ROUND((INDEX($E741:$G741,AQ$5)-SUMIFS(TF_Timer,TF_Tekniker,AQ$4,TF_Dato,$A741))*2,0)/2)))</f>
        <v/>
      </c>
      <c r="AR741">
        <f>IF(OR(AR$4="",$A741&gt;TODAY()),0,IF(OR(INDEX($B741:$D741,AR$5)="F",AND(AR$6&gt;0,$A741&lt;AR$6),AND(AR$7&gt;0,$A741&gt;AR$7)),0,MAX(0,ROUND((INDEX($E741:$G741,AR$5)-SUMIFS(TF_Timer,TF_Tekniker,AR$4,TF_Dato,$A741))*2,0)/2)))</f>
        <v/>
      </c>
      <c r="AS741">
        <f>IF(OR(AS$4="",$A741&gt;TODAY()),0,IF(OR(INDEX($B741:$D741,AS$5)="F",AND(AS$6&gt;0,$A741&lt;AS$6),AND(AS$7&gt;0,$A741&gt;AS$7)),0,MAX(0,ROUND((INDEX($E741:$G741,AS$5)-SUMIFS(TF_Timer,TF_Tekniker,AS$4,TF_Dato,$A741))*2,0)/2)))</f>
        <v/>
      </c>
      <c r="AT741">
        <f>IF(OR(AT$4="",$A741&gt;TODAY()),0,IF(OR(INDEX($B741:$D741,AT$5)="F",AND(AT$6&gt;0,$A741&lt;AT$6),AND(AT$7&gt;0,$A741&gt;AT$7)),0,MAX(0,ROUND((INDEX($E741:$G741,AT$5)-SUMIFS(TF_Timer,TF_Tekniker,AT$4,TF_Dato,$A741))*2,0)/2)))</f>
        <v/>
      </c>
      <c r="AU741">
        <f>IF(OR(AU$4="",$A741&gt;TODAY()),0,IF(OR(INDEX($B741:$D741,AU$5)="F",AND(AU$6&gt;0,$A741&lt;AU$6),AND(AU$7&gt;0,$A741&gt;AU$7)),0,MAX(0,ROUND((INDEX($E741:$G741,AU$5)-SUMIFS(TF_Timer,TF_Tekniker,AU$4,TF_Dato,$A741))*2,0)/2)))</f>
        <v/>
      </c>
      <c r="AV741">
        <f>IF(OR(AV$4="",$A741&gt;TODAY()),0,IF(OR(INDEX($B741:$D741,AV$5)="F",AND(AV$6&gt;0,$A741&lt;AV$6),AND(AV$7&gt;0,$A741&gt;AV$7)),0,MAX(0,ROUND((INDEX($E741:$G741,AV$5)-SUMIFS(TF_Timer,TF_Tekniker,AV$4,TF_Dato,$A741))*2,0)/2)))</f>
        <v/>
      </c>
      <c r="AW741">
        <f>IF(OR(AW$4="",$A741&gt;TODAY()),0,IF(OR(INDEX($B741:$D741,AW$5)="F",AND(AW$6&gt;0,$A741&lt;AW$6),AND(AW$7&gt;0,$A741&gt;AW$7)),0,MAX(0,ROUND((INDEX($E741:$G741,AW$5)-SUMIFS(TF_Timer,TF_Tekniker,AW$4,TF_Dato,$A741))*2,0)/2)))</f>
        <v/>
      </c>
      <c r="AX741">
        <f>IF(OR(AX$4="",$A741&gt;TODAY()),0,IF(OR(INDEX($B741:$D741,AX$5)="F",AND(AX$6&gt;0,$A741&lt;AX$6),AND(AX$7&gt;0,$A741&gt;AX$7)),0,MAX(0,ROUND((INDEX($E741:$G741,AX$5)-SUMIFS(TF_Timer,TF_Tekniker,AX$4,TF_Dato,$A741))*2,0)/2)))</f>
        <v/>
      </c>
      <c r="AY741">
        <f>IF(OR(AY$4="",$A741&gt;TODAY()),0,IF(OR(INDEX($B741:$D741,AY$5)="F",AND(AY$6&gt;0,$A741&lt;AY$6),AND(AY$7&gt;0,$A741&gt;AY$7)),0,MAX(0,ROUND((INDEX($E741:$G741,AY$5)-SUMIFS(TF_Timer,TF_Tekniker,AY$4,TF_Dato,$A741))*2,0)/2)))</f>
        <v/>
      </c>
      <c r="AZ741">
        <f>IF(OR(AZ$4="",$A741&gt;TODAY()),0,IF(OR(INDEX($B741:$D741,AZ$5)="F",AND(AZ$6&gt;0,$A741&lt;AZ$6),AND(AZ$7&gt;0,$A741&gt;AZ$7)),0,MAX(0,ROUND((INDEX($E741:$G741,AZ$5)-SUMIFS(TF_Timer,TF_Tekniker,AZ$4,TF_Dato,$A741))*2,0)/2)))</f>
        <v/>
      </c>
      <c r="BA741">
        <f>IF(OR(BA$4="",$A741&gt;TODAY()),0,IF(OR(INDEX($B741:$D741,BA$5)="F",AND(BA$6&gt;0,$A741&lt;BA$6),AND(BA$7&gt;0,$A741&gt;BA$7)),0,MAX(0,ROUND((INDEX($E741:$G741,BA$5)-SUMIFS(TF_Timer,TF_Tekniker,BA$4,TF_Dato,$A741))*2,0)/2)))</f>
        <v/>
      </c>
      <c r="BB741">
        <f>IF(OR(BB$4="",$A741&gt;TODAY()),0,IF(OR(INDEX($B741:$D741,BB$5)="F",AND(BB$6&gt;0,$A741&lt;BB$6),AND(BB$7&gt;0,$A741&gt;BB$7)),0,MAX(0,ROUND((INDEX($E741:$G741,BB$5)-SUMIFS(TF_Timer,TF_Tekniker,BB$4,TF_Dato,$A741))*2,0)/2)))</f>
        <v/>
      </c>
      <c r="BC741">
        <f>IF(OR(BC$4="",$A741&gt;TODAY()),0,IF(OR(INDEX($B741:$D741,BC$5)="F",AND(BC$6&gt;0,$A741&lt;BC$6),AND(BC$7&gt;0,$A741&gt;BC$7)),0,MAX(0,ROUND((INDEX($E741:$G741,BC$5)-SUMIFS(TF_Timer,TF_Tekniker,BC$4,TF_Dato,$A741))*2,0)/2)))</f>
        <v/>
      </c>
      <c r="BD741">
        <f>IF(OR(BD$4="",$A741&gt;TODAY()),0,IF(OR(INDEX($B741:$D741,BD$5)="F",AND(BD$6&gt;0,$A741&lt;BD$6),AND(BD$7&gt;0,$A741&gt;BD$7)),0,MAX(0,ROUND((INDEX($E741:$G741,BD$5)-SUMIFS(TF_Timer,TF_Tekniker,BD$4,TF_Dato,$A741))*2,0)/2)))</f>
        <v/>
      </c>
      <c r="BE741">
        <f>IF(OR(BE$4="",$A741&gt;TODAY()),0,IF(OR(INDEX($B741:$D741,BE$5)="F",AND(BE$6&gt;0,$A741&lt;BE$6),AND(BE$7&gt;0,$A741&gt;BE$7)),0,MAX(0,ROUND((INDEX($E741:$G741,BE$5)-SUMIFS(TF_Timer,TF_Tekniker,BE$4,TF_Dato,$A741))*2,0)/2)))</f>
        <v/>
      </c>
      <c r="BF741">
        <f>IF(OR(BF$4="",$A741&gt;TODAY()),0,IF(OR(INDEX($B741:$D741,BF$5)="F",AND(BF$6&gt;0,$A741&lt;BF$6),AND(BF$7&gt;0,$A741&gt;BF$7)),0,MAX(0,ROUND((INDEX($E741:$G741,BF$5)-SUMIFS(TF_Timer,TF_Tekniker,BF$4,TF_Dato,$A741))*2,0)/2)))</f>
        <v/>
      </c>
      <c r="BG741">
        <f>IF(OR(BG$4="",$A741&gt;TODAY()),0,IF(OR(INDEX($B741:$D741,BG$5)="F",AND(BG$6&gt;0,$A741&lt;BG$6),AND(BG$7&gt;0,$A741&gt;BG$7)),0,MAX(0,ROUND((INDEX($E741:$G741,BG$5)-SUMIFS(TF_Timer,TF_Tekniker,BG$4,TF_Dato,$A741))*2,0)/2)))</f>
        <v/>
      </c>
      <c r="BH741">
        <f>IF(OR(BH$4="",$A741&gt;TODAY()),0,IF(OR(INDEX($B741:$D741,BH$5)="F",AND(BH$6&gt;0,$A741&lt;BH$6),AND(BH$7&gt;0,$A741&gt;BH$7)),0,MAX(0,ROUND((INDEX($E741:$G741,BH$5)-SUMIFS(TF_Timer,TF_Tekniker,BH$4,TF_Dato,$A741))*2,0)/2)))</f>
        <v/>
      </c>
      <c r="BI741">
        <f>IF(OR(BI$4="",$A741&gt;TODAY()),0,IF(OR(INDEX($B741:$D741,BI$5)="F",AND(BI$6&gt;0,$A741&lt;BI$6),AND(BI$7&gt;0,$A741&gt;BI$7)),0,MAX(0,ROUND((INDEX($E741:$G741,BI$5)-SUMIFS(TF_Timer,TF_Tekniker,BI$4,TF_Dato,$A741))*2,0)/2)))</f>
        <v/>
      </c>
    </row>
    <row r="742">
      <c r="A742" s="64">
        <f>A741+1</f>
        <v/>
      </c>
      <c r="B742">
        <f>IF(MOD($A742-INDEX(SkiftStart,1),Syklus)&lt;DagK,"K",IF(MOD($A742-INDEX(SkiftStart,1),Syklus)&lt;DagK+DagH,"H",IF(MOD($A742-INDEX(SkiftStart,1),Syklus)&lt;DagK+DagH+DagD,"D","F")))</f>
        <v/>
      </c>
      <c r="C742">
        <f>IF(MOD($A742-INDEX(SkiftStart,2),Syklus)&lt;DagK,"K",IF(MOD($A742-INDEX(SkiftStart,2),Syklus)&lt;DagK+DagH,"H",IF(MOD($A742-INDEX(SkiftStart,2),Syklus)&lt;DagK+DagH+DagD,"D","F")))</f>
        <v/>
      </c>
      <c r="D742">
        <f>IF(MOD($A742-INDEX(SkiftStart,3),Syklus)&lt;DagK,"K",IF(MOD($A742-INDEX(SkiftStart,3),Syklus)&lt;DagK+DagH,"H",IF(MOD($A742-INDEX(SkiftStart,3),Syklus)&lt;DagK+DagH+DagD,"D","F")))</f>
        <v/>
      </c>
      <c r="E742">
        <f>IF(B742="F",0,IF(WEEKDAY($A742,2)=5,INDEX(TimerFr,MATCH(B742,FaseKode,0)),INDEX(TimerMT,MATCH(B742,FaseKode,0))))</f>
        <v/>
      </c>
      <c r="F742">
        <f>IF(C742="F",0,IF(WEEKDAY($A742,2)=5,INDEX(TimerFr,MATCH(C742,FaseKode,0)),INDEX(TimerMT,MATCH(C742,FaseKode,0))))</f>
        <v/>
      </c>
      <c r="G742">
        <f>IF(D742="F",0,IF(WEEKDAY($A742,2)=5,INDEX(TimerFr,MATCH(D742,FaseKode,0)),INDEX(TimerMT,MATCH(D742,FaseKode,0))))</f>
        <v/>
      </c>
      <c r="H742">
        <f>IF(OR(H$4="",$A742&gt;TODAY()),0,IF(OR(INDEX($B742:$D742,H$5)="F",AND(H$6&gt;0,$A742&lt;H$6),AND(H$7&gt;0,$A742&gt;H$7)),0,MAX(0,ROUND((INDEX($E742:$G742,H$5)-SUMIFS(TF_Timer,TF_Tekniker,H$4,TF_Dato,$A742))*2,0)/2)))</f>
        <v/>
      </c>
      <c r="I742">
        <f>IF(OR(I$4="",$A742&gt;TODAY()),0,IF(OR(INDEX($B742:$D742,I$5)="F",AND(I$6&gt;0,$A742&lt;I$6),AND(I$7&gt;0,$A742&gt;I$7)),0,MAX(0,ROUND((INDEX($E742:$G742,I$5)-SUMIFS(TF_Timer,TF_Tekniker,I$4,TF_Dato,$A742))*2,0)/2)))</f>
        <v/>
      </c>
      <c r="J742">
        <f>IF(OR(J$4="",$A742&gt;TODAY()),0,IF(OR(INDEX($B742:$D742,J$5)="F",AND(J$6&gt;0,$A742&lt;J$6),AND(J$7&gt;0,$A742&gt;J$7)),0,MAX(0,ROUND((INDEX($E742:$G742,J$5)-SUMIFS(TF_Timer,TF_Tekniker,J$4,TF_Dato,$A742))*2,0)/2)))</f>
        <v/>
      </c>
      <c r="K742">
        <f>IF(OR(K$4="",$A742&gt;TODAY()),0,IF(OR(INDEX($B742:$D742,K$5)="F",AND(K$6&gt;0,$A742&lt;K$6),AND(K$7&gt;0,$A742&gt;K$7)),0,MAX(0,ROUND((INDEX($E742:$G742,K$5)-SUMIFS(TF_Timer,TF_Tekniker,K$4,TF_Dato,$A742))*2,0)/2)))</f>
        <v/>
      </c>
      <c r="L742">
        <f>IF(OR(L$4="",$A742&gt;TODAY()),0,IF(OR(INDEX($B742:$D742,L$5)="F",AND(L$6&gt;0,$A742&lt;L$6),AND(L$7&gt;0,$A742&gt;L$7)),0,MAX(0,ROUND((INDEX($E742:$G742,L$5)-SUMIFS(TF_Timer,TF_Tekniker,L$4,TF_Dato,$A742))*2,0)/2)))</f>
        <v/>
      </c>
      <c r="M742">
        <f>IF(OR(M$4="",$A742&gt;TODAY()),0,IF(OR(INDEX($B742:$D742,M$5)="F",AND(M$6&gt;0,$A742&lt;M$6),AND(M$7&gt;0,$A742&gt;M$7)),0,MAX(0,ROUND((INDEX($E742:$G742,M$5)-SUMIFS(TF_Timer,TF_Tekniker,M$4,TF_Dato,$A742))*2,0)/2)))</f>
        <v/>
      </c>
      <c r="N742">
        <f>IF(OR(N$4="",$A742&gt;TODAY()),0,IF(OR(INDEX($B742:$D742,N$5)="F",AND(N$6&gt;0,$A742&lt;N$6),AND(N$7&gt;0,$A742&gt;N$7)),0,MAX(0,ROUND((INDEX($E742:$G742,N$5)-SUMIFS(TF_Timer,TF_Tekniker,N$4,TF_Dato,$A742))*2,0)/2)))</f>
        <v/>
      </c>
      <c r="O742">
        <f>IF(OR(O$4="",$A742&gt;TODAY()),0,IF(OR(INDEX($B742:$D742,O$5)="F",AND(O$6&gt;0,$A742&lt;O$6),AND(O$7&gt;0,$A742&gt;O$7)),0,MAX(0,ROUND((INDEX($E742:$G742,O$5)-SUMIFS(TF_Timer,TF_Tekniker,O$4,TF_Dato,$A742))*2,0)/2)))</f>
        <v/>
      </c>
      <c r="P742">
        <f>IF(OR(P$4="",$A742&gt;TODAY()),0,IF(OR(INDEX($B742:$D742,P$5)="F",AND(P$6&gt;0,$A742&lt;P$6),AND(P$7&gt;0,$A742&gt;P$7)),0,MAX(0,ROUND((INDEX($E742:$G742,P$5)-SUMIFS(TF_Timer,TF_Tekniker,P$4,TF_Dato,$A742))*2,0)/2)))</f>
        <v/>
      </c>
      <c r="Q742">
        <f>IF(OR(Q$4="",$A742&gt;TODAY()),0,IF(OR(INDEX($B742:$D742,Q$5)="F",AND(Q$6&gt;0,$A742&lt;Q$6),AND(Q$7&gt;0,$A742&gt;Q$7)),0,MAX(0,ROUND((INDEX($E742:$G742,Q$5)-SUMIFS(TF_Timer,TF_Tekniker,Q$4,TF_Dato,$A742))*2,0)/2)))</f>
        <v/>
      </c>
      <c r="R742">
        <f>IF(OR(R$4="",$A742&gt;TODAY()),0,IF(OR(INDEX($B742:$D742,R$5)="F",AND(R$6&gt;0,$A742&lt;R$6),AND(R$7&gt;0,$A742&gt;R$7)),0,MAX(0,ROUND((INDEX($E742:$G742,R$5)-SUMIFS(TF_Timer,TF_Tekniker,R$4,TF_Dato,$A742))*2,0)/2)))</f>
        <v/>
      </c>
      <c r="S742">
        <f>IF(OR(S$4="",$A742&gt;TODAY()),0,IF(OR(INDEX($B742:$D742,S$5)="F",AND(S$6&gt;0,$A742&lt;S$6),AND(S$7&gt;0,$A742&gt;S$7)),0,MAX(0,ROUND((INDEX($E742:$G742,S$5)-SUMIFS(TF_Timer,TF_Tekniker,S$4,TF_Dato,$A742))*2,0)/2)))</f>
        <v/>
      </c>
      <c r="T742">
        <f>IF(OR(T$4="",$A742&gt;TODAY()),0,IF(OR(INDEX($B742:$D742,T$5)="F",AND(T$6&gt;0,$A742&lt;T$6),AND(T$7&gt;0,$A742&gt;T$7)),0,MAX(0,ROUND((INDEX($E742:$G742,T$5)-SUMIFS(TF_Timer,TF_Tekniker,T$4,TF_Dato,$A742))*2,0)/2)))</f>
        <v/>
      </c>
      <c r="U742">
        <f>IF(OR(U$4="",$A742&gt;TODAY()),0,IF(OR(INDEX($B742:$D742,U$5)="F",AND(U$6&gt;0,$A742&lt;U$6),AND(U$7&gt;0,$A742&gt;U$7)),0,MAX(0,ROUND((INDEX($E742:$G742,U$5)-SUMIFS(TF_Timer,TF_Tekniker,U$4,TF_Dato,$A742))*2,0)/2)))</f>
        <v/>
      </c>
      <c r="V742">
        <f>IF(OR(V$4="",$A742&gt;TODAY()),0,IF(OR(INDEX($B742:$D742,V$5)="F",AND(V$6&gt;0,$A742&lt;V$6),AND(V$7&gt;0,$A742&gt;V$7)),0,MAX(0,ROUND((INDEX($E742:$G742,V$5)-SUMIFS(TF_Timer,TF_Tekniker,V$4,TF_Dato,$A742))*2,0)/2)))</f>
        <v/>
      </c>
      <c r="W742">
        <f>IF(OR(W$4="",$A742&gt;TODAY()),0,IF(OR(INDEX($B742:$D742,W$5)="F",AND(W$6&gt;0,$A742&lt;W$6),AND(W$7&gt;0,$A742&gt;W$7)),0,MAX(0,ROUND((INDEX($E742:$G742,W$5)-SUMIFS(TF_Timer,TF_Tekniker,W$4,TF_Dato,$A742))*2,0)/2)))</f>
        <v/>
      </c>
      <c r="X742">
        <f>IF(OR(X$4="",$A742&gt;TODAY()),0,IF(OR(INDEX($B742:$D742,X$5)="F",AND(X$6&gt;0,$A742&lt;X$6),AND(X$7&gt;0,$A742&gt;X$7)),0,MAX(0,ROUND((INDEX($E742:$G742,X$5)-SUMIFS(TF_Timer,TF_Tekniker,X$4,TF_Dato,$A742))*2,0)/2)))</f>
        <v/>
      </c>
      <c r="Y742">
        <f>IF(OR(Y$4="",$A742&gt;TODAY()),0,IF(OR(INDEX($B742:$D742,Y$5)="F",AND(Y$6&gt;0,$A742&lt;Y$6),AND(Y$7&gt;0,$A742&gt;Y$7)),0,MAX(0,ROUND((INDEX($E742:$G742,Y$5)-SUMIFS(TF_Timer,TF_Tekniker,Y$4,TF_Dato,$A742))*2,0)/2)))</f>
        <v/>
      </c>
      <c r="Z742">
        <f>IF(OR(Z$4="",$A742&gt;TODAY()),0,IF(OR(INDEX($B742:$D742,Z$5)="F",AND(Z$6&gt;0,$A742&lt;Z$6),AND(Z$7&gt;0,$A742&gt;Z$7)),0,MAX(0,ROUND((INDEX($E742:$G742,Z$5)-SUMIFS(TF_Timer,TF_Tekniker,Z$4,TF_Dato,$A742))*2,0)/2)))</f>
        <v/>
      </c>
      <c r="AA742">
        <f>IF(OR(AA$4="",$A742&gt;TODAY()),0,IF(OR(INDEX($B742:$D742,AA$5)="F",AND(AA$6&gt;0,$A742&lt;AA$6),AND(AA$7&gt;0,$A742&gt;AA$7)),0,MAX(0,ROUND((INDEX($E742:$G742,AA$5)-SUMIFS(TF_Timer,TF_Tekniker,AA$4,TF_Dato,$A742))*2,0)/2)))</f>
        <v/>
      </c>
      <c r="AB742">
        <f>IF(OR(AB$4="",$A742&gt;TODAY()),0,IF(OR(INDEX($B742:$D742,AB$5)="F",AND(AB$6&gt;0,$A742&lt;AB$6),AND(AB$7&gt;0,$A742&gt;AB$7)),0,MAX(0,ROUND((INDEX($E742:$G742,AB$5)-SUMIFS(TF_Timer,TF_Tekniker,AB$4,TF_Dato,$A742))*2,0)/2)))</f>
        <v/>
      </c>
      <c r="AC742">
        <f>IF(OR(AC$4="",$A742&gt;TODAY()),0,IF(OR(INDEX($B742:$D742,AC$5)="F",AND(AC$6&gt;0,$A742&lt;AC$6),AND(AC$7&gt;0,$A742&gt;AC$7)),0,MAX(0,ROUND((INDEX($E742:$G742,AC$5)-SUMIFS(TF_Timer,TF_Tekniker,AC$4,TF_Dato,$A742))*2,0)/2)))</f>
        <v/>
      </c>
      <c r="AD742">
        <f>IF(OR(AD$4="",$A742&gt;TODAY()),0,IF(OR(INDEX($B742:$D742,AD$5)="F",AND(AD$6&gt;0,$A742&lt;AD$6),AND(AD$7&gt;0,$A742&gt;AD$7)),0,MAX(0,ROUND((INDEX($E742:$G742,AD$5)-SUMIFS(TF_Timer,TF_Tekniker,AD$4,TF_Dato,$A742))*2,0)/2)))</f>
        <v/>
      </c>
      <c r="AE742">
        <f>IF(OR(AE$4="",$A742&gt;TODAY()),0,IF(OR(INDEX($B742:$D742,AE$5)="F",AND(AE$6&gt;0,$A742&lt;AE$6),AND(AE$7&gt;0,$A742&gt;AE$7)),0,MAX(0,ROUND((INDEX($E742:$G742,AE$5)-SUMIFS(TF_Timer,TF_Tekniker,AE$4,TF_Dato,$A742))*2,0)/2)))</f>
        <v/>
      </c>
      <c r="AF742">
        <f>IF(OR(AF$4="",$A742&gt;TODAY()),0,IF(OR(INDEX($B742:$D742,AF$5)="F",AND(AF$6&gt;0,$A742&lt;AF$6),AND(AF$7&gt;0,$A742&gt;AF$7)),0,MAX(0,ROUND((INDEX($E742:$G742,AF$5)-SUMIFS(TF_Timer,TF_Tekniker,AF$4,TF_Dato,$A742))*2,0)/2)))</f>
        <v/>
      </c>
      <c r="AG742">
        <f>IF(OR(AG$4="",$A742&gt;TODAY()),0,IF(OR(INDEX($B742:$D742,AG$5)="F",AND(AG$6&gt;0,$A742&lt;AG$6),AND(AG$7&gt;0,$A742&gt;AG$7)),0,MAX(0,ROUND((INDEX($E742:$G742,AG$5)-SUMIFS(TF_Timer,TF_Tekniker,AG$4,TF_Dato,$A742))*2,0)/2)))</f>
        <v/>
      </c>
      <c r="AH742">
        <f>IF(OR(AH$4="",$A742&gt;TODAY()),0,IF(OR(INDEX($B742:$D742,AH$5)="F",AND(AH$6&gt;0,$A742&lt;AH$6),AND(AH$7&gt;0,$A742&gt;AH$7)),0,MAX(0,ROUND((INDEX($E742:$G742,AH$5)-SUMIFS(TF_Timer,TF_Tekniker,AH$4,TF_Dato,$A742))*2,0)/2)))</f>
        <v/>
      </c>
      <c r="AI742">
        <f>IF(OR(AI$4="",$A742&gt;TODAY()),0,IF(OR(INDEX($B742:$D742,AI$5)="F",AND(AI$6&gt;0,$A742&lt;AI$6),AND(AI$7&gt;0,$A742&gt;AI$7)),0,MAX(0,ROUND((INDEX($E742:$G742,AI$5)-SUMIFS(TF_Timer,TF_Tekniker,AI$4,TF_Dato,$A742))*2,0)/2)))</f>
        <v/>
      </c>
      <c r="AJ742">
        <f>IF(OR(AJ$4="",$A742&gt;TODAY()),0,IF(OR(INDEX($B742:$D742,AJ$5)="F",AND(AJ$6&gt;0,$A742&lt;AJ$6),AND(AJ$7&gt;0,$A742&gt;AJ$7)),0,MAX(0,ROUND((INDEX($E742:$G742,AJ$5)-SUMIFS(TF_Timer,TF_Tekniker,AJ$4,TF_Dato,$A742))*2,0)/2)))</f>
        <v/>
      </c>
      <c r="AK742">
        <f>IF(OR(AK$4="",$A742&gt;TODAY()),0,IF(OR(INDEX($B742:$D742,AK$5)="F",AND(AK$6&gt;0,$A742&lt;AK$6),AND(AK$7&gt;0,$A742&gt;AK$7)),0,MAX(0,ROUND((INDEX($E742:$G742,AK$5)-SUMIFS(TF_Timer,TF_Tekniker,AK$4,TF_Dato,$A742))*2,0)/2)))</f>
        <v/>
      </c>
      <c r="AL742">
        <f>IF(OR(AL$4="",$A742&gt;TODAY()),0,IF(OR(INDEX($B742:$D742,AL$5)="F",AND(AL$6&gt;0,$A742&lt;AL$6),AND(AL$7&gt;0,$A742&gt;AL$7)),0,MAX(0,ROUND((INDEX($E742:$G742,AL$5)-SUMIFS(TF_Timer,TF_Tekniker,AL$4,TF_Dato,$A742))*2,0)/2)))</f>
        <v/>
      </c>
      <c r="AM742">
        <f>IF(OR(AM$4="",$A742&gt;TODAY()),0,IF(OR(INDEX($B742:$D742,AM$5)="F",AND(AM$6&gt;0,$A742&lt;AM$6),AND(AM$7&gt;0,$A742&gt;AM$7)),0,MAX(0,ROUND((INDEX($E742:$G742,AM$5)-SUMIFS(TF_Timer,TF_Tekniker,AM$4,TF_Dato,$A742))*2,0)/2)))</f>
        <v/>
      </c>
      <c r="AN742">
        <f>IF(OR(AN$4="",$A742&gt;TODAY()),0,IF(OR(INDEX($B742:$D742,AN$5)="F",AND(AN$6&gt;0,$A742&lt;AN$6),AND(AN$7&gt;0,$A742&gt;AN$7)),0,MAX(0,ROUND((INDEX($E742:$G742,AN$5)-SUMIFS(TF_Timer,TF_Tekniker,AN$4,TF_Dato,$A742))*2,0)/2)))</f>
        <v/>
      </c>
      <c r="AO742">
        <f>IF(OR(AO$4="",$A742&gt;TODAY()),0,IF(OR(INDEX($B742:$D742,AO$5)="F",AND(AO$6&gt;0,$A742&lt;AO$6),AND(AO$7&gt;0,$A742&gt;AO$7)),0,MAX(0,ROUND((INDEX($E742:$G742,AO$5)-SUMIFS(TF_Timer,TF_Tekniker,AO$4,TF_Dato,$A742))*2,0)/2)))</f>
        <v/>
      </c>
      <c r="AP742">
        <f>IF(OR(AP$4="",$A742&gt;TODAY()),0,IF(OR(INDEX($B742:$D742,AP$5)="F",AND(AP$6&gt;0,$A742&lt;AP$6),AND(AP$7&gt;0,$A742&gt;AP$7)),0,MAX(0,ROUND((INDEX($E742:$G742,AP$5)-SUMIFS(TF_Timer,TF_Tekniker,AP$4,TF_Dato,$A742))*2,0)/2)))</f>
        <v/>
      </c>
      <c r="AQ742">
        <f>IF(OR(AQ$4="",$A742&gt;TODAY()),0,IF(OR(INDEX($B742:$D742,AQ$5)="F",AND(AQ$6&gt;0,$A742&lt;AQ$6),AND(AQ$7&gt;0,$A742&gt;AQ$7)),0,MAX(0,ROUND((INDEX($E742:$G742,AQ$5)-SUMIFS(TF_Timer,TF_Tekniker,AQ$4,TF_Dato,$A742))*2,0)/2)))</f>
        <v/>
      </c>
      <c r="AR742">
        <f>IF(OR(AR$4="",$A742&gt;TODAY()),0,IF(OR(INDEX($B742:$D742,AR$5)="F",AND(AR$6&gt;0,$A742&lt;AR$6),AND(AR$7&gt;0,$A742&gt;AR$7)),0,MAX(0,ROUND((INDEX($E742:$G742,AR$5)-SUMIFS(TF_Timer,TF_Tekniker,AR$4,TF_Dato,$A742))*2,0)/2)))</f>
        <v/>
      </c>
      <c r="AS742">
        <f>IF(OR(AS$4="",$A742&gt;TODAY()),0,IF(OR(INDEX($B742:$D742,AS$5)="F",AND(AS$6&gt;0,$A742&lt;AS$6),AND(AS$7&gt;0,$A742&gt;AS$7)),0,MAX(0,ROUND((INDEX($E742:$G742,AS$5)-SUMIFS(TF_Timer,TF_Tekniker,AS$4,TF_Dato,$A742))*2,0)/2)))</f>
        <v/>
      </c>
      <c r="AT742">
        <f>IF(OR(AT$4="",$A742&gt;TODAY()),0,IF(OR(INDEX($B742:$D742,AT$5)="F",AND(AT$6&gt;0,$A742&lt;AT$6),AND(AT$7&gt;0,$A742&gt;AT$7)),0,MAX(0,ROUND((INDEX($E742:$G742,AT$5)-SUMIFS(TF_Timer,TF_Tekniker,AT$4,TF_Dato,$A742))*2,0)/2)))</f>
        <v/>
      </c>
      <c r="AU742">
        <f>IF(OR(AU$4="",$A742&gt;TODAY()),0,IF(OR(INDEX($B742:$D742,AU$5)="F",AND(AU$6&gt;0,$A742&lt;AU$6),AND(AU$7&gt;0,$A742&gt;AU$7)),0,MAX(0,ROUND((INDEX($E742:$G742,AU$5)-SUMIFS(TF_Timer,TF_Tekniker,AU$4,TF_Dato,$A742))*2,0)/2)))</f>
        <v/>
      </c>
      <c r="AV742">
        <f>IF(OR(AV$4="",$A742&gt;TODAY()),0,IF(OR(INDEX($B742:$D742,AV$5)="F",AND(AV$6&gt;0,$A742&lt;AV$6),AND(AV$7&gt;0,$A742&gt;AV$7)),0,MAX(0,ROUND((INDEX($E742:$G742,AV$5)-SUMIFS(TF_Timer,TF_Tekniker,AV$4,TF_Dato,$A742))*2,0)/2)))</f>
        <v/>
      </c>
      <c r="AW742">
        <f>IF(OR(AW$4="",$A742&gt;TODAY()),0,IF(OR(INDEX($B742:$D742,AW$5)="F",AND(AW$6&gt;0,$A742&lt;AW$6),AND(AW$7&gt;0,$A742&gt;AW$7)),0,MAX(0,ROUND((INDEX($E742:$G742,AW$5)-SUMIFS(TF_Timer,TF_Tekniker,AW$4,TF_Dato,$A742))*2,0)/2)))</f>
        <v/>
      </c>
      <c r="AX742">
        <f>IF(OR(AX$4="",$A742&gt;TODAY()),0,IF(OR(INDEX($B742:$D742,AX$5)="F",AND(AX$6&gt;0,$A742&lt;AX$6),AND(AX$7&gt;0,$A742&gt;AX$7)),0,MAX(0,ROUND((INDEX($E742:$G742,AX$5)-SUMIFS(TF_Timer,TF_Tekniker,AX$4,TF_Dato,$A742))*2,0)/2)))</f>
        <v/>
      </c>
      <c r="AY742">
        <f>IF(OR(AY$4="",$A742&gt;TODAY()),0,IF(OR(INDEX($B742:$D742,AY$5)="F",AND(AY$6&gt;0,$A742&lt;AY$6),AND(AY$7&gt;0,$A742&gt;AY$7)),0,MAX(0,ROUND((INDEX($E742:$G742,AY$5)-SUMIFS(TF_Timer,TF_Tekniker,AY$4,TF_Dato,$A742))*2,0)/2)))</f>
        <v/>
      </c>
      <c r="AZ742">
        <f>IF(OR(AZ$4="",$A742&gt;TODAY()),0,IF(OR(INDEX($B742:$D742,AZ$5)="F",AND(AZ$6&gt;0,$A742&lt;AZ$6),AND(AZ$7&gt;0,$A742&gt;AZ$7)),0,MAX(0,ROUND((INDEX($E742:$G742,AZ$5)-SUMIFS(TF_Timer,TF_Tekniker,AZ$4,TF_Dato,$A742))*2,0)/2)))</f>
        <v/>
      </c>
      <c r="BA742">
        <f>IF(OR(BA$4="",$A742&gt;TODAY()),0,IF(OR(INDEX($B742:$D742,BA$5)="F",AND(BA$6&gt;0,$A742&lt;BA$6),AND(BA$7&gt;0,$A742&gt;BA$7)),0,MAX(0,ROUND((INDEX($E742:$G742,BA$5)-SUMIFS(TF_Timer,TF_Tekniker,BA$4,TF_Dato,$A742))*2,0)/2)))</f>
        <v/>
      </c>
      <c r="BB742">
        <f>IF(OR(BB$4="",$A742&gt;TODAY()),0,IF(OR(INDEX($B742:$D742,BB$5)="F",AND(BB$6&gt;0,$A742&lt;BB$6),AND(BB$7&gt;0,$A742&gt;BB$7)),0,MAX(0,ROUND((INDEX($E742:$G742,BB$5)-SUMIFS(TF_Timer,TF_Tekniker,BB$4,TF_Dato,$A742))*2,0)/2)))</f>
        <v/>
      </c>
      <c r="BC742">
        <f>IF(OR(BC$4="",$A742&gt;TODAY()),0,IF(OR(INDEX($B742:$D742,BC$5)="F",AND(BC$6&gt;0,$A742&lt;BC$6),AND(BC$7&gt;0,$A742&gt;BC$7)),0,MAX(0,ROUND((INDEX($E742:$G742,BC$5)-SUMIFS(TF_Timer,TF_Tekniker,BC$4,TF_Dato,$A742))*2,0)/2)))</f>
        <v/>
      </c>
      <c r="BD742">
        <f>IF(OR(BD$4="",$A742&gt;TODAY()),0,IF(OR(INDEX($B742:$D742,BD$5)="F",AND(BD$6&gt;0,$A742&lt;BD$6),AND(BD$7&gt;0,$A742&gt;BD$7)),0,MAX(0,ROUND((INDEX($E742:$G742,BD$5)-SUMIFS(TF_Timer,TF_Tekniker,BD$4,TF_Dato,$A742))*2,0)/2)))</f>
        <v/>
      </c>
      <c r="BE742">
        <f>IF(OR(BE$4="",$A742&gt;TODAY()),0,IF(OR(INDEX($B742:$D742,BE$5)="F",AND(BE$6&gt;0,$A742&lt;BE$6),AND(BE$7&gt;0,$A742&gt;BE$7)),0,MAX(0,ROUND((INDEX($E742:$G742,BE$5)-SUMIFS(TF_Timer,TF_Tekniker,BE$4,TF_Dato,$A742))*2,0)/2)))</f>
        <v/>
      </c>
      <c r="BF742">
        <f>IF(OR(BF$4="",$A742&gt;TODAY()),0,IF(OR(INDEX($B742:$D742,BF$5)="F",AND(BF$6&gt;0,$A742&lt;BF$6),AND(BF$7&gt;0,$A742&gt;BF$7)),0,MAX(0,ROUND((INDEX($E742:$G742,BF$5)-SUMIFS(TF_Timer,TF_Tekniker,BF$4,TF_Dato,$A742))*2,0)/2)))</f>
        <v/>
      </c>
      <c r="BG742">
        <f>IF(OR(BG$4="",$A742&gt;TODAY()),0,IF(OR(INDEX($B742:$D742,BG$5)="F",AND(BG$6&gt;0,$A742&lt;BG$6),AND(BG$7&gt;0,$A742&gt;BG$7)),0,MAX(0,ROUND((INDEX($E742:$G742,BG$5)-SUMIFS(TF_Timer,TF_Tekniker,BG$4,TF_Dato,$A742))*2,0)/2)))</f>
        <v/>
      </c>
      <c r="BH742">
        <f>IF(OR(BH$4="",$A742&gt;TODAY()),0,IF(OR(INDEX($B742:$D742,BH$5)="F",AND(BH$6&gt;0,$A742&lt;BH$6),AND(BH$7&gt;0,$A742&gt;BH$7)),0,MAX(0,ROUND((INDEX($E742:$G742,BH$5)-SUMIFS(TF_Timer,TF_Tekniker,BH$4,TF_Dato,$A742))*2,0)/2)))</f>
        <v/>
      </c>
      <c r="BI742">
        <f>IF(OR(BI$4="",$A742&gt;TODAY()),0,IF(OR(INDEX($B742:$D742,BI$5)="F",AND(BI$6&gt;0,$A742&lt;BI$6),AND(BI$7&gt;0,$A742&gt;BI$7)),0,MAX(0,ROUND((INDEX($E742:$G742,BI$5)-SUMIFS(TF_Timer,TF_Tekniker,BI$4,TF_Dato,$A742))*2,0)/2)))</f>
        <v/>
      </c>
    </row>
    <row r="743">
      <c r="A743" s="64">
        <f>A742+1</f>
        <v/>
      </c>
      <c r="B743">
        <f>IF(MOD($A743-INDEX(SkiftStart,1),Syklus)&lt;DagK,"K",IF(MOD($A743-INDEX(SkiftStart,1),Syklus)&lt;DagK+DagH,"H",IF(MOD($A743-INDEX(SkiftStart,1),Syklus)&lt;DagK+DagH+DagD,"D","F")))</f>
        <v/>
      </c>
      <c r="C743">
        <f>IF(MOD($A743-INDEX(SkiftStart,2),Syklus)&lt;DagK,"K",IF(MOD($A743-INDEX(SkiftStart,2),Syklus)&lt;DagK+DagH,"H",IF(MOD($A743-INDEX(SkiftStart,2),Syklus)&lt;DagK+DagH+DagD,"D","F")))</f>
        <v/>
      </c>
      <c r="D743">
        <f>IF(MOD($A743-INDEX(SkiftStart,3),Syklus)&lt;DagK,"K",IF(MOD($A743-INDEX(SkiftStart,3),Syklus)&lt;DagK+DagH,"H",IF(MOD($A743-INDEX(SkiftStart,3),Syklus)&lt;DagK+DagH+DagD,"D","F")))</f>
        <v/>
      </c>
      <c r="E743">
        <f>IF(B743="F",0,IF(WEEKDAY($A743,2)=5,INDEX(TimerFr,MATCH(B743,FaseKode,0)),INDEX(TimerMT,MATCH(B743,FaseKode,0))))</f>
        <v/>
      </c>
      <c r="F743">
        <f>IF(C743="F",0,IF(WEEKDAY($A743,2)=5,INDEX(TimerFr,MATCH(C743,FaseKode,0)),INDEX(TimerMT,MATCH(C743,FaseKode,0))))</f>
        <v/>
      </c>
      <c r="G743">
        <f>IF(D743="F",0,IF(WEEKDAY($A743,2)=5,INDEX(TimerFr,MATCH(D743,FaseKode,0)),INDEX(TimerMT,MATCH(D743,FaseKode,0))))</f>
        <v/>
      </c>
      <c r="H743">
        <f>IF(OR(H$4="",$A743&gt;TODAY()),0,IF(OR(INDEX($B743:$D743,H$5)="F",AND(H$6&gt;0,$A743&lt;H$6),AND(H$7&gt;0,$A743&gt;H$7)),0,MAX(0,ROUND((INDEX($E743:$G743,H$5)-SUMIFS(TF_Timer,TF_Tekniker,H$4,TF_Dato,$A743))*2,0)/2)))</f>
        <v/>
      </c>
      <c r="I743">
        <f>IF(OR(I$4="",$A743&gt;TODAY()),0,IF(OR(INDEX($B743:$D743,I$5)="F",AND(I$6&gt;0,$A743&lt;I$6),AND(I$7&gt;0,$A743&gt;I$7)),0,MAX(0,ROUND((INDEX($E743:$G743,I$5)-SUMIFS(TF_Timer,TF_Tekniker,I$4,TF_Dato,$A743))*2,0)/2)))</f>
        <v/>
      </c>
      <c r="J743">
        <f>IF(OR(J$4="",$A743&gt;TODAY()),0,IF(OR(INDEX($B743:$D743,J$5)="F",AND(J$6&gt;0,$A743&lt;J$6),AND(J$7&gt;0,$A743&gt;J$7)),0,MAX(0,ROUND((INDEX($E743:$G743,J$5)-SUMIFS(TF_Timer,TF_Tekniker,J$4,TF_Dato,$A743))*2,0)/2)))</f>
        <v/>
      </c>
      <c r="K743">
        <f>IF(OR(K$4="",$A743&gt;TODAY()),0,IF(OR(INDEX($B743:$D743,K$5)="F",AND(K$6&gt;0,$A743&lt;K$6),AND(K$7&gt;0,$A743&gt;K$7)),0,MAX(0,ROUND((INDEX($E743:$G743,K$5)-SUMIFS(TF_Timer,TF_Tekniker,K$4,TF_Dato,$A743))*2,0)/2)))</f>
        <v/>
      </c>
      <c r="L743">
        <f>IF(OR(L$4="",$A743&gt;TODAY()),0,IF(OR(INDEX($B743:$D743,L$5)="F",AND(L$6&gt;0,$A743&lt;L$6),AND(L$7&gt;0,$A743&gt;L$7)),0,MAX(0,ROUND((INDEX($E743:$G743,L$5)-SUMIFS(TF_Timer,TF_Tekniker,L$4,TF_Dato,$A743))*2,0)/2)))</f>
        <v/>
      </c>
      <c r="M743">
        <f>IF(OR(M$4="",$A743&gt;TODAY()),0,IF(OR(INDEX($B743:$D743,M$5)="F",AND(M$6&gt;0,$A743&lt;M$6),AND(M$7&gt;0,$A743&gt;M$7)),0,MAX(0,ROUND((INDEX($E743:$G743,M$5)-SUMIFS(TF_Timer,TF_Tekniker,M$4,TF_Dato,$A743))*2,0)/2)))</f>
        <v/>
      </c>
      <c r="N743">
        <f>IF(OR(N$4="",$A743&gt;TODAY()),0,IF(OR(INDEX($B743:$D743,N$5)="F",AND(N$6&gt;0,$A743&lt;N$6),AND(N$7&gt;0,$A743&gt;N$7)),0,MAX(0,ROUND((INDEX($E743:$G743,N$5)-SUMIFS(TF_Timer,TF_Tekniker,N$4,TF_Dato,$A743))*2,0)/2)))</f>
        <v/>
      </c>
      <c r="O743">
        <f>IF(OR(O$4="",$A743&gt;TODAY()),0,IF(OR(INDEX($B743:$D743,O$5)="F",AND(O$6&gt;0,$A743&lt;O$6),AND(O$7&gt;0,$A743&gt;O$7)),0,MAX(0,ROUND((INDEX($E743:$G743,O$5)-SUMIFS(TF_Timer,TF_Tekniker,O$4,TF_Dato,$A743))*2,0)/2)))</f>
        <v/>
      </c>
      <c r="P743">
        <f>IF(OR(P$4="",$A743&gt;TODAY()),0,IF(OR(INDEX($B743:$D743,P$5)="F",AND(P$6&gt;0,$A743&lt;P$6),AND(P$7&gt;0,$A743&gt;P$7)),0,MAX(0,ROUND((INDEX($E743:$G743,P$5)-SUMIFS(TF_Timer,TF_Tekniker,P$4,TF_Dato,$A743))*2,0)/2)))</f>
        <v/>
      </c>
      <c r="Q743">
        <f>IF(OR(Q$4="",$A743&gt;TODAY()),0,IF(OR(INDEX($B743:$D743,Q$5)="F",AND(Q$6&gt;0,$A743&lt;Q$6),AND(Q$7&gt;0,$A743&gt;Q$7)),0,MAX(0,ROUND((INDEX($E743:$G743,Q$5)-SUMIFS(TF_Timer,TF_Tekniker,Q$4,TF_Dato,$A743))*2,0)/2)))</f>
        <v/>
      </c>
      <c r="R743">
        <f>IF(OR(R$4="",$A743&gt;TODAY()),0,IF(OR(INDEX($B743:$D743,R$5)="F",AND(R$6&gt;0,$A743&lt;R$6),AND(R$7&gt;0,$A743&gt;R$7)),0,MAX(0,ROUND((INDEX($E743:$G743,R$5)-SUMIFS(TF_Timer,TF_Tekniker,R$4,TF_Dato,$A743))*2,0)/2)))</f>
        <v/>
      </c>
      <c r="S743">
        <f>IF(OR(S$4="",$A743&gt;TODAY()),0,IF(OR(INDEX($B743:$D743,S$5)="F",AND(S$6&gt;0,$A743&lt;S$6),AND(S$7&gt;0,$A743&gt;S$7)),0,MAX(0,ROUND((INDEX($E743:$G743,S$5)-SUMIFS(TF_Timer,TF_Tekniker,S$4,TF_Dato,$A743))*2,0)/2)))</f>
        <v/>
      </c>
      <c r="T743">
        <f>IF(OR(T$4="",$A743&gt;TODAY()),0,IF(OR(INDEX($B743:$D743,T$5)="F",AND(T$6&gt;0,$A743&lt;T$6),AND(T$7&gt;0,$A743&gt;T$7)),0,MAX(0,ROUND((INDEX($E743:$G743,T$5)-SUMIFS(TF_Timer,TF_Tekniker,T$4,TF_Dato,$A743))*2,0)/2)))</f>
        <v/>
      </c>
      <c r="U743">
        <f>IF(OR(U$4="",$A743&gt;TODAY()),0,IF(OR(INDEX($B743:$D743,U$5)="F",AND(U$6&gt;0,$A743&lt;U$6),AND(U$7&gt;0,$A743&gt;U$7)),0,MAX(0,ROUND((INDEX($E743:$G743,U$5)-SUMIFS(TF_Timer,TF_Tekniker,U$4,TF_Dato,$A743))*2,0)/2)))</f>
        <v/>
      </c>
      <c r="V743">
        <f>IF(OR(V$4="",$A743&gt;TODAY()),0,IF(OR(INDEX($B743:$D743,V$5)="F",AND(V$6&gt;0,$A743&lt;V$6),AND(V$7&gt;0,$A743&gt;V$7)),0,MAX(0,ROUND((INDEX($E743:$G743,V$5)-SUMIFS(TF_Timer,TF_Tekniker,V$4,TF_Dato,$A743))*2,0)/2)))</f>
        <v/>
      </c>
      <c r="W743">
        <f>IF(OR(W$4="",$A743&gt;TODAY()),0,IF(OR(INDEX($B743:$D743,W$5)="F",AND(W$6&gt;0,$A743&lt;W$6),AND(W$7&gt;0,$A743&gt;W$7)),0,MAX(0,ROUND((INDEX($E743:$G743,W$5)-SUMIFS(TF_Timer,TF_Tekniker,W$4,TF_Dato,$A743))*2,0)/2)))</f>
        <v/>
      </c>
      <c r="X743">
        <f>IF(OR(X$4="",$A743&gt;TODAY()),0,IF(OR(INDEX($B743:$D743,X$5)="F",AND(X$6&gt;0,$A743&lt;X$6),AND(X$7&gt;0,$A743&gt;X$7)),0,MAX(0,ROUND((INDEX($E743:$G743,X$5)-SUMIFS(TF_Timer,TF_Tekniker,X$4,TF_Dato,$A743))*2,0)/2)))</f>
        <v/>
      </c>
      <c r="Y743">
        <f>IF(OR(Y$4="",$A743&gt;TODAY()),0,IF(OR(INDEX($B743:$D743,Y$5)="F",AND(Y$6&gt;0,$A743&lt;Y$6),AND(Y$7&gt;0,$A743&gt;Y$7)),0,MAX(0,ROUND((INDEX($E743:$G743,Y$5)-SUMIFS(TF_Timer,TF_Tekniker,Y$4,TF_Dato,$A743))*2,0)/2)))</f>
        <v/>
      </c>
      <c r="Z743">
        <f>IF(OR(Z$4="",$A743&gt;TODAY()),0,IF(OR(INDEX($B743:$D743,Z$5)="F",AND(Z$6&gt;0,$A743&lt;Z$6),AND(Z$7&gt;0,$A743&gt;Z$7)),0,MAX(0,ROUND((INDEX($E743:$G743,Z$5)-SUMIFS(TF_Timer,TF_Tekniker,Z$4,TF_Dato,$A743))*2,0)/2)))</f>
        <v/>
      </c>
      <c r="AA743">
        <f>IF(OR(AA$4="",$A743&gt;TODAY()),0,IF(OR(INDEX($B743:$D743,AA$5)="F",AND(AA$6&gt;0,$A743&lt;AA$6),AND(AA$7&gt;0,$A743&gt;AA$7)),0,MAX(0,ROUND((INDEX($E743:$G743,AA$5)-SUMIFS(TF_Timer,TF_Tekniker,AA$4,TF_Dato,$A743))*2,0)/2)))</f>
        <v/>
      </c>
      <c r="AB743">
        <f>IF(OR(AB$4="",$A743&gt;TODAY()),0,IF(OR(INDEX($B743:$D743,AB$5)="F",AND(AB$6&gt;0,$A743&lt;AB$6),AND(AB$7&gt;0,$A743&gt;AB$7)),0,MAX(0,ROUND((INDEX($E743:$G743,AB$5)-SUMIFS(TF_Timer,TF_Tekniker,AB$4,TF_Dato,$A743))*2,0)/2)))</f>
        <v/>
      </c>
      <c r="AC743">
        <f>IF(OR(AC$4="",$A743&gt;TODAY()),0,IF(OR(INDEX($B743:$D743,AC$5)="F",AND(AC$6&gt;0,$A743&lt;AC$6),AND(AC$7&gt;0,$A743&gt;AC$7)),0,MAX(0,ROUND((INDEX($E743:$G743,AC$5)-SUMIFS(TF_Timer,TF_Tekniker,AC$4,TF_Dato,$A743))*2,0)/2)))</f>
        <v/>
      </c>
      <c r="AD743">
        <f>IF(OR(AD$4="",$A743&gt;TODAY()),0,IF(OR(INDEX($B743:$D743,AD$5)="F",AND(AD$6&gt;0,$A743&lt;AD$6),AND(AD$7&gt;0,$A743&gt;AD$7)),0,MAX(0,ROUND((INDEX($E743:$G743,AD$5)-SUMIFS(TF_Timer,TF_Tekniker,AD$4,TF_Dato,$A743))*2,0)/2)))</f>
        <v/>
      </c>
      <c r="AE743">
        <f>IF(OR(AE$4="",$A743&gt;TODAY()),0,IF(OR(INDEX($B743:$D743,AE$5)="F",AND(AE$6&gt;0,$A743&lt;AE$6),AND(AE$7&gt;0,$A743&gt;AE$7)),0,MAX(0,ROUND((INDEX($E743:$G743,AE$5)-SUMIFS(TF_Timer,TF_Tekniker,AE$4,TF_Dato,$A743))*2,0)/2)))</f>
        <v/>
      </c>
      <c r="AF743">
        <f>IF(OR(AF$4="",$A743&gt;TODAY()),0,IF(OR(INDEX($B743:$D743,AF$5)="F",AND(AF$6&gt;0,$A743&lt;AF$6),AND(AF$7&gt;0,$A743&gt;AF$7)),0,MAX(0,ROUND((INDEX($E743:$G743,AF$5)-SUMIFS(TF_Timer,TF_Tekniker,AF$4,TF_Dato,$A743))*2,0)/2)))</f>
        <v/>
      </c>
      <c r="AG743">
        <f>IF(OR(AG$4="",$A743&gt;TODAY()),0,IF(OR(INDEX($B743:$D743,AG$5)="F",AND(AG$6&gt;0,$A743&lt;AG$6),AND(AG$7&gt;0,$A743&gt;AG$7)),0,MAX(0,ROUND((INDEX($E743:$G743,AG$5)-SUMIFS(TF_Timer,TF_Tekniker,AG$4,TF_Dato,$A743))*2,0)/2)))</f>
        <v/>
      </c>
      <c r="AH743">
        <f>IF(OR(AH$4="",$A743&gt;TODAY()),0,IF(OR(INDEX($B743:$D743,AH$5)="F",AND(AH$6&gt;0,$A743&lt;AH$6),AND(AH$7&gt;0,$A743&gt;AH$7)),0,MAX(0,ROUND((INDEX($E743:$G743,AH$5)-SUMIFS(TF_Timer,TF_Tekniker,AH$4,TF_Dato,$A743))*2,0)/2)))</f>
        <v/>
      </c>
      <c r="AI743">
        <f>IF(OR(AI$4="",$A743&gt;TODAY()),0,IF(OR(INDEX($B743:$D743,AI$5)="F",AND(AI$6&gt;0,$A743&lt;AI$6),AND(AI$7&gt;0,$A743&gt;AI$7)),0,MAX(0,ROUND((INDEX($E743:$G743,AI$5)-SUMIFS(TF_Timer,TF_Tekniker,AI$4,TF_Dato,$A743))*2,0)/2)))</f>
        <v/>
      </c>
      <c r="AJ743">
        <f>IF(OR(AJ$4="",$A743&gt;TODAY()),0,IF(OR(INDEX($B743:$D743,AJ$5)="F",AND(AJ$6&gt;0,$A743&lt;AJ$6),AND(AJ$7&gt;0,$A743&gt;AJ$7)),0,MAX(0,ROUND((INDEX($E743:$G743,AJ$5)-SUMIFS(TF_Timer,TF_Tekniker,AJ$4,TF_Dato,$A743))*2,0)/2)))</f>
        <v/>
      </c>
      <c r="AK743">
        <f>IF(OR(AK$4="",$A743&gt;TODAY()),0,IF(OR(INDEX($B743:$D743,AK$5)="F",AND(AK$6&gt;0,$A743&lt;AK$6),AND(AK$7&gt;0,$A743&gt;AK$7)),0,MAX(0,ROUND((INDEX($E743:$G743,AK$5)-SUMIFS(TF_Timer,TF_Tekniker,AK$4,TF_Dato,$A743))*2,0)/2)))</f>
        <v/>
      </c>
      <c r="AL743">
        <f>IF(OR(AL$4="",$A743&gt;TODAY()),0,IF(OR(INDEX($B743:$D743,AL$5)="F",AND(AL$6&gt;0,$A743&lt;AL$6),AND(AL$7&gt;0,$A743&gt;AL$7)),0,MAX(0,ROUND((INDEX($E743:$G743,AL$5)-SUMIFS(TF_Timer,TF_Tekniker,AL$4,TF_Dato,$A743))*2,0)/2)))</f>
        <v/>
      </c>
      <c r="AM743">
        <f>IF(OR(AM$4="",$A743&gt;TODAY()),0,IF(OR(INDEX($B743:$D743,AM$5)="F",AND(AM$6&gt;0,$A743&lt;AM$6),AND(AM$7&gt;0,$A743&gt;AM$7)),0,MAX(0,ROUND((INDEX($E743:$G743,AM$5)-SUMIFS(TF_Timer,TF_Tekniker,AM$4,TF_Dato,$A743))*2,0)/2)))</f>
        <v/>
      </c>
      <c r="AN743">
        <f>IF(OR(AN$4="",$A743&gt;TODAY()),0,IF(OR(INDEX($B743:$D743,AN$5)="F",AND(AN$6&gt;0,$A743&lt;AN$6),AND(AN$7&gt;0,$A743&gt;AN$7)),0,MAX(0,ROUND((INDEX($E743:$G743,AN$5)-SUMIFS(TF_Timer,TF_Tekniker,AN$4,TF_Dato,$A743))*2,0)/2)))</f>
        <v/>
      </c>
      <c r="AO743">
        <f>IF(OR(AO$4="",$A743&gt;TODAY()),0,IF(OR(INDEX($B743:$D743,AO$5)="F",AND(AO$6&gt;0,$A743&lt;AO$6),AND(AO$7&gt;0,$A743&gt;AO$7)),0,MAX(0,ROUND((INDEX($E743:$G743,AO$5)-SUMIFS(TF_Timer,TF_Tekniker,AO$4,TF_Dato,$A743))*2,0)/2)))</f>
        <v/>
      </c>
      <c r="AP743">
        <f>IF(OR(AP$4="",$A743&gt;TODAY()),0,IF(OR(INDEX($B743:$D743,AP$5)="F",AND(AP$6&gt;0,$A743&lt;AP$6),AND(AP$7&gt;0,$A743&gt;AP$7)),0,MAX(0,ROUND((INDEX($E743:$G743,AP$5)-SUMIFS(TF_Timer,TF_Tekniker,AP$4,TF_Dato,$A743))*2,0)/2)))</f>
        <v/>
      </c>
      <c r="AQ743">
        <f>IF(OR(AQ$4="",$A743&gt;TODAY()),0,IF(OR(INDEX($B743:$D743,AQ$5)="F",AND(AQ$6&gt;0,$A743&lt;AQ$6),AND(AQ$7&gt;0,$A743&gt;AQ$7)),0,MAX(0,ROUND((INDEX($E743:$G743,AQ$5)-SUMIFS(TF_Timer,TF_Tekniker,AQ$4,TF_Dato,$A743))*2,0)/2)))</f>
        <v/>
      </c>
      <c r="AR743">
        <f>IF(OR(AR$4="",$A743&gt;TODAY()),0,IF(OR(INDEX($B743:$D743,AR$5)="F",AND(AR$6&gt;0,$A743&lt;AR$6),AND(AR$7&gt;0,$A743&gt;AR$7)),0,MAX(0,ROUND((INDEX($E743:$G743,AR$5)-SUMIFS(TF_Timer,TF_Tekniker,AR$4,TF_Dato,$A743))*2,0)/2)))</f>
        <v/>
      </c>
      <c r="AS743">
        <f>IF(OR(AS$4="",$A743&gt;TODAY()),0,IF(OR(INDEX($B743:$D743,AS$5)="F",AND(AS$6&gt;0,$A743&lt;AS$6),AND(AS$7&gt;0,$A743&gt;AS$7)),0,MAX(0,ROUND((INDEX($E743:$G743,AS$5)-SUMIFS(TF_Timer,TF_Tekniker,AS$4,TF_Dato,$A743))*2,0)/2)))</f>
        <v/>
      </c>
      <c r="AT743">
        <f>IF(OR(AT$4="",$A743&gt;TODAY()),0,IF(OR(INDEX($B743:$D743,AT$5)="F",AND(AT$6&gt;0,$A743&lt;AT$6),AND(AT$7&gt;0,$A743&gt;AT$7)),0,MAX(0,ROUND((INDEX($E743:$G743,AT$5)-SUMIFS(TF_Timer,TF_Tekniker,AT$4,TF_Dato,$A743))*2,0)/2)))</f>
        <v/>
      </c>
      <c r="AU743">
        <f>IF(OR(AU$4="",$A743&gt;TODAY()),0,IF(OR(INDEX($B743:$D743,AU$5)="F",AND(AU$6&gt;0,$A743&lt;AU$6),AND(AU$7&gt;0,$A743&gt;AU$7)),0,MAX(0,ROUND((INDEX($E743:$G743,AU$5)-SUMIFS(TF_Timer,TF_Tekniker,AU$4,TF_Dato,$A743))*2,0)/2)))</f>
        <v/>
      </c>
      <c r="AV743">
        <f>IF(OR(AV$4="",$A743&gt;TODAY()),0,IF(OR(INDEX($B743:$D743,AV$5)="F",AND(AV$6&gt;0,$A743&lt;AV$6),AND(AV$7&gt;0,$A743&gt;AV$7)),0,MAX(0,ROUND((INDEX($E743:$G743,AV$5)-SUMIFS(TF_Timer,TF_Tekniker,AV$4,TF_Dato,$A743))*2,0)/2)))</f>
        <v/>
      </c>
      <c r="AW743">
        <f>IF(OR(AW$4="",$A743&gt;TODAY()),0,IF(OR(INDEX($B743:$D743,AW$5)="F",AND(AW$6&gt;0,$A743&lt;AW$6),AND(AW$7&gt;0,$A743&gt;AW$7)),0,MAX(0,ROUND((INDEX($E743:$G743,AW$5)-SUMIFS(TF_Timer,TF_Tekniker,AW$4,TF_Dato,$A743))*2,0)/2)))</f>
        <v/>
      </c>
      <c r="AX743">
        <f>IF(OR(AX$4="",$A743&gt;TODAY()),0,IF(OR(INDEX($B743:$D743,AX$5)="F",AND(AX$6&gt;0,$A743&lt;AX$6),AND(AX$7&gt;0,$A743&gt;AX$7)),0,MAX(0,ROUND((INDEX($E743:$G743,AX$5)-SUMIFS(TF_Timer,TF_Tekniker,AX$4,TF_Dato,$A743))*2,0)/2)))</f>
        <v/>
      </c>
      <c r="AY743">
        <f>IF(OR(AY$4="",$A743&gt;TODAY()),0,IF(OR(INDEX($B743:$D743,AY$5)="F",AND(AY$6&gt;0,$A743&lt;AY$6),AND(AY$7&gt;0,$A743&gt;AY$7)),0,MAX(0,ROUND((INDEX($E743:$G743,AY$5)-SUMIFS(TF_Timer,TF_Tekniker,AY$4,TF_Dato,$A743))*2,0)/2)))</f>
        <v/>
      </c>
      <c r="AZ743">
        <f>IF(OR(AZ$4="",$A743&gt;TODAY()),0,IF(OR(INDEX($B743:$D743,AZ$5)="F",AND(AZ$6&gt;0,$A743&lt;AZ$6),AND(AZ$7&gt;0,$A743&gt;AZ$7)),0,MAX(0,ROUND((INDEX($E743:$G743,AZ$5)-SUMIFS(TF_Timer,TF_Tekniker,AZ$4,TF_Dato,$A743))*2,0)/2)))</f>
        <v/>
      </c>
      <c r="BA743">
        <f>IF(OR(BA$4="",$A743&gt;TODAY()),0,IF(OR(INDEX($B743:$D743,BA$5)="F",AND(BA$6&gt;0,$A743&lt;BA$6),AND(BA$7&gt;0,$A743&gt;BA$7)),0,MAX(0,ROUND((INDEX($E743:$G743,BA$5)-SUMIFS(TF_Timer,TF_Tekniker,BA$4,TF_Dato,$A743))*2,0)/2)))</f>
        <v/>
      </c>
      <c r="BB743">
        <f>IF(OR(BB$4="",$A743&gt;TODAY()),0,IF(OR(INDEX($B743:$D743,BB$5)="F",AND(BB$6&gt;0,$A743&lt;BB$6),AND(BB$7&gt;0,$A743&gt;BB$7)),0,MAX(0,ROUND((INDEX($E743:$G743,BB$5)-SUMIFS(TF_Timer,TF_Tekniker,BB$4,TF_Dato,$A743))*2,0)/2)))</f>
        <v/>
      </c>
      <c r="BC743">
        <f>IF(OR(BC$4="",$A743&gt;TODAY()),0,IF(OR(INDEX($B743:$D743,BC$5)="F",AND(BC$6&gt;0,$A743&lt;BC$6),AND(BC$7&gt;0,$A743&gt;BC$7)),0,MAX(0,ROUND((INDEX($E743:$G743,BC$5)-SUMIFS(TF_Timer,TF_Tekniker,BC$4,TF_Dato,$A743))*2,0)/2)))</f>
        <v/>
      </c>
      <c r="BD743">
        <f>IF(OR(BD$4="",$A743&gt;TODAY()),0,IF(OR(INDEX($B743:$D743,BD$5)="F",AND(BD$6&gt;0,$A743&lt;BD$6),AND(BD$7&gt;0,$A743&gt;BD$7)),0,MAX(0,ROUND((INDEX($E743:$G743,BD$5)-SUMIFS(TF_Timer,TF_Tekniker,BD$4,TF_Dato,$A743))*2,0)/2)))</f>
        <v/>
      </c>
      <c r="BE743">
        <f>IF(OR(BE$4="",$A743&gt;TODAY()),0,IF(OR(INDEX($B743:$D743,BE$5)="F",AND(BE$6&gt;0,$A743&lt;BE$6),AND(BE$7&gt;0,$A743&gt;BE$7)),0,MAX(0,ROUND((INDEX($E743:$G743,BE$5)-SUMIFS(TF_Timer,TF_Tekniker,BE$4,TF_Dato,$A743))*2,0)/2)))</f>
        <v/>
      </c>
      <c r="BF743">
        <f>IF(OR(BF$4="",$A743&gt;TODAY()),0,IF(OR(INDEX($B743:$D743,BF$5)="F",AND(BF$6&gt;0,$A743&lt;BF$6),AND(BF$7&gt;0,$A743&gt;BF$7)),0,MAX(0,ROUND((INDEX($E743:$G743,BF$5)-SUMIFS(TF_Timer,TF_Tekniker,BF$4,TF_Dato,$A743))*2,0)/2)))</f>
        <v/>
      </c>
      <c r="BG743">
        <f>IF(OR(BG$4="",$A743&gt;TODAY()),0,IF(OR(INDEX($B743:$D743,BG$5)="F",AND(BG$6&gt;0,$A743&lt;BG$6),AND(BG$7&gt;0,$A743&gt;BG$7)),0,MAX(0,ROUND((INDEX($E743:$G743,BG$5)-SUMIFS(TF_Timer,TF_Tekniker,BG$4,TF_Dato,$A743))*2,0)/2)))</f>
        <v/>
      </c>
      <c r="BH743">
        <f>IF(OR(BH$4="",$A743&gt;TODAY()),0,IF(OR(INDEX($B743:$D743,BH$5)="F",AND(BH$6&gt;0,$A743&lt;BH$6),AND(BH$7&gt;0,$A743&gt;BH$7)),0,MAX(0,ROUND((INDEX($E743:$G743,BH$5)-SUMIFS(TF_Timer,TF_Tekniker,BH$4,TF_Dato,$A743))*2,0)/2)))</f>
        <v/>
      </c>
      <c r="BI743">
        <f>IF(OR(BI$4="",$A743&gt;TODAY()),0,IF(OR(INDEX($B743:$D743,BI$5)="F",AND(BI$6&gt;0,$A743&lt;BI$6),AND(BI$7&gt;0,$A743&gt;BI$7)),0,MAX(0,ROUND((INDEX($E743:$G743,BI$5)-SUMIFS(TF_Timer,TF_Tekniker,BI$4,TF_Dato,$A743))*2,0)/2)))</f>
        <v/>
      </c>
    </row>
    <row r="744">
      <c r="A744" s="64">
        <f>A743+1</f>
        <v/>
      </c>
      <c r="B744">
        <f>IF(MOD($A744-INDEX(SkiftStart,1),Syklus)&lt;DagK,"K",IF(MOD($A744-INDEX(SkiftStart,1),Syklus)&lt;DagK+DagH,"H",IF(MOD($A744-INDEX(SkiftStart,1),Syklus)&lt;DagK+DagH+DagD,"D","F")))</f>
        <v/>
      </c>
      <c r="C744">
        <f>IF(MOD($A744-INDEX(SkiftStart,2),Syklus)&lt;DagK,"K",IF(MOD($A744-INDEX(SkiftStart,2),Syklus)&lt;DagK+DagH,"H",IF(MOD($A744-INDEX(SkiftStart,2),Syklus)&lt;DagK+DagH+DagD,"D","F")))</f>
        <v/>
      </c>
      <c r="D744">
        <f>IF(MOD($A744-INDEX(SkiftStart,3),Syklus)&lt;DagK,"K",IF(MOD($A744-INDEX(SkiftStart,3),Syklus)&lt;DagK+DagH,"H",IF(MOD($A744-INDEX(SkiftStart,3),Syklus)&lt;DagK+DagH+DagD,"D","F")))</f>
        <v/>
      </c>
      <c r="E744">
        <f>IF(B744="F",0,IF(WEEKDAY($A744,2)=5,INDEX(TimerFr,MATCH(B744,FaseKode,0)),INDEX(TimerMT,MATCH(B744,FaseKode,0))))</f>
        <v/>
      </c>
      <c r="F744">
        <f>IF(C744="F",0,IF(WEEKDAY($A744,2)=5,INDEX(TimerFr,MATCH(C744,FaseKode,0)),INDEX(TimerMT,MATCH(C744,FaseKode,0))))</f>
        <v/>
      </c>
      <c r="G744">
        <f>IF(D744="F",0,IF(WEEKDAY($A744,2)=5,INDEX(TimerFr,MATCH(D744,FaseKode,0)),INDEX(TimerMT,MATCH(D744,FaseKode,0))))</f>
        <v/>
      </c>
      <c r="H744">
        <f>IF(OR(H$4="",$A744&gt;TODAY()),0,IF(OR(INDEX($B744:$D744,H$5)="F",AND(H$6&gt;0,$A744&lt;H$6),AND(H$7&gt;0,$A744&gt;H$7)),0,MAX(0,ROUND((INDEX($E744:$G744,H$5)-SUMIFS(TF_Timer,TF_Tekniker,H$4,TF_Dato,$A744))*2,0)/2)))</f>
        <v/>
      </c>
      <c r="I744">
        <f>IF(OR(I$4="",$A744&gt;TODAY()),0,IF(OR(INDEX($B744:$D744,I$5)="F",AND(I$6&gt;0,$A744&lt;I$6),AND(I$7&gt;0,$A744&gt;I$7)),0,MAX(0,ROUND((INDEX($E744:$G744,I$5)-SUMIFS(TF_Timer,TF_Tekniker,I$4,TF_Dato,$A744))*2,0)/2)))</f>
        <v/>
      </c>
      <c r="J744">
        <f>IF(OR(J$4="",$A744&gt;TODAY()),0,IF(OR(INDEX($B744:$D744,J$5)="F",AND(J$6&gt;0,$A744&lt;J$6),AND(J$7&gt;0,$A744&gt;J$7)),0,MAX(0,ROUND((INDEX($E744:$G744,J$5)-SUMIFS(TF_Timer,TF_Tekniker,J$4,TF_Dato,$A744))*2,0)/2)))</f>
        <v/>
      </c>
      <c r="K744">
        <f>IF(OR(K$4="",$A744&gt;TODAY()),0,IF(OR(INDEX($B744:$D744,K$5)="F",AND(K$6&gt;0,$A744&lt;K$6),AND(K$7&gt;0,$A744&gt;K$7)),0,MAX(0,ROUND((INDEX($E744:$G744,K$5)-SUMIFS(TF_Timer,TF_Tekniker,K$4,TF_Dato,$A744))*2,0)/2)))</f>
        <v/>
      </c>
      <c r="L744">
        <f>IF(OR(L$4="",$A744&gt;TODAY()),0,IF(OR(INDEX($B744:$D744,L$5)="F",AND(L$6&gt;0,$A744&lt;L$6),AND(L$7&gt;0,$A744&gt;L$7)),0,MAX(0,ROUND((INDEX($E744:$G744,L$5)-SUMIFS(TF_Timer,TF_Tekniker,L$4,TF_Dato,$A744))*2,0)/2)))</f>
        <v/>
      </c>
      <c r="M744">
        <f>IF(OR(M$4="",$A744&gt;TODAY()),0,IF(OR(INDEX($B744:$D744,M$5)="F",AND(M$6&gt;0,$A744&lt;M$6),AND(M$7&gt;0,$A744&gt;M$7)),0,MAX(0,ROUND((INDEX($E744:$G744,M$5)-SUMIFS(TF_Timer,TF_Tekniker,M$4,TF_Dato,$A744))*2,0)/2)))</f>
        <v/>
      </c>
      <c r="N744">
        <f>IF(OR(N$4="",$A744&gt;TODAY()),0,IF(OR(INDEX($B744:$D744,N$5)="F",AND(N$6&gt;0,$A744&lt;N$6),AND(N$7&gt;0,$A744&gt;N$7)),0,MAX(0,ROUND((INDEX($E744:$G744,N$5)-SUMIFS(TF_Timer,TF_Tekniker,N$4,TF_Dato,$A744))*2,0)/2)))</f>
        <v/>
      </c>
      <c r="O744">
        <f>IF(OR(O$4="",$A744&gt;TODAY()),0,IF(OR(INDEX($B744:$D744,O$5)="F",AND(O$6&gt;0,$A744&lt;O$6),AND(O$7&gt;0,$A744&gt;O$7)),0,MAX(0,ROUND((INDEX($E744:$G744,O$5)-SUMIFS(TF_Timer,TF_Tekniker,O$4,TF_Dato,$A744))*2,0)/2)))</f>
        <v/>
      </c>
      <c r="P744">
        <f>IF(OR(P$4="",$A744&gt;TODAY()),0,IF(OR(INDEX($B744:$D744,P$5)="F",AND(P$6&gt;0,$A744&lt;P$6),AND(P$7&gt;0,$A744&gt;P$7)),0,MAX(0,ROUND((INDEX($E744:$G744,P$5)-SUMIFS(TF_Timer,TF_Tekniker,P$4,TF_Dato,$A744))*2,0)/2)))</f>
        <v/>
      </c>
      <c r="Q744">
        <f>IF(OR(Q$4="",$A744&gt;TODAY()),0,IF(OR(INDEX($B744:$D744,Q$5)="F",AND(Q$6&gt;0,$A744&lt;Q$6),AND(Q$7&gt;0,$A744&gt;Q$7)),0,MAX(0,ROUND((INDEX($E744:$G744,Q$5)-SUMIFS(TF_Timer,TF_Tekniker,Q$4,TF_Dato,$A744))*2,0)/2)))</f>
        <v/>
      </c>
      <c r="R744">
        <f>IF(OR(R$4="",$A744&gt;TODAY()),0,IF(OR(INDEX($B744:$D744,R$5)="F",AND(R$6&gt;0,$A744&lt;R$6),AND(R$7&gt;0,$A744&gt;R$7)),0,MAX(0,ROUND((INDEX($E744:$G744,R$5)-SUMIFS(TF_Timer,TF_Tekniker,R$4,TF_Dato,$A744))*2,0)/2)))</f>
        <v/>
      </c>
      <c r="S744">
        <f>IF(OR(S$4="",$A744&gt;TODAY()),0,IF(OR(INDEX($B744:$D744,S$5)="F",AND(S$6&gt;0,$A744&lt;S$6),AND(S$7&gt;0,$A744&gt;S$7)),0,MAX(0,ROUND((INDEX($E744:$G744,S$5)-SUMIFS(TF_Timer,TF_Tekniker,S$4,TF_Dato,$A744))*2,0)/2)))</f>
        <v/>
      </c>
      <c r="T744">
        <f>IF(OR(T$4="",$A744&gt;TODAY()),0,IF(OR(INDEX($B744:$D744,T$5)="F",AND(T$6&gt;0,$A744&lt;T$6),AND(T$7&gt;0,$A744&gt;T$7)),0,MAX(0,ROUND((INDEX($E744:$G744,T$5)-SUMIFS(TF_Timer,TF_Tekniker,T$4,TF_Dato,$A744))*2,0)/2)))</f>
        <v/>
      </c>
      <c r="U744">
        <f>IF(OR(U$4="",$A744&gt;TODAY()),0,IF(OR(INDEX($B744:$D744,U$5)="F",AND(U$6&gt;0,$A744&lt;U$6),AND(U$7&gt;0,$A744&gt;U$7)),0,MAX(0,ROUND((INDEX($E744:$G744,U$5)-SUMIFS(TF_Timer,TF_Tekniker,U$4,TF_Dato,$A744))*2,0)/2)))</f>
        <v/>
      </c>
      <c r="V744">
        <f>IF(OR(V$4="",$A744&gt;TODAY()),0,IF(OR(INDEX($B744:$D744,V$5)="F",AND(V$6&gt;0,$A744&lt;V$6),AND(V$7&gt;0,$A744&gt;V$7)),0,MAX(0,ROUND((INDEX($E744:$G744,V$5)-SUMIFS(TF_Timer,TF_Tekniker,V$4,TF_Dato,$A744))*2,0)/2)))</f>
        <v/>
      </c>
      <c r="W744">
        <f>IF(OR(W$4="",$A744&gt;TODAY()),0,IF(OR(INDEX($B744:$D744,W$5)="F",AND(W$6&gt;0,$A744&lt;W$6),AND(W$7&gt;0,$A744&gt;W$7)),0,MAX(0,ROUND((INDEX($E744:$G744,W$5)-SUMIFS(TF_Timer,TF_Tekniker,W$4,TF_Dato,$A744))*2,0)/2)))</f>
        <v/>
      </c>
      <c r="X744">
        <f>IF(OR(X$4="",$A744&gt;TODAY()),0,IF(OR(INDEX($B744:$D744,X$5)="F",AND(X$6&gt;0,$A744&lt;X$6),AND(X$7&gt;0,$A744&gt;X$7)),0,MAX(0,ROUND((INDEX($E744:$G744,X$5)-SUMIFS(TF_Timer,TF_Tekniker,X$4,TF_Dato,$A744))*2,0)/2)))</f>
        <v/>
      </c>
      <c r="Y744">
        <f>IF(OR(Y$4="",$A744&gt;TODAY()),0,IF(OR(INDEX($B744:$D744,Y$5)="F",AND(Y$6&gt;0,$A744&lt;Y$6),AND(Y$7&gt;0,$A744&gt;Y$7)),0,MAX(0,ROUND((INDEX($E744:$G744,Y$5)-SUMIFS(TF_Timer,TF_Tekniker,Y$4,TF_Dato,$A744))*2,0)/2)))</f>
        <v/>
      </c>
      <c r="Z744">
        <f>IF(OR(Z$4="",$A744&gt;TODAY()),0,IF(OR(INDEX($B744:$D744,Z$5)="F",AND(Z$6&gt;0,$A744&lt;Z$6),AND(Z$7&gt;0,$A744&gt;Z$7)),0,MAX(0,ROUND((INDEX($E744:$G744,Z$5)-SUMIFS(TF_Timer,TF_Tekniker,Z$4,TF_Dato,$A744))*2,0)/2)))</f>
        <v/>
      </c>
      <c r="AA744">
        <f>IF(OR(AA$4="",$A744&gt;TODAY()),0,IF(OR(INDEX($B744:$D744,AA$5)="F",AND(AA$6&gt;0,$A744&lt;AA$6),AND(AA$7&gt;0,$A744&gt;AA$7)),0,MAX(0,ROUND((INDEX($E744:$G744,AA$5)-SUMIFS(TF_Timer,TF_Tekniker,AA$4,TF_Dato,$A744))*2,0)/2)))</f>
        <v/>
      </c>
      <c r="AB744">
        <f>IF(OR(AB$4="",$A744&gt;TODAY()),0,IF(OR(INDEX($B744:$D744,AB$5)="F",AND(AB$6&gt;0,$A744&lt;AB$6),AND(AB$7&gt;0,$A744&gt;AB$7)),0,MAX(0,ROUND((INDEX($E744:$G744,AB$5)-SUMIFS(TF_Timer,TF_Tekniker,AB$4,TF_Dato,$A744))*2,0)/2)))</f>
        <v/>
      </c>
      <c r="AC744">
        <f>IF(OR(AC$4="",$A744&gt;TODAY()),0,IF(OR(INDEX($B744:$D744,AC$5)="F",AND(AC$6&gt;0,$A744&lt;AC$6),AND(AC$7&gt;0,$A744&gt;AC$7)),0,MAX(0,ROUND((INDEX($E744:$G744,AC$5)-SUMIFS(TF_Timer,TF_Tekniker,AC$4,TF_Dato,$A744))*2,0)/2)))</f>
        <v/>
      </c>
      <c r="AD744">
        <f>IF(OR(AD$4="",$A744&gt;TODAY()),0,IF(OR(INDEX($B744:$D744,AD$5)="F",AND(AD$6&gt;0,$A744&lt;AD$6),AND(AD$7&gt;0,$A744&gt;AD$7)),0,MAX(0,ROUND((INDEX($E744:$G744,AD$5)-SUMIFS(TF_Timer,TF_Tekniker,AD$4,TF_Dato,$A744))*2,0)/2)))</f>
        <v/>
      </c>
      <c r="AE744">
        <f>IF(OR(AE$4="",$A744&gt;TODAY()),0,IF(OR(INDEX($B744:$D744,AE$5)="F",AND(AE$6&gt;0,$A744&lt;AE$6),AND(AE$7&gt;0,$A744&gt;AE$7)),0,MAX(0,ROUND((INDEX($E744:$G744,AE$5)-SUMIFS(TF_Timer,TF_Tekniker,AE$4,TF_Dato,$A744))*2,0)/2)))</f>
        <v/>
      </c>
      <c r="AF744">
        <f>IF(OR(AF$4="",$A744&gt;TODAY()),0,IF(OR(INDEX($B744:$D744,AF$5)="F",AND(AF$6&gt;0,$A744&lt;AF$6),AND(AF$7&gt;0,$A744&gt;AF$7)),0,MAX(0,ROUND((INDEX($E744:$G744,AF$5)-SUMIFS(TF_Timer,TF_Tekniker,AF$4,TF_Dato,$A744))*2,0)/2)))</f>
        <v/>
      </c>
      <c r="AG744">
        <f>IF(OR(AG$4="",$A744&gt;TODAY()),0,IF(OR(INDEX($B744:$D744,AG$5)="F",AND(AG$6&gt;0,$A744&lt;AG$6),AND(AG$7&gt;0,$A744&gt;AG$7)),0,MAX(0,ROUND((INDEX($E744:$G744,AG$5)-SUMIFS(TF_Timer,TF_Tekniker,AG$4,TF_Dato,$A744))*2,0)/2)))</f>
        <v/>
      </c>
      <c r="AH744">
        <f>IF(OR(AH$4="",$A744&gt;TODAY()),0,IF(OR(INDEX($B744:$D744,AH$5)="F",AND(AH$6&gt;0,$A744&lt;AH$6),AND(AH$7&gt;0,$A744&gt;AH$7)),0,MAX(0,ROUND((INDEX($E744:$G744,AH$5)-SUMIFS(TF_Timer,TF_Tekniker,AH$4,TF_Dato,$A744))*2,0)/2)))</f>
        <v/>
      </c>
      <c r="AI744">
        <f>IF(OR(AI$4="",$A744&gt;TODAY()),0,IF(OR(INDEX($B744:$D744,AI$5)="F",AND(AI$6&gt;0,$A744&lt;AI$6),AND(AI$7&gt;0,$A744&gt;AI$7)),0,MAX(0,ROUND((INDEX($E744:$G744,AI$5)-SUMIFS(TF_Timer,TF_Tekniker,AI$4,TF_Dato,$A744))*2,0)/2)))</f>
        <v/>
      </c>
      <c r="AJ744">
        <f>IF(OR(AJ$4="",$A744&gt;TODAY()),0,IF(OR(INDEX($B744:$D744,AJ$5)="F",AND(AJ$6&gt;0,$A744&lt;AJ$6),AND(AJ$7&gt;0,$A744&gt;AJ$7)),0,MAX(0,ROUND((INDEX($E744:$G744,AJ$5)-SUMIFS(TF_Timer,TF_Tekniker,AJ$4,TF_Dato,$A744))*2,0)/2)))</f>
        <v/>
      </c>
      <c r="AK744">
        <f>IF(OR(AK$4="",$A744&gt;TODAY()),0,IF(OR(INDEX($B744:$D744,AK$5)="F",AND(AK$6&gt;0,$A744&lt;AK$6),AND(AK$7&gt;0,$A744&gt;AK$7)),0,MAX(0,ROUND((INDEX($E744:$G744,AK$5)-SUMIFS(TF_Timer,TF_Tekniker,AK$4,TF_Dato,$A744))*2,0)/2)))</f>
        <v/>
      </c>
      <c r="AL744">
        <f>IF(OR(AL$4="",$A744&gt;TODAY()),0,IF(OR(INDEX($B744:$D744,AL$5)="F",AND(AL$6&gt;0,$A744&lt;AL$6),AND(AL$7&gt;0,$A744&gt;AL$7)),0,MAX(0,ROUND((INDEX($E744:$G744,AL$5)-SUMIFS(TF_Timer,TF_Tekniker,AL$4,TF_Dato,$A744))*2,0)/2)))</f>
        <v/>
      </c>
      <c r="AM744">
        <f>IF(OR(AM$4="",$A744&gt;TODAY()),0,IF(OR(INDEX($B744:$D744,AM$5)="F",AND(AM$6&gt;0,$A744&lt;AM$6),AND(AM$7&gt;0,$A744&gt;AM$7)),0,MAX(0,ROUND((INDEX($E744:$G744,AM$5)-SUMIFS(TF_Timer,TF_Tekniker,AM$4,TF_Dato,$A744))*2,0)/2)))</f>
        <v/>
      </c>
      <c r="AN744">
        <f>IF(OR(AN$4="",$A744&gt;TODAY()),0,IF(OR(INDEX($B744:$D744,AN$5)="F",AND(AN$6&gt;0,$A744&lt;AN$6),AND(AN$7&gt;0,$A744&gt;AN$7)),0,MAX(0,ROUND((INDEX($E744:$G744,AN$5)-SUMIFS(TF_Timer,TF_Tekniker,AN$4,TF_Dato,$A744))*2,0)/2)))</f>
        <v/>
      </c>
      <c r="AO744">
        <f>IF(OR(AO$4="",$A744&gt;TODAY()),0,IF(OR(INDEX($B744:$D744,AO$5)="F",AND(AO$6&gt;0,$A744&lt;AO$6),AND(AO$7&gt;0,$A744&gt;AO$7)),0,MAX(0,ROUND((INDEX($E744:$G744,AO$5)-SUMIFS(TF_Timer,TF_Tekniker,AO$4,TF_Dato,$A744))*2,0)/2)))</f>
        <v/>
      </c>
      <c r="AP744">
        <f>IF(OR(AP$4="",$A744&gt;TODAY()),0,IF(OR(INDEX($B744:$D744,AP$5)="F",AND(AP$6&gt;0,$A744&lt;AP$6),AND(AP$7&gt;0,$A744&gt;AP$7)),0,MAX(0,ROUND((INDEX($E744:$G744,AP$5)-SUMIFS(TF_Timer,TF_Tekniker,AP$4,TF_Dato,$A744))*2,0)/2)))</f>
        <v/>
      </c>
      <c r="AQ744">
        <f>IF(OR(AQ$4="",$A744&gt;TODAY()),0,IF(OR(INDEX($B744:$D744,AQ$5)="F",AND(AQ$6&gt;0,$A744&lt;AQ$6),AND(AQ$7&gt;0,$A744&gt;AQ$7)),0,MAX(0,ROUND((INDEX($E744:$G744,AQ$5)-SUMIFS(TF_Timer,TF_Tekniker,AQ$4,TF_Dato,$A744))*2,0)/2)))</f>
        <v/>
      </c>
      <c r="AR744">
        <f>IF(OR(AR$4="",$A744&gt;TODAY()),0,IF(OR(INDEX($B744:$D744,AR$5)="F",AND(AR$6&gt;0,$A744&lt;AR$6),AND(AR$7&gt;0,$A744&gt;AR$7)),0,MAX(0,ROUND((INDEX($E744:$G744,AR$5)-SUMIFS(TF_Timer,TF_Tekniker,AR$4,TF_Dato,$A744))*2,0)/2)))</f>
        <v/>
      </c>
      <c r="AS744">
        <f>IF(OR(AS$4="",$A744&gt;TODAY()),0,IF(OR(INDEX($B744:$D744,AS$5)="F",AND(AS$6&gt;0,$A744&lt;AS$6),AND(AS$7&gt;0,$A744&gt;AS$7)),0,MAX(0,ROUND((INDEX($E744:$G744,AS$5)-SUMIFS(TF_Timer,TF_Tekniker,AS$4,TF_Dato,$A744))*2,0)/2)))</f>
        <v/>
      </c>
      <c r="AT744">
        <f>IF(OR(AT$4="",$A744&gt;TODAY()),0,IF(OR(INDEX($B744:$D744,AT$5)="F",AND(AT$6&gt;0,$A744&lt;AT$6),AND(AT$7&gt;0,$A744&gt;AT$7)),0,MAX(0,ROUND((INDEX($E744:$G744,AT$5)-SUMIFS(TF_Timer,TF_Tekniker,AT$4,TF_Dato,$A744))*2,0)/2)))</f>
        <v/>
      </c>
      <c r="AU744">
        <f>IF(OR(AU$4="",$A744&gt;TODAY()),0,IF(OR(INDEX($B744:$D744,AU$5)="F",AND(AU$6&gt;0,$A744&lt;AU$6),AND(AU$7&gt;0,$A744&gt;AU$7)),0,MAX(0,ROUND((INDEX($E744:$G744,AU$5)-SUMIFS(TF_Timer,TF_Tekniker,AU$4,TF_Dato,$A744))*2,0)/2)))</f>
        <v/>
      </c>
      <c r="AV744">
        <f>IF(OR(AV$4="",$A744&gt;TODAY()),0,IF(OR(INDEX($B744:$D744,AV$5)="F",AND(AV$6&gt;0,$A744&lt;AV$6),AND(AV$7&gt;0,$A744&gt;AV$7)),0,MAX(0,ROUND((INDEX($E744:$G744,AV$5)-SUMIFS(TF_Timer,TF_Tekniker,AV$4,TF_Dato,$A744))*2,0)/2)))</f>
        <v/>
      </c>
      <c r="AW744">
        <f>IF(OR(AW$4="",$A744&gt;TODAY()),0,IF(OR(INDEX($B744:$D744,AW$5)="F",AND(AW$6&gt;0,$A744&lt;AW$6),AND(AW$7&gt;0,$A744&gt;AW$7)),0,MAX(0,ROUND((INDEX($E744:$G744,AW$5)-SUMIFS(TF_Timer,TF_Tekniker,AW$4,TF_Dato,$A744))*2,0)/2)))</f>
        <v/>
      </c>
      <c r="AX744">
        <f>IF(OR(AX$4="",$A744&gt;TODAY()),0,IF(OR(INDEX($B744:$D744,AX$5)="F",AND(AX$6&gt;0,$A744&lt;AX$6),AND(AX$7&gt;0,$A744&gt;AX$7)),0,MAX(0,ROUND((INDEX($E744:$G744,AX$5)-SUMIFS(TF_Timer,TF_Tekniker,AX$4,TF_Dato,$A744))*2,0)/2)))</f>
        <v/>
      </c>
      <c r="AY744">
        <f>IF(OR(AY$4="",$A744&gt;TODAY()),0,IF(OR(INDEX($B744:$D744,AY$5)="F",AND(AY$6&gt;0,$A744&lt;AY$6),AND(AY$7&gt;0,$A744&gt;AY$7)),0,MAX(0,ROUND((INDEX($E744:$G744,AY$5)-SUMIFS(TF_Timer,TF_Tekniker,AY$4,TF_Dato,$A744))*2,0)/2)))</f>
        <v/>
      </c>
      <c r="AZ744">
        <f>IF(OR(AZ$4="",$A744&gt;TODAY()),0,IF(OR(INDEX($B744:$D744,AZ$5)="F",AND(AZ$6&gt;0,$A744&lt;AZ$6),AND(AZ$7&gt;0,$A744&gt;AZ$7)),0,MAX(0,ROUND((INDEX($E744:$G744,AZ$5)-SUMIFS(TF_Timer,TF_Tekniker,AZ$4,TF_Dato,$A744))*2,0)/2)))</f>
        <v/>
      </c>
      <c r="BA744">
        <f>IF(OR(BA$4="",$A744&gt;TODAY()),0,IF(OR(INDEX($B744:$D744,BA$5)="F",AND(BA$6&gt;0,$A744&lt;BA$6),AND(BA$7&gt;0,$A744&gt;BA$7)),0,MAX(0,ROUND((INDEX($E744:$G744,BA$5)-SUMIFS(TF_Timer,TF_Tekniker,BA$4,TF_Dato,$A744))*2,0)/2)))</f>
        <v/>
      </c>
      <c r="BB744">
        <f>IF(OR(BB$4="",$A744&gt;TODAY()),0,IF(OR(INDEX($B744:$D744,BB$5)="F",AND(BB$6&gt;0,$A744&lt;BB$6),AND(BB$7&gt;0,$A744&gt;BB$7)),0,MAX(0,ROUND((INDEX($E744:$G744,BB$5)-SUMIFS(TF_Timer,TF_Tekniker,BB$4,TF_Dato,$A744))*2,0)/2)))</f>
        <v/>
      </c>
      <c r="BC744">
        <f>IF(OR(BC$4="",$A744&gt;TODAY()),0,IF(OR(INDEX($B744:$D744,BC$5)="F",AND(BC$6&gt;0,$A744&lt;BC$6),AND(BC$7&gt;0,$A744&gt;BC$7)),0,MAX(0,ROUND((INDEX($E744:$G744,BC$5)-SUMIFS(TF_Timer,TF_Tekniker,BC$4,TF_Dato,$A744))*2,0)/2)))</f>
        <v/>
      </c>
      <c r="BD744">
        <f>IF(OR(BD$4="",$A744&gt;TODAY()),0,IF(OR(INDEX($B744:$D744,BD$5)="F",AND(BD$6&gt;0,$A744&lt;BD$6),AND(BD$7&gt;0,$A744&gt;BD$7)),0,MAX(0,ROUND((INDEX($E744:$G744,BD$5)-SUMIFS(TF_Timer,TF_Tekniker,BD$4,TF_Dato,$A744))*2,0)/2)))</f>
        <v/>
      </c>
      <c r="BE744">
        <f>IF(OR(BE$4="",$A744&gt;TODAY()),0,IF(OR(INDEX($B744:$D744,BE$5)="F",AND(BE$6&gt;0,$A744&lt;BE$6),AND(BE$7&gt;0,$A744&gt;BE$7)),0,MAX(0,ROUND((INDEX($E744:$G744,BE$5)-SUMIFS(TF_Timer,TF_Tekniker,BE$4,TF_Dato,$A744))*2,0)/2)))</f>
        <v/>
      </c>
      <c r="BF744">
        <f>IF(OR(BF$4="",$A744&gt;TODAY()),0,IF(OR(INDEX($B744:$D744,BF$5)="F",AND(BF$6&gt;0,$A744&lt;BF$6),AND(BF$7&gt;0,$A744&gt;BF$7)),0,MAX(0,ROUND((INDEX($E744:$G744,BF$5)-SUMIFS(TF_Timer,TF_Tekniker,BF$4,TF_Dato,$A744))*2,0)/2)))</f>
        <v/>
      </c>
      <c r="BG744">
        <f>IF(OR(BG$4="",$A744&gt;TODAY()),0,IF(OR(INDEX($B744:$D744,BG$5)="F",AND(BG$6&gt;0,$A744&lt;BG$6),AND(BG$7&gt;0,$A744&gt;BG$7)),0,MAX(0,ROUND((INDEX($E744:$G744,BG$5)-SUMIFS(TF_Timer,TF_Tekniker,BG$4,TF_Dato,$A744))*2,0)/2)))</f>
        <v/>
      </c>
      <c r="BH744">
        <f>IF(OR(BH$4="",$A744&gt;TODAY()),0,IF(OR(INDEX($B744:$D744,BH$5)="F",AND(BH$6&gt;0,$A744&lt;BH$6),AND(BH$7&gt;0,$A744&gt;BH$7)),0,MAX(0,ROUND((INDEX($E744:$G744,BH$5)-SUMIFS(TF_Timer,TF_Tekniker,BH$4,TF_Dato,$A744))*2,0)/2)))</f>
        <v/>
      </c>
      <c r="BI744">
        <f>IF(OR(BI$4="",$A744&gt;TODAY()),0,IF(OR(INDEX($B744:$D744,BI$5)="F",AND(BI$6&gt;0,$A744&lt;BI$6),AND(BI$7&gt;0,$A744&gt;BI$7)),0,MAX(0,ROUND((INDEX($E744:$G744,BI$5)-SUMIFS(TF_Timer,TF_Tekniker,BI$4,TF_Dato,$A744))*2,0)/2)))</f>
        <v/>
      </c>
    </row>
    <row r="745">
      <c r="A745" s="64">
        <f>A744+1</f>
        <v/>
      </c>
      <c r="B745">
        <f>IF(MOD($A745-INDEX(SkiftStart,1),Syklus)&lt;DagK,"K",IF(MOD($A745-INDEX(SkiftStart,1),Syklus)&lt;DagK+DagH,"H",IF(MOD($A745-INDEX(SkiftStart,1),Syklus)&lt;DagK+DagH+DagD,"D","F")))</f>
        <v/>
      </c>
      <c r="C745">
        <f>IF(MOD($A745-INDEX(SkiftStart,2),Syklus)&lt;DagK,"K",IF(MOD($A745-INDEX(SkiftStart,2),Syklus)&lt;DagK+DagH,"H",IF(MOD($A745-INDEX(SkiftStart,2),Syklus)&lt;DagK+DagH+DagD,"D","F")))</f>
        <v/>
      </c>
      <c r="D745">
        <f>IF(MOD($A745-INDEX(SkiftStart,3),Syklus)&lt;DagK,"K",IF(MOD($A745-INDEX(SkiftStart,3),Syklus)&lt;DagK+DagH,"H",IF(MOD($A745-INDEX(SkiftStart,3),Syklus)&lt;DagK+DagH+DagD,"D","F")))</f>
        <v/>
      </c>
      <c r="E745">
        <f>IF(B745="F",0,IF(WEEKDAY($A745,2)=5,INDEX(TimerFr,MATCH(B745,FaseKode,0)),INDEX(TimerMT,MATCH(B745,FaseKode,0))))</f>
        <v/>
      </c>
      <c r="F745">
        <f>IF(C745="F",0,IF(WEEKDAY($A745,2)=5,INDEX(TimerFr,MATCH(C745,FaseKode,0)),INDEX(TimerMT,MATCH(C745,FaseKode,0))))</f>
        <v/>
      </c>
      <c r="G745">
        <f>IF(D745="F",0,IF(WEEKDAY($A745,2)=5,INDEX(TimerFr,MATCH(D745,FaseKode,0)),INDEX(TimerMT,MATCH(D745,FaseKode,0))))</f>
        <v/>
      </c>
      <c r="H745">
        <f>IF(OR(H$4="",$A745&gt;TODAY()),0,IF(OR(INDEX($B745:$D745,H$5)="F",AND(H$6&gt;0,$A745&lt;H$6),AND(H$7&gt;0,$A745&gt;H$7)),0,MAX(0,ROUND((INDEX($E745:$G745,H$5)-SUMIFS(TF_Timer,TF_Tekniker,H$4,TF_Dato,$A745))*2,0)/2)))</f>
        <v/>
      </c>
      <c r="I745">
        <f>IF(OR(I$4="",$A745&gt;TODAY()),0,IF(OR(INDEX($B745:$D745,I$5)="F",AND(I$6&gt;0,$A745&lt;I$6),AND(I$7&gt;0,$A745&gt;I$7)),0,MAX(0,ROUND((INDEX($E745:$G745,I$5)-SUMIFS(TF_Timer,TF_Tekniker,I$4,TF_Dato,$A745))*2,0)/2)))</f>
        <v/>
      </c>
      <c r="J745">
        <f>IF(OR(J$4="",$A745&gt;TODAY()),0,IF(OR(INDEX($B745:$D745,J$5)="F",AND(J$6&gt;0,$A745&lt;J$6),AND(J$7&gt;0,$A745&gt;J$7)),0,MAX(0,ROUND((INDEX($E745:$G745,J$5)-SUMIFS(TF_Timer,TF_Tekniker,J$4,TF_Dato,$A745))*2,0)/2)))</f>
        <v/>
      </c>
      <c r="K745">
        <f>IF(OR(K$4="",$A745&gt;TODAY()),0,IF(OR(INDEX($B745:$D745,K$5)="F",AND(K$6&gt;0,$A745&lt;K$6),AND(K$7&gt;0,$A745&gt;K$7)),0,MAX(0,ROUND((INDEX($E745:$G745,K$5)-SUMIFS(TF_Timer,TF_Tekniker,K$4,TF_Dato,$A745))*2,0)/2)))</f>
        <v/>
      </c>
      <c r="L745">
        <f>IF(OR(L$4="",$A745&gt;TODAY()),0,IF(OR(INDEX($B745:$D745,L$5)="F",AND(L$6&gt;0,$A745&lt;L$6),AND(L$7&gt;0,$A745&gt;L$7)),0,MAX(0,ROUND((INDEX($E745:$G745,L$5)-SUMIFS(TF_Timer,TF_Tekniker,L$4,TF_Dato,$A745))*2,0)/2)))</f>
        <v/>
      </c>
      <c r="M745">
        <f>IF(OR(M$4="",$A745&gt;TODAY()),0,IF(OR(INDEX($B745:$D745,M$5)="F",AND(M$6&gt;0,$A745&lt;M$6),AND(M$7&gt;0,$A745&gt;M$7)),0,MAX(0,ROUND((INDEX($E745:$G745,M$5)-SUMIFS(TF_Timer,TF_Tekniker,M$4,TF_Dato,$A745))*2,0)/2)))</f>
        <v/>
      </c>
      <c r="N745">
        <f>IF(OR(N$4="",$A745&gt;TODAY()),0,IF(OR(INDEX($B745:$D745,N$5)="F",AND(N$6&gt;0,$A745&lt;N$6),AND(N$7&gt;0,$A745&gt;N$7)),0,MAX(0,ROUND((INDEX($E745:$G745,N$5)-SUMIFS(TF_Timer,TF_Tekniker,N$4,TF_Dato,$A745))*2,0)/2)))</f>
        <v/>
      </c>
      <c r="O745">
        <f>IF(OR(O$4="",$A745&gt;TODAY()),0,IF(OR(INDEX($B745:$D745,O$5)="F",AND(O$6&gt;0,$A745&lt;O$6),AND(O$7&gt;0,$A745&gt;O$7)),0,MAX(0,ROUND((INDEX($E745:$G745,O$5)-SUMIFS(TF_Timer,TF_Tekniker,O$4,TF_Dato,$A745))*2,0)/2)))</f>
        <v/>
      </c>
      <c r="P745">
        <f>IF(OR(P$4="",$A745&gt;TODAY()),0,IF(OR(INDEX($B745:$D745,P$5)="F",AND(P$6&gt;0,$A745&lt;P$6),AND(P$7&gt;0,$A745&gt;P$7)),0,MAX(0,ROUND((INDEX($E745:$G745,P$5)-SUMIFS(TF_Timer,TF_Tekniker,P$4,TF_Dato,$A745))*2,0)/2)))</f>
        <v/>
      </c>
      <c r="Q745">
        <f>IF(OR(Q$4="",$A745&gt;TODAY()),0,IF(OR(INDEX($B745:$D745,Q$5)="F",AND(Q$6&gt;0,$A745&lt;Q$6),AND(Q$7&gt;0,$A745&gt;Q$7)),0,MAX(0,ROUND((INDEX($E745:$G745,Q$5)-SUMIFS(TF_Timer,TF_Tekniker,Q$4,TF_Dato,$A745))*2,0)/2)))</f>
        <v/>
      </c>
      <c r="R745">
        <f>IF(OR(R$4="",$A745&gt;TODAY()),0,IF(OR(INDEX($B745:$D745,R$5)="F",AND(R$6&gt;0,$A745&lt;R$6),AND(R$7&gt;0,$A745&gt;R$7)),0,MAX(0,ROUND((INDEX($E745:$G745,R$5)-SUMIFS(TF_Timer,TF_Tekniker,R$4,TF_Dato,$A745))*2,0)/2)))</f>
        <v/>
      </c>
      <c r="S745">
        <f>IF(OR(S$4="",$A745&gt;TODAY()),0,IF(OR(INDEX($B745:$D745,S$5)="F",AND(S$6&gt;0,$A745&lt;S$6),AND(S$7&gt;0,$A745&gt;S$7)),0,MAX(0,ROUND((INDEX($E745:$G745,S$5)-SUMIFS(TF_Timer,TF_Tekniker,S$4,TF_Dato,$A745))*2,0)/2)))</f>
        <v/>
      </c>
      <c r="T745">
        <f>IF(OR(T$4="",$A745&gt;TODAY()),0,IF(OR(INDEX($B745:$D745,T$5)="F",AND(T$6&gt;0,$A745&lt;T$6),AND(T$7&gt;0,$A745&gt;T$7)),0,MAX(0,ROUND((INDEX($E745:$G745,T$5)-SUMIFS(TF_Timer,TF_Tekniker,T$4,TF_Dato,$A745))*2,0)/2)))</f>
        <v/>
      </c>
      <c r="U745">
        <f>IF(OR(U$4="",$A745&gt;TODAY()),0,IF(OR(INDEX($B745:$D745,U$5)="F",AND(U$6&gt;0,$A745&lt;U$6),AND(U$7&gt;0,$A745&gt;U$7)),0,MAX(0,ROUND((INDEX($E745:$G745,U$5)-SUMIFS(TF_Timer,TF_Tekniker,U$4,TF_Dato,$A745))*2,0)/2)))</f>
        <v/>
      </c>
      <c r="V745">
        <f>IF(OR(V$4="",$A745&gt;TODAY()),0,IF(OR(INDEX($B745:$D745,V$5)="F",AND(V$6&gt;0,$A745&lt;V$6),AND(V$7&gt;0,$A745&gt;V$7)),0,MAX(0,ROUND((INDEX($E745:$G745,V$5)-SUMIFS(TF_Timer,TF_Tekniker,V$4,TF_Dato,$A745))*2,0)/2)))</f>
        <v/>
      </c>
      <c r="W745">
        <f>IF(OR(W$4="",$A745&gt;TODAY()),0,IF(OR(INDEX($B745:$D745,W$5)="F",AND(W$6&gt;0,$A745&lt;W$6),AND(W$7&gt;0,$A745&gt;W$7)),0,MAX(0,ROUND((INDEX($E745:$G745,W$5)-SUMIFS(TF_Timer,TF_Tekniker,W$4,TF_Dato,$A745))*2,0)/2)))</f>
        <v/>
      </c>
      <c r="X745">
        <f>IF(OR(X$4="",$A745&gt;TODAY()),0,IF(OR(INDEX($B745:$D745,X$5)="F",AND(X$6&gt;0,$A745&lt;X$6),AND(X$7&gt;0,$A745&gt;X$7)),0,MAX(0,ROUND((INDEX($E745:$G745,X$5)-SUMIFS(TF_Timer,TF_Tekniker,X$4,TF_Dato,$A745))*2,0)/2)))</f>
        <v/>
      </c>
      <c r="Y745">
        <f>IF(OR(Y$4="",$A745&gt;TODAY()),0,IF(OR(INDEX($B745:$D745,Y$5)="F",AND(Y$6&gt;0,$A745&lt;Y$6),AND(Y$7&gt;0,$A745&gt;Y$7)),0,MAX(0,ROUND((INDEX($E745:$G745,Y$5)-SUMIFS(TF_Timer,TF_Tekniker,Y$4,TF_Dato,$A745))*2,0)/2)))</f>
        <v/>
      </c>
      <c r="Z745">
        <f>IF(OR(Z$4="",$A745&gt;TODAY()),0,IF(OR(INDEX($B745:$D745,Z$5)="F",AND(Z$6&gt;0,$A745&lt;Z$6),AND(Z$7&gt;0,$A745&gt;Z$7)),0,MAX(0,ROUND((INDEX($E745:$G745,Z$5)-SUMIFS(TF_Timer,TF_Tekniker,Z$4,TF_Dato,$A745))*2,0)/2)))</f>
        <v/>
      </c>
      <c r="AA745">
        <f>IF(OR(AA$4="",$A745&gt;TODAY()),0,IF(OR(INDEX($B745:$D745,AA$5)="F",AND(AA$6&gt;0,$A745&lt;AA$6),AND(AA$7&gt;0,$A745&gt;AA$7)),0,MAX(0,ROUND((INDEX($E745:$G745,AA$5)-SUMIFS(TF_Timer,TF_Tekniker,AA$4,TF_Dato,$A745))*2,0)/2)))</f>
        <v/>
      </c>
      <c r="AB745">
        <f>IF(OR(AB$4="",$A745&gt;TODAY()),0,IF(OR(INDEX($B745:$D745,AB$5)="F",AND(AB$6&gt;0,$A745&lt;AB$6),AND(AB$7&gt;0,$A745&gt;AB$7)),0,MAX(0,ROUND((INDEX($E745:$G745,AB$5)-SUMIFS(TF_Timer,TF_Tekniker,AB$4,TF_Dato,$A745))*2,0)/2)))</f>
        <v/>
      </c>
      <c r="AC745">
        <f>IF(OR(AC$4="",$A745&gt;TODAY()),0,IF(OR(INDEX($B745:$D745,AC$5)="F",AND(AC$6&gt;0,$A745&lt;AC$6),AND(AC$7&gt;0,$A745&gt;AC$7)),0,MAX(0,ROUND((INDEX($E745:$G745,AC$5)-SUMIFS(TF_Timer,TF_Tekniker,AC$4,TF_Dato,$A745))*2,0)/2)))</f>
        <v/>
      </c>
      <c r="AD745">
        <f>IF(OR(AD$4="",$A745&gt;TODAY()),0,IF(OR(INDEX($B745:$D745,AD$5)="F",AND(AD$6&gt;0,$A745&lt;AD$6),AND(AD$7&gt;0,$A745&gt;AD$7)),0,MAX(0,ROUND((INDEX($E745:$G745,AD$5)-SUMIFS(TF_Timer,TF_Tekniker,AD$4,TF_Dato,$A745))*2,0)/2)))</f>
        <v/>
      </c>
      <c r="AE745">
        <f>IF(OR(AE$4="",$A745&gt;TODAY()),0,IF(OR(INDEX($B745:$D745,AE$5)="F",AND(AE$6&gt;0,$A745&lt;AE$6),AND(AE$7&gt;0,$A745&gt;AE$7)),0,MAX(0,ROUND((INDEX($E745:$G745,AE$5)-SUMIFS(TF_Timer,TF_Tekniker,AE$4,TF_Dato,$A745))*2,0)/2)))</f>
        <v/>
      </c>
      <c r="AF745">
        <f>IF(OR(AF$4="",$A745&gt;TODAY()),0,IF(OR(INDEX($B745:$D745,AF$5)="F",AND(AF$6&gt;0,$A745&lt;AF$6),AND(AF$7&gt;0,$A745&gt;AF$7)),0,MAX(0,ROUND((INDEX($E745:$G745,AF$5)-SUMIFS(TF_Timer,TF_Tekniker,AF$4,TF_Dato,$A745))*2,0)/2)))</f>
        <v/>
      </c>
      <c r="AG745">
        <f>IF(OR(AG$4="",$A745&gt;TODAY()),0,IF(OR(INDEX($B745:$D745,AG$5)="F",AND(AG$6&gt;0,$A745&lt;AG$6),AND(AG$7&gt;0,$A745&gt;AG$7)),0,MAX(0,ROUND((INDEX($E745:$G745,AG$5)-SUMIFS(TF_Timer,TF_Tekniker,AG$4,TF_Dato,$A745))*2,0)/2)))</f>
        <v/>
      </c>
      <c r="AH745">
        <f>IF(OR(AH$4="",$A745&gt;TODAY()),0,IF(OR(INDEX($B745:$D745,AH$5)="F",AND(AH$6&gt;0,$A745&lt;AH$6),AND(AH$7&gt;0,$A745&gt;AH$7)),0,MAX(0,ROUND((INDEX($E745:$G745,AH$5)-SUMIFS(TF_Timer,TF_Tekniker,AH$4,TF_Dato,$A745))*2,0)/2)))</f>
        <v/>
      </c>
      <c r="AI745">
        <f>IF(OR(AI$4="",$A745&gt;TODAY()),0,IF(OR(INDEX($B745:$D745,AI$5)="F",AND(AI$6&gt;0,$A745&lt;AI$6),AND(AI$7&gt;0,$A745&gt;AI$7)),0,MAX(0,ROUND((INDEX($E745:$G745,AI$5)-SUMIFS(TF_Timer,TF_Tekniker,AI$4,TF_Dato,$A745))*2,0)/2)))</f>
        <v/>
      </c>
      <c r="AJ745">
        <f>IF(OR(AJ$4="",$A745&gt;TODAY()),0,IF(OR(INDEX($B745:$D745,AJ$5)="F",AND(AJ$6&gt;0,$A745&lt;AJ$6),AND(AJ$7&gt;0,$A745&gt;AJ$7)),0,MAX(0,ROUND((INDEX($E745:$G745,AJ$5)-SUMIFS(TF_Timer,TF_Tekniker,AJ$4,TF_Dato,$A745))*2,0)/2)))</f>
        <v/>
      </c>
      <c r="AK745">
        <f>IF(OR(AK$4="",$A745&gt;TODAY()),0,IF(OR(INDEX($B745:$D745,AK$5)="F",AND(AK$6&gt;0,$A745&lt;AK$6),AND(AK$7&gt;0,$A745&gt;AK$7)),0,MAX(0,ROUND((INDEX($E745:$G745,AK$5)-SUMIFS(TF_Timer,TF_Tekniker,AK$4,TF_Dato,$A745))*2,0)/2)))</f>
        <v/>
      </c>
      <c r="AL745">
        <f>IF(OR(AL$4="",$A745&gt;TODAY()),0,IF(OR(INDEX($B745:$D745,AL$5)="F",AND(AL$6&gt;0,$A745&lt;AL$6),AND(AL$7&gt;0,$A745&gt;AL$7)),0,MAX(0,ROUND((INDEX($E745:$G745,AL$5)-SUMIFS(TF_Timer,TF_Tekniker,AL$4,TF_Dato,$A745))*2,0)/2)))</f>
        <v/>
      </c>
      <c r="AM745">
        <f>IF(OR(AM$4="",$A745&gt;TODAY()),0,IF(OR(INDEX($B745:$D745,AM$5)="F",AND(AM$6&gt;0,$A745&lt;AM$6),AND(AM$7&gt;0,$A745&gt;AM$7)),0,MAX(0,ROUND((INDEX($E745:$G745,AM$5)-SUMIFS(TF_Timer,TF_Tekniker,AM$4,TF_Dato,$A745))*2,0)/2)))</f>
        <v/>
      </c>
      <c r="AN745">
        <f>IF(OR(AN$4="",$A745&gt;TODAY()),0,IF(OR(INDEX($B745:$D745,AN$5)="F",AND(AN$6&gt;0,$A745&lt;AN$6),AND(AN$7&gt;0,$A745&gt;AN$7)),0,MAX(0,ROUND((INDEX($E745:$G745,AN$5)-SUMIFS(TF_Timer,TF_Tekniker,AN$4,TF_Dato,$A745))*2,0)/2)))</f>
        <v/>
      </c>
      <c r="AO745">
        <f>IF(OR(AO$4="",$A745&gt;TODAY()),0,IF(OR(INDEX($B745:$D745,AO$5)="F",AND(AO$6&gt;0,$A745&lt;AO$6),AND(AO$7&gt;0,$A745&gt;AO$7)),0,MAX(0,ROUND((INDEX($E745:$G745,AO$5)-SUMIFS(TF_Timer,TF_Tekniker,AO$4,TF_Dato,$A745))*2,0)/2)))</f>
        <v/>
      </c>
      <c r="AP745">
        <f>IF(OR(AP$4="",$A745&gt;TODAY()),0,IF(OR(INDEX($B745:$D745,AP$5)="F",AND(AP$6&gt;0,$A745&lt;AP$6),AND(AP$7&gt;0,$A745&gt;AP$7)),0,MAX(0,ROUND((INDEX($E745:$G745,AP$5)-SUMIFS(TF_Timer,TF_Tekniker,AP$4,TF_Dato,$A745))*2,0)/2)))</f>
        <v/>
      </c>
      <c r="AQ745">
        <f>IF(OR(AQ$4="",$A745&gt;TODAY()),0,IF(OR(INDEX($B745:$D745,AQ$5)="F",AND(AQ$6&gt;0,$A745&lt;AQ$6),AND(AQ$7&gt;0,$A745&gt;AQ$7)),0,MAX(0,ROUND((INDEX($E745:$G745,AQ$5)-SUMIFS(TF_Timer,TF_Tekniker,AQ$4,TF_Dato,$A745))*2,0)/2)))</f>
        <v/>
      </c>
      <c r="AR745">
        <f>IF(OR(AR$4="",$A745&gt;TODAY()),0,IF(OR(INDEX($B745:$D745,AR$5)="F",AND(AR$6&gt;0,$A745&lt;AR$6),AND(AR$7&gt;0,$A745&gt;AR$7)),0,MAX(0,ROUND((INDEX($E745:$G745,AR$5)-SUMIFS(TF_Timer,TF_Tekniker,AR$4,TF_Dato,$A745))*2,0)/2)))</f>
        <v/>
      </c>
      <c r="AS745">
        <f>IF(OR(AS$4="",$A745&gt;TODAY()),0,IF(OR(INDEX($B745:$D745,AS$5)="F",AND(AS$6&gt;0,$A745&lt;AS$6),AND(AS$7&gt;0,$A745&gt;AS$7)),0,MAX(0,ROUND((INDEX($E745:$G745,AS$5)-SUMIFS(TF_Timer,TF_Tekniker,AS$4,TF_Dato,$A745))*2,0)/2)))</f>
        <v/>
      </c>
      <c r="AT745">
        <f>IF(OR(AT$4="",$A745&gt;TODAY()),0,IF(OR(INDEX($B745:$D745,AT$5)="F",AND(AT$6&gt;0,$A745&lt;AT$6),AND(AT$7&gt;0,$A745&gt;AT$7)),0,MAX(0,ROUND((INDEX($E745:$G745,AT$5)-SUMIFS(TF_Timer,TF_Tekniker,AT$4,TF_Dato,$A745))*2,0)/2)))</f>
        <v/>
      </c>
      <c r="AU745">
        <f>IF(OR(AU$4="",$A745&gt;TODAY()),0,IF(OR(INDEX($B745:$D745,AU$5)="F",AND(AU$6&gt;0,$A745&lt;AU$6),AND(AU$7&gt;0,$A745&gt;AU$7)),0,MAX(0,ROUND((INDEX($E745:$G745,AU$5)-SUMIFS(TF_Timer,TF_Tekniker,AU$4,TF_Dato,$A745))*2,0)/2)))</f>
        <v/>
      </c>
      <c r="AV745">
        <f>IF(OR(AV$4="",$A745&gt;TODAY()),0,IF(OR(INDEX($B745:$D745,AV$5)="F",AND(AV$6&gt;0,$A745&lt;AV$6),AND(AV$7&gt;0,$A745&gt;AV$7)),0,MAX(0,ROUND((INDEX($E745:$G745,AV$5)-SUMIFS(TF_Timer,TF_Tekniker,AV$4,TF_Dato,$A745))*2,0)/2)))</f>
        <v/>
      </c>
      <c r="AW745">
        <f>IF(OR(AW$4="",$A745&gt;TODAY()),0,IF(OR(INDEX($B745:$D745,AW$5)="F",AND(AW$6&gt;0,$A745&lt;AW$6),AND(AW$7&gt;0,$A745&gt;AW$7)),0,MAX(0,ROUND((INDEX($E745:$G745,AW$5)-SUMIFS(TF_Timer,TF_Tekniker,AW$4,TF_Dato,$A745))*2,0)/2)))</f>
        <v/>
      </c>
      <c r="AX745">
        <f>IF(OR(AX$4="",$A745&gt;TODAY()),0,IF(OR(INDEX($B745:$D745,AX$5)="F",AND(AX$6&gt;0,$A745&lt;AX$6),AND(AX$7&gt;0,$A745&gt;AX$7)),0,MAX(0,ROUND((INDEX($E745:$G745,AX$5)-SUMIFS(TF_Timer,TF_Tekniker,AX$4,TF_Dato,$A745))*2,0)/2)))</f>
        <v/>
      </c>
      <c r="AY745">
        <f>IF(OR(AY$4="",$A745&gt;TODAY()),0,IF(OR(INDEX($B745:$D745,AY$5)="F",AND(AY$6&gt;0,$A745&lt;AY$6),AND(AY$7&gt;0,$A745&gt;AY$7)),0,MAX(0,ROUND((INDEX($E745:$G745,AY$5)-SUMIFS(TF_Timer,TF_Tekniker,AY$4,TF_Dato,$A745))*2,0)/2)))</f>
        <v/>
      </c>
      <c r="AZ745">
        <f>IF(OR(AZ$4="",$A745&gt;TODAY()),0,IF(OR(INDEX($B745:$D745,AZ$5)="F",AND(AZ$6&gt;0,$A745&lt;AZ$6),AND(AZ$7&gt;0,$A745&gt;AZ$7)),0,MAX(0,ROUND((INDEX($E745:$G745,AZ$5)-SUMIFS(TF_Timer,TF_Tekniker,AZ$4,TF_Dato,$A745))*2,0)/2)))</f>
        <v/>
      </c>
      <c r="BA745">
        <f>IF(OR(BA$4="",$A745&gt;TODAY()),0,IF(OR(INDEX($B745:$D745,BA$5)="F",AND(BA$6&gt;0,$A745&lt;BA$6),AND(BA$7&gt;0,$A745&gt;BA$7)),0,MAX(0,ROUND((INDEX($E745:$G745,BA$5)-SUMIFS(TF_Timer,TF_Tekniker,BA$4,TF_Dato,$A745))*2,0)/2)))</f>
        <v/>
      </c>
      <c r="BB745">
        <f>IF(OR(BB$4="",$A745&gt;TODAY()),0,IF(OR(INDEX($B745:$D745,BB$5)="F",AND(BB$6&gt;0,$A745&lt;BB$6),AND(BB$7&gt;0,$A745&gt;BB$7)),0,MAX(0,ROUND((INDEX($E745:$G745,BB$5)-SUMIFS(TF_Timer,TF_Tekniker,BB$4,TF_Dato,$A745))*2,0)/2)))</f>
        <v/>
      </c>
      <c r="BC745">
        <f>IF(OR(BC$4="",$A745&gt;TODAY()),0,IF(OR(INDEX($B745:$D745,BC$5)="F",AND(BC$6&gt;0,$A745&lt;BC$6),AND(BC$7&gt;0,$A745&gt;BC$7)),0,MAX(0,ROUND((INDEX($E745:$G745,BC$5)-SUMIFS(TF_Timer,TF_Tekniker,BC$4,TF_Dato,$A745))*2,0)/2)))</f>
        <v/>
      </c>
      <c r="BD745">
        <f>IF(OR(BD$4="",$A745&gt;TODAY()),0,IF(OR(INDEX($B745:$D745,BD$5)="F",AND(BD$6&gt;0,$A745&lt;BD$6),AND(BD$7&gt;0,$A745&gt;BD$7)),0,MAX(0,ROUND((INDEX($E745:$G745,BD$5)-SUMIFS(TF_Timer,TF_Tekniker,BD$4,TF_Dato,$A745))*2,0)/2)))</f>
        <v/>
      </c>
      <c r="BE745">
        <f>IF(OR(BE$4="",$A745&gt;TODAY()),0,IF(OR(INDEX($B745:$D745,BE$5)="F",AND(BE$6&gt;0,$A745&lt;BE$6),AND(BE$7&gt;0,$A745&gt;BE$7)),0,MAX(0,ROUND((INDEX($E745:$G745,BE$5)-SUMIFS(TF_Timer,TF_Tekniker,BE$4,TF_Dato,$A745))*2,0)/2)))</f>
        <v/>
      </c>
      <c r="BF745">
        <f>IF(OR(BF$4="",$A745&gt;TODAY()),0,IF(OR(INDEX($B745:$D745,BF$5)="F",AND(BF$6&gt;0,$A745&lt;BF$6),AND(BF$7&gt;0,$A745&gt;BF$7)),0,MAX(0,ROUND((INDEX($E745:$G745,BF$5)-SUMIFS(TF_Timer,TF_Tekniker,BF$4,TF_Dato,$A745))*2,0)/2)))</f>
        <v/>
      </c>
      <c r="BG745">
        <f>IF(OR(BG$4="",$A745&gt;TODAY()),0,IF(OR(INDEX($B745:$D745,BG$5)="F",AND(BG$6&gt;0,$A745&lt;BG$6),AND(BG$7&gt;0,$A745&gt;BG$7)),0,MAX(0,ROUND((INDEX($E745:$G745,BG$5)-SUMIFS(TF_Timer,TF_Tekniker,BG$4,TF_Dato,$A745))*2,0)/2)))</f>
        <v/>
      </c>
      <c r="BH745">
        <f>IF(OR(BH$4="",$A745&gt;TODAY()),0,IF(OR(INDEX($B745:$D745,BH$5)="F",AND(BH$6&gt;0,$A745&lt;BH$6),AND(BH$7&gt;0,$A745&gt;BH$7)),0,MAX(0,ROUND((INDEX($E745:$G745,BH$5)-SUMIFS(TF_Timer,TF_Tekniker,BH$4,TF_Dato,$A745))*2,0)/2)))</f>
        <v/>
      </c>
      <c r="BI745">
        <f>IF(OR(BI$4="",$A745&gt;TODAY()),0,IF(OR(INDEX($B745:$D745,BI$5)="F",AND(BI$6&gt;0,$A745&lt;BI$6),AND(BI$7&gt;0,$A745&gt;BI$7)),0,MAX(0,ROUND((INDEX($E745:$G745,BI$5)-SUMIFS(TF_Timer,TF_Tekniker,BI$4,TF_Dato,$A745))*2,0)/2)))</f>
        <v/>
      </c>
    </row>
    <row r="746">
      <c r="A746" s="64">
        <f>A745+1</f>
        <v/>
      </c>
      <c r="B746">
        <f>IF(MOD($A746-INDEX(SkiftStart,1),Syklus)&lt;DagK,"K",IF(MOD($A746-INDEX(SkiftStart,1),Syklus)&lt;DagK+DagH,"H",IF(MOD($A746-INDEX(SkiftStart,1),Syklus)&lt;DagK+DagH+DagD,"D","F")))</f>
        <v/>
      </c>
      <c r="C746">
        <f>IF(MOD($A746-INDEX(SkiftStart,2),Syklus)&lt;DagK,"K",IF(MOD($A746-INDEX(SkiftStart,2),Syklus)&lt;DagK+DagH,"H",IF(MOD($A746-INDEX(SkiftStart,2),Syklus)&lt;DagK+DagH+DagD,"D","F")))</f>
        <v/>
      </c>
      <c r="D746">
        <f>IF(MOD($A746-INDEX(SkiftStart,3),Syklus)&lt;DagK,"K",IF(MOD($A746-INDEX(SkiftStart,3),Syklus)&lt;DagK+DagH,"H",IF(MOD($A746-INDEX(SkiftStart,3),Syklus)&lt;DagK+DagH+DagD,"D","F")))</f>
        <v/>
      </c>
      <c r="E746">
        <f>IF(B746="F",0,IF(WEEKDAY($A746,2)=5,INDEX(TimerFr,MATCH(B746,FaseKode,0)),INDEX(TimerMT,MATCH(B746,FaseKode,0))))</f>
        <v/>
      </c>
      <c r="F746">
        <f>IF(C746="F",0,IF(WEEKDAY($A746,2)=5,INDEX(TimerFr,MATCH(C746,FaseKode,0)),INDEX(TimerMT,MATCH(C746,FaseKode,0))))</f>
        <v/>
      </c>
      <c r="G746">
        <f>IF(D746="F",0,IF(WEEKDAY($A746,2)=5,INDEX(TimerFr,MATCH(D746,FaseKode,0)),INDEX(TimerMT,MATCH(D746,FaseKode,0))))</f>
        <v/>
      </c>
      <c r="H746">
        <f>IF(OR(H$4="",$A746&gt;TODAY()),0,IF(OR(INDEX($B746:$D746,H$5)="F",AND(H$6&gt;0,$A746&lt;H$6),AND(H$7&gt;0,$A746&gt;H$7)),0,MAX(0,ROUND((INDEX($E746:$G746,H$5)-SUMIFS(TF_Timer,TF_Tekniker,H$4,TF_Dato,$A746))*2,0)/2)))</f>
        <v/>
      </c>
      <c r="I746">
        <f>IF(OR(I$4="",$A746&gt;TODAY()),0,IF(OR(INDEX($B746:$D746,I$5)="F",AND(I$6&gt;0,$A746&lt;I$6),AND(I$7&gt;0,$A746&gt;I$7)),0,MAX(0,ROUND((INDEX($E746:$G746,I$5)-SUMIFS(TF_Timer,TF_Tekniker,I$4,TF_Dato,$A746))*2,0)/2)))</f>
        <v/>
      </c>
      <c r="J746">
        <f>IF(OR(J$4="",$A746&gt;TODAY()),0,IF(OR(INDEX($B746:$D746,J$5)="F",AND(J$6&gt;0,$A746&lt;J$6),AND(J$7&gt;0,$A746&gt;J$7)),0,MAX(0,ROUND((INDEX($E746:$G746,J$5)-SUMIFS(TF_Timer,TF_Tekniker,J$4,TF_Dato,$A746))*2,0)/2)))</f>
        <v/>
      </c>
      <c r="K746">
        <f>IF(OR(K$4="",$A746&gt;TODAY()),0,IF(OR(INDEX($B746:$D746,K$5)="F",AND(K$6&gt;0,$A746&lt;K$6),AND(K$7&gt;0,$A746&gt;K$7)),0,MAX(0,ROUND((INDEX($E746:$G746,K$5)-SUMIFS(TF_Timer,TF_Tekniker,K$4,TF_Dato,$A746))*2,0)/2)))</f>
        <v/>
      </c>
      <c r="L746">
        <f>IF(OR(L$4="",$A746&gt;TODAY()),0,IF(OR(INDEX($B746:$D746,L$5)="F",AND(L$6&gt;0,$A746&lt;L$6),AND(L$7&gt;0,$A746&gt;L$7)),0,MAX(0,ROUND((INDEX($E746:$G746,L$5)-SUMIFS(TF_Timer,TF_Tekniker,L$4,TF_Dato,$A746))*2,0)/2)))</f>
        <v/>
      </c>
      <c r="M746">
        <f>IF(OR(M$4="",$A746&gt;TODAY()),0,IF(OR(INDEX($B746:$D746,M$5)="F",AND(M$6&gt;0,$A746&lt;M$6),AND(M$7&gt;0,$A746&gt;M$7)),0,MAX(0,ROUND((INDEX($E746:$G746,M$5)-SUMIFS(TF_Timer,TF_Tekniker,M$4,TF_Dato,$A746))*2,0)/2)))</f>
        <v/>
      </c>
      <c r="N746">
        <f>IF(OR(N$4="",$A746&gt;TODAY()),0,IF(OR(INDEX($B746:$D746,N$5)="F",AND(N$6&gt;0,$A746&lt;N$6),AND(N$7&gt;0,$A746&gt;N$7)),0,MAX(0,ROUND((INDEX($E746:$G746,N$5)-SUMIFS(TF_Timer,TF_Tekniker,N$4,TF_Dato,$A746))*2,0)/2)))</f>
        <v/>
      </c>
      <c r="O746">
        <f>IF(OR(O$4="",$A746&gt;TODAY()),0,IF(OR(INDEX($B746:$D746,O$5)="F",AND(O$6&gt;0,$A746&lt;O$6),AND(O$7&gt;0,$A746&gt;O$7)),0,MAX(0,ROUND((INDEX($E746:$G746,O$5)-SUMIFS(TF_Timer,TF_Tekniker,O$4,TF_Dato,$A746))*2,0)/2)))</f>
        <v/>
      </c>
      <c r="P746">
        <f>IF(OR(P$4="",$A746&gt;TODAY()),0,IF(OR(INDEX($B746:$D746,P$5)="F",AND(P$6&gt;0,$A746&lt;P$6),AND(P$7&gt;0,$A746&gt;P$7)),0,MAX(0,ROUND((INDEX($E746:$G746,P$5)-SUMIFS(TF_Timer,TF_Tekniker,P$4,TF_Dato,$A746))*2,0)/2)))</f>
        <v/>
      </c>
      <c r="Q746">
        <f>IF(OR(Q$4="",$A746&gt;TODAY()),0,IF(OR(INDEX($B746:$D746,Q$5)="F",AND(Q$6&gt;0,$A746&lt;Q$6),AND(Q$7&gt;0,$A746&gt;Q$7)),0,MAX(0,ROUND((INDEX($E746:$G746,Q$5)-SUMIFS(TF_Timer,TF_Tekniker,Q$4,TF_Dato,$A746))*2,0)/2)))</f>
        <v/>
      </c>
      <c r="R746">
        <f>IF(OR(R$4="",$A746&gt;TODAY()),0,IF(OR(INDEX($B746:$D746,R$5)="F",AND(R$6&gt;0,$A746&lt;R$6),AND(R$7&gt;0,$A746&gt;R$7)),0,MAX(0,ROUND((INDEX($E746:$G746,R$5)-SUMIFS(TF_Timer,TF_Tekniker,R$4,TF_Dato,$A746))*2,0)/2)))</f>
        <v/>
      </c>
      <c r="S746">
        <f>IF(OR(S$4="",$A746&gt;TODAY()),0,IF(OR(INDEX($B746:$D746,S$5)="F",AND(S$6&gt;0,$A746&lt;S$6),AND(S$7&gt;0,$A746&gt;S$7)),0,MAX(0,ROUND((INDEX($E746:$G746,S$5)-SUMIFS(TF_Timer,TF_Tekniker,S$4,TF_Dato,$A746))*2,0)/2)))</f>
        <v/>
      </c>
      <c r="T746">
        <f>IF(OR(T$4="",$A746&gt;TODAY()),0,IF(OR(INDEX($B746:$D746,T$5)="F",AND(T$6&gt;0,$A746&lt;T$6),AND(T$7&gt;0,$A746&gt;T$7)),0,MAX(0,ROUND((INDEX($E746:$G746,T$5)-SUMIFS(TF_Timer,TF_Tekniker,T$4,TF_Dato,$A746))*2,0)/2)))</f>
        <v/>
      </c>
      <c r="U746">
        <f>IF(OR(U$4="",$A746&gt;TODAY()),0,IF(OR(INDEX($B746:$D746,U$5)="F",AND(U$6&gt;0,$A746&lt;U$6),AND(U$7&gt;0,$A746&gt;U$7)),0,MAX(0,ROUND((INDEX($E746:$G746,U$5)-SUMIFS(TF_Timer,TF_Tekniker,U$4,TF_Dato,$A746))*2,0)/2)))</f>
        <v/>
      </c>
      <c r="V746">
        <f>IF(OR(V$4="",$A746&gt;TODAY()),0,IF(OR(INDEX($B746:$D746,V$5)="F",AND(V$6&gt;0,$A746&lt;V$6),AND(V$7&gt;0,$A746&gt;V$7)),0,MAX(0,ROUND((INDEX($E746:$G746,V$5)-SUMIFS(TF_Timer,TF_Tekniker,V$4,TF_Dato,$A746))*2,0)/2)))</f>
        <v/>
      </c>
      <c r="W746">
        <f>IF(OR(W$4="",$A746&gt;TODAY()),0,IF(OR(INDEX($B746:$D746,W$5)="F",AND(W$6&gt;0,$A746&lt;W$6),AND(W$7&gt;0,$A746&gt;W$7)),0,MAX(0,ROUND((INDEX($E746:$G746,W$5)-SUMIFS(TF_Timer,TF_Tekniker,W$4,TF_Dato,$A746))*2,0)/2)))</f>
        <v/>
      </c>
      <c r="X746">
        <f>IF(OR(X$4="",$A746&gt;TODAY()),0,IF(OR(INDEX($B746:$D746,X$5)="F",AND(X$6&gt;0,$A746&lt;X$6),AND(X$7&gt;0,$A746&gt;X$7)),0,MAX(0,ROUND((INDEX($E746:$G746,X$5)-SUMIFS(TF_Timer,TF_Tekniker,X$4,TF_Dato,$A746))*2,0)/2)))</f>
        <v/>
      </c>
      <c r="Y746">
        <f>IF(OR(Y$4="",$A746&gt;TODAY()),0,IF(OR(INDEX($B746:$D746,Y$5)="F",AND(Y$6&gt;0,$A746&lt;Y$6),AND(Y$7&gt;0,$A746&gt;Y$7)),0,MAX(0,ROUND((INDEX($E746:$G746,Y$5)-SUMIFS(TF_Timer,TF_Tekniker,Y$4,TF_Dato,$A746))*2,0)/2)))</f>
        <v/>
      </c>
      <c r="Z746">
        <f>IF(OR(Z$4="",$A746&gt;TODAY()),0,IF(OR(INDEX($B746:$D746,Z$5)="F",AND(Z$6&gt;0,$A746&lt;Z$6),AND(Z$7&gt;0,$A746&gt;Z$7)),0,MAX(0,ROUND((INDEX($E746:$G746,Z$5)-SUMIFS(TF_Timer,TF_Tekniker,Z$4,TF_Dato,$A746))*2,0)/2)))</f>
        <v/>
      </c>
      <c r="AA746">
        <f>IF(OR(AA$4="",$A746&gt;TODAY()),0,IF(OR(INDEX($B746:$D746,AA$5)="F",AND(AA$6&gt;0,$A746&lt;AA$6),AND(AA$7&gt;0,$A746&gt;AA$7)),0,MAX(0,ROUND((INDEX($E746:$G746,AA$5)-SUMIFS(TF_Timer,TF_Tekniker,AA$4,TF_Dato,$A746))*2,0)/2)))</f>
        <v/>
      </c>
      <c r="AB746">
        <f>IF(OR(AB$4="",$A746&gt;TODAY()),0,IF(OR(INDEX($B746:$D746,AB$5)="F",AND(AB$6&gt;0,$A746&lt;AB$6),AND(AB$7&gt;0,$A746&gt;AB$7)),0,MAX(0,ROUND((INDEX($E746:$G746,AB$5)-SUMIFS(TF_Timer,TF_Tekniker,AB$4,TF_Dato,$A746))*2,0)/2)))</f>
        <v/>
      </c>
      <c r="AC746">
        <f>IF(OR(AC$4="",$A746&gt;TODAY()),0,IF(OR(INDEX($B746:$D746,AC$5)="F",AND(AC$6&gt;0,$A746&lt;AC$6),AND(AC$7&gt;0,$A746&gt;AC$7)),0,MAX(0,ROUND((INDEX($E746:$G746,AC$5)-SUMIFS(TF_Timer,TF_Tekniker,AC$4,TF_Dato,$A746))*2,0)/2)))</f>
        <v/>
      </c>
      <c r="AD746">
        <f>IF(OR(AD$4="",$A746&gt;TODAY()),0,IF(OR(INDEX($B746:$D746,AD$5)="F",AND(AD$6&gt;0,$A746&lt;AD$6),AND(AD$7&gt;0,$A746&gt;AD$7)),0,MAX(0,ROUND((INDEX($E746:$G746,AD$5)-SUMIFS(TF_Timer,TF_Tekniker,AD$4,TF_Dato,$A746))*2,0)/2)))</f>
        <v/>
      </c>
      <c r="AE746">
        <f>IF(OR(AE$4="",$A746&gt;TODAY()),0,IF(OR(INDEX($B746:$D746,AE$5)="F",AND(AE$6&gt;0,$A746&lt;AE$6),AND(AE$7&gt;0,$A746&gt;AE$7)),0,MAX(0,ROUND((INDEX($E746:$G746,AE$5)-SUMIFS(TF_Timer,TF_Tekniker,AE$4,TF_Dato,$A746))*2,0)/2)))</f>
        <v/>
      </c>
      <c r="AF746">
        <f>IF(OR(AF$4="",$A746&gt;TODAY()),0,IF(OR(INDEX($B746:$D746,AF$5)="F",AND(AF$6&gt;0,$A746&lt;AF$6),AND(AF$7&gt;0,$A746&gt;AF$7)),0,MAX(0,ROUND((INDEX($E746:$G746,AF$5)-SUMIFS(TF_Timer,TF_Tekniker,AF$4,TF_Dato,$A746))*2,0)/2)))</f>
        <v/>
      </c>
      <c r="AG746">
        <f>IF(OR(AG$4="",$A746&gt;TODAY()),0,IF(OR(INDEX($B746:$D746,AG$5)="F",AND(AG$6&gt;0,$A746&lt;AG$6),AND(AG$7&gt;0,$A746&gt;AG$7)),0,MAX(0,ROUND((INDEX($E746:$G746,AG$5)-SUMIFS(TF_Timer,TF_Tekniker,AG$4,TF_Dato,$A746))*2,0)/2)))</f>
        <v/>
      </c>
      <c r="AH746">
        <f>IF(OR(AH$4="",$A746&gt;TODAY()),0,IF(OR(INDEX($B746:$D746,AH$5)="F",AND(AH$6&gt;0,$A746&lt;AH$6),AND(AH$7&gt;0,$A746&gt;AH$7)),0,MAX(0,ROUND((INDEX($E746:$G746,AH$5)-SUMIFS(TF_Timer,TF_Tekniker,AH$4,TF_Dato,$A746))*2,0)/2)))</f>
        <v/>
      </c>
      <c r="AI746">
        <f>IF(OR(AI$4="",$A746&gt;TODAY()),0,IF(OR(INDEX($B746:$D746,AI$5)="F",AND(AI$6&gt;0,$A746&lt;AI$6),AND(AI$7&gt;0,$A746&gt;AI$7)),0,MAX(0,ROUND((INDEX($E746:$G746,AI$5)-SUMIFS(TF_Timer,TF_Tekniker,AI$4,TF_Dato,$A746))*2,0)/2)))</f>
        <v/>
      </c>
      <c r="AJ746">
        <f>IF(OR(AJ$4="",$A746&gt;TODAY()),0,IF(OR(INDEX($B746:$D746,AJ$5)="F",AND(AJ$6&gt;0,$A746&lt;AJ$6),AND(AJ$7&gt;0,$A746&gt;AJ$7)),0,MAX(0,ROUND((INDEX($E746:$G746,AJ$5)-SUMIFS(TF_Timer,TF_Tekniker,AJ$4,TF_Dato,$A746))*2,0)/2)))</f>
        <v/>
      </c>
      <c r="AK746">
        <f>IF(OR(AK$4="",$A746&gt;TODAY()),0,IF(OR(INDEX($B746:$D746,AK$5)="F",AND(AK$6&gt;0,$A746&lt;AK$6),AND(AK$7&gt;0,$A746&gt;AK$7)),0,MAX(0,ROUND((INDEX($E746:$G746,AK$5)-SUMIFS(TF_Timer,TF_Tekniker,AK$4,TF_Dato,$A746))*2,0)/2)))</f>
        <v/>
      </c>
      <c r="AL746">
        <f>IF(OR(AL$4="",$A746&gt;TODAY()),0,IF(OR(INDEX($B746:$D746,AL$5)="F",AND(AL$6&gt;0,$A746&lt;AL$6),AND(AL$7&gt;0,$A746&gt;AL$7)),0,MAX(0,ROUND((INDEX($E746:$G746,AL$5)-SUMIFS(TF_Timer,TF_Tekniker,AL$4,TF_Dato,$A746))*2,0)/2)))</f>
        <v/>
      </c>
      <c r="AM746">
        <f>IF(OR(AM$4="",$A746&gt;TODAY()),0,IF(OR(INDEX($B746:$D746,AM$5)="F",AND(AM$6&gt;0,$A746&lt;AM$6),AND(AM$7&gt;0,$A746&gt;AM$7)),0,MAX(0,ROUND((INDEX($E746:$G746,AM$5)-SUMIFS(TF_Timer,TF_Tekniker,AM$4,TF_Dato,$A746))*2,0)/2)))</f>
        <v/>
      </c>
      <c r="AN746">
        <f>IF(OR(AN$4="",$A746&gt;TODAY()),0,IF(OR(INDEX($B746:$D746,AN$5)="F",AND(AN$6&gt;0,$A746&lt;AN$6),AND(AN$7&gt;0,$A746&gt;AN$7)),0,MAX(0,ROUND((INDEX($E746:$G746,AN$5)-SUMIFS(TF_Timer,TF_Tekniker,AN$4,TF_Dato,$A746))*2,0)/2)))</f>
        <v/>
      </c>
      <c r="AO746">
        <f>IF(OR(AO$4="",$A746&gt;TODAY()),0,IF(OR(INDEX($B746:$D746,AO$5)="F",AND(AO$6&gt;0,$A746&lt;AO$6),AND(AO$7&gt;0,$A746&gt;AO$7)),0,MAX(0,ROUND((INDEX($E746:$G746,AO$5)-SUMIFS(TF_Timer,TF_Tekniker,AO$4,TF_Dato,$A746))*2,0)/2)))</f>
        <v/>
      </c>
      <c r="AP746">
        <f>IF(OR(AP$4="",$A746&gt;TODAY()),0,IF(OR(INDEX($B746:$D746,AP$5)="F",AND(AP$6&gt;0,$A746&lt;AP$6),AND(AP$7&gt;0,$A746&gt;AP$7)),0,MAX(0,ROUND((INDEX($E746:$G746,AP$5)-SUMIFS(TF_Timer,TF_Tekniker,AP$4,TF_Dato,$A746))*2,0)/2)))</f>
        <v/>
      </c>
      <c r="AQ746">
        <f>IF(OR(AQ$4="",$A746&gt;TODAY()),0,IF(OR(INDEX($B746:$D746,AQ$5)="F",AND(AQ$6&gt;0,$A746&lt;AQ$6),AND(AQ$7&gt;0,$A746&gt;AQ$7)),0,MAX(0,ROUND((INDEX($E746:$G746,AQ$5)-SUMIFS(TF_Timer,TF_Tekniker,AQ$4,TF_Dato,$A746))*2,0)/2)))</f>
        <v/>
      </c>
      <c r="AR746">
        <f>IF(OR(AR$4="",$A746&gt;TODAY()),0,IF(OR(INDEX($B746:$D746,AR$5)="F",AND(AR$6&gt;0,$A746&lt;AR$6),AND(AR$7&gt;0,$A746&gt;AR$7)),0,MAX(0,ROUND((INDEX($E746:$G746,AR$5)-SUMIFS(TF_Timer,TF_Tekniker,AR$4,TF_Dato,$A746))*2,0)/2)))</f>
        <v/>
      </c>
      <c r="AS746">
        <f>IF(OR(AS$4="",$A746&gt;TODAY()),0,IF(OR(INDEX($B746:$D746,AS$5)="F",AND(AS$6&gt;0,$A746&lt;AS$6),AND(AS$7&gt;0,$A746&gt;AS$7)),0,MAX(0,ROUND((INDEX($E746:$G746,AS$5)-SUMIFS(TF_Timer,TF_Tekniker,AS$4,TF_Dato,$A746))*2,0)/2)))</f>
        <v/>
      </c>
      <c r="AT746">
        <f>IF(OR(AT$4="",$A746&gt;TODAY()),0,IF(OR(INDEX($B746:$D746,AT$5)="F",AND(AT$6&gt;0,$A746&lt;AT$6),AND(AT$7&gt;0,$A746&gt;AT$7)),0,MAX(0,ROUND((INDEX($E746:$G746,AT$5)-SUMIFS(TF_Timer,TF_Tekniker,AT$4,TF_Dato,$A746))*2,0)/2)))</f>
        <v/>
      </c>
      <c r="AU746">
        <f>IF(OR(AU$4="",$A746&gt;TODAY()),0,IF(OR(INDEX($B746:$D746,AU$5)="F",AND(AU$6&gt;0,$A746&lt;AU$6),AND(AU$7&gt;0,$A746&gt;AU$7)),0,MAX(0,ROUND((INDEX($E746:$G746,AU$5)-SUMIFS(TF_Timer,TF_Tekniker,AU$4,TF_Dato,$A746))*2,0)/2)))</f>
        <v/>
      </c>
      <c r="AV746">
        <f>IF(OR(AV$4="",$A746&gt;TODAY()),0,IF(OR(INDEX($B746:$D746,AV$5)="F",AND(AV$6&gt;0,$A746&lt;AV$6),AND(AV$7&gt;0,$A746&gt;AV$7)),0,MAX(0,ROUND((INDEX($E746:$G746,AV$5)-SUMIFS(TF_Timer,TF_Tekniker,AV$4,TF_Dato,$A746))*2,0)/2)))</f>
        <v/>
      </c>
      <c r="AW746">
        <f>IF(OR(AW$4="",$A746&gt;TODAY()),0,IF(OR(INDEX($B746:$D746,AW$5)="F",AND(AW$6&gt;0,$A746&lt;AW$6),AND(AW$7&gt;0,$A746&gt;AW$7)),0,MAX(0,ROUND((INDEX($E746:$G746,AW$5)-SUMIFS(TF_Timer,TF_Tekniker,AW$4,TF_Dato,$A746))*2,0)/2)))</f>
        <v/>
      </c>
      <c r="AX746">
        <f>IF(OR(AX$4="",$A746&gt;TODAY()),0,IF(OR(INDEX($B746:$D746,AX$5)="F",AND(AX$6&gt;0,$A746&lt;AX$6),AND(AX$7&gt;0,$A746&gt;AX$7)),0,MAX(0,ROUND((INDEX($E746:$G746,AX$5)-SUMIFS(TF_Timer,TF_Tekniker,AX$4,TF_Dato,$A746))*2,0)/2)))</f>
        <v/>
      </c>
      <c r="AY746">
        <f>IF(OR(AY$4="",$A746&gt;TODAY()),0,IF(OR(INDEX($B746:$D746,AY$5)="F",AND(AY$6&gt;0,$A746&lt;AY$6),AND(AY$7&gt;0,$A746&gt;AY$7)),0,MAX(0,ROUND((INDEX($E746:$G746,AY$5)-SUMIFS(TF_Timer,TF_Tekniker,AY$4,TF_Dato,$A746))*2,0)/2)))</f>
        <v/>
      </c>
      <c r="AZ746">
        <f>IF(OR(AZ$4="",$A746&gt;TODAY()),0,IF(OR(INDEX($B746:$D746,AZ$5)="F",AND(AZ$6&gt;0,$A746&lt;AZ$6),AND(AZ$7&gt;0,$A746&gt;AZ$7)),0,MAX(0,ROUND((INDEX($E746:$G746,AZ$5)-SUMIFS(TF_Timer,TF_Tekniker,AZ$4,TF_Dato,$A746))*2,0)/2)))</f>
        <v/>
      </c>
      <c r="BA746">
        <f>IF(OR(BA$4="",$A746&gt;TODAY()),0,IF(OR(INDEX($B746:$D746,BA$5)="F",AND(BA$6&gt;0,$A746&lt;BA$6),AND(BA$7&gt;0,$A746&gt;BA$7)),0,MAX(0,ROUND((INDEX($E746:$G746,BA$5)-SUMIFS(TF_Timer,TF_Tekniker,BA$4,TF_Dato,$A746))*2,0)/2)))</f>
        <v/>
      </c>
      <c r="BB746">
        <f>IF(OR(BB$4="",$A746&gt;TODAY()),0,IF(OR(INDEX($B746:$D746,BB$5)="F",AND(BB$6&gt;0,$A746&lt;BB$6),AND(BB$7&gt;0,$A746&gt;BB$7)),0,MAX(0,ROUND((INDEX($E746:$G746,BB$5)-SUMIFS(TF_Timer,TF_Tekniker,BB$4,TF_Dato,$A746))*2,0)/2)))</f>
        <v/>
      </c>
      <c r="BC746">
        <f>IF(OR(BC$4="",$A746&gt;TODAY()),0,IF(OR(INDEX($B746:$D746,BC$5)="F",AND(BC$6&gt;0,$A746&lt;BC$6),AND(BC$7&gt;0,$A746&gt;BC$7)),0,MAX(0,ROUND((INDEX($E746:$G746,BC$5)-SUMIFS(TF_Timer,TF_Tekniker,BC$4,TF_Dato,$A746))*2,0)/2)))</f>
        <v/>
      </c>
      <c r="BD746">
        <f>IF(OR(BD$4="",$A746&gt;TODAY()),0,IF(OR(INDEX($B746:$D746,BD$5)="F",AND(BD$6&gt;0,$A746&lt;BD$6),AND(BD$7&gt;0,$A746&gt;BD$7)),0,MAX(0,ROUND((INDEX($E746:$G746,BD$5)-SUMIFS(TF_Timer,TF_Tekniker,BD$4,TF_Dato,$A746))*2,0)/2)))</f>
        <v/>
      </c>
      <c r="BE746">
        <f>IF(OR(BE$4="",$A746&gt;TODAY()),0,IF(OR(INDEX($B746:$D746,BE$5)="F",AND(BE$6&gt;0,$A746&lt;BE$6),AND(BE$7&gt;0,$A746&gt;BE$7)),0,MAX(0,ROUND((INDEX($E746:$G746,BE$5)-SUMIFS(TF_Timer,TF_Tekniker,BE$4,TF_Dato,$A746))*2,0)/2)))</f>
        <v/>
      </c>
      <c r="BF746">
        <f>IF(OR(BF$4="",$A746&gt;TODAY()),0,IF(OR(INDEX($B746:$D746,BF$5)="F",AND(BF$6&gt;0,$A746&lt;BF$6),AND(BF$7&gt;0,$A746&gt;BF$7)),0,MAX(0,ROUND((INDEX($E746:$G746,BF$5)-SUMIFS(TF_Timer,TF_Tekniker,BF$4,TF_Dato,$A746))*2,0)/2)))</f>
        <v/>
      </c>
      <c r="BG746">
        <f>IF(OR(BG$4="",$A746&gt;TODAY()),0,IF(OR(INDEX($B746:$D746,BG$5)="F",AND(BG$6&gt;0,$A746&lt;BG$6),AND(BG$7&gt;0,$A746&gt;BG$7)),0,MAX(0,ROUND((INDEX($E746:$G746,BG$5)-SUMIFS(TF_Timer,TF_Tekniker,BG$4,TF_Dato,$A746))*2,0)/2)))</f>
        <v/>
      </c>
      <c r="BH746">
        <f>IF(OR(BH$4="",$A746&gt;TODAY()),0,IF(OR(INDEX($B746:$D746,BH$5)="F",AND(BH$6&gt;0,$A746&lt;BH$6),AND(BH$7&gt;0,$A746&gt;BH$7)),0,MAX(0,ROUND((INDEX($E746:$G746,BH$5)-SUMIFS(TF_Timer,TF_Tekniker,BH$4,TF_Dato,$A746))*2,0)/2)))</f>
        <v/>
      </c>
      <c r="BI746">
        <f>IF(OR(BI$4="",$A746&gt;TODAY()),0,IF(OR(INDEX($B746:$D746,BI$5)="F",AND(BI$6&gt;0,$A746&lt;BI$6),AND(BI$7&gt;0,$A746&gt;BI$7)),0,MAX(0,ROUND((INDEX($E746:$G746,BI$5)-SUMIFS(TF_Timer,TF_Tekniker,BI$4,TF_Dato,$A746))*2,0)/2)))</f>
        <v/>
      </c>
    </row>
    <row r="747">
      <c r="A747" s="64">
        <f>A746+1</f>
        <v/>
      </c>
      <c r="B747">
        <f>IF(MOD($A747-INDEX(SkiftStart,1),Syklus)&lt;DagK,"K",IF(MOD($A747-INDEX(SkiftStart,1),Syklus)&lt;DagK+DagH,"H",IF(MOD($A747-INDEX(SkiftStart,1),Syklus)&lt;DagK+DagH+DagD,"D","F")))</f>
        <v/>
      </c>
      <c r="C747">
        <f>IF(MOD($A747-INDEX(SkiftStart,2),Syklus)&lt;DagK,"K",IF(MOD($A747-INDEX(SkiftStart,2),Syklus)&lt;DagK+DagH,"H",IF(MOD($A747-INDEX(SkiftStart,2),Syklus)&lt;DagK+DagH+DagD,"D","F")))</f>
        <v/>
      </c>
      <c r="D747">
        <f>IF(MOD($A747-INDEX(SkiftStart,3),Syklus)&lt;DagK,"K",IF(MOD($A747-INDEX(SkiftStart,3),Syklus)&lt;DagK+DagH,"H",IF(MOD($A747-INDEX(SkiftStart,3),Syklus)&lt;DagK+DagH+DagD,"D","F")))</f>
        <v/>
      </c>
      <c r="E747">
        <f>IF(B747="F",0,IF(WEEKDAY($A747,2)=5,INDEX(TimerFr,MATCH(B747,FaseKode,0)),INDEX(TimerMT,MATCH(B747,FaseKode,0))))</f>
        <v/>
      </c>
      <c r="F747">
        <f>IF(C747="F",0,IF(WEEKDAY($A747,2)=5,INDEX(TimerFr,MATCH(C747,FaseKode,0)),INDEX(TimerMT,MATCH(C747,FaseKode,0))))</f>
        <v/>
      </c>
      <c r="G747">
        <f>IF(D747="F",0,IF(WEEKDAY($A747,2)=5,INDEX(TimerFr,MATCH(D747,FaseKode,0)),INDEX(TimerMT,MATCH(D747,FaseKode,0))))</f>
        <v/>
      </c>
      <c r="H747">
        <f>IF(OR(H$4="",$A747&gt;TODAY()),0,IF(OR(INDEX($B747:$D747,H$5)="F",AND(H$6&gt;0,$A747&lt;H$6),AND(H$7&gt;0,$A747&gt;H$7)),0,MAX(0,ROUND((INDEX($E747:$G747,H$5)-SUMIFS(TF_Timer,TF_Tekniker,H$4,TF_Dato,$A747))*2,0)/2)))</f>
        <v/>
      </c>
      <c r="I747">
        <f>IF(OR(I$4="",$A747&gt;TODAY()),0,IF(OR(INDEX($B747:$D747,I$5)="F",AND(I$6&gt;0,$A747&lt;I$6),AND(I$7&gt;0,$A747&gt;I$7)),0,MAX(0,ROUND((INDEX($E747:$G747,I$5)-SUMIFS(TF_Timer,TF_Tekniker,I$4,TF_Dato,$A747))*2,0)/2)))</f>
        <v/>
      </c>
      <c r="J747">
        <f>IF(OR(J$4="",$A747&gt;TODAY()),0,IF(OR(INDEX($B747:$D747,J$5)="F",AND(J$6&gt;0,$A747&lt;J$6),AND(J$7&gt;0,$A747&gt;J$7)),0,MAX(0,ROUND((INDEX($E747:$G747,J$5)-SUMIFS(TF_Timer,TF_Tekniker,J$4,TF_Dato,$A747))*2,0)/2)))</f>
        <v/>
      </c>
      <c r="K747">
        <f>IF(OR(K$4="",$A747&gt;TODAY()),0,IF(OR(INDEX($B747:$D747,K$5)="F",AND(K$6&gt;0,$A747&lt;K$6),AND(K$7&gt;0,$A747&gt;K$7)),0,MAX(0,ROUND((INDEX($E747:$G747,K$5)-SUMIFS(TF_Timer,TF_Tekniker,K$4,TF_Dato,$A747))*2,0)/2)))</f>
        <v/>
      </c>
      <c r="L747">
        <f>IF(OR(L$4="",$A747&gt;TODAY()),0,IF(OR(INDEX($B747:$D747,L$5)="F",AND(L$6&gt;0,$A747&lt;L$6),AND(L$7&gt;0,$A747&gt;L$7)),0,MAX(0,ROUND((INDEX($E747:$G747,L$5)-SUMIFS(TF_Timer,TF_Tekniker,L$4,TF_Dato,$A747))*2,0)/2)))</f>
        <v/>
      </c>
      <c r="M747">
        <f>IF(OR(M$4="",$A747&gt;TODAY()),0,IF(OR(INDEX($B747:$D747,M$5)="F",AND(M$6&gt;0,$A747&lt;M$6),AND(M$7&gt;0,$A747&gt;M$7)),0,MAX(0,ROUND((INDEX($E747:$G747,M$5)-SUMIFS(TF_Timer,TF_Tekniker,M$4,TF_Dato,$A747))*2,0)/2)))</f>
        <v/>
      </c>
      <c r="N747">
        <f>IF(OR(N$4="",$A747&gt;TODAY()),0,IF(OR(INDEX($B747:$D747,N$5)="F",AND(N$6&gt;0,$A747&lt;N$6),AND(N$7&gt;0,$A747&gt;N$7)),0,MAX(0,ROUND((INDEX($E747:$G747,N$5)-SUMIFS(TF_Timer,TF_Tekniker,N$4,TF_Dato,$A747))*2,0)/2)))</f>
        <v/>
      </c>
      <c r="O747">
        <f>IF(OR(O$4="",$A747&gt;TODAY()),0,IF(OR(INDEX($B747:$D747,O$5)="F",AND(O$6&gt;0,$A747&lt;O$6),AND(O$7&gt;0,$A747&gt;O$7)),0,MAX(0,ROUND((INDEX($E747:$G747,O$5)-SUMIFS(TF_Timer,TF_Tekniker,O$4,TF_Dato,$A747))*2,0)/2)))</f>
        <v/>
      </c>
      <c r="P747">
        <f>IF(OR(P$4="",$A747&gt;TODAY()),0,IF(OR(INDEX($B747:$D747,P$5)="F",AND(P$6&gt;0,$A747&lt;P$6),AND(P$7&gt;0,$A747&gt;P$7)),0,MAX(0,ROUND((INDEX($E747:$G747,P$5)-SUMIFS(TF_Timer,TF_Tekniker,P$4,TF_Dato,$A747))*2,0)/2)))</f>
        <v/>
      </c>
      <c r="Q747">
        <f>IF(OR(Q$4="",$A747&gt;TODAY()),0,IF(OR(INDEX($B747:$D747,Q$5)="F",AND(Q$6&gt;0,$A747&lt;Q$6),AND(Q$7&gt;0,$A747&gt;Q$7)),0,MAX(0,ROUND((INDEX($E747:$G747,Q$5)-SUMIFS(TF_Timer,TF_Tekniker,Q$4,TF_Dato,$A747))*2,0)/2)))</f>
        <v/>
      </c>
      <c r="R747">
        <f>IF(OR(R$4="",$A747&gt;TODAY()),0,IF(OR(INDEX($B747:$D747,R$5)="F",AND(R$6&gt;0,$A747&lt;R$6),AND(R$7&gt;0,$A747&gt;R$7)),0,MAX(0,ROUND((INDEX($E747:$G747,R$5)-SUMIFS(TF_Timer,TF_Tekniker,R$4,TF_Dato,$A747))*2,0)/2)))</f>
        <v/>
      </c>
      <c r="S747">
        <f>IF(OR(S$4="",$A747&gt;TODAY()),0,IF(OR(INDEX($B747:$D747,S$5)="F",AND(S$6&gt;0,$A747&lt;S$6),AND(S$7&gt;0,$A747&gt;S$7)),0,MAX(0,ROUND((INDEX($E747:$G747,S$5)-SUMIFS(TF_Timer,TF_Tekniker,S$4,TF_Dato,$A747))*2,0)/2)))</f>
        <v/>
      </c>
      <c r="T747">
        <f>IF(OR(T$4="",$A747&gt;TODAY()),0,IF(OR(INDEX($B747:$D747,T$5)="F",AND(T$6&gt;0,$A747&lt;T$6),AND(T$7&gt;0,$A747&gt;T$7)),0,MAX(0,ROUND((INDEX($E747:$G747,T$5)-SUMIFS(TF_Timer,TF_Tekniker,T$4,TF_Dato,$A747))*2,0)/2)))</f>
        <v/>
      </c>
      <c r="U747">
        <f>IF(OR(U$4="",$A747&gt;TODAY()),0,IF(OR(INDEX($B747:$D747,U$5)="F",AND(U$6&gt;0,$A747&lt;U$6),AND(U$7&gt;0,$A747&gt;U$7)),0,MAX(0,ROUND((INDEX($E747:$G747,U$5)-SUMIFS(TF_Timer,TF_Tekniker,U$4,TF_Dato,$A747))*2,0)/2)))</f>
        <v/>
      </c>
      <c r="V747">
        <f>IF(OR(V$4="",$A747&gt;TODAY()),0,IF(OR(INDEX($B747:$D747,V$5)="F",AND(V$6&gt;0,$A747&lt;V$6),AND(V$7&gt;0,$A747&gt;V$7)),0,MAX(0,ROUND((INDEX($E747:$G747,V$5)-SUMIFS(TF_Timer,TF_Tekniker,V$4,TF_Dato,$A747))*2,0)/2)))</f>
        <v/>
      </c>
      <c r="W747">
        <f>IF(OR(W$4="",$A747&gt;TODAY()),0,IF(OR(INDEX($B747:$D747,W$5)="F",AND(W$6&gt;0,$A747&lt;W$6),AND(W$7&gt;0,$A747&gt;W$7)),0,MAX(0,ROUND((INDEX($E747:$G747,W$5)-SUMIFS(TF_Timer,TF_Tekniker,W$4,TF_Dato,$A747))*2,0)/2)))</f>
        <v/>
      </c>
      <c r="X747">
        <f>IF(OR(X$4="",$A747&gt;TODAY()),0,IF(OR(INDEX($B747:$D747,X$5)="F",AND(X$6&gt;0,$A747&lt;X$6),AND(X$7&gt;0,$A747&gt;X$7)),0,MAX(0,ROUND((INDEX($E747:$G747,X$5)-SUMIFS(TF_Timer,TF_Tekniker,X$4,TF_Dato,$A747))*2,0)/2)))</f>
        <v/>
      </c>
      <c r="Y747">
        <f>IF(OR(Y$4="",$A747&gt;TODAY()),0,IF(OR(INDEX($B747:$D747,Y$5)="F",AND(Y$6&gt;0,$A747&lt;Y$6),AND(Y$7&gt;0,$A747&gt;Y$7)),0,MAX(0,ROUND((INDEX($E747:$G747,Y$5)-SUMIFS(TF_Timer,TF_Tekniker,Y$4,TF_Dato,$A747))*2,0)/2)))</f>
        <v/>
      </c>
      <c r="Z747">
        <f>IF(OR(Z$4="",$A747&gt;TODAY()),0,IF(OR(INDEX($B747:$D747,Z$5)="F",AND(Z$6&gt;0,$A747&lt;Z$6),AND(Z$7&gt;0,$A747&gt;Z$7)),0,MAX(0,ROUND((INDEX($E747:$G747,Z$5)-SUMIFS(TF_Timer,TF_Tekniker,Z$4,TF_Dato,$A747))*2,0)/2)))</f>
        <v/>
      </c>
      <c r="AA747">
        <f>IF(OR(AA$4="",$A747&gt;TODAY()),0,IF(OR(INDEX($B747:$D747,AA$5)="F",AND(AA$6&gt;0,$A747&lt;AA$6),AND(AA$7&gt;0,$A747&gt;AA$7)),0,MAX(0,ROUND((INDEX($E747:$G747,AA$5)-SUMIFS(TF_Timer,TF_Tekniker,AA$4,TF_Dato,$A747))*2,0)/2)))</f>
        <v/>
      </c>
      <c r="AB747">
        <f>IF(OR(AB$4="",$A747&gt;TODAY()),0,IF(OR(INDEX($B747:$D747,AB$5)="F",AND(AB$6&gt;0,$A747&lt;AB$6),AND(AB$7&gt;0,$A747&gt;AB$7)),0,MAX(0,ROUND((INDEX($E747:$G747,AB$5)-SUMIFS(TF_Timer,TF_Tekniker,AB$4,TF_Dato,$A747))*2,0)/2)))</f>
        <v/>
      </c>
      <c r="AC747">
        <f>IF(OR(AC$4="",$A747&gt;TODAY()),0,IF(OR(INDEX($B747:$D747,AC$5)="F",AND(AC$6&gt;0,$A747&lt;AC$6),AND(AC$7&gt;0,$A747&gt;AC$7)),0,MAX(0,ROUND((INDEX($E747:$G747,AC$5)-SUMIFS(TF_Timer,TF_Tekniker,AC$4,TF_Dato,$A747))*2,0)/2)))</f>
        <v/>
      </c>
      <c r="AD747">
        <f>IF(OR(AD$4="",$A747&gt;TODAY()),0,IF(OR(INDEX($B747:$D747,AD$5)="F",AND(AD$6&gt;0,$A747&lt;AD$6),AND(AD$7&gt;0,$A747&gt;AD$7)),0,MAX(0,ROUND((INDEX($E747:$G747,AD$5)-SUMIFS(TF_Timer,TF_Tekniker,AD$4,TF_Dato,$A747))*2,0)/2)))</f>
        <v/>
      </c>
      <c r="AE747">
        <f>IF(OR(AE$4="",$A747&gt;TODAY()),0,IF(OR(INDEX($B747:$D747,AE$5)="F",AND(AE$6&gt;0,$A747&lt;AE$6),AND(AE$7&gt;0,$A747&gt;AE$7)),0,MAX(0,ROUND((INDEX($E747:$G747,AE$5)-SUMIFS(TF_Timer,TF_Tekniker,AE$4,TF_Dato,$A747))*2,0)/2)))</f>
        <v/>
      </c>
      <c r="AF747">
        <f>IF(OR(AF$4="",$A747&gt;TODAY()),0,IF(OR(INDEX($B747:$D747,AF$5)="F",AND(AF$6&gt;0,$A747&lt;AF$6),AND(AF$7&gt;0,$A747&gt;AF$7)),0,MAX(0,ROUND((INDEX($E747:$G747,AF$5)-SUMIFS(TF_Timer,TF_Tekniker,AF$4,TF_Dato,$A747))*2,0)/2)))</f>
        <v/>
      </c>
      <c r="AG747">
        <f>IF(OR(AG$4="",$A747&gt;TODAY()),0,IF(OR(INDEX($B747:$D747,AG$5)="F",AND(AG$6&gt;0,$A747&lt;AG$6),AND(AG$7&gt;0,$A747&gt;AG$7)),0,MAX(0,ROUND((INDEX($E747:$G747,AG$5)-SUMIFS(TF_Timer,TF_Tekniker,AG$4,TF_Dato,$A747))*2,0)/2)))</f>
        <v/>
      </c>
      <c r="AH747">
        <f>IF(OR(AH$4="",$A747&gt;TODAY()),0,IF(OR(INDEX($B747:$D747,AH$5)="F",AND(AH$6&gt;0,$A747&lt;AH$6),AND(AH$7&gt;0,$A747&gt;AH$7)),0,MAX(0,ROUND((INDEX($E747:$G747,AH$5)-SUMIFS(TF_Timer,TF_Tekniker,AH$4,TF_Dato,$A747))*2,0)/2)))</f>
        <v/>
      </c>
      <c r="AI747">
        <f>IF(OR(AI$4="",$A747&gt;TODAY()),0,IF(OR(INDEX($B747:$D747,AI$5)="F",AND(AI$6&gt;0,$A747&lt;AI$6),AND(AI$7&gt;0,$A747&gt;AI$7)),0,MAX(0,ROUND((INDEX($E747:$G747,AI$5)-SUMIFS(TF_Timer,TF_Tekniker,AI$4,TF_Dato,$A747))*2,0)/2)))</f>
        <v/>
      </c>
      <c r="AJ747">
        <f>IF(OR(AJ$4="",$A747&gt;TODAY()),0,IF(OR(INDEX($B747:$D747,AJ$5)="F",AND(AJ$6&gt;0,$A747&lt;AJ$6),AND(AJ$7&gt;0,$A747&gt;AJ$7)),0,MAX(0,ROUND((INDEX($E747:$G747,AJ$5)-SUMIFS(TF_Timer,TF_Tekniker,AJ$4,TF_Dato,$A747))*2,0)/2)))</f>
        <v/>
      </c>
      <c r="AK747">
        <f>IF(OR(AK$4="",$A747&gt;TODAY()),0,IF(OR(INDEX($B747:$D747,AK$5)="F",AND(AK$6&gt;0,$A747&lt;AK$6),AND(AK$7&gt;0,$A747&gt;AK$7)),0,MAX(0,ROUND((INDEX($E747:$G747,AK$5)-SUMIFS(TF_Timer,TF_Tekniker,AK$4,TF_Dato,$A747))*2,0)/2)))</f>
        <v/>
      </c>
      <c r="AL747">
        <f>IF(OR(AL$4="",$A747&gt;TODAY()),0,IF(OR(INDEX($B747:$D747,AL$5)="F",AND(AL$6&gt;0,$A747&lt;AL$6),AND(AL$7&gt;0,$A747&gt;AL$7)),0,MAX(0,ROUND((INDEX($E747:$G747,AL$5)-SUMIFS(TF_Timer,TF_Tekniker,AL$4,TF_Dato,$A747))*2,0)/2)))</f>
        <v/>
      </c>
      <c r="AM747">
        <f>IF(OR(AM$4="",$A747&gt;TODAY()),0,IF(OR(INDEX($B747:$D747,AM$5)="F",AND(AM$6&gt;0,$A747&lt;AM$6),AND(AM$7&gt;0,$A747&gt;AM$7)),0,MAX(0,ROUND((INDEX($E747:$G747,AM$5)-SUMIFS(TF_Timer,TF_Tekniker,AM$4,TF_Dato,$A747))*2,0)/2)))</f>
        <v/>
      </c>
      <c r="AN747">
        <f>IF(OR(AN$4="",$A747&gt;TODAY()),0,IF(OR(INDEX($B747:$D747,AN$5)="F",AND(AN$6&gt;0,$A747&lt;AN$6),AND(AN$7&gt;0,$A747&gt;AN$7)),0,MAX(0,ROUND((INDEX($E747:$G747,AN$5)-SUMIFS(TF_Timer,TF_Tekniker,AN$4,TF_Dato,$A747))*2,0)/2)))</f>
        <v/>
      </c>
      <c r="AO747">
        <f>IF(OR(AO$4="",$A747&gt;TODAY()),0,IF(OR(INDEX($B747:$D747,AO$5)="F",AND(AO$6&gt;0,$A747&lt;AO$6),AND(AO$7&gt;0,$A747&gt;AO$7)),0,MAX(0,ROUND((INDEX($E747:$G747,AO$5)-SUMIFS(TF_Timer,TF_Tekniker,AO$4,TF_Dato,$A747))*2,0)/2)))</f>
        <v/>
      </c>
      <c r="AP747">
        <f>IF(OR(AP$4="",$A747&gt;TODAY()),0,IF(OR(INDEX($B747:$D747,AP$5)="F",AND(AP$6&gt;0,$A747&lt;AP$6),AND(AP$7&gt;0,$A747&gt;AP$7)),0,MAX(0,ROUND((INDEX($E747:$G747,AP$5)-SUMIFS(TF_Timer,TF_Tekniker,AP$4,TF_Dato,$A747))*2,0)/2)))</f>
        <v/>
      </c>
      <c r="AQ747">
        <f>IF(OR(AQ$4="",$A747&gt;TODAY()),0,IF(OR(INDEX($B747:$D747,AQ$5)="F",AND(AQ$6&gt;0,$A747&lt;AQ$6),AND(AQ$7&gt;0,$A747&gt;AQ$7)),0,MAX(0,ROUND((INDEX($E747:$G747,AQ$5)-SUMIFS(TF_Timer,TF_Tekniker,AQ$4,TF_Dato,$A747))*2,0)/2)))</f>
        <v/>
      </c>
      <c r="AR747">
        <f>IF(OR(AR$4="",$A747&gt;TODAY()),0,IF(OR(INDEX($B747:$D747,AR$5)="F",AND(AR$6&gt;0,$A747&lt;AR$6),AND(AR$7&gt;0,$A747&gt;AR$7)),0,MAX(0,ROUND((INDEX($E747:$G747,AR$5)-SUMIFS(TF_Timer,TF_Tekniker,AR$4,TF_Dato,$A747))*2,0)/2)))</f>
        <v/>
      </c>
      <c r="AS747">
        <f>IF(OR(AS$4="",$A747&gt;TODAY()),0,IF(OR(INDEX($B747:$D747,AS$5)="F",AND(AS$6&gt;0,$A747&lt;AS$6),AND(AS$7&gt;0,$A747&gt;AS$7)),0,MAX(0,ROUND((INDEX($E747:$G747,AS$5)-SUMIFS(TF_Timer,TF_Tekniker,AS$4,TF_Dato,$A747))*2,0)/2)))</f>
        <v/>
      </c>
      <c r="AT747">
        <f>IF(OR(AT$4="",$A747&gt;TODAY()),0,IF(OR(INDEX($B747:$D747,AT$5)="F",AND(AT$6&gt;0,$A747&lt;AT$6),AND(AT$7&gt;0,$A747&gt;AT$7)),0,MAX(0,ROUND((INDEX($E747:$G747,AT$5)-SUMIFS(TF_Timer,TF_Tekniker,AT$4,TF_Dato,$A747))*2,0)/2)))</f>
        <v/>
      </c>
      <c r="AU747">
        <f>IF(OR(AU$4="",$A747&gt;TODAY()),0,IF(OR(INDEX($B747:$D747,AU$5)="F",AND(AU$6&gt;0,$A747&lt;AU$6),AND(AU$7&gt;0,$A747&gt;AU$7)),0,MAX(0,ROUND((INDEX($E747:$G747,AU$5)-SUMIFS(TF_Timer,TF_Tekniker,AU$4,TF_Dato,$A747))*2,0)/2)))</f>
        <v/>
      </c>
      <c r="AV747">
        <f>IF(OR(AV$4="",$A747&gt;TODAY()),0,IF(OR(INDEX($B747:$D747,AV$5)="F",AND(AV$6&gt;0,$A747&lt;AV$6),AND(AV$7&gt;0,$A747&gt;AV$7)),0,MAX(0,ROUND((INDEX($E747:$G747,AV$5)-SUMIFS(TF_Timer,TF_Tekniker,AV$4,TF_Dato,$A747))*2,0)/2)))</f>
        <v/>
      </c>
      <c r="AW747">
        <f>IF(OR(AW$4="",$A747&gt;TODAY()),0,IF(OR(INDEX($B747:$D747,AW$5)="F",AND(AW$6&gt;0,$A747&lt;AW$6),AND(AW$7&gt;0,$A747&gt;AW$7)),0,MAX(0,ROUND((INDEX($E747:$G747,AW$5)-SUMIFS(TF_Timer,TF_Tekniker,AW$4,TF_Dato,$A747))*2,0)/2)))</f>
        <v/>
      </c>
      <c r="AX747">
        <f>IF(OR(AX$4="",$A747&gt;TODAY()),0,IF(OR(INDEX($B747:$D747,AX$5)="F",AND(AX$6&gt;0,$A747&lt;AX$6),AND(AX$7&gt;0,$A747&gt;AX$7)),0,MAX(0,ROUND((INDEX($E747:$G747,AX$5)-SUMIFS(TF_Timer,TF_Tekniker,AX$4,TF_Dato,$A747))*2,0)/2)))</f>
        <v/>
      </c>
      <c r="AY747">
        <f>IF(OR(AY$4="",$A747&gt;TODAY()),0,IF(OR(INDEX($B747:$D747,AY$5)="F",AND(AY$6&gt;0,$A747&lt;AY$6),AND(AY$7&gt;0,$A747&gt;AY$7)),0,MAX(0,ROUND((INDEX($E747:$G747,AY$5)-SUMIFS(TF_Timer,TF_Tekniker,AY$4,TF_Dato,$A747))*2,0)/2)))</f>
        <v/>
      </c>
      <c r="AZ747">
        <f>IF(OR(AZ$4="",$A747&gt;TODAY()),0,IF(OR(INDEX($B747:$D747,AZ$5)="F",AND(AZ$6&gt;0,$A747&lt;AZ$6),AND(AZ$7&gt;0,$A747&gt;AZ$7)),0,MAX(0,ROUND((INDEX($E747:$G747,AZ$5)-SUMIFS(TF_Timer,TF_Tekniker,AZ$4,TF_Dato,$A747))*2,0)/2)))</f>
        <v/>
      </c>
      <c r="BA747">
        <f>IF(OR(BA$4="",$A747&gt;TODAY()),0,IF(OR(INDEX($B747:$D747,BA$5)="F",AND(BA$6&gt;0,$A747&lt;BA$6),AND(BA$7&gt;0,$A747&gt;BA$7)),0,MAX(0,ROUND((INDEX($E747:$G747,BA$5)-SUMIFS(TF_Timer,TF_Tekniker,BA$4,TF_Dato,$A747))*2,0)/2)))</f>
        <v/>
      </c>
      <c r="BB747">
        <f>IF(OR(BB$4="",$A747&gt;TODAY()),0,IF(OR(INDEX($B747:$D747,BB$5)="F",AND(BB$6&gt;0,$A747&lt;BB$6),AND(BB$7&gt;0,$A747&gt;BB$7)),0,MAX(0,ROUND((INDEX($E747:$G747,BB$5)-SUMIFS(TF_Timer,TF_Tekniker,BB$4,TF_Dato,$A747))*2,0)/2)))</f>
        <v/>
      </c>
      <c r="BC747">
        <f>IF(OR(BC$4="",$A747&gt;TODAY()),0,IF(OR(INDEX($B747:$D747,BC$5)="F",AND(BC$6&gt;0,$A747&lt;BC$6),AND(BC$7&gt;0,$A747&gt;BC$7)),0,MAX(0,ROUND((INDEX($E747:$G747,BC$5)-SUMIFS(TF_Timer,TF_Tekniker,BC$4,TF_Dato,$A747))*2,0)/2)))</f>
        <v/>
      </c>
      <c r="BD747">
        <f>IF(OR(BD$4="",$A747&gt;TODAY()),0,IF(OR(INDEX($B747:$D747,BD$5)="F",AND(BD$6&gt;0,$A747&lt;BD$6),AND(BD$7&gt;0,$A747&gt;BD$7)),0,MAX(0,ROUND((INDEX($E747:$G747,BD$5)-SUMIFS(TF_Timer,TF_Tekniker,BD$4,TF_Dato,$A747))*2,0)/2)))</f>
        <v/>
      </c>
      <c r="BE747">
        <f>IF(OR(BE$4="",$A747&gt;TODAY()),0,IF(OR(INDEX($B747:$D747,BE$5)="F",AND(BE$6&gt;0,$A747&lt;BE$6),AND(BE$7&gt;0,$A747&gt;BE$7)),0,MAX(0,ROUND((INDEX($E747:$G747,BE$5)-SUMIFS(TF_Timer,TF_Tekniker,BE$4,TF_Dato,$A747))*2,0)/2)))</f>
        <v/>
      </c>
      <c r="BF747">
        <f>IF(OR(BF$4="",$A747&gt;TODAY()),0,IF(OR(INDEX($B747:$D747,BF$5)="F",AND(BF$6&gt;0,$A747&lt;BF$6),AND(BF$7&gt;0,$A747&gt;BF$7)),0,MAX(0,ROUND((INDEX($E747:$G747,BF$5)-SUMIFS(TF_Timer,TF_Tekniker,BF$4,TF_Dato,$A747))*2,0)/2)))</f>
        <v/>
      </c>
      <c r="BG747">
        <f>IF(OR(BG$4="",$A747&gt;TODAY()),0,IF(OR(INDEX($B747:$D747,BG$5)="F",AND(BG$6&gt;0,$A747&lt;BG$6),AND(BG$7&gt;0,$A747&gt;BG$7)),0,MAX(0,ROUND((INDEX($E747:$G747,BG$5)-SUMIFS(TF_Timer,TF_Tekniker,BG$4,TF_Dato,$A747))*2,0)/2)))</f>
        <v/>
      </c>
      <c r="BH747">
        <f>IF(OR(BH$4="",$A747&gt;TODAY()),0,IF(OR(INDEX($B747:$D747,BH$5)="F",AND(BH$6&gt;0,$A747&lt;BH$6),AND(BH$7&gt;0,$A747&gt;BH$7)),0,MAX(0,ROUND((INDEX($E747:$G747,BH$5)-SUMIFS(TF_Timer,TF_Tekniker,BH$4,TF_Dato,$A747))*2,0)/2)))</f>
        <v/>
      </c>
      <c r="BI747">
        <f>IF(OR(BI$4="",$A747&gt;TODAY()),0,IF(OR(INDEX($B747:$D747,BI$5)="F",AND(BI$6&gt;0,$A747&lt;BI$6),AND(BI$7&gt;0,$A747&gt;BI$7)),0,MAX(0,ROUND((INDEX($E747:$G747,BI$5)-SUMIFS(TF_Timer,TF_Tekniker,BI$4,TF_Dato,$A747))*2,0)/2)))</f>
        <v/>
      </c>
    </row>
    <row r="748">
      <c r="A748" s="64">
        <f>A747+1</f>
        <v/>
      </c>
      <c r="B748">
        <f>IF(MOD($A748-INDEX(SkiftStart,1),Syklus)&lt;DagK,"K",IF(MOD($A748-INDEX(SkiftStart,1),Syklus)&lt;DagK+DagH,"H",IF(MOD($A748-INDEX(SkiftStart,1),Syklus)&lt;DagK+DagH+DagD,"D","F")))</f>
        <v/>
      </c>
      <c r="C748">
        <f>IF(MOD($A748-INDEX(SkiftStart,2),Syklus)&lt;DagK,"K",IF(MOD($A748-INDEX(SkiftStart,2),Syklus)&lt;DagK+DagH,"H",IF(MOD($A748-INDEX(SkiftStart,2),Syklus)&lt;DagK+DagH+DagD,"D","F")))</f>
        <v/>
      </c>
      <c r="D748">
        <f>IF(MOD($A748-INDEX(SkiftStart,3),Syklus)&lt;DagK,"K",IF(MOD($A748-INDEX(SkiftStart,3),Syklus)&lt;DagK+DagH,"H",IF(MOD($A748-INDEX(SkiftStart,3),Syklus)&lt;DagK+DagH+DagD,"D","F")))</f>
        <v/>
      </c>
      <c r="E748">
        <f>IF(B748="F",0,IF(WEEKDAY($A748,2)=5,INDEX(TimerFr,MATCH(B748,FaseKode,0)),INDEX(TimerMT,MATCH(B748,FaseKode,0))))</f>
        <v/>
      </c>
      <c r="F748">
        <f>IF(C748="F",0,IF(WEEKDAY($A748,2)=5,INDEX(TimerFr,MATCH(C748,FaseKode,0)),INDEX(TimerMT,MATCH(C748,FaseKode,0))))</f>
        <v/>
      </c>
      <c r="G748">
        <f>IF(D748="F",0,IF(WEEKDAY($A748,2)=5,INDEX(TimerFr,MATCH(D748,FaseKode,0)),INDEX(TimerMT,MATCH(D748,FaseKode,0))))</f>
        <v/>
      </c>
      <c r="H748">
        <f>IF(OR(H$4="",$A748&gt;TODAY()),0,IF(OR(INDEX($B748:$D748,H$5)="F",AND(H$6&gt;0,$A748&lt;H$6),AND(H$7&gt;0,$A748&gt;H$7)),0,MAX(0,ROUND((INDEX($E748:$G748,H$5)-SUMIFS(TF_Timer,TF_Tekniker,H$4,TF_Dato,$A748))*2,0)/2)))</f>
        <v/>
      </c>
      <c r="I748">
        <f>IF(OR(I$4="",$A748&gt;TODAY()),0,IF(OR(INDEX($B748:$D748,I$5)="F",AND(I$6&gt;0,$A748&lt;I$6),AND(I$7&gt;0,$A748&gt;I$7)),0,MAX(0,ROUND((INDEX($E748:$G748,I$5)-SUMIFS(TF_Timer,TF_Tekniker,I$4,TF_Dato,$A748))*2,0)/2)))</f>
        <v/>
      </c>
      <c r="J748">
        <f>IF(OR(J$4="",$A748&gt;TODAY()),0,IF(OR(INDEX($B748:$D748,J$5)="F",AND(J$6&gt;0,$A748&lt;J$6),AND(J$7&gt;0,$A748&gt;J$7)),0,MAX(0,ROUND((INDEX($E748:$G748,J$5)-SUMIFS(TF_Timer,TF_Tekniker,J$4,TF_Dato,$A748))*2,0)/2)))</f>
        <v/>
      </c>
      <c r="K748">
        <f>IF(OR(K$4="",$A748&gt;TODAY()),0,IF(OR(INDEX($B748:$D748,K$5)="F",AND(K$6&gt;0,$A748&lt;K$6),AND(K$7&gt;0,$A748&gt;K$7)),0,MAX(0,ROUND((INDEX($E748:$G748,K$5)-SUMIFS(TF_Timer,TF_Tekniker,K$4,TF_Dato,$A748))*2,0)/2)))</f>
        <v/>
      </c>
      <c r="L748">
        <f>IF(OR(L$4="",$A748&gt;TODAY()),0,IF(OR(INDEX($B748:$D748,L$5)="F",AND(L$6&gt;0,$A748&lt;L$6),AND(L$7&gt;0,$A748&gt;L$7)),0,MAX(0,ROUND((INDEX($E748:$G748,L$5)-SUMIFS(TF_Timer,TF_Tekniker,L$4,TF_Dato,$A748))*2,0)/2)))</f>
        <v/>
      </c>
      <c r="M748">
        <f>IF(OR(M$4="",$A748&gt;TODAY()),0,IF(OR(INDEX($B748:$D748,M$5)="F",AND(M$6&gt;0,$A748&lt;M$6),AND(M$7&gt;0,$A748&gt;M$7)),0,MAX(0,ROUND((INDEX($E748:$G748,M$5)-SUMIFS(TF_Timer,TF_Tekniker,M$4,TF_Dato,$A748))*2,0)/2)))</f>
        <v/>
      </c>
      <c r="N748">
        <f>IF(OR(N$4="",$A748&gt;TODAY()),0,IF(OR(INDEX($B748:$D748,N$5)="F",AND(N$6&gt;0,$A748&lt;N$6),AND(N$7&gt;0,$A748&gt;N$7)),0,MAX(0,ROUND((INDEX($E748:$G748,N$5)-SUMIFS(TF_Timer,TF_Tekniker,N$4,TF_Dato,$A748))*2,0)/2)))</f>
        <v/>
      </c>
      <c r="O748">
        <f>IF(OR(O$4="",$A748&gt;TODAY()),0,IF(OR(INDEX($B748:$D748,O$5)="F",AND(O$6&gt;0,$A748&lt;O$6),AND(O$7&gt;0,$A748&gt;O$7)),0,MAX(0,ROUND((INDEX($E748:$G748,O$5)-SUMIFS(TF_Timer,TF_Tekniker,O$4,TF_Dato,$A748))*2,0)/2)))</f>
        <v/>
      </c>
      <c r="P748">
        <f>IF(OR(P$4="",$A748&gt;TODAY()),0,IF(OR(INDEX($B748:$D748,P$5)="F",AND(P$6&gt;0,$A748&lt;P$6),AND(P$7&gt;0,$A748&gt;P$7)),0,MAX(0,ROUND((INDEX($E748:$G748,P$5)-SUMIFS(TF_Timer,TF_Tekniker,P$4,TF_Dato,$A748))*2,0)/2)))</f>
        <v/>
      </c>
      <c r="Q748">
        <f>IF(OR(Q$4="",$A748&gt;TODAY()),0,IF(OR(INDEX($B748:$D748,Q$5)="F",AND(Q$6&gt;0,$A748&lt;Q$6),AND(Q$7&gt;0,$A748&gt;Q$7)),0,MAX(0,ROUND((INDEX($E748:$G748,Q$5)-SUMIFS(TF_Timer,TF_Tekniker,Q$4,TF_Dato,$A748))*2,0)/2)))</f>
        <v/>
      </c>
      <c r="R748">
        <f>IF(OR(R$4="",$A748&gt;TODAY()),0,IF(OR(INDEX($B748:$D748,R$5)="F",AND(R$6&gt;0,$A748&lt;R$6),AND(R$7&gt;0,$A748&gt;R$7)),0,MAX(0,ROUND((INDEX($E748:$G748,R$5)-SUMIFS(TF_Timer,TF_Tekniker,R$4,TF_Dato,$A748))*2,0)/2)))</f>
        <v/>
      </c>
      <c r="S748">
        <f>IF(OR(S$4="",$A748&gt;TODAY()),0,IF(OR(INDEX($B748:$D748,S$5)="F",AND(S$6&gt;0,$A748&lt;S$6),AND(S$7&gt;0,$A748&gt;S$7)),0,MAX(0,ROUND((INDEX($E748:$G748,S$5)-SUMIFS(TF_Timer,TF_Tekniker,S$4,TF_Dato,$A748))*2,0)/2)))</f>
        <v/>
      </c>
      <c r="T748">
        <f>IF(OR(T$4="",$A748&gt;TODAY()),0,IF(OR(INDEX($B748:$D748,T$5)="F",AND(T$6&gt;0,$A748&lt;T$6),AND(T$7&gt;0,$A748&gt;T$7)),0,MAX(0,ROUND((INDEX($E748:$G748,T$5)-SUMIFS(TF_Timer,TF_Tekniker,T$4,TF_Dato,$A748))*2,0)/2)))</f>
        <v/>
      </c>
      <c r="U748">
        <f>IF(OR(U$4="",$A748&gt;TODAY()),0,IF(OR(INDEX($B748:$D748,U$5)="F",AND(U$6&gt;0,$A748&lt;U$6),AND(U$7&gt;0,$A748&gt;U$7)),0,MAX(0,ROUND((INDEX($E748:$G748,U$5)-SUMIFS(TF_Timer,TF_Tekniker,U$4,TF_Dato,$A748))*2,0)/2)))</f>
        <v/>
      </c>
      <c r="V748">
        <f>IF(OR(V$4="",$A748&gt;TODAY()),0,IF(OR(INDEX($B748:$D748,V$5)="F",AND(V$6&gt;0,$A748&lt;V$6),AND(V$7&gt;0,$A748&gt;V$7)),0,MAX(0,ROUND((INDEX($E748:$G748,V$5)-SUMIFS(TF_Timer,TF_Tekniker,V$4,TF_Dato,$A748))*2,0)/2)))</f>
        <v/>
      </c>
      <c r="W748">
        <f>IF(OR(W$4="",$A748&gt;TODAY()),0,IF(OR(INDEX($B748:$D748,W$5)="F",AND(W$6&gt;0,$A748&lt;W$6),AND(W$7&gt;0,$A748&gt;W$7)),0,MAX(0,ROUND((INDEX($E748:$G748,W$5)-SUMIFS(TF_Timer,TF_Tekniker,W$4,TF_Dato,$A748))*2,0)/2)))</f>
        <v/>
      </c>
      <c r="X748">
        <f>IF(OR(X$4="",$A748&gt;TODAY()),0,IF(OR(INDEX($B748:$D748,X$5)="F",AND(X$6&gt;0,$A748&lt;X$6),AND(X$7&gt;0,$A748&gt;X$7)),0,MAX(0,ROUND((INDEX($E748:$G748,X$5)-SUMIFS(TF_Timer,TF_Tekniker,X$4,TF_Dato,$A748))*2,0)/2)))</f>
        <v/>
      </c>
      <c r="Y748">
        <f>IF(OR(Y$4="",$A748&gt;TODAY()),0,IF(OR(INDEX($B748:$D748,Y$5)="F",AND(Y$6&gt;0,$A748&lt;Y$6),AND(Y$7&gt;0,$A748&gt;Y$7)),0,MAX(0,ROUND((INDEX($E748:$G748,Y$5)-SUMIFS(TF_Timer,TF_Tekniker,Y$4,TF_Dato,$A748))*2,0)/2)))</f>
        <v/>
      </c>
      <c r="Z748">
        <f>IF(OR(Z$4="",$A748&gt;TODAY()),0,IF(OR(INDEX($B748:$D748,Z$5)="F",AND(Z$6&gt;0,$A748&lt;Z$6),AND(Z$7&gt;0,$A748&gt;Z$7)),0,MAX(0,ROUND((INDEX($E748:$G748,Z$5)-SUMIFS(TF_Timer,TF_Tekniker,Z$4,TF_Dato,$A748))*2,0)/2)))</f>
        <v/>
      </c>
      <c r="AA748">
        <f>IF(OR(AA$4="",$A748&gt;TODAY()),0,IF(OR(INDEX($B748:$D748,AA$5)="F",AND(AA$6&gt;0,$A748&lt;AA$6),AND(AA$7&gt;0,$A748&gt;AA$7)),0,MAX(0,ROUND((INDEX($E748:$G748,AA$5)-SUMIFS(TF_Timer,TF_Tekniker,AA$4,TF_Dato,$A748))*2,0)/2)))</f>
        <v/>
      </c>
      <c r="AB748">
        <f>IF(OR(AB$4="",$A748&gt;TODAY()),0,IF(OR(INDEX($B748:$D748,AB$5)="F",AND(AB$6&gt;0,$A748&lt;AB$6),AND(AB$7&gt;0,$A748&gt;AB$7)),0,MAX(0,ROUND((INDEX($E748:$G748,AB$5)-SUMIFS(TF_Timer,TF_Tekniker,AB$4,TF_Dato,$A748))*2,0)/2)))</f>
        <v/>
      </c>
      <c r="AC748">
        <f>IF(OR(AC$4="",$A748&gt;TODAY()),0,IF(OR(INDEX($B748:$D748,AC$5)="F",AND(AC$6&gt;0,$A748&lt;AC$6),AND(AC$7&gt;0,$A748&gt;AC$7)),0,MAX(0,ROUND((INDEX($E748:$G748,AC$5)-SUMIFS(TF_Timer,TF_Tekniker,AC$4,TF_Dato,$A748))*2,0)/2)))</f>
        <v/>
      </c>
      <c r="AD748">
        <f>IF(OR(AD$4="",$A748&gt;TODAY()),0,IF(OR(INDEX($B748:$D748,AD$5)="F",AND(AD$6&gt;0,$A748&lt;AD$6),AND(AD$7&gt;0,$A748&gt;AD$7)),0,MAX(0,ROUND((INDEX($E748:$G748,AD$5)-SUMIFS(TF_Timer,TF_Tekniker,AD$4,TF_Dato,$A748))*2,0)/2)))</f>
        <v/>
      </c>
      <c r="AE748">
        <f>IF(OR(AE$4="",$A748&gt;TODAY()),0,IF(OR(INDEX($B748:$D748,AE$5)="F",AND(AE$6&gt;0,$A748&lt;AE$6),AND(AE$7&gt;0,$A748&gt;AE$7)),0,MAX(0,ROUND((INDEX($E748:$G748,AE$5)-SUMIFS(TF_Timer,TF_Tekniker,AE$4,TF_Dato,$A748))*2,0)/2)))</f>
        <v/>
      </c>
      <c r="AF748">
        <f>IF(OR(AF$4="",$A748&gt;TODAY()),0,IF(OR(INDEX($B748:$D748,AF$5)="F",AND(AF$6&gt;0,$A748&lt;AF$6),AND(AF$7&gt;0,$A748&gt;AF$7)),0,MAX(0,ROUND((INDEX($E748:$G748,AF$5)-SUMIFS(TF_Timer,TF_Tekniker,AF$4,TF_Dato,$A748))*2,0)/2)))</f>
        <v/>
      </c>
      <c r="AG748">
        <f>IF(OR(AG$4="",$A748&gt;TODAY()),0,IF(OR(INDEX($B748:$D748,AG$5)="F",AND(AG$6&gt;0,$A748&lt;AG$6),AND(AG$7&gt;0,$A748&gt;AG$7)),0,MAX(0,ROUND((INDEX($E748:$G748,AG$5)-SUMIFS(TF_Timer,TF_Tekniker,AG$4,TF_Dato,$A748))*2,0)/2)))</f>
        <v/>
      </c>
      <c r="AH748">
        <f>IF(OR(AH$4="",$A748&gt;TODAY()),0,IF(OR(INDEX($B748:$D748,AH$5)="F",AND(AH$6&gt;0,$A748&lt;AH$6),AND(AH$7&gt;0,$A748&gt;AH$7)),0,MAX(0,ROUND((INDEX($E748:$G748,AH$5)-SUMIFS(TF_Timer,TF_Tekniker,AH$4,TF_Dato,$A748))*2,0)/2)))</f>
        <v/>
      </c>
      <c r="AI748">
        <f>IF(OR(AI$4="",$A748&gt;TODAY()),0,IF(OR(INDEX($B748:$D748,AI$5)="F",AND(AI$6&gt;0,$A748&lt;AI$6),AND(AI$7&gt;0,$A748&gt;AI$7)),0,MAX(0,ROUND((INDEX($E748:$G748,AI$5)-SUMIFS(TF_Timer,TF_Tekniker,AI$4,TF_Dato,$A748))*2,0)/2)))</f>
        <v/>
      </c>
      <c r="AJ748">
        <f>IF(OR(AJ$4="",$A748&gt;TODAY()),0,IF(OR(INDEX($B748:$D748,AJ$5)="F",AND(AJ$6&gt;0,$A748&lt;AJ$6),AND(AJ$7&gt;0,$A748&gt;AJ$7)),0,MAX(0,ROUND((INDEX($E748:$G748,AJ$5)-SUMIFS(TF_Timer,TF_Tekniker,AJ$4,TF_Dato,$A748))*2,0)/2)))</f>
        <v/>
      </c>
      <c r="AK748">
        <f>IF(OR(AK$4="",$A748&gt;TODAY()),0,IF(OR(INDEX($B748:$D748,AK$5)="F",AND(AK$6&gt;0,$A748&lt;AK$6),AND(AK$7&gt;0,$A748&gt;AK$7)),0,MAX(0,ROUND((INDEX($E748:$G748,AK$5)-SUMIFS(TF_Timer,TF_Tekniker,AK$4,TF_Dato,$A748))*2,0)/2)))</f>
        <v/>
      </c>
      <c r="AL748">
        <f>IF(OR(AL$4="",$A748&gt;TODAY()),0,IF(OR(INDEX($B748:$D748,AL$5)="F",AND(AL$6&gt;0,$A748&lt;AL$6),AND(AL$7&gt;0,$A748&gt;AL$7)),0,MAX(0,ROUND((INDEX($E748:$G748,AL$5)-SUMIFS(TF_Timer,TF_Tekniker,AL$4,TF_Dato,$A748))*2,0)/2)))</f>
        <v/>
      </c>
      <c r="AM748">
        <f>IF(OR(AM$4="",$A748&gt;TODAY()),0,IF(OR(INDEX($B748:$D748,AM$5)="F",AND(AM$6&gt;0,$A748&lt;AM$6),AND(AM$7&gt;0,$A748&gt;AM$7)),0,MAX(0,ROUND((INDEX($E748:$G748,AM$5)-SUMIFS(TF_Timer,TF_Tekniker,AM$4,TF_Dato,$A748))*2,0)/2)))</f>
        <v/>
      </c>
      <c r="AN748">
        <f>IF(OR(AN$4="",$A748&gt;TODAY()),0,IF(OR(INDEX($B748:$D748,AN$5)="F",AND(AN$6&gt;0,$A748&lt;AN$6),AND(AN$7&gt;0,$A748&gt;AN$7)),0,MAX(0,ROUND((INDEX($E748:$G748,AN$5)-SUMIFS(TF_Timer,TF_Tekniker,AN$4,TF_Dato,$A748))*2,0)/2)))</f>
        <v/>
      </c>
      <c r="AO748">
        <f>IF(OR(AO$4="",$A748&gt;TODAY()),0,IF(OR(INDEX($B748:$D748,AO$5)="F",AND(AO$6&gt;0,$A748&lt;AO$6),AND(AO$7&gt;0,$A748&gt;AO$7)),0,MAX(0,ROUND((INDEX($E748:$G748,AO$5)-SUMIFS(TF_Timer,TF_Tekniker,AO$4,TF_Dato,$A748))*2,0)/2)))</f>
        <v/>
      </c>
      <c r="AP748">
        <f>IF(OR(AP$4="",$A748&gt;TODAY()),0,IF(OR(INDEX($B748:$D748,AP$5)="F",AND(AP$6&gt;0,$A748&lt;AP$6),AND(AP$7&gt;0,$A748&gt;AP$7)),0,MAX(0,ROUND((INDEX($E748:$G748,AP$5)-SUMIFS(TF_Timer,TF_Tekniker,AP$4,TF_Dato,$A748))*2,0)/2)))</f>
        <v/>
      </c>
      <c r="AQ748">
        <f>IF(OR(AQ$4="",$A748&gt;TODAY()),0,IF(OR(INDEX($B748:$D748,AQ$5)="F",AND(AQ$6&gt;0,$A748&lt;AQ$6),AND(AQ$7&gt;0,$A748&gt;AQ$7)),0,MAX(0,ROUND((INDEX($E748:$G748,AQ$5)-SUMIFS(TF_Timer,TF_Tekniker,AQ$4,TF_Dato,$A748))*2,0)/2)))</f>
        <v/>
      </c>
      <c r="AR748">
        <f>IF(OR(AR$4="",$A748&gt;TODAY()),0,IF(OR(INDEX($B748:$D748,AR$5)="F",AND(AR$6&gt;0,$A748&lt;AR$6),AND(AR$7&gt;0,$A748&gt;AR$7)),0,MAX(0,ROUND((INDEX($E748:$G748,AR$5)-SUMIFS(TF_Timer,TF_Tekniker,AR$4,TF_Dato,$A748))*2,0)/2)))</f>
        <v/>
      </c>
      <c r="AS748">
        <f>IF(OR(AS$4="",$A748&gt;TODAY()),0,IF(OR(INDEX($B748:$D748,AS$5)="F",AND(AS$6&gt;0,$A748&lt;AS$6),AND(AS$7&gt;0,$A748&gt;AS$7)),0,MAX(0,ROUND((INDEX($E748:$G748,AS$5)-SUMIFS(TF_Timer,TF_Tekniker,AS$4,TF_Dato,$A748))*2,0)/2)))</f>
        <v/>
      </c>
      <c r="AT748">
        <f>IF(OR(AT$4="",$A748&gt;TODAY()),0,IF(OR(INDEX($B748:$D748,AT$5)="F",AND(AT$6&gt;0,$A748&lt;AT$6),AND(AT$7&gt;0,$A748&gt;AT$7)),0,MAX(0,ROUND((INDEX($E748:$G748,AT$5)-SUMIFS(TF_Timer,TF_Tekniker,AT$4,TF_Dato,$A748))*2,0)/2)))</f>
        <v/>
      </c>
      <c r="AU748">
        <f>IF(OR(AU$4="",$A748&gt;TODAY()),0,IF(OR(INDEX($B748:$D748,AU$5)="F",AND(AU$6&gt;0,$A748&lt;AU$6),AND(AU$7&gt;0,$A748&gt;AU$7)),0,MAX(0,ROUND((INDEX($E748:$G748,AU$5)-SUMIFS(TF_Timer,TF_Tekniker,AU$4,TF_Dato,$A748))*2,0)/2)))</f>
        <v/>
      </c>
      <c r="AV748">
        <f>IF(OR(AV$4="",$A748&gt;TODAY()),0,IF(OR(INDEX($B748:$D748,AV$5)="F",AND(AV$6&gt;0,$A748&lt;AV$6),AND(AV$7&gt;0,$A748&gt;AV$7)),0,MAX(0,ROUND((INDEX($E748:$G748,AV$5)-SUMIFS(TF_Timer,TF_Tekniker,AV$4,TF_Dato,$A748))*2,0)/2)))</f>
        <v/>
      </c>
      <c r="AW748">
        <f>IF(OR(AW$4="",$A748&gt;TODAY()),0,IF(OR(INDEX($B748:$D748,AW$5)="F",AND(AW$6&gt;0,$A748&lt;AW$6),AND(AW$7&gt;0,$A748&gt;AW$7)),0,MAX(0,ROUND((INDEX($E748:$G748,AW$5)-SUMIFS(TF_Timer,TF_Tekniker,AW$4,TF_Dato,$A748))*2,0)/2)))</f>
        <v/>
      </c>
      <c r="AX748">
        <f>IF(OR(AX$4="",$A748&gt;TODAY()),0,IF(OR(INDEX($B748:$D748,AX$5)="F",AND(AX$6&gt;0,$A748&lt;AX$6),AND(AX$7&gt;0,$A748&gt;AX$7)),0,MAX(0,ROUND((INDEX($E748:$G748,AX$5)-SUMIFS(TF_Timer,TF_Tekniker,AX$4,TF_Dato,$A748))*2,0)/2)))</f>
        <v/>
      </c>
      <c r="AY748">
        <f>IF(OR(AY$4="",$A748&gt;TODAY()),0,IF(OR(INDEX($B748:$D748,AY$5)="F",AND(AY$6&gt;0,$A748&lt;AY$6),AND(AY$7&gt;0,$A748&gt;AY$7)),0,MAX(0,ROUND((INDEX($E748:$G748,AY$5)-SUMIFS(TF_Timer,TF_Tekniker,AY$4,TF_Dato,$A748))*2,0)/2)))</f>
        <v/>
      </c>
      <c r="AZ748">
        <f>IF(OR(AZ$4="",$A748&gt;TODAY()),0,IF(OR(INDEX($B748:$D748,AZ$5)="F",AND(AZ$6&gt;0,$A748&lt;AZ$6),AND(AZ$7&gt;0,$A748&gt;AZ$7)),0,MAX(0,ROUND((INDEX($E748:$G748,AZ$5)-SUMIFS(TF_Timer,TF_Tekniker,AZ$4,TF_Dato,$A748))*2,0)/2)))</f>
        <v/>
      </c>
      <c r="BA748">
        <f>IF(OR(BA$4="",$A748&gt;TODAY()),0,IF(OR(INDEX($B748:$D748,BA$5)="F",AND(BA$6&gt;0,$A748&lt;BA$6),AND(BA$7&gt;0,$A748&gt;BA$7)),0,MAX(0,ROUND((INDEX($E748:$G748,BA$5)-SUMIFS(TF_Timer,TF_Tekniker,BA$4,TF_Dato,$A748))*2,0)/2)))</f>
        <v/>
      </c>
      <c r="BB748">
        <f>IF(OR(BB$4="",$A748&gt;TODAY()),0,IF(OR(INDEX($B748:$D748,BB$5)="F",AND(BB$6&gt;0,$A748&lt;BB$6),AND(BB$7&gt;0,$A748&gt;BB$7)),0,MAX(0,ROUND((INDEX($E748:$G748,BB$5)-SUMIFS(TF_Timer,TF_Tekniker,BB$4,TF_Dato,$A748))*2,0)/2)))</f>
        <v/>
      </c>
      <c r="BC748">
        <f>IF(OR(BC$4="",$A748&gt;TODAY()),0,IF(OR(INDEX($B748:$D748,BC$5)="F",AND(BC$6&gt;0,$A748&lt;BC$6),AND(BC$7&gt;0,$A748&gt;BC$7)),0,MAX(0,ROUND((INDEX($E748:$G748,BC$5)-SUMIFS(TF_Timer,TF_Tekniker,BC$4,TF_Dato,$A748))*2,0)/2)))</f>
        <v/>
      </c>
      <c r="BD748">
        <f>IF(OR(BD$4="",$A748&gt;TODAY()),0,IF(OR(INDEX($B748:$D748,BD$5)="F",AND(BD$6&gt;0,$A748&lt;BD$6),AND(BD$7&gt;0,$A748&gt;BD$7)),0,MAX(0,ROUND((INDEX($E748:$G748,BD$5)-SUMIFS(TF_Timer,TF_Tekniker,BD$4,TF_Dato,$A748))*2,0)/2)))</f>
        <v/>
      </c>
      <c r="BE748">
        <f>IF(OR(BE$4="",$A748&gt;TODAY()),0,IF(OR(INDEX($B748:$D748,BE$5)="F",AND(BE$6&gt;0,$A748&lt;BE$6),AND(BE$7&gt;0,$A748&gt;BE$7)),0,MAX(0,ROUND((INDEX($E748:$G748,BE$5)-SUMIFS(TF_Timer,TF_Tekniker,BE$4,TF_Dato,$A748))*2,0)/2)))</f>
        <v/>
      </c>
      <c r="BF748">
        <f>IF(OR(BF$4="",$A748&gt;TODAY()),0,IF(OR(INDEX($B748:$D748,BF$5)="F",AND(BF$6&gt;0,$A748&lt;BF$6),AND(BF$7&gt;0,$A748&gt;BF$7)),0,MAX(0,ROUND((INDEX($E748:$G748,BF$5)-SUMIFS(TF_Timer,TF_Tekniker,BF$4,TF_Dato,$A748))*2,0)/2)))</f>
        <v/>
      </c>
      <c r="BG748">
        <f>IF(OR(BG$4="",$A748&gt;TODAY()),0,IF(OR(INDEX($B748:$D748,BG$5)="F",AND(BG$6&gt;0,$A748&lt;BG$6),AND(BG$7&gt;0,$A748&gt;BG$7)),0,MAX(0,ROUND((INDEX($E748:$G748,BG$5)-SUMIFS(TF_Timer,TF_Tekniker,BG$4,TF_Dato,$A748))*2,0)/2)))</f>
        <v/>
      </c>
      <c r="BH748">
        <f>IF(OR(BH$4="",$A748&gt;TODAY()),0,IF(OR(INDEX($B748:$D748,BH$5)="F",AND(BH$6&gt;0,$A748&lt;BH$6),AND(BH$7&gt;0,$A748&gt;BH$7)),0,MAX(0,ROUND((INDEX($E748:$G748,BH$5)-SUMIFS(TF_Timer,TF_Tekniker,BH$4,TF_Dato,$A748))*2,0)/2)))</f>
        <v/>
      </c>
      <c r="BI748">
        <f>IF(OR(BI$4="",$A748&gt;TODAY()),0,IF(OR(INDEX($B748:$D748,BI$5)="F",AND(BI$6&gt;0,$A748&lt;BI$6),AND(BI$7&gt;0,$A748&gt;BI$7)),0,MAX(0,ROUND((INDEX($E748:$G748,BI$5)-SUMIFS(TF_Timer,TF_Tekniker,BI$4,TF_Dato,$A748))*2,0)/2)))</f>
        <v/>
      </c>
    </row>
    <row r="749">
      <c r="A749" s="64">
        <f>A748+1</f>
        <v/>
      </c>
      <c r="B749">
        <f>IF(MOD($A749-INDEX(SkiftStart,1),Syklus)&lt;DagK,"K",IF(MOD($A749-INDEX(SkiftStart,1),Syklus)&lt;DagK+DagH,"H",IF(MOD($A749-INDEX(SkiftStart,1),Syklus)&lt;DagK+DagH+DagD,"D","F")))</f>
        <v/>
      </c>
      <c r="C749">
        <f>IF(MOD($A749-INDEX(SkiftStart,2),Syklus)&lt;DagK,"K",IF(MOD($A749-INDEX(SkiftStart,2),Syklus)&lt;DagK+DagH,"H",IF(MOD($A749-INDEX(SkiftStart,2),Syklus)&lt;DagK+DagH+DagD,"D","F")))</f>
        <v/>
      </c>
      <c r="D749">
        <f>IF(MOD($A749-INDEX(SkiftStart,3),Syklus)&lt;DagK,"K",IF(MOD($A749-INDEX(SkiftStart,3),Syklus)&lt;DagK+DagH,"H",IF(MOD($A749-INDEX(SkiftStart,3),Syklus)&lt;DagK+DagH+DagD,"D","F")))</f>
        <v/>
      </c>
      <c r="E749">
        <f>IF(B749="F",0,IF(WEEKDAY($A749,2)=5,INDEX(TimerFr,MATCH(B749,FaseKode,0)),INDEX(TimerMT,MATCH(B749,FaseKode,0))))</f>
        <v/>
      </c>
      <c r="F749">
        <f>IF(C749="F",0,IF(WEEKDAY($A749,2)=5,INDEX(TimerFr,MATCH(C749,FaseKode,0)),INDEX(TimerMT,MATCH(C749,FaseKode,0))))</f>
        <v/>
      </c>
      <c r="G749">
        <f>IF(D749="F",0,IF(WEEKDAY($A749,2)=5,INDEX(TimerFr,MATCH(D749,FaseKode,0)),INDEX(TimerMT,MATCH(D749,FaseKode,0))))</f>
        <v/>
      </c>
      <c r="H749">
        <f>IF(OR(H$4="",$A749&gt;TODAY()),0,IF(OR(INDEX($B749:$D749,H$5)="F",AND(H$6&gt;0,$A749&lt;H$6),AND(H$7&gt;0,$A749&gt;H$7)),0,MAX(0,ROUND((INDEX($E749:$G749,H$5)-SUMIFS(TF_Timer,TF_Tekniker,H$4,TF_Dato,$A749))*2,0)/2)))</f>
        <v/>
      </c>
      <c r="I749">
        <f>IF(OR(I$4="",$A749&gt;TODAY()),0,IF(OR(INDEX($B749:$D749,I$5)="F",AND(I$6&gt;0,$A749&lt;I$6),AND(I$7&gt;0,$A749&gt;I$7)),0,MAX(0,ROUND((INDEX($E749:$G749,I$5)-SUMIFS(TF_Timer,TF_Tekniker,I$4,TF_Dato,$A749))*2,0)/2)))</f>
        <v/>
      </c>
      <c r="J749">
        <f>IF(OR(J$4="",$A749&gt;TODAY()),0,IF(OR(INDEX($B749:$D749,J$5)="F",AND(J$6&gt;0,$A749&lt;J$6),AND(J$7&gt;0,$A749&gt;J$7)),0,MAX(0,ROUND((INDEX($E749:$G749,J$5)-SUMIFS(TF_Timer,TF_Tekniker,J$4,TF_Dato,$A749))*2,0)/2)))</f>
        <v/>
      </c>
      <c r="K749">
        <f>IF(OR(K$4="",$A749&gt;TODAY()),0,IF(OR(INDEX($B749:$D749,K$5)="F",AND(K$6&gt;0,$A749&lt;K$6),AND(K$7&gt;0,$A749&gt;K$7)),0,MAX(0,ROUND((INDEX($E749:$G749,K$5)-SUMIFS(TF_Timer,TF_Tekniker,K$4,TF_Dato,$A749))*2,0)/2)))</f>
        <v/>
      </c>
      <c r="L749">
        <f>IF(OR(L$4="",$A749&gt;TODAY()),0,IF(OR(INDEX($B749:$D749,L$5)="F",AND(L$6&gt;0,$A749&lt;L$6),AND(L$7&gt;0,$A749&gt;L$7)),0,MAX(0,ROUND((INDEX($E749:$G749,L$5)-SUMIFS(TF_Timer,TF_Tekniker,L$4,TF_Dato,$A749))*2,0)/2)))</f>
        <v/>
      </c>
      <c r="M749">
        <f>IF(OR(M$4="",$A749&gt;TODAY()),0,IF(OR(INDEX($B749:$D749,M$5)="F",AND(M$6&gt;0,$A749&lt;M$6),AND(M$7&gt;0,$A749&gt;M$7)),0,MAX(0,ROUND((INDEX($E749:$G749,M$5)-SUMIFS(TF_Timer,TF_Tekniker,M$4,TF_Dato,$A749))*2,0)/2)))</f>
        <v/>
      </c>
      <c r="N749">
        <f>IF(OR(N$4="",$A749&gt;TODAY()),0,IF(OR(INDEX($B749:$D749,N$5)="F",AND(N$6&gt;0,$A749&lt;N$6),AND(N$7&gt;0,$A749&gt;N$7)),0,MAX(0,ROUND((INDEX($E749:$G749,N$5)-SUMIFS(TF_Timer,TF_Tekniker,N$4,TF_Dato,$A749))*2,0)/2)))</f>
        <v/>
      </c>
      <c r="O749">
        <f>IF(OR(O$4="",$A749&gt;TODAY()),0,IF(OR(INDEX($B749:$D749,O$5)="F",AND(O$6&gt;0,$A749&lt;O$6),AND(O$7&gt;0,$A749&gt;O$7)),0,MAX(0,ROUND((INDEX($E749:$G749,O$5)-SUMIFS(TF_Timer,TF_Tekniker,O$4,TF_Dato,$A749))*2,0)/2)))</f>
        <v/>
      </c>
      <c r="P749">
        <f>IF(OR(P$4="",$A749&gt;TODAY()),0,IF(OR(INDEX($B749:$D749,P$5)="F",AND(P$6&gt;0,$A749&lt;P$6),AND(P$7&gt;0,$A749&gt;P$7)),0,MAX(0,ROUND((INDEX($E749:$G749,P$5)-SUMIFS(TF_Timer,TF_Tekniker,P$4,TF_Dato,$A749))*2,0)/2)))</f>
        <v/>
      </c>
      <c r="Q749">
        <f>IF(OR(Q$4="",$A749&gt;TODAY()),0,IF(OR(INDEX($B749:$D749,Q$5)="F",AND(Q$6&gt;0,$A749&lt;Q$6),AND(Q$7&gt;0,$A749&gt;Q$7)),0,MAX(0,ROUND((INDEX($E749:$G749,Q$5)-SUMIFS(TF_Timer,TF_Tekniker,Q$4,TF_Dato,$A749))*2,0)/2)))</f>
        <v/>
      </c>
      <c r="R749">
        <f>IF(OR(R$4="",$A749&gt;TODAY()),0,IF(OR(INDEX($B749:$D749,R$5)="F",AND(R$6&gt;0,$A749&lt;R$6),AND(R$7&gt;0,$A749&gt;R$7)),0,MAX(0,ROUND((INDEX($E749:$G749,R$5)-SUMIFS(TF_Timer,TF_Tekniker,R$4,TF_Dato,$A749))*2,0)/2)))</f>
        <v/>
      </c>
      <c r="S749">
        <f>IF(OR(S$4="",$A749&gt;TODAY()),0,IF(OR(INDEX($B749:$D749,S$5)="F",AND(S$6&gt;0,$A749&lt;S$6),AND(S$7&gt;0,$A749&gt;S$7)),0,MAX(0,ROUND((INDEX($E749:$G749,S$5)-SUMIFS(TF_Timer,TF_Tekniker,S$4,TF_Dato,$A749))*2,0)/2)))</f>
        <v/>
      </c>
      <c r="T749">
        <f>IF(OR(T$4="",$A749&gt;TODAY()),0,IF(OR(INDEX($B749:$D749,T$5)="F",AND(T$6&gt;0,$A749&lt;T$6),AND(T$7&gt;0,$A749&gt;T$7)),0,MAX(0,ROUND((INDEX($E749:$G749,T$5)-SUMIFS(TF_Timer,TF_Tekniker,T$4,TF_Dato,$A749))*2,0)/2)))</f>
        <v/>
      </c>
      <c r="U749">
        <f>IF(OR(U$4="",$A749&gt;TODAY()),0,IF(OR(INDEX($B749:$D749,U$5)="F",AND(U$6&gt;0,$A749&lt;U$6),AND(U$7&gt;0,$A749&gt;U$7)),0,MAX(0,ROUND((INDEX($E749:$G749,U$5)-SUMIFS(TF_Timer,TF_Tekniker,U$4,TF_Dato,$A749))*2,0)/2)))</f>
        <v/>
      </c>
      <c r="V749">
        <f>IF(OR(V$4="",$A749&gt;TODAY()),0,IF(OR(INDEX($B749:$D749,V$5)="F",AND(V$6&gt;0,$A749&lt;V$6),AND(V$7&gt;0,$A749&gt;V$7)),0,MAX(0,ROUND((INDEX($E749:$G749,V$5)-SUMIFS(TF_Timer,TF_Tekniker,V$4,TF_Dato,$A749))*2,0)/2)))</f>
        <v/>
      </c>
      <c r="W749">
        <f>IF(OR(W$4="",$A749&gt;TODAY()),0,IF(OR(INDEX($B749:$D749,W$5)="F",AND(W$6&gt;0,$A749&lt;W$6),AND(W$7&gt;0,$A749&gt;W$7)),0,MAX(0,ROUND((INDEX($E749:$G749,W$5)-SUMIFS(TF_Timer,TF_Tekniker,W$4,TF_Dato,$A749))*2,0)/2)))</f>
        <v/>
      </c>
      <c r="X749">
        <f>IF(OR(X$4="",$A749&gt;TODAY()),0,IF(OR(INDEX($B749:$D749,X$5)="F",AND(X$6&gt;0,$A749&lt;X$6),AND(X$7&gt;0,$A749&gt;X$7)),0,MAX(0,ROUND((INDEX($E749:$G749,X$5)-SUMIFS(TF_Timer,TF_Tekniker,X$4,TF_Dato,$A749))*2,0)/2)))</f>
        <v/>
      </c>
      <c r="Y749">
        <f>IF(OR(Y$4="",$A749&gt;TODAY()),0,IF(OR(INDEX($B749:$D749,Y$5)="F",AND(Y$6&gt;0,$A749&lt;Y$6),AND(Y$7&gt;0,$A749&gt;Y$7)),0,MAX(0,ROUND((INDEX($E749:$G749,Y$5)-SUMIFS(TF_Timer,TF_Tekniker,Y$4,TF_Dato,$A749))*2,0)/2)))</f>
        <v/>
      </c>
      <c r="Z749">
        <f>IF(OR(Z$4="",$A749&gt;TODAY()),0,IF(OR(INDEX($B749:$D749,Z$5)="F",AND(Z$6&gt;0,$A749&lt;Z$6),AND(Z$7&gt;0,$A749&gt;Z$7)),0,MAX(0,ROUND((INDEX($E749:$G749,Z$5)-SUMIFS(TF_Timer,TF_Tekniker,Z$4,TF_Dato,$A749))*2,0)/2)))</f>
        <v/>
      </c>
      <c r="AA749">
        <f>IF(OR(AA$4="",$A749&gt;TODAY()),0,IF(OR(INDEX($B749:$D749,AA$5)="F",AND(AA$6&gt;0,$A749&lt;AA$6),AND(AA$7&gt;0,$A749&gt;AA$7)),0,MAX(0,ROUND((INDEX($E749:$G749,AA$5)-SUMIFS(TF_Timer,TF_Tekniker,AA$4,TF_Dato,$A749))*2,0)/2)))</f>
        <v/>
      </c>
      <c r="AB749">
        <f>IF(OR(AB$4="",$A749&gt;TODAY()),0,IF(OR(INDEX($B749:$D749,AB$5)="F",AND(AB$6&gt;0,$A749&lt;AB$6),AND(AB$7&gt;0,$A749&gt;AB$7)),0,MAX(0,ROUND((INDEX($E749:$G749,AB$5)-SUMIFS(TF_Timer,TF_Tekniker,AB$4,TF_Dato,$A749))*2,0)/2)))</f>
        <v/>
      </c>
      <c r="AC749">
        <f>IF(OR(AC$4="",$A749&gt;TODAY()),0,IF(OR(INDEX($B749:$D749,AC$5)="F",AND(AC$6&gt;0,$A749&lt;AC$6),AND(AC$7&gt;0,$A749&gt;AC$7)),0,MAX(0,ROUND((INDEX($E749:$G749,AC$5)-SUMIFS(TF_Timer,TF_Tekniker,AC$4,TF_Dato,$A749))*2,0)/2)))</f>
        <v/>
      </c>
      <c r="AD749">
        <f>IF(OR(AD$4="",$A749&gt;TODAY()),0,IF(OR(INDEX($B749:$D749,AD$5)="F",AND(AD$6&gt;0,$A749&lt;AD$6),AND(AD$7&gt;0,$A749&gt;AD$7)),0,MAX(0,ROUND((INDEX($E749:$G749,AD$5)-SUMIFS(TF_Timer,TF_Tekniker,AD$4,TF_Dato,$A749))*2,0)/2)))</f>
        <v/>
      </c>
      <c r="AE749">
        <f>IF(OR(AE$4="",$A749&gt;TODAY()),0,IF(OR(INDEX($B749:$D749,AE$5)="F",AND(AE$6&gt;0,$A749&lt;AE$6),AND(AE$7&gt;0,$A749&gt;AE$7)),0,MAX(0,ROUND((INDEX($E749:$G749,AE$5)-SUMIFS(TF_Timer,TF_Tekniker,AE$4,TF_Dato,$A749))*2,0)/2)))</f>
        <v/>
      </c>
      <c r="AF749">
        <f>IF(OR(AF$4="",$A749&gt;TODAY()),0,IF(OR(INDEX($B749:$D749,AF$5)="F",AND(AF$6&gt;0,$A749&lt;AF$6),AND(AF$7&gt;0,$A749&gt;AF$7)),0,MAX(0,ROUND((INDEX($E749:$G749,AF$5)-SUMIFS(TF_Timer,TF_Tekniker,AF$4,TF_Dato,$A749))*2,0)/2)))</f>
        <v/>
      </c>
      <c r="AG749">
        <f>IF(OR(AG$4="",$A749&gt;TODAY()),0,IF(OR(INDEX($B749:$D749,AG$5)="F",AND(AG$6&gt;0,$A749&lt;AG$6),AND(AG$7&gt;0,$A749&gt;AG$7)),0,MAX(0,ROUND((INDEX($E749:$G749,AG$5)-SUMIFS(TF_Timer,TF_Tekniker,AG$4,TF_Dato,$A749))*2,0)/2)))</f>
        <v/>
      </c>
      <c r="AH749">
        <f>IF(OR(AH$4="",$A749&gt;TODAY()),0,IF(OR(INDEX($B749:$D749,AH$5)="F",AND(AH$6&gt;0,$A749&lt;AH$6),AND(AH$7&gt;0,$A749&gt;AH$7)),0,MAX(0,ROUND((INDEX($E749:$G749,AH$5)-SUMIFS(TF_Timer,TF_Tekniker,AH$4,TF_Dato,$A749))*2,0)/2)))</f>
        <v/>
      </c>
      <c r="AI749">
        <f>IF(OR(AI$4="",$A749&gt;TODAY()),0,IF(OR(INDEX($B749:$D749,AI$5)="F",AND(AI$6&gt;0,$A749&lt;AI$6),AND(AI$7&gt;0,$A749&gt;AI$7)),0,MAX(0,ROUND((INDEX($E749:$G749,AI$5)-SUMIFS(TF_Timer,TF_Tekniker,AI$4,TF_Dato,$A749))*2,0)/2)))</f>
        <v/>
      </c>
      <c r="AJ749">
        <f>IF(OR(AJ$4="",$A749&gt;TODAY()),0,IF(OR(INDEX($B749:$D749,AJ$5)="F",AND(AJ$6&gt;0,$A749&lt;AJ$6),AND(AJ$7&gt;0,$A749&gt;AJ$7)),0,MAX(0,ROUND((INDEX($E749:$G749,AJ$5)-SUMIFS(TF_Timer,TF_Tekniker,AJ$4,TF_Dato,$A749))*2,0)/2)))</f>
        <v/>
      </c>
      <c r="AK749">
        <f>IF(OR(AK$4="",$A749&gt;TODAY()),0,IF(OR(INDEX($B749:$D749,AK$5)="F",AND(AK$6&gt;0,$A749&lt;AK$6),AND(AK$7&gt;0,$A749&gt;AK$7)),0,MAX(0,ROUND((INDEX($E749:$G749,AK$5)-SUMIFS(TF_Timer,TF_Tekniker,AK$4,TF_Dato,$A749))*2,0)/2)))</f>
        <v/>
      </c>
      <c r="AL749">
        <f>IF(OR(AL$4="",$A749&gt;TODAY()),0,IF(OR(INDEX($B749:$D749,AL$5)="F",AND(AL$6&gt;0,$A749&lt;AL$6),AND(AL$7&gt;0,$A749&gt;AL$7)),0,MAX(0,ROUND((INDEX($E749:$G749,AL$5)-SUMIFS(TF_Timer,TF_Tekniker,AL$4,TF_Dato,$A749))*2,0)/2)))</f>
        <v/>
      </c>
      <c r="AM749">
        <f>IF(OR(AM$4="",$A749&gt;TODAY()),0,IF(OR(INDEX($B749:$D749,AM$5)="F",AND(AM$6&gt;0,$A749&lt;AM$6),AND(AM$7&gt;0,$A749&gt;AM$7)),0,MAX(0,ROUND((INDEX($E749:$G749,AM$5)-SUMIFS(TF_Timer,TF_Tekniker,AM$4,TF_Dato,$A749))*2,0)/2)))</f>
        <v/>
      </c>
      <c r="AN749">
        <f>IF(OR(AN$4="",$A749&gt;TODAY()),0,IF(OR(INDEX($B749:$D749,AN$5)="F",AND(AN$6&gt;0,$A749&lt;AN$6),AND(AN$7&gt;0,$A749&gt;AN$7)),0,MAX(0,ROUND((INDEX($E749:$G749,AN$5)-SUMIFS(TF_Timer,TF_Tekniker,AN$4,TF_Dato,$A749))*2,0)/2)))</f>
        <v/>
      </c>
      <c r="AO749">
        <f>IF(OR(AO$4="",$A749&gt;TODAY()),0,IF(OR(INDEX($B749:$D749,AO$5)="F",AND(AO$6&gt;0,$A749&lt;AO$6),AND(AO$7&gt;0,$A749&gt;AO$7)),0,MAX(0,ROUND((INDEX($E749:$G749,AO$5)-SUMIFS(TF_Timer,TF_Tekniker,AO$4,TF_Dato,$A749))*2,0)/2)))</f>
        <v/>
      </c>
      <c r="AP749">
        <f>IF(OR(AP$4="",$A749&gt;TODAY()),0,IF(OR(INDEX($B749:$D749,AP$5)="F",AND(AP$6&gt;0,$A749&lt;AP$6),AND(AP$7&gt;0,$A749&gt;AP$7)),0,MAX(0,ROUND((INDEX($E749:$G749,AP$5)-SUMIFS(TF_Timer,TF_Tekniker,AP$4,TF_Dato,$A749))*2,0)/2)))</f>
        <v/>
      </c>
      <c r="AQ749">
        <f>IF(OR(AQ$4="",$A749&gt;TODAY()),0,IF(OR(INDEX($B749:$D749,AQ$5)="F",AND(AQ$6&gt;0,$A749&lt;AQ$6),AND(AQ$7&gt;0,$A749&gt;AQ$7)),0,MAX(0,ROUND((INDEX($E749:$G749,AQ$5)-SUMIFS(TF_Timer,TF_Tekniker,AQ$4,TF_Dato,$A749))*2,0)/2)))</f>
        <v/>
      </c>
      <c r="AR749">
        <f>IF(OR(AR$4="",$A749&gt;TODAY()),0,IF(OR(INDEX($B749:$D749,AR$5)="F",AND(AR$6&gt;0,$A749&lt;AR$6),AND(AR$7&gt;0,$A749&gt;AR$7)),0,MAX(0,ROUND((INDEX($E749:$G749,AR$5)-SUMIFS(TF_Timer,TF_Tekniker,AR$4,TF_Dato,$A749))*2,0)/2)))</f>
        <v/>
      </c>
      <c r="AS749">
        <f>IF(OR(AS$4="",$A749&gt;TODAY()),0,IF(OR(INDEX($B749:$D749,AS$5)="F",AND(AS$6&gt;0,$A749&lt;AS$6),AND(AS$7&gt;0,$A749&gt;AS$7)),0,MAX(0,ROUND((INDEX($E749:$G749,AS$5)-SUMIFS(TF_Timer,TF_Tekniker,AS$4,TF_Dato,$A749))*2,0)/2)))</f>
        <v/>
      </c>
      <c r="AT749">
        <f>IF(OR(AT$4="",$A749&gt;TODAY()),0,IF(OR(INDEX($B749:$D749,AT$5)="F",AND(AT$6&gt;0,$A749&lt;AT$6),AND(AT$7&gt;0,$A749&gt;AT$7)),0,MAX(0,ROUND((INDEX($E749:$G749,AT$5)-SUMIFS(TF_Timer,TF_Tekniker,AT$4,TF_Dato,$A749))*2,0)/2)))</f>
        <v/>
      </c>
      <c r="AU749">
        <f>IF(OR(AU$4="",$A749&gt;TODAY()),0,IF(OR(INDEX($B749:$D749,AU$5)="F",AND(AU$6&gt;0,$A749&lt;AU$6),AND(AU$7&gt;0,$A749&gt;AU$7)),0,MAX(0,ROUND((INDEX($E749:$G749,AU$5)-SUMIFS(TF_Timer,TF_Tekniker,AU$4,TF_Dato,$A749))*2,0)/2)))</f>
        <v/>
      </c>
      <c r="AV749">
        <f>IF(OR(AV$4="",$A749&gt;TODAY()),0,IF(OR(INDEX($B749:$D749,AV$5)="F",AND(AV$6&gt;0,$A749&lt;AV$6),AND(AV$7&gt;0,$A749&gt;AV$7)),0,MAX(0,ROUND((INDEX($E749:$G749,AV$5)-SUMIFS(TF_Timer,TF_Tekniker,AV$4,TF_Dato,$A749))*2,0)/2)))</f>
        <v/>
      </c>
      <c r="AW749">
        <f>IF(OR(AW$4="",$A749&gt;TODAY()),0,IF(OR(INDEX($B749:$D749,AW$5)="F",AND(AW$6&gt;0,$A749&lt;AW$6),AND(AW$7&gt;0,$A749&gt;AW$7)),0,MAX(0,ROUND((INDEX($E749:$G749,AW$5)-SUMIFS(TF_Timer,TF_Tekniker,AW$4,TF_Dato,$A749))*2,0)/2)))</f>
        <v/>
      </c>
      <c r="AX749">
        <f>IF(OR(AX$4="",$A749&gt;TODAY()),0,IF(OR(INDEX($B749:$D749,AX$5)="F",AND(AX$6&gt;0,$A749&lt;AX$6),AND(AX$7&gt;0,$A749&gt;AX$7)),0,MAX(0,ROUND((INDEX($E749:$G749,AX$5)-SUMIFS(TF_Timer,TF_Tekniker,AX$4,TF_Dato,$A749))*2,0)/2)))</f>
        <v/>
      </c>
      <c r="AY749">
        <f>IF(OR(AY$4="",$A749&gt;TODAY()),0,IF(OR(INDEX($B749:$D749,AY$5)="F",AND(AY$6&gt;0,$A749&lt;AY$6),AND(AY$7&gt;0,$A749&gt;AY$7)),0,MAX(0,ROUND((INDEX($E749:$G749,AY$5)-SUMIFS(TF_Timer,TF_Tekniker,AY$4,TF_Dato,$A749))*2,0)/2)))</f>
        <v/>
      </c>
      <c r="AZ749">
        <f>IF(OR(AZ$4="",$A749&gt;TODAY()),0,IF(OR(INDEX($B749:$D749,AZ$5)="F",AND(AZ$6&gt;0,$A749&lt;AZ$6),AND(AZ$7&gt;0,$A749&gt;AZ$7)),0,MAX(0,ROUND((INDEX($E749:$G749,AZ$5)-SUMIFS(TF_Timer,TF_Tekniker,AZ$4,TF_Dato,$A749))*2,0)/2)))</f>
        <v/>
      </c>
      <c r="BA749">
        <f>IF(OR(BA$4="",$A749&gt;TODAY()),0,IF(OR(INDEX($B749:$D749,BA$5)="F",AND(BA$6&gt;0,$A749&lt;BA$6),AND(BA$7&gt;0,$A749&gt;BA$7)),0,MAX(0,ROUND((INDEX($E749:$G749,BA$5)-SUMIFS(TF_Timer,TF_Tekniker,BA$4,TF_Dato,$A749))*2,0)/2)))</f>
        <v/>
      </c>
      <c r="BB749">
        <f>IF(OR(BB$4="",$A749&gt;TODAY()),0,IF(OR(INDEX($B749:$D749,BB$5)="F",AND(BB$6&gt;0,$A749&lt;BB$6),AND(BB$7&gt;0,$A749&gt;BB$7)),0,MAX(0,ROUND((INDEX($E749:$G749,BB$5)-SUMIFS(TF_Timer,TF_Tekniker,BB$4,TF_Dato,$A749))*2,0)/2)))</f>
        <v/>
      </c>
      <c r="BC749">
        <f>IF(OR(BC$4="",$A749&gt;TODAY()),0,IF(OR(INDEX($B749:$D749,BC$5)="F",AND(BC$6&gt;0,$A749&lt;BC$6),AND(BC$7&gt;0,$A749&gt;BC$7)),0,MAX(0,ROUND((INDEX($E749:$G749,BC$5)-SUMIFS(TF_Timer,TF_Tekniker,BC$4,TF_Dato,$A749))*2,0)/2)))</f>
        <v/>
      </c>
      <c r="BD749">
        <f>IF(OR(BD$4="",$A749&gt;TODAY()),0,IF(OR(INDEX($B749:$D749,BD$5)="F",AND(BD$6&gt;0,$A749&lt;BD$6),AND(BD$7&gt;0,$A749&gt;BD$7)),0,MAX(0,ROUND((INDEX($E749:$G749,BD$5)-SUMIFS(TF_Timer,TF_Tekniker,BD$4,TF_Dato,$A749))*2,0)/2)))</f>
        <v/>
      </c>
      <c r="BE749">
        <f>IF(OR(BE$4="",$A749&gt;TODAY()),0,IF(OR(INDEX($B749:$D749,BE$5)="F",AND(BE$6&gt;0,$A749&lt;BE$6),AND(BE$7&gt;0,$A749&gt;BE$7)),0,MAX(0,ROUND((INDEX($E749:$G749,BE$5)-SUMIFS(TF_Timer,TF_Tekniker,BE$4,TF_Dato,$A749))*2,0)/2)))</f>
        <v/>
      </c>
      <c r="BF749">
        <f>IF(OR(BF$4="",$A749&gt;TODAY()),0,IF(OR(INDEX($B749:$D749,BF$5)="F",AND(BF$6&gt;0,$A749&lt;BF$6),AND(BF$7&gt;0,$A749&gt;BF$7)),0,MAX(0,ROUND((INDEX($E749:$G749,BF$5)-SUMIFS(TF_Timer,TF_Tekniker,BF$4,TF_Dato,$A749))*2,0)/2)))</f>
        <v/>
      </c>
      <c r="BG749">
        <f>IF(OR(BG$4="",$A749&gt;TODAY()),0,IF(OR(INDEX($B749:$D749,BG$5)="F",AND(BG$6&gt;0,$A749&lt;BG$6),AND(BG$7&gt;0,$A749&gt;BG$7)),0,MAX(0,ROUND((INDEX($E749:$G749,BG$5)-SUMIFS(TF_Timer,TF_Tekniker,BG$4,TF_Dato,$A749))*2,0)/2)))</f>
        <v/>
      </c>
      <c r="BH749">
        <f>IF(OR(BH$4="",$A749&gt;TODAY()),0,IF(OR(INDEX($B749:$D749,BH$5)="F",AND(BH$6&gt;0,$A749&lt;BH$6),AND(BH$7&gt;0,$A749&gt;BH$7)),0,MAX(0,ROUND((INDEX($E749:$G749,BH$5)-SUMIFS(TF_Timer,TF_Tekniker,BH$4,TF_Dato,$A749))*2,0)/2)))</f>
        <v/>
      </c>
      <c r="BI749">
        <f>IF(OR(BI$4="",$A749&gt;TODAY()),0,IF(OR(INDEX($B749:$D749,BI$5)="F",AND(BI$6&gt;0,$A749&lt;BI$6),AND(BI$7&gt;0,$A749&gt;BI$7)),0,MAX(0,ROUND((INDEX($E749:$G749,BI$5)-SUMIFS(TF_Timer,TF_Tekniker,BI$4,TF_Dato,$A749))*2,0)/2)))</f>
        <v/>
      </c>
    </row>
    <row r="750">
      <c r="A750" s="64">
        <f>A749+1</f>
        <v/>
      </c>
      <c r="B750">
        <f>IF(MOD($A750-INDEX(SkiftStart,1),Syklus)&lt;DagK,"K",IF(MOD($A750-INDEX(SkiftStart,1),Syklus)&lt;DagK+DagH,"H",IF(MOD($A750-INDEX(SkiftStart,1),Syklus)&lt;DagK+DagH+DagD,"D","F")))</f>
        <v/>
      </c>
      <c r="C750">
        <f>IF(MOD($A750-INDEX(SkiftStart,2),Syklus)&lt;DagK,"K",IF(MOD($A750-INDEX(SkiftStart,2),Syklus)&lt;DagK+DagH,"H",IF(MOD($A750-INDEX(SkiftStart,2),Syklus)&lt;DagK+DagH+DagD,"D","F")))</f>
        <v/>
      </c>
      <c r="D750">
        <f>IF(MOD($A750-INDEX(SkiftStart,3),Syklus)&lt;DagK,"K",IF(MOD($A750-INDEX(SkiftStart,3),Syklus)&lt;DagK+DagH,"H",IF(MOD($A750-INDEX(SkiftStart,3),Syklus)&lt;DagK+DagH+DagD,"D","F")))</f>
        <v/>
      </c>
      <c r="E750">
        <f>IF(B750="F",0,IF(WEEKDAY($A750,2)=5,INDEX(TimerFr,MATCH(B750,FaseKode,0)),INDEX(TimerMT,MATCH(B750,FaseKode,0))))</f>
        <v/>
      </c>
      <c r="F750">
        <f>IF(C750="F",0,IF(WEEKDAY($A750,2)=5,INDEX(TimerFr,MATCH(C750,FaseKode,0)),INDEX(TimerMT,MATCH(C750,FaseKode,0))))</f>
        <v/>
      </c>
      <c r="G750">
        <f>IF(D750="F",0,IF(WEEKDAY($A750,2)=5,INDEX(TimerFr,MATCH(D750,FaseKode,0)),INDEX(TimerMT,MATCH(D750,FaseKode,0))))</f>
        <v/>
      </c>
      <c r="H750">
        <f>IF(OR(H$4="",$A750&gt;TODAY()),0,IF(OR(INDEX($B750:$D750,H$5)="F",AND(H$6&gt;0,$A750&lt;H$6),AND(H$7&gt;0,$A750&gt;H$7)),0,MAX(0,ROUND((INDEX($E750:$G750,H$5)-SUMIFS(TF_Timer,TF_Tekniker,H$4,TF_Dato,$A750))*2,0)/2)))</f>
        <v/>
      </c>
      <c r="I750">
        <f>IF(OR(I$4="",$A750&gt;TODAY()),0,IF(OR(INDEX($B750:$D750,I$5)="F",AND(I$6&gt;0,$A750&lt;I$6),AND(I$7&gt;0,$A750&gt;I$7)),0,MAX(0,ROUND((INDEX($E750:$G750,I$5)-SUMIFS(TF_Timer,TF_Tekniker,I$4,TF_Dato,$A750))*2,0)/2)))</f>
        <v/>
      </c>
      <c r="J750">
        <f>IF(OR(J$4="",$A750&gt;TODAY()),0,IF(OR(INDEX($B750:$D750,J$5)="F",AND(J$6&gt;0,$A750&lt;J$6),AND(J$7&gt;0,$A750&gt;J$7)),0,MAX(0,ROUND((INDEX($E750:$G750,J$5)-SUMIFS(TF_Timer,TF_Tekniker,J$4,TF_Dato,$A750))*2,0)/2)))</f>
        <v/>
      </c>
      <c r="K750">
        <f>IF(OR(K$4="",$A750&gt;TODAY()),0,IF(OR(INDEX($B750:$D750,K$5)="F",AND(K$6&gt;0,$A750&lt;K$6),AND(K$7&gt;0,$A750&gt;K$7)),0,MAX(0,ROUND((INDEX($E750:$G750,K$5)-SUMIFS(TF_Timer,TF_Tekniker,K$4,TF_Dato,$A750))*2,0)/2)))</f>
        <v/>
      </c>
      <c r="L750">
        <f>IF(OR(L$4="",$A750&gt;TODAY()),0,IF(OR(INDEX($B750:$D750,L$5)="F",AND(L$6&gt;0,$A750&lt;L$6),AND(L$7&gt;0,$A750&gt;L$7)),0,MAX(0,ROUND((INDEX($E750:$G750,L$5)-SUMIFS(TF_Timer,TF_Tekniker,L$4,TF_Dato,$A750))*2,0)/2)))</f>
        <v/>
      </c>
      <c r="M750">
        <f>IF(OR(M$4="",$A750&gt;TODAY()),0,IF(OR(INDEX($B750:$D750,M$5)="F",AND(M$6&gt;0,$A750&lt;M$6),AND(M$7&gt;0,$A750&gt;M$7)),0,MAX(0,ROUND((INDEX($E750:$G750,M$5)-SUMIFS(TF_Timer,TF_Tekniker,M$4,TF_Dato,$A750))*2,0)/2)))</f>
        <v/>
      </c>
      <c r="N750">
        <f>IF(OR(N$4="",$A750&gt;TODAY()),0,IF(OR(INDEX($B750:$D750,N$5)="F",AND(N$6&gt;0,$A750&lt;N$6),AND(N$7&gt;0,$A750&gt;N$7)),0,MAX(0,ROUND((INDEX($E750:$G750,N$5)-SUMIFS(TF_Timer,TF_Tekniker,N$4,TF_Dato,$A750))*2,0)/2)))</f>
        <v/>
      </c>
      <c r="O750">
        <f>IF(OR(O$4="",$A750&gt;TODAY()),0,IF(OR(INDEX($B750:$D750,O$5)="F",AND(O$6&gt;0,$A750&lt;O$6),AND(O$7&gt;0,$A750&gt;O$7)),0,MAX(0,ROUND((INDEX($E750:$G750,O$5)-SUMIFS(TF_Timer,TF_Tekniker,O$4,TF_Dato,$A750))*2,0)/2)))</f>
        <v/>
      </c>
      <c r="P750">
        <f>IF(OR(P$4="",$A750&gt;TODAY()),0,IF(OR(INDEX($B750:$D750,P$5)="F",AND(P$6&gt;0,$A750&lt;P$6),AND(P$7&gt;0,$A750&gt;P$7)),0,MAX(0,ROUND((INDEX($E750:$G750,P$5)-SUMIFS(TF_Timer,TF_Tekniker,P$4,TF_Dato,$A750))*2,0)/2)))</f>
        <v/>
      </c>
      <c r="Q750">
        <f>IF(OR(Q$4="",$A750&gt;TODAY()),0,IF(OR(INDEX($B750:$D750,Q$5)="F",AND(Q$6&gt;0,$A750&lt;Q$6),AND(Q$7&gt;0,$A750&gt;Q$7)),0,MAX(0,ROUND((INDEX($E750:$G750,Q$5)-SUMIFS(TF_Timer,TF_Tekniker,Q$4,TF_Dato,$A750))*2,0)/2)))</f>
        <v/>
      </c>
      <c r="R750">
        <f>IF(OR(R$4="",$A750&gt;TODAY()),0,IF(OR(INDEX($B750:$D750,R$5)="F",AND(R$6&gt;0,$A750&lt;R$6),AND(R$7&gt;0,$A750&gt;R$7)),0,MAX(0,ROUND((INDEX($E750:$G750,R$5)-SUMIFS(TF_Timer,TF_Tekniker,R$4,TF_Dato,$A750))*2,0)/2)))</f>
        <v/>
      </c>
      <c r="S750">
        <f>IF(OR(S$4="",$A750&gt;TODAY()),0,IF(OR(INDEX($B750:$D750,S$5)="F",AND(S$6&gt;0,$A750&lt;S$6),AND(S$7&gt;0,$A750&gt;S$7)),0,MAX(0,ROUND((INDEX($E750:$G750,S$5)-SUMIFS(TF_Timer,TF_Tekniker,S$4,TF_Dato,$A750))*2,0)/2)))</f>
        <v/>
      </c>
      <c r="T750">
        <f>IF(OR(T$4="",$A750&gt;TODAY()),0,IF(OR(INDEX($B750:$D750,T$5)="F",AND(T$6&gt;0,$A750&lt;T$6),AND(T$7&gt;0,$A750&gt;T$7)),0,MAX(0,ROUND((INDEX($E750:$G750,T$5)-SUMIFS(TF_Timer,TF_Tekniker,T$4,TF_Dato,$A750))*2,0)/2)))</f>
        <v/>
      </c>
      <c r="U750">
        <f>IF(OR(U$4="",$A750&gt;TODAY()),0,IF(OR(INDEX($B750:$D750,U$5)="F",AND(U$6&gt;0,$A750&lt;U$6),AND(U$7&gt;0,$A750&gt;U$7)),0,MAX(0,ROUND((INDEX($E750:$G750,U$5)-SUMIFS(TF_Timer,TF_Tekniker,U$4,TF_Dato,$A750))*2,0)/2)))</f>
        <v/>
      </c>
      <c r="V750">
        <f>IF(OR(V$4="",$A750&gt;TODAY()),0,IF(OR(INDEX($B750:$D750,V$5)="F",AND(V$6&gt;0,$A750&lt;V$6),AND(V$7&gt;0,$A750&gt;V$7)),0,MAX(0,ROUND((INDEX($E750:$G750,V$5)-SUMIFS(TF_Timer,TF_Tekniker,V$4,TF_Dato,$A750))*2,0)/2)))</f>
        <v/>
      </c>
      <c r="W750">
        <f>IF(OR(W$4="",$A750&gt;TODAY()),0,IF(OR(INDEX($B750:$D750,W$5)="F",AND(W$6&gt;0,$A750&lt;W$6),AND(W$7&gt;0,$A750&gt;W$7)),0,MAX(0,ROUND((INDEX($E750:$G750,W$5)-SUMIFS(TF_Timer,TF_Tekniker,W$4,TF_Dato,$A750))*2,0)/2)))</f>
        <v/>
      </c>
      <c r="X750">
        <f>IF(OR(X$4="",$A750&gt;TODAY()),0,IF(OR(INDEX($B750:$D750,X$5)="F",AND(X$6&gt;0,$A750&lt;X$6),AND(X$7&gt;0,$A750&gt;X$7)),0,MAX(0,ROUND((INDEX($E750:$G750,X$5)-SUMIFS(TF_Timer,TF_Tekniker,X$4,TF_Dato,$A750))*2,0)/2)))</f>
        <v/>
      </c>
      <c r="Y750">
        <f>IF(OR(Y$4="",$A750&gt;TODAY()),0,IF(OR(INDEX($B750:$D750,Y$5)="F",AND(Y$6&gt;0,$A750&lt;Y$6),AND(Y$7&gt;0,$A750&gt;Y$7)),0,MAX(0,ROUND((INDEX($E750:$G750,Y$5)-SUMIFS(TF_Timer,TF_Tekniker,Y$4,TF_Dato,$A750))*2,0)/2)))</f>
        <v/>
      </c>
      <c r="Z750">
        <f>IF(OR(Z$4="",$A750&gt;TODAY()),0,IF(OR(INDEX($B750:$D750,Z$5)="F",AND(Z$6&gt;0,$A750&lt;Z$6),AND(Z$7&gt;0,$A750&gt;Z$7)),0,MAX(0,ROUND((INDEX($E750:$G750,Z$5)-SUMIFS(TF_Timer,TF_Tekniker,Z$4,TF_Dato,$A750))*2,0)/2)))</f>
        <v/>
      </c>
      <c r="AA750">
        <f>IF(OR(AA$4="",$A750&gt;TODAY()),0,IF(OR(INDEX($B750:$D750,AA$5)="F",AND(AA$6&gt;0,$A750&lt;AA$6),AND(AA$7&gt;0,$A750&gt;AA$7)),0,MAX(0,ROUND((INDEX($E750:$G750,AA$5)-SUMIFS(TF_Timer,TF_Tekniker,AA$4,TF_Dato,$A750))*2,0)/2)))</f>
        <v/>
      </c>
      <c r="AB750">
        <f>IF(OR(AB$4="",$A750&gt;TODAY()),0,IF(OR(INDEX($B750:$D750,AB$5)="F",AND(AB$6&gt;0,$A750&lt;AB$6),AND(AB$7&gt;0,$A750&gt;AB$7)),0,MAX(0,ROUND((INDEX($E750:$G750,AB$5)-SUMIFS(TF_Timer,TF_Tekniker,AB$4,TF_Dato,$A750))*2,0)/2)))</f>
        <v/>
      </c>
      <c r="AC750">
        <f>IF(OR(AC$4="",$A750&gt;TODAY()),0,IF(OR(INDEX($B750:$D750,AC$5)="F",AND(AC$6&gt;0,$A750&lt;AC$6),AND(AC$7&gt;0,$A750&gt;AC$7)),0,MAX(0,ROUND((INDEX($E750:$G750,AC$5)-SUMIFS(TF_Timer,TF_Tekniker,AC$4,TF_Dato,$A750))*2,0)/2)))</f>
        <v/>
      </c>
      <c r="AD750">
        <f>IF(OR(AD$4="",$A750&gt;TODAY()),0,IF(OR(INDEX($B750:$D750,AD$5)="F",AND(AD$6&gt;0,$A750&lt;AD$6),AND(AD$7&gt;0,$A750&gt;AD$7)),0,MAX(0,ROUND((INDEX($E750:$G750,AD$5)-SUMIFS(TF_Timer,TF_Tekniker,AD$4,TF_Dato,$A750))*2,0)/2)))</f>
        <v/>
      </c>
      <c r="AE750">
        <f>IF(OR(AE$4="",$A750&gt;TODAY()),0,IF(OR(INDEX($B750:$D750,AE$5)="F",AND(AE$6&gt;0,$A750&lt;AE$6),AND(AE$7&gt;0,$A750&gt;AE$7)),0,MAX(0,ROUND((INDEX($E750:$G750,AE$5)-SUMIFS(TF_Timer,TF_Tekniker,AE$4,TF_Dato,$A750))*2,0)/2)))</f>
        <v/>
      </c>
      <c r="AF750">
        <f>IF(OR(AF$4="",$A750&gt;TODAY()),0,IF(OR(INDEX($B750:$D750,AF$5)="F",AND(AF$6&gt;0,$A750&lt;AF$6),AND(AF$7&gt;0,$A750&gt;AF$7)),0,MAX(0,ROUND((INDEX($E750:$G750,AF$5)-SUMIFS(TF_Timer,TF_Tekniker,AF$4,TF_Dato,$A750))*2,0)/2)))</f>
        <v/>
      </c>
      <c r="AG750">
        <f>IF(OR(AG$4="",$A750&gt;TODAY()),0,IF(OR(INDEX($B750:$D750,AG$5)="F",AND(AG$6&gt;0,$A750&lt;AG$6),AND(AG$7&gt;0,$A750&gt;AG$7)),0,MAX(0,ROUND((INDEX($E750:$G750,AG$5)-SUMIFS(TF_Timer,TF_Tekniker,AG$4,TF_Dato,$A750))*2,0)/2)))</f>
        <v/>
      </c>
      <c r="AH750">
        <f>IF(OR(AH$4="",$A750&gt;TODAY()),0,IF(OR(INDEX($B750:$D750,AH$5)="F",AND(AH$6&gt;0,$A750&lt;AH$6),AND(AH$7&gt;0,$A750&gt;AH$7)),0,MAX(0,ROUND((INDEX($E750:$G750,AH$5)-SUMIFS(TF_Timer,TF_Tekniker,AH$4,TF_Dato,$A750))*2,0)/2)))</f>
        <v/>
      </c>
      <c r="AI750">
        <f>IF(OR(AI$4="",$A750&gt;TODAY()),0,IF(OR(INDEX($B750:$D750,AI$5)="F",AND(AI$6&gt;0,$A750&lt;AI$6),AND(AI$7&gt;0,$A750&gt;AI$7)),0,MAX(0,ROUND((INDEX($E750:$G750,AI$5)-SUMIFS(TF_Timer,TF_Tekniker,AI$4,TF_Dato,$A750))*2,0)/2)))</f>
        <v/>
      </c>
      <c r="AJ750">
        <f>IF(OR(AJ$4="",$A750&gt;TODAY()),0,IF(OR(INDEX($B750:$D750,AJ$5)="F",AND(AJ$6&gt;0,$A750&lt;AJ$6),AND(AJ$7&gt;0,$A750&gt;AJ$7)),0,MAX(0,ROUND((INDEX($E750:$G750,AJ$5)-SUMIFS(TF_Timer,TF_Tekniker,AJ$4,TF_Dato,$A750))*2,0)/2)))</f>
        <v/>
      </c>
      <c r="AK750">
        <f>IF(OR(AK$4="",$A750&gt;TODAY()),0,IF(OR(INDEX($B750:$D750,AK$5)="F",AND(AK$6&gt;0,$A750&lt;AK$6),AND(AK$7&gt;0,$A750&gt;AK$7)),0,MAX(0,ROUND((INDEX($E750:$G750,AK$5)-SUMIFS(TF_Timer,TF_Tekniker,AK$4,TF_Dato,$A750))*2,0)/2)))</f>
        <v/>
      </c>
      <c r="AL750">
        <f>IF(OR(AL$4="",$A750&gt;TODAY()),0,IF(OR(INDEX($B750:$D750,AL$5)="F",AND(AL$6&gt;0,$A750&lt;AL$6),AND(AL$7&gt;0,$A750&gt;AL$7)),0,MAX(0,ROUND((INDEX($E750:$G750,AL$5)-SUMIFS(TF_Timer,TF_Tekniker,AL$4,TF_Dato,$A750))*2,0)/2)))</f>
        <v/>
      </c>
      <c r="AM750">
        <f>IF(OR(AM$4="",$A750&gt;TODAY()),0,IF(OR(INDEX($B750:$D750,AM$5)="F",AND(AM$6&gt;0,$A750&lt;AM$6),AND(AM$7&gt;0,$A750&gt;AM$7)),0,MAX(0,ROUND((INDEX($E750:$G750,AM$5)-SUMIFS(TF_Timer,TF_Tekniker,AM$4,TF_Dato,$A750))*2,0)/2)))</f>
        <v/>
      </c>
      <c r="AN750">
        <f>IF(OR(AN$4="",$A750&gt;TODAY()),0,IF(OR(INDEX($B750:$D750,AN$5)="F",AND(AN$6&gt;0,$A750&lt;AN$6),AND(AN$7&gt;0,$A750&gt;AN$7)),0,MAX(0,ROUND((INDEX($E750:$G750,AN$5)-SUMIFS(TF_Timer,TF_Tekniker,AN$4,TF_Dato,$A750))*2,0)/2)))</f>
        <v/>
      </c>
      <c r="AO750">
        <f>IF(OR(AO$4="",$A750&gt;TODAY()),0,IF(OR(INDEX($B750:$D750,AO$5)="F",AND(AO$6&gt;0,$A750&lt;AO$6),AND(AO$7&gt;0,$A750&gt;AO$7)),0,MAX(0,ROUND((INDEX($E750:$G750,AO$5)-SUMIFS(TF_Timer,TF_Tekniker,AO$4,TF_Dato,$A750))*2,0)/2)))</f>
        <v/>
      </c>
      <c r="AP750">
        <f>IF(OR(AP$4="",$A750&gt;TODAY()),0,IF(OR(INDEX($B750:$D750,AP$5)="F",AND(AP$6&gt;0,$A750&lt;AP$6),AND(AP$7&gt;0,$A750&gt;AP$7)),0,MAX(0,ROUND((INDEX($E750:$G750,AP$5)-SUMIFS(TF_Timer,TF_Tekniker,AP$4,TF_Dato,$A750))*2,0)/2)))</f>
        <v/>
      </c>
      <c r="AQ750">
        <f>IF(OR(AQ$4="",$A750&gt;TODAY()),0,IF(OR(INDEX($B750:$D750,AQ$5)="F",AND(AQ$6&gt;0,$A750&lt;AQ$6),AND(AQ$7&gt;0,$A750&gt;AQ$7)),0,MAX(0,ROUND((INDEX($E750:$G750,AQ$5)-SUMIFS(TF_Timer,TF_Tekniker,AQ$4,TF_Dato,$A750))*2,0)/2)))</f>
        <v/>
      </c>
      <c r="AR750">
        <f>IF(OR(AR$4="",$A750&gt;TODAY()),0,IF(OR(INDEX($B750:$D750,AR$5)="F",AND(AR$6&gt;0,$A750&lt;AR$6),AND(AR$7&gt;0,$A750&gt;AR$7)),0,MAX(0,ROUND((INDEX($E750:$G750,AR$5)-SUMIFS(TF_Timer,TF_Tekniker,AR$4,TF_Dato,$A750))*2,0)/2)))</f>
        <v/>
      </c>
      <c r="AS750">
        <f>IF(OR(AS$4="",$A750&gt;TODAY()),0,IF(OR(INDEX($B750:$D750,AS$5)="F",AND(AS$6&gt;0,$A750&lt;AS$6),AND(AS$7&gt;0,$A750&gt;AS$7)),0,MAX(0,ROUND((INDEX($E750:$G750,AS$5)-SUMIFS(TF_Timer,TF_Tekniker,AS$4,TF_Dato,$A750))*2,0)/2)))</f>
        <v/>
      </c>
      <c r="AT750">
        <f>IF(OR(AT$4="",$A750&gt;TODAY()),0,IF(OR(INDEX($B750:$D750,AT$5)="F",AND(AT$6&gt;0,$A750&lt;AT$6),AND(AT$7&gt;0,$A750&gt;AT$7)),0,MAX(0,ROUND((INDEX($E750:$G750,AT$5)-SUMIFS(TF_Timer,TF_Tekniker,AT$4,TF_Dato,$A750))*2,0)/2)))</f>
        <v/>
      </c>
      <c r="AU750">
        <f>IF(OR(AU$4="",$A750&gt;TODAY()),0,IF(OR(INDEX($B750:$D750,AU$5)="F",AND(AU$6&gt;0,$A750&lt;AU$6),AND(AU$7&gt;0,$A750&gt;AU$7)),0,MAX(0,ROUND((INDEX($E750:$G750,AU$5)-SUMIFS(TF_Timer,TF_Tekniker,AU$4,TF_Dato,$A750))*2,0)/2)))</f>
        <v/>
      </c>
      <c r="AV750">
        <f>IF(OR(AV$4="",$A750&gt;TODAY()),0,IF(OR(INDEX($B750:$D750,AV$5)="F",AND(AV$6&gt;0,$A750&lt;AV$6),AND(AV$7&gt;0,$A750&gt;AV$7)),0,MAX(0,ROUND((INDEX($E750:$G750,AV$5)-SUMIFS(TF_Timer,TF_Tekniker,AV$4,TF_Dato,$A750))*2,0)/2)))</f>
        <v/>
      </c>
      <c r="AW750">
        <f>IF(OR(AW$4="",$A750&gt;TODAY()),0,IF(OR(INDEX($B750:$D750,AW$5)="F",AND(AW$6&gt;0,$A750&lt;AW$6),AND(AW$7&gt;0,$A750&gt;AW$7)),0,MAX(0,ROUND((INDEX($E750:$G750,AW$5)-SUMIFS(TF_Timer,TF_Tekniker,AW$4,TF_Dato,$A750))*2,0)/2)))</f>
        <v/>
      </c>
      <c r="AX750">
        <f>IF(OR(AX$4="",$A750&gt;TODAY()),0,IF(OR(INDEX($B750:$D750,AX$5)="F",AND(AX$6&gt;0,$A750&lt;AX$6),AND(AX$7&gt;0,$A750&gt;AX$7)),0,MAX(0,ROUND((INDEX($E750:$G750,AX$5)-SUMIFS(TF_Timer,TF_Tekniker,AX$4,TF_Dato,$A750))*2,0)/2)))</f>
        <v/>
      </c>
      <c r="AY750">
        <f>IF(OR(AY$4="",$A750&gt;TODAY()),0,IF(OR(INDEX($B750:$D750,AY$5)="F",AND(AY$6&gt;0,$A750&lt;AY$6),AND(AY$7&gt;0,$A750&gt;AY$7)),0,MAX(0,ROUND((INDEX($E750:$G750,AY$5)-SUMIFS(TF_Timer,TF_Tekniker,AY$4,TF_Dato,$A750))*2,0)/2)))</f>
        <v/>
      </c>
      <c r="AZ750">
        <f>IF(OR(AZ$4="",$A750&gt;TODAY()),0,IF(OR(INDEX($B750:$D750,AZ$5)="F",AND(AZ$6&gt;0,$A750&lt;AZ$6),AND(AZ$7&gt;0,$A750&gt;AZ$7)),0,MAX(0,ROUND((INDEX($E750:$G750,AZ$5)-SUMIFS(TF_Timer,TF_Tekniker,AZ$4,TF_Dato,$A750))*2,0)/2)))</f>
        <v/>
      </c>
      <c r="BA750">
        <f>IF(OR(BA$4="",$A750&gt;TODAY()),0,IF(OR(INDEX($B750:$D750,BA$5)="F",AND(BA$6&gt;0,$A750&lt;BA$6),AND(BA$7&gt;0,$A750&gt;BA$7)),0,MAX(0,ROUND((INDEX($E750:$G750,BA$5)-SUMIFS(TF_Timer,TF_Tekniker,BA$4,TF_Dato,$A750))*2,0)/2)))</f>
        <v/>
      </c>
      <c r="BB750">
        <f>IF(OR(BB$4="",$A750&gt;TODAY()),0,IF(OR(INDEX($B750:$D750,BB$5)="F",AND(BB$6&gt;0,$A750&lt;BB$6),AND(BB$7&gt;0,$A750&gt;BB$7)),0,MAX(0,ROUND((INDEX($E750:$G750,BB$5)-SUMIFS(TF_Timer,TF_Tekniker,BB$4,TF_Dato,$A750))*2,0)/2)))</f>
        <v/>
      </c>
      <c r="BC750">
        <f>IF(OR(BC$4="",$A750&gt;TODAY()),0,IF(OR(INDEX($B750:$D750,BC$5)="F",AND(BC$6&gt;0,$A750&lt;BC$6),AND(BC$7&gt;0,$A750&gt;BC$7)),0,MAX(0,ROUND((INDEX($E750:$G750,BC$5)-SUMIFS(TF_Timer,TF_Tekniker,BC$4,TF_Dato,$A750))*2,0)/2)))</f>
        <v/>
      </c>
      <c r="BD750">
        <f>IF(OR(BD$4="",$A750&gt;TODAY()),0,IF(OR(INDEX($B750:$D750,BD$5)="F",AND(BD$6&gt;0,$A750&lt;BD$6),AND(BD$7&gt;0,$A750&gt;BD$7)),0,MAX(0,ROUND((INDEX($E750:$G750,BD$5)-SUMIFS(TF_Timer,TF_Tekniker,BD$4,TF_Dato,$A750))*2,0)/2)))</f>
        <v/>
      </c>
      <c r="BE750">
        <f>IF(OR(BE$4="",$A750&gt;TODAY()),0,IF(OR(INDEX($B750:$D750,BE$5)="F",AND(BE$6&gt;0,$A750&lt;BE$6),AND(BE$7&gt;0,$A750&gt;BE$7)),0,MAX(0,ROUND((INDEX($E750:$G750,BE$5)-SUMIFS(TF_Timer,TF_Tekniker,BE$4,TF_Dato,$A750))*2,0)/2)))</f>
        <v/>
      </c>
      <c r="BF750">
        <f>IF(OR(BF$4="",$A750&gt;TODAY()),0,IF(OR(INDEX($B750:$D750,BF$5)="F",AND(BF$6&gt;0,$A750&lt;BF$6),AND(BF$7&gt;0,$A750&gt;BF$7)),0,MAX(0,ROUND((INDEX($E750:$G750,BF$5)-SUMIFS(TF_Timer,TF_Tekniker,BF$4,TF_Dato,$A750))*2,0)/2)))</f>
        <v/>
      </c>
      <c r="BG750">
        <f>IF(OR(BG$4="",$A750&gt;TODAY()),0,IF(OR(INDEX($B750:$D750,BG$5)="F",AND(BG$6&gt;0,$A750&lt;BG$6),AND(BG$7&gt;0,$A750&gt;BG$7)),0,MAX(0,ROUND((INDEX($E750:$G750,BG$5)-SUMIFS(TF_Timer,TF_Tekniker,BG$4,TF_Dato,$A750))*2,0)/2)))</f>
        <v/>
      </c>
      <c r="BH750">
        <f>IF(OR(BH$4="",$A750&gt;TODAY()),0,IF(OR(INDEX($B750:$D750,BH$5)="F",AND(BH$6&gt;0,$A750&lt;BH$6),AND(BH$7&gt;0,$A750&gt;BH$7)),0,MAX(0,ROUND((INDEX($E750:$G750,BH$5)-SUMIFS(TF_Timer,TF_Tekniker,BH$4,TF_Dato,$A750))*2,0)/2)))</f>
        <v/>
      </c>
      <c r="BI750">
        <f>IF(OR(BI$4="",$A750&gt;TODAY()),0,IF(OR(INDEX($B750:$D750,BI$5)="F",AND(BI$6&gt;0,$A750&lt;BI$6),AND(BI$7&gt;0,$A750&gt;BI$7)),0,MAX(0,ROUND((INDEX($E750:$G750,BI$5)-SUMIFS(TF_Timer,TF_Tekniker,BI$4,TF_Dato,$A750))*2,0)/2)))</f>
        <v/>
      </c>
    </row>
    <row r="751">
      <c r="A751" s="64">
        <f>A750+1</f>
        <v/>
      </c>
      <c r="B751">
        <f>IF(MOD($A751-INDEX(SkiftStart,1),Syklus)&lt;DagK,"K",IF(MOD($A751-INDEX(SkiftStart,1),Syklus)&lt;DagK+DagH,"H",IF(MOD($A751-INDEX(SkiftStart,1),Syklus)&lt;DagK+DagH+DagD,"D","F")))</f>
        <v/>
      </c>
      <c r="C751">
        <f>IF(MOD($A751-INDEX(SkiftStart,2),Syklus)&lt;DagK,"K",IF(MOD($A751-INDEX(SkiftStart,2),Syklus)&lt;DagK+DagH,"H",IF(MOD($A751-INDEX(SkiftStart,2),Syklus)&lt;DagK+DagH+DagD,"D","F")))</f>
        <v/>
      </c>
      <c r="D751">
        <f>IF(MOD($A751-INDEX(SkiftStart,3),Syklus)&lt;DagK,"K",IF(MOD($A751-INDEX(SkiftStart,3),Syklus)&lt;DagK+DagH,"H",IF(MOD($A751-INDEX(SkiftStart,3),Syklus)&lt;DagK+DagH+DagD,"D","F")))</f>
        <v/>
      </c>
      <c r="E751">
        <f>IF(B751="F",0,IF(WEEKDAY($A751,2)=5,INDEX(TimerFr,MATCH(B751,FaseKode,0)),INDEX(TimerMT,MATCH(B751,FaseKode,0))))</f>
        <v/>
      </c>
      <c r="F751">
        <f>IF(C751="F",0,IF(WEEKDAY($A751,2)=5,INDEX(TimerFr,MATCH(C751,FaseKode,0)),INDEX(TimerMT,MATCH(C751,FaseKode,0))))</f>
        <v/>
      </c>
      <c r="G751">
        <f>IF(D751="F",0,IF(WEEKDAY($A751,2)=5,INDEX(TimerFr,MATCH(D751,FaseKode,0)),INDEX(TimerMT,MATCH(D751,FaseKode,0))))</f>
        <v/>
      </c>
      <c r="H751">
        <f>IF(OR(H$4="",$A751&gt;TODAY()),0,IF(OR(INDEX($B751:$D751,H$5)="F",AND(H$6&gt;0,$A751&lt;H$6),AND(H$7&gt;0,$A751&gt;H$7)),0,MAX(0,ROUND((INDEX($E751:$G751,H$5)-SUMIFS(TF_Timer,TF_Tekniker,H$4,TF_Dato,$A751))*2,0)/2)))</f>
        <v/>
      </c>
      <c r="I751">
        <f>IF(OR(I$4="",$A751&gt;TODAY()),0,IF(OR(INDEX($B751:$D751,I$5)="F",AND(I$6&gt;0,$A751&lt;I$6),AND(I$7&gt;0,$A751&gt;I$7)),0,MAX(0,ROUND((INDEX($E751:$G751,I$5)-SUMIFS(TF_Timer,TF_Tekniker,I$4,TF_Dato,$A751))*2,0)/2)))</f>
        <v/>
      </c>
      <c r="J751">
        <f>IF(OR(J$4="",$A751&gt;TODAY()),0,IF(OR(INDEX($B751:$D751,J$5)="F",AND(J$6&gt;0,$A751&lt;J$6),AND(J$7&gt;0,$A751&gt;J$7)),0,MAX(0,ROUND((INDEX($E751:$G751,J$5)-SUMIFS(TF_Timer,TF_Tekniker,J$4,TF_Dato,$A751))*2,0)/2)))</f>
        <v/>
      </c>
      <c r="K751">
        <f>IF(OR(K$4="",$A751&gt;TODAY()),0,IF(OR(INDEX($B751:$D751,K$5)="F",AND(K$6&gt;0,$A751&lt;K$6),AND(K$7&gt;0,$A751&gt;K$7)),0,MAX(0,ROUND((INDEX($E751:$G751,K$5)-SUMIFS(TF_Timer,TF_Tekniker,K$4,TF_Dato,$A751))*2,0)/2)))</f>
        <v/>
      </c>
      <c r="L751">
        <f>IF(OR(L$4="",$A751&gt;TODAY()),0,IF(OR(INDEX($B751:$D751,L$5)="F",AND(L$6&gt;0,$A751&lt;L$6),AND(L$7&gt;0,$A751&gt;L$7)),0,MAX(0,ROUND((INDEX($E751:$G751,L$5)-SUMIFS(TF_Timer,TF_Tekniker,L$4,TF_Dato,$A751))*2,0)/2)))</f>
        <v/>
      </c>
      <c r="M751">
        <f>IF(OR(M$4="",$A751&gt;TODAY()),0,IF(OR(INDEX($B751:$D751,M$5)="F",AND(M$6&gt;0,$A751&lt;M$6),AND(M$7&gt;0,$A751&gt;M$7)),0,MAX(0,ROUND((INDEX($E751:$G751,M$5)-SUMIFS(TF_Timer,TF_Tekniker,M$4,TF_Dato,$A751))*2,0)/2)))</f>
        <v/>
      </c>
      <c r="N751">
        <f>IF(OR(N$4="",$A751&gt;TODAY()),0,IF(OR(INDEX($B751:$D751,N$5)="F",AND(N$6&gt;0,$A751&lt;N$6),AND(N$7&gt;0,$A751&gt;N$7)),0,MAX(0,ROUND((INDEX($E751:$G751,N$5)-SUMIFS(TF_Timer,TF_Tekniker,N$4,TF_Dato,$A751))*2,0)/2)))</f>
        <v/>
      </c>
      <c r="O751">
        <f>IF(OR(O$4="",$A751&gt;TODAY()),0,IF(OR(INDEX($B751:$D751,O$5)="F",AND(O$6&gt;0,$A751&lt;O$6),AND(O$7&gt;0,$A751&gt;O$7)),0,MAX(0,ROUND((INDEX($E751:$G751,O$5)-SUMIFS(TF_Timer,TF_Tekniker,O$4,TF_Dato,$A751))*2,0)/2)))</f>
        <v/>
      </c>
      <c r="P751">
        <f>IF(OR(P$4="",$A751&gt;TODAY()),0,IF(OR(INDEX($B751:$D751,P$5)="F",AND(P$6&gt;0,$A751&lt;P$6),AND(P$7&gt;0,$A751&gt;P$7)),0,MAX(0,ROUND((INDEX($E751:$G751,P$5)-SUMIFS(TF_Timer,TF_Tekniker,P$4,TF_Dato,$A751))*2,0)/2)))</f>
        <v/>
      </c>
      <c r="Q751">
        <f>IF(OR(Q$4="",$A751&gt;TODAY()),0,IF(OR(INDEX($B751:$D751,Q$5)="F",AND(Q$6&gt;0,$A751&lt;Q$6),AND(Q$7&gt;0,$A751&gt;Q$7)),0,MAX(0,ROUND((INDEX($E751:$G751,Q$5)-SUMIFS(TF_Timer,TF_Tekniker,Q$4,TF_Dato,$A751))*2,0)/2)))</f>
        <v/>
      </c>
      <c r="R751">
        <f>IF(OR(R$4="",$A751&gt;TODAY()),0,IF(OR(INDEX($B751:$D751,R$5)="F",AND(R$6&gt;0,$A751&lt;R$6),AND(R$7&gt;0,$A751&gt;R$7)),0,MAX(0,ROUND((INDEX($E751:$G751,R$5)-SUMIFS(TF_Timer,TF_Tekniker,R$4,TF_Dato,$A751))*2,0)/2)))</f>
        <v/>
      </c>
      <c r="S751">
        <f>IF(OR(S$4="",$A751&gt;TODAY()),0,IF(OR(INDEX($B751:$D751,S$5)="F",AND(S$6&gt;0,$A751&lt;S$6),AND(S$7&gt;0,$A751&gt;S$7)),0,MAX(0,ROUND((INDEX($E751:$G751,S$5)-SUMIFS(TF_Timer,TF_Tekniker,S$4,TF_Dato,$A751))*2,0)/2)))</f>
        <v/>
      </c>
      <c r="T751">
        <f>IF(OR(T$4="",$A751&gt;TODAY()),0,IF(OR(INDEX($B751:$D751,T$5)="F",AND(T$6&gt;0,$A751&lt;T$6),AND(T$7&gt;0,$A751&gt;T$7)),0,MAX(0,ROUND((INDEX($E751:$G751,T$5)-SUMIFS(TF_Timer,TF_Tekniker,T$4,TF_Dato,$A751))*2,0)/2)))</f>
        <v/>
      </c>
      <c r="U751">
        <f>IF(OR(U$4="",$A751&gt;TODAY()),0,IF(OR(INDEX($B751:$D751,U$5)="F",AND(U$6&gt;0,$A751&lt;U$6),AND(U$7&gt;0,$A751&gt;U$7)),0,MAX(0,ROUND((INDEX($E751:$G751,U$5)-SUMIFS(TF_Timer,TF_Tekniker,U$4,TF_Dato,$A751))*2,0)/2)))</f>
        <v/>
      </c>
      <c r="V751">
        <f>IF(OR(V$4="",$A751&gt;TODAY()),0,IF(OR(INDEX($B751:$D751,V$5)="F",AND(V$6&gt;0,$A751&lt;V$6),AND(V$7&gt;0,$A751&gt;V$7)),0,MAX(0,ROUND((INDEX($E751:$G751,V$5)-SUMIFS(TF_Timer,TF_Tekniker,V$4,TF_Dato,$A751))*2,0)/2)))</f>
        <v/>
      </c>
      <c r="W751">
        <f>IF(OR(W$4="",$A751&gt;TODAY()),0,IF(OR(INDEX($B751:$D751,W$5)="F",AND(W$6&gt;0,$A751&lt;W$6),AND(W$7&gt;0,$A751&gt;W$7)),0,MAX(0,ROUND((INDEX($E751:$G751,W$5)-SUMIFS(TF_Timer,TF_Tekniker,W$4,TF_Dato,$A751))*2,0)/2)))</f>
        <v/>
      </c>
      <c r="X751">
        <f>IF(OR(X$4="",$A751&gt;TODAY()),0,IF(OR(INDEX($B751:$D751,X$5)="F",AND(X$6&gt;0,$A751&lt;X$6),AND(X$7&gt;0,$A751&gt;X$7)),0,MAX(0,ROUND((INDEX($E751:$G751,X$5)-SUMIFS(TF_Timer,TF_Tekniker,X$4,TF_Dato,$A751))*2,0)/2)))</f>
        <v/>
      </c>
      <c r="Y751">
        <f>IF(OR(Y$4="",$A751&gt;TODAY()),0,IF(OR(INDEX($B751:$D751,Y$5)="F",AND(Y$6&gt;0,$A751&lt;Y$6),AND(Y$7&gt;0,$A751&gt;Y$7)),0,MAX(0,ROUND((INDEX($E751:$G751,Y$5)-SUMIFS(TF_Timer,TF_Tekniker,Y$4,TF_Dato,$A751))*2,0)/2)))</f>
        <v/>
      </c>
      <c r="Z751">
        <f>IF(OR(Z$4="",$A751&gt;TODAY()),0,IF(OR(INDEX($B751:$D751,Z$5)="F",AND(Z$6&gt;0,$A751&lt;Z$6),AND(Z$7&gt;0,$A751&gt;Z$7)),0,MAX(0,ROUND((INDEX($E751:$G751,Z$5)-SUMIFS(TF_Timer,TF_Tekniker,Z$4,TF_Dato,$A751))*2,0)/2)))</f>
        <v/>
      </c>
      <c r="AA751">
        <f>IF(OR(AA$4="",$A751&gt;TODAY()),0,IF(OR(INDEX($B751:$D751,AA$5)="F",AND(AA$6&gt;0,$A751&lt;AA$6),AND(AA$7&gt;0,$A751&gt;AA$7)),0,MAX(0,ROUND((INDEX($E751:$G751,AA$5)-SUMIFS(TF_Timer,TF_Tekniker,AA$4,TF_Dato,$A751))*2,0)/2)))</f>
        <v/>
      </c>
      <c r="AB751">
        <f>IF(OR(AB$4="",$A751&gt;TODAY()),0,IF(OR(INDEX($B751:$D751,AB$5)="F",AND(AB$6&gt;0,$A751&lt;AB$6),AND(AB$7&gt;0,$A751&gt;AB$7)),0,MAX(0,ROUND((INDEX($E751:$G751,AB$5)-SUMIFS(TF_Timer,TF_Tekniker,AB$4,TF_Dato,$A751))*2,0)/2)))</f>
        <v/>
      </c>
      <c r="AC751">
        <f>IF(OR(AC$4="",$A751&gt;TODAY()),0,IF(OR(INDEX($B751:$D751,AC$5)="F",AND(AC$6&gt;0,$A751&lt;AC$6),AND(AC$7&gt;0,$A751&gt;AC$7)),0,MAX(0,ROUND((INDEX($E751:$G751,AC$5)-SUMIFS(TF_Timer,TF_Tekniker,AC$4,TF_Dato,$A751))*2,0)/2)))</f>
        <v/>
      </c>
      <c r="AD751">
        <f>IF(OR(AD$4="",$A751&gt;TODAY()),0,IF(OR(INDEX($B751:$D751,AD$5)="F",AND(AD$6&gt;0,$A751&lt;AD$6),AND(AD$7&gt;0,$A751&gt;AD$7)),0,MAX(0,ROUND((INDEX($E751:$G751,AD$5)-SUMIFS(TF_Timer,TF_Tekniker,AD$4,TF_Dato,$A751))*2,0)/2)))</f>
        <v/>
      </c>
      <c r="AE751">
        <f>IF(OR(AE$4="",$A751&gt;TODAY()),0,IF(OR(INDEX($B751:$D751,AE$5)="F",AND(AE$6&gt;0,$A751&lt;AE$6),AND(AE$7&gt;0,$A751&gt;AE$7)),0,MAX(0,ROUND((INDEX($E751:$G751,AE$5)-SUMIFS(TF_Timer,TF_Tekniker,AE$4,TF_Dato,$A751))*2,0)/2)))</f>
        <v/>
      </c>
      <c r="AF751">
        <f>IF(OR(AF$4="",$A751&gt;TODAY()),0,IF(OR(INDEX($B751:$D751,AF$5)="F",AND(AF$6&gt;0,$A751&lt;AF$6),AND(AF$7&gt;0,$A751&gt;AF$7)),0,MAX(0,ROUND((INDEX($E751:$G751,AF$5)-SUMIFS(TF_Timer,TF_Tekniker,AF$4,TF_Dato,$A751))*2,0)/2)))</f>
        <v/>
      </c>
      <c r="AG751">
        <f>IF(OR(AG$4="",$A751&gt;TODAY()),0,IF(OR(INDEX($B751:$D751,AG$5)="F",AND(AG$6&gt;0,$A751&lt;AG$6),AND(AG$7&gt;0,$A751&gt;AG$7)),0,MAX(0,ROUND((INDEX($E751:$G751,AG$5)-SUMIFS(TF_Timer,TF_Tekniker,AG$4,TF_Dato,$A751))*2,0)/2)))</f>
        <v/>
      </c>
      <c r="AH751">
        <f>IF(OR(AH$4="",$A751&gt;TODAY()),0,IF(OR(INDEX($B751:$D751,AH$5)="F",AND(AH$6&gt;0,$A751&lt;AH$6),AND(AH$7&gt;0,$A751&gt;AH$7)),0,MAX(0,ROUND((INDEX($E751:$G751,AH$5)-SUMIFS(TF_Timer,TF_Tekniker,AH$4,TF_Dato,$A751))*2,0)/2)))</f>
        <v/>
      </c>
      <c r="AI751">
        <f>IF(OR(AI$4="",$A751&gt;TODAY()),0,IF(OR(INDEX($B751:$D751,AI$5)="F",AND(AI$6&gt;0,$A751&lt;AI$6),AND(AI$7&gt;0,$A751&gt;AI$7)),0,MAX(0,ROUND((INDEX($E751:$G751,AI$5)-SUMIFS(TF_Timer,TF_Tekniker,AI$4,TF_Dato,$A751))*2,0)/2)))</f>
        <v/>
      </c>
      <c r="AJ751">
        <f>IF(OR(AJ$4="",$A751&gt;TODAY()),0,IF(OR(INDEX($B751:$D751,AJ$5)="F",AND(AJ$6&gt;0,$A751&lt;AJ$6),AND(AJ$7&gt;0,$A751&gt;AJ$7)),0,MAX(0,ROUND((INDEX($E751:$G751,AJ$5)-SUMIFS(TF_Timer,TF_Tekniker,AJ$4,TF_Dato,$A751))*2,0)/2)))</f>
        <v/>
      </c>
      <c r="AK751">
        <f>IF(OR(AK$4="",$A751&gt;TODAY()),0,IF(OR(INDEX($B751:$D751,AK$5)="F",AND(AK$6&gt;0,$A751&lt;AK$6),AND(AK$7&gt;0,$A751&gt;AK$7)),0,MAX(0,ROUND((INDEX($E751:$G751,AK$5)-SUMIFS(TF_Timer,TF_Tekniker,AK$4,TF_Dato,$A751))*2,0)/2)))</f>
        <v/>
      </c>
      <c r="AL751">
        <f>IF(OR(AL$4="",$A751&gt;TODAY()),0,IF(OR(INDEX($B751:$D751,AL$5)="F",AND(AL$6&gt;0,$A751&lt;AL$6),AND(AL$7&gt;0,$A751&gt;AL$7)),0,MAX(0,ROUND((INDEX($E751:$G751,AL$5)-SUMIFS(TF_Timer,TF_Tekniker,AL$4,TF_Dato,$A751))*2,0)/2)))</f>
        <v/>
      </c>
      <c r="AM751">
        <f>IF(OR(AM$4="",$A751&gt;TODAY()),0,IF(OR(INDEX($B751:$D751,AM$5)="F",AND(AM$6&gt;0,$A751&lt;AM$6),AND(AM$7&gt;0,$A751&gt;AM$7)),0,MAX(0,ROUND((INDEX($E751:$G751,AM$5)-SUMIFS(TF_Timer,TF_Tekniker,AM$4,TF_Dato,$A751))*2,0)/2)))</f>
        <v/>
      </c>
      <c r="AN751">
        <f>IF(OR(AN$4="",$A751&gt;TODAY()),0,IF(OR(INDEX($B751:$D751,AN$5)="F",AND(AN$6&gt;0,$A751&lt;AN$6),AND(AN$7&gt;0,$A751&gt;AN$7)),0,MAX(0,ROUND((INDEX($E751:$G751,AN$5)-SUMIFS(TF_Timer,TF_Tekniker,AN$4,TF_Dato,$A751))*2,0)/2)))</f>
        <v/>
      </c>
      <c r="AO751">
        <f>IF(OR(AO$4="",$A751&gt;TODAY()),0,IF(OR(INDEX($B751:$D751,AO$5)="F",AND(AO$6&gt;0,$A751&lt;AO$6),AND(AO$7&gt;0,$A751&gt;AO$7)),0,MAX(0,ROUND((INDEX($E751:$G751,AO$5)-SUMIFS(TF_Timer,TF_Tekniker,AO$4,TF_Dato,$A751))*2,0)/2)))</f>
        <v/>
      </c>
      <c r="AP751">
        <f>IF(OR(AP$4="",$A751&gt;TODAY()),0,IF(OR(INDEX($B751:$D751,AP$5)="F",AND(AP$6&gt;0,$A751&lt;AP$6),AND(AP$7&gt;0,$A751&gt;AP$7)),0,MAX(0,ROUND((INDEX($E751:$G751,AP$5)-SUMIFS(TF_Timer,TF_Tekniker,AP$4,TF_Dato,$A751))*2,0)/2)))</f>
        <v/>
      </c>
      <c r="AQ751">
        <f>IF(OR(AQ$4="",$A751&gt;TODAY()),0,IF(OR(INDEX($B751:$D751,AQ$5)="F",AND(AQ$6&gt;0,$A751&lt;AQ$6),AND(AQ$7&gt;0,$A751&gt;AQ$7)),0,MAX(0,ROUND((INDEX($E751:$G751,AQ$5)-SUMIFS(TF_Timer,TF_Tekniker,AQ$4,TF_Dato,$A751))*2,0)/2)))</f>
        <v/>
      </c>
      <c r="AR751">
        <f>IF(OR(AR$4="",$A751&gt;TODAY()),0,IF(OR(INDEX($B751:$D751,AR$5)="F",AND(AR$6&gt;0,$A751&lt;AR$6),AND(AR$7&gt;0,$A751&gt;AR$7)),0,MAX(0,ROUND((INDEX($E751:$G751,AR$5)-SUMIFS(TF_Timer,TF_Tekniker,AR$4,TF_Dato,$A751))*2,0)/2)))</f>
        <v/>
      </c>
      <c r="AS751">
        <f>IF(OR(AS$4="",$A751&gt;TODAY()),0,IF(OR(INDEX($B751:$D751,AS$5)="F",AND(AS$6&gt;0,$A751&lt;AS$6),AND(AS$7&gt;0,$A751&gt;AS$7)),0,MAX(0,ROUND((INDEX($E751:$G751,AS$5)-SUMIFS(TF_Timer,TF_Tekniker,AS$4,TF_Dato,$A751))*2,0)/2)))</f>
        <v/>
      </c>
      <c r="AT751">
        <f>IF(OR(AT$4="",$A751&gt;TODAY()),0,IF(OR(INDEX($B751:$D751,AT$5)="F",AND(AT$6&gt;0,$A751&lt;AT$6),AND(AT$7&gt;0,$A751&gt;AT$7)),0,MAX(0,ROUND((INDEX($E751:$G751,AT$5)-SUMIFS(TF_Timer,TF_Tekniker,AT$4,TF_Dato,$A751))*2,0)/2)))</f>
        <v/>
      </c>
      <c r="AU751">
        <f>IF(OR(AU$4="",$A751&gt;TODAY()),0,IF(OR(INDEX($B751:$D751,AU$5)="F",AND(AU$6&gt;0,$A751&lt;AU$6),AND(AU$7&gt;0,$A751&gt;AU$7)),0,MAX(0,ROUND((INDEX($E751:$G751,AU$5)-SUMIFS(TF_Timer,TF_Tekniker,AU$4,TF_Dato,$A751))*2,0)/2)))</f>
        <v/>
      </c>
      <c r="AV751">
        <f>IF(OR(AV$4="",$A751&gt;TODAY()),0,IF(OR(INDEX($B751:$D751,AV$5)="F",AND(AV$6&gt;0,$A751&lt;AV$6),AND(AV$7&gt;0,$A751&gt;AV$7)),0,MAX(0,ROUND((INDEX($E751:$G751,AV$5)-SUMIFS(TF_Timer,TF_Tekniker,AV$4,TF_Dato,$A751))*2,0)/2)))</f>
        <v/>
      </c>
      <c r="AW751">
        <f>IF(OR(AW$4="",$A751&gt;TODAY()),0,IF(OR(INDEX($B751:$D751,AW$5)="F",AND(AW$6&gt;0,$A751&lt;AW$6),AND(AW$7&gt;0,$A751&gt;AW$7)),0,MAX(0,ROUND((INDEX($E751:$G751,AW$5)-SUMIFS(TF_Timer,TF_Tekniker,AW$4,TF_Dato,$A751))*2,0)/2)))</f>
        <v/>
      </c>
      <c r="AX751">
        <f>IF(OR(AX$4="",$A751&gt;TODAY()),0,IF(OR(INDEX($B751:$D751,AX$5)="F",AND(AX$6&gt;0,$A751&lt;AX$6),AND(AX$7&gt;0,$A751&gt;AX$7)),0,MAX(0,ROUND((INDEX($E751:$G751,AX$5)-SUMIFS(TF_Timer,TF_Tekniker,AX$4,TF_Dato,$A751))*2,0)/2)))</f>
        <v/>
      </c>
      <c r="AY751">
        <f>IF(OR(AY$4="",$A751&gt;TODAY()),0,IF(OR(INDEX($B751:$D751,AY$5)="F",AND(AY$6&gt;0,$A751&lt;AY$6),AND(AY$7&gt;0,$A751&gt;AY$7)),0,MAX(0,ROUND((INDEX($E751:$G751,AY$5)-SUMIFS(TF_Timer,TF_Tekniker,AY$4,TF_Dato,$A751))*2,0)/2)))</f>
        <v/>
      </c>
      <c r="AZ751">
        <f>IF(OR(AZ$4="",$A751&gt;TODAY()),0,IF(OR(INDEX($B751:$D751,AZ$5)="F",AND(AZ$6&gt;0,$A751&lt;AZ$6),AND(AZ$7&gt;0,$A751&gt;AZ$7)),0,MAX(0,ROUND((INDEX($E751:$G751,AZ$5)-SUMIFS(TF_Timer,TF_Tekniker,AZ$4,TF_Dato,$A751))*2,0)/2)))</f>
        <v/>
      </c>
      <c r="BA751">
        <f>IF(OR(BA$4="",$A751&gt;TODAY()),0,IF(OR(INDEX($B751:$D751,BA$5)="F",AND(BA$6&gt;0,$A751&lt;BA$6),AND(BA$7&gt;0,$A751&gt;BA$7)),0,MAX(0,ROUND((INDEX($E751:$G751,BA$5)-SUMIFS(TF_Timer,TF_Tekniker,BA$4,TF_Dato,$A751))*2,0)/2)))</f>
        <v/>
      </c>
      <c r="BB751">
        <f>IF(OR(BB$4="",$A751&gt;TODAY()),0,IF(OR(INDEX($B751:$D751,BB$5)="F",AND(BB$6&gt;0,$A751&lt;BB$6),AND(BB$7&gt;0,$A751&gt;BB$7)),0,MAX(0,ROUND((INDEX($E751:$G751,BB$5)-SUMIFS(TF_Timer,TF_Tekniker,BB$4,TF_Dato,$A751))*2,0)/2)))</f>
        <v/>
      </c>
      <c r="BC751">
        <f>IF(OR(BC$4="",$A751&gt;TODAY()),0,IF(OR(INDEX($B751:$D751,BC$5)="F",AND(BC$6&gt;0,$A751&lt;BC$6),AND(BC$7&gt;0,$A751&gt;BC$7)),0,MAX(0,ROUND((INDEX($E751:$G751,BC$5)-SUMIFS(TF_Timer,TF_Tekniker,BC$4,TF_Dato,$A751))*2,0)/2)))</f>
        <v/>
      </c>
      <c r="BD751">
        <f>IF(OR(BD$4="",$A751&gt;TODAY()),0,IF(OR(INDEX($B751:$D751,BD$5)="F",AND(BD$6&gt;0,$A751&lt;BD$6),AND(BD$7&gt;0,$A751&gt;BD$7)),0,MAX(0,ROUND((INDEX($E751:$G751,BD$5)-SUMIFS(TF_Timer,TF_Tekniker,BD$4,TF_Dato,$A751))*2,0)/2)))</f>
        <v/>
      </c>
      <c r="BE751">
        <f>IF(OR(BE$4="",$A751&gt;TODAY()),0,IF(OR(INDEX($B751:$D751,BE$5)="F",AND(BE$6&gt;0,$A751&lt;BE$6),AND(BE$7&gt;0,$A751&gt;BE$7)),0,MAX(0,ROUND((INDEX($E751:$G751,BE$5)-SUMIFS(TF_Timer,TF_Tekniker,BE$4,TF_Dato,$A751))*2,0)/2)))</f>
        <v/>
      </c>
      <c r="BF751">
        <f>IF(OR(BF$4="",$A751&gt;TODAY()),0,IF(OR(INDEX($B751:$D751,BF$5)="F",AND(BF$6&gt;0,$A751&lt;BF$6),AND(BF$7&gt;0,$A751&gt;BF$7)),0,MAX(0,ROUND((INDEX($E751:$G751,BF$5)-SUMIFS(TF_Timer,TF_Tekniker,BF$4,TF_Dato,$A751))*2,0)/2)))</f>
        <v/>
      </c>
      <c r="BG751">
        <f>IF(OR(BG$4="",$A751&gt;TODAY()),0,IF(OR(INDEX($B751:$D751,BG$5)="F",AND(BG$6&gt;0,$A751&lt;BG$6),AND(BG$7&gt;0,$A751&gt;BG$7)),0,MAX(0,ROUND((INDEX($E751:$G751,BG$5)-SUMIFS(TF_Timer,TF_Tekniker,BG$4,TF_Dato,$A751))*2,0)/2)))</f>
        <v/>
      </c>
      <c r="BH751">
        <f>IF(OR(BH$4="",$A751&gt;TODAY()),0,IF(OR(INDEX($B751:$D751,BH$5)="F",AND(BH$6&gt;0,$A751&lt;BH$6),AND(BH$7&gt;0,$A751&gt;BH$7)),0,MAX(0,ROUND((INDEX($E751:$G751,BH$5)-SUMIFS(TF_Timer,TF_Tekniker,BH$4,TF_Dato,$A751))*2,0)/2)))</f>
        <v/>
      </c>
      <c r="BI751">
        <f>IF(OR(BI$4="",$A751&gt;TODAY()),0,IF(OR(INDEX($B751:$D751,BI$5)="F",AND(BI$6&gt;0,$A751&lt;BI$6),AND(BI$7&gt;0,$A751&gt;BI$7)),0,MAX(0,ROUND((INDEX($E751:$G751,BI$5)-SUMIFS(TF_Timer,TF_Tekniker,BI$4,TF_Dato,$A751))*2,0)/2)))</f>
        <v/>
      </c>
    </row>
    <row r="752">
      <c r="A752" s="64">
        <f>A751+1</f>
        <v/>
      </c>
      <c r="B752">
        <f>IF(MOD($A752-INDEX(SkiftStart,1),Syklus)&lt;DagK,"K",IF(MOD($A752-INDEX(SkiftStart,1),Syklus)&lt;DagK+DagH,"H",IF(MOD($A752-INDEX(SkiftStart,1),Syklus)&lt;DagK+DagH+DagD,"D","F")))</f>
        <v/>
      </c>
      <c r="C752">
        <f>IF(MOD($A752-INDEX(SkiftStart,2),Syklus)&lt;DagK,"K",IF(MOD($A752-INDEX(SkiftStart,2),Syklus)&lt;DagK+DagH,"H",IF(MOD($A752-INDEX(SkiftStart,2),Syklus)&lt;DagK+DagH+DagD,"D","F")))</f>
        <v/>
      </c>
      <c r="D752">
        <f>IF(MOD($A752-INDEX(SkiftStart,3),Syklus)&lt;DagK,"K",IF(MOD($A752-INDEX(SkiftStart,3),Syklus)&lt;DagK+DagH,"H",IF(MOD($A752-INDEX(SkiftStart,3),Syklus)&lt;DagK+DagH+DagD,"D","F")))</f>
        <v/>
      </c>
      <c r="E752">
        <f>IF(B752="F",0,IF(WEEKDAY($A752,2)=5,INDEX(TimerFr,MATCH(B752,FaseKode,0)),INDEX(TimerMT,MATCH(B752,FaseKode,0))))</f>
        <v/>
      </c>
      <c r="F752">
        <f>IF(C752="F",0,IF(WEEKDAY($A752,2)=5,INDEX(TimerFr,MATCH(C752,FaseKode,0)),INDEX(TimerMT,MATCH(C752,FaseKode,0))))</f>
        <v/>
      </c>
      <c r="G752">
        <f>IF(D752="F",0,IF(WEEKDAY($A752,2)=5,INDEX(TimerFr,MATCH(D752,FaseKode,0)),INDEX(TimerMT,MATCH(D752,FaseKode,0))))</f>
        <v/>
      </c>
      <c r="H752">
        <f>IF(OR(H$4="",$A752&gt;TODAY()),0,IF(OR(INDEX($B752:$D752,H$5)="F",AND(H$6&gt;0,$A752&lt;H$6),AND(H$7&gt;0,$A752&gt;H$7)),0,MAX(0,ROUND((INDEX($E752:$G752,H$5)-SUMIFS(TF_Timer,TF_Tekniker,H$4,TF_Dato,$A752))*2,0)/2)))</f>
        <v/>
      </c>
      <c r="I752">
        <f>IF(OR(I$4="",$A752&gt;TODAY()),0,IF(OR(INDEX($B752:$D752,I$5)="F",AND(I$6&gt;0,$A752&lt;I$6),AND(I$7&gt;0,$A752&gt;I$7)),0,MAX(0,ROUND((INDEX($E752:$G752,I$5)-SUMIFS(TF_Timer,TF_Tekniker,I$4,TF_Dato,$A752))*2,0)/2)))</f>
        <v/>
      </c>
      <c r="J752">
        <f>IF(OR(J$4="",$A752&gt;TODAY()),0,IF(OR(INDEX($B752:$D752,J$5)="F",AND(J$6&gt;0,$A752&lt;J$6),AND(J$7&gt;0,$A752&gt;J$7)),0,MAX(0,ROUND((INDEX($E752:$G752,J$5)-SUMIFS(TF_Timer,TF_Tekniker,J$4,TF_Dato,$A752))*2,0)/2)))</f>
        <v/>
      </c>
      <c r="K752">
        <f>IF(OR(K$4="",$A752&gt;TODAY()),0,IF(OR(INDEX($B752:$D752,K$5)="F",AND(K$6&gt;0,$A752&lt;K$6),AND(K$7&gt;0,$A752&gt;K$7)),0,MAX(0,ROUND((INDEX($E752:$G752,K$5)-SUMIFS(TF_Timer,TF_Tekniker,K$4,TF_Dato,$A752))*2,0)/2)))</f>
        <v/>
      </c>
      <c r="L752">
        <f>IF(OR(L$4="",$A752&gt;TODAY()),0,IF(OR(INDEX($B752:$D752,L$5)="F",AND(L$6&gt;0,$A752&lt;L$6),AND(L$7&gt;0,$A752&gt;L$7)),0,MAX(0,ROUND((INDEX($E752:$G752,L$5)-SUMIFS(TF_Timer,TF_Tekniker,L$4,TF_Dato,$A752))*2,0)/2)))</f>
        <v/>
      </c>
      <c r="M752">
        <f>IF(OR(M$4="",$A752&gt;TODAY()),0,IF(OR(INDEX($B752:$D752,M$5)="F",AND(M$6&gt;0,$A752&lt;M$6),AND(M$7&gt;0,$A752&gt;M$7)),0,MAX(0,ROUND((INDEX($E752:$G752,M$5)-SUMIFS(TF_Timer,TF_Tekniker,M$4,TF_Dato,$A752))*2,0)/2)))</f>
        <v/>
      </c>
      <c r="N752">
        <f>IF(OR(N$4="",$A752&gt;TODAY()),0,IF(OR(INDEX($B752:$D752,N$5)="F",AND(N$6&gt;0,$A752&lt;N$6),AND(N$7&gt;0,$A752&gt;N$7)),0,MAX(0,ROUND((INDEX($E752:$G752,N$5)-SUMIFS(TF_Timer,TF_Tekniker,N$4,TF_Dato,$A752))*2,0)/2)))</f>
        <v/>
      </c>
      <c r="O752">
        <f>IF(OR(O$4="",$A752&gt;TODAY()),0,IF(OR(INDEX($B752:$D752,O$5)="F",AND(O$6&gt;0,$A752&lt;O$6),AND(O$7&gt;0,$A752&gt;O$7)),0,MAX(0,ROUND((INDEX($E752:$G752,O$5)-SUMIFS(TF_Timer,TF_Tekniker,O$4,TF_Dato,$A752))*2,0)/2)))</f>
        <v/>
      </c>
      <c r="P752">
        <f>IF(OR(P$4="",$A752&gt;TODAY()),0,IF(OR(INDEX($B752:$D752,P$5)="F",AND(P$6&gt;0,$A752&lt;P$6),AND(P$7&gt;0,$A752&gt;P$7)),0,MAX(0,ROUND((INDEX($E752:$G752,P$5)-SUMIFS(TF_Timer,TF_Tekniker,P$4,TF_Dato,$A752))*2,0)/2)))</f>
        <v/>
      </c>
      <c r="Q752">
        <f>IF(OR(Q$4="",$A752&gt;TODAY()),0,IF(OR(INDEX($B752:$D752,Q$5)="F",AND(Q$6&gt;0,$A752&lt;Q$6),AND(Q$7&gt;0,$A752&gt;Q$7)),0,MAX(0,ROUND((INDEX($E752:$G752,Q$5)-SUMIFS(TF_Timer,TF_Tekniker,Q$4,TF_Dato,$A752))*2,0)/2)))</f>
        <v/>
      </c>
      <c r="R752">
        <f>IF(OR(R$4="",$A752&gt;TODAY()),0,IF(OR(INDEX($B752:$D752,R$5)="F",AND(R$6&gt;0,$A752&lt;R$6),AND(R$7&gt;0,$A752&gt;R$7)),0,MAX(0,ROUND((INDEX($E752:$G752,R$5)-SUMIFS(TF_Timer,TF_Tekniker,R$4,TF_Dato,$A752))*2,0)/2)))</f>
        <v/>
      </c>
      <c r="S752">
        <f>IF(OR(S$4="",$A752&gt;TODAY()),0,IF(OR(INDEX($B752:$D752,S$5)="F",AND(S$6&gt;0,$A752&lt;S$6),AND(S$7&gt;0,$A752&gt;S$7)),0,MAX(0,ROUND((INDEX($E752:$G752,S$5)-SUMIFS(TF_Timer,TF_Tekniker,S$4,TF_Dato,$A752))*2,0)/2)))</f>
        <v/>
      </c>
      <c r="T752">
        <f>IF(OR(T$4="",$A752&gt;TODAY()),0,IF(OR(INDEX($B752:$D752,T$5)="F",AND(T$6&gt;0,$A752&lt;T$6),AND(T$7&gt;0,$A752&gt;T$7)),0,MAX(0,ROUND((INDEX($E752:$G752,T$5)-SUMIFS(TF_Timer,TF_Tekniker,T$4,TF_Dato,$A752))*2,0)/2)))</f>
        <v/>
      </c>
      <c r="U752">
        <f>IF(OR(U$4="",$A752&gt;TODAY()),0,IF(OR(INDEX($B752:$D752,U$5)="F",AND(U$6&gt;0,$A752&lt;U$6),AND(U$7&gt;0,$A752&gt;U$7)),0,MAX(0,ROUND((INDEX($E752:$G752,U$5)-SUMIFS(TF_Timer,TF_Tekniker,U$4,TF_Dato,$A752))*2,0)/2)))</f>
        <v/>
      </c>
      <c r="V752">
        <f>IF(OR(V$4="",$A752&gt;TODAY()),0,IF(OR(INDEX($B752:$D752,V$5)="F",AND(V$6&gt;0,$A752&lt;V$6),AND(V$7&gt;0,$A752&gt;V$7)),0,MAX(0,ROUND((INDEX($E752:$G752,V$5)-SUMIFS(TF_Timer,TF_Tekniker,V$4,TF_Dato,$A752))*2,0)/2)))</f>
        <v/>
      </c>
      <c r="W752">
        <f>IF(OR(W$4="",$A752&gt;TODAY()),0,IF(OR(INDEX($B752:$D752,W$5)="F",AND(W$6&gt;0,$A752&lt;W$6),AND(W$7&gt;0,$A752&gt;W$7)),0,MAX(0,ROUND((INDEX($E752:$G752,W$5)-SUMIFS(TF_Timer,TF_Tekniker,W$4,TF_Dato,$A752))*2,0)/2)))</f>
        <v/>
      </c>
      <c r="X752">
        <f>IF(OR(X$4="",$A752&gt;TODAY()),0,IF(OR(INDEX($B752:$D752,X$5)="F",AND(X$6&gt;0,$A752&lt;X$6),AND(X$7&gt;0,$A752&gt;X$7)),0,MAX(0,ROUND((INDEX($E752:$G752,X$5)-SUMIFS(TF_Timer,TF_Tekniker,X$4,TF_Dato,$A752))*2,0)/2)))</f>
        <v/>
      </c>
      <c r="Y752">
        <f>IF(OR(Y$4="",$A752&gt;TODAY()),0,IF(OR(INDEX($B752:$D752,Y$5)="F",AND(Y$6&gt;0,$A752&lt;Y$6),AND(Y$7&gt;0,$A752&gt;Y$7)),0,MAX(0,ROUND((INDEX($E752:$G752,Y$5)-SUMIFS(TF_Timer,TF_Tekniker,Y$4,TF_Dato,$A752))*2,0)/2)))</f>
        <v/>
      </c>
      <c r="Z752">
        <f>IF(OR(Z$4="",$A752&gt;TODAY()),0,IF(OR(INDEX($B752:$D752,Z$5)="F",AND(Z$6&gt;0,$A752&lt;Z$6),AND(Z$7&gt;0,$A752&gt;Z$7)),0,MAX(0,ROUND((INDEX($E752:$G752,Z$5)-SUMIFS(TF_Timer,TF_Tekniker,Z$4,TF_Dato,$A752))*2,0)/2)))</f>
        <v/>
      </c>
      <c r="AA752">
        <f>IF(OR(AA$4="",$A752&gt;TODAY()),0,IF(OR(INDEX($B752:$D752,AA$5)="F",AND(AA$6&gt;0,$A752&lt;AA$6),AND(AA$7&gt;0,$A752&gt;AA$7)),0,MAX(0,ROUND((INDEX($E752:$G752,AA$5)-SUMIFS(TF_Timer,TF_Tekniker,AA$4,TF_Dato,$A752))*2,0)/2)))</f>
        <v/>
      </c>
      <c r="AB752">
        <f>IF(OR(AB$4="",$A752&gt;TODAY()),0,IF(OR(INDEX($B752:$D752,AB$5)="F",AND(AB$6&gt;0,$A752&lt;AB$6),AND(AB$7&gt;0,$A752&gt;AB$7)),0,MAX(0,ROUND((INDEX($E752:$G752,AB$5)-SUMIFS(TF_Timer,TF_Tekniker,AB$4,TF_Dato,$A752))*2,0)/2)))</f>
        <v/>
      </c>
      <c r="AC752">
        <f>IF(OR(AC$4="",$A752&gt;TODAY()),0,IF(OR(INDEX($B752:$D752,AC$5)="F",AND(AC$6&gt;0,$A752&lt;AC$6),AND(AC$7&gt;0,$A752&gt;AC$7)),0,MAX(0,ROUND((INDEX($E752:$G752,AC$5)-SUMIFS(TF_Timer,TF_Tekniker,AC$4,TF_Dato,$A752))*2,0)/2)))</f>
        <v/>
      </c>
      <c r="AD752">
        <f>IF(OR(AD$4="",$A752&gt;TODAY()),0,IF(OR(INDEX($B752:$D752,AD$5)="F",AND(AD$6&gt;0,$A752&lt;AD$6),AND(AD$7&gt;0,$A752&gt;AD$7)),0,MAX(0,ROUND((INDEX($E752:$G752,AD$5)-SUMIFS(TF_Timer,TF_Tekniker,AD$4,TF_Dato,$A752))*2,0)/2)))</f>
        <v/>
      </c>
      <c r="AE752">
        <f>IF(OR(AE$4="",$A752&gt;TODAY()),0,IF(OR(INDEX($B752:$D752,AE$5)="F",AND(AE$6&gt;0,$A752&lt;AE$6),AND(AE$7&gt;0,$A752&gt;AE$7)),0,MAX(0,ROUND((INDEX($E752:$G752,AE$5)-SUMIFS(TF_Timer,TF_Tekniker,AE$4,TF_Dato,$A752))*2,0)/2)))</f>
        <v/>
      </c>
      <c r="AF752">
        <f>IF(OR(AF$4="",$A752&gt;TODAY()),0,IF(OR(INDEX($B752:$D752,AF$5)="F",AND(AF$6&gt;0,$A752&lt;AF$6),AND(AF$7&gt;0,$A752&gt;AF$7)),0,MAX(0,ROUND((INDEX($E752:$G752,AF$5)-SUMIFS(TF_Timer,TF_Tekniker,AF$4,TF_Dato,$A752))*2,0)/2)))</f>
        <v/>
      </c>
      <c r="AG752">
        <f>IF(OR(AG$4="",$A752&gt;TODAY()),0,IF(OR(INDEX($B752:$D752,AG$5)="F",AND(AG$6&gt;0,$A752&lt;AG$6),AND(AG$7&gt;0,$A752&gt;AG$7)),0,MAX(0,ROUND((INDEX($E752:$G752,AG$5)-SUMIFS(TF_Timer,TF_Tekniker,AG$4,TF_Dato,$A752))*2,0)/2)))</f>
        <v/>
      </c>
      <c r="AH752">
        <f>IF(OR(AH$4="",$A752&gt;TODAY()),0,IF(OR(INDEX($B752:$D752,AH$5)="F",AND(AH$6&gt;0,$A752&lt;AH$6),AND(AH$7&gt;0,$A752&gt;AH$7)),0,MAX(0,ROUND((INDEX($E752:$G752,AH$5)-SUMIFS(TF_Timer,TF_Tekniker,AH$4,TF_Dato,$A752))*2,0)/2)))</f>
        <v/>
      </c>
      <c r="AI752">
        <f>IF(OR(AI$4="",$A752&gt;TODAY()),0,IF(OR(INDEX($B752:$D752,AI$5)="F",AND(AI$6&gt;0,$A752&lt;AI$6),AND(AI$7&gt;0,$A752&gt;AI$7)),0,MAX(0,ROUND((INDEX($E752:$G752,AI$5)-SUMIFS(TF_Timer,TF_Tekniker,AI$4,TF_Dato,$A752))*2,0)/2)))</f>
        <v/>
      </c>
      <c r="AJ752">
        <f>IF(OR(AJ$4="",$A752&gt;TODAY()),0,IF(OR(INDEX($B752:$D752,AJ$5)="F",AND(AJ$6&gt;0,$A752&lt;AJ$6),AND(AJ$7&gt;0,$A752&gt;AJ$7)),0,MAX(0,ROUND((INDEX($E752:$G752,AJ$5)-SUMIFS(TF_Timer,TF_Tekniker,AJ$4,TF_Dato,$A752))*2,0)/2)))</f>
        <v/>
      </c>
      <c r="AK752">
        <f>IF(OR(AK$4="",$A752&gt;TODAY()),0,IF(OR(INDEX($B752:$D752,AK$5)="F",AND(AK$6&gt;0,$A752&lt;AK$6),AND(AK$7&gt;0,$A752&gt;AK$7)),0,MAX(0,ROUND((INDEX($E752:$G752,AK$5)-SUMIFS(TF_Timer,TF_Tekniker,AK$4,TF_Dato,$A752))*2,0)/2)))</f>
        <v/>
      </c>
      <c r="AL752">
        <f>IF(OR(AL$4="",$A752&gt;TODAY()),0,IF(OR(INDEX($B752:$D752,AL$5)="F",AND(AL$6&gt;0,$A752&lt;AL$6),AND(AL$7&gt;0,$A752&gt;AL$7)),0,MAX(0,ROUND((INDEX($E752:$G752,AL$5)-SUMIFS(TF_Timer,TF_Tekniker,AL$4,TF_Dato,$A752))*2,0)/2)))</f>
        <v/>
      </c>
      <c r="AM752">
        <f>IF(OR(AM$4="",$A752&gt;TODAY()),0,IF(OR(INDEX($B752:$D752,AM$5)="F",AND(AM$6&gt;0,$A752&lt;AM$6),AND(AM$7&gt;0,$A752&gt;AM$7)),0,MAX(0,ROUND((INDEX($E752:$G752,AM$5)-SUMIFS(TF_Timer,TF_Tekniker,AM$4,TF_Dato,$A752))*2,0)/2)))</f>
        <v/>
      </c>
      <c r="AN752">
        <f>IF(OR(AN$4="",$A752&gt;TODAY()),0,IF(OR(INDEX($B752:$D752,AN$5)="F",AND(AN$6&gt;0,$A752&lt;AN$6),AND(AN$7&gt;0,$A752&gt;AN$7)),0,MAX(0,ROUND((INDEX($E752:$G752,AN$5)-SUMIFS(TF_Timer,TF_Tekniker,AN$4,TF_Dato,$A752))*2,0)/2)))</f>
        <v/>
      </c>
      <c r="AO752">
        <f>IF(OR(AO$4="",$A752&gt;TODAY()),0,IF(OR(INDEX($B752:$D752,AO$5)="F",AND(AO$6&gt;0,$A752&lt;AO$6),AND(AO$7&gt;0,$A752&gt;AO$7)),0,MAX(0,ROUND((INDEX($E752:$G752,AO$5)-SUMIFS(TF_Timer,TF_Tekniker,AO$4,TF_Dato,$A752))*2,0)/2)))</f>
        <v/>
      </c>
      <c r="AP752">
        <f>IF(OR(AP$4="",$A752&gt;TODAY()),0,IF(OR(INDEX($B752:$D752,AP$5)="F",AND(AP$6&gt;0,$A752&lt;AP$6),AND(AP$7&gt;0,$A752&gt;AP$7)),0,MAX(0,ROUND((INDEX($E752:$G752,AP$5)-SUMIFS(TF_Timer,TF_Tekniker,AP$4,TF_Dato,$A752))*2,0)/2)))</f>
        <v/>
      </c>
      <c r="AQ752">
        <f>IF(OR(AQ$4="",$A752&gt;TODAY()),0,IF(OR(INDEX($B752:$D752,AQ$5)="F",AND(AQ$6&gt;0,$A752&lt;AQ$6),AND(AQ$7&gt;0,$A752&gt;AQ$7)),0,MAX(0,ROUND((INDEX($E752:$G752,AQ$5)-SUMIFS(TF_Timer,TF_Tekniker,AQ$4,TF_Dato,$A752))*2,0)/2)))</f>
        <v/>
      </c>
      <c r="AR752">
        <f>IF(OR(AR$4="",$A752&gt;TODAY()),0,IF(OR(INDEX($B752:$D752,AR$5)="F",AND(AR$6&gt;0,$A752&lt;AR$6),AND(AR$7&gt;0,$A752&gt;AR$7)),0,MAX(0,ROUND((INDEX($E752:$G752,AR$5)-SUMIFS(TF_Timer,TF_Tekniker,AR$4,TF_Dato,$A752))*2,0)/2)))</f>
        <v/>
      </c>
      <c r="AS752">
        <f>IF(OR(AS$4="",$A752&gt;TODAY()),0,IF(OR(INDEX($B752:$D752,AS$5)="F",AND(AS$6&gt;0,$A752&lt;AS$6),AND(AS$7&gt;0,$A752&gt;AS$7)),0,MAX(0,ROUND((INDEX($E752:$G752,AS$5)-SUMIFS(TF_Timer,TF_Tekniker,AS$4,TF_Dato,$A752))*2,0)/2)))</f>
        <v/>
      </c>
      <c r="AT752">
        <f>IF(OR(AT$4="",$A752&gt;TODAY()),0,IF(OR(INDEX($B752:$D752,AT$5)="F",AND(AT$6&gt;0,$A752&lt;AT$6),AND(AT$7&gt;0,$A752&gt;AT$7)),0,MAX(0,ROUND((INDEX($E752:$G752,AT$5)-SUMIFS(TF_Timer,TF_Tekniker,AT$4,TF_Dato,$A752))*2,0)/2)))</f>
        <v/>
      </c>
      <c r="AU752">
        <f>IF(OR(AU$4="",$A752&gt;TODAY()),0,IF(OR(INDEX($B752:$D752,AU$5)="F",AND(AU$6&gt;0,$A752&lt;AU$6),AND(AU$7&gt;0,$A752&gt;AU$7)),0,MAX(0,ROUND((INDEX($E752:$G752,AU$5)-SUMIFS(TF_Timer,TF_Tekniker,AU$4,TF_Dato,$A752))*2,0)/2)))</f>
        <v/>
      </c>
      <c r="AV752">
        <f>IF(OR(AV$4="",$A752&gt;TODAY()),0,IF(OR(INDEX($B752:$D752,AV$5)="F",AND(AV$6&gt;0,$A752&lt;AV$6),AND(AV$7&gt;0,$A752&gt;AV$7)),0,MAX(0,ROUND((INDEX($E752:$G752,AV$5)-SUMIFS(TF_Timer,TF_Tekniker,AV$4,TF_Dato,$A752))*2,0)/2)))</f>
        <v/>
      </c>
      <c r="AW752">
        <f>IF(OR(AW$4="",$A752&gt;TODAY()),0,IF(OR(INDEX($B752:$D752,AW$5)="F",AND(AW$6&gt;0,$A752&lt;AW$6),AND(AW$7&gt;0,$A752&gt;AW$7)),0,MAX(0,ROUND((INDEX($E752:$G752,AW$5)-SUMIFS(TF_Timer,TF_Tekniker,AW$4,TF_Dato,$A752))*2,0)/2)))</f>
        <v/>
      </c>
      <c r="AX752">
        <f>IF(OR(AX$4="",$A752&gt;TODAY()),0,IF(OR(INDEX($B752:$D752,AX$5)="F",AND(AX$6&gt;0,$A752&lt;AX$6),AND(AX$7&gt;0,$A752&gt;AX$7)),0,MAX(0,ROUND((INDEX($E752:$G752,AX$5)-SUMIFS(TF_Timer,TF_Tekniker,AX$4,TF_Dato,$A752))*2,0)/2)))</f>
        <v/>
      </c>
      <c r="AY752">
        <f>IF(OR(AY$4="",$A752&gt;TODAY()),0,IF(OR(INDEX($B752:$D752,AY$5)="F",AND(AY$6&gt;0,$A752&lt;AY$6),AND(AY$7&gt;0,$A752&gt;AY$7)),0,MAX(0,ROUND((INDEX($E752:$G752,AY$5)-SUMIFS(TF_Timer,TF_Tekniker,AY$4,TF_Dato,$A752))*2,0)/2)))</f>
        <v/>
      </c>
      <c r="AZ752">
        <f>IF(OR(AZ$4="",$A752&gt;TODAY()),0,IF(OR(INDEX($B752:$D752,AZ$5)="F",AND(AZ$6&gt;0,$A752&lt;AZ$6),AND(AZ$7&gt;0,$A752&gt;AZ$7)),0,MAX(0,ROUND((INDEX($E752:$G752,AZ$5)-SUMIFS(TF_Timer,TF_Tekniker,AZ$4,TF_Dato,$A752))*2,0)/2)))</f>
        <v/>
      </c>
      <c r="BA752">
        <f>IF(OR(BA$4="",$A752&gt;TODAY()),0,IF(OR(INDEX($B752:$D752,BA$5)="F",AND(BA$6&gt;0,$A752&lt;BA$6),AND(BA$7&gt;0,$A752&gt;BA$7)),0,MAX(0,ROUND((INDEX($E752:$G752,BA$5)-SUMIFS(TF_Timer,TF_Tekniker,BA$4,TF_Dato,$A752))*2,0)/2)))</f>
        <v/>
      </c>
      <c r="BB752">
        <f>IF(OR(BB$4="",$A752&gt;TODAY()),0,IF(OR(INDEX($B752:$D752,BB$5)="F",AND(BB$6&gt;0,$A752&lt;BB$6),AND(BB$7&gt;0,$A752&gt;BB$7)),0,MAX(0,ROUND((INDEX($E752:$G752,BB$5)-SUMIFS(TF_Timer,TF_Tekniker,BB$4,TF_Dato,$A752))*2,0)/2)))</f>
        <v/>
      </c>
      <c r="BC752">
        <f>IF(OR(BC$4="",$A752&gt;TODAY()),0,IF(OR(INDEX($B752:$D752,BC$5)="F",AND(BC$6&gt;0,$A752&lt;BC$6),AND(BC$7&gt;0,$A752&gt;BC$7)),0,MAX(0,ROUND((INDEX($E752:$G752,BC$5)-SUMIFS(TF_Timer,TF_Tekniker,BC$4,TF_Dato,$A752))*2,0)/2)))</f>
        <v/>
      </c>
      <c r="BD752">
        <f>IF(OR(BD$4="",$A752&gt;TODAY()),0,IF(OR(INDEX($B752:$D752,BD$5)="F",AND(BD$6&gt;0,$A752&lt;BD$6),AND(BD$7&gt;0,$A752&gt;BD$7)),0,MAX(0,ROUND((INDEX($E752:$G752,BD$5)-SUMIFS(TF_Timer,TF_Tekniker,BD$4,TF_Dato,$A752))*2,0)/2)))</f>
        <v/>
      </c>
      <c r="BE752">
        <f>IF(OR(BE$4="",$A752&gt;TODAY()),0,IF(OR(INDEX($B752:$D752,BE$5)="F",AND(BE$6&gt;0,$A752&lt;BE$6),AND(BE$7&gt;0,$A752&gt;BE$7)),0,MAX(0,ROUND((INDEX($E752:$G752,BE$5)-SUMIFS(TF_Timer,TF_Tekniker,BE$4,TF_Dato,$A752))*2,0)/2)))</f>
        <v/>
      </c>
      <c r="BF752">
        <f>IF(OR(BF$4="",$A752&gt;TODAY()),0,IF(OR(INDEX($B752:$D752,BF$5)="F",AND(BF$6&gt;0,$A752&lt;BF$6),AND(BF$7&gt;0,$A752&gt;BF$7)),0,MAX(0,ROUND((INDEX($E752:$G752,BF$5)-SUMIFS(TF_Timer,TF_Tekniker,BF$4,TF_Dato,$A752))*2,0)/2)))</f>
        <v/>
      </c>
      <c r="BG752">
        <f>IF(OR(BG$4="",$A752&gt;TODAY()),0,IF(OR(INDEX($B752:$D752,BG$5)="F",AND(BG$6&gt;0,$A752&lt;BG$6),AND(BG$7&gt;0,$A752&gt;BG$7)),0,MAX(0,ROUND((INDEX($E752:$G752,BG$5)-SUMIFS(TF_Timer,TF_Tekniker,BG$4,TF_Dato,$A752))*2,0)/2)))</f>
        <v/>
      </c>
      <c r="BH752">
        <f>IF(OR(BH$4="",$A752&gt;TODAY()),0,IF(OR(INDEX($B752:$D752,BH$5)="F",AND(BH$6&gt;0,$A752&lt;BH$6),AND(BH$7&gt;0,$A752&gt;BH$7)),0,MAX(0,ROUND((INDEX($E752:$G752,BH$5)-SUMIFS(TF_Timer,TF_Tekniker,BH$4,TF_Dato,$A752))*2,0)/2)))</f>
        <v/>
      </c>
      <c r="BI752">
        <f>IF(OR(BI$4="",$A752&gt;TODAY()),0,IF(OR(INDEX($B752:$D752,BI$5)="F",AND(BI$6&gt;0,$A752&lt;BI$6),AND(BI$7&gt;0,$A752&gt;BI$7)),0,MAX(0,ROUND((INDEX($E752:$G752,BI$5)-SUMIFS(TF_Timer,TF_Tekniker,BI$4,TF_Dato,$A752))*2,0)/2)))</f>
        <v/>
      </c>
    </row>
    <row r="753">
      <c r="A753" s="64">
        <f>A752+1</f>
        <v/>
      </c>
      <c r="B753">
        <f>IF(MOD($A753-INDEX(SkiftStart,1),Syklus)&lt;DagK,"K",IF(MOD($A753-INDEX(SkiftStart,1),Syklus)&lt;DagK+DagH,"H",IF(MOD($A753-INDEX(SkiftStart,1),Syklus)&lt;DagK+DagH+DagD,"D","F")))</f>
        <v/>
      </c>
      <c r="C753">
        <f>IF(MOD($A753-INDEX(SkiftStart,2),Syklus)&lt;DagK,"K",IF(MOD($A753-INDEX(SkiftStart,2),Syklus)&lt;DagK+DagH,"H",IF(MOD($A753-INDEX(SkiftStart,2),Syklus)&lt;DagK+DagH+DagD,"D","F")))</f>
        <v/>
      </c>
      <c r="D753">
        <f>IF(MOD($A753-INDEX(SkiftStart,3),Syklus)&lt;DagK,"K",IF(MOD($A753-INDEX(SkiftStart,3),Syklus)&lt;DagK+DagH,"H",IF(MOD($A753-INDEX(SkiftStart,3),Syklus)&lt;DagK+DagH+DagD,"D","F")))</f>
        <v/>
      </c>
      <c r="E753">
        <f>IF(B753="F",0,IF(WEEKDAY($A753,2)=5,INDEX(TimerFr,MATCH(B753,FaseKode,0)),INDEX(TimerMT,MATCH(B753,FaseKode,0))))</f>
        <v/>
      </c>
      <c r="F753">
        <f>IF(C753="F",0,IF(WEEKDAY($A753,2)=5,INDEX(TimerFr,MATCH(C753,FaseKode,0)),INDEX(TimerMT,MATCH(C753,FaseKode,0))))</f>
        <v/>
      </c>
      <c r="G753">
        <f>IF(D753="F",0,IF(WEEKDAY($A753,2)=5,INDEX(TimerFr,MATCH(D753,FaseKode,0)),INDEX(TimerMT,MATCH(D753,FaseKode,0))))</f>
        <v/>
      </c>
      <c r="H753">
        <f>IF(OR(H$4="",$A753&gt;TODAY()),0,IF(OR(INDEX($B753:$D753,H$5)="F",AND(H$6&gt;0,$A753&lt;H$6),AND(H$7&gt;0,$A753&gt;H$7)),0,MAX(0,ROUND((INDEX($E753:$G753,H$5)-SUMIFS(TF_Timer,TF_Tekniker,H$4,TF_Dato,$A753))*2,0)/2)))</f>
        <v/>
      </c>
      <c r="I753">
        <f>IF(OR(I$4="",$A753&gt;TODAY()),0,IF(OR(INDEX($B753:$D753,I$5)="F",AND(I$6&gt;0,$A753&lt;I$6),AND(I$7&gt;0,$A753&gt;I$7)),0,MAX(0,ROUND((INDEX($E753:$G753,I$5)-SUMIFS(TF_Timer,TF_Tekniker,I$4,TF_Dato,$A753))*2,0)/2)))</f>
        <v/>
      </c>
      <c r="J753">
        <f>IF(OR(J$4="",$A753&gt;TODAY()),0,IF(OR(INDEX($B753:$D753,J$5)="F",AND(J$6&gt;0,$A753&lt;J$6),AND(J$7&gt;0,$A753&gt;J$7)),0,MAX(0,ROUND((INDEX($E753:$G753,J$5)-SUMIFS(TF_Timer,TF_Tekniker,J$4,TF_Dato,$A753))*2,0)/2)))</f>
        <v/>
      </c>
      <c r="K753">
        <f>IF(OR(K$4="",$A753&gt;TODAY()),0,IF(OR(INDEX($B753:$D753,K$5)="F",AND(K$6&gt;0,$A753&lt;K$6),AND(K$7&gt;0,$A753&gt;K$7)),0,MAX(0,ROUND((INDEX($E753:$G753,K$5)-SUMIFS(TF_Timer,TF_Tekniker,K$4,TF_Dato,$A753))*2,0)/2)))</f>
        <v/>
      </c>
      <c r="L753">
        <f>IF(OR(L$4="",$A753&gt;TODAY()),0,IF(OR(INDEX($B753:$D753,L$5)="F",AND(L$6&gt;0,$A753&lt;L$6),AND(L$7&gt;0,$A753&gt;L$7)),0,MAX(0,ROUND((INDEX($E753:$G753,L$5)-SUMIFS(TF_Timer,TF_Tekniker,L$4,TF_Dato,$A753))*2,0)/2)))</f>
        <v/>
      </c>
      <c r="M753">
        <f>IF(OR(M$4="",$A753&gt;TODAY()),0,IF(OR(INDEX($B753:$D753,M$5)="F",AND(M$6&gt;0,$A753&lt;M$6),AND(M$7&gt;0,$A753&gt;M$7)),0,MAX(0,ROUND((INDEX($E753:$G753,M$5)-SUMIFS(TF_Timer,TF_Tekniker,M$4,TF_Dato,$A753))*2,0)/2)))</f>
        <v/>
      </c>
      <c r="N753">
        <f>IF(OR(N$4="",$A753&gt;TODAY()),0,IF(OR(INDEX($B753:$D753,N$5)="F",AND(N$6&gt;0,$A753&lt;N$6),AND(N$7&gt;0,$A753&gt;N$7)),0,MAX(0,ROUND((INDEX($E753:$G753,N$5)-SUMIFS(TF_Timer,TF_Tekniker,N$4,TF_Dato,$A753))*2,0)/2)))</f>
        <v/>
      </c>
      <c r="O753">
        <f>IF(OR(O$4="",$A753&gt;TODAY()),0,IF(OR(INDEX($B753:$D753,O$5)="F",AND(O$6&gt;0,$A753&lt;O$6),AND(O$7&gt;0,$A753&gt;O$7)),0,MAX(0,ROUND((INDEX($E753:$G753,O$5)-SUMIFS(TF_Timer,TF_Tekniker,O$4,TF_Dato,$A753))*2,0)/2)))</f>
        <v/>
      </c>
      <c r="P753">
        <f>IF(OR(P$4="",$A753&gt;TODAY()),0,IF(OR(INDEX($B753:$D753,P$5)="F",AND(P$6&gt;0,$A753&lt;P$6),AND(P$7&gt;0,$A753&gt;P$7)),0,MAX(0,ROUND((INDEX($E753:$G753,P$5)-SUMIFS(TF_Timer,TF_Tekniker,P$4,TF_Dato,$A753))*2,0)/2)))</f>
        <v/>
      </c>
      <c r="Q753">
        <f>IF(OR(Q$4="",$A753&gt;TODAY()),0,IF(OR(INDEX($B753:$D753,Q$5)="F",AND(Q$6&gt;0,$A753&lt;Q$6),AND(Q$7&gt;0,$A753&gt;Q$7)),0,MAX(0,ROUND((INDEX($E753:$G753,Q$5)-SUMIFS(TF_Timer,TF_Tekniker,Q$4,TF_Dato,$A753))*2,0)/2)))</f>
        <v/>
      </c>
      <c r="R753">
        <f>IF(OR(R$4="",$A753&gt;TODAY()),0,IF(OR(INDEX($B753:$D753,R$5)="F",AND(R$6&gt;0,$A753&lt;R$6),AND(R$7&gt;0,$A753&gt;R$7)),0,MAX(0,ROUND((INDEX($E753:$G753,R$5)-SUMIFS(TF_Timer,TF_Tekniker,R$4,TF_Dato,$A753))*2,0)/2)))</f>
        <v/>
      </c>
      <c r="S753">
        <f>IF(OR(S$4="",$A753&gt;TODAY()),0,IF(OR(INDEX($B753:$D753,S$5)="F",AND(S$6&gt;0,$A753&lt;S$6),AND(S$7&gt;0,$A753&gt;S$7)),0,MAX(0,ROUND((INDEX($E753:$G753,S$5)-SUMIFS(TF_Timer,TF_Tekniker,S$4,TF_Dato,$A753))*2,0)/2)))</f>
        <v/>
      </c>
      <c r="T753">
        <f>IF(OR(T$4="",$A753&gt;TODAY()),0,IF(OR(INDEX($B753:$D753,T$5)="F",AND(T$6&gt;0,$A753&lt;T$6),AND(T$7&gt;0,$A753&gt;T$7)),0,MAX(0,ROUND((INDEX($E753:$G753,T$5)-SUMIFS(TF_Timer,TF_Tekniker,T$4,TF_Dato,$A753))*2,0)/2)))</f>
        <v/>
      </c>
      <c r="U753">
        <f>IF(OR(U$4="",$A753&gt;TODAY()),0,IF(OR(INDEX($B753:$D753,U$5)="F",AND(U$6&gt;0,$A753&lt;U$6),AND(U$7&gt;0,$A753&gt;U$7)),0,MAX(0,ROUND((INDEX($E753:$G753,U$5)-SUMIFS(TF_Timer,TF_Tekniker,U$4,TF_Dato,$A753))*2,0)/2)))</f>
        <v/>
      </c>
      <c r="V753">
        <f>IF(OR(V$4="",$A753&gt;TODAY()),0,IF(OR(INDEX($B753:$D753,V$5)="F",AND(V$6&gt;0,$A753&lt;V$6),AND(V$7&gt;0,$A753&gt;V$7)),0,MAX(0,ROUND((INDEX($E753:$G753,V$5)-SUMIFS(TF_Timer,TF_Tekniker,V$4,TF_Dato,$A753))*2,0)/2)))</f>
        <v/>
      </c>
      <c r="W753">
        <f>IF(OR(W$4="",$A753&gt;TODAY()),0,IF(OR(INDEX($B753:$D753,W$5)="F",AND(W$6&gt;0,$A753&lt;W$6),AND(W$7&gt;0,$A753&gt;W$7)),0,MAX(0,ROUND((INDEX($E753:$G753,W$5)-SUMIFS(TF_Timer,TF_Tekniker,W$4,TF_Dato,$A753))*2,0)/2)))</f>
        <v/>
      </c>
      <c r="X753">
        <f>IF(OR(X$4="",$A753&gt;TODAY()),0,IF(OR(INDEX($B753:$D753,X$5)="F",AND(X$6&gt;0,$A753&lt;X$6),AND(X$7&gt;0,$A753&gt;X$7)),0,MAX(0,ROUND((INDEX($E753:$G753,X$5)-SUMIFS(TF_Timer,TF_Tekniker,X$4,TF_Dato,$A753))*2,0)/2)))</f>
        <v/>
      </c>
      <c r="Y753">
        <f>IF(OR(Y$4="",$A753&gt;TODAY()),0,IF(OR(INDEX($B753:$D753,Y$5)="F",AND(Y$6&gt;0,$A753&lt;Y$6),AND(Y$7&gt;0,$A753&gt;Y$7)),0,MAX(0,ROUND((INDEX($E753:$G753,Y$5)-SUMIFS(TF_Timer,TF_Tekniker,Y$4,TF_Dato,$A753))*2,0)/2)))</f>
        <v/>
      </c>
      <c r="Z753">
        <f>IF(OR(Z$4="",$A753&gt;TODAY()),0,IF(OR(INDEX($B753:$D753,Z$5)="F",AND(Z$6&gt;0,$A753&lt;Z$6),AND(Z$7&gt;0,$A753&gt;Z$7)),0,MAX(0,ROUND((INDEX($E753:$G753,Z$5)-SUMIFS(TF_Timer,TF_Tekniker,Z$4,TF_Dato,$A753))*2,0)/2)))</f>
        <v/>
      </c>
      <c r="AA753">
        <f>IF(OR(AA$4="",$A753&gt;TODAY()),0,IF(OR(INDEX($B753:$D753,AA$5)="F",AND(AA$6&gt;0,$A753&lt;AA$6),AND(AA$7&gt;0,$A753&gt;AA$7)),0,MAX(0,ROUND((INDEX($E753:$G753,AA$5)-SUMIFS(TF_Timer,TF_Tekniker,AA$4,TF_Dato,$A753))*2,0)/2)))</f>
        <v/>
      </c>
      <c r="AB753">
        <f>IF(OR(AB$4="",$A753&gt;TODAY()),0,IF(OR(INDEX($B753:$D753,AB$5)="F",AND(AB$6&gt;0,$A753&lt;AB$6),AND(AB$7&gt;0,$A753&gt;AB$7)),0,MAX(0,ROUND((INDEX($E753:$G753,AB$5)-SUMIFS(TF_Timer,TF_Tekniker,AB$4,TF_Dato,$A753))*2,0)/2)))</f>
        <v/>
      </c>
      <c r="AC753">
        <f>IF(OR(AC$4="",$A753&gt;TODAY()),0,IF(OR(INDEX($B753:$D753,AC$5)="F",AND(AC$6&gt;0,$A753&lt;AC$6),AND(AC$7&gt;0,$A753&gt;AC$7)),0,MAX(0,ROUND((INDEX($E753:$G753,AC$5)-SUMIFS(TF_Timer,TF_Tekniker,AC$4,TF_Dato,$A753))*2,0)/2)))</f>
        <v/>
      </c>
      <c r="AD753">
        <f>IF(OR(AD$4="",$A753&gt;TODAY()),0,IF(OR(INDEX($B753:$D753,AD$5)="F",AND(AD$6&gt;0,$A753&lt;AD$6),AND(AD$7&gt;0,$A753&gt;AD$7)),0,MAX(0,ROUND((INDEX($E753:$G753,AD$5)-SUMIFS(TF_Timer,TF_Tekniker,AD$4,TF_Dato,$A753))*2,0)/2)))</f>
        <v/>
      </c>
      <c r="AE753">
        <f>IF(OR(AE$4="",$A753&gt;TODAY()),0,IF(OR(INDEX($B753:$D753,AE$5)="F",AND(AE$6&gt;0,$A753&lt;AE$6),AND(AE$7&gt;0,$A753&gt;AE$7)),0,MAX(0,ROUND((INDEX($E753:$G753,AE$5)-SUMIFS(TF_Timer,TF_Tekniker,AE$4,TF_Dato,$A753))*2,0)/2)))</f>
        <v/>
      </c>
      <c r="AF753">
        <f>IF(OR(AF$4="",$A753&gt;TODAY()),0,IF(OR(INDEX($B753:$D753,AF$5)="F",AND(AF$6&gt;0,$A753&lt;AF$6),AND(AF$7&gt;0,$A753&gt;AF$7)),0,MAX(0,ROUND((INDEX($E753:$G753,AF$5)-SUMIFS(TF_Timer,TF_Tekniker,AF$4,TF_Dato,$A753))*2,0)/2)))</f>
        <v/>
      </c>
      <c r="AG753">
        <f>IF(OR(AG$4="",$A753&gt;TODAY()),0,IF(OR(INDEX($B753:$D753,AG$5)="F",AND(AG$6&gt;0,$A753&lt;AG$6),AND(AG$7&gt;0,$A753&gt;AG$7)),0,MAX(0,ROUND((INDEX($E753:$G753,AG$5)-SUMIFS(TF_Timer,TF_Tekniker,AG$4,TF_Dato,$A753))*2,0)/2)))</f>
        <v/>
      </c>
      <c r="AH753">
        <f>IF(OR(AH$4="",$A753&gt;TODAY()),0,IF(OR(INDEX($B753:$D753,AH$5)="F",AND(AH$6&gt;0,$A753&lt;AH$6),AND(AH$7&gt;0,$A753&gt;AH$7)),0,MAX(0,ROUND((INDEX($E753:$G753,AH$5)-SUMIFS(TF_Timer,TF_Tekniker,AH$4,TF_Dato,$A753))*2,0)/2)))</f>
        <v/>
      </c>
      <c r="AI753">
        <f>IF(OR(AI$4="",$A753&gt;TODAY()),0,IF(OR(INDEX($B753:$D753,AI$5)="F",AND(AI$6&gt;0,$A753&lt;AI$6),AND(AI$7&gt;0,$A753&gt;AI$7)),0,MAX(0,ROUND((INDEX($E753:$G753,AI$5)-SUMIFS(TF_Timer,TF_Tekniker,AI$4,TF_Dato,$A753))*2,0)/2)))</f>
        <v/>
      </c>
      <c r="AJ753">
        <f>IF(OR(AJ$4="",$A753&gt;TODAY()),0,IF(OR(INDEX($B753:$D753,AJ$5)="F",AND(AJ$6&gt;0,$A753&lt;AJ$6),AND(AJ$7&gt;0,$A753&gt;AJ$7)),0,MAX(0,ROUND((INDEX($E753:$G753,AJ$5)-SUMIFS(TF_Timer,TF_Tekniker,AJ$4,TF_Dato,$A753))*2,0)/2)))</f>
        <v/>
      </c>
      <c r="AK753">
        <f>IF(OR(AK$4="",$A753&gt;TODAY()),0,IF(OR(INDEX($B753:$D753,AK$5)="F",AND(AK$6&gt;0,$A753&lt;AK$6),AND(AK$7&gt;0,$A753&gt;AK$7)),0,MAX(0,ROUND((INDEX($E753:$G753,AK$5)-SUMIFS(TF_Timer,TF_Tekniker,AK$4,TF_Dato,$A753))*2,0)/2)))</f>
        <v/>
      </c>
      <c r="AL753">
        <f>IF(OR(AL$4="",$A753&gt;TODAY()),0,IF(OR(INDEX($B753:$D753,AL$5)="F",AND(AL$6&gt;0,$A753&lt;AL$6),AND(AL$7&gt;0,$A753&gt;AL$7)),0,MAX(0,ROUND((INDEX($E753:$G753,AL$5)-SUMIFS(TF_Timer,TF_Tekniker,AL$4,TF_Dato,$A753))*2,0)/2)))</f>
        <v/>
      </c>
      <c r="AM753">
        <f>IF(OR(AM$4="",$A753&gt;TODAY()),0,IF(OR(INDEX($B753:$D753,AM$5)="F",AND(AM$6&gt;0,$A753&lt;AM$6),AND(AM$7&gt;0,$A753&gt;AM$7)),0,MAX(0,ROUND((INDEX($E753:$G753,AM$5)-SUMIFS(TF_Timer,TF_Tekniker,AM$4,TF_Dato,$A753))*2,0)/2)))</f>
        <v/>
      </c>
      <c r="AN753">
        <f>IF(OR(AN$4="",$A753&gt;TODAY()),0,IF(OR(INDEX($B753:$D753,AN$5)="F",AND(AN$6&gt;0,$A753&lt;AN$6),AND(AN$7&gt;0,$A753&gt;AN$7)),0,MAX(0,ROUND((INDEX($E753:$G753,AN$5)-SUMIFS(TF_Timer,TF_Tekniker,AN$4,TF_Dato,$A753))*2,0)/2)))</f>
        <v/>
      </c>
      <c r="AO753">
        <f>IF(OR(AO$4="",$A753&gt;TODAY()),0,IF(OR(INDEX($B753:$D753,AO$5)="F",AND(AO$6&gt;0,$A753&lt;AO$6),AND(AO$7&gt;0,$A753&gt;AO$7)),0,MAX(0,ROUND((INDEX($E753:$G753,AO$5)-SUMIFS(TF_Timer,TF_Tekniker,AO$4,TF_Dato,$A753))*2,0)/2)))</f>
        <v/>
      </c>
      <c r="AP753">
        <f>IF(OR(AP$4="",$A753&gt;TODAY()),0,IF(OR(INDEX($B753:$D753,AP$5)="F",AND(AP$6&gt;0,$A753&lt;AP$6),AND(AP$7&gt;0,$A753&gt;AP$7)),0,MAX(0,ROUND((INDEX($E753:$G753,AP$5)-SUMIFS(TF_Timer,TF_Tekniker,AP$4,TF_Dato,$A753))*2,0)/2)))</f>
        <v/>
      </c>
      <c r="AQ753">
        <f>IF(OR(AQ$4="",$A753&gt;TODAY()),0,IF(OR(INDEX($B753:$D753,AQ$5)="F",AND(AQ$6&gt;0,$A753&lt;AQ$6),AND(AQ$7&gt;0,$A753&gt;AQ$7)),0,MAX(0,ROUND((INDEX($E753:$G753,AQ$5)-SUMIFS(TF_Timer,TF_Tekniker,AQ$4,TF_Dato,$A753))*2,0)/2)))</f>
        <v/>
      </c>
      <c r="AR753">
        <f>IF(OR(AR$4="",$A753&gt;TODAY()),0,IF(OR(INDEX($B753:$D753,AR$5)="F",AND(AR$6&gt;0,$A753&lt;AR$6),AND(AR$7&gt;0,$A753&gt;AR$7)),0,MAX(0,ROUND((INDEX($E753:$G753,AR$5)-SUMIFS(TF_Timer,TF_Tekniker,AR$4,TF_Dato,$A753))*2,0)/2)))</f>
        <v/>
      </c>
      <c r="AS753">
        <f>IF(OR(AS$4="",$A753&gt;TODAY()),0,IF(OR(INDEX($B753:$D753,AS$5)="F",AND(AS$6&gt;0,$A753&lt;AS$6),AND(AS$7&gt;0,$A753&gt;AS$7)),0,MAX(0,ROUND((INDEX($E753:$G753,AS$5)-SUMIFS(TF_Timer,TF_Tekniker,AS$4,TF_Dato,$A753))*2,0)/2)))</f>
        <v/>
      </c>
      <c r="AT753">
        <f>IF(OR(AT$4="",$A753&gt;TODAY()),0,IF(OR(INDEX($B753:$D753,AT$5)="F",AND(AT$6&gt;0,$A753&lt;AT$6),AND(AT$7&gt;0,$A753&gt;AT$7)),0,MAX(0,ROUND((INDEX($E753:$G753,AT$5)-SUMIFS(TF_Timer,TF_Tekniker,AT$4,TF_Dato,$A753))*2,0)/2)))</f>
        <v/>
      </c>
      <c r="AU753">
        <f>IF(OR(AU$4="",$A753&gt;TODAY()),0,IF(OR(INDEX($B753:$D753,AU$5)="F",AND(AU$6&gt;0,$A753&lt;AU$6),AND(AU$7&gt;0,$A753&gt;AU$7)),0,MAX(0,ROUND((INDEX($E753:$G753,AU$5)-SUMIFS(TF_Timer,TF_Tekniker,AU$4,TF_Dato,$A753))*2,0)/2)))</f>
        <v/>
      </c>
      <c r="AV753">
        <f>IF(OR(AV$4="",$A753&gt;TODAY()),0,IF(OR(INDEX($B753:$D753,AV$5)="F",AND(AV$6&gt;0,$A753&lt;AV$6),AND(AV$7&gt;0,$A753&gt;AV$7)),0,MAX(0,ROUND((INDEX($E753:$G753,AV$5)-SUMIFS(TF_Timer,TF_Tekniker,AV$4,TF_Dato,$A753))*2,0)/2)))</f>
        <v/>
      </c>
      <c r="AW753">
        <f>IF(OR(AW$4="",$A753&gt;TODAY()),0,IF(OR(INDEX($B753:$D753,AW$5)="F",AND(AW$6&gt;0,$A753&lt;AW$6),AND(AW$7&gt;0,$A753&gt;AW$7)),0,MAX(0,ROUND((INDEX($E753:$G753,AW$5)-SUMIFS(TF_Timer,TF_Tekniker,AW$4,TF_Dato,$A753))*2,0)/2)))</f>
        <v/>
      </c>
      <c r="AX753">
        <f>IF(OR(AX$4="",$A753&gt;TODAY()),0,IF(OR(INDEX($B753:$D753,AX$5)="F",AND(AX$6&gt;0,$A753&lt;AX$6),AND(AX$7&gt;0,$A753&gt;AX$7)),0,MAX(0,ROUND((INDEX($E753:$G753,AX$5)-SUMIFS(TF_Timer,TF_Tekniker,AX$4,TF_Dato,$A753))*2,0)/2)))</f>
        <v/>
      </c>
      <c r="AY753">
        <f>IF(OR(AY$4="",$A753&gt;TODAY()),0,IF(OR(INDEX($B753:$D753,AY$5)="F",AND(AY$6&gt;0,$A753&lt;AY$6),AND(AY$7&gt;0,$A753&gt;AY$7)),0,MAX(0,ROUND((INDEX($E753:$G753,AY$5)-SUMIFS(TF_Timer,TF_Tekniker,AY$4,TF_Dato,$A753))*2,0)/2)))</f>
        <v/>
      </c>
      <c r="AZ753">
        <f>IF(OR(AZ$4="",$A753&gt;TODAY()),0,IF(OR(INDEX($B753:$D753,AZ$5)="F",AND(AZ$6&gt;0,$A753&lt;AZ$6),AND(AZ$7&gt;0,$A753&gt;AZ$7)),0,MAX(0,ROUND((INDEX($E753:$G753,AZ$5)-SUMIFS(TF_Timer,TF_Tekniker,AZ$4,TF_Dato,$A753))*2,0)/2)))</f>
        <v/>
      </c>
      <c r="BA753">
        <f>IF(OR(BA$4="",$A753&gt;TODAY()),0,IF(OR(INDEX($B753:$D753,BA$5)="F",AND(BA$6&gt;0,$A753&lt;BA$6),AND(BA$7&gt;0,$A753&gt;BA$7)),0,MAX(0,ROUND((INDEX($E753:$G753,BA$5)-SUMIFS(TF_Timer,TF_Tekniker,BA$4,TF_Dato,$A753))*2,0)/2)))</f>
        <v/>
      </c>
      <c r="BB753">
        <f>IF(OR(BB$4="",$A753&gt;TODAY()),0,IF(OR(INDEX($B753:$D753,BB$5)="F",AND(BB$6&gt;0,$A753&lt;BB$6),AND(BB$7&gt;0,$A753&gt;BB$7)),0,MAX(0,ROUND((INDEX($E753:$G753,BB$5)-SUMIFS(TF_Timer,TF_Tekniker,BB$4,TF_Dato,$A753))*2,0)/2)))</f>
        <v/>
      </c>
      <c r="BC753">
        <f>IF(OR(BC$4="",$A753&gt;TODAY()),0,IF(OR(INDEX($B753:$D753,BC$5)="F",AND(BC$6&gt;0,$A753&lt;BC$6),AND(BC$7&gt;0,$A753&gt;BC$7)),0,MAX(0,ROUND((INDEX($E753:$G753,BC$5)-SUMIFS(TF_Timer,TF_Tekniker,BC$4,TF_Dato,$A753))*2,0)/2)))</f>
        <v/>
      </c>
      <c r="BD753">
        <f>IF(OR(BD$4="",$A753&gt;TODAY()),0,IF(OR(INDEX($B753:$D753,BD$5)="F",AND(BD$6&gt;0,$A753&lt;BD$6),AND(BD$7&gt;0,$A753&gt;BD$7)),0,MAX(0,ROUND((INDEX($E753:$G753,BD$5)-SUMIFS(TF_Timer,TF_Tekniker,BD$4,TF_Dato,$A753))*2,0)/2)))</f>
        <v/>
      </c>
      <c r="BE753">
        <f>IF(OR(BE$4="",$A753&gt;TODAY()),0,IF(OR(INDEX($B753:$D753,BE$5)="F",AND(BE$6&gt;0,$A753&lt;BE$6),AND(BE$7&gt;0,$A753&gt;BE$7)),0,MAX(0,ROUND((INDEX($E753:$G753,BE$5)-SUMIFS(TF_Timer,TF_Tekniker,BE$4,TF_Dato,$A753))*2,0)/2)))</f>
        <v/>
      </c>
      <c r="BF753">
        <f>IF(OR(BF$4="",$A753&gt;TODAY()),0,IF(OR(INDEX($B753:$D753,BF$5)="F",AND(BF$6&gt;0,$A753&lt;BF$6),AND(BF$7&gt;0,$A753&gt;BF$7)),0,MAX(0,ROUND((INDEX($E753:$G753,BF$5)-SUMIFS(TF_Timer,TF_Tekniker,BF$4,TF_Dato,$A753))*2,0)/2)))</f>
        <v/>
      </c>
      <c r="BG753">
        <f>IF(OR(BG$4="",$A753&gt;TODAY()),0,IF(OR(INDEX($B753:$D753,BG$5)="F",AND(BG$6&gt;0,$A753&lt;BG$6),AND(BG$7&gt;0,$A753&gt;BG$7)),0,MAX(0,ROUND((INDEX($E753:$G753,BG$5)-SUMIFS(TF_Timer,TF_Tekniker,BG$4,TF_Dato,$A753))*2,0)/2)))</f>
        <v/>
      </c>
      <c r="BH753">
        <f>IF(OR(BH$4="",$A753&gt;TODAY()),0,IF(OR(INDEX($B753:$D753,BH$5)="F",AND(BH$6&gt;0,$A753&lt;BH$6),AND(BH$7&gt;0,$A753&gt;BH$7)),0,MAX(0,ROUND((INDEX($E753:$G753,BH$5)-SUMIFS(TF_Timer,TF_Tekniker,BH$4,TF_Dato,$A753))*2,0)/2)))</f>
        <v/>
      </c>
      <c r="BI753">
        <f>IF(OR(BI$4="",$A753&gt;TODAY()),0,IF(OR(INDEX($B753:$D753,BI$5)="F",AND(BI$6&gt;0,$A753&lt;BI$6),AND(BI$7&gt;0,$A753&gt;BI$7)),0,MAX(0,ROUND((INDEX($E753:$G753,BI$5)-SUMIFS(TF_Timer,TF_Tekniker,BI$4,TF_Dato,$A753))*2,0)/2)))</f>
        <v/>
      </c>
    </row>
    <row r="754">
      <c r="A754" s="64">
        <f>A753+1</f>
        <v/>
      </c>
      <c r="B754">
        <f>IF(MOD($A754-INDEX(SkiftStart,1),Syklus)&lt;DagK,"K",IF(MOD($A754-INDEX(SkiftStart,1),Syklus)&lt;DagK+DagH,"H",IF(MOD($A754-INDEX(SkiftStart,1),Syklus)&lt;DagK+DagH+DagD,"D","F")))</f>
        <v/>
      </c>
      <c r="C754">
        <f>IF(MOD($A754-INDEX(SkiftStart,2),Syklus)&lt;DagK,"K",IF(MOD($A754-INDEX(SkiftStart,2),Syklus)&lt;DagK+DagH,"H",IF(MOD($A754-INDEX(SkiftStart,2),Syklus)&lt;DagK+DagH+DagD,"D","F")))</f>
        <v/>
      </c>
      <c r="D754">
        <f>IF(MOD($A754-INDEX(SkiftStart,3),Syklus)&lt;DagK,"K",IF(MOD($A754-INDEX(SkiftStart,3),Syklus)&lt;DagK+DagH,"H",IF(MOD($A754-INDEX(SkiftStart,3),Syklus)&lt;DagK+DagH+DagD,"D","F")))</f>
        <v/>
      </c>
      <c r="E754">
        <f>IF(B754="F",0,IF(WEEKDAY($A754,2)=5,INDEX(TimerFr,MATCH(B754,FaseKode,0)),INDEX(TimerMT,MATCH(B754,FaseKode,0))))</f>
        <v/>
      </c>
      <c r="F754">
        <f>IF(C754="F",0,IF(WEEKDAY($A754,2)=5,INDEX(TimerFr,MATCH(C754,FaseKode,0)),INDEX(TimerMT,MATCH(C754,FaseKode,0))))</f>
        <v/>
      </c>
      <c r="G754">
        <f>IF(D754="F",0,IF(WEEKDAY($A754,2)=5,INDEX(TimerFr,MATCH(D754,FaseKode,0)),INDEX(TimerMT,MATCH(D754,FaseKode,0))))</f>
        <v/>
      </c>
      <c r="H754">
        <f>IF(OR(H$4="",$A754&gt;TODAY()),0,IF(OR(INDEX($B754:$D754,H$5)="F",AND(H$6&gt;0,$A754&lt;H$6),AND(H$7&gt;0,$A754&gt;H$7)),0,MAX(0,ROUND((INDEX($E754:$G754,H$5)-SUMIFS(TF_Timer,TF_Tekniker,H$4,TF_Dato,$A754))*2,0)/2)))</f>
        <v/>
      </c>
      <c r="I754">
        <f>IF(OR(I$4="",$A754&gt;TODAY()),0,IF(OR(INDEX($B754:$D754,I$5)="F",AND(I$6&gt;0,$A754&lt;I$6),AND(I$7&gt;0,$A754&gt;I$7)),0,MAX(0,ROUND((INDEX($E754:$G754,I$5)-SUMIFS(TF_Timer,TF_Tekniker,I$4,TF_Dato,$A754))*2,0)/2)))</f>
        <v/>
      </c>
      <c r="J754">
        <f>IF(OR(J$4="",$A754&gt;TODAY()),0,IF(OR(INDEX($B754:$D754,J$5)="F",AND(J$6&gt;0,$A754&lt;J$6),AND(J$7&gt;0,$A754&gt;J$7)),0,MAX(0,ROUND((INDEX($E754:$G754,J$5)-SUMIFS(TF_Timer,TF_Tekniker,J$4,TF_Dato,$A754))*2,0)/2)))</f>
        <v/>
      </c>
      <c r="K754">
        <f>IF(OR(K$4="",$A754&gt;TODAY()),0,IF(OR(INDEX($B754:$D754,K$5)="F",AND(K$6&gt;0,$A754&lt;K$6),AND(K$7&gt;0,$A754&gt;K$7)),0,MAX(0,ROUND((INDEX($E754:$G754,K$5)-SUMIFS(TF_Timer,TF_Tekniker,K$4,TF_Dato,$A754))*2,0)/2)))</f>
        <v/>
      </c>
      <c r="L754">
        <f>IF(OR(L$4="",$A754&gt;TODAY()),0,IF(OR(INDEX($B754:$D754,L$5)="F",AND(L$6&gt;0,$A754&lt;L$6),AND(L$7&gt;0,$A754&gt;L$7)),0,MAX(0,ROUND((INDEX($E754:$G754,L$5)-SUMIFS(TF_Timer,TF_Tekniker,L$4,TF_Dato,$A754))*2,0)/2)))</f>
        <v/>
      </c>
      <c r="M754">
        <f>IF(OR(M$4="",$A754&gt;TODAY()),0,IF(OR(INDEX($B754:$D754,M$5)="F",AND(M$6&gt;0,$A754&lt;M$6),AND(M$7&gt;0,$A754&gt;M$7)),0,MAX(0,ROUND((INDEX($E754:$G754,M$5)-SUMIFS(TF_Timer,TF_Tekniker,M$4,TF_Dato,$A754))*2,0)/2)))</f>
        <v/>
      </c>
      <c r="N754">
        <f>IF(OR(N$4="",$A754&gt;TODAY()),0,IF(OR(INDEX($B754:$D754,N$5)="F",AND(N$6&gt;0,$A754&lt;N$6),AND(N$7&gt;0,$A754&gt;N$7)),0,MAX(0,ROUND((INDEX($E754:$G754,N$5)-SUMIFS(TF_Timer,TF_Tekniker,N$4,TF_Dato,$A754))*2,0)/2)))</f>
        <v/>
      </c>
      <c r="O754">
        <f>IF(OR(O$4="",$A754&gt;TODAY()),0,IF(OR(INDEX($B754:$D754,O$5)="F",AND(O$6&gt;0,$A754&lt;O$6),AND(O$7&gt;0,$A754&gt;O$7)),0,MAX(0,ROUND((INDEX($E754:$G754,O$5)-SUMIFS(TF_Timer,TF_Tekniker,O$4,TF_Dato,$A754))*2,0)/2)))</f>
        <v/>
      </c>
      <c r="P754">
        <f>IF(OR(P$4="",$A754&gt;TODAY()),0,IF(OR(INDEX($B754:$D754,P$5)="F",AND(P$6&gt;0,$A754&lt;P$6),AND(P$7&gt;0,$A754&gt;P$7)),0,MAX(0,ROUND((INDEX($E754:$G754,P$5)-SUMIFS(TF_Timer,TF_Tekniker,P$4,TF_Dato,$A754))*2,0)/2)))</f>
        <v/>
      </c>
      <c r="Q754">
        <f>IF(OR(Q$4="",$A754&gt;TODAY()),0,IF(OR(INDEX($B754:$D754,Q$5)="F",AND(Q$6&gt;0,$A754&lt;Q$6),AND(Q$7&gt;0,$A754&gt;Q$7)),0,MAX(0,ROUND((INDEX($E754:$G754,Q$5)-SUMIFS(TF_Timer,TF_Tekniker,Q$4,TF_Dato,$A754))*2,0)/2)))</f>
        <v/>
      </c>
      <c r="R754">
        <f>IF(OR(R$4="",$A754&gt;TODAY()),0,IF(OR(INDEX($B754:$D754,R$5)="F",AND(R$6&gt;0,$A754&lt;R$6),AND(R$7&gt;0,$A754&gt;R$7)),0,MAX(0,ROUND((INDEX($E754:$G754,R$5)-SUMIFS(TF_Timer,TF_Tekniker,R$4,TF_Dato,$A754))*2,0)/2)))</f>
        <v/>
      </c>
      <c r="S754">
        <f>IF(OR(S$4="",$A754&gt;TODAY()),0,IF(OR(INDEX($B754:$D754,S$5)="F",AND(S$6&gt;0,$A754&lt;S$6),AND(S$7&gt;0,$A754&gt;S$7)),0,MAX(0,ROUND((INDEX($E754:$G754,S$5)-SUMIFS(TF_Timer,TF_Tekniker,S$4,TF_Dato,$A754))*2,0)/2)))</f>
        <v/>
      </c>
      <c r="T754">
        <f>IF(OR(T$4="",$A754&gt;TODAY()),0,IF(OR(INDEX($B754:$D754,T$5)="F",AND(T$6&gt;0,$A754&lt;T$6),AND(T$7&gt;0,$A754&gt;T$7)),0,MAX(0,ROUND((INDEX($E754:$G754,T$5)-SUMIFS(TF_Timer,TF_Tekniker,T$4,TF_Dato,$A754))*2,0)/2)))</f>
        <v/>
      </c>
      <c r="U754">
        <f>IF(OR(U$4="",$A754&gt;TODAY()),0,IF(OR(INDEX($B754:$D754,U$5)="F",AND(U$6&gt;0,$A754&lt;U$6),AND(U$7&gt;0,$A754&gt;U$7)),0,MAX(0,ROUND((INDEX($E754:$G754,U$5)-SUMIFS(TF_Timer,TF_Tekniker,U$4,TF_Dato,$A754))*2,0)/2)))</f>
        <v/>
      </c>
      <c r="V754">
        <f>IF(OR(V$4="",$A754&gt;TODAY()),0,IF(OR(INDEX($B754:$D754,V$5)="F",AND(V$6&gt;0,$A754&lt;V$6),AND(V$7&gt;0,$A754&gt;V$7)),0,MAX(0,ROUND((INDEX($E754:$G754,V$5)-SUMIFS(TF_Timer,TF_Tekniker,V$4,TF_Dato,$A754))*2,0)/2)))</f>
        <v/>
      </c>
      <c r="W754">
        <f>IF(OR(W$4="",$A754&gt;TODAY()),0,IF(OR(INDEX($B754:$D754,W$5)="F",AND(W$6&gt;0,$A754&lt;W$6),AND(W$7&gt;0,$A754&gt;W$7)),0,MAX(0,ROUND((INDEX($E754:$G754,W$5)-SUMIFS(TF_Timer,TF_Tekniker,W$4,TF_Dato,$A754))*2,0)/2)))</f>
        <v/>
      </c>
      <c r="X754">
        <f>IF(OR(X$4="",$A754&gt;TODAY()),0,IF(OR(INDEX($B754:$D754,X$5)="F",AND(X$6&gt;0,$A754&lt;X$6),AND(X$7&gt;0,$A754&gt;X$7)),0,MAX(0,ROUND((INDEX($E754:$G754,X$5)-SUMIFS(TF_Timer,TF_Tekniker,X$4,TF_Dato,$A754))*2,0)/2)))</f>
        <v/>
      </c>
      <c r="Y754">
        <f>IF(OR(Y$4="",$A754&gt;TODAY()),0,IF(OR(INDEX($B754:$D754,Y$5)="F",AND(Y$6&gt;0,$A754&lt;Y$6),AND(Y$7&gt;0,$A754&gt;Y$7)),0,MAX(0,ROUND((INDEX($E754:$G754,Y$5)-SUMIFS(TF_Timer,TF_Tekniker,Y$4,TF_Dato,$A754))*2,0)/2)))</f>
        <v/>
      </c>
      <c r="Z754">
        <f>IF(OR(Z$4="",$A754&gt;TODAY()),0,IF(OR(INDEX($B754:$D754,Z$5)="F",AND(Z$6&gt;0,$A754&lt;Z$6),AND(Z$7&gt;0,$A754&gt;Z$7)),0,MAX(0,ROUND((INDEX($E754:$G754,Z$5)-SUMIFS(TF_Timer,TF_Tekniker,Z$4,TF_Dato,$A754))*2,0)/2)))</f>
        <v/>
      </c>
      <c r="AA754">
        <f>IF(OR(AA$4="",$A754&gt;TODAY()),0,IF(OR(INDEX($B754:$D754,AA$5)="F",AND(AA$6&gt;0,$A754&lt;AA$6),AND(AA$7&gt;0,$A754&gt;AA$7)),0,MAX(0,ROUND((INDEX($E754:$G754,AA$5)-SUMIFS(TF_Timer,TF_Tekniker,AA$4,TF_Dato,$A754))*2,0)/2)))</f>
        <v/>
      </c>
      <c r="AB754">
        <f>IF(OR(AB$4="",$A754&gt;TODAY()),0,IF(OR(INDEX($B754:$D754,AB$5)="F",AND(AB$6&gt;0,$A754&lt;AB$6),AND(AB$7&gt;0,$A754&gt;AB$7)),0,MAX(0,ROUND((INDEX($E754:$G754,AB$5)-SUMIFS(TF_Timer,TF_Tekniker,AB$4,TF_Dato,$A754))*2,0)/2)))</f>
        <v/>
      </c>
      <c r="AC754">
        <f>IF(OR(AC$4="",$A754&gt;TODAY()),0,IF(OR(INDEX($B754:$D754,AC$5)="F",AND(AC$6&gt;0,$A754&lt;AC$6),AND(AC$7&gt;0,$A754&gt;AC$7)),0,MAX(0,ROUND((INDEX($E754:$G754,AC$5)-SUMIFS(TF_Timer,TF_Tekniker,AC$4,TF_Dato,$A754))*2,0)/2)))</f>
        <v/>
      </c>
      <c r="AD754">
        <f>IF(OR(AD$4="",$A754&gt;TODAY()),0,IF(OR(INDEX($B754:$D754,AD$5)="F",AND(AD$6&gt;0,$A754&lt;AD$6),AND(AD$7&gt;0,$A754&gt;AD$7)),0,MAX(0,ROUND((INDEX($E754:$G754,AD$5)-SUMIFS(TF_Timer,TF_Tekniker,AD$4,TF_Dato,$A754))*2,0)/2)))</f>
        <v/>
      </c>
      <c r="AE754">
        <f>IF(OR(AE$4="",$A754&gt;TODAY()),0,IF(OR(INDEX($B754:$D754,AE$5)="F",AND(AE$6&gt;0,$A754&lt;AE$6),AND(AE$7&gt;0,$A754&gt;AE$7)),0,MAX(0,ROUND((INDEX($E754:$G754,AE$5)-SUMIFS(TF_Timer,TF_Tekniker,AE$4,TF_Dato,$A754))*2,0)/2)))</f>
        <v/>
      </c>
      <c r="AF754">
        <f>IF(OR(AF$4="",$A754&gt;TODAY()),0,IF(OR(INDEX($B754:$D754,AF$5)="F",AND(AF$6&gt;0,$A754&lt;AF$6),AND(AF$7&gt;0,$A754&gt;AF$7)),0,MAX(0,ROUND((INDEX($E754:$G754,AF$5)-SUMIFS(TF_Timer,TF_Tekniker,AF$4,TF_Dato,$A754))*2,0)/2)))</f>
        <v/>
      </c>
      <c r="AG754">
        <f>IF(OR(AG$4="",$A754&gt;TODAY()),0,IF(OR(INDEX($B754:$D754,AG$5)="F",AND(AG$6&gt;0,$A754&lt;AG$6),AND(AG$7&gt;0,$A754&gt;AG$7)),0,MAX(0,ROUND((INDEX($E754:$G754,AG$5)-SUMIFS(TF_Timer,TF_Tekniker,AG$4,TF_Dato,$A754))*2,0)/2)))</f>
        <v/>
      </c>
      <c r="AH754">
        <f>IF(OR(AH$4="",$A754&gt;TODAY()),0,IF(OR(INDEX($B754:$D754,AH$5)="F",AND(AH$6&gt;0,$A754&lt;AH$6),AND(AH$7&gt;0,$A754&gt;AH$7)),0,MAX(0,ROUND((INDEX($E754:$G754,AH$5)-SUMIFS(TF_Timer,TF_Tekniker,AH$4,TF_Dato,$A754))*2,0)/2)))</f>
        <v/>
      </c>
      <c r="AI754">
        <f>IF(OR(AI$4="",$A754&gt;TODAY()),0,IF(OR(INDEX($B754:$D754,AI$5)="F",AND(AI$6&gt;0,$A754&lt;AI$6),AND(AI$7&gt;0,$A754&gt;AI$7)),0,MAX(0,ROUND((INDEX($E754:$G754,AI$5)-SUMIFS(TF_Timer,TF_Tekniker,AI$4,TF_Dato,$A754))*2,0)/2)))</f>
        <v/>
      </c>
      <c r="AJ754">
        <f>IF(OR(AJ$4="",$A754&gt;TODAY()),0,IF(OR(INDEX($B754:$D754,AJ$5)="F",AND(AJ$6&gt;0,$A754&lt;AJ$6),AND(AJ$7&gt;0,$A754&gt;AJ$7)),0,MAX(0,ROUND((INDEX($E754:$G754,AJ$5)-SUMIFS(TF_Timer,TF_Tekniker,AJ$4,TF_Dato,$A754))*2,0)/2)))</f>
        <v/>
      </c>
      <c r="AK754">
        <f>IF(OR(AK$4="",$A754&gt;TODAY()),0,IF(OR(INDEX($B754:$D754,AK$5)="F",AND(AK$6&gt;0,$A754&lt;AK$6),AND(AK$7&gt;0,$A754&gt;AK$7)),0,MAX(0,ROUND((INDEX($E754:$G754,AK$5)-SUMIFS(TF_Timer,TF_Tekniker,AK$4,TF_Dato,$A754))*2,0)/2)))</f>
        <v/>
      </c>
      <c r="AL754">
        <f>IF(OR(AL$4="",$A754&gt;TODAY()),0,IF(OR(INDEX($B754:$D754,AL$5)="F",AND(AL$6&gt;0,$A754&lt;AL$6),AND(AL$7&gt;0,$A754&gt;AL$7)),0,MAX(0,ROUND((INDEX($E754:$G754,AL$5)-SUMIFS(TF_Timer,TF_Tekniker,AL$4,TF_Dato,$A754))*2,0)/2)))</f>
        <v/>
      </c>
      <c r="AM754">
        <f>IF(OR(AM$4="",$A754&gt;TODAY()),0,IF(OR(INDEX($B754:$D754,AM$5)="F",AND(AM$6&gt;0,$A754&lt;AM$6),AND(AM$7&gt;0,$A754&gt;AM$7)),0,MAX(0,ROUND((INDEX($E754:$G754,AM$5)-SUMIFS(TF_Timer,TF_Tekniker,AM$4,TF_Dato,$A754))*2,0)/2)))</f>
        <v/>
      </c>
      <c r="AN754">
        <f>IF(OR(AN$4="",$A754&gt;TODAY()),0,IF(OR(INDEX($B754:$D754,AN$5)="F",AND(AN$6&gt;0,$A754&lt;AN$6),AND(AN$7&gt;0,$A754&gt;AN$7)),0,MAX(0,ROUND((INDEX($E754:$G754,AN$5)-SUMIFS(TF_Timer,TF_Tekniker,AN$4,TF_Dato,$A754))*2,0)/2)))</f>
        <v/>
      </c>
      <c r="AO754">
        <f>IF(OR(AO$4="",$A754&gt;TODAY()),0,IF(OR(INDEX($B754:$D754,AO$5)="F",AND(AO$6&gt;0,$A754&lt;AO$6),AND(AO$7&gt;0,$A754&gt;AO$7)),0,MAX(0,ROUND((INDEX($E754:$G754,AO$5)-SUMIFS(TF_Timer,TF_Tekniker,AO$4,TF_Dato,$A754))*2,0)/2)))</f>
        <v/>
      </c>
      <c r="AP754">
        <f>IF(OR(AP$4="",$A754&gt;TODAY()),0,IF(OR(INDEX($B754:$D754,AP$5)="F",AND(AP$6&gt;0,$A754&lt;AP$6),AND(AP$7&gt;0,$A754&gt;AP$7)),0,MAX(0,ROUND((INDEX($E754:$G754,AP$5)-SUMIFS(TF_Timer,TF_Tekniker,AP$4,TF_Dato,$A754))*2,0)/2)))</f>
        <v/>
      </c>
      <c r="AQ754">
        <f>IF(OR(AQ$4="",$A754&gt;TODAY()),0,IF(OR(INDEX($B754:$D754,AQ$5)="F",AND(AQ$6&gt;0,$A754&lt;AQ$6),AND(AQ$7&gt;0,$A754&gt;AQ$7)),0,MAX(0,ROUND((INDEX($E754:$G754,AQ$5)-SUMIFS(TF_Timer,TF_Tekniker,AQ$4,TF_Dato,$A754))*2,0)/2)))</f>
        <v/>
      </c>
      <c r="AR754">
        <f>IF(OR(AR$4="",$A754&gt;TODAY()),0,IF(OR(INDEX($B754:$D754,AR$5)="F",AND(AR$6&gt;0,$A754&lt;AR$6),AND(AR$7&gt;0,$A754&gt;AR$7)),0,MAX(0,ROUND((INDEX($E754:$G754,AR$5)-SUMIFS(TF_Timer,TF_Tekniker,AR$4,TF_Dato,$A754))*2,0)/2)))</f>
        <v/>
      </c>
      <c r="AS754">
        <f>IF(OR(AS$4="",$A754&gt;TODAY()),0,IF(OR(INDEX($B754:$D754,AS$5)="F",AND(AS$6&gt;0,$A754&lt;AS$6),AND(AS$7&gt;0,$A754&gt;AS$7)),0,MAX(0,ROUND((INDEX($E754:$G754,AS$5)-SUMIFS(TF_Timer,TF_Tekniker,AS$4,TF_Dato,$A754))*2,0)/2)))</f>
        <v/>
      </c>
      <c r="AT754">
        <f>IF(OR(AT$4="",$A754&gt;TODAY()),0,IF(OR(INDEX($B754:$D754,AT$5)="F",AND(AT$6&gt;0,$A754&lt;AT$6),AND(AT$7&gt;0,$A754&gt;AT$7)),0,MAX(0,ROUND((INDEX($E754:$G754,AT$5)-SUMIFS(TF_Timer,TF_Tekniker,AT$4,TF_Dato,$A754))*2,0)/2)))</f>
        <v/>
      </c>
      <c r="AU754">
        <f>IF(OR(AU$4="",$A754&gt;TODAY()),0,IF(OR(INDEX($B754:$D754,AU$5)="F",AND(AU$6&gt;0,$A754&lt;AU$6),AND(AU$7&gt;0,$A754&gt;AU$7)),0,MAX(0,ROUND((INDEX($E754:$G754,AU$5)-SUMIFS(TF_Timer,TF_Tekniker,AU$4,TF_Dato,$A754))*2,0)/2)))</f>
        <v/>
      </c>
      <c r="AV754">
        <f>IF(OR(AV$4="",$A754&gt;TODAY()),0,IF(OR(INDEX($B754:$D754,AV$5)="F",AND(AV$6&gt;0,$A754&lt;AV$6),AND(AV$7&gt;0,$A754&gt;AV$7)),0,MAX(0,ROUND((INDEX($E754:$G754,AV$5)-SUMIFS(TF_Timer,TF_Tekniker,AV$4,TF_Dato,$A754))*2,0)/2)))</f>
        <v/>
      </c>
      <c r="AW754">
        <f>IF(OR(AW$4="",$A754&gt;TODAY()),0,IF(OR(INDEX($B754:$D754,AW$5)="F",AND(AW$6&gt;0,$A754&lt;AW$6),AND(AW$7&gt;0,$A754&gt;AW$7)),0,MAX(0,ROUND((INDEX($E754:$G754,AW$5)-SUMIFS(TF_Timer,TF_Tekniker,AW$4,TF_Dato,$A754))*2,0)/2)))</f>
        <v/>
      </c>
      <c r="AX754">
        <f>IF(OR(AX$4="",$A754&gt;TODAY()),0,IF(OR(INDEX($B754:$D754,AX$5)="F",AND(AX$6&gt;0,$A754&lt;AX$6),AND(AX$7&gt;0,$A754&gt;AX$7)),0,MAX(0,ROUND((INDEX($E754:$G754,AX$5)-SUMIFS(TF_Timer,TF_Tekniker,AX$4,TF_Dato,$A754))*2,0)/2)))</f>
        <v/>
      </c>
      <c r="AY754">
        <f>IF(OR(AY$4="",$A754&gt;TODAY()),0,IF(OR(INDEX($B754:$D754,AY$5)="F",AND(AY$6&gt;0,$A754&lt;AY$6),AND(AY$7&gt;0,$A754&gt;AY$7)),0,MAX(0,ROUND((INDEX($E754:$G754,AY$5)-SUMIFS(TF_Timer,TF_Tekniker,AY$4,TF_Dato,$A754))*2,0)/2)))</f>
        <v/>
      </c>
      <c r="AZ754">
        <f>IF(OR(AZ$4="",$A754&gt;TODAY()),0,IF(OR(INDEX($B754:$D754,AZ$5)="F",AND(AZ$6&gt;0,$A754&lt;AZ$6),AND(AZ$7&gt;0,$A754&gt;AZ$7)),0,MAX(0,ROUND((INDEX($E754:$G754,AZ$5)-SUMIFS(TF_Timer,TF_Tekniker,AZ$4,TF_Dato,$A754))*2,0)/2)))</f>
        <v/>
      </c>
      <c r="BA754">
        <f>IF(OR(BA$4="",$A754&gt;TODAY()),0,IF(OR(INDEX($B754:$D754,BA$5)="F",AND(BA$6&gt;0,$A754&lt;BA$6),AND(BA$7&gt;0,$A754&gt;BA$7)),0,MAX(0,ROUND((INDEX($E754:$G754,BA$5)-SUMIFS(TF_Timer,TF_Tekniker,BA$4,TF_Dato,$A754))*2,0)/2)))</f>
        <v/>
      </c>
      <c r="BB754">
        <f>IF(OR(BB$4="",$A754&gt;TODAY()),0,IF(OR(INDEX($B754:$D754,BB$5)="F",AND(BB$6&gt;0,$A754&lt;BB$6),AND(BB$7&gt;0,$A754&gt;BB$7)),0,MAX(0,ROUND((INDEX($E754:$G754,BB$5)-SUMIFS(TF_Timer,TF_Tekniker,BB$4,TF_Dato,$A754))*2,0)/2)))</f>
        <v/>
      </c>
      <c r="BC754">
        <f>IF(OR(BC$4="",$A754&gt;TODAY()),0,IF(OR(INDEX($B754:$D754,BC$5)="F",AND(BC$6&gt;0,$A754&lt;BC$6),AND(BC$7&gt;0,$A754&gt;BC$7)),0,MAX(0,ROUND((INDEX($E754:$G754,BC$5)-SUMIFS(TF_Timer,TF_Tekniker,BC$4,TF_Dato,$A754))*2,0)/2)))</f>
        <v/>
      </c>
      <c r="BD754">
        <f>IF(OR(BD$4="",$A754&gt;TODAY()),0,IF(OR(INDEX($B754:$D754,BD$5)="F",AND(BD$6&gt;0,$A754&lt;BD$6),AND(BD$7&gt;0,$A754&gt;BD$7)),0,MAX(0,ROUND((INDEX($E754:$G754,BD$5)-SUMIFS(TF_Timer,TF_Tekniker,BD$4,TF_Dato,$A754))*2,0)/2)))</f>
        <v/>
      </c>
      <c r="BE754">
        <f>IF(OR(BE$4="",$A754&gt;TODAY()),0,IF(OR(INDEX($B754:$D754,BE$5)="F",AND(BE$6&gt;0,$A754&lt;BE$6),AND(BE$7&gt;0,$A754&gt;BE$7)),0,MAX(0,ROUND((INDEX($E754:$G754,BE$5)-SUMIFS(TF_Timer,TF_Tekniker,BE$4,TF_Dato,$A754))*2,0)/2)))</f>
        <v/>
      </c>
      <c r="BF754">
        <f>IF(OR(BF$4="",$A754&gt;TODAY()),0,IF(OR(INDEX($B754:$D754,BF$5)="F",AND(BF$6&gt;0,$A754&lt;BF$6),AND(BF$7&gt;0,$A754&gt;BF$7)),0,MAX(0,ROUND((INDEX($E754:$G754,BF$5)-SUMIFS(TF_Timer,TF_Tekniker,BF$4,TF_Dato,$A754))*2,0)/2)))</f>
        <v/>
      </c>
      <c r="BG754">
        <f>IF(OR(BG$4="",$A754&gt;TODAY()),0,IF(OR(INDEX($B754:$D754,BG$5)="F",AND(BG$6&gt;0,$A754&lt;BG$6),AND(BG$7&gt;0,$A754&gt;BG$7)),0,MAX(0,ROUND((INDEX($E754:$G754,BG$5)-SUMIFS(TF_Timer,TF_Tekniker,BG$4,TF_Dato,$A754))*2,0)/2)))</f>
        <v/>
      </c>
      <c r="BH754">
        <f>IF(OR(BH$4="",$A754&gt;TODAY()),0,IF(OR(INDEX($B754:$D754,BH$5)="F",AND(BH$6&gt;0,$A754&lt;BH$6),AND(BH$7&gt;0,$A754&gt;BH$7)),0,MAX(0,ROUND((INDEX($E754:$G754,BH$5)-SUMIFS(TF_Timer,TF_Tekniker,BH$4,TF_Dato,$A754))*2,0)/2)))</f>
        <v/>
      </c>
      <c r="BI754">
        <f>IF(OR(BI$4="",$A754&gt;TODAY()),0,IF(OR(INDEX($B754:$D754,BI$5)="F",AND(BI$6&gt;0,$A754&lt;BI$6),AND(BI$7&gt;0,$A754&gt;BI$7)),0,MAX(0,ROUND((INDEX($E754:$G754,BI$5)-SUMIFS(TF_Timer,TF_Tekniker,BI$4,TF_Dato,$A754))*2,0)/2)))</f>
        <v/>
      </c>
    </row>
    <row r="755">
      <c r="A755" s="64">
        <f>A754+1</f>
        <v/>
      </c>
      <c r="B755">
        <f>IF(MOD($A755-INDEX(SkiftStart,1),Syklus)&lt;DagK,"K",IF(MOD($A755-INDEX(SkiftStart,1),Syklus)&lt;DagK+DagH,"H",IF(MOD($A755-INDEX(SkiftStart,1),Syklus)&lt;DagK+DagH+DagD,"D","F")))</f>
        <v/>
      </c>
      <c r="C755">
        <f>IF(MOD($A755-INDEX(SkiftStart,2),Syklus)&lt;DagK,"K",IF(MOD($A755-INDEX(SkiftStart,2),Syklus)&lt;DagK+DagH,"H",IF(MOD($A755-INDEX(SkiftStart,2),Syklus)&lt;DagK+DagH+DagD,"D","F")))</f>
        <v/>
      </c>
      <c r="D755">
        <f>IF(MOD($A755-INDEX(SkiftStart,3),Syklus)&lt;DagK,"K",IF(MOD($A755-INDEX(SkiftStart,3),Syklus)&lt;DagK+DagH,"H",IF(MOD($A755-INDEX(SkiftStart,3),Syklus)&lt;DagK+DagH+DagD,"D","F")))</f>
        <v/>
      </c>
      <c r="E755">
        <f>IF(B755="F",0,IF(WEEKDAY($A755,2)=5,INDEX(TimerFr,MATCH(B755,FaseKode,0)),INDEX(TimerMT,MATCH(B755,FaseKode,0))))</f>
        <v/>
      </c>
      <c r="F755">
        <f>IF(C755="F",0,IF(WEEKDAY($A755,2)=5,INDEX(TimerFr,MATCH(C755,FaseKode,0)),INDEX(TimerMT,MATCH(C755,FaseKode,0))))</f>
        <v/>
      </c>
      <c r="G755">
        <f>IF(D755="F",0,IF(WEEKDAY($A755,2)=5,INDEX(TimerFr,MATCH(D755,FaseKode,0)),INDEX(TimerMT,MATCH(D755,FaseKode,0))))</f>
        <v/>
      </c>
      <c r="H755">
        <f>IF(OR(H$4="",$A755&gt;TODAY()),0,IF(OR(INDEX($B755:$D755,H$5)="F",AND(H$6&gt;0,$A755&lt;H$6),AND(H$7&gt;0,$A755&gt;H$7)),0,MAX(0,ROUND((INDEX($E755:$G755,H$5)-SUMIFS(TF_Timer,TF_Tekniker,H$4,TF_Dato,$A755))*2,0)/2)))</f>
        <v/>
      </c>
      <c r="I755">
        <f>IF(OR(I$4="",$A755&gt;TODAY()),0,IF(OR(INDEX($B755:$D755,I$5)="F",AND(I$6&gt;0,$A755&lt;I$6),AND(I$7&gt;0,$A755&gt;I$7)),0,MAX(0,ROUND((INDEX($E755:$G755,I$5)-SUMIFS(TF_Timer,TF_Tekniker,I$4,TF_Dato,$A755))*2,0)/2)))</f>
        <v/>
      </c>
      <c r="J755">
        <f>IF(OR(J$4="",$A755&gt;TODAY()),0,IF(OR(INDEX($B755:$D755,J$5)="F",AND(J$6&gt;0,$A755&lt;J$6),AND(J$7&gt;0,$A755&gt;J$7)),0,MAX(0,ROUND((INDEX($E755:$G755,J$5)-SUMIFS(TF_Timer,TF_Tekniker,J$4,TF_Dato,$A755))*2,0)/2)))</f>
        <v/>
      </c>
      <c r="K755">
        <f>IF(OR(K$4="",$A755&gt;TODAY()),0,IF(OR(INDEX($B755:$D755,K$5)="F",AND(K$6&gt;0,$A755&lt;K$6),AND(K$7&gt;0,$A755&gt;K$7)),0,MAX(0,ROUND((INDEX($E755:$G755,K$5)-SUMIFS(TF_Timer,TF_Tekniker,K$4,TF_Dato,$A755))*2,0)/2)))</f>
        <v/>
      </c>
      <c r="L755">
        <f>IF(OR(L$4="",$A755&gt;TODAY()),0,IF(OR(INDEX($B755:$D755,L$5)="F",AND(L$6&gt;0,$A755&lt;L$6),AND(L$7&gt;0,$A755&gt;L$7)),0,MAX(0,ROUND((INDEX($E755:$G755,L$5)-SUMIFS(TF_Timer,TF_Tekniker,L$4,TF_Dato,$A755))*2,0)/2)))</f>
        <v/>
      </c>
      <c r="M755">
        <f>IF(OR(M$4="",$A755&gt;TODAY()),0,IF(OR(INDEX($B755:$D755,M$5)="F",AND(M$6&gt;0,$A755&lt;M$6),AND(M$7&gt;0,$A755&gt;M$7)),0,MAX(0,ROUND((INDEX($E755:$G755,M$5)-SUMIFS(TF_Timer,TF_Tekniker,M$4,TF_Dato,$A755))*2,0)/2)))</f>
        <v/>
      </c>
      <c r="N755">
        <f>IF(OR(N$4="",$A755&gt;TODAY()),0,IF(OR(INDEX($B755:$D755,N$5)="F",AND(N$6&gt;0,$A755&lt;N$6),AND(N$7&gt;0,$A755&gt;N$7)),0,MAX(0,ROUND((INDEX($E755:$G755,N$5)-SUMIFS(TF_Timer,TF_Tekniker,N$4,TF_Dato,$A755))*2,0)/2)))</f>
        <v/>
      </c>
      <c r="O755">
        <f>IF(OR(O$4="",$A755&gt;TODAY()),0,IF(OR(INDEX($B755:$D755,O$5)="F",AND(O$6&gt;0,$A755&lt;O$6),AND(O$7&gt;0,$A755&gt;O$7)),0,MAX(0,ROUND((INDEX($E755:$G755,O$5)-SUMIFS(TF_Timer,TF_Tekniker,O$4,TF_Dato,$A755))*2,0)/2)))</f>
        <v/>
      </c>
      <c r="P755">
        <f>IF(OR(P$4="",$A755&gt;TODAY()),0,IF(OR(INDEX($B755:$D755,P$5)="F",AND(P$6&gt;0,$A755&lt;P$6),AND(P$7&gt;0,$A755&gt;P$7)),0,MAX(0,ROUND((INDEX($E755:$G755,P$5)-SUMIFS(TF_Timer,TF_Tekniker,P$4,TF_Dato,$A755))*2,0)/2)))</f>
        <v/>
      </c>
      <c r="Q755">
        <f>IF(OR(Q$4="",$A755&gt;TODAY()),0,IF(OR(INDEX($B755:$D755,Q$5)="F",AND(Q$6&gt;0,$A755&lt;Q$6),AND(Q$7&gt;0,$A755&gt;Q$7)),0,MAX(0,ROUND((INDEX($E755:$G755,Q$5)-SUMIFS(TF_Timer,TF_Tekniker,Q$4,TF_Dato,$A755))*2,0)/2)))</f>
        <v/>
      </c>
      <c r="R755">
        <f>IF(OR(R$4="",$A755&gt;TODAY()),0,IF(OR(INDEX($B755:$D755,R$5)="F",AND(R$6&gt;0,$A755&lt;R$6),AND(R$7&gt;0,$A755&gt;R$7)),0,MAX(0,ROUND((INDEX($E755:$G755,R$5)-SUMIFS(TF_Timer,TF_Tekniker,R$4,TF_Dato,$A755))*2,0)/2)))</f>
        <v/>
      </c>
      <c r="S755">
        <f>IF(OR(S$4="",$A755&gt;TODAY()),0,IF(OR(INDEX($B755:$D755,S$5)="F",AND(S$6&gt;0,$A755&lt;S$6),AND(S$7&gt;0,$A755&gt;S$7)),0,MAX(0,ROUND((INDEX($E755:$G755,S$5)-SUMIFS(TF_Timer,TF_Tekniker,S$4,TF_Dato,$A755))*2,0)/2)))</f>
        <v/>
      </c>
      <c r="T755">
        <f>IF(OR(T$4="",$A755&gt;TODAY()),0,IF(OR(INDEX($B755:$D755,T$5)="F",AND(T$6&gt;0,$A755&lt;T$6),AND(T$7&gt;0,$A755&gt;T$7)),0,MAX(0,ROUND((INDEX($E755:$G755,T$5)-SUMIFS(TF_Timer,TF_Tekniker,T$4,TF_Dato,$A755))*2,0)/2)))</f>
        <v/>
      </c>
      <c r="U755">
        <f>IF(OR(U$4="",$A755&gt;TODAY()),0,IF(OR(INDEX($B755:$D755,U$5)="F",AND(U$6&gt;0,$A755&lt;U$6),AND(U$7&gt;0,$A755&gt;U$7)),0,MAX(0,ROUND((INDEX($E755:$G755,U$5)-SUMIFS(TF_Timer,TF_Tekniker,U$4,TF_Dato,$A755))*2,0)/2)))</f>
        <v/>
      </c>
      <c r="V755">
        <f>IF(OR(V$4="",$A755&gt;TODAY()),0,IF(OR(INDEX($B755:$D755,V$5)="F",AND(V$6&gt;0,$A755&lt;V$6),AND(V$7&gt;0,$A755&gt;V$7)),0,MAX(0,ROUND((INDEX($E755:$G755,V$5)-SUMIFS(TF_Timer,TF_Tekniker,V$4,TF_Dato,$A755))*2,0)/2)))</f>
        <v/>
      </c>
      <c r="W755">
        <f>IF(OR(W$4="",$A755&gt;TODAY()),0,IF(OR(INDEX($B755:$D755,W$5)="F",AND(W$6&gt;0,$A755&lt;W$6),AND(W$7&gt;0,$A755&gt;W$7)),0,MAX(0,ROUND((INDEX($E755:$G755,W$5)-SUMIFS(TF_Timer,TF_Tekniker,W$4,TF_Dato,$A755))*2,0)/2)))</f>
        <v/>
      </c>
      <c r="X755">
        <f>IF(OR(X$4="",$A755&gt;TODAY()),0,IF(OR(INDEX($B755:$D755,X$5)="F",AND(X$6&gt;0,$A755&lt;X$6),AND(X$7&gt;0,$A755&gt;X$7)),0,MAX(0,ROUND((INDEX($E755:$G755,X$5)-SUMIFS(TF_Timer,TF_Tekniker,X$4,TF_Dato,$A755))*2,0)/2)))</f>
        <v/>
      </c>
      <c r="Y755">
        <f>IF(OR(Y$4="",$A755&gt;TODAY()),0,IF(OR(INDEX($B755:$D755,Y$5)="F",AND(Y$6&gt;0,$A755&lt;Y$6),AND(Y$7&gt;0,$A755&gt;Y$7)),0,MAX(0,ROUND((INDEX($E755:$G755,Y$5)-SUMIFS(TF_Timer,TF_Tekniker,Y$4,TF_Dato,$A755))*2,0)/2)))</f>
        <v/>
      </c>
      <c r="Z755">
        <f>IF(OR(Z$4="",$A755&gt;TODAY()),0,IF(OR(INDEX($B755:$D755,Z$5)="F",AND(Z$6&gt;0,$A755&lt;Z$6),AND(Z$7&gt;0,$A755&gt;Z$7)),0,MAX(0,ROUND((INDEX($E755:$G755,Z$5)-SUMIFS(TF_Timer,TF_Tekniker,Z$4,TF_Dato,$A755))*2,0)/2)))</f>
        <v/>
      </c>
      <c r="AA755">
        <f>IF(OR(AA$4="",$A755&gt;TODAY()),0,IF(OR(INDEX($B755:$D755,AA$5)="F",AND(AA$6&gt;0,$A755&lt;AA$6),AND(AA$7&gt;0,$A755&gt;AA$7)),0,MAX(0,ROUND((INDEX($E755:$G755,AA$5)-SUMIFS(TF_Timer,TF_Tekniker,AA$4,TF_Dato,$A755))*2,0)/2)))</f>
        <v/>
      </c>
      <c r="AB755">
        <f>IF(OR(AB$4="",$A755&gt;TODAY()),0,IF(OR(INDEX($B755:$D755,AB$5)="F",AND(AB$6&gt;0,$A755&lt;AB$6),AND(AB$7&gt;0,$A755&gt;AB$7)),0,MAX(0,ROUND((INDEX($E755:$G755,AB$5)-SUMIFS(TF_Timer,TF_Tekniker,AB$4,TF_Dato,$A755))*2,0)/2)))</f>
        <v/>
      </c>
      <c r="AC755">
        <f>IF(OR(AC$4="",$A755&gt;TODAY()),0,IF(OR(INDEX($B755:$D755,AC$5)="F",AND(AC$6&gt;0,$A755&lt;AC$6),AND(AC$7&gt;0,$A755&gt;AC$7)),0,MAX(0,ROUND((INDEX($E755:$G755,AC$5)-SUMIFS(TF_Timer,TF_Tekniker,AC$4,TF_Dato,$A755))*2,0)/2)))</f>
        <v/>
      </c>
      <c r="AD755">
        <f>IF(OR(AD$4="",$A755&gt;TODAY()),0,IF(OR(INDEX($B755:$D755,AD$5)="F",AND(AD$6&gt;0,$A755&lt;AD$6),AND(AD$7&gt;0,$A755&gt;AD$7)),0,MAX(0,ROUND((INDEX($E755:$G755,AD$5)-SUMIFS(TF_Timer,TF_Tekniker,AD$4,TF_Dato,$A755))*2,0)/2)))</f>
        <v/>
      </c>
      <c r="AE755">
        <f>IF(OR(AE$4="",$A755&gt;TODAY()),0,IF(OR(INDEX($B755:$D755,AE$5)="F",AND(AE$6&gt;0,$A755&lt;AE$6),AND(AE$7&gt;0,$A755&gt;AE$7)),0,MAX(0,ROUND((INDEX($E755:$G755,AE$5)-SUMIFS(TF_Timer,TF_Tekniker,AE$4,TF_Dato,$A755))*2,0)/2)))</f>
        <v/>
      </c>
      <c r="AF755">
        <f>IF(OR(AF$4="",$A755&gt;TODAY()),0,IF(OR(INDEX($B755:$D755,AF$5)="F",AND(AF$6&gt;0,$A755&lt;AF$6),AND(AF$7&gt;0,$A755&gt;AF$7)),0,MAX(0,ROUND((INDEX($E755:$G755,AF$5)-SUMIFS(TF_Timer,TF_Tekniker,AF$4,TF_Dato,$A755))*2,0)/2)))</f>
        <v/>
      </c>
      <c r="AG755">
        <f>IF(OR(AG$4="",$A755&gt;TODAY()),0,IF(OR(INDEX($B755:$D755,AG$5)="F",AND(AG$6&gt;0,$A755&lt;AG$6),AND(AG$7&gt;0,$A755&gt;AG$7)),0,MAX(0,ROUND((INDEX($E755:$G755,AG$5)-SUMIFS(TF_Timer,TF_Tekniker,AG$4,TF_Dato,$A755))*2,0)/2)))</f>
        <v/>
      </c>
      <c r="AH755">
        <f>IF(OR(AH$4="",$A755&gt;TODAY()),0,IF(OR(INDEX($B755:$D755,AH$5)="F",AND(AH$6&gt;0,$A755&lt;AH$6),AND(AH$7&gt;0,$A755&gt;AH$7)),0,MAX(0,ROUND((INDEX($E755:$G755,AH$5)-SUMIFS(TF_Timer,TF_Tekniker,AH$4,TF_Dato,$A755))*2,0)/2)))</f>
        <v/>
      </c>
      <c r="AI755">
        <f>IF(OR(AI$4="",$A755&gt;TODAY()),0,IF(OR(INDEX($B755:$D755,AI$5)="F",AND(AI$6&gt;0,$A755&lt;AI$6),AND(AI$7&gt;0,$A755&gt;AI$7)),0,MAX(0,ROUND((INDEX($E755:$G755,AI$5)-SUMIFS(TF_Timer,TF_Tekniker,AI$4,TF_Dato,$A755))*2,0)/2)))</f>
        <v/>
      </c>
      <c r="AJ755">
        <f>IF(OR(AJ$4="",$A755&gt;TODAY()),0,IF(OR(INDEX($B755:$D755,AJ$5)="F",AND(AJ$6&gt;0,$A755&lt;AJ$6),AND(AJ$7&gt;0,$A755&gt;AJ$7)),0,MAX(0,ROUND((INDEX($E755:$G755,AJ$5)-SUMIFS(TF_Timer,TF_Tekniker,AJ$4,TF_Dato,$A755))*2,0)/2)))</f>
        <v/>
      </c>
      <c r="AK755">
        <f>IF(OR(AK$4="",$A755&gt;TODAY()),0,IF(OR(INDEX($B755:$D755,AK$5)="F",AND(AK$6&gt;0,$A755&lt;AK$6),AND(AK$7&gt;0,$A755&gt;AK$7)),0,MAX(0,ROUND((INDEX($E755:$G755,AK$5)-SUMIFS(TF_Timer,TF_Tekniker,AK$4,TF_Dato,$A755))*2,0)/2)))</f>
        <v/>
      </c>
      <c r="AL755">
        <f>IF(OR(AL$4="",$A755&gt;TODAY()),0,IF(OR(INDEX($B755:$D755,AL$5)="F",AND(AL$6&gt;0,$A755&lt;AL$6),AND(AL$7&gt;0,$A755&gt;AL$7)),0,MAX(0,ROUND((INDEX($E755:$G755,AL$5)-SUMIFS(TF_Timer,TF_Tekniker,AL$4,TF_Dato,$A755))*2,0)/2)))</f>
        <v/>
      </c>
      <c r="AM755">
        <f>IF(OR(AM$4="",$A755&gt;TODAY()),0,IF(OR(INDEX($B755:$D755,AM$5)="F",AND(AM$6&gt;0,$A755&lt;AM$6),AND(AM$7&gt;0,$A755&gt;AM$7)),0,MAX(0,ROUND((INDEX($E755:$G755,AM$5)-SUMIFS(TF_Timer,TF_Tekniker,AM$4,TF_Dato,$A755))*2,0)/2)))</f>
        <v/>
      </c>
      <c r="AN755">
        <f>IF(OR(AN$4="",$A755&gt;TODAY()),0,IF(OR(INDEX($B755:$D755,AN$5)="F",AND(AN$6&gt;0,$A755&lt;AN$6),AND(AN$7&gt;0,$A755&gt;AN$7)),0,MAX(0,ROUND((INDEX($E755:$G755,AN$5)-SUMIFS(TF_Timer,TF_Tekniker,AN$4,TF_Dato,$A755))*2,0)/2)))</f>
        <v/>
      </c>
      <c r="AO755">
        <f>IF(OR(AO$4="",$A755&gt;TODAY()),0,IF(OR(INDEX($B755:$D755,AO$5)="F",AND(AO$6&gt;0,$A755&lt;AO$6),AND(AO$7&gt;0,$A755&gt;AO$7)),0,MAX(0,ROUND((INDEX($E755:$G755,AO$5)-SUMIFS(TF_Timer,TF_Tekniker,AO$4,TF_Dato,$A755))*2,0)/2)))</f>
        <v/>
      </c>
      <c r="AP755">
        <f>IF(OR(AP$4="",$A755&gt;TODAY()),0,IF(OR(INDEX($B755:$D755,AP$5)="F",AND(AP$6&gt;0,$A755&lt;AP$6),AND(AP$7&gt;0,$A755&gt;AP$7)),0,MAX(0,ROUND((INDEX($E755:$G755,AP$5)-SUMIFS(TF_Timer,TF_Tekniker,AP$4,TF_Dato,$A755))*2,0)/2)))</f>
        <v/>
      </c>
      <c r="AQ755">
        <f>IF(OR(AQ$4="",$A755&gt;TODAY()),0,IF(OR(INDEX($B755:$D755,AQ$5)="F",AND(AQ$6&gt;0,$A755&lt;AQ$6),AND(AQ$7&gt;0,$A755&gt;AQ$7)),0,MAX(0,ROUND((INDEX($E755:$G755,AQ$5)-SUMIFS(TF_Timer,TF_Tekniker,AQ$4,TF_Dato,$A755))*2,0)/2)))</f>
        <v/>
      </c>
      <c r="AR755">
        <f>IF(OR(AR$4="",$A755&gt;TODAY()),0,IF(OR(INDEX($B755:$D755,AR$5)="F",AND(AR$6&gt;0,$A755&lt;AR$6),AND(AR$7&gt;0,$A755&gt;AR$7)),0,MAX(0,ROUND((INDEX($E755:$G755,AR$5)-SUMIFS(TF_Timer,TF_Tekniker,AR$4,TF_Dato,$A755))*2,0)/2)))</f>
        <v/>
      </c>
      <c r="AS755">
        <f>IF(OR(AS$4="",$A755&gt;TODAY()),0,IF(OR(INDEX($B755:$D755,AS$5)="F",AND(AS$6&gt;0,$A755&lt;AS$6),AND(AS$7&gt;0,$A755&gt;AS$7)),0,MAX(0,ROUND((INDEX($E755:$G755,AS$5)-SUMIFS(TF_Timer,TF_Tekniker,AS$4,TF_Dato,$A755))*2,0)/2)))</f>
        <v/>
      </c>
      <c r="AT755">
        <f>IF(OR(AT$4="",$A755&gt;TODAY()),0,IF(OR(INDEX($B755:$D755,AT$5)="F",AND(AT$6&gt;0,$A755&lt;AT$6),AND(AT$7&gt;0,$A755&gt;AT$7)),0,MAX(0,ROUND((INDEX($E755:$G755,AT$5)-SUMIFS(TF_Timer,TF_Tekniker,AT$4,TF_Dato,$A755))*2,0)/2)))</f>
        <v/>
      </c>
      <c r="AU755">
        <f>IF(OR(AU$4="",$A755&gt;TODAY()),0,IF(OR(INDEX($B755:$D755,AU$5)="F",AND(AU$6&gt;0,$A755&lt;AU$6),AND(AU$7&gt;0,$A755&gt;AU$7)),0,MAX(0,ROUND((INDEX($E755:$G755,AU$5)-SUMIFS(TF_Timer,TF_Tekniker,AU$4,TF_Dato,$A755))*2,0)/2)))</f>
        <v/>
      </c>
      <c r="AV755">
        <f>IF(OR(AV$4="",$A755&gt;TODAY()),0,IF(OR(INDEX($B755:$D755,AV$5)="F",AND(AV$6&gt;0,$A755&lt;AV$6),AND(AV$7&gt;0,$A755&gt;AV$7)),0,MAX(0,ROUND((INDEX($E755:$G755,AV$5)-SUMIFS(TF_Timer,TF_Tekniker,AV$4,TF_Dato,$A755))*2,0)/2)))</f>
        <v/>
      </c>
      <c r="AW755">
        <f>IF(OR(AW$4="",$A755&gt;TODAY()),0,IF(OR(INDEX($B755:$D755,AW$5)="F",AND(AW$6&gt;0,$A755&lt;AW$6),AND(AW$7&gt;0,$A755&gt;AW$7)),0,MAX(0,ROUND((INDEX($E755:$G755,AW$5)-SUMIFS(TF_Timer,TF_Tekniker,AW$4,TF_Dato,$A755))*2,0)/2)))</f>
        <v/>
      </c>
      <c r="AX755">
        <f>IF(OR(AX$4="",$A755&gt;TODAY()),0,IF(OR(INDEX($B755:$D755,AX$5)="F",AND(AX$6&gt;0,$A755&lt;AX$6),AND(AX$7&gt;0,$A755&gt;AX$7)),0,MAX(0,ROUND((INDEX($E755:$G755,AX$5)-SUMIFS(TF_Timer,TF_Tekniker,AX$4,TF_Dato,$A755))*2,0)/2)))</f>
        <v/>
      </c>
      <c r="AY755">
        <f>IF(OR(AY$4="",$A755&gt;TODAY()),0,IF(OR(INDEX($B755:$D755,AY$5)="F",AND(AY$6&gt;0,$A755&lt;AY$6),AND(AY$7&gt;0,$A755&gt;AY$7)),0,MAX(0,ROUND((INDEX($E755:$G755,AY$5)-SUMIFS(TF_Timer,TF_Tekniker,AY$4,TF_Dato,$A755))*2,0)/2)))</f>
        <v/>
      </c>
      <c r="AZ755">
        <f>IF(OR(AZ$4="",$A755&gt;TODAY()),0,IF(OR(INDEX($B755:$D755,AZ$5)="F",AND(AZ$6&gt;0,$A755&lt;AZ$6),AND(AZ$7&gt;0,$A755&gt;AZ$7)),0,MAX(0,ROUND((INDEX($E755:$G755,AZ$5)-SUMIFS(TF_Timer,TF_Tekniker,AZ$4,TF_Dato,$A755))*2,0)/2)))</f>
        <v/>
      </c>
      <c r="BA755">
        <f>IF(OR(BA$4="",$A755&gt;TODAY()),0,IF(OR(INDEX($B755:$D755,BA$5)="F",AND(BA$6&gt;0,$A755&lt;BA$6),AND(BA$7&gt;0,$A755&gt;BA$7)),0,MAX(0,ROUND((INDEX($E755:$G755,BA$5)-SUMIFS(TF_Timer,TF_Tekniker,BA$4,TF_Dato,$A755))*2,0)/2)))</f>
        <v/>
      </c>
      <c r="BB755">
        <f>IF(OR(BB$4="",$A755&gt;TODAY()),0,IF(OR(INDEX($B755:$D755,BB$5)="F",AND(BB$6&gt;0,$A755&lt;BB$6),AND(BB$7&gt;0,$A755&gt;BB$7)),0,MAX(0,ROUND((INDEX($E755:$G755,BB$5)-SUMIFS(TF_Timer,TF_Tekniker,BB$4,TF_Dato,$A755))*2,0)/2)))</f>
        <v/>
      </c>
      <c r="BC755">
        <f>IF(OR(BC$4="",$A755&gt;TODAY()),0,IF(OR(INDEX($B755:$D755,BC$5)="F",AND(BC$6&gt;0,$A755&lt;BC$6),AND(BC$7&gt;0,$A755&gt;BC$7)),0,MAX(0,ROUND((INDEX($E755:$G755,BC$5)-SUMIFS(TF_Timer,TF_Tekniker,BC$4,TF_Dato,$A755))*2,0)/2)))</f>
        <v/>
      </c>
      <c r="BD755">
        <f>IF(OR(BD$4="",$A755&gt;TODAY()),0,IF(OR(INDEX($B755:$D755,BD$5)="F",AND(BD$6&gt;0,$A755&lt;BD$6),AND(BD$7&gt;0,$A755&gt;BD$7)),0,MAX(0,ROUND((INDEX($E755:$G755,BD$5)-SUMIFS(TF_Timer,TF_Tekniker,BD$4,TF_Dato,$A755))*2,0)/2)))</f>
        <v/>
      </c>
      <c r="BE755">
        <f>IF(OR(BE$4="",$A755&gt;TODAY()),0,IF(OR(INDEX($B755:$D755,BE$5)="F",AND(BE$6&gt;0,$A755&lt;BE$6),AND(BE$7&gt;0,$A755&gt;BE$7)),0,MAX(0,ROUND((INDEX($E755:$G755,BE$5)-SUMIFS(TF_Timer,TF_Tekniker,BE$4,TF_Dato,$A755))*2,0)/2)))</f>
        <v/>
      </c>
      <c r="BF755">
        <f>IF(OR(BF$4="",$A755&gt;TODAY()),0,IF(OR(INDEX($B755:$D755,BF$5)="F",AND(BF$6&gt;0,$A755&lt;BF$6),AND(BF$7&gt;0,$A755&gt;BF$7)),0,MAX(0,ROUND((INDEX($E755:$G755,BF$5)-SUMIFS(TF_Timer,TF_Tekniker,BF$4,TF_Dato,$A755))*2,0)/2)))</f>
        <v/>
      </c>
      <c r="BG755">
        <f>IF(OR(BG$4="",$A755&gt;TODAY()),0,IF(OR(INDEX($B755:$D755,BG$5)="F",AND(BG$6&gt;0,$A755&lt;BG$6),AND(BG$7&gt;0,$A755&gt;BG$7)),0,MAX(0,ROUND((INDEX($E755:$G755,BG$5)-SUMIFS(TF_Timer,TF_Tekniker,BG$4,TF_Dato,$A755))*2,0)/2)))</f>
        <v/>
      </c>
      <c r="BH755">
        <f>IF(OR(BH$4="",$A755&gt;TODAY()),0,IF(OR(INDEX($B755:$D755,BH$5)="F",AND(BH$6&gt;0,$A755&lt;BH$6),AND(BH$7&gt;0,$A755&gt;BH$7)),0,MAX(0,ROUND((INDEX($E755:$G755,BH$5)-SUMIFS(TF_Timer,TF_Tekniker,BH$4,TF_Dato,$A755))*2,0)/2)))</f>
        <v/>
      </c>
      <c r="BI755">
        <f>IF(OR(BI$4="",$A755&gt;TODAY()),0,IF(OR(INDEX($B755:$D755,BI$5)="F",AND(BI$6&gt;0,$A755&lt;BI$6),AND(BI$7&gt;0,$A755&gt;BI$7)),0,MAX(0,ROUND((INDEX($E755:$G755,BI$5)-SUMIFS(TF_Timer,TF_Tekniker,BI$4,TF_Dato,$A755))*2,0)/2)))</f>
        <v/>
      </c>
    </row>
    <row r="756">
      <c r="A756" s="64">
        <f>A755+1</f>
        <v/>
      </c>
      <c r="B756">
        <f>IF(MOD($A756-INDEX(SkiftStart,1),Syklus)&lt;DagK,"K",IF(MOD($A756-INDEX(SkiftStart,1),Syklus)&lt;DagK+DagH,"H",IF(MOD($A756-INDEX(SkiftStart,1),Syklus)&lt;DagK+DagH+DagD,"D","F")))</f>
        <v/>
      </c>
      <c r="C756">
        <f>IF(MOD($A756-INDEX(SkiftStart,2),Syklus)&lt;DagK,"K",IF(MOD($A756-INDEX(SkiftStart,2),Syklus)&lt;DagK+DagH,"H",IF(MOD($A756-INDEX(SkiftStart,2),Syklus)&lt;DagK+DagH+DagD,"D","F")))</f>
        <v/>
      </c>
      <c r="D756">
        <f>IF(MOD($A756-INDEX(SkiftStart,3),Syklus)&lt;DagK,"K",IF(MOD($A756-INDEX(SkiftStart,3),Syklus)&lt;DagK+DagH,"H",IF(MOD($A756-INDEX(SkiftStart,3),Syklus)&lt;DagK+DagH+DagD,"D","F")))</f>
        <v/>
      </c>
      <c r="E756">
        <f>IF(B756="F",0,IF(WEEKDAY($A756,2)=5,INDEX(TimerFr,MATCH(B756,FaseKode,0)),INDEX(TimerMT,MATCH(B756,FaseKode,0))))</f>
        <v/>
      </c>
      <c r="F756">
        <f>IF(C756="F",0,IF(WEEKDAY($A756,2)=5,INDEX(TimerFr,MATCH(C756,FaseKode,0)),INDEX(TimerMT,MATCH(C756,FaseKode,0))))</f>
        <v/>
      </c>
      <c r="G756">
        <f>IF(D756="F",0,IF(WEEKDAY($A756,2)=5,INDEX(TimerFr,MATCH(D756,FaseKode,0)),INDEX(TimerMT,MATCH(D756,FaseKode,0))))</f>
        <v/>
      </c>
      <c r="H756">
        <f>IF(OR(H$4="",$A756&gt;TODAY()),0,IF(OR(INDEX($B756:$D756,H$5)="F",AND(H$6&gt;0,$A756&lt;H$6),AND(H$7&gt;0,$A756&gt;H$7)),0,MAX(0,ROUND((INDEX($E756:$G756,H$5)-SUMIFS(TF_Timer,TF_Tekniker,H$4,TF_Dato,$A756))*2,0)/2)))</f>
        <v/>
      </c>
      <c r="I756">
        <f>IF(OR(I$4="",$A756&gt;TODAY()),0,IF(OR(INDEX($B756:$D756,I$5)="F",AND(I$6&gt;0,$A756&lt;I$6),AND(I$7&gt;0,$A756&gt;I$7)),0,MAX(0,ROUND((INDEX($E756:$G756,I$5)-SUMIFS(TF_Timer,TF_Tekniker,I$4,TF_Dato,$A756))*2,0)/2)))</f>
        <v/>
      </c>
      <c r="J756">
        <f>IF(OR(J$4="",$A756&gt;TODAY()),0,IF(OR(INDEX($B756:$D756,J$5)="F",AND(J$6&gt;0,$A756&lt;J$6),AND(J$7&gt;0,$A756&gt;J$7)),0,MAX(0,ROUND((INDEX($E756:$G756,J$5)-SUMIFS(TF_Timer,TF_Tekniker,J$4,TF_Dato,$A756))*2,0)/2)))</f>
        <v/>
      </c>
      <c r="K756">
        <f>IF(OR(K$4="",$A756&gt;TODAY()),0,IF(OR(INDEX($B756:$D756,K$5)="F",AND(K$6&gt;0,$A756&lt;K$6),AND(K$7&gt;0,$A756&gt;K$7)),0,MAX(0,ROUND((INDEX($E756:$G756,K$5)-SUMIFS(TF_Timer,TF_Tekniker,K$4,TF_Dato,$A756))*2,0)/2)))</f>
        <v/>
      </c>
      <c r="L756">
        <f>IF(OR(L$4="",$A756&gt;TODAY()),0,IF(OR(INDEX($B756:$D756,L$5)="F",AND(L$6&gt;0,$A756&lt;L$6),AND(L$7&gt;0,$A756&gt;L$7)),0,MAX(0,ROUND((INDEX($E756:$G756,L$5)-SUMIFS(TF_Timer,TF_Tekniker,L$4,TF_Dato,$A756))*2,0)/2)))</f>
        <v/>
      </c>
      <c r="M756">
        <f>IF(OR(M$4="",$A756&gt;TODAY()),0,IF(OR(INDEX($B756:$D756,M$5)="F",AND(M$6&gt;0,$A756&lt;M$6),AND(M$7&gt;0,$A756&gt;M$7)),0,MAX(0,ROUND((INDEX($E756:$G756,M$5)-SUMIFS(TF_Timer,TF_Tekniker,M$4,TF_Dato,$A756))*2,0)/2)))</f>
        <v/>
      </c>
      <c r="N756">
        <f>IF(OR(N$4="",$A756&gt;TODAY()),0,IF(OR(INDEX($B756:$D756,N$5)="F",AND(N$6&gt;0,$A756&lt;N$6),AND(N$7&gt;0,$A756&gt;N$7)),0,MAX(0,ROUND((INDEX($E756:$G756,N$5)-SUMIFS(TF_Timer,TF_Tekniker,N$4,TF_Dato,$A756))*2,0)/2)))</f>
        <v/>
      </c>
      <c r="O756">
        <f>IF(OR(O$4="",$A756&gt;TODAY()),0,IF(OR(INDEX($B756:$D756,O$5)="F",AND(O$6&gt;0,$A756&lt;O$6),AND(O$7&gt;0,$A756&gt;O$7)),0,MAX(0,ROUND((INDEX($E756:$G756,O$5)-SUMIFS(TF_Timer,TF_Tekniker,O$4,TF_Dato,$A756))*2,0)/2)))</f>
        <v/>
      </c>
      <c r="P756">
        <f>IF(OR(P$4="",$A756&gt;TODAY()),0,IF(OR(INDEX($B756:$D756,P$5)="F",AND(P$6&gt;0,$A756&lt;P$6),AND(P$7&gt;0,$A756&gt;P$7)),0,MAX(0,ROUND((INDEX($E756:$G756,P$5)-SUMIFS(TF_Timer,TF_Tekniker,P$4,TF_Dato,$A756))*2,0)/2)))</f>
        <v/>
      </c>
      <c r="Q756">
        <f>IF(OR(Q$4="",$A756&gt;TODAY()),0,IF(OR(INDEX($B756:$D756,Q$5)="F",AND(Q$6&gt;0,$A756&lt;Q$6),AND(Q$7&gt;0,$A756&gt;Q$7)),0,MAX(0,ROUND((INDEX($E756:$G756,Q$5)-SUMIFS(TF_Timer,TF_Tekniker,Q$4,TF_Dato,$A756))*2,0)/2)))</f>
        <v/>
      </c>
      <c r="R756">
        <f>IF(OR(R$4="",$A756&gt;TODAY()),0,IF(OR(INDEX($B756:$D756,R$5)="F",AND(R$6&gt;0,$A756&lt;R$6),AND(R$7&gt;0,$A756&gt;R$7)),0,MAX(0,ROUND((INDEX($E756:$G756,R$5)-SUMIFS(TF_Timer,TF_Tekniker,R$4,TF_Dato,$A756))*2,0)/2)))</f>
        <v/>
      </c>
      <c r="S756">
        <f>IF(OR(S$4="",$A756&gt;TODAY()),0,IF(OR(INDEX($B756:$D756,S$5)="F",AND(S$6&gt;0,$A756&lt;S$6),AND(S$7&gt;0,$A756&gt;S$7)),0,MAX(0,ROUND((INDEX($E756:$G756,S$5)-SUMIFS(TF_Timer,TF_Tekniker,S$4,TF_Dato,$A756))*2,0)/2)))</f>
        <v/>
      </c>
      <c r="T756">
        <f>IF(OR(T$4="",$A756&gt;TODAY()),0,IF(OR(INDEX($B756:$D756,T$5)="F",AND(T$6&gt;0,$A756&lt;T$6),AND(T$7&gt;0,$A756&gt;T$7)),0,MAX(0,ROUND((INDEX($E756:$G756,T$5)-SUMIFS(TF_Timer,TF_Tekniker,T$4,TF_Dato,$A756))*2,0)/2)))</f>
        <v/>
      </c>
      <c r="U756">
        <f>IF(OR(U$4="",$A756&gt;TODAY()),0,IF(OR(INDEX($B756:$D756,U$5)="F",AND(U$6&gt;0,$A756&lt;U$6),AND(U$7&gt;0,$A756&gt;U$7)),0,MAX(0,ROUND((INDEX($E756:$G756,U$5)-SUMIFS(TF_Timer,TF_Tekniker,U$4,TF_Dato,$A756))*2,0)/2)))</f>
        <v/>
      </c>
      <c r="V756">
        <f>IF(OR(V$4="",$A756&gt;TODAY()),0,IF(OR(INDEX($B756:$D756,V$5)="F",AND(V$6&gt;0,$A756&lt;V$6),AND(V$7&gt;0,$A756&gt;V$7)),0,MAX(0,ROUND((INDEX($E756:$G756,V$5)-SUMIFS(TF_Timer,TF_Tekniker,V$4,TF_Dato,$A756))*2,0)/2)))</f>
        <v/>
      </c>
      <c r="W756">
        <f>IF(OR(W$4="",$A756&gt;TODAY()),0,IF(OR(INDEX($B756:$D756,W$5)="F",AND(W$6&gt;0,$A756&lt;W$6),AND(W$7&gt;0,$A756&gt;W$7)),0,MAX(0,ROUND((INDEX($E756:$G756,W$5)-SUMIFS(TF_Timer,TF_Tekniker,W$4,TF_Dato,$A756))*2,0)/2)))</f>
        <v/>
      </c>
      <c r="X756">
        <f>IF(OR(X$4="",$A756&gt;TODAY()),0,IF(OR(INDEX($B756:$D756,X$5)="F",AND(X$6&gt;0,$A756&lt;X$6),AND(X$7&gt;0,$A756&gt;X$7)),0,MAX(0,ROUND((INDEX($E756:$G756,X$5)-SUMIFS(TF_Timer,TF_Tekniker,X$4,TF_Dato,$A756))*2,0)/2)))</f>
        <v/>
      </c>
      <c r="Y756">
        <f>IF(OR(Y$4="",$A756&gt;TODAY()),0,IF(OR(INDEX($B756:$D756,Y$5)="F",AND(Y$6&gt;0,$A756&lt;Y$6),AND(Y$7&gt;0,$A756&gt;Y$7)),0,MAX(0,ROUND((INDEX($E756:$G756,Y$5)-SUMIFS(TF_Timer,TF_Tekniker,Y$4,TF_Dato,$A756))*2,0)/2)))</f>
        <v/>
      </c>
      <c r="Z756">
        <f>IF(OR(Z$4="",$A756&gt;TODAY()),0,IF(OR(INDEX($B756:$D756,Z$5)="F",AND(Z$6&gt;0,$A756&lt;Z$6),AND(Z$7&gt;0,$A756&gt;Z$7)),0,MAX(0,ROUND((INDEX($E756:$G756,Z$5)-SUMIFS(TF_Timer,TF_Tekniker,Z$4,TF_Dato,$A756))*2,0)/2)))</f>
        <v/>
      </c>
      <c r="AA756">
        <f>IF(OR(AA$4="",$A756&gt;TODAY()),0,IF(OR(INDEX($B756:$D756,AA$5)="F",AND(AA$6&gt;0,$A756&lt;AA$6),AND(AA$7&gt;0,$A756&gt;AA$7)),0,MAX(0,ROUND((INDEX($E756:$G756,AA$5)-SUMIFS(TF_Timer,TF_Tekniker,AA$4,TF_Dato,$A756))*2,0)/2)))</f>
        <v/>
      </c>
      <c r="AB756">
        <f>IF(OR(AB$4="",$A756&gt;TODAY()),0,IF(OR(INDEX($B756:$D756,AB$5)="F",AND(AB$6&gt;0,$A756&lt;AB$6),AND(AB$7&gt;0,$A756&gt;AB$7)),0,MAX(0,ROUND((INDEX($E756:$G756,AB$5)-SUMIFS(TF_Timer,TF_Tekniker,AB$4,TF_Dato,$A756))*2,0)/2)))</f>
        <v/>
      </c>
      <c r="AC756">
        <f>IF(OR(AC$4="",$A756&gt;TODAY()),0,IF(OR(INDEX($B756:$D756,AC$5)="F",AND(AC$6&gt;0,$A756&lt;AC$6),AND(AC$7&gt;0,$A756&gt;AC$7)),0,MAX(0,ROUND((INDEX($E756:$G756,AC$5)-SUMIFS(TF_Timer,TF_Tekniker,AC$4,TF_Dato,$A756))*2,0)/2)))</f>
        <v/>
      </c>
      <c r="AD756">
        <f>IF(OR(AD$4="",$A756&gt;TODAY()),0,IF(OR(INDEX($B756:$D756,AD$5)="F",AND(AD$6&gt;0,$A756&lt;AD$6),AND(AD$7&gt;0,$A756&gt;AD$7)),0,MAX(0,ROUND((INDEX($E756:$G756,AD$5)-SUMIFS(TF_Timer,TF_Tekniker,AD$4,TF_Dato,$A756))*2,0)/2)))</f>
        <v/>
      </c>
      <c r="AE756">
        <f>IF(OR(AE$4="",$A756&gt;TODAY()),0,IF(OR(INDEX($B756:$D756,AE$5)="F",AND(AE$6&gt;0,$A756&lt;AE$6),AND(AE$7&gt;0,$A756&gt;AE$7)),0,MAX(0,ROUND((INDEX($E756:$G756,AE$5)-SUMIFS(TF_Timer,TF_Tekniker,AE$4,TF_Dato,$A756))*2,0)/2)))</f>
        <v/>
      </c>
      <c r="AF756">
        <f>IF(OR(AF$4="",$A756&gt;TODAY()),0,IF(OR(INDEX($B756:$D756,AF$5)="F",AND(AF$6&gt;0,$A756&lt;AF$6),AND(AF$7&gt;0,$A756&gt;AF$7)),0,MAX(0,ROUND((INDEX($E756:$G756,AF$5)-SUMIFS(TF_Timer,TF_Tekniker,AF$4,TF_Dato,$A756))*2,0)/2)))</f>
        <v/>
      </c>
      <c r="AG756">
        <f>IF(OR(AG$4="",$A756&gt;TODAY()),0,IF(OR(INDEX($B756:$D756,AG$5)="F",AND(AG$6&gt;0,$A756&lt;AG$6),AND(AG$7&gt;0,$A756&gt;AG$7)),0,MAX(0,ROUND((INDEX($E756:$G756,AG$5)-SUMIFS(TF_Timer,TF_Tekniker,AG$4,TF_Dato,$A756))*2,0)/2)))</f>
        <v/>
      </c>
      <c r="AH756">
        <f>IF(OR(AH$4="",$A756&gt;TODAY()),0,IF(OR(INDEX($B756:$D756,AH$5)="F",AND(AH$6&gt;0,$A756&lt;AH$6),AND(AH$7&gt;0,$A756&gt;AH$7)),0,MAX(0,ROUND((INDEX($E756:$G756,AH$5)-SUMIFS(TF_Timer,TF_Tekniker,AH$4,TF_Dato,$A756))*2,0)/2)))</f>
        <v/>
      </c>
      <c r="AI756">
        <f>IF(OR(AI$4="",$A756&gt;TODAY()),0,IF(OR(INDEX($B756:$D756,AI$5)="F",AND(AI$6&gt;0,$A756&lt;AI$6),AND(AI$7&gt;0,$A756&gt;AI$7)),0,MAX(0,ROUND((INDEX($E756:$G756,AI$5)-SUMIFS(TF_Timer,TF_Tekniker,AI$4,TF_Dato,$A756))*2,0)/2)))</f>
        <v/>
      </c>
      <c r="AJ756">
        <f>IF(OR(AJ$4="",$A756&gt;TODAY()),0,IF(OR(INDEX($B756:$D756,AJ$5)="F",AND(AJ$6&gt;0,$A756&lt;AJ$6),AND(AJ$7&gt;0,$A756&gt;AJ$7)),0,MAX(0,ROUND((INDEX($E756:$G756,AJ$5)-SUMIFS(TF_Timer,TF_Tekniker,AJ$4,TF_Dato,$A756))*2,0)/2)))</f>
        <v/>
      </c>
      <c r="AK756">
        <f>IF(OR(AK$4="",$A756&gt;TODAY()),0,IF(OR(INDEX($B756:$D756,AK$5)="F",AND(AK$6&gt;0,$A756&lt;AK$6),AND(AK$7&gt;0,$A756&gt;AK$7)),0,MAX(0,ROUND((INDEX($E756:$G756,AK$5)-SUMIFS(TF_Timer,TF_Tekniker,AK$4,TF_Dato,$A756))*2,0)/2)))</f>
        <v/>
      </c>
      <c r="AL756">
        <f>IF(OR(AL$4="",$A756&gt;TODAY()),0,IF(OR(INDEX($B756:$D756,AL$5)="F",AND(AL$6&gt;0,$A756&lt;AL$6),AND(AL$7&gt;0,$A756&gt;AL$7)),0,MAX(0,ROUND((INDEX($E756:$G756,AL$5)-SUMIFS(TF_Timer,TF_Tekniker,AL$4,TF_Dato,$A756))*2,0)/2)))</f>
        <v/>
      </c>
      <c r="AM756">
        <f>IF(OR(AM$4="",$A756&gt;TODAY()),0,IF(OR(INDEX($B756:$D756,AM$5)="F",AND(AM$6&gt;0,$A756&lt;AM$6),AND(AM$7&gt;0,$A756&gt;AM$7)),0,MAX(0,ROUND((INDEX($E756:$G756,AM$5)-SUMIFS(TF_Timer,TF_Tekniker,AM$4,TF_Dato,$A756))*2,0)/2)))</f>
        <v/>
      </c>
      <c r="AN756">
        <f>IF(OR(AN$4="",$A756&gt;TODAY()),0,IF(OR(INDEX($B756:$D756,AN$5)="F",AND(AN$6&gt;0,$A756&lt;AN$6),AND(AN$7&gt;0,$A756&gt;AN$7)),0,MAX(0,ROUND((INDEX($E756:$G756,AN$5)-SUMIFS(TF_Timer,TF_Tekniker,AN$4,TF_Dato,$A756))*2,0)/2)))</f>
        <v/>
      </c>
      <c r="AO756">
        <f>IF(OR(AO$4="",$A756&gt;TODAY()),0,IF(OR(INDEX($B756:$D756,AO$5)="F",AND(AO$6&gt;0,$A756&lt;AO$6),AND(AO$7&gt;0,$A756&gt;AO$7)),0,MAX(0,ROUND((INDEX($E756:$G756,AO$5)-SUMIFS(TF_Timer,TF_Tekniker,AO$4,TF_Dato,$A756))*2,0)/2)))</f>
        <v/>
      </c>
      <c r="AP756">
        <f>IF(OR(AP$4="",$A756&gt;TODAY()),0,IF(OR(INDEX($B756:$D756,AP$5)="F",AND(AP$6&gt;0,$A756&lt;AP$6),AND(AP$7&gt;0,$A756&gt;AP$7)),0,MAX(0,ROUND((INDEX($E756:$G756,AP$5)-SUMIFS(TF_Timer,TF_Tekniker,AP$4,TF_Dato,$A756))*2,0)/2)))</f>
        <v/>
      </c>
      <c r="AQ756">
        <f>IF(OR(AQ$4="",$A756&gt;TODAY()),0,IF(OR(INDEX($B756:$D756,AQ$5)="F",AND(AQ$6&gt;0,$A756&lt;AQ$6),AND(AQ$7&gt;0,$A756&gt;AQ$7)),0,MAX(0,ROUND((INDEX($E756:$G756,AQ$5)-SUMIFS(TF_Timer,TF_Tekniker,AQ$4,TF_Dato,$A756))*2,0)/2)))</f>
        <v/>
      </c>
      <c r="AR756">
        <f>IF(OR(AR$4="",$A756&gt;TODAY()),0,IF(OR(INDEX($B756:$D756,AR$5)="F",AND(AR$6&gt;0,$A756&lt;AR$6),AND(AR$7&gt;0,$A756&gt;AR$7)),0,MAX(0,ROUND((INDEX($E756:$G756,AR$5)-SUMIFS(TF_Timer,TF_Tekniker,AR$4,TF_Dato,$A756))*2,0)/2)))</f>
        <v/>
      </c>
      <c r="AS756">
        <f>IF(OR(AS$4="",$A756&gt;TODAY()),0,IF(OR(INDEX($B756:$D756,AS$5)="F",AND(AS$6&gt;0,$A756&lt;AS$6),AND(AS$7&gt;0,$A756&gt;AS$7)),0,MAX(0,ROUND((INDEX($E756:$G756,AS$5)-SUMIFS(TF_Timer,TF_Tekniker,AS$4,TF_Dato,$A756))*2,0)/2)))</f>
        <v/>
      </c>
      <c r="AT756">
        <f>IF(OR(AT$4="",$A756&gt;TODAY()),0,IF(OR(INDEX($B756:$D756,AT$5)="F",AND(AT$6&gt;0,$A756&lt;AT$6),AND(AT$7&gt;0,$A756&gt;AT$7)),0,MAX(0,ROUND((INDEX($E756:$G756,AT$5)-SUMIFS(TF_Timer,TF_Tekniker,AT$4,TF_Dato,$A756))*2,0)/2)))</f>
        <v/>
      </c>
      <c r="AU756">
        <f>IF(OR(AU$4="",$A756&gt;TODAY()),0,IF(OR(INDEX($B756:$D756,AU$5)="F",AND(AU$6&gt;0,$A756&lt;AU$6),AND(AU$7&gt;0,$A756&gt;AU$7)),0,MAX(0,ROUND((INDEX($E756:$G756,AU$5)-SUMIFS(TF_Timer,TF_Tekniker,AU$4,TF_Dato,$A756))*2,0)/2)))</f>
        <v/>
      </c>
      <c r="AV756">
        <f>IF(OR(AV$4="",$A756&gt;TODAY()),0,IF(OR(INDEX($B756:$D756,AV$5)="F",AND(AV$6&gt;0,$A756&lt;AV$6),AND(AV$7&gt;0,$A756&gt;AV$7)),0,MAX(0,ROUND((INDEX($E756:$G756,AV$5)-SUMIFS(TF_Timer,TF_Tekniker,AV$4,TF_Dato,$A756))*2,0)/2)))</f>
        <v/>
      </c>
      <c r="AW756">
        <f>IF(OR(AW$4="",$A756&gt;TODAY()),0,IF(OR(INDEX($B756:$D756,AW$5)="F",AND(AW$6&gt;0,$A756&lt;AW$6),AND(AW$7&gt;0,$A756&gt;AW$7)),0,MAX(0,ROUND((INDEX($E756:$G756,AW$5)-SUMIFS(TF_Timer,TF_Tekniker,AW$4,TF_Dato,$A756))*2,0)/2)))</f>
        <v/>
      </c>
      <c r="AX756">
        <f>IF(OR(AX$4="",$A756&gt;TODAY()),0,IF(OR(INDEX($B756:$D756,AX$5)="F",AND(AX$6&gt;0,$A756&lt;AX$6),AND(AX$7&gt;0,$A756&gt;AX$7)),0,MAX(0,ROUND((INDEX($E756:$G756,AX$5)-SUMIFS(TF_Timer,TF_Tekniker,AX$4,TF_Dato,$A756))*2,0)/2)))</f>
        <v/>
      </c>
      <c r="AY756">
        <f>IF(OR(AY$4="",$A756&gt;TODAY()),0,IF(OR(INDEX($B756:$D756,AY$5)="F",AND(AY$6&gt;0,$A756&lt;AY$6),AND(AY$7&gt;0,$A756&gt;AY$7)),0,MAX(0,ROUND((INDEX($E756:$G756,AY$5)-SUMIFS(TF_Timer,TF_Tekniker,AY$4,TF_Dato,$A756))*2,0)/2)))</f>
        <v/>
      </c>
      <c r="AZ756">
        <f>IF(OR(AZ$4="",$A756&gt;TODAY()),0,IF(OR(INDEX($B756:$D756,AZ$5)="F",AND(AZ$6&gt;0,$A756&lt;AZ$6),AND(AZ$7&gt;0,$A756&gt;AZ$7)),0,MAX(0,ROUND((INDEX($E756:$G756,AZ$5)-SUMIFS(TF_Timer,TF_Tekniker,AZ$4,TF_Dato,$A756))*2,0)/2)))</f>
        <v/>
      </c>
      <c r="BA756">
        <f>IF(OR(BA$4="",$A756&gt;TODAY()),0,IF(OR(INDEX($B756:$D756,BA$5)="F",AND(BA$6&gt;0,$A756&lt;BA$6),AND(BA$7&gt;0,$A756&gt;BA$7)),0,MAX(0,ROUND((INDEX($E756:$G756,BA$5)-SUMIFS(TF_Timer,TF_Tekniker,BA$4,TF_Dato,$A756))*2,0)/2)))</f>
        <v/>
      </c>
      <c r="BB756">
        <f>IF(OR(BB$4="",$A756&gt;TODAY()),0,IF(OR(INDEX($B756:$D756,BB$5)="F",AND(BB$6&gt;0,$A756&lt;BB$6),AND(BB$7&gt;0,$A756&gt;BB$7)),0,MAX(0,ROUND((INDEX($E756:$G756,BB$5)-SUMIFS(TF_Timer,TF_Tekniker,BB$4,TF_Dato,$A756))*2,0)/2)))</f>
        <v/>
      </c>
      <c r="BC756">
        <f>IF(OR(BC$4="",$A756&gt;TODAY()),0,IF(OR(INDEX($B756:$D756,BC$5)="F",AND(BC$6&gt;0,$A756&lt;BC$6),AND(BC$7&gt;0,$A756&gt;BC$7)),0,MAX(0,ROUND((INDEX($E756:$G756,BC$5)-SUMIFS(TF_Timer,TF_Tekniker,BC$4,TF_Dato,$A756))*2,0)/2)))</f>
        <v/>
      </c>
      <c r="BD756">
        <f>IF(OR(BD$4="",$A756&gt;TODAY()),0,IF(OR(INDEX($B756:$D756,BD$5)="F",AND(BD$6&gt;0,$A756&lt;BD$6),AND(BD$7&gt;0,$A756&gt;BD$7)),0,MAX(0,ROUND((INDEX($E756:$G756,BD$5)-SUMIFS(TF_Timer,TF_Tekniker,BD$4,TF_Dato,$A756))*2,0)/2)))</f>
        <v/>
      </c>
      <c r="BE756">
        <f>IF(OR(BE$4="",$A756&gt;TODAY()),0,IF(OR(INDEX($B756:$D756,BE$5)="F",AND(BE$6&gt;0,$A756&lt;BE$6),AND(BE$7&gt;0,$A756&gt;BE$7)),0,MAX(0,ROUND((INDEX($E756:$G756,BE$5)-SUMIFS(TF_Timer,TF_Tekniker,BE$4,TF_Dato,$A756))*2,0)/2)))</f>
        <v/>
      </c>
      <c r="BF756">
        <f>IF(OR(BF$4="",$A756&gt;TODAY()),0,IF(OR(INDEX($B756:$D756,BF$5)="F",AND(BF$6&gt;0,$A756&lt;BF$6),AND(BF$7&gt;0,$A756&gt;BF$7)),0,MAX(0,ROUND((INDEX($E756:$G756,BF$5)-SUMIFS(TF_Timer,TF_Tekniker,BF$4,TF_Dato,$A756))*2,0)/2)))</f>
        <v/>
      </c>
      <c r="BG756">
        <f>IF(OR(BG$4="",$A756&gt;TODAY()),0,IF(OR(INDEX($B756:$D756,BG$5)="F",AND(BG$6&gt;0,$A756&lt;BG$6),AND(BG$7&gt;0,$A756&gt;BG$7)),0,MAX(0,ROUND((INDEX($E756:$G756,BG$5)-SUMIFS(TF_Timer,TF_Tekniker,BG$4,TF_Dato,$A756))*2,0)/2)))</f>
        <v/>
      </c>
      <c r="BH756">
        <f>IF(OR(BH$4="",$A756&gt;TODAY()),0,IF(OR(INDEX($B756:$D756,BH$5)="F",AND(BH$6&gt;0,$A756&lt;BH$6),AND(BH$7&gt;0,$A756&gt;BH$7)),0,MAX(0,ROUND((INDEX($E756:$G756,BH$5)-SUMIFS(TF_Timer,TF_Tekniker,BH$4,TF_Dato,$A756))*2,0)/2)))</f>
        <v/>
      </c>
      <c r="BI756">
        <f>IF(OR(BI$4="",$A756&gt;TODAY()),0,IF(OR(INDEX($B756:$D756,BI$5)="F",AND(BI$6&gt;0,$A756&lt;BI$6),AND(BI$7&gt;0,$A756&gt;BI$7)),0,MAX(0,ROUND((INDEX($E756:$G756,BI$5)-SUMIFS(TF_Timer,TF_Tekniker,BI$4,TF_Dato,$A756))*2,0)/2)))</f>
        <v/>
      </c>
    </row>
    <row r="757">
      <c r="A757" s="64">
        <f>A756+1</f>
        <v/>
      </c>
      <c r="B757">
        <f>IF(MOD($A757-INDEX(SkiftStart,1),Syklus)&lt;DagK,"K",IF(MOD($A757-INDEX(SkiftStart,1),Syklus)&lt;DagK+DagH,"H",IF(MOD($A757-INDEX(SkiftStart,1),Syklus)&lt;DagK+DagH+DagD,"D","F")))</f>
        <v/>
      </c>
      <c r="C757">
        <f>IF(MOD($A757-INDEX(SkiftStart,2),Syklus)&lt;DagK,"K",IF(MOD($A757-INDEX(SkiftStart,2),Syklus)&lt;DagK+DagH,"H",IF(MOD($A757-INDEX(SkiftStart,2),Syklus)&lt;DagK+DagH+DagD,"D","F")))</f>
        <v/>
      </c>
      <c r="D757">
        <f>IF(MOD($A757-INDEX(SkiftStart,3),Syklus)&lt;DagK,"K",IF(MOD($A757-INDEX(SkiftStart,3),Syklus)&lt;DagK+DagH,"H",IF(MOD($A757-INDEX(SkiftStart,3),Syklus)&lt;DagK+DagH+DagD,"D","F")))</f>
        <v/>
      </c>
      <c r="E757">
        <f>IF(B757="F",0,IF(WEEKDAY($A757,2)=5,INDEX(TimerFr,MATCH(B757,FaseKode,0)),INDEX(TimerMT,MATCH(B757,FaseKode,0))))</f>
        <v/>
      </c>
      <c r="F757">
        <f>IF(C757="F",0,IF(WEEKDAY($A757,2)=5,INDEX(TimerFr,MATCH(C757,FaseKode,0)),INDEX(TimerMT,MATCH(C757,FaseKode,0))))</f>
        <v/>
      </c>
      <c r="G757">
        <f>IF(D757="F",0,IF(WEEKDAY($A757,2)=5,INDEX(TimerFr,MATCH(D757,FaseKode,0)),INDEX(TimerMT,MATCH(D757,FaseKode,0))))</f>
        <v/>
      </c>
      <c r="H757">
        <f>IF(OR(H$4="",$A757&gt;TODAY()),0,IF(OR(INDEX($B757:$D757,H$5)="F",AND(H$6&gt;0,$A757&lt;H$6),AND(H$7&gt;0,$A757&gt;H$7)),0,MAX(0,ROUND((INDEX($E757:$G757,H$5)-SUMIFS(TF_Timer,TF_Tekniker,H$4,TF_Dato,$A757))*2,0)/2)))</f>
        <v/>
      </c>
      <c r="I757">
        <f>IF(OR(I$4="",$A757&gt;TODAY()),0,IF(OR(INDEX($B757:$D757,I$5)="F",AND(I$6&gt;0,$A757&lt;I$6),AND(I$7&gt;0,$A757&gt;I$7)),0,MAX(0,ROUND((INDEX($E757:$G757,I$5)-SUMIFS(TF_Timer,TF_Tekniker,I$4,TF_Dato,$A757))*2,0)/2)))</f>
        <v/>
      </c>
      <c r="J757">
        <f>IF(OR(J$4="",$A757&gt;TODAY()),0,IF(OR(INDEX($B757:$D757,J$5)="F",AND(J$6&gt;0,$A757&lt;J$6),AND(J$7&gt;0,$A757&gt;J$7)),0,MAX(0,ROUND((INDEX($E757:$G757,J$5)-SUMIFS(TF_Timer,TF_Tekniker,J$4,TF_Dato,$A757))*2,0)/2)))</f>
        <v/>
      </c>
      <c r="K757">
        <f>IF(OR(K$4="",$A757&gt;TODAY()),0,IF(OR(INDEX($B757:$D757,K$5)="F",AND(K$6&gt;0,$A757&lt;K$6),AND(K$7&gt;0,$A757&gt;K$7)),0,MAX(0,ROUND((INDEX($E757:$G757,K$5)-SUMIFS(TF_Timer,TF_Tekniker,K$4,TF_Dato,$A757))*2,0)/2)))</f>
        <v/>
      </c>
      <c r="L757">
        <f>IF(OR(L$4="",$A757&gt;TODAY()),0,IF(OR(INDEX($B757:$D757,L$5)="F",AND(L$6&gt;0,$A757&lt;L$6),AND(L$7&gt;0,$A757&gt;L$7)),0,MAX(0,ROUND((INDEX($E757:$G757,L$5)-SUMIFS(TF_Timer,TF_Tekniker,L$4,TF_Dato,$A757))*2,0)/2)))</f>
        <v/>
      </c>
      <c r="M757">
        <f>IF(OR(M$4="",$A757&gt;TODAY()),0,IF(OR(INDEX($B757:$D757,M$5)="F",AND(M$6&gt;0,$A757&lt;M$6),AND(M$7&gt;0,$A757&gt;M$7)),0,MAX(0,ROUND((INDEX($E757:$G757,M$5)-SUMIFS(TF_Timer,TF_Tekniker,M$4,TF_Dato,$A757))*2,0)/2)))</f>
        <v/>
      </c>
      <c r="N757">
        <f>IF(OR(N$4="",$A757&gt;TODAY()),0,IF(OR(INDEX($B757:$D757,N$5)="F",AND(N$6&gt;0,$A757&lt;N$6),AND(N$7&gt;0,$A757&gt;N$7)),0,MAX(0,ROUND((INDEX($E757:$G757,N$5)-SUMIFS(TF_Timer,TF_Tekniker,N$4,TF_Dato,$A757))*2,0)/2)))</f>
        <v/>
      </c>
      <c r="O757">
        <f>IF(OR(O$4="",$A757&gt;TODAY()),0,IF(OR(INDEX($B757:$D757,O$5)="F",AND(O$6&gt;0,$A757&lt;O$6),AND(O$7&gt;0,$A757&gt;O$7)),0,MAX(0,ROUND((INDEX($E757:$G757,O$5)-SUMIFS(TF_Timer,TF_Tekniker,O$4,TF_Dato,$A757))*2,0)/2)))</f>
        <v/>
      </c>
      <c r="P757">
        <f>IF(OR(P$4="",$A757&gt;TODAY()),0,IF(OR(INDEX($B757:$D757,P$5)="F",AND(P$6&gt;0,$A757&lt;P$6),AND(P$7&gt;0,$A757&gt;P$7)),0,MAX(0,ROUND((INDEX($E757:$G757,P$5)-SUMIFS(TF_Timer,TF_Tekniker,P$4,TF_Dato,$A757))*2,0)/2)))</f>
        <v/>
      </c>
      <c r="Q757">
        <f>IF(OR(Q$4="",$A757&gt;TODAY()),0,IF(OR(INDEX($B757:$D757,Q$5)="F",AND(Q$6&gt;0,$A757&lt;Q$6),AND(Q$7&gt;0,$A757&gt;Q$7)),0,MAX(0,ROUND((INDEX($E757:$G757,Q$5)-SUMIFS(TF_Timer,TF_Tekniker,Q$4,TF_Dato,$A757))*2,0)/2)))</f>
        <v/>
      </c>
      <c r="R757">
        <f>IF(OR(R$4="",$A757&gt;TODAY()),0,IF(OR(INDEX($B757:$D757,R$5)="F",AND(R$6&gt;0,$A757&lt;R$6),AND(R$7&gt;0,$A757&gt;R$7)),0,MAX(0,ROUND((INDEX($E757:$G757,R$5)-SUMIFS(TF_Timer,TF_Tekniker,R$4,TF_Dato,$A757))*2,0)/2)))</f>
        <v/>
      </c>
      <c r="S757">
        <f>IF(OR(S$4="",$A757&gt;TODAY()),0,IF(OR(INDEX($B757:$D757,S$5)="F",AND(S$6&gt;0,$A757&lt;S$6),AND(S$7&gt;0,$A757&gt;S$7)),0,MAX(0,ROUND((INDEX($E757:$G757,S$5)-SUMIFS(TF_Timer,TF_Tekniker,S$4,TF_Dato,$A757))*2,0)/2)))</f>
        <v/>
      </c>
      <c r="T757">
        <f>IF(OR(T$4="",$A757&gt;TODAY()),0,IF(OR(INDEX($B757:$D757,T$5)="F",AND(T$6&gt;0,$A757&lt;T$6),AND(T$7&gt;0,$A757&gt;T$7)),0,MAX(0,ROUND((INDEX($E757:$G757,T$5)-SUMIFS(TF_Timer,TF_Tekniker,T$4,TF_Dato,$A757))*2,0)/2)))</f>
        <v/>
      </c>
      <c r="U757">
        <f>IF(OR(U$4="",$A757&gt;TODAY()),0,IF(OR(INDEX($B757:$D757,U$5)="F",AND(U$6&gt;0,$A757&lt;U$6),AND(U$7&gt;0,$A757&gt;U$7)),0,MAX(0,ROUND((INDEX($E757:$G757,U$5)-SUMIFS(TF_Timer,TF_Tekniker,U$4,TF_Dato,$A757))*2,0)/2)))</f>
        <v/>
      </c>
      <c r="V757">
        <f>IF(OR(V$4="",$A757&gt;TODAY()),0,IF(OR(INDEX($B757:$D757,V$5)="F",AND(V$6&gt;0,$A757&lt;V$6),AND(V$7&gt;0,$A757&gt;V$7)),0,MAX(0,ROUND((INDEX($E757:$G757,V$5)-SUMIFS(TF_Timer,TF_Tekniker,V$4,TF_Dato,$A757))*2,0)/2)))</f>
        <v/>
      </c>
      <c r="W757">
        <f>IF(OR(W$4="",$A757&gt;TODAY()),0,IF(OR(INDEX($B757:$D757,W$5)="F",AND(W$6&gt;0,$A757&lt;W$6),AND(W$7&gt;0,$A757&gt;W$7)),0,MAX(0,ROUND((INDEX($E757:$G757,W$5)-SUMIFS(TF_Timer,TF_Tekniker,W$4,TF_Dato,$A757))*2,0)/2)))</f>
        <v/>
      </c>
      <c r="X757">
        <f>IF(OR(X$4="",$A757&gt;TODAY()),0,IF(OR(INDEX($B757:$D757,X$5)="F",AND(X$6&gt;0,$A757&lt;X$6),AND(X$7&gt;0,$A757&gt;X$7)),0,MAX(0,ROUND((INDEX($E757:$G757,X$5)-SUMIFS(TF_Timer,TF_Tekniker,X$4,TF_Dato,$A757))*2,0)/2)))</f>
        <v/>
      </c>
      <c r="Y757">
        <f>IF(OR(Y$4="",$A757&gt;TODAY()),0,IF(OR(INDEX($B757:$D757,Y$5)="F",AND(Y$6&gt;0,$A757&lt;Y$6),AND(Y$7&gt;0,$A757&gt;Y$7)),0,MAX(0,ROUND((INDEX($E757:$G757,Y$5)-SUMIFS(TF_Timer,TF_Tekniker,Y$4,TF_Dato,$A757))*2,0)/2)))</f>
        <v/>
      </c>
      <c r="Z757">
        <f>IF(OR(Z$4="",$A757&gt;TODAY()),0,IF(OR(INDEX($B757:$D757,Z$5)="F",AND(Z$6&gt;0,$A757&lt;Z$6),AND(Z$7&gt;0,$A757&gt;Z$7)),0,MAX(0,ROUND((INDEX($E757:$G757,Z$5)-SUMIFS(TF_Timer,TF_Tekniker,Z$4,TF_Dato,$A757))*2,0)/2)))</f>
        <v/>
      </c>
      <c r="AA757">
        <f>IF(OR(AA$4="",$A757&gt;TODAY()),0,IF(OR(INDEX($B757:$D757,AA$5)="F",AND(AA$6&gt;0,$A757&lt;AA$6),AND(AA$7&gt;0,$A757&gt;AA$7)),0,MAX(0,ROUND((INDEX($E757:$G757,AA$5)-SUMIFS(TF_Timer,TF_Tekniker,AA$4,TF_Dato,$A757))*2,0)/2)))</f>
        <v/>
      </c>
      <c r="AB757">
        <f>IF(OR(AB$4="",$A757&gt;TODAY()),0,IF(OR(INDEX($B757:$D757,AB$5)="F",AND(AB$6&gt;0,$A757&lt;AB$6),AND(AB$7&gt;0,$A757&gt;AB$7)),0,MAX(0,ROUND((INDEX($E757:$G757,AB$5)-SUMIFS(TF_Timer,TF_Tekniker,AB$4,TF_Dato,$A757))*2,0)/2)))</f>
        <v/>
      </c>
      <c r="AC757">
        <f>IF(OR(AC$4="",$A757&gt;TODAY()),0,IF(OR(INDEX($B757:$D757,AC$5)="F",AND(AC$6&gt;0,$A757&lt;AC$6),AND(AC$7&gt;0,$A757&gt;AC$7)),0,MAX(0,ROUND((INDEX($E757:$G757,AC$5)-SUMIFS(TF_Timer,TF_Tekniker,AC$4,TF_Dato,$A757))*2,0)/2)))</f>
        <v/>
      </c>
      <c r="AD757">
        <f>IF(OR(AD$4="",$A757&gt;TODAY()),0,IF(OR(INDEX($B757:$D757,AD$5)="F",AND(AD$6&gt;0,$A757&lt;AD$6),AND(AD$7&gt;0,$A757&gt;AD$7)),0,MAX(0,ROUND((INDEX($E757:$G757,AD$5)-SUMIFS(TF_Timer,TF_Tekniker,AD$4,TF_Dato,$A757))*2,0)/2)))</f>
        <v/>
      </c>
      <c r="AE757">
        <f>IF(OR(AE$4="",$A757&gt;TODAY()),0,IF(OR(INDEX($B757:$D757,AE$5)="F",AND(AE$6&gt;0,$A757&lt;AE$6),AND(AE$7&gt;0,$A757&gt;AE$7)),0,MAX(0,ROUND((INDEX($E757:$G757,AE$5)-SUMIFS(TF_Timer,TF_Tekniker,AE$4,TF_Dato,$A757))*2,0)/2)))</f>
        <v/>
      </c>
      <c r="AF757">
        <f>IF(OR(AF$4="",$A757&gt;TODAY()),0,IF(OR(INDEX($B757:$D757,AF$5)="F",AND(AF$6&gt;0,$A757&lt;AF$6),AND(AF$7&gt;0,$A757&gt;AF$7)),0,MAX(0,ROUND((INDEX($E757:$G757,AF$5)-SUMIFS(TF_Timer,TF_Tekniker,AF$4,TF_Dato,$A757))*2,0)/2)))</f>
        <v/>
      </c>
      <c r="AG757">
        <f>IF(OR(AG$4="",$A757&gt;TODAY()),0,IF(OR(INDEX($B757:$D757,AG$5)="F",AND(AG$6&gt;0,$A757&lt;AG$6),AND(AG$7&gt;0,$A757&gt;AG$7)),0,MAX(0,ROUND((INDEX($E757:$G757,AG$5)-SUMIFS(TF_Timer,TF_Tekniker,AG$4,TF_Dato,$A757))*2,0)/2)))</f>
        <v/>
      </c>
      <c r="AH757">
        <f>IF(OR(AH$4="",$A757&gt;TODAY()),0,IF(OR(INDEX($B757:$D757,AH$5)="F",AND(AH$6&gt;0,$A757&lt;AH$6),AND(AH$7&gt;0,$A757&gt;AH$7)),0,MAX(0,ROUND((INDEX($E757:$G757,AH$5)-SUMIFS(TF_Timer,TF_Tekniker,AH$4,TF_Dato,$A757))*2,0)/2)))</f>
        <v/>
      </c>
      <c r="AI757">
        <f>IF(OR(AI$4="",$A757&gt;TODAY()),0,IF(OR(INDEX($B757:$D757,AI$5)="F",AND(AI$6&gt;0,$A757&lt;AI$6),AND(AI$7&gt;0,$A757&gt;AI$7)),0,MAX(0,ROUND((INDEX($E757:$G757,AI$5)-SUMIFS(TF_Timer,TF_Tekniker,AI$4,TF_Dato,$A757))*2,0)/2)))</f>
        <v/>
      </c>
      <c r="AJ757">
        <f>IF(OR(AJ$4="",$A757&gt;TODAY()),0,IF(OR(INDEX($B757:$D757,AJ$5)="F",AND(AJ$6&gt;0,$A757&lt;AJ$6),AND(AJ$7&gt;0,$A757&gt;AJ$7)),0,MAX(0,ROUND((INDEX($E757:$G757,AJ$5)-SUMIFS(TF_Timer,TF_Tekniker,AJ$4,TF_Dato,$A757))*2,0)/2)))</f>
        <v/>
      </c>
      <c r="AK757">
        <f>IF(OR(AK$4="",$A757&gt;TODAY()),0,IF(OR(INDEX($B757:$D757,AK$5)="F",AND(AK$6&gt;0,$A757&lt;AK$6),AND(AK$7&gt;0,$A757&gt;AK$7)),0,MAX(0,ROUND((INDEX($E757:$G757,AK$5)-SUMIFS(TF_Timer,TF_Tekniker,AK$4,TF_Dato,$A757))*2,0)/2)))</f>
        <v/>
      </c>
      <c r="AL757">
        <f>IF(OR(AL$4="",$A757&gt;TODAY()),0,IF(OR(INDEX($B757:$D757,AL$5)="F",AND(AL$6&gt;0,$A757&lt;AL$6),AND(AL$7&gt;0,$A757&gt;AL$7)),0,MAX(0,ROUND((INDEX($E757:$G757,AL$5)-SUMIFS(TF_Timer,TF_Tekniker,AL$4,TF_Dato,$A757))*2,0)/2)))</f>
        <v/>
      </c>
      <c r="AM757">
        <f>IF(OR(AM$4="",$A757&gt;TODAY()),0,IF(OR(INDEX($B757:$D757,AM$5)="F",AND(AM$6&gt;0,$A757&lt;AM$6),AND(AM$7&gt;0,$A757&gt;AM$7)),0,MAX(0,ROUND((INDEX($E757:$G757,AM$5)-SUMIFS(TF_Timer,TF_Tekniker,AM$4,TF_Dato,$A757))*2,0)/2)))</f>
        <v/>
      </c>
      <c r="AN757">
        <f>IF(OR(AN$4="",$A757&gt;TODAY()),0,IF(OR(INDEX($B757:$D757,AN$5)="F",AND(AN$6&gt;0,$A757&lt;AN$6),AND(AN$7&gt;0,$A757&gt;AN$7)),0,MAX(0,ROUND((INDEX($E757:$G757,AN$5)-SUMIFS(TF_Timer,TF_Tekniker,AN$4,TF_Dato,$A757))*2,0)/2)))</f>
        <v/>
      </c>
      <c r="AO757">
        <f>IF(OR(AO$4="",$A757&gt;TODAY()),0,IF(OR(INDEX($B757:$D757,AO$5)="F",AND(AO$6&gt;0,$A757&lt;AO$6),AND(AO$7&gt;0,$A757&gt;AO$7)),0,MAX(0,ROUND((INDEX($E757:$G757,AO$5)-SUMIFS(TF_Timer,TF_Tekniker,AO$4,TF_Dato,$A757))*2,0)/2)))</f>
        <v/>
      </c>
      <c r="AP757">
        <f>IF(OR(AP$4="",$A757&gt;TODAY()),0,IF(OR(INDEX($B757:$D757,AP$5)="F",AND(AP$6&gt;0,$A757&lt;AP$6),AND(AP$7&gt;0,$A757&gt;AP$7)),0,MAX(0,ROUND((INDEX($E757:$G757,AP$5)-SUMIFS(TF_Timer,TF_Tekniker,AP$4,TF_Dato,$A757))*2,0)/2)))</f>
        <v/>
      </c>
      <c r="AQ757">
        <f>IF(OR(AQ$4="",$A757&gt;TODAY()),0,IF(OR(INDEX($B757:$D757,AQ$5)="F",AND(AQ$6&gt;0,$A757&lt;AQ$6),AND(AQ$7&gt;0,$A757&gt;AQ$7)),0,MAX(0,ROUND((INDEX($E757:$G757,AQ$5)-SUMIFS(TF_Timer,TF_Tekniker,AQ$4,TF_Dato,$A757))*2,0)/2)))</f>
        <v/>
      </c>
      <c r="AR757">
        <f>IF(OR(AR$4="",$A757&gt;TODAY()),0,IF(OR(INDEX($B757:$D757,AR$5)="F",AND(AR$6&gt;0,$A757&lt;AR$6),AND(AR$7&gt;0,$A757&gt;AR$7)),0,MAX(0,ROUND((INDEX($E757:$G757,AR$5)-SUMIFS(TF_Timer,TF_Tekniker,AR$4,TF_Dato,$A757))*2,0)/2)))</f>
        <v/>
      </c>
      <c r="AS757">
        <f>IF(OR(AS$4="",$A757&gt;TODAY()),0,IF(OR(INDEX($B757:$D757,AS$5)="F",AND(AS$6&gt;0,$A757&lt;AS$6),AND(AS$7&gt;0,$A757&gt;AS$7)),0,MAX(0,ROUND((INDEX($E757:$G757,AS$5)-SUMIFS(TF_Timer,TF_Tekniker,AS$4,TF_Dato,$A757))*2,0)/2)))</f>
        <v/>
      </c>
      <c r="AT757">
        <f>IF(OR(AT$4="",$A757&gt;TODAY()),0,IF(OR(INDEX($B757:$D757,AT$5)="F",AND(AT$6&gt;0,$A757&lt;AT$6),AND(AT$7&gt;0,$A757&gt;AT$7)),0,MAX(0,ROUND((INDEX($E757:$G757,AT$5)-SUMIFS(TF_Timer,TF_Tekniker,AT$4,TF_Dato,$A757))*2,0)/2)))</f>
        <v/>
      </c>
      <c r="AU757">
        <f>IF(OR(AU$4="",$A757&gt;TODAY()),0,IF(OR(INDEX($B757:$D757,AU$5)="F",AND(AU$6&gt;0,$A757&lt;AU$6),AND(AU$7&gt;0,$A757&gt;AU$7)),0,MAX(0,ROUND((INDEX($E757:$G757,AU$5)-SUMIFS(TF_Timer,TF_Tekniker,AU$4,TF_Dato,$A757))*2,0)/2)))</f>
        <v/>
      </c>
      <c r="AV757">
        <f>IF(OR(AV$4="",$A757&gt;TODAY()),0,IF(OR(INDEX($B757:$D757,AV$5)="F",AND(AV$6&gt;0,$A757&lt;AV$6),AND(AV$7&gt;0,$A757&gt;AV$7)),0,MAX(0,ROUND((INDEX($E757:$G757,AV$5)-SUMIFS(TF_Timer,TF_Tekniker,AV$4,TF_Dato,$A757))*2,0)/2)))</f>
        <v/>
      </c>
      <c r="AW757">
        <f>IF(OR(AW$4="",$A757&gt;TODAY()),0,IF(OR(INDEX($B757:$D757,AW$5)="F",AND(AW$6&gt;0,$A757&lt;AW$6),AND(AW$7&gt;0,$A757&gt;AW$7)),0,MAX(0,ROUND((INDEX($E757:$G757,AW$5)-SUMIFS(TF_Timer,TF_Tekniker,AW$4,TF_Dato,$A757))*2,0)/2)))</f>
        <v/>
      </c>
      <c r="AX757">
        <f>IF(OR(AX$4="",$A757&gt;TODAY()),0,IF(OR(INDEX($B757:$D757,AX$5)="F",AND(AX$6&gt;0,$A757&lt;AX$6),AND(AX$7&gt;0,$A757&gt;AX$7)),0,MAX(0,ROUND((INDEX($E757:$G757,AX$5)-SUMIFS(TF_Timer,TF_Tekniker,AX$4,TF_Dato,$A757))*2,0)/2)))</f>
        <v/>
      </c>
      <c r="AY757">
        <f>IF(OR(AY$4="",$A757&gt;TODAY()),0,IF(OR(INDEX($B757:$D757,AY$5)="F",AND(AY$6&gt;0,$A757&lt;AY$6),AND(AY$7&gt;0,$A757&gt;AY$7)),0,MAX(0,ROUND((INDEX($E757:$G757,AY$5)-SUMIFS(TF_Timer,TF_Tekniker,AY$4,TF_Dato,$A757))*2,0)/2)))</f>
        <v/>
      </c>
      <c r="AZ757">
        <f>IF(OR(AZ$4="",$A757&gt;TODAY()),0,IF(OR(INDEX($B757:$D757,AZ$5)="F",AND(AZ$6&gt;0,$A757&lt;AZ$6),AND(AZ$7&gt;0,$A757&gt;AZ$7)),0,MAX(0,ROUND((INDEX($E757:$G757,AZ$5)-SUMIFS(TF_Timer,TF_Tekniker,AZ$4,TF_Dato,$A757))*2,0)/2)))</f>
        <v/>
      </c>
      <c r="BA757">
        <f>IF(OR(BA$4="",$A757&gt;TODAY()),0,IF(OR(INDEX($B757:$D757,BA$5)="F",AND(BA$6&gt;0,$A757&lt;BA$6),AND(BA$7&gt;0,$A757&gt;BA$7)),0,MAX(0,ROUND((INDEX($E757:$G757,BA$5)-SUMIFS(TF_Timer,TF_Tekniker,BA$4,TF_Dato,$A757))*2,0)/2)))</f>
        <v/>
      </c>
      <c r="BB757">
        <f>IF(OR(BB$4="",$A757&gt;TODAY()),0,IF(OR(INDEX($B757:$D757,BB$5)="F",AND(BB$6&gt;0,$A757&lt;BB$6),AND(BB$7&gt;0,$A757&gt;BB$7)),0,MAX(0,ROUND((INDEX($E757:$G757,BB$5)-SUMIFS(TF_Timer,TF_Tekniker,BB$4,TF_Dato,$A757))*2,0)/2)))</f>
        <v/>
      </c>
      <c r="BC757">
        <f>IF(OR(BC$4="",$A757&gt;TODAY()),0,IF(OR(INDEX($B757:$D757,BC$5)="F",AND(BC$6&gt;0,$A757&lt;BC$6),AND(BC$7&gt;0,$A757&gt;BC$7)),0,MAX(0,ROUND((INDEX($E757:$G757,BC$5)-SUMIFS(TF_Timer,TF_Tekniker,BC$4,TF_Dato,$A757))*2,0)/2)))</f>
        <v/>
      </c>
      <c r="BD757">
        <f>IF(OR(BD$4="",$A757&gt;TODAY()),0,IF(OR(INDEX($B757:$D757,BD$5)="F",AND(BD$6&gt;0,$A757&lt;BD$6),AND(BD$7&gt;0,$A757&gt;BD$7)),0,MAX(0,ROUND((INDEX($E757:$G757,BD$5)-SUMIFS(TF_Timer,TF_Tekniker,BD$4,TF_Dato,$A757))*2,0)/2)))</f>
        <v/>
      </c>
      <c r="BE757">
        <f>IF(OR(BE$4="",$A757&gt;TODAY()),0,IF(OR(INDEX($B757:$D757,BE$5)="F",AND(BE$6&gt;0,$A757&lt;BE$6),AND(BE$7&gt;0,$A757&gt;BE$7)),0,MAX(0,ROUND((INDEX($E757:$G757,BE$5)-SUMIFS(TF_Timer,TF_Tekniker,BE$4,TF_Dato,$A757))*2,0)/2)))</f>
        <v/>
      </c>
      <c r="BF757">
        <f>IF(OR(BF$4="",$A757&gt;TODAY()),0,IF(OR(INDEX($B757:$D757,BF$5)="F",AND(BF$6&gt;0,$A757&lt;BF$6),AND(BF$7&gt;0,$A757&gt;BF$7)),0,MAX(0,ROUND((INDEX($E757:$G757,BF$5)-SUMIFS(TF_Timer,TF_Tekniker,BF$4,TF_Dato,$A757))*2,0)/2)))</f>
        <v/>
      </c>
      <c r="BG757">
        <f>IF(OR(BG$4="",$A757&gt;TODAY()),0,IF(OR(INDEX($B757:$D757,BG$5)="F",AND(BG$6&gt;0,$A757&lt;BG$6),AND(BG$7&gt;0,$A757&gt;BG$7)),0,MAX(0,ROUND((INDEX($E757:$G757,BG$5)-SUMIFS(TF_Timer,TF_Tekniker,BG$4,TF_Dato,$A757))*2,0)/2)))</f>
        <v/>
      </c>
      <c r="BH757">
        <f>IF(OR(BH$4="",$A757&gt;TODAY()),0,IF(OR(INDEX($B757:$D757,BH$5)="F",AND(BH$6&gt;0,$A757&lt;BH$6),AND(BH$7&gt;0,$A757&gt;BH$7)),0,MAX(0,ROUND((INDEX($E757:$G757,BH$5)-SUMIFS(TF_Timer,TF_Tekniker,BH$4,TF_Dato,$A757))*2,0)/2)))</f>
        <v/>
      </c>
      <c r="BI757">
        <f>IF(OR(BI$4="",$A757&gt;TODAY()),0,IF(OR(INDEX($B757:$D757,BI$5)="F",AND(BI$6&gt;0,$A757&lt;BI$6),AND(BI$7&gt;0,$A757&gt;BI$7)),0,MAX(0,ROUND((INDEX($E757:$G757,BI$5)-SUMIFS(TF_Timer,TF_Tekniker,BI$4,TF_Dato,$A757))*2,0)/2)))</f>
        <v/>
      </c>
    </row>
    <row r="758">
      <c r="A758" s="64">
        <f>A757+1</f>
        <v/>
      </c>
      <c r="B758">
        <f>IF(MOD($A758-INDEX(SkiftStart,1),Syklus)&lt;DagK,"K",IF(MOD($A758-INDEX(SkiftStart,1),Syklus)&lt;DagK+DagH,"H",IF(MOD($A758-INDEX(SkiftStart,1),Syklus)&lt;DagK+DagH+DagD,"D","F")))</f>
        <v/>
      </c>
      <c r="C758">
        <f>IF(MOD($A758-INDEX(SkiftStart,2),Syklus)&lt;DagK,"K",IF(MOD($A758-INDEX(SkiftStart,2),Syklus)&lt;DagK+DagH,"H",IF(MOD($A758-INDEX(SkiftStart,2),Syklus)&lt;DagK+DagH+DagD,"D","F")))</f>
        <v/>
      </c>
      <c r="D758">
        <f>IF(MOD($A758-INDEX(SkiftStart,3),Syklus)&lt;DagK,"K",IF(MOD($A758-INDEX(SkiftStart,3),Syklus)&lt;DagK+DagH,"H",IF(MOD($A758-INDEX(SkiftStart,3),Syklus)&lt;DagK+DagH+DagD,"D","F")))</f>
        <v/>
      </c>
      <c r="E758">
        <f>IF(B758="F",0,IF(WEEKDAY($A758,2)=5,INDEX(TimerFr,MATCH(B758,FaseKode,0)),INDEX(TimerMT,MATCH(B758,FaseKode,0))))</f>
        <v/>
      </c>
      <c r="F758">
        <f>IF(C758="F",0,IF(WEEKDAY($A758,2)=5,INDEX(TimerFr,MATCH(C758,FaseKode,0)),INDEX(TimerMT,MATCH(C758,FaseKode,0))))</f>
        <v/>
      </c>
      <c r="G758">
        <f>IF(D758="F",0,IF(WEEKDAY($A758,2)=5,INDEX(TimerFr,MATCH(D758,FaseKode,0)),INDEX(TimerMT,MATCH(D758,FaseKode,0))))</f>
        <v/>
      </c>
      <c r="H758">
        <f>IF(OR(H$4="",$A758&gt;TODAY()),0,IF(OR(INDEX($B758:$D758,H$5)="F",AND(H$6&gt;0,$A758&lt;H$6),AND(H$7&gt;0,$A758&gt;H$7)),0,MAX(0,ROUND((INDEX($E758:$G758,H$5)-SUMIFS(TF_Timer,TF_Tekniker,H$4,TF_Dato,$A758))*2,0)/2)))</f>
        <v/>
      </c>
      <c r="I758">
        <f>IF(OR(I$4="",$A758&gt;TODAY()),0,IF(OR(INDEX($B758:$D758,I$5)="F",AND(I$6&gt;0,$A758&lt;I$6),AND(I$7&gt;0,$A758&gt;I$7)),0,MAX(0,ROUND((INDEX($E758:$G758,I$5)-SUMIFS(TF_Timer,TF_Tekniker,I$4,TF_Dato,$A758))*2,0)/2)))</f>
        <v/>
      </c>
      <c r="J758">
        <f>IF(OR(J$4="",$A758&gt;TODAY()),0,IF(OR(INDEX($B758:$D758,J$5)="F",AND(J$6&gt;0,$A758&lt;J$6),AND(J$7&gt;0,$A758&gt;J$7)),0,MAX(0,ROUND((INDEX($E758:$G758,J$5)-SUMIFS(TF_Timer,TF_Tekniker,J$4,TF_Dato,$A758))*2,0)/2)))</f>
        <v/>
      </c>
      <c r="K758">
        <f>IF(OR(K$4="",$A758&gt;TODAY()),0,IF(OR(INDEX($B758:$D758,K$5)="F",AND(K$6&gt;0,$A758&lt;K$6),AND(K$7&gt;0,$A758&gt;K$7)),0,MAX(0,ROUND((INDEX($E758:$G758,K$5)-SUMIFS(TF_Timer,TF_Tekniker,K$4,TF_Dato,$A758))*2,0)/2)))</f>
        <v/>
      </c>
      <c r="L758">
        <f>IF(OR(L$4="",$A758&gt;TODAY()),0,IF(OR(INDEX($B758:$D758,L$5)="F",AND(L$6&gt;0,$A758&lt;L$6),AND(L$7&gt;0,$A758&gt;L$7)),0,MAX(0,ROUND((INDEX($E758:$G758,L$5)-SUMIFS(TF_Timer,TF_Tekniker,L$4,TF_Dato,$A758))*2,0)/2)))</f>
        <v/>
      </c>
      <c r="M758">
        <f>IF(OR(M$4="",$A758&gt;TODAY()),0,IF(OR(INDEX($B758:$D758,M$5)="F",AND(M$6&gt;0,$A758&lt;M$6),AND(M$7&gt;0,$A758&gt;M$7)),0,MAX(0,ROUND((INDEX($E758:$G758,M$5)-SUMIFS(TF_Timer,TF_Tekniker,M$4,TF_Dato,$A758))*2,0)/2)))</f>
        <v/>
      </c>
      <c r="N758">
        <f>IF(OR(N$4="",$A758&gt;TODAY()),0,IF(OR(INDEX($B758:$D758,N$5)="F",AND(N$6&gt;0,$A758&lt;N$6),AND(N$7&gt;0,$A758&gt;N$7)),0,MAX(0,ROUND((INDEX($E758:$G758,N$5)-SUMIFS(TF_Timer,TF_Tekniker,N$4,TF_Dato,$A758))*2,0)/2)))</f>
        <v/>
      </c>
      <c r="O758">
        <f>IF(OR(O$4="",$A758&gt;TODAY()),0,IF(OR(INDEX($B758:$D758,O$5)="F",AND(O$6&gt;0,$A758&lt;O$6),AND(O$7&gt;0,$A758&gt;O$7)),0,MAX(0,ROUND((INDEX($E758:$G758,O$5)-SUMIFS(TF_Timer,TF_Tekniker,O$4,TF_Dato,$A758))*2,0)/2)))</f>
        <v/>
      </c>
      <c r="P758">
        <f>IF(OR(P$4="",$A758&gt;TODAY()),0,IF(OR(INDEX($B758:$D758,P$5)="F",AND(P$6&gt;0,$A758&lt;P$6),AND(P$7&gt;0,$A758&gt;P$7)),0,MAX(0,ROUND((INDEX($E758:$G758,P$5)-SUMIFS(TF_Timer,TF_Tekniker,P$4,TF_Dato,$A758))*2,0)/2)))</f>
        <v/>
      </c>
      <c r="Q758">
        <f>IF(OR(Q$4="",$A758&gt;TODAY()),0,IF(OR(INDEX($B758:$D758,Q$5)="F",AND(Q$6&gt;0,$A758&lt;Q$6),AND(Q$7&gt;0,$A758&gt;Q$7)),0,MAX(0,ROUND((INDEX($E758:$G758,Q$5)-SUMIFS(TF_Timer,TF_Tekniker,Q$4,TF_Dato,$A758))*2,0)/2)))</f>
        <v/>
      </c>
      <c r="R758">
        <f>IF(OR(R$4="",$A758&gt;TODAY()),0,IF(OR(INDEX($B758:$D758,R$5)="F",AND(R$6&gt;0,$A758&lt;R$6),AND(R$7&gt;0,$A758&gt;R$7)),0,MAX(0,ROUND((INDEX($E758:$G758,R$5)-SUMIFS(TF_Timer,TF_Tekniker,R$4,TF_Dato,$A758))*2,0)/2)))</f>
        <v/>
      </c>
      <c r="S758">
        <f>IF(OR(S$4="",$A758&gt;TODAY()),0,IF(OR(INDEX($B758:$D758,S$5)="F",AND(S$6&gt;0,$A758&lt;S$6),AND(S$7&gt;0,$A758&gt;S$7)),0,MAX(0,ROUND((INDEX($E758:$G758,S$5)-SUMIFS(TF_Timer,TF_Tekniker,S$4,TF_Dato,$A758))*2,0)/2)))</f>
        <v/>
      </c>
      <c r="T758">
        <f>IF(OR(T$4="",$A758&gt;TODAY()),0,IF(OR(INDEX($B758:$D758,T$5)="F",AND(T$6&gt;0,$A758&lt;T$6),AND(T$7&gt;0,$A758&gt;T$7)),0,MAX(0,ROUND((INDEX($E758:$G758,T$5)-SUMIFS(TF_Timer,TF_Tekniker,T$4,TF_Dato,$A758))*2,0)/2)))</f>
        <v/>
      </c>
      <c r="U758">
        <f>IF(OR(U$4="",$A758&gt;TODAY()),0,IF(OR(INDEX($B758:$D758,U$5)="F",AND(U$6&gt;0,$A758&lt;U$6),AND(U$7&gt;0,$A758&gt;U$7)),0,MAX(0,ROUND((INDEX($E758:$G758,U$5)-SUMIFS(TF_Timer,TF_Tekniker,U$4,TF_Dato,$A758))*2,0)/2)))</f>
        <v/>
      </c>
      <c r="V758">
        <f>IF(OR(V$4="",$A758&gt;TODAY()),0,IF(OR(INDEX($B758:$D758,V$5)="F",AND(V$6&gt;0,$A758&lt;V$6),AND(V$7&gt;0,$A758&gt;V$7)),0,MAX(0,ROUND((INDEX($E758:$G758,V$5)-SUMIFS(TF_Timer,TF_Tekniker,V$4,TF_Dato,$A758))*2,0)/2)))</f>
        <v/>
      </c>
      <c r="W758">
        <f>IF(OR(W$4="",$A758&gt;TODAY()),0,IF(OR(INDEX($B758:$D758,W$5)="F",AND(W$6&gt;0,$A758&lt;W$6),AND(W$7&gt;0,$A758&gt;W$7)),0,MAX(0,ROUND((INDEX($E758:$G758,W$5)-SUMIFS(TF_Timer,TF_Tekniker,W$4,TF_Dato,$A758))*2,0)/2)))</f>
        <v/>
      </c>
      <c r="X758">
        <f>IF(OR(X$4="",$A758&gt;TODAY()),0,IF(OR(INDEX($B758:$D758,X$5)="F",AND(X$6&gt;0,$A758&lt;X$6),AND(X$7&gt;0,$A758&gt;X$7)),0,MAX(0,ROUND((INDEX($E758:$G758,X$5)-SUMIFS(TF_Timer,TF_Tekniker,X$4,TF_Dato,$A758))*2,0)/2)))</f>
        <v/>
      </c>
      <c r="Y758">
        <f>IF(OR(Y$4="",$A758&gt;TODAY()),0,IF(OR(INDEX($B758:$D758,Y$5)="F",AND(Y$6&gt;0,$A758&lt;Y$6),AND(Y$7&gt;0,$A758&gt;Y$7)),0,MAX(0,ROUND((INDEX($E758:$G758,Y$5)-SUMIFS(TF_Timer,TF_Tekniker,Y$4,TF_Dato,$A758))*2,0)/2)))</f>
        <v/>
      </c>
      <c r="Z758">
        <f>IF(OR(Z$4="",$A758&gt;TODAY()),0,IF(OR(INDEX($B758:$D758,Z$5)="F",AND(Z$6&gt;0,$A758&lt;Z$6),AND(Z$7&gt;0,$A758&gt;Z$7)),0,MAX(0,ROUND((INDEX($E758:$G758,Z$5)-SUMIFS(TF_Timer,TF_Tekniker,Z$4,TF_Dato,$A758))*2,0)/2)))</f>
        <v/>
      </c>
      <c r="AA758">
        <f>IF(OR(AA$4="",$A758&gt;TODAY()),0,IF(OR(INDEX($B758:$D758,AA$5)="F",AND(AA$6&gt;0,$A758&lt;AA$6),AND(AA$7&gt;0,$A758&gt;AA$7)),0,MAX(0,ROUND((INDEX($E758:$G758,AA$5)-SUMIFS(TF_Timer,TF_Tekniker,AA$4,TF_Dato,$A758))*2,0)/2)))</f>
        <v/>
      </c>
      <c r="AB758">
        <f>IF(OR(AB$4="",$A758&gt;TODAY()),0,IF(OR(INDEX($B758:$D758,AB$5)="F",AND(AB$6&gt;0,$A758&lt;AB$6),AND(AB$7&gt;0,$A758&gt;AB$7)),0,MAX(0,ROUND((INDEX($E758:$G758,AB$5)-SUMIFS(TF_Timer,TF_Tekniker,AB$4,TF_Dato,$A758))*2,0)/2)))</f>
        <v/>
      </c>
      <c r="AC758">
        <f>IF(OR(AC$4="",$A758&gt;TODAY()),0,IF(OR(INDEX($B758:$D758,AC$5)="F",AND(AC$6&gt;0,$A758&lt;AC$6),AND(AC$7&gt;0,$A758&gt;AC$7)),0,MAX(0,ROUND((INDEX($E758:$G758,AC$5)-SUMIFS(TF_Timer,TF_Tekniker,AC$4,TF_Dato,$A758))*2,0)/2)))</f>
        <v/>
      </c>
      <c r="AD758">
        <f>IF(OR(AD$4="",$A758&gt;TODAY()),0,IF(OR(INDEX($B758:$D758,AD$5)="F",AND(AD$6&gt;0,$A758&lt;AD$6),AND(AD$7&gt;0,$A758&gt;AD$7)),0,MAX(0,ROUND((INDEX($E758:$G758,AD$5)-SUMIFS(TF_Timer,TF_Tekniker,AD$4,TF_Dato,$A758))*2,0)/2)))</f>
        <v/>
      </c>
      <c r="AE758">
        <f>IF(OR(AE$4="",$A758&gt;TODAY()),0,IF(OR(INDEX($B758:$D758,AE$5)="F",AND(AE$6&gt;0,$A758&lt;AE$6),AND(AE$7&gt;0,$A758&gt;AE$7)),0,MAX(0,ROUND((INDEX($E758:$G758,AE$5)-SUMIFS(TF_Timer,TF_Tekniker,AE$4,TF_Dato,$A758))*2,0)/2)))</f>
        <v/>
      </c>
      <c r="AF758">
        <f>IF(OR(AF$4="",$A758&gt;TODAY()),0,IF(OR(INDEX($B758:$D758,AF$5)="F",AND(AF$6&gt;0,$A758&lt;AF$6),AND(AF$7&gt;0,$A758&gt;AF$7)),0,MAX(0,ROUND((INDEX($E758:$G758,AF$5)-SUMIFS(TF_Timer,TF_Tekniker,AF$4,TF_Dato,$A758))*2,0)/2)))</f>
        <v/>
      </c>
      <c r="AG758">
        <f>IF(OR(AG$4="",$A758&gt;TODAY()),0,IF(OR(INDEX($B758:$D758,AG$5)="F",AND(AG$6&gt;0,$A758&lt;AG$6),AND(AG$7&gt;0,$A758&gt;AG$7)),0,MAX(0,ROUND((INDEX($E758:$G758,AG$5)-SUMIFS(TF_Timer,TF_Tekniker,AG$4,TF_Dato,$A758))*2,0)/2)))</f>
        <v/>
      </c>
      <c r="AH758">
        <f>IF(OR(AH$4="",$A758&gt;TODAY()),0,IF(OR(INDEX($B758:$D758,AH$5)="F",AND(AH$6&gt;0,$A758&lt;AH$6),AND(AH$7&gt;0,$A758&gt;AH$7)),0,MAX(0,ROUND((INDEX($E758:$G758,AH$5)-SUMIFS(TF_Timer,TF_Tekniker,AH$4,TF_Dato,$A758))*2,0)/2)))</f>
        <v/>
      </c>
      <c r="AI758">
        <f>IF(OR(AI$4="",$A758&gt;TODAY()),0,IF(OR(INDEX($B758:$D758,AI$5)="F",AND(AI$6&gt;0,$A758&lt;AI$6),AND(AI$7&gt;0,$A758&gt;AI$7)),0,MAX(0,ROUND((INDEX($E758:$G758,AI$5)-SUMIFS(TF_Timer,TF_Tekniker,AI$4,TF_Dato,$A758))*2,0)/2)))</f>
        <v/>
      </c>
      <c r="AJ758">
        <f>IF(OR(AJ$4="",$A758&gt;TODAY()),0,IF(OR(INDEX($B758:$D758,AJ$5)="F",AND(AJ$6&gt;0,$A758&lt;AJ$6),AND(AJ$7&gt;0,$A758&gt;AJ$7)),0,MAX(0,ROUND((INDEX($E758:$G758,AJ$5)-SUMIFS(TF_Timer,TF_Tekniker,AJ$4,TF_Dato,$A758))*2,0)/2)))</f>
        <v/>
      </c>
      <c r="AK758">
        <f>IF(OR(AK$4="",$A758&gt;TODAY()),0,IF(OR(INDEX($B758:$D758,AK$5)="F",AND(AK$6&gt;0,$A758&lt;AK$6),AND(AK$7&gt;0,$A758&gt;AK$7)),0,MAX(0,ROUND((INDEX($E758:$G758,AK$5)-SUMIFS(TF_Timer,TF_Tekniker,AK$4,TF_Dato,$A758))*2,0)/2)))</f>
        <v/>
      </c>
      <c r="AL758">
        <f>IF(OR(AL$4="",$A758&gt;TODAY()),0,IF(OR(INDEX($B758:$D758,AL$5)="F",AND(AL$6&gt;0,$A758&lt;AL$6),AND(AL$7&gt;0,$A758&gt;AL$7)),0,MAX(0,ROUND((INDEX($E758:$G758,AL$5)-SUMIFS(TF_Timer,TF_Tekniker,AL$4,TF_Dato,$A758))*2,0)/2)))</f>
        <v/>
      </c>
      <c r="AM758">
        <f>IF(OR(AM$4="",$A758&gt;TODAY()),0,IF(OR(INDEX($B758:$D758,AM$5)="F",AND(AM$6&gt;0,$A758&lt;AM$6),AND(AM$7&gt;0,$A758&gt;AM$7)),0,MAX(0,ROUND((INDEX($E758:$G758,AM$5)-SUMIFS(TF_Timer,TF_Tekniker,AM$4,TF_Dato,$A758))*2,0)/2)))</f>
        <v/>
      </c>
      <c r="AN758">
        <f>IF(OR(AN$4="",$A758&gt;TODAY()),0,IF(OR(INDEX($B758:$D758,AN$5)="F",AND(AN$6&gt;0,$A758&lt;AN$6),AND(AN$7&gt;0,$A758&gt;AN$7)),0,MAX(0,ROUND((INDEX($E758:$G758,AN$5)-SUMIFS(TF_Timer,TF_Tekniker,AN$4,TF_Dato,$A758))*2,0)/2)))</f>
        <v/>
      </c>
      <c r="AO758">
        <f>IF(OR(AO$4="",$A758&gt;TODAY()),0,IF(OR(INDEX($B758:$D758,AO$5)="F",AND(AO$6&gt;0,$A758&lt;AO$6),AND(AO$7&gt;0,$A758&gt;AO$7)),0,MAX(0,ROUND((INDEX($E758:$G758,AO$5)-SUMIFS(TF_Timer,TF_Tekniker,AO$4,TF_Dato,$A758))*2,0)/2)))</f>
        <v/>
      </c>
      <c r="AP758">
        <f>IF(OR(AP$4="",$A758&gt;TODAY()),0,IF(OR(INDEX($B758:$D758,AP$5)="F",AND(AP$6&gt;0,$A758&lt;AP$6),AND(AP$7&gt;0,$A758&gt;AP$7)),0,MAX(0,ROUND((INDEX($E758:$G758,AP$5)-SUMIFS(TF_Timer,TF_Tekniker,AP$4,TF_Dato,$A758))*2,0)/2)))</f>
        <v/>
      </c>
      <c r="AQ758">
        <f>IF(OR(AQ$4="",$A758&gt;TODAY()),0,IF(OR(INDEX($B758:$D758,AQ$5)="F",AND(AQ$6&gt;0,$A758&lt;AQ$6),AND(AQ$7&gt;0,$A758&gt;AQ$7)),0,MAX(0,ROUND((INDEX($E758:$G758,AQ$5)-SUMIFS(TF_Timer,TF_Tekniker,AQ$4,TF_Dato,$A758))*2,0)/2)))</f>
        <v/>
      </c>
      <c r="AR758">
        <f>IF(OR(AR$4="",$A758&gt;TODAY()),0,IF(OR(INDEX($B758:$D758,AR$5)="F",AND(AR$6&gt;0,$A758&lt;AR$6),AND(AR$7&gt;0,$A758&gt;AR$7)),0,MAX(0,ROUND((INDEX($E758:$G758,AR$5)-SUMIFS(TF_Timer,TF_Tekniker,AR$4,TF_Dato,$A758))*2,0)/2)))</f>
        <v/>
      </c>
      <c r="AS758">
        <f>IF(OR(AS$4="",$A758&gt;TODAY()),0,IF(OR(INDEX($B758:$D758,AS$5)="F",AND(AS$6&gt;0,$A758&lt;AS$6),AND(AS$7&gt;0,$A758&gt;AS$7)),0,MAX(0,ROUND((INDEX($E758:$G758,AS$5)-SUMIFS(TF_Timer,TF_Tekniker,AS$4,TF_Dato,$A758))*2,0)/2)))</f>
        <v/>
      </c>
      <c r="AT758">
        <f>IF(OR(AT$4="",$A758&gt;TODAY()),0,IF(OR(INDEX($B758:$D758,AT$5)="F",AND(AT$6&gt;0,$A758&lt;AT$6),AND(AT$7&gt;0,$A758&gt;AT$7)),0,MAX(0,ROUND((INDEX($E758:$G758,AT$5)-SUMIFS(TF_Timer,TF_Tekniker,AT$4,TF_Dato,$A758))*2,0)/2)))</f>
        <v/>
      </c>
      <c r="AU758">
        <f>IF(OR(AU$4="",$A758&gt;TODAY()),0,IF(OR(INDEX($B758:$D758,AU$5)="F",AND(AU$6&gt;0,$A758&lt;AU$6),AND(AU$7&gt;0,$A758&gt;AU$7)),0,MAX(0,ROUND((INDEX($E758:$G758,AU$5)-SUMIFS(TF_Timer,TF_Tekniker,AU$4,TF_Dato,$A758))*2,0)/2)))</f>
        <v/>
      </c>
      <c r="AV758">
        <f>IF(OR(AV$4="",$A758&gt;TODAY()),0,IF(OR(INDEX($B758:$D758,AV$5)="F",AND(AV$6&gt;0,$A758&lt;AV$6),AND(AV$7&gt;0,$A758&gt;AV$7)),0,MAX(0,ROUND((INDEX($E758:$G758,AV$5)-SUMIFS(TF_Timer,TF_Tekniker,AV$4,TF_Dato,$A758))*2,0)/2)))</f>
        <v/>
      </c>
      <c r="AW758">
        <f>IF(OR(AW$4="",$A758&gt;TODAY()),0,IF(OR(INDEX($B758:$D758,AW$5)="F",AND(AW$6&gt;0,$A758&lt;AW$6),AND(AW$7&gt;0,$A758&gt;AW$7)),0,MAX(0,ROUND((INDEX($E758:$G758,AW$5)-SUMIFS(TF_Timer,TF_Tekniker,AW$4,TF_Dato,$A758))*2,0)/2)))</f>
        <v/>
      </c>
      <c r="AX758">
        <f>IF(OR(AX$4="",$A758&gt;TODAY()),0,IF(OR(INDEX($B758:$D758,AX$5)="F",AND(AX$6&gt;0,$A758&lt;AX$6),AND(AX$7&gt;0,$A758&gt;AX$7)),0,MAX(0,ROUND((INDEX($E758:$G758,AX$5)-SUMIFS(TF_Timer,TF_Tekniker,AX$4,TF_Dato,$A758))*2,0)/2)))</f>
        <v/>
      </c>
      <c r="AY758">
        <f>IF(OR(AY$4="",$A758&gt;TODAY()),0,IF(OR(INDEX($B758:$D758,AY$5)="F",AND(AY$6&gt;0,$A758&lt;AY$6),AND(AY$7&gt;0,$A758&gt;AY$7)),0,MAX(0,ROUND((INDEX($E758:$G758,AY$5)-SUMIFS(TF_Timer,TF_Tekniker,AY$4,TF_Dato,$A758))*2,0)/2)))</f>
        <v/>
      </c>
      <c r="AZ758">
        <f>IF(OR(AZ$4="",$A758&gt;TODAY()),0,IF(OR(INDEX($B758:$D758,AZ$5)="F",AND(AZ$6&gt;0,$A758&lt;AZ$6),AND(AZ$7&gt;0,$A758&gt;AZ$7)),0,MAX(0,ROUND((INDEX($E758:$G758,AZ$5)-SUMIFS(TF_Timer,TF_Tekniker,AZ$4,TF_Dato,$A758))*2,0)/2)))</f>
        <v/>
      </c>
      <c r="BA758">
        <f>IF(OR(BA$4="",$A758&gt;TODAY()),0,IF(OR(INDEX($B758:$D758,BA$5)="F",AND(BA$6&gt;0,$A758&lt;BA$6),AND(BA$7&gt;0,$A758&gt;BA$7)),0,MAX(0,ROUND((INDEX($E758:$G758,BA$5)-SUMIFS(TF_Timer,TF_Tekniker,BA$4,TF_Dato,$A758))*2,0)/2)))</f>
        <v/>
      </c>
      <c r="BB758">
        <f>IF(OR(BB$4="",$A758&gt;TODAY()),0,IF(OR(INDEX($B758:$D758,BB$5)="F",AND(BB$6&gt;0,$A758&lt;BB$6),AND(BB$7&gt;0,$A758&gt;BB$7)),0,MAX(0,ROUND((INDEX($E758:$G758,BB$5)-SUMIFS(TF_Timer,TF_Tekniker,BB$4,TF_Dato,$A758))*2,0)/2)))</f>
        <v/>
      </c>
      <c r="BC758">
        <f>IF(OR(BC$4="",$A758&gt;TODAY()),0,IF(OR(INDEX($B758:$D758,BC$5)="F",AND(BC$6&gt;0,$A758&lt;BC$6),AND(BC$7&gt;0,$A758&gt;BC$7)),0,MAX(0,ROUND((INDEX($E758:$G758,BC$5)-SUMIFS(TF_Timer,TF_Tekniker,BC$4,TF_Dato,$A758))*2,0)/2)))</f>
        <v/>
      </c>
      <c r="BD758">
        <f>IF(OR(BD$4="",$A758&gt;TODAY()),0,IF(OR(INDEX($B758:$D758,BD$5)="F",AND(BD$6&gt;0,$A758&lt;BD$6),AND(BD$7&gt;0,$A758&gt;BD$7)),0,MAX(0,ROUND((INDEX($E758:$G758,BD$5)-SUMIFS(TF_Timer,TF_Tekniker,BD$4,TF_Dato,$A758))*2,0)/2)))</f>
        <v/>
      </c>
      <c r="BE758">
        <f>IF(OR(BE$4="",$A758&gt;TODAY()),0,IF(OR(INDEX($B758:$D758,BE$5)="F",AND(BE$6&gt;0,$A758&lt;BE$6),AND(BE$7&gt;0,$A758&gt;BE$7)),0,MAX(0,ROUND((INDEX($E758:$G758,BE$5)-SUMIFS(TF_Timer,TF_Tekniker,BE$4,TF_Dato,$A758))*2,0)/2)))</f>
        <v/>
      </c>
      <c r="BF758">
        <f>IF(OR(BF$4="",$A758&gt;TODAY()),0,IF(OR(INDEX($B758:$D758,BF$5)="F",AND(BF$6&gt;0,$A758&lt;BF$6),AND(BF$7&gt;0,$A758&gt;BF$7)),0,MAX(0,ROUND((INDEX($E758:$G758,BF$5)-SUMIFS(TF_Timer,TF_Tekniker,BF$4,TF_Dato,$A758))*2,0)/2)))</f>
        <v/>
      </c>
      <c r="BG758">
        <f>IF(OR(BG$4="",$A758&gt;TODAY()),0,IF(OR(INDEX($B758:$D758,BG$5)="F",AND(BG$6&gt;0,$A758&lt;BG$6),AND(BG$7&gt;0,$A758&gt;BG$7)),0,MAX(0,ROUND((INDEX($E758:$G758,BG$5)-SUMIFS(TF_Timer,TF_Tekniker,BG$4,TF_Dato,$A758))*2,0)/2)))</f>
        <v/>
      </c>
      <c r="BH758">
        <f>IF(OR(BH$4="",$A758&gt;TODAY()),0,IF(OR(INDEX($B758:$D758,BH$5)="F",AND(BH$6&gt;0,$A758&lt;BH$6),AND(BH$7&gt;0,$A758&gt;BH$7)),0,MAX(0,ROUND((INDEX($E758:$G758,BH$5)-SUMIFS(TF_Timer,TF_Tekniker,BH$4,TF_Dato,$A758))*2,0)/2)))</f>
        <v/>
      </c>
      <c r="BI758">
        <f>IF(OR(BI$4="",$A758&gt;TODAY()),0,IF(OR(INDEX($B758:$D758,BI$5)="F",AND(BI$6&gt;0,$A758&lt;BI$6),AND(BI$7&gt;0,$A758&gt;BI$7)),0,MAX(0,ROUND((INDEX($E758:$G758,BI$5)-SUMIFS(TF_Timer,TF_Tekniker,BI$4,TF_Dato,$A758))*2,0)/2)))</f>
        <v/>
      </c>
    </row>
    <row r="759">
      <c r="A759" s="64">
        <f>A758+1</f>
        <v/>
      </c>
      <c r="B759">
        <f>IF(MOD($A759-INDEX(SkiftStart,1),Syklus)&lt;DagK,"K",IF(MOD($A759-INDEX(SkiftStart,1),Syklus)&lt;DagK+DagH,"H",IF(MOD($A759-INDEX(SkiftStart,1),Syklus)&lt;DagK+DagH+DagD,"D","F")))</f>
        <v/>
      </c>
      <c r="C759">
        <f>IF(MOD($A759-INDEX(SkiftStart,2),Syklus)&lt;DagK,"K",IF(MOD($A759-INDEX(SkiftStart,2),Syklus)&lt;DagK+DagH,"H",IF(MOD($A759-INDEX(SkiftStart,2),Syklus)&lt;DagK+DagH+DagD,"D","F")))</f>
        <v/>
      </c>
      <c r="D759">
        <f>IF(MOD($A759-INDEX(SkiftStart,3),Syklus)&lt;DagK,"K",IF(MOD($A759-INDEX(SkiftStart,3),Syklus)&lt;DagK+DagH,"H",IF(MOD($A759-INDEX(SkiftStart,3),Syklus)&lt;DagK+DagH+DagD,"D","F")))</f>
        <v/>
      </c>
      <c r="E759">
        <f>IF(B759="F",0,IF(WEEKDAY($A759,2)=5,INDEX(TimerFr,MATCH(B759,FaseKode,0)),INDEX(TimerMT,MATCH(B759,FaseKode,0))))</f>
        <v/>
      </c>
      <c r="F759">
        <f>IF(C759="F",0,IF(WEEKDAY($A759,2)=5,INDEX(TimerFr,MATCH(C759,FaseKode,0)),INDEX(TimerMT,MATCH(C759,FaseKode,0))))</f>
        <v/>
      </c>
      <c r="G759">
        <f>IF(D759="F",0,IF(WEEKDAY($A759,2)=5,INDEX(TimerFr,MATCH(D759,FaseKode,0)),INDEX(TimerMT,MATCH(D759,FaseKode,0))))</f>
        <v/>
      </c>
      <c r="H759">
        <f>IF(OR(H$4="",$A759&gt;TODAY()),0,IF(OR(INDEX($B759:$D759,H$5)="F",AND(H$6&gt;0,$A759&lt;H$6),AND(H$7&gt;0,$A759&gt;H$7)),0,MAX(0,ROUND((INDEX($E759:$G759,H$5)-SUMIFS(TF_Timer,TF_Tekniker,H$4,TF_Dato,$A759))*2,0)/2)))</f>
        <v/>
      </c>
      <c r="I759">
        <f>IF(OR(I$4="",$A759&gt;TODAY()),0,IF(OR(INDEX($B759:$D759,I$5)="F",AND(I$6&gt;0,$A759&lt;I$6),AND(I$7&gt;0,$A759&gt;I$7)),0,MAX(0,ROUND((INDEX($E759:$G759,I$5)-SUMIFS(TF_Timer,TF_Tekniker,I$4,TF_Dato,$A759))*2,0)/2)))</f>
        <v/>
      </c>
      <c r="J759">
        <f>IF(OR(J$4="",$A759&gt;TODAY()),0,IF(OR(INDEX($B759:$D759,J$5)="F",AND(J$6&gt;0,$A759&lt;J$6),AND(J$7&gt;0,$A759&gt;J$7)),0,MAX(0,ROUND((INDEX($E759:$G759,J$5)-SUMIFS(TF_Timer,TF_Tekniker,J$4,TF_Dato,$A759))*2,0)/2)))</f>
        <v/>
      </c>
      <c r="K759">
        <f>IF(OR(K$4="",$A759&gt;TODAY()),0,IF(OR(INDEX($B759:$D759,K$5)="F",AND(K$6&gt;0,$A759&lt;K$6),AND(K$7&gt;0,$A759&gt;K$7)),0,MAX(0,ROUND((INDEX($E759:$G759,K$5)-SUMIFS(TF_Timer,TF_Tekniker,K$4,TF_Dato,$A759))*2,0)/2)))</f>
        <v/>
      </c>
      <c r="L759">
        <f>IF(OR(L$4="",$A759&gt;TODAY()),0,IF(OR(INDEX($B759:$D759,L$5)="F",AND(L$6&gt;0,$A759&lt;L$6),AND(L$7&gt;0,$A759&gt;L$7)),0,MAX(0,ROUND((INDEX($E759:$G759,L$5)-SUMIFS(TF_Timer,TF_Tekniker,L$4,TF_Dato,$A759))*2,0)/2)))</f>
        <v/>
      </c>
      <c r="M759">
        <f>IF(OR(M$4="",$A759&gt;TODAY()),0,IF(OR(INDEX($B759:$D759,M$5)="F",AND(M$6&gt;0,$A759&lt;M$6),AND(M$7&gt;0,$A759&gt;M$7)),0,MAX(0,ROUND((INDEX($E759:$G759,M$5)-SUMIFS(TF_Timer,TF_Tekniker,M$4,TF_Dato,$A759))*2,0)/2)))</f>
        <v/>
      </c>
      <c r="N759">
        <f>IF(OR(N$4="",$A759&gt;TODAY()),0,IF(OR(INDEX($B759:$D759,N$5)="F",AND(N$6&gt;0,$A759&lt;N$6),AND(N$7&gt;0,$A759&gt;N$7)),0,MAX(0,ROUND((INDEX($E759:$G759,N$5)-SUMIFS(TF_Timer,TF_Tekniker,N$4,TF_Dato,$A759))*2,0)/2)))</f>
        <v/>
      </c>
      <c r="O759">
        <f>IF(OR(O$4="",$A759&gt;TODAY()),0,IF(OR(INDEX($B759:$D759,O$5)="F",AND(O$6&gt;0,$A759&lt;O$6),AND(O$7&gt;0,$A759&gt;O$7)),0,MAX(0,ROUND((INDEX($E759:$G759,O$5)-SUMIFS(TF_Timer,TF_Tekniker,O$4,TF_Dato,$A759))*2,0)/2)))</f>
        <v/>
      </c>
      <c r="P759">
        <f>IF(OR(P$4="",$A759&gt;TODAY()),0,IF(OR(INDEX($B759:$D759,P$5)="F",AND(P$6&gt;0,$A759&lt;P$6),AND(P$7&gt;0,$A759&gt;P$7)),0,MAX(0,ROUND((INDEX($E759:$G759,P$5)-SUMIFS(TF_Timer,TF_Tekniker,P$4,TF_Dato,$A759))*2,0)/2)))</f>
        <v/>
      </c>
      <c r="Q759">
        <f>IF(OR(Q$4="",$A759&gt;TODAY()),0,IF(OR(INDEX($B759:$D759,Q$5)="F",AND(Q$6&gt;0,$A759&lt;Q$6),AND(Q$7&gt;0,$A759&gt;Q$7)),0,MAX(0,ROUND((INDEX($E759:$G759,Q$5)-SUMIFS(TF_Timer,TF_Tekniker,Q$4,TF_Dato,$A759))*2,0)/2)))</f>
        <v/>
      </c>
      <c r="R759">
        <f>IF(OR(R$4="",$A759&gt;TODAY()),0,IF(OR(INDEX($B759:$D759,R$5)="F",AND(R$6&gt;0,$A759&lt;R$6),AND(R$7&gt;0,$A759&gt;R$7)),0,MAX(0,ROUND((INDEX($E759:$G759,R$5)-SUMIFS(TF_Timer,TF_Tekniker,R$4,TF_Dato,$A759))*2,0)/2)))</f>
        <v/>
      </c>
      <c r="S759">
        <f>IF(OR(S$4="",$A759&gt;TODAY()),0,IF(OR(INDEX($B759:$D759,S$5)="F",AND(S$6&gt;0,$A759&lt;S$6),AND(S$7&gt;0,$A759&gt;S$7)),0,MAX(0,ROUND((INDEX($E759:$G759,S$5)-SUMIFS(TF_Timer,TF_Tekniker,S$4,TF_Dato,$A759))*2,0)/2)))</f>
        <v/>
      </c>
      <c r="T759">
        <f>IF(OR(T$4="",$A759&gt;TODAY()),0,IF(OR(INDEX($B759:$D759,T$5)="F",AND(T$6&gt;0,$A759&lt;T$6),AND(T$7&gt;0,$A759&gt;T$7)),0,MAX(0,ROUND((INDEX($E759:$G759,T$5)-SUMIFS(TF_Timer,TF_Tekniker,T$4,TF_Dato,$A759))*2,0)/2)))</f>
        <v/>
      </c>
      <c r="U759">
        <f>IF(OR(U$4="",$A759&gt;TODAY()),0,IF(OR(INDEX($B759:$D759,U$5)="F",AND(U$6&gt;0,$A759&lt;U$6),AND(U$7&gt;0,$A759&gt;U$7)),0,MAX(0,ROUND((INDEX($E759:$G759,U$5)-SUMIFS(TF_Timer,TF_Tekniker,U$4,TF_Dato,$A759))*2,0)/2)))</f>
        <v/>
      </c>
      <c r="V759">
        <f>IF(OR(V$4="",$A759&gt;TODAY()),0,IF(OR(INDEX($B759:$D759,V$5)="F",AND(V$6&gt;0,$A759&lt;V$6),AND(V$7&gt;0,$A759&gt;V$7)),0,MAX(0,ROUND((INDEX($E759:$G759,V$5)-SUMIFS(TF_Timer,TF_Tekniker,V$4,TF_Dato,$A759))*2,0)/2)))</f>
        <v/>
      </c>
      <c r="W759">
        <f>IF(OR(W$4="",$A759&gt;TODAY()),0,IF(OR(INDEX($B759:$D759,W$5)="F",AND(W$6&gt;0,$A759&lt;W$6),AND(W$7&gt;0,$A759&gt;W$7)),0,MAX(0,ROUND((INDEX($E759:$G759,W$5)-SUMIFS(TF_Timer,TF_Tekniker,W$4,TF_Dato,$A759))*2,0)/2)))</f>
        <v/>
      </c>
      <c r="X759">
        <f>IF(OR(X$4="",$A759&gt;TODAY()),0,IF(OR(INDEX($B759:$D759,X$5)="F",AND(X$6&gt;0,$A759&lt;X$6),AND(X$7&gt;0,$A759&gt;X$7)),0,MAX(0,ROUND((INDEX($E759:$G759,X$5)-SUMIFS(TF_Timer,TF_Tekniker,X$4,TF_Dato,$A759))*2,0)/2)))</f>
        <v/>
      </c>
      <c r="Y759">
        <f>IF(OR(Y$4="",$A759&gt;TODAY()),0,IF(OR(INDEX($B759:$D759,Y$5)="F",AND(Y$6&gt;0,$A759&lt;Y$6),AND(Y$7&gt;0,$A759&gt;Y$7)),0,MAX(0,ROUND((INDEX($E759:$G759,Y$5)-SUMIFS(TF_Timer,TF_Tekniker,Y$4,TF_Dato,$A759))*2,0)/2)))</f>
        <v/>
      </c>
      <c r="Z759">
        <f>IF(OR(Z$4="",$A759&gt;TODAY()),0,IF(OR(INDEX($B759:$D759,Z$5)="F",AND(Z$6&gt;0,$A759&lt;Z$6),AND(Z$7&gt;0,$A759&gt;Z$7)),0,MAX(0,ROUND((INDEX($E759:$G759,Z$5)-SUMIFS(TF_Timer,TF_Tekniker,Z$4,TF_Dato,$A759))*2,0)/2)))</f>
        <v/>
      </c>
      <c r="AA759">
        <f>IF(OR(AA$4="",$A759&gt;TODAY()),0,IF(OR(INDEX($B759:$D759,AA$5)="F",AND(AA$6&gt;0,$A759&lt;AA$6),AND(AA$7&gt;0,$A759&gt;AA$7)),0,MAX(0,ROUND((INDEX($E759:$G759,AA$5)-SUMIFS(TF_Timer,TF_Tekniker,AA$4,TF_Dato,$A759))*2,0)/2)))</f>
        <v/>
      </c>
      <c r="AB759">
        <f>IF(OR(AB$4="",$A759&gt;TODAY()),0,IF(OR(INDEX($B759:$D759,AB$5)="F",AND(AB$6&gt;0,$A759&lt;AB$6),AND(AB$7&gt;0,$A759&gt;AB$7)),0,MAX(0,ROUND((INDEX($E759:$G759,AB$5)-SUMIFS(TF_Timer,TF_Tekniker,AB$4,TF_Dato,$A759))*2,0)/2)))</f>
        <v/>
      </c>
      <c r="AC759">
        <f>IF(OR(AC$4="",$A759&gt;TODAY()),0,IF(OR(INDEX($B759:$D759,AC$5)="F",AND(AC$6&gt;0,$A759&lt;AC$6),AND(AC$7&gt;0,$A759&gt;AC$7)),0,MAX(0,ROUND((INDEX($E759:$G759,AC$5)-SUMIFS(TF_Timer,TF_Tekniker,AC$4,TF_Dato,$A759))*2,0)/2)))</f>
        <v/>
      </c>
      <c r="AD759">
        <f>IF(OR(AD$4="",$A759&gt;TODAY()),0,IF(OR(INDEX($B759:$D759,AD$5)="F",AND(AD$6&gt;0,$A759&lt;AD$6),AND(AD$7&gt;0,$A759&gt;AD$7)),0,MAX(0,ROUND((INDEX($E759:$G759,AD$5)-SUMIFS(TF_Timer,TF_Tekniker,AD$4,TF_Dato,$A759))*2,0)/2)))</f>
        <v/>
      </c>
      <c r="AE759">
        <f>IF(OR(AE$4="",$A759&gt;TODAY()),0,IF(OR(INDEX($B759:$D759,AE$5)="F",AND(AE$6&gt;0,$A759&lt;AE$6),AND(AE$7&gt;0,$A759&gt;AE$7)),0,MAX(0,ROUND((INDEX($E759:$G759,AE$5)-SUMIFS(TF_Timer,TF_Tekniker,AE$4,TF_Dato,$A759))*2,0)/2)))</f>
        <v/>
      </c>
      <c r="AF759">
        <f>IF(OR(AF$4="",$A759&gt;TODAY()),0,IF(OR(INDEX($B759:$D759,AF$5)="F",AND(AF$6&gt;0,$A759&lt;AF$6),AND(AF$7&gt;0,$A759&gt;AF$7)),0,MAX(0,ROUND((INDEX($E759:$G759,AF$5)-SUMIFS(TF_Timer,TF_Tekniker,AF$4,TF_Dato,$A759))*2,0)/2)))</f>
        <v/>
      </c>
      <c r="AG759">
        <f>IF(OR(AG$4="",$A759&gt;TODAY()),0,IF(OR(INDEX($B759:$D759,AG$5)="F",AND(AG$6&gt;0,$A759&lt;AG$6),AND(AG$7&gt;0,$A759&gt;AG$7)),0,MAX(0,ROUND((INDEX($E759:$G759,AG$5)-SUMIFS(TF_Timer,TF_Tekniker,AG$4,TF_Dato,$A759))*2,0)/2)))</f>
        <v/>
      </c>
      <c r="AH759">
        <f>IF(OR(AH$4="",$A759&gt;TODAY()),0,IF(OR(INDEX($B759:$D759,AH$5)="F",AND(AH$6&gt;0,$A759&lt;AH$6),AND(AH$7&gt;0,$A759&gt;AH$7)),0,MAX(0,ROUND((INDEX($E759:$G759,AH$5)-SUMIFS(TF_Timer,TF_Tekniker,AH$4,TF_Dato,$A759))*2,0)/2)))</f>
        <v/>
      </c>
      <c r="AI759">
        <f>IF(OR(AI$4="",$A759&gt;TODAY()),0,IF(OR(INDEX($B759:$D759,AI$5)="F",AND(AI$6&gt;0,$A759&lt;AI$6),AND(AI$7&gt;0,$A759&gt;AI$7)),0,MAX(0,ROUND((INDEX($E759:$G759,AI$5)-SUMIFS(TF_Timer,TF_Tekniker,AI$4,TF_Dato,$A759))*2,0)/2)))</f>
        <v/>
      </c>
      <c r="AJ759">
        <f>IF(OR(AJ$4="",$A759&gt;TODAY()),0,IF(OR(INDEX($B759:$D759,AJ$5)="F",AND(AJ$6&gt;0,$A759&lt;AJ$6),AND(AJ$7&gt;0,$A759&gt;AJ$7)),0,MAX(0,ROUND((INDEX($E759:$G759,AJ$5)-SUMIFS(TF_Timer,TF_Tekniker,AJ$4,TF_Dato,$A759))*2,0)/2)))</f>
        <v/>
      </c>
      <c r="AK759">
        <f>IF(OR(AK$4="",$A759&gt;TODAY()),0,IF(OR(INDEX($B759:$D759,AK$5)="F",AND(AK$6&gt;0,$A759&lt;AK$6),AND(AK$7&gt;0,$A759&gt;AK$7)),0,MAX(0,ROUND((INDEX($E759:$G759,AK$5)-SUMIFS(TF_Timer,TF_Tekniker,AK$4,TF_Dato,$A759))*2,0)/2)))</f>
        <v/>
      </c>
      <c r="AL759">
        <f>IF(OR(AL$4="",$A759&gt;TODAY()),0,IF(OR(INDEX($B759:$D759,AL$5)="F",AND(AL$6&gt;0,$A759&lt;AL$6),AND(AL$7&gt;0,$A759&gt;AL$7)),0,MAX(0,ROUND((INDEX($E759:$G759,AL$5)-SUMIFS(TF_Timer,TF_Tekniker,AL$4,TF_Dato,$A759))*2,0)/2)))</f>
        <v/>
      </c>
      <c r="AM759">
        <f>IF(OR(AM$4="",$A759&gt;TODAY()),0,IF(OR(INDEX($B759:$D759,AM$5)="F",AND(AM$6&gt;0,$A759&lt;AM$6),AND(AM$7&gt;0,$A759&gt;AM$7)),0,MAX(0,ROUND((INDEX($E759:$G759,AM$5)-SUMIFS(TF_Timer,TF_Tekniker,AM$4,TF_Dato,$A759))*2,0)/2)))</f>
        <v/>
      </c>
      <c r="AN759">
        <f>IF(OR(AN$4="",$A759&gt;TODAY()),0,IF(OR(INDEX($B759:$D759,AN$5)="F",AND(AN$6&gt;0,$A759&lt;AN$6),AND(AN$7&gt;0,$A759&gt;AN$7)),0,MAX(0,ROUND((INDEX($E759:$G759,AN$5)-SUMIFS(TF_Timer,TF_Tekniker,AN$4,TF_Dato,$A759))*2,0)/2)))</f>
        <v/>
      </c>
      <c r="AO759">
        <f>IF(OR(AO$4="",$A759&gt;TODAY()),0,IF(OR(INDEX($B759:$D759,AO$5)="F",AND(AO$6&gt;0,$A759&lt;AO$6),AND(AO$7&gt;0,$A759&gt;AO$7)),0,MAX(0,ROUND((INDEX($E759:$G759,AO$5)-SUMIFS(TF_Timer,TF_Tekniker,AO$4,TF_Dato,$A759))*2,0)/2)))</f>
        <v/>
      </c>
      <c r="AP759">
        <f>IF(OR(AP$4="",$A759&gt;TODAY()),0,IF(OR(INDEX($B759:$D759,AP$5)="F",AND(AP$6&gt;0,$A759&lt;AP$6),AND(AP$7&gt;0,$A759&gt;AP$7)),0,MAX(0,ROUND((INDEX($E759:$G759,AP$5)-SUMIFS(TF_Timer,TF_Tekniker,AP$4,TF_Dato,$A759))*2,0)/2)))</f>
        <v/>
      </c>
      <c r="AQ759">
        <f>IF(OR(AQ$4="",$A759&gt;TODAY()),0,IF(OR(INDEX($B759:$D759,AQ$5)="F",AND(AQ$6&gt;0,$A759&lt;AQ$6),AND(AQ$7&gt;0,$A759&gt;AQ$7)),0,MAX(0,ROUND((INDEX($E759:$G759,AQ$5)-SUMIFS(TF_Timer,TF_Tekniker,AQ$4,TF_Dato,$A759))*2,0)/2)))</f>
        <v/>
      </c>
      <c r="AR759">
        <f>IF(OR(AR$4="",$A759&gt;TODAY()),0,IF(OR(INDEX($B759:$D759,AR$5)="F",AND(AR$6&gt;0,$A759&lt;AR$6),AND(AR$7&gt;0,$A759&gt;AR$7)),0,MAX(0,ROUND((INDEX($E759:$G759,AR$5)-SUMIFS(TF_Timer,TF_Tekniker,AR$4,TF_Dato,$A759))*2,0)/2)))</f>
        <v/>
      </c>
      <c r="AS759">
        <f>IF(OR(AS$4="",$A759&gt;TODAY()),0,IF(OR(INDEX($B759:$D759,AS$5)="F",AND(AS$6&gt;0,$A759&lt;AS$6),AND(AS$7&gt;0,$A759&gt;AS$7)),0,MAX(0,ROUND((INDEX($E759:$G759,AS$5)-SUMIFS(TF_Timer,TF_Tekniker,AS$4,TF_Dato,$A759))*2,0)/2)))</f>
        <v/>
      </c>
      <c r="AT759">
        <f>IF(OR(AT$4="",$A759&gt;TODAY()),0,IF(OR(INDEX($B759:$D759,AT$5)="F",AND(AT$6&gt;0,$A759&lt;AT$6),AND(AT$7&gt;0,$A759&gt;AT$7)),0,MAX(0,ROUND((INDEX($E759:$G759,AT$5)-SUMIFS(TF_Timer,TF_Tekniker,AT$4,TF_Dato,$A759))*2,0)/2)))</f>
        <v/>
      </c>
      <c r="AU759">
        <f>IF(OR(AU$4="",$A759&gt;TODAY()),0,IF(OR(INDEX($B759:$D759,AU$5)="F",AND(AU$6&gt;0,$A759&lt;AU$6),AND(AU$7&gt;0,$A759&gt;AU$7)),0,MAX(0,ROUND((INDEX($E759:$G759,AU$5)-SUMIFS(TF_Timer,TF_Tekniker,AU$4,TF_Dato,$A759))*2,0)/2)))</f>
        <v/>
      </c>
      <c r="AV759">
        <f>IF(OR(AV$4="",$A759&gt;TODAY()),0,IF(OR(INDEX($B759:$D759,AV$5)="F",AND(AV$6&gt;0,$A759&lt;AV$6),AND(AV$7&gt;0,$A759&gt;AV$7)),0,MAX(0,ROUND((INDEX($E759:$G759,AV$5)-SUMIFS(TF_Timer,TF_Tekniker,AV$4,TF_Dato,$A759))*2,0)/2)))</f>
        <v/>
      </c>
      <c r="AW759">
        <f>IF(OR(AW$4="",$A759&gt;TODAY()),0,IF(OR(INDEX($B759:$D759,AW$5)="F",AND(AW$6&gt;0,$A759&lt;AW$6),AND(AW$7&gt;0,$A759&gt;AW$7)),0,MAX(0,ROUND((INDEX($E759:$G759,AW$5)-SUMIFS(TF_Timer,TF_Tekniker,AW$4,TF_Dato,$A759))*2,0)/2)))</f>
        <v/>
      </c>
      <c r="AX759">
        <f>IF(OR(AX$4="",$A759&gt;TODAY()),0,IF(OR(INDEX($B759:$D759,AX$5)="F",AND(AX$6&gt;0,$A759&lt;AX$6),AND(AX$7&gt;0,$A759&gt;AX$7)),0,MAX(0,ROUND((INDEX($E759:$G759,AX$5)-SUMIFS(TF_Timer,TF_Tekniker,AX$4,TF_Dato,$A759))*2,0)/2)))</f>
        <v/>
      </c>
      <c r="AY759">
        <f>IF(OR(AY$4="",$A759&gt;TODAY()),0,IF(OR(INDEX($B759:$D759,AY$5)="F",AND(AY$6&gt;0,$A759&lt;AY$6),AND(AY$7&gt;0,$A759&gt;AY$7)),0,MAX(0,ROUND((INDEX($E759:$G759,AY$5)-SUMIFS(TF_Timer,TF_Tekniker,AY$4,TF_Dato,$A759))*2,0)/2)))</f>
        <v/>
      </c>
      <c r="AZ759">
        <f>IF(OR(AZ$4="",$A759&gt;TODAY()),0,IF(OR(INDEX($B759:$D759,AZ$5)="F",AND(AZ$6&gt;0,$A759&lt;AZ$6),AND(AZ$7&gt;0,$A759&gt;AZ$7)),0,MAX(0,ROUND((INDEX($E759:$G759,AZ$5)-SUMIFS(TF_Timer,TF_Tekniker,AZ$4,TF_Dato,$A759))*2,0)/2)))</f>
        <v/>
      </c>
      <c r="BA759">
        <f>IF(OR(BA$4="",$A759&gt;TODAY()),0,IF(OR(INDEX($B759:$D759,BA$5)="F",AND(BA$6&gt;0,$A759&lt;BA$6),AND(BA$7&gt;0,$A759&gt;BA$7)),0,MAX(0,ROUND((INDEX($E759:$G759,BA$5)-SUMIFS(TF_Timer,TF_Tekniker,BA$4,TF_Dato,$A759))*2,0)/2)))</f>
        <v/>
      </c>
      <c r="BB759">
        <f>IF(OR(BB$4="",$A759&gt;TODAY()),0,IF(OR(INDEX($B759:$D759,BB$5)="F",AND(BB$6&gt;0,$A759&lt;BB$6),AND(BB$7&gt;0,$A759&gt;BB$7)),0,MAX(0,ROUND((INDEX($E759:$G759,BB$5)-SUMIFS(TF_Timer,TF_Tekniker,BB$4,TF_Dato,$A759))*2,0)/2)))</f>
        <v/>
      </c>
      <c r="BC759">
        <f>IF(OR(BC$4="",$A759&gt;TODAY()),0,IF(OR(INDEX($B759:$D759,BC$5)="F",AND(BC$6&gt;0,$A759&lt;BC$6),AND(BC$7&gt;0,$A759&gt;BC$7)),0,MAX(0,ROUND((INDEX($E759:$G759,BC$5)-SUMIFS(TF_Timer,TF_Tekniker,BC$4,TF_Dato,$A759))*2,0)/2)))</f>
        <v/>
      </c>
      <c r="BD759">
        <f>IF(OR(BD$4="",$A759&gt;TODAY()),0,IF(OR(INDEX($B759:$D759,BD$5)="F",AND(BD$6&gt;0,$A759&lt;BD$6),AND(BD$7&gt;0,$A759&gt;BD$7)),0,MAX(0,ROUND((INDEX($E759:$G759,BD$5)-SUMIFS(TF_Timer,TF_Tekniker,BD$4,TF_Dato,$A759))*2,0)/2)))</f>
        <v/>
      </c>
      <c r="BE759">
        <f>IF(OR(BE$4="",$A759&gt;TODAY()),0,IF(OR(INDEX($B759:$D759,BE$5)="F",AND(BE$6&gt;0,$A759&lt;BE$6),AND(BE$7&gt;0,$A759&gt;BE$7)),0,MAX(0,ROUND((INDEX($E759:$G759,BE$5)-SUMIFS(TF_Timer,TF_Tekniker,BE$4,TF_Dato,$A759))*2,0)/2)))</f>
        <v/>
      </c>
      <c r="BF759">
        <f>IF(OR(BF$4="",$A759&gt;TODAY()),0,IF(OR(INDEX($B759:$D759,BF$5)="F",AND(BF$6&gt;0,$A759&lt;BF$6),AND(BF$7&gt;0,$A759&gt;BF$7)),0,MAX(0,ROUND((INDEX($E759:$G759,BF$5)-SUMIFS(TF_Timer,TF_Tekniker,BF$4,TF_Dato,$A759))*2,0)/2)))</f>
        <v/>
      </c>
      <c r="BG759">
        <f>IF(OR(BG$4="",$A759&gt;TODAY()),0,IF(OR(INDEX($B759:$D759,BG$5)="F",AND(BG$6&gt;0,$A759&lt;BG$6),AND(BG$7&gt;0,$A759&gt;BG$7)),0,MAX(0,ROUND((INDEX($E759:$G759,BG$5)-SUMIFS(TF_Timer,TF_Tekniker,BG$4,TF_Dato,$A759))*2,0)/2)))</f>
        <v/>
      </c>
      <c r="BH759">
        <f>IF(OR(BH$4="",$A759&gt;TODAY()),0,IF(OR(INDEX($B759:$D759,BH$5)="F",AND(BH$6&gt;0,$A759&lt;BH$6),AND(BH$7&gt;0,$A759&gt;BH$7)),0,MAX(0,ROUND((INDEX($E759:$G759,BH$5)-SUMIFS(TF_Timer,TF_Tekniker,BH$4,TF_Dato,$A759))*2,0)/2)))</f>
        <v/>
      </c>
      <c r="BI759">
        <f>IF(OR(BI$4="",$A759&gt;TODAY()),0,IF(OR(INDEX($B759:$D759,BI$5)="F",AND(BI$6&gt;0,$A759&lt;BI$6),AND(BI$7&gt;0,$A759&gt;BI$7)),0,MAX(0,ROUND((INDEX($E759:$G759,BI$5)-SUMIFS(TF_Timer,TF_Tekniker,BI$4,TF_Dato,$A759))*2,0)/2)))</f>
        <v/>
      </c>
    </row>
    <row r="760">
      <c r="A760" s="64">
        <f>A759+1</f>
        <v/>
      </c>
      <c r="B760">
        <f>IF(MOD($A760-INDEX(SkiftStart,1),Syklus)&lt;DagK,"K",IF(MOD($A760-INDEX(SkiftStart,1),Syklus)&lt;DagK+DagH,"H",IF(MOD($A760-INDEX(SkiftStart,1),Syklus)&lt;DagK+DagH+DagD,"D","F")))</f>
        <v/>
      </c>
      <c r="C760">
        <f>IF(MOD($A760-INDEX(SkiftStart,2),Syklus)&lt;DagK,"K",IF(MOD($A760-INDEX(SkiftStart,2),Syklus)&lt;DagK+DagH,"H",IF(MOD($A760-INDEX(SkiftStart,2),Syklus)&lt;DagK+DagH+DagD,"D","F")))</f>
        <v/>
      </c>
      <c r="D760">
        <f>IF(MOD($A760-INDEX(SkiftStart,3),Syklus)&lt;DagK,"K",IF(MOD($A760-INDEX(SkiftStart,3),Syklus)&lt;DagK+DagH,"H",IF(MOD($A760-INDEX(SkiftStart,3),Syklus)&lt;DagK+DagH+DagD,"D","F")))</f>
        <v/>
      </c>
      <c r="E760">
        <f>IF(B760="F",0,IF(WEEKDAY($A760,2)=5,INDEX(TimerFr,MATCH(B760,FaseKode,0)),INDEX(TimerMT,MATCH(B760,FaseKode,0))))</f>
        <v/>
      </c>
      <c r="F760">
        <f>IF(C760="F",0,IF(WEEKDAY($A760,2)=5,INDEX(TimerFr,MATCH(C760,FaseKode,0)),INDEX(TimerMT,MATCH(C760,FaseKode,0))))</f>
        <v/>
      </c>
      <c r="G760">
        <f>IF(D760="F",0,IF(WEEKDAY($A760,2)=5,INDEX(TimerFr,MATCH(D760,FaseKode,0)),INDEX(TimerMT,MATCH(D760,FaseKode,0))))</f>
        <v/>
      </c>
      <c r="H760">
        <f>IF(OR(H$4="",$A760&gt;TODAY()),0,IF(OR(INDEX($B760:$D760,H$5)="F",AND(H$6&gt;0,$A760&lt;H$6),AND(H$7&gt;0,$A760&gt;H$7)),0,MAX(0,ROUND((INDEX($E760:$G760,H$5)-SUMIFS(TF_Timer,TF_Tekniker,H$4,TF_Dato,$A760))*2,0)/2)))</f>
        <v/>
      </c>
      <c r="I760">
        <f>IF(OR(I$4="",$A760&gt;TODAY()),0,IF(OR(INDEX($B760:$D760,I$5)="F",AND(I$6&gt;0,$A760&lt;I$6),AND(I$7&gt;0,$A760&gt;I$7)),0,MAX(0,ROUND((INDEX($E760:$G760,I$5)-SUMIFS(TF_Timer,TF_Tekniker,I$4,TF_Dato,$A760))*2,0)/2)))</f>
        <v/>
      </c>
      <c r="J760">
        <f>IF(OR(J$4="",$A760&gt;TODAY()),0,IF(OR(INDEX($B760:$D760,J$5)="F",AND(J$6&gt;0,$A760&lt;J$6),AND(J$7&gt;0,$A760&gt;J$7)),0,MAX(0,ROUND((INDEX($E760:$G760,J$5)-SUMIFS(TF_Timer,TF_Tekniker,J$4,TF_Dato,$A760))*2,0)/2)))</f>
        <v/>
      </c>
      <c r="K760">
        <f>IF(OR(K$4="",$A760&gt;TODAY()),0,IF(OR(INDEX($B760:$D760,K$5)="F",AND(K$6&gt;0,$A760&lt;K$6),AND(K$7&gt;0,$A760&gt;K$7)),0,MAX(0,ROUND((INDEX($E760:$G760,K$5)-SUMIFS(TF_Timer,TF_Tekniker,K$4,TF_Dato,$A760))*2,0)/2)))</f>
        <v/>
      </c>
      <c r="L760">
        <f>IF(OR(L$4="",$A760&gt;TODAY()),0,IF(OR(INDEX($B760:$D760,L$5)="F",AND(L$6&gt;0,$A760&lt;L$6),AND(L$7&gt;0,$A760&gt;L$7)),0,MAX(0,ROUND((INDEX($E760:$G760,L$5)-SUMIFS(TF_Timer,TF_Tekniker,L$4,TF_Dato,$A760))*2,0)/2)))</f>
        <v/>
      </c>
      <c r="M760">
        <f>IF(OR(M$4="",$A760&gt;TODAY()),0,IF(OR(INDEX($B760:$D760,M$5)="F",AND(M$6&gt;0,$A760&lt;M$6),AND(M$7&gt;0,$A760&gt;M$7)),0,MAX(0,ROUND((INDEX($E760:$G760,M$5)-SUMIFS(TF_Timer,TF_Tekniker,M$4,TF_Dato,$A760))*2,0)/2)))</f>
        <v/>
      </c>
      <c r="N760">
        <f>IF(OR(N$4="",$A760&gt;TODAY()),0,IF(OR(INDEX($B760:$D760,N$5)="F",AND(N$6&gt;0,$A760&lt;N$6),AND(N$7&gt;0,$A760&gt;N$7)),0,MAX(0,ROUND((INDEX($E760:$G760,N$5)-SUMIFS(TF_Timer,TF_Tekniker,N$4,TF_Dato,$A760))*2,0)/2)))</f>
        <v/>
      </c>
      <c r="O760">
        <f>IF(OR(O$4="",$A760&gt;TODAY()),0,IF(OR(INDEX($B760:$D760,O$5)="F",AND(O$6&gt;0,$A760&lt;O$6),AND(O$7&gt;0,$A760&gt;O$7)),0,MAX(0,ROUND((INDEX($E760:$G760,O$5)-SUMIFS(TF_Timer,TF_Tekniker,O$4,TF_Dato,$A760))*2,0)/2)))</f>
        <v/>
      </c>
      <c r="P760">
        <f>IF(OR(P$4="",$A760&gt;TODAY()),0,IF(OR(INDEX($B760:$D760,P$5)="F",AND(P$6&gt;0,$A760&lt;P$6),AND(P$7&gt;0,$A760&gt;P$7)),0,MAX(0,ROUND((INDEX($E760:$G760,P$5)-SUMIFS(TF_Timer,TF_Tekniker,P$4,TF_Dato,$A760))*2,0)/2)))</f>
        <v/>
      </c>
      <c r="Q760">
        <f>IF(OR(Q$4="",$A760&gt;TODAY()),0,IF(OR(INDEX($B760:$D760,Q$5)="F",AND(Q$6&gt;0,$A760&lt;Q$6),AND(Q$7&gt;0,$A760&gt;Q$7)),0,MAX(0,ROUND((INDEX($E760:$G760,Q$5)-SUMIFS(TF_Timer,TF_Tekniker,Q$4,TF_Dato,$A760))*2,0)/2)))</f>
        <v/>
      </c>
      <c r="R760">
        <f>IF(OR(R$4="",$A760&gt;TODAY()),0,IF(OR(INDEX($B760:$D760,R$5)="F",AND(R$6&gt;0,$A760&lt;R$6),AND(R$7&gt;0,$A760&gt;R$7)),0,MAX(0,ROUND((INDEX($E760:$G760,R$5)-SUMIFS(TF_Timer,TF_Tekniker,R$4,TF_Dato,$A760))*2,0)/2)))</f>
        <v/>
      </c>
      <c r="S760">
        <f>IF(OR(S$4="",$A760&gt;TODAY()),0,IF(OR(INDEX($B760:$D760,S$5)="F",AND(S$6&gt;0,$A760&lt;S$6),AND(S$7&gt;0,$A760&gt;S$7)),0,MAX(0,ROUND((INDEX($E760:$G760,S$5)-SUMIFS(TF_Timer,TF_Tekniker,S$4,TF_Dato,$A760))*2,0)/2)))</f>
        <v/>
      </c>
      <c r="T760">
        <f>IF(OR(T$4="",$A760&gt;TODAY()),0,IF(OR(INDEX($B760:$D760,T$5)="F",AND(T$6&gt;0,$A760&lt;T$6),AND(T$7&gt;0,$A760&gt;T$7)),0,MAX(0,ROUND((INDEX($E760:$G760,T$5)-SUMIFS(TF_Timer,TF_Tekniker,T$4,TF_Dato,$A760))*2,0)/2)))</f>
        <v/>
      </c>
      <c r="U760">
        <f>IF(OR(U$4="",$A760&gt;TODAY()),0,IF(OR(INDEX($B760:$D760,U$5)="F",AND(U$6&gt;0,$A760&lt;U$6),AND(U$7&gt;0,$A760&gt;U$7)),0,MAX(0,ROUND((INDEX($E760:$G760,U$5)-SUMIFS(TF_Timer,TF_Tekniker,U$4,TF_Dato,$A760))*2,0)/2)))</f>
        <v/>
      </c>
      <c r="V760">
        <f>IF(OR(V$4="",$A760&gt;TODAY()),0,IF(OR(INDEX($B760:$D760,V$5)="F",AND(V$6&gt;0,$A760&lt;V$6),AND(V$7&gt;0,$A760&gt;V$7)),0,MAX(0,ROUND((INDEX($E760:$G760,V$5)-SUMIFS(TF_Timer,TF_Tekniker,V$4,TF_Dato,$A760))*2,0)/2)))</f>
        <v/>
      </c>
      <c r="W760">
        <f>IF(OR(W$4="",$A760&gt;TODAY()),0,IF(OR(INDEX($B760:$D760,W$5)="F",AND(W$6&gt;0,$A760&lt;W$6),AND(W$7&gt;0,$A760&gt;W$7)),0,MAX(0,ROUND((INDEX($E760:$G760,W$5)-SUMIFS(TF_Timer,TF_Tekniker,W$4,TF_Dato,$A760))*2,0)/2)))</f>
        <v/>
      </c>
      <c r="X760">
        <f>IF(OR(X$4="",$A760&gt;TODAY()),0,IF(OR(INDEX($B760:$D760,X$5)="F",AND(X$6&gt;0,$A760&lt;X$6),AND(X$7&gt;0,$A760&gt;X$7)),0,MAX(0,ROUND((INDEX($E760:$G760,X$5)-SUMIFS(TF_Timer,TF_Tekniker,X$4,TF_Dato,$A760))*2,0)/2)))</f>
        <v/>
      </c>
      <c r="Y760">
        <f>IF(OR(Y$4="",$A760&gt;TODAY()),0,IF(OR(INDEX($B760:$D760,Y$5)="F",AND(Y$6&gt;0,$A760&lt;Y$6),AND(Y$7&gt;0,$A760&gt;Y$7)),0,MAX(0,ROUND((INDEX($E760:$G760,Y$5)-SUMIFS(TF_Timer,TF_Tekniker,Y$4,TF_Dato,$A760))*2,0)/2)))</f>
        <v/>
      </c>
      <c r="Z760">
        <f>IF(OR(Z$4="",$A760&gt;TODAY()),0,IF(OR(INDEX($B760:$D760,Z$5)="F",AND(Z$6&gt;0,$A760&lt;Z$6),AND(Z$7&gt;0,$A760&gt;Z$7)),0,MAX(0,ROUND((INDEX($E760:$G760,Z$5)-SUMIFS(TF_Timer,TF_Tekniker,Z$4,TF_Dato,$A760))*2,0)/2)))</f>
        <v/>
      </c>
      <c r="AA760">
        <f>IF(OR(AA$4="",$A760&gt;TODAY()),0,IF(OR(INDEX($B760:$D760,AA$5)="F",AND(AA$6&gt;0,$A760&lt;AA$6),AND(AA$7&gt;0,$A760&gt;AA$7)),0,MAX(0,ROUND((INDEX($E760:$G760,AA$5)-SUMIFS(TF_Timer,TF_Tekniker,AA$4,TF_Dato,$A760))*2,0)/2)))</f>
        <v/>
      </c>
      <c r="AB760">
        <f>IF(OR(AB$4="",$A760&gt;TODAY()),0,IF(OR(INDEX($B760:$D760,AB$5)="F",AND(AB$6&gt;0,$A760&lt;AB$6),AND(AB$7&gt;0,$A760&gt;AB$7)),0,MAX(0,ROUND((INDEX($E760:$G760,AB$5)-SUMIFS(TF_Timer,TF_Tekniker,AB$4,TF_Dato,$A760))*2,0)/2)))</f>
        <v/>
      </c>
      <c r="AC760">
        <f>IF(OR(AC$4="",$A760&gt;TODAY()),0,IF(OR(INDEX($B760:$D760,AC$5)="F",AND(AC$6&gt;0,$A760&lt;AC$6),AND(AC$7&gt;0,$A760&gt;AC$7)),0,MAX(0,ROUND((INDEX($E760:$G760,AC$5)-SUMIFS(TF_Timer,TF_Tekniker,AC$4,TF_Dato,$A760))*2,0)/2)))</f>
        <v/>
      </c>
      <c r="AD760">
        <f>IF(OR(AD$4="",$A760&gt;TODAY()),0,IF(OR(INDEX($B760:$D760,AD$5)="F",AND(AD$6&gt;0,$A760&lt;AD$6),AND(AD$7&gt;0,$A760&gt;AD$7)),0,MAX(0,ROUND((INDEX($E760:$G760,AD$5)-SUMIFS(TF_Timer,TF_Tekniker,AD$4,TF_Dato,$A760))*2,0)/2)))</f>
        <v/>
      </c>
      <c r="AE760">
        <f>IF(OR(AE$4="",$A760&gt;TODAY()),0,IF(OR(INDEX($B760:$D760,AE$5)="F",AND(AE$6&gt;0,$A760&lt;AE$6),AND(AE$7&gt;0,$A760&gt;AE$7)),0,MAX(0,ROUND((INDEX($E760:$G760,AE$5)-SUMIFS(TF_Timer,TF_Tekniker,AE$4,TF_Dato,$A760))*2,0)/2)))</f>
        <v/>
      </c>
      <c r="AF760">
        <f>IF(OR(AF$4="",$A760&gt;TODAY()),0,IF(OR(INDEX($B760:$D760,AF$5)="F",AND(AF$6&gt;0,$A760&lt;AF$6),AND(AF$7&gt;0,$A760&gt;AF$7)),0,MAX(0,ROUND((INDEX($E760:$G760,AF$5)-SUMIFS(TF_Timer,TF_Tekniker,AF$4,TF_Dato,$A760))*2,0)/2)))</f>
        <v/>
      </c>
      <c r="AG760">
        <f>IF(OR(AG$4="",$A760&gt;TODAY()),0,IF(OR(INDEX($B760:$D760,AG$5)="F",AND(AG$6&gt;0,$A760&lt;AG$6),AND(AG$7&gt;0,$A760&gt;AG$7)),0,MAX(0,ROUND((INDEX($E760:$G760,AG$5)-SUMIFS(TF_Timer,TF_Tekniker,AG$4,TF_Dato,$A760))*2,0)/2)))</f>
        <v/>
      </c>
      <c r="AH760">
        <f>IF(OR(AH$4="",$A760&gt;TODAY()),0,IF(OR(INDEX($B760:$D760,AH$5)="F",AND(AH$6&gt;0,$A760&lt;AH$6),AND(AH$7&gt;0,$A760&gt;AH$7)),0,MAX(0,ROUND((INDEX($E760:$G760,AH$5)-SUMIFS(TF_Timer,TF_Tekniker,AH$4,TF_Dato,$A760))*2,0)/2)))</f>
        <v/>
      </c>
      <c r="AI760">
        <f>IF(OR(AI$4="",$A760&gt;TODAY()),0,IF(OR(INDEX($B760:$D760,AI$5)="F",AND(AI$6&gt;0,$A760&lt;AI$6),AND(AI$7&gt;0,$A760&gt;AI$7)),0,MAX(0,ROUND((INDEX($E760:$G760,AI$5)-SUMIFS(TF_Timer,TF_Tekniker,AI$4,TF_Dato,$A760))*2,0)/2)))</f>
        <v/>
      </c>
      <c r="AJ760">
        <f>IF(OR(AJ$4="",$A760&gt;TODAY()),0,IF(OR(INDEX($B760:$D760,AJ$5)="F",AND(AJ$6&gt;0,$A760&lt;AJ$6),AND(AJ$7&gt;0,$A760&gt;AJ$7)),0,MAX(0,ROUND((INDEX($E760:$G760,AJ$5)-SUMIFS(TF_Timer,TF_Tekniker,AJ$4,TF_Dato,$A760))*2,0)/2)))</f>
        <v/>
      </c>
      <c r="AK760">
        <f>IF(OR(AK$4="",$A760&gt;TODAY()),0,IF(OR(INDEX($B760:$D760,AK$5)="F",AND(AK$6&gt;0,$A760&lt;AK$6),AND(AK$7&gt;0,$A760&gt;AK$7)),0,MAX(0,ROUND((INDEX($E760:$G760,AK$5)-SUMIFS(TF_Timer,TF_Tekniker,AK$4,TF_Dato,$A760))*2,0)/2)))</f>
        <v/>
      </c>
      <c r="AL760">
        <f>IF(OR(AL$4="",$A760&gt;TODAY()),0,IF(OR(INDEX($B760:$D760,AL$5)="F",AND(AL$6&gt;0,$A760&lt;AL$6),AND(AL$7&gt;0,$A760&gt;AL$7)),0,MAX(0,ROUND((INDEX($E760:$G760,AL$5)-SUMIFS(TF_Timer,TF_Tekniker,AL$4,TF_Dato,$A760))*2,0)/2)))</f>
        <v/>
      </c>
      <c r="AM760">
        <f>IF(OR(AM$4="",$A760&gt;TODAY()),0,IF(OR(INDEX($B760:$D760,AM$5)="F",AND(AM$6&gt;0,$A760&lt;AM$6),AND(AM$7&gt;0,$A760&gt;AM$7)),0,MAX(0,ROUND((INDEX($E760:$G760,AM$5)-SUMIFS(TF_Timer,TF_Tekniker,AM$4,TF_Dato,$A760))*2,0)/2)))</f>
        <v/>
      </c>
      <c r="AN760">
        <f>IF(OR(AN$4="",$A760&gt;TODAY()),0,IF(OR(INDEX($B760:$D760,AN$5)="F",AND(AN$6&gt;0,$A760&lt;AN$6),AND(AN$7&gt;0,$A760&gt;AN$7)),0,MAX(0,ROUND((INDEX($E760:$G760,AN$5)-SUMIFS(TF_Timer,TF_Tekniker,AN$4,TF_Dato,$A760))*2,0)/2)))</f>
        <v/>
      </c>
      <c r="AO760">
        <f>IF(OR(AO$4="",$A760&gt;TODAY()),0,IF(OR(INDEX($B760:$D760,AO$5)="F",AND(AO$6&gt;0,$A760&lt;AO$6),AND(AO$7&gt;0,$A760&gt;AO$7)),0,MAX(0,ROUND((INDEX($E760:$G760,AO$5)-SUMIFS(TF_Timer,TF_Tekniker,AO$4,TF_Dato,$A760))*2,0)/2)))</f>
        <v/>
      </c>
      <c r="AP760">
        <f>IF(OR(AP$4="",$A760&gt;TODAY()),0,IF(OR(INDEX($B760:$D760,AP$5)="F",AND(AP$6&gt;0,$A760&lt;AP$6),AND(AP$7&gt;0,$A760&gt;AP$7)),0,MAX(0,ROUND((INDEX($E760:$G760,AP$5)-SUMIFS(TF_Timer,TF_Tekniker,AP$4,TF_Dato,$A760))*2,0)/2)))</f>
        <v/>
      </c>
      <c r="AQ760">
        <f>IF(OR(AQ$4="",$A760&gt;TODAY()),0,IF(OR(INDEX($B760:$D760,AQ$5)="F",AND(AQ$6&gt;0,$A760&lt;AQ$6),AND(AQ$7&gt;0,$A760&gt;AQ$7)),0,MAX(0,ROUND((INDEX($E760:$G760,AQ$5)-SUMIFS(TF_Timer,TF_Tekniker,AQ$4,TF_Dato,$A760))*2,0)/2)))</f>
        <v/>
      </c>
      <c r="AR760">
        <f>IF(OR(AR$4="",$A760&gt;TODAY()),0,IF(OR(INDEX($B760:$D760,AR$5)="F",AND(AR$6&gt;0,$A760&lt;AR$6),AND(AR$7&gt;0,$A760&gt;AR$7)),0,MAX(0,ROUND((INDEX($E760:$G760,AR$5)-SUMIFS(TF_Timer,TF_Tekniker,AR$4,TF_Dato,$A760))*2,0)/2)))</f>
        <v/>
      </c>
      <c r="AS760">
        <f>IF(OR(AS$4="",$A760&gt;TODAY()),0,IF(OR(INDEX($B760:$D760,AS$5)="F",AND(AS$6&gt;0,$A760&lt;AS$6),AND(AS$7&gt;0,$A760&gt;AS$7)),0,MAX(0,ROUND((INDEX($E760:$G760,AS$5)-SUMIFS(TF_Timer,TF_Tekniker,AS$4,TF_Dato,$A760))*2,0)/2)))</f>
        <v/>
      </c>
      <c r="AT760">
        <f>IF(OR(AT$4="",$A760&gt;TODAY()),0,IF(OR(INDEX($B760:$D760,AT$5)="F",AND(AT$6&gt;0,$A760&lt;AT$6),AND(AT$7&gt;0,$A760&gt;AT$7)),0,MAX(0,ROUND((INDEX($E760:$G760,AT$5)-SUMIFS(TF_Timer,TF_Tekniker,AT$4,TF_Dato,$A760))*2,0)/2)))</f>
        <v/>
      </c>
      <c r="AU760">
        <f>IF(OR(AU$4="",$A760&gt;TODAY()),0,IF(OR(INDEX($B760:$D760,AU$5)="F",AND(AU$6&gt;0,$A760&lt;AU$6),AND(AU$7&gt;0,$A760&gt;AU$7)),0,MAX(0,ROUND((INDEX($E760:$G760,AU$5)-SUMIFS(TF_Timer,TF_Tekniker,AU$4,TF_Dato,$A760))*2,0)/2)))</f>
        <v/>
      </c>
      <c r="AV760">
        <f>IF(OR(AV$4="",$A760&gt;TODAY()),0,IF(OR(INDEX($B760:$D760,AV$5)="F",AND(AV$6&gt;0,$A760&lt;AV$6),AND(AV$7&gt;0,$A760&gt;AV$7)),0,MAX(0,ROUND((INDEX($E760:$G760,AV$5)-SUMIFS(TF_Timer,TF_Tekniker,AV$4,TF_Dato,$A760))*2,0)/2)))</f>
        <v/>
      </c>
      <c r="AW760">
        <f>IF(OR(AW$4="",$A760&gt;TODAY()),0,IF(OR(INDEX($B760:$D760,AW$5)="F",AND(AW$6&gt;0,$A760&lt;AW$6),AND(AW$7&gt;0,$A760&gt;AW$7)),0,MAX(0,ROUND((INDEX($E760:$G760,AW$5)-SUMIFS(TF_Timer,TF_Tekniker,AW$4,TF_Dato,$A760))*2,0)/2)))</f>
        <v/>
      </c>
      <c r="AX760">
        <f>IF(OR(AX$4="",$A760&gt;TODAY()),0,IF(OR(INDEX($B760:$D760,AX$5)="F",AND(AX$6&gt;0,$A760&lt;AX$6),AND(AX$7&gt;0,$A760&gt;AX$7)),0,MAX(0,ROUND((INDEX($E760:$G760,AX$5)-SUMIFS(TF_Timer,TF_Tekniker,AX$4,TF_Dato,$A760))*2,0)/2)))</f>
        <v/>
      </c>
      <c r="AY760">
        <f>IF(OR(AY$4="",$A760&gt;TODAY()),0,IF(OR(INDEX($B760:$D760,AY$5)="F",AND(AY$6&gt;0,$A760&lt;AY$6),AND(AY$7&gt;0,$A760&gt;AY$7)),0,MAX(0,ROUND((INDEX($E760:$G760,AY$5)-SUMIFS(TF_Timer,TF_Tekniker,AY$4,TF_Dato,$A760))*2,0)/2)))</f>
        <v/>
      </c>
      <c r="AZ760">
        <f>IF(OR(AZ$4="",$A760&gt;TODAY()),0,IF(OR(INDEX($B760:$D760,AZ$5)="F",AND(AZ$6&gt;0,$A760&lt;AZ$6),AND(AZ$7&gt;0,$A760&gt;AZ$7)),0,MAX(0,ROUND((INDEX($E760:$G760,AZ$5)-SUMIFS(TF_Timer,TF_Tekniker,AZ$4,TF_Dato,$A760))*2,0)/2)))</f>
        <v/>
      </c>
      <c r="BA760">
        <f>IF(OR(BA$4="",$A760&gt;TODAY()),0,IF(OR(INDEX($B760:$D760,BA$5)="F",AND(BA$6&gt;0,$A760&lt;BA$6),AND(BA$7&gt;0,$A760&gt;BA$7)),0,MAX(0,ROUND((INDEX($E760:$G760,BA$5)-SUMIFS(TF_Timer,TF_Tekniker,BA$4,TF_Dato,$A760))*2,0)/2)))</f>
        <v/>
      </c>
      <c r="BB760">
        <f>IF(OR(BB$4="",$A760&gt;TODAY()),0,IF(OR(INDEX($B760:$D760,BB$5)="F",AND(BB$6&gt;0,$A760&lt;BB$6),AND(BB$7&gt;0,$A760&gt;BB$7)),0,MAX(0,ROUND((INDEX($E760:$G760,BB$5)-SUMIFS(TF_Timer,TF_Tekniker,BB$4,TF_Dato,$A760))*2,0)/2)))</f>
        <v/>
      </c>
      <c r="BC760">
        <f>IF(OR(BC$4="",$A760&gt;TODAY()),0,IF(OR(INDEX($B760:$D760,BC$5)="F",AND(BC$6&gt;0,$A760&lt;BC$6),AND(BC$7&gt;0,$A760&gt;BC$7)),0,MAX(0,ROUND((INDEX($E760:$G760,BC$5)-SUMIFS(TF_Timer,TF_Tekniker,BC$4,TF_Dato,$A760))*2,0)/2)))</f>
        <v/>
      </c>
      <c r="BD760">
        <f>IF(OR(BD$4="",$A760&gt;TODAY()),0,IF(OR(INDEX($B760:$D760,BD$5)="F",AND(BD$6&gt;0,$A760&lt;BD$6),AND(BD$7&gt;0,$A760&gt;BD$7)),0,MAX(0,ROUND((INDEX($E760:$G760,BD$5)-SUMIFS(TF_Timer,TF_Tekniker,BD$4,TF_Dato,$A760))*2,0)/2)))</f>
        <v/>
      </c>
      <c r="BE760">
        <f>IF(OR(BE$4="",$A760&gt;TODAY()),0,IF(OR(INDEX($B760:$D760,BE$5)="F",AND(BE$6&gt;0,$A760&lt;BE$6),AND(BE$7&gt;0,$A760&gt;BE$7)),0,MAX(0,ROUND((INDEX($E760:$G760,BE$5)-SUMIFS(TF_Timer,TF_Tekniker,BE$4,TF_Dato,$A760))*2,0)/2)))</f>
        <v/>
      </c>
      <c r="BF760">
        <f>IF(OR(BF$4="",$A760&gt;TODAY()),0,IF(OR(INDEX($B760:$D760,BF$5)="F",AND(BF$6&gt;0,$A760&lt;BF$6),AND(BF$7&gt;0,$A760&gt;BF$7)),0,MAX(0,ROUND((INDEX($E760:$G760,BF$5)-SUMIFS(TF_Timer,TF_Tekniker,BF$4,TF_Dato,$A760))*2,0)/2)))</f>
        <v/>
      </c>
      <c r="BG760">
        <f>IF(OR(BG$4="",$A760&gt;TODAY()),0,IF(OR(INDEX($B760:$D760,BG$5)="F",AND(BG$6&gt;0,$A760&lt;BG$6),AND(BG$7&gt;0,$A760&gt;BG$7)),0,MAX(0,ROUND((INDEX($E760:$G760,BG$5)-SUMIFS(TF_Timer,TF_Tekniker,BG$4,TF_Dato,$A760))*2,0)/2)))</f>
        <v/>
      </c>
      <c r="BH760">
        <f>IF(OR(BH$4="",$A760&gt;TODAY()),0,IF(OR(INDEX($B760:$D760,BH$5)="F",AND(BH$6&gt;0,$A760&lt;BH$6),AND(BH$7&gt;0,$A760&gt;BH$7)),0,MAX(0,ROUND((INDEX($E760:$G760,BH$5)-SUMIFS(TF_Timer,TF_Tekniker,BH$4,TF_Dato,$A760))*2,0)/2)))</f>
        <v/>
      </c>
      <c r="BI760">
        <f>IF(OR(BI$4="",$A760&gt;TODAY()),0,IF(OR(INDEX($B760:$D760,BI$5)="F",AND(BI$6&gt;0,$A760&lt;BI$6),AND(BI$7&gt;0,$A760&gt;BI$7)),0,MAX(0,ROUND((INDEX($E760:$G760,BI$5)-SUMIFS(TF_Timer,TF_Tekniker,BI$4,TF_Dato,$A760))*2,0)/2)))</f>
        <v/>
      </c>
    </row>
    <row r="761">
      <c r="A761" s="64">
        <f>A760+1</f>
        <v/>
      </c>
      <c r="B761">
        <f>IF(MOD($A761-INDEX(SkiftStart,1),Syklus)&lt;DagK,"K",IF(MOD($A761-INDEX(SkiftStart,1),Syklus)&lt;DagK+DagH,"H",IF(MOD($A761-INDEX(SkiftStart,1),Syklus)&lt;DagK+DagH+DagD,"D","F")))</f>
        <v/>
      </c>
      <c r="C761">
        <f>IF(MOD($A761-INDEX(SkiftStart,2),Syklus)&lt;DagK,"K",IF(MOD($A761-INDEX(SkiftStart,2),Syklus)&lt;DagK+DagH,"H",IF(MOD($A761-INDEX(SkiftStart,2),Syklus)&lt;DagK+DagH+DagD,"D","F")))</f>
        <v/>
      </c>
      <c r="D761">
        <f>IF(MOD($A761-INDEX(SkiftStart,3),Syklus)&lt;DagK,"K",IF(MOD($A761-INDEX(SkiftStart,3),Syklus)&lt;DagK+DagH,"H",IF(MOD($A761-INDEX(SkiftStart,3),Syklus)&lt;DagK+DagH+DagD,"D","F")))</f>
        <v/>
      </c>
      <c r="E761">
        <f>IF(B761="F",0,IF(WEEKDAY($A761,2)=5,INDEX(TimerFr,MATCH(B761,FaseKode,0)),INDEX(TimerMT,MATCH(B761,FaseKode,0))))</f>
        <v/>
      </c>
      <c r="F761">
        <f>IF(C761="F",0,IF(WEEKDAY($A761,2)=5,INDEX(TimerFr,MATCH(C761,FaseKode,0)),INDEX(TimerMT,MATCH(C761,FaseKode,0))))</f>
        <v/>
      </c>
      <c r="G761">
        <f>IF(D761="F",0,IF(WEEKDAY($A761,2)=5,INDEX(TimerFr,MATCH(D761,FaseKode,0)),INDEX(TimerMT,MATCH(D761,FaseKode,0))))</f>
        <v/>
      </c>
      <c r="H761">
        <f>IF(OR(H$4="",$A761&gt;TODAY()),0,IF(OR(INDEX($B761:$D761,H$5)="F",AND(H$6&gt;0,$A761&lt;H$6),AND(H$7&gt;0,$A761&gt;H$7)),0,MAX(0,ROUND((INDEX($E761:$G761,H$5)-SUMIFS(TF_Timer,TF_Tekniker,H$4,TF_Dato,$A761))*2,0)/2)))</f>
        <v/>
      </c>
      <c r="I761">
        <f>IF(OR(I$4="",$A761&gt;TODAY()),0,IF(OR(INDEX($B761:$D761,I$5)="F",AND(I$6&gt;0,$A761&lt;I$6),AND(I$7&gt;0,$A761&gt;I$7)),0,MAX(0,ROUND((INDEX($E761:$G761,I$5)-SUMIFS(TF_Timer,TF_Tekniker,I$4,TF_Dato,$A761))*2,0)/2)))</f>
        <v/>
      </c>
      <c r="J761">
        <f>IF(OR(J$4="",$A761&gt;TODAY()),0,IF(OR(INDEX($B761:$D761,J$5)="F",AND(J$6&gt;0,$A761&lt;J$6),AND(J$7&gt;0,$A761&gt;J$7)),0,MAX(0,ROUND((INDEX($E761:$G761,J$5)-SUMIFS(TF_Timer,TF_Tekniker,J$4,TF_Dato,$A761))*2,0)/2)))</f>
        <v/>
      </c>
      <c r="K761">
        <f>IF(OR(K$4="",$A761&gt;TODAY()),0,IF(OR(INDEX($B761:$D761,K$5)="F",AND(K$6&gt;0,$A761&lt;K$6),AND(K$7&gt;0,$A761&gt;K$7)),0,MAX(0,ROUND((INDEX($E761:$G761,K$5)-SUMIFS(TF_Timer,TF_Tekniker,K$4,TF_Dato,$A761))*2,0)/2)))</f>
        <v/>
      </c>
      <c r="L761">
        <f>IF(OR(L$4="",$A761&gt;TODAY()),0,IF(OR(INDEX($B761:$D761,L$5)="F",AND(L$6&gt;0,$A761&lt;L$6),AND(L$7&gt;0,$A761&gt;L$7)),0,MAX(0,ROUND((INDEX($E761:$G761,L$5)-SUMIFS(TF_Timer,TF_Tekniker,L$4,TF_Dato,$A761))*2,0)/2)))</f>
        <v/>
      </c>
      <c r="M761">
        <f>IF(OR(M$4="",$A761&gt;TODAY()),0,IF(OR(INDEX($B761:$D761,M$5)="F",AND(M$6&gt;0,$A761&lt;M$6),AND(M$7&gt;0,$A761&gt;M$7)),0,MAX(0,ROUND((INDEX($E761:$G761,M$5)-SUMIFS(TF_Timer,TF_Tekniker,M$4,TF_Dato,$A761))*2,0)/2)))</f>
        <v/>
      </c>
      <c r="N761">
        <f>IF(OR(N$4="",$A761&gt;TODAY()),0,IF(OR(INDEX($B761:$D761,N$5)="F",AND(N$6&gt;0,$A761&lt;N$6),AND(N$7&gt;0,$A761&gt;N$7)),0,MAX(0,ROUND((INDEX($E761:$G761,N$5)-SUMIFS(TF_Timer,TF_Tekniker,N$4,TF_Dato,$A761))*2,0)/2)))</f>
        <v/>
      </c>
      <c r="O761">
        <f>IF(OR(O$4="",$A761&gt;TODAY()),0,IF(OR(INDEX($B761:$D761,O$5)="F",AND(O$6&gt;0,$A761&lt;O$6),AND(O$7&gt;0,$A761&gt;O$7)),0,MAX(0,ROUND((INDEX($E761:$G761,O$5)-SUMIFS(TF_Timer,TF_Tekniker,O$4,TF_Dato,$A761))*2,0)/2)))</f>
        <v/>
      </c>
      <c r="P761">
        <f>IF(OR(P$4="",$A761&gt;TODAY()),0,IF(OR(INDEX($B761:$D761,P$5)="F",AND(P$6&gt;0,$A761&lt;P$6),AND(P$7&gt;0,$A761&gt;P$7)),0,MAX(0,ROUND((INDEX($E761:$G761,P$5)-SUMIFS(TF_Timer,TF_Tekniker,P$4,TF_Dato,$A761))*2,0)/2)))</f>
        <v/>
      </c>
      <c r="Q761">
        <f>IF(OR(Q$4="",$A761&gt;TODAY()),0,IF(OR(INDEX($B761:$D761,Q$5)="F",AND(Q$6&gt;0,$A761&lt;Q$6),AND(Q$7&gt;0,$A761&gt;Q$7)),0,MAX(0,ROUND((INDEX($E761:$G761,Q$5)-SUMIFS(TF_Timer,TF_Tekniker,Q$4,TF_Dato,$A761))*2,0)/2)))</f>
        <v/>
      </c>
      <c r="R761">
        <f>IF(OR(R$4="",$A761&gt;TODAY()),0,IF(OR(INDEX($B761:$D761,R$5)="F",AND(R$6&gt;0,$A761&lt;R$6),AND(R$7&gt;0,$A761&gt;R$7)),0,MAX(0,ROUND((INDEX($E761:$G761,R$5)-SUMIFS(TF_Timer,TF_Tekniker,R$4,TF_Dato,$A761))*2,0)/2)))</f>
        <v/>
      </c>
      <c r="S761">
        <f>IF(OR(S$4="",$A761&gt;TODAY()),0,IF(OR(INDEX($B761:$D761,S$5)="F",AND(S$6&gt;0,$A761&lt;S$6),AND(S$7&gt;0,$A761&gt;S$7)),0,MAX(0,ROUND((INDEX($E761:$G761,S$5)-SUMIFS(TF_Timer,TF_Tekniker,S$4,TF_Dato,$A761))*2,0)/2)))</f>
        <v/>
      </c>
      <c r="T761">
        <f>IF(OR(T$4="",$A761&gt;TODAY()),0,IF(OR(INDEX($B761:$D761,T$5)="F",AND(T$6&gt;0,$A761&lt;T$6),AND(T$7&gt;0,$A761&gt;T$7)),0,MAX(0,ROUND((INDEX($E761:$G761,T$5)-SUMIFS(TF_Timer,TF_Tekniker,T$4,TF_Dato,$A761))*2,0)/2)))</f>
        <v/>
      </c>
      <c r="U761">
        <f>IF(OR(U$4="",$A761&gt;TODAY()),0,IF(OR(INDEX($B761:$D761,U$5)="F",AND(U$6&gt;0,$A761&lt;U$6),AND(U$7&gt;0,$A761&gt;U$7)),0,MAX(0,ROUND((INDEX($E761:$G761,U$5)-SUMIFS(TF_Timer,TF_Tekniker,U$4,TF_Dato,$A761))*2,0)/2)))</f>
        <v/>
      </c>
      <c r="V761">
        <f>IF(OR(V$4="",$A761&gt;TODAY()),0,IF(OR(INDEX($B761:$D761,V$5)="F",AND(V$6&gt;0,$A761&lt;V$6),AND(V$7&gt;0,$A761&gt;V$7)),0,MAX(0,ROUND((INDEX($E761:$G761,V$5)-SUMIFS(TF_Timer,TF_Tekniker,V$4,TF_Dato,$A761))*2,0)/2)))</f>
        <v/>
      </c>
      <c r="W761">
        <f>IF(OR(W$4="",$A761&gt;TODAY()),0,IF(OR(INDEX($B761:$D761,W$5)="F",AND(W$6&gt;0,$A761&lt;W$6),AND(W$7&gt;0,$A761&gt;W$7)),0,MAX(0,ROUND((INDEX($E761:$G761,W$5)-SUMIFS(TF_Timer,TF_Tekniker,W$4,TF_Dato,$A761))*2,0)/2)))</f>
        <v/>
      </c>
      <c r="X761">
        <f>IF(OR(X$4="",$A761&gt;TODAY()),0,IF(OR(INDEX($B761:$D761,X$5)="F",AND(X$6&gt;0,$A761&lt;X$6),AND(X$7&gt;0,$A761&gt;X$7)),0,MAX(0,ROUND((INDEX($E761:$G761,X$5)-SUMIFS(TF_Timer,TF_Tekniker,X$4,TF_Dato,$A761))*2,0)/2)))</f>
        <v/>
      </c>
      <c r="Y761">
        <f>IF(OR(Y$4="",$A761&gt;TODAY()),0,IF(OR(INDEX($B761:$D761,Y$5)="F",AND(Y$6&gt;0,$A761&lt;Y$6),AND(Y$7&gt;0,$A761&gt;Y$7)),0,MAX(0,ROUND((INDEX($E761:$G761,Y$5)-SUMIFS(TF_Timer,TF_Tekniker,Y$4,TF_Dato,$A761))*2,0)/2)))</f>
        <v/>
      </c>
      <c r="Z761">
        <f>IF(OR(Z$4="",$A761&gt;TODAY()),0,IF(OR(INDEX($B761:$D761,Z$5)="F",AND(Z$6&gt;0,$A761&lt;Z$6),AND(Z$7&gt;0,$A761&gt;Z$7)),0,MAX(0,ROUND((INDEX($E761:$G761,Z$5)-SUMIFS(TF_Timer,TF_Tekniker,Z$4,TF_Dato,$A761))*2,0)/2)))</f>
        <v/>
      </c>
      <c r="AA761">
        <f>IF(OR(AA$4="",$A761&gt;TODAY()),0,IF(OR(INDEX($B761:$D761,AA$5)="F",AND(AA$6&gt;0,$A761&lt;AA$6),AND(AA$7&gt;0,$A761&gt;AA$7)),0,MAX(0,ROUND((INDEX($E761:$G761,AA$5)-SUMIFS(TF_Timer,TF_Tekniker,AA$4,TF_Dato,$A761))*2,0)/2)))</f>
        <v/>
      </c>
      <c r="AB761">
        <f>IF(OR(AB$4="",$A761&gt;TODAY()),0,IF(OR(INDEX($B761:$D761,AB$5)="F",AND(AB$6&gt;0,$A761&lt;AB$6),AND(AB$7&gt;0,$A761&gt;AB$7)),0,MAX(0,ROUND((INDEX($E761:$G761,AB$5)-SUMIFS(TF_Timer,TF_Tekniker,AB$4,TF_Dato,$A761))*2,0)/2)))</f>
        <v/>
      </c>
      <c r="AC761">
        <f>IF(OR(AC$4="",$A761&gt;TODAY()),0,IF(OR(INDEX($B761:$D761,AC$5)="F",AND(AC$6&gt;0,$A761&lt;AC$6),AND(AC$7&gt;0,$A761&gt;AC$7)),0,MAX(0,ROUND((INDEX($E761:$G761,AC$5)-SUMIFS(TF_Timer,TF_Tekniker,AC$4,TF_Dato,$A761))*2,0)/2)))</f>
        <v/>
      </c>
      <c r="AD761">
        <f>IF(OR(AD$4="",$A761&gt;TODAY()),0,IF(OR(INDEX($B761:$D761,AD$5)="F",AND(AD$6&gt;0,$A761&lt;AD$6),AND(AD$7&gt;0,$A761&gt;AD$7)),0,MAX(0,ROUND((INDEX($E761:$G761,AD$5)-SUMIFS(TF_Timer,TF_Tekniker,AD$4,TF_Dato,$A761))*2,0)/2)))</f>
        <v/>
      </c>
      <c r="AE761">
        <f>IF(OR(AE$4="",$A761&gt;TODAY()),0,IF(OR(INDEX($B761:$D761,AE$5)="F",AND(AE$6&gt;0,$A761&lt;AE$6),AND(AE$7&gt;0,$A761&gt;AE$7)),0,MAX(0,ROUND((INDEX($E761:$G761,AE$5)-SUMIFS(TF_Timer,TF_Tekniker,AE$4,TF_Dato,$A761))*2,0)/2)))</f>
        <v/>
      </c>
      <c r="AF761">
        <f>IF(OR(AF$4="",$A761&gt;TODAY()),0,IF(OR(INDEX($B761:$D761,AF$5)="F",AND(AF$6&gt;0,$A761&lt;AF$6),AND(AF$7&gt;0,$A761&gt;AF$7)),0,MAX(0,ROUND((INDEX($E761:$G761,AF$5)-SUMIFS(TF_Timer,TF_Tekniker,AF$4,TF_Dato,$A761))*2,0)/2)))</f>
        <v/>
      </c>
      <c r="AG761">
        <f>IF(OR(AG$4="",$A761&gt;TODAY()),0,IF(OR(INDEX($B761:$D761,AG$5)="F",AND(AG$6&gt;0,$A761&lt;AG$6),AND(AG$7&gt;0,$A761&gt;AG$7)),0,MAX(0,ROUND((INDEX($E761:$G761,AG$5)-SUMIFS(TF_Timer,TF_Tekniker,AG$4,TF_Dato,$A761))*2,0)/2)))</f>
        <v/>
      </c>
      <c r="AH761">
        <f>IF(OR(AH$4="",$A761&gt;TODAY()),0,IF(OR(INDEX($B761:$D761,AH$5)="F",AND(AH$6&gt;0,$A761&lt;AH$6),AND(AH$7&gt;0,$A761&gt;AH$7)),0,MAX(0,ROUND((INDEX($E761:$G761,AH$5)-SUMIFS(TF_Timer,TF_Tekniker,AH$4,TF_Dato,$A761))*2,0)/2)))</f>
        <v/>
      </c>
      <c r="AI761">
        <f>IF(OR(AI$4="",$A761&gt;TODAY()),0,IF(OR(INDEX($B761:$D761,AI$5)="F",AND(AI$6&gt;0,$A761&lt;AI$6),AND(AI$7&gt;0,$A761&gt;AI$7)),0,MAX(0,ROUND((INDEX($E761:$G761,AI$5)-SUMIFS(TF_Timer,TF_Tekniker,AI$4,TF_Dato,$A761))*2,0)/2)))</f>
        <v/>
      </c>
      <c r="AJ761">
        <f>IF(OR(AJ$4="",$A761&gt;TODAY()),0,IF(OR(INDEX($B761:$D761,AJ$5)="F",AND(AJ$6&gt;0,$A761&lt;AJ$6),AND(AJ$7&gt;0,$A761&gt;AJ$7)),0,MAX(0,ROUND((INDEX($E761:$G761,AJ$5)-SUMIFS(TF_Timer,TF_Tekniker,AJ$4,TF_Dato,$A761))*2,0)/2)))</f>
        <v/>
      </c>
      <c r="AK761">
        <f>IF(OR(AK$4="",$A761&gt;TODAY()),0,IF(OR(INDEX($B761:$D761,AK$5)="F",AND(AK$6&gt;0,$A761&lt;AK$6),AND(AK$7&gt;0,$A761&gt;AK$7)),0,MAX(0,ROUND((INDEX($E761:$G761,AK$5)-SUMIFS(TF_Timer,TF_Tekniker,AK$4,TF_Dato,$A761))*2,0)/2)))</f>
        <v/>
      </c>
      <c r="AL761">
        <f>IF(OR(AL$4="",$A761&gt;TODAY()),0,IF(OR(INDEX($B761:$D761,AL$5)="F",AND(AL$6&gt;0,$A761&lt;AL$6),AND(AL$7&gt;0,$A761&gt;AL$7)),0,MAX(0,ROUND((INDEX($E761:$G761,AL$5)-SUMIFS(TF_Timer,TF_Tekniker,AL$4,TF_Dato,$A761))*2,0)/2)))</f>
        <v/>
      </c>
      <c r="AM761">
        <f>IF(OR(AM$4="",$A761&gt;TODAY()),0,IF(OR(INDEX($B761:$D761,AM$5)="F",AND(AM$6&gt;0,$A761&lt;AM$6),AND(AM$7&gt;0,$A761&gt;AM$7)),0,MAX(0,ROUND((INDEX($E761:$G761,AM$5)-SUMIFS(TF_Timer,TF_Tekniker,AM$4,TF_Dato,$A761))*2,0)/2)))</f>
        <v/>
      </c>
      <c r="AN761">
        <f>IF(OR(AN$4="",$A761&gt;TODAY()),0,IF(OR(INDEX($B761:$D761,AN$5)="F",AND(AN$6&gt;0,$A761&lt;AN$6),AND(AN$7&gt;0,$A761&gt;AN$7)),0,MAX(0,ROUND((INDEX($E761:$G761,AN$5)-SUMIFS(TF_Timer,TF_Tekniker,AN$4,TF_Dato,$A761))*2,0)/2)))</f>
        <v/>
      </c>
      <c r="AO761">
        <f>IF(OR(AO$4="",$A761&gt;TODAY()),0,IF(OR(INDEX($B761:$D761,AO$5)="F",AND(AO$6&gt;0,$A761&lt;AO$6),AND(AO$7&gt;0,$A761&gt;AO$7)),0,MAX(0,ROUND((INDEX($E761:$G761,AO$5)-SUMIFS(TF_Timer,TF_Tekniker,AO$4,TF_Dato,$A761))*2,0)/2)))</f>
        <v/>
      </c>
      <c r="AP761">
        <f>IF(OR(AP$4="",$A761&gt;TODAY()),0,IF(OR(INDEX($B761:$D761,AP$5)="F",AND(AP$6&gt;0,$A761&lt;AP$6),AND(AP$7&gt;0,$A761&gt;AP$7)),0,MAX(0,ROUND((INDEX($E761:$G761,AP$5)-SUMIFS(TF_Timer,TF_Tekniker,AP$4,TF_Dato,$A761))*2,0)/2)))</f>
        <v/>
      </c>
      <c r="AQ761">
        <f>IF(OR(AQ$4="",$A761&gt;TODAY()),0,IF(OR(INDEX($B761:$D761,AQ$5)="F",AND(AQ$6&gt;0,$A761&lt;AQ$6),AND(AQ$7&gt;0,$A761&gt;AQ$7)),0,MAX(0,ROUND((INDEX($E761:$G761,AQ$5)-SUMIFS(TF_Timer,TF_Tekniker,AQ$4,TF_Dato,$A761))*2,0)/2)))</f>
        <v/>
      </c>
      <c r="AR761">
        <f>IF(OR(AR$4="",$A761&gt;TODAY()),0,IF(OR(INDEX($B761:$D761,AR$5)="F",AND(AR$6&gt;0,$A761&lt;AR$6),AND(AR$7&gt;0,$A761&gt;AR$7)),0,MAX(0,ROUND((INDEX($E761:$G761,AR$5)-SUMIFS(TF_Timer,TF_Tekniker,AR$4,TF_Dato,$A761))*2,0)/2)))</f>
        <v/>
      </c>
      <c r="AS761">
        <f>IF(OR(AS$4="",$A761&gt;TODAY()),0,IF(OR(INDEX($B761:$D761,AS$5)="F",AND(AS$6&gt;0,$A761&lt;AS$6),AND(AS$7&gt;0,$A761&gt;AS$7)),0,MAX(0,ROUND((INDEX($E761:$G761,AS$5)-SUMIFS(TF_Timer,TF_Tekniker,AS$4,TF_Dato,$A761))*2,0)/2)))</f>
        <v/>
      </c>
      <c r="AT761">
        <f>IF(OR(AT$4="",$A761&gt;TODAY()),0,IF(OR(INDEX($B761:$D761,AT$5)="F",AND(AT$6&gt;0,$A761&lt;AT$6),AND(AT$7&gt;0,$A761&gt;AT$7)),0,MAX(0,ROUND((INDEX($E761:$G761,AT$5)-SUMIFS(TF_Timer,TF_Tekniker,AT$4,TF_Dato,$A761))*2,0)/2)))</f>
        <v/>
      </c>
      <c r="AU761">
        <f>IF(OR(AU$4="",$A761&gt;TODAY()),0,IF(OR(INDEX($B761:$D761,AU$5)="F",AND(AU$6&gt;0,$A761&lt;AU$6),AND(AU$7&gt;0,$A761&gt;AU$7)),0,MAX(0,ROUND((INDEX($E761:$G761,AU$5)-SUMIFS(TF_Timer,TF_Tekniker,AU$4,TF_Dato,$A761))*2,0)/2)))</f>
        <v/>
      </c>
      <c r="AV761">
        <f>IF(OR(AV$4="",$A761&gt;TODAY()),0,IF(OR(INDEX($B761:$D761,AV$5)="F",AND(AV$6&gt;0,$A761&lt;AV$6),AND(AV$7&gt;0,$A761&gt;AV$7)),0,MAX(0,ROUND((INDEX($E761:$G761,AV$5)-SUMIFS(TF_Timer,TF_Tekniker,AV$4,TF_Dato,$A761))*2,0)/2)))</f>
        <v/>
      </c>
      <c r="AW761">
        <f>IF(OR(AW$4="",$A761&gt;TODAY()),0,IF(OR(INDEX($B761:$D761,AW$5)="F",AND(AW$6&gt;0,$A761&lt;AW$6),AND(AW$7&gt;0,$A761&gt;AW$7)),0,MAX(0,ROUND((INDEX($E761:$G761,AW$5)-SUMIFS(TF_Timer,TF_Tekniker,AW$4,TF_Dato,$A761))*2,0)/2)))</f>
        <v/>
      </c>
      <c r="AX761">
        <f>IF(OR(AX$4="",$A761&gt;TODAY()),0,IF(OR(INDEX($B761:$D761,AX$5)="F",AND(AX$6&gt;0,$A761&lt;AX$6),AND(AX$7&gt;0,$A761&gt;AX$7)),0,MAX(0,ROUND((INDEX($E761:$G761,AX$5)-SUMIFS(TF_Timer,TF_Tekniker,AX$4,TF_Dato,$A761))*2,0)/2)))</f>
        <v/>
      </c>
      <c r="AY761">
        <f>IF(OR(AY$4="",$A761&gt;TODAY()),0,IF(OR(INDEX($B761:$D761,AY$5)="F",AND(AY$6&gt;0,$A761&lt;AY$6),AND(AY$7&gt;0,$A761&gt;AY$7)),0,MAX(0,ROUND((INDEX($E761:$G761,AY$5)-SUMIFS(TF_Timer,TF_Tekniker,AY$4,TF_Dato,$A761))*2,0)/2)))</f>
        <v/>
      </c>
      <c r="AZ761">
        <f>IF(OR(AZ$4="",$A761&gt;TODAY()),0,IF(OR(INDEX($B761:$D761,AZ$5)="F",AND(AZ$6&gt;0,$A761&lt;AZ$6),AND(AZ$7&gt;0,$A761&gt;AZ$7)),0,MAX(0,ROUND((INDEX($E761:$G761,AZ$5)-SUMIFS(TF_Timer,TF_Tekniker,AZ$4,TF_Dato,$A761))*2,0)/2)))</f>
        <v/>
      </c>
      <c r="BA761">
        <f>IF(OR(BA$4="",$A761&gt;TODAY()),0,IF(OR(INDEX($B761:$D761,BA$5)="F",AND(BA$6&gt;0,$A761&lt;BA$6),AND(BA$7&gt;0,$A761&gt;BA$7)),0,MAX(0,ROUND((INDEX($E761:$G761,BA$5)-SUMIFS(TF_Timer,TF_Tekniker,BA$4,TF_Dato,$A761))*2,0)/2)))</f>
        <v/>
      </c>
      <c r="BB761">
        <f>IF(OR(BB$4="",$A761&gt;TODAY()),0,IF(OR(INDEX($B761:$D761,BB$5)="F",AND(BB$6&gt;0,$A761&lt;BB$6),AND(BB$7&gt;0,$A761&gt;BB$7)),0,MAX(0,ROUND((INDEX($E761:$G761,BB$5)-SUMIFS(TF_Timer,TF_Tekniker,BB$4,TF_Dato,$A761))*2,0)/2)))</f>
        <v/>
      </c>
      <c r="BC761">
        <f>IF(OR(BC$4="",$A761&gt;TODAY()),0,IF(OR(INDEX($B761:$D761,BC$5)="F",AND(BC$6&gt;0,$A761&lt;BC$6),AND(BC$7&gt;0,$A761&gt;BC$7)),0,MAX(0,ROUND((INDEX($E761:$G761,BC$5)-SUMIFS(TF_Timer,TF_Tekniker,BC$4,TF_Dato,$A761))*2,0)/2)))</f>
        <v/>
      </c>
      <c r="BD761">
        <f>IF(OR(BD$4="",$A761&gt;TODAY()),0,IF(OR(INDEX($B761:$D761,BD$5)="F",AND(BD$6&gt;0,$A761&lt;BD$6),AND(BD$7&gt;0,$A761&gt;BD$7)),0,MAX(0,ROUND((INDEX($E761:$G761,BD$5)-SUMIFS(TF_Timer,TF_Tekniker,BD$4,TF_Dato,$A761))*2,0)/2)))</f>
        <v/>
      </c>
      <c r="BE761">
        <f>IF(OR(BE$4="",$A761&gt;TODAY()),0,IF(OR(INDEX($B761:$D761,BE$5)="F",AND(BE$6&gt;0,$A761&lt;BE$6),AND(BE$7&gt;0,$A761&gt;BE$7)),0,MAX(0,ROUND((INDEX($E761:$G761,BE$5)-SUMIFS(TF_Timer,TF_Tekniker,BE$4,TF_Dato,$A761))*2,0)/2)))</f>
        <v/>
      </c>
      <c r="BF761">
        <f>IF(OR(BF$4="",$A761&gt;TODAY()),0,IF(OR(INDEX($B761:$D761,BF$5)="F",AND(BF$6&gt;0,$A761&lt;BF$6),AND(BF$7&gt;0,$A761&gt;BF$7)),0,MAX(0,ROUND((INDEX($E761:$G761,BF$5)-SUMIFS(TF_Timer,TF_Tekniker,BF$4,TF_Dato,$A761))*2,0)/2)))</f>
        <v/>
      </c>
      <c r="BG761">
        <f>IF(OR(BG$4="",$A761&gt;TODAY()),0,IF(OR(INDEX($B761:$D761,BG$5)="F",AND(BG$6&gt;0,$A761&lt;BG$6),AND(BG$7&gt;0,$A761&gt;BG$7)),0,MAX(0,ROUND((INDEX($E761:$G761,BG$5)-SUMIFS(TF_Timer,TF_Tekniker,BG$4,TF_Dato,$A761))*2,0)/2)))</f>
        <v/>
      </c>
      <c r="BH761">
        <f>IF(OR(BH$4="",$A761&gt;TODAY()),0,IF(OR(INDEX($B761:$D761,BH$5)="F",AND(BH$6&gt;0,$A761&lt;BH$6),AND(BH$7&gt;0,$A761&gt;BH$7)),0,MAX(0,ROUND((INDEX($E761:$G761,BH$5)-SUMIFS(TF_Timer,TF_Tekniker,BH$4,TF_Dato,$A761))*2,0)/2)))</f>
        <v/>
      </c>
      <c r="BI761">
        <f>IF(OR(BI$4="",$A761&gt;TODAY()),0,IF(OR(INDEX($B761:$D761,BI$5)="F",AND(BI$6&gt;0,$A761&lt;BI$6),AND(BI$7&gt;0,$A761&gt;BI$7)),0,MAX(0,ROUND((INDEX($E761:$G761,BI$5)-SUMIFS(TF_Timer,TF_Tekniker,BI$4,TF_Dato,$A761))*2,0)/2)))</f>
        <v/>
      </c>
    </row>
    <row r="762">
      <c r="A762" s="64">
        <f>A761+1</f>
        <v/>
      </c>
      <c r="B762">
        <f>IF(MOD($A762-INDEX(SkiftStart,1),Syklus)&lt;DagK,"K",IF(MOD($A762-INDEX(SkiftStart,1),Syklus)&lt;DagK+DagH,"H",IF(MOD($A762-INDEX(SkiftStart,1),Syklus)&lt;DagK+DagH+DagD,"D","F")))</f>
        <v/>
      </c>
      <c r="C762">
        <f>IF(MOD($A762-INDEX(SkiftStart,2),Syklus)&lt;DagK,"K",IF(MOD($A762-INDEX(SkiftStart,2),Syklus)&lt;DagK+DagH,"H",IF(MOD($A762-INDEX(SkiftStart,2),Syklus)&lt;DagK+DagH+DagD,"D","F")))</f>
        <v/>
      </c>
      <c r="D762">
        <f>IF(MOD($A762-INDEX(SkiftStart,3),Syklus)&lt;DagK,"K",IF(MOD($A762-INDEX(SkiftStart,3),Syklus)&lt;DagK+DagH,"H",IF(MOD($A762-INDEX(SkiftStart,3),Syklus)&lt;DagK+DagH+DagD,"D","F")))</f>
        <v/>
      </c>
      <c r="E762">
        <f>IF(B762="F",0,IF(WEEKDAY($A762,2)=5,INDEX(TimerFr,MATCH(B762,FaseKode,0)),INDEX(TimerMT,MATCH(B762,FaseKode,0))))</f>
        <v/>
      </c>
      <c r="F762">
        <f>IF(C762="F",0,IF(WEEKDAY($A762,2)=5,INDEX(TimerFr,MATCH(C762,FaseKode,0)),INDEX(TimerMT,MATCH(C762,FaseKode,0))))</f>
        <v/>
      </c>
      <c r="G762">
        <f>IF(D762="F",0,IF(WEEKDAY($A762,2)=5,INDEX(TimerFr,MATCH(D762,FaseKode,0)),INDEX(TimerMT,MATCH(D762,FaseKode,0))))</f>
        <v/>
      </c>
      <c r="H762">
        <f>IF(OR(H$4="",$A762&gt;TODAY()),0,IF(OR(INDEX($B762:$D762,H$5)="F",AND(H$6&gt;0,$A762&lt;H$6),AND(H$7&gt;0,$A762&gt;H$7)),0,MAX(0,ROUND((INDEX($E762:$G762,H$5)-SUMIFS(TF_Timer,TF_Tekniker,H$4,TF_Dato,$A762))*2,0)/2)))</f>
        <v/>
      </c>
      <c r="I762">
        <f>IF(OR(I$4="",$A762&gt;TODAY()),0,IF(OR(INDEX($B762:$D762,I$5)="F",AND(I$6&gt;0,$A762&lt;I$6),AND(I$7&gt;0,$A762&gt;I$7)),0,MAX(0,ROUND((INDEX($E762:$G762,I$5)-SUMIFS(TF_Timer,TF_Tekniker,I$4,TF_Dato,$A762))*2,0)/2)))</f>
        <v/>
      </c>
      <c r="J762">
        <f>IF(OR(J$4="",$A762&gt;TODAY()),0,IF(OR(INDEX($B762:$D762,J$5)="F",AND(J$6&gt;0,$A762&lt;J$6),AND(J$7&gt;0,$A762&gt;J$7)),0,MAX(0,ROUND((INDEX($E762:$G762,J$5)-SUMIFS(TF_Timer,TF_Tekniker,J$4,TF_Dato,$A762))*2,0)/2)))</f>
        <v/>
      </c>
      <c r="K762">
        <f>IF(OR(K$4="",$A762&gt;TODAY()),0,IF(OR(INDEX($B762:$D762,K$5)="F",AND(K$6&gt;0,$A762&lt;K$6),AND(K$7&gt;0,$A762&gt;K$7)),0,MAX(0,ROUND((INDEX($E762:$G762,K$5)-SUMIFS(TF_Timer,TF_Tekniker,K$4,TF_Dato,$A762))*2,0)/2)))</f>
        <v/>
      </c>
      <c r="L762">
        <f>IF(OR(L$4="",$A762&gt;TODAY()),0,IF(OR(INDEX($B762:$D762,L$5)="F",AND(L$6&gt;0,$A762&lt;L$6),AND(L$7&gt;0,$A762&gt;L$7)),0,MAX(0,ROUND((INDEX($E762:$G762,L$5)-SUMIFS(TF_Timer,TF_Tekniker,L$4,TF_Dato,$A762))*2,0)/2)))</f>
        <v/>
      </c>
      <c r="M762">
        <f>IF(OR(M$4="",$A762&gt;TODAY()),0,IF(OR(INDEX($B762:$D762,M$5)="F",AND(M$6&gt;0,$A762&lt;M$6),AND(M$7&gt;0,$A762&gt;M$7)),0,MAX(0,ROUND((INDEX($E762:$G762,M$5)-SUMIFS(TF_Timer,TF_Tekniker,M$4,TF_Dato,$A762))*2,0)/2)))</f>
        <v/>
      </c>
      <c r="N762">
        <f>IF(OR(N$4="",$A762&gt;TODAY()),0,IF(OR(INDEX($B762:$D762,N$5)="F",AND(N$6&gt;0,$A762&lt;N$6),AND(N$7&gt;0,$A762&gt;N$7)),0,MAX(0,ROUND((INDEX($E762:$G762,N$5)-SUMIFS(TF_Timer,TF_Tekniker,N$4,TF_Dato,$A762))*2,0)/2)))</f>
        <v/>
      </c>
      <c r="O762">
        <f>IF(OR(O$4="",$A762&gt;TODAY()),0,IF(OR(INDEX($B762:$D762,O$5)="F",AND(O$6&gt;0,$A762&lt;O$6),AND(O$7&gt;0,$A762&gt;O$7)),0,MAX(0,ROUND((INDEX($E762:$G762,O$5)-SUMIFS(TF_Timer,TF_Tekniker,O$4,TF_Dato,$A762))*2,0)/2)))</f>
        <v/>
      </c>
      <c r="P762">
        <f>IF(OR(P$4="",$A762&gt;TODAY()),0,IF(OR(INDEX($B762:$D762,P$5)="F",AND(P$6&gt;0,$A762&lt;P$6),AND(P$7&gt;0,$A762&gt;P$7)),0,MAX(0,ROUND((INDEX($E762:$G762,P$5)-SUMIFS(TF_Timer,TF_Tekniker,P$4,TF_Dato,$A762))*2,0)/2)))</f>
        <v/>
      </c>
      <c r="Q762">
        <f>IF(OR(Q$4="",$A762&gt;TODAY()),0,IF(OR(INDEX($B762:$D762,Q$5)="F",AND(Q$6&gt;0,$A762&lt;Q$6),AND(Q$7&gt;0,$A762&gt;Q$7)),0,MAX(0,ROUND((INDEX($E762:$G762,Q$5)-SUMIFS(TF_Timer,TF_Tekniker,Q$4,TF_Dato,$A762))*2,0)/2)))</f>
        <v/>
      </c>
      <c r="R762">
        <f>IF(OR(R$4="",$A762&gt;TODAY()),0,IF(OR(INDEX($B762:$D762,R$5)="F",AND(R$6&gt;0,$A762&lt;R$6),AND(R$7&gt;0,$A762&gt;R$7)),0,MAX(0,ROUND((INDEX($E762:$G762,R$5)-SUMIFS(TF_Timer,TF_Tekniker,R$4,TF_Dato,$A762))*2,0)/2)))</f>
        <v/>
      </c>
      <c r="S762">
        <f>IF(OR(S$4="",$A762&gt;TODAY()),0,IF(OR(INDEX($B762:$D762,S$5)="F",AND(S$6&gt;0,$A762&lt;S$6),AND(S$7&gt;0,$A762&gt;S$7)),0,MAX(0,ROUND((INDEX($E762:$G762,S$5)-SUMIFS(TF_Timer,TF_Tekniker,S$4,TF_Dato,$A762))*2,0)/2)))</f>
        <v/>
      </c>
      <c r="T762">
        <f>IF(OR(T$4="",$A762&gt;TODAY()),0,IF(OR(INDEX($B762:$D762,T$5)="F",AND(T$6&gt;0,$A762&lt;T$6),AND(T$7&gt;0,$A762&gt;T$7)),0,MAX(0,ROUND((INDEX($E762:$G762,T$5)-SUMIFS(TF_Timer,TF_Tekniker,T$4,TF_Dato,$A762))*2,0)/2)))</f>
        <v/>
      </c>
      <c r="U762">
        <f>IF(OR(U$4="",$A762&gt;TODAY()),0,IF(OR(INDEX($B762:$D762,U$5)="F",AND(U$6&gt;0,$A762&lt;U$6),AND(U$7&gt;0,$A762&gt;U$7)),0,MAX(0,ROUND((INDEX($E762:$G762,U$5)-SUMIFS(TF_Timer,TF_Tekniker,U$4,TF_Dato,$A762))*2,0)/2)))</f>
        <v/>
      </c>
      <c r="V762">
        <f>IF(OR(V$4="",$A762&gt;TODAY()),0,IF(OR(INDEX($B762:$D762,V$5)="F",AND(V$6&gt;0,$A762&lt;V$6),AND(V$7&gt;0,$A762&gt;V$7)),0,MAX(0,ROUND((INDEX($E762:$G762,V$5)-SUMIFS(TF_Timer,TF_Tekniker,V$4,TF_Dato,$A762))*2,0)/2)))</f>
        <v/>
      </c>
      <c r="W762">
        <f>IF(OR(W$4="",$A762&gt;TODAY()),0,IF(OR(INDEX($B762:$D762,W$5)="F",AND(W$6&gt;0,$A762&lt;W$6),AND(W$7&gt;0,$A762&gt;W$7)),0,MAX(0,ROUND((INDEX($E762:$G762,W$5)-SUMIFS(TF_Timer,TF_Tekniker,W$4,TF_Dato,$A762))*2,0)/2)))</f>
        <v/>
      </c>
      <c r="X762">
        <f>IF(OR(X$4="",$A762&gt;TODAY()),0,IF(OR(INDEX($B762:$D762,X$5)="F",AND(X$6&gt;0,$A762&lt;X$6),AND(X$7&gt;0,$A762&gt;X$7)),0,MAX(0,ROUND((INDEX($E762:$G762,X$5)-SUMIFS(TF_Timer,TF_Tekniker,X$4,TF_Dato,$A762))*2,0)/2)))</f>
        <v/>
      </c>
      <c r="Y762">
        <f>IF(OR(Y$4="",$A762&gt;TODAY()),0,IF(OR(INDEX($B762:$D762,Y$5)="F",AND(Y$6&gt;0,$A762&lt;Y$6),AND(Y$7&gt;0,$A762&gt;Y$7)),0,MAX(0,ROUND((INDEX($E762:$G762,Y$5)-SUMIFS(TF_Timer,TF_Tekniker,Y$4,TF_Dato,$A762))*2,0)/2)))</f>
        <v/>
      </c>
      <c r="Z762">
        <f>IF(OR(Z$4="",$A762&gt;TODAY()),0,IF(OR(INDEX($B762:$D762,Z$5)="F",AND(Z$6&gt;0,$A762&lt;Z$6),AND(Z$7&gt;0,$A762&gt;Z$7)),0,MAX(0,ROUND((INDEX($E762:$G762,Z$5)-SUMIFS(TF_Timer,TF_Tekniker,Z$4,TF_Dato,$A762))*2,0)/2)))</f>
        <v/>
      </c>
      <c r="AA762">
        <f>IF(OR(AA$4="",$A762&gt;TODAY()),0,IF(OR(INDEX($B762:$D762,AA$5)="F",AND(AA$6&gt;0,$A762&lt;AA$6),AND(AA$7&gt;0,$A762&gt;AA$7)),0,MAX(0,ROUND((INDEX($E762:$G762,AA$5)-SUMIFS(TF_Timer,TF_Tekniker,AA$4,TF_Dato,$A762))*2,0)/2)))</f>
        <v/>
      </c>
      <c r="AB762">
        <f>IF(OR(AB$4="",$A762&gt;TODAY()),0,IF(OR(INDEX($B762:$D762,AB$5)="F",AND(AB$6&gt;0,$A762&lt;AB$6),AND(AB$7&gt;0,$A762&gt;AB$7)),0,MAX(0,ROUND((INDEX($E762:$G762,AB$5)-SUMIFS(TF_Timer,TF_Tekniker,AB$4,TF_Dato,$A762))*2,0)/2)))</f>
        <v/>
      </c>
      <c r="AC762">
        <f>IF(OR(AC$4="",$A762&gt;TODAY()),0,IF(OR(INDEX($B762:$D762,AC$5)="F",AND(AC$6&gt;0,$A762&lt;AC$6),AND(AC$7&gt;0,$A762&gt;AC$7)),0,MAX(0,ROUND((INDEX($E762:$G762,AC$5)-SUMIFS(TF_Timer,TF_Tekniker,AC$4,TF_Dato,$A762))*2,0)/2)))</f>
        <v/>
      </c>
      <c r="AD762">
        <f>IF(OR(AD$4="",$A762&gt;TODAY()),0,IF(OR(INDEX($B762:$D762,AD$5)="F",AND(AD$6&gt;0,$A762&lt;AD$6),AND(AD$7&gt;0,$A762&gt;AD$7)),0,MAX(0,ROUND((INDEX($E762:$G762,AD$5)-SUMIFS(TF_Timer,TF_Tekniker,AD$4,TF_Dato,$A762))*2,0)/2)))</f>
        <v/>
      </c>
      <c r="AE762">
        <f>IF(OR(AE$4="",$A762&gt;TODAY()),0,IF(OR(INDEX($B762:$D762,AE$5)="F",AND(AE$6&gt;0,$A762&lt;AE$6),AND(AE$7&gt;0,$A762&gt;AE$7)),0,MAX(0,ROUND((INDEX($E762:$G762,AE$5)-SUMIFS(TF_Timer,TF_Tekniker,AE$4,TF_Dato,$A762))*2,0)/2)))</f>
        <v/>
      </c>
      <c r="AF762">
        <f>IF(OR(AF$4="",$A762&gt;TODAY()),0,IF(OR(INDEX($B762:$D762,AF$5)="F",AND(AF$6&gt;0,$A762&lt;AF$6),AND(AF$7&gt;0,$A762&gt;AF$7)),0,MAX(0,ROUND((INDEX($E762:$G762,AF$5)-SUMIFS(TF_Timer,TF_Tekniker,AF$4,TF_Dato,$A762))*2,0)/2)))</f>
        <v/>
      </c>
      <c r="AG762">
        <f>IF(OR(AG$4="",$A762&gt;TODAY()),0,IF(OR(INDEX($B762:$D762,AG$5)="F",AND(AG$6&gt;0,$A762&lt;AG$6),AND(AG$7&gt;0,$A762&gt;AG$7)),0,MAX(0,ROUND((INDEX($E762:$G762,AG$5)-SUMIFS(TF_Timer,TF_Tekniker,AG$4,TF_Dato,$A762))*2,0)/2)))</f>
        <v/>
      </c>
      <c r="AH762">
        <f>IF(OR(AH$4="",$A762&gt;TODAY()),0,IF(OR(INDEX($B762:$D762,AH$5)="F",AND(AH$6&gt;0,$A762&lt;AH$6),AND(AH$7&gt;0,$A762&gt;AH$7)),0,MAX(0,ROUND((INDEX($E762:$G762,AH$5)-SUMIFS(TF_Timer,TF_Tekniker,AH$4,TF_Dato,$A762))*2,0)/2)))</f>
        <v/>
      </c>
      <c r="AI762">
        <f>IF(OR(AI$4="",$A762&gt;TODAY()),0,IF(OR(INDEX($B762:$D762,AI$5)="F",AND(AI$6&gt;0,$A762&lt;AI$6),AND(AI$7&gt;0,$A762&gt;AI$7)),0,MAX(0,ROUND((INDEX($E762:$G762,AI$5)-SUMIFS(TF_Timer,TF_Tekniker,AI$4,TF_Dato,$A762))*2,0)/2)))</f>
        <v/>
      </c>
      <c r="AJ762">
        <f>IF(OR(AJ$4="",$A762&gt;TODAY()),0,IF(OR(INDEX($B762:$D762,AJ$5)="F",AND(AJ$6&gt;0,$A762&lt;AJ$6),AND(AJ$7&gt;0,$A762&gt;AJ$7)),0,MAX(0,ROUND((INDEX($E762:$G762,AJ$5)-SUMIFS(TF_Timer,TF_Tekniker,AJ$4,TF_Dato,$A762))*2,0)/2)))</f>
        <v/>
      </c>
      <c r="AK762">
        <f>IF(OR(AK$4="",$A762&gt;TODAY()),0,IF(OR(INDEX($B762:$D762,AK$5)="F",AND(AK$6&gt;0,$A762&lt;AK$6),AND(AK$7&gt;0,$A762&gt;AK$7)),0,MAX(0,ROUND((INDEX($E762:$G762,AK$5)-SUMIFS(TF_Timer,TF_Tekniker,AK$4,TF_Dato,$A762))*2,0)/2)))</f>
        <v/>
      </c>
      <c r="AL762">
        <f>IF(OR(AL$4="",$A762&gt;TODAY()),0,IF(OR(INDEX($B762:$D762,AL$5)="F",AND(AL$6&gt;0,$A762&lt;AL$6),AND(AL$7&gt;0,$A762&gt;AL$7)),0,MAX(0,ROUND((INDEX($E762:$G762,AL$5)-SUMIFS(TF_Timer,TF_Tekniker,AL$4,TF_Dato,$A762))*2,0)/2)))</f>
        <v/>
      </c>
      <c r="AM762">
        <f>IF(OR(AM$4="",$A762&gt;TODAY()),0,IF(OR(INDEX($B762:$D762,AM$5)="F",AND(AM$6&gt;0,$A762&lt;AM$6),AND(AM$7&gt;0,$A762&gt;AM$7)),0,MAX(0,ROUND((INDEX($E762:$G762,AM$5)-SUMIFS(TF_Timer,TF_Tekniker,AM$4,TF_Dato,$A762))*2,0)/2)))</f>
        <v/>
      </c>
      <c r="AN762">
        <f>IF(OR(AN$4="",$A762&gt;TODAY()),0,IF(OR(INDEX($B762:$D762,AN$5)="F",AND(AN$6&gt;0,$A762&lt;AN$6),AND(AN$7&gt;0,$A762&gt;AN$7)),0,MAX(0,ROUND((INDEX($E762:$G762,AN$5)-SUMIFS(TF_Timer,TF_Tekniker,AN$4,TF_Dato,$A762))*2,0)/2)))</f>
        <v/>
      </c>
      <c r="AO762">
        <f>IF(OR(AO$4="",$A762&gt;TODAY()),0,IF(OR(INDEX($B762:$D762,AO$5)="F",AND(AO$6&gt;0,$A762&lt;AO$6),AND(AO$7&gt;0,$A762&gt;AO$7)),0,MAX(0,ROUND((INDEX($E762:$G762,AO$5)-SUMIFS(TF_Timer,TF_Tekniker,AO$4,TF_Dato,$A762))*2,0)/2)))</f>
        <v/>
      </c>
      <c r="AP762">
        <f>IF(OR(AP$4="",$A762&gt;TODAY()),0,IF(OR(INDEX($B762:$D762,AP$5)="F",AND(AP$6&gt;0,$A762&lt;AP$6),AND(AP$7&gt;0,$A762&gt;AP$7)),0,MAX(0,ROUND((INDEX($E762:$G762,AP$5)-SUMIFS(TF_Timer,TF_Tekniker,AP$4,TF_Dato,$A762))*2,0)/2)))</f>
        <v/>
      </c>
      <c r="AQ762">
        <f>IF(OR(AQ$4="",$A762&gt;TODAY()),0,IF(OR(INDEX($B762:$D762,AQ$5)="F",AND(AQ$6&gt;0,$A762&lt;AQ$6),AND(AQ$7&gt;0,$A762&gt;AQ$7)),0,MAX(0,ROUND((INDEX($E762:$G762,AQ$5)-SUMIFS(TF_Timer,TF_Tekniker,AQ$4,TF_Dato,$A762))*2,0)/2)))</f>
        <v/>
      </c>
      <c r="AR762">
        <f>IF(OR(AR$4="",$A762&gt;TODAY()),0,IF(OR(INDEX($B762:$D762,AR$5)="F",AND(AR$6&gt;0,$A762&lt;AR$6),AND(AR$7&gt;0,$A762&gt;AR$7)),0,MAX(0,ROUND((INDEX($E762:$G762,AR$5)-SUMIFS(TF_Timer,TF_Tekniker,AR$4,TF_Dato,$A762))*2,0)/2)))</f>
        <v/>
      </c>
      <c r="AS762">
        <f>IF(OR(AS$4="",$A762&gt;TODAY()),0,IF(OR(INDEX($B762:$D762,AS$5)="F",AND(AS$6&gt;0,$A762&lt;AS$6),AND(AS$7&gt;0,$A762&gt;AS$7)),0,MAX(0,ROUND((INDEX($E762:$G762,AS$5)-SUMIFS(TF_Timer,TF_Tekniker,AS$4,TF_Dato,$A762))*2,0)/2)))</f>
        <v/>
      </c>
      <c r="AT762">
        <f>IF(OR(AT$4="",$A762&gt;TODAY()),0,IF(OR(INDEX($B762:$D762,AT$5)="F",AND(AT$6&gt;0,$A762&lt;AT$6),AND(AT$7&gt;0,$A762&gt;AT$7)),0,MAX(0,ROUND((INDEX($E762:$G762,AT$5)-SUMIFS(TF_Timer,TF_Tekniker,AT$4,TF_Dato,$A762))*2,0)/2)))</f>
        <v/>
      </c>
      <c r="AU762">
        <f>IF(OR(AU$4="",$A762&gt;TODAY()),0,IF(OR(INDEX($B762:$D762,AU$5)="F",AND(AU$6&gt;0,$A762&lt;AU$6),AND(AU$7&gt;0,$A762&gt;AU$7)),0,MAX(0,ROUND((INDEX($E762:$G762,AU$5)-SUMIFS(TF_Timer,TF_Tekniker,AU$4,TF_Dato,$A762))*2,0)/2)))</f>
        <v/>
      </c>
      <c r="AV762">
        <f>IF(OR(AV$4="",$A762&gt;TODAY()),0,IF(OR(INDEX($B762:$D762,AV$5)="F",AND(AV$6&gt;0,$A762&lt;AV$6),AND(AV$7&gt;0,$A762&gt;AV$7)),0,MAX(0,ROUND((INDEX($E762:$G762,AV$5)-SUMIFS(TF_Timer,TF_Tekniker,AV$4,TF_Dato,$A762))*2,0)/2)))</f>
        <v/>
      </c>
      <c r="AW762">
        <f>IF(OR(AW$4="",$A762&gt;TODAY()),0,IF(OR(INDEX($B762:$D762,AW$5)="F",AND(AW$6&gt;0,$A762&lt;AW$6),AND(AW$7&gt;0,$A762&gt;AW$7)),0,MAX(0,ROUND((INDEX($E762:$G762,AW$5)-SUMIFS(TF_Timer,TF_Tekniker,AW$4,TF_Dato,$A762))*2,0)/2)))</f>
        <v/>
      </c>
      <c r="AX762">
        <f>IF(OR(AX$4="",$A762&gt;TODAY()),0,IF(OR(INDEX($B762:$D762,AX$5)="F",AND(AX$6&gt;0,$A762&lt;AX$6),AND(AX$7&gt;0,$A762&gt;AX$7)),0,MAX(0,ROUND((INDEX($E762:$G762,AX$5)-SUMIFS(TF_Timer,TF_Tekniker,AX$4,TF_Dato,$A762))*2,0)/2)))</f>
        <v/>
      </c>
      <c r="AY762">
        <f>IF(OR(AY$4="",$A762&gt;TODAY()),0,IF(OR(INDEX($B762:$D762,AY$5)="F",AND(AY$6&gt;0,$A762&lt;AY$6),AND(AY$7&gt;0,$A762&gt;AY$7)),0,MAX(0,ROUND((INDEX($E762:$G762,AY$5)-SUMIFS(TF_Timer,TF_Tekniker,AY$4,TF_Dato,$A762))*2,0)/2)))</f>
        <v/>
      </c>
      <c r="AZ762">
        <f>IF(OR(AZ$4="",$A762&gt;TODAY()),0,IF(OR(INDEX($B762:$D762,AZ$5)="F",AND(AZ$6&gt;0,$A762&lt;AZ$6),AND(AZ$7&gt;0,$A762&gt;AZ$7)),0,MAX(0,ROUND((INDEX($E762:$G762,AZ$5)-SUMIFS(TF_Timer,TF_Tekniker,AZ$4,TF_Dato,$A762))*2,0)/2)))</f>
        <v/>
      </c>
      <c r="BA762">
        <f>IF(OR(BA$4="",$A762&gt;TODAY()),0,IF(OR(INDEX($B762:$D762,BA$5)="F",AND(BA$6&gt;0,$A762&lt;BA$6),AND(BA$7&gt;0,$A762&gt;BA$7)),0,MAX(0,ROUND((INDEX($E762:$G762,BA$5)-SUMIFS(TF_Timer,TF_Tekniker,BA$4,TF_Dato,$A762))*2,0)/2)))</f>
        <v/>
      </c>
      <c r="BB762">
        <f>IF(OR(BB$4="",$A762&gt;TODAY()),0,IF(OR(INDEX($B762:$D762,BB$5)="F",AND(BB$6&gt;0,$A762&lt;BB$6),AND(BB$7&gt;0,$A762&gt;BB$7)),0,MAX(0,ROUND((INDEX($E762:$G762,BB$5)-SUMIFS(TF_Timer,TF_Tekniker,BB$4,TF_Dato,$A762))*2,0)/2)))</f>
        <v/>
      </c>
      <c r="BC762">
        <f>IF(OR(BC$4="",$A762&gt;TODAY()),0,IF(OR(INDEX($B762:$D762,BC$5)="F",AND(BC$6&gt;0,$A762&lt;BC$6),AND(BC$7&gt;0,$A762&gt;BC$7)),0,MAX(0,ROUND((INDEX($E762:$G762,BC$5)-SUMIFS(TF_Timer,TF_Tekniker,BC$4,TF_Dato,$A762))*2,0)/2)))</f>
        <v/>
      </c>
      <c r="BD762">
        <f>IF(OR(BD$4="",$A762&gt;TODAY()),0,IF(OR(INDEX($B762:$D762,BD$5)="F",AND(BD$6&gt;0,$A762&lt;BD$6),AND(BD$7&gt;0,$A762&gt;BD$7)),0,MAX(0,ROUND((INDEX($E762:$G762,BD$5)-SUMIFS(TF_Timer,TF_Tekniker,BD$4,TF_Dato,$A762))*2,0)/2)))</f>
        <v/>
      </c>
      <c r="BE762">
        <f>IF(OR(BE$4="",$A762&gt;TODAY()),0,IF(OR(INDEX($B762:$D762,BE$5)="F",AND(BE$6&gt;0,$A762&lt;BE$6),AND(BE$7&gt;0,$A762&gt;BE$7)),0,MAX(0,ROUND((INDEX($E762:$G762,BE$5)-SUMIFS(TF_Timer,TF_Tekniker,BE$4,TF_Dato,$A762))*2,0)/2)))</f>
        <v/>
      </c>
      <c r="BF762">
        <f>IF(OR(BF$4="",$A762&gt;TODAY()),0,IF(OR(INDEX($B762:$D762,BF$5)="F",AND(BF$6&gt;0,$A762&lt;BF$6),AND(BF$7&gt;0,$A762&gt;BF$7)),0,MAX(0,ROUND((INDEX($E762:$G762,BF$5)-SUMIFS(TF_Timer,TF_Tekniker,BF$4,TF_Dato,$A762))*2,0)/2)))</f>
        <v/>
      </c>
      <c r="BG762">
        <f>IF(OR(BG$4="",$A762&gt;TODAY()),0,IF(OR(INDEX($B762:$D762,BG$5)="F",AND(BG$6&gt;0,$A762&lt;BG$6),AND(BG$7&gt;0,$A762&gt;BG$7)),0,MAX(0,ROUND((INDEX($E762:$G762,BG$5)-SUMIFS(TF_Timer,TF_Tekniker,BG$4,TF_Dato,$A762))*2,0)/2)))</f>
        <v/>
      </c>
      <c r="BH762">
        <f>IF(OR(BH$4="",$A762&gt;TODAY()),0,IF(OR(INDEX($B762:$D762,BH$5)="F",AND(BH$6&gt;0,$A762&lt;BH$6),AND(BH$7&gt;0,$A762&gt;BH$7)),0,MAX(0,ROUND((INDEX($E762:$G762,BH$5)-SUMIFS(TF_Timer,TF_Tekniker,BH$4,TF_Dato,$A762))*2,0)/2)))</f>
        <v/>
      </c>
      <c r="BI762">
        <f>IF(OR(BI$4="",$A762&gt;TODAY()),0,IF(OR(INDEX($B762:$D762,BI$5)="F",AND(BI$6&gt;0,$A762&lt;BI$6),AND(BI$7&gt;0,$A762&gt;BI$7)),0,MAX(0,ROUND((INDEX($E762:$G762,BI$5)-SUMIFS(TF_Timer,TF_Tekniker,BI$4,TF_Dato,$A762))*2,0)/2)))</f>
        <v/>
      </c>
    </row>
    <row r="763">
      <c r="A763" s="64">
        <f>A762+1</f>
        <v/>
      </c>
      <c r="B763">
        <f>IF(MOD($A763-INDEX(SkiftStart,1),Syklus)&lt;DagK,"K",IF(MOD($A763-INDEX(SkiftStart,1),Syklus)&lt;DagK+DagH,"H",IF(MOD($A763-INDEX(SkiftStart,1),Syklus)&lt;DagK+DagH+DagD,"D","F")))</f>
        <v/>
      </c>
      <c r="C763">
        <f>IF(MOD($A763-INDEX(SkiftStart,2),Syklus)&lt;DagK,"K",IF(MOD($A763-INDEX(SkiftStart,2),Syklus)&lt;DagK+DagH,"H",IF(MOD($A763-INDEX(SkiftStart,2),Syklus)&lt;DagK+DagH+DagD,"D","F")))</f>
        <v/>
      </c>
      <c r="D763">
        <f>IF(MOD($A763-INDEX(SkiftStart,3),Syklus)&lt;DagK,"K",IF(MOD($A763-INDEX(SkiftStart,3),Syklus)&lt;DagK+DagH,"H",IF(MOD($A763-INDEX(SkiftStart,3),Syklus)&lt;DagK+DagH+DagD,"D","F")))</f>
        <v/>
      </c>
      <c r="E763">
        <f>IF(B763="F",0,IF(WEEKDAY($A763,2)=5,INDEX(TimerFr,MATCH(B763,FaseKode,0)),INDEX(TimerMT,MATCH(B763,FaseKode,0))))</f>
        <v/>
      </c>
      <c r="F763">
        <f>IF(C763="F",0,IF(WEEKDAY($A763,2)=5,INDEX(TimerFr,MATCH(C763,FaseKode,0)),INDEX(TimerMT,MATCH(C763,FaseKode,0))))</f>
        <v/>
      </c>
      <c r="G763">
        <f>IF(D763="F",0,IF(WEEKDAY($A763,2)=5,INDEX(TimerFr,MATCH(D763,FaseKode,0)),INDEX(TimerMT,MATCH(D763,FaseKode,0))))</f>
        <v/>
      </c>
      <c r="H763">
        <f>IF(OR(H$4="",$A763&gt;TODAY()),0,IF(OR(INDEX($B763:$D763,H$5)="F",AND(H$6&gt;0,$A763&lt;H$6),AND(H$7&gt;0,$A763&gt;H$7)),0,MAX(0,ROUND((INDEX($E763:$G763,H$5)-SUMIFS(TF_Timer,TF_Tekniker,H$4,TF_Dato,$A763))*2,0)/2)))</f>
        <v/>
      </c>
      <c r="I763">
        <f>IF(OR(I$4="",$A763&gt;TODAY()),0,IF(OR(INDEX($B763:$D763,I$5)="F",AND(I$6&gt;0,$A763&lt;I$6),AND(I$7&gt;0,$A763&gt;I$7)),0,MAX(0,ROUND((INDEX($E763:$G763,I$5)-SUMIFS(TF_Timer,TF_Tekniker,I$4,TF_Dato,$A763))*2,0)/2)))</f>
        <v/>
      </c>
      <c r="J763">
        <f>IF(OR(J$4="",$A763&gt;TODAY()),0,IF(OR(INDEX($B763:$D763,J$5)="F",AND(J$6&gt;0,$A763&lt;J$6),AND(J$7&gt;0,$A763&gt;J$7)),0,MAX(0,ROUND((INDEX($E763:$G763,J$5)-SUMIFS(TF_Timer,TF_Tekniker,J$4,TF_Dato,$A763))*2,0)/2)))</f>
        <v/>
      </c>
      <c r="K763">
        <f>IF(OR(K$4="",$A763&gt;TODAY()),0,IF(OR(INDEX($B763:$D763,K$5)="F",AND(K$6&gt;0,$A763&lt;K$6),AND(K$7&gt;0,$A763&gt;K$7)),0,MAX(0,ROUND((INDEX($E763:$G763,K$5)-SUMIFS(TF_Timer,TF_Tekniker,K$4,TF_Dato,$A763))*2,0)/2)))</f>
        <v/>
      </c>
      <c r="L763">
        <f>IF(OR(L$4="",$A763&gt;TODAY()),0,IF(OR(INDEX($B763:$D763,L$5)="F",AND(L$6&gt;0,$A763&lt;L$6),AND(L$7&gt;0,$A763&gt;L$7)),0,MAX(0,ROUND((INDEX($E763:$G763,L$5)-SUMIFS(TF_Timer,TF_Tekniker,L$4,TF_Dato,$A763))*2,0)/2)))</f>
        <v/>
      </c>
      <c r="M763">
        <f>IF(OR(M$4="",$A763&gt;TODAY()),0,IF(OR(INDEX($B763:$D763,M$5)="F",AND(M$6&gt;0,$A763&lt;M$6),AND(M$7&gt;0,$A763&gt;M$7)),0,MAX(0,ROUND((INDEX($E763:$G763,M$5)-SUMIFS(TF_Timer,TF_Tekniker,M$4,TF_Dato,$A763))*2,0)/2)))</f>
        <v/>
      </c>
      <c r="N763">
        <f>IF(OR(N$4="",$A763&gt;TODAY()),0,IF(OR(INDEX($B763:$D763,N$5)="F",AND(N$6&gt;0,$A763&lt;N$6),AND(N$7&gt;0,$A763&gt;N$7)),0,MAX(0,ROUND((INDEX($E763:$G763,N$5)-SUMIFS(TF_Timer,TF_Tekniker,N$4,TF_Dato,$A763))*2,0)/2)))</f>
        <v/>
      </c>
      <c r="O763">
        <f>IF(OR(O$4="",$A763&gt;TODAY()),0,IF(OR(INDEX($B763:$D763,O$5)="F",AND(O$6&gt;0,$A763&lt;O$6),AND(O$7&gt;0,$A763&gt;O$7)),0,MAX(0,ROUND((INDEX($E763:$G763,O$5)-SUMIFS(TF_Timer,TF_Tekniker,O$4,TF_Dato,$A763))*2,0)/2)))</f>
        <v/>
      </c>
      <c r="P763">
        <f>IF(OR(P$4="",$A763&gt;TODAY()),0,IF(OR(INDEX($B763:$D763,P$5)="F",AND(P$6&gt;0,$A763&lt;P$6),AND(P$7&gt;0,$A763&gt;P$7)),0,MAX(0,ROUND((INDEX($E763:$G763,P$5)-SUMIFS(TF_Timer,TF_Tekniker,P$4,TF_Dato,$A763))*2,0)/2)))</f>
        <v/>
      </c>
      <c r="Q763">
        <f>IF(OR(Q$4="",$A763&gt;TODAY()),0,IF(OR(INDEX($B763:$D763,Q$5)="F",AND(Q$6&gt;0,$A763&lt;Q$6),AND(Q$7&gt;0,$A763&gt;Q$7)),0,MAX(0,ROUND((INDEX($E763:$G763,Q$5)-SUMIFS(TF_Timer,TF_Tekniker,Q$4,TF_Dato,$A763))*2,0)/2)))</f>
        <v/>
      </c>
      <c r="R763">
        <f>IF(OR(R$4="",$A763&gt;TODAY()),0,IF(OR(INDEX($B763:$D763,R$5)="F",AND(R$6&gt;0,$A763&lt;R$6),AND(R$7&gt;0,$A763&gt;R$7)),0,MAX(0,ROUND((INDEX($E763:$G763,R$5)-SUMIFS(TF_Timer,TF_Tekniker,R$4,TF_Dato,$A763))*2,0)/2)))</f>
        <v/>
      </c>
      <c r="S763">
        <f>IF(OR(S$4="",$A763&gt;TODAY()),0,IF(OR(INDEX($B763:$D763,S$5)="F",AND(S$6&gt;0,$A763&lt;S$6),AND(S$7&gt;0,$A763&gt;S$7)),0,MAX(0,ROUND((INDEX($E763:$G763,S$5)-SUMIFS(TF_Timer,TF_Tekniker,S$4,TF_Dato,$A763))*2,0)/2)))</f>
        <v/>
      </c>
      <c r="T763">
        <f>IF(OR(T$4="",$A763&gt;TODAY()),0,IF(OR(INDEX($B763:$D763,T$5)="F",AND(T$6&gt;0,$A763&lt;T$6),AND(T$7&gt;0,$A763&gt;T$7)),0,MAX(0,ROUND((INDEX($E763:$G763,T$5)-SUMIFS(TF_Timer,TF_Tekniker,T$4,TF_Dato,$A763))*2,0)/2)))</f>
        <v/>
      </c>
      <c r="U763">
        <f>IF(OR(U$4="",$A763&gt;TODAY()),0,IF(OR(INDEX($B763:$D763,U$5)="F",AND(U$6&gt;0,$A763&lt;U$6),AND(U$7&gt;0,$A763&gt;U$7)),0,MAX(0,ROUND((INDEX($E763:$G763,U$5)-SUMIFS(TF_Timer,TF_Tekniker,U$4,TF_Dato,$A763))*2,0)/2)))</f>
        <v/>
      </c>
      <c r="V763">
        <f>IF(OR(V$4="",$A763&gt;TODAY()),0,IF(OR(INDEX($B763:$D763,V$5)="F",AND(V$6&gt;0,$A763&lt;V$6),AND(V$7&gt;0,$A763&gt;V$7)),0,MAX(0,ROUND((INDEX($E763:$G763,V$5)-SUMIFS(TF_Timer,TF_Tekniker,V$4,TF_Dato,$A763))*2,0)/2)))</f>
        <v/>
      </c>
      <c r="W763">
        <f>IF(OR(W$4="",$A763&gt;TODAY()),0,IF(OR(INDEX($B763:$D763,W$5)="F",AND(W$6&gt;0,$A763&lt;W$6),AND(W$7&gt;0,$A763&gt;W$7)),0,MAX(0,ROUND((INDEX($E763:$G763,W$5)-SUMIFS(TF_Timer,TF_Tekniker,W$4,TF_Dato,$A763))*2,0)/2)))</f>
        <v/>
      </c>
      <c r="X763">
        <f>IF(OR(X$4="",$A763&gt;TODAY()),0,IF(OR(INDEX($B763:$D763,X$5)="F",AND(X$6&gt;0,$A763&lt;X$6),AND(X$7&gt;0,$A763&gt;X$7)),0,MAX(0,ROUND((INDEX($E763:$G763,X$5)-SUMIFS(TF_Timer,TF_Tekniker,X$4,TF_Dato,$A763))*2,0)/2)))</f>
        <v/>
      </c>
      <c r="Y763">
        <f>IF(OR(Y$4="",$A763&gt;TODAY()),0,IF(OR(INDEX($B763:$D763,Y$5)="F",AND(Y$6&gt;0,$A763&lt;Y$6),AND(Y$7&gt;0,$A763&gt;Y$7)),0,MAX(0,ROUND((INDEX($E763:$G763,Y$5)-SUMIFS(TF_Timer,TF_Tekniker,Y$4,TF_Dato,$A763))*2,0)/2)))</f>
        <v/>
      </c>
      <c r="Z763">
        <f>IF(OR(Z$4="",$A763&gt;TODAY()),0,IF(OR(INDEX($B763:$D763,Z$5)="F",AND(Z$6&gt;0,$A763&lt;Z$6),AND(Z$7&gt;0,$A763&gt;Z$7)),0,MAX(0,ROUND((INDEX($E763:$G763,Z$5)-SUMIFS(TF_Timer,TF_Tekniker,Z$4,TF_Dato,$A763))*2,0)/2)))</f>
        <v/>
      </c>
      <c r="AA763">
        <f>IF(OR(AA$4="",$A763&gt;TODAY()),0,IF(OR(INDEX($B763:$D763,AA$5)="F",AND(AA$6&gt;0,$A763&lt;AA$6),AND(AA$7&gt;0,$A763&gt;AA$7)),0,MAX(0,ROUND((INDEX($E763:$G763,AA$5)-SUMIFS(TF_Timer,TF_Tekniker,AA$4,TF_Dato,$A763))*2,0)/2)))</f>
        <v/>
      </c>
      <c r="AB763">
        <f>IF(OR(AB$4="",$A763&gt;TODAY()),0,IF(OR(INDEX($B763:$D763,AB$5)="F",AND(AB$6&gt;0,$A763&lt;AB$6),AND(AB$7&gt;0,$A763&gt;AB$7)),0,MAX(0,ROUND((INDEX($E763:$G763,AB$5)-SUMIFS(TF_Timer,TF_Tekniker,AB$4,TF_Dato,$A763))*2,0)/2)))</f>
        <v/>
      </c>
      <c r="AC763">
        <f>IF(OR(AC$4="",$A763&gt;TODAY()),0,IF(OR(INDEX($B763:$D763,AC$5)="F",AND(AC$6&gt;0,$A763&lt;AC$6),AND(AC$7&gt;0,$A763&gt;AC$7)),0,MAX(0,ROUND((INDEX($E763:$G763,AC$5)-SUMIFS(TF_Timer,TF_Tekniker,AC$4,TF_Dato,$A763))*2,0)/2)))</f>
        <v/>
      </c>
      <c r="AD763">
        <f>IF(OR(AD$4="",$A763&gt;TODAY()),0,IF(OR(INDEX($B763:$D763,AD$5)="F",AND(AD$6&gt;0,$A763&lt;AD$6),AND(AD$7&gt;0,$A763&gt;AD$7)),0,MAX(0,ROUND((INDEX($E763:$G763,AD$5)-SUMIFS(TF_Timer,TF_Tekniker,AD$4,TF_Dato,$A763))*2,0)/2)))</f>
        <v/>
      </c>
      <c r="AE763">
        <f>IF(OR(AE$4="",$A763&gt;TODAY()),0,IF(OR(INDEX($B763:$D763,AE$5)="F",AND(AE$6&gt;0,$A763&lt;AE$6),AND(AE$7&gt;0,$A763&gt;AE$7)),0,MAX(0,ROUND((INDEX($E763:$G763,AE$5)-SUMIFS(TF_Timer,TF_Tekniker,AE$4,TF_Dato,$A763))*2,0)/2)))</f>
        <v/>
      </c>
      <c r="AF763">
        <f>IF(OR(AF$4="",$A763&gt;TODAY()),0,IF(OR(INDEX($B763:$D763,AF$5)="F",AND(AF$6&gt;0,$A763&lt;AF$6),AND(AF$7&gt;0,$A763&gt;AF$7)),0,MAX(0,ROUND((INDEX($E763:$G763,AF$5)-SUMIFS(TF_Timer,TF_Tekniker,AF$4,TF_Dato,$A763))*2,0)/2)))</f>
        <v/>
      </c>
      <c r="AG763">
        <f>IF(OR(AG$4="",$A763&gt;TODAY()),0,IF(OR(INDEX($B763:$D763,AG$5)="F",AND(AG$6&gt;0,$A763&lt;AG$6),AND(AG$7&gt;0,$A763&gt;AG$7)),0,MAX(0,ROUND((INDEX($E763:$G763,AG$5)-SUMIFS(TF_Timer,TF_Tekniker,AG$4,TF_Dato,$A763))*2,0)/2)))</f>
        <v/>
      </c>
      <c r="AH763">
        <f>IF(OR(AH$4="",$A763&gt;TODAY()),0,IF(OR(INDEX($B763:$D763,AH$5)="F",AND(AH$6&gt;0,$A763&lt;AH$6),AND(AH$7&gt;0,$A763&gt;AH$7)),0,MAX(0,ROUND((INDEX($E763:$G763,AH$5)-SUMIFS(TF_Timer,TF_Tekniker,AH$4,TF_Dato,$A763))*2,0)/2)))</f>
        <v/>
      </c>
      <c r="AI763">
        <f>IF(OR(AI$4="",$A763&gt;TODAY()),0,IF(OR(INDEX($B763:$D763,AI$5)="F",AND(AI$6&gt;0,$A763&lt;AI$6),AND(AI$7&gt;0,$A763&gt;AI$7)),0,MAX(0,ROUND((INDEX($E763:$G763,AI$5)-SUMIFS(TF_Timer,TF_Tekniker,AI$4,TF_Dato,$A763))*2,0)/2)))</f>
        <v/>
      </c>
      <c r="AJ763">
        <f>IF(OR(AJ$4="",$A763&gt;TODAY()),0,IF(OR(INDEX($B763:$D763,AJ$5)="F",AND(AJ$6&gt;0,$A763&lt;AJ$6),AND(AJ$7&gt;0,$A763&gt;AJ$7)),0,MAX(0,ROUND((INDEX($E763:$G763,AJ$5)-SUMIFS(TF_Timer,TF_Tekniker,AJ$4,TF_Dato,$A763))*2,0)/2)))</f>
        <v/>
      </c>
      <c r="AK763">
        <f>IF(OR(AK$4="",$A763&gt;TODAY()),0,IF(OR(INDEX($B763:$D763,AK$5)="F",AND(AK$6&gt;0,$A763&lt;AK$6),AND(AK$7&gt;0,$A763&gt;AK$7)),0,MAX(0,ROUND((INDEX($E763:$G763,AK$5)-SUMIFS(TF_Timer,TF_Tekniker,AK$4,TF_Dato,$A763))*2,0)/2)))</f>
        <v/>
      </c>
      <c r="AL763">
        <f>IF(OR(AL$4="",$A763&gt;TODAY()),0,IF(OR(INDEX($B763:$D763,AL$5)="F",AND(AL$6&gt;0,$A763&lt;AL$6),AND(AL$7&gt;0,$A763&gt;AL$7)),0,MAX(0,ROUND((INDEX($E763:$G763,AL$5)-SUMIFS(TF_Timer,TF_Tekniker,AL$4,TF_Dato,$A763))*2,0)/2)))</f>
        <v/>
      </c>
      <c r="AM763">
        <f>IF(OR(AM$4="",$A763&gt;TODAY()),0,IF(OR(INDEX($B763:$D763,AM$5)="F",AND(AM$6&gt;0,$A763&lt;AM$6),AND(AM$7&gt;0,$A763&gt;AM$7)),0,MAX(0,ROUND((INDEX($E763:$G763,AM$5)-SUMIFS(TF_Timer,TF_Tekniker,AM$4,TF_Dato,$A763))*2,0)/2)))</f>
        <v/>
      </c>
      <c r="AN763">
        <f>IF(OR(AN$4="",$A763&gt;TODAY()),0,IF(OR(INDEX($B763:$D763,AN$5)="F",AND(AN$6&gt;0,$A763&lt;AN$6),AND(AN$7&gt;0,$A763&gt;AN$7)),0,MAX(0,ROUND((INDEX($E763:$G763,AN$5)-SUMIFS(TF_Timer,TF_Tekniker,AN$4,TF_Dato,$A763))*2,0)/2)))</f>
        <v/>
      </c>
      <c r="AO763">
        <f>IF(OR(AO$4="",$A763&gt;TODAY()),0,IF(OR(INDEX($B763:$D763,AO$5)="F",AND(AO$6&gt;0,$A763&lt;AO$6),AND(AO$7&gt;0,$A763&gt;AO$7)),0,MAX(0,ROUND((INDEX($E763:$G763,AO$5)-SUMIFS(TF_Timer,TF_Tekniker,AO$4,TF_Dato,$A763))*2,0)/2)))</f>
        <v/>
      </c>
      <c r="AP763">
        <f>IF(OR(AP$4="",$A763&gt;TODAY()),0,IF(OR(INDEX($B763:$D763,AP$5)="F",AND(AP$6&gt;0,$A763&lt;AP$6),AND(AP$7&gt;0,$A763&gt;AP$7)),0,MAX(0,ROUND((INDEX($E763:$G763,AP$5)-SUMIFS(TF_Timer,TF_Tekniker,AP$4,TF_Dato,$A763))*2,0)/2)))</f>
        <v/>
      </c>
      <c r="AQ763">
        <f>IF(OR(AQ$4="",$A763&gt;TODAY()),0,IF(OR(INDEX($B763:$D763,AQ$5)="F",AND(AQ$6&gt;0,$A763&lt;AQ$6),AND(AQ$7&gt;0,$A763&gt;AQ$7)),0,MAX(0,ROUND((INDEX($E763:$G763,AQ$5)-SUMIFS(TF_Timer,TF_Tekniker,AQ$4,TF_Dato,$A763))*2,0)/2)))</f>
        <v/>
      </c>
      <c r="AR763">
        <f>IF(OR(AR$4="",$A763&gt;TODAY()),0,IF(OR(INDEX($B763:$D763,AR$5)="F",AND(AR$6&gt;0,$A763&lt;AR$6),AND(AR$7&gt;0,$A763&gt;AR$7)),0,MAX(0,ROUND((INDEX($E763:$G763,AR$5)-SUMIFS(TF_Timer,TF_Tekniker,AR$4,TF_Dato,$A763))*2,0)/2)))</f>
        <v/>
      </c>
      <c r="AS763">
        <f>IF(OR(AS$4="",$A763&gt;TODAY()),0,IF(OR(INDEX($B763:$D763,AS$5)="F",AND(AS$6&gt;0,$A763&lt;AS$6),AND(AS$7&gt;0,$A763&gt;AS$7)),0,MAX(0,ROUND((INDEX($E763:$G763,AS$5)-SUMIFS(TF_Timer,TF_Tekniker,AS$4,TF_Dato,$A763))*2,0)/2)))</f>
        <v/>
      </c>
      <c r="AT763">
        <f>IF(OR(AT$4="",$A763&gt;TODAY()),0,IF(OR(INDEX($B763:$D763,AT$5)="F",AND(AT$6&gt;0,$A763&lt;AT$6),AND(AT$7&gt;0,$A763&gt;AT$7)),0,MAX(0,ROUND((INDEX($E763:$G763,AT$5)-SUMIFS(TF_Timer,TF_Tekniker,AT$4,TF_Dato,$A763))*2,0)/2)))</f>
        <v/>
      </c>
      <c r="AU763">
        <f>IF(OR(AU$4="",$A763&gt;TODAY()),0,IF(OR(INDEX($B763:$D763,AU$5)="F",AND(AU$6&gt;0,$A763&lt;AU$6),AND(AU$7&gt;0,$A763&gt;AU$7)),0,MAX(0,ROUND((INDEX($E763:$G763,AU$5)-SUMIFS(TF_Timer,TF_Tekniker,AU$4,TF_Dato,$A763))*2,0)/2)))</f>
        <v/>
      </c>
      <c r="AV763">
        <f>IF(OR(AV$4="",$A763&gt;TODAY()),0,IF(OR(INDEX($B763:$D763,AV$5)="F",AND(AV$6&gt;0,$A763&lt;AV$6),AND(AV$7&gt;0,$A763&gt;AV$7)),0,MAX(0,ROUND((INDEX($E763:$G763,AV$5)-SUMIFS(TF_Timer,TF_Tekniker,AV$4,TF_Dato,$A763))*2,0)/2)))</f>
        <v/>
      </c>
      <c r="AW763">
        <f>IF(OR(AW$4="",$A763&gt;TODAY()),0,IF(OR(INDEX($B763:$D763,AW$5)="F",AND(AW$6&gt;0,$A763&lt;AW$6),AND(AW$7&gt;0,$A763&gt;AW$7)),0,MAX(0,ROUND((INDEX($E763:$G763,AW$5)-SUMIFS(TF_Timer,TF_Tekniker,AW$4,TF_Dato,$A763))*2,0)/2)))</f>
        <v/>
      </c>
      <c r="AX763">
        <f>IF(OR(AX$4="",$A763&gt;TODAY()),0,IF(OR(INDEX($B763:$D763,AX$5)="F",AND(AX$6&gt;0,$A763&lt;AX$6),AND(AX$7&gt;0,$A763&gt;AX$7)),0,MAX(0,ROUND((INDEX($E763:$G763,AX$5)-SUMIFS(TF_Timer,TF_Tekniker,AX$4,TF_Dato,$A763))*2,0)/2)))</f>
        <v/>
      </c>
      <c r="AY763">
        <f>IF(OR(AY$4="",$A763&gt;TODAY()),0,IF(OR(INDEX($B763:$D763,AY$5)="F",AND(AY$6&gt;0,$A763&lt;AY$6),AND(AY$7&gt;0,$A763&gt;AY$7)),0,MAX(0,ROUND((INDEX($E763:$G763,AY$5)-SUMIFS(TF_Timer,TF_Tekniker,AY$4,TF_Dato,$A763))*2,0)/2)))</f>
        <v/>
      </c>
      <c r="AZ763">
        <f>IF(OR(AZ$4="",$A763&gt;TODAY()),0,IF(OR(INDEX($B763:$D763,AZ$5)="F",AND(AZ$6&gt;0,$A763&lt;AZ$6),AND(AZ$7&gt;0,$A763&gt;AZ$7)),0,MAX(0,ROUND((INDEX($E763:$G763,AZ$5)-SUMIFS(TF_Timer,TF_Tekniker,AZ$4,TF_Dato,$A763))*2,0)/2)))</f>
        <v/>
      </c>
      <c r="BA763">
        <f>IF(OR(BA$4="",$A763&gt;TODAY()),0,IF(OR(INDEX($B763:$D763,BA$5)="F",AND(BA$6&gt;0,$A763&lt;BA$6),AND(BA$7&gt;0,$A763&gt;BA$7)),0,MAX(0,ROUND((INDEX($E763:$G763,BA$5)-SUMIFS(TF_Timer,TF_Tekniker,BA$4,TF_Dato,$A763))*2,0)/2)))</f>
        <v/>
      </c>
      <c r="BB763">
        <f>IF(OR(BB$4="",$A763&gt;TODAY()),0,IF(OR(INDEX($B763:$D763,BB$5)="F",AND(BB$6&gt;0,$A763&lt;BB$6),AND(BB$7&gt;0,$A763&gt;BB$7)),0,MAX(0,ROUND((INDEX($E763:$G763,BB$5)-SUMIFS(TF_Timer,TF_Tekniker,BB$4,TF_Dato,$A763))*2,0)/2)))</f>
        <v/>
      </c>
      <c r="BC763">
        <f>IF(OR(BC$4="",$A763&gt;TODAY()),0,IF(OR(INDEX($B763:$D763,BC$5)="F",AND(BC$6&gt;0,$A763&lt;BC$6),AND(BC$7&gt;0,$A763&gt;BC$7)),0,MAX(0,ROUND((INDEX($E763:$G763,BC$5)-SUMIFS(TF_Timer,TF_Tekniker,BC$4,TF_Dato,$A763))*2,0)/2)))</f>
        <v/>
      </c>
      <c r="BD763">
        <f>IF(OR(BD$4="",$A763&gt;TODAY()),0,IF(OR(INDEX($B763:$D763,BD$5)="F",AND(BD$6&gt;0,$A763&lt;BD$6),AND(BD$7&gt;0,$A763&gt;BD$7)),0,MAX(0,ROUND((INDEX($E763:$G763,BD$5)-SUMIFS(TF_Timer,TF_Tekniker,BD$4,TF_Dato,$A763))*2,0)/2)))</f>
        <v/>
      </c>
      <c r="BE763">
        <f>IF(OR(BE$4="",$A763&gt;TODAY()),0,IF(OR(INDEX($B763:$D763,BE$5)="F",AND(BE$6&gt;0,$A763&lt;BE$6),AND(BE$7&gt;0,$A763&gt;BE$7)),0,MAX(0,ROUND((INDEX($E763:$G763,BE$5)-SUMIFS(TF_Timer,TF_Tekniker,BE$4,TF_Dato,$A763))*2,0)/2)))</f>
        <v/>
      </c>
      <c r="BF763">
        <f>IF(OR(BF$4="",$A763&gt;TODAY()),0,IF(OR(INDEX($B763:$D763,BF$5)="F",AND(BF$6&gt;0,$A763&lt;BF$6),AND(BF$7&gt;0,$A763&gt;BF$7)),0,MAX(0,ROUND((INDEX($E763:$G763,BF$5)-SUMIFS(TF_Timer,TF_Tekniker,BF$4,TF_Dato,$A763))*2,0)/2)))</f>
        <v/>
      </c>
      <c r="BG763">
        <f>IF(OR(BG$4="",$A763&gt;TODAY()),0,IF(OR(INDEX($B763:$D763,BG$5)="F",AND(BG$6&gt;0,$A763&lt;BG$6),AND(BG$7&gt;0,$A763&gt;BG$7)),0,MAX(0,ROUND((INDEX($E763:$G763,BG$5)-SUMIFS(TF_Timer,TF_Tekniker,BG$4,TF_Dato,$A763))*2,0)/2)))</f>
        <v/>
      </c>
      <c r="BH763">
        <f>IF(OR(BH$4="",$A763&gt;TODAY()),0,IF(OR(INDEX($B763:$D763,BH$5)="F",AND(BH$6&gt;0,$A763&lt;BH$6),AND(BH$7&gt;0,$A763&gt;BH$7)),0,MAX(0,ROUND((INDEX($E763:$G763,BH$5)-SUMIFS(TF_Timer,TF_Tekniker,BH$4,TF_Dato,$A763))*2,0)/2)))</f>
        <v/>
      </c>
      <c r="BI763">
        <f>IF(OR(BI$4="",$A763&gt;TODAY()),0,IF(OR(INDEX($B763:$D763,BI$5)="F",AND(BI$6&gt;0,$A763&lt;BI$6),AND(BI$7&gt;0,$A763&gt;BI$7)),0,MAX(0,ROUND((INDEX($E763:$G763,BI$5)-SUMIFS(TF_Timer,TF_Tekniker,BI$4,TF_Dato,$A763))*2,0)/2)))</f>
        <v/>
      </c>
    </row>
    <row r="764">
      <c r="A764" s="64">
        <f>A763+1</f>
        <v/>
      </c>
      <c r="B764">
        <f>IF(MOD($A764-INDEX(SkiftStart,1),Syklus)&lt;DagK,"K",IF(MOD($A764-INDEX(SkiftStart,1),Syklus)&lt;DagK+DagH,"H",IF(MOD($A764-INDEX(SkiftStart,1),Syklus)&lt;DagK+DagH+DagD,"D","F")))</f>
        <v/>
      </c>
      <c r="C764">
        <f>IF(MOD($A764-INDEX(SkiftStart,2),Syklus)&lt;DagK,"K",IF(MOD($A764-INDEX(SkiftStart,2),Syklus)&lt;DagK+DagH,"H",IF(MOD($A764-INDEX(SkiftStart,2),Syklus)&lt;DagK+DagH+DagD,"D","F")))</f>
        <v/>
      </c>
      <c r="D764">
        <f>IF(MOD($A764-INDEX(SkiftStart,3),Syklus)&lt;DagK,"K",IF(MOD($A764-INDEX(SkiftStart,3),Syklus)&lt;DagK+DagH,"H",IF(MOD($A764-INDEX(SkiftStart,3),Syklus)&lt;DagK+DagH+DagD,"D","F")))</f>
        <v/>
      </c>
      <c r="E764">
        <f>IF(B764="F",0,IF(WEEKDAY($A764,2)=5,INDEX(TimerFr,MATCH(B764,FaseKode,0)),INDEX(TimerMT,MATCH(B764,FaseKode,0))))</f>
        <v/>
      </c>
      <c r="F764">
        <f>IF(C764="F",0,IF(WEEKDAY($A764,2)=5,INDEX(TimerFr,MATCH(C764,FaseKode,0)),INDEX(TimerMT,MATCH(C764,FaseKode,0))))</f>
        <v/>
      </c>
      <c r="G764">
        <f>IF(D764="F",0,IF(WEEKDAY($A764,2)=5,INDEX(TimerFr,MATCH(D764,FaseKode,0)),INDEX(TimerMT,MATCH(D764,FaseKode,0))))</f>
        <v/>
      </c>
      <c r="H764">
        <f>IF(OR(H$4="",$A764&gt;TODAY()),0,IF(OR(INDEX($B764:$D764,H$5)="F",AND(H$6&gt;0,$A764&lt;H$6),AND(H$7&gt;0,$A764&gt;H$7)),0,MAX(0,ROUND((INDEX($E764:$G764,H$5)-SUMIFS(TF_Timer,TF_Tekniker,H$4,TF_Dato,$A764))*2,0)/2)))</f>
        <v/>
      </c>
      <c r="I764">
        <f>IF(OR(I$4="",$A764&gt;TODAY()),0,IF(OR(INDEX($B764:$D764,I$5)="F",AND(I$6&gt;0,$A764&lt;I$6),AND(I$7&gt;0,$A764&gt;I$7)),0,MAX(0,ROUND((INDEX($E764:$G764,I$5)-SUMIFS(TF_Timer,TF_Tekniker,I$4,TF_Dato,$A764))*2,0)/2)))</f>
        <v/>
      </c>
      <c r="J764">
        <f>IF(OR(J$4="",$A764&gt;TODAY()),0,IF(OR(INDEX($B764:$D764,J$5)="F",AND(J$6&gt;0,$A764&lt;J$6),AND(J$7&gt;0,$A764&gt;J$7)),0,MAX(0,ROUND((INDEX($E764:$G764,J$5)-SUMIFS(TF_Timer,TF_Tekniker,J$4,TF_Dato,$A764))*2,0)/2)))</f>
        <v/>
      </c>
      <c r="K764">
        <f>IF(OR(K$4="",$A764&gt;TODAY()),0,IF(OR(INDEX($B764:$D764,K$5)="F",AND(K$6&gt;0,$A764&lt;K$6),AND(K$7&gt;0,$A764&gt;K$7)),0,MAX(0,ROUND((INDEX($E764:$G764,K$5)-SUMIFS(TF_Timer,TF_Tekniker,K$4,TF_Dato,$A764))*2,0)/2)))</f>
        <v/>
      </c>
      <c r="L764">
        <f>IF(OR(L$4="",$A764&gt;TODAY()),0,IF(OR(INDEX($B764:$D764,L$5)="F",AND(L$6&gt;0,$A764&lt;L$6),AND(L$7&gt;0,$A764&gt;L$7)),0,MAX(0,ROUND((INDEX($E764:$G764,L$5)-SUMIFS(TF_Timer,TF_Tekniker,L$4,TF_Dato,$A764))*2,0)/2)))</f>
        <v/>
      </c>
      <c r="M764">
        <f>IF(OR(M$4="",$A764&gt;TODAY()),0,IF(OR(INDEX($B764:$D764,M$5)="F",AND(M$6&gt;0,$A764&lt;M$6),AND(M$7&gt;0,$A764&gt;M$7)),0,MAX(0,ROUND((INDEX($E764:$G764,M$5)-SUMIFS(TF_Timer,TF_Tekniker,M$4,TF_Dato,$A764))*2,0)/2)))</f>
        <v/>
      </c>
      <c r="N764">
        <f>IF(OR(N$4="",$A764&gt;TODAY()),0,IF(OR(INDEX($B764:$D764,N$5)="F",AND(N$6&gt;0,$A764&lt;N$6),AND(N$7&gt;0,$A764&gt;N$7)),0,MAX(0,ROUND((INDEX($E764:$G764,N$5)-SUMIFS(TF_Timer,TF_Tekniker,N$4,TF_Dato,$A764))*2,0)/2)))</f>
        <v/>
      </c>
      <c r="O764">
        <f>IF(OR(O$4="",$A764&gt;TODAY()),0,IF(OR(INDEX($B764:$D764,O$5)="F",AND(O$6&gt;0,$A764&lt;O$6),AND(O$7&gt;0,$A764&gt;O$7)),0,MAX(0,ROUND((INDEX($E764:$G764,O$5)-SUMIFS(TF_Timer,TF_Tekniker,O$4,TF_Dato,$A764))*2,0)/2)))</f>
        <v/>
      </c>
      <c r="P764">
        <f>IF(OR(P$4="",$A764&gt;TODAY()),0,IF(OR(INDEX($B764:$D764,P$5)="F",AND(P$6&gt;0,$A764&lt;P$6),AND(P$7&gt;0,$A764&gt;P$7)),0,MAX(0,ROUND((INDEX($E764:$G764,P$5)-SUMIFS(TF_Timer,TF_Tekniker,P$4,TF_Dato,$A764))*2,0)/2)))</f>
        <v/>
      </c>
      <c r="Q764">
        <f>IF(OR(Q$4="",$A764&gt;TODAY()),0,IF(OR(INDEX($B764:$D764,Q$5)="F",AND(Q$6&gt;0,$A764&lt;Q$6),AND(Q$7&gt;0,$A764&gt;Q$7)),0,MAX(0,ROUND((INDEX($E764:$G764,Q$5)-SUMIFS(TF_Timer,TF_Tekniker,Q$4,TF_Dato,$A764))*2,0)/2)))</f>
        <v/>
      </c>
      <c r="R764">
        <f>IF(OR(R$4="",$A764&gt;TODAY()),0,IF(OR(INDEX($B764:$D764,R$5)="F",AND(R$6&gt;0,$A764&lt;R$6),AND(R$7&gt;0,$A764&gt;R$7)),0,MAX(0,ROUND((INDEX($E764:$G764,R$5)-SUMIFS(TF_Timer,TF_Tekniker,R$4,TF_Dato,$A764))*2,0)/2)))</f>
        <v/>
      </c>
      <c r="S764">
        <f>IF(OR(S$4="",$A764&gt;TODAY()),0,IF(OR(INDEX($B764:$D764,S$5)="F",AND(S$6&gt;0,$A764&lt;S$6),AND(S$7&gt;0,$A764&gt;S$7)),0,MAX(0,ROUND((INDEX($E764:$G764,S$5)-SUMIFS(TF_Timer,TF_Tekniker,S$4,TF_Dato,$A764))*2,0)/2)))</f>
        <v/>
      </c>
      <c r="T764">
        <f>IF(OR(T$4="",$A764&gt;TODAY()),0,IF(OR(INDEX($B764:$D764,T$5)="F",AND(T$6&gt;0,$A764&lt;T$6),AND(T$7&gt;0,$A764&gt;T$7)),0,MAX(0,ROUND((INDEX($E764:$G764,T$5)-SUMIFS(TF_Timer,TF_Tekniker,T$4,TF_Dato,$A764))*2,0)/2)))</f>
        <v/>
      </c>
      <c r="U764">
        <f>IF(OR(U$4="",$A764&gt;TODAY()),0,IF(OR(INDEX($B764:$D764,U$5)="F",AND(U$6&gt;0,$A764&lt;U$6),AND(U$7&gt;0,$A764&gt;U$7)),0,MAX(0,ROUND((INDEX($E764:$G764,U$5)-SUMIFS(TF_Timer,TF_Tekniker,U$4,TF_Dato,$A764))*2,0)/2)))</f>
        <v/>
      </c>
      <c r="V764">
        <f>IF(OR(V$4="",$A764&gt;TODAY()),0,IF(OR(INDEX($B764:$D764,V$5)="F",AND(V$6&gt;0,$A764&lt;V$6),AND(V$7&gt;0,$A764&gt;V$7)),0,MAX(0,ROUND((INDEX($E764:$G764,V$5)-SUMIFS(TF_Timer,TF_Tekniker,V$4,TF_Dato,$A764))*2,0)/2)))</f>
        <v/>
      </c>
      <c r="W764">
        <f>IF(OR(W$4="",$A764&gt;TODAY()),0,IF(OR(INDEX($B764:$D764,W$5)="F",AND(W$6&gt;0,$A764&lt;W$6),AND(W$7&gt;0,$A764&gt;W$7)),0,MAX(0,ROUND((INDEX($E764:$G764,W$5)-SUMIFS(TF_Timer,TF_Tekniker,W$4,TF_Dato,$A764))*2,0)/2)))</f>
        <v/>
      </c>
      <c r="X764">
        <f>IF(OR(X$4="",$A764&gt;TODAY()),0,IF(OR(INDEX($B764:$D764,X$5)="F",AND(X$6&gt;0,$A764&lt;X$6),AND(X$7&gt;0,$A764&gt;X$7)),0,MAX(0,ROUND((INDEX($E764:$G764,X$5)-SUMIFS(TF_Timer,TF_Tekniker,X$4,TF_Dato,$A764))*2,0)/2)))</f>
        <v/>
      </c>
      <c r="Y764">
        <f>IF(OR(Y$4="",$A764&gt;TODAY()),0,IF(OR(INDEX($B764:$D764,Y$5)="F",AND(Y$6&gt;0,$A764&lt;Y$6),AND(Y$7&gt;0,$A764&gt;Y$7)),0,MAX(0,ROUND((INDEX($E764:$G764,Y$5)-SUMIFS(TF_Timer,TF_Tekniker,Y$4,TF_Dato,$A764))*2,0)/2)))</f>
        <v/>
      </c>
      <c r="Z764">
        <f>IF(OR(Z$4="",$A764&gt;TODAY()),0,IF(OR(INDEX($B764:$D764,Z$5)="F",AND(Z$6&gt;0,$A764&lt;Z$6),AND(Z$7&gt;0,$A764&gt;Z$7)),0,MAX(0,ROUND((INDEX($E764:$G764,Z$5)-SUMIFS(TF_Timer,TF_Tekniker,Z$4,TF_Dato,$A764))*2,0)/2)))</f>
        <v/>
      </c>
      <c r="AA764">
        <f>IF(OR(AA$4="",$A764&gt;TODAY()),0,IF(OR(INDEX($B764:$D764,AA$5)="F",AND(AA$6&gt;0,$A764&lt;AA$6),AND(AA$7&gt;0,$A764&gt;AA$7)),0,MAX(0,ROUND((INDEX($E764:$G764,AA$5)-SUMIFS(TF_Timer,TF_Tekniker,AA$4,TF_Dato,$A764))*2,0)/2)))</f>
        <v/>
      </c>
      <c r="AB764">
        <f>IF(OR(AB$4="",$A764&gt;TODAY()),0,IF(OR(INDEX($B764:$D764,AB$5)="F",AND(AB$6&gt;0,$A764&lt;AB$6),AND(AB$7&gt;0,$A764&gt;AB$7)),0,MAX(0,ROUND((INDEX($E764:$G764,AB$5)-SUMIFS(TF_Timer,TF_Tekniker,AB$4,TF_Dato,$A764))*2,0)/2)))</f>
        <v/>
      </c>
      <c r="AC764">
        <f>IF(OR(AC$4="",$A764&gt;TODAY()),0,IF(OR(INDEX($B764:$D764,AC$5)="F",AND(AC$6&gt;0,$A764&lt;AC$6),AND(AC$7&gt;0,$A764&gt;AC$7)),0,MAX(0,ROUND((INDEX($E764:$G764,AC$5)-SUMIFS(TF_Timer,TF_Tekniker,AC$4,TF_Dato,$A764))*2,0)/2)))</f>
        <v/>
      </c>
      <c r="AD764">
        <f>IF(OR(AD$4="",$A764&gt;TODAY()),0,IF(OR(INDEX($B764:$D764,AD$5)="F",AND(AD$6&gt;0,$A764&lt;AD$6),AND(AD$7&gt;0,$A764&gt;AD$7)),0,MAX(0,ROUND((INDEX($E764:$G764,AD$5)-SUMIFS(TF_Timer,TF_Tekniker,AD$4,TF_Dato,$A764))*2,0)/2)))</f>
        <v/>
      </c>
      <c r="AE764">
        <f>IF(OR(AE$4="",$A764&gt;TODAY()),0,IF(OR(INDEX($B764:$D764,AE$5)="F",AND(AE$6&gt;0,$A764&lt;AE$6),AND(AE$7&gt;0,$A764&gt;AE$7)),0,MAX(0,ROUND((INDEX($E764:$G764,AE$5)-SUMIFS(TF_Timer,TF_Tekniker,AE$4,TF_Dato,$A764))*2,0)/2)))</f>
        <v/>
      </c>
      <c r="AF764">
        <f>IF(OR(AF$4="",$A764&gt;TODAY()),0,IF(OR(INDEX($B764:$D764,AF$5)="F",AND(AF$6&gt;0,$A764&lt;AF$6),AND(AF$7&gt;0,$A764&gt;AF$7)),0,MAX(0,ROUND((INDEX($E764:$G764,AF$5)-SUMIFS(TF_Timer,TF_Tekniker,AF$4,TF_Dato,$A764))*2,0)/2)))</f>
        <v/>
      </c>
      <c r="AG764">
        <f>IF(OR(AG$4="",$A764&gt;TODAY()),0,IF(OR(INDEX($B764:$D764,AG$5)="F",AND(AG$6&gt;0,$A764&lt;AG$6),AND(AG$7&gt;0,$A764&gt;AG$7)),0,MAX(0,ROUND((INDEX($E764:$G764,AG$5)-SUMIFS(TF_Timer,TF_Tekniker,AG$4,TF_Dato,$A764))*2,0)/2)))</f>
        <v/>
      </c>
      <c r="AH764">
        <f>IF(OR(AH$4="",$A764&gt;TODAY()),0,IF(OR(INDEX($B764:$D764,AH$5)="F",AND(AH$6&gt;0,$A764&lt;AH$6),AND(AH$7&gt;0,$A764&gt;AH$7)),0,MAX(0,ROUND((INDEX($E764:$G764,AH$5)-SUMIFS(TF_Timer,TF_Tekniker,AH$4,TF_Dato,$A764))*2,0)/2)))</f>
        <v/>
      </c>
      <c r="AI764">
        <f>IF(OR(AI$4="",$A764&gt;TODAY()),0,IF(OR(INDEX($B764:$D764,AI$5)="F",AND(AI$6&gt;0,$A764&lt;AI$6),AND(AI$7&gt;0,$A764&gt;AI$7)),0,MAX(0,ROUND((INDEX($E764:$G764,AI$5)-SUMIFS(TF_Timer,TF_Tekniker,AI$4,TF_Dato,$A764))*2,0)/2)))</f>
        <v/>
      </c>
      <c r="AJ764">
        <f>IF(OR(AJ$4="",$A764&gt;TODAY()),0,IF(OR(INDEX($B764:$D764,AJ$5)="F",AND(AJ$6&gt;0,$A764&lt;AJ$6),AND(AJ$7&gt;0,$A764&gt;AJ$7)),0,MAX(0,ROUND((INDEX($E764:$G764,AJ$5)-SUMIFS(TF_Timer,TF_Tekniker,AJ$4,TF_Dato,$A764))*2,0)/2)))</f>
        <v/>
      </c>
      <c r="AK764">
        <f>IF(OR(AK$4="",$A764&gt;TODAY()),0,IF(OR(INDEX($B764:$D764,AK$5)="F",AND(AK$6&gt;0,$A764&lt;AK$6),AND(AK$7&gt;0,$A764&gt;AK$7)),0,MAX(0,ROUND((INDEX($E764:$G764,AK$5)-SUMIFS(TF_Timer,TF_Tekniker,AK$4,TF_Dato,$A764))*2,0)/2)))</f>
        <v/>
      </c>
      <c r="AL764">
        <f>IF(OR(AL$4="",$A764&gt;TODAY()),0,IF(OR(INDEX($B764:$D764,AL$5)="F",AND(AL$6&gt;0,$A764&lt;AL$6),AND(AL$7&gt;0,$A764&gt;AL$7)),0,MAX(0,ROUND((INDEX($E764:$G764,AL$5)-SUMIFS(TF_Timer,TF_Tekniker,AL$4,TF_Dato,$A764))*2,0)/2)))</f>
        <v/>
      </c>
      <c r="AM764">
        <f>IF(OR(AM$4="",$A764&gt;TODAY()),0,IF(OR(INDEX($B764:$D764,AM$5)="F",AND(AM$6&gt;0,$A764&lt;AM$6),AND(AM$7&gt;0,$A764&gt;AM$7)),0,MAX(0,ROUND((INDEX($E764:$G764,AM$5)-SUMIFS(TF_Timer,TF_Tekniker,AM$4,TF_Dato,$A764))*2,0)/2)))</f>
        <v/>
      </c>
      <c r="AN764">
        <f>IF(OR(AN$4="",$A764&gt;TODAY()),0,IF(OR(INDEX($B764:$D764,AN$5)="F",AND(AN$6&gt;0,$A764&lt;AN$6),AND(AN$7&gt;0,$A764&gt;AN$7)),0,MAX(0,ROUND((INDEX($E764:$G764,AN$5)-SUMIFS(TF_Timer,TF_Tekniker,AN$4,TF_Dato,$A764))*2,0)/2)))</f>
        <v/>
      </c>
      <c r="AO764">
        <f>IF(OR(AO$4="",$A764&gt;TODAY()),0,IF(OR(INDEX($B764:$D764,AO$5)="F",AND(AO$6&gt;0,$A764&lt;AO$6),AND(AO$7&gt;0,$A764&gt;AO$7)),0,MAX(0,ROUND((INDEX($E764:$G764,AO$5)-SUMIFS(TF_Timer,TF_Tekniker,AO$4,TF_Dato,$A764))*2,0)/2)))</f>
        <v/>
      </c>
      <c r="AP764">
        <f>IF(OR(AP$4="",$A764&gt;TODAY()),0,IF(OR(INDEX($B764:$D764,AP$5)="F",AND(AP$6&gt;0,$A764&lt;AP$6),AND(AP$7&gt;0,$A764&gt;AP$7)),0,MAX(0,ROUND((INDEX($E764:$G764,AP$5)-SUMIFS(TF_Timer,TF_Tekniker,AP$4,TF_Dato,$A764))*2,0)/2)))</f>
        <v/>
      </c>
      <c r="AQ764">
        <f>IF(OR(AQ$4="",$A764&gt;TODAY()),0,IF(OR(INDEX($B764:$D764,AQ$5)="F",AND(AQ$6&gt;0,$A764&lt;AQ$6),AND(AQ$7&gt;0,$A764&gt;AQ$7)),0,MAX(0,ROUND((INDEX($E764:$G764,AQ$5)-SUMIFS(TF_Timer,TF_Tekniker,AQ$4,TF_Dato,$A764))*2,0)/2)))</f>
        <v/>
      </c>
      <c r="AR764">
        <f>IF(OR(AR$4="",$A764&gt;TODAY()),0,IF(OR(INDEX($B764:$D764,AR$5)="F",AND(AR$6&gt;0,$A764&lt;AR$6),AND(AR$7&gt;0,$A764&gt;AR$7)),0,MAX(0,ROUND((INDEX($E764:$G764,AR$5)-SUMIFS(TF_Timer,TF_Tekniker,AR$4,TF_Dato,$A764))*2,0)/2)))</f>
        <v/>
      </c>
      <c r="AS764">
        <f>IF(OR(AS$4="",$A764&gt;TODAY()),0,IF(OR(INDEX($B764:$D764,AS$5)="F",AND(AS$6&gt;0,$A764&lt;AS$6),AND(AS$7&gt;0,$A764&gt;AS$7)),0,MAX(0,ROUND((INDEX($E764:$G764,AS$5)-SUMIFS(TF_Timer,TF_Tekniker,AS$4,TF_Dato,$A764))*2,0)/2)))</f>
        <v/>
      </c>
      <c r="AT764">
        <f>IF(OR(AT$4="",$A764&gt;TODAY()),0,IF(OR(INDEX($B764:$D764,AT$5)="F",AND(AT$6&gt;0,$A764&lt;AT$6),AND(AT$7&gt;0,$A764&gt;AT$7)),0,MAX(0,ROUND((INDEX($E764:$G764,AT$5)-SUMIFS(TF_Timer,TF_Tekniker,AT$4,TF_Dato,$A764))*2,0)/2)))</f>
        <v/>
      </c>
      <c r="AU764">
        <f>IF(OR(AU$4="",$A764&gt;TODAY()),0,IF(OR(INDEX($B764:$D764,AU$5)="F",AND(AU$6&gt;0,$A764&lt;AU$6),AND(AU$7&gt;0,$A764&gt;AU$7)),0,MAX(0,ROUND((INDEX($E764:$G764,AU$5)-SUMIFS(TF_Timer,TF_Tekniker,AU$4,TF_Dato,$A764))*2,0)/2)))</f>
        <v/>
      </c>
      <c r="AV764">
        <f>IF(OR(AV$4="",$A764&gt;TODAY()),0,IF(OR(INDEX($B764:$D764,AV$5)="F",AND(AV$6&gt;0,$A764&lt;AV$6),AND(AV$7&gt;0,$A764&gt;AV$7)),0,MAX(0,ROUND((INDEX($E764:$G764,AV$5)-SUMIFS(TF_Timer,TF_Tekniker,AV$4,TF_Dato,$A764))*2,0)/2)))</f>
        <v/>
      </c>
      <c r="AW764">
        <f>IF(OR(AW$4="",$A764&gt;TODAY()),0,IF(OR(INDEX($B764:$D764,AW$5)="F",AND(AW$6&gt;0,$A764&lt;AW$6),AND(AW$7&gt;0,$A764&gt;AW$7)),0,MAX(0,ROUND((INDEX($E764:$G764,AW$5)-SUMIFS(TF_Timer,TF_Tekniker,AW$4,TF_Dato,$A764))*2,0)/2)))</f>
        <v/>
      </c>
      <c r="AX764">
        <f>IF(OR(AX$4="",$A764&gt;TODAY()),0,IF(OR(INDEX($B764:$D764,AX$5)="F",AND(AX$6&gt;0,$A764&lt;AX$6),AND(AX$7&gt;0,$A764&gt;AX$7)),0,MAX(0,ROUND((INDEX($E764:$G764,AX$5)-SUMIFS(TF_Timer,TF_Tekniker,AX$4,TF_Dato,$A764))*2,0)/2)))</f>
        <v/>
      </c>
      <c r="AY764">
        <f>IF(OR(AY$4="",$A764&gt;TODAY()),0,IF(OR(INDEX($B764:$D764,AY$5)="F",AND(AY$6&gt;0,$A764&lt;AY$6),AND(AY$7&gt;0,$A764&gt;AY$7)),0,MAX(0,ROUND((INDEX($E764:$G764,AY$5)-SUMIFS(TF_Timer,TF_Tekniker,AY$4,TF_Dato,$A764))*2,0)/2)))</f>
        <v/>
      </c>
      <c r="AZ764">
        <f>IF(OR(AZ$4="",$A764&gt;TODAY()),0,IF(OR(INDEX($B764:$D764,AZ$5)="F",AND(AZ$6&gt;0,$A764&lt;AZ$6),AND(AZ$7&gt;0,$A764&gt;AZ$7)),0,MAX(0,ROUND((INDEX($E764:$G764,AZ$5)-SUMIFS(TF_Timer,TF_Tekniker,AZ$4,TF_Dato,$A764))*2,0)/2)))</f>
        <v/>
      </c>
      <c r="BA764">
        <f>IF(OR(BA$4="",$A764&gt;TODAY()),0,IF(OR(INDEX($B764:$D764,BA$5)="F",AND(BA$6&gt;0,$A764&lt;BA$6),AND(BA$7&gt;0,$A764&gt;BA$7)),0,MAX(0,ROUND((INDEX($E764:$G764,BA$5)-SUMIFS(TF_Timer,TF_Tekniker,BA$4,TF_Dato,$A764))*2,0)/2)))</f>
        <v/>
      </c>
      <c r="BB764">
        <f>IF(OR(BB$4="",$A764&gt;TODAY()),0,IF(OR(INDEX($B764:$D764,BB$5)="F",AND(BB$6&gt;0,$A764&lt;BB$6),AND(BB$7&gt;0,$A764&gt;BB$7)),0,MAX(0,ROUND((INDEX($E764:$G764,BB$5)-SUMIFS(TF_Timer,TF_Tekniker,BB$4,TF_Dato,$A764))*2,0)/2)))</f>
        <v/>
      </c>
      <c r="BC764">
        <f>IF(OR(BC$4="",$A764&gt;TODAY()),0,IF(OR(INDEX($B764:$D764,BC$5)="F",AND(BC$6&gt;0,$A764&lt;BC$6),AND(BC$7&gt;0,$A764&gt;BC$7)),0,MAX(0,ROUND((INDEX($E764:$G764,BC$5)-SUMIFS(TF_Timer,TF_Tekniker,BC$4,TF_Dato,$A764))*2,0)/2)))</f>
        <v/>
      </c>
      <c r="BD764">
        <f>IF(OR(BD$4="",$A764&gt;TODAY()),0,IF(OR(INDEX($B764:$D764,BD$5)="F",AND(BD$6&gt;0,$A764&lt;BD$6),AND(BD$7&gt;0,$A764&gt;BD$7)),0,MAX(0,ROUND((INDEX($E764:$G764,BD$5)-SUMIFS(TF_Timer,TF_Tekniker,BD$4,TF_Dato,$A764))*2,0)/2)))</f>
        <v/>
      </c>
      <c r="BE764">
        <f>IF(OR(BE$4="",$A764&gt;TODAY()),0,IF(OR(INDEX($B764:$D764,BE$5)="F",AND(BE$6&gt;0,$A764&lt;BE$6),AND(BE$7&gt;0,$A764&gt;BE$7)),0,MAX(0,ROUND((INDEX($E764:$G764,BE$5)-SUMIFS(TF_Timer,TF_Tekniker,BE$4,TF_Dato,$A764))*2,0)/2)))</f>
        <v/>
      </c>
      <c r="BF764">
        <f>IF(OR(BF$4="",$A764&gt;TODAY()),0,IF(OR(INDEX($B764:$D764,BF$5)="F",AND(BF$6&gt;0,$A764&lt;BF$6),AND(BF$7&gt;0,$A764&gt;BF$7)),0,MAX(0,ROUND((INDEX($E764:$G764,BF$5)-SUMIFS(TF_Timer,TF_Tekniker,BF$4,TF_Dato,$A764))*2,0)/2)))</f>
        <v/>
      </c>
      <c r="BG764">
        <f>IF(OR(BG$4="",$A764&gt;TODAY()),0,IF(OR(INDEX($B764:$D764,BG$5)="F",AND(BG$6&gt;0,$A764&lt;BG$6),AND(BG$7&gt;0,$A764&gt;BG$7)),0,MAX(0,ROUND((INDEX($E764:$G764,BG$5)-SUMIFS(TF_Timer,TF_Tekniker,BG$4,TF_Dato,$A764))*2,0)/2)))</f>
        <v/>
      </c>
      <c r="BH764">
        <f>IF(OR(BH$4="",$A764&gt;TODAY()),0,IF(OR(INDEX($B764:$D764,BH$5)="F",AND(BH$6&gt;0,$A764&lt;BH$6),AND(BH$7&gt;0,$A764&gt;BH$7)),0,MAX(0,ROUND((INDEX($E764:$G764,BH$5)-SUMIFS(TF_Timer,TF_Tekniker,BH$4,TF_Dato,$A764))*2,0)/2)))</f>
        <v/>
      </c>
      <c r="BI764">
        <f>IF(OR(BI$4="",$A764&gt;TODAY()),0,IF(OR(INDEX($B764:$D764,BI$5)="F",AND(BI$6&gt;0,$A764&lt;BI$6),AND(BI$7&gt;0,$A764&gt;BI$7)),0,MAX(0,ROUND((INDEX($E764:$G764,BI$5)-SUMIFS(TF_Timer,TF_Tekniker,BI$4,TF_Dato,$A764))*2,0)/2)))</f>
        <v/>
      </c>
    </row>
    <row r="765">
      <c r="A765" s="64">
        <f>A764+1</f>
        <v/>
      </c>
      <c r="B765">
        <f>IF(MOD($A765-INDEX(SkiftStart,1),Syklus)&lt;DagK,"K",IF(MOD($A765-INDEX(SkiftStart,1),Syklus)&lt;DagK+DagH,"H",IF(MOD($A765-INDEX(SkiftStart,1),Syklus)&lt;DagK+DagH+DagD,"D","F")))</f>
        <v/>
      </c>
      <c r="C765">
        <f>IF(MOD($A765-INDEX(SkiftStart,2),Syklus)&lt;DagK,"K",IF(MOD($A765-INDEX(SkiftStart,2),Syklus)&lt;DagK+DagH,"H",IF(MOD($A765-INDEX(SkiftStart,2),Syklus)&lt;DagK+DagH+DagD,"D","F")))</f>
        <v/>
      </c>
      <c r="D765">
        <f>IF(MOD($A765-INDEX(SkiftStart,3),Syklus)&lt;DagK,"K",IF(MOD($A765-INDEX(SkiftStart,3),Syklus)&lt;DagK+DagH,"H",IF(MOD($A765-INDEX(SkiftStart,3),Syklus)&lt;DagK+DagH+DagD,"D","F")))</f>
        <v/>
      </c>
      <c r="E765">
        <f>IF(B765="F",0,IF(WEEKDAY($A765,2)=5,INDEX(TimerFr,MATCH(B765,FaseKode,0)),INDEX(TimerMT,MATCH(B765,FaseKode,0))))</f>
        <v/>
      </c>
      <c r="F765">
        <f>IF(C765="F",0,IF(WEEKDAY($A765,2)=5,INDEX(TimerFr,MATCH(C765,FaseKode,0)),INDEX(TimerMT,MATCH(C765,FaseKode,0))))</f>
        <v/>
      </c>
      <c r="G765">
        <f>IF(D765="F",0,IF(WEEKDAY($A765,2)=5,INDEX(TimerFr,MATCH(D765,FaseKode,0)),INDEX(TimerMT,MATCH(D765,FaseKode,0))))</f>
        <v/>
      </c>
      <c r="H765">
        <f>IF(OR(H$4="",$A765&gt;TODAY()),0,IF(OR(INDEX($B765:$D765,H$5)="F",AND(H$6&gt;0,$A765&lt;H$6),AND(H$7&gt;0,$A765&gt;H$7)),0,MAX(0,ROUND((INDEX($E765:$G765,H$5)-SUMIFS(TF_Timer,TF_Tekniker,H$4,TF_Dato,$A765))*2,0)/2)))</f>
        <v/>
      </c>
      <c r="I765">
        <f>IF(OR(I$4="",$A765&gt;TODAY()),0,IF(OR(INDEX($B765:$D765,I$5)="F",AND(I$6&gt;0,$A765&lt;I$6),AND(I$7&gt;0,$A765&gt;I$7)),0,MAX(0,ROUND((INDEX($E765:$G765,I$5)-SUMIFS(TF_Timer,TF_Tekniker,I$4,TF_Dato,$A765))*2,0)/2)))</f>
        <v/>
      </c>
      <c r="J765">
        <f>IF(OR(J$4="",$A765&gt;TODAY()),0,IF(OR(INDEX($B765:$D765,J$5)="F",AND(J$6&gt;0,$A765&lt;J$6),AND(J$7&gt;0,$A765&gt;J$7)),0,MAX(0,ROUND((INDEX($E765:$G765,J$5)-SUMIFS(TF_Timer,TF_Tekniker,J$4,TF_Dato,$A765))*2,0)/2)))</f>
        <v/>
      </c>
      <c r="K765">
        <f>IF(OR(K$4="",$A765&gt;TODAY()),0,IF(OR(INDEX($B765:$D765,K$5)="F",AND(K$6&gt;0,$A765&lt;K$6),AND(K$7&gt;0,$A765&gt;K$7)),0,MAX(0,ROUND((INDEX($E765:$G765,K$5)-SUMIFS(TF_Timer,TF_Tekniker,K$4,TF_Dato,$A765))*2,0)/2)))</f>
        <v/>
      </c>
      <c r="L765">
        <f>IF(OR(L$4="",$A765&gt;TODAY()),0,IF(OR(INDEX($B765:$D765,L$5)="F",AND(L$6&gt;0,$A765&lt;L$6),AND(L$7&gt;0,$A765&gt;L$7)),0,MAX(0,ROUND((INDEX($E765:$G765,L$5)-SUMIFS(TF_Timer,TF_Tekniker,L$4,TF_Dato,$A765))*2,0)/2)))</f>
        <v/>
      </c>
      <c r="M765">
        <f>IF(OR(M$4="",$A765&gt;TODAY()),0,IF(OR(INDEX($B765:$D765,M$5)="F",AND(M$6&gt;0,$A765&lt;M$6),AND(M$7&gt;0,$A765&gt;M$7)),0,MAX(0,ROUND((INDEX($E765:$G765,M$5)-SUMIFS(TF_Timer,TF_Tekniker,M$4,TF_Dato,$A765))*2,0)/2)))</f>
        <v/>
      </c>
      <c r="N765">
        <f>IF(OR(N$4="",$A765&gt;TODAY()),0,IF(OR(INDEX($B765:$D765,N$5)="F",AND(N$6&gt;0,$A765&lt;N$6),AND(N$7&gt;0,$A765&gt;N$7)),0,MAX(0,ROUND((INDEX($E765:$G765,N$5)-SUMIFS(TF_Timer,TF_Tekniker,N$4,TF_Dato,$A765))*2,0)/2)))</f>
        <v/>
      </c>
      <c r="O765">
        <f>IF(OR(O$4="",$A765&gt;TODAY()),0,IF(OR(INDEX($B765:$D765,O$5)="F",AND(O$6&gt;0,$A765&lt;O$6),AND(O$7&gt;0,$A765&gt;O$7)),0,MAX(0,ROUND((INDEX($E765:$G765,O$5)-SUMIFS(TF_Timer,TF_Tekniker,O$4,TF_Dato,$A765))*2,0)/2)))</f>
        <v/>
      </c>
      <c r="P765">
        <f>IF(OR(P$4="",$A765&gt;TODAY()),0,IF(OR(INDEX($B765:$D765,P$5)="F",AND(P$6&gt;0,$A765&lt;P$6),AND(P$7&gt;0,$A765&gt;P$7)),0,MAX(0,ROUND((INDEX($E765:$G765,P$5)-SUMIFS(TF_Timer,TF_Tekniker,P$4,TF_Dato,$A765))*2,0)/2)))</f>
        <v/>
      </c>
      <c r="Q765">
        <f>IF(OR(Q$4="",$A765&gt;TODAY()),0,IF(OR(INDEX($B765:$D765,Q$5)="F",AND(Q$6&gt;0,$A765&lt;Q$6),AND(Q$7&gt;0,$A765&gt;Q$7)),0,MAX(0,ROUND((INDEX($E765:$G765,Q$5)-SUMIFS(TF_Timer,TF_Tekniker,Q$4,TF_Dato,$A765))*2,0)/2)))</f>
        <v/>
      </c>
      <c r="R765">
        <f>IF(OR(R$4="",$A765&gt;TODAY()),0,IF(OR(INDEX($B765:$D765,R$5)="F",AND(R$6&gt;0,$A765&lt;R$6),AND(R$7&gt;0,$A765&gt;R$7)),0,MAX(0,ROUND((INDEX($E765:$G765,R$5)-SUMIFS(TF_Timer,TF_Tekniker,R$4,TF_Dato,$A765))*2,0)/2)))</f>
        <v/>
      </c>
      <c r="S765">
        <f>IF(OR(S$4="",$A765&gt;TODAY()),0,IF(OR(INDEX($B765:$D765,S$5)="F",AND(S$6&gt;0,$A765&lt;S$6),AND(S$7&gt;0,$A765&gt;S$7)),0,MAX(0,ROUND((INDEX($E765:$G765,S$5)-SUMIFS(TF_Timer,TF_Tekniker,S$4,TF_Dato,$A765))*2,0)/2)))</f>
        <v/>
      </c>
      <c r="T765">
        <f>IF(OR(T$4="",$A765&gt;TODAY()),0,IF(OR(INDEX($B765:$D765,T$5)="F",AND(T$6&gt;0,$A765&lt;T$6),AND(T$7&gt;0,$A765&gt;T$7)),0,MAX(0,ROUND((INDEX($E765:$G765,T$5)-SUMIFS(TF_Timer,TF_Tekniker,T$4,TF_Dato,$A765))*2,0)/2)))</f>
        <v/>
      </c>
      <c r="U765">
        <f>IF(OR(U$4="",$A765&gt;TODAY()),0,IF(OR(INDEX($B765:$D765,U$5)="F",AND(U$6&gt;0,$A765&lt;U$6),AND(U$7&gt;0,$A765&gt;U$7)),0,MAX(0,ROUND((INDEX($E765:$G765,U$5)-SUMIFS(TF_Timer,TF_Tekniker,U$4,TF_Dato,$A765))*2,0)/2)))</f>
        <v/>
      </c>
      <c r="V765">
        <f>IF(OR(V$4="",$A765&gt;TODAY()),0,IF(OR(INDEX($B765:$D765,V$5)="F",AND(V$6&gt;0,$A765&lt;V$6),AND(V$7&gt;0,$A765&gt;V$7)),0,MAX(0,ROUND((INDEX($E765:$G765,V$5)-SUMIFS(TF_Timer,TF_Tekniker,V$4,TF_Dato,$A765))*2,0)/2)))</f>
        <v/>
      </c>
      <c r="W765">
        <f>IF(OR(W$4="",$A765&gt;TODAY()),0,IF(OR(INDEX($B765:$D765,W$5)="F",AND(W$6&gt;0,$A765&lt;W$6),AND(W$7&gt;0,$A765&gt;W$7)),0,MAX(0,ROUND((INDEX($E765:$G765,W$5)-SUMIFS(TF_Timer,TF_Tekniker,W$4,TF_Dato,$A765))*2,0)/2)))</f>
        <v/>
      </c>
      <c r="X765">
        <f>IF(OR(X$4="",$A765&gt;TODAY()),0,IF(OR(INDEX($B765:$D765,X$5)="F",AND(X$6&gt;0,$A765&lt;X$6),AND(X$7&gt;0,$A765&gt;X$7)),0,MAX(0,ROUND((INDEX($E765:$G765,X$5)-SUMIFS(TF_Timer,TF_Tekniker,X$4,TF_Dato,$A765))*2,0)/2)))</f>
        <v/>
      </c>
      <c r="Y765">
        <f>IF(OR(Y$4="",$A765&gt;TODAY()),0,IF(OR(INDEX($B765:$D765,Y$5)="F",AND(Y$6&gt;0,$A765&lt;Y$6),AND(Y$7&gt;0,$A765&gt;Y$7)),0,MAX(0,ROUND((INDEX($E765:$G765,Y$5)-SUMIFS(TF_Timer,TF_Tekniker,Y$4,TF_Dato,$A765))*2,0)/2)))</f>
        <v/>
      </c>
      <c r="Z765">
        <f>IF(OR(Z$4="",$A765&gt;TODAY()),0,IF(OR(INDEX($B765:$D765,Z$5)="F",AND(Z$6&gt;0,$A765&lt;Z$6),AND(Z$7&gt;0,$A765&gt;Z$7)),0,MAX(0,ROUND((INDEX($E765:$G765,Z$5)-SUMIFS(TF_Timer,TF_Tekniker,Z$4,TF_Dato,$A765))*2,0)/2)))</f>
        <v/>
      </c>
      <c r="AA765">
        <f>IF(OR(AA$4="",$A765&gt;TODAY()),0,IF(OR(INDEX($B765:$D765,AA$5)="F",AND(AA$6&gt;0,$A765&lt;AA$6),AND(AA$7&gt;0,$A765&gt;AA$7)),0,MAX(0,ROUND((INDEX($E765:$G765,AA$5)-SUMIFS(TF_Timer,TF_Tekniker,AA$4,TF_Dato,$A765))*2,0)/2)))</f>
        <v/>
      </c>
      <c r="AB765">
        <f>IF(OR(AB$4="",$A765&gt;TODAY()),0,IF(OR(INDEX($B765:$D765,AB$5)="F",AND(AB$6&gt;0,$A765&lt;AB$6),AND(AB$7&gt;0,$A765&gt;AB$7)),0,MAX(0,ROUND((INDEX($E765:$G765,AB$5)-SUMIFS(TF_Timer,TF_Tekniker,AB$4,TF_Dato,$A765))*2,0)/2)))</f>
        <v/>
      </c>
      <c r="AC765">
        <f>IF(OR(AC$4="",$A765&gt;TODAY()),0,IF(OR(INDEX($B765:$D765,AC$5)="F",AND(AC$6&gt;0,$A765&lt;AC$6),AND(AC$7&gt;0,$A765&gt;AC$7)),0,MAX(0,ROUND((INDEX($E765:$G765,AC$5)-SUMIFS(TF_Timer,TF_Tekniker,AC$4,TF_Dato,$A765))*2,0)/2)))</f>
        <v/>
      </c>
      <c r="AD765">
        <f>IF(OR(AD$4="",$A765&gt;TODAY()),0,IF(OR(INDEX($B765:$D765,AD$5)="F",AND(AD$6&gt;0,$A765&lt;AD$6),AND(AD$7&gt;0,$A765&gt;AD$7)),0,MAX(0,ROUND((INDEX($E765:$G765,AD$5)-SUMIFS(TF_Timer,TF_Tekniker,AD$4,TF_Dato,$A765))*2,0)/2)))</f>
        <v/>
      </c>
      <c r="AE765">
        <f>IF(OR(AE$4="",$A765&gt;TODAY()),0,IF(OR(INDEX($B765:$D765,AE$5)="F",AND(AE$6&gt;0,$A765&lt;AE$6),AND(AE$7&gt;0,$A765&gt;AE$7)),0,MAX(0,ROUND((INDEX($E765:$G765,AE$5)-SUMIFS(TF_Timer,TF_Tekniker,AE$4,TF_Dato,$A765))*2,0)/2)))</f>
        <v/>
      </c>
      <c r="AF765">
        <f>IF(OR(AF$4="",$A765&gt;TODAY()),0,IF(OR(INDEX($B765:$D765,AF$5)="F",AND(AF$6&gt;0,$A765&lt;AF$6),AND(AF$7&gt;0,$A765&gt;AF$7)),0,MAX(0,ROUND((INDEX($E765:$G765,AF$5)-SUMIFS(TF_Timer,TF_Tekniker,AF$4,TF_Dato,$A765))*2,0)/2)))</f>
        <v/>
      </c>
      <c r="AG765">
        <f>IF(OR(AG$4="",$A765&gt;TODAY()),0,IF(OR(INDEX($B765:$D765,AG$5)="F",AND(AG$6&gt;0,$A765&lt;AG$6),AND(AG$7&gt;0,$A765&gt;AG$7)),0,MAX(0,ROUND((INDEX($E765:$G765,AG$5)-SUMIFS(TF_Timer,TF_Tekniker,AG$4,TF_Dato,$A765))*2,0)/2)))</f>
        <v/>
      </c>
      <c r="AH765">
        <f>IF(OR(AH$4="",$A765&gt;TODAY()),0,IF(OR(INDEX($B765:$D765,AH$5)="F",AND(AH$6&gt;0,$A765&lt;AH$6),AND(AH$7&gt;0,$A765&gt;AH$7)),0,MAX(0,ROUND((INDEX($E765:$G765,AH$5)-SUMIFS(TF_Timer,TF_Tekniker,AH$4,TF_Dato,$A765))*2,0)/2)))</f>
        <v/>
      </c>
      <c r="AI765">
        <f>IF(OR(AI$4="",$A765&gt;TODAY()),0,IF(OR(INDEX($B765:$D765,AI$5)="F",AND(AI$6&gt;0,$A765&lt;AI$6),AND(AI$7&gt;0,$A765&gt;AI$7)),0,MAX(0,ROUND((INDEX($E765:$G765,AI$5)-SUMIFS(TF_Timer,TF_Tekniker,AI$4,TF_Dato,$A765))*2,0)/2)))</f>
        <v/>
      </c>
      <c r="AJ765">
        <f>IF(OR(AJ$4="",$A765&gt;TODAY()),0,IF(OR(INDEX($B765:$D765,AJ$5)="F",AND(AJ$6&gt;0,$A765&lt;AJ$6),AND(AJ$7&gt;0,$A765&gt;AJ$7)),0,MAX(0,ROUND((INDEX($E765:$G765,AJ$5)-SUMIFS(TF_Timer,TF_Tekniker,AJ$4,TF_Dato,$A765))*2,0)/2)))</f>
        <v/>
      </c>
      <c r="AK765">
        <f>IF(OR(AK$4="",$A765&gt;TODAY()),0,IF(OR(INDEX($B765:$D765,AK$5)="F",AND(AK$6&gt;0,$A765&lt;AK$6),AND(AK$7&gt;0,$A765&gt;AK$7)),0,MAX(0,ROUND((INDEX($E765:$G765,AK$5)-SUMIFS(TF_Timer,TF_Tekniker,AK$4,TF_Dato,$A765))*2,0)/2)))</f>
        <v/>
      </c>
      <c r="AL765">
        <f>IF(OR(AL$4="",$A765&gt;TODAY()),0,IF(OR(INDEX($B765:$D765,AL$5)="F",AND(AL$6&gt;0,$A765&lt;AL$6),AND(AL$7&gt;0,$A765&gt;AL$7)),0,MAX(0,ROUND((INDEX($E765:$G765,AL$5)-SUMIFS(TF_Timer,TF_Tekniker,AL$4,TF_Dato,$A765))*2,0)/2)))</f>
        <v/>
      </c>
      <c r="AM765">
        <f>IF(OR(AM$4="",$A765&gt;TODAY()),0,IF(OR(INDEX($B765:$D765,AM$5)="F",AND(AM$6&gt;0,$A765&lt;AM$6),AND(AM$7&gt;0,$A765&gt;AM$7)),0,MAX(0,ROUND((INDEX($E765:$G765,AM$5)-SUMIFS(TF_Timer,TF_Tekniker,AM$4,TF_Dato,$A765))*2,0)/2)))</f>
        <v/>
      </c>
      <c r="AN765">
        <f>IF(OR(AN$4="",$A765&gt;TODAY()),0,IF(OR(INDEX($B765:$D765,AN$5)="F",AND(AN$6&gt;0,$A765&lt;AN$6),AND(AN$7&gt;0,$A765&gt;AN$7)),0,MAX(0,ROUND((INDEX($E765:$G765,AN$5)-SUMIFS(TF_Timer,TF_Tekniker,AN$4,TF_Dato,$A765))*2,0)/2)))</f>
        <v/>
      </c>
      <c r="AO765">
        <f>IF(OR(AO$4="",$A765&gt;TODAY()),0,IF(OR(INDEX($B765:$D765,AO$5)="F",AND(AO$6&gt;0,$A765&lt;AO$6),AND(AO$7&gt;0,$A765&gt;AO$7)),0,MAX(0,ROUND((INDEX($E765:$G765,AO$5)-SUMIFS(TF_Timer,TF_Tekniker,AO$4,TF_Dato,$A765))*2,0)/2)))</f>
        <v/>
      </c>
      <c r="AP765">
        <f>IF(OR(AP$4="",$A765&gt;TODAY()),0,IF(OR(INDEX($B765:$D765,AP$5)="F",AND(AP$6&gt;0,$A765&lt;AP$6),AND(AP$7&gt;0,$A765&gt;AP$7)),0,MAX(0,ROUND((INDEX($E765:$G765,AP$5)-SUMIFS(TF_Timer,TF_Tekniker,AP$4,TF_Dato,$A765))*2,0)/2)))</f>
        <v/>
      </c>
      <c r="AQ765">
        <f>IF(OR(AQ$4="",$A765&gt;TODAY()),0,IF(OR(INDEX($B765:$D765,AQ$5)="F",AND(AQ$6&gt;0,$A765&lt;AQ$6),AND(AQ$7&gt;0,$A765&gt;AQ$7)),0,MAX(0,ROUND((INDEX($E765:$G765,AQ$5)-SUMIFS(TF_Timer,TF_Tekniker,AQ$4,TF_Dato,$A765))*2,0)/2)))</f>
        <v/>
      </c>
      <c r="AR765">
        <f>IF(OR(AR$4="",$A765&gt;TODAY()),0,IF(OR(INDEX($B765:$D765,AR$5)="F",AND(AR$6&gt;0,$A765&lt;AR$6),AND(AR$7&gt;0,$A765&gt;AR$7)),0,MAX(0,ROUND((INDEX($E765:$G765,AR$5)-SUMIFS(TF_Timer,TF_Tekniker,AR$4,TF_Dato,$A765))*2,0)/2)))</f>
        <v/>
      </c>
      <c r="AS765">
        <f>IF(OR(AS$4="",$A765&gt;TODAY()),0,IF(OR(INDEX($B765:$D765,AS$5)="F",AND(AS$6&gt;0,$A765&lt;AS$6),AND(AS$7&gt;0,$A765&gt;AS$7)),0,MAX(0,ROUND((INDEX($E765:$G765,AS$5)-SUMIFS(TF_Timer,TF_Tekniker,AS$4,TF_Dato,$A765))*2,0)/2)))</f>
        <v/>
      </c>
      <c r="AT765">
        <f>IF(OR(AT$4="",$A765&gt;TODAY()),0,IF(OR(INDEX($B765:$D765,AT$5)="F",AND(AT$6&gt;0,$A765&lt;AT$6),AND(AT$7&gt;0,$A765&gt;AT$7)),0,MAX(0,ROUND((INDEX($E765:$G765,AT$5)-SUMIFS(TF_Timer,TF_Tekniker,AT$4,TF_Dato,$A765))*2,0)/2)))</f>
        <v/>
      </c>
      <c r="AU765">
        <f>IF(OR(AU$4="",$A765&gt;TODAY()),0,IF(OR(INDEX($B765:$D765,AU$5)="F",AND(AU$6&gt;0,$A765&lt;AU$6),AND(AU$7&gt;0,$A765&gt;AU$7)),0,MAX(0,ROUND((INDEX($E765:$G765,AU$5)-SUMIFS(TF_Timer,TF_Tekniker,AU$4,TF_Dato,$A765))*2,0)/2)))</f>
        <v/>
      </c>
      <c r="AV765">
        <f>IF(OR(AV$4="",$A765&gt;TODAY()),0,IF(OR(INDEX($B765:$D765,AV$5)="F",AND(AV$6&gt;0,$A765&lt;AV$6),AND(AV$7&gt;0,$A765&gt;AV$7)),0,MAX(0,ROUND((INDEX($E765:$G765,AV$5)-SUMIFS(TF_Timer,TF_Tekniker,AV$4,TF_Dato,$A765))*2,0)/2)))</f>
        <v/>
      </c>
      <c r="AW765">
        <f>IF(OR(AW$4="",$A765&gt;TODAY()),0,IF(OR(INDEX($B765:$D765,AW$5)="F",AND(AW$6&gt;0,$A765&lt;AW$6),AND(AW$7&gt;0,$A765&gt;AW$7)),0,MAX(0,ROUND((INDEX($E765:$G765,AW$5)-SUMIFS(TF_Timer,TF_Tekniker,AW$4,TF_Dato,$A765))*2,0)/2)))</f>
        <v/>
      </c>
      <c r="AX765">
        <f>IF(OR(AX$4="",$A765&gt;TODAY()),0,IF(OR(INDEX($B765:$D765,AX$5)="F",AND(AX$6&gt;0,$A765&lt;AX$6),AND(AX$7&gt;0,$A765&gt;AX$7)),0,MAX(0,ROUND((INDEX($E765:$G765,AX$5)-SUMIFS(TF_Timer,TF_Tekniker,AX$4,TF_Dato,$A765))*2,0)/2)))</f>
        <v/>
      </c>
      <c r="AY765">
        <f>IF(OR(AY$4="",$A765&gt;TODAY()),0,IF(OR(INDEX($B765:$D765,AY$5)="F",AND(AY$6&gt;0,$A765&lt;AY$6),AND(AY$7&gt;0,$A765&gt;AY$7)),0,MAX(0,ROUND((INDEX($E765:$G765,AY$5)-SUMIFS(TF_Timer,TF_Tekniker,AY$4,TF_Dato,$A765))*2,0)/2)))</f>
        <v/>
      </c>
      <c r="AZ765">
        <f>IF(OR(AZ$4="",$A765&gt;TODAY()),0,IF(OR(INDEX($B765:$D765,AZ$5)="F",AND(AZ$6&gt;0,$A765&lt;AZ$6),AND(AZ$7&gt;0,$A765&gt;AZ$7)),0,MAX(0,ROUND((INDEX($E765:$G765,AZ$5)-SUMIFS(TF_Timer,TF_Tekniker,AZ$4,TF_Dato,$A765))*2,0)/2)))</f>
        <v/>
      </c>
      <c r="BA765">
        <f>IF(OR(BA$4="",$A765&gt;TODAY()),0,IF(OR(INDEX($B765:$D765,BA$5)="F",AND(BA$6&gt;0,$A765&lt;BA$6),AND(BA$7&gt;0,$A765&gt;BA$7)),0,MAX(0,ROUND((INDEX($E765:$G765,BA$5)-SUMIFS(TF_Timer,TF_Tekniker,BA$4,TF_Dato,$A765))*2,0)/2)))</f>
        <v/>
      </c>
      <c r="BB765">
        <f>IF(OR(BB$4="",$A765&gt;TODAY()),0,IF(OR(INDEX($B765:$D765,BB$5)="F",AND(BB$6&gt;0,$A765&lt;BB$6),AND(BB$7&gt;0,$A765&gt;BB$7)),0,MAX(0,ROUND((INDEX($E765:$G765,BB$5)-SUMIFS(TF_Timer,TF_Tekniker,BB$4,TF_Dato,$A765))*2,0)/2)))</f>
        <v/>
      </c>
      <c r="BC765">
        <f>IF(OR(BC$4="",$A765&gt;TODAY()),0,IF(OR(INDEX($B765:$D765,BC$5)="F",AND(BC$6&gt;0,$A765&lt;BC$6),AND(BC$7&gt;0,$A765&gt;BC$7)),0,MAX(0,ROUND((INDEX($E765:$G765,BC$5)-SUMIFS(TF_Timer,TF_Tekniker,BC$4,TF_Dato,$A765))*2,0)/2)))</f>
        <v/>
      </c>
      <c r="BD765">
        <f>IF(OR(BD$4="",$A765&gt;TODAY()),0,IF(OR(INDEX($B765:$D765,BD$5)="F",AND(BD$6&gt;0,$A765&lt;BD$6),AND(BD$7&gt;0,$A765&gt;BD$7)),0,MAX(0,ROUND((INDEX($E765:$G765,BD$5)-SUMIFS(TF_Timer,TF_Tekniker,BD$4,TF_Dato,$A765))*2,0)/2)))</f>
        <v/>
      </c>
      <c r="BE765">
        <f>IF(OR(BE$4="",$A765&gt;TODAY()),0,IF(OR(INDEX($B765:$D765,BE$5)="F",AND(BE$6&gt;0,$A765&lt;BE$6),AND(BE$7&gt;0,$A765&gt;BE$7)),0,MAX(0,ROUND((INDEX($E765:$G765,BE$5)-SUMIFS(TF_Timer,TF_Tekniker,BE$4,TF_Dato,$A765))*2,0)/2)))</f>
        <v/>
      </c>
      <c r="BF765">
        <f>IF(OR(BF$4="",$A765&gt;TODAY()),0,IF(OR(INDEX($B765:$D765,BF$5)="F",AND(BF$6&gt;0,$A765&lt;BF$6),AND(BF$7&gt;0,$A765&gt;BF$7)),0,MAX(0,ROUND((INDEX($E765:$G765,BF$5)-SUMIFS(TF_Timer,TF_Tekniker,BF$4,TF_Dato,$A765))*2,0)/2)))</f>
        <v/>
      </c>
      <c r="BG765">
        <f>IF(OR(BG$4="",$A765&gt;TODAY()),0,IF(OR(INDEX($B765:$D765,BG$5)="F",AND(BG$6&gt;0,$A765&lt;BG$6),AND(BG$7&gt;0,$A765&gt;BG$7)),0,MAX(0,ROUND((INDEX($E765:$G765,BG$5)-SUMIFS(TF_Timer,TF_Tekniker,BG$4,TF_Dato,$A765))*2,0)/2)))</f>
        <v/>
      </c>
      <c r="BH765">
        <f>IF(OR(BH$4="",$A765&gt;TODAY()),0,IF(OR(INDEX($B765:$D765,BH$5)="F",AND(BH$6&gt;0,$A765&lt;BH$6),AND(BH$7&gt;0,$A765&gt;BH$7)),0,MAX(0,ROUND((INDEX($E765:$G765,BH$5)-SUMIFS(TF_Timer,TF_Tekniker,BH$4,TF_Dato,$A765))*2,0)/2)))</f>
        <v/>
      </c>
      <c r="BI765">
        <f>IF(OR(BI$4="",$A765&gt;TODAY()),0,IF(OR(INDEX($B765:$D765,BI$5)="F",AND(BI$6&gt;0,$A765&lt;BI$6),AND(BI$7&gt;0,$A765&gt;BI$7)),0,MAX(0,ROUND((INDEX($E765:$G765,BI$5)-SUMIFS(TF_Timer,TF_Tekniker,BI$4,TF_Dato,$A765))*2,0)/2)))</f>
        <v/>
      </c>
    </row>
    <row r="766">
      <c r="A766" s="64">
        <f>A765+1</f>
        <v/>
      </c>
      <c r="B766">
        <f>IF(MOD($A766-INDEX(SkiftStart,1),Syklus)&lt;DagK,"K",IF(MOD($A766-INDEX(SkiftStart,1),Syklus)&lt;DagK+DagH,"H",IF(MOD($A766-INDEX(SkiftStart,1),Syklus)&lt;DagK+DagH+DagD,"D","F")))</f>
        <v/>
      </c>
      <c r="C766">
        <f>IF(MOD($A766-INDEX(SkiftStart,2),Syklus)&lt;DagK,"K",IF(MOD($A766-INDEX(SkiftStart,2),Syklus)&lt;DagK+DagH,"H",IF(MOD($A766-INDEX(SkiftStart,2),Syklus)&lt;DagK+DagH+DagD,"D","F")))</f>
        <v/>
      </c>
      <c r="D766">
        <f>IF(MOD($A766-INDEX(SkiftStart,3),Syklus)&lt;DagK,"K",IF(MOD($A766-INDEX(SkiftStart,3),Syklus)&lt;DagK+DagH,"H",IF(MOD($A766-INDEX(SkiftStart,3),Syklus)&lt;DagK+DagH+DagD,"D","F")))</f>
        <v/>
      </c>
      <c r="E766">
        <f>IF(B766="F",0,IF(WEEKDAY($A766,2)=5,INDEX(TimerFr,MATCH(B766,FaseKode,0)),INDEX(TimerMT,MATCH(B766,FaseKode,0))))</f>
        <v/>
      </c>
      <c r="F766">
        <f>IF(C766="F",0,IF(WEEKDAY($A766,2)=5,INDEX(TimerFr,MATCH(C766,FaseKode,0)),INDEX(TimerMT,MATCH(C766,FaseKode,0))))</f>
        <v/>
      </c>
      <c r="G766">
        <f>IF(D766="F",0,IF(WEEKDAY($A766,2)=5,INDEX(TimerFr,MATCH(D766,FaseKode,0)),INDEX(TimerMT,MATCH(D766,FaseKode,0))))</f>
        <v/>
      </c>
      <c r="H766">
        <f>IF(OR(H$4="",$A766&gt;TODAY()),0,IF(OR(INDEX($B766:$D766,H$5)="F",AND(H$6&gt;0,$A766&lt;H$6),AND(H$7&gt;0,$A766&gt;H$7)),0,MAX(0,ROUND((INDEX($E766:$G766,H$5)-SUMIFS(TF_Timer,TF_Tekniker,H$4,TF_Dato,$A766))*2,0)/2)))</f>
        <v/>
      </c>
      <c r="I766">
        <f>IF(OR(I$4="",$A766&gt;TODAY()),0,IF(OR(INDEX($B766:$D766,I$5)="F",AND(I$6&gt;0,$A766&lt;I$6),AND(I$7&gt;0,$A766&gt;I$7)),0,MAX(0,ROUND((INDEX($E766:$G766,I$5)-SUMIFS(TF_Timer,TF_Tekniker,I$4,TF_Dato,$A766))*2,0)/2)))</f>
        <v/>
      </c>
      <c r="J766">
        <f>IF(OR(J$4="",$A766&gt;TODAY()),0,IF(OR(INDEX($B766:$D766,J$5)="F",AND(J$6&gt;0,$A766&lt;J$6),AND(J$7&gt;0,$A766&gt;J$7)),0,MAX(0,ROUND((INDEX($E766:$G766,J$5)-SUMIFS(TF_Timer,TF_Tekniker,J$4,TF_Dato,$A766))*2,0)/2)))</f>
        <v/>
      </c>
      <c r="K766">
        <f>IF(OR(K$4="",$A766&gt;TODAY()),0,IF(OR(INDEX($B766:$D766,K$5)="F",AND(K$6&gt;0,$A766&lt;K$6),AND(K$7&gt;0,$A766&gt;K$7)),0,MAX(0,ROUND((INDEX($E766:$G766,K$5)-SUMIFS(TF_Timer,TF_Tekniker,K$4,TF_Dato,$A766))*2,0)/2)))</f>
        <v/>
      </c>
      <c r="L766">
        <f>IF(OR(L$4="",$A766&gt;TODAY()),0,IF(OR(INDEX($B766:$D766,L$5)="F",AND(L$6&gt;0,$A766&lt;L$6),AND(L$7&gt;0,$A766&gt;L$7)),0,MAX(0,ROUND((INDEX($E766:$G766,L$5)-SUMIFS(TF_Timer,TF_Tekniker,L$4,TF_Dato,$A766))*2,0)/2)))</f>
        <v/>
      </c>
      <c r="M766">
        <f>IF(OR(M$4="",$A766&gt;TODAY()),0,IF(OR(INDEX($B766:$D766,M$5)="F",AND(M$6&gt;0,$A766&lt;M$6),AND(M$7&gt;0,$A766&gt;M$7)),0,MAX(0,ROUND((INDEX($E766:$G766,M$5)-SUMIFS(TF_Timer,TF_Tekniker,M$4,TF_Dato,$A766))*2,0)/2)))</f>
        <v/>
      </c>
      <c r="N766">
        <f>IF(OR(N$4="",$A766&gt;TODAY()),0,IF(OR(INDEX($B766:$D766,N$5)="F",AND(N$6&gt;0,$A766&lt;N$6),AND(N$7&gt;0,$A766&gt;N$7)),0,MAX(0,ROUND((INDEX($E766:$G766,N$5)-SUMIFS(TF_Timer,TF_Tekniker,N$4,TF_Dato,$A766))*2,0)/2)))</f>
        <v/>
      </c>
      <c r="O766">
        <f>IF(OR(O$4="",$A766&gt;TODAY()),0,IF(OR(INDEX($B766:$D766,O$5)="F",AND(O$6&gt;0,$A766&lt;O$6),AND(O$7&gt;0,$A766&gt;O$7)),0,MAX(0,ROUND((INDEX($E766:$G766,O$5)-SUMIFS(TF_Timer,TF_Tekniker,O$4,TF_Dato,$A766))*2,0)/2)))</f>
        <v/>
      </c>
      <c r="P766">
        <f>IF(OR(P$4="",$A766&gt;TODAY()),0,IF(OR(INDEX($B766:$D766,P$5)="F",AND(P$6&gt;0,$A766&lt;P$6),AND(P$7&gt;0,$A766&gt;P$7)),0,MAX(0,ROUND((INDEX($E766:$G766,P$5)-SUMIFS(TF_Timer,TF_Tekniker,P$4,TF_Dato,$A766))*2,0)/2)))</f>
        <v/>
      </c>
      <c r="Q766">
        <f>IF(OR(Q$4="",$A766&gt;TODAY()),0,IF(OR(INDEX($B766:$D766,Q$5)="F",AND(Q$6&gt;0,$A766&lt;Q$6),AND(Q$7&gt;0,$A766&gt;Q$7)),0,MAX(0,ROUND((INDEX($E766:$G766,Q$5)-SUMIFS(TF_Timer,TF_Tekniker,Q$4,TF_Dato,$A766))*2,0)/2)))</f>
        <v/>
      </c>
      <c r="R766">
        <f>IF(OR(R$4="",$A766&gt;TODAY()),0,IF(OR(INDEX($B766:$D766,R$5)="F",AND(R$6&gt;0,$A766&lt;R$6),AND(R$7&gt;0,$A766&gt;R$7)),0,MAX(0,ROUND((INDEX($E766:$G766,R$5)-SUMIFS(TF_Timer,TF_Tekniker,R$4,TF_Dato,$A766))*2,0)/2)))</f>
        <v/>
      </c>
      <c r="S766">
        <f>IF(OR(S$4="",$A766&gt;TODAY()),0,IF(OR(INDEX($B766:$D766,S$5)="F",AND(S$6&gt;0,$A766&lt;S$6),AND(S$7&gt;0,$A766&gt;S$7)),0,MAX(0,ROUND((INDEX($E766:$G766,S$5)-SUMIFS(TF_Timer,TF_Tekniker,S$4,TF_Dato,$A766))*2,0)/2)))</f>
        <v/>
      </c>
      <c r="T766">
        <f>IF(OR(T$4="",$A766&gt;TODAY()),0,IF(OR(INDEX($B766:$D766,T$5)="F",AND(T$6&gt;0,$A766&lt;T$6),AND(T$7&gt;0,$A766&gt;T$7)),0,MAX(0,ROUND((INDEX($E766:$G766,T$5)-SUMIFS(TF_Timer,TF_Tekniker,T$4,TF_Dato,$A766))*2,0)/2)))</f>
        <v/>
      </c>
      <c r="U766">
        <f>IF(OR(U$4="",$A766&gt;TODAY()),0,IF(OR(INDEX($B766:$D766,U$5)="F",AND(U$6&gt;0,$A766&lt;U$6),AND(U$7&gt;0,$A766&gt;U$7)),0,MAX(0,ROUND((INDEX($E766:$G766,U$5)-SUMIFS(TF_Timer,TF_Tekniker,U$4,TF_Dato,$A766))*2,0)/2)))</f>
        <v/>
      </c>
      <c r="V766">
        <f>IF(OR(V$4="",$A766&gt;TODAY()),0,IF(OR(INDEX($B766:$D766,V$5)="F",AND(V$6&gt;0,$A766&lt;V$6),AND(V$7&gt;0,$A766&gt;V$7)),0,MAX(0,ROUND((INDEX($E766:$G766,V$5)-SUMIFS(TF_Timer,TF_Tekniker,V$4,TF_Dato,$A766))*2,0)/2)))</f>
        <v/>
      </c>
      <c r="W766">
        <f>IF(OR(W$4="",$A766&gt;TODAY()),0,IF(OR(INDEX($B766:$D766,W$5)="F",AND(W$6&gt;0,$A766&lt;W$6),AND(W$7&gt;0,$A766&gt;W$7)),0,MAX(0,ROUND((INDEX($E766:$G766,W$5)-SUMIFS(TF_Timer,TF_Tekniker,W$4,TF_Dato,$A766))*2,0)/2)))</f>
        <v/>
      </c>
      <c r="X766">
        <f>IF(OR(X$4="",$A766&gt;TODAY()),0,IF(OR(INDEX($B766:$D766,X$5)="F",AND(X$6&gt;0,$A766&lt;X$6),AND(X$7&gt;0,$A766&gt;X$7)),0,MAX(0,ROUND((INDEX($E766:$G766,X$5)-SUMIFS(TF_Timer,TF_Tekniker,X$4,TF_Dato,$A766))*2,0)/2)))</f>
        <v/>
      </c>
      <c r="Y766">
        <f>IF(OR(Y$4="",$A766&gt;TODAY()),0,IF(OR(INDEX($B766:$D766,Y$5)="F",AND(Y$6&gt;0,$A766&lt;Y$6),AND(Y$7&gt;0,$A766&gt;Y$7)),0,MAX(0,ROUND((INDEX($E766:$G766,Y$5)-SUMIFS(TF_Timer,TF_Tekniker,Y$4,TF_Dato,$A766))*2,0)/2)))</f>
        <v/>
      </c>
      <c r="Z766">
        <f>IF(OR(Z$4="",$A766&gt;TODAY()),0,IF(OR(INDEX($B766:$D766,Z$5)="F",AND(Z$6&gt;0,$A766&lt;Z$6),AND(Z$7&gt;0,$A766&gt;Z$7)),0,MAX(0,ROUND((INDEX($E766:$G766,Z$5)-SUMIFS(TF_Timer,TF_Tekniker,Z$4,TF_Dato,$A766))*2,0)/2)))</f>
        <v/>
      </c>
      <c r="AA766">
        <f>IF(OR(AA$4="",$A766&gt;TODAY()),0,IF(OR(INDEX($B766:$D766,AA$5)="F",AND(AA$6&gt;0,$A766&lt;AA$6),AND(AA$7&gt;0,$A766&gt;AA$7)),0,MAX(0,ROUND((INDEX($E766:$G766,AA$5)-SUMIFS(TF_Timer,TF_Tekniker,AA$4,TF_Dato,$A766))*2,0)/2)))</f>
        <v/>
      </c>
      <c r="AB766">
        <f>IF(OR(AB$4="",$A766&gt;TODAY()),0,IF(OR(INDEX($B766:$D766,AB$5)="F",AND(AB$6&gt;0,$A766&lt;AB$6),AND(AB$7&gt;0,$A766&gt;AB$7)),0,MAX(0,ROUND((INDEX($E766:$G766,AB$5)-SUMIFS(TF_Timer,TF_Tekniker,AB$4,TF_Dato,$A766))*2,0)/2)))</f>
        <v/>
      </c>
      <c r="AC766">
        <f>IF(OR(AC$4="",$A766&gt;TODAY()),0,IF(OR(INDEX($B766:$D766,AC$5)="F",AND(AC$6&gt;0,$A766&lt;AC$6),AND(AC$7&gt;0,$A766&gt;AC$7)),0,MAX(0,ROUND((INDEX($E766:$G766,AC$5)-SUMIFS(TF_Timer,TF_Tekniker,AC$4,TF_Dato,$A766))*2,0)/2)))</f>
        <v/>
      </c>
      <c r="AD766">
        <f>IF(OR(AD$4="",$A766&gt;TODAY()),0,IF(OR(INDEX($B766:$D766,AD$5)="F",AND(AD$6&gt;0,$A766&lt;AD$6),AND(AD$7&gt;0,$A766&gt;AD$7)),0,MAX(0,ROUND((INDEX($E766:$G766,AD$5)-SUMIFS(TF_Timer,TF_Tekniker,AD$4,TF_Dato,$A766))*2,0)/2)))</f>
        <v/>
      </c>
      <c r="AE766">
        <f>IF(OR(AE$4="",$A766&gt;TODAY()),0,IF(OR(INDEX($B766:$D766,AE$5)="F",AND(AE$6&gt;0,$A766&lt;AE$6),AND(AE$7&gt;0,$A766&gt;AE$7)),0,MAX(0,ROUND((INDEX($E766:$G766,AE$5)-SUMIFS(TF_Timer,TF_Tekniker,AE$4,TF_Dato,$A766))*2,0)/2)))</f>
        <v/>
      </c>
      <c r="AF766">
        <f>IF(OR(AF$4="",$A766&gt;TODAY()),0,IF(OR(INDEX($B766:$D766,AF$5)="F",AND(AF$6&gt;0,$A766&lt;AF$6),AND(AF$7&gt;0,$A766&gt;AF$7)),0,MAX(0,ROUND((INDEX($E766:$G766,AF$5)-SUMIFS(TF_Timer,TF_Tekniker,AF$4,TF_Dato,$A766))*2,0)/2)))</f>
        <v/>
      </c>
      <c r="AG766">
        <f>IF(OR(AG$4="",$A766&gt;TODAY()),0,IF(OR(INDEX($B766:$D766,AG$5)="F",AND(AG$6&gt;0,$A766&lt;AG$6),AND(AG$7&gt;0,$A766&gt;AG$7)),0,MAX(0,ROUND((INDEX($E766:$G766,AG$5)-SUMIFS(TF_Timer,TF_Tekniker,AG$4,TF_Dato,$A766))*2,0)/2)))</f>
        <v/>
      </c>
      <c r="AH766">
        <f>IF(OR(AH$4="",$A766&gt;TODAY()),0,IF(OR(INDEX($B766:$D766,AH$5)="F",AND(AH$6&gt;0,$A766&lt;AH$6),AND(AH$7&gt;0,$A766&gt;AH$7)),0,MAX(0,ROUND((INDEX($E766:$G766,AH$5)-SUMIFS(TF_Timer,TF_Tekniker,AH$4,TF_Dato,$A766))*2,0)/2)))</f>
        <v/>
      </c>
      <c r="AI766">
        <f>IF(OR(AI$4="",$A766&gt;TODAY()),0,IF(OR(INDEX($B766:$D766,AI$5)="F",AND(AI$6&gt;0,$A766&lt;AI$6),AND(AI$7&gt;0,$A766&gt;AI$7)),0,MAX(0,ROUND((INDEX($E766:$G766,AI$5)-SUMIFS(TF_Timer,TF_Tekniker,AI$4,TF_Dato,$A766))*2,0)/2)))</f>
        <v/>
      </c>
      <c r="AJ766">
        <f>IF(OR(AJ$4="",$A766&gt;TODAY()),0,IF(OR(INDEX($B766:$D766,AJ$5)="F",AND(AJ$6&gt;0,$A766&lt;AJ$6),AND(AJ$7&gt;0,$A766&gt;AJ$7)),0,MAX(0,ROUND((INDEX($E766:$G766,AJ$5)-SUMIFS(TF_Timer,TF_Tekniker,AJ$4,TF_Dato,$A766))*2,0)/2)))</f>
        <v/>
      </c>
      <c r="AK766">
        <f>IF(OR(AK$4="",$A766&gt;TODAY()),0,IF(OR(INDEX($B766:$D766,AK$5)="F",AND(AK$6&gt;0,$A766&lt;AK$6),AND(AK$7&gt;0,$A766&gt;AK$7)),0,MAX(0,ROUND((INDEX($E766:$G766,AK$5)-SUMIFS(TF_Timer,TF_Tekniker,AK$4,TF_Dato,$A766))*2,0)/2)))</f>
        <v/>
      </c>
      <c r="AL766">
        <f>IF(OR(AL$4="",$A766&gt;TODAY()),0,IF(OR(INDEX($B766:$D766,AL$5)="F",AND(AL$6&gt;0,$A766&lt;AL$6),AND(AL$7&gt;0,$A766&gt;AL$7)),0,MAX(0,ROUND((INDEX($E766:$G766,AL$5)-SUMIFS(TF_Timer,TF_Tekniker,AL$4,TF_Dato,$A766))*2,0)/2)))</f>
        <v/>
      </c>
      <c r="AM766">
        <f>IF(OR(AM$4="",$A766&gt;TODAY()),0,IF(OR(INDEX($B766:$D766,AM$5)="F",AND(AM$6&gt;0,$A766&lt;AM$6),AND(AM$7&gt;0,$A766&gt;AM$7)),0,MAX(0,ROUND((INDEX($E766:$G766,AM$5)-SUMIFS(TF_Timer,TF_Tekniker,AM$4,TF_Dato,$A766))*2,0)/2)))</f>
        <v/>
      </c>
      <c r="AN766">
        <f>IF(OR(AN$4="",$A766&gt;TODAY()),0,IF(OR(INDEX($B766:$D766,AN$5)="F",AND(AN$6&gt;0,$A766&lt;AN$6),AND(AN$7&gt;0,$A766&gt;AN$7)),0,MAX(0,ROUND((INDEX($E766:$G766,AN$5)-SUMIFS(TF_Timer,TF_Tekniker,AN$4,TF_Dato,$A766))*2,0)/2)))</f>
        <v/>
      </c>
      <c r="AO766">
        <f>IF(OR(AO$4="",$A766&gt;TODAY()),0,IF(OR(INDEX($B766:$D766,AO$5)="F",AND(AO$6&gt;0,$A766&lt;AO$6),AND(AO$7&gt;0,$A766&gt;AO$7)),0,MAX(0,ROUND((INDEX($E766:$G766,AO$5)-SUMIFS(TF_Timer,TF_Tekniker,AO$4,TF_Dato,$A766))*2,0)/2)))</f>
        <v/>
      </c>
      <c r="AP766">
        <f>IF(OR(AP$4="",$A766&gt;TODAY()),0,IF(OR(INDEX($B766:$D766,AP$5)="F",AND(AP$6&gt;0,$A766&lt;AP$6),AND(AP$7&gt;0,$A766&gt;AP$7)),0,MAX(0,ROUND((INDEX($E766:$G766,AP$5)-SUMIFS(TF_Timer,TF_Tekniker,AP$4,TF_Dato,$A766))*2,0)/2)))</f>
        <v/>
      </c>
      <c r="AQ766">
        <f>IF(OR(AQ$4="",$A766&gt;TODAY()),0,IF(OR(INDEX($B766:$D766,AQ$5)="F",AND(AQ$6&gt;0,$A766&lt;AQ$6),AND(AQ$7&gt;0,$A766&gt;AQ$7)),0,MAX(0,ROUND((INDEX($E766:$G766,AQ$5)-SUMIFS(TF_Timer,TF_Tekniker,AQ$4,TF_Dato,$A766))*2,0)/2)))</f>
        <v/>
      </c>
      <c r="AR766">
        <f>IF(OR(AR$4="",$A766&gt;TODAY()),0,IF(OR(INDEX($B766:$D766,AR$5)="F",AND(AR$6&gt;0,$A766&lt;AR$6),AND(AR$7&gt;0,$A766&gt;AR$7)),0,MAX(0,ROUND((INDEX($E766:$G766,AR$5)-SUMIFS(TF_Timer,TF_Tekniker,AR$4,TF_Dato,$A766))*2,0)/2)))</f>
        <v/>
      </c>
      <c r="AS766">
        <f>IF(OR(AS$4="",$A766&gt;TODAY()),0,IF(OR(INDEX($B766:$D766,AS$5)="F",AND(AS$6&gt;0,$A766&lt;AS$6),AND(AS$7&gt;0,$A766&gt;AS$7)),0,MAX(0,ROUND((INDEX($E766:$G766,AS$5)-SUMIFS(TF_Timer,TF_Tekniker,AS$4,TF_Dato,$A766))*2,0)/2)))</f>
        <v/>
      </c>
      <c r="AT766">
        <f>IF(OR(AT$4="",$A766&gt;TODAY()),0,IF(OR(INDEX($B766:$D766,AT$5)="F",AND(AT$6&gt;0,$A766&lt;AT$6),AND(AT$7&gt;0,$A766&gt;AT$7)),0,MAX(0,ROUND((INDEX($E766:$G766,AT$5)-SUMIFS(TF_Timer,TF_Tekniker,AT$4,TF_Dato,$A766))*2,0)/2)))</f>
        <v/>
      </c>
      <c r="AU766">
        <f>IF(OR(AU$4="",$A766&gt;TODAY()),0,IF(OR(INDEX($B766:$D766,AU$5)="F",AND(AU$6&gt;0,$A766&lt;AU$6),AND(AU$7&gt;0,$A766&gt;AU$7)),0,MAX(0,ROUND((INDEX($E766:$G766,AU$5)-SUMIFS(TF_Timer,TF_Tekniker,AU$4,TF_Dato,$A766))*2,0)/2)))</f>
        <v/>
      </c>
      <c r="AV766">
        <f>IF(OR(AV$4="",$A766&gt;TODAY()),0,IF(OR(INDEX($B766:$D766,AV$5)="F",AND(AV$6&gt;0,$A766&lt;AV$6),AND(AV$7&gt;0,$A766&gt;AV$7)),0,MAX(0,ROUND((INDEX($E766:$G766,AV$5)-SUMIFS(TF_Timer,TF_Tekniker,AV$4,TF_Dato,$A766))*2,0)/2)))</f>
        <v/>
      </c>
      <c r="AW766">
        <f>IF(OR(AW$4="",$A766&gt;TODAY()),0,IF(OR(INDEX($B766:$D766,AW$5)="F",AND(AW$6&gt;0,$A766&lt;AW$6),AND(AW$7&gt;0,$A766&gt;AW$7)),0,MAX(0,ROUND((INDEX($E766:$G766,AW$5)-SUMIFS(TF_Timer,TF_Tekniker,AW$4,TF_Dato,$A766))*2,0)/2)))</f>
        <v/>
      </c>
      <c r="AX766">
        <f>IF(OR(AX$4="",$A766&gt;TODAY()),0,IF(OR(INDEX($B766:$D766,AX$5)="F",AND(AX$6&gt;0,$A766&lt;AX$6),AND(AX$7&gt;0,$A766&gt;AX$7)),0,MAX(0,ROUND((INDEX($E766:$G766,AX$5)-SUMIFS(TF_Timer,TF_Tekniker,AX$4,TF_Dato,$A766))*2,0)/2)))</f>
        <v/>
      </c>
      <c r="AY766">
        <f>IF(OR(AY$4="",$A766&gt;TODAY()),0,IF(OR(INDEX($B766:$D766,AY$5)="F",AND(AY$6&gt;0,$A766&lt;AY$6),AND(AY$7&gt;0,$A766&gt;AY$7)),0,MAX(0,ROUND((INDEX($E766:$G766,AY$5)-SUMIFS(TF_Timer,TF_Tekniker,AY$4,TF_Dato,$A766))*2,0)/2)))</f>
        <v/>
      </c>
      <c r="AZ766">
        <f>IF(OR(AZ$4="",$A766&gt;TODAY()),0,IF(OR(INDEX($B766:$D766,AZ$5)="F",AND(AZ$6&gt;0,$A766&lt;AZ$6),AND(AZ$7&gt;0,$A766&gt;AZ$7)),0,MAX(0,ROUND((INDEX($E766:$G766,AZ$5)-SUMIFS(TF_Timer,TF_Tekniker,AZ$4,TF_Dato,$A766))*2,0)/2)))</f>
        <v/>
      </c>
      <c r="BA766">
        <f>IF(OR(BA$4="",$A766&gt;TODAY()),0,IF(OR(INDEX($B766:$D766,BA$5)="F",AND(BA$6&gt;0,$A766&lt;BA$6),AND(BA$7&gt;0,$A766&gt;BA$7)),0,MAX(0,ROUND((INDEX($E766:$G766,BA$5)-SUMIFS(TF_Timer,TF_Tekniker,BA$4,TF_Dato,$A766))*2,0)/2)))</f>
        <v/>
      </c>
      <c r="BB766">
        <f>IF(OR(BB$4="",$A766&gt;TODAY()),0,IF(OR(INDEX($B766:$D766,BB$5)="F",AND(BB$6&gt;0,$A766&lt;BB$6),AND(BB$7&gt;0,$A766&gt;BB$7)),0,MAX(0,ROUND((INDEX($E766:$G766,BB$5)-SUMIFS(TF_Timer,TF_Tekniker,BB$4,TF_Dato,$A766))*2,0)/2)))</f>
        <v/>
      </c>
      <c r="BC766">
        <f>IF(OR(BC$4="",$A766&gt;TODAY()),0,IF(OR(INDEX($B766:$D766,BC$5)="F",AND(BC$6&gt;0,$A766&lt;BC$6),AND(BC$7&gt;0,$A766&gt;BC$7)),0,MAX(0,ROUND((INDEX($E766:$G766,BC$5)-SUMIFS(TF_Timer,TF_Tekniker,BC$4,TF_Dato,$A766))*2,0)/2)))</f>
        <v/>
      </c>
      <c r="BD766">
        <f>IF(OR(BD$4="",$A766&gt;TODAY()),0,IF(OR(INDEX($B766:$D766,BD$5)="F",AND(BD$6&gt;0,$A766&lt;BD$6),AND(BD$7&gt;0,$A766&gt;BD$7)),0,MAX(0,ROUND((INDEX($E766:$G766,BD$5)-SUMIFS(TF_Timer,TF_Tekniker,BD$4,TF_Dato,$A766))*2,0)/2)))</f>
        <v/>
      </c>
      <c r="BE766">
        <f>IF(OR(BE$4="",$A766&gt;TODAY()),0,IF(OR(INDEX($B766:$D766,BE$5)="F",AND(BE$6&gt;0,$A766&lt;BE$6),AND(BE$7&gt;0,$A766&gt;BE$7)),0,MAX(0,ROUND((INDEX($E766:$G766,BE$5)-SUMIFS(TF_Timer,TF_Tekniker,BE$4,TF_Dato,$A766))*2,0)/2)))</f>
        <v/>
      </c>
      <c r="BF766">
        <f>IF(OR(BF$4="",$A766&gt;TODAY()),0,IF(OR(INDEX($B766:$D766,BF$5)="F",AND(BF$6&gt;0,$A766&lt;BF$6),AND(BF$7&gt;0,$A766&gt;BF$7)),0,MAX(0,ROUND((INDEX($E766:$G766,BF$5)-SUMIFS(TF_Timer,TF_Tekniker,BF$4,TF_Dato,$A766))*2,0)/2)))</f>
        <v/>
      </c>
      <c r="BG766">
        <f>IF(OR(BG$4="",$A766&gt;TODAY()),0,IF(OR(INDEX($B766:$D766,BG$5)="F",AND(BG$6&gt;0,$A766&lt;BG$6),AND(BG$7&gt;0,$A766&gt;BG$7)),0,MAX(0,ROUND((INDEX($E766:$G766,BG$5)-SUMIFS(TF_Timer,TF_Tekniker,BG$4,TF_Dato,$A766))*2,0)/2)))</f>
        <v/>
      </c>
      <c r="BH766">
        <f>IF(OR(BH$4="",$A766&gt;TODAY()),0,IF(OR(INDEX($B766:$D766,BH$5)="F",AND(BH$6&gt;0,$A766&lt;BH$6),AND(BH$7&gt;0,$A766&gt;BH$7)),0,MAX(0,ROUND((INDEX($E766:$G766,BH$5)-SUMIFS(TF_Timer,TF_Tekniker,BH$4,TF_Dato,$A766))*2,0)/2)))</f>
        <v/>
      </c>
      <c r="BI766">
        <f>IF(OR(BI$4="",$A766&gt;TODAY()),0,IF(OR(INDEX($B766:$D766,BI$5)="F",AND(BI$6&gt;0,$A766&lt;BI$6),AND(BI$7&gt;0,$A766&gt;BI$7)),0,MAX(0,ROUND((INDEX($E766:$G766,BI$5)-SUMIFS(TF_Timer,TF_Tekniker,BI$4,TF_Dato,$A766))*2,0)/2)))</f>
        <v/>
      </c>
    </row>
    <row r="767">
      <c r="A767" s="64">
        <f>A766+1</f>
        <v/>
      </c>
      <c r="B767">
        <f>IF(MOD($A767-INDEX(SkiftStart,1),Syklus)&lt;DagK,"K",IF(MOD($A767-INDEX(SkiftStart,1),Syklus)&lt;DagK+DagH,"H",IF(MOD($A767-INDEX(SkiftStart,1),Syklus)&lt;DagK+DagH+DagD,"D","F")))</f>
        <v/>
      </c>
      <c r="C767">
        <f>IF(MOD($A767-INDEX(SkiftStart,2),Syklus)&lt;DagK,"K",IF(MOD($A767-INDEX(SkiftStart,2),Syklus)&lt;DagK+DagH,"H",IF(MOD($A767-INDEX(SkiftStart,2),Syklus)&lt;DagK+DagH+DagD,"D","F")))</f>
        <v/>
      </c>
      <c r="D767">
        <f>IF(MOD($A767-INDEX(SkiftStart,3),Syklus)&lt;DagK,"K",IF(MOD($A767-INDEX(SkiftStart,3),Syklus)&lt;DagK+DagH,"H",IF(MOD($A767-INDEX(SkiftStart,3),Syklus)&lt;DagK+DagH+DagD,"D","F")))</f>
        <v/>
      </c>
      <c r="E767">
        <f>IF(B767="F",0,IF(WEEKDAY($A767,2)=5,INDEX(TimerFr,MATCH(B767,FaseKode,0)),INDEX(TimerMT,MATCH(B767,FaseKode,0))))</f>
        <v/>
      </c>
      <c r="F767">
        <f>IF(C767="F",0,IF(WEEKDAY($A767,2)=5,INDEX(TimerFr,MATCH(C767,FaseKode,0)),INDEX(TimerMT,MATCH(C767,FaseKode,0))))</f>
        <v/>
      </c>
      <c r="G767">
        <f>IF(D767="F",0,IF(WEEKDAY($A767,2)=5,INDEX(TimerFr,MATCH(D767,FaseKode,0)),INDEX(TimerMT,MATCH(D767,FaseKode,0))))</f>
        <v/>
      </c>
      <c r="H767">
        <f>IF(OR(H$4="",$A767&gt;TODAY()),0,IF(OR(INDEX($B767:$D767,H$5)="F",AND(H$6&gt;0,$A767&lt;H$6),AND(H$7&gt;0,$A767&gt;H$7)),0,MAX(0,ROUND((INDEX($E767:$G767,H$5)-SUMIFS(TF_Timer,TF_Tekniker,H$4,TF_Dato,$A767))*2,0)/2)))</f>
        <v/>
      </c>
      <c r="I767">
        <f>IF(OR(I$4="",$A767&gt;TODAY()),0,IF(OR(INDEX($B767:$D767,I$5)="F",AND(I$6&gt;0,$A767&lt;I$6),AND(I$7&gt;0,$A767&gt;I$7)),0,MAX(0,ROUND((INDEX($E767:$G767,I$5)-SUMIFS(TF_Timer,TF_Tekniker,I$4,TF_Dato,$A767))*2,0)/2)))</f>
        <v/>
      </c>
      <c r="J767">
        <f>IF(OR(J$4="",$A767&gt;TODAY()),0,IF(OR(INDEX($B767:$D767,J$5)="F",AND(J$6&gt;0,$A767&lt;J$6),AND(J$7&gt;0,$A767&gt;J$7)),0,MAX(0,ROUND((INDEX($E767:$G767,J$5)-SUMIFS(TF_Timer,TF_Tekniker,J$4,TF_Dato,$A767))*2,0)/2)))</f>
        <v/>
      </c>
      <c r="K767">
        <f>IF(OR(K$4="",$A767&gt;TODAY()),0,IF(OR(INDEX($B767:$D767,K$5)="F",AND(K$6&gt;0,$A767&lt;K$6),AND(K$7&gt;0,$A767&gt;K$7)),0,MAX(0,ROUND((INDEX($E767:$G767,K$5)-SUMIFS(TF_Timer,TF_Tekniker,K$4,TF_Dato,$A767))*2,0)/2)))</f>
        <v/>
      </c>
      <c r="L767">
        <f>IF(OR(L$4="",$A767&gt;TODAY()),0,IF(OR(INDEX($B767:$D767,L$5)="F",AND(L$6&gt;0,$A767&lt;L$6),AND(L$7&gt;0,$A767&gt;L$7)),0,MAX(0,ROUND((INDEX($E767:$G767,L$5)-SUMIFS(TF_Timer,TF_Tekniker,L$4,TF_Dato,$A767))*2,0)/2)))</f>
        <v/>
      </c>
      <c r="M767">
        <f>IF(OR(M$4="",$A767&gt;TODAY()),0,IF(OR(INDEX($B767:$D767,M$5)="F",AND(M$6&gt;0,$A767&lt;M$6),AND(M$7&gt;0,$A767&gt;M$7)),0,MAX(0,ROUND((INDEX($E767:$G767,M$5)-SUMIFS(TF_Timer,TF_Tekniker,M$4,TF_Dato,$A767))*2,0)/2)))</f>
        <v/>
      </c>
      <c r="N767">
        <f>IF(OR(N$4="",$A767&gt;TODAY()),0,IF(OR(INDEX($B767:$D767,N$5)="F",AND(N$6&gt;0,$A767&lt;N$6),AND(N$7&gt;0,$A767&gt;N$7)),0,MAX(0,ROUND((INDEX($E767:$G767,N$5)-SUMIFS(TF_Timer,TF_Tekniker,N$4,TF_Dato,$A767))*2,0)/2)))</f>
        <v/>
      </c>
      <c r="O767">
        <f>IF(OR(O$4="",$A767&gt;TODAY()),0,IF(OR(INDEX($B767:$D767,O$5)="F",AND(O$6&gt;0,$A767&lt;O$6),AND(O$7&gt;0,$A767&gt;O$7)),0,MAX(0,ROUND((INDEX($E767:$G767,O$5)-SUMIFS(TF_Timer,TF_Tekniker,O$4,TF_Dato,$A767))*2,0)/2)))</f>
        <v/>
      </c>
      <c r="P767">
        <f>IF(OR(P$4="",$A767&gt;TODAY()),0,IF(OR(INDEX($B767:$D767,P$5)="F",AND(P$6&gt;0,$A767&lt;P$6),AND(P$7&gt;0,$A767&gt;P$7)),0,MAX(0,ROUND((INDEX($E767:$G767,P$5)-SUMIFS(TF_Timer,TF_Tekniker,P$4,TF_Dato,$A767))*2,0)/2)))</f>
        <v/>
      </c>
      <c r="Q767">
        <f>IF(OR(Q$4="",$A767&gt;TODAY()),0,IF(OR(INDEX($B767:$D767,Q$5)="F",AND(Q$6&gt;0,$A767&lt;Q$6),AND(Q$7&gt;0,$A767&gt;Q$7)),0,MAX(0,ROUND((INDEX($E767:$G767,Q$5)-SUMIFS(TF_Timer,TF_Tekniker,Q$4,TF_Dato,$A767))*2,0)/2)))</f>
        <v/>
      </c>
      <c r="R767">
        <f>IF(OR(R$4="",$A767&gt;TODAY()),0,IF(OR(INDEX($B767:$D767,R$5)="F",AND(R$6&gt;0,$A767&lt;R$6),AND(R$7&gt;0,$A767&gt;R$7)),0,MAX(0,ROUND((INDEX($E767:$G767,R$5)-SUMIFS(TF_Timer,TF_Tekniker,R$4,TF_Dato,$A767))*2,0)/2)))</f>
        <v/>
      </c>
      <c r="S767">
        <f>IF(OR(S$4="",$A767&gt;TODAY()),0,IF(OR(INDEX($B767:$D767,S$5)="F",AND(S$6&gt;0,$A767&lt;S$6),AND(S$7&gt;0,$A767&gt;S$7)),0,MAX(0,ROUND((INDEX($E767:$G767,S$5)-SUMIFS(TF_Timer,TF_Tekniker,S$4,TF_Dato,$A767))*2,0)/2)))</f>
        <v/>
      </c>
      <c r="T767">
        <f>IF(OR(T$4="",$A767&gt;TODAY()),0,IF(OR(INDEX($B767:$D767,T$5)="F",AND(T$6&gt;0,$A767&lt;T$6),AND(T$7&gt;0,$A767&gt;T$7)),0,MAX(0,ROUND((INDEX($E767:$G767,T$5)-SUMIFS(TF_Timer,TF_Tekniker,T$4,TF_Dato,$A767))*2,0)/2)))</f>
        <v/>
      </c>
      <c r="U767">
        <f>IF(OR(U$4="",$A767&gt;TODAY()),0,IF(OR(INDEX($B767:$D767,U$5)="F",AND(U$6&gt;0,$A767&lt;U$6),AND(U$7&gt;0,$A767&gt;U$7)),0,MAX(0,ROUND((INDEX($E767:$G767,U$5)-SUMIFS(TF_Timer,TF_Tekniker,U$4,TF_Dato,$A767))*2,0)/2)))</f>
        <v/>
      </c>
      <c r="V767">
        <f>IF(OR(V$4="",$A767&gt;TODAY()),0,IF(OR(INDEX($B767:$D767,V$5)="F",AND(V$6&gt;0,$A767&lt;V$6),AND(V$7&gt;0,$A767&gt;V$7)),0,MAX(0,ROUND((INDEX($E767:$G767,V$5)-SUMIFS(TF_Timer,TF_Tekniker,V$4,TF_Dato,$A767))*2,0)/2)))</f>
        <v/>
      </c>
      <c r="W767">
        <f>IF(OR(W$4="",$A767&gt;TODAY()),0,IF(OR(INDEX($B767:$D767,W$5)="F",AND(W$6&gt;0,$A767&lt;W$6),AND(W$7&gt;0,$A767&gt;W$7)),0,MAX(0,ROUND((INDEX($E767:$G767,W$5)-SUMIFS(TF_Timer,TF_Tekniker,W$4,TF_Dato,$A767))*2,0)/2)))</f>
        <v/>
      </c>
      <c r="X767">
        <f>IF(OR(X$4="",$A767&gt;TODAY()),0,IF(OR(INDEX($B767:$D767,X$5)="F",AND(X$6&gt;0,$A767&lt;X$6),AND(X$7&gt;0,$A767&gt;X$7)),0,MAX(0,ROUND((INDEX($E767:$G767,X$5)-SUMIFS(TF_Timer,TF_Tekniker,X$4,TF_Dato,$A767))*2,0)/2)))</f>
        <v/>
      </c>
      <c r="Y767">
        <f>IF(OR(Y$4="",$A767&gt;TODAY()),0,IF(OR(INDEX($B767:$D767,Y$5)="F",AND(Y$6&gt;0,$A767&lt;Y$6),AND(Y$7&gt;0,$A767&gt;Y$7)),0,MAX(0,ROUND((INDEX($E767:$G767,Y$5)-SUMIFS(TF_Timer,TF_Tekniker,Y$4,TF_Dato,$A767))*2,0)/2)))</f>
        <v/>
      </c>
      <c r="Z767">
        <f>IF(OR(Z$4="",$A767&gt;TODAY()),0,IF(OR(INDEX($B767:$D767,Z$5)="F",AND(Z$6&gt;0,$A767&lt;Z$6),AND(Z$7&gt;0,$A767&gt;Z$7)),0,MAX(0,ROUND((INDEX($E767:$G767,Z$5)-SUMIFS(TF_Timer,TF_Tekniker,Z$4,TF_Dato,$A767))*2,0)/2)))</f>
        <v/>
      </c>
      <c r="AA767">
        <f>IF(OR(AA$4="",$A767&gt;TODAY()),0,IF(OR(INDEX($B767:$D767,AA$5)="F",AND(AA$6&gt;0,$A767&lt;AA$6),AND(AA$7&gt;0,$A767&gt;AA$7)),0,MAX(0,ROUND((INDEX($E767:$G767,AA$5)-SUMIFS(TF_Timer,TF_Tekniker,AA$4,TF_Dato,$A767))*2,0)/2)))</f>
        <v/>
      </c>
      <c r="AB767">
        <f>IF(OR(AB$4="",$A767&gt;TODAY()),0,IF(OR(INDEX($B767:$D767,AB$5)="F",AND(AB$6&gt;0,$A767&lt;AB$6),AND(AB$7&gt;0,$A767&gt;AB$7)),0,MAX(0,ROUND((INDEX($E767:$G767,AB$5)-SUMIFS(TF_Timer,TF_Tekniker,AB$4,TF_Dato,$A767))*2,0)/2)))</f>
        <v/>
      </c>
      <c r="AC767">
        <f>IF(OR(AC$4="",$A767&gt;TODAY()),0,IF(OR(INDEX($B767:$D767,AC$5)="F",AND(AC$6&gt;0,$A767&lt;AC$6),AND(AC$7&gt;0,$A767&gt;AC$7)),0,MAX(0,ROUND((INDEX($E767:$G767,AC$5)-SUMIFS(TF_Timer,TF_Tekniker,AC$4,TF_Dato,$A767))*2,0)/2)))</f>
        <v/>
      </c>
      <c r="AD767">
        <f>IF(OR(AD$4="",$A767&gt;TODAY()),0,IF(OR(INDEX($B767:$D767,AD$5)="F",AND(AD$6&gt;0,$A767&lt;AD$6),AND(AD$7&gt;0,$A767&gt;AD$7)),0,MAX(0,ROUND((INDEX($E767:$G767,AD$5)-SUMIFS(TF_Timer,TF_Tekniker,AD$4,TF_Dato,$A767))*2,0)/2)))</f>
        <v/>
      </c>
      <c r="AE767">
        <f>IF(OR(AE$4="",$A767&gt;TODAY()),0,IF(OR(INDEX($B767:$D767,AE$5)="F",AND(AE$6&gt;0,$A767&lt;AE$6),AND(AE$7&gt;0,$A767&gt;AE$7)),0,MAX(0,ROUND((INDEX($E767:$G767,AE$5)-SUMIFS(TF_Timer,TF_Tekniker,AE$4,TF_Dato,$A767))*2,0)/2)))</f>
        <v/>
      </c>
      <c r="AF767">
        <f>IF(OR(AF$4="",$A767&gt;TODAY()),0,IF(OR(INDEX($B767:$D767,AF$5)="F",AND(AF$6&gt;0,$A767&lt;AF$6),AND(AF$7&gt;0,$A767&gt;AF$7)),0,MAX(0,ROUND((INDEX($E767:$G767,AF$5)-SUMIFS(TF_Timer,TF_Tekniker,AF$4,TF_Dato,$A767))*2,0)/2)))</f>
        <v/>
      </c>
      <c r="AG767">
        <f>IF(OR(AG$4="",$A767&gt;TODAY()),0,IF(OR(INDEX($B767:$D767,AG$5)="F",AND(AG$6&gt;0,$A767&lt;AG$6),AND(AG$7&gt;0,$A767&gt;AG$7)),0,MAX(0,ROUND((INDEX($E767:$G767,AG$5)-SUMIFS(TF_Timer,TF_Tekniker,AG$4,TF_Dato,$A767))*2,0)/2)))</f>
        <v/>
      </c>
      <c r="AH767">
        <f>IF(OR(AH$4="",$A767&gt;TODAY()),0,IF(OR(INDEX($B767:$D767,AH$5)="F",AND(AH$6&gt;0,$A767&lt;AH$6),AND(AH$7&gt;0,$A767&gt;AH$7)),0,MAX(0,ROUND((INDEX($E767:$G767,AH$5)-SUMIFS(TF_Timer,TF_Tekniker,AH$4,TF_Dato,$A767))*2,0)/2)))</f>
        <v/>
      </c>
      <c r="AI767">
        <f>IF(OR(AI$4="",$A767&gt;TODAY()),0,IF(OR(INDEX($B767:$D767,AI$5)="F",AND(AI$6&gt;0,$A767&lt;AI$6),AND(AI$7&gt;0,$A767&gt;AI$7)),0,MAX(0,ROUND((INDEX($E767:$G767,AI$5)-SUMIFS(TF_Timer,TF_Tekniker,AI$4,TF_Dato,$A767))*2,0)/2)))</f>
        <v/>
      </c>
      <c r="AJ767">
        <f>IF(OR(AJ$4="",$A767&gt;TODAY()),0,IF(OR(INDEX($B767:$D767,AJ$5)="F",AND(AJ$6&gt;0,$A767&lt;AJ$6),AND(AJ$7&gt;0,$A767&gt;AJ$7)),0,MAX(0,ROUND((INDEX($E767:$G767,AJ$5)-SUMIFS(TF_Timer,TF_Tekniker,AJ$4,TF_Dato,$A767))*2,0)/2)))</f>
        <v/>
      </c>
      <c r="AK767">
        <f>IF(OR(AK$4="",$A767&gt;TODAY()),0,IF(OR(INDEX($B767:$D767,AK$5)="F",AND(AK$6&gt;0,$A767&lt;AK$6),AND(AK$7&gt;0,$A767&gt;AK$7)),0,MAX(0,ROUND((INDEX($E767:$G767,AK$5)-SUMIFS(TF_Timer,TF_Tekniker,AK$4,TF_Dato,$A767))*2,0)/2)))</f>
        <v/>
      </c>
      <c r="AL767">
        <f>IF(OR(AL$4="",$A767&gt;TODAY()),0,IF(OR(INDEX($B767:$D767,AL$5)="F",AND(AL$6&gt;0,$A767&lt;AL$6),AND(AL$7&gt;0,$A767&gt;AL$7)),0,MAX(0,ROUND((INDEX($E767:$G767,AL$5)-SUMIFS(TF_Timer,TF_Tekniker,AL$4,TF_Dato,$A767))*2,0)/2)))</f>
        <v/>
      </c>
      <c r="AM767">
        <f>IF(OR(AM$4="",$A767&gt;TODAY()),0,IF(OR(INDEX($B767:$D767,AM$5)="F",AND(AM$6&gt;0,$A767&lt;AM$6),AND(AM$7&gt;0,$A767&gt;AM$7)),0,MAX(0,ROUND((INDEX($E767:$G767,AM$5)-SUMIFS(TF_Timer,TF_Tekniker,AM$4,TF_Dato,$A767))*2,0)/2)))</f>
        <v/>
      </c>
      <c r="AN767">
        <f>IF(OR(AN$4="",$A767&gt;TODAY()),0,IF(OR(INDEX($B767:$D767,AN$5)="F",AND(AN$6&gt;0,$A767&lt;AN$6),AND(AN$7&gt;0,$A767&gt;AN$7)),0,MAX(0,ROUND((INDEX($E767:$G767,AN$5)-SUMIFS(TF_Timer,TF_Tekniker,AN$4,TF_Dato,$A767))*2,0)/2)))</f>
        <v/>
      </c>
      <c r="AO767">
        <f>IF(OR(AO$4="",$A767&gt;TODAY()),0,IF(OR(INDEX($B767:$D767,AO$5)="F",AND(AO$6&gt;0,$A767&lt;AO$6),AND(AO$7&gt;0,$A767&gt;AO$7)),0,MAX(0,ROUND((INDEX($E767:$G767,AO$5)-SUMIFS(TF_Timer,TF_Tekniker,AO$4,TF_Dato,$A767))*2,0)/2)))</f>
        <v/>
      </c>
      <c r="AP767">
        <f>IF(OR(AP$4="",$A767&gt;TODAY()),0,IF(OR(INDEX($B767:$D767,AP$5)="F",AND(AP$6&gt;0,$A767&lt;AP$6),AND(AP$7&gt;0,$A767&gt;AP$7)),0,MAX(0,ROUND((INDEX($E767:$G767,AP$5)-SUMIFS(TF_Timer,TF_Tekniker,AP$4,TF_Dato,$A767))*2,0)/2)))</f>
        <v/>
      </c>
      <c r="AQ767">
        <f>IF(OR(AQ$4="",$A767&gt;TODAY()),0,IF(OR(INDEX($B767:$D767,AQ$5)="F",AND(AQ$6&gt;0,$A767&lt;AQ$6),AND(AQ$7&gt;0,$A767&gt;AQ$7)),0,MAX(0,ROUND((INDEX($E767:$G767,AQ$5)-SUMIFS(TF_Timer,TF_Tekniker,AQ$4,TF_Dato,$A767))*2,0)/2)))</f>
        <v/>
      </c>
      <c r="AR767">
        <f>IF(OR(AR$4="",$A767&gt;TODAY()),0,IF(OR(INDEX($B767:$D767,AR$5)="F",AND(AR$6&gt;0,$A767&lt;AR$6),AND(AR$7&gt;0,$A767&gt;AR$7)),0,MAX(0,ROUND((INDEX($E767:$G767,AR$5)-SUMIFS(TF_Timer,TF_Tekniker,AR$4,TF_Dato,$A767))*2,0)/2)))</f>
        <v/>
      </c>
      <c r="AS767">
        <f>IF(OR(AS$4="",$A767&gt;TODAY()),0,IF(OR(INDEX($B767:$D767,AS$5)="F",AND(AS$6&gt;0,$A767&lt;AS$6),AND(AS$7&gt;0,$A767&gt;AS$7)),0,MAX(0,ROUND((INDEX($E767:$G767,AS$5)-SUMIFS(TF_Timer,TF_Tekniker,AS$4,TF_Dato,$A767))*2,0)/2)))</f>
        <v/>
      </c>
      <c r="AT767">
        <f>IF(OR(AT$4="",$A767&gt;TODAY()),0,IF(OR(INDEX($B767:$D767,AT$5)="F",AND(AT$6&gt;0,$A767&lt;AT$6),AND(AT$7&gt;0,$A767&gt;AT$7)),0,MAX(0,ROUND((INDEX($E767:$G767,AT$5)-SUMIFS(TF_Timer,TF_Tekniker,AT$4,TF_Dato,$A767))*2,0)/2)))</f>
        <v/>
      </c>
      <c r="AU767">
        <f>IF(OR(AU$4="",$A767&gt;TODAY()),0,IF(OR(INDEX($B767:$D767,AU$5)="F",AND(AU$6&gt;0,$A767&lt;AU$6),AND(AU$7&gt;0,$A767&gt;AU$7)),0,MAX(0,ROUND((INDEX($E767:$G767,AU$5)-SUMIFS(TF_Timer,TF_Tekniker,AU$4,TF_Dato,$A767))*2,0)/2)))</f>
        <v/>
      </c>
      <c r="AV767">
        <f>IF(OR(AV$4="",$A767&gt;TODAY()),0,IF(OR(INDEX($B767:$D767,AV$5)="F",AND(AV$6&gt;0,$A767&lt;AV$6),AND(AV$7&gt;0,$A767&gt;AV$7)),0,MAX(0,ROUND((INDEX($E767:$G767,AV$5)-SUMIFS(TF_Timer,TF_Tekniker,AV$4,TF_Dato,$A767))*2,0)/2)))</f>
        <v/>
      </c>
      <c r="AW767">
        <f>IF(OR(AW$4="",$A767&gt;TODAY()),0,IF(OR(INDEX($B767:$D767,AW$5)="F",AND(AW$6&gt;0,$A767&lt;AW$6),AND(AW$7&gt;0,$A767&gt;AW$7)),0,MAX(0,ROUND((INDEX($E767:$G767,AW$5)-SUMIFS(TF_Timer,TF_Tekniker,AW$4,TF_Dato,$A767))*2,0)/2)))</f>
        <v/>
      </c>
      <c r="AX767">
        <f>IF(OR(AX$4="",$A767&gt;TODAY()),0,IF(OR(INDEX($B767:$D767,AX$5)="F",AND(AX$6&gt;0,$A767&lt;AX$6),AND(AX$7&gt;0,$A767&gt;AX$7)),0,MAX(0,ROUND((INDEX($E767:$G767,AX$5)-SUMIFS(TF_Timer,TF_Tekniker,AX$4,TF_Dato,$A767))*2,0)/2)))</f>
        <v/>
      </c>
      <c r="AY767">
        <f>IF(OR(AY$4="",$A767&gt;TODAY()),0,IF(OR(INDEX($B767:$D767,AY$5)="F",AND(AY$6&gt;0,$A767&lt;AY$6),AND(AY$7&gt;0,$A767&gt;AY$7)),0,MAX(0,ROUND((INDEX($E767:$G767,AY$5)-SUMIFS(TF_Timer,TF_Tekniker,AY$4,TF_Dato,$A767))*2,0)/2)))</f>
        <v/>
      </c>
      <c r="AZ767">
        <f>IF(OR(AZ$4="",$A767&gt;TODAY()),0,IF(OR(INDEX($B767:$D767,AZ$5)="F",AND(AZ$6&gt;0,$A767&lt;AZ$6),AND(AZ$7&gt;0,$A767&gt;AZ$7)),0,MAX(0,ROUND((INDEX($E767:$G767,AZ$5)-SUMIFS(TF_Timer,TF_Tekniker,AZ$4,TF_Dato,$A767))*2,0)/2)))</f>
        <v/>
      </c>
      <c r="BA767">
        <f>IF(OR(BA$4="",$A767&gt;TODAY()),0,IF(OR(INDEX($B767:$D767,BA$5)="F",AND(BA$6&gt;0,$A767&lt;BA$6),AND(BA$7&gt;0,$A767&gt;BA$7)),0,MAX(0,ROUND((INDEX($E767:$G767,BA$5)-SUMIFS(TF_Timer,TF_Tekniker,BA$4,TF_Dato,$A767))*2,0)/2)))</f>
        <v/>
      </c>
      <c r="BB767">
        <f>IF(OR(BB$4="",$A767&gt;TODAY()),0,IF(OR(INDEX($B767:$D767,BB$5)="F",AND(BB$6&gt;0,$A767&lt;BB$6),AND(BB$7&gt;0,$A767&gt;BB$7)),0,MAX(0,ROUND((INDEX($E767:$G767,BB$5)-SUMIFS(TF_Timer,TF_Tekniker,BB$4,TF_Dato,$A767))*2,0)/2)))</f>
        <v/>
      </c>
      <c r="BC767">
        <f>IF(OR(BC$4="",$A767&gt;TODAY()),0,IF(OR(INDEX($B767:$D767,BC$5)="F",AND(BC$6&gt;0,$A767&lt;BC$6),AND(BC$7&gt;0,$A767&gt;BC$7)),0,MAX(0,ROUND((INDEX($E767:$G767,BC$5)-SUMIFS(TF_Timer,TF_Tekniker,BC$4,TF_Dato,$A767))*2,0)/2)))</f>
        <v/>
      </c>
      <c r="BD767">
        <f>IF(OR(BD$4="",$A767&gt;TODAY()),0,IF(OR(INDEX($B767:$D767,BD$5)="F",AND(BD$6&gt;0,$A767&lt;BD$6),AND(BD$7&gt;0,$A767&gt;BD$7)),0,MAX(0,ROUND((INDEX($E767:$G767,BD$5)-SUMIFS(TF_Timer,TF_Tekniker,BD$4,TF_Dato,$A767))*2,0)/2)))</f>
        <v/>
      </c>
      <c r="BE767">
        <f>IF(OR(BE$4="",$A767&gt;TODAY()),0,IF(OR(INDEX($B767:$D767,BE$5)="F",AND(BE$6&gt;0,$A767&lt;BE$6),AND(BE$7&gt;0,$A767&gt;BE$7)),0,MAX(0,ROUND((INDEX($E767:$G767,BE$5)-SUMIFS(TF_Timer,TF_Tekniker,BE$4,TF_Dato,$A767))*2,0)/2)))</f>
        <v/>
      </c>
      <c r="BF767">
        <f>IF(OR(BF$4="",$A767&gt;TODAY()),0,IF(OR(INDEX($B767:$D767,BF$5)="F",AND(BF$6&gt;0,$A767&lt;BF$6),AND(BF$7&gt;0,$A767&gt;BF$7)),0,MAX(0,ROUND((INDEX($E767:$G767,BF$5)-SUMIFS(TF_Timer,TF_Tekniker,BF$4,TF_Dato,$A767))*2,0)/2)))</f>
        <v/>
      </c>
      <c r="BG767">
        <f>IF(OR(BG$4="",$A767&gt;TODAY()),0,IF(OR(INDEX($B767:$D767,BG$5)="F",AND(BG$6&gt;0,$A767&lt;BG$6),AND(BG$7&gt;0,$A767&gt;BG$7)),0,MAX(0,ROUND((INDEX($E767:$G767,BG$5)-SUMIFS(TF_Timer,TF_Tekniker,BG$4,TF_Dato,$A767))*2,0)/2)))</f>
        <v/>
      </c>
      <c r="BH767">
        <f>IF(OR(BH$4="",$A767&gt;TODAY()),0,IF(OR(INDEX($B767:$D767,BH$5)="F",AND(BH$6&gt;0,$A767&lt;BH$6),AND(BH$7&gt;0,$A767&gt;BH$7)),0,MAX(0,ROUND((INDEX($E767:$G767,BH$5)-SUMIFS(TF_Timer,TF_Tekniker,BH$4,TF_Dato,$A767))*2,0)/2)))</f>
        <v/>
      </c>
      <c r="BI767">
        <f>IF(OR(BI$4="",$A767&gt;TODAY()),0,IF(OR(INDEX($B767:$D767,BI$5)="F",AND(BI$6&gt;0,$A767&lt;BI$6),AND(BI$7&gt;0,$A767&gt;BI$7)),0,MAX(0,ROUND((INDEX($E767:$G767,BI$5)-SUMIFS(TF_Timer,TF_Tekniker,BI$4,TF_Dato,$A767))*2,0)/2)))</f>
        <v/>
      </c>
    </row>
    <row r="768">
      <c r="A768" s="64">
        <f>A767+1</f>
        <v/>
      </c>
      <c r="B768">
        <f>IF(MOD($A768-INDEX(SkiftStart,1),Syklus)&lt;DagK,"K",IF(MOD($A768-INDEX(SkiftStart,1),Syklus)&lt;DagK+DagH,"H",IF(MOD($A768-INDEX(SkiftStart,1),Syklus)&lt;DagK+DagH+DagD,"D","F")))</f>
        <v/>
      </c>
      <c r="C768">
        <f>IF(MOD($A768-INDEX(SkiftStart,2),Syklus)&lt;DagK,"K",IF(MOD($A768-INDEX(SkiftStart,2),Syklus)&lt;DagK+DagH,"H",IF(MOD($A768-INDEX(SkiftStart,2),Syklus)&lt;DagK+DagH+DagD,"D","F")))</f>
        <v/>
      </c>
      <c r="D768">
        <f>IF(MOD($A768-INDEX(SkiftStart,3),Syklus)&lt;DagK,"K",IF(MOD($A768-INDEX(SkiftStart,3),Syklus)&lt;DagK+DagH,"H",IF(MOD($A768-INDEX(SkiftStart,3),Syklus)&lt;DagK+DagH+DagD,"D","F")))</f>
        <v/>
      </c>
      <c r="E768">
        <f>IF(B768="F",0,IF(WEEKDAY($A768,2)=5,INDEX(TimerFr,MATCH(B768,FaseKode,0)),INDEX(TimerMT,MATCH(B768,FaseKode,0))))</f>
        <v/>
      </c>
      <c r="F768">
        <f>IF(C768="F",0,IF(WEEKDAY($A768,2)=5,INDEX(TimerFr,MATCH(C768,FaseKode,0)),INDEX(TimerMT,MATCH(C768,FaseKode,0))))</f>
        <v/>
      </c>
      <c r="G768">
        <f>IF(D768="F",0,IF(WEEKDAY($A768,2)=5,INDEX(TimerFr,MATCH(D768,FaseKode,0)),INDEX(TimerMT,MATCH(D768,FaseKode,0))))</f>
        <v/>
      </c>
      <c r="H768">
        <f>IF(OR(H$4="",$A768&gt;TODAY()),0,IF(OR(INDEX($B768:$D768,H$5)="F",AND(H$6&gt;0,$A768&lt;H$6),AND(H$7&gt;0,$A768&gt;H$7)),0,MAX(0,ROUND((INDEX($E768:$G768,H$5)-SUMIFS(TF_Timer,TF_Tekniker,H$4,TF_Dato,$A768))*2,0)/2)))</f>
        <v/>
      </c>
      <c r="I768">
        <f>IF(OR(I$4="",$A768&gt;TODAY()),0,IF(OR(INDEX($B768:$D768,I$5)="F",AND(I$6&gt;0,$A768&lt;I$6),AND(I$7&gt;0,$A768&gt;I$7)),0,MAX(0,ROUND((INDEX($E768:$G768,I$5)-SUMIFS(TF_Timer,TF_Tekniker,I$4,TF_Dato,$A768))*2,0)/2)))</f>
        <v/>
      </c>
      <c r="J768">
        <f>IF(OR(J$4="",$A768&gt;TODAY()),0,IF(OR(INDEX($B768:$D768,J$5)="F",AND(J$6&gt;0,$A768&lt;J$6),AND(J$7&gt;0,$A768&gt;J$7)),0,MAX(0,ROUND((INDEX($E768:$G768,J$5)-SUMIFS(TF_Timer,TF_Tekniker,J$4,TF_Dato,$A768))*2,0)/2)))</f>
        <v/>
      </c>
      <c r="K768">
        <f>IF(OR(K$4="",$A768&gt;TODAY()),0,IF(OR(INDEX($B768:$D768,K$5)="F",AND(K$6&gt;0,$A768&lt;K$6),AND(K$7&gt;0,$A768&gt;K$7)),0,MAX(0,ROUND((INDEX($E768:$G768,K$5)-SUMIFS(TF_Timer,TF_Tekniker,K$4,TF_Dato,$A768))*2,0)/2)))</f>
        <v/>
      </c>
      <c r="L768">
        <f>IF(OR(L$4="",$A768&gt;TODAY()),0,IF(OR(INDEX($B768:$D768,L$5)="F",AND(L$6&gt;0,$A768&lt;L$6),AND(L$7&gt;0,$A768&gt;L$7)),0,MAX(0,ROUND((INDEX($E768:$G768,L$5)-SUMIFS(TF_Timer,TF_Tekniker,L$4,TF_Dato,$A768))*2,0)/2)))</f>
        <v/>
      </c>
      <c r="M768">
        <f>IF(OR(M$4="",$A768&gt;TODAY()),0,IF(OR(INDEX($B768:$D768,M$5)="F",AND(M$6&gt;0,$A768&lt;M$6),AND(M$7&gt;0,$A768&gt;M$7)),0,MAX(0,ROUND((INDEX($E768:$G768,M$5)-SUMIFS(TF_Timer,TF_Tekniker,M$4,TF_Dato,$A768))*2,0)/2)))</f>
        <v/>
      </c>
      <c r="N768">
        <f>IF(OR(N$4="",$A768&gt;TODAY()),0,IF(OR(INDEX($B768:$D768,N$5)="F",AND(N$6&gt;0,$A768&lt;N$6),AND(N$7&gt;0,$A768&gt;N$7)),0,MAX(0,ROUND((INDEX($E768:$G768,N$5)-SUMIFS(TF_Timer,TF_Tekniker,N$4,TF_Dato,$A768))*2,0)/2)))</f>
        <v/>
      </c>
      <c r="O768">
        <f>IF(OR(O$4="",$A768&gt;TODAY()),0,IF(OR(INDEX($B768:$D768,O$5)="F",AND(O$6&gt;0,$A768&lt;O$6),AND(O$7&gt;0,$A768&gt;O$7)),0,MAX(0,ROUND((INDEX($E768:$G768,O$5)-SUMIFS(TF_Timer,TF_Tekniker,O$4,TF_Dato,$A768))*2,0)/2)))</f>
        <v/>
      </c>
      <c r="P768">
        <f>IF(OR(P$4="",$A768&gt;TODAY()),0,IF(OR(INDEX($B768:$D768,P$5)="F",AND(P$6&gt;0,$A768&lt;P$6),AND(P$7&gt;0,$A768&gt;P$7)),0,MAX(0,ROUND((INDEX($E768:$G768,P$5)-SUMIFS(TF_Timer,TF_Tekniker,P$4,TF_Dato,$A768))*2,0)/2)))</f>
        <v/>
      </c>
      <c r="Q768">
        <f>IF(OR(Q$4="",$A768&gt;TODAY()),0,IF(OR(INDEX($B768:$D768,Q$5)="F",AND(Q$6&gt;0,$A768&lt;Q$6),AND(Q$7&gt;0,$A768&gt;Q$7)),0,MAX(0,ROUND((INDEX($E768:$G768,Q$5)-SUMIFS(TF_Timer,TF_Tekniker,Q$4,TF_Dato,$A768))*2,0)/2)))</f>
        <v/>
      </c>
      <c r="R768">
        <f>IF(OR(R$4="",$A768&gt;TODAY()),0,IF(OR(INDEX($B768:$D768,R$5)="F",AND(R$6&gt;0,$A768&lt;R$6),AND(R$7&gt;0,$A768&gt;R$7)),0,MAX(0,ROUND((INDEX($E768:$G768,R$5)-SUMIFS(TF_Timer,TF_Tekniker,R$4,TF_Dato,$A768))*2,0)/2)))</f>
        <v/>
      </c>
      <c r="S768">
        <f>IF(OR(S$4="",$A768&gt;TODAY()),0,IF(OR(INDEX($B768:$D768,S$5)="F",AND(S$6&gt;0,$A768&lt;S$6),AND(S$7&gt;0,$A768&gt;S$7)),0,MAX(0,ROUND((INDEX($E768:$G768,S$5)-SUMIFS(TF_Timer,TF_Tekniker,S$4,TF_Dato,$A768))*2,0)/2)))</f>
        <v/>
      </c>
      <c r="T768">
        <f>IF(OR(T$4="",$A768&gt;TODAY()),0,IF(OR(INDEX($B768:$D768,T$5)="F",AND(T$6&gt;0,$A768&lt;T$6),AND(T$7&gt;0,$A768&gt;T$7)),0,MAX(0,ROUND((INDEX($E768:$G768,T$5)-SUMIFS(TF_Timer,TF_Tekniker,T$4,TF_Dato,$A768))*2,0)/2)))</f>
        <v/>
      </c>
      <c r="U768">
        <f>IF(OR(U$4="",$A768&gt;TODAY()),0,IF(OR(INDEX($B768:$D768,U$5)="F",AND(U$6&gt;0,$A768&lt;U$6),AND(U$7&gt;0,$A768&gt;U$7)),0,MAX(0,ROUND((INDEX($E768:$G768,U$5)-SUMIFS(TF_Timer,TF_Tekniker,U$4,TF_Dato,$A768))*2,0)/2)))</f>
        <v/>
      </c>
      <c r="V768">
        <f>IF(OR(V$4="",$A768&gt;TODAY()),0,IF(OR(INDEX($B768:$D768,V$5)="F",AND(V$6&gt;0,$A768&lt;V$6),AND(V$7&gt;0,$A768&gt;V$7)),0,MAX(0,ROUND((INDEX($E768:$G768,V$5)-SUMIFS(TF_Timer,TF_Tekniker,V$4,TF_Dato,$A768))*2,0)/2)))</f>
        <v/>
      </c>
      <c r="W768">
        <f>IF(OR(W$4="",$A768&gt;TODAY()),0,IF(OR(INDEX($B768:$D768,W$5)="F",AND(W$6&gt;0,$A768&lt;W$6),AND(W$7&gt;0,$A768&gt;W$7)),0,MAX(0,ROUND((INDEX($E768:$G768,W$5)-SUMIFS(TF_Timer,TF_Tekniker,W$4,TF_Dato,$A768))*2,0)/2)))</f>
        <v/>
      </c>
      <c r="X768">
        <f>IF(OR(X$4="",$A768&gt;TODAY()),0,IF(OR(INDEX($B768:$D768,X$5)="F",AND(X$6&gt;0,$A768&lt;X$6),AND(X$7&gt;0,$A768&gt;X$7)),0,MAX(0,ROUND((INDEX($E768:$G768,X$5)-SUMIFS(TF_Timer,TF_Tekniker,X$4,TF_Dato,$A768))*2,0)/2)))</f>
        <v/>
      </c>
      <c r="Y768">
        <f>IF(OR(Y$4="",$A768&gt;TODAY()),0,IF(OR(INDEX($B768:$D768,Y$5)="F",AND(Y$6&gt;0,$A768&lt;Y$6),AND(Y$7&gt;0,$A768&gt;Y$7)),0,MAX(0,ROUND((INDEX($E768:$G768,Y$5)-SUMIFS(TF_Timer,TF_Tekniker,Y$4,TF_Dato,$A768))*2,0)/2)))</f>
        <v/>
      </c>
      <c r="Z768">
        <f>IF(OR(Z$4="",$A768&gt;TODAY()),0,IF(OR(INDEX($B768:$D768,Z$5)="F",AND(Z$6&gt;0,$A768&lt;Z$6),AND(Z$7&gt;0,$A768&gt;Z$7)),0,MAX(0,ROUND((INDEX($E768:$G768,Z$5)-SUMIFS(TF_Timer,TF_Tekniker,Z$4,TF_Dato,$A768))*2,0)/2)))</f>
        <v/>
      </c>
      <c r="AA768">
        <f>IF(OR(AA$4="",$A768&gt;TODAY()),0,IF(OR(INDEX($B768:$D768,AA$5)="F",AND(AA$6&gt;0,$A768&lt;AA$6),AND(AA$7&gt;0,$A768&gt;AA$7)),0,MAX(0,ROUND((INDEX($E768:$G768,AA$5)-SUMIFS(TF_Timer,TF_Tekniker,AA$4,TF_Dato,$A768))*2,0)/2)))</f>
        <v/>
      </c>
      <c r="AB768">
        <f>IF(OR(AB$4="",$A768&gt;TODAY()),0,IF(OR(INDEX($B768:$D768,AB$5)="F",AND(AB$6&gt;0,$A768&lt;AB$6),AND(AB$7&gt;0,$A768&gt;AB$7)),0,MAX(0,ROUND((INDEX($E768:$G768,AB$5)-SUMIFS(TF_Timer,TF_Tekniker,AB$4,TF_Dato,$A768))*2,0)/2)))</f>
        <v/>
      </c>
      <c r="AC768">
        <f>IF(OR(AC$4="",$A768&gt;TODAY()),0,IF(OR(INDEX($B768:$D768,AC$5)="F",AND(AC$6&gt;0,$A768&lt;AC$6),AND(AC$7&gt;0,$A768&gt;AC$7)),0,MAX(0,ROUND((INDEX($E768:$G768,AC$5)-SUMIFS(TF_Timer,TF_Tekniker,AC$4,TF_Dato,$A768))*2,0)/2)))</f>
        <v/>
      </c>
      <c r="AD768">
        <f>IF(OR(AD$4="",$A768&gt;TODAY()),0,IF(OR(INDEX($B768:$D768,AD$5)="F",AND(AD$6&gt;0,$A768&lt;AD$6),AND(AD$7&gt;0,$A768&gt;AD$7)),0,MAX(0,ROUND((INDEX($E768:$G768,AD$5)-SUMIFS(TF_Timer,TF_Tekniker,AD$4,TF_Dato,$A768))*2,0)/2)))</f>
        <v/>
      </c>
      <c r="AE768">
        <f>IF(OR(AE$4="",$A768&gt;TODAY()),0,IF(OR(INDEX($B768:$D768,AE$5)="F",AND(AE$6&gt;0,$A768&lt;AE$6),AND(AE$7&gt;0,$A768&gt;AE$7)),0,MAX(0,ROUND((INDEX($E768:$G768,AE$5)-SUMIFS(TF_Timer,TF_Tekniker,AE$4,TF_Dato,$A768))*2,0)/2)))</f>
        <v/>
      </c>
      <c r="AF768">
        <f>IF(OR(AF$4="",$A768&gt;TODAY()),0,IF(OR(INDEX($B768:$D768,AF$5)="F",AND(AF$6&gt;0,$A768&lt;AF$6),AND(AF$7&gt;0,$A768&gt;AF$7)),0,MAX(0,ROUND((INDEX($E768:$G768,AF$5)-SUMIFS(TF_Timer,TF_Tekniker,AF$4,TF_Dato,$A768))*2,0)/2)))</f>
        <v/>
      </c>
      <c r="AG768">
        <f>IF(OR(AG$4="",$A768&gt;TODAY()),0,IF(OR(INDEX($B768:$D768,AG$5)="F",AND(AG$6&gt;0,$A768&lt;AG$6),AND(AG$7&gt;0,$A768&gt;AG$7)),0,MAX(0,ROUND((INDEX($E768:$G768,AG$5)-SUMIFS(TF_Timer,TF_Tekniker,AG$4,TF_Dato,$A768))*2,0)/2)))</f>
        <v/>
      </c>
      <c r="AH768">
        <f>IF(OR(AH$4="",$A768&gt;TODAY()),0,IF(OR(INDEX($B768:$D768,AH$5)="F",AND(AH$6&gt;0,$A768&lt;AH$6),AND(AH$7&gt;0,$A768&gt;AH$7)),0,MAX(0,ROUND((INDEX($E768:$G768,AH$5)-SUMIFS(TF_Timer,TF_Tekniker,AH$4,TF_Dato,$A768))*2,0)/2)))</f>
        <v/>
      </c>
      <c r="AI768">
        <f>IF(OR(AI$4="",$A768&gt;TODAY()),0,IF(OR(INDEX($B768:$D768,AI$5)="F",AND(AI$6&gt;0,$A768&lt;AI$6),AND(AI$7&gt;0,$A768&gt;AI$7)),0,MAX(0,ROUND((INDEX($E768:$G768,AI$5)-SUMIFS(TF_Timer,TF_Tekniker,AI$4,TF_Dato,$A768))*2,0)/2)))</f>
        <v/>
      </c>
      <c r="AJ768">
        <f>IF(OR(AJ$4="",$A768&gt;TODAY()),0,IF(OR(INDEX($B768:$D768,AJ$5)="F",AND(AJ$6&gt;0,$A768&lt;AJ$6),AND(AJ$7&gt;0,$A768&gt;AJ$7)),0,MAX(0,ROUND((INDEX($E768:$G768,AJ$5)-SUMIFS(TF_Timer,TF_Tekniker,AJ$4,TF_Dato,$A768))*2,0)/2)))</f>
        <v/>
      </c>
      <c r="AK768">
        <f>IF(OR(AK$4="",$A768&gt;TODAY()),0,IF(OR(INDEX($B768:$D768,AK$5)="F",AND(AK$6&gt;0,$A768&lt;AK$6),AND(AK$7&gt;0,$A768&gt;AK$7)),0,MAX(0,ROUND((INDEX($E768:$G768,AK$5)-SUMIFS(TF_Timer,TF_Tekniker,AK$4,TF_Dato,$A768))*2,0)/2)))</f>
        <v/>
      </c>
      <c r="AL768">
        <f>IF(OR(AL$4="",$A768&gt;TODAY()),0,IF(OR(INDEX($B768:$D768,AL$5)="F",AND(AL$6&gt;0,$A768&lt;AL$6),AND(AL$7&gt;0,$A768&gt;AL$7)),0,MAX(0,ROUND((INDEX($E768:$G768,AL$5)-SUMIFS(TF_Timer,TF_Tekniker,AL$4,TF_Dato,$A768))*2,0)/2)))</f>
        <v/>
      </c>
      <c r="AM768">
        <f>IF(OR(AM$4="",$A768&gt;TODAY()),0,IF(OR(INDEX($B768:$D768,AM$5)="F",AND(AM$6&gt;0,$A768&lt;AM$6),AND(AM$7&gt;0,$A768&gt;AM$7)),0,MAX(0,ROUND((INDEX($E768:$G768,AM$5)-SUMIFS(TF_Timer,TF_Tekniker,AM$4,TF_Dato,$A768))*2,0)/2)))</f>
        <v/>
      </c>
      <c r="AN768">
        <f>IF(OR(AN$4="",$A768&gt;TODAY()),0,IF(OR(INDEX($B768:$D768,AN$5)="F",AND(AN$6&gt;0,$A768&lt;AN$6),AND(AN$7&gt;0,$A768&gt;AN$7)),0,MAX(0,ROUND((INDEX($E768:$G768,AN$5)-SUMIFS(TF_Timer,TF_Tekniker,AN$4,TF_Dato,$A768))*2,0)/2)))</f>
        <v/>
      </c>
      <c r="AO768">
        <f>IF(OR(AO$4="",$A768&gt;TODAY()),0,IF(OR(INDEX($B768:$D768,AO$5)="F",AND(AO$6&gt;0,$A768&lt;AO$6),AND(AO$7&gt;0,$A768&gt;AO$7)),0,MAX(0,ROUND((INDEX($E768:$G768,AO$5)-SUMIFS(TF_Timer,TF_Tekniker,AO$4,TF_Dato,$A768))*2,0)/2)))</f>
        <v/>
      </c>
      <c r="AP768">
        <f>IF(OR(AP$4="",$A768&gt;TODAY()),0,IF(OR(INDEX($B768:$D768,AP$5)="F",AND(AP$6&gt;0,$A768&lt;AP$6),AND(AP$7&gt;0,$A768&gt;AP$7)),0,MAX(0,ROUND((INDEX($E768:$G768,AP$5)-SUMIFS(TF_Timer,TF_Tekniker,AP$4,TF_Dato,$A768))*2,0)/2)))</f>
        <v/>
      </c>
      <c r="AQ768">
        <f>IF(OR(AQ$4="",$A768&gt;TODAY()),0,IF(OR(INDEX($B768:$D768,AQ$5)="F",AND(AQ$6&gt;0,$A768&lt;AQ$6),AND(AQ$7&gt;0,$A768&gt;AQ$7)),0,MAX(0,ROUND((INDEX($E768:$G768,AQ$5)-SUMIFS(TF_Timer,TF_Tekniker,AQ$4,TF_Dato,$A768))*2,0)/2)))</f>
        <v/>
      </c>
      <c r="AR768">
        <f>IF(OR(AR$4="",$A768&gt;TODAY()),0,IF(OR(INDEX($B768:$D768,AR$5)="F",AND(AR$6&gt;0,$A768&lt;AR$6),AND(AR$7&gt;0,$A768&gt;AR$7)),0,MAX(0,ROUND((INDEX($E768:$G768,AR$5)-SUMIFS(TF_Timer,TF_Tekniker,AR$4,TF_Dato,$A768))*2,0)/2)))</f>
        <v/>
      </c>
      <c r="AS768">
        <f>IF(OR(AS$4="",$A768&gt;TODAY()),0,IF(OR(INDEX($B768:$D768,AS$5)="F",AND(AS$6&gt;0,$A768&lt;AS$6),AND(AS$7&gt;0,$A768&gt;AS$7)),0,MAX(0,ROUND((INDEX($E768:$G768,AS$5)-SUMIFS(TF_Timer,TF_Tekniker,AS$4,TF_Dato,$A768))*2,0)/2)))</f>
        <v/>
      </c>
      <c r="AT768">
        <f>IF(OR(AT$4="",$A768&gt;TODAY()),0,IF(OR(INDEX($B768:$D768,AT$5)="F",AND(AT$6&gt;0,$A768&lt;AT$6),AND(AT$7&gt;0,$A768&gt;AT$7)),0,MAX(0,ROUND((INDEX($E768:$G768,AT$5)-SUMIFS(TF_Timer,TF_Tekniker,AT$4,TF_Dato,$A768))*2,0)/2)))</f>
        <v/>
      </c>
      <c r="AU768">
        <f>IF(OR(AU$4="",$A768&gt;TODAY()),0,IF(OR(INDEX($B768:$D768,AU$5)="F",AND(AU$6&gt;0,$A768&lt;AU$6),AND(AU$7&gt;0,$A768&gt;AU$7)),0,MAX(0,ROUND((INDEX($E768:$G768,AU$5)-SUMIFS(TF_Timer,TF_Tekniker,AU$4,TF_Dato,$A768))*2,0)/2)))</f>
        <v/>
      </c>
      <c r="AV768">
        <f>IF(OR(AV$4="",$A768&gt;TODAY()),0,IF(OR(INDEX($B768:$D768,AV$5)="F",AND(AV$6&gt;0,$A768&lt;AV$6),AND(AV$7&gt;0,$A768&gt;AV$7)),0,MAX(0,ROUND((INDEX($E768:$G768,AV$5)-SUMIFS(TF_Timer,TF_Tekniker,AV$4,TF_Dato,$A768))*2,0)/2)))</f>
        <v/>
      </c>
      <c r="AW768">
        <f>IF(OR(AW$4="",$A768&gt;TODAY()),0,IF(OR(INDEX($B768:$D768,AW$5)="F",AND(AW$6&gt;0,$A768&lt;AW$6),AND(AW$7&gt;0,$A768&gt;AW$7)),0,MAX(0,ROUND((INDEX($E768:$G768,AW$5)-SUMIFS(TF_Timer,TF_Tekniker,AW$4,TF_Dato,$A768))*2,0)/2)))</f>
        <v/>
      </c>
      <c r="AX768">
        <f>IF(OR(AX$4="",$A768&gt;TODAY()),0,IF(OR(INDEX($B768:$D768,AX$5)="F",AND(AX$6&gt;0,$A768&lt;AX$6),AND(AX$7&gt;0,$A768&gt;AX$7)),0,MAX(0,ROUND((INDEX($E768:$G768,AX$5)-SUMIFS(TF_Timer,TF_Tekniker,AX$4,TF_Dato,$A768))*2,0)/2)))</f>
        <v/>
      </c>
      <c r="AY768">
        <f>IF(OR(AY$4="",$A768&gt;TODAY()),0,IF(OR(INDEX($B768:$D768,AY$5)="F",AND(AY$6&gt;0,$A768&lt;AY$6),AND(AY$7&gt;0,$A768&gt;AY$7)),0,MAX(0,ROUND((INDEX($E768:$G768,AY$5)-SUMIFS(TF_Timer,TF_Tekniker,AY$4,TF_Dato,$A768))*2,0)/2)))</f>
        <v/>
      </c>
      <c r="AZ768">
        <f>IF(OR(AZ$4="",$A768&gt;TODAY()),0,IF(OR(INDEX($B768:$D768,AZ$5)="F",AND(AZ$6&gt;0,$A768&lt;AZ$6),AND(AZ$7&gt;0,$A768&gt;AZ$7)),0,MAX(0,ROUND((INDEX($E768:$G768,AZ$5)-SUMIFS(TF_Timer,TF_Tekniker,AZ$4,TF_Dato,$A768))*2,0)/2)))</f>
        <v/>
      </c>
      <c r="BA768">
        <f>IF(OR(BA$4="",$A768&gt;TODAY()),0,IF(OR(INDEX($B768:$D768,BA$5)="F",AND(BA$6&gt;0,$A768&lt;BA$6),AND(BA$7&gt;0,$A768&gt;BA$7)),0,MAX(0,ROUND((INDEX($E768:$G768,BA$5)-SUMIFS(TF_Timer,TF_Tekniker,BA$4,TF_Dato,$A768))*2,0)/2)))</f>
        <v/>
      </c>
      <c r="BB768">
        <f>IF(OR(BB$4="",$A768&gt;TODAY()),0,IF(OR(INDEX($B768:$D768,BB$5)="F",AND(BB$6&gt;0,$A768&lt;BB$6),AND(BB$7&gt;0,$A768&gt;BB$7)),0,MAX(0,ROUND((INDEX($E768:$G768,BB$5)-SUMIFS(TF_Timer,TF_Tekniker,BB$4,TF_Dato,$A768))*2,0)/2)))</f>
        <v/>
      </c>
      <c r="BC768">
        <f>IF(OR(BC$4="",$A768&gt;TODAY()),0,IF(OR(INDEX($B768:$D768,BC$5)="F",AND(BC$6&gt;0,$A768&lt;BC$6),AND(BC$7&gt;0,$A768&gt;BC$7)),0,MAX(0,ROUND((INDEX($E768:$G768,BC$5)-SUMIFS(TF_Timer,TF_Tekniker,BC$4,TF_Dato,$A768))*2,0)/2)))</f>
        <v/>
      </c>
      <c r="BD768">
        <f>IF(OR(BD$4="",$A768&gt;TODAY()),0,IF(OR(INDEX($B768:$D768,BD$5)="F",AND(BD$6&gt;0,$A768&lt;BD$6),AND(BD$7&gt;0,$A768&gt;BD$7)),0,MAX(0,ROUND((INDEX($E768:$G768,BD$5)-SUMIFS(TF_Timer,TF_Tekniker,BD$4,TF_Dato,$A768))*2,0)/2)))</f>
        <v/>
      </c>
      <c r="BE768">
        <f>IF(OR(BE$4="",$A768&gt;TODAY()),0,IF(OR(INDEX($B768:$D768,BE$5)="F",AND(BE$6&gt;0,$A768&lt;BE$6),AND(BE$7&gt;0,$A768&gt;BE$7)),0,MAX(0,ROUND((INDEX($E768:$G768,BE$5)-SUMIFS(TF_Timer,TF_Tekniker,BE$4,TF_Dato,$A768))*2,0)/2)))</f>
        <v/>
      </c>
      <c r="BF768">
        <f>IF(OR(BF$4="",$A768&gt;TODAY()),0,IF(OR(INDEX($B768:$D768,BF$5)="F",AND(BF$6&gt;0,$A768&lt;BF$6),AND(BF$7&gt;0,$A768&gt;BF$7)),0,MAX(0,ROUND((INDEX($E768:$G768,BF$5)-SUMIFS(TF_Timer,TF_Tekniker,BF$4,TF_Dato,$A768))*2,0)/2)))</f>
        <v/>
      </c>
      <c r="BG768">
        <f>IF(OR(BG$4="",$A768&gt;TODAY()),0,IF(OR(INDEX($B768:$D768,BG$5)="F",AND(BG$6&gt;0,$A768&lt;BG$6),AND(BG$7&gt;0,$A768&gt;BG$7)),0,MAX(0,ROUND((INDEX($E768:$G768,BG$5)-SUMIFS(TF_Timer,TF_Tekniker,BG$4,TF_Dato,$A768))*2,0)/2)))</f>
        <v/>
      </c>
      <c r="BH768">
        <f>IF(OR(BH$4="",$A768&gt;TODAY()),0,IF(OR(INDEX($B768:$D768,BH$5)="F",AND(BH$6&gt;0,$A768&lt;BH$6),AND(BH$7&gt;0,$A768&gt;BH$7)),0,MAX(0,ROUND((INDEX($E768:$G768,BH$5)-SUMIFS(TF_Timer,TF_Tekniker,BH$4,TF_Dato,$A768))*2,0)/2)))</f>
        <v/>
      </c>
      <c r="BI768">
        <f>IF(OR(BI$4="",$A768&gt;TODAY()),0,IF(OR(INDEX($B768:$D768,BI$5)="F",AND(BI$6&gt;0,$A768&lt;BI$6),AND(BI$7&gt;0,$A768&gt;BI$7)),0,MAX(0,ROUND((INDEX($E768:$G768,BI$5)-SUMIFS(TF_Timer,TF_Tekniker,BI$4,TF_Dato,$A768))*2,0)/2)))</f>
        <v/>
      </c>
    </row>
    <row r="769">
      <c r="A769" s="64">
        <f>A768+1</f>
        <v/>
      </c>
      <c r="B769">
        <f>IF(MOD($A769-INDEX(SkiftStart,1),Syklus)&lt;DagK,"K",IF(MOD($A769-INDEX(SkiftStart,1),Syklus)&lt;DagK+DagH,"H",IF(MOD($A769-INDEX(SkiftStart,1),Syklus)&lt;DagK+DagH+DagD,"D","F")))</f>
        <v/>
      </c>
      <c r="C769">
        <f>IF(MOD($A769-INDEX(SkiftStart,2),Syklus)&lt;DagK,"K",IF(MOD($A769-INDEX(SkiftStart,2),Syklus)&lt;DagK+DagH,"H",IF(MOD($A769-INDEX(SkiftStart,2),Syklus)&lt;DagK+DagH+DagD,"D","F")))</f>
        <v/>
      </c>
      <c r="D769">
        <f>IF(MOD($A769-INDEX(SkiftStart,3),Syklus)&lt;DagK,"K",IF(MOD($A769-INDEX(SkiftStart,3),Syklus)&lt;DagK+DagH,"H",IF(MOD($A769-INDEX(SkiftStart,3),Syklus)&lt;DagK+DagH+DagD,"D","F")))</f>
        <v/>
      </c>
      <c r="E769">
        <f>IF(B769="F",0,IF(WEEKDAY($A769,2)=5,INDEX(TimerFr,MATCH(B769,FaseKode,0)),INDEX(TimerMT,MATCH(B769,FaseKode,0))))</f>
        <v/>
      </c>
      <c r="F769">
        <f>IF(C769="F",0,IF(WEEKDAY($A769,2)=5,INDEX(TimerFr,MATCH(C769,FaseKode,0)),INDEX(TimerMT,MATCH(C769,FaseKode,0))))</f>
        <v/>
      </c>
      <c r="G769">
        <f>IF(D769="F",0,IF(WEEKDAY($A769,2)=5,INDEX(TimerFr,MATCH(D769,FaseKode,0)),INDEX(TimerMT,MATCH(D769,FaseKode,0))))</f>
        <v/>
      </c>
      <c r="H769">
        <f>IF(OR(H$4="",$A769&gt;TODAY()),0,IF(OR(INDEX($B769:$D769,H$5)="F",AND(H$6&gt;0,$A769&lt;H$6),AND(H$7&gt;0,$A769&gt;H$7)),0,MAX(0,ROUND((INDEX($E769:$G769,H$5)-SUMIFS(TF_Timer,TF_Tekniker,H$4,TF_Dato,$A769))*2,0)/2)))</f>
        <v/>
      </c>
      <c r="I769">
        <f>IF(OR(I$4="",$A769&gt;TODAY()),0,IF(OR(INDEX($B769:$D769,I$5)="F",AND(I$6&gt;0,$A769&lt;I$6),AND(I$7&gt;0,$A769&gt;I$7)),0,MAX(0,ROUND((INDEX($E769:$G769,I$5)-SUMIFS(TF_Timer,TF_Tekniker,I$4,TF_Dato,$A769))*2,0)/2)))</f>
        <v/>
      </c>
      <c r="J769">
        <f>IF(OR(J$4="",$A769&gt;TODAY()),0,IF(OR(INDEX($B769:$D769,J$5)="F",AND(J$6&gt;0,$A769&lt;J$6),AND(J$7&gt;0,$A769&gt;J$7)),0,MAX(0,ROUND((INDEX($E769:$G769,J$5)-SUMIFS(TF_Timer,TF_Tekniker,J$4,TF_Dato,$A769))*2,0)/2)))</f>
        <v/>
      </c>
      <c r="K769">
        <f>IF(OR(K$4="",$A769&gt;TODAY()),0,IF(OR(INDEX($B769:$D769,K$5)="F",AND(K$6&gt;0,$A769&lt;K$6),AND(K$7&gt;0,$A769&gt;K$7)),0,MAX(0,ROUND((INDEX($E769:$G769,K$5)-SUMIFS(TF_Timer,TF_Tekniker,K$4,TF_Dato,$A769))*2,0)/2)))</f>
        <v/>
      </c>
      <c r="L769">
        <f>IF(OR(L$4="",$A769&gt;TODAY()),0,IF(OR(INDEX($B769:$D769,L$5)="F",AND(L$6&gt;0,$A769&lt;L$6),AND(L$7&gt;0,$A769&gt;L$7)),0,MAX(0,ROUND((INDEX($E769:$G769,L$5)-SUMIFS(TF_Timer,TF_Tekniker,L$4,TF_Dato,$A769))*2,0)/2)))</f>
        <v/>
      </c>
      <c r="M769">
        <f>IF(OR(M$4="",$A769&gt;TODAY()),0,IF(OR(INDEX($B769:$D769,M$5)="F",AND(M$6&gt;0,$A769&lt;M$6),AND(M$7&gt;0,$A769&gt;M$7)),0,MAX(0,ROUND((INDEX($E769:$G769,M$5)-SUMIFS(TF_Timer,TF_Tekniker,M$4,TF_Dato,$A769))*2,0)/2)))</f>
        <v/>
      </c>
      <c r="N769">
        <f>IF(OR(N$4="",$A769&gt;TODAY()),0,IF(OR(INDEX($B769:$D769,N$5)="F",AND(N$6&gt;0,$A769&lt;N$6),AND(N$7&gt;0,$A769&gt;N$7)),0,MAX(0,ROUND((INDEX($E769:$G769,N$5)-SUMIFS(TF_Timer,TF_Tekniker,N$4,TF_Dato,$A769))*2,0)/2)))</f>
        <v/>
      </c>
      <c r="O769">
        <f>IF(OR(O$4="",$A769&gt;TODAY()),0,IF(OR(INDEX($B769:$D769,O$5)="F",AND(O$6&gt;0,$A769&lt;O$6),AND(O$7&gt;0,$A769&gt;O$7)),0,MAX(0,ROUND((INDEX($E769:$G769,O$5)-SUMIFS(TF_Timer,TF_Tekniker,O$4,TF_Dato,$A769))*2,0)/2)))</f>
        <v/>
      </c>
      <c r="P769">
        <f>IF(OR(P$4="",$A769&gt;TODAY()),0,IF(OR(INDEX($B769:$D769,P$5)="F",AND(P$6&gt;0,$A769&lt;P$6),AND(P$7&gt;0,$A769&gt;P$7)),0,MAX(0,ROUND((INDEX($E769:$G769,P$5)-SUMIFS(TF_Timer,TF_Tekniker,P$4,TF_Dato,$A769))*2,0)/2)))</f>
        <v/>
      </c>
      <c r="Q769">
        <f>IF(OR(Q$4="",$A769&gt;TODAY()),0,IF(OR(INDEX($B769:$D769,Q$5)="F",AND(Q$6&gt;0,$A769&lt;Q$6),AND(Q$7&gt;0,$A769&gt;Q$7)),0,MAX(0,ROUND((INDEX($E769:$G769,Q$5)-SUMIFS(TF_Timer,TF_Tekniker,Q$4,TF_Dato,$A769))*2,0)/2)))</f>
        <v/>
      </c>
      <c r="R769">
        <f>IF(OR(R$4="",$A769&gt;TODAY()),0,IF(OR(INDEX($B769:$D769,R$5)="F",AND(R$6&gt;0,$A769&lt;R$6),AND(R$7&gt;0,$A769&gt;R$7)),0,MAX(0,ROUND((INDEX($E769:$G769,R$5)-SUMIFS(TF_Timer,TF_Tekniker,R$4,TF_Dato,$A769))*2,0)/2)))</f>
        <v/>
      </c>
      <c r="S769">
        <f>IF(OR(S$4="",$A769&gt;TODAY()),0,IF(OR(INDEX($B769:$D769,S$5)="F",AND(S$6&gt;0,$A769&lt;S$6),AND(S$7&gt;0,$A769&gt;S$7)),0,MAX(0,ROUND((INDEX($E769:$G769,S$5)-SUMIFS(TF_Timer,TF_Tekniker,S$4,TF_Dato,$A769))*2,0)/2)))</f>
        <v/>
      </c>
      <c r="T769">
        <f>IF(OR(T$4="",$A769&gt;TODAY()),0,IF(OR(INDEX($B769:$D769,T$5)="F",AND(T$6&gt;0,$A769&lt;T$6),AND(T$7&gt;0,$A769&gt;T$7)),0,MAX(0,ROUND((INDEX($E769:$G769,T$5)-SUMIFS(TF_Timer,TF_Tekniker,T$4,TF_Dato,$A769))*2,0)/2)))</f>
        <v/>
      </c>
      <c r="U769">
        <f>IF(OR(U$4="",$A769&gt;TODAY()),0,IF(OR(INDEX($B769:$D769,U$5)="F",AND(U$6&gt;0,$A769&lt;U$6),AND(U$7&gt;0,$A769&gt;U$7)),0,MAX(0,ROUND((INDEX($E769:$G769,U$5)-SUMIFS(TF_Timer,TF_Tekniker,U$4,TF_Dato,$A769))*2,0)/2)))</f>
        <v/>
      </c>
      <c r="V769">
        <f>IF(OR(V$4="",$A769&gt;TODAY()),0,IF(OR(INDEX($B769:$D769,V$5)="F",AND(V$6&gt;0,$A769&lt;V$6),AND(V$7&gt;0,$A769&gt;V$7)),0,MAX(0,ROUND((INDEX($E769:$G769,V$5)-SUMIFS(TF_Timer,TF_Tekniker,V$4,TF_Dato,$A769))*2,0)/2)))</f>
        <v/>
      </c>
      <c r="W769">
        <f>IF(OR(W$4="",$A769&gt;TODAY()),0,IF(OR(INDEX($B769:$D769,W$5)="F",AND(W$6&gt;0,$A769&lt;W$6),AND(W$7&gt;0,$A769&gt;W$7)),0,MAX(0,ROUND((INDEX($E769:$G769,W$5)-SUMIFS(TF_Timer,TF_Tekniker,W$4,TF_Dato,$A769))*2,0)/2)))</f>
        <v/>
      </c>
      <c r="X769">
        <f>IF(OR(X$4="",$A769&gt;TODAY()),0,IF(OR(INDEX($B769:$D769,X$5)="F",AND(X$6&gt;0,$A769&lt;X$6),AND(X$7&gt;0,$A769&gt;X$7)),0,MAX(0,ROUND((INDEX($E769:$G769,X$5)-SUMIFS(TF_Timer,TF_Tekniker,X$4,TF_Dato,$A769))*2,0)/2)))</f>
        <v/>
      </c>
      <c r="Y769">
        <f>IF(OR(Y$4="",$A769&gt;TODAY()),0,IF(OR(INDEX($B769:$D769,Y$5)="F",AND(Y$6&gt;0,$A769&lt;Y$6),AND(Y$7&gt;0,$A769&gt;Y$7)),0,MAX(0,ROUND((INDEX($E769:$G769,Y$5)-SUMIFS(TF_Timer,TF_Tekniker,Y$4,TF_Dato,$A769))*2,0)/2)))</f>
        <v/>
      </c>
      <c r="Z769">
        <f>IF(OR(Z$4="",$A769&gt;TODAY()),0,IF(OR(INDEX($B769:$D769,Z$5)="F",AND(Z$6&gt;0,$A769&lt;Z$6),AND(Z$7&gt;0,$A769&gt;Z$7)),0,MAX(0,ROUND((INDEX($E769:$G769,Z$5)-SUMIFS(TF_Timer,TF_Tekniker,Z$4,TF_Dato,$A769))*2,0)/2)))</f>
        <v/>
      </c>
      <c r="AA769">
        <f>IF(OR(AA$4="",$A769&gt;TODAY()),0,IF(OR(INDEX($B769:$D769,AA$5)="F",AND(AA$6&gt;0,$A769&lt;AA$6),AND(AA$7&gt;0,$A769&gt;AA$7)),0,MAX(0,ROUND((INDEX($E769:$G769,AA$5)-SUMIFS(TF_Timer,TF_Tekniker,AA$4,TF_Dato,$A769))*2,0)/2)))</f>
        <v/>
      </c>
      <c r="AB769">
        <f>IF(OR(AB$4="",$A769&gt;TODAY()),0,IF(OR(INDEX($B769:$D769,AB$5)="F",AND(AB$6&gt;0,$A769&lt;AB$6),AND(AB$7&gt;0,$A769&gt;AB$7)),0,MAX(0,ROUND((INDEX($E769:$G769,AB$5)-SUMIFS(TF_Timer,TF_Tekniker,AB$4,TF_Dato,$A769))*2,0)/2)))</f>
        <v/>
      </c>
      <c r="AC769">
        <f>IF(OR(AC$4="",$A769&gt;TODAY()),0,IF(OR(INDEX($B769:$D769,AC$5)="F",AND(AC$6&gt;0,$A769&lt;AC$6),AND(AC$7&gt;0,$A769&gt;AC$7)),0,MAX(0,ROUND((INDEX($E769:$G769,AC$5)-SUMIFS(TF_Timer,TF_Tekniker,AC$4,TF_Dato,$A769))*2,0)/2)))</f>
        <v/>
      </c>
      <c r="AD769">
        <f>IF(OR(AD$4="",$A769&gt;TODAY()),0,IF(OR(INDEX($B769:$D769,AD$5)="F",AND(AD$6&gt;0,$A769&lt;AD$6),AND(AD$7&gt;0,$A769&gt;AD$7)),0,MAX(0,ROUND((INDEX($E769:$G769,AD$5)-SUMIFS(TF_Timer,TF_Tekniker,AD$4,TF_Dato,$A769))*2,0)/2)))</f>
        <v/>
      </c>
      <c r="AE769">
        <f>IF(OR(AE$4="",$A769&gt;TODAY()),0,IF(OR(INDEX($B769:$D769,AE$5)="F",AND(AE$6&gt;0,$A769&lt;AE$6),AND(AE$7&gt;0,$A769&gt;AE$7)),0,MAX(0,ROUND((INDEX($E769:$G769,AE$5)-SUMIFS(TF_Timer,TF_Tekniker,AE$4,TF_Dato,$A769))*2,0)/2)))</f>
        <v/>
      </c>
      <c r="AF769">
        <f>IF(OR(AF$4="",$A769&gt;TODAY()),0,IF(OR(INDEX($B769:$D769,AF$5)="F",AND(AF$6&gt;0,$A769&lt;AF$6),AND(AF$7&gt;0,$A769&gt;AF$7)),0,MAX(0,ROUND((INDEX($E769:$G769,AF$5)-SUMIFS(TF_Timer,TF_Tekniker,AF$4,TF_Dato,$A769))*2,0)/2)))</f>
        <v/>
      </c>
      <c r="AG769">
        <f>IF(OR(AG$4="",$A769&gt;TODAY()),0,IF(OR(INDEX($B769:$D769,AG$5)="F",AND(AG$6&gt;0,$A769&lt;AG$6),AND(AG$7&gt;0,$A769&gt;AG$7)),0,MAX(0,ROUND((INDEX($E769:$G769,AG$5)-SUMIFS(TF_Timer,TF_Tekniker,AG$4,TF_Dato,$A769))*2,0)/2)))</f>
        <v/>
      </c>
      <c r="AH769">
        <f>IF(OR(AH$4="",$A769&gt;TODAY()),0,IF(OR(INDEX($B769:$D769,AH$5)="F",AND(AH$6&gt;0,$A769&lt;AH$6),AND(AH$7&gt;0,$A769&gt;AH$7)),0,MAX(0,ROUND((INDEX($E769:$G769,AH$5)-SUMIFS(TF_Timer,TF_Tekniker,AH$4,TF_Dato,$A769))*2,0)/2)))</f>
        <v/>
      </c>
      <c r="AI769">
        <f>IF(OR(AI$4="",$A769&gt;TODAY()),0,IF(OR(INDEX($B769:$D769,AI$5)="F",AND(AI$6&gt;0,$A769&lt;AI$6),AND(AI$7&gt;0,$A769&gt;AI$7)),0,MAX(0,ROUND((INDEX($E769:$G769,AI$5)-SUMIFS(TF_Timer,TF_Tekniker,AI$4,TF_Dato,$A769))*2,0)/2)))</f>
        <v/>
      </c>
      <c r="AJ769">
        <f>IF(OR(AJ$4="",$A769&gt;TODAY()),0,IF(OR(INDEX($B769:$D769,AJ$5)="F",AND(AJ$6&gt;0,$A769&lt;AJ$6),AND(AJ$7&gt;0,$A769&gt;AJ$7)),0,MAX(0,ROUND((INDEX($E769:$G769,AJ$5)-SUMIFS(TF_Timer,TF_Tekniker,AJ$4,TF_Dato,$A769))*2,0)/2)))</f>
        <v/>
      </c>
      <c r="AK769">
        <f>IF(OR(AK$4="",$A769&gt;TODAY()),0,IF(OR(INDEX($B769:$D769,AK$5)="F",AND(AK$6&gt;0,$A769&lt;AK$6),AND(AK$7&gt;0,$A769&gt;AK$7)),0,MAX(0,ROUND((INDEX($E769:$G769,AK$5)-SUMIFS(TF_Timer,TF_Tekniker,AK$4,TF_Dato,$A769))*2,0)/2)))</f>
        <v/>
      </c>
      <c r="AL769">
        <f>IF(OR(AL$4="",$A769&gt;TODAY()),0,IF(OR(INDEX($B769:$D769,AL$5)="F",AND(AL$6&gt;0,$A769&lt;AL$6),AND(AL$7&gt;0,$A769&gt;AL$7)),0,MAX(0,ROUND((INDEX($E769:$G769,AL$5)-SUMIFS(TF_Timer,TF_Tekniker,AL$4,TF_Dato,$A769))*2,0)/2)))</f>
        <v/>
      </c>
      <c r="AM769">
        <f>IF(OR(AM$4="",$A769&gt;TODAY()),0,IF(OR(INDEX($B769:$D769,AM$5)="F",AND(AM$6&gt;0,$A769&lt;AM$6),AND(AM$7&gt;0,$A769&gt;AM$7)),0,MAX(0,ROUND((INDEX($E769:$G769,AM$5)-SUMIFS(TF_Timer,TF_Tekniker,AM$4,TF_Dato,$A769))*2,0)/2)))</f>
        <v/>
      </c>
      <c r="AN769">
        <f>IF(OR(AN$4="",$A769&gt;TODAY()),0,IF(OR(INDEX($B769:$D769,AN$5)="F",AND(AN$6&gt;0,$A769&lt;AN$6),AND(AN$7&gt;0,$A769&gt;AN$7)),0,MAX(0,ROUND((INDEX($E769:$G769,AN$5)-SUMIFS(TF_Timer,TF_Tekniker,AN$4,TF_Dato,$A769))*2,0)/2)))</f>
        <v/>
      </c>
      <c r="AO769">
        <f>IF(OR(AO$4="",$A769&gt;TODAY()),0,IF(OR(INDEX($B769:$D769,AO$5)="F",AND(AO$6&gt;0,$A769&lt;AO$6),AND(AO$7&gt;0,$A769&gt;AO$7)),0,MAX(0,ROUND((INDEX($E769:$G769,AO$5)-SUMIFS(TF_Timer,TF_Tekniker,AO$4,TF_Dato,$A769))*2,0)/2)))</f>
        <v/>
      </c>
      <c r="AP769">
        <f>IF(OR(AP$4="",$A769&gt;TODAY()),0,IF(OR(INDEX($B769:$D769,AP$5)="F",AND(AP$6&gt;0,$A769&lt;AP$6),AND(AP$7&gt;0,$A769&gt;AP$7)),0,MAX(0,ROUND((INDEX($E769:$G769,AP$5)-SUMIFS(TF_Timer,TF_Tekniker,AP$4,TF_Dato,$A769))*2,0)/2)))</f>
        <v/>
      </c>
      <c r="AQ769">
        <f>IF(OR(AQ$4="",$A769&gt;TODAY()),0,IF(OR(INDEX($B769:$D769,AQ$5)="F",AND(AQ$6&gt;0,$A769&lt;AQ$6),AND(AQ$7&gt;0,$A769&gt;AQ$7)),0,MAX(0,ROUND((INDEX($E769:$G769,AQ$5)-SUMIFS(TF_Timer,TF_Tekniker,AQ$4,TF_Dato,$A769))*2,0)/2)))</f>
        <v/>
      </c>
      <c r="AR769">
        <f>IF(OR(AR$4="",$A769&gt;TODAY()),0,IF(OR(INDEX($B769:$D769,AR$5)="F",AND(AR$6&gt;0,$A769&lt;AR$6),AND(AR$7&gt;0,$A769&gt;AR$7)),0,MAX(0,ROUND((INDEX($E769:$G769,AR$5)-SUMIFS(TF_Timer,TF_Tekniker,AR$4,TF_Dato,$A769))*2,0)/2)))</f>
        <v/>
      </c>
      <c r="AS769">
        <f>IF(OR(AS$4="",$A769&gt;TODAY()),0,IF(OR(INDEX($B769:$D769,AS$5)="F",AND(AS$6&gt;0,$A769&lt;AS$6),AND(AS$7&gt;0,$A769&gt;AS$7)),0,MAX(0,ROUND((INDEX($E769:$G769,AS$5)-SUMIFS(TF_Timer,TF_Tekniker,AS$4,TF_Dato,$A769))*2,0)/2)))</f>
        <v/>
      </c>
      <c r="AT769">
        <f>IF(OR(AT$4="",$A769&gt;TODAY()),0,IF(OR(INDEX($B769:$D769,AT$5)="F",AND(AT$6&gt;0,$A769&lt;AT$6),AND(AT$7&gt;0,$A769&gt;AT$7)),0,MAX(0,ROUND((INDEX($E769:$G769,AT$5)-SUMIFS(TF_Timer,TF_Tekniker,AT$4,TF_Dato,$A769))*2,0)/2)))</f>
        <v/>
      </c>
      <c r="AU769">
        <f>IF(OR(AU$4="",$A769&gt;TODAY()),0,IF(OR(INDEX($B769:$D769,AU$5)="F",AND(AU$6&gt;0,$A769&lt;AU$6),AND(AU$7&gt;0,$A769&gt;AU$7)),0,MAX(0,ROUND((INDEX($E769:$G769,AU$5)-SUMIFS(TF_Timer,TF_Tekniker,AU$4,TF_Dato,$A769))*2,0)/2)))</f>
        <v/>
      </c>
      <c r="AV769">
        <f>IF(OR(AV$4="",$A769&gt;TODAY()),0,IF(OR(INDEX($B769:$D769,AV$5)="F",AND(AV$6&gt;0,$A769&lt;AV$6),AND(AV$7&gt;0,$A769&gt;AV$7)),0,MAX(0,ROUND((INDEX($E769:$G769,AV$5)-SUMIFS(TF_Timer,TF_Tekniker,AV$4,TF_Dato,$A769))*2,0)/2)))</f>
        <v/>
      </c>
      <c r="AW769">
        <f>IF(OR(AW$4="",$A769&gt;TODAY()),0,IF(OR(INDEX($B769:$D769,AW$5)="F",AND(AW$6&gt;0,$A769&lt;AW$6),AND(AW$7&gt;0,$A769&gt;AW$7)),0,MAX(0,ROUND((INDEX($E769:$G769,AW$5)-SUMIFS(TF_Timer,TF_Tekniker,AW$4,TF_Dato,$A769))*2,0)/2)))</f>
        <v/>
      </c>
      <c r="AX769">
        <f>IF(OR(AX$4="",$A769&gt;TODAY()),0,IF(OR(INDEX($B769:$D769,AX$5)="F",AND(AX$6&gt;0,$A769&lt;AX$6),AND(AX$7&gt;0,$A769&gt;AX$7)),0,MAX(0,ROUND((INDEX($E769:$G769,AX$5)-SUMIFS(TF_Timer,TF_Tekniker,AX$4,TF_Dato,$A769))*2,0)/2)))</f>
        <v/>
      </c>
      <c r="AY769">
        <f>IF(OR(AY$4="",$A769&gt;TODAY()),0,IF(OR(INDEX($B769:$D769,AY$5)="F",AND(AY$6&gt;0,$A769&lt;AY$6),AND(AY$7&gt;0,$A769&gt;AY$7)),0,MAX(0,ROUND((INDEX($E769:$G769,AY$5)-SUMIFS(TF_Timer,TF_Tekniker,AY$4,TF_Dato,$A769))*2,0)/2)))</f>
        <v/>
      </c>
      <c r="AZ769">
        <f>IF(OR(AZ$4="",$A769&gt;TODAY()),0,IF(OR(INDEX($B769:$D769,AZ$5)="F",AND(AZ$6&gt;0,$A769&lt;AZ$6),AND(AZ$7&gt;0,$A769&gt;AZ$7)),0,MAX(0,ROUND((INDEX($E769:$G769,AZ$5)-SUMIFS(TF_Timer,TF_Tekniker,AZ$4,TF_Dato,$A769))*2,0)/2)))</f>
        <v/>
      </c>
      <c r="BA769">
        <f>IF(OR(BA$4="",$A769&gt;TODAY()),0,IF(OR(INDEX($B769:$D769,BA$5)="F",AND(BA$6&gt;0,$A769&lt;BA$6),AND(BA$7&gt;0,$A769&gt;BA$7)),0,MAX(0,ROUND((INDEX($E769:$G769,BA$5)-SUMIFS(TF_Timer,TF_Tekniker,BA$4,TF_Dato,$A769))*2,0)/2)))</f>
        <v/>
      </c>
      <c r="BB769">
        <f>IF(OR(BB$4="",$A769&gt;TODAY()),0,IF(OR(INDEX($B769:$D769,BB$5)="F",AND(BB$6&gt;0,$A769&lt;BB$6),AND(BB$7&gt;0,$A769&gt;BB$7)),0,MAX(0,ROUND((INDEX($E769:$G769,BB$5)-SUMIFS(TF_Timer,TF_Tekniker,BB$4,TF_Dato,$A769))*2,0)/2)))</f>
        <v/>
      </c>
      <c r="BC769">
        <f>IF(OR(BC$4="",$A769&gt;TODAY()),0,IF(OR(INDEX($B769:$D769,BC$5)="F",AND(BC$6&gt;0,$A769&lt;BC$6),AND(BC$7&gt;0,$A769&gt;BC$7)),0,MAX(0,ROUND((INDEX($E769:$G769,BC$5)-SUMIFS(TF_Timer,TF_Tekniker,BC$4,TF_Dato,$A769))*2,0)/2)))</f>
        <v/>
      </c>
      <c r="BD769">
        <f>IF(OR(BD$4="",$A769&gt;TODAY()),0,IF(OR(INDEX($B769:$D769,BD$5)="F",AND(BD$6&gt;0,$A769&lt;BD$6),AND(BD$7&gt;0,$A769&gt;BD$7)),0,MAX(0,ROUND((INDEX($E769:$G769,BD$5)-SUMIFS(TF_Timer,TF_Tekniker,BD$4,TF_Dato,$A769))*2,0)/2)))</f>
        <v/>
      </c>
      <c r="BE769">
        <f>IF(OR(BE$4="",$A769&gt;TODAY()),0,IF(OR(INDEX($B769:$D769,BE$5)="F",AND(BE$6&gt;0,$A769&lt;BE$6),AND(BE$7&gt;0,$A769&gt;BE$7)),0,MAX(0,ROUND((INDEX($E769:$G769,BE$5)-SUMIFS(TF_Timer,TF_Tekniker,BE$4,TF_Dato,$A769))*2,0)/2)))</f>
        <v/>
      </c>
      <c r="BF769">
        <f>IF(OR(BF$4="",$A769&gt;TODAY()),0,IF(OR(INDEX($B769:$D769,BF$5)="F",AND(BF$6&gt;0,$A769&lt;BF$6),AND(BF$7&gt;0,$A769&gt;BF$7)),0,MAX(0,ROUND((INDEX($E769:$G769,BF$5)-SUMIFS(TF_Timer,TF_Tekniker,BF$4,TF_Dato,$A769))*2,0)/2)))</f>
        <v/>
      </c>
      <c r="BG769">
        <f>IF(OR(BG$4="",$A769&gt;TODAY()),0,IF(OR(INDEX($B769:$D769,BG$5)="F",AND(BG$6&gt;0,$A769&lt;BG$6),AND(BG$7&gt;0,$A769&gt;BG$7)),0,MAX(0,ROUND((INDEX($E769:$G769,BG$5)-SUMIFS(TF_Timer,TF_Tekniker,BG$4,TF_Dato,$A769))*2,0)/2)))</f>
        <v/>
      </c>
      <c r="BH769">
        <f>IF(OR(BH$4="",$A769&gt;TODAY()),0,IF(OR(INDEX($B769:$D769,BH$5)="F",AND(BH$6&gt;0,$A769&lt;BH$6),AND(BH$7&gt;0,$A769&gt;BH$7)),0,MAX(0,ROUND((INDEX($E769:$G769,BH$5)-SUMIFS(TF_Timer,TF_Tekniker,BH$4,TF_Dato,$A769))*2,0)/2)))</f>
        <v/>
      </c>
      <c r="BI769">
        <f>IF(OR(BI$4="",$A769&gt;TODAY()),0,IF(OR(INDEX($B769:$D769,BI$5)="F",AND(BI$6&gt;0,$A769&lt;BI$6),AND(BI$7&gt;0,$A769&gt;BI$7)),0,MAX(0,ROUND((INDEX($E769:$G769,BI$5)-SUMIFS(TF_Timer,TF_Tekniker,BI$4,TF_Dato,$A769))*2,0)/2)))</f>
        <v/>
      </c>
    </row>
    <row r="770">
      <c r="A770" s="64">
        <f>A769+1</f>
        <v/>
      </c>
      <c r="B770">
        <f>IF(MOD($A770-INDEX(SkiftStart,1),Syklus)&lt;DagK,"K",IF(MOD($A770-INDEX(SkiftStart,1),Syklus)&lt;DagK+DagH,"H",IF(MOD($A770-INDEX(SkiftStart,1),Syklus)&lt;DagK+DagH+DagD,"D","F")))</f>
        <v/>
      </c>
      <c r="C770">
        <f>IF(MOD($A770-INDEX(SkiftStart,2),Syklus)&lt;DagK,"K",IF(MOD($A770-INDEX(SkiftStart,2),Syklus)&lt;DagK+DagH,"H",IF(MOD($A770-INDEX(SkiftStart,2),Syklus)&lt;DagK+DagH+DagD,"D","F")))</f>
        <v/>
      </c>
      <c r="D770">
        <f>IF(MOD($A770-INDEX(SkiftStart,3),Syklus)&lt;DagK,"K",IF(MOD($A770-INDEX(SkiftStart,3),Syklus)&lt;DagK+DagH,"H",IF(MOD($A770-INDEX(SkiftStart,3),Syklus)&lt;DagK+DagH+DagD,"D","F")))</f>
        <v/>
      </c>
      <c r="E770">
        <f>IF(B770="F",0,IF(WEEKDAY($A770,2)=5,INDEX(TimerFr,MATCH(B770,FaseKode,0)),INDEX(TimerMT,MATCH(B770,FaseKode,0))))</f>
        <v/>
      </c>
      <c r="F770">
        <f>IF(C770="F",0,IF(WEEKDAY($A770,2)=5,INDEX(TimerFr,MATCH(C770,FaseKode,0)),INDEX(TimerMT,MATCH(C770,FaseKode,0))))</f>
        <v/>
      </c>
      <c r="G770">
        <f>IF(D770="F",0,IF(WEEKDAY($A770,2)=5,INDEX(TimerFr,MATCH(D770,FaseKode,0)),INDEX(TimerMT,MATCH(D770,FaseKode,0))))</f>
        <v/>
      </c>
      <c r="H770">
        <f>IF(OR(H$4="",$A770&gt;TODAY()),0,IF(OR(INDEX($B770:$D770,H$5)="F",AND(H$6&gt;0,$A770&lt;H$6),AND(H$7&gt;0,$A770&gt;H$7)),0,MAX(0,ROUND((INDEX($E770:$G770,H$5)-SUMIFS(TF_Timer,TF_Tekniker,H$4,TF_Dato,$A770))*2,0)/2)))</f>
        <v/>
      </c>
      <c r="I770">
        <f>IF(OR(I$4="",$A770&gt;TODAY()),0,IF(OR(INDEX($B770:$D770,I$5)="F",AND(I$6&gt;0,$A770&lt;I$6),AND(I$7&gt;0,$A770&gt;I$7)),0,MAX(0,ROUND((INDEX($E770:$G770,I$5)-SUMIFS(TF_Timer,TF_Tekniker,I$4,TF_Dato,$A770))*2,0)/2)))</f>
        <v/>
      </c>
      <c r="J770">
        <f>IF(OR(J$4="",$A770&gt;TODAY()),0,IF(OR(INDEX($B770:$D770,J$5)="F",AND(J$6&gt;0,$A770&lt;J$6),AND(J$7&gt;0,$A770&gt;J$7)),0,MAX(0,ROUND((INDEX($E770:$G770,J$5)-SUMIFS(TF_Timer,TF_Tekniker,J$4,TF_Dato,$A770))*2,0)/2)))</f>
        <v/>
      </c>
      <c r="K770">
        <f>IF(OR(K$4="",$A770&gt;TODAY()),0,IF(OR(INDEX($B770:$D770,K$5)="F",AND(K$6&gt;0,$A770&lt;K$6),AND(K$7&gt;0,$A770&gt;K$7)),0,MAX(0,ROUND((INDEX($E770:$G770,K$5)-SUMIFS(TF_Timer,TF_Tekniker,K$4,TF_Dato,$A770))*2,0)/2)))</f>
        <v/>
      </c>
      <c r="L770">
        <f>IF(OR(L$4="",$A770&gt;TODAY()),0,IF(OR(INDEX($B770:$D770,L$5)="F",AND(L$6&gt;0,$A770&lt;L$6),AND(L$7&gt;0,$A770&gt;L$7)),0,MAX(0,ROUND((INDEX($E770:$G770,L$5)-SUMIFS(TF_Timer,TF_Tekniker,L$4,TF_Dato,$A770))*2,0)/2)))</f>
        <v/>
      </c>
      <c r="M770">
        <f>IF(OR(M$4="",$A770&gt;TODAY()),0,IF(OR(INDEX($B770:$D770,M$5)="F",AND(M$6&gt;0,$A770&lt;M$6),AND(M$7&gt;0,$A770&gt;M$7)),0,MAX(0,ROUND((INDEX($E770:$G770,M$5)-SUMIFS(TF_Timer,TF_Tekniker,M$4,TF_Dato,$A770))*2,0)/2)))</f>
        <v/>
      </c>
      <c r="N770">
        <f>IF(OR(N$4="",$A770&gt;TODAY()),0,IF(OR(INDEX($B770:$D770,N$5)="F",AND(N$6&gt;0,$A770&lt;N$6),AND(N$7&gt;0,$A770&gt;N$7)),0,MAX(0,ROUND((INDEX($E770:$G770,N$5)-SUMIFS(TF_Timer,TF_Tekniker,N$4,TF_Dato,$A770))*2,0)/2)))</f>
        <v/>
      </c>
      <c r="O770">
        <f>IF(OR(O$4="",$A770&gt;TODAY()),0,IF(OR(INDEX($B770:$D770,O$5)="F",AND(O$6&gt;0,$A770&lt;O$6),AND(O$7&gt;0,$A770&gt;O$7)),0,MAX(0,ROUND((INDEX($E770:$G770,O$5)-SUMIFS(TF_Timer,TF_Tekniker,O$4,TF_Dato,$A770))*2,0)/2)))</f>
        <v/>
      </c>
      <c r="P770">
        <f>IF(OR(P$4="",$A770&gt;TODAY()),0,IF(OR(INDEX($B770:$D770,P$5)="F",AND(P$6&gt;0,$A770&lt;P$6),AND(P$7&gt;0,$A770&gt;P$7)),0,MAX(0,ROUND((INDEX($E770:$G770,P$5)-SUMIFS(TF_Timer,TF_Tekniker,P$4,TF_Dato,$A770))*2,0)/2)))</f>
        <v/>
      </c>
      <c r="Q770">
        <f>IF(OR(Q$4="",$A770&gt;TODAY()),0,IF(OR(INDEX($B770:$D770,Q$5)="F",AND(Q$6&gt;0,$A770&lt;Q$6),AND(Q$7&gt;0,$A770&gt;Q$7)),0,MAX(0,ROUND((INDEX($E770:$G770,Q$5)-SUMIFS(TF_Timer,TF_Tekniker,Q$4,TF_Dato,$A770))*2,0)/2)))</f>
        <v/>
      </c>
      <c r="R770">
        <f>IF(OR(R$4="",$A770&gt;TODAY()),0,IF(OR(INDEX($B770:$D770,R$5)="F",AND(R$6&gt;0,$A770&lt;R$6),AND(R$7&gt;0,$A770&gt;R$7)),0,MAX(0,ROUND((INDEX($E770:$G770,R$5)-SUMIFS(TF_Timer,TF_Tekniker,R$4,TF_Dato,$A770))*2,0)/2)))</f>
        <v/>
      </c>
      <c r="S770">
        <f>IF(OR(S$4="",$A770&gt;TODAY()),0,IF(OR(INDEX($B770:$D770,S$5)="F",AND(S$6&gt;0,$A770&lt;S$6),AND(S$7&gt;0,$A770&gt;S$7)),0,MAX(0,ROUND((INDEX($E770:$G770,S$5)-SUMIFS(TF_Timer,TF_Tekniker,S$4,TF_Dato,$A770))*2,0)/2)))</f>
        <v/>
      </c>
      <c r="T770">
        <f>IF(OR(T$4="",$A770&gt;TODAY()),0,IF(OR(INDEX($B770:$D770,T$5)="F",AND(T$6&gt;0,$A770&lt;T$6),AND(T$7&gt;0,$A770&gt;T$7)),0,MAX(0,ROUND((INDEX($E770:$G770,T$5)-SUMIFS(TF_Timer,TF_Tekniker,T$4,TF_Dato,$A770))*2,0)/2)))</f>
        <v/>
      </c>
      <c r="U770">
        <f>IF(OR(U$4="",$A770&gt;TODAY()),0,IF(OR(INDEX($B770:$D770,U$5)="F",AND(U$6&gt;0,$A770&lt;U$6),AND(U$7&gt;0,$A770&gt;U$7)),0,MAX(0,ROUND((INDEX($E770:$G770,U$5)-SUMIFS(TF_Timer,TF_Tekniker,U$4,TF_Dato,$A770))*2,0)/2)))</f>
        <v/>
      </c>
      <c r="V770">
        <f>IF(OR(V$4="",$A770&gt;TODAY()),0,IF(OR(INDEX($B770:$D770,V$5)="F",AND(V$6&gt;0,$A770&lt;V$6),AND(V$7&gt;0,$A770&gt;V$7)),0,MAX(0,ROUND((INDEX($E770:$G770,V$5)-SUMIFS(TF_Timer,TF_Tekniker,V$4,TF_Dato,$A770))*2,0)/2)))</f>
        <v/>
      </c>
      <c r="W770">
        <f>IF(OR(W$4="",$A770&gt;TODAY()),0,IF(OR(INDEX($B770:$D770,W$5)="F",AND(W$6&gt;0,$A770&lt;W$6),AND(W$7&gt;0,$A770&gt;W$7)),0,MAX(0,ROUND((INDEX($E770:$G770,W$5)-SUMIFS(TF_Timer,TF_Tekniker,W$4,TF_Dato,$A770))*2,0)/2)))</f>
        <v/>
      </c>
      <c r="X770">
        <f>IF(OR(X$4="",$A770&gt;TODAY()),0,IF(OR(INDEX($B770:$D770,X$5)="F",AND(X$6&gt;0,$A770&lt;X$6),AND(X$7&gt;0,$A770&gt;X$7)),0,MAX(0,ROUND((INDEX($E770:$G770,X$5)-SUMIFS(TF_Timer,TF_Tekniker,X$4,TF_Dato,$A770))*2,0)/2)))</f>
        <v/>
      </c>
      <c r="Y770">
        <f>IF(OR(Y$4="",$A770&gt;TODAY()),0,IF(OR(INDEX($B770:$D770,Y$5)="F",AND(Y$6&gt;0,$A770&lt;Y$6),AND(Y$7&gt;0,$A770&gt;Y$7)),0,MAX(0,ROUND((INDEX($E770:$G770,Y$5)-SUMIFS(TF_Timer,TF_Tekniker,Y$4,TF_Dato,$A770))*2,0)/2)))</f>
        <v/>
      </c>
      <c r="Z770">
        <f>IF(OR(Z$4="",$A770&gt;TODAY()),0,IF(OR(INDEX($B770:$D770,Z$5)="F",AND(Z$6&gt;0,$A770&lt;Z$6),AND(Z$7&gt;0,$A770&gt;Z$7)),0,MAX(0,ROUND((INDEX($E770:$G770,Z$5)-SUMIFS(TF_Timer,TF_Tekniker,Z$4,TF_Dato,$A770))*2,0)/2)))</f>
        <v/>
      </c>
      <c r="AA770">
        <f>IF(OR(AA$4="",$A770&gt;TODAY()),0,IF(OR(INDEX($B770:$D770,AA$5)="F",AND(AA$6&gt;0,$A770&lt;AA$6),AND(AA$7&gt;0,$A770&gt;AA$7)),0,MAX(0,ROUND((INDEX($E770:$G770,AA$5)-SUMIFS(TF_Timer,TF_Tekniker,AA$4,TF_Dato,$A770))*2,0)/2)))</f>
        <v/>
      </c>
      <c r="AB770">
        <f>IF(OR(AB$4="",$A770&gt;TODAY()),0,IF(OR(INDEX($B770:$D770,AB$5)="F",AND(AB$6&gt;0,$A770&lt;AB$6),AND(AB$7&gt;0,$A770&gt;AB$7)),0,MAX(0,ROUND((INDEX($E770:$G770,AB$5)-SUMIFS(TF_Timer,TF_Tekniker,AB$4,TF_Dato,$A770))*2,0)/2)))</f>
        <v/>
      </c>
      <c r="AC770">
        <f>IF(OR(AC$4="",$A770&gt;TODAY()),0,IF(OR(INDEX($B770:$D770,AC$5)="F",AND(AC$6&gt;0,$A770&lt;AC$6),AND(AC$7&gt;0,$A770&gt;AC$7)),0,MAX(0,ROUND((INDEX($E770:$G770,AC$5)-SUMIFS(TF_Timer,TF_Tekniker,AC$4,TF_Dato,$A770))*2,0)/2)))</f>
        <v/>
      </c>
      <c r="AD770">
        <f>IF(OR(AD$4="",$A770&gt;TODAY()),0,IF(OR(INDEX($B770:$D770,AD$5)="F",AND(AD$6&gt;0,$A770&lt;AD$6),AND(AD$7&gt;0,$A770&gt;AD$7)),0,MAX(0,ROUND((INDEX($E770:$G770,AD$5)-SUMIFS(TF_Timer,TF_Tekniker,AD$4,TF_Dato,$A770))*2,0)/2)))</f>
        <v/>
      </c>
      <c r="AE770">
        <f>IF(OR(AE$4="",$A770&gt;TODAY()),0,IF(OR(INDEX($B770:$D770,AE$5)="F",AND(AE$6&gt;0,$A770&lt;AE$6),AND(AE$7&gt;0,$A770&gt;AE$7)),0,MAX(0,ROUND((INDEX($E770:$G770,AE$5)-SUMIFS(TF_Timer,TF_Tekniker,AE$4,TF_Dato,$A770))*2,0)/2)))</f>
        <v/>
      </c>
      <c r="AF770">
        <f>IF(OR(AF$4="",$A770&gt;TODAY()),0,IF(OR(INDEX($B770:$D770,AF$5)="F",AND(AF$6&gt;0,$A770&lt;AF$6),AND(AF$7&gt;0,$A770&gt;AF$7)),0,MAX(0,ROUND((INDEX($E770:$G770,AF$5)-SUMIFS(TF_Timer,TF_Tekniker,AF$4,TF_Dato,$A770))*2,0)/2)))</f>
        <v/>
      </c>
      <c r="AG770">
        <f>IF(OR(AG$4="",$A770&gt;TODAY()),0,IF(OR(INDEX($B770:$D770,AG$5)="F",AND(AG$6&gt;0,$A770&lt;AG$6),AND(AG$7&gt;0,$A770&gt;AG$7)),0,MAX(0,ROUND((INDEX($E770:$G770,AG$5)-SUMIFS(TF_Timer,TF_Tekniker,AG$4,TF_Dato,$A770))*2,0)/2)))</f>
        <v/>
      </c>
      <c r="AH770">
        <f>IF(OR(AH$4="",$A770&gt;TODAY()),0,IF(OR(INDEX($B770:$D770,AH$5)="F",AND(AH$6&gt;0,$A770&lt;AH$6),AND(AH$7&gt;0,$A770&gt;AH$7)),0,MAX(0,ROUND((INDEX($E770:$G770,AH$5)-SUMIFS(TF_Timer,TF_Tekniker,AH$4,TF_Dato,$A770))*2,0)/2)))</f>
        <v/>
      </c>
      <c r="AI770">
        <f>IF(OR(AI$4="",$A770&gt;TODAY()),0,IF(OR(INDEX($B770:$D770,AI$5)="F",AND(AI$6&gt;0,$A770&lt;AI$6),AND(AI$7&gt;0,$A770&gt;AI$7)),0,MAX(0,ROUND((INDEX($E770:$G770,AI$5)-SUMIFS(TF_Timer,TF_Tekniker,AI$4,TF_Dato,$A770))*2,0)/2)))</f>
        <v/>
      </c>
      <c r="AJ770">
        <f>IF(OR(AJ$4="",$A770&gt;TODAY()),0,IF(OR(INDEX($B770:$D770,AJ$5)="F",AND(AJ$6&gt;0,$A770&lt;AJ$6),AND(AJ$7&gt;0,$A770&gt;AJ$7)),0,MAX(0,ROUND((INDEX($E770:$G770,AJ$5)-SUMIFS(TF_Timer,TF_Tekniker,AJ$4,TF_Dato,$A770))*2,0)/2)))</f>
        <v/>
      </c>
      <c r="AK770">
        <f>IF(OR(AK$4="",$A770&gt;TODAY()),0,IF(OR(INDEX($B770:$D770,AK$5)="F",AND(AK$6&gt;0,$A770&lt;AK$6),AND(AK$7&gt;0,$A770&gt;AK$7)),0,MAX(0,ROUND((INDEX($E770:$G770,AK$5)-SUMIFS(TF_Timer,TF_Tekniker,AK$4,TF_Dato,$A770))*2,0)/2)))</f>
        <v/>
      </c>
      <c r="AL770">
        <f>IF(OR(AL$4="",$A770&gt;TODAY()),0,IF(OR(INDEX($B770:$D770,AL$5)="F",AND(AL$6&gt;0,$A770&lt;AL$6),AND(AL$7&gt;0,$A770&gt;AL$7)),0,MAX(0,ROUND((INDEX($E770:$G770,AL$5)-SUMIFS(TF_Timer,TF_Tekniker,AL$4,TF_Dato,$A770))*2,0)/2)))</f>
        <v/>
      </c>
      <c r="AM770">
        <f>IF(OR(AM$4="",$A770&gt;TODAY()),0,IF(OR(INDEX($B770:$D770,AM$5)="F",AND(AM$6&gt;0,$A770&lt;AM$6),AND(AM$7&gt;0,$A770&gt;AM$7)),0,MAX(0,ROUND((INDEX($E770:$G770,AM$5)-SUMIFS(TF_Timer,TF_Tekniker,AM$4,TF_Dato,$A770))*2,0)/2)))</f>
        <v/>
      </c>
      <c r="AN770">
        <f>IF(OR(AN$4="",$A770&gt;TODAY()),0,IF(OR(INDEX($B770:$D770,AN$5)="F",AND(AN$6&gt;0,$A770&lt;AN$6),AND(AN$7&gt;0,$A770&gt;AN$7)),0,MAX(0,ROUND((INDEX($E770:$G770,AN$5)-SUMIFS(TF_Timer,TF_Tekniker,AN$4,TF_Dato,$A770))*2,0)/2)))</f>
        <v/>
      </c>
      <c r="AO770">
        <f>IF(OR(AO$4="",$A770&gt;TODAY()),0,IF(OR(INDEX($B770:$D770,AO$5)="F",AND(AO$6&gt;0,$A770&lt;AO$6),AND(AO$7&gt;0,$A770&gt;AO$7)),0,MAX(0,ROUND((INDEX($E770:$G770,AO$5)-SUMIFS(TF_Timer,TF_Tekniker,AO$4,TF_Dato,$A770))*2,0)/2)))</f>
        <v/>
      </c>
      <c r="AP770">
        <f>IF(OR(AP$4="",$A770&gt;TODAY()),0,IF(OR(INDEX($B770:$D770,AP$5)="F",AND(AP$6&gt;0,$A770&lt;AP$6),AND(AP$7&gt;0,$A770&gt;AP$7)),0,MAX(0,ROUND((INDEX($E770:$G770,AP$5)-SUMIFS(TF_Timer,TF_Tekniker,AP$4,TF_Dato,$A770))*2,0)/2)))</f>
        <v/>
      </c>
      <c r="AQ770">
        <f>IF(OR(AQ$4="",$A770&gt;TODAY()),0,IF(OR(INDEX($B770:$D770,AQ$5)="F",AND(AQ$6&gt;0,$A770&lt;AQ$6),AND(AQ$7&gt;0,$A770&gt;AQ$7)),0,MAX(0,ROUND((INDEX($E770:$G770,AQ$5)-SUMIFS(TF_Timer,TF_Tekniker,AQ$4,TF_Dato,$A770))*2,0)/2)))</f>
        <v/>
      </c>
      <c r="AR770">
        <f>IF(OR(AR$4="",$A770&gt;TODAY()),0,IF(OR(INDEX($B770:$D770,AR$5)="F",AND(AR$6&gt;0,$A770&lt;AR$6),AND(AR$7&gt;0,$A770&gt;AR$7)),0,MAX(0,ROUND((INDEX($E770:$G770,AR$5)-SUMIFS(TF_Timer,TF_Tekniker,AR$4,TF_Dato,$A770))*2,0)/2)))</f>
        <v/>
      </c>
      <c r="AS770">
        <f>IF(OR(AS$4="",$A770&gt;TODAY()),0,IF(OR(INDEX($B770:$D770,AS$5)="F",AND(AS$6&gt;0,$A770&lt;AS$6),AND(AS$7&gt;0,$A770&gt;AS$7)),0,MAX(0,ROUND((INDEX($E770:$G770,AS$5)-SUMIFS(TF_Timer,TF_Tekniker,AS$4,TF_Dato,$A770))*2,0)/2)))</f>
        <v/>
      </c>
      <c r="AT770">
        <f>IF(OR(AT$4="",$A770&gt;TODAY()),0,IF(OR(INDEX($B770:$D770,AT$5)="F",AND(AT$6&gt;0,$A770&lt;AT$6),AND(AT$7&gt;0,$A770&gt;AT$7)),0,MAX(0,ROUND((INDEX($E770:$G770,AT$5)-SUMIFS(TF_Timer,TF_Tekniker,AT$4,TF_Dato,$A770))*2,0)/2)))</f>
        <v/>
      </c>
      <c r="AU770">
        <f>IF(OR(AU$4="",$A770&gt;TODAY()),0,IF(OR(INDEX($B770:$D770,AU$5)="F",AND(AU$6&gt;0,$A770&lt;AU$6),AND(AU$7&gt;0,$A770&gt;AU$7)),0,MAX(0,ROUND((INDEX($E770:$G770,AU$5)-SUMIFS(TF_Timer,TF_Tekniker,AU$4,TF_Dato,$A770))*2,0)/2)))</f>
        <v/>
      </c>
      <c r="AV770">
        <f>IF(OR(AV$4="",$A770&gt;TODAY()),0,IF(OR(INDEX($B770:$D770,AV$5)="F",AND(AV$6&gt;0,$A770&lt;AV$6),AND(AV$7&gt;0,$A770&gt;AV$7)),0,MAX(0,ROUND((INDEX($E770:$G770,AV$5)-SUMIFS(TF_Timer,TF_Tekniker,AV$4,TF_Dato,$A770))*2,0)/2)))</f>
        <v/>
      </c>
      <c r="AW770">
        <f>IF(OR(AW$4="",$A770&gt;TODAY()),0,IF(OR(INDEX($B770:$D770,AW$5)="F",AND(AW$6&gt;0,$A770&lt;AW$6),AND(AW$7&gt;0,$A770&gt;AW$7)),0,MAX(0,ROUND((INDEX($E770:$G770,AW$5)-SUMIFS(TF_Timer,TF_Tekniker,AW$4,TF_Dato,$A770))*2,0)/2)))</f>
        <v/>
      </c>
      <c r="AX770">
        <f>IF(OR(AX$4="",$A770&gt;TODAY()),0,IF(OR(INDEX($B770:$D770,AX$5)="F",AND(AX$6&gt;0,$A770&lt;AX$6),AND(AX$7&gt;0,$A770&gt;AX$7)),0,MAX(0,ROUND((INDEX($E770:$G770,AX$5)-SUMIFS(TF_Timer,TF_Tekniker,AX$4,TF_Dato,$A770))*2,0)/2)))</f>
        <v/>
      </c>
      <c r="AY770">
        <f>IF(OR(AY$4="",$A770&gt;TODAY()),0,IF(OR(INDEX($B770:$D770,AY$5)="F",AND(AY$6&gt;0,$A770&lt;AY$6),AND(AY$7&gt;0,$A770&gt;AY$7)),0,MAX(0,ROUND((INDEX($E770:$G770,AY$5)-SUMIFS(TF_Timer,TF_Tekniker,AY$4,TF_Dato,$A770))*2,0)/2)))</f>
        <v/>
      </c>
      <c r="AZ770">
        <f>IF(OR(AZ$4="",$A770&gt;TODAY()),0,IF(OR(INDEX($B770:$D770,AZ$5)="F",AND(AZ$6&gt;0,$A770&lt;AZ$6),AND(AZ$7&gt;0,$A770&gt;AZ$7)),0,MAX(0,ROUND((INDEX($E770:$G770,AZ$5)-SUMIFS(TF_Timer,TF_Tekniker,AZ$4,TF_Dato,$A770))*2,0)/2)))</f>
        <v/>
      </c>
      <c r="BA770">
        <f>IF(OR(BA$4="",$A770&gt;TODAY()),0,IF(OR(INDEX($B770:$D770,BA$5)="F",AND(BA$6&gt;0,$A770&lt;BA$6),AND(BA$7&gt;0,$A770&gt;BA$7)),0,MAX(0,ROUND((INDEX($E770:$G770,BA$5)-SUMIFS(TF_Timer,TF_Tekniker,BA$4,TF_Dato,$A770))*2,0)/2)))</f>
        <v/>
      </c>
      <c r="BB770">
        <f>IF(OR(BB$4="",$A770&gt;TODAY()),0,IF(OR(INDEX($B770:$D770,BB$5)="F",AND(BB$6&gt;0,$A770&lt;BB$6),AND(BB$7&gt;0,$A770&gt;BB$7)),0,MAX(0,ROUND((INDEX($E770:$G770,BB$5)-SUMIFS(TF_Timer,TF_Tekniker,BB$4,TF_Dato,$A770))*2,0)/2)))</f>
        <v/>
      </c>
      <c r="BC770">
        <f>IF(OR(BC$4="",$A770&gt;TODAY()),0,IF(OR(INDEX($B770:$D770,BC$5)="F",AND(BC$6&gt;0,$A770&lt;BC$6),AND(BC$7&gt;0,$A770&gt;BC$7)),0,MAX(0,ROUND((INDEX($E770:$G770,BC$5)-SUMIFS(TF_Timer,TF_Tekniker,BC$4,TF_Dato,$A770))*2,0)/2)))</f>
        <v/>
      </c>
      <c r="BD770">
        <f>IF(OR(BD$4="",$A770&gt;TODAY()),0,IF(OR(INDEX($B770:$D770,BD$5)="F",AND(BD$6&gt;0,$A770&lt;BD$6),AND(BD$7&gt;0,$A770&gt;BD$7)),0,MAX(0,ROUND((INDEX($E770:$G770,BD$5)-SUMIFS(TF_Timer,TF_Tekniker,BD$4,TF_Dato,$A770))*2,0)/2)))</f>
        <v/>
      </c>
      <c r="BE770">
        <f>IF(OR(BE$4="",$A770&gt;TODAY()),0,IF(OR(INDEX($B770:$D770,BE$5)="F",AND(BE$6&gt;0,$A770&lt;BE$6),AND(BE$7&gt;0,$A770&gt;BE$7)),0,MAX(0,ROUND((INDEX($E770:$G770,BE$5)-SUMIFS(TF_Timer,TF_Tekniker,BE$4,TF_Dato,$A770))*2,0)/2)))</f>
        <v/>
      </c>
      <c r="BF770">
        <f>IF(OR(BF$4="",$A770&gt;TODAY()),0,IF(OR(INDEX($B770:$D770,BF$5)="F",AND(BF$6&gt;0,$A770&lt;BF$6),AND(BF$7&gt;0,$A770&gt;BF$7)),0,MAX(0,ROUND((INDEX($E770:$G770,BF$5)-SUMIFS(TF_Timer,TF_Tekniker,BF$4,TF_Dato,$A770))*2,0)/2)))</f>
        <v/>
      </c>
      <c r="BG770">
        <f>IF(OR(BG$4="",$A770&gt;TODAY()),0,IF(OR(INDEX($B770:$D770,BG$5)="F",AND(BG$6&gt;0,$A770&lt;BG$6),AND(BG$7&gt;0,$A770&gt;BG$7)),0,MAX(0,ROUND((INDEX($E770:$G770,BG$5)-SUMIFS(TF_Timer,TF_Tekniker,BG$4,TF_Dato,$A770))*2,0)/2)))</f>
        <v/>
      </c>
      <c r="BH770">
        <f>IF(OR(BH$4="",$A770&gt;TODAY()),0,IF(OR(INDEX($B770:$D770,BH$5)="F",AND(BH$6&gt;0,$A770&lt;BH$6),AND(BH$7&gt;0,$A770&gt;BH$7)),0,MAX(0,ROUND((INDEX($E770:$G770,BH$5)-SUMIFS(TF_Timer,TF_Tekniker,BH$4,TF_Dato,$A770))*2,0)/2)))</f>
        <v/>
      </c>
      <c r="BI770">
        <f>IF(OR(BI$4="",$A770&gt;TODAY()),0,IF(OR(INDEX($B770:$D770,BI$5)="F",AND(BI$6&gt;0,$A770&lt;BI$6),AND(BI$7&gt;0,$A770&gt;BI$7)),0,MAX(0,ROUND((INDEX($E770:$G770,BI$5)-SUMIFS(TF_Timer,TF_Tekniker,BI$4,TF_Dato,$A770))*2,0)/2)))</f>
        <v/>
      </c>
    </row>
    <row r="771">
      <c r="A771" s="64">
        <f>A770+1</f>
        <v/>
      </c>
      <c r="B771">
        <f>IF(MOD($A771-INDEX(SkiftStart,1),Syklus)&lt;DagK,"K",IF(MOD($A771-INDEX(SkiftStart,1),Syklus)&lt;DagK+DagH,"H",IF(MOD($A771-INDEX(SkiftStart,1),Syklus)&lt;DagK+DagH+DagD,"D","F")))</f>
        <v/>
      </c>
      <c r="C771">
        <f>IF(MOD($A771-INDEX(SkiftStart,2),Syklus)&lt;DagK,"K",IF(MOD($A771-INDEX(SkiftStart,2),Syklus)&lt;DagK+DagH,"H",IF(MOD($A771-INDEX(SkiftStart,2),Syklus)&lt;DagK+DagH+DagD,"D","F")))</f>
        <v/>
      </c>
      <c r="D771">
        <f>IF(MOD($A771-INDEX(SkiftStart,3),Syklus)&lt;DagK,"K",IF(MOD($A771-INDEX(SkiftStart,3),Syklus)&lt;DagK+DagH,"H",IF(MOD($A771-INDEX(SkiftStart,3),Syklus)&lt;DagK+DagH+DagD,"D","F")))</f>
        <v/>
      </c>
      <c r="E771">
        <f>IF(B771="F",0,IF(WEEKDAY($A771,2)=5,INDEX(TimerFr,MATCH(B771,FaseKode,0)),INDEX(TimerMT,MATCH(B771,FaseKode,0))))</f>
        <v/>
      </c>
      <c r="F771">
        <f>IF(C771="F",0,IF(WEEKDAY($A771,2)=5,INDEX(TimerFr,MATCH(C771,FaseKode,0)),INDEX(TimerMT,MATCH(C771,FaseKode,0))))</f>
        <v/>
      </c>
      <c r="G771">
        <f>IF(D771="F",0,IF(WEEKDAY($A771,2)=5,INDEX(TimerFr,MATCH(D771,FaseKode,0)),INDEX(TimerMT,MATCH(D771,FaseKode,0))))</f>
        <v/>
      </c>
      <c r="H771">
        <f>IF(OR(H$4="",$A771&gt;TODAY()),0,IF(OR(INDEX($B771:$D771,H$5)="F",AND(H$6&gt;0,$A771&lt;H$6),AND(H$7&gt;0,$A771&gt;H$7)),0,MAX(0,ROUND((INDEX($E771:$G771,H$5)-SUMIFS(TF_Timer,TF_Tekniker,H$4,TF_Dato,$A771))*2,0)/2)))</f>
        <v/>
      </c>
      <c r="I771">
        <f>IF(OR(I$4="",$A771&gt;TODAY()),0,IF(OR(INDEX($B771:$D771,I$5)="F",AND(I$6&gt;0,$A771&lt;I$6),AND(I$7&gt;0,$A771&gt;I$7)),0,MAX(0,ROUND((INDEX($E771:$G771,I$5)-SUMIFS(TF_Timer,TF_Tekniker,I$4,TF_Dato,$A771))*2,0)/2)))</f>
        <v/>
      </c>
      <c r="J771">
        <f>IF(OR(J$4="",$A771&gt;TODAY()),0,IF(OR(INDEX($B771:$D771,J$5)="F",AND(J$6&gt;0,$A771&lt;J$6),AND(J$7&gt;0,$A771&gt;J$7)),0,MAX(0,ROUND((INDEX($E771:$G771,J$5)-SUMIFS(TF_Timer,TF_Tekniker,J$4,TF_Dato,$A771))*2,0)/2)))</f>
        <v/>
      </c>
      <c r="K771">
        <f>IF(OR(K$4="",$A771&gt;TODAY()),0,IF(OR(INDEX($B771:$D771,K$5)="F",AND(K$6&gt;0,$A771&lt;K$6),AND(K$7&gt;0,$A771&gt;K$7)),0,MAX(0,ROUND((INDEX($E771:$G771,K$5)-SUMIFS(TF_Timer,TF_Tekniker,K$4,TF_Dato,$A771))*2,0)/2)))</f>
        <v/>
      </c>
      <c r="L771">
        <f>IF(OR(L$4="",$A771&gt;TODAY()),0,IF(OR(INDEX($B771:$D771,L$5)="F",AND(L$6&gt;0,$A771&lt;L$6),AND(L$7&gt;0,$A771&gt;L$7)),0,MAX(0,ROUND((INDEX($E771:$G771,L$5)-SUMIFS(TF_Timer,TF_Tekniker,L$4,TF_Dato,$A771))*2,0)/2)))</f>
        <v/>
      </c>
      <c r="M771">
        <f>IF(OR(M$4="",$A771&gt;TODAY()),0,IF(OR(INDEX($B771:$D771,M$5)="F",AND(M$6&gt;0,$A771&lt;M$6),AND(M$7&gt;0,$A771&gt;M$7)),0,MAX(0,ROUND((INDEX($E771:$G771,M$5)-SUMIFS(TF_Timer,TF_Tekniker,M$4,TF_Dato,$A771))*2,0)/2)))</f>
        <v/>
      </c>
      <c r="N771">
        <f>IF(OR(N$4="",$A771&gt;TODAY()),0,IF(OR(INDEX($B771:$D771,N$5)="F",AND(N$6&gt;0,$A771&lt;N$6),AND(N$7&gt;0,$A771&gt;N$7)),0,MAX(0,ROUND((INDEX($E771:$G771,N$5)-SUMIFS(TF_Timer,TF_Tekniker,N$4,TF_Dato,$A771))*2,0)/2)))</f>
        <v/>
      </c>
      <c r="O771">
        <f>IF(OR(O$4="",$A771&gt;TODAY()),0,IF(OR(INDEX($B771:$D771,O$5)="F",AND(O$6&gt;0,$A771&lt;O$6),AND(O$7&gt;0,$A771&gt;O$7)),0,MAX(0,ROUND((INDEX($E771:$G771,O$5)-SUMIFS(TF_Timer,TF_Tekniker,O$4,TF_Dato,$A771))*2,0)/2)))</f>
        <v/>
      </c>
      <c r="P771">
        <f>IF(OR(P$4="",$A771&gt;TODAY()),0,IF(OR(INDEX($B771:$D771,P$5)="F",AND(P$6&gt;0,$A771&lt;P$6),AND(P$7&gt;0,$A771&gt;P$7)),0,MAX(0,ROUND((INDEX($E771:$G771,P$5)-SUMIFS(TF_Timer,TF_Tekniker,P$4,TF_Dato,$A771))*2,0)/2)))</f>
        <v/>
      </c>
      <c r="Q771">
        <f>IF(OR(Q$4="",$A771&gt;TODAY()),0,IF(OR(INDEX($B771:$D771,Q$5)="F",AND(Q$6&gt;0,$A771&lt;Q$6),AND(Q$7&gt;0,$A771&gt;Q$7)),0,MAX(0,ROUND((INDEX($E771:$G771,Q$5)-SUMIFS(TF_Timer,TF_Tekniker,Q$4,TF_Dato,$A771))*2,0)/2)))</f>
        <v/>
      </c>
      <c r="R771">
        <f>IF(OR(R$4="",$A771&gt;TODAY()),0,IF(OR(INDEX($B771:$D771,R$5)="F",AND(R$6&gt;0,$A771&lt;R$6),AND(R$7&gt;0,$A771&gt;R$7)),0,MAX(0,ROUND((INDEX($E771:$G771,R$5)-SUMIFS(TF_Timer,TF_Tekniker,R$4,TF_Dato,$A771))*2,0)/2)))</f>
        <v/>
      </c>
      <c r="S771">
        <f>IF(OR(S$4="",$A771&gt;TODAY()),0,IF(OR(INDEX($B771:$D771,S$5)="F",AND(S$6&gt;0,$A771&lt;S$6),AND(S$7&gt;0,$A771&gt;S$7)),0,MAX(0,ROUND((INDEX($E771:$G771,S$5)-SUMIFS(TF_Timer,TF_Tekniker,S$4,TF_Dato,$A771))*2,0)/2)))</f>
        <v/>
      </c>
      <c r="T771">
        <f>IF(OR(T$4="",$A771&gt;TODAY()),0,IF(OR(INDEX($B771:$D771,T$5)="F",AND(T$6&gt;0,$A771&lt;T$6),AND(T$7&gt;0,$A771&gt;T$7)),0,MAX(0,ROUND((INDEX($E771:$G771,T$5)-SUMIFS(TF_Timer,TF_Tekniker,T$4,TF_Dato,$A771))*2,0)/2)))</f>
        <v/>
      </c>
      <c r="U771">
        <f>IF(OR(U$4="",$A771&gt;TODAY()),0,IF(OR(INDEX($B771:$D771,U$5)="F",AND(U$6&gt;0,$A771&lt;U$6),AND(U$7&gt;0,$A771&gt;U$7)),0,MAX(0,ROUND((INDEX($E771:$G771,U$5)-SUMIFS(TF_Timer,TF_Tekniker,U$4,TF_Dato,$A771))*2,0)/2)))</f>
        <v/>
      </c>
      <c r="V771">
        <f>IF(OR(V$4="",$A771&gt;TODAY()),0,IF(OR(INDEX($B771:$D771,V$5)="F",AND(V$6&gt;0,$A771&lt;V$6),AND(V$7&gt;0,$A771&gt;V$7)),0,MAX(0,ROUND((INDEX($E771:$G771,V$5)-SUMIFS(TF_Timer,TF_Tekniker,V$4,TF_Dato,$A771))*2,0)/2)))</f>
        <v/>
      </c>
      <c r="W771">
        <f>IF(OR(W$4="",$A771&gt;TODAY()),0,IF(OR(INDEX($B771:$D771,W$5)="F",AND(W$6&gt;0,$A771&lt;W$6),AND(W$7&gt;0,$A771&gt;W$7)),0,MAX(0,ROUND((INDEX($E771:$G771,W$5)-SUMIFS(TF_Timer,TF_Tekniker,W$4,TF_Dato,$A771))*2,0)/2)))</f>
        <v/>
      </c>
      <c r="X771">
        <f>IF(OR(X$4="",$A771&gt;TODAY()),0,IF(OR(INDEX($B771:$D771,X$5)="F",AND(X$6&gt;0,$A771&lt;X$6),AND(X$7&gt;0,$A771&gt;X$7)),0,MAX(0,ROUND((INDEX($E771:$G771,X$5)-SUMIFS(TF_Timer,TF_Tekniker,X$4,TF_Dato,$A771))*2,0)/2)))</f>
        <v/>
      </c>
      <c r="Y771">
        <f>IF(OR(Y$4="",$A771&gt;TODAY()),0,IF(OR(INDEX($B771:$D771,Y$5)="F",AND(Y$6&gt;0,$A771&lt;Y$6),AND(Y$7&gt;0,$A771&gt;Y$7)),0,MAX(0,ROUND((INDEX($E771:$G771,Y$5)-SUMIFS(TF_Timer,TF_Tekniker,Y$4,TF_Dato,$A771))*2,0)/2)))</f>
        <v/>
      </c>
      <c r="Z771">
        <f>IF(OR(Z$4="",$A771&gt;TODAY()),0,IF(OR(INDEX($B771:$D771,Z$5)="F",AND(Z$6&gt;0,$A771&lt;Z$6),AND(Z$7&gt;0,$A771&gt;Z$7)),0,MAX(0,ROUND((INDEX($E771:$G771,Z$5)-SUMIFS(TF_Timer,TF_Tekniker,Z$4,TF_Dato,$A771))*2,0)/2)))</f>
        <v/>
      </c>
      <c r="AA771">
        <f>IF(OR(AA$4="",$A771&gt;TODAY()),0,IF(OR(INDEX($B771:$D771,AA$5)="F",AND(AA$6&gt;0,$A771&lt;AA$6),AND(AA$7&gt;0,$A771&gt;AA$7)),0,MAX(0,ROUND((INDEX($E771:$G771,AA$5)-SUMIFS(TF_Timer,TF_Tekniker,AA$4,TF_Dato,$A771))*2,0)/2)))</f>
        <v/>
      </c>
      <c r="AB771">
        <f>IF(OR(AB$4="",$A771&gt;TODAY()),0,IF(OR(INDEX($B771:$D771,AB$5)="F",AND(AB$6&gt;0,$A771&lt;AB$6),AND(AB$7&gt;0,$A771&gt;AB$7)),0,MAX(0,ROUND((INDEX($E771:$G771,AB$5)-SUMIFS(TF_Timer,TF_Tekniker,AB$4,TF_Dato,$A771))*2,0)/2)))</f>
        <v/>
      </c>
      <c r="AC771">
        <f>IF(OR(AC$4="",$A771&gt;TODAY()),0,IF(OR(INDEX($B771:$D771,AC$5)="F",AND(AC$6&gt;0,$A771&lt;AC$6),AND(AC$7&gt;0,$A771&gt;AC$7)),0,MAX(0,ROUND((INDEX($E771:$G771,AC$5)-SUMIFS(TF_Timer,TF_Tekniker,AC$4,TF_Dato,$A771))*2,0)/2)))</f>
        <v/>
      </c>
      <c r="AD771">
        <f>IF(OR(AD$4="",$A771&gt;TODAY()),0,IF(OR(INDEX($B771:$D771,AD$5)="F",AND(AD$6&gt;0,$A771&lt;AD$6),AND(AD$7&gt;0,$A771&gt;AD$7)),0,MAX(0,ROUND((INDEX($E771:$G771,AD$5)-SUMIFS(TF_Timer,TF_Tekniker,AD$4,TF_Dato,$A771))*2,0)/2)))</f>
        <v/>
      </c>
      <c r="AE771">
        <f>IF(OR(AE$4="",$A771&gt;TODAY()),0,IF(OR(INDEX($B771:$D771,AE$5)="F",AND(AE$6&gt;0,$A771&lt;AE$6),AND(AE$7&gt;0,$A771&gt;AE$7)),0,MAX(0,ROUND((INDEX($E771:$G771,AE$5)-SUMIFS(TF_Timer,TF_Tekniker,AE$4,TF_Dato,$A771))*2,0)/2)))</f>
        <v/>
      </c>
      <c r="AF771">
        <f>IF(OR(AF$4="",$A771&gt;TODAY()),0,IF(OR(INDEX($B771:$D771,AF$5)="F",AND(AF$6&gt;0,$A771&lt;AF$6),AND(AF$7&gt;0,$A771&gt;AF$7)),0,MAX(0,ROUND((INDEX($E771:$G771,AF$5)-SUMIFS(TF_Timer,TF_Tekniker,AF$4,TF_Dato,$A771))*2,0)/2)))</f>
        <v/>
      </c>
      <c r="AG771">
        <f>IF(OR(AG$4="",$A771&gt;TODAY()),0,IF(OR(INDEX($B771:$D771,AG$5)="F",AND(AG$6&gt;0,$A771&lt;AG$6),AND(AG$7&gt;0,$A771&gt;AG$7)),0,MAX(0,ROUND((INDEX($E771:$G771,AG$5)-SUMIFS(TF_Timer,TF_Tekniker,AG$4,TF_Dato,$A771))*2,0)/2)))</f>
        <v/>
      </c>
      <c r="AH771">
        <f>IF(OR(AH$4="",$A771&gt;TODAY()),0,IF(OR(INDEX($B771:$D771,AH$5)="F",AND(AH$6&gt;0,$A771&lt;AH$6),AND(AH$7&gt;0,$A771&gt;AH$7)),0,MAX(0,ROUND((INDEX($E771:$G771,AH$5)-SUMIFS(TF_Timer,TF_Tekniker,AH$4,TF_Dato,$A771))*2,0)/2)))</f>
        <v/>
      </c>
      <c r="AI771">
        <f>IF(OR(AI$4="",$A771&gt;TODAY()),0,IF(OR(INDEX($B771:$D771,AI$5)="F",AND(AI$6&gt;0,$A771&lt;AI$6),AND(AI$7&gt;0,$A771&gt;AI$7)),0,MAX(0,ROUND((INDEX($E771:$G771,AI$5)-SUMIFS(TF_Timer,TF_Tekniker,AI$4,TF_Dato,$A771))*2,0)/2)))</f>
        <v/>
      </c>
      <c r="AJ771">
        <f>IF(OR(AJ$4="",$A771&gt;TODAY()),0,IF(OR(INDEX($B771:$D771,AJ$5)="F",AND(AJ$6&gt;0,$A771&lt;AJ$6),AND(AJ$7&gt;0,$A771&gt;AJ$7)),0,MAX(0,ROUND((INDEX($E771:$G771,AJ$5)-SUMIFS(TF_Timer,TF_Tekniker,AJ$4,TF_Dato,$A771))*2,0)/2)))</f>
        <v/>
      </c>
      <c r="AK771">
        <f>IF(OR(AK$4="",$A771&gt;TODAY()),0,IF(OR(INDEX($B771:$D771,AK$5)="F",AND(AK$6&gt;0,$A771&lt;AK$6),AND(AK$7&gt;0,$A771&gt;AK$7)),0,MAX(0,ROUND((INDEX($E771:$G771,AK$5)-SUMIFS(TF_Timer,TF_Tekniker,AK$4,TF_Dato,$A771))*2,0)/2)))</f>
        <v/>
      </c>
      <c r="AL771">
        <f>IF(OR(AL$4="",$A771&gt;TODAY()),0,IF(OR(INDEX($B771:$D771,AL$5)="F",AND(AL$6&gt;0,$A771&lt;AL$6),AND(AL$7&gt;0,$A771&gt;AL$7)),0,MAX(0,ROUND((INDEX($E771:$G771,AL$5)-SUMIFS(TF_Timer,TF_Tekniker,AL$4,TF_Dato,$A771))*2,0)/2)))</f>
        <v/>
      </c>
      <c r="AM771">
        <f>IF(OR(AM$4="",$A771&gt;TODAY()),0,IF(OR(INDEX($B771:$D771,AM$5)="F",AND(AM$6&gt;0,$A771&lt;AM$6),AND(AM$7&gt;0,$A771&gt;AM$7)),0,MAX(0,ROUND((INDEX($E771:$G771,AM$5)-SUMIFS(TF_Timer,TF_Tekniker,AM$4,TF_Dato,$A771))*2,0)/2)))</f>
        <v/>
      </c>
      <c r="AN771">
        <f>IF(OR(AN$4="",$A771&gt;TODAY()),0,IF(OR(INDEX($B771:$D771,AN$5)="F",AND(AN$6&gt;0,$A771&lt;AN$6),AND(AN$7&gt;0,$A771&gt;AN$7)),0,MAX(0,ROUND((INDEX($E771:$G771,AN$5)-SUMIFS(TF_Timer,TF_Tekniker,AN$4,TF_Dato,$A771))*2,0)/2)))</f>
        <v/>
      </c>
      <c r="AO771">
        <f>IF(OR(AO$4="",$A771&gt;TODAY()),0,IF(OR(INDEX($B771:$D771,AO$5)="F",AND(AO$6&gt;0,$A771&lt;AO$6),AND(AO$7&gt;0,$A771&gt;AO$7)),0,MAX(0,ROUND((INDEX($E771:$G771,AO$5)-SUMIFS(TF_Timer,TF_Tekniker,AO$4,TF_Dato,$A771))*2,0)/2)))</f>
        <v/>
      </c>
      <c r="AP771">
        <f>IF(OR(AP$4="",$A771&gt;TODAY()),0,IF(OR(INDEX($B771:$D771,AP$5)="F",AND(AP$6&gt;0,$A771&lt;AP$6),AND(AP$7&gt;0,$A771&gt;AP$7)),0,MAX(0,ROUND((INDEX($E771:$G771,AP$5)-SUMIFS(TF_Timer,TF_Tekniker,AP$4,TF_Dato,$A771))*2,0)/2)))</f>
        <v/>
      </c>
      <c r="AQ771">
        <f>IF(OR(AQ$4="",$A771&gt;TODAY()),0,IF(OR(INDEX($B771:$D771,AQ$5)="F",AND(AQ$6&gt;0,$A771&lt;AQ$6),AND(AQ$7&gt;0,$A771&gt;AQ$7)),0,MAX(0,ROUND((INDEX($E771:$G771,AQ$5)-SUMIFS(TF_Timer,TF_Tekniker,AQ$4,TF_Dato,$A771))*2,0)/2)))</f>
        <v/>
      </c>
      <c r="AR771">
        <f>IF(OR(AR$4="",$A771&gt;TODAY()),0,IF(OR(INDEX($B771:$D771,AR$5)="F",AND(AR$6&gt;0,$A771&lt;AR$6),AND(AR$7&gt;0,$A771&gt;AR$7)),0,MAX(0,ROUND((INDEX($E771:$G771,AR$5)-SUMIFS(TF_Timer,TF_Tekniker,AR$4,TF_Dato,$A771))*2,0)/2)))</f>
        <v/>
      </c>
      <c r="AS771">
        <f>IF(OR(AS$4="",$A771&gt;TODAY()),0,IF(OR(INDEX($B771:$D771,AS$5)="F",AND(AS$6&gt;0,$A771&lt;AS$6),AND(AS$7&gt;0,$A771&gt;AS$7)),0,MAX(0,ROUND((INDEX($E771:$G771,AS$5)-SUMIFS(TF_Timer,TF_Tekniker,AS$4,TF_Dato,$A771))*2,0)/2)))</f>
        <v/>
      </c>
      <c r="AT771">
        <f>IF(OR(AT$4="",$A771&gt;TODAY()),0,IF(OR(INDEX($B771:$D771,AT$5)="F",AND(AT$6&gt;0,$A771&lt;AT$6),AND(AT$7&gt;0,$A771&gt;AT$7)),0,MAX(0,ROUND((INDEX($E771:$G771,AT$5)-SUMIFS(TF_Timer,TF_Tekniker,AT$4,TF_Dato,$A771))*2,0)/2)))</f>
        <v/>
      </c>
      <c r="AU771">
        <f>IF(OR(AU$4="",$A771&gt;TODAY()),0,IF(OR(INDEX($B771:$D771,AU$5)="F",AND(AU$6&gt;0,$A771&lt;AU$6),AND(AU$7&gt;0,$A771&gt;AU$7)),0,MAX(0,ROUND((INDEX($E771:$G771,AU$5)-SUMIFS(TF_Timer,TF_Tekniker,AU$4,TF_Dato,$A771))*2,0)/2)))</f>
        <v/>
      </c>
      <c r="AV771">
        <f>IF(OR(AV$4="",$A771&gt;TODAY()),0,IF(OR(INDEX($B771:$D771,AV$5)="F",AND(AV$6&gt;0,$A771&lt;AV$6),AND(AV$7&gt;0,$A771&gt;AV$7)),0,MAX(0,ROUND((INDEX($E771:$G771,AV$5)-SUMIFS(TF_Timer,TF_Tekniker,AV$4,TF_Dato,$A771))*2,0)/2)))</f>
        <v/>
      </c>
      <c r="AW771">
        <f>IF(OR(AW$4="",$A771&gt;TODAY()),0,IF(OR(INDEX($B771:$D771,AW$5)="F",AND(AW$6&gt;0,$A771&lt;AW$6),AND(AW$7&gt;0,$A771&gt;AW$7)),0,MAX(0,ROUND((INDEX($E771:$G771,AW$5)-SUMIFS(TF_Timer,TF_Tekniker,AW$4,TF_Dato,$A771))*2,0)/2)))</f>
        <v/>
      </c>
      <c r="AX771">
        <f>IF(OR(AX$4="",$A771&gt;TODAY()),0,IF(OR(INDEX($B771:$D771,AX$5)="F",AND(AX$6&gt;0,$A771&lt;AX$6),AND(AX$7&gt;0,$A771&gt;AX$7)),0,MAX(0,ROUND((INDEX($E771:$G771,AX$5)-SUMIFS(TF_Timer,TF_Tekniker,AX$4,TF_Dato,$A771))*2,0)/2)))</f>
        <v/>
      </c>
      <c r="AY771">
        <f>IF(OR(AY$4="",$A771&gt;TODAY()),0,IF(OR(INDEX($B771:$D771,AY$5)="F",AND(AY$6&gt;0,$A771&lt;AY$6),AND(AY$7&gt;0,$A771&gt;AY$7)),0,MAX(0,ROUND((INDEX($E771:$G771,AY$5)-SUMIFS(TF_Timer,TF_Tekniker,AY$4,TF_Dato,$A771))*2,0)/2)))</f>
        <v/>
      </c>
      <c r="AZ771">
        <f>IF(OR(AZ$4="",$A771&gt;TODAY()),0,IF(OR(INDEX($B771:$D771,AZ$5)="F",AND(AZ$6&gt;0,$A771&lt;AZ$6),AND(AZ$7&gt;0,$A771&gt;AZ$7)),0,MAX(0,ROUND((INDEX($E771:$G771,AZ$5)-SUMIFS(TF_Timer,TF_Tekniker,AZ$4,TF_Dato,$A771))*2,0)/2)))</f>
        <v/>
      </c>
      <c r="BA771">
        <f>IF(OR(BA$4="",$A771&gt;TODAY()),0,IF(OR(INDEX($B771:$D771,BA$5)="F",AND(BA$6&gt;0,$A771&lt;BA$6),AND(BA$7&gt;0,$A771&gt;BA$7)),0,MAX(0,ROUND((INDEX($E771:$G771,BA$5)-SUMIFS(TF_Timer,TF_Tekniker,BA$4,TF_Dato,$A771))*2,0)/2)))</f>
        <v/>
      </c>
      <c r="BB771">
        <f>IF(OR(BB$4="",$A771&gt;TODAY()),0,IF(OR(INDEX($B771:$D771,BB$5)="F",AND(BB$6&gt;0,$A771&lt;BB$6),AND(BB$7&gt;0,$A771&gt;BB$7)),0,MAX(0,ROUND((INDEX($E771:$G771,BB$5)-SUMIFS(TF_Timer,TF_Tekniker,BB$4,TF_Dato,$A771))*2,0)/2)))</f>
        <v/>
      </c>
      <c r="BC771">
        <f>IF(OR(BC$4="",$A771&gt;TODAY()),0,IF(OR(INDEX($B771:$D771,BC$5)="F",AND(BC$6&gt;0,$A771&lt;BC$6),AND(BC$7&gt;0,$A771&gt;BC$7)),0,MAX(0,ROUND((INDEX($E771:$G771,BC$5)-SUMIFS(TF_Timer,TF_Tekniker,BC$4,TF_Dato,$A771))*2,0)/2)))</f>
        <v/>
      </c>
      <c r="BD771">
        <f>IF(OR(BD$4="",$A771&gt;TODAY()),0,IF(OR(INDEX($B771:$D771,BD$5)="F",AND(BD$6&gt;0,$A771&lt;BD$6),AND(BD$7&gt;0,$A771&gt;BD$7)),0,MAX(0,ROUND((INDEX($E771:$G771,BD$5)-SUMIFS(TF_Timer,TF_Tekniker,BD$4,TF_Dato,$A771))*2,0)/2)))</f>
        <v/>
      </c>
      <c r="BE771">
        <f>IF(OR(BE$4="",$A771&gt;TODAY()),0,IF(OR(INDEX($B771:$D771,BE$5)="F",AND(BE$6&gt;0,$A771&lt;BE$6),AND(BE$7&gt;0,$A771&gt;BE$7)),0,MAX(0,ROUND((INDEX($E771:$G771,BE$5)-SUMIFS(TF_Timer,TF_Tekniker,BE$4,TF_Dato,$A771))*2,0)/2)))</f>
        <v/>
      </c>
      <c r="BF771">
        <f>IF(OR(BF$4="",$A771&gt;TODAY()),0,IF(OR(INDEX($B771:$D771,BF$5)="F",AND(BF$6&gt;0,$A771&lt;BF$6),AND(BF$7&gt;0,$A771&gt;BF$7)),0,MAX(0,ROUND((INDEX($E771:$G771,BF$5)-SUMIFS(TF_Timer,TF_Tekniker,BF$4,TF_Dato,$A771))*2,0)/2)))</f>
        <v/>
      </c>
      <c r="BG771">
        <f>IF(OR(BG$4="",$A771&gt;TODAY()),0,IF(OR(INDEX($B771:$D771,BG$5)="F",AND(BG$6&gt;0,$A771&lt;BG$6),AND(BG$7&gt;0,$A771&gt;BG$7)),0,MAX(0,ROUND((INDEX($E771:$G771,BG$5)-SUMIFS(TF_Timer,TF_Tekniker,BG$4,TF_Dato,$A771))*2,0)/2)))</f>
        <v/>
      </c>
      <c r="BH771">
        <f>IF(OR(BH$4="",$A771&gt;TODAY()),0,IF(OR(INDEX($B771:$D771,BH$5)="F",AND(BH$6&gt;0,$A771&lt;BH$6),AND(BH$7&gt;0,$A771&gt;BH$7)),0,MAX(0,ROUND((INDEX($E771:$G771,BH$5)-SUMIFS(TF_Timer,TF_Tekniker,BH$4,TF_Dato,$A771))*2,0)/2)))</f>
        <v/>
      </c>
      <c r="BI771">
        <f>IF(OR(BI$4="",$A771&gt;TODAY()),0,IF(OR(INDEX($B771:$D771,BI$5)="F",AND(BI$6&gt;0,$A771&lt;BI$6),AND(BI$7&gt;0,$A771&gt;BI$7)),0,MAX(0,ROUND((INDEX($E771:$G771,BI$5)-SUMIFS(TF_Timer,TF_Tekniker,BI$4,TF_Dato,$A771))*2,0)/2)))</f>
        <v/>
      </c>
    </row>
    <row r="772">
      <c r="A772" s="64">
        <f>A771+1</f>
        <v/>
      </c>
      <c r="B772">
        <f>IF(MOD($A772-INDEX(SkiftStart,1),Syklus)&lt;DagK,"K",IF(MOD($A772-INDEX(SkiftStart,1),Syklus)&lt;DagK+DagH,"H",IF(MOD($A772-INDEX(SkiftStart,1),Syklus)&lt;DagK+DagH+DagD,"D","F")))</f>
        <v/>
      </c>
      <c r="C772">
        <f>IF(MOD($A772-INDEX(SkiftStart,2),Syklus)&lt;DagK,"K",IF(MOD($A772-INDEX(SkiftStart,2),Syklus)&lt;DagK+DagH,"H",IF(MOD($A772-INDEX(SkiftStart,2),Syklus)&lt;DagK+DagH+DagD,"D","F")))</f>
        <v/>
      </c>
      <c r="D772">
        <f>IF(MOD($A772-INDEX(SkiftStart,3),Syklus)&lt;DagK,"K",IF(MOD($A772-INDEX(SkiftStart,3),Syklus)&lt;DagK+DagH,"H",IF(MOD($A772-INDEX(SkiftStart,3),Syklus)&lt;DagK+DagH+DagD,"D","F")))</f>
        <v/>
      </c>
      <c r="E772">
        <f>IF(B772="F",0,IF(WEEKDAY($A772,2)=5,INDEX(TimerFr,MATCH(B772,FaseKode,0)),INDEX(TimerMT,MATCH(B772,FaseKode,0))))</f>
        <v/>
      </c>
      <c r="F772">
        <f>IF(C772="F",0,IF(WEEKDAY($A772,2)=5,INDEX(TimerFr,MATCH(C772,FaseKode,0)),INDEX(TimerMT,MATCH(C772,FaseKode,0))))</f>
        <v/>
      </c>
      <c r="G772">
        <f>IF(D772="F",0,IF(WEEKDAY($A772,2)=5,INDEX(TimerFr,MATCH(D772,FaseKode,0)),INDEX(TimerMT,MATCH(D772,FaseKode,0))))</f>
        <v/>
      </c>
      <c r="H772">
        <f>IF(OR(H$4="",$A772&gt;TODAY()),0,IF(OR(INDEX($B772:$D772,H$5)="F",AND(H$6&gt;0,$A772&lt;H$6),AND(H$7&gt;0,$A772&gt;H$7)),0,MAX(0,ROUND((INDEX($E772:$G772,H$5)-SUMIFS(TF_Timer,TF_Tekniker,H$4,TF_Dato,$A772))*2,0)/2)))</f>
        <v/>
      </c>
      <c r="I772">
        <f>IF(OR(I$4="",$A772&gt;TODAY()),0,IF(OR(INDEX($B772:$D772,I$5)="F",AND(I$6&gt;0,$A772&lt;I$6),AND(I$7&gt;0,$A772&gt;I$7)),0,MAX(0,ROUND((INDEX($E772:$G772,I$5)-SUMIFS(TF_Timer,TF_Tekniker,I$4,TF_Dato,$A772))*2,0)/2)))</f>
        <v/>
      </c>
      <c r="J772">
        <f>IF(OR(J$4="",$A772&gt;TODAY()),0,IF(OR(INDEX($B772:$D772,J$5)="F",AND(J$6&gt;0,$A772&lt;J$6),AND(J$7&gt;0,$A772&gt;J$7)),0,MAX(0,ROUND((INDEX($E772:$G772,J$5)-SUMIFS(TF_Timer,TF_Tekniker,J$4,TF_Dato,$A772))*2,0)/2)))</f>
        <v/>
      </c>
      <c r="K772">
        <f>IF(OR(K$4="",$A772&gt;TODAY()),0,IF(OR(INDEX($B772:$D772,K$5)="F",AND(K$6&gt;0,$A772&lt;K$6),AND(K$7&gt;0,$A772&gt;K$7)),0,MAX(0,ROUND((INDEX($E772:$G772,K$5)-SUMIFS(TF_Timer,TF_Tekniker,K$4,TF_Dato,$A772))*2,0)/2)))</f>
        <v/>
      </c>
      <c r="L772">
        <f>IF(OR(L$4="",$A772&gt;TODAY()),0,IF(OR(INDEX($B772:$D772,L$5)="F",AND(L$6&gt;0,$A772&lt;L$6),AND(L$7&gt;0,$A772&gt;L$7)),0,MAX(0,ROUND((INDEX($E772:$G772,L$5)-SUMIFS(TF_Timer,TF_Tekniker,L$4,TF_Dato,$A772))*2,0)/2)))</f>
        <v/>
      </c>
      <c r="M772">
        <f>IF(OR(M$4="",$A772&gt;TODAY()),0,IF(OR(INDEX($B772:$D772,M$5)="F",AND(M$6&gt;0,$A772&lt;M$6),AND(M$7&gt;0,$A772&gt;M$7)),0,MAX(0,ROUND((INDEX($E772:$G772,M$5)-SUMIFS(TF_Timer,TF_Tekniker,M$4,TF_Dato,$A772))*2,0)/2)))</f>
        <v/>
      </c>
      <c r="N772">
        <f>IF(OR(N$4="",$A772&gt;TODAY()),0,IF(OR(INDEX($B772:$D772,N$5)="F",AND(N$6&gt;0,$A772&lt;N$6),AND(N$7&gt;0,$A772&gt;N$7)),0,MAX(0,ROUND((INDEX($E772:$G772,N$5)-SUMIFS(TF_Timer,TF_Tekniker,N$4,TF_Dato,$A772))*2,0)/2)))</f>
        <v/>
      </c>
      <c r="O772">
        <f>IF(OR(O$4="",$A772&gt;TODAY()),0,IF(OR(INDEX($B772:$D772,O$5)="F",AND(O$6&gt;0,$A772&lt;O$6),AND(O$7&gt;0,$A772&gt;O$7)),0,MAX(0,ROUND((INDEX($E772:$G772,O$5)-SUMIFS(TF_Timer,TF_Tekniker,O$4,TF_Dato,$A772))*2,0)/2)))</f>
        <v/>
      </c>
      <c r="P772">
        <f>IF(OR(P$4="",$A772&gt;TODAY()),0,IF(OR(INDEX($B772:$D772,P$5)="F",AND(P$6&gt;0,$A772&lt;P$6),AND(P$7&gt;0,$A772&gt;P$7)),0,MAX(0,ROUND((INDEX($E772:$G772,P$5)-SUMIFS(TF_Timer,TF_Tekniker,P$4,TF_Dato,$A772))*2,0)/2)))</f>
        <v/>
      </c>
      <c r="Q772">
        <f>IF(OR(Q$4="",$A772&gt;TODAY()),0,IF(OR(INDEX($B772:$D772,Q$5)="F",AND(Q$6&gt;0,$A772&lt;Q$6),AND(Q$7&gt;0,$A772&gt;Q$7)),0,MAX(0,ROUND((INDEX($E772:$G772,Q$5)-SUMIFS(TF_Timer,TF_Tekniker,Q$4,TF_Dato,$A772))*2,0)/2)))</f>
        <v/>
      </c>
      <c r="R772">
        <f>IF(OR(R$4="",$A772&gt;TODAY()),0,IF(OR(INDEX($B772:$D772,R$5)="F",AND(R$6&gt;0,$A772&lt;R$6),AND(R$7&gt;0,$A772&gt;R$7)),0,MAX(0,ROUND((INDEX($E772:$G772,R$5)-SUMIFS(TF_Timer,TF_Tekniker,R$4,TF_Dato,$A772))*2,0)/2)))</f>
        <v/>
      </c>
      <c r="S772">
        <f>IF(OR(S$4="",$A772&gt;TODAY()),0,IF(OR(INDEX($B772:$D772,S$5)="F",AND(S$6&gt;0,$A772&lt;S$6),AND(S$7&gt;0,$A772&gt;S$7)),0,MAX(0,ROUND((INDEX($E772:$G772,S$5)-SUMIFS(TF_Timer,TF_Tekniker,S$4,TF_Dato,$A772))*2,0)/2)))</f>
        <v/>
      </c>
      <c r="T772">
        <f>IF(OR(T$4="",$A772&gt;TODAY()),0,IF(OR(INDEX($B772:$D772,T$5)="F",AND(T$6&gt;0,$A772&lt;T$6),AND(T$7&gt;0,$A772&gt;T$7)),0,MAX(0,ROUND((INDEX($E772:$G772,T$5)-SUMIFS(TF_Timer,TF_Tekniker,T$4,TF_Dato,$A772))*2,0)/2)))</f>
        <v/>
      </c>
      <c r="U772">
        <f>IF(OR(U$4="",$A772&gt;TODAY()),0,IF(OR(INDEX($B772:$D772,U$5)="F",AND(U$6&gt;0,$A772&lt;U$6),AND(U$7&gt;0,$A772&gt;U$7)),0,MAX(0,ROUND((INDEX($E772:$G772,U$5)-SUMIFS(TF_Timer,TF_Tekniker,U$4,TF_Dato,$A772))*2,0)/2)))</f>
        <v/>
      </c>
      <c r="V772">
        <f>IF(OR(V$4="",$A772&gt;TODAY()),0,IF(OR(INDEX($B772:$D772,V$5)="F",AND(V$6&gt;0,$A772&lt;V$6),AND(V$7&gt;0,$A772&gt;V$7)),0,MAX(0,ROUND((INDEX($E772:$G772,V$5)-SUMIFS(TF_Timer,TF_Tekniker,V$4,TF_Dato,$A772))*2,0)/2)))</f>
        <v/>
      </c>
      <c r="W772">
        <f>IF(OR(W$4="",$A772&gt;TODAY()),0,IF(OR(INDEX($B772:$D772,W$5)="F",AND(W$6&gt;0,$A772&lt;W$6),AND(W$7&gt;0,$A772&gt;W$7)),0,MAX(0,ROUND((INDEX($E772:$G772,W$5)-SUMIFS(TF_Timer,TF_Tekniker,W$4,TF_Dato,$A772))*2,0)/2)))</f>
        <v/>
      </c>
      <c r="X772">
        <f>IF(OR(X$4="",$A772&gt;TODAY()),0,IF(OR(INDEX($B772:$D772,X$5)="F",AND(X$6&gt;0,$A772&lt;X$6),AND(X$7&gt;0,$A772&gt;X$7)),0,MAX(0,ROUND((INDEX($E772:$G772,X$5)-SUMIFS(TF_Timer,TF_Tekniker,X$4,TF_Dato,$A772))*2,0)/2)))</f>
        <v/>
      </c>
      <c r="Y772">
        <f>IF(OR(Y$4="",$A772&gt;TODAY()),0,IF(OR(INDEX($B772:$D772,Y$5)="F",AND(Y$6&gt;0,$A772&lt;Y$6),AND(Y$7&gt;0,$A772&gt;Y$7)),0,MAX(0,ROUND((INDEX($E772:$G772,Y$5)-SUMIFS(TF_Timer,TF_Tekniker,Y$4,TF_Dato,$A772))*2,0)/2)))</f>
        <v/>
      </c>
      <c r="Z772">
        <f>IF(OR(Z$4="",$A772&gt;TODAY()),0,IF(OR(INDEX($B772:$D772,Z$5)="F",AND(Z$6&gt;0,$A772&lt;Z$6),AND(Z$7&gt;0,$A772&gt;Z$7)),0,MAX(0,ROUND((INDEX($E772:$G772,Z$5)-SUMIFS(TF_Timer,TF_Tekniker,Z$4,TF_Dato,$A772))*2,0)/2)))</f>
        <v/>
      </c>
      <c r="AA772">
        <f>IF(OR(AA$4="",$A772&gt;TODAY()),0,IF(OR(INDEX($B772:$D772,AA$5)="F",AND(AA$6&gt;0,$A772&lt;AA$6),AND(AA$7&gt;0,$A772&gt;AA$7)),0,MAX(0,ROUND((INDEX($E772:$G772,AA$5)-SUMIFS(TF_Timer,TF_Tekniker,AA$4,TF_Dato,$A772))*2,0)/2)))</f>
        <v/>
      </c>
      <c r="AB772">
        <f>IF(OR(AB$4="",$A772&gt;TODAY()),0,IF(OR(INDEX($B772:$D772,AB$5)="F",AND(AB$6&gt;0,$A772&lt;AB$6),AND(AB$7&gt;0,$A772&gt;AB$7)),0,MAX(0,ROUND((INDEX($E772:$G772,AB$5)-SUMIFS(TF_Timer,TF_Tekniker,AB$4,TF_Dato,$A772))*2,0)/2)))</f>
        <v/>
      </c>
      <c r="AC772">
        <f>IF(OR(AC$4="",$A772&gt;TODAY()),0,IF(OR(INDEX($B772:$D772,AC$5)="F",AND(AC$6&gt;0,$A772&lt;AC$6),AND(AC$7&gt;0,$A772&gt;AC$7)),0,MAX(0,ROUND((INDEX($E772:$G772,AC$5)-SUMIFS(TF_Timer,TF_Tekniker,AC$4,TF_Dato,$A772))*2,0)/2)))</f>
        <v/>
      </c>
      <c r="AD772">
        <f>IF(OR(AD$4="",$A772&gt;TODAY()),0,IF(OR(INDEX($B772:$D772,AD$5)="F",AND(AD$6&gt;0,$A772&lt;AD$6),AND(AD$7&gt;0,$A772&gt;AD$7)),0,MAX(0,ROUND((INDEX($E772:$G772,AD$5)-SUMIFS(TF_Timer,TF_Tekniker,AD$4,TF_Dato,$A772))*2,0)/2)))</f>
        <v/>
      </c>
      <c r="AE772">
        <f>IF(OR(AE$4="",$A772&gt;TODAY()),0,IF(OR(INDEX($B772:$D772,AE$5)="F",AND(AE$6&gt;0,$A772&lt;AE$6),AND(AE$7&gt;0,$A772&gt;AE$7)),0,MAX(0,ROUND((INDEX($E772:$G772,AE$5)-SUMIFS(TF_Timer,TF_Tekniker,AE$4,TF_Dato,$A772))*2,0)/2)))</f>
        <v/>
      </c>
      <c r="AF772">
        <f>IF(OR(AF$4="",$A772&gt;TODAY()),0,IF(OR(INDEX($B772:$D772,AF$5)="F",AND(AF$6&gt;0,$A772&lt;AF$6),AND(AF$7&gt;0,$A772&gt;AF$7)),0,MAX(0,ROUND((INDEX($E772:$G772,AF$5)-SUMIFS(TF_Timer,TF_Tekniker,AF$4,TF_Dato,$A772))*2,0)/2)))</f>
        <v/>
      </c>
      <c r="AG772">
        <f>IF(OR(AG$4="",$A772&gt;TODAY()),0,IF(OR(INDEX($B772:$D772,AG$5)="F",AND(AG$6&gt;0,$A772&lt;AG$6),AND(AG$7&gt;0,$A772&gt;AG$7)),0,MAX(0,ROUND((INDEX($E772:$G772,AG$5)-SUMIFS(TF_Timer,TF_Tekniker,AG$4,TF_Dato,$A772))*2,0)/2)))</f>
        <v/>
      </c>
      <c r="AH772">
        <f>IF(OR(AH$4="",$A772&gt;TODAY()),0,IF(OR(INDEX($B772:$D772,AH$5)="F",AND(AH$6&gt;0,$A772&lt;AH$6),AND(AH$7&gt;0,$A772&gt;AH$7)),0,MAX(0,ROUND((INDEX($E772:$G772,AH$5)-SUMIFS(TF_Timer,TF_Tekniker,AH$4,TF_Dato,$A772))*2,0)/2)))</f>
        <v/>
      </c>
      <c r="AI772">
        <f>IF(OR(AI$4="",$A772&gt;TODAY()),0,IF(OR(INDEX($B772:$D772,AI$5)="F",AND(AI$6&gt;0,$A772&lt;AI$6),AND(AI$7&gt;0,$A772&gt;AI$7)),0,MAX(0,ROUND((INDEX($E772:$G772,AI$5)-SUMIFS(TF_Timer,TF_Tekniker,AI$4,TF_Dato,$A772))*2,0)/2)))</f>
        <v/>
      </c>
      <c r="AJ772">
        <f>IF(OR(AJ$4="",$A772&gt;TODAY()),0,IF(OR(INDEX($B772:$D772,AJ$5)="F",AND(AJ$6&gt;0,$A772&lt;AJ$6),AND(AJ$7&gt;0,$A772&gt;AJ$7)),0,MAX(0,ROUND((INDEX($E772:$G772,AJ$5)-SUMIFS(TF_Timer,TF_Tekniker,AJ$4,TF_Dato,$A772))*2,0)/2)))</f>
        <v/>
      </c>
      <c r="AK772">
        <f>IF(OR(AK$4="",$A772&gt;TODAY()),0,IF(OR(INDEX($B772:$D772,AK$5)="F",AND(AK$6&gt;0,$A772&lt;AK$6),AND(AK$7&gt;0,$A772&gt;AK$7)),0,MAX(0,ROUND((INDEX($E772:$G772,AK$5)-SUMIFS(TF_Timer,TF_Tekniker,AK$4,TF_Dato,$A772))*2,0)/2)))</f>
        <v/>
      </c>
      <c r="AL772">
        <f>IF(OR(AL$4="",$A772&gt;TODAY()),0,IF(OR(INDEX($B772:$D772,AL$5)="F",AND(AL$6&gt;0,$A772&lt;AL$6),AND(AL$7&gt;0,$A772&gt;AL$7)),0,MAX(0,ROUND((INDEX($E772:$G772,AL$5)-SUMIFS(TF_Timer,TF_Tekniker,AL$4,TF_Dato,$A772))*2,0)/2)))</f>
        <v/>
      </c>
      <c r="AM772">
        <f>IF(OR(AM$4="",$A772&gt;TODAY()),0,IF(OR(INDEX($B772:$D772,AM$5)="F",AND(AM$6&gt;0,$A772&lt;AM$6),AND(AM$7&gt;0,$A772&gt;AM$7)),0,MAX(0,ROUND((INDEX($E772:$G772,AM$5)-SUMIFS(TF_Timer,TF_Tekniker,AM$4,TF_Dato,$A772))*2,0)/2)))</f>
        <v/>
      </c>
      <c r="AN772">
        <f>IF(OR(AN$4="",$A772&gt;TODAY()),0,IF(OR(INDEX($B772:$D772,AN$5)="F",AND(AN$6&gt;0,$A772&lt;AN$6),AND(AN$7&gt;0,$A772&gt;AN$7)),0,MAX(0,ROUND((INDEX($E772:$G772,AN$5)-SUMIFS(TF_Timer,TF_Tekniker,AN$4,TF_Dato,$A772))*2,0)/2)))</f>
        <v/>
      </c>
      <c r="AO772">
        <f>IF(OR(AO$4="",$A772&gt;TODAY()),0,IF(OR(INDEX($B772:$D772,AO$5)="F",AND(AO$6&gt;0,$A772&lt;AO$6),AND(AO$7&gt;0,$A772&gt;AO$7)),0,MAX(0,ROUND((INDEX($E772:$G772,AO$5)-SUMIFS(TF_Timer,TF_Tekniker,AO$4,TF_Dato,$A772))*2,0)/2)))</f>
        <v/>
      </c>
      <c r="AP772">
        <f>IF(OR(AP$4="",$A772&gt;TODAY()),0,IF(OR(INDEX($B772:$D772,AP$5)="F",AND(AP$6&gt;0,$A772&lt;AP$6),AND(AP$7&gt;0,$A772&gt;AP$7)),0,MAX(0,ROUND((INDEX($E772:$G772,AP$5)-SUMIFS(TF_Timer,TF_Tekniker,AP$4,TF_Dato,$A772))*2,0)/2)))</f>
        <v/>
      </c>
      <c r="AQ772">
        <f>IF(OR(AQ$4="",$A772&gt;TODAY()),0,IF(OR(INDEX($B772:$D772,AQ$5)="F",AND(AQ$6&gt;0,$A772&lt;AQ$6),AND(AQ$7&gt;0,$A772&gt;AQ$7)),0,MAX(0,ROUND((INDEX($E772:$G772,AQ$5)-SUMIFS(TF_Timer,TF_Tekniker,AQ$4,TF_Dato,$A772))*2,0)/2)))</f>
        <v/>
      </c>
      <c r="AR772">
        <f>IF(OR(AR$4="",$A772&gt;TODAY()),0,IF(OR(INDEX($B772:$D772,AR$5)="F",AND(AR$6&gt;0,$A772&lt;AR$6),AND(AR$7&gt;0,$A772&gt;AR$7)),0,MAX(0,ROUND((INDEX($E772:$G772,AR$5)-SUMIFS(TF_Timer,TF_Tekniker,AR$4,TF_Dato,$A772))*2,0)/2)))</f>
        <v/>
      </c>
      <c r="AS772">
        <f>IF(OR(AS$4="",$A772&gt;TODAY()),0,IF(OR(INDEX($B772:$D772,AS$5)="F",AND(AS$6&gt;0,$A772&lt;AS$6),AND(AS$7&gt;0,$A772&gt;AS$7)),0,MAX(0,ROUND((INDEX($E772:$G772,AS$5)-SUMIFS(TF_Timer,TF_Tekniker,AS$4,TF_Dato,$A772))*2,0)/2)))</f>
        <v/>
      </c>
      <c r="AT772">
        <f>IF(OR(AT$4="",$A772&gt;TODAY()),0,IF(OR(INDEX($B772:$D772,AT$5)="F",AND(AT$6&gt;0,$A772&lt;AT$6),AND(AT$7&gt;0,$A772&gt;AT$7)),0,MAX(0,ROUND((INDEX($E772:$G772,AT$5)-SUMIFS(TF_Timer,TF_Tekniker,AT$4,TF_Dato,$A772))*2,0)/2)))</f>
        <v/>
      </c>
      <c r="AU772">
        <f>IF(OR(AU$4="",$A772&gt;TODAY()),0,IF(OR(INDEX($B772:$D772,AU$5)="F",AND(AU$6&gt;0,$A772&lt;AU$6),AND(AU$7&gt;0,$A772&gt;AU$7)),0,MAX(0,ROUND((INDEX($E772:$G772,AU$5)-SUMIFS(TF_Timer,TF_Tekniker,AU$4,TF_Dato,$A772))*2,0)/2)))</f>
        <v/>
      </c>
      <c r="AV772">
        <f>IF(OR(AV$4="",$A772&gt;TODAY()),0,IF(OR(INDEX($B772:$D772,AV$5)="F",AND(AV$6&gt;0,$A772&lt;AV$6),AND(AV$7&gt;0,$A772&gt;AV$7)),0,MAX(0,ROUND((INDEX($E772:$G772,AV$5)-SUMIFS(TF_Timer,TF_Tekniker,AV$4,TF_Dato,$A772))*2,0)/2)))</f>
        <v/>
      </c>
      <c r="AW772">
        <f>IF(OR(AW$4="",$A772&gt;TODAY()),0,IF(OR(INDEX($B772:$D772,AW$5)="F",AND(AW$6&gt;0,$A772&lt;AW$6),AND(AW$7&gt;0,$A772&gt;AW$7)),0,MAX(0,ROUND((INDEX($E772:$G772,AW$5)-SUMIFS(TF_Timer,TF_Tekniker,AW$4,TF_Dato,$A772))*2,0)/2)))</f>
        <v/>
      </c>
      <c r="AX772">
        <f>IF(OR(AX$4="",$A772&gt;TODAY()),0,IF(OR(INDEX($B772:$D772,AX$5)="F",AND(AX$6&gt;0,$A772&lt;AX$6),AND(AX$7&gt;0,$A772&gt;AX$7)),0,MAX(0,ROUND((INDEX($E772:$G772,AX$5)-SUMIFS(TF_Timer,TF_Tekniker,AX$4,TF_Dato,$A772))*2,0)/2)))</f>
        <v/>
      </c>
      <c r="AY772">
        <f>IF(OR(AY$4="",$A772&gt;TODAY()),0,IF(OR(INDEX($B772:$D772,AY$5)="F",AND(AY$6&gt;0,$A772&lt;AY$6),AND(AY$7&gt;0,$A772&gt;AY$7)),0,MAX(0,ROUND((INDEX($E772:$G772,AY$5)-SUMIFS(TF_Timer,TF_Tekniker,AY$4,TF_Dato,$A772))*2,0)/2)))</f>
        <v/>
      </c>
      <c r="AZ772">
        <f>IF(OR(AZ$4="",$A772&gt;TODAY()),0,IF(OR(INDEX($B772:$D772,AZ$5)="F",AND(AZ$6&gt;0,$A772&lt;AZ$6),AND(AZ$7&gt;0,$A772&gt;AZ$7)),0,MAX(0,ROUND((INDEX($E772:$G772,AZ$5)-SUMIFS(TF_Timer,TF_Tekniker,AZ$4,TF_Dato,$A772))*2,0)/2)))</f>
        <v/>
      </c>
      <c r="BA772">
        <f>IF(OR(BA$4="",$A772&gt;TODAY()),0,IF(OR(INDEX($B772:$D772,BA$5)="F",AND(BA$6&gt;0,$A772&lt;BA$6),AND(BA$7&gt;0,$A772&gt;BA$7)),0,MAX(0,ROUND((INDEX($E772:$G772,BA$5)-SUMIFS(TF_Timer,TF_Tekniker,BA$4,TF_Dato,$A772))*2,0)/2)))</f>
        <v/>
      </c>
      <c r="BB772">
        <f>IF(OR(BB$4="",$A772&gt;TODAY()),0,IF(OR(INDEX($B772:$D772,BB$5)="F",AND(BB$6&gt;0,$A772&lt;BB$6),AND(BB$7&gt;0,$A772&gt;BB$7)),0,MAX(0,ROUND((INDEX($E772:$G772,BB$5)-SUMIFS(TF_Timer,TF_Tekniker,BB$4,TF_Dato,$A772))*2,0)/2)))</f>
        <v/>
      </c>
      <c r="BC772">
        <f>IF(OR(BC$4="",$A772&gt;TODAY()),0,IF(OR(INDEX($B772:$D772,BC$5)="F",AND(BC$6&gt;0,$A772&lt;BC$6),AND(BC$7&gt;0,$A772&gt;BC$7)),0,MAX(0,ROUND((INDEX($E772:$G772,BC$5)-SUMIFS(TF_Timer,TF_Tekniker,BC$4,TF_Dato,$A772))*2,0)/2)))</f>
        <v/>
      </c>
      <c r="BD772">
        <f>IF(OR(BD$4="",$A772&gt;TODAY()),0,IF(OR(INDEX($B772:$D772,BD$5)="F",AND(BD$6&gt;0,$A772&lt;BD$6),AND(BD$7&gt;0,$A772&gt;BD$7)),0,MAX(0,ROUND((INDEX($E772:$G772,BD$5)-SUMIFS(TF_Timer,TF_Tekniker,BD$4,TF_Dato,$A772))*2,0)/2)))</f>
        <v/>
      </c>
      <c r="BE772">
        <f>IF(OR(BE$4="",$A772&gt;TODAY()),0,IF(OR(INDEX($B772:$D772,BE$5)="F",AND(BE$6&gt;0,$A772&lt;BE$6),AND(BE$7&gt;0,$A772&gt;BE$7)),0,MAX(0,ROUND((INDEX($E772:$G772,BE$5)-SUMIFS(TF_Timer,TF_Tekniker,BE$4,TF_Dato,$A772))*2,0)/2)))</f>
        <v/>
      </c>
      <c r="BF772">
        <f>IF(OR(BF$4="",$A772&gt;TODAY()),0,IF(OR(INDEX($B772:$D772,BF$5)="F",AND(BF$6&gt;0,$A772&lt;BF$6),AND(BF$7&gt;0,$A772&gt;BF$7)),0,MAX(0,ROUND((INDEX($E772:$G772,BF$5)-SUMIFS(TF_Timer,TF_Tekniker,BF$4,TF_Dato,$A772))*2,0)/2)))</f>
        <v/>
      </c>
      <c r="BG772">
        <f>IF(OR(BG$4="",$A772&gt;TODAY()),0,IF(OR(INDEX($B772:$D772,BG$5)="F",AND(BG$6&gt;0,$A772&lt;BG$6),AND(BG$7&gt;0,$A772&gt;BG$7)),0,MAX(0,ROUND((INDEX($E772:$G772,BG$5)-SUMIFS(TF_Timer,TF_Tekniker,BG$4,TF_Dato,$A772))*2,0)/2)))</f>
        <v/>
      </c>
      <c r="BH772">
        <f>IF(OR(BH$4="",$A772&gt;TODAY()),0,IF(OR(INDEX($B772:$D772,BH$5)="F",AND(BH$6&gt;0,$A772&lt;BH$6),AND(BH$7&gt;0,$A772&gt;BH$7)),0,MAX(0,ROUND((INDEX($E772:$G772,BH$5)-SUMIFS(TF_Timer,TF_Tekniker,BH$4,TF_Dato,$A772))*2,0)/2)))</f>
        <v/>
      </c>
      <c r="BI772">
        <f>IF(OR(BI$4="",$A772&gt;TODAY()),0,IF(OR(INDEX($B772:$D772,BI$5)="F",AND(BI$6&gt;0,$A772&lt;BI$6),AND(BI$7&gt;0,$A772&gt;BI$7)),0,MAX(0,ROUND((INDEX($E772:$G772,BI$5)-SUMIFS(TF_Timer,TF_Tekniker,BI$4,TF_Dato,$A772))*2,0)/2)))</f>
        <v/>
      </c>
    </row>
    <row r="773">
      <c r="A773" s="64">
        <f>A772+1</f>
        <v/>
      </c>
      <c r="B773">
        <f>IF(MOD($A773-INDEX(SkiftStart,1),Syklus)&lt;DagK,"K",IF(MOD($A773-INDEX(SkiftStart,1),Syklus)&lt;DagK+DagH,"H",IF(MOD($A773-INDEX(SkiftStart,1),Syklus)&lt;DagK+DagH+DagD,"D","F")))</f>
        <v/>
      </c>
      <c r="C773">
        <f>IF(MOD($A773-INDEX(SkiftStart,2),Syklus)&lt;DagK,"K",IF(MOD($A773-INDEX(SkiftStart,2),Syklus)&lt;DagK+DagH,"H",IF(MOD($A773-INDEX(SkiftStart,2),Syklus)&lt;DagK+DagH+DagD,"D","F")))</f>
        <v/>
      </c>
      <c r="D773">
        <f>IF(MOD($A773-INDEX(SkiftStart,3),Syklus)&lt;DagK,"K",IF(MOD($A773-INDEX(SkiftStart,3),Syklus)&lt;DagK+DagH,"H",IF(MOD($A773-INDEX(SkiftStart,3),Syklus)&lt;DagK+DagH+DagD,"D","F")))</f>
        <v/>
      </c>
      <c r="E773">
        <f>IF(B773="F",0,IF(WEEKDAY($A773,2)=5,INDEX(TimerFr,MATCH(B773,FaseKode,0)),INDEX(TimerMT,MATCH(B773,FaseKode,0))))</f>
        <v/>
      </c>
      <c r="F773">
        <f>IF(C773="F",0,IF(WEEKDAY($A773,2)=5,INDEX(TimerFr,MATCH(C773,FaseKode,0)),INDEX(TimerMT,MATCH(C773,FaseKode,0))))</f>
        <v/>
      </c>
      <c r="G773">
        <f>IF(D773="F",0,IF(WEEKDAY($A773,2)=5,INDEX(TimerFr,MATCH(D773,FaseKode,0)),INDEX(TimerMT,MATCH(D773,FaseKode,0))))</f>
        <v/>
      </c>
      <c r="H773">
        <f>IF(OR(H$4="",$A773&gt;TODAY()),0,IF(OR(INDEX($B773:$D773,H$5)="F",AND(H$6&gt;0,$A773&lt;H$6),AND(H$7&gt;0,$A773&gt;H$7)),0,MAX(0,ROUND((INDEX($E773:$G773,H$5)-SUMIFS(TF_Timer,TF_Tekniker,H$4,TF_Dato,$A773))*2,0)/2)))</f>
        <v/>
      </c>
      <c r="I773">
        <f>IF(OR(I$4="",$A773&gt;TODAY()),0,IF(OR(INDEX($B773:$D773,I$5)="F",AND(I$6&gt;0,$A773&lt;I$6),AND(I$7&gt;0,$A773&gt;I$7)),0,MAX(0,ROUND((INDEX($E773:$G773,I$5)-SUMIFS(TF_Timer,TF_Tekniker,I$4,TF_Dato,$A773))*2,0)/2)))</f>
        <v/>
      </c>
      <c r="J773">
        <f>IF(OR(J$4="",$A773&gt;TODAY()),0,IF(OR(INDEX($B773:$D773,J$5)="F",AND(J$6&gt;0,$A773&lt;J$6),AND(J$7&gt;0,$A773&gt;J$7)),0,MAX(0,ROUND((INDEX($E773:$G773,J$5)-SUMIFS(TF_Timer,TF_Tekniker,J$4,TF_Dato,$A773))*2,0)/2)))</f>
        <v/>
      </c>
      <c r="K773">
        <f>IF(OR(K$4="",$A773&gt;TODAY()),0,IF(OR(INDEX($B773:$D773,K$5)="F",AND(K$6&gt;0,$A773&lt;K$6),AND(K$7&gt;0,$A773&gt;K$7)),0,MAX(0,ROUND((INDEX($E773:$G773,K$5)-SUMIFS(TF_Timer,TF_Tekniker,K$4,TF_Dato,$A773))*2,0)/2)))</f>
        <v/>
      </c>
      <c r="L773">
        <f>IF(OR(L$4="",$A773&gt;TODAY()),0,IF(OR(INDEX($B773:$D773,L$5)="F",AND(L$6&gt;0,$A773&lt;L$6),AND(L$7&gt;0,$A773&gt;L$7)),0,MAX(0,ROUND((INDEX($E773:$G773,L$5)-SUMIFS(TF_Timer,TF_Tekniker,L$4,TF_Dato,$A773))*2,0)/2)))</f>
        <v/>
      </c>
      <c r="M773">
        <f>IF(OR(M$4="",$A773&gt;TODAY()),0,IF(OR(INDEX($B773:$D773,M$5)="F",AND(M$6&gt;0,$A773&lt;M$6),AND(M$7&gt;0,$A773&gt;M$7)),0,MAX(0,ROUND((INDEX($E773:$G773,M$5)-SUMIFS(TF_Timer,TF_Tekniker,M$4,TF_Dato,$A773))*2,0)/2)))</f>
        <v/>
      </c>
      <c r="N773">
        <f>IF(OR(N$4="",$A773&gt;TODAY()),0,IF(OR(INDEX($B773:$D773,N$5)="F",AND(N$6&gt;0,$A773&lt;N$6),AND(N$7&gt;0,$A773&gt;N$7)),0,MAX(0,ROUND((INDEX($E773:$G773,N$5)-SUMIFS(TF_Timer,TF_Tekniker,N$4,TF_Dato,$A773))*2,0)/2)))</f>
        <v/>
      </c>
      <c r="O773">
        <f>IF(OR(O$4="",$A773&gt;TODAY()),0,IF(OR(INDEX($B773:$D773,O$5)="F",AND(O$6&gt;0,$A773&lt;O$6),AND(O$7&gt;0,$A773&gt;O$7)),0,MAX(0,ROUND((INDEX($E773:$G773,O$5)-SUMIFS(TF_Timer,TF_Tekniker,O$4,TF_Dato,$A773))*2,0)/2)))</f>
        <v/>
      </c>
      <c r="P773">
        <f>IF(OR(P$4="",$A773&gt;TODAY()),0,IF(OR(INDEX($B773:$D773,P$5)="F",AND(P$6&gt;0,$A773&lt;P$6),AND(P$7&gt;0,$A773&gt;P$7)),0,MAX(0,ROUND((INDEX($E773:$G773,P$5)-SUMIFS(TF_Timer,TF_Tekniker,P$4,TF_Dato,$A773))*2,0)/2)))</f>
        <v/>
      </c>
      <c r="Q773">
        <f>IF(OR(Q$4="",$A773&gt;TODAY()),0,IF(OR(INDEX($B773:$D773,Q$5)="F",AND(Q$6&gt;0,$A773&lt;Q$6),AND(Q$7&gt;0,$A773&gt;Q$7)),0,MAX(0,ROUND((INDEX($E773:$G773,Q$5)-SUMIFS(TF_Timer,TF_Tekniker,Q$4,TF_Dato,$A773))*2,0)/2)))</f>
        <v/>
      </c>
      <c r="R773">
        <f>IF(OR(R$4="",$A773&gt;TODAY()),0,IF(OR(INDEX($B773:$D773,R$5)="F",AND(R$6&gt;0,$A773&lt;R$6),AND(R$7&gt;0,$A773&gt;R$7)),0,MAX(0,ROUND((INDEX($E773:$G773,R$5)-SUMIFS(TF_Timer,TF_Tekniker,R$4,TF_Dato,$A773))*2,0)/2)))</f>
        <v/>
      </c>
      <c r="S773">
        <f>IF(OR(S$4="",$A773&gt;TODAY()),0,IF(OR(INDEX($B773:$D773,S$5)="F",AND(S$6&gt;0,$A773&lt;S$6),AND(S$7&gt;0,$A773&gt;S$7)),0,MAX(0,ROUND((INDEX($E773:$G773,S$5)-SUMIFS(TF_Timer,TF_Tekniker,S$4,TF_Dato,$A773))*2,0)/2)))</f>
        <v/>
      </c>
      <c r="T773">
        <f>IF(OR(T$4="",$A773&gt;TODAY()),0,IF(OR(INDEX($B773:$D773,T$5)="F",AND(T$6&gt;0,$A773&lt;T$6),AND(T$7&gt;0,$A773&gt;T$7)),0,MAX(0,ROUND((INDEX($E773:$G773,T$5)-SUMIFS(TF_Timer,TF_Tekniker,T$4,TF_Dato,$A773))*2,0)/2)))</f>
        <v/>
      </c>
      <c r="U773">
        <f>IF(OR(U$4="",$A773&gt;TODAY()),0,IF(OR(INDEX($B773:$D773,U$5)="F",AND(U$6&gt;0,$A773&lt;U$6),AND(U$7&gt;0,$A773&gt;U$7)),0,MAX(0,ROUND((INDEX($E773:$G773,U$5)-SUMIFS(TF_Timer,TF_Tekniker,U$4,TF_Dato,$A773))*2,0)/2)))</f>
        <v/>
      </c>
      <c r="V773">
        <f>IF(OR(V$4="",$A773&gt;TODAY()),0,IF(OR(INDEX($B773:$D773,V$5)="F",AND(V$6&gt;0,$A773&lt;V$6),AND(V$7&gt;0,$A773&gt;V$7)),0,MAX(0,ROUND((INDEX($E773:$G773,V$5)-SUMIFS(TF_Timer,TF_Tekniker,V$4,TF_Dato,$A773))*2,0)/2)))</f>
        <v/>
      </c>
      <c r="W773">
        <f>IF(OR(W$4="",$A773&gt;TODAY()),0,IF(OR(INDEX($B773:$D773,W$5)="F",AND(W$6&gt;0,$A773&lt;W$6),AND(W$7&gt;0,$A773&gt;W$7)),0,MAX(0,ROUND((INDEX($E773:$G773,W$5)-SUMIFS(TF_Timer,TF_Tekniker,W$4,TF_Dato,$A773))*2,0)/2)))</f>
        <v/>
      </c>
      <c r="X773">
        <f>IF(OR(X$4="",$A773&gt;TODAY()),0,IF(OR(INDEX($B773:$D773,X$5)="F",AND(X$6&gt;0,$A773&lt;X$6),AND(X$7&gt;0,$A773&gt;X$7)),0,MAX(0,ROUND((INDEX($E773:$G773,X$5)-SUMIFS(TF_Timer,TF_Tekniker,X$4,TF_Dato,$A773))*2,0)/2)))</f>
        <v/>
      </c>
      <c r="Y773">
        <f>IF(OR(Y$4="",$A773&gt;TODAY()),0,IF(OR(INDEX($B773:$D773,Y$5)="F",AND(Y$6&gt;0,$A773&lt;Y$6),AND(Y$7&gt;0,$A773&gt;Y$7)),0,MAX(0,ROUND((INDEX($E773:$G773,Y$5)-SUMIFS(TF_Timer,TF_Tekniker,Y$4,TF_Dato,$A773))*2,0)/2)))</f>
        <v/>
      </c>
      <c r="Z773">
        <f>IF(OR(Z$4="",$A773&gt;TODAY()),0,IF(OR(INDEX($B773:$D773,Z$5)="F",AND(Z$6&gt;0,$A773&lt;Z$6),AND(Z$7&gt;0,$A773&gt;Z$7)),0,MAX(0,ROUND((INDEX($E773:$G773,Z$5)-SUMIFS(TF_Timer,TF_Tekniker,Z$4,TF_Dato,$A773))*2,0)/2)))</f>
        <v/>
      </c>
      <c r="AA773">
        <f>IF(OR(AA$4="",$A773&gt;TODAY()),0,IF(OR(INDEX($B773:$D773,AA$5)="F",AND(AA$6&gt;0,$A773&lt;AA$6),AND(AA$7&gt;0,$A773&gt;AA$7)),0,MAX(0,ROUND((INDEX($E773:$G773,AA$5)-SUMIFS(TF_Timer,TF_Tekniker,AA$4,TF_Dato,$A773))*2,0)/2)))</f>
        <v/>
      </c>
      <c r="AB773">
        <f>IF(OR(AB$4="",$A773&gt;TODAY()),0,IF(OR(INDEX($B773:$D773,AB$5)="F",AND(AB$6&gt;0,$A773&lt;AB$6),AND(AB$7&gt;0,$A773&gt;AB$7)),0,MAX(0,ROUND((INDEX($E773:$G773,AB$5)-SUMIFS(TF_Timer,TF_Tekniker,AB$4,TF_Dato,$A773))*2,0)/2)))</f>
        <v/>
      </c>
      <c r="AC773">
        <f>IF(OR(AC$4="",$A773&gt;TODAY()),0,IF(OR(INDEX($B773:$D773,AC$5)="F",AND(AC$6&gt;0,$A773&lt;AC$6),AND(AC$7&gt;0,$A773&gt;AC$7)),0,MAX(0,ROUND((INDEX($E773:$G773,AC$5)-SUMIFS(TF_Timer,TF_Tekniker,AC$4,TF_Dato,$A773))*2,0)/2)))</f>
        <v/>
      </c>
      <c r="AD773">
        <f>IF(OR(AD$4="",$A773&gt;TODAY()),0,IF(OR(INDEX($B773:$D773,AD$5)="F",AND(AD$6&gt;0,$A773&lt;AD$6),AND(AD$7&gt;0,$A773&gt;AD$7)),0,MAX(0,ROUND((INDEX($E773:$G773,AD$5)-SUMIFS(TF_Timer,TF_Tekniker,AD$4,TF_Dato,$A773))*2,0)/2)))</f>
        <v/>
      </c>
      <c r="AE773">
        <f>IF(OR(AE$4="",$A773&gt;TODAY()),0,IF(OR(INDEX($B773:$D773,AE$5)="F",AND(AE$6&gt;0,$A773&lt;AE$6),AND(AE$7&gt;0,$A773&gt;AE$7)),0,MAX(0,ROUND((INDEX($E773:$G773,AE$5)-SUMIFS(TF_Timer,TF_Tekniker,AE$4,TF_Dato,$A773))*2,0)/2)))</f>
        <v/>
      </c>
      <c r="AF773">
        <f>IF(OR(AF$4="",$A773&gt;TODAY()),0,IF(OR(INDEX($B773:$D773,AF$5)="F",AND(AF$6&gt;0,$A773&lt;AF$6),AND(AF$7&gt;0,$A773&gt;AF$7)),0,MAX(0,ROUND((INDEX($E773:$G773,AF$5)-SUMIFS(TF_Timer,TF_Tekniker,AF$4,TF_Dato,$A773))*2,0)/2)))</f>
        <v/>
      </c>
      <c r="AG773">
        <f>IF(OR(AG$4="",$A773&gt;TODAY()),0,IF(OR(INDEX($B773:$D773,AG$5)="F",AND(AG$6&gt;0,$A773&lt;AG$6),AND(AG$7&gt;0,$A773&gt;AG$7)),0,MAX(0,ROUND((INDEX($E773:$G773,AG$5)-SUMIFS(TF_Timer,TF_Tekniker,AG$4,TF_Dato,$A773))*2,0)/2)))</f>
        <v/>
      </c>
      <c r="AH773">
        <f>IF(OR(AH$4="",$A773&gt;TODAY()),0,IF(OR(INDEX($B773:$D773,AH$5)="F",AND(AH$6&gt;0,$A773&lt;AH$6),AND(AH$7&gt;0,$A773&gt;AH$7)),0,MAX(0,ROUND((INDEX($E773:$G773,AH$5)-SUMIFS(TF_Timer,TF_Tekniker,AH$4,TF_Dato,$A773))*2,0)/2)))</f>
        <v/>
      </c>
      <c r="AI773">
        <f>IF(OR(AI$4="",$A773&gt;TODAY()),0,IF(OR(INDEX($B773:$D773,AI$5)="F",AND(AI$6&gt;0,$A773&lt;AI$6),AND(AI$7&gt;0,$A773&gt;AI$7)),0,MAX(0,ROUND((INDEX($E773:$G773,AI$5)-SUMIFS(TF_Timer,TF_Tekniker,AI$4,TF_Dato,$A773))*2,0)/2)))</f>
        <v/>
      </c>
      <c r="AJ773">
        <f>IF(OR(AJ$4="",$A773&gt;TODAY()),0,IF(OR(INDEX($B773:$D773,AJ$5)="F",AND(AJ$6&gt;0,$A773&lt;AJ$6),AND(AJ$7&gt;0,$A773&gt;AJ$7)),0,MAX(0,ROUND((INDEX($E773:$G773,AJ$5)-SUMIFS(TF_Timer,TF_Tekniker,AJ$4,TF_Dato,$A773))*2,0)/2)))</f>
        <v/>
      </c>
      <c r="AK773">
        <f>IF(OR(AK$4="",$A773&gt;TODAY()),0,IF(OR(INDEX($B773:$D773,AK$5)="F",AND(AK$6&gt;0,$A773&lt;AK$6),AND(AK$7&gt;0,$A773&gt;AK$7)),0,MAX(0,ROUND((INDEX($E773:$G773,AK$5)-SUMIFS(TF_Timer,TF_Tekniker,AK$4,TF_Dato,$A773))*2,0)/2)))</f>
        <v/>
      </c>
      <c r="AL773">
        <f>IF(OR(AL$4="",$A773&gt;TODAY()),0,IF(OR(INDEX($B773:$D773,AL$5)="F",AND(AL$6&gt;0,$A773&lt;AL$6),AND(AL$7&gt;0,$A773&gt;AL$7)),0,MAX(0,ROUND((INDEX($E773:$G773,AL$5)-SUMIFS(TF_Timer,TF_Tekniker,AL$4,TF_Dato,$A773))*2,0)/2)))</f>
        <v/>
      </c>
      <c r="AM773">
        <f>IF(OR(AM$4="",$A773&gt;TODAY()),0,IF(OR(INDEX($B773:$D773,AM$5)="F",AND(AM$6&gt;0,$A773&lt;AM$6),AND(AM$7&gt;0,$A773&gt;AM$7)),0,MAX(0,ROUND((INDEX($E773:$G773,AM$5)-SUMIFS(TF_Timer,TF_Tekniker,AM$4,TF_Dato,$A773))*2,0)/2)))</f>
        <v/>
      </c>
      <c r="AN773">
        <f>IF(OR(AN$4="",$A773&gt;TODAY()),0,IF(OR(INDEX($B773:$D773,AN$5)="F",AND(AN$6&gt;0,$A773&lt;AN$6),AND(AN$7&gt;0,$A773&gt;AN$7)),0,MAX(0,ROUND((INDEX($E773:$G773,AN$5)-SUMIFS(TF_Timer,TF_Tekniker,AN$4,TF_Dato,$A773))*2,0)/2)))</f>
        <v/>
      </c>
      <c r="AO773">
        <f>IF(OR(AO$4="",$A773&gt;TODAY()),0,IF(OR(INDEX($B773:$D773,AO$5)="F",AND(AO$6&gt;0,$A773&lt;AO$6),AND(AO$7&gt;0,$A773&gt;AO$7)),0,MAX(0,ROUND((INDEX($E773:$G773,AO$5)-SUMIFS(TF_Timer,TF_Tekniker,AO$4,TF_Dato,$A773))*2,0)/2)))</f>
        <v/>
      </c>
      <c r="AP773">
        <f>IF(OR(AP$4="",$A773&gt;TODAY()),0,IF(OR(INDEX($B773:$D773,AP$5)="F",AND(AP$6&gt;0,$A773&lt;AP$6),AND(AP$7&gt;0,$A773&gt;AP$7)),0,MAX(0,ROUND((INDEX($E773:$G773,AP$5)-SUMIFS(TF_Timer,TF_Tekniker,AP$4,TF_Dato,$A773))*2,0)/2)))</f>
        <v/>
      </c>
      <c r="AQ773">
        <f>IF(OR(AQ$4="",$A773&gt;TODAY()),0,IF(OR(INDEX($B773:$D773,AQ$5)="F",AND(AQ$6&gt;0,$A773&lt;AQ$6),AND(AQ$7&gt;0,$A773&gt;AQ$7)),0,MAX(0,ROUND((INDEX($E773:$G773,AQ$5)-SUMIFS(TF_Timer,TF_Tekniker,AQ$4,TF_Dato,$A773))*2,0)/2)))</f>
        <v/>
      </c>
      <c r="AR773">
        <f>IF(OR(AR$4="",$A773&gt;TODAY()),0,IF(OR(INDEX($B773:$D773,AR$5)="F",AND(AR$6&gt;0,$A773&lt;AR$6),AND(AR$7&gt;0,$A773&gt;AR$7)),0,MAX(0,ROUND((INDEX($E773:$G773,AR$5)-SUMIFS(TF_Timer,TF_Tekniker,AR$4,TF_Dato,$A773))*2,0)/2)))</f>
        <v/>
      </c>
      <c r="AS773">
        <f>IF(OR(AS$4="",$A773&gt;TODAY()),0,IF(OR(INDEX($B773:$D773,AS$5)="F",AND(AS$6&gt;0,$A773&lt;AS$6),AND(AS$7&gt;0,$A773&gt;AS$7)),0,MAX(0,ROUND((INDEX($E773:$G773,AS$5)-SUMIFS(TF_Timer,TF_Tekniker,AS$4,TF_Dato,$A773))*2,0)/2)))</f>
        <v/>
      </c>
      <c r="AT773">
        <f>IF(OR(AT$4="",$A773&gt;TODAY()),0,IF(OR(INDEX($B773:$D773,AT$5)="F",AND(AT$6&gt;0,$A773&lt;AT$6),AND(AT$7&gt;0,$A773&gt;AT$7)),0,MAX(0,ROUND((INDEX($E773:$G773,AT$5)-SUMIFS(TF_Timer,TF_Tekniker,AT$4,TF_Dato,$A773))*2,0)/2)))</f>
        <v/>
      </c>
      <c r="AU773">
        <f>IF(OR(AU$4="",$A773&gt;TODAY()),0,IF(OR(INDEX($B773:$D773,AU$5)="F",AND(AU$6&gt;0,$A773&lt;AU$6),AND(AU$7&gt;0,$A773&gt;AU$7)),0,MAX(0,ROUND((INDEX($E773:$G773,AU$5)-SUMIFS(TF_Timer,TF_Tekniker,AU$4,TF_Dato,$A773))*2,0)/2)))</f>
        <v/>
      </c>
      <c r="AV773">
        <f>IF(OR(AV$4="",$A773&gt;TODAY()),0,IF(OR(INDEX($B773:$D773,AV$5)="F",AND(AV$6&gt;0,$A773&lt;AV$6),AND(AV$7&gt;0,$A773&gt;AV$7)),0,MAX(0,ROUND((INDEX($E773:$G773,AV$5)-SUMIFS(TF_Timer,TF_Tekniker,AV$4,TF_Dato,$A773))*2,0)/2)))</f>
        <v/>
      </c>
      <c r="AW773">
        <f>IF(OR(AW$4="",$A773&gt;TODAY()),0,IF(OR(INDEX($B773:$D773,AW$5)="F",AND(AW$6&gt;0,$A773&lt;AW$6),AND(AW$7&gt;0,$A773&gt;AW$7)),0,MAX(0,ROUND((INDEX($E773:$G773,AW$5)-SUMIFS(TF_Timer,TF_Tekniker,AW$4,TF_Dato,$A773))*2,0)/2)))</f>
        <v/>
      </c>
      <c r="AX773">
        <f>IF(OR(AX$4="",$A773&gt;TODAY()),0,IF(OR(INDEX($B773:$D773,AX$5)="F",AND(AX$6&gt;0,$A773&lt;AX$6),AND(AX$7&gt;0,$A773&gt;AX$7)),0,MAX(0,ROUND((INDEX($E773:$G773,AX$5)-SUMIFS(TF_Timer,TF_Tekniker,AX$4,TF_Dato,$A773))*2,0)/2)))</f>
        <v/>
      </c>
      <c r="AY773">
        <f>IF(OR(AY$4="",$A773&gt;TODAY()),0,IF(OR(INDEX($B773:$D773,AY$5)="F",AND(AY$6&gt;0,$A773&lt;AY$6),AND(AY$7&gt;0,$A773&gt;AY$7)),0,MAX(0,ROUND((INDEX($E773:$G773,AY$5)-SUMIFS(TF_Timer,TF_Tekniker,AY$4,TF_Dato,$A773))*2,0)/2)))</f>
        <v/>
      </c>
      <c r="AZ773">
        <f>IF(OR(AZ$4="",$A773&gt;TODAY()),0,IF(OR(INDEX($B773:$D773,AZ$5)="F",AND(AZ$6&gt;0,$A773&lt;AZ$6),AND(AZ$7&gt;0,$A773&gt;AZ$7)),0,MAX(0,ROUND((INDEX($E773:$G773,AZ$5)-SUMIFS(TF_Timer,TF_Tekniker,AZ$4,TF_Dato,$A773))*2,0)/2)))</f>
        <v/>
      </c>
      <c r="BA773">
        <f>IF(OR(BA$4="",$A773&gt;TODAY()),0,IF(OR(INDEX($B773:$D773,BA$5)="F",AND(BA$6&gt;0,$A773&lt;BA$6),AND(BA$7&gt;0,$A773&gt;BA$7)),0,MAX(0,ROUND((INDEX($E773:$G773,BA$5)-SUMIFS(TF_Timer,TF_Tekniker,BA$4,TF_Dato,$A773))*2,0)/2)))</f>
        <v/>
      </c>
      <c r="BB773">
        <f>IF(OR(BB$4="",$A773&gt;TODAY()),0,IF(OR(INDEX($B773:$D773,BB$5)="F",AND(BB$6&gt;0,$A773&lt;BB$6),AND(BB$7&gt;0,$A773&gt;BB$7)),0,MAX(0,ROUND((INDEX($E773:$G773,BB$5)-SUMIFS(TF_Timer,TF_Tekniker,BB$4,TF_Dato,$A773))*2,0)/2)))</f>
        <v/>
      </c>
      <c r="BC773">
        <f>IF(OR(BC$4="",$A773&gt;TODAY()),0,IF(OR(INDEX($B773:$D773,BC$5)="F",AND(BC$6&gt;0,$A773&lt;BC$6),AND(BC$7&gt;0,$A773&gt;BC$7)),0,MAX(0,ROUND((INDEX($E773:$G773,BC$5)-SUMIFS(TF_Timer,TF_Tekniker,BC$4,TF_Dato,$A773))*2,0)/2)))</f>
        <v/>
      </c>
      <c r="BD773">
        <f>IF(OR(BD$4="",$A773&gt;TODAY()),0,IF(OR(INDEX($B773:$D773,BD$5)="F",AND(BD$6&gt;0,$A773&lt;BD$6),AND(BD$7&gt;0,$A773&gt;BD$7)),0,MAX(0,ROUND((INDEX($E773:$G773,BD$5)-SUMIFS(TF_Timer,TF_Tekniker,BD$4,TF_Dato,$A773))*2,0)/2)))</f>
        <v/>
      </c>
      <c r="BE773">
        <f>IF(OR(BE$4="",$A773&gt;TODAY()),0,IF(OR(INDEX($B773:$D773,BE$5)="F",AND(BE$6&gt;0,$A773&lt;BE$6),AND(BE$7&gt;0,$A773&gt;BE$7)),0,MAX(0,ROUND((INDEX($E773:$G773,BE$5)-SUMIFS(TF_Timer,TF_Tekniker,BE$4,TF_Dato,$A773))*2,0)/2)))</f>
        <v/>
      </c>
      <c r="BF773">
        <f>IF(OR(BF$4="",$A773&gt;TODAY()),0,IF(OR(INDEX($B773:$D773,BF$5)="F",AND(BF$6&gt;0,$A773&lt;BF$6),AND(BF$7&gt;0,$A773&gt;BF$7)),0,MAX(0,ROUND((INDEX($E773:$G773,BF$5)-SUMIFS(TF_Timer,TF_Tekniker,BF$4,TF_Dato,$A773))*2,0)/2)))</f>
        <v/>
      </c>
      <c r="BG773">
        <f>IF(OR(BG$4="",$A773&gt;TODAY()),0,IF(OR(INDEX($B773:$D773,BG$5)="F",AND(BG$6&gt;0,$A773&lt;BG$6),AND(BG$7&gt;0,$A773&gt;BG$7)),0,MAX(0,ROUND((INDEX($E773:$G773,BG$5)-SUMIFS(TF_Timer,TF_Tekniker,BG$4,TF_Dato,$A773))*2,0)/2)))</f>
        <v/>
      </c>
      <c r="BH773">
        <f>IF(OR(BH$4="",$A773&gt;TODAY()),0,IF(OR(INDEX($B773:$D773,BH$5)="F",AND(BH$6&gt;0,$A773&lt;BH$6),AND(BH$7&gt;0,$A773&gt;BH$7)),0,MAX(0,ROUND((INDEX($E773:$G773,BH$5)-SUMIFS(TF_Timer,TF_Tekniker,BH$4,TF_Dato,$A773))*2,0)/2)))</f>
        <v/>
      </c>
      <c r="BI773">
        <f>IF(OR(BI$4="",$A773&gt;TODAY()),0,IF(OR(INDEX($B773:$D773,BI$5)="F",AND(BI$6&gt;0,$A773&lt;BI$6),AND(BI$7&gt;0,$A773&gt;BI$7)),0,MAX(0,ROUND((INDEX($E773:$G773,BI$5)-SUMIFS(TF_Timer,TF_Tekniker,BI$4,TF_Dato,$A773))*2,0)/2)))</f>
        <v/>
      </c>
    </row>
    <row r="774">
      <c r="A774" s="64">
        <f>A773+1</f>
        <v/>
      </c>
      <c r="B774">
        <f>IF(MOD($A774-INDEX(SkiftStart,1),Syklus)&lt;DagK,"K",IF(MOD($A774-INDEX(SkiftStart,1),Syklus)&lt;DagK+DagH,"H",IF(MOD($A774-INDEX(SkiftStart,1),Syklus)&lt;DagK+DagH+DagD,"D","F")))</f>
        <v/>
      </c>
      <c r="C774">
        <f>IF(MOD($A774-INDEX(SkiftStart,2),Syklus)&lt;DagK,"K",IF(MOD($A774-INDEX(SkiftStart,2),Syklus)&lt;DagK+DagH,"H",IF(MOD($A774-INDEX(SkiftStart,2),Syklus)&lt;DagK+DagH+DagD,"D","F")))</f>
        <v/>
      </c>
      <c r="D774">
        <f>IF(MOD($A774-INDEX(SkiftStart,3),Syklus)&lt;DagK,"K",IF(MOD($A774-INDEX(SkiftStart,3),Syklus)&lt;DagK+DagH,"H",IF(MOD($A774-INDEX(SkiftStart,3),Syklus)&lt;DagK+DagH+DagD,"D","F")))</f>
        <v/>
      </c>
      <c r="E774">
        <f>IF(B774="F",0,IF(WEEKDAY($A774,2)=5,INDEX(TimerFr,MATCH(B774,FaseKode,0)),INDEX(TimerMT,MATCH(B774,FaseKode,0))))</f>
        <v/>
      </c>
      <c r="F774">
        <f>IF(C774="F",0,IF(WEEKDAY($A774,2)=5,INDEX(TimerFr,MATCH(C774,FaseKode,0)),INDEX(TimerMT,MATCH(C774,FaseKode,0))))</f>
        <v/>
      </c>
      <c r="G774">
        <f>IF(D774="F",0,IF(WEEKDAY($A774,2)=5,INDEX(TimerFr,MATCH(D774,FaseKode,0)),INDEX(TimerMT,MATCH(D774,FaseKode,0))))</f>
        <v/>
      </c>
      <c r="H774">
        <f>IF(OR(H$4="",$A774&gt;TODAY()),0,IF(OR(INDEX($B774:$D774,H$5)="F",AND(H$6&gt;0,$A774&lt;H$6),AND(H$7&gt;0,$A774&gt;H$7)),0,MAX(0,ROUND((INDEX($E774:$G774,H$5)-SUMIFS(TF_Timer,TF_Tekniker,H$4,TF_Dato,$A774))*2,0)/2)))</f>
        <v/>
      </c>
      <c r="I774">
        <f>IF(OR(I$4="",$A774&gt;TODAY()),0,IF(OR(INDEX($B774:$D774,I$5)="F",AND(I$6&gt;0,$A774&lt;I$6),AND(I$7&gt;0,$A774&gt;I$7)),0,MAX(0,ROUND((INDEX($E774:$G774,I$5)-SUMIFS(TF_Timer,TF_Tekniker,I$4,TF_Dato,$A774))*2,0)/2)))</f>
        <v/>
      </c>
      <c r="J774">
        <f>IF(OR(J$4="",$A774&gt;TODAY()),0,IF(OR(INDEX($B774:$D774,J$5)="F",AND(J$6&gt;0,$A774&lt;J$6),AND(J$7&gt;0,$A774&gt;J$7)),0,MAX(0,ROUND((INDEX($E774:$G774,J$5)-SUMIFS(TF_Timer,TF_Tekniker,J$4,TF_Dato,$A774))*2,0)/2)))</f>
        <v/>
      </c>
      <c r="K774">
        <f>IF(OR(K$4="",$A774&gt;TODAY()),0,IF(OR(INDEX($B774:$D774,K$5)="F",AND(K$6&gt;0,$A774&lt;K$6),AND(K$7&gt;0,$A774&gt;K$7)),0,MAX(0,ROUND((INDEX($E774:$G774,K$5)-SUMIFS(TF_Timer,TF_Tekniker,K$4,TF_Dato,$A774))*2,0)/2)))</f>
        <v/>
      </c>
      <c r="L774">
        <f>IF(OR(L$4="",$A774&gt;TODAY()),0,IF(OR(INDEX($B774:$D774,L$5)="F",AND(L$6&gt;0,$A774&lt;L$6),AND(L$7&gt;0,$A774&gt;L$7)),0,MAX(0,ROUND((INDEX($E774:$G774,L$5)-SUMIFS(TF_Timer,TF_Tekniker,L$4,TF_Dato,$A774))*2,0)/2)))</f>
        <v/>
      </c>
      <c r="M774">
        <f>IF(OR(M$4="",$A774&gt;TODAY()),0,IF(OR(INDEX($B774:$D774,M$5)="F",AND(M$6&gt;0,$A774&lt;M$6),AND(M$7&gt;0,$A774&gt;M$7)),0,MAX(0,ROUND((INDEX($E774:$G774,M$5)-SUMIFS(TF_Timer,TF_Tekniker,M$4,TF_Dato,$A774))*2,0)/2)))</f>
        <v/>
      </c>
      <c r="N774">
        <f>IF(OR(N$4="",$A774&gt;TODAY()),0,IF(OR(INDEX($B774:$D774,N$5)="F",AND(N$6&gt;0,$A774&lt;N$6),AND(N$7&gt;0,$A774&gt;N$7)),0,MAX(0,ROUND((INDEX($E774:$G774,N$5)-SUMIFS(TF_Timer,TF_Tekniker,N$4,TF_Dato,$A774))*2,0)/2)))</f>
        <v/>
      </c>
      <c r="O774">
        <f>IF(OR(O$4="",$A774&gt;TODAY()),0,IF(OR(INDEX($B774:$D774,O$5)="F",AND(O$6&gt;0,$A774&lt;O$6),AND(O$7&gt;0,$A774&gt;O$7)),0,MAX(0,ROUND((INDEX($E774:$G774,O$5)-SUMIFS(TF_Timer,TF_Tekniker,O$4,TF_Dato,$A774))*2,0)/2)))</f>
        <v/>
      </c>
      <c r="P774">
        <f>IF(OR(P$4="",$A774&gt;TODAY()),0,IF(OR(INDEX($B774:$D774,P$5)="F",AND(P$6&gt;0,$A774&lt;P$6),AND(P$7&gt;0,$A774&gt;P$7)),0,MAX(0,ROUND((INDEX($E774:$G774,P$5)-SUMIFS(TF_Timer,TF_Tekniker,P$4,TF_Dato,$A774))*2,0)/2)))</f>
        <v/>
      </c>
      <c r="Q774">
        <f>IF(OR(Q$4="",$A774&gt;TODAY()),0,IF(OR(INDEX($B774:$D774,Q$5)="F",AND(Q$6&gt;0,$A774&lt;Q$6),AND(Q$7&gt;0,$A774&gt;Q$7)),0,MAX(0,ROUND((INDEX($E774:$G774,Q$5)-SUMIFS(TF_Timer,TF_Tekniker,Q$4,TF_Dato,$A774))*2,0)/2)))</f>
        <v/>
      </c>
      <c r="R774">
        <f>IF(OR(R$4="",$A774&gt;TODAY()),0,IF(OR(INDEX($B774:$D774,R$5)="F",AND(R$6&gt;0,$A774&lt;R$6),AND(R$7&gt;0,$A774&gt;R$7)),0,MAX(0,ROUND((INDEX($E774:$G774,R$5)-SUMIFS(TF_Timer,TF_Tekniker,R$4,TF_Dato,$A774))*2,0)/2)))</f>
        <v/>
      </c>
      <c r="S774">
        <f>IF(OR(S$4="",$A774&gt;TODAY()),0,IF(OR(INDEX($B774:$D774,S$5)="F",AND(S$6&gt;0,$A774&lt;S$6),AND(S$7&gt;0,$A774&gt;S$7)),0,MAX(0,ROUND((INDEX($E774:$G774,S$5)-SUMIFS(TF_Timer,TF_Tekniker,S$4,TF_Dato,$A774))*2,0)/2)))</f>
        <v/>
      </c>
      <c r="T774">
        <f>IF(OR(T$4="",$A774&gt;TODAY()),0,IF(OR(INDEX($B774:$D774,T$5)="F",AND(T$6&gt;0,$A774&lt;T$6),AND(T$7&gt;0,$A774&gt;T$7)),0,MAX(0,ROUND((INDEX($E774:$G774,T$5)-SUMIFS(TF_Timer,TF_Tekniker,T$4,TF_Dato,$A774))*2,0)/2)))</f>
        <v/>
      </c>
      <c r="U774">
        <f>IF(OR(U$4="",$A774&gt;TODAY()),0,IF(OR(INDEX($B774:$D774,U$5)="F",AND(U$6&gt;0,$A774&lt;U$6),AND(U$7&gt;0,$A774&gt;U$7)),0,MAX(0,ROUND((INDEX($E774:$G774,U$5)-SUMIFS(TF_Timer,TF_Tekniker,U$4,TF_Dato,$A774))*2,0)/2)))</f>
        <v/>
      </c>
      <c r="V774">
        <f>IF(OR(V$4="",$A774&gt;TODAY()),0,IF(OR(INDEX($B774:$D774,V$5)="F",AND(V$6&gt;0,$A774&lt;V$6),AND(V$7&gt;0,$A774&gt;V$7)),0,MAX(0,ROUND((INDEX($E774:$G774,V$5)-SUMIFS(TF_Timer,TF_Tekniker,V$4,TF_Dato,$A774))*2,0)/2)))</f>
        <v/>
      </c>
      <c r="W774">
        <f>IF(OR(W$4="",$A774&gt;TODAY()),0,IF(OR(INDEX($B774:$D774,W$5)="F",AND(W$6&gt;0,$A774&lt;W$6),AND(W$7&gt;0,$A774&gt;W$7)),0,MAX(0,ROUND((INDEX($E774:$G774,W$5)-SUMIFS(TF_Timer,TF_Tekniker,W$4,TF_Dato,$A774))*2,0)/2)))</f>
        <v/>
      </c>
      <c r="X774">
        <f>IF(OR(X$4="",$A774&gt;TODAY()),0,IF(OR(INDEX($B774:$D774,X$5)="F",AND(X$6&gt;0,$A774&lt;X$6),AND(X$7&gt;0,$A774&gt;X$7)),0,MAX(0,ROUND((INDEX($E774:$G774,X$5)-SUMIFS(TF_Timer,TF_Tekniker,X$4,TF_Dato,$A774))*2,0)/2)))</f>
        <v/>
      </c>
      <c r="Y774">
        <f>IF(OR(Y$4="",$A774&gt;TODAY()),0,IF(OR(INDEX($B774:$D774,Y$5)="F",AND(Y$6&gt;0,$A774&lt;Y$6),AND(Y$7&gt;0,$A774&gt;Y$7)),0,MAX(0,ROUND((INDEX($E774:$G774,Y$5)-SUMIFS(TF_Timer,TF_Tekniker,Y$4,TF_Dato,$A774))*2,0)/2)))</f>
        <v/>
      </c>
      <c r="Z774">
        <f>IF(OR(Z$4="",$A774&gt;TODAY()),0,IF(OR(INDEX($B774:$D774,Z$5)="F",AND(Z$6&gt;0,$A774&lt;Z$6),AND(Z$7&gt;0,$A774&gt;Z$7)),0,MAX(0,ROUND((INDEX($E774:$G774,Z$5)-SUMIFS(TF_Timer,TF_Tekniker,Z$4,TF_Dato,$A774))*2,0)/2)))</f>
        <v/>
      </c>
      <c r="AA774">
        <f>IF(OR(AA$4="",$A774&gt;TODAY()),0,IF(OR(INDEX($B774:$D774,AA$5)="F",AND(AA$6&gt;0,$A774&lt;AA$6),AND(AA$7&gt;0,$A774&gt;AA$7)),0,MAX(0,ROUND((INDEX($E774:$G774,AA$5)-SUMIFS(TF_Timer,TF_Tekniker,AA$4,TF_Dato,$A774))*2,0)/2)))</f>
        <v/>
      </c>
      <c r="AB774">
        <f>IF(OR(AB$4="",$A774&gt;TODAY()),0,IF(OR(INDEX($B774:$D774,AB$5)="F",AND(AB$6&gt;0,$A774&lt;AB$6),AND(AB$7&gt;0,$A774&gt;AB$7)),0,MAX(0,ROUND((INDEX($E774:$G774,AB$5)-SUMIFS(TF_Timer,TF_Tekniker,AB$4,TF_Dato,$A774))*2,0)/2)))</f>
        <v/>
      </c>
      <c r="AC774">
        <f>IF(OR(AC$4="",$A774&gt;TODAY()),0,IF(OR(INDEX($B774:$D774,AC$5)="F",AND(AC$6&gt;0,$A774&lt;AC$6),AND(AC$7&gt;0,$A774&gt;AC$7)),0,MAX(0,ROUND((INDEX($E774:$G774,AC$5)-SUMIFS(TF_Timer,TF_Tekniker,AC$4,TF_Dato,$A774))*2,0)/2)))</f>
        <v/>
      </c>
      <c r="AD774">
        <f>IF(OR(AD$4="",$A774&gt;TODAY()),0,IF(OR(INDEX($B774:$D774,AD$5)="F",AND(AD$6&gt;0,$A774&lt;AD$6),AND(AD$7&gt;0,$A774&gt;AD$7)),0,MAX(0,ROUND((INDEX($E774:$G774,AD$5)-SUMIFS(TF_Timer,TF_Tekniker,AD$4,TF_Dato,$A774))*2,0)/2)))</f>
        <v/>
      </c>
      <c r="AE774">
        <f>IF(OR(AE$4="",$A774&gt;TODAY()),0,IF(OR(INDEX($B774:$D774,AE$5)="F",AND(AE$6&gt;0,$A774&lt;AE$6),AND(AE$7&gt;0,$A774&gt;AE$7)),0,MAX(0,ROUND((INDEX($E774:$G774,AE$5)-SUMIFS(TF_Timer,TF_Tekniker,AE$4,TF_Dato,$A774))*2,0)/2)))</f>
        <v/>
      </c>
      <c r="AF774">
        <f>IF(OR(AF$4="",$A774&gt;TODAY()),0,IF(OR(INDEX($B774:$D774,AF$5)="F",AND(AF$6&gt;0,$A774&lt;AF$6),AND(AF$7&gt;0,$A774&gt;AF$7)),0,MAX(0,ROUND((INDEX($E774:$G774,AF$5)-SUMIFS(TF_Timer,TF_Tekniker,AF$4,TF_Dato,$A774))*2,0)/2)))</f>
        <v/>
      </c>
      <c r="AG774">
        <f>IF(OR(AG$4="",$A774&gt;TODAY()),0,IF(OR(INDEX($B774:$D774,AG$5)="F",AND(AG$6&gt;0,$A774&lt;AG$6),AND(AG$7&gt;0,$A774&gt;AG$7)),0,MAX(0,ROUND((INDEX($E774:$G774,AG$5)-SUMIFS(TF_Timer,TF_Tekniker,AG$4,TF_Dato,$A774))*2,0)/2)))</f>
        <v/>
      </c>
      <c r="AH774">
        <f>IF(OR(AH$4="",$A774&gt;TODAY()),0,IF(OR(INDEX($B774:$D774,AH$5)="F",AND(AH$6&gt;0,$A774&lt;AH$6),AND(AH$7&gt;0,$A774&gt;AH$7)),0,MAX(0,ROUND((INDEX($E774:$G774,AH$5)-SUMIFS(TF_Timer,TF_Tekniker,AH$4,TF_Dato,$A774))*2,0)/2)))</f>
        <v/>
      </c>
      <c r="AI774">
        <f>IF(OR(AI$4="",$A774&gt;TODAY()),0,IF(OR(INDEX($B774:$D774,AI$5)="F",AND(AI$6&gt;0,$A774&lt;AI$6),AND(AI$7&gt;0,$A774&gt;AI$7)),0,MAX(0,ROUND((INDEX($E774:$G774,AI$5)-SUMIFS(TF_Timer,TF_Tekniker,AI$4,TF_Dato,$A774))*2,0)/2)))</f>
        <v/>
      </c>
      <c r="AJ774">
        <f>IF(OR(AJ$4="",$A774&gt;TODAY()),0,IF(OR(INDEX($B774:$D774,AJ$5)="F",AND(AJ$6&gt;0,$A774&lt;AJ$6),AND(AJ$7&gt;0,$A774&gt;AJ$7)),0,MAX(0,ROUND((INDEX($E774:$G774,AJ$5)-SUMIFS(TF_Timer,TF_Tekniker,AJ$4,TF_Dato,$A774))*2,0)/2)))</f>
        <v/>
      </c>
      <c r="AK774">
        <f>IF(OR(AK$4="",$A774&gt;TODAY()),0,IF(OR(INDEX($B774:$D774,AK$5)="F",AND(AK$6&gt;0,$A774&lt;AK$6),AND(AK$7&gt;0,$A774&gt;AK$7)),0,MAX(0,ROUND((INDEX($E774:$G774,AK$5)-SUMIFS(TF_Timer,TF_Tekniker,AK$4,TF_Dato,$A774))*2,0)/2)))</f>
        <v/>
      </c>
      <c r="AL774">
        <f>IF(OR(AL$4="",$A774&gt;TODAY()),0,IF(OR(INDEX($B774:$D774,AL$5)="F",AND(AL$6&gt;0,$A774&lt;AL$6),AND(AL$7&gt;0,$A774&gt;AL$7)),0,MAX(0,ROUND((INDEX($E774:$G774,AL$5)-SUMIFS(TF_Timer,TF_Tekniker,AL$4,TF_Dato,$A774))*2,0)/2)))</f>
        <v/>
      </c>
      <c r="AM774">
        <f>IF(OR(AM$4="",$A774&gt;TODAY()),0,IF(OR(INDEX($B774:$D774,AM$5)="F",AND(AM$6&gt;0,$A774&lt;AM$6),AND(AM$7&gt;0,$A774&gt;AM$7)),0,MAX(0,ROUND((INDEX($E774:$G774,AM$5)-SUMIFS(TF_Timer,TF_Tekniker,AM$4,TF_Dato,$A774))*2,0)/2)))</f>
        <v/>
      </c>
      <c r="AN774">
        <f>IF(OR(AN$4="",$A774&gt;TODAY()),0,IF(OR(INDEX($B774:$D774,AN$5)="F",AND(AN$6&gt;0,$A774&lt;AN$6),AND(AN$7&gt;0,$A774&gt;AN$7)),0,MAX(0,ROUND((INDEX($E774:$G774,AN$5)-SUMIFS(TF_Timer,TF_Tekniker,AN$4,TF_Dato,$A774))*2,0)/2)))</f>
        <v/>
      </c>
      <c r="AO774">
        <f>IF(OR(AO$4="",$A774&gt;TODAY()),0,IF(OR(INDEX($B774:$D774,AO$5)="F",AND(AO$6&gt;0,$A774&lt;AO$6),AND(AO$7&gt;0,$A774&gt;AO$7)),0,MAX(0,ROUND((INDEX($E774:$G774,AO$5)-SUMIFS(TF_Timer,TF_Tekniker,AO$4,TF_Dato,$A774))*2,0)/2)))</f>
        <v/>
      </c>
      <c r="AP774">
        <f>IF(OR(AP$4="",$A774&gt;TODAY()),0,IF(OR(INDEX($B774:$D774,AP$5)="F",AND(AP$6&gt;0,$A774&lt;AP$6),AND(AP$7&gt;0,$A774&gt;AP$7)),0,MAX(0,ROUND((INDEX($E774:$G774,AP$5)-SUMIFS(TF_Timer,TF_Tekniker,AP$4,TF_Dato,$A774))*2,0)/2)))</f>
        <v/>
      </c>
      <c r="AQ774">
        <f>IF(OR(AQ$4="",$A774&gt;TODAY()),0,IF(OR(INDEX($B774:$D774,AQ$5)="F",AND(AQ$6&gt;0,$A774&lt;AQ$6),AND(AQ$7&gt;0,$A774&gt;AQ$7)),0,MAX(0,ROUND((INDEX($E774:$G774,AQ$5)-SUMIFS(TF_Timer,TF_Tekniker,AQ$4,TF_Dato,$A774))*2,0)/2)))</f>
        <v/>
      </c>
      <c r="AR774">
        <f>IF(OR(AR$4="",$A774&gt;TODAY()),0,IF(OR(INDEX($B774:$D774,AR$5)="F",AND(AR$6&gt;0,$A774&lt;AR$6),AND(AR$7&gt;0,$A774&gt;AR$7)),0,MAX(0,ROUND((INDEX($E774:$G774,AR$5)-SUMIFS(TF_Timer,TF_Tekniker,AR$4,TF_Dato,$A774))*2,0)/2)))</f>
        <v/>
      </c>
      <c r="AS774">
        <f>IF(OR(AS$4="",$A774&gt;TODAY()),0,IF(OR(INDEX($B774:$D774,AS$5)="F",AND(AS$6&gt;0,$A774&lt;AS$6),AND(AS$7&gt;0,$A774&gt;AS$7)),0,MAX(0,ROUND((INDEX($E774:$G774,AS$5)-SUMIFS(TF_Timer,TF_Tekniker,AS$4,TF_Dato,$A774))*2,0)/2)))</f>
        <v/>
      </c>
      <c r="AT774">
        <f>IF(OR(AT$4="",$A774&gt;TODAY()),0,IF(OR(INDEX($B774:$D774,AT$5)="F",AND(AT$6&gt;0,$A774&lt;AT$6),AND(AT$7&gt;0,$A774&gt;AT$7)),0,MAX(0,ROUND((INDEX($E774:$G774,AT$5)-SUMIFS(TF_Timer,TF_Tekniker,AT$4,TF_Dato,$A774))*2,0)/2)))</f>
        <v/>
      </c>
      <c r="AU774">
        <f>IF(OR(AU$4="",$A774&gt;TODAY()),0,IF(OR(INDEX($B774:$D774,AU$5)="F",AND(AU$6&gt;0,$A774&lt;AU$6),AND(AU$7&gt;0,$A774&gt;AU$7)),0,MAX(0,ROUND((INDEX($E774:$G774,AU$5)-SUMIFS(TF_Timer,TF_Tekniker,AU$4,TF_Dato,$A774))*2,0)/2)))</f>
        <v/>
      </c>
      <c r="AV774">
        <f>IF(OR(AV$4="",$A774&gt;TODAY()),0,IF(OR(INDEX($B774:$D774,AV$5)="F",AND(AV$6&gt;0,$A774&lt;AV$6),AND(AV$7&gt;0,$A774&gt;AV$7)),0,MAX(0,ROUND((INDEX($E774:$G774,AV$5)-SUMIFS(TF_Timer,TF_Tekniker,AV$4,TF_Dato,$A774))*2,0)/2)))</f>
        <v/>
      </c>
      <c r="AW774">
        <f>IF(OR(AW$4="",$A774&gt;TODAY()),0,IF(OR(INDEX($B774:$D774,AW$5)="F",AND(AW$6&gt;0,$A774&lt;AW$6),AND(AW$7&gt;0,$A774&gt;AW$7)),0,MAX(0,ROUND((INDEX($E774:$G774,AW$5)-SUMIFS(TF_Timer,TF_Tekniker,AW$4,TF_Dato,$A774))*2,0)/2)))</f>
        <v/>
      </c>
      <c r="AX774">
        <f>IF(OR(AX$4="",$A774&gt;TODAY()),0,IF(OR(INDEX($B774:$D774,AX$5)="F",AND(AX$6&gt;0,$A774&lt;AX$6),AND(AX$7&gt;0,$A774&gt;AX$7)),0,MAX(0,ROUND((INDEX($E774:$G774,AX$5)-SUMIFS(TF_Timer,TF_Tekniker,AX$4,TF_Dato,$A774))*2,0)/2)))</f>
        <v/>
      </c>
      <c r="AY774">
        <f>IF(OR(AY$4="",$A774&gt;TODAY()),0,IF(OR(INDEX($B774:$D774,AY$5)="F",AND(AY$6&gt;0,$A774&lt;AY$6),AND(AY$7&gt;0,$A774&gt;AY$7)),0,MAX(0,ROUND((INDEX($E774:$G774,AY$5)-SUMIFS(TF_Timer,TF_Tekniker,AY$4,TF_Dato,$A774))*2,0)/2)))</f>
        <v/>
      </c>
      <c r="AZ774">
        <f>IF(OR(AZ$4="",$A774&gt;TODAY()),0,IF(OR(INDEX($B774:$D774,AZ$5)="F",AND(AZ$6&gt;0,$A774&lt;AZ$6),AND(AZ$7&gt;0,$A774&gt;AZ$7)),0,MAX(0,ROUND((INDEX($E774:$G774,AZ$5)-SUMIFS(TF_Timer,TF_Tekniker,AZ$4,TF_Dato,$A774))*2,0)/2)))</f>
        <v/>
      </c>
      <c r="BA774">
        <f>IF(OR(BA$4="",$A774&gt;TODAY()),0,IF(OR(INDEX($B774:$D774,BA$5)="F",AND(BA$6&gt;0,$A774&lt;BA$6),AND(BA$7&gt;0,$A774&gt;BA$7)),0,MAX(0,ROUND((INDEX($E774:$G774,BA$5)-SUMIFS(TF_Timer,TF_Tekniker,BA$4,TF_Dato,$A774))*2,0)/2)))</f>
        <v/>
      </c>
      <c r="BB774">
        <f>IF(OR(BB$4="",$A774&gt;TODAY()),0,IF(OR(INDEX($B774:$D774,BB$5)="F",AND(BB$6&gt;0,$A774&lt;BB$6),AND(BB$7&gt;0,$A774&gt;BB$7)),0,MAX(0,ROUND((INDEX($E774:$G774,BB$5)-SUMIFS(TF_Timer,TF_Tekniker,BB$4,TF_Dato,$A774))*2,0)/2)))</f>
        <v/>
      </c>
      <c r="BC774">
        <f>IF(OR(BC$4="",$A774&gt;TODAY()),0,IF(OR(INDEX($B774:$D774,BC$5)="F",AND(BC$6&gt;0,$A774&lt;BC$6),AND(BC$7&gt;0,$A774&gt;BC$7)),0,MAX(0,ROUND((INDEX($E774:$G774,BC$5)-SUMIFS(TF_Timer,TF_Tekniker,BC$4,TF_Dato,$A774))*2,0)/2)))</f>
        <v/>
      </c>
      <c r="BD774">
        <f>IF(OR(BD$4="",$A774&gt;TODAY()),0,IF(OR(INDEX($B774:$D774,BD$5)="F",AND(BD$6&gt;0,$A774&lt;BD$6),AND(BD$7&gt;0,$A774&gt;BD$7)),0,MAX(0,ROUND((INDEX($E774:$G774,BD$5)-SUMIFS(TF_Timer,TF_Tekniker,BD$4,TF_Dato,$A774))*2,0)/2)))</f>
        <v/>
      </c>
      <c r="BE774">
        <f>IF(OR(BE$4="",$A774&gt;TODAY()),0,IF(OR(INDEX($B774:$D774,BE$5)="F",AND(BE$6&gt;0,$A774&lt;BE$6),AND(BE$7&gt;0,$A774&gt;BE$7)),0,MAX(0,ROUND((INDEX($E774:$G774,BE$5)-SUMIFS(TF_Timer,TF_Tekniker,BE$4,TF_Dato,$A774))*2,0)/2)))</f>
        <v/>
      </c>
      <c r="BF774">
        <f>IF(OR(BF$4="",$A774&gt;TODAY()),0,IF(OR(INDEX($B774:$D774,BF$5)="F",AND(BF$6&gt;0,$A774&lt;BF$6),AND(BF$7&gt;0,$A774&gt;BF$7)),0,MAX(0,ROUND((INDEX($E774:$G774,BF$5)-SUMIFS(TF_Timer,TF_Tekniker,BF$4,TF_Dato,$A774))*2,0)/2)))</f>
        <v/>
      </c>
      <c r="BG774">
        <f>IF(OR(BG$4="",$A774&gt;TODAY()),0,IF(OR(INDEX($B774:$D774,BG$5)="F",AND(BG$6&gt;0,$A774&lt;BG$6),AND(BG$7&gt;0,$A774&gt;BG$7)),0,MAX(0,ROUND((INDEX($E774:$G774,BG$5)-SUMIFS(TF_Timer,TF_Tekniker,BG$4,TF_Dato,$A774))*2,0)/2)))</f>
        <v/>
      </c>
      <c r="BH774">
        <f>IF(OR(BH$4="",$A774&gt;TODAY()),0,IF(OR(INDEX($B774:$D774,BH$5)="F",AND(BH$6&gt;0,$A774&lt;BH$6),AND(BH$7&gt;0,$A774&gt;BH$7)),0,MAX(0,ROUND((INDEX($E774:$G774,BH$5)-SUMIFS(TF_Timer,TF_Tekniker,BH$4,TF_Dato,$A774))*2,0)/2)))</f>
        <v/>
      </c>
      <c r="BI774">
        <f>IF(OR(BI$4="",$A774&gt;TODAY()),0,IF(OR(INDEX($B774:$D774,BI$5)="F",AND(BI$6&gt;0,$A774&lt;BI$6),AND(BI$7&gt;0,$A774&gt;BI$7)),0,MAX(0,ROUND((INDEX($E774:$G774,BI$5)-SUMIFS(TF_Timer,TF_Tekniker,BI$4,TF_Dato,$A774))*2,0)/2)))</f>
        <v/>
      </c>
    </row>
    <row r="775">
      <c r="A775" s="64">
        <f>A774+1</f>
        <v/>
      </c>
      <c r="B775">
        <f>IF(MOD($A775-INDEX(SkiftStart,1),Syklus)&lt;DagK,"K",IF(MOD($A775-INDEX(SkiftStart,1),Syklus)&lt;DagK+DagH,"H",IF(MOD($A775-INDEX(SkiftStart,1),Syklus)&lt;DagK+DagH+DagD,"D","F")))</f>
        <v/>
      </c>
      <c r="C775">
        <f>IF(MOD($A775-INDEX(SkiftStart,2),Syklus)&lt;DagK,"K",IF(MOD($A775-INDEX(SkiftStart,2),Syklus)&lt;DagK+DagH,"H",IF(MOD($A775-INDEX(SkiftStart,2),Syklus)&lt;DagK+DagH+DagD,"D","F")))</f>
        <v/>
      </c>
      <c r="D775">
        <f>IF(MOD($A775-INDEX(SkiftStart,3),Syklus)&lt;DagK,"K",IF(MOD($A775-INDEX(SkiftStart,3),Syklus)&lt;DagK+DagH,"H",IF(MOD($A775-INDEX(SkiftStart,3),Syklus)&lt;DagK+DagH+DagD,"D","F")))</f>
        <v/>
      </c>
      <c r="E775">
        <f>IF(B775="F",0,IF(WEEKDAY($A775,2)=5,INDEX(TimerFr,MATCH(B775,FaseKode,0)),INDEX(TimerMT,MATCH(B775,FaseKode,0))))</f>
        <v/>
      </c>
      <c r="F775">
        <f>IF(C775="F",0,IF(WEEKDAY($A775,2)=5,INDEX(TimerFr,MATCH(C775,FaseKode,0)),INDEX(TimerMT,MATCH(C775,FaseKode,0))))</f>
        <v/>
      </c>
      <c r="G775">
        <f>IF(D775="F",0,IF(WEEKDAY($A775,2)=5,INDEX(TimerFr,MATCH(D775,FaseKode,0)),INDEX(TimerMT,MATCH(D775,FaseKode,0))))</f>
        <v/>
      </c>
      <c r="H775">
        <f>IF(OR(H$4="",$A775&gt;TODAY()),0,IF(OR(INDEX($B775:$D775,H$5)="F",AND(H$6&gt;0,$A775&lt;H$6),AND(H$7&gt;0,$A775&gt;H$7)),0,MAX(0,ROUND((INDEX($E775:$G775,H$5)-SUMIFS(TF_Timer,TF_Tekniker,H$4,TF_Dato,$A775))*2,0)/2)))</f>
        <v/>
      </c>
      <c r="I775">
        <f>IF(OR(I$4="",$A775&gt;TODAY()),0,IF(OR(INDEX($B775:$D775,I$5)="F",AND(I$6&gt;0,$A775&lt;I$6),AND(I$7&gt;0,$A775&gt;I$7)),0,MAX(0,ROUND((INDEX($E775:$G775,I$5)-SUMIFS(TF_Timer,TF_Tekniker,I$4,TF_Dato,$A775))*2,0)/2)))</f>
        <v/>
      </c>
      <c r="J775">
        <f>IF(OR(J$4="",$A775&gt;TODAY()),0,IF(OR(INDEX($B775:$D775,J$5)="F",AND(J$6&gt;0,$A775&lt;J$6),AND(J$7&gt;0,$A775&gt;J$7)),0,MAX(0,ROUND((INDEX($E775:$G775,J$5)-SUMIFS(TF_Timer,TF_Tekniker,J$4,TF_Dato,$A775))*2,0)/2)))</f>
        <v/>
      </c>
      <c r="K775">
        <f>IF(OR(K$4="",$A775&gt;TODAY()),0,IF(OR(INDEX($B775:$D775,K$5)="F",AND(K$6&gt;0,$A775&lt;K$6),AND(K$7&gt;0,$A775&gt;K$7)),0,MAX(0,ROUND((INDEX($E775:$G775,K$5)-SUMIFS(TF_Timer,TF_Tekniker,K$4,TF_Dato,$A775))*2,0)/2)))</f>
        <v/>
      </c>
      <c r="L775">
        <f>IF(OR(L$4="",$A775&gt;TODAY()),0,IF(OR(INDEX($B775:$D775,L$5)="F",AND(L$6&gt;0,$A775&lt;L$6),AND(L$7&gt;0,$A775&gt;L$7)),0,MAX(0,ROUND((INDEX($E775:$G775,L$5)-SUMIFS(TF_Timer,TF_Tekniker,L$4,TF_Dato,$A775))*2,0)/2)))</f>
        <v/>
      </c>
      <c r="M775">
        <f>IF(OR(M$4="",$A775&gt;TODAY()),0,IF(OR(INDEX($B775:$D775,M$5)="F",AND(M$6&gt;0,$A775&lt;M$6),AND(M$7&gt;0,$A775&gt;M$7)),0,MAX(0,ROUND((INDEX($E775:$G775,M$5)-SUMIFS(TF_Timer,TF_Tekniker,M$4,TF_Dato,$A775))*2,0)/2)))</f>
        <v/>
      </c>
      <c r="N775">
        <f>IF(OR(N$4="",$A775&gt;TODAY()),0,IF(OR(INDEX($B775:$D775,N$5)="F",AND(N$6&gt;0,$A775&lt;N$6),AND(N$7&gt;0,$A775&gt;N$7)),0,MAX(0,ROUND((INDEX($E775:$G775,N$5)-SUMIFS(TF_Timer,TF_Tekniker,N$4,TF_Dato,$A775))*2,0)/2)))</f>
        <v/>
      </c>
      <c r="O775">
        <f>IF(OR(O$4="",$A775&gt;TODAY()),0,IF(OR(INDEX($B775:$D775,O$5)="F",AND(O$6&gt;0,$A775&lt;O$6),AND(O$7&gt;0,$A775&gt;O$7)),0,MAX(0,ROUND((INDEX($E775:$G775,O$5)-SUMIFS(TF_Timer,TF_Tekniker,O$4,TF_Dato,$A775))*2,0)/2)))</f>
        <v/>
      </c>
      <c r="P775">
        <f>IF(OR(P$4="",$A775&gt;TODAY()),0,IF(OR(INDEX($B775:$D775,P$5)="F",AND(P$6&gt;0,$A775&lt;P$6),AND(P$7&gt;0,$A775&gt;P$7)),0,MAX(0,ROUND((INDEX($E775:$G775,P$5)-SUMIFS(TF_Timer,TF_Tekniker,P$4,TF_Dato,$A775))*2,0)/2)))</f>
        <v/>
      </c>
      <c r="Q775">
        <f>IF(OR(Q$4="",$A775&gt;TODAY()),0,IF(OR(INDEX($B775:$D775,Q$5)="F",AND(Q$6&gt;0,$A775&lt;Q$6),AND(Q$7&gt;0,$A775&gt;Q$7)),0,MAX(0,ROUND((INDEX($E775:$G775,Q$5)-SUMIFS(TF_Timer,TF_Tekniker,Q$4,TF_Dato,$A775))*2,0)/2)))</f>
        <v/>
      </c>
      <c r="R775">
        <f>IF(OR(R$4="",$A775&gt;TODAY()),0,IF(OR(INDEX($B775:$D775,R$5)="F",AND(R$6&gt;0,$A775&lt;R$6),AND(R$7&gt;0,$A775&gt;R$7)),0,MAX(0,ROUND((INDEX($E775:$G775,R$5)-SUMIFS(TF_Timer,TF_Tekniker,R$4,TF_Dato,$A775))*2,0)/2)))</f>
        <v/>
      </c>
      <c r="S775">
        <f>IF(OR(S$4="",$A775&gt;TODAY()),0,IF(OR(INDEX($B775:$D775,S$5)="F",AND(S$6&gt;0,$A775&lt;S$6),AND(S$7&gt;0,$A775&gt;S$7)),0,MAX(0,ROUND((INDEX($E775:$G775,S$5)-SUMIFS(TF_Timer,TF_Tekniker,S$4,TF_Dato,$A775))*2,0)/2)))</f>
        <v/>
      </c>
      <c r="T775">
        <f>IF(OR(T$4="",$A775&gt;TODAY()),0,IF(OR(INDEX($B775:$D775,T$5)="F",AND(T$6&gt;0,$A775&lt;T$6),AND(T$7&gt;0,$A775&gt;T$7)),0,MAX(0,ROUND((INDEX($E775:$G775,T$5)-SUMIFS(TF_Timer,TF_Tekniker,T$4,TF_Dato,$A775))*2,0)/2)))</f>
        <v/>
      </c>
      <c r="U775">
        <f>IF(OR(U$4="",$A775&gt;TODAY()),0,IF(OR(INDEX($B775:$D775,U$5)="F",AND(U$6&gt;0,$A775&lt;U$6),AND(U$7&gt;0,$A775&gt;U$7)),0,MAX(0,ROUND((INDEX($E775:$G775,U$5)-SUMIFS(TF_Timer,TF_Tekniker,U$4,TF_Dato,$A775))*2,0)/2)))</f>
        <v/>
      </c>
      <c r="V775">
        <f>IF(OR(V$4="",$A775&gt;TODAY()),0,IF(OR(INDEX($B775:$D775,V$5)="F",AND(V$6&gt;0,$A775&lt;V$6),AND(V$7&gt;0,$A775&gt;V$7)),0,MAX(0,ROUND((INDEX($E775:$G775,V$5)-SUMIFS(TF_Timer,TF_Tekniker,V$4,TF_Dato,$A775))*2,0)/2)))</f>
        <v/>
      </c>
      <c r="W775">
        <f>IF(OR(W$4="",$A775&gt;TODAY()),0,IF(OR(INDEX($B775:$D775,W$5)="F",AND(W$6&gt;0,$A775&lt;W$6),AND(W$7&gt;0,$A775&gt;W$7)),0,MAX(0,ROUND((INDEX($E775:$G775,W$5)-SUMIFS(TF_Timer,TF_Tekniker,W$4,TF_Dato,$A775))*2,0)/2)))</f>
        <v/>
      </c>
      <c r="X775">
        <f>IF(OR(X$4="",$A775&gt;TODAY()),0,IF(OR(INDEX($B775:$D775,X$5)="F",AND(X$6&gt;0,$A775&lt;X$6),AND(X$7&gt;0,$A775&gt;X$7)),0,MAX(0,ROUND((INDEX($E775:$G775,X$5)-SUMIFS(TF_Timer,TF_Tekniker,X$4,TF_Dato,$A775))*2,0)/2)))</f>
        <v/>
      </c>
      <c r="Y775">
        <f>IF(OR(Y$4="",$A775&gt;TODAY()),0,IF(OR(INDEX($B775:$D775,Y$5)="F",AND(Y$6&gt;0,$A775&lt;Y$6),AND(Y$7&gt;0,$A775&gt;Y$7)),0,MAX(0,ROUND((INDEX($E775:$G775,Y$5)-SUMIFS(TF_Timer,TF_Tekniker,Y$4,TF_Dato,$A775))*2,0)/2)))</f>
        <v/>
      </c>
      <c r="Z775">
        <f>IF(OR(Z$4="",$A775&gt;TODAY()),0,IF(OR(INDEX($B775:$D775,Z$5)="F",AND(Z$6&gt;0,$A775&lt;Z$6),AND(Z$7&gt;0,$A775&gt;Z$7)),0,MAX(0,ROUND((INDEX($E775:$G775,Z$5)-SUMIFS(TF_Timer,TF_Tekniker,Z$4,TF_Dato,$A775))*2,0)/2)))</f>
        <v/>
      </c>
      <c r="AA775">
        <f>IF(OR(AA$4="",$A775&gt;TODAY()),0,IF(OR(INDEX($B775:$D775,AA$5)="F",AND(AA$6&gt;0,$A775&lt;AA$6),AND(AA$7&gt;0,$A775&gt;AA$7)),0,MAX(0,ROUND((INDEX($E775:$G775,AA$5)-SUMIFS(TF_Timer,TF_Tekniker,AA$4,TF_Dato,$A775))*2,0)/2)))</f>
        <v/>
      </c>
      <c r="AB775">
        <f>IF(OR(AB$4="",$A775&gt;TODAY()),0,IF(OR(INDEX($B775:$D775,AB$5)="F",AND(AB$6&gt;0,$A775&lt;AB$6),AND(AB$7&gt;0,$A775&gt;AB$7)),0,MAX(0,ROUND((INDEX($E775:$G775,AB$5)-SUMIFS(TF_Timer,TF_Tekniker,AB$4,TF_Dato,$A775))*2,0)/2)))</f>
        <v/>
      </c>
      <c r="AC775">
        <f>IF(OR(AC$4="",$A775&gt;TODAY()),0,IF(OR(INDEX($B775:$D775,AC$5)="F",AND(AC$6&gt;0,$A775&lt;AC$6),AND(AC$7&gt;0,$A775&gt;AC$7)),0,MAX(0,ROUND((INDEX($E775:$G775,AC$5)-SUMIFS(TF_Timer,TF_Tekniker,AC$4,TF_Dato,$A775))*2,0)/2)))</f>
        <v/>
      </c>
      <c r="AD775">
        <f>IF(OR(AD$4="",$A775&gt;TODAY()),0,IF(OR(INDEX($B775:$D775,AD$5)="F",AND(AD$6&gt;0,$A775&lt;AD$6),AND(AD$7&gt;0,$A775&gt;AD$7)),0,MAX(0,ROUND((INDEX($E775:$G775,AD$5)-SUMIFS(TF_Timer,TF_Tekniker,AD$4,TF_Dato,$A775))*2,0)/2)))</f>
        <v/>
      </c>
      <c r="AE775">
        <f>IF(OR(AE$4="",$A775&gt;TODAY()),0,IF(OR(INDEX($B775:$D775,AE$5)="F",AND(AE$6&gt;0,$A775&lt;AE$6),AND(AE$7&gt;0,$A775&gt;AE$7)),0,MAX(0,ROUND((INDEX($E775:$G775,AE$5)-SUMIFS(TF_Timer,TF_Tekniker,AE$4,TF_Dato,$A775))*2,0)/2)))</f>
        <v/>
      </c>
      <c r="AF775">
        <f>IF(OR(AF$4="",$A775&gt;TODAY()),0,IF(OR(INDEX($B775:$D775,AF$5)="F",AND(AF$6&gt;0,$A775&lt;AF$6),AND(AF$7&gt;0,$A775&gt;AF$7)),0,MAX(0,ROUND((INDEX($E775:$G775,AF$5)-SUMIFS(TF_Timer,TF_Tekniker,AF$4,TF_Dato,$A775))*2,0)/2)))</f>
        <v/>
      </c>
      <c r="AG775">
        <f>IF(OR(AG$4="",$A775&gt;TODAY()),0,IF(OR(INDEX($B775:$D775,AG$5)="F",AND(AG$6&gt;0,$A775&lt;AG$6),AND(AG$7&gt;0,$A775&gt;AG$7)),0,MAX(0,ROUND((INDEX($E775:$G775,AG$5)-SUMIFS(TF_Timer,TF_Tekniker,AG$4,TF_Dato,$A775))*2,0)/2)))</f>
        <v/>
      </c>
      <c r="AH775">
        <f>IF(OR(AH$4="",$A775&gt;TODAY()),0,IF(OR(INDEX($B775:$D775,AH$5)="F",AND(AH$6&gt;0,$A775&lt;AH$6),AND(AH$7&gt;0,$A775&gt;AH$7)),0,MAX(0,ROUND((INDEX($E775:$G775,AH$5)-SUMIFS(TF_Timer,TF_Tekniker,AH$4,TF_Dato,$A775))*2,0)/2)))</f>
        <v/>
      </c>
      <c r="AI775">
        <f>IF(OR(AI$4="",$A775&gt;TODAY()),0,IF(OR(INDEX($B775:$D775,AI$5)="F",AND(AI$6&gt;0,$A775&lt;AI$6),AND(AI$7&gt;0,$A775&gt;AI$7)),0,MAX(0,ROUND((INDEX($E775:$G775,AI$5)-SUMIFS(TF_Timer,TF_Tekniker,AI$4,TF_Dato,$A775))*2,0)/2)))</f>
        <v/>
      </c>
      <c r="AJ775">
        <f>IF(OR(AJ$4="",$A775&gt;TODAY()),0,IF(OR(INDEX($B775:$D775,AJ$5)="F",AND(AJ$6&gt;0,$A775&lt;AJ$6),AND(AJ$7&gt;0,$A775&gt;AJ$7)),0,MAX(0,ROUND((INDEX($E775:$G775,AJ$5)-SUMIFS(TF_Timer,TF_Tekniker,AJ$4,TF_Dato,$A775))*2,0)/2)))</f>
        <v/>
      </c>
      <c r="AK775">
        <f>IF(OR(AK$4="",$A775&gt;TODAY()),0,IF(OR(INDEX($B775:$D775,AK$5)="F",AND(AK$6&gt;0,$A775&lt;AK$6),AND(AK$7&gt;0,$A775&gt;AK$7)),0,MAX(0,ROUND((INDEX($E775:$G775,AK$5)-SUMIFS(TF_Timer,TF_Tekniker,AK$4,TF_Dato,$A775))*2,0)/2)))</f>
        <v/>
      </c>
      <c r="AL775">
        <f>IF(OR(AL$4="",$A775&gt;TODAY()),0,IF(OR(INDEX($B775:$D775,AL$5)="F",AND(AL$6&gt;0,$A775&lt;AL$6),AND(AL$7&gt;0,$A775&gt;AL$7)),0,MAX(0,ROUND((INDEX($E775:$G775,AL$5)-SUMIFS(TF_Timer,TF_Tekniker,AL$4,TF_Dato,$A775))*2,0)/2)))</f>
        <v/>
      </c>
      <c r="AM775">
        <f>IF(OR(AM$4="",$A775&gt;TODAY()),0,IF(OR(INDEX($B775:$D775,AM$5)="F",AND(AM$6&gt;0,$A775&lt;AM$6),AND(AM$7&gt;0,$A775&gt;AM$7)),0,MAX(0,ROUND((INDEX($E775:$G775,AM$5)-SUMIFS(TF_Timer,TF_Tekniker,AM$4,TF_Dato,$A775))*2,0)/2)))</f>
        <v/>
      </c>
      <c r="AN775">
        <f>IF(OR(AN$4="",$A775&gt;TODAY()),0,IF(OR(INDEX($B775:$D775,AN$5)="F",AND(AN$6&gt;0,$A775&lt;AN$6),AND(AN$7&gt;0,$A775&gt;AN$7)),0,MAX(0,ROUND((INDEX($E775:$G775,AN$5)-SUMIFS(TF_Timer,TF_Tekniker,AN$4,TF_Dato,$A775))*2,0)/2)))</f>
        <v/>
      </c>
      <c r="AO775">
        <f>IF(OR(AO$4="",$A775&gt;TODAY()),0,IF(OR(INDEX($B775:$D775,AO$5)="F",AND(AO$6&gt;0,$A775&lt;AO$6),AND(AO$7&gt;0,$A775&gt;AO$7)),0,MAX(0,ROUND((INDEX($E775:$G775,AO$5)-SUMIFS(TF_Timer,TF_Tekniker,AO$4,TF_Dato,$A775))*2,0)/2)))</f>
        <v/>
      </c>
      <c r="AP775">
        <f>IF(OR(AP$4="",$A775&gt;TODAY()),0,IF(OR(INDEX($B775:$D775,AP$5)="F",AND(AP$6&gt;0,$A775&lt;AP$6),AND(AP$7&gt;0,$A775&gt;AP$7)),0,MAX(0,ROUND((INDEX($E775:$G775,AP$5)-SUMIFS(TF_Timer,TF_Tekniker,AP$4,TF_Dato,$A775))*2,0)/2)))</f>
        <v/>
      </c>
      <c r="AQ775">
        <f>IF(OR(AQ$4="",$A775&gt;TODAY()),0,IF(OR(INDEX($B775:$D775,AQ$5)="F",AND(AQ$6&gt;0,$A775&lt;AQ$6),AND(AQ$7&gt;0,$A775&gt;AQ$7)),0,MAX(0,ROUND((INDEX($E775:$G775,AQ$5)-SUMIFS(TF_Timer,TF_Tekniker,AQ$4,TF_Dato,$A775))*2,0)/2)))</f>
        <v/>
      </c>
      <c r="AR775">
        <f>IF(OR(AR$4="",$A775&gt;TODAY()),0,IF(OR(INDEX($B775:$D775,AR$5)="F",AND(AR$6&gt;0,$A775&lt;AR$6),AND(AR$7&gt;0,$A775&gt;AR$7)),0,MAX(0,ROUND((INDEX($E775:$G775,AR$5)-SUMIFS(TF_Timer,TF_Tekniker,AR$4,TF_Dato,$A775))*2,0)/2)))</f>
        <v/>
      </c>
      <c r="AS775">
        <f>IF(OR(AS$4="",$A775&gt;TODAY()),0,IF(OR(INDEX($B775:$D775,AS$5)="F",AND(AS$6&gt;0,$A775&lt;AS$6),AND(AS$7&gt;0,$A775&gt;AS$7)),0,MAX(0,ROUND((INDEX($E775:$G775,AS$5)-SUMIFS(TF_Timer,TF_Tekniker,AS$4,TF_Dato,$A775))*2,0)/2)))</f>
        <v/>
      </c>
      <c r="AT775">
        <f>IF(OR(AT$4="",$A775&gt;TODAY()),0,IF(OR(INDEX($B775:$D775,AT$5)="F",AND(AT$6&gt;0,$A775&lt;AT$6),AND(AT$7&gt;0,$A775&gt;AT$7)),0,MAX(0,ROUND((INDEX($E775:$G775,AT$5)-SUMIFS(TF_Timer,TF_Tekniker,AT$4,TF_Dato,$A775))*2,0)/2)))</f>
        <v/>
      </c>
      <c r="AU775">
        <f>IF(OR(AU$4="",$A775&gt;TODAY()),0,IF(OR(INDEX($B775:$D775,AU$5)="F",AND(AU$6&gt;0,$A775&lt;AU$6),AND(AU$7&gt;0,$A775&gt;AU$7)),0,MAX(0,ROUND((INDEX($E775:$G775,AU$5)-SUMIFS(TF_Timer,TF_Tekniker,AU$4,TF_Dato,$A775))*2,0)/2)))</f>
        <v/>
      </c>
      <c r="AV775">
        <f>IF(OR(AV$4="",$A775&gt;TODAY()),0,IF(OR(INDEX($B775:$D775,AV$5)="F",AND(AV$6&gt;0,$A775&lt;AV$6),AND(AV$7&gt;0,$A775&gt;AV$7)),0,MAX(0,ROUND((INDEX($E775:$G775,AV$5)-SUMIFS(TF_Timer,TF_Tekniker,AV$4,TF_Dato,$A775))*2,0)/2)))</f>
        <v/>
      </c>
      <c r="AW775">
        <f>IF(OR(AW$4="",$A775&gt;TODAY()),0,IF(OR(INDEX($B775:$D775,AW$5)="F",AND(AW$6&gt;0,$A775&lt;AW$6),AND(AW$7&gt;0,$A775&gt;AW$7)),0,MAX(0,ROUND((INDEX($E775:$G775,AW$5)-SUMIFS(TF_Timer,TF_Tekniker,AW$4,TF_Dato,$A775))*2,0)/2)))</f>
        <v/>
      </c>
      <c r="AX775">
        <f>IF(OR(AX$4="",$A775&gt;TODAY()),0,IF(OR(INDEX($B775:$D775,AX$5)="F",AND(AX$6&gt;0,$A775&lt;AX$6),AND(AX$7&gt;0,$A775&gt;AX$7)),0,MAX(0,ROUND((INDEX($E775:$G775,AX$5)-SUMIFS(TF_Timer,TF_Tekniker,AX$4,TF_Dato,$A775))*2,0)/2)))</f>
        <v/>
      </c>
      <c r="AY775">
        <f>IF(OR(AY$4="",$A775&gt;TODAY()),0,IF(OR(INDEX($B775:$D775,AY$5)="F",AND(AY$6&gt;0,$A775&lt;AY$6),AND(AY$7&gt;0,$A775&gt;AY$7)),0,MAX(0,ROUND((INDEX($E775:$G775,AY$5)-SUMIFS(TF_Timer,TF_Tekniker,AY$4,TF_Dato,$A775))*2,0)/2)))</f>
        <v/>
      </c>
      <c r="AZ775">
        <f>IF(OR(AZ$4="",$A775&gt;TODAY()),0,IF(OR(INDEX($B775:$D775,AZ$5)="F",AND(AZ$6&gt;0,$A775&lt;AZ$6),AND(AZ$7&gt;0,$A775&gt;AZ$7)),0,MAX(0,ROUND((INDEX($E775:$G775,AZ$5)-SUMIFS(TF_Timer,TF_Tekniker,AZ$4,TF_Dato,$A775))*2,0)/2)))</f>
        <v/>
      </c>
      <c r="BA775">
        <f>IF(OR(BA$4="",$A775&gt;TODAY()),0,IF(OR(INDEX($B775:$D775,BA$5)="F",AND(BA$6&gt;0,$A775&lt;BA$6),AND(BA$7&gt;0,$A775&gt;BA$7)),0,MAX(0,ROUND((INDEX($E775:$G775,BA$5)-SUMIFS(TF_Timer,TF_Tekniker,BA$4,TF_Dato,$A775))*2,0)/2)))</f>
        <v/>
      </c>
      <c r="BB775">
        <f>IF(OR(BB$4="",$A775&gt;TODAY()),0,IF(OR(INDEX($B775:$D775,BB$5)="F",AND(BB$6&gt;0,$A775&lt;BB$6),AND(BB$7&gt;0,$A775&gt;BB$7)),0,MAX(0,ROUND((INDEX($E775:$G775,BB$5)-SUMIFS(TF_Timer,TF_Tekniker,BB$4,TF_Dato,$A775))*2,0)/2)))</f>
        <v/>
      </c>
      <c r="BC775">
        <f>IF(OR(BC$4="",$A775&gt;TODAY()),0,IF(OR(INDEX($B775:$D775,BC$5)="F",AND(BC$6&gt;0,$A775&lt;BC$6),AND(BC$7&gt;0,$A775&gt;BC$7)),0,MAX(0,ROUND((INDEX($E775:$G775,BC$5)-SUMIFS(TF_Timer,TF_Tekniker,BC$4,TF_Dato,$A775))*2,0)/2)))</f>
        <v/>
      </c>
      <c r="BD775">
        <f>IF(OR(BD$4="",$A775&gt;TODAY()),0,IF(OR(INDEX($B775:$D775,BD$5)="F",AND(BD$6&gt;0,$A775&lt;BD$6),AND(BD$7&gt;0,$A775&gt;BD$7)),0,MAX(0,ROUND((INDEX($E775:$G775,BD$5)-SUMIFS(TF_Timer,TF_Tekniker,BD$4,TF_Dato,$A775))*2,0)/2)))</f>
        <v/>
      </c>
      <c r="BE775">
        <f>IF(OR(BE$4="",$A775&gt;TODAY()),0,IF(OR(INDEX($B775:$D775,BE$5)="F",AND(BE$6&gt;0,$A775&lt;BE$6),AND(BE$7&gt;0,$A775&gt;BE$7)),0,MAX(0,ROUND((INDEX($E775:$G775,BE$5)-SUMIFS(TF_Timer,TF_Tekniker,BE$4,TF_Dato,$A775))*2,0)/2)))</f>
        <v/>
      </c>
      <c r="BF775">
        <f>IF(OR(BF$4="",$A775&gt;TODAY()),0,IF(OR(INDEX($B775:$D775,BF$5)="F",AND(BF$6&gt;0,$A775&lt;BF$6),AND(BF$7&gt;0,$A775&gt;BF$7)),0,MAX(0,ROUND((INDEX($E775:$G775,BF$5)-SUMIFS(TF_Timer,TF_Tekniker,BF$4,TF_Dato,$A775))*2,0)/2)))</f>
        <v/>
      </c>
      <c r="BG775">
        <f>IF(OR(BG$4="",$A775&gt;TODAY()),0,IF(OR(INDEX($B775:$D775,BG$5)="F",AND(BG$6&gt;0,$A775&lt;BG$6),AND(BG$7&gt;0,$A775&gt;BG$7)),0,MAX(0,ROUND((INDEX($E775:$G775,BG$5)-SUMIFS(TF_Timer,TF_Tekniker,BG$4,TF_Dato,$A775))*2,0)/2)))</f>
        <v/>
      </c>
      <c r="BH775">
        <f>IF(OR(BH$4="",$A775&gt;TODAY()),0,IF(OR(INDEX($B775:$D775,BH$5)="F",AND(BH$6&gt;0,$A775&lt;BH$6),AND(BH$7&gt;0,$A775&gt;BH$7)),0,MAX(0,ROUND((INDEX($E775:$G775,BH$5)-SUMIFS(TF_Timer,TF_Tekniker,BH$4,TF_Dato,$A775))*2,0)/2)))</f>
        <v/>
      </c>
      <c r="BI775">
        <f>IF(OR(BI$4="",$A775&gt;TODAY()),0,IF(OR(INDEX($B775:$D775,BI$5)="F",AND(BI$6&gt;0,$A775&lt;BI$6),AND(BI$7&gt;0,$A775&gt;BI$7)),0,MAX(0,ROUND((INDEX($E775:$G775,BI$5)-SUMIFS(TF_Timer,TF_Tekniker,BI$4,TF_Dato,$A775))*2,0)/2)))</f>
        <v/>
      </c>
    </row>
    <row r="776">
      <c r="A776" s="64">
        <f>A775+1</f>
        <v/>
      </c>
      <c r="B776">
        <f>IF(MOD($A776-INDEX(SkiftStart,1),Syklus)&lt;DagK,"K",IF(MOD($A776-INDEX(SkiftStart,1),Syklus)&lt;DagK+DagH,"H",IF(MOD($A776-INDEX(SkiftStart,1),Syklus)&lt;DagK+DagH+DagD,"D","F")))</f>
        <v/>
      </c>
      <c r="C776">
        <f>IF(MOD($A776-INDEX(SkiftStart,2),Syklus)&lt;DagK,"K",IF(MOD($A776-INDEX(SkiftStart,2),Syklus)&lt;DagK+DagH,"H",IF(MOD($A776-INDEX(SkiftStart,2),Syklus)&lt;DagK+DagH+DagD,"D","F")))</f>
        <v/>
      </c>
      <c r="D776">
        <f>IF(MOD($A776-INDEX(SkiftStart,3),Syklus)&lt;DagK,"K",IF(MOD($A776-INDEX(SkiftStart,3),Syklus)&lt;DagK+DagH,"H",IF(MOD($A776-INDEX(SkiftStart,3),Syklus)&lt;DagK+DagH+DagD,"D","F")))</f>
        <v/>
      </c>
      <c r="E776">
        <f>IF(B776="F",0,IF(WEEKDAY($A776,2)=5,INDEX(TimerFr,MATCH(B776,FaseKode,0)),INDEX(TimerMT,MATCH(B776,FaseKode,0))))</f>
        <v/>
      </c>
      <c r="F776">
        <f>IF(C776="F",0,IF(WEEKDAY($A776,2)=5,INDEX(TimerFr,MATCH(C776,FaseKode,0)),INDEX(TimerMT,MATCH(C776,FaseKode,0))))</f>
        <v/>
      </c>
      <c r="G776">
        <f>IF(D776="F",0,IF(WEEKDAY($A776,2)=5,INDEX(TimerFr,MATCH(D776,FaseKode,0)),INDEX(TimerMT,MATCH(D776,FaseKode,0))))</f>
        <v/>
      </c>
      <c r="H776">
        <f>IF(OR(H$4="",$A776&gt;TODAY()),0,IF(OR(INDEX($B776:$D776,H$5)="F",AND(H$6&gt;0,$A776&lt;H$6),AND(H$7&gt;0,$A776&gt;H$7)),0,MAX(0,ROUND((INDEX($E776:$G776,H$5)-SUMIFS(TF_Timer,TF_Tekniker,H$4,TF_Dato,$A776))*2,0)/2)))</f>
        <v/>
      </c>
      <c r="I776">
        <f>IF(OR(I$4="",$A776&gt;TODAY()),0,IF(OR(INDEX($B776:$D776,I$5)="F",AND(I$6&gt;0,$A776&lt;I$6),AND(I$7&gt;0,$A776&gt;I$7)),0,MAX(0,ROUND((INDEX($E776:$G776,I$5)-SUMIFS(TF_Timer,TF_Tekniker,I$4,TF_Dato,$A776))*2,0)/2)))</f>
        <v/>
      </c>
      <c r="J776">
        <f>IF(OR(J$4="",$A776&gt;TODAY()),0,IF(OR(INDEX($B776:$D776,J$5)="F",AND(J$6&gt;0,$A776&lt;J$6),AND(J$7&gt;0,$A776&gt;J$7)),0,MAX(0,ROUND((INDEX($E776:$G776,J$5)-SUMIFS(TF_Timer,TF_Tekniker,J$4,TF_Dato,$A776))*2,0)/2)))</f>
        <v/>
      </c>
      <c r="K776">
        <f>IF(OR(K$4="",$A776&gt;TODAY()),0,IF(OR(INDEX($B776:$D776,K$5)="F",AND(K$6&gt;0,$A776&lt;K$6),AND(K$7&gt;0,$A776&gt;K$7)),0,MAX(0,ROUND((INDEX($E776:$G776,K$5)-SUMIFS(TF_Timer,TF_Tekniker,K$4,TF_Dato,$A776))*2,0)/2)))</f>
        <v/>
      </c>
      <c r="L776">
        <f>IF(OR(L$4="",$A776&gt;TODAY()),0,IF(OR(INDEX($B776:$D776,L$5)="F",AND(L$6&gt;0,$A776&lt;L$6),AND(L$7&gt;0,$A776&gt;L$7)),0,MAX(0,ROUND((INDEX($E776:$G776,L$5)-SUMIFS(TF_Timer,TF_Tekniker,L$4,TF_Dato,$A776))*2,0)/2)))</f>
        <v/>
      </c>
      <c r="M776">
        <f>IF(OR(M$4="",$A776&gt;TODAY()),0,IF(OR(INDEX($B776:$D776,M$5)="F",AND(M$6&gt;0,$A776&lt;M$6),AND(M$7&gt;0,$A776&gt;M$7)),0,MAX(0,ROUND((INDEX($E776:$G776,M$5)-SUMIFS(TF_Timer,TF_Tekniker,M$4,TF_Dato,$A776))*2,0)/2)))</f>
        <v/>
      </c>
      <c r="N776">
        <f>IF(OR(N$4="",$A776&gt;TODAY()),0,IF(OR(INDEX($B776:$D776,N$5)="F",AND(N$6&gt;0,$A776&lt;N$6),AND(N$7&gt;0,$A776&gt;N$7)),0,MAX(0,ROUND((INDEX($E776:$G776,N$5)-SUMIFS(TF_Timer,TF_Tekniker,N$4,TF_Dato,$A776))*2,0)/2)))</f>
        <v/>
      </c>
      <c r="O776">
        <f>IF(OR(O$4="",$A776&gt;TODAY()),0,IF(OR(INDEX($B776:$D776,O$5)="F",AND(O$6&gt;0,$A776&lt;O$6),AND(O$7&gt;0,$A776&gt;O$7)),0,MAX(0,ROUND((INDEX($E776:$G776,O$5)-SUMIFS(TF_Timer,TF_Tekniker,O$4,TF_Dato,$A776))*2,0)/2)))</f>
        <v/>
      </c>
      <c r="P776">
        <f>IF(OR(P$4="",$A776&gt;TODAY()),0,IF(OR(INDEX($B776:$D776,P$5)="F",AND(P$6&gt;0,$A776&lt;P$6),AND(P$7&gt;0,$A776&gt;P$7)),0,MAX(0,ROUND((INDEX($E776:$G776,P$5)-SUMIFS(TF_Timer,TF_Tekniker,P$4,TF_Dato,$A776))*2,0)/2)))</f>
        <v/>
      </c>
      <c r="Q776">
        <f>IF(OR(Q$4="",$A776&gt;TODAY()),0,IF(OR(INDEX($B776:$D776,Q$5)="F",AND(Q$6&gt;0,$A776&lt;Q$6),AND(Q$7&gt;0,$A776&gt;Q$7)),0,MAX(0,ROUND((INDEX($E776:$G776,Q$5)-SUMIFS(TF_Timer,TF_Tekniker,Q$4,TF_Dato,$A776))*2,0)/2)))</f>
        <v/>
      </c>
      <c r="R776">
        <f>IF(OR(R$4="",$A776&gt;TODAY()),0,IF(OR(INDEX($B776:$D776,R$5)="F",AND(R$6&gt;0,$A776&lt;R$6),AND(R$7&gt;0,$A776&gt;R$7)),0,MAX(0,ROUND((INDEX($E776:$G776,R$5)-SUMIFS(TF_Timer,TF_Tekniker,R$4,TF_Dato,$A776))*2,0)/2)))</f>
        <v/>
      </c>
      <c r="S776">
        <f>IF(OR(S$4="",$A776&gt;TODAY()),0,IF(OR(INDEX($B776:$D776,S$5)="F",AND(S$6&gt;0,$A776&lt;S$6),AND(S$7&gt;0,$A776&gt;S$7)),0,MAX(0,ROUND((INDEX($E776:$G776,S$5)-SUMIFS(TF_Timer,TF_Tekniker,S$4,TF_Dato,$A776))*2,0)/2)))</f>
        <v/>
      </c>
      <c r="T776">
        <f>IF(OR(T$4="",$A776&gt;TODAY()),0,IF(OR(INDEX($B776:$D776,T$5)="F",AND(T$6&gt;0,$A776&lt;T$6),AND(T$7&gt;0,$A776&gt;T$7)),0,MAX(0,ROUND((INDEX($E776:$G776,T$5)-SUMIFS(TF_Timer,TF_Tekniker,T$4,TF_Dato,$A776))*2,0)/2)))</f>
        <v/>
      </c>
      <c r="U776">
        <f>IF(OR(U$4="",$A776&gt;TODAY()),0,IF(OR(INDEX($B776:$D776,U$5)="F",AND(U$6&gt;0,$A776&lt;U$6),AND(U$7&gt;0,$A776&gt;U$7)),0,MAX(0,ROUND((INDEX($E776:$G776,U$5)-SUMIFS(TF_Timer,TF_Tekniker,U$4,TF_Dato,$A776))*2,0)/2)))</f>
        <v/>
      </c>
      <c r="V776">
        <f>IF(OR(V$4="",$A776&gt;TODAY()),0,IF(OR(INDEX($B776:$D776,V$5)="F",AND(V$6&gt;0,$A776&lt;V$6),AND(V$7&gt;0,$A776&gt;V$7)),0,MAX(0,ROUND((INDEX($E776:$G776,V$5)-SUMIFS(TF_Timer,TF_Tekniker,V$4,TF_Dato,$A776))*2,0)/2)))</f>
        <v/>
      </c>
      <c r="W776">
        <f>IF(OR(W$4="",$A776&gt;TODAY()),0,IF(OR(INDEX($B776:$D776,W$5)="F",AND(W$6&gt;0,$A776&lt;W$6),AND(W$7&gt;0,$A776&gt;W$7)),0,MAX(0,ROUND((INDEX($E776:$G776,W$5)-SUMIFS(TF_Timer,TF_Tekniker,W$4,TF_Dato,$A776))*2,0)/2)))</f>
        <v/>
      </c>
      <c r="X776">
        <f>IF(OR(X$4="",$A776&gt;TODAY()),0,IF(OR(INDEX($B776:$D776,X$5)="F",AND(X$6&gt;0,$A776&lt;X$6),AND(X$7&gt;0,$A776&gt;X$7)),0,MAX(0,ROUND((INDEX($E776:$G776,X$5)-SUMIFS(TF_Timer,TF_Tekniker,X$4,TF_Dato,$A776))*2,0)/2)))</f>
        <v/>
      </c>
      <c r="Y776">
        <f>IF(OR(Y$4="",$A776&gt;TODAY()),0,IF(OR(INDEX($B776:$D776,Y$5)="F",AND(Y$6&gt;0,$A776&lt;Y$6),AND(Y$7&gt;0,$A776&gt;Y$7)),0,MAX(0,ROUND((INDEX($E776:$G776,Y$5)-SUMIFS(TF_Timer,TF_Tekniker,Y$4,TF_Dato,$A776))*2,0)/2)))</f>
        <v/>
      </c>
      <c r="Z776">
        <f>IF(OR(Z$4="",$A776&gt;TODAY()),0,IF(OR(INDEX($B776:$D776,Z$5)="F",AND(Z$6&gt;0,$A776&lt;Z$6),AND(Z$7&gt;0,$A776&gt;Z$7)),0,MAX(0,ROUND((INDEX($E776:$G776,Z$5)-SUMIFS(TF_Timer,TF_Tekniker,Z$4,TF_Dato,$A776))*2,0)/2)))</f>
        <v/>
      </c>
      <c r="AA776">
        <f>IF(OR(AA$4="",$A776&gt;TODAY()),0,IF(OR(INDEX($B776:$D776,AA$5)="F",AND(AA$6&gt;0,$A776&lt;AA$6),AND(AA$7&gt;0,$A776&gt;AA$7)),0,MAX(0,ROUND((INDEX($E776:$G776,AA$5)-SUMIFS(TF_Timer,TF_Tekniker,AA$4,TF_Dato,$A776))*2,0)/2)))</f>
        <v/>
      </c>
      <c r="AB776">
        <f>IF(OR(AB$4="",$A776&gt;TODAY()),0,IF(OR(INDEX($B776:$D776,AB$5)="F",AND(AB$6&gt;0,$A776&lt;AB$6),AND(AB$7&gt;0,$A776&gt;AB$7)),0,MAX(0,ROUND((INDEX($E776:$G776,AB$5)-SUMIFS(TF_Timer,TF_Tekniker,AB$4,TF_Dato,$A776))*2,0)/2)))</f>
        <v/>
      </c>
      <c r="AC776">
        <f>IF(OR(AC$4="",$A776&gt;TODAY()),0,IF(OR(INDEX($B776:$D776,AC$5)="F",AND(AC$6&gt;0,$A776&lt;AC$6),AND(AC$7&gt;0,$A776&gt;AC$7)),0,MAX(0,ROUND((INDEX($E776:$G776,AC$5)-SUMIFS(TF_Timer,TF_Tekniker,AC$4,TF_Dato,$A776))*2,0)/2)))</f>
        <v/>
      </c>
      <c r="AD776">
        <f>IF(OR(AD$4="",$A776&gt;TODAY()),0,IF(OR(INDEX($B776:$D776,AD$5)="F",AND(AD$6&gt;0,$A776&lt;AD$6),AND(AD$7&gt;0,$A776&gt;AD$7)),0,MAX(0,ROUND((INDEX($E776:$G776,AD$5)-SUMIFS(TF_Timer,TF_Tekniker,AD$4,TF_Dato,$A776))*2,0)/2)))</f>
        <v/>
      </c>
      <c r="AE776">
        <f>IF(OR(AE$4="",$A776&gt;TODAY()),0,IF(OR(INDEX($B776:$D776,AE$5)="F",AND(AE$6&gt;0,$A776&lt;AE$6),AND(AE$7&gt;0,$A776&gt;AE$7)),0,MAX(0,ROUND((INDEX($E776:$G776,AE$5)-SUMIFS(TF_Timer,TF_Tekniker,AE$4,TF_Dato,$A776))*2,0)/2)))</f>
        <v/>
      </c>
      <c r="AF776">
        <f>IF(OR(AF$4="",$A776&gt;TODAY()),0,IF(OR(INDEX($B776:$D776,AF$5)="F",AND(AF$6&gt;0,$A776&lt;AF$6),AND(AF$7&gt;0,$A776&gt;AF$7)),0,MAX(0,ROUND((INDEX($E776:$G776,AF$5)-SUMIFS(TF_Timer,TF_Tekniker,AF$4,TF_Dato,$A776))*2,0)/2)))</f>
        <v/>
      </c>
      <c r="AG776">
        <f>IF(OR(AG$4="",$A776&gt;TODAY()),0,IF(OR(INDEX($B776:$D776,AG$5)="F",AND(AG$6&gt;0,$A776&lt;AG$6),AND(AG$7&gt;0,$A776&gt;AG$7)),0,MAX(0,ROUND((INDEX($E776:$G776,AG$5)-SUMIFS(TF_Timer,TF_Tekniker,AG$4,TF_Dato,$A776))*2,0)/2)))</f>
        <v/>
      </c>
      <c r="AH776">
        <f>IF(OR(AH$4="",$A776&gt;TODAY()),0,IF(OR(INDEX($B776:$D776,AH$5)="F",AND(AH$6&gt;0,$A776&lt;AH$6),AND(AH$7&gt;0,$A776&gt;AH$7)),0,MAX(0,ROUND((INDEX($E776:$G776,AH$5)-SUMIFS(TF_Timer,TF_Tekniker,AH$4,TF_Dato,$A776))*2,0)/2)))</f>
        <v/>
      </c>
      <c r="AI776">
        <f>IF(OR(AI$4="",$A776&gt;TODAY()),0,IF(OR(INDEX($B776:$D776,AI$5)="F",AND(AI$6&gt;0,$A776&lt;AI$6),AND(AI$7&gt;0,$A776&gt;AI$7)),0,MAX(0,ROUND((INDEX($E776:$G776,AI$5)-SUMIFS(TF_Timer,TF_Tekniker,AI$4,TF_Dato,$A776))*2,0)/2)))</f>
        <v/>
      </c>
      <c r="AJ776">
        <f>IF(OR(AJ$4="",$A776&gt;TODAY()),0,IF(OR(INDEX($B776:$D776,AJ$5)="F",AND(AJ$6&gt;0,$A776&lt;AJ$6),AND(AJ$7&gt;0,$A776&gt;AJ$7)),0,MAX(0,ROUND((INDEX($E776:$G776,AJ$5)-SUMIFS(TF_Timer,TF_Tekniker,AJ$4,TF_Dato,$A776))*2,0)/2)))</f>
        <v/>
      </c>
      <c r="AK776">
        <f>IF(OR(AK$4="",$A776&gt;TODAY()),0,IF(OR(INDEX($B776:$D776,AK$5)="F",AND(AK$6&gt;0,$A776&lt;AK$6),AND(AK$7&gt;0,$A776&gt;AK$7)),0,MAX(0,ROUND((INDEX($E776:$G776,AK$5)-SUMIFS(TF_Timer,TF_Tekniker,AK$4,TF_Dato,$A776))*2,0)/2)))</f>
        <v/>
      </c>
      <c r="AL776">
        <f>IF(OR(AL$4="",$A776&gt;TODAY()),0,IF(OR(INDEX($B776:$D776,AL$5)="F",AND(AL$6&gt;0,$A776&lt;AL$6),AND(AL$7&gt;0,$A776&gt;AL$7)),0,MAX(0,ROUND((INDEX($E776:$G776,AL$5)-SUMIFS(TF_Timer,TF_Tekniker,AL$4,TF_Dato,$A776))*2,0)/2)))</f>
        <v/>
      </c>
      <c r="AM776">
        <f>IF(OR(AM$4="",$A776&gt;TODAY()),0,IF(OR(INDEX($B776:$D776,AM$5)="F",AND(AM$6&gt;0,$A776&lt;AM$6),AND(AM$7&gt;0,$A776&gt;AM$7)),0,MAX(0,ROUND((INDEX($E776:$G776,AM$5)-SUMIFS(TF_Timer,TF_Tekniker,AM$4,TF_Dato,$A776))*2,0)/2)))</f>
        <v/>
      </c>
      <c r="AN776">
        <f>IF(OR(AN$4="",$A776&gt;TODAY()),0,IF(OR(INDEX($B776:$D776,AN$5)="F",AND(AN$6&gt;0,$A776&lt;AN$6),AND(AN$7&gt;0,$A776&gt;AN$7)),0,MAX(0,ROUND((INDEX($E776:$G776,AN$5)-SUMIFS(TF_Timer,TF_Tekniker,AN$4,TF_Dato,$A776))*2,0)/2)))</f>
        <v/>
      </c>
      <c r="AO776">
        <f>IF(OR(AO$4="",$A776&gt;TODAY()),0,IF(OR(INDEX($B776:$D776,AO$5)="F",AND(AO$6&gt;0,$A776&lt;AO$6),AND(AO$7&gt;0,$A776&gt;AO$7)),0,MAX(0,ROUND((INDEX($E776:$G776,AO$5)-SUMIFS(TF_Timer,TF_Tekniker,AO$4,TF_Dato,$A776))*2,0)/2)))</f>
        <v/>
      </c>
      <c r="AP776">
        <f>IF(OR(AP$4="",$A776&gt;TODAY()),0,IF(OR(INDEX($B776:$D776,AP$5)="F",AND(AP$6&gt;0,$A776&lt;AP$6),AND(AP$7&gt;0,$A776&gt;AP$7)),0,MAX(0,ROUND((INDEX($E776:$G776,AP$5)-SUMIFS(TF_Timer,TF_Tekniker,AP$4,TF_Dato,$A776))*2,0)/2)))</f>
        <v/>
      </c>
      <c r="AQ776">
        <f>IF(OR(AQ$4="",$A776&gt;TODAY()),0,IF(OR(INDEX($B776:$D776,AQ$5)="F",AND(AQ$6&gt;0,$A776&lt;AQ$6),AND(AQ$7&gt;0,$A776&gt;AQ$7)),0,MAX(0,ROUND((INDEX($E776:$G776,AQ$5)-SUMIFS(TF_Timer,TF_Tekniker,AQ$4,TF_Dato,$A776))*2,0)/2)))</f>
        <v/>
      </c>
      <c r="AR776">
        <f>IF(OR(AR$4="",$A776&gt;TODAY()),0,IF(OR(INDEX($B776:$D776,AR$5)="F",AND(AR$6&gt;0,$A776&lt;AR$6),AND(AR$7&gt;0,$A776&gt;AR$7)),0,MAX(0,ROUND((INDEX($E776:$G776,AR$5)-SUMIFS(TF_Timer,TF_Tekniker,AR$4,TF_Dato,$A776))*2,0)/2)))</f>
        <v/>
      </c>
      <c r="AS776">
        <f>IF(OR(AS$4="",$A776&gt;TODAY()),0,IF(OR(INDEX($B776:$D776,AS$5)="F",AND(AS$6&gt;0,$A776&lt;AS$6),AND(AS$7&gt;0,$A776&gt;AS$7)),0,MAX(0,ROUND((INDEX($E776:$G776,AS$5)-SUMIFS(TF_Timer,TF_Tekniker,AS$4,TF_Dato,$A776))*2,0)/2)))</f>
        <v/>
      </c>
      <c r="AT776">
        <f>IF(OR(AT$4="",$A776&gt;TODAY()),0,IF(OR(INDEX($B776:$D776,AT$5)="F",AND(AT$6&gt;0,$A776&lt;AT$6),AND(AT$7&gt;0,$A776&gt;AT$7)),0,MAX(0,ROUND((INDEX($E776:$G776,AT$5)-SUMIFS(TF_Timer,TF_Tekniker,AT$4,TF_Dato,$A776))*2,0)/2)))</f>
        <v/>
      </c>
      <c r="AU776">
        <f>IF(OR(AU$4="",$A776&gt;TODAY()),0,IF(OR(INDEX($B776:$D776,AU$5)="F",AND(AU$6&gt;0,$A776&lt;AU$6),AND(AU$7&gt;0,$A776&gt;AU$7)),0,MAX(0,ROUND((INDEX($E776:$G776,AU$5)-SUMIFS(TF_Timer,TF_Tekniker,AU$4,TF_Dato,$A776))*2,0)/2)))</f>
        <v/>
      </c>
      <c r="AV776">
        <f>IF(OR(AV$4="",$A776&gt;TODAY()),0,IF(OR(INDEX($B776:$D776,AV$5)="F",AND(AV$6&gt;0,$A776&lt;AV$6),AND(AV$7&gt;0,$A776&gt;AV$7)),0,MAX(0,ROUND((INDEX($E776:$G776,AV$5)-SUMIFS(TF_Timer,TF_Tekniker,AV$4,TF_Dato,$A776))*2,0)/2)))</f>
        <v/>
      </c>
      <c r="AW776">
        <f>IF(OR(AW$4="",$A776&gt;TODAY()),0,IF(OR(INDEX($B776:$D776,AW$5)="F",AND(AW$6&gt;0,$A776&lt;AW$6),AND(AW$7&gt;0,$A776&gt;AW$7)),0,MAX(0,ROUND((INDEX($E776:$G776,AW$5)-SUMIFS(TF_Timer,TF_Tekniker,AW$4,TF_Dato,$A776))*2,0)/2)))</f>
        <v/>
      </c>
      <c r="AX776">
        <f>IF(OR(AX$4="",$A776&gt;TODAY()),0,IF(OR(INDEX($B776:$D776,AX$5)="F",AND(AX$6&gt;0,$A776&lt;AX$6),AND(AX$7&gt;0,$A776&gt;AX$7)),0,MAX(0,ROUND((INDEX($E776:$G776,AX$5)-SUMIFS(TF_Timer,TF_Tekniker,AX$4,TF_Dato,$A776))*2,0)/2)))</f>
        <v/>
      </c>
      <c r="AY776">
        <f>IF(OR(AY$4="",$A776&gt;TODAY()),0,IF(OR(INDEX($B776:$D776,AY$5)="F",AND(AY$6&gt;0,$A776&lt;AY$6),AND(AY$7&gt;0,$A776&gt;AY$7)),0,MAX(0,ROUND((INDEX($E776:$G776,AY$5)-SUMIFS(TF_Timer,TF_Tekniker,AY$4,TF_Dato,$A776))*2,0)/2)))</f>
        <v/>
      </c>
      <c r="AZ776">
        <f>IF(OR(AZ$4="",$A776&gt;TODAY()),0,IF(OR(INDEX($B776:$D776,AZ$5)="F",AND(AZ$6&gt;0,$A776&lt;AZ$6),AND(AZ$7&gt;0,$A776&gt;AZ$7)),0,MAX(0,ROUND((INDEX($E776:$G776,AZ$5)-SUMIFS(TF_Timer,TF_Tekniker,AZ$4,TF_Dato,$A776))*2,0)/2)))</f>
        <v/>
      </c>
      <c r="BA776">
        <f>IF(OR(BA$4="",$A776&gt;TODAY()),0,IF(OR(INDEX($B776:$D776,BA$5)="F",AND(BA$6&gt;0,$A776&lt;BA$6),AND(BA$7&gt;0,$A776&gt;BA$7)),0,MAX(0,ROUND((INDEX($E776:$G776,BA$5)-SUMIFS(TF_Timer,TF_Tekniker,BA$4,TF_Dato,$A776))*2,0)/2)))</f>
        <v/>
      </c>
      <c r="BB776">
        <f>IF(OR(BB$4="",$A776&gt;TODAY()),0,IF(OR(INDEX($B776:$D776,BB$5)="F",AND(BB$6&gt;0,$A776&lt;BB$6),AND(BB$7&gt;0,$A776&gt;BB$7)),0,MAX(0,ROUND((INDEX($E776:$G776,BB$5)-SUMIFS(TF_Timer,TF_Tekniker,BB$4,TF_Dato,$A776))*2,0)/2)))</f>
        <v/>
      </c>
      <c r="BC776">
        <f>IF(OR(BC$4="",$A776&gt;TODAY()),0,IF(OR(INDEX($B776:$D776,BC$5)="F",AND(BC$6&gt;0,$A776&lt;BC$6),AND(BC$7&gt;0,$A776&gt;BC$7)),0,MAX(0,ROUND((INDEX($E776:$G776,BC$5)-SUMIFS(TF_Timer,TF_Tekniker,BC$4,TF_Dato,$A776))*2,0)/2)))</f>
        <v/>
      </c>
      <c r="BD776">
        <f>IF(OR(BD$4="",$A776&gt;TODAY()),0,IF(OR(INDEX($B776:$D776,BD$5)="F",AND(BD$6&gt;0,$A776&lt;BD$6),AND(BD$7&gt;0,$A776&gt;BD$7)),0,MAX(0,ROUND((INDEX($E776:$G776,BD$5)-SUMIFS(TF_Timer,TF_Tekniker,BD$4,TF_Dato,$A776))*2,0)/2)))</f>
        <v/>
      </c>
      <c r="BE776">
        <f>IF(OR(BE$4="",$A776&gt;TODAY()),0,IF(OR(INDEX($B776:$D776,BE$5)="F",AND(BE$6&gt;0,$A776&lt;BE$6),AND(BE$7&gt;0,$A776&gt;BE$7)),0,MAX(0,ROUND((INDEX($E776:$G776,BE$5)-SUMIFS(TF_Timer,TF_Tekniker,BE$4,TF_Dato,$A776))*2,0)/2)))</f>
        <v/>
      </c>
      <c r="BF776">
        <f>IF(OR(BF$4="",$A776&gt;TODAY()),0,IF(OR(INDEX($B776:$D776,BF$5)="F",AND(BF$6&gt;0,$A776&lt;BF$6),AND(BF$7&gt;0,$A776&gt;BF$7)),0,MAX(0,ROUND((INDEX($E776:$G776,BF$5)-SUMIFS(TF_Timer,TF_Tekniker,BF$4,TF_Dato,$A776))*2,0)/2)))</f>
        <v/>
      </c>
      <c r="BG776">
        <f>IF(OR(BG$4="",$A776&gt;TODAY()),0,IF(OR(INDEX($B776:$D776,BG$5)="F",AND(BG$6&gt;0,$A776&lt;BG$6),AND(BG$7&gt;0,$A776&gt;BG$7)),0,MAX(0,ROUND((INDEX($E776:$G776,BG$5)-SUMIFS(TF_Timer,TF_Tekniker,BG$4,TF_Dato,$A776))*2,0)/2)))</f>
        <v/>
      </c>
      <c r="BH776">
        <f>IF(OR(BH$4="",$A776&gt;TODAY()),0,IF(OR(INDEX($B776:$D776,BH$5)="F",AND(BH$6&gt;0,$A776&lt;BH$6),AND(BH$7&gt;0,$A776&gt;BH$7)),0,MAX(0,ROUND((INDEX($E776:$G776,BH$5)-SUMIFS(TF_Timer,TF_Tekniker,BH$4,TF_Dato,$A776))*2,0)/2)))</f>
        <v/>
      </c>
      <c r="BI776">
        <f>IF(OR(BI$4="",$A776&gt;TODAY()),0,IF(OR(INDEX($B776:$D776,BI$5)="F",AND(BI$6&gt;0,$A776&lt;BI$6),AND(BI$7&gt;0,$A776&gt;BI$7)),0,MAX(0,ROUND((INDEX($E776:$G776,BI$5)-SUMIFS(TF_Timer,TF_Tekniker,BI$4,TF_Dato,$A776))*2,0)/2)))</f>
        <v/>
      </c>
    </row>
    <row r="777">
      <c r="A777" s="64">
        <f>A776+1</f>
        <v/>
      </c>
      <c r="B777">
        <f>IF(MOD($A777-INDEX(SkiftStart,1),Syklus)&lt;DagK,"K",IF(MOD($A777-INDEX(SkiftStart,1),Syklus)&lt;DagK+DagH,"H",IF(MOD($A777-INDEX(SkiftStart,1),Syklus)&lt;DagK+DagH+DagD,"D","F")))</f>
        <v/>
      </c>
      <c r="C777">
        <f>IF(MOD($A777-INDEX(SkiftStart,2),Syklus)&lt;DagK,"K",IF(MOD($A777-INDEX(SkiftStart,2),Syklus)&lt;DagK+DagH,"H",IF(MOD($A777-INDEX(SkiftStart,2),Syklus)&lt;DagK+DagH+DagD,"D","F")))</f>
        <v/>
      </c>
      <c r="D777">
        <f>IF(MOD($A777-INDEX(SkiftStart,3),Syklus)&lt;DagK,"K",IF(MOD($A777-INDEX(SkiftStart,3),Syklus)&lt;DagK+DagH,"H",IF(MOD($A777-INDEX(SkiftStart,3),Syklus)&lt;DagK+DagH+DagD,"D","F")))</f>
        <v/>
      </c>
      <c r="E777">
        <f>IF(B777="F",0,IF(WEEKDAY($A777,2)=5,INDEX(TimerFr,MATCH(B777,FaseKode,0)),INDEX(TimerMT,MATCH(B777,FaseKode,0))))</f>
        <v/>
      </c>
      <c r="F777">
        <f>IF(C777="F",0,IF(WEEKDAY($A777,2)=5,INDEX(TimerFr,MATCH(C777,FaseKode,0)),INDEX(TimerMT,MATCH(C777,FaseKode,0))))</f>
        <v/>
      </c>
      <c r="G777">
        <f>IF(D777="F",0,IF(WEEKDAY($A777,2)=5,INDEX(TimerFr,MATCH(D777,FaseKode,0)),INDEX(TimerMT,MATCH(D777,FaseKode,0))))</f>
        <v/>
      </c>
      <c r="H777">
        <f>IF(OR(H$4="",$A777&gt;TODAY()),0,IF(OR(INDEX($B777:$D777,H$5)="F",AND(H$6&gt;0,$A777&lt;H$6),AND(H$7&gt;0,$A777&gt;H$7)),0,MAX(0,ROUND((INDEX($E777:$G777,H$5)-SUMIFS(TF_Timer,TF_Tekniker,H$4,TF_Dato,$A777))*2,0)/2)))</f>
        <v/>
      </c>
      <c r="I777">
        <f>IF(OR(I$4="",$A777&gt;TODAY()),0,IF(OR(INDEX($B777:$D777,I$5)="F",AND(I$6&gt;0,$A777&lt;I$6),AND(I$7&gt;0,$A777&gt;I$7)),0,MAX(0,ROUND((INDEX($E777:$G777,I$5)-SUMIFS(TF_Timer,TF_Tekniker,I$4,TF_Dato,$A777))*2,0)/2)))</f>
        <v/>
      </c>
      <c r="J777">
        <f>IF(OR(J$4="",$A777&gt;TODAY()),0,IF(OR(INDEX($B777:$D777,J$5)="F",AND(J$6&gt;0,$A777&lt;J$6),AND(J$7&gt;0,$A777&gt;J$7)),0,MAX(0,ROUND((INDEX($E777:$G777,J$5)-SUMIFS(TF_Timer,TF_Tekniker,J$4,TF_Dato,$A777))*2,0)/2)))</f>
        <v/>
      </c>
      <c r="K777">
        <f>IF(OR(K$4="",$A777&gt;TODAY()),0,IF(OR(INDEX($B777:$D777,K$5)="F",AND(K$6&gt;0,$A777&lt;K$6),AND(K$7&gt;0,$A777&gt;K$7)),0,MAX(0,ROUND((INDEX($E777:$G777,K$5)-SUMIFS(TF_Timer,TF_Tekniker,K$4,TF_Dato,$A777))*2,0)/2)))</f>
        <v/>
      </c>
      <c r="L777">
        <f>IF(OR(L$4="",$A777&gt;TODAY()),0,IF(OR(INDEX($B777:$D777,L$5)="F",AND(L$6&gt;0,$A777&lt;L$6),AND(L$7&gt;0,$A777&gt;L$7)),0,MAX(0,ROUND((INDEX($E777:$G777,L$5)-SUMIFS(TF_Timer,TF_Tekniker,L$4,TF_Dato,$A777))*2,0)/2)))</f>
        <v/>
      </c>
      <c r="M777">
        <f>IF(OR(M$4="",$A777&gt;TODAY()),0,IF(OR(INDEX($B777:$D777,M$5)="F",AND(M$6&gt;0,$A777&lt;M$6),AND(M$7&gt;0,$A777&gt;M$7)),0,MAX(0,ROUND((INDEX($E777:$G777,M$5)-SUMIFS(TF_Timer,TF_Tekniker,M$4,TF_Dato,$A777))*2,0)/2)))</f>
        <v/>
      </c>
      <c r="N777">
        <f>IF(OR(N$4="",$A777&gt;TODAY()),0,IF(OR(INDEX($B777:$D777,N$5)="F",AND(N$6&gt;0,$A777&lt;N$6),AND(N$7&gt;0,$A777&gt;N$7)),0,MAX(0,ROUND((INDEX($E777:$G777,N$5)-SUMIFS(TF_Timer,TF_Tekniker,N$4,TF_Dato,$A777))*2,0)/2)))</f>
        <v/>
      </c>
      <c r="O777">
        <f>IF(OR(O$4="",$A777&gt;TODAY()),0,IF(OR(INDEX($B777:$D777,O$5)="F",AND(O$6&gt;0,$A777&lt;O$6),AND(O$7&gt;0,$A777&gt;O$7)),0,MAX(0,ROUND((INDEX($E777:$G777,O$5)-SUMIFS(TF_Timer,TF_Tekniker,O$4,TF_Dato,$A777))*2,0)/2)))</f>
        <v/>
      </c>
      <c r="P777">
        <f>IF(OR(P$4="",$A777&gt;TODAY()),0,IF(OR(INDEX($B777:$D777,P$5)="F",AND(P$6&gt;0,$A777&lt;P$6),AND(P$7&gt;0,$A777&gt;P$7)),0,MAX(0,ROUND((INDEX($E777:$G777,P$5)-SUMIFS(TF_Timer,TF_Tekniker,P$4,TF_Dato,$A777))*2,0)/2)))</f>
        <v/>
      </c>
      <c r="Q777">
        <f>IF(OR(Q$4="",$A777&gt;TODAY()),0,IF(OR(INDEX($B777:$D777,Q$5)="F",AND(Q$6&gt;0,$A777&lt;Q$6),AND(Q$7&gt;0,$A777&gt;Q$7)),0,MAX(0,ROUND((INDEX($E777:$G777,Q$5)-SUMIFS(TF_Timer,TF_Tekniker,Q$4,TF_Dato,$A777))*2,0)/2)))</f>
        <v/>
      </c>
      <c r="R777">
        <f>IF(OR(R$4="",$A777&gt;TODAY()),0,IF(OR(INDEX($B777:$D777,R$5)="F",AND(R$6&gt;0,$A777&lt;R$6),AND(R$7&gt;0,$A777&gt;R$7)),0,MAX(0,ROUND((INDEX($E777:$G777,R$5)-SUMIFS(TF_Timer,TF_Tekniker,R$4,TF_Dato,$A777))*2,0)/2)))</f>
        <v/>
      </c>
      <c r="S777">
        <f>IF(OR(S$4="",$A777&gt;TODAY()),0,IF(OR(INDEX($B777:$D777,S$5)="F",AND(S$6&gt;0,$A777&lt;S$6),AND(S$7&gt;0,$A777&gt;S$7)),0,MAX(0,ROUND((INDEX($E777:$G777,S$5)-SUMIFS(TF_Timer,TF_Tekniker,S$4,TF_Dato,$A777))*2,0)/2)))</f>
        <v/>
      </c>
      <c r="T777">
        <f>IF(OR(T$4="",$A777&gt;TODAY()),0,IF(OR(INDEX($B777:$D777,T$5)="F",AND(T$6&gt;0,$A777&lt;T$6),AND(T$7&gt;0,$A777&gt;T$7)),0,MAX(0,ROUND((INDEX($E777:$G777,T$5)-SUMIFS(TF_Timer,TF_Tekniker,T$4,TF_Dato,$A777))*2,0)/2)))</f>
        <v/>
      </c>
      <c r="U777">
        <f>IF(OR(U$4="",$A777&gt;TODAY()),0,IF(OR(INDEX($B777:$D777,U$5)="F",AND(U$6&gt;0,$A777&lt;U$6),AND(U$7&gt;0,$A777&gt;U$7)),0,MAX(0,ROUND((INDEX($E777:$G777,U$5)-SUMIFS(TF_Timer,TF_Tekniker,U$4,TF_Dato,$A777))*2,0)/2)))</f>
        <v/>
      </c>
      <c r="V777">
        <f>IF(OR(V$4="",$A777&gt;TODAY()),0,IF(OR(INDEX($B777:$D777,V$5)="F",AND(V$6&gt;0,$A777&lt;V$6),AND(V$7&gt;0,$A777&gt;V$7)),0,MAX(0,ROUND((INDEX($E777:$G777,V$5)-SUMIFS(TF_Timer,TF_Tekniker,V$4,TF_Dato,$A777))*2,0)/2)))</f>
        <v/>
      </c>
      <c r="W777">
        <f>IF(OR(W$4="",$A777&gt;TODAY()),0,IF(OR(INDEX($B777:$D777,W$5)="F",AND(W$6&gt;0,$A777&lt;W$6),AND(W$7&gt;0,$A777&gt;W$7)),0,MAX(0,ROUND((INDEX($E777:$G777,W$5)-SUMIFS(TF_Timer,TF_Tekniker,W$4,TF_Dato,$A777))*2,0)/2)))</f>
        <v/>
      </c>
      <c r="X777">
        <f>IF(OR(X$4="",$A777&gt;TODAY()),0,IF(OR(INDEX($B777:$D777,X$5)="F",AND(X$6&gt;0,$A777&lt;X$6),AND(X$7&gt;0,$A777&gt;X$7)),0,MAX(0,ROUND((INDEX($E777:$G777,X$5)-SUMIFS(TF_Timer,TF_Tekniker,X$4,TF_Dato,$A777))*2,0)/2)))</f>
        <v/>
      </c>
      <c r="Y777">
        <f>IF(OR(Y$4="",$A777&gt;TODAY()),0,IF(OR(INDEX($B777:$D777,Y$5)="F",AND(Y$6&gt;0,$A777&lt;Y$6),AND(Y$7&gt;0,$A777&gt;Y$7)),0,MAX(0,ROUND((INDEX($E777:$G777,Y$5)-SUMIFS(TF_Timer,TF_Tekniker,Y$4,TF_Dato,$A777))*2,0)/2)))</f>
        <v/>
      </c>
      <c r="Z777">
        <f>IF(OR(Z$4="",$A777&gt;TODAY()),0,IF(OR(INDEX($B777:$D777,Z$5)="F",AND(Z$6&gt;0,$A777&lt;Z$6),AND(Z$7&gt;0,$A777&gt;Z$7)),0,MAX(0,ROUND((INDEX($E777:$G777,Z$5)-SUMIFS(TF_Timer,TF_Tekniker,Z$4,TF_Dato,$A777))*2,0)/2)))</f>
        <v/>
      </c>
      <c r="AA777">
        <f>IF(OR(AA$4="",$A777&gt;TODAY()),0,IF(OR(INDEX($B777:$D777,AA$5)="F",AND(AA$6&gt;0,$A777&lt;AA$6),AND(AA$7&gt;0,$A777&gt;AA$7)),0,MAX(0,ROUND((INDEX($E777:$G777,AA$5)-SUMIFS(TF_Timer,TF_Tekniker,AA$4,TF_Dato,$A777))*2,0)/2)))</f>
        <v/>
      </c>
      <c r="AB777">
        <f>IF(OR(AB$4="",$A777&gt;TODAY()),0,IF(OR(INDEX($B777:$D777,AB$5)="F",AND(AB$6&gt;0,$A777&lt;AB$6),AND(AB$7&gt;0,$A777&gt;AB$7)),0,MAX(0,ROUND((INDEX($E777:$G777,AB$5)-SUMIFS(TF_Timer,TF_Tekniker,AB$4,TF_Dato,$A777))*2,0)/2)))</f>
        <v/>
      </c>
      <c r="AC777">
        <f>IF(OR(AC$4="",$A777&gt;TODAY()),0,IF(OR(INDEX($B777:$D777,AC$5)="F",AND(AC$6&gt;0,$A777&lt;AC$6),AND(AC$7&gt;0,$A777&gt;AC$7)),0,MAX(0,ROUND((INDEX($E777:$G777,AC$5)-SUMIFS(TF_Timer,TF_Tekniker,AC$4,TF_Dato,$A777))*2,0)/2)))</f>
        <v/>
      </c>
      <c r="AD777">
        <f>IF(OR(AD$4="",$A777&gt;TODAY()),0,IF(OR(INDEX($B777:$D777,AD$5)="F",AND(AD$6&gt;0,$A777&lt;AD$6),AND(AD$7&gt;0,$A777&gt;AD$7)),0,MAX(0,ROUND((INDEX($E777:$G777,AD$5)-SUMIFS(TF_Timer,TF_Tekniker,AD$4,TF_Dato,$A777))*2,0)/2)))</f>
        <v/>
      </c>
      <c r="AE777">
        <f>IF(OR(AE$4="",$A777&gt;TODAY()),0,IF(OR(INDEX($B777:$D777,AE$5)="F",AND(AE$6&gt;0,$A777&lt;AE$6),AND(AE$7&gt;0,$A777&gt;AE$7)),0,MAX(0,ROUND((INDEX($E777:$G777,AE$5)-SUMIFS(TF_Timer,TF_Tekniker,AE$4,TF_Dato,$A777))*2,0)/2)))</f>
        <v/>
      </c>
      <c r="AF777">
        <f>IF(OR(AF$4="",$A777&gt;TODAY()),0,IF(OR(INDEX($B777:$D777,AF$5)="F",AND(AF$6&gt;0,$A777&lt;AF$6),AND(AF$7&gt;0,$A777&gt;AF$7)),0,MAX(0,ROUND((INDEX($E777:$G777,AF$5)-SUMIFS(TF_Timer,TF_Tekniker,AF$4,TF_Dato,$A777))*2,0)/2)))</f>
        <v/>
      </c>
      <c r="AG777">
        <f>IF(OR(AG$4="",$A777&gt;TODAY()),0,IF(OR(INDEX($B777:$D777,AG$5)="F",AND(AG$6&gt;0,$A777&lt;AG$6),AND(AG$7&gt;0,$A777&gt;AG$7)),0,MAX(0,ROUND((INDEX($E777:$G777,AG$5)-SUMIFS(TF_Timer,TF_Tekniker,AG$4,TF_Dato,$A777))*2,0)/2)))</f>
        <v/>
      </c>
      <c r="AH777">
        <f>IF(OR(AH$4="",$A777&gt;TODAY()),0,IF(OR(INDEX($B777:$D777,AH$5)="F",AND(AH$6&gt;0,$A777&lt;AH$6),AND(AH$7&gt;0,$A777&gt;AH$7)),0,MAX(0,ROUND((INDEX($E777:$G777,AH$5)-SUMIFS(TF_Timer,TF_Tekniker,AH$4,TF_Dato,$A777))*2,0)/2)))</f>
        <v/>
      </c>
      <c r="AI777">
        <f>IF(OR(AI$4="",$A777&gt;TODAY()),0,IF(OR(INDEX($B777:$D777,AI$5)="F",AND(AI$6&gt;0,$A777&lt;AI$6),AND(AI$7&gt;0,$A777&gt;AI$7)),0,MAX(0,ROUND((INDEX($E777:$G777,AI$5)-SUMIFS(TF_Timer,TF_Tekniker,AI$4,TF_Dato,$A777))*2,0)/2)))</f>
        <v/>
      </c>
      <c r="AJ777">
        <f>IF(OR(AJ$4="",$A777&gt;TODAY()),0,IF(OR(INDEX($B777:$D777,AJ$5)="F",AND(AJ$6&gt;0,$A777&lt;AJ$6),AND(AJ$7&gt;0,$A777&gt;AJ$7)),0,MAX(0,ROUND((INDEX($E777:$G777,AJ$5)-SUMIFS(TF_Timer,TF_Tekniker,AJ$4,TF_Dato,$A777))*2,0)/2)))</f>
        <v/>
      </c>
      <c r="AK777">
        <f>IF(OR(AK$4="",$A777&gt;TODAY()),0,IF(OR(INDEX($B777:$D777,AK$5)="F",AND(AK$6&gt;0,$A777&lt;AK$6),AND(AK$7&gt;0,$A777&gt;AK$7)),0,MAX(0,ROUND((INDEX($E777:$G777,AK$5)-SUMIFS(TF_Timer,TF_Tekniker,AK$4,TF_Dato,$A777))*2,0)/2)))</f>
        <v/>
      </c>
      <c r="AL777">
        <f>IF(OR(AL$4="",$A777&gt;TODAY()),0,IF(OR(INDEX($B777:$D777,AL$5)="F",AND(AL$6&gt;0,$A777&lt;AL$6),AND(AL$7&gt;0,$A777&gt;AL$7)),0,MAX(0,ROUND((INDEX($E777:$G777,AL$5)-SUMIFS(TF_Timer,TF_Tekniker,AL$4,TF_Dato,$A777))*2,0)/2)))</f>
        <v/>
      </c>
      <c r="AM777">
        <f>IF(OR(AM$4="",$A777&gt;TODAY()),0,IF(OR(INDEX($B777:$D777,AM$5)="F",AND(AM$6&gt;0,$A777&lt;AM$6),AND(AM$7&gt;0,$A777&gt;AM$7)),0,MAX(0,ROUND((INDEX($E777:$G777,AM$5)-SUMIFS(TF_Timer,TF_Tekniker,AM$4,TF_Dato,$A777))*2,0)/2)))</f>
        <v/>
      </c>
      <c r="AN777">
        <f>IF(OR(AN$4="",$A777&gt;TODAY()),0,IF(OR(INDEX($B777:$D777,AN$5)="F",AND(AN$6&gt;0,$A777&lt;AN$6),AND(AN$7&gt;0,$A777&gt;AN$7)),0,MAX(0,ROUND((INDEX($E777:$G777,AN$5)-SUMIFS(TF_Timer,TF_Tekniker,AN$4,TF_Dato,$A777))*2,0)/2)))</f>
        <v/>
      </c>
      <c r="AO777">
        <f>IF(OR(AO$4="",$A777&gt;TODAY()),0,IF(OR(INDEX($B777:$D777,AO$5)="F",AND(AO$6&gt;0,$A777&lt;AO$6),AND(AO$7&gt;0,$A777&gt;AO$7)),0,MAX(0,ROUND((INDEX($E777:$G777,AO$5)-SUMIFS(TF_Timer,TF_Tekniker,AO$4,TF_Dato,$A777))*2,0)/2)))</f>
        <v/>
      </c>
      <c r="AP777">
        <f>IF(OR(AP$4="",$A777&gt;TODAY()),0,IF(OR(INDEX($B777:$D777,AP$5)="F",AND(AP$6&gt;0,$A777&lt;AP$6),AND(AP$7&gt;0,$A777&gt;AP$7)),0,MAX(0,ROUND((INDEX($E777:$G777,AP$5)-SUMIFS(TF_Timer,TF_Tekniker,AP$4,TF_Dato,$A777))*2,0)/2)))</f>
        <v/>
      </c>
      <c r="AQ777">
        <f>IF(OR(AQ$4="",$A777&gt;TODAY()),0,IF(OR(INDEX($B777:$D777,AQ$5)="F",AND(AQ$6&gt;0,$A777&lt;AQ$6),AND(AQ$7&gt;0,$A777&gt;AQ$7)),0,MAX(0,ROUND((INDEX($E777:$G777,AQ$5)-SUMIFS(TF_Timer,TF_Tekniker,AQ$4,TF_Dato,$A777))*2,0)/2)))</f>
        <v/>
      </c>
      <c r="AR777">
        <f>IF(OR(AR$4="",$A777&gt;TODAY()),0,IF(OR(INDEX($B777:$D777,AR$5)="F",AND(AR$6&gt;0,$A777&lt;AR$6),AND(AR$7&gt;0,$A777&gt;AR$7)),0,MAX(0,ROUND((INDEX($E777:$G777,AR$5)-SUMIFS(TF_Timer,TF_Tekniker,AR$4,TF_Dato,$A777))*2,0)/2)))</f>
        <v/>
      </c>
      <c r="AS777">
        <f>IF(OR(AS$4="",$A777&gt;TODAY()),0,IF(OR(INDEX($B777:$D777,AS$5)="F",AND(AS$6&gt;0,$A777&lt;AS$6),AND(AS$7&gt;0,$A777&gt;AS$7)),0,MAX(0,ROUND((INDEX($E777:$G777,AS$5)-SUMIFS(TF_Timer,TF_Tekniker,AS$4,TF_Dato,$A777))*2,0)/2)))</f>
        <v/>
      </c>
      <c r="AT777">
        <f>IF(OR(AT$4="",$A777&gt;TODAY()),0,IF(OR(INDEX($B777:$D777,AT$5)="F",AND(AT$6&gt;0,$A777&lt;AT$6),AND(AT$7&gt;0,$A777&gt;AT$7)),0,MAX(0,ROUND((INDEX($E777:$G777,AT$5)-SUMIFS(TF_Timer,TF_Tekniker,AT$4,TF_Dato,$A777))*2,0)/2)))</f>
        <v/>
      </c>
      <c r="AU777">
        <f>IF(OR(AU$4="",$A777&gt;TODAY()),0,IF(OR(INDEX($B777:$D777,AU$5)="F",AND(AU$6&gt;0,$A777&lt;AU$6),AND(AU$7&gt;0,$A777&gt;AU$7)),0,MAX(0,ROUND((INDEX($E777:$G777,AU$5)-SUMIFS(TF_Timer,TF_Tekniker,AU$4,TF_Dato,$A777))*2,0)/2)))</f>
        <v/>
      </c>
      <c r="AV777">
        <f>IF(OR(AV$4="",$A777&gt;TODAY()),0,IF(OR(INDEX($B777:$D777,AV$5)="F",AND(AV$6&gt;0,$A777&lt;AV$6),AND(AV$7&gt;0,$A777&gt;AV$7)),0,MAX(0,ROUND((INDEX($E777:$G777,AV$5)-SUMIFS(TF_Timer,TF_Tekniker,AV$4,TF_Dato,$A777))*2,0)/2)))</f>
        <v/>
      </c>
      <c r="AW777">
        <f>IF(OR(AW$4="",$A777&gt;TODAY()),0,IF(OR(INDEX($B777:$D777,AW$5)="F",AND(AW$6&gt;0,$A777&lt;AW$6),AND(AW$7&gt;0,$A777&gt;AW$7)),0,MAX(0,ROUND((INDEX($E777:$G777,AW$5)-SUMIFS(TF_Timer,TF_Tekniker,AW$4,TF_Dato,$A777))*2,0)/2)))</f>
        <v/>
      </c>
      <c r="AX777">
        <f>IF(OR(AX$4="",$A777&gt;TODAY()),0,IF(OR(INDEX($B777:$D777,AX$5)="F",AND(AX$6&gt;0,$A777&lt;AX$6),AND(AX$7&gt;0,$A777&gt;AX$7)),0,MAX(0,ROUND((INDEX($E777:$G777,AX$5)-SUMIFS(TF_Timer,TF_Tekniker,AX$4,TF_Dato,$A777))*2,0)/2)))</f>
        <v/>
      </c>
      <c r="AY777">
        <f>IF(OR(AY$4="",$A777&gt;TODAY()),0,IF(OR(INDEX($B777:$D777,AY$5)="F",AND(AY$6&gt;0,$A777&lt;AY$6),AND(AY$7&gt;0,$A777&gt;AY$7)),0,MAX(0,ROUND((INDEX($E777:$G777,AY$5)-SUMIFS(TF_Timer,TF_Tekniker,AY$4,TF_Dato,$A777))*2,0)/2)))</f>
        <v/>
      </c>
      <c r="AZ777">
        <f>IF(OR(AZ$4="",$A777&gt;TODAY()),0,IF(OR(INDEX($B777:$D777,AZ$5)="F",AND(AZ$6&gt;0,$A777&lt;AZ$6),AND(AZ$7&gt;0,$A777&gt;AZ$7)),0,MAX(0,ROUND((INDEX($E777:$G777,AZ$5)-SUMIFS(TF_Timer,TF_Tekniker,AZ$4,TF_Dato,$A777))*2,0)/2)))</f>
        <v/>
      </c>
      <c r="BA777">
        <f>IF(OR(BA$4="",$A777&gt;TODAY()),0,IF(OR(INDEX($B777:$D777,BA$5)="F",AND(BA$6&gt;0,$A777&lt;BA$6),AND(BA$7&gt;0,$A777&gt;BA$7)),0,MAX(0,ROUND((INDEX($E777:$G777,BA$5)-SUMIFS(TF_Timer,TF_Tekniker,BA$4,TF_Dato,$A777))*2,0)/2)))</f>
        <v/>
      </c>
      <c r="BB777">
        <f>IF(OR(BB$4="",$A777&gt;TODAY()),0,IF(OR(INDEX($B777:$D777,BB$5)="F",AND(BB$6&gt;0,$A777&lt;BB$6),AND(BB$7&gt;0,$A777&gt;BB$7)),0,MAX(0,ROUND((INDEX($E777:$G777,BB$5)-SUMIFS(TF_Timer,TF_Tekniker,BB$4,TF_Dato,$A777))*2,0)/2)))</f>
        <v/>
      </c>
      <c r="BC777">
        <f>IF(OR(BC$4="",$A777&gt;TODAY()),0,IF(OR(INDEX($B777:$D777,BC$5)="F",AND(BC$6&gt;0,$A777&lt;BC$6),AND(BC$7&gt;0,$A777&gt;BC$7)),0,MAX(0,ROUND((INDEX($E777:$G777,BC$5)-SUMIFS(TF_Timer,TF_Tekniker,BC$4,TF_Dato,$A777))*2,0)/2)))</f>
        <v/>
      </c>
      <c r="BD777">
        <f>IF(OR(BD$4="",$A777&gt;TODAY()),0,IF(OR(INDEX($B777:$D777,BD$5)="F",AND(BD$6&gt;0,$A777&lt;BD$6),AND(BD$7&gt;0,$A777&gt;BD$7)),0,MAX(0,ROUND((INDEX($E777:$G777,BD$5)-SUMIFS(TF_Timer,TF_Tekniker,BD$4,TF_Dato,$A777))*2,0)/2)))</f>
        <v/>
      </c>
      <c r="BE777">
        <f>IF(OR(BE$4="",$A777&gt;TODAY()),0,IF(OR(INDEX($B777:$D777,BE$5)="F",AND(BE$6&gt;0,$A777&lt;BE$6),AND(BE$7&gt;0,$A777&gt;BE$7)),0,MAX(0,ROUND((INDEX($E777:$G777,BE$5)-SUMIFS(TF_Timer,TF_Tekniker,BE$4,TF_Dato,$A777))*2,0)/2)))</f>
        <v/>
      </c>
      <c r="BF777">
        <f>IF(OR(BF$4="",$A777&gt;TODAY()),0,IF(OR(INDEX($B777:$D777,BF$5)="F",AND(BF$6&gt;0,$A777&lt;BF$6),AND(BF$7&gt;0,$A777&gt;BF$7)),0,MAX(0,ROUND((INDEX($E777:$G777,BF$5)-SUMIFS(TF_Timer,TF_Tekniker,BF$4,TF_Dato,$A777))*2,0)/2)))</f>
        <v/>
      </c>
      <c r="BG777">
        <f>IF(OR(BG$4="",$A777&gt;TODAY()),0,IF(OR(INDEX($B777:$D777,BG$5)="F",AND(BG$6&gt;0,$A777&lt;BG$6),AND(BG$7&gt;0,$A777&gt;BG$7)),0,MAX(0,ROUND((INDEX($E777:$G777,BG$5)-SUMIFS(TF_Timer,TF_Tekniker,BG$4,TF_Dato,$A777))*2,0)/2)))</f>
        <v/>
      </c>
      <c r="BH777">
        <f>IF(OR(BH$4="",$A777&gt;TODAY()),0,IF(OR(INDEX($B777:$D777,BH$5)="F",AND(BH$6&gt;0,$A777&lt;BH$6),AND(BH$7&gt;0,$A777&gt;BH$7)),0,MAX(0,ROUND((INDEX($E777:$G777,BH$5)-SUMIFS(TF_Timer,TF_Tekniker,BH$4,TF_Dato,$A777))*2,0)/2)))</f>
        <v/>
      </c>
      <c r="BI777">
        <f>IF(OR(BI$4="",$A777&gt;TODAY()),0,IF(OR(INDEX($B777:$D777,BI$5)="F",AND(BI$6&gt;0,$A777&lt;BI$6),AND(BI$7&gt;0,$A777&gt;BI$7)),0,MAX(0,ROUND((INDEX($E777:$G777,BI$5)-SUMIFS(TF_Timer,TF_Tekniker,BI$4,TF_Dato,$A777))*2,0)/2)))</f>
        <v/>
      </c>
    </row>
    <row r="778">
      <c r="A778" s="64">
        <f>A777+1</f>
        <v/>
      </c>
      <c r="B778">
        <f>IF(MOD($A778-INDEX(SkiftStart,1),Syklus)&lt;DagK,"K",IF(MOD($A778-INDEX(SkiftStart,1),Syklus)&lt;DagK+DagH,"H",IF(MOD($A778-INDEX(SkiftStart,1),Syklus)&lt;DagK+DagH+DagD,"D","F")))</f>
        <v/>
      </c>
      <c r="C778">
        <f>IF(MOD($A778-INDEX(SkiftStart,2),Syklus)&lt;DagK,"K",IF(MOD($A778-INDEX(SkiftStart,2),Syklus)&lt;DagK+DagH,"H",IF(MOD($A778-INDEX(SkiftStart,2),Syklus)&lt;DagK+DagH+DagD,"D","F")))</f>
        <v/>
      </c>
      <c r="D778">
        <f>IF(MOD($A778-INDEX(SkiftStart,3),Syklus)&lt;DagK,"K",IF(MOD($A778-INDEX(SkiftStart,3),Syklus)&lt;DagK+DagH,"H",IF(MOD($A778-INDEX(SkiftStart,3),Syklus)&lt;DagK+DagH+DagD,"D","F")))</f>
        <v/>
      </c>
      <c r="E778">
        <f>IF(B778="F",0,IF(WEEKDAY($A778,2)=5,INDEX(TimerFr,MATCH(B778,FaseKode,0)),INDEX(TimerMT,MATCH(B778,FaseKode,0))))</f>
        <v/>
      </c>
      <c r="F778">
        <f>IF(C778="F",0,IF(WEEKDAY($A778,2)=5,INDEX(TimerFr,MATCH(C778,FaseKode,0)),INDEX(TimerMT,MATCH(C778,FaseKode,0))))</f>
        <v/>
      </c>
      <c r="G778">
        <f>IF(D778="F",0,IF(WEEKDAY($A778,2)=5,INDEX(TimerFr,MATCH(D778,FaseKode,0)),INDEX(TimerMT,MATCH(D778,FaseKode,0))))</f>
        <v/>
      </c>
      <c r="H778">
        <f>IF(OR(H$4="",$A778&gt;TODAY()),0,IF(OR(INDEX($B778:$D778,H$5)="F",AND(H$6&gt;0,$A778&lt;H$6),AND(H$7&gt;0,$A778&gt;H$7)),0,MAX(0,ROUND((INDEX($E778:$G778,H$5)-SUMIFS(TF_Timer,TF_Tekniker,H$4,TF_Dato,$A778))*2,0)/2)))</f>
        <v/>
      </c>
      <c r="I778">
        <f>IF(OR(I$4="",$A778&gt;TODAY()),0,IF(OR(INDEX($B778:$D778,I$5)="F",AND(I$6&gt;0,$A778&lt;I$6),AND(I$7&gt;0,$A778&gt;I$7)),0,MAX(0,ROUND((INDEX($E778:$G778,I$5)-SUMIFS(TF_Timer,TF_Tekniker,I$4,TF_Dato,$A778))*2,0)/2)))</f>
        <v/>
      </c>
      <c r="J778">
        <f>IF(OR(J$4="",$A778&gt;TODAY()),0,IF(OR(INDEX($B778:$D778,J$5)="F",AND(J$6&gt;0,$A778&lt;J$6),AND(J$7&gt;0,$A778&gt;J$7)),0,MAX(0,ROUND((INDEX($E778:$G778,J$5)-SUMIFS(TF_Timer,TF_Tekniker,J$4,TF_Dato,$A778))*2,0)/2)))</f>
        <v/>
      </c>
      <c r="K778">
        <f>IF(OR(K$4="",$A778&gt;TODAY()),0,IF(OR(INDEX($B778:$D778,K$5)="F",AND(K$6&gt;0,$A778&lt;K$6),AND(K$7&gt;0,$A778&gt;K$7)),0,MAX(0,ROUND((INDEX($E778:$G778,K$5)-SUMIFS(TF_Timer,TF_Tekniker,K$4,TF_Dato,$A778))*2,0)/2)))</f>
        <v/>
      </c>
      <c r="L778">
        <f>IF(OR(L$4="",$A778&gt;TODAY()),0,IF(OR(INDEX($B778:$D778,L$5)="F",AND(L$6&gt;0,$A778&lt;L$6),AND(L$7&gt;0,$A778&gt;L$7)),0,MAX(0,ROUND((INDEX($E778:$G778,L$5)-SUMIFS(TF_Timer,TF_Tekniker,L$4,TF_Dato,$A778))*2,0)/2)))</f>
        <v/>
      </c>
      <c r="M778">
        <f>IF(OR(M$4="",$A778&gt;TODAY()),0,IF(OR(INDEX($B778:$D778,M$5)="F",AND(M$6&gt;0,$A778&lt;M$6),AND(M$7&gt;0,$A778&gt;M$7)),0,MAX(0,ROUND((INDEX($E778:$G778,M$5)-SUMIFS(TF_Timer,TF_Tekniker,M$4,TF_Dato,$A778))*2,0)/2)))</f>
        <v/>
      </c>
      <c r="N778">
        <f>IF(OR(N$4="",$A778&gt;TODAY()),0,IF(OR(INDEX($B778:$D778,N$5)="F",AND(N$6&gt;0,$A778&lt;N$6),AND(N$7&gt;0,$A778&gt;N$7)),0,MAX(0,ROUND((INDEX($E778:$G778,N$5)-SUMIFS(TF_Timer,TF_Tekniker,N$4,TF_Dato,$A778))*2,0)/2)))</f>
        <v/>
      </c>
      <c r="O778">
        <f>IF(OR(O$4="",$A778&gt;TODAY()),0,IF(OR(INDEX($B778:$D778,O$5)="F",AND(O$6&gt;0,$A778&lt;O$6),AND(O$7&gt;0,$A778&gt;O$7)),0,MAX(0,ROUND((INDEX($E778:$G778,O$5)-SUMIFS(TF_Timer,TF_Tekniker,O$4,TF_Dato,$A778))*2,0)/2)))</f>
        <v/>
      </c>
      <c r="P778">
        <f>IF(OR(P$4="",$A778&gt;TODAY()),0,IF(OR(INDEX($B778:$D778,P$5)="F",AND(P$6&gt;0,$A778&lt;P$6),AND(P$7&gt;0,$A778&gt;P$7)),0,MAX(0,ROUND((INDEX($E778:$G778,P$5)-SUMIFS(TF_Timer,TF_Tekniker,P$4,TF_Dato,$A778))*2,0)/2)))</f>
        <v/>
      </c>
      <c r="Q778">
        <f>IF(OR(Q$4="",$A778&gt;TODAY()),0,IF(OR(INDEX($B778:$D778,Q$5)="F",AND(Q$6&gt;0,$A778&lt;Q$6),AND(Q$7&gt;0,$A778&gt;Q$7)),0,MAX(0,ROUND((INDEX($E778:$G778,Q$5)-SUMIFS(TF_Timer,TF_Tekniker,Q$4,TF_Dato,$A778))*2,0)/2)))</f>
        <v/>
      </c>
      <c r="R778">
        <f>IF(OR(R$4="",$A778&gt;TODAY()),0,IF(OR(INDEX($B778:$D778,R$5)="F",AND(R$6&gt;0,$A778&lt;R$6),AND(R$7&gt;0,$A778&gt;R$7)),0,MAX(0,ROUND((INDEX($E778:$G778,R$5)-SUMIFS(TF_Timer,TF_Tekniker,R$4,TF_Dato,$A778))*2,0)/2)))</f>
        <v/>
      </c>
      <c r="S778">
        <f>IF(OR(S$4="",$A778&gt;TODAY()),0,IF(OR(INDEX($B778:$D778,S$5)="F",AND(S$6&gt;0,$A778&lt;S$6),AND(S$7&gt;0,$A778&gt;S$7)),0,MAX(0,ROUND((INDEX($E778:$G778,S$5)-SUMIFS(TF_Timer,TF_Tekniker,S$4,TF_Dato,$A778))*2,0)/2)))</f>
        <v/>
      </c>
      <c r="T778">
        <f>IF(OR(T$4="",$A778&gt;TODAY()),0,IF(OR(INDEX($B778:$D778,T$5)="F",AND(T$6&gt;0,$A778&lt;T$6),AND(T$7&gt;0,$A778&gt;T$7)),0,MAX(0,ROUND((INDEX($E778:$G778,T$5)-SUMIFS(TF_Timer,TF_Tekniker,T$4,TF_Dato,$A778))*2,0)/2)))</f>
        <v/>
      </c>
      <c r="U778">
        <f>IF(OR(U$4="",$A778&gt;TODAY()),0,IF(OR(INDEX($B778:$D778,U$5)="F",AND(U$6&gt;0,$A778&lt;U$6),AND(U$7&gt;0,$A778&gt;U$7)),0,MAX(0,ROUND((INDEX($E778:$G778,U$5)-SUMIFS(TF_Timer,TF_Tekniker,U$4,TF_Dato,$A778))*2,0)/2)))</f>
        <v/>
      </c>
      <c r="V778">
        <f>IF(OR(V$4="",$A778&gt;TODAY()),0,IF(OR(INDEX($B778:$D778,V$5)="F",AND(V$6&gt;0,$A778&lt;V$6),AND(V$7&gt;0,$A778&gt;V$7)),0,MAX(0,ROUND((INDEX($E778:$G778,V$5)-SUMIFS(TF_Timer,TF_Tekniker,V$4,TF_Dato,$A778))*2,0)/2)))</f>
        <v/>
      </c>
      <c r="W778">
        <f>IF(OR(W$4="",$A778&gt;TODAY()),0,IF(OR(INDEX($B778:$D778,W$5)="F",AND(W$6&gt;0,$A778&lt;W$6),AND(W$7&gt;0,$A778&gt;W$7)),0,MAX(0,ROUND((INDEX($E778:$G778,W$5)-SUMIFS(TF_Timer,TF_Tekniker,W$4,TF_Dato,$A778))*2,0)/2)))</f>
        <v/>
      </c>
      <c r="X778">
        <f>IF(OR(X$4="",$A778&gt;TODAY()),0,IF(OR(INDEX($B778:$D778,X$5)="F",AND(X$6&gt;0,$A778&lt;X$6),AND(X$7&gt;0,$A778&gt;X$7)),0,MAX(0,ROUND((INDEX($E778:$G778,X$5)-SUMIFS(TF_Timer,TF_Tekniker,X$4,TF_Dato,$A778))*2,0)/2)))</f>
        <v/>
      </c>
      <c r="Y778">
        <f>IF(OR(Y$4="",$A778&gt;TODAY()),0,IF(OR(INDEX($B778:$D778,Y$5)="F",AND(Y$6&gt;0,$A778&lt;Y$6),AND(Y$7&gt;0,$A778&gt;Y$7)),0,MAX(0,ROUND((INDEX($E778:$G778,Y$5)-SUMIFS(TF_Timer,TF_Tekniker,Y$4,TF_Dato,$A778))*2,0)/2)))</f>
        <v/>
      </c>
      <c r="Z778">
        <f>IF(OR(Z$4="",$A778&gt;TODAY()),0,IF(OR(INDEX($B778:$D778,Z$5)="F",AND(Z$6&gt;0,$A778&lt;Z$6),AND(Z$7&gt;0,$A778&gt;Z$7)),0,MAX(0,ROUND((INDEX($E778:$G778,Z$5)-SUMIFS(TF_Timer,TF_Tekniker,Z$4,TF_Dato,$A778))*2,0)/2)))</f>
        <v/>
      </c>
      <c r="AA778">
        <f>IF(OR(AA$4="",$A778&gt;TODAY()),0,IF(OR(INDEX($B778:$D778,AA$5)="F",AND(AA$6&gt;0,$A778&lt;AA$6),AND(AA$7&gt;0,$A778&gt;AA$7)),0,MAX(0,ROUND((INDEX($E778:$G778,AA$5)-SUMIFS(TF_Timer,TF_Tekniker,AA$4,TF_Dato,$A778))*2,0)/2)))</f>
        <v/>
      </c>
      <c r="AB778">
        <f>IF(OR(AB$4="",$A778&gt;TODAY()),0,IF(OR(INDEX($B778:$D778,AB$5)="F",AND(AB$6&gt;0,$A778&lt;AB$6),AND(AB$7&gt;0,$A778&gt;AB$7)),0,MAX(0,ROUND((INDEX($E778:$G778,AB$5)-SUMIFS(TF_Timer,TF_Tekniker,AB$4,TF_Dato,$A778))*2,0)/2)))</f>
        <v/>
      </c>
      <c r="AC778">
        <f>IF(OR(AC$4="",$A778&gt;TODAY()),0,IF(OR(INDEX($B778:$D778,AC$5)="F",AND(AC$6&gt;0,$A778&lt;AC$6),AND(AC$7&gt;0,$A778&gt;AC$7)),0,MAX(0,ROUND((INDEX($E778:$G778,AC$5)-SUMIFS(TF_Timer,TF_Tekniker,AC$4,TF_Dato,$A778))*2,0)/2)))</f>
        <v/>
      </c>
      <c r="AD778">
        <f>IF(OR(AD$4="",$A778&gt;TODAY()),0,IF(OR(INDEX($B778:$D778,AD$5)="F",AND(AD$6&gt;0,$A778&lt;AD$6),AND(AD$7&gt;0,$A778&gt;AD$7)),0,MAX(0,ROUND((INDEX($E778:$G778,AD$5)-SUMIFS(TF_Timer,TF_Tekniker,AD$4,TF_Dato,$A778))*2,0)/2)))</f>
        <v/>
      </c>
      <c r="AE778">
        <f>IF(OR(AE$4="",$A778&gt;TODAY()),0,IF(OR(INDEX($B778:$D778,AE$5)="F",AND(AE$6&gt;0,$A778&lt;AE$6),AND(AE$7&gt;0,$A778&gt;AE$7)),0,MAX(0,ROUND((INDEX($E778:$G778,AE$5)-SUMIFS(TF_Timer,TF_Tekniker,AE$4,TF_Dato,$A778))*2,0)/2)))</f>
        <v/>
      </c>
      <c r="AF778">
        <f>IF(OR(AF$4="",$A778&gt;TODAY()),0,IF(OR(INDEX($B778:$D778,AF$5)="F",AND(AF$6&gt;0,$A778&lt;AF$6),AND(AF$7&gt;0,$A778&gt;AF$7)),0,MAX(0,ROUND((INDEX($E778:$G778,AF$5)-SUMIFS(TF_Timer,TF_Tekniker,AF$4,TF_Dato,$A778))*2,0)/2)))</f>
        <v/>
      </c>
      <c r="AG778">
        <f>IF(OR(AG$4="",$A778&gt;TODAY()),0,IF(OR(INDEX($B778:$D778,AG$5)="F",AND(AG$6&gt;0,$A778&lt;AG$6),AND(AG$7&gt;0,$A778&gt;AG$7)),0,MAX(0,ROUND((INDEX($E778:$G778,AG$5)-SUMIFS(TF_Timer,TF_Tekniker,AG$4,TF_Dato,$A778))*2,0)/2)))</f>
        <v/>
      </c>
      <c r="AH778">
        <f>IF(OR(AH$4="",$A778&gt;TODAY()),0,IF(OR(INDEX($B778:$D778,AH$5)="F",AND(AH$6&gt;0,$A778&lt;AH$6),AND(AH$7&gt;0,$A778&gt;AH$7)),0,MAX(0,ROUND((INDEX($E778:$G778,AH$5)-SUMIFS(TF_Timer,TF_Tekniker,AH$4,TF_Dato,$A778))*2,0)/2)))</f>
        <v/>
      </c>
      <c r="AI778">
        <f>IF(OR(AI$4="",$A778&gt;TODAY()),0,IF(OR(INDEX($B778:$D778,AI$5)="F",AND(AI$6&gt;0,$A778&lt;AI$6),AND(AI$7&gt;0,$A778&gt;AI$7)),0,MAX(0,ROUND((INDEX($E778:$G778,AI$5)-SUMIFS(TF_Timer,TF_Tekniker,AI$4,TF_Dato,$A778))*2,0)/2)))</f>
        <v/>
      </c>
      <c r="AJ778">
        <f>IF(OR(AJ$4="",$A778&gt;TODAY()),0,IF(OR(INDEX($B778:$D778,AJ$5)="F",AND(AJ$6&gt;0,$A778&lt;AJ$6),AND(AJ$7&gt;0,$A778&gt;AJ$7)),0,MAX(0,ROUND((INDEX($E778:$G778,AJ$5)-SUMIFS(TF_Timer,TF_Tekniker,AJ$4,TF_Dato,$A778))*2,0)/2)))</f>
        <v/>
      </c>
      <c r="AK778">
        <f>IF(OR(AK$4="",$A778&gt;TODAY()),0,IF(OR(INDEX($B778:$D778,AK$5)="F",AND(AK$6&gt;0,$A778&lt;AK$6),AND(AK$7&gt;0,$A778&gt;AK$7)),0,MAX(0,ROUND((INDEX($E778:$G778,AK$5)-SUMIFS(TF_Timer,TF_Tekniker,AK$4,TF_Dato,$A778))*2,0)/2)))</f>
        <v/>
      </c>
      <c r="AL778">
        <f>IF(OR(AL$4="",$A778&gt;TODAY()),0,IF(OR(INDEX($B778:$D778,AL$5)="F",AND(AL$6&gt;0,$A778&lt;AL$6),AND(AL$7&gt;0,$A778&gt;AL$7)),0,MAX(0,ROUND((INDEX($E778:$G778,AL$5)-SUMIFS(TF_Timer,TF_Tekniker,AL$4,TF_Dato,$A778))*2,0)/2)))</f>
        <v/>
      </c>
      <c r="AM778">
        <f>IF(OR(AM$4="",$A778&gt;TODAY()),0,IF(OR(INDEX($B778:$D778,AM$5)="F",AND(AM$6&gt;0,$A778&lt;AM$6),AND(AM$7&gt;0,$A778&gt;AM$7)),0,MAX(0,ROUND((INDEX($E778:$G778,AM$5)-SUMIFS(TF_Timer,TF_Tekniker,AM$4,TF_Dato,$A778))*2,0)/2)))</f>
        <v/>
      </c>
      <c r="AN778">
        <f>IF(OR(AN$4="",$A778&gt;TODAY()),0,IF(OR(INDEX($B778:$D778,AN$5)="F",AND(AN$6&gt;0,$A778&lt;AN$6),AND(AN$7&gt;0,$A778&gt;AN$7)),0,MAX(0,ROUND((INDEX($E778:$G778,AN$5)-SUMIFS(TF_Timer,TF_Tekniker,AN$4,TF_Dato,$A778))*2,0)/2)))</f>
        <v/>
      </c>
      <c r="AO778">
        <f>IF(OR(AO$4="",$A778&gt;TODAY()),0,IF(OR(INDEX($B778:$D778,AO$5)="F",AND(AO$6&gt;0,$A778&lt;AO$6),AND(AO$7&gt;0,$A778&gt;AO$7)),0,MAX(0,ROUND((INDEX($E778:$G778,AO$5)-SUMIFS(TF_Timer,TF_Tekniker,AO$4,TF_Dato,$A778))*2,0)/2)))</f>
        <v/>
      </c>
      <c r="AP778">
        <f>IF(OR(AP$4="",$A778&gt;TODAY()),0,IF(OR(INDEX($B778:$D778,AP$5)="F",AND(AP$6&gt;0,$A778&lt;AP$6),AND(AP$7&gt;0,$A778&gt;AP$7)),0,MAX(0,ROUND((INDEX($E778:$G778,AP$5)-SUMIFS(TF_Timer,TF_Tekniker,AP$4,TF_Dato,$A778))*2,0)/2)))</f>
        <v/>
      </c>
      <c r="AQ778">
        <f>IF(OR(AQ$4="",$A778&gt;TODAY()),0,IF(OR(INDEX($B778:$D778,AQ$5)="F",AND(AQ$6&gt;0,$A778&lt;AQ$6),AND(AQ$7&gt;0,$A778&gt;AQ$7)),0,MAX(0,ROUND((INDEX($E778:$G778,AQ$5)-SUMIFS(TF_Timer,TF_Tekniker,AQ$4,TF_Dato,$A778))*2,0)/2)))</f>
        <v/>
      </c>
      <c r="AR778">
        <f>IF(OR(AR$4="",$A778&gt;TODAY()),0,IF(OR(INDEX($B778:$D778,AR$5)="F",AND(AR$6&gt;0,$A778&lt;AR$6),AND(AR$7&gt;0,$A778&gt;AR$7)),0,MAX(0,ROUND((INDEX($E778:$G778,AR$5)-SUMIFS(TF_Timer,TF_Tekniker,AR$4,TF_Dato,$A778))*2,0)/2)))</f>
        <v/>
      </c>
      <c r="AS778">
        <f>IF(OR(AS$4="",$A778&gt;TODAY()),0,IF(OR(INDEX($B778:$D778,AS$5)="F",AND(AS$6&gt;0,$A778&lt;AS$6),AND(AS$7&gt;0,$A778&gt;AS$7)),0,MAX(0,ROUND((INDEX($E778:$G778,AS$5)-SUMIFS(TF_Timer,TF_Tekniker,AS$4,TF_Dato,$A778))*2,0)/2)))</f>
        <v/>
      </c>
      <c r="AT778">
        <f>IF(OR(AT$4="",$A778&gt;TODAY()),0,IF(OR(INDEX($B778:$D778,AT$5)="F",AND(AT$6&gt;0,$A778&lt;AT$6),AND(AT$7&gt;0,$A778&gt;AT$7)),0,MAX(0,ROUND((INDEX($E778:$G778,AT$5)-SUMIFS(TF_Timer,TF_Tekniker,AT$4,TF_Dato,$A778))*2,0)/2)))</f>
        <v/>
      </c>
      <c r="AU778">
        <f>IF(OR(AU$4="",$A778&gt;TODAY()),0,IF(OR(INDEX($B778:$D778,AU$5)="F",AND(AU$6&gt;0,$A778&lt;AU$6),AND(AU$7&gt;0,$A778&gt;AU$7)),0,MAX(0,ROUND((INDEX($E778:$G778,AU$5)-SUMIFS(TF_Timer,TF_Tekniker,AU$4,TF_Dato,$A778))*2,0)/2)))</f>
        <v/>
      </c>
      <c r="AV778">
        <f>IF(OR(AV$4="",$A778&gt;TODAY()),0,IF(OR(INDEX($B778:$D778,AV$5)="F",AND(AV$6&gt;0,$A778&lt;AV$6),AND(AV$7&gt;0,$A778&gt;AV$7)),0,MAX(0,ROUND((INDEX($E778:$G778,AV$5)-SUMIFS(TF_Timer,TF_Tekniker,AV$4,TF_Dato,$A778))*2,0)/2)))</f>
        <v/>
      </c>
      <c r="AW778">
        <f>IF(OR(AW$4="",$A778&gt;TODAY()),0,IF(OR(INDEX($B778:$D778,AW$5)="F",AND(AW$6&gt;0,$A778&lt;AW$6),AND(AW$7&gt;0,$A778&gt;AW$7)),0,MAX(0,ROUND((INDEX($E778:$G778,AW$5)-SUMIFS(TF_Timer,TF_Tekniker,AW$4,TF_Dato,$A778))*2,0)/2)))</f>
        <v/>
      </c>
      <c r="AX778">
        <f>IF(OR(AX$4="",$A778&gt;TODAY()),0,IF(OR(INDEX($B778:$D778,AX$5)="F",AND(AX$6&gt;0,$A778&lt;AX$6),AND(AX$7&gt;0,$A778&gt;AX$7)),0,MAX(0,ROUND((INDEX($E778:$G778,AX$5)-SUMIFS(TF_Timer,TF_Tekniker,AX$4,TF_Dato,$A778))*2,0)/2)))</f>
        <v/>
      </c>
      <c r="AY778">
        <f>IF(OR(AY$4="",$A778&gt;TODAY()),0,IF(OR(INDEX($B778:$D778,AY$5)="F",AND(AY$6&gt;0,$A778&lt;AY$6),AND(AY$7&gt;0,$A778&gt;AY$7)),0,MAX(0,ROUND((INDEX($E778:$G778,AY$5)-SUMIFS(TF_Timer,TF_Tekniker,AY$4,TF_Dato,$A778))*2,0)/2)))</f>
        <v/>
      </c>
      <c r="AZ778">
        <f>IF(OR(AZ$4="",$A778&gt;TODAY()),0,IF(OR(INDEX($B778:$D778,AZ$5)="F",AND(AZ$6&gt;0,$A778&lt;AZ$6),AND(AZ$7&gt;0,$A778&gt;AZ$7)),0,MAX(0,ROUND((INDEX($E778:$G778,AZ$5)-SUMIFS(TF_Timer,TF_Tekniker,AZ$4,TF_Dato,$A778))*2,0)/2)))</f>
        <v/>
      </c>
      <c r="BA778">
        <f>IF(OR(BA$4="",$A778&gt;TODAY()),0,IF(OR(INDEX($B778:$D778,BA$5)="F",AND(BA$6&gt;0,$A778&lt;BA$6),AND(BA$7&gt;0,$A778&gt;BA$7)),0,MAX(0,ROUND((INDEX($E778:$G778,BA$5)-SUMIFS(TF_Timer,TF_Tekniker,BA$4,TF_Dato,$A778))*2,0)/2)))</f>
        <v/>
      </c>
      <c r="BB778">
        <f>IF(OR(BB$4="",$A778&gt;TODAY()),0,IF(OR(INDEX($B778:$D778,BB$5)="F",AND(BB$6&gt;0,$A778&lt;BB$6),AND(BB$7&gt;0,$A778&gt;BB$7)),0,MAX(0,ROUND((INDEX($E778:$G778,BB$5)-SUMIFS(TF_Timer,TF_Tekniker,BB$4,TF_Dato,$A778))*2,0)/2)))</f>
        <v/>
      </c>
      <c r="BC778">
        <f>IF(OR(BC$4="",$A778&gt;TODAY()),0,IF(OR(INDEX($B778:$D778,BC$5)="F",AND(BC$6&gt;0,$A778&lt;BC$6),AND(BC$7&gt;0,$A778&gt;BC$7)),0,MAX(0,ROUND((INDEX($E778:$G778,BC$5)-SUMIFS(TF_Timer,TF_Tekniker,BC$4,TF_Dato,$A778))*2,0)/2)))</f>
        <v/>
      </c>
      <c r="BD778">
        <f>IF(OR(BD$4="",$A778&gt;TODAY()),0,IF(OR(INDEX($B778:$D778,BD$5)="F",AND(BD$6&gt;0,$A778&lt;BD$6),AND(BD$7&gt;0,$A778&gt;BD$7)),0,MAX(0,ROUND((INDEX($E778:$G778,BD$5)-SUMIFS(TF_Timer,TF_Tekniker,BD$4,TF_Dato,$A778))*2,0)/2)))</f>
        <v/>
      </c>
      <c r="BE778">
        <f>IF(OR(BE$4="",$A778&gt;TODAY()),0,IF(OR(INDEX($B778:$D778,BE$5)="F",AND(BE$6&gt;0,$A778&lt;BE$6),AND(BE$7&gt;0,$A778&gt;BE$7)),0,MAX(0,ROUND((INDEX($E778:$G778,BE$5)-SUMIFS(TF_Timer,TF_Tekniker,BE$4,TF_Dato,$A778))*2,0)/2)))</f>
        <v/>
      </c>
      <c r="BF778">
        <f>IF(OR(BF$4="",$A778&gt;TODAY()),0,IF(OR(INDEX($B778:$D778,BF$5)="F",AND(BF$6&gt;0,$A778&lt;BF$6),AND(BF$7&gt;0,$A778&gt;BF$7)),0,MAX(0,ROUND((INDEX($E778:$G778,BF$5)-SUMIFS(TF_Timer,TF_Tekniker,BF$4,TF_Dato,$A778))*2,0)/2)))</f>
        <v/>
      </c>
      <c r="BG778">
        <f>IF(OR(BG$4="",$A778&gt;TODAY()),0,IF(OR(INDEX($B778:$D778,BG$5)="F",AND(BG$6&gt;0,$A778&lt;BG$6),AND(BG$7&gt;0,$A778&gt;BG$7)),0,MAX(0,ROUND((INDEX($E778:$G778,BG$5)-SUMIFS(TF_Timer,TF_Tekniker,BG$4,TF_Dato,$A778))*2,0)/2)))</f>
        <v/>
      </c>
      <c r="BH778">
        <f>IF(OR(BH$4="",$A778&gt;TODAY()),0,IF(OR(INDEX($B778:$D778,BH$5)="F",AND(BH$6&gt;0,$A778&lt;BH$6),AND(BH$7&gt;0,$A778&gt;BH$7)),0,MAX(0,ROUND((INDEX($E778:$G778,BH$5)-SUMIFS(TF_Timer,TF_Tekniker,BH$4,TF_Dato,$A778))*2,0)/2)))</f>
        <v/>
      </c>
      <c r="BI778">
        <f>IF(OR(BI$4="",$A778&gt;TODAY()),0,IF(OR(INDEX($B778:$D778,BI$5)="F",AND(BI$6&gt;0,$A778&lt;BI$6),AND(BI$7&gt;0,$A778&gt;BI$7)),0,MAX(0,ROUND((INDEX($E778:$G778,BI$5)-SUMIFS(TF_Timer,TF_Tekniker,BI$4,TF_Dato,$A778))*2,0)/2)))</f>
        <v/>
      </c>
    </row>
    <row r="779">
      <c r="A779" s="64">
        <f>A778+1</f>
        <v/>
      </c>
      <c r="B779">
        <f>IF(MOD($A779-INDEX(SkiftStart,1),Syklus)&lt;DagK,"K",IF(MOD($A779-INDEX(SkiftStart,1),Syklus)&lt;DagK+DagH,"H",IF(MOD($A779-INDEX(SkiftStart,1),Syklus)&lt;DagK+DagH+DagD,"D","F")))</f>
        <v/>
      </c>
      <c r="C779">
        <f>IF(MOD($A779-INDEX(SkiftStart,2),Syklus)&lt;DagK,"K",IF(MOD($A779-INDEX(SkiftStart,2),Syklus)&lt;DagK+DagH,"H",IF(MOD($A779-INDEX(SkiftStart,2),Syklus)&lt;DagK+DagH+DagD,"D","F")))</f>
        <v/>
      </c>
      <c r="D779">
        <f>IF(MOD($A779-INDEX(SkiftStart,3),Syklus)&lt;DagK,"K",IF(MOD($A779-INDEX(SkiftStart,3),Syklus)&lt;DagK+DagH,"H",IF(MOD($A779-INDEX(SkiftStart,3),Syklus)&lt;DagK+DagH+DagD,"D","F")))</f>
        <v/>
      </c>
      <c r="E779">
        <f>IF(B779="F",0,IF(WEEKDAY($A779,2)=5,INDEX(TimerFr,MATCH(B779,FaseKode,0)),INDEX(TimerMT,MATCH(B779,FaseKode,0))))</f>
        <v/>
      </c>
      <c r="F779">
        <f>IF(C779="F",0,IF(WEEKDAY($A779,2)=5,INDEX(TimerFr,MATCH(C779,FaseKode,0)),INDEX(TimerMT,MATCH(C779,FaseKode,0))))</f>
        <v/>
      </c>
      <c r="G779">
        <f>IF(D779="F",0,IF(WEEKDAY($A779,2)=5,INDEX(TimerFr,MATCH(D779,FaseKode,0)),INDEX(TimerMT,MATCH(D779,FaseKode,0))))</f>
        <v/>
      </c>
      <c r="H779">
        <f>IF(OR(H$4="",$A779&gt;TODAY()),0,IF(OR(INDEX($B779:$D779,H$5)="F",AND(H$6&gt;0,$A779&lt;H$6),AND(H$7&gt;0,$A779&gt;H$7)),0,MAX(0,ROUND((INDEX($E779:$G779,H$5)-SUMIFS(TF_Timer,TF_Tekniker,H$4,TF_Dato,$A779))*2,0)/2)))</f>
        <v/>
      </c>
      <c r="I779">
        <f>IF(OR(I$4="",$A779&gt;TODAY()),0,IF(OR(INDEX($B779:$D779,I$5)="F",AND(I$6&gt;0,$A779&lt;I$6),AND(I$7&gt;0,$A779&gt;I$7)),0,MAX(0,ROUND((INDEX($E779:$G779,I$5)-SUMIFS(TF_Timer,TF_Tekniker,I$4,TF_Dato,$A779))*2,0)/2)))</f>
        <v/>
      </c>
      <c r="J779">
        <f>IF(OR(J$4="",$A779&gt;TODAY()),0,IF(OR(INDEX($B779:$D779,J$5)="F",AND(J$6&gt;0,$A779&lt;J$6),AND(J$7&gt;0,$A779&gt;J$7)),0,MAX(0,ROUND((INDEX($E779:$G779,J$5)-SUMIFS(TF_Timer,TF_Tekniker,J$4,TF_Dato,$A779))*2,0)/2)))</f>
        <v/>
      </c>
      <c r="K779">
        <f>IF(OR(K$4="",$A779&gt;TODAY()),0,IF(OR(INDEX($B779:$D779,K$5)="F",AND(K$6&gt;0,$A779&lt;K$6),AND(K$7&gt;0,$A779&gt;K$7)),0,MAX(0,ROUND((INDEX($E779:$G779,K$5)-SUMIFS(TF_Timer,TF_Tekniker,K$4,TF_Dato,$A779))*2,0)/2)))</f>
        <v/>
      </c>
      <c r="L779">
        <f>IF(OR(L$4="",$A779&gt;TODAY()),0,IF(OR(INDEX($B779:$D779,L$5)="F",AND(L$6&gt;0,$A779&lt;L$6),AND(L$7&gt;0,$A779&gt;L$7)),0,MAX(0,ROUND((INDEX($E779:$G779,L$5)-SUMIFS(TF_Timer,TF_Tekniker,L$4,TF_Dato,$A779))*2,0)/2)))</f>
        <v/>
      </c>
      <c r="M779">
        <f>IF(OR(M$4="",$A779&gt;TODAY()),0,IF(OR(INDEX($B779:$D779,M$5)="F",AND(M$6&gt;0,$A779&lt;M$6),AND(M$7&gt;0,$A779&gt;M$7)),0,MAX(0,ROUND((INDEX($E779:$G779,M$5)-SUMIFS(TF_Timer,TF_Tekniker,M$4,TF_Dato,$A779))*2,0)/2)))</f>
        <v/>
      </c>
      <c r="N779">
        <f>IF(OR(N$4="",$A779&gt;TODAY()),0,IF(OR(INDEX($B779:$D779,N$5)="F",AND(N$6&gt;0,$A779&lt;N$6),AND(N$7&gt;0,$A779&gt;N$7)),0,MAX(0,ROUND((INDEX($E779:$G779,N$5)-SUMIFS(TF_Timer,TF_Tekniker,N$4,TF_Dato,$A779))*2,0)/2)))</f>
        <v/>
      </c>
      <c r="O779">
        <f>IF(OR(O$4="",$A779&gt;TODAY()),0,IF(OR(INDEX($B779:$D779,O$5)="F",AND(O$6&gt;0,$A779&lt;O$6),AND(O$7&gt;0,$A779&gt;O$7)),0,MAX(0,ROUND((INDEX($E779:$G779,O$5)-SUMIFS(TF_Timer,TF_Tekniker,O$4,TF_Dato,$A779))*2,0)/2)))</f>
        <v/>
      </c>
      <c r="P779">
        <f>IF(OR(P$4="",$A779&gt;TODAY()),0,IF(OR(INDEX($B779:$D779,P$5)="F",AND(P$6&gt;0,$A779&lt;P$6),AND(P$7&gt;0,$A779&gt;P$7)),0,MAX(0,ROUND((INDEX($E779:$G779,P$5)-SUMIFS(TF_Timer,TF_Tekniker,P$4,TF_Dato,$A779))*2,0)/2)))</f>
        <v/>
      </c>
      <c r="Q779">
        <f>IF(OR(Q$4="",$A779&gt;TODAY()),0,IF(OR(INDEX($B779:$D779,Q$5)="F",AND(Q$6&gt;0,$A779&lt;Q$6),AND(Q$7&gt;0,$A779&gt;Q$7)),0,MAX(0,ROUND((INDEX($E779:$G779,Q$5)-SUMIFS(TF_Timer,TF_Tekniker,Q$4,TF_Dato,$A779))*2,0)/2)))</f>
        <v/>
      </c>
      <c r="R779">
        <f>IF(OR(R$4="",$A779&gt;TODAY()),0,IF(OR(INDEX($B779:$D779,R$5)="F",AND(R$6&gt;0,$A779&lt;R$6),AND(R$7&gt;0,$A779&gt;R$7)),0,MAX(0,ROUND((INDEX($E779:$G779,R$5)-SUMIFS(TF_Timer,TF_Tekniker,R$4,TF_Dato,$A779))*2,0)/2)))</f>
        <v/>
      </c>
      <c r="S779">
        <f>IF(OR(S$4="",$A779&gt;TODAY()),0,IF(OR(INDEX($B779:$D779,S$5)="F",AND(S$6&gt;0,$A779&lt;S$6),AND(S$7&gt;0,$A779&gt;S$7)),0,MAX(0,ROUND((INDEX($E779:$G779,S$5)-SUMIFS(TF_Timer,TF_Tekniker,S$4,TF_Dato,$A779))*2,0)/2)))</f>
        <v/>
      </c>
      <c r="T779">
        <f>IF(OR(T$4="",$A779&gt;TODAY()),0,IF(OR(INDEX($B779:$D779,T$5)="F",AND(T$6&gt;0,$A779&lt;T$6),AND(T$7&gt;0,$A779&gt;T$7)),0,MAX(0,ROUND((INDEX($E779:$G779,T$5)-SUMIFS(TF_Timer,TF_Tekniker,T$4,TF_Dato,$A779))*2,0)/2)))</f>
        <v/>
      </c>
      <c r="U779">
        <f>IF(OR(U$4="",$A779&gt;TODAY()),0,IF(OR(INDEX($B779:$D779,U$5)="F",AND(U$6&gt;0,$A779&lt;U$6),AND(U$7&gt;0,$A779&gt;U$7)),0,MAX(0,ROUND((INDEX($E779:$G779,U$5)-SUMIFS(TF_Timer,TF_Tekniker,U$4,TF_Dato,$A779))*2,0)/2)))</f>
        <v/>
      </c>
      <c r="V779">
        <f>IF(OR(V$4="",$A779&gt;TODAY()),0,IF(OR(INDEX($B779:$D779,V$5)="F",AND(V$6&gt;0,$A779&lt;V$6),AND(V$7&gt;0,$A779&gt;V$7)),0,MAX(0,ROUND((INDEX($E779:$G779,V$5)-SUMIFS(TF_Timer,TF_Tekniker,V$4,TF_Dato,$A779))*2,0)/2)))</f>
        <v/>
      </c>
      <c r="W779">
        <f>IF(OR(W$4="",$A779&gt;TODAY()),0,IF(OR(INDEX($B779:$D779,W$5)="F",AND(W$6&gt;0,$A779&lt;W$6),AND(W$7&gt;0,$A779&gt;W$7)),0,MAX(0,ROUND((INDEX($E779:$G779,W$5)-SUMIFS(TF_Timer,TF_Tekniker,W$4,TF_Dato,$A779))*2,0)/2)))</f>
        <v/>
      </c>
      <c r="X779">
        <f>IF(OR(X$4="",$A779&gt;TODAY()),0,IF(OR(INDEX($B779:$D779,X$5)="F",AND(X$6&gt;0,$A779&lt;X$6),AND(X$7&gt;0,$A779&gt;X$7)),0,MAX(0,ROUND((INDEX($E779:$G779,X$5)-SUMIFS(TF_Timer,TF_Tekniker,X$4,TF_Dato,$A779))*2,0)/2)))</f>
        <v/>
      </c>
      <c r="Y779">
        <f>IF(OR(Y$4="",$A779&gt;TODAY()),0,IF(OR(INDEX($B779:$D779,Y$5)="F",AND(Y$6&gt;0,$A779&lt;Y$6),AND(Y$7&gt;0,$A779&gt;Y$7)),0,MAX(0,ROUND((INDEX($E779:$G779,Y$5)-SUMIFS(TF_Timer,TF_Tekniker,Y$4,TF_Dato,$A779))*2,0)/2)))</f>
        <v/>
      </c>
      <c r="Z779">
        <f>IF(OR(Z$4="",$A779&gt;TODAY()),0,IF(OR(INDEX($B779:$D779,Z$5)="F",AND(Z$6&gt;0,$A779&lt;Z$6),AND(Z$7&gt;0,$A779&gt;Z$7)),0,MAX(0,ROUND((INDEX($E779:$G779,Z$5)-SUMIFS(TF_Timer,TF_Tekniker,Z$4,TF_Dato,$A779))*2,0)/2)))</f>
        <v/>
      </c>
      <c r="AA779">
        <f>IF(OR(AA$4="",$A779&gt;TODAY()),0,IF(OR(INDEX($B779:$D779,AA$5)="F",AND(AA$6&gt;0,$A779&lt;AA$6),AND(AA$7&gt;0,$A779&gt;AA$7)),0,MAX(0,ROUND((INDEX($E779:$G779,AA$5)-SUMIFS(TF_Timer,TF_Tekniker,AA$4,TF_Dato,$A779))*2,0)/2)))</f>
        <v/>
      </c>
      <c r="AB779">
        <f>IF(OR(AB$4="",$A779&gt;TODAY()),0,IF(OR(INDEX($B779:$D779,AB$5)="F",AND(AB$6&gt;0,$A779&lt;AB$6),AND(AB$7&gt;0,$A779&gt;AB$7)),0,MAX(0,ROUND((INDEX($E779:$G779,AB$5)-SUMIFS(TF_Timer,TF_Tekniker,AB$4,TF_Dato,$A779))*2,0)/2)))</f>
        <v/>
      </c>
      <c r="AC779">
        <f>IF(OR(AC$4="",$A779&gt;TODAY()),0,IF(OR(INDEX($B779:$D779,AC$5)="F",AND(AC$6&gt;0,$A779&lt;AC$6),AND(AC$7&gt;0,$A779&gt;AC$7)),0,MAX(0,ROUND((INDEX($E779:$G779,AC$5)-SUMIFS(TF_Timer,TF_Tekniker,AC$4,TF_Dato,$A779))*2,0)/2)))</f>
        <v/>
      </c>
      <c r="AD779">
        <f>IF(OR(AD$4="",$A779&gt;TODAY()),0,IF(OR(INDEX($B779:$D779,AD$5)="F",AND(AD$6&gt;0,$A779&lt;AD$6),AND(AD$7&gt;0,$A779&gt;AD$7)),0,MAX(0,ROUND((INDEX($E779:$G779,AD$5)-SUMIFS(TF_Timer,TF_Tekniker,AD$4,TF_Dato,$A779))*2,0)/2)))</f>
        <v/>
      </c>
      <c r="AE779">
        <f>IF(OR(AE$4="",$A779&gt;TODAY()),0,IF(OR(INDEX($B779:$D779,AE$5)="F",AND(AE$6&gt;0,$A779&lt;AE$6),AND(AE$7&gt;0,$A779&gt;AE$7)),0,MAX(0,ROUND((INDEX($E779:$G779,AE$5)-SUMIFS(TF_Timer,TF_Tekniker,AE$4,TF_Dato,$A779))*2,0)/2)))</f>
        <v/>
      </c>
      <c r="AF779">
        <f>IF(OR(AF$4="",$A779&gt;TODAY()),0,IF(OR(INDEX($B779:$D779,AF$5)="F",AND(AF$6&gt;0,$A779&lt;AF$6),AND(AF$7&gt;0,$A779&gt;AF$7)),0,MAX(0,ROUND((INDEX($E779:$G779,AF$5)-SUMIFS(TF_Timer,TF_Tekniker,AF$4,TF_Dato,$A779))*2,0)/2)))</f>
        <v/>
      </c>
      <c r="AG779">
        <f>IF(OR(AG$4="",$A779&gt;TODAY()),0,IF(OR(INDEX($B779:$D779,AG$5)="F",AND(AG$6&gt;0,$A779&lt;AG$6),AND(AG$7&gt;0,$A779&gt;AG$7)),0,MAX(0,ROUND((INDEX($E779:$G779,AG$5)-SUMIFS(TF_Timer,TF_Tekniker,AG$4,TF_Dato,$A779))*2,0)/2)))</f>
        <v/>
      </c>
      <c r="AH779">
        <f>IF(OR(AH$4="",$A779&gt;TODAY()),0,IF(OR(INDEX($B779:$D779,AH$5)="F",AND(AH$6&gt;0,$A779&lt;AH$6),AND(AH$7&gt;0,$A779&gt;AH$7)),0,MAX(0,ROUND((INDEX($E779:$G779,AH$5)-SUMIFS(TF_Timer,TF_Tekniker,AH$4,TF_Dato,$A779))*2,0)/2)))</f>
        <v/>
      </c>
      <c r="AI779">
        <f>IF(OR(AI$4="",$A779&gt;TODAY()),0,IF(OR(INDEX($B779:$D779,AI$5)="F",AND(AI$6&gt;0,$A779&lt;AI$6),AND(AI$7&gt;0,$A779&gt;AI$7)),0,MAX(0,ROUND((INDEX($E779:$G779,AI$5)-SUMIFS(TF_Timer,TF_Tekniker,AI$4,TF_Dato,$A779))*2,0)/2)))</f>
        <v/>
      </c>
      <c r="AJ779">
        <f>IF(OR(AJ$4="",$A779&gt;TODAY()),0,IF(OR(INDEX($B779:$D779,AJ$5)="F",AND(AJ$6&gt;0,$A779&lt;AJ$6),AND(AJ$7&gt;0,$A779&gt;AJ$7)),0,MAX(0,ROUND((INDEX($E779:$G779,AJ$5)-SUMIFS(TF_Timer,TF_Tekniker,AJ$4,TF_Dato,$A779))*2,0)/2)))</f>
        <v/>
      </c>
      <c r="AK779">
        <f>IF(OR(AK$4="",$A779&gt;TODAY()),0,IF(OR(INDEX($B779:$D779,AK$5)="F",AND(AK$6&gt;0,$A779&lt;AK$6),AND(AK$7&gt;0,$A779&gt;AK$7)),0,MAX(0,ROUND((INDEX($E779:$G779,AK$5)-SUMIFS(TF_Timer,TF_Tekniker,AK$4,TF_Dato,$A779))*2,0)/2)))</f>
        <v/>
      </c>
      <c r="AL779">
        <f>IF(OR(AL$4="",$A779&gt;TODAY()),0,IF(OR(INDEX($B779:$D779,AL$5)="F",AND(AL$6&gt;0,$A779&lt;AL$6),AND(AL$7&gt;0,$A779&gt;AL$7)),0,MAX(0,ROUND((INDEX($E779:$G779,AL$5)-SUMIFS(TF_Timer,TF_Tekniker,AL$4,TF_Dato,$A779))*2,0)/2)))</f>
        <v/>
      </c>
      <c r="AM779">
        <f>IF(OR(AM$4="",$A779&gt;TODAY()),0,IF(OR(INDEX($B779:$D779,AM$5)="F",AND(AM$6&gt;0,$A779&lt;AM$6),AND(AM$7&gt;0,$A779&gt;AM$7)),0,MAX(0,ROUND((INDEX($E779:$G779,AM$5)-SUMIFS(TF_Timer,TF_Tekniker,AM$4,TF_Dato,$A779))*2,0)/2)))</f>
        <v/>
      </c>
      <c r="AN779">
        <f>IF(OR(AN$4="",$A779&gt;TODAY()),0,IF(OR(INDEX($B779:$D779,AN$5)="F",AND(AN$6&gt;0,$A779&lt;AN$6),AND(AN$7&gt;0,$A779&gt;AN$7)),0,MAX(0,ROUND((INDEX($E779:$G779,AN$5)-SUMIFS(TF_Timer,TF_Tekniker,AN$4,TF_Dato,$A779))*2,0)/2)))</f>
        <v/>
      </c>
      <c r="AO779">
        <f>IF(OR(AO$4="",$A779&gt;TODAY()),0,IF(OR(INDEX($B779:$D779,AO$5)="F",AND(AO$6&gt;0,$A779&lt;AO$6),AND(AO$7&gt;0,$A779&gt;AO$7)),0,MAX(0,ROUND((INDEX($E779:$G779,AO$5)-SUMIFS(TF_Timer,TF_Tekniker,AO$4,TF_Dato,$A779))*2,0)/2)))</f>
        <v/>
      </c>
      <c r="AP779">
        <f>IF(OR(AP$4="",$A779&gt;TODAY()),0,IF(OR(INDEX($B779:$D779,AP$5)="F",AND(AP$6&gt;0,$A779&lt;AP$6),AND(AP$7&gt;0,$A779&gt;AP$7)),0,MAX(0,ROUND((INDEX($E779:$G779,AP$5)-SUMIFS(TF_Timer,TF_Tekniker,AP$4,TF_Dato,$A779))*2,0)/2)))</f>
        <v/>
      </c>
      <c r="AQ779">
        <f>IF(OR(AQ$4="",$A779&gt;TODAY()),0,IF(OR(INDEX($B779:$D779,AQ$5)="F",AND(AQ$6&gt;0,$A779&lt;AQ$6),AND(AQ$7&gt;0,$A779&gt;AQ$7)),0,MAX(0,ROUND((INDEX($E779:$G779,AQ$5)-SUMIFS(TF_Timer,TF_Tekniker,AQ$4,TF_Dato,$A779))*2,0)/2)))</f>
        <v/>
      </c>
      <c r="AR779">
        <f>IF(OR(AR$4="",$A779&gt;TODAY()),0,IF(OR(INDEX($B779:$D779,AR$5)="F",AND(AR$6&gt;0,$A779&lt;AR$6),AND(AR$7&gt;0,$A779&gt;AR$7)),0,MAX(0,ROUND((INDEX($E779:$G779,AR$5)-SUMIFS(TF_Timer,TF_Tekniker,AR$4,TF_Dato,$A779))*2,0)/2)))</f>
        <v/>
      </c>
      <c r="AS779">
        <f>IF(OR(AS$4="",$A779&gt;TODAY()),0,IF(OR(INDEX($B779:$D779,AS$5)="F",AND(AS$6&gt;0,$A779&lt;AS$6),AND(AS$7&gt;0,$A779&gt;AS$7)),0,MAX(0,ROUND((INDEX($E779:$G779,AS$5)-SUMIFS(TF_Timer,TF_Tekniker,AS$4,TF_Dato,$A779))*2,0)/2)))</f>
        <v/>
      </c>
      <c r="AT779">
        <f>IF(OR(AT$4="",$A779&gt;TODAY()),0,IF(OR(INDEX($B779:$D779,AT$5)="F",AND(AT$6&gt;0,$A779&lt;AT$6),AND(AT$7&gt;0,$A779&gt;AT$7)),0,MAX(0,ROUND((INDEX($E779:$G779,AT$5)-SUMIFS(TF_Timer,TF_Tekniker,AT$4,TF_Dato,$A779))*2,0)/2)))</f>
        <v/>
      </c>
      <c r="AU779">
        <f>IF(OR(AU$4="",$A779&gt;TODAY()),0,IF(OR(INDEX($B779:$D779,AU$5)="F",AND(AU$6&gt;0,$A779&lt;AU$6),AND(AU$7&gt;0,$A779&gt;AU$7)),0,MAX(0,ROUND((INDEX($E779:$G779,AU$5)-SUMIFS(TF_Timer,TF_Tekniker,AU$4,TF_Dato,$A779))*2,0)/2)))</f>
        <v/>
      </c>
      <c r="AV779">
        <f>IF(OR(AV$4="",$A779&gt;TODAY()),0,IF(OR(INDEX($B779:$D779,AV$5)="F",AND(AV$6&gt;0,$A779&lt;AV$6),AND(AV$7&gt;0,$A779&gt;AV$7)),0,MAX(0,ROUND((INDEX($E779:$G779,AV$5)-SUMIFS(TF_Timer,TF_Tekniker,AV$4,TF_Dato,$A779))*2,0)/2)))</f>
        <v/>
      </c>
      <c r="AW779">
        <f>IF(OR(AW$4="",$A779&gt;TODAY()),0,IF(OR(INDEX($B779:$D779,AW$5)="F",AND(AW$6&gt;0,$A779&lt;AW$6),AND(AW$7&gt;0,$A779&gt;AW$7)),0,MAX(0,ROUND((INDEX($E779:$G779,AW$5)-SUMIFS(TF_Timer,TF_Tekniker,AW$4,TF_Dato,$A779))*2,0)/2)))</f>
        <v/>
      </c>
      <c r="AX779">
        <f>IF(OR(AX$4="",$A779&gt;TODAY()),0,IF(OR(INDEX($B779:$D779,AX$5)="F",AND(AX$6&gt;0,$A779&lt;AX$6),AND(AX$7&gt;0,$A779&gt;AX$7)),0,MAX(0,ROUND((INDEX($E779:$G779,AX$5)-SUMIFS(TF_Timer,TF_Tekniker,AX$4,TF_Dato,$A779))*2,0)/2)))</f>
        <v/>
      </c>
      <c r="AY779">
        <f>IF(OR(AY$4="",$A779&gt;TODAY()),0,IF(OR(INDEX($B779:$D779,AY$5)="F",AND(AY$6&gt;0,$A779&lt;AY$6),AND(AY$7&gt;0,$A779&gt;AY$7)),0,MAX(0,ROUND((INDEX($E779:$G779,AY$5)-SUMIFS(TF_Timer,TF_Tekniker,AY$4,TF_Dato,$A779))*2,0)/2)))</f>
        <v/>
      </c>
      <c r="AZ779">
        <f>IF(OR(AZ$4="",$A779&gt;TODAY()),0,IF(OR(INDEX($B779:$D779,AZ$5)="F",AND(AZ$6&gt;0,$A779&lt;AZ$6),AND(AZ$7&gt;0,$A779&gt;AZ$7)),0,MAX(0,ROUND((INDEX($E779:$G779,AZ$5)-SUMIFS(TF_Timer,TF_Tekniker,AZ$4,TF_Dato,$A779))*2,0)/2)))</f>
        <v/>
      </c>
      <c r="BA779">
        <f>IF(OR(BA$4="",$A779&gt;TODAY()),0,IF(OR(INDEX($B779:$D779,BA$5)="F",AND(BA$6&gt;0,$A779&lt;BA$6),AND(BA$7&gt;0,$A779&gt;BA$7)),0,MAX(0,ROUND((INDEX($E779:$G779,BA$5)-SUMIFS(TF_Timer,TF_Tekniker,BA$4,TF_Dato,$A779))*2,0)/2)))</f>
        <v/>
      </c>
      <c r="BB779">
        <f>IF(OR(BB$4="",$A779&gt;TODAY()),0,IF(OR(INDEX($B779:$D779,BB$5)="F",AND(BB$6&gt;0,$A779&lt;BB$6),AND(BB$7&gt;0,$A779&gt;BB$7)),0,MAX(0,ROUND((INDEX($E779:$G779,BB$5)-SUMIFS(TF_Timer,TF_Tekniker,BB$4,TF_Dato,$A779))*2,0)/2)))</f>
        <v/>
      </c>
      <c r="BC779">
        <f>IF(OR(BC$4="",$A779&gt;TODAY()),0,IF(OR(INDEX($B779:$D779,BC$5)="F",AND(BC$6&gt;0,$A779&lt;BC$6),AND(BC$7&gt;0,$A779&gt;BC$7)),0,MAX(0,ROUND((INDEX($E779:$G779,BC$5)-SUMIFS(TF_Timer,TF_Tekniker,BC$4,TF_Dato,$A779))*2,0)/2)))</f>
        <v/>
      </c>
      <c r="BD779">
        <f>IF(OR(BD$4="",$A779&gt;TODAY()),0,IF(OR(INDEX($B779:$D779,BD$5)="F",AND(BD$6&gt;0,$A779&lt;BD$6),AND(BD$7&gt;0,$A779&gt;BD$7)),0,MAX(0,ROUND((INDEX($E779:$G779,BD$5)-SUMIFS(TF_Timer,TF_Tekniker,BD$4,TF_Dato,$A779))*2,0)/2)))</f>
        <v/>
      </c>
      <c r="BE779">
        <f>IF(OR(BE$4="",$A779&gt;TODAY()),0,IF(OR(INDEX($B779:$D779,BE$5)="F",AND(BE$6&gt;0,$A779&lt;BE$6),AND(BE$7&gt;0,$A779&gt;BE$7)),0,MAX(0,ROUND((INDEX($E779:$G779,BE$5)-SUMIFS(TF_Timer,TF_Tekniker,BE$4,TF_Dato,$A779))*2,0)/2)))</f>
        <v/>
      </c>
      <c r="BF779">
        <f>IF(OR(BF$4="",$A779&gt;TODAY()),0,IF(OR(INDEX($B779:$D779,BF$5)="F",AND(BF$6&gt;0,$A779&lt;BF$6),AND(BF$7&gt;0,$A779&gt;BF$7)),0,MAX(0,ROUND((INDEX($E779:$G779,BF$5)-SUMIFS(TF_Timer,TF_Tekniker,BF$4,TF_Dato,$A779))*2,0)/2)))</f>
        <v/>
      </c>
      <c r="BG779">
        <f>IF(OR(BG$4="",$A779&gt;TODAY()),0,IF(OR(INDEX($B779:$D779,BG$5)="F",AND(BG$6&gt;0,$A779&lt;BG$6),AND(BG$7&gt;0,$A779&gt;BG$7)),0,MAX(0,ROUND((INDEX($E779:$G779,BG$5)-SUMIFS(TF_Timer,TF_Tekniker,BG$4,TF_Dato,$A779))*2,0)/2)))</f>
        <v/>
      </c>
      <c r="BH779">
        <f>IF(OR(BH$4="",$A779&gt;TODAY()),0,IF(OR(INDEX($B779:$D779,BH$5)="F",AND(BH$6&gt;0,$A779&lt;BH$6),AND(BH$7&gt;0,$A779&gt;BH$7)),0,MAX(0,ROUND((INDEX($E779:$G779,BH$5)-SUMIFS(TF_Timer,TF_Tekniker,BH$4,TF_Dato,$A779))*2,0)/2)))</f>
        <v/>
      </c>
      <c r="BI779">
        <f>IF(OR(BI$4="",$A779&gt;TODAY()),0,IF(OR(INDEX($B779:$D779,BI$5)="F",AND(BI$6&gt;0,$A779&lt;BI$6),AND(BI$7&gt;0,$A779&gt;BI$7)),0,MAX(0,ROUND((INDEX($E779:$G779,BI$5)-SUMIFS(TF_Timer,TF_Tekniker,BI$4,TF_Dato,$A779))*2,0)/2)))</f>
        <v/>
      </c>
    </row>
    <row r="780">
      <c r="A780" s="64">
        <f>A779+1</f>
        <v/>
      </c>
      <c r="B780">
        <f>IF(MOD($A780-INDEX(SkiftStart,1),Syklus)&lt;DagK,"K",IF(MOD($A780-INDEX(SkiftStart,1),Syklus)&lt;DagK+DagH,"H",IF(MOD($A780-INDEX(SkiftStart,1),Syklus)&lt;DagK+DagH+DagD,"D","F")))</f>
        <v/>
      </c>
      <c r="C780">
        <f>IF(MOD($A780-INDEX(SkiftStart,2),Syklus)&lt;DagK,"K",IF(MOD($A780-INDEX(SkiftStart,2),Syklus)&lt;DagK+DagH,"H",IF(MOD($A780-INDEX(SkiftStart,2),Syklus)&lt;DagK+DagH+DagD,"D","F")))</f>
        <v/>
      </c>
      <c r="D780">
        <f>IF(MOD($A780-INDEX(SkiftStart,3),Syklus)&lt;DagK,"K",IF(MOD($A780-INDEX(SkiftStart,3),Syklus)&lt;DagK+DagH,"H",IF(MOD($A780-INDEX(SkiftStart,3),Syklus)&lt;DagK+DagH+DagD,"D","F")))</f>
        <v/>
      </c>
      <c r="E780">
        <f>IF(B780="F",0,IF(WEEKDAY($A780,2)=5,INDEX(TimerFr,MATCH(B780,FaseKode,0)),INDEX(TimerMT,MATCH(B780,FaseKode,0))))</f>
        <v/>
      </c>
      <c r="F780">
        <f>IF(C780="F",0,IF(WEEKDAY($A780,2)=5,INDEX(TimerFr,MATCH(C780,FaseKode,0)),INDEX(TimerMT,MATCH(C780,FaseKode,0))))</f>
        <v/>
      </c>
      <c r="G780">
        <f>IF(D780="F",0,IF(WEEKDAY($A780,2)=5,INDEX(TimerFr,MATCH(D780,FaseKode,0)),INDEX(TimerMT,MATCH(D780,FaseKode,0))))</f>
        <v/>
      </c>
      <c r="H780">
        <f>IF(OR(H$4="",$A780&gt;TODAY()),0,IF(OR(INDEX($B780:$D780,H$5)="F",AND(H$6&gt;0,$A780&lt;H$6),AND(H$7&gt;0,$A780&gt;H$7)),0,MAX(0,ROUND((INDEX($E780:$G780,H$5)-SUMIFS(TF_Timer,TF_Tekniker,H$4,TF_Dato,$A780))*2,0)/2)))</f>
        <v/>
      </c>
      <c r="I780">
        <f>IF(OR(I$4="",$A780&gt;TODAY()),0,IF(OR(INDEX($B780:$D780,I$5)="F",AND(I$6&gt;0,$A780&lt;I$6),AND(I$7&gt;0,$A780&gt;I$7)),0,MAX(0,ROUND((INDEX($E780:$G780,I$5)-SUMIFS(TF_Timer,TF_Tekniker,I$4,TF_Dato,$A780))*2,0)/2)))</f>
        <v/>
      </c>
      <c r="J780">
        <f>IF(OR(J$4="",$A780&gt;TODAY()),0,IF(OR(INDEX($B780:$D780,J$5)="F",AND(J$6&gt;0,$A780&lt;J$6),AND(J$7&gt;0,$A780&gt;J$7)),0,MAX(0,ROUND((INDEX($E780:$G780,J$5)-SUMIFS(TF_Timer,TF_Tekniker,J$4,TF_Dato,$A780))*2,0)/2)))</f>
        <v/>
      </c>
      <c r="K780">
        <f>IF(OR(K$4="",$A780&gt;TODAY()),0,IF(OR(INDEX($B780:$D780,K$5)="F",AND(K$6&gt;0,$A780&lt;K$6),AND(K$7&gt;0,$A780&gt;K$7)),0,MAX(0,ROUND((INDEX($E780:$G780,K$5)-SUMIFS(TF_Timer,TF_Tekniker,K$4,TF_Dato,$A780))*2,0)/2)))</f>
        <v/>
      </c>
      <c r="L780">
        <f>IF(OR(L$4="",$A780&gt;TODAY()),0,IF(OR(INDEX($B780:$D780,L$5)="F",AND(L$6&gt;0,$A780&lt;L$6),AND(L$7&gt;0,$A780&gt;L$7)),0,MAX(0,ROUND((INDEX($E780:$G780,L$5)-SUMIFS(TF_Timer,TF_Tekniker,L$4,TF_Dato,$A780))*2,0)/2)))</f>
        <v/>
      </c>
      <c r="M780">
        <f>IF(OR(M$4="",$A780&gt;TODAY()),0,IF(OR(INDEX($B780:$D780,M$5)="F",AND(M$6&gt;0,$A780&lt;M$6),AND(M$7&gt;0,$A780&gt;M$7)),0,MAX(0,ROUND((INDEX($E780:$G780,M$5)-SUMIFS(TF_Timer,TF_Tekniker,M$4,TF_Dato,$A780))*2,0)/2)))</f>
        <v/>
      </c>
      <c r="N780">
        <f>IF(OR(N$4="",$A780&gt;TODAY()),0,IF(OR(INDEX($B780:$D780,N$5)="F",AND(N$6&gt;0,$A780&lt;N$6),AND(N$7&gt;0,$A780&gt;N$7)),0,MAX(0,ROUND((INDEX($E780:$G780,N$5)-SUMIFS(TF_Timer,TF_Tekniker,N$4,TF_Dato,$A780))*2,0)/2)))</f>
        <v/>
      </c>
      <c r="O780">
        <f>IF(OR(O$4="",$A780&gt;TODAY()),0,IF(OR(INDEX($B780:$D780,O$5)="F",AND(O$6&gt;0,$A780&lt;O$6),AND(O$7&gt;0,$A780&gt;O$7)),0,MAX(0,ROUND((INDEX($E780:$G780,O$5)-SUMIFS(TF_Timer,TF_Tekniker,O$4,TF_Dato,$A780))*2,0)/2)))</f>
        <v/>
      </c>
      <c r="P780">
        <f>IF(OR(P$4="",$A780&gt;TODAY()),0,IF(OR(INDEX($B780:$D780,P$5)="F",AND(P$6&gt;0,$A780&lt;P$6),AND(P$7&gt;0,$A780&gt;P$7)),0,MAX(0,ROUND((INDEX($E780:$G780,P$5)-SUMIFS(TF_Timer,TF_Tekniker,P$4,TF_Dato,$A780))*2,0)/2)))</f>
        <v/>
      </c>
      <c r="Q780">
        <f>IF(OR(Q$4="",$A780&gt;TODAY()),0,IF(OR(INDEX($B780:$D780,Q$5)="F",AND(Q$6&gt;0,$A780&lt;Q$6),AND(Q$7&gt;0,$A780&gt;Q$7)),0,MAX(0,ROUND((INDEX($E780:$G780,Q$5)-SUMIFS(TF_Timer,TF_Tekniker,Q$4,TF_Dato,$A780))*2,0)/2)))</f>
        <v/>
      </c>
      <c r="R780">
        <f>IF(OR(R$4="",$A780&gt;TODAY()),0,IF(OR(INDEX($B780:$D780,R$5)="F",AND(R$6&gt;0,$A780&lt;R$6),AND(R$7&gt;0,$A780&gt;R$7)),0,MAX(0,ROUND((INDEX($E780:$G780,R$5)-SUMIFS(TF_Timer,TF_Tekniker,R$4,TF_Dato,$A780))*2,0)/2)))</f>
        <v/>
      </c>
      <c r="S780">
        <f>IF(OR(S$4="",$A780&gt;TODAY()),0,IF(OR(INDEX($B780:$D780,S$5)="F",AND(S$6&gt;0,$A780&lt;S$6),AND(S$7&gt;0,$A780&gt;S$7)),0,MAX(0,ROUND((INDEX($E780:$G780,S$5)-SUMIFS(TF_Timer,TF_Tekniker,S$4,TF_Dato,$A780))*2,0)/2)))</f>
        <v/>
      </c>
      <c r="T780">
        <f>IF(OR(T$4="",$A780&gt;TODAY()),0,IF(OR(INDEX($B780:$D780,T$5)="F",AND(T$6&gt;0,$A780&lt;T$6),AND(T$7&gt;0,$A780&gt;T$7)),0,MAX(0,ROUND((INDEX($E780:$G780,T$5)-SUMIFS(TF_Timer,TF_Tekniker,T$4,TF_Dato,$A780))*2,0)/2)))</f>
        <v/>
      </c>
      <c r="U780">
        <f>IF(OR(U$4="",$A780&gt;TODAY()),0,IF(OR(INDEX($B780:$D780,U$5)="F",AND(U$6&gt;0,$A780&lt;U$6),AND(U$7&gt;0,$A780&gt;U$7)),0,MAX(0,ROUND((INDEX($E780:$G780,U$5)-SUMIFS(TF_Timer,TF_Tekniker,U$4,TF_Dato,$A780))*2,0)/2)))</f>
        <v/>
      </c>
      <c r="V780">
        <f>IF(OR(V$4="",$A780&gt;TODAY()),0,IF(OR(INDEX($B780:$D780,V$5)="F",AND(V$6&gt;0,$A780&lt;V$6),AND(V$7&gt;0,$A780&gt;V$7)),0,MAX(0,ROUND((INDEX($E780:$G780,V$5)-SUMIFS(TF_Timer,TF_Tekniker,V$4,TF_Dato,$A780))*2,0)/2)))</f>
        <v/>
      </c>
      <c r="W780">
        <f>IF(OR(W$4="",$A780&gt;TODAY()),0,IF(OR(INDEX($B780:$D780,W$5)="F",AND(W$6&gt;0,$A780&lt;W$6),AND(W$7&gt;0,$A780&gt;W$7)),0,MAX(0,ROUND((INDEX($E780:$G780,W$5)-SUMIFS(TF_Timer,TF_Tekniker,W$4,TF_Dato,$A780))*2,0)/2)))</f>
        <v/>
      </c>
      <c r="X780">
        <f>IF(OR(X$4="",$A780&gt;TODAY()),0,IF(OR(INDEX($B780:$D780,X$5)="F",AND(X$6&gt;0,$A780&lt;X$6),AND(X$7&gt;0,$A780&gt;X$7)),0,MAX(0,ROUND((INDEX($E780:$G780,X$5)-SUMIFS(TF_Timer,TF_Tekniker,X$4,TF_Dato,$A780))*2,0)/2)))</f>
        <v/>
      </c>
      <c r="Y780">
        <f>IF(OR(Y$4="",$A780&gt;TODAY()),0,IF(OR(INDEX($B780:$D780,Y$5)="F",AND(Y$6&gt;0,$A780&lt;Y$6),AND(Y$7&gt;0,$A780&gt;Y$7)),0,MAX(0,ROUND((INDEX($E780:$G780,Y$5)-SUMIFS(TF_Timer,TF_Tekniker,Y$4,TF_Dato,$A780))*2,0)/2)))</f>
        <v/>
      </c>
      <c r="Z780">
        <f>IF(OR(Z$4="",$A780&gt;TODAY()),0,IF(OR(INDEX($B780:$D780,Z$5)="F",AND(Z$6&gt;0,$A780&lt;Z$6),AND(Z$7&gt;0,$A780&gt;Z$7)),0,MAX(0,ROUND((INDEX($E780:$G780,Z$5)-SUMIFS(TF_Timer,TF_Tekniker,Z$4,TF_Dato,$A780))*2,0)/2)))</f>
        <v/>
      </c>
      <c r="AA780">
        <f>IF(OR(AA$4="",$A780&gt;TODAY()),0,IF(OR(INDEX($B780:$D780,AA$5)="F",AND(AA$6&gt;0,$A780&lt;AA$6),AND(AA$7&gt;0,$A780&gt;AA$7)),0,MAX(0,ROUND((INDEX($E780:$G780,AA$5)-SUMIFS(TF_Timer,TF_Tekniker,AA$4,TF_Dato,$A780))*2,0)/2)))</f>
        <v/>
      </c>
      <c r="AB780">
        <f>IF(OR(AB$4="",$A780&gt;TODAY()),0,IF(OR(INDEX($B780:$D780,AB$5)="F",AND(AB$6&gt;0,$A780&lt;AB$6),AND(AB$7&gt;0,$A780&gt;AB$7)),0,MAX(0,ROUND((INDEX($E780:$G780,AB$5)-SUMIFS(TF_Timer,TF_Tekniker,AB$4,TF_Dato,$A780))*2,0)/2)))</f>
        <v/>
      </c>
      <c r="AC780">
        <f>IF(OR(AC$4="",$A780&gt;TODAY()),0,IF(OR(INDEX($B780:$D780,AC$5)="F",AND(AC$6&gt;0,$A780&lt;AC$6),AND(AC$7&gt;0,$A780&gt;AC$7)),0,MAX(0,ROUND((INDEX($E780:$G780,AC$5)-SUMIFS(TF_Timer,TF_Tekniker,AC$4,TF_Dato,$A780))*2,0)/2)))</f>
        <v/>
      </c>
      <c r="AD780">
        <f>IF(OR(AD$4="",$A780&gt;TODAY()),0,IF(OR(INDEX($B780:$D780,AD$5)="F",AND(AD$6&gt;0,$A780&lt;AD$6),AND(AD$7&gt;0,$A780&gt;AD$7)),0,MAX(0,ROUND((INDEX($E780:$G780,AD$5)-SUMIFS(TF_Timer,TF_Tekniker,AD$4,TF_Dato,$A780))*2,0)/2)))</f>
        <v/>
      </c>
      <c r="AE780">
        <f>IF(OR(AE$4="",$A780&gt;TODAY()),0,IF(OR(INDEX($B780:$D780,AE$5)="F",AND(AE$6&gt;0,$A780&lt;AE$6),AND(AE$7&gt;0,$A780&gt;AE$7)),0,MAX(0,ROUND((INDEX($E780:$G780,AE$5)-SUMIFS(TF_Timer,TF_Tekniker,AE$4,TF_Dato,$A780))*2,0)/2)))</f>
        <v/>
      </c>
      <c r="AF780">
        <f>IF(OR(AF$4="",$A780&gt;TODAY()),0,IF(OR(INDEX($B780:$D780,AF$5)="F",AND(AF$6&gt;0,$A780&lt;AF$6),AND(AF$7&gt;0,$A780&gt;AF$7)),0,MAX(0,ROUND((INDEX($E780:$G780,AF$5)-SUMIFS(TF_Timer,TF_Tekniker,AF$4,TF_Dato,$A780))*2,0)/2)))</f>
        <v/>
      </c>
      <c r="AG780">
        <f>IF(OR(AG$4="",$A780&gt;TODAY()),0,IF(OR(INDEX($B780:$D780,AG$5)="F",AND(AG$6&gt;0,$A780&lt;AG$6),AND(AG$7&gt;0,$A780&gt;AG$7)),0,MAX(0,ROUND((INDEX($E780:$G780,AG$5)-SUMIFS(TF_Timer,TF_Tekniker,AG$4,TF_Dato,$A780))*2,0)/2)))</f>
        <v/>
      </c>
      <c r="AH780">
        <f>IF(OR(AH$4="",$A780&gt;TODAY()),0,IF(OR(INDEX($B780:$D780,AH$5)="F",AND(AH$6&gt;0,$A780&lt;AH$6),AND(AH$7&gt;0,$A780&gt;AH$7)),0,MAX(0,ROUND((INDEX($E780:$G780,AH$5)-SUMIFS(TF_Timer,TF_Tekniker,AH$4,TF_Dato,$A780))*2,0)/2)))</f>
        <v/>
      </c>
      <c r="AI780">
        <f>IF(OR(AI$4="",$A780&gt;TODAY()),0,IF(OR(INDEX($B780:$D780,AI$5)="F",AND(AI$6&gt;0,$A780&lt;AI$6),AND(AI$7&gt;0,$A780&gt;AI$7)),0,MAX(0,ROUND((INDEX($E780:$G780,AI$5)-SUMIFS(TF_Timer,TF_Tekniker,AI$4,TF_Dato,$A780))*2,0)/2)))</f>
        <v/>
      </c>
      <c r="AJ780">
        <f>IF(OR(AJ$4="",$A780&gt;TODAY()),0,IF(OR(INDEX($B780:$D780,AJ$5)="F",AND(AJ$6&gt;0,$A780&lt;AJ$6),AND(AJ$7&gt;0,$A780&gt;AJ$7)),0,MAX(0,ROUND((INDEX($E780:$G780,AJ$5)-SUMIFS(TF_Timer,TF_Tekniker,AJ$4,TF_Dato,$A780))*2,0)/2)))</f>
        <v/>
      </c>
      <c r="AK780">
        <f>IF(OR(AK$4="",$A780&gt;TODAY()),0,IF(OR(INDEX($B780:$D780,AK$5)="F",AND(AK$6&gt;0,$A780&lt;AK$6),AND(AK$7&gt;0,$A780&gt;AK$7)),0,MAX(0,ROUND((INDEX($E780:$G780,AK$5)-SUMIFS(TF_Timer,TF_Tekniker,AK$4,TF_Dato,$A780))*2,0)/2)))</f>
        <v/>
      </c>
      <c r="AL780">
        <f>IF(OR(AL$4="",$A780&gt;TODAY()),0,IF(OR(INDEX($B780:$D780,AL$5)="F",AND(AL$6&gt;0,$A780&lt;AL$6),AND(AL$7&gt;0,$A780&gt;AL$7)),0,MAX(0,ROUND((INDEX($E780:$G780,AL$5)-SUMIFS(TF_Timer,TF_Tekniker,AL$4,TF_Dato,$A780))*2,0)/2)))</f>
        <v/>
      </c>
      <c r="AM780">
        <f>IF(OR(AM$4="",$A780&gt;TODAY()),0,IF(OR(INDEX($B780:$D780,AM$5)="F",AND(AM$6&gt;0,$A780&lt;AM$6),AND(AM$7&gt;0,$A780&gt;AM$7)),0,MAX(0,ROUND((INDEX($E780:$G780,AM$5)-SUMIFS(TF_Timer,TF_Tekniker,AM$4,TF_Dato,$A780))*2,0)/2)))</f>
        <v/>
      </c>
      <c r="AN780">
        <f>IF(OR(AN$4="",$A780&gt;TODAY()),0,IF(OR(INDEX($B780:$D780,AN$5)="F",AND(AN$6&gt;0,$A780&lt;AN$6),AND(AN$7&gt;0,$A780&gt;AN$7)),0,MAX(0,ROUND((INDEX($E780:$G780,AN$5)-SUMIFS(TF_Timer,TF_Tekniker,AN$4,TF_Dato,$A780))*2,0)/2)))</f>
        <v/>
      </c>
      <c r="AO780">
        <f>IF(OR(AO$4="",$A780&gt;TODAY()),0,IF(OR(INDEX($B780:$D780,AO$5)="F",AND(AO$6&gt;0,$A780&lt;AO$6),AND(AO$7&gt;0,$A780&gt;AO$7)),0,MAX(0,ROUND((INDEX($E780:$G780,AO$5)-SUMIFS(TF_Timer,TF_Tekniker,AO$4,TF_Dato,$A780))*2,0)/2)))</f>
        <v/>
      </c>
      <c r="AP780">
        <f>IF(OR(AP$4="",$A780&gt;TODAY()),0,IF(OR(INDEX($B780:$D780,AP$5)="F",AND(AP$6&gt;0,$A780&lt;AP$6),AND(AP$7&gt;0,$A780&gt;AP$7)),0,MAX(0,ROUND((INDEX($E780:$G780,AP$5)-SUMIFS(TF_Timer,TF_Tekniker,AP$4,TF_Dato,$A780))*2,0)/2)))</f>
        <v/>
      </c>
      <c r="AQ780">
        <f>IF(OR(AQ$4="",$A780&gt;TODAY()),0,IF(OR(INDEX($B780:$D780,AQ$5)="F",AND(AQ$6&gt;0,$A780&lt;AQ$6),AND(AQ$7&gt;0,$A780&gt;AQ$7)),0,MAX(0,ROUND((INDEX($E780:$G780,AQ$5)-SUMIFS(TF_Timer,TF_Tekniker,AQ$4,TF_Dato,$A780))*2,0)/2)))</f>
        <v/>
      </c>
      <c r="AR780">
        <f>IF(OR(AR$4="",$A780&gt;TODAY()),0,IF(OR(INDEX($B780:$D780,AR$5)="F",AND(AR$6&gt;0,$A780&lt;AR$6),AND(AR$7&gt;0,$A780&gt;AR$7)),0,MAX(0,ROUND((INDEX($E780:$G780,AR$5)-SUMIFS(TF_Timer,TF_Tekniker,AR$4,TF_Dato,$A780))*2,0)/2)))</f>
        <v/>
      </c>
      <c r="AS780">
        <f>IF(OR(AS$4="",$A780&gt;TODAY()),0,IF(OR(INDEX($B780:$D780,AS$5)="F",AND(AS$6&gt;0,$A780&lt;AS$6),AND(AS$7&gt;0,$A780&gt;AS$7)),0,MAX(0,ROUND((INDEX($E780:$G780,AS$5)-SUMIFS(TF_Timer,TF_Tekniker,AS$4,TF_Dato,$A780))*2,0)/2)))</f>
        <v/>
      </c>
      <c r="AT780">
        <f>IF(OR(AT$4="",$A780&gt;TODAY()),0,IF(OR(INDEX($B780:$D780,AT$5)="F",AND(AT$6&gt;0,$A780&lt;AT$6),AND(AT$7&gt;0,$A780&gt;AT$7)),0,MAX(0,ROUND((INDEX($E780:$G780,AT$5)-SUMIFS(TF_Timer,TF_Tekniker,AT$4,TF_Dato,$A780))*2,0)/2)))</f>
        <v/>
      </c>
      <c r="AU780">
        <f>IF(OR(AU$4="",$A780&gt;TODAY()),0,IF(OR(INDEX($B780:$D780,AU$5)="F",AND(AU$6&gt;0,$A780&lt;AU$6),AND(AU$7&gt;0,$A780&gt;AU$7)),0,MAX(0,ROUND((INDEX($E780:$G780,AU$5)-SUMIFS(TF_Timer,TF_Tekniker,AU$4,TF_Dato,$A780))*2,0)/2)))</f>
        <v/>
      </c>
      <c r="AV780">
        <f>IF(OR(AV$4="",$A780&gt;TODAY()),0,IF(OR(INDEX($B780:$D780,AV$5)="F",AND(AV$6&gt;0,$A780&lt;AV$6),AND(AV$7&gt;0,$A780&gt;AV$7)),0,MAX(0,ROUND((INDEX($E780:$G780,AV$5)-SUMIFS(TF_Timer,TF_Tekniker,AV$4,TF_Dato,$A780))*2,0)/2)))</f>
        <v/>
      </c>
      <c r="AW780">
        <f>IF(OR(AW$4="",$A780&gt;TODAY()),0,IF(OR(INDEX($B780:$D780,AW$5)="F",AND(AW$6&gt;0,$A780&lt;AW$6),AND(AW$7&gt;0,$A780&gt;AW$7)),0,MAX(0,ROUND((INDEX($E780:$G780,AW$5)-SUMIFS(TF_Timer,TF_Tekniker,AW$4,TF_Dato,$A780))*2,0)/2)))</f>
        <v/>
      </c>
      <c r="AX780">
        <f>IF(OR(AX$4="",$A780&gt;TODAY()),0,IF(OR(INDEX($B780:$D780,AX$5)="F",AND(AX$6&gt;0,$A780&lt;AX$6),AND(AX$7&gt;0,$A780&gt;AX$7)),0,MAX(0,ROUND((INDEX($E780:$G780,AX$5)-SUMIFS(TF_Timer,TF_Tekniker,AX$4,TF_Dato,$A780))*2,0)/2)))</f>
        <v/>
      </c>
      <c r="AY780">
        <f>IF(OR(AY$4="",$A780&gt;TODAY()),0,IF(OR(INDEX($B780:$D780,AY$5)="F",AND(AY$6&gt;0,$A780&lt;AY$6),AND(AY$7&gt;0,$A780&gt;AY$7)),0,MAX(0,ROUND((INDEX($E780:$G780,AY$5)-SUMIFS(TF_Timer,TF_Tekniker,AY$4,TF_Dato,$A780))*2,0)/2)))</f>
        <v/>
      </c>
      <c r="AZ780">
        <f>IF(OR(AZ$4="",$A780&gt;TODAY()),0,IF(OR(INDEX($B780:$D780,AZ$5)="F",AND(AZ$6&gt;0,$A780&lt;AZ$6),AND(AZ$7&gt;0,$A780&gt;AZ$7)),0,MAX(0,ROUND((INDEX($E780:$G780,AZ$5)-SUMIFS(TF_Timer,TF_Tekniker,AZ$4,TF_Dato,$A780))*2,0)/2)))</f>
        <v/>
      </c>
      <c r="BA780">
        <f>IF(OR(BA$4="",$A780&gt;TODAY()),0,IF(OR(INDEX($B780:$D780,BA$5)="F",AND(BA$6&gt;0,$A780&lt;BA$6),AND(BA$7&gt;0,$A780&gt;BA$7)),0,MAX(0,ROUND((INDEX($E780:$G780,BA$5)-SUMIFS(TF_Timer,TF_Tekniker,BA$4,TF_Dato,$A780))*2,0)/2)))</f>
        <v/>
      </c>
      <c r="BB780">
        <f>IF(OR(BB$4="",$A780&gt;TODAY()),0,IF(OR(INDEX($B780:$D780,BB$5)="F",AND(BB$6&gt;0,$A780&lt;BB$6),AND(BB$7&gt;0,$A780&gt;BB$7)),0,MAX(0,ROUND((INDEX($E780:$G780,BB$5)-SUMIFS(TF_Timer,TF_Tekniker,BB$4,TF_Dato,$A780))*2,0)/2)))</f>
        <v/>
      </c>
      <c r="BC780">
        <f>IF(OR(BC$4="",$A780&gt;TODAY()),0,IF(OR(INDEX($B780:$D780,BC$5)="F",AND(BC$6&gt;0,$A780&lt;BC$6),AND(BC$7&gt;0,$A780&gt;BC$7)),0,MAX(0,ROUND((INDEX($E780:$G780,BC$5)-SUMIFS(TF_Timer,TF_Tekniker,BC$4,TF_Dato,$A780))*2,0)/2)))</f>
        <v/>
      </c>
      <c r="BD780">
        <f>IF(OR(BD$4="",$A780&gt;TODAY()),0,IF(OR(INDEX($B780:$D780,BD$5)="F",AND(BD$6&gt;0,$A780&lt;BD$6),AND(BD$7&gt;0,$A780&gt;BD$7)),0,MAX(0,ROUND((INDEX($E780:$G780,BD$5)-SUMIFS(TF_Timer,TF_Tekniker,BD$4,TF_Dato,$A780))*2,0)/2)))</f>
        <v/>
      </c>
      <c r="BE780">
        <f>IF(OR(BE$4="",$A780&gt;TODAY()),0,IF(OR(INDEX($B780:$D780,BE$5)="F",AND(BE$6&gt;0,$A780&lt;BE$6),AND(BE$7&gt;0,$A780&gt;BE$7)),0,MAX(0,ROUND((INDEX($E780:$G780,BE$5)-SUMIFS(TF_Timer,TF_Tekniker,BE$4,TF_Dato,$A780))*2,0)/2)))</f>
        <v/>
      </c>
      <c r="BF780">
        <f>IF(OR(BF$4="",$A780&gt;TODAY()),0,IF(OR(INDEX($B780:$D780,BF$5)="F",AND(BF$6&gt;0,$A780&lt;BF$6),AND(BF$7&gt;0,$A780&gt;BF$7)),0,MAX(0,ROUND((INDEX($E780:$G780,BF$5)-SUMIFS(TF_Timer,TF_Tekniker,BF$4,TF_Dato,$A780))*2,0)/2)))</f>
        <v/>
      </c>
      <c r="BG780">
        <f>IF(OR(BG$4="",$A780&gt;TODAY()),0,IF(OR(INDEX($B780:$D780,BG$5)="F",AND(BG$6&gt;0,$A780&lt;BG$6),AND(BG$7&gt;0,$A780&gt;BG$7)),0,MAX(0,ROUND((INDEX($E780:$G780,BG$5)-SUMIFS(TF_Timer,TF_Tekniker,BG$4,TF_Dato,$A780))*2,0)/2)))</f>
        <v/>
      </c>
      <c r="BH780">
        <f>IF(OR(BH$4="",$A780&gt;TODAY()),0,IF(OR(INDEX($B780:$D780,BH$5)="F",AND(BH$6&gt;0,$A780&lt;BH$6),AND(BH$7&gt;0,$A780&gt;BH$7)),0,MAX(0,ROUND((INDEX($E780:$G780,BH$5)-SUMIFS(TF_Timer,TF_Tekniker,BH$4,TF_Dato,$A780))*2,0)/2)))</f>
        <v/>
      </c>
      <c r="BI780">
        <f>IF(OR(BI$4="",$A780&gt;TODAY()),0,IF(OR(INDEX($B780:$D780,BI$5)="F",AND(BI$6&gt;0,$A780&lt;BI$6),AND(BI$7&gt;0,$A780&gt;BI$7)),0,MAX(0,ROUND((INDEX($E780:$G780,BI$5)-SUMIFS(TF_Timer,TF_Tekniker,BI$4,TF_Dato,$A780))*2,0)/2)))</f>
        <v/>
      </c>
    </row>
    <row r="781">
      <c r="A781" s="64">
        <f>A780+1</f>
        <v/>
      </c>
      <c r="B781">
        <f>IF(MOD($A781-INDEX(SkiftStart,1),Syklus)&lt;DagK,"K",IF(MOD($A781-INDEX(SkiftStart,1),Syklus)&lt;DagK+DagH,"H",IF(MOD($A781-INDEX(SkiftStart,1),Syklus)&lt;DagK+DagH+DagD,"D","F")))</f>
        <v/>
      </c>
      <c r="C781">
        <f>IF(MOD($A781-INDEX(SkiftStart,2),Syklus)&lt;DagK,"K",IF(MOD($A781-INDEX(SkiftStart,2),Syklus)&lt;DagK+DagH,"H",IF(MOD($A781-INDEX(SkiftStart,2),Syklus)&lt;DagK+DagH+DagD,"D","F")))</f>
        <v/>
      </c>
      <c r="D781">
        <f>IF(MOD($A781-INDEX(SkiftStart,3),Syklus)&lt;DagK,"K",IF(MOD($A781-INDEX(SkiftStart,3),Syklus)&lt;DagK+DagH,"H",IF(MOD($A781-INDEX(SkiftStart,3),Syklus)&lt;DagK+DagH+DagD,"D","F")))</f>
        <v/>
      </c>
      <c r="E781">
        <f>IF(B781="F",0,IF(WEEKDAY($A781,2)=5,INDEX(TimerFr,MATCH(B781,FaseKode,0)),INDEX(TimerMT,MATCH(B781,FaseKode,0))))</f>
        <v/>
      </c>
      <c r="F781">
        <f>IF(C781="F",0,IF(WEEKDAY($A781,2)=5,INDEX(TimerFr,MATCH(C781,FaseKode,0)),INDEX(TimerMT,MATCH(C781,FaseKode,0))))</f>
        <v/>
      </c>
      <c r="G781">
        <f>IF(D781="F",0,IF(WEEKDAY($A781,2)=5,INDEX(TimerFr,MATCH(D781,FaseKode,0)),INDEX(TimerMT,MATCH(D781,FaseKode,0))))</f>
        <v/>
      </c>
      <c r="H781">
        <f>IF(OR(H$4="",$A781&gt;TODAY()),0,IF(OR(INDEX($B781:$D781,H$5)="F",AND(H$6&gt;0,$A781&lt;H$6),AND(H$7&gt;0,$A781&gt;H$7)),0,MAX(0,ROUND((INDEX($E781:$G781,H$5)-SUMIFS(TF_Timer,TF_Tekniker,H$4,TF_Dato,$A781))*2,0)/2)))</f>
        <v/>
      </c>
      <c r="I781">
        <f>IF(OR(I$4="",$A781&gt;TODAY()),0,IF(OR(INDEX($B781:$D781,I$5)="F",AND(I$6&gt;0,$A781&lt;I$6),AND(I$7&gt;0,$A781&gt;I$7)),0,MAX(0,ROUND((INDEX($E781:$G781,I$5)-SUMIFS(TF_Timer,TF_Tekniker,I$4,TF_Dato,$A781))*2,0)/2)))</f>
        <v/>
      </c>
      <c r="J781">
        <f>IF(OR(J$4="",$A781&gt;TODAY()),0,IF(OR(INDEX($B781:$D781,J$5)="F",AND(J$6&gt;0,$A781&lt;J$6),AND(J$7&gt;0,$A781&gt;J$7)),0,MAX(0,ROUND((INDEX($E781:$G781,J$5)-SUMIFS(TF_Timer,TF_Tekniker,J$4,TF_Dato,$A781))*2,0)/2)))</f>
        <v/>
      </c>
      <c r="K781">
        <f>IF(OR(K$4="",$A781&gt;TODAY()),0,IF(OR(INDEX($B781:$D781,K$5)="F",AND(K$6&gt;0,$A781&lt;K$6),AND(K$7&gt;0,$A781&gt;K$7)),0,MAX(0,ROUND((INDEX($E781:$G781,K$5)-SUMIFS(TF_Timer,TF_Tekniker,K$4,TF_Dato,$A781))*2,0)/2)))</f>
        <v/>
      </c>
      <c r="L781">
        <f>IF(OR(L$4="",$A781&gt;TODAY()),0,IF(OR(INDEX($B781:$D781,L$5)="F",AND(L$6&gt;0,$A781&lt;L$6),AND(L$7&gt;0,$A781&gt;L$7)),0,MAX(0,ROUND((INDEX($E781:$G781,L$5)-SUMIFS(TF_Timer,TF_Tekniker,L$4,TF_Dato,$A781))*2,0)/2)))</f>
        <v/>
      </c>
      <c r="M781">
        <f>IF(OR(M$4="",$A781&gt;TODAY()),0,IF(OR(INDEX($B781:$D781,M$5)="F",AND(M$6&gt;0,$A781&lt;M$6),AND(M$7&gt;0,$A781&gt;M$7)),0,MAX(0,ROUND((INDEX($E781:$G781,M$5)-SUMIFS(TF_Timer,TF_Tekniker,M$4,TF_Dato,$A781))*2,0)/2)))</f>
        <v/>
      </c>
      <c r="N781">
        <f>IF(OR(N$4="",$A781&gt;TODAY()),0,IF(OR(INDEX($B781:$D781,N$5)="F",AND(N$6&gt;0,$A781&lt;N$6),AND(N$7&gt;0,$A781&gt;N$7)),0,MAX(0,ROUND((INDEX($E781:$G781,N$5)-SUMIFS(TF_Timer,TF_Tekniker,N$4,TF_Dato,$A781))*2,0)/2)))</f>
        <v/>
      </c>
      <c r="O781">
        <f>IF(OR(O$4="",$A781&gt;TODAY()),0,IF(OR(INDEX($B781:$D781,O$5)="F",AND(O$6&gt;0,$A781&lt;O$6),AND(O$7&gt;0,$A781&gt;O$7)),0,MAX(0,ROUND((INDEX($E781:$G781,O$5)-SUMIFS(TF_Timer,TF_Tekniker,O$4,TF_Dato,$A781))*2,0)/2)))</f>
        <v/>
      </c>
      <c r="P781">
        <f>IF(OR(P$4="",$A781&gt;TODAY()),0,IF(OR(INDEX($B781:$D781,P$5)="F",AND(P$6&gt;0,$A781&lt;P$6),AND(P$7&gt;0,$A781&gt;P$7)),0,MAX(0,ROUND((INDEX($E781:$G781,P$5)-SUMIFS(TF_Timer,TF_Tekniker,P$4,TF_Dato,$A781))*2,0)/2)))</f>
        <v/>
      </c>
      <c r="Q781">
        <f>IF(OR(Q$4="",$A781&gt;TODAY()),0,IF(OR(INDEX($B781:$D781,Q$5)="F",AND(Q$6&gt;0,$A781&lt;Q$6),AND(Q$7&gt;0,$A781&gt;Q$7)),0,MAX(0,ROUND((INDEX($E781:$G781,Q$5)-SUMIFS(TF_Timer,TF_Tekniker,Q$4,TF_Dato,$A781))*2,0)/2)))</f>
        <v/>
      </c>
      <c r="R781">
        <f>IF(OR(R$4="",$A781&gt;TODAY()),0,IF(OR(INDEX($B781:$D781,R$5)="F",AND(R$6&gt;0,$A781&lt;R$6),AND(R$7&gt;0,$A781&gt;R$7)),0,MAX(0,ROUND((INDEX($E781:$G781,R$5)-SUMIFS(TF_Timer,TF_Tekniker,R$4,TF_Dato,$A781))*2,0)/2)))</f>
        <v/>
      </c>
      <c r="S781">
        <f>IF(OR(S$4="",$A781&gt;TODAY()),0,IF(OR(INDEX($B781:$D781,S$5)="F",AND(S$6&gt;0,$A781&lt;S$6),AND(S$7&gt;0,$A781&gt;S$7)),0,MAX(0,ROUND((INDEX($E781:$G781,S$5)-SUMIFS(TF_Timer,TF_Tekniker,S$4,TF_Dato,$A781))*2,0)/2)))</f>
        <v/>
      </c>
      <c r="T781">
        <f>IF(OR(T$4="",$A781&gt;TODAY()),0,IF(OR(INDEX($B781:$D781,T$5)="F",AND(T$6&gt;0,$A781&lt;T$6),AND(T$7&gt;0,$A781&gt;T$7)),0,MAX(0,ROUND((INDEX($E781:$G781,T$5)-SUMIFS(TF_Timer,TF_Tekniker,T$4,TF_Dato,$A781))*2,0)/2)))</f>
        <v/>
      </c>
      <c r="U781">
        <f>IF(OR(U$4="",$A781&gt;TODAY()),0,IF(OR(INDEX($B781:$D781,U$5)="F",AND(U$6&gt;0,$A781&lt;U$6),AND(U$7&gt;0,$A781&gt;U$7)),0,MAX(0,ROUND((INDEX($E781:$G781,U$5)-SUMIFS(TF_Timer,TF_Tekniker,U$4,TF_Dato,$A781))*2,0)/2)))</f>
        <v/>
      </c>
      <c r="V781">
        <f>IF(OR(V$4="",$A781&gt;TODAY()),0,IF(OR(INDEX($B781:$D781,V$5)="F",AND(V$6&gt;0,$A781&lt;V$6),AND(V$7&gt;0,$A781&gt;V$7)),0,MAX(0,ROUND((INDEX($E781:$G781,V$5)-SUMIFS(TF_Timer,TF_Tekniker,V$4,TF_Dato,$A781))*2,0)/2)))</f>
        <v/>
      </c>
      <c r="W781">
        <f>IF(OR(W$4="",$A781&gt;TODAY()),0,IF(OR(INDEX($B781:$D781,W$5)="F",AND(W$6&gt;0,$A781&lt;W$6),AND(W$7&gt;0,$A781&gt;W$7)),0,MAX(0,ROUND((INDEX($E781:$G781,W$5)-SUMIFS(TF_Timer,TF_Tekniker,W$4,TF_Dato,$A781))*2,0)/2)))</f>
        <v/>
      </c>
      <c r="X781">
        <f>IF(OR(X$4="",$A781&gt;TODAY()),0,IF(OR(INDEX($B781:$D781,X$5)="F",AND(X$6&gt;0,$A781&lt;X$6),AND(X$7&gt;0,$A781&gt;X$7)),0,MAX(0,ROUND((INDEX($E781:$G781,X$5)-SUMIFS(TF_Timer,TF_Tekniker,X$4,TF_Dato,$A781))*2,0)/2)))</f>
        <v/>
      </c>
      <c r="Y781">
        <f>IF(OR(Y$4="",$A781&gt;TODAY()),0,IF(OR(INDEX($B781:$D781,Y$5)="F",AND(Y$6&gt;0,$A781&lt;Y$6),AND(Y$7&gt;0,$A781&gt;Y$7)),0,MAX(0,ROUND((INDEX($E781:$G781,Y$5)-SUMIFS(TF_Timer,TF_Tekniker,Y$4,TF_Dato,$A781))*2,0)/2)))</f>
        <v/>
      </c>
      <c r="Z781">
        <f>IF(OR(Z$4="",$A781&gt;TODAY()),0,IF(OR(INDEX($B781:$D781,Z$5)="F",AND(Z$6&gt;0,$A781&lt;Z$6),AND(Z$7&gt;0,$A781&gt;Z$7)),0,MAX(0,ROUND((INDEX($E781:$G781,Z$5)-SUMIFS(TF_Timer,TF_Tekniker,Z$4,TF_Dato,$A781))*2,0)/2)))</f>
        <v/>
      </c>
      <c r="AA781">
        <f>IF(OR(AA$4="",$A781&gt;TODAY()),0,IF(OR(INDEX($B781:$D781,AA$5)="F",AND(AA$6&gt;0,$A781&lt;AA$6),AND(AA$7&gt;0,$A781&gt;AA$7)),0,MAX(0,ROUND((INDEX($E781:$G781,AA$5)-SUMIFS(TF_Timer,TF_Tekniker,AA$4,TF_Dato,$A781))*2,0)/2)))</f>
        <v/>
      </c>
      <c r="AB781">
        <f>IF(OR(AB$4="",$A781&gt;TODAY()),0,IF(OR(INDEX($B781:$D781,AB$5)="F",AND(AB$6&gt;0,$A781&lt;AB$6),AND(AB$7&gt;0,$A781&gt;AB$7)),0,MAX(0,ROUND((INDEX($E781:$G781,AB$5)-SUMIFS(TF_Timer,TF_Tekniker,AB$4,TF_Dato,$A781))*2,0)/2)))</f>
        <v/>
      </c>
      <c r="AC781">
        <f>IF(OR(AC$4="",$A781&gt;TODAY()),0,IF(OR(INDEX($B781:$D781,AC$5)="F",AND(AC$6&gt;0,$A781&lt;AC$6),AND(AC$7&gt;0,$A781&gt;AC$7)),0,MAX(0,ROUND((INDEX($E781:$G781,AC$5)-SUMIFS(TF_Timer,TF_Tekniker,AC$4,TF_Dato,$A781))*2,0)/2)))</f>
        <v/>
      </c>
      <c r="AD781">
        <f>IF(OR(AD$4="",$A781&gt;TODAY()),0,IF(OR(INDEX($B781:$D781,AD$5)="F",AND(AD$6&gt;0,$A781&lt;AD$6),AND(AD$7&gt;0,$A781&gt;AD$7)),0,MAX(0,ROUND((INDEX($E781:$G781,AD$5)-SUMIFS(TF_Timer,TF_Tekniker,AD$4,TF_Dato,$A781))*2,0)/2)))</f>
        <v/>
      </c>
      <c r="AE781">
        <f>IF(OR(AE$4="",$A781&gt;TODAY()),0,IF(OR(INDEX($B781:$D781,AE$5)="F",AND(AE$6&gt;0,$A781&lt;AE$6),AND(AE$7&gt;0,$A781&gt;AE$7)),0,MAX(0,ROUND((INDEX($E781:$G781,AE$5)-SUMIFS(TF_Timer,TF_Tekniker,AE$4,TF_Dato,$A781))*2,0)/2)))</f>
        <v/>
      </c>
      <c r="AF781">
        <f>IF(OR(AF$4="",$A781&gt;TODAY()),0,IF(OR(INDEX($B781:$D781,AF$5)="F",AND(AF$6&gt;0,$A781&lt;AF$6),AND(AF$7&gt;0,$A781&gt;AF$7)),0,MAX(0,ROUND((INDEX($E781:$G781,AF$5)-SUMIFS(TF_Timer,TF_Tekniker,AF$4,TF_Dato,$A781))*2,0)/2)))</f>
        <v/>
      </c>
      <c r="AG781">
        <f>IF(OR(AG$4="",$A781&gt;TODAY()),0,IF(OR(INDEX($B781:$D781,AG$5)="F",AND(AG$6&gt;0,$A781&lt;AG$6),AND(AG$7&gt;0,$A781&gt;AG$7)),0,MAX(0,ROUND((INDEX($E781:$G781,AG$5)-SUMIFS(TF_Timer,TF_Tekniker,AG$4,TF_Dato,$A781))*2,0)/2)))</f>
        <v/>
      </c>
      <c r="AH781">
        <f>IF(OR(AH$4="",$A781&gt;TODAY()),0,IF(OR(INDEX($B781:$D781,AH$5)="F",AND(AH$6&gt;0,$A781&lt;AH$6),AND(AH$7&gt;0,$A781&gt;AH$7)),0,MAX(0,ROUND((INDEX($E781:$G781,AH$5)-SUMIFS(TF_Timer,TF_Tekniker,AH$4,TF_Dato,$A781))*2,0)/2)))</f>
        <v/>
      </c>
      <c r="AI781">
        <f>IF(OR(AI$4="",$A781&gt;TODAY()),0,IF(OR(INDEX($B781:$D781,AI$5)="F",AND(AI$6&gt;0,$A781&lt;AI$6),AND(AI$7&gt;0,$A781&gt;AI$7)),0,MAX(0,ROUND((INDEX($E781:$G781,AI$5)-SUMIFS(TF_Timer,TF_Tekniker,AI$4,TF_Dato,$A781))*2,0)/2)))</f>
        <v/>
      </c>
      <c r="AJ781">
        <f>IF(OR(AJ$4="",$A781&gt;TODAY()),0,IF(OR(INDEX($B781:$D781,AJ$5)="F",AND(AJ$6&gt;0,$A781&lt;AJ$6),AND(AJ$7&gt;0,$A781&gt;AJ$7)),0,MAX(0,ROUND((INDEX($E781:$G781,AJ$5)-SUMIFS(TF_Timer,TF_Tekniker,AJ$4,TF_Dato,$A781))*2,0)/2)))</f>
        <v/>
      </c>
      <c r="AK781">
        <f>IF(OR(AK$4="",$A781&gt;TODAY()),0,IF(OR(INDEX($B781:$D781,AK$5)="F",AND(AK$6&gt;0,$A781&lt;AK$6),AND(AK$7&gt;0,$A781&gt;AK$7)),0,MAX(0,ROUND((INDEX($E781:$G781,AK$5)-SUMIFS(TF_Timer,TF_Tekniker,AK$4,TF_Dato,$A781))*2,0)/2)))</f>
        <v/>
      </c>
      <c r="AL781">
        <f>IF(OR(AL$4="",$A781&gt;TODAY()),0,IF(OR(INDEX($B781:$D781,AL$5)="F",AND(AL$6&gt;0,$A781&lt;AL$6),AND(AL$7&gt;0,$A781&gt;AL$7)),0,MAX(0,ROUND((INDEX($E781:$G781,AL$5)-SUMIFS(TF_Timer,TF_Tekniker,AL$4,TF_Dato,$A781))*2,0)/2)))</f>
        <v/>
      </c>
      <c r="AM781">
        <f>IF(OR(AM$4="",$A781&gt;TODAY()),0,IF(OR(INDEX($B781:$D781,AM$5)="F",AND(AM$6&gt;0,$A781&lt;AM$6),AND(AM$7&gt;0,$A781&gt;AM$7)),0,MAX(0,ROUND((INDEX($E781:$G781,AM$5)-SUMIFS(TF_Timer,TF_Tekniker,AM$4,TF_Dato,$A781))*2,0)/2)))</f>
        <v/>
      </c>
      <c r="AN781">
        <f>IF(OR(AN$4="",$A781&gt;TODAY()),0,IF(OR(INDEX($B781:$D781,AN$5)="F",AND(AN$6&gt;0,$A781&lt;AN$6),AND(AN$7&gt;0,$A781&gt;AN$7)),0,MAX(0,ROUND((INDEX($E781:$G781,AN$5)-SUMIFS(TF_Timer,TF_Tekniker,AN$4,TF_Dato,$A781))*2,0)/2)))</f>
        <v/>
      </c>
      <c r="AO781">
        <f>IF(OR(AO$4="",$A781&gt;TODAY()),0,IF(OR(INDEX($B781:$D781,AO$5)="F",AND(AO$6&gt;0,$A781&lt;AO$6),AND(AO$7&gt;0,$A781&gt;AO$7)),0,MAX(0,ROUND((INDEX($E781:$G781,AO$5)-SUMIFS(TF_Timer,TF_Tekniker,AO$4,TF_Dato,$A781))*2,0)/2)))</f>
        <v/>
      </c>
      <c r="AP781">
        <f>IF(OR(AP$4="",$A781&gt;TODAY()),0,IF(OR(INDEX($B781:$D781,AP$5)="F",AND(AP$6&gt;0,$A781&lt;AP$6),AND(AP$7&gt;0,$A781&gt;AP$7)),0,MAX(0,ROUND((INDEX($E781:$G781,AP$5)-SUMIFS(TF_Timer,TF_Tekniker,AP$4,TF_Dato,$A781))*2,0)/2)))</f>
        <v/>
      </c>
      <c r="AQ781">
        <f>IF(OR(AQ$4="",$A781&gt;TODAY()),0,IF(OR(INDEX($B781:$D781,AQ$5)="F",AND(AQ$6&gt;0,$A781&lt;AQ$6),AND(AQ$7&gt;0,$A781&gt;AQ$7)),0,MAX(0,ROUND((INDEX($E781:$G781,AQ$5)-SUMIFS(TF_Timer,TF_Tekniker,AQ$4,TF_Dato,$A781))*2,0)/2)))</f>
        <v/>
      </c>
      <c r="AR781">
        <f>IF(OR(AR$4="",$A781&gt;TODAY()),0,IF(OR(INDEX($B781:$D781,AR$5)="F",AND(AR$6&gt;0,$A781&lt;AR$6),AND(AR$7&gt;0,$A781&gt;AR$7)),0,MAX(0,ROUND((INDEX($E781:$G781,AR$5)-SUMIFS(TF_Timer,TF_Tekniker,AR$4,TF_Dato,$A781))*2,0)/2)))</f>
        <v/>
      </c>
      <c r="AS781">
        <f>IF(OR(AS$4="",$A781&gt;TODAY()),0,IF(OR(INDEX($B781:$D781,AS$5)="F",AND(AS$6&gt;0,$A781&lt;AS$6),AND(AS$7&gt;0,$A781&gt;AS$7)),0,MAX(0,ROUND((INDEX($E781:$G781,AS$5)-SUMIFS(TF_Timer,TF_Tekniker,AS$4,TF_Dato,$A781))*2,0)/2)))</f>
        <v/>
      </c>
      <c r="AT781">
        <f>IF(OR(AT$4="",$A781&gt;TODAY()),0,IF(OR(INDEX($B781:$D781,AT$5)="F",AND(AT$6&gt;0,$A781&lt;AT$6),AND(AT$7&gt;0,$A781&gt;AT$7)),0,MAX(0,ROUND((INDEX($E781:$G781,AT$5)-SUMIFS(TF_Timer,TF_Tekniker,AT$4,TF_Dato,$A781))*2,0)/2)))</f>
        <v/>
      </c>
      <c r="AU781">
        <f>IF(OR(AU$4="",$A781&gt;TODAY()),0,IF(OR(INDEX($B781:$D781,AU$5)="F",AND(AU$6&gt;0,$A781&lt;AU$6),AND(AU$7&gt;0,$A781&gt;AU$7)),0,MAX(0,ROUND((INDEX($E781:$G781,AU$5)-SUMIFS(TF_Timer,TF_Tekniker,AU$4,TF_Dato,$A781))*2,0)/2)))</f>
        <v/>
      </c>
      <c r="AV781">
        <f>IF(OR(AV$4="",$A781&gt;TODAY()),0,IF(OR(INDEX($B781:$D781,AV$5)="F",AND(AV$6&gt;0,$A781&lt;AV$6),AND(AV$7&gt;0,$A781&gt;AV$7)),0,MAX(0,ROUND((INDEX($E781:$G781,AV$5)-SUMIFS(TF_Timer,TF_Tekniker,AV$4,TF_Dato,$A781))*2,0)/2)))</f>
        <v/>
      </c>
      <c r="AW781">
        <f>IF(OR(AW$4="",$A781&gt;TODAY()),0,IF(OR(INDEX($B781:$D781,AW$5)="F",AND(AW$6&gt;0,$A781&lt;AW$6),AND(AW$7&gt;0,$A781&gt;AW$7)),0,MAX(0,ROUND((INDEX($E781:$G781,AW$5)-SUMIFS(TF_Timer,TF_Tekniker,AW$4,TF_Dato,$A781))*2,0)/2)))</f>
        <v/>
      </c>
      <c r="AX781">
        <f>IF(OR(AX$4="",$A781&gt;TODAY()),0,IF(OR(INDEX($B781:$D781,AX$5)="F",AND(AX$6&gt;0,$A781&lt;AX$6),AND(AX$7&gt;0,$A781&gt;AX$7)),0,MAX(0,ROUND((INDEX($E781:$G781,AX$5)-SUMIFS(TF_Timer,TF_Tekniker,AX$4,TF_Dato,$A781))*2,0)/2)))</f>
        <v/>
      </c>
      <c r="AY781">
        <f>IF(OR(AY$4="",$A781&gt;TODAY()),0,IF(OR(INDEX($B781:$D781,AY$5)="F",AND(AY$6&gt;0,$A781&lt;AY$6),AND(AY$7&gt;0,$A781&gt;AY$7)),0,MAX(0,ROUND((INDEX($E781:$G781,AY$5)-SUMIFS(TF_Timer,TF_Tekniker,AY$4,TF_Dato,$A781))*2,0)/2)))</f>
        <v/>
      </c>
      <c r="AZ781">
        <f>IF(OR(AZ$4="",$A781&gt;TODAY()),0,IF(OR(INDEX($B781:$D781,AZ$5)="F",AND(AZ$6&gt;0,$A781&lt;AZ$6),AND(AZ$7&gt;0,$A781&gt;AZ$7)),0,MAX(0,ROUND((INDEX($E781:$G781,AZ$5)-SUMIFS(TF_Timer,TF_Tekniker,AZ$4,TF_Dato,$A781))*2,0)/2)))</f>
        <v/>
      </c>
      <c r="BA781">
        <f>IF(OR(BA$4="",$A781&gt;TODAY()),0,IF(OR(INDEX($B781:$D781,BA$5)="F",AND(BA$6&gt;0,$A781&lt;BA$6),AND(BA$7&gt;0,$A781&gt;BA$7)),0,MAX(0,ROUND((INDEX($E781:$G781,BA$5)-SUMIFS(TF_Timer,TF_Tekniker,BA$4,TF_Dato,$A781))*2,0)/2)))</f>
        <v/>
      </c>
      <c r="BB781">
        <f>IF(OR(BB$4="",$A781&gt;TODAY()),0,IF(OR(INDEX($B781:$D781,BB$5)="F",AND(BB$6&gt;0,$A781&lt;BB$6),AND(BB$7&gt;0,$A781&gt;BB$7)),0,MAX(0,ROUND((INDEX($E781:$G781,BB$5)-SUMIFS(TF_Timer,TF_Tekniker,BB$4,TF_Dato,$A781))*2,0)/2)))</f>
        <v/>
      </c>
      <c r="BC781">
        <f>IF(OR(BC$4="",$A781&gt;TODAY()),0,IF(OR(INDEX($B781:$D781,BC$5)="F",AND(BC$6&gt;0,$A781&lt;BC$6),AND(BC$7&gt;0,$A781&gt;BC$7)),0,MAX(0,ROUND((INDEX($E781:$G781,BC$5)-SUMIFS(TF_Timer,TF_Tekniker,BC$4,TF_Dato,$A781))*2,0)/2)))</f>
        <v/>
      </c>
      <c r="BD781">
        <f>IF(OR(BD$4="",$A781&gt;TODAY()),0,IF(OR(INDEX($B781:$D781,BD$5)="F",AND(BD$6&gt;0,$A781&lt;BD$6),AND(BD$7&gt;0,$A781&gt;BD$7)),0,MAX(0,ROUND((INDEX($E781:$G781,BD$5)-SUMIFS(TF_Timer,TF_Tekniker,BD$4,TF_Dato,$A781))*2,0)/2)))</f>
        <v/>
      </c>
      <c r="BE781">
        <f>IF(OR(BE$4="",$A781&gt;TODAY()),0,IF(OR(INDEX($B781:$D781,BE$5)="F",AND(BE$6&gt;0,$A781&lt;BE$6),AND(BE$7&gt;0,$A781&gt;BE$7)),0,MAX(0,ROUND((INDEX($E781:$G781,BE$5)-SUMIFS(TF_Timer,TF_Tekniker,BE$4,TF_Dato,$A781))*2,0)/2)))</f>
        <v/>
      </c>
      <c r="BF781">
        <f>IF(OR(BF$4="",$A781&gt;TODAY()),0,IF(OR(INDEX($B781:$D781,BF$5)="F",AND(BF$6&gt;0,$A781&lt;BF$6),AND(BF$7&gt;0,$A781&gt;BF$7)),0,MAX(0,ROUND((INDEX($E781:$G781,BF$5)-SUMIFS(TF_Timer,TF_Tekniker,BF$4,TF_Dato,$A781))*2,0)/2)))</f>
        <v/>
      </c>
      <c r="BG781">
        <f>IF(OR(BG$4="",$A781&gt;TODAY()),0,IF(OR(INDEX($B781:$D781,BG$5)="F",AND(BG$6&gt;0,$A781&lt;BG$6),AND(BG$7&gt;0,$A781&gt;BG$7)),0,MAX(0,ROUND((INDEX($E781:$G781,BG$5)-SUMIFS(TF_Timer,TF_Tekniker,BG$4,TF_Dato,$A781))*2,0)/2)))</f>
        <v/>
      </c>
      <c r="BH781">
        <f>IF(OR(BH$4="",$A781&gt;TODAY()),0,IF(OR(INDEX($B781:$D781,BH$5)="F",AND(BH$6&gt;0,$A781&lt;BH$6),AND(BH$7&gt;0,$A781&gt;BH$7)),0,MAX(0,ROUND((INDEX($E781:$G781,BH$5)-SUMIFS(TF_Timer,TF_Tekniker,BH$4,TF_Dato,$A781))*2,0)/2)))</f>
        <v/>
      </c>
      <c r="BI781">
        <f>IF(OR(BI$4="",$A781&gt;TODAY()),0,IF(OR(INDEX($B781:$D781,BI$5)="F",AND(BI$6&gt;0,$A781&lt;BI$6),AND(BI$7&gt;0,$A781&gt;BI$7)),0,MAX(0,ROUND((INDEX($E781:$G781,BI$5)-SUMIFS(TF_Timer,TF_Tekniker,BI$4,TF_Dato,$A781))*2,0)/2)))</f>
        <v/>
      </c>
    </row>
    <row r="782">
      <c r="A782" s="64">
        <f>A781+1</f>
        <v/>
      </c>
      <c r="B782">
        <f>IF(MOD($A782-INDEX(SkiftStart,1),Syklus)&lt;DagK,"K",IF(MOD($A782-INDEX(SkiftStart,1),Syklus)&lt;DagK+DagH,"H",IF(MOD($A782-INDEX(SkiftStart,1),Syklus)&lt;DagK+DagH+DagD,"D","F")))</f>
        <v/>
      </c>
      <c r="C782">
        <f>IF(MOD($A782-INDEX(SkiftStart,2),Syklus)&lt;DagK,"K",IF(MOD($A782-INDEX(SkiftStart,2),Syklus)&lt;DagK+DagH,"H",IF(MOD($A782-INDEX(SkiftStart,2),Syklus)&lt;DagK+DagH+DagD,"D","F")))</f>
        <v/>
      </c>
      <c r="D782">
        <f>IF(MOD($A782-INDEX(SkiftStart,3),Syklus)&lt;DagK,"K",IF(MOD($A782-INDEX(SkiftStart,3),Syklus)&lt;DagK+DagH,"H",IF(MOD($A782-INDEX(SkiftStart,3),Syklus)&lt;DagK+DagH+DagD,"D","F")))</f>
        <v/>
      </c>
      <c r="E782">
        <f>IF(B782="F",0,IF(WEEKDAY($A782,2)=5,INDEX(TimerFr,MATCH(B782,FaseKode,0)),INDEX(TimerMT,MATCH(B782,FaseKode,0))))</f>
        <v/>
      </c>
      <c r="F782">
        <f>IF(C782="F",0,IF(WEEKDAY($A782,2)=5,INDEX(TimerFr,MATCH(C782,FaseKode,0)),INDEX(TimerMT,MATCH(C782,FaseKode,0))))</f>
        <v/>
      </c>
      <c r="G782">
        <f>IF(D782="F",0,IF(WEEKDAY($A782,2)=5,INDEX(TimerFr,MATCH(D782,FaseKode,0)),INDEX(TimerMT,MATCH(D782,FaseKode,0))))</f>
        <v/>
      </c>
      <c r="H782">
        <f>IF(OR(H$4="",$A782&gt;TODAY()),0,IF(OR(INDEX($B782:$D782,H$5)="F",AND(H$6&gt;0,$A782&lt;H$6),AND(H$7&gt;0,$A782&gt;H$7)),0,MAX(0,ROUND((INDEX($E782:$G782,H$5)-SUMIFS(TF_Timer,TF_Tekniker,H$4,TF_Dato,$A782))*2,0)/2)))</f>
        <v/>
      </c>
      <c r="I782">
        <f>IF(OR(I$4="",$A782&gt;TODAY()),0,IF(OR(INDEX($B782:$D782,I$5)="F",AND(I$6&gt;0,$A782&lt;I$6),AND(I$7&gt;0,$A782&gt;I$7)),0,MAX(0,ROUND((INDEX($E782:$G782,I$5)-SUMIFS(TF_Timer,TF_Tekniker,I$4,TF_Dato,$A782))*2,0)/2)))</f>
        <v/>
      </c>
      <c r="J782">
        <f>IF(OR(J$4="",$A782&gt;TODAY()),0,IF(OR(INDEX($B782:$D782,J$5)="F",AND(J$6&gt;0,$A782&lt;J$6),AND(J$7&gt;0,$A782&gt;J$7)),0,MAX(0,ROUND((INDEX($E782:$G782,J$5)-SUMIFS(TF_Timer,TF_Tekniker,J$4,TF_Dato,$A782))*2,0)/2)))</f>
        <v/>
      </c>
      <c r="K782">
        <f>IF(OR(K$4="",$A782&gt;TODAY()),0,IF(OR(INDEX($B782:$D782,K$5)="F",AND(K$6&gt;0,$A782&lt;K$6),AND(K$7&gt;0,$A782&gt;K$7)),0,MAX(0,ROUND((INDEX($E782:$G782,K$5)-SUMIFS(TF_Timer,TF_Tekniker,K$4,TF_Dato,$A782))*2,0)/2)))</f>
        <v/>
      </c>
      <c r="L782">
        <f>IF(OR(L$4="",$A782&gt;TODAY()),0,IF(OR(INDEX($B782:$D782,L$5)="F",AND(L$6&gt;0,$A782&lt;L$6),AND(L$7&gt;0,$A782&gt;L$7)),0,MAX(0,ROUND((INDEX($E782:$G782,L$5)-SUMIFS(TF_Timer,TF_Tekniker,L$4,TF_Dato,$A782))*2,0)/2)))</f>
        <v/>
      </c>
      <c r="M782">
        <f>IF(OR(M$4="",$A782&gt;TODAY()),0,IF(OR(INDEX($B782:$D782,M$5)="F",AND(M$6&gt;0,$A782&lt;M$6),AND(M$7&gt;0,$A782&gt;M$7)),0,MAX(0,ROUND((INDEX($E782:$G782,M$5)-SUMIFS(TF_Timer,TF_Tekniker,M$4,TF_Dato,$A782))*2,0)/2)))</f>
        <v/>
      </c>
      <c r="N782">
        <f>IF(OR(N$4="",$A782&gt;TODAY()),0,IF(OR(INDEX($B782:$D782,N$5)="F",AND(N$6&gt;0,$A782&lt;N$6),AND(N$7&gt;0,$A782&gt;N$7)),0,MAX(0,ROUND((INDEX($E782:$G782,N$5)-SUMIFS(TF_Timer,TF_Tekniker,N$4,TF_Dato,$A782))*2,0)/2)))</f>
        <v/>
      </c>
      <c r="O782">
        <f>IF(OR(O$4="",$A782&gt;TODAY()),0,IF(OR(INDEX($B782:$D782,O$5)="F",AND(O$6&gt;0,$A782&lt;O$6),AND(O$7&gt;0,$A782&gt;O$7)),0,MAX(0,ROUND((INDEX($E782:$G782,O$5)-SUMIFS(TF_Timer,TF_Tekniker,O$4,TF_Dato,$A782))*2,0)/2)))</f>
        <v/>
      </c>
      <c r="P782">
        <f>IF(OR(P$4="",$A782&gt;TODAY()),0,IF(OR(INDEX($B782:$D782,P$5)="F",AND(P$6&gt;0,$A782&lt;P$6),AND(P$7&gt;0,$A782&gt;P$7)),0,MAX(0,ROUND((INDEX($E782:$G782,P$5)-SUMIFS(TF_Timer,TF_Tekniker,P$4,TF_Dato,$A782))*2,0)/2)))</f>
        <v/>
      </c>
      <c r="Q782">
        <f>IF(OR(Q$4="",$A782&gt;TODAY()),0,IF(OR(INDEX($B782:$D782,Q$5)="F",AND(Q$6&gt;0,$A782&lt;Q$6),AND(Q$7&gt;0,$A782&gt;Q$7)),0,MAX(0,ROUND((INDEX($E782:$G782,Q$5)-SUMIFS(TF_Timer,TF_Tekniker,Q$4,TF_Dato,$A782))*2,0)/2)))</f>
        <v/>
      </c>
      <c r="R782">
        <f>IF(OR(R$4="",$A782&gt;TODAY()),0,IF(OR(INDEX($B782:$D782,R$5)="F",AND(R$6&gt;0,$A782&lt;R$6),AND(R$7&gt;0,$A782&gt;R$7)),0,MAX(0,ROUND((INDEX($E782:$G782,R$5)-SUMIFS(TF_Timer,TF_Tekniker,R$4,TF_Dato,$A782))*2,0)/2)))</f>
        <v/>
      </c>
      <c r="S782">
        <f>IF(OR(S$4="",$A782&gt;TODAY()),0,IF(OR(INDEX($B782:$D782,S$5)="F",AND(S$6&gt;0,$A782&lt;S$6),AND(S$7&gt;0,$A782&gt;S$7)),0,MAX(0,ROUND((INDEX($E782:$G782,S$5)-SUMIFS(TF_Timer,TF_Tekniker,S$4,TF_Dato,$A782))*2,0)/2)))</f>
        <v/>
      </c>
      <c r="T782">
        <f>IF(OR(T$4="",$A782&gt;TODAY()),0,IF(OR(INDEX($B782:$D782,T$5)="F",AND(T$6&gt;0,$A782&lt;T$6),AND(T$7&gt;0,$A782&gt;T$7)),0,MAX(0,ROUND((INDEX($E782:$G782,T$5)-SUMIFS(TF_Timer,TF_Tekniker,T$4,TF_Dato,$A782))*2,0)/2)))</f>
        <v/>
      </c>
      <c r="U782">
        <f>IF(OR(U$4="",$A782&gt;TODAY()),0,IF(OR(INDEX($B782:$D782,U$5)="F",AND(U$6&gt;0,$A782&lt;U$6),AND(U$7&gt;0,$A782&gt;U$7)),0,MAX(0,ROUND((INDEX($E782:$G782,U$5)-SUMIFS(TF_Timer,TF_Tekniker,U$4,TF_Dato,$A782))*2,0)/2)))</f>
        <v/>
      </c>
      <c r="V782">
        <f>IF(OR(V$4="",$A782&gt;TODAY()),0,IF(OR(INDEX($B782:$D782,V$5)="F",AND(V$6&gt;0,$A782&lt;V$6),AND(V$7&gt;0,$A782&gt;V$7)),0,MAX(0,ROUND((INDEX($E782:$G782,V$5)-SUMIFS(TF_Timer,TF_Tekniker,V$4,TF_Dato,$A782))*2,0)/2)))</f>
        <v/>
      </c>
      <c r="W782">
        <f>IF(OR(W$4="",$A782&gt;TODAY()),0,IF(OR(INDEX($B782:$D782,W$5)="F",AND(W$6&gt;0,$A782&lt;W$6),AND(W$7&gt;0,$A782&gt;W$7)),0,MAX(0,ROUND((INDEX($E782:$G782,W$5)-SUMIFS(TF_Timer,TF_Tekniker,W$4,TF_Dato,$A782))*2,0)/2)))</f>
        <v/>
      </c>
      <c r="X782">
        <f>IF(OR(X$4="",$A782&gt;TODAY()),0,IF(OR(INDEX($B782:$D782,X$5)="F",AND(X$6&gt;0,$A782&lt;X$6),AND(X$7&gt;0,$A782&gt;X$7)),0,MAX(0,ROUND((INDEX($E782:$G782,X$5)-SUMIFS(TF_Timer,TF_Tekniker,X$4,TF_Dato,$A782))*2,0)/2)))</f>
        <v/>
      </c>
      <c r="Y782">
        <f>IF(OR(Y$4="",$A782&gt;TODAY()),0,IF(OR(INDEX($B782:$D782,Y$5)="F",AND(Y$6&gt;0,$A782&lt;Y$6),AND(Y$7&gt;0,$A782&gt;Y$7)),0,MAX(0,ROUND((INDEX($E782:$G782,Y$5)-SUMIFS(TF_Timer,TF_Tekniker,Y$4,TF_Dato,$A782))*2,0)/2)))</f>
        <v/>
      </c>
      <c r="Z782">
        <f>IF(OR(Z$4="",$A782&gt;TODAY()),0,IF(OR(INDEX($B782:$D782,Z$5)="F",AND(Z$6&gt;0,$A782&lt;Z$6),AND(Z$7&gt;0,$A782&gt;Z$7)),0,MAX(0,ROUND((INDEX($E782:$G782,Z$5)-SUMIFS(TF_Timer,TF_Tekniker,Z$4,TF_Dato,$A782))*2,0)/2)))</f>
        <v/>
      </c>
      <c r="AA782">
        <f>IF(OR(AA$4="",$A782&gt;TODAY()),0,IF(OR(INDEX($B782:$D782,AA$5)="F",AND(AA$6&gt;0,$A782&lt;AA$6),AND(AA$7&gt;0,$A782&gt;AA$7)),0,MAX(0,ROUND((INDEX($E782:$G782,AA$5)-SUMIFS(TF_Timer,TF_Tekniker,AA$4,TF_Dato,$A782))*2,0)/2)))</f>
        <v/>
      </c>
      <c r="AB782">
        <f>IF(OR(AB$4="",$A782&gt;TODAY()),0,IF(OR(INDEX($B782:$D782,AB$5)="F",AND(AB$6&gt;0,$A782&lt;AB$6),AND(AB$7&gt;0,$A782&gt;AB$7)),0,MAX(0,ROUND((INDEX($E782:$G782,AB$5)-SUMIFS(TF_Timer,TF_Tekniker,AB$4,TF_Dato,$A782))*2,0)/2)))</f>
        <v/>
      </c>
      <c r="AC782">
        <f>IF(OR(AC$4="",$A782&gt;TODAY()),0,IF(OR(INDEX($B782:$D782,AC$5)="F",AND(AC$6&gt;0,$A782&lt;AC$6),AND(AC$7&gt;0,$A782&gt;AC$7)),0,MAX(0,ROUND((INDEX($E782:$G782,AC$5)-SUMIFS(TF_Timer,TF_Tekniker,AC$4,TF_Dato,$A782))*2,0)/2)))</f>
        <v/>
      </c>
      <c r="AD782">
        <f>IF(OR(AD$4="",$A782&gt;TODAY()),0,IF(OR(INDEX($B782:$D782,AD$5)="F",AND(AD$6&gt;0,$A782&lt;AD$6),AND(AD$7&gt;0,$A782&gt;AD$7)),0,MAX(0,ROUND((INDEX($E782:$G782,AD$5)-SUMIFS(TF_Timer,TF_Tekniker,AD$4,TF_Dato,$A782))*2,0)/2)))</f>
        <v/>
      </c>
      <c r="AE782">
        <f>IF(OR(AE$4="",$A782&gt;TODAY()),0,IF(OR(INDEX($B782:$D782,AE$5)="F",AND(AE$6&gt;0,$A782&lt;AE$6),AND(AE$7&gt;0,$A782&gt;AE$7)),0,MAX(0,ROUND((INDEX($E782:$G782,AE$5)-SUMIFS(TF_Timer,TF_Tekniker,AE$4,TF_Dato,$A782))*2,0)/2)))</f>
        <v/>
      </c>
      <c r="AF782">
        <f>IF(OR(AF$4="",$A782&gt;TODAY()),0,IF(OR(INDEX($B782:$D782,AF$5)="F",AND(AF$6&gt;0,$A782&lt;AF$6),AND(AF$7&gt;0,$A782&gt;AF$7)),0,MAX(0,ROUND((INDEX($E782:$G782,AF$5)-SUMIFS(TF_Timer,TF_Tekniker,AF$4,TF_Dato,$A782))*2,0)/2)))</f>
        <v/>
      </c>
      <c r="AG782">
        <f>IF(OR(AG$4="",$A782&gt;TODAY()),0,IF(OR(INDEX($B782:$D782,AG$5)="F",AND(AG$6&gt;0,$A782&lt;AG$6),AND(AG$7&gt;0,$A782&gt;AG$7)),0,MAX(0,ROUND((INDEX($E782:$G782,AG$5)-SUMIFS(TF_Timer,TF_Tekniker,AG$4,TF_Dato,$A782))*2,0)/2)))</f>
        <v/>
      </c>
      <c r="AH782">
        <f>IF(OR(AH$4="",$A782&gt;TODAY()),0,IF(OR(INDEX($B782:$D782,AH$5)="F",AND(AH$6&gt;0,$A782&lt;AH$6),AND(AH$7&gt;0,$A782&gt;AH$7)),0,MAX(0,ROUND((INDEX($E782:$G782,AH$5)-SUMIFS(TF_Timer,TF_Tekniker,AH$4,TF_Dato,$A782))*2,0)/2)))</f>
        <v/>
      </c>
      <c r="AI782">
        <f>IF(OR(AI$4="",$A782&gt;TODAY()),0,IF(OR(INDEX($B782:$D782,AI$5)="F",AND(AI$6&gt;0,$A782&lt;AI$6),AND(AI$7&gt;0,$A782&gt;AI$7)),0,MAX(0,ROUND((INDEX($E782:$G782,AI$5)-SUMIFS(TF_Timer,TF_Tekniker,AI$4,TF_Dato,$A782))*2,0)/2)))</f>
        <v/>
      </c>
      <c r="AJ782">
        <f>IF(OR(AJ$4="",$A782&gt;TODAY()),0,IF(OR(INDEX($B782:$D782,AJ$5)="F",AND(AJ$6&gt;0,$A782&lt;AJ$6),AND(AJ$7&gt;0,$A782&gt;AJ$7)),0,MAX(0,ROUND((INDEX($E782:$G782,AJ$5)-SUMIFS(TF_Timer,TF_Tekniker,AJ$4,TF_Dato,$A782))*2,0)/2)))</f>
        <v/>
      </c>
      <c r="AK782">
        <f>IF(OR(AK$4="",$A782&gt;TODAY()),0,IF(OR(INDEX($B782:$D782,AK$5)="F",AND(AK$6&gt;0,$A782&lt;AK$6),AND(AK$7&gt;0,$A782&gt;AK$7)),0,MAX(0,ROUND((INDEX($E782:$G782,AK$5)-SUMIFS(TF_Timer,TF_Tekniker,AK$4,TF_Dato,$A782))*2,0)/2)))</f>
        <v/>
      </c>
      <c r="AL782">
        <f>IF(OR(AL$4="",$A782&gt;TODAY()),0,IF(OR(INDEX($B782:$D782,AL$5)="F",AND(AL$6&gt;0,$A782&lt;AL$6),AND(AL$7&gt;0,$A782&gt;AL$7)),0,MAX(0,ROUND((INDEX($E782:$G782,AL$5)-SUMIFS(TF_Timer,TF_Tekniker,AL$4,TF_Dato,$A782))*2,0)/2)))</f>
        <v/>
      </c>
      <c r="AM782">
        <f>IF(OR(AM$4="",$A782&gt;TODAY()),0,IF(OR(INDEX($B782:$D782,AM$5)="F",AND(AM$6&gt;0,$A782&lt;AM$6),AND(AM$7&gt;0,$A782&gt;AM$7)),0,MAX(0,ROUND((INDEX($E782:$G782,AM$5)-SUMIFS(TF_Timer,TF_Tekniker,AM$4,TF_Dato,$A782))*2,0)/2)))</f>
        <v/>
      </c>
      <c r="AN782">
        <f>IF(OR(AN$4="",$A782&gt;TODAY()),0,IF(OR(INDEX($B782:$D782,AN$5)="F",AND(AN$6&gt;0,$A782&lt;AN$6),AND(AN$7&gt;0,$A782&gt;AN$7)),0,MAX(0,ROUND((INDEX($E782:$G782,AN$5)-SUMIFS(TF_Timer,TF_Tekniker,AN$4,TF_Dato,$A782))*2,0)/2)))</f>
        <v/>
      </c>
      <c r="AO782">
        <f>IF(OR(AO$4="",$A782&gt;TODAY()),0,IF(OR(INDEX($B782:$D782,AO$5)="F",AND(AO$6&gt;0,$A782&lt;AO$6),AND(AO$7&gt;0,$A782&gt;AO$7)),0,MAX(0,ROUND((INDEX($E782:$G782,AO$5)-SUMIFS(TF_Timer,TF_Tekniker,AO$4,TF_Dato,$A782))*2,0)/2)))</f>
        <v/>
      </c>
      <c r="AP782">
        <f>IF(OR(AP$4="",$A782&gt;TODAY()),0,IF(OR(INDEX($B782:$D782,AP$5)="F",AND(AP$6&gt;0,$A782&lt;AP$6),AND(AP$7&gt;0,$A782&gt;AP$7)),0,MAX(0,ROUND((INDEX($E782:$G782,AP$5)-SUMIFS(TF_Timer,TF_Tekniker,AP$4,TF_Dato,$A782))*2,0)/2)))</f>
        <v/>
      </c>
      <c r="AQ782">
        <f>IF(OR(AQ$4="",$A782&gt;TODAY()),0,IF(OR(INDEX($B782:$D782,AQ$5)="F",AND(AQ$6&gt;0,$A782&lt;AQ$6),AND(AQ$7&gt;0,$A782&gt;AQ$7)),0,MAX(0,ROUND((INDEX($E782:$G782,AQ$5)-SUMIFS(TF_Timer,TF_Tekniker,AQ$4,TF_Dato,$A782))*2,0)/2)))</f>
        <v/>
      </c>
      <c r="AR782">
        <f>IF(OR(AR$4="",$A782&gt;TODAY()),0,IF(OR(INDEX($B782:$D782,AR$5)="F",AND(AR$6&gt;0,$A782&lt;AR$6),AND(AR$7&gt;0,$A782&gt;AR$7)),0,MAX(0,ROUND((INDEX($E782:$G782,AR$5)-SUMIFS(TF_Timer,TF_Tekniker,AR$4,TF_Dato,$A782))*2,0)/2)))</f>
        <v/>
      </c>
      <c r="AS782">
        <f>IF(OR(AS$4="",$A782&gt;TODAY()),0,IF(OR(INDEX($B782:$D782,AS$5)="F",AND(AS$6&gt;0,$A782&lt;AS$6),AND(AS$7&gt;0,$A782&gt;AS$7)),0,MAX(0,ROUND((INDEX($E782:$G782,AS$5)-SUMIFS(TF_Timer,TF_Tekniker,AS$4,TF_Dato,$A782))*2,0)/2)))</f>
        <v/>
      </c>
      <c r="AT782">
        <f>IF(OR(AT$4="",$A782&gt;TODAY()),0,IF(OR(INDEX($B782:$D782,AT$5)="F",AND(AT$6&gt;0,$A782&lt;AT$6),AND(AT$7&gt;0,$A782&gt;AT$7)),0,MAX(0,ROUND((INDEX($E782:$G782,AT$5)-SUMIFS(TF_Timer,TF_Tekniker,AT$4,TF_Dato,$A782))*2,0)/2)))</f>
        <v/>
      </c>
      <c r="AU782">
        <f>IF(OR(AU$4="",$A782&gt;TODAY()),0,IF(OR(INDEX($B782:$D782,AU$5)="F",AND(AU$6&gt;0,$A782&lt;AU$6),AND(AU$7&gt;0,$A782&gt;AU$7)),0,MAX(0,ROUND((INDEX($E782:$G782,AU$5)-SUMIFS(TF_Timer,TF_Tekniker,AU$4,TF_Dato,$A782))*2,0)/2)))</f>
        <v/>
      </c>
      <c r="AV782">
        <f>IF(OR(AV$4="",$A782&gt;TODAY()),0,IF(OR(INDEX($B782:$D782,AV$5)="F",AND(AV$6&gt;0,$A782&lt;AV$6),AND(AV$7&gt;0,$A782&gt;AV$7)),0,MAX(0,ROUND((INDEX($E782:$G782,AV$5)-SUMIFS(TF_Timer,TF_Tekniker,AV$4,TF_Dato,$A782))*2,0)/2)))</f>
        <v/>
      </c>
      <c r="AW782">
        <f>IF(OR(AW$4="",$A782&gt;TODAY()),0,IF(OR(INDEX($B782:$D782,AW$5)="F",AND(AW$6&gt;0,$A782&lt;AW$6),AND(AW$7&gt;0,$A782&gt;AW$7)),0,MAX(0,ROUND((INDEX($E782:$G782,AW$5)-SUMIFS(TF_Timer,TF_Tekniker,AW$4,TF_Dato,$A782))*2,0)/2)))</f>
        <v/>
      </c>
      <c r="AX782">
        <f>IF(OR(AX$4="",$A782&gt;TODAY()),0,IF(OR(INDEX($B782:$D782,AX$5)="F",AND(AX$6&gt;0,$A782&lt;AX$6),AND(AX$7&gt;0,$A782&gt;AX$7)),0,MAX(0,ROUND((INDEX($E782:$G782,AX$5)-SUMIFS(TF_Timer,TF_Tekniker,AX$4,TF_Dato,$A782))*2,0)/2)))</f>
        <v/>
      </c>
      <c r="AY782">
        <f>IF(OR(AY$4="",$A782&gt;TODAY()),0,IF(OR(INDEX($B782:$D782,AY$5)="F",AND(AY$6&gt;0,$A782&lt;AY$6),AND(AY$7&gt;0,$A782&gt;AY$7)),0,MAX(0,ROUND((INDEX($E782:$G782,AY$5)-SUMIFS(TF_Timer,TF_Tekniker,AY$4,TF_Dato,$A782))*2,0)/2)))</f>
        <v/>
      </c>
      <c r="AZ782">
        <f>IF(OR(AZ$4="",$A782&gt;TODAY()),0,IF(OR(INDEX($B782:$D782,AZ$5)="F",AND(AZ$6&gt;0,$A782&lt;AZ$6),AND(AZ$7&gt;0,$A782&gt;AZ$7)),0,MAX(0,ROUND((INDEX($E782:$G782,AZ$5)-SUMIFS(TF_Timer,TF_Tekniker,AZ$4,TF_Dato,$A782))*2,0)/2)))</f>
        <v/>
      </c>
      <c r="BA782">
        <f>IF(OR(BA$4="",$A782&gt;TODAY()),0,IF(OR(INDEX($B782:$D782,BA$5)="F",AND(BA$6&gt;0,$A782&lt;BA$6),AND(BA$7&gt;0,$A782&gt;BA$7)),0,MAX(0,ROUND((INDEX($E782:$G782,BA$5)-SUMIFS(TF_Timer,TF_Tekniker,BA$4,TF_Dato,$A782))*2,0)/2)))</f>
        <v/>
      </c>
      <c r="BB782">
        <f>IF(OR(BB$4="",$A782&gt;TODAY()),0,IF(OR(INDEX($B782:$D782,BB$5)="F",AND(BB$6&gt;0,$A782&lt;BB$6),AND(BB$7&gt;0,$A782&gt;BB$7)),0,MAX(0,ROUND((INDEX($E782:$G782,BB$5)-SUMIFS(TF_Timer,TF_Tekniker,BB$4,TF_Dato,$A782))*2,0)/2)))</f>
        <v/>
      </c>
      <c r="BC782">
        <f>IF(OR(BC$4="",$A782&gt;TODAY()),0,IF(OR(INDEX($B782:$D782,BC$5)="F",AND(BC$6&gt;0,$A782&lt;BC$6),AND(BC$7&gt;0,$A782&gt;BC$7)),0,MAX(0,ROUND((INDEX($E782:$G782,BC$5)-SUMIFS(TF_Timer,TF_Tekniker,BC$4,TF_Dato,$A782))*2,0)/2)))</f>
        <v/>
      </c>
      <c r="BD782">
        <f>IF(OR(BD$4="",$A782&gt;TODAY()),0,IF(OR(INDEX($B782:$D782,BD$5)="F",AND(BD$6&gt;0,$A782&lt;BD$6),AND(BD$7&gt;0,$A782&gt;BD$7)),0,MAX(0,ROUND((INDEX($E782:$G782,BD$5)-SUMIFS(TF_Timer,TF_Tekniker,BD$4,TF_Dato,$A782))*2,0)/2)))</f>
        <v/>
      </c>
      <c r="BE782">
        <f>IF(OR(BE$4="",$A782&gt;TODAY()),0,IF(OR(INDEX($B782:$D782,BE$5)="F",AND(BE$6&gt;0,$A782&lt;BE$6),AND(BE$7&gt;0,$A782&gt;BE$7)),0,MAX(0,ROUND((INDEX($E782:$G782,BE$5)-SUMIFS(TF_Timer,TF_Tekniker,BE$4,TF_Dato,$A782))*2,0)/2)))</f>
        <v/>
      </c>
      <c r="BF782">
        <f>IF(OR(BF$4="",$A782&gt;TODAY()),0,IF(OR(INDEX($B782:$D782,BF$5)="F",AND(BF$6&gt;0,$A782&lt;BF$6),AND(BF$7&gt;0,$A782&gt;BF$7)),0,MAX(0,ROUND((INDEX($E782:$G782,BF$5)-SUMIFS(TF_Timer,TF_Tekniker,BF$4,TF_Dato,$A782))*2,0)/2)))</f>
        <v/>
      </c>
      <c r="BG782">
        <f>IF(OR(BG$4="",$A782&gt;TODAY()),0,IF(OR(INDEX($B782:$D782,BG$5)="F",AND(BG$6&gt;0,$A782&lt;BG$6),AND(BG$7&gt;0,$A782&gt;BG$7)),0,MAX(0,ROUND((INDEX($E782:$G782,BG$5)-SUMIFS(TF_Timer,TF_Tekniker,BG$4,TF_Dato,$A782))*2,0)/2)))</f>
        <v/>
      </c>
      <c r="BH782">
        <f>IF(OR(BH$4="",$A782&gt;TODAY()),0,IF(OR(INDEX($B782:$D782,BH$5)="F",AND(BH$6&gt;0,$A782&lt;BH$6),AND(BH$7&gt;0,$A782&gt;BH$7)),0,MAX(0,ROUND((INDEX($E782:$G782,BH$5)-SUMIFS(TF_Timer,TF_Tekniker,BH$4,TF_Dato,$A782))*2,0)/2)))</f>
        <v/>
      </c>
      <c r="BI782">
        <f>IF(OR(BI$4="",$A782&gt;TODAY()),0,IF(OR(INDEX($B782:$D782,BI$5)="F",AND(BI$6&gt;0,$A782&lt;BI$6),AND(BI$7&gt;0,$A782&gt;BI$7)),0,MAX(0,ROUND((INDEX($E782:$G782,BI$5)-SUMIFS(TF_Timer,TF_Tekniker,BI$4,TF_Dato,$A782))*2,0)/2)))</f>
        <v/>
      </c>
    </row>
    <row r="783">
      <c r="A783" s="64">
        <f>A782+1</f>
        <v/>
      </c>
      <c r="B783">
        <f>IF(MOD($A783-INDEX(SkiftStart,1),Syklus)&lt;DagK,"K",IF(MOD($A783-INDEX(SkiftStart,1),Syklus)&lt;DagK+DagH,"H",IF(MOD($A783-INDEX(SkiftStart,1),Syklus)&lt;DagK+DagH+DagD,"D","F")))</f>
        <v/>
      </c>
      <c r="C783">
        <f>IF(MOD($A783-INDEX(SkiftStart,2),Syklus)&lt;DagK,"K",IF(MOD($A783-INDEX(SkiftStart,2),Syklus)&lt;DagK+DagH,"H",IF(MOD($A783-INDEX(SkiftStart,2),Syklus)&lt;DagK+DagH+DagD,"D","F")))</f>
        <v/>
      </c>
      <c r="D783">
        <f>IF(MOD($A783-INDEX(SkiftStart,3),Syklus)&lt;DagK,"K",IF(MOD($A783-INDEX(SkiftStart,3),Syklus)&lt;DagK+DagH,"H",IF(MOD($A783-INDEX(SkiftStart,3),Syklus)&lt;DagK+DagH+DagD,"D","F")))</f>
        <v/>
      </c>
      <c r="E783">
        <f>IF(B783="F",0,IF(WEEKDAY($A783,2)=5,INDEX(TimerFr,MATCH(B783,FaseKode,0)),INDEX(TimerMT,MATCH(B783,FaseKode,0))))</f>
        <v/>
      </c>
      <c r="F783">
        <f>IF(C783="F",0,IF(WEEKDAY($A783,2)=5,INDEX(TimerFr,MATCH(C783,FaseKode,0)),INDEX(TimerMT,MATCH(C783,FaseKode,0))))</f>
        <v/>
      </c>
      <c r="G783">
        <f>IF(D783="F",0,IF(WEEKDAY($A783,2)=5,INDEX(TimerFr,MATCH(D783,FaseKode,0)),INDEX(TimerMT,MATCH(D783,FaseKode,0))))</f>
        <v/>
      </c>
      <c r="H783">
        <f>IF(OR(H$4="",$A783&gt;TODAY()),0,IF(OR(INDEX($B783:$D783,H$5)="F",AND(H$6&gt;0,$A783&lt;H$6),AND(H$7&gt;0,$A783&gt;H$7)),0,MAX(0,ROUND((INDEX($E783:$G783,H$5)-SUMIFS(TF_Timer,TF_Tekniker,H$4,TF_Dato,$A783))*2,0)/2)))</f>
        <v/>
      </c>
      <c r="I783">
        <f>IF(OR(I$4="",$A783&gt;TODAY()),0,IF(OR(INDEX($B783:$D783,I$5)="F",AND(I$6&gt;0,$A783&lt;I$6),AND(I$7&gt;0,$A783&gt;I$7)),0,MAX(0,ROUND((INDEX($E783:$G783,I$5)-SUMIFS(TF_Timer,TF_Tekniker,I$4,TF_Dato,$A783))*2,0)/2)))</f>
        <v/>
      </c>
      <c r="J783">
        <f>IF(OR(J$4="",$A783&gt;TODAY()),0,IF(OR(INDEX($B783:$D783,J$5)="F",AND(J$6&gt;0,$A783&lt;J$6),AND(J$7&gt;0,$A783&gt;J$7)),0,MAX(0,ROUND((INDEX($E783:$G783,J$5)-SUMIFS(TF_Timer,TF_Tekniker,J$4,TF_Dato,$A783))*2,0)/2)))</f>
        <v/>
      </c>
      <c r="K783">
        <f>IF(OR(K$4="",$A783&gt;TODAY()),0,IF(OR(INDEX($B783:$D783,K$5)="F",AND(K$6&gt;0,$A783&lt;K$6),AND(K$7&gt;0,$A783&gt;K$7)),0,MAX(0,ROUND((INDEX($E783:$G783,K$5)-SUMIFS(TF_Timer,TF_Tekniker,K$4,TF_Dato,$A783))*2,0)/2)))</f>
        <v/>
      </c>
      <c r="L783">
        <f>IF(OR(L$4="",$A783&gt;TODAY()),0,IF(OR(INDEX($B783:$D783,L$5)="F",AND(L$6&gt;0,$A783&lt;L$6),AND(L$7&gt;0,$A783&gt;L$7)),0,MAX(0,ROUND((INDEX($E783:$G783,L$5)-SUMIFS(TF_Timer,TF_Tekniker,L$4,TF_Dato,$A783))*2,0)/2)))</f>
        <v/>
      </c>
      <c r="M783">
        <f>IF(OR(M$4="",$A783&gt;TODAY()),0,IF(OR(INDEX($B783:$D783,M$5)="F",AND(M$6&gt;0,$A783&lt;M$6),AND(M$7&gt;0,$A783&gt;M$7)),0,MAX(0,ROUND((INDEX($E783:$G783,M$5)-SUMIFS(TF_Timer,TF_Tekniker,M$4,TF_Dato,$A783))*2,0)/2)))</f>
        <v/>
      </c>
      <c r="N783">
        <f>IF(OR(N$4="",$A783&gt;TODAY()),0,IF(OR(INDEX($B783:$D783,N$5)="F",AND(N$6&gt;0,$A783&lt;N$6),AND(N$7&gt;0,$A783&gt;N$7)),0,MAX(0,ROUND((INDEX($E783:$G783,N$5)-SUMIFS(TF_Timer,TF_Tekniker,N$4,TF_Dato,$A783))*2,0)/2)))</f>
        <v/>
      </c>
      <c r="O783">
        <f>IF(OR(O$4="",$A783&gt;TODAY()),0,IF(OR(INDEX($B783:$D783,O$5)="F",AND(O$6&gt;0,$A783&lt;O$6),AND(O$7&gt;0,$A783&gt;O$7)),0,MAX(0,ROUND((INDEX($E783:$G783,O$5)-SUMIFS(TF_Timer,TF_Tekniker,O$4,TF_Dato,$A783))*2,0)/2)))</f>
        <v/>
      </c>
      <c r="P783">
        <f>IF(OR(P$4="",$A783&gt;TODAY()),0,IF(OR(INDEX($B783:$D783,P$5)="F",AND(P$6&gt;0,$A783&lt;P$6),AND(P$7&gt;0,$A783&gt;P$7)),0,MAX(0,ROUND((INDEX($E783:$G783,P$5)-SUMIFS(TF_Timer,TF_Tekniker,P$4,TF_Dato,$A783))*2,0)/2)))</f>
        <v/>
      </c>
      <c r="Q783">
        <f>IF(OR(Q$4="",$A783&gt;TODAY()),0,IF(OR(INDEX($B783:$D783,Q$5)="F",AND(Q$6&gt;0,$A783&lt;Q$6),AND(Q$7&gt;0,$A783&gt;Q$7)),0,MAX(0,ROUND((INDEX($E783:$G783,Q$5)-SUMIFS(TF_Timer,TF_Tekniker,Q$4,TF_Dato,$A783))*2,0)/2)))</f>
        <v/>
      </c>
      <c r="R783">
        <f>IF(OR(R$4="",$A783&gt;TODAY()),0,IF(OR(INDEX($B783:$D783,R$5)="F",AND(R$6&gt;0,$A783&lt;R$6),AND(R$7&gt;0,$A783&gt;R$7)),0,MAX(0,ROUND((INDEX($E783:$G783,R$5)-SUMIFS(TF_Timer,TF_Tekniker,R$4,TF_Dato,$A783))*2,0)/2)))</f>
        <v/>
      </c>
      <c r="S783">
        <f>IF(OR(S$4="",$A783&gt;TODAY()),0,IF(OR(INDEX($B783:$D783,S$5)="F",AND(S$6&gt;0,$A783&lt;S$6),AND(S$7&gt;0,$A783&gt;S$7)),0,MAX(0,ROUND((INDEX($E783:$G783,S$5)-SUMIFS(TF_Timer,TF_Tekniker,S$4,TF_Dato,$A783))*2,0)/2)))</f>
        <v/>
      </c>
      <c r="T783">
        <f>IF(OR(T$4="",$A783&gt;TODAY()),0,IF(OR(INDEX($B783:$D783,T$5)="F",AND(T$6&gt;0,$A783&lt;T$6),AND(T$7&gt;0,$A783&gt;T$7)),0,MAX(0,ROUND((INDEX($E783:$G783,T$5)-SUMIFS(TF_Timer,TF_Tekniker,T$4,TF_Dato,$A783))*2,0)/2)))</f>
        <v/>
      </c>
      <c r="U783">
        <f>IF(OR(U$4="",$A783&gt;TODAY()),0,IF(OR(INDEX($B783:$D783,U$5)="F",AND(U$6&gt;0,$A783&lt;U$6),AND(U$7&gt;0,$A783&gt;U$7)),0,MAX(0,ROUND((INDEX($E783:$G783,U$5)-SUMIFS(TF_Timer,TF_Tekniker,U$4,TF_Dato,$A783))*2,0)/2)))</f>
        <v/>
      </c>
      <c r="V783">
        <f>IF(OR(V$4="",$A783&gt;TODAY()),0,IF(OR(INDEX($B783:$D783,V$5)="F",AND(V$6&gt;0,$A783&lt;V$6),AND(V$7&gt;0,$A783&gt;V$7)),0,MAX(0,ROUND((INDEX($E783:$G783,V$5)-SUMIFS(TF_Timer,TF_Tekniker,V$4,TF_Dato,$A783))*2,0)/2)))</f>
        <v/>
      </c>
      <c r="W783">
        <f>IF(OR(W$4="",$A783&gt;TODAY()),0,IF(OR(INDEX($B783:$D783,W$5)="F",AND(W$6&gt;0,$A783&lt;W$6),AND(W$7&gt;0,$A783&gt;W$7)),0,MAX(0,ROUND((INDEX($E783:$G783,W$5)-SUMIFS(TF_Timer,TF_Tekniker,W$4,TF_Dato,$A783))*2,0)/2)))</f>
        <v/>
      </c>
      <c r="X783">
        <f>IF(OR(X$4="",$A783&gt;TODAY()),0,IF(OR(INDEX($B783:$D783,X$5)="F",AND(X$6&gt;0,$A783&lt;X$6),AND(X$7&gt;0,$A783&gt;X$7)),0,MAX(0,ROUND((INDEX($E783:$G783,X$5)-SUMIFS(TF_Timer,TF_Tekniker,X$4,TF_Dato,$A783))*2,0)/2)))</f>
        <v/>
      </c>
      <c r="Y783">
        <f>IF(OR(Y$4="",$A783&gt;TODAY()),0,IF(OR(INDEX($B783:$D783,Y$5)="F",AND(Y$6&gt;0,$A783&lt;Y$6),AND(Y$7&gt;0,$A783&gt;Y$7)),0,MAX(0,ROUND((INDEX($E783:$G783,Y$5)-SUMIFS(TF_Timer,TF_Tekniker,Y$4,TF_Dato,$A783))*2,0)/2)))</f>
        <v/>
      </c>
      <c r="Z783">
        <f>IF(OR(Z$4="",$A783&gt;TODAY()),0,IF(OR(INDEX($B783:$D783,Z$5)="F",AND(Z$6&gt;0,$A783&lt;Z$6),AND(Z$7&gt;0,$A783&gt;Z$7)),0,MAX(0,ROUND((INDEX($E783:$G783,Z$5)-SUMIFS(TF_Timer,TF_Tekniker,Z$4,TF_Dato,$A783))*2,0)/2)))</f>
        <v/>
      </c>
      <c r="AA783">
        <f>IF(OR(AA$4="",$A783&gt;TODAY()),0,IF(OR(INDEX($B783:$D783,AA$5)="F",AND(AA$6&gt;0,$A783&lt;AA$6),AND(AA$7&gt;0,$A783&gt;AA$7)),0,MAX(0,ROUND((INDEX($E783:$G783,AA$5)-SUMIFS(TF_Timer,TF_Tekniker,AA$4,TF_Dato,$A783))*2,0)/2)))</f>
        <v/>
      </c>
      <c r="AB783">
        <f>IF(OR(AB$4="",$A783&gt;TODAY()),0,IF(OR(INDEX($B783:$D783,AB$5)="F",AND(AB$6&gt;0,$A783&lt;AB$6),AND(AB$7&gt;0,$A783&gt;AB$7)),0,MAX(0,ROUND((INDEX($E783:$G783,AB$5)-SUMIFS(TF_Timer,TF_Tekniker,AB$4,TF_Dato,$A783))*2,0)/2)))</f>
        <v/>
      </c>
      <c r="AC783">
        <f>IF(OR(AC$4="",$A783&gt;TODAY()),0,IF(OR(INDEX($B783:$D783,AC$5)="F",AND(AC$6&gt;0,$A783&lt;AC$6),AND(AC$7&gt;0,$A783&gt;AC$7)),0,MAX(0,ROUND((INDEX($E783:$G783,AC$5)-SUMIFS(TF_Timer,TF_Tekniker,AC$4,TF_Dato,$A783))*2,0)/2)))</f>
        <v/>
      </c>
      <c r="AD783">
        <f>IF(OR(AD$4="",$A783&gt;TODAY()),0,IF(OR(INDEX($B783:$D783,AD$5)="F",AND(AD$6&gt;0,$A783&lt;AD$6),AND(AD$7&gt;0,$A783&gt;AD$7)),0,MAX(0,ROUND((INDEX($E783:$G783,AD$5)-SUMIFS(TF_Timer,TF_Tekniker,AD$4,TF_Dato,$A783))*2,0)/2)))</f>
        <v/>
      </c>
      <c r="AE783">
        <f>IF(OR(AE$4="",$A783&gt;TODAY()),0,IF(OR(INDEX($B783:$D783,AE$5)="F",AND(AE$6&gt;0,$A783&lt;AE$6),AND(AE$7&gt;0,$A783&gt;AE$7)),0,MAX(0,ROUND((INDEX($E783:$G783,AE$5)-SUMIFS(TF_Timer,TF_Tekniker,AE$4,TF_Dato,$A783))*2,0)/2)))</f>
        <v/>
      </c>
      <c r="AF783">
        <f>IF(OR(AF$4="",$A783&gt;TODAY()),0,IF(OR(INDEX($B783:$D783,AF$5)="F",AND(AF$6&gt;0,$A783&lt;AF$6),AND(AF$7&gt;0,$A783&gt;AF$7)),0,MAX(0,ROUND((INDEX($E783:$G783,AF$5)-SUMIFS(TF_Timer,TF_Tekniker,AF$4,TF_Dato,$A783))*2,0)/2)))</f>
        <v/>
      </c>
      <c r="AG783">
        <f>IF(OR(AG$4="",$A783&gt;TODAY()),0,IF(OR(INDEX($B783:$D783,AG$5)="F",AND(AG$6&gt;0,$A783&lt;AG$6),AND(AG$7&gt;0,$A783&gt;AG$7)),0,MAX(0,ROUND((INDEX($E783:$G783,AG$5)-SUMIFS(TF_Timer,TF_Tekniker,AG$4,TF_Dato,$A783))*2,0)/2)))</f>
        <v/>
      </c>
      <c r="AH783">
        <f>IF(OR(AH$4="",$A783&gt;TODAY()),0,IF(OR(INDEX($B783:$D783,AH$5)="F",AND(AH$6&gt;0,$A783&lt;AH$6),AND(AH$7&gt;0,$A783&gt;AH$7)),0,MAX(0,ROUND((INDEX($E783:$G783,AH$5)-SUMIFS(TF_Timer,TF_Tekniker,AH$4,TF_Dato,$A783))*2,0)/2)))</f>
        <v/>
      </c>
      <c r="AI783">
        <f>IF(OR(AI$4="",$A783&gt;TODAY()),0,IF(OR(INDEX($B783:$D783,AI$5)="F",AND(AI$6&gt;0,$A783&lt;AI$6),AND(AI$7&gt;0,$A783&gt;AI$7)),0,MAX(0,ROUND((INDEX($E783:$G783,AI$5)-SUMIFS(TF_Timer,TF_Tekniker,AI$4,TF_Dato,$A783))*2,0)/2)))</f>
        <v/>
      </c>
      <c r="AJ783">
        <f>IF(OR(AJ$4="",$A783&gt;TODAY()),0,IF(OR(INDEX($B783:$D783,AJ$5)="F",AND(AJ$6&gt;0,$A783&lt;AJ$6),AND(AJ$7&gt;0,$A783&gt;AJ$7)),0,MAX(0,ROUND((INDEX($E783:$G783,AJ$5)-SUMIFS(TF_Timer,TF_Tekniker,AJ$4,TF_Dato,$A783))*2,0)/2)))</f>
        <v/>
      </c>
      <c r="AK783">
        <f>IF(OR(AK$4="",$A783&gt;TODAY()),0,IF(OR(INDEX($B783:$D783,AK$5)="F",AND(AK$6&gt;0,$A783&lt;AK$6),AND(AK$7&gt;0,$A783&gt;AK$7)),0,MAX(0,ROUND((INDEX($E783:$G783,AK$5)-SUMIFS(TF_Timer,TF_Tekniker,AK$4,TF_Dato,$A783))*2,0)/2)))</f>
        <v/>
      </c>
      <c r="AL783">
        <f>IF(OR(AL$4="",$A783&gt;TODAY()),0,IF(OR(INDEX($B783:$D783,AL$5)="F",AND(AL$6&gt;0,$A783&lt;AL$6),AND(AL$7&gt;0,$A783&gt;AL$7)),0,MAX(0,ROUND((INDEX($E783:$G783,AL$5)-SUMIFS(TF_Timer,TF_Tekniker,AL$4,TF_Dato,$A783))*2,0)/2)))</f>
        <v/>
      </c>
      <c r="AM783">
        <f>IF(OR(AM$4="",$A783&gt;TODAY()),0,IF(OR(INDEX($B783:$D783,AM$5)="F",AND(AM$6&gt;0,$A783&lt;AM$6),AND(AM$7&gt;0,$A783&gt;AM$7)),0,MAX(0,ROUND((INDEX($E783:$G783,AM$5)-SUMIFS(TF_Timer,TF_Tekniker,AM$4,TF_Dato,$A783))*2,0)/2)))</f>
        <v/>
      </c>
      <c r="AN783">
        <f>IF(OR(AN$4="",$A783&gt;TODAY()),0,IF(OR(INDEX($B783:$D783,AN$5)="F",AND(AN$6&gt;0,$A783&lt;AN$6),AND(AN$7&gt;0,$A783&gt;AN$7)),0,MAX(0,ROUND((INDEX($E783:$G783,AN$5)-SUMIFS(TF_Timer,TF_Tekniker,AN$4,TF_Dato,$A783))*2,0)/2)))</f>
        <v/>
      </c>
      <c r="AO783">
        <f>IF(OR(AO$4="",$A783&gt;TODAY()),0,IF(OR(INDEX($B783:$D783,AO$5)="F",AND(AO$6&gt;0,$A783&lt;AO$6),AND(AO$7&gt;0,$A783&gt;AO$7)),0,MAX(0,ROUND((INDEX($E783:$G783,AO$5)-SUMIFS(TF_Timer,TF_Tekniker,AO$4,TF_Dato,$A783))*2,0)/2)))</f>
        <v/>
      </c>
      <c r="AP783">
        <f>IF(OR(AP$4="",$A783&gt;TODAY()),0,IF(OR(INDEX($B783:$D783,AP$5)="F",AND(AP$6&gt;0,$A783&lt;AP$6),AND(AP$7&gt;0,$A783&gt;AP$7)),0,MAX(0,ROUND((INDEX($E783:$G783,AP$5)-SUMIFS(TF_Timer,TF_Tekniker,AP$4,TF_Dato,$A783))*2,0)/2)))</f>
        <v/>
      </c>
      <c r="AQ783">
        <f>IF(OR(AQ$4="",$A783&gt;TODAY()),0,IF(OR(INDEX($B783:$D783,AQ$5)="F",AND(AQ$6&gt;0,$A783&lt;AQ$6),AND(AQ$7&gt;0,$A783&gt;AQ$7)),0,MAX(0,ROUND((INDEX($E783:$G783,AQ$5)-SUMIFS(TF_Timer,TF_Tekniker,AQ$4,TF_Dato,$A783))*2,0)/2)))</f>
        <v/>
      </c>
      <c r="AR783">
        <f>IF(OR(AR$4="",$A783&gt;TODAY()),0,IF(OR(INDEX($B783:$D783,AR$5)="F",AND(AR$6&gt;0,$A783&lt;AR$6),AND(AR$7&gt;0,$A783&gt;AR$7)),0,MAX(0,ROUND((INDEX($E783:$G783,AR$5)-SUMIFS(TF_Timer,TF_Tekniker,AR$4,TF_Dato,$A783))*2,0)/2)))</f>
        <v/>
      </c>
      <c r="AS783">
        <f>IF(OR(AS$4="",$A783&gt;TODAY()),0,IF(OR(INDEX($B783:$D783,AS$5)="F",AND(AS$6&gt;0,$A783&lt;AS$6),AND(AS$7&gt;0,$A783&gt;AS$7)),0,MAX(0,ROUND((INDEX($E783:$G783,AS$5)-SUMIFS(TF_Timer,TF_Tekniker,AS$4,TF_Dato,$A783))*2,0)/2)))</f>
        <v/>
      </c>
      <c r="AT783">
        <f>IF(OR(AT$4="",$A783&gt;TODAY()),0,IF(OR(INDEX($B783:$D783,AT$5)="F",AND(AT$6&gt;0,$A783&lt;AT$6),AND(AT$7&gt;0,$A783&gt;AT$7)),0,MAX(0,ROUND((INDEX($E783:$G783,AT$5)-SUMIFS(TF_Timer,TF_Tekniker,AT$4,TF_Dato,$A783))*2,0)/2)))</f>
        <v/>
      </c>
      <c r="AU783">
        <f>IF(OR(AU$4="",$A783&gt;TODAY()),0,IF(OR(INDEX($B783:$D783,AU$5)="F",AND(AU$6&gt;0,$A783&lt;AU$6),AND(AU$7&gt;0,$A783&gt;AU$7)),0,MAX(0,ROUND((INDEX($E783:$G783,AU$5)-SUMIFS(TF_Timer,TF_Tekniker,AU$4,TF_Dato,$A783))*2,0)/2)))</f>
        <v/>
      </c>
      <c r="AV783">
        <f>IF(OR(AV$4="",$A783&gt;TODAY()),0,IF(OR(INDEX($B783:$D783,AV$5)="F",AND(AV$6&gt;0,$A783&lt;AV$6),AND(AV$7&gt;0,$A783&gt;AV$7)),0,MAX(0,ROUND((INDEX($E783:$G783,AV$5)-SUMIFS(TF_Timer,TF_Tekniker,AV$4,TF_Dato,$A783))*2,0)/2)))</f>
        <v/>
      </c>
      <c r="AW783">
        <f>IF(OR(AW$4="",$A783&gt;TODAY()),0,IF(OR(INDEX($B783:$D783,AW$5)="F",AND(AW$6&gt;0,$A783&lt;AW$6),AND(AW$7&gt;0,$A783&gt;AW$7)),0,MAX(0,ROUND((INDEX($E783:$G783,AW$5)-SUMIFS(TF_Timer,TF_Tekniker,AW$4,TF_Dato,$A783))*2,0)/2)))</f>
        <v/>
      </c>
      <c r="AX783">
        <f>IF(OR(AX$4="",$A783&gt;TODAY()),0,IF(OR(INDEX($B783:$D783,AX$5)="F",AND(AX$6&gt;0,$A783&lt;AX$6),AND(AX$7&gt;0,$A783&gt;AX$7)),0,MAX(0,ROUND((INDEX($E783:$G783,AX$5)-SUMIFS(TF_Timer,TF_Tekniker,AX$4,TF_Dato,$A783))*2,0)/2)))</f>
        <v/>
      </c>
      <c r="AY783">
        <f>IF(OR(AY$4="",$A783&gt;TODAY()),0,IF(OR(INDEX($B783:$D783,AY$5)="F",AND(AY$6&gt;0,$A783&lt;AY$6),AND(AY$7&gt;0,$A783&gt;AY$7)),0,MAX(0,ROUND((INDEX($E783:$G783,AY$5)-SUMIFS(TF_Timer,TF_Tekniker,AY$4,TF_Dato,$A783))*2,0)/2)))</f>
        <v/>
      </c>
      <c r="AZ783">
        <f>IF(OR(AZ$4="",$A783&gt;TODAY()),0,IF(OR(INDEX($B783:$D783,AZ$5)="F",AND(AZ$6&gt;0,$A783&lt;AZ$6),AND(AZ$7&gt;0,$A783&gt;AZ$7)),0,MAX(0,ROUND((INDEX($E783:$G783,AZ$5)-SUMIFS(TF_Timer,TF_Tekniker,AZ$4,TF_Dato,$A783))*2,0)/2)))</f>
        <v/>
      </c>
      <c r="BA783">
        <f>IF(OR(BA$4="",$A783&gt;TODAY()),0,IF(OR(INDEX($B783:$D783,BA$5)="F",AND(BA$6&gt;0,$A783&lt;BA$6),AND(BA$7&gt;0,$A783&gt;BA$7)),0,MAX(0,ROUND((INDEX($E783:$G783,BA$5)-SUMIFS(TF_Timer,TF_Tekniker,BA$4,TF_Dato,$A783))*2,0)/2)))</f>
        <v/>
      </c>
      <c r="BB783">
        <f>IF(OR(BB$4="",$A783&gt;TODAY()),0,IF(OR(INDEX($B783:$D783,BB$5)="F",AND(BB$6&gt;0,$A783&lt;BB$6),AND(BB$7&gt;0,$A783&gt;BB$7)),0,MAX(0,ROUND((INDEX($E783:$G783,BB$5)-SUMIFS(TF_Timer,TF_Tekniker,BB$4,TF_Dato,$A783))*2,0)/2)))</f>
        <v/>
      </c>
      <c r="BC783">
        <f>IF(OR(BC$4="",$A783&gt;TODAY()),0,IF(OR(INDEX($B783:$D783,BC$5)="F",AND(BC$6&gt;0,$A783&lt;BC$6),AND(BC$7&gt;0,$A783&gt;BC$7)),0,MAX(0,ROUND((INDEX($E783:$G783,BC$5)-SUMIFS(TF_Timer,TF_Tekniker,BC$4,TF_Dato,$A783))*2,0)/2)))</f>
        <v/>
      </c>
      <c r="BD783">
        <f>IF(OR(BD$4="",$A783&gt;TODAY()),0,IF(OR(INDEX($B783:$D783,BD$5)="F",AND(BD$6&gt;0,$A783&lt;BD$6),AND(BD$7&gt;0,$A783&gt;BD$7)),0,MAX(0,ROUND((INDEX($E783:$G783,BD$5)-SUMIFS(TF_Timer,TF_Tekniker,BD$4,TF_Dato,$A783))*2,0)/2)))</f>
        <v/>
      </c>
      <c r="BE783">
        <f>IF(OR(BE$4="",$A783&gt;TODAY()),0,IF(OR(INDEX($B783:$D783,BE$5)="F",AND(BE$6&gt;0,$A783&lt;BE$6),AND(BE$7&gt;0,$A783&gt;BE$7)),0,MAX(0,ROUND((INDEX($E783:$G783,BE$5)-SUMIFS(TF_Timer,TF_Tekniker,BE$4,TF_Dato,$A783))*2,0)/2)))</f>
        <v/>
      </c>
      <c r="BF783">
        <f>IF(OR(BF$4="",$A783&gt;TODAY()),0,IF(OR(INDEX($B783:$D783,BF$5)="F",AND(BF$6&gt;0,$A783&lt;BF$6),AND(BF$7&gt;0,$A783&gt;BF$7)),0,MAX(0,ROUND((INDEX($E783:$G783,BF$5)-SUMIFS(TF_Timer,TF_Tekniker,BF$4,TF_Dato,$A783))*2,0)/2)))</f>
        <v/>
      </c>
      <c r="BG783">
        <f>IF(OR(BG$4="",$A783&gt;TODAY()),0,IF(OR(INDEX($B783:$D783,BG$5)="F",AND(BG$6&gt;0,$A783&lt;BG$6),AND(BG$7&gt;0,$A783&gt;BG$7)),0,MAX(0,ROUND((INDEX($E783:$G783,BG$5)-SUMIFS(TF_Timer,TF_Tekniker,BG$4,TF_Dato,$A783))*2,0)/2)))</f>
        <v/>
      </c>
      <c r="BH783">
        <f>IF(OR(BH$4="",$A783&gt;TODAY()),0,IF(OR(INDEX($B783:$D783,BH$5)="F",AND(BH$6&gt;0,$A783&lt;BH$6),AND(BH$7&gt;0,$A783&gt;BH$7)),0,MAX(0,ROUND((INDEX($E783:$G783,BH$5)-SUMIFS(TF_Timer,TF_Tekniker,BH$4,TF_Dato,$A783))*2,0)/2)))</f>
        <v/>
      </c>
      <c r="BI783">
        <f>IF(OR(BI$4="",$A783&gt;TODAY()),0,IF(OR(INDEX($B783:$D783,BI$5)="F",AND(BI$6&gt;0,$A783&lt;BI$6),AND(BI$7&gt;0,$A783&gt;BI$7)),0,MAX(0,ROUND((INDEX($E783:$G783,BI$5)-SUMIFS(TF_Timer,TF_Tekniker,BI$4,TF_Dato,$A783))*2,0)/2)))</f>
        <v/>
      </c>
    </row>
    <row r="784">
      <c r="A784" s="64">
        <f>A783+1</f>
        <v/>
      </c>
      <c r="B784">
        <f>IF(MOD($A784-INDEX(SkiftStart,1),Syklus)&lt;DagK,"K",IF(MOD($A784-INDEX(SkiftStart,1),Syklus)&lt;DagK+DagH,"H",IF(MOD($A784-INDEX(SkiftStart,1),Syklus)&lt;DagK+DagH+DagD,"D","F")))</f>
        <v/>
      </c>
      <c r="C784">
        <f>IF(MOD($A784-INDEX(SkiftStart,2),Syklus)&lt;DagK,"K",IF(MOD($A784-INDEX(SkiftStart,2),Syklus)&lt;DagK+DagH,"H",IF(MOD($A784-INDEX(SkiftStart,2),Syklus)&lt;DagK+DagH+DagD,"D","F")))</f>
        <v/>
      </c>
      <c r="D784">
        <f>IF(MOD($A784-INDEX(SkiftStart,3),Syklus)&lt;DagK,"K",IF(MOD($A784-INDEX(SkiftStart,3),Syklus)&lt;DagK+DagH,"H",IF(MOD($A784-INDEX(SkiftStart,3),Syklus)&lt;DagK+DagH+DagD,"D","F")))</f>
        <v/>
      </c>
      <c r="E784">
        <f>IF(B784="F",0,IF(WEEKDAY($A784,2)=5,INDEX(TimerFr,MATCH(B784,FaseKode,0)),INDEX(TimerMT,MATCH(B784,FaseKode,0))))</f>
        <v/>
      </c>
      <c r="F784">
        <f>IF(C784="F",0,IF(WEEKDAY($A784,2)=5,INDEX(TimerFr,MATCH(C784,FaseKode,0)),INDEX(TimerMT,MATCH(C784,FaseKode,0))))</f>
        <v/>
      </c>
      <c r="G784">
        <f>IF(D784="F",0,IF(WEEKDAY($A784,2)=5,INDEX(TimerFr,MATCH(D784,FaseKode,0)),INDEX(TimerMT,MATCH(D784,FaseKode,0))))</f>
        <v/>
      </c>
      <c r="H784">
        <f>IF(OR(H$4="",$A784&gt;TODAY()),0,IF(OR(INDEX($B784:$D784,H$5)="F",AND(H$6&gt;0,$A784&lt;H$6),AND(H$7&gt;0,$A784&gt;H$7)),0,MAX(0,ROUND((INDEX($E784:$G784,H$5)-SUMIFS(TF_Timer,TF_Tekniker,H$4,TF_Dato,$A784))*2,0)/2)))</f>
        <v/>
      </c>
      <c r="I784">
        <f>IF(OR(I$4="",$A784&gt;TODAY()),0,IF(OR(INDEX($B784:$D784,I$5)="F",AND(I$6&gt;0,$A784&lt;I$6),AND(I$7&gt;0,$A784&gt;I$7)),0,MAX(0,ROUND((INDEX($E784:$G784,I$5)-SUMIFS(TF_Timer,TF_Tekniker,I$4,TF_Dato,$A784))*2,0)/2)))</f>
        <v/>
      </c>
      <c r="J784">
        <f>IF(OR(J$4="",$A784&gt;TODAY()),0,IF(OR(INDEX($B784:$D784,J$5)="F",AND(J$6&gt;0,$A784&lt;J$6),AND(J$7&gt;0,$A784&gt;J$7)),0,MAX(0,ROUND((INDEX($E784:$G784,J$5)-SUMIFS(TF_Timer,TF_Tekniker,J$4,TF_Dato,$A784))*2,0)/2)))</f>
        <v/>
      </c>
      <c r="K784">
        <f>IF(OR(K$4="",$A784&gt;TODAY()),0,IF(OR(INDEX($B784:$D784,K$5)="F",AND(K$6&gt;0,$A784&lt;K$6),AND(K$7&gt;0,$A784&gt;K$7)),0,MAX(0,ROUND((INDEX($E784:$G784,K$5)-SUMIFS(TF_Timer,TF_Tekniker,K$4,TF_Dato,$A784))*2,0)/2)))</f>
        <v/>
      </c>
      <c r="L784">
        <f>IF(OR(L$4="",$A784&gt;TODAY()),0,IF(OR(INDEX($B784:$D784,L$5)="F",AND(L$6&gt;0,$A784&lt;L$6),AND(L$7&gt;0,$A784&gt;L$7)),0,MAX(0,ROUND((INDEX($E784:$G784,L$5)-SUMIFS(TF_Timer,TF_Tekniker,L$4,TF_Dato,$A784))*2,0)/2)))</f>
        <v/>
      </c>
      <c r="M784">
        <f>IF(OR(M$4="",$A784&gt;TODAY()),0,IF(OR(INDEX($B784:$D784,M$5)="F",AND(M$6&gt;0,$A784&lt;M$6),AND(M$7&gt;0,$A784&gt;M$7)),0,MAX(0,ROUND((INDEX($E784:$G784,M$5)-SUMIFS(TF_Timer,TF_Tekniker,M$4,TF_Dato,$A784))*2,0)/2)))</f>
        <v/>
      </c>
      <c r="N784">
        <f>IF(OR(N$4="",$A784&gt;TODAY()),0,IF(OR(INDEX($B784:$D784,N$5)="F",AND(N$6&gt;0,$A784&lt;N$6),AND(N$7&gt;0,$A784&gt;N$7)),0,MAX(0,ROUND((INDEX($E784:$G784,N$5)-SUMIFS(TF_Timer,TF_Tekniker,N$4,TF_Dato,$A784))*2,0)/2)))</f>
        <v/>
      </c>
      <c r="O784">
        <f>IF(OR(O$4="",$A784&gt;TODAY()),0,IF(OR(INDEX($B784:$D784,O$5)="F",AND(O$6&gt;0,$A784&lt;O$6),AND(O$7&gt;0,$A784&gt;O$7)),0,MAX(0,ROUND((INDEX($E784:$G784,O$5)-SUMIFS(TF_Timer,TF_Tekniker,O$4,TF_Dato,$A784))*2,0)/2)))</f>
        <v/>
      </c>
      <c r="P784">
        <f>IF(OR(P$4="",$A784&gt;TODAY()),0,IF(OR(INDEX($B784:$D784,P$5)="F",AND(P$6&gt;0,$A784&lt;P$6),AND(P$7&gt;0,$A784&gt;P$7)),0,MAX(0,ROUND((INDEX($E784:$G784,P$5)-SUMIFS(TF_Timer,TF_Tekniker,P$4,TF_Dato,$A784))*2,0)/2)))</f>
        <v/>
      </c>
      <c r="Q784">
        <f>IF(OR(Q$4="",$A784&gt;TODAY()),0,IF(OR(INDEX($B784:$D784,Q$5)="F",AND(Q$6&gt;0,$A784&lt;Q$6),AND(Q$7&gt;0,$A784&gt;Q$7)),0,MAX(0,ROUND((INDEX($E784:$G784,Q$5)-SUMIFS(TF_Timer,TF_Tekniker,Q$4,TF_Dato,$A784))*2,0)/2)))</f>
        <v/>
      </c>
      <c r="R784">
        <f>IF(OR(R$4="",$A784&gt;TODAY()),0,IF(OR(INDEX($B784:$D784,R$5)="F",AND(R$6&gt;0,$A784&lt;R$6),AND(R$7&gt;0,$A784&gt;R$7)),0,MAX(0,ROUND((INDEX($E784:$G784,R$5)-SUMIFS(TF_Timer,TF_Tekniker,R$4,TF_Dato,$A784))*2,0)/2)))</f>
        <v/>
      </c>
      <c r="S784">
        <f>IF(OR(S$4="",$A784&gt;TODAY()),0,IF(OR(INDEX($B784:$D784,S$5)="F",AND(S$6&gt;0,$A784&lt;S$6),AND(S$7&gt;0,$A784&gt;S$7)),0,MAX(0,ROUND((INDEX($E784:$G784,S$5)-SUMIFS(TF_Timer,TF_Tekniker,S$4,TF_Dato,$A784))*2,0)/2)))</f>
        <v/>
      </c>
      <c r="T784">
        <f>IF(OR(T$4="",$A784&gt;TODAY()),0,IF(OR(INDEX($B784:$D784,T$5)="F",AND(T$6&gt;0,$A784&lt;T$6),AND(T$7&gt;0,$A784&gt;T$7)),0,MAX(0,ROUND((INDEX($E784:$G784,T$5)-SUMIFS(TF_Timer,TF_Tekniker,T$4,TF_Dato,$A784))*2,0)/2)))</f>
        <v/>
      </c>
      <c r="U784">
        <f>IF(OR(U$4="",$A784&gt;TODAY()),0,IF(OR(INDEX($B784:$D784,U$5)="F",AND(U$6&gt;0,$A784&lt;U$6),AND(U$7&gt;0,$A784&gt;U$7)),0,MAX(0,ROUND((INDEX($E784:$G784,U$5)-SUMIFS(TF_Timer,TF_Tekniker,U$4,TF_Dato,$A784))*2,0)/2)))</f>
        <v/>
      </c>
      <c r="V784">
        <f>IF(OR(V$4="",$A784&gt;TODAY()),0,IF(OR(INDEX($B784:$D784,V$5)="F",AND(V$6&gt;0,$A784&lt;V$6),AND(V$7&gt;0,$A784&gt;V$7)),0,MAX(0,ROUND((INDEX($E784:$G784,V$5)-SUMIFS(TF_Timer,TF_Tekniker,V$4,TF_Dato,$A784))*2,0)/2)))</f>
        <v/>
      </c>
      <c r="W784">
        <f>IF(OR(W$4="",$A784&gt;TODAY()),0,IF(OR(INDEX($B784:$D784,W$5)="F",AND(W$6&gt;0,$A784&lt;W$6),AND(W$7&gt;0,$A784&gt;W$7)),0,MAX(0,ROUND((INDEX($E784:$G784,W$5)-SUMIFS(TF_Timer,TF_Tekniker,W$4,TF_Dato,$A784))*2,0)/2)))</f>
        <v/>
      </c>
      <c r="X784">
        <f>IF(OR(X$4="",$A784&gt;TODAY()),0,IF(OR(INDEX($B784:$D784,X$5)="F",AND(X$6&gt;0,$A784&lt;X$6),AND(X$7&gt;0,$A784&gt;X$7)),0,MAX(0,ROUND((INDEX($E784:$G784,X$5)-SUMIFS(TF_Timer,TF_Tekniker,X$4,TF_Dato,$A784))*2,0)/2)))</f>
        <v/>
      </c>
      <c r="Y784">
        <f>IF(OR(Y$4="",$A784&gt;TODAY()),0,IF(OR(INDEX($B784:$D784,Y$5)="F",AND(Y$6&gt;0,$A784&lt;Y$6),AND(Y$7&gt;0,$A784&gt;Y$7)),0,MAX(0,ROUND((INDEX($E784:$G784,Y$5)-SUMIFS(TF_Timer,TF_Tekniker,Y$4,TF_Dato,$A784))*2,0)/2)))</f>
        <v/>
      </c>
      <c r="Z784">
        <f>IF(OR(Z$4="",$A784&gt;TODAY()),0,IF(OR(INDEX($B784:$D784,Z$5)="F",AND(Z$6&gt;0,$A784&lt;Z$6),AND(Z$7&gt;0,$A784&gt;Z$7)),0,MAX(0,ROUND((INDEX($E784:$G784,Z$5)-SUMIFS(TF_Timer,TF_Tekniker,Z$4,TF_Dato,$A784))*2,0)/2)))</f>
        <v/>
      </c>
      <c r="AA784">
        <f>IF(OR(AA$4="",$A784&gt;TODAY()),0,IF(OR(INDEX($B784:$D784,AA$5)="F",AND(AA$6&gt;0,$A784&lt;AA$6),AND(AA$7&gt;0,$A784&gt;AA$7)),0,MAX(0,ROUND((INDEX($E784:$G784,AA$5)-SUMIFS(TF_Timer,TF_Tekniker,AA$4,TF_Dato,$A784))*2,0)/2)))</f>
        <v/>
      </c>
      <c r="AB784">
        <f>IF(OR(AB$4="",$A784&gt;TODAY()),0,IF(OR(INDEX($B784:$D784,AB$5)="F",AND(AB$6&gt;0,$A784&lt;AB$6),AND(AB$7&gt;0,$A784&gt;AB$7)),0,MAX(0,ROUND((INDEX($E784:$G784,AB$5)-SUMIFS(TF_Timer,TF_Tekniker,AB$4,TF_Dato,$A784))*2,0)/2)))</f>
        <v/>
      </c>
      <c r="AC784">
        <f>IF(OR(AC$4="",$A784&gt;TODAY()),0,IF(OR(INDEX($B784:$D784,AC$5)="F",AND(AC$6&gt;0,$A784&lt;AC$6),AND(AC$7&gt;0,$A784&gt;AC$7)),0,MAX(0,ROUND((INDEX($E784:$G784,AC$5)-SUMIFS(TF_Timer,TF_Tekniker,AC$4,TF_Dato,$A784))*2,0)/2)))</f>
        <v/>
      </c>
      <c r="AD784">
        <f>IF(OR(AD$4="",$A784&gt;TODAY()),0,IF(OR(INDEX($B784:$D784,AD$5)="F",AND(AD$6&gt;0,$A784&lt;AD$6),AND(AD$7&gt;0,$A784&gt;AD$7)),0,MAX(0,ROUND((INDEX($E784:$G784,AD$5)-SUMIFS(TF_Timer,TF_Tekniker,AD$4,TF_Dato,$A784))*2,0)/2)))</f>
        <v/>
      </c>
      <c r="AE784">
        <f>IF(OR(AE$4="",$A784&gt;TODAY()),0,IF(OR(INDEX($B784:$D784,AE$5)="F",AND(AE$6&gt;0,$A784&lt;AE$6),AND(AE$7&gt;0,$A784&gt;AE$7)),0,MAX(0,ROUND((INDEX($E784:$G784,AE$5)-SUMIFS(TF_Timer,TF_Tekniker,AE$4,TF_Dato,$A784))*2,0)/2)))</f>
        <v/>
      </c>
      <c r="AF784">
        <f>IF(OR(AF$4="",$A784&gt;TODAY()),0,IF(OR(INDEX($B784:$D784,AF$5)="F",AND(AF$6&gt;0,$A784&lt;AF$6),AND(AF$7&gt;0,$A784&gt;AF$7)),0,MAX(0,ROUND((INDEX($E784:$G784,AF$5)-SUMIFS(TF_Timer,TF_Tekniker,AF$4,TF_Dato,$A784))*2,0)/2)))</f>
        <v/>
      </c>
      <c r="AG784">
        <f>IF(OR(AG$4="",$A784&gt;TODAY()),0,IF(OR(INDEX($B784:$D784,AG$5)="F",AND(AG$6&gt;0,$A784&lt;AG$6),AND(AG$7&gt;0,$A784&gt;AG$7)),0,MAX(0,ROUND((INDEX($E784:$G784,AG$5)-SUMIFS(TF_Timer,TF_Tekniker,AG$4,TF_Dato,$A784))*2,0)/2)))</f>
        <v/>
      </c>
      <c r="AH784">
        <f>IF(OR(AH$4="",$A784&gt;TODAY()),0,IF(OR(INDEX($B784:$D784,AH$5)="F",AND(AH$6&gt;0,$A784&lt;AH$6),AND(AH$7&gt;0,$A784&gt;AH$7)),0,MAX(0,ROUND((INDEX($E784:$G784,AH$5)-SUMIFS(TF_Timer,TF_Tekniker,AH$4,TF_Dato,$A784))*2,0)/2)))</f>
        <v/>
      </c>
      <c r="AI784">
        <f>IF(OR(AI$4="",$A784&gt;TODAY()),0,IF(OR(INDEX($B784:$D784,AI$5)="F",AND(AI$6&gt;0,$A784&lt;AI$6),AND(AI$7&gt;0,$A784&gt;AI$7)),0,MAX(0,ROUND((INDEX($E784:$G784,AI$5)-SUMIFS(TF_Timer,TF_Tekniker,AI$4,TF_Dato,$A784))*2,0)/2)))</f>
        <v/>
      </c>
      <c r="AJ784">
        <f>IF(OR(AJ$4="",$A784&gt;TODAY()),0,IF(OR(INDEX($B784:$D784,AJ$5)="F",AND(AJ$6&gt;0,$A784&lt;AJ$6),AND(AJ$7&gt;0,$A784&gt;AJ$7)),0,MAX(0,ROUND((INDEX($E784:$G784,AJ$5)-SUMIFS(TF_Timer,TF_Tekniker,AJ$4,TF_Dato,$A784))*2,0)/2)))</f>
        <v/>
      </c>
      <c r="AK784">
        <f>IF(OR(AK$4="",$A784&gt;TODAY()),0,IF(OR(INDEX($B784:$D784,AK$5)="F",AND(AK$6&gt;0,$A784&lt;AK$6),AND(AK$7&gt;0,$A784&gt;AK$7)),0,MAX(0,ROUND((INDEX($E784:$G784,AK$5)-SUMIFS(TF_Timer,TF_Tekniker,AK$4,TF_Dato,$A784))*2,0)/2)))</f>
        <v/>
      </c>
      <c r="AL784">
        <f>IF(OR(AL$4="",$A784&gt;TODAY()),0,IF(OR(INDEX($B784:$D784,AL$5)="F",AND(AL$6&gt;0,$A784&lt;AL$6),AND(AL$7&gt;0,$A784&gt;AL$7)),0,MAX(0,ROUND((INDEX($E784:$G784,AL$5)-SUMIFS(TF_Timer,TF_Tekniker,AL$4,TF_Dato,$A784))*2,0)/2)))</f>
        <v/>
      </c>
      <c r="AM784">
        <f>IF(OR(AM$4="",$A784&gt;TODAY()),0,IF(OR(INDEX($B784:$D784,AM$5)="F",AND(AM$6&gt;0,$A784&lt;AM$6),AND(AM$7&gt;0,$A784&gt;AM$7)),0,MAX(0,ROUND((INDEX($E784:$G784,AM$5)-SUMIFS(TF_Timer,TF_Tekniker,AM$4,TF_Dato,$A784))*2,0)/2)))</f>
        <v/>
      </c>
      <c r="AN784">
        <f>IF(OR(AN$4="",$A784&gt;TODAY()),0,IF(OR(INDEX($B784:$D784,AN$5)="F",AND(AN$6&gt;0,$A784&lt;AN$6),AND(AN$7&gt;0,$A784&gt;AN$7)),0,MAX(0,ROUND((INDEX($E784:$G784,AN$5)-SUMIFS(TF_Timer,TF_Tekniker,AN$4,TF_Dato,$A784))*2,0)/2)))</f>
        <v/>
      </c>
      <c r="AO784">
        <f>IF(OR(AO$4="",$A784&gt;TODAY()),0,IF(OR(INDEX($B784:$D784,AO$5)="F",AND(AO$6&gt;0,$A784&lt;AO$6),AND(AO$7&gt;0,$A784&gt;AO$7)),0,MAX(0,ROUND((INDEX($E784:$G784,AO$5)-SUMIFS(TF_Timer,TF_Tekniker,AO$4,TF_Dato,$A784))*2,0)/2)))</f>
        <v/>
      </c>
      <c r="AP784">
        <f>IF(OR(AP$4="",$A784&gt;TODAY()),0,IF(OR(INDEX($B784:$D784,AP$5)="F",AND(AP$6&gt;0,$A784&lt;AP$6),AND(AP$7&gt;0,$A784&gt;AP$7)),0,MAX(0,ROUND((INDEX($E784:$G784,AP$5)-SUMIFS(TF_Timer,TF_Tekniker,AP$4,TF_Dato,$A784))*2,0)/2)))</f>
        <v/>
      </c>
      <c r="AQ784">
        <f>IF(OR(AQ$4="",$A784&gt;TODAY()),0,IF(OR(INDEX($B784:$D784,AQ$5)="F",AND(AQ$6&gt;0,$A784&lt;AQ$6),AND(AQ$7&gt;0,$A784&gt;AQ$7)),0,MAX(0,ROUND((INDEX($E784:$G784,AQ$5)-SUMIFS(TF_Timer,TF_Tekniker,AQ$4,TF_Dato,$A784))*2,0)/2)))</f>
        <v/>
      </c>
      <c r="AR784">
        <f>IF(OR(AR$4="",$A784&gt;TODAY()),0,IF(OR(INDEX($B784:$D784,AR$5)="F",AND(AR$6&gt;0,$A784&lt;AR$6),AND(AR$7&gt;0,$A784&gt;AR$7)),0,MAX(0,ROUND((INDEX($E784:$G784,AR$5)-SUMIFS(TF_Timer,TF_Tekniker,AR$4,TF_Dato,$A784))*2,0)/2)))</f>
        <v/>
      </c>
      <c r="AS784">
        <f>IF(OR(AS$4="",$A784&gt;TODAY()),0,IF(OR(INDEX($B784:$D784,AS$5)="F",AND(AS$6&gt;0,$A784&lt;AS$6),AND(AS$7&gt;0,$A784&gt;AS$7)),0,MAX(0,ROUND((INDEX($E784:$G784,AS$5)-SUMIFS(TF_Timer,TF_Tekniker,AS$4,TF_Dato,$A784))*2,0)/2)))</f>
        <v/>
      </c>
      <c r="AT784">
        <f>IF(OR(AT$4="",$A784&gt;TODAY()),0,IF(OR(INDEX($B784:$D784,AT$5)="F",AND(AT$6&gt;0,$A784&lt;AT$6),AND(AT$7&gt;0,$A784&gt;AT$7)),0,MAX(0,ROUND((INDEX($E784:$G784,AT$5)-SUMIFS(TF_Timer,TF_Tekniker,AT$4,TF_Dato,$A784))*2,0)/2)))</f>
        <v/>
      </c>
      <c r="AU784">
        <f>IF(OR(AU$4="",$A784&gt;TODAY()),0,IF(OR(INDEX($B784:$D784,AU$5)="F",AND(AU$6&gt;0,$A784&lt;AU$6),AND(AU$7&gt;0,$A784&gt;AU$7)),0,MAX(0,ROUND((INDEX($E784:$G784,AU$5)-SUMIFS(TF_Timer,TF_Tekniker,AU$4,TF_Dato,$A784))*2,0)/2)))</f>
        <v/>
      </c>
      <c r="AV784">
        <f>IF(OR(AV$4="",$A784&gt;TODAY()),0,IF(OR(INDEX($B784:$D784,AV$5)="F",AND(AV$6&gt;0,$A784&lt;AV$6),AND(AV$7&gt;0,$A784&gt;AV$7)),0,MAX(0,ROUND((INDEX($E784:$G784,AV$5)-SUMIFS(TF_Timer,TF_Tekniker,AV$4,TF_Dato,$A784))*2,0)/2)))</f>
        <v/>
      </c>
      <c r="AW784">
        <f>IF(OR(AW$4="",$A784&gt;TODAY()),0,IF(OR(INDEX($B784:$D784,AW$5)="F",AND(AW$6&gt;0,$A784&lt;AW$6),AND(AW$7&gt;0,$A784&gt;AW$7)),0,MAX(0,ROUND((INDEX($E784:$G784,AW$5)-SUMIFS(TF_Timer,TF_Tekniker,AW$4,TF_Dato,$A784))*2,0)/2)))</f>
        <v/>
      </c>
      <c r="AX784">
        <f>IF(OR(AX$4="",$A784&gt;TODAY()),0,IF(OR(INDEX($B784:$D784,AX$5)="F",AND(AX$6&gt;0,$A784&lt;AX$6),AND(AX$7&gt;0,$A784&gt;AX$7)),0,MAX(0,ROUND((INDEX($E784:$G784,AX$5)-SUMIFS(TF_Timer,TF_Tekniker,AX$4,TF_Dato,$A784))*2,0)/2)))</f>
        <v/>
      </c>
      <c r="AY784">
        <f>IF(OR(AY$4="",$A784&gt;TODAY()),0,IF(OR(INDEX($B784:$D784,AY$5)="F",AND(AY$6&gt;0,$A784&lt;AY$6),AND(AY$7&gt;0,$A784&gt;AY$7)),0,MAX(0,ROUND((INDEX($E784:$G784,AY$5)-SUMIFS(TF_Timer,TF_Tekniker,AY$4,TF_Dato,$A784))*2,0)/2)))</f>
        <v/>
      </c>
      <c r="AZ784">
        <f>IF(OR(AZ$4="",$A784&gt;TODAY()),0,IF(OR(INDEX($B784:$D784,AZ$5)="F",AND(AZ$6&gt;0,$A784&lt;AZ$6),AND(AZ$7&gt;0,$A784&gt;AZ$7)),0,MAX(0,ROUND((INDEX($E784:$G784,AZ$5)-SUMIFS(TF_Timer,TF_Tekniker,AZ$4,TF_Dato,$A784))*2,0)/2)))</f>
        <v/>
      </c>
      <c r="BA784">
        <f>IF(OR(BA$4="",$A784&gt;TODAY()),0,IF(OR(INDEX($B784:$D784,BA$5)="F",AND(BA$6&gt;0,$A784&lt;BA$6),AND(BA$7&gt;0,$A784&gt;BA$7)),0,MAX(0,ROUND((INDEX($E784:$G784,BA$5)-SUMIFS(TF_Timer,TF_Tekniker,BA$4,TF_Dato,$A784))*2,0)/2)))</f>
        <v/>
      </c>
      <c r="BB784">
        <f>IF(OR(BB$4="",$A784&gt;TODAY()),0,IF(OR(INDEX($B784:$D784,BB$5)="F",AND(BB$6&gt;0,$A784&lt;BB$6),AND(BB$7&gt;0,$A784&gt;BB$7)),0,MAX(0,ROUND((INDEX($E784:$G784,BB$5)-SUMIFS(TF_Timer,TF_Tekniker,BB$4,TF_Dato,$A784))*2,0)/2)))</f>
        <v/>
      </c>
      <c r="BC784">
        <f>IF(OR(BC$4="",$A784&gt;TODAY()),0,IF(OR(INDEX($B784:$D784,BC$5)="F",AND(BC$6&gt;0,$A784&lt;BC$6),AND(BC$7&gt;0,$A784&gt;BC$7)),0,MAX(0,ROUND((INDEX($E784:$G784,BC$5)-SUMIFS(TF_Timer,TF_Tekniker,BC$4,TF_Dato,$A784))*2,0)/2)))</f>
        <v/>
      </c>
      <c r="BD784">
        <f>IF(OR(BD$4="",$A784&gt;TODAY()),0,IF(OR(INDEX($B784:$D784,BD$5)="F",AND(BD$6&gt;0,$A784&lt;BD$6),AND(BD$7&gt;0,$A784&gt;BD$7)),0,MAX(0,ROUND((INDEX($E784:$G784,BD$5)-SUMIFS(TF_Timer,TF_Tekniker,BD$4,TF_Dato,$A784))*2,0)/2)))</f>
        <v/>
      </c>
      <c r="BE784">
        <f>IF(OR(BE$4="",$A784&gt;TODAY()),0,IF(OR(INDEX($B784:$D784,BE$5)="F",AND(BE$6&gt;0,$A784&lt;BE$6),AND(BE$7&gt;0,$A784&gt;BE$7)),0,MAX(0,ROUND((INDEX($E784:$G784,BE$5)-SUMIFS(TF_Timer,TF_Tekniker,BE$4,TF_Dato,$A784))*2,0)/2)))</f>
        <v/>
      </c>
      <c r="BF784">
        <f>IF(OR(BF$4="",$A784&gt;TODAY()),0,IF(OR(INDEX($B784:$D784,BF$5)="F",AND(BF$6&gt;0,$A784&lt;BF$6),AND(BF$7&gt;0,$A784&gt;BF$7)),0,MAX(0,ROUND((INDEX($E784:$G784,BF$5)-SUMIFS(TF_Timer,TF_Tekniker,BF$4,TF_Dato,$A784))*2,0)/2)))</f>
        <v/>
      </c>
      <c r="BG784">
        <f>IF(OR(BG$4="",$A784&gt;TODAY()),0,IF(OR(INDEX($B784:$D784,BG$5)="F",AND(BG$6&gt;0,$A784&lt;BG$6),AND(BG$7&gt;0,$A784&gt;BG$7)),0,MAX(0,ROUND((INDEX($E784:$G784,BG$5)-SUMIFS(TF_Timer,TF_Tekniker,BG$4,TF_Dato,$A784))*2,0)/2)))</f>
        <v/>
      </c>
      <c r="BH784">
        <f>IF(OR(BH$4="",$A784&gt;TODAY()),0,IF(OR(INDEX($B784:$D784,BH$5)="F",AND(BH$6&gt;0,$A784&lt;BH$6),AND(BH$7&gt;0,$A784&gt;BH$7)),0,MAX(0,ROUND((INDEX($E784:$G784,BH$5)-SUMIFS(TF_Timer,TF_Tekniker,BH$4,TF_Dato,$A784))*2,0)/2)))</f>
        <v/>
      </c>
      <c r="BI784">
        <f>IF(OR(BI$4="",$A784&gt;TODAY()),0,IF(OR(INDEX($B784:$D784,BI$5)="F",AND(BI$6&gt;0,$A784&lt;BI$6),AND(BI$7&gt;0,$A784&gt;BI$7)),0,MAX(0,ROUND((INDEX($E784:$G784,BI$5)-SUMIFS(TF_Timer,TF_Tekniker,BI$4,TF_Dato,$A784))*2,0)/2)))</f>
        <v/>
      </c>
    </row>
    <row r="785">
      <c r="A785" s="64">
        <f>A784+1</f>
        <v/>
      </c>
      <c r="B785">
        <f>IF(MOD($A785-INDEX(SkiftStart,1),Syklus)&lt;DagK,"K",IF(MOD($A785-INDEX(SkiftStart,1),Syklus)&lt;DagK+DagH,"H",IF(MOD($A785-INDEX(SkiftStart,1),Syklus)&lt;DagK+DagH+DagD,"D","F")))</f>
        <v/>
      </c>
      <c r="C785">
        <f>IF(MOD($A785-INDEX(SkiftStart,2),Syklus)&lt;DagK,"K",IF(MOD($A785-INDEX(SkiftStart,2),Syklus)&lt;DagK+DagH,"H",IF(MOD($A785-INDEX(SkiftStart,2),Syklus)&lt;DagK+DagH+DagD,"D","F")))</f>
        <v/>
      </c>
      <c r="D785">
        <f>IF(MOD($A785-INDEX(SkiftStart,3),Syklus)&lt;DagK,"K",IF(MOD($A785-INDEX(SkiftStart,3),Syklus)&lt;DagK+DagH,"H",IF(MOD($A785-INDEX(SkiftStart,3),Syklus)&lt;DagK+DagH+DagD,"D","F")))</f>
        <v/>
      </c>
      <c r="E785">
        <f>IF(B785="F",0,IF(WEEKDAY($A785,2)=5,INDEX(TimerFr,MATCH(B785,FaseKode,0)),INDEX(TimerMT,MATCH(B785,FaseKode,0))))</f>
        <v/>
      </c>
      <c r="F785">
        <f>IF(C785="F",0,IF(WEEKDAY($A785,2)=5,INDEX(TimerFr,MATCH(C785,FaseKode,0)),INDEX(TimerMT,MATCH(C785,FaseKode,0))))</f>
        <v/>
      </c>
      <c r="G785">
        <f>IF(D785="F",0,IF(WEEKDAY($A785,2)=5,INDEX(TimerFr,MATCH(D785,FaseKode,0)),INDEX(TimerMT,MATCH(D785,FaseKode,0))))</f>
        <v/>
      </c>
      <c r="H785">
        <f>IF(OR(H$4="",$A785&gt;TODAY()),0,IF(OR(INDEX($B785:$D785,H$5)="F",AND(H$6&gt;0,$A785&lt;H$6),AND(H$7&gt;0,$A785&gt;H$7)),0,MAX(0,ROUND((INDEX($E785:$G785,H$5)-SUMIFS(TF_Timer,TF_Tekniker,H$4,TF_Dato,$A785))*2,0)/2)))</f>
        <v/>
      </c>
      <c r="I785">
        <f>IF(OR(I$4="",$A785&gt;TODAY()),0,IF(OR(INDEX($B785:$D785,I$5)="F",AND(I$6&gt;0,$A785&lt;I$6),AND(I$7&gt;0,$A785&gt;I$7)),0,MAX(0,ROUND((INDEX($E785:$G785,I$5)-SUMIFS(TF_Timer,TF_Tekniker,I$4,TF_Dato,$A785))*2,0)/2)))</f>
        <v/>
      </c>
      <c r="J785">
        <f>IF(OR(J$4="",$A785&gt;TODAY()),0,IF(OR(INDEX($B785:$D785,J$5)="F",AND(J$6&gt;0,$A785&lt;J$6),AND(J$7&gt;0,$A785&gt;J$7)),0,MAX(0,ROUND((INDEX($E785:$G785,J$5)-SUMIFS(TF_Timer,TF_Tekniker,J$4,TF_Dato,$A785))*2,0)/2)))</f>
        <v/>
      </c>
      <c r="K785">
        <f>IF(OR(K$4="",$A785&gt;TODAY()),0,IF(OR(INDEX($B785:$D785,K$5)="F",AND(K$6&gt;0,$A785&lt;K$6),AND(K$7&gt;0,$A785&gt;K$7)),0,MAX(0,ROUND((INDEX($E785:$G785,K$5)-SUMIFS(TF_Timer,TF_Tekniker,K$4,TF_Dato,$A785))*2,0)/2)))</f>
        <v/>
      </c>
      <c r="L785">
        <f>IF(OR(L$4="",$A785&gt;TODAY()),0,IF(OR(INDEX($B785:$D785,L$5)="F",AND(L$6&gt;0,$A785&lt;L$6),AND(L$7&gt;0,$A785&gt;L$7)),0,MAX(0,ROUND((INDEX($E785:$G785,L$5)-SUMIFS(TF_Timer,TF_Tekniker,L$4,TF_Dato,$A785))*2,0)/2)))</f>
        <v/>
      </c>
      <c r="M785">
        <f>IF(OR(M$4="",$A785&gt;TODAY()),0,IF(OR(INDEX($B785:$D785,M$5)="F",AND(M$6&gt;0,$A785&lt;M$6),AND(M$7&gt;0,$A785&gt;M$7)),0,MAX(0,ROUND((INDEX($E785:$G785,M$5)-SUMIFS(TF_Timer,TF_Tekniker,M$4,TF_Dato,$A785))*2,0)/2)))</f>
        <v/>
      </c>
      <c r="N785">
        <f>IF(OR(N$4="",$A785&gt;TODAY()),0,IF(OR(INDEX($B785:$D785,N$5)="F",AND(N$6&gt;0,$A785&lt;N$6),AND(N$7&gt;0,$A785&gt;N$7)),0,MAX(0,ROUND((INDEX($E785:$G785,N$5)-SUMIFS(TF_Timer,TF_Tekniker,N$4,TF_Dato,$A785))*2,0)/2)))</f>
        <v/>
      </c>
      <c r="O785">
        <f>IF(OR(O$4="",$A785&gt;TODAY()),0,IF(OR(INDEX($B785:$D785,O$5)="F",AND(O$6&gt;0,$A785&lt;O$6),AND(O$7&gt;0,$A785&gt;O$7)),0,MAX(0,ROUND((INDEX($E785:$G785,O$5)-SUMIFS(TF_Timer,TF_Tekniker,O$4,TF_Dato,$A785))*2,0)/2)))</f>
        <v/>
      </c>
      <c r="P785">
        <f>IF(OR(P$4="",$A785&gt;TODAY()),0,IF(OR(INDEX($B785:$D785,P$5)="F",AND(P$6&gt;0,$A785&lt;P$6),AND(P$7&gt;0,$A785&gt;P$7)),0,MAX(0,ROUND((INDEX($E785:$G785,P$5)-SUMIFS(TF_Timer,TF_Tekniker,P$4,TF_Dato,$A785))*2,0)/2)))</f>
        <v/>
      </c>
      <c r="Q785">
        <f>IF(OR(Q$4="",$A785&gt;TODAY()),0,IF(OR(INDEX($B785:$D785,Q$5)="F",AND(Q$6&gt;0,$A785&lt;Q$6),AND(Q$7&gt;0,$A785&gt;Q$7)),0,MAX(0,ROUND((INDEX($E785:$G785,Q$5)-SUMIFS(TF_Timer,TF_Tekniker,Q$4,TF_Dato,$A785))*2,0)/2)))</f>
        <v/>
      </c>
      <c r="R785">
        <f>IF(OR(R$4="",$A785&gt;TODAY()),0,IF(OR(INDEX($B785:$D785,R$5)="F",AND(R$6&gt;0,$A785&lt;R$6),AND(R$7&gt;0,$A785&gt;R$7)),0,MAX(0,ROUND((INDEX($E785:$G785,R$5)-SUMIFS(TF_Timer,TF_Tekniker,R$4,TF_Dato,$A785))*2,0)/2)))</f>
        <v/>
      </c>
      <c r="S785">
        <f>IF(OR(S$4="",$A785&gt;TODAY()),0,IF(OR(INDEX($B785:$D785,S$5)="F",AND(S$6&gt;0,$A785&lt;S$6),AND(S$7&gt;0,$A785&gt;S$7)),0,MAX(0,ROUND((INDEX($E785:$G785,S$5)-SUMIFS(TF_Timer,TF_Tekniker,S$4,TF_Dato,$A785))*2,0)/2)))</f>
        <v/>
      </c>
      <c r="T785">
        <f>IF(OR(T$4="",$A785&gt;TODAY()),0,IF(OR(INDEX($B785:$D785,T$5)="F",AND(T$6&gt;0,$A785&lt;T$6),AND(T$7&gt;0,$A785&gt;T$7)),0,MAX(0,ROUND((INDEX($E785:$G785,T$5)-SUMIFS(TF_Timer,TF_Tekniker,T$4,TF_Dato,$A785))*2,0)/2)))</f>
        <v/>
      </c>
      <c r="U785">
        <f>IF(OR(U$4="",$A785&gt;TODAY()),0,IF(OR(INDEX($B785:$D785,U$5)="F",AND(U$6&gt;0,$A785&lt;U$6),AND(U$7&gt;0,$A785&gt;U$7)),0,MAX(0,ROUND((INDEX($E785:$G785,U$5)-SUMIFS(TF_Timer,TF_Tekniker,U$4,TF_Dato,$A785))*2,0)/2)))</f>
        <v/>
      </c>
      <c r="V785">
        <f>IF(OR(V$4="",$A785&gt;TODAY()),0,IF(OR(INDEX($B785:$D785,V$5)="F",AND(V$6&gt;0,$A785&lt;V$6),AND(V$7&gt;0,$A785&gt;V$7)),0,MAX(0,ROUND((INDEX($E785:$G785,V$5)-SUMIFS(TF_Timer,TF_Tekniker,V$4,TF_Dato,$A785))*2,0)/2)))</f>
        <v/>
      </c>
      <c r="W785">
        <f>IF(OR(W$4="",$A785&gt;TODAY()),0,IF(OR(INDEX($B785:$D785,W$5)="F",AND(W$6&gt;0,$A785&lt;W$6),AND(W$7&gt;0,$A785&gt;W$7)),0,MAX(0,ROUND((INDEX($E785:$G785,W$5)-SUMIFS(TF_Timer,TF_Tekniker,W$4,TF_Dato,$A785))*2,0)/2)))</f>
        <v/>
      </c>
      <c r="X785">
        <f>IF(OR(X$4="",$A785&gt;TODAY()),0,IF(OR(INDEX($B785:$D785,X$5)="F",AND(X$6&gt;0,$A785&lt;X$6),AND(X$7&gt;0,$A785&gt;X$7)),0,MAX(0,ROUND((INDEX($E785:$G785,X$5)-SUMIFS(TF_Timer,TF_Tekniker,X$4,TF_Dato,$A785))*2,0)/2)))</f>
        <v/>
      </c>
      <c r="Y785">
        <f>IF(OR(Y$4="",$A785&gt;TODAY()),0,IF(OR(INDEX($B785:$D785,Y$5)="F",AND(Y$6&gt;0,$A785&lt;Y$6),AND(Y$7&gt;0,$A785&gt;Y$7)),0,MAX(0,ROUND((INDEX($E785:$G785,Y$5)-SUMIFS(TF_Timer,TF_Tekniker,Y$4,TF_Dato,$A785))*2,0)/2)))</f>
        <v/>
      </c>
      <c r="Z785">
        <f>IF(OR(Z$4="",$A785&gt;TODAY()),0,IF(OR(INDEX($B785:$D785,Z$5)="F",AND(Z$6&gt;0,$A785&lt;Z$6),AND(Z$7&gt;0,$A785&gt;Z$7)),0,MAX(0,ROUND((INDEX($E785:$G785,Z$5)-SUMIFS(TF_Timer,TF_Tekniker,Z$4,TF_Dato,$A785))*2,0)/2)))</f>
        <v/>
      </c>
      <c r="AA785">
        <f>IF(OR(AA$4="",$A785&gt;TODAY()),0,IF(OR(INDEX($B785:$D785,AA$5)="F",AND(AA$6&gt;0,$A785&lt;AA$6),AND(AA$7&gt;0,$A785&gt;AA$7)),0,MAX(0,ROUND((INDEX($E785:$G785,AA$5)-SUMIFS(TF_Timer,TF_Tekniker,AA$4,TF_Dato,$A785))*2,0)/2)))</f>
        <v/>
      </c>
      <c r="AB785">
        <f>IF(OR(AB$4="",$A785&gt;TODAY()),0,IF(OR(INDEX($B785:$D785,AB$5)="F",AND(AB$6&gt;0,$A785&lt;AB$6),AND(AB$7&gt;0,$A785&gt;AB$7)),0,MAX(0,ROUND((INDEX($E785:$G785,AB$5)-SUMIFS(TF_Timer,TF_Tekniker,AB$4,TF_Dato,$A785))*2,0)/2)))</f>
        <v/>
      </c>
      <c r="AC785">
        <f>IF(OR(AC$4="",$A785&gt;TODAY()),0,IF(OR(INDEX($B785:$D785,AC$5)="F",AND(AC$6&gt;0,$A785&lt;AC$6),AND(AC$7&gt;0,$A785&gt;AC$7)),0,MAX(0,ROUND((INDEX($E785:$G785,AC$5)-SUMIFS(TF_Timer,TF_Tekniker,AC$4,TF_Dato,$A785))*2,0)/2)))</f>
        <v/>
      </c>
      <c r="AD785">
        <f>IF(OR(AD$4="",$A785&gt;TODAY()),0,IF(OR(INDEX($B785:$D785,AD$5)="F",AND(AD$6&gt;0,$A785&lt;AD$6),AND(AD$7&gt;0,$A785&gt;AD$7)),0,MAX(0,ROUND((INDEX($E785:$G785,AD$5)-SUMIFS(TF_Timer,TF_Tekniker,AD$4,TF_Dato,$A785))*2,0)/2)))</f>
        <v/>
      </c>
      <c r="AE785">
        <f>IF(OR(AE$4="",$A785&gt;TODAY()),0,IF(OR(INDEX($B785:$D785,AE$5)="F",AND(AE$6&gt;0,$A785&lt;AE$6),AND(AE$7&gt;0,$A785&gt;AE$7)),0,MAX(0,ROUND((INDEX($E785:$G785,AE$5)-SUMIFS(TF_Timer,TF_Tekniker,AE$4,TF_Dato,$A785))*2,0)/2)))</f>
        <v/>
      </c>
      <c r="AF785">
        <f>IF(OR(AF$4="",$A785&gt;TODAY()),0,IF(OR(INDEX($B785:$D785,AF$5)="F",AND(AF$6&gt;0,$A785&lt;AF$6),AND(AF$7&gt;0,$A785&gt;AF$7)),0,MAX(0,ROUND((INDEX($E785:$G785,AF$5)-SUMIFS(TF_Timer,TF_Tekniker,AF$4,TF_Dato,$A785))*2,0)/2)))</f>
        <v/>
      </c>
      <c r="AG785">
        <f>IF(OR(AG$4="",$A785&gt;TODAY()),0,IF(OR(INDEX($B785:$D785,AG$5)="F",AND(AG$6&gt;0,$A785&lt;AG$6),AND(AG$7&gt;0,$A785&gt;AG$7)),0,MAX(0,ROUND((INDEX($E785:$G785,AG$5)-SUMIFS(TF_Timer,TF_Tekniker,AG$4,TF_Dato,$A785))*2,0)/2)))</f>
        <v/>
      </c>
      <c r="AH785">
        <f>IF(OR(AH$4="",$A785&gt;TODAY()),0,IF(OR(INDEX($B785:$D785,AH$5)="F",AND(AH$6&gt;0,$A785&lt;AH$6),AND(AH$7&gt;0,$A785&gt;AH$7)),0,MAX(0,ROUND((INDEX($E785:$G785,AH$5)-SUMIFS(TF_Timer,TF_Tekniker,AH$4,TF_Dato,$A785))*2,0)/2)))</f>
        <v/>
      </c>
      <c r="AI785">
        <f>IF(OR(AI$4="",$A785&gt;TODAY()),0,IF(OR(INDEX($B785:$D785,AI$5)="F",AND(AI$6&gt;0,$A785&lt;AI$6),AND(AI$7&gt;0,$A785&gt;AI$7)),0,MAX(0,ROUND((INDEX($E785:$G785,AI$5)-SUMIFS(TF_Timer,TF_Tekniker,AI$4,TF_Dato,$A785))*2,0)/2)))</f>
        <v/>
      </c>
      <c r="AJ785">
        <f>IF(OR(AJ$4="",$A785&gt;TODAY()),0,IF(OR(INDEX($B785:$D785,AJ$5)="F",AND(AJ$6&gt;0,$A785&lt;AJ$6),AND(AJ$7&gt;0,$A785&gt;AJ$7)),0,MAX(0,ROUND((INDEX($E785:$G785,AJ$5)-SUMIFS(TF_Timer,TF_Tekniker,AJ$4,TF_Dato,$A785))*2,0)/2)))</f>
        <v/>
      </c>
      <c r="AK785">
        <f>IF(OR(AK$4="",$A785&gt;TODAY()),0,IF(OR(INDEX($B785:$D785,AK$5)="F",AND(AK$6&gt;0,$A785&lt;AK$6),AND(AK$7&gt;0,$A785&gt;AK$7)),0,MAX(0,ROUND((INDEX($E785:$G785,AK$5)-SUMIFS(TF_Timer,TF_Tekniker,AK$4,TF_Dato,$A785))*2,0)/2)))</f>
        <v/>
      </c>
      <c r="AL785">
        <f>IF(OR(AL$4="",$A785&gt;TODAY()),0,IF(OR(INDEX($B785:$D785,AL$5)="F",AND(AL$6&gt;0,$A785&lt;AL$6),AND(AL$7&gt;0,$A785&gt;AL$7)),0,MAX(0,ROUND((INDEX($E785:$G785,AL$5)-SUMIFS(TF_Timer,TF_Tekniker,AL$4,TF_Dato,$A785))*2,0)/2)))</f>
        <v/>
      </c>
      <c r="AM785">
        <f>IF(OR(AM$4="",$A785&gt;TODAY()),0,IF(OR(INDEX($B785:$D785,AM$5)="F",AND(AM$6&gt;0,$A785&lt;AM$6),AND(AM$7&gt;0,$A785&gt;AM$7)),0,MAX(0,ROUND((INDEX($E785:$G785,AM$5)-SUMIFS(TF_Timer,TF_Tekniker,AM$4,TF_Dato,$A785))*2,0)/2)))</f>
        <v/>
      </c>
      <c r="AN785">
        <f>IF(OR(AN$4="",$A785&gt;TODAY()),0,IF(OR(INDEX($B785:$D785,AN$5)="F",AND(AN$6&gt;0,$A785&lt;AN$6),AND(AN$7&gt;0,$A785&gt;AN$7)),0,MAX(0,ROUND((INDEX($E785:$G785,AN$5)-SUMIFS(TF_Timer,TF_Tekniker,AN$4,TF_Dato,$A785))*2,0)/2)))</f>
        <v/>
      </c>
      <c r="AO785">
        <f>IF(OR(AO$4="",$A785&gt;TODAY()),0,IF(OR(INDEX($B785:$D785,AO$5)="F",AND(AO$6&gt;0,$A785&lt;AO$6),AND(AO$7&gt;0,$A785&gt;AO$7)),0,MAX(0,ROUND((INDEX($E785:$G785,AO$5)-SUMIFS(TF_Timer,TF_Tekniker,AO$4,TF_Dato,$A785))*2,0)/2)))</f>
        <v/>
      </c>
      <c r="AP785">
        <f>IF(OR(AP$4="",$A785&gt;TODAY()),0,IF(OR(INDEX($B785:$D785,AP$5)="F",AND(AP$6&gt;0,$A785&lt;AP$6),AND(AP$7&gt;0,$A785&gt;AP$7)),0,MAX(0,ROUND((INDEX($E785:$G785,AP$5)-SUMIFS(TF_Timer,TF_Tekniker,AP$4,TF_Dato,$A785))*2,0)/2)))</f>
        <v/>
      </c>
      <c r="AQ785">
        <f>IF(OR(AQ$4="",$A785&gt;TODAY()),0,IF(OR(INDEX($B785:$D785,AQ$5)="F",AND(AQ$6&gt;0,$A785&lt;AQ$6),AND(AQ$7&gt;0,$A785&gt;AQ$7)),0,MAX(0,ROUND((INDEX($E785:$G785,AQ$5)-SUMIFS(TF_Timer,TF_Tekniker,AQ$4,TF_Dato,$A785))*2,0)/2)))</f>
        <v/>
      </c>
      <c r="AR785">
        <f>IF(OR(AR$4="",$A785&gt;TODAY()),0,IF(OR(INDEX($B785:$D785,AR$5)="F",AND(AR$6&gt;0,$A785&lt;AR$6),AND(AR$7&gt;0,$A785&gt;AR$7)),0,MAX(0,ROUND((INDEX($E785:$G785,AR$5)-SUMIFS(TF_Timer,TF_Tekniker,AR$4,TF_Dato,$A785))*2,0)/2)))</f>
        <v/>
      </c>
      <c r="AS785">
        <f>IF(OR(AS$4="",$A785&gt;TODAY()),0,IF(OR(INDEX($B785:$D785,AS$5)="F",AND(AS$6&gt;0,$A785&lt;AS$6),AND(AS$7&gt;0,$A785&gt;AS$7)),0,MAX(0,ROUND((INDEX($E785:$G785,AS$5)-SUMIFS(TF_Timer,TF_Tekniker,AS$4,TF_Dato,$A785))*2,0)/2)))</f>
        <v/>
      </c>
      <c r="AT785">
        <f>IF(OR(AT$4="",$A785&gt;TODAY()),0,IF(OR(INDEX($B785:$D785,AT$5)="F",AND(AT$6&gt;0,$A785&lt;AT$6),AND(AT$7&gt;0,$A785&gt;AT$7)),0,MAX(0,ROUND((INDEX($E785:$G785,AT$5)-SUMIFS(TF_Timer,TF_Tekniker,AT$4,TF_Dato,$A785))*2,0)/2)))</f>
        <v/>
      </c>
      <c r="AU785">
        <f>IF(OR(AU$4="",$A785&gt;TODAY()),0,IF(OR(INDEX($B785:$D785,AU$5)="F",AND(AU$6&gt;0,$A785&lt;AU$6),AND(AU$7&gt;0,$A785&gt;AU$7)),0,MAX(0,ROUND((INDEX($E785:$G785,AU$5)-SUMIFS(TF_Timer,TF_Tekniker,AU$4,TF_Dato,$A785))*2,0)/2)))</f>
        <v/>
      </c>
      <c r="AV785">
        <f>IF(OR(AV$4="",$A785&gt;TODAY()),0,IF(OR(INDEX($B785:$D785,AV$5)="F",AND(AV$6&gt;0,$A785&lt;AV$6),AND(AV$7&gt;0,$A785&gt;AV$7)),0,MAX(0,ROUND((INDEX($E785:$G785,AV$5)-SUMIFS(TF_Timer,TF_Tekniker,AV$4,TF_Dato,$A785))*2,0)/2)))</f>
        <v/>
      </c>
      <c r="AW785">
        <f>IF(OR(AW$4="",$A785&gt;TODAY()),0,IF(OR(INDEX($B785:$D785,AW$5)="F",AND(AW$6&gt;0,$A785&lt;AW$6),AND(AW$7&gt;0,$A785&gt;AW$7)),0,MAX(0,ROUND((INDEX($E785:$G785,AW$5)-SUMIFS(TF_Timer,TF_Tekniker,AW$4,TF_Dato,$A785))*2,0)/2)))</f>
        <v/>
      </c>
      <c r="AX785">
        <f>IF(OR(AX$4="",$A785&gt;TODAY()),0,IF(OR(INDEX($B785:$D785,AX$5)="F",AND(AX$6&gt;0,$A785&lt;AX$6),AND(AX$7&gt;0,$A785&gt;AX$7)),0,MAX(0,ROUND((INDEX($E785:$G785,AX$5)-SUMIFS(TF_Timer,TF_Tekniker,AX$4,TF_Dato,$A785))*2,0)/2)))</f>
        <v/>
      </c>
      <c r="AY785">
        <f>IF(OR(AY$4="",$A785&gt;TODAY()),0,IF(OR(INDEX($B785:$D785,AY$5)="F",AND(AY$6&gt;0,$A785&lt;AY$6),AND(AY$7&gt;0,$A785&gt;AY$7)),0,MAX(0,ROUND((INDEX($E785:$G785,AY$5)-SUMIFS(TF_Timer,TF_Tekniker,AY$4,TF_Dato,$A785))*2,0)/2)))</f>
        <v/>
      </c>
      <c r="AZ785">
        <f>IF(OR(AZ$4="",$A785&gt;TODAY()),0,IF(OR(INDEX($B785:$D785,AZ$5)="F",AND(AZ$6&gt;0,$A785&lt;AZ$6),AND(AZ$7&gt;0,$A785&gt;AZ$7)),0,MAX(0,ROUND((INDEX($E785:$G785,AZ$5)-SUMIFS(TF_Timer,TF_Tekniker,AZ$4,TF_Dato,$A785))*2,0)/2)))</f>
        <v/>
      </c>
      <c r="BA785">
        <f>IF(OR(BA$4="",$A785&gt;TODAY()),0,IF(OR(INDEX($B785:$D785,BA$5)="F",AND(BA$6&gt;0,$A785&lt;BA$6),AND(BA$7&gt;0,$A785&gt;BA$7)),0,MAX(0,ROUND((INDEX($E785:$G785,BA$5)-SUMIFS(TF_Timer,TF_Tekniker,BA$4,TF_Dato,$A785))*2,0)/2)))</f>
        <v/>
      </c>
      <c r="BB785">
        <f>IF(OR(BB$4="",$A785&gt;TODAY()),0,IF(OR(INDEX($B785:$D785,BB$5)="F",AND(BB$6&gt;0,$A785&lt;BB$6),AND(BB$7&gt;0,$A785&gt;BB$7)),0,MAX(0,ROUND((INDEX($E785:$G785,BB$5)-SUMIFS(TF_Timer,TF_Tekniker,BB$4,TF_Dato,$A785))*2,0)/2)))</f>
        <v/>
      </c>
      <c r="BC785">
        <f>IF(OR(BC$4="",$A785&gt;TODAY()),0,IF(OR(INDEX($B785:$D785,BC$5)="F",AND(BC$6&gt;0,$A785&lt;BC$6),AND(BC$7&gt;0,$A785&gt;BC$7)),0,MAX(0,ROUND((INDEX($E785:$G785,BC$5)-SUMIFS(TF_Timer,TF_Tekniker,BC$4,TF_Dato,$A785))*2,0)/2)))</f>
        <v/>
      </c>
      <c r="BD785">
        <f>IF(OR(BD$4="",$A785&gt;TODAY()),0,IF(OR(INDEX($B785:$D785,BD$5)="F",AND(BD$6&gt;0,$A785&lt;BD$6),AND(BD$7&gt;0,$A785&gt;BD$7)),0,MAX(0,ROUND((INDEX($E785:$G785,BD$5)-SUMIFS(TF_Timer,TF_Tekniker,BD$4,TF_Dato,$A785))*2,0)/2)))</f>
        <v/>
      </c>
      <c r="BE785">
        <f>IF(OR(BE$4="",$A785&gt;TODAY()),0,IF(OR(INDEX($B785:$D785,BE$5)="F",AND(BE$6&gt;0,$A785&lt;BE$6),AND(BE$7&gt;0,$A785&gt;BE$7)),0,MAX(0,ROUND((INDEX($E785:$G785,BE$5)-SUMIFS(TF_Timer,TF_Tekniker,BE$4,TF_Dato,$A785))*2,0)/2)))</f>
        <v/>
      </c>
      <c r="BF785">
        <f>IF(OR(BF$4="",$A785&gt;TODAY()),0,IF(OR(INDEX($B785:$D785,BF$5)="F",AND(BF$6&gt;0,$A785&lt;BF$6),AND(BF$7&gt;0,$A785&gt;BF$7)),0,MAX(0,ROUND((INDEX($E785:$G785,BF$5)-SUMIFS(TF_Timer,TF_Tekniker,BF$4,TF_Dato,$A785))*2,0)/2)))</f>
        <v/>
      </c>
      <c r="BG785">
        <f>IF(OR(BG$4="",$A785&gt;TODAY()),0,IF(OR(INDEX($B785:$D785,BG$5)="F",AND(BG$6&gt;0,$A785&lt;BG$6),AND(BG$7&gt;0,$A785&gt;BG$7)),0,MAX(0,ROUND((INDEX($E785:$G785,BG$5)-SUMIFS(TF_Timer,TF_Tekniker,BG$4,TF_Dato,$A785))*2,0)/2)))</f>
        <v/>
      </c>
      <c r="BH785">
        <f>IF(OR(BH$4="",$A785&gt;TODAY()),0,IF(OR(INDEX($B785:$D785,BH$5)="F",AND(BH$6&gt;0,$A785&lt;BH$6),AND(BH$7&gt;0,$A785&gt;BH$7)),0,MAX(0,ROUND((INDEX($E785:$G785,BH$5)-SUMIFS(TF_Timer,TF_Tekniker,BH$4,TF_Dato,$A785))*2,0)/2)))</f>
        <v/>
      </c>
      <c r="BI785">
        <f>IF(OR(BI$4="",$A785&gt;TODAY()),0,IF(OR(INDEX($B785:$D785,BI$5)="F",AND(BI$6&gt;0,$A785&lt;BI$6),AND(BI$7&gt;0,$A785&gt;BI$7)),0,MAX(0,ROUND((INDEX($E785:$G785,BI$5)-SUMIFS(TF_Timer,TF_Tekniker,BI$4,TF_Dato,$A785))*2,0)/2)))</f>
        <v/>
      </c>
    </row>
    <row r="786">
      <c r="A786" s="64">
        <f>A785+1</f>
        <v/>
      </c>
      <c r="B786">
        <f>IF(MOD($A786-INDEX(SkiftStart,1),Syklus)&lt;DagK,"K",IF(MOD($A786-INDEX(SkiftStart,1),Syklus)&lt;DagK+DagH,"H",IF(MOD($A786-INDEX(SkiftStart,1),Syklus)&lt;DagK+DagH+DagD,"D","F")))</f>
        <v/>
      </c>
      <c r="C786">
        <f>IF(MOD($A786-INDEX(SkiftStart,2),Syklus)&lt;DagK,"K",IF(MOD($A786-INDEX(SkiftStart,2),Syklus)&lt;DagK+DagH,"H",IF(MOD($A786-INDEX(SkiftStart,2),Syklus)&lt;DagK+DagH+DagD,"D","F")))</f>
        <v/>
      </c>
      <c r="D786">
        <f>IF(MOD($A786-INDEX(SkiftStart,3),Syklus)&lt;DagK,"K",IF(MOD($A786-INDEX(SkiftStart,3),Syklus)&lt;DagK+DagH,"H",IF(MOD($A786-INDEX(SkiftStart,3),Syklus)&lt;DagK+DagH+DagD,"D","F")))</f>
        <v/>
      </c>
      <c r="E786">
        <f>IF(B786="F",0,IF(WEEKDAY($A786,2)=5,INDEX(TimerFr,MATCH(B786,FaseKode,0)),INDEX(TimerMT,MATCH(B786,FaseKode,0))))</f>
        <v/>
      </c>
      <c r="F786">
        <f>IF(C786="F",0,IF(WEEKDAY($A786,2)=5,INDEX(TimerFr,MATCH(C786,FaseKode,0)),INDEX(TimerMT,MATCH(C786,FaseKode,0))))</f>
        <v/>
      </c>
      <c r="G786">
        <f>IF(D786="F",0,IF(WEEKDAY($A786,2)=5,INDEX(TimerFr,MATCH(D786,FaseKode,0)),INDEX(TimerMT,MATCH(D786,FaseKode,0))))</f>
        <v/>
      </c>
      <c r="H786">
        <f>IF(OR(H$4="",$A786&gt;TODAY()),0,IF(OR(INDEX($B786:$D786,H$5)="F",AND(H$6&gt;0,$A786&lt;H$6),AND(H$7&gt;0,$A786&gt;H$7)),0,MAX(0,ROUND((INDEX($E786:$G786,H$5)-SUMIFS(TF_Timer,TF_Tekniker,H$4,TF_Dato,$A786))*2,0)/2)))</f>
        <v/>
      </c>
      <c r="I786">
        <f>IF(OR(I$4="",$A786&gt;TODAY()),0,IF(OR(INDEX($B786:$D786,I$5)="F",AND(I$6&gt;0,$A786&lt;I$6),AND(I$7&gt;0,$A786&gt;I$7)),0,MAX(0,ROUND((INDEX($E786:$G786,I$5)-SUMIFS(TF_Timer,TF_Tekniker,I$4,TF_Dato,$A786))*2,0)/2)))</f>
        <v/>
      </c>
      <c r="J786">
        <f>IF(OR(J$4="",$A786&gt;TODAY()),0,IF(OR(INDEX($B786:$D786,J$5)="F",AND(J$6&gt;0,$A786&lt;J$6),AND(J$7&gt;0,$A786&gt;J$7)),0,MAX(0,ROUND((INDEX($E786:$G786,J$5)-SUMIFS(TF_Timer,TF_Tekniker,J$4,TF_Dato,$A786))*2,0)/2)))</f>
        <v/>
      </c>
      <c r="K786">
        <f>IF(OR(K$4="",$A786&gt;TODAY()),0,IF(OR(INDEX($B786:$D786,K$5)="F",AND(K$6&gt;0,$A786&lt;K$6),AND(K$7&gt;0,$A786&gt;K$7)),0,MAX(0,ROUND((INDEX($E786:$G786,K$5)-SUMIFS(TF_Timer,TF_Tekniker,K$4,TF_Dato,$A786))*2,0)/2)))</f>
        <v/>
      </c>
      <c r="L786">
        <f>IF(OR(L$4="",$A786&gt;TODAY()),0,IF(OR(INDEX($B786:$D786,L$5)="F",AND(L$6&gt;0,$A786&lt;L$6),AND(L$7&gt;0,$A786&gt;L$7)),0,MAX(0,ROUND((INDEX($E786:$G786,L$5)-SUMIFS(TF_Timer,TF_Tekniker,L$4,TF_Dato,$A786))*2,0)/2)))</f>
        <v/>
      </c>
      <c r="M786">
        <f>IF(OR(M$4="",$A786&gt;TODAY()),0,IF(OR(INDEX($B786:$D786,M$5)="F",AND(M$6&gt;0,$A786&lt;M$6),AND(M$7&gt;0,$A786&gt;M$7)),0,MAX(0,ROUND((INDEX($E786:$G786,M$5)-SUMIFS(TF_Timer,TF_Tekniker,M$4,TF_Dato,$A786))*2,0)/2)))</f>
        <v/>
      </c>
      <c r="N786">
        <f>IF(OR(N$4="",$A786&gt;TODAY()),0,IF(OR(INDEX($B786:$D786,N$5)="F",AND(N$6&gt;0,$A786&lt;N$6),AND(N$7&gt;0,$A786&gt;N$7)),0,MAX(0,ROUND((INDEX($E786:$G786,N$5)-SUMIFS(TF_Timer,TF_Tekniker,N$4,TF_Dato,$A786))*2,0)/2)))</f>
        <v/>
      </c>
      <c r="O786">
        <f>IF(OR(O$4="",$A786&gt;TODAY()),0,IF(OR(INDEX($B786:$D786,O$5)="F",AND(O$6&gt;0,$A786&lt;O$6),AND(O$7&gt;0,$A786&gt;O$7)),0,MAX(0,ROUND((INDEX($E786:$G786,O$5)-SUMIFS(TF_Timer,TF_Tekniker,O$4,TF_Dato,$A786))*2,0)/2)))</f>
        <v/>
      </c>
      <c r="P786">
        <f>IF(OR(P$4="",$A786&gt;TODAY()),0,IF(OR(INDEX($B786:$D786,P$5)="F",AND(P$6&gt;0,$A786&lt;P$6),AND(P$7&gt;0,$A786&gt;P$7)),0,MAX(0,ROUND((INDEX($E786:$G786,P$5)-SUMIFS(TF_Timer,TF_Tekniker,P$4,TF_Dato,$A786))*2,0)/2)))</f>
        <v/>
      </c>
      <c r="Q786">
        <f>IF(OR(Q$4="",$A786&gt;TODAY()),0,IF(OR(INDEX($B786:$D786,Q$5)="F",AND(Q$6&gt;0,$A786&lt;Q$6),AND(Q$7&gt;0,$A786&gt;Q$7)),0,MAX(0,ROUND((INDEX($E786:$G786,Q$5)-SUMIFS(TF_Timer,TF_Tekniker,Q$4,TF_Dato,$A786))*2,0)/2)))</f>
        <v/>
      </c>
      <c r="R786">
        <f>IF(OR(R$4="",$A786&gt;TODAY()),0,IF(OR(INDEX($B786:$D786,R$5)="F",AND(R$6&gt;0,$A786&lt;R$6),AND(R$7&gt;0,$A786&gt;R$7)),0,MAX(0,ROUND((INDEX($E786:$G786,R$5)-SUMIFS(TF_Timer,TF_Tekniker,R$4,TF_Dato,$A786))*2,0)/2)))</f>
        <v/>
      </c>
      <c r="S786">
        <f>IF(OR(S$4="",$A786&gt;TODAY()),0,IF(OR(INDEX($B786:$D786,S$5)="F",AND(S$6&gt;0,$A786&lt;S$6),AND(S$7&gt;0,$A786&gt;S$7)),0,MAX(0,ROUND((INDEX($E786:$G786,S$5)-SUMIFS(TF_Timer,TF_Tekniker,S$4,TF_Dato,$A786))*2,0)/2)))</f>
        <v/>
      </c>
      <c r="T786">
        <f>IF(OR(T$4="",$A786&gt;TODAY()),0,IF(OR(INDEX($B786:$D786,T$5)="F",AND(T$6&gt;0,$A786&lt;T$6),AND(T$7&gt;0,$A786&gt;T$7)),0,MAX(0,ROUND((INDEX($E786:$G786,T$5)-SUMIFS(TF_Timer,TF_Tekniker,T$4,TF_Dato,$A786))*2,0)/2)))</f>
        <v/>
      </c>
      <c r="U786">
        <f>IF(OR(U$4="",$A786&gt;TODAY()),0,IF(OR(INDEX($B786:$D786,U$5)="F",AND(U$6&gt;0,$A786&lt;U$6),AND(U$7&gt;0,$A786&gt;U$7)),0,MAX(0,ROUND((INDEX($E786:$G786,U$5)-SUMIFS(TF_Timer,TF_Tekniker,U$4,TF_Dato,$A786))*2,0)/2)))</f>
        <v/>
      </c>
      <c r="V786">
        <f>IF(OR(V$4="",$A786&gt;TODAY()),0,IF(OR(INDEX($B786:$D786,V$5)="F",AND(V$6&gt;0,$A786&lt;V$6),AND(V$7&gt;0,$A786&gt;V$7)),0,MAX(0,ROUND((INDEX($E786:$G786,V$5)-SUMIFS(TF_Timer,TF_Tekniker,V$4,TF_Dato,$A786))*2,0)/2)))</f>
        <v/>
      </c>
      <c r="W786">
        <f>IF(OR(W$4="",$A786&gt;TODAY()),0,IF(OR(INDEX($B786:$D786,W$5)="F",AND(W$6&gt;0,$A786&lt;W$6),AND(W$7&gt;0,$A786&gt;W$7)),0,MAX(0,ROUND((INDEX($E786:$G786,W$5)-SUMIFS(TF_Timer,TF_Tekniker,W$4,TF_Dato,$A786))*2,0)/2)))</f>
        <v/>
      </c>
      <c r="X786">
        <f>IF(OR(X$4="",$A786&gt;TODAY()),0,IF(OR(INDEX($B786:$D786,X$5)="F",AND(X$6&gt;0,$A786&lt;X$6),AND(X$7&gt;0,$A786&gt;X$7)),0,MAX(0,ROUND((INDEX($E786:$G786,X$5)-SUMIFS(TF_Timer,TF_Tekniker,X$4,TF_Dato,$A786))*2,0)/2)))</f>
        <v/>
      </c>
      <c r="Y786">
        <f>IF(OR(Y$4="",$A786&gt;TODAY()),0,IF(OR(INDEX($B786:$D786,Y$5)="F",AND(Y$6&gt;0,$A786&lt;Y$6),AND(Y$7&gt;0,$A786&gt;Y$7)),0,MAX(0,ROUND((INDEX($E786:$G786,Y$5)-SUMIFS(TF_Timer,TF_Tekniker,Y$4,TF_Dato,$A786))*2,0)/2)))</f>
        <v/>
      </c>
      <c r="Z786">
        <f>IF(OR(Z$4="",$A786&gt;TODAY()),0,IF(OR(INDEX($B786:$D786,Z$5)="F",AND(Z$6&gt;0,$A786&lt;Z$6),AND(Z$7&gt;0,$A786&gt;Z$7)),0,MAX(0,ROUND((INDEX($E786:$G786,Z$5)-SUMIFS(TF_Timer,TF_Tekniker,Z$4,TF_Dato,$A786))*2,0)/2)))</f>
        <v/>
      </c>
      <c r="AA786">
        <f>IF(OR(AA$4="",$A786&gt;TODAY()),0,IF(OR(INDEX($B786:$D786,AA$5)="F",AND(AA$6&gt;0,$A786&lt;AA$6),AND(AA$7&gt;0,$A786&gt;AA$7)),0,MAX(0,ROUND((INDEX($E786:$G786,AA$5)-SUMIFS(TF_Timer,TF_Tekniker,AA$4,TF_Dato,$A786))*2,0)/2)))</f>
        <v/>
      </c>
      <c r="AB786">
        <f>IF(OR(AB$4="",$A786&gt;TODAY()),0,IF(OR(INDEX($B786:$D786,AB$5)="F",AND(AB$6&gt;0,$A786&lt;AB$6),AND(AB$7&gt;0,$A786&gt;AB$7)),0,MAX(0,ROUND((INDEX($E786:$G786,AB$5)-SUMIFS(TF_Timer,TF_Tekniker,AB$4,TF_Dato,$A786))*2,0)/2)))</f>
        <v/>
      </c>
      <c r="AC786">
        <f>IF(OR(AC$4="",$A786&gt;TODAY()),0,IF(OR(INDEX($B786:$D786,AC$5)="F",AND(AC$6&gt;0,$A786&lt;AC$6),AND(AC$7&gt;0,$A786&gt;AC$7)),0,MAX(0,ROUND((INDEX($E786:$G786,AC$5)-SUMIFS(TF_Timer,TF_Tekniker,AC$4,TF_Dato,$A786))*2,0)/2)))</f>
        <v/>
      </c>
      <c r="AD786">
        <f>IF(OR(AD$4="",$A786&gt;TODAY()),0,IF(OR(INDEX($B786:$D786,AD$5)="F",AND(AD$6&gt;0,$A786&lt;AD$6),AND(AD$7&gt;0,$A786&gt;AD$7)),0,MAX(0,ROUND((INDEX($E786:$G786,AD$5)-SUMIFS(TF_Timer,TF_Tekniker,AD$4,TF_Dato,$A786))*2,0)/2)))</f>
        <v/>
      </c>
      <c r="AE786">
        <f>IF(OR(AE$4="",$A786&gt;TODAY()),0,IF(OR(INDEX($B786:$D786,AE$5)="F",AND(AE$6&gt;0,$A786&lt;AE$6),AND(AE$7&gt;0,$A786&gt;AE$7)),0,MAX(0,ROUND((INDEX($E786:$G786,AE$5)-SUMIFS(TF_Timer,TF_Tekniker,AE$4,TF_Dato,$A786))*2,0)/2)))</f>
        <v/>
      </c>
      <c r="AF786">
        <f>IF(OR(AF$4="",$A786&gt;TODAY()),0,IF(OR(INDEX($B786:$D786,AF$5)="F",AND(AF$6&gt;0,$A786&lt;AF$6),AND(AF$7&gt;0,$A786&gt;AF$7)),0,MAX(0,ROUND((INDEX($E786:$G786,AF$5)-SUMIFS(TF_Timer,TF_Tekniker,AF$4,TF_Dato,$A786))*2,0)/2)))</f>
        <v/>
      </c>
      <c r="AG786">
        <f>IF(OR(AG$4="",$A786&gt;TODAY()),0,IF(OR(INDEX($B786:$D786,AG$5)="F",AND(AG$6&gt;0,$A786&lt;AG$6),AND(AG$7&gt;0,$A786&gt;AG$7)),0,MAX(0,ROUND((INDEX($E786:$G786,AG$5)-SUMIFS(TF_Timer,TF_Tekniker,AG$4,TF_Dato,$A786))*2,0)/2)))</f>
        <v/>
      </c>
      <c r="AH786">
        <f>IF(OR(AH$4="",$A786&gt;TODAY()),0,IF(OR(INDEX($B786:$D786,AH$5)="F",AND(AH$6&gt;0,$A786&lt;AH$6),AND(AH$7&gt;0,$A786&gt;AH$7)),0,MAX(0,ROUND((INDEX($E786:$G786,AH$5)-SUMIFS(TF_Timer,TF_Tekniker,AH$4,TF_Dato,$A786))*2,0)/2)))</f>
        <v/>
      </c>
      <c r="AI786">
        <f>IF(OR(AI$4="",$A786&gt;TODAY()),0,IF(OR(INDEX($B786:$D786,AI$5)="F",AND(AI$6&gt;0,$A786&lt;AI$6),AND(AI$7&gt;0,$A786&gt;AI$7)),0,MAX(0,ROUND((INDEX($E786:$G786,AI$5)-SUMIFS(TF_Timer,TF_Tekniker,AI$4,TF_Dato,$A786))*2,0)/2)))</f>
        <v/>
      </c>
      <c r="AJ786">
        <f>IF(OR(AJ$4="",$A786&gt;TODAY()),0,IF(OR(INDEX($B786:$D786,AJ$5)="F",AND(AJ$6&gt;0,$A786&lt;AJ$6),AND(AJ$7&gt;0,$A786&gt;AJ$7)),0,MAX(0,ROUND((INDEX($E786:$G786,AJ$5)-SUMIFS(TF_Timer,TF_Tekniker,AJ$4,TF_Dato,$A786))*2,0)/2)))</f>
        <v/>
      </c>
      <c r="AK786">
        <f>IF(OR(AK$4="",$A786&gt;TODAY()),0,IF(OR(INDEX($B786:$D786,AK$5)="F",AND(AK$6&gt;0,$A786&lt;AK$6),AND(AK$7&gt;0,$A786&gt;AK$7)),0,MAX(0,ROUND((INDEX($E786:$G786,AK$5)-SUMIFS(TF_Timer,TF_Tekniker,AK$4,TF_Dato,$A786))*2,0)/2)))</f>
        <v/>
      </c>
      <c r="AL786">
        <f>IF(OR(AL$4="",$A786&gt;TODAY()),0,IF(OR(INDEX($B786:$D786,AL$5)="F",AND(AL$6&gt;0,$A786&lt;AL$6),AND(AL$7&gt;0,$A786&gt;AL$7)),0,MAX(0,ROUND((INDEX($E786:$G786,AL$5)-SUMIFS(TF_Timer,TF_Tekniker,AL$4,TF_Dato,$A786))*2,0)/2)))</f>
        <v/>
      </c>
      <c r="AM786">
        <f>IF(OR(AM$4="",$A786&gt;TODAY()),0,IF(OR(INDEX($B786:$D786,AM$5)="F",AND(AM$6&gt;0,$A786&lt;AM$6),AND(AM$7&gt;0,$A786&gt;AM$7)),0,MAX(0,ROUND((INDEX($E786:$G786,AM$5)-SUMIFS(TF_Timer,TF_Tekniker,AM$4,TF_Dato,$A786))*2,0)/2)))</f>
        <v/>
      </c>
      <c r="AN786">
        <f>IF(OR(AN$4="",$A786&gt;TODAY()),0,IF(OR(INDEX($B786:$D786,AN$5)="F",AND(AN$6&gt;0,$A786&lt;AN$6),AND(AN$7&gt;0,$A786&gt;AN$7)),0,MAX(0,ROUND((INDEX($E786:$G786,AN$5)-SUMIFS(TF_Timer,TF_Tekniker,AN$4,TF_Dato,$A786))*2,0)/2)))</f>
        <v/>
      </c>
      <c r="AO786">
        <f>IF(OR(AO$4="",$A786&gt;TODAY()),0,IF(OR(INDEX($B786:$D786,AO$5)="F",AND(AO$6&gt;0,$A786&lt;AO$6),AND(AO$7&gt;0,$A786&gt;AO$7)),0,MAX(0,ROUND((INDEX($E786:$G786,AO$5)-SUMIFS(TF_Timer,TF_Tekniker,AO$4,TF_Dato,$A786))*2,0)/2)))</f>
        <v/>
      </c>
      <c r="AP786">
        <f>IF(OR(AP$4="",$A786&gt;TODAY()),0,IF(OR(INDEX($B786:$D786,AP$5)="F",AND(AP$6&gt;0,$A786&lt;AP$6),AND(AP$7&gt;0,$A786&gt;AP$7)),0,MAX(0,ROUND((INDEX($E786:$G786,AP$5)-SUMIFS(TF_Timer,TF_Tekniker,AP$4,TF_Dato,$A786))*2,0)/2)))</f>
        <v/>
      </c>
      <c r="AQ786">
        <f>IF(OR(AQ$4="",$A786&gt;TODAY()),0,IF(OR(INDEX($B786:$D786,AQ$5)="F",AND(AQ$6&gt;0,$A786&lt;AQ$6),AND(AQ$7&gt;0,$A786&gt;AQ$7)),0,MAX(0,ROUND((INDEX($E786:$G786,AQ$5)-SUMIFS(TF_Timer,TF_Tekniker,AQ$4,TF_Dato,$A786))*2,0)/2)))</f>
        <v/>
      </c>
      <c r="AR786">
        <f>IF(OR(AR$4="",$A786&gt;TODAY()),0,IF(OR(INDEX($B786:$D786,AR$5)="F",AND(AR$6&gt;0,$A786&lt;AR$6),AND(AR$7&gt;0,$A786&gt;AR$7)),0,MAX(0,ROUND((INDEX($E786:$G786,AR$5)-SUMIFS(TF_Timer,TF_Tekniker,AR$4,TF_Dato,$A786))*2,0)/2)))</f>
        <v/>
      </c>
      <c r="AS786">
        <f>IF(OR(AS$4="",$A786&gt;TODAY()),0,IF(OR(INDEX($B786:$D786,AS$5)="F",AND(AS$6&gt;0,$A786&lt;AS$6),AND(AS$7&gt;0,$A786&gt;AS$7)),0,MAX(0,ROUND((INDEX($E786:$G786,AS$5)-SUMIFS(TF_Timer,TF_Tekniker,AS$4,TF_Dato,$A786))*2,0)/2)))</f>
        <v/>
      </c>
      <c r="AT786">
        <f>IF(OR(AT$4="",$A786&gt;TODAY()),0,IF(OR(INDEX($B786:$D786,AT$5)="F",AND(AT$6&gt;0,$A786&lt;AT$6),AND(AT$7&gt;0,$A786&gt;AT$7)),0,MAX(0,ROUND((INDEX($E786:$G786,AT$5)-SUMIFS(TF_Timer,TF_Tekniker,AT$4,TF_Dato,$A786))*2,0)/2)))</f>
        <v/>
      </c>
      <c r="AU786">
        <f>IF(OR(AU$4="",$A786&gt;TODAY()),0,IF(OR(INDEX($B786:$D786,AU$5)="F",AND(AU$6&gt;0,$A786&lt;AU$6),AND(AU$7&gt;0,$A786&gt;AU$7)),0,MAX(0,ROUND((INDEX($E786:$G786,AU$5)-SUMIFS(TF_Timer,TF_Tekniker,AU$4,TF_Dato,$A786))*2,0)/2)))</f>
        <v/>
      </c>
      <c r="AV786">
        <f>IF(OR(AV$4="",$A786&gt;TODAY()),0,IF(OR(INDEX($B786:$D786,AV$5)="F",AND(AV$6&gt;0,$A786&lt;AV$6),AND(AV$7&gt;0,$A786&gt;AV$7)),0,MAX(0,ROUND((INDEX($E786:$G786,AV$5)-SUMIFS(TF_Timer,TF_Tekniker,AV$4,TF_Dato,$A786))*2,0)/2)))</f>
        <v/>
      </c>
      <c r="AW786">
        <f>IF(OR(AW$4="",$A786&gt;TODAY()),0,IF(OR(INDEX($B786:$D786,AW$5)="F",AND(AW$6&gt;0,$A786&lt;AW$6),AND(AW$7&gt;0,$A786&gt;AW$7)),0,MAX(0,ROUND((INDEX($E786:$G786,AW$5)-SUMIFS(TF_Timer,TF_Tekniker,AW$4,TF_Dato,$A786))*2,0)/2)))</f>
        <v/>
      </c>
      <c r="AX786">
        <f>IF(OR(AX$4="",$A786&gt;TODAY()),0,IF(OR(INDEX($B786:$D786,AX$5)="F",AND(AX$6&gt;0,$A786&lt;AX$6),AND(AX$7&gt;0,$A786&gt;AX$7)),0,MAX(0,ROUND((INDEX($E786:$G786,AX$5)-SUMIFS(TF_Timer,TF_Tekniker,AX$4,TF_Dato,$A786))*2,0)/2)))</f>
        <v/>
      </c>
      <c r="AY786">
        <f>IF(OR(AY$4="",$A786&gt;TODAY()),0,IF(OR(INDEX($B786:$D786,AY$5)="F",AND(AY$6&gt;0,$A786&lt;AY$6),AND(AY$7&gt;0,$A786&gt;AY$7)),0,MAX(0,ROUND((INDEX($E786:$G786,AY$5)-SUMIFS(TF_Timer,TF_Tekniker,AY$4,TF_Dato,$A786))*2,0)/2)))</f>
        <v/>
      </c>
      <c r="AZ786">
        <f>IF(OR(AZ$4="",$A786&gt;TODAY()),0,IF(OR(INDEX($B786:$D786,AZ$5)="F",AND(AZ$6&gt;0,$A786&lt;AZ$6),AND(AZ$7&gt;0,$A786&gt;AZ$7)),0,MAX(0,ROUND((INDEX($E786:$G786,AZ$5)-SUMIFS(TF_Timer,TF_Tekniker,AZ$4,TF_Dato,$A786))*2,0)/2)))</f>
        <v/>
      </c>
      <c r="BA786">
        <f>IF(OR(BA$4="",$A786&gt;TODAY()),0,IF(OR(INDEX($B786:$D786,BA$5)="F",AND(BA$6&gt;0,$A786&lt;BA$6),AND(BA$7&gt;0,$A786&gt;BA$7)),0,MAX(0,ROUND((INDEX($E786:$G786,BA$5)-SUMIFS(TF_Timer,TF_Tekniker,BA$4,TF_Dato,$A786))*2,0)/2)))</f>
        <v/>
      </c>
      <c r="BB786">
        <f>IF(OR(BB$4="",$A786&gt;TODAY()),0,IF(OR(INDEX($B786:$D786,BB$5)="F",AND(BB$6&gt;0,$A786&lt;BB$6),AND(BB$7&gt;0,$A786&gt;BB$7)),0,MAX(0,ROUND((INDEX($E786:$G786,BB$5)-SUMIFS(TF_Timer,TF_Tekniker,BB$4,TF_Dato,$A786))*2,0)/2)))</f>
        <v/>
      </c>
      <c r="BC786">
        <f>IF(OR(BC$4="",$A786&gt;TODAY()),0,IF(OR(INDEX($B786:$D786,BC$5)="F",AND(BC$6&gt;0,$A786&lt;BC$6),AND(BC$7&gt;0,$A786&gt;BC$7)),0,MAX(0,ROUND((INDEX($E786:$G786,BC$5)-SUMIFS(TF_Timer,TF_Tekniker,BC$4,TF_Dato,$A786))*2,0)/2)))</f>
        <v/>
      </c>
      <c r="BD786">
        <f>IF(OR(BD$4="",$A786&gt;TODAY()),0,IF(OR(INDEX($B786:$D786,BD$5)="F",AND(BD$6&gt;0,$A786&lt;BD$6),AND(BD$7&gt;0,$A786&gt;BD$7)),0,MAX(0,ROUND((INDEX($E786:$G786,BD$5)-SUMIFS(TF_Timer,TF_Tekniker,BD$4,TF_Dato,$A786))*2,0)/2)))</f>
        <v/>
      </c>
      <c r="BE786">
        <f>IF(OR(BE$4="",$A786&gt;TODAY()),0,IF(OR(INDEX($B786:$D786,BE$5)="F",AND(BE$6&gt;0,$A786&lt;BE$6),AND(BE$7&gt;0,$A786&gt;BE$7)),0,MAX(0,ROUND((INDEX($E786:$G786,BE$5)-SUMIFS(TF_Timer,TF_Tekniker,BE$4,TF_Dato,$A786))*2,0)/2)))</f>
        <v/>
      </c>
      <c r="BF786">
        <f>IF(OR(BF$4="",$A786&gt;TODAY()),0,IF(OR(INDEX($B786:$D786,BF$5)="F",AND(BF$6&gt;0,$A786&lt;BF$6),AND(BF$7&gt;0,$A786&gt;BF$7)),0,MAX(0,ROUND((INDEX($E786:$G786,BF$5)-SUMIFS(TF_Timer,TF_Tekniker,BF$4,TF_Dato,$A786))*2,0)/2)))</f>
        <v/>
      </c>
      <c r="BG786">
        <f>IF(OR(BG$4="",$A786&gt;TODAY()),0,IF(OR(INDEX($B786:$D786,BG$5)="F",AND(BG$6&gt;0,$A786&lt;BG$6),AND(BG$7&gt;0,$A786&gt;BG$7)),0,MAX(0,ROUND((INDEX($E786:$G786,BG$5)-SUMIFS(TF_Timer,TF_Tekniker,BG$4,TF_Dato,$A786))*2,0)/2)))</f>
        <v/>
      </c>
      <c r="BH786">
        <f>IF(OR(BH$4="",$A786&gt;TODAY()),0,IF(OR(INDEX($B786:$D786,BH$5)="F",AND(BH$6&gt;0,$A786&lt;BH$6),AND(BH$7&gt;0,$A786&gt;BH$7)),0,MAX(0,ROUND((INDEX($E786:$G786,BH$5)-SUMIFS(TF_Timer,TF_Tekniker,BH$4,TF_Dato,$A786))*2,0)/2)))</f>
        <v/>
      </c>
      <c r="BI786">
        <f>IF(OR(BI$4="",$A786&gt;TODAY()),0,IF(OR(INDEX($B786:$D786,BI$5)="F",AND(BI$6&gt;0,$A786&lt;BI$6),AND(BI$7&gt;0,$A786&gt;BI$7)),0,MAX(0,ROUND((INDEX($E786:$G786,BI$5)-SUMIFS(TF_Timer,TF_Tekniker,BI$4,TF_Dato,$A786))*2,0)/2)))</f>
        <v/>
      </c>
    </row>
    <row r="787">
      <c r="A787" s="64">
        <f>A786+1</f>
        <v/>
      </c>
      <c r="B787">
        <f>IF(MOD($A787-INDEX(SkiftStart,1),Syklus)&lt;DagK,"K",IF(MOD($A787-INDEX(SkiftStart,1),Syklus)&lt;DagK+DagH,"H",IF(MOD($A787-INDEX(SkiftStart,1),Syklus)&lt;DagK+DagH+DagD,"D","F")))</f>
        <v/>
      </c>
      <c r="C787">
        <f>IF(MOD($A787-INDEX(SkiftStart,2),Syklus)&lt;DagK,"K",IF(MOD($A787-INDEX(SkiftStart,2),Syklus)&lt;DagK+DagH,"H",IF(MOD($A787-INDEX(SkiftStart,2),Syklus)&lt;DagK+DagH+DagD,"D","F")))</f>
        <v/>
      </c>
      <c r="D787">
        <f>IF(MOD($A787-INDEX(SkiftStart,3),Syklus)&lt;DagK,"K",IF(MOD($A787-INDEX(SkiftStart,3),Syklus)&lt;DagK+DagH,"H",IF(MOD($A787-INDEX(SkiftStart,3),Syklus)&lt;DagK+DagH+DagD,"D","F")))</f>
        <v/>
      </c>
      <c r="E787">
        <f>IF(B787="F",0,IF(WEEKDAY($A787,2)=5,INDEX(TimerFr,MATCH(B787,FaseKode,0)),INDEX(TimerMT,MATCH(B787,FaseKode,0))))</f>
        <v/>
      </c>
      <c r="F787">
        <f>IF(C787="F",0,IF(WEEKDAY($A787,2)=5,INDEX(TimerFr,MATCH(C787,FaseKode,0)),INDEX(TimerMT,MATCH(C787,FaseKode,0))))</f>
        <v/>
      </c>
      <c r="G787">
        <f>IF(D787="F",0,IF(WEEKDAY($A787,2)=5,INDEX(TimerFr,MATCH(D787,FaseKode,0)),INDEX(TimerMT,MATCH(D787,FaseKode,0))))</f>
        <v/>
      </c>
      <c r="H787">
        <f>IF(OR(H$4="",$A787&gt;TODAY()),0,IF(OR(INDEX($B787:$D787,H$5)="F",AND(H$6&gt;0,$A787&lt;H$6),AND(H$7&gt;0,$A787&gt;H$7)),0,MAX(0,ROUND((INDEX($E787:$G787,H$5)-SUMIFS(TF_Timer,TF_Tekniker,H$4,TF_Dato,$A787))*2,0)/2)))</f>
        <v/>
      </c>
      <c r="I787">
        <f>IF(OR(I$4="",$A787&gt;TODAY()),0,IF(OR(INDEX($B787:$D787,I$5)="F",AND(I$6&gt;0,$A787&lt;I$6),AND(I$7&gt;0,$A787&gt;I$7)),0,MAX(0,ROUND((INDEX($E787:$G787,I$5)-SUMIFS(TF_Timer,TF_Tekniker,I$4,TF_Dato,$A787))*2,0)/2)))</f>
        <v/>
      </c>
      <c r="J787">
        <f>IF(OR(J$4="",$A787&gt;TODAY()),0,IF(OR(INDEX($B787:$D787,J$5)="F",AND(J$6&gt;0,$A787&lt;J$6),AND(J$7&gt;0,$A787&gt;J$7)),0,MAX(0,ROUND((INDEX($E787:$G787,J$5)-SUMIFS(TF_Timer,TF_Tekniker,J$4,TF_Dato,$A787))*2,0)/2)))</f>
        <v/>
      </c>
      <c r="K787">
        <f>IF(OR(K$4="",$A787&gt;TODAY()),0,IF(OR(INDEX($B787:$D787,K$5)="F",AND(K$6&gt;0,$A787&lt;K$6),AND(K$7&gt;0,$A787&gt;K$7)),0,MAX(0,ROUND((INDEX($E787:$G787,K$5)-SUMIFS(TF_Timer,TF_Tekniker,K$4,TF_Dato,$A787))*2,0)/2)))</f>
        <v/>
      </c>
      <c r="L787">
        <f>IF(OR(L$4="",$A787&gt;TODAY()),0,IF(OR(INDEX($B787:$D787,L$5)="F",AND(L$6&gt;0,$A787&lt;L$6),AND(L$7&gt;0,$A787&gt;L$7)),0,MAX(0,ROUND((INDEX($E787:$G787,L$5)-SUMIFS(TF_Timer,TF_Tekniker,L$4,TF_Dato,$A787))*2,0)/2)))</f>
        <v/>
      </c>
      <c r="M787">
        <f>IF(OR(M$4="",$A787&gt;TODAY()),0,IF(OR(INDEX($B787:$D787,M$5)="F",AND(M$6&gt;0,$A787&lt;M$6),AND(M$7&gt;0,$A787&gt;M$7)),0,MAX(0,ROUND((INDEX($E787:$G787,M$5)-SUMIFS(TF_Timer,TF_Tekniker,M$4,TF_Dato,$A787))*2,0)/2)))</f>
        <v/>
      </c>
      <c r="N787">
        <f>IF(OR(N$4="",$A787&gt;TODAY()),0,IF(OR(INDEX($B787:$D787,N$5)="F",AND(N$6&gt;0,$A787&lt;N$6),AND(N$7&gt;0,$A787&gt;N$7)),0,MAX(0,ROUND((INDEX($E787:$G787,N$5)-SUMIFS(TF_Timer,TF_Tekniker,N$4,TF_Dato,$A787))*2,0)/2)))</f>
        <v/>
      </c>
      <c r="O787">
        <f>IF(OR(O$4="",$A787&gt;TODAY()),0,IF(OR(INDEX($B787:$D787,O$5)="F",AND(O$6&gt;0,$A787&lt;O$6),AND(O$7&gt;0,$A787&gt;O$7)),0,MAX(0,ROUND((INDEX($E787:$G787,O$5)-SUMIFS(TF_Timer,TF_Tekniker,O$4,TF_Dato,$A787))*2,0)/2)))</f>
        <v/>
      </c>
      <c r="P787">
        <f>IF(OR(P$4="",$A787&gt;TODAY()),0,IF(OR(INDEX($B787:$D787,P$5)="F",AND(P$6&gt;0,$A787&lt;P$6),AND(P$7&gt;0,$A787&gt;P$7)),0,MAX(0,ROUND((INDEX($E787:$G787,P$5)-SUMIFS(TF_Timer,TF_Tekniker,P$4,TF_Dato,$A787))*2,0)/2)))</f>
        <v/>
      </c>
      <c r="Q787">
        <f>IF(OR(Q$4="",$A787&gt;TODAY()),0,IF(OR(INDEX($B787:$D787,Q$5)="F",AND(Q$6&gt;0,$A787&lt;Q$6),AND(Q$7&gt;0,$A787&gt;Q$7)),0,MAX(0,ROUND((INDEX($E787:$G787,Q$5)-SUMIFS(TF_Timer,TF_Tekniker,Q$4,TF_Dato,$A787))*2,0)/2)))</f>
        <v/>
      </c>
      <c r="R787">
        <f>IF(OR(R$4="",$A787&gt;TODAY()),0,IF(OR(INDEX($B787:$D787,R$5)="F",AND(R$6&gt;0,$A787&lt;R$6),AND(R$7&gt;0,$A787&gt;R$7)),0,MAX(0,ROUND((INDEX($E787:$G787,R$5)-SUMIFS(TF_Timer,TF_Tekniker,R$4,TF_Dato,$A787))*2,0)/2)))</f>
        <v/>
      </c>
      <c r="S787">
        <f>IF(OR(S$4="",$A787&gt;TODAY()),0,IF(OR(INDEX($B787:$D787,S$5)="F",AND(S$6&gt;0,$A787&lt;S$6),AND(S$7&gt;0,$A787&gt;S$7)),0,MAX(0,ROUND((INDEX($E787:$G787,S$5)-SUMIFS(TF_Timer,TF_Tekniker,S$4,TF_Dato,$A787))*2,0)/2)))</f>
        <v/>
      </c>
      <c r="T787">
        <f>IF(OR(T$4="",$A787&gt;TODAY()),0,IF(OR(INDEX($B787:$D787,T$5)="F",AND(T$6&gt;0,$A787&lt;T$6),AND(T$7&gt;0,$A787&gt;T$7)),0,MAX(0,ROUND((INDEX($E787:$G787,T$5)-SUMIFS(TF_Timer,TF_Tekniker,T$4,TF_Dato,$A787))*2,0)/2)))</f>
        <v/>
      </c>
      <c r="U787">
        <f>IF(OR(U$4="",$A787&gt;TODAY()),0,IF(OR(INDEX($B787:$D787,U$5)="F",AND(U$6&gt;0,$A787&lt;U$6),AND(U$7&gt;0,$A787&gt;U$7)),0,MAX(0,ROUND((INDEX($E787:$G787,U$5)-SUMIFS(TF_Timer,TF_Tekniker,U$4,TF_Dato,$A787))*2,0)/2)))</f>
        <v/>
      </c>
      <c r="V787">
        <f>IF(OR(V$4="",$A787&gt;TODAY()),0,IF(OR(INDEX($B787:$D787,V$5)="F",AND(V$6&gt;0,$A787&lt;V$6),AND(V$7&gt;0,$A787&gt;V$7)),0,MAX(0,ROUND((INDEX($E787:$G787,V$5)-SUMIFS(TF_Timer,TF_Tekniker,V$4,TF_Dato,$A787))*2,0)/2)))</f>
        <v/>
      </c>
      <c r="W787">
        <f>IF(OR(W$4="",$A787&gt;TODAY()),0,IF(OR(INDEX($B787:$D787,W$5)="F",AND(W$6&gt;0,$A787&lt;W$6),AND(W$7&gt;0,$A787&gt;W$7)),0,MAX(0,ROUND((INDEX($E787:$G787,W$5)-SUMIFS(TF_Timer,TF_Tekniker,W$4,TF_Dato,$A787))*2,0)/2)))</f>
        <v/>
      </c>
      <c r="X787">
        <f>IF(OR(X$4="",$A787&gt;TODAY()),0,IF(OR(INDEX($B787:$D787,X$5)="F",AND(X$6&gt;0,$A787&lt;X$6),AND(X$7&gt;0,$A787&gt;X$7)),0,MAX(0,ROUND((INDEX($E787:$G787,X$5)-SUMIFS(TF_Timer,TF_Tekniker,X$4,TF_Dato,$A787))*2,0)/2)))</f>
        <v/>
      </c>
      <c r="Y787">
        <f>IF(OR(Y$4="",$A787&gt;TODAY()),0,IF(OR(INDEX($B787:$D787,Y$5)="F",AND(Y$6&gt;0,$A787&lt;Y$6),AND(Y$7&gt;0,$A787&gt;Y$7)),0,MAX(0,ROUND((INDEX($E787:$G787,Y$5)-SUMIFS(TF_Timer,TF_Tekniker,Y$4,TF_Dato,$A787))*2,0)/2)))</f>
        <v/>
      </c>
      <c r="Z787">
        <f>IF(OR(Z$4="",$A787&gt;TODAY()),0,IF(OR(INDEX($B787:$D787,Z$5)="F",AND(Z$6&gt;0,$A787&lt;Z$6),AND(Z$7&gt;0,$A787&gt;Z$7)),0,MAX(0,ROUND((INDEX($E787:$G787,Z$5)-SUMIFS(TF_Timer,TF_Tekniker,Z$4,TF_Dato,$A787))*2,0)/2)))</f>
        <v/>
      </c>
      <c r="AA787">
        <f>IF(OR(AA$4="",$A787&gt;TODAY()),0,IF(OR(INDEX($B787:$D787,AA$5)="F",AND(AA$6&gt;0,$A787&lt;AA$6),AND(AA$7&gt;0,$A787&gt;AA$7)),0,MAX(0,ROUND((INDEX($E787:$G787,AA$5)-SUMIFS(TF_Timer,TF_Tekniker,AA$4,TF_Dato,$A787))*2,0)/2)))</f>
        <v/>
      </c>
      <c r="AB787">
        <f>IF(OR(AB$4="",$A787&gt;TODAY()),0,IF(OR(INDEX($B787:$D787,AB$5)="F",AND(AB$6&gt;0,$A787&lt;AB$6),AND(AB$7&gt;0,$A787&gt;AB$7)),0,MAX(0,ROUND((INDEX($E787:$G787,AB$5)-SUMIFS(TF_Timer,TF_Tekniker,AB$4,TF_Dato,$A787))*2,0)/2)))</f>
        <v/>
      </c>
      <c r="AC787">
        <f>IF(OR(AC$4="",$A787&gt;TODAY()),0,IF(OR(INDEX($B787:$D787,AC$5)="F",AND(AC$6&gt;0,$A787&lt;AC$6),AND(AC$7&gt;0,$A787&gt;AC$7)),0,MAX(0,ROUND((INDEX($E787:$G787,AC$5)-SUMIFS(TF_Timer,TF_Tekniker,AC$4,TF_Dato,$A787))*2,0)/2)))</f>
        <v/>
      </c>
      <c r="AD787">
        <f>IF(OR(AD$4="",$A787&gt;TODAY()),0,IF(OR(INDEX($B787:$D787,AD$5)="F",AND(AD$6&gt;0,$A787&lt;AD$6),AND(AD$7&gt;0,$A787&gt;AD$7)),0,MAX(0,ROUND((INDEX($E787:$G787,AD$5)-SUMIFS(TF_Timer,TF_Tekniker,AD$4,TF_Dato,$A787))*2,0)/2)))</f>
        <v/>
      </c>
      <c r="AE787">
        <f>IF(OR(AE$4="",$A787&gt;TODAY()),0,IF(OR(INDEX($B787:$D787,AE$5)="F",AND(AE$6&gt;0,$A787&lt;AE$6),AND(AE$7&gt;0,$A787&gt;AE$7)),0,MAX(0,ROUND((INDEX($E787:$G787,AE$5)-SUMIFS(TF_Timer,TF_Tekniker,AE$4,TF_Dato,$A787))*2,0)/2)))</f>
        <v/>
      </c>
      <c r="AF787">
        <f>IF(OR(AF$4="",$A787&gt;TODAY()),0,IF(OR(INDEX($B787:$D787,AF$5)="F",AND(AF$6&gt;0,$A787&lt;AF$6),AND(AF$7&gt;0,$A787&gt;AF$7)),0,MAX(0,ROUND((INDEX($E787:$G787,AF$5)-SUMIFS(TF_Timer,TF_Tekniker,AF$4,TF_Dato,$A787))*2,0)/2)))</f>
        <v/>
      </c>
      <c r="AG787">
        <f>IF(OR(AG$4="",$A787&gt;TODAY()),0,IF(OR(INDEX($B787:$D787,AG$5)="F",AND(AG$6&gt;0,$A787&lt;AG$6),AND(AG$7&gt;0,$A787&gt;AG$7)),0,MAX(0,ROUND((INDEX($E787:$G787,AG$5)-SUMIFS(TF_Timer,TF_Tekniker,AG$4,TF_Dato,$A787))*2,0)/2)))</f>
        <v/>
      </c>
      <c r="AH787">
        <f>IF(OR(AH$4="",$A787&gt;TODAY()),0,IF(OR(INDEX($B787:$D787,AH$5)="F",AND(AH$6&gt;0,$A787&lt;AH$6),AND(AH$7&gt;0,$A787&gt;AH$7)),0,MAX(0,ROUND((INDEX($E787:$G787,AH$5)-SUMIFS(TF_Timer,TF_Tekniker,AH$4,TF_Dato,$A787))*2,0)/2)))</f>
        <v/>
      </c>
      <c r="AI787">
        <f>IF(OR(AI$4="",$A787&gt;TODAY()),0,IF(OR(INDEX($B787:$D787,AI$5)="F",AND(AI$6&gt;0,$A787&lt;AI$6),AND(AI$7&gt;0,$A787&gt;AI$7)),0,MAX(0,ROUND((INDEX($E787:$G787,AI$5)-SUMIFS(TF_Timer,TF_Tekniker,AI$4,TF_Dato,$A787))*2,0)/2)))</f>
        <v/>
      </c>
      <c r="AJ787">
        <f>IF(OR(AJ$4="",$A787&gt;TODAY()),0,IF(OR(INDEX($B787:$D787,AJ$5)="F",AND(AJ$6&gt;0,$A787&lt;AJ$6),AND(AJ$7&gt;0,$A787&gt;AJ$7)),0,MAX(0,ROUND((INDEX($E787:$G787,AJ$5)-SUMIFS(TF_Timer,TF_Tekniker,AJ$4,TF_Dato,$A787))*2,0)/2)))</f>
        <v/>
      </c>
      <c r="AK787">
        <f>IF(OR(AK$4="",$A787&gt;TODAY()),0,IF(OR(INDEX($B787:$D787,AK$5)="F",AND(AK$6&gt;0,$A787&lt;AK$6),AND(AK$7&gt;0,$A787&gt;AK$7)),0,MAX(0,ROUND((INDEX($E787:$G787,AK$5)-SUMIFS(TF_Timer,TF_Tekniker,AK$4,TF_Dato,$A787))*2,0)/2)))</f>
        <v/>
      </c>
      <c r="AL787">
        <f>IF(OR(AL$4="",$A787&gt;TODAY()),0,IF(OR(INDEX($B787:$D787,AL$5)="F",AND(AL$6&gt;0,$A787&lt;AL$6),AND(AL$7&gt;0,$A787&gt;AL$7)),0,MAX(0,ROUND((INDEX($E787:$G787,AL$5)-SUMIFS(TF_Timer,TF_Tekniker,AL$4,TF_Dato,$A787))*2,0)/2)))</f>
        <v/>
      </c>
      <c r="AM787">
        <f>IF(OR(AM$4="",$A787&gt;TODAY()),0,IF(OR(INDEX($B787:$D787,AM$5)="F",AND(AM$6&gt;0,$A787&lt;AM$6),AND(AM$7&gt;0,$A787&gt;AM$7)),0,MAX(0,ROUND((INDEX($E787:$G787,AM$5)-SUMIFS(TF_Timer,TF_Tekniker,AM$4,TF_Dato,$A787))*2,0)/2)))</f>
        <v/>
      </c>
      <c r="AN787">
        <f>IF(OR(AN$4="",$A787&gt;TODAY()),0,IF(OR(INDEX($B787:$D787,AN$5)="F",AND(AN$6&gt;0,$A787&lt;AN$6),AND(AN$7&gt;0,$A787&gt;AN$7)),0,MAX(0,ROUND((INDEX($E787:$G787,AN$5)-SUMIFS(TF_Timer,TF_Tekniker,AN$4,TF_Dato,$A787))*2,0)/2)))</f>
        <v/>
      </c>
      <c r="AO787">
        <f>IF(OR(AO$4="",$A787&gt;TODAY()),0,IF(OR(INDEX($B787:$D787,AO$5)="F",AND(AO$6&gt;0,$A787&lt;AO$6),AND(AO$7&gt;0,$A787&gt;AO$7)),0,MAX(0,ROUND((INDEX($E787:$G787,AO$5)-SUMIFS(TF_Timer,TF_Tekniker,AO$4,TF_Dato,$A787))*2,0)/2)))</f>
        <v/>
      </c>
      <c r="AP787">
        <f>IF(OR(AP$4="",$A787&gt;TODAY()),0,IF(OR(INDEX($B787:$D787,AP$5)="F",AND(AP$6&gt;0,$A787&lt;AP$6),AND(AP$7&gt;0,$A787&gt;AP$7)),0,MAX(0,ROUND((INDEX($E787:$G787,AP$5)-SUMIFS(TF_Timer,TF_Tekniker,AP$4,TF_Dato,$A787))*2,0)/2)))</f>
        <v/>
      </c>
      <c r="AQ787">
        <f>IF(OR(AQ$4="",$A787&gt;TODAY()),0,IF(OR(INDEX($B787:$D787,AQ$5)="F",AND(AQ$6&gt;0,$A787&lt;AQ$6),AND(AQ$7&gt;0,$A787&gt;AQ$7)),0,MAX(0,ROUND((INDEX($E787:$G787,AQ$5)-SUMIFS(TF_Timer,TF_Tekniker,AQ$4,TF_Dato,$A787))*2,0)/2)))</f>
        <v/>
      </c>
      <c r="AR787">
        <f>IF(OR(AR$4="",$A787&gt;TODAY()),0,IF(OR(INDEX($B787:$D787,AR$5)="F",AND(AR$6&gt;0,$A787&lt;AR$6),AND(AR$7&gt;0,$A787&gt;AR$7)),0,MAX(0,ROUND((INDEX($E787:$G787,AR$5)-SUMIFS(TF_Timer,TF_Tekniker,AR$4,TF_Dato,$A787))*2,0)/2)))</f>
        <v/>
      </c>
      <c r="AS787">
        <f>IF(OR(AS$4="",$A787&gt;TODAY()),0,IF(OR(INDEX($B787:$D787,AS$5)="F",AND(AS$6&gt;0,$A787&lt;AS$6),AND(AS$7&gt;0,$A787&gt;AS$7)),0,MAX(0,ROUND((INDEX($E787:$G787,AS$5)-SUMIFS(TF_Timer,TF_Tekniker,AS$4,TF_Dato,$A787))*2,0)/2)))</f>
        <v/>
      </c>
      <c r="AT787">
        <f>IF(OR(AT$4="",$A787&gt;TODAY()),0,IF(OR(INDEX($B787:$D787,AT$5)="F",AND(AT$6&gt;0,$A787&lt;AT$6),AND(AT$7&gt;0,$A787&gt;AT$7)),0,MAX(0,ROUND((INDEX($E787:$G787,AT$5)-SUMIFS(TF_Timer,TF_Tekniker,AT$4,TF_Dato,$A787))*2,0)/2)))</f>
        <v/>
      </c>
      <c r="AU787">
        <f>IF(OR(AU$4="",$A787&gt;TODAY()),0,IF(OR(INDEX($B787:$D787,AU$5)="F",AND(AU$6&gt;0,$A787&lt;AU$6),AND(AU$7&gt;0,$A787&gt;AU$7)),0,MAX(0,ROUND((INDEX($E787:$G787,AU$5)-SUMIFS(TF_Timer,TF_Tekniker,AU$4,TF_Dato,$A787))*2,0)/2)))</f>
        <v/>
      </c>
      <c r="AV787">
        <f>IF(OR(AV$4="",$A787&gt;TODAY()),0,IF(OR(INDEX($B787:$D787,AV$5)="F",AND(AV$6&gt;0,$A787&lt;AV$6),AND(AV$7&gt;0,$A787&gt;AV$7)),0,MAX(0,ROUND((INDEX($E787:$G787,AV$5)-SUMIFS(TF_Timer,TF_Tekniker,AV$4,TF_Dato,$A787))*2,0)/2)))</f>
        <v/>
      </c>
      <c r="AW787">
        <f>IF(OR(AW$4="",$A787&gt;TODAY()),0,IF(OR(INDEX($B787:$D787,AW$5)="F",AND(AW$6&gt;0,$A787&lt;AW$6),AND(AW$7&gt;0,$A787&gt;AW$7)),0,MAX(0,ROUND((INDEX($E787:$G787,AW$5)-SUMIFS(TF_Timer,TF_Tekniker,AW$4,TF_Dato,$A787))*2,0)/2)))</f>
        <v/>
      </c>
      <c r="AX787">
        <f>IF(OR(AX$4="",$A787&gt;TODAY()),0,IF(OR(INDEX($B787:$D787,AX$5)="F",AND(AX$6&gt;0,$A787&lt;AX$6),AND(AX$7&gt;0,$A787&gt;AX$7)),0,MAX(0,ROUND((INDEX($E787:$G787,AX$5)-SUMIFS(TF_Timer,TF_Tekniker,AX$4,TF_Dato,$A787))*2,0)/2)))</f>
        <v/>
      </c>
      <c r="AY787">
        <f>IF(OR(AY$4="",$A787&gt;TODAY()),0,IF(OR(INDEX($B787:$D787,AY$5)="F",AND(AY$6&gt;0,$A787&lt;AY$6),AND(AY$7&gt;0,$A787&gt;AY$7)),0,MAX(0,ROUND((INDEX($E787:$G787,AY$5)-SUMIFS(TF_Timer,TF_Tekniker,AY$4,TF_Dato,$A787))*2,0)/2)))</f>
        <v/>
      </c>
      <c r="AZ787">
        <f>IF(OR(AZ$4="",$A787&gt;TODAY()),0,IF(OR(INDEX($B787:$D787,AZ$5)="F",AND(AZ$6&gt;0,$A787&lt;AZ$6),AND(AZ$7&gt;0,$A787&gt;AZ$7)),0,MAX(0,ROUND((INDEX($E787:$G787,AZ$5)-SUMIFS(TF_Timer,TF_Tekniker,AZ$4,TF_Dato,$A787))*2,0)/2)))</f>
        <v/>
      </c>
      <c r="BA787">
        <f>IF(OR(BA$4="",$A787&gt;TODAY()),0,IF(OR(INDEX($B787:$D787,BA$5)="F",AND(BA$6&gt;0,$A787&lt;BA$6),AND(BA$7&gt;0,$A787&gt;BA$7)),0,MAX(0,ROUND((INDEX($E787:$G787,BA$5)-SUMIFS(TF_Timer,TF_Tekniker,BA$4,TF_Dato,$A787))*2,0)/2)))</f>
        <v/>
      </c>
      <c r="BB787">
        <f>IF(OR(BB$4="",$A787&gt;TODAY()),0,IF(OR(INDEX($B787:$D787,BB$5)="F",AND(BB$6&gt;0,$A787&lt;BB$6),AND(BB$7&gt;0,$A787&gt;BB$7)),0,MAX(0,ROUND((INDEX($E787:$G787,BB$5)-SUMIFS(TF_Timer,TF_Tekniker,BB$4,TF_Dato,$A787))*2,0)/2)))</f>
        <v/>
      </c>
      <c r="BC787">
        <f>IF(OR(BC$4="",$A787&gt;TODAY()),0,IF(OR(INDEX($B787:$D787,BC$5)="F",AND(BC$6&gt;0,$A787&lt;BC$6),AND(BC$7&gt;0,$A787&gt;BC$7)),0,MAX(0,ROUND((INDEX($E787:$G787,BC$5)-SUMIFS(TF_Timer,TF_Tekniker,BC$4,TF_Dato,$A787))*2,0)/2)))</f>
        <v/>
      </c>
      <c r="BD787">
        <f>IF(OR(BD$4="",$A787&gt;TODAY()),0,IF(OR(INDEX($B787:$D787,BD$5)="F",AND(BD$6&gt;0,$A787&lt;BD$6),AND(BD$7&gt;0,$A787&gt;BD$7)),0,MAX(0,ROUND((INDEX($E787:$G787,BD$5)-SUMIFS(TF_Timer,TF_Tekniker,BD$4,TF_Dato,$A787))*2,0)/2)))</f>
        <v/>
      </c>
      <c r="BE787">
        <f>IF(OR(BE$4="",$A787&gt;TODAY()),0,IF(OR(INDEX($B787:$D787,BE$5)="F",AND(BE$6&gt;0,$A787&lt;BE$6),AND(BE$7&gt;0,$A787&gt;BE$7)),0,MAX(0,ROUND((INDEX($E787:$G787,BE$5)-SUMIFS(TF_Timer,TF_Tekniker,BE$4,TF_Dato,$A787))*2,0)/2)))</f>
        <v/>
      </c>
      <c r="BF787">
        <f>IF(OR(BF$4="",$A787&gt;TODAY()),0,IF(OR(INDEX($B787:$D787,BF$5)="F",AND(BF$6&gt;0,$A787&lt;BF$6),AND(BF$7&gt;0,$A787&gt;BF$7)),0,MAX(0,ROUND((INDEX($E787:$G787,BF$5)-SUMIFS(TF_Timer,TF_Tekniker,BF$4,TF_Dato,$A787))*2,0)/2)))</f>
        <v/>
      </c>
      <c r="BG787">
        <f>IF(OR(BG$4="",$A787&gt;TODAY()),0,IF(OR(INDEX($B787:$D787,BG$5)="F",AND(BG$6&gt;0,$A787&lt;BG$6),AND(BG$7&gt;0,$A787&gt;BG$7)),0,MAX(0,ROUND((INDEX($E787:$G787,BG$5)-SUMIFS(TF_Timer,TF_Tekniker,BG$4,TF_Dato,$A787))*2,0)/2)))</f>
        <v/>
      </c>
      <c r="BH787">
        <f>IF(OR(BH$4="",$A787&gt;TODAY()),0,IF(OR(INDEX($B787:$D787,BH$5)="F",AND(BH$6&gt;0,$A787&lt;BH$6),AND(BH$7&gt;0,$A787&gt;BH$7)),0,MAX(0,ROUND((INDEX($E787:$G787,BH$5)-SUMIFS(TF_Timer,TF_Tekniker,BH$4,TF_Dato,$A787))*2,0)/2)))</f>
        <v/>
      </c>
      <c r="BI787">
        <f>IF(OR(BI$4="",$A787&gt;TODAY()),0,IF(OR(INDEX($B787:$D787,BI$5)="F",AND(BI$6&gt;0,$A787&lt;BI$6),AND(BI$7&gt;0,$A787&gt;BI$7)),0,MAX(0,ROUND((INDEX($E787:$G787,BI$5)-SUMIFS(TF_Timer,TF_Tekniker,BI$4,TF_Dato,$A787))*2,0)/2)))</f>
        <v/>
      </c>
    </row>
    <row r="788">
      <c r="A788" s="64">
        <f>A787+1</f>
        <v/>
      </c>
      <c r="B788">
        <f>IF(MOD($A788-INDEX(SkiftStart,1),Syklus)&lt;DagK,"K",IF(MOD($A788-INDEX(SkiftStart,1),Syklus)&lt;DagK+DagH,"H",IF(MOD($A788-INDEX(SkiftStart,1),Syklus)&lt;DagK+DagH+DagD,"D","F")))</f>
        <v/>
      </c>
      <c r="C788">
        <f>IF(MOD($A788-INDEX(SkiftStart,2),Syklus)&lt;DagK,"K",IF(MOD($A788-INDEX(SkiftStart,2),Syklus)&lt;DagK+DagH,"H",IF(MOD($A788-INDEX(SkiftStart,2),Syklus)&lt;DagK+DagH+DagD,"D","F")))</f>
        <v/>
      </c>
      <c r="D788">
        <f>IF(MOD($A788-INDEX(SkiftStart,3),Syklus)&lt;DagK,"K",IF(MOD($A788-INDEX(SkiftStart,3),Syklus)&lt;DagK+DagH,"H",IF(MOD($A788-INDEX(SkiftStart,3),Syklus)&lt;DagK+DagH+DagD,"D","F")))</f>
        <v/>
      </c>
      <c r="E788">
        <f>IF(B788="F",0,IF(WEEKDAY($A788,2)=5,INDEX(TimerFr,MATCH(B788,FaseKode,0)),INDEX(TimerMT,MATCH(B788,FaseKode,0))))</f>
        <v/>
      </c>
      <c r="F788">
        <f>IF(C788="F",0,IF(WEEKDAY($A788,2)=5,INDEX(TimerFr,MATCH(C788,FaseKode,0)),INDEX(TimerMT,MATCH(C788,FaseKode,0))))</f>
        <v/>
      </c>
      <c r="G788">
        <f>IF(D788="F",0,IF(WEEKDAY($A788,2)=5,INDEX(TimerFr,MATCH(D788,FaseKode,0)),INDEX(TimerMT,MATCH(D788,FaseKode,0))))</f>
        <v/>
      </c>
      <c r="H788">
        <f>IF(OR(H$4="",$A788&gt;TODAY()),0,IF(OR(INDEX($B788:$D788,H$5)="F",AND(H$6&gt;0,$A788&lt;H$6),AND(H$7&gt;0,$A788&gt;H$7)),0,MAX(0,ROUND((INDEX($E788:$G788,H$5)-SUMIFS(TF_Timer,TF_Tekniker,H$4,TF_Dato,$A788))*2,0)/2)))</f>
        <v/>
      </c>
      <c r="I788">
        <f>IF(OR(I$4="",$A788&gt;TODAY()),0,IF(OR(INDEX($B788:$D788,I$5)="F",AND(I$6&gt;0,$A788&lt;I$6),AND(I$7&gt;0,$A788&gt;I$7)),0,MAX(0,ROUND((INDEX($E788:$G788,I$5)-SUMIFS(TF_Timer,TF_Tekniker,I$4,TF_Dato,$A788))*2,0)/2)))</f>
        <v/>
      </c>
      <c r="J788">
        <f>IF(OR(J$4="",$A788&gt;TODAY()),0,IF(OR(INDEX($B788:$D788,J$5)="F",AND(J$6&gt;0,$A788&lt;J$6),AND(J$7&gt;0,$A788&gt;J$7)),0,MAX(0,ROUND((INDEX($E788:$G788,J$5)-SUMIFS(TF_Timer,TF_Tekniker,J$4,TF_Dato,$A788))*2,0)/2)))</f>
        <v/>
      </c>
      <c r="K788">
        <f>IF(OR(K$4="",$A788&gt;TODAY()),0,IF(OR(INDEX($B788:$D788,K$5)="F",AND(K$6&gt;0,$A788&lt;K$6),AND(K$7&gt;0,$A788&gt;K$7)),0,MAX(0,ROUND((INDEX($E788:$G788,K$5)-SUMIFS(TF_Timer,TF_Tekniker,K$4,TF_Dato,$A788))*2,0)/2)))</f>
        <v/>
      </c>
      <c r="L788">
        <f>IF(OR(L$4="",$A788&gt;TODAY()),0,IF(OR(INDEX($B788:$D788,L$5)="F",AND(L$6&gt;0,$A788&lt;L$6),AND(L$7&gt;0,$A788&gt;L$7)),0,MAX(0,ROUND((INDEX($E788:$G788,L$5)-SUMIFS(TF_Timer,TF_Tekniker,L$4,TF_Dato,$A788))*2,0)/2)))</f>
        <v/>
      </c>
      <c r="M788">
        <f>IF(OR(M$4="",$A788&gt;TODAY()),0,IF(OR(INDEX($B788:$D788,M$5)="F",AND(M$6&gt;0,$A788&lt;M$6),AND(M$7&gt;0,$A788&gt;M$7)),0,MAX(0,ROUND((INDEX($E788:$G788,M$5)-SUMIFS(TF_Timer,TF_Tekniker,M$4,TF_Dato,$A788))*2,0)/2)))</f>
        <v/>
      </c>
      <c r="N788">
        <f>IF(OR(N$4="",$A788&gt;TODAY()),0,IF(OR(INDEX($B788:$D788,N$5)="F",AND(N$6&gt;0,$A788&lt;N$6),AND(N$7&gt;0,$A788&gt;N$7)),0,MAX(0,ROUND((INDEX($E788:$G788,N$5)-SUMIFS(TF_Timer,TF_Tekniker,N$4,TF_Dato,$A788))*2,0)/2)))</f>
        <v/>
      </c>
      <c r="O788">
        <f>IF(OR(O$4="",$A788&gt;TODAY()),0,IF(OR(INDEX($B788:$D788,O$5)="F",AND(O$6&gt;0,$A788&lt;O$6),AND(O$7&gt;0,$A788&gt;O$7)),0,MAX(0,ROUND((INDEX($E788:$G788,O$5)-SUMIFS(TF_Timer,TF_Tekniker,O$4,TF_Dato,$A788))*2,0)/2)))</f>
        <v/>
      </c>
      <c r="P788">
        <f>IF(OR(P$4="",$A788&gt;TODAY()),0,IF(OR(INDEX($B788:$D788,P$5)="F",AND(P$6&gt;0,$A788&lt;P$6),AND(P$7&gt;0,$A788&gt;P$7)),0,MAX(0,ROUND((INDEX($E788:$G788,P$5)-SUMIFS(TF_Timer,TF_Tekniker,P$4,TF_Dato,$A788))*2,0)/2)))</f>
        <v/>
      </c>
      <c r="Q788">
        <f>IF(OR(Q$4="",$A788&gt;TODAY()),0,IF(OR(INDEX($B788:$D788,Q$5)="F",AND(Q$6&gt;0,$A788&lt;Q$6),AND(Q$7&gt;0,$A788&gt;Q$7)),0,MAX(0,ROUND((INDEX($E788:$G788,Q$5)-SUMIFS(TF_Timer,TF_Tekniker,Q$4,TF_Dato,$A788))*2,0)/2)))</f>
        <v/>
      </c>
      <c r="R788">
        <f>IF(OR(R$4="",$A788&gt;TODAY()),0,IF(OR(INDEX($B788:$D788,R$5)="F",AND(R$6&gt;0,$A788&lt;R$6),AND(R$7&gt;0,$A788&gt;R$7)),0,MAX(0,ROUND((INDEX($E788:$G788,R$5)-SUMIFS(TF_Timer,TF_Tekniker,R$4,TF_Dato,$A788))*2,0)/2)))</f>
        <v/>
      </c>
      <c r="S788">
        <f>IF(OR(S$4="",$A788&gt;TODAY()),0,IF(OR(INDEX($B788:$D788,S$5)="F",AND(S$6&gt;0,$A788&lt;S$6),AND(S$7&gt;0,$A788&gt;S$7)),0,MAX(0,ROUND((INDEX($E788:$G788,S$5)-SUMIFS(TF_Timer,TF_Tekniker,S$4,TF_Dato,$A788))*2,0)/2)))</f>
        <v/>
      </c>
      <c r="T788">
        <f>IF(OR(T$4="",$A788&gt;TODAY()),0,IF(OR(INDEX($B788:$D788,T$5)="F",AND(T$6&gt;0,$A788&lt;T$6),AND(T$7&gt;0,$A788&gt;T$7)),0,MAX(0,ROUND((INDEX($E788:$G788,T$5)-SUMIFS(TF_Timer,TF_Tekniker,T$4,TF_Dato,$A788))*2,0)/2)))</f>
        <v/>
      </c>
      <c r="U788">
        <f>IF(OR(U$4="",$A788&gt;TODAY()),0,IF(OR(INDEX($B788:$D788,U$5)="F",AND(U$6&gt;0,$A788&lt;U$6),AND(U$7&gt;0,$A788&gt;U$7)),0,MAX(0,ROUND((INDEX($E788:$G788,U$5)-SUMIFS(TF_Timer,TF_Tekniker,U$4,TF_Dato,$A788))*2,0)/2)))</f>
        <v/>
      </c>
      <c r="V788">
        <f>IF(OR(V$4="",$A788&gt;TODAY()),0,IF(OR(INDEX($B788:$D788,V$5)="F",AND(V$6&gt;0,$A788&lt;V$6),AND(V$7&gt;0,$A788&gt;V$7)),0,MAX(0,ROUND((INDEX($E788:$G788,V$5)-SUMIFS(TF_Timer,TF_Tekniker,V$4,TF_Dato,$A788))*2,0)/2)))</f>
        <v/>
      </c>
      <c r="W788">
        <f>IF(OR(W$4="",$A788&gt;TODAY()),0,IF(OR(INDEX($B788:$D788,W$5)="F",AND(W$6&gt;0,$A788&lt;W$6),AND(W$7&gt;0,$A788&gt;W$7)),0,MAX(0,ROUND((INDEX($E788:$G788,W$5)-SUMIFS(TF_Timer,TF_Tekniker,W$4,TF_Dato,$A788))*2,0)/2)))</f>
        <v/>
      </c>
      <c r="X788">
        <f>IF(OR(X$4="",$A788&gt;TODAY()),0,IF(OR(INDEX($B788:$D788,X$5)="F",AND(X$6&gt;0,$A788&lt;X$6),AND(X$7&gt;0,$A788&gt;X$7)),0,MAX(0,ROUND((INDEX($E788:$G788,X$5)-SUMIFS(TF_Timer,TF_Tekniker,X$4,TF_Dato,$A788))*2,0)/2)))</f>
        <v/>
      </c>
      <c r="Y788">
        <f>IF(OR(Y$4="",$A788&gt;TODAY()),0,IF(OR(INDEX($B788:$D788,Y$5)="F",AND(Y$6&gt;0,$A788&lt;Y$6),AND(Y$7&gt;0,$A788&gt;Y$7)),0,MAX(0,ROUND((INDEX($E788:$G788,Y$5)-SUMIFS(TF_Timer,TF_Tekniker,Y$4,TF_Dato,$A788))*2,0)/2)))</f>
        <v/>
      </c>
      <c r="Z788">
        <f>IF(OR(Z$4="",$A788&gt;TODAY()),0,IF(OR(INDEX($B788:$D788,Z$5)="F",AND(Z$6&gt;0,$A788&lt;Z$6),AND(Z$7&gt;0,$A788&gt;Z$7)),0,MAX(0,ROUND((INDEX($E788:$G788,Z$5)-SUMIFS(TF_Timer,TF_Tekniker,Z$4,TF_Dato,$A788))*2,0)/2)))</f>
        <v/>
      </c>
      <c r="AA788">
        <f>IF(OR(AA$4="",$A788&gt;TODAY()),0,IF(OR(INDEX($B788:$D788,AA$5)="F",AND(AA$6&gt;0,$A788&lt;AA$6),AND(AA$7&gt;0,$A788&gt;AA$7)),0,MAX(0,ROUND((INDEX($E788:$G788,AA$5)-SUMIFS(TF_Timer,TF_Tekniker,AA$4,TF_Dato,$A788))*2,0)/2)))</f>
        <v/>
      </c>
      <c r="AB788">
        <f>IF(OR(AB$4="",$A788&gt;TODAY()),0,IF(OR(INDEX($B788:$D788,AB$5)="F",AND(AB$6&gt;0,$A788&lt;AB$6),AND(AB$7&gt;0,$A788&gt;AB$7)),0,MAX(0,ROUND((INDEX($E788:$G788,AB$5)-SUMIFS(TF_Timer,TF_Tekniker,AB$4,TF_Dato,$A788))*2,0)/2)))</f>
        <v/>
      </c>
      <c r="AC788">
        <f>IF(OR(AC$4="",$A788&gt;TODAY()),0,IF(OR(INDEX($B788:$D788,AC$5)="F",AND(AC$6&gt;0,$A788&lt;AC$6),AND(AC$7&gt;0,$A788&gt;AC$7)),0,MAX(0,ROUND((INDEX($E788:$G788,AC$5)-SUMIFS(TF_Timer,TF_Tekniker,AC$4,TF_Dato,$A788))*2,0)/2)))</f>
        <v/>
      </c>
      <c r="AD788">
        <f>IF(OR(AD$4="",$A788&gt;TODAY()),0,IF(OR(INDEX($B788:$D788,AD$5)="F",AND(AD$6&gt;0,$A788&lt;AD$6),AND(AD$7&gt;0,$A788&gt;AD$7)),0,MAX(0,ROUND((INDEX($E788:$G788,AD$5)-SUMIFS(TF_Timer,TF_Tekniker,AD$4,TF_Dato,$A788))*2,0)/2)))</f>
        <v/>
      </c>
      <c r="AE788">
        <f>IF(OR(AE$4="",$A788&gt;TODAY()),0,IF(OR(INDEX($B788:$D788,AE$5)="F",AND(AE$6&gt;0,$A788&lt;AE$6),AND(AE$7&gt;0,$A788&gt;AE$7)),0,MAX(0,ROUND((INDEX($E788:$G788,AE$5)-SUMIFS(TF_Timer,TF_Tekniker,AE$4,TF_Dato,$A788))*2,0)/2)))</f>
        <v/>
      </c>
      <c r="AF788">
        <f>IF(OR(AF$4="",$A788&gt;TODAY()),0,IF(OR(INDEX($B788:$D788,AF$5)="F",AND(AF$6&gt;0,$A788&lt;AF$6),AND(AF$7&gt;0,$A788&gt;AF$7)),0,MAX(0,ROUND((INDEX($E788:$G788,AF$5)-SUMIFS(TF_Timer,TF_Tekniker,AF$4,TF_Dato,$A788))*2,0)/2)))</f>
        <v/>
      </c>
      <c r="AG788">
        <f>IF(OR(AG$4="",$A788&gt;TODAY()),0,IF(OR(INDEX($B788:$D788,AG$5)="F",AND(AG$6&gt;0,$A788&lt;AG$6),AND(AG$7&gt;0,$A788&gt;AG$7)),0,MAX(0,ROUND((INDEX($E788:$G788,AG$5)-SUMIFS(TF_Timer,TF_Tekniker,AG$4,TF_Dato,$A788))*2,0)/2)))</f>
        <v/>
      </c>
      <c r="AH788">
        <f>IF(OR(AH$4="",$A788&gt;TODAY()),0,IF(OR(INDEX($B788:$D788,AH$5)="F",AND(AH$6&gt;0,$A788&lt;AH$6),AND(AH$7&gt;0,$A788&gt;AH$7)),0,MAX(0,ROUND((INDEX($E788:$G788,AH$5)-SUMIFS(TF_Timer,TF_Tekniker,AH$4,TF_Dato,$A788))*2,0)/2)))</f>
        <v/>
      </c>
      <c r="AI788">
        <f>IF(OR(AI$4="",$A788&gt;TODAY()),0,IF(OR(INDEX($B788:$D788,AI$5)="F",AND(AI$6&gt;0,$A788&lt;AI$6),AND(AI$7&gt;0,$A788&gt;AI$7)),0,MAX(0,ROUND((INDEX($E788:$G788,AI$5)-SUMIFS(TF_Timer,TF_Tekniker,AI$4,TF_Dato,$A788))*2,0)/2)))</f>
        <v/>
      </c>
      <c r="AJ788">
        <f>IF(OR(AJ$4="",$A788&gt;TODAY()),0,IF(OR(INDEX($B788:$D788,AJ$5)="F",AND(AJ$6&gt;0,$A788&lt;AJ$6),AND(AJ$7&gt;0,$A788&gt;AJ$7)),0,MAX(0,ROUND((INDEX($E788:$G788,AJ$5)-SUMIFS(TF_Timer,TF_Tekniker,AJ$4,TF_Dato,$A788))*2,0)/2)))</f>
        <v/>
      </c>
      <c r="AK788">
        <f>IF(OR(AK$4="",$A788&gt;TODAY()),0,IF(OR(INDEX($B788:$D788,AK$5)="F",AND(AK$6&gt;0,$A788&lt;AK$6),AND(AK$7&gt;0,$A788&gt;AK$7)),0,MAX(0,ROUND((INDEX($E788:$G788,AK$5)-SUMIFS(TF_Timer,TF_Tekniker,AK$4,TF_Dato,$A788))*2,0)/2)))</f>
        <v/>
      </c>
      <c r="AL788">
        <f>IF(OR(AL$4="",$A788&gt;TODAY()),0,IF(OR(INDEX($B788:$D788,AL$5)="F",AND(AL$6&gt;0,$A788&lt;AL$6),AND(AL$7&gt;0,$A788&gt;AL$7)),0,MAX(0,ROUND((INDEX($E788:$G788,AL$5)-SUMIFS(TF_Timer,TF_Tekniker,AL$4,TF_Dato,$A788))*2,0)/2)))</f>
        <v/>
      </c>
      <c r="AM788">
        <f>IF(OR(AM$4="",$A788&gt;TODAY()),0,IF(OR(INDEX($B788:$D788,AM$5)="F",AND(AM$6&gt;0,$A788&lt;AM$6),AND(AM$7&gt;0,$A788&gt;AM$7)),0,MAX(0,ROUND((INDEX($E788:$G788,AM$5)-SUMIFS(TF_Timer,TF_Tekniker,AM$4,TF_Dato,$A788))*2,0)/2)))</f>
        <v/>
      </c>
      <c r="AN788">
        <f>IF(OR(AN$4="",$A788&gt;TODAY()),0,IF(OR(INDEX($B788:$D788,AN$5)="F",AND(AN$6&gt;0,$A788&lt;AN$6),AND(AN$7&gt;0,$A788&gt;AN$7)),0,MAX(0,ROUND((INDEX($E788:$G788,AN$5)-SUMIFS(TF_Timer,TF_Tekniker,AN$4,TF_Dato,$A788))*2,0)/2)))</f>
        <v/>
      </c>
      <c r="AO788">
        <f>IF(OR(AO$4="",$A788&gt;TODAY()),0,IF(OR(INDEX($B788:$D788,AO$5)="F",AND(AO$6&gt;0,$A788&lt;AO$6),AND(AO$7&gt;0,$A788&gt;AO$7)),0,MAX(0,ROUND((INDEX($E788:$G788,AO$5)-SUMIFS(TF_Timer,TF_Tekniker,AO$4,TF_Dato,$A788))*2,0)/2)))</f>
        <v/>
      </c>
      <c r="AP788">
        <f>IF(OR(AP$4="",$A788&gt;TODAY()),0,IF(OR(INDEX($B788:$D788,AP$5)="F",AND(AP$6&gt;0,$A788&lt;AP$6),AND(AP$7&gt;0,$A788&gt;AP$7)),0,MAX(0,ROUND((INDEX($E788:$G788,AP$5)-SUMIFS(TF_Timer,TF_Tekniker,AP$4,TF_Dato,$A788))*2,0)/2)))</f>
        <v/>
      </c>
      <c r="AQ788">
        <f>IF(OR(AQ$4="",$A788&gt;TODAY()),0,IF(OR(INDEX($B788:$D788,AQ$5)="F",AND(AQ$6&gt;0,$A788&lt;AQ$6),AND(AQ$7&gt;0,$A788&gt;AQ$7)),0,MAX(0,ROUND((INDEX($E788:$G788,AQ$5)-SUMIFS(TF_Timer,TF_Tekniker,AQ$4,TF_Dato,$A788))*2,0)/2)))</f>
        <v/>
      </c>
      <c r="AR788">
        <f>IF(OR(AR$4="",$A788&gt;TODAY()),0,IF(OR(INDEX($B788:$D788,AR$5)="F",AND(AR$6&gt;0,$A788&lt;AR$6),AND(AR$7&gt;0,$A788&gt;AR$7)),0,MAX(0,ROUND((INDEX($E788:$G788,AR$5)-SUMIFS(TF_Timer,TF_Tekniker,AR$4,TF_Dato,$A788))*2,0)/2)))</f>
        <v/>
      </c>
      <c r="AS788">
        <f>IF(OR(AS$4="",$A788&gt;TODAY()),0,IF(OR(INDEX($B788:$D788,AS$5)="F",AND(AS$6&gt;0,$A788&lt;AS$6),AND(AS$7&gt;0,$A788&gt;AS$7)),0,MAX(0,ROUND((INDEX($E788:$G788,AS$5)-SUMIFS(TF_Timer,TF_Tekniker,AS$4,TF_Dato,$A788))*2,0)/2)))</f>
        <v/>
      </c>
      <c r="AT788">
        <f>IF(OR(AT$4="",$A788&gt;TODAY()),0,IF(OR(INDEX($B788:$D788,AT$5)="F",AND(AT$6&gt;0,$A788&lt;AT$6),AND(AT$7&gt;0,$A788&gt;AT$7)),0,MAX(0,ROUND((INDEX($E788:$G788,AT$5)-SUMIFS(TF_Timer,TF_Tekniker,AT$4,TF_Dato,$A788))*2,0)/2)))</f>
        <v/>
      </c>
      <c r="AU788">
        <f>IF(OR(AU$4="",$A788&gt;TODAY()),0,IF(OR(INDEX($B788:$D788,AU$5)="F",AND(AU$6&gt;0,$A788&lt;AU$6),AND(AU$7&gt;0,$A788&gt;AU$7)),0,MAX(0,ROUND((INDEX($E788:$G788,AU$5)-SUMIFS(TF_Timer,TF_Tekniker,AU$4,TF_Dato,$A788))*2,0)/2)))</f>
        <v/>
      </c>
      <c r="AV788">
        <f>IF(OR(AV$4="",$A788&gt;TODAY()),0,IF(OR(INDEX($B788:$D788,AV$5)="F",AND(AV$6&gt;0,$A788&lt;AV$6),AND(AV$7&gt;0,$A788&gt;AV$7)),0,MAX(0,ROUND((INDEX($E788:$G788,AV$5)-SUMIFS(TF_Timer,TF_Tekniker,AV$4,TF_Dato,$A788))*2,0)/2)))</f>
        <v/>
      </c>
      <c r="AW788">
        <f>IF(OR(AW$4="",$A788&gt;TODAY()),0,IF(OR(INDEX($B788:$D788,AW$5)="F",AND(AW$6&gt;0,$A788&lt;AW$6),AND(AW$7&gt;0,$A788&gt;AW$7)),0,MAX(0,ROUND((INDEX($E788:$G788,AW$5)-SUMIFS(TF_Timer,TF_Tekniker,AW$4,TF_Dato,$A788))*2,0)/2)))</f>
        <v/>
      </c>
      <c r="AX788">
        <f>IF(OR(AX$4="",$A788&gt;TODAY()),0,IF(OR(INDEX($B788:$D788,AX$5)="F",AND(AX$6&gt;0,$A788&lt;AX$6),AND(AX$7&gt;0,$A788&gt;AX$7)),0,MAX(0,ROUND((INDEX($E788:$G788,AX$5)-SUMIFS(TF_Timer,TF_Tekniker,AX$4,TF_Dato,$A788))*2,0)/2)))</f>
        <v/>
      </c>
      <c r="AY788">
        <f>IF(OR(AY$4="",$A788&gt;TODAY()),0,IF(OR(INDEX($B788:$D788,AY$5)="F",AND(AY$6&gt;0,$A788&lt;AY$6),AND(AY$7&gt;0,$A788&gt;AY$7)),0,MAX(0,ROUND((INDEX($E788:$G788,AY$5)-SUMIFS(TF_Timer,TF_Tekniker,AY$4,TF_Dato,$A788))*2,0)/2)))</f>
        <v/>
      </c>
      <c r="AZ788">
        <f>IF(OR(AZ$4="",$A788&gt;TODAY()),0,IF(OR(INDEX($B788:$D788,AZ$5)="F",AND(AZ$6&gt;0,$A788&lt;AZ$6),AND(AZ$7&gt;0,$A788&gt;AZ$7)),0,MAX(0,ROUND((INDEX($E788:$G788,AZ$5)-SUMIFS(TF_Timer,TF_Tekniker,AZ$4,TF_Dato,$A788))*2,0)/2)))</f>
        <v/>
      </c>
      <c r="BA788">
        <f>IF(OR(BA$4="",$A788&gt;TODAY()),0,IF(OR(INDEX($B788:$D788,BA$5)="F",AND(BA$6&gt;0,$A788&lt;BA$6),AND(BA$7&gt;0,$A788&gt;BA$7)),0,MAX(0,ROUND((INDEX($E788:$G788,BA$5)-SUMIFS(TF_Timer,TF_Tekniker,BA$4,TF_Dato,$A788))*2,0)/2)))</f>
        <v/>
      </c>
      <c r="BB788">
        <f>IF(OR(BB$4="",$A788&gt;TODAY()),0,IF(OR(INDEX($B788:$D788,BB$5)="F",AND(BB$6&gt;0,$A788&lt;BB$6),AND(BB$7&gt;0,$A788&gt;BB$7)),0,MAX(0,ROUND((INDEX($E788:$G788,BB$5)-SUMIFS(TF_Timer,TF_Tekniker,BB$4,TF_Dato,$A788))*2,0)/2)))</f>
        <v/>
      </c>
      <c r="BC788">
        <f>IF(OR(BC$4="",$A788&gt;TODAY()),0,IF(OR(INDEX($B788:$D788,BC$5)="F",AND(BC$6&gt;0,$A788&lt;BC$6),AND(BC$7&gt;0,$A788&gt;BC$7)),0,MAX(0,ROUND((INDEX($E788:$G788,BC$5)-SUMIFS(TF_Timer,TF_Tekniker,BC$4,TF_Dato,$A788))*2,0)/2)))</f>
        <v/>
      </c>
      <c r="BD788">
        <f>IF(OR(BD$4="",$A788&gt;TODAY()),0,IF(OR(INDEX($B788:$D788,BD$5)="F",AND(BD$6&gt;0,$A788&lt;BD$6),AND(BD$7&gt;0,$A788&gt;BD$7)),0,MAX(0,ROUND((INDEX($E788:$G788,BD$5)-SUMIFS(TF_Timer,TF_Tekniker,BD$4,TF_Dato,$A788))*2,0)/2)))</f>
        <v/>
      </c>
      <c r="BE788">
        <f>IF(OR(BE$4="",$A788&gt;TODAY()),0,IF(OR(INDEX($B788:$D788,BE$5)="F",AND(BE$6&gt;0,$A788&lt;BE$6),AND(BE$7&gt;0,$A788&gt;BE$7)),0,MAX(0,ROUND((INDEX($E788:$G788,BE$5)-SUMIFS(TF_Timer,TF_Tekniker,BE$4,TF_Dato,$A788))*2,0)/2)))</f>
        <v/>
      </c>
      <c r="BF788">
        <f>IF(OR(BF$4="",$A788&gt;TODAY()),0,IF(OR(INDEX($B788:$D788,BF$5)="F",AND(BF$6&gt;0,$A788&lt;BF$6),AND(BF$7&gt;0,$A788&gt;BF$7)),0,MAX(0,ROUND((INDEX($E788:$G788,BF$5)-SUMIFS(TF_Timer,TF_Tekniker,BF$4,TF_Dato,$A788))*2,0)/2)))</f>
        <v/>
      </c>
      <c r="BG788">
        <f>IF(OR(BG$4="",$A788&gt;TODAY()),0,IF(OR(INDEX($B788:$D788,BG$5)="F",AND(BG$6&gt;0,$A788&lt;BG$6),AND(BG$7&gt;0,$A788&gt;BG$7)),0,MAX(0,ROUND((INDEX($E788:$G788,BG$5)-SUMIFS(TF_Timer,TF_Tekniker,BG$4,TF_Dato,$A788))*2,0)/2)))</f>
        <v/>
      </c>
      <c r="BH788">
        <f>IF(OR(BH$4="",$A788&gt;TODAY()),0,IF(OR(INDEX($B788:$D788,BH$5)="F",AND(BH$6&gt;0,$A788&lt;BH$6),AND(BH$7&gt;0,$A788&gt;BH$7)),0,MAX(0,ROUND((INDEX($E788:$G788,BH$5)-SUMIFS(TF_Timer,TF_Tekniker,BH$4,TF_Dato,$A788))*2,0)/2)))</f>
        <v/>
      </c>
      <c r="BI788">
        <f>IF(OR(BI$4="",$A788&gt;TODAY()),0,IF(OR(INDEX($B788:$D788,BI$5)="F",AND(BI$6&gt;0,$A788&lt;BI$6),AND(BI$7&gt;0,$A788&gt;BI$7)),0,MAX(0,ROUND((INDEX($E788:$G788,BI$5)-SUMIFS(TF_Timer,TF_Tekniker,BI$4,TF_Dato,$A788))*2,0)/2)))</f>
        <v/>
      </c>
    </row>
    <row r="789">
      <c r="A789" s="64">
        <f>A788+1</f>
        <v/>
      </c>
      <c r="B789">
        <f>IF(MOD($A789-INDEX(SkiftStart,1),Syklus)&lt;DagK,"K",IF(MOD($A789-INDEX(SkiftStart,1),Syklus)&lt;DagK+DagH,"H",IF(MOD($A789-INDEX(SkiftStart,1),Syklus)&lt;DagK+DagH+DagD,"D","F")))</f>
        <v/>
      </c>
      <c r="C789">
        <f>IF(MOD($A789-INDEX(SkiftStart,2),Syklus)&lt;DagK,"K",IF(MOD($A789-INDEX(SkiftStart,2),Syklus)&lt;DagK+DagH,"H",IF(MOD($A789-INDEX(SkiftStart,2),Syklus)&lt;DagK+DagH+DagD,"D","F")))</f>
        <v/>
      </c>
      <c r="D789">
        <f>IF(MOD($A789-INDEX(SkiftStart,3),Syklus)&lt;DagK,"K",IF(MOD($A789-INDEX(SkiftStart,3),Syklus)&lt;DagK+DagH,"H",IF(MOD($A789-INDEX(SkiftStart,3),Syklus)&lt;DagK+DagH+DagD,"D","F")))</f>
        <v/>
      </c>
      <c r="E789">
        <f>IF(B789="F",0,IF(WEEKDAY($A789,2)=5,INDEX(TimerFr,MATCH(B789,FaseKode,0)),INDEX(TimerMT,MATCH(B789,FaseKode,0))))</f>
        <v/>
      </c>
      <c r="F789">
        <f>IF(C789="F",0,IF(WEEKDAY($A789,2)=5,INDEX(TimerFr,MATCH(C789,FaseKode,0)),INDEX(TimerMT,MATCH(C789,FaseKode,0))))</f>
        <v/>
      </c>
      <c r="G789">
        <f>IF(D789="F",0,IF(WEEKDAY($A789,2)=5,INDEX(TimerFr,MATCH(D789,FaseKode,0)),INDEX(TimerMT,MATCH(D789,FaseKode,0))))</f>
        <v/>
      </c>
      <c r="H789">
        <f>IF(OR(H$4="",$A789&gt;TODAY()),0,IF(OR(INDEX($B789:$D789,H$5)="F",AND(H$6&gt;0,$A789&lt;H$6),AND(H$7&gt;0,$A789&gt;H$7)),0,MAX(0,ROUND((INDEX($E789:$G789,H$5)-SUMIFS(TF_Timer,TF_Tekniker,H$4,TF_Dato,$A789))*2,0)/2)))</f>
        <v/>
      </c>
      <c r="I789">
        <f>IF(OR(I$4="",$A789&gt;TODAY()),0,IF(OR(INDEX($B789:$D789,I$5)="F",AND(I$6&gt;0,$A789&lt;I$6),AND(I$7&gt;0,$A789&gt;I$7)),0,MAX(0,ROUND((INDEX($E789:$G789,I$5)-SUMIFS(TF_Timer,TF_Tekniker,I$4,TF_Dato,$A789))*2,0)/2)))</f>
        <v/>
      </c>
      <c r="J789">
        <f>IF(OR(J$4="",$A789&gt;TODAY()),0,IF(OR(INDEX($B789:$D789,J$5)="F",AND(J$6&gt;0,$A789&lt;J$6),AND(J$7&gt;0,$A789&gt;J$7)),0,MAX(0,ROUND((INDEX($E789:$G789,J$5)-SUMIFS(TF_Timer,TF_Tekniker,J$4,TF_Dato,$A789))*2,0)/2)))</f>
        <v/>
      </c>
      <c r="K789">
        <f>IF(OR(K$4="",$A789&gt;TODAY()),0,IF(OR(INDEX($B789:$D789,K$5)="F",AND(K$6&gt;0,$A789&lt;K$6),AND(K$7&gt;0,$A789&gt;K$7)),0,MAX(0,ROUND((INDEX($E789:$G789,K$5)-SUMIFS(TF_Timer,TF_Tekniker,K$4,TF_Dato,$A789))*2,0)/2)))</f>
        <v/>
      </c>
      <c r="L789">
        <f>IF(OR(L$4="",$A789&gt;TODAY()),0,IF(OR(INDEX($B789:$D789,L$5)="F",AND(L$6&gt;0,$A789&lt;L$6),AND(L$7&gt;0,$A789&gt;L$7)),0,MAX(0,ROUND((INDEX($E789:$G789,L$5)-SUMIFS(TF_Timer,TF_Tekniker,L$4,TF_Dato,$A789))*2,0)/2)))</f>
        <v/>
      </c>
      <c r="M789">
        <f>IF(OR(M$4="",$A789&gt;TODAY()),0,IF(OR(INDEX($B789:$D789,M$5)="F",AND(M$6&gt;0,$A789&lt;M$6),AND(M$7&gt;0,$A789&gt;M$7)),0,MAX(0,ROUND((INDEX($E789:$G789,M$5)-SUMIFS(TF_Timer,TF_Tekniker,M$4,TF_Dato,$A789))*2,0)/2)))</f>
        <v/>
      </c>
      <c r="N789">
        <f>IF(OR(N$4="",$A789&gt;TODAY()),0,IF(OR(INDEX($B789:$D789,N$5)="F",AND(N$6&gt;0,$A789&lt;N$6),AND(N$7&gt;0,$A789&gt;N$7)),0,MAX(0,ROUND((INDEX($E789:$G789,N$5)-SUMIFS(TF_Timer,TF_Tekniker,N$4,TF_Dato,$A789))*2,0)/2)))</f>
        <v/>
      </c>
      <c r="O789">
        <f>IF(OR(O$4="",$A789&gt;TODAY()),0,IF(OR(INDEX($B789:$D789,O$5)="F",AND(O$6&gt;0,$A789&lt;O$6),AND(O$7&gt;0,$A789&gt;O$7)),0,MAX(0,ROUND((INDEX($E789:$G789,O$5)-SUMIFS(TF_Timer,TF_Tekniker,O$4,TF_Dato,$A789))*2,0)/2)))</f>
        <v/>
      </c>
      <c r="P789">
        <f>IF(OR(P$4="",$A789&gt;TODAY()),0,IF(OR(INDEX($B789:$D789,P$5)="F",AND(P$6&gt;0,$A789&lt;P$6),AND(P$7&gt;0,$A789&gt;P$7)),0,MAX(0,ROUND((INDEX($E789:$G789,P$5)-SUMIFS(TF_Timer,TF_Tekniker,P$4,TF_Dato,$A789))*2,0)/2)))</f>
        <v/>
      </c>
      <c r="Q789">
        <f>IF(OR(Q$4="",$A789&gt;TODAY()),0,IF(OR(INDEX($B789:$D789,Q$5)="F",AND(Q$6&gt;0,$A789&lt;Q$6),AND(Q$7&gt;0,$A789&gt;Q$7)),0,MAX(0,ROUND((INDEX($E789:$G789,Q$5)-SUMIFS(TF_Timer,TF_Tekniker,Q$4,TF_Dato,$A789))*2,0)/2)))</f>
        <v/>
      </c>
      <c r="R789">
        <f>IF(OR(R$4="",$A789&gt;TODAY()),0,IF(OR(INDEX($B789:$D789,R$5)="F",AND(R$6&gt;0,$A789&lt;R$6),AND(R$7&gt;0,$A789&gt;R$7)),0,MAX(0,ROUND((INDEX($E789:$G789,R$5)-SUMIFS(TF_Timer,TF_Tekniker,R$4,TF_Dato,$A789))*2,0)/2)))</f>
        <v/>
      </c>
      <c r="S789">
        <f>IF(OR(S$4="",$A789&gt;TODAY()),0,IF(OR(INDEX($B789:$D789,S$5)="F",AND(S$6&gt;0,$A789&lt;S$6),AND(S$7&gt;0,$A789&gt;S$7)),0,MAX(0,ROUND((INDEX($E789:$G789,S$5)-SUMIFS(TF_Timer,TF_Tekniker,S$4,TF_Dato,$A789))*2,0)/2)))</f>
        <v/>
      </c>
      <c r="T789">
        <f>IF(OR(T$4="",$A789&gt;TODAY()),0,IF(OR(INDEX($B789:$D789,T$5)="F",AND(T$6&gt;0,$A789&lt;T$6),AND(T$7&gt;0,$A789&gt;T$7)),0,MAX(0,ROUND((INDEX($E789:$G789,T$5)-SUMIFS(TF_Timer,TF_Tekniker,T$4,TF_Dato,$A789))*2,0)/2)))</f>
        <v/>
      </c>
      <c r="U789">
        <f>IF(OR(U$4="",$A789&gt;TODAY()),0,IF(OR(INDEX($B789:$D789,U$5)="F",AND(U$6&gt;0,$A789&lt;U$6),AND(U$7&gt;0,$A789&gt;U$7)),0,MAX(0,ROUND((INDEX($E789:$G789,U$5)-SUMIFS(TF_Timer,TF_Tekniker,U$4,TF_Dato,$A789))*2,0)/2)))</f>
        <v/>
      </c>
      <c r="V789">
        <f>IF(OR(V$4="",$A789&gt;TODAY()),0,IF(OR(INDEX($B789:$D789,V$5)="F",AND(V$6&gt;0,$A789&lt;V$6),AND(V$7&gt;0,$A789&gt;V$7)),0,MAX(0,ROUND((INDEX($E789:$G789,V$5)-SUMIFS(TF_Timer,TF_Tekniker,V$4,TF_Dato,$A789))*2,0)/2)))</f>
        <v/>
      </c>
      <c r="W789">
        <f>IF(OR(W$4="",$A789&gt;TODAY()),0,IF(OR(INDEX($B789:$D789,W$5)="F",AND(W$6&gt;0,$A789&lt;W$6),AND(W$7&gt;0,$A789&gt;W$7)),0,MAX(0,ROUND((INDEX($E789:$G789,W$5)-SUMIFS(TF_Timer,TF_Tekniker,W$4,TF_Dato,$A789))*2,0)/2)))</f>
        <v/>
      </c>
      <c r="X789">
        <f>IF(OR(X$4="",$A789&gt;TODAY()),0,IF(OR(INDEX($B789:$D789,X$5)="F",AND(X$6&gt;0,$A789&lt;X$6),AND(X$7&gt;0,$A789&gt;X$7)),0,MAX(0,ROUND((INDEX($E789:$G789,X$5)-SUMIFS(TF_Timer,TF_Tekniker,X$4,TF_Dato,$A789))*2,0)/2)))</f>
        <v/>
      </c>
      <c r="Y789">
        <f>IF(OR(Y$4="",$A789&gt;TODAY()),0,IF(OR(INDEX($B789:$D789,Y$5)="F",AND(Y$6&gt;0,$A789&lt;Y$6),AND(Y$7&gt;0,$A789&gt;Y$7)),0,MAX(0,ROUND((INDEX($E789:$G789,Y$5)-SUMIFS(TF_Timer,TF_Tekniker,Y$4,TF_Dato,$A789))*2,0)/2)))</f>
        <v/>
      </c>
      <c r="Z789">
        <f>IF(OR(Z$4="",$A789&gt;TODAY()),0,IF(OR(INDEX($B789:$D789,Z$5)="F",AND(Z$6&gt;0,$A789&lt;Z$6),AND(Z$7&gt;0,$A789&gt;Z$7)),0,MAX(0,ROUND((INDEX($E789:$G789,Z$5)-SUMIFS(TF_Timer,TF_Tekniker,Z$4,TF_Dato,$A789))*2,0)/2)))</f>
        <v/>
      </c>
      <c r="AA789">
        <f>IF(OR(AA$4="",$A789&gt;TODAY()),0,IF(OR(INDEX($B789:$D789,AA$5)="F",AND(AA$6&gt;0,$A789&lt;AA$6),AND(AA$7&gt;0,$A789&gt;AA$7)),0,MAX(0,ROUND((INDEX($E789:$G789,AA$5)-SUMIFS(TF_Timer,TF_Tekniker,AA$4,TF_Dato,$A789))*2,0)/2)))</f>
        <v/>
      </c>
      <c r="AB789">
        <f>IF(OR(AB$4="",$A789&gt;TODAY()),0,IF(OR(INDEX($B789:$D789,AB$5)="F",AND(AB$6&gt;0,$A789&lt;AB$6),AND(AB$7&gt;0,$A789&gt;AB$7)),0,MAX(0,ROUND((INDEX($E789:$G789,AB$5)-SUMIFS(TF_Timer,TF_Tekniker,AB$4,TF_Dato,$A789))*2,0)/2)))</f>
        <v/>
      </c>
      <c r="AC789">
        <f>IF(OR(AC$4="",$A789&gt;TODAY()),0,IF(OR(INDEX($B789:$D789,AC$5)="F",AND(AC$6&gt;0,$A789&lt;AC$6),AND(AC$7&gt;0,$A789&gt;AC$7)),0,MAX(0,ROUND((INDEX($E789:$G789,AC$5)-SUMIFS(TF_Timer,TF_Tekniker,AC$4,TF_Dato,$A789))*2,0)/2)))</f>
        <v/>
      </c>
      <c r="AD789">
        <f>IF(OR(AD$4="",$A789&gt;TODAY()),0,IF(OR(INDEX($B789:$D789,AD$5)="F",AND(AD$6&gt;0,$A789&lt;AD$6),AND(AD$7&gt;0,$A789&gt;AD$7)),0,MAX(0,ROUND((INDEX($E789:$G789,AD$5)-SUMIFS(TF_Timer,TF_Tekniker,AD$4,TF_Dato,$A789))*2,0)/2)))</f>
        <v/>
      </c>
      <c r="AE789">
        <f>IF(OR(AE$4="",$A789&gt;TODAY()),0,IF(OR(INDEX($B789:$D789,AE$5)="F",AND(AE$6&gt;0,$A789&lt;AE$6),AND(AE$7&gt;0,$A789&gt;AE$7)),0,MAX(0,ROUND((INDEX($E789:$G789,AE$5)-SUMIFS(TF_Timer,TF_Tekniker,AE$4,TF_Dato,$A789))*2,0)/2)))</f>
        <v/>
      </c>
      <c r="AF789">
        <f>IF(OR(AF$4="",$A789&gt;TODAY()),0,IF(OR(INDEX($B789:$D789,AF$5)="F",AND(AF$6&gt;0,$A789&lt;AF$6),AND(AF$7&gt;0,$A789&gt;AF$7)),0,MAX(0,ROUND((INDEX($E789:$G789,AF$5)-SUMIFS(TF_Timer,TF_Tekniker,AF$4,TF_Dato,$A789))*2,0)/2)))</f>
        <v/>
      </c>
      <c r="AG789">
        <f>IF(OR(AG$4="",$A789&gt;TODAY()),0,IF(OR(INDEX($B789:$D789,AG$5)="F",AND(AG$6&gt;0,$A789&lt;AG$6),AND(AG$7&gt;0,$A789&gt;AG$7)),0,MAX(0,ROUND((INDEX($E789:$G789,AG$5)-SUMIFS(TF_Timer,TF_Tekniker,AG$4,TF_Dato,$A789))*2,0)/2)))</f>
        <v/>
      </c>
      <c r="AH789">
        <f>IF(OR(AH$4="",$A789&gt;TODAY()),0,IF(OR(INDEX($B789:$D789,AH$5)="F",AND(AH$6&gt;0,$A789&lt;AH$6),AND(AH$7&gt;0,$A789&gt;AH$7)),0,MAX(0,ROUND((INDEX($E789:$G789,AH$5)-SUMIFS(TF_Timer,TF_Tekniker,AH$4,TF_Dato,$A789))*2,0)/2)))</f>
        <v/>
      </c>
      <c r="AI789">
        <f>IF(OR(AI$4="",$A789&gt;TODAY()),0,IF(OR(INDEX($B789:$D789,AI$5)="F",AND(AI$6&gt;0,$A789&lt;AI$6),AND(AI$7&gt;0,$A789&gt;AI$7)),0,MAX(0,ROUND((INDEX($E789:$G789,AI$5)-SUMIFS(TF_Timer,TF_Tekniker,AI$4,TF_Dato,$A789))*2,0)/2)))</f>
        <v/>
      </c>
      <c r="AJ789">
        <f>IF(OR(AJ$4="",$A789&gt;TODAY()),0,IF(OR(INDEX($B789:$D789,AJ$5)="F",AND(AJ$6&gt;0,$A789&lt;AJ$6),AND(AJ$7&gt;0,$A789&gt;AJ$7)),0,MAX(0,ROUND((INDEX($E789:$G789,AJ$5)-SUMIFS(TF_Timer,TF_Tekniker,AJ$4,TF_Dato,$A789))*2,0)/2)))</f>
        <v/>
      </c>
      <c r="AK789">
        <f>IF(OR(AK$4="",$A789&gt;TODAY()),0,IF(OR(INDEX($B789:$D789,AK$5)="F",AND(AK$6&gt;0,$A789&lt;AK$6),AND(AK$7&gt;0,$A789&gt;AK$7)),0,MAX(0,ROUND((INDEX($E789:$G789,AK$5)-SUMIFS(TF_Timer,TF_Tekniker,AK$4,TF_Dato,$A789))*2,0)/2)))</f>
        <v/>
      </c>
      <c r="AL789">
        <f>IF(OR(AL$4="",$A789&gt;TODAY()),0,IF(OR(INDEX($B789:$D789,AL$5)="F",AND(AL$6&gt;0,$A789&lt;AL$6),AND(AL$7&gt;0,$A789&gt;AL$7)),0,MAX(0,ROUND((INDEX($E789:$G789,AL$5)-SUMIFS(TF_Timer,TF_Tekniker,AL$4,TF_Dato,$A789))*2,0)/2)))</f>
        <v/>
      </c>
      <c r="AM789">
        <f>IF(OR(AM$4="",$A789&gt;TODAY()),0,IF(OR(INDEX($B789:$D789,AM$5)="F",AND(AM$6&gt;0,$A789&lt;AM$6),AND(AM$7&gt;0,$A789&gt;AM$7)),0,MAX(0,ROUND((INDEX($E789:$G789,AM$5)-SUMIFS(TF_Timer,TF_Tekniker,AM$4,TF_Dato,$A789))*2,0)/2)))</f>
        <v/>
      </c>
      <c r="AN789">
        <f>IF(OR(AN$4="",$A789&gt;TODAY()),0,IF(OR(INDEX($B789:$D789,AN$5)="F",AND(AN$6&gt;0,$A789&lt;AN$6),AND(AN$7&gt;0,$A789&gt;AN$7)),0,MAX(0,ROUND((INDEX($E789:$G789,AN$5)-SUMIFS(TF_Timer,TF_Tekniker,AN$4,TF_Dato,$A789))*2,0)/2)))</f>
        <v/>
      </c>
      <c r="AO789">
        <f>IF(OR(AO$4="",$A789&gt;TODAY()),0,IF(OR(INDEX($B789:$D789,AO$5)="F",AND(AO$6&gt;0,$A789&lt;AO$6),AND(AO$7&gt;0,$A789&gt;AO$7)),0,MAX(0,ROUND((INDEX($E789:$G789,AO$5)-SUMIFS(TF_Timer,TF_Tekniker,AO$4,TF_Dato,$A789))*2,0)/2)))</f>
        <v/>
      </c>
      <c r="AP789">
        <f>IF(OR(AP$4="",$A789&gt;TODAY()),0,IF(OR(INDEX($B789:$D789,AP$5)="F",AND(AP$6&gt;0,$A789&lt;AP$6),AND(AP$7&gt;0,$A789&gt;AP$7)),0,MAX(0,ROUND((INDEX($E789:$G789,AP$5)-SUMIFS(TF_Timer,TF_Tekniker,AP$4,TF_Dato,$A789))*2,0)/2)))</f>
        <v/>
      </c>
      <c r="AQ789">
        <f>IF(OR(AQ$4="",$A789&gt;TODAY()),0,IF(OR(INDEX($B789:$D789,AQ$5)="F",AND(AQ$6&gt;0,$A789&lt;AQ$6),AND(AQ$7&gt;0,$A789&gt;AQ$7)),0,MAX(0,ROUND((INDEX($E789:$G789,AQ$5)-SUMIFS(TF_Timer,TF_Tekniker,AQ$4,TF_Dato,$A789))*2,0)/2)))</f>
        <v/>
      </c>
      <c r="AR789">
        <f>IF(OR(AR$4="",$A789&gt;TODAY()),0,IF(OR(INDEX($B789:$D789,AR$5)="F",AND(AR$6&gt;0,$A789&lt;AR$6),AND(AR$7&gt;0,$A789&gt;AR$7)),0,MAX(0,ROUND((INDEX($E789:$G789,AR$5)-SUMIFS(TF_Timer,TF_Tekniker,AR$4,TF_Dato,$A789))*2,0)/2)))</f>
        <v/>
      </c>
      <c r="AS789">
        <f>IF(OR(AS$4="",$A789&gt;TODAY()),0,IF(OR(INDEX($B789:$D789,AS$5)="F",AND(AS$6&gt;0,$A789&lt;AS$6),AND(AS$7&gt;0,$A789&gt;AS$7)),0,MAX(0,ROUND((INDEX($E789:$G789,AS$5)-SUMIFS(TF_Timer,TF_Tekniker,AS$4,TF_Dato,$A789))*2,0)/2)))</f>
        <v/>
      </c>
      <c r="AT789">
        <f>IF(OR(AT$4="",$A789&gt;TODAY()),0,IF(OR(INDEX($B789:$D789,AT$5)="F",AND(AT$6&gt;0,$A789&lt;AT$6),AND(AT$7&gt;0,$A789&gt;AT$7)),0,MAX(0,ROUND((INDEX($E789:$G789,AT$5)-SUMIFS(TF_Timer,TF_Tekniker,AT$4,TF_Dato,$A789))*2,0)/2)))</f>
        <v/>
      </c>
      <c r="AU789">
        <f>IF(OR(AU$4="",$A789&gt;TODAY()),0,IF(OR(INDEX($B789:$D789,AU$5)="F",AND(AU$6&gt;0,$A789&lt;AU$6),AND(AU$7&gt;0,$A789&gt;AU$7)),0,MAX(0,ROUND((INDEX($E789:$G789,AU$5)-SUMIFS(TF_Timer,TF_Tekniker,AU$4,TF_Dato,$A789))*2,0)/2)))</f>
        <v/>
      </c>
      <c r="AV789">
        <f>IF(OR(AV$4="",$A789&gt;TODAY()),0,IF(OR(INDEX($B789:$D789,AV$5)="F",AND(AV$6&gt;0,$A789&lt;AV$6),AND(AV$7&gt;0,$A789&gt;AV$7)),0,MAX(0,ROUND((INDEX($E789:$G789,AV$5)-SUMIFS(TF_Timer,TF_Tekniker,AV$4,TF_Dato,$A789))*2,0)/2)))</f>
        <v/>
      </c>
      <c r="AW789">
        <f>IF(OR(AW$4="",$A789&gt;TODAY()),0,IF(OR(INDEX($B789:$D789,AW$5)="F",AND(AW$6&gt;0,$A789&lt;AW$6),AND(AW$7&gt;0,$A789&gt;AW$7)),0,MAX(0,ROUND((INDEX($E789:$G789,AW$5)-SUMIFS(TF_Timer,TF_Tekniker,AW$4,TF_Dato,$A789))*2,0)/2)))</f>
        <v/>
      </c>
      <c r="AX789">
        <f>IF(OR(AX$4="",$A789&gt;TODAY()),0,IF(OR(INDEX($B789:$D789,AX$5)="F",AND(AX$6&gt;0,$A789&lt;AX$6),AND(AX$7&gt;0,$A789&gt;AX$7)),0,MAX(0,ROUND((INDEX($E789:$G789,AX$5)-SUMIFS(TF_Timer,TF_Tekniker,AX$4,TF_Dato,$A789))*2,0)/2)))</f>
        <v/>
      </c>
      <c r="AY789">
        <f>IF(OR(AY$4="",$A789&gt;TODAY()),0,IF(OR(INDEX($B789:$D789,AY$5)="F",AND(AY$6&gt;0,$A789&lt;AY$6),AND(AY$7&gt;0,$A789&gt;AY$7)),0,MAX(0,ROUND((INDEX($E789:$G789,AY$5)-SUMIFS(TF_Timer,TF_Tekniker,AY$4,TF_Dato,$A789))*2,0)/2)))</f>
        <v/>
      </c>
      <c r="AZ789">
        <f>IF(OR(AZ$4="",$A789&gt;TODAY()),0,IF(OR(INDEX($B789:$D789,AZ$5)="F",AND(AZ$6&gt;0,$A789&lt;AZ$6),AND(AZ$7&gt;0,$A789&gt;AZ$7)),0,MAX(0,ROUND((INDEX($E789:$G789,AZ$5)-SUMIFS(TF_Timer,TF_Tekniker,AZ$4,TF_Dato,$A789))*2,0)/2)))</f>
        <v/>
      </c>
      <c r="BA789">
        <f>IF(OR(BA$4="",$A789&gt;TODAY()),0,IF(OR(INDEX($B789:$D789,BA$5)="F",AND(BA$6&gt;0,$A789&lt;BA$6),AND(BA$7&gt;0,$A789&gt;BA$7)),0,MAX(0,ROUND((INDEX($E789:$G789,BA$5)-SUMIFS(TF_Timer,TF_Tekniker,BA$4,TF_Dato,$A789))*2,0)/2)))</f>
        <v/>
      </c>
      <c r="BB789">
        <f>IF(OR(BB$4="",$A789&gt;TODAY()),0,IF(OR(INDEX($B789:$D789,BB$5)="F",AND(BB$6&gt;0,$A789&lt;BB$6),AND(BB$7&gt;0,$A789&gt;BB$7)),0,MAX(0,ROUND((INDEX($E789:$G789,BB$5)-SUMIFS(TF_Timer,TF_Tekniker,BB$4,TF_Dato,$A789))*2,0)/2)))</f>
        <v/>
      </c>
      <c r="BC789">
        <f>IF(OR(BC$4="",$A789&gt;TODAY()),0,IF(OR(INDEX($B789:$D789,BC$5)="F",AND(BC$6&gt;0,$A789&lt;BC$6),AND(BC$7&gt;0,$A789&gt;BC$7)),0,MAX(0,ROUND((INDEX($E789:$G789,BC$5)-SUMIFS(TF_Timer,TF_Tekniker,BC$4,TF_Dato,$A789))*2,0)/2)))</f>
        <v/>
      </c>
      <c r="BD789">
        <f>IF(OR(BD$4="",$A789&gt;TODAY()),0,IF(OR(INDEX($B789:$D789,BD$5)="F",AND(BD$6&gt;0,$A789&lt;BD$6),AND(BD$7&gt;0,$A789&gt;BD$7)),0,MAX(0,ROUND((INDEX($E789:$G789,BD$5)-SUMIFS(TF_Timer,TF_Tekniker,BD$4,TF_Dato,$A789))*2,0)/2)))</f>
        <v/>
      </c>
      <c r="BE789">
        <f>IF(OR(BE$4="",$A789&gt;TODAY()),0,IF(OR(INDEX($B789:$D789,BE$5)="F",AND(BE$6&gt;0,$A789&lt;BE$6),AND(BE$7&gt;0,$A789&gt;BE$7)),0,MAX(0,ROUND((INDEX($E789:$G789,BE$5)-SUMIFS(TF_Timer,TF_Tekniker,BE$4,TF_Dato,$A789))*2,0)/2)))</f>
        <v/>
      </c>
      <c r="BF789">
        <f>IF(OR(BF$4="",$A789&gt;TODAY()),0,IF(OR(INDEX($B789:$D789,BF$5)="F",AND(BF$6&gt;0,$A789&lt;BF$6),AND(BF$7&gt;0,$A789&gt;BF$7)),0,MAX(0,ROUND((INDEX($E789:$G789,BF$5)-SUMIFS(TF_Timer,TF_Tekniker,BF$4,TF_Dato,$A789))*2,0)/2)))</f>
        <v/>
      </c>
      <c r="BG789">
        <f>IF(OR(BG$4="",$A789&gt;TODAY()),0,IF(OR(INDEX($B789:$D789,BG$5)="F",AND(BG$6&gt;0,$A789&lt;BG$6),AND(BG$7&gt;0,$A789&gt;BG$7)),0,MAX(0,ROUND((INDEX($E789:$G789,BG$5)-SUMIFS(TF_Timer,TF_Tekniker,BG$4,TF_Dato,$A789))*2,0)/2)))</f>
        <v/>
      </c>
      <c r="BH789">
        <f>IF(OR(BH$4="",$A789&gt;TODAY()),0,IF(OR(INDEX($B789:$D789,BH$5)="F",AND(BH$6&gt;0,$A789&lt;BH$6),AND(BH$7&gt;0,$A789&gt;BH$7)),0,MAX(0,ROUND((INDEX($E789:$G789,BH$5)-SUMIFS(TF_Timer,TF_Tekniker,BH$4,TF_Dato,$A789))*2,0)/2)))</f>
        <v/>
      </c>
      <c r="BI789">
        <f>IF(OR(BI$4="",$A789&gt;TODAY()),0,IF(OR(INDEX($B789:$D789,BI$5)="F",AND(BI$6&gt;0,$A789&lt;BI$6),AND(BI$7&gt;0,$A789&gt;BI$7)),0,MAX(0,ROUND((INDEX($E789:$G789,BI$5)-SUMIFS(TF_Timer,TF_Tekniker,BI$4,TF_Dato,$A789))*2,0)/2)))</f>
        <v/>
      </c>
    </row>
    <row r="790">
      <c r="A790" s="64">
        <f>A789+1</f>
        <v/>
      </c>
      <c r="B790">
        <f>IF(MOD($A790-INDEX(SkiftStart,1),Syklus)&lt;DagK,"K",IF(MOD($A790-INDEX(SkiftStart,1),Syklus)&lt;DagK+DagH,"H",IF(MOD($A790-INDEX(SkiftStart,1),Syklus)&lt;DagK+DagH+DagD,"D","F")))</f>
        <v/>
      </c>
      <c r="C790">
        <f>IF(MOD($A790-INDEX(SkiftStart,2),Syklus)&lt;DagK,"K",IF(MOD($A790-INDEX(SkiftStart,2),Syklus)&lt;DagK+DagH,"H",IF(MOD($A790-INDEX(SkiftStart,2),Syklus)&lt;DagK+DagH+DagD,"D","F")))</f>
        <v/>
      </c>
      <c r="D790">
        <f>IF(MOD($A790-INDEX(SkiftStart,3),Syklus)&lt;DagK,"K",IF(MOD($A790-INDEX(SkiftStart,3),Syklus)&lt;DagK+DagH,"H",IF(MOD($A790-INDEX(SkiftStart,3),Syklus)&lt;DagK+DagH+DagD,"D","F")))</f>
        <v/>
      </c>
      <c r="E790">
        <f>IF(B790="F",0,IF(WEEKDAY($A790,2)=5,INDEX(TimerFr,MATCH(B790,FaseKode,0)),INDEX(TimerMT,MATCH(B790,FaseKode,0))))</f>
        <v/>
      </c>
      <c r="F790">
        <f>IF(C790="F",0,IF(WEEKDAY($A790,2)=5,INDEX(TimerFr,MATCH(C790,FaseKode,0)),INDEX(TimerMT,MATCH(C790,FaseKode,0))))</f>
        <v/>
      </c>
      <c r="G790">
        <f>IF(D790="F",0,IF(WEEKDAY($A790,2)=5,INDEX(TimerFr,MATCH(D790,FaseKode,0)),INDEX(TimerMT,MATCH(D790,FaseKode,0))))</f>
        <v/>
      </c>
      <c r="H790">
        <f>IF(OR(H$4="",$A790&gt;TODAY()),0,IF(OR(INDEX($B790:$D790,H$5)="F",AND(H$6&gt;0,$A790&lt;H$6),AND(H$7&gt;0,$A790&gt;H$7)),0,MAX(0,ROUND((INDEX($E790:$G790,H$5)-SUMIFS(TF_Timer,TF_Tekniker,H$4,TF_Dato,$A790))*2,0)/2)))</f>
        <v/>
      </c>
      <c r="I790">
        <f>IF(OR(I$4="",$A790&gt;TODAY()),0,IF(OR(INDEX($B790:$D790,I$5)="F",AND(I$6&gt;0,$A790&lt;I$6),AND(I$7&gt;0,$A790&gt;I$7)),0,MAX(0,ROUND((INDEX($E790:$G790,I$5)-SUMIFS(TF_Timer,TF_Tekniker,I$4,TF_Dato,$A790))*2,0)/2)))</f>
        <v/>
      </c>
      <c r="J790">
        <f>IF(OR(J$4="",$A790&gt;TODAY()),0,IF(OR(INDEX($B790:$D790,J$5)="F",AND(J$6&gt;0,$A790&lt;J$6),AND(J$7&gt;0,$A790&gt;J$7)),0,MAX(0,ROUND((INDEX($E790:$G790,J$5)-SUMIFS(TF_Timer,TF_Tekniker,J$4,TF_Dato,$A790))*2,0)/2)))</f>
        <v/>
      </c>
      <c r="K790">
        <f>IF(OR(K$4="",$A790&gt;TODAY()),0,IF(OR(INDEX($B790:$D790,K$5)="F",AND(K$6&gt;0,$A790&lt;K$6),AND(K$7&gt;0,$A790&gt;K$7)),0,MAX(0,ROUND((INDEX($E790:$G790,K$5)-SUMIFS(TF_Timer,TF_Tekniker,K$4,TF_Dato,$A790))*2,0)/2)))</f>
        <v/>
      </c>
      <c r="L790">
        <f>IF(OR(L$4="",$A790&gt;TODAY()),0,IF(OR(INDEX($B790:$D790,L$5)="F",AND(L$6&gt;0,$A790&lt;L$6),AND(L$7&gt;0,$A790&gt;L$7)),0,MAX(0,ROUND((INDEX($E790:$G790,L$5)-SUMIFS(TF_Timer,TF_Tekniker,L$4,TF_Dato,$A790))*2,0)/2)))</f>
        <v/>
      </c>
      <c r="M790">
        <f>IF(OR(M$4="",$A790&gt;TODAY()),0,IF(OR(INDEX($B790:$D790,M$5)="F",AND(M$6&gt;0,$A790&lt;M$6),AND(M$7&gt;0,$A790&gt;M$7)),0,MAX(0,ROUND((INDEX($E790:$G790,M$5)-SUMIFS(TF_Timer,TF_Tekniker,M$4,TF_Dato,$A790))*2,0)/2)))</f>
        <v/>
      </c>
      <c r="N790">
        <f>IF(OR(N$4="",$A790&gt;TODAY()),0,IF(OR(INDEX($B790:$D790,N$5)="F",AND(N$6&gt;0,$A790&lt;N$6),AND(N$7&gt;0,$A790&gt;N$7)),0,MAX(0,ROUND((INDEX($E790:$G790,N$5)-SUMIFS(TF_Timer,TF_Tekniker,N$4,TF_Dato,$A790))*2,0)/2)))</f>
        <v/>
      </c>
      <c r="O790">
        <f>IF(OR(O$4="",$A790&gt;TODAY()),0,IF(OR(INDEX($B790:$D790,O$5)="F",AND(O$6&gt;0,$A790&lt;O$6),AND(O$7&gt;0,$A790&gt;O$7)),0,MAX(0,ROUND((INDEX($E790:$G790,O$5)-SUMIFS(TF_Timer,TF_Tekniker,O$4,TF_Dato,$A790))*2,0)/2)))</f>
        <v/>
      </c>
      <c r="P790">
        <f>IF(OR(P$4="",$A790&gt;TODAY()),0,IF(OR(INDEX($B790:$D790,P$5)="F",AND(P$6&gt;0,$A790&lt;P$6),AND(P$7&gt;0,$A790&gt;P$7)),0,MAX(0,ROUND((INDEX($E790:$G790,P$5)-SUMIFS(TF_Timer,TF_Tekniker,P$4,TF_Dato,$A790))*2,0)/2)))</f>
        <v/>
      </c>
      <c r="Q790">
        <f>IF(OR(Q$4="",$A790&gt;TODAY()),0,IF(OR(INDEX($B790:$D790,Q$5)="F",AND(Q$6&gt;0,$A790&lt;Q$6),AND(Q$7&gt;0,$A790&gt;Q$7)),0,MAX(0,ROUND((INDEX($E790:$G790,Q$5)-SUMIFS(TF_Timer,TF_Tekniker,Q$4,TF_Dato,$A790))*2,0)/2)))</f>
        <v/>
      </c>
      <c r="R790">
        <f>IF(OR(R$4="",$A790&gt;TODAY()),0,IF(OR(INDEX($B790:$D790,R$5)="F",AND(R$6&gt;0,$A790&lt;R$6),AND(R$7&gt;0,$A790&gt;R$7)),0,MAX(0,ROUND((INDEX($E790:$G790,R$5)-SUMIFS(TF_Timer,TF_Tekniker,R$4,TF_Dato,$A790))*2,0)/2)))</f>
        <v/>
      </c>
      <c r="S790">
        <f>IF(OR(S$4="",$A790&gt;TODAY()),0,IF(OR(INDEX($B790:$D790,S$5)="F",AND(S$6&gt;0,$A790&lt;S$6),AND(S$7&gt;0,$A790&gt;S$7)),0,MAX(0,ROUND((INDEX($E790:$G790,S$5)-SUMIFS(TF_Timer,TF_Tekniker,S$4,TF_Dato,$A790))*2,0)/2)))</f>
        <v/>
      </c>
      <c r="T790">
        <f>IF(OR(T$4="",$A790&gt;TODAY()),0,IF(OR(INDEX($B790:$D790,T$5)="F",AND(T$6&gt;0,$A790&lt;T$6),AND(T$7&gt;0,$A790&gt;T$7)),0,MAX(0,ROUND((INDEX($E790:$G790,T$5)-SUMIFS(TF_Timer,TF_Tekniker,T$4,TF_Dato,$A790))*2,0)/2)))</f>
        <v/>
      </c>
      <c r="U790">
        <f>IF(OR(U$4="",$A790&gt;TODAY()),0,IF(OR(INDEX($B790:$D790,U$5)="F",AND(U$6&gt;0,$A790&lt;U$6),AND(U$7&gt;0,$A790&gt;U$7)),0,MAX(0,ROUND((INDEX($E790:$G790,U$5)-SUMIFS(TF_Timer,TF_Tekniker,U$4,TF_Dato,$A790))*2,0)/2)))</f>
        <v/>
      </c>
      <c r="V790">
        <f>IF(OR(V$4="",$A790&gt;TODAY()),0,IF(OR(INDEX($B790:$D790,V$5)="F",AND(V$6&gt;0,$A790&lt;V$6),AND(V$7&gt;0,$A790&gt;V$7)),0,MAX(0,ROUND((INDEX($E790:$G790,V$5)-SUMIFS(TF_Timer,TF_Tekniker,V$4,TF_Dato,$A790))*2,0)/2)))</f>
        <v/>
      </c>
      <c r="W790">
        <f>IF(OR(W$4="",$A790&gt;TODAY()),0,IF(OR(INDEX($B790:$D790,W$5)="F",AND(W$6&gt;0,$A790&lt;W$6),AND(W$7&gt;0,$A790&gt;W$7)),0,MAX(0,ROUND((INDEX($E790:$G790,W$5)-SUMIFS(TF_Timer,TF_Tekniker,W$4,TF_Dato,$A790))*2,0)/2)))</f>
        <v/>
      </c>
      <c r="X790">
        <f>IF(OR(X$4="",$A790&gt;TODAY()),0,IF(OR(INDEX($B790:$D790,X$5)="F",AND(X$6&gt;0,$A790&lt;X$6),AND(X$7&gt;0,$A790&gt;X$7)),0,MAX(0,ROUND((INDEX($E790:$G790,X$5)-SUMIFS(TF_Timer,TF_Tekniker,X$4,TF_Dato,$A790))*2,0)/2)))</f>
        <v/>
      </c>
      <c r="Y790">
        <f>IF(OR(Y$4="",$A790&gt;TODAY()),0,IF(OR(INDEX($B790:$D790,Y$5)="F",AND(Y$6&gt;0,$A790&lt;Y$6),AND(Y$7&gt;0,$A790&gt;Y$7)),0,MAX(0,ROUND((INDEX($E790:$G790,Y$5)-SUMIFS(TF_Timer,TF_Tekniker,Y$4,TF_Dato,$A790))*2,0)/2)))</f>
        <v/>
      </c>
      <c r="Z790">
        <f>IF(OR(Z$4="",$A790&gt;TODAY()),0,IF(OR(INDEX($B790:$D790,Z$5)="F",AND(Z$6&gt;0,$A790&lt;Z$6),AND(Z$7&gt;0,$A790&gt;Z$7)),0,MAX(0,ROUND((INDEX($E790:$G790,Z$5)-SUMIFS(TF_Timer,TF_Tekniker,Z$4,TF_Dato,$A790))*2,0)/2)))</f>
        <v/>
      </c>
      <c r="AA790">
        <f>IF(OR(AA$4="",$A790&gt;TODAY()),0,IF(OR(INDEX($B790:$D790,AA$5)="F",AND(AA$6&gt;0,$A790&lt;AA$6),AND(AA$7&gt;0,$A790&gt;AA$7)),0,MAX(0,ROUND((INDEX($E790:$G790,AA$5)-SUMIFS(TF_Timer,TF_Tekniker,AA$4,TF_Dato,$A790))*2,0)/2)))</f>
        <v/>
      </c>
      <c r="AB790">
        <f>IF(OR(AB$4="",$A790&gt;TODAY()),0,IF(OR(INDEX($B790:$D790,AB$5)="F",AND(AB$6&gt;0,$A790&lt;AB$6),AND(AB$7&gt;0,$A790&gt;AB$7)),0,MAX(0,ROUND((INDEX($E790:$G790,AB$5)-SUMIFS(TF_Timer,TF_Tekniker,AB$4,TF_Dato,$A790))*2,0)/2)))</f>
        <v/>
      </c>
      <c r="AC790">
        <f>IF(OR(AC$4="",$A790&gt;TODAY()),0,IF(OR(INDEX($B790:$D790,AC$5)="F",AND(AC$6&gt;0,$A790&lt;AC$6),AND(AC$7&gt;0,$A790&gt;AC$7)),0,MAX(0,ROUND((INDEX($E790:$G790,AC$5)-SUMIFS(TF_Timer,TF_Tekniker,AC$4,TF_Dato,$A790))*2,0)/2)))</f>
        <v/>
      </c>
      <c r="AD790">
        <f>IF(OR(AD$4="",$A790&gt;TODAY()),0,IF(OR(INDEX($B790:$D790,AD$5)="F",AND(AD$6&gt;0,$A790&lt;AD$6),AND(AD$7&gt;0,$A790&gt;AD$7)),0,MAX(0,ROUND((INDEX($E790:$G790,AD$5)-SUMIFS(TF_Timer,TF_Tekniker,AD$4,TF_Dato,$A790))*2,0)/2)))</f>
        <v/>
      </c>
      <c r="AE790">
        <f>IF(OR(AE$4="",$A790&gt;TODAY()),0,IF(OR(INDEX($B790:$D790,AE$5)="F",AND(AE$6&gt;0,$A790&lt;AE$6),AND(AE$7&gt;0,$A790&gt;AE$7)),0,MAX(0,ROUND((INDEX($E790:$G790,AE$5)-SUMIFS(TF_Timer,TF_Tekniker,AE$4,TF_Dato,$A790))*2,0)/2)))</f>
        <v/>
      </c>
      <c r="AF790">
        <f>IF(OR(AF$4="",$A790&gt;TODAY()),0,IF(OR(INDEX($B790:$D790,AF$5)="F",AND(AF$6&gt;0,$A790&lt;AF$6),AND(AF$7&gt;0,$A790&gt;AF$7)),0,MAX(0,ROUND((INDEX($E790:$G790,AF$5)-SUMIFS(TF_Timer,TF_Tekniker,AF$4,TF_Dato,$A790))*2,0)/2)))</f>
        <v/>
      </c>
      <c r="AG790">
        <f>IF(OR(AG$4="",$A790&gt;TODAY()),0,IF(OR(INDEX($B790:$D790,AG$5)="F",AND(AG$6&gt;0,$A790&lt;AG$6),AND(AG$7&gt;0,$A790&gt;AG$7)),0,MAX(0,ROUND((INDEX($E790:$G790,AG$5)-SUMIFS(TF_Timer,TF_Tekniker,AG$4,TF_Dato,$A790))*2,0)/2)))</f>
        <v/>
      </c>
      <c r="AH790">
        <f>IF(OR(AH$4="",$A790&gt;TODAY()),0,IF(OR(INDEX($B790:$D790,AH$5)="F",AND(AH$6&gt;0,$A790&lt;AH$6),AND(AH$7&gt;0,$A790&gt;AH$7)),0,MAX(0,ROUND((INDEX($E790:$G790,AH$5)-SUMIFS(TF_Timer,TF_Tekniker,AH$4,TF_Dato,$A790))*2,0)/2)))</f>
        <v/>
      </c>
      <c r="AI790">
        <f>IF(OR(AI$4="",$A790&gt;TODAY()),0,IF(OR(INDEX($B790:$D790,AI$5)="F",AND(AI$6&gt;0,$A790&lt;AI$6),AND(AI$7&gt;0,$A790&gt;AI$7)),0,MAX(0,ROUND((INDEX($E790:$G790,AI$5)-SUMIFS(TF_Timer,TF_Tekniker,AI$4,TF_Dato,$A790))*2,0)/2)))</f>
        <v/>
      </c>
      <c r="AJ790">
        <f>IF(OR(AJ$4="",$A790&gt;TODAY()),0,IF(OR(INDEX($B790:$D790,AJ$5)="F",AND(AJ$6&gt;0,$A790&lt;AJ$6),AND(AJ$7&gt;0,$A790&gt;AJ$7)),0,MAX(0,ROUND((INDEX($E790:$G790,AJ$5)-SUMIFS(TF_Timer,TF_Tekniker,AJ$4,TF_Dato,$A790))*2,0)/2)))</f>
        <v/>
      </c>
      <c r="AK790">
        <f>IF(OR(AK$4="",$A790&gt;TODAY()),0,IF(OR(INDEX($B790:$D790,AK$5)="F",AND(AK$6&gt;0,$A790&lt;AK$6),AND(AK$7&gt;0,$A790&gt;AK$7)),0,MAX(0,ROUND((INDEX($E790:$G790,AK$5)-SUMIFS(TF_Timer,TF_Tekniker,AK$4,TF_Dato,$A790))*2,0)/2)))</f>
        <v/>
      </c>
      <c r="AL790">
        <f>IF(OR(AL$4="",$A790&gt;TODAY()),0,IF(OR(INDEX($B790:$D790,AL$5)="F",AND(AL$6&gt;0,$A790&lt;AL$6),AND(AL$7&gt;0,$A790&gt;AL$7)),0,MAX(0,ROUND((INDEX($E790:$G790,AL$5)-SUMIFS(TF_Timer,TF_Tekniker,AL$4,TF_Dato,$A790))*2,0)/2)))</f>
        <v/>
      </c>
      <c r="AM790">
        <f>IF(OR(AM$4="",$A790&gt;TODAY()),0,IF(OR(INDEX($B790:$D790,AM$5)="F",AND(AM$6&gt;0,$A790&lt;AM$6),AND(AM$7&gt;0,$A790&gt;AM$7)),0,MAX(0,ROUND((INDEX($E790:$G790,AM$5)-SUMIFS(TF_Timer,TF_Tekniker,AM$4,TF_Dato,$A790))*2,0)/2)))</f>
        <v/>
      </c>
      <c r="AN790">
        <f>IF(OR(AN$4="",$A790&gt;TODAY()),0,IF(OR(INDEX($B790:$D790,AN$5)="F",AND(AN$6&gt;0,$A790&lt;AN$6),AND(AN$7&gt;0,$A790&gt;AN$7)),0,MAX(0,ROUND((INDEX($E790:$G790,AN$5)-SUMIFS(TF_Timer,TF_Tekniker,AN$4,TF_Dato,$A790))*2,0)/2)))</f>
        <v/>
      </c>
      <c r="AO790">
        <f>IF(OR(AO$4="",$A790&gt;TODAY()),0,IF(OR(INDEX($B790:$D790,AO$5)="F",AND(AO$6&gt;0,$A790&lt;AO$6),AND(AO$7&gt;0,$A790&gt;AO$7)),0,MAX(0,ROUND((INDEX($E790:$G790,AO$5)-SUMIFS(TF_Timer,TF_Tekniker,AO$4,TF_Dato,$A790))*2,0)/2)))</f>
        <v/>
      </c>
      <c r="AP790">
        <f>IF(OR(AP$4="",$A790&gt;TODAY()),0,IF(OR(INDEX($B790:$D790,AP$5)="F",AND(AP$6&gt;0,$A790&lt;AP$6),AND(AP$7&gt;0,$A790&gt;AP$7)),0,MAX(0,ROUND((INDEX($E790:$G790,AP$5)-SUMIFS(TF_Timer,TF_Tekniker,AP$4,TF_Dato,$A790))*2,0)/2)))</f>
        <v/>
      </c>
      <c r="AQ790">
        <f>IF(OR(AQ$4="",$A790&gt;TODAY()),0,IF(OR(INDEX($B790:$D790,AQ$5)="F",AND(AQ$6&gt;0,$A790&lt;AQ$6),AND(AQ$7&gt;0,$A790&gt;AQ$7)),0,MAX(0,ROUND((INDEX($E790:$G790,AQ$5)-SUMIFS(TF_Timer,TF_Tekniker,AQ$4,TF_Dato,$A790))*2,0)/2)))</f>
        <v/>
      </c>
      <c r="AR790">
        <f>IF(OR(AR$4="",$A790&gt;TODAY()),0,IF(OR(INDEX($B790:$D790,AR$5)="F",AND(AR$6&gt;0,$A790&lt;AR$6),AND(AR$7&gt;0,$A790&gt;AR$7)),0,MAX(0,ROUND((INDEX($E790:$G790,AR$5)-SUMIFS(TF_Timer,TF_Tekniker,AR$4,TF_Dato,$A790))*2,0)/2)))</f>
        <v/>
      </c>
      <c r="AS790">
        <f>IF(OR(AS$4="",$A790&gt;TODAY()),0,IF(OR(INDEX($B790:$D790,AS$5)="F",AND(AS$6&gt;0,$A790&lt;AS$6),AND(AS$7&gt;0,$A790&gt;AS$7)),0,MAX(0,ROUND((INDEX($E790:$G790,AS$5)-SUMIFS(TF_Timer,TF_Tekniker,AS$4,TF_Dato,$A790))*2,0)/2)))</f>
        <v/>
      </c>
      <c r="AT790">
        <f>IF(OR(AT$4="",$A790&gt;TODAY()),0,IF(OR(INDEX($B790:$D790,AT$5)="F",AND(AT$6&gt;0,$A790&lt;AT$6),AND(AT$7&gt;0,$A790&gt;AT$7)),0,MAX(0,ROUND((INDEX($E790:$G790,AT$5)-SUMIFS(TF_Timer,TF_Tekniker,AT$4,TF_Dato,$A790))*2,0)/2)))</f>
        <v/>
      </c>
      <c r="AU790">
        <f>IF(OR(AU$4="",$A790&gt;TODAY()),0,IF(OR(INDEX($B790:$D790,AU$5)="F",AND(AU$6&gt;0,$A790&lt;AU$6),AND(AU$7&gt;0,$A790&gt;AU$7)),0,MAX(0,ROUND((INDEX($E790:$G790,AU$5)-SUMIFS(TF_Timer,TF_Tekniker,AU$4,TF_Dato,$A790))*2,0)/2)))</f>
        <v/>
      </c>
      <c r="AV790">
        <f>IF(OR(AV$4="",$A790&gt;TODAY()),0,IF(OR(INDEX($B790:$D790,AV$5)="F",AND(AV$6&gt;0,$A790&lt;AV$6),AND(AV$7&gt;0,$A790&gt;AV$7)),0,MAX(0,ROUND((INDEX($E790:$G790,AV$5)-SUMIFS(TF_Timer,TF_Tekniker,AV$4,TF_Dato,$A790))*2,0)/2)))</f>
        <v/>
      </c>
      <c r="AW790">
        <f>IF(OR(AW$4="",$A790&gt;TODAY()),0,IF(OR(INDEX($B790:$D790,AW$5)="F",AND(AW$6&gt;0,$A790&lt;AW$6),AND(AW$7&gt;0,$A790&gt;AW$7)),0,MAX(0,ROUND((INDEX($E790:$G790,AW$5)-SUMIFS(TF_Timer,TF_Tekniker,AW$4,TF_Dato,$A790))*2,0)/2)))</f>
        <v/>
      </c>
      <c r="AX790">
        <f>IF(OR(AX$4="",$A790&gt;TODAY()),0,IF(OR(INDEX($B790:$D790,AX$5)="F",AND(AX$6&gt;0,$A790&lt;AX$6),AND(AX$7&gt;0,$A790&gt;AX$7)),0,MAX(0,ROUND((INDEX($E790:$G790,AX$5)-SUMIFS(TF_Timer,TF_Tekniker,AX$4,TF_Dato,$A790))*2,0)/2)))</f>
        <v/>
      </c>
      <c r="AY790">
        <f>IF(OR(AY$4="",$A790&gt;TODAY()),0,IF(OR(INDEX($B790:$D790,AY$5)="F",AND(AY$6&gt;0,$A790&lt;AY$6),AND(AY$7&gt;0,$A790&gt;AY$7)),0,MAX(0,ROUND((INDEX($E790:$G790,AY$5)-SUMIFS(TF_Timer,TF_Tekniker,AY$4,TF_Dato,$A790))*2,0)/2)))</f>
        <v/>
      </c>
      <c r="AZ790">
        <f>IF(OR(AZ$4="",$A790&gt;TODAY()),0,IF(OR(INDEX($B790:$D790,AZ$5)="F",AND(AZ$6&gt;0,$A790&lt;AZ$6),AND(AZ$7&gt;0,$A790&gt;AZ$7)),0,MAX(0,ROUND((INDEX($E790:$G790,AZ$5)-SUMIFS(TF_Timer,TF_Tekniker,AZ$4,TF_Dato,$A790))*2,0)/2)))</f>
        <v/>
      </c>
      <c r="BA790">
        <f>IF(OR(BA$4="",$A790&gt;TODAY()),0,IF(OR(INDEX($B790:$D790,BA$5)="F",AND(BA$6&gt;0,$A790&lt;BA$6),AND(BA$7&gt;0,$A790&gt;BA$7)),0,MAX(0,ROUND((INDEX($E790:$G790,BA$5)-SUMIFS(TF_Timer,TF_Tekniker,BA$4,TF_Dato,$A790))*2,0)/2)))</f>
        <v/>
      </c>
      <c r="BB790">
        <f>IF(OR(BB$4="",$A790&gt;TODAY()),0,IF(OR(INDEX($B790:$D790,BB$5)="F",AND(BB$6&gt;0,$A790&lt;BB$6),AND(BB$7&gt;0,$A790&gt;BB$7)),0,MAX(0,ROUND((INDEX($E790:$G790,BB$5)-SUMIFS(TF_Timer,TF_Tekniker,BB$4,TF_Dato,$A790))*2,0)/2)))</f>
        <v/>
      </c>
      <c r="BC790">
        <f>IF(OR(BC$4="",$A790&gt;TODAY()),0,IF(OR(INDEX($B790:$D790,BC$5)="F",AND(BC$6&gt;0,$A790&lt;BC$6),AND(BC$7&gt;0,$A790&gt;BC$7)),0,MAX(0,ROUND((INDEX($E790:$G790,BC$5)-SUMIFS(TF_Timer,TF_Tekniker,BC$4,TF_Dato,$A790))*2,0)/2)))</f>
        <v/>
      </c>
      <c r="BD790">
        <f>IF(OR(BD$4="",$A790&gt;TODAY()),0,IF(OR(INDEX($B790:$D790,BD$5)="F",AND(BD$6&gt;0,$A790&lt;BD$6),AND(BD$7&gt;0,$A790&gt;BD$7)),0,MAX(0,ROUND((INDEX($E790:$G790,BD$5)-SUMIFS(TF_Timer,TF_Tekniker,BD$4,TF_Dato,$A790))*2,0)/2)))</f>
        <v/>
      </c>
      <c r="BE790">
        <f>IF(OR(BE$4="",$A790&gt;TODAY()),0,IF(OR(INDEX($B790:$D790,BE$5)="F",AND(BE$6&gt;0,$A790&lt;BE$6),AND(BE$7&gt;0,$A790&gt;BE$7)),0,MAX(0,ROUND((INDEX($E790:$G790,BE$5)-SUMIFS(TF_Timer,TF_Tekniker,BE$4,TF_Dato,$A790))*2,0)/2)))</f>
        <v/>
      </c>
      <c r="BF790">
        <f>IF(OR(BF$4="",$A790&gt;TODAY()),0,IF(OR(INDEX($B790:$D790,BF$5)="F",AND(BF$6&gt;0,$A790&lt;BF$6),AND(BF$7&gt;0,$A790&gt;BF$7)),0,MAX(0,ROUND((INDEX($E790:$G790,BF$5)-SUMIFS(TF_Timer,TF_Tekniker,BF$4,TF_Dato,$A790))*2,0)/2)))</f>
        <v/>
      </c>
      <c r="BG790">
        <f>IF(OR(BG$4="",$A790&gt;TODAY()),0,IF(OR(INDEX($B790:$D790,BG$5)="F",AND(BG$6&gt;0,$A790&lt;BG$6),AND(BG$7&gt;0,$A790&gt;BG$7)),0,MAX(0,ROUND((INDEX($E790:$G790,BG$5)-SUMIFS(TF_Timer,TF_Tekniker,BG$4,TF_Dato,$A790))*2,0)/2)))</f>
        <v/>
      </c>
      <c r="BH790">
        <f>IF(OR(BH$4="",$A790&gt;TODAY()),0,IF(OR(INDEX($B790:$D790,BH$5)="F",AND(BH$6&gt;0,$A790&lt;BH$6),AND(BH$7&gt;0,$A790&gt;BH$7)),0,MAX(0,ROUND((INDEX($E790:$G790,BH$5)-SUMIFS(TF_Timer,TF_Tekniker,BH$4,TF_Dato,$A790))*2,0)/2)))</f>
        <v/>
      </c>
      <c r="BI790">
        <f>IF(OR(BI$4="",$A790&gt;TODAY()),0,IF(OR(INDEX($B790:$D790,BI$5)="F",AND(BI$6&gt;0,$A790&lt;BI$6),AND(BI$7&gt;0,$A790&gt;BI$7)),0,MAX(0,ROUND((INDEX($E790:$G790,BI$5)-SUMIFS(TF_Timer,TF_Tekniker,BI$4,TF_Dato,$A790))*2,0)/2)))</f>
        <v/>
      </c>
    </row>
    <row r="791">
      <c r="A791" s="64">
        <f>A790+1</f>
        <v/>
      </c>
      <c r="B791">
        <f>IF(MOD($A791-INDEX(SkiftStart,1),Syklus)&lt;DagK,"K",IF(MOD($A791-INDEX(SkiftStart,1),Syklus)&lt;DagK+DagH,"H",IF(MOD($A791-INDEX(SkiftStart,1),Syklus)&lt;DagK+DagH+DagD,"D","F")))</f>
        <v/>
      </c>
      <c r="C791">
        <f>IF(MOD($A791-INDEX(SkiftStart,2),Syklus)&lt;DagK,"K",IF(MOD($A791-INDEX(SkiftStart,2),Syklus)&lt;DagK+DagH,"H",IF(MOD($A791-INDEX(SkiftStart,2),Syklus)&lt;DagK+DagH+DagD,"D","F")))</f>
        <v/>
      </c>
      <c r="D791">
        <f>IF(MOD($A791-INDEX(SkiftStart,3),Syklus)&lt;DagK,"K",IF(MOD($A791-INDEX(SkiftStart,3),Syklus)&lt;DagK+DagH,"H",IF(MOD($A791-INDEX(SkiftStart,3),Syklus)&lt;DagK+DagH+DagD,"D","F")))</f>
        <v/>
      </c>
      <c r="E791">
        <f>IF(B791="F",0,IF(WEEKDAY($A791,2)=5,INDEX(TimerFr,MATCH(B791,FaseKode,0)),INDEX(TimerMT,MATCH(B791,FaseKode,0))))</f>
        <v/>
      </c>
      <c r="F791">
        <f>IF(C791="F",0,IF(WEEKDAY($A791,2)=5,INDEX(TimerFr,MATCH(C791,FaseKode,0)),INDEX(TimerMT,MATCH(C791,FaseKode,0))))</f>
        <v/>
      </c>
      <c r="G791">
        <f>IF(D791="F",0,IF(WEEKDAY($A791,2)=5,INDEX(TimerFr,MATCH(D791,FaseKode,0)),INDEX(TimerMT,MATCH(D791,FaseKode,0))))</f>
        <v/>
      </c>
      <c r="H791">
        <f>IF(OR(H$4="",$A791&gt;TODAY()),0,IF(OR(INDEX($B791:$D791,H$5)="F",AND(H$6&gt;0,$A791&lt;H$6),AND(H$7&gt;0,$A791&gt;H$7)),0,MAX(0,ROUND((INDEX($E791:$G791,H$5)-SUMIFS(TF_Timer,TF_Tekniker,H$4,TF_Dato,$A791))*2,0)/2)))</f>
        <v/>
      </c>
      <c r="I791">
        <f>IF(OR(I$4="",$A791&gt;TODAY()),0,IF(OR(INDEX($B791:$D791,I$5)="F",AND(I$6&gt;0,$A791&lt;I$6),AND(I$7&gt;0,$A791&gt;I$7)),0,MAX(0,ROUND((INDEX($E791:$G791,I$5)-SUMIFS(TF_Timer,TF_Tekniker,I$4,TF_Dato,$A791))*2,0)/2)))</f>
        <v/>
      </c>
      <c r="J791">
        <f>IF(OR(J$4="",$A791&gt;TODAY()),0,IF(OR(INDEX($B791:$D791,J$5)="F",AND(J$6&gt;0,$A791&lt;J$6),AND(J$7&gt;0,$A791&gt;J$7)),0,MAX(0,ROUND((INDEX($E791:$G791,J$5)-SUMIFS(TF_Timer,TF_Tekniker,J$4,TF_Dato,$A791))*2,0)/2)))</f>
        <v/>
      </c>
      <c r="K791">
        <f>IF(OR(K$4="",$A791&gt;TODAY()),0,IF(OR(INDEX($B791:$D791,K$5)="F",AND(K$6&gt;0,$A791&lt;K$6),AND(K$7&gt;0,$A791&gt;K$7)),0,MAX(0,ROUND((INDEX($E791:$G791,K$5)-SUMIFS(TF_Timer,TF_Tekniker,K$4,TF_Dato,$A791))*2,0)/2)))</f>
        <v/>
      </c>
      <c r="L791">
        <f>IF(OR(L$4="",$A791&gt;TODAY()),0,IF(OR(INDEX($B791:$D791,L$5)="F",AND(L$6&gt;0,$A791&lt;L$6),AND(L$7&gt;0,$A791&gt;L$7)),0,MAX(0,ROUND((INDEX($E791:$G791,L$5)-SUMIFS(TF_Timer,TF_Tekniker,L$4,TF_Dato,$A791))*2,0)/2)))</f>
        <v/>
      </c>
      <c r="M791">
        <f>IF(OR(M$4="",$A791&gt;TODAY()),0,IF(OR(INDEX($B791:$D791,M$5)="F",AND(M$6&gt;0,$A791&lt;M$6),AND(M$7&gt;0,$A791&gt;M$7)),0,MAX(0,ROUND((INDEX($E791:$G791,M$5)-SUMIFS(TF_Timer,TF_Tekniker,M$4,TF_Dato,$A791))*2,0)/2)))</f>
        <v/>
      </c>
      <c r="N791">
        <f>IF(OR(N$4="",$A791&gt;TODAY()),0,IF(OR(INDEX($B791:$D791,N$5)="F",AND(N$6&gt;0,$A791&lt;N$6),AND(N$7&gt;0,$A791&gt;N$7)),0,MAX(0,ROUND((INDEX($E791:$G791,N$5)-SUMIFS(TF_Timer,TF_Tekniker,N$4,TF_Dato,$A791))*2,0)/2)))</f>
        <v/>
      </c>
      <c r="O791">
        <f>IF(OR(O$4="",$A791&gt;TODAY()),0,IF(OR(INDEX($B791:$D791,O$5)="F",AND(O$6&gt;0,$A791&lt;O$6),AND(O$7&gt;0,$A791&gt;O$7)),0,MAX(0,ROUND((INDEX($E791:$G791,O$5)-SUMIFS(TF_Timer,TF_Tekniker,O$4,TF_Dato,$A791))*2,0)/2)))</f>
        <v/>
      </c>
      <c r="P791">
        <f>IF(OR(P$4="",$A791&gt;TODAY()),0,IF(OR(INDEX($B791:$D791,P$5)="F",AND(P$6&gt;0,$A791&lt;P$6),AND(P$7&gt;0,$A791&gt;P$7)),0,MAX(0,ROUND((INDEX($E791:$G791,P$5)-SUMIFS(TF_Timer,TF_Tekniker,P$4,TF_Dato,$A791))*2,0)/2)))</f>
        <v/>
      </c>
      <c r="Q791">
        <f>IF(OR(Q$4="",$A791&gt;TODAY()),0,IF(OR(INDEX($B791:$D791,Q$5)="F",AND(Q$6&gt;0,$A791&lt;Q$6),AND(Q$7&gt;0,$A791&gt;Q$7)),0,MAX(0,ROUND((INDEX($E791:$G791,Q$5)-SUMIFS(TF_Timer,TF_Tekniker,Q$4,TF_Dato,$A791))*2,0)/2)))</f>
        <v/>
      </c>
      <c r="R791">
        <f>IF(OR(R$4="",$A791&gt;TODAY()),0,IF(OR(INDEX($B791:$D791,R$5)="F",AND(R$6&gt;0,$A791&lt;R$6),AND(R$7&gt;0,$A791&gt;R$7)),0,MAX(0,ROUND((INDEX($E791:$G791,R$5)-SUMIFS(TF_Timer,TF_Tekniker,R$4,TF_Dato,$A791))*2,0)/2)))</f>
        <v/>
      </c>
      <c r="S791">
        <f>IF(OR(S$4="",$A791&gt;TODAY()),0,IF(OR(INDEX($B791:$D791,S$5)="F",AND(S$6&gt;0,$A791&lt;S$6),AND(S$7&gt;0,$A791&gt;S$7)),0,MAX(0,ROUND((INDEX($E791:$G791,S$5)-SUMIFS(TF_Timer,TF_Tekniker,S$4,TF_Dato,$A791))*2,0)/2)))</f>
        <v/>
      </c>
      <c r="T791">
        <f>IF(OR(T$4="",$A791&gt;TODAY()),0,IF(OR(INDEX($B791:$D791,T$5)="F",AND(T$6&gt;0,$A791&lt;T$6),AND(T$7&gt;0,$A791&gt;T$7)),0,MAX(0,ROUND((INDEX($E791:$G791,T$5)-SUMIFS(TF_Timer,TF_Tekniker,T$4,TF_Dato,$A791))*2,0)/2)))</f>
        <v/>
      </c>
      <c r="U791">
        <f>IF(OR(U$4="",$A791&gt;TODAY()),0,IF(OR(INDEX($B791:$D791,U$5)="F",AND(U$6&gt;0,$A791&lt;U$6),AND(U$7&gt;0,$A791&gt;U$7)),0,MAX(0,ROUND((INDEX($E791:$G791,U$5)-SUMIFS(TF_Timer,TF_Tekniker,U$4,TF_Dato,$A791))*2,0)/2)))</f>
        <v/>
      </c>
      <c r="V791">
        <f>IF(OR(V$4="",$A791&gt;TODAY()),0,IF(OR(INDEX($B791:$D791,V$5)="F",AND(V$6&gt;0,$A791&lt;V$6),AND(V$7&gt;0,$A791&gt;V$7)),0,MAX(0,ROUND((INDEX($E791:$G791,V$5)-SUMIFS(TF_Timer,TF_Tekniker,V$4,TF_Dato,$A791))*2,0)/2)))</f>
        <v/>
      </c>
      <c r="W791">
        <f>IF(OR(W$4="",$A791&gt;TODAY()),0,IF(OR(INDEX($B791:$D791,W$5)="F",AND(W$6&gt;0,$A791&lt;W$6),AND(W$7&gt;0,$A791&gt;W$7)),0,MAX(0,ROUND((INDEX($E791:$G791,W$5)-SUMIFS(TF_Timer,TF_Tekniker,W$4,TF_Dato,$A791))*2,0)/2)))</f>
        <v/>
      </c>
      <c r="X791">
        <f>IF(OR(X$4="",$A791&gt;TODAY()),0,IF(OR(INDEX($B791:$D791,X$5)="F",AND(X$6&gt;0,$A791&lt;X$6),AND(X$7&gt;0,$A791&gt;X$7)),0,MAX(0,ROUND((INDEX($E791:$G791,X$5)-SUMIFS(TF_Timer,TF_Tekniker,X$4,TF_Dato,$A791))*2,0)/2)))</f>
        <v/>
      </c>
      <c r="Y791">
        <f>IF(OR(Y$4="",$A791&gt;TODAY()),0,IF(OR(INDEX($B791:$D791,Y$5)="F",AND(Y$6&gt;0,$A791&lt;Y$6),AND(Y$7&gt;0,$A791&gt;Y$7)),0,MAX(0,ROUND((INDEX($E791:$G791,Y$5)-SUMIFS(TF_Timer,TF_Tekniker,Y$4,TF_Dato,$A791))*2,0)/2)))</f>
        <v/>
      </c>
      <c r="Z791">
        <f>IF(OR(Z$4="",$A791&gt;TODAY()),0,IF(OR(INDEX($B791:$D791,Z$5)="F",AND(Z$6&gt;0,$A791&lt;Z$6),AND(Z$7&gt;0,$A791&gt;Z$7)),0,MAX(0,ROUND((INDEX($E791:$G791,Z$5)-SUMIFS(TF_Timer,TF_Tekniker,Z$4,TF_Dato,$A791))*2,0)/2)))</f>
        <v/>
      </c>
      <c r="AA791">
        <f>IF(OR(AA$4="",$A791&gt;TODAY()),0,IF(OR(INDEX($B791:$D791,AA$5)="F",AND(AA$6&gt;0,$A791&lt;AA$6),AND(AA$7&gt;0,$A791&gt;AA$7)),0,MAX(0,ROUND((INDEX($E791:$G791,AA$5)-SUMIFS(TF_Timer,TF_Tekniker,AA$4,TF_Dato,$A791))*2,0)/2)))</f>
        <v/>
      </c>
      <c r="AB791">
        <f>IF(OR(AB$4="",$A791&gt;TODAY()),0,IF(OR(INDEX($B791:$D791,AB$5)="F",AND(AB$6&gt;0,$A791&lt;AB$6),AND(AB$7&gt;0,$A791&gt;AB$7)),0,MAX(0,ROUND((INDEX($E791:$G791,AB$5)-SUMIFS(TF_Timer,TF_Tekniker,AB$4,TF_Dato,$A791))*2,0)/2)))</f>
        <v/>
      </c>
      <c r="AC791">
        <f>IF(OR(AC$4="",$A791&gt;TODAY()),0,IF(OR(INDEX($B791:$D791,AC$5)="F",AND(AC$6&gt;0,$A791&lt;AC$6),AND(AC$7&gt;0,$A791&gt;AC$7)),0,MAX(0,ROUND((INDEX($E791:$G791,AC$5)-SUMIFS(TF_Timer,TF_Tekniker,AC$4,TF_Dato,$A791))*2,0)/2)))</f>
        <v/>
      </c>
      <c r="AD791">
        <f>IF(OR(AD$4="",$A791&gt;TODAY()),0,IF(OR(INDEX($B791:$D791,AD$5)="F",AND(AD$6&gt;0,$A791&lt;AD$6),AND(AD$7&gt;0,$A791&gt;AD$7)),0,MAX(0,ROUND((INDEX($E791:$G791,AD$5)-SUMIFS(TF_Timer,TF_Tekniker,AD$4,TF_Dato,$A791))*2,0)/2)))</f>
        <v/>
      </c>
      <c r="AE791">
        <f>IF(OR(AE$4="",$A791&gt;TODAY()),0,IF(OR(INDEX($B791:$D791,AE$5)="F",AND(AE$6&gt;0,$A791&lt;AE$6),AND(AE$7&gt;0,$A791&gt;AE$7)),0,MAX(0,ROUND((INDEX($E791:$G791,AE$5)-SUMIFS(TF_Timer,TF_Tekniker,AE$4,TF_Dato,$A791))*2,0)/2)))</f>
        <v/>
      </c>
      <c r="AF791">
        <f>IF(OR(AF$4="",$A791&gt;TODAY()),0,IF(OR(INDEX($B791:$D791,AF$5)="F",AND(AF$6&gt;0,$A791&lt;AF$6),AND(AF$7&gt;0,$A791&gt;AF$7)),0,MAX(0,ROUND((INDEX($E791:$G791,AF$5)-SUMIFS(TF_Timer,TF_Tekniker,AF$4,TF_Dato,$A791))*2,0)/2)))</f>
        <v/>
      </c>
      <c r="AG791">
        <f>IF(OR(AG$4="",$A791&gt;TODAY()),0,IF(OR(INDEX($B791:$D791,AG$5)="F",AND(AG$6&gt;0,$A791&lt;AG$6),AND(AG$7&gt;0,$A791&gt;AG$7)),0,MAX(0,ROUND((INDEX($E791:$G791,AG$5)-SUMIFS(TF_Timer,TF_Tekniker,AG$4,TF_Dato,$A791))*2,0)/2)))</f>
        <v/>
      </c>
      <c r="AH791">
        <f>IF(OR(AH$4="",$A791&gt;TODAY()),0,IF(OR(INDEX($B791:$D791,AH$5)="F",AND(AH$6&gt;0,$A791&lt;AH$6),AND(AH$7&gt;0,$A791&gt;AH$7)),0,MAX(0,ROUND((INDEX($E791:$G791,AH$5)-SUMIFS(TF_Timer,TF_Tekniker,AH$4,TF_Dato,$A791))*2,0)/2)))</f>
        <v/>
      </c>
      <c r="AI791">
        <f>IF(OR(AI$4="",$A791&gt;TODAY()),0,IF(OR(INDEX($B791:$D791,AI$5)="F",AND(AI$6&gt;0,$A791&lt;AI$6),AND(AI$7&gt;0,$A791&gt;AI$7)),0,MAX(0,ROUND((INDEX($E791:$G791,AI$5)-SUMIFS(TF_Timer,TF_Tekniker,AI$4,TF_Dato,$A791))*2,0)/2)))</f>
        <v/>
      </c>
      <c r="AJ791">
        <f>IF(OR(AJ$4="",$A791&gt;TODAY()),0,IF(OR(INDEX($B791:$D791,AJ$5)="F",AND(AJ$6&gt;0,$A791&lt;AJ$6),AND(AJ$7&gt;0,$A791&gt;AJ$7)),0,MAX(0,ROUND((INDEX($E791:$G791,AJ$5)-SUMIFS(TF_Timer,TF_Tekniker,AJ$4,TF_Dato,$A791))*2,0)/2)))</f>
        <v/>
      </c>
      <c r="AK791">
        <f>IF(OR(AK$4="",$A791&gt;TODAY()),0,IF(OR(INDEX($B791:$D791,AK$5)="F",AND(AK$6&gt;0,$A791&lt;AK$6),AND(AK$7&gt;0,$A791&gt;AK$7)),0,MAX(0,ROUND((INDEX($E791:$G791,AK$5)-SUMIFS(TF_Timer,TF_Tekniker,AK$4,TF_Dato,$A791))*2,0)/2)))</f>
        <v/>
      </c>
      <c r="AL791">
        <f>IF(OR(AL$4="",$A791&gt;TODAY()),0,IF(OR(INDEX($B791:$D791,AL$5)="F",AND(AL$6&gt;0,$A791&lt;AL$6),AND(AL$7&gt;0,$A791&gt;AL$7)),0,MAX(0,ROUND((INDEX($E791:$G791,AL$5)-SUMIFS(TF_Timer,TF_Tekniker,AL$4,TF_Dato,$A791))*2,0)/2)))</f>
        <v/>
      </c>
      <c r="AM791">
        <f>IF(OR(AM$4="",$A791&gt;TODAY()),0,IF(OR(INDEX($B791:$D791,AM$5)="F",AND(AM$6&gt;0,$A791&lt;AM$6),AND(AM$7&gt;0,$A791&gt;AM$7)),0,MAX(0,ROUND((INDEX($E791:$G791,AM$5)-SUMIFS(TF_Timer,TF_Tekniker,AM$4,TF_Dato,$A791))*2,0)/2)))</f>
        <v/>
      </c>
      <c r="AN791">
        <f>IF(OR(AN$4="",$A791&gt;TODAY()),0,IF(OR(INDEX($B791:$D791,AN$5)="F",AND(AN$6&gt;0,$A791&lt;AN$6),AND(AN$7&gt;0,$A791&gt;AN$7)),0,MAX(0,ROUND((INDEX($E791:$G791,AN$5)-SUMIFS(TF_Timer,TF_Tekniker,AN$4,TF_Dato,$A791))*2,0)/2)))</f>
        <v/>
      </c>
      <c r="AO791">
        <f>IF(OR(AO$4="",$A791&gt;TODAY()),0,IF(OR(INDEX($B791:$D791,AO$5)="F",AND(AO$6&gt;0,$A791&lt;AO$6),AND(AO$7&gt;0,$A791&gt;AO$7)),0,MAX(0,ROUND((INDEX($E791:$G791,AO$5)-SUMIFS(TF_Timer,TF_Tekniker,AO$4,TF_Dato,$A791))*2,0)/2)))</f>
        <v/>
      </c>
      <c r="AP791">
        <f>IF(OR(AP$4="",$A791&gt;TODAY()),0,IF(OR(INDEX($B791:$D791,AP$5)="F",AND(AP$6&gt;0,$A791&lt;AP$6),AND(AP$7&gt;0,$A791&gt;AP$7)),0,MAX(0,ROUND((INDEX($E791:$G791,AP$5)-SUMIFS(TF_Timer,TF_Tekniker,AP$4,TF_Dato,$A791))*2,0)/2)))</f>
        <v/>
      </c>
      <c r="AQ791">
        <f>IF(OR(AQ$4="",$A791&gt;TODAY()),0,IF(OR(INDEX($B791:$D791,AQ$5)="F",AND(AQ$6&gt;0,$A791&lt;AQ$6),AND(AQ$7&gt;0,$A791&gt;AQ$7)),0,MAX(0,ROUND((INDEX($E791:$G791,AQ$5)-SUMIFS(TF_Timer,TF_Tekniker,AQ$4,TF_Dato,$A791))*2,0)/2)))</f>
        <v/>
      </c>
      <c r="AR791">
        <f>IF(OR(AR$4="",$A791&gt;TODAY()),0,IF(OR(INDEX($B791:$D791,AR$5)="F",AND(AR$6&gt;0,$A791&lt;AR$6),AND(AR$7&gt;0,$A791&gt;AR$7)),0,MAX(0,ROUND((INDEX($E791:$G791,AR$5)-SUMIFS(TF_Timer,TF_Tekniker,AR$4,TF_Dato,$A791))*2,0)/2)))</f>
        <v/>
      </c>
      <c r="AS791">
        <f>IF(OR(AS$4="",$A791&gt;TODAY()),0,IF(OR(INDEX($B791:$D791,AS$5)="F",AND(AS$6&gt;0,$A791&lt;AS$6),AND(AS$7&gt;0,$A791&gt;AS$7)),0,MAX(0,ROUND((INDEX($E791:$G791,AS$5)-SUMIFS(TF_Timer,TF_Tekniker,AS$4,TF_Dato,$A791))*2,0)/2)))</f>
        <v/>
      </c>
      <c r="AT791">
        <f>IF(OR(AT$4="",$A791&gt;TODAY()),0,IF(OR(INDEX($B791:$D791,AT$5)="F",AND(AT$6&gt;0,$A791&lt;AT$6),AND(AT$7&gt;0,$A791&gt;AT$7)),0,MAX(0,ROUND((INDEX($E791:$G791,AT$5)-SUMIFS(TF_Timer,TF_Tekniker,AT$4,TF_Dato,$A791))*2,0)/2)))</f>
        <v/>
      </c>
      <c r="AU791">
        <f>IF(OR(AU$4="",$A791&gt;TODAY()),0,IF(OR(INDEX($B791:$D791,AU$5)="F",AND(AU$6&gt;0,$A791&lt;AU$6),AND(AU$7&gt;0,$A791&gt;AU$7)),0,MAX(0,ROUND((INDEX($E791:$G791,AU$5)-SUMIFS(TF_Timer,TF_Tekniker,AU$4,TF_Dato,$A791))*2,0)/2)))</f>
        <v/>
      </c>
      <c r="AV791">
        <f>IF(OR(AV$4="",$A791&gt;TODAY()),0,IF(OR(INDEX($B791:$D791,AV$5)="F",AND(AV$6&gt;0,$A791&lt;AV$6),AND(AV$7&gt;0,$A791&gt;AV$7)),0,MAX(0,ROUND((INDEX($E791:$G791,AV$5)-SUMIFS(TF_Timer,TF_Tekniker,AV$4,TF_Dato,$A791))*2,0)/2)))</f>
        <v/>
      </c>
      <c r="AW791">
        <f>IF(OR(AW$4="",$A791&gt;TODAY()),0,IF(OR(INDEX($B791:$D791,AW$5)="F",AND(AW$6&gt;0,$A791&lt;AW$6),AND(AW$7&gt;0,$A791&gt;AW$7)),0,MAX(0,ROUND((INDEX($E791:$G791,AW$5)-SUMIFS(TF_Timer,TF_Tekniker,AW$4,TF_Dato,$A791))*2,0)/2)))</f>
        <v/>
      </c>
      <c r="AX791">
        <f>IF(OR(AX$4="",$A791&gt;TODAY()),0,IF(OR(INDEX($B791:$D791,AX$5)="F",AND(AX$6&gt;0,$A791&lt;AX$6),AND(AX$7&gt;0,$A791&gt;AX$7)),0,MAX(0,ROUND((INDEX($E791:$G791,AX$5)-SUMIFS(TF_Timer,TF_Tekniker,AX$4,TF_Dato,$A791))*2,0)/2)))</f>
        <v/>
      </c>
      <c r="AY791">
        <f>IF(OR(AY$4="",$A791&gt;TODAY()),0,IF(OR(INDEX($B791:$D791,AY$5)="F",AND(AY$6&gt;0,$A791&lt;AY$6),AND(AY$7&gt;0,$A791&gt;AY$7)),0,MAX(0,ROUND((INDEX($E791:$G791,AY$5)-SUMIFS(TF_Timer,TF_Tekniker,AY$4,TF_Dato,$A791))*2,0)/2)))</f>
        <v/>
      </c>
      <c r="AZ791">
        <f>IF(OR(AZ$4="",$A791&gt;TODAY()),0,IF(OR(INDEX($B791:$D791,AZ$5)="F",AND(AZ$6&gt;0,$A791&lt;AZ$6),AND(AZ$7&gt;0,$A791&gt;AZ$7)),0,MAX(0,ROUND((INDEX($E791:$G791,AZ$5)-SUMIFS(TF_Timer,TF_Tekniker,AZ$4,TF_Dato,$A791))*2,0)/2)))</f>
        <v/>
      </c>
      <c r="BA791">
        <f>IF(OR(BA$4="",$A791&gt;TODAY()),0,IF(OR(INDEX($B791:$D791,BA$5)="F",AND(BA$6&gt;0,$A791&lt;BA$6),AND(BA$7&gt;0,$A791&gt;BA$7)),0,MAX(0,ROUND((INDEX($E791:$G791,BA$5)-SUMIFS(TF_Timer,TF_Tekniker,BA$4,TF_Dato,$A791))*2,0)/2)))</f>
        <v/>
      </c>
      <c r="BB791">
        <f>IF(OR(BB$4="",$A791&gt;TODAY()),0,IF(OR(INDEX($B791:$D791,BB$5)="F",AND(BB$6&gt;0,$A791&lt;BB$6),AND(BB$7&gt;0,$A791&gt;BB$7)),0,MAX(0,ROUND((INDEX($E791:$G791,BB$5)-SUMIFS(TF_Timer,TF_Tekniker,BB$4,TF_Dato,$A791))*2,0)/2)))</f>
        <v/>
      </c>
      <c r="BC791">
        <f>IF(OR(BC$4="",$A791&gt;TODAY()),0,IF(OR(INDEX($B791:$D791,BC$5)="F",AND(BC$6&gt;0,$A791&lt;BC$6),AND(BC$7&gt;0,$A791&gt;BC$7)),0,MAX(0,ROUND((INDEX($E791:$G791,BC$5)-SUMIFS(TF_Timer,TF_Tekniker,BC$4,TF_Dato,$A791))*2,0)/2)))</f>
        <v/>
      </c>
      <c r="BD791">
        <f>IF(OR(BD$4="",$A791&gt;TODAY()),0,IF(OR(INDEX($B791:$D791,BD$5)="F",AND(BD$6&gt;0,$A791&lt;BD$6),AND(BD$7&gt;0,$A791&gt;BD$7)),0,MAX(0,ROUND((INDEX($E791:$G791,BD$5)-SUMIFS(TF_Timer,TF_Tekniker,BD$4,TF_Dato,$A791))*2,0)/2)))</f>
        <v/>
      </c>
      <c r="BE791">
        <f>IF(OR(BE$4="",$A791&gt;TODAY()),0,IF(OR(INDEX($B791:$D791,BE$5)="F",AND(BE$6&gt;0,$A791&lt;BE$6),AND(BE$7&gt;0,$A791&gt;BE$7)),0,MAX(0,ROUND((INDEX($E791:$G791,BE$5)-SUMIFS(TF_Timer,TF_Tekniker,BE$4,TF_Dato,$A791))*2,0)/2)))</f>
        <v/>
      </c>
      <c r="BF791">
        <f>IF(OR(BF$4="",$A791&gt;TODAY()),0,IF(OR(INDEX($B791:$D791,BF$5)="F",AND(BF$6&gt;0,$A791&lt;BF$6),AND(BF$7&gt;0,$A791&gt;BF$7)),0,MAX(0,ROUND((INDEX($E791:$G791,BF$5)-SUMIFS(TF_Timer,TF_Tekniker,BF$4,TF_Dato,$A791))*2,0)/2)))</f>
        <v/>
      </c>
      <c r="BG791">
        <f>IF(OR(BG$4="",$A791&gt;TODAY()),0,IF(OR(INDEX($B791:$D791,BG$5)="F",AND(BG$6&gt;0,$A791&lt;BG$6),AND(BG$7&gt;0,$A791&gt;BG$7)),0,MAX(0,ROUND((INDEX($E791:$G791,BG$5)-SUMIFS(TF_Timer,TF_Tekniker,BG$4,TF_Dato,$A791))*2,0)/2)))</f>
        <v/>
      </c>
      <c r="BH791">
        <f>IF(OR(BH$4="",$A791&gt;TODAY()),0,IF(OR(INDEX($B791:$D791,BH$5)="F",AND(BH$6&gt;0,$A791&lt;BH$6),AND(BH$7&gt;0,$A791&gt;BH$7)),0,MAX(0,ROUND((INDEX($E791:$G791,BH$5)-SUMIFS(TF_Timer,TF_Tekniker,BH$4,TF_Dato,$A791))*2,0)/2)))</f>
        <v/>
      </c>
      <c r="BI791">
        <f>IF(OR(BI$4="",$A791&gt;TODAY()),0,IF(OR(INDEX($B791:$D791,BI$5)="F",AND(BI$6&gt;0,$A791&lt;BI$6),AND(BI$7&gt;0,$A791&gt;BI$7)),0,MAX(0,ROUND((INDEX($E791:$G791,BI$5)-SUMIFS(TF_Timer,TF_Tekniker,BI$4,TF_Dato,$A791))*2,0)/2)))</f>
        <v/>
      </c>
    </row>
    <row r="792">
      <c r="A792" s="64">
        <f>A791+1</f>
        <v/>
      </c>
      <c r="B792">
        <f>IF(MOD($A792-INDEX(SkiftStart,1),Syklus)&lt;DagK,"K",IF(MOD($A792-INDEX(SkiftStart,1),Syklus)&lt;DagK+DagH,"H",IF(MOD($A792-INDEX(SkiftStart,1),Syklus)&lt;DagK+DagH+DagD,"D","F")))</f>
        <v/>
      </c>
      <c r="C792">
        <f>IF(MOD($A792-INDEX(SkiftStart,2),Syklus)&lt;DagK,"K",IF(MOD($A792-INDEX(SkiftStart,2),Syklus)&lt;DagK+DagH,"H",IF(MOD($A792-INDEX(SkiftStart,2),Syklus)&lt;DagK+DagH+DagD,"D","F")))</f>
        <v/>
      </c>
      <c r="D792">
        <f>IF(MOD($A792-INDEX(SkiftStart,3),Syklus)&lt;DagK,"K",IF(MOD($A792-INDEX(SkiftStart,3),Syklus)&lt;DagK+DagH,"H",IF(MOD($A792-INDEX(SkiftStart,3),Syklus)&lt;DagK+DagH+DagD,"D","F")))</f>
        <v/>
      </c>
      <c r="E792">
        <f>IF(B792="F",0,IF(WEEKDAY($A792,2)=5,INDEX(TimerFr,MATCH(B792,FaseKode,0)),INDEX(TimerMT,MATCH(B792,FaseKode,0))))</f>
        <v/>
      </c>
      <c r="F792">
        <f>IF(C792="F",0,IF(WEEKDAY($A792,2)=5,INDEX(TimerFr,MATCH(C792,FaseKode,0)),INDEX(TimerMT,MATCH(C792,FaseKode,0))))</f>
        <v/>
      </c>
      <c r="G792">
        <f>IF(D792="F",0,IF(WEEKDAY($A792,2)=5,INDEX(TimerFr,MATCH(D792,FaseKode,0)),INDEX(TimerMT,MATCH(D792,FaseKode,0))))</f>
        <v/>
      </c>
      <c r="H792">
        <f>IF(OR(H$4="",$A792&gt;TODAY()),0,IF(OR(INDEX($B792:$D792,H$5)="F",AND(H$6&gt;0,$A792&lt;H$6),AND(H$7&gt;0,$A792&gt;H$7)),0,MAX(0,ROUND((INDEX($E792:$G792,H$5)-SUMIFS(TF_Timer,TF_Tekniker,H$4,TF_Dato,$A792))*2,0)/2)))</f>
        <v/>
      </c>
      <c r="I792">
        <f>IF(OR(I$4="",$A792&gt;TODAY()),0,IF(OR(INDEX($B792:$D792,I$5)="F",AND(I$6&gt;0,$A792&lt;I$6),AND(I$7&gt;0,$A792&gt;I$7)),0,MAX(0,ROUND((INDEX($E792:$G792,I$5)-SUMIFS(TF_Timer,TF_Tekniker,I$4,TF_Dato,$A792))*2,0)/2)))</f>
        <v/>
      </c>
      <c r="J792">
        <f>IF(OR(J$4="",$A792&gt;TODAY()),0,IF(OR(INDEX($B792:$D792,J$5)="F",AND(J$6&gt;0,$A792&lt;J$6),AND(J$7&gt;0,$A792&gt;J$7)),0,MAX(0,ROUND((INDEX($E792:$G792,J$5)-SUMIFS(TF_Timer,TF_Tekniker,J$4,TF_Dato,$A792))*2,0)/2)))</f>
        <v/>
      </c>
      <c r="K792">
        <f>IF(OR(K$4="",$A792&gt;TODAY()),0,IF(OR(INDEX($B792:$D792,K$5)="F",AND(K$6&gt;0,$A792&lt;K$6),AND(K$7&gt;0,$A792&gt;K$7)),0,MAX(0,ROUND((INDEX($E792:$G792,K$5)-SUMIFS(TF_Timer,TF_Tekniker,K$4,TF_Dato,$A792))*2,0)/2)))</f>
        <v/>
      </c>
      <c r="L792">
        <f>IF(OR(L$4="",$A792&gt;TODAY()),0,IF(OR(INDEX($B792:$D792,L$5)="F",AND(L$6&gt;0,$A792&lt;L$6),AND(L$7&gt;0,$A792&gt;L$7)),0,MAX(0,ROUND((INDEX($E792:$G792,L$5)-SUMIFS(TF_Timer,TF_Tekniker,L$4,TF_Dato,$A792))*2,0)/2)))</f>
        <v/>
      </c>
      <c r="M792">
        <f>IF(OR(M$4="",$A792&gt;TODAY()),0,IF(OR(INDEX($B792:$D792,M$5)="F",AND(M$6&gt;0,$A792&lt;M$6),AND(M$7&gt;0,$A792&gt;M$7)),0,MAX(0,ROUND((INDEX($E792:$G792,M$5)-SUMIFS(TF_Timer,TF_Tekniker,M$4,TF_Dato,$A792))*2,0)/2)))</f>
        <v/>
      </c>
      <c r="N792">
        <f>IF(OR(N$4="",$A792&gt;TODAY()),0,IF(OR(INDEX($B792:$D792,N$5)="F",AND(N$6&gt;0,$A792&lt;N$6),AND(N$7&gt;0,$A792&gt;N$7)),0,MAX(0,ROUND((INDEX($E792:$G792,N$5)-SUMIFS(TF_Timer,TF_Tekniker,N$4,TF_Dato,$A792))*2,0)/2)))</f>
        <v/>
      </c>
      <c r="O792">
        <f>IF(OR(O$4="",$A792&gt;TODAY()),0,IF(OR(INDEX($B792:$D792,O$5)="F",AND(O$6&gt;0,$A792&lt;O$6),AND(O$7&gt;0,$A792&gt;O$7)),0,MAX(0,ROUND((INDEX($E792:$G792,O$5)-SUMIFS(TF_Timer,TF_Tekniker,O$4,TF_Dato,$A792))*2,0)/2)))</f>
        <v/>
      </c>
      <c r="P792">
        <f>IF(OR(P$4="",$A792&gt;TODAY()),0,IF(OR(INDEX($B792:$D792,P$5)="F",AND(P$6&gt;0,$A792&lt;P$6),AND(P$7&gt;0,$A792&gt;P$7)),0,MAX(0,ROUND((INDEX($E792:$G792,P$5)-SUMIFS(TF_Timer,TF_Tekniker,P$4,TF_Dato,$A792))*2,0)/2)))</f>
        <v/>
      </c>
      <c r="Q792">
        <f>IF(OR(Q$4="",$A792&gt;TODAY()),0,IF(OR(INDEX($B792:$D792,Q$5)="F",AND(Q$6&gt;0,$A792&lt;Q$6),AND(Q$7&gt;0,$A792&gt;Q$7)),0,MAX(0,ROUND((INDEX($E792:$G792,Q$5)-SUMIFS(TF_Timer,TF_Tekniker,Q$4,TF_Dato,$A792))*2,0)/2)))</f>
        <v/>
      </c>
      <c r="R792">
        <f>IF(OR(R$4="",$A792&gt;TODAY()),0,IF(OR(INDEX($B792:$D792,R$5)="F",AND(R$6&gt;0,$A792&lt;R$6),AND(R$7&gt;0,$A792&gt;R$7)),0,MAX(0,ROUND((INDEX($E792:$G792,R$5)-SUMIFS(TF_Timer,TF_Tekniker,R$4,TF_Dato,$A792))*2,0)/2)))</f>
        <v/>
      </c>
      <c r="S792">
        <f>IF(OR(S$4="",$A792&gt;TODAY()),0,IF(OR(INDEX($B792:$D792,S$5)="F",AND(S$6&gt;0,$A792&lt;S$6),AND(S$7&gt;0,$A792&gt;S$7)),0,MAX(0,ROUND((INDEX($E792:$G792,S$5)-SUMIFS(TF_Timer,TF_Tekniker,S$4,TF_Dato,$A792))*2,0)/2)))</f>
        <v/>
      </c>
      <c r="T792">
        <f>IF(OR(T$4="",$A792&gt;TODAY()),0,IF(OR(INDEX($B792:$D792,T$5)="F",AND(T$6&gt;0,$A792&lt;T$6),AND(T$7&gt;0,$A792&gt;T$7)),0,MAX(0,ROUND((INDEX($E792:$G792,T$5)-SUMIFS(TF_Timer,TF_Tekniker,T$4,TF_Dato,$A792))*2,0)/2)))</f>
        <v/>
      </c>
      <c r="U792">
        <f>IF(OR(U$4="",$A792&gt;TODAY()),0,IF(OR(INDEX($B792:$D792,U$5)="F",AND(U$6&gt;0,$A792&lt;U$6),AND(U$7&gt;0,$A792&gt;U$7)),0,MAX(0,ROUND((INDEX($E792:$G792,U$5)-SUMIFS(TF_Timer,TF_Tekniker,U$4,TF_Dato,$A792))*2,0)/2)))</f>
        <v/>
      </c>
      <c r="V792">
        <f>IF(OR(V$4="",$A792&gt;TODAY()),0,IF(OR(INDEX($B792:$D792,V$5)="F",AND(V$6&gt;0,$A792&lt;V$6),AND(V$7&gt;0,$A792&gt;V$7)),0,MAX(0,ROUND((INDEX($E792:$G792,V$5)-SUMIFS(TF_Timer,TF_Tekniker,V$4,TF_Dato,$A792))*2,0)/2)))</f>
        <v/>
      </c>
      <c r="W792">
        <f>IF(OR(W$4="",$A792&gt;TODAY()),0,IF(OR(INDEX($B792:$D792,W$5)="F",AND(W$6&gt;0,$A792&lt;W$6),AND(W$7&gt;0,$A792&gt;W$7)),0,MAX(0,ROUND((INDEX($E792:$G792,W$5)-SUMIFS(TF_Timer,TF_Tekniker,W$4,TF_Dato,$A792))*2,0)/2)))</f>
        <v/>
      </c>
      <c r="X792">
        <f>IF(OR(X$4="",$A792&gt;TODAY()),0,IF(OR(INDEX($B792:$D792,X$5)="F",AND(X$6&gt;0,$A792&lt;X$6),AND(X$7&gt;0,$A792&gt;X$7)),0,MAX(0,ROUND((INDEX($E792:$G792,X$5)-SUMIFS(TF_Timer,TF_Tekniker,X$4,TF_Dato,$A792))*2,0)/2)))</f>
        <v/>
      </c>
      <c r="Y792">
        <f>IF(OR(Y$4="",$A792&gt;TODAY()),0,IF(OR(INDEX($B792:$D792,Y$5)="F",AND(Y$6&gt;0,$A792&lt;Y$6),AND(Y$7&gt;0,$A792&gt;Y$7)),0,MAX(0,ROUND((INDEX($E792:$G792,Y$5)-SUMIFS(TF_Timer,TF_Tekniker,Y$4,TF_Dato,$A792))*2,0)/2)))</f>
        <v/>
      </c>
      <c r="Z792">
        <f>IF(OR(Z$4="",$A792&gt;TODAY()),0,IF(OR(INDEX($B792:$D792,Z$5)="F",AND(Z$6&gt;0,$A792&lt;Z$6),AND(Z$7&gt;0,$A792&gt;Z$7)),0,MAX(0,ROUND((INDEX($E792:$G792,Z$5)-SUMIFS(TF_Timer,TF_Tekniker,Z$4,TF_Dato,$A792))*2,0)/2)))</f>
        <v/>
      </c>
      <c r="AA792">
        <f>IF(OR(AA$4="",$A792&gt;TODAY()),0,IF(OR(INDEX($B792:$D792,AA$5)="F",AND(AA$6&gt;0,$A792&lt;AA$6),AND(AA$7&gt;0,$A792&gt;AA$7)),0,MAX(0,ROUND((INDEX($E792:$G792,AA$5)-SUMIFS(TF_Timer,TF_Tekniker,AA$4,TF_Dato,$A792))*2,0)/2)))</f>
        <v/>
      </c>
      <c r="AB792">
        <f>IF(OR(AB$4="",$A792&gt;TODAY()),0,IF(OR(INDEX($B792:$D792,AB$5)="F",AND(AB$6&gt;0,$A792&lt;AB$6),AND(AB$7&gt;0,$A792&gt;AB$7)),0,MAX(0,ROUND((INDEX($E792:$G792,AB$5)-SUMIFS(TF_Timer,TF_Tekniker,AB$4,TF_Dato,$A792))*2,0)/2)))</f>
        <v/>
      </c>
      <c r="AC792">
        <f>IF(OR(AC$4="",$A792&gt;TODAY()),0,IF(OR(INDEX($B792:$D792,AC$5)="F",AND(AC$6&gt;0,$A792&lt;AC$6),AND(AC$7&gt;0,$A792&gt;AC$7)),0,MAX(0,ROUND((INDEX($E792:$G792,AC$5)-SUMIFS(TF_Timer,TF_Tekniker,AC$4,TF_Dato,$A792))*2,0)/2)))</f>
        <v/>
      </c>
      <c r="AD792">
        <f>IF(OR(AD$4="",$A792&gt;TODAY()),0,IF(OR(INDEX($B792:$D792,AD$5)="F",AND(AD$6&gt;0,$A792&lt;AD$6),AND(AD$7&gt;0,$A792&gt;AD$7)),0,MAX(0,ROUND((INDEX($E792:$G792,AD$5)-SUMIFS(TF_Timer,TF_Tekniker,AD$4,TF_Dato,$A792))*2,0)/2)))</f>
        <v/>
      </c>
      <c r="AE792">
        <f>IF(OR(AE$4="",$A792&gt;TODAY()),0,IF(OR(INDEX($B792:$D792,AE$5)="F",AND(AE$6&gt;0,$A792&lt;AE$6),AND(AE$7&gt;0,$A792&gt;AE$7)),0,MAX(0,ROUND((INDEX($E792:$G792,AE$5)-SUMIFS(TF_Timer,TF_Tekniker,AE$4,TF_Dato,$A792))*2,0)/2)))</f>
        <v/>
      </c>
      <c r="AF792">
        <f>IF(OR(AF$4="",$A792&gt;TODAY()),0,IF(OR(INDEX($B792:$D792,AF$5)="F",AND(AF$6&gt;0,$A792&lt;AF$6),AND(AF$7&gt;0,$A792&gt;AF$7)),0,MAX(0,ROUND((INDEX($E792:$G792,AF$5)-SUMIFS(TF_Timer,TF_Tekniker,AF$4,TF_Dato,$A792))*2,0)/2)))</f>
        <v/>
      </c>
      <c r="AG792">
        <f>IF(OR(AG$4="",$A792&gt;TODAY()),0,IF(OR(INDEX($B792:$D792,AG$5)="F",AND(AG$6&gt;0,$A792&lt;AG$6),AND(AG$7&gt;0,$A792&gt;AG$7)),0,MAX(0,ROUND((INDEX($E792:$G792,AG$5)-SUMIFS(TF_Timer,TF_Tekniker,AG$4,TF_Dato,$A792))*2,0)/2)))</f>
        <v/>
      </c>
      <c r="AH792">
        <f>IF(OR(AH$4="",$A792&gt;TODAY()),0,IF(OR(INDEX($B792:$D792,AH$5)="F",AND(AH$6&gt;0,$A792&lt;AH$6),AND(AH$7&gt;0,$A792&gt;AH$7)),0,MAX(0,ROUND((INDEX($E792:$G792,AH$5)-SUMIFS(TF_Timer,TF_Tekniker,AH$4,TF_Dato,$A792))*2,0)/2)))</f>
        <v/>
      </c>
      <c r="AI792">
        <f>IF(OR(AI$4="",$A792&gt;TODAY()),0,IF(OR(INDEX($B792:$D792,AI$5)="F",AND(AI$6&gt;0,$A792&lt;AI$6),AND(AI$7&gt;0,$A792&gt;AI$7)),0,MAX(0,ROUND((INDEX($E792:$G792,AI$5)-SUMIFS(TF_Timer,TF_Tekniker,AI$4,TF_Dato,$A792))*2,0)/2)))</f>
        <v/>
      </c>
      <c r="AJ792">
        <f>IF(OR(AJ$4="",$A792&gt;TODAY()),0,IF(OR(INDEX($B792:$D792,AJ$5)="F",AND(AJ$6&gt;0,$A792&lt;AJ$6),AND(AJ$7&gt;0,$A792&gt;AJ$7)),0,MAX(0,ROUND((INDEX($E792:$G792,AJ$5)-SUMIFS(TF_Timer,TF_Tekniker,AJ$4,TF_Dato,$A792))*2,0)/2)))</f>
        <v/>
      </c>
      <c r="AK792">
        <f>IF(OR(AK$4="",$A792&gt;TODAY()),0,IF(OR(INDEX($B792:$D792,AK$5)="F",AND(AK$6&gt;0,$A792&lt;AK$6),AND(AK$7&gt;0,$A792&gt;AK$7)),0,MAX(0,ROUND((INDEX($E792:$G792,AK$5)-SUMIFS(TF_Timer,TF_Tekniker,AK$4,TF_Dato,$A792))*2,0)/2)))</f>
        <v/>
      </c>
      <c r="AL792">
        <f>IF(OR(AL$4="",$A792&gt;TODAY()),0,IF(OR(INDEX($B792:$D792,AL$5)="F",AND(AL$6&gt;0,$A792&lt;AL$6),AND(AL$7&gt;0,$A792&gt;AL$7)),0,MAX(0,ROUND((INDEX($E792:$G792,AL$5)-SUMIFS(TF_Timer,TF_Tekniker,AL$4,TF_Dato,$A792))*2,0)/2)))</f>
        <v/>
      </c>
      <c r="AM792">
        <f>IF(OR(AM$4="",$A792&gt;TODAY()),0,IF(OR(INDEX($B792:$D792,AM$5)="F",AND(AM$6&gt;0,$A792&lt;AM$6),AND(AM$7&gt;0,$A792&gt;AM$7)),0,MAX(0,ROUND((INDEX($E792:$G792,AM$5)-SUMIFS(TF_Timer,TF_Tekniker,AM$4,TF_Dato,$A792))*2,0)/2)))</f>
        <v/>
      </c>
      <c r="AN792">
        <f>IF(OR(AN$4="",$A792&gt;TODAY()),0,IF(OR(INDEX($B792:$D792,AN$5)="F",AND(AN$6&gt;0,$A792&lt;AN$6),AND(AN$7&gt;0,$A792&gt;AN$7)),0,MAX(0,ROUND((INDEX($E792:$G792,AN$5)-SUMIFS(TF_Timer,TF_Tekniker,AN$4,TF_Dato,$A792))*2,0)/2)))</f>
        <v/>
      </c>
      <c r="AO792">
        <f>IF(OR(AO$4="",$A792&gt;TODAY()),0,IF(OR(INDEX($B792:$D792,AO$5)="F",AND(AO$6&gt;0,$A792&lt;AO$6),AND(AO$7&gt;0,$A792&gt;AO$7)),0,MAX(0,ROUND((INDEX($E792:$G792,AO$5)-SUMIFS(TF_Timer,TF_Tekniker,AO$4,TF_Dato,$A792))*2,0)/2)))</f>
        <v/>
      </c>
      <c r="AP792">
        <f>IF(OR(AP$4="",$A792&gt;TODAY()),0,IF(OR(INDEX($B792:$D792,AP$5)="F",AND(AP$6&gt;0,$A792&lt;AP$6),AND(AP$7&gt;0,$A792&gt;AP$7)),0,MAX(0,ROUND((INDEX($E792:$G792,AP$5)-SUMIFS(TF_Timer,TF_Tekniker,AP$4,TF_Dato,$A792))*2,0)/2)))</f>
        <v/>
      </c>
      <c r="AQ792">
        <f>IF(OR(AQ$4="",$A792&gt;TODAY()),0,IF(OR(INDEX($B792:$D792,AQ$5)="F",AND(AQ$6&gt;0,$A792&lt;AQ$6),AND(AQ$7&gt;0,$A792&gt;AQ$7)),0,MAX(0,ROUND((INDEX($E792:$G792,AQ$5)-SUMIFS(TF_Timer,TF_Tekniker,AQ$4,TF_Dato,$A792))*2,0)/2)))</f>
        <v/>
      </c>
      <c r="AR792">
        <f>IF(OR(AR$4="",$A792&gt;TODAY()),0,IF(OR(INDEX($B792:$D792,AR$5)="F",AND(AR$6&gt;0,$A792&lt;AR$6),AND(AR$7&gt;0,$A792&gt;AR$7)),0,MAX(0,ROUND((INDEX($E792:$G792,AR$5)-SUMIFS(TF_Timer,TF_Tekniker,AR$4,TF_Dato,$A792))*2,0)/2)))</f>
        <v/>
      </c>
      <c r="AS792">
        <f>IF(OR(AS$4="",$A792&gt;TODAY()),0,IF(OR(INDEX($B792:$D792,AS$5)="F",AND(AS$6&gt;0,$A792&lt;AS$6),AND(AS$7&gt;0,$A792&gt;AS$7)),0,MAX(0,ROUND((INDEX($E792:$G792,AS$5)-SUMIFS(TF_Timer,TF_Tekniker,AS$4,TF_Dato,$A792))*2,0)/2)))</f>
        <v/>
      </c>
      <c r="AT792">
        <f>IF(OR(AT$4="",$A792&gt;TODAY()),0,IF(OR(INDEX($B792:$D792,AT$5)="F",AND(AT$6&gt;0,$A792&lt;AT$6),AND(AT$7&gt;0,$A792&gt;AT$7)),0,MAX(0,ROUND((INDEX($E792:$G792,AT$5)-SUMIFS(TF_Timer,TF_Tekniker,AT$4,TF_Dato,$A792))*2,0)/2)))</f>
        <v/>
      </c>
      <c r="AU792">
        <f>IF(OR(AU$4="",$A792&gt;TODAY()),0,IF(OR(INDEX($B792:$D792,AU$5)="F",AND(AU$6&gt;0,$A792&lt;AU$6),AND(AU$7&gt;0,$A792&gt;AU$7)),0,MAX(0,ROUND((INDEX($E792:$G792,AU$5)-SUMIFS(TF_Timer,TF_Tekniker,AU$4,TF_Dato,$A792))*2,0)/2)))</f>
        <v/>
      </c>
      <c r="AV792">
        <f>IF(OR(AV$4="",$A792&gt;TODAY()),0,IF(OR(INDEX($B792:$D792,AV$5)="F",AND(AV$6&gt;0,$A792&lt;AV$6),AND(AV$7&gt;0,$A792&gt;AV$7)),0,MAX(0,ROUND((INDEX($E792:$G792,AV$5)-SUMIFS(TF_Timer,TF_Tekniker,AV$4,TF_Dato,$A792))*2,0)/2)))</f>
        <v/>
      </c>
      <c r="AW792">
        <f>IF(OR(AW$4="",$A792&gt;TODAY()),0,IF(OR(INDEX($B792:$D792,AW$5)="F",AND(AW$6&gt;0,$A792&lt;AW$6),AND(AW$7&gt;0,$A792&gt;AW$7)),0,MAX(0,ROUND((INDEX($E792:$G792,AW$5)-SUMIFS(TF_Timer,TF_Tekniker,AW$4,TF_Dato,$A792))*2,0)/2)))</f>
        <v/>
      </c>
      <c r="AX792">
        <f>IF(OR(AX$4="",$A792&gt;TODAY()),0,IF(OR(INDEX($B792:$D792,AX$5)="F",AND(AX$6&gt;0,$A792&lt;AX$6),AND(AX$7&gt;0,$A792&gt;AX$7)),0,MAX(0,ROUND((INDEX($E792:$G792,AX$5)-SUMIFS(TF_Timer,TF_Tekniker,AX$4,TF_Dato,$A792))*2,0)/2)))</f>
        <v/>
      </c>
      <c r="AY792">
        <f>IF(OR(AY$4="",$A792&gt;TODAY()),0,IF(OR(INDEX($B792:$D792,AY$5)="F",AND(AY$6&gt;0,$A792&lt;AY$6),AND(AY$7&gt;0,$A792&gt;AY$7)),0,MAX(0,ROUND((INDEX($E792:$G792,AY$5)-SUMIFS(TF_Timer,TF_Tekniker,AY$4,TF_Dato,$A792))*2,0)/2)))</f>
        <v/>
      </c>
      <c r="AZ792">
        <f>IF(OR(AZ$4="",$A792&gt;TODAY()),0,IF(OR(INDEX($B792:$D792,AZ$5)="F",AND(AZ$6&gt;0,$A792&lt;AZ$6),AND(AZ$7&gt;0,$A792&gt;AZ$7)),0,MAX(0,ROUND((INDEX($E792:$G792,AZ$5)-SUMIFS(TF_Timer,TF_Tekniker,AZ$4,TF_Dato,$A792))*2,0)/2)))</f>
        <v/>
      </c>
      <c r="BA792">
        <f>IF(OR(BA$4="",$A792&gt;TODAY()),0,IF(OR(INDEX($B792:$D792,BA$5)="F",AND(BA$6&gt;0,$A792&lt;BA$6),AND(BA$7&gt;0,$A792&gt;BA$7)),0,MAX(0,ROUND((INDEX($E792:$G792,BA$5)-SUMIFS(TF_Timer,TF_Tekniker,BA$4,TF_Dato,$A792))*2,0)/2)))</f>
        <v/>
      </c>
      <c r="BB792">
        <f>IF(OR(BB$4="",$A792&gt;TODAY()),0,IF(OR(INDEX($B792:$D792,BB$5)="F",AND(BB$6&gt;0,$A792&lt;BB$6),AND(BB$7&gt;0,$A792&gt;BB$7)),0,MAX(0,ROUND((INDEX($E792:$G792,BB$5)-SUMIFS(TF_Timer,TF_Tekniker,BB$4,TF_Dato,$A792))*2,0)/2)))</f>
        <v/>
      </c>
      <c r="BC792">
        <f>IF(OR(BC$4="",$A792&gt;TODAY()),0,IF(OR(INDEX($B792:$D792,BC$5)="F",AND(BC$6&gt;0,$A792&lt;BC$6),AND(BC$7&gt;0,$A792&gt;BC$7)),0,MAX(0,ROUND((INDEX($E792:$G792,BC$5)-SUMIFS(TF_Timer,TF_Tekniker,BC$4,TF_Dato,$A792))*2,0)/2)))</f>
        <v/>
      </c>
      <c r="BD792">
        <f>IF(OR(BD$4="",$A792&gt;TODAY()),0,IF(OR(INDEX($B792:$D792,BD$5)="F",AND(BD$6&gt;0,$A792&lt;BD$6),AND(BD$7&gt;0,$A792&gt;BD$7)),0,MAX(0,ROUND((INDEX($E792:$G792,BD$5)-SUMIFS(TF_Timer,TF_Tekniker,BD$4,TF_Dato,$A792))*2,0)/2)))</f>
        <v/>
      </c>
      <c r="BE792">
        <f>IF(OR(BE$4="",$A792&gt;TODAY()),0,IF(OR(INDEX($B792:$D792,BE$5)="F",AND(BE$6&gt;0,$A792&lt;BE$6),AND(BE$7&gt;0,$A792&gt;BE$7)),0,MAX(0,ROUND((INDEX($E792:$G792,BE$5)-SUMIFS(TF_Timer,TF_Tekniker,BE$4,TF_Dato,$A792))*2,0)/2)))</f>
        <v/>
      </c>
      <c r="BF792">
        <f>IF(OR(BF$4="",$A792&gt;TODAY()),0,IF(OR(INDEX($B792:$D792,BF$5)="F",AND(BF$6&gt;0,$A792&lt;BF$6),AND(BF$7&gt;0,$A792&gt;BF$7)),0,MAX(0,ROUND((INDEX($E792:$G792,BF$5)-SUMIFS(TF_Timer,TF_Tekniker,BF$4,TF_Dato,$A792))*2,0)/2)))</f>
        <v/>
      </c>
      <c r="BG792">
        <f>IF(OR(BG$4="",$A792&gt;TODAY()),0,IF(OR(INDEX($B792:$D792,BG$5)="F",AND(BG$6&gt;0,$A792&lt;BG$6),AND(BG$7&gt;0,$A792&gt;BG$7)),0,MAX(0,ROUND((INDEX($E792:$G792,BG$5)-SUMIFS(TF_Timer,TF_Tekniker,BG$4,TF_Dato,$A792))*2,0)/2)))</f>
        <v/>
      </c>
      <c r="BH792">
        <f>IF(OR(BH$4="",$A792&gt;TODAY()),0,IF(OR(INDEX($B792:$D792,BH$5)="F",AND(BH$6&gt;0,$A792&lt;BH$6),AND(BH$7&gt;0,$A792&gt;BH$7)),0,MAX(0,ROUND((INDEX($E792:$G792,BH$5)-SUMIFS(TF_Timer,TF_Tekniker,BH$4,TF_Dato,$A792))*2,0)/2)))</f>
        <v/>
      </c>
      <c r="BI792">
        <f>IF(OR(BI$4="",$A792&gt;TODAY()),0,IF(OR(INDEX($B792:$D792,BI$5)="F",AND(BI$6&gt;0,$A792&lt;BI$6),AND(BI$7&gt;0,$A792&gt;BI$7)),0,MAX(0,ROUND((INDEX($E792:$G792,BI$5)-SUMIFS(TF_Timer,TF_Tekniker,BI$4,TF_Dato,$A792))*2,0)/2)))</f>
        <v/>
      </c>
    </row>
    <row r="793">
      <c r="A793" s="64">
        <f>A792+1</f>
        <v/>
      </c>
      <c r="B793">
        <f>IF(MOD($A793-INDEX(SkiftStart,1),Syklus)&lt;DagK,"K",IF(MOD($A793-INDEX(SkiftStart,1),Syklus)&lt;DagK+DagH,"H",IF(MOD($A793-INDEX(SkiftStart,1),Syklus)&lt;DagK+DagH+DagD,"D","F")))</f>
        <v/>
      </c>
      <c r="C793">
        <f>IF(MOD($A793-INDEX(SkiftStart,2),Syklus)&lt;DagK,"K",IF(MOD($A793-INDEX(SkiftStart,2),Syklus)&lt;DagK+DagH,"H",IF(MOD($A793-INDEX(SkiftStart,2),Syklus)&lt;DagK+DagH+DagD,"D","F")))</f>
        <v/>
      </c>
      <c r="D793">
        <f>IF(MOD($A793-INDEX(SkiftStart,3),Syklus)&lt;DagK,"K",IF(MOD($A793-INDEX(SkiftStart,3),Syklus)&lt;DagK+DagH,"H",IF(MOD($A793-INDEX(SkiftStart,3),Syklus)&lt;DagK+DagH+DagD,"D","F")))</f>
        <v/>
      </c>
      <c r="E793">
        <f>IF(B793="F",0,IF(WEEKDAY($A793,2)=5,INDEX(TimerFr,MATCH(B793,FaseKode,0)),INDEX(TimerMT,MATCH(B793,FaseKode,0))))</f>
        <v/>
      </c>
      <c r="F793">
        <f>IF(C793="F",0,IF(WEEKDAY($A793,2)=5,INDEX(TimerFr,MATCH(C793,FaseKode,0)),INDEX(TimerMT,MATCH(C793,FaseKode,0))))</f>
        <v/>
      </c>
      <c r="G793">
        <f>IF(D793="F",0,IF(WEEKDAY($A793,2)=5,INDEX(TimerFr,MATCH(D793,FaseKode,0)),INDEX(TimerMT,MATCH(D793,FaseKode,0))))</f>
        <v/>
      </c>
      <c r="H793">
        <f>IF(OR(H$4="",$A793&gt;TODAY()),0,IF(OR(INDEX($B793:$D793,H$5)="F",AND(H$6&gt;0,$A793&lt;H$6),AND(H$7&gt;0,$A793&gt;H$7)),0,MAX(0,ROUND((INDEX($E793:$G793,H$5)-SUMIFS(TF_Timer,TF_Tekniker,H$4,TF_Dato,$A793))*2,0)/2)))</f>
        <v/>
      </c>
      <c r="I793">
        <f>IF(OR(I$4="",$A793&gt;TODAY()),0,IF(OR(INDEX($B793:$D793,I$5)="F",AND(I$6&gt;0,$A793&lt;I$6),AND(I$7&gt;0,$A793&gt;I$7)),0,MAX(0,ROUND((INDEX($E793:$G793,I$5)-SUMIFS(TF_Timer,TF_Tekniker,I$4,TF_Dato,$A793))*2,0)/2)))</f>
        <v/>
      </c>
      <c r="J793">
        <f>IF(OR(J$4="",$A793&gt;TODAY()),0,IF(OR(INDEX($B793:$D793,J$5)="F",AND(J$6&gt;0,$A793&lt;J$6),AND(J$7&gt;0,$A793&gt;J$7)),0,MAX(0,ROUND((INDEX($E793:$G793,J$5)-SUMIFS(TF_Timer,TF_Tekniker,J$4,TF_Dato,$A793))*2,0)/2)))</f>
        <v/>
      </c>
      <c r="K793">
        <f>IF(OR(K$4="",$A793&gt;TODAY()),0,IF(OR(INDEX($B793:$D793,K$5)="F",AND(K$6&gt;0,$A793&lt;K$6),AND(K$7&gt;0,$A793&gt;K$7)),0,MAX(0,ROUND((INDEX($E793:$G793,K$5)-SUMIFS(TF_Timer,TF_Tekniker,K$4,TF_Dato,$A793))*2,0)/2)))</f>
        <v/>
      </c>
      <c r="L793">
        <f>IF(OR(L$4="",$A793&gt;TODAY()),0,IF(OR(INDEX($B793:$D793,L$5)="F",AND(L$6&gt;0,$A793&lt;L$6),AND(L$7&gt;0,$A793&gt;L$7)),0,MAX(0,ROUND((INDEX($E793:$G793,L$5)-SUMIFS(TF_Timer,TF_Tekniker,L$4,TF_Dato,$A793))*2,0)/2)))</f>
        <v/>
      </c>
      <c r="M793">
        <f>IF(OR(M$4="",$A793&gt;TODAY()),0,IF(OR(INDEX($B793:$D793,M$5)="F",AND(M$6&gt;0,$A793&lt;M$6),AND(M$7&gt;0,$A793&gt;M$7)),0,MAX(0,ROUND((INDEX($E793:$G793,M$5)-SUMIFS(TF_Timer,TF_Tekniker,M$4,TF_Dato,$A793))*2,0)/2)))</f>
        <v/>
      </c>
      <c r="N793">
        <f>IF(OR(N$4="",$A793&gt;TODAY()),0,IF(OR(INDEX($B793:$D793,N$5)="F",AND(N$6&gt;0,$A793&lt;N$6),AND(N$7&gt;0,$A793&gt;N$7)),0,MAX(0,ROUND((INDEX($E793:$G793,N$5)-SUMIFS(TF_Timer,TF_Tekniker,N$4,TF_Dato,$A793))*2,0)/2)))</f>
        <v/>
      </c>
      <c r="O793">
        <f>IF(OR(O$4="",$A793&gt;TODAY()),0,IF(OR(INDEX($B793:$D793,O$5)="F",AND(O$6&gt;0,$A793&lt;O$6),AND(O$7&gt;0,$A793&gt;O$7)),0,MAX(0,ROUND((INDEX($E793:$G793,O$5)-SUMIFS(TF_Timer,TF_Tekniker,O$4,TF_Dato,$A793))*2,0)/2)))</f>
        <v/>
      </c>
      <c r="P793">
        <f>IF(OR(P$4="",$A793&gt;TODAY()),0,IF(OR(INDEX($B793:$D793,P$5)="F",AND(P$6&gt;0,$A793&lt;P$6),AND(P$7&gt;0,$A793&gt;P$7)),0,MAX(0,ROUND((INDEX($E793:$G793,P$5)-SUMIFS(TF_Timer,TF_Tekniker,P$4,TF_Dato,$A793))*2,0)/2)))</f>
        <v/>
      </c>
      <c r="Q793">
        <f>IF(OR(Q$4="",$A793&gt;TODAY()),0,IF(OR(INDEX($B793:$D793,Q$5)="F",AND(Q$6&gt;0,$A793&lt;Q$6),AND(Q$7&gt;0,$A793&gt;Q$7)),0,MAX(0,ROUND((INDEX($E793:$G793,Q$5)-SUMIFS(TF_Timer,TF_Tekniker,Q$4,TF_Dato,$A793))*2,0)/2)))</f>
        <v/>
      </c>
      <c r="R793">
        <f>IF(OR(R$4="",$A793&gt;TODAY()),0,IF(OR(INDEX($B793:$D793,R$5)="F",AND(R$6&gt;0,$A793&lt;R$6),AND(R$7&gt;0,$A793&gt;R$7)),0,MAX(0,ROUND((INDEX($E793:$G793,R$5)-SUMIFS(TF_Timer,TF_Tekniker,R$4,TF_Dato,$A793))*2,0)/2)))</f>
        <v/>
      </c>
      <c r="S793">
        <f>IF(OR(S$4="",$A793&gt;TODAY()),0,IF(OR(INDEX($B793:$D793,S$5)="F",AND(S$6&gt;0,$A793&lt;S$6),AND(S$7&gt;0,$A793&gt;S$7)),0,MAX(0,ROUND((INDEX($E793:$G793,S$5)-SUMIFS(TF_Timer,TF_Tekniker,S$4,TF_Dato,$A793))*2,0)/2)))</f>
        <v/>
      </c>
      <c r="T793">
        <f>IF(OR(T$4="",$A793&gt;TODAY()),0,IF(OR(INDEX($B793:$D793,T$5)="F",AND(T$6&gt;0,$A793&lt;T$6),AND(T$7&gt;0,$A793&gt;T$7)),0,MAX(0,ROUND((INDEX($E793:$G793,T$5)-SUMIFS(TF_Timer,TF_Tekniker,T$4,TF_Dato,$A793))*2,0)/2)))</f>
        <v/>
      </c>
      <c r="U793">
        <f>IF(OR(U$4="",$A793&gt;TODAY()),0,IF(OR(INDEX($B793:$D793,U$5)="F",AND(U$6&gt;0,$A793&lt;U$6),AND(U$7&gt;0,$A793&gt;U$7)),0,MAX(0,ROUND((INDEX($E793:$G793,U$5)-SUMIFS(TF_Timer,TF_Tekniker,U$4,TF_Dato,$A793))*2,0)/2)))</f>
        <v/>
      </c>
      <c r="V793">
        <f>IF(OR(V$4="",$A793&gt;TODAY()),0,IF(OR(INDEX($B793:$D793,V$5)="F",AND(V$6&gt;0,$A793&lt;V$6),AND(V$7&gt;0,$A793&gt;V$7)),0,MAX(0,ROUND((INDEX($E793:$G793,V$5)-SUMIFS(TF_Timer,TF_Tekniker,V$4,TF_Dato,$A793))*2,0)/2)))</f>
        <v/>
      </c>
      <c r="W793">
        <f>IF(OR(W$4="",$A793&gt;TODAY()),0,IF(OR(INDEX($B793:$D793,W$5)="F",AND(W$6&gt;0,$A793&lt;W$6),AND(W$7&gt;0,$A793&gt;W$7)),0,MAX(0,ROUND((INDEX($E793:$G793,W$5)-SUMIFS(TF_Timer,TF_Tekniker,W$4,TF_Dato,$A793))*2,0)/2)))</f>
        <v/>
      </c>
      <c r="X793">
        <f>IF(OR(X$4="",$A793&gt;TODAY()),0,IF(OR(INDEX($B793:$D793,X$5)="F",AND(X$6&gt;0,$A793&lt;X$6),AND(X$7&gt;0,$A793&gt;X$7)),0,MAX(0,ROUND((INDEX($E793:$G793,X$5)-SUMIFS(TF_Timer,TF_Tekniker,X$4,TF_Dato,$A793))*2,0)/2)))</f>
        <v/>
      </c>
      <c r="Y793">
        <f>IF(OR(Y$4="",$A793&gt;TODAY()),0,IF(OR(INDEX($B793:$D793,Y$5)="F",AND(Y$6&gt;0,$A793&lt;Y$6),AND(Y$7&gt;0,$A793&gt;Y$7)),0,MAX(0,ROUND((INDEX($E793:$G793,Y$5)-SUMIFS(TF_Timer,TF_Tekniker,Y$4,TF_Dato,$A793))*2,0)/2)))</f>
        <v/>
      </c>
      <c r="Z793">
        <f>IF(OR(Z$4="",$A793&gt;TODAY()),0,IF(OR(INDEX($B793:$D793,Z$5)="F",AND(Z$6&gt;0,$A793&lt;Z$6),AND(Z$7&gt;0,$A793&gt;Z$7)),0,MAX(0,ROUND((INDEX($E793:$G793,Z$5)-SUMIFS(TF_Timer,TF_Tekniker,Z$4,TF_Dato,$A793))*2,0)/2)))</f>
        <v/>
      </c>
      <c r="AA793">
        <f>IF(OR(AA$4="",$A793&gt;TODAY()),0,IF(OR(INDEX($B793:$D793,AA$5)="F",AND(AA$6&gt;0,$A793&lt;AA$6),AND(AA$7&gt;0,$A793&gt;AA$7)),0,MAX(0,ROUND((INDEX($E793:$G793,AA$5)-SUMIFS(TF_Timer,TF_Tekniker,AA$4,TF_Dato,$A793))*2,0)/2)))</f>
        <v/>
      </c>
      <c r="AB793">
        <f>IF(OR(AB$4="",$A793&gt;TODAY()),0,IF(OR(INDEX($B793:$D793,AB$5)="F",AND(AB$6&gt;0,$A793&lt;AB$6),AND(AB$7&gt;0,$A793&gt;AB$7)),0,MAX(0,ROUND((INDEX($E793:$G793,AB$5)-SUMIFS(TF_Timer,TF_Tekniker,AB$4,TF_Dato,$A793))*2,0)/2)))</f>
        <v/>
      </c>
      <c r="AC793">
        <f>IF(OR(AC$4="",$A793&gt;TODAY()),0,IF(OR(INDEX($B793:$D793,AC$5)="F",AND(AC$6&gt;0,$A793&lt;AC$6),AND(AC$7&gt;0,$A793&gt;AC$7)),0,MAX(0,ROUND((INDEX($E793:$G793,AC$5)-SUMIFS(TF_Timer,TF_Tekniker,AC$4,TF_Dato,$A793))*2,0)/2)))</f>
        <v/>
      </c>
      <c r="AD793">
        <f>IF(OR(AD$4="",$A793&gt;TODAY()),0,IF(OR(INDEX($B793:$D793,AD$5)="F",AND(AD$6&gt;0,$A793&lt;AD$6),AND(AD$7&gt;0,$A793&gt;AD$7)),0,MAX(0,ROUND((INDEX($E793:$G793,AD$5)-SUMIFS(TF_Timer,TF_Tekniker,AD$4,TF_Dato,$A793))*2,0)/2)))</f>
        <v/>
      </c>
      <c r="AE793">
        <f>IF(OR(AE$4="",$A793&gt;TODAY()),0,IF(OR(INDEX($B793:$D793,AE$5)="F",AND(AE$6&gt;0,$A793&lt;AE$6),AND(AE$7&gt;0,$A793&gt;AE$7)),0,MAX(0,ROUND((INDEX($E793:$G793,AE$5)-SUMIFS(TF_Timer,TF_Tekniker,AE$4,TF_Dato,$A793))*2,0)/2)))</f>
        <v/>
      </c>
      <c r="AF793">
        <f>IF(OR(AF$4="",$A793&gt;TODAY()),0,IF(OR(INDEX($B793:$D793,AF$5)="F",AND(AF$6&gt;0,$A793&lt;AF$6),AND(AF$7&gt;0,$A793&gt;AF$7)),0,MAX(0,ROUND((INDEX($E793:$G793,AF$5)-SUMIFS(TF_Timer,TF_Tekniker,AF$4,TF_Dato,$A793))*2,0)/2)))</f>
        <v/>
      </c>
      <c r="AG793">
        <f>IF(OR(AG$4="",$A793&gt;TODAY()),0,IF(OR(INDEX($B793:$D793,AG$5)="F",AND(AG$6&gt;0,$A793&lt;AG$6),AND(AG$7&gt;0,$A793&gt;AG$7)),0,MAX(0,ROUND((INDEX($E793:$G793,AG$5)-SUMIFS(TF_Timer,TF_Tekniker,AG$4,TF_Dato,$A793))*2,0)/2)))</f>
        <v/>
      </c>
      <c r="AH793">
        <f>IF(OR(AH$4="",$A793&gt;TODAY()),0,IF(OR(INDEX($B793:$D793,AH$5)="F",AND(AH$6&gt;0,$A793&lt;AH$6),AND(AH$7&gt;0,$A793&gt;AH$7)),0,MAX(0,ROUND((INDEX($E793:$G793,AH$5)-SUMIFS(TF_Timer,TF_Tekniker,AH$4,TF_Dato,$A793))*2,0)/2)))</f>
        <v/>
      </c>
      <c r="AI793">
        <f>IF(OR(AI$4="",$A793&gt;TODAY()),0,IF(OR(INDEX($B793:$D793,AI$5)="F",AND(AI$6&gt;0,$A793&lt;AI$6),AND(AI$7&gt;0,$A793&gt;AI$7)),0,MAX(0,ROUND((INDEX($E793:$G793,AI$5)-SUMIFS(TF_Timer,TF_Tekniker,AI$4,TF_Dato,$A793))*2,0)/2)))</f>
        <v/>
      </c>
      <c r="AJ793">
        <f>IF(OR(AJ$4="",$A793&gt;TODAY()),0,IF(OR(INDEX($B793:$D793,AJ$5)="F",AND(AJ$6&gt;0,$A793&lt;AJ$6),AND(AJ$7&gt;0,$A793&gt;AJ$7)),0,MAX(0,ROUND((INDEX($E793:$G793,AJ$5)-SUMIFS(TF_Timer,TF_Tekniker,AJ$4,TF_Dato,$A793))*2,0)/2)))</f>
        <v/>
      </c>
      <c r="AK793">
        <f>IF(OR(AK$4="",$A793&gt;TODAY()),0,IF(OR(INDEX($B793:$D793,AK$5)="F",AND(AK$6&gt;0,$A793&lt;AK$6),AND(AK$7&gt;0,$A793&gt;AK$7)),0,MAX(0,ROUND((INDEX($E793:$G793,AK$5)-SUMIFS(TF_Timer,TF_Tekniker,AK$4,TF_Dato,$A793))*2,0)/2)))</f>
        <v/>
      </c>
      <c r="AL793">
        <f>IF(OR(AL$4="",$A793&gt;TODAY()),0,IF(OR(INDEX($B793:$D793,AL$5)="F",AND(AL$6&gt;0,$A793&lt;AL$6),AND(AL$7&gt;0,$A793&gt;AL$7)),0,MAX(0,ROUND((INDEX($E793:$G793,AL$5)-SUMIFS(TF_Timer,TF_Tekniker,AL$4,TF_Dato,$A793))*2,0)/2)))</f>
        <v/>
      </c>
      <c r="AM793">
        <f>IF(OR(AM$4="",$A793&gt;TODAY()),0,IF(OR(INDEX($B793:$D793,AM$5)="F",AND(AM$6&gt;0,$A793&lt;AM$6),AND(AM$7&gt;0,$A793&gt;AM$7)),0,MAX(0,ROUND((INDEX($E793:$G793,AM$5)-SUMIFS(TF_Timer,TF_Tekniker,AM$4,TF_Dato,$A793))*2,0)/2)))</f>
        <v/>
      </c>
      <c r="AN793">
        <f>IF(OR(AN$4="",$A793&gt;TODAY()),0,IF(OR(INDEX($B793:$D793,AN$5)="F",AND(AN$6&gt;0,$A793&lt;AN$6),AND(AN$7&gt;0,$A793&gt;AN$7)),0,MAX(0,ROUND((INDEX($E793:$G793,AN$5)-SUMIFS(TF_Timer,TF_Tekniker,AN$4,TF_Dato,$A793))*2,0)/2)))</f>
        <v/>
      </c>
      <c r="AO793">
        <f>IF(OR(AO$4="",$A793&gt;TODAY()),0,IF(OR(INDEX($B793:$D793,AO$5)="F",AND(AO$6&gt;0,$A793&lt;AO$6),AND(AO$7&gt;0,$A793&gt;AO$7)),0,MAX(0,ROUND((INDEX($E793:$G793,AO$5)-SUMIFS(TF_Timer,TF_Tekniker,AO$4,TF_Dato,$A793))*2,0)/2)))</f>
        <v/>
      </c>
      <c r="AP793">
        <f>IF(OR(AP$4="",$A793&gt;TODAY()),0,IF(OR(INDEX($B793:$D793,AP$5)="F",AND(AP$6&gt;0,$A793&lt;AP$6),AND(AP$7&gt;0,$A793&gt;AP$7)),0,MAX(0,ROUND((INDEX($E793:$G793,AP$5)-SUMIFS(TF_Timer,TF_Tekniker,AP$4,TF_Dato,$A793))*2,0)/2)))</f>
        <v/>
      </c>
      <c r="AQ793">
        <f>IF(OR(AQ$4="",$A793&gt;TODAY()),0,IF(OR(INDEX($B793:$D793,AQ$5)="F",AND(AQ$6&gt;0,$A793&lt;AQ$6),AND(AQ$7&gt;0,$A793&gt;AQ$7)),0,MAX(0,ROUND((INDEX($E793:$G793,AQ$5)-SUMIFS(TF_Timer,TF_Tekniker,AQ$4,TF_Dato,$A793))*2,0)/2)))</f>
        <v/>
      </c>
      <c r="AR793">
        <f>IF(OR(AR$4="",$A793&gt;TODAY()),0,IF(OR(INDEX($B793:$D793,AR$5)="F",AND(AR$6&gt;0,$A793&lt;AR$6),AND(AR$7&gt;0,$A793&gt;AR$7)),0,MAX(0,ROUND((INDEX($E793:$G793,AR$5)-SUMIFS(TF_Timer,TF_Tekniker,AR$4,TF_Dato,$A793))*2,0)/2)))</f>
        <v/>
      </c>
      <c r="AS793">
        <f>IF(OR(AS$4="",$A793&gt;TODAY()),0,IF(OR(INDEX($B793:$D793,AS$5)="F",AND(AS$6&gt;0,$A793&lt;AS$6),AND(AS$7&gt;0,$A793&gt;AS$7)),0,MAX(0,ROUND((INDEX($E793:$G793,AS$5)-SUMIFS(TF_Timer,TF_Tekniker,AS$4,TF_Dato,$A793))*2,0)/2)))</f>
        <v/>
      </c>
      <c r="AT793">
        <f>IF(OR(AT$4="",$A793&gt;TODAY()),0,IF(OR(INDEX($B793:$D793,AT$5)="F",AND(AT$6&gt;0,$A793&lt;AT$6),AND(AT$7&gt;0,$A793&gt;AT$7)),0,MAX(0,ROUND((INDEX($E793:$G793,AT$5)-SUMIFS(TF_Timer,TF_Tekniker,AT$4,TF_Dato,$A793))*2,0)/2)))</f>
        <v/>
      </c>
      <c r="AU793">
        <f>IF(OR(AU$4="",$A793&gt;TODAY()),0,IF(OR(INDEX($B793:$D793,AU$5)="F",AND(AU$6&gt;0,$A793&lt;AU$6),AND(AU$7&gt;0,$A793&gt;AU$7)),0,MAX(0,ROUND((INDEX($E793:$G793,AU$5)-SUMIFS(TF_Timer,TF_Tekniker,AU$4,TF_Dato,$A793))*2,0)/2)))</f>
        <v/>
      </c>
      <c r="AV793">
        <f>IF(OR(AV$4="",$A793&gt;TODAY()),0,IF(OR(INDEX($B793:$D793,AV$5)="F",AND(AV$6&gt;0,$A793&lt;AV$6),AND(AV$7&gt;0,$A793&gt;AV$7)),0,MAX(0,ROUND((INDEX($E793:$G793,AV$5)-SUMIFS(TF_Timer,TF_Tekniker,AV$4,TF_Dato,$A793))*2,0)/2)))</f>
        <v/>
      </c>
      <c r="AW793">
        <f>IF(OR(AW$4="",$A793&gt;TODAY()),0,IF(OR(INDEX($B793:$D793,AW$5)="F",AND(AW$6&gt;0,$A793&lt;AW$6),AND(AW$7&gt;0,$A793&gt;AW$7)),0,MAX(0,ROUND((INDEX($E793:$G793,AW$5)-SUMIFS(TF_Timer,TF_Tekniker,AW$4,TF_Dato,$A793))*2,0)/2)))</f>
        <v/>
      </c>
      <c r="AX793">
        <f>IF(OR(AX$4="",$A793&gt;TODAY()),0,IF(OR(INDEX($B793:$D793,AX$5)="F",AND(AX$6&gt;0,$A793&lt;AX$6),AND(AX$7&gt;0,$A793&gt;AX$7)),0,MAX(0,ROUND((INDEX($E793:$G793,AX$5)-SUMIFS(TF_Timer,TF_Tekniker,AX$4,TF_Dato,$A793))*2,0)/2)))</f>
        <v/>
      </c>
      <c r="AY793">
        <f>IF(OR(AY$4="",$A793&gt;TODAY()),0,IF(OR(INDEX($B793:$D793,AY$5)="F",AND(AY$6&gt;0,$A793&lt;AY$6),AND(AY$7&gt;0,$A793&gt;AY$7)),0,MAX(0,ROUND((INDEX($E793:$G793,AY$5)-SUMIFS(TF_Timer,TF_Tekniker,AY$4,TF_Dato,$A793))*2,0)/2)))</f>
        <v/>
      </c>
      <c r="AZ793">
        <f>IF(OR(AZ$4="",$A793&gt;TODAY()),0,IF(OR(INDEX($B793:$D793,AZ$5)="F",AND(AZ$6&gt;0,$A793&lt;AZ$6),AND(AZ$7&gt;0,$A793&gt;AZ$7)),0,MAX(0,ROUND((INDEX($E793:$G793,AZ$5)-SUMIFS(TF_Timer,TF_Tekniker,AZ$4,TF_Dato,$A793))*2,0)/2)))</f>
        <v/>
      </c>
      <c r="BA793">
        <f>IF(OR(BA$4="",$A793&gt;TODAY()),0,IF(OR(INDEX($B793:$D793,BA$5)="F",AND(BA$6&gt;0,$A793&lt;BA$6),AND(BA$7&gt;0,$A793&gt;BA$7)),0,MAX(0,ROUND((INDEX($E793:$G793,BA$5)-SUMIFS(TF_Timer,TF_Tekniker,BA$4,TF_Dato,$A793))*2,0)/2)))</f>
        <v/>
      </c>
      <c r="BB793">
        <f>IF(OR(BB$4="",$A793&gt;TODAY()),0,IF(OR(INDEX($B793:$D793,BB$5)="F",AND(BB$6&gt;0,$A793&lt;BB$6),AND(BB$7&gt;0,$A793&gt;BB$7)),0,MAX(0,ROUND((INDEX($E793:$G793,BB$5)-SUMIFS(TF_Timer,TF_Tekniker,BB$4,TF_Dato,$A793))*2,0)/2)))</f>
        <v/>
      </c>
      <c r="BC793">
        <f>IF(OR(BC$4="",$A793&gt;TODAY()),0,IF(OR(INDEX($B793:$D793,BC$5)="F",AND(BC$6&gt;0,$A793&lt;BC$6),AND(BC$7&gt;0,$A793&gt;BC$7)),0,MAX(0,ROUND((INDEX($E793:$G793,BC$5)-SUMIFS(TF_Timer,TF_Tekniker,BC$4,TF_Dato,$A793))*2,0)/2)))</f>
        <v/>
      </c>
      <c r="BD793">
        <f>IF(OR(BD$4="",$A793&gt;TODAY()),0,IF(OR(INDEX($B793:$D793,BD$5)="F",AND(BD$6&gt;0,$A793&lt;BD$6),AND(BD$7&gt;0,$A793&gt;BD$7)),0,MAX(0,ROUND((INDEX($E793:$G793,BD$5)-SUMIFS(TF_Timer,TF_Tekniker,BD$4,TF_Dato,$A793))*2,0)/2)))</f>
        <v/>
      </c>
      <c r="BE793">
        <f>IF(OR(BE$4="",$A793&gt;TODAY()),0,IF(OR(INDEX($B793:$D793,BE$5)="F",AND(BE$6&gt;0,$A793&lt;BE$6),AND(BE$7&gt;0,$A793&gt;BE$7)),0,MAX(0,ROUND((INDEX($E793:$G793,BE$5)-SUMIFS(TF_Timer,TF_Tekniker,BE$4,TF_Dato,$A793))*2,0)/2)))</f>
        <v/>
      </c>
      <c r="BF793">
        <f>IF(OR(BF$4="",$A793&gt;TODAY()),0,IF(OR(INDEX($B793:$D793,BF$5)="F",AND(BF$6&gt;0,$A793&lt;BF$6),AND(BF$7&gt;0,$A793&gt;BF$7)),0,MAX(0,ROUND((INDEX($E793:$G793,BF$5)-SUMIFS(TF_Timer,TF_Tekniker,BF$4,TF_Dato,$A793))*2,0)/2)))</f>
        <v/>
      </c>
      <c r="BG793">
        <f>IF(OR(BG$4="",$A793&gt;TODAY()),0,IF(OR(INDEX($B793:$D793,BG$5)="F",AND(BG$6&gt;0,$A793&lt;BG$6),AND(BG$7&gt;0,$A793&gt;BG$7)),0,MAX(0,ROUND((INDEX($E793:$G793,BG$5)-SUMIFS(TF_Timer,TF_Tekniker,BG$4,TF_Dato,$A793))*2,0)/2)))</f>
        <v/>
      </c>
      <c r="BH793">
        <f>IF(OR(BH$4="",$A793&gt;TODAY()),0,IF(OR(INDEX($B793:$D793,BH$5)="F",AND(BH$6&gt;0,$A793&lt;BH$6),AND(BH$7&gt;0,$A793&gt;BH$7)),0,MAX(0,ROUND((INDEX($E793:$G793,BH$5)-SUMIFS(TF_Timer,TF_Tekniker,BH$4,TF_Dato,$A793))*2,0)/2)))</f>
        <v/>
      </c>
      <c r="BI793">
        <f>IF(OR(BI$4="",$A793&gt;TODAY()),0,IF(OR(INDEX($B793:$D793,BI$5)="F",AND(BI$6&gt;0,$A793&lt;BI$6),AND(BI$7&gt;0,$A793&gt;BI$7)),0,MAX(0,ROUND((INDEX($E793:$G793,BI$5)-SUMIFS(TF_Timer,TF_Tekniker,BI$4,TF_Dato,$A793))*2,0)/2)))</f>
        <v/>
      </c>
    </row>
    <row r="794">
      <c r="A794" s="64">
        <f>A793+1</f>
        <v/>
      </c>
      <c r="B794">
        <f>IF(MOD($A794-INDEX(SkiftStart,1),Syklus)&lt;DagK,"K",IF(MOD($A794-INDEX(SkiftStart,1),Syklus)&lt;DagK+DagH,"H",IF(MOD($A794-INDEX(SkiftStart,1),Syklus)&lt;DagK+DagH+DagD,"D","F")))</f>
        <v/>
      </c>
      <c r="C794">
        <f>IF(MOD($A794-INDEX(SkiftStart,2),Syklus)&lt;DagK,"K",IF(MOD($A794-INDEX(SkiftStart,2),Syklus)&lt;DagK+DagH,"H",IF(MOD($A794-INDEX(SkiftStart,2),Syklus)&lt;DagK+DagH+DagD,"D","F")))</f>
        <v/>
      </c>
      <c r="D794">
        <f>IF(MOD($A794-INDEX(SkiftStart,3),Syklus)&lt;DagK,"K",IF(MOD($A794-INDEX(SkiftStart,3),Syklus)&lt;DagK+DagH,"H",IF(MOD($A794-INDEX(SkiftStart,3),Syklus)&lt;DagK+DagH+DagD,"D","F")))</f>
        <v/>
      </c>
      <c r="E794">
        <f>IF(B794="F",0,IF(WEEKDAY($A794,2)=5,INDEX(TimerFr,MATCH(B794,FaseKode,0)),INDEX(TimerMT,MATCH(B794,FaseKode,0))))</f>
        <v/>
      </c>
      <c r="F794">
        <f>IF(C794="F",0,IF(WEEKDAY($A794,2)=5,INDEX(TimerFr,MATCH(C794,FaseKode,0)),INDEX(TimerMT,MATCH(C794,FaseKode,0))))</f>
        <v/>
      </c>
      <c r="G794">
        <f>IF(D794="F",0,IF(WEEKDAY($A794,2)=5,INDEX(TimerFr,MATCH(D794,FaseKode,0)),INDEX(TimerMT,MATCH(D794,FaseKode,0))))</f>
        <v/>
      </c>
      <c r="H794">
        <f>IF(OR(H$4="",$A794&gt;TODAY()),0,IF(OR(INDEX($B794:$D794,H$5)="F",AND(H$6&gt;0,$A794&lt;H$6),AND(H$7&gt;0,$A794&gt;H$7)),0,MAX(0,ROUND((INDEX($E794:$G794,H$5)-SUMIFS(TF_Timer,TF_Tekniker,H$4,TF_Dato,$A794))*2,0)/2)))</f>
        <v/>
      </c>
      <c r="I794">
        <f>IF(OR(I$4="",$A794&gt;TODAY()),0,IF(OR(INDEX($B794:$D794,I$5)="F",AND(I$6&gt;0,$A794&lt;I$6),AND(I$7&gt;0,$A794&gt;I$7)),0,MAX(0,ROUND((INDEX($E794:$G794,I$5)-SUMIFS(TF_Timer,TF_Tekniker,I$4,TF_Dato,$A794))*2,0)/2)))</f>
        <v/>
      </c>
      <c r="J794">
        <f>IF(OR(J$4="",$A794&gt;TODAY()),0,IF(OR(INDEX($B794:$D794,J$5)="F",AND(J$6&gt;0,$A794&lt;J$6),AND(J$7&gt;0,$A794&gt;J$7)),0,MAX(0,ROUND((INDEX($E794:$G794,J$5)-SUMIFS(TF_Timer,TF_Tekniker,J$4,TF_Dato,$A794))*2,0)/2)))</f>
        <v/>
      </c>
      <c r="K794">
        <f>IF(OR(K$4="",$A794&gt;TODAY()),0,IF(OR(INDEX($B794:$D794,K$5)="F",AND(K$6&gt;0,$A794&lt;K$6),AND(K$7&gt;0,$A794&gt;K$7)),0,MAX(0,ROUND((INDEX($E794:$G794,K$5)-SUMIFS(TF_Timer,TF_Tekniker,K$4,TF_Dato,$A794))*2,0)/2)))</f>
        <v/>
      </c>
      <c r="L794">
        <f>IF(OR(L$4="",$A794&gt;TODAY()),0,IF(OR(INDEX($B794:$D794,L$5)="F",AND(L$6&gt;0,$A794&lt;L$6),AND(L$7&gt;0,$A794&gt;L$7)),0,MAX(0,ROUND((INDEX($E794:$G794,L$5)-SUMIFS(TF_Timer,TF_Tekniker,L$4,TF_Dato,$A794))*2,0)/2)))</f>
        <v/>
      </c>
      <c r="M794">
        <f>IF(OR(M$4="",$A794&gt;TODAY()),0,IF(OR(INDEX($B794:$D794,M$5)="F",AND(M$6&gt;0,$A794&lt;M$6),AND(M$7&gt;0,$A794&gt;M$7)),0,MAX(0,ROUND((INDEX($E794:$G794,M$5)-SUMIFS(TF_Timer,TF_Tekniker,M$4,TF_Dato,$A794))*2,0)/2)))</f>
        <v/>
      </c>
      <c r="N794">
        <f>IF(OR(N$4="",$A794&gt;TODAY()),0,IF(OR(INDEX($B794:$D794,N$5)="F",AND(N$6&gt;0,$A794&lt;N$6),AND(N$7&gt;0,$A794&gt;N$7)),0,MAX(0,ROUND((INDEX($E794:$G794,N$5)-SUMIFS(TF_Timer,TF_Tekniker,N$4,TF_Dato,$A794))*2,0)/2)))</f>
        <v/>
      </c>
      <c r="O794">
        <f>IF(OR(O$4="",$A794&gt;TODAY()),0,IF(OR(INDEX($B794:$D794,O$5)="F",AND(O$6&gt;0,$A794&lt;O$6),AND(O$7&gt;0,$A794&gt;O$7)),0,MAX(0,ROUND((INDEX($E794:$G794,O$5)-SUMIFS(TF_Timer,TF_Tekniker,O$4,TF_Dato,$A794))*2,0)/2)))</f>
        <v/>
      </c>
      <c r="P794">
        <f>IF(OR(P$4="",$A794&gt;TODAY()),0,IF(OR(INDEX($B794:$D794,P$5)="F",AND(P$6&gt;0,$A794&lt;P$6),AND(P$7&gt;0,$A794&gt;P$7)),0,MAX(0,ROUND((INDEX($E794:$G794,P$5)-SUMIFS(TF_Timer,TF_Tekniker,P$4,TF_Dato,$A794))*2,0)/2)))</f>
        <v/>
      </c>
      <c r="Q794">
        <f>IF(OR(Q$4="",$A794&gt;TODAY()),0,IF(OR(INDEX($B794:$D794,Q$5)="F",AND(Q$6&gt;0,$A794&lt;Q$6),AND(Q$7&gt;0,$A794&gt;Q$7)),0,MAX(0,ROUND((INDEX($E794:$G794,Q$5)-SUMIFS(TF_Timer,TF_Tekniker,Q$4,TF_Dato,$A794))*2,0)/2)))</f>
        <v/>
      </c>
      <c r="R794">
        <f>IF(OR(R$4="",$A794&gt;TODAY()),0,IF(OR(INDEX($B794:$D794,R$5)="F",AND(R$6&gt;0,$A794&lt;R$6),AND(R$7&gt;0,$A794&gt;R$7)),0,MAX(0,ROUND((INDEX($E794:$G794,R$5)-SUMIFS(TF_Timer,TF_Tekniker,R$4,TF_Dato,$A794))*2,0)/2)))</f>
        <v/>
      </c>
      <c r="S794">
        <f>IF(OR(S$4="",$A794&gt;TODAY()),0,IF(OR(INDEX($B794:$D794,S$5)="F",AND(S$6&gt;0,$A794&lt;S$6),AND(S$7&gt;0,$A794&gt;S$7)),0,MAX(0,ROUND((INDEX($E794:$G794,S$5)-SUMIFS(TF_Timer,TF_Tekniker,S$4,TF_Dato,$A794))*2,0)/2)))</f>
        <v/>
      </c>
      <c r="T794">
        <f>IF(OR(T$4="",$A794&gt;TODAY()),0,IF(OR(INDEX($B794:$D794,T$5)="F",AND(T$6&gt;0,$A794&lt;T$6),AND(T$7&gt;0,$A794&gt;T$7)),0,MAX(0,ROUND((INDEX($E794:$G794,T$5)-SUMIFS(TF_Timer,TF_Tekniker,T$4,TF_Dato,$A794))*2,0)/2)))</f>
        <v/>
      </c>
      <c r="U794">
        <f>IF(OR(U$4="",$A794&gt;TODAY()),0,IF(OR(INDEX($B794:$D794,U$5)="F",AND(U$6&gt;0,$A794&lt;U$6),AND(U$7&gt;0,$A794&gt;U$7)),0,MAX(0,ROUND((INDEX($E794:$G794,U$5)-SUMIFS(TF_Timer,TF_Tekniker,U$4,TF_Dato,$A794))*2,0)/2)))</f>
        <v/>
      </c>
      <c r="V794">
        <f>IF(OR(V$4="",$A794&gt;TODAY()),0,IF(OR(INDEX($B794:$D794,V$5)="F",AND(V$6&gt;0,$A794&lt;V$6),AND(V$7&gt;0,$A794&gt;V$7)),0,MAX(0,ROUND((INDEX($E794:$G794,V$5)-SUMIFS(TF_Timer,TF_Tekniker,V$4,TF_Dato,$A794))*2,0)/2)))</f>
        <v/>
      </c>
      <c r="W794">
        <f>IF(OR(W$4="",$A794&gt;TODAY()),0,IF(OR(INDEX($B794:$D794,W$5)="F",AND(W$6&gt;0,$A794&lt;W$6),AND(W$7&gt;0,$A794&gt;W$7)),0,MAX(0,ROUND((INDEX($E794:$G794,W$5)-SUMIFS(TF_Timer,TF_Tekniker,W$4,TF_Dato,$A794))*2,0)/2)))</f>
        <v/>
      </c>
      <c r="X794">
        <f>IF(OR(X$4="",$A794&gt;TODAY()),0,IF(OR(INDEX($B794:$D794,X$5)="F",AND(X$6&gt;0,$A794&lt;X$6),AND(X$7&gt;0,$A794&gt;X$7)),0,MAX(0,ROUND((INDEX($E794:$G794,X$5)-SUMIFS(TF_Timer,TF_Tekniker,X$4,TF_Dato,$A794))*2,0)/2)))</f>
        <v/>
      </c>
      <c r="Y794">
        <f>IF(OR(Y$4="",$A794&gt;TODAY()),0,IF(OR(INDEX($B794:$D794,Y$5)="F",AND(Y$6&gt;0,$A794&lt;Y$6),AND(Y$7&gt;0,$A794&gt;Y$7)),0,MAX(0,ROUND((INDEX($E794:$G794,Y$5)-SUMIFS(TF_Timer,TF_Tekniker,Y$4,TF_Dato,$A794))*2,0)/2)))</f>
        <v/>
      </c>
      <c r="Z794">
        <f>IF(OR(Z$4="",$A794&gt;TODAY()),0,IF(OR(INDEX($B794:$D794,Z$5)="F",AND(Z$6&gt;0,$A794&lt;Z$6),AND(Z$7&gt;0,$A794&gt;Z$7)),0,MAX(0,ROUND((INDEX($E794:$G794,Z$5)-SUMIFS(TF_Timer,TF_Tekniker,Z$4,TF_Dato,$A794))*2,0)/2)))</f>
        <v/>
      </c>
      <c r="AA794">
        <f>IF(OR(AA$4="",$A794&gt;TODAY()),0,IF(OR(INDEX($B794:$D794,AA$5)="F",AND(AA$6&gt;0,$A794&lt;AA$6),AND(AA$7&gt;0,$A794&gt;AA$7)),0,MAX(0,ROUND((INDEX($E794:$G794,AA$5)-SUMIFS(TF_Timer,TF_Tekniker,AA$4,TF_Dato,$A794))*2,0)/2)))</f>
        <v/>
      </c>
      <c r="AB794">
        <f>IF(OR(AB$4="",$A794&gt;TODAY()),0,IF(OR(INDEX($B794:$D794,AB$5)="F",AND(AB$6&gt;0,$A794&lt;AB$6),AND(AB$7&gt;0,$A794&gt;AB$7)),0,MAX(0,ROUND((INDEX($E794:$G794,AB$5)-SUMIFS(TF_Timer,TF_Tekniker,AB$4,TF_Dato,$A794))*2,0)/2)))</f>
        <v/>
      </c>
      <c r="AC794">
        <f>IF(OR(AC$4="",$A794&gt;TODAY()),0,IF(OR(INDEX($B794:$D794,AC$5)="F",AND(AC$6&gt;0,$A794&lt;AC$6),AND(AC$7&gt;0,$A794&gt;AC$7)),0,MAX(0,ROUND((INDEX($E794:$G794,AC$5)-SUMIFS(TF_Timer,TF_Tekniker,AC$4,TF_Dato,$A794))*2,0)/2)))</f>
        <v/>
      </c>
      <c r="AD794">
        <f>IF(OR(AD$4="",$A794&gt;TODAY()),0,IF(OR(INDEX($B794:$D794,AD$5)="F",AND(AD$6&gt;0,$A794&lt;AD$6),AND(AD$7&gt;0,$A794&gt;AD$7)),0,MAX(0,ROUND((INDEX($E794:$G794,AD$5)-SUMIFS(TF_Timer,TF_Tekniker,AD$4,TF_Dato,$A794))*2,0)/2)))</f>
        <v/>
      </c>
      <c r="AE794">
        <f>IF(OR(AE$4="",$A794&gt;TODAY()),0,IF(OR(INDEX($B794:$D794,AE$5)="F",AND(AE$6&gt;0,$A794&lt;AE$6),AND(AE$7&gt;0,$A794&gt;AE$7)),0,MAX(0,ROUND((INDEX($E794:$G794,AE$5)-SUMIFS(TF_Timer,TF_Tekniker,AE$4,TF_Dato,$A794))*2,0)/2)))</f>
        <v/>
      </c>
      <c r="AF794">
        <f>IF(OR(AF$4="",$A794&gt;TODAY()),0,IF(OR(INDEX($B794:$D794,AF$5)="F",AND(AF$6&gt;0,$A794&lt;AF$6),AND(AF$7&gt;0,$A794&gt;AF$7)),0,MAX(0,ROUND((INDEX($E794:$G794,AF$5)-SUMIFS(TF_Timer,TF_Tekniker,AF$4,TF_Dato,$A794))*2,0)/2)))</f>
        <v/>
      </c>
      <c r="AG794">
        <f>IF(OR(AG$4="",$A794&gt;TODAY()),0,IF(OR(INDEX($B794:$D794,AG$5)="F",AND(AG$6&gt;0,$A794&lt;AG$6),AND(AG$7&gt;0,$A794&gt;AG$7)),0,MAX(0,ROUND((INDEX($E794:$G794,AG$5)-SUMIFS(TF_Timer,TF_Tekniker,AG$4,TF_Dato,$A794))*2,0)/2)))</f>
        <v/>
      </c>
      <c r="AH794">
        <f>IF(OR(AH$4="",$A794&gt;TODAY()),0,IF(OR(INDEX($B794:$D794,AH$5)="F",AND(AH$6&gt;0,$A794&lt;AH$6),AND(AH$7&gt;0,$A794&gt;AH$7)),0,MAX(0,ROUND((INDEX($E794:$G794,AH$5)-SUMIFS(TF_Timer,TF_Tekniker,AH$4,TF_Dato,$A794))*2,0)/2)))</f>
        <v/>
      </c>
      <c r="AI794">
        <f>IF(OR(AI$4="",$A794&gt;TODAY()),0,IF(OR(INDEX($B794:$D794,AI$5)="F",AND(AI$6&gt;0,$A794&lt;AI$6),AND(AI$7&gt;0,$A794&gt;AI$7)),0,MAX(0,ROUND((INDEX($E794:$G794,AI$5)-SUMIFS(TF_Timer,TF_Tekniker,AI$4,TF_Dato,$A794))*2,0)/2)))</f>
        <v/>
      </c>
      <c r="AJ794">
        <f>IF(OR(AJ$4="",$A794&gt;TODAY()),0,IF(OR(INDEX($B794:$D794,AJ$5)="F",AND(AJ$6&gt;0,$A794&lt;AJ$6),AND(AJ$7&gt;0,$A794&gt;AJ$7)),0,MAX(0,ROUND((INDEX($E794:$G794,AJ$5)-SUMIFS(TF_Timer,TF_Tekniker,AJ$4,TF_Dato,$A794))*2,0)/2)))</f>
        <v/>
      </c>
      <c r="AK794">
        <f>IF(OR(AK$4="",$A794&gt;TODAY()),0,IF(OR(INDEX($B794:$D794,AK$5)="F",AND(AK$6&gt;0,$A794&lt;AK$6),AND(AK$7&gt;0,$A794&gt;AK$7)),0,MAX(0,ROUND((INDEX($E794:$G794,AK$5)-SUMIFS(TF_Timer,TF_Tekniker,AK$4,TF_Dato,$A794))*2,0)/2)))</f>
        <v/>
      </c>
      <c r="AL794">
        <f>IF(OR(AL$4="",$A794&gt;TODAY()),0,IF(OR(INDEX($B794:$D794,AL$5)="F",AND(AL$6&gt;0,$A794&lt;AL$6),AND(AL$7&gt;0,$A794&gt;AL$7)),0,MAX(0,ROUND((INDEX($E794:$G794,AL$5)-SUMIFS(TF_Timer,TF_Tekniker,AL$4,TF_Dato,$A794))*2,0)/2)))</f>
        <v/>
      </c>
      <c r="AM794">
        <f>IF(OR(AM$4="",$A794&gt;TODAY()),0,IF(OR(INDEX($B794:$D794,AM$5)="F",AND(AM$6&gt;0,$A794&lt;AM$6),AND(AM$7&gt;0,$A794&gt;AM$7)),0,MAX(0,ROUND((INDEX($E794:$G794,AM$5)-SUMIFS(TF_Timer,TF_Tekniker,AM$4,TF_Dato,$A794))*2,0)/2)))</f>
        <v/>
      </c>
      <c r="AN794">
        <f>IF(OR(AN$4="",$A794&gt;TODAY()),0,IF(OR(INDEX($B794:$D794,AN$5)="F",AND(AN$6&gt;0,$A794&lt;AN$6),AND(AN$7&gt;0,$A794&gt;AN$7)),0,MAX(0,ROUND((INDEX($E794:$G794,AN$5)-SUMIFS(TF_Timer,TF_Tekniker,AN$4,TF_Dato,$A794))*2,0)/2)))</f>
        <v/>
      </c>
      <c r="AO794">
        <f>IF(OR(AO$4="",$A794&gt;TODAY()),0,IF(OR(INDEX($B794:$D794,AO$5)="F",AND(AO$6&gt;0,$A794&lt;AO$6),AND(AO$7&gt;0,$A794&gt;AO$7)),0,MAX(0,ROUND((INDEX($E794:$G794,AO$5)-SUMIFS(TF_Timer,TF_Tekniker,AO$4,TF_Dato,$A794))*2,0)/2)))</f>
        <v/>
      </c>
      <c r="AP794">
        <f>IF(OR(AP$4="",$A794&gt;TODAY()),0,IF(OR(INDEX($B794:$D794,AP$5)="F",AND(AP$6&gt;0,$A794&lt;AP$6),AND(AP$7&gt;0,$A794&gt;AP$7)),0,MAX(0,ROUND((INDEX($E794:$G794,AP$5)-SUMIFS(TF_Timer,TF_Tekniker,AP$4,TF_Dato,$A794))*2,0)/2)))</f>
        <v/>
      </c>
      <c r="AQ794">
        <f>IF(OR(AQ$4="",$A794&gt;TODAY()),0,IF(OR(INDEX($B794:$D794,AQ$5)="F",AND(AQ$6&gt;0,$A794&lt;AQ$6),AND(AQ$7&gt;0,$A794&gt;AQ$7)),0,MAX(0,ROUND((INDEX($E794:$G794,AQ$5)-SUMIFS(TF_Timer,TF_Tekniker,AQ$4,TF_Dato,$A794))*2,0)/2)))</f>
        <v/>
      </c>
      <c r="AR794">
        <f>IF(OR(AR$4="",$A794&gt;TODAY()),0,IF(OR(INDEX($B794:$D794,AR$5)="F",AND(AR$6&gt;0,$A794&lt;AR$6),AND(AR$7&gt;0,$A794&gt;AR$7)),0,MAX(0,ROUND((INDEX($E794:$G794,AR$5)-SUMIFS(TF_Timer,TF_Tekniker,AR$4,TF_Dato,$A794))*2,0)/2)))</f>
        <v/>
      </c>
      <c r="AS794">
        <f>IF(OR(AS$4="",$A794&gt;TODAY()),0,IF(OR(INDEX($B794:$D794,AS$5)="F",AND(AS$6&gt;0,$A794&lt;AS$6),AND(AS$7&gt;0,$A794&gt;AS$7)),0,MAX(0,ROUND((INDEX($E794:$G794,AS$5)-SUMIFS(TF_Timer,TF_Tekniker,AS$4,TF_Dato,$A794))*2,0)/2)))</f>
        <v/>
      </c>
      <c r="AT794">
        <f>IF(OR(AT$4="",$A794&gt;TODAY()),0,IF(OR(INDEX($B794:$D794,AT$5)="F",AND(AT$6&gt;0,$A794&lt;AT$6),AND(AT$7&gt;0,$A794&gt;AT$7)),0,MAX(0,ROUND((INDEX($E794:$G794,AT$5)-SUMIFS(TF_Timer,TF_Tekniker,AT$4,TF_Dato,$A794))*2,0)/2)))</f>
        <v/>
      </c>
      <c r="AU794">
        <f>IF(OR(AU$4="",$A794&gt;TODAY()),0,IF(OR(INDEX($B794:$D794,AU$5)="F",AND(AU$6&gt;0,$A794&lt;AU$6),AND(AU$7&gt;0,$A794&gt;AU$7)),0,MAX(0,ROUND((INDEX($E794:$G794,AU$5)-SUMIFS(TF_Timer,TF_Tekniker,AU$4,TF_Dato,$A794))*2,0)/2)))</f>
        <v/>
      </c>
      <c r="AV794">
        <f>IF(OR(AV$4="",$A794&gt;TODAY()),0,IF(OR(INDEX($B794:$D794,AV$5)="F",AND(AV$6&gt;0,$A794&lt;AV$6),AND(AV$7&gt;0,$A794&gt;AV$7)),0,MAX(0,ROUND((INDEX($E794:$G794,AV$5)-SUMIFS(TF_Timer,TF_Tekniker,AV$4,TF_Dato,$A794))*2,0)/2)))</f>
        <v/>
      </c>
      <c r="AW794">
        <f>IF(OR(AW$4="",$A794&gt;TODAY()),0,IF(OR(INDEX($B794:$D794,AW$5)="F",AND(AW$6&gt;0,$A794&lt;AW$6),AND(AW$7&gt;0,$A794&gt;AW$7)),0,MAX(0,ROUND((INDEX($E794:$G794,AW$5)-SUMIFS(TF_Timer,TF_Tekniker,AW$4,TF_Dato,$A794))*2,0)/2)))</f>
        <v/>
      </c>
      <c r="AX794">
        <f>IF(OR(AX$4="",$A794&gt;TODAY()),0,IF(OR(INDEX($B794:$D794,AX$5)="F",AND(AX$6&gt;0,$A794&lt;AX$6),AND(AX$7&gt;0,$A794&gt;AX$7)),0,MAX(0,ROUND((INDEX($E794:$G794,AX$5)-SUMIFS(TF_Timer,TF_Tekniker,AX$4,TF_Dato,$A794))*2,0)/2)))</f>
        <v/>
      </c>
      <c r="AY794">
        <f>IF(OR(AY$4="",$A794&gt;TODAY()),0,IF(OR(INDEX($B794:$D794,AY$5)="F",AND(AY$6&gt;0,$A794&lt;AY$6),AND(AY$7&gt;0,$A794&gt;AY$7)),0,MAX(0,ROUND((INDEX($E794:$G794,AY$5)-SUMIFS(TF_Timer,TF_Tekniker,AY$4,TF_Dato,$A794))*2,0)/2)))</f>
        <v/>
      </c>
      <c r="AZ794">
        <f>IF(OR(AZ$4="",$A794&gt;TODAY()),0,IF(OR(INDEX($B794:$D794,AZ$5)="F",AND(AZ$6&gt;0,$A794&lt;AZ$6),AND(AZ$7&gt;0,$A794&gt;AZ$7)),0,MAX(0,ROUND((INDEX($E794:$G794,AZ$5)-SUMIFS(TF_Timer,TF_Tekniker,AZ$4,TF_Dato,$A794))*2,0)/2)))</f>
        <v/>
      </c>
      <c r="BA794">
        <f>IF(OR(BA$4="",$A794&gt;TODAY()),0,IF(OR(INDEX($B794:$D794,BA$5)="F",AND(BA$6&gt;0,$A794&lt;BA$6),AND(BA$7&gt;0,$A794&gt;BA$7)),0,MAX(0,ROUND((INDEX($E794:$G794,BA$5)-SUMIFS(TF_Timer,TF_Tekniker,BA$4,TF_Dato,$A794))*2,0)/2)))</f>
        <v/>
      </c>
      <c r="BB794">
        <f>IF(OR(BB$4="",$A794&gt;TODAY()),0,IF(OR(INDEX($B794:$D794,BB$5)="F",AND(BB$6&gt;0,$A794&lt;BB$6),AND(BB$7&gt;0,$A794&gt;BB$7)),0,MAX(0,ROUND((INDEX($E794:$G794,BB$5)-SUMIFS(TF_Timer,TF_Tekniker,BB$4,TF_Dato,$A794))*2,0)/2)))</f>
        <v/>
      </c>
      <c r="BC794">
        <f>IF(OR(BC$4="",$A794&gt;TODAY()),0,IF(OR(INDEX($B794:$D794,BC$5)="F",AND(BC$6&gt;0,$A794&lt;BC$6),AND(BC$7&gt;0,$A794&gt;BC$7)),0,MAX(0,ROUND((INDEX($E794:$G794,BC$5)-SUMIFS(TF_Timer,TF_Tekniker,BC$4,TF_Dato,$A794))*2,0)/2)))</f>
        <v/>
      </c>
      <c r="BD794">
        <f>IF(OR(BD$4="",$A794&gt;TODAY()),0,IF(OR(INDEX($B794:$D794,BD$5)="F",AND(BD$6&gt;0,$A794&lt;BD$6),AND(BD$7&gt;0,$A794&gt;BD$7)),0,MAX(0,ROUND((INDEX($E794:$G794,BD$5)-SUMIFS(TF_Timer,TF_Tekniker,BD$4,TF_Dato,$A794))*2,0)/2)))</f>
        <v/>
      </c>
      <c r="BE794">
        <f>IF(OR(BE$4="",$A794&gt;TODAY()),0,IF(OR(INDEX($B794:$D794,BE$5)="F",AND(BE$6&gt;0,$A794&lt;BE$6),AND(BE$7&gt;0,$A794&gt;BE$7)),0,MAX(0,ROUND((INDEX($E794:$G794,BE$5)-SUMIFS(TF_Timer,TF_Tekniker,BE$4,TF_Dato,$A794))*2,0)/2)))</f>
        <v/>
      </c>
      <c r="BF794">
        <f>IF(OR(BF$4="",$A794&gt;TODAY()),0,IF(OR(INDEX($B794:$D794,BF$5)="F",AND(BF$6&gt;0,$A794&lt;BF$6),AND(BF$7&gt;0,$A794&gt;BF$7)),0,MAX(0,ROUND((INDEX($E794:$G794,BF$5)-SUMIFS(TF_Timer,TF_Tekniker,BF$4,TF_Dato,$A794))*2,0)/2)))</f>
        <v/>
      </c>
      <c r="BG794">
        <f>IF(OR(BG$4="",$A794&gt;TODAY()),0,IF(OR(INDEX($B794:$D794,BG$5)="F",AND(BG$6&gt;0,$A794&lt;BG$6),AND(BG$7&gt;0,$A794&gt;BG$7)),0,MAX(0,ROUND((INDEX($E794:$G794,BG$5)-SUMIFS(TF_Timer,TF_Tekniker,BG$4,TF_Dato,$A794))*2,0)/2)))</f>
        <v/>
      </c>
      <c r="BH794">
        <f>IF(OR(BH$4="",$A794&gt;TODAY()),0,IF(OR(INDEX($B794:$D794,BH$5)="F",AND(BH$6&gt;0,$A794&lt;BH$6),AND(BH$7&gt;0,$A794&gt;BH$7)),0,MAX(0,ROUND((INDEX($E794:$G794,BH$5)-SUMIFS(TF_Timer,TF_Tekniker,BH$4,TF_Dato,$A794))*2,0)/2)))</f>
        <v/>
      </c>
      <c r="BI794">
        <f>IF(OR(BI$4="",$A794&gt;TODAY()),0,IF(OR(INDEX($B794:$D794,BI$5)="F",AND(BI$6&gt;0,$A794&lt;BI$6),AND(BI$7&gt;0,$A794&gt;BI$7)),0,MAX(0,ROUND((INDEX($E794:$G794,BI$5)-SUMIFS(TF_Timer,TF_Tekniker,BI$4,TF_Dato,$A794))*2,0)/2)))</f>
        <v/>
      </c>
    </row>
    <row r="795">
      <c r="A795" s="64">
        <f>A794+1</f>
        <v/>
      </c>
      <c r="B795">
        <f>IF(MOD($A795-INDEX(SkiftStart,1),Syklus)&lt;DagK,"K",IF(MOD($A795-INDEX(SkiftStart,1),Syklus)&lt;DagK+DagH,"H",IF(MOD($A795-INDEX(SkiftStart,1),Syklus)&lt;DagK+DagH+DagD,"D","F")))</f>
        <v/>
      </c>
      <c r="C795">
        <f>IF(MOD($A795-INDEX(SkiftStart,2),Syklus)&lt;DagK,"K",IF(MOD($A795-INDEX(SkiftStart,2),Syklus)&lt;DagK+DagH,"H",IF(MOD($A795-INDEX(SkiftStart,2),Syklus)&lt;DagK+DagH+DagD,"D","F")))</f>
        <v/>
      </c>
      <c r="D795">
        <f>IF(MOD($A795-INDEX(SkiftStart,3),Syklus)&lt;DagK,"K",IF(MOD($A795-INDEX(SkiftStart,3),Syklus)&lt;DagK+DagH,"H",IF(MOD($A795-INDEX(SkiftStart,3),Syklus)&lt;DagK+DagH+DagD,"D","F")))</f>
        <v/>
      </c>
      <c r="E795">
        <f>IF(B795="F",0,IF(WEEKDAY($A795,2)=5,INDEX(TimerFr,MATCH(B795,FaseKode,0)),INDEX(TimerMT,MATCH(B795,FaseKode,0))))</f>
        <v/>
      </c>
      <c r="F795">
        <f>IF(C795="F",0,IF(WEEKDAY($A795,2)=5,INDEX(TimerFr,MATCH(C795,FaseKode,0)),INDEX(TimerMT,MATCH(C795,FaseKode,0))))</f>
        <v/>
      </c>
      <c r="G795">
        <f>IF(D795="F",0,IF(WEEKDAY($A795,2)=5,INDEX(TimerFr,MATCH(D795,FaseKode,0)),INDEX(TimerMT,MATCH(D795,FaseKode,0))))</f>
        <v/>
      </c>
      <c r="H795">
        <f>IF(OR(H$4="",$A795&gt;TODAY()),0,IF(OR(INDEX($B795:$D795,H$5)="F",AND(H$6&gt;0,$A795&lt;H$6),AND(H$7&gt;0,$A795&gt;H$7)),0,MAX(0,ROUND((INDEX($E795:$G795,H$5)-SUMIFS(TF_Timer,TF_Tekniker,H$4,TF_Dato,$A795))*2,0)/2)))</f>
        <v/>
      </c>
      <c r="I795">
        <f>IF(OR(I$4="",$A795&gt;TODAY()),0,IF(OR(INDEX($B795:$D795,I$5)="F",AND(I$6&gt;0,$A795&lt;I$6),AND(I$7&gt;0,$A795&gt;I$7)),0,MAX(0,ROUND((INDEX($E795:$G795,I$5)-SUMIFS(TF_Timer,TF_Tekniker,I$4,TF_Dato,$A795))*2,0)/2)))</f>
        <v/>
      </c>
      <c r="J795">
        <f>IF(OR(J$4="",$A795&gt;TODAY()),0,IF(OR(INDEX($B795:$D795,J$5)="F",AND(J$6&gt;0,$A795&lt;J$6),AND(J$7&gt;0,$A795&gt;J$7)),0,MAX(0,ROUND((INDEX($E795:$G795,J$5)-SUMIFS(TF_Timer,TF_Tekniker,J$4,TF_Dato,$A795))*2,0)/2)))</f>
        <v/>
      </c>
      <c r="K795">
        <f>IF(OR(K$4="",$A795&gt;TODAY()),0,IF(OR(INDEX($B795:$D795,K$5)="F",AND(K$6&gt;0,$A795&lt;K$6),AND(K$7&gt;0,$A795&gt;K$7)),0,MAX(0,ROUND((INDEX($E795:$G795,K$5)-SUMIFS(TF_Timer,TF_Tekniker,K$4,TF_Dato,$A795))*2,0)/2)))</f>
        <v/>
      </c>
      <c r="L795">
        <f>IF(OR(L$4="",$A795&gt;TODAY()),0,IF(OR(INDEX($B795:$D795,L$5)="F",AND(L$6&gt;0,$A795&lt;L$6),AND(L$7&gt;0,$A795&gt;L$7)),0,MAX(0,ROUND((INDEX($E795:$G795,L$5)-SUMIFS(TF_Timer,TF_Tekniker,L$4,TF_Dato,$A795))*2,0)/2)))</f>
        <v/>
      </c>
      <c r="M795">
        <f>IF(OR(M$4="",$A795&gt;TODAY()),0,IF(OR(INDEX($B795:$D795,M$5)="F",AND(M$6&gt;0,$A795&lt;M$6),AND(M$7&gt;0,$A795&gt;M$7)),0,MAX(0,ROUND((INDEX($E795:$G795,M$5)-SUMIFS(TF_Timer,TF_Tekniker,M$4,TF_Dato,$A795))*2,0)/2)))</f>
        <v/>
      </c>
      <c r="N795">
        <f>IF(OR(N$4="",$A795&gt;TODAY()),0,IF(OR(INDEX($B795:$D795,N$5)="F",AND(N$6&gt;0,$A795&lt;N$6),AND(N$7&gt;0,$A795&gt;N$7)),0,MAX(0,ROUND((INDEX($E795:$G795,N$5)-SUMIFS(TF_Timer,TF_Tekniker,N$4,TF_Dato,$A795))*2,0)/2)))</f>
        <v/>
      </c>
      <c r="O795">
        <f>IF(OR(O$4="",$A795&gt;TODAY()),0,IF(OR(INDEX($B795:$D795,O$5)="F",AND(O$6&gt;0,$A795&lt;O$6),AND(O$7&gt;0,$A795&gt;O$7)),0,MAX(0,ROUND((INDEX($E795:$G795,O$5)-SUMIFS(TF_Timer,TF_Tekniker,O$4,TF_Dato,$A795))*2,0)/2)))</f>
        <v/>
      </c>
      <c r="P795">
        <f>IF(OR(P$4="",$A795&gt;TODAY()),0,IF(OR(INDEX($B795:$D795,P$5)="F",AND(P$6&gt;0,$A795&lt;P$6),AND(P$7&gt;0,$A795&gt;P$7)),0,MAX(0,ROUND((INDEX($E795:$G795,P$5)-SUMIFS(TF_Timer,TF_Tekniker,P$4,TF_Dato,$A795))*2,0)/2)))</f>
        <v/>
      </c>
      <c r="Q795">
        <f>IF(OR(Q$4="",$A795&gt;TODAY()),0,IF(OR(INDEX($B795:$D795,Q$5)="F",AND(Q$6&gt;0,$A795&lt;Q$6),AND(Q$7&gt;0,$A795&gt;Q$7)),0,MAX(0,ROUND((INDEX($E795:$G795,Q$5)-SUMIFS(TF_Timer,TF_Tekniker,Q$4,TF_Dato,$A795))*2,0)/2)))</f>
        <v/>
      </c>
      <c r="R795">
        <f>IF(OR(R$4="",$A795&gt;TODAY()),0,IF(OR(INDEX($B795:$D795,R$5)="F",AND(R$6&gt;0,$A795&lt;R$6),AND(R$7&gt;0,$A795&gt;R$7)),0,MAX(0,ROUND((INDEX($E795:$G795,R$5)-SUMIFS(TF_Timer,TF_Tekniker,R$4,TF_Dato,$A795))*2,0)/2)))</f>
        <v/>
      </c>
      <c r="S795">
        <f>IF(OR(S$4="",$A795&gt;TODAY()),0,IF(OR(INDEX($B795:$D795,S$5)="F",AND(S$6&gt;0,$A795&lt;S$6),AND(S$7&gt;0,$A795&gt;S$7)),0,MAX(0,ROUND((INDEX($E795:$G795,S$5)-SUMIFS(TF_Timer,TF_Tekniker,S$4,TF_Dato,$A795))*2,0)/2)))</f>
        <v/>
      </c>
      <c r="T795">
        <f>IF(OR(T$4="",$A795&gt;TODAY()),0,IF(OR(INDEX($B795:$D795,T$5)="F",AND(T$6&gt;0,$A795&lt;T$6),AND(T$7&gt;0,$A795&gt;T$7)),0,MAX(0,ROUND((INDEX($E795:$G795,T$5)-SUMIFS(TF_Timer,TF_Tekniker,T$4,TF_Dato,$A795))*2,0)/2)))</f>
        <v/>
      </c>
      <c r="U795">
        <f>IF(OR(U$4="",$A795&gt;TODAY()),0,IF(OR(INDEX($B795:$D795,U$5)="F",AND(U$6&gt;0,$A795&lt;U$6),AND(U$7&gt;0,$A795&gt;U$7)),0,MAX(0,ROUND((INDEX($E795:$G795,U$5)-SUMIFS(TF_Timer,TF_Tekniker,U$4,TF_Dato,$A795))*2,0)/2)))</f>
        <v/>
      </c>
      <c r="V795">
        <f>IF(OR(V$4="",$A795&gt;TODAY()),0,IF(OR(INDEX($B795:$D795,V$5)="F",AND(V$6&gt;0,$A795&lt;V$6),AND(V$7&gt;0,$A795&gt;V$7)),0,MAX(0,ROUND((INDEX($E795:$G795,V$5)-SUMIFS(TF_Timer,TF_Tekniker,V$4,TF_Dato,$A795))*2,0)/2)))</f>
        <v/>
      </c>
      <c r="W795">
        <f>IF(OR(W$4="",$A795&gt;TODAY()),0,IF(OR(INDEX($B795:$D795,W$5)="F",AND(W$6&gt;0,$A795&lt;W$6),AND(W$7&gt;0,$A795&gt;W$7)),0,MAX(0,ROUND((INDEX($E795:$G795,W$5)-SUMIFS(TF_Timer,TF_Tekniker,W$4,TF_Dato,$A795))*2,0)/2)))</f>
        <v/>
      </c>
      <c r="X795">
        <f>IF(OR(X$4="",$A795&gt;TODAY()),0,IF(OR(INDEX($B795:$D795,X$5)="F",AND(X$6&gt;0,$A795&lt;X$6),AND(X$7&gt;0,$A795&gt;X$7)),0,MAX(0,ROUND((INDEX($E795:$G795,X$5)-SUMIFS(TF_Timer,TF_Tekniker,X$4,TF_Dato,$A795))*2,0)/2)))</f>
        <v/>
      </c>
      <c r="Y795">
        <f>IF(OR(Y$4="",$A795&gt;TODAY()),0,IF(OR(INDEX($B795:$D795,Y$5)="F",AND(Y$6&gt;0,$A795&lt;Y$6),AND(Y$7&gt;0,$A795&gt;Y$7)),0,MAX(0,ROUND((INDEX($E795:$G795,Y$5)-SUMIFS(TF_Timer,TF_Tekniker,Y$4,TF_Dato,$A795))*2,0)/2)))</f>
        <v/>
      </c>
      <c r="Z795">
        <f>IF(OR(Z$4="",$A795&gt;TODAY()),0,IF(OR(INDEX($B795:$D795,Z$5)="F",AND(Z$6&gt;0,$A795&lt;Z$6),AND(Z$7&gt;0,$A795&gt;Z$7)),0,MAX(0,ROUND((INDEX($E795:$G795,Z$5)-SUMIFS(TF_Timer,TF_Tekniker,Z$4,TF_Dato,$A795))*2,0)/2)))</f>
        <v/>
      </c>
      <c r="AA795">
        <f>IF(OR(AA$4="",$A795&gt;TODAY()),0,IF(OR(INDEX($B795:$D795,AA$5)="F",AND(AA$6&gt;0,$A795&lt;AA$6),AND(AA$7&gt;0,$A795&gt;AA$7)),0,MAX(0,ROUND((INDEX($E795:$G795,AA$5)-SUMIFS(TF_Timer,TF_Tekniker,AA$4,TF_Dato,$A795))*2,0)/2)))</f>
        <v/>
      </c>
      <c r="AB795">
        <f>IF(OR(AB$4="",$A795&gt;TODAY()),0,IF(OR(INDEX($B795:$D795,AB$5)="F",AND(AB$6&gt;0,$A795&lt;AB$6),AND(AB$7&gt;0,$A795&gt;AB$7)),0,MAX(0,ROUND((INDEX($E795:$G795,AB$5)-SUMIFS(TF_Timer,TF_Tekniker,AB$4,TF_Dato,$A795))*2,0)/2)))</f>
        <v/>
      </c>
      <c r="AC795">
        <f>IF(OR(AC$4="",$A795&gt;TODAY()),0,IF(OR(INDEX($B795:$D795,AC$5)="F",AND(AC$6&gt;0,$A795&lt;AC$6),AND(AC$7&gt;0,$A795&gt;AC$7)),0,MAX(0,ROUND((INDEX($E795:$G795,AC$5)-SUMIFS(TF_Timer,TF_Tekniker,AC$4,TF_Dato,$A795))*2,0)/2)))</f>
        <v/>
      </c>
      <c r="AD795">
        <f>IF(OR(AD$4="",$A795&gt;TODAY()),0,IF(OR(INDEX($B795:$D795,AD$5)="F",AND(AD$6&gt;0,$A795&lt;AD$6),AND(AD$7&gt;0,$A795&gt;AD$7)),0,MAX(0,ROUND((INDEX($E795:$G795,AD$5)-SUMIFS(TF_Timer,TF_Tekniker,AD$4,TF_Dato,$A795))*2,0)/2)))</f>
        <v/>
      </c>
      <c r="AE795">
        <f>IF(OR(AE$4="",$A795&gt;TODAY()),0,IF(OR(INDEX($B795:$D795,AE$5)="F",AND(AE$6&gt;0,$A795&lt;AE$6),AND(AE$7&gt;0,$A795&gt;AE$7)),0,MAX(0,ROUND((INDEX($E795:$G795,AE$5)-SUMIFS(TF_Timer,TF_Tekniker,AE$4,TF_Dato,$A795))*2,0)/2)))</f>
        <v/>
      </c>
      <c r="AF795">
        <f>IF(OR(AF$4="",$A795&gt;TODAY()),0,IF(OR(INDEX($B795:$D795,AF$5)="F",AND(AF$6&gt;0,$A795&lt;AF$6),AND(AF$7&gt;0,$A795&gt;AF$7)),0,MAX(0,ROUND((INDEX($E795:$G795,AF$5)-SUMIFS(TF_Timer,TF_Tekniker,AF$4,TF_Dato,$A795))*2,0)/2)))</f>
        <v/>
      </c>
      <c r="AG795">
        <f>IF(OR(AG$4="",$A795&gt;TODAY()),0,IF(OR(INDEX($B795:$D795,AG$5)="F",AND(AG$6&gt;0,$A795&lt;AG$6),AND(AG$7&gt;0,$A795&gt;AG$7)),0,MAX(0,ROUND((INDEX($E795:$G795,AG$5)-SUMIFS(TF_Timer,TF_Tekniker,AG$4,TF_Dato,$A795))*2,0)/2)))</f>
        <v/>
      </c>
      <c r="AH795">
        <f>IF(OR(AH$4="",$A795&gt;TODAY()),0,IF(OR(INDEX($B795:$D795,AH$5)="F",AND(AH$6&gt;0,$A795&lt;AH$6),AND(AH$7&gt;0,$A795&gt;AH$7)),0,MAX(0,ROUND((INDEX($E795:$G795,AH$5)-SUMIFS(TF_Timer,TF_Tekniker,AH$4,TF_Dato,$A795))*2,0)/2)))</f>
        <v/>
      </c>
      <c r="AI795">
        <f>IF(OR(AI$4="",$A795&gt;TODAY()),0,IF(OR(INDEX($B795:$D795,AI$5)="F",AND(AI$6&gt;0,$A795&lt;AI$6),AND(AI$7&gt;0,$A795&gt;AI$7)),0,MAX(0,ROUND((INDEX($E795:$G795,AI$5)-SUMIFS(TF_Timer,TF_Tekniker,AI$4,TF_Dato,$A795))*2,0)/2)))</f>
        <v/>
      </c>
      <c r="AJ795">
        <f>IF(OR(AJ$4="",$A795&gt;TODAY()),0,IF(OR(INDEX($B795:$D795,AJ$5)="F",AND(AJ$6&gt;0,$A795&lt;AJ$6),AND(AJ$7&gt;0,$A795&gt;AJ$7)),0,MAX(0,ROUND((INDEX($E795:$G795,AJ$5)-SUMIFS(TF_Timer,TF_Tekniker,AJ$4,TF_Dato,$A795))*2,0)/2)))</f>
        <v/>
      </c>
      <c r="AK795">
        <f>IF(OR(AK$4="",$A795&gt;TODAY()),0,IF(OR(INDEX($B795:$D795,AK$5)="F",AND(AK$6&gt;0,$A795&lt;AK$6),AND(AK$7&gt;0,$A795&gt;AK$7)),0,MAX(0,ROUND((INDEX($E795:$G795,AK$5)-SUMIFS(TF_Timer,TF_Tekniker,AK$4,TF_Dato,$A795))*2,0)/2)))</f>
        <v/>
      </c>
      <c r="AL795">
        <f>IF(OR(AL$4="",$A795&gt;TODAY()),0,IF(OR(INDEX($B795:$D795,AL$5)="F",AND(AL$6&gt;0,$A795&lt;AL$6),AND(AL$7&gt;0,$A795&gt;AL$7)),0,MAX(0,ROUND((INDEX($E795:$G795,AL$5)-SUMIFS(TF_Timer,TF_Tekniker,AL$4,TF_Dato,$A795))*2,0)/2)))</f>
        <v/>
      </c>
      <c r="AM795">
        <f>IF(OR(AM$4="",$A795&gt;TODAY()),0,IF(OR(INDEX($B795:$D795,AM$5)="F",AND(AM$6&gt;0,$A795&lt;AM$6),AND(AM$7&gt;0,$A795&gt;AM$7)),0,MAX(0,ROUND((INDEX($E795:$G795,AM$5)-SUMIFS(TF_Timer,TF_Tekniker,AM$4,TF_Dato,$A795))*2,0)/2)))</f>
        <v/>
      </c>
      <c r="AN795">
        <f>IF(OR(AN$4="",$A795&gt;TODAY()),0,IF(OR(INDEX($B795:$D795,AN$5)="F",AND(AN$6&gt;0,$A795&lt;AN$6),AND(AN$7&gt;0,$A795&gt;AN$7)),0,MAX(0,ROUND((INDEX($E795:$G795,AN$5)-SUMIFS(TF_Timer,TF_Tekniker,AN$4,TF_Dato,$A795))*2,0)/2)))</f>
        <v/>
      </c>
      <c r="AO795">
        <f>IF(OR(AO$4="",$A795&gt;TODAY()),0,IF(OR(INDEX($B795:$D795,AO$5)="F",AND(AO$6&gt;0,$A795&lt;AO$6),AND(AO$7&gt;0,$A795&gt;AO$7)),0,MAX(0,ROUND((INDEX($E795:$G795,AO$5)-SUMIFS(TF_Timer,TF_Tekniker,AO$4,TF_Dato,$A795))*2,0)/2)))</f>
        <v/>
      </c>
      <c r="AP795">
        <f>IF(OR(AP$4="",$A795&gt;TODAY()),0,IF(OR(INDEX($B795:$D795,AP$5)="F",AND(AP$6&gt;0,$A795&lt;AP$6),AND(AP$7&gt;0,$A795&gt;AP$7)),0,MAX(0,ROUND((INDEX($E795:$G795,AP$5)-SUMIFS(TF_Timer,TF_Tekniker,AP$4,TF_Dato,$A795))*2,0)/2)))</f>
        <v/>
      </c>
      <c r="AQ795">
        <f>IF(OR(AQ$4="",$A795&gt;TODAY()),0,IF(OR(INDEX($B795:$D795,AQ$5)="F",AND(AQ$6&gt;0,$A795&lt;AQ$6),AND(AQ$7&gt;0,$A795&gt;AQ$7)),0,MAX(0,ROUND((INDEX($E795:$G795,AQ$5)-SUMIFS(TF_Timer,TF_Tekniker,AQ$4,TF_Dato,$A795))*2,0)/2)))</f>
        <v/>
      </c>
      <c r="AR795">
        <f>IF(OR(AR$4="",$A795&gt;TODAY()),0,IF(OR(INDEX($B795:$D795,AR$5)="F",AND(AR$6&gt;0,$A795&lt;AR$6),AND(AR$7&gt;0,$A795&gt;AR$7)),0,MAX(0,ROUND((INDEX($E795:$G795,AR$5)-SUMIFS(TF_Timer,TF_Tekniker,AR$4,TF_Dato,$A795))*2,0)/2)))</f>
        <v/>
      </c>
      <c r="AS795">
        <f>IF(OR(AS$4="",$A795&gt;TODAY()),0,IF(OR(INDEX($B795:$D795,AS$5)="F",AND(AS$6&gt;0,$A795&lt;AS$6),AND(AS$7&gt;0,$A795&gt;AS$7)),0,MAX(0,ROUND((INDEX($E795:$G795,AS$5)-SUMIFS(TF_Timer,TF_Tekniker,AS$4,TF_Dato,$A795))*2,0)/2)))</f>
        <v/>
      </c>
      <c r="AT795">
        <f>IF(OR(AT$4="",$A795&gt;TODAY()),0,IF(OR(INDEX($B795:$D795,AT$5)="F",AND(AT$6&gt;0,$A795&lt;AT$6),AND(AT$7&gt;0,$A795&gt;AT$7)),0,MAX(0,ROUND((INDEX($E795:$G795,AT$5)-SUMIFS(TF_Timer,TF_Tekniker,AT$4,TF_Dato,$A795))*2,0)/2)))</f>
        <v/>
      </c>
      <c r="AU795">
        <f>IF(OR(AU$4="",$A795&gt;TODAY()),0,IF(OR(INDEX($B795:$D795,AU$5)="F",AND(AU$6&gt;0,$A795&lt;AU$6),AND(AU$7&gt;0,$A795&gt;AU$7)),0,MAX(0,ROUND((INDEX($E795:$G795,AU$5)-SUMIFS(TF_Timer,TF_Tekniker,AU$4,TF_Dato,$A795))*2,0)/2)))</f>
        <v/>
      </c>
      <c r="AV795">
        <f>IF(OR(AV$4="",$A795&gt;TODAY()),0,IF(OR(INDEX($B795:$D795,AV$5)="F",AND(AV$6&gt;0,$A795&lt;AV$6),AND(AV$7&gt;0,$A795&gt;AV$7)),0,MAX(0,ROUND((INDEX($E795:$G795,AV$5)-SUMIFS(TF_Timer,TF_Tekniker,AV$4,TF_Dato,$A795))*2,0)/2)))</f>
        <v/>
      </c>
      <c r="AW795">
        <f>IF(OR(AW$4="",$A795&gt;TODAY()),0,IF(OR(INDEX($B795:$D795,AW$5)="F",AND(AW$6&gt;0,$A795&lt;AW$6),AND(AW$7&gt;0,$A795&gt;AW$7)),0,MAX(0,ROUND((INDEX($E795:$G795,AW$5)-SUMIFS(TF_Timer,TF_Tekniker,AW$4,TF_Dato,$A795))*2,0)/2)))</f>
        <v/>
      </c>
      <c r="AX795">
        <f>IF(OR(AX$4="",$A795&gt;TODAY()),0,IF(OR(INDEX($B795:$D795,AX$5)="F",AND(AX$6&gt;0,$A795&lt;AX$6),AND(AX$7&gt;0,$A795&gt;AX$7)),0,MAX(0,ROUND((INDEX($E795:$G795,AX$5)-SUMIFS(TF_Timer,TF_Tekniker,AX$4,TF_Dato,$A795))*2,0)/2)))</f>
        <v/>
      </c>
      <c r="AY795">
        <f>IF(OR(AY$4="",$A795&gt;TODAY()),0,IF(OR(INDEX($B795:$D795,AY$5)="F",AND(AY$6&gt;0,$A795&lt;AY$6),AND(AY$7&gt;0,$A795&gt;AY$7)),0,MAX(0,ROUND((INDEX($E795:$G795,AY$5)-SUMIFS(TF_Timer,TF_Tekniker,AY$4,TF_Dato,$A795))*2,0)/2)))</f>
        <v/>
      </c>
      <c r="AZ795">
        <f>IF(OR(AZ$4="",$A795&gt;TODAY()),0,IF(OR(INDEX($B795:$D795,AZ$5)="F",AND(AZ$6&gt;0,$A795&lt;AZ$6),AND(AZ$7&gt;0,$A795&gt;AZ$7)),0,MAX(0,ROUND((INDEX($E795:$G795,AZ$5)-SUMIFS(TF_Timer,TF_Tekniker,AZ$4,TF_Dato,$A795))*2,0)/2)))</f>
        <v/>
      </c>
      <c r="BA795">
        <f>IF(OR(BA$4="",$A795&gt;TODAY()),0,IF(OR(INDEX($B795:$D795,BA$5)="F",AND(BA$6&gt;0,$A795&lt;BA$6),AND(BA$7&gt;0,$A795&gt;BA$7)),0,MAX(0,ROUND((INDEX($E795:$G795,BA$5)-SUMIFS(TF_Timer,TF_Tekniker,BA$4,TF_Dato,$A795))*2,0)/2)))</f>
        <v/>
      </c>
      <c r="BB795">
        <f>IF(OR(BB$4="",$A795&gt;TODAY()),0,IF(OR(INDEX($B795:$D795,BB$5)="F",AND(BB$6&gt;0,$A795&lt;BB$6),AND(BB$7&gt;0,$A795&gt;BB$7)),0,MAX(0,ROUND((INDEX($E795:$G795,BB$5)-SUMIFS(TF_Timer,TF_Tekniker,BB$4,TF_Dato,$A795))*2,0)/2)))</f>
        <v/>
      </c>
      <c r="BC795">
        <f>IF(OR(BC$4="",$A795&gt;TODAY()),0,IF(OR(INDEX($B795:$D795,BC$5)="F",AND(BC$6&gt;0,$A795&lt;BC$6),AND(BC$7&gt;0,$A795&gt;BC$7)),0,MAX(0,ROUND((INDEX($E795:$G795,BC$5)-SUMIFS(TF_Timer,TF_Tekniker,BC$4,TF_Dato,$A795))*2,0)/2)))</f>
        <v/>
      </c>
      <c r="BD795">
        <f>IF(OR(BD$4="",$A795&gt;TODAY()),0,IF(OR(INDEX($B795:$D795,BD$5)="F",AND(BD$6&gt;0,$A795&lt;BD$6),AND(BD$7&gt;0,$A795&gt;BD$7)),0,MAX(0,ROUND((INDEX($E795:$G795,BD$5)-SUMIFS(TF_Timer,TF_Tekniker,BD$4,TF_Dato,$A795))*2,0)/2)))</f>
        <v/>
      </c>
      <c r="BE795">
        <f>IF(OR(BE$4="",$A795&gt;TODAY()),0,IF(OR(INDEX($B795:$D795,BE$5)="F",AND(BE$6&gt;0,$A795&lt;BE$6),AND(BE$7&gt;0,$A795&gt;BE$7)),0,MAX(0,ROUND((INDEX($E795:$G795,BE$5)-SUMIFS(TF_Timer,TF_Tekniker,BE$4,TF_Dato,$A795))*2,0)/2)))</f>
        <v/>
      </c>
      <c r="BF795">
        <f>IF(OR(BF$4="",$A795&gt;TODAY()),0,IF(OR(INDEX($B795:$D795,BF$5)="F",AND(BF$6&gt;0,$A795&lt;BF$6),AND(BF$7&gt;0,$A795&gt;BF$7)),0,MAX(0,ROUND((INDEX($E795:$G795,BF$5)-SUMIFS(TF_Timer,TF_Tekniker,BF$4,TF_Dato,$A795))*2,0)/2)))</f>
        <v/>
      </c>
      <c r="BG795">
        <f>IF(OR(BG$4="",$A795&gt;TODAY()),0,IF(OR(INDEX($B795:$D795,BG$5)="F",AND(BG$6&gt;0,$A795&lt;BG$6),AND(BG$7&gt;0,$A795&gt;BG$7)),0,MAX(0,ROUND((INDEX($E795:$G795,BG$5)-SUMIFS(TF_Timer,TF_Tekniker,BG$4,TF_Dato,$A795))*2,0)/2)))</f>
        <v/>
      </c>
      <c r="BH795">
        <f>IF(OR(BH$4="",$A795&gt;TODAY()),0,IF(OR(INDEX($B795:$D795,BH$5)="F",AND(BH$6&gt;0,$A795&lt;BH$6),AND(BH$7&gt;0,$A795&gt;BH$7)),0,MAX(0,ROUND((INDEX($E795:$G795,BH$5)-SUMIFS(TF_Timer,TF_Tekniker,BH$4,TF_Dato,$A795))*2,0)/2)))</f>
        <v/>
      </c>
      <c r="BI795">
        <f>IF(OR(BI$4="",$A795&gt;TODAY()),0,IF(OR(INDEX($B795:$D795,BI$5)="F",AND(BI$6&gt;0,$A795&lt;BI$6),AND(BI$7&gt;0,$A795&gt;BI$7)),0,MAX(0,ROUND((INDEX($E795:$G795,BI$5)-SUMIFS(TF_Timer,TF_Tekniker,BI$4,TF_Dato,$A795))*2,0)/2)))</f>
        <v/>
      </c>
    </row>
    <row r="796">
      <c r="A796" s="64">
        <f>A795+1</f>
        <v/>
      </c>
      <c r="B796">
        <f>IF(MOD($A796-INDEX(SkiftStart,1),Syklus)&lt;DagK,"K",IF(MOD($A796-INDEX(SkiftStart,1),Syklus)&lt;DagK+DagH,"H",IF(MOD($A796-INDEX(SkiftStart,1),Syklus)&lt;DagK+DagH+DagD,"D","F")))</f>
        <v/>
      </c>
      <c r="C796">
        <f>IF(MOD($A796-INDEX(SkiftStart,2),Syklus)&lt;DagK,"K",IF(MOD($A796-INDEX(SkiftStart,2),Syklus)&lt;DagK+DagH,"H",IF(MOD($A796-INDEX(SkiftStart,2),Syklus)&lt;DagK+DagH+DagD,"D","F")))</f>
        <v/>
      </c>
      <c r="D796">
        <f>IF(MOD($A796-INDEX(SkiftStart,3),Syklus)&lt;DagK,"K",IF(MOD($A796-INDEX(SkiftStart,3),Syklus)&lt;DagK+DagH,"H",IF(MOD($A796-INDEX(SkiftStart,3),Syklus)&lt;DagK+DagH+DagD,"D","F")))</f>
        <v/>
      </c>
      <c r="E796">
        <f>IF(B796="F",0,IF(WEEKDAY($A796,2)=5,INDEX(TimerFr,MATCH(B796,FaseKode,0)),INDEX(TimerMT,MATCH(B796,FaseKode,0))))</f>
        <v/>
      </c>
      <c r="F796">
        <f>IF(C796="F",0,IF(WEEKDAY($A796,2)=5,INDEX(TimerFr,MATCH(C796,FaseKode,0)),INDEX(TimerMT,MATCH(C796,FaseKode,0))))</f>
        <v/>
      </c>
      <c r="G796">
        <f>IF(D796="F",0,IF(WEEKDAY($A796,2)=5,INDEX(TimerFr,MATCH(D796,FaseKode,0)),INDEX(TimerMT,MATCH(D796,FaseKode,0))))</f>
        <v/>
      </c>
      <c r="H796">
        <f>IF(OR(H$4="",$A796&gt;TODAY()),0,IF(OR(INDEX($B796:$D796,H$5)="F",AND(H$6&gt;0,$A796&lt;H$6),AND(H$7&gt;0,$A796&gt;H$7)),0,MAX(0,ROUND((INDEX($E796:$G796,H$5)-SUMIFS(TF_Timer,TF_Tekniker,H$4,TF_Dato,$A796))*2,0)/2)))</f>
        <v/>
      </c>
      <c r="I796">
        <f>IF(OR(I$4="",$A796&gt;TODAY()),0,IF(OR(INDEX($B796:$D796,I$5)="F",AND(I$6&gt;0,$A796&lt;I$6),AND(I$7&gt;0,$A796&gt;I$7)),0,MAX(0,ROUND((INDEX($E796:$G796,I$5)-SUMIFS(TF_Timer,TF_Tekniker,I$4,TF_Dato,$A796))*2,0)/2)))</f>
        <v/>
      </c>
      <c r="J796">
        <f>IF(OR(J$4="",$A796&gt;TODAY()),0,IF(OR(INDEX($B796:$D796,J$5)="F",AND(J$6&gt;0,$A796&lt;J$6),AND(J$7&gt;0,$A796&gt;J$7)),0,MAX(0,ROUND((INDEX($E796:$G796,J$5)-SUMIFS(TF_Timer,TF_Tekniker,J$4,TF_Dato,$A796))*2,0)/2)))</f>
        <v/>
      </c>
      <c r="K796">
        <f>IF(OR(K$4="",$A796&gt;TODAY()),0,IF(OR(INDEX($B796:$D796,K$5)="F",AND(K$6&gt;0,$A796&lt;K$6),AND(K$7&gt;0,$A796&gt;K$7)),0,MAX(0,ROUND((INDEX($E796:$G796,K$5)-SUMIFS(TF_Timer,TF_Tekniker,K$4,TF_Dato,$A796))*2,0)/2)))</f>
        <v/>
      </c>
      <c r="L796">
        <f>IF(OR(L$4="",$A796&gt;TODAY()),0,IF(OR(INDEX($B796:$D796,L$5)="F",AND(L$6&gt;0,$A796&lt;L$6),AND(L$7&gt;0,$A796&gt;L$7)),0,MAX(0,ROUND((INDEX($E796:$G796,L$5)-SUMIFS(TF_Timer,TF_Tekniker,L$4,TF_Dato,$A796))*2,0)/2)))</f>
        <v/>
      </c>
      <c r="M796">
        <f>IF(OR(M$4="",$A796&gt;TODAY()),0,IF(OR(INDEX($B796:$D796,M$5)="F",AND(M$6&gt;0,$A796&lt;M$6),AND(M$7&gt;0,$A796&gt;M$7)),0,MAX(0,ROUND((INDEX($E796:$G796,M$5)-SUMIFS(TF_Timer,TF_Tekniker,M$4,TF_Dato,$A796))*2,0)/2)))</f>
        <v/>
      </c>
      <c r="N796">
        <f>IF(OR(N$4="",$A796&gt;TODAY()),0,IF(OR(INDEX($B796:$D796,N$5)="F",AND(N$6&gt;0,$A796&lt;N$6),AND(N$7&gt;0,$A796&gt;N$7)),0,MAX(0,ROUND((INDEX($E796:$G796,N$5)-SUMIFS(TF_Timer,TF_Tekniker,N$4,TF_Dato,$A796))*2,0)/2)))</f>
        <v/>
      </c>
      <c r="O796">
        <f>IF(OR(O$4="",$A796&gt;TODAY()),0,IF(OR(INDEX($B796:$D796,O$5)="F",AND(O$6&gt;0,$A796&lt;O$6),AND(O$7&gt;0,$A796&gt;O$7)),0,MAX(0,ROUND((INDEX($E796:$G796,O$5)-SUMIFS(TF_Timer,TF_Tekniker,O$4,TF_Dato,$A796))*2,0)/2)))</f>
        <v/>
      </c>
      <c r="P796">
        <f>IF(OR(P$4="",$A796&gt;TODAY()),0,IF(OR(INDEX($B796:$D796,P$5)="F",AND(P$6&gt;0,$A796&lt;P$6),AND(P$7&gt;0,$A796&gt;P$7)),0,MAX(0,ROUND((INDEX($E796:$G796,P$5)-SUMIFS(TF_Timer,TF_Tekniker,P$4,TF_Dato,$A796))*2,0)/2)))</f>
        <v/>
      </c>
      <c r="Q796">
        <f>IF(OR(Q$4="",$A796&gt;TODAY()),0,IF(OR(INDEX($B796:$D796,Q$5)="F",AND(Q$6&gt;0,$A796&lt;Q$6),AND(Q$7&gt;0,$A796&gt;Q$7)),0,MAX(0,ROUND((INDEX($E796:$G796,Q$5)-SUMIFS(TF_Timer,TF_Tekniker,Q$4,TF_Dato,$A796))*2,0)/2)))</f>
        <v/>
      </c>
      <c r="R796">
        <f>IF(OR(R$4="",$A796&gt;TODAY()),0,IF(OR(INDEX($B796:$D796,R$5)="F",AND(R$6&gt;0,$A796&lt;R$6),AND(R$7&gt;0,$A796&gt;R$7)),0,MAX(0,ROUND((INDEX($E796:$G796,R$5)-SUMIFS(TF_Timer,TF_Tekniker,R$4,TF_Dato,$A796))*2,0)/2)))</f>
        <v/>
      </c>
      <c r="S796">
        <f>IF(OR(S$4="",$A796&gt;TODAY()),0,IF(OR(INDEX($B796:$D796,S$5)="F",AND(S$6&gt;0,$A796&lt;S$6),AND(S$7&gt;0,$A796&gt;S$7)),0,MAX(0,ROUND((INDEX($E796:$G796,S$5)-SUMIFS(TF_Timer,TF_Tekniker,S$4,TF_Dato,$A796))*2,0)/2)))</f>
        <v/>
      </c>
      <c r="T796">
        <f>IF(OR(T$4="",$A796&gt;TODAY()),0,IF(OR(INDEX($B796:$D796,T$5)="F",AND(T$6&gt;0,$A796&lt;T$6),AND(T$7&gt;0,$A796&gt;T$7)),0,MAX(0,ROUND((INDEX($E796:$G796,T$5)-SUMIFS(TF_Timer,TF_Tekniker,T$4,TF_Dato,$A796))*2,0)/2)))</f>
        <v/>
      </c>
      <c r="U796">
        <f>IF(OR(U$4="",$A796&gt;TODAY()),0,IF(OR(INDEX($B796:$D796,U$5)="F",AND(U$6&gt;0,$A796&lt;U$6),AND(U$7&gt;0,$A796&gt;U$7)),0,MAX(0,ROUND((INDEX($E796:$G796,U$5)-SUMIFS(TF_Timer,TF_Tekniker,U$4,TF_Dato,$A796))*2,0)/2)))</f>
        <v/>
      </c>
      <c r="V796">
        <f>IF(OR(V$4="",$A796&gt;TODAY()),0,IF(OR(INDEX($B796:$D796,V$5)="F",AND(V$6&gt;0,$A796&lt;V$6),AND(V$7&gt;0,$A796&gt;V$7)),0,MAX(0,ROUND((INDEX($E796:$G796,V$5)-SUMIFS(TF_Timer,TF_Tekniker,V$4,TF_Dato,$A796))*2,0)/2)))</f>
        <v/>
      </c>
      <c r="W796">
        <f>IF(OR(W$4="",$A796&gt;TODAY()),0,IF(OR(INDEX($B796:$D796,W$5)="F",AND(W$6&gt;0,$A796&lt;W$6),AND(W$7&gt;0,$A796&gt;W$7)),0,MAX(0,ROUND((INDEX($E796:$G796,W$5)-SUMIFS(TF_Timer,TF_Tekniker,W$4,TF_Dato,$A796))*2,0)/2)))</f>
        <v/>
      </c>
      <c r="X796">
        <f>IF(OR(X$4="",$A796&gt;TODAY()),0,IF(OR(INDEX($B796:$D796,X$5)="F",AND(X$6&gt;0,$A796&lt;X$6),AND(X$7&gt;0,$A796&gt;X$7)),0,MAX(0,ROUND((INDEX($E796:$G796,X$5)-SUMIFS(TF_Timer,TF_Tekniker,X$4,TF_Dato,$A796))*2,0)/2)))</f>
        <v/>
      </c>
      <c r="Y796">
        <f>IF(OR(Y$4="",$A796&gt;TODAY()),0,IF(OR(INDEX($B796:$D796,Y$5)="F",AND(Y$6&gt;0,$A796&lt;Y$6),AND(Y$7&gt;0,$A796&gt;Y$7)),0,MAX(0,ROUND((INDEX($E796:$G796,Y$5)-SUMIFS(TF_Timer,TF_Tekniker,Y$4,TF_Dato,$A796))*2,0)/2)))</f>
        <v/>
      </c>
      <c r="Z796">
        <f>IF(OR(Z$4="",$A796&gt;TODAY()),0,IF(OR(INDEX($B796:$D796,Z$5)="F",AND(Z$6&gt;0,$A796&lt;Z$6),AND(Z$7&gt;0,$A796&gt;Z$7)),0,MAX(0,ROUND((INDEX($E796:$G796,Z$5)-SUMIFS(TF_Timer,TF_Tekniker,Z$4,TF_Dato,$A796))*2,0)/2)))</f>
        <v/>
      </c>
      <c r="AA796">
        <f>IF(OR(AA$4="",$A796&gt;TODAY()),0,IF(OR(INDEX($B796:$D796,AA$5)="F",AND(AA$6&gt;0,$A796&lt;AA$6),AND(AA$7&gt;0,$A796&gt;AA$7)),0,MAX(0,ROUND((INDEX($E796:$G796,AA$5)-SUMIFS(TF_Timer,TF_Tekniker,AA$4,TF_Dato,$A796))*2,0)/2)))</f>
        <v/>
      </c>
      <c r="AB796">
        <f>IF(OR(AB$4="",$A796&gt;TODAY()),0,IF(OR(INDEX($B796:$D796,AB$5)="F",AND(AB$6&gt;0,$A796&lt;AB$6),AND(AB$7&gt;0,$A796&gt;AB$7)),0,MAX(0,ROUND((INDEX($E796:$G796,AB$5)-SUMIFS(TF_Timer,TF_Tekniker,AB$4,TF_Dato,$A796))*2,0)/2)))</f>
        <v/>
      </c>
      <c r="AC796">
        <f>IF(OR(AC$4="",$A796&gt;TODAY()),0,IF(OR(INDEX($B796:$D796,AC$5)="F",AND(AC$6&gt;0,$A796&lt;AC$6),AND(AC$7&gt;0,$A796&gt;AC$7)),0,MAX(0,ROUND((INDEX($E796:$G796,AC$5)-SUMIFS(TF_Timer,TF_Tekniker,AC$4,TF_Dato,$A796))*2,0)/2)))</f>
        <v/>
      </c>
      <c r="AD796">
        <f>IF(OR(AD$4="",$A796&gt;TODAY()),0,IF(OR(INDEX($B796:$D796,AD$5)="F",AND(AD$6&gt;0,$A796&lt;AD$6),AND(AD$7&gt;0,$A796&gt;AD$7)),0,MAX(0,ROUND((INDEX($E796:$G796,AD$5)-SUMIFS(TF_Timer,TF_Tekniker,AD$4,TF_Dato,$A796))*2,0)/2)))</f>
        <v/>
      </c>
      <c r="AE796">
        <f>IF(OR(AE$4="",$A796&gt;TODAY()),0,IF(OR(INDEX($B796:$D796,AE$5)="F",AND(AE$6&gt;0,$A796&lt;AE$6),AND(AE$7&gt;0,$A796&gt;AE$7)),0,MAX(0,ROUND((INDEX($E796:$G796,AE$5)-SUMIFS(TF_Timer,TF_Tekniker,AE$4,TF_Dato,$A796))*2,0)/2)))</f>
        <v/>
      </c>
      <c r="AF796">
        <f>IF(OR(AF$4="",$A796&gt;TODAY()),0,IF(OR(INDEX($B796:$D796,AF$5)="F",AND(AF$6&gt;0,$A796&lt;AF$6),AND(AF$7&gt;0,$A796&gt;AF$7)),0,MAX(0,ROUND((INDEX($E796:$G796,AF$5)-SUMIFS(TF_Timer,TF_Tekniker,AF$4,TF_Dato,$A796))*2,0)/2)))</f>
        <v/>
      </c>
      <c r="AG796">
        <f>IF(OR(AG$4="",$A796&gt;TODAY()),0,IF(OR(INDEX($B796:$D796,AG$5)="F",AND(AG$6&gt;0,$A796&lt;AG$6),AND(AG$7&gt;0,$A796&gt;AG$7)),0,MAX(0,ROUND((INDEX($E796:$G796,AG$5)-SUMIFS(TF_Timer,TF_Tekniker,AG$4,TF_Dato,$A796))*2,0)/2)))</f>
        <v/>
      </c>
      <c r="AH796">
        <f>IF(OR(AH$4="",$A796&gt;TODAY()),0,IF(OR(INDEX($B796:$D796,AH$5)="F",AND(AH$6&gt;0,$A796&lt;AH$6),AND(AH$7&gt;0,$A796&gt;AH$7)),0,MAX(0,ROUND((INDEX($E796:$G796,AH$5)-SUMIFS(TF_Timer,TF_Tekniker,AH$4,TF_Dato,$A796))*2,0)/2)))</f>
        <v/>
      </c>
      <c r="AI796">
        <f>IF(OR(AI$4="",$A796&gt;TODAY()),0,IF(OR(INDEX($B796:$D796,AI$5)="F",AND(AI$6&gt;0,$A796&lt;AI$6),AND(AI$7&gt;0,$A796&gt;AI$7)),0,MAX(0,ROUND((INDEX($E796:$G796,AI$5)-SUMIFS(TF_Timer,TF_Tekniker,AI$4,TF_Dato,$A796))*2,0)/2)))</f>
        <v/>
      </c>
      <c r="AJ796">
        <f>IF(OR(AJ$4="",$A796&gt;TODAY()),0,IF(OR(INDEX($B796:$D796,AJ$5)="F",AND(AJ$6&gt;0,$A796&lt;AJ$6),AND(AJ$7&gt;0,$A796&gt;AJ$7)),0,MAX(0,ROUND((INDEX($E796:$G796,AJ$5)-SUMIFS(TF_Timer,TF_Tekniker,AJ$4,TF_Dato,$A796))*2,0)/2)))</f>
        <v/>
      </c>
      <c r="AK796">
        <f>IF(OR(AK$4="",$A796&gt;TODAY()),0,IF(OR(INDEX($B796:$D796,AK$5)="F",AND(AK$6&gt;0,$A796&lt;AK$6),AND(AK$7&gt;0,$A796&gt;AK$7)),0,MAX(0,ROUND((INDEX($E796:$G796,AK$5)-SUMIFS(TF_Timer,TF_Tekniker,AK$4,TF_Dato,$A796))*2,0)/2)))</f>
        <v/>
      </c>
      <c r="AL796">
        <f>IF(OR(AL$4="",$A796&gt;TODAY()),0,IF(OR(INDEX($B796:$D796,AL$5)="F",AND(AL$6&gt;0,$A796&lt;AL$6),AND(AL$7&gt;0,$A796&gt;AL$7)),0,MAX(0,ROUND((INDEX($E796:$G796,AL$5)-SUMIFS(TF_Timer,TF_Tekniker,AL$4,TF_Dato,$A796))*2,0)/2)))</f>
        <v/>
      </c>
      <c r="AM796">
        <f>IF(OR(AM$4="",$A796&gt;TODAY()),0,IF(OR(INDEX($B796:$D796,AM$5)="F",AND(AM$6&gt;0,$A796&lt;AM$6),AND(AM$7&gt;0,$A796&gt;AM$7)),0,MAX(0,ROUND((INDEX($E796:$G796,AM$5)-SUMIFS(TF_Timer,TF_Tekniker,AM$4,TF_Dato,$A796))*2,0)/2)))</f>
        <v/>
      </c>
      <c r="AN796">
        <f>IF(OR(AN$4="",$A796&gt;TODAY()),0,IF(OR(INDEX($B796:$D796,AN$5)="F",AND(AN$6&gt;0,$A796&lt;AN$6),AND(AN$7&gt;0,$A796&gt;AN$7)),0,MAX(0,ROUND((INDEX($E796:$G796,AN$5)-SUMIFS(TF_Timer,TF_Tekniker,AN$4,TF_Dato,$A796))*2,0)/2)))</f>
        <v/>
      </c>
      <c r="AO796">
        <f>IF(OR(AO$4="",$A796&gt;TODAY()),0,IF(OR(INDEX($B796:$D796,AO$5)="F",AND(AO$6&gt;0,$A796&lt;AO$6),AND(AO$7&gt;0,$A796&gt;AO$7)),0,MAX(0,ROUND((INDEX($E796:$G796,AO$5)-SUMIFS(TF_Timer,TF_Tekniker,AO$4,TF_Dato,$A796))*2,0)/2)))</f>
        <v/>
      </c>
      <c r="AP796">
        <f>IF(OR(AP$4="",$A796&gt;TODAY()),0,IF(OR(INDEX($B796:$D796,AP$5)="F",AND(AP$6&gt;0,$A796&lt;AP$6),AND(AP$7&gt;0,$A796&gt;AP$7)),0,MAX(0,ROUND((INDEX($E796:$G796,AP$5)-SUMIFS(TF_Timer,TF_Tekniker,AP$4,TF_Dato,$A796))*2,0)/2)))</f>
        <v/>
      </c>
      <c r="AQ796">
        <f>IF(OR(AQ$4="",$A796&gt;TODAY()),0,IF(OR(INDEX($B796:$D796,AQ$5)="F",AND(AQ$6&gt;0,$A796&lt;AQ$6),AND(AQ$7&gt;0,$A796&gt;AQ$7)),0,MAX(0,ROUND((INDEX($E796:$G796,AQ$5)-SUMIFS(TF_Timer,TF_Tekniker,AQ$4,TF_Dato,$A796))*2,0)/2)))</f>
        <v/>
      </c>
      <c r="AR796">
        <f>IF(OR(AR$4="",$A796&gt;TODAY()),0,IF(OR(INDEX($B796:$D796,AR$5)="F",AND(AR$6&gt;0,$A796&lt;AR$6),AND(AR$7&gt;0,$A796&gt;AR$7)),0,MAX(0,ROUND((INDEX($E796:$G796,AR$5)-SUMIFS(TF_Timer,TF_Tekniker,AR$4,TF_Dato,$A796))*2,0)/2)))</f>
        <v/>
      </c>
      <c r="AS796">
        <f>IF(OR(AS$4="",$A796&gt;TODAY()),0,IF(OR(INDEX($B796:$D796,AS$5)="F",AND(AS$6&gt;0,$A796&lt;AS$6),AND(AS$7&gt;0,$A796&gt;AS$7)),0,MAX(0,ROUND((INDEX($E796:$G796,AS$5)-SUMIFS(TF_Timer,TF_Tekniker,AS$4,TF_Dato,$A796))*2,0)/2)))</f>
        <v/>
      </c>
      <c r="AT796">
        <f>IF(OR(AT$4="",$A796&gt;TODAY()),0,IF(OR(INDEX($B796:$D796,AT$5)="F",AND(AT$6&gt;0,$A796&lt;AT$6),AND(AT$7&gt;0,$A796&gt;AT$7)),0,MAX(0,ROUND((INDEX($E796:$G796,AT$5)-SUMIFS(TF_Timer,TF_Tekniker,AT$4,TF_Dato,$A796))*2,0)/2)))</f>
        <v/>
      </c>
      <c r="AU796">
        <f>IF(OR(AU$4="",$A796&gt;TODAY()),0,IF(OR(INDEX($B796:$D796,AU$5)="F",AND(AU$6&gt;0,$A796&lt;AU$6),AND(AU$7&gt;0,$A796&gt;AU$7)),0,MAX(0,ROUND((INDEX($E796:$G796,AU$5)-SUMIFS(TF_Timer,TF_Tekniker,AU$4,TF_Dato,$A796))*2,0)/2)))</f>
        <v/>
      </c>
      <c r="AV796">
        <f>IF(OR(AV$4="",$A796&gt;TODAY()),0,IF(OR(INDEX($B796:$D796,AV$5)="F",AND(AV$6&gt;0,$A796&lt;AV$6),AND(AV$7&gt;0,$A796&gt;AV$7)),0,MAX(0,ROUND((INDEX($E796:$G796,AV$5)-SUMIFS(TF_Timer,TF_Tekniker,AV$4,TF_Dato,$A796))*2,0)/2)))</f>
        <v/>
      </c>
      <c r="AW796">
        <f>IF(OR(AW$4="",$A796&gt;TODAY()),0,IF(OR(INDEX($B796:$D796,AW$5)="F",AND(AW$6&gt;0,$A796&lt;AW$6),AND(AW$7&gt;0,$A796&gt;AW$7)),0,MAX(0,ROUND((INDEX($E796:$G796,AW$5)-SUMIFS(TF_Timer,TF_Tekniker,AW$4,TF_Dato,$A796))*2,0)/2)))</f>
        <v/>
      </c>
      <c r="AX796">
        <f>IF(OR(AX$4="",$A796&gt;TODAY()),0,IF(OR(INDEX($B796:$D796,AX$5)="F",AND(AX$6&gt;0,$A796&lt;AX$6),AND(AX$7&gt;0,$A796&gt;AX$7)),0,MAX(0,ROUND((INDEX($E796:$G796,AX$5)-SUMIFS(TF_Timer,TF_Tekniker,AX$4,TF_Dato,$A796))*2,0)/2)))</f>
        <v/>
      </c>
      <c r="AY796">
        <f>IF(OR(AY$4="",$A796&gt;TODAY()),0,IF(OR(INDEX($B796:$D796,AY$5)="F",AND(AY$6&gt;0,$A796&lt;AY$6),AND(AY$7&gt;0,$A796&gt;AY$7)),0,MAX(0,ROUND((INDEX($E796:$G796,AY$5)-SUMIFS(TF_Timer,TF_Tekniker,AY$4,TF_Dato,$A796))*2,0)/2)))</f>
        <v/>
      </c>
      <c r="AZ796">
        <f>IF(OR(AZ$4="",$A796&gt;TODAY()),0,IF(OR(INDEX($B796:$D796,AZ$5)="F",AND(AZ$6&gt;0,$A796&lt;AZ$6),AND(AZ$7&gt;0,$A796&gt;AZ$7)),0,MAX(0,ROUND((INDEX($E796:$G796,AZ$5)-SUMIFS(TF_Timer,TF_Tekniker,AZ$4,TF_Dato,$A796))*2,0)/2)))</f>
        <v/>
      </c>
      <c r="BA796">
        <f>IF(OR(BA$4="",$A796&gt;TODAY()),0,IF(OR(INDEX($B796:$D796,BA$5)="F",AND(BA$6&gt;0,$A796&lt;BA$6),AND(BA$7&gt;0,$A796&gt;BA$7)),0,MAX(0,ROUND((INDEX($E796:$G796,BA$5)-SUMIFS(TF_Timer,TF_Tekniker,BA$4,TF_Dato,$A796))*2,0)/2)))</f>
        <v/>
      </c>
      <c r="BB796">
        <f>IF(OR(BB$4="",$A796&gt;TODAY()),0,IF(OR(INDEX($B796:$D796,BB$5)="F",AND(BB$6&gt;0,$A796&lt;BB$6),AND(BB$7&gt;0,$A796&gt;BB$7)),0,MAX(0,ROUND((INDEX($E796:$G796,BB$5)-SUMIFS(TF_Timer,TF_Tekniker,BB$4,TF_Dato,$A796))*2,0)/2)))</f>
        <v/>
      </c>
      <c r="BC796">
        <f>IF(OR(BC$4="",$A796&gt;TODAY()),0,IF(OR(INDEX($B796:$D796,BC$5)="F",AND(BC$6&gt;0,$A796&lt;BC$6),AND(BC$7&gt;0,$A796&gt;BC$7)),0,MAX(0,ROUND((INDEX($E796:$G796,BC$5)-SUMIFS(TF_Timer,TF_Tekniker,BC$4,TF_Dato,$A796))*2,0)/2)))</f>
        <v/>
      </c>
      <c r="BD796">
        <f>IF(OR(BD$4="",$A796&gt;TODAY()),0,IF(OR(INDEX($B796:$D796,BD$5)="F",AND(BD$6&gt;0,$A796&lt;BD$6),AND(BD$7&gt;0,$A796&gt;BD$7)),0,MAX(0,ROUND((INDEX($E796:$G796,BD$5)-SUMIFS(TF_Timer,TF_Tekniker,BD$4,TF_Dato,$A796))*2,0)/2)))</f>
        <v/>
      </c>
      <c r="BE796">
        <f>IF(OR(BE$4="",$A796&gt;TODAY()),0,IF(OR(INDEX($B796:$D796,BE$5)="F",AND(BE$6&gt;0,$A796&lt;BE$6),AND(BE$7&gt;0,$A796&gt;BE$7)),0,MAX(0,ROUND((INDEX($E796:$G796,BE$5)-SUMIFS(TF_Timer,TF_Tekniker,BE$4,TF_Dato,$A796))*2,0)/2)))</f>
        <v/>
      </c>
      <c r="BF796">
        <f>IF(OR(BF$4="",$A796&gt;TODAY()),0,IF(OR(INDEX($B796:$D796,BF$5)="F",AND(BF$6&gt;0,$A796&lt;BF$6),AND(BF$7&gt;0,$A796&gt;BF$7)),0,MAX(0,ROUND((INDEX($E796:$G796,BF$5)-SUMIFS(TF_Timer,TF_Tekniker,BF$4,TF_Dato,$A796))*2,0)/2)))</f>
        <v/>
      </c>
      <c r="BG796">
        <f>IF(OR(BG$4="",$A796&gt;TODAY()),0,IF(OR(INDEX($B796:$D796,BG$5)="F",AND(BG$6&gt;0,$A796&lt;BG$6),AND(BG$7&gt;0,$A796&gt;BG$7)),0,MAX(0,ROUND((INDEX($E796:$G796,BG$5)-SUMIFS(TF_Timer,TF_Tekniker,BG$4,TF_Dato,$A796))*2,0)/2)))</f>
        <v/>
      </c>
      <c r="BH796">
        <f>IF(OR(BH$4="",$A796&gt;TODAY()),0,IF(OR(INDEX($B796:$D796,BH$5)="F",AND(BH$6&gt;0,$A796&lt;BH$6),AND(BH$7&gt;0,$A796&gt;BH$7)),0,MAX(0,ROUND((INDEX($E796:$G796,BH$5)-SUMIFS(TF_Timer,TF_Tekniker,BH$4,TF_Dato,$A796))*2,0)/2)))</f>
        <v/>
      </c>
      <c r="BI796">
        <f>IF(OR(BI$4="",$A796&gt;TODAY()),0,IF(OR(INDEX($B796:$D796,BI$5)="F",AND(BI$6&gt;0,$A796&lt;BI$6),AND(BI$7&gt;0,$A796&gt;BI$7)),0,MAX(0,ROUND((INDEX($E796:$G796,BI$5)-SUMIFS(TF_Timer,TF_Tekniker,BI$4,TF_Dato,$A796))*2,0)/2)))</f>
        <v/>
      </c>
    </row>
    <row r="797">
      <c r="A797" s="64">
        <f>A796+1</f>
        <v/>
      </c>
      <c r="B797">
        <f>IF(MOD($A797-INDEX(SkiftStart,1),Syklus)&lt;DagK,"K",IF(MOD($A797-INDEX(SkiftStart,1),Syklus)&lt;DagK+DagH,"H",IF(MOD($A797-INDEX(SkiftStart,1),Syklus)&lt;DagK+DagH+DagD,"D","F")))</f>
        <v/>
      </c>
      <c r="C797">
        <f>IF(MOD($A797-INDEX(SkiftStart,2),Syklus)&lt;DagK,"K",IF(MOD($A797-INDEX(SkiftStart,2),Syklus)&lt;DagK+DagH,"H",IF(MOD($A797-INDEX(SkiftStart,2),Syklus)&lt;DagK+DagH+DagD,"D","F")))</f>
        <v/>
      </c>
      <c r="D797">
        <f>IF(MOD($A797-INDEX(SkiftStart,3),Syklus)&lt;DagK,"K",IF(MOD($A797-INDEX(SkiftStart,3),Syklus)&lt;DagK+DagH,"H",IF(MOD($A797-INDEX(SkiftStart,3),Syklus)&lt;DagK+DagH+DagD,"D","F")))</f>
        <v/>
      </c>
      <c r="E797">
        <f>IF(B797="F",0,IF(WEEKDAY($A797,2)=5,INDEX(TimerFr,MATCH(B797,FaseKode,0)),INDEX(TimerMT,MATCH(B797,FaseKode,0))))</f>
        <v/>
      </c>
      <c r="F797">
        <f>IF(C797="F",0,IF(WEEKDAY($A797,2)=5,INDEX(TimerFr,MATCH(C797,FaseKode,0)),INDEX(TimerMT,MATCH(C797,FaseKode,0))))</f>
        <v/>
      </c>
      <c r="G797">
        <f>IF(D797="F",0,IF(WEEKDAY($A797,2)=5,INDEX(TimerFr,MATCH(D797,FaseKode,0)),INDEX(TimerMT,MATCH(D797,FaseKode,0))))</f>
        <v/>
      </c>
      <c r="H797">
        <f>IF(OR(H$4="",$A797&gt;TODAY()),0,IF(OR(INDEX($B797:$D797,H$5)="F",AND(H$6&gt;0,$A797&lt;H$6),AND(H$7&gt;0,$A797&gt;H$7)),0,MAX(0,ROUND((INDEX($E797:$G797,H$5)-SUMIFS(TF_Timer,TF_Tekniker,H$4,TF_Dato,$A797))*2,0)/2)))</f>
        <v/>
      </c>
      <c r="I797">
        <f>IF(OR(I$4="",$A797&gt;TODAY()),0,IF(OR(INDEX($B797:$D797,I$5)="F",AND(I$6&gt;0,$A797&lt;I$6),AND(I$7&gt;0,$A797&gt;I$7)),0,MAX(0,ROUND((INDEX($E797:$G797,I$5)-SUMIFS(TF_Timer,TF_Tekniker,I$4,TF_Dato,$A797))*2,0)/2)))</f>
        <v/>
      </c>
      <c r="J797">
        <f>IF(OR(J$4="",$A797&gt;TODAY()),0,IF(OR(INDEX($B797:$D797,J$5)="F",AND(J$6&gt;0,$A797&lt;J$6),AND(J$7&gt;0,$A797&gt;J$7)),0,MAX(0,ROUND((INDEX($E797:$G797,J$5)-SUMIFS(TF_Timer,TF_Tekniker,J$4,TF_Dato,$A797))*2,0)/2)))</f>
        <v/>
      </c>
      <c r="K797">
        <f>IF(OR(K$4="",$A797&gt;TODAY()),0,IF(OR(INDEX($B797:$D797,K$5)="F",AND(K$6&gt;0,$A797&lt;K$6),AND(K$7&gt;0,$A797&gt;K$7)),0,MAX(0,ROUND((INDEX($E797:$G797,K$5)-SUMIFS(TF_Timer,TF_Tekniker,K$4,TF_Dato,$A797))*2,0)/2)))</f>
        <v/>
      </c>
      <c r="L797">
        <f>IF(OR(L$4="",$A797&gt;TODAY()),0,IF(OR(INDEX($B797:$D797,L$5)="F",AND(L$6&gt;0,$A797&lt;L$6),AND(L$7&gt;0,$A797&gt;L$7)),0,MAX(0,ROUND((INDEX($E797:$G797,L$5)-SUMIFS(TF_Timer,TF_Tekniker,L$4,TF_Dato,$A797))*2,0)/2)))</f>
        <v/>
      </c>
      <c r="M797">
        <f>IF(OR(M$4="",$A797&gt;TODAY()),0,IF(OR(INDEX($B797:$D797,M$5)="F",AND(M$6&gt;0,$A797&lt;M$6),AND(M$7&gt;0,$A797&gt;M$7)),0,MAX(0,ROUND((INDEX($E797:$G797,M$5)-SUMIFS(TF_Timer,TF_Tekniker,M$4,TF_Dato,$A797))*2,0)/2)))</f>
        <v/>
      </c>
      <c r="N797">
        <f>IF(OR(N$4="",$A797&gt;TODAY()),0,IF(OR(INDEX($B797:$D797,N$5)="F",AND(N$6&gt;0,$A797&lt;N$6),AND(N$7&gt;0,$A797&gt;N$7)),0,MAX(0,ROUND((INDEX($E797:$G797,N$5)-SUMIFS(TF_Timer,TF_Tekniker,N$4,TF_Dato,$A797))*2,0)/2)))</f>
        <v/>
      </c>
      <c r="O797">
        <f>IF(OR(O$4="",$A797&gt;TODAY()),0,IF(OR(INDEX($B797:$D797,O$5)="F",AND(O$6&gt;0,$A797&lt;O$6),AND(O$7&gt;0,$A797&gt;O$7)),0,MAX(0,ROUND((INDEX($E797:$G797,O$5)-SUMIFS(TF_Timer,TF_Tekniker,O$4,TF_Dato,$A797))*2,0)/2)))</f>
        <v/>
      </c>
      <c r="P797">
        <f>IF(OR(P$4="",$A797&gt;TODAY()),0,IF(OR(INDEX($B797:$D797,P$5)="F",AND(P$6&gt;0,$A797&lt;P$6),AND(P$7&gt;0,$A797&gt;P$7)),0,MAX(0,ROUND((INDEX($E797:$G797,P$5)-SUMIFS(TF_Timer,TF_Tekniker,P$4,TF_Dato,$A797))*2,0)/2)))</f>
        <v/>
      </c>
      <c r="Q797">
        <f>IF(OR(Q$4="",$A797&gt;TODAY()),0,IF(OR(INDEX($B797:$D797,Q$5)="F",AND(Q$6&gt;0,$A797&lt;Q$6),AND(Q$7&gt;0,$A797&gt;Q$7)),0,MAX(0,ROUND((INDEX($E797:$G797,Q$5)-SUMIFS(TF_Timer,TF_Tekniker,Q$4,TF_Dato,$A797))*2,0)/2)))</f>
        <v/>
      </c>
      <c r="R797">
        <f>IF(OR(R$4="",$A797&gt;TODAY()),0,IF(OR(INDEX($B797:$D797,R$5)="F",AND(R$6&gt;0,$A797&lt;R$6),AND(R$7&gt;0,$A797&gt;R$7)),0,MAX(0,ROUND((INDEX($E797:$G797,R$5)-SUMIFS(TF_Timer,TF_Tekniker,R$4,TF_Dato,$A797))*2,0)/2)))</f>
        <v/>
      </c>
      <c r="S797">
        <f>IF(OR(S$4="",$A797&gt;TODAY()),0,IF(OR(INDEX($B797:$D797,S$5)="F",AND(S$6&gt;0,$A797&lt;S$6),AND(S$7&gt;0,$A797&gt;S$7)),0,MAX(0,ROUND((INDEX($E797:$G797,S$5)-SUMIFS(TF_Timer,TF_Tekniker,S$4,TF_Dato,$A797))*2,0)/2)))</f>
        <v/>
      </c>
      <c r="T797">
        <f>IF(OR(T$4="",$A797&gt;TODAY()),0,IF(OR(INDEX($B797:$D797,T$5)="F",AND(T$6&gt;0,$A797&lt;T$6),AND(T$7&gt;0,$A797&gt;T$7)),0,MAX(0,ROUND((INDEX($E797:$G797,T$5)-SUMIFS(TF_Timer,TF_Tekniker,T$4,TF_Dato,$A797))*2,0)/2)))</f>
        <v/>
      </c>
      <c r="U797">
        <f>IF(OR(U$4="",$A797&gt;TODAY()),0,IF(OR(INDEX($B797:$D797,U$5)="F",AND(U$6&gt;0,$A797&lt;U$6),AND(U$7&gt;0,$A797&gt;U$7)),0,MAX(0,ROUND((INDEX($E797:$G797,U$5)-SUMIFS(TF_Timer,TF_Tekniker,U$4,TF_Dato,$A797))*2,0)/2)))</f>
        <v/>
      </c>
      <c r="V797">
        <f>IF(OR(V$4="",$A797&gt;TODAY()),0,IF(OR(INDEX($B797:$D797,V$5)="F",AND(V$6&gt;0,$A797&lt;V$6),AND(V$7&gt;0,$A797&gt;V$7)),0,MAX(0,ROUND((INDEX($E797:$G797,V$5)-SUMIFS(TF_Timer,TF_Tekniker,V$4,TF_Dato,$A797))*2,0)/2)))</f>
        <v/>
      </c>
      <c r="W797">
        <f>IF(OR(W$4="",$A797&gt;TODAY()),0,IF(OR(INDEX($B797:$D797,W$5)="F",AND(W$6&gt;0,$A797&lt;W$6),AND(W$7&gt;0,$A797&gt;W$7)),0,MAX(0,ROUND((INDEX($E797:$G797,W$5)-SUMIFS(TF_Timer,TF_Tekniker,W$4,TF_Dato,$A797))*2,0)/2)))</f>
        <v/>
      </c>
      <c r="X797">
        <f>IF(OR(X$4="",$A797&gt;TODAY()),0,IF(OR(INDEX($B797:$D797,X$5)="F",AND(X$6&gt;0,$A797&lt;X$6),AND(X$7&gt;0,$A797&gt;X$7)),0,MAX(0,ROUND((INDEX($E797:$G797,X$5)-SUMIFS(TF_Timer,TF_Tekniker,X$4,TF_Dato,$A797))*2,0)/2)))</f>
        <v/>
      </c>
      <c r="Y797">
        <f>IF(OR(Y$4="",$A797&gt;TODAY()),0,IF(OR(INDEX($B797:$D797,Y$5)="F",AND(Y$6&gt;0,$A797&lt;Y$6),AND(Y$7&gt;0,$A797&gt;Y$7)),0,MAX(0,ROUND((INDEX($E797:$G797,Y$5)-SUMIFS(TF_Timer,TF_Tekniker,Y$4,TF_Dato,$A797))*2,0)/2)))</f>
        <v/>
      </c>
      <c r="Z797">
        <f>IF(OR(Z$4="",$A797&gt;TODAY()),0,IF(OR(INDEX($B797:$D797,Z$5)="F",AND(Z$6&gt;0,$A797&lt;Z$6),AND(Z$7&gt;0,$A797&gt;Z$7)),0,MAX(0,ROUND((INDEX($E797:$G797,Z$5)-SUMIFS(TF_Timer,TF_Tekniker,Z$4,TF_Dato,$A797))*2,0)/2)))</f>
        <v/>
      </c>
      <c r="AA797">
        <f>IF(OR(AA$4="",$A797&gt;TODAY()),0,IF(OR(INDEX($B797:$D797,AA$5)="F",AND(AA$6&gt;0,$A797&lt;AA$6),AND(AA$7&gt;0,$A797&gt;AA$7)),0,MAX(0,ROUND((INDEX($E797:$G797,AA$5)-SUMIFS(TF_Timer,TF_Tekniker,AA$4,TF_Dato,$A797))*2,0)/2)))</f>
        <v/>
      </c>
      <c r="AB797">
        <f>IF(OR(AB$4="",$A797&gt;TODAY()),0,IF(OR(INDEX($B797:$D797,AB$5)="F",AND(AB$6&gt;0,$A797&lt;AB$6),AND(AB$7&gt;0,$A797&gt;AB$7)),0,MAX(0,ROUND((INDEX($E797:$G797,AB$5)-SUMIFS(TF_Timer,TF_Tekniker,AB$4,TF_Dato,$A797))*2,0)/2)))</f>
        <v/>
      </c>
      <c r="AC797">
        <f>IF(OR(AC$4="",$A797&gt;TODAY()),0,IF(OR(INDEX($B797:$D797,AC$5)="F",AND(AC$6&gt;0,$A797&lt;AC$6),AND(AC$7&gt;0,$A797&gt;AC$7)),0,MAX(0,ROUND((INDEX($E797:$G797,AC$5)-SUMIFS(TF_Timer,TF_Tekniker,AC$4,TF_Dato,$A797))*2,0)/2)))</f>
        <v/>
      </c>
      <c r="AD797">
        <f>IF(OR(AD$4="",$A797&gt;TODAY()),0,IF(OR(INDEX($B797:$D797,AD$5)="F",AND(AD$6&gt;0,$A797&lt;AD$6),AND(AD$7&gt;0,$A797&gt;AD$7)),0,MAX(0,ROUND((INDEX($E797:$G797,AD$5)-SUMIFS(TF_Timer,TF_Tekniker,AD$4,TF_Dato,$A797))*2,0)/2)))</f>
        <v/>
      </c>
      <c r="AE797">
        <f>IF(OR(AE$4="",$A797&gt;TODAY()),0,IF(OR(INDEX($B797:$D797,AE$5)="F",AND(AE$6&gt;0,$A797&lt;AE$6),AND(AE$7&gt;0,$A797&gt;AE$7)),0,MAX(0,ROUND((INDEX($E797:$G797,AE$5)-SUMIFS(TF_Timer,TF_Tekniker,AE$4,TF_Dato,$A797))*2,0)/2)))</f>
        <v/>
      </c>
      <c r="AF797">
        <f>IF(OR(AF$4="",$A797&gt;TODAY()),0,IF(OR(INDEX($B797:$D797,AF$5)="F",AND(AF$6&gt;0,$A797&lt;AF$6),AND(AF$7&gt;0,$A797&gt;AF$7)),0,MAX(0,ROUND((INDEX($E797:$G797,AF$5)-SUMIFS(TF_Timer,TF_Tekniker,AF$4,TF_Dato,$A797))*2,0)/2)))</f>
        <v/>
      </c>
      <c r="AG797">
        <f>IF(OR(AG$4="",$A797&gt;TODAY()),0,IF(OR(INDEX($B797:$D797,AG$5)="F",AND(AG$6&gt;0,$A797&lt;AG$6),AND(AG$7&gt;0,$A797&gt;AG$7)),0,MAX(0,ROUND((INDEX($E797:$G797,AG$5)-SUMIFS(TF_Timer,TF_Tekniker,AG$4,TF_Dato,$A797))*2,0)/2)))</f>
        <v/>
      </c>
      <c r="AH797">
        <f>IF(OR(AH$4="",$A797&gt;TODAY()),0,IF(OR(INDEX($B797:$D797,AH$5)="F",AND(AH$6&gt;0,$A797&lt;AH$6),AND(AH$7&gt;0,$A797&gt;AH$7)),0,MAX(0,ROUND((INDEX($E797:$G797,AH$5)-SUMIFS(TF_Timer,TF_Tekniker,AH$4,TF_Dato,$A797))*2,0)/2)))</f>
        <v/>
      </c>
      <c r="AI797">
        <f>IF(OR(AI$4="",$A797&gt;TODAY()),0,IF(OR(INDEX($B797:$D797,AI$5)="F",AND(AI$6&gt;0,$A797&lt;AI$6),AND(AI$7&gt;0,$A797&gt;AI$7)),0,MAX(0,ROUND((INDEX($E797:$G797,AI$5)-SUMIFS(TF_Timer,TF_Tekniker,AI$4,TF_Dato,$A797))*2,0)/2)))</f>
        <v/>
      </c>
      <c r="AJ797">
        <f>IF(OR(AJ$4="",$A797&gt;TODAY()),0,IF(OR(INDEX($B797:$D797,AJ$5)="F",AND(AJ$6&gt;0,$A797&lt;AJ$6),AND(AJ$7&gt;0,$A797&gt;AJ$7)),0,MAX(0,ROUND((INDEX($E797:$G797,AJ$5)-SUMIFS(TF_Timer,TF_Tekniker,AJ$4,TF_Dato,$A797))*2,0)/2)))</f>
        <v/>
      </c>
      <c r="AK797">
        <f>IF(OR(AK$4="",$A797&gt;TODAY()),0,IF(OR(INDEX($B797:$D797,AK$5)="F",AND(AK$6&gt;0,$A797&lt;AK$6),AND(AK$7&gt;0,$A797&gt;AK$7)),0,MAX(0,ROUND((INDEX($E797:$G797,AK$5)-SUMIFS(TF_Timer,TF_Tekniker,AK$4,TF_Dato,$A797))*2,0)/2)))</f>
        <v/>
      </c>
      <c r="AL797">
        <f>IF(OR(AL$4="",$A797&gt;TODAY()),0,IF(OR(INDEX($B797:$D797,AL$5)="F",AND(AL$6&gt;0,$A797&lt;AL$6),AND(AL$7&gt;0,$A797&gt;AL$7)),0,MAX(0,ROUND((INDEX($E797:$G797,AL$5)-SUMIFS(TF_Timer,TF_Tekniker,AL$4,TF_Dato,$A797))*2,0)/2)))</f>
        <v/>
      </c>
      <c r="AM797">
        <f>IF(OR(AM$4="",$A797&gt;TODAY()),0,IF(OR(INDEX($B797:$D797,AM$5)="F",AND(AM$6&gt;0,$A797&lt;AM$6),AND(AM$7&gt;0,$A797&gt;AM$7)),0,MAX(0,ROUND((INDEX($E797:$G797,AM$5)-SUMIFS(TF_Timer,TF_Tekniker,AM$4,TF_Dato,$A797))*2,0)/2)))</f>
        <v/>
      </c>
      <c r="AN797">
        <f>IF(OR(AN$4="",$A797&gt;TODAY()),0,IF(OR(INDEX($B797:$D797,AN$5)="F",AND(AN$6&gt;0,$A797&lt;AN$6),AND(AN$7&gt;0,$A797&gt;AN$7)),0,MAX(0,ROUND((INDEX($E797:$G797,AN$5)-SUMIFS(TF_Timer,TF_Tekniker,AN$4,TF_Dato,$A797))*2,0)/2)))</f>
        <v/>
      </c>
      <c r="AO797">
        <f>IF(OR(AO$4="",$A797&gt;TODAY()),0,IF(OR(INDEX($B797:$D797,AO$5)="F",AND(AO$6&gt;0,$A797&lt;AO$6),AND(AO$7&gt;0,$A797&gt;AO$7)),0,MAX(0,ROUND((INDEX($E797:$G797,AO$5)-SUMIFS(TF_Timer,TF_Tekniker,AO$4,TF_Dato,$A797))*2,0)/2)))</f>
        <v/>
      </c>
      <c r="AP797">
        <f>IF(OR(AP$4="",$A797&gt;TODAY()),0,IF(OR(INDEX($B797:$D797,AP$5)="F",AND(AP$6&gt;0,$A797&lt;AP$6),AND(AP$7&gt;0,$A797&gt;AP$7)),0,MAX(0,ROUND((INDEX($E797:$G797,AP$5)-SUMIFS(TF_Timer,TF_Tekniker,AP$4,TF_Dato,$A797))*2,0)/2)))</f>
        <v/>
      </c>
      <c r="AQ797">
        <f>IF(OR(AQ$4="",$A797&gt;TODAY()),0,IF(OR(INDEX($B797:$D797,AQ$5)="F",AND(AQ$6&gt;0,$A797&lt;AQ$6),AND(AQ$7&gt;0,$A797&gt;AQ$7)),0,MAX(0,ROUND((INDEX($E797:$G797,AQ$5)-SUMIFS(TF_Timer,TF_Tekniker,AQ$4,TF_Dato,$A797))*2,0)/2)))</f>
        <v/>
      </c>
      <c r="AR797">
        <f>IF(OR(AR$4="",$A797&gt;TODAY()),0,IF(OR(INDEX($B797:$D797,AR$5)="F",AND(AR$6&gt;0,$A797&lt;AR$6),AND(AR$7&gt;0,$A797&gt;AR$7)),0,MAX(0,ROUND((INDEX($E797:$G797,AR$5)-SUMIFS(TF_Timer,TF_Tekniker,AR$4,TF_Dato,$A797))*2,0)/2)))</f>
        <v/>
      </c>
      <c r="AS797">
        <f>IF(OR(AS$4="",$A797&gt;TODAY()),0,IF(OR(INDEX($B797:$D797,AS$5)="F",AND(AS$6&gt;0,$A797&lt;AS$6),AND(AS$7&gt;0,$A797&gt;AS$7)),0,MAX(0,ROUND((INDEX($E797:$G797,AS$5)-SUMIFS(TF_Timer,TF_Tekniker,AS$4,TF_Dato,$A797))*2,0)/2)))</f>
        <v/>
      </c>
      <c r="AT797">
        <f>IF(OR(AT$4="",$A797&gt;TODAY()),0,IF(OR(INDEX($B797:$D797,AT$5)="F",AND(AT$6&gt;0,$A797&lt;AT$6),AND(AT$7&gt;0,$A797&gt;AT$7)),0,MAX(0,ROUND((INDEX($E797:$G797,AT$5)-SUMIFS(TF_Timer,TF_Tekniker,AT$4,TF_Dato,$A797))*2,0)/2)))</f>
        <v/>
      </c>
      <c r="AU797">
        <f>IF(OR(AU$4="",$A797&gt;TODAY()),0,IF(OR(INDEX($B797:$D797,AU$5)="F",AND(AU$6&gt;0,$A797&lt;AU$6),AND(AU$7&gt;0,$A797&gt;AU$7)),0,MAX(0,ROUND((INDEX($E797:$G797,AU$5)-SUMIFS(TF_Timer,TF_Tekniker,AU$4,TF_Dato,$A797))*2,0)/2)))</f>
        <v/>
      </c>
      <c r="AV797">
        <f>IF(OR(AV$4="",$A797&gt;TODAY()),0,IF(OR(INDEX($B797:$D797,AV$5)="F",AND(AV$6&gt;0,$A797&lt;AV$6),AND(AV$7&gt;0,$A797&gt;AV$7)),0,MAX(0,ROUND((INDEX($E797:$G797,AV$5)-SUMIFS(TF_Timer,TF_Tekniker,AV$4,TF_Dato,$A797))*2,0)/2)))</f>
        <v/>
      </c>
      <c r="AW797">
        <f>IF(OR(AW$4="",$A797&gt;TODAY()),0,IF(OR(INDEX($B797:$D797,AW$5)="F",AND(AW$6&gt;0,$A797&lt;AW$6),AND(AW$7&gt;0,$A797&gt;AW$7)),0,MAX(0,ROUND((INDEX($E797:$G797,AW$5)-SUMIFS(TF_Timer,TF_Tekniker,AW$4,TF_Dato,$A797))*2,0)/2)))</f>
        <v/>
      </c>
      <c r="AX797">
        <f>IF(OR(AX$4="",$A797&gt;TODAY()),0,IF(OR(INDEX($B797:$D797,AX$5)="F",AND(AX$6&gt;0,$A797&lt;AX$6),AND(AX$7&gt;0,$A797&gt;AX$7)),0,MAX(0,ROUND((INDEX($E797:$G797,AX$5)-SUMIFS(TF_Timer,TF_Tekniker,AX$4,TF_Dato,$A797))*2,0)/2)))</f>
        <v/>
      </c>
      <c r="AY797">
        <f>IF(OR(AY$4="",$A797&gt;TODAY()),0,IF(OR(INDEX($B797:$D797,AY$5)="F",AND(AY$6&gt;0,$A797&lt;AY$6),AND(AY$7&gt;0,$A797&gt;AY$7)),0,MAX(0,ROUND((INDEX($E797:$G797,AY$5)-SUMIFS(TF_Timer,TF_Tekniker,AY$4,TF_Dato,$A797))*2,0)/2)))</f>
        <v/>
      </c>
      <c r="AZ797">
        <f>IF(OR(AZ$4="",$A797&gt;TODAY()),0,IF(OR(INDEX($B797:$D797,AZ$5)="F",AND(AZ$6&gt;0,$A797&lt;AZ$6),AND(AZ$7&gt;0,$A797&gt;AZ$7)),0,MAX(0,ROUND((INDEX($E797:$G797,AZ$5)-SUMIFS(TF_Timer,TF_Tekniker,AZ$4,TF_Dato,$A797))*2,0)/2)))</f>
        <v/>
      </c>
      <c r="BA797">
        <f>IF(OR(BA$4="",$A797&gt;TODAY()),0,IF(OR(INDEX($B797:$D797,BA$5)="F",AND(BA$6&gt;0,$A797&lt;BA$6),AND(BA$7&gt;0,$A797&gt;BA$7)),0,MAX(0,ROUND((INDEX($E797:$G797,BA$5)-SUMIFS(TF_Timer,TF_Tekniker,BA$4,TF_Dato,$A797))*2,0)/2)))</f>
        <v/>
      </c>
      <c r="BB797">
        <f>IF(OR(BB$4="",$A797&gt;TODAY()),0,IF(OR(INDEX($B797:$D797,BB$5)="F",AND(BB$6&gt;0,$A797&lt;BB$6),AND(BB$7&gt;0,$A797&gt;BB$7)),0,MAX(0,ROUND((INDEX($E797:$G797,BB$5)-SUMIFS(TF_Timer,TF_Tekniker,BB$4,TF_Dato,$A797))*2,0)/2)))</f>
        <v/>
      </c>
      <c r="BC797">
        <f>IF(OR(BC$4="",$A797&gt;TODAY()),0,IF(OR(INDEX($B797:$D797,BC$5)="F",AND(BC$6&gt;0,$A797&lt;BC$6),AND(BC$7&gt;0,$A797&gt;BC$7)),0,MAX(0,ROUND((INDEX($E797:$G797,BC$5)-SUMIFS(TF_Timer,TF_Tekniker,BC$4,TF_Dato,$A797))*2,0)/2)))</f>
        <v/>
      </c>
      <c r="BD797">
        <f>IF(OR(BD$4="",$A797&gt;TODAY()),0,IF(OR(INDEX($B797:$D797,BD$5)="F",AND(BD$6&gt;0,$A797&lt;BD$6),AND(BD$7&gt;0,$A797&gt;BD$7)),0,MAX(0,ROUND((INDEX($E797:$G797,BD$5)-SUMIFS(TF_Timer,TF_Tekniker,BD$4,TF_Dato,$A797))*2,0)/2)))</f>
        <v/>
      </c>
      <c r="BE797">
        <f>IF(OR(BE$4="",$A797&gt;TODAY()),0,IF(OR(INDEX($B797:$D797,BE$5)="F",AND(BE$6&gt;0,$A797&lt;BE$6),AND(BE$7&gt;0,$A797&gt;BE$7)),0,MAX(0,ROUND((INDEX($E797:$G797,BE$5)-SUMIFS(TF_Timer,TF_Tekniker,BE$4,TF_Dato,$A797))*2,0)/2)))</f>
        <v/>
      </c>
      <c r="BF797">
        <f>IF(OR(BF$4="",$A797&gt;TODAY()),0,IF(OR(INDEX($B797:$D797,BF$5)="F",AND(BF$6&gt;0,$A797&lt;BF$6),AND(BF$7&gt;0,$A797&gt;BF$7)),0,MAX(0,ROUND((INDEX($E797:$G797,BF$5)-SUMIFS(TF_Timer,TF_Tekniker,BF$4,TF_Dato,$A797))*2,0)/2)))</f>
        <v/>
      </c>
      <c r="BG797">
        <f>IF(OR(BG$4="",$A797&gt;TODAY()),0,IF(OR(INDEX($B797:$D797,BG$5)="F",AND(BG$6&gt;0,$A797&lt;BG$6),AND(BG$7&gt;0,$A797&gt;BG$7)),0,MAX(0,ROUND((INDEX($E797:$G797,BG$5)-SUMIFS(TF_Timer,TF_Tekniker,BG$4,TF_Dato,$A797))*2,0)/2)))</f>
        <v/>
      </c>
      <c r="BH797">
        <f>IF(OR(BH$4="",$A797&gt;TODAY()),0,IF(OR(INDEX($B797:$D797,BH$5)="F",AND(BH$6&gt;0,$A797&lt;BH$6),AND(BH$7&gt;0,$A797&gt;BH$7)),0,MAX(0,ROUND((INDEX($E797:$G797,BH$5)-SUMIFS(TF_Timer,TF_Tekniker,BH$4,TF_Dato,$A797))*2,0)/2)))</f>
        <v/>
      </c>
      <c r="BI797">
        <f>IF(OR(BI$4="",$A797&gt;TODAY()),0,IF(OR(INDEX($B797:$D797,BI$5)="F",AND(BI$6&gt;0,$A797&lt;BI$6),AND(BI$7&gt;0,$A797&gt;BI$7)),0,MAX(0,ROUND((INDEX($E797:$G797,BI$5)-SUMIFS(TF_Timer,TF_Tekniker,BI$4,TF_Dato,$A797))*2,0)/2)))</f>
        <v/>
      </c>
    </row>
    <row r="798">
      <c r="A798" s="64">
        <f>A797+1</f>
        <v/>
      </c>
      <c r="B798">
        <f>IF(MOD($A798-INDEX(SkiftStart,1),Syklus)&lt;DagK,"K",IF(MOD($A798-INDEX(SkiftStart,1),Syklus)&lt;DagK+DagH,"H",IF(MOD($A798-INDEX(SkiftStart,1),Syklus)&lt;DagK+DagH+DagD,"D","F")))</f>
        <v/>
      </c>
      <c r="C798">
        <f>IF(MOD($A798-INDEX(SkiftStart,2),Syklus)&lt;DagK,"K",IF(MOD($A798-INDEX(SkiftStart,2),Syklus)&lt;DagK+DagH,"H",IF(MOD($A798-INDEX(SkiftStart,2),Syklus)&lt;DagK+DagH+DagD,"D","F")))</f>
        <v/>
      </c>
      <c r="D798">
        <f>IF(MOD($A798-INDEX(SkiftStart,3),Syklus)&lt;DagK,"K",IF(MOD($A798-INDEX(SkiftStart,3),Syklus)&lt;DagK+DagH,"H",IF(MOD($A798-INDEX(SkiftStart,3),Syklus)&lt;DagK+DagH+DagD,"D","F")))</f>
        <v/>
      </c>
      <c r="E798">
        <f>IF(B798="F",0,IF(WEEKDAY($A798,2)=5,INDEX(TimerFr,MATCH(B798,FaseKode,0)),INDEX(TimerMT,MATCH(B798,FaseKode,0))))</f>
        <v/>
      </c>
      <c r="F798">
        <f>IF(C798="F",0,IF(WEEKDAY($A798,2)=5,INDEX(TimerFr,MATCH(C798,FaseKode,0)),INDEX(TimerMT,MATCH(C798,FaseKode,0))))</f>
        <v/>
      </c>
      <c r="G798">
        <f>IF(D798="F",0,IF(WEEKDAY($A798,2)=5,INDEX(TimerFr,MATCH(D798,FaseKode,0)),INDEX(TimerMT,MATCH(D798,FaseKode,0))))</f>
        <v/>
      </c>
      <c r="H798">
        <f>IF(OR(H$4="",$A798&gt;TODAY()),0,IF(OR(INDEX($B798:$D798,H$5)="F",AND(H$6&gt;0,$A798&lt;H$6),AND(H$7&gt;0,$A798&gt;H$7)),0,MAX(0,ROUND((INDEX($E798:$G798,H$5)-SUMIFS(TF_Timer,TF_Tekniker,H$4,TF_Dato,$A798))*2,0)/2)))</f>
        <v/>
      </c>
      <c r="I798">
        <f>IF(OR(I$4="",$A798&gt;TODAY()),0,IF(OR(INDEX($B798:$D798,I$5)="F",AND(I$6&gt;0,$A798&lt;I$6),AND(I$7&gt;0,$A798&gt;I$7)),0,MAX(0,ROUND((INDEX($E798:$G798,I$5)-SUMIFS(TF_Timer,TF_Tekniker,I$4,TF_Dato,$A798))*2,0)/2)))</f>
        <v/>
      </c>
      <c r="J798">
        <f>IF(OR(J$4="",$A798&gt;TODAY()),0,IF(OR(INDEX($B798:$D798,J$5)="F",AND(J$6&gt;0,$A798&lt;J$6),AND(J$7&gt;0,$A798&gt;J$7)),0,MAX(0,ROUND((INDEX($E798:$G798,J$5)-SUMIFS(TF_Timer,TF_Tekniker,J$4,TF_Dato,$A798))*2,0)/2)))</f>
        <v/>
      </c>
      <c r="K798">
        <f>IF(OR(K$4="",$A798&gt;TODAY()),0,IF(OR(INDEX($B798:$D798,K$5)="F",AND(K$6&gt;0,$A798&lt;K$6),AND(K$7&gt;0,$A798&gt;K$7)),0,MAX(0,ROUND((INDEX($E798:$G798,K$5)-SUMIFS(TF_Timer,TF_Tekniker,K$4,TF_Dato,$A798))*2,0)/2)))</f>
        <v/>
      </c>
      <c r="L798">
        <f>IF(OR(L$4="",$A798&gt;TODAY()),0,IF(OR(INDEX($B798:$D798,L$5)="F",AND(L$6&gt;0,$A798&lt;L$6),AND(L$7&gt;0,$A798&gt;L$7)),0,MAX(0,ROUND((INDEX($E798:$G798,L$5)-SUMIFS(TF_Timer,TF_Tekniker,L$4,TF_Dato,$A798))*2,0)/2)))</f>
        <v/>
      </c>
      <c r="M798">
        <f>IF(OR(M$4="",$A798&gt;TODAY()),0,IF(OR(INDEX($B798:$D798,M$5)="F",AND(M$6&gt;0,$A798&lt;M$6),AND(M$7&gt;0,$A798&gt;M$7)),0,MAX(0,ROUND((INDEX($E798:$G798,M$5)-SUMIFS(TF_Timer,TF_Tekniker,M$4,TF_Dato,$A798))*2,0)/2)))</f>
        <v/>
      </c>
      <c r="N798">
        <f>IF(OR(N$4="",$A798&gt;TODAY()),0,IF(OR(INDEX($B798:$D798,N$5)="F",AND(N$6&gt;0,$A798&lt;N$6),AND(N$7&gt;0,$A798&gt;N$7)),0,MAX(0,ROUND((INDEX($E798:$G798,N$5)-SUMIFS(TF_Timer,TF_Tekniker,N$4,TF_Dato,$A798))*2,0)/2)))</f>
        <v/>
      </c>
      <c r="O798">
        <f>IF(OR(O$4="",$A798&gt;TODAY()),0,IF(OR(INDEX($B798:$D798,O$5)="F",AND(O$6&gt;0,$A798&lt;O$6),AND(O$7&gt;0,$A798&gt;O$7)),0,MAX(0,ROUND((INDEX($E798:$G798,O$5)-SUMIFS(TF_Timer,TF_Tekniker,O$4,TF_Dato,$A798))*2,0)/2)))</f>
        <v/>
      </c>
      <c r="P798">
        <f>IF(OR(P$4="",$A798&gt;TODAY()),0,IF(OR(INDEX($B798:$D798,P$5)="F",AND(P$6&gt;0,$A798&lt;P$6),AND(P$7&gt;0,$A798&gt;P$7)),0,MAX(0,ROUND((INDEX($E798:$G798,P$5)-SUMIFS(TF_Timer,TF_Tekniker,P$4,TF_Dato,$A798))*2,0)/2)))</f>
        <v/>
      </c>
      <c r="Q798">
        <f>IF(OR(Q$4="",$A798&gt;TODAY()),0,IF(OR(INDEX($B798:$D798,Q$5)="F",AND(Q$6&gt;0,$A798&lt;Q$6),AND(Q$7&gt;0,$A798&gt;Q$7)),0,MAX(0,ROUND((INDEX($E798:$G798,Q$5)-SUMIFS(TF_Timer,TF_Tekniker,Q$4,TF_Dato,$A798))*2,0)/2)))</f>
        <v/>
      </c>
      <c r="R798">
        <f>IF(OR(R$4="",$A798&gt;TODAY()),0,IF(OR(INDEX($B798:$D798,R$5)="F",AND(R$6&gt;0,$A798&lt;R$6),AND(R$7&gt;0,$A798&gt;R$7)),0,MAX(0,ROUND((INDEX($E798:$G798,R$5)-SUMIFS(TF_Timer,TF_Tekniker,R$4,TF_Dato,$A798))*2,0)/2)))</f>
        <v/>
      </c>
      <c r="S798">
        <f>IF(OR(S$4="",$A798&gt;TODAY()),0,IF(OR(INDEX($B798:$D798,S$5)="F",AND(S$6&gt;0,$A798&lt;S$6),AND(S$7&gt;0,$A798&gt;S$7)),0,MAX(0,ROUND((INDEX($E798:$G798,S$5)-SUMIFS(TF_Timer,TF_Tekniker,S$4,TF_Dato,$A798))*2,0)/2)))</f>
        <v/>
      </c>
      <c r="T798">
        <f>IF(OR(T$4="",$A798&gt;TODAY()),0,IF(OR(INDEX($B798:$D798,T$5)="F",AND(T$6&gt;0,$A798&lt;T$6),AND(T$7&gt;0,$A798&gt;T$7)),0,MAX(0,ROUND((INDEX($E798:$G798,T$5)-SUMIFS(TF_Timer,TF_Tekniker,T$4,TF_Dato,$A798))*2,0)/2)))</f>
        <v/>
      </c>
      <c r="U798">
        <f>IF(OR(U$4="",$A798&gt;TODAY()),0,IF(OR(INDEX($B798:$D798,U$5)="F",AND(U$6&gt;0,$A798&lt;U$6),AND(U$7&gt;0,$A798&gt;U$7)),0,MAX(0,ROUND((INDEX($E798:$G798,U$5)-SUMIFS(TF_Timer,TF_Tekniker,U$4,TF_Dato,$A798))*2,0)/2)))</f>
        <v/>
      </c>
      <c r="V798">
        <f>IF(OR(V$4="",$A798&gt;TODAY()),0,IF(OR(INDEX($B798:$D798,V$5)="F",AND(V$6&gt;0,$A798&lt;V$6),AND(V$7&gt;0,$A798&gt;V$7)),0,MAX(0,ROUND((INDEX($E798:$G798,V$5)-SUMIFS(TF_Timer,TF_Tekniker,V$4,TF_Dato,$A798))*2,0)/2)))</f>
        <v/>
      </c>
      <c r="W798">
        <f>IF(OR(W$4="",$A798&gt;TODAY()),0,IF(OR(INDEX($B798:$D798,W$5)="F",AND(W$6&gt;0,$A798&lt;W$6),AND(W$7&gt;0,$A798&gt;W$7)),0,MAX(0,ROUND((INDEX($E798:$G798,W$5)-SUMIFS(TF_Timer,TF_Tekniker,W$4,TF_Dato,$A798))*2,0)/2)))</f>
        <v/>
      </c>
      <c r="X798">
        <f>IF(OR(X$4="",$A798&gt;TODAY()),0,IF(OR(INDEX($B798:$D798,X$5)="F",AND(X$6&gt;0,$A798&lt;X$6),AND(X$7&gt;0,$A798&gt;X$7)),0,MAX(0,ROUND((INDEX($E798:$G798,X$5)-SUMIFS(TF_Timer,TF_Tekniker,X$4,TF_Dato,$A798))*2,0)/2)))</f>
        <v/>
      </c>
      <c r="Y798">
        <f>IF(OR(Y$4="",$A798&gt;TODAY()),0,IF(OR(INDEX($B798:$D798,Y$5)="F",AND(Y$6&gt;0,$A798&lt;Y$6),AND(Y$7&gt;0,$A798&gt;Y$7)),0,MAX(0,ROUND((INDEX($E798:$G798,Y$5)-SUMIFS(TF_Timer,TF_Tekniker,Y$4,TF_Dato,$A798))*2,0)/2)))</f>
        <v/>
      </c>
      <c r="Z798">
        <f>IF(OR(Z$4="",$A798&gt;TODAY()),0,IF(OR(INDEX($B798:$D798,Z$5)="F",AND(Z$6&gt;0,$A798&lt;Z$6),AND(Z$7&gt;0,$A798&gt;Z$7)),0,MAX(0,ROUND((INDEX($E798:$G798,Z$5)-SUMIFS(TF_Timer,TF_Tekniker,Z$4,TF_Dato,$A798))*2,0)/2)))</f>
        <v/>
      </c>
      <c r="AA798">
        <f>IF(OR(AA$4="",$A798&gt;TODAY()),0,IF(OR(INDEX($B798:$D798,AA$5)="F",AND(AA$6&gt;0,$A798&lt;AA$6),AND(AA$7&gt;0,$A798&gt;AA$7)),0,MAX(0,ROUND((INDEX($E798:$G798,AA$5)-SUMIFS(TF_Timer,TF_Tekniker,AA$4,TF_Dato,$A798))*2,0)/2)))</f>
        <v/>
      </c>
      <c r="AB798">
        <f>IF(OR(AB$4="",$A798&gt;TODAY()),0,IF(OR(INDEX($B798:$D798,AB$5)="F",AND(AB$6&gt;0,$A798&lt;AB$6),AND(AB$7&gt;0,$A798&gt;AB$7)),0,MAX(0,ROUND((INDEX($E798:$G798,AB$5)-SUMIFS(TF_Timer,TF_Tekniker,AB$4,TF_Dato,$A798))*2,0)/2)))</f>
        <v/>
      </c>
      <c r="AC798">
        <f>IF(OR(AC$4="",$A798&gt;TODAY()),0,IF(OR(INDEX($B798:$D798,AC$5)="F",AND(AC$6&gt;0,$A798&lt;AC$6),AND(AC$7&gt;0,$A798&gt;AC$7)),0,MAX(0,ROUND((INDEX($E798:$G798,AC$5)-SUMIFS(TF_Timer,TF_Tekniker,AC$4,TF_Dato,$A798))*2,0)/2)))</f>
        <v/>
      </c>
      <c r="AD798">
        <f>IF(OR(AD$4="",$A798&gt;TODAY()),0,IF(OR(INDEX($B798:$D798,AD$5)="F",AND(AD$6&gt;0,$A798&lt;AD$6),AND(AD$7&gt;0,$A798&gt;AD$7)),0,MAX(0,ROUND((INDEX($E798:$G798,AD$5)-SUMIFS(TF_Timer,TF_Tekniker,AD$4,TF_Dato,$A798))*2,0)/2)))</f>
        <v/>
      </c>
      <c r="AE798">
        <f>IF(OR(AE$4="",$A798&gt;TODAY()),0,IF(OR(INDEX($B798:$D798,AE$5)="F",AND(AE$6&gt;0,$A798&lt;AE$6),AND(AE$7&gt;0,$A798&gt;AE$7)),0,MAX(0,ROUND((INDEX($E798:$G798,AE$5)-SUMIFS(TF_Timer,TF_Tekniker,AE$4,TF_Dato,$A798))*2,0)/2)))</f>
        <v/>
      </c>
      <c r="AF798">
        <f>IF(OR(AF$4="",$A798&gt;TODAY()),0,IF(OR(INDEX($B798:$D798,AF$5)="F",AND(AF$6&gt;0,$A798&lt;AF$6),AND(AF$7&gt;0,$A798&gt;AF$7)),0,MAX(0,ROUND((INDEX($E798:$G798,AF$5)-SUMIFS(TF_Timer,TF_Tekniker,AF$4,TF_Dato,$A798))*2,0)/2)))</f>
        <v/>
      </c>
      <c r="AG798">
        <f>IF(OR(AG$4="",$A798&gt;TODAY()),0,IF(OR(INDEX($B798:$D798,AG$5)="F",AND(AG$6&gt;0,$A798&lt;AG$6),AND(AG$7&gt;0,$A798&gt;AG$7)),0,MAX(0,ROUND((INDEX($E798:$G798,AG$5)-SUMIFS(TF_Timer,TF_Tekniker,AG$4,TF_Dato,$A798))*2,0)/2)))</f>
        <v/>
      </c>
      <c r="AH798">
        <f>IF(OR(AH$4="",$A798&gt;TODAY()),0,IF(OR(INDEX($B798:$D798,AH$5)="F",AND(AH$6&gt;0,$A798&lt;AH$6),AND(AH$7&gt;0,$A798&gt;AH$7)),0,MAX(0,ROUND((INDEX($E798:$G798,AH$5)-SUMIFS(TF_Timer,TF_Tekniker,AH$4,TF_Dato,$A798))*2,0)/2)))</f>
        <v/>
      </c>
      <c r="AI798">
        <f>IF(OR(AI$4="",$A798&gt;TODAY()),0,IF(OR(INDEX($B798:$D798,AI$5)="F",AND(AI$6&gt;0,$A798&lt;AI$6),AND(AI$7&gt;0,$A798&gt;AI$7)),0,MAX(0,ROUND((INDEX($E798:$G798,AI$5)-SUMIFS(TF_Timer,TF_Tekniker,AI$4,TF_Dato,$A798))*2,0)/2)))</f>
        <v/>
      </c>
      <c r="AJ798">
        <f>IF(OR(AJ$4="",$A798&gt;TODAY()),0,IF(OR(INDEX($B798:$D798,AJ$5)="F",AND(AJ$6&gt;0,$A798&lt;AJ$6),AND(AJ$7&gt;0,$A798&gt;AJ$7)),0,MAX(0,ROUND((INDEX($E798:$G798,AJ$5)-SUMIFS(TF_Timer,TF_Tekniker,AJ$4,TF_Dato,$A798))*2,0)/2)))</f>
        <v/>
      </c>
      <c r="AK798">
        <f>IF(OR(AK$4="",$A798&gt;TODAY()),0,IF(OR(INDEX($B798:$D798,AK$5)="F",AND(AK$6&gt;0,$A798&lt;AK$6),AND(AK$7&gt;0,$A798&gt;AK$7)),0,MAX(0,ROUND((INDEX($E798:$G798,AK$5)-SUMIFS(TF_Timer,TF_Tekniker,AK$4,TF_Dato,$A798))*2,0)/2)))</f>
        <v/>
      </c>
      <c r="AL798">
        <f>IF(OR(AL$4="",$A798&gt;TODAY()),0,IF(OR(INDEX($B798:$D798,AL$5)="F",AND(AL$6&gt;0,$A798&lt;AL$6),AND(AL$7&gt;0,$A798&gt;AL$7)),0,MAX(0,ROUND((INDEX($E798:$G798,AL$5)-SUMIFS(TF_Timer,TF_Tekniker,AL$4,TF_Dato,$A798))*2,0)/2)))</f>
        <v/>
      </c>
      <c r="AM798">
        <f>IF(OR(AM$4="",$A798&gt;TODAY()),0,IF(OR(INDEX($B798:$D798,AM$5)="F",AND(AM$6&gt;0,$A798&lt;AM$6),AND(AM$7&gt;0,$A798&gt;AM$7)),0,MAX(0,ROUND((INDEX($E798:$G798,AM$5)-SUMIFS(TF_Timer,TF_Tekniker,AM$4,TF_Dato,$A798))*2,0)/2)))</f>
        <v/>
      </c>
      <c r="AN798">
        <f>IF(OR(AN$4="",$A798&gt;TODAY()),0,IF(OR(INDEX($B798:$D798,AN$5)="F",AND(AN$6&gt;0,$A798&lt;AN$6),AND(AN$7&gt;0,$A798&gt;AN$7)),0,MAX(0,ROUND((INDEX($E798:$G798,AN$5)-SUMIFS(TF_Timer,TF_Tekniker,AN$4,TF_Dato,$A798))*2,0)/2)))</f>
        <v/>
      </c>
      <c r="AO798">
        <f>IF(OR(AO$4="",$A798&gt;TODAY()),0,IF(OR(INDEX($B798:$D798,AO$5)="F",AND(AO$6&gt;0,$A798&lt;AO$6),AND(AO$7&gt;0,$A798&gt;AO$7)),0,MAX(0,ROUND((INDEX($E798:$G798,AO$5)-SUMIFS(TF_Timer,TF_Tekniker,AO$4,TF_Dato,$A798))*2,0)/2)))</f>
        <v/>
      </c>
      <c r="AP798">
        <f>IF(OR(AP$4="",$A798&gt;TODAY()),0,IF(OR(INDEX($B798:$D798,AP$5)="F",AND(AP$6&gt;0,$A798&lt;AP$6),AND(AP$7&gt;0,$A798&gt;AP$7)),0,MAX(0,ROUND((INDEX($E798:$G798,AP$5)-SUMIFS(TF_Timer,TF_Tekniker,AP$4,TF_Dato,$A798))*2,0)/2)))</f>
        <v/>
      </c>
      <c r="AQ798">
        <f>IF(OR(AQ$4="",$A798&gt;TODAY()),0,IF(OR(INDEX($B798:$D798,AQ$5)="F",AND(AQ$6&gt;0,$A798&lt;AQ$6),AND(AQ$7&gt;0,$A798&gt;AQ$7)),0,MAX(0,ROUND((INDEX($E798:$G798,AQ$5)-SUMIFS(TF_Timer,TF_Tekniker,AQ$4,TF_Dato,$A798))*2,0)/2)))</f>
        <v/>
      </c>
      <c r="AR798">
        <f>IF(OR(AR$4="",$A798&gt;TODAY()),0,IF(OR(INDEX($B798:$D798,AR$5)="F",AND(AR$6&gt;0,$A798&lt;AR$6),AND(AR$7&gt;0,$A798&gt;AR$7)),0,MAX(0,ROUND((INDEX($E798:$G798,AR$5)-SUMIFS(TF_Timer,TF_Tekniker,AR$4,TF_Dato,$A798))*2,0)/2)))</f>
        <v/>
      </c>
      <c r="AS798">
        <f>IF(OR(AS$4="",$A798&gt;TODAY()),0,IF(OR(INDEX($B798:$D798,AS$5)="F",AND(AS$6&gt;0,$A798&lt;AS$6),AND(AS$7&gt;0,$A798&gt;AS$7)),0,MAX(0,ROUND((INDEX($E798:$G798,AS$5)-SUMIFS(TF_Timer,TF_Tekniker,AS$4,TF_Dato,$A798))*2,0)/2)))</f>
        <v/>
      </c>
      <c r="AT798">
        <f>IF(OR(AT$4="",$A798&gt;TODAY()),0,IF(OR(INDEX($B798:$D798,AT$5)="F",AND(AT$6&gt;0,$A798&lt;AT$6),AND(AT$7&gt;0,$A798&gt;AT$7)),0,MAX(0,ROUND((INDEX($E798:$G798,AT$5)-SUMIFS(TF_Timer,TF_Tekniker,AT$4,TF_Dato,$A798))*2,0)/2)))</f>
        <v/>
      </c>
      <c r="AU798">
        <f>IF(OR(AU$4="",$A798&gt;TODAY()),0,IF(OR(INDEX($B798:$D798,AU$5)="F",AND(AU$6&gt;0,$A798&lt;AU$6),AND(AU$7&gt;0,$A798&gt;AU$7)),0,MAX(0,ROUND((INDEX($E798:$G798,AU$5)-SUMIFS(TF_Timer,TF_Tekniker,AU$4,TF_Dato,$A798))*2,0)/2)))</f>
        <v/>
      </c>
      <c r="AV798">
        <f>IF(OR(AV$4="",$A798&gt;TODAY()),0,IF(OR(INDEX($B798:$D798,AV$5)="F",AND(AV$6&gt;0,$A798&lt;AV$6),AND(AV$7&gt;0,$A798&gt;AV$7)),0,MAX(0,ROUND((INDEX($E798:$G798,AV$5)-SUMIFS(TF_Timer,TF_Tekniker,AV$4,TF_Dato,$A798))*2,0)/2)))</f>
        <v/>
      </c>
      <c r="AW798">
        <f>IF(OR(AW$4="",$A798&gt;TODAY()),0,IF(OR(INDEX($B798:$D798,AW$5)="F",AND(AW$6&gt;0,$A798&lt;AW$6),AND(AW$7&gt;0,$A798&gt;AW$7)),0,MAX(0,ROUND((INDEX($E798:$G798,AW$5)-SUMIFS(TF_Timer,TF_Tekniker,AW$4,TF_Dato,$A798))*2,0)/2)))</f>
        <v/>
      </c>
      <c r="AX798">
        <f>IF(OR(AX$4="",$A798&gt;TODAY()),0,IF(OR(INDEX($B798:$D798,AX$5)="F",AND(AX$6&gt;0,$A798&lt;AX$6),AND(AX$7&gt;0,$A798&gt;AX$7)),0,MAX(0,ROUND((INDEX($E798:$G798,AX$5)-SUMIFS(TF_Timer,TF_Tekniker,AX$4,TF_Dato,$A798))*2,0)/2)))</f>
        <v/>
      </c>
      <c r="AY798">
        <f>IF(OR(AY$4="",$A798&gt;TODAY()),0,IF(OR(INDEX($B798:$D798,AY$5)="F",AND(AY$6&gt;0,$A798&lt;AY$6),AND(AY$7&gt;0,$A798&gt;AY$7)),0,MAX(0,ROUND((INDEX($E798:$G798,AY$5)-SUMIFS(TF_Timer,TF_Tekniker,AY$4,TF_Dato,$A798))*2,0)/2)))</f>
        <v/>
      </c>
      <c r="AZ798">
        <f>IF(OR(AZ$4="",$A798&gt;TODAY()),0,IF(OR(INDEX($B798:$D798,AZ$5)="F",AND(AZ$6&gt;0,$A798&lt;AZ$6),AND(AZ$7&gt;0,$A798&gt;AZ$7)),0,MAX(0,ROUND((INDEX($E798:$G798,AZ$5)-SUMIFS(TF_Timer,TF_Tekniker,AZ$4,TF_Dato,$A798))*2,0)/2)))</f>
        <v/>
      </c>
      <c r="BA798">
        <f>IF(OR(BA$4="",$A798&gt;TODAY()),0,IF(OR(INDEX($B798:$D798,BA$5)="F",AND(BA$6&gt;0,$A798&lt;BA$6),AND(BA$7&gt;0,$A798&gt;BA$7)),0,MAX(0,ROUND((INDEX($E798:$G798,BA$5)-SUMIFS(TF_Timer,TF_Tekniker,BA$4,TF_Dato,$A798))*2,0)/2)))</f>
        <v/>
      </c>
      <c r="BB798">
        <f>IF(OR(BB$4="",$A798&gt;TODAY()),0,IF(OR(INDEX($B798:$D798,BB$5)="F",AND(BB$6&gt;0,$A798&lt;BB$6),AND(BB$7&gt;0,$A798&gt;BB$7)),0,MAX(0,ROUND((INDEX($E798:$G798,BB$5)-SUMIFS(TF_Timer,TF_Tekniker,BB$4,TF_Dato,$A798))*2,0)/2)))</f>
        <v/>
      </c>
      <c r="BC798">
        <f>IF(OR(BC$4="",$A798&gt;TODAY()),0,IF(OR(INDEX($B798:$D798,BC$5)="F",AND(BC$6&gt;0,$A798&lt;BC$6),AND(BC$7&gt;0,$A798&gt;BC$7)),0,MAX(0,ROUND((INDEX($E798:$G798,BC$5)-SUMIFS(TF_Timer,TF_Tekniker,BC$4,TF_Dato,$A798))*2,0)/2)))</f>
        <v/>
      </c>
      <c r="BD798">
        <f>IF(OR(BD$4="",$A798&gt;TODAY()),0,IF(OR(INDEX($B798:$D798,BD$5)="F",AND(BD$6&gt;0,$A798&lt;BD$6),AND(BD$7&gt;0,$A798&gt;BD$7)),0,MAX(0,ROUND((INDEX($E798:$G798,BD$5)-SUMIFS(TF_Timer,TF_Tekniker,BD$4,TF_Dato,$A798))*2,0)/2)))</f>
        <v/>
      </c>
      <c r="BE798">
        <f>IF(OR(BE$4="",$A798&gt;TODAY()),0,IF(OR(INDEX($B798:$D798,BE$5)="F",AND(BE$6&gt;0,$A798&lt;BE$6),AND(BE$7&gt;0,$A798&gt;BE$7)),0,MAX(0,ROUND((INDEX($E798:$G798,BE$5)-SUMIFS(TF_Timer,TF_Tekniker,BE$4,TF_Dato,$A798))*2,0)/2)))</f>
        <v/>
      </c>
      <c r="BF798">
        <f>IF(OR(BF$4="",$A798&gt;TODAY()),0,IF(OR(INDEX($B798:$D798,BF$5)="F",AND(BF$6&gt;0,$A798&lt;BF$6),AND(BF$7&gt;0,$A798&gt;BF$7)),0,MAX(0,ROUND((INDEX($E798:$G798,BF$5)-SUMIFS(TF_Timer,TF_Tekniker,BF$4,TF_Dato,$A798))*2,0)/2)))</f>
        <v/>
      </c>
      <c r="BG798">
        <f>IF(OR(BG$4="",$A798&gt;TODAY()),0,IF(OR(INDEX($B798:$D798,BG$5)="F",AND(BG$6&gt;0,$A798&lt;BG$6),AND(BG$7&gt;0,$A798&gt;BG$7)),0,MAX(0,ROUND((INDEX($E798:$G798,BG$5)-SUMIFS(TF_Timer,TF_Tekniker,BG$4,TF_Dato,$A798))*2,0)/2)))</f>
        <v/>
      </c>
      <c r="BH798">
        <f>IF(OR(BH$4="",$A798&gt;TODAY()),0,IF(OR(INDEX($B798:$D798,BH$5)="F",AND(BH$6&gt;0,$A798&lt;BH$6),AND(BH$7&gt;0,$A798&gt;BH$7)),0,MAX(0,ROUND((INDEX($E798:$G798,BH$5)-SUMIFS(TF_Timer,TF_Tekniker,BH$4,TF_Dato,$A798))*2,0)/2)))</f>
        <v/>
      </c>
      <c r="BI798">
        <f>IF(OR(BI$4="",$A798&gt;TODAY()),0,IF(OR(INDEX($B798:$D798,BI$5)="F",AND(BI$6&gt;0,$A798&lt;BI$6),AND(BI$7&gt;0,$A798&gt;BI$7)),0,MAX(0,ROUND((INDEX($E798:$G798,BI$5)-SUMIFS(TF_Timer,TF_Tekniker,BI$4,TF_Dato,$A798))*2,0)/2)))</f>
        <v/>
      </c>
    </row>
    <row r="799">
      <c r="A799" s="64">
        <f>A798+1</f>
        <v/>
      </c>
      <c r="B799">
        <f>IF(MOD($A799-INDEX(SkiftStart,1),Syklus)&lt;DagK,"K",IF(MOD($A799-INDEX(SkiftStart,1),Syklus)&lt;DagK+DagH,"H",IF(MOD($A799-INDEX(SkiftStart,1),Syklus)&lt;DagK+DagH+DagD,"D","F")))</f>
        <v/>
      </c>
      <c r="C799">
        <f>IF(MOD($A799-INDEX(SkiftStart,2),Syklus)&lt;DagK,"K",IF(MOD($A799-INDEX(SkiftStart,2),Syklus)&lt;DagK+DagH,"H",IF(MOD($A799-INDEX(SkiftStart,2),Syklus)&lt;DagK+DagH+DagD,"D","F")))</f>
        <v/>
      </c>
      <c r="D799">
        <f>IF(MOD($A799-INDEX(SkiftStart,3),Syklus)&lt;DagK,"K",IF(MOD($A799-INDEX(SkiftStart,3),Syklus)&lt;DagK+DagH,"H",IF(MOD($A799-INDEX(SkiftStart,3),Syklus)&lt;DagK+DagH+DagD,"D","F")))</f>
        <v/>
      </c>
      <c r="E799">
        <f>IF(B799="F",0,IF(WEEKDAY($A799,2)=5,INDEX(TimerFr,MATCH(B799,FaseKode,0)),INDEX(TimerMT,MATCH(B799,FaseKode,0))))</f>
        <v/>
      </c>
      <c r="F799">
        <f>IF(C799="F",0,IF(WEEKDAY($A799,2)=5,INDEX(TimerFr,MATCH(C799,FaseKode,0)),INDEX(TimerMT,MATCH(C799,FaseKode,0))))</f>
        <v/>
      </c>
      <c r="G799">
        <f>IF(D799="F",0,IF(WEEKDAY($A799,2)=5,INDEX(TimerFr,MATCH(D799,FaseKode,0)),INDEX(TimerMT,MATCH(D799,FaseKode,0))))</f>
        <v/>
      </c>
      <c r="H799">
        <f>IF(OR(H$4="",$A799&gt;TODAY()),0,IF(OR(INDEX($B799:$D799,H$5)="F",AND(H$6&gt;0,$A799&lt;H$6),AND(H$7&gt;0,$A799&gt;H$7)),0,MAX(0,ROUND((INDEX($E799:$G799,H$5)-SUMIFS(TF_Timer,TF_Tekniker,H$4,TF_Dato,$A799))*2,0)/2)))</f>
        <v/>
      </c>
      <c r="I799">
        <f>IF(OR(I$4="",$A799&gt;TODAY()),0,IF(OR(INDEX($B799:$D799,I$5)="F",AND(I$6&gt;0,$A799&lt;I$6),AND(I$7&gt;0,$A799&gt;I$7)),0,MAX(0,ROUND((INDEX($E799:$G799,I$5)-SUMIFS(TF_Timer,TF_Tekniker,I$4,TF_Dato,$A799))*2,0)/2)))</f>
        <v/>
      </c>
      <c r="J799">
        <f>IF(OR(J$4="",$A799&gt;TODAY()),0,IF(OR(INDEX($B799:$D799,J$5)="F",AND(J$6&gt;0,$A799&lt;J$6),AND(J$7&gt;0,$A799&gt;J$7)),0,MAX(0,ROUND((INDEX($E799:$G799,J$5)-SUMIFS(TF_Timer,TF_Tekniker,J$4,TF_Dato,$A799))*2,0)/2)))</f>
        <v/>
      </c>
      <c r="K799">
        <f>IF(OR(K$4="",$A799&gt;TODAY()),0,IF(OR(INDEX($B799:$D799,K$5)="F",AND(K$6&gt;0,$A799&lt;K$6),AND(K$7&gt;0,$A799&gt;K$7)),0,MAX(0,ROUND((INDEX($E799:$G799,K$5)-SUMIFS(TF_Timer,TF_Tekniker,K$4,TF_Dato,$A799))*2,0)/2)))</f>
        <v/>
      </c>
      <c r="L799">
        <f>IF(OR(L$4="",$A799&gt;TODAY()),0,IF(OR(INDEX($B799:$D799,L$5)="F",AND(L$6&gt;0,$A799&lt;L$6),AND(L$7&gt;0,$A799&gt;L$7)),0,MAX(0,ROUND((INDEX($E799:$G799,L$5)-SUMIFS(TF_Timer,TF_Tekniker,L$4,TF_Dato,$A799))*2,0)/2)))</f>
        <v/>
      </c>
      <c r="M799">
        <f>IF(OR(M$4="",$A799&gt;TODAY()),0,IF(OR(INDEX($B799:$D799,M$5)="F",AND(M$6&gt;0,$A799&lt;M$6),AND(M$7&gt;0,$A799&gt;M$7)),0,MAX(0,ROUND((INDEX($E799:$G799,M$5)-SUMIFS(TF_Timer,TF_Tekniker,M$4,TF_Dato,$A799))*2,0)/2)))</f>
        <v/>
      </c>
      <c r="N799">
        <f>IF(OR(N$4="",$A799&gt;TODAY()),0,IF(OR(INDEX($B799:$D799,N$5)="F",AND(N$6&gt;0,$A799&lt;N$6),AND(N$7&gt;0,$A799&gt;N$7)),0,MAX(0,ROUND((INDEX($E799:$G799,N$5)-SUMIFS(TF_Timer,TF_Tekniker,N$4,TF_Dato,$A799))*2,0)/2)))</f>
        <v/>
      </c>
      <c r="O799">
        <f>IF(OR(O$4="",$A799&gt;TODAY()),0,IF(OR(INDEX($B799:$D799,O$5)="F",AND(O$6&gt;0,$A799&lt;O$6),AND(O$7&gt;0,$A799&gt;O$7)),0,MAX(0,ROUND((INDEX($E799:$G799,O$5)-SUMIFS(TF_Timer,TF_Tekniker,O$4,TF_Dato,$A799))*2,0)/2)))</f>
        <v/>
      </c>
      <c r="P799">
        <f>IF(OR(P$4="",$A799&gt;TODAY()),0,IF(OR(INDEX($B799:$D799,P$5)="F",AND(P$6&gt;0,$A799&lt;P$6),AND(P$7&gt;0,$A799&gt;P$7)),0,MAX(0,ROUND((INDEX($E799:$G799,P$5)-SUMIFS(TF_Timer,TF_Tekniker,P$4,TF_Dato,$A799))*2,0)/2)))</f>
        <v/>
      </c>
      <c r="Q799">
        <f>IF(OR(Q$4="",$A799&gt;TODAY()),0,IF(OR(INDEX($B799:$D799,Q$5)="F",AND(Q$6&gt;0,$A799&lt;Q$6),AND(Q$7&gt;0,$A799&gt;Q$7)),0,MAX(0,ROUND((INDEX($E799:$G799,Q$5)-SUMIFS(TF_Timer,TF_Tekniker,Q$4,TF_Dato,$A799))*2,0)/2)))</f>
        <v/>
      </c>
      <c r="R799">
        <f>IF(OR(R$4="",$A799&gt;TODAY()),0,IF(OR(INDEX($B799:$D799,R$5)="F",AND(R$6&gt;0,$A799&lt;R$6),AND(R$7&gt;0,$A799&gt;R$7)),0,MAX(0,ROUND((INDEX($E799:$G799,R$5)-SUMIFS(TF_Timer,TF_Tekniker,R$4,TF_Dato,$A799))*2,0)/2)))</f>
        <v/>
      </c>
      <c r="S799">
        <f>IF(OR(S$4="",$A799&gt;TODAY()),0,IF(OR(INDEX($B799:$D799,S$5)="F",AND(S$6&gt;0,$A799&lt;S$6),AND(S$7&gt;0,$A799&gt;S$7)),0,MAX(0,ROUND((INDEX($E799:$G799,S$5)-SUMIFS(TF_Timer,TF_Tekniker,S$4,TF_Dato,$A799))*2,0)/2)))</f>
        <v/>
      </c>
      <c r="T799">
        <f>IF(OR(T$4="",$A799&gt;TODAY()),0,IF(OR(INDEX($B799:$D799,T$5)="F",AND(T$6&gt;0,$A799&lt;T$6),AND(T$7&gt;0,$A799&gt;T$7)),0,MAX(0,ROUND((INDEX($E799:$G799,T$5)-SUMIFS(TF_Timer,TF_Tekniker,T$4,TF_Dato,$A799))*2,0)/2)))</f>
        <v/>
      </c>
      <c r="U799">
        <f>IF(OR(U$4="",$A799&gt;TODAY()),0,IF(OR(INDEX($B799:$D799,U$5)="F",AND(U$6&gt;0,$A799&lt;U$6),AND(U$7&gt;0,$A799&gt;U$7)),0,MAX(0,ROUND((INDEX($E799:$G799,U$5)-SUMIFS(TF_Timer,TF_Tekniker,U$4,TF_Dato,$A799))*2,0)/2)))</f>
        <v/>
      </c>
      <c r="V799">
        <f>IF(OR(V$4="",$A799&gt;TODAY()),0,IF(OR(INDEX($B799:$D799,V$5)="F",AND(V$6&gt;0,$A799&lt;V$6),AND(V$7&gt;0,$A799&gt;V$7)),0,MAX(0,ROUND((INDEX($E799:$G799,V$5)-SUMIFS(TF_Timer,TF_Tekniker,V$4,TF_Dato,$A799))*2,0)/2)))</f>
        <v/>
      </c>
      <c r="W799">
        <f>IF(OR(W$4="",$A799&gt;TODAY()),0,IF(OR(INDEX($B799:$D799,W$5)="F",AND(W$6&gt;0,$A799&lt;W$6),AND(W$7&gt;0,$A799&gt;W$7)),0,MAX(0,ROUND((INDEX($E799:$G799,W$5)-SUMIFS(TF_Timer,TF_Tekniker,W$4,TF_Dato,$A799))*2,0)/2)))</f>
        <v/>
      </c>
      <c r="X799">
        <f>IF(OR(X$4="",$A799&gt;TODAY()),0,IF(OR(INDEX($B799:$D799,X$5)="F",AND(X$6&gt;0,$A799&lt;X$6),AND(X$7&gt;0,$A799&gt;X$7)),0,MAX(0,ROUND((INDEX($E799:$G799,X$5)-SUMIFS(TF_Timer,TF_Tekniker,X$4,TF_Dato,$A799))*2,0)/2)))</f>
        <v/>
      </c>
      <c r="Y799">
        <f>IF(OR(Y$4="",$A799&gt;TODAY()),0,IF(OR(INDEX($B799:$D799,Y$5)="F",AND(Y$6&gt;0,$A799&lt;Y$6),AND(Y$7&gt;0,$A799&gt;Y$7)),0,MAX(0,ROUND((INDEX($E799:$G799,Y$5)-SUMIFS(TF_Timer,TF_Tekniker,Y$4,TF_Dato,$A799))*2,0)/2)))</f>
        <v/>
      </c>
      <c r="Z799">
        <f>IF(OR(Z$4="",$A799&gt;TODAY()),0,IF(OR(INDEX($B799:$D799,Z$5)="F",AND(Z$6&gt;0,$A799&lt;Z$6),AND(Z$7&gt;0,$A799&gt;Z$7)),0,MAX(0,ROUND((INDEX($E799:$G799,Z$5)-SUMIFS(TF_Timer,TF_Tekniker,Z$4,TF_Dato,$A799))*2,0)/2)))</f>
        <v/>
      </c>
      <c r="AA799">
        <f>IF(OR(AA$4="",$A799&gt;TODAY()),0,IF(OR(INDEX($B799:$D799,AA$5)="F",AND(AA$6&gt;0,$A799&lt;AA$6),AND(AA$7&gt;0,$A799&gt;AA$7)),0,MAX(0,ROUND((INDEX($E799:$G799,AA$5)-SUMIFS(TF_Timer,TF_Tekniker,AA$4,TF_Dato,$A799))*2,0)/2)))</f>
        <v/>
      </c>
      <c r="AB799">
        <f>IF(OR(AB$4="",$A799&gt;TODAY()),0,IF(OR(INDEX($B799:$D799,AB$5)="F",AND(AB$6&gt;0,$A799&lt;AB$6),AND(AB$7&gt;0,$A799&gt;AB$7)),0,MAX(0,ROUND((INDEX($E799:$G799,AB$5)-SUMIFS(TF_Timer,TF_Tekniker,AB$4,TF_Dato,$A799))*2,0)/2)))</f>
        <v/>
      </c>
      <c r="AC799">
        <f>IF(OR(AC$4="",$A799&gt;TODAY()),0,IF(OR(INDEX($B799:$D799,AC$5)="F",AND(AC$6&gt;0,$A799&lt;AC$6),AND(AC$7&gt;0,$A799&gt;AC$7)),0,MAX(0,ROUND((INDEX($E799:$G799,AC$5)-SUMIFS(TF_Timer,TF_Tekniker,AC$4,TF_Dato,$A799))*2,0)/2)))</f>
        <v/>
      </c>
      <c r="AD799">
        <f>IF(OR(AD$4="",$A799&gt;TODAY()),0,IF(OR(INDEX($B799:$D799,AD$5)="F",AND(AD$6&gt;0,$A799&lt;AD$6),AND(AD$7&gt;0,$A799&gt;AD$7)),0,MAX(0,ROUND((INDEX($E799:$G799,AD$5)-SUMIFS(TF_Timer,TF_Tekniker,AD$4,TF_Dato,$A799))*2,0)/2)))</f>
        <v/>
      </c>
      <c r="AE799">
        <f>IF(OR(AE$4="",$A799&gt;TODAY()),0,IF(OR(INDEX($B799:$D799,AE$5)="F",AND(AE$6&gt;0,$A799&lt;AE$6),AND(AE$7&gt;0,$A799&gt;AE$7)),0,MAX(0,ROUND((INDEX($E799:$G799,AE$5)-SUMIFS(TF_Timer,TF_Tekniker,AE$4,TF_Dato,$A799))*2,0)/2)))</f>
        <v/>
      </c>
      <c r="AF799">
        <f>IF(OR(AF$4="",$A799&gt;TODAY()),0,IF(OR(INDEX($B799:$D799,AF$5)="F",AND(AF$6&gt;0,$A799&lt;AF$6),AND(AF$7&gt;0,$A799&gt;AF$7)),0,MAX(0,ROUND((INDEX($E799:$G799,AF$5)-SUMIFS(TF_Timer,TF_Tekniker,AF$4,TF_Dato,$A799))*2,0)/2)))</f>
        <v/>
      </c>
      <c r="AG799">
        <f>IF(OR(AG$4="",$A799&gt;TODAY()),0,IF(OR(INDEX($B799:$D799,AG$5)="F",AND(AG$6&gt;0,$A799&lt;AG$6),AND(AG$7&gt;0,$A799&gt;AG$7)),0,MAX(0,ROUND((INDEX($E799:$G799,AG$5)-SUMIFS(TF_Timer,TF_Tekniker,AG$4,TF_Dato,$A799))*2,0)/2)))</f>
        <v/>
      </c>
      <c r="AH799">
        <f>IF(OR(AH$4="",$A799&gt;TODAY()),0,IF(OR(INDEX($B799:$D799,AH$5)="F",AND(AH$6&gt;0,$A799&lt;AH$6),AND(AH$7&gt;0,$A799&gt;AH$7)),0,MAX(0,ROUND((INDEX($E799:$G799,AH$5)-SUMIFS(TF_Timer,TF_Tekniker,AH$4,TF_Dato,$A799))*2,0)/2)))</f>
        <v/>
      </c>
      <c r="AI799">
        <f>IF(OR(AI$4="",$A799&gt;TODAY()),0,IF(OR(INDEX($B799:$D799,AI$5)="F",AND(AI$6&gt;0,$A799&lt;AI$6),AND(AI$7&gt;0,$A799&gt;AI$7)),0,MAX(0,ROUND((INDEX($E799:$G799,AI$5)-SUMIFS(TF_Timer,TF_Tekniker,AI$4,TF_Dato,$A799))*2,0)/2)))</f>
        <v/>
      </c>
      <c r="AJ799">
        <f>IF(OR(AJ$4="",$A799&gt;TODAY()),0,IF(OR(INDEX($B799:$D799,AJ$5)="F",AND(AJ$6&gt;0,$A799&lt;AJ$6),AND(AJ$7&gt;0,$A799&gt;AJ$7)),0,MAX(0,ROUND((INDEX($E799:$G799,AJ$5)-SUMIFS(TF_Timer,TF_Tekniker,AJ$4,TF_Dato,$A799))*2,0)/2)))</f>
        <v/>
      </c>
      <c r="AK799">
        <f>IF(OR(AK$4="",$A799&gt;TODAY()),0,IF(OR(INDEX($B799:$D799,AK$5)="F",AND(AK$6&gt;0,$A799&lt;AK$6),AND(AK$7&gt;0,$A799&gt;AK$7)),0,MAX(0,ROUND((INDEX($E799:$G799,AK$5)-SUMIFS(TF_Timer,TF_Tekniker,AK$4,TF_Dato,$A799))*2,0)/2)))</f>
        <v/>
      </c>
      <c r="AL799">
        <f>IF(OR(AL$4="",$A799&gt;TODAY()),0,IF(OR(INDEX($B799:$D799,AL$5)="F",AND(AL$6&gt;0,$A799&lt;AL$6),AND(AL$7&gt;0,$A799&gt;AL$7)),0,MAX(0,ROUND((INDEX($E799:$G799,AL$5)-SUMIFS(TF_Timer,TF_Tekniker,AL$4,TF_Dato,$A799))*2,0)/2)))</f>
        <v/>
      </c>
      <c r="AM799">
        <f>IF(OR(AM$4="",$A799&gt;TODAY()),0,IF(OR(INDEX($B799:$D799,AM$5)="F",AND(AM$6&gt;0,$A799&lt;AM$6),AND(AM$7&gt;0,$A799&gt;AM$7)),0,MAX(0,ROUND((INDEX($E799:$G799,AM$5)-SUMIFS(TF_Timer,TF_Tekniker,AM$4,TF_Dato,$A799))*2,0)/2)))</f>
        <v/>
      </c>
      <c r="AN799">
        <f>IF(OR(AN$4="",$A799&gt;TODAY()),0,IF(OR(INDEX($B799:$D799,AN$5)="F",AND(AN$6&gt;0,$A799&lt;AN$6),AND(AN$7&gt;0,$A799&gt;AN$7)),0,MAX(0,ROUND((INDEX($E799:$G799,AN$5)-SUMIFS(TF_Timer,TF_Tekniker,AN$4,TF_Dato,$A799))*2,0)/2)))</f>
        <v/>
      </c>
      <c r="AO799">
        <f>IF(OR(AO$4="",$A799&gt;TODAY()),0,IF(OR(INDEX($B799:$D799,AO$5)="F",AND(AO$6&gt;0,$A799&lt;AO$6),AND(AO$7&gt;0,$A799&gt;AO$7)),0,MAX(0,ROUND((INDEX($E799:$G799,AO$5)-SUMIFS(TF_Timer,TF_Tekniker,AO$4,TF_Dato,$A799))*2,0)/2)))</f>
        <v/>
      </c>
      <c r="AP799">
        <f>IF(OR(AP$4="",$A799&gt;TODAY()),0,IF(OR(INDEX($B799:$D799,AP$5)="F",AND(AP$6&gt;0,$A799&lt;AP$6),AND(AP$7&gt;0,$A799&gt;AP$7)),0,MAX(0,ROUND((INDEX($E799:$G799,AP$5)-SUMIFS(TF_Timer,TF_Tekniker,AP$4,TF_Dato,$A799))*2,0)/2)))</f>
        <v/>
      </c>
      <c r="AQ799">
        <f>IF(OR(AQ$4="",$A799&gt;TODAY()),0,IF(OR(INDEX($B799:$D799,AQ$5)="F",AND(AQ$6&gt;0,$A799&lt;AQ$6),AND(AQ$7&gt;0,$A799&gt;AQ$7)),0,MAX(0,ROUND((INDEX($E799:$G799,AQ$5)-SUMIFS(TF_Timer,TF_Tekniker,AQ$4,TF_Dato,$A799))*2,0)/2)))</f>
        <v/>
      </c>
      <c r="AR799">
        <f>IF(OR(AR$4="",$A799&gt;TODAY()),0,IF(OR(INDEX($B799:$D799,AR$5)="F",AND(AR$6&gt;0,$A799&lt;AR$6),AND(AR$7&gt;0,$A799&gt;AR$7)),0,MAX(0,ROUND((INDEX($E799:$G799,AR$5)-SUMIFS(TF_Timer,TF_Tekniker,AR$4,TF_Dato,$A799))*2,0)/2)))</f>
        <v/>
      </c>
      <c r="AS799">
        <f>IF(OR(AS$4="",$A799&gt;TODAY()),0,IF(OR(INDEX($B799:$D799,AS$5)="F",AND(AS$6&gt;0,$A799&lt;AS$6),AND(AS$7&gt;0,$A799&gt;AS$7)),0,MAX(0,ROUND((INDEX($E799:$G799,AS$5)-SUMIFS(TF_Timer,TF_Tekniker,AS$4,TF_Dato,$A799))*2,0)/2)))</f>
        <v/>
      </c>
      <c r="AT799">
        <f>IF(OR(AT$4="",$A799&gt;TODAY()),0,IF(OR(INDEX($B799:$D799,AT$5)="F",AND(AT$6&gt;0,$A799&lt;AT$6),AND(AT$7&gt;0,$A799&gt;AT$7)),0,MAX(0,ROUND((INDEX($E799:$G799,AT$5)-SUMIFS(TF_Timer,TF_Tekniker,AT$4,TF_Dato,$A799))*2,0)/2)))</f>
        <v/>
      </c>
      <c r="AU799">
        <f>IF(OR(AU$4="",$A799&gt;TODAY()),0,IF(OR(INDEX($B799:$D799,AU$5)="F",AND(AU$6&gt;0,$A799&lt;AU$6),AND(AU$7&gt;0,$A799&gt;AU$7)),0,MAX(0,ROUND((INDEX($E799:$G799,AU$5)-SUMIFS(TF_Timer,TF_Tekniker,AU$4,TF_Dato,$A799))*2,0)/2)))</f>
        <v/>
      </c>
      <c r="AV799">
        <f>IF(OR(AV$4="",$A799&gt;TODAY()),0,IF(OR(INDEX($B799:$D799,AV$5)="F",AND(AV$6&gt;0,$A799&lt;AV$6),AND(AV$7&gt;0,$A799&gt;AV$7)),0,MAX(0,ROUND((INDEX($E799:$G799,AV$5)-SUMIFS(TF_Timer,TF_Tekniker,AV$4,TF_Dato,$A799))*2,0)/2)))</f>
        <v/>
      </c>
      <c r="AW799">
        <f>IF(OR(AW$4="",$A799&gt;TODAY()),0,IF(OR(INDEX($B799:$D799,AW$5)="F",AND(AW$6&gt;0,$A799&lt;AW$6),AND(AW$7&gt;0,$A799&gt;AW$7)),0,MAX(0,ROUND((INDEX($E799:$G799,AW$5)-SUMIFS(TF_Timer,TF_Tekniker,AW$4,TF_Dato,$A799))*2,0)/2)))</f>
        <v/>
      </c>
      <c r="AX799">
        <f>IF(OR(AX$4="",$A799&gt;TODAY()),0,IF(OR(INDEX($B799:$D799,AX$5)="F",AND(AX$6&gt;0,$A799&lt;AX$6),AND(AX$7&gt;0,$A799&gt;AX$7)),0,MAX(0,ROUND((INDEX($E799:$G799,AX$5)-SUMIFS(TF_Timer,TF_Tekniker,AX$4,TF_Dato,$A799))*2,0)/2)))</f>
        <v/>
      </c>
      <c r="AY799">
        <f>IF(OR(AY$4="",$A799&gt;TODAY()),0,IF(OR(INDEX($B799:$D799,AY$5)="F",AND(AY$6&gt;0,$A799&lt;AY$6),AND(AY$7&gt;0,$A799&gt;AY$7)),0,MAX(0,ROUND((INDEX($E799:$G799,AY$5)-SUMIFS(TF_Timer,TF_Tekniker,AY$4,TF_Dato,$A799))*2,0)/2)))</f>
        <v/>
      </c>
      <c r="AZ799">
        <f>IF(OR(AZ$4="",$A799&gt;TODAY()),0,IF(OR(INDEX($B799:$D799,AZ$5)="F",AND(AZ$6&gt;0,$A799&lt;AZ$6),AND(AZ$7&gt;0,$A799&gt;AZ$7)),0,MAX(0,ROUND((INDEX($E799:$G799,AZ$5)-SUMIFS(TF_Timer,TF_Tekniker,AZ$4,TF_Dato,$A799))*2,0)/2)))</f>
        <v/>
      </c>
      <c r="BA799">
        <f>IF(OR(BA$4="",$A799&gt;TODAY()),0,IF(OR(INDEX($B799:$D799,BA$5)="F",AND(BA$6&gt;0,$A799&lt;BA$6),AND(BA$7&gt;0,$A799&gt;BA$7)),0,MAX(0,ROUND((INDEX($E799:$G799,BA$5)-SUMIFS(TF_Timer,TF_Tekniker,BA$4,TF_Dato,$A799))*2,0)/2)))</f>
        <v/>
      </c>
      <c r="BB799">
        <f>IF(OR(BB$4="",$A799&gt;TODAY()),0,IF(OR(INDEX($B799:$D799,BB$5)="F",AND(BB$6&gt;0,$A799&lt;BB$6),AND(BB$7&gt;0,$A799&gt;BB$7)),0,MAX(0,ROUND((INDEX($E799:$G799,BB$5)-SUMIFS(TF_Timer,TF_Tekniker,BB$4,TF_Dato,$A799))*2,0)/2)))</f>
        <v/>
      </c>
      <c r="BC799">
        <f>IF(OR(BC$4="",$A799&gt;TODAY()),0,IF(OR(INDEX($B799:$D799,BC$5)="F",AND(BC$6&gt;0,$A799&lt;BC$6),AND(BC$7&gt;0,$A799&gt;BC$7)),0,MAX(0,ROUND((INDEX($E799:$G799,BC$5)-SUMIFS(TF_Timer,TF_Tekniker,BC$4,TF_Dato,$A799))*2,0)/2)))</f>
        <v/>
      </c>
      <c r="BD799">
        <f>IF(OR(BD$4="",$A799&gt;TODAY()),0,IF(OR(INDEX($B799:$D799,BD$5)="F",AND(BD$6&gt;0,$A799&lt;BD$6),AND(BD$7&gt;0,$A799&gt;BD$7)),0,MAX(0,ROUND((INDEX($E799:$G799,BD$5)-SUMIFS(TF_Timer,TF_Tekniker,BD$4,TF_Dato,$A799))*2,0)/2)))</f>
        <v/>
      </c>
      <c r="BE799">
        <f>IF(OR(BE$4="",$A799&gt;TODAY()),0,IF(OR(INDEX($B799:$D799,BE$5)="F",AND(BE$6&gt;0,$A799&lt;BE$6),AND(BE$7&gt;0,$A799&gt;BE$7)),0,MAX(0,ROUND((INDEX($E799:$G799,BE$5)-SUMIFS(TF_Timer,TF_Tekniker,BE$4,TF_Dato,$A799))*2,0)/2)))</f>
        <v/>
      </c>
      <c r="BF799">
        <f>IF(OR(BF$4="",$A799&gt;TODAY()),0,IF(OR(INDEX($B799:$D799,BF$5)="F",AND(BF$6&gt;0,$A799&lt;BF$6),AND(BF$7&gt;0,$A799&gt;BF$7)),0,MAX(0,ROUND((INDEX($E799:$G799,BF$5)-SUMIFS(TF_Timer,TF_Tekniker,BF$4,TF_Dato,$A799))*2,0)/2)))</f>
        <v/>
      </c>
      <c r="BG799">
        <f>IF(OR(BG$4="",$A799&gt;TODAY()),0,IF(OR(INDEX($B799:$D799,BG$5)="F",AND(BG$6&gt;0,$A799&lt;BG$6),AND(BG$7&gt;0,$A799&gt;BG$7)),0,MAX(0,ROUND((INDEX($E799:$G799,BG$5)-SUMIFS(TF_Timer,TF_Tekniker,BG$4,TF_Dato,$A799))*2,0)/2)))</f>
        <v/>
      </c>
      <c r="BH799">
        <f>IF(OR(BH$4="",$A799&gt;TODAY()),0,IF(OR(INDEX($B799:$D799,BH$5)="F",AND(BH$6&gt;0,$A799&lt;BH$6),AND(BH$7&gt;0,$A799&gt;BH$7)),0,MAX(0,ROUND((INDEX($E799:$G799,BH$5)-SUMIFS(TF_Timer,TF_Tekniker,BH$4,TF_Dato,$A799))*2,0)/2)))</f>
        <v/>
      </c>
      <c r="BI799">
        <f>IF(OR(BI$4="",$A799&gt;TODAY()),0,IF(OR(INDEX($B799:$D799,BI$5)="F",AND(BI$6&gt;0,$A799&lt;BI$6),AND(BI$7&gt;0,$A799&gt;BI$7)),0,MAX(0,ROUND((INDEX($E799:$G799,BI$5)-SUMIFS(TF_Timer,TF_Tekniker,BI$4,TF_Dato,$A799))*2,0)/2)))</f>
        <v/>
      </c>
    </row>
    <row r="800">
      <c r="A800" s="64">
        <f>A799+1</f>
        <v/>
      </c>
      <c r="B800">
        <f>IF(MOD($A800-INDEX(SkiftStart,1),Syklus)&lt;DagK,"K",IF(MOD($A800-INDEX(SkiftStart,1),Syklus)&lt;DagK+DagH,"H",IF(MOD($A800-INDEX(SkiftStart,1),Syklus)&lt;DagK+DagH+DagD,"D","F")))</f>
        <v/>
      </c>
      <c r="C800">
        <f>IF(MOD($A800-INDEX(SkiftStart,2),Syklus)&lt;DagK,"K",IF(MOD($A800-INDEX(SkiftStart,2),Syklus)&lt;DagK+DagH,"H",IF(MOD($A800-INDEX(SkiftStart,2),Syklus)&lt;DagK+DagH+DagD,"D","F")))</f>
        <v/>
      </c>
      <c r="D800">
        <f>IF(MOD($A800-INDEX(SkiftStart,3),Syklus)&lt;DagK,"K",IF(MOD($A800-INDEX(SkiftStart,3),Syklus)&lt;DagK+DagH,"H",IF(MOD($A800-INDEX(SkiftStart,3),Syklus)&lt;DagK+DagH+DagD,"D","F")))</f>
        <v/>
      </c>
      <c r="E800">
        <f>IF(B800="F",0,IF(WEEKDAY($A800,2)=5,INDEX(TimerFr,MATCH(B800,FaseKode,0)),INDEX(TimerMT,MATCH(B800,FaseKode,0))))</f>
        <v/>
      </c>
      <c r="F800">
        <f>IF(C800="F",0,IF(WEEKDAY($A800,2)=5,INDEX(TimerFr,MATCH(C800,FaseKode,0)),INDEX(TimerMT,MATCH(C800,FaseKode,0))))</f>
        <v/>
      </c>
      <c r="G800">
        <f>IF(D800="F",0,IF(WEEKDAY($A800,2)=5,INDEX(TimerFr,MATCH(D800,FaseKode,0)),INDEX(TimerMT,MATCH(D800,FaseKode,0))))</f>
        <v/>
      </c>
      <c r="H800">
        <f>IF(OR(H$4="",$A800&gt;TODAY()),0,IF(OR(INDEX($B800:$D800,H$5)="F",AND(H$6&gt;0,$A800&lt;H$6),AND(H$7&gt;0,$A800&gt;H$7)),0,MAX(0,ROUND((INDEX($E800:$G800,H$5)-SUMIFS(TF_Timer,TF_Tekniker,H$4,TF_Dato,$A800))*2,0)/2)))</f>
        <v/>
      </c>
      <c r="I800">
        <f>IF(OR(I$4="",$A800&gt;TODAY()),0,IF(OR(INDEX($B800:$D800,I$5)="F",AND(I$6&gt;0,$A800&lt;I$6),AND(I$7&gt;0,$A800&gt;I$7)),0,MAX(0,ROUND((INDEX($E800:$G800,I$5)-SUMIFS(TF_Timer,TF_Tekniker,I$4,TF_Dato,$A800))*2,0)/2)))</f>
        <v/>
      </c>
      <c r="J800">
        <f>IF(OR(J$4="",$A800&gt;TODAY()),0,IF(OR(INDEX($B800:$D800,J$5)="F",AND(J$6&gt;0,$A800&lt;J$6),AND(J$7&gt;0,$A800&gt;J$7)),0,MAX(0,ROUND((INDEX($E800:$G800,J$5)-SUMIFS(TF_Timer,TF_Tekniker,J$4,TF_Dato,$A800))*2,0)/2)))</f>
        <v/>
      </c>
      <c r="K800">
        <f>IF(OR(K$4="",$A800&gt;TODAY()),0,IF(OR(INDEX($B800:$D800,K$5)="F",AND(K$6&gt;0,$A800&lt;K$6),AND(K$7&gt;0,$A800&gt;K$7)),0,MAX(0,ROUND((INDEX($E800:$G800,K$5)-SUMIFS(TF_Timer,TF_Tekniker,K$4,TF_Dato,$A800))*2,0)/2)))</f>
        <v/>
      </c>
      <c r="L800">
        <f>IF(OR(L$4="",$A800&gt;TODAY()),0,IF(OR(INDEX($B800:$D800,L$5)="F",AND(L$6&gt;0,$A800&lt;L$6),AND(L$7&gt;0,$A800&gt;L$7)),0,MAX(0,ROUND((INDEX($E800:$G800,L$5)-SUMIFS(TF_Timer,TF_Tekniker,L$4,TF_Dato,$A800))*2,0)/2)))</f>
        <v/>
      </c>
      <c r="M800">
        <f>IF(OR(M$4="",$A800&gt;TODAY()),0,IF(OR(INDEX($B800:$D800,M$5)="F",AND(M$6&gt;0,$A800&lt;M$6),AND(M$7&gt;0,$A800&gt;M$7)),0,MAX(0,ROUND((INDEX($E800:$G800,M$5)-SUMIFS(TF_Timer,TF_Tekniker,M$4,TF_Dato,$A800))*2,0)/2)))</f>
        <v/>
      </c>
      <c r="N800">
        <f>IF(OR(N$4="",$A800&gt;TODAY()),0,IF(OR(INDEX($B800:$D800,N$5)="F",AND(N$6&gt;0,$A800&lt;N$6),AND(N$7&gt;0,$A800&gt;N$7)),0,MAX(0,ROUND((INDEX($E800:$G800,N$5)-SUMIFS(TF_Timer,TF_Tekniker,N$4,TF_Dato,$A800))*2,0)/2)))</f>
        <v/>
      </c>
      <c r="O800">
        <f>IF(OR(O$4="",$A800&gt;TODAY()),0,IF(OR(INDEX($B800:$D800,O$5)="F",AND(O$6&gt;0,$A800&lt;O$6),AND(O$7&gt;0,$A800&gt;O$7)),0,MAX(0,ROUND((INDEX($E800:$G800,O$5)-SUMIFS(TF_Timer,TF_Tekniker,O$4,TF_Dato,$A800))*2,0)/2)))</f>
        <v/>
      </c>
      <c r="P800">
        <f>IF(OR(P$4="",$A800&gt;TODAY()),0,IF(OR(INDEX($B800:$D800,P$5)="F",AND(P$6&gt;0,$A800&lt;P$6),AND(P$7&gt;0,$A800&gt;P$7)),0,MAX(0,ROUND((INDEX($E800:$G800,P$5)-SUMIFS(TF_Timer,TF_Tekniker,P$4,TF_Dato,$A800))*2,0)/2)))</f>
        <v/>
      </c>
      <c r="Q800">
        <f>IF(OR(Q$4="",$A800&gt;TODAY()),0,IF(OR(INDEX($B800:$D800,Q$5)="F",AND(Q$6&gt;0,$A800&lt;Q$6),AND(Q$7&gt;0,$A800&gt;Q$7)),0,MAX(0,ROUND((INDEX($E800:$G800,Q$5)-SUMIFS(TF_Timer,TF_Tekniker,Q$4,TF_Dato,$A800))*2,0)/2)))</f>
        <v/>
      </c>
      <c r="R800">
        <f>IF(OR(R$4="",$A800&gt;TODAY()),0,IF(OR(INDEX($B800:$D800,R$5)="F",AND(R$6&gt;0,$A800&lt;R$6),AND(R$7&gt;0,$A800&gt;R$7)),0,MAX(0,ROUND((INDEX($E800:$G800,R$5)-SUMIFS(TF_Timer,TF_Tekniker,R$4,TF_Dato,$A800))*2,0)/2)))</f>
        <v/>
      </c>
      <c r="S800">
        <f>IF(OR(S$4="",$A800&gt;TODAY()),0,IF(OR(INDEX($B800:$D800,S$5)="F",AND(S$6&gt;0,$A800&lt;S$6),AND(S$7&gt;0,$A800&gt;S$7)),0,MAX(0,ROUND((INDEX($E800:$G800,S$5)-SUMIFS(TF_Timer,TF_Tekniker,S$4,TF_Dato,$A800))*2,0)/2)))</f>
        <v/>
      </c>
      <c r="T800">
        <f>IF(OR(T$4="",$A800&gt;TODAY()),0,IF(OR(INDEX($B800:$D800,T$5)="F",AND(T$6&gt;0,$A800&lt;T$6),AND(T$7&gt;0,$A800&gt;T$7)),0,MAX(0,ROUND((INDEX($E800:$G800,T$5)-SUMIFS(TF_Timer,TF_Tekniker,T$4,TF_Dato,$A800))*2,0)/2)))</f>
        <v/>
      </c>
      <c r="U800">
        <f>IF(OR(U$4="",$A800&gt;TODAY()),0,IF(OR(INDEX($B800:$D800,U$5)="F",AND(U$6&gt;0,$A800&lt;U$6),AND(U$7&gt;0,$A800&gt;U$7)),0,MAX(0,ROUND((INDEX($E800:$G800,U$5)-SUMIFS(TF_Timer,TF_Tekniker,U$4,TF_Dato,$A800))*2,0)/2)))</f>
        <v/>
      </c>
      <c r="V800">
        <f>IF(OR(V$4="",$A800&gt;TODAY()),0,IF(OR(INDEX($B800:$D800,V$5)="F",AND(V$6&gt;0,$A800&lt;V$6),AND(V$7&gt;0,$A800&gt;V$7)),0,MAX(0,ROUND((INDEX($E800:$G800,V$5)-SUMIFS(TF_Timer,TF_Tekniker,V$4,TF_Dato,$A800))*2,0)/2)))</f>
        <v/>
      </c>
      <c r="W800">
        <f>IF(OR(W$4="",$A800&gt;TODAY()),0,IF(OR(INDEX($B800:$D800,W$5)="F",AND(W$6&gt;0,$A800&lt;W$6),AND(W$7&gt;0,$A800&gt;W$7)),0,MAX(0,ROUND((INDEX($E800:$G800,W$5)-SUMIFS(TF_Timer,TF_Tekniker,W$4,TF_Dato,$A800))*2,0)/2)))</f>
        <v/>
      </c>
      <c r="X800">
        <f>IF(OR(X$4="",$A800&gt;TODAY()),0,IF(OR(INDEX($B800:$D800,X$5)="F",AND(X$6&gt;0,$A800&lt;X$6),AND(X$7&gt;0,$A800&gt;X$7)),0,MAX(0,ROUND((INDEX($E800:$G800,X$5)-SUMIFS(TF_Timer,TF_Tekniker,X$4,TF_Dato,$A800))*2,0)/2)))</f>
        <v/>
      </c>
      <c r="Y800">
        <f>IF(OR(Y$4="",$A800&gt;TODAY()),0,IF(OR(INDEX($B800:$D800,Y$5)="F",AND(Y$6&gt;0,$A800&lt;Y$6),AND(Y$7&gt;0,$A800&gt;Y$7)),0,MAX(0,ROUND((INDEX($E800:$G800,Y$5)-SUMIFS(TF_Timer,TF_Tekniker,Y$4,TF_Dato,$A800))*2,0)/2)))</f>
        <v/>
      </c>
      <c r="Z800">
        <f>IF(OR(Z$4="",$A800&gt;TODAY()),0,IF(OR(INDEX($B800:$D800,Z$5)="F",AND(Z$6&gt;0,$A800&lt;Z$6),AND(Z$7&gt;0,$A800&gt;Z$7)),0,MAX(0,ROUND((INDEX($E800:$G800,Z$5)-SUMIFS(TF_Timer,TF_Tekniker,Z$4,TF_Dato,$A800))*2,0)/2)))</f>
        <v/>
      </c>
      <c r="AA800">
        <f>IF(OR(AA$4="",$A800&gt;TODAY()),0,IF(OR(INDEX($B800:$D800,AA$5)="F",AND(AA$6&gt;0,$A800&lt;AA$6),AND(AA$7&gt;0,$A800&gt;AA$7)),0,MAX(0,ROUND((INDEX($E800:$G800,AA$5)-SUMIFS(TF_Timer,TF_Tekniker,AA$4,TF_Dato,$A800))*2,0)/2)))</f>
        <v/>
      </c>
      <c r="AB800">
        <f>IF(OR(AB$4="",$A800&gt;TODAY()),0,IF(OR(INDEX($B800:$D800,AB$5)="F",AND(AB$6&gt;0,$A800&lt;AB$6),AND(AB$7&gt;0,$A800&gt;AB$7)),0,MAX(0,ROUND((INDEX($E800:$G800,AB$5)-SUMIFS(TF_Timer,TF_Tekniker,AB$4,TF_Dato,$A800))*2,0)/2)))</f>
        <v/>
      </c>
      <c r="AC800">
        <f>IF(OR(AC$4="",$A800&gt;TODAY()),0,IF(OR(INDEX($B800:$D800,AC$5)="F",AND(AC$6&gt;0,$A800&lt;AC$6),AND(AC$7&gt;0,$A800&gt;AC$7)),0,MAX(0,ROUND((INDEX($E800:$G800,AC$5)-SUMIFS(TF_Timer,TF_Tekniker,AC$4,TF_Dato,$A800))*2,0)/2)))</f>
        <v/>
      </c>
      <c r="AD800">
        <f>IF(OR(AD$4="",$A800&gt;TODAY()),0,IF(OR(INDEX($B800:$D800,AD$5)="F",AND(AD$6&gt;0,$A800&lt;AD$6),AND(AD$7&gt;0,$A800&gt;AD$7)),0,MAX(0,ROUND((INDEX($E800:$G800,AD$5)-SUMIFS(TF_Timer,TF_Tekniker,AD$4,TF_Dato,$A800))*2,0)/2)))</f>
        <v/>
      </c>
      <c r="AE800">
        <f>IF(OR(AE$4="",$A800&gt;TODAY()),0,IF(OR(INDEX($B800:$D800,AE$5)="F",AND(AE$6&gt;0,$A800&lt;AE$6),AND(AE$7&gt;0,$A800&gt;AE$7)),0,MAX(0,ROUND((INDEX($E800:$G800,AE$5)-SUMIFS(TF_Timer,TF_Tekniker,AE$4,TF_Dato,$A800))*2,0)/2)))</f>
        <v/>
      </c>
      <c r="AF800">
        <f>IF(OR(AF$4="",$A800&gt;TODAY()),0,IF(OR(INDEX($B800:$D800,AF$5)="F",AND(AF$6&gt;0,$A800&lt;AF$6),AND(AF$7&gt;0,$A800&gt;AF$7)),0,MAX(0,ROUND((INDEX($E800:$G800,AF$5)-SUMIFS(TF_Timer,TF_Tekniker,AF$4,TF_Dato,$A800))*2,0)/2)))</f>
        <v/>
      </c>
      <c r="AG800">
        <f>IF(OR(AG$4="",$A800&gt;TODAY()),0,IF(OR(INDEX($B800:$D800,AG$5)="F",AND(AG$6&gt;0,$A800&lt;AG$6),AND(AG$7&gt;0,$A800&gt;AG$7)),0,MAX(0,ROUND((INDEX($E800:$G800,AG$5)-SUMIFS(TF_Timer,TF_Tekniker,AG$4,TF_Dato,$A800))*2,0)/2)))</f>
        <v/>
      </c>
      <c r="AH800">
        <f>IF(OR(AH$4="",$A800&gt;TODAY()),0,IF(OR(INDEX($B800:$D800,AH$5)="F",AND(AH$6&gt;0,$A800&lt;AH$6),AND(AH$7&gt;0,$A800&gt;AH$7)),0,MAX(0,ROUND((INDEX($E800:$G800,AH$5)-SUMIFS(TF_Timer,TF_Tekniker,AH$4,TF_Dato,$A800))*2,0)/2)))</f>
        <v/>
      </c>
      <c r="AI800">
        <f>IF(OR(AI$4="",$A800&gt;TODAY()),0,IF(OR(INDEX($B800:$D800,AI$5)="F",AND(AI$6&gt;0,$A800&lt;AI$6),AND(AI$7&gt;0,$A800&gt;AI$7)),0,MAX(0,ROUND((INDEX($E800:$G800,AI$5)-SUMIFS(TF_Timer,TF_Tekniker,AI$4,TF_Dato,$A800))*2,0)/2)))</f>
        <v/>
      </c>
      <c r="AJ800">
        <f>IF(OR(AJ$4="",$A800&gt;TODAY()),0,IF(OR(INDEX($B800:$D800,AJ$5)="F",AND(AJ$6&gt;0,$A800&lt;AJ$6),AND(AJ$7&gt;0,$A800&gt;AJ$7)),0,MAX(0,ROUND((INDEX($E800:$G800,AJ$5)-SUMIFS(TF_Timer,TF_Tekniker,AJ$4,TF_Dato,$A800))*2,0)/2)))</f>
        <v/>
      </c>
      <c r="AK800">
        <f>IF(OR(AK$4="",$A800&gt;TODAY()),0,IF(OR(INDEX($B800:$D800,AK$5)="F",AND(AK$6&gt;0,$A800&lt;AK$6),AND(AK$7&gt;0,$A800&gt;AK$7)),0,MAX(0,ROUND((INDEX($E800:$G800,AK$5)-SUMIFS(TF_Timer,TF_Tekniker,AK$4,TF_Dato,$A800))*2,0)/2)))</f>
        <v/>
      </c>
      <c r="AL800">
        <f>IF(OR(AL$4="",$A800&gt;TODAY()),0,IF(OR(INDEX($B800:$D800,AL$5)="F",AND(AL$6&gt;0,$A800&lt;AL$6),AND(AL$7&gt;0,$A800&gt;AL$7)),0,MAX(0,ROUND((INDEX($E800:$G800,AL$5)-SUMIFS(TF_Timer,TF_Tekniker,AL$4,TF_Dato,$A800))*2,0)/2)))</f>
        <v/>
      </c>
      <c r="AM800">
        <f>IF(OR(AM$4="",$A800&gt;TODAY()),0,IF(OR(INDEX($B800:$D800,AM$5)="F",AND(AM$6&gt;0,$A800&lt;AM$6),AND(AM$7&gt;0,$A800&gt;AM$7)),0,MAX(0,ROUND((INDEX($E800:$G800,AM$5)-SUMIFS(TF_Timer,TF_Tekniker,AM$4,TF_Dato,$A800))*2,0)/2)))</f>
        <v/>
      </c>
      <c r="AN800">
        <f>IF(OR(AN$4="",$A800&gt;TODAY()),0,IF(OR(INDEX($B800:$D800,AN$5)="F",AND(AN$6&gt;0,$A800&lt;AN$6),AND(AN$7&gt;0,$A800&gt;AN$7)),0,MAX(0,ROUND((INDEX($E800:$G800,AN$5)-SUMIFS(TF_Timer,TF_Tekniker,AN$4,TF_Dato,$A800))*2,0)/2)))</f>
        <v/>
      </c>
      <c r="AO800">
        <f>IF(OR(AO$4="",$A800&gt;TODAY()),0,IF(OR(INDEX($B800:$D800,AO$5)="F",AND(AO$6&gt;0,$A800&lt;AO$6),AND(AO$7&gt;0,$A800&gt;AO$7)),0,MAX(0,ROUND((INDEX($E800:$G800,AO$5)-SUMIFS(TF_Timer,TF_Tekniker,AO$4,TF_Dato,$A800))*2,0)/2)))</f>
        <v/>
      </c>
      <c r="AP800">
        <f>IF(OR(AP$4="",$A800&gt;TODAY()),0,IF(OR(INDEX($B800:$D800,AP$5)="F",AND(AP$6&gt;0,$A800&lt;AP$6),AND(AP$7&gt;0,$A800&gt;AP$7)),0,MAX(0,ROUND((INDEX($E800:$G800,AP$5)-SUMIFS(TF_Timer,TF_Tekniker,AP$4,TF_Dato,$A800))*2,0)/2)))</f>
        <v/>
      </c>
      <c r="AQ800">
        <f>IF(OR(AQ$4="",$A800&gt;TODAY()),0,IF(OR(INDEX($B800:$D800,AQ$5)="F",AND(AQ$6&gt;0,$A800&lt;AQ$6),AND(AQ$7&gt;0,$A800&gt;AQ$7)),0,MAX(0,ROUND((INDEX($E800:$G800,AQ$5)-SUMIFS(TF_Timer,TF_Tekniker,AQ$4,TF_Dato,$A800))*2,0)/2)))</f>
        <v/>
      </c>
      <c r="AR800">
        <f>IF(OR(AR$4="",$A800&gt;TODAY()),0,IF(OR(INDEX($B800:$D800,AR$5)="F",AND(AR$6&gt;0,$A800&lt;AR$6),AND(AR$7&gt;0,$A800&gt;AR$7)),0,MAX(0,ROUND((INDEX($E800:$G800,AR$5)-SUMIFS(TF_Timer,TF_Tekniker,AR$4,TF_Dato,$A800))*2,0)/2)))</f>
        <v/>
      </c>
      <c r="AS800">
        <f>IF(OR(AS$4="",$A800&gt;TODAY()),0,IF(OR(INDEX($B800:$D800,AS$5)="F",AND(AS$6&gt;0,$A800&lt;AS$6),AND(AS$7&gt;0,$A800&gt;AS$7)),0,MAX(0,ROUND((INDEX($E800:$G800,AS$5)-SUMIFS(TF_Timer,TF_Tekniker,AS$4,TF_Dato,$A800))*2,0)/2)))</f>
        <v/>
      </c>
      <c r="AT800">
        <f>IF(OR(AT$4="",$A800&gt;TODAY()),0,IF(OR(INDEX($B800:$D800,AT$5)="F",AND(AT$6&gt;0,$A800&lt;AT$6),AND(AT$7&gt;0,$A800&gt;AT$7)),0,MAX(0,ROUND((INDEX($E800:$G800,AT$5)-SUMIFS(TF_Timer,TF_Tekniker,AT$4,TF_Dato,$A800))*2,0)/2)))</f>
        <v/>
      </c>
      <c r="AU800">
        <f>IF(OR(AU$4="",$A800&gt;TODAY()),0,IF(OR(INDEX($B800:$D800,AU$5)="F",AND(AU$6&gt;0,$A800&lt;AU$6),AND(AU$7&gt;0,$A800&gt;AU$7)),0,MAX(0,ROUND((INDEX($E800:$G800,AU$5)-SUMIFS(TF_Timer,TF_Tekniker,AU$4,TF_Dato,$A800))*2,0)/2)))</f>
        <v/>
      </c>
      <c r="AV800">
        <f>IF(OR(AV$4="",$A800&gt;TODAY()),0,IF(OR(INDEX($B800:$D800,AV$5)="F",AND(AV$6&gt;0,$A800&lt;AV$6),AND(AV$7&gt;0,$A800&gt;AV$7)),0,MAX(0,ROUND((INDEX($E800:$G800,AV$5)-SUMIFS(TF_Timer,TF_Tekniker,AV$4,TF_Dato,$A800))*2,0)/2)))</f>
        <v/>
      </c>
      <c r="AW800">
        <f>IF(OR(AW$4="",$A800&gt;TODAY()),0,IF(OR(INDEX($B800:$D800,AW$5)="F",AND(AW$6&gt;0,$A800&lt;AW$6),AND(AW$7&gt;0,$A800&gt;AW$7)),0,MAX(0,ROUND((INDEX($E800:$G800,AW$5)-SUMIFS(TF_Timer,TF_Tekniker,AW$4,TF_Dato,$A800))*2,0)/2)))</f>
        <v/>
      </c>
      <c r="AX800">
        <f>IF(OR(AX$4="",$A800&gt;TODAY()),0,IF(OR(INDEX($B800:$D800,AX$5)="F",AND(AX$6&gt;0,$A800&lt;AX$6),AND(AX$7&gt;0,$A800&gt;AX$7)),0,MAX(0,ROUND((INDEX($E800:$G800,AX$5)-SUMIFS(TF_Timer,TF_Tekniker,AX$4,TF_Dato,$A800))*2,0)/2)))</f>
        <v/>
      </c>
      <c r="AY800">
        <f>IF(OR(AY$4="",$A800&gt;TODAY()),0,IF(OR(INDEX($B800:$D800,AY$5)="F",AND(AY$6&gt;0,$A800&lt;AY$6),AND(AY$7&gt;0,$A800&gt;AY$7)),0,MAX(0,ROUND((INDEX($E800:$G800,AY$5)-SUMIFS(TF_Timer,TF_Tekniker,AY$4,TF_Dato,$A800))*2,0)/2)))</f>
        <v/>
      </c>
      <c r="AZ800">
        <f>IF(OR(AZ$4="",$A800&gt;TODAY()),0,IF(OR(INDEX($B800:$D800,AZ$5)="F",AND(AZ$6&gt;0,$A800&lt;AZ$6),AND(AZ$7&gt;0,$A800&gt;AZ$7)),0,MAX(0,ROUND((INDEX($E800:$G800,AZ$5)-SUMIFS(TF_Timer,TF_Tekniker,AZ$4,TF_Dato,$A800))*2,0)/2)))</f>
        <v/>
      </c>
      <c r="BA800">
        <f>IF(OR(BA$4="",$A800&gt;TODAY()),0,IF(OR(INDEX($B800:$D800,BA$5)="F",AND(BA$6&gt;0,$A800&lt;BA$6),AND(BA$7&gt;0,$A800&gt;BA$7)),0,MAX(0,ROUND((INDEX($E800:$G800,BA$5)-SUMIFS(TF_Timer,TF_Tekniker,BA$4,TF_Dato,$A800))*2,0)/2)))</f>
        <v/>
      </c>
      <c r="BB800">
        <f>IF(OR(BB$4="",$A800&gt;TODAY()),0,IF(OR(INDEX($B800:$D800,BB$5)="F",AND(BB$6&gt;0,$A800&lt;BB$6),AND(BB$7&gt;0,$A800&gt;BB$7)),0,MAX(0,ROUND((INDEX($E800:$G800,BB$5)-SUMIFS(TF_Timer,TF_Tekniker,BB$4,TF_Dato,$A800))*2,0)/2)))</f>
        <v/>
      </c>
      <c r="BC800">
        <f>IF(OR(BC$4="",$A800&gt;TODAY()),0,IF(OR(INDEX($B800:$D800,BC$5)="F",AND(BC$6&gt;0,$A800&lt;BC$6),AND(BC$7&gt;0,$A800&gt;BC$7)),0,MAX(0,ROUND((INDEX($E800:$G800,BC$5)-SUMIFS(TF_Timer,TF_Tekniker,BC$4,TF_Dato,$A800))*2,0)/2)))</f>
        <v/>
      </c>
      <c r="BD800">
        <f>IF(OR(BD$4="",$A800&gt;TODAY()),0,IF(OR(INDEX($B800:$D800,BD$5)="F",AND(BD$6&gt;0,$A800&lt;BD$6),AND(BD$7&gt;0,$A800&gt;BD$7)),0,MAX(0,ROUND((INDEX($E800:$G800,BD$5)-SUMIFS(TF_Timer,TF_Tekniker,BD$4,TF_Dato,$A800))*2,0)/2)))</f>
        <v/>
      </c>
      <c r="BE800">
        <f>IF(OR(BE$4="",$A800&gt;TODAY()),0,IF(OR(INDEX($B800:$D800,BE$5)="F",AND(BE$6&gt;0,$A800&lt;BE$6),AND(BE$7&gt;0,$A800&gt;BE$7)),0,MAX(0,ROUND((INDEX($E800:$G800,BE$5)-SUMIFS(TF_Timer,TF_Tekniker,BE$4,TF_Dato,$A800))*2,0)/2)))</f>
        <v/>
      </c>
      <c r="BF800">
        <f>IF(OR(BF$4="",$A800&gt;TODAY()),0,IF(OR(INDEX($B800:$D800,BF$5)="F",AND(BF$6&gt;0,$A800&lt;BF$6),AND(BF$7&gt;0,$A800&gt;BF$7)),0,MAX(0,ROUND((INDEX($E800:$G800,BF$5)-SUMIFS(TF_Timer,TF_Tekniker,BF$4,TF_Dato,$A800))*2,0)/2)))</f>
        <v/>
      </c>
      <c r="BG800">
        <f>IF(OR(BG$4="",$A800&gt;TODAY()),0,IF(OR(INDEX($B800:$D800,BG$5)="F",AND(BG$6&gt;0,$A800&lt;BG$6),AND(BG$7&gt;0,$A800&gt;BG$7)),0,MAX(0,ROUND((INDEX($E800:$G800,BG$5)-SUMIFS(TF_Timer,TF_Tekniker,BG$4,TF_Dato,$A800))*2,0)/2)))</f>
        <v/>
      </c>
      <c r="BH800">
        <f>IF(OR(BH$4="",$A800&gt;TODAY()),0,IF(OR(INDEX($B800:$D800,BH$5)="F",AND(BH$6&gt;0,$A800&lt;BH$6),AND(BH$7&gt;0,$A800&gt;BH$7)),0,MAX(0,ROUND((INDEX($E800:$G800,BH$5)-SUMIFS(TF_Timer,TF_Tekniker,BH$4,TF_Dato,$A800))*2,0)/2)))</f>
        <v/>
      </c>
      <c r="BI800">
        <f>IF(OR(BI$4="",$A800&gt;TODAY()),0,IF(OR(INDEX($B800:$D800,BI$5)="F",AND(BI$6&gt;0,$A800&lt;BI$6),AND(BI$7&gt;0,$A800&gt;BI$7)),0,MAX(0,ROUND((INDEX($E800:$G800,BI$5)-SUMIFS(TF_Timer,TF_Tekniker,BI$4,TF_Dato,$A800))*2,0)/2)))</f>
        <v/>
      </c>
    </row>
    <row r="801">
      <c r="A801" s="64">
        <f>A800+1</f>
        <v/>
      </c>
      <c r="B801">
        <f>IF(MOD($A801-INDEX(SkiftStart,1),Syklus)&lt;DagK,"K",IF(MOD($A801-INDEX(SkiftStart,1),Syklus)&lt;DagK+DagH,"H",IF(MOD($A801-INDEX(SkiftStart,1),Syklus)&lt;DagK+DagH+DagD,"D","F")))</f>
        <v/>
      </c>
      <c r="C801">
        <f>IF(MOD($A801-INDEX(SkiftStart,2),Syklus)&lt;DagK,"K",IF(MOD($A801-INDEX(SkiftStart,2),Syklus)&lt;DagK+DagH,"H",IF(MOD($A801-INDEX(SkiftStart,2),Syklus)&lt;DagK+DagH+DagD,"D","F")))</f>
        <v/>
      </c>
      <c r="D801">
        <f>IF(MOD($A801-INDEX(SkiftStart,3),Syklus)&lt;DagK,"K",IF(MOD($A801-INDEX(SkiftStart,3),Syklus)&lt;DagK+DagH,"H",IF(MOD($A801-INDEX(SkiftStart,3),Syklus)&lt;DagK+DagH+DagD,"D","F")))</f>
        <v/>
      </c>
      <c r="E801">
        <f>IF(B801="F",0,IF(WEEKDAY($A801,2)=5,INDEX(TimerFr,MATCH(B801,FaseKode,0)),INDEX(TimerMT,MATCH(B801,FaseKode,0))))</f>
        <v/>
      </c>
      <c r="F801">
        <f>IF(C801="F",0,IF(WEEKDAY($A801,2)=5,INDEX(TimerFr,MATCH(C801,FaseKode,0)),INDEX(TimerMT,MATCH(C801,FaseKode,0))))</f>
        <v/>
      </c>
      <c r="G801">
        <f>IF(D801="F",0,IF(WEEKDAY($A801,2)=5,INDEX(TimerFr,MATCH(D801,FaseKode,0)),INDEX(TimerMT,MATCH(D801,FaseKode,0))))</f>
        <v/>
      </c>
      <c r="H801">
        <f>IF(OR(H$4="",$A801&gt;TODAY()),0,IF(OR(INDEX($B801:$D801,H$5)="F",AND(H$6&gt;0,$A801&lt;H$6),AND(H$7&gt;0,$A801&gt;H$7)),0,MAX(0,ROUND((INDEX($E801:$G801,H$5)-SUMIFS(TF_Timer,TF_Tekniker,H$4,TF_Dato,$A801))*2,0)/2)))</f>
        <v/>
      </c>
      <c r="I801">
        <f>IF(OR(I$4="",$A801&gt;TODAY()),0,IF(OR(INDEX($B801:$D801,I$5)="F",AND(I$6&gt;0,$A801&lt;I$6),AND(I$7&gt;0,$A801&gt;I$7)),0,MAX(0,ROUND((INDEX($E801:$G801,I$5)-SUMIFS(TF_Timer,TF_Tekniker,I$4,TF_Dato,$A801))*2,0)/2)))</f>
        <v/>
      </c>
      <c r="J801">
        <f>IF(OR(J$4="",$A801&gt;TODAY()),0,IF(OR(INDEX($B801:$D801,J$5)="F",AND(J$6&gt;0,$A801&lt;J$6),AND(J$7&gt;0,$A801&gt;J$7)),0,MAX(0,ROUND((INDEX($E801:$G801,J$5)-SUMIFS(TF_Timer,TF_Tekniker,J$4,TF_Dato,$A801))*2,0)/2)))</f>
        <v/>
      </c>
      <c r="K801">
        <f>IF(OR(K$4="",$A801&gt;TODAY()),0,IF(OR(INDEX($B801:$D801,K$5)="F",AND(K$6&gt;0,$A801&lt;K$6),AND(K$7&gt;0,$A801&gt;K$7)),0,MAX(0,ROUND((INDEX($E801:$G801,K$5)-SUMIFS(TF_Timer,TF_Tekniker,K$4,TF_Dato,$A801))*2,0)/2)))</f>
        <v/>
      </c>
      <c r="L801">
        <f>IF(OR(L$4="",$A801&gt;TODAY()),0,IF(OR(INDEX($B801:$D801,L$5)="F",AND(L$6&gt;0,$A801&lt;L$6),AND(L$7&gt;0,$A801&gt;L$7)),0,MAX(0,ROUND((INDEX($E801:$G801,L$5)-SUMIFS(TF_Timer,TF_Tekniker,L$4,TF_Dato,$A801))*2,0)/2)))</f>
        <v/>
      </c>
      <c r="M801">
        <f>IF(OR(M$4="",$A801&gt;TODAY()),0,IF(OR(INDEX($B801:$D801,M$5)="F",AND(M$6&gt;0,$A801&lt;M$6),AND(M$7&gt;0,$A801&gt;M$7)),0,MAX(0,ROUND((INDEX($E801:$G801,M$5)-SUMIFS(TF_Timer,TF_Tekniker,M$4,TF_Dato,$A801))*2,0)/2)))</f>
        <v/>
      </c>
      <c r="N801">
        <f>IF(OR(N$4="",$A801&gt;TODAY()),0,IF(OR(INDEX($B801:$D801,N$5)="F",AND(N$6&gt;0,$A801&lt;N$6),AND(N$7&gt;0,$A801&gt;N$7)),0,MAX(0,ROUND((INDEX($E801:$G801,N$5)-SUMIFS(TF_Timer,TF_Tekniker,N$4,TF_Dato,$A801))*2,0)/2)))</f>
        <v/>
      </c>
      <c r="O801">
        <f>IF(OR(O$4="",$A801&gt;TODAY()),0,IF(OR(INDEX($B801:$D801,O$5)="F",AND(O$6&gt;0,$A801&lt;O$6),AND(O$7&gt;0,$A801&gt;O$7)),0,MAX(0,ROUND((INDEX($E801:$G801,O$5)-SUMIFS(TF_Timer,TF_Tekniker,O$4,TF_Dato,$A801))*2,0)/2)))</f>
        <v/>
      </c>
      <c r="P801">
        <f>IF(OR(P$4="",$A801&gt;TODAY()),0,IF(OR(INDEX($B801:$D801,P$5)="F",AND(P$6&gt;0,$A801&lt;P$6),AND(P$7&gt;0,$A801&gt;P$7)),0,MAX(0,ROUND((INDEX($E801:$G801,P$5)-SUMIFS(TF_Timer,TF_Tekniker,P$4,TF_Dato,$A801))*2,0)/2)))</f>
        <v/>
      </c>
      <c r="Q801">
        <f>IF(OR(Q$4="",$A801&gt;TODAY()),0,IF(OR(INDEX($B801:$D801,Q$5)="F",AND(Q$6&gt;0,$A801&lt;Q$6),AND(Q$7&gt;0,$A801&gt;Q$7)),0,MAX(0,ROUND((INDEX($E801:$G801,Q$5)-SUMIFS(TF_Timer,TF_Tekniker,Q$4,TF_Dato,$A801))*2,0)/2)))</f>
        <v/>
      </c>
      <c r="R801">
        <f>IF(OR(R$4="",$A801&gt;TODAY()),0,IF(OR(INDEX($B801:$D801,R$5)="F",AND(R$6&gt;0,$A801&lt;R$6),AND(R$7&gt;0,$A801&gt;R$7)),0,MAX(0,ROUND((INDEX($E801:$G801,R$5)-SUMIFS(TF_Timer,TF_Tekniker,R$4,TF_Dato,$A801))*2,0)/2)))</f>
        <v/>
      </c>
      <c r="S801">
        <f>IF(OR(S$4="",$A801&gt;TODAY()),0,IF(OR(INDEX($B801:$D801,S$5)="F",AND(S$6&gt;0,$A801&lt;S$6),AND(S$7&gt;0,$A801&gt;S$7)),0,MAX(0,ROUND((INDEX($E801:$G801,S$5)-SUMIFS(TF_Timer,TF_Tekniker,S$4,TF_Dato,$A801))*2,0)/2)))</f>
        <v/>
      </c>
      <c r="T801">
        <f>IF(OR(T$4="",$A801&gt;TODAY()),0,IF(OR(INDEX($B801:$D801,T$5)="F",AND(T$6&gt;0,$A801&lt;T$6),AND(T$7&gt;0,$A801&gt;T$7)),0,MAX(0,ROUND((INDEX($E801:$G801,T$5)-SUMIFS(TF_Timer,TF_Tekniker,T$4,TF_Dato,$A801))*2,0)/2)))</f>
        <v/>
      </c>
      <c r="U801">
        <f>IF(OR(U$4="",$A801&gt;TODAY()),0,IF(OR(INDEX($B801:$D801,U$5)="F",AND(U$6&gt;0,$A801&lt;U$6),AND(U$7&gt;0,$A801&gt;U$7)),0,MAX(0,ROUND((INDEX($E801:$G801,U$5)-SUMIFS(TF_Timer,TF_Tekniker,U$4,TF_Dato,$A801))*2,0)/2)))</f>
        <v/>
      </c>
      <c r="V801">
        <f>IF(OR(V$4="",$A801&gt;TODAY()),0,IF(OR(INDEX($B801:$D801,V$5)="F",AND(V$6&gt;0,$A801&lt;V$6),AND(V$7&gt;0,$A801&gt;V$7)),0,MAX(0,ROUND((INDEX($E801:$G801,V$5)-SUMIFS(TF_Timer,TF_Tekniker,V$4,TF_Dato,$A801))*2,0)/2)))</f>
        <v/>
      </c>
      <c r="W801">
        <f>IF(OR(W$4="",$A801&gt;TODAY()),0,IF(OR(INDEX($B801:$D801,W$5)="F",AND(W$6&gt;0,$A801&lt;W$6),AND(W$7&gt;0,$A801&gt;W$7)),0,MAX(0,ROUND((INDEX($E801:$G801,W$5)-SUMIFS(TF_Timer,TF_Tekniker,W$4,TF_Dato,$A801))*2,0)/2)))</f>
        <v/>
      </c>
      <c r="X801">
        <f>IF(OR(X$4="",$A801&gt;TODAY()),0,IF(OR(INDEX($B801:$D801,X$5)="F",AND(X$6&gt;0,$A801&lt;X$6),AND(X$7&gt;0,$A801&gt;X$7)),0,MAX(0,ROUND((INDEX($E801:$G801,X$5)-SUMIFS(TF_Timer,TF_Tekniker,X$4,TF_Dato,$A801))*2,0)/2)))</f>
        <v/>
      </c>
      <c r="Y801">
        <f>IF(OR(Y$4="",$A801&gt;TODAY()),0,IF(OR(INDEX($B801:$D801,Y$5)="F",AND(Y$6&gt;0,$A801&lt;Y$6),AND(Y$7&gt;0,$A801&gt;Y$7)),0,MAX(0,ROUND((INDEX($E801:$G801,Y$5)-SUMIFS(TF_Timer,TF_Tekniker,Y$4,TF_Dato,$A801))*2,0)/2)))</f>
        <v/>
      </c>
      <c r="Z801">
        <f>IF(OR(Z$4="",$A801&gt;TODAY()),0,IF(OR(INDEX($B801:$D801,Z$5)="F",AND(Z$6&gt;0,$A801&lt;Z$6),AND(Z$7&gt;0,$A801&gt;Z$7)),0,MAX(0,ROUND((INDEX($E801:$G801,Z$5)-SUMIFS(TF_Timer,TF_Tekniker,Z$4,TF_Dato,$A801))*2,0)/2)))</f>
        <v/>
      </c>
      <c r="AA801">
        <f>IF(OR(AA$4="",$A801&gt;TODAY()),0,IF(OR(INDEX($B801:$D801,AA$5)="F",AND(AA$6&gt;0,$A801&lt;AA$6),AND(AA$7&gt;0,$A801&gt;AA$7)),0,MAX(0,ROUND((INDEX($E801:$G801,AA$5)-SUMIFS(TF_Timer,TF_Tekniker,AA$4,TF_Dato,$A801))*2,0)/2)))</f>
        <v/>
      </c>
      <c r="AB801">
        <f>IF(OR(AB$4="",$A801&gt;TODAY()),0,IF(OR(INDEX($B801:$D801,AB$5)="F",AND(AB$6&gt;0,$A801&lt;AB$6),AND(AB$7&gt;0,$A801&gt;AB$7)),0,MAX(0,ROUND((INDEX($E801:$G801,AB$5)-SUMIFS(TF_Timer,TF_Tekniker,AB$4,TF_Dato,$A801))*2,0)/2)))</f>
        <v/>
      </c>
      <c r="AC801">
        <f>IF(OR(AC$4="",$A801&gt;TODAY()),0,IF(OR(INDEX($B801:$D801,AC$5)="F",AND(AC$6&gt;0,$A801&lt;AC$6),AND(AC$7&gt;0,$A801&gt;AC$7)),0,MAX(0,ROUND((INDEX($E801:$G801,AC$5)-SUMIFS(TF_Timer,TF_Tekniker,AC$4,TF_Dato,$A801))*2,0)/2)))</f>
        <v/>
      </c>
      <c r="AD801">
        <f>IF(OR(AD$4="",$A801&gt;TODAY()),0,IF(OR(INDEX($B801:$D801,AD$5)="F",AND(AD$6&gt;0,$A801&lt;AD$6),AND(AD$7&gt;0,$A801&gt;AD$7)),0,MAX(0,ROUND((INDEX($E801:$G801,AD$5)-SUMIFS(TF_Timer,TF_Tekniker,AD$4,TF_Dato,$A801))*2,0)/2)))</f>
        <v/>
      </c>
      <c r="AE801">
        <f>IF(OR(AE$4="",$A801&gt;TODAY()),0,IF(OR(INDEX($B801:$D801,AE$5)="F",AND(AE$6&gt;0,$A801&lt;AE$6),AND(AE$7&gt;0,$A801&gt;AE$7)),0,MAX(0,ROUND((INDEX($E801:$G801,AE$5)-SUMIFS(TF_Timer,TF_Tekniker,AE$4,TF_Dato,$A801))*2,0)/2)))</f>
        <v/>
      </c>
      <c r="AF801">
        <f>IF(OR(AF$4="",$A801&gt;TODAY()),0,IF(OR(INDEX($B801:$D801,AF$5)="F",AND(AF$6&gt;0,$A801&lt;AF$6),AND(AF$7&gt;0,$A801&gt;AF$7)),0,MAX(0,ROUND((INDEX($E801:$G801,AF$5)-SUMIFS(TF_Timer,TF_Tekniker,AF$4,TF_Dato,$A801))*2,0)/2)))</f>
        <v/>
      </c>
      <c r="AG801">
        <f>IF(OR(AG$4="",$A801&gt;TODAY()),0,IF(OR(INDEX($B801:$D801,AG$5)="F",AND(AG$6&gt;0,$A801&lt;AG$6),AND(AG$7&gt;0,$A801&gt;AG$7)),0,MAX(0,ROUND((INDEX($E801:$G801,AG$5)-SUMIFS(TF_Timer,TF_Tekniker,AG$4,TF_Dato,$A801))*2,0)/2)))</f>
        <v/>
      </c>
      <c r="AH801">
        <f>IF(OR(AH$4="",$A801&gt;TODAY()),0,IF(OR(INDEX($B801:$D801,AH$5)="F",AND(AH$6&gt;0,$A801&lt;AH$6),AND(AH$7&gt;0,$A801&gt;AH$7)),0,MAX(0,ROUND((INDEX($E801:$G801,AH$5)-SUMIFS(TF_Timer,TF_Tekniker,AH$4,TF_Dato,$A801))*2,0)/2)))</f>
        <v/>
      </c>
      <c r="AI801">
        <f>IF(OR(AI$4="",$A801&gt;TODAY()),0,IF(OR(INDEX($B801:$D801,AI$5)="F",AND(AI$6&gt;0,$A801&lt;AI$6),AND(AI$7&gt;0,$A801&gt;AI$7)),0,MAX(0,ROUND((INDEX($E801:$G801,AI$5)-SUMIFS(TF_Timer,TF_Tekniker,AI$4,TF_Dato,$A801))*2,0)/2)))</f>
        <v/>
      </c>
      <c r="AJ801">
        <f>IF(OR(AJ$4="",$A801&gt;TODAY()),0,IF(OR(INDEX($B801:$D801,AJ$5)="F",AND(AJ$6&gt;0,$A801&lt;AJ$6),AND(AJ$7&gt;0,$A801&gt;AJ$7)),0,MAX(0,ROUND((INDEX($E801:$G801,AJ$5)-SUMIFS(TF_Timer,TF_Tekniker,AJ$4,TF_Dato,$A801))*2,0)/2)))</f>
        <v/>
      </c>
      <c r="AK801">
        <f>IF(OR(AK$4="",$A801&gt;TODAY()),0,IF(OR(INDEX($B801:$D801,AK$5)="F",AND(AK$6&gt;0,$A801&lt;AK$6),AND(AK$7&gt;0,$A801&gt;AK$7)),0,MAX(0,ROUND((INDEX($E801:$G801,AK$5)-SUMIFS(TF_Timer,TF_Tekniker,AK$4,TF_Dato,$A801))*2,0)/2)))</f>
        <v/>
      </c>
      <c r="AL801">
        <f>IF(OR(AL$4="",$A801&gt;TODAY()),0,IF(OR(INDEX($B801:$D801,AL$5)="F",AND(AL$6&gt;0,$A801&lt;AL$6),AND(AL$7&gt;0,$A801&gt;AL$7)),0,MAX(0,ROUND((INDEX($E801:$G801,AL$5)-SUMIFS(TF_Timer,TF_Tekniker,AL$4,TF_Dato,$A801))*2,0)/2)))</f>
        <v/>
      </c>
      <c r="AM801">
        <f>IF(OR(AM$4="",$A801&gt;TODAY()),0,IF(OR(INDEX($B801:$D801,AM$5)="F",AND(AM$6&gt;0,$A801&lt;AM$6),AND(AM$7&gt;0,$A801&gt;AM$7)),0,MAX(0,ROUND((INDEX($E801:$G801,AM$5)-SUMIFS(TF_Timer,TF_Tekniker,AM$4,TF_Dato,$A801))*2,0)/2)))</f>
        <v/>
      </c>
      <c r="AN801">
        <f>IF(OR(AN$4="",$A801&gt;TODAY()),0,IF(OR(INDEX($B801:$D801,AN$5)="F",AND(AN$6&gt;0,$A801&lt;AN$6),AND(AN$7&gt;0,$A801&gt;AN$7)),0,MAX(0,ROUND((INDEX($E801:$G801,AN$5)-SUMIFS(TF_Timer,TF_Tekniker,AN$4,TF_Dato,$A801))*2,0)/2)))</f>
        <v/>
      </c>
      <c r="AO801">
        <f>IF(OR(AO$4="",$A801&gt;TODAY()),0,IF(OR(INDEX($B801:$D801,AO$5)="F",AND(AO$6&gt;0,$A801&lt;AO$6),AND(AO$7&gt;0,$A801&gt;AO$7)),0,MAX(0,ROUND((INDEX($E801:$G801,AO$5)-SUMIFS(TF_Timer,TF_Tekniker,AO$4,TF_Dato,$A801))*2,0)/2)))</f>
        <v/>
      </c>
      <c r="AP801">
        <f>IF(OR(AP$4="",$A801&gt;TODAY()),0,IF(OR(INDEX($B801:$D801,AP$5)="F",AND(AP$6&gt;0,$A801&lt;AP$6),AND(AP$7&gt;0,$A801&gt;AP$7)),0,MAX(0,ROUND((INDEX($E801:$G801,AP$5)-SUMIFS(TF_Timer,TF_Tekniker,AP$4,TF_Dato,$A801))*2,0)/2)))</f>
        <v/>
      </c>
      <c r="AQ801">
        <f>IF(OR(AQ$4="",$A801&gt;TODAY()),0,IF(OR(INDEX($B801:$D801,AQ$5)="F",AND(AQ$6&gt;0,$A801&lt;AQ$6),AND(AQ$7&gt;0,$A801&gt;AQ$7)),0,MAX(0,ROUND((INDEX($E801:$G801,AQ$5)-SUMIFS(TF_Timer,TF_Tekniker,AQ$4,TF_Dato,$A801))*2,0)/2)))</f>
        <v/>
      </c>
      <c r="AR801">
        <f>IF(OR(AR$4="",$A801&gt;TODAY()),0,IF(OR(INDEX($B801:$D801,AR$5)="F",AND(AR$6&gt;0,$A801&lt;AR$6),AND(AR$7&gt;0,$A801&gt;AR$7)),0,MAX(0,ROUND((INDEX($E801:$G801,AR$5)-SUMIFS(TF_Timer,TF_Tekniker,AR$4,TF_Dato,$A801))*2,0)/2)))</f>
        <v/>
      </c>
      <c r="AS801">
        <f>IF(OR(AS$4="",$A801&gt;TODAY()),0,IF(OR(INDEX($B801:$D801,AS$5)="F",AND(AS$6&gt;0,$A801&lt;AS$6),AND(AS$7&gt;0,$A801&gt;AS$7)),0,MAX(0,ROUND((INDEX($E801:$G801,AS$5)-SUMIFS(TF_Timer,TF_Tekniker,AS$4,TF_Dato,$A801))*2,0)/2)))</f>
        <v/>
      </c>
      <c r="AT801">
        <f>IF(OR(AT$4="",$A801&gt;TODAY()),0,IF(OR(INDEX($B801:$D801,AT$5)="F",AND(AT$6&gt;0,$A801&lt;AT$6),AND(AT$7&gt;0,$A801&gt;AT$7)),0,MAX(0,ROUND((INDEX($E801:$G801,AT$5)-SUMIFS(TF_Timer,TF_Tekniker,AT$4,TF_Dato,$A801))*2,0)/2)))</f>
        <v/>
      </c>
      <c r="AU801">
        <f>IF(OR(AU$4="",$A801&gt;TODAY()),0,IF(OR(INDEX($B801:$D801,AU$5)="F",AND(AU$6&gt;0,$A801&lt;AU$6),AND(AU$7&gt;0,$A801&gt;AU$7)),0,MAX(0,ROUND((INDEX($E801:$G801,AU$5)-SUMIFS(TF_Timer,TF_Tekniker,AU$4,TF_Dato,$A801))*2,0)/2)))</f>
        <v/>
      </c>
      <c r="AV801">
        <f>IF(OR(AV$4="",$A801&gt;TODAY()),0,IF(OR(INDEX($B801:$D801,AV$5)="F",AND(AV$6&gt;0,$A801&lt;AV$6),AND(AV$7&gt;0,$A801&gt;AV$7)),0,MAX(0,ROUND((INDEX($E801:$G801,AV$5)-SUMIFS(TF_Timer,TF_Tekniker,AV$4,TF_Dato,$A801))*2,0)/2)))</f>
        <v/>
      </c>
      <c r="AW801">
        <f>IF(OR(AW$4="",$A801&gt;TODAY()),0,IF(OR(INDEX($B801:$D801,AW$5)="F",AND(AW$6&gt;0,$A801&lt;AW$6),AND(AW$7&gt;0,$A801&gt;AW$7)),0,MAX(0,ROUND((INDEX($E801:$G801,AW$5)-SUMIFS(TF_Timer,TF_Tekniker,AW$4,TF_Dato,$A801))*2,0)/2)))</f>
        <v/>
      </c>
      <c r="AX801">
        <f>IF(OR(AX$4="",$A801&gt;TODAY()),0,IF(OR(INDEX($B801:$D801,AX$5)="F",AND(AX$6&gt;0,$A801&lt;AX$6),AND(AX$7&gt;0,$A801&gt;AX$7)),0,MAX(0,ROUND((INDEX($E801:$G801,AX$5)-SUMIFS(TF_Timer,TF_Tekniker,AX$4,TF_Dato,$A801))*2,0)/2)))</f>
        <v/>
      </c>
      <c r="AY801">
        <f>IF(OR(AY$4="",$A801&gt;TODAY()),0,IF(OR(INDEX($B801:$D801,AY$5)="F",AND(AY$6&gt;0,$A801&lt;AY$6),AND(AY$7&gt;0,$A801&gt;AY$7)),0,MAX(0,ROUND((INDEX($E801:$G801,AY$5)-SUMIFS(TF_Timer,TF_Tekniker,AY$4,TF_Dato,$A801))*2,0)/2)))</f>
        <v/>
      </c>
      <c r="AZ801">
        <f>IF(OR(AZ$4="",$A801&gt;TODAY()),0,IF(OR(INDEX($B801:$D801,AZ$5)="F",AND(AZ$6&gt;0,$A801&lt;AZ$6),AND(AZ$7&gt;0,$A801&gt;AZ$7)),0,MAX(0,ROUND((INDEX($E801:$G801,AZ$5)-SUMIFS(TF_Timer,TF_Tekniker,AZ$4,TF_Dato,$A801))*2,0)/2)))</f>
        <v/>
      </c>
      <c r="BA801">
        <f>IF(OR(BA$4="",$A801&gt;TODAY()),0,IF(OR(INDEX($B801:$D801,BA$5)="F",AND(BA$6&gt;0,$A801&lt;BA$6),AND(BA$7&gt;0,$A801&gt;BA$7)),0,MAX(0,ROUND((INDEX($E801:$G801,BA$5)-SUMIFS(TF_Timer,TF_Tekniker,BA$4,TF_Dato,$A801))*2,0)/2)))</f>
        <v/>
      </c>
      <c r="BB801">
        <f>IF(OR(BB$4="",$A801&gt;TODAY()),0,IF(OR(INDEX($B801:$D801,BB$5)="F",AND(BB$6&gt;0,$A801&lt;BB$6),AND(BB$7&gt;0,$A801&gt;BB$7)),0,MAX(0,ROUND((INDEX($E801:$G801,BB$5)-SUMIFS(TF_Timer,TF_Tekniker,BB$4,TF_Dato,$A801))*2,0)/2)))</f>
        <v/>
      </c>
      <c r="BC801">
        <f>IF(OR(BC$4="",$A801&gt;TODAY()),0,IF(OR(INDEX($B801:$D801,BC$5)="F",AND(BC$6&gt;0,$A801&lt;BC$6),AND(BC$7&gt;0,$A801&gt;BC$7)),0,MAX(0,ROUND((INDEX($E801:$G801,BC$5)-SUMIFS(TF_Timer,TF_Tekniker,BC$4,TF_Dato,$A801))*2,0)/2)))</f>
        <v/>
      </c>
      <c r="BD801">
        <f>IF(OR(BD$4="",$A801&gt;TODAY()),0,IF(OR(INDEX($B801:$D801,BD$5)="F",AND(BD$6&gt;0,$A801&lt;BD$6),AND(BD$7&gt;0,$A801&gt;BD$7)),0,MAX(0,ROUND((INDEX($E801:$G801,BD$5)-SUMIFS(TF_Timer,TF_Tekniker,BD$4,TF_Dato,$A801))*2,0)/2)))</f>
        <v/>
      </c>
      <c r="BE801">
        <f>IF(OR(BE$4="",$A801&gt;TODAY()),0,IF(OR(INDEX($B801:$D801,BE$5)="F",AND(BE$6&gt;0,$A801&lt;BE$6),AND(BE$7&gt;0,$A801&gt;BE$7)),0,MAX(0,ROUND((INDEX($E801:$G801,BE$5)-SUMIFS(TF_Timer,TF_Tekniker,BE$4,TF_Dato,$A801))*2,0)/2)))</f>
        <v/>
      </c>
      <c r="BF801">
        <f>IF(OR(BF$4="",$A801&gt;TODAY()),0,IF(OR(INDEX($B801:$D801,BF$5)="F",AND(BF$6&gt;0,$A801&lt;BF$6),AND(BF$7&gt;0,$A801&gt;BF$7)),0,MAX(0,ROUND((INDEX($E801:$G801,BF$5)-SUMIFS(TF_Timer,TF_Tekniker,BF$4,TF_Dato,$A801))*2,0)/2)))</f>
        <v/>
      </c>
      <c r="BG801">
        <f>IF(OR(BG$4="",$A801&gt;TODAY()),0,IF(OR(INDEX($B801:$D801,BG$5)="F",AND(BG$6&gt;0,$A801&lt;BG$6),AND(BG$7&gt;0,$A801&gt;BG$7)),0,MAX(0,ROUND((INDEX($E801:$G801,BG$5)-SUMIFS(TF_Timer,TF_Tekniker,BG$4,TF_Dato,$A801))*2,0)/2)))</f>
        <v/>
      </c>
      <c r="BH801">
        <f>IF(OR(BH$4="",$A801&gt;TODAY()),0,IF(OR(INDEX($B801:$D801,BH$5)="F",AND(BH$6&gt;0,$A801&lt;BH$6),AND(BH$7&gt;0,$A801&gt;BH$7)),0,MAX(0,ROUND((INDEX($E801:$G801,BH$5)-SUMIFS(TF_Timer,TF_Tekniker,BH$4,TF_Dato,$A801))*2,0)/2)))</f>
        <v/>
      </c>
      <c r="BI801">
        <f>IF(OR(BI$4="",$A801&gt;TODAY()),0,IF(OR(INDEX($B801:$D801,BI$5)="F",AND(BI$6&gt;0,$A801&lt;BI$6),AND(BI$7&gt;0,$A801&gt;BI$7)),0,MAX(0,ROUND((INDEX($E801:$G801,BI$5)-SUMIFS(TF_Timer,TF_Tekniker,BI$4,TF_Dato,$A801))*2,0)/2)))</f>
        <v/>
      </c>
    </row>
    <row r="802">
      <c r="A802" s="64">
        <f>A801+1</f>
        <v/>
      </c>
      <c r="B802">
        <f>IF(MOD($A802-INDEX(SkiftStart,1),Syklus)&lt;DagK,"K",IF(MOD($A802-INDEX(SkiftStart,1),Syklus)&lt;DagK+DagH,"H",IF(MOD($A802-INDEX(SkiftStart,1),Syklus)&lt;DagK+DagH+DagD,"D","F")))</f>
        <v/>
      </c>
      <c r="C802">
        <f>IF(MOD($A802-INDEX(SkiftStart,2),Syklus)&lt;DagK,"K",IF(MOD($A802-INDEX(SkiftStart,2),Syklus)&lt;DagK+DagH,"H",IF(MOD($A802-INDEX(SkiftStart,2),Syklus)&lt;DagK+DagH+DagD,"D","F")))</f>
        <v/>
      </c>
      <c r="D802">
        <f>IF(MOD($A802-INDEX(SkiftStart,3),Syklus)&lt;DagK,"K",IF(MOD($A802-INDEX(SkiftStart,3),Syklus)&lt;DagK+DagH,"H",IF(MOD($A802-INDEX(SkiftStart,3),Syklus)&lt;DagK+DagH+DagD,"D","F")))</f>
        <v/>
      </c>
      <c r="E802">
        <f>IF(B802="F",0,IF(WEEKDAY($A802,2)=5,INDEX(TimerFr,MATCH(B802,FaseKode,0)),INDEX(TimerMT,MATCH(B802,FaseKode,0))))</f>
        <v/>
      </c>
      <c r="F802">
        <f>IF(C802="F",0,IF(WEEKDAY($A802,2)=5,INDEX(TimerFr,MATCH(C802,FaseKode,0)),INDEX(TimerMT,MATCH(C802,FaseKode,0))))</f>
        <v/>
      </c>
      <c r="G802">
        <f>IF(D802="F",0,IF(WEEKDAY($A802,2)=5,INDEX(TimerFr,MATCH(D802,FaseKode,0)),INDEX(TimerMT,MATCH(D802,FaseKode,0))))</f>
        <v/>
      </c>
      <c r="H802">
        <f>IF(OR(H$4="",$A802&gt;TODAY()),0,IF(OR(INDEX($B802:$D802,H$5)="F",AND(H$6&gt;0,$A802&lt;H$6),AND(H$7&gt;0,$A802&gt;H$7)),0,MAX(0,ROUND((INDEX($E802:$G802,H$5)-SUMIFS(TF_Timer,TF_Tekniker,H$4,TF_Dato,$A802))*2,0)/2)))</f>
        <v/>
      </c>
      <c r="I802">
        <f>IF(OR(I$4="",$A802&gt;TODAY()),0,IF(OR(INDEX($B802:$D802,I$5)="F",AND(I$6&gt;0,$A802&lt;I$6),AND(I$7&gt;0,$A802&gt;I$7)),0,MAX(0,ROUND((INDEX($E802:$G802,I$5)-SUMIFS(TF_Timer,TF_Tekniker,I$4,TF_Dato,$A802))*2,0)/2)))</f>
        <v/>
      </c>
      <c r="J802">
        <f>IF(OR(J$4="",$A802&gt;TODAY()),0,IF(OR(INDEX($B802:$D802,J$5)="F",AND(J$6&gt;0,$A802&lt;J$6),AND(J$7&gt;0,$A802&gt;J$7)),0,MAX(0,ROUND((INDEX($E802:$G802,J$5)-SUMIFS(TF_Timer,TF_Tekniker,J$4,TF_Dato,$A802))*2,0)/2)))</f>
        <v/>
      </c>
      <c r="K802">
        <f>IF(OR(K$4="",$A802&gt;TODAY()),0,IF(OR(INDEX($B802:$D802,K$5)="F",AND(K$6&gt;0,$A802&lt;K$6),AND(K$7&gt;0,$A802&gt;K$7)),0,MAX(0,ROUND((INDEX($E802:$G802,K$5)-SUMIFS(TF_Timer,TF_Tekniker,K$4,TF_Dato,$A802))*2,0)/2)))</f>
        <v/>
      </c>
      <c r="L802">
        <f>IF(OR(L$4="",$A802&gt;TODAY()),0,IF(OR(INDEX($B802:$D802,L$5)="F",AND(L$6&gt;0,$A802&lt;L$6),AND(L$7&gt;0,$A802&gt;L$7)),0,MAX(0,ROUND((INDEX($E802:$G802,L$5)-SUMIFS(TF_Timer,TF_Tekniker,L$4,TF_Dato,$A802))*2,0)/2)))</f>
        <v/>
      </c>
      <c r="M802">
        <f>IF(OR(M$4="",$A802&gt;TODAY()),0,IF(OR(INDEX($B802:$D802,M$5)="F",AND(M$6&gt;0,$A802&lt;M$6),AND(M$7&gt;0,$A802&gt;M$7)),0,MAX(0,ROUND((INDEX($E802:$G802,M$5)-SUMIFS(TF_Timer,TF_Tekniker,M$4,TF_Dato,$A802))*2,0)/2)))</f>
        <v/>
      </c>
      <c r="N802">
        <f>IF(OR(N$4="",$A802&gt;TODAY()),0,IF(OR(INDEX($B802:$D802,N$5)="F",AND(N$6&gt;0,$A802&lt;N$6),AND(N$7&gt;0,$A802&gt;N$7)),0,MAX(0,ROUND((INDEX($E802:$G802,N$5)-SUMIFS(TF_Timer,TF_Tekniker,N$4,TF_Dato,$A802))*2,0)/2)))</f>
        <v/>
      </c>
      <c r="O802">
        <f>IF(OR(O$4="",$A802&gt;TODAY()),0,IF(OR(INDEX($B802:$D802,O$5)="F",AND(O$6&gt;0,$A802&lt;O$6),AND(O$7&gt;0,$A802&gt;O$7)),0,MAX(0,ROUND((INDEX($E802:$G802,O$5)-SUMIFS(TF_Timer,TF_Tekniker,O$4,TF_Dato,$A802))*2,0)/2)))</f>
        <v/>
      </c>
      <c r="P802">
        <f>IF(OR(P$4="",$A802&gt;TODAY()),0,IF(OR(INDEX($B802:$D802,P$5)="F",AND(P$6&gt;0,$A802&lt;P$6),AND(P$7&gt;0,$A802&gt;P$7)),0,MAX(0,ROUND((INDEX($E802:$G802,P$5)-SUMIFS(TF_Timer,TF_Tekniker,P$4,TF_Dato,$A802))*2,0)/2)))</f>
        <v/>
      </c>
      <c r="Q802">
        <f>IF(OR(Q$4="",$A802&gt;TODAY()),0,IF(OR(INDEX($B802:$D802,Q$5)="F",AND(Q$6&gt;0,$A802&lt;Q$6),AND(Q$7&gt;0,$A802&gt;Q$7)),0,MAX(0,ROUND((INDEX($E802:$G802,Q$5)-SUMIFS(TF_Timer,TF_Tekniker,Q$4,TF_Dato,$A802))*2,0)/2)))</f>
        <v/>
      </c>
      <c r="R802">
        <f>IF(OR(R$4="",$A802&gt;TODAY()),0,IF(OR(INDEX($B802:$D802,R$5)="F",AND(R$6&gt;0,$A802&lt;R$6),AND(R$7&gt;0,$A802&gt;R$7)),0,MAX(0,ROUND((INDEX($E802:$G802,R$5)-SUMIFS(TF_Timer,TF_Tekniker,R$4,TF_Dato,$A802))*2,0)/2)))</f>
        <v/>
      </c>
      <c r="S802">
        <f>IF(OR(S$4="",$A802&gt;TODAY()),0,IF(OR(INDEX($B802:$D802,S$5)="F",AND(S$6&gt;0,$A802&lt;S$6),AND(S$7&gt;0,$A802&gt;S$7)),0,MAX(0,ROUND((INDEX($E802:$G802,S$5)-SUMIFS(TF_Timer,TF_Tekniker,S$4,TF_Dato,$A802))*2,0)/2)))</f>
        <v/>
      </c>
      <c r="T802">
        <f>IF(OR(T$4="",$A802&gt;TODAY()),0,IF(OR(INDEX($B802:$D802,T$5)="F",AND(T$6&gt;0,$A802&lt;T$6),AND(T$7&gt;0,$A802&gt;T$7)),0,MAX(0,ROUND((INDEX($E802:$G802,T$5)-SUMIFS(TF_Timer,TF_Tekniker,T$4,TF_Dato,$A802))*2,0)/2)))</f>
        <v/>
      </c>
      <c r="U802">
        <f>IF(OR(U$4="",$A802&gt;TODAY()),0,IF(OR(INDEX($B802:$D802,U$5)="F",AND(U$6&gt;0,$A802&lt;U$6),AND(U$7&gt;0,$A802&gt;U$7)),0,MAX(0,ROUND((INDEX($E802:$G802,U$5)-SUMIFS(TF_Timer,TF_Tekniker,U$4,TF_Dato,$A802))*2,0)/2)))</f>
        <v/>
      </c>
      <c r="V802">
        <f>IF(OR(V$4="",$A802&gt;TODAY()),0,IF(OR(INDEX($B802:$D802,V$5)="F",AND(V$6&gt;0,$A802&lt;V$6),AND(V$7&gt;0,$A802&gt;V$7)),0,MAX(0,ROUND((INDEX($E802:$G802,V$5)-SUMIFS(TF_Timer,TF_Tekniker,V$4,TF_Dato,$A802))*2,0)/2)))</f>
        <v/>
      </c>
      <c r="W802">
        <f>IF(OR(W$4="",$A802&gt;TODAY()),0,IF(OR(INDEX($B802:$D802,W$5)="F",AND(W$6&gt;0,$A802&lt;W$6),AND(W$7&gt;0,$A802&gt;W$7)),0,MAX(0,ROUND((INDEX($E802:$G802,W$5)-SUMIFS(TF_Timer,TF_Tekniker,W$4,TF_Dato,$A802))*2,0)/2)))</f>
        <v/>
      </c>
      <c r="X802">
        <f>IF(OR(X$4="",$A802&gt;TODAY()),0,IF(OR(INDEX($B802:$D802,X$5)="F",AND(X$6&gt;0,$A802&lt;X$6),AND(X$7&gt;0,$A802&gt;X$7)),0,MAX(0,ROUND((INDEX($E802:$G802,X$5)-SUMIFS(TF_Timer,TF_Tekniker,X$4,TF_Dato,$A802))*2,0)/2)))</f>
        <v/>
      </c>
      <c r="Y802">
        <f>IF(OR(Y$4="",$A802&gt;TODAY()),0,IF(OR(INDEX($B802:$D802,Y$5)="F",AND(Y$6&gt;0,$A802&lt;Y$6),AND(Y$7&gt;0,$A802&gt;Y$7)),0,MAX(0,ROUND((INDEX($E802:$G802,Y$5)-SUMIFS(TF_Timer,TF_Tekniker,Y$4,TF_Dato,$A802))*2,0)/2)))</f>
        <v/>
      </c>
      <c r="Z802">
        <f>IF(OR(Z$4="",$A802&gt;TODAY()),0,IF(OR(INDEX($B802:$D802,Z$5)="F",AND(Z$6&gt;0,$A802&lt;Z$6),AND(Z$7&gt;0,$A802&gt;Z$7)),0,MAX(0,ROUND((INDEX($E802:$G802,Z$5)-SUMIFS(TF_Timer,TF_Tekniker,Z$4,TF_Dato,$A802))*2,0)/2)))</f>
        <v/>
      </c>
      <c r="AA802">
        <f>IF(OR(AA$4="",$A802&gt;TODAY()),0,IF(OR(INDEX($B802:$D802,AA$5)="F",AND(AA$6&gt;0,$A802&lt;AA$6),AND(AA$7&gt;0,$A802&gt;AA$7)),0,MAX(0,ROUND((INDEX($E802:$G802,AA$5)-SUMIFS(TF_Timer,TF_Tekniker,AA$4,TF_Dato,$A802))*2,0)/2)))</f>
        <v/>
      </c>
      <c r="AB802">
        <f>IF(OR(AB$4="",$A802&gt;TODAY()),0,IF(OR(INDEX($B802:$D802,AB$5)="F",AND(AB$6&gt;0,$A802&lt;AB$6),AND(AB$7&gt;0,$A802&gt;AB$7)),0,MAX(0,ROUND((INDEX($E802:$G802,AB$5)-SUMIFS(TF_Timer,TF_Tekniker,AB$4,TF_Dato,$A802))*2,0)/2)))</f>
        <v/>
      </c>
      <c r="AC802">
        <f>IF(OR(AC$4="",$A802&gt;TODAY()),0,IF(OR(INDEX($B802:$D802,AC$5)="F",AND(AC$6&gt;0,$A802&lt;AC$6),AND(AC$7&gt;0,$A802&gt;AC$7)),0,MAX(0,ROUND((INDEX($E802:$G802,AC$5)-SUMIFS(TF_Timer,TF_Tekniker,AC$4,TF_Dato,$A802))*2,0)/2)))</f>
        <v/>
      </c>
      <c r="AD802">
        <f>IF(OR(AD$4="",$A802&gt;TODAY()),0,IF(OR(INDEX($B802:$D802,AD$5)="F",AND(AD$6&gt;0,$A802&lt;AD$6),AND(AD$7&gt;0,$A802&gt;AD$7)),0,MAX(0,ROUND((INDEX($E802:$G802,AD$5)-SUMIFS(TF_Timer,TF_Tekniker,AD$4,TF_Dato,$A802))*2,0)/2)))</f>
        <v/>
      </c>
      <c r="AE802">
        <f>IF(OR(AE$4="",$A802&gt;TODAY()),0,IF(OR(INDEX($B802:$D802,AE$5)="F",AND(AE$6&gt;0,$A802&lt;AE$6),AND(AE$7&gt;0,$A802&gt;AE$7)),0,MAX(0,ROUND((INDEX($E802:$G802,AE$5)-SUMIFS(TF_Timer,TF_Tekniker,AE$4,TF_Dato,$A802))*2,0)/2)))</f>
        <v/>
      </c>
      <c r="AF802">
        <f>IF(OR(AF$4="",$A802&gt;TODAY()),0,IF(OR(INDEX($B802:$D802,AF$5)="F",AND(AF$6&gt;0,$A802&lt;AF$6),AND(AF$7&gt;0,$A802&gt;AF$7)),0,MAX(0,ROUND((INDEX($E802:$G802,AF$5)-SUMIFS(TF_Timer,TF_Tekniker,AF$4,TF_Dato,$A802))*2,0)/2)))</f>
        <v/>
      </c>
      <c r="AG802">
        <f>IF(OR(AG$4="",$A802&gt;TODAY()),0,IF(OR(INDEX($B802:$D802,AG$5)="F",AND(AG$6&gt;0,$A802&lt;AG$6),AND(AG$7&gt;0,$A802&gt;AG$7)),0,MAX(0,ROUND((INDEX($E802:$G802,AG$5)-SUMIFS(TF_Timer,TF_Tekniker,AG$4,TF_Dato,$A802))*2,0)/2)))</f>
        <v/>
      </c>
      <c r="AH802">
        <f>IF(OR(AH$4="",$A802&gt;TODAY()),0,IF(OR(INDEX($B802:$D802,AH$5)="F",AND(AH$6&gt;0,$A802&lt;AH$6),AND(AH$7&gt;0,$A802&gt;AH$7)),0,MAX(0,ROUND((INDEX($E802:$G802,AH$5)-SUMIFS(TF_Timer,TF_Tekniker,AH$4,TF_Dato,$A802))*2,0)/2)))</f>
        <v/>
      </c>
      <c r="AI802">
        <f>IF(OR(AI$4="",$A802&gt;TODAY()),0,IF(OR(INDEX($B802:$D802,AI$5)="F",AND(AI$6&gt;0,$A802&lt;AI$6),AND(AI$7&gt;0,$A802&gt;AI$7)),0,MAX(0,ROUND((INDEX($E802:$G802,AI$5)-SUMIFS(TF_Timer,TF_Tekniker,AI$4,TF_Dato,$A802))*2,0)/2)))</f>
        <v/>
      </c>
      <c r="AJ802">
        <f>IF(OR(AJ$4="",$A802&gt;TODAY()),0,IF(OR(INDEX($B802:$D802,AJ$5)="F",AND(AJ$6&gt;0,$A802&lt;AJ$6),AND(AJ$7&gt;0,$A802&gt;AJ$7)),0,MAX(0,ROUND((INDEX($E802:$G802,AJ$5)-SUMIFS(TF_Timer,TF_Tekniker,AJ$4,TF_Dato,$A802))*2,0)/2)))</f>
        <v/>
      </c>
      <c r="AK802">
        <f>IF(OR(AK$4="",$A802&gt;TODAY()),0,IF(OR(INDEX($B802:$D802,AK$5)="F",AND(AK$6&gt;0,$A802&lt;AK$6),AND(AK$7&gt;0,$A802&gt;AK$7)),0,MAX(0,ROUND((INDEX($E802:$G802,AK$5)-SUMIFS(TF_Timer,TF_Tekniker,AK$4,TF_Dato,$A802))*2,0)/2)))</f>
        <v/>
      </c>
      <c r="AL802">
        <f>IF(OR(AL$4="",$A802&gt;TODAY()),0,IF(OR(INDEX($B802:$D802,AL$5)="F",AND(AL$6&gt;0,$A802&lt;AL$6),AND(AL$7&gt;0,$A802&gt;AL$7)),0,MAX(0,ROUND((INDEX($E802:$G802,AL$5)-SUMIFS(TF_Timer,TF_Tekniker,AL$4,TF_Dato,$A802))*2,0)/2)))</f>
        <v/>
      </c>
      <c r="AM802">
        <f>IF(OR(AM$4="",$A802&gt;TODAY()),0,IF(OR(INDEX($B802:$D802,AM$5)="F",AND(AM$6&gt;0,$A802&lt;AM$6),AND(AM$7&gt;0,$A802&gt;AM$7)),0,MAX(0,ROUND((INDEX($E802:$G802,AM$5)-SUMIFS(TF_Timer,TF_Tekniker,AM$4,TF_Dato,$A802))*2,0)/2)))</f>
        <v/>
      </c>
      <c r="AN802">
        <f>IF(OR(AN$4="",$A802&gt;TODAY()),0,IF(OR(INDEX($B802:$D802,AN$5)="F",AND(AN$6&gt;0,$A802&lt;AN$6),AND(AN$7&gt;0,$A802&gt;AN$7)),0,MAX(0,ROUND((INDEX($E802:$G802,AN$5)-SUMIFS(TF_Timer,TF_Tekniker,AN$4,TF_Dato,$A802))*2,0)/2)))</f>
        <v/>
      </c>
      <c r="AO802">
        <f>IF(OR(AO$4="",$A802&gt;TODAY()),0,IF(OR(INDEX($B802:$D802,AO$5)="F",AND(AO$6&gt;0,$A802&lt;AO$6),AND(AO$7&gt;0,$A802&gt;AO$7)),0,MAX(0,ROUND((INDEX($E802:$G802,AO$5)-SUMIFS(TF_Timer,TF_Tekniker,AO$4,TF_Dato,$A802))*2,0)/2)))</f>
        <v/>
      </c>
      <c r="AP802">
        <f>IF(OR(AP$4="",$A802&gt;TODAY()),0,IF(OR(INDEX($B802:$D802,AP$5)="F",AND(AP$6&gt;0,$A802&lt;AP$6),AND(AP$7&gt;0,$A802&gt;AP$7)),0,MAX(0,ROUND((INDEX($E802:$G802,AP$5)-SUMIFS(TF_Timer,TF_Tekniker,AP$4,TF_Dato,$A802))*2,0)/2)))</f>
        <v/>
      </c>
      <c r="AQ802">
        <f>IF(OR(AQ$4="",$A802&gt;TODAY()),0,IF(OR(INDEX($B802:$D802,AQ$5)="F",AND(AQ$6&gt;0,$A802&lt;AQ$6),AND(AQ$7&gt;0,$A802&gt;AQ$7)),0,MAX(0,ROUND((INDEX($E802:$G802,AQ$5)-SUMIFS(TF_Timer,TF_Tekniker,AQ$4,TF_Dato,$A802))*2,0)/2)))</f>
        <v/>
      </c>
      <c r="AR802">
        <f>IF(OR(AR$4="",$A802&gt;TODAY()),0,IF(OR(INDEX($B802:$D802,AR$5)="F",AND(AR$6&gt;0,$A802&lt;AR$6),AND(AR$7&gt;0,$A802&gt;AR$7)),0,MAX(0,ROUND((INDEX($E802:$G802,AR$5)-SUMIFS(TF_Timer,TF_Tekniker,AR$4,TF_Dato,$A802))*2,0)/2)))</f>
        <v/>
      </c>
      <c r="AS802">
        <f>IF(OR(AS$4="",$A802&gt;TODAY()),0,IF(OR(INDEX($B802:$D802,AS$5)="F",AND(AS$6&gt;0,$A802&lt;AS$6),AND(AS$7&gt;0,$A802&gt;AS$7)),0,MAX(0,ROUND((INDEX($E802:$G802,AS$5)-SUMIFS(TF_Timer,TF_Tekniker,AS$4,TF_Dato,$A802))*2,0)/2)))</f>
        <v/>
      </c>
      <c r="AT802">
        <f>IF(OR(AT$4="",$A802&gt;TODAY()),0,IF(OR(INDEX($B802:$D802,AT$5)="F",AND(AT$6&gt;0,$A802&lt;AT$6),AND(AT$7&gt;0,$A802&gt;AT$7)),0,MAX(0,ROUND((INDEX($E802:$G802,AT$5)-SUMIFS(TF_Timer,TF_Tekniker,AT$4,TF_Dato,$A802))*2,0)/2)))</f>
        <v/>
      </c>
      <c r="AU802">
        <f>IF(OR(AU$4="",$A802&gt;TODAY()),0,IF(OR(INDEX($B802:$D802,AU$5)="F",AND(AU$6&gt;0,$A802&lt;AU$6),AND(AU$7&gt;0,$A802&gt;AU$7)),0,MAX(0,ROUND((INDEX($E802:$G802,AU$5)-SUMIFS(TF_Timer,TF_Tekniker,AU$4,TF_Dato,$A802))*2,0)/2)))</f>
        <v/>
      </c>
      <c r="AV802">
        <f>IF(OR(AV$4="",$A802&gt;TODAY()),0,IF(OR(INDEX($B802:$D802,AV$5)="F",AND(AV$6&gt;0,$A802&lt;AV$6),AND(AV$7&gt;0,$A802&gt;AV$7)),0,MAX(0,ROUND((INDEX($E802:$G802,AV$5)-SUMIFS(TF_Timer,TF_Tekniker,AV$4,TF_Dato,$A802))*2,0)/2)))</f>
        <v/>
      </c>
      <c r="AW802">
        <f>IF(OR(AW$4="",$A802&gt;TODAY()),0,IF(OR(INDEX($B802:$D802,AW$5)="F",AND(AW$6&gt;0,$A802&lt;AW$6),AND(AW$7&gt;0,$A802&gt;AW$7)),0,MAX(0,ROUND((INDEX($E802:$G802,AW$5)-SUMIFS(TF_Timer,TF_Tekniker,AW$4,TF_Dato,$A802))*2,0)/2)))</f>
        <v/>
      </c>
      <c r="AX802">
        <f>IF(OR(AX$4="",$A802&gt;TODAY()),0,IF(OR(INDEX($B802:$D802,AX$5)="F",AND(AX$6&gt;0,$A802&lt;AX$6),AND(AX$7&gt;0,$A802&gt;AX$7)),0,MAX(0,ROUND((INDEX($E802:$G802,AX$5)-SUMIFS(TF_Timer,TF_Tekniker,AX$4,TF_Dato,$A802))*2,0)/2)))</f>
        <v/>
      </c>
      <c r="AY802">
        <f>IF(OR(AY$4="",$A802&gt;TODAY()),0,IF(OR(INDEX($B802:$D802,AY$5)="F",AND(AY$6&gt;0,$A802&lt;AY$6),AND(AY$7&gt;0,$A802&gt;AY$7)),0,MAX(0,ROUND((INDEX($E802:$G802,AY$5)-SUMIFS(TF_Timer,TF_Tekniker,AY$4,TF_Dato,$A802))*2,0)/2)))</f>
        <v/>
      </c>
      <c r="AZ802">
        <f>IF(OR(AZ$4="",$A802&gt;TODAY()),0,IF(OR(INDEX($B802:$D802,AZ$5)="F",AND(AZ$6&gt;0,$A802&lt;AZ$6),AND(AZ$7&gt;0,$A802&gt;AZ$7)),0,MAX(0,ROUND((INDEX($E802:$G802,AZ$5)-SUMIFS(TF_Timer,TF_Tekniker,AZ$4,TF_Dato,$A802))*2,0)/2)))</f>
        <v/>
      </c>
      <c r="BA802">
        <f>IF(OR(BA$4="",$A802&gt;TODAY()),0,IF(OR(INDEX($B802:$D802,BA$5)="F",AND(BA$6&gt;0,$A802&lt;BA$6),AND(BA$7&gt;0,$A802&gt;BA$7)),0,MAX(0,ROUND((INDEX($E802:$G802,BA$5)-SUMIFS(TF_Timer,TF_Tekniker,BA$4,TF_Dato,$A802))*2,0)/2)))</f>
        <v/>
      </c>
      <c r="BB802">
        <f>IF(OR(BB$4="",$A802&gt;TODAY()),0,IF(OR(INDEX($B802:$D802,BB$5)="F",AND(BB$6&gt;0,$A802&lt;BB$6),AND(BB$7&gt;0,$A802&gt;BB$7)),0,MAX(0,ROUND((INDEX($E802:$G802,BB$5)-SUMIFS(TF_Timer,TF_Tekniker,BB$4,TF_Dato,$A802))*2,0)/2)))</f>
        <v/>
      </c>
      <c r="BC802">
        <f>IF(OR(BC$4="",$A802&gt;TODAY()),0,IF(OR(INDEX($B802:$D802,BC$5)="F",AND(BC$6&gt;0,$A802&lt;BC$6),AND(BC$7&gt;0,$A802&gt;BC$7)),0,MAX(0,ROUND((INDEX($E802:$G802,BC$5)-SUMIFS(TF_Timer,TF_Tekniker,BC$4,TF_Dato,$A802))*2,0)/2)))</f>
        <v/>
      </c>
      <c r="BD802">
        <f>IF(OR(BD$4="",$A802&gt;TODAY()),0,IF(OR(INDEX($B802:$D802,BD$5)="F",AND(BD$6&gt;0,$A802&lt;BD$6),AND(BD$7&gt;0,$A802&gt;BD$7)),0,MAX(0,ROUND((INDEX($E802:$G802,BD$5)-SUMIFS(TF_Timer,TF_Tekniker,BD$4,TF_Dato,$A802))*2,0)/2)))</f>
        <v/>
      </c>
      <c r="BE802">
        <f>IF(OR(BE$4="",$A802&gt;TODAY()),0,IF(OR(INDEX($B802:$D802,BE$5)="F",AND(BE$6&gt;0,$A802&lt;BE$6),AND(BE$7&gt;0,$A802&gt;BE$7)),0,MAX(0,ROUND((INDEX($E802:$G802,BE$5)-SUMIFS(TF_Timer,TF_Tekniker,BE$4,TF_Dato,$A802))*2,0)/2)))</f>
        <v/>
      </c>
      <c r="BF802">
        <f>IF(OR(BF$4="",$A802&gt;TODAY()),0,IF(OR(INDEX($B802:$D802,BF$5)="F",AND(BF$6&gt;0,$A802&lt;BF$6),AND(BF$7&gt;0,$A802&gt;BF$7)),0,MAX(0,ROUND((INDEX($E802:$G802,BF$5)-SUMIFS(TF_Timer,TF_Tekniker,BF$4,TF_Dato,$A802))*2,0)/2)))</f>
        <v/>
      </c>
      <c r="BG802">
        <f>IF(OR(BG$4="",$A802&gt;TODAY()),0,IF(OR(INDEX($B802:$D802,BG$5)="F",AND(BG$6&gt;0,$A802&lt;BG$6),AND(BG$7&gt;0,$A802&gt;BG$7)),0,MAX(0,ROUND((INDEX($E802:$G802,BG$5)-SUMIFS(TF_Timer,TF_Tekniker,BG$4,TF_Dato,$A802))*2,0)/2)))</f>
        <v/>
      </c>
      <c r="BH802">
        <f>IF(OR(BH$4="",$A802&gt;TODAY()),0,IF(OR(INDEX($B802:$D802,BH$5)="F",AND(BH$6&gt;0,$A802&lt;BH$6),AND(BH$7&gt;0,$A802&gt;BH$7)),0,MAX(0,ROUND((INDEX($E802:$G802,BH$5)-SUMIFS(TF_Timer,TF_Tekniker,BH$4,TF_Dato,$A802))*2,0)/2)))</f>
        <v/>
      </c>
      <c r="BI802">
        <f>IF(OR(BI$4="",$A802&gt;TODAY()),0,IF(OR(INDEX($B802:$D802,BI$5)="F",AND(BI$6&gt;0,$A802&lt;BI$6),AND(BI$7&gt;0,$A802&gt;BI$7)),0,MAX(0,ROUND((INDEX($E802:$G802,BI$5)-SUMIFS(TF_Timer,TF_Tekniker,BI$4,TF_Dato,$A802))*2,0)/2)))</f>
        <v/>
      </c>
    </row>
    <row r="803">
      <c r="A803" s="64">
        <f>A802+1</f>
        <v/>
      </c>
      <c r="B803">
        <f>IF(MOD($A803-INDEX(SkiftStart,1),Syklus)&lt;DagK,"K",IF(MOD($A803-INDEX(SkiftStart,1),Syklus)&lt;DagK+DagH,"H",IF(MOD($A803-INDEX(SkiftStart,1),Syklus)&lt;DagK+DagH+DagD,"D","F")))</f>
        <v/>
      </c>
      <c r="C803">
        <f>IF(MOD($A803-INDEX(SkiftStart,2),Syklus)&lt;DagK,"K",IF(MOD($A803-INDEX(SkiftStart,2),Syklus)&lt;DagK+DagH,"H",IF(MOD($A803-INDEX(SkiftStart,2),Syklus)&lt;DagK+DagH+DagD,"D","F")))</f>
        <v/>
      </c>
      <c r="D803">
        <f>IF(MOD($A803-INDEX(SkiftStart,3),Syklus)&lt;DagK,"K",IF(MOD($A803-INDEX(SkiftStart,3),Syklus)&lt;DagK+DagH,"H",IF(MOD($A803-INDEX(SkiftStart,3),Syklus)&lt;DagK+DagH+DagD,"D","F")))</f>
        <v/>
      </c>
      <c r="E803">
        <f>IF(B803="F",0,IF(WEEKDAY($A803,2)=5,INDEX(TimerFr,MATCH(B803,FaseKode,0)),INDEX(TimerMT,MATCH(B803,FaseKode,0))))</f>
        <v/>
      </c>
      <c r="F803">
        <f>IF(C803="F",0,IF(WEEKDAY($A803,2)=5,INDEX(TimerFr,MATCH(C803,FaseKode,0)),INDEX(TimerMT,MATCH(C803,FaseKode,0))))</f>
        <v/>
      </c>
      <c r="G803">
        <f>IF(D803="F",0,IF(WEEKDAY($A803,2)=5,INDEX(TimerFr,MATCH(D803,FaseKode,0)),INDEX(TimerMT,MATCH(D803,FaseKode,0))))</f>
        <v/>
      </c>
      <c r="H803">
        <f>IF(OR(H$4="",$A803&gt;TODAY()),0,IF(OR(INDEX($B803:$D803,H$5)="F",AND(H$6&gt;0,$A803&lt;H$6),AND(H$7&gt;0,$A803&gt;H$7)),0,MAX(0,ROUND((INDEX($E803:$G803,H$5)-SUMIFS(TF_Timer,TF_Tekniker,H$4,TF_Dato,$A803))*2,0)/2)))</f>
        <v/>
      </c>
      <c r="I803">
        <f>IF(OR(I$4="",$A803&gt;TODAY()),0,IF(OR(INDEX($B803:$D803,I$5)="F",AND(I$6&gt;0,$A803&lt;I$6),AND(I$7&gt;0,$A803&gt;I$7)),0,MAX(0,ROUND((INDEX($E803:$G803,I$5)-SUMIFS(TF_Timer,TF_Tekniker,I$4,TF_Dato,$A803))*2,0)/2)))</f>
        <v/>
      </c>
      <c r="J803">
        <f>IF(OR(J$4="",$A803&gt;TODAY()),0,IF(OR(INDEX($B803:$D803,J$5)="F",AND(J$6&gt;0,$A803&lt;J$6),AND(J$7&gt;0,$A803&gt;J$7)),0,MAX(0,ROUND((INDEX($E803:$G803,J$5)-SUMIFS(TF_Timer,TF_Tekniker,J$4,TF_Dato,$A803))*2,0)/2)))</f>
        <v/>
      </c>
      <c r="K803">
        <f>IF(OR(K$4="",$A803&gt;TODAY()),0,IF(OR(INDEX($B803:$D803,K$5)="F",AND(K$6&gt;0,$A803&lt;K$6),AND(K$7&gt;0,$A803&gt;K$7)),0,MAX(0,ROUND((INDEX($E803:$G803,K$5)-SUMIFS(TF_Timer,TF_Tekniker,K$4,TF_Dato,$A803))*2,0)/2)))</f>
        <v/>
      </c>
      <c r="L803">
        <f>IF(OR(L$4="",$A803&gt;TODAY()),0,IF(OR(INDEX($B803:$D803,L$5)="F",AND(L$6&gt;0,$A803&lt;L$6),AND(L$7&gt;0,$A803&gt;L$7)),0,MAX(0,ROUND((INDEX($E803:$G803,L$5)-SUMIFS(TF_Timer,TF_Tekniker,L$4,TF_Dato,$A803))*2,0)/2)))</f>
        <v/>
      </c>
      <c r="M803">
        <f>IF(OR(M$4="",$A803&gt;TODAY()),0,IF(OR(INDEX($B803:$D803,M$5)="F",AND(M$6&gt;0,$A803&lt;M$6),AND(M$7&gt;0,$A803&gt;M$7)),0,MAX(0,ROUND((INDEX($E803:$G803,M$5)-SUMIFS(TF_Timer,TF_Tekniker,M$4,TF_Dato,$A803))*2,0)/2)))</f>
        <v/>
      </c>
      <c r="N803">
        <f>IF(OR(N$4="",$A803&gt;TODAY()),0,IF(OR(INDEX($B803:$D803,N$5)="F",AND(N$6&gt;0,$A803&lt;N$6),AND(N$7&gt;0,$A803&gt;N$7)),0,MAX(0,ROUND((INDEX($E803:$G803,N$5)-SUMIFS(TF_Timer,TF_Tekniker,N$4,TF_Dato,$A803))*2,0)/2)))</f>
        <v/>
      </c>
      <c r="O803">
        <f>IF(OR(O$4="",$A803&gt;TODAY()),0,IF(OR(INDEX($B803:$D803,O$5)="F",AND(O$6&gt;0,$A803&lt;O$6),AND(O$7&gt;0,$A803&gt;O$7)),0,MAX(0,ROUND((INDEX($E803:$G803,O$5)-SUMIFS(TF_Timer,TF_Tekniker,O$4,TF_Dato,$A803))*2,0)/2)))</f>
        <v/>
      </c>
      <c r="P803">
        <f>IF(OR(P$4="",$A803&gt;TODAY()),0,IF(OR(INDEX($B803:$D803,P$5)="F",AND(P$6&gt;0,$A803&lt;P$6),AND(P$7&gt;0,$A803&gt;P$7)),0,MAX(0,ROUND((INDEX($E803:$G803,P$5)-SUMIFS(TF_Timer,TF_Tekniker,P$4,TF_Dato,$A803))*2,0)/2)))</f>
        <v/>
      </c>
      <c r="Q803">
        <f>IF(OR(Q$4="",$A803&gt;TODAY()),0,IF(OR(INDEX($B803:$D803,Q$5)="F",AND(Q$6&gt;0,$A803&lt;Q$6),AND(Q$7&gt;0,$A803&gt;Q$7)),0,MAX(0,ROUND((INDEX($E803:$G803,Q$5)-SUMIFS(TF_Timer,TF_Tekniker,Q$4,TF_Dato,$A803))*2,0)/2)))</f>
        <v/>
      </c>
      <c r="R803">
        <f>IF(OR(R$4="",$A803&gt;TODAY()),0,IF(OR(INDEX($B803:$D803,R$5)="F",AND(R$6&gt;0,$A803&lt;R$6),AND(R$7&gt;0,$A803&gt;R$7)),0,MAX(0,ROUND((INDEX($E803:$G803,R$5)-SUMIFS(TF_Timer,TF_Tekniker,R$4,TF_Dato,$A803))*2,0)/2)))</f>
        <v/>
      </c>
      <c r="S803">
        <f>IF(OR(S$4="",$A803&gt;TODAY()),0,IF(OR(INDEX($B803:$D803,S$5)="F",AND(S$6&gt;0,$A803&lt;S$6),AND(S$7&gt;0,$A803&gt;S$7)),0,MAX(0,ROUND((INDEX($E803:$G803,S$5)-SUMIFS(TF_Timer,TF_Tekniker,S$4,TF_Dato,$A803))*2,0)/2)))</f>
        <v/>
      </c>
      <c r="T803">
        <f>IF(OR(T$4="",$A803&gt;TODAY()),0,IF(OR(INDEX($B803:$D803,T$5)="F",AND(T$6&gt;0,$A803&lt;T$6),AND(T$7&gt;0,$A803&gt;T$7)),0,MAX(0,ROUND((INDEX($E803:$G803,T$5)-SUMIFS(TF_Timer,TF_Tekniker,T$4,TF_Dato,$A803))*2,0)/2)))</f>
        <v/>
      </c>
      <c r="U803">
        <f>IF(OR(U$4="",$A803&gt;TODAY()),0,IF(OR(INDEX($B803:$D803,U$5)="F",AND(U$6&gt;0,$A803&lt;U$6),AND(U$7&gt;0,$A803&gt;U$7)),0,MAX(0,ROUND((INDEX($E803:$G803,U$5)-SUMIFS(TF_Timer,TF_Tekniker,U$4,TF_Dato,$A803))*2,0)/2)))</f>
        <v/>
      </c>
      <c r="V803">
        <f>IF(OR(V$4="",$A803&gt;TODAY()),0,IF(OR(INDEX($B803:$D803,V$5)="F",AND(V$6&gt;0,$A803&lt;V$6),AND(V$7&gt;0,$A803&gt;V$7)),0,MAX(0,ROUND((INDEX($E803:$G803,V$5)-SUMIFS(TF_Timer,TF_Tekniker,V$4,TF_Dato,$A803))*2,0)/2)))</f>
        <v/>
      </c>
      <c r="W803">
        <f>IF(OR(W$4="",$A803&gt;TODAY()),0,IF(OR(INDEX($B803:$D803,W$5)="F",AND(W$6&gt;0,$A803&lt;W$6),AND(W$7&gt;0,$A803&gt;W$7)),0,MAX(0,ROUND((INDEX($E803:$G803,W$5)-SUMIFS(TF_Timer,TF_Tekniker,W$4,TF_Dato,$A803))*2,0)/2)))</f>
        <v/>
      </c>
      <c r="X803">
        <f>IF(OR(X$4="",$A803&gt;TODAY()),0,IF(OR(INDEX($B803:$D803,X$5)="F",AND(X$6&gt;0,$A803&lt;X$6),AND(X$7&gt;0,$A803&gt;X$7)),0,MAX(0,ROUND((INDEX($E803:$G803,X$5)-SUMIFS(TF_Timer,TF_Tekniker,X$4,TF_Dato,$A803))*2,0)/2)))</f>
        <v/>
      </c>
      <c r="Y803">
        <f>IF(OR(Y$4="",$A803&gt;TODAY()),0,IF(OR(INDEX($B803:$D803,Y$5)="F",AND(Y$6&gt;0,$A803&lt;Y$6),AND(Y$7&gt;0,$A803&gt;Y$7)),0,MAX(0,ROUND((INDEX($E803:$G803,Y$5)-SUMIFS(TF_Timer,TF_Tekniker,Y$4,TF_Dato,$A803))*2,0)/2)))</f>
        <v/>
      </c>
      <c r="Z803">
        <f>IF(OR(Z$4="",$A803&gt;TODAY()),0,IF(OR(INDEX($B803:$D803,Z$5)="F",AND(Z$6&gt;0,$A803&lt;Z$6),AND(Z$7&gt;0,$A803&gt;Z$7)),0,MAX(0,ROUND((INDEX($E803:$G803,Z$5)-SUMIFS(TF_Timer,TF_Tekniker,Z$4,TF_Dato,$A803))*2,0)/2)))</f>
        <v/>
      </c>
      <c r="AA803">
        <f>IF(OR(AA$4="",$A803&gt;TODAY()),0,IF(OR(INDEX($B803:$D803,AA$5)="F",AND(AA$6&gt;0,$A803&lt;AA$6),AND(AA$7&gt;0,$A803&gt;AA$7)),0,MAX(0,ROUND((INDEX($E803:$G803,AA$5)-SUMIFS(TF_Timer,TF_Tekniker,AA$4,TF_Dato,$A803))*2,0)/2)))</f>
        <v/>
      </c>
      <c r="AB803">
        <f>IF(OR(AB$4="",$A803&gt;TODAY()),0,IF(OR(INDEX($B803:$D803,AB$5)="F",AND(AB$6&gt;0,$A803&lt;AB$6),AND(AB$7&gt;0,$A803&gt;AB$7)),0,MAX(0,ROUND((INDEX($E803:$G803,AB$5)-SUMIFS(TF_Timer,TF_Tekniker,AB$4,TF_Dato,$A803))*2,0)/2)))</f>
        <v/>
      </c>
      <c r="AC803">
        <f>IF(OR(AC$4="",$A803&gt;TODAY()),0,IF(OR(INDEX($B803:$D803,AC$5)="F",AND(AC$6&gt;0,$A803&lt;AC$6),AND(AC$7&gt;0,$A803&gt;AC$7)),0,MAX(0,ROUND((INDEX($E803:$G803,AC$5)-SUMIFS(TF_Timer,TF_Tekniker,AC$4,TF_Dato,$A803))*2,0)/2)))</f>
        <v/>
      </c>
      <c r="AD803">
        <f>IF(OR(AD$4="",$A803&gt;TODAY()),0,IF(OR(INDEX($B803:$D803,AD$5)="F",AND(AD$6&gt;0,$A803&lt;AD$6),AND(AD$7&gt;0,$A803&gt;AD$7)),0,MAX(0,ROUND((INDEX($E803:$G803,AD$5)-SUMIFS(TF_Timer,TF_Tekniker,AD$4,TF_Dato,$A803))*2,0)/2)))</f>
        <v/>
      </c>
      <c r="AE803">
        <f>IF(OR(AE$4="",$A803&gt;TODAY()),0,IF(OR(INDEX($B803:$D803,AE$5)="F",AND(AE$6&gt;0,$A803&lt;AE$6),AND(AE$7&gt;0,$A803&gt;AE$7)),0,MAX(0,ROUND((INDEX($E803:$G803,AE$5)-SUMIFS(TF_Timer,TF_Tekniker,AE$4,TF_Dato,$A803))*2,0)/2)))</f>
        <v/>
      </c>
      <c r="AF803">
        <f>IF(OR(AF$4="",$A803&gt;TODAY()),0,IF(OR(INDEX($B803:$D803,AF$5)="F",AND(AF$6&gt;0,$A803&lt;AF$6),AND(AF$7&gt;0,$A803&gt;AF$7)),0,MAX(0,ROUND((INDEX($E803:$G803,AF$5)-SUMIFS(TF_Timer,TF_Tekniker,AF$4,TF_Dato,$A803))*2,0)/2)))</f>
        <v/>
      </c>
      <c r="AG803">
        <f>IF(OR(AG$4="",$A803&gt;TODAY()),0,IF(OR(INDEX($B803:$D803,AG$5)="F",AND(AG$6&gt;0,$A803&lt;AG$6),AND(AG$7&gt;0,$A803&gt;AG$7)),0,MAX(0,ROUND((INDEX($E803:$G803,AG$5)-SUMIFS(TF_Timer,TF_Tekniker,AG$4,TF_Dato,$A803))*2,0)/2)))</f>
        <v/>
      </c>
      <c r="AH803">
        <f>IF(OR(AH$4="",$A803&gt;TODAY()),0,IF(OR(INDEX($B803:$D803,AH$5)="F",AND(AH$6&gt;0,$A803&lt;AH$6),AND(AH$7&gt;0,$A803&gt;AH$7)),0,MAX(0,ROUND((INDEX($E803:$G803,AH$5)-SUMIFS(TF_Timer,TF_Tekniker,AH$4,TF_Dato,$A803))*2,0)/2)))</f>
        <v/>
      </c>
      <c r="AI803">
        <f>IF(OR(AI$4="",$A803&gt;TODAY()),0,IF(OR(INDEX($B803:$D803,AI$5)="F",AND(AI$6&gt;0,$A803&lt;AI$6),AND(AI$7&gt;0,$A803&gt;AI$7)),0,MAX(0,ROUND((INDEX($E803:$G803,AI$5)-SUMIFS(TF_Timer,TF_Tekniker,AI$4,TF_Dato,$A803))*2,0)/2)))</f>
        <v/>
      </c>
      <c r="AJ803">
        <f>IF(OR(AJ$4="",$A803&gt;TODAY()),0,IF(OR(INDEX($B803:$D803,AJ$5)="F",AND(AJ$6&gt;0,$A803&lt;AJ$6),AND(AJ$7&gt;0,$A803&gt;AJ$7)),0,MAX(0,ROUND((INDEX($E803:$G803,AJ$5)-SUMIFS(TF_Timer,TF_Tekniker,AJ$4,TF_Dato,$A803))*2,0)/2)))</f>
        <v/>
      </c>
      <c r="AK803">
        <f>IF(OR(AK$4="",$A803&gt;TODAY()),0,IF(OR(INDEX($B803:$D803,AK$5)="F",AND(AK$6&gt;0,$A803&lt;AK$6),AND(AK$7&gt;0,$A803&gt;AK$7)),0,MAX(0,ROUND((INDEX($E803:$G803,AK$5)-SUMIFS(TF_Timer,TF_Tekniker,AK$4,TF_Dato,$A803))*2,0)/2)))</f>
        <v/>
      </c>
      <c r="AL803">
        <f>IF(OR(AL$4="",$A803&gt;TODAY()),0,IF(OR(INDEX($B803:$D803,AL$5)="F",AND(AL$6&gt;0,$A803&lt;AL$6),AND(AL$7&gt;0,$A803&gt;AL$7)),0,MAX(0,ROUND((INDEX($E803:$G803,AL$5)-SUMIFS(TF_Timer,TF_Tekniker,AL$4,TF_Dato,$A803))*2,0)/2)))</f>
        <v/>
      </c>
      <c r="AM803">
        <f>IF(OR(AM$4="",$A803&gt;TODAY()),0,IF(OR(INDEX($B803:$D803,AM$5)="F",AND(AM$6&gt;0,$A803&lt;AM$6),AND(AM$7&gt;0,$A803&gt;AM$7)),0,MAX(0,ROUND((INDEX($E803:$G803,AM$5)-SUMIFS(TF_Timer,TF_Tekniker,AM$4,TF_Dato,$A803))*2,0)/2)))</f>
        <v/>
      </c>
      <c r="AN803">
        <f>IF(OR(AN$4="",$A803&gt;TODAY()),0,IF(OR(INDEX($B803:$D803,AN$5)="F",AND(AN$6&gt;0,$A803&lt;AN$6),AND(AN$7&gt;0,$A803&gt;AN$7)),0,MAX(0,ROUND((INDEX($E803:$G803,AN$5)-SUMIFS(TF_Timer,TF_Tekniker,AN$4,TF_Dato,$A803))*2,0)/2)))</f>
        <v/>
      </c>
      <c r="AO803">
        <f>IF(OR(AO$4="",$A803&gt;TODAY()),0,IF(OR(INDEX($B803:$D803,AO$5)="F",AND(AO$6&gt;0,$A803&lt;AO$6),AND(AO$7&gt;0,$A803&gt;AO$7)),0,MAX(0,ROUND((INDEX($E803:$G803,AO$5)-SUMIFS(TF_Timer,TF_Tekniker,AO$4,TF_Dato,$A803))*2,0)/2)))</f>
        <v/>
      </c>
      <c r="AP803">
        <f>IF(OR(AP$4="",$A803&gt;TODAY()),0,IF(OR(INDEX($B803:$D803,AP$5)="F",AND(AP$6&gt;0,$A803&lt;AP$6),AND(AP$7&gt;0,$A803&gt;AP$7)),0,MAX(0,ROUND((INDEX($E803:$G803,AP$5)-SUMIFS(TF_Timer,TF_Tekniker,AP$4,TF_Dato,$A803))*2,0)/2)))</f>
        <v/>
      </c>
      <c r="AQ803">
        <f>IF(OR(AQ$4="",$A803&gt;TODAY()),0,IF(OR(INDEX($B803:$D803,AQ$5)="F",AND(AQ$6&gt;0,$A803&lt;AQ$6),AND(AQ$7&gt;0,$A803&gt;AQ$7)),0,MAX(0,ROUND((INDEX($E803:$G803,AQ$5)-SUMIFS(TF_Timer,TF_Tekniker,AQ$4,TF_Dato,$A803))*2,0)/2)))</f>
        <v/>
      </c>
      <c r="AR803">
        <f>IF(OR(AR$4="",$A803&gt;TODAY()),0,IF(OR(INDEX($B803:$D803,AR$5)="F",AND(AR$6&gt;0,$A803&lt;AR$6),AND(AR$7&gt;0,$A803&gt;AR$7)),0,MAX(0,ROUND((INDEX($E803:$G803,AR$5)-SUMIFS(TF_Timer,TF_Tekniker,AR$4,TF_Dato,$A803))*2,0)/2)))</f>
        <v/>
      </c>
      <c r="AS803">
        <f>IF(OR(AS$4="",$A803&gt;TODAY()),0,IF(OR(INDEX($B803:$D803,AS$5)="F",AND(AS$6&gt;0,$A803&lt;AS$6),AND(AS$7&gt;0,$A803&gt;AS$7)),0,MAX(0,ROUND((INDEX($E803:$G803,AS$5)-SUMIFS(TF_Timer,TF_Tekniker,AS$4,TF_Dato,$A803))*2,0)/2)))</f>
        <v/>
      </c>
      <c r="AT803">
        <f>IF(OR(AT$4="",$A803&gt;TODAY()),0,IF(OR(INDEX($B803:$D803,AT$5)="F",AND(AT$6&gt;0,$A803&lt;AT$6),AND(AT$7&gt;0,$A803&gt;AT$7)),0,MAX(0,ROUND((INDEX($E803:$G803,AT$5)-SUMIFS(TF_Timer,TF_Tekniker,AT$4,TF_Dato,$A803))*2,0)/2)))</f>
        <v/>
      </c>
      <c r="AU803">
        <f>IF(OR(AU$4="",$A803&gt;TODAY()),0,IF(OR(INDEX($B803:$D803,AU$5)="F",AND(AU$6&gt;0,$A803&lt;AU$6),AND(AU$7&gt;0,$A803&gt;AU$7)),0,MAX(0,ROUND((INDEX($E803:$G803,AU$5)-SUMIFS(TF_Timer,TF_Tekniker,AU$4,TF_Dato,$A803))*2,0)/2)))</f>
        <v/>
      </c>
      <c r="AV803">
        <f>IF(OR(AV$4="",$A803&gt;TODAY()),0,IF(OR(INDEX($B803:$D803,AV$5)="F",AND(AV$6&gt;0,$A803&lt;AV$6),AND(AV$7&gt;0,$A803&gt;AV$7)),0,MAX(0,ROUND((INDEX($E803:$G803,AV$5)-SUMIFS(TF_Timer,TF_Tekniker,AV$4,TF_Dato,$A803))*2,0)/2)))</f>
        <v/>
      </c>
      <c r="AW803">
        <f>IF(OR(AW$4="",$A803&gt;TODAY()),0,IF(OR(INDEX($B803:$D803,AW$5)="F",AND(AW$6&gt;0,$A803&lt;AW$6),AND(AW$7&gt;0,$A803&gt;AW$7)),0,MAX(0,ROUND((INDEX($E803:$G803,AW$5)-SUMIFS(TF_Timer,TF_Tekniker,AW$4,TF_Dato,$A803))*2,0)/2)))</f>
        <v/>
      </c>
      <c r="AX803">
        <f>IF(OR(AX$4="",$A803&gt;TODAY()),0,IF(OR(INDEX($B803:$D803,AX$5)="F",AND(AX$6&gt;0,$A803&lt;AX$6),AND(AX$7&gt;0,$A803&gt;AX$7)),0,MAX(0,ROUND((INDEX($E803:$G803,AX$5)-SUMIFS(TF_Timer,TF_Tekniker,AX$4,TF_Dato,$A803))*2,0)/2)))</f>
        <v/>
      </c>
      <c r="AY803">
        <f>IF(OR(AY$4="",$A803&gt;TODAY()),0,IF(OR(INDEX($B803:$D803,AY$5)="F",AND(AY$6&gt;0,$A803&lt;AY$6),AND(AY$7&gt;0,$A803&gt;AY$7)),0,MAX(0,ROUND((INDEX($E803:$G803,AY$5)-SUMIFS(TF_Timer,TF_Tekniker,AY$4,TF_Dato,$A803))*2,0)/2)))</f>
        <v/>
      </c>
      <c r="AZ803">
        <f>IF(OR(AZ$4="",$A803&gt;TODAY()),0,IF(OR(INDEX($B803:$D803,AZ$5)="F",AND(AZ$6&gt;0,$A803&lt;AZ$6),AND(AZ$7&gt;0,$A803&gt;AZ$7)),0,MAX(0,ROUND((INDEX($E803:$G803,AZ$5)-SUMIFS(TF_Timer,TF_Tekniker,AZ$4,TF_Dato,$A803))*2,0)/2)))</f>
        <v/>
      </c>
      <c r="BA803">
        <f>IF(OR(BA$4="",$A803&gt;TODAY()),0,IF(OR(INDEX($B803:$D803,BA$5)="F",AND(BA$6&gt;0,$A803&lt;BA$6),AND(BA$7&gt;0,$A803&gt;BA$7)),0,MAX(0,ROUND((INDEX($E803:$G803,BA$5)-SUMIFS(TF_Timer,TF_Tekniker,BA$4,TF_Dato,$A803))*2,0)/2)))</f>
        <v/>
      </c>
      <c r="BB803">
        <f>IF(OR(BB$4="",$A803&gt;TODAY()),0,IF(OR(INDEX($B803:$D803,BB$5)="F",AND(BB$6&gt;0,$A803&lt;BB$6),AND(BB$7&gt;0,$A803&gt;BB$7)),0,MAX(0,ROUND((INDEX($E803:$G803,BB$5)-SUMIFS(TF_Timer,TF_Tekniker,BB$4,TF_Dato,$A803))*2,0)/2)))</f>
        <v/>
      </c>
      <c r="BC803">
        <f>IF(OR(BC$4="",$A803&gt;TODAY()),0,IF(OR(INDEX($B803:$D803,BC$5)="F",AND(BC$6&gt;0,$A803&lt;BC$6),AND(BC$7&gt;0,$A803&gt;BC$7)),0,MAX(0,ROUND((INDEX($E803:$G803,BC$5)-SUMIFS(TF_Timer,TF_Tekniker,BC$4,TF_Dato,$A803))*2,0)/2)))</f>
        <v/>
      </c>
      <c r="BD803">
        <f>IF(OR(BD$4="",$A803&gt;TODAY()),0,IF(OR(INDEX($B803:$D803,BD$5)="F",AND(BD$6&gt;0,$A803&lt;BD$6),AND(BD$7&gt;0,$A803&gt;BD$7)),0,MAX(0,ROUND((INDEX($E803:$G803,BD$5)-SUMIFS(TF_Timer,TF_Tekniker,BD$4,TF_Dato,$A803))*2,0)/2)))</f>
        <v/>
      </c>
      <c r="BE803">
        <f>IF(OR(BE$4="",$A803&gt;TODAY()),0,IF(OR(INDEX($B803:$D803,BE$5)="F",AND(BE$6&gt;0,$A803&lt;BE$6),AND(BE$7&gt;0,$A803&gt;BE$7)),0,MAX(0,ROUND((INDEX($E803:$G803,BE$5)-SUMIFS(TF_Timer,TF_Tekniker,BE$4,TF_Dato,$A803))*2,0)/2)))</f>
        <v/>
      </c>
      <c r="BF803">
        <f>IF(OR(BF$4="",$A803&gt;TODAY()),0,IF(OR(INDEX($B803:$D803,BF$5)="F",AND(BF$6&gt;0,$A803&lt;BF$6),AND(BF$7&gt;0,$A803&gt;BF$7)),0,MAX(0,ROUND((INDEX($E803:$G803,BF$5)-SUMIFS(TF_Timer,TF_Tekniker,BF$4,TF_Dato,$A803))*2,0)/2)))</f>
        <v/>
      </c>
      <c r="BG803">
        <f>IF(OR(BG$4="",$A803&gt;TODAY()),0,IF(OR(INDEX($B803:$D803,BG$5)="F",AND(BG$6&gt;0,$A803&lt;BG$6),AND(BG$7&gt;0,$A803&gt;BG$7)),0,MAX(0,ROUND((INDEX($E803:$G803,BG$5)-SUMIFS(TF_Timer,TF_Tekniker,BG$4,TF_Dato,$A803))*2,0)/2)))</f>
        <v/>
      </c>
      <c r="BH803">
        <f>IF(OR(BH$4="",$A803&gt;TODAY()),0,IF(OR(INDEX($B803:$D803,BH$5)="F",AND(BH$6&gt;0,$A803&lt;BH$6),AND(BH$7&gt;0,$A803&gt;BH$7)),0,MAX(0,ROUND((INDEX($E803:$G803,BH$5)-SUMIFS(TF_Timer,TF_Tekniker,BH$4,TF_Dato,$A803))*2,0)/2)))</f>
        <v/>
      </c>
      <c r="BI803">
        <f>IF(OR(BI$4="",$A803&gt;TODAY()),0,IF(OR(INDEX($B803:$D803,BI$5)="F",AND(BI$6&gt;0,$A803&lt;BI$6),AND(BI$7&gt;0,$A803&gt;BI$7)),0,MAX(0,ROUND((INDEX($E803:$G803,BI$5)-SUMIFS(TF_Timer,TF_Tekniker,BI$4,TF_Dato,$A803))*2,0)/2)))</f>
        <v/>
      </c>
    </row>
    <row r="804">
      <c r="A804" s="64">
        <f>A803+1</f>
        <v/>
      </c>
      <c r="B804">
        <f>IF(MOD($A804-INDEX(SkiftStart,1),Syklus)&lt;DagK,"K",IF(MOD($A804-INDEX(SkiftStart,1),Syklus)&lt;DagK+DagH,"H",IF(MOD($A804-INDEX(SkiftStart,1),Syklus)&lt;DagK+DagH+DagD,"D","F")))</f>
        <v/>
      </c>
      <c r="C804">
        <f>IF(MOD($A804-INDEX(SkiftStart,2),Syklus)&lt;DagK,"K",IF(MOD($A804-INDEX(SkiftStart,2),Syklus)&lt;DagK+DagH,"H",IF(MOD($A804-INDEX(SkiftStart,2),Syklus)&lt;DagK+DagH+DagD,"D","F")))</f>
        <v/>
      </c>
      <c r="D804">
        <f>IF(MOD($A804-INDEX(SkiftStart,3),Syklus)&lt;DagK,"K",IF(MOD($A804-INDEX(SkiftStart,3),Syklus)&lt;DagK+DagH,"H",IF(MOD($A804-INDEX(SkiftStart,3),Syklus)&lt;DagK+DagH+DagD,"D","F")))</f>
        <v/>
      </c>
      <c r="E804">
        <f>IF(B804="F",0,IF(WEEKDAY($A804,2)=5,INDEX(TimerFr,MATCH(B804,FaseKode,0)),INDEX(TimerMT,MATCH(B804,FaseKode,0))))</f>
        <v/>
      </c>
      <c r="F804">
        <f>IF(C804="F",0,IF(WEEKDAY($A804,2)=5,INDEX(TimerFr,MATCH(C804,FaseKode,0)),INDEX(TimerMT,MATCH(C804,FaseKode,0))))</f>
        <v/>
      </c>
      <c r="G804">
        <f>IF(D804="F",0,IF(WEEKDAY($A804,2)=5,INDEX(TimerFr,MATCH(D804,FaseKode,0)),INDEX(TimerMT,MATCH(D804,FaseKode,0))))</f>
        <v/>
      </c>
      <c r="H804">
        <f>IF(OR(H$4="",$A804&gt;TODAY()),0,IF(OR(INDEX($B804:$D804,H$5)="F",AND(H$6&gt;0,$A804&lt;H$6),AND(H$7&gt;0,$A804&gt;H$7)),0,MAX(0,ROUND((INDEX($E804:$G804,H$5)-SUMIFS(TF_Timer,TF_Tekniker,H$4,TF_Dato,$A804))*2,0)/2)))</f>
        <v/>
      </c>
      <c r="I804">
        <f>IF(OR(I$4="",$A804&gt;TODAY()),0,IF(OR(INDEX($B804:$D804,I$5)="F",AND(I$6&gt;0,$A804&lt;I$6),AND(I$7&gt;0,$A804&gt;I$7)),0,MAX(0,ROUND((INDEX($E804:$G804,I$5)-SUMIFS(TF_Timer,TF_Tekniker,I$4,TF_Dato,$A804))*2,0)/2)))</f>
        <v/>
      </c>
      <c r="J804">
        <f>IF(OR(J$4="",$A804&gt;TODAY()),0,IF(OR(INDEX($B804:$D804,J$5)="F",AND(J$6&gt;0,$A804&lt;J$6),AND(J$7&gt;0,$A804&gt;J$7)),0,MAX(0,ROUND((INDEX($E804:$G804,J$5)-SUMIFS(TF_Timer,TF_Tekniker,J$4,TF_Dato,$A804))*2,0)/2)))</f>
        <v/>
      </c>
      <c r="K804">
        <f>IF(OR(K$4="",$A804&gt;TODAY()),0,IF(OR(INDEX($B804:$D804,K$5)="F",AND(K$6&gt;0,$A804&lt;K$6),AND(K$7&gt;0,$A804&gt;K$7)),0,MAX(0,ROUND((INDEX($E804:$G804,K$5)-SUMIFS(TF_Timer,TF_Tekniker,K$4,TF_Dato,$A804))*2,0)/2)))</f>
        <v/>
      </c>
      <c r="L804">
        <f>IF(OR(L$4="",$A804&gt;TODAY()),0,IF(OR(INDEX($B804:$D804,L$5)="F",AND(L$6&gt;0,$A804&lt;L$6),AND(L$7&gt;0,$A804&gt;L$7)),0,MAX(0,ROUND((INDEX($E804:$G804,L$5)-SUMIFS(TF_Timer,TF_Tekniker,L$4,TF_Dato,$A804))*2,0)/2)))</f>
        <v/>
      </c>
      <c r="M804">
        <f>IF(OR(M$4="",$A804&gt;TODAY()),0,IF(OR(INDEX($B804:$D804,M$5)="F",AND(M$6&gt;0,$A804&lt;M$6),AND(M$7&gt;0,$A804&gt;M$7)),0,MAX(0,ROUND((INDEX($E804:$G804,M$5)-SUMIFS(TF_Timer,TF_Tekniker,M$4,TF_Dato,$A804))*2,0)/2)))</f>
        <v/>
      </c>
      <c r="N804">
        <f>IF(OR(N$4="",$A804&gt;TODAY()),0,IF(OR(INDEX($B804:$D804,N$5)="F",AND(N$6&gt;0,$A804&lt;N$6),AND(N$7&gt;0,$A804&gt;N$7)),0,MAX(0,ROUND((INDEX($E804:$G804,N$5)-SUMIFS(TF_Timer,TF_Tekniker,N$4,TF_Dato,$A804))*2,0)/2)))</f>
        <v/>
      </c>
      <c r="O804">
        <f>IF(OR(O$4="",$A804&gt;TODAY()),0,IF(OR(INDEX($B804:$D804,O$5)="F",AND(O$6&gt;0,$A804&lt;O$6),AND(O$7&gt;0,$A804&gt;O$7)),0,MAX(0,ROUND((INDEX($E804:$G804,O$5)-SUMIFS(TF_Timer,TF_Tekniker,O$4,TF_Dato,$A804))*2,0)/2)))</f>
        <v/>
      </c>
      <c r="P804">
        <f>IF(OR(P$4="",$A804&gt;TODAY()),0,IF(OR(INDEX($B804:$D804,P$5)="F",AND(P$6&gt;0,$A804&lt;P$6),AND(P$7&gt;0,$A804&gt;P$7)),0,MAX(0,ROUND((INDEX($E804:$G804,P$5)-SUMIFS(TF_Timer,TF_Tekniker,P$4,TF_Dato,$A804))*2,0)/2)))</f>
        <v/>
      </c>
      <c r="Q804">
        <f>IF(OR(Q$4="",$A804&gt;TODAY()),0,IF(OR(INDEX($B804:$D804,Q$5)="F",AND(Q$6&gt;0,$A804&lt;Q$6),AND(Q$7&gt;0,$A804&gt;Q$7)),0,MAX(0,ROUND((INDEX($E804:$G804,Q$5)-SUMIFS(TF_Timer,TF_Tekniker,Q$4,TF_Dato,$A804))*2,0)/2)))</f>
        <v/>
      </c>
      <c r="R804">
        <f>IF(OR(R$4="",$A804&gt;TODAY()),0,IF(OR(INDEX($B804:$D804,R$5)="F",AND(R$6&gt;0,$A804&lt;R$6),AND(R$7&gt;0,$A804&gt;R$7)),0,MAX(0,ROUND((INDEX($E804:$G804,R$5)-SUMIFS(TF_Timer,TF_Tekniker,R$4,TF_Dato,$A804))*2,0)/2)))</f>
        <v/>
      </c>
      <c r="S804">
        <f>IF(OR(S$4="",$A804&gt;TODAY()),0,IF(OR(INDEX($B804:$D804,S$5)="F",AND(S$6&gt;0,$A804&lt;S$6),AND(S$7&gt;0,$A804&gt;S$7)),0,MAX(0,ROUND((INDEX($E804:$G804,S$5)-SUMIFS(TF_Timer,TF_Tekniker,S$4,TF_Dato,$A804))*2,0)/2)))</f>
        <v/>
      </c>
      <c r="T804">
        <f>IF(OR(T$4="",$A804&gt;TODAY()),0,IF(OR(INDEX($B804:$D804,T$5)="F",AND(T$6&gt;0,$A804&lt;T$6),AND(T$7&gt;0,$A804&gt;T$7)),0,MAX(0,ROUND((INDEX($E804:$G804,T$5)-SUMIFS(TF_Timer,TF_Tekniker,T$4,TF_Dato,$A804))*2,0)/2)))</f>
        <v/>
      </c>
      <c r="U804">
        <f>IF(OR(U$4="",$A804&gt;TODAY()),0,IF(OR(INDEX($B804:$D804,U$5)="F",AND(U$6&gt;0,$A804&lt;U$6),AND(U$7&gt;0,$A804&gt;U$7)),0,MAX(0,ROUND((INDEX($E804:$G804,U$5)-SUMIFS(TF_Timer,TF_Tekniker,U$4,TF_Dato,$A804))*2,0)/2)))</f>
        <v/>
      </c>
      <c r="V804">
        <f>IF(OR(V$4="",$A804&gt;TODAY()),0,IF(OR(INDEX($B804:$D804,V$5)="F",AND(V$6&gt;0,$A804&lt;V$6),AND(V$7&gt;0,$A804&gt;V$7)),0,MAX(0,ROUND((INDEX($E804:$G804,V$5)-SUMIFS(TF_Timer,TF_Tekniker,V$4,TF_Dato,$A804))*2,0)/2)))</f>
        <v/>
      </c>
      <c r="W804">
        <f>IF(OR(W$4="",$A804&gt;TODAY()),0,IF(OR(INDEX($B804:$D804,W$5)="F",AND(W$6&gt;0,$A804&lt;W$6),AND(W$7&gt;0,$A804&gt;W$7)),0,MAX(0,ROUND((INDEX($E804:$G804,W$5)-SUMIFS(TF_Timer,TF_Tekniker,W$4,TF_Dato,$A804))*2,0)/2)))</f>
        <v/>
      </c>
      <c r="X804">
        <f>IF(OR(X$4="",$A804&gt;TODAY()),0,IF(OR(INDEX($B804:$D804,X$5)="F",AND(X$6&gt;0,$A804&lt;X$6),AND(X$7&gt;0,$A804&gt;X$7)),0,MAX(0,ROUND((INDEX($E804:$G804,X$5)-SUMIFS(TF_Timer,TF_Tekniker,X$4,TF_Dato,$A804))*2,0)/2)))</f>
        <v/>
      </c>
      <c r="Y804">
        <f>IF(OR(Y$4="",$A804&gt;TODAY()),0,IF(OR(INDEX($B804:$D804,Y$5)="F",AND(Y$6&gt;0,$A804&lt;Y$6),AND(Y$7&gt;0,$A804&gt;Y$7)),0,MAX(0,ROUND((INDEX($E804:$G804,Y$5)-SUMIFS(TF_Timer,TF_Tekniker,Y$4,TF_Dato,$A804))*2,0)/2)))</f>
        <v/>
      </c>
      <c r="Z804">
        <f>IF(OR(Z$4="",$A804&gt;TODAY()),0,IF(OR(INDEX($B804:$D804,Z$5)="F",AND(Z$6&gt;0,$A804&lt;Z$6),AND(Z$7&gt;0,$A804&gt;Z$7)),0,MAX(0,ROUND((INDEX($E804:$G804,Z$5)-SUMIFS(TF_Timer,TF_Tekniker,Z$4,TF_Dato,$A804))*2,0)/2)))</f>
        <v/>
      </c>
      <c r="AA804">
        <f>IF(OR(AA$4="",$A804&gt;TODAY()),0,IF(OR(INDEX($B804:$D804,AA$5)="F",AND(AA$6&gt;0,$A804&lt;AA$6),AND(AA$7&gt;0,$A804&gt;AA$7)),0,MAX(0,ROUND((INDEX($E804:$G804,AA$5)-SUMIFS(TF_Timer,TF_Tekniker,AA$4,TF_Dato,$A804))*2,0)/2)))</f>
        <v/>
      </c>
      <c r="AB804">
        <f>IF(OR(AB$4="",$A804&gt;TODAY()),0,IF(OR(INDEX($B804:$D804,AB$5)="F",AND(AB$6&gt;0,$A804&lt;AB$6),AND(AB$7&gt;0,$A804&gt;AB$7)),0,MAX(0,ROUND((INDEX($E804:$G804,AB$5)-SUMIFS(TF_Timer,TF_Tekniker,AB$4,TF_Dato,$A804))*2,0)/2)))</f>
        <v/>
      </c>
      <c r="AC804">
        <f>IF(OR(AC$4="",$A804&gt;TODAY()),0,IF(OR(INDEX($B804:$D804,AC$5)="F",AND(AC$6&gt;0,$A804&lt;AC$6),AND(AC$7&gt;0,$A804&gt;AC$7)),0,MAX(0,ROUND((INDEX($E804:$G804,AC$5)-SUMIFS(TF_Timer,TF_Tekniker,AC$4,TF_Dato,$A804))*2,0)/2)))</f>
        <v/>
      </c>
      <c r="AD804">
        <f>IF(OR(AD$4="",$A804&gt;TODAY()),0,IF(OR(INDEX($B804:$D804,AD$5)="F",AND(AD$6&gt;0,$A804&lt;AD$6),AND(AD$7&gt;0,$A804&gt;AD$7)),0,MAX(0,ROUND((INDEX($E804:$G804,AD$5)-SUMIFS(TF_Timer,TF_Tekniker,AD$4,TF_Dato,$A804))*2,0)/2)))</f>
        <v/>
      </c>
      <c r="AE804">
        <f>IF(OR(AE$4="",$A804&gt;TODAY()),0,IF(OR(INDEX($B804:$D804,AE$5)="F",AND(AE$6&gt;0,$A804&lt;AE$6),AND(AE$7&gt;0,$A804&gt;AE$7)),0,MAX(0,ROUND((INDEX($E804:$G804,AE$5)-SUMIFS(TF_Timer,TF_Tekniker,AE$4,TF_Dato,$A804))*2,0)/2)))</f>
        <v/>
      </c>
      <c r="AF804">
        <f>IF(OR(AF$4="",$A804&gt;TODAY()),0,IF(OR(INDEX($B804:$D804,AF$5)="F",AND(AF$6&gt;0,$A804&lt;AF$6),AND(AF$7&gt;0,$A804&gt;AF$7)),0,MAX(0,ROUND((INDEX($E804:$G804,AF$5)-SUMIFS(TF_Timer,TF_Tekniker,AF$4,TF_Dato,$A804))*2,0)/2)))</f>
        <v/>
      </c>
      <c r="AG804">
        <f>IF(OR(AG$4="",$A804&gt;TODAY()),0,IF(OR(INDEX($B804:$D804,AG$5)="F",AND(AG$6&gt;0,$A804&lt;AG$6),AND(AG$7&gt;0,$A804&gt;AG$7)),0,MAX(0,ROUND((INDEX($E804:$G804,AG$5)-SUMIFS(TF_Timer,TF_Tekniker,AG$4,TF_Dato,$A804))*2,0)/2)))</f>
        <v/>
      </c>
      <c r="AH804">
        <f>IF(OR(AH$4="",$A804&gt;TODAY()),0,IF(OR(INDEX($B804:$D804,AH$5)="F",AND(AH$6&gt;0,$A804&lt;AH$6),AND(AH$7&gt;0,$A804&gt;AH$7)),0,MAX(0,ROUND((INDEX($E804:$G804,AH$5)-SUMIFS(TF_Timer,TF_Tekniker,AH$4,TF_Dato,$A804))*2,0)/2)))</f>
        <v/>
      </c>
      <c r="AI804">
        <f>IF(OR(AI$4="",$A804&gt;TODAY()),0,IF(OR(INDEX($B804:$D804,AI$5)="F",AND(AI$6&gt;0,$A804&lt;AI$6),AND(AI$7&gt;0,$A804&gt;AI$7)),0,MAX(0,ROUND((INDEX($E804:$G804,AI$5)-SUMIFS(TF_Timer,TF_Tekniker,AI$4,TF_Dato,$A804))*2,0)/2)))</f>
        <v/>
      </c>
      <c r="AJ804">
        <f>IF(OR(AJ$4="",$A804&gt;TODAY()),0,IF(OR(INDEX($B804:$D804,AJ$5)="F",AND(AJ$6&gt;0,$A804&lt;AJ$6),AND(AJ$7&gt;0,$A804&gt;AJ$7)),0,MAX(0,ROUND((INDEX($E804:$G804,AJ$5)-SUMIFS(TF_Timer,TF_Tekniker,AJ$4,TF_Dato,$A804))*2,0)/2)))</f>
        <v/>
      </c>
      <c r="AK804">
        <f>IF(OR(AK$4="",$A804&gt;TODAY()),0,IF(OR(INDEX($B804:$D804,AK$5)="F",AND(AK$6&gt;0,$A804&lt;AK$6),AND(AK$7&gt;0,$A804&gt;AK$7)),0,MAX(0,ROUND((INDEX($E804:$G804,AK$5)-SUMIFS(TF_Timer,TF_Tekniker,AK$4,TF_Dato,$A804))*2,0)/2)))</f>
        <v/>
      </c>
      <c r="AL804">
        <f>IF(OR(AL$4="",$A804&gt;TODAY()),0,IF(OR(INDEX($B804:$D804,AL$5)="F",AND(AL$6&gt;0,$A804&lt;AL$6),AND(AL$7&gt;0,$A804&gt;AL$7)),0,MAX(0,ROUND((INDEX($E804:$G804,AL$5)-SUMIFS(TF_Timer,TF_Tekniker,AL$4,TF_Dato,$A804))*2,0)/2)))</f>
        <v/>
      </c>
      <c r="AM804">
        <f>IF(OR(AM$4="",$A804&gt;TODAY()),0,IF(OR(INDEX($B804:$D804,AM$5)="F",AND(AM$6&gt;0,$A804&lt;AM$6),AND(AM$7&gt;0,$A804&gt;AM$7)),0,MAX(0,ROUND((INDEX($E804:$G804,AM$5)-SUMIFS(TF_Timer,TF_Tekniker,AM$4,TF_Dato,$A804))*2,0)/2)))</f>
        <v/>
      </c>
      <c r="AN804">
        <f>IF(OR(AN$4="",$A804&gt;TODAY()),0,IF(OR(INDEX($B804:$D804,AN$5)="F",AND(AN$6&gt;0,$A804&lt;AN$6),AND(AN$7&gt;0,$A804&gt;AN$7)),0,MAX(0,ROUND((INDEX($E804:$G804,AN$5)-SUMIFS(TF_Timer,TF_Tekniker,AN$4,TF_Dato,$A804))*2,0)/2)))</f>
        <v/>
      </c>
      <c r="AO804">
        <f>IF(OR(AO$4="",$A804&gt;TODAY()),0,IF(OR(INDEX($B804:$D804,AO$5)="F",AND(AO$6&gt;0,$A804&lt;AO$6),AND(AO$7&gt;0,$A804&gt;AO$7)),0,MAX(0,ROUND((INDEX($E804:$G804,AO$5)-SUMIFS(TF_Timer,TF_Tekniker,AO$4,TF_Dato,$A804))*2,0)/2)))</f>
        <v/>
      </c>
      <c r="AP804">
        <f>IF(OR(AP$4="",$A804&gt;TODAY()),0,IF(OR(INDEX($B804:$D804,AP$5)="F",AND(AP$6&gt;0,$A804&lt;AP$6),AND(AP$7&gt;0,$A804&gt;AP$7)),0,MAX(0,ROUND((INDEX($E804:$G804,AP$5)-SUMIFS(TF_Timer,TF_Tekniker,AP$4,TF_Dato,$A804))*2,0)/2)))</f>
        <v/>
      </c>
      <c r="AQ804">
        <f>IF(OR(AQ$4="",$A804&gt;TODAY()),0,IF(OR(INDEX($B804:$D804,AQ$5)="F",AND(AQ$6&gt;0,$A804&lt;AQ$6),AND(AQ$7&gt;0,$A804&gt;AQ$7)),0,MAX(0,ROUND((INDEX($E804:$G804,AQ$5)-SUMIFS(TF_Timer,TF_Tekniker,AQ$4,TF_Dato,$A804))*2,0)/2)))</f>
        <v/>
      </c>
      <c r="AR804">
        <f>IF(OR(AR$4="",$A804&gt;TODAY()),0,IF(OR(INDEX($B804:$D804,AR$5)="F",AND(AR$6&gt;0,$A804&lt;AR$6),AND(AR$7&gt;0,$A804&gt;AR$7)),0,MAX(0,ROUND((INDEX($E804:$G804,AR$5)-SUMIFS(TF_Timer,TF_Tekniker,AR$4,TF_Dato,$A804))*2,0)/2)))</f>
        <v/>
      </c>
      <c r="AS804">
        <f>IF(OR(AS$4="",$A804&gt;TODAY()),0,IF(OR(INDEX($B804:$D804,AS$5)="F",AND(AS$6&gt;0,$A804&lt;AS$6),AND(AS$7&gt;0,$A804&gt;AS$7)),0,MAX(0,ROUND((INDEX($E804:$G804,AS$5)-SUMIFS(TF_Timer,TF_Tekniker,AS$4,TF_Dato,$A804))*2,0)/2)))</f>
        <v/>
      </c>
      <c r="AT804">
        <f>IF(OR(AT$4="",$A804&gt;TODAY()),0,IF(OR(INDEX($B804:$D804,AT$5)="F",AND(AT$6&gt;0,$A804&lt;AT$6),AND(AT$7&gt;0,$A804&gt;AT$7)),0,MAX(0,ROUND((INDEX($E804:$G804,AT$5)-SUMIFS(TF_Timer,TF_Tekniker,AT$4,TF_Dato,$A804))*2,0)/2)))</f>
        <v/>
      </c>
      <c r="AU804">
        <f>IF(OR(AU$4="",$A804&gt;TODAY()),0,IF(OR(INDEX($B804:$D804,AU$5)="F",AND(AU$6&gt;0,$A804&lt;AU$6),AND(AU$7&gt;0,$A804&gt;AU$7)),0,MAX(0,ROUND((INDEX($E804:$G804,AU$5)-SUMIFS(TF_Timer,TF_Tekniker,AU$4,TF_Dato,$A804))*2,0)/2)))</f>
        <v/>
      </c>
      <c r="AV804">
        <f>IF(OR(AV$4="",$A804&gt;TODAY()),0,IF(OR(INDEX($B804:$D804,AV$5)="F",AND(AV$6&gt;0,$A804&lt;AV$6),AND(AV$7&gt;0,$A804&gt;AV$7)),0,MAX(0,ROUND((INDEX($E804:$G804,AV$5)-SUMIFS(TF_Timer,TF_Tekniker,AV$4,TF_Dato,$A804))*2,0)/2)))</f>
        <v/>
      </c>
      <c r="AW804">
        <f>IF(OR(AW$4="",$A804&gt;TODAY()),0,IF(OR(INDEX($B804:$D804,AW$5)="F",AND(AW$6&gt;0,$A804&lt;AW$6),AND(AW$7&gt;0,$A804&gt;AW$7)),0,MAX(0,ROUND((INDEX($E804:$G804,AW$5)-SUMIFS(TF_Timer,TF_Tekniker,AW$4,TF_Dato,$A804))*2,0)/2)))</f>
        <v/>
      </c>
      <c r="AX804">
        <f>IF(OR(AX$4="",$A804&gt;TODAY()),0,IF(OR(INDEX($B804:$D804,AX$5)="F",AND(AX$6&gt;0,$A804&lt;AX$6),AND(AX$7&gt;0,$A804&gt;AX$7)),0,MAX(0,ROUND((INDEX($E804:$G804,AX$5)-SUMIFS(TF_Timer,TF_Tekniker,AX$4,TF_Dato,$A804))*2,0)/2)))</f>
        <v/>
      </c>
      <c r="AY804">
        <f>IF(OR(AY$4="",$A804&gt;TODAY()),0,IF(OR(INDEX($B804:$D804,AY$5)="F",AND(AY$6&gt;0,$A804&lt;AY$6),AND(AY$7&gt;0,$A804&gt;AY$7)),0,MAX(0,ROUND((INDEX($E804:$G804,AY$5)-SUMIFS(TF_Timer,TF_Tekniker,AY$4,TF_Dato,$A804))*2,0)/2)))</f>
        <v/>
      </c>
      <c r="AZ804">
        <f>IF(OR(AZ$4="",$A804&gt;TODAY()),0,IF(OR(INDEX($B804:$D804,AZ$5)="F",AND(AZ$6&gt;0,$A804&lt;AZ$6),AND(AZ$7&gt;0,$A804&gt;AZ$7)),0,MAX(0,ROUND((INDEX($E804:$G804,AZ$5)-SUMIFS(TF_Timer,TF_Tekniker,AZ$4,TF_Dato,$A804))*2,0)/2)))</f>
        <v/>
      </c>
      <c r="BA804">
        <f>IF(OR(BA$4="",$A804&gt;TODAY()),0,IF(OR(INDEX($B804:$D804,BA$5)="F",AND(BA$6&gt;0,$A804&lt;BA$6),AND(BA$7&gt;0,$A804&gt;BA$7)),0,MAX(0,ROUND((INDEX($E804:$G804,BA$5)-SUMIFS(TF_Timer,TF_Tekniker,BA$4,TF_Dato,$A804))*2,0)/2)))</f>
        <v/>
      </c>
      <c r="BB804">
        <f>IF(OR(BB$4="",$A804&gt;TODAY()),0,IF(OR(INDEX($B804:$D804,BB$5)="F",AND(BB$6&gt;0,$A804&lt;BB$6),AND(BB$7&gt;0,$A804&gt;BB$7)),0,MAX(0,ROUND((INDEX($E804:$G804,BB$5)-SUMIFS(TF_Timer,TF_Tekniker,BB$4,TF_Dato,$A804))*2,0)/2)))</f>
        <v/>
      </c>
      <c r="BC804">
        <f>IF(OR(BC$4="",$A804&gt;TODAY()),0,IF(OR(INDEX($B804:$D804,BC$5)="F",AND(BC$6&gt;0,$A804&lt;BC$6),AND(BC$7&gt;0,$A804&gt;BC$7)),0,MAX(0,ROUND((INDEX($E804:$G804,BC$5)-SUMIFS(TF_Timer,TF_Tekniker,BC$4,TF_Dato,$A804))*2,0)/2)))</f>
        <v/>
      </c>
      <c r="BD804">
        <f>IF(OR(BD$4="",$A804&gt;TODAY()),0,IF(OR(INDEX($B804:$D804,BD$5)="F",AND(BD$6&gt;0,$A804&lt;BD$6),AND(BD$7&gt;0,$A804&gt;BD$7)),0,MAX(0,ROUND((INDEX($E804:$G804,BD$5)-SUMIFS(TF_Timer,TF_Tekniker,BD$4,TF_Dato,$A804))*2,0)/2)))</f>
        <v/>
      </c>
      <c r="BE804">
        <f>IF(OR(BE$4="",$A804&gt;TODAY()),0,IF(OR(INDEX($B804:$D804,BE$5)="F",AND(BE$6&gt;0,$A804&lt;BE$6),AND(BE$7&gt;0,$A804&gt;BE$7)),0,MAX(0,ROUND((INDEX($E804:$G804,BE$5)-SUMIFS(TF_Timer,TF_Tekniker,BE$4,TF_Dato,$A804))*2,0)/2)))</f>
        <v/>
      </c>
      <c r="BF804">
        <f>IF(OR(BF$4="",$A804&gt;TODAY()),0,IF(OR(INDEX($B804:$D804,BF$5)="F",AND(BF$6&gt;0,$A804&lt;BF$6),AND(BF$7&gt;0,$A804&gt;BF$7)),0,MAX(0,ROUND((INDEX($E804:$G804,BF$5)-SUMIFS(TF_Timer,TF_Tekniker,BF$4,TF_Dato,$A804))*2,0)/2)))</f>
        <v/>
      </c>
      <c r="BG804">
        <f>IF(OR(BG$4="",$A804&gt;TODAY()),0,IF(OR(INDEX($B804:$D804,BG$5)="F",AND(BG$6&gt;0,$A804&lt;BG$6),AND(BG$7&gt;0,$A804&gt;BG$7)),0,MAX(0,ROUND((INDEX($E804:$G804,BG$5)-SUMIFS(TF_Timer,TF_Tekniker,BG$4,TF_Dato,$A804))*2,0)/2)))</f>
        <v/>
      </c>
      <c r="BH804">
        <f>IF(OR(BH$4="",$A804&gt;TODAY()),0,IF(OR(INDEX($B804:$D804,BH$5)="F",AND(BH$6&gt;0,$A804&lt;BH$6),AND(BH$7&gt;0,$A804&gt;BH$7)),0,MAX(0,ROUND((INDEX($E804:$G804,BH$5)-SUMIFS(TF_Timer,TF_Tekniker,BH$4,TF_Dato,$A804))*2,0)/2)))</f>
        <v/>
      </c>
      <c r="BI804">
        <f>IF(OR(BI$4="",$A804&gt;TODAY()),0,IF(OR(INDEX($B804:$D804,BI$5)="F",AND(BI$6&gt;0,$A804&lt;BI$6),AND(BI$7&gt;0,$A804&gt;BI$7)),0,MAX(0,ROUND((INDEX($E804:$G804,BI$5)-SUMIFS(TF_Timer,TF_Tekniker,BI$4,TF_Dato,$A804))*2,0)/2)))</f>
        <v/>
      </c>
    </row>
    <row r="805">
      <c r="A805" s="64">
        <f>A804+1</f>
        <v/>
      </c>
      <c r="B805">
        <f>IF(MOD($A805-INDEX(SkiftStart,1),Syklus)&lt;DagK,"K",IF(MOD($A805-INDEX(SkiftStart,1),Syklus)&lt;DagK+DagH,"H",IF(MOD($A805-INDEX(SkiftStart,1),Syklus)&lt;DagK+DagH+DagD,"D","F")))</f>
        <v/>
      </c>
      <c r="C805">
        <f>IF(MOD($A805-INDEX(SkiftStart,2),Syklus)&lt;DagK,"K",IF(MOD($A805-INDEX(SkiftStart,2),Syklus)&lt;DagK+DagH,"H",IF(MOD($A805-INDEX(SkiftStart,2),Syklus)&lt;DagK+DagH+DagD,"D","F")))</f>
        <v/>
      </c>
      <c r="D805">
        <f>IF(MOD($A805-INDEX(SkiftStart,3),Syklus)&lt;DagK,"K",IF(MOD($A805-INDEX(SkiftStart,3),Syklus)&lt;DagK+DagH,"H",IF(MOD($A805-INDEX(SkiftStart,3),Syklus)&lt;DagK+DagH+DagD,"D","F")))</f>
        <v/>
      </c>
      <c r="E805">
        <f>IF(B805="F",0,IF(WEEKDAY($A805,2)=5,INDEX(TimerFr,MATCH(B805,FaseKode,0)),INDEX(TimerMT,MATCH(B805,FaseKode,0))))</f>
        <v/>
      </c>
      <c r="F805">
        <f>IF(C805="F",0,IF(WEEKDAY($A805,2)=5,INDEX(TimerFr,MATCH(C805,FaseKode,0)),INDEX(TimerMT,MATCH(C805,FaseKode,0))))</f>
        <v/>
      </c>
      <c r="G805">
        <f>IF(D805="F",0,IF(WEEKDAY($A805,2)=5,INDEX(TimerFr,MATCH(D805,FaseKode,0)),INDEX(TimerMT,MATCH(D805,FaseKode,0))))</f>
        <v/>
      </c>
      <c r="H805">
        <f>IF(OR(H$4="",$A805&gt;TODAY()),0,IF(OR(INDEX($B805:$D805,H$5)="F",AND(H$6&gt;0,$A805&lt;H$6),AND(H$7&gt;0,$A805&gt;H$7)),0,MAX(0,ROUND((INDEX($E805:$G805,H$5)-SUMIFS(TF_Timer,TF_Tekniker,H$4,TF_Dato,$A805))*2,0)/2)))</f>
        <v/>
      </c>
      <c r="I805">
        <f>IF(OR(I$4="",$A805&gt;TODAY()),0,IF(OR(INDEX($B805:$D805,I$5)="F",AND(I$6&gt;0,$A805&lt;I$6),AND(I$7&gt;0,$A805&gt;I$7)),0,MAX(0,ROUND((INDEX($E805:$G805,I$5)-SUMIFS(TF_Timer,TF_Tekniker,I$4,TF_Dato,$A805))*2,0)/2)))</f>
        <v/>
      </c>
      <c r="J805">
        <f>IF(OR(J$4="",$A805&gt;TODAY()),0,IF(OR(INDEX($B805:$D805,J$5)="F",AND(J$6&gt;0,$A805&lt;J$6),AND(J$7&gt;0,$A805&gt;J$7)),0,MAX(0,ROUND((INDEX($E805:$G805,J$5)-SUMIFS(TF_Timer,TF_Tekniker,J$4,TF_Dato,$A805))*2,0)/2)))</f>
        <v/>
      </c>
      <c r="K805">
        <f>IF(OR(K$4="",$A805&gt;TODAY()),0,IF(OR(INDEX($B805:$D805,K$5)="F",AND(K$6&gt;0,$A805&lt;K$6),AND(K$7&gt;0,$A805&gt;K$7)),0,MAX(0,ROUND((INDEX($E805:$G805,K$5)-SUMIFS(TF_Timer,TF_Tekniker,K$4,TF_Dato,$A805))*2,0)/2)))</f>
        <v/>
      </c>
      <c r="L805">
        <f>IF(OR(L$4="",$A805&gt;TODAY()),0,IF(OR(INDEX($B805:$D805,L$5)="F",AND(L$6&gt;0,$A805&lt;L$6),AND(L$7&gt;0,$A805&gt;L$7)),0,MAX(0,ROUND((INDEX($E805:$G805,L$5)-SUMIFS(TF_Timer,TF_Tekniker,L$4,TF_Dato,$A805))*2,0)/2)))</f>
        <v/>
      </c>
      <c r="M805">
        <f>IF(OR(M$4="",$A805&gt;TODAY()),0,IF(OR(INDEX($B805:$D805,M$5)="F",AND(M$6&gt;0,$A805&lt;M$6),AND(M$7&gt;0,$A805&gt;M$7)),0,MAX(0,ROUND((INDEX($E805:$G805,M$5)-SUMIFS(TF_Timer,TF_Tekniker,M$4,TF_Dato,$A805))*2,0)/2)))</f>
        <v/>
      </c>
      <c r="N805">
        <f>IF(OR(N$4="",$A805&gt;TODAY()),0,IF(OR(INDEX($B805:$D805,N$5)="F",AND(N$6&gt;0,$A805&lt;N$6),AND(N$7&gt;0,$A805&gt;N$7)),0,MAX(0,ROUND((INDEX($E805:$G805,N$5)-SUMIFS(TF_Timer,TF_Tekniker,N$4,TF_Dato,$A805))*2,0)/2)))</f>
        <v/>
      </c>
      <c r="O805">
        <f>IF(OR(O$4="",$A805&gt;TODAY()),0,IF(OR(INDEX($B805:$D805,O$5)="F",AND(O$6&gt;0,$A805&lt;O$6),AND(O$7&gt;0,$A805&gt;O$7)),0,MAX(0,ROUND((INDEX($E805:$G805,O$5)-SUMIFS(TF_Timer,TF_Tekniker,O$4,TF_Dato,$A805))*2,0)/2)))</f>
        <v/>
      </c>
      <c r="P805">
        <f>IF(OR(P$4="",$A805&gt;TODAY()),0,IF(OR(INDEX($B805:$D805,P$5)="F",AND(P$6&gt;0,$A805&lt;P$6),AND(P$7&gt;0,$A805&gt;P$7)),0,MAX(0,ROUND((INDEX($E805:$G805,P$5)-SUMIFS(TF_Timer,TF_Tekniker,P$4,TF_Dato,$A805))*2,0)/2)))</f>
        <v/>
      </c>
      <c r="Q805">
        <f>IF(OR(Q$4="",$A805&gt;TODAY()),0,IF(OR(INDEX($B805:$D805,Q$5)="F",AND(Q$6&gt;0,$A805&lt;Q$6),AND(Q$7&gt;0,$A805&gt;Q$7)),0,MAX(0,ROUND((INDEX($E805:$G805,Q$5)-SUMIFS(TF_Timer,TF_Tekniker,Q$4,TF_Dato,$A805))*2,0)/2)))</f>
        <v/>
      </c>
      <c r="R805">
        <f>IF(OR(R$4="",$A805&gt;TODAY()),0,IF(OR(INDEX($B805:$D805,R$5)="F",AND(R$6&gt;0,$A805&lt;R$6),AND(R$7&gt;0,$A805&gt;R$7)),0,MAX(0,ROUND((INDEX($E805:$G805,R$5)-SUMIFS(TF_Timer,TF_Tekniker,R$4,TF_Dato,$A805))*2,0)/2)))</f>
        <v/>
      </c>
      <c r="S805">
        <f>IF(OR(S$4="",$A805&gt;TODAY()),0,IF(OR(INDEX($B805:$D805,S$5)="F",AND(S$6&gt;0,$A805&lt;S$6),AND(S$7&gt;0,$A805&gt;S$7)),0,MAX(0,ROUND((INDEX($E805:$G805,S$5)-SUMIFS(TF_Timer,TF_Tekniker,S$4,TF_Dato,$A805))*2,0)/2)))</f>
        <v/>
      </c>
      <c r="T805">
        <f>IF(OR(T$4="",$A805&gt;TODAY()),0,IF(OR(INDEX($B805:$D805,T$5)="F",AND(T$6&gt;0,$A805&lt;T$6),AND(T$7&gt;0,$A805&gt;T$7)),0,MAX(0,ROUND((INDEX($E805:$G805,T$5)-SUMIFS(TF_Timer,TF_Tekniker,T$4,TF_Dato,$A805))*2,0)/2)))</f>
        <v/>
      </c>
      <c r="U805">
        <f>IF(OR(U$4="",$A805&gt;TODAY()),0,IF(OR(INDEX($B805:$D805,U$5)="F",AND(U$6&gt;0,$A805&lt;U$6),AND(U$7&gt;0,$A805&gt;U$7)),0,MAX(0,ROUND((INDEX($E805:$G805,U$5)-SUMIFS(TF_Timer,TF_Tekniker,U$4,TF_Dato,$A805))*2,0)/2)))</f>
        <v/>
      </c>
      <c r="V805">
        <f>IF(OR(V$4="",$A805&gt;TODAY()),0,IF(OR(INDEX($B805:$D805,V$5)="F",AND(V$6&gt;0,$A805&lt;V$6),AND(V$7&gt;0,$A805&gt;V$7)),0,MAX(0,ROUND((INDEX($E805:$G805,V$5)-SUMIFS(TF_Timer,TF_Tekniker,V$4,TF_Dato,$A805))*2,0)/2)))</f>
        <v/>
      </c>
      <c r="W805">
        <f>IF(OR(W$4="",$A805&gt;TODAY()),0,IF(OR(INDEX($B805:$D805,W$5)="F",AND(W$6&gt;0,$A805&lt;W$6),AND(W$7&gt;0,$A805&gt;W$7)),0,MAX(0,ROUND((INDEX($E805:$G805,W$5)-SUMIFS(TF_Timer,TF_Tekniker,W$4,TF_Dato,$A805))*2,0)/2)))</f>
        <v/>
      </c>
      <c r="X805">
        <f>IF(OR(X$4="",$A805&gt;TODAY()),0,IF(OR(INDEX($B805:$D805,X$5)="F",AND(X$6&gt;0,$A805&lt;X$6),AND(X$7&gt;0,$A805&gt;X$7)),0,MAX(0,ROUND((INDEX($E805:$G805,X$5)-SUMIFS(TF_Timer,TF_Tekniker,X$4,TF_Dato,$A805))*2,0)/2)))</f>
        <v/>
      </c>
      <c r="Y805">
        <f>IF(OR(Y$4="",$A805&gt;TODAY()),0,IF(OR(INDEX($B805:$D805,Y$5)="F",AND(Y$6&gt;0,$A805&lt;Y$6),AND(Y$7&gt;0,$A805&gt;Y$7)),0,MAX(0,ROUND((INDEX($E805:$G805,Y$5)-SUMIFS(TF_Timer,TF_Tekniker,Y$4,TF_Dato,$A805))*2,0)/2)))</f>
        <v/>
      </c>
      <c r="Z805">
        <f>IF(OR(Z$4="",$A805&gt;TODAY()),0,IF(OR(INDEX($B805:$D805,Z$5)="F",AND(Z$6&gt;0,$A805&lt;Z$6),AND(Z$7&gt;0,$A805&gt;Z$7)),0,MAX(0,ROUND((INDEX($E805:$G805,Z$5)-SUMIFS(TF_Timer,TF_Tekniker,Z$4,TF_Dato,$A805))*2,0)/2)))</f>
        <v/>
      </c>
      <c r="AA805">
        <f>IF(OR(AA$4="",$A805&gt;TODAY()),0,IF(OR(INDEX($B805:$D805,AA$5)="F",AND(AA$6&gt;0,$A805&lt;AA$6),AND(AA$7&gt;0,$A805&gt;AA$7)),0,MAX(0,ROUND((INDEX($E805:$G805,AA$5)-SUMIFS(TF_Timer,TF_Tekniker,AA$4,TF_Dato,$A805))*2,0)/2)))</f>
        <v/>
      </c>
      <c r="AB805">
        <f>IF(OR(AB$4="",$A805&gt;TODAY()),0,IF(OR(INDEX($B805:$D805,AB$5)="F",AND(AB$6&gt;0,$A805&lt;AB$6),AND(AB$7&gt;0,$A805&gt;AB$7)),0,MAX(0,ROUND((INDEX($E805:$G805,AB$5)-SUMIFS(TF_Timer,TF_Tekniker,AB$4,TF_Dato,$A805))*2,0)/2)))</f>
        <v/>
      </c>
      <c r="AC805">
        <f>IF(OR(AC$4="",$A805&gt;TODAY()),0,IF(OR(INDEX($B805:$D805,AC$5)="F",AND(AC$6&gt;0,$A805&lt;AC$6),AND(AC$7&gt;0,$A805&gt;AC$7)),0,MAX(0,ROUND((INDEX($E805:$G805,AC$5)-SUMIFS(TF_Timer,TF_Tekniker,AC$4,TF_Dato,$A805))*2,0)/2)))</f>
        <v/>
      </c>
      <c r="AD805">
        <f>IF(OR(AD$4="",$A805&gt;TODAY()),0,IF(OR(INDEX($B805:$D805,AD$5)="F",AND(AD$6&gt;0,$A805&lt;AD$6),AND(AD$7&gt;0,$A805&gt;AD$7)),0,MAX(0,ROUND((INDEX($E805:$G805,AD$5)-SUMIFS(TF_Timer,TF_Tekniker,AD$4,TF_Dato,$A805))*2,0)/2)))</f>
        <v/>
      </c>
      <c r="AE805">
        <f>IF(OR(AE$4="",$A805&gt;TODAY()),0,IF(OR(INDEX($B805:$D805,AE$5)="F",AND(AE$6&gt;0,$A805&lt;AE$6),AND(AE$7&gt;0,$A805&gt;AE$7)),0,MAX(0,ROUND((INDEX($E805:$G805,AE$5)-SUMIFS(TF_Timer,TF_Tekniker,AE$4,TF_Dato,$A805))*2,0)/2)))</f>
        <v/>
      </c>
      <c r="AF805">
        <f>IF(OR(AF$4="",$A805&gt;TODAY()),0,IF(OR(INDEX($B805:$D805,AF$5)="F",AND(AF$6&gt;0,$A805&lt;AF$6),AND(AF$7&gt;0,$A805&gt;AF$7)),0,MAX(0,ROUND((INDEX($E805:$G805,AF$5)-SUMIFS(TF_Timer,TF_Tekniker,AF$4,TF_Dato,$A805))*2,0)/2)))</f>
        <v/>
      </c>
      <c r="AG805">
        <f>IF(OR(AG$4="",$A805&gt;TODAY()),0,IF(OR(INDEX($B805:$D805,AG$5)="F",AND(AG$6&gt;0,$A805&lt;AG$6),AND(AG$7&gt;0,$A805&gt;AG$7)),0,MAX(0,ROUND((INDEX($E805:$G805,AG$5)-SUMIFS(TF_Timer,TF_Tekniker,AG$4,TF_Dato,$A805))*2,0)/2)))</f>
        <v/>
      </c>
      <c r="AH805">
        <f>IF(OR(AH$4="",$A805&gt;TODAY()),0,IF(OR(INDEX($B805:$D805,AH$5)="F",AND(AH$6&gt;0,$A805&lt;AH$6),AND(AH$7&gt;0,$A805&gt;AH$7)),0,MAX(0,ROUND((INDEX($E805:$G805,AH$5)-SUMIFS(TF_Timer,TF_Tekniker,AH$4,TF_Dato,$A805))*2,0)/2)))</f>
        <v/>
      </c>
      <c r="AI805">
        <f>IF(OR(AI$4="",$A805&gt;TODAY()),0,IF(OR(INDEX($B805:$D805,AI$5)="F",AND(AI$6&gt;0,$A805&lt;AI$6),AND(AI$7&gt;0,$A805&gt;AI$7)),0,MAX(0,ROUND((INDEX($E805:$G805,AI$5)-SUMIFS(TF_Timer,TF_Tekniker,AI$4,TF_Dato,$A805))*2,0)/2)))</f>
        <v/>
      </c>
      <c r="AJ805">
        <f>IF(OR(AJ$4="",$A805&gt;TODAY()),0,IF(OR(INDEX($B805:$D805,AJ$5)="F",AND(AJ$6&gt;0,$A805&lt;AJ$6),AND(AJ$7&gt;0,$A805&gt;AJ$7)),0,MAX(0,ROUND((INDEX($E805:$G805,AJ$5)-SUMIFS(TF_Timer,TF_Tekniker,AJ$4,TF_Dato,$A805))*2,0)/2)))</f>
        <v/>
      </c>
      <c r="AK805">
        <f>IF(OR(AK$4="",$A805&gt;TODAY()),0,IF(OR(INDEX($B805:$D805,AK$5)="F",AND(AK$6&gt;0,$A805&lt;AK$6),AND(AK$7&gt;0,$A805&gt;AK$7)),0,MAX(0,ROUND((INDEX($E805:$G805,AK$5)-SUMIFS(TF_Timer,TF_Tekniker,AK$4,TF_Dato,$A805))*2,0)/2)))</f>
        <v/>
      </c>
      <c r="AL805">
        <f>IF(OR(AL$4="",$A805&gt;TODAY()),0,IF(OR(INDEX($B805:$D805,AL$5)="F",AND(AL$6&gt;0,$A805&lt;AL$6),AND(AL$7&gt;0,$A805&gt;AL$7)),0,MAX(0,ROUND((INDEX($E805:$G805,AL$5)-SUMIFS(TF_Timer,TF_Tekniker,AL$4,TF_Dato,$A805))*2,0)/2)))</f>
        <v/>
      </c>
      <c r="AM805">
        <f>IF(OR(AM$4="",$A805&gt;TODAY()),0,IF(OR(INDEX($B805:$D805,AM$5)="F",AND(AM$6&gt;0,$A805&lt;AM$6),AND(AM$7&gt;0,$A805&gt;AM$7)),0,MAX(0,ROUND((INDEX($E805:$G805,AM$5)-SUMIFS(TF_Timer,TF_Tekniker,AM$4,TF_Dato,$A805))*2,0)/2)))</f>
        <v/>
      </c>
      <c r="AN805">
        <f>IF(OR(AN$4="",$A805&gt;TODAY()),0,IF(OR(INDEX($B805:$D805,AN$5)="F",AND(AN$6&gt;0,$A805&lt;AN$6),AND(AN$7&gt;0,$A805&gt;AN$7)),0,MAX(0,ROUND((INDEX($E805:$G805,AN$5)-SUMIFS(TF_Timer,TF_Tekniker,AN$4,TF_Dato,$A805))*2,0)/2)))</f>
        <v/>
      </c>
      <c r="AO805">
        <f>IF(OR(AO$4="",$A805&gt;TODAY()),0,IF(OR(INDEX($B805:$D805,AO$5)="F",AND(AO$6&gt;0,$A805&lt;AO$6),AND(AO$7&gt;0,$A805&gt;AO$7)),0,MAX(0,ROUND((INDEX($E805:$G805,AO$5)-SUMIFS(TF_Timer,TF_Tekniker,AO$4,TF_Dato,$A805))*2,0)/2)))</f>
        <v/>
      </c>
      <c r="AP805">
        <f>IF(OR(AP$4="",$A805&gt;TODAY()),0,IF(OR(INDEX($B805:$D805,AP$5)="F",AND(AP$6&gt;0,$A805&lt;AP$6),AND(AP$7&gt;0,$A805&gt;AP$7)),0,MAX(0,ROUND((INDEX($E805:$G805,AP$5)-SUMIFS(TF_Timer,TF_Tekniker,AP$4,TF_Dato,$A805))*2,0)/2)))</f>
        <v/>
      </c>
      <c r="AQ805">
        <f>IF(OR(AQ$4="",$A805&gt;TODAY()),0,IF(OR(INDEX($B805:$D805,AQ$5)="F",AND(AQ$6&gt;0,$A805&lt;AQ$6),AND(AQ$7&gt;0,$A805&gt;AQ$7)),0,MAX(0,ROUND((INDEX($E805:$G805,AQ$5)-SUMIFS(TF_Timer,TF_Tekniker,AQ$4,TF_Dato,$A805))*2,0)/2)))</f>
        <v/>
      </c>
      <c r="AR805">
        <f>IF(OR(AR$4="",$A805&gt;TODAY()),0,IF(OR(INDEX($B805:$D805,AR$5)="F",AND(AR$6&gt;0,$A805&lt;AR$6),AND(AR$7&gt;0,$A805&gt;AR$7)),0,MAX(0,ROUND((INDEX($E805:$G805,AR$5)-SUMIFS(TF_Timer,TF_Tekniker,AR$4,TF_Dato,$A805))*2,0)/2)))</f>
        <v/>
      </c>
      <c r="AS805">
        <f>IF(OR(AS$4="",$A805&gt;TODAY()),0,IF(OR(INDEX($B805:$D805,AS$5)="F",AND(AS$6&gt;0,$A805&lt;AS$6),AND(AS$7&gt;0,$A805&gt;AS$7)),0,MAX(0,ROUND((INDEX($E805:$G805,AS$5)-SUMIFS(TF_Timer,TF_Tekniker,AS$4,TF_Dato,$A805))*2,0)/2)))</f>
        <v/>
      </c>
      <c r="AT805">
        <f>IF(OR(AT$4="",$A805&gt;TODAY()),0,IF(OR(INDEX($B805:$D805,AT$5)="F",AND(AT$6&gt;0,$A805&lt;AT$6),AND(AT$7&gt;0,$A805&gt;AT$7)),0,MAX(0,ROUND((INDEX($E805:$G805,AT$5)-SUMIFS(TF_Timer,TF_Tekniker,AT$4,TF_Dato,$A805))*2,0)/2)))</f>
        <v/>
      </c>
      <c r="AU805">
        <f>IF(OR(AU$4="",$A805&gt;TODAY()),0,IF(OR(INDEX($B805:$D805,AU$5)="F",AND(AU$6&gt;0,$A805&lt;AU$6),AND(AU$7&gt;0,$A805&gt;AU$7)),0,MAX(0,ROUND((INDEX($E805:$G805,AU$5)-SUMIFS(TF_Timer,TF_Tekniker,AU$4,TF_Dato,$A805))*2,0)/2)))</f>
        <v/>
      </c>
      <c r="AV805">
        <f>IF(OR(AV$4="",$A805&gt;TODAY()),0,IF(OR(INDEX($B805:$D805,AV$5)="F",AND(AV$6&gt;0,$A805&lt;AV$6),AND(AV$7&gt;0,$A805&gt;AV$7)),0,MAX(0,ROUND((INDEX($E805:$G805,AV$5)-SUMIFS(TF_Timer,TF_Tekniker,AV$4,TF_Dato,$A805))*2,0)/2)))</f>
        <v/>
      </c>
      <c r="AW805">
        <f>IF(OR(AW$4="",$A805&gt;TODAY()),0,IF(OR(INDEX($B805:$D805,AW$5)="F",AND(AW$6&gt;0,$A805&lt;AW$6),AND(AW$7&gt;0,$A805&gt;AW$7)),0,MAX(0,ROUND((INDEX($E805:$G805,AW$5)-SUMIFS(TF_Timer,TF_Tekniker,AW$4,TF_Dato,$A805))*2,0)/2)))</f>
        <v/>
      </c>
      <c r="AX805">
        <f>IF(OR(AX$4="",$A805&gt;TODAY()),0,IF(OR(INDEX($B805:$D805,AX$5)="F",AND(AX$6&gt;0,$A805&lt;AX$6),AND(AX$7&gt;0,$A805&gt;AX$7)),0,MAX(0,ROUND((INDEX($E805:$G805,AX$5)-SUMIFS(TF_Timer,TF_Tekniker,AX$4,TF_Dato,$A805))*2,0)/2)))</f>
        <v/>
      </c>
      <c r="AY805">
        <f>IF(OR(AY$4="",$A805&gt;TODAY()),0,IF(OR(INDEX($B805:$D805,AY$5)="F",AND(AY$6&gt;0,$A805&lt;AY$6),AND(AY$7&gt;0,$A805&gt;AY$7)),0,MAX(0,ROUND((INDEX($E805:$G805,AY$5)-SUMIFS(TF_Timer,TF_Tekniker,AY$4,TF_Dato,$A805))*2,0)/2)))</f>
        <v/>
      </c>
      <c r="AZ805">
        <f>IF(OR(AZ$4="",$A805&gt;TODAY()),0,IF(OR(INDEX($B805:$D805,AZ$5)="F",AND(AZ$6&gt;0,$A805&lt;AZ$6),AND(AZ$7&gt;0,$A805&gt;AZ$7)),0,MAX(0,ROUND((INDEX($E805:$G805,AZ$5)-SUMIFS(TF_Timer,TF_Tekniker,AZ$4,TF_Dato,$A805))*2,0)/2)))</f>
        <v/>
      </c>
      <c r="BA805">
        <f>IF(OR(BA$4="",$A805&gt;TODAY()),0,IF(OR(INDEX($B805:$D805,BA$5)="F",AND(BA$6&gt;0,$A805&lt;BA$6),AND(BA$7&gt;0,$A805&gt;BA$7)),0,MAX(0,ROUND((INDEX($E805:$G805,BA$5)-SUMIFS(TF_Timer,TF_Tekniker,BA$4,TF_Dato,$A805))*2,0)/2)))</f>
        <v/>
      </c>
      <c r="BB805">
        <f>IF(OR(BB$4="",$A805&gt;TODAY()),0,IF(OR(INDEX($B805:$D805,BB$5)="F",AND(BB$6&gt;0,$A805&lt;BB$6),AND(BB$7&gt;0,$A805&gt;BB$7)),0,MAX(0,ROUND((INDEX($E805:$G805,BB$5)-SUMIFS(TF_Timer,TF_Tekniker,BB$4,TF_Dato,$A805))*2,0)/2)))</f>
        <v/>
      </c>
      <c r="BC805">
        <f>IF(OR(BC$4="",$A805&gt;TODAY()),0,IF(OR(INDEX($B805:$D805,BC$5)="F",AND(BC$6&gt;0,$A805&lt;BC$6),AND(BC$7&gt;0,$A805&gt;BC$7)),0,MAX(0,ROUND((INDEX($E805:$G805,BC$5)-SUMIFS(TF_Timer,TF_Tekniker,BC$4,TF_Dato,$A805))*2,0)/2)))</f>
        <v/>
      </c>
      <c r="BD805">
        <f>IF(OR(BD$4="",$A805&gt;TODAY()),0,IF(OR(INDEX($B805:$D805,BD$5)="F",AND(BD$6&gt;0,$A805&lt;BD$6),AND(BD$7&gt;0,$A805&gt;BD$7)),0,MAX(0,ROUND((INDEX($E805:$G805,BD$5)-SUMIFS(TF_Timer,TF_Tekniker,BD$4,TF_Dato,$A805))*2,0)/2)))</f>
        <v/>
      </c>
      <c r="BE805">
        <f>IF(OR(BE$4="",$A805&gt;TODAY()),0,IF(OR(INDEX($B805:$D805,BE$5)="F",AND(BE$6&gt;0,$A805&lt;BE$6),AND(BE$7&gt;0,$A805&gt;BE$7)),0,MAX(0,ROUND((INDEX($E805:$G805,BE$5)-SUMIFS(TF_Timer,TF_Tekniker,BE$4,TF_Dato,$A805))*2,0)/2)))</f>
        <v/>
      </c>
      <c r="BF805">
        <f>IF(OR(BF$4="",$A805&gt;TODAY()),0,IF(OR(INDEX($B805:$D805,BF$5)="F",AND(BF$6&gt;0,$A805&lt;BF$6),AND(BF$7&gt;0,$A805&gt;BF$7)),0,MAX(0,ROUND((INDEX($E805:$G805,BF$5)-SUMIFS(TF_Timer,TF_Tekniker,BF$4,TF_Dato,$A805))*2,0)/2)))</f>
        <v/>
      </c>
      <c r="BG805">
        <f>IF(OR(BG$4="",$A805&gt;TODAY()),0,IF(OR(INDEX($B805:$D805,BG$5)="F",AND(BG$6&gt;0,$A805&lt;BG$6),AND(BG$7&gt;0,$A805&gt;BG$7)),0,MAX(0,ROUND((INDEX($E805:$G805,BG$5)-SUMIFS(TF_Timer,TF_Tekniker,BG$4,TF_Dato,$A805))*2,0)/2)))</f>
        <v/>
      </c>
      <c r="BH805">
        <f>IF(OR(BH$4="",$A805&gt;TODAY()),0,IF(OR(INDEX($B805:$D805,BH$5)="F",AND(BH$6&gt;0,$A805&lt;BH$6),AND(BH$7&gt;0,$A805&gt;BH$7)),0,MAX(0,ROUND((INDEX($E805:$G805,BH$5)-SUMIFS(TF_Timer,TF_Tekniker,BH$4,TF_Dato,$A805))*2,0)/2)))</f>
        <v/>
      </c>
      <c r="BI805">
        <f>IF(OR(BI$4="",$A805&gt;TODAY()),0,IF(OR(INDEX($B805:$D805,BI$5)="F",AND(BI$6&gt;0,$A805&lt;BI$6),AND(BI$7&gt;0,$A805&gt;BI$7)),0,MAX(0,ROUND((INDEX($E805:$G805,BI$5)-SUMIFS(TF_Timer,TF_Tekniker,BI$4,TF_Dato,$A805))*2,0)/2)))</f>
        <v/>
      </c>
    </row>
    <row r="806">
      <c r="A806" s="64">
        <f>A805+1</f>
        <v/>
      </c>
      <c r="B806">
        <f>IF(MOD($A806-INDEX(SkiftStart,1),Syklus)&lt;DagK,"K",IF(MOD($A806-INDEX(SkiftStart,1),Syklus)&lt;DagK+DagH,"H",IF(MOD($A806-INDEX(SkiftStart,1),Syklus)&lt;DagK+DagH+DagD,"D","F")))</f>
        <v/>
      </c>
      <c r="C806">
        <f>IF(MOD($A806-INDEX(SkiftStart,2),Syklus)&lt;DagK,"K",IF(MOD($A806-INDEX(SkiftStart,2),Syklus)&lt;DagK+DagH,"H",IF(MOD($A806-INDEX(SkiftStart,2),Syklus)&lt;DagK+DagH+DagD,"D","F")))</f>
        <v/>
      </c>
      <c r="D806">
        <f>IF(MOD($A806-INDEX(SkiftStart,3),Syklus)&lt;DagK,"K",IF(MOD($A806-INDEX(SkiftStart,3),Syklus)&lt;DagK+DagH,"H",IF(MOD($A806-INDEX(SkiftStart,3),Syklus)&lt;DagK+DagH+DagD,"D","F")))</f>
        <v/>
      </c>
      <c r="E806">
        <f>IF(B806="F",0,IF(WEEKDAY($A806,2)=5,INDEX(TimerFr,MATCH(B806,FaseKode,0)),INDEX(TimerMT,MATCH(B806,FaseKode,0))))</f>
        <v/>
      </c>
      <c r="F806">
        <f>IF(C806="F",0,IF(WEEKDAY($A806,2)=5,INDEX(TimerFr,MATCH(C806,FaseKode,0)),INDEX(TimerMT,MATCH(C806,FaseKode,0))))</f>
        <v/>
      </c>
      <c r="G806">
        <f>IF(D806="F",0,IF(WEEKDAY($A806,2)=5,INDEX(TimerFr,MATCH(D806,FaseKode,0)),INDEX(TimerMT,MATCH(D806,FaseKode,0))))</f>
        <v/>
      </c>
      <c r="H806">
        <f>IF(OR(H$4="",$A806&gt;TODAY()),0,IF(OR(INDEX($B806:$D806,H$5)="F",AND(H$6&gt;0,$A806&lt;H$6),AND(H$7&gt;0,$A806&gt;H$7)),0,MAX(0,ROUND((INDEX($E806:$G806,H$5)-SUMIFS(TF_Timer,TF_Tekniker,H$4,TF_Dato,$A806))*2,0)/2)))</f>
        <v/>
      </c>
      <c r="I806">
        <f>IF(OR(I$4="",$A806&gt;TODAY()),0,IF(OR(INDEX($B806:$D806,I$5)="F",AND(I$6&gt;0,$A806&lt;I$6),AND(I$7&gt;0,$A806&gt;I$7)),0,MAX(0,ROUND((INDEX($E806:$G806,I$5)-SUMIFS(TF_Timer,TF_Tekniker,I$4,TF_Dato,$A806))*2,0)/2)))</f>
        <v/>
      </c>
      <c r="J806">
        <f>IF(OR(J$4="",$A806&gt;TODAY()),0,IF(OR(INDEX($B806:$D806,J$5)="F",AND(J$6&gt;0,$A806&lt;J$6),AND(J$7&gt;0,$A806&gt;J$7)),0,MAX(0,ROUND((INDEX($E806:$G806,J$5)-SUMIFS(TF_Timer,TF_Tekniker,J$4,TF_Dato,$A806))*2,0)/2)))</f>
        <v/>
      </c>
      <c r="K806">
        <f>IF(OR(K$4="",$A806&gt;TODAY()),0,IF(OR(INDEX($B806:$D806,K$5)="F",AND(K$6&gt;0,$A806&lt;K$6),AND(K$7&gt;0,$A806&gt;K$7)),0,MAX(0,ROUND((INDEX($E806:$G806,K$5)-SUMIFS(TF_Timer,TF_Tekniker,K$4,TF_Dato,$A806))*2,0)/2)))</f>
        <v/>
      </c>
      <c r="L806">
        <f>IF(OR(L$4="",$A806&gt;TODAY()),0,IF(OR(INDEX($B806:$D806,L$5)="F",AND(L$6&gt;0,$A806&lt;L$6),AND(L$7&gt;0,$A806&gt;L$7)),0,MAX(0,ROUND((INDEX($E806:$G806,L$5)-SUMIFS(TF_Timer,TF_Tekniker,L$4,TF_Dato,$A806))*2,0)/2)))</f>
        <v/>
      </c>
      <c r="M806">
        <f>IF(OR(M$4="",$A806&gt;TODAY()),0,IF(OR(INDEX($B806:$D806,M$5)="F",AND(M$6&gt;0,$A806&lt;M$6),AND(M$7&gt;0,$A806&gt;M$7)),0,MAX(0,ROUND((INDEX($E806:$G806,M$5)-SUMIFS(TF_Timer,TF_Tekniker,M$4,TF_Dato,$A806))*2,0)/2)))</f>
        <v/>
      </c>
      <c r="N806">
        <f>IF(OR(N$4="",$A806&gt;TODAY()),0,IF(OR(INDEX($B806:$D806,N$5)="F",AND(N$6&gt;0,$A806&lt;N$6),AND(N$7&gt;0,$A806&gt;N$7)),0,MAX(0,ROUND((INDEX($E806:$G806,N$5)-SUMIFS(TF_Timer,TF_Tekniker,N$4,TF_Dato,$A806))*2,0)/2)))</f>
        <v/>
      </c>
      <c r="O806">
        <f>IF(OR(O$4="",$A806&gt;TODAY()),0,IF(OR(INDEX($B806:$D806,O$5)="F",AND(O$6&gt;0,$A806&lt;O$6),AND(O$7&gt;0,$A806&gt;O$7)),0,MAX(0,ROUND((INDEX($E806:$G806,O$5)-SUMIFS(TF_Timer,TF_Tekniker,O$4,TF_Dato,$A806))*2,0)/2)))</f>
        <v/>
      </c>
      <c r="P806">
        <f>IF(OR(P$4="",$A806&gt;TODAY()),0,IF(OR(INDEX($B806:$D806,P$5)="F",AND(P$6&gt;0,$A806&lt;P$6),AND(P$7&gt;0,$A806&gt;P$7)),0,MAX(0,ROUND((INDEX($E806:$G806,P$5)-SUMIFS(TF_Timer,TF_Tekniker,P$4,TF_Dato,$A806))*2,0)/2)))</f>
        <v/>
      </c>
      <c r="Q806">
        <f>IF(OR(Q$4="",$A806&gt;TODAY()),0,IF(OR(INDEX($B806:$D806,Q$5)="F",AND(Q$6&gt;0,$A806&lt;Q$6),AND(Q$7&gt;0,$A806&gt;Q$7)),0,MAX(0,ROUND((INDEX($E806:$G806,Q$5)-SUMIFS(TF_Timer,TF_Tekniker,Q$4,TF_Dato,$A806))*2,0)/2)))</f>
        <v/>
      </c>
      <c r="R806">
        <f>IF(OR(R$4="",$A806&gt;TODAY()),0,IF(OR(INDEX($B806:$D806,R$5)="F",AND(R$6&gt;0,$A806&lt;R$6),AND(R$7&gt;0,$A806&gt;R$7)),0,MAX(0,ROUND((INDEX($E806:$G806,R$5)-SUMIFS(TF_Timer,TF_Tekniker,R$4,TF_Dato,$A806))*2,0)/2)))</f>
        <v/>
      </c>
      <c r="S806">
        <f>IF(OR(S$4="",$A806&gt;TODAY()),0,IF(OR(INDEX($B806:$D806,S$5)="F",AND(S$6&gt;0,$A806&lt;S$6),AND(S$7&gt;0,$A806&gt;S$7)),0,MAX(0,ROUND((INDEX($E806:$G806,S$5)-SUMIFS(TF_Timer,TF_Tekniker,S$4,TF_Dato,$A806))*2,0)/2)))</f>
        <v/>
      </c>
      <c r="T806">
        <f>IF(OR(T$4="",$A806&gt;TODAY()),0,IF(OR(INDEX($B806:$D806,T$5)="F",AND(T$6&gt;0,$A806&lt;T$6),AND(T$7&gt;0,$A806&gt;T$7)),0,MAX(0,ROUND((INDEX($E806:$G806,T$5)-SUMIFS(TF_Timer,TF_Tekniker,T$4,TF_Dato,$A806))*2,0)/2)))</f>
        <v/>
      </c>
      <c r="U806">
        <f>IF(OR(U$4="",$A806&gt;TODAY()),0,IF(OR(INDEX($B806:$D806,U$5)="F",AND(U$6&gt;0,$A806&lt;U$6),AND(U$7&gt;0,$A806&gt;U$7)),0,MAX(0,ROUND((INDEX($E806:$G806,U$5)-SUMIFS(TF_Timer,TF_Tekniker,U$4,TF_Dato,$A806))*2,0)/2)))</f>
        <v/>
      </c>
      <c r="V806">
        <f>IF(OR(V$4="",$A806&gt;TODAY()),0,IF(OR(INDEX($B806:$D806,V$5)="F",AND(V$6&gt;0,$A806&lt;V$6),AND(V$7&gt;0,$A806&gt;V$7)),0,MAX(0,ROUND((INDEX($E806:$G806,V$5)-SUMIFS(TF_Timer,TF_Tekniker,V$4,TF_Dato,$A806))*2,0)/2)))</f>
        <v/>
      </c>
      <c r="W806">
        <f>IF(OR(W$4="",$A806&gt;TODAY()),0,IF(OR(INDEX($B806:$D806,W$5)="F",AND(W$6&gt;0,$A806&lt;W$6),AND(W$7&gt;0,$A806&gt;W$7)),0,MAX(0,ROUND((INDEX($E806:$G806,W$5)-SUMIFS(TF_Timer,TF_Tekniker,W$4,TF_Dato,$A806))*2,0)/2)))</f>
        <v/>
      </c>
      <c r="X806">
        <f>IF(OR(X$4="",$A806&gt;TODAY()),0,IF(OR(INDEX($B806:$D806,X$5)="F",AND(X$6&gt;0,$A806&lt;X$6),AND(X$7&gt;0,$A806&gt;X$7)),0,MAX(0,ROUND((INDEX($E806:$G806,X$5)-SUMIFS(TF_Timer,TF_Tekniker,X$4,TF_Dato,$A806))*2,0)/2)))</f>
        <v/>
      </c>
      <c r="Y806">
        <f>IF(OR(Y$4="",$A806&gt;TODAY()),0,IF(OR(INDEX($B806:$D806,Y$5)="F",AND(Y$6&gt;0,$A806&lt;Y$6),AND(Y$7&gt;0,$A806&gt;Y$7)),0,MAX(0,ROUND((INDEX($E806:$G806,Y$5)-SUMIFS(TF_Timer,TF_Tekniker,Y$4,TF_Dato,$A806))*2,0)/2)))</f>
        <v/>
      </c>
      <c r="Z806">
        <f>IF(OR(Z$4="",$A806&gt;TODAY()),0,IF(OR(INDEX($B806:$D806,Z$5)="F",AND(Z$6&gt;0,$A806&lt;Z$6),AND(Z$7&gt;0,$A806&gt;Z$7)),0,MAX(0,ROUND((INDEX($E806:$G806,Z$5)-SUMIFS(TF_Timer,TF_Tekniker,Z$4,TF_Dato,$A806))*2,0)/2)))</f>
        <v/>
      </c>
      <c r="AA806">
        <f>IF(OR(AA$4="",$A806&gt;TODAY()),0,IF(OR(INDEX($B806:$D806,AA$5)="F",AND(AA$6&gt;0,$A806&lt;AA$6),AND(AA$7&gt;0,$A806&gt;AA$7)),0,MAX(0,ROUND((INDEX($E806:$G806,AA$5)-SUMIFS(TF_Timer,TF_Tekniker,AA$4,TF_Dato,$A806))*2,0)/2)))</f>
        <v/>
      </c>
      <c r="AB806">
        <f>IF(OR(AB$4="",$A806&gt;TODAY()),0,IF(OR(INDEX($B806:$D806,AB$5)="F",AND(AB$6&gt;0,$A806&lt;AB$6),AND(AB$7&gt;0,$A806&gt;AB$7)),0,MAX(0,ROUND((INDEX($E806:$G806,AB$5)-SUMIFS(TF_Timer,TF_Tekniker,AB$4,TF_Dato,$A806))*2,0)/2)))</f>
        <v/>
      </c>
      <c r="AC806">
        <f>IF(OR(AC$4="",$A806&gt;TODAY()),0,IF(OR(INDEX($B806:$D806,AC$5)="F",AND(AC$6&gt;0,$A806&lt;AC$6),AND(AC$7&gt;0,$A806&gt;AC$7)),0,MAX(0,ROUND((INDEX($E806:$G806,AC$5)-SUMIFS(TF_Timer,TF_Tekniker,AC$4,TF_Dato,$A806))*2,0)/2)))</f>
        <v/>
      </c>
      <c r="AD806">
        <f>IF(OR(AD$4="",$A806&gt;TODAY()),0,IF(OR(INDEX($B806:$D806,AD$5)="F",AND(AD$6&gt;0,$A806&lt;AD$6),AND(AD$7&gt;0,$A806&gt;AD$7)),0,MAX(0,ROUND((INDEX($E806:$G806,AD$5)-SUMIFS(TF_Timer,TF_Tekniker,AD$4,TF_Dato,$A806))*2,0)/2)))</f>
        <v/>
      </c>
      <c r="AE806">
        <f>IF(OR(AE$4="",$A806&gt;TODAY()),0,IF(OR(INDEX($B806:$D806,AE$5)="F",AND(AE$6&gt;0,$A806&lt;AE$6),AND(AE$7&gt;0,$A806&gt;AE$7)),0,MAX(0,ROUND((INDEX($E806:$G806,AE$5)-SUMIFS(TF_Timer,TF_Tekniker,AE$4,TF_Dato,$A806))*2,0)/2)))</f>
        <v/>
      </c>
      <c r="AF806">
        <f>IF(OR(AF$4="",$A806&gt;TODAY()),0,IF(OR(INDEX($B806:$D806,AF$5)="F",AND(AF$6&gt;0,$A806&lt;AF$6),AND(AF$7&gt;0,$A806&gt;AF$7)),0,MAX(0,ROUND((INDEX($E806:$G806,AF$5)-SUMIFS(TF_Timer,TF_Tekniker,AF$4,TF_Dato,$A806))*2,0)/2)))</f>
        <v/>
      </c>
      <c r="AG806">
        <f>IF(OR(AG$4="",$A806&gt;TODAY()),0,IF(OR(INDEX($B806:$D806,AG$5)="F",AND(AG$6&gt;0,$A806&lt;AG$6),AND(AG$7&gt;0,$A806&gt;AG$7)),0,MAX(0,ROUND((INDEX($E806:$G806,AG$5)-SUMIFS(TF_Timer,TF_Tekniker,AG$4,TF_Dato,$A806))*2,0)/2)))</f>
        <v/>
      </c>
      <c r="AH806">
        <f>IF(OR(AH$4="",$A806&gt;TODAY()),0,IF(OR(INDEX($B806:$D806,AH$5)="F",AND(AH$6&gt;0,$A806&lt;AH$6),AND(AH$7&gt;0,$A806&gt;AH$7)),0,MAX(0,ROUND((INDEX($E806:$G806,AH$5)-SUMIFS(TF_Timer,TF_Tekniker,AH$4,TF_Dato,$A806))*2,0)/2)))</f>
        <v/>
      </c>
      <c r="AI806">
        <f>IF(OR(AI$4="",$A806&gt;TODAY()),0,IF(OR(INDEX($B806:$D806,AI$5)="F",AND(AI$6&gt;0,$A806&lt;AI$6),AND(AI$7&gt;0,$A806&gt;AI$7)),0,MAX(0,ROUND((INDEX($E806:$G806,AI$5)-SUMIFS(TF_Timer,TF_Tekniker,AI$4,TF_Dato,$A806))*2,0)/2)))</f>
        <v/>
      </c>
      <c r="AJ806">
        <f>IF(OR(AJ$4="",$A806&gt;TODAY()),0,IF(OR(INDEX($B806:$D806,AJ$5)="F",AND(AJ$6&gt;0,$A806&lt;AJ$6),AND(AJ$7&gt;0,$A806&gt;AJ$7)),0,MAX(0,ROUND((INDEX($E806:$G806,AJ$5)-SUMIFS(TF_Timer,TF_Tekniker,AJ$4,TF_Dato,$A806))*2,0)/2)))</f>
        <v/>
      </c>
      <c r="AK806">
        <f>IF(OR(AK$4="",$A806&gt;TODAY()),0,IF(OR(INDEX($B806:$D806,AK$5)="F",AND(AK$6&gt;0,$A806&lt;AK$6),AND(AK$7&gt;0,$A806&gt;AK$7)),0,MAX(0,ROUND((INDEX($E806:$G806,AK$5)-SUMIFS(TF_Timer,TF_Tekniker,AK$4,TF_Dato,$A806))*2,0)/2)))</f>
        <v/>
      </c>
      <c r="AL806">
        <f>IF(OR(AL$4="",$A806&gt;TODAY()),0,IF(OR(INDEX($B806:$D806,AL$5)="F",AND(AL$6&gt;0,$A806&lt;AL$6),AND(AL$7&gt;0,$A806&gt;AL$7)),0,MAX(0,ROUND((INDEX($E806:$G806,AL$5)-SUMIFS(TF_Timer,TF_Tekniker,AL$4,TF_Dato,$A806))*2,0)/2)))</f>
        <v/>
      </c>
      <c r="AM806">
        <f>IF(OR(AM$4="",$A806&gt;TODAY()),0,IF(OR(INDEX($B806:$D806,AM$5)="F",AND(AM$6&gt;0,$A806&lt;AM$6),AND(AM$7&gt;0,$A806&gt;AM$7)),0,MAX(0,ROUND((INDEX($E806:$G806,AM$5)-SUMIFS(TF_Timer,TF_Tekniker,AM$4,TF_Dato,$A806))*2,0)/2)))</f>
        <v/>
      </c>
      <c r="AN806">
        <f>IF(OR(AN$4="",$A806&gt;TODAY()),0,IF(OR(INDEX($B806:$D806,AN$5)="F",AND(AN$6&gt;0,$A806&lt;AN$6),AND(AN$7&gt;0,$A806&gt;AN$7)),0,MAX(0,ROUND((INDEX($E806:$G806,AN$5)-SUMIFS(TF_Timer,TF_Tekniker,AN$4,TF_Dato,$A806))*2,0)/2)))</f>
        <v/>
      </c>
      <c r="AO806">
        <f>IF(OR(AO$4="",$A806&gt;TODAY()),0,IF(OR(INDEX($B806:$D806,AO$5)="F",AND(AO$6&gt;0,$A806&lt;AO$6),AND(AO$7&gt;0,$A806&gt;AO$7)),0,MAX(0,ROUND((INDEX($E806:$G806,AO$5)-SUMIFS(TF_Timer,TF_Tekniker,AO$4,TF_Dato,$A806))*2,0)/2)))</f>
        <v/>
      </c>
      <c r="AP806">
        <f>IF(OR(AP$4="",$A806&gt;TODAY()),0,IF(OR(INDEX($B806:$D806,AP$5)="F",AND(AP$6&gt;0,$A806&lt;AP$6),AND(AP$7&gt;0,$A806&gt;AP$7)),0,MAX(0,ROUND((INDEX($E806:$G806,AP$5)-SUMIFS(TF_Timer,TF_Tekniker,AP$4,TF_Dato,$A806))*2,0)/2)))</f>
        <v/>
      </c>
      <c r="AQ806">
        <f>IF(OR(AQ$4="",$A806&gt;TODAY()),0,IF(OR(INDEX($B806:$D806,AQ$5)="F",AND(AQ$6&gt;0,$A806&lt;AQ$6),AND(AQ$7&gt;0,$A806&gt;AQ$7)),0,MAX(0,ROUND((INDEX($E806:$G806,AQ$5)-SUMIFS(TF_Timer,TF_Tekniker,AQ$4,TF_Dato,$A806))*2,0)/2)))</f>
        <v/>
      </c>
      <c r="AR806">
        <f>IF(OR(AR$4="",$A806&gt;TODAY()),0,IF(OR(INDEX($B806:$D806,AR$5)="F",AND(AR$6&gt;0,$A806&lt;AR$6),AND(AR$7&gt;0,$A806&gt;AR$7)),0,MAX(0,ROUND((INDEX($E806:$G806,AR$5)-SUMIFS(TF_Timer,TF_Tekniker,AR$4,TF_Dato,$A806))*2,0)/2)))</f>
        <v/>
      </c>
      <c r="AS806">
        <f>IF(OR(AS$4="",$A806&gt;TODAY()),0,IF(OR(INDEX($B806:$D806,AS$5)="F",AND(AS$6&gt;0,$A806&lt;AS$6),AND(AS$7&gt;0,$A806&gt;AS$7)),0,MAX(0,ROUND((INDEX($E806:$G806,AS$5)-SUMIFS(TF_Timer,TF_Tekniker,AS$4,TF_Dato,$A806))*2,0)/2)))</f>
        <v/>
      </c>
      <c r="AT806">
        <f>IF(OR(AT$4="",$A806&gt;TODAY()),0,IF(OR(INDEX($B806:$D806,AT$5)="F",AND(AT$6&gt;0,$A806&lt;AT$6),AND(AT$7&gt;0,$A806&gt;AT$7)),0,MAX(0,ROUND((INDEX($E806:$G806,AT$5)-SUMIFS(TF_Timer,TF_Tekniker,AT$4,TF_Dato,$A806))*2,0)/2)))</f>
        <v/>
      </c>
      <c r="AU806">
        <f>IF(OR(AU$4="",$A806&gt;TODAY()),0,IF(OR(INDEX($B806:$D806,AU$5)="F",AND(AU$6&gt;0,$A806&lt;AU$6),AND(AU$7&gt;0,$A806&gt;AU$7)),0,MAX(0,ROUND((INDEX($E806:$G806,AU$5)-SUMIFS(TF_Timer,TF_Tekniker,AU$4,TF_Dato,$A806))*2,0)/2)))</f>
        <v/>
      </c>
      <c r="AV806">
        <f>IF(OR(AV$4="",$A806&gt;TODAY()),0,IF(OR(INDEX($B806:$D806,AV$5)="F",AND(AV$6&gt;0,$A806&lt;AV$6),AND(AV$7&gt;0,$A806&gt;AV$7)),0,MAX(0,ROUND((INDEX($E806:$G806,AV$5)-SUMIFS(TF_Timer,TF_Tekniker,AV$4,TF_Dato,$A806))*2,0)/2)))</f>
        <v/>
      </c>
      <c r="AW806">
        <f>IF(OR(AW$4="",$A806&gt;TODAY()),0,IF(OR(INDEX($B806:$D806,AW$5)="F",AND(AW$6&gt;0,$A806&lt;AW$6),AND(AW$7&gt;0,$A806&gt;AW$7)),0,MAX(0,ROUND((INDEX($E806:$G806,AW$5)-SUMIFS(TF_Timer,TF_Tekniker,AW$4,TF_Dato,$A806))*2,0)/2)))</f>
        <v/>
      </c>
      <c r="AX806">
        <f>IF(OR(AX$4="",$A806&gt;TODAY()),0,IF(OR(INDEX($B806:$D806,AX$5)="F",AND(AX$6&gt;0,$A806&lt;AX$6),AND(AX$7&gt;0,$A806&gt;AX$7)),0,MAX(0,ROUND((INDEX($E806:$G806,AX$5)-SUMIFS(TF_Timer,TF_Tekniker,AX$4,TF_Dato,$A806))*2,0)/2)))</f>
        <v/>
      </c>
      <c r="AY806">
        <f>IF(OR(AY$4="",$A806&gt;TODAY()),0,IF(OR(INDEX($B806:$D806,AY$5)="F",AND(AY$6&gt;0,$A806&lt;AY$6),AND(AY$7&gt;0,$A806&gt;AY$7)),0,MAX(0,ROUND((INDEX($E806:$G806,AY$5)-SUMIFS(TF_Timer,TF_Tekniker,AY$4,TF_Dato,$A806))*2,0)/2)))</f>
        <v/>
      </c>
      <c r="AZ806">
        <f>IF(OR(AZ$4="",$A806&gt;TODAY()),0,IF(OR(INDEX($B806:$D806,AZ$5)="F",AND(AZ$6&gt;0,$A806&lt;AZ$6),AND(AZ$7&gt;0,$A806&gt;AZ$7)),0,MAX(0,ROUND((INDEX($E806:$G806,AZ$5)-SUMIFS(TF_Timer,TF_Tekniker,AZ$4,TF_Dato,$A806))*2,0)/2)))</f>
        <v/>
      </c>
      <c r="BA806">
        <f>IF(OR(BA$4="",$A806&gt;TODAY()),0,IF(OR(INDEX($B806:$D806,BA$5)="F",AND(BA$6&gt;0,$A806&lt;BA$6),AND(BA$7&gt;0,$A806&gt;BA$7)),0,MAX(0,ROUND((INDEX($E806:$G806,BA$5)-SUMIFS(TF_Timer,TF_Tekniker,BA$4,TF_Dato,$A806))*2,0)/2)))</f>
        <v/>
      </c>
      <c r="BB806">
        <f>IF(OR(BB$4="",$A806&gt;TODAY()),0,IF(OR(INDEX($B806:$D806,BB$5)="F",AND(BB$6&gt;0,$A806&lt;BB$6),AND(BB$7&gt;0,$A806&gt;BB$7)),0,MAX(0,ROUND((INDEX($E806:$G806,BB$5)-SUMIFS(TF_Timer,TF_Tekniker,BB$4,TF_Dato,$A806))*2,0)/2)))</f>
        <v/>
      </c>
      <c r="BC806">
        <f>IF(OR(BC$4="",$A806&gt;TODAY()),0,IF(OR(INDEX($B806:$D806,BC$5)="F",AND(BC$6&gt;0,$A806&lt;BC$6),AND(BC$7&gt;0,$A806&gt;BC$7)),0,MAX(0,ROUND((INDEX($E806:$G806,BC$5)-SUMIFS(TF_Timer,TF_Tekniker,BC$4,TF_Dato,$A806))*2,0)/2)))</f>
        <v/>
      </c>
      <c r="BD806">
        <f>IF(OR(BD$4="",$A806&gt;TODAY()),0,IF(OR(INDEX($B806:$D806,BD$5)="F",AND(BD$6&gt;0,$A806&lt;BD$6),AND(BD$7&gt;0,$A806&gt;BD$7)),0,MAX(0,ROUND((INDEX($E806:$G806,BD$5)-SUMIFS(TF_Timer,TF_Tekniker,BD$4,TF_Dato,$A806))*2,0)/2)))</f>
        <v/>
      </c>
      <c r="BE806">
        <f>IF(OR(BE$4="",$A806&gt;TODAY()),0,IF(OR(INDEX($B806:$D806,BE$5)="F",AND(BE$6&gt;0,$A806&lt;BE$6),AND(BE$7&gt;0,$A806&gt;BE$7)),0,MAX(0,ROUND((INDEX($E806:$G806,BE$5)-SUMIFS(TF_Timer,TF_Tekniker,BE$4,TF_Dato,$A806))*2,0)/2)))</f>
        <v/>
      </c>
      <c r="BF806">
        <f>IF(OR(BF$4="",$A806&gt;TODAY()),0,IF(OR(INDEX($B806:$D806,BF$5)="F",AND(BF$6&gt;0,$A806&lt;BF$6),AND(BF$7&gt;0,$A806&gt;BF$7)),0,MAX(0,ROUND((INDEX($E806:$G806,BF$5)-SUMIFS(TF_Timer,TF_Tekniker,BF$4,TF_Dato,$A806))*2,0)/2)))</f>
        <v/>
      </c>
      <c r="BG806">
        <f>IF(OR(BG$4="",$A806&gt;TODAY()),0,IF(OR(INDEX($B806:$D806,BG$5)="F",AND(BG$6&gt;0,$A806&lt;BG$6),AND(BG$7&gt;0,$A806&gt;BG$7)),0,MAX(0,ROUND((INDEX($E806:$G806,BG$5)-SUMIFS(TF_Timer,TF_Tekniker,BG$4,TF_Dato,$A806))*2,0)/2)))</f>
        <v/>
      </c>
      <c r="BH806">
        <f>IF(OR(BH$4="",$A806&gt;TODAY()),0,IF(OR(INDEX($B806:$D806,BH$5)="F",AND(BH$6&gt;0,$A806&lt;BH$6),AND(BH$7&gt;0,$A806&gt;BH$7)),0,MAX(0,ROUND((INDEX($E806:$G806,BH$5)-SUMIFS(TF_Timer,TF_Tekniker,BH$4,TF_Dato,$A806))*2,0)/2)))</f>
        <v/>
      </c>
      <c r="BI806">
        <f>IF(OR(BI$4="",$A806&gt;TODAY()),0,IF(OR(INDEX($B806:$D806,BI$5)="F",AND(BI$6&gt;0,$A806&lt;BI$6),AND(BI$7&gt;0,$A806&gt;BI$7)),0,MAX(0,ROUND((INDEX($E806:$G806,BI$5)-SUMIFS(TF_Timer,TF_Tekniker,BI$4,TF_Dato,$A806))*2,0)/2)))</f>
        <v/>
      </c>
    </row>
    <row r="807">
      <c r="A807" s="64">
        <f>A806+1</f>
        <v/>
      </c>
      <c r="B807">
        <f>IF(MOD($A807-INDEX(SkiftStart,1),Syklus)&lt;DagK,"K",IF(MOD($A807-INDEX(SkiftStart,1),Syklus)&lt;DagK+DagH,"H",IF(MOD($A807-INDEX(SkiftStart,1),Syklus)&lt;DagK+DagH+DagD,"D","F")))</f>
        <v/>
      </c>
      <c r="C807">
        <f>IF(MOD($A807-INDEX(SkiftStart,2),Syklus)&lt;DagK,"K",IF(MOD($A807-INDEX(SkiftStart,2),Syklus)&lt;DagK+DagH,"H",IF(MOD($A807-INDEX(SkiftStart,2),Syklus)&lt;DagK+DagH+DagD,"D","F")))</f>
        <v/>
      </c>
      <c r="D807">
        <f>IF(MOD($A807-INDEX(SkiftStart,3),Syklus)&lt;DagK,"K",IF(MOD($A807-INDEX(SkiftStart,3),Syklus)&lt;DagK+DagH,"H",IF(MOD($A807-INDEX(SkiftStart,3),Syklus)&lt;DagK+DagH+DagD,"D","F")))</f>
        <v/>
      </c>
      <c r="E807">
        <f>IF(B807="F",0,IF(WEEKDAY($A807,2)=5,INDEX(TimerFr,MATCH(B807,FaseKode,0)),INDEX(TimerMT,MATCH(B807,FaseKode,0))))</f>
        <v/>
      </c>
      <c r="F807">
        <f>IF(C807="F",0,IF(WEEKDAY($A807,2)=5,INDEX(TimerFr,MATCH(C807,FaseKode,0)),INDEX(TimerMT,MATCH(C807,FaseKode,0))))</f>
        <v/>
      </c>
      <c r="G807">
        <f>IF(D807="F",0,IF(WEEKDAY($A807,2)=5,INDEX(TimerFr,MATCH(D807,FaseKode,0)),INDEX(TimerMT,MATCH(D807,FaseKode,0))))</f>
        <v/>
      </c>
      <c r="H807">
        <f>IF(OR(H$4="",$A807&gt;TODAY()),0,IF(OR(INDEX($B807:$D807,H$5)="F",AND(H$6&gt;0,$A807&lt;H$6),AND(H$7&gt;0,$A807&gt;H$7)),0,MAX(0,ROUND((INDEX($E807:$G807,H$5)-SUMIFS(TF_Timer,TF_Tekniker,H$4,TF_Dato,$A807))*2,0)/2)))</f>
        <v/>
      </c>
      <c r="I807">
        <f>IF(OR(I$4="",$A807&gt;TODAY()),0,IF(OR(INDEX($B807:$D807,I$5)="F",AND(I$6&gt;0,$A807&lt;I$6),AND(I$7&gt;0,$A807&gt;I$7)),0,MAX(0,ROUND((INDEX($E807:$G807,I$5)-SUMIFS(TF_Timer,TF_Tekniker,I$4,TF_Dato,$A807))*2,0)/2)))</f>
        <v/>
      </c>
      <c r="J807">
        <f>IF(OR(J$4="",$A807&gt;TODAY()),0,IF(OR(INDEX($B807:$D807,J$5)="F",AND(J$6&gt;0,$A807&lt;J$6),AND(J$7&gt;0,$A807&gt;J$7)),0,MAX(0,ROUND((INDEX($E807:$G807,J$5)-SUMIFS(TF_Timer,TF_Tekniker,J$4,TF_Dato,$A807))*2,0)/2)))</f>
        <v/>
      </c>
      <c r="K807">
        <f>IF(OR(K$4="",$A807&gt;TODAY()),0,IF(OR(INDEX($B807:$D807,K$5)="F",AND(K$6&gt;0,$A807&lt;K$6),AND(K$7&gt;0,$A807&gt;K$7)),0,MAX(0,ROUND((INDEX($E807:$G807,K$5)-SUMIFS(TF_Timer,TF_Tekniker,K$4,TF_Dato,$A807))*2,0)/2)))</f>
        <v/>
      </c>
      <c r="L807">
        <f>IF(OR(L$4="",$A807&gt;TODAY()),0,IF(OR(INDEX($B807:$D807,L$5)="F",AND(L$6&gt;0,$A807&lt;L$6),AND(L$7&gt;0,$A807&gt;L$7)),0,MAX(0,ROUND((INDEX($E807:$G807,L$5)-SUMIFS(TF_Timer,TF_Tekniker,L$4,TF_Dato,$A807))*2,0)/2)))</f>
        <v/>
      </c>
      <c r="M807">
        <f>IF(OR(M$4="",$A807&gt;TODAY()),0,IF(OR(INDEX($B807:$D807,M$5)="F",AND(M$6&gt;0,$A807&lt;M$6),AND(M$7&gt;0,$A807&gt;M$7)),0,MAX(0,ROUND((INDEX($E807:$G807,M$5)-SUMIFS(TF_Timer,TF_Tekniker,M$4,TF_Dato,$A807))*2,0)/2)))</f>
        <v/>
      </c>
      <c r="N807">
        <f>IF(OR(N$4="",$A807&gt;TODAY()),0,IF(OR(INDEX($B807:$D807,N$5)="F",AND(N$6&gt;0,$A807&lt;N$6),AND(N$7&gt;0,$A807&gt;N$7)),0,MAX(0,ROUND((INDEX($E807:$G807,N$5)-SUMIFS(TF_Timer,TF_Tekniker,N$4,TF_Dato,$A807))*2,0)/2)))</f>
        <v/>
      </c>
      <c r="O807">
        <f>IF(OR(O$4="",$A807&gt;TODAY()),0,IF(OR(INDEX($B807:$D807,O$5)="F",AND(O$6&gt;0,$A807&lt;O$6),AND(O$7&gt;0,$A807&gt;O$7)),0,MAX(0,ROUND((INDEX($E807:$G807,O$5)-SUMIFS(TF_Timer,TF_Tekniker,O$4,TF_Dato,$A807))*2,0)/2)))</f>
        <v/>
      </c>
      <c r="P807">
        <f>IF(OR(P$4="",$A807&gt;TODAY()),0,IF(OR(INDEX($B807:$D807,P$5)="F",AND(P$6&gt;0,$A807&lt;P$6),AND(P$7&gt;0,$A807&gt;P$7)),0,MAX(0,ROUND((INDEX($E807:$G807,P$5)-SUMIFS(TF_Timer,TF_Tekniker,P$4,TF_Dato,$A807))*2,0)/2)))</f>
        <v/>
      </c>
      <c r="Q807">
        <f>IF(OR(Q$4="",$A807&gt;TODAY()),0,IF(OR(INDEX($B807:$D807,Q$5)="F",AND(Q$6&gt;0,$A807&lt;Q$6),AND(Q$7&gt;0,$A807&gt;Q$7)),0,MAX(0,ROUND((INDEX($E807:$G807,Q$5)-SUMIFS(TF_Timer,TF_Tekniker,Q$4,TF_Dato,$A807))*2,0)/2)))</f>
        <v/>
      </c>
      <c r="R807">
        <f>IF(OR(R$4="",$A807&gt;TODAY()),0,IF(OR(INDEX($B807:$D807,R$5)="F",AND(R$6&gt;0,$A807&lt;R$6),AND(R$7&gt;0,$A807&gt;R$7)),0,MAX(0,ROUND((INDEX($E807:$G807,R$5)-SUMIFS(TF_Timer,TF_Tekniker,R$4,TF_Dato,$A807))*2,0)/2)))</f>
        <v/>
      </c>
      <c r="S807">
        <f>IF(OR(S$4="",$A807&gt;TODAY()),0,IF(OR(INDEX($B807:$D807,S$5)="F",AND(S$6&gt;0,$A807&lt;S$6),AND(S$7&gt;0,$A807&gt;S$7)),0,MAX(0,ROUND((INDEX($E807:$G807,S$5)-SUMIFS(TF_Timer,TF_Tekniker,S$4,TF_Dato,$A807))*2,0)/2)))</f>
        <v/>
      </c>
      <c r="T807">
        <f>IF(OR(T$4="",$A807&gt;TODAY()),0,IF(OR(INDEX($B807:$D807,T$5)="F",AND(T$6&gt;0,$A807&lt;T$6),AND(T$7&gt;0,$A807&gt;T$7)),0,MAX(0,ROUND((INDEX($E807:$G807,T$5)-SUMIFS(TF_Timer,TF_Tekniker,T$4,TF_Dato,$A807))*2,0)/2)))</f>
        <v/>
      </c>
      <c r="U807">
        <f>IF(OR(U$4="",$A807&gt;TODAY()),0,IF(OR(INDEX($B807:$D807,U$5)="F",AND(U$6&gt;0,$A807&lt;U$6),AND(U$7&gt;0,$A807&gt;U$7)),0,MAX(0,ROUND((INDEX($E807:$G807,U$5)-SUMIFS(TF_Timer,TF_Tekniker,U$4,TF_Dato,$A807))*2,0)/2)))</f>
        <v/>
      </c>
      <c r="V807">
        <f>IF(OR(V$4="",$A807&gt;TODAY()),0,IF(OR(INDEX($B807:$D807,V$5)="F",AND(V$6&gt;0,$A807&lt;V$6),AND(V$7&gt;0,$A807&gt;V$7)),0,MAX(0,ROUND((INDEX($E807:$G807,V$5)-SUMIFS(TF_Timer,TF_Tekniker,V$4,TF_Dato,$A807))*2,0)/2)))</f>
        <v/>
      </c>
      <c r="W807">
        <f>IF(OR(W$4="",$A807&gt;TODAY()),0,IF(OR(INDEX($B807:$D807,W$5)="F",AND(W$6&gt;0,$A807&lt;W$6),AND(W$7&gt;0,$A807&gt;W$7)),0,MAX(0,ROUND((INDEX($E807:$G807,W$5)-SUMIFS(TF_Timer,TF_Tekniker,W$4,TF_Dato,$A807))*2,0)/2)))</f>
        <v/>
      </c>
      <c r="X807">
        <f>IF(OR(X$4="",$A807&gt;TODAY()),0,IF(OR(INDEX($B807:$D807,X$5)="F",AND(X$6&gt;0,$A807&lt;X$6),AND(X$7&gt;0,$A807&gt;X$7)),0,MAX(0,ROUND((INDEX($E807:$G807,X$5)-SUMIFS(TF_Timer,TF_Tekniker,X$4,TF_Dato,$A807))*2,0)/2)))</f>
        <v/>
      </c>
      <c r="Y807">
        <f>IF(OR(Y$4="",$A807&gt;TODAY()),0,IF(OR(INDEX($B807:$D807,Y$5)="F",AND(Y$6&gt;0,$A807&lt;Y$6),AND(Y$7&gt;0,$A807&gt;Y$7)),0,MAX(0,ROUND((INDEX($E807:$G807,Y$5)-SUMIFS(TF_Timer,TF_Tekniker,Y$4,TF_Dato,$A807))*2,0)/2)))</f>
        <v/>
      </c>
      <c r="Z807">
        <f>IF(OR(Z$4="",$A807&gt;TODAY()),0,IF(OR(INDEX($B807:$D807,Z$5)="F",AND(Z$6&gt;0,$A807&lt;Z$6),AND(Z$7&gt;0,$A807&gt;Z$7)),0,MAX(0,ROUND((INDEX($E807:$G807,Z$5)-SUMIFS(TF_Timer,TF_Tekniker,Z$4,TF_Dato,$A807))*2,0)/2)))</f>
        <v/>
      </c>
      <c r="AA807">
        <f>IF(OR(AA$4="",$A807&gt;TODAY()),0,IF(OR(INDEX($B807:$D807,AA$5)="F",AND(AA$6&gt;0,$A807&lt;AA$6),AND(AA$7&gt;0,$A807&gt;AA$7)),0,MAX(0,ROUND((INDEX($E807:$G807,AA$5)-SUMIFS(TF_Timer,TF_Tekniker,AA$4,TF_Dato,$A807))*2,0)/2)))</f>
        <v/>
      </c>
      <c r="AB807">
        <f>IF(OR(AB$4="",$A807&gt;TODAY()),0,IF(OR(INDEX($B807:$D807,AB$5)="F",AND(AB$6&gt;0,$A807&lt;AB$6),AND(AB$7&gt;0,$A807&gt;AB$7)),0,MAX(0,ROUND((INDEX($E807:$G807,AB$5)-SUMIFS(TF_Timer,TF_Tekniker,AB$4,TF_Dato,$A807))*2,0)/2)))</f>
        <v/>
      </c>
      <c r="AC807">
        <f>IF(OR(AC$4="",$A807&gt;TODAY()),0,IF(OR(INDEX($B807:$D807,AC$5)="F",AND(AC$6&gt;0,$A807&lt;AC$6),AND(AC$7&gt;0,$A807&gt;AC$7)),0,MAX(0,ROUND((INDEX($E807:$G807,AC$5)-SUMIFS(TF_Timer,TF_Tekniker,AC$4,TF_Dato,$A807))*2,0)/2)))</f>
        <v/>
      </c>
      <c r="AD807">
        <f>IF(OR(AD$4="",$A807&gt;TODAY()),0,IF(OR(INDEX($B807:$D807,AD$5)="F",AND(AD$6&gt;0,$A807&lt;AD$6),AND(AD$7&gt;0,$A807&gt;AD$7)),0,MAX(0,ROUND((INDEX($E807:$G807,AD$5)-SUMIFS(TF_Timer,TF_Tekniker,AD$4,TF_Dato,$A807))*2,0)/2)))</f>
        <v/>
      </c>
      <c r="AE807">
        <f>IF(OR(AE$4="",$A807&gt;TODAY()),0,IF(OR(INDEX($B807:$D807,AE$5)="F",AND(AE$6&gt;0,$A807&lt;AE$6),AND(AE$7&gt;0,$A807&gt;AE$7)),0,MAX(0,ROUND((INDEX($E807:$G807,AE$5)-SUMIFS(TF_Timer,TF_Tekniker,AE$4,TF_Dato,$A807))*2,0)/2)))</f>
        <v/>
      </c>
      <c r="AF807">
        <f>IF(OR(AF$4="",$A807&gt;TODAY()),0,IF(OR(INDEX($B807:$D807,AF$5)="F",AND(AF$6&gt;0,$A807&lt;AF$6),AND(AF$7&gt;0,$A807&gt;AF$7)),0,MAX(0,ROUND((INDEX($E807:$G807,AF$5)-SUMIFS(TF_Timer,TF_Tekniker,AF$4,TF_Dato,$A807))*2,0)/2)))</f>
        <v/>
      </c>
      <c r="AG807">
        <f>IF(OR(AG$4="",$A807&gt;TODAY()),0,IF(OR(INDEX($B807:$D807,AG$5)="F",AND(AG$6&gt;0,$A807&lt;AG$6),AND(AG$7&gt;0,$A807&gt;AG$7)),0,MAX(0,ROUND((INDEX($E807:$G807,AG$5)-SUMIFS(TF_Timer,TF_Tekniker,AG$4,TF_Dato,$A807))*2,0)/2)))</f>
        <v/>
      </c>
      <c r="AH807">
        <f>IF(OR(AH$4="",$A807&gt;TODAY()),0,IF(OR(INDEX($B807:$D807,AH$5)="F",AND(AH$6&gt;0,$A807&lt;AH$6),AND(AH$7&gt;0,$A807&gt;AH$7)),0,MAX(0,ROUND((INDEX($E807:$G807,AH$5)-SUMIFS(TF_Timer,TF_Tekniker,AH$4,TF_Dato,$A807))*2,0)/2)))</f>
        <v/>
      </c>
      <c r="AI807">
        <f>IF(OR(AI$4="",$A807&gt;TODAY()),0,IF(OR(INDEX($B807:$D807,AI$5)="F",AND(AI$6&gt;0,$A807&lt;AI$6),AND(AI$7&gt;0,$A807&gt;AI$7)),0,MAX(0,ROUND((INDEX($E807:$G807,AI$5)-SUMIFS(TF_Timer,TF_Tekniker,AI$4,TF_Dato,$A807))*2,0)/2)))</f>
        <v/>
      </c>
      <c r="AJ807">
        <f>IF(OR(AJ$4="",$A807&gt;TODAY()),0,IF(OR(INDEX($B807:$D807,AJ$5)="F",AND(AJ$6&gt;0,$A807&lt;AJ$6),AND(AJ$7&gt;0,$A807&gt;AJ$7)),0,MAX(0,ROUND((INDEX($E807:$G807,AJ$5)-SUMIFS(TF_Timer,TF_Tekniker,AJ$4,TF_Dato,$A807))*2,0)/2)))</f>
        <v/>
      </c>
      <c r="AK807">
        <f>IF(OR(AK$4="",$A807&gt;TODAY()),0,IF(OR(INDEX($B807:$D807,AK$5)="F",AND(AK$6&gt;0,$A807&lt;AK$6),AND(AK$7&gt;0,$A807&gt;AK$7)),0,MAX(0,ROUND((INDEX($E807:$G807,AK$5)-SUMIFS(TF_Timer,TF_Tekniker,AK$4,TF_Dato,$A807))*2,0)/2)))</f>
        <v/>
      </c>
      <c r="AL807">
        <f>IF(OR(AL$4="",$A807&gt;TODAY()),0,IF(OR(INDEX($B807:$D807,AL$5)="F",AND(AL$6&gt;0,$A807&lt;AL$6),AND(AL$7&gt;0,$A807&gt;AL$7)),0,MAX(0,ROUND((INDEX($E807:$G807,AL$5)-SUMIFS(TF_Timer,TF_Tekniker,AL$4,TF_Dato,$A807))*2,0)/2)))</f>
        <v/>
      </c>
      <c r="AM807">
        <f>IF(OR(AM$4="",$A807&gt;TODAY()),0,IF(OR(INDEX($B807:$D807,AM$5)="F",AND(AM$6&gt;0,$A807&lt;AM$6),AND(AM$7&gt;0,$A807&gt;AM$7)),0,MAX(0,ROUND((INDEX($E807:$G807,AM$5)-SUMIFS(TF_Timer,TF_Tekniker,AM$4,TF_Dato,$A807))*2,0)/2)))</f>
        <v/>
      </c>
      <c r="AN807">
        <f>IF(OR(AN$4="",$A807&gt;TODAY()),0,IF(OR(INDEX($B807:$D807,AN$5)="F",AND(AN$6&gt;0,$A807&lt;AN$6),AND(AN$7&gt;0,$A807&gt;AN$7)),0,MAX(0,ROUND((INDEX($E807:$G807,AN$5)-SUMIFS(TF_Timer,TF_Tekniker,AN$4,TF_Dato,$A807))*2,0)/2)))</f>
        <v/>
      </c>
      <c r="AO807">
        <f>IF(OR(AO$4="",$A807&gt;TODAY()),0,IF(OR(INDEX($B807:$D807,AO$5)="F",AND(AO$6&gt;0,$A807&lt;AO$6),AND(AO$7&gt;0,$A807&gt;AO$7)),0,MAX(0,ROUND((INDEX($E807:$G807,AO$5)-SUMIFS(TF_Timer,TF_Tekniker,AO$4,TF_Dato,$A807))*2,0)/2)))</f>
        <v/>
      </c>
      <c r="AP807">
        <f>IF(OR(AP$4="",$A807&gt;TODAY()),0,IF(OR(INDEX($B807:$D807,AP$5)="F",AND(AP$6&gt;0,$A807&lt;AP$6),AND(AP$7&gt;0,$A807&gt;AP$7)),0,MAX(0,ROUND((INDEX($E807:$G807,AP$5)-SUMIFS(TF_Timer,TF_Tekniker,AP$4,TF_Dato,$A807))*2,0)/2)))</f>
        <v/>
      </c>
      <c r="AQ807">
        <f>IF(OR(AQ$4="",$A807&gt;TODAY()),0,IF(OR(INDEX($B807:$D807,AQ$5)="F",AND(AQ$6&gt;0,$A807&lt;AQ$6),AND(AQ$7&gt;0,$A807&gt;AQ$7)),0,MAX(0,ROUND((INDEX($E807:$G807,AQ$5)-SUMIFS(TF_Timer,TF_Tekniker,AQ$4,TF_Dato,$A807))*2,0)/2)))</f>
        <v/>
      </c>
      <c r="AR807">
        <f>IF(OR(AR$4="",$A807&gt;TODAY()),0,IF(OR(INDEX($B807:$D807,AR$5)="F",AND(AR$6&gt;0,$A807&lt;AR$6),AND(AR$7&gt;0,$A807&gt;AR$7)),0,MAX(0,ROUND((INDEX($E807:$G807,AR$5)-SUMIFS(TF_Timer,TF_Tekniker,AR$4,TF_Dato,$A807))*2,0)/2)))</f>
        <v/>
      </c>
      <c r="AS807">
        <f>IF(OR(AS$4="",$A807&gt;TODAY()),0,IF(OR(INDEX($B807:$D807,AS$5)="F",AND(AS$6&gt;0,$A807&lt;AS$6),AND(AS$7&gt;0,$A807&gt;AS$7)),0,MAX(0,ROUND((INDEX($E807:$G807,AS$5)-SUMIFS(TF_Timer,TF_Tekniker,AS$4,TF_Dato,$A807))*2,0)/2)))</f>
        <v/>
      </c>
      <c r="AT807">
        <f>IF(OR(AT$4="",$A807&gt;TODAY()),0,IF(OR(INDEX($B807:$D807,AT$5)="F",AND(AT$6&gt;0,$A807&lt;AT$6),AND(AT$7&gt;0,$A807&gt;AT$7)),0,MAX(0,ROUND((INDEX($E807:$G807,AT$5)-SUMIFS(TF_Timer,TF_Tekniker,AT$4,TF_Dato,$A807))*2,0)/2)))</f>
        <v/>
      </c>
      <c r="AU807">
        <f>IF(OR(AU$4="",$A807&gt;TODAY()),0,IF(OR(INDEX($B807:$D807,AU$5)="F",AND(AU$6&gt;0,$A807&lt;AU$6),AND(AU$7&gt;0,$A807&gt;AU$7)),0,MAX(0,ROUND((INDEX($E807:$G807,AU$5)-SUMIFS(TF_Timer,TF_Tekniker,AU$4,TF_Dato,$A807))*2,0)/2)))</f>
        <v/>
      </c>
      <c r="AV807">
        <f>IF(OR(AV$4="",$A807&gt;TODAY()),0,IF(OR(INDEX($B807:$D807,AV$5)="F",AND(AV$6&gt;0,$A807&lt;AV$6),AND(AV$7&gt;0,$A807&gt;AV$7)),0,MAX(0,ROUND((INDEX($E807:$G807,AV$5)-SUMIFS(TF_Timer,TF_Tekniker,AV$4,TF_Dato,$A807))*2,0)/2)))</f>
        <v/>
      </c>
      <c r="AW807">
        <f>IF(OR(AW$4="",$A807&gt;TODAY()),0,IF(OR(INDEX($B807:$D807,AW$5)="F",AND(AW$6&gt;0,$A807&lt;AW$6),AND(AW$7&gt;0,$A807&gt;AW$7)),0,MAX(0,ROUND((INDEX($E807:$G807,AW$5)-SUMIFS(TF_Timer,TF_Tekniker,AW$4,TF_Dato,$A807))*2,0)/2)))</f>
        <v/>
      </c>
      <c r="AX807">
        <f>IF(OR(AX$4="",$A807&gt;TODAY()),0,IF(OR(INDEX($B807:$D807,AX$5)="F",AND(AX$6&gt;0,$A807&lt;AX$6),AND(AX$7&gt;0,$A807&gt;AX$7)),0,MAX(0,ROUND((INDEX($E807:$G807,AX$5)-SUMIFS(TF_Timer,TF_Tekniker,AX$4,TF_Dato,$A807))*2,0)/2)))</f>
        <v/>
      </c>
      <c r="AY807">
        <f>IF(OR(AY$4="",$A807&gt;TODAY()),0,IF(OR(INDEX($B807:$D807,AY$5)="F",AND(AY$6&gt;0,$A807&lt;AY$6),AND(AY$7&gt;0,$A807&gt;AY$7)),0,MAX(0,ROUND((INDEX($E807:$G807,AY$5)-SUMIFS(TF_Timer,TF_Tekniker,AY$4,TF_Dato,$A807))*2,0)/2)))</f>
        <v/>
      </c>
      <c r="AZ807">
        <f>IF(OR(AZ$4="",$A807&gt;TODAY()),0,IF(OR(INDEX($B807:$D807,AZ$5)="F",AND(AZ$6&gt;0,$A807&lt;AZ$6),AND(AZ$7&gt;0,$A807&gt;AZ$7)),0,MAX(0,ROUND((INDEX($E807:$G807,AZ$5)-SUMIFS(TF_Timer,TF_Tekniker,AZ$4,TF_Dato,$A807))*2,0)/2)))</f>
        <v/>
      </c>
      <c r="BA807">
        <f>IF(OR(BA$4="",$A807&gt;TODAY()),0,IF(OR(INDEX($B807:$D807,BA$5)="F",AND(BA$6&gt;0,$A807&lt;BA$6),AND(BA$7&gt;0,$A807&gt;BA$7)),0,MAX(0,ROUND((INDEX($E807:$G807,BA$5)-SUMIFS(TF_Timer,TF_Tekniker,BA$4,TF_Dato,$A807))*2,0)/2)))</f>
        <v/>
      </c>
      <c r="BB807">
        <f>IF(OR(BB$4="",$A807&gt;TODAY()),0,IF(OR(INDEX($B807:$D807,BB$5)="F",AND(BB$6&gt;0,$A807&lt;BB$6),AND(BB$7&gt;0,$A807&gt;BB$7)),0,MAX(0,ROUND((INDEX($E807:$G807,BB$5)-SUMIFS(TF_Timer,TF_Tekniker,BB$4,TF_Dato,$A807))*2,0)/2)))</f>
        <v/>
      </c>
      <c r="BC807">
        <f>IF(OR(BC$4="",$A807&gt;TODAY()),0,IF(OR(INDEX($B807:$D807,BC$5)="F",AND(BC$6&gt;0,$A807&lt;BC$6),AND(BC$7&gt;0,$A807&gt;BC$7)),0,MAX(0,ROUND((INDEX($E807:$G807,BC$5)-SUMIFS(TF_Timer,TF_Tekniker,BC$4,TF_Dato,$A807))*2,0)/2)))</f>
        <v/>
      </c>
      <c r="BD807">
        <f>IF(OR(BD$4="",$A807&gt;TODAY()),0,IF(OR(INDEX($B807:$D807,BD$5)="F",AND(BD$6&gt;0,$A807&lt;BD$6),AND(BD$7&gt;0,$A807&gt;BD$7)),0,MAX(0,ROUND((INDEX($E807:$G807,BD$5)-SUMIFS(TF_Timer,TF_Tekniker,BD$4,TF_Dato,$A807))*2,0)/2)))</f>
        <v/>
      </c>
      <c r="BE807">
        <f>IF(OR(BE$4="",$A807&gt;TODAY()),0,IF(OR(INDEX($B807:$D807,BE$5)="F",AND(BE$6&gt;0,$A807&lt;BE$6),AND(BE$7&gt;0,$A807&gt;BE$7)),0,MAX(0,ROUND((INDEX($E807:$G807,BE$5)-SUMIFS(TF_Timer,TF_Tekniker,BE$4,TF_Dato,$A807))*2,0)/2)))</f>
        <v/>
      </c>
      <c r="BF807">
        <f>IF(OR(BF$4="",$A807&gt;TODAY()),0,IF(OR(INDEX($B807:$D807,BF$5)="F",AND(BF$6&gt;0,$A807&lt;BF$6),AND(BF$7&gt;0,$A807&gt;BF$7)),0,MAX(0,ROUND((INDEX($E807:$G807,BF$5)-SUMIFS(TF_Timer,TF_Tekniker,BF$4,TF_Dato,$A807))*2,0)/2)))</f>
        <v/>
      </c>
      <c r="BG807">
        <f>IF(OR(BG$4="",$A807&gt;TODAY()),0,IF(OR(INDEX($B807:$D807,BG$5)="F",AND(BG$6&gt;0,$A807&lt;BG$6),AND(BG$7&gt;0,$A807&gt;BG$7)),0,MAX(0,ROUND((INDEX($E807:$G807,BG$5)-SUMIFS(TF_Timer,TF_Tekniker,BG$4,TF_Dato,$A807))*2,0)/2)))</f>
        <v/>
      </c>
      <c r="BH807">
        <f>IF(OR(BH$4="",$A807&gt;TODAY()),0,IF(OR(INDEX($B807:$D807,BH$5)="F",AND(BH$6&gt;0,$A807&lt;BH$6),AND(BH$7&gt;0,$A807&gt;BH$7)),0,MAX(0,ROUND((INDEX($E807:$G807,BH$5)-SUMIFS(TF_Timer,TF_Tekniker,BH$4,TF_Dato,$A807))*2,0)/2)))</f>
        <v/>
      </c>
      <c r="BI807">
        <f>IF(OR(BI$4="",$A807&gt;TODAY()),0,IF(OR(INDEX($B807:$D807,BI$5)="F",AND(BI$6&gt;0,$A807&lt;BI$6),AND(BI$7&gt;0,$A807&gt;BI$7)),0,MAX(0,ROUND((INDEX($E807:$G807,BI$5)-SUMIFS(TF_Timer,TF_Tekniker,BI$4,TF_Dato,$A807))*2,0)/2)))</f>
        <v/>
      </c>
    </row>
    <row r="808">
      <c r="A808" s="64">
        <f>A807+1</f>
        <v/>
      </c>
      <c r="B808">
        <f>IF(MOD($A808-INDEX(SkiftStart,1),Syklus)&lt;DagK,"K",IF(MOD($A808-INDEX(SkiftStart,1),Syklus)&lt;DagK+DagH,"H",IF(MOD($A808-INDEX(SkiftStart,1),Syklus)&lt;DagK+DagH+DagD,"D","F")))</f>
        <v/>
      </c>
      <c r="C808">
        <f>IF(MOD($A808-INDEX(SkiftStart,2),Syklus)&lt;DagK,"K",IF(MOD($A808-INDEX(SkiftStart,2),Syklus)&lt;DagK+DagH,"H",IF(MOD($A808-INDEX(SkiftStart,2),Syklus)&lt;DagK+DagH+DagD,"D","F")))</f>
        <v/>
      </c>
      <c r="D808">
        <f>IF(MOD($A808-INDEX(SkiftStart,3),Syklus)&lt;DagK,"K",IF(MOD($A808-INDEX(SkiftStart,3),Syklus)&lt;DagK+DagH,"H",IF(MOD($A808-INDEX(SkiftStart,3),Syklus)&lt;DagK+DagH+DagD,"D","F")))</f>
        <v/>
      </c>
      <c r="E808">
        <f>IF(B808="F",0,IF(WEEKDAY($A808,2)=5,INDEX(TimerFr,MATCH(B808,FaseKode,0)),INDEX(TimerMT,MATCH(B808,FaseKode,0))))</f>
        <v/>
      </c>
      <c r="F808">
        <f>IF(C808="F",0,IF(WEEKDAY($A808,2)=5,INDEX(TimerFr,MATCH(C808,FaseKode,0)),INDEX(TimerMT,MATCH(C808,FaseKode,0))))</f>
        <v/>
      </c>
      <c r="G808">
        <f>IF(D808="F",0,IF(WEEKDAY($A808,2)=5,INDEX(TimerFr,MATCH(D808,FaseKode,0)),INDEX(TimerMT,MATCH(D808,FaseKode,0))))</f>
        <v/>
      </c>
      <c r="H808">
        <f>IF(OR(H$4="",$A808&gt;TODAY()),0,IF(OR(INDEX($B808:$D808,H$5)="F",AND(H$6&gt;0,$A808&lt;H$6),AND(H$7&gt;0,$A808&gt;H$7)),0,MAX(0,ROUND((INDEX($E808:$G808,H$5)-SUMIFS(TF_Timer,TF_Tekniker,H$4,TF_Dato,$A808))*2,0)/2)))</f>
        <v/>
      </c>
      <c r="I808">
        <f>IF(OR(I$4="",$A808&gt;TODAY()),0,IF(OR(INDEX($B808:$D808,I$5)="F",AND(I$6&gt;0,$A808&lt;I$6),AND(I$7&gt;0,$A808&gt;I$7)),0,MAX(0,ROUND((INDEX($E808:$G808,I$5)-SUMIFS(TF_Timer,TF_Tekniker,I$4,TF_Dato,$A808))*2,0)/2)))</f>
        <v/>
      </c>
      <c r="J808">
        <f>IF(OR(J$4="",$A808&gt;TODAY()),0,IF(OR(INDEX($B808:$D808,J$5)="F",AND(J$6&gt;0,$A808&lt;J$6),AND(J$7&gt;0,$A808&gt;J$7)),0,MAX(0,ROUND((INDEX($E808:$G808,J$5)-SUMIFS(TF_Timer,TF_Tekniker,J$4,TF_Dato,$A808))*2,0)/2)))</f>
        <v/>
      </c>
      <c r="K808">
        <f>IF(OR(K$4="",$A808&gt;TODAY()),0,IF(OR(INDEX($B808:$D808,K$5)="F",AND(K$6&gt;0,$A808&lt;K$6),AND(K$7&gt;0,$A808&gt;K$7)),0,MAX(0,ROUND((INDEX($E808:$G808,K$5)-SUMIFS(TF_Timer,TF_Tekniker,K$4,TF_Dato,$A808))*2,0)/2)))</f>
        <v/>
      </c>
      <c r="L808">
        <f>IF(OR(L$4="",$A808&gt;TODAY()),0,IF(OR(INDEX($B808:$D808,L$5)="F",AND(L$6&gt;0,$A808&lt;L$6),AND(L$7&gt;0,$A808&gt;L$7)),0,MAX(0,ROUND((INDEX($E808:$G808,L$5)-SUMIFS(TF_Timer,TF_Tekniker,L$4,TF_Dato,$A808))*2,0)/2)))</f>
        <v/>
      </c>
      <c r="M808">
        <f>IF(OR(M$4="",$A808&gt;TODAY()),0,IF(OR(INDEX($B808:$D808,M$5)="F",AND(M$6&gt;0,$A808&lt;M$6),AND(M$7&gt;0,$A808&gt;M$7)),0,MAX(0,ROUND((INDEX($E808:$G808,M$5)-SUMIFS(TF_Timer,TF_Tekniker,M$4,TF_Dato,$A808))*2,0)/2)))</f>
        <v/>
      </c>
      <c r="N808">
        <f>IF(OR(N$4="",$A808&gt;TODAY()),0,IF(OR(INDEX($B808:$D808,N$5)="F",AND(N$6&gt;0,$A808&lt;N$6),AND(N$7&gt;0,$A808&gt;N$7)),0,MAX(0,ROUND((INDEX($E808:$G808,N$5)-SUMIFS(TF_Timer,TF_Tekniker,N$4,TF_Dato,$A808))*2,0)/2)))</f>
        <v/>
      </c>
      <c r="O808">
        <f>IF(OR(O$4="",$A808&gt;TODAY()),0,IF(OR(INDEX($B808:$D808,O$5)="F",AND(O$6&gt;0,$A808&lt;O$6),AND(O$7&gt;0,$A808&gt;O$7)),0,MAX(0,ROUND((INDEX($E808:$G808,O$5)-SUMIFS(TF_Timer,TF_Tekniker,O$4,TF_Dato,$A808))*2,0)/2)))</f>
        <v/>
      </c>
      <c r="P808">
        <f>IF(OR(P$4="",$A808&gt;TODAY()),0,IF(OR(INDEX($B808:$D808,P$5)="F",AND(P$6&gt;0,$A808&lt;P$6),AND(P$7&gt;0,$A808&gt;P$7)),0,MAX(0,ROUND((INDEX($E808:$G808,P$5)-SUMIFS(TF_Timer,TF_Tekniker,P$4,TF_Dato,$A808))*2,0)/2)))</f>
        <v/>
      </c>
      <c r="Q808">
        <f>IF(OR(Q$4="",$A808&gt;TODAY()),0,IF(OR(INDEX($B808:$D808,Q$5)="F",AND(Q$6&gt;0,$A808&lt;Q$6),AND(Q$7&gt;0,$A808&gt;Q$7)),0,MAX(0,ROUND((INDEX($E808:$G808,Q$5)-SUMIFS(TF_Timer,TF_Tekniker,Q$4,TF_Dato,$A808))*2,0)/2)))</f>
        <v/>
      </c>
      <c r="R808">
        <f>IF(OR(R$4="",$A808&gt;TODAY()),0,IF(OR(INDEX($B808:$D808,R$5)="F",AND(R$6&gt;0,$A808&lt;R$6),AND(R$7&gt;0,$A808&gt;R$7)),0,MAX(0,ROUND((INDEX($E808:$G808,R$5)-SUMIFS(TF_Timer,TF_Tekniker,R$4,TF_Dato,$A808))*2,0)/2)))</f>
        <v/>
      </c>
      <c r="S808">
        <f>IF(OR(S$4="",$A808&gt;TODAY()),0,IF(OR(INDEX($B808:$D808,S$5)="F",AND(S$6&gt;0,$A808&lt;S$6),AND(S$7&gt;0,$A808&gt;S$7)),0,MAX(0,ROUND((INDEX($E808:$G808,S$5)-SUMIFS(TF_Timer,TF_Tekniker,S$4,TF_Dato,$A808))*2,0)/2)))</f>
        <v/>
      </c>
      <c r="T808">
        <f>IF(OR(T$4="",$A808&gt;TODAY()),0,IF(OR(INDEX($B808:$D808,T$5)="F",AND(T$6&gt;0,$A808&lt;T$6),AND(T$7&gt;0,$A808&gt;T$7)),0,MAX(0,ROUND((INDEX($E808:$G808,T$5)-SUMIFS(TF_Timer,TF_Tekniker,T$4,TF_Dato,$A808))*2,0)/2)))</f>
        <v/>
      </c>
      <c r="U808">
        <f>IF(OR(U$4="",$A808&gt;TODAY()),0,IF(OR(INDEX($B808:$D808,U$5)="F",AND(U$6&gt;0,$A808&lt;U$6),AND(U$7&gt;0,$A808&gt;U$7)),0,MAX(0,ROUND((INDEX($E808:$G808,U$5)-SUMIFS(TF_Timer,TF_Tekniker,U$4,TF_Dato,$A808))*2,0)/2)))</f>
        <v/>
      </c>
      <c r="V808">
        <f>IF(OR(V$4="",$A808&gt;TODAY()),0,IF(OR(INDEX($B808:$D808,V$5)="F",AND(V$6&gt;0,$A808&lt;V$6),AND(V$7&gt;0,$A808&gt;V$7)),0,MAX(0,ROUND((INDEX($E808:$G808,V$5)-SUMIFS(TF_Timer,TF_Tekniker,V$4,TF_Dato,$A808))*2,0)/2)))</f>
        <v/>
      </c>
      <c r="W808">
        <f>IF(OR(W$4="",$A808&gt;TODAY()),0,IF(OR(INDEX($B808:$D808,W$5)="F",AND(W$6&gt;0,$A808&lt;W$6),AND(W$7&gt;0,$A808&gt;W$7)),0,MAX(0,ROUND((INDEX($E808:$G808,W$5)-SUMIFS(TF_Timer,TF_Tekniker,W$4,TF_Dato,$A808))*2,0)/2)))</f>
        <v/>
      </c>
      <c r="X808">
        <f>IF(OR(X$4="",$A808&gt;TODAY()),0,IF(OR(INDEX($B808:$D808,X$5)="F",AND(X$6&gt;0,$A808&lt;X$6),AND(X$7&gt;0,$A808&gt;X$7)),0,MAX(0,ROUND((INDEX($E808:$G808,X$5)-SUMIFS(TF_Timer,TF_Tekniker,X$4,TF_Dato,$A808))*2,0)/2)))</f>
        <v/>
      </c>
      <c r="Y808">
        <f>IF(OR(Y$4="",$A808&gt;TODAY()),0,IF(OR(INDEX($B808:$D808,Y$5)="F",AND(Y$6&gt;0,$A808&lt;Y$6),AND(Y$7&gt;0,$A808&gt;Y$7)),0,MAX(0,ROUND((INDEX($E808:$G808,Y$5)-SUMIFS(TF_Timer,TF_Tekniker,Y$4,TF_Dato,$A808))*2,0)/2)))</f>
        <v/>
      </c>
      <c r="Z808">
        <f>IF(OR(Z$4="",$A808&gt;TODAY()),0,IF(OR(INDEX($B808:$D808,Z$5)="F",AND(Z$6&gt;0,$A808&lt;Z$6),AND(Z$7&gt;0,$A808&gt;Z$7)),0,MAX(0,ROUND((INDEX($E808:$G808,Z$5)-SUMIFS(TF_Timer,TF_Tekniker,Z$4,TF_Dato,$A808))*2,0)/2)))</f>
        <v/>
      </c>
      <c r="AA808">
        <f>IF(OR(AA$4="",$A808&gt;TODAY()),0,IF(OR(INDEX($B808:$D808,AA$5)="F",AND(AA$6&gt;0,$A808&lt;AA$6),AND(AA$7&gt;0,$A808&gt;AA$7)),0,MAX(0,ROUND((INDEX($E808:$G808,AA$5)-SUMIFS(TF_Timer,TF_Tekniker,AA$4,TF_Dato,$A808))*2,0)/2)))</f>
        <v/>
      </c>
      <c r="AB808">
        <f>IF(OR(AB$4="",$A808&gt;TODAY()),0,IF(OR(INDEX($B808:$D808,AB$5)="F",AND(AB$6&gt;0,$A808&lt;AB$6),AND(AB$7&gt;0,$A808&gt;AB$7)),0,MAX(0,ROUND((INDEX($E808:$G808,AB$5)-SUMIFS(TF_Timer,TF_Tekniker,AB$4,TF_Dato,$A808))*2,0)/2)))</f>
        <v/>
      </c>
      <c r="AC808">
        <f>IF(OR(AC$4="",$A808&gt;TODAY()),0,IF(OR(INDEX($B808:$D808,AC$5)="F",AND(AC$6&gt;0,$A808&lt;AC$6),AND(AC$7&gt;0,$A808&gt;AC$7)),0,MAX(0,ROUND((INDEX($E808:$G808,AC$5)-SUMIFS(TF_Timer,TF_Tekniker,AC$4,TF_Dato,$A808))*2,0)/2)))</f>
        <v/>
      </c>
      <c r="AD808">
        <f>IF(OR(AD$4="",$A808&gt;TODAY()),0,IF(OR(INDEX($B808:$D808,AD$5)="F",AND(AD$6&gt;0,$A808&lt;AD$6),AND(AD$7&gt;0,$A808&gt;AD$7)),0,MAX(0,ROUND((INDEX($E808:$G808,AD$5)-SUMIFS(TF_Timer,TF_Tekniker,AD$4,TF_Dato,$A808))*2,0)/2)))</f>
        <v/>
      </c>
      <c r="AE808">
        <f>IF(OR(AE$4="",$A808&gt;TODAY()),0,IF(OR(INDEX($B808:$D808,AE$5)="F",AND(AE$6&gt;0,$A808&lt;AE$6),AND(AE$7&gt;0,$A808&gt;AE$7)),0,MAX(0,ROUND((INDEX($E808:$G808,AE$5)-SUMIFS(TF_Timer,TF_Tekniker,AE$4,TF_Dato,$A808))*2,0)/2)))</f>
        <v/>
      </c>
      <c r="AF808">
        <f>IF(OR(AF$4="",$A808&gt;TODAY()),0,IF(OR(INDEX($B808:$D808,AF$5)="F",AND(AF$6&gt;0,$A808&lt;AF$6),AND(AF$7&gt;0,$A808&gt;AF$7)),0,MAX(0,ROUND((INDEX($E808:$G808,AF$5)-SUMIFS(TF_Timer,TF_Tekniker,AF$4,TF_Dato,$A808))*2,0)/2)))</f>
        <v/>
      </c>
      <c r="AG808">
        <f>IF(OR(AG$4="",$A808&gt;TODAY()),0,IF(OR(INDEX($B808:$D808,AG$5)="F",AND(AG$6&gt;0,$A808&lt;AG$6),AND(AG$7&gt;0,$A808&gt;AG$7)),0,MAX(0,ROUND((INDEX($E808:$G808,AG$5)-SUMIFS(TF_Timer,TF_Tekniker,AG$4,TF_Dato,$A808))*2,0)/2)))</f>
        <v/>
      </c>
      <c r="AH808">
        <f>IF(OR(AH$4="",$A808&gt;TODAY()),0,IF(OR(INDEX($B808:$D808,AH$5)="F",AND(AH$6&gt;0,$A808&lt;AH$6),AND(AH$7&gt;0,$A808&gt;AH$7)),0,MAX(0,ROUND((INDEX($E808:$G808,AH$5)-SUMIFS(TF_Timer,TF_Tekniker,AH$4,TF_Dato,$A808))*2,0)/2)))</f>
        <v/>
      </c>
      <c r="AI808">
        <f>IF(OR(AI$4="",$A808&gt;TODAY()),0,IF(OR(INDEX($B808:$D808,AI$5)="F",AND(AI$6&gt;0,$A808&lt;AI$6),AND(AI$7&gt;0,$A808&gt;AI$7)),0,MAX(0,ROUND((INDEX($E808:$G808,AI$5)-SUMIFS(TF_Timer,TF_Tekniker,AI$4,TF_Dato,$A808))*2,0)/2)))</f>
        <v/>
      </c>
      <c r="AJ808">
        <f>IF(OR(AJ$4="",$A808&gt;TODAY()),0,IF(OR(INDEX($B808:$D808,AJ$5)="F",AND(AJ$6&gt;0,$A808&lt;AJ$6),AND(AJ$7&gt;0,$A808&gt;AJ$7)),0,MAX(0,ROUND((INDEX($E808:$G808,AJ$5)-SUMIFS(TF_Timer,TF_Tekniker,AJ$4,TF_Dato,$A808))*2,0)/2)))</f>
        <v/>
      </c>
      <c r="AK808">
        <f>IF(OR(AK$4="",$A808&gt;TODAY()),0,IF(OR(INDEX($B808:$D808,AK$5)="F",AND(AK$6&gt;0,$A808&lt;AK$6),AND(AK$7&gt;0,$A808&gt;AK$7)),0,MAX(0,ROUND((INDEX($E808:$G808,AK$5)-SUMIFS(TF_Timer,TF_Tekniker,AK$4,TF_Dato,$A808))*2,0)/2)))</f>
        <v/>
      </c>
      <c r="AL808">
        <f>IF(OR(AL$4="",$A808&gt;TODAY()),0,IF(OR(INDEX($B808:$D808,AL$5)="F",AND(AL$6&gt;0,$A808&lt;AL$6),AND(AL$7&gt;0,$A808&gt;AL$7)),0,MAX(0,ROUND((INDEX($E808:$G808,AL$5)-SUMIFS(TF_Timer,TF_Tekniker,AL$4,TF_Dato,$A808))*2,0)/2)))</f>
        <v/>
      </c>
      <c r="AM808">
        <f>IF(OR(AM$4="",$A808&gt;TODAY()),0,IF(OR(INDEX($B808:$D808,AM$5)="F",AND(AM$6&gt;0,$A808&lt;AM$6),AND(AM$7&gt;0,$A808&gt;AM$7)),0,MAX(0,ROUND((INDEX($E808:$G808,AM$5)-SUMIFS(TF_Timer,TF_Tekniker,AM$4,TF_Dato,$A808))*2,0)/2)))</f>
        <v/>
      </c>
      <c r="AN808">
        <f>IF(OR(AN$4="",$A808&gt;TODAY()),0,IF(OR(INDEX($B808:$D808,AN$5)="F",AND(AN$6&gt;0,$A808&lt;AN$6),AND(AN$7&gt;0,$A808&gt;AN$7)),0,MAX(0,ROUND((INDEX($E808:$G808,AN$5)-SUMIFS(TF_Timer,TF_Tekniker,AN$4,TF_Dato,$A808))*2,0)/2)))</f>
        <v/>
      </c>
      <c r="AO808">
        <f>IF(OR(AO$4="",$A808&gt;TODAY()),0,IF(OR(INDEX($B808:$D808,AO$5)="F",AND(AO$6&gt;0,$A808&lt;AO$6),AND(AO$7&gt;0,$A808&gt;AO$7)),0,MAX(0,ROUND((INDEX($E808:$G808,AO$5)-SUMIFS(TF_Timer,TF_Tekniker,AO$4,TF_Dato,$A808))*2,0)/2)))</f>
        <v/>
      </c>
      <c r="AP808">
        <f>IF(OR(AP$4="",$A808&gt;TODAY()),0,IF(OR(INDEX($B808:$D808,AP$5)="F",AND(AP$6&gt;0,$A808&lt;AP$6),AND(AP$7&gt;0,$A808&gt;AP$7)),0,MAX(0,ROUND((INDEX($E808:$G808,AP$5)-SUMIFS(TF_Timer,TF_Tekniker,AP$4,TF_Dato,$A808))*2,0)/2)))</f>
        <v/>
      </c>
      <c r="AQ808">
        <f>IF(OR(AQ$4="",$A808&gt;TODAY()),0,IF(OR(INDEX($B808:$D808,AQ$5)="F",AND(AQ$6&gt;0,$A808&lt;AQ$6),AND(AQ$7&gt;0,$A808&gt;AQ$7)),0,MAX(0,ROUND((INDEX($E808:$G808,AQ$5)-SUMIFS(TF_Timer,TF_Tekniker,AQ$4,TF_Dato,$A808))*2,0)/2)))</f>
        <v/>
      </c>
      <c r="AR808">
        <f>IF(OR(AR$4="",$A808&gt;TODAY()),0,IF(OR(INDEX($B808:$D808,AR$5)="F",AND(AR$6&gt;0,$A808&lt;AR$6),AND(AR$7&gt;0,$A808&gt;AR$7)),0,MAX(0,ROUND((INDEX($E808:$G808,AR$5)-SUMIFS(TF_Timer,TF_Tekniker,AR$4,TF_Dato,$A808))*2,0)/2)))</f>
        <v/>
      </c>
      <c r="AS808">
        <f>IF(OR(AS$4="",$A808&gt;TODAY()),0,IF(OR(INDEX($B808:$D808,AS$5)="F",AND(AS$6&gt;0,$A808&lt;AS$6),AND(AS$7&gt;0,$A808&gt;AS$7)),0,MAX(0,ROUND((INDEX($E808:$G808,AS$5)-SUMIFS(TF_Timer,TF_Tekniker,AS$4,TF_Dato,$A808))*2,0)/2)))</f>
        <v/>
      </c>
      <c r="AT808">
        <f>IF(OR(AT$4="",$A808&gt;TODAY()),0,IF(OR(INDEX($B808:$D808,AT$5)="F",AND(AT$6&gt;0,$A808&lt;AT$6),AND(AT$7&gt;0,$A808&gt;AT$7)),0,MAX(0,ROUND((INDEX($E808:$G808,AT$5)-SUMIFS(TF_Timer,TF_Tekniker,AT$4,TF_Dato,$A808))*2,0)/2)))</f>
        <v/>
      </c>
      <c r="AU808">
        <f>IF(OR(AU$4="",$A808&gt;TODAY()),0,IF(OR(INDEX($B808:$D808,AU$5)="F",AND(AU$6&gt;0,$A808&lt;AU$6),AND(AU$7&gt;0,$A808&gt;AU$7)),0,MAX(0,ROUND((INDEX($E808:$G808,AU$5)-SUMIFS(TF_Timer,TF_Tekniker,AU$4,TF_Dato,$A808))*2,0)/2)))</f>
        <v/>
      </c>
      <c r="AV808">
        <f>IF(OR(AV$4="",$A808&gt;TODAY()),0,IF(OR(INDEX($B808:$D808,AV$5)="F",AND(AV$6&gt;0,$A808&lt;AV$6),AND(AV$7&gt;0,$A808&gt;AV$7)),0,MAX(0,ROUND((INDEX($E808:$G808,AV$5)-SUMIFS(TF_Timer,TF_Tekniker,AV$4,TF_Dato,$A808))*2,0)/2)))</f>
        <v/>
      </c>
      <c r="AW808">
        <f>IF(OR(AW$4="",$A808&gt;TODAY()),0,IF(OR(INDEX($B808:$D808,AW$5)="F",AND(AW$6&gt;0,$A808&lt;AW$6),AND(AW$7&gt;0,$A808&gt;AW$7)),0,MAX(0,ROUND((INDEX($E808:$G808,AW$5)-SUMIFS(TF_Timer,TF_Tekniker,AW$4,TF_Dato,$A808))*2,0)/2)))</f>
        <v/>
      </c>
      <c r="AX808">
        <f>IF(OR(AX$4="",$A808&gt;TODAY()),0,IF(OR(INDEX($B808:$D808,AX$5)="F",AND(AX$6&gt;0,$A808&lt;AX$6),AND(AX$7&gt;0,$A808&gt;AX$7)),0,MAX(0,ROUND((INDEX($E808:$G808,AX$5)-SUMIFS(TF_Timer,TF_Tekniker,AX$4,TF_Dato,$A808))*2,0)/2)))</f>
        <v/>
      </c>
      <c r="AY808">
        <f>IF(OR(AY$4="",$A808&gt;TODAY()),0,IF(OR(INDEX($B808:$D808,AY$5)="F",AND(AY$6&gt;0,$A808&lt;AY$6),AND(AY$7&gt;0,$A808&gt;AY$7)),0,MAX(0,ROUND((INDEX($E808:$G808,AY$5)-SUMIFS(TF_Timer,TF_Tekniker,AY$4,TF_Dato,$A808))*2,0)/2)))</f>
        <v/>
      </c>
      <c r="AZ808">
        <f>IF(OR(AZ$4="",$A808&gt;TODAY()),0,IF(OR(INDEX($B808:$D808,AZ$5)="F",AND(AZ$6&gt;0,$A808&lt;AZ$6),AND(AZ$7&gt;0,$A808&gt;AZ$7)),0,MAX(0,ROUND((INDEX($E808:$G808,AZ$5)-SUMIFS(TF_Timer,TF_Tekniker,AZ$4,TF_Dato,$A808))*2,0)/2)))</f>
        <v/>
      </c>
      <c r="BA808">
        <f>IF(OR(BA$4="",$A808&gt;TODAY()),0,IF(OR(INDEX($B808:$D808,BA$5)="F",AND(BA$6&gt;0,$A808&lt;BA$6),AND(BA$7&gt;0,$A808&gt;BA$7)),0,MAX(0,ROUND((INDEX($E808:$G808,BA$5)-SUMIFS(TF_Timer,TF_Tekniker,BA$4,TF_Dato,$A808))*2,0)/2)))</f>
        <v/>
      </c>
      <c r="BB808">
        <f>IF(OR(BB$4="",$A808&gt;TODAY()),0,IF(OR(INDEX($B808:$D808,BB$5)="F",AND(BB$6&gt;0,$A808&lt;BB$6),AND(BB$7&gt;0,$A808&gt;BB$7)),0,MAX(0,ROUND((INDEX($E808:$G808,BB$5)-SUMIFS(TF_Timer,TF_Tekniker,BB$4,TF_Dato,$A808))*2,0)/2)))</f>
        <v/>
      </c>
      <c r="BC808">
        <f>IF(OR(BC$4="",$A808&gt;TODAY()),0,IF(OR(INDEX($B808:$D808,BC$5)="F",AND(BC$6&gt;0,$A808&lt;BC$6),AND(BC$7&gt;0,$A808&gt;BC$7)),0,MAX(0,ROUND((INDEX($E808:$G808,BC$5)-SUMIFS(TF_Timer,TF_Tekniker,BC$4,TF_Dato,$A808))*2,0)/2)))</f>
        <v/>
      </c>
      <c r="BD808">
        <f>IF(OR(BD$4="",$A808&gt;TODAY()),0,IF(OR(INDEX($B808:$D808,BD$5)="F",AND(BD$6&gt;0,$A808&lt;BD$6),AND(BD$7&gt;0,$A808&gt;BD$7)),0,MAX(0,ROUND((INDEX($E808:$G808,BD$5)-SUMIFS(TF_Timer,TF_Tekniker,BD$4,TF_Dato,$A808))*2,0)/2)))</f>
        <v/>
      </c>
      <c r="BE808">
        <f>IF(OR(BE$4="",$A808&gt;TODAY()),0,IF(OR(INDEX($B808:$D808,BE$5)="F",AND(BE$6&gt;0,$A808&lt;BE$6),AND(BE$7&gt;0,$A808&gt;BE$7)),0,MAX(0,ROUND((INDEX($E808:$G808,BE$5)-SUMIFS(TF_Timer,TF_Tekniker,BE$4,TF_Dato,$A808))*2,0)/2)))</f>
        <v/>
      </c>
      <c r="BF808">
        <f>IF(OR(BF$4="",$A808&gt;TODAY()),0,IF(OR(INDEX($B808:$D808,BF$5)="F",AND(BF$6&gt;0,$A808&lt;BF$6),AND(BF$7&gt;0,$A808&gt;BF$7)),0,MAX(0,ROUND((INDEX($E808:$G808,BF$5)-SUMIFS(TF_Timer,TF_Tekniker,BF$4,TF_Dato,$A808))*2,0)/2)))</f>
        <v/>
      </c>
      <c r="BG808">
        <f>IF(OR(BG$4="",$A808&gt;TODAY()),0,IF(OR(INDEX($B808:$D808,BG$5)="F",AND(BG$6&gt;0,$A808&lt;BG$6),AND(BG$7&gt;0,$A808&gt;BG$7)),0,MAX(0,ROUND((INDEX($E808:$G808,BG$5)-SUMIFS(TF_Timer,TF_Tekniker,BG$4,TF_Dato,$A808))*2,0)/2)))</f>
        <v/>
      </c>
      <c r="BH808">
        <f>IF(OR(BH$4="",$A808&gt;TODAY()),0,IF(OR(INDEX($B808:$D808,BH$5)="F",AND(BH$6&gt;0,$A808&lt;BH$6),AND(BH$7&gt;0,$A808&gt;BH$7)),0,MAX(0,ROUND((INDEX($E808:$G808,BH$5)-SUMIFS(TF_Timer,TF_Tekniker,BH$4,TF_Dato,$A808))*2,0)/2)))</f>
        <v/>
      </c>
      <c r="BI808">
        <f>IF(OR(BI$4="",$A808&gt;TODAY()),0,IF(OR(INDEX($B808:$D808,BI$5)="F",AND(BI$6&gt;0,$A808&lt;BI$6),AND(BI$7&gt;0,$A808&gt;BI$7)),0,MAX(0,ROUND((INDEX($E808:$G808,BI$5)-SUMIFS(TF_Timer,TF_Tekniker,BI$4,TF_Dato,$A808))*2,0)/2)))</f>
        <v/>
      </c>
    </row>
    <row r="809">
      <c r="A809" s="64">
        <f>A808+1</f>
        <v/>
      </c>
      <c r="B809">
        <f>IF(MOD($A809-INDEX(SkiftStart,1),Syklus)&lt;DagK,"K",IF(MOD($A809-INDEX(SkiftStart,1),Syklus)&lt;DagK+DagH,"H",IF(MOD($A809-INDEX(SkiftStart,1),Syklus)&lt;DagK+DagH+DagD,"D","F")))</f>
        <v/>
      </c>
      <c r="C809">
        <f>IF(MOD($A809-INDEX(SkiftStart,2),Syklus)&lt;DagK,"K",IF(MOD($A809-INDEX(SkiftStart,2),Syklus)&lt;DagK+DagH,"H",IF(MOD($A809-INDEX(SkiftStart,2),Syklus)&lt;DagK+DagH+DagD,"D","F")))</f>
        <v/>
      </c>
      <c r="D809">
        <f>IF(MOD($A809-INDEX(SkiftStart,3),Syklus)&lt;DagK,"K",IF(MOD($A809-INDEX(SkiftStart,3),Syklus)&lt;DagK+DagH,"H",IF(MOD($A809-INDEX(SkiftStart,3),Syklus)&lt;DagK+DagH+DagD,"D","F")))</f>
        <v/>
      </c>
      <c r="E809">
        <f>IF(B809="F",0,IF(WEEKDAY($A809,2)=5,INDEX(TimerFr,MATCH(B809,FaseKode,0)),INDEX(TimerMT,MATCH(B809,FaseKode,0))))</f>
        <v/>
      </c>
      <c r="F809">
        <f>IF(C809="F",0,IF(WEEKDAY($A809,2)=5,INDEX(TimerFr,MATCH(C809,FaseKode,0)),INDEX(TimerMT,MATCH(C809,FaseKode,0))))</f>
        <v/>
      </c>
      <c r="G809">
        <f>IF(D809="F",0,IF(WEEKDAY($A809,2)=5,INDEX(TimerFr,MATCH(D809,FaseKode,0)),INDEX(TimerMT,MATCH(D809,FaseKode,0))))</f>
        <v/>
      </c>
      <c r="H809">
        <f>IF(OR(H$4="",$A809&gt;TODAY()),0,IF(OR(INDEX($B809:$D809,H$5)="F",AND(H$6&gt;0,$A809&lt;H$6),AND(H$7&gt;0,$A809&gt;H$7)),0,MAX(0,ROUND((INDEX($E809:$G809,H$5)-SUMIFS(TF_Timer,TF_Tekniker,H$4,TF_Dato,$A809))*2,0)/2)))</f>
        <v/>
      </c>
      <c r="I809">
        <f>IF(OR(I$4="",$A809&gt;TODAY()),0,IF(OR(INDEX($B809:$D809,I$5)="F",AND(I$6&gt;0,$A809&lt;I$6),AND(I$7&gt;0,$A809&gt;I$7)),0,MAX(0,ROUND((INDEX($E809:$G809,I$5)-SUMIFS(TF_Timer,TF_Tekniker,I$4,TF_Dato,$A809))*2,0)/2)))</f>
        <v/>
      </c>
      <c r="J809">
        <f>IF(OR(J$4="",$A809&gt;TODAY()),0,IF(OR(INDEX($B809:$D809,J$5)="F",AND(J$6&gt;0,$A809&lt;J$6),AND(J$7&gt;0,$A809&gt;J$7)),0,MAX(0,ROUND((INDEX($E809:$G809,J$5)-SUMIFS(TF_Timer,TF_Tekniker,J$4,TF_Dato,$A809))*2,0)/2)))</f>
        <v/>
      </c>
      <c r="K809">
        <f>IF(OR(K$4="",$A809&gt;TODAY()),0,IF(OR(INDEX($B809:$D809,K$5)="F",AND(K$6&gt;0,$A809&lt;K$6),AND(K$7&gt;0,$A809&gt;K$7)),0,MAX(0,ROUND((INDEX($E809:$G809,K$5)-SUMIFS(TF_Timer,TF_Tekniker,K$4,TF_Dato,$A809))*2,0)/2)))</f>
        <v/>
      </c>
      <c r="L809">
        <f>IF(OR(L$4="",$A809&gt;TODAY()),0,IF(OR(INDEX($B809:$D809,L$5)="F",AND(L$6&gt;0,$A809&lt;L$6),AND(L$7&gt;0,$A809&gt;L$7)),0,MAX(0,ROUND((INDEX($E809:$G809,L$5)-SUMIFS(TF_Timer,TF_Tekniker,L$4,TF_Dato,$A809))*2,0)/2)))</f>
        <v/>
      </c>
      <c r="M809">
        <f>IF(OR(M$4="",$A809&gt;TODAY()),0,IF(OR(INDEX($B809:$D809,M$5)="F",AND(M$6&gt;0,$A809&lt;M$6),AND(M$7&gt;0,$A809&gt;M$7)),0,MAX(0,ROUND((INDEX($E809:$G809,M$5)-SUMIFS(TF_Timer,TF_Tekniker,M$4,TF_Dato,$A809))*2,0)/2)))</f>
        <v/>
      </c>
      <c r="N809">
        <f>IF(OR(N$4="",$A809&gt;TODAY()),0,IF(OR(INDEX($B809:$D809,N$5)="F",AND(N$6&gt;0,$A809&lt;N$6),AND(N$7&gt;0,$A809&gt;N$7)),0,MAX(0,ROUND((INDEX($E809:$G809,N$5)-SUMIFS(TF_Timer,TF_Tekniker,N$4,TF_Dato,$A809))*2,0)/2)))</f>
        <v/>
      </c>
      <c r="O809">
        <f>IF(OR(O$4="",$A809&gt;TODAY()),0,IF(OR(INDEX($B809:$D809,O$5)="F",AND(O$6&gt;0,$A809&lt;O$6),AND(O$7&gt;0,$A809&gt;O$7)),0,MAX(0,ROUND((INDEX($E809:$G809,O$5)-SUMIFS(TF_Timer,TF_Tekniker,O$4,TF_Dato,$A809))*2,0)/2)))</f>
        <v/>
      </c>
      <c r="P809">
        <f>IF(OR(P$4="",$A809&gt;TODAY()),0,IF(OR(INDEX($B809:$D809,P$5)="F",AND(P$6&gt;0,$A809&lt;P$6),AND(P$7&gt;0,$A809&gt;P$7)),0,MAX(0,ROUND((INDEX($E809:$G809,P$5)-SUMIFS(TF_Timer,TF_Tekniker,P$4,TF_Dato,$A809))*2,0)/2)))</f>
        <v/>
      </c>
      <c r="Q809">
        <f>IF(OR(Q$4="",$A809&gt;TODAY()),0,IF(OR(INDEX($B809:$D809,Q$5)="F",AND(Q$6&gt;0,$A809&lt;Q$6),AND(Q$7&gt;0,$A809&gt;Q$7)),0,MAX(0,ROUND((INDEX($E809:$G809,Q$5)-SUMIFS(TF_Timer,TF_Tekniker,Q$4,TF_Dato,$A809))*2,0)/2)))</f>
        <v/>
      </c>
      <c r="R809">
        <f>IF(OR(R$4="",$A809&gt;TODAY()),0,IF(OR(INDEX($B809:$D809,R$5)="F",AND(R$6&gt;0,$A809&lt;R$6),AND(R$7&gt;0,$A809&gt;R$7)),0,MAX(0,ROUND((INDEX($E809:$G809,R$5)-SUMIFS(TF_Timer,TF_Tekniker,R$4,TF_Dato,$A809))*2,0)/2)))</f>
        <v/>
      </c>
      <c r="S809">
        <f>IF(OR(S$4="",$A809&gt;TODAY()),0,IF(OR(INDEX($B809:$D809,S$5)="F",AND(S$6&gt;0,$A809&lt;S$6),AND(S$7&gt;0,$A809&gt;S$7)),0,MAX(0,ROUND((INDEX($E809:$G809,S$5)-SUMIFS(TF_Timer,TF_Tekniker,S$4,TF_Dato,$A809))*2,0)/2)))</f>
        <v/>
      </c>
      <c r="T809">
        <f>IF(OR(T$4="",$A809&gt;TODAY()),0,IF(OR(INDEX($B809:$D809,T$5)="F",AND(T$6&gt;0,$A809&lt;T$6),AND(T$7&gt;0,$A809&gt;T$7)),0,MAX(0,ROUND((INDEX($E809:$G809,T$5)-SUMIFS(TF_Timer,TF_Tekniker,T$4,TF_Dato,$A809))*2,0)/2)))</f>
        <v/>
      </c>
      <c r="U809">
        <f>IF(OR(U$4="",$A809&gt;TODAY()),0,IF(OR(INDEX($B809:$D809,U$5)="F",AND(U$6&gt;0,$A809&lt;U$6),AND(U$7&gt;0,$A809&gt;U$7)),0,MAX(0,ROUND((INDEX($E809:$G809,U$5)-SUMIFS(TF_Timer,TF_Tekniker,U$4,TF_Dato,$A809))*2,0)/2)))</f>
        <v/>
      </c>
      <c r="V809">
        <f>IF(OR(V$4="",$A809&gt;TODAY()),0,IF(OR(INDEX($B809:$D809,V$5)="F",AND(V$6&gt;0,$A809&lt;V$6),AND(V$7&gt;0,$A809&gt;V$7)),0,MAX(0,ROUND((INDEX($E809:$G809,V$5)-SUMIFS(TF_Timer,TF_Tekniker,V$4,TF_Dato,$A809))*2,0)/2)))</f>
        <v/>
      </c>
      <c r="W809">
        <f>IF(OR(W$4="",$A809&gt;TODAY()),0,IF(OR(INDEX($B809:$D809,W$5)="F",AND(W$6&gt;0,$A809&lt;W$6),AND(W$7&gt;0,$A809&gt;W$7)),0,MAX(0,ROUND((INDEX($E809:$G809,W$5)-SUMIFS(TF_Timer,TF_Tekniker,W$4,TF_Dato,$A809))*2,0)/2)))</f>
        <v/>
      </c>
      <c r="X809">
        <f>IF(OR(X$4="",$A809&gt;TODAY()),0,IF(OR(INDEX($B809:$D809,X$5)="F",AND(X$6&gt;0,$A809&lt;X$6),AND(X$7&gt;0,$A809&gt;X$7)),0,MAX(0,ROUND((INDEX($E809:$G809,X$5)-SUMIFS(TF_Timer,TF_Tekniker,X$4,TF_Dato,$A809))*2,0)/2)))</f>
        <v/>
      </c>
      <c r="Y809">
        <f>IF(OR(Y$4="",$A809&gt;TODAY()),0,IF(OR(INDEX($B809:$D809,Y$5)="F",AND(Y$6&gt;0,$A809&lt;Y$6),AND(Y$7&gt;0,$A809&gt;Y$7)),0,MAX(0,ROUND((INDEX($E809:$G809,Y$5)-SUMIFS(TF_Timer,TF_Tekniker,Y$4,TF_Dato,$A809))*2,0)/2)))</f>
        <v/>
      </c>
      <c r="Z809">
        <f>IF(OR(Z$4="",$A809&gt;TODAY()),0,IF(OR(INDEX($B809:$D809,Z$5)="F",AND(Z$6&gt;0,$A809&lt;Z$6),AND(Z$7&gt;0,$A809&gt;Z$7)),0,MAX(0,ROUND((INDEX($E809:$G809,Z$5)-SUMIFS(TF_Timer,TF_Tekniker,Z$4,TF_Dato,$A809))*2,0)/2)))</f>
        <v/>
      </c>
      <c r="AA809">
        <f>IF(OR(AA$4="",$A809&gt;TODAY()),0,IF(OR(INDEX($B809:$D809,AA$5)="F",AND(AA$6&gt;0,$A809&lt;AA$6),AND(AA$7&gt;0,$A809&gt;AA$7)),0,MAX(0,ROUND((INDEX($E809:$G809,AA$5)-SUMIFS(TF_Timer,TF_Tekniker,AA$4,TF_Dato,$A809))*2,0)/2)))</f>
        <v/>
      </c>
      <c r="AB809">
        <f>IF(OR(AB$4="",$A809&gt;TODAY()),0,IF(OR(INDEX($B809:$D809,AB$5)="F",AND(AB$6&gt;0,$A809&lt;AB$6),AND(AB$7&gt;0,$A809&gt;AB$7)),0,MAX(0,ROUND((INDEX($E809:$G809,AB$5)-SUMIFS(TF_Timer,TF_Tekniker,AB$4,TF_Dato,$A809))*2,0)/2)))</f>
        <v/>
      </c>
      <c r="AC809">
        <f>IF(OR(AC$4="",$A809&gt;TODAY()),0,IF(OR(INDEX($B809:$D809,AC$5)="F",AND(AC$6&gt;0,$A809&lt;AC$6),AND(AC$7&gt;0,$A809&gt;AC$7)),0,MAX(0,ROUND((INDEX($E809:$G809,AC$5)-SUMIFS(TF_Timer,TF_Tekniker,AC$4,TF_Dato,$A809))*2,0)/2)))</f>
        <v/>
      </c>
      <c r="AD809">
        <f>IF(OR(AD$4="",$A809&gt;TODAY()),0,IF(OR(INDEX($B809:$D809,AD$5)="F",AND(AD$6&gt;0,$A809&lt;AD$6),AND(AD$7&gt;0,$A809&gt;AD$7)),0,MAX(0,ROUND((INDEX($E809:$G809,AD$5)-SUMIFS(TF_Timer,TF_Tekniker,AD$4,TF_Dato,$A809))*2,0)/2)))</f>
        <v/>
      </c>
      <c r="AE809">
        <f>IF(OR(AE$4="",$A809&gt;TODAY()),0,IF(OR(INDEX($B809:$D809,AE$5)="F",AND(AE$6&gt;0,$A809&lt;AE$6),AND(AE$7&gt;0,$A809&gt;AE$7)),0,MAX(0,ROUND((INDEX($E809:$G809,AE$5)-SUMIFS(TF_Timer,TF_Tekniker,AE$4,TF_Dato,$A809))*2,0)/2)))</f>
        <v/>
      </c>
      <c r="AF809">
        <f>IF(OR(AF$4="",$A809&gt;TODAY()),0,IF(OR(INDEX($B809:$D809,AF$5)="F",AND(AF$6&gt;0,$A809&lt;AF$6),AND(AF$7&gt;0,$A809&gt;AF$7)),0,MAX(0,ROUND((INDEX($E809:$G809,AF$5)-SUMIFS(TF_Timer,TF_Tekniker,AF$4,TF_Dato,$A809))*2,0)/2)))</f>
        <v/>
      </c>
      <c r="AG809">
        <f>IF(OR(AG$4="",$A809&gt;TODAY()),0,IF(OR(INDEX($B809:$D809,AG$5)="F",AND(AG$6&gt;0,$A809&lt;AG$6),AND(AG$7&gt;0,$A809&gt;AG$7)),0,MAX(0,ROUND((INDEX($E809:$G809,AG$5)-SUMIFS(TF_Timer,TF_Tekniker,AG$4,TF_Dato,$A809))*2,0)/2)))</f>
        <v/>
      </c>
      <c r="AH809">
        <f>IF(OR(AH$4="",$A809&gt;TODAY()),0,IF(OR(INDEX($B809:$D809,AH$5)="F",AND(AH$6&gt;0,$A809&lt;AH$6),AND(AH$7&gt;0,$A809&gt;AH$7)),0,MAX(0,ROUND((INDEX($E809:$G809,AH$5)-SUMIFS(TF_Timer,TF_Tekniker,AH$4,TF_Dato,$A809))*2,0)/2)))</f>
        <v/>
      </c>
      <c r="AI809">
        <f>IF(OR(AI$4="",$A809&gt;TODAY()),0,IF(OR(INDEX($B809:$D809,AI$5)="F",AND(AI$6&gt;0,$A809&lt;AI$6),AND(AI$7&gt;0,$A809&gt;AI$7)),0,MAX(0,ROUND((INDEX($E809:$G809,AI$5)-SUMIFS(TF_Timer,TF_Tekniker,AI$4,TF_Dato,$A809))*2,0)/2)))</f>
        <v/>
      </c>
      <c r="AJ809">
        <f>IF(OR(AJ$4="",$A809&gt;TODAY()),0,IF(OR(INDEX($B809:$D809,AJ$5)="F",AND(AJ$6&gt;0,$A809&lt;AJ$6),AND(AJ$7&gt;0,$A809&gt;AJ$7)),0,MAX(0,ROUND((INDEX($E809:$G809,AJ$5)-SUMIFS(TF_Timer,TF_Tekniker,AJ$4,TF_Dato,$A809))*2,0)/2)))</f>
        <v/>
      </c>
      <c r="AK809">
        <f>IF(OR(AK$4="",$A809&gt;TODAY()),0,IF(OR(INDEX($B809:$D809,AK$5)="F",AND(AK$6&gt;0,$A809&lt;AK$6),AND(AK$7&gt;0,$A809&gt;AK$7)),0,MAX(0,ROUND((INDEX($E809:$G809,AK$5)-SUMIFS(TF_Timer,TF_Tekniker,AK$4,TF_Dato,$A809))*2,0)/2)))</f>
        <v/>
      </c>
      <c r="AL809">
        <f>IF(OR(AL$4="",$A809&gt;TODAY()),0,IF(OR(INDEX($B809:$D809,AL$5)="F",AND(AL$6&gt;0,$A809&lt;AL$6),AND(AL$7&gt;0,$A809&gt;AL$7)),0,MAX(0,ROUND((INDEX($E809:$G809,AL$5)-SUMIFS(TF_Timer,TF_Tekniker,AL$4,TF_Dato,$A809))*2,0)/2)))</f>
        <v/>
      </c>
      <c r="AM809">
        <f>IF(OR(AM$4="",$A809&gt;TODAY()),0,IF(OR(INDEX($B809:$D809,AM$5)="F",AND(AM$6&gt;0,$A809&lt;AM$6),AND(AM$7&gt;0,$A809&gt;AM$7)),0,MAX(0,ROUND((INDEX($E809:$G809,AM$5)-SUMIFS(TF_Timer,TF_Tekniker,AM$4,TF_Dato,$A809))*2,0)/2)))</f>
        <v/>
      </c>
      <c r="AN809">
        <f>IF(OR(AN$4="",$A809&gt;TODAY()),0,IF(OR(INDEX($B809:$D809,AN$5)="F",AND(AN$6&gt;0,$A809&lt;AN$6),AND(AN$7&gt;0,$A809&gt;AN$7)),0,MAX(0,ROUND((INDEX($E809:$G809,AN$5)-SUMIFS(TF_Timer,TF_Tekniker,AN$4,TF_Dato,$A809))*2,0)/2)))</f>
        <v/>
      </c>
      <c r="AO809">
        <f>IF(OR(AO$4="",$A809&gt;TODAY()),0,IF(OR(INDEX($B809:$D809,AO$5)="F",AND(AO$6&gt;0,$A809&lt;AO$6),AND(AO$7&gt;0,$A809&gt;AO$7)),0,MAX(0,ROUND((INDEX($E809:$G809,AO$5)-SUMIFS(TF_Timer,TF_Tekniker,AO$4,TF_Dato,$A809))*2,0)/2)))</f>
        <v/>
      </c>
      <c r="AP809">
        <f>IF(OR(AP$4="",$A809&gt;TODAY()),0,IF(OR(INDEX($B809:$D809,AP$5)="F",AND(AP$6&gt;0,$A809&lt;AP$6),AND(AP$7&gt;0,$A809&gt;AP$7)),0,MAX(0,ROUND((INDEX($E809:$G809,AP$5)-SUMIFS(TF_Timer,TF_Tekniker,AP$4,TF_Dato,$A809))*2,0)/2)))</f>
        <v/>
      </c>
      <c r="AQ809">
        <f>IF(OR(AQ$4="",$A809&gt;TODAY()),0,IF(OR(INDEX($B809:$D809,AQ$5)="F",AND(AQ$6&gt;0,$A809&lt;AQ$6),AND(AQ$7&gt;0,$A809&gt;AQ$7)),0,MAX(0,ROUND((INDEX($E809:$G809,AQ$5)-SUMIFS(TF_Timer,TF_Tekniker,AQ$4,TF_Dato,$A809))*2,0)/2)))</f>
        <v/>
      </c>
      <c r="AR809">
        <f>IF(OR(AR$4="",$A809&gt;TODAY()),0,IF(OR(INDEX($B809:$D809,AR$5)="F",AND(AR$6&gt;0,$A809&lt;AR$6),AND(AR$7&gt;0,$A809&gt;AR$7)),0,MAX(0,ROUND((INDEX($E809:$G809,AR$5)-SUMIFS(TF_Timer,TF_Tekniker,AR$4,TF_Dato,$A809))*2,0)/2)))</f>
        <v/>
      </c>
      <c r="AS809">
        <f>IF(OR(AS$4="",$A809&gt;TODAY()),0,IF(OR(INDEX($B809:$D809,AS$5)="F",AND(AS$6&gt;0,$A809&lt;AS$6),AND(AS$7&gt;0,$A809&gt;AS$7)),0,MAX(0,ROUND((INDEX($E809:$G809,AS$5)-SUMIFS(TF_Timer,TF_Tekniker,AS$4,TF_Dato,$A809))*2,0)/2)))</f>
        <v/>
      </c>
      <c r="AT809">
        <f>IF(OR(AT$4="",$A809&gt;TODAY()),0,IF(OR(INDEX($B809:$D809,AT$5)="F",AND(AT$6&gt;0,$A809&lt;AT$6),AND(AT$7&gt;0,$A809&gt;AT$7)),0,MAX(0,ROUND((INDEX($E809:$G809,AT$5)-SUMIFS(TF_Timer,TF_Tekniker,AT$4,TF_Dato,$A809))*2,0)/2)))</f>
        <v/>
      </c>
      <c r="AU809">
        <f>IF(OR(AU$4="",$A809&gt;TODAY()),0,IF(OR(INDEX($B809:$D809,AU$5)="F",AND(AU$6&gt;0,$A809&lt;AU$6),AND(AU$7&gt;0,$A809&gt;AU$7)),0,MAX(0,ROUND((INDEX($E809:$G809,AU$5)-SUMIFS(TF_Timer,TF_Tekniker,AU$4,TF_Dato,$A809))*2,0)/2)))</f>
        <v/>
      </c>
      <c r="AV809">
        <f>IF(OR(AV$4="",$A809&gt;TODAY()),0,IF(OR(INDEX($B809:$D809,AV$5)="F",AND(AV$6&gt;0,$A809&lt;AV$6),AND(AV$7&gt;0,$A809&gt;AV$7)),0,MAX(0,ROUND((INDEX($E809:$G809,AV$5)-SUMIFS(TF_Timer,TF_Tekniker,AV$4,TF_Dato,$A809))*2,0)/2)))</f>
        <v/>
      </c>
      <c r="AW809">
        <f>IF(OR(AW$4="",$A809&gt;TODAY()),0,IF(OR(INDEX($B809:$D809,AW$5)="F",AND(AW$6&gt;0,$A809&lt;AW$6),AND(AW$7&gt;0,$A809&gt;AW$7)),0,MAX(0,ROUND((INDEX($E809:$G809,AW$5)-SUMIFS(TF_Timer,TF_Tekniker,AW$4,TF_Dato,$A809))*2,0)/2)))</f>
        <v/>
      </c>
      <c r="AX809">
        <f>IF(OR(AX$4="",$A809&gt;TODAY()),0,IF(OR(INDEX($B809:$D809,AX$5)="F",AND(AX$6&gt;0,$A809&lt;AX$6),AND(AX$7&gt;0,$A809&gt;AX$7)),0,MAX(0,ROUND((INDEX($E809:$G809,AX$5)-SUMIFS(TF_Timer,TF_Tekniker,AX$4,TF_Dato,$A809))*2,0)/2)))</f>
        <v/>
      </c>
      <c r="AY809">
        <f>IF(OR(AY$4="",$A809&gt;TODAY()),0,IF(OR(INDEX($B809:$D809,AY$5)="F",AND(AY$6&gt;0,$A809&lt;AY$6),AND(AY$7&gt;0,$A809&gt;AY$7)),0,MAX(0,ROUND((INDEX($E809:$G809,AY$5)-SUMIFS(TF_Timer,TF_Tekniker,AY$4,TF_Dato,$A809))*2,0)/2)))</f>
        <v/>
      </c>
      <c r="AZ809">
        <f>IF(OR(AZ$4="",$A809&gt;TODAY()),0,IF(OR(INDEX($B809:$D809,AZ$5)="F",AND(AZ$6&gt;0,$A809&lt;AZ$6),AND(AZ$7&gt;0,$A809&gt;AZ$7)),0,MAX(0,ROUND((INDEX($E809:$G809,AZ$5)-SUMIFS(TF_Timer,TF_Tekniker,AZ$4,TF_Dato,$A809))*2,0)/2)))</f>
        <v/>
      </c>
      <c r="BA809">
        <f>IF(OR(BA$4="",$A809&gt;TODAY()),0,IF(OR(INDEX($B809:$D809,BA$5)="F",AND(BA$6&gt;0,$A809&lt;BA$6),AND(BA$7&gt;0,$A809&gt;BA$7)),0,MAX(0,ROUND((INDEX($E809:$G809,BA$5)-SUMIFS(TF_Timer,TF_Tekniker,BA$4,TF_Dato,$A809))*2,0)/2)))</f>
        <v/>
      </c>
      <c r="BB809">
        <f>IF(OR(BB$4="",$A809&gt;TODAY()),0,IF(OR(INDEX($B809:$D809,BB$5)="F",AND(BB$6&gt;0,$A809&lt;BB$6),AND(BB$7&gt;0,$A809&gt;BB$7)),0,MAX(0,ROUND((INDEX($E809:$G809,BB$5)-SUMIFS(TF_Timer,TF_Tekniker,BB$4,TF_Dato,$A809))*2,0)/2)))</f>
        <v/>
      </c>
      <c r="BC809">
        <f>IF(OR(BC$4="",$A809&gt;TODAY()),0,IF(OR(INDEX($B809:$D809,BC$5)="F",AND(BC$6&gt;0,$A809&lt;BC$6),AND(BC$7&gt;0,$A809&gt;BC$7)),0,MAX(0,ROUND((INDEX($E809:$G809,BC$5)-SUMIFS(TF_Timer,TF_Tekniker,BC$4,TF_Dato,$A809))*2,0)/2)))</f>
        <v/>
      </c>
      <c r="BD809">
        <f>IF(OR(BD$4="",$A809&gt;TODAY()),0,IF(OR(INDEX($B809:$D809,BD$5)="F",AND(BD$6&gt;0,$A809&lt;BD$6),AND(BD$7&gt;0,$A809&gt;BD$7)),0,MAX(0,ROUND((INDEX($E809:$G809,BD$5)-SUMIFS(TF_Timer,TF_Tekniker,BD$4,TF_Dato,$A809))*2,0)/2)))</f>
        <v/>
      </c>
      <c r="BE809">
        <f>IF(OR(BE$4="",$A809&gt;TODAY()),0,IF(OR(INDEX($B809:$D809,BE$5)="F",AND(BE$6&gt;0,$A809&lt;BE$6),AND(BE$7&gt;0,$A809&gt;BE$7)),0,MAX(0,ROUND((INDEX($E809:$G809,BE$5)-SUMIFS(TF_Timer,TF_Tekniker,BE$4,TF_Dato,$A809))*2,0)/2)))</f>
        <v/>
      </c>
      <c r="BF809">
        <f>IF(OR(BF$4="",$A809&gt;TODAY()),0,IF(OR(INDEX($B809:$D809,BF$5)="F",AND(BF$6&gt;0,$A809&lt;BF$6),AND(BF$7&gt;0,$A809&gt;BF$7)),0,MAX(0,ROUND((INDEX($E809:$G809,BF$5)-SUMIFS(TF_Timer,TF_Tekniker,BF$4,TF_Dato,$A809))*2,0)/2)))</f>
        <v/>
      </c>
      <c r="BG809">
        <f>IF(OR(BG$4="",$A809&gt;TODAY()),0,IF(OR(INDEX($B809:$D809,BG$5)="F",AND(BG$6&gt;0,$A809&lt;BG$6),AND(BG$7&gt;0,$A809&gt;BG$7)),0,MAX(0,ROUND((INDEX($E809:$G809,BG$5)-SUMIFS(TF_Timer,TF_Tekniker,BG$4,TF_Dato,$A809))*2,0)/2)))</f>
        <v/>
      </c>
      <c r="BH809">
        <f>IF(OR(BH$4="",$A809&gt;TODAY()),0,IF(OR(INDEX($B809:$D809,BH$5)="F",AND(BH$6&gt;0,$A809&lt;BH$6),AND(BH$7&gt;0,$A809&gt;BH$7)),0,MAX(0,ROUND((INDEX($E809:$G809,BH$5)-SUMIFS(TF_Timer,TF_Tekniker,BH$4,TF_Dato,$A809))*2,0)/2)))</f>
        <v/>
      </c>
      <c r="BI809">
        <f>IF(OR(BI$4="",$A809&gt;TODAY()),0,IF(OR(INDEX($B809:$D809,BI$5)="F",AND(BI$6&gt;0,$A809&lt;BI$6),AND(BI$7&gt;0,$A809&gt;BI$7)),0,MAX(0,ROUND((INDEX($E809:$G809,BI$5)-SUMIFS(TF_Timer,TF_Tekniker,BI$4,TF_Dato,$A809))*2,0)/2)))</f>
        <v/>
      </c>
    </row>
    <row r="810">
      <c r="A810" s="64">
        <f>A809+1</f>
        <v/>
      </c>
      <c r="B810">
        <f>IF(MOD($A810-INDEX(SkiftStart,1),Syklus)&lt;DagK,"K",IF(MOD($A810-INDEX(SkiftStart,1),Syklus)&lt;DagK+DagH,"H",IF(MOD($A810-INDEX(SkiftStart,1),Syklus)&lt;DagK+DagH+DagD,"D","F")))</f>
        <v/>
      </c>
      <c r="C810">
        <f>IF(MOD($A810-INDEX(SkiftStart,2),Syklus)&lt;DagK,"K",IF(MOD($A810-INDEX(SkiftStart,2),Syklus)&lt;DagK+DagH,"H",IF(MOD($A810-INDEX(SkiftStart,2),Syklus)&lt;DagK+DagH+DagD,"D","F")))</f>
        <v/>
      </c>
      <c r="D810">
        <f>IF(MOD($A810-INDEX(SkiftStart,3),Syklus)&lt;DagK,"K",IF(MOD($A810-INDEX(SkiftStart,3),Syklus)&lt;DagK+DagH,"H",IF(MOD($A810-INDEX(SkiftStart,3),Syklus)&lt;DagK+DagH+DagD,"D","F")))</f>
        <v/>
      </c>
      <c r="E810">
        <f>IF(B810="F",0,IF(WEEKDAY($A810,2)=5,INDEX(TimerFr,MATCH(B810,FaseKode,0)),INDEX(TimerMT,MATCH(B810,FaseKode,0))))</f>
        <v/>
      </c>
      <c r="F810">
        <f>IF(C810="F",0,IF(WEEKDAY($A810,2)=5,INDEX(TimerFr,MATCH(C810,FaseKode,0)),INDEX(TimerMT,MATCH(C810,FaseKode,0))))</f>
        <v/>
      </c>
      <c r="G810">
        <f>IF(D810="F",0,IF(WEEKDAY($A810,2)=5,INDEX(TimerFr,MATCH(D810,FaseKode,0)),INDEX(TimerMT,MATCH(D810,FaseKode,0))))</f>
        <v/>
      </c>
      <c r="H810">
        <f>IF(OR(H$4="",$A810&gt;TODAY()),0,IF(OR(INDEX($B810:$D810,H$5)="F",AND(H$6&gt;0,$A810&lt;H$6),AND(H$7&gt;0,$A810&gt;H$7)),0,MAX(0,ROUND((INDEX($E810:$G810,H$5)-SUMIFS(TF_Timer,TF_Tekniker,H$4,TF_Dato,$A810))*2,0)/2)))</f>
        <v/>
      </c>
      <c r="I810">
        <f>IF(OR(I$4="",$A810&gt;TODAY()),0,IF(OR(INDEX($B810:$D810,I$5)="F",AND(I$6&gt;0,$A810&lt;I$6),AND(I$7&gt;0,$A810&gt;I$7)),0,MAX(0,ROUND((INDEX($E810:$G810,I$5)-SUMIFS(TF_Timer,TF_Tekniker,I$4,TF_Dato,$A810))*2,0)/2)))</f>
        <v/>
      </c>
      <c r="J810">
        <f>IF(OR(J$4="",$A810&gt;TODAY()),0,IF(OR(INDEX($B810:$D810,J$5)="F",AND(J$6&gt;0,$A810&lt;J$6),AND(J$7&gt;0,$A810&gt;J$7)),0,MAX(0,ROUND((INDEX($E810:$G810,J$5)-SUMIFS(TF_Timer,TF_Tekniker,J$4,TF_Dato,$A810))*2,0)/2)))</f>
        <v/>
      </c>
      <c r="K810">
        <f>IF(OR(K$4="",$A810&gt;TODAY()),0,IF(OR(INDEX($B810:$D810,K$5)="F",AND(K$6&gt;0,$A810&lt;K$6),AND(K$7&gt;0,$A810&gt;K$7)),0,MAX(0,ROUND((INDEX($E810:$G810,K$5)-SUMIFS(TF_Timer,TF_Tekniker,K$4,TF_Dato,$A810))*2,0)/2)))</f>
        <v/>
      </c>
      <c r="L810">
        <f>IF(OR(L$4="",$A810&gt;TODAY()),0,IF(OR(INDEX($B810:$D810,L$5)="F",AND(L$6&gt;0,$A810&lt;L$6),AND(L$7&gt;0,$A810&gt;L$7)),0,MAX(0,ROUND((INDEX($E810:$G810,L$5)-SUMIFS(TF_Timer,TF_Tekniker,L$4,TF_Dato,$A810))*2,0)/2)))</f>
        <v/>
      </c>
      <c r="M810">
        <f>IF(OR(M$4="",$A810&gt;TODAY()),0,IF(OR(INDEX($B810:$D810,M$5)="F",AND(M$6&gt;0,$A810&lt;M$6),AND(M$7&gt;0,$A810&gt;M$7)),0,MAX(0,ROUND((INDEX($E810:$G810,M$5)-SUMIFS(TF_Timer,TF_Tekniker,M$4,TF_Dato,$A810))*2,0)/2)))</f>
        <v/>
      </c>
      <c r="N810">
        <f>IF(OR(N$4="",$A810&gt;TODAY()),0,IF(OR(INDEX($B810:$D810,N$5)="F",AND(N$6&gt;0,$A810&lt;N$6),AND(N$7&gt;0,$A810&gt;N$7)),0,MAX(0,ROUND((INDEX($E810:$G810,N$5)-SUMIFS(TF_Timer,TF_Tekniker,N$4,TF_Dato,$A810))*2,0)/2)))</f>
        <v/>
      </c>
      <c r="O810">
        <f>IF(OR(O$4="",$A810&gt;TODAY()),0,IF(OR(INDEX($B810:$D810,O$5)="F",AND(O$6&gt;0,$A810&lt;O$6),AND(O$7&gt;0,$A810&gt;O$7)),0,MAX(0,ROUND((INDEX($E810:$G810,O$5)-SUMIFS(TF_Timer,TF_Tekniker,O$4,TF_Dato,$A810))*2,0)/2)))</f>
        <v/>
      </c>
      <c r="P810">
        <f>IF(OR(P$4="",$A810&gt;TODAY()),0,IF(OR(INDEX($B810:$D810,P$5)="F",AND(P$6&gt;0,$A810&lt;P$6),AND(P$7&gt;0,$A810&gt;P$7)),0,MAX(0,ROUND((INDEX($E810:$G810,P$5)-SUMIFS(TF_Timer,TF_Tekniker,P$4,TF_Dato,$A810))*2,0)/2)))</f>
        <v/>
      </c>
      <c r="Q810">
        <f>IF(OR(Q$4="",$A810&gt;TODAY()),0,IF(OR(INDEX($B810:$D810,Q$5)="F",AND(Q$6&gt;0,$A810&lt;Q$6),AND(Q$7&gt;0,$A810&gt;Q$7)),0,MAX(0,ROUND((INDEX($E810:$G810,Q$5)-SUMIFS(TF_Timer,TF_Tekniker,Q$4,TF_Dato,$A810))*2,0)/2)))</f>
        <v/>
      </c>
      <c r="R810">
        <f>IF(OR(R$4="",$A810&gt;TODAY()),0,IF(OR(INDEX($B810:$D810,R$5)="F",AND(R$6&gt;0,$A810&lt;R$6),AND(R$7&gt;0,$A810&gt;R$7)),0,MAX(0,ROUND((INDEX($E810:$G810,R$5)-SUMIFS(TF_Timer,TF_Tekniker,R$4,TF_Dato,$A810))*2,0)/2)))</f>
        <v/>
      </c>
      <c r="S810">
        <f>IF(OR(S$4="",$A810&gt;TODAY()),0,IF(OR(INDEX($B810:$D810,S$5)="F",AND(S$6&gt;0,$A810&lt;S$6),AND(S$7&gt;0,$A810&gt;S$7)),0,MAX(0,ROUND((INDEX($E810:$G810,S$5)-SUMIFS(TF_Timer,TF_Tekniker,S$4,TF_Dato,$A810))*2,0)/2)))</f>
        <v/>
      </c>
      <c r="T810">
        <f>IF(OR(T$4="",$A810&gt;TODAY()),0,IF(OR(INDEX($B810:$D810,T$5)="F",AND(T$6&gt;0,$A810&lt;T$6),AND(T$7&gt;0,$A810&gt;T$7)),0,MAX(0,ROUND((INDEX($E810:$G810,T$5)-SUMIFS(TF_Timer,TF_Tekniker,T$4,TF_Dato,$A810))*2,0)/2)))</f>
        <v/>
      </c>
      <c r="U810">
        <f>IF(OR(U$4="",$A810&gt;TODAY()),0,IF(OR(INDEX($B810:$D810,U$5)="F",AND(U$6&gt;0,$A810&lt;U$6),AND(U$7&gt;0,$A810&gt;U$7)),0,MAX(0,ROUND((INDEX($E810:$G810,U$5)-SUMIFS(TF_Timer,TF_Tekniker,U$4,TF_Dato,$A810))*2,0)/2)))</f>
        <v/>
      </c>
      <c r="V810">
        <f>IF(OR(V$4="",$A810&gt;TODAY()),0,IF(OR(INDEX($B810:$D810,V$5)="F",AND(V$6&gt;0,$A810&lt;V$6),AND(V$7&gt;0,$A810&gt;V$7)),0,MAX(0,ROUND((INDEX($E810:$G810,V$5)-SUMIFS(TF_Timer,TF_Tekniker,V$4,TF_Dato,$A810))*2,0)/2)))</f>
        <v/>
      </c>
      <c r="W810">
        <f>IF(OR(W$4="",$A810&gt;TODAY()),0,IF(OR(INDEX($B810:$D810,W$5)="F",AND(W$6&gt;0,$A810&lt;W$6),AND(W$7&gt;0,$A810&gt;W$7)),0,MAX(0,ROUND((INDEX($E810:$G810,W$5)-SUMIFS(TF_Timer,TF_Tekniker,W$4,TF_Dato,$A810))*2,0)/2)))</f>
        <v/>
      </c>
      <c r="X810">
        <f>IF(OR(X$4="",$A810&gt;TODAY()),0,IF(OR(INDEX($B810:$D810,X$5)="F",AND(X$6&gt;0,$A810&lt;X$6),AND(X$7&gt;0,$A810&gt;X$7)),0,MAX(0,ROUND((INDEX($E810:$G810,X$5)-SUMIFS(TF_Timer,TF_Tekniker,X$4,TF_Dato,$A810))*2,0)/2)))</f>
        <v/>
      </c>
      <c r="Y810">
        <f>IF(OR(Y$4="",$A810&gt;TODAY()),0,IF(OR(INDEX($B810:$D810,Y$5)="F",AND(Y$6&gt;0,$A810&lt;Y$6),AND(Y$7&gt;0,$A810&gt;Y$7)),0,MAX(0,ROUND((INDEX($E810:$G810,Y$5)-SUMIFS(TF_Timer,TF_Tekniker,Y$4,TF_Dato,$A810))*2,0)/2)))</f>
        <v/>
      </c>
      <c r="Z810">
        <f>IF(OR(Z$4="",$A810&gt;TODAY()),0,IF(OR(INDEX($B810:$D810,Z$5)="F",AND(Z$6&gt;0,$A810&lt;Z$6),AND(Z$7&gt;0,$A810&gt;Z$7)),0,MAX(0,ROUND((INDEX($E810:$G810,Z$5)-SUMIFS(TF_Timer,TF_Tekniker,Z$4,TF_Dato,$A810))*2,0)/2)))</f>
        <v/>
      </c>
      <c r="AA810">
        <f>IF(OR(AA$4="",$A810&gt;TODAY()),0,IF(OR(INDEX($B810:$D810,AA$5)="F",AND(AA$6&gt;0,$A810&lt;AA$6),AND(AA$7&gt;0,$A810&gt;AA$7)),0,MAX(0,ROUND((INDEX($E810:$G810,AA$5)-SUMIFS(TF_Timer,TF_Tekniker,AA$4,TF_Dato,$A810))*2,0)/2)))</f>
        <v/>
      </c>
      <c r="AB810">
        <f>IF(OR(AB$4="",$A810&gt;TODAY()),0,IF(OR(INDEX($B810:$D810,AB$5)="F",AND(AB$6&gt;0,$A810&lt;AB$6),AND(AB$7&gt;0,$A810&gt;AB$7)),0,MAX(0,ROUND((INDEX($E810:$G810,AB$5)-SUMIFS(TF_Timer,TF_Tekniker,AB$4,TF_Dato,$A810))*2,0)/2)))</f>
        <v/>
      </c>
      <c r="AC810">
        <f>IF(OR(AC$4="",$A810&gt;TODAY()),0,IF(OR(INDEX($B810:$D810,AC$5)="F",AND(AC$6&gt;0,$A810&lt;AC$6),AND(AC$7&gt;0,$A810&gt;AC$7)),0,MAX(0,ROUND((INDEX($E810:$G810,AC$5)-SUMIFS(TF_Timer,TF_Tekniker,AC$4,TF_Dato,$A810))*2,0)/2)))</f>
        <v/>
      </c>
      <c r="AD810">
        <f>IF(OR(AD$4="",$A810&gt;TODAY()),0,IF(OR(INDEX($B810:$D810,AD$5)="F",AND(AD$6&gt;0,$A810&lt;AD$6),AND(AD$7&gt;0,$A810&gt;AD$7)),0,MAX(0,ROUND((INDEX($E810:$G810,AD$5)-SUMIFS(TF_Timer,TF_Tekniker,AD$4,TF_Dato,$A810))*2,0)/2)))</f>
        <v/>
      </c>
      <c r="AE810">
        <f>IF(OR(AE$4="",$A810&gt;TODAY()),0,IF(OR(INDEX($B810:$D810,AE$5)="F",AND(AE$6&gt;0,$A810&lt;AE$6),AND(AE$7&gt;0,$A810&gt;AE$7)),0,MAX(0,ROUND((INDEX($E810:$G810,AE$5)-SUMIFS(TF_Timer,TF_Tekniker,AE$4,TF_Dato,$A810))*2,0)/2)))</f>
        <v/>
      </c>
      <c r="AF810">
        <f>IF(OR(AF$4="",$A810&gt;TODAY()),0,IF(OR(INDEX($B810:$D810,AF$5)="F",AND(AF$6&gt;0,$A810&lt;AF$6),AND(AF$7&gt;0,$A810&gt;AF$7)),0,MAX(0,ROUND((INDEX($E810:$G810,AF$5)-SUMIFS(TF_Timer,TF_Tekniker,AF$4,TF_Dato,$A810))*2,0)/2)))</f>
        <v/>
      </c>
      <c r="AG810">
        <f>IF(OR(AG$4="",$A810&gt;TODAY()),0,IF(OR(INDEX($B810:$D810,AG$5)="F",AND(AG$6&gt;0,$A810&lt;AG$6),AND(AG$7&gt;0,$A810&gt;AG$7)),0,MAX(0,ROUND((INDEX($E810:$G810,AG$5)-SUMIFS(TF_Timer,TF_Tekniker,AG$4,TF_Dato,$A810))*2,0)/2)))</f>
        <v/>
      </c>
      <c r="AH810">
        <f>IF(OR(AH$4="",$A810&gt;TODAY()),0,IF(OR(INDEX($B810:$D810,AH$5)="F",AND(AH$6&gt;0,$A810&lt;AH$6),AND(AH$7&gt;0,$A810&gt;AH$7)),0,MAX(0,ROUND((INDEX($E810:$G810,AH$5)-SUMIFS(TF_Timer,TF_Tekniker,AH$4,TF_Dato,$A810))*2,0)/2)))</f>
        <v/>
      </c>
      <c r="AI810">
        <f>IF(OR(AI$4="",$A810&gt;TODAY()),0,IF(OR(INDEX($B810:$D810,AI$5)="F",AND(AI$6&gt;0,$A810&lt;AI$6),AND(AI$7&gt;0,$A810&gt;AI$7)),0,MAX(0,ROUND((INDEX($E810:$G810,AI$5)-SUMIFS(TF_Timer,TF_Tekniker,AI$4,TF_Dato,$A810))*2,0)/2)))</f>
        <v/>
      </c>
      <c r="AJ810">
        <f>IF(OR(AJ$4="",$A810&gt;TODAY()),0,IF(OR(INDEX($B810:$D810,AJ$5)="F",AND(AJ$6&gt;0,$A810&lt;AJ$6),AND(AJ$7&gt;0,$A810&gt;AJ$7)),0,MAX(0,ROUND((INDEX($E810:$G810,AJ$5)-SUMIFS(TF_Timer,TF_Tekniker,AJ$4,TF_Dato,$A810))*2,0)/2)))</f>
        <v/>
      </c>
      <c r="AK810">
        <f>IF(OR(AK$4="",$A810&gt;TODAY()),0,IF(OR(INDEX($B810:$D810,AK$5)="F",AND(AK$6&gt;0,$A810&lt;AK$6),AND(AK$7&gt;0,$A810&gt;AK$7)),0,MAX(0,ROUND((INDEX($E810:$G810,AK$5)-SUMIFS(TF_Timer,TF_Tekniker,AK$4,TF_Dato,$A810))*2,0)/2)))</f>
        <v/>
      </c>
      <c r="AL810">
        <f>IF(OR(AL$4="",$A810&gt;TODAY()),0,IF(OR(INDEX($B810:$D810,AL$5)="F",AND(AL$6&gt;0,$A810&lt;AL$6),AND(AL$7&gt;0,$A810&gt;AL$7)),0,MAX(0,ROUND((INDEX($E810:$G810,AL$5)-SUMIFS(TF_Timer,TF_Tekniker,AL$4,TF_Dato,$A810))*2,0)/2)))</f>
        <v/>
      </c>
      <c r="AM810">
        <f>IF(OR(AM$4="",$A810&gt;TODAY()),0,IF(OR(INDEX($B810:$D810,AM$5)="F",AND(AM$6&gt;0,$A810&lt;AM$6),AND(AM$7&gt;0,$A810&gt;AM$7)),0,MAX(0,ROUND((INDEX($E810:$G810,AM$5)-SUMIFS(TF_Timer,TF_Tekniker,AM$4,TF_Dato,$A810))*2,0)/2)))</f>
        <v/>
      </c>
      <c r="AN810">
        <f>IF(OR(AN$4="",$A810&gt;TODAY()),0,IF(OR(INDEX($B810:$D810,AN$5)="F",AND(AN$6&gt;0,$A810&lt;AN$6),AND(AN$7&gt;0,$A810&gt;AN$7)),0,MAX(0,ROUND((INDEX($E810:$G810,AN$5)-SUMIFS(TF_Timer,TF_Tekniker,AN$4,TF_Dato,$A810))*2,0)/2)))</f>
        <v/>
      </c>
      <c r="AO810">
        <f>IF(OR(AO$4="",$A810&gt;TODAY()),0,IF(OR(INDEX($B810:$D810,AO$5)="F",AND(AO$6&gt;0,$A810&lt;AO$6),AND(AO$7&gt;0,$A810&gt;AO$7)),0,MAX(0,ROUND((INDEX($E810:$G810,AO$5)-SUMIFS(TF_Timer,TF_Tekniker,AO$4,TF_Dato,$A810))*2,0)/2)))</f>
        <v/>
      </c>
      <c r="AP810">
        <f>IF(OR(AP$4="",$A810&gt;TODAY()),0,IF(OR(INDEX($B810:$D810,AP$5)="F",AND(AP$6&gt;0,$A810&lt;AP$6),AND(AP$7&gt;0,$A810&gt;AP$7)),0,MAX(0,ROUND((INDEX($E810:$G810,AP$5)-SUMIFS(TF_Timer,TF_Tekniker,AP$4,TF_Dato,$A810))*2,0)/2)))</f>
        <v/>
      </c>
      <c r="AQ810">
        <f>IF(OR(AQ$4="",$A810&gt;TODAY()),0,IF(OR(INDEX($B810:$D810,AQ$5)="F",AND(AQ$6&gt;0,$A810&lt;AQ$6),AND(AQ$7&gt;0,$A810&gt;AQ$7)),0,MAX(0,ROUND((INDEX($E810:$G810,AQ$5)-SUMIFS(TF_Timer,TF_Tekniker,AQ$4,TF_Dato,$A810))*2,0)/2)))</f>
        <v/>
      </c>
      <c r="AR810">
        <f>IF(OR(AR$4="",$A810&gt;TODAY()),0,IF(OR(INDEX($B810:$D810,AR$5)="F",AND(AR$6&gt;0,$A810&lt;AR$6),AND(AR$7&gt;0,$A810&gt;AR$7)),0,MAX(0,ROUND((INDEX($E810:$G810,AR$5)-SUMIFS(TF_Timer,TF_Tekniker,AR$4,TF_Dato,$A810))*2,0)/2)))</f>
        <v/>
      </c>
      <c r="AS810">
        <f>IF(OR(AS$4="",$A810&gt;TODAY()),0,IF(OR(INDEX($B810:$D810,AS$5)="F",AND(AS$6&gt;0,$A810&lt;AS$6),AND(AS$7&gt;0,$A810&gt;AS$7)),0,MAX(0,ROUND((INDEX($E810:$G810,AS$5)-SUMIFS(TF_Timer,TF_Tekniker,AS$4,TF_Dato,$A810))*2,0)/2)))</f>
        <v/>
      </c>
      <c r="AT810">
        <f>IF(OR(AT$4="",$A810&gt;TODAY()),0,IF(OR(INDEX($B810:$D810,AT$5)="F",AND(AT$6&gt;0,$A810&lt;AT$6),AND(AT$7&gt;0,$A810&gt;AT$7)),0,MAX(0,ROUND((INDEX($E810:$G810,AT$5)-SUMIFS(TF_Timer,TF_Tekniker,AT$4,TF_Dato,$A810))*2,0)/2)))</f>
        <v/>
      </c>
      <c r="AU810">
        <f>IF(OR(AU$4="",$A810&gt;TODAY()),0,IF(OR(INDEX($B810:$D810,AU$5)="F",AND(AU$6&gt;0,$A810&lt;AU$6),AND(AU$7&gt;0,$A810&gt;AU$7)),0,MAX(0,ROUND((INDEX($E810:$G810,AU$5)-SUMIFS(TF_Timer,TF_Tekniker,AU$4,TF_Dato,$A810))*2,0)/2)))</f>
        <v/>
      </c>
      <c r="AV810">
        <f>IF(OR(AV$4="",$A810&gt;TODAY()),0,IF(OR(INDEX($B810:$D810,AV$5)="F",AND(AV$6&gt;0,$A810&lt;AV$6),AND(AV$7&gt;0,$A810&gt;AV$7)),0,MAX(0,ROUND((INDEX($E810:$G810,AV$5)-SUMIFS(TF_Timer,TF_Tekniker,AV$4,TF_Dato,$A810))*2,0)/2)))</f>
        <v/>
      </c>
      <c r="AW810">
        <f>IF(OR(AW$4="",$A810&gt;TODAY()),0,IF(OR(INDEX($B810:$D810,AW$5)="F",AND(AW$6&gt;0,$A810&lt;AW$6),AND(AW$7&gt;0,$A810&gt;AW$7)),0,MAX(0,ROUND((INDEX($E810:$G810,AW$5)-SUMIFS(TF_Timer,TF_Tekniker,AW$4,TF_Dato,$A810))*2,0)/2)))</f>
        <v/>
      </c>
      <c r="AX810">
        <f>IF(OR(AX$4="",$A810&gt;TODAY()),0,IF(OR(INDEX($B810:$D810,AX$5)="F",AND(AX$6&gt;0,$A810&lt;AX$6),AND(AX$7&gt;0,$A810&gt;AX$7)),0,MAX(0,ROUND((INDEX($E810:$G810,AX$5)-SUMIFS(TF_Timer,TF_Tekniker,AX$4,TF_Dato,$A810))*2,0)/2)))</f>
        <v/>
      </c>
      <c r="AY810">
        <f>IF(OR(AY$4="",$A810&gt;TODAY()),0,IF(OR(INDEX($B810:$D810,AY$5)="F",AND(AY$6&gt;0,$A810&lt;AY$6),AND(AY$7&gt;0,$A810&gt;AY$7)),0,MAX(0,ROUND((INDEX($E810:$G810,AY$5)-SUMIFS(TF_Timer,TF_Tekniker,AY$4,TF_Dato,$A810))*2,0)/2)))</f>
        <v/>
      </c>
      <c r="AZ810">
        <f>IF(OR(AZ$4="",$A810&gt;TODAY()),0,IF(OR(INDEX($B810:$D810,AZ$5)="F",AND(AZ$6&gt;0,$A810&lt;AZ$6),AND(AZ$7&gt;0,$A810&gt;AZ$7)),0,MAX(0,ROUND((INDEX($E810:$G810,AZ$5)-SUMIFS(TF_Timer,TF_Tekniker,AZ$4,TF_Dato,$A810))*2,0)/2)))</f>
        <v/>
      </c>
      <c r="BA810">
        <f>IF(OR(BA$4="",$A810&gt;TODAY()),0,IF(OR(INDEX($B810:$D810,BA$5)="F",AND(BA$6&gt;0,$A810&lt;BA$6),AND(BA$7&gt;0,$A810&gt;BA$7)),0,MAX(0,ROUND((INDEX($E810:$G810,BA$5)-SUMIFS(TF_Timer,TF_Tekniker,BA$4,TF_Dato,$A810))*2,0)/2)))</f>
        <v/>
      </c>
      <c r="BB810">
        <f>IF(OR(BB$4="",$A810&gt;TODAY()),0,IF(OR(INDEX($B810:$D810,BB$5)="F",AND(BB$6&gt;0,$A810&lt;BB$6),AND(BB$7&gt;0,$A810&gt;BB$7)),0,MAX(0,ROUND((INDEX($E810:$G810,BB$5)-SUMIFS(TF_Timer,TF_Tekniker,BB$4,TF_Dato,$A810))*2,0)/2)))</f>
        <v/>
      </c>
      <c r="BC810">
        <f>IF(OR(BC$4="",$A810&gt;TODAY()),0,IF(OR(INDEX($B810:$D810,BC$5)="F",AND(BC$6&gt;0,$A810&lt;BC$6),AND(BC$7&gt;0,$A810&gt;BC$7)),0,MAX(0,ROUND((INDEX($E810:$G810,BC$5)-SUMIFS(TF_Timer,TF_Tekniker,BC$4,TF_Dato,$A810))*2,0)/2)))</f>
        <v/>
      </c>
      <c r="BD810">
        <f>IF(OR(BD$4="",$A810&gt;TODAY()),0,IF(OR(INDEX($B810:$D810,BD$5)="F",AND(BD$6&gt;0,$A810&lt;BD$6),AND(BD$7&gt;0,$A810&gt;BD$7)),0,MAX(0,ROUND((INDEX($E810:$G810,BD$5)-SUMIFS(TF_Timer,TF_Tekniker,BD$4,TF_Dato,$A810))*2,0)/2)))</f>
        <v/>
      </c>
      <c r="BE810">
        <f>IF(OR(BE$4="",$A810&gt;TODAY()),0,IF(OR(INDEX($B810:$D810,BE$5)="F",AND(BE$6&gt;0,$A810&lt;BE$6),AND(BE$7&gt;0,$A810&gt;BE$7)),0,MAX(0,ROUND((INDEX($E810:$G810,BE$5)-SUMIFS(TF_Timer,TF_Tekniker,BE$4,TF_Dato,$A810))*2,0)/2)))</f>
        <v/>
      </c>
      <c r="BF810">
        <f>IF(OR(BF$4="",$A810&gt;TODAY()),0,IF(OR(INDEX($B810:$D810,BF$5)="F",AND(BF$6&gt;0,$A810&lt;BF$6),AND(BF$7&gt;0,$A810&gt;BF$7)),0,MAX(0,ROUND((INDEX($E810:$G810,BF$5)-SUMIFS(TF_Timer,TF_Tekniker,BF$4,TF_Dato,$A810))*2,0)/2)))</f>
        <v/>
      </c>
      <c r="BG810">
        <f>IF(OR(BG$4="",$A810&gt;TODAY()),0,IF(OR(INDEX($B810:$D810,BG$5)="F",AND(BG$6&gt;0,$A810&lt;BG$6),AND(BG$7&gt;0,$A810&gt;BG$7)),0,MAX(0,ROUND((INDEX($E810:$G810,BG$5)-SUMIFS(TF_Timer,TF_Tekniker,BG$4,TF_Dato,$A810))*2,0)/2)))</f>
        <v/>
      </c>
      <c r="BH810">
        <f>IF(OR(BH$4="",$A810&gt;TODAY()),0,IF(OR(INDEX($B810:$D810,BH$5)="F",AND(BH$6&gt;0,$A810&lt;BH$6),AND(BH$7&gt;0,$A810&gt;BH$7)),0,MAX(0,ROUND((INDEX($E810:$G810,BH$5)-SUMIFS(TF_Timer,TF_Tekniker,BH$4,TF_Dato,$A810))*2,0)/2)))</f>
        <v/>
      </c>
      <c r="BI810">
        <f>IF(OR(BI$4="",$A810&gt;TODAY()),0,IF(OR(INDEX($B810:$D810,BI$5)="F",AND(BI$6&gt;0,$A810&lt;BI$6),AND(BI$7&gt;0,$A810&gt;BI$7)),0,MAX(0,ROUND((INDEX($E810:$G810,BI$5)-SUMIFS(TF_Timer,TF_Tekniker,BI$4,TF_Dato,$A810))*2,0)/2)))</f>
        <v/>
      </c>
    </row>
    <row r="811">
      <c r="A811" s="64">
        <f>A810+1</f>
        <v/>
      </c>
      <c r="B811">
        <f>IF(MOD($A811-INDEX(SkiftStart,1),Syklus)&lt;DagK,"K",IF(MOD($A811-INDEX(SkiftStart,1),Syklus)&lt;DagK+DagH,"H",IF(MOD($A811-INDEX(SkiftStart,1),Syklus)&lt;DagK+DagH+DagD,"D","F")))</f>
        <v/>
      </c>
      <c r="C811">
        <f>IF(MOD($A811-INDEX(SkiftStart,2),Syklus)&lt;DagK,"K",IF(MOD($A811-INDEX(SkiftStart,2),Syklus)&lt;DagK+DagH,"H",IF(MOD($A811-INDEX(SkiftStart,2),Syklus)&lt;DagK+DagH+DagD,"D","F")))</f>
        <v/>
      </c>
      <c r="D811">
        <f>IF(MOD($A811-INDEX(SkiftStart,3),Syklus)&lt;DagK,"K",IF(MOD($A811-INDEX(SkiftStart,3),Syklus)&lt;DagK+DagH,"H",IF(MOD($A811-INDEX(SkiftStart,3),Syklus)&lt;DagK+DagH+DagD,"D","F")))</f>
        <v/>
      </c>
      <c r="E811">
        <f>IF(B811="F",0,IF(WEEKDAY($A811,2)=5,INDEX(TimerFr,MATCH(B811,FaseKode,0)),INDEX(TimerMT,MATCH(B811,FaseKode,0))))</f>
        <v/>
      </c>
      <c r="F811">
        <f>IF(C811="F",0,IF(WEEKDAY($A811,2)=5,INDEX(TimerFr,MATCH(C811,FaseKode,0)),INDEX(TimerMT,MATCH(C811,FaseKode,0))))</f>
        <v/>
      </c>
      <c r="G811">
        <f>IF(D811="F",0,IF(WEEKDAY($A811,2)=5,INDEX(TimerFr,MATCH(D811,FaseKode,0)),INDEX(TimerMT,MATCH(D811,FaseKode,0))))</f>
        <v/>
      </c>
      <c r="H811">
        <f>IF(OR(H$4="",$A811&gt;TODAY()),0,IF(OR(INDEX($B811:$D811,H$5)="F",AND(H$6&gt;0,$A811&lt;H$6),AND(H$7&gt;0,$A811&gt;H$7)),0,MAX(0,ROUND((INDEX($E811:$G811,H$5)-SUMIFS(TF_Timer,TF_Tekniker,H$4,TF_Dato,$A811))*2,0)/2)))</f>
        <v/>
      </c>
      <c r="I811">
        <f>IF(OR(I$4="",$A811&gt;TODAY()),0,IF(OR(INDEX($B811:$D811,I$5)="F",AND(I$6&gt;0,$A811&lt;I$6),AND(I$7&gt;0,$A811&gt;I$7)),0,MAX(0,ROUND((INDEX($E811:$G811,I$5)-SUMIFS(TF_Timer,TF_Tekniker,I$4,TF_Dato,$A811))*2,0)/2)))</f>
        <v/>
      </c>
      <c r="J811">
        <f>IF(OR(J$4="",$A811&gt;TODAY()),0,IF(OR(INDEX($B811:$D811,J$5)="F",AND(J$6&gt;0,$A811&lt;J$6),AND(J$7&gt;0,$A811&gt;J$7)),0,MAX(0,ROUND((INDEX($E811:$G811,J$5)-SUMIFS(TF_Timer,TF_Tekniker,J$4,TF_Dato,$A811))*2,0)/2)))</f>
        <v/>
      </c>
      <c r="K811">
        <f>IF(OR(K$4="",$A811&gt;TODAY()),0,IF(OR(INDEX($B811:$D811,K$5)="F",AND(K$6&gt;0,$A811&lt;K$6),AND(K$7&gt;0,$A811&gt;K$7)),0,MAX(0,ROUND((INDEX($E811:$G811,K$5)-SUMIFS(TF_Timer,TF_Tekniker,K$4,TF_Dato,$A811))*2,0)/2)))</f>
        <v/>
      </c>
      <c r="L811">
        <f>IF(OR(L$4="",$A811&gt;TODAY()),0,IF(OR(INDEX($B811:$D811,L$5)="F",AND(L$6&gt;0,$A811&lt;L$6),AND(L$7&gt;0,$A811&gt;L$7)),0,MAX(0,ROUND((INDEX($E811:$G811,L$5)-SUMIFS(TF_Timer,TF_Tekniker,L$4,TF_Dato,$A811))*2,0)/2)))</f>
        <v/>
      </c>
      <c r="M811">
        <f>IF(OR(M$4="",$A811&gt;TODAY()),0,IF(OR(INDEX($B811:$D811,M$5)="F",AND(M$6&gt;0,$A811&lt;M$6),AND(M$7&gt;0,$A811&gt;M$7)),0,MAX(0,ROUND((INDEX($E811:$G811,M$5)-SUMIFS(TF_Timer,TF_Tekniker,M$4,TF_Dato,$A811))*2,0)/2)))</f>
        <v/>
      </c>
      <c r="N811">
        <f>IF(OR(N$4="",$A811&gt;TODAY()),0,IF(OR(INDEX($B811:$D811,N$5)="F",AND(N$6&gt;0,$A811&lt;N$6),AND(N$7&gt;0,$A811&gt;N$7)),0,MAX(0,ROUND((INDEX($E811:$G811,N$5)-SUMIFS(TF_Timer,TF_Tekniker,N$4,TF_Dato,$A811))*2,0)/2)))</f>
        <v/>
      </c>
      <c r="O811">
        <f>IF(OR(O$4="",$A811&gt;TODAY()),0,IF(OR(INDEX($B811:$D811,O$5)="F",AND(O$6&gt;0,$A811&lt;O$6),AND(O$7&gt;0,$A811&gt;O$7)),0,MAX(0,ROUND((INDEX($E811:$G811,O$5)-SUMIFS(TF_Timer,TF_Tekniker,O$4,TF_Dato,$A811))*2,0)/2)))</f>
        <v/>
      </c>
      <c r="P811">
        <f>IF(OR(P$4="",$A811&gt;TODAY()),0,IF(OR(INDEX($B811:$D811,P$5)="F",AND(P$6&gt;0,$A811&lt;P$6),AND(P$7&gt;0,$A811&gt;P$7)),0,MAX(0,ROUND((INDEX($E811:$G811,P$5)-SUMIFS(TF_Timer,TF_Tekniker,P$4,TF_Dato,$A811))*2,0)/2)))</f>
        <v/>
      </c>
      <c r="Q811">
        <f>IF(OR(Q$4="",$A811&gt;TODAY()),0,IF(OR(INDEX($B811:$D811,Q$5)="F",AND(Q$6&gt;0,$A811&lt;Q$6),AND(Q$7&gt;0,$A811&gt;Q$7)),0,MAX(0,ROUND((INDEX($E811:$G811,Q$5)-SUMIFS(TF_Timer,TF_Tekniker,Q$4,TF_Dato,$A811))*2,0)/2)))</f>
        <v/>
      </c>
      <c r="R811">
        <f>IF(OR(R$4="",$A811&gt;TODAY()),0,IF(OR(INDEX($B811:$D811,R$5)="F",AND(R$6&gt;0,$A811&lt;R$6),AND(R$7&gt;0,$A811&gt;R$7)),0,MAX(0,ROUND((INDEX($E811:$G811,R$5)-SUMIFS(TF_Timer,TF_Tekniker,R$4,TF_Dato,$A811))*2,0)/2)))</f>
        <v/>
      </c>
      <c r="S811">
        <f>IF(OR(S$4="",$A811&gt;TODAY()),0,IF(OR(INDEX($B811:$D811,S$5)="F",AND(S$6&gt;0,$A811&lt;S$6),AND(S$7&gt;0,$A811&gt;S$7)),0,MAX(0,ROUND((INDEX($E811:$G811,S$5)-SUMIFS(TF_Timer,TF_Tekniker,S$4,TF_Dato,$A811))*2,0)/2)))</f>
        <v/>
      </c>
      <c r="T811">
        <f>IF(OR(T$4="",$A811&gt;TODAY()),0,IF(OR(INDEX($B811:$D811,T$5)="F",AND(T$6&gt;0,$A811&lt;T$6),AND(T$7&gt;0,$A811&gt;T$7)),0,MAX(0,ROUND((INDEX($E811:$G811,T$5)-SUMIFS(TF_Timer,TF_Tekniker,T$4,TF_Dato,$A811))*2,0)/2)))</f>
        <v/>
      </c>
      <c r="U811">
        <f>IF(OR(U$4="",$A811&gt;TODAY()),0,IF(OR(INDEX($B811:$D811,U$5)="F",AND(U$6&gt;0,$A811&lt;U$6),AND(U$7&gt;0,$A811&gt;U$7)),0,MAX(0,ROUND((INDEX($E811:$G811,U$5)-SUMIFS(TF_Timer,TF_Tekniker,U$4,TF_Dato,$A811))*2,0)/2)))</f>
        <v/>
      </c>
      <c r="V811">
        <f>IF(OR(V$4="",$A811&gt;TODAY()),0,IF(OR(INDEX($B811:$D811,V$5)="F",AND(V$6&gt;0,$A811&lt;V$6),AND(V$7&gt;0,$A811&gt;V$7)),0,MAX(0,ROUND((INDEX($E811:$G811,V$5)-SUMIFS(TF_Timer,TF_Tekniker,V$4,TF_Dato,$A811))*2,0)/2)))</f>
        <v/>
      </c>
      <c r="W811">
        <f>IF(OR(W$4="",$A811&gt;TODAY()),0,IF(OR(INDEX($B811:$D811,W$5)="F",AND(W$6&gt;0,$A811&lt;W$6),AND(W$7&gt;0,$A811&gt;W$7)),0,MAX(0,ROUND((INDEX($E811:$G811,W$5)-SUMIFS(TF_Timer,TF_Tekniker,W$4,TF_Dato,$A811))*2,0)/2)))</f>
        <v/>
      </c>
      <c r="X811">
        <f>IF(OR(X$4="",$A811&gt;TODAY()),0,IF(OR(INDEX($B811:$D811,X$5)="F",AND(X$6&gt;0,$A811&lt;X$6),AND(X$7&gt;0,$A811&gt;X$7)),0,MAX(0,ROUND((INDEX($E811:$G811,X$5)-SUMIFS(TF_Timer,TF_Tekniker,X$4,TF_Dato,$A811))*2,0)/2)))</f>
        <v/>
      </c>
      <c r="Y811">
        <f>IF(OR(Y$4="",$A811&gt;TODAY()),0,IF(OR(INDEX($B811:$D811,Y$5)="F",AND(Y$6&gt;0,$A811&lt;Y$6),AND(Y$7&gt;0,$A811&gt;Y$7)),0,MAX(0,ROUND((INDEX($E811:$G811,Y$5)-SUMIFS(TF_Timer,TF_Tekniker,Y$4,TF_Dato,$A811))*2,0)/2)))</f>
        <v/>
      </c>
      <c r="Z811">
        <f>IF(OR(Z$4="",$A811&gt;TODAY()),0,IF(OR(INDEX($B811:$D811,Z$5)="F",AND(Z$6&gt;0,$A811&lt;Z$6),AND(Z$7&gt;0,$A811&gt;Z$7)),0,MAX(0,ROUND((INDEX($E811:$G811,Z$5)-SUMIFS(TF_Timer,TF_Tekniker,Z$4,TF_Dato,$A811))*2,0)/2)))</f>
        <v/>
      </c>
      <c r="AA811">
        <f>IF(OR(AA$4="",$A811&gt;TODAY()),0,IF(OR(INDEX($B811:$D811,AA$5)="F",AND(AA$6&gt;0,$A811&lt;AA$6),AND(AA$7&gt;0,$A811&gt;AA$7)),0,MAX(0,ROUND((INDEX($E811:$G811,AA$5)-SUMIFS(TF_Timer,TF_Tekniker,AA$4,TF_Dato,$A811))*2,0)/2)))</f>
        <v/>
      </c>
      <c r="AB811">
        <f>IF(OR(AB$4="",$A811&gt;TODAY()),0,IF(OR(INDEX($B811:$D811,AB$5)="F",AND(AB$6&gt;0,$A811&lt;AB$6),AND(AB$7&gt;0,$A811&gt;AB$7)),0,MAX(0,ROUND((INDEX($E811:$G811,AB$5)-SUMIFS(TF_Timer,TF_Tekniker,AB$4,TF_Dato,$A811))*2,0)/2)))</f>
        <v/>
      </c>
      <c r="AC811">
        <f>IF(OR(AC$4="",$A811&gt;TODAY()),0,IF(OR(INDEX($B811:$D811,AC$5)="F",AND(AC$6&gt;0,$A811&lt;AC$6),AND(AC$7&gt;0,$A811&gt;AC$7)),0,MAX(0,ROUND((INDEX($E811:$G811,AC$5)-SUMIFS(TF_Timer,TF_Tekniker,AC$4,TF_Dato,$A811))*2,0)/2)))</f>
        <v/>
      </c>
      <c r="AD811">
        <f>IF(OR(AD$4="",$A811&gt;TODAY()),0,IF(OR(INDEX($B811:$D811,AD$5)="F",AND(AD$6&gt;0,$A811&lt;AD$6),AND(AD$7&gt;0,$A811&gt;AD$7)),0,MAX(0,ROUND((INDEX($E811:$G811,AD$5)-SUMIFS(TF_Timer,TF_Tekniker,AD$4,TF_Dato,$A811))*2,0)/2)))</f>
        <v/>
      </c>
      <c r="AE811">
        <f>IF(OR(AE$4="",$A811&gt;TODAY()),0,IF(OR(INDEX($B811:$D811,AE$5)="F",AND(AE$6&gt;0,$A811&lt;AE$6),AND(AE$7&gt;0,$A811&gt;AE$7)),0,MAX(0,ROUND((INDEX($E811:$G811,AE$5)-SUMIFS(TF_Timer,TF_Tekniker,AE$4,TF_Dato,$A811))*2,0)/2)))</f>
        <v/>
      </c>
      <c r="AF811">
        <f>IF(OR(AF$4="",$A811&gt;TODAY()),0,IF(OR(INDEX($B811:$D811,AF$5)="F",AND(AF$6&gt;0,$A811&lt;AF$6),AND(AF$7&gt;0,$A811&gt;AF$7)),0,MAX(0,ROUND((INDEX($E811:$G811,AF$5)-SUMIFS(TF_Timer,TF_Tekniker,AF$4,TF_Dato,$A811))*2,0)/2)))</f>
        <v/>
      </c>
      <c r="AG811">
        <f>IF(OR(AG$4="",$A811&gt;TODAY()),0,IF(OR(INDEX($B811:$D811,AG$5)="F",AND(AG$6&gt;0,$A811&lt;AG$6),AND(AG$7&gt;0,$A811&gt;AG$7)),0,MAX(0,ROUND((INDEX($E811:$G811,AG$5)-SUMIFS(TF_Timer,TF_Tekniker,AG$4,TF_Dato,$A811))*2,0)/2)))</f>
        <v/>
      </c>
      <c r="AH811">
        <f>IF(OR(AH$4="",$A811&gt;TODAY()),0,IF(OR(INDEX($B811:$D811,AH$5)="F",AND(AH$6&gt;0,$A811&lt;AH$6),AND(AH$7&gt;0,$A811&gt;AH$7)),0,MAX(0,ROUND((INDEX($E811:$G811,AH$5)-SUMIFS(TF_Timer,TF_Tekniker,AH$4,TF_Dato,$A811))*2,0)/2)))</f>
        <v/>
      </c>
      <c r="AI811">
        <f>IF(OR(AI$4="",$A811&gt;TODAY()),0,IF(OR(INDEX($B811:$D811,AI$5)="F",AND(AI$6&gt;0,$A811&lt;AI$6),AND(AI$7&gt;0,$A811&gt;AI$7)),0,MAX(0,ROUND((INDEX($E811:$G811,AI$5)-SUMIFS(TF_Timer,TF_Tekniker,AI$4,TF_Dato,$A811))*2,0)/2)))</f>
        <v/>
      </c>
      <c r="AJ811">
        <f>IF(OR(AJ$4="",$A811&gt;TODAY()),0,IF(OR(INDEX($B811:$D811,AJ$5)="F",AND(AJ$6&gt;0,$A811&lt;AJ$6),AND(AJ$7&gt;0,$A811&gt;AJ$7)),0,MAX(0,ROUND((INDEX($E811:$G811,AJ$5)-SUMIFS(TF_Timer,TF_Tekniker,AJ$4,TF_Dato,$A811))*2,0)/2)))</f>
        <v/>
      </c>
      <c r="AK811">
        <f>IF(OR(AK$4="",$A811&gt;TODAY()),0,IF(OR(INDEX($B811:$D811,AK$5)="F",AND(AK$6&gt;0,$A811&lt;AK$6),AND(AK$7&gt;0,$A811&gt;AK$7)),0,MAX(0,ROUND((INDEX($E811:$G811,AK$5)-SUMIFS(TF_Timer,TF_Tekniker,AK$4,TF_Dato,$A811))*2,0)/2)))</f>
        <v/>
      </c>
      <c r="AL811">
        <f>IF(OR(AL$4="",$A811&gt;TODAY()),0,IF(OR(INDEX($B811:$D811,AL$5)="F",AND(AL$6&gt;0,$A811&lt;AL$6),AND(AL$7&gt;0,$A811&gt;AL$7)),0,MAX(0,ROUND((INDEX($E811:$G811,AL$5)-SUMIFS(TF_Timer,TF_Tekniker,AL$4,TF_Dato,$A811))*2,0)/2)))</f>
        <v/>
      </c>
      <c r="AM811">
        <f>IF(OR(AM$4="",$A811&gt;TODAY()),0,IF(OR(INDEX($B811:$D811,AM$5)="F",AND(AM$6&gt;0,$A811&lt;AM$6),AND(AM$7&gt;0,$A811&gt;AM$7)),0,MAX(0,ROUND((INDEX($E811:$G811,AM$5)-SUMIFS(TF_Timer,TF_Tekniker,AM$4,TF_Dato,$A811))*2,0)/2)))</f>
        <v/>
      </c>
      <c r="AN811">
        <f>IF(OR(AN$4="",$A811&gt;TODAY()),0,IF(OR(INDEX($B811:$D811,AN$5)="F",AND(AN$6&gt;0,$A811&lt;AN$6),AND(AN$7&gt;0,$A811&gt;AN$7)),0,MAX(0,ROUND((INDEX($E811:$G811,AN$5)-SUMIFS(TF_Timer,TF_Tekniker,AN$4,TF_Dato,$A811))*2,0)/2)))</f>
        <v/>
      </c>
      <c r="AO811">
        <f>IF(OR(AO$4="",$A811&gt;TODAY()),0,IF(OR(INDEX($B811:$D811,AO$5)="F",AND(AO$6&gt;0,$A811&lt;AO$6),AND(AO$7&gt;0,$A811&gt;AO$7)),0,MAX(0,ROUND((INDEX($E811:$G811,AO$5)-SUMIFS(TF_Timer,TF_Tekniker,AO$4,TF_Dato,$A811))*2,0)/2)))</f>
        <v/>
      </c>
      <c r="AP811">
        <f>IF(OR(AP$4="",$A811&gt;TODAY()),0,IF(OR(INDEX($B811:$D811,AP$5)="F",AND(AP$6&gt;0,$A811&lt;AP$6),AND(AP$7&gt;0,$A811&gt;AP$7)),0,MAX(0,ROUND((INDEX($E811:$G811,AP$5)-SUMIFS(TF_Timer,TF_Tekniker,AP$4,TF_Dato,$A811))*2,0)/2)))</f>
        <v/>
      </c>
      <c r="AQ811">
        <f>IF(OR(AQ$4="",$A811&gt;TODAY()),0,IF(OR(INDEX($B811:$D811,AQ$5)="F",AND(AQ$6&gt;0,$A811&lt;AQ$6),AND(AQ$7&gt;0,$A811&gt;AQ$7)),0,MAX(0,ROUND((INDEX($E811:$G811,AQ$5)-SUMIFS(TF_Timer,TF_Tekniker,AQ$4,TF_Dato,$A811))*2,0)/2)))</f>
        <v/>
      </c>
      <c r="AR811">
        <f>IF(OR(AR$4="",$A811&gt;TODAY()),0,IF(OR(INDEX($B811:$D811,AR$5)="F",AND(AR$6&gt;0,$A811&lt;AR$6),AND(AR$7&gt;0,$A811&gt;AR$7)),0,MAX(0,ROUND((INDEX($E811:$G811,AR$5)-SUMIFS(TF_Timer,TF_Tekniker,AR$4,TF_Dato,$A811))*2,0)/2)))</f>
        <v/>
      </c>
      <c r="AS811">
        <f>IF(OR(AS$4="",$A811&gt;TODAY()),0,IF(OR(INDEX($B811:$D811,AS$5)="F",AND(AS$6&gt;0,$A811&lt;AS$6),AND(AS$7&gt;0,$A811&gt;AS$7)),0,MAX(0,ROUND((INDEX($E811:$G811,AS$5)-SUMIFS(TF_Timer,TF_Tekniker,AS$4,TF_Dato,$A811))*2,0)/2)))</f>
        <v/>
      </c>
      <c r="AT811">
        <f>IF(OR(AT$4="",$A811&gt;TODAY()),0,IF(OR(INDEX($B811:$D811,AT$5)="F",AND(AT$6&gt;0,$A811&lt;AT$6),AND(AT$7&gt;0,$A811&gt;AT$7)),0,MAX(0,ROUND((INDEX($E811:$G811,AT$5)-SUMIFS(TF_Timer,TF_Tekniker,AT$4,TF_Dato,$A811))*2,0)/2)))</f>
        <v/>
      </c>
      <c r="AU811">
        <f>IF(OR(AU$4="",$A811&gt;TODAY()),0,IF(OR(INDEX($B811:$D811,AU$5)="F",AND(AU$6&gt;0,$A811&lt;AU$6),AND(AU$7&gt;0,$A811&gt;AU$7)),0,MAX(0,ROUND((INDEX($E811:$G811,AU$5)-SUMIFS(TF_Timer,TF_Tekniker,AU$4,TF_Dato,$A811))*2,0)/2)))</f>
        <v/>
      </c>
      <c r="AV811">
        <f>IF(OR(AV$4="",$A811&gt;TODAY()),0,IF(OR(INDEX($B811:$D811,AV$5)="F",AND(AV$6&gt;0,$A811&lt;AV$6),AND(AV$7&gt;0,$A811&gt;AV$7)),0,MAX(0,ROUND((INDEX($E811:$G811,AV$5)-SUMIFS(TF_Timer,TF_Tekniker,AV$4,TF_Dato,$A811))*2,0)/2)))</f>
        <v/>
      </c>
      <c r="AW811">
        <f>IF(OR(AW$4="",$A811&gt;TODAY()),0,IF(OR(INDEX($B811:$D811,AW$5)="F",AND(AW$6&gt;0,$A811&lt;AW$6),AND(AW$7&gt;0,$A811&gt;AW$7)),0,MAX(0,ROUND((INDEX($E811:$G811,AW$5)-SUMIFS(TF_Timer,TF_Tekniker,AW$4,TF_Dato,$A811))*2,0)/2)))</f>
        <v/>
      </c>
      <c r="AX811">
        <f>IF(OR(AX$4="",$A811&gt;TODAY()),0,IF(OR(INDEX($B811:$D811,AX$5)="F",AND(AX$6&gt;0,$A811&lt;AX$6),AND(AX$7&gt;0,$A811&gt;AX$7)),0,MAX(0,ROUND((INDEX($E811:$G811,AX$5)-SUMIFS(TF_Timer,TF_Tekniker,AX$4,TF_Dato,$A811))*2,0)/2)))</f>
        <v/>
      </c>
      <c r="AY811">
        <f>IF(OR(AY$4="",$A811&gt;TODAY()),0,IF(OR(INDEX($B811:$D811,AY$5)="F",AND(AY$6&gt;0,$A811&lt;AY$6),AND(AY$7&gt;0,$A811&gt;AY$7)),0,MAX(0,ROUND((INDEX($E811:$G811,AY$5)-SUMIFS(TF_Timer,TF_Tekniker,AY$4,TF_Dato,$A811))*2,0)/2)))</f>
        <v/>
      </c>
      <c r="AZ811">
        <f>IF(OR(AZ$4="",$A811&gt;TODAY()),0,IF(OR(INDEX($B811:$D811,AZ$5)="F",AND(AZ$6&gt;0,$A811&lt;AZ$6),AND(AZ$7&gt;0,$A811&gt;AZ$7)),0,MAX(0,ROUND((INDEX($E811:$G811,AZ$5)-SUMIFS(TF_Timer,TF_Tekniker,AZ$4,TF_Dato,$A811))*2,0)/2)))</f>
        <v/>
      </c>
      <c r="BA811">
        <f>IF(OR(BA$4="",$A811&gt;TODAY()),0,IF(OR(INDEX($B811:$D811,BA$5)="F",AND(BA$6&gt;0,$A811&lt;BA$6),AND(BA$7&gt;0,$A811&gt;BA$7)),0,MAX(0,ROUND((INDEX($E811:$G811,BA$5)-SUMIFS(TF_Timer,TF_Tekniker,BA$4,TF_Dato,$A811))*2,0)/2)))</f>
        <v/>
      </c>
      <c r="BB811">
        <f>IF(OR(BB$4="",$A811&gt;TODAY()),0,IF(OR(INDEX($B811:$D811,BB$5)="F",AND(BB$6&gt;0,$A811&lt;BB$6),AND(BB$7&gt;0,$A811&gt;BB$7)),0,MAX(0,ROUND((INDEX($E811:$G811,BB$5)-SUMIFS(TF_Timer,TF_Tekniker,BB$4,TF_Dato,$A811))*2,0)/2)))</f>
        <v/>
      </c>
      <c r="BC811">
        <f>IF(OR(BC$4="",$A811&gt;TODAY()),0,IF(OR(INDEX($B811:$D811,BC$5)="F",AND(BC$6&gt;0,$A811&lt;BC$6),AND(BC$7&gt;0,$A811&gt;BC$7)),0,MAX(0,ROUND((INDEX($E811:$G811,BC$5)-SUMIFS(TF_Timer,TF_Tekniker,BC$4,TF_Dato,$A811))*2,0)/2)))</f>
        <v/>
      </c>
      <c r="BD811">
        <f>IF(OR(BD$4="",$A811&gt;TODAY()),0,IF(OR(INDEX($B811:$D811,BD$5)="F",AND(BD$6&gt;0,$A811&lt;BD$6),AND(BD$7&gt;0,$A811&gt;BD$7)),0,MAX(0,ROUND((INDEX($E811:$G811,BD$5)-SUMIFS(TF_Timer,TF_Tekniker,BD$4,TF_Dato,$A811))*2,0)/2)))</f>
        <v/>
      </c>
      <c r="BE811">
        <f>IF(OR(BE$4="",$A811&gt;TODAY()),0,IF(OR(INDEX($B811:$D811,BE$5)="F",AND(BE$6&gt;0,$A811&lt;BE$6),AND(BE$7&gt;0,$A811&gt;BE$7)),0,MAX(0,ROUND((INDEX($E811:$G811,BE$5)-SUMIFS(TF_Timer,TF_Tekniker,BE$4,TF_Dato,$A811))*2,0)/2)))</f>
        <v/>
      </c>
      <c r="BF811">
        <f>IF(OR(BF$4="",$A811&gt;TODAY()),0,IF(OR(INDEX($B811:$D811,BF$5)="F",AND(BF$6&gt;0,$A811&lt;BF$6),AND(BF$7&gt;0,$A811&gt;BF$7)),0,MAX(0,ROUND((INDEX($E811:$G811,BF$5)-SUMIFS(TF_Timer,TF_Tekniker,BF$4,TF_Dato,$A811))*2,0)/2)))</f>
        <v/>
      </c>
      <c r="BG811">
        <f>IF(OR(BG$4="",$A811&gt;TODAY()),0,IF(OR(INDEX($B811:$D811,BG$5)="F",AND(BG$6&gt;0,$A811&lt;BG$6),AND(BG$7&gt;0,$A811&gt;BG$7)),0,MAX(0,ROUND((INDEX($E811:$G811,BG$5)-SUMIFS(TF_Timer,TF_Tekniker,BG$4,TF_Dato,$A811))*2,0)/2)))</f>
        <v/>
      </c>
      <c r="BH811">
        <f>IF(OR(BH$4="",$A811&gt;TODAY()),0,IF(OR(INDEX($B811:$D811,BH$5)="F",AND(BH$6&gt;0,$A811&lt;BH$6),AND(BH$7&gt;0,$A811&gt;BH$7)),0,MAX(0,ROUND((INDEX($E811:$G811,BH$5)-SUMIFS(TF_Timer,TF_Tekniker,BH$4,TF_Dato,$A811))*2,0)/2)))</f>
        <v/>
      </c>
      <c r="BI811">
        <f>IF(OR(BI$4="",$A811&gt;TODAY()),0,IF(OR(INDEX($B811:$D811,BI$5)="F",AND(BI$6&gt;0,$A811&lt;BI$6),AND(BI$7&gt;0,$A811&gt;BI$7)),0,MAX(0,ROUND((INDEX($E811:$G811,BI$5)-SUMIFS(TF_Timer,TF_Tekniker,BI$4,TF_Dato,$A811))*2,0)/2)))</f>
        <v/>
      </c>
    </row>
    <row r="812">
      <c r="A812" s="64">
        <f>A811+1</f>
        <v/>
      </c>
      <c r="B812">
        <f>IF(MOD($A812-INDEX(SkiftStart,1),Syklus)&lt;DagK,"K",IF(MOD($A812-INDEX(SkiftStart,1),Syklus)&lt;DagK+DagH,"H",IF(MOD($A812-INDEX(SkiftStart,1),Syklus)&lt;DagK+DagH+DagD,"D","F")))</f>
        <v/>
      </c>
      <c r="C812">
        <f>IF(MOD($A812-INDEX(SkiftStart,2),Syklus)&lt;DagK,"K",IF(MOD($A812-INDEX(SkiftStart,2),Syklus)&lt;DagK+DagH,"H",IF(MOD($A812-INDEX(SkiftStart,2),Syklus)&lt;DagK+DagH+DagD,"D","F")))</f>
        <v/>
      </c>
      <c r="D812">
        <f>IF(MOD($A812-INDEX(SkiftStart,3),Syklus)&lt;DagK,"K",IF(MOD($A812-INDEX(SkiftStart,3),Syklus)&lt;DagK+DagH,"H",IF(MOD($A812-INDEX(SkiftStart,3),Syklus)&lt;DagK+DagH+DagD,"D","F")))</f>
        <v/>
      </c>
      <c r="E812">
        <f>IF(B812="F",0,IF(WEEKDAY($A812,2)=5,INDEX(TimerFr,MATCH(B812,FaseKode,0)),INDEX(TimerMT,MATCH(B812,FaseKode,0))))</f>
        <v/>
      </c>
      <c r="F812">
        <f>IF(C812="F",0,IF(WEEKDAY($A812,2)=5,INDEX(TimerFr,MATCH(C812,FaseKode,0)),INDEX(TimerMT,MATCH(C812,FaseKode,0))))</f>
        <v/>
      </c>
      <c r="G812">
        <f>IF(D812="F",0,IF(WEEKDAY($A812,2)=5,INDEX(TimerFr,MATCH(D812,FaseKode,0)),INDEX(TimerMT,MATCH(D812,FaseKode,0))))</f>
        <v/>
      </c>
      <c r="H812">
        <f>IF(OR(H$4="",$A812&gt;TODAY()),0,IF(OR(INDEX($B812:$D812,H$5)="F",AND(H$6&gt;0,$A812&lt;H$6),AND(H$7&gt;0,$A812&gt;H$7)),0,MAX(0,ROUND((INDEX($E812:$G812,H$5)-SUMIFS(TF_Timer,TF_Tekniker,H$4,TF_Dato,$A812))*2,0)/2)))</f>
        <v/>
      </c>
      <c r="I812">
        <f>IF(OR(I$4="",$A812&gt;TODAY()),0,IF(OR(INDEX($B812:$D812,I$5)="F",AND(I$6&gt;0,$A812&lt;I$6),AND(I$7&gt;0,$A812&gt;I$7)),0,MAX(0,ROUND((INDEX($E812:$G812,I$5)-SUMIFS(TF_Timer,TF_Tekniker,I$4,TF_Dato,$A812))*2,0)/2)))</f>
        <v/>
      </c>
      <c r="J812">
        <f>IF(OR(J$4="",$A812&gt;TODAY()),0,IF(OR(INDEX($B812:$D812,J$5)="F",AND(J$6&gt;0,$A812&lt;J$6),AND(J$7&gt;0,$A812&gt;J$7)),0,MAX(0,ROUND((INDEX($E812:$G812,J$5)-SUMIFS(TF_Timer,TF_Tekniker,J$4,TF_Dato,$A812))*2,0)/2)))</f>
        <v/>
      </c>
      <c r="K812">
        <f>IF(OR(K$4="",$A812&gt;TODAY()),0,IF(OR(INDEX($B812:$D812,K$5)="F",AND(K$6&gt;0,$A812&lt;K$6),AND(K$7&gt;0,$A812&gt;K$7)),0,MAX(0,ROUND((INDEX($E812:$G812,K$5)-SUMIFS(TF_Timer,TF_Tekniker,K$4,TF_Dato,$A812))*2,0)/2)))</f>
        <v/>
      </c>
      <c r="L812">
        <f>IF(OR(L$4="",$A812&gt;TODAY()),0,IF(OR(INDEX($B812:$D812,L$5)="F",AND(L$6&gt;0,$A812&lt;L$6),AND(L$7&gt;0,$A812&gt;L$7)),0,MAX(0,ROUND((INDEX($E812:$G812,L$5)-SUMIFS(TF_Timer,TF_Tekniker,L$4,TF_Dato,$A812))*2,0)/2)))</f>
        <v/>
      </c>
      <c r="M812">
        <f>IF(OR(M$4="",$A812&gt;TODAY()),0,IF(OR(INDEX($B812:$D812,M$5)="F",AND(M$6&gt;0,$A812&lt;M$6),AND(M$7&gt;0,$A812&gt;M$7)),0,MAX(0,ROUND((INDEX($E812:$G812,M$5)-SUMIFS(TF_Timer,TF_Tekniker,M$4,TF_Dato,$A812))*2,0)/2)))</f>
        <v/>
      </c>
      <c r="N812">
        <f>IF(OR(N$4="",$A812&gt;TODAY()),0,IF(OR(INDEX($B812:$D812,N$5)="F",AND(N$6&gt;0,$A812&lt;N$6),AND(N$7&gt;0,$A812&gt;N$7)),0,MAX(0,ROUND((INDEX($E812:$G812,N$5)-SUMIFS(TF_Timer,TF_Tekniker,N$4,TF_Dato,$A812))*2,0)/2)))</f>
        <v/>
      </c>
      <c r="O812">
        <f>IF(OR(O$4="",$A812&gt;TODAY()),0,IF(OR(INDEX($B812:$D812,O$5)="F",AND(O$6&gt;0,$A812&lt;O$6),AND(O$7&gt;0,$A812&gt;O$7)),0,MAX(0,ROUND((INDEX($E812:$G812,O$5)-SUMIFS(TF_Timer,TF_Tekniker,O$4,TF_Dato,$A812))*2,0)/2)))</f>
        <v/>
      </c>
      <c r="P812">
        <f>IF(OR(P$4="",$A812&gt;TODAY()),0,IF(OR(INDEX($B812:$D812,P$5)="F",AND(P$6&gt;0,$A812&lt;P$6),AND(P$7&gt;0,$A812&gt;P$7)),0,MAX(0,ROUND((INDEX($E812:$G812,P$5)-SUMIFS(TF_Timer,TF_Tekniker,P$4,TF_Dato,$A812))*2,0)/2)))</f>
        <v/>
      </c>
      <c r="Q812">
        <f>IF(OR(Q$4="",$A812&gt;TODAY()),0,IF(OR(INDEX($B812:$D812,Q$5)="F",AND(Q$6&gt;0,$A812&lt;Q$6),AND(Q$7&gt;0,$A812&gt;Q$7)),0,MAX(0,ROUND((INDEX($E812:$G812,Q$5)-SUMIFS(TF_Timer,TF_Tekniker,Q$4,TF_Dato,$A812))*2,0)/2)))</f>
        <v/>
      </c>
      <c r="R812">
        <f>IF(OR(R$4="",$A812&gt;TODAY()),0,IF(OR(INDEX($B812:$D812,R$5)="F",AND(R$6&gt;0,$A812&lt;R$6),AND(R$7&gt;0,$A812&gt;R$7)),0,MAX(0,ROUND((INDEX($E812:$G812,R$5)-SUMIFS(TF_Timer,TF_Tekniker,R$4,TF_Dato,$A812))*2,0)/2)))</f>
        <v/>
      </c>
      <c r="S812">
        <f>IF(OR(S$4="",$A812&gt;TODAY()),0,IF(OR(INDEX($B812:$D812,S$5)="F",AND(S$6&gt;0,$A812&lt;S$6),AND(S$7&gt;0,$A812&gt;S$7)),0,MAX(0,ROUND((INDEX($E812:$G812,S$5)-SUMIFS(TF_Timer,TF_Tekniker,S$4,TF_Dato,$A812))*2,0)/2)))</f>
        <v/>
      </c>
      <c r="T812">
        <f>IF(OR(T$4="",$A812&gt;TODAY()),0,IF(OR(INDEX($B812:$D812,T$5)="F",AND(T$6&gt;0,$A812&lt;T$6),AND(T$7&gt;0,$A812&gt;T$7)),0,MAX(0,ROUND((INDEX($E812:$G812,T$5)-SUMIFS(TF_Timer,TF_Tekniker,T$4,TF_Dato,$A812))*2,0)/2)))</f>
        <v/>
      </c>
      <c r="U812">
        <f>IF(OR(U$4="",$A812&gt;TODAY()),0,IF(OR(INDEX($B812:$D812,U$5)="F",AND(U$6&gt;0,$A812&lt;U$6),AND(U$7&gt;0,$A812&gt;U$7)),0,MAX(0,ROUND((INDEX($E812:$G812,U$5)-SUMIFS(TF_Timer,TF_Tekniker,U$4,TF_Dato,$A812))*2,0)/2)))</f>
        <v/>
      </c>
      <c r="V812">
        <f>IF(OR(V$4="",$A812&gt;TODAY()),0,IF(OR(INDEX($B812:$D812,V$5)="F",AND(V$6&gt;0,$A812&lt;V$6),AND(V$7&gt;0,$A812&gt;V$7)),0,MAX(0,ROUND((INDEX($E812:$G812,V$5)-SUMIFS(TF_Timer,TF_Tekniker,V$4,TF_Dato,$A812))*2,0)/2)))</f>
        <v/>
      </c>
      <c r="W812">
        <f>IF(OR(W$4="",$A812&gt;TODAY()),0,IF(OR(INDEX($B812:$D812,W$5)="F",AND(W$6&gt;0,$A812&lt;W$6),AND(W$7&gt;0,$A812&gt;W$7)),0,MAX(0,ROUND((INDEX($E812:$G812,W$5)-SUMIFS(TF_Timer,TF_Tekniker,W$4,TF_Dato,$A812))*2,0)/2)))</f>
        <v/>
      </c>
      <c r="X812">
        <f>IF(OR(X$4="",$A812&gt;TODAY()),0,IF(OR(INDEX($B812:$D812,X$5)="F",AND(X$6&gt;0,$A812&lt;X$6),AND(X$7&gt;0,$A812&gt;X$7)),0,MAX(0,ROUND((INDEX($E812:$G812,X$5)-SUMIFS(TF_Timer,TF_Tekniker,X$4,TF_Dato,$A812))*2,0)/2)))</f>
        <v/>
      </c>
      <c r="Y812">
        <f>IF(OR(Y$4="",$A812&gt;TODAY()),0,IF(OR(INDEX($B812:$D812,Y$5)="F",AND(Y$6&gt;0,$A812&lt;Y$6),AND(Y$7&gt;0,$A812&gt;Y$7)),0,MAX(0,ROUND((INDEX($E812:$G812,Y$5)-SUMIFS(TF_Timer,TF_Tekniker,Y$4,TF_Dato,$A812))*2,0)/2)))</f>
        <v/>
      </c>
      <c r="Z812">
        <f>IF(OR(Z$4="",$A812&gt;TODAY()),0,IF(OR(INDEX($B812:$D812,Z$5)="F",AND(Z$6&gt;0,$A812&lt;Z$6),AND(Z$7&gt;0,$A812&gt;Z$7)),0,MAX(0,ROUND((INDEX($E812:$G812,Z$5)-SUMIFS(TF_Timer,TF_Tekniker,Z$4,TF_Dato,$A812))*2,0)/2)))</f>
        <v/>
      </c>
      <c r="AA812">
        <f>IF(OR(AA$4="",$A812&gt;TODAY()),0,IF(OR(INDEX($B812:$D812,AA$5)="F",AND(AA$6&gt;0,$A812&lt;AA$6),AND(AA$7&gt;0,$A812&gt;AA$7)),0,MAX(0,ROUND((INDEX($E812:$G812,AA$5)-SUMIFS(TF_Timer,TF_Tekniker,AA$4,TF_Dato,$A812))*2,0)/2)))</f>
        <v/>
      </c>
      <c r="AB812">
        <f>IF(OR(AB$4="",$A812&gt;TODAY()),0,IF(OR(INDEX($B812:$D812,AB$5)="F",AND(AB$6&gt;0,$A812&lt;AB$6),AND(AB$7&gt;0,$A812&gt;AB$7)),0,MAX(0,ROUND((INDEX($E812:$G812,AB$5)-SUMIFS(TF_Timer,TF_Tekniker,AB$4,TF_Dato,$A812))*2,0)/2)))</f>
        <v/>
      </c>
      <c r="AC812">
        <f>IF(OR(AC$4="",$A812&gt;TODAY()),0,IF(OR(INDEX($B812:$D812,AC$5)="F",AND(AC$6&gt;0,$A812&lt;AC$6),AND(AC$7&gt;0,$A812&gt;AC$7)),0,MAX(0,ROUND((INDEX($E812:$G812,AC$5)-SUMIFS(TF_Timer,TF_Tekniker,AC$4,TF_Dato,$A812))*2,0)/2)))</f>
        <v/>
      </c>
      <c r="AD812">
        <f>IF(OR(AD$4="",$A812&gt;TODAY()),0,IF(OR(INDEX($B812:$D812,AD$5)="F",AND(AD$6&gt;0,$A812&lt;AD$6),AND(AD$7&gt;0,$A812&gt;AD$7)),0,MAX(0,ROUND((INDEX($E812:$G812,AD$5)-SUMIFS(TF_Timer,TF_Tekniker,AD$4,TF_Dato,$A812))*2,0)/2)))</f>
        <v/>
      </c>
      <c r="AE812">
        <f>IF(OR(AE$4="",$A812&gt;TODAY()),0,IF(OR(INDEX($B812:$D812,AE$5)="F",AND(AE$6&gt;0,$A812&lt;AE$6),AND(AE$7&gt;0,$A812&gt;AE$7)),0,MAX(0,ROUND((INDEX($E812:$G812,AE$5)-SUMIFS(TF_Timer,TF_Tekniker,AE$4,TF_Dato,$A812))*2,0)/2)))</f>
        <v/>
      </c>
      <c r="AF812">
        <f>IF(OR(AF$4="",$A812&gt;TODAY()),0,IF(OR(INDEX($B812:$D812,AF$5)="F",AND(AF$6&gt;0,$A812&lt;AF$6),AND(AF$7&gt;0,$A812&gt;AF$7)),0,MAX(0,ROUND((INDEX($E812:$G812,AF$5)-SUMIFS(TF_Timer,TF_Tekniker,AF$4,TF_Dato,$A812))*2,0)/2)))</f>
        <v/>
      </c>
      <c r="AG812">
        <f>IF(OR(AG$4="",$A812&gt;TODAY()),0,IF(OR(INDEX($B812:$D812,AG$5)="F",AND(AG$6&gt;0,$A812&lt;AG$6),AND(AG$7&gt;0,$A812&gt;AG$7)),0,MAX(0,ROUND((INDEX($E812:$G812,AG$5)-SUMIFS(TF_Timer,TF_Tekniker,AG$4,TF_Dato,$A812))*2,0)/2)))</f>
        <v/>
      </c>
      <c r="AH812">
        <f>IF(OR(AH$4="",$A812&gt;TODAY()),0,IF(OR(INDEX($B812:$D812,AH$5)="F",AND(AH$6&gt;0,$A812&lt;AH$6),AND(AH$7&gt;0,$A812&gt;AH$7)),0,MAX(0,ROUND((INDEX($E812:$G812,AH$5)-SUMIFS(TF_Timer,TF_Tekniker,AH$4,TF_Dato,$A812))*2,0)/2)))</f>
        <v/>
      </c>
      <c r="AI812">
        <f>IF(OR(AI$4="",$A812&gt;TODAY()),0,IF(OR(INDEX($B812:$D812,AI$5)="F",AND(AI$6&gt;0,$A812&lt;AI$6),AND(AI$7&gt;0,$A812&gt;AI$7)),0,MAX(0,ROUND((INDEX($E812:$G812,AI$5)-SUMIFS(TF_Timer,TF_Tekniker,AI$4,TF_Dato,$A812))*2,0)/2)))</f>
        <v/>
      </c>
      <c r="AJ812">
        <f>IF(OR(AJ$4="",$A812&gt;TODAY()),0,IF(OR(INDEX($B812:$D812,AJ$5)="F",AND(AJ$6&gt;0,$A812&lt;AJ$6),AND(AJ$7&gt;0,$A812&gt;AJ$7)),0,MAX(0,ROUND((INDEX($E812:$G812,AJ$5)-SUMIFS(TF_Timer,TF_Tekniker,AJ$4,TF_Dato,$A812))*2,0)/2)))</f>
        <v/>
      </c>
      <c r="AK812">
        <f>IF(OR(AK$4="",$A812&gt;TODAY()),0,IF(OR(INDEX($B812:$D812,AK$5)="F",AND(AK$6&gt;0,$A812&lt;AK$6),AND(AK$7&gt;0,$A812&gt;AK$7)),0,MAX(0,ROUND((INDEX($E812:$G812,AK$5)-SUMIFS(TF_Timer,TF_Tekniker,AK$4,TF_Dato,$A812))*2,0)/2)))</f>
        <v/>
      </c>
      <c r="AL812">
        <f>IF(OR(AL$4="",$A812&gt;TODAY()),0,IF(OR(INDEX($B812:$D812,AL$5)="F",AND(AL$6&gt;0,$A812&lt;AL$6),AND(AL$7&gt;0,$A812&gt;AL$7)),0,MAX(0,ROUND((INDEX($E812:$G812,AL$5)-SUMIFS(TF_Timer,TF_Tekniker,AL$4,TF_Dato,$A812))*2,0)/2)))</f>
        <v/>
      </c>
      <c r="AM812">
        <f>IF(OR(AM$4="",$A812&gt;TODAY()),0,IF(OR(INDEX($B812:$D812,AM$5)="F",AND(AM$6&gt;0,$A812&lt;AM$6),AND(AM$7&gt;0,$A812&gt;AM$7)),0,MAX(0,ROUND((INDEX($E812:$G812,AM$5)-SUMIFS(TF_Timer,TF_Tekniker,AM$4,TF_Dato,$A812))*2,0)/2)))</f>
        <v/>
      </c>
      <c r="AN812">
        <f>IF(OR(AN$4="",$A812&gt;TODAY()),0,IF(OR(INDEX($B812:$D812,AN$5)="F",AND(AN$6&gt;0,$A812&lt;AN$6),AND(AN$7&gt;0,$A812&gt;AN$7)),0,MAX(0,ROUND((INDEX($E812:$G812,AN$5)-SUMIFS(TF_Timer,TF_Tekniker,AN$4,TF_Dato,$A812))*2,0)/2)))</f>
        <v/>
      </c>
      <c r="AO812">
        <f>IF(OR(AO$4="",$A812&gt;TODAY()),0,IF(OR(INDEX($B812:$D812,AO$5)="F",AND(AO$6&gt;0,$A812&lt;AO$6),AND(AO$7&gt;0,$A812&gt;AO$7)),0,MAX(0,ROUND((INDEX($E812:$G812,AO$5)-SUMIFS(TF_Timer,TF_Tekniker,AO$4,TF_Dato,$A812))*2,0)/2)))</f>
        <v/>
      </c>
      <c r="AP812">
        <f>IF(OR(AP$4="",$A812&gt;TODAY()),0,IF(OR(INDEX($B812:$D812,AP$5)="F",AND(AP$6&gt;0,$A812&lt;AP$6),AND(AP$7&gt;0,$A812&gt;AP$7)),0,MAX(0,ROUND((INDEX($E812:$G812,AP$5)-SUMIFS(TF_Timer,TF_Tekniker,AP$4,TF_Dato,$A812))*2,0)/2)))</f>
        <v/>
      </c>
      <c r="AQ812">
        <f>IF(OR(AQ$4="",$A812&gt;TODAY()),0,IF(OR(INDEX($B812:$D812,AQ$5)="F",AND(AQ$6&gt;0,$A812&lt;AQ$6),AND(AQ$7&gt;0,$A812&gt;AQ$7)),0,MAX(0,ROUND((INDEX($E812:$G812,AQ$5)-SUMIFS(TF_Timer,TF_Tekniker,AQ$4,TF_Dato,$A812))*2,0)/2)))</f>
        <v/>
      </c>
      <c r="AR812">
        <f>IF(OR(AR$4="",$A812&gt;TODAY()),0,IF(OR(INDEX($B812:$D812,AR$5)="F",AND(AR$6&gt;0,$A812&lt;AR$6),AND(AR$7&gt;0,$A812&gt;AR$7)),0,MAX(0,ROUND((INDEX($E812:$G812,AR$5)-SUMIFS(TF_Timer,TF_Tekniker,AR$4,TF_Dato,$A812))*2,0)/2)))</f>
        <v/>
      </c>
      <c r="AS812">
        <f>IF(OR(AS$4="",$A812&gt;TODAY()),0,IF(OR(INDEX($B812:$D812,AS$5)="F",AND(AS$6&gt;0,$A812&lt;AS$6),AND(AS$7&gt;0,$A812&gt;AS$7)),0,MAX(0,ROUND((INDEX($E812:$G812,AS$5)-SUMIFS(TF_Timer,TF_Tekniker,AS$4,TF_Dato,$A812))*2,0)/2)))</f>
        <v/>
      </c>
      <c r="AT812">
        <f>IF(OR(AT$4="",$A812&gt;TODAY()),0,IF(OR(INDEX($B812:$D812,AT$5)="F",AND(AT$6&gt;0,$A812&lt;AT$6),AND(AT$7&gt;0,$A812&gt;AT$7)),0,MAX(0,ROUND((INDEX($E812:$G812,AT$5)-SUMIFS(TF_Timer,TF_Tekniker,AT$4,TF_Dato,$A812))*2,0)/2)))</f>
        <v/>
      </c>
      <c r="AU812">
        <f>IF(OR(AU$4="",$A812&gt;TODAY()),0,IF(OR(INDEX($B812:$D812,AU$5)="F",AND(AU$6&gt;0,$A812&lt;AU$6),AND(AU$7&gt;0,$A812&gt;AU$7)),0,MAX(0,ROUND((INDEX($E812:$G812,AU$5)-SUMIFS(TF_Timer,TF_Tekniker,AU$4,TF_Dato,$A812))*2,0)/2)))</f>
        <v/>
      </c>
      <c r="AV812">
        <f>IF(OR(AV$4="",$A812&gt;TODAY()),0,IF(OR(INDEX($B812:$D812,AV$5)="F",AND(AV$6&gt;0,$A812&lt;AV$6),AND(AV$7&gt;0,$A812&gt;AV$7)),0,MAX(0,ROUND((INDEX($E812:$G812,AV$5)-SUMIFS(TF_Timer,TF_Tekniker,AV$4,TF_Dato,$A812))*2,0)/2)))</f>
        <v/>
      </c>
      <c r="AW812">
        <f>IF(OR(AW$4="",$A812&gt;TODAY()),0,IF(OR(INDEX($B812:$D812,AW$5)="F",AND(AW$6&gt;0,$A812&lt;AW$6),AND(AW$7&gt;0,$A812&gt;AW$7)),0,MAX(0,ROUND((INDEX($E812:$G812,AW$5)-SUMIFS(TF_Timer,TF_Tekniker,AW$4,TF_Dato,$A812))*2,0)/2)))</f>
        <v/>
      </c>
      <c r="AX812">
        <f>IF(OR(AX$4="",$A812&gt;TODAY()),0,IF(OR(INDEX($B812:$D812,AX$5)="F",AND(AX$6&gt;0,$A812&lt;AX$6),AND(AX$7&gt;0,$A812&gt;AX$7)),0,MAX(0,ROUND((INDEX($E812:$G812,AX$5)-SUMIFS(TF_Timer,TF_Tekniker,AX$4,TF_Dato,$A812))*2,0)/2)))</f>
        <v/>
      </c>
      <c r="AY812">
        <f>IF(OR(AY$4="",$A812&gt;TODAY()),0,IF(OR(INDEX($B812:$D812,AY$5)="F",AND(AY$6&gt;0,$A812&lt;AY$6),AND(AY$7&gt;0,$A812&gt;AY$7)),0,MAX(0,ROUND((INDEX($E812:$G812,AY$5)-SUMIFS(TF_Timer,TF_Tekniker,AY$4,TF_Dato,$A812))*2,0)/2)))</f>
        <v/>
      </c>
      <c r="AZ812">
        <f>IF(OR(AZ$4="",$A812&gt;TODAY()),0,IF(OR(INDEX($B812:$D812,AZ$5)="F",AND(AZ$6&gt;0,$A812&lt;AZ$6),AND(AZ$7&gt;0,$A812&gt;AZ$7)),0,MAX(0,ROUND((INDEX($E812:$G812,AZ$5)-SUMIFS(TF_Timer,TF_Tekniker,AZ$4,TF_Dato,$A812))*2,0)/2)))</f>
        <v/>
      </c>
      <c r="BA812">
        <f>IF(OR(BA$4="",$A812&gt;TODAY()),0,IF(OR(INDEX($B812:$D812,BA$5)="F",AND(BA$6&gt;0,$A812&lt;BA$6),AND(BA$7&gt;0,$A812&gt;BA$7)),0,MAX(0,ROUND((INDEX($E812:$G812,BA$5)-SUMIFS(TF_Timer,TF_Tekniker,BA$4,TF_Dato,$A812))*2,0)/2)))</f>
        <v/>
      </c>
      <c r="BB812">
        <f>IF(OR(BB$4="",$A812&gt;TODAY()),0,IF(OR(INDEX($B812:$D812,BB$5)="F",AND(BB$6&gt;0,$A812&lt;BB$6),AND(BB$7&gt;0,$A812&gt;BB$7)),0,MAX(0,ROUND((INDEX($E812:$G812,BB$5)-SUMIFS(TF_Timer,TF_Tekniker,BB$4,TF_Dato,$A812))*2,0)/2)))</f>
        <v/>
      </c>
      <c r="BC812">
        <f>IF(OR(BC$4="",$A812&gt;TODAY()),0,IF(OR(INDEX($B812:$D812,BC$5)="F",AND(BC$6&gt;0,$A812&lt;BC$6),AND(BC$7&gt;0,$A812&gt;BC$7)),0,MAX(0,ROUND((INDEX($E812:$G812,BC$5)-SUMIFS(TF_Timer,TF_Tekniker,BC$4,TF_Dato,$A812))*2,0)/2)))</f>
        <v/>
      </c>
      <c r="BD812">
        <f>IF(OR(BD$4="",$A812&gt;TODAY()),0,IF(OR(INDEX($B812:$D812,BD$5)="F",AND(BD$6&gt;0,$A812&lt;BD$6),AND(BD$7&gt;0,$A812&gt;BD$7)),0,MAX(0,ROUND((INDEX($E812:$G812,BD$5)-SUMIFS(TF_Timer,TF_Tekniker,BD$4,TF_Dato,$A812))*2,0)/2)))</f>
        <v/>
      </c>
      <c r="BE812">
        <f>IF(OR(BE$4="",$A812&gt;TODAY()),0,IF(OR(INDEX($B812:$D812,BE$5)="F",AND(BE$6&gt;0,$A812&lt;BE$6),AND(BE$7&gt;0,$A812&gt;BE$7)),0,MAX(0,ROUND((INDEX($E812:$G812,BE$5)-SUMIFS(TF_Timer,TF_Tekniker,BE$4,TF_Dato,$A812))*2,0)/2)))</f>
        <v/>
      </c>
      <c r="BF812">
        <f>IF(OR(BF$4="",$A812&gt;TODAY()),0,IF(OR(INDEX($B812:$D812,BF$5)="F",AND(BF$6&gt;0,$A812&lt;BF$6),AND(BF$7&gt;0,$A812&gt;BF$7)),0,MAX(0,ROUND((INDEX($E812:$G812,BF$5)-SUMIFS(TF_Timer,TF_Tekniker,BF$4,TF_Dato,$A812))*2,0)/2)))</f>
        <v/>
      </c>
      <c r="BG812">
        <f>IF(OR(BG$4="",$A812&gt;TODAY()),0,IF(OR(INDEX($B812:$D812,BG$5)="F",AND(BG$6&gt;0,$A812&lt;BG$6),AND(BG$7&gt;0,$A812&gt;BG$7)),0,MAX(0,ROUND((INDEX($E812:$G812,BG$5)-SUMIFS(TF_Timer,TF_Tekniker,BG$4,TF_Dato,$A812))*2,0)/2)))</f>
        <v/>
      </c>
      <c r="BH812">
        <f>IF(OR(BH$4="",$A812&gt;TODAY()),0,IF(OR(INDEX($B812:$D812,BH$5)="F",AND(BH$6&gt;0,$A812&lt;BH$6),AND(BH$7&gt;0,$A812&gt;BH$7)),0,MAX(0,ROUND((INDEX($E812:$G812,BH$5)-SUMIFS(TF_Timer,TF_Tekniker,BH$4,TF_Dato,$A812))*2,0)/2)))</f>
        <v/>
      </c>
      <c r="BI812">
        <f>IF(OR(BI$4="",$A812&gt;TODAY()),0,IF(OR(INDEX($B812:$D812,BI$5)="F",AND(BI$6&gt;0,$A812&lt;BI$6),AND(BI$7&gt;0,$A812&gt;BI$7)),0,MAX(0,ROUND((INDEX($E812:$G812,BI$5)-SUMIFS(TF_Timer,TF_Tekniker,BI$4,TF_Dato,$A812))*2,0)/2)))</f>
        <v/>
      </c>
    </row>
    <row r="813">
      <c r="A813" s="64">
        <f>A812+1</f>
        <v/>
      </c>
      <c r="B813">
        <f>IF(MOD($A813-INDEX(SkiftStart,1),Syklus)&lt;DagK,"K",IF(MOD($A813-INDEX(SkiftStart,1),Syklus)&lt;DagK+DagH,"H",IF(MOD($A813-INDEX(SkiftStart,1),Syklus)&lt;DagK+DagH+DagD,"D","F")))</f>
        <v/>
      </c>
      <c r="C813">
        <f>IF(MOD($A813-INDEX(SkiftStart,2),Syklus)&lt;DagK,"K",IF(MOD($A813-INDEX(SkiftStart,2),Syklus)&lt;DagK+DagH,"H",IF(MOD($A813-INDEX(SkiftStart,2),Syklus)&lt;DagK+DagH+DagD,"D","F")))</f>
        <v/>
      </c>
      <c r="D813">
        <f>IF(MOD($A813-INDEX(SkiftStart,3),Syklus)&lt;DagK,"K",IF(MOD($A813-INDEX(SkiftStart,3),Syklus)&lt;DagK+DagH,"H",IF(MOD($A813-INDEX(SkiftStart,3),Syklus)&lt;DagK+DagH+DagD,"D","F")))</f>
        <v/>
      </c>
      <c r="E813">
        <f>IF(B813="F",0,IF(WEEKDAY($A813,2)=5,INDEX(TimerFr,MATCH(B813,FaseKode,0)),INDEX(TimerMT,MATCH(B813,FaseKode,0))))</f>
        <v/>
      </c>
      <c r="F813">
        <f>IF(C813="F",0,IF(WEEKDAY($A813,2)=5,INDEX(TimerFr,MATCH(C813,FaseKode,0)),INDEX(TimerMT,MATCH(C813,FaseKode,0))))</f>
        <v/>
      </c>
      <c r="G813">
        <f>IF(D813="F",0,IF(WEEKDAY($A813,2)=5,INDEX(TimerFr,MATCH(D813,FaseKode,0)),INDEX(TimerMT,MATCH(D813,FaseKode,0))))</f>
        <v/>
      </c>
      <c r="H813">
        <f>IF(OR(H$4="",$A813&gt;TODAY()),0,IF(OR(INDEX($B813:$D813,H$5)="F",AND(H$6&gt;0,$A813&lt;H$6),AND(H$7&gt;0,$A813&gt;H$7)),0,MAX(0,ROUND((INDEX($E813:$G813,H$5)-SUMIFS(TF_Timer,TF_Tekniker,H$4,TF_Dato,$A813))*2,0)/2)))</f>
        <v/>
      </c>
      <c r="I813">
        <f>IF(OR(I$4="",$A813&gt;TODAY()),0,IF(OR(INDEX($B813:$D813,I$5)="F",AND(I$6&gt;0,$A813&lt;I$6),AND(I$7&gt;0,$A813&gt;I$7)),0,MAX(0,ROUND((INDEX($E813:$G813,I$5)-SUMIFS(TF_Timer,TF_Tekniker,I$4,TF_Dato,$A813))*2,0)/2)))</f>
        <v/>
      </c>
      <c r="J813">
        <f>IF(OR(J$4="",$A813&gt;TODAY()),0,IF(OR(INDEX($B813:$D813,J$5)="F",AND(J$6&gt;0,$A813&lt;J$6),AND(J$7&gt;0,$A813&gt;J$7)),0,MAX(0,ROUND((INDEX($E813:$G813,J$5)-SUMIFS(TF_Timer,TF_Tekniker,J$4,TF_Dato,$A813))*2,0)/2)))</f>
        <v/>
      </c>
      <c r="K813">
        <f>IF(OR(K$4="",$A813&gt;TODAY()),0,IF(OR(INDEX($B813:$D813,K$5)="F",AND(K$6&gt;0,$A813&lt;K$6),AND(K$7&gt;0,$A813&gt;K$7)),0,MAX(0,ROUND((INDEX($E813:$G813,K$5)-SUMIFS(TF_Timer,TF_Tekniker,K$4,TF_Dato,$A813))*2,0)/2)))</f>
        <v/>
      </c>
      <c r="L813">
        <f>IF(OR(L$4="",$A813&gt;TODAY()),0,IF(OR(INDEX($B813:$D813,L$5)="F",AND(L$6&gt;0,$A813&lt;L$6),AND(L$7&gt;0,$A813&gt;L$7)),0,MAX(0,ROUND((INDEX($E813:$G813,L$5)-SUMIFS(TF_Timer,TF_Tekniker,L$4,TF_Dato,$A813))*2,0)/2)))</f>
        <v/>
      </c>
      <c r="M813">
        <f>IF(OR(M$4="",$A813&gt;TODAY()),0,IF(OR(INDEX($B813:$D813,M$5)="F",AND(M$6&gt;0,$A813&lt;M$6),AND(M$7&gt;0,$A813&gt;M$7)),0,MAX(0,ROUND((INDEX($E813:$G813,M$5)-SUMIFS(TF_Timer,TF_Tekniker,M$4,TF_Dato,$A813))*2,0)/2)))</f>
        <v/>
      </c>
      <c r="N813">
        <f>IF(OR(N$4="",$A813&gt;TODAY()),0,IF(OR(INDEX($B813:$D813,N$5)="F",AND(N$6&gt;0,$A813&lt;N$6),AND(N$7&gt;0,$A813&gt;N$7)),0,MAX(0,ROUND((INDEX($E813:$G813,N$5)-SUMIFS(TF_Timer,TF_Tekniker,N$4,TF_Dato,$A813))*2,0)/2)))</f>
        <v/>
      </c>
      <c r="O813">
        <f>IF(OR(O$4="",$A813&gt;TODAY()),0,IF(OR(INDEX($B813:$D813,O$5)="F",AND(O$6&gt;0,$A813&lt;O$6),AND(O$7&gt;0,$A813&gt;O$7)),0,MAX(0,ROUND((INDEX($E813:$G813,O$5)-SUMIFS(TF_Timer,TF_Tekniker,O$4,TF_Dato,$A813))*2,0)/2)))</f>
        <v/>
      </c>
      <c r="P813">
        <f>IF(OR(P$4="",$A813&gt;TODAY()),0,IF(OR(INDEX($B813:$D813,P$5)="F",AND(P$6&gt;0,$A813&lt;P$6),AND(P$7&gt;0,$A813&gt;P$7)),0,MAX(0,ROUND((INDEX($E813:$G813,P$5)-SUMIFS(TF_Timer,TF_Tekniker,P$4,TF_Dato,$A813))*2,0)/2)))</f>
        <v/>
      </c>
      <c r="Q813">
        <f>IF(OR(Q$4="",$A813&gt;TODAY()),0,IF(OR(INDEX($B813:$D813,Q$5)="F",AND(Q$6&gt;0,$A813&lt;Q$6),AND(Q$7&gt;0,$A813&gt;Q$7)),0,MAX(0,ROUND((INDEX($E813:$G813,Q$5)-SUMIFS(TF_Timer,TF_Tekniker,Q$4,TF_Dato,$A813))*2,0)/2)))</f>
        <v/>
      </c>
      <c r="R813">
        <f>IF(OR(R$4="",$A813&gt;TODAY()),0,IF(OR(INDEX($B813:$D813,R$5)="F",AND(R$6&gt;0,$A813&lt;R$6),AND(R$7&gt;0,$A813&gt;R$7)),0,MAX(0,ROUND((INDEX($E813:$G813,R$5)-SUMIFS(TF_Timer,TF_Tekniker,R$4,TF_Dato,$A813))*2,0)/2)))</f>
        <v/>
      </c>
      <c r="S813">
        <f>IF(OR(S$4="",$A813&gt;TODAY()),0,IF(OR(INDEX($B813:$D813,S$5)="F",AND(S$6&gt;0,$A813&lt;S$6),AND(S$7&gt;0,$A813&gt;S$7)),0,MAX(0,ROUND((INDEX($E813:$G813,S$5)-SUMIFS(TF_Timer,TF_Tekniker,S$4,TF_Dato,$A813))*2,0)/2)))</f>
        <v/>
      </c>
      <c r="T813">
        <f>IF(OR(T$4="",$A813&gt;TODAY()),0,IF(OR(INDEX($B813:$D813,T$5)="F",AND(T$6&gt;0,$A813&lt;T$6),AND(T$7&gt;0,$A813&gt;T$7)),0,MAX(0,ROUND((INDEX($E813:$G813,T$5)-SUMIFS(TF_Timer,TF_Tekniker,T$4,TF_Dato,$A813))*2,0)/2)))</f>
        <v/>
      </c>
      <c r="U813">
        <f>IF(OR(U$4="",$A813&gt;TODAY()),0,IF(OR(INDEX($B813:$D813,U$5)="F",AND(U$6&gt;0,$A813&lt;U$6),AND(U$7&gt;0,$A813&gt;U$7)),0,MAX(0,ROUND((INDEX($E813:$G813,U$5)-SUMIFS(TF_Timer,TF_Tekniker,U$4,TF_Dato,$A813))*2,0)/2)))</f>
        <v/>
      </c>
      <c r="V813">
        <f>IF(OR(V$4="",$A813&gt;TODAY()),0,IF(OR(INDEX($B813:$D813,V$5)="F",AND(V$6&gt;0,$A813&lt;V$6),AND(V$7&gt;0,$A813&gt;V$7)),0,MAX(0,ROUND((INDEX($E813:$G813,V$5)-SUMIFS(TF_Timer,TF_Tekniker,V$4,TF_Dato,$A813))*2,0)/2)))</f>
        <v/>
      </c>
      <c r="W813">
        <f>IF(OR(W$4="",$A813&gt;TODAY()),0,IF(OR(INDEX($B813:$D813,W$5)="F",AND(W$6&gt;0,$A813&lt;W$6),AND(W$7&gt;0,$A813&gt;W$7)),0,MAX(0,ROUND((INDEX($E813:$G813,W$5)-SUMIFS(TF_Timer,TF_Tekniker,W$4,TF_Dato,$A813))*2,0)/2)))</f>
        <v/>
      </c>
      <c r="X813">
        <f>IF(OR(X$4="",$A813&gt;TODAY()),0,IF(OR(INDEX($B813:$D813,X$5)="F",AND(X$6&gt;0,$A813&lt;X$6),AND(X$7&gt;0,$A813&gt;X$7)),0,MAX(0,ROUND((INDEX($E813:$G813,X$5)-SUMIFS(TF_Timer,TF_Tekniker,X$4,TF_Dato,$A813))*2,0)/2)))</f>
        <v/>
      </c>
      <c r="Y813">
        <f>IF(OR(Y$4="",$A813&gt;TODAY()),0,IF(OR(INDEX($B813:$D813,Y$5)="F",AND(Y$6&gt;0,$A813&lt;Y$6),AND(Y$7&gt;0,$A813&gt;Y$7)),0,MAX(0,ROUND((INDEX($E813:$G813,Y$5)-SUMIFS(TF_Timer,TF_Tekniker,Y$4,TF_Dato,$A813))*2,0)/2)))</f>
        <v/>
      </c>
      <c r="Z813">
        <f>IF(OR(Z$4="",$A813&gt;TODAY()),0,IF(OR(INDEX($B813:$D813,Z$5)="F",AND(Z$6&gt;0,$A813&lt;Z$6),AND(Z$7&gt;0,$A813&gt;Z$7)),0,MAX(0,ROUND((INDEX($E813:$G813,Z$5)-SUMIFS(TF_Timer,TF_Tekniker,Z$4,TF_Dato,$A813))*2,0)/2)))</f>
        <v/>
      </c>
      <c r="AA813">
        <f>IF(OR(AA$4="",$A813&gt;TODAY()),0,IF(OR(INDEX($B813:$D813,AA$5)="F",AND(AA$6&gt;0,$A813&lt;AA$6),AND(AA$7&gt;0,$A813&gt;AA$7)),0,MAX(0,ROUND((INDEX($E813:$G813,AA$5)-SUMIFS(TF_Timer,TF_Tekniker,AA$4,TF_Dato,$A813))*2,0)/2)))</f>
        <v/>
      </c>
      <c r="AB813">
        <f>IF(OR(AB$4="",$A813&gt;TODAY()),0,IF(OR(INDEX($B813:$D813,AB$5)="F",AND(AB$6&gt;0,$A813&lt;AB$6),AND(AB$7&gt;0,$A813&gt;AB$7)),0,MAX(0,ROUND((INDEX($E813:$G813,AB$5)-SUMIFS(TF_Timer,TF_Tekniker,AB$4,TF_Dato,$A813))*2,0)/2)))</f>
        <v/>
      </c>
      <c r="AC813">
        <f>IF(OR(AC$4="",$A813&gt;TODAY()),0,IF(OR(INDEX($B813:$D813,AC$5)="F",AND(AC$6&gt;0,$A813&lt;AC$6),AND(AC$7&gt;0,$A813&gt;AC$7)),0,MAX(0,ROUND((INDEX($E813:$G813,AC$5)-SUMIFS(TF_Timer,TF_Tekniker,AC$4,TF_Dato,$A813))*2,0)/2)))</f>
        <v/>
      </c>
      <c r="AD813">
        <f>IF(OR(AD$4="",$A813&gt;TODAY()),0,IF(OR(INDEX($B813:$D813,AD$5)="F",AND(AD$6&gt;0,$A813&lt;AD$6),AND(AD$7&gt;0,$A813&gt;AD$7)),0,MAX(0,ROUND((INDEX($E813:$G813,AD$5)-SUMIFS(TF_Timer,TF_Tekniker,AD$4,TF_Dato,$A813))*2,0)/2)))</f>
        <v/>
      </c>
      <c r="AE813">
        <f>IF(OR(AE$4="",$A813&gt;TODAY()),0,IF(OR(INDEX($B813:$D813,AE$5)="F",AND(AE$6&gt;0,$A813&lt;AE$6),AND(AE$7&gt;0,$A813&gt;AE$7)),0,MAX(0,ROUND((INDEX($E813:$G813,AE$5)-SUMIFS(TF_Timer,TF_Tekniker,AE$4,TF_Dato,$A813))*2,0)/2)))</f>
        <v/>
      </c>
      <c r="AF813">
        <f>IF(OR(AF$4="",$A813&gt;TODAY()),0,IF(OR(INDEX($B813:$D813,AF$5)="F",AND(AF$6&gt;0,$A813&lt;AF$6),AND(AF$7&gt;0,$A813&gt;AF$7)),0,MAX(0,ROUND((INDEX($E813:$G813,AF$5)-SUMIFS(TF_Timer,TF_Tekniker,AF$4,TF_Dato,$A813))*2,0)/2)))</f>
        <v/>
      </c>
      <c r="AG813">
        <f>IF(OR(AG$4="",$A813&gt;TODAY()),0,IF(OR(INDEX($B813:$D813,AG$5)="F",AND(AG$6&gt;0,$A813&lt;AG$6),AND(AG$7&gt;0,$A813&gt;AG$7)),0,MAX(0,ROUND((INDEX($E813:$G813,AG$5)-SUMIFS(TF_Timer,TF_Tekniker,AG$4,TF_Dato,$A813))*2,0)/2)))</f>
        <v/>
      </c>
      <c r="AH813">
        <f>IF(OR(AH$4="",$A813&gt;TODAY()),0,IF(OR(INDEX($B813:$D813,AH$5)="F",AND(AH$6&gt;0,$A813&lt;AH$6),AND(AH$7&gt;0,$A813&gt;AH$7)),0,MAX(0,ROUND((INDEX($E813:$G813,AH$5)-SUMIFS(TF_Timer,TF_Tekniker,AH$4,TF_Dato,$A813))*2,0)/2)))</f>
        <v/>
      </c>
      <c r="AI813">
        <f>IF(OR(AI$4="",$A813&gt;TODAY()),0,IF(OR(INDEX($B813:$D813,AI$5)="F",AND(AI$6&gt;0,$A813&lt;AI$6),AND(AI$7&gt;0,$A813&gt;AI$7)),0,MAX(0,ROUND((INDEX($E813:$G813,AI$5)-SUMIFS(TF_Timer,TF_Tekniker,AI$4,TF_Dato,$A813))*2,0)/2)))</f>
        <v/>
      </c>
      <c r="AJ813">
        <f>IF(OR(AJ$4="",$A813&gt;TODAY()),0,IF(OR(INDEX($B813:$D813,AJ$5)="F",AND(AJ$6&gt;0,$A813&lt;AJ$6),AND(AJ$7&gt;0,$A813&gt;AJ$7)),0,MAX(0,ROUND((INDEX($E813:$G813,AJ$5)-SUMIFS(TF_Timer,TF_Tekniker,AJ$4,TF_Dato,$A813))*2,0)/2)))</f>
        <v/>
      </c>
      <c r="AK813">
        <f>IF(OR(AK$4="",$A813&gt;TODAY()),0,IF(OR(INDEX($B813:$D813,AK$5)="F",AND(AK$6&gt;0,$A813&lt;AK$6),AND(AK$7&gt;0,$A813&gt;AK$7)),0,MAX(0,ROUND((INDEX($E813:$G813,AK$5)-SUMIFS(TF_Timer,TF_Tekniker,AK$4,TF_Dato,$A813))*2,0)/2)))</f>
        <v/>
      </c>
      <c r="AL813">
        <f>IF(OR(AL$4="",$A813&gt;TODAY()),0,IF(OR(INDEX($B813:$D813,AL$5)="F",AND(AL$6&gt;0,$A813&lt;AL$6),AND(AL$7&gt;0,$A813&gt;AL$7)),0,MAX(0,ROUND((INDEX($E813:$G813,AL$5)-SUMIFS(TF_Timer,TF_Tekniker,AL$4,TF_Dato,$A813))*2,0)/2)))</f>
        <v/>
      </c>
      <c r="AM813">
        <f>IF(OR(AM$4="",$A813&gt;TODAY()),0,IF(OR(INDEX($B813:$D813,AM$5)="F",AND(AM$6&gt;0,$A813&lt;AM$6),AND(AM$7&gt;0,$A813&gt;AM$7)),0,MAX(0,ROUND((INDEX($E813:$G813,AM$5)-SUMIFS(TF_Timer,TF_Tekniker,AM$4,TF_Dato,$A813))*2,0)/2)))</f>
        <v/>
      </c>
      <c r="AN813">
        <f>IF(OR(AN$4="",$A813&gt;TODAY()),0,IF(OR(INDEX($B813:$D813,AN$5)="F",AND(AN$6&gt;0,$A813&lt;AN$6),AND(AN$7&gt;0,$A813&gt;AN$7)),0,MAX(0,ROUND((INDEX($E813:$G813,AN$5)-SUMIFS(TF_Timer,TF_Tekniker,AN$4,TF_Dato,$A813))*2,0)/2)))</f>
        <v/>
      </c>
      <c r="AO813">
        <f>IF(OR(AO$4="",$A813&gt;TODAY()),0,IF(OR(INDEX($B813:$D813,AO$5)="F",AND(AO$6&gt;0,$A813&lt;AO$6),AND(AO$7&gt;0,$A813&gt;AO$7)),0,MAX(0,ROUND((INDEX($E813:$G813,AO$5)-SUMIFS(TF_Timer,TF_Tekniker,AO$4,TF_Dato,$A813))*2,0)/2)))</f>
        <v/>
      </c>
      <c r="AP813">
        <f>IF(OR(AP$4="",$A813&gt;TODAY()),0,IF(OR(INDEX($B813:$D813,AP$5)="F",AND(AP$6&gt;0,$A813&lt;AP$6),AND(AP$7&gt;0,$A813&gt;AP$7)),0,MAX(0,ROUND((INDEX($E813:$G813,AP$5)-SUMIFS(TF_Timer,TF_Tekniker,AP$4,TF_Dato,$A813))*2,0)/2)))</f>
        <v/>
      </c>
      <c r="AQ813">
        <f>IF(OR(AQ$4="",$A813&gt;TODAY()),0,IF(OR(INDEX($B813:$D813,AQ$5)="F",AND(AQ$6&gt;0,$A813&lt;AQ$6),AND(AQ$7&gt;0,$A813&gt;AQ$7)),0,MAX(0,ROUND((INDEX($E813:$G813,AQ$5)-SUMIFS(TF_Timer,TF_Tekniker,AQ$4,TF_Dato,$A813))*2,0)/2)))</f>
        <v/>
      </c>
      <c r="AR813">
        <f>IF(OR(AR$4="",$A813&gt;TODAY()),0,IF(OR(INDEX($B813:$D813,AR$5)="F",AND(AR$6&gt;0,$A813&lt;AR$6),AND(AR$7&gt;0,$A813&gt;AR$7)),0,MAX(0,ROUND((INDEX($E813:$G813,AR$5)-SUMIFS(TF_Timer,TF_Tekniker,AR$4,TF_Dato,$A813))*2,0)/2)))</f>
        <v/>
      </c>
      <c r="AS813">
        <f>IF(OR(AS$4="",$A813&gt;TODAY()),0,IF(OR(INDEX($B813:$D813,AS$5)="F",AND(AS$6&gt;0,$A813&lt;AS$6),AND(AS$7&gt;0,$A813&gt;AS$7)),0,MAX(0,ROUND((INDEX($E813:$G813,AS$5)-SUMIFS(TF_Timer,TF_Tekniker,AS$4,TF_Dato,$A813))*2,0)/2)))</f>
        <v/>
      </c>
      <c r="AT813">
        <f>IF(OR(AT$4="",$A813&gt;TODAY()),0,IF(OR(INDEX($B813:$D813,AT$5)="F",AND(AT$6&gt;0,$A813&lt;AT$6),AND(AT$7&gt;0,$A813&gt;AT$7)),0,MAX(0,ROUND((INDEX($E813:$G813,AT$5)-SUMIFS(TF_Timer,TF_Tekniker,AT$4,TF_Dato,$A813))*2,0)/2)))</f>
        <v/>
      </c>
      <c r="AU813">
        <f>IF(OR(AU$4="",$A813&gt;TODAY()),0,IF(OR(INDEX($B813:$D813,AU$5)="F",AND(AU$6&gt;0,$A813&lt;AU$6),AND(AU$7&gt;0,$A813&gt;AU$7)),0,MAX(0,ROUND((INDEX($E813:$G813,AU$5)-SUMIFS(TF_Timer,TF_Tekniker,AU$4,TF_Dato,$A813))*2,0)/2)))</f>
        <v/>
      </c>
      <c r="AV813">
        <f>IF(OR(AV$4="",$A813&gt;TODAY()),0,IF(OR(INDEX($B813:$D813,AV$5)="F",AND(AV$6&gt;0,$A813&lt;AV$6),AND(AV$7&gt;0,$A813&gt;AV$7)),0,MAX(0,ROUND((INDEX($E813:$G813,AV$5)-SUMIFS(TF_Timer,TF_Tekniker,AV$4,TF_Dato,$A813))*2,0)/2)))</f>
        <v/>
      </c>
      <c r="AW813">
        <f>IF(OR(AW$4="",$A813&gt;TODAY()),0,IF(OR(INDEX($B813:$D813,AW$5)="F",AND(AW$6&gt;0,$A813&lt;AW$6),AND(AW$7&gt;0,$A813&gt;AW$7)),0,MAX(0,ROUND((INDEX($E813:$G813,AW$5)-SUMIFS(TF_Timer,TF_Tekniker,AW$4,TF_Dato,$A813))*2,0)/2)))</f>
        <v/>
      </c>
      <c r="AX813">
        <f>IF(OR(AX$4="",$A813&gt;TODAY()),0,IF(OR(INDEX($B813:$D813,AX$5)="F",AND(AX$6&gt;0,$A813&lt;AX$6),AND(AX$7&gt;0,$A813&gt;AX$7)),0,MAX(0,ROUND((INDEX($E813:$G813,AX$5)-SUMIFS(TF_Timer,TF_Tekniker,AX$4,TF_Dato,$A813))*2,0)/2)))</f>
        <v/>
      </c>
      <c r="AY813">
        <f>IF(OR(AY$4="",$A813&gt;TODAY()),0,IF(OR(INDEX($B813:$D813,AY$5)="F",AND(AY$6&gt;0,$A813&lt;AY$6),AND(AY$7&gt;0,$A813&gt;AY$7)),0,MAX(0,ROUND((INDEX($E813:$G813,AY$5)-SUMIFS(TF_Timer,TF_Tekniker,AY$4,TF_Dato,$A813))*2,0)/2)))</f>
        <v/>
      </c>
      <c r="AZ813">
        <f>IF(OR(AZ$4="",$A813&gt;TODAY()),0,IF(OR(INDEX($B813:$D813,AZ$5)="F",AND(AZ$6&gt;0,$A813&lt;AZ$6),AND(AZ$7&gt;0,$A813&gt;AZ$7)),0,MAX(0,ROUND((INDEX($E813:$G813,AZ$5)-SUMIFS(TF_Timer,TF_Tekniker,AZ$4,TF_Dato,$A813))*2,0)/2)))</f>
        <v/>
      </c>
      <c r="BA813">
        <f>IF(OR(BA$4="",$A813&gt;TODAY()),0,IF(OR(INDEX($B813:$D813,BA$5)="F",AND(BA$6&gt;0,$A813&lt;BA$6),AND(BA$7&gt;0,$A813&gt;BA$7)),0,MAX(0,ROUND((INDEX($E813:$G813,BA$5)-SUMIFS(TF_Timer,TF_Tekniker,BA$4,TF_Dato,$A813))*2,0)/2)))</f>
        <v/>
      </c>
      <c r="BB813">
        <f>IF(OR(BB$4="",$A813&gt;TODAY()),0,IF(OR(INDEX($B813:$D813,BB$5)="F",AND(BB$6&gt;0,$A813&lt;BB$6),AND(BB$7&gt;0,$A813&gt;BB$7)),0,MAX(0,ROUND((INDEX($E813:$G813,BB$5)-SUMIFS(TF_Timer,TF_Tekniker,BB$4,TF_Dato,$A813))*2,0)/2)))</f>
        <v/>
      </c>
      <c r="BC813">
        <f>IF(OR(BC$4="",$A813&gt;TODAY()),0,IF(OR(INDEX($B813:$D813,BC$5)="F",AND(BC$6&gt;0,$A813&lt;BC$6),AND(BC$7&gt;0,$A813&gt;BC$7)),0,MAX(0,ROUND((INDEX($E813:$G813,BC$5)-SUMIFS(TF_Timer,TF_Tekniker,BC$4,TF_Dato,$A813))*2,0)/2)))</f>
        <v/>
      </c>
      <c r="BD813">
        <f>IF(OR(BD$4="",$A813&gt;TODAY()),0,IF(OR(INDEX($B813:$D813,BD$5)="F",AND(BD$6&gt;0,$A813&lt;BD$6),AND(BD$7&gt;0,$A813&gt;BD$7)),0,MAX(0,ROUND((INDEX($E813:$G813,BD$5)-SUMIFS(TF_Timer,TF_Tekniker,BD$4,TF_Dato,$A813))*2,0)/2)))</f>
        <v/>
      </c>
      <c r="BE813">
        <f>IF(OR(BE$4="",$A813&gt;TODAY()),0,IF(OR(INDEX($B813:$D813,BE$5)="F",AND(BE$6&gt;0,$A813&lt;BE$6),AND(BE$7&gt;0,$A813&gt;BE$7)),0,MAX(0,ROUND((INDEX($E813:$G813,BE$5)-SUMIFS(TF_Timer,TF_Tekniker,BE$4,TF_Dato,$A813))*2,0)/2)))</f>
        <v/>
      </c>
      <c r="BF813">
        <f>IF(OR(BF$4="",$A813&gt;TODAY()),0,IF(OR(INDEX($B813:$D813,BF$5)="F",AND(BF$6&gt;0,$A813&lt;BF$6),AND(BF$7&gt;0,$A813&gt;BF$7)),0,MAX(0,ROUND((INDEX($E813:$G813,BF$5)-SUMIFS(TF_Timer,TF_Tekniker,BF$4,TF_Dato,$A813))*2,0)/2)))</f>
        <v/>
      </c>
      <c r="BG813">
        <f>IF(OR(BG$4="",$A813&gt;TODAY()),0,IF(OR(INDEX($B813:$D813,BG$5)="F",AND(BG$6&gt;0,$A813&lt;BG$6),AND(BG$7&gt;0,$A813&gt;BG$7)),0,MAX(0,ROUND((INDEX($E813:$G813,BG$5)-SUMIFS(TF_Timer,TF_Tekniker,BG$4,TF_Dato,$A813))*2,0)/2)))</f>
        <v/>
      </c>
      <c r="BH813">
        <f>IF(OR(BH$4="",$A813&gt;TODAY()),0,IF(OR(INDEX($B813:$D813,BH$5)="F",AND(BH$6&gt;0,$A813&lt;BH$6),AND(BH$7&gt;0,$A813&gt;BH$7)),0,MAX(0,ROUND((INDEX($E813:$G813,BH$5)-SUMIFS(TF_Timer,TF_Tekniker,BH$4,TF_Dato,$A813))*2,0)/2)))</f>
        <v/>
      </c>
      <c r="BI813">
        <f>IF(OR(BI$4="",$A813&gt;TODAY()),0,IF(OR(INDEX($B813:$D813,BI$5)="F",AND(BI$6&gt;0,$A813&lt;BI$6),AND(BI$7&gt;0,$A813&gt;BI$7)),0,MAX(0,ROUND((INDEX($E813:$G813,BI$5)-SUMIFS(TF_Timer,TF_Tekniker,BI$4,TF_Dato,$A813))*2,0)/2)))</f>
        <v/>
      </c>
    </row>
    <row r="814">
      <c r="A814" s="64">
        <f>A813+1</f>
        <v/>
      </c>
      <c r="B814">
        <f>IF(MOD($A814-INDEX(SkiftStart,1),Syklus)&lt;DagK,"K",IF(MOD($A814-INDEX(SkiftStart,1),Syklus)&lt;DagK+DagH,"H",IF(MOD($A814-INDEX(SkiftStart,1),Syklus)&lt;DagK+DagH+DagD,"D","F")))</f>
        <v/>
      </c>
      <c r="C814">
        <f>IF(MOD($A814-INDEX(SkiftStart,2),Syklus)&lt;DagK,"K",IF(MOD($A814-INDEX(SkiftStart,2),Syklus)&lt;DagK+DagH,"H",IF(MOD($A814-INDEX(SkiftStart,2),Syklus)&lt;DagK+DagH+DagD,"D","F")))</f>
        <v/>
      </c>
      <c r="D814">
        <f>IF(MOD($A814-INDEX(SkiftStart,3),Syklus)&lt;DagK,"K",IF(MOD($A814-INDEX(SkiftStart,3),Syklus)&lt;DagK+DagH,"H",IF(MOD($A814-INDEX(SkiftStart,3),Syklus)&lt;DagK+DagH+DagD,"D","F")))</f>
        <v/>
      </c>
      <c r="E814">
        <f>IF(B814="F",0,IF(WEEKDAY($A814,2)=5,INDEX(TimerFr,MATCH(B814,FaseKode,0)),INDEX(TimerMT,MATCH(B814,FaseKode,0))))</f>
        <v/>
      </c>
      <c r="F814">
        <f>IF(C814="F",0,IF(WEEKDAY($A814,2)=5,INDEX(TimerFr,MATCH(C814,FaseKode,0)),INDEX(TimerMT,MATCH(C814,FaseKode,0))))</f>
        <v/>
      </c>
      <c r="G814">
        <f>IF(D814="F",0,IF(WEEKDAY($A814,2)=5,INDEX(TimerFr,MATCH(D814,FaseKode,0)),INDEX(TimerMT,MATCH(D814,FaseKode,0))))</f>
        <v/>
      </c>
      <c r="H814">
        <f>IF(OR(H$4="",$A814&gt;TODAY()),0,IF(OR(INDEX($B814:$D814,H$5)="F",AND(H$6&gt;0,$A814&lt;H$6),AND(H$7&gt;0,$A814&gt;H$7)),0,MAX(0,ROUND((INDEX($E814:$G814,H$5)-SUMIFS(TF_Timer,TF_Tekniker,H$4,TF_Dato,$A814))*2,0)/2)))</f>
        <v/>
      </c>
      <c r="I814">
        <f>IF(OR(I$4="",$A814&gt;TODAY()),0,IF(OR(INDEX($B814:$D814,I$5)="F",AND(I$6&gt;0,$A814&lt;I$6),AND(I$7&gt;0,$A814&gt;I$7)),0,MAX(0,ROUND((INDEX($E814:$G814,I$5)-SUMIFS(TF_Timer,TF_Tekniker,I$4,TF_Dato,$A814))*2,0)/2)))</f>
        <v/>
      </c>
      <c r="J814">
        <f>IF(OR(J$4="",$A814&gt;TODAY()),0,IF(OR(INDEX($B814:$D814,J$5)="F",AND(J$6&gt;0,$A814&lt;J$6),AND(J$7&gt;0,$A814&gt;J$7)),0,MAX(0,ROUND((INDEX($E814:$G814,J$5)-SUMIFS(TF_Timer,TF_Tekniker,J$4,TF_Dato,$A814))*2,0)/2)))</f>
        <v/>
      </c>
      <c r="K814">
        <f>IF(OR(K$4="",$A814&gt;TODAY()),0,IF(OR(INDEX($B814:$D814,K$5)="F",AND(K$6&gt;0,$A814&lt;K$6),AND(K$7&gt;0,$A814&gt;K$7)),0,MAX(0,ROUND((INDEX($E814:$G814,K$5)-SUMIFS(TF_Timer,TF_Tekniker,K$4,TF_Dato,$A814))*2,0)/2)))</f>
        <v/>
      </c>
      <c r="L814">
        <f>IF(OR(L$4="",$A814&gt;TODAY()),0,IF(OR(INDEX($B814:$D814,L$5)="F",AND(L$6&gt;0,$A814&lt;L$6),AND(L$7&gt;0,$A814&gt;L$7)),0,MAX(0,ROUND((INDEX($E814:$G814,L$5)-SUMIFS(TF_Timer,TF_Tekniker,L$4,TF_Dato,$A814))*2,0)/2)))</f>
        <v/>
      </c>
      <c r="M814">
        <f>IF(OR(M$4="",$A814&gt;TODAY()),0,IF(OR(INDEX($B814:$D814,M$5)="F",AND(M$6&gt;0,$A814&lt;M$6),AND(M$7&gt;0,$A814&gt;M$7)),0,MAX(0,ROUND((INDEX($E814:$G814,M$5)-SUMIFS(TF_Timer,TF_Tekniker,M$4,TF_Dato,$A814))*2,0)/2)))</f>
        <v/>
      </c>
      <c r="N814">
        <f>IF(OR(N$4="",$A814&gt;TODAY()),0,IF(OR(INDEX($B814:$D814,N$5)="F",AND(N$6&gt;0,$A814&lt;N$6),AND(N$7&gt;0,$A814&gt;N$7)),0,MAX(0,ROUND((INDEX($E814:$G814,N$5)-SUMIFS(TF_Timer,TF_Tekniker,N$4,TF_Dato,$A814))*2,0)/2)))</f>
        <v/>
      </c>
      <c r="O814">
        <f>IF(OR(O$4="",$A814&gt;TODAY()),0,IF(OR(INDEX($B814:$D814,O$5)="F",AND(O$6&gt;0,$A814&lt;O$6),AND(O$7&gt;0,$A814&gt;O$7)),0,MAX(0,ROUND((INDEX($E814:$G814,O$5)-SUMIFS(TF_Timer,TF_Tekniker,O$4,TF_Dato,$A814))*2,0)/2)))</f>
        <v/>
      </c>
      <c r="P814">
        <f>IF(OR(P$4="",$A814&gt;TODAY()),0,IF(OR(INDEX($B814:$D814,P$5)="F",AND(P$6&gt;0,$A814&lt;P$6),AND(P$7&gt;0,$A814&gt;P$7)),0,MAX(0,ROUND((INDEX($E814:$G814,P$5)-SUMIFS(TF_Timer,TF_Tekniker,P$4,TF_Dato,$A814))*2,0)/2)))</f>
        <v/>
      </c>
      <c r="Q814">
        <f>IF(OR(Q$4="",$A814&gt;TODAY()),0,IF(OR(INDEX($B814:$D814,Q$5)="F",AND(Q$6&gt;0,$A814&lt;Q$6),AND(Q$7&gt;0,$A814&gt;Q$7)),0,MAX(0,ROUND((INDEX($E814:$G814,Q$5)-SUMIFS(TF_Timer,TF_Tekniker,Q$4,TF_Dato,$A814))*2,0)/2)))</f>
        <v/>
      </c>
      <c r="R814">
        <f>IF(OR(R$4="",$A814&gt;TODAY()),0,IF(OR(INDEX($B814:$D814,R$5)="F",AND(R$6&gt;0,$A814&lt;R$6),AND(R$7&gt;0,$A814&gt;R$7)),0,MAX(0,ROUND((INDEX($E814:$G814,R$5)-SUMIFS(TF_Timer,TF_Tekniker,R$4,TF_Dato,$A814))*2,0)/2)))</f>
        <v/>
      </c>
      <c r="S814">
        <f>IF(OR(S$4="",$A814&gt;TODAY()),0,IF(OR(INDEX($B814:$D814,S$5)="F",AND(S$6&gt;0,$A814&lt;S$6),AND(S$7&gt;0,$A814&gt;S$7)),0,MAX(0,ROUND((INDEX($E814:$G814,S$5)-SUMIFS(TF_Timer,TF_Tekniker,S$4,TF_Dato,$A814))*2,0)/2)))</f>
        <v/>
      </c>
      <c r="T814">
        <f>IF(OR(T$4="",$A814&gt;TODAY()),0,IF(OR(INDEX($B814:$D814,T$5)="F",AND(T$6&gt;0,$A814&lt;T$6),AND(T$7&gt;0,$A814&gt;T$7)),0,MAX(0,ROUND((INDEX($E814:$G814,T$5)-SUMIFS(TF_Timer,TF_Tekniker,T$4,TF_Dato,$A814))*2,0)/2)))</f>
        <v/>
      </c>
      <c r="U814">
        <f>IF(OR(U$4="",$A814&gt;TODAY()),0,IF(OR(INDEX($B814:$D814,U$5)="F",AND(U$6&gt;0,$A814&lt;U$6),AND(U$7&gt;0,$A814&gt;U$7)),0,MAX(0,ROUND((INDEX($E814:$G814,U$5)-SUMIFS(TF_Timer,TF_Tekniker,U$4,TF_Dato,$A814))*2,0)/2)))</f>
        <v/>
      </c>
      <c r="V814">
        <f>IF(OR(V$4="",$A814&gt;TODAY()),0,IF(OR(INDEX($B814:$D814,V$5)="F",AND(V$6&gt;0,$A814&lt;V$6),AND(V$7&gt;0,$A814&gt;V$7)),0,MAX(0,ROUND((INDEX($E814:$G814,V$5)-SUMIFS(TF_Timer,TF_Tekniker,V$4,TF_Dato,$A814))*2,0)/2)))</f>
        <v/>
      </c>
      <c r="W814">
        <f>IF(OR(W$4="",$A814&gt;TODAY()),0,IF(OR(INDEX($B814:$D814,W$5)="F",AND(W$6&gt;0,$A814&lt;W$6),AND(W$7&gt;0,$A814&gt;W$7)),0,MAX(0,ROUND((INDEX($E814:$G814,W$5)-SUMIFS(TF_Timer,TF_Tekniker,W$4,TF_Dato,$A814))*2,0)/2)))</f>
        <v/>
      </c>
      <c r="X814">
        <f>IF(OR(X$4="",$A814&gt;TODAY()),0,IF(OR(INDEX($B814:$D814,X$5)="F",AND(X$6&gt;0,$A814&lt;X$6),AND(X$7&gt;0,$A814&gt;X$7)),0,MAX(0,ROUND((INDEX($E814:$G814,X$5)-SUMIFS(TF_Timer,TF_Tekniker,X$4,TF_Dato,$A814))*2,0)/2)))</f>
        <v/>
      </c>
      <c r="Y814">
        <f>IF(OR(Y$4="",$A814&gt;TODAY()),0,IF(OR(INDEX($B814:$D814,Y$5)="F",AND(Y$6&gt;0,$A814&lt;Y$6),AND(Y$7&gt;0,$A814&gt;Y$7)),0,MAX(0,ROUND((INDEX($E814:$G814,Y$5)-SUMIFS(TF_Timer,TF_Tekniker,Y$4,TF_Dato,$A814))*2,0)/2)))</f>
        <v/>
      </c>
      <c r="Z814">
        <f>IF(OR(Z$4="",$A814&gt;TODAY()),0,IF(OR(INDEX($B814:$D814,Z$5)="F",AND(Z$6&gt;0,$A814&lt;Z$6),AND(Z$7&gt;0,$A814&gt;Z$7)),0,MAX(0,ROUND((INDEX($E814:$G814,Z$5)-SUMIFS(TF_Timer,TF_Tekniker,Z$4,TF_Dato,$A814))*2,0)/2)))</f>
        <v/>
      </c>
      <c r="AA814">
        <f>IF(OR(AA$4="",$A814&gt;TODAY()),0,IF(OR(INDEX($B814:$D814,AA$5)="F",AND(AA$6&gt;0,$A814&lt;AA$6),AND(AA$7&gt;0,$A814&gt;AA$7)),0,MAX(0,ROUND((INDEX($E814:$G814,AA$5)-SUMIFS(TF_Timer,TF_Tekniker,AA$4,TF_Dato,$A814))*2,0)/2)))</f>
        <v/>
      </c>
      <c r="AB814">
        <f>IF(OR(AB$4="",$A814&gt;TODAY()),0,IF(OR(INDEX($B814:$D814,AB$5)="F",AND(AB$6&gt;0,$A814&lt;AB$6),AND(AB$7&gt;0,$A814&gt;AB$7)),0,MAX(0,ROUND((INDEX($E814:$G814,AB$5)-SUMIFS(TF_Timer,TF_Tekniker,AB$4,TF_Dato,$A814))*2,0)/2)))</f>
        <v/>
      </c>
      <c r="AC814">
        <f>IF(OR(AC$4="",$A814&gt;TODAY()),0,IF(OR(INDEX($B814:$D814,AC$5)="F",AND(AC$6&gt;0,$A814&lt;AC$6),AND(AC$7&gt;0,$A814&gt;AC$7)),0,MAX(0,ROUND((INDEX($E814:$G814,AC$5)-SUMIFS(TF_Timer,TF_Tekniker,AC$4,TF_Dato,$A814))*2,0)/2)))</f>
        <v/>
      </c>
      <c r="AD814">
        <f>IF(OR(AD$4="",$A814&gt;TODAY()),0,IF(OR(INDEX($B814:$D814,AD$5)="F",AND(AD$6&gt;0,$A814&lt;AD$6),AND(AD$7&gt;0,$A814&gt;AD$7)),0,MAX(0,ROUND((INDEX($E814:$G814,AD$5)-SUMIFS(TF_Timer,TF_Tekniker,AD$4,TF_Dato,$A814))*2,0)/2)))</f>
        <v/>
      </c>
      <c r="AE814">
        <f>IF(OR(AE$4="",$A814&gt;TODAY()),0,IF(OR(INDEX($B814:$D814,AE$5)="F",AND(AE$6&gt;0,$A814&lt;AE$6),AND(AE$7&gt;0,$A814&gt;AE$7)),0,MAX(0,ROUND((INDEX($E814:$G814,AE$5)-SUMIFS(TF_Timer,TF_Tekniker,AE$4,TF_Dato,$A814))*2,0)/2)))</f>
        <v/>
      </c>
      <c r="AF814">
        <f>IF(OR(AF$4="",$A814&gt;TODAY()),0,IF(OR(INDEX($B814:$D814,AF$5)="F",AND(AF$6&gt;0,$A814&lt;AF$6),AND(AF$7&gt;0,$A814&gt;AF$7)),0,MAX(0,ROUND((INDEX($E814:$G814,AF$5)-SUMIFS(TF_Timer,TF_Tekniker,AF$4,TF_Dato,$A814))*2,0)/2)))</f>
        <v/>
      </c>
      <c r="AG814">
        <f>IF(OR(AG$4="",$A814&gt;TODAY()),0,IF(OR(INDEX($B814:$D814,AG$5)="F",AND(AG$6&gt;0,$A814&lt;AG$6),AND(AG$7&gt;0,$A814&gt;AG$7)),0,MAX(0,ROUND((INDEX($E814:$G814,AG$5)-SUMIFS(TF_Timer,TF_Tekniker,AG$4,TF_Dato,$A814))*2,0)/2)))</f>
        <v/>
      </c>
      <c r="AH814">
        <f>IF(OR(AH$4="",$A814&gt;TODAY()),0,IF(OR(INDEX($B814:$D814,AH$5)="F",AND(AH$6&gt;0,$A814&lt;AH$6),AND(AH$7&gt;0,$A814&gt;AH$7)),0,MAX(0,ROUND((INDEX($E814:$G814,AH$5)-SUMIFS(TF_Timer,TF_Tekniker,AH$4,TF_Dato,$A814))*2,0)/2)))</f>
        <v/>
      </c>
      <c r="AI814">
        <f>IF(OR(AI$4="",$A814&gt;TODAY()),0,IF(OR(INDEX($B814:$D814,AI$5)="F",AND(AI$6&gt;0,$A814&lt;AI$6),AND(AI$7&gt;0,$A814&gt;AI$7)),0,MAX(0,ROUND((INDEX($E814:$G814,AI$5)-SUMIFS(TF_Timer,TF_Tekniker,AI$4,TF_Dato,$A814))*2,0)/2)))</f>
        <v/>
      </c>
      <c r="AJ814">
        <f>IF(OR(AJ$4="",$A814&gt;TODAY()),0,IF(OR(INDEX($B814:$D814,AJ$5)="F",AND(AJ$6&gt;0,$A814&lt;AJ$6),AND(AJ$7&gt;0,$A814&gt;AJ$7)),0,MAX(0,ROUND((INDEX($E814:$G814,AJ$5)-SUMIFS(TF_Timer,TF_Tekniker,AJ$4,TF_Dato,$A814))*2,0)/2)))</f>
        <v/>
      </c>
      <c r="AK814">
        <f>IF(OR(AK$4="",$A814&gt;TODAY()),0,IF(OR(INDEX($B814:$D814,AK$5)="F",AND(AK$6&gt;0,$A814&lt;AK$6),AND(AK$7&gt;0,$A814&gt;AK$7)),0,MAX(0,ROUND((INDEX($E814:$G814,AK$5)-SUMIFS(TF_Timer,TF_Tekniker,AK$4,TF_Dato,$A814))*2,0)/2)))</f>
        <v/>
      </c>
      <c r="AL814">
        <f>IF(OR(AL$4="",$A814&gt;TODAY()),0,IF(OR(INDEX($B814:$D814,AL$5)="F",AND(AL$6&gt;0,$A814&lt;AL$6),AND(AL$7&gt;0,$A814&gt;AL$7)),0,MAX(0,ROUND((INDEX($E814:$G814,AL$5)-SUMIFS(TF_Timer,TF_Tekniker,AL$4,TF_Dato,$A814))*2,0)/2)))</f>
        <v/>
      </c>
      <c r="AM814">
        <f>IF(OR(AM$4="",$A814&gt;TODAY()),0,IF(OR(INDEX($B814:$D814,AM$5)="F",AND(AM$6&gt;0,$A814&lt;AM$6),AND(AM$7&gt;0,$A814&gt;AM$7)),0,MAX(0,ROUND((INDEX($E814:$G814,AM$5)-SUMIFS(TF_Timer,TF_Tekniker,AM$4,TF_Dato,$A814))*2,0)/2)))</f>
        <v/>
      </c>
      <c r="AN814">
        <f>IF(OR(AN$4="",$A814&gt;TODAY()),0,IF(OR(INDEX($B814:$D814,AN$5)="F",AND(AN$6&gt;0,$A814&lt;AN$6),AND(AN$7&gt;0,$A814&gt;AN$7)),0,MAX(0,ROUND((INDEX($E814:$G814,AN$5)-SUMIFS(TF_Timer,TF_Tekniker,AN$4,TF_Dato,$A814))*2,0)/2)))</f>
        <v/>
      </c>
      <c r="AO814">
        <f>IF(OR(AO$4="",$A814&gt;TODAY()),0,IF(OR(INDEX($B814:$D814,AO$5)="F",AND(AO$6&gt;0,$A814&lt;AO$6),AND(AO$7&gt;0,$A814&gt;AO$7)),0,MAX(0,ROUND((INDEX($E814:$G814,AO$5)-SUMIFS(TF_Timer,TF_Tekniker,AO$4,TF_Dato,$A814))*2,0)/2)))</f>
        <v/>
      </c>
      <c r="AP814">
        <f>IF(OR(AP$4="",$A814&gt;TODAY()),0,IF(OR(INDEX($B814:$D814,AP$5)="F",AND(AP$6&gt;0,$A814&lt;AP$6),AND(AP$7&gt;0,$A814&gt;AP$7)),0,MAX(0,ROUND((INDEX($E814:$G814,AP$5)-SUMIFS(TF_Timer,TF_Tekniker,AP$4,TF_Dato,$A814))*2,0)/2)))</f>
        <v/>
      </c>
      <c r="AQ814">
        <f>IF(OR(AQ$4="",$A814&gt;TODAY()),0,IF(OR(INDEX($B814:$D814,AQ$5)="F",AND(AQ$6&gt;0,$A814&lt;AQ$6),AND(AQ$7&gt;0,$A814&gt;AQ$7)),0,MAX(0,ROUND((INDEX($E814:$G814,AQ$5)-SUMIFS(TF_Timer,TF_Tekniker,AQ$4,TF_Dato,$A814))*2,0)/2)))</f>
        <v/>
      </c>
      <c r="AR814">
        <f>IF(OR(AR$4="",$A814&gt;TODAY()),0,IF(OR(INDEX($B814:$D814,AR$5)="F",AND(AR$6&gt;0,$A814&lt;AR$6),AND(AR$7&gt;0,$A814&gt;AR$7)),0,MAX(0,ROUND((INDEX($E814:$G814,AR$5)-SUMIFS(TF_Timer,TF_Tekniker,AR$4,TF_Dato,$A814))*2,0)/2)))</f>
        <v/>
      </c>
      <c r="AS814">
        <f>IF(OR(AS$4="",$A814&gt;TODAY()),0,IF(OR(INDEX($B814:$D814,AS$5)="F",AND(AS$6&gt;0,$A814&lt;AS$6),AND(AS$7&gt;0,$A814&gt;AS$7)),0,MAX(0,ROUND((INDEX($E814:$G814,AS$5)-SUMIFS(TF_Timer,TF_Tekniker,AS$4,TF_Dato,$A814))*2,0)/2)))</f>
        <v/>
      </c>
      <c r="AT814">
        <f>IF(OR(AT$4="",$A814&gt;TODAY()),0,IF(OR(INDEX($B814:$D814,AT$5)="F",AND(AT$6&gt;0,$A814&lt;AT$6),AND(AT$7&gt;0,$A814&gt;AT$7)),0,MAX(0,ROUND((INDEX($E814:$G814,AT$5)-SUMIFS(TF_Timer,TF_Tekniker,AT$4,TF_Dato,$A814))*2,0)/2)))</f>
        <v/>
      </c>
      <c r="AU814">
        <f>IF(OR(AU$4="",$A814&gt;TODAY()),0,IF(OR(INDEX($B814:$D814,AU$5)="F",AND(AU$6&gt;0,$A814&lt;AU$6),AND(AU$7&gt;0,$A814&gt;AU$7)),0,MAX(0,ROUND((INDEX($E814:$G814,AU$5)-SUMIFS(TF_Timer,TF_Tekniker,AU$4,TF_Dato,$A814))*2,0)/2)))</f>
        <v/>
      </c>
      <c r="AV814">
        <f>IF(OR(AV$4="",$A814&gt;TODAY()),0,IF(OR(INDEX($B814:$D814,AV$5)="F",AND(AV$6&gt;0,$A814&lt;AV$6),AND(AV$7&gt;0,$A814&gt;AV$7)),0,MAX(0,ROUND((INDEX($E814:$G814,AV$5)-SUMIFS(TF_Timer,TF_Tekniker,AV$4,TF_Dato,$A814))*2,0)/2)))</f>
        <v/>
      </c>
      <c r="AW814">
        <f>IF(OR(AW$4="",$A814&gt;TODAY()),0,IF(OR(INDEX($B814:$D814,AW$5)="F",AND(AW$6&gt;0,$A814&lt;AW$6),AND(AW$7&gt;0,$A814&gt;AW$7)),0,MAX(0,ROUND((INDEX($E814:$G814,AW$5)-SUMIFS(TF_Timer,TF_Tekniker,AW$4,TF_Dato,$A814))*2,0)/2)))</f>
        <v/>
      </c>
      <c r="AX814">
        <f>IF(OR(AX$4="",$A814&gt;TODAY()),0,IF(OR(INDEX($B814:$D814,AX$5)="F",AND(AX$6&gt;0,$A814&lt;AX$6),AND(AX$7&gt;0,$A814&gt;AX$7)),0,MAX(0,ROUND((INDEX($E814:$G814,AX$5)-SUMIFS(TF_Timer,TF_Tekniker,AX$4,TF_Dato,$A814))*2,0)/2)))</f>
        <v/>
      </c>
      <c r="AY814">
        <f>IF(OR(AY$4="",$A814&gt;TODAY()),0,IF(OR(INDEX($B814:$D814,AY$5)="F",AND(AY$6&gt;0,$A814&lt;AY$6),AND(AY$7&gt;0,$A814&gt;AY$7)),0,MAX(0,ROUND((INDEX($E814:$G814,AY$5)-SUMIFS(TF_Timer,TF_Tekniker,AY$4,TF_Dato,$A814))*2,0)/2)))</f>
        <v/>
      </c>
      <c r="AZ814">
        <f>IF(OR(AZ$4="",$A814&gt;TODAY()),0,IF(OR(INDEX($B814:$D814,AZ$5)="F",AND(AZ$6&gt;0,$A814&lt;AZ$6),AND(AZ$7&gt;0,$A814&gt;AZ$7)),0,MAX(0,ROUND((INDEX($E814:$G814,AZ$5)-SUMIFS(TF_Timer,TF_Tekniker,AZ$4,TF_Dato,$A814))*2,0)/2)))</f>
        <v/>
      </c>
      <c r="BA814">
        <f>IF(OR(BA$4="",$A814&gt;TODAY()),0,IF(OR(INDEX($B814:$D814,BA$5)="F",AND(BA$6&gt;0,$A814&lt;BA$6),AND(BA$7&gt;0,$A814&gt;BA$7)),0,MAX(0,ROUND((INDEX($E814:$G814,BA$5)-SUMIFS(TF_Timer,TF_Tekniker,BA$4,TF_Dato,$A814))*2,0)/2)))</f>
        <v/>
      </c>
      <c r="BB814">
        <f>IF(OR(BB$4="",$A814&gt;TODAY()),0,IF(OR(INDEX($B814:$D814,BB$5)="F",AND(BB$6&gt;0,$A814&lt;BB$6),AND(BB$7&gt;0,$A814&gt;BB$7)),0,MAX(0,ROUND((INDEX($E814:$G814,BB$5)-SUMIFS(TF_Timer,TF_Tekniker,BB$4,TF_Dato,$A814))*2,0)/2)))</f>
        <v/>
      </c>
      <c r="BC814">
        <f>IF(OR(BC$4="",$A814&gt;TODAY()),0,IF(OR(INDEX($B814:$D814,BC$5)="F",AND(BC$6&gt;0,$A814&lt;BC$6),AND(BC$7&gt;0,$A814&gt;BC$7)),0,MAX(0,ROUND((INDEX($E814:$G814,BC$5)-SUMIFS(TF_Timer,TF_Tekniker,BC$4,TF_Dato,$A814))*2,0)/2)))</f>
        <v/>
      </c>
      <c r="BD814">
        <f>IF(OR(BD$4="",$A814&gt;TODAY()),0,IF(OR(INDEX($B814:$D814,BD$5)="F",AND(BD$6&gt;0,$A814&lt;BD$6),AND(BD$7&gt;0,$A814&gt;BD$7)),0,MAX(0,ROUND((INDEX($E814:$G814,BD$5)-SUMIFS(TF_Timer,TF_Tekniker,BD$4,TF_Dato,$A814))*2,0)/2)))</f>
        <v/>
      </c>
      <c r="BE814">
        <f>IF(OR(BE$4="",$A814&gt;TODAY()),0,IF(OR(INDEX($B814:$D814,BE$5)="F",AND(BE$6&gt;0,$A814&lt;BE$6),AND(BE$7&gt;0,$A814&gt;BE$7)),0,MAX(0,ROUND((INDEX($E814:$G814,BE$5)-SUMIFS(TF_Timer,TF_Tekniker,BE$4,TF_Dato,$A814))*2,0)/2)))</f>
        <v/>
      </c>
      <c r="BF814">
        <f>IF(OR(BF$4="",$A814&gt;TODAY()),0,IF(OR(INDEX($B814:$D814,BF$5)="F",AND(BF$6&gt;0,$A814&lt;BF$6),AND(BF$7&gt;0,$A814&gt;BF$7)),0,MAX(0,ROUND((INDEX($E814:$G814,BF$5)-SUMIFS(TF_Timer,TF_Tekniker,BF$4,TF_Dato,$A814))*2,0)/2)))</f>
        <v/>
      </c>
      <c r="BG814">
        <f>IF(OR(BG$4="",$A814&gt;TODAY()),0,IF(OR(INDEX($B814:$D814,BG$5)="F",AND(BG$6&gt;0,$A814&lt;BG$6),AND(BG$7&gt;0,$A814&gt;BG$7)),0,MAX(0,ROUND((INDEX($E814:$G814,BG$5)-SUMIFS(TF_Timer,TF_Tekniker,BG$4,TF_Dato,$A814))*2,0)/2)))</f>
        <v/>
      </c>
      <c r="BH814">
        <f>IF(OR(BH$4="",$A814&gt;TODAY()),0,IF(OR(INDEX($B814:$D814,BH$5)="F",AND(BH$6&gt;0,$A814&lt;BH$6),AND(BH$7&gt;0,$A814&gt;BH$7)),0,MAX(0,ROUND((INDEX($E814:$G814,BH$5)-SUMIFS(TF_Timer,TF_Tekniker,BH$4,TF_Dato,$A814))*2,0)/2)))</f>
        <v/>
      </c>
      <c r="BI814">
        <f>IF(OR(BI$4="",$A814&gt;TODAY()),0,IF(OR(INDEX($B814:$D814,BI$5)="F",AND(BI$6&gt;0,$A814&lt;BI$6),AND(BI$7&gt;0,$A814&gt;BI$7)),0,MAX(0,ROUND((INDEX($E814:$G814,BI$5)-SUMIFS(TF_Timer,TF_Tekniker,BI$4,TF_Dato,$A814))*2,0)/2)))</f>
        <v/>
      </c>
    </row>
    <row r="815">
      <c r="A815" s="64">
        <f>A814+1</f>
        <v/>
      </c>
      <c r="B815">
        <f>IF(MOD($A815-INDEX(SkiftStart,1),Syklus)&lt;DagK,"K",IF(MOD($A815-INDEX(SkiftStart,1),Syklus)&lt;DagK+DagH,"H",IF(MOD($A815-INDEX(SkiftStart,1),Syklus)&lt;DagK+DagH+DagD,"D","F")))</f>
        <v/>
      </c>
      <c r="C815">
        <f>IF(MOD($A815-INDEX(SkiftStart,2),Syklus)&lt;DagK,"K",IF(MOD($A815-INDEX(SkiftStart,2),Syklus)&lt;DagK+DagH,"H",IF(MOD($A815-INDEX(SkiftStart,2),Syklus)&lt;DagK+DagH+DagD,"D","F")))</f>
        <v/>
      </c>
      <c r="D815">
        <f>IF(MOD($A815-INDEX(SkiftStart,3),Syklus)&lt;DagK,"K",IF(MOD($A815-INDEX(SkiftStart,3),Syklus)&lt;DagK+DagH,"H",IF(MOD($A815-INDEX(SkiftStart,3),Syklus)&lt;DagK+DagH+DagD,"D","F")))</f>
        <v/>
      </c>
      <c r="E815">
        <f>IF(B815="F",0,IF(WEEKDAY($A815,2)=5,INDEX(TimerFr,MATCH(B815,FaseKode,0)),INDEX(TimerMT,MATCH(B815,FaseKode,0))))</f>
        <v/>
      </c>
      <c r="F815">
        <f>IF(C815="F",0,IF(WEEKDAY($A815,2)=5,INDEX(TimerFr,MATCH(C815,FaseKode,0)),INDEX(TimerMT,MATCH(C815,FaseKode,0))))</f>
        <v/>
      </c>
      <c r="G815">
        <f>IF(D815="F",0,IF(WEEKDAY($A815,2)=5,INDEX(TimerFr,MATCH(D815,FaseKode,0)),INDEX(TimerMT,MATCH(D815,FaseKode,0))))</f>
        <v/>
      </c>
      <c r="H815">
        <f>IF(OR(H$4="",$A815&gt;TODAY()),0,IF(OR(INDEX($B815:$D815,H$5)="F",AND(H$6&gt;0,$A815&lt;H$6),AND(H$7&gt;0,$A815&gt;H$7)),0,MAX(0,ROUND((INDEX($E815:$G815,H$5)-SUMIFS(TF_Timer,TF_Tekniker,H$4,TF_Dato,$A815))*2,0)/2)))</f>
        <v/>
      </c>
      <c r="I815">
        <f>IF(OR(I$4="",$A815&gt;TODAY()),0,IF(OR(INDEX($B815:$D815,I$5)="F",AND(I$6&gt;0,$A815&lt;I$6),AND(I$7&gt;0,$A815&gt;I$7)),0,MAX(0,ROUND((INDEX($E815:$G815,I$5)-SUMIFS(TF_Timer,TF_Tekniker,I$4,TF_Dato,$A815))*2,0)/2)))</f>
        <v/>
      </c>
      <c r="J815">
        <f>IF(OR(J$4="",$A815&gt;TODAY()),0,IF(OR(INDEX($B815:$D815,J$5)="F",AND(J$6&gt;0,$A815&lt;J$6),AND(J$7&gt;0,$A815&gt;J$7)),0,MAX(0,ROUND((INDEX($E815:$G815,J$5)-SUMIFS(TF_Timer,TF_Tekniker,J$4,TF_Dato,$A815))*2,0)/2)))</f>
        <v/>
      </c>
      <c r="K815">
        <f>IF(OR(K$4="",$A815&gt;TODAY()),0,IF(OR(INDEX($B815:$D815,K$5)="F",AND(K$6&gt;0,$A815&lt;K$6),AND(K$7&gt;0,$A815&gt;K$7)),0,MAX(0,ROUND((INDEX($E815:$G815,K$5)-SUMIFS(TF_Timer,TF_Tekniker,K$4,TF_Dato,$A815))*2,0)/2)))</f>
        <v/>
      </c>
      <c r="L815">
        <f>IF(OR(L$4="",$A815&gt;TODAY()),0,IF(OR(INDEX($B815:$D815,L$5)="F",AND(L$6&gt;0,$A815&lt;L$6),AND(L$7&gt;0,$A815&gt;L$7)),0,MAX(0,ROUND((INDEX($E815:$G815,L$5)-SUMIFS(TF_Timer,TF_Tekniker,L$4,TF_Dato,$A815))*2,0)/2)))</f>
        <v/>
      </c>
      <c r="M815">
        <f>IF(OR(M$4="",$A815&gt;TODAY()),0,IF(OR(INDEX($B815:$D815,M$5)="F",AND(M$6&gt;0,$A815&lt;M$6),AND(M$7&gt;0,$A815&gt;M$7)),0,MAX(0,ROUND((INDEX($E815:$G815,M$5)-SUMIFS(TF_Timer,TF_Tekniker,M$4,TF_Dato,$A815))*2,0)/2)))</f>
        <v/>
      </c>
      <c r="N815">
        <f>IF(OR(N$4="",$A815&gt;TODAY()),0,IF(OR(INDEX($B815:$D815,N$5)="F",AND(N$6&gt;0,$A815&lt;N$6),AND(N$7&gt;0,$A815&gt;N$7)),0,MAX(0,ROUND((INDEX($E815:$G815,N$5)-SUMIFS(TF_Timer,TF_Tekniker,N$4,TF_Dato,$A815))*2,0)/2)))</f>
        <v/>
      </c>
      <c r="O815">
        <f>IF(OR(O$4="",$A815&gt;TODAY()),0,IF(OR(INDEX($B815:$D815,O$5)="F",AND(O$6&gt;0,$A815&lt;O$6),AND(O$7&gt;0,$A815&gt;O$7)),0,MAX(0,ROUND((INDEX($E815:$G815,O$5)-SUMIFS(TF_Timer,TF_Tekniker,O$4,TF_Dato,$A815))*2,0)/2)))</f>
        <v/>
      </c>
      <c r="P815">
        <f>IF(OR(P$4="",$A815&gt;TODAY()),0,IF(OR(INDEX($B815:$D815,P$5)="F",AND(P$6&gt;0,$A815&lt;P$6),AND(P$7&gt;0,$A815&gt;P$7)),0,MAX(0,ROUND((INDEX($E815:$G815,P$5)-SUMIFS(TF_Timer,TF_Tekniker,P$4,TF_Dato,$A815))*2,0)/2)))</f>
        <v/>
      </c>
      <c r="Q815">
        <f>IF(OR(Q$4="",$A815&gt;TODAY()),0,IF(OR(INDEX($B815:$D815,Q$5)="F",AND(Q$6&gt;0,$A815&lt;Q$6),AND(Q$7&gt;0,$A815&gt;Q$7)),0,MAX(0,ROUND((INDEX($E815:$G815,Q$5)-SUMIFS(TF_Timer,TF_Tekniker,Q$4,TF_Dato,$A815))*2,0)/2)))</f>
        <v/>
      </c>
      <c r="R815">
        <f>IF(OR(R$4="",$A815&gt;TODAY()),0,IF(OR(INDEX($B815:$D815,R$5)="F",AND(R$6&gt;0,$A815&lt;R$6),AND(R$7&gt;0,$A815&gt;R$7)),0,MAX(0,ROUND((INDEX($E815:$G815,R$5)-SUMIFS(TF_Timer,TF_Tekniker,R$4,TF_Dato,$A815))*2,0)/2)))</f>
        <v/>
      </c>
      <c r="S815">
        <f>IF(OR(S$4="",$A815&gt;TODAY()),0,IF(OR(INDEX($B815:$D815,S$5)="F",AND(S$6&gt;0,$A815&lt;S$6),AND(S$7&gt;0,$A815&gt;S$7)),0,MAX(0,ROUND((INDEX($E815:$G815,S$5)-SUMIFS(TF_Timer,TF_Tekniker,S$4,TF_Dato,$A815))*2,0)/2)))</f>
        <v/>
      </c>
      <c r="T815">
        <f>IF(OR(T$4="",$A815&gt;TODAY()),0,IF(OR(INDEX($B815:$D815,T$5)="F",AND(T$6&gt;0,$A815&lt;T$6),AND(T$7&gt;0,$A815&gt;T$7)),0,MAX(0,ROUND((INDEX($E815:$G815,T$5)-SUMIFS(TF_Timer,TF_Tekniker,T$4,TF_Dato,$A815))*2,0)/2)))</f>
        <v/>
      </c>
      <c r="U815">
        <f>IF(OR(U$4="",$A815&gt;TODAY()),0,IF(OR(INDEX($B815:$D815,U$5)="F",AND(U$6&gt;0,$A815&lt;U$6),AND(U$7&gt;0,$A815&gt;U$7)),0,MAX(0,ROUND((INDEX($E815:$G815,U$5)-SUMIFS(TF_Timer,TF_Tekniker,U$4,TF_Dato,$A815))*2,0)/2)))</f>
        <v/>
      </c>
      <c r="V815">
        <f>IF(OR(V$4="",$A815&gt;TODAY()),0,IF(OR(INDEX($B815:$D815,V$5)="F",AND(V$6&gt;0,$A815&lt;V$6),AND(V$7&gt;0,$A815&gt;V$7)),0,MAX(0,ROUND((INDEX($E815:$G815,V$5)-SUMIFS(TF_Timer,TF_Tekniker,V$4,TF_Dato,$A815))*2,0)/2)))</f>
        <v/>
      </c>
      <c r="W815">
        <f>IF(OR(W$4="",$A815&gt;TODAY()),0,IF(OR(INDEX($B815:$D815,W$5)="F",AND(W$6&gt;0,$A815&lt;W$6),AND(W$7&gt;0,$A815&gt;W$7)),0,MAX(0,ROUND((INDEX($E815:$G815,W$5)-SUMIFS(TF_Timer,TF_Tekniker,W$4,TF_Dato,$A815))*2,0)/2)))</f>
        <v/>
      </c>
      <c r="X815">
        <f>IF(OR(X$4="",$A815&gt;TODAY()),0,IF(OR(INDEX($B815:$D815,X$5)="F",AND(X$6&gt;0,$A815&lt;X$6),AND(X$7&gt;0,$A815&gt;X$7)),0,MAX(0,ROUND((INDEX($E815:$G815,X$5)-SUMIFS(TF_Timer,TF_Tekniker,X$4,TF_Dato,$A815))*2,0)/2)))</f>
        <v/>
      </c>
      <c r="Y815">
        <f>IF(OR(Y$4="",$A815&gt;TODAY()),0,IF(OR(INDEX($B815:$D815,Y$5)="F",AND(Y$6&gt;0,$A815&lt;Y$6),AND(Y$7&gt;0,$A815&gt;Y$7)),0,MAX(0,ROUND((INDEX($E815:$G815,Y$5)-SUMIFS(TF_Timer,TF_Tekniker,Y$4,TF_Dato,$A815))*2,0)/2)))</f>
        <v/>
      </c>
      <c r="Z815">
        <f>IF(OR(Z$4="",$A815&gt;TODAY()),0,IF(OR(INDEX($B815:$D815,Z$5)="F",AND(Z$6&gt;0,$A815&lt;Z$6),AND(Z$7&gt;0,$A815&gt;Z$7)),0,MAX(0,ROUND((INDEX($E815:$G815,Z$5)-SUMIFS(TF_Timer,TF_Tekniker,Z$4,TF_Dato,$A815))*2,0)/2)))</f>
        <v/>
      </c>
      <c r="AA815">
        <f>IF(OR(AA$4="",$A815&gt;TODAY()),0,IF(OR(INDEX($B815:$D815,AA$5)="F",AND(AA$6&gt;0,$A815&lt;AA$6),AND(AA$7&gt;0,$A815&gt;AA$7)),0,MAX(0,ROUND((INDEX($E815:$G815,AA$5)-SUMIFS(TF_Timer,TF_Tekniker,AA$4,TF_Dato,$A815))*2,0)/2)))</f>
        <v/>
      </c>
      <c r="AB815">
        <f>IF(OR(AB$4="",$A815&gt;TODAY()),0,IF(OR(INDEX($B815:$D815,AB$5)="F",AND(AB$6&gt;0,$A815&lt;AB$6),AND(AB$7&gt;0,$A815&gt;AB$7)),0,MAX(0,ROUND((INDEX($E815:$G815,AB$5)-SUMIFS(TF_Timer,TF_Tekniker,AB$4,TF_Dato,$A815))*2,0)/2)))</f>
        <v/>
      </c>
      <c r="AC815">
        <f>IF(OR(AC$4="",$A815&gt;TODAY()),0,IF(OR(INDEX($B815:$D815,AC$5)="F",AND(AC$6&gt;0,$A815&lt;AC$6),AND(AC$7&gt;0,$A815&gt;AC$7)),0,MAX(0,ROUND((INDEX($E815:$G815,AC$5)-SUMIFS(TF_Timer,TF_Tekniker,AC$4,TF_Dato,$A815))*2,0)/2)))</f>
        <v/>
      </c>
      <c r="AD815">
        <f>IF(OR(AD$4="",$A815&gt;TODAY()),0,IF(OR(INDEX($B815:$D815,AD$5)="F",AND(AD$6&gt;0,$A815&lt;AD$6),AND(AD$7&gt;0,$A815&gt;AD$7)),0,MAX(0,ROUND((INDEX($E815:$G815,AD$5)-SUMIFS(TF_Timer,TF_Tekniker,AD$4,TF_Dato,$A815))*2,0)/2)))</f>
        <v/>
      </c>
      <c r="AE815">
        <f>IF(OR(AE$4="",$A815&gt;TODAY()),0,IF(OR(INDEX($B815:$D815,AE$5)="F",AND(AE$6&gt;0,$A815&lt;AE$6),AND(AE$7&gt;0,$A815&gt;AE$7)),0,MAX(0,ROUND((INDEX($E815:$G815,AE$5)-SUMIFS(TF_Timer,TF_Tekniker,AE$4,TF_Dato,$A815))*2,0)/2)))</f>
        <v/>
      </c>
      <c r="AF815">
        <f>IF(OR(AF$4="",$A815&gt;TODAY()),0,IF(OR(INDEX($B815:$D815,AF$5)="F",AND(AF$6&gt;0,$A815&lt;AF$6),AND(AF$7&gt;0,$A815&gt;AF$7)),0,MAX(0,ROUND((INDEX($E815:$G815,AF$5)-SUMIFS(TF_Timer,TF_Tekniker,AF$4,TF_Dato,$A815))*2,0)/2)))</f>
        <v/>
      </c>
      <c r="AG815">
        <f>IF(OR(AG$4="",$A815&gt;TODAY()),0,IF(OR(INDEX($B815:$D815,AG$5)="F",AND(AG$6&gt;0,$A815&lt;AG$6),AND(AG$7&gt;0,$A815&gt;AG$7)),0,MAX(0,ROUND((INDEX($E815:$G815,AG$5)-SUMIFS(TF_Timer,TF_Tekniker,AG$4,TF_Dato,$A815))*2,0)/2)))</f>
        <v/>
      </c>
      <c r="AH815">
        <f>IF(OR(AH$4="",$A815&gt;TODAY()),0,IF(OR(INDEX($B815:$D815,AH$5)="F",AND(AH$6&gt;0,$A815&lt;AH$6),AND(AH$7&gt;0,$A815&gt;AH$7)),0,MAX(0,ROUND((INDEX($E815:$G815,AH$5)-SUMIFS(TF_Timer,TF_Tekniker,AH$4,TF_Dato,$A815))*2,0)/2)))</f>
        <v/>
      </c>
      <c r="AI815">
        <f>IF(OR(AI$4="",$A815&gt;TODAY()),0,IF(OR(INDEX($B815:$D815,AI$5)="F",AND(AI$6&gt;0,$A815&lt;AI$6),AND(AI$7&gt;0,$A815&gt;AI$7)),0,MAX(0,ROUND((INDEX($E815:$G815,AI$5)-SUMIFS(TF_Timer,TF_Tekniker,AI$4,TF_Dato,$A815))*2,0)/2)))</f>
        <v/>
      </c>
      <c r="AJ815">
        <f>IF(OR(AJ$4="",$A815&gt;TODAY()),0,IF(OR(INDEX($B815:$D815,AJ$5)="F",AND(AJ$6&gt;0,$A815&lt;AJ$6),AND(AJ$7&gt;0,$A815&gt;AJ$7)),0,MAX(0,ROUND((INDEX($E815:$G815,AJ$5)-SUMIFS(TF_Timer,TF_Tekniker,AJ$4,TF_Dato,$A815))*2,0)/2)))</f>
        <v/>
      </c>
      <c r="AK815">
        <f>IF(OR(AK$4="",$A815&gt;TODAY()),0,IF(OR(INDEX($B815:$D815,AK$5)="F",AND(AK$6&gt;0,$A815&lt;AK$6),AND(AK$7&gt;0,$A815&gt;AK$7)),0,MAX(0,ROUND((INDEX($E815:$G815,AK$5)-SUMIFS(TF_Timer,TF_Tekniker,AK$4,TF_Dato,$A815))*2,0)/2)))</f>
        <v/>
      </c>
      <c r="AL815">
        <f>IF(OR(AL$4="",$A815&gt;TODAY()),0,IF(OR(INDEX($B815:$D815,AL$5)="F",AND(AL$6&gt;0,$A815&lt;AL$6),AND(AL$7&gt;0,$A815&gt;AL$7)),0,MAX(0,ROUND((INDEX($E815:$G815,AL$5)-SUMIFS(TF_Timer,TF_Tekniker,AL$4,TF_Dato,$A815))*2,0)/2)))</f>
        <v/>
      </c>
      <c r="AM815">
        <f>IF(OR(AM$4="",$A815&gt;TODAY()),0,IF(OR(INDEX($B815:$D815,AM$5)="F",AND(AM$6&gt;0,$A815&lt;AM$6),AND(AM$7&gt;0,$A815&gt;AM$7)),0,MAX(0,ROUND((INDEX($E815:$G815,AM$5)-SUMIFS(TF_Timer,TF_Tekniker,AM$4,TF_Dato,$A815))*2,0)/2)))</f>
        <v/>
      </c>
      <c r="AN815">
        <f>IF(OR(AN$4="",$A815&gt;TODAY()),0,IF(OR(INDEX($B815:$D815,AN$5)="F",AND(AN$6&gt;0,$A815&lt;AN$6),AND(AN$7&gt;0,$A815&gt;AN$7)),0,MAX(0,ROUND((INDEX($E815:$G815,AN$5)-SUMIFS(TF_Timer,TF_Tekniker,AN$4,TF_Dato,$A815))*2,0)/2)))</f>
        <v/>
      </c>
      <c r="AO815">
        <f>IF(OR(AO$4="",$A815&gt;TODAY()),0,IF(OR(INDEX($B815:$D815,AO$5)="F",AND(AO$6&gt;0,$A815&lt;AO$6),AND(AO$7&gt;0,$A815&gt;AO$7)),0,MAX(0,ROUND((INDEX($E815:$G815,AO$5)-SUMIFS(TF_Timer,TF_Tekniker,AO$4,TF_Dato,$A815))*2,0)/2)))</f>
        <v/>
      </c>
      <c r="AP815">
        <f>IF(OR(AP$4="",$A815&gt;TODAY()),0,IF(OR(INDEX($B815:$D815,AP$5)="F",AND(AP$6&gt;0,$A815&lt;AP$6),AND(AP$7&gt;0,$A815&gt;AP$7)),0,MAX(0,ROUND((INDEX($E815:$G815,AP$5)-SUMIFS(TF_Timer,TF_Tekniker,AP$4,TF_Dato,$A815))*2,0)/2)))</f>
        <v/>
      </c>
      <c r="AQ815">
        <f>IF(OR(AQ$4="",$A815&gt;TODAY()),0,IF(OR(INDEX($B815:$D815,AQ$5)="F",AND(AQ$6&gt;0,$A815&lt;AQ$6),AND(AQ$7&gt;0,$A815&gt;AQ$7)),0,MAX(0,ROUND((INDEX($E815:$G815,AQ$5)-SUMIFS(TF_Timer,TF_Tekniker,AQ$4,TF_Dato,$A815))*2,0)/2)))</f>
        <v/>
      </c>
      <c r="AR815">
        <f>IF(OR(AR$4="",$A815&gt;TODAY()),0,IF(OR(INDEX($B815:$D815,AR$5)="F",AND(AR$6&gt;0,$A815&lt;AR$6),AND(AR$7&gt;0,$A815&gt;AR$7)),0,MAX(0,ROUND((INDEX($E815:$G815,AR$5)-SUMIFS(TF_Timer,TF_Tekniker,AR$4,TF_Dato,$A815))*2,0)/2)))</f>
        <v/>
      </c>
      <c r="AS815">
        <f>IF(OR(AS$4="",$A815&gt;TODAY()),0,IF(OR(INDEX($B815:$D815,AS$5)="F",AND(AS$6&gt;0,$A815&lt;AS$6),AND(AS$7&gt;0,$A815&gt;AS$7)),0,MAX(0,ROUND((INDEX($E815:$G815,AS$5)-SUMIFS(TF_Timer,TF_Tekniker,AS$4,TF_Dato,$A815))*2,0)/2)))</f>
        <v/>
      </c>
      <c r="AT815">
        <f>IF(OR(AT$4="",$A815&gt;TODAY()),0,IF(OR(INDEX($B815:$D815,AT$5)="F",AND(AT$6&gt;0,$A815&lt;AT$6),AND(AT$7&gt;0,$A815&gt;AT$7)),0,MAX(0,ROUND((INDEX($E815:$G815,AT$5)-SUMIFS(TF_Timer,TF_Tekniker,AT$4,TF_Dato,$A815))*2,0)/2)))</f>
        <v/>
      </c>
      <c r="AU815">
        <f>IF(OR(AU$4="",$A815&gt;TODAY()),0,IF(OR(INDEX($B815:$D815,AU$5)="F",AND(AU$6&gt;0,$A815&lt;AU$6),AND(AU$7&gt;0,$A815&gt;AU$7)),0,MAX(0,ROUND((INDEX($E815:$G815,AU$5)-SUMIFS(TF_Timer,TF_Tekniker,AU$4,TF_Dato,$A815))*2,0)/2)))</f>
        <v/>
      </c>
      <c r="AV815">
        <f>IF(OR(AV$4="",$A815&gt;TODAY()),0,IF(OR(INDEX($B815:$D815,AV$5)="F",AND(AV$6&gt;0,$A815&lt;AV$6),AND(AV$7&gt;0,$A815&gt;AV$7)),0,MAX(0,ROUND((INDEX($E815:$G815,AV$5)-SUMIFS(TF_Timer,TF_Tekniker,AV$4,TF_Dato,$A815))*2,0)/2)))</f>
        <v/>
      </c>
      <c r="AW815">
        <f>IF(OR(AW$4="",$A815&gt;TODAY()),0,IF(OR(INDEX($B815:$D815,AW$5)="F",AND(AW$6&gt;0,$A815&lt;AW$6),AND(AW$7&gt;0,$A815&gt;AW$7)),0,MAX(0,ROUND((INDEX($E815:$G815,AW$5)-SUMIFS(TF_Timer,TF_Tekniker,AW$4,TF_Dato,$A815))*2,0)/2)))</f>
        <v/>
      </c>
      <c r="AX815">
        <f>IF(OR(AX$4="",$A815&gt;TODAY()),0,IF(OR(INDEX($B815:$D815,AX$5)="F",AND(AX$6&gt;0,$A815&lt;AX$6),AND(AX$7&gt;0,$A815&gt;AX$7)),0,MAX(0,ROUND((INDEX($E815:$G815,AX$5)-SUMIFS(TF_Timer,TF_Tekniker,AX$4,TF_Dato,$A815))*2,0)/2)))</f>
        <v/>
      </c>
      <c r="AY815">
        <f>IF(OR(AY$4="",$A815&gt;TODAY()),0,IF(OR(INDEX($B815:$D815,AY$5)="F",AND(AY$6&gt;0,$A815&lt;AY$6),AND(AY$7&gt;0,$A815&gt;AY$7)),0,MAX(0,ROUND((INDEX($E815:$G815,AY$5)-SUMIFS(TF_Timer,TF_Tekniker,AY$4,TF_Dato,$A815))*2,0)/2)))</f>
        <v/>
      </c>
      <c r="AZ815">
        <f>IF(OR(AZ$4="",$A815&gt;TODAY()),0,IF(OR(INDEX($B815:$D815,AZ$5)="F",AND(AZ$6&gt;0,$A815&lt;AZ$6),AND(AZ$7&gt;0,$A815&gt;AZ$7)),0,MAX(0,ROUND((INDEX($E815:$G815,AZ$5)-SUMIFS(TF_Timer,TF_Tekniker,AZ$4,TF_Dato,$A815))*2,0)/2)))</f>
        <v/>
      </c>
      <c r="BA815">
        <f>IF(OR(BA$4="",$A815&gt;TODAY()),0,IF(OR(INDEX($B815:$D815,BA$5)="F",AND(BA$6&gt;0,$A815&lt;BA$6),AND(BA$7&gt;0,$A815&gt;BA$7)),0,MAX(0,ROUND((INDEX($E815:$G815,BA$5)-SUMIFS(TF_Timer,TF_Tekniker,BA$4,TF_Dato,$A815))*2,0)/2)))</f>
        <v/>
      </c>
      <c r="BB815">
        <f>IF(OR(BB$4="",$A815&gt;TODAY()),0,IF(OR(INDEX($B815:$D815,BB$5)="F",AND(BB$6&gt;0,$A815&lt;BB$6),AND(BB$7&gt;0,$A815&gt;BB$7)),0,MAX(0,ROUND((INDEX($E815:$G815,BB$5)-SUMIFS(TF_Timer,TF_Tekniker,BB$4,TF_Dato,$A815))*2,0)/2)))</f>
        <v/>
      </c>
      <c r="BC815">
        <f>IF(OR(BC$4="",$A815&gt;TODAY()),0,IF(OR(INDEX($B815:$D815,BC$5)="F",AND(BC$6&gt;0,$A815&lt;BC$6),AND(BC$7&gt;0,$A815&gt;BC$7)),0,MAX(0,ROUND((INDEX($E815:$G815,BC$5)-SUMIFS(TF_Timer,TF_Tekniker,BC$4,TF_Dato,$A815))*2,0)/2)))</f>
        <v/>
      </c>
      <c r="BD815">
        <f>IF(OR(BD$4="",$A815&gt;TODAY()),0,IF(OR(INDEX($B815:$D815,BD$5)="F",AND(BD$6&gt;0,$A815&lt;BD$6),AND(BD$7&gt;0,$A815&gt;BD$7)),0,MAX(0,ROUND((INDEX($E815:$G815,BD$5)-SUMIFS(TF_Timer,TF_Tekniker,BD$4,TF_Dato,$A815))*2,0)/2)))</f>
        <v/>
      </c>
      <c r="BE815">
        <f>IF(OR(BE$4="",$A815&gt;TODAY()),0,IF(OR(INDEX($B815:$D815,BE$5)="F",AND(BE$6&gt;0,$A815&lt;BE$6),AND(BE$7&gt;0,$A815&gt;BE$7)),0,MAX(0,ROUND((INDEX($E815:$G815,BE$5)-SUMIFS(TF_Timer,TF_Tekniker,BE$4,TF_Dato,$A815))*2,0)/2)))</f>
        <v/>
      </c>
      <c r="BF815">
        <f>IF(OR(BF$4="",$A815&gt;TODAY()),0,IF(OR(INDEX($B815:$D815,BF$5)="F",AND(BF$6&gt;0,$A815&lt;BF$6),AND(BF$7&gt;0,$A815&gt;BF$7)),0,MAX(0,ROUND((INDEX($E815:$G815,BF$5)-SUMIFS(TF_Timer,TF_Tekniker,BF$4,TF_Dato,$A815))*2,0)/2)))</f>
        <v/>
      </c>
      <c r="BG815">
        <f>IF(OR(BG$4="",$A815&gt;TODAY()),0,IF(OR(INDEX($B815:$D815,BG$5)="F",AND(BG$6&gt;0,$A815&lt;BG$6),AND(BG$7&gt;0,$A815&gt;BG$7)),0,MAX(0,ROUND((INDEX($E815:$G815,BG$5)-SUMIFS(TF_Timer,TF_Tekniker,BG$4,TF_Dato,$A815))*2,0)/2)))</f>
        <v/>
      </c>
      <c r="BH815">
        <f>IF(OR(BH$4="",$A815&gt;TODAY()),0,IF(OR(INDEX($B815:$D815,BH$5)="F",AND(BH$6&gt;0,$A815&lt;BH$6),AND(BH$7&gt;0,$A815&gt;BH$7)),0,MAX(0,ROUND((INDEX($E815:$G815,BH$5)-SUMIFS(TF_Timer,TF_Tekniker,BH$4,TF_Dato,$A815))*2,0)/2)))</f>
        <v/>
      </c>
      <c r="BI815">
        <f>IF(OR(BI$4="",$A815&gt;TODAY()),0,IF(OR(INDEX($B815:$D815,BI$5)="F",AND(BI$6&gt;0,$A815&lt;BI$6),AND(BI$7&gt;0,$A815&gt;BI$7)),0,MAX(0,ROUND((INDEX($E815:$G815,BI$5)-SUMIFS(TF_Timer,TF_Tekniker,BI$4,TF_Dato,$A815))*2,0)/2)))</f>
        <v/>
      </c>
    </row>
    <row r="816">
      <c r="A816" s="64">
        <f>A815+1</f>
        <v/>
      </c>
      <c r="B816">
        <f>IF(MOD($A816-INDEX(SkiftStart,1),Syklus)&lt;DagK,"K",IF(MOD($A816-INDEX(SkiftStart,1),Syklus)&lt;DagK+DagH,"H",IF(MOD($A816-INDEX(SkiftStart,1),Syklus)&lt;DagK+DagH+DagD,"D","F")))</f>
        <v/>
      </c>
      <c r="C816">
        <f>IF(MOD($A816-INDEX(SkiftStart,2),Syklus)&lt;DagK,"K",IF(MOD($A816-INDEX(SkiftStart,2),Syklus)&lt;DagK+DagH,"H",IF(MOD($A816-INDEX(SkiftStart,2),Syklus)&lt;DagK+DagH+DagD,"D","F")))</f>
        <v/>
      </c>
      <c r="D816">
        <f>IF(MOD($A816-INDEX(SkiftStart,3),Syklus)&lt;DagK,"K",IF(MOD($A816-INDEX(SkiftStart,3),Syklus)&lt;DagK+DagH,"H",IF(MOD($A816-INDEX(SkiftStart,3),Syklus)&lt;DagK+DagH+DagD,"D","F")))</f>
        <v/>
      </c>
      <c r="E816">
        <f>IF(B816="F",0,IF(WEEKDAY($A816,2)=5,INDEX(TimerFr,MATCH(B816,FaseKode,0)),INDEX(TimerMT,MATCH(B816,FaseKode,0))))</f>
        <v/>
      </c>
      <c r="F816">
        <f>IF(C816="F",0,IF(WEEKDAY($A816,2)=5,INDEX(TimerFr,MATCH(C816,FaseKode,0)),INDEX(TimerMT,MATCH(C816,FaseKode,0))))</f>
        <v/>
      </c>
      <c r="G816">
        <f>IF(D816="F",0,IF(WEEKDAY($A816,2)=5,INDEX(TimerFr,MATCH(D816,FaseKode,0)),INDEX(TimerMT,MATCH(D816,FaseKode,0))))</f>
        <v/>
      </c>
      <c r="H816">
        <f>IF(OR(H$4="",$A816&gt;TODAY()),0,IF(OR(INDEX($B816:$D816,H$5)="F",AND(H$6&gt;0,$A816&lt;H$6),AND(H$7&gt;0,$A816&gt;H$7)),0,MAX(0,ROUND((INDEX($E816:$G816,H$5)-SUMIFS(TF_Timer,TF_Tekniker,H$4,TF_Dato,$A816))*2,0)/2)))</f>
        <v/>
      </c>
      <c r="I816">
        <f>IF(OR(I$4="",$A816&gt;TODAY()),0,IF(OR(INDEX($B816:$D816,I$5)="F",AND(I$6&gt;0,$A816&lt;I$6),AND(I$7&gt;0,$A816&gt;I$7)),0,MAX(0,ROUND((INDEX($E816:$G816,I$5)-SUMIFS(TF_Timer,TF_Tekniker,I$4,TF_Dato,$A816))*2,0)/2)))</f>
        <v/>
      </c>
      <c r="J816">
        <f>IF(OR(J$4="",$A816&gt;TODAY()),0,IF(OR(INDEX($B816:$D816,J$5)="F",AND(J$6&gt;0,$A816&lt;J$6),AND(J$7&gt;0,$A816&gt;J$7)),0,MAX(0,ROUND((INDEX($E816:$G816,J$5)-SUMIFS(TF_Timer,TF_Tekniker,J$4,TF_Dato,$A816))*2,0)/2)))</f>
        <v/>
      </c>
      <c r="K816">
        <f>IF(OR(K$4="",$A816&gt;TODAY()),0,IF(OR(INDEX($B816:$D816,K$5)="F",AND(K$6&gt;0,$A816&lt;K$6),AND(K$7&gt;0,$A816&gt;K$7)),0,MAX(0,ROUND((INDEX($E816:$G816,K$5)-SUMIFS(TF_Timer,TF_Tekniker,K$4,TF_Dato,$A816))*2,0)/2)))</f>
        <v/>
      </c>
      <c r="L816">
        <f>IF(OR(L$4="",$A816&gt;TODAY()),0,IF(OR(INDEX($B816:$D816,L$5)="F",AND(L$6&gt;0,$A816&lt;L$6),AND(L$7&gt;0,$A816&gt;L$7)),0,MAX(0,ROUND((INDEX($E816:$G816,L$5)-SUMIFS(TF_Timer,TF_Tekniker,L$4,TF_Dato,$A816))*2,0)/2)))</f>
        <v/>
      </c>
      <c r="M816">
        <f>IF(OR(M$4="",$A816&gt;TODAY()),0,IF(OR(INDEX($B816:$D816,M$5)="F",AND(M$6&gt;0,$A816&lt;M$6),AND(M$7&gt;0,$A816&gt;M$7)),0,MAX(0,ROUND((INDEX($E816:$G816,M$5)-SUMIFS(TF_Timer,TF_Tekniker,M$4,TF_Dato,$A816))*2,0)/2)))</f>
        <v/>
      </c>
      <c r="N816">
        <f>IF(OR(N$4="",$A816&gt;TODAY()),0,IF(OR(INDEX($B816:$D816,N$5)="F",AND(N$6&gt;0,$A816&lt;N$6),AND(N$7&gt;0,$A816&gt;N$7)),0,MAX(0,ROUND((INDEX($E816:$G816,N$5)-SUMIFS(TF_Timer,TF_Tekniker,N$4,TF_Dato,$A816))*2,0)/2)))</f>
        <v/>
      </c>
      <c r="O816">
        <f>IF(OR(O$4="",$A816&gt;TODAY()),0,IF(OR(INDEX($B816:$D816,O$5)="F",AND(O$6&gt;0,$A816&lt;O$6),AND(O$7&gt;0,$A816&gt;O$7)),0,MAX(0,ROUND((INDEX($E816:$G816,O$5)-SUMIFS(TF_Timer,TF_Tekniker,O$4,TF_Dato,$A816))*2,0)/2)))</f>
        <v/>
      </c>
      <c r="P816">
        <f>IF(OR(P$4="",$A816&gt;TODAY()),0,IF(OR(INDEX($B816:$D816,P$5)="F",AND(P$6&gt;0,$A816&lt;P$6),AND(P$7&gt;0,$A816&gt;P$7)),0,MAX(0,ROUND((INDEX($E816:$G816,P$5)-SUMIFS(TF_Timer,TF_Tekniker,P$4,TF_Dato,$A816))*2,0)/2)))</f>
        <v/>
      </c>
      <c r="Q816">
        <f>IF(OR(Q$4="",$A816&gt;TODAY()),0,IF(OR(INDEX($B816:$D816,Q$5)="F",AND(Q$6&gt;0,$A816&lt;Q$6),AND(Q$7&gt;0,$A816&gt;Q$7)),0,MAX(0,ROUND((INDEX($E816:$G816,Q$5)-SUMIFS(TF_Timer,TF_Tekniker,Q$4,TF_Dato,$A816))*2,0)/2)))</f>
        <v/>
      </c>
      <c r="R816">
        <f>IF(OR(R$4="",$A816&gt;TODAY()),0,IF(OR(INDEX($B816:$D816,R$5)="F",AND(R$6&gt;0,$A816&lt;R$6),AND(R$7&gt;0,$A816&gt;R$7)),0,MAX(0,ROUND((INDEX($E816:$G816,R$5)-SUMIFS(TF_Timer,TF_Tekniker,R$4,TF_Dato,$A816))*2,0)/2)))</f>
        <v/>
      </c>
      <c r="S816">
        <f>IF(OR(S$4="",$A816&gt;TODAY()),0,IF(OR(INDEX($B816:$D816,S$5)="F",AND(S$6&gt;0,$A816&lt;S$6),AND(S$7&gt;0,$A816&gt;S$7)),0,MAX(0,ROUND((INDEX($E816:$G816,S$5)-SUMIFS(TF_Timer,TF_Tekniker,S$4,TF_Dato,$A816))*2,0)/2)))</f>
        <v/>
      </c>
      <c r="T816">
        <f>IF(OR(T$4="",$A816&gt;TODAY()),0,IF(OR(INDEX($B816:$D816,T$5)="F",AND(T$6&gt;0,$A816&lt;T$6),AND(T$7&gt;0,$A816&gt;T$7)),0,MAX(0,ROUND((INDEX($E816:$G816,T$5)-SUMIFS(TF_Timer,TF_Tekniker,T$4,TF_Dato,$A816))*2,0)/2)))</f>
        <v/>
      </c>
      <c r="U816">
        <f>IF(OR(U$4="",$A816&gt;TODAY()),0,IF(OR(INDEX($B816:$D816,U$5)="F",AND(U$6&gt;0,$A816&lt;U$6),AND(U$7&gt;0,$A816&gt;U$7)),0,MAX(0,ROUND((INDEX($E816:$G816,U$5)-SUMIFS(TF_Timer,TF_Tekniker,U$4,TF_Dato,$A816))*2,0)/2)))</f>
        <v/>
      </c>
      <c r="V816">
        <f>IF(OR(V$4="",$A816&gt;TODAY()),0,IF(OR(INDEX($B816:$D816,V$5)="F",AND(V$6&gt;0,$A816&lt;V$6),AND(V$7&gt;0,$A816&gt;V$7)),0,MAX(0,ROUND((INDEX($E816:$G816,V$5)-SUMIFS(TF_Timer,TF_Tekniker,V$4,TF_Dato,$A816))*2,0)/2)))</f>
        <v/>
      </c>
      <c r="W816">
        <f>IF(OR(W$4="",$A816&gt;TODAY()),0,IF(OR(INDEX($B816:$D816,W$5)="F",AND(W$6&gt;0,$A816&lt;W$6),AND(W$7&gt;0,$A816&gt;W$7)),0,MAX(0,ROUND((INDEX($E816:$G816,W$5)-SUMIFS(TF_Timer,TF_Tekniker,W$4,TF_Dato,$A816))*2,0)/2)))</f>
        <v/>
      </c>
      <c r="X816">
        <f>IF(OR(X$4="",$A816&gt;TODAY()),0,IF(OR(INDEX($B816:$D816,X$5)="F",AND(X$6&gt;0,$A816&lt;X$6),AND(X$7&gt;0,$A816&gt;X$7)),0,MAX(0,ROUND((INDEX($E816:$G816,X$5)-SUMIFS(TF_Timer,TF_Tekniker,X$4,TF_Dato,$A816))*2,0)/2)))</f>
        <v/>
      </c>
      <c r="Y816">
        <f>IF(OR(Y$4="",$A816&gt;TODAY()),0,IF(OR(INDEX($B816:$D816,Y$5)="F",AND(Y$6&gt;0,$A816&lt;Y$6),AND(Y$7&gt;0,$A816&gt;Y$7)),0,MAX(0,ROUND((INDEX($E816:$G816,Y$5)-SUMIFS(TF_Timer,TF_Tekniker,Y$4,TF_Dato,$A816))*2,0)/2)))</f>
        <v/>
      </c>
      <c r="Z816">
        <f>IF(OR(Z$4="",$A816&gt;TODAY()),0,IF(OR(INDEX($B816:$D816,Z$5)="F",AND(Z$6&gt;0,$A816&lt;Z$6),AND(Z$7&gt;0,$A816&gt;Z$7)),0,MAX(0,ROUND((INDEX($E816:$G816,Z$5)-SUMIFS(TF_Timer,TF_Tekniker,Z$4,TF_Dato,$A816))*2,0)/2)))</f>
        <v/>
      </c>
      <c r="AA816">
        <f>IF(OR(AA$4="",$A816&gt;TODAY()),0,IF(OR(INDEX($B816:$D816,AA$5)="F",AND(AA$6&gt;0,$A816&lt;AA$6),AND(AA$7&gt;0,$A816&gt;AA$7)),0,MAX(0,ROUND((INDEX($E816:$G816,AA$5)-SUMIFS(TF_Timer,TF_Tekniker,AA$4,TF_Dato,$A816))*2,0)/2)))</f>
        <v/>
      </c>
      <c r="AB816">
        <f>IF(OR(AB$4="",$A816&gt;TODAY()),0,IF(OR(INDEX($B816:$D816,AB$5)="F",AND(AB$6&gt;0,$A816&lt;AB$6),AND(AB$7&gt;0,$A816&gt;AB$7)),0,MAX(0,ROUND((INDEX($E816:$G816,AB$5)-SUMIFS(TF_Timer,TF_Tekniker,AB$4,TF_Dato,$A816))*2,0)/2)))</f>
        <v/>
      </c>
      <c r="AC816">
        <f>IF(OR(AC$4="",$A816&gt;TODAY()),0,IF(OR(INDEX($B816:$D816,AC$5)="F",AND(AC$6&gt;0,$A816&lt;AC$6),AND(AC$7&gt;0,$A816&gt;AC$7)),0,MAX(0,ROUND((INDEX($E816:$G816,AC$5)-SUMIFS(TF_Timer,TF_Tekniker,AC$4,TF_Dato,$A816))*2,0)/2)))</f>
        <v/>
      </c>
      <c r="AD816">
        <f>IF(OR(AD$4="",$A816&gt;TODAY()),0,IF(OR(INDEX($B816:$D816,AD$5)="F",AND(AD$6&gt;0,$A816&lt;AD$6),AND(AD$7&gt;0,$A816&gt;AD$7)),0,MAX(0,ROUND((INDEX($E816:$G816,AD$5)-SUMIFS(TF_Timer,TF_Tekniker,AD$4,TF_Dato,$A816))*2,0)/2)))</f>
        <v/>
      </c>
      <c r="AE816">
        <f>IF(OR(AE$4="",$A816&gt;TODAY()),0,IF(OR(INDEX($B816:$D816,AE$5)="F",AND(AE$6&gt;0,$A816&lt;AE$6),AND(AE$7&gt;0,$A816&gt;AE$7)),0,MAX(0,ROUND((INDEX($E816:$G816,AE$5)-SUMIFS(TF_Timer,TF_Tekniker,AE$4,TF_Dato,$A816))*2,0)/2)))</f>
        <v/>
      </c>
      <c r="AF816">
        <f>IF(OR(AF$4="",$A816&gt;TODAY()),0,IF(OR(INDEX($B816:$D816,AF$5)="F",AND(AF$6&gt;0,$A816&lt;AF$6),AND(AF$7&gt;0,$A816&gt;AF$7)),0,MAX(0,ROUND((INDEX($E816:$G816,AF$5)-SUMIFS(TF_Timer,TF_Tekniker,AF$4,TF_Dato,$A816))*2,0)/2)))</f>
        <v/>
      </c>
      <c r="AG816">
        <f>IF(OR(AG$4="",$A816&gt;TODAY()),0,IF(OR(INDEX($B816:$D816,AG$5)="F",AND(AG$6&gt;0,$A816&lt;AG$6),AND(AG$7&gt;0,$A816&gt;AG$7)),0,MAX(0,ROUND((INDEX($E816:$G816,AG$5)-SUMIFS(TF_Timer,TF_Tekniker,AG$4,TF_Dato,$A816))*2,0)/2)))</f>
        <v/>
      </c>
      <c r="AH816">
        <f>IF(OR(AH$4="",$A816&gt;TODAY()),0,IF(OR(INDEX($B816:$D816,AH$5)="F",AND(AH$6&gt;0,$A816&lt;AH$6),AND(AH$7&gt;0,$A816&gt;AH$7)),0,MAX(0,ROUND((INDEX($E816:$G816,AH$5)-SUMIFS(TF_Timer,TF_Tekniker,AH$4,TF_Dato,$A816))*2,0)/2)))</f>
        <v/>
      </c>
      <c r="AI816">
        <f>IF(OR(AI$4="",$A816&gt;TODAY()),0,IF(OR(INDEX($B816:$D816,AI$5)="F",AND(AI$6&gt;0,$A816&lt;AI$6),AND(AI$7&gt;0,$A816&gt;AI$7)),0,MAX(0,ROUND((INDEX($E816:$G816,AI$5)-SUMIFS(TF_Timer,TF_Tekniker,AI$4,TF_Dato,$A816))*2,0)/2)))</f>
        <v/>
      </c>
      <c r="AJ816">
        <f>IF(OR(AJ$4="",$A816&gt;TODAY()),0,IF(OR(INDEX($B816:$D816,AJ$5)="F",AND(AJ$6&gt;0,$A816&lt;AJ$6),AND(AJ$7&gt;0,$A816&gt;AJ$7)),0,MAX(0,ROUND((INDEX($E816:$G816,AJ$5)-SUMIFS(TF_Timer,TF_Tekniker,AJ$4,TF_Dato,$A816))*2,0)/2)))</f>
        <v/>
      </c>
      <c r="AK816">
        <f>IF(OR(AK$4="",$A816&gt;TODAY()),0,IF(OR(INDEX($B816:$D816,AK$5)="F",AND(AK$6&gt;0,$A816&lt;AK$6),AND(AK$7&gt;0,$A816&gt;AK$7)),0,MAX(0,ROUND((INDEX($E816:$G816,AK$5)-SUMIFS(TF_Timer,TF_Tekniker,AK$4,TF_Dato,$A816))*2,0)/2)))</f>
        <v/>
      </c>
      <c r="AL816">
        <f>IF(OR(AL$4="",$A816&gt;TODAY()),0,IF(OR(INDEX($B816:$D816,AL$5)="F",AND(AL$6&gt;0,$A816&lt;AL$6),AND(AL$7&gt;0,$A816&gt;AL$7)),0,MAX(0,ROUND((INDEX($E816:$G816,AL$5)-SUMIFS(TF_Timer,TF_Tekniker,AL$4,TF_Dato,$A816))*2,0)/2)))</f>
        <v/>
      </c>
      <c r="AM816">
        <f>IF(OR(AM$4="",$A816&gt;TODAY()),0,IF(OR(INDEX($B816:$D816,AM$5)="F",AND(AM$6&gt;0,$A816&lt;AM$6),AND(AM$7&gt;0,$A816&gt;AM$7)),0,MAX(0,ROUND((INDEX($E816:$G816,AM$5)-SUMIFS(TF_Timer,TF_Tekniker,AM$4,TF_Dato,$A816))*2,0)/2)))</f>
        <v/>
      </c>
      <c r="AN816">
        <f>IF(OR(AN$4="",$A816&gt;TODAY()),0,IF(OR(INDEX($B816:$D816,AN$5)="F",AND(AN$6&gt;0,$A816&lt;AN$6),AND(AN$7&gt;0,$A816&gt;AN$7)),0,MAX(0,ROUND((INDEX($E816:$G816,AN$5)-SUMIFS(TF_Timer,TF_Tekniker,AN$4,TF_Dato,$A816))*2,0)/2)))</f>
        <v/>
      </c>
      <c r="AO816">
        <f>IF(OR(AO$4="",$A816&gt;TODAY()),0,IF(OR(INDEX($B816:$D816,AO$5)="F",AND(AO$6&gt;0,$A816&lt;AO$6),AND(AO$7&gt;0,$A816&gt;AO$7)),0,MAX(0,ROUND((INDEX($E816:$G816,AO$5)-SUMIFS(TF_Timer,TF_Tekniker,AO$4,TF_Dato,$A816))*2,0)/2)))</f>
        <v/>
      </c>
      <c r="AP816">
        <f>IF(OR(AP$4="",$A816&gt;TODAY()),0,IF(OR(INDEX($B816:$D816,AP$5)="F",AND(AP$6&gt;0,$A816&lt;AP$6),AND(AP$7&gt;0,$A816&gt;AP$7)),0,MAX(0,ROUND((INDEX($E816:$G816,AP$5)-SUMIFS(TF_Timer,TF_Tekniker,AP$4,TF_Dato,$A816))*2,0)/2)))</f>
        <v/>
      </c>
      <c r="AQ816">
        <f>IF(OR(AQ$4="",$A816&gt;TODAY()),0,IF(OR(INDEX($B816:$D816,AQ$5)="F",AND(AQ$6&gt;0,$A816&lt;AQ$6),AND(AQ$7&gt;0,$A816&gt;AQ$7)),0,MAX(0,ROUND((INDEX($E816:$G816,AQ$5)-SUMIFS(TF_Timer,TF_Tekniker,AQ$4,TF_Dato,$A816))*2,0)/2)))</f>
        <v/>
      </c>
      <c r="AR816">
        <f>IF(OR(AR$4="",$A816&gt;TODAY()),0,IF(OR(INDEX($B816:$D816,AR$5)="F",AND(AR$6&gt;0,$A816&lt;AR$6),AND(AR$7&gt;0,$A816&gt;AR$7)),0,MAX(0,ROUND((INDEX($E816:$G816,AR$5)-SUMIFS(TF_Timer,TF_Tekniker,AR$4,TF_Dato,$A816))*2,0)/2)))</f>
        <v/>
      </c>
      <c r="AS816">
        <f>IF(OR(AS$4="",$A816&gt;TODAY()),0,IF(OR(INDEX($B816:$D816,AS$5)="F",AND(AS$6&gt;0,$A816&lt;AS$6),AND(AS$7&gt;0,$A816&gt;AS$7)),0,MAX(0,ROUND((INDEX($E816:$G816,AS$5)-SUMIFS(TF_Timer,TF_Tekniker,AS$4,TF_Dato,$A816))*2,0)/2)))</f>
        <v/>
      </c>
      <c r="AT816">
        <f>IF(OR(AT$4="",$A816&gt;TODAY()),0,IF(OR(INDEX($B816:$D816,AT$5)="F",AND(AT$6&gt;0,$A816&lt;AT$6),AND(AT$7&gt;0,$A816&gt;AT$7)),0,MAX(0,ROUND((INDEX($E816:$G816,AT$5)-SUMIFS(TF_Timer,TF_Tekniker,AT$4,TF_Dato,$A816))*2,0)/2)))</f>
        <v/>
      </c>
      <c r="AU816">
        <f>IF(OR(AU$4="",$A816&gt;TODAY()),0,IF(OR(INDEX($B816:$D816,AU$5)="F",AND(AU$6&gt;0,$A816&lt;AU$6),AND(AU$7&gt;0,$A816&gt;AU$7)),0,MAX(0,ROUND((INDEX($E816:$G816,AU$5)-SUMIFS(TF_Timer,TF_Tekniker,AU$4,TF_Dato,$A816))*2,0)/2)))</f>
        <v/>
      </c>
      <c r="AV816">
        <f>IF(OR(AV$4="",$A816&gt;TODAY()),0,IF(OR(INDEX($B816:$D816,AV$5)="F",AND(AV$6&gt;0,$A816&lt;AV$6),AND(AV$7&gt;0,$A816&gt;AV$7)),0,MAX(0,ROUND((INDEX($E816:$G816,AV$5)-SUMIFS(TF_Timer,TF_Tekniker,AV$4,TF_Dato,$A816))*2,0)/2)))</f>
        <v/>
      </c>
      <c r="AW816">
        <f>IF(OR(AW$4="",$A816&gt;TODAY()),0,IF(OR(INDEX($B816:$D816,AW$5)="F",AND(AW$6&gt;0,$A816&lt;AW$6),AND(AW$7&gt;0,$A816&gt;AW$7)),0,MAX(0,ROUND((INDEX($E816:$G816,AW$5)-SUMIFS(TF_Timer,TF_Tekniker,AW$4,TF_Dato,$A816))*2,0)/2)))</f>
        <v/>
      </c>
      <c r="AX816">
        <f>IF(OR(AX$4="",$A816&gt;TODAY()),0,IF(OR(INDEX($B816:$D816,AX$5)="F",AND(AX$6&gt;0,$A816&lt;AX$6),AND(AX$7&gt;0,$A816&gt;AX$7)),0,MAX(0,ROUND((INDEX($E816:$G816,AX$5)-SUMIFS(TF_Timer,TF_Tekniker,AX$4,TF_Dato,$A816))*2,0)/2)))</f>
        <v/>
      </c>
      <c r="AY816">
        <f>IF(OR(AY$4="",$A816&gt;TODAY()),0,IF(OR(INDEX($B816:$D816,AY$5)="F",AND(AY$6&gt;0,$A816&lt;AY$6),AND(AY$7&gt;0,$A816&gt;AY$7)),0,MAX(0,ROUND((INDEX($E816:$G816,AY$5)-SUMIFS(TF_Timer,TF_Tekniker,AY$4,TF_Dato,$A816))*2,0)/2)))</f>
        <v/>
      </c>
      <c r="AZ816">
        <f>IF(OR(AZ$4="",$A816&gt;TODAY()),0,IF(OR(INDEX($B816:$D816,AZ$5)="F",AND(AZ$6&gt;0,$A816&lt;AZ$6),AND(AZ$7&gt;0,$A816&gt;AZ$7)),0,MAX(0,ROUND((INDEX($E816:$G816,AZ$5)-SUMIFS(TF_Timer,TF_Tekniker,AZ$4,TF_Dato,$A816))*2,0)/2)))</f>
        <v/>
      </c>
      <c r="BA816">
        <f>IF(OR(BA$4="",$A816&gt;TODAY()),0,IF(OR(INDEX($B816:$D816,BA$5)="F",AND(BA$6&gt;0,$A816&lt;BA$6),AND(BA$7&gt;0,$A816&gt;BA$7)),0,MAX(0,ROUND((INDEX($E816:$G816,BA$5)-SUMIFS(TF_Timer,TF_Tekniker,BA$4,TF_Dato,$A816))*2,0)/2)))</f>
        <v/>
      </c>
      <c r="BB816">
        <f>IF(OR(BB$4="",$A816&gt;TODAY()),0,IF(OR(INDEX($B816:$D816,BB$5)="F",AND(BB$6&gt;0,$A816&lt;BB$6),AND(BB$7&gt;0,$A816&gt;BB$7)),0,MAX(0,ROUND((INDEX($E816:$G816,BB$5)-SUMIFS(TF_Timer,TF_Tekniker,BB$4,TF_Dato,$A816))*2,0)/2)))</f>
        <v/>
      </c>
      <c r="BC816">
        <f>IF(OR(BC$4="",$A816&gt;TODAY()),0,IF(OR(INDEX($B816:$D816,BC$5)="F",AND(BC$6&gt;0,$A816&lt;BC$6),AND(BC$7&gt;0,$A816&gt;BC$7)),0,MAX(0,ROUND((INDEX($E816:$G816,BC$5)-SUMIFS(TF_Timer,TF_Tekniker,BC$4,TF_Dato,$A816))*2,0)/2)))</f>
        <v/>
      </c>
      <c r="BD816">
        <f>IF(OR(BD$4="",$A816&gt;TODAY()),0,IF(OR(INDEX($B816:$D816,BD$5)="F",AND(BD$6&gt;0,$A816&lt;BD$6),AND(BD$7&gt;0,$A816&gt;BD$7)),0,MAX(0,ROUND((INDEX($E816:$G816,BD$5)-SUMIFS(TF_Timer,TF_Tekniker,BD$4,TF_Dato,$A816))*2,0)/2)))</f>
        <v/>
      </c>
      <c r="BE816">
        <f>IF(OR(BE$4="",$A816&gt;TODAY()),0,IF(OR(INDEX($B816:$D816,BE$5)="F",AND(BE$6&gt;0,$A816&lt;BE$6),AND(BE$7&gt;0,$A816&gt;BE$7)),0,MAX(0,ROUND((INDEX($E816:$G816,BE$5)-SUMIFS(TF_Timer,TF_Tekniker,BE$4,TF_Dato,$A816))*2,0)/2)))</f>
        <v/>
      </c>
      <c r="BF816">
        <f>IF(OR(BF$4="",$A816&gt;TODAY()),0,IF(OR(INDEX($B816:$D816,BF$5)="F",AND(BF$6&gt;0,$A816&lt;BF$6),AND(BF$7&gt;0,$A816&gt;BF$7)),0,MAX(0,ROUND((INDEX($E816:$G816,BF$5)-SUMIFS(TF_Timer,TF_Tekniker,BF$4,TF_Dato,$A816))*2,0)/2)))</f>
        <v/>
      </c>
      <c r="BG816">
        <f>IF(OR(BG$4="",$A816&gt;TODAY()),0,IF(OR(INDEX($B816:$D816,BG$5)="F",AND(BG$6&gt;0,$A816&lt;BG$6),AND(BG$7&gt;0,$A816&gt;BG$7)),0,MAX(0,ROUND((INDEX($E816:$G816,BG$5)-SUMIFS(TF_Timer,TF_Tekniker,BG$4,TF_Dato,$A816))*2,0)/2)))</f>
        <v/>
      </c>
      <c r="BH816">
        <f>IF(OR(BH$4="",$A816&gt;TODAY()),0,IF(OR(INDEX($B816:$D816,BH$5)="F",AND(BH$6&gt;0,$A816&lt;BH$6),AND(BH$7&gt;0,$A816&gt;BH$7)),0,MAX(0,ROUND((INDEX($E816:$G816,BH$5)-SUMIFS(TF_Timer,TF_Tekniker,BH$4,TF_Dato,$A816))*2,0)/2)))</f>
        <v/>
      </c>
      <c r="BI816">
        <f>IF(OR(BI$4="",$A816&gt;TODAY()),0,IF(OR(INDEX($B816:$D816,BI$5)="F",AND(BI$6&gt;0,$A816&lt;BI$6),AND(BI$7&gt;0,$A816&gt;BI$7)),0,MAX(0,ROUND((INDEX($E816:$G816,BI$5)-SUMIFS(TF_Timer,TF_Tekniker,BI$4,TF_Dato,$A816))*2,0)/2)))</f>
        <v/>
      </c>
    </row>
    <row r="817">
      <c r="A817" s="64">
        <f>A816+1</f>
        <v/>
      </c>
      <c r="B817">
        <f>IF(MOD($A817-INDEX(SkiftStart,1),Syklus)&lt;DagK,"K",IF(MOD($A817-INDEX(SkiftStart,1),Syklus)&lt;DagK+DagH,"H",IF(MOD($A817-INDEX(SkiftStart,1),Syklus)&lt;DagK+DagH+DagD,"D","F")))</f>
        <v/>
      </c>
      <c r="C817">
        <f>IF(MOD($A817-INDEX(SkiftStart,2),Syklus)&lt;DagK,"K",IF(MOD($A817-INDEX(SkiftStart,2),Syklus)&lt;DagK+DagH,"H",IF(MOD($A817-INDEX(SkiftStart,2),Syklus)&lt;DagK+DagH+DagD,"D","F")))</f>
        <v/>
      </c>
      <c r="D817">
        <f>IF(MOD($A817-INDEX(SkiftStart,3),Syklus)&lt;DagK,"K",IF(MOD($A817-INDEX(SkiftStart,3),Syklus)&lt;DagK+DagH,"H",IF(MOD($A817-INDEX(SkiftStart,3),Syklus)&lt;DagK+DagH+DagD,"D","F")))</f>
        <v/>
      </c>
      <c r="E817">
        <f>IF(B817="F",0,IF(WEEKDAY($A817,2)=5,INDEX(TimerFr,MATCH(B817,FaseKode,0)),INDEX(TimerMT,MATCH(B817,FaseKode,0))))</f>
        <v/>
      </c>
      <c r="F817">
        <f>IF(C817="F",0,IF(WEEKDAY($A817,2)=5,INDEX(TimerFr,MATCH(C817,FaseKode,0)),INDEX(TimerMT,MATCH(C817,FaseKode,0))))</f>
        <v/>
      </c>
      <c r="G817">
        <f>IF(D817="F",0,IF(WEEKDAY($A817,2)=5,INDEX(TimerFr,MATCH(D817,FaseKode,0)),INDEX(TimerMT,MATCH(D817,FaseKode,0))))</f>
        <v/>
      </c>
      <c r="H817">
        <f>IF(OR(H$4="",$A817&gt;TODAY()),0,IF(OR(INDEX($B817:$D817,H$5)="F",AND(H$6&gt;0,$A817&lt;H$6),AND(H$7&gt;0,$A817&gt;H$7)),0,MAX(0,ROUND((INDEX($E817:$G817,H$5)-SUMIFS(TF_Timer,TF_Tekniker,H$4,TF_Dato,$A817))*2,0)/2)))</f>
        <v/>
      </c>
      <c r="I817">
        <f>IF(OR(I$4="",$A817&gt;TODAY()),0,IF(OR(INDEX($B817:$D817,I$5)="F",AND(I$6&gt;0,$A817&lt;I$6),AND(I$7&gt;0,$A817&gt;I$7)),0,MAX(0,ROUND((INDEX($E817:$G817,I$5)-SUMIFS(TF_Timer,TF_Tekniker,I$4,TF_Dato,$A817))*2,0)/2)))</f>
        <v/>
      </c>
      <c r="J817">
        <f>IF(OR(J$4="",$A817&gt;TODAY()),0,IF(OR(INDEX($B817:$D817,J$5)="F",AND(J$6&gt;0,$A817&lt;J$6),AND(J$7&gt;0,$A817&gt;J$7)),0,MAX(0,ROUND((INDEX($E817:$G817,J$5)-SUMIFS(TF_Timer,TF_Tekniker,J$4,TF_Dato,$A817))*2,0)/2)))</f>
        <v/>
      </c>
      <c r="K817">
        <f>IF(OR(K$4="",$A817&gt;TODAY()),0,IF(OR(INDEX($B817:$D817,K$5)="F",AND(K$6&gt;0,$A817&lt;K$6),AND(K$7&gt;0,$A817&gt;K$7)),0,MAX(0,ROUND((INDEX($E817:$G817,K$5)-SUMIFS(TF_Timer,TF_Tekniker,K$4,TF_Dato,$A817))*2,0)/2)))</f>
        <v/>
      </c>
      <c r="L817">
        <f>IF(OR(L$4="",$A817&gt;TODAY()),0,IF(OR(INDEX($B817:$D817,L$5)="F",AND(L$6&gt;0,$A817&lt;L$6),AND(L$7&gt;0,$A817&gt;L$7)),0,MAX(0,ROUND((INDEX($E817:$G817,L$5)-SUMIFS(TF_Timer,TF_Tekniker,L$4,TF_Dato,$A817))*2,0)/2)))</f>
        <v/>
      </c>
      <c r="M817">
        <f>IF(OR(M$4="",$A817&gt;TODAY()),0,IF(OR(INDEX($B817:$D817,M$5)="F",AND(M$6&gt;0,$A817&lt;M$6),AND(M$7&gt;0,$A817&gt;M$7)),0,MAX(0,ROUND((INDEX($E817:$G817,M$5)-SUMIFS(TF_Timer,TF_Tekniker,M$4,TF_Dato,$A817))*2,0)/2)))</f>
        <v/>
      </c>
      <c r="N817">
        <f>IF(OR(N$4="",$A817&gt;TODAY()),0,IF(OR(INDEX($B817:$D817,N$5)="F",AND(N$6&gt;0,$A817&lt;N$6),AND(N$7&gt;0,$A817&gt;N$7)),0,MAX(0,ROUND((INDEX($E817:$G817,N$5)-SUMIFS(TF_Timer,TF_Tekniker,N$4,TF_Dato,$A817))*2,0)/2)))</f>
        <v/>
      </c>
      <c r="O817">
        <f>IF(OR(O$4="",$A817&gt;TODAY()),0,IF(OR(INDEX($B817:$D817,O$5)="F",AND(O$6&gt;0,$A817&lt;O$6),AND(O$7&gt;0,$A817&gt;O$7)),0,MAX(0,ROUND((INDEX($E817:$G817,O$5)-SUMIFS(TF_Timer,TF_Tekniker,O$4,TF_Dato,$A817))*2,0)/2)))</f>
        <v/>
      </c>
      <c r="P817">
        <f>IF(OR(P$4="",$A817&gt;TODAY()),0,IF(OR(INDEX($B817:$D817,P$5)="F",AND(P$6&gt;0,$A817&lt;P$6),AND(P$7&gt;0,$A817&gt;P$7)),0,MAX(0,ROUND((INDEX($E817:$G817,P$5)-SUMIFS(TF_Timer,TF_Tekniker,P$4,TF_Dato,$A817))*2,0)/2)))</f>
        <v/>
      </c>
      <c r="Q817">
        <f>IF(OR(Q$4="",$A817&gt;TODAY()),0,IF(OR(INDEX($B817:$D817,Q$5)="F",AND(Q$6&gt;0,$A817&lt;Q$6),AND(Q$7&gt;0,$A817&gt;Q$7)),0,MAX(0,ROUND((INDEX($E817:$G817,Q$5)-SUMIFS(TF_Timer,TF_Tekniker,Q$4,TF_Dato,$A817))*2,0)/2)))</f>
        <v/>
      </c>
      <c r="R817">
        <f>IF(OR(R$4="",$A817&gt;TODAY()),0,IF(OR(INDEX($B817:$D817,R$5)="F",AND(R$6&gt;0,$A817&lt;R$6),AND(R$7&gt;0,$A817&gt;R$7)),0,MAX(0,ROUND((INDEX($E817:$G817,R$5)-SUMIFS(TF_Timer,TF_Tekniker,R$4,TF_Dato,$A817))*2,0)/2)))</f>
        <v/>
      </c>
      <c r="S817">
        <f>IF(OR(S$4="",$A817&gt;TODAY()),0,IF(OR(INDEX($B817:$D817,S$5)="F",AND(S$6&gt;0,$A817&lt;S$6),AND(S$7&gt;0,$A817&gt;S$7)),0,MAX(0,ROUND((INDEX($E817:$G817,S$5)-SUMIFS(TF_Timer,TF_Tekniker,S$4,TF_Dato,$A817))*2,0)/2)))</f>
        <v/>
      </c>
      <c r="T817">
        <f>IF(OR(T$4="",$A817&gt;TODAY()),0,IF(OR(INDEX($B817:$D817,T$5)="F",AND(T$6&gt;0,$A817&lt;T$6),AND(T$7&gt;0,$A817&gt;T$7)),0,MAX(0,ROUND((INDEX($E817:$G817,T$5)-SUMIFS(TF_Timer,TF_Tekniker,T$4,TF_Dato,$A817))*2,0)/2)))</f>
        <v/>
      </c>
      <c r="U817">
        <f>IF(OR(U$4="",$A817&gt;TODAY()),0,IF(OR(INDEX($B817:$D817,U$5)="F",AND(U$6&gt;0,$A817&lt;U$6),AND(U$7&gt;0,$A817&gt;U$7)),0,MAX(0,ROUND((INDEX($E817:$G817,U$5)-SUMIFS(TF_Timer,TF_Tekniker,U$4,TF_Dato,$A817))*2,0)/2)))</f>
        <v/>
      </c>
      <c r="V817">
        <f>IF(OR(V$4="",$A817&gt;TODAY()),0,IF(OR(INDEX($B817:$D817,V$5)="F",AND(V$6&gt;0,$A817&lt;V$6),AND(V$7&gt;0,$A817&gt;V$7)),0,MAX(0,ROUND((INDEX($E817:$G817,V$5)-SUMIFS(TF_Timer,TF_Tekniker,V$4,TF_Dato,$A817))*2,0)/2)))</f>
        <v/>
      </c>
      <c r="W817">
        <f>IF(OR(W$4="",$A817&gt;TODAY()),0,IF(OR(INDEX($B817:$D817,W$5)="F",AND(W$6&gt;0,$A817&lt;W$6),AND(W$7&gt;0,$A817&gt;W$7)),0,MAX(0,ROUND((INDEX($E817:$G817,W$5)-SUMIFS(TF_Timer,TF_Tekniker,W$4,TF_Dato,$A817))*2,0)/2)))</f>
        <v/>
      </c>
      <c r="X817">
        <f>IF(OR(X$4="",$A817&gt;TODAY()),0,IF(OR(INDEX($B817:$D817,X$5)="F",AND(X$6&gt;0,$A817&lt;X$6),AND(X$7&gt;0,$A817&gt;X$7)),0,MAX(0,ROUND((INDEX($E817:$G817,X$5)-SUMIFS(TF_Timer,TF_Tekniker,X$4,TF_Dato,$A817))*2,0)/2)))</f>
        <v/>
      </c>
      <c r="Y817">
        <f>IF(OR(Y$4="",$A817&gt;TODAY()),0,IF(OR(INDEX($B817:$D817,Y$5)="F",AND(Y$6&gt;0,$A817&lt;Y$6),AND(Y$7&gt;0,$A817&gt;Y$7)),0,MAX(0,ROUND((INDEX($E817:$G817,Y$5)-SUMIFS(TF_Timer,TF_Tekniker,Y$4,TF_Dato,$A817))*2,0)/2)))</f>
        <v/>
      </c>
      <c r="Z817">
        <f>IF(OR(Z$4="",$A817&gt;TODAY()),0,IF(OR(INDEX($B817:$D817,Z$5)="F",AND(Z$6&gt;0,$A817&lt;Z$6),AND(Z$7&gt;0,$A817&gt;Z$7)),0,MAX(0,ROUND((INDEX($E817:$G817,Z$5)-SUMIFS(TF_Timer,TF_Tekniker,Z$4,TF_Dato,$A817))*2,0)/2)))</f>
        <v/>
      </c>
      <c r="AA817">
        <f>IF(OR(AA$4="",$A817&gt;TODAY()),0,IF(OR(INDEX($B817:$D817,AA$5)="F",AND(AA$6&gt;0,$A817&lt;AA$6),AND(AA$7&gt;0,$A817&gt;AA$7)),0,MAX(0,ROUND((INDEX($E817:$G817,AA$5)-SUMIFS(TF_Timer,TF_Tekniker,AA$4,TF_Dato,$A817))*2,0)/2)))</f>
        <v/>
      </c>
      <c r="AB817">
        <f>IF(OR(AB$4="",$A817&gt;TODAY()),0,IF(OR(INDEX($B817:$D817,AB$5)="F",AND(AB$6&gt;0,$A817&lt;AB$6),AND(AB$7&gt;0,$A817&gt;AB$7)),0,MAX(0,ROUND((INDEX($E817:$G817,AB$5)-SUMIFS(TF_Timer,TF_Tekniker,AB$4,TF_Dato,$A817))*2,0)/2)))</f>
        <v/>
      </c>
      <c r="AC817">
        <f>IF(OR(AC$4="",$A817&gt;TODAY()),0,IF(OR(INDEX($B817:$D817,AC$5)="F",AND(AC$6&gt;0,$A817&lt;AC$6),AND(AC$7&gt;0,$A817&gt;AC$7)),0,MAX(0,ROUND((INDEX($E817:$G817,AC$5)-SUMIFS(TF_Timer,TF_Tekniker,AC$4,TF_Dato,$A817))*2,0)/2)))</f>
        <v/>
      </c>
      <c r="AD817">
        <f>IF(OR(AD$4="",$A817&gt;TODAY()),0,IF(OR(INDEX($B817:$D817,AD$5)="F",AND(AD$6&gt;0,$A817&lt;AD$6),AND(AD$7&gt;0,$A817&gt;AD$7)),0,MAX(0,ROUND((INDEX($E817:$G817,AD$5)-SUMIFS(TF_Timer,TF_Tekniker,AD$4,TF_Dato,$A817))*2,0)/2)))</f>
        <v/>
      </c>
      <c r="AE817">
        <f>IF(OR(AE$4="",$A817&gt;TODAY()),0,IF(OR(INDEX($B817:$D817,AE$5)="F",AND(AE$6&gt;0,$A817&lt;AE$6),AND(AE$7&gt;0,$A817&gt;AE$7)),0,MAX(0,ROUND((INDEX($E817:$G817,AE$5)-SUMIFS(TF_Timer,TF_Tekniker,AE$4,TF_Dato,$A817))*2,0)/2)))</f>
        <v/>
      </c>
      <c r="AF817">
        <f>IF(OR(AF$4="",$A817&gt;TODAY()),0,IF(OR(INDEX($B817:$D817,AF$5)="F",AND(AF$6&gt;0,$A817&lt;AF$6),AND(AF$7&gt;0,$A817&gt;AF$7)),0,MAX(0,ROUND((INDEX($E817:$G817,AF$5)-SUMIFS(TF_Timer,TF_Tekniker,AF$4,TF_Dato,$A817))*2,0)/2)))</f>
        <v/>
      </c>
      <c r="AG817">
        <f>IF(OR(AG$4="",$A817&gt;TODAY()),0,IF(OR(INDEX($B817:$D817,AG$5)="F",AND(AG$6&gt;0,$A817&lt;AG$6),AND(AG$7&gt;0,$A817&gt;AG$7)),0,MAX(0,ROUND((INDEX($E817:$G817,AG$5)-SUMIFS(TF_Timer,TF_Tekniker,AG$4,TF_Dato,$A817))*2,0)/2)))</f>
        <v/>
      </c>
      <c r="AH817">
        <f>IF(OR(AH$4="",$A817&gt;TODAY()),0,IF(OR(INDEX($B817:$D817,AH$5)="F",AND(AH$6&gt;0,$A817&lt;AH$6),AND(AH$7&gt;0,$A817&gt;AH$7)),0,MAX(0,ROUND((INDEX($E817:$G817,AH$5)-SUMIFS(TF_Timer,TF_Tekniker,AH$4,TF_Dato,$A817))*2,0)/2)))</f>
        <v/>
      </c>
      <c r="AI817">
        <f>IF(OR(AI$4="",$A817&gt;TODAY()),0,IF(OR(INDEX($B817:$D817,AI$5)="F",AND(AI$6&gt;0,$A817&lt;AI$6),AND(AI$7&gt;0,$A817&gt;AI$7)),0,MAX(0,ROUND((INDEX($E817:$G817,AI$5)-SUMIFS(TF_Timer,TF_Tekniker,AI$4,TF_Dato,$A817))*2,0)/2)))</f>
        <v/>
      </c>
      <c r="AJ817">
        <f>IF(OR(AJ$4="",$A817&gt;TODAY()),0,IF(OR(INDEX($B817:$D817,AJ$5)="F",AND(AJ$6&gt;0,$A817&lt;AJ$6),AND(AJ$7&gt;0,$A817&gt;AJ$7)),0,MAX(0,ROUND((INDEX($E817:$G817,AJ$5)-SUMIFS(TF_Timer,TF_Tekniker,AJ$4,TF_Dato,$A817))*2,0)/2)))</f>
        <v/>
      </c>
      <c r="AK817">
        <f>IF(OR(AK$4="",$A817&gt;TODAY()),0,IF(OR(INDEX($B817:$D817,AK$5)="F",AND(AK$6&gt;0,$A817&lt;AK$6),AND(AK$7&gt;0,$A817&gt;AK$7)),0,MAX(0,ROUND((INDEX($E817:$G817,AK$5)-SUMIFS(TF_Timer,TF_Tekniker,AK$4,TF_Dato,$A817))*2,0)/2)))</f>
        <v/>
      </c>
      <c r="AL817">
        <f>IF(OR(AL$4="",$A817&gt;TODAY()),0,IF(OR(INDEX($B817:$D817,AL$5)="F",AND(AL$6&gt;0,$A817&lt;AL$6),AND(AL$7&gt;0,$A817&gt;AL$7)),0,MAX(0,ROUND((INDEX($E817:$G817,AL$5)-SUMIFS(TF_Timer,TF_Tekniker,AL$4,TF_Dato,$A817))*2,0)/2)))</f>
        <v/>
      </c>
      <c r="AM817">
        <f>IF(OR(AM$4="",$A817&gt;TODAY()),0,IF(OR(INDEX($B817:$D817,AM$5)="F",AND(AM$6&gt;0,$A817&lt;AM$6),AND(AM$7&gt;0,$A817&gt;AM$7)),0,MAX(0,ROUND((INDEX($E817:$G817,AM$5)-SUMIFS(TF_Timer,TF_Tekniker,AM$4,TF_Dato,$A817))*2,0)/2)))</f>
        <v/>
      </c>
      <c r="AN817">
        <f>IF(OR(AN$4="",$A817&gt;TODAY()),0,IF(OR(INDEX($B817:$D817,AN$5)="F",AND(AN$6&gt;0,$A817&lt;AN$6),AND(AN$7&gt;0,$A817&gt;AN$7)),0,MAX(0,ROUND((INDEX($E817:$G817,AN$5)-SUMIFS(TF_Timer,TF_Tekniker,AN$4,TF_Dato,$A817))*2,0)/2)))</f>
        <v/>
      </c>
      <c r="AO817">
        <f>IF(OR(AO$4="",$A817&gt;TODAY()),0,IF(OR(INDEX($B817:$D817,AO$5)="F",AND(AO$6&gt;0,$A817&lt;AO$6),AND(AO$7&gt;0,$A817&gt;AO$7)),0,MAX(0,ROUND((INDEX($E817:$G817,AO$5)-SUMIFS(TF_Timer,TF_Tekniker,AO$4,TF_Dato,$A817))*2,0)/2)))</f>
        <v/>
      </c>
      <c r="AP817">
        <f>IF(OR(AP$4="",$A817&gt;TODAY()),0,IF(OR(INDEX($B817:$D817,AP$5)="F",AND(AP$6&gt;0,$A817&lt;AP$6),AND(AP$7&gt;0,$A817&gt;AP$7)),0,MAX(0,ROUND((INDEX($E817:$G817,AP$5)-SUMIFS(TF_Timer,TF_Tekniker,AP$4,TF_Dato,$A817))*2,0)/2)))</f>
        <v/>
      </c>
      <c r="AQ817">
        <f>IF(OR(AQ$4="",$A817&gt;TODAY()),0,IF(OR(INDEX($B817:$D817,AQ$5)="F",AND(AQ$6&gt;0,$A817&lt;AQ$6),AND(AQ$7&gt;0,$A817&gt;AQ$7)),0,MAX(0,ROUND((INDEX($E817:$G817,AQ$5)-SUMIFS(TF_Timer,TF_Tekniker,AQ$4,TF_Dato,$A817))*2,0)/2)))</f>
        <v/>
      </c>
      <c r="AR817">
        <f>IF(OR(AR$4="",$A817&gt;TODAY()),0,IF(OR(INDEX($B817:$D817,AR$5)="F",AND(AR$6&gt;0,$A817&lt;AR$6),AND(AR$7&gt;0,$A817&gt;AR$7)),0,MAX(0,ROUND((INDEX($E817:$G817,AR$5)-SUMIFS(TF_Timer,TF_Tekniker,AR$4,TF_Dato,$A817))*2,0)/2)))</f>
        <v/>
      </c>
      <c r="AS817">
        <f>IF(OR(AS$4="",$A817&gt;TODAY()),0,IF(OR(INDEX($B817:$D817,AS$5)="F",AND(AS$6&gt;0,$A817&lt;AS$6),AND(AS$7&gt;0,$A817&gt;AS$7)),0,MAX(0,ROUND((INDEX($E817:$G817,AS$5)-SUMIFS(TF_Timer,TF_Tekniker,AS$4,TF_Dato,$A817))*2,0)/2)))</f>
        <v/>
      </c>
      <c r="AT817">
        <f>IF(OR(AT$4="",$A817&gt;TODAY()),0,IF(OR(INDEX($B817:$D817,AT$5)="F",AND(AT$6&gt;0,$A817&lt;AT$6),AND(AT$7&gt;0,$A817&gt;AT$7)),0,MAX(0,ROUND((INDEX($E817:$G817,AT$5)-SUMIFS(TF_Timer,TF_Tekniker,AT$4,TF_Dato,$A817))*2,0)/2)))</f>
        <v/>
      </c>
      <c r="AU817">
        <f>IF(OR(AU$4="",$A817&gt;TODAY()),0,IF(OR(INDEX($B817:$D817,AU$5)="F",AND(AU$6&gt;0,$A817&lt;AU$6),AND(AU$7&gt;0,$A817&gt;AU$7)),0,MAX(0,ROUND((INDEX($E817:$G817,AU$5)-SUMIFS(TF_Timer,TF_Tekniker,AU$4,TF_Dato,$A817))*2,0)/2)))</f>
        <v/>
      </c>
      <c r="AV817">
        <f>IF(OR(AV$4="",$A817&gt;TODAY()),0,IF(OR(INDEX($B817:$D817,AV$5)="F",AND(AV$6&gt;0,$A817&lt;AV$6),AND(AV$7&gt;0,$A817&gt;AV$7)),0,MAX(0,ROUND((INDEX($E817:$G817,AV$5)-SUMIFS(TF_Timer,TF_Tekniker,AV$4,TF_Dato,$A817))*2,0)/2)))</f>
        <v/>
      </c>
      <c r="AW817">
        <f>IF(OR(AW$4="",$A817&gt;TODAY()),0,IF(OR(INDEX($B817:$D817,AW$5)="F",AND(AW$6&gt;0,$A817&lt;AW$6),AND(AW$7&gt;0,$A817&gt;AW$7)),0,MAX(0,ROUND((INDEX($E817:$G817,AW$5)-SUMIFS(TF_Timer,TF_Tekniker,AW$4,TF_Dato,$A817))*2,0)/2)))</f>
        <v/>
      </c>
      <c r="AX817">
        <f>IF(OR(AX$4="",$A817&gt;TODAY()),0,IF(OR(INDEX($B817:$D817,AX$5)="F",AND(AX$6&gt;0,$A817&lt;AX$6),AND(AX$7&gt;0,$A817&gt;AX$7)),0,MAX(0,ROUND((INDEX($E817:$G817,AX$5)-SUMIFS(TF_Timer,TF_Tekniker,AX$4,TF_Dato,$A817))*2,0)/2)))</f>
        <v/>
      </c>
      <c r="AY817">
        <f>IF(OR(AY$4="",$A817&gt;TODAY()),0,IF(OR(INDEX($B817:$D817,AY$5)="F",AND(AY$6&gt;0,$A817&lt;AY$6),AND(AY$7&gt;0,$A817&gt;AY$7)),0,MAX(0,ROUND((INDEX($E817:$G817,AY$5)-SUMIFS(TF_Timer,TF_Tekniker,AY$4,TF_Dato,$A817))*2,0)/2)))</f>
        <v/>
      </c>
      <c r="AZ817">
        <f>IF(OR(AZ$4="",$A817&gt;TODAY()),0,IF(OR(INDEX($B817:$D817,AZ$5)="F",AND(AZ$6&gt;0,$A817&lt;AZ$6),AND(AZ$7&gt;0,$A817&gt;AZ$7)),0,MAX(0,ROUND((INDEX($E817:$G817,AZ$5)-SUMIFS(TF_Timer,TF_Tekniker,AZ$4,TF_Dato,$A817))*2,0)/2)))</f>
        <v/>
      </c>
      <c r="BA817">
        <f>IF(OR(BA$4="",$A817&gt;TODAY()),0,IF(OR(INDEX($B817:$D817,BA$5)="F",AND(BA$6&gt;0,$A817&lt;BA$6),AND(BA$7&gt;0,$A817&gt;BA$7)),0,MAX(0,ROUND((INDEX($E817:$G817,BA$5)-SUMIFS(TF_Timer,TF_Tekniker,BA$4,TF_Dato,$A817))*2,0)/2)))</f>
        <v/>
      </c>
      <c r="BB817">
        <f>IF(OR(BB$4="",$A817&gt;TODAY()),0,IF(OR(INDEX($B817:$D817,BB$5)="F",AND(BB$6&gt;0,$A817&lt;BB$6),AND(BB$7&gt;0,$A817&gt;BB$7)),0,MAX(0,ROUND((INDEX($E817:$G817,BB$5)-SUMIFS(TF_Timer,TF_Tekniker,BB$4,TF_Dato,$A817))*2,0)/2)))</f>
        <v/>
      </c>
      <c r="BC817">
        <f>IF(OR(BC$4="",$A817&gt;TODAY()),0,IF(OR(INDEX($B817:$D817,BC$5)="F",AND(BC$6&gt;0,$A817&lt;BC$6),AND(BC$7&gt;0,$A817&gt;BC$7)),0,MAX(0,ROUND((INDEX($E817:$G817,BC$5)-SUMIFS(TF_Timer,TF_Tekniker,BC$4,TF_Dato,$A817))*2,0)/2)))</f>
        <v/>
      </c>
      <c r="BD817">
        <f>IF(OR(BD$4="",$A817&gt;TODAY()),0,IF(OR(INDEX($B817:$D817,BD$5)="F",AND(BD$6&gt;0,$A817&lt;BD$6),AND(BD$7&gt;0,$A817&gt;BD$7)),0,MAX(0,ROUND((INDEX($E817:$G817,BD$5)-SUMIFS(TF_Timer,TF_Tekniker,BD$4,TF_Dato,$A817))*2,0)/2)))</f>
        <v/>
      </c>
      <c r="BE817">
        <f>IF(OR(BE$4="",$A817&gt;TODAY()),0,IF(OR(INDEX($B817:$D817,BE$5)="F",AND(BE$6&gt;0,$A817&lt;BE$6),AND(BE$7&gt;0,$A817&gt;BE$7)),0,MAX(0,ROUND((INDEX($E817:$G817,BE$5)-SUMIFS(TF_Timer,TF_Tekniker,BE$4,TF_Dato,$A817))*2,0)/2)))</f>
        <v/>
      </c>
      <c r="BF817">
        <f>IF(OR(BF$4="",$A817&gt;TODAY()),0,IF(OR(INDEX($B817:$D817,BF$5)="F",AND(BF$6&gt;0,$A817&lt;BF$6),AND(BF$7&gt;0,$A817&gt;BF$7)),0,MAX(0,ROUND((INDEX($E817:$G817,BF$5)-SUMIFS(TF_Timer,TF_Tekniker,BF$4,TF_Dato,$A817))*2,0)/2)))</f>
        <v/>
      </c>
      <c r="BG817">
        <f>IF(OR(BG$4="",$A817&gt;TODAY()),0,IF(OR(INDEX($B817:$D817,BG$5)="F",AND(BG$6&gt;0,$A817&lt;BG$6),AND(BG$7&gt;0,$A817&gt;BG$7)),0,MAX(0,ROUND((INDEX($E817:$G817,BG$5)-SUMIFS(TF_Timer,TF_Tekniker,BG$4,TF_Dato,$A817))*2,0)/2)))</f>
        <v/>
      </c>
      <c r="BH817">
        <f>IF(OR(BH$4="",$A817&gt;TODAY()),0,IF(OR(INDEX($B817:$D817,BH$5)="F",AND(BH$6&gt;0,$A817&lt;BH$6),AND(BH$7&gt;0,$A817&gt;BH$7)),0,MAX(0,ROUND((INDEX($E817:$G817,BH$5)-SUMIFS(TF_Timer,TF_Tekniker,BH$4,TF_Dato,$A817))*2,0)/2)))</f>
        <v/>
      </c>
      <c r="BI817">
        <f>IF(OR(BI$4="",$A817&gt;TODAY()),0,IF(OR(INDEX($B817:$D817,BI$5)="F",AND(BI$6&gt;0,$A817&lt;BI$6),AND(BI$7&gt;0,$A817&gt;BI$7)),0,MAX(0,ROUND((INDEX($E817:$G817,BI$5)-SUMIFS(TF_Timer,TF_Tekniker,BI$4,TF_Dato,$A817))*2,0)/2)))</f>
        <v/>
      </c>
    </row>
    <row r="818">
      <c r="A818" s="64">
        <f>A817+1</f>
        <v/>
      </c>
      <c r="B818">
        <f>IF(MOD($A818-INDEX(SkiftStart,1),Syklus)&lt;DagK,"K",IF(MOD($A818-INDEX(SkiftStart,1),Syklus)&lt;DagK+DagH,"H",IF(MOD($A818-INDEX(SkiftStart,1),Syklus)&lt;DagK+DagH+DagD,"D","F")))</f>
        <v/>
      </c>
      <c r="C818">
        <f>IF(MOD($A818-INDEX(SkiftStart,2),Syklus)&lt;DagK,"K",IF(MOD($A818-INDEX(SkiftStart,2),Syklus)&lt;DagK+DagH,"H",IF(MOD($A818-INDEX(SkiftStart,2),Syklus)&lt;DagK+DagH+DagD,"D","F")))</f>
        <v/>
      </c>
      <c r="D818">
        <f>IF(MOD($A818-INDEX(SkiftStart,3),Syklus)&lt;DagK,"K",IF(MOD($A818-INDEX(SkiftStart,3),Syklus)&lt;DagK+DagH,"H",IF(MOD($A818-INDEX(SkiftStart,3),Syklus)&lt;DagK+DagH+DagD,"D","F")))</f>
        <v/>
      </c>
      <c r="E818">
        <f>IF(B818="F",0,IF(WEEKDAY($A818,2)=5,INDEX(TimerFr,MATCH(B818,FaseKode,0)),INDEX(TimerMT,MATCH(B818,FaseKode,0))))</f>
        <v/>
      </c>
      <c r="F818">
        <f>IF(C818="F",0,IF(WEEKDAY($A818,2)=5,INDEX(TimerFr,MATCH(C818,FaseKode,0)),INDEX(TimerMT,MATCH(C818,FaseKode,0))))</f>
        <v/>
      </c>
      <c r="G818">
        <f>IF(D818="F",0,IF(WEEKDAY($A818,2)=5,INDEX(TimerFr,MATCH(D818,FaseKode,0)),INDEX(TimerMT,MATCH(D818,FaseKode,0))))</f>
        <v/>
      </c>
      <c r="H818">
        <f>IF(OR(H$4="",$A818&gt;TODAY()),0,IF(OR(INDEX($B818:$D818,H$5)="F",AND(H$6&gt;0,$A818&lt;H$6),AND(H$7&gt;0,$A818&gt;H$7)),0,MAX(0,ROUND((INDEX($E818:$G818,H$5)-SUMIFS(TF_Timer,TF_Tekniker,H$4,TF_Dato,$A818))*2,0)/2)))</f>
        <v/>
      </c>
      <c r="I818">
        <f>IF(OR(I$4="",$A818&gt;TODAY()),0,IF(OR(INDEX($B818:$D818,I$5)="F",AND(I$6&gt;0,$A818&lt;I$6),AND(I$7&gt;0,$A818&gt;I$7)),0,MAX(0,ROUND((INDEX($E818:$G818,I$5)-SUMIFS(TF_Timer,TF_Tekniker,I$4,TF_Dato,$A818))*2,0)/2)))</f>
        <v/>
      </c>
      <c r="J818">
        <f>IF(OR(J$4="",$A818&gt;TODAY()),0,IF(OR(INDEX($B818:$D818,J$5)="F",AND(J$6&gt;0,$A818&lt;J$6),AND(J$7&gt;0,$A818&gt;J$7)),0,MAX(0,ROUND((INDEX($E818:$G818,J$5)-SUMIFS(TF_Timer,TF_Tekniker,J$4,TF_Dato,$A818))*2,0)/2)))</f>
        <v/>
      </c>
      <c r="K818">
        <f>IF(OR(K$4="",$A818&gt;TODAY()),0,IF(OR(INDEX($B818:$D818,K$5)="F",AND(K$6&gt;0,$A818&lt;K$6),AND(K$7&gt;0,$A818&gt;K$7)),0,MAX(0,ROUND((INDEX($E818:$G818,K$5)-SUMIFS(TF_Timer,TF_Tekniker,K$4,TF_Dato,$A818))*2,0)/2)))</f>
        <v/>
      </c>
      <c r="L818">
        <f>IF(OR(L$4="",$A818&gt;TODAY()),0,IF(OR(INDEX($B818:$D818,L$5)="F",AND(L$6&gt;0,$A818&lt;L$6),AND(L$7&gt;0,$A818&gt;L$7)),0,MAX(0,ROUND((INDEX($E818:$G818,L$5)-SUMIFS(TF_Timer,TF_Tekniker,L$4,TF_Dato,$A818))*2,0)/2)))</f>
        <v/>
      </c>
      <c r="M818">
        <f>IF(OR(M$4="",$A818&gt;TODAY()),0,IF(OR(INDEX($B818:$D818,M$5)="F",AND(M$6&gt;0,$A818&lt;M$6),AND(M$7&gt;0,$A818&gt;M$7)),0,MAX(0,ROUND((INDEX($E818:$G818,M$5)-SUMIFS(TF_Timer,TF_Tekniker,M$4,TF_Dato,$A818))*2,0)/2)))</f>
        <v/>
      </c>
      <c r="N818">
        <f>IF(OR(N$4="",$A818&gt;TODAY()),0,IF(OR(INDEX($B818:$D818,N$5)="F",AND(N$6&gt;0,$A818&lt;N$6),AND(N$7&gt;0,$A818&gt;N$7)),0,MAX(0,ROUND((INDEX($E818:$G818,N$5)-SUMIFS(TF_Timer,TF_Tekniker,N$4,TF_Dato,$A818))*2,0)/2)))</f>
        <v/>
      </c>
      <c r="O818">
        <f>IF(OR(O$4="",$A818&gt;TODAY()),0,IF(OR(INDEX($B818:$D818,O$5)="F",AND(O$6&gt;0,$A818&lt;O$6),AND(O$7&gt;0,$A818&gt;O$7)),0,MAX(0,ROUND((INDEX($E818:$G818,O$5)-SUMIFS(TF_Timer,TF_Tekniker,O$4,TF_Dato,$A818))*2,0)/2)))</f>
        <v/>
      </c>
      <c r="P818">
        <f>IF(OR(P$4="",$A818&gt;TODAY()),0,IF(OR(INDEX($B818:$D818,P$5)="F",AND(P$6&gt;0,$A818&lt;P$6),AND(P$7&gt;0,$A818&gt;P$7)),0,MAX(0,ROUND((INDEX($E818:$G818,P$5)-SUMIFS(TF_Timer,TF_Tekniker,P$4,TF_Dato,$A818))*2,0)/2)))</f>
        <v/>
      </c>
      <c r="Q818">
        <f>IF(OR(Q$4="",$A818&gt;TODAY()),0,IF(OR(INDEX($B818:$D818,Q$5)="F",AND(Q$6&gt;0,$A818&lt;Q$6),AND(Q$7&gt;0,$A818&gt;Q$7)),0,MAX(0,ROUND((INDEX($E818:$G818,Q$5)-SUMIFS(TF_Timer,TF_Tekniker,Q$4,TF_Dato,$A818))*2,0)/2)))</f>
        <v/>
      </c>
      <c r="R818">
        <f>IF(OR(R$4="",$A818&gt;TODAY()),0,IF(OR(INDEX($B818:$D818,R$5)="F",AND(R$6&gt;0,$A818&lt;R$6),AND(R$7&gt;0,$A818&gt;R$7)),0,MAX(0,ROUND((INDEX($E818:$G818,R$5)-SUMIFS(TF_Timer,TF_Tekniker,R$4,TF_Dato,$A818))*2,0)/2)))</f>
        <v/>
      </c>
      <c r="S818">
        <f>IF(OR(S$4="",$A818&gt;TODAY()),0,IF(OR(INDEX($B818:$D818,S$5)="F",AND(S$6&gt;0,$A818&lt;S$6),AND(S$7&gt;0,$A818&gt;S$7)),0,MAX(0,ROUND((INDEX($E818:$G818,S$5)-SUMIFS(TF_Timer,TF_Tekniker,S$4,TF_Dato,$A818))*2,0)/2)))</f>
        <v/>
      </c>
      <c r="T818">
        <f>IF(OR(T$4="",$A818&gt;TODAY()),0,IF(OR(INDEX($B818:$D818,T$5)="F",AND(T$6&gt;0,$A818&lt;T$6),AND(T$7&gt;0,$A818&gt;T$7)),0,MAX(0,ROUND((INDEX($E818:$G818,T$5)-SUMIFS(TF_Timer,TF_Tekniker,T$4,TF_Dato,$A818))*2,0)/2)))</f>
        <v/>
      </c>
      <c r="U818">
        <f>IF(OR(U$4="",$A818&gt;TODAY()),0,IF(OR(INDEX($B818:$D818,U$5)="F",AND(U$6&gt;0,$A818&lt;U$6),AND(U$7&gt;0,$A818&gt;U$7)),0,MAX(0,ROUND((INDEX($E818:$G818,U$5)-SUMIFS(TF_Timer,TF_Tekniker,U$4,TF_Dato,$A818))*2,0)/2)))</f>
        <v/>
      </c>
      <c r="V818">
        <f>IF(OR(V$4="",$A818&gt;TODAY()),0,IF(OR(INDEX($B818:$D818,V$5)="F",AND(V$6&gt;0,$A818&lt;V$6),AND(V$7&gt;0,$A818&gt;V$7)),0,MAX(0,ROUND((INDEX($E818:$G818,V$5)-SUMIFS(TF_Timer,TF_Tekniker,V$4,TF_Dato,$A818))*2,0)/2)))</f>
        <v/>
      </c>
      <c r="W818">
        <f>IF(OR(W$4="",$A818&gt;TODAY()),0,IF(OR(INDEX($B818:$D818,W$5)="F",AND(W$6&gt;0,$A818&lt;W$6),AND(W$7&gt;0,$A818&gt;W$7)),0,MAX(0,ROUND((INDEX($E818:$G818,W$5)-SUMIFS(TF_Timer,TF_Tekniker,W$4,TF_Dato,$A818))*2,0)/2)))</f>
        <v/>
      </c>
      <c r="X818">
        <f>IF(OR(X$4="",$A818&gt;TODAY()),0,IF(OR(INDEX($B818:$D818,X$5)="F",AND(X$6&gt;0,$A818&lt;X$6),AND(X$7&gt;0,$A818&gt;X$7)),0,MAX(0,ROUND((INDEX($E818:$G818,X$5)-SUMIFS(TF_Timer,TF_Tekniker,X$4,TF_Dato,$A818))*2,0)/2)))</f>
        <v/>
      </c>
      <c r="Y818">
        <f>IF(OR(Y$4="",$A818&gt;TODAY()),0,IF(OR(INDEX($B818:$D818,Y$5)="F",AND(Y$6&gt;0,$A818&lt;Y$6),AND(Y$7&gt;0,$A818&gt;Y$7)),0,MAX(0,ROUND((INDEX($E818:$G818,Y$5)-SUMIFS(TF_Timer,TF_Tekniker,Y$4,TF_Dato,$A818))*2,0)/2)))</f>
        <v/>
      </c>
      <c r="Z818">
        <f>IF(OR(Z$4="",$A818&gt;TODAY()),0,IF(OR(INDEX($B818:$D818,Z$5)="F",AND(Z$6&gt;0,$A818&lt;Z$6),AND(Z$7&gt;0,$A818&gt;Z$7)),0,MAX(0,ROUND((INDEX($E818:$G818,Z$5)-SUMIFS(TF_Timer,TF_Tekniker,Z$4,TF_Dato,$A818))*2,0)/2)))</f>
        <v/>
      </c>
      <c r="AA818">
        <f>IF(OR(AA$4="",$A818&gt;TODAY()),0,IF(OR(INDEX($B818:$D818,AA$5)="F",AND(AA$6&gt;0,$A818&lt;AA$6),AND(AA$7&gt;0,$A818&gt;AA$7)),0,MAX(0,ROUND((INDEX($E818:$G818,AA$5)-SUMIFS(TF_Timer,TF_Tekniker,AA$4,TF_Dato,$A818))*2,0)/2)))</f>
        <v/>
      </c>
      <c r="AB818">
        <f>IF(OR(AB$4="",$A818&gt;TODAY()),0,IF(OR(INDEX($B818:$D818,AB$5)="F",AND(AB$6&gt;0,$A818&lt;AB$6),AND(AB$7&gt;0,$A818&gt;AB$7)),0,MAX(0,ROUND((INDEX($E818:$G818,AB$5)-SUMIFS(TF_Timer,TF_Tekniker,AB$4,TF_Dato,$A818))*2,0)/2)))</f>
        <v/>
      </c>
      <c r="AC818">
        <f>IF(OR(AC$4="",$A818&gt;TODAY()),0,IF(OR(INDEX($B818:$D818,AC$5)="F",AND(AC$6&gt;0,$A818&lt;AC$6),AND(AC$7&gt;0,$A818&gt;AC$7)),0,MAX(0,ROUND((INDEX($E818:$G818,AC$5)-SUMIFS(TF_Timer,TF_Tekniker,AC$4,TF_Dato,$A818))*2,0)/2)))</f>
        <v/>
      </c>
      <c r="AD818">
        <f>IF(OR(AD$4="",$A818&gt;TODAY()),0,IF(OR(INDEX($B818:$D818,AD$5)="F",AND(AD$6&gt;0,$A818&lt;AD$6),AND(AD$7&gt;0,$A818&gt;AD$7)),0,MAX(0,ROUND((INDEX($E818:$G818,AD$5)-SUMIFS(TF_Timer,TF_Tekniker,AD$4,TF_Dato,$A818))*2,0)/2)))</f>
        <v/>
      </c>
      <c r="AE818">
        <f>IF(OR(AE$4="",$A818&gt;TODAY()),0,IF(OR(INDEX($B818:$D818,AE$5)="F",AND(AE$6&gt;0,$A818&lt;AE$6),AND(AE$7&gt;0,$A818&gt;AE$7)),0,MAX(0,ROUND((INDEX($E818:$G818,AE$5)-SUMIFS(TF_Timer,TF_Tekniker,AE$4,TF_Dato,$A818))*2,0)/2)))</f>
        <v/>
      </c>
      <c r="AF818">
        <f>IF(OR(AF$4="",$A818&gt;TODAY()),0,IF(OR(INDEX($B818:$D818,AF$5)="F",AND(AF$6&gt;0,$A818&lt;AF$6),AND(AF$7&gt;0,$A818&gt;AF$7)),0,MAX(0,ROUND((INDEX($E818:$G818,AF$5)-SUMIFS(TF_Timer,TF_Tekniker,AF$4,TF_Dato,$A818))*2,0)/2)))</f>
        <v/>
      </c>
      <c r="AG818">
        <f>IF(OR(AG$4="",$A818&gt;TODAY()),0,IF(OR(INDEX($B818:$D818,AG$5)="F",AND(AG$6&gt;0,$A818&lt;AG$6),AND(AG$7&gt;0,$A818&gt;AG$7)),0,MAX(0,ROUND((INDEX($E818:$G818,AG$5)-SUMIFS(TF_Timer,TF_Tekniker,AG$4,TF_Dato,$A818))*2,0)/2)))</f>
        <v/>
      </c>
      <c r="AH818">
        <f>IF(OR(AH$4="",$A818&gt;TODAY()),0,IF(OR(INDEX($B818:$D818,AH$5)="F",AND(AH$6&gt;0,$A818&lt;AH$6),AND(AH$7&gt;0,$A818&gt;AH$7)),0,MAX(0,ROUND((INDEX($E818:$G818,AH$5)-SUMIFS(TF_Timer,TF_Tekniker,AH$4,TF_Dato,$A818))*2,0)/2)))</f>
        <v/>
      </c>
      <c r="AI818">
        <f>IF(OR(AI$4="",$A818&gt;TODAY()),0,IF(OR(INDEX($B818:$D818,AI$5)="F",AND(AI$6&gt;0,$A818&lt;AI$6),AND(AI$7&gt;0,$A818&gt;AI$7)),0,MAX(0,ROUND((INDEX($E818:$G818,AI$5)-SUMIFS(TF_Timer,TF_Tekniker,AI$4,TF_Dato,$A818))*2,0)/2)))</f>
        <v/>
      </c>
      <c r="AJ818">
        <f>IF(OR(AJ$4="",$A818&gt;TODAY()),0,IF(OR(INDEX($B818:$D818,AJ$5)="F",AND(AJ$6&gt;0,$A818&lt;AJ$6),AND(AJ$7&gt;0,$A818&gt;AJ$7)),0,MAX(0,ROUND((INDEX($E818:$G818,AJ$5)-SUMIFS(TF_Timer,TF_Tekniker,AJ$4,TF_Dato,$A818))*2,0)/2)))</f>
        <v/>
      </c>
      <c r="AK818">
        <f>IF(OR(AK$4="",$A818&gt;TODAY()),0,IF(OR(INDEX($B818:$D818,AK$5)="F",AND(AK$6&gt;0,$A818&lt;AK$6),AND(AK$7&gt;0,$A818&gt;AK$7)),0,MAX(0,ROUND((INDEX($E818:$G818,AK$5)-SUMIFS(TF_Timer,TF_Tekniker,AK$4,TF_Dato,$A818))*2,0)/2)))</f>
        <v/>
      </c>
      <c r="AL818">
        <f>IF(OR(AL$4="",$A818&gt;TODAY()),0,IF(OR(INDEX($B818:$D818,AL$5)="F",AND(AL$6&gt;0,$A818&lt;AL$6),AND(AL$7&gt;0,$A818&gt;AL$7)),0,MAX(0,ROUND((INDEX($E818:$G818,AL$5)-SUMIFS(TF_Timer,TF_Tekniker,AL$4,TF_Dato,$A818))*2,0)/2)))</f>
        <v/>
      </c>
      <c r="AM818">
        <f>IF(OR(AM$4="",$A818&gt;TODAY()),0,IF(OR(INDEX($B818:$D818,AM$5)="F",AND(AM$6&gt;0,$A818&lt;AM$6),AND(AM$7&gt;0,$A818&gt;AM$7)),0,MAX(0,ROUND((INDEX($E818:$G818,AM$5)-SUMIFS(TF_Timer,TF_Tekniker,AM$4,TF_Dato,$A818))*2,0)/2)))</f>
        <v/>
      </c>
      <c r="AN818">
        <f>IF(OR(AN$4="",$A818&gt;TODAY()),0,IF(OR(INDEX($B818:$D818,AN$5)="F",AND(AN$6&gt;0,$A818&lt;AN$6),AND(AN$7&gt;0,$A818&gt;AN$7)),0,MAX(0,ROUND((INDEX($E818:$G818,AN$5)-SUMIFS(TF_Timer,TF_Tekniker,AN$4,TF_Dato,$A818))*2,0)/2)))</f>
        <v/>
      </c>
      <c r="AO818">
        <f>IF(OR(AO$4="",$A818&gt;TODAY()),0,IF(OR(INDEX($B818:$D818,AO$5)="F",AND(AO$6&gt;0,$A818&lt;AO$6),AND(AO$7&gt;0,$A818&gt;AO$7)),0,MAX(0,ROUND((INDEX($E818:$G818,AO$5)-SUMIFS(TF_Timer,TF_Tekniker,AO$4,TF_Dato,$A818))*2,0)/2)))</f>
        <v/>
      </c>
      <c r="AP818">
        <f>IF(OR(AP$4="",$A818&gt;TODAY()),0,IF(OR(INDEX($B818:$D818,AP$5)="F",AND(AP$6&gt;0,$A818&lt;AP$6),AND(AP$7&gt;0,$A818&gt;AP$7)),0,MAX(0,ROUND((INDEX($E818:$G818,AP$5)-SUMIFS(TF_Timer,TF_Tekniker,AP$4,TF_Dato,$A818))*2,0)/2)))</f>
        <v/>
      </c>
      <c r="AQ818">
        <f>IF(OR(AQ$4="",$A818&gt;TODAY()),0,IF(OR(INDEX($B818:$D818,AQ$5)="F",AND(AQ$6&gt;0,$A818&lt;AQ$6),AND(AQ$7&gt;0,$A818&gt;AQ$7)),0,MAX(0,ROUND((INDEX($E818:$G818,AQ$5)-SUMIFS(TF_Timer,TF_Tekniker,AQ$4,TF_Dato,$A818))*2,0)/2)))</f>
        <v/>
      </c>
      <c r="AR818">
        <f>IF(OR(AR$4="",$A818&gt;TODAY()),0,IF(OR(INDEX($B818:$D818,AR$5)="F",AND(AR$6&gt;0,$A818&lt;AR$6),AND(AR$7&gt;0,$A818&gt;AR$7)),0,MAX(0,ROUND((INDEX($E818:$G818,AR$5)-SUMIFS(TF_Timer,TF_Tekniker,AR$4,TF_Dato,$A818))*2,0)/2)))</f>
        <v/>
      </c>
      <c r="AS818">
        <f>IF(OR(AS$4="",$A818&gt;TODAY()),0,IF(OR(INDEX($B818:$D818,AS$5)="F",AND(AS$6&gt;0,$A818&lt;AS$6),AND(AS$7&gt;0,$A818&gt;AS$7)),0,MAX(0,ROUND((INDEX($E818:$G818,AS$5)-SUMIFS(TF_Timer,TF_Tekniker,AS$4,TF_Dato,$A818))*2,0)/2)))</f>
        <v/>
      </c>
      <c r="AT818">
        <f>IF(OR(AT$4="",$A818&gt;TODAY()),0,IF(OR(INDEX($B818:$D818,AT$5)="F",AND(AT$6&gt;0,$A818&lt;AT$6),AND(AT$7&gt;0,$A818&gt;AT$7)),0,MAX(0,ROUND((INDEX($E818:$G818,AT$5)-SUMIFS(TF_Timer,TF_Tekniker,AT$4,TF_Dato,$A818))*2,0)/2)))</f>
        <v/>
      </c>
      <c r="AU818">
        <f>IF(OR(AU$4="",$A818&gt;TODAY()),0,IF(OR(INDEX($B818:$D818,AU$5)="F",AND(AU$6&gt;0,$A818&lt;AU$6),AND(AU$7&gt;0,$A818&gt;AU$7)),0,MAX(0,ROUND((INDEX($E818:$G818,AU$5)-SUMIFS(TF_Timer,TF_Tekniker,AU$4,TF_Dato,$A818))*2,0)/2)))</f>
        <v/>
      </c>
      <c r="AV818">
        <f>IF(OR(AV$4="",$A818&gt;TODAY()),0,IF(OR(INDEX($B818:$D818,AV$5)="F",AND(AV$6&gt;0,$A818&lt;AV$6),AND(AV$7&gt;0,$A818&gt;AV$7)),0,MAX(0,ROUND((INDEX($E818:$G818,AV$5)-SUMIFS(TF_Timer,TF_Tekniker,AV$4,TF_Dato,$A818))*2,0)/2)))</f>
        <v/>
      </c>
      <c r="AW818">
        <f>IF(OR(AW$4="",$A818&gt;TODAY()),0,IF(OR(INDEX($B818:$D818,AW$5)="F",AND(AW$6&gt;0,$A818&lt;AW$6),AND(AW$7&gt;0,$A818&gt;AW$7)),0,MAX(0,ROUND((INDEX($E818:$G818,AW$5)-SUMIFS(TF_Timer,TF_Tekniker,AW$4,TF_Dato,$A818))*2,0)/2)))</f>
        <v/>
      </c>
      <c r="AX818">
        <f>IF(OR(AX$4="",$A818&gt;TODAY()),0,IF(OR(INDEX($B818:$D818,AX$5)="F",AND(AX$6&gt;0,$A818&lt;AX$6),AND(AX$7&gt;0,$A818&gt;AX$7)),0,MAX(0,ROUND((INDEX($E818:$G818,AX$5)-SUMIFS(TF_Timer,TF_Tekniker,AX$4,TF_Dato,$A818))*2,0)/2)))</f>
        <v/>
      </c>
      <c r="AY818">
        <f>IF(OR(AY$4="",$A818&gt;TODAY()),0,IF(OR(INDEX($B818:$D818,AY$5)="F",AND(AY$6&gt;0,$A818&lt;AY$6),AND(AY$7&gt;0,$A818&gt;AY$7)),0,MAX(0,ROUND((INDEX($E818:$G818,AY$5)-SUMIFS(TF_Timer,TF_Tekniker,AY$4,TF_Dato,$A818))*2,0)/2)))</f>
        <v/>
      </c>
      <c r="AZ818">
        <f>IF(OR(AZ$4="",$A818&gt;TODAY()),0,IF(OR(INDEX($B818:$D818,AZ$5)="F",AND(AZ$6&gt;0,$A818&lt;AZ$6),AND(AZ$7&gt;0,$A818&gt;AZ$7)),0,MAX(0,ROUND((INDEX($E818:$G818,AZ$5)-SUMIFS(TF_Timer,TF_Tekniker,AZ$4,TF_Dato,$A818))*2,0)/2)))</f>
        <v/>
      </c>
      <c r="BA818">
        <f>IF(OR(BA$4="",$A818&gt;TODAY()),0,IF(OR(INDEX($B818:$D818,BA$5)="F",AND(BA$6&gt;0,$A818&lt;BA$6),AND(BA$7&gt;0,$A818&gt;BA$7)),0,MAX(0,ROUND((INDEX($E818:$G818,BA$5)-SUMIFS(TF_Timer,TF_Tekniker,BA$4,TF_Dato,$A818))*2,0)/2)))</f>
        <v/>
      </c>
      <c r="BB818">
        <f>IF(OR(BB$4="",$A818&gt;TODAY()),0,IF(OR(INDEX($B818:$D818,BB$5)="F",AND(BB$6&gt;0,$A818&lt;BB$6),AND(BB$7&gt;0,$A818&gt;BB$7)),0,MAX(0,ROUND((INDEX($E818:$G818,BB$5)-SUMIFS(TF_Timer,TF_Tekniker,BB$4,TF_Dato,$A818))*2,0)/2)))</f>
        <v/>
      </c>
      <c r="BC818">
        <f>IF(OR(BC$4="",$A818&gt;TODAY()),0,IF(OR(INDEX($B818:$D818,BC$5)="F",AND(BC$6&gt;0,$A818&lt;BC$6),AND(BC$7&gt;0,$A818&gt;BC$7)),0,MAX(0,ROUND((INDEX($E818:$G818,BC$5)-SUMIFS(TF_Timer,TF_Tekniker,BC$4,TF_Dato,$A818))*2,0)/2)))</f>
        <v/>
      </c>
      <c r="BD818">
        <f>IF(OR(BD$4="",$A818&gt;TODAY()),0,IF(OR(INDEX($B818:$D818,BD$5)="F",AND(BD$6&gt;0,$A818&lt;BD$6),AND(BD$7&gt;0,$A818&gt;BD$7)),0,MAX(0,ROUND((INDEX($E818:$G818,BD$5)-SUMIFS(TF_Timer,TF_Tekniker,BD$4,TF_Dato,$A818))*2,0)/2)))</f>
        <v/>
      </c>
      <c r="BE818">
        <f>IF(OR(BE$4="",$A818&gt;TODAY()),0,IF(OR(INDEX($B818:$D818,BE$5)="F",AND(BE$6&gt;0,$A818&lt;BE$6),AND(BE$7&gt;0,$A818&gt;BE$7)),0,MAX(0,ROUND((INDEX($E818:$G818,BE$5)-SUMIFS(TF_Timer,TF_Tekniker,BE$4,TF_Dato,$A818))*2,0)/2)))</f>
        <v/>
      </c>
      <c r="BF818">
        <f>IF(OR(BF$4="",$A818&gt;TODAY()),0,IF(OR(INDEX($B818:$D818,BF$5)="F",AND(BF$6&gt;0,$A818&lt;BF$6),AND(BF$7&gt;0,$A818&gt;BF$7)),0,MAX(0,ROUND((INDEX($E818:$G818,BF$5)-SUMIFS(TF_Timer,TF_Tekniker,BF$4,TF_Dato,$A818))*2,0)/2)))</f>
        <v/>
      </c>
      <c r="BG818">
        <f>IF(OR(BG$4="",$A818&gt;TODAY()),0,IF(OR(INDEX($B818:$D818,BG$5)="F",AND(BG$6&gt;0,$A818&lt;BG$6),AND(BG$7&gt;0,$A818&gt;BG$7)),0,MAX(0,ROUND((INDEX($E818:$G818,BG$5)-SUMIFS(TF_Timer,TF_Tekniker,BG$4,TF_Dato,$A818))*2,0)/2)))</f>
        <v/>
      </c>
      <c r="BH818">
        <f>IF(OR(BH$4="",$A818&gt;TODAY()),0,IF(OR(INDEX($B818:$D818,BH$5)="F",AND(BH$6&gt;0,$A818&lt;BH$6),AND(BH$7&gt;0,$A818&gt;BH$7)),0,MAX(0,ROUND((INDEX($E818:$G818,BH$5)-SUMIFS(TF_Timer,TF_Tekniker,BH$4,TF_Dato,$A818))*2,0)/2)))</f>
        <v/>
      </c>
      <c r="BI818">
        <f>IF(OR(BI$4="",$A818&gt;TODAY()),0,IF(OR(INDEX($B818:$D818,BI$5)="F",AND(BI$6&gt;0,$A818&lt;BI$6),AND(BI$7&gt;0,$A818&gt;BI$7)),0,MAX(0,ROUND((INDEX($E818:$G818,BI$5)-SUMIFS(TF_Timer,TF_Tekniker,BI$4,TF_Dato,$A818))*2,0)/2)))</f>
        <v/>
      </c>
    </row>
    <row r="819">
      <c r="A819" s="64">
        <f>A818+1</f>
        <v/>
      </c>
      <c r="B819">
        <f>IF(MOD($A819-INDEX(SkiftStart,1),Syklus)&lt;DagK,"K",IF(MOD($A819-INDEX(SkiftStart,1),Syklus)&lt;DagK+DagH,"H",IF(MOD($A819-INDEX(SkiftStart,1),Syklus)&lt;DagK+DagH+DagD,"D","F")))</f>
        <v/>
      </c>
      <c r="C819">
        <f>IF(MOD($A819-INDEX(SkiftStart,2),Syklus)&lt;DagK,"K",IF(MOD($A819-INDEX(SkiftStart,2),Syklus)&lt;DagK+DagH,"H",IF(MOD($A819-INDEX(SkiftStart,2),Syklus)&lt;DagK+DagH+DagD,"D","F")))</f>
        <v/>
      </c>
      <c r="D819">
        <f>IF(MOD($A819-INDEX(SkiftStart,3),Syklus)&lt;DagK,"K",IF(MOD($A819-INDEX(SkiftStart,3),Syklus)&lt;DagK+DagH,"H",IF(MOD($A819-INDEX(SkiftStart,3),Syklus)&lt;DagK+DagH+DagD,"D","F")))</f>
        <v/>
      </c>
      <c r="E819">
        <f>IF(B819="F",0,IF(WEEKDAY($A819,2)=5,INDEX(TimerFr,MATCH(B819,FaseKode,0)),INDEX(TimerMT,MATCH(B819,FaseKode,0))))</f>
        <v/>
      </c>
      <c r="F819">
        <f>IF(C819="F",0,IF(WEEKDAY($A819,2)=5,INDEX(TimerFr,MATCH(C819,FaseKode,0)),INDEX(TimerMT,MATCH(C819,FaseKode,0))))</f>
        <v/>
      </c>
      <c r="G819">
        <f>IF(D819="F",0,IF(WEEKDAY($A819,2)=5,INDEX(TimerFr,MATCH(D819,FaseKode,0)),INDEX(TimerMT,MATCH(D819,FaseKode,0))))</f>
        <v/>
      </c>
      <c r="H819">
        <f>IF(OR(H$4="",$A819&gt;TODAY()),0,IF(OR(INDEX($B819:$D819,H$5)="F",AND(H$6&gt;0,$A819&lt;H$6),AND(H$7&gt;0,$A819&gt;H$7)),0,MAX(0,ROUND((INDEX($E819:$G819,H$5)-SUMIFS(TF_Timer,TF_Tekniker,H$4,TF_Dato,$A819))*2,0)/2)))</f>
        <v/>
      </c>
      <c r="I819">
        <f>IF(OR(I$4="",$A819&gt;TODAY()),0,IF(OR(INDEX($B819:$D819,I$5)="F",AND(I$6&gt;0,$A819&lt;I$6),AND(I$7&gt;0,$A819&gt;I$7)),0,MAX(0,ROUND((INDEX($E819:$G819,I$5)-SUMIFS(TF_Timer,TF_Tekniker,I$4,TF_Dato,$A819))*2,0)/2)))</f>
        <v/>
      </c>
      <c r="J819">
        <f>IF(OR(J$4="",$A819&gt;TODAY()),0,IF(OR(INDEX($B819:$D819,J$5)="F",AND(J$6&gt;0,$A819&lt;J$6),AND(J$7&gt;0,$A819&gt;J$7)),0,MAX(0,ROUND((INDEX($E819:$G819,J$5)-SUMIFS(TF_Timer,TF_Tekniker,J$4,TF_Dato,$A819))*2,0)/2)))</f>
        <v/>
      </c>
      <c r="K819">
        <f>IF(OR(K$4="",$A819&gt;TODAY()),0,IF(OR(INDEX($B819:$D819,K$5)="F",AND(K$6&gt;0,$A819&lt;K$6),AND(K$7&gt;0,$A819&gt;K$7)),0,MAX(0,ROUND((INDEX($E819:$G819,K$5)-SUMIFS(TF_Timer,TF_Tekniker,K$4,TF_Dato,$A819))*2,0)/2)))</f>
        <v/>
      </c>
      <c r="L819">
        <f>IF(OR(L$4="",$A819&gt;TODAY()),0,IF(OR(INDEX($B819:$D819,L$5)="F",AND(L$6&gt;0,$A819&lt;L$6),AND(L$7&gt;0,$A819&gt;L$7)),0,MAX(0,ROUND((INDEX($E819:$G819,L$5)-SUMIFS(TF_Timer,TF_Tekniker,L$4,TF_Dato,$A819))*2,0)/2)))</f>
        <v/>
      </c>
      <c r="M819">
        <f>IF(OR(M$4="",$A819&gt;TODAY()),0,IF(OR(INDEX($B819:$D819,M$5)="F",AND(M$6&gt;0,$A819&lt;M$6),AND(M$7&gt;0,$A819&gt;M$7)),0,MAX(0,ROUND((INDEX($E819:$G819,M$5)-SUMIFS(TF_Timer,TF_Tekniker,M$4,TF_Dato,$A819))*2,0)/2)))</f>
        <v/>
      </c>
      <c r="N819">
        <f>IF(OR(N$4="",$A819&gt;TODAY()),0,IF(OR(INDEX($B819:$D819,N$5)="F",AND(N$6&gt;0,$A819&lt;N$6),AND(N$7&gt;0,$A819&gt;N$7)),0,MAX(0,ROUND((INDEX($E819:$G819,N$5)-SUMIFS(TF_Timer,TF_Tekniker,N$4,TF_Dato,$A819))*2,0)/2)))</f>
        <v/>
      </c>
      <c r="O819">
        <f>IF(OR(O$4="",$A819&gt;TODAY()),0,IF(OR(INDEX($B819:$D819,O$5)="F",AND(O$6&gt;0,$A819&lt;O$6),AND(O$7&gt;0,$A819&gt;O$7)),0,MAX(0,ROUND((INDEX($E819:$G819,O$5)-SUMIFS(TF_Timer,TF_Tekniker,O$4,TF_Dato,$A819))*2,0)/2)))</f>
        <v/>
      </c>
      <c r="P819">
        <f>IF(OR(P$4="",$A819&gt;TODAY()),0,IF(OR(INDEX($B819:$D819,P$5)="F",AND(P$6&gt;0,$A819&lt;P$6),AND(P$7&gt;0,$A819&gt;P$7)),0,MAX(0,ROUND((INDEX($E819:$G819,P$5)-SUMIFS(TF_Timer,TF_Tekniker,P$4,TF_Dato,$A819))*2,0)/2)))</f>
        <v/>
      </c>
      <c r="Q819">
        <f>IF(OR(Q$4="",$A819&gt;TODAY()),0,IF(OR(INDEX($B819:$D819,Q$5)="F",AND(Q$6&gt;0,$A819&lt;Q$6),AND(Q$7&gt;0,$A819&gt;Q$7)),0,MAX(0,ROUND((INDEX($E819:$G819,Q$5)-SUMIFS(TF_Timer,TF_Tekniker,Q$4,TF_Dato,$A819))*2,0)/2)))</f>
        <v/>
      </c>
      <c r="R819">
        <f>IF(OR(R$4="",$A819&gt;TODAY()),0,IF(OR(INDEX($B819:$D819,R$5)="F",AND(R$6&gt;0,$A819&lt;R$6),AND(R$7&gt;0,$A819&gt;R$7)),0,MAX(0,ROUND((INDEX($E819:$G819,R$5)-SUMIFS(TF_Timer,TF_Tekniker,R$4,TF_Dato,$A819))*2,0)/2)))</f>
        <v/>
      </c>
      <c r="S819">
        <f>IF(OR(S$4="",$A819&gt;TODAY()),0,IF(OR(INDEX($B819:$D819,S$5)="F",AND(S$6&gt;0,$A819&lt;S$6),AND(S$7&gt;0,$A819&gt;S$7)),0,MAX(0,ROUND((INDEX($E819:$G819,S$5)-SUMIFS(TF_Timer,TF_Tekniker,S$4,TF_Dato,$A819))*2,0)/2)))</f>
        <v/>
      </c>
      <c r="T819">
        <f>IF(OR(T$4="",$A819&gt;TODAY()),0,IF(OR(INDEX($B819:$D819,T$5)="F",AND(T$6&gt;0,$A819&lt;T$6),AND(T$7&gt;0,$A819&gt;T$7)),0,MAX(0,ROUND((INDEX($E819:$G819,T$5)-SUMIFS(TF_Timer,TF_Tekniker,T$4,TF_Dato,$A819))*2,0)/2)))</f>
        <v/>
      </c>
      <c r="U819">
        <f>IF(OR(U$4="",$A819&gt;TODAY()),0,IF(OR(INDEX($B819:$D819,U$5)="F",AND(U$6&gt;0,$A819&lt;U$6),AND(U$7&gt;0,$A819&gt;U$7)),0,MAX(0,ROUND((INDEX($E819:$G819,U$5)-SUMIFS(TF_Timer,TF_Tekniker,U$4,TF_Dato,$A819))*2,0)/2)))</f>
        <v/>
      </c>
      <c r="V819">
        <f>IF(OR(V$4="",$A819&gt;TODAY()),0,IF(OR(INDEX($B819:$D819,V$5)="F",AND(V$6&gt;0,$A819&lt;V$6),AND(V$7&gt;0,$A819&gt;V$7)),0,MAX(0,ROUND((INDEX($E819:$G819,V$5)-SUMIFS(TF_Timer,TF_Tekniker,V$4,TF_Dato,$A819))*2,0)/2)))</f>
        <v/>
      </c>
      <c r="W819">
        <f>IF(OR(W$4="",$A819&gt;TODAY()),0,IF(OR(INDEX($B819:$D819,W$5)="F",AND(W$6&gt;0,$A819&lt;W$6),AND(W$7&gt;0,$A819&gt;W$7)),0,MAX(0,ROUND((INDEX($E819:$G819,W$5)-SUMIFS(TF_Timer,TF_Tekniker,W$4,TF_Dato,$A819))*2,0)/2)))</f>
        <v/>
      </c>
      <c r="X819">
        <f>IF(OR(X$4="",$A819&gt;TODAY()),0,IF(OR(INDEX($B819:$D819,X$5)="F",AND(X$6&gt;0,$A819&lt;X$6),AND(X$7&gt;0,$A819&gt;X$7)),0,MAX(0,ROUND((INDEX($E819:$G819,X$5)-SUMIFS(TF_Timer,TF_Tekniker,X$4,TF_Dato,$A819))*2,0)/2)))</f>
        <v/>
      </c>
      <c r="Y819">
        <f>IF(OR(Y$4="",$A819&gt;TODAY()),0,IF(OR(INDEX($B819:$D819,Y$5)="F",AND(Y$6&gt;0,$A819&lt;Y$6),AND(Y$7&gt;0,$A819&gt;Y$7)),0,MAX(0,ROUND((INDEX($E819:$G819,Y$5)-SUMIFS(TF_Timer,TF_Tekniker,Y$4,TF_Dato,$A819))*2,0)/2)))</f>
        <v/>
      </c>
      <c r="Z819">
        <f>IF(OR(Z$4="",$A819&gt;TODAY()),0,IF(OR(INDEX($B819:$D819,Z$5)="F",AND(Z$6&gt;0,$A819&lt;Z$6),AND(Z$7&gt;0,$A819&gt;Z$7)),0,MAX(0,ROUND((INDEX($E819:$G819,Z$5)-SUMIFS(TF_Timer,TF_Tekniker,Z$4,TF_Dato,$A819))*2,0)/2)))</f>
        <v/>
      </c>
      <c r="AA819">
        <f>IF(OR(AA$4="",$A819&gt;TODAY()),0,IF(OR(INDEX($B819:$D819,AA$5)="F",AND(AA$6&gt;0,$A819&lt;AA$6),AND(AA$7&gt;0,$A819&gt;AA$7)),0,MAX(0,ROUND((INDEX($E819:$G819,AA$5)-SUMIFS(TF_Timer,TF_Tekniker,AA$4,TF_Dato,$A819))*2,0)/2)))</f>
        <v/>
      </c>
      <c r="AB819">
        <f>IF(OR(AB$4="",$A819&gt;TODAY()),0,IF(OR(INDEX($B819:$D819,AB$5)="F",AND(AB$6&gt;0,$A819&lt;AB$6),AND(AB$7&gt;0,$A819&gt;AB$7)),0,MAX(0,ROUND((INDEX($E819:$G819,AB$5)-SUMIFS(TF_Timer,TF_Tekniker,AB$4,TF_Dato,$A819))*2,0)/2)))</f>
        <v/>
      </c>
      <c r="AC819">
        <f>IF(OR(AC$4="",$A819&gt;TODAY()),0,IF(OR(INDEX($B819:$D819,AC$5)="F",AND(AC$6&gt;0,$A819&lt;AC$6),AND(AC$7&gt;0,$A819&gt;AC$7)),0,MAX(0,ROUND((INDEX($E819:$G819,AC$5)-SUMIFS(TF_Timer,TF_Tekniker,AC$4,TF_Dato,$A819))*2,0)/2)))</f>
        <v/>
      </c>
      <c r="AD819">
        <f>IF(OR(AD$4="",$A819&gt;TODAY()),0,IF(OR(INDEX($B819:$D819,AD$5)="F",AND(AD$6&gt;0,$A819&lt;AD$6),AND(AD$7&gt;0,$A819&gt;AD$7)),0,MAX(0,ROUND((INDEX($E819:$G819,AD$5)-SUMIFS(TF_Timer,TF_Tekniker,AD$4,TF_Dato,$A819))*2,0)/2)))</f>
        <v/>
      </c>
      <c r="AE819">
        <f>IF(OR(AE$4="",$A819&gt;TODAY()),0,IF(OR(INDEX($B819:$D819,AE$5)="F",AND(AE$6&gt;0,$A819&lt;AE$6),AND(AE$7&gt;0,$A819&gt;AE$7)),0,MAX(0,ROUND((INDEX($E819:$G819,AE$5)-SUMIFS(TF_Timer,TF_Tekniker,AE$4,TF_Dato,$A819))*2,0)/2)))</f>
        <v/>
      </c>
      <c r="AF819">
        <f>IF(OR(AF$4="",$A819&gt;TODAY()),0,IF(OR(INDEX($B819:$D819,AF$5)="F",AND(AF$6&gt;0,$A819&lt;AF$6),AND(AF$7&gt;0,$A819&gt;AF$7)),0,MAX(0,ROUND((INDEX($E819:$G819,AF$5)-SUMIFS(TF_Timer,TF_Tekniker,AF$4,TF_Dato,$A819))*2,0)/2)))</f>
        <v/>
      </c>
      <c r="AG819">
        <f>IF(OR(AG$4="",$A819&gt;TODAY()),0,IF(OR(INDEX($B819:$D819,AG$5)="F",AND(AG$6&gt;0,$A819&lt;AG$6),AND(AG$7&gt;0,$A819&gt;AG$7)),0,MAX(0,ROUND((INDEX($E819:$G819,AG$5)-SUMIFS(TF_Timer,TF_Tekniker,AG$4,TF_Dato,$A819))*2,0)/2)))</f>
        <v/>
      </c>
      <c r="AH819">
        <f>IF(OR(AH$4="",$A819&gt;TODAY()),0,IF(OR(INDEX($B819:$D819,AH$5)="F",AND(AH$6&gt;0,$A819&lt;AH$6),AND(AH$7&gt;0,$A819&gt;AH$7)),0,MAX(0,ROUND((INDEX($E819:$G819,AH$5)-SUMIFS(TF_Timer,TF_Tekniker,AH$4,TF_Dato,$A819))*2,0)/2)))</f>
        <v/>
      </c>
      <c r="AI819">
        <f>IF(OR(AI$4="",$A819&gt;TODAY()),0,IF(OR(INDEX($B819:$D819,AI$5)="F",AND(AI$6&gt;0,$A819&lt;AI$6),AND(AI$7&gt;0,$A819&gt;AI$7)),0,MAX(0,ROUND((INDEX($E819:$G819,AI$5)-SUMIFS(TF_Timer,TF_Tekniker,AI$4,TF_Dato,$A819))*2,0)/2)))</f>
        <v/>
      </c>
      <c r="AJ819">
        <f>IF(OR(AJ$4="",$A819&gt;TODAY()),0,IF(OR(INDEX($B819:$D819,AJ$5)="F",AND(AJ$6&gt;0,$A819&lt;AJ$6),AND(AJ$7&gt;0,$A819&gt;AJ$7)),0,MAX(0,ROUND((INDEX($E819:$G819,AJ$5)-SUMIFS(TF_Timer,TF_Tekniker,AJ$4,TF_Dato,$A819))*2,0)/2)))</f>
        <v/>
      </c>
      <c r="AK819">
        <f>IF(OR(AK$4="",$A819&gt;TODAY()),0,IF(OR(INDEX($B819:$D819,AK$5)="F",AND(AK$6&gt;0,$A819&lt;AK$6),AND(AK$7&gt;0,$A819&gt;AK$7)),0,MAX(0,ROUND((INDEX($E819:$G819,AK$5)-SUMIFS(TF_Timer,TF_Tekniker,AK$4,TF_Dato,$A819))*2,0)/2)))</f>
        <v/>
      </c>
      <c r="AL819">
        <f>IF(OR(AL$4="",$A819&gt;TODAY()),0,IF(OR(INDEX($B819:$D819,AL$5)="F",AND(AL$6&gt;0,$A819&lt;AL$6),AND(AL$7&gt;0,$A819&gt;AL$7)),0,MAX(0,ROUND((INDEX($E819:$G819,AL$5)-SUMIFS(TF_Timer,TF_Tekniker,AL$4,TF_Dato,$A819))*2,0)/2)))</f>
        <v/>
      </c>
      <c r="AM819">
        <f>IF(OR(AM$4="",$A819&gt;TODAY()),0,IF(OR(INDEX($B819:$D819,AM$5)="F",AND(AM$6&gt;0,$A819&lt;AM$6),AND(AM$7&gt;0,$A819&gt;AM$7)),0,MAX(0,ROUND((INDEX($E819:$G819,AM$5)-SUMIFS(TF_Timer,TF_Tekniker,AM$4,TF_Dato,$A819))*2,0)/2)))</f>
        <v/>
      </c>
      <c r="AN819">
        <f>IF(OR(AN$4="",$A819&gt;TODAY()),0,IF(OR(INDEX($B819:$D819,AN$5)="F",AND(AN$6&gt;0,$A819&lt;AN$6),AND(AN$7&gt;0,$A819&gt;AN$7)),0,MAX(0,ROUND((INDEX($E819:$G819,AN$5)-SUMIFS(TF_Timer,TF_Tekniker,AN$4,TF_Dato,$A819))*2,0)/2)))</f>
        <v/>
      </c>
      <c r="AO819">
        <f>IF(OR(AO$4="",$A819&gt;TODAY()),0,IF(OR(INDEX($B819:$D819,AO$5)="F",AND(AO$6&gt;0,$A819&lt;AO$6),AND(AO$7&gt;0,$A819&gt;AO$7)),0,MAX(0,ROUND((INDEX($E819:$G819,AO$5)-SUMIFS(TF_Timer,TF_Tekniker,AO$4,TF_Dato,$A819))*2,0)/2)))</f>
        <v/>
      </c>
      <c r="AP819">
        <f>IF(OR(AP$4="",$A819&gt;TODAY()),0,IF(OR(INDEX($B819:$D819,AP$5)="F",AND(AP$6&gt;0,$A819&lt;AP$6),AND(AP$7&gt;0,$A819&gt;AP$7)),0,MAX(0,ROUND((INDEX($E819:$G819,AP$5)-SUMIFS(TF_Timer,TF_Tekniker,AP$4,TF_Dato,$A819))*2,0)/2)))</f>
        <v/>
      </c>
      <c r="AQ819">
        <f>IF(OR(AQ$4="",$A819&gt;TODAY()),0,IF(OR(INDEX($B819:$D819,AQ$5)="F",AND(AQ$6&gt;0,$A819&lt;AQ$6),AND(AQ$7&gt;0,$A819&gt;AQ$7)),0,MAX(0,ROUND((INDEX($E819:$G819,AQ$5)-SUMIFS(TF_Timer,TF_Tekniker,AQ$4,TF_Dato,$A819))*2,0)/2)))</f>
        <v/>
      </c>
      <c r="AR819">
        <f>IF(OR(AR$4="",$A819&gt;TODAY()),0,IF(OR(INDEX($B819:$D819,AR$5)="F",AND(AR$6&gt;0,$A819&lt;AR$6),AND(AR$7&gt;0,$A819&gt;AR$7)),0,MAX(0,ROUND((INDEX($E819:$G819,AR$5)-SUMIFS(TF_Timer,TF_Tekniker,AR$4,TF_Dato,$A819))*2,0)/2)))</f>
        <v/>
      </c>
      <c r="AS819">
        <f>IF(OR(AS$4="",$A819&gt;TODAY()),0,IF(OR(INDEX($B819:$D819,AS$5)="F",AND(AS$6&gt;0,$A819&lt;AS$6),AND(AS$7&gt;0,$A819&gt;AS$7)),0,MAX(0,ROUND((INDEX($E819:$G819,AS$5)-SUMIFS(TF_Timer,TF_Tekniker,AS$4,TF_Dato,$A819))*2,0)/2)))</f>
        <v/>
      </c>
      <c r="AT819">
        <f>IF(OR(AT$4="",$A819&gt;TODAY()),0,IF(OR(INDEX($B819:$D819,AT$5)="F",AND(AT$6&gt;0,$A819&lt;AT$6),AND(AT$7&gt;0,$A819&gt;AT$7)),0,MAX(0,ROUND((INDEX($E819:$G819,AT$5)-SUMIFS(TF_Timer,TF_Tekniker,AT$4,TF_Dato,$A819))*2,0)/2)))</f>
        <v/>
      </c>
      <c r="AU819">
        <f>IF(OR(AU$4="",$A819&gt;TODAY()),0,IF(OR(INDEX($B819:$D819,AU$5)="F",AND(AU$6&gt;0,$A819&lt;AU$6),AND(AU$7&gt;0,$A819&gt;AU$7)),0,MAX(0,ROUND((INDEX($E819:$G819,AU$5)-SUMIFS(TF_Timer,TF_Tekniker,AU$4,TF_Dato,$A819))*2,0)/2)))</f>
        <v/>
      </c>
      <c r="AV819">
        <f>IF(OR(AV$4="",$A819&gt;TODAY()),0,IF(OR(INDEX($B819:$D819,AV$5)="F",AND(AV$6&gt;0,$A819&lt;AV$6),AND(AV$7&gt;0,$A819&gt;AV$7)),0,MAX(0,ROUND((INDEX($E819:$G819,AV$5)-SUMIFS(TF_Timer,TF_Tekniker,AV$4,TF_Dato,$A819))*2,0)/2)))</f>
        <v/>
      </c>
      <c r="AW819">
        <f>IF(OR(AW$4="",$A819&gt;TODAY()),0,IF(OR(INDEX($B819:$D819,AW$5)="F",AND(AW$6&gt;0,$A819&lt;AW$6),AND(AW$7&gt;0,$A819&gt;AW$7)),0,MAX(0,ROUND((INDEX($E819:$G819,AW$5)-SUMIFS(TF_Timer,TF_Tekniker,AW$4,TF_Dato,$A819))*2,0)/2)))</f>
        <v/>
      </c>
      <c r="AX819">
        <f>IF(OR(AX$4="",$A819&gt;TODAY()),0,IF(OR(INDEX($B819:$D819,AX$5)="F",AND(AX$6&gt;0,$A819&lt;AX$6),AND(AX$7&gt;0,$A819&gt;AX$7)),0,MAX(0,ROUND((INDEX($E819:$G819,AX$5)-SUMIFS(TF_Timer,TF_Tekniker,AX$4,TF_Dato,$A819))*2,0)/2)))</f>
        <v/>
      </c>
      <c r="AY819">
        <f>IF(OR(AY$4="",$A819&gt;TODAY()),0,IF(OR(INDEX($B819:$D819,AY$5)="F",AND(AY$6&gt;0,$A819&lt;AY$6),AND(AY$7&gt;0,$A819&gt;AY$7)),0,MAX(0,ROUND((INDEX($E819:$G819,AY$5)-SUMIFS(TF_Timer,TF_Tekniker,AY$4,TF_Dato,$A819))*2,0)/2)))</f>
        <v/>
      </c>
      <c r="AZ819">
        <f>IF(OR(AZ$4="",$A819&gt;TODAY()),0,IF(OR(INDEX($B819:$D819,AZ$5)="F",AND(AZ$6&gt;0,$A819&lt;AZ$6),AND(AZ$7&gt;0,$A819&gt;AZ$7)),0,MAX(0,ROUND((INDEX($E819:$G819,AZ$5)-SUMIFS(TF_Timer,TF_Tekniker,AZ$4,TF_Dato,$A819))*2,0)/2)))</f>
        <v/>
      </c>
      <c r="BA819">
        <f>IF(OR(BA$4="",$A819&gt;TODAY()),0,IF(OR(INDEX($B819:$D819,BA$5)="F",AND(BA$6&gt;0,$A819&lt;BA$6),AND(BA$7&gt;0,$A819&gt;BA$7)),0,MAX(0,ROUND((INDEX($E819:$G819,BA$5)-SUMIFS(TF_Timer,TF_Tekniker,BA$4,TF_Dato,$A819))*2,0)/2)))</f>
        <v/>
      </c>
      <c r="BB819">
        <f>IF(OR(BB$4="",$A819&gt;TODAY()),0,IF(OR(INDEX($B819:$D819,BB$5)="F",AND(BB$6&gt;0,$A819&lt;BB$6),AND(BB$7&gt;0,$A819&gt;BB$7)),0,MAX(0,ROUND((INDEX($E819:$G819,BB$5)-SUMIFS(TF_Timer,TF_Tekniker,BB$4,TF_Dato,$A819))*2,0)/2)))</f>
        <v/>
      </c>
      <c r="BC819">
        <f>IF(OR(BC$4="",$A819&gt;TODAY()),0,IF(OR(INDEX($B819:$D819,BC$5)="F",AND(BC$6&gt;0,$A819&lt;BC$6),AND(BC$7&gt;0,$A819&gt;BC$7)),0,MAX(0,ROUND((INDEX($E819:$G819,BC$5)-SUMIFS(TF_Timer,TF_Tekniker,BC$4,TF_Dato,$A819))*2,0)/2)))</f>
        <v/>
      </c>
      <c r="BD819">
        <f>IF(OR(BD$4="",$A819&gt;TODAY()),0,IF(OR(INDEX($B819:$D819,BD$5)="F",AND(BD$6&gt;0,$A819&lt;BD$6),AND(BD$7&gt;0,$A819&gt;BD$7)),0,MAX(0,ROUND((INDEX($E819:$G819,BD$5)-SUMIFS(TF_Timer,TF_Tekniker,BD$4,TF_Dato,$A819))*2,0)/2)))</f>
        <v/>
      </c>
      <c r="BE819">
        <f>IF(OR(BE$4="",$A819&gt;TODAY()),0,IF(OR(INDEX($B819:$D819,BE$5)="F",AND(BE$6&gt;0,$A819&lt;BE$6),AND(BE$7&gt;0,$A819&gt;BE$7)),0,MAX(0,ROUND((INDEX($E819:$G819,BE$5)-SUMIFS(TF_Timer,TF_Tekniker,BE$4,TF_Dato,$A819))*2,0)/2)))</f>
        <v/>
      </c>
      <c r="BF819">
        <f>IF(OR(BF$4="",$A819&gt;TODAY()),0,IF(OR(INDEX($B819:$D819,BF$5)="F",AND(BF$6&gt;0,$A819&lt;BF$6),AND(BF$7&gt;0,$A819&gt;BF$7)),0,MAX(0,ROUND((INDEX($E819:$G819,BF$5)-SUMIFS(TF_Timer,TF_Tekniker,BF$4,TF_Dato,$A819))*2,0)/2)))</f>
        <v/>
      </c>
      <c r="BG819">
        <f>IF(OR(BG$4="",$A819&gt;TODAY()),0,IF(OR(INDEX($B819:$D819,BG$5)="F",AND(BG$6&gt;0,$A819&lt;BG$6),AND(BG$7&gt;0,$A819&gt;BG$7)),0,MAX(0,ROUND((INDEX($E819:$G819,BG$5)-SUMIFS(TF_Timer,TF_Tekniker,BG$4,TF_Dato,$A819))*2,0)/2)))</f>
        <v/>
      </c>
      <c r="BH819">
        <f>IF(OR(BH$4="",$A819&gt;TODAY()),0,IF(OR(INDEX($B819:$D819,BH$5)="F",AND(BH$6&gt;0,$A819&lt;BH$6),AND(BH$7&gt;0,$A819&gt;BH$7)),0,MAX(0,ROUND((INDEX($E819:$G819,BH$5)-SUMIFS(TF_Timer,TF_Tekniker,BH$4,TF_Dato,$A819))*2,0)/2)))</f>
        <v/>
      </c>
      <c r="BI819">
        <f>IF(OR(BI$4="",$A819&gt;TODAY()),0,IF(OR(INDEX($B819:$D819,BI$5)="F",AND(BI$6&gt;0,$A819&lt;BI$6),AND(BI$7&gt;0,$A819&gt;BI$7)),0,MAX(0,ROUND((INDEX($E819:$G819,BI$5)-SUMIFS(TF_Timer,TF_Tekniker,BI$4,TF_Dato,$A819))*2,0)/2)))</f>
        <v/>
      </c>
    </row>
    <row r="820">
      <c r="A820" s="64">
        <f>A819+1</f>
        <v/>
      </c>
      <c r="B820">
        <f>IF(MOD($A820-INDEX(SkiftStart,1),Syklus)&lt;DagK,"K",IF(MOD($A820-INDEX(SkiftStart,1),Syklus)&lt;DagK+DagH,"H",IF(MOD($A820-INDEX(SkiftStart,1),Syklus)&lt;DagK+DagH+DagD,"D","F")))</f>
        <v/>
      </c>
      <c r="C820">
        <f>IF(MOD($A820-INDEX(SkiftStart,2),Syklus)&lt;DagK,"K",IF(MOD($A820-INDEX(SkiftStart,2),Syklus)&lt;DagK+DagH,"H",IF(MOD($A820-INDEX(SkiftStart,2),Syklus)&lt;DagK+DagH+DagD,"D","F")))</f>
        <v/>
      </c>
      <c r="D820">
        <f>IF(MOD($A820-INDEX(SkiftStart,3),Syklus)&lt;DagK,"K",IF(MOD($A820-INDEX(SkiftStart,3),Syklus)&lt;DagK+DagH,"H",IF(MOD($A820-INDEX(SkiftStart,3),Syklus)&lt;DagK+DagH+DagD,"D","F")))</f>
        <v/>
      </c>
      <c r="E820">
        <f>IF(B820="F",0,IF(WEEKDAY($A820,2)=5,INDEX(TimerFr,MATCH(B820,FaseKode,0)),INDEX(TimerMT,MATCH(B820,FaseKode,0))))</f>
        <v/>
      </c>
      <c r="F820">
        <f>IF(C820="F",0,IF(WEEKDAY($A820,2)=5,INDEX(TimerFr,MATCH(C820,FaseKode,0)),INDEX(TimerMT,MATCH(C820,FaseKode,0))))</f>
        <v/>
      </c>
      <c r="G820">
        <f>IF(D820="F",0,IF(WEEKDAY($A820,2)=5,INDEX(TimerFr,MATCH(D820,FaseKode,0)),INDEX(TimerMT,MATCH(D820,FaseKode,0))))</f>
        <v/>
      </c>
      <c r="H820">
        <f>IF(OR(H$4="",$A820&gt;TODAY()),0,IF(OR(INDEX($B820:$D820,H$5)="F",AND(H$6&gt;0,$A820&lt;H$6),AND(H$7&gt;0,$A820&gt;H$7)),0,MAX(0,ROUND((INDEX($E820:$G820,H$5)-SUMIFS(TF_Timer,TF_Tekniker,H$4,TF_Dato,$A820))*2,0)/2)))</f>
        <v/>
      </c>
      <c r="I820">
        <f>IF(OR(I$4="",$A820&gt;TODAY()),0,IF(OR(INDEX($B820:$D820,I$5)="F",AND(I$6&gt;0,$A820&lt;I$6),AND(I$7&gt;0,$A820&gt;I$7)),0,MAX(0,ROUND((INDEX($E820:$G820,I$5)-SUMIFS(TF_Timer,TF_Tekniker,I$4,TF_Dato,$A820))*2,0)/2)))</f>
        <v/>
      </c>
      <c r="J820">
        <f>IF(OR(J$4="",$A820&gt;TODAY()),0,IF(OR(INDEX($B820:$D820,J$5)="F",AND(J$6&gt;0,$A820&lt;J$6),AND(J$7&gt;0,$A820&gt;J$7)),0,MAX(0,ROUND((INDEX($E820:$G820,J$5)-SUMIFS(TF_Timer,TF_Tekniker,J$4,TF_Dato,$A820))*2,0)/2)))</f>
        <v/>
      </c>
      <c r="K820">
        <f>IF(OR(K$4="",$A820&gt;TODAY()),0,IF(OR(INDEX($B820:$D820,K$5)="F",AND(K$6&gt;0,$A820&lt;K$6),AND(K$7&gt;0,$A820&gt;K$7)),0,MAX(0,ROUND((INDEX($E820:$G820,K$5)-SUMIFS(TF_Timer,TF_Tekniker,K$4,TF_Dato,$A820))*2,0)/2)))</f>
        <v/>
      </c>
      <c r="L820">
        <f>IF(OR(L$4="",$A820&gt;TODAY()),0,IF(OR(INDEX($B820:$D820,L$5)="F",AND(L$6&gt;0,$A820&lt;L$6),AND(L$7&gt;0,$A820&gt;L$7)),0,MAX(0,ROUND((INDEX($E820:$G820,L$5)-SUMIFS(TF_Timer,TF_Tekniker,L$4,TF_Dato,$A820))*2,0)/2)))</f>
        <v/>
      </c>
      <c r="M820">
        <f>IF(OR(M$4="",$A820&gt;TODAY()),0,IF(OR(INDEX($B820:$D820,M$5)="F",AND(M$6&gt;0,$A820&lt;M$6),AND(M$7&gt;0,$A820&gt;M$7)),0,MAX(0,ROUND((INDEX($E820:$G820,M$5)-SUMIFS(TF_Timer,TF_Tekniker,M$4,TF_Dato,$A820))*2,0)/2)))</f>
        <v/>
      </c>
      <c r="N820">
        <f>IF(OR(N$4="",$A820&gt;TODAY()),0,IF(OR(INDEX($B820:$D820,N$5)="F",AND(N$6&gt;0,$A820&lt;N$6),AND(N$7&gt;0,$A820&gt;N$7)),0,MAX(0,ROUND((INDEX($E820:$G820,N$5)-SUMIFS(TF_Timer,TF_Tekniker,N$4,TF_Dato,$A820))*2,0)/2)))</f>
        <v/>
      </c>
      <c r="O820">
        <f>IF(OR(O$4="",$A820&gt;TODAY()),0,IF(OR(INDEX($B820:$D820,O$5)="F",AND(O$6&gt;0,$A820&lt;O$6),AND(O$7&gt;0,$A820&gt;O$7)),0,MAX(0,ROUND((INDEX($E820:$G820,O$5)-SUMIFS(TF_Timer,TF_Tekniker,O$4,TF_Dato,$A820))*2,0)/2)))</f>
        <v/>
      </c>
      <c r="P820">
        <f>IF(OR(P$4="",$A820&gt;TODAY()),0,IF(OR(INDEX($B820:$D820,P$5)="F",AND(P$6&gt;0,$A820&lt;P$6),AND(P$7&gt;0,$A820&gt;P$7)),0,MAX(0,ROUND((INDEX($E820:$G820,P$5)-SUMIFS(TF_Timer,TF_Tekniker,P$4,TF_Dato,$A820))*2,0)/2)))</f>
        <v/>
      </c>
      <c r="Q820">
        <f>IF(OR(Q$4="",$A820&gt;TODAY()),0,IF(OR(INDEX($B820:$D820,Q$5)="F",AND(Q$6&gt;0,$A820&lt;Q$6),AND(Q$7&gt;0,$A820&gt;Q$7)),0,MAX(0,ROUND((INDEX($E820:$G820,Q$5)-SUMIFS(TF_Timer,TF_Tekniker,Q$4,TF_Dato,$A820))*2,0)/2)))</f>
        <v/>
      </c>
      <c r="R820">
        <f>IF(OR(R$4="",$A820&gt;TODAY()),0,IF(OR(INDEX($B820:$D820,R$5)="F",AND(R$6&gt;0,$A820&lt;R$6),AND(R$7&gt;0,$A820&gt;R$7)),0,MAX(0,ROUND((INDEX($E820:$G820,R$5)-SUMIFS(TF_Timer,TF_Tekniker,R$4,TF_Dato,$A820))*2,0)/2)))</f>
        <v/>
      </c>
      <c r="S820">
        <f>IF(OR(S$4="",$A820&gt;TODAY()),0,IF(OR(INDEX($B820:$D820,S$5)="F",AND(S$6&gt;0,$A820&lt;S$6),AND(S$7&gt;0,$A820&gt;S$7)),0,MAX(0,ROUND((INDEX($E820:$G820,S$5)-SUMIFS(TF_Timer,TF_Tekniker,S$4,TF_Dato,$A820))*2,0)/2)))</f>
        <v/>
      </c>
      <c r="T820">
        <f>IF(OR(T$4="",$A820&gt;TODAY()),0,IF(OR(INDEX($B820:$D820,T$5)="F",AND(T$6&gt;0,$A820&lt;T$6),AND(T$7&gt;0,$A820&gt;T$7)),0,MAX(0,ROUND((INDEX($E820:$G820,T$5)-SUMIFS(TF_Timer,TF_Tekniker,T$4,TF_Dato,$A820))*2,0)/2)))</f>
        <v/>
      </c>
      <c r="U820">
        <f>IF(OR(U$4="",$A820&gt;TODAY()),0,IF(OR(INDEX($B820:$D820,U$5)="F",AND(U$6&gt;0,$A820&lt;U$6),AND(U$7&gt;0,$A820&gt;U$7)),0,MAX(0,ROUND((INDEX($E820:$G820,U$5)-SUMIFS(TF_Timer,TF_Tekniker,U$4,TF_Dato,$A820))*2,0)/2)))</f>
        <v/>
      </c>
      <c r="V820">
        <f>IF(OR(V$4="",$A820&gt;TODAY()),0,IF(OR(INDEX($B820:$D820,V$5)="F",AND(V$6&gt;0,$A820&lt;V$6),AND(V$7&gt;0,$A820&gt;V$7)),0,MAX(0,ROUND((INDEX($E820:$G820,V$5)-SUMIFS(TF_Timer,TF_Tekniker,V$4,TF_Dato,$A820))*2,0)/2)))</f>
        <v/>
      </c>
      <c r="W820">
        <f>IF(OR(W$4="",$A820&gt;TODAY()),0,IF(OR(INDEX($B820:$D820,W$5)="F",AND(W$6&gt;0,$A820&lt;W$6),AND(W$7&gt;0,$A820&gt;W$7)),0,MAX(0,ROUND((INDEX($E820:$G820,W$5)-SUMIFS(TF_Timer,TF_Tekniker,W$4,TF_Dato,$A820))*2,0)/2)))</f>
        <v/>
      </c>
      <c r="X820">
        <f>IF(OR(X$4="",$A820&gt;TODAY()),0,IF(OR(INDEX($B820:$D820,X$5)="F",AND(X$6&gt;0,$A820&lt;X$6),AND(X$7&gt;0,$A820&gt;X$7)),0,MAX(0,ROUND((INDEX($E820:$G820,X$5)-SUMIFS(TF_Timer,TF_Tekniker,X$4,TF_Dato,$A820))*2,0)/2)))</f>
        <v/>
      </c>
      <c r="Y820">
        <f>IF(OR(Y$4="",$A820&gt;TODAY()),0,IF(OR(INDEX($B820:$D820,Y$5)="F",AND(Y$6&gt;0,$A820&lt;Y$6),AND(Y$7&gt;0,$A820&gt;Y$7)),0,MAX(0,ROUND((INDEX($E820:$G820,Y$5)-SUMIFS(TF_Timer,TF_Tekniker,Y$4,TF_Dato,$A820))*2,0)/2)))</f>
        <v/>
      </c>
      <c r="Z820">
        <f>IF(OR(Z$4="",$A820&gt;TODAY()),0,IF(OR(INDEX($B820:$D820,Z$5)="F",AND(Z$6&gt;0,$A820&lt;Z$6),AND(Z$7&gt;0,$A820&gt;Z$7)),0,MAX(0,ROUND((INDEX($E820:$G820,Z$5)-SUMIFS(TF_Timer,TF_Tekniker,Z$4,TF_Dato,$A820))*2,0)/2)))</f>
        <v/>
      </c>
      <c r="AA820">
        <f>IF(OR(AA$4="",$A820&gt;TODAY()),0,IF(OR(INDEX($B820:$D820,AA$5)="F",AND(AA$6&gt;0,$A820&lt;AA$6),AND(AA$7&gt;0,$A820&gt;AA$7)),0,MAX(0,ROUND((INDEX($E820:$G820,AA$5)-SUMIFS(TF_Timer,TF_Tekniker,AA$4,TF_Dato,$A820))*2,0)/2)))</f>
        <v/>
      </c>
      <c r="AB820">
        <f>IF(OR(AB$4="",$A820&gt;TODAY()),0,IF(OR(INDEX($B820:$D820,AB$5)="F",AND(AB$6&gt;0,$A820&lt;AB$6),AND(AB$7&gt;0,$A820&gt;AB$7)),0,MAX(0,ROUND((INDEX($E820:$G820,AB$5)-SUMIFS(TF_Timer,TF_Tekniker,AB$4,TF_Dato,$A820))*2,0)/2)))</f>
        <v/>
      </c>
      <c r="AC820">
        <f>IF(OR(AC$4="",$A820&gt;TODAY()),0,IF(OR(INDEX($B820:$D820,AC$5)="F",AND(AC$6&gt;0,$A820&lt;AC$6),AND(AC$7&gt;0,$A820&gt;AC$7)),0,MAX(0,ROUND((INDEX($E820:$G820,AC$5)-SUMIFS(TF_Timer,TF_Tekniker,AC$4,TF_Dato,$A820))*2,0)/2)))</f>
        <v/>
      </c>
      <c r="AD820">
        <f>IF(OR(AD$4="",$A820&gt;TODAY()),0,IF(OR(INDEX($B820:$D820,AD$5)="F",AND(AD$6&gt;0,$A820&lt;AD$6),AND(AD$7&gt;0,$A820&gt;AD$7)),0,MAX(0,ROUND((INDEX($E820:$G820,AD$5)-SUMIFS(TF_Timer,TF_Tekniker,AD$4,TF_Dato,$A820))*2,0)/2)))</f>
        <v/>
      </c>
      <c r="AE820">
        <f>IF(OR(AE$4="",$A820&gt;TODAY()),0,IF(OR(INDEX($B820:$D820,AE$5)="F",AND(AE$6&gt;0,$A820&lt;AE$6),AND(AE$7&gt;0,$A820&gt;AE$7)),0,MAX(0,ROUND((INDEX($E820:$G820,AE$5)-SUMIFS(TF_Timer,TF_Tekniker,AE$4,TF_Dato,$A820))*2,0)/2)))</f>
        <v/>
      </c>
      <c r="AF820">
        <f>IF(OR(AF$4="",$A820&gt;TODAY()),0,IF(OR(INDEX($B820:$D820,AF$5)="F",AND(AF$6&gt;0,$A820&lt;AF$6),AND(AF$7&gt;0,$A820&gt;AF$7)),0,MAX(0,ROUND((INDEX($E820:$G820,AF$5)-SUMIFS(TF_Timer,TF_Tekniker,AF$4,TF_Dato,$A820))*2,0)/2)))</f>
        <v/>
      </c>
      <c r="AG820">
        <f>IF(OR(AG$4="",$A820&gt;TODAY()),0,IF(OR(INDEX($B820:$D820,AG$5)="F",AND(AG$6&gt;0,$A820&lt;AG$6),AND(AG$7&gt;0,$A820&gt;AG$7)),0,MAX(0,ROUND((INDEX($E820:$G820,AG$5)-SUMIFS(TF_Timer,TF_Tekniker,AG$4,TF_Dato,$A820))*2,0)/2)))</f>
        <v/>
      </c>
      <c r="AH820">
        <f>IF(OR(AH$4="",$A820&gt;TODAY()),0,IF(OR(INDEX($B820:$D820,AH$5)="F",AND(AH$6&gt;0,$A820&lt;AH$6),AND(AH$7&gt;0,$A820&gt;AH$7)),0,MAX(0,ROUND((INDEX($E820:$G820,AH$5)-SUMIFS(TF_Timer,TF_Tekniker,AH$4,TF_Dato,$A820))*2,0)/2)))</f>
        <v/>
      </c>
      <c r="AI820">
        <f>IF(OR(AI$4="",$A820&gt;TODAY()),0,IF(OR(INDEX($B820:$D820,AI$5)="F",AND(AI$6&gt;0,$A820&lt;AI$6),AND(AI$7&gt;0,$A820&gt;AI$7)),0,MAX(0,ROUND((INDEX($E820:$G820,AI$5)-SUMIFS(TF_Timer,TF_Tekniker,AI$4,TF_Dato,$A820))*2,0)/2)))</f>
        <v/>
      </c>
      <c r="AJ820">
        <f>IF(OR(AJ$4="",$A820&gt;TODAY()),0,IF(OR(INDEX($B820:$D820,AJ$5)="F",AND(AJ$6&gt;0,$A820&lt;AJ$6),AND(AJ$7&gt;0,$A820&gt;AJ$7)),0,MAX(0,ROUND((INDEX($E820:$G820,AJ$5)-SUMIFS(TF_Timer,TF_Tekniker,AJ$4,TF_Dato,$A820))*2,0)/2)))</f>
        <v/>
      </c>
      <c r="AK820">
        <f>IF(OR(AK$4="",$A820&gt;TODAY()),0,IF(OR(INDEX($B820:$D820,AK$5)="F",AND(AK$6&gt;0,$A820&lt;AK$6),AND(AK$7&gt;0,$A820&gt;AK$7)),0,MAX(0,ROUND((INDEX($E820:$G820,AK$5)-SUMIFS(TF_Timer,TF_Tekniker,AK$4,TF_Dato,$A820))*2,0)/2)))</f>
        <v/>
      </c>
      <c r="AL820">
        <f>IF(OR(AL$4="",$A820&gt;TODAY()),0,IF(OR(INDEX($B820:$D820,AL$5)="F",AND(AL$6&gt;0,$A820&lt;AL$6),AND(AL$7&gt;0,$A820&gt;AL$7)),0,MAX(0,ROUND((INDEX($E820:$G820,AL$5)-SUMIFS(TF_Timer,TF_Tekniker,AL$4,TF_Dato,$A820))*2,0)/2)))</f>
        <v/>
      </c>
      <c r="AM820">
        <f>IF(OR(AM$4="",$A820&gt;TODAY()),0,IF(OR(INDEX($B820:$D820,AM$5)="F",AND(AM$6&gt;0,$A820&lt;AM$6),AND(AM$7&gt;0,$A820&gt;AM$7)),0,MAX(0,ROUND((INDEX($E820:$G820,AM$5)-SUMIFS(TF_Timer,TF_Tekniker,AM$4,TF_Dato,$A820))*2,0)/2)))</f>
        <v/>
      </c>
      <c r="AN820">
        <f>IF(OR(AN$4="",$A820&gt;TODAY()),0,IF(OR(INDEX($B820:$D820,AN$5)="F",AND(AN$6&gt;0,$A820&lt;AN$6),AND(AN$7&gt;0,$A820&gt;AN$7)),0,MAX(0,ROUND((INDEX($E820:$G820,AN$5)-SUMIFS(TF_Timer,TF_Tekniker,AN$4,TF_Dato,$A820))*2,0)/2)))</f>
        <v/>
      </c>
      <c r="AO820">
        <f>IF(OR(AO$4="",$A820&gt;TODAY()),0,IF(OR(INDEX($B820:$D820,AO$5)="F",AND(AO$6&gt;0,$A820&lt;AO$6),AND(AO$7&gt;0,$A820&gt;AO$7)),0,MAX(0,ROUND((INDEX($E820:$G820,AO$5)-SUMIFS(TF_Timer,TF_Tekniker,AO$4,TF_Dato,$A820))*2,0)/2)))</f>
        <v/>
      </c>
      <c r="AP820">
        <f>IF(OR(AP$4="",$A820&gt;TODAY()),0,IF(OR(INDEX($B820:$D820,AP$5)="F",AND(AP$6&gt;0,$A820&lt;AP$6),AND(AP$7&gt;0,$A820&gt;AP$7)),0,MAX(0,ROUND((INDEX($E820:$G820,AP$5)-SUMIFS(TF_Timer,TF_Tekniker,AP$4,TF_Dato,$A820))*2,0)/2)))</f>
        <v/>
      </c>
      <c r="AQ820">
        <f>IF(OR(AQ$4="",$A820&gt;TODAY()),0,IF(OR(INDEX($B820:$D820,AQ$5)="F",AND(AQ$6&gt;0,$A820&lt;AQ$6),AND(AQ$7&gt;0,$A820&gt;AQ$7)),0,MAX(0,ROUND((INDEX($E820:$G820,AQ$5)-SUMIFS(TF_Timer,TF_Tekniker,AQ$4,TF_Dato,$A820))*2,0)/2)))</f>
        <v/>
      </c>
      <c r="AR820">
        <f>IF(OR(AR$4="",$A820&gt;TODAY()),0,IF(OR(INDEX($B820:$D820,AR$5)="F",AND(AR$6&gt;0,$A820&lt;AR$6),AND(AR$7&gt;0,$A820&gt;AR$7)),0,MAX(0,ROUND((INDEX($E820:$G820,AR$5)-SUMIFS(TF_Timer,TF_Tekniker,AR$4,TF_Dato,$A820))*2,0)/2)))</f>
        <v/>
      </c>
      <c r="AS820">
        <f>IF(OR(AS$4="",$A820&gt;TODAY()),0,IF(OR(INDEX($B820:$D820,AS$5)="F",AND(AS$6&gt;0,$A820&lt;AS$6),AND(AS$7&gt;0,$A820&gt;AS$7)),0,MAX(0,ROUND((INDEX($E820:$G820,AS$5)-SUMIFS(TF_Timer,TF_Tekniker,AS$4,TF_Dato,$A820))*2,0)/2)))</f>
        <v/>
      </c>
      <c r="AT820">
        <f>IF(OR(AT$4="",$A820&gt;TODAY()),0,IF(OR(INDEX($B820:$D820,AT$5)="F",AND(AT$6&gt;0,$A820&lt;AT$6),AND(AT$7&gt;0,$A820&gt;AT$7)),0,MAX(0,ROUND((INDEX($E820:$G820,AT$5)-SUMIFS(TF_Timer,TF_Tekniker,AT$4,TF_Dato,$A820))*2,0)/2)))</f>
        <v/>
      </c>
      <c r="AU820">
        <f>IF(OR(AU$4="",$A820&gt;TODAY()),0,IF(OR(INDEX($B820:$D820,AU$5)="F",AND(AU$6&gt;0,$A820&lt;AU$6),AND(AU$7&gt;0,$A820&gt;AU$7)),0,MAX(0,ROUND((INDEX($E820:$G820,AU$5)-SUMIFS(TF_Timer,TF_Tekniker,AU$4,TF_Dato,$A820))*2,0)/2)))</f>
        <v/>
      </c>
      <c r="AV820">
        <f>IF(OR(AV$4="",$A820&gt;TODAY()),0,IF(OR(INDEX($B820:$D820,AV$5)="F",AND(AV$6&gt;0,$A820&lt;AV$6),AND(AV$7&gt;0,$A820&gt;AV$7)),0,MAX(0,ROUND((INDEX($E820:$G820,AV$5)-SUMIFS(TF_Timer,TF_Tekniker,AV$4,TF_Dato,$A820))*2,0)/2)))</f>
        <v/>
      </c>
      <c r="AW820">
        <f>IF(OR(AW$4="",$A820&gt;TODAY()),0,IF(OR(INDEX($B820:$D820,AW$5)="F",AND(AW$6&gt;0,$A820&lt;AW$6),AND(AW$7&gt;0,$A820&gt;AW$7)),0,MAX(0,ROUND((INDEX($E820:$G820,AW$5)-SUMIFS(TF_Timer,TF_Tekniker,AW$4,TF_Dato,$A820))*2,0)/2)))</f>
        <v/>
      </c>
      <c r="AX820">
        <f>IF(OR(AX$4="",$A820&gt;TODAY()),0,IF(OR(INDEX($B820:$D820,AX$5)="F",AND(AX$6&gt;0,$A820&lt;AX$6),AND(AX$7&gt;0,$A820&gt;AX$7)),0,MAX(0,ROUND((INDEX($E820:$G820,AX$5)-SUMIFS(TF_Timer,TF_Tekniker,AX$4,TF_Dato,$A820))*2,0)/2)))</f>
        <v/>
      </c>
      <c r="AY820">
        <f>IF(OR(AY$4="",$A820&gt;TODAY()),0,IF(OR(INDEX($B820:$D820,AY$5)="F",AND(AY$6&gt;0,$A820&lt;AY$6),AND(AY$7&gt;0,$A820&gt;AY$7)),0,MAX(0,ROUND((INDEX($E820:$G820,AY$5)-SUMIFS(TF_Timer,TF_Tekniker,AY$4,TF_Dato,$A820))*2,0)/2)))</f>
        <v/>
      </c>
      <c r="AZ820">
        <f>IF(OR(AZ$4="",$A820&gt;TODAY()),0,IF(OR(INDEX($B820:$D820,AZ$5)="F",AND(AZ$6&gt;0,$A820&lt;AZ$6),AND(AZ$7&gt;0,$A820&gt;AZ$7)),0,MAX(0,ROUND((INDEX($E820:$G820,AZ$5)-SUMIFS(TF_Timer,TF_Tekniker,AZ$4,TF_Dato,$A820))*2,0)/2)))</f>
        <v/>
      </c>
      <c r="BA820">
        <f>IF(OR(BA$4="",$A820&gt;TODAY()),0,IF(OR(INDEX($B820:$D820,BA$5)="F",AND(BA$6&gt;0,$A820&lt;BA$6),AND(BA$7&gt;0,$A820&gt;BA$7)),0,MAX(0,ROUND((INDEX($E820:$G820,BA$5)-SUMIFS(TF_Timer,TF_Tekniker,BA$4,TF_Dato,$A820))*2,0)/2)))</f>
        <v/>
      </c>
      <c r="BB820">
        <f>IF(OR(BB$4="",$A820&gt;TODAY()),0,IF(OR(INDEX($B820:$D820,BB$5)="F",AND(BB$6&gt;0,$A820&lt;BB$6),AND(BB$7&gt;0,$A820&gt;BB$7)),0,MAX(0,ROUND((INDEX($E820:$G820,BB$5)-SUMIFS(TF_Timer,TF_Tekniker,BB$4,TF_Dato,$A820))*2,0)/2)))</f>
        <v/>
      </c>
      <c r="BC820">
        <f>IF(OR(BC$4="",$A820&gt;TODAY()),0,IF(OR(INDEX($B820:$D820,BC$5)="F",AND(BC$6&gt;0,$A820&lt;BC$6),AND(BC$7&gt;0,$A820&gt;BC$7)),0,MAX(0,ROUND((INDEX($E820:$G820,BC$5)-SUMIFS(TF_Timer,TF_Tekniker,BC$4,TF_Dato,$A820))*2,0)/2)))</f>
        <v/>
      </c>
      <c r="BD820">
        <f>IF(OR(BD$4="",$A820&gt;TODAY()),0,IF(OR(INDEX($B820:$D820,BD$5)="F",AND(BD$6&gt;0,$A820&lt;BD$6),AND(BD$7&gt;0,$A820&gt;BD$7)),0,MAX(0,ROUND((INDEX($E820:$G820,BD$5)-SUMIFS(TF_Timer,TF_Tekniker,BD$4,TF_Dato,$A820))*2,0)/2)))</f>
        <v/>
      </c>
      <c r="BE820">
        <f>IF(OR(BE$4="",$A820&gt;TODAY()),0,IF(OR(INDEX($B820:$D820,BE$5)="F",AND(BE$6&gt;0,$A820&lt;BE$6),AND(BE$7&gt;0,$A820&gt;BE$7)),0,MAX(0,ROUND((INDEX($E820:$G820,BE$5)-SUMIFS(TF_Timer,TF_Tekniker,BE$4,TF_Dato,$A820))*2,0)/2)))</f>
        <v/>
      </c>
      <c r="BF820">
        <f>IF(OR(BF$4="",$A820&gt;TODAY()),0,IF(OR(INDEX($B820:$D820,BF$5)="F",AND(BF$6&gt;0,$A820&lt;BF$6),AND(BF$7&gt;0,$A820&gt;BF$7)),0,MAX(0,ROUND((INDEX($E820:$G820,BF$5)-SUMIFS(TF_Timer,TF_Tekniker,BF$4,TF_Dato,$A820))*2,0)/2)))</f>
        <v/>
      </c>
      <c r="BG820">
        <f>IF(OR(BG$4="",$A820&gt;TODAY()),0,IF(OR(INDEX($B820:$D820,BG$5)="F",AND(BG$6&gt;0,$A820&lt;BG$6),AND(BG$7&gt;0,$A820&gt;BG$7)),0,MAX(0,ROUND((INDEX($E820:$G820,BG$5)-SUMIFS(TF_Timer,TF_Tekniker,BG$4,TF_Dato,$A820))*2,0)/2)))</f>
        <v/>
      </c>
      <c r="BH820">
        <f>IF(OR(BH$4="",$A820&gt;TODAY()),0,IF(OR(INDEX($B820:$D820,BH$5)="F",AND(BH$6&gt;0,$A820&lt;BH$6),AND(BH$7&gt;0,$A820&gt;BH$7)),0,MAX(0,ROUND((INDEX($E820:$G820,BH$5)-SUMIFS(TF_Timer,TF_Tekniker,BH$4,TF_Dato,$A820))*2,0)/2)))</f>
        <v/>
      </c>
      <c r="BI820">
        <f>IF(OR(BI$4="",$A820&gt;TODAY()),0,IF(OR(INDEX($B820:$D820,BI$5)="F",AND(BI$6&gt;0,$A820&lt;BI$6),AND(BI$7&gt;0,$A820&gt;BI$7)),0,MAX(0,ROUND((INDEX($E820:$G820,BI$5)-SUMIFS(TF_Timer,TF_Tekniker,BI$4,TF_Dato,$A820))*2,0)/2)))</f>
        <v/>
      </c>
    </row>
    <row r="821">
      <c r="A821" s="64">
        <f>A820+1</f>
        <v/>
      </c>
      <c r="B821">
        <f>IF(MOD($A821-INDEX(SkiftStart,1),Syklus)&lt;DagK,"K",IF(MOD($A821-INDEX(SkiftStart,1),Syklus)&lt;DagK+DagH,"H",IF(MOD($A821-INDEX(SkiftStart,1),Syklus)&lt;DagK+DagH+DagD,"D","F")))</f>
        <v/>
      </c>
      <c r="C821">
        <f>IF(MOD($A821-INDEX(SkiftStart,2),Syklus)&lt;DagK,"K",IF(MOD($A821-INDEX(SkiftStart,2),Syklus)&lt;DagK+DagH,"H",IF(MOD($A821-INDEX(SkiftStart,2),Syklus)&lt;DagK+DagH+DagD,"D","F")))</f>
        <v/>
      </c>
      <c r="D821">
        <f>IF(MOD($A821-INDEX(SkiftStart,3),Syklus)&lt;DagK,"K",IF(MOD($A821-INDEX(SkiftStart,3),Syklus)&lt;DagK+DagH,"H",IF(MOD($A821-INDEX(SkiftStart,3),Syklus)&lt;DagK+DagH+DagD,"D","F")))</f>
        <v/>
      </c>
      <c r="E821">
        <f>IF(B821="F",0,IF(WEEKDAY($A821,2)=5,INDEX(TimerFr,MATCH(B821,FaseKode,0)),INDEX(TimerMT,MATCH(B821,FaseKode,0))))</f>
        <v/>
      </c>
      <c r="F821">
        <f>IF(C821="F",0,IF(WEEKDAY($A821,2)=5,INDEX(TimerFr,MATCH(C821,FaseKode,0)),INDEX(TimerMT,MATCH(C821,FaseKode,0))))</f>
        <v/>
      </c>
      <c r="G821">
        <f>IF(D821="F",0,IF(WEEKDAY($A821,2)=5,INDEX(TimerFr,MATCH(D821,FaseKode,0)),INDEX(TimerMT,MATCH(D821,FaseKode,0))))</f>
        <v/>
      </c>
      <c r="H821">
        <f>IF(OR(H$4="",$A821&gt;TODAY()),0,IF(OR(INDEX($B821:$D821,H$5)="F",AND(H$6&gt;0,$A821&lt;H$6),AND(H$7&gt;0,$A821&gt;H$7)),0,MAX(0,ROUND((INDEX($E821:$G821,H$5)-SUMIFS(TF_Timer,TF_Tekniker,H$4,TF_Dato,$A821))*2,0)/2)))</f>
        <v/>
      </c>
      <c r="I821">
        <f>IF(OR(I$4="",$A821&gt;TODAY()),0,IF(OR(INDEX($B821:$D821,I$5)="F",AND(I$6&gt;0,$A821&lt;I$6),AND(I$7&gt;0,$A821&gt;I$7)),0,MAX(0,ROUND((INDEX($E821:$G821,I$5)-SUMIFS(TF_Timer,TF_Tekniker,I$4,TF_Dato,$A821))*2,0)/2)))</f>
        <v/>
      </c>
      <c r="J821">
        <f>IF(OR(J$4="",$A821&gt;TODAY()),0,IF(OR(INDEX($B821:$D821,J$5)="F",AND(J$6&gt;0,$A821&lt;J$6),AND(J$7&gt;0,$A821&gt;J$7)),0,MAX(0,ROUND((INDEX($E821:$G821,J$5)-SUMIFS(TF_Timer,TF_Tekniker,J$4,TF_Dato,$A821))*2,0)/2)))</f>
        <v/>
      </c>
      <c r="K821">
        <f>IF(OR(K$4="",$A821&gt;TODAY()),0,IF(OR(INDEX($B821:$D821,K$5)="F",AND(K$6&gt;0,$A821&lt;K$6),AND(K$7&gt;0,$A821&gt;K$7)),0,MAX(0,ROUND((INDEX($E821:$G821,K$5)-SUMIFS(TF_Timer,TF_Tekniker,K$4,TF_Dato,$A821))*2,0)/2)))</f>
        <v/>
      </c>
      <c r="L821">
        <f>IF(OR(L$4="",$A821&gt;TODAY()),0,IF(OR(INDEX($B821:$D821,L$5)="F",AND(L$6&gt;0,$A821&lt;L$6),AND(L$7&gt;0,$A821&gt;L$7)),0,MAX(0,ROUND((INDEX($E821:$G821,L$5)-SUMIFS(TF_Timer,TF_Tekniker,L$4,TF_Dato,$A821))*2,0)/2)))</f>
        <v/>
      </c>
      <c r="M821">
        <f>IF(OR(M$4="",$A821&gt;TODAY()),0,IF(OR(INDEX($B821:$D821,M$5)="F",AND(M$6&gt;0,$A821&lt;M$6),AND(M$7&gt;0,$A821&gt;M$7)),0,MAX(0,ROUND((INDEX($E821:$G821,M$5)-SUMIFS(TF_Timer,TF_Tekniker,M$4,TF_Dato,$A821))*2,0)/2)))</f>
        <v/>
      </c>
      <c r="N821">
        <f>IF(OR(N$4="",$A821&gt;TODAY()),0,IF(OR(INDEX($B821:$D821,N$5)="F",AND(N$6&gt;0,$A821&lt;N$6),AND(N$7&gt;0,$A821&gt;N$7)),0,MAX(0,ROUND((INDEX($E821:$G821,N$5)-SUMIFS(TF_Timer,TF_Tekniker,N$4,TF_Dato,$A821))*2,0)/2)))</f>
        <v/>
      </c>
      <c r="O821">
        <f>IF(OR(O$4="",$A821&gt;TODAY()),0,IF(OR(INDEX($B821:$D821,O$5)="F",AND(O$6&gt;0,$A821&lt;O$6),AND(O$7&gt;0,$A821&gt;O$7)),0,MAX(0,ROUND((INDEX($E821:$G821,O$5)-SUMIFS(TF_Timer,TF_Tekniker,O$4,TF_Dato,$A821))*2,0)/2)))</f>
        <v/>
      </c>
      <c r="P821">
        <f>IF(OR(P$4="",$A821&gt;TODAY()),0,IF(OR(INDEX($B821:$D821,P$5)="F",AND(P$6&gt;0,$A821&lt;P$6),AND(P$7&gt;0,$A821&gt;P$7)),0,MAX(0,ROUND((INDEX($E821:$G821,P$5)-SUMIFS(TF_Timer,TF_Tekniker,P$4,TF_Dato,$A821))*2,0)/2)))</f>
        <v/>
      </c>
      <c r="Q821">
        <f>IF(OR(Q$4="",$A821&gt;TODAY()),0,IF(OR(INDEX($B821:$D821,Q$5)="F",AND(Q$6&gt;0,$A821&lt;Q$6),AND(Q$7&gt;0,$A821&gt;Q$7)),0,MAX(0,ROUND((INDEX($E821:$G821,Q$5)-SUMIFS(TF_Timer,TF_Tekniker,Q$4,TF_Dato,$A821))*2,0)/2)))</f>
        <v/>
      </c>
      <c r="R821">
        <f>IF(OR(R$4="",$A821&gt;TODAY()),0,IF(OR(INDEX($B821:$D821,R$5)="F",AND(R$6&gt;0,$A821&lt;R$6),AND(R$7&gt;0,$A821&gt;R$7)),0,MAX(0,ROUND((INDEX($E821:$G821,R$5)-SUMIFS(TF_Timer,TF_Tekniker,R$4,TF_Dato,$A821))*2,0)/2)))</f>
        <v/>
      </c>
      <c r="S821">
        <f>IF(OR(S$4="",$A821&gt;TODAY()),0,IF(OR(INDEX($B821:$D821,S$5)="F",AND(S$6&gt;0,$A821&lt;S$6),AND(S$7&gt;0,$A821&gt;S$7)),0,MAX(0,ROUND((INDEX($E821:$G821,S$5)-SUMIFS(TF_Timer,TF_Tekniker,S$4,TF_Dato,$A821))*2,0)/2)))</f>
        <v/>
      </c>
      <c r="T821">
        <f>IF(OR(T$4="",$A821&gt;TODAY()),0,IF(OR(INDEX($B821:$D821,T$5)="F",AND(T$6&gt;0,$A821&lt;T$6),AND(T$7&gt;0,$A821&gt;T$7)),0,MAX(0,ROUND((INDEX($E821:$G821,T$5)-SUMIFS(TF_Timer,TF_Tekniker,T$4,TF_Dato,$A821))*2,0)/2)))</f>
        <v/>
      </c>
      <c r="U821">
        <f>IF(OR(U$4="",$A821&gt;TODAY()),0,IF(OR(INDEX($B821:$D821,U$5)="F",AND(U$6&gt;0,$A821&lt;U$6),AND(U$7&gt;0,$A821&gt;U$7)),0,MAX(0,ROUND((INDEX($E821:$G821,U$5)-SUMIFS(TF_Timer,TF_Tekniker,U$4,TF_Dato,$A821))*2,0)/2)))</f>
        <v/>
      </c>
      <c r="V821">
        <f>IF(OR(V$4="",$A821&gt;TODAY()),0,IF(OR(INDEX($B821:$D821,V$5)="F",AND(V$6&gt;0,$A821&lt;V$6),AND(V$7&gt;0,$A821&gt;V$7)),0,MAX(0,ROUND((INDEX($E821:$G821,V$5)-SUMIFS(TF_Timer,TF_Tekniker,V$4,TF_Dato,$A821))*2,0)/2)))</f>
        <v/>
      </c>
      <c r="W821">
        <f>IF(OR(W$4="",$A821&gt;TODAY()),0,IF(OR(INDEX($B821:$D821,W$5)="F",AND(W$6&gt;0,$A821&lt;W$6),AND(W$7&gt;0,$A821&gt;W$7)),0,MAX(0,ROUND((INDEX($E821:$G821,W$5)-SUMIFS(TF_Timer,TF_Tekniker,W$4,TF_Dato,$A821))*2,0)/2)))</f>
        <v/>
      </c>
      <c r="X821">
        <f>IF(OR(X$4="",$A821&gt;TODAY()),0,IF(OR(INDEX($B821:$D821,X$5)="F",AND(X$6&gt;0,$A821&lt;X$6),AND(X$7&gt;0,$A821&gt;X$7)),0,MAX(0,ROUND((INDEX($E821:$G821,X$5)-SUMIFS(TF_Timer,TF_Tekniker,X$4,TF_Dato,$A821))*2,0)/2)))</f>
        <v/>
      </c>
      <c r="Y821">
        <f>IF(OR(Y$4="",$A821&gt;TODAY()),0,IF(OR(INDEX($B821:$D821,Y$5)="F",AND(Y$6&gt;0,$A821&lt;Y$6),AND(Y$7&gt;0,$A821&gt;Y$7)),0,MAX(0,ROUND((INDEX($E821:$G821,Y$5)-SUMIFS(TF_Timer,TF_Tekniker,Y$4,TF_Dato,$A821))*2,0)/2)))</f>
        <v/>
      </c>
      <c r="Z821">
        <f>IF(OR(Z$4="",$A821&gt;TODAY()),0,IF(OR(INDEX($B821:$D821,Z$5)="F",AND(Z$6&gt;0,$A821&lt;Z$6),AND(Z$7&gt;0,$A821&gt;Z$7)),0,MAX(0,ROUND((INDEX($E821:$G821,Z$5)-SUMIFS(TF_Timer,TF_Tekniker,Z$4,TF_Dato,$A821))*2,0)/2)))</f>
        <v/>
      </c>
      <c r="AA821">
        <f>IF(OR(AA$4="",$A821&gt;TODAY()),0,IF(OR(INDEX($B821:$D821,AA$5)="F",AND(AA$6&gt;0,$A821&lt;AA$6),AND(AA$7&gt;0,$A821&gt;AA$7)),0,MAX(0,ROUND((INDEX($E821:$G821,AA$5)-SUMIFS(TF_Timer,TF_Tekniker,AA$4,TF_Dato,$A821))*2,0)/2)))</f>
        <v/>
      </c>
      <c r="AB821">
        <f>IF(OR(AB$4="",$A821&gt;TODAY()),0,IF(OR(INDEX($B821:$D821,AB$5)="F",AND(AB$6&gt;0,$A821&lt;AB$6),AND(AB$7&gt;0,$A821&gt;AB$7)),0,MAX(0,ROUND((INDEX($E821:$G821,AB$5)-SUMIFS(TF_Timer,TF_Tekniker,AB$4,TF_Dato,$A821))*2,0)/2)))</f>
        <v/>
      </c>
      <c r="AC821">
        <f>IF(OR(AC$4="",$A821&gt;TODAY()),0,IF(OR(INDEX($B821:$D821,AC$5)="F",AND(AC$6&gt;0,$A821&lt;AC$6),AND(AC$7&gt;0,$A821&gt;AC$7)),0,MAX(0,ROUND((INDEX($E821:$G821,AC$5)-SUMIFS(TF_Timer,TF_Tekniker,AC$4,TF_Dato,$A821))*2,0)/2)))</f>
        <v/>
      </c>
      <c r="AD821">
        <f>IF(OR(AD$4="",$A821&gt;TODAY()),0,IF(OR(INDEX($B821:$D821,AD$5)="F",AND(AD$6&gt;0,$A821&lt;AD$6),AND(AD$7&gt;0,$A821&gt;AD$7)),0,MAX(0,ROUND((INDEX($E821:$G821,AD$5)-SUMIFS(TF_Timer,TF_Tekniker,AD$4,TF_Dato,$A821))*2,0)/2)))</f>
        <v/>
      </c>
      <c r="AE821">
        <f>IF(OR(AE$4="",$A821&gt;TODAY()),0,IF(OR(INDEX($B821:$D821,AE$5)="F",AND(AE$6&gt;0,$A821&lt;AE$6),AND(AE$7&gt;0,$A821&gt;AE$7)),0,MAX(0,ROUND((INDEX($E821:$G821,AE$5)-SUMIFS(TF_Timer,TF_Tekniker,AE$4,TF_Dato,$A821))*2,0)/2)))</f>
        <v/>
      </c>
      <c r="AF821">
        <f>IF(OR(AF$4="",$A821&gt;TODAY()),0,IF(OR(INDEX($B821:$D821,AF$5)="F",AND(AF$6&gt;0,$A821&lt;AF$6),AND(AF$7&gt;0,$A821&gt;AF$7)),0,MAX(0,ROUND((INDEX($E821:$G821,AF$5)-SUMIFS(TF_Timer,TF_Tekniker,AF$4,TF_Dato,$A821))*2,0)/2)))</f>
        <v/>
      </c>
      <c r="AG821">
        <f>IF(OR(AG$4="",$A821&gt;TODAY()),0,IF(OR(INDEX($B821:$D821,AG$5)="F",AND(AG$6&gt;0,$A821&lt;AG$6),AND(AG$7&gt;0,$A821&gt;AG$7)),0,MAX(0,ROUND((INDEX($E821:$G821,AG$5)-SUMIFS(TF_Timer,TF_Tekniker,AG$4,TF_Dato,$A821))*2,0)/2)))</f>
        <v/>
      </c>
      <c r="AH821">
        <f>IF(OR(AH$4="",$A821&gt;TODAY()),0,IF(OR(INDEX($B821:$D821,AH$5)="F",AND(AH$6&gt;0,$A821&lt;AH$6),AND(AH$7&gt;0,$A821&gt;AH$7)),0,MAX(0,ROUND((INDEX($E821:$G821,AH$5)-SUMIFS(TF_Timer,TF_Tekniker,AH$4,TF_Dato,$A821))*2,0)/2)))</f>
        <v/>
      </c>
      <c r="AI821">
        <f>IF(OR(AI$4="",$A821&gt;TODAY()),0,IF(OR(INDEX($B821:$D821,AI$5)="F",AND(AI$6&gt;0,$A821&lt;AI$6),AND(AI$7&gt;0,$A821&gt;AI$7)),0,MAX(0,ROUND((INDEX($E821:$G821,AI$5)-SUMIFS(TF_Timer,TF_Tekniker,AI$4,TF_Dato,$A821))*2,0)/2)))</f>
        <v/>
      </c>
      <c r="AJ821">
        <f>IF(OR(AJ$4="",$A821&gt;TODAY()),0,IF(OR(INDEX($B821:$D821,AJ$5)="F",AND(AJ$6&gt;0,$A821&lt;AJ$6),AND(AJ$7&gt;0,$A821&gt;AJ$7)),0,MAX(0,ROUND((INDEX($E821:$G821,AJ$5)-SUMIFS(TF_Timer,TF_Tekniker,AJ$4,TF_Dato,$A821))*2,0)/2)))</f>
        <v/>
      </c>
      <c r="AK821">
        <f>IF(OR(AK$4="",$A821&gt;TODAY()),0,IF(OR(INDEX($B821:$D821,AK$5)="F",AND(AK$6&gt;0,$A821&lt;AK$6),AND(AK$7&gt;0,$A821&gt;AK$7)),0,MAX(0,ROUND((INDEX($E821:$G821,AK$5)-SUMIFS(TF_Timer,TF_Tekniker,AK$4,TF_Dato,$A821))*2,0)/2)))</f>
        <v/>
      </c>
      <c r="AL821">
        <f>IF(OR(AL$4="",$A821&gt;TODAY()),0,IF(OR(INDEX($B821:$D821,AL$5)="F",AND(AL$6&gt;0,$A821&lt;AL$6),AND(AL$7&gt;0,$A821&gt;AL$7)),0,MAX(0,ROUND((INDEX($E821:$G821,AL$5)-SUMIFS(TF_Timer,TF_Tekniker,AL$4,TF_Dato,$A821))*2,0)/2)))</f>
        <v/>
      </c>
      <c r="AM821">
        <f>IF(OR(AM$4="",$A821&gt;TODAY()),0,IF(OR(INDEX($B821:$D821,AM$5)="F",AND(AM$6&gt;0,$A821&lt;AM$6),AND(AM$7&gt;0,$A821&gt;AM$7)),0,MAX(0,ROUND((INDEX($E821:$G821,AM$5)-SUMIFS(TF_Timer,TF_Tekniker,AM$4,TF_Dato,$A821))*2,0)/2)))</f>
        <v/>
      </c>
      <c r="AN821">
        <f>IF(OR(AN$4="",$A821&gt;TODAY()),0,IF(OR(INDEX($B821:$D821,AN$5)="F",AND(AN$6&gt;0,$A821&lt;AN$6),AND(AN$7&gt;0,$A821&gt;AN$7)),0,MAX(0,ROUND((INDEX($E821:$G821,AN$5)-SUMIFS(TF_Timer,TF_Tekniker,AN$4,TF_Dato,$A821))*2,0)/2)))</f>
        <v/>
      </c>
      <c r="AO821">
        <f>IF(OR(AO$4="",$A821&gt;TODAY()),0,IF(OR(INDEX($B821:$D821,AO$5)="F",AND(AO$6&gt;0,$A821&lt;AO$6),AND(AO$7&gt;0,$A821&gt;AO$7)),0,MAX(0,ROUND((INDEX($E821:$G821,AO$5)-SUMIFS(TF_Timer,TF_Tekniker,AO$4,TF_Dato,$A821))*2,0)/2)))</f>
        <v/>
      </c>
      <c r="AP821">
        <f>IF(OR(AP$4="",$A821&gt;TODAY()),0,IF(OR(INDEX($B821:$D821,AP$5)="F",AND(AP$6&gt;0,$A821&lt;AP$6),AND(AP$7&gt;0,$A821&gt;AP$7)),0,MAX(0,ROUND((INDEX($E821:$G821,AP$5)-SUMIFS(TF_Timer,TF_Tekniker,AP$4,TF_Dato,$A821))*2,0)/2)))</f>
        <v/>
      </c>
      <c r="AQ821">
        <f>IF(OR(AQ$4="",$A821&gt;TODAY()),0,IF(OR(INDEX($B821:$D821,AQ$5)="F",AND(AQ$6&gt;0,$A821&lt;AQ$6),AND(AQ$7&gt;0,$A821&gt;AQ$7)),0,MAX(0,ROUND((INDEX($E821:$G821,AQ$5)-SUMIFS(TF_Timer,TF_Tekniker,AQ$4,TF_Dato,$A821))*2,0)/2)))</f>
        <v/>
      </c>
      <c r="AR821">
        <f>IF(OR(AR$4="",$A821&gt;TODAY()),0,IF(OR(INDEX($B821:$D821,AR$5)="F",AND(AR$6&gt;0,$A821&lt;AR$6),AND(AR$7&gt;0,$A821&gt;AR$7)),0,MAX(0,ROUND((INDEX($E821:$G821,AR$5)-SUMIFS(TF_Timer,TF_Tekniker,AR$4,TF_Dato,$A821))*2,0)/2)))</f>
        <v/>
      </c>
      <c r="AS821">
        <f>IF(OR(AS$4="",$A821&gt;TODAY()),0,IF(OR(INDEX($B821:$D821,AS$5)="F",AND(AS$6&gt;0,$A821&lt;AS$6),AND(AS$7&gt;0,$A821&gt;AS$7)),0,MAX(0,ROUND((INDEX($E821:$G821,AS$5)-SUMIFS(TF_Timer,TF_Tekniker,AS$4,TF_Dato,$A821))*2,0)/2)))</f>
        <v/>
      </c>
      <c r="AT821">
        <f>IF(OR(AT$4="",$A821&gt;TODAY()),0,IF(OR(INDEX($B821:$D821,AT$5)="F",AND(AT$6&gt;0,$A821&lt;AT$6),AND(AT$7&gt;0,$A821&gt;AT$7)),0,MAX(0,ROUND((INDEX($E821:$G821,AT$5)-SUMIFS(TF_Timer,TF_Tekniker,AT$4,TF_Dato,$A821))*2,0)/2)))</f>
        <v/>
      </c>
      <c r="AU821">
        <f>IF(OR(AU$4="",$A821&gt;TODAY()),0,IF(OR(INDEX($B821:$D821,AU$5)="F",AND(AU$6&gt;0,$A821&lt;AU$6),AND(AU$7&gt;0,$A821&gt;AU$7)),0,MAX(0,ROUND((INDEX($E821:$G821,AU$5)-SUMIFS(TF_Timer,TF_Tekniker,AU$4,TF_Dato,$A821))*2,0)/2)))</f>
        <v/>
      </c>
      <c r="AV821">
        <f>IF(OR(AV$4="",$A821&gt;TODAY()),0,IF(OR(INDEX($B821:$D821,AV$5)="F",AND(AV$6&gt;0,$A821&lt;AV$6),AND(AV$7&gt;0,$A821&gt;AV$7)),0,MAX(0,ROUND((INDEX($E821:$G821,AV$5)-SUMIFS(TF_Timer,TF_Tekniker,AV$4,TF_Dato,$A821))*2,0)/2)))</f>
        <v/>
      </c>
      <c r="AW821">
        <f>IF(OR(AW$4="",$A821&gt;TODAY()),0,IF(OR(INDEX($B821:$D821,AW$5)="F",AND(AW$6&gt;0,$A821&lt;AW$6),AND(AW$7&gt;0,$A821&gt;AW$7)),0,MAX(0,ROUND((INDEX($E821:$G821,AW$5)-SUMIFS(TF_Timer,TF_Tekniker,AW$4,TF_Dato,$A821))*2,0)/2)))</f>
        <v/>
      </c>
      <c r="AX821">
        <f>IF(OR(AX$4="",$A821&gt;TODAY()),0,IF(OR(INDEX($B821:$D821,AX$5)="F",AND(AX$6&gt;0,$A821&lt;AX$6),AND(AX$7&gt;0,$A821&gt;AX$7)),0,MAX(0,ROUND((INDEX($E821:$G821,AX$5)-SUMIFS(TF_Timer,TF_Tekniker,AX$4,TF_Dato,$A821))*2,0)/2)))</f>
        <v/>
      </c>
      <c r="AY821">
        <f>IF(OR(AY$4="",$A821&gt;TODAY()),0,IF(OR(INDEX($B821:$D821,AY$5)="F",AND(AY$6&gt;0,$A821&lt;AY$6),AND(AY$7&gt;0,$A821&gt;AY$7)),0,MAX(0,ROUND((INDEX($E821:$G821,AY$5)-SUMIFS(TF_Timer,TF_Tekniker,AY$4,TF_Dato,$A821))*2,0)/2)))</f>
        <v/>
      </c>
      <c r="AZ821">
        <f>IF(OR(AZ$4="",$A821&gt;TODAY()),0,IF(OR(INDEX($B821:$D821,AZ$5)="F",AND(AZ$6&gt;0,$A821&lt;AZ$6),AND(AZ$7&gt;0,$A821&gt;AZ$7)),0,MAX(0,ROUND((INDEX($E821:$G821,AZ$5)-SUMIFS(TF_Timer,TF_Tekniker,AZ$4,TF_Dato,$A821))*2,0)/2)))</f>
        <v/>
      </c>
      <c r="BA821">
        <f>IF(OR(BA$4="",$A821&gt;TODAY()),0,IF(OR(INDEX($B821:$D821,BA$5)="F",AND(BA$6&gt;0,$A821&lt;BA$6),AND(BA$7&gt;0,$A821&gt;BA$7)),0,MAX(0,ROUND((INDEX($E821:$G821,BA$5)-SUMIFS(TF_Timer,TF_Tekniker,BA$4,TF_Dato,$A821))*2,0)/2)))</f>
        <v/>
      </c>
      <c r="BB821">
        <f>IF(OR(BB$4="",$A821&gt;TODAY()),0,IF(OR(INDEX($B821:$D821,BB$5)="F",AND(BB$6&gt;0,$A821&lt;BB$6),AND(BB$7&gt;0,$A821&gt;BB$7)),0,MAX(0,ROUND((INDEX($E821:$G821,BB$5)-SUMIFS(TF_Timer,TF_Tekniker,BB$4,TF_Dato,$A821))*2,0)/2)))</f>
        <v/>
      </c>
      <c r="BC821">
        <f>IF(OR(BC$4="",$A821&gt;TODAY()),0,IF(OR(INDEX($B821:$D821,BC$5)="F",AND(BC$6&gt;0,$A821&lt;BC$6),AND(BC$7&gt;0,$A821&gt;BC$7)),0,MAX(0,ROUND((INDEX($E821:$G821,BC$5)-SUMIFS(TF_Timer,TF_Tekniker,BC$4,TF_Dato,$A821))*2,0)/2)))</f>
        <v/>
      </c>
      <c r="BD821">
        <f>IF(OR(BD$4="",$A821&gt;TODAY()),0,IF(OR(INDEX($B821:$D821,BD$5)="F",AND(BD$6&gt;0,$A821&lt;BD$6),AND(BD$7&gt;0,$A821&gt;BD$7)),0,MAX(0,ROUND((INDEX($E821:$G821,BD$5)-SUMIFS(TF_Timer,TF_Tekniker,BD$4,TF_Dato,$A821))*2,0)/2)))</f>
        <v/>
      </c>
      <c r="BE821">
        <f>IF(OR(BE$4="",$A821&gt;TODAY()),0,IF(OR(INDEX($B821:$D821,BE$5)="F",AND(BE$6&gt;0,$A821&lt;BE$6),AND(BE$7&gt;0,$A821&gt;BE$7)),0,MAX(0,ROUND((INDEX($E821:$G821,BE$5)-SUMIFS(TF_Timer,TF_Tekniker,BE$4,TF_Dato,$A821))*2,0)/2)))</f>
        <v/>
      </c>
      <c r="BF821">
        <f>IF(OR(BF$4="",$A821&gt;TODAY()),0,IF(OR(INDEX($B821:$D821,BF$5)="F",AND(BF$6&gt;0,$A821&lt;BF$6),AND(BF$7&gt;0,$A821&gt;BF$7)),0,MAX(0,ROUND((INDEX($E821:$G821,BF$5)-SUMIFS(TF_Timer,TF_Tekniker,BF$4,TF_Dato,$A821))*2,0)/2)))</f>
        <v/>
      </c>
      <c r="BG821">
        <f>IF(OR(BG$4="",$A821&gt;TODAY()),0,IF(OR(INDEX($B821:$D821,BG$5)="F",AND(BG$6&gt;0,$A821&lt;BG$6),AND(BG$7&gt;0,$A821&gt;BG$7)),0,MAX(0,ROUND((INDEX($E821:$G821,BG$5)-SUMIFS(TF_Timer,TF_Tekniker,BG$4,TF_Dato,$A821))*2,0)/2)))</f>
        <v/>
      </c>
      <c r="BH821">
        <f>IF(OR(BH$4="",$A821&gt;TODAY()),0,IF(OR(INDEX($B821:$D821,BH$5)="F",AND(BH$6&gt;0,$A821&lt;BH$6),AND(BH$7&gt;0,$A821&gt;BH$7)),0,MAX(0,ROUND((INDEX($E821:$G821,BH$5)-SUMIFS(TF_Timer,TF_Tekniker,BH$4,TF_Dato,$A821))*2,0)/2)))</f>
        <v/>
      </c>
      <c r="BI821">
        <f>IF(OR(BI$4="",$A821&gt;TODAY()),0,IF(OR(INDEX($B821:$D821,BI$5)="F",AND(BI$6&gt;0,$A821&lt;BI$6),AND(BI$7&gt;0,$A821&gt;BI$7)),0,MAX(0,ROUND((INDEX($E821:$G821,BI$5)-SUMIFS(TF_Timer,TF_Tekniker,BI$4,TF_Dato,$A821))*2,0)/2)))</f>
        <v/>
      </c>
    </row>
    <row r="822">
      <c r="A822" s="64">
        <f>A821+1</f>
        <v/>
      </c>
      <c r="B822">
        <f>IF(MOD($A822-INDEX(SkiftStart,1),Syklus)&lt;DagK,"K",IF(MOD($A822-INDEX(SkiftStart,1),Syklus)&lt;DagK+DagH,"H",IF(MOD($A822-INDEX(SkiftStart,1),Syklus)&lt;DagK+DagH+DagD,"D","F")))</f>
        <v/>
      </c>
      <c r="C822">
        <f>IF(MOD($A822-INDEX(SkiftStart,2),Syklus)&lt;DagK,"K",IF(MOD($A822-INDEX(SkiftStart,2),Syklus)&lt;DagK+DagH,"H",IF(MOD($A822-INDEX(SkiftStart,2),Syklus)&lt;DagK+DagH+DagD,"D","F")))</f>
        <v/>
      </c>
      <c r="D822">
        <f>IF(MOD($A822-INDEX(SkiftStart,3),Syklus)&lt;DagK,"K",IF(MOD($A822-INDEX(SkiftStart,3),Syklus)&lt;DagK+DagH,"H",IF(MOD($A822-INDEX(SkiftStart,3),Syklus)&lt;DagK+DagH+DagD,"D","F")))</f>
        <v/>
      </c>
      <c r="E822">
        <f>IF(B822="F",0,IF(WEEKDAY($A822,2)=5,INDEX(TimerFr,MATCH(B822,FaseKode,0)),INDEX(TimerMT,MATCH(B822,FaseKode,0))))</f>
        <v/>
      </c>
      <c r="F822">
        <f>IF(C822="F",0,IF(WEEKDAY($A822,2)=5,INDEX(TimerFr,MATCH(C822,FaseKode,0)),INDEX(TimerMT,MATCH(C822,FaseKode,0))))</f>
        <v/>
      </c>
      <c r="G822">
        <f>IF(D822="F",0,IF(WEEKDAY($A822,2)=5,INDEX(TimerFr,MATCH(D822,FaseKode,0)),INDEX(TimerMT,MATCH(D822,FaseKode,0))))</f>
        <v/>
      </c>
      <c r="H822">
        <f>IF(OR(H$4="",$A822&gt;TODAY()),0,IF(OR(INDEX($B822:$D822,H$5)="F",AND(H$6&gt;0,$A822&lt;H$6),AND(H$7&gt;0,$A822&gt;H$7)),0,MAX(0,ROUND((INDEX($E822:$G822,H$5)-SUMIFS(TF_Timer,TF_Tekniker,H$4,TF_Dato,$A822))*2,0)/2)))</f>
        <v/>
      </c>
      <c r="I822">
        <f>IF(OR(I$4="",$A822&gt;TODAY()),0,IF(OR(INDEX($B822:$D822,I$5)="F",AND(I$6&gt;0,$A822&lt;I$6),AND(I$7&gt;0,$A822&gt;I$7)),0,MAX(0,ROUND((INDEX($E822:$G822,I$5)-SUMIFS(TF_Timer,TF_Tekniker,I$4,TF_Dato,$A822))*2,0)/2)))</f>
        <v/>
      </c>
      <c r="J822">
        <f>IF(OR(J$4="",$A822&gt;TODAY()),0,IF(OR(INDEX($B822:$D822,J$5)="F",AND(J$6&gt;0,$A822&lt;J$6),AND(J$7&gt;0,$A822&gt;J$7)),0,MAX(0,ROUND((INDEX($E822:$G822,J$5)-SUMIFS(TF_Timer,TF_Tekniker,J$4,TF_Dato,$A822))*2,0)/2)))</f>
        <v/>
      </c>
      <c r="K822">
        <f>IF(OR(K$4="",$A822&gt;TODAY()),0,IF(OR(INDEX($B822:$D822,K$5)="F",AND(K$6&gt;0,$A822&lt;K$6),AND(K$7&gt;0,$A822&gt;K$7)),0,MAX(0,ROUND((INDEX($E822:$G822,K$5)-SUMIFS(TF_Timer,TF_Tekniker,K$4,TF_Dato,$A822))*2,0)/2)))</f>
        <v/>
      </c>
      <c r="L822">
        <f>IF(OR(L$4="",$A822&gt;TODAY()),0,IF(OR(INDEX($B822:$D822,L$5)="F",AND(L$6&gt;0,$A822&lt;L$6),AND(L$7&gt;0,$A822&gt;L$7)),0,MAX(0,ROUND((INDEX($E822:$G822,L$5)-SUMIFS(TF_Timer,TF_Tekniker,L$4,TF_Dato,$A822))*2,0)/2)))</f>
        <v/>
      </c>
      <c r="M822">
        <f>IF(OR(M$4="",$A822&gt;TODAY()),0,IF(OR(INDEX($B822:$D822,M$5)="F",AND(M$6&gt;0,$A822&lt;M$6),AND(M$7&gt;0,$A822&gt;M$7)),0,MAX(0,ROUND((INDEX($E822:$G822,M$5)-SUMIFS(TF_Timer,TF_Tekniker,M$4,TF_Dato,$A822))*2,0)/2)))</f>
        <v/>
      </c>
      <c r="N822">
        <f>IF(OR(N$4="",$A822&gt;TODAY()),0,IF(OR(INDEX($B822:$D822,N$5)="F",AND(N$6&gt;0,$A822&lt;N$6),AND(N$7&gt;0,$A822&gt;N$7)),0,MAX(0,ROUND((INDEX($E822:$G822,N$5)-SUMIFS(TF_Timer,TF_Tekniker,N$4,TF_Dato,$A822))*2,0)/2)))</f>
        <v/>
      </c>
      <c r="O822">
        <f>IF(OR(O$4="",$A822&gt;TODAY()),0,IF(OR(INDEX($B822:$D822,O$5)="F",AND(O$6&gt;0,$A822&lt;O$6),AND(O$7&gt;0,$A822&gt;O$7)),0,MAX(0,ROUND((INDEX($E822:$G822,O$5)-SUMIFS(TF_Timer,TF_Tekniker,O$4,TF_Dato,$A822))*2,0)/2)))</f>
        <v/>
      </c>
      <c r="P822">
        <f>IF(OR(P$4="",$A822&gt;TODAY()),0,IF(OR(INDEX($B822:$D822,P$5)="F",AND(P$6&gt;0,$A822&lt;P$6),AND(P$7&gt;0,$A822&gt;P$7)),0,MAX(0,ROUND((INDEX($E822:$G822,P$5)-SUMIFS(TF_Timer,TF_Tekniker,P$4,TF_Dato,$A822))*2,0)/2)))</f>
        <v/>
      </c>
      <c r="Q822">
        <f>IF(OR(Q$4="",$A822&gt;TODAY()),0,IF(OR(INDEX($B822:$D822,Q$5)="F",AND(Q$6&gt;0,$A822&lt;Q$6),AND(Q$7&gt;0,$A822&gt;Q$7)),0,MAX(0,ROUND((INDEX($E822:$G822,Q$5)-SUMIFS(TF_Timer,TF_Tekniker,Q$4,TF_Dato,$A822))*2,0)/2)))</f>
        <v/>
      </c>
      <c r="R822">
        <f>IF(OR(R$4="",$A822&gt;TODAY()),0,IF(OR(INDEX($B822:$D822,R$5)="F",AND(R$6&gt;0,$A822&lt;R$6),AND(R$7&gt;0,$A822&gt;R$7)),0,MAX(0,ROUND((INDEX($E822:$G822,R$5)-SUMIFS(TF_Timer,TF_Tekniker,R$4,TF_Dato,$A822))*2,0)/2)))</f>
        <v/>
      </c>
      <c r="S822">
        <f>IF(OR(S$4="",$A822&gt;TODAY()),0,IF(OR(INDEX($B822:$D822,S$5)="F",AND(S$6&gt;0,$A822&lt;S$6),AND(S$7&gt;0,$A822&gt;S$7)),0,MAX(0,ROUND((INDEX($E822:$G822,S$5)-SUMIFS(TF_Timer,TF_Tekniker,S$4,TF_Dato,$A822))*2,0)/2)))</f>
        <v/>
      </c>
      <c r="T822">
        <f>IF(OR(T$4="",$A822&gt;TODAY()),0,IF(OR(INDEX($B822:$D822,T$5)="F",AND(T$6&gt;0,$A822&lt;T$6),AND(T$7&gt;0,$A822&gt;T$7)),0,MAX(0,ROUND((INDEX($E822:$G822,T$5)-SUMIFS(TF_Timer,TF_Tekniker,T$4,TF_Dato,$A822))*2,0)/2)))</f>
        <v/>
      </c>
      <c r="U822">
        <f>IF(OR(U$4="",$A822&gt;TODAY()),0,IF(OR(INDEX($B822:$D822,U$5)="F",AND(U$6&gt;0,$A822&lt;U$6),AND(U$7&gt;0,$A822&gt;U$7)),0,MAX(0,ROUND((INDEX($E822:$G822,U$5)-SUMIFS(TF_Timer,TF_Tekniker,U$4,TF_Dato,$A822))*2,0)/2)))</f>
        <v/>
      </c>
      <c r="V822">
        <f>IF(OR(V$4="",$A822&gt;TODAY()),0,IF(OR(INDEX($B822:$D822,V$5)="F",AND(V$6&gt;0,$A822&lt;V$6),AND(V$7&gt;0,$A822&gt;V$7)),0,MAX(0,ROUND((INDEX($E822:$G822,V$5)-SUMIFS(TF_Timer,TF_Tekniker,V$4,TF_Dato,$A822))*2,0)/2)))</f>
        <v/>
      </c>
      <c r="W822">
        <f>IF(OR(W$4="",$A822&gt;TODAY()),0,IF(OR(INDEX($B822:$D822,W$5)="F",AND(W$6&gt;0,$A822&lt;W$6),AND(W$7&gt;0,$A822&gt;W$7)),0,MAX(0,ROUND((INDEX($E822:$G822,W$5)-SUMIFS(TF_Timer,TF_Tekniker,W$4,TF_Dato,$A822))*2,0)/2)))</f>
        <v/>
      </c>
      <c r="X822">
        <f>IF(OR(X$4="",$A822&gt;TODAY()),0,IF(OR(INDEX($B822:$D822,X$5)="F",AND(X$6&gt;0,$A822&lt;X$6),AND(X$7&gt;0,$A822&gt;X$7)),0,MAX(0,ROUND((INDEX($E822:$G822,X$5)-SUMIFS(TF_Timer,TF_Tekniker,X$4,TF_Dato,$A822))*2,0)/2)))</f>
        <v/>
      </c>
      <c r="Y822">
        <f>IF(OR(Y$4="",$A822&gt;TODAY()),0,IF(OR(INDEX($B822:$D822,Y$5)="F",AND(Y$6&gt;0,$A822&lt;Y$6),AND(Y$7&gt;0,$A822&gt;Y$7)),0,MAX(0,ROUND((INDEX($E822:$G822,Y$5)-SUMIFS(TF_Timer,TF_Tekniker,Y$4,TF_Dato,$A822))*2,0)/2)))</f>
        <v/>
      </c>
      <c r="Z822">
        <f>IF(OR(Z$4="",$A822&gt;TODAY()),0,IF(OR(INDEX($B822:$D822,Z$5)="F",AND(Z$6&gt;0,$A822&lt;Z$6),AND(Z$7&gt;0,$A822&gt;Z$7)),0,MAX(0,ROUND((INDEX($E822:$G822,Z$5)-SUMIFS(TF_Timer,TF_Tekniker,Z$4,TF_Dato,$A822))*2,0)/2)))</f>
        <v/>
      </c>
      <c r="AA822">
        <f>IF(OR(AA$4="",$A822&gt;TODAY()),0,IF(OR(INDEX($B822:$D822,AA$5)="F",AND(AA$6&gt;0,$A822&lt;AA$6),AND(AA$7&gt;0,$A822&gt;AA$7)),0,MAX(0,ROUND((INDEX($E822:$G822,AA$5)-SUMIFS(TF_Timer,TF_Tekniker,AA$4,TF_Dato,$A822))*2,0)/2)))</f>
        <v/>
      </c>
      <c r="AB822">
        <f>IF(OR(AB$4="",$A822&gt;TODAY()),0,IF(OR(INDEX($B822:$D822,AB$5)="F",AND(AB$6&gt;0,$A822&lt;AB$6),AND(AB$7&gt;0,$A822&gt;AB$7)),0,MAX(0,ROUND((INDEX($E822:$G822,AB$5)-SUMIFS(TF_Timer,TF_Tekniker,AB$4,TF_Dato,$A822))*2,0)/2)))</f>
        <v/>
      </c>
      <c r="AC822">
        <f>IF(OR(AC$4="",$A822&gt;TODAY()),0,IF(OR(INDEX($B822:$D822,AC$5)="F",AND(AC$6&gt;0,$A822&lt;AC$6),AND(AC$7&gt;0,$A822&gt;AC$7)),0,MAX(0,ROUND((INDEX($E822:$G822,AC$5)-SUMIFS(TF_Timer,TF_Tekniker,AC$4,TF_Dato,$A822))*2,0)/2)))</f>
        <v/>
      </c>
      <c r="AD822">
        <f>IF(OR(AD$4="",$A822&gt;TODAY()),0,IF(OR(INDEX($B822:$D822,AD$5)="F",AND(AD$6&gt;0,$A822&lt;AD$6),AND(AD$7&gt;0,$A822&gt;AD$7)),0,MAX(0,ROUND((INDEX($E822:$G822,AD$5)-SUMIFS(TF_Timer,TF_Tekniker,AD$4,TF_Dato,$A822))*2,0)/2)))</f>
        <v/>
      </c>
      <c r="AE822">
        <f>IF(OR(AE$4="",$A822&gt;TODAY()),0,IF(OR(INDEX($B822:$D822,AE$5)="F",AND(AE$6&gt;0,$A822&lt;AE$6),AND(AE$7&gt;0,$A822&gt;AE$7)),0,MAX(0,ROUND((INDEX($E822:$G822,AE$5)-SUMIFS(TF_Timer,TF_Tekniker,AE$4,TF_Dato,$A822))*2,0)/2)))</f>
        <v/>
      </c>
      <c r="AF822">
        <f>IF(OR(AF$4="",$A822&gt;TODAY()),0,IF(OR(INDEX($B822:$D822,AF$5)="F",AND(AF$6&gt;0,$A822&lt;AF$6),AND(AF$7&gt;0,$A822&gt;AF$7)),0,MAX(0,ROUND((INDEX($E822:$G822,AF$5)-SUMIFS(TF_Timer,TF_Tekniker,AF$4,TF_Dato,$A822))*2,0)/2)))</f>
        <v/>
      </c>
      <c r="AG822">
        <f>IF(OR(AG$4="",$A822&gt;TODAY()),0,IF(OR(INDEX($B822:$D822,AG$5)="F",AND(AG$6&gt;0,$A822&lt;AG$6),AND(AG$7&gt;0,$A822&gt;AG$7)),0,MAX(0,ROUND((INDEX($E822:$G822,AG$5)-SUMIFS(TF_Timer,TF_Tekniker,AG$4,TF_Dato,$A822))*2,0)/2)))</f>
        <v/>
      </c>
      <c r="AH822">
        <f>IF(OR(AH$4="",$A822&gt;TODAY()),0,IF(OR(INDEX($B822:$D822,AH$5)="F",AND(AH$6&gt;0,$A822&lt;AH$6),AND(AH$7&gt;0,$A822&gt;AH$7)),0,MAX(0,ROUND((INDEX($E822:$G822,AH$5)-SUMIFS(TF_Timer,TF_Tekniker,AH$4,TF_Dato,$A822))*2,0)/2)))</f>
        <v/>
      </c>
      <c r="AI822">
        <f>IF(OR(AI$4="",$A822&gt;TODAY()),0,IF(OR(INDEX($B822:$D822,AI$5)="F",AND(AI$6&gt;0,$A822&lt;AI$6),AND(AI$7&gt;0,$A822&gt;AI$7)),0,MAX(0,ROUND((INDEX($E822:$G822,AI$5)-SUMIFS(TF_Timer,TF_Tekniker,AI$4,TF_Dato,$A822))*2,0)/2)))</f>
        <v/>
      </c>
      <c r="AJ822">
        <f>IF(OR(AJ$4="",$A822&gt;TODAY()),0,IF(OR(INDEX($B822:$D822,AJ$5)="F",AND(AJ$6&gt;0,$A822&lt;AJ$6),AND(AJ$7&gt;0,$A822&gt;AJ$7)),0,MAX(0,ROUND((INDEX($E822:$G822,AJ$5)-SUMIFS(TF_Timer,TF_Tekniker,AJ$4,TF_Dato,$A822))*2,0)/2)))</f>
        <v/>
      </c>
      <c r="AK822">
        <f>IF(OR(AK$4="",$A822&gt;TODAY()),0,IF(OR(INDEX($B822:$D822,AK$5)="F",AND(AK$6&gt;0,$A822&lt;AK$6),AND(AK$7&gt;0,$A822&gt;AK$7)),0,MAX(0,ROUND((INDEX($E822:$G822,AK$5)-SUMIFS(TF_Timer,TF_Tekniker,AK$4,TF_Dato,$A822))*2,0)/2)))</f>
        <v/>
      </c>
      <c r="AL822">
        <f>IF(OR(AL$4="",$A822&gt;TODAY()),0,IF(OR(INDEX($B822:$D822,AL$5)="F",AND(AL$6&gt;0,$A822&lt;AL$6),AND(AL$7&gt;0,$A822&gt;AL$7)),0,MAX(0,ROUND((INDEX($E822:$G822,AL$5)-SUMIFS(TF_Timer,TF_Tekniker,AL$4,TF_Dato,$A822))*2,0)/2)))</f>
        <v/>
      </c>
      <c r="AM822">
        <f>IF(OR(AM$4="",$A822&gt;TODAY()),0,IF(OR(INDEX($B822:$D822,AM$5)="F",AND(AM$6&gt;0,$A822&lt;AM$6),AND(AM$7&gt;0,$A822&gt;AM$7)),0,MAX(0,ROUND((INDEX($E822:$G822,AM$5)-SUMIFS(TF_Timer,TF_Tekniker,AM$4,TF_Dato,$A822))*2,0)/2)))</f>
        <v/>
      </c>
      <c r="AN822">
        <f>IF(OR(AN$4="",$A822&gt;TODAY()),0,IF(OR(INDEX($B822:$D822,AN$5)="F",AND(AN$6&gt;0,$A822&lt;AN$6),AND(AN$7&gt;0,$A822&gt;AN$7)),0,MAX(0,ROUND((INDEX($E822:$G822,AN$5)-SUMIFS(TF_Timer,TF_Tekniker,AN$4,TF_Dato,$A822))*2,0)/2)))</f>
        <v/>
      </c>
      <c r="AO822">
        <f>IF(OR(AO$4="",$A822&gt;TODAY()),0,IF(OR(INDEX($B822:$D822,AO$5)="F",AND(AO$6&gt;0,$A822&lt;AO$6),AND(AO$7&gt;0,$A822&gt;AO$7)),0,MAX(0,ROUND((INDEX($E822:$G822,AO$5)-SUMIFS(TF_Timer,TF_Tekniker,AO$4,TF_Dato,$A822))*2,0)/2)))</f>
        <v/>
      </c>
      <c r="AP822">
        <f>IF(OR(AP$4="",$A822&gt;TODAY()),0,IF(OR(INDEX($B822:$D822,AP$5)="F",AND(AP$6&gt;0,$A822&lt;AP$6),AND(AP$7&gt;0,$A822&gt;AP$7)),0,MAX(0,ROUND((INDEX($E822:$G822,AP$5)-SUMIFS(TF_Timer,TF_Tekniker,AP$4,TF_Dato,$A822))*2,0)/2)))</f>
        <v/>
      </c>
      <c r="AQ822">
        <f>IF(OR(AQ$4="",$A822&gt;TODAY()),0,IF(OR(INDEX($B822:$D822,AQ$5)="F",AND(AQ$6&gt;0,$A822&lt;AQ$6),AND(AQ$7&gt;0,$A822&gt;AQ$7)),0,MAX(0,ROUND((INDEX($E822:$G822,AQ$5)-SUMIFS(TF_Timer,TF_Tekniker,AQ$4,TF_Dato,$A822))*2,0)/2)))</f>
        <v/>
      </c>
      <c r="AR822">
        <f>IF(OR(AR$4="",$A822&gt;TODAY()),0,IF(OR(INDEX($B822:$D822,AR$5)="F",AND(AR$6&gt;0,$A822&lt;AR$6),AND(AR$7&gt;0,$A822&gt;AR$7)),0,MAX(0,ROUND((INDEX($E822:$G822,AR$5)-SUMIFS(TF_Timer,TF_Tekniker,AR$4,TF_Dato,$A822))*2,0)/2)))</f>
        <v/>
      </c>
      <c r="AS822">
        <f>IF(OR(AS$4="",$A822&gt;TODAY()),0,IF(OR(INDEX($B822:$D822,AS$5)="F",AND(AS$6&gt;0,$A822&lt;AS$6),AND(AS$7&gt;0,$A822&gt;AS$7)),0,MAX(0,ROUND((INDEX($E822:$G822,AS$5)-SUMIFS(TF_Timer,TF_Tekniker,AS$4,TF_Dato,$A822))*2,0)/2)))</f>
        <v/>
      </c>
      <c r="AT822">
        <f>IF(OR(AT$4="",$A822&gt;TODAY()),0,IF(OR(INDEX($B822:$D822,AT$5)="F",AND(AT$6&gt;0,$A822&lt;AT$6),AND(AT$7&gt;0,$A822&gt;AT$7)),0,MAX(0,ROUND((INDEX($E822:$G822,AT$5)-SUMIFS(TF_Timer,TF_Tekniker,AT$4,TF_Dato,$A822))*2,0)/2)))</f>
        <v/>
      </c>
      <c r="AU822">
        <f>IF(OR(AU$4="",$A822&gt;TODAY()),0,IF(OR(INDEX($B822:$D822,AU$5)="F",AND(AU$6&gt;0,$A822&lt;AU$6),AND(AU$7&gt;0,$A822&gt;AU$7)),0,MAX(0,ROUND((INDEX($E822:$G822,AU$5)-SUMIFS(TF_Timer,TF_Tekniker,AU$4,TF_Dato,$A822))*2,0)/2)))</f>
        <v/>
      </c>
      <c r="AV822">
        <f>IF(OR(AV$4="",$A822&gt;TODAY()),0,IF(OR(INDEX($B822:$D822,AV$5)="F",AND(AV$6&gt;0,$A822&lt;AV$6),AND(AV$7&gt;0,$A822&gt;AV$7)),0,MAX(0,ROUND((INDEX($E822:$G822,AV$5)-SUMIFS(TF_Timer,TF_Tekniker,AV$4,TF_Dato,$A822))*2,0)/2)))</f>
        <v/>
      </c>
      <c r="AW822">
        <f>IF(OR(AW$4="",$A822&gt;TODAY()),0,IF(OR(INDEX($B822:$D822,AW$5)="F",AND(AW$6&gt;0,$A822&lt;AW$6),AND(AW$7&gt;0,$A822&gt;AW$7)),0,MAX(0,ROUND((INDEX($E822:$G822,AW$5)-SUMIFS(TF_Timer,TF_Tekniker,AW$4,TF_Dato,$A822))*2,0)/2)))</f>
        <v/>
      </c>
      <c r="AX822">
        <f>IF(OR(AX$4="",$A822&gt;TODAY()),0,IF(OR(INDEX($B822:$D822,AX$5)="F",AND(AX$6&gt;0,$A822&lt;AX$6),AND(AX$7&gt;0,$A822&gt;AX$7)),0,MAX(0,ROUND((INDEX($E822:$G822,AX$5)-SUMIFS(TF_Timer,TF_Tekniker,AX$4,TF_Dato,$A822))*2,0)/2)))</f>
        <v/>
      </c>
      <c r="AY822">
        <f>IF(OR(AY$4="",$A822&gt;TODAY()),0,IF(OR(INDEX($B822:$D822,AY$5)="F",AND(AY$6&gt;0,$A822&lt;AY$6),AND(AY$7&gt;0,$A822&gt;AY$7)),0,MAX(0,ROUND((INDEX($E822:$G822,AY$5)-SUMIFS(TF_Timer,TF_Tekniker,AY$4,TF_Dato,$A822))*2,0)/2)))</f>
        <v/>
      </c>
      <c r="AZ822">
        <f>IF(OR(AZ$4="",$A822&gt;TODAY()),0,IF(OR(INDEX($B822:$D822,AZ$5)="F",AND(AZ$6&gt;0,$A822&lt;AZ$6),AND(AZ$7&gt;0,$A822&gt;AZ$7)),0,MAX(0,ROUND((INDEX($E822:$G822,AZ$5)-SUMIFS(TF_Timer,TF_Tekniker,AZ$4,TF_Dato,$A822))*2,0)/2)))</f>
        <v/>
      </c>
      <c r="BA822">
        <f>IF(OR(BA$4="",$A822&gt;TODAY()),0,IF(OR(INDEX($B822:$D822,BA$5)="F",AND(BA$6&gt;0,$A822&lt;BA$6),AND(BA$7&gt;0,$A822&gt;BA$7)),0,MAX(0,ROUND((INDEX($E822:$G822,BA$5)-SUMIFS(TF_Timer,TF_Tekniker,BA$4,TF_Dato,$A822))*2,0)/2)))</f>
        <v/>
      </c>
      <c r="BB822">
        <f>IF(OR(BB$4="",$A822&gt;TODAY()),0,IF(OR(INDEX($B822:$D822,BB$5)="F",AND(BB$6&gt;0,$A822&lt;BB$6),AND(BB$7&gt;0,$A822&gt;BB$7)),0,MAX(0,ROUND((INDEX($E822:$G822,BB$5)-SUMIFS(TF_Timer,TF_Tekniker,BB$4,TF_Dato,$A822))*2,0)/2)))</f>
        <v/>
      </c>
      <c r="BC822">
        <f>IF(OR(BC$4="",$A822&gt;TODAY()),0,IF(OR(INDEX($B822:$D822,BC$5)="F",AND(BC$6&gt;0,$A822&lt;BC$6),AND(BC$7&gt;0,$A822&gt;BC$7)),0,MAX(0,ROUND((INDEX($E822:$G822,BC$5)-SUMIFS(TF_Timer,TF_Tekniker,BC$4,TF_Dato,$A822))*2,0)/2)))</f>
        <v/>
      </c>
      <c r="BD822">
        <f>IF(OR(BD$4="",$A822&gt;TODAY()),0,IF(OR(INDEX($B822:$D822,BD$5)="F",AND(BD$6&gt;0,$A822&lt;BD$6),AND(BD$7&gt;0,$A822&gt;BD$7)),0,MAX(0,ROUND((INDEX($E822:$G822,BD$5)-SUMIFS(TF_Timer,TF_Tekniker,BD$4,TF_Dato,$A822))*2,0)/2)))</f>
        <v/>
      </c>
      <c r="BE822">
        <f>IF(OR(BE$4="",$A822&gt;TODAY()),0,IF(OR(INDEX($B822:$D822,BE$5)="F",AND(BE$6&gt;0,$A822&lt;BE$6),AND(BE$7&gt;0,$A822&gt;BE$7)),0,MAX(0,ROUND((INDEX($E822:$G822,BE$5)-SUMIFS(TF_Timer,TF_Tekniker,BE$4,TF_Dato,$A822))*2,0)/2)))</f>
        <v/>
      </c>
      <c r="BF822">
        <f>IF(OR(BF$4="",$A822&gt;TODAY()),0,IF(OR(INDEX($B822:$D822,BF$5)="F",AND(BF$6&gt;0,$A822&lt;BF$6),AND(BF$7&gt;0,$A822&gt;BF$7)),0,MAX(0,ROUND((INDEX($E822:$G822,BF$5)-SUMIFS(TF_Timer,TF_Tekniker,BF$4,TF_Dato,$A822))*2,0)/2)))</f>
        <v/>
      </c>
      <c r="BG822">
        <f>IF(OR(BG$4="",$A822&gt;TODAY()),0,IF(OR(INDEX($B822:$D822,BG$5)="F",AND(BG$6&gt;0,$A822&lt;BG$6),AND(BG$7&gt;0,$A822&gt;BG$7)),0,MAX(0,ROUND((INDEX($E822:$G822,BG$5)-SUMIFS(TF_Timer,TF_Tekniker,BG$4,TF_Dato,$A822))*2,0)/2)))</f>
        <v/>
      </c>
      <c r="BH822">
        <f>IF(OR(BH$4="",$A822&gt;TODAY()),0,IF(OR(INDEX($B822:$D822,BH$5)="F",AND(BH$6&gt;0,$A822&lt;BH$6),AND(BH$7&gt;0,$A822&gt;BH$7)),0,MAX(0,ROUND((INDEX($E822:$G822,BH$5)-SUMIFS(TF_Timer,TF_Tekniker,BH$4,TF_Dato,$A822))*2,0)/2)))</f>
        <v/>
      </c>
      <c r="BI822">
        <f>IF(OR(BI$4="",$A822&gt;TODAY()),0,IF(OR(INDEX($B822:$D822,BI$5)="F",AND(BI$6&gt;0,$A822&lt;BI$6),AND(BI$7&gt;0,$A822&gt;BI$7)),0,MAX(0,ROUND((INDEX($E822:$G822,BI$5)-SUMIFS(TF_Timer,TF_Tekniker,BI$4,TF_Dato,$A822))*2,0)/2)))</f>
        <v/>
      </c>
    </row>
    <row r="823">
      <c r="A823" s="64">
        <f>A822+1</f>
        <v/>
      </c>
      <c r="B823">
        <f>IF(MOD($A823-INDEX(SkiftStart,1),Syklus)&lt;DagK,"K",IF(MOD($A823-INDEX(SkiftStart,1),Syklus)&lt;DagK+DagH,"H",IF(MOD($A823-INDEX(SkiftStart,1),Syklus)&lt;DagK+DagH+DagD,"D","F")))</f>
        <v/>
      </c>
      <c r="C823">
        <f>IF(MOD($A823-INDEX(SkiftStart,2),Syklus)&lt;DagK,"K",IF(MOD($A823-INDEX(SkiftStart,2),Syklus)&lt;DagK+DagH,"H",IF(MOD($A823-INDEX(SkiftStart,2),Syklus)&lt;DagK+DagH+DagD,"D","F")))</f>
        <v/>
      </c>
      <c r="D823">
        <f>IF(MOD($A823-INDEX(SkiftStart,3),Syklus)&lt;DagK,"K",IF(MOD($A823-INDEX(SkiftStart,3),Syklus)&lt;DagK+DagH,"H",IF(MOD($A823-INDEX(SkiftStart,3),Syklus)&lt;DagK+DagH+DagD,"D","F")))</f>
        <v/>
      </c>
      <c r="E823">
        <f>IF(B823="F",0,IF(WEEKDAY($A823,2)=5,INDEX(TimerFr,MATCH(B823,FaseKode,0)),INDEX(TimerMT,MATCH(B823,FaseKode,0))))</f>
        <v/>
      </c>
      <c r="F823">
        <f>IF(C823="F",0,IF(WEEKDAY($A823,2)=5,INDEX(TimerFr,MATCH(C823,FaseKode,0)),INDEX(TimerMT,MATCH(C823,FaseKode,0))))</f>
        <v/>
      </c>
      <c r="G823">
        <f>IF(D823="F",0,IF(WEEKDAY($A823,2)=5,INDEX(TimerFr,MATCH(D823,FaseKode,0)),INDEX(TimerMT,MATCH(D823,FaseKode,0))))</f>
        <v/>
      </c>
      <c r="H823">
        <f>IF(OR(H$4="",$A823&gt;TODAY()),0,IF(OR(INDEX($B823:$D823,H$5)="F",AND(H$6&gt;0,$A823&lt;H$6),AND(H$7&gt;0,$A823&gt;H$7)),0,MAX(0,ROUND((INDEX($E823:$G823,H$5)-SUMIFS(TF_Timer,TF_Tekniker,H$4,TF_Dato,$A823))*2,0)/2)))</f>
        <v/>
      </c>
      <c r="I823">
        <f>IF(OR(I$4="",$A823&gt;TODAY()),0,IF(OR(INDEX($B823:$D823,I$5)="F",AND(I$6&gt;0,$A823&lt;I$6),AND(I$7&gt;0,$A823&gt;I$7)),0,MAX(0,ROUND((INDEX($E823:$G823,I$5)-SUMIFS(TF_Timer,TF_Tekniker,I$4,TF_Dato,$A823))*2,0)/2)))</f>
        <v/>
      </c>
      <c r="J823">
        <f>IF(OR(J$4="",$A823&gt;TODAY()),0,IF(OR(INDEX($B823:$D823,J$5)="F",AND(J$6&gt;0,$A823&lt;J$6),AND(J$7&gt;0,$A823&gt;J$7)),0,MAX(0,ROUND((INDEX($E823:$G823,J$5)-SUMIFS(TF_Timer,TF_Tekniker,J$4,TF_Dato,$A823))*2,0)/2)))</f>
        <v/>
      </c>
      <c r="K823">
        <f>IF(OR(K$4="",$A823&gt;TODAY()),0,IF(OR(INDEX($B823:$D823,K$5)="F",AND(K$6&gt;0,$A823&lt;K$6),AND(K$7&gt;0,$A823&gt;K$7)),0,MAX(0,ROUND((INDEX($E823:$G823,K$5)-SUMIFS(TF_Timer,TF_Tekniker,K$4,TF_Dato,$A823))*2,0)/2)))</f>
        <v/>
      </c>
      <c r="L823">
        <f>IF(OR(L$4="",$A823&gt;TODAY()),0,IF(OR(INDEX($B823:$D823,L$5)="F",AND(L$6&gt;0,$A823&lt;L$6),AND(L$7&gt;0,$A823&gt;L$7)),0,MAX(0,ROUND((INDEX($E823:$G823,L$5)-SUMIFS(TF_Timer,TF_Tekniker,L$4,TF_Dato,$A823))*2,0)/2)))</f>
        <v/>
      </c>
      <c r="M823">
        <f>IF(OR(M$4="",$A823&gt;TODAY()),0,IF(OR(INDEX($B823:$D823,M$5)="F",AND(M$6&gt;0,$A823&lt;M$6),AND(M$7&gt;0,$A823&gt;M$7)),0,MAX(0,ROUND((INDEX($E823:$G823,M$5)-SUMIFS(TF_Timer,TF_Tekniker,M$4,TF_Dato,$A823))*2,0)/2)))</f>
        <v/>
      </c>
      <c r="N823">
        <f>IF(OR(N$4="",$A823&gt;TODAY()),0,IF(OR(INDEX($B823:$D823,N$5)="F",AND(N$6&gt;0,$A823&lt;N$6),AND(N$7&gt;0,$A823&gt;N$7)),0,MAX(0,ROUND((INDEX($E823:$G823,N$5)-SUMIFS(TF_Timer,TF_Tekniker,N$4,TF_Dato,$A823))*2,0)/2)))</f>
        <v/>
      </c>
      <c r="O823">
        <f>IF(OR(O$4="",$A823&gt;TODAY()),0,IF(OR(INDEX($B823:$D823,O$5)="F",AND(O$6&gt;0,$A823&lt;O$6),AND(O$7&gt;0,$A823&gt;O$7)),0,MAX(0,ROUND((INDEX($E823:$G823,O$5)-SUMIFS(TF_Timer,TF_Tekniker,O$4,TF_Dato,$A823))*2,0)/2)))</f>
        <v/>
      </c>
      <c r="P823">
        <f>IF(OR(P$4="",$A823&gt;TODAY()),0,IF(OR(INDEX($B823:$D823,P$5)="F",AND(P$6&gt;0,$A823&lt;P$6),AND(P$7&gt;0,$A823&gt;P$7)),0,MAX(0,ROUND((INDEX($E823:$G823,P$5)-SUMIFS(TF_Timer,TF_Tekniker,P$4,TF_Dato,$A823))*2,0)/2)))</f>
        <v/>
      </c>
      <c r="Q823">
        <f>IF(OR(Q$4="",$A823&gt;TODAY()),0,IF(OR(INDEX($B823:$D823,Q$5)="F",AND(Q$6&gt;0,$A823&lt;Q$6),AND(Q$7&gt;0,$A823&gt;Q$7)),0,MAX(0,ROUND((INDEX($E823:$G823,Q$5)-SUMIFS(TF_Timer,TF_Tekniker,Q$4,TF_Dato,$A823))*2,0)/2)))</f>
        <v/>
      </c>
      <c r="R823">
        <f>IF(OR(R$4="",$A823&gt;TODAY()),0,IF(OR(INDEX($B823:$D823,R$5)="F",AND(R$6&gt;0,$A823&lt;R$6),AND(R$7&gt;0,$A823&gt;R$7)),0,MAX(0,ROUND((INDEX($E823:$G823,R$5)-SUMIFS(TF_Timer,TF_Tekniker,R$4,TF_Dato,$A823))*2,0)/2)))</f>
        <v/>
      </c>
      <c r="S823">
        <f>IF(OR(S$4="",$A823&gt;TODAY()),0,IF(OR(INDEX($B823:$D823,S$5)="F",AND(S$6&gt;0,$A823&lt;S$6),AND(S$7&gt;0,$A823&gt;S$7)),0,MAX(0,ROUND((INDEX($E823:$G823,S$5)-SUMIFS(TF_Timer,TF_Tekniker,S$4,TF_Dato,$A823))*2,0)/2)))</f>
        <v/>
      </c>
      <c r="T823">
        <f>IF(OR(T$4="",$A823&gt;TODAY()),0,IF(OR(INDEX($B823:$D823,T$5)="F",AND(T$6&gt;0,$A823&lt;T$6),AND(T$7&gt;0,$A823&gt;T$7)),0,MAX(0,ROUND((INDEX($E823:$G823,T$5)-SUMIFS(TF_Timer,TF_Tekniker,T$4,TF_Dato,$A823))*2,0)/2)))</f>
        <v/>
      </c>
      <c r="U823">
        <f>IF(OR(U$4="",$A823&gt;TODAY()),0,IF(OR(INDEX($B823:$D823,U$5)="F",AND(U$6&gt;0,$A823&lt;U$6),AND(U$7&gt;0,$A823&gt;U$7)),0,MAX(0,ROUND((INDEX($E823:$G823,U$5)-SUMIFS(TF_Timer,TF_Tekniker,U$4,TF_Dato,$A823))*2,0)/2)))</f>
        <v/>
      </c>
      <c r="V823">
        <f>IF(OR(V$4="",$A823&gt;TODAY()),0,IF(OR(INDEX($B823:$D823,V$5)="F",AND(V$6&gt;0,$A823&lt;V$6),AND(V$7&gt;0,$A823&gt;V$7)),0,MAX(0,ROUND((INDEX($E823:$G823,V$5)-SUMIFS(TF_Timer,TF_Tekniker,V$4,TF_Dato,$A823))*2,0)/2)))</f>
        <v/>
      </c>
      <c r="W823">
        <f>IF(OR(W$4="",$A823&gt;TODAY()),0,IF(OR(INDEX($B823:$D823,W$5)="F",AND(W$6&gt;0,$A823&lt;W$6),AND(W$7&gt;0,$A823&gt;W$7)),0,MAX(0,ROUND((INDEX($E823:$G823,W$5)-SUMIFS(TF_Timer,TF_Tekniker,W$4,TF_Dato,$A823))*2,0)/2)))</f>
        <v/>
      </c>
      <c r="X823">
        <f>IF(OR(X$4="",$A823&gt;TODAY()),0,IF(OR(INDEX($B823:$D823,X$5)="F",AND(X$6&gt;0,$A823&lt;X$6),AND(X$7&gt;0,$A823&gt;X$7)),0,MAX(0,ROUND((INDEX($E823:$G823,X$5)-SUMIFS(TF_Timer,TF_Tekniker,X$4,TF_Dato,$A823))*2,0)/2)))</f>
        <v/>
      </c>
      <c r="Y823">
        <f>IF(OR(Y$4="",$A823&gt;TODAY()),0,IF(OR(INDEX($B823:$D823,Y$5)="F",AND(Y$6&gt;0,$A823&lt;Y$6),AND(Y$7&gt;0,$A823&gt;Y$7)),0,MAX(0,ROUND((INDEX($E823:$G823,Y$5)-SUMIFS(TF_Timer,TF_Tekniker,Y$4,TF_Dato,$A823))*2,0)/2)))</f>
        <v/>
      </c>
      <c r="Z823">
        <f>IF(OR(Z$4="",$A823&gt;TODAY()),0,IF(OR(INDEX($B823:$D823,Z$5)="F",AND(Z$6&gt;0,$A823&lt;Z$6),AND(Z$7&gt;0,$A823&gt;Z$7)),0,MAX(0,ROUND((INDEX($E823:$G823,Z$5)-SUMIFS(TF_Timer,TF_Tekniker,Z$4,TF_Dato,$A823))*2,0)/2)))</f>
        <v/>
      </c>
      <c r="AA823">
        <f>IF(OR(AA$4="",$A823&gt;TODAY()),0,IF(OR(INDEX($B823:$D823,AA$5)="F",AND(AA$6&gt;0,$A823&lt;AA$6),AND(AA$7&gt;0,$A823&gt;AA$7)),0,MAX(0,ROUND((INDEX($E823:$G823,AA$5)-SUMIFS(TF_Timer,TF_Tekniker,AA$4,TF_Dato,$A823))*2,0)/2)))</f>
        <v/>
      </c>
      <c r="AB823">
        <f>IF(OR(AB$4="",$A823&gt;TODAY()),0,IF(OR(INDEX($B823:$D823,AB$5)="F",AND(AB$6&gt;0,$A823&lt;AB$6),AND(AB$7&gt;0,$A823&gt;AB$7)),0,MAX(0,ROUND((INDEX($E823:$G823,AB$5)-SUMIFS(TF_Timer,TF_Tekniker,AB$4,TF_Dato,$A823))*2,0)/2)))</f>
        <v/>
      </c>
      <c r="AC823">
        <f>IF(OR(AC$4="",$A823&gt;TODAY()),0,IF(OR(INDEX($B823:$D823,AC$5)="F",AND(AC$6&gt;0,$A823&lt;AC$6),AND(AC$7&gt;0,$A823&gt;AC$7)),0,MAX(0,ROUND((INDEX($E823:$G823,AC$5)-SUMIFS(TF_Timer,TF_Tekniker,AC$4,TF_Dato,$A823))*2,0)/2)))</f>
        <v/>
      </c>
      <c r="AD823">
        <f>IF(OR(AD$4="",$A823&gt;TODAY()),0,IF(OR(INDEX($B823:$D823,AD$5)="F",AND(AD$6&gt;0,$A823&lt;AD$6),AND(AD$7&gt;0,$A823&gt;AD$7)),0,MAX(0,ROUND((INDEX($E823:$G823,AD$5)-SUMIFS(TF_Timer,TF_Tekniker,AD$4,TF_Dato,$A823))*2,0)/2)))</f>
        <v/>
      </c>
      <c r="AE823">
        <f>IF(OR(AE$4="",$A823&gt;TODAY()),0,IF(OR(INDEX($B823:$D823,AE$5)="F",AND(AE$6&gt;0,$A823&lt;AE$6),AND(AE$7&gt;0,$A823&gt;AE$7)),0,MAX(0,ROUND((INDEX($E823:$G823,AE$5)-SUMIFS(TF_Timer,TF_Tekniker,AE$4,TF_Dato,$A823))*2,0)/2)))</f>
        <v/>
      </c>
      <c r="AF823">
        <f>IF(OR(AF$4="",$A823&gt;TODAY()),0,IF(OR(INDEX($B823:$D823,AF$5)="F",AND(AF$6&gt;0,$A823&lt;AF$6),AND(AF$7&gt;0,$A823&gt;AF$7)),0,MAX(0,ROUND((INDEX($E823:$G823,AF$5)-SUMIFS(TF_Timer,TF_Tekniker,AF$4,TF_Dato,$A823))*2,0)/2)))</f>
        <v/>
      </c>
      <c r="AG823">
        <f>IF(OR(AG$4="",$A823&gt;TODAY()),0,IF(OR(INDEX($B823:$D823,AG$5)="F",AND(AG$6&gt;0,$A823&lt;AG$6),AND(AG$7&gt;0,$A823&gt;AG$7)),0,MAX(0,ROUND((INDEX($E823:$G823,AG$5)-SUMIFS(TF_Timer,TF_Tekniker,AG$4,TF_Dato,$A823))*2,0)/2)))</f>
        <v/>
      </c>
      <c r="AH823">
        <f>IF(OR(AH$4="",$A823&gt;TODAY()),0,IF(OR(INDEX($B823:$D823,AH$5)="F",AND(AH$6&gt;0,$A823&lt;AH$6),AND(AH$7&gt;0,$A823&gt;AH$7)),0,MAX(0,ROUND((INDEX($E823:$G823,AH$5)-SUMIFS(TF_Timer,TF_Tekniker,AH$4,TF_Dato,$A823))*2,0)/2)))</f>
        <v/>
      </c>
      <c r="AI823">
        <f>IF(OR(AI$4="",$A823&gt;TODAY()),0,IF(OR(INDEX($B823:$D823,AI$5)="F",AND(AI$6&gt;0,$A823&lt;AI$6),AND(AI$7&gt;0,$A823&gt;AI$7)),0,MAX(0,ROUND((INDEX($E823:$G823,AI$5)-SUMIFS(TF_Timer,TF_Tekniker,AI$4,TF_Dato,$A823))*2,0)/2)))</f>
        <v/>
      </c>
      <c r="AJ823">
        <f>IF(OR(AJ$4="",$A823&gt;TODAY()),0,IF(OR(INDEX($B823:$D823,AJ$5)="F",AND(AJ$6&gt;0,$A823&lt;AJ$6),AND(AJ$7&gt;0,$A823&gt;AJ$7)),0,MAX(0,ROUND((INDEX($E823:$G823,AJ$5)-SUMIFS(TF_Timer,TF_Tekniker,AJ$4,TF_Dato,$A823))*2,0)/2)))</f>
        <v/>
      </c>
      <c r="AK823">
        <f>IF(OR(AK$4="",$A823&gt;TODAY()),0,IF(OR(INDEX($B823:$D823,AK$5)="F",AND(AK$6&gt;0,$A823&lt;AK$6),AND(AK$7&gt;0,$A823&gt;AK$7)),0,MAX(0,ROUND((INDEX($E823:$G823,AK$5)-SUMIFS(TF_Timer,TF_Tekniker,AK$4,TF_Dato,$A823))*2,0)/2)))</f>
        <v/>
      </c>
      <c r="AL823">
        <f>IF(OR(AL$4="",$A823&gt;TODAY()),0,IF(OR(INDEX($B823:$D823,AL$5)="F",AND(AL$6&gt;0,$A823&lt;AL$6),AND(AL$7&gt;0,$A823&gt;AL$7)),0,MAX(0,ROUND((INDEX($E823:$G823,AL$5)-SUMIFS(TF_Timer,TF_Tekniker,AL$4,TF_Dato,$A823))*2,0)/2)))</f>
        <v/>
      </c>
      <c r="AM823">
        <f>IF(OR(AM$4="",$A823&gt;TODAY()),0,IF(OR(INDEX($B823:$D823,AM$5)="F",AND(AM$6&gt;0,$A823&lt;AM$6),AND(AM$7&gt;0,$A823&gt;AM$7)),0,MAX(0,ROUND((INDEX($E823:$G823,AM$5)-SUMIFS(TF_Timer,TF_Tekniker,AM$4,TF_Dato,$A823))*2,0)/2)))</f>
        <v/>
      </c>
      <c r="AN823">
        <f>IF(OR(AN$4="",$A823&gt;TODAY()),0,IF(OR(INDEX($B823:$D823,AN$5)="F",AND(AN$6&gt;0,$A823&lt;AN$6),AND(AN$7&gt;0,$A823&gt;AN$7)),0,MAX(0,ROUND((INDEX($E823:$G823,AN$5)-SUMIFS(TF_Timer,TF_Tekniker,AN$4,TF_Dato,$A823))*2,0)/2)))</f>
        <v/>
      </c>
      <c r="AO823">
        <f>IF(OR(AO$4="",$A823&gt;TODAY()),0,IF(OR(INDEX($B823:$D823,AO$5)="F",AND(AO$6&gt;0,$A823&lt;AO$6),AND(AO$7&gt;0,$A823&gt;AO$7)),0,MAX(0,ROUND((INDEX($E823:$G823,AO$5)-SUMIFS(TF_Timer,TF_Tekniker,AO$4,TF_Dato,$A823))*2,0)/2)))</f>
        <v/>
      </c>
      <c r="AP823">
        <f>IF(OR(AP$4="",$A823&gt;TODAY()),0,IF(OR(INDEX($B823:$D823,AP$5)="F",AND(AP$6&gt;0,$A823&lt;AP$6),AND(AP$7&gt;0,$A823&gt;AP$7)),0,MAX(0,ROUND((INDEX($E823:$G823,AP$5)-SUMIFS(TF_Timer,TF_Tekniker,AP$4,TF_Dato,$A823))*2,0)/2)))</f>
        <v/>
      </c>
      <c r="AQ823">
        <f>IF(OR(AQ$4="",$A823&gt;TODAY()),0,IF(OR(INDEX($B823:$D823,AQ$5)="F",AND(AQ$6&gt;0,$A823&lt;AQ$6),AND(AQ$7&gt;0,$A823&gt;AQ$7)),0,MAX(0,ROUND((INDEX($E823:$G823,AQ$5)-SUMIFS(TF_Timer,TF_Tekniker,AQ$4,TF_Dato,$A823))*2,0)/2)))</f>
        <v/>
      </c>
      <c r="AR823">
        <f>IF(OR(AR$4="",$A823&gt;TODAY()),0,IF(OR(INDEX($B823:$D823,AR$5)="F",AND(AR$6&gt;0,$A823&lt;AR$6),AND(AR$7&gt;0,$A823&gt;AR$7)),0,MAX(0,ROUND((INDEX($E823:$G823,AR$5)-SUMIFS(TF_Timer,TF_Tekniker,AR$4,TF_Dato,$A823))*2,0)/2)))</f>
        <v/>
      </c>
      <c r="AS823">
        <f>IF(OR(AS$4="",$A823&gt;TODAY()),0,IF(OR(INDEX($B823:$D823,AS$5)="F",AND(AS$6&gt;0,$A823&lt;AS$6),AND(AS$7&gt;0,$A823&gt;AS$7)),0,MAX(0,ROUND((INDEX($E823:$G823,AS$5)-SUMIFS(TF_Timer,TF_Tekniker,AS$4,TF_Dato,$A823))*2,0)/2)))</f>
        <v/>
      </c>
      <c r="AT823">
        <f>IF(OR(AT$4="",$A823&gt;TODAY()),0,IF(OR(INDEX($B823:$D823,AT$5)="F",AND(AT$6&gt;0,$A823&lt;AT$6),AND(AT$7&gt;0,$A823&gt;AT$7)),0,MAX(0,ROUND((INDEX($E823:$G823,AT$5)-SUMIFS(TF_Timer,TF_Tekniker,AT$4,TF_Dato,$A823))*2,0)/2)))</f>
        <v/>
      </c>
      <c r="AU823">
        <f>IF(OR(AU$4="",$A823&gt;TODAY()),0,IF(OR(INDEX($B823:$D823,AU$5)="F",AND(AU$6&gt;0,$A823&lt;AU$6),AND(AU$7&gt;0,$A823&gt;AU$7)),0,MAX(0,ROUND((INDEX($E823:$G823,AU$5)-SUMIFS(TF_Timer,TF_Tekniker,AU$4,TF_Dato,$A823))*2,0)/2)))</f>
        <v/>
      </c>
      <c r="AV823">
        <f>IF(OR(AV$4="",$A823&gt;TODAY()),0,IF(OR(INDEX($B823:$D823,AV$5)="F",AND(AV$6&gt;0,$A823&lt;AV$6),AND(AV$7&gt;0,$A823&gt;AV$7)),0,MAX(0,ROUND((INDEX($E823:$G823,AV$5)-SUMIFS(TF_Timer,TF_Tekniker,AV$4,TF_Dato,$A823))*2,0)/2)))</f>
        <v/>
      </c>
      <c r="AW823">
        <f>IF(OR(AW$4="",$A823&gt;TODAY()),0,IF(OR(INDEX($B823:$D823,AW$5)="F",AND(AW$6&gt;0,$A823&lt;AW$6),AND(AW$7&gt;0,$A823&gt;AW$7)),0,MAX(0,ROUND((INDEX($E823:$G823,AW$5)-SUMIFS(TF_Timer,TF_Tekniker,AW$4,TF_Dato,$A823))*2,0)/2)))</f>
        <v/>
      </c>
      <c r="AX823">
        <f>IF(OR(AX$4="",$A823&gt;TODAY()),0,IF(OR(INDEX($B823:$D823,AX$5)="F",AND(AX$6&gt;0,$A823&lt;AX$6),AND(AX$7&gt;0,$A823&gt;AX$7)),0,MAX(0,ROUND((INDEX($E823:$G823,AX$5)-SUMIFS(TF_Timer,TF_Tekniker,AX$4,TF_Dato,$A823))*2,0)/2)))</f>
        <v/>
      </c>
      <c r="AY823">
        <f>IF(OR(AY$4="",$A823&gt;TODAY()),0,IF(OR(INDEX($B823:$D823,AY$5)="F",AND(AY$6&gt;0,$A823&lt;AY$6),AND(AY$7&gt;0,$A823&gt;AY$7)),0,MAX(0,ROUND((INDEX($E823:$G823,AY$5)-SUMIFS(TF_Timer,TF_Tekniker,AY$4,TF_Dato,$A823))*2,0)/2)))</f>
        <v/>
      </c>
      <c r="AZ823">
        <f>IF(OR(AZ$4="",$A823&gt;TODAY()),0,IF(OR(INDEX($B823:$D823,AZ$5)="F",AND(AZ$6&gt;0,$A823&lt;AZ$6),AND(AZ$7&gt;0,$A823&gt;AZ$7)),0,MAX(0,ROUND((INDEX($E823:$G823,AZ$5)-SUMIFS(TF_Timer,TF_Tekniker,AZ$4,TF_Dato,$A823))*2,0)/2)))</f>
        <v/>
      </c>
      <c r="BA823">
        <f>IF(OR(BA$4="",$A823&gt;TODAY()),0,IF(OR(INDEX($B823:$D823,BA$5)="F",AND(BA$6&gt;0,$A823&lt;BA$6),AND(BA$7&gt;0,$A823&gt;BA$7)),0,MAX(0,ROUND((INDEX($E823:$G823,BA$5)-SUMIFS(TF_Timer,TF_Tekniker,BA$4,TF_Dato,$A823))*2,0)/2)))</f>
        <v/>
      </c>
      <c r="BB823">
        <f>IF(OR(BB$4="",$A823&gt;TODAY()),0,IF(OR(INDEX($B823:$D823,BB$5)="F",AND(BB$6&gt;0,$A823&lt;BB$6),AND(BB$7&gt;0,$A823&gt;BB$7)),0,MAX(0,ROUND((INDEX($E823:$G823,BB$5)-SUMIFS(TF_Timer,TF_Tekniker,BB$4,TF_Dato,$A823))*2,0)/2)))</f>
        <v/>
      </c>
      <c r="BC823">
        <f>IF(OR(BC$4="",$A823&gt;TODAY()),0,IF(OR(INDEX($B823:$D823,BC$5)="F",AND(BC$6&gt;0,$A823&lt;BC$6),AND(BC$7&gt;0,$A823&gt;BC$7)),0,MAX(0,ROUND((INDEX($E823:$G823,BC$5)-SUMIFS(TF_Timer,TF_Tekniker,BC$4,TF_Dato,$A823))*2,0)/2)))</f>
        <v/>
      </c>
      <c r="BD823">
        <f>IF(OR(BD$4="",$A823&gt;TODAY()),0,IF(OR(INDEX($B823:$D823,BD$5)="F",AND(BD$6&gt;0,$A823&lt;BD$6),AND(BD$7&gt;0,$A823&gt;BD$7)),0,MAX(0,ROUND((INDEX($E823:$G823,BD$5)-SUMIFS(TF_Timer,TF_Tekniker,BD$4,TF_Dato,$A823))*2,0)/2)))</f>
        <v/>
      </c>
      <c r="BE823">
        <f>IF(OR(BE$4="",$A823&gt;TODAY()),0,IF(OR(INDEX($B823:$D823,BE$5)="F",AND(BE$6&gt;0,$A823&lt;BE$6),AND(BE$7&gt;0,$A823&gt;BE$7)),0,MAX(0,ROUND((INDEX($E823:$G823,BE$5)-SUMIFS(TF_Timer,TF_Tekniker,BE$4,TF_Dato,$A823))*2,0)/2)))</f>
        <v/>
      </c>
      <c r="BF823">
        <f>IF(OR(BF$4="",$A823&gt;TODAY()),0,IF(OR(INDEX($B823:$D823,BF$5)="F",AND(BF$6&gt;0,$A823&lt;BF$6),AND(BF$7&gt;0,$A823&gt;BF$7)),0,MAX(0,ROUND((INDEX($E823:$G823,BF$5)-SUMIFS(TF_Timer,TF_Tekniker,BF$4,TF_Dato,$A823))*2,0)/2)))</f>
        <v/>
      </c>
      <c r="BG823">
        <f>IF(OR(BG$4="",$A823&gt;TODAY()),0,IF(OR(INDEX($B823:$D823,BG$5)="F",AND(BG$6&gt;0,$A823&lt;BG$6),AND(BG$7&gt;0,$A823&gt;BG$7)),0,MAX(0,ROUND((INDEX($E823:$G823,BG$5)-SUMIFS(TF_Timer,TF_Tekniker,BG$4,TF_Dato,$A823))*2,0)/2)))</f>
        <v/>
      </c>
      <c r="BH823">
        <f>IF(OR(BH$4="",$A823&gt;TODAY()),0,IF(OR(INDEX($B823:$D823,BH$5)="F",AND(BH$6&gt;0,$A823&lt;BH$6),AND(BH$7&gt;0,$A823&gt;BH$7)),0,MAX(0,ROUND((INDEX($E823:$G823,BH$5)-SUMIFS(TF_Timer,TF_Tekniker,BH$4,TF_Dato,$A823))*2,0)/2)))</f>
        <v/>
      </c>
      <c r="BI823">
        <f>IF(OR(BI$4="",$A823&gt;TODAY()),0,IF(OR(INDEX($B823:$D823,BI$5)="F",AND(BI$6&gt;0,$A823&lt;BI$6),AND(BI$7&gt;0,$A823&gt;BI$7)),0,MAX(0,ROUND((INDEX($E823:$G823,BI$5)-SUMIFS(TF_Timer,TF_Tekniker,BI$4,TF_Dato,$A823))*2,0)/2)))</f>
        <v/>
      </c>
    </row>
    <row r="824">
      <c r="A824" s="64">
        <f>A823+1</f>
        <v/>
      </c>
      <c r="B824">
        <f>IF(MOD($A824-INDEX(SkiftStart,1),Syklus)&lt;DagK,"K",IF(MOD($A824-INDEX(SkiftStart,1),Syklus)&lt;DagK+DagH,"H",IF(MOD($A824-INDEX(SkiftStart,1),Syklus)&lt;DagK+DagH+DagD,"D","F")))</f>
        <v/>
      </c>
      <c r="C824">
        <f>IF(MOD($A824-INDEX(SkiftStart,2),Syklus)&lt;DagK,"K",IF(MOD($A824-INDEX(SkiftStart,2),Syklus)&lt;DagK+DagH,"H",IF(MOD($A824-INDEX(SkiftStart,2),Syklus)&lt;DagK+DagH+DagD,"D","F")))</f>
        <v/>
      </c>
      <c r="D824">
        <f>IF(MOD($A824-INDEX(SkiftStart,3),Syklus)&lt;DagK,"K",IF(MOD($A824-INDEX(SkiftStart,3),Syklus)&lt;DagK+DagH,"H",IF(MOD($A824-INDEX(SkiftStart,3),Syklus)&lt;DagK+DagH+DagD,"D","F")))</f>
        <v/>
      </c>
      <c r="E824">
        <f>IF(B824="F",0,IF(WEEKDAY($A824,2)=5,INDEX(TimerFr,MATCH(B824,FaseKode,0)),INDEX(TimerMT,MATCH(B824,FaseKode,0))))</f>
        <v/>
      </c>
      <c r="F824">
        <f>IF(C824="F",0,IF(WEEKDAY($A824,2)=5,INDEX(TimerFr,MATCH(C824,FaseKode,0)),INDEX(TimerMT,MATCH(C824,FaseKode,0))))</f>
        <v/>
      </c>
      <c r="G824">
        <f>IF(D824="F",0,IF(WEEKDAY($A824,2)=5,INDEX(TimerFr,MATCH(D824,FaseKode,0)),INDEX(TimerMT,MATCH(D824,FaseKode,0))))</f>
        <v/>
      </c>
      <c r="H824">
        <f>IF(OR(H$4="",$A824&gt;TODAY()),0,IF(OR(INDEX($B824:$D824,H$5)="F",AND(H$6&gt;0,$A824&lt;H$6),AND(H$7&gt;0,$A824&gt;H$7)),0,MAX(0,ROUND((INDEX($E824:$G824,H$5)-SUMIFS(TF_Timer,TF_Tekniker,H$4,TF_Dato,$A824))*2,0)/2)))</f>
        <v/>
      </c>
      <c r="I824">
        <f>IF(OR(I$4="",$A824&gt;TODAY()),0,IF(OR(INDEX($B824:$D824,I$5)="F",AND(I$6&gt;0,$A824&lt;I$6),AND(I$7&gt;0,$A824&gt;I$7)),0,MAX(0,ROUND((INDEX($E824:$G824,I$5)-SUMIFS(TF_Timer,TF_Tekniker,I$4,TF_Dato,$A824))*2,0)/2)))</f>
        <v/>
      </c>
      <c r="J824">
        <f>IF(OR(J$4="",$A824&gt;TODAY()),0,IF(OR(INDEX($B824:$D824,J$5)="F",AND(J$6&gt;0,$A824&lt;J$6),AND(J$7&gt;0,$A824&gt;J$7)),0,MAX(0,ROUND((INDEX($E824:$G824,J$5)-SUMIFS(TF_Timer,TF_Tekniker,J$4,TF_Dato,$A824))*2,0)/2)))</f>
        <v/>
      </c>
      <c r="K824">
        <f>IF(OR(K$4="",$A824&gt;TODAY()),0,IF(OR(INDEX($B824:$D824,K$5)="F",AND(K$6&gt;0,$A824&lt;K$6),AND(K$7&gt;0,$A824&gt;K$7)),0,MAX(0,ROUND((INDEX($E824:$G824,K$5)-SUMIFS(TF_Timer,TF_Tekniker,K$4,TF_Dato,$A824))*2,0)/2)))</f>
        <v/>
      </c>
      <c r="L824">
        <f>IF(OR(L$4="",$A824&gt;TODAY()),0,IF(OR(INDEX($B824:$D824,L$5)="F",AND(L$6&gt;0,$A824&lt;L$6),AND(L$7&gt;0,$A824&gt;L$7)),0,MAX(0,ROUND((INDEX($E824:$G824,L$5)-SUMIFS(TF_Timer,TF_Tekniker,L$4,TF_Dato,$A824))*2,0)/2)))</f>
        <v/>
      </c>
      <c r="M824">
        <f>IF(OR(M$4="",$A824&gt;TODAY()),0,IF(OR(INDEX($B824:$D824,M$5)="F",AND(M$6&gt;0,$A824&lt;M$6),AND(M$7&gt;0,$A824&gt;M$7)),0,MAX(0,ROUND((INDEX($E824:$G824,M$5)-SUMIFS(TF_Timer,TF_Tekniker,M$4,TF_Dato,$A824))*2,0)/2)))</f>
        <v/>
      </c>
      <c r="N824">
        <f>IF(OR(N$4="",$A824&gt;TODAY()),0,IF(OR(INDEX($B824:$D824,N$5)="F",AND(N$6&gt;0,$A824&lt;N$6),AND(N$7&gt;0,$A824&gt;N$7)),0,MAX(0,ROUND((INDEX($E824:$G824,N$5)-SUMIFS(TF_Timer,TF_Tekniker,N$4,TF_Dato,$A824))*2,0)/2)))</f>
        <v/>
      </c>
      <c r="O824">
        <f>IF(OR(O$4="",$A824&gt;TODAY()),0,IF(OR(INDEX($B824:$D824,O$5)="F",AND(O$6&gt;0,$A824&lt;O$6),AND(O$7&gt;0,$A824&gt;O$7)),0,MAX(0,ROUND((INDEX($E824:$G824,O$5)-SUMIFS(TF_Timer,TF_Tekniker,O$4,TF_Dato,$A824))*2,0)/2)))</f>
        <v/>
      </c>
      <c r="P824">
        <f>IF(OR(P$4="",$A824&gt;TODAY()),0,IF(OR(INDEX($B824:$D824,P$5)="F",AND(P$6&gt;0,$A824&lt;P$6),AND(P$7&gt;0,$A824&gt;P$7)),0,MAX(0,ROUND((INDEX($E824:$G824,P$5)-SUMIFS(TF_Timer,TF_Tekniker,P$4,TF_Dato,$A824))*2,0)/2)))</f>
        <v/>
      </c>
      <c r="Q824">
        <f>IF(OR(Q$4="",$A824&gt;TODAY()),0,IF(OR(INDEX($B824:$D824,Q$5)="F",AND(Q$6&gt;0,$A824&lt;Q$6),AND(Q$7&gt;0,$A824&gt;Q$7)),0,MAX(0,ROUND((INDEX($E824:$G824,Q$5)-SUMIFS(TF_Timer,TF_Tekniker,Q$4,TF_Dato,$A824))*2,0)/2)))</f>
        <v/>
      </c>
      <c r="R824">
        <f>IF(OR(R$4="",$A824&gt;TODAY()),0,IF(OR(INDEX($B824:$D824,R$5)="F",AND(R$6&gt;0,$A824&lt;R$6),AND(R$7&gt;0,$A824&gt;R$7)),0,MAX(0,ROUND((INDEX($E824:$G824,R$5)-SUMIFS(TF_Timer,TF_Tekniker,R$4,TF_Dato,$A824))*2,0)/2)))</f>
        <v/>
      </c>
      <c r="S824">
        <f>IF(OR(S$4="",$A824&gt;TODAY()),0,IF(OR(INDEX($B824:$D824,S$5)="F",AND(S$6&gt;0,$A824&lt;S$6),AND(S$7&gt;0,$A824&gt;S$7)),0,MAX(0,ROUND((INDEX($E824:$G824,S$5)-SUMIFS(TF_Timer,TF_Tekniker,S$4,TF_Dato,$A824))*2,0)/2)))</f>
        <v/>
      </c>
      <c r="T824">
        <f>IF(OR(T$4="",$A824&gt;TODAY()),0,IF(OR(INDEX($B824:$D824,T$5)="F",AND(T$6&gt;0,$A824&lt;T$6),AND(T$7&gt;0,$A824&gt;T$7)),0,MAX(0,ROUND((INDEX($E824:$G824,T$5)-SUMIFS(TF_Timer,TF_Tekniker,T$4,TF_Dato,$A824))*2,0)/2)))</f>
        <v/>
      </c>
      <c r="U824">
        <f>IF(OR(U$4="",$A824&gt;TODAY()),0,IF(OR(INDEX($B824:$D824,U$5)="F",AND(U$6&gt;0,$A824&lt;U$6),AND(U$7&gt;0,$A824&gt;U$7)),0,MAX(0,ROUND((INDEX($E824:$G824,U$5)-SUMIFS(TF_Timer,TF_Tekniker,U$4,TF_Dato,$A824))*2,0)/2)))</f>
        <v/>
      </c>
      <c r="V824">
        <f>IF(OR(V$4="",$A824&gt;TODAY()),0,IF(OR(INDEX($B824:$D824,V$5)="F",AND(V$6&gt;0,$A824&lt;V$6),AND(V$7&gt;0,$A824&gt;V$7)),0,MAX(0,ROUND((INDEX($E824:$G824,V$5)-SUMIFS(TF_Timer,TF_Tekniker,V$4,TF_Dato,$A824))*2,0)/2)))</f>
        <v/>
      </c>
      <c r="W824">
        <f>IF(OR(W$4="",$A824&gt;TODAY()),0,IF(OR(INDEX($B824:$D824,W$5)="F",AND(W$6&gt;0,$A824&lt;W$6),AND(W$7&gt;0,$A824&gt;W$7)),0,MAX(0,ROUND((INDEX($E824:$G824,W$5)-SUMIFS(TF_Timer,TF_Tekniker,W$4,TF_Dato,$A824))*2,0)/2)))</f>
        <v/>
      </c>
      <c r="X824">
        <f>IF(OR(X$4="",$A824&gt;TODAY()),0,IF(OR(INDEX($B824:$D824,X$5)="F",AND(X$6&gt;0,$A824&lt;X$6),AND(X$7&gt;0,$A824&gt;X$7)),0,MAX(0,ROUND((INDEX($E824:$G824,X$5)-SUMIFS(TF_Timer,TF_Tekniker,X$4,TF_Dato,$A824))*2,0)/2)))</f>
        <v/>
      </c>
      <c r="Y824">
        <f>IF(OR(Y$4="",$A824&gt;TODAY()),0,IF(OR(INDEX($B824:$D824,Y$5)="F",AND(Y$6&gt;0,$A824&lt;Y$6),AND(Y$7&gt;0,$A824&gt;Y$7)),0,MAX(0,ROUND((INDEX($E824:$G824,Y$5)-SUMIFS(TF_Timer,TF_Tekniker,Y$4,TF_Dato,$A824))*2,0)/2)))</f>
        <v/>
      </c>
      <c r="Z824">
        <f>IF(OR(Z$4="",$A824&gt;TODAY()),0,IF(OR(INDEX($B824:$D824,Z$5)="F",AND(Z$6&gt;0,$A824&lt;Z$6),AND(Z$7&gt;0,$A824&gt;Z$7)),0,MAX(0,ROUND((INDEX($E824:$G824,Z$5)-SUMIFS(TF_Timer,TF_Tekniker,Z$4,TF_Dato,$A824))*2,0)/2)))</f>
        <v/>
      </c>
      <c r="AA824">
        <f>IF(OR(AA$4="",$A824&gt;TODAY()),0,IF(OR(INDEX($B824:$D824,AA$5)="F",AND(AA$6&gt;0,$A824&lt;AA$6),AND(AA$7&gt;0,$A824&gt;AA$7)),0,MAX(0,ROUND((INDEX($E824:$G824,AA$5)-SUMIFS(TF_Timer,TF_Tekniker,AA$4,TF_Dato,$A824))*2,0)/2)))</f>
        <v/>
      </c>
      <c r="AB824">
        <f>IF(OR(AB$4="",$A824&gt;TODAY()),0,IF(OR(INDEX($B824:$D824,AB$5)="F",AND(AB$6&gt;0,$A824&lt;AB$6),AND(AB$7&gt;0,$A824&gt;AB$7)),0,MAX(0,ROUND((INDEX($E824:$G824,AB$5)-SUMIFS(TF_Timer,TF_Tekniker,AB$4,TF_Dato,$A824))*2,0)/2)))</f>
        <v/>
      </c>
      <c r="AC824">
        <f>IF(OR(AC$4="",$A824&gt;TODAY()),0,IF(OR(INDEX($B824:$D824,AC$5)="F",AND(AC$6&gt;0,$A824&lt;AC$6),AND(AC$7&gt;0,$A824&gt;AC$7)),0,MAX(0,ROUND((INDEX($E824:$G824,AC$5)-SUMIFS(TF_Timer,TF_Tekniker,AC$4,TF_Dato,$A824))*2,0)/2)))</f>
        <v/>
      </c>
      <c r="AD824">
        <f>IF(OR(AD$4="",$A824&gt;TODAY()),0,IF(OR(INDEX($B824:$D824,AD$5)="F",AND(AD$6&gt;0,$A824&lt;AD$6),AND(AD$7&gt;0,$A824&gt;AD$7)),0,MAX(0,ROUND((INDEX($E824:$G824,AD$5)-SUMIFS(TF_Timer,TF_Tekniker,AD$4,TF_Dato,$A824))*2,0)/2)))</f>
        <v/>
      </c>
      <c r="AE824">
        <f>IF(OR(AE$4="",$A824&gt;TODAY()),0,IF(OR(INDEX($B824:$D824,AE$5)="F",AND(AE$6&gt;0,$A824&lt;AE$6),AND(AE$7&gt;0,$A824&gt;AE$7)),0,MAX(0,ROUND((INDEX($E824:$G824,AE$5)-SUMIFS(TF_Timer,TF_Tekniker,AE$4,TF_Dato,$A824))*2,0)/2)))</f>
        <v/>
      </c>
      <c r="AF824">
        <f>IF(OR(AF$4="",$A824&gt;TODAY()),0,IF(OR(INDEX($B824:$D824,AF$5)="F",AND(AF$6&gt;0,$A824&lt;AF$6),AND(AF$7&gt;0,$A824&gt;AF$7)),0,MAX(0,ROUND((INDEX($E824:$G824,AF$5)-SUMIFS(TF_Timer,TF_Tekniker,AF$4,TF_Dato,$A824))*2,0)/2)))</f>
        <v/>
      </c>
      <c r="AG824">
        <f>IF(OR(AG$4="",$A824&gt;TODAY()),0,IF(OR(INDEX($B824:$D824,AG$5)="F",AND(AG$6&gt;0,$A824&lt;AG$6),AND(AG$7&gt;0,$A824&gt;AG$7)),0,MAX(0,ROUND((INDEX($E824:$G824,AG$5)-SUMIFS(TF_Timer,TF_Tekniker,AG$4,TF_Dato,$A824))*2,0)/2)))</f>
        <v/>
      </c>
      <c r="AH824">
        <f>IF(OR(AH$4="",$A824&gt;TODAY()),0,IF(OR(INDEX($B824:$D824,AH$5)="F",AND(AH$6&gt;0,$A824&lt;AH$6),AND(AH$7&gt;0,$A824&gt;AH$7)),0,MAX(0,ROUND((INDEX($E824:$G824,AH$5)-SUMIFS(TF_Timer,TF_Tekniker,AH$4,TF_Dato,$A824))*2,0)/2)))</f>
        <v/>
      </c>
      <c r="AI824">
        <f>IF(OR(AI$4="",$A824&gt;TODAY()),0,IF(OR(INDEX($B824:$D824,AI$5)="F",AND(AI$6&gt;0,$A824&lt;AI$6),AND(AI$7&gt;0,$A824&gt;AI$7)),0,MAX(0,ROUND((INDEX($E824:$G824,AI$5)-SUMIFS(TF_Timer,TF_Tekniker,AI$4,TF_Dato,$A824))*2,0)/2)))</f>
        <v/>
      </c>
      <c r="AJ824">
        <f>IF(OR(AJ$4="",$A824&gt;TODAY()),0,IF(OR(INDEX($B824:$D824,AJ$5)="F",AND(AJ$6&gt;0,$A824&lt;AJ$6),AND(AJ$7&gt;0,$A824&gt;AJ$7)),0,MAX(0,ROUND((INDEX($E824:$G824,AJ$5)-SUMIFS(TF_Timer,TF_Tekniker,AJ$4,TF_Dato,$A824))*2,0)/2)))</f>
        <v/>
      </c>
      <c r="AK824">
        <f>IF(OR(AK$4="",$A824&gt;TODAY()),0,IF(OR(INDEX($B824:$D824,AK$5)="F",AND(AK$6&gt;0,$A824&lt;AK$6),AND(AK$7&gt;0,$A824&gt;AK$7)),0,MAX(0,ROUND((INDEX($E824:$G824,AK$5)-SUMIFS(TF_Timer,TF_Tekniker,AK$4,TF_Dato,$A824))*2,0)/2)))</f>
        <v/>
      </c>
      <c r="AL824">
        <f>IF(OR(AL$4="",$A824&gt;TODAY()),0,IF(OR(INDEX($B824:$D824,AL$5)="F",AND(AL$6&gt;0,$A824&lt;AL$6),AND(AL$7&gt;0,$A824&gt;AL$7)),0,MAX(0,ROUND((INDEX($E824:$G824,AL$5)-SUMIFS(TF_Timer,TF_Tekniker,AL$4,TF_Dato,$A824))*2,0)/2)))</f>
        <v/>
      </c>
      <c r="AM824">
        <f>IF(OR(AM$4="",$A824&gt;TODAY()),0,IF(OR(INDEX($B824:$D824,AM$5)="F",AND(AM$6&gt;0,$A824&lt;AM$6),AND(AM$7&gt;0,$A824&gt;AM$7)),0,MAX(0,ROUND((INDEX($E824:$G824,AM$5)-SUMIFS(TF_Timer,TF_Tekniker,AM$4,TF_Dato,$A824))*2,0)/2)))</f>
        <v/>
      </c>
      <c r="AN824">
        <f>IF(OR(AN$4="",$A824&gt;TODAY()),0,IF(OR(INDEX($B824:$D824,AN$5)="F",AND(AN$6&gt;0,$A824&lt;AN$6),AND(AN$7&gt;0,$A824&gt;AN$7)),0,MAX(0,ROUND((INDEX($E824:$G824,AN$5)-SUMIFS(TF_Timer,TF_Tekniker,AN$4,TF_Dato,$A824))*2,0)/2)))</f>
        <v/>
      </c>
      <c r="AO824">
        <f>IF(OR(AO$4="",$A824&gt;TODAY()),0,IF(OR(INDEX($B824:$D824,AO$5)="F",AND(AO$6&gt;0,$A824&lt;AO$6),AND(AO$7&gt;0,$A824&gt;AO$7)),0,MAX(0,ROUND((INDEX($E824:$G824,AO$5)-SUMIFS(TF_Timer,TF_Tekniker,AO$4,TF_Dato,$A824))*2,0)/2)))</f>
        <v/>
      </c>
      <c r="AP824">
        <f>IF(OR(AP$4="",$A824&gt;TODAY()),0,IF(OR(INDEX($B824:$D824,AP$5)="F",AND(AP$6&gt;0,$A824&lt;AP$6),AND(AP$7&gt;0,$A824&gt;AP$7)),0,MAX(0,ROUND((INDEX($E824:$G824,AP$5)-SUMIFS(TF_Timer,TF_Tekniker,AP$4,TF_Dato,$A824))*2,0)/2)))</f>
        <v/>
      </c>
      <c r="AQ824">
        <f>IF(OR(AQ$4="",$A824&gt;TODAY()),0,IF(OR(INDEX($B824:$D824,AQ$5)="F",AND(AQ$6&gt;0,$A824&lt;AQ$6),AND(AQ$7&gt;0,$A824&gt;AQ$7)),0,MAX(0,ROUND((INDEX($E824:$G824,AQ$5)-SUMIFS(TF_Timer,TF_Tekniker,AQ$4,TF_Dato,$A824))*2,0)/2)))</f>
        <v/>
      </c>
      <c r="AR824">
        <f>IF(OR(AR$4="",$A824&gt;TODAY()),0,IF(OR(INDEX($B824:$D824,AR$5)="F",AND(AR$6&gt;0,$A824&lt;AR$6),AND(AR$7&gt;0,$A824&gt;AR$7)),0,MAX(0,ROUND((INDEX($E824:$G824,AR$5)-SUMIFS(TF_Timer,TF_Tekniker,AR$4,TF_Dato,$A824))*2,0)/2)))</f>
        <v/>
      </c>
      <c r="AS824">
        <f>IF(OR(AS$4="",$A824&gt;TODAY()),0,IF(OR(INDEX($B824:$D824,AS$5)="F",AND(AS$6&gt;0,$A824&lt;AS$6),AND(AS$7&gt;0,$A824&gt;AS$7)),0,MAX(0,ROUND((INDEX($E824:$G824,AS$5)-SUMIFS(TF_Timer,TF_Tekniker,AS$4,TF_Dato,$A824))*2,0)/2)))</f>
        <v/>
      </c>
      <c r="AT824">
        <f>IF(OR(AT$4="",$A824&gt;TODAY()),0,IF(OR(INDEX($B824:$D824,AT$5)="F",AND(AT$6&gt;0,$A824&lt;AT$6),AND(AT$7&gt;0,$A824&gt;AT$7)),0,MAX(0,ROUND((INDEX($E824:$G824,AT$5)-SUMIFS(TF_Timer,TF_Tekniker,AT$4,TF_Dato,$A824))*2,0)/2)))</f>
        <v/>
      </c>
      <c r="AU824">
        <f>IF(OR(AU$4="",$A824&gt;TODAY()),0,IF(OR(INDEX($B824:$D824,AU$5)="F",AND(AU$6&gt;0,$A824&lt;AU$6),AND(AU$7&gt;0,$A824&gt;AU$7)),0,MAX(0,ROUND((INDEX($E824:$G824,AU$5)-SUMIFS(TF_Timer,TF_Tekniker,AU$4,TF_Dato,$A824))*2,0)/2)))</f>
        <v/>
      </c>
      <c r="AV824">
        <f>IF(OR(AV$4="",$A824&gt;TODAY()),0,IF(OR(INDEX($B824:$D824,AV$5)="F",AND(AV$6&gt;0,$A824&lt;AV$6),AND(AV$7&gt;0,$A824&gt;AV$7)),0,MAX(0,ROUND((INDEX($E824:$G824,AV$5)-SUMIFS(TF_Timer,TF_Tekniker,AV$4,TF_Dato,$A824))*2,0)/2)))</f>
        <v/>
      </c>
      <c r="AW824">
        <f>IF(OR(AW$4="",$A824&gt;TODAY()),0,IF(OR(INDEX($B824:$D824,AW$5)="F",AND(AW$6&gt;0,$A824&lt;AW$6),AND(AW$7&gt;0,$A824&gt;AW$7)),0,MAX(0,ROUND((INDEX($E824:$G824,AW$5)-SUMIFS(TF_Timer,TF_Tekniker,AW$4,TF_Dato,$A824))*2,0)/2)))</f>
        <v/>
      </c>
      <c r="AX824">
        <f>IF(OR(AX$4="",$A824&gt;TODAY()),0,IF(OR(INDEX($B824:$D824,AX$5)="F",AND(AX$6&gt;0,$A824&lt;AX$6),AND(AX$7&gt;0,$A824&gt;AX$7)),0,MAX(0,ROUND((INDEX($E824:$G824,AX$5)-SUMIFS(TF_Timer,TF_Tekniker,AX$4,TF_Dato,$A824))*2,0)/2)))</f>
        <v/>
      </c>
      <c r="AY824">
        <f>IF(OR(AY$4="",$A824&gt;TODAY()),0,IF(OR(INDEX($B824:$D824,AY$5)="F",AND(AY$6&gt;0,$A824&lt;AY$6),AND(AY$7&gt;0,$A824&gt;AY$7)),0,MAX(0,ROUND((INDEX($E824:$G824,AY$5)-SUMIFS(TF_Timer,TF_Tekniker,AY$4,TF_Dato,$A824))*2,0)/2)))</f>
        <v/>
      </c>
      <c r="AZ824">
        <f>IF(OR(AZ$4="",$A824&gt;TODAY()),0,IF(OR(INDEX($B824:$D824,AZ$5)="F",AND(AZ$6&gt;0,$A824&lt;AZ$6),AND(AZ$7&gt;0,$A824&gt;AZ$7)),0,MAX(0,ROUND((INDEX($E824:$G824,AZ$5)-SUMIFS(TF_Timer,TF_Tekniker,AZ$4,TF_Dato,$A824))*2,0)/2)))</f>
        <v/>
      </c>
      <c r="BA824">
        <f>IF(OR(BA$4="",$A824&gt;TODAY()),0,IF(OR(INDEX($B824:$D824,BA$5)="F",AND(BA$6&gt;0,$A824&lt;BA$6),AND(BA$7&gt;0,$A824&gt;BA$7)),0,MAX(0,ROUND((INDEX($E824:$G824,BA$5)-SUMIFS(TF_Timer,TF_Tekniker,BA$4,TF_Dato,$A824))*2,0)/2)))</f>
        <v/>
      </c>
      <c r="BB824">
        <f>IF(OR(BB$4="",$A824&gt;TODAY()),0,IF(OR(INDEX($B824:$D824,BB$5)="F",AND(BB$6&gt;0,$A824&lt;BB$6),AND(BB$7&gt;0,$A824&gt;BB$7)),0,MAX(0,ROUND((INDEX($E824:$G824,BB$5)-SUMIFS(TF_Timer,TF_Tekniker,BB$4,TF_Dato,$A824))*2,0)/2)))</f>
        <v/>
      </c>
      <c r="BC824">
        <f>IF(OR(BC$4="",$A824&gt;TODAY()),0,IF(OR(INDEX($B824:$D824,BC$5)="F",AND(BC$6&gt;0,$A824&lt;BC$6),AND(BC$7&gt;0,$A824&gt;BC$7)),0,MAX(0,ROUND((INDEX($E824:$G824,BC$5)-SUMIFS(TF_Timer,TF_Tekniker,BC$4,TF_Dato,$A824))*2,0)/2)))</f>
        <v/>
      </c>
      <c r="BD824">
        <f>IF(OR(BD$4="",$A824&gt;TODAY()),0,IF(OR(INDEX($B824:$D824,BD$5)="F",AND(BD$6&gt;0,$A824&lt;BD$6),AND(BD$7&gt;0,$A824&gt;BD$7)),0,MAX(0,ROUND((INDEX($E824:$G824,BD$5)-SUMIFS(TF_Timer,TF_Tekniker,BD$4,TF_Dato,$A824))*2,0)/2)))</f>
        <v/>
      </c>
      <c r="BE824">
        <f>IF(OR(BE$4="",$A824&gt;TODAY()),0,IF(OR(INDEX($B824:$D824,BE$5)="F",AND(BE$6&gt;0,$A824&lt;BE$6),AND(BE$7&gt;0,$A824&gt;BE$7)),0,MAX(0,ROUND((INDEX($E824:$G824,BE$5)-SUMIFS(TF_Timer,TF_Tekniker,BE$4,TF_Dato,$A824))*2,0)/2)))</f>
        <v/>
      </c>
      <c r="BF824">
        <f>IF(OR(BF$4="",$A824&gt;TODAY()),0,IF(OR(INDEX($B824:$D824,BF$5)="F",AND(BF$6&gt;0,$A824&lt;BF$6),AND(BF$7&gt;0,$A824&gt;BF$7)),0,MAX(0,ROUND((INDEX($E824:$G824,BF$5)-SUMIFS(TF_Timer,TF_Tekniker,BF$4,TF_Dato,$A824))*2,0)/2)))</f>
        <v/>
      </c>
      <c r="BG824">
        <f>IF(OR(BG$4="",$A824&gt;TODAY()),0,IF(OR(INDEX($B824:$D824,BG$5)="F",AND(BG$6&gt;0,$A824&lt;BG$6),AND(BG$7&gt;0,$A824&gt;BG$7)),0,MAX(0,ROUND((INDEX($E824:$G824,BG$5)-SUMIFS(TF_Timer,TF_Tekniker,BG$4,TF_Dato,$A824))*2,0)/2)))</f>
        <v/>
      </c>
      <c r="BH824">
        <f>IF(OR(BH$4="",$A824&gt;TODAY()),0,IF(OR(INDEX($B824:$D824,BH$5)="F",AND(BH$6&gt;0,$A824&lt;BH$6),AND(BH$7&gt;0,$A824&gt;BH$7)),0,MAX(0,ROUND((INDEX($E824:$G824,BH$5)-SUMIFS(TF_Timer,TF_Tekniker,BH$4,TF_Dato,$A824))*2,0)/2)))</f>
        <v/>
      </c>
      <c r="BI824">
        <f>IF(OR(BI$4="",$A824&gt;TODAY()),0,IF(OR(INDEX($B824:$D824,BI$5)="F",AND(BI$6&gt;0,$A824&lt;BI$6),AND(BI$7&gt;0,$A824&gt;BI$7)),0,MAX(0,ROUND((INDEX($E824:$G824,BI$5)-SUMIFS(TF_Timer,TF_Tekniker,BI$4,TF_Dato,$A824))*2,0)/2)))</f>
        <v/>
      </c>
    </row>
    <row r="825">
      <c r="A825" s="64">
        <f>A824+1</f>
        <v/>
      </c>
      <c r="B825">
        <f>IF(MOD($A825-INDEX(SkiftStart,1),Syklus)&lt;DagK,"K",IF(MOD($A825-INDEX(SkiftStart,1),Syklus)&lt;DagK+DagH,"H",IF(MOD($A825-INDEX(SkiftStart,1),Syklus)&lt;DagK+DagH+DagD,"D","F")))</f>
        <v/>
      </c>
      <c r="C825">
        <f>IF(MOD($A825-INDEX(SkiftStart,2),Syklus)&lt;DagK,"K",IF(MOD($A825-INDEX(SkiftStart,2),Syklus)&lt;DagK+DagH,"H",IF(MOD($A825-INDEX(SkiftStart,2),Syklus)&lt;DagK+DagH+DagD,"D","F")))</f>
        <v/>
      </c>
      <c r="D825">
        <f>IF(MOD($A825-INDEX(SkiftStart,3),Syklus)&lt;DagK,"K",IF(MOD($A825-INDEX(SkiftStart,3),Syklus)&lt;DagK+DagH,"H",IF(MOD($A825-INDEX(SkiftStart,3),Syklus)&lt;DagK+DagH+DagD,"D","F")))</f>
        <v/>
      </c>
      <c r="E825">
        <f>IF(B825="F",0,IF(WEEKDAY($A825,2)=5,INDEX(TimerFr,MATCH(B825,FaseKode,0)),INDEX(TimerMT,MATCH(B825,FaseKode,0))))</f>
        <v/>
      </c>
      <c r="F825">
        <f>IF(C825="F",0,IF(WEEKDAY($A825,2)=5,INDEX(TimerFr,MATCH(C825,FaseKode,0)),INDEX(TimerMT,MATCH(C825,FaseKode,0))))</f>
        <v/>
      </c>
      <c r="G825">
        <f>IF(D825="F",0,IF(WEEKDAY($A825,2)=5,INDEX(TimerFr,MATCH(D825,FaseKode,0)),INDEX(TimerMT,MATCH(D825,FaseKode,0))))</f>
        <v/>
      </c>
      <c r="H825">
        <f>IF(OR(H$4="",$A825&gt;TODAY()),0,IF(OR(INDEX($B825:$D825,H$5)="F",AND(H$6&gt;0,$A825&lt;H$6),AND(H$7&gt;0,$A825&gt;H$7)),0,MAX(0,ROUND((INDEX($E825:$G825,H$5)-SUMIFS(TF_Timer,TF_Tekniker,H$4,TF_Dato,$A825))*2,0)/2)))</f>
        <v/>
      </c>
      <c r="I825">
        <f>IF(OR(I$4="",$A825&gt;TODAY()),0,IF(OR(INDEX($B825:$D825,I$5)="F",AND(I$6&gt;0,$A825&lt;I$6),AND(I$7&gt;0,$A825&gt;I$7)),0,MAX(0,ROUND((INDEX($E825:$G825,I$5)-SUMIFS(TF_Timer,TF_Tekniker,I$4,TF_Dato,$A825))*2,0)/2)))</f>
        <v/>
      </c>
      <c r="J825">
        <f>IF(OR(J$4="",$A825&gt;TODAY()),0,IF(OR(INDEX($B825:$D825,J$5)="F",AND(J$6&gt;0,$A825&lt;J$6),AND(J$7&gt;0,$A825&gt;J$7)),0,MAX(0,ROUND((INDEX($E825:$G825,J$5)-SUMIFS(TF_Timer,TF_Tekniker,J$4,TF_Dato,$A825))*2,0)/2)))</f>
        <v/>
      </c>
      <c r="K825">
        <f>IF(OR(K$4="",$A825&gt;TODAY()),0,IF(OR(INDEX($B825:$D825,K$5)="F",AND(K$6&gt;0,$A825&lt;K$6),AND(K$7&gt;0,$A825&gt;K$7)),0,MAX(0,ROUND((INDEX($E825:$G825,K$5)-SUMIFS(TF_Timer,TF_Tekniker,K$4,TF_Dato,$A825))*2,0)/2)))</f>
        <v/>
      </c>
      <c r="L825">
        <f>IF(OR(L$4="",$A825&gt;TODAY()),0,IF(OR(INDEX($B825:$D825,L$5)="F",AND(L$6&gt;0,$A825&lt;L$6),AND(L$7&gt;0,$A825&gt;L$7)),0,MAX(0,ROUND((INDEX($E825:$G825,L$5)-SUMIFS(TF_Timer,TF_Tekniker,L$4,TF_Dato,$A825))*2,0)/2)))</f>
        <v/>
      </c>
      <c r="M825">
        <f>IF(OR(M$4="",$A825&gt;TODAY()),0,IF(OR(INDEX($B825:$D825,M$5)="F",AND(M$6&gt;0,$A825&lt;M$6),AND(M$7&gt;0,$A825&gt;M$7)),0,MAX(0,ROUND((INDEX($E825:$G825,M$5)-SUMIFS(TF_Timer,TF_Tekniker,M$4,TF_Dato,$A825))*2,0)/2)))</f>
        <v/>
      </c>
      <c r="N825">
        <f>IF(OR(N$4="",$A825&gt;TODAY()),0,IF(OR(INDEX($B825:$D825,N$5)="F",AND(N$6&gt;0,$A825&lt;N$6),AND(N$7&gt;0,$A825&gt;N$7)),0,MAX(0,ROUND((INDEX($E825:$G825,N$5)-SUMIFS(TF_Timer,TF_Tekniker,N$4,TF_Dato,$A825))*2,0)/2)))</f>
        <v/>
      </c>
      <c r="O825">
        <f>IF(OR(O$4="",$A825&gt;TODAY()),0,IF(OR(INDEX($B825:$D825,O$5)="F",AND(O$6&gt;0,$A825&lt;O$6),AND(O$7&gt;0,$A825&gt;O$7)),0,MAX(0,ROUND((INDEX($E825:$G825,O$5)-SUMIFS(TF_Timer,TF_Tekniker,O$4,TF_Dato,$A825))*2,0)/2)))</f>
        <v/>
      </c>
      <c r="P825">
        <f>IF(OR(P$4="",$A825&gt;TODAY()),0,IF(OR(INDEX($B825:$D825,P$5)="F",AND(P$6&gt;0,$A825&lt;P$6),AND(P$7&gt;0,$A825&gt;P$7)),0,MAX(0,ROUND((INDEX($E825:$G825,P$5)-SUMIFS(TF_Timer,TF_Tekniker,P$4,TF_Dato,$A825))*2,0)/2)))</f>
        <v/>
      </c>
      <c r="Q825">
        <f>IF(OR(Q$4="",$A825&gt;TODAY()),0,IF(OR(INDEX($B825:$D825,Q$5)="F",AND(Q$6&gt;0,$A825&lt;Q$6),AND(Q$7&gt;0,$A825&gt;Q$7)),0,MAX(0,ROUND((INDEX($E825:$G825,Q$5)-SUMIFS(TF_Timer,TF_Tekniker,Q$4,TF_Dato,$A825))*2,0)/2)))</f>
        <v/>
      </c>
      <c r="R825">
        <f>IF(OR(R$4="",$A825&gt;TODAY()),0,IF(OR(INDEX($B825:$D825,R$5)="F",AND(R$6&gt;0,$A825&lt;R$6),AND(R$7&gt;0,$A825&gt;R$7)),0,MAX(0,ROUND((INDEX($E825:$G825,R$5)-SUMIFS(TF_Timer,TF_Tekniker,R$4,TF_Dato,$A825))*2,0)/2)))</f>
        <v/>
      </c>
      <c r="S825">
        <f>IF(OR(S$4="",$A825&gt;TODAY()),0,IF(OR(INDEX($B825:$D825,S$5)="F",AND(S$6&gt;0,$A825&lt;S$6),AND(S$7&gt;0,$A825&gt;S$7)),0,MAX(0,ROUND((INDEX($E825:$G825,S$5)-SUMIFS(TF_Timer,TF_Tekniker,S$4,TF_Dato,$A825))*2,0)/2)))</f>
        <v/>
      </c>
      <c r="T825">
        <f>IF(OR(T$4="",$A825&gt;TODAY()),0,IF(OR(INDEX($B825:$D825,T$5)="F",AND(T$6&gt;0,$A825&lt;T$6),AND(T$7&gt;0,$A825&gt;T$7)),0,MAX(0,ROUND((INDEX($E825:$G825,T$5)-SUMIFS(TF_Timer,TF_Tekniker,T$4,TF_Dato,$A825))*2,0)/2)))</f>
        <v/>
      </c>
      <c r="U825">
        <f>IF(OR(U$4="",$A825&gt;TODAY()),0,IF(OR(INDEX($B825:$D825,U$5)="F",AND(U$6&gt;0,$A825&lt;U$6),AND(U$7&gt;0,$A825&gt;U$7)),0,MAX(0,ROUND((INDEX($E825:$G825,U$5)-SUMIFS(TF_Timer,TF_Tekniker,U$4,TF_Dato,$A825))*2,0)/2)))</f>
        <v/>
      </c>
      <c r="V825">
        <f>IF(OR(V$4="",$A825&gt;TODAY()),0,IF(OR(INDEX($B825:$D825,V$5)="F",AND(V$6&gt;0,$A825&lt;V$6),AND(V$7&gt;0,$A825&gt;V$7)),0,MAX(0,ROUND((INDEX($E825:$G825,V$5)-SUMIFS(TF_Timer,TF_Tekniker,V$4,TF_Dato,$A825))*2,0)/2)))</f>
        <v/>
      </c>
      <c r="W825">
        <f>IF(OR(W$4="",$A825&gt;TODAY()),0,IF(OR(INDEX($B825:$D825,W$5)="F",AND(W$6&gt;0,$A825&lt;W$6),AND(W$7&gt;0,$A825&gt;W$7)),0,MAX(0,ROUND((INDEX($E825:$G825,W$5)-SUMIFS(TF_Timer,TF_Tekniker,W$4,TF_Dato,$A825))*2,0)/2)))</f>
        <v/>
      </c>
      <c r="X825">
        <f>IF(OR(X$4="",$A825&gt;TODAY()),0,IF(OR(INDEX($B825:$D825,X$5)="F",AND(X$6&gt;0,$A825&lt;X$6),AND(X$7&gt;0,$A825&gt;X$7)),0,MAX(0,ROUND((INDEX($E825:$G825,X$5)-SUMIFS(TF_Timer,TF_Tekniker,X$4,TF_Dato,$A825))*2,0)/2)))</f>
        <v/>
      </c>
      <c r="Y825">
        <f>IF(OR(Y$4="",$A825&gt;TODAY()),0,IF(OR(INDEX($B825:$D825,Y$5)="F",AND(Y$6&gt;0,$A825&lt;Y$6),AND(Y$7&gt;0,$A825&gt;Y$7)),0,MAX(0,ROUND((INDEX($E825:$G825,Y$5)-SUMIFS(TF_Timer,TF_Tekniker,Y$4,TF_Dato,$A825))*2,0)/2)))</f>
        <v/>
      </c>
      <c r="Z825">
        <f>IF(OR(Z$4="",$A825&gt;TODAY()),0,IF(OR(INDEX($B825:$D825,Z$5)="F",AND(Z$6&gt;0,$A825&lt;Z$6),AND(Z$7&gt;0,$A825&gt;Z$7)),0,MAX(0,ROUND((INDEX($E825:$G825,Z$5)-SUMIFS(TF_Timer,TF_Tekniker,Z$4,TF_Dato,$A825))*2,0)/2)))</f>
        <v/>
      </c>
      <c r="AA825">
        <f>IF(OR(AA$4="",$A825&gt;TODAY()),0,IF(OR(INDEX($B825:$D825,AA$5)="F",AND(AA$6&gt;0,$A825&lt;AA$6),AND(AA$7&gt;0,$A825&gt;AA$7)),0,MAX(0,ROUND((INDEX($E825:$G825,AA$5)-SUMIFS(TF_Timer,TF_Tekniker,AA$4,TF_Dato,$A825))*2,0)/2)))</f>
        <v/>
      </c>
      <c r="AB825">
        <f>IF(OR(AB$4="",$A825&gt;TODAY()),0,IF(OR(INDEX($B825:$D825,AB$5)="F",AND(AB$6&gt;0,$A825&lt;AB$6),AND(AB$7&gt;0,$A825&gt;AB$7)),0,MAX(0,ROUND((INDEX($E825:$G825,AB$5)-SUMIFS(TF_Timer,TF_Tekniker,AB$4,TF_Dato,$A825))*2,0)/2)))</f>
        <v/>
      </c>
      <c r="AC825">
        <f>IF(OR(AC$4="",$A825&gt;TODAY()),0,IF(OR(INDEX($B825:$D825,AC$5)="F",AND(AC$6&gt;0,$A825&lt;AC$6),AND(AC$7&gt;0,$A825&gt;AC$7)),0,MAX(0,ROUND((INDEX($E825:$G825,AC$5)-SUMIFS(TF_Timer,TF_Tekniker,AC$4,TF_Dato,$A825))*2,0)/2)))</f>
        <v/>
      </c>
      <c r="AD825">
        <f>IF(OR(AD$4="",$A825&gt;TODAY()),0,IF(OR(INDEX($B825:$D825,AD$5)="F",AND(AD$6&gt;0,$A825&lt;AD$6),AND(AD$7&gt;0,$A825&gt;AD$7)),0,MAX(0,ROUND((INDEX($E825:$G825,AD$5)-SUMIFS(TF_Timer,TF_Tekniker,AD$4,TF_Dato,$A825))*2,0)/2)))</f>
        <v/>
      </c>
      <c r="AE825">
        <f>IF(OR(AE$4="",$A825&gt;TODAY()),0,IF(OR(INDEX($B825:$D825,AE$5)="F",AND(AE$6&gt;0,$A825&lt;AE$6),AND(AE$7&gt;0,$A825&gt;AE$7)),0,MAX(0,ROUND((INDEX($E825:$G825,AE$5)-SUMIFS(TF_Timer,TF_Tekniker,AE$4,TF_Dato,$A825))*2,0)/2)))</f>
        <v/>
      </c>
      <c r="AF825">
        <f>IF(OR(AF$4="",$A825&gt;TODAY()),0,IF(OR(INDEX($B825:$D825,AF$5)="F",AND(AF$6&gt;0,$A825&lt;AF$6),AND(AF$7&gt;0,$A825&gt;AF$7)),0,MAX(0,ROUND((INDEX($E825:$G825,AF$5)-SUMIFS(TF_Timer,TF_Tekniker,AF$4,TF_Dato,$A825))*2,0)/2)))</f>
        <v/>
      </c>
      <c r="AG825">
        <f>IF(OR(AG$4="",$A825&gt;TODAY()),0,IF(OR(INDEX($B825:$D825,AG$5)="F",AND(AG$6&gt;0,$A825&lt;AG$6),AND(AG$7&gt;0,$A825&gt;AG$7)),0,MAX(0,ROUND((INDEX($E825:$G825,AG$5)-SUMIFS(TF_Timer,TF_Tekniker,AG$4,TF_Dato,$A825))*2,0)/2)))</f>
        <v/>
      </c>
      <c r="AH825">
        <f>IF(OR(AH$4="",$A825&gt;TODAY()),0,IF(OR(INDEX($B825:$D825,AH$5)="F",AND(AH$6&gt;0,$A825&lt;AH$6),AND(AH$7&gt;0,$A825&gt;AH$7)),0,MAX(0,ROUND((INDEX($E825:$G825,AH$5)-SUMIFS(TF_Timer,TF_Tekniker,AH$4,TF_Dato,$A825))*2,0)/2)))</f>
        <v/>
      </c>
      <c r="AI825">
        <f>IF(OR(AI$4="",$A825&gt;TODAY()),0,IF(OR(INDEX($B825:$D825,AI$5)="F",AND(AI$6&gt;0,$A825&lt;AI$6),AND(AI$7&gt;0,$A825&gt;AI$7)),0,MAX(0,ROUND((INDEX($E825:$G825,AI$5)-SUMIFS(TF_Timer,TF_Tekniker,AI$4,TF_Dato,$A825))*2,0)/2)))</f>
        <v/>
      </c>
      <c r="AJ825">
        <f>IF(OR(AJ$4="",$A825&gt;TODAY()),0,IF(OR(INDEX($B825:$D825,AJ$5)="F",AND(AJ$6&gt;0,$A825&lt;AJ$6),AND(AJ$7&gt;0,$A825&gt;AJ$7)),0,MAX(0,ROUND((INDEX($E825:$G825,AJ$5)-SUMIFS(TF_Timer,TF_Tekniker,AJ$4,TF_Dato,$A825))*2,0)/2)))</f>
        <v/>
      </c>
      <c r="AK825">
        <f>IF(OR(AK$4="",$A825&gt;TODAY()),0,IF(OR(INDEX($B825:$D825,AK$5)="F",AND(AK$6&gt;0,$A825&lt;AK$6),AND(AK$7&gt;0,$A825&gt;AK$7)),0,MAX(0,ROUND((INDEX($E825:$G825,AK$5)-SUMIFS(TF_Timer,TF_Tekniker,AK$4,TF_Dato,$A825))*2,0)/2)))</f>
        <v/>
      </c>
      <c r="AL825">
        <f>IF(OR(AL$4="",$A825&gt;TODAY()),0,IF(OR(INDEX($B825:$D825,AL$5)="F",AND(AL$6&gt;0,$A825&lt;AL$6),AND(AL$7&gt;0,$A825&gt;AL$7)),0,MAX(0,ROUND((INDEX($E825:$G825,AL$5)-SUMIFS(TF_Timer,TF_Tekniker,AL$4,TF_Dato,$A825))*2,0)/2)))</f>
        <v/>
      </c>
      <c r="AM825">
        <f>IF(OR(AM$4="",$A825&gt;TODAY()),0,IF(OR(INDEX($B825:$D825,AM$5)="F",AND(AM$6&gt;0,$A825&lt;AM$6),AND(AM$7&gt;0,$A825&gt;AM$7)),0,MAX(0,ROUND((INDEX($E825:$G825,AM$5)-SUMIFS(TF_Timer,TF_Tekniker,AM$4,TF_Dato,$A825))*2,0)/2)))</f>
        <v/>
      </c>
      <c r="AN825">
        <f>IF(OR(AN$4="",$A825&gt;TODAY()),0,IF(OR(INDEX($B825:$D825,AN$5)="F",AND(AN$6&gt;0,$A825&lt;AN$6),AND(AN$7&gt;0,$A825&gt;AN$7)),0,MAX(0,ROUND((INDEX($E825:$G825,AN$5)-SUMIFS(TF_Timer,TF_Tekniker,AN$4,TF_Dato,$A825))*2,0)/2)))</f>
        <v/>
      </c>
      <c r="AO825">
        <f>IF(OR(AO$4="",$A825&gt;TODAY()),0,IF(OR(INDEX($B825:$D825,AO$5)="F",AND(AO$6&gt;0,$A825&lt;AO$6),AND(AO$7&gt;0,$A825&gt;AO$7)),0,MAX(0,ROUND((INDEX($E825:$G825,AO$5)-SUMIFS(TF_Timer,TF_Tekniker,AO$4,TF_Dato,$A825))*2,0)/2)))</f>
        <v/>
      </c>
      <c r="AP825">
        <f>IF(OR(AP$4="",$A825&gt;TODAY()),0,IF(OR(INDEX($B825:$D825,AP$5)="F",AND(AP$6&gt;0,$A825&lt;AP$6),AND(AP$7&gt;0,$A825&gt;AP$7)),0,MAX(0,ROUND((INDEX($E825:$G825,AP$5)-SUMIFS(TF_Timer,TF_Tekniker,AP$4,TF_Dato,$A825))*2,0)/2)))</f>
        <v/>
      </c>
      <c r="AQ825">
        <f>IF(OR(AQ$4="",$A825&gt;TODAY()),0,IF(OR(INDEX($B825:$D825,AQ$5)="F",AND(AQ$6&gt;0,$A825&lt;AQ$6),AND(AQ$7&gt;0,$A825&gt;AQ$7)),0,MAX(0,ROUND((INDEX($E825:$G825,AQ$5)-SUMIFS(TF_Timer,TF_Tekniker,AQ$4,TF_Dato,$A825))*2,0)/2)))</f>
        <v/>
      </c>
      <c r="AR825">
        <f>IF(OR(AR$4="",$A825&gt;TODAY()),0,IF(OR(INDEX($B825:$D825,AR$5)="F",AND(AR$6&gt;0,$A825&lt;AR$6),AND(AR$7&gt;0,$A825&gt;AR$7)),0,MAX(0,ROUND((INDEX($E825:$G825,AR$5)-SUMIFS(TF_Timer,TF_Tekniker,AR$4,TF_Dato,$A825))*2,0)/2)))</f>
        <v/>
      </c>
      <c r="AS825">
        <f>IF(OR(AS$4="",$A825&gt;TODAY()),0,IF(OR(INDEX($B825:$D825,AS$5)="F",AND(AS$6&gt;0,$A825&lt;AS$6),AND(AS$7&gt;0,$A825&gt;AS$7)),0,MAX(0,ROUND((INDEX($E825:$G825,AS$5)-SUMIFS(TF_Timer,TF_Tekniker,AS$4,TF_Dato,$A825))*2,0)/2)))</f>
        <v/>
      </c>
      <c r="AT825">
        <f>IF(OR(AT$4="",$A825&gt;TODAY()),0,IF(OR(INDEX($B825:$D825,AT$5)="F",AND(AT$6&gt;0,$A825&lt;AT$6),AND(AT$7&gt;0,$A825&gt;AT$7)),0,MAX(0,ROUND((INDEX($E825:$G825,AT$5)-SUMIFS(TF_Timer,TF_Tekniker,AT$4,TF_Dato,$A825))*2,0)/2)))</f>
        <v/>
      </c>
      <c r="AU825">
        <f>IF(OR(AU$4="",$A825&gt;TODAY()),0,IF(OR(INDEX($B825:$D825,AU$5)="F",AND(AU$6&gt;0,$A825&lt;AU$6),AND(AU$7&gt;0,$A825&gt;AU$7)),0,MAX(0,ROUND((INDEX($E825:$G825,AU$5)-SUMIFS(TF_Timer,TF_Tekniker,AU$4,TF_Dato,$A825))*2,0)/2)))</f>
        <v/>
      </c>
      <c r="AV825">
        <f>IF(OR(AV$4="",$A825&gt;TODAY()),0,IF(OR(INDEX($B825:$D825,AV$5)="F",AND(AV$6&gt;0,$A825&lt;AV$6),AND(AV$7&gt;0,$A825&gt;AV$7)),0,MAX(0,ROUND((INDEX($E825:$G825,AV$5)-SUMIFS(TF_Timer,TF_Tekniker,AV$4,TF_Dato,$A825))*2,0)/2)))</f>
        <v/>
      </c>
      <c r="AW825">
        <f>IF(OR(AW$4="",$A825&gt;TODAY()),0,IF(OR(INDEX($B825:$D825,AW$5)="F",AND(AW$6&gt;0,$A825&lt;AW$6),AND(AW$7&gt;0,$A825&gt;AW$7)),0,MAX(0,ROUND((INDEX($E825:$G825,AW$5)-SUMIFS(TF_Timer,TF_Tekniker,AW$4,TF_Dato,$A825))*2,0)/2)))</f>
        <v/>
      </c>
      <c r="AX825">
        <f>IF(OR(AX$4="",$A825&gt;TODAY()),0,IF(OR(INDEX($B825:$D825,AX$5)="F",AND(AX$6&gt;0,$A825&lt;AX$6),AND(AX$7&gt;0,$A825&gt;AX$7)),0,MAX(0,ROUND((INDEX($E825:$G825,AX$5)-SUMIFS(TF_Timer,TF_Tekniker,AX$4,TF_Dato,$A825))*2,0)/2)))</f>
        <v/>
      </c>
      <c r="AY825">
        <f>IF(OR(AY$4="",$A825&gt;TODAY()),0,IF(OR(INDEX($B825:$D825,AY$5)="F",AND(AY$6&gt;0,$A825&lt;AY$6),AND(AY$7&gt;0,$A825&gt;AY$7)),0,MAX(0,ROUND((INDEX($E825:$G825,AY$5)-SUMIFS(TF_Timer,TF_Tekniker,AY$4,TF_Dato,$A825))*2,0)/2)))</f>
        <v/>
      </c>
      <c r="AZ825">
        <f>IF(OR(AZ$4="",$A825&gt;TODAY()),0,IF(OR(INDEX($B825:$D825,AZ$5)="F",AND(AZ$6&gt;0,$A825&lt;AZ$6),AND(AZ$7&gt;0,$A825&gt;AZ$7)),0,MAX(0,ROUND((INDEX($E825:$G825,AZ$5)-SUMIFS(TF_Timer,TF_Tekniker,AZ$4,TF_Dato,$A825))*2,0)/2)))</f>
        <v/>
      </c>
      <c r="BA825">
        <f>IF(OR(BA$4="",$A825&gt;TODAY()),0,IF(OR(INDEX($B825:$D825,BA$5)="F",AND(BA$6&gt;0,$A825&lt;BA$6),AND(BA$7&gt;0,$A825&gt;BA$7)),0,MAX(0,ROUND((INDEX($E825:$G825,BA$5)-SUMIFS(TF_Timer,TF_Tekniker,BA$4,TF_Dato,$A825))*2,0)/2)))</f>
        <v/>
      </c>
      <c r="BB825">
        <f>IF(OR(BB$4="",$A825&gt;TODAY()),0,IF(OR(INDEX($B825:$D825,BB$5)="F",AND(BB$6&gt;0,$A825&lt;BB$6),AND(BB$7&gt;0,$A825&gt;BB$7)),0,MAX(0,ROUND((INDEX($E825:$G825,BB$5)-SUMIFS(TF_Timer,TF_Tekniker,BB$4,TF_Dato,$A825))*2,0)/2)))</f>
        <v/>
      </c>
      <c r="BC825">
        <f>IF(OR(BC$4="",$A825&gt;TODAY()),0,IF(OR(INDEX($B825:$D825,BC$5)="F",AND(BC$6&gt;0,$A825&lt;BC$6),AND(BC$7&gt;0,$A825&gt;BC$7)),0,MAX(0,ROUND((INDEX($E825:$G825,BC$5)-SUMIFS(TF_Timer,TF_Tekniker,BC$4,TF_Dato,$A825))*2,0)/2)))</f>
        <v/>
      </c>
      <c r="BD825">
        <f>IF(OR(BD$4="",$A825&gt;TODAY()),0,IF(OR(INDEX($B825:$D825,BD$5)="F",AND(BD$6&gt;0,$A825&lt;BD$6),AND(BD$7&gt;0,$A825&gt;BD$7)),0,MAX(0,ROUND((INDEX($E825:$G825,BD$5)-SUMIFS(TF_Timer,TF_Tekniker,BD$4,TF_Dato,$A825))*2,0)/2)))</f>
        <v/>
      </c>
      <c r="BE825">
        <f>IF(OR(BE$4="",$A825&gt;TODAY()),0,IF(OR(INDEX($B825:$D825,BE$5)="F",AND(BE$6&gt;0,$A825&lt;BE$6),AND(BE$7&gt;0,$A825&gt;BE$7)),0,MAX(0,ROUND((INDEX($E825:$G825,BE$5)-SUMIFS(TF_Timer,TF_Tekniker,BE$4,TF_Dato,$A825))*2,0)/2)))</f>
        <v/>
      </c>
      <c r="BF825">
        <f>IF(OR(BF$4="",$A825&gt;TODAY()),0,IF(OR(INDEX($B825:$D825,BF$5)="F",AND(BF$6&gt;0,$A825&lt;BF$6),AND(BF$7&gt;0,$A825&gt;BF$7)),0,MAX(0,ROUND((INDEX($E825:$G825,BF$5)-SUMIFS(TF_Timer,TF_Tekniker,BF$4,TF_Dato,$A825))*2,0)/2)))</f>
        <v/>
      </c>
      <c r="BG825">
        <f>IF(OR(BG$4="",$A825&gt;TODAY()),0,IF(OR(INDEX($B825:$D825,BG$5)="F",AND(BG$6&gt;0,$A825&lt;BG$6),AND(BG$7&gt;0,$A825&gt;BG$7)),0,MAX(0,ROUND((INDEX($E825:$G825,BG$5)-SUMIFS(TF_Timer,TF_Tekniker,BG$4,TF_Dato,$A825))*2,0)/2)))</f>
        <v/>
      </c>
      <c r="BH825">
        <f>IF(OR(BH$4="",$A825&gt;TODAY()),0,IF(OR(INDEX($B825:$D825,BH$5)="F",AND(BH$6&gt;0,$A825&lt;BH$6),AND(BH$7&gt;0,$A825&gt;BH$7)),0,MAX(0,ROUND((INDEX($E825:$G825,BH$5)-SUMIFS(TF_Timer,TF_Tekniker,BH$4,TF_Dato,$A825))*2,0)/2)))</f>
        <v/>
      </c>
      <c r="BI825">
        <f>IF(OR(BI$4="",$A825&gt;TODAY()),0,IF(OR(INDEX($B825:$D825,BI$5)="F",AND(BI$6&gt;0,$A825&lt;BI$6),AND(BI$7&gt;0,$A825&gt;BI$7)),0,MAX(0,ROUND((INDEX($E825:$G825,BI$5)-SUMIFS(TF_Timer,TF_Tekniker,BI$4,TF_Dato,$A825))*2,0)/2)))</f>
        <v/>
      </c>
    </row>
    <row r="826">
      <c r="A826" s="64">
        <f>A825+1</f>
        <v/>
      </c>
      <c r="B826">
        <f>IF(MOD($A826-INDEX(SkiftStart,1),Syklus)&lt;DagK,"K",IF(MOD($A826-INDEX(SkiftStart,1),Syklus)&lt;DagK+DagH,"H",IF(MOD($A826-INDEX(SkiftStart,1),Syklus)&lt;DagK+DagH+DagD,"D","F")))</f>
        <v/>
      </c>
      <c r="C826">
        <f>IF(MOD($A826-INDEX(SkiftStart,2),Syklus)&lt;DagK,"K",IF(MOD($A826-INDEX(SkiftStart,2),Syklus)&lt;DagK+DagH,"H",IF(MOD($A826-INDEX(SkiftStart,2),Syklus)&lt;DagK+DagH+DagD,"D","F")))</f>
        <v/>
      </c>
      <c r="D826">
        <f>IF(MOD($A826-INDEX(SkiftStart,3),Syklus)&lt;DagK,"K",IF(MOD($A826-INDEX(SkiftStart,3),Syklus)&lt;DagK+DagH,"H",IF(MOD($A826-INDEX(SkiftStart,3),Syklus)&lt;DagK+DagH+DagD,"D","F")))</f>
        <v/>
      </c>
      <c r="E826">
        <f>IF(B826="F",0,IF(WEEKDAY($A826,2)=5,INDEX(TimerFr,MATCH(B826,FaseKode,0)),INDEX(TimerMT,MATCH(B826,FaseKode,0))))</f>
        <v/>
      </c>
      <c r="F826">
        <f>IF(C826="F",0,IF(WEEKDAY($A826,2)=5,INDEX(TimerFr,MATCH(C826,FaseKode,0)),INDEX(TimerMT,MATCH(C826,FaseKode,0))))</f>
        <v/>
      </c>
      <c r="G826">
        <f>IF(D826="F",0,IF(WEEKDAY($A826,2)=5,INDEX(TimerFr,MATCH(D826,FaseKode,0)),INDEX(TimerMT,MATCH(D826,FaseKode,0))))</f>
        <v/>
      </c>
      <c r="H826">
        <f>IF(OR(H$4="",$A826&gt;TODAY()),0,IF(OR(INDEX($B826:$D826,H$5)="F",AND(H$6&gt;0,$A826&lt;H$6),AND(H$7&gt;0,$A826&gt;H$7)),0,MAX(0,ROUND((INDEX($E826:$G826,H$5)-SUMIFS(TF_Timer,TF_Tekniker,H$4,TF_Dato,$A826))*2,0)/2)))</f>
        <v/>
      </c>
      <c r="I826">
        <f>IF(OR(I$4="",$A826&gt;TODAY()),0,IF(OR(INDEX($B826:$D826,I$5)="F",AND(I$6&gt;0,$A826&lt;I$6),AND(I$7&gt;0,$A826&gt;I$7)),0,MAX(0,ROUND((INDEX($E826:$G826,I$5)-SUMIFS(TF_Timer,TF_Tekniker,I$4,TF_Dato,$A826))*2,0)/2)))</f>
        <v/>
      </c>
      <c r="J826">
        <f>IF(OR(J$4="",$A826&gt;TODAY()),0,IF(OR(INDEX($B826:$D826,J$5)="F",AND(J$6&gt;0,$A826&lt;J$6),AND(J$7&gt;0,$A826&gt;J$7)),0,MAX(0,ROUND((INDEX($E826:$G826,J$5)-SUMIFS(TF_Timer,TF_Tekniker,J$4,TF_Dato,$A826))*2,0)/2)))</f>
        <v/>
      </c>
      <c r="K826">
        <f>IF(OR(K$4="",$A826&gt;TODAY()),0,IF(OR(INDEX($B826:$D826,K$5)="F",AND(K$6&gt;0,$A826&lt;K$6),AND(K$7&gt;0,$A826&gt;K$7)),0,MAX(0,ROUND((INDEX($E826:$G826,K$5)-SUMIFS(TF_Timer,TF_Tekniker,K$4,TF_Dato,$A826))*2,0)/2)))</f>
        <v/>
      </c>
      <c r="L826">
        <f>IF(OR(L$4="",$A826&gt;TODAY()),0,IF(OR(INDEX($B826:$D826,L$5)="F",AND(L$6&gt;0,$A826&lt;L$6),AND(L$7&gt;0,$A826&gt;L$7)),0,MAX(0,ROUND((INDEX($E826:$G826,L$5)-SUMIFS(TF_Timer,TF_Tekniker,L$4,TF_Dato,$A826))*2,0)/2)))</f>
        <v/>
      </c>
      <c r="M826">
        <f>IF(OR(M$4="",$A826&gt;TODAY()),0,IF(OR(INDEX($B826:$D826,M$5)="F",AND(M$6&gt;0,$A826&lt;M$6),AND(M$7&gt;0,$A826&gt;M$7)),0,MAX(0,ROUND((INDEX($E826:$G826,M$5)-SUMIFS(TF_Timer,TF_Tekniker,M$4,TF_Dato,$A826))*2,0)/2)))</f>
        <v/>
      </c>
      <c r="N826">
        <f>IF(OR(N$4="",$A826&gt;TODAY()),0,IF(OR(INDEX($B826:$D826,N$5)="F",AND(N$6&gt;0,$A826&lt;N$6),AND(N$7&gt;0,$A826&gt;N$7)),0,MAX(0,ROUND((INDEX($E826:$G826,N$5)-SUMIFS(TF_Timer,TF_Tekniker,N$4,TF_Dato,$A826))*2,0)/2)))</f>
        <v/>
      </c>
      <c r="O826">
        <f>IF(OR(O$4="",$A826&gt;TODAY()),0,IF(OR(INDEX($B826:$D826,O$5)="F",AND(O$6&gt;0,$A826&lt;O$6),AND(O$7&gt;0,$A826&gt;O$7)),0,MAX(0,ROUND((INDEX($E826:$G826,O$5)-SUMIFS(TF_Timer,TF_Tekniker,O$4,TF_Dato,$A826))*2,0)/2)))</f>
        <v/>
      </c>
      <c r="P826">
        <f>IF(OR(P$4="",$A826&gt;TODAY()),0,IF(OR(INDEX($B826:$D826,P$5)="F",AND(P$6&gt;0,$A826&lt;P$6),AND(P$7&gt;0,$A826&gt;P$7)),0,MAX(0,ROUND((INDEX($E826:$G826,P$5)-SUMIFS(TF_Timer,TF_Tekniker,P$4,TF_Dato,$A826))*2,0)/2)))</f>
        <v/>
      </c>
      <c r="Q826">
        <f>IF(OR(Q$4="",$A826&gt;TODAY()),0,IF(OR(INDEX($B826:$D826,Q$5)="F",AND(Q$6&gt;0,$A826&lt;Q$6),AND(Q$7&gt;0,$A826&gt;Q$7)),0,MAX(0,ROUND((INDEX($E826:$G826,Q$5)-SUMIFS(TF_Timer,TF_Tekniker,Q$4,TF_Dato,$A826))*2,0)/2)))</f>
        <v/>
      </c>
      <c r="R826">
        <f>IF(OR(R$4="",$A826&gt;TODAY()),0,IF(OR(INDEX($B826:$D826,R$5)="F",AND(R$6&gt;0,$A826&lt;R$6),AND(R$7&gt;0,$A826&gt;R$7)),0,MAX(0,ROUND((INDEX($E826:$G826,R$5)-SUMIFS(TF_Timer,TF_Tekniker,R$4,TF_Dato,$A826))*2,0)/2)))</f>
        <v/>
      </c>
      <c r="S826">
        <f>IF(OR(S$4="",$A826&gt;TODAY()),0,IF(OR(INDEX($B826:$D826,S$5)="F",AND(S$6&gt;0,$A826&lt;S$6),AND(S$7&gt;0,$A826&gt;S$7)),0,MAX(0,ROUND((INDEX($E826:$G826,S$5)-SUMIFS(TF_Timer,TF_Tekniker,S$4,TF_Dato,$A826))*2,0)/2)))</f>
        <v/>
      </c>
      <c r="T826">
        <f>IF(OR(T$4="",$A826&gt;TODAY()),0,IF(OR(INDEX($B826:$D826,T$5)="F",AND(T$6&gt;0,$A826&lt;T$6),AND(T$7&gt;0,$A826&gt;T$7)),0,MAX(0,ROUND((INDEX($E826:$G826,T$5)-SUMIFS(TF_Timer,TF_Tekniker,T$4,TF_Dato,$A826))*2,0)/2)))</f>
        <v/>
      </c>
      <c r="U826">
        <f>IF(OR(U$4="",$A826&gt;TODAY()),0,IF(OR(INDEX($B826:$D826,U$5)="F",AND(U$6&gt;0,$A826&lt;U$6),AND(U$7&gt;0,$A826&gt;U$7)),0,MAX(0,ROUND((INDEX($E826:$G826,U$5)-SUMIFS(TF_Timer,TF_Tekniker,U$4,TF_Dato,$A826))*2,0)/2)))</f>
        <v/>
      </c>
      <c r="V826">
        <f>IF(OR(V$4="",$A826&gt;TODAY()),0,IF(OR(INDEX($B826:$D826,V$5)="F",AND(V$6&gt;0,$A826&lt;V$6),AND(V$7&gt;0,$A826&gt;V$7)),0,MAX(0,ROUND((INDEX($E826:$G826,V$5)-SUMIFS(TF_Timer,TF_Tekniker,V$4,TF_Dato,$A826))*2,0)/2)))</f>
        <v/>
      </c>
      <c r="W826">
        <f>IF(OR(W$4="",$A826&gt;TODAY()),0,IF(OR(INDEX($B826:$D826,W$5)="F",AND(W$6&gt;0,$A826&lt;W$6),AND(W$7&gt;0,$A826&gt;W$7)),0,MAX(0,ROUND((INDEX($E826:$G826,W$5)-SUMIFS(TF_Timer,TF_Tekniker,W$4,TF_Dato,$A826))*2,0)/2)))</f>
        <v/>
      </c>
      <c r="X826">
        <f>IF(OR(X$4="",$A826&gt;TODAY()),0,IF(OR(INDEX($B826:$D826,X$5)="F",AND(X$6&gt;0,$A826&lt;X$6),AND(X$7&gt;0,$A826&gt;X$7)),0,MAX(0,ROUND((INDEX($E826:$G826,X$5)-SUMIFS(TF_Timer,TF_Tekniker,X$4,TF_Dato,$A826))*2,0)/2)))</f>
        <v/>
      </c>
      <c r="Y826">
        <f>IF(OR(Y$4="",$A826&gt;TODAY()),0,IF(OR(INDEX($B826:$D826,Y$5)="F",AND(Y$6&gt;0,$A826&lt;Y$6),AND(Y$7&gt;0,$A826&gt;Y$7)),0,MAX(0,ROUND((INDEX($E826:$G826,Y$5)-SUMIFS(TF_Timer,TF_Tekniker,Y$4,TF_Dato,$A826))*2,0)/2)))</f>
        <v/>
      </c>
      <c r="Z826">
        <f>IF(OR(Z$4="",$A826&gt;TODAY()),0,IF(OR(INDEX($B826:$D826,Z$5)="F",AND(Z$6&gt;0,$A826&lt;Z$6),AND(Z$7&gt;0,$A826&gt;Z$7)),0,MAX(0,ROUND((INDEX($E826:$G826,Z$5)-SUMIFS(TF_Timer,TF_Tekniker,Z$4,TF_Dato,$A826))*2,0)/2)))</f>
        <v/>
      </c>
      <c r="AA826">
        <f>IF(OR(AA$4="",$A826&gt;TODAY()),0,IF(OR(INDEX($B826:$D826,AA$5)="F",AND(AA$6&gt;0,$A826&lt;AA$6),AND(AA$7&gt;0,$A826&gt;AA$7)),0,MAX(0,ROUND((INDEX($E826:$G826,AA$5)-SUMIFS(TF_Timer,TF_Tekniker,AA$4,TF_Dato,$A826))*2,0)/2)))</f>
        <v/>
      </c>
      <c r="AB826">
        <f>IF(OR(AB$4="",$A826&gt;TODAY()),0,IF(OR(INDEX($B826:$D826,AB$5)="F",AND(AB$6&gt;0,$A826&lt;AB$6),AND(AB$7&gt;0,$A826&gt;AB$7)),0,MAX(0,ROUND((INDEX($E826:$G826,AB$5)-SUMIFS(TF_Timer,TF_Tekniker,AB$4,TF_Dato,$A826))*2,0)/2)))</f>
        <v/>
      </c>
      <c r="AC826">
        <f>IF(OR(AC$4="",$A826&gt;TODAY()),0,IF(OR(INDEX($B826:$D826,AC$5)="F",AND(AC$6&gt;0,$A826&lt;AC$6),AND(AC$7&gt;0,$A826&gt;AC$7)),0,MAX(0,ROUND((INDEX($E826:$G826,AC$5)-SUMIFS(TF_Timer,TF_Tekniker,AC$4,TF_Dato,$A826))*2,0)/2)))</f>
        <v/>
      </c>
      <c r="AD826">
        <f>IF(OR(AD$4="",$A826&gt;TODAY()),0,IF(OR(INDEX($B826:$D826,AD$5)="F",AND(AD$6&gt;0,$A826&lt;AD$6),AND(AD$7&gt;0,$A826&gt;AD$7)),0,MAX(0,ROUND((INDEX($E826:$G826,AD$5)-SUMIFS(TF_Timer,TF_Tekniker,AD$4,TF_Dato,$A826))*2,0)/2)))</f>
        <v/>
      </c>
      <c r="AE826">
        <f>IF(OR(AE$4="",$A826&gt;TODAY()),0,IF(OR(INDEX($B826:$D826,AE$5)="F",AND(AE$6&gt;0,$A826&lt;AE$6),AND(AE$7&gt;0,$A826&gt;AE$7)),0,MAX(0,ROUND((INDEX($E826:$G826,AE$5)-SUMIFS(TF_Timer,TF_Tekniker,AE$4,TF_Dato,$A826))*2,0)/2)))</f>
        <v/>
      </c>
      <c r="AF826">
        <f>IF(OR(AF$4="",$A826&gt;TODAY()),0,IF(OR(INDEX($B826:$D826,AF$5)="F",AND(AF$6&gt;0,$A826&lt;AF$6),AND(AF$7&gt;0,$A826&gt;AF$7)),0,MAX(0,ROUND((INDEX($E826:$G826,AF$5)-SUMIFS(TF_Timer,TF_Tekniker,AF$4,TF_Dato,$A826))*2,0)/2)))</f>
        <v/>
      </c>
      <c r="AG826">
        <f>IF(OR(AG$4="",$A826&gt;TODAY()),0,IF(OR(INDEX($B826:$D826,AG$5)="F",AND(AG$6&gt;0,$A826&lt;AG$6),AND(AG$7&gt;0,$A826&gt;AG$7)),0,MAX(0,ROUND((INDEX($E826:$G826,AG$5)-SUMIFS(TF_Timer,TF_Tekniker,AG$4,TF_Dato,$A826))*2,0)/2)))</f>
        <v/>
      </c>
      <c r="AH826">
        <f>IF(OR(AH$4="",$A826&gt;TODAY()),0,IF(OR(INDEX($B826:$D826,AH$5)="F",AND(AH$6&gt;0,$A826&lt;AH$6),AND(AH$7&gt;0,$A826&gt;AH$7)),0,MAX(0,ROUND((INDEX($E826:$G826,AH$5)-SUMIFS(TF_Timer,TF_Tekniker,AH$4,TF_Dato,$A826))*2,0)/2)))</f>
        <v/>
      </c>
      <c r="AI826">
        <f>IF(OR(AI$4="",$A826&gt;TODAY()),0,IF(OR(INDEX($B826:$D826,AI$5)="F",AND(AI$6&gt;0,$A826&lt;AI$6),AND(AI$7&gt;0,$A826&gt;AI$7)),0,MAX(0,ROUND((INDEX($E826:$G826,AI$5)-SUMIFS(TF_Timer,TF_Tekniker,AI$4,TF_Dato,$A826))*2,0)/2)))</f>
        <v/>
      </c>
      <c r="AJ826">
        <f>IF(OR(AJ$4="",$A826&gt;TODAY()),0,IF(OR(INDEX($B826:$D826,AJ$5)="F",AND(AJ$6&gt;0,$A826&lt;AJ$6),AND(AJ$7&gt;0,$A826&gt;AJ$7)),0,MAX(0,ROUND((INDEX($E826:$G826,AJ$5)-SUMIFS(TF_Timer,TF_Tekniker,AJ$4,TF_Dato,$A826))*2,0)/2)))</f>
        <v/>
      </c>
      <c r="AK826">
        <f>IF(OR(AK$4="",$A826&gt;TODAY()),0,IF(OR(INDEX($B826:$D826,AK$5)="F",AND(AK$6&gt;0,$A826&lt;AK$6),AND(AK$7&gt;0,$A826&gt;AK$7)),0,MAX(0,ROUND((INDEX($E826:$G826,AK$5)-SUMIFS(TF_Timer,TF_Tekniker,AK$4,TF_Dato,$A826))*2,0)/2)))</f>
        <v/>
      </c>
      <c r="AL826">
        <f>IF(OR(AL$4="",$A826&gt;TODAY()),0,IF(OR(INDEX($B826:$D826,AL$5)="F",AND(AL$6&gt;0,$A826&lt;AL$6),AND(AL$7&gt;0,$A826&gt;AL$7)),0,MAX(0,ROUND((INDEX($E826:$G826,AL$5)-SUMIFS(TF_Timer,TF_Tekniker,AL$4,TF_Dato,$A826))*2,0)/2)))</f>
        <v/>
      </c>
      <c r="AM826">
        <f>IF(OR(AM$4="",$A826&gt;TODAY()),0,IF(OR(INDEX($B826:$D826,AM$5)="F",AND(AM$6&gt;0,$A826&lt;AM$6),AND(AM$7&gt;0,$A826&gt;AM$7)),0,MAX(0,ROUND((INDEX($E826:$G826,AM$5)-SUMIFS(TF_Timer,TF_Tekniker,AM$4,TF_Dato,$A826))*2,0)/2)))</f>
        <v/>
      </c>
      <c r="AN826">
        <f>IF(OR(AN$4="",$A826&gt;TODAY()),0,IF(OR(INDEX($B826:$D826,AN$5)="F",AND(AN$6&gt;0,$A826&lt;AN$6),AND(AN$7&gt;0,$A826&gt;AN$7)),0,MAX(0,ROUND((INDEX($E826:$G826,AN$5)-SUMIFS(TF_Timer,TF_Tekniker,AN$4,TF_Dato,$A826))*2,0)/2)))</f>
        <v/>
      </c>
      <c r="AO826">
        <f>IF(OR(AO$4="",$A826&gt;TODAY()),0,IF(OR(INDEX($B826:$D826,AO$5)="F",AND(AO$6&gt;0,$A826&lt;AO$6),AND(AO$7&gt;0,$A826&gt;AO$7)),0,MAX(0,ROUND((INDEX($E826:$G826,AO$5)-SUMIFS(TF_Timer,TF_Tekniker,AO$4,TF_Dato,$A826))*2,0)/2)))</f>
        <v/>
      </c>
      <c r="AP826">
        <f>IF(OR(AP$4="",$A826&gt;TODAY()),0,IF(OR(INDEX($B826:$D826,AP$5)="F",AND(AP$6&gt;0,$A826&lt;AP$6),AND(AP$7&gt;0,$A826&gt;AP$7)),0,MAX(0,ROUND((INDEX($E826:$G826,AP$5)-SUMIFS(TF_Timer,TF_Tekniker,AP$4,TF_Dato,$A826))*2,0)/2)))</f>
        <v/>
      </c>
      <c r="AQ826">
        <f>IF(OR(AQ$4="",$A826&gt;TODAY()),0,IF(OR(INDEX($B826:$D826,AQ$5)="F",AND(AQ$6&gt;0,$A826&lt;AQ$6),AND(AQ$7&gt;0,$A826&gt;AQ$7)),0,MAX(0,ROUND((INDEX($E826:$G826,AQ$5)-SUMIFS(TF_Timer,TF_Tekniker,AQ$4,TF_Dato,$A826))*2,0)/2)))</f>
        <v/>
      </c>
      <c r="AR826">
        <f>IF(OR(AR$4="",$A826&gt;TODAY()),0,IF(OR(INDEX($B826:$D826,AR$5)="F",AND(AR$6&gt;0,$A826&lt;AR$6),AND(AR$7&gt;0,$A826&gt;AR$7)),0,MAX(0,ROUND((INDEX($E826:$G826,AR$5)-SUMIFS(TF_Timer,TF_Tekniker,AR$4,TF_Dato,$A826))*2,0)/2)))</f>
        <v/>
      </c>
      <c r="AS826">
        <f>IF(OR(AS$4="",$A826&gt;TODAY()),0,IF(OR(INDEX($B826:$D826,AS$5)="F",AND(AS$6&gt;0,$A826&lt;AS$6),AND(AS$7&gt;0,$A826&gt;AS$7)),0,MAX(0,ROUND((INDEX($E826:$G826,AS$5)-SUMIFS(TF_Timer,TF_Tekniker,AS$4,TF_Dato,$A826))*2,0)/2)))</f>
        <v/>
      </c>
      <c r="AT826">
        <f>IF(OR(AT$4="",$A826&gt;TODAY()),0,IF(OR(INDEX($B826:$D826,AT$5)="F",AND(AT$6&gt;0,$A826&lt;AT$6),AND(AT$7&gt;0,$A826&gt;AT$7)),0,MAX(0,ROUND((INDEX($E826:$G826,AT$5)-SUMIFS(TF_Timer,TF_Tekniker,AT$4,TF_Dato,$A826))*2,0)/2)))</f>
        <v/>
      </c>
      <c r="AU826">
        <f>IF(OR(AU$4="",$A826&gt;TODAY()),0,IF(OR(INDEX($B826:$D826,AU$5)="F",AND(AU$6&gt;0,$A826&lt;AU$6),AND(AU$7&gt;0,$A826&gt;AU$7)),0,MAX(0,ROUND((INDEX($E826:$G826,AU$5)-SUMIFS(TF_Timer,TF_Tekniker,AU$4,TF_Dato,$A826))*2,0)/2)))</f>
        <v/>
      </c>
      <c r="AV826">
        <f>IF(OR(AV$4="",$A826&gt;TODAY()),0,IF(OR(INDEX($B826:$D826,AV$5)="F",AND(AV$6&gt;0,$A826&lt;AV$6),AND(AV$7&gt;0,$A826&gt;AV$7)),0,MAX(0,ROUND((INDEX($E826:$G826,AV$5)-SUMIFS(TF_Timer,TF_Tekniker,AV$4,TF_Dato,$A826))*2,0)/2)))</f>
        <v/>
      </c>
      <c r="AW826">
        <f>IF(OR(AW$4="",$A826&gt;TODAY()),0,IF(OR(INDEX($B826:$D826,AW$5)="F",AND(AW$6&gt;0,$A826&lt;AW$6),AND(AW$7&gt;0,$A826&gt;AW$7)),0,MAX(0,ROUND((INDEX($E826:$G826,AW$5)-SUMIFS(TF_Timer,TF_Tekniker,AW$4,TF_Dato,$A826))*2,0)/2)))</f>
        <v/>
      </c>
      <c r="AX826">
        <f>IF(OR(AX$4="",$A826&gt;TODAY()),0,IF(OR(INDEX($B826:$D826,AX$5)="F",AND(AX$6&gt;0,$A826&lt;AX$6),AND(AX$7&gt;0,$A826&gt;AX$7)),0,MAX(0,ROUND((INDEX($E826:$G826,AX$5)-SUMIFS(TF_Timer,TF_Tekniker,AX$4,TF_Dato,$A826))*2,0)/2)))</f>
        <v/>
      </c>
      <c r="AY826">
        <f>IF(OR(AY$4="",$A826&gt;TODAY()),0,IF(OR(INDEX($B826:$D826,AY$5)="F",AND(AY$6&gt;0,$A826&lt;AY$6),AND(AY$7&gt;0,$A826&gt;AY$7)),0,MAX(0,ROUND((INDEX($E826:$G826,AY$5)-SUMIFS(TF_Timer,TF_Tekniker,AY$4,TF_Dato,$A826))*2,0)/2)))</f>
        <v/>
      </c>
      <c r="AZ826">
        <f>IF(OR(AZ$4="",$A826&gt;TODAY()),0,IF(OR(INDEX($B826:$D826,AZ$5)="F",AND(AZ$6&gt;0,$A826&lt;AZ$6),AND(AZ$7&gt;0,$A826&gt;AZ$7)),0,MAX(0,ROUND((INDEX($E826:$G826,AZ$5)-SUMIFS(TF_Timer,TF_Tekniker,AZ$4,TF_Dato,$A826))*2,0)/2)))</f>
        <v/>
      </c>
      <c r="BA826">
        <f>IF(OR(BA$4="",$A826&gt;TODAY()),0,IF(OR(INDEX($B826:$D826,BA$5)="F",AND(BA$6&gt;0,$A826&lt;BA$6),AND(BA$7&gt;0,$A826&gt;BA$7)),0,MAX(0,ROUND((INDEX($E826:$G826,BA$5)-SUMIFS(TF_Timer,TF_Tekniker,BA$4,TF_Dato,$A826))*2,0)/2)))</f>
        <v/>
      </c>
      <c r="BB826">
        <f>IF(OR(BB$4="",$A826&gt;TODAY()),0,IF(OR(INDEX($B826:$D826,BB$5)="F",AND(BB$6&gt;0,$A826&lt;BB$6),AND(BB$7&gt;0,$A826&gt;BB$7)),0,MAX(0,ROUND((INDEX($E826:$G826,BB$5)-SUMIFS(TF_Timer,TF_Tekniker,BB$4,TF_Dato,$A826))*2,0)/2)))</f>
        <v/>
      </c>
      <c r="BC826">
        <f>IF(OR(BC$4="",$A826&gt;TODAY()),0,IF(OR(INDEX($B826:$D826,BC$5)="F",AND(BC$6&gt;0,$A826&lt;BC$6),AND(BC$7&gt;0,$A826&gt;BC$7)),0,MAX(0,ROUND((INDEX($E826:$G826,BC$5)-SUMIFS(TF_Timer,TF_Tekniker,BC$4,TF_Dato,$A826))*2,0)/2)))</f>
        <v/>
      </c>
      <c r="BD826">
        <f>IF(OR(BD$4="",$A826&gt;TODAY()),0,IF(OR(INDEX($B826:$D826,BD$5)="F",AND(BD$6&gt;0,$A826&lt;BD$6),AND(BD$7&gt;0,$A826&gt;BD$7)),0,MAX(0,ROUND((INDEX($E826:$G826,BD$5)-SUMIFS(TF_Timer,TF_Tekniker,BD$4,TF_Dato,$A826))*2,0)/2)))</f>
        <v/>
      </c>
      <c r="BE826">
        <f>IF(OR(BE$4="",$A826&gt;TODAY()),0,IF(OR(INDEX($B826:$D826,BE$5)="F",AND(BE$6&gt;0,$A826&lt;BE$6),AND(BE$7&gt;0,$A826&gt;BE$7)),0,MAX(0,ROUND((INDEX($E826:$G826,BE$5)-SUMIFS(TF_Timer,TF_Tekniker,BE$4,TF_Dato,$A826))*2,0)/2)))</f>
        <v/>
      </c>
      <c r="BF826">
        <f>IF(OR(BF$4="",$A826&gt;TODAY()),0,IF(OR(INDEX($B826:$D826,BF$5)="F",AND(BF$6&gt;0,$A826&lt;BF$6),AND(BF$7&gt;0,$A826&gt;BF$7)),0,MAX(0,ROUND((INDEX($E826:$G826,BF$5)-SUMIFS(TF_Timer,TF_Tekniker,BF$4,TF_Dato,$A826))*2,0)/2)))</f>
        <v/>
      </c>
      <c r="BG826">
        <f>IF(OR(BG$4="",$A826&gt;TODAY()),0,IF(OR(INDEX($B826:$D826,BG$5)="F",AND(BG$6&gt;0,$A826&lt;BG$6),AND(BG$7&gt;0,$A826&gt;BG$7)),0,MAX(0,ROUND((INDEX($E826:$G826,BG$5)-SUMIFS(TF_Timer,TF_Tekniker,BG$4,TF_Dato,$A826))*2,0)/2)))</f>
        <v/>
      </c>
      <c r="BH826">
        <f>IF(OR(BH$4="",$A826&gt;TODAY()),0,IF(OR(INDEX($B826:$D826,BH$5)="F",AND(BH$6&gt;0,$A826&lt;BH$6),AND(BH$7&gt;0,$A826&gt;BH$7)),0,MAX(0,ROUND((INDEX($E826:$G826,BH$5)-SUMIFS(TF_Timer,TF_Tekniker,BH$4,TF_Dato,$A826))*2,0)/2)))</f>
        <v/>
      </c>
      <c r="BI826">
        <f>IF(OR(BI$4="",$A826&gt;TODAY()),0,IF(OR(INDEX($B826:$D826,BI$5)="F",AND(BI$6&gt;0,$A826&lt;BI$6),AND(BI$7&gt;0,$A826&gt;BI$7)),0,MAX(0,ROUND((INDEX($E826:$G826,BI$5)-SUMIFS(TF_Timer,TF_Tekniker,BI$4,TF_Dato,$A826))*2,0)/2)))</f>
        <v/>
      </c>
    </row>
    <row r="827">
      <c r="A827" s="64">
        <f>A826+1</f>
        <v/>
      </c>
      <c r="B827">
        <f>IF(MOD($A827-INDEX(SkiftStart,1),Syklus)&lt;DagK,"K",IF(MOD($A827-INDEX(SkiftStart,1),Syklus)&lt;DagK+DagH,"H",IF(MOD($A827-INDEX(SkiftStart,1),Syklus)&lt;DagK+DagH+DagD,"D","F")))</f>
        <v/>
      </c>
      <c r="C827">
        <f>IF(MOD($A827-INDEX(SkiftStart,2),Syklus)&lt;DagK,"K",IF(MOD($A827-INDEX(SkiftStart,2),Syklus)&lt;DagK+DagH,"H",IF(MOD($A827-INDEX(SkiftStart,2),Syklus)&lt;DagK+DagH+DagD,"D","F")))</f>
        <v/>
      </c>
      <c r="D827">
        <f>IF(MOD($A827-INDEX(SkiftStart,3),Syklus)&lt;DagK,"K",IF(MOD($A827-INDEX(SkiftStart,3),Syklus)&lt;DagK+DagH,"H",IF(MOD($A827-INDEX(SkiftStart,3),Syklus)&lt;DagK+DagH+DagD,"D","F")))</f>
        <v/>
      </c>
      <c r="E827">
        <f>IF(B827="F",0,IF(WEEKDAY($A827,2)=5,INDEX(TimerFr,MATCH(B827,FaseKode,0)),INDEX(TimerMT,MATCH(B827,FaseKode,0))))</f>
        <v/>
      </c>
      <c r="F827">
        <f>IF(C827="F",0,IF(WEEKDAY($A827,2)=5,INDEX(TimerFr,MATCH(C827,FaseKode,0)),INDEX(TimerMT,MATCH(C827,FaseKode,0))))</f>
        <v/>
      </c>
      <c r="G827">
        <f>IF(D827="F",0,IF(WEEKDAY($A827,2)=5,INDEX(TimerFr,MATCH(D827,FaseKode,0)),INDEX(TimerMT,MATCH(D827,FaseKode,0))))</f>
        <v/>
      </c>
      <c r="H827">
        <f>IF(OR(H$4="",$A827&gt;TODAY()),0,IF(OR(INDEX($B827:$D827,H$5)="F",AND(H$6&gt;0,$A827&lt;H$6),AND(H$7&gt;0,$A827&gt;H$7)),0,MAX(0,ROUND((INDEX($E827:$G827,H$5)-SUMIFS(TF_Timer,TF_Tekniker,H$4,TF_Dato,$A827))*2,0)/2)))</f>
        <v/>
      </c>
      <c r="I827">
        <f>IF(OR(I$4="",$A827&gt;TODAY()),0,IF(OR(INDEX($B827:$D827,I$5)="F",AND(I$6&gt;0,$A827&lt;I$6),AND(I$7&gt;0,$A827&gt;I$7)),0,MAX(0,ROUND((INDEX($E827:$G827,I$5)-SUMIFS(TF_Timer,TF_Tekniker,I$4,TF_Dato,$A827))*2,0)/2)))</f>
        <v/>
      </c>
      <c r="J827">
        <f>IF(OR(J$4="",$A827&gt;TODAY()),0,IF(OR(INDEX($B827:$D827,J$5)="F",AND(J$6&gt;0,$A827&lt;J$6),AND(J$7&gt;0,$A827&gt;J$7)),0,MAX(0,ROUND((INDEX($E827:$G827,J$5)-SUMIFS(TF_Timer,TF_Tekniker,J$4,TF_Dato,$A827))*2,0)/2)))</f>
        <v/>
      </c>
      <c r="K827">
        <f>IF(OR(K$4="",$A827&gt;TODAY()),0,IF(OR(INDEX($B827:$D827,K$5)="F",AND(K$6&gt;0,$A827&lt;K$6),AND(K$7&gt;0,$A827&gt;K$7)),0,MAX(0,ROUND((INDEX($E827:$G827,K$5)-SUMIFS(TF_Timer,TF_Tekniker,K$4,TF_Dato,$A827))*2,0)/2)))</f>
        <v/>
      </c>
      <c r="L827">
        <f>IF(OR(L$4="",$A827&gt;TODAY()),0,IF(OR(INDEX($B827:$D827,L$5)="F",AND(L$6&gt;0,$A827&lt;L$6),AND(L$7&gt;0,$A827&gt;L$7)),0,MAX(0,ROUND((INDEX($E827:$G827,L$5)-SUMIFS(TF_Timer,TF_Tekniker,L$4,TF_Dato,$A827))*2,0)/2)))</f>
        <v/>
      </c>
      <c r="M827">
        <f>IF(OR(M$4="",$A827&gt;TODAY()),0,IF(OR(INDEX($B827:$D827,M$5)="F",AND(M$6&gt;0,$A827&lt;M$6),AND(M$7&gt;0,$A827&gt;M$7)),0,MAX(0,ROUND((INDEX($E827:$G827,M$5)-SUMIFS(TF_Timer,TF_Tekniker,M$4,TF_Dato,$A827))*2,0)/2)))</f>
        <v/>
      </c>
      <c r="N827">
        <f>IF(OR(N$4="",$A827&gt;TODAY()),0,IF(OR(INDEX($B827:$D827,N$5)="F",AND(N$6&gt;0,$A827&lt;N$6),AND(N$7&gt;0,$A827&gt;N$7)),0,MAX(0,ROUND((INDEX($E827:$G827,N$5)-SUMIFS(TF_Timer,TF_Tekniker,N$4,TF_Dato,$A827))*2,0)/2)))</f>
        <v/>
      </c>
      <c r="O827">
        <f>IF(OR(O$4="",$A827&gt;TODAY()),0,IF(OR(INDEX($B827:$D827,O$5)="F",AND(O$6&gt;0,$A827&lt;O$6),AND(O$7&gt;0,$A827&gt;O$7)),0,MAX(0,ROUND((INDEX($E827:$G827,O$5)-SUMIFS(TF_Timer,TF_Tekniker,O$4,TF_Dato,$A827))*2,0)/2)))</f>
        <v/>
      </c>
      <c r="P827">
        <f>IF(OR(P$4="",$A827&gt;TODAY()),0,IF(OR(INDEX($B827:$D827,P$5)="F",AND(P$6&gt;0,$A827&lt;P$6),AND(P$7&gt;0,$A827&gt;P$7)),0,MAX(0,ROUND((INDEX($E827:$G827,P$5)-SUMIFS(TF_Timer,TF_Tekniker,P$4,TF_Dato,$A827))*2,0)/2)))</f>
        <v/>
      </c>
      <c r="Q827">
        <f>IF(OR(Q$4="",$A827&gt;TODAY()),0,IF(OR(INDEX($B827:$D827,Q$5)="F",AND(Q$6&gt;0,$A827&lt;Q$6),AND(Q$7&gt;0,$A827&gt;Q$7)),0,MAX(0,ROUND((INDEX($E827:$G827,Q$5)-SUMIFS(TF_Timer,TF_Tekniker,Q$4,TF_Dato,$A827))*2,0)/2)))</f>
        <v/>
      </c>
      <c r="R827">
        <f>IF(OR(R$4="",$A827&gt;TODAY()),0,IF(OR(INDEX($B827:$D827,R$5)="F",AND(R$6&gt;0,$A827&lt;R$6),AND(R$7&gt;0,$A827&gt;R$7)),0,MAX(0,ROUND((INDEX($E827:$G827,R$5)-SUMIFS(TF_Timer,TF_Tekniker,R$4,TF_Dato,$A827))*2,0)/2)))</f>
        <v/>
      </c>
      <c r="S827">
        <f>IF(OR(S$4="",$A827&gt;TODAY()),0,IF(OR(INDEX($B827:$D827,S$5)="F",AND(S$6&gt;0,$A827&lt;S$6),AND(S$7&gt;0,$A827&gt;S$7)),0,MAX(0,ROUND((INDEX($E827:$G827,S$5)-SUMIFS(TF_Timer,TF_Tekniker,S$4,TF_Dato,$A827))*2,0)/2)))</f>
        <v/>
      </c>
      <c r="T827">
        <f>IF(OR(T$4="",$A827&gt;TODAY()),0,IF(OR(INDEX($B827:$D827,T$5)="F",AND(T$6&gt;0,$A827&lt;T$6),AND(T$7&gt;0,$A827&gt;T$7)),0,MAX(0,ROUND((INDEX($E827:$G827,T$5)-SUMIFS(TF_Timer,TF_Tekniker,T$4,TF_Dato,$A827))*2,0)/2)))</f>
        <v/>
      </c>
      <c r="U827">
        <f>IF(OR(U$4="",$A827&gt;TODAY()),0,IF(OR(INDEX($B827:$D827,U$5)="F",AND(U$6&gt;0,$A827&lt;U$6),AND(U$7&gt;0,$A827&gt;U$7)),0,MAX(0,ROUND((INDEX($E827:$G827,U$5)-SUMIFS(TF_Timer,TF_Tekniker,U$4,TF_Dato,$A827))*2,0)/2)))</f>
        <v/>
      </c>
      <c r="V827">
        <f>IF(OR(V$4="",$A827&gt;TODAY()),0,IF(OR(INDEX($B827:$D827,V$5)="F",AND(V$6&gt;0,$A827&lt;V$6),AND(V$7&gt;0,$A827&gt;V$7)),0,MAX(0,ROUND((INDEX($E827:$G827,V$5)-SUMIFS(TF_Timer,TF_Tekniker,V$4,TF_Dato,$A827))*2,0)/2)))</f>
        <v/>
      </c>
      <c r="W827">
        <f>IF(OR(W$4="",$A827&gt;TODAY()),0,IF(OR(INDEX($B827:$D827,W$5)="F",AND(W$6&gt;0,$A827&lt;W$6),AND(W$7&gt;0,$A827&gt;W$7)),0,MAX(0,ROUND((INDEX($E827:$G827,W$5)-SUMIFS(TF_Timer,TF_Tekniker,W$4,TF_Dato,$A827))*2,0)/2)))</f>
        <v/>
      </c>
      <c r="X827">
        <f>IF(OR(X$4="",$A827&gt;TODAY()),0,IF(OR(INDEX($B827:$D827,X$5)="F",AND(X$6&gt;0,$A827&lt;X$6),AND(X$7&gt;0,$A827&gt;X$7)),0,MAX(0,ROUND((INDEX($E827:$G827,X$5)-SUMIFS(TF_Timer,TF_Tekniker,X$4,TF_Dato,$A827))*2,0)/2)))</f>
        <v/>
      </c>
      <c r="Y827">
        <f>IF(OR(Y$4="",$A827&gt;TODAY()),0,IF(OR(INDEX($B827:$D827,Y$5)="F",AND(Y$6&gt;0,$A827&lt;Y$6),AND(Y$7&gt;0,$A827&gt;Y$7)),0,MAX(0,ROUND((INDEX($E827:$G827,Y$5)-SUMIFS(TF_Timer,TF_Tekniker,Y$4,TF_Dato,$A827))*2,0)/2)))</f>
        <v/>
      </c>
      <c r="Z827">
        <f>IF(OR(Z$4="",$A827&gt;TODAY()),0,IF(OR(INDEX($B827:$D827,Z$5)="F",AND(Z$6&gt;0,$A827&lt;Z$6),AND(Z$7&gt;0,$A827&gt;Z$7)),0,MAX(0,ROUND((INDEX($E827:$G827,Z$5)-SUMIFS(TF_Timer,TF_Tekniker,Z$4,TF_Dato,$A827))*2,0)/2)))</f>
        <v/>
      </c>
      <c r="AA827">
        <f>IF(OR(AA$4="",$A827&gt;TODAY()),0,IF(OR(INDEX($B827:$D827,AA$5)="F",AND(AA$6&gt;0,$A827&lt;AA$6),AND(AA$7&gt;0,$A827&gt;AA$7)),0,MAX(0,ROUND((INDEX($E827:$G827,AA$5)-SUMIFS(TF_Timer,TF_Tekniker,AA$4,TF_Dato,$A827))*2,0)/2)))</f>
        <v/>
      </c>
      <c r="AB827">
        <f>IF(OR(AB$4="",$A827&gt;TODAY()),0,IF(OR(INDEX($B827:$D827,AB$5)="F",AND(AB$6&gt;0,$A827&lt;AB$6),AND(AB$7&gt;0,$A827&gt;AB$7)),0,MAX(0,ROUND((INDEX($E827:$G827,AB$5)-SUMIFS(TF_Timer,TF_Tekniker,AB$4,TF_Dato,$A827))*2,0)/2)))</f>
        <v/>
      </c>
      <c r="AC827">
        <f>IF(OR(AC$4="",$A827&gt;TODAY()),0,IF(OR(INDEX($B827:$D827,AC$5)="F",AND(AC$6&gt;0,$A827&lt;AC$6),AND(AC$7&gt;0,$A827&gt;AC$7)),0,MAX(0,ROUND((INDEX($E827:$G827,AC$5)-SUMIFS(TF_Timer,TF_Tekniker,AC$4,TF_Dato,$A827))*2,0)/2)))</f>
        <v/>
      </c>
      <c r="AD827">
        <f>IF(OR(AD$4="",$A827&gt;TODAY()),0,IF(OR(INDEX($B827:$D827,AD$5)="F",AND(AD$6&gt;0,$A827&lt;AD$6),AND(AD$7&gt;0,$A827&gt;AD$7)),0,MAX(0,ROUND((INDEX($E827:$G827,AD$5)-SUMIFS(TF_Timer,TF_Tekniker,AD$4,TF_Dato,$A827))*2,0)/2)))</f>
        <v/>
      </c>
      <c r="AE827">
        <f>IF(OR(AE$4="",$A827&gt;TODAY()),0,IF(OR(INDEX($B827:$D827,AE$5)="F",AND(AE$6&gt;0,$A827&lt;AE$6),AND(AE$7&gt;0,$A827&gt;AE$7)),0,MAX(0,ROUND((INDEX($E827:$G827,AE$5)-SUMIFS(TF_Timer,TF_Tekniker,AE$4,TF_Dato,$A827))*2,0)/2)))</f>
        <v/>
      </c>
      <c r="AF827">
        <f>IF(OR(AF$4="",$A827&gt;TODAY()),0,IF(OR(INDEX($B827:$D827,AF$5)="F",AND(AF$6&gt;0,$A827&lt;AF$6),AND(AF$7&gt;0,$A827&gt;AF$7)),0,MAX(0,ROUND((INDEX($E827:$G827,AF$5)-SUMIFS(TF_Timer,TF_Tekniker,AF$4,TF_Dato,$A827))*2,0)/2)))</f>
        <v/>
      </c>
      <c r="AG827">
        <f>IF(OR(AG$4="",$A827&gt;TODAY()),0,IF(OR(INDEX($B827:$D827,AG$5)="F",AND(AG$6&gt;0,$A827&lt;AG$6),AND(AG$7&gt;0,$A827&gt;AG$7)),0,MAX(0,ROUND((INDEX($E827:$G827,AG$5)-SUMIFS(TF_Timer,TF_Tekniker,AG$4,TF_Dato,$A827))*2,0)/2)))</f>
        <v/>
      </c>
      <c r="AH827">
        <f>IF(OR(AH$4="",$A827&gt;TODAY()),0,IF(OR(INDEX($B827:$D827,AH$5)="F",AND(AH$6&gt;0,$A827&lt;AH$6),AND(AH$7&gt;0,$A827&gt;AH$7)),0,MAX(0,ROUND((INDEX($E827:$G827,AH$5)-SUMIFS(TF_Timer,TF_Tekniker,AH$4,TF_Dato,$A827))*2,0)/2)))</f>
        <v/>
      </c>
      <c r="AI827">
        <f>IF(OR(AI$4="",$A827&gt;TODAY()),0,IF(OR(INDEX($B827:$D827,AI$5)="F",AND(AI$6&gt;0,$A827&lt;AI$6),AND(AI$7&gt;0,$A827&gt;AI$7)),0,MAX(0,ROUND((INDEX($E827:$G827,AI$5)-SUMIFS(TF_Timer,TF_Tekniker,AI$4,TF_Dato,$A827))*2,0)/2)))</f>
        <v/>
      </c>
      <c r="AJ827">
        <f>IF(OR(AJ$4="",$A827&gt;TODAY()),0,IF(OR(INDEX($B827:$D827,AJ$5)="F",AND(AJ$6&gt;0,$A827&lt;AJ$6),AND(AJ$7&gt;0,$A827&gt;AJ$7)),0,MAX(0,ROUND((INDEX($E827:$G827,AJ$5)-SUMIFS(TF_Timer,TF_Tekniker,AJ$4,TF_Dato,$A827))*2,0)/2)))</f>
        <v/>
      </c>
      <c r="AK827">
        <f>IF(OR(AK$4="",$A827&gt;TODAY()),0,IF(OR(INDEX($B827:$D827,AK$5)="F",AND(AK$6&gt;0,$A827&lt;AK$6),AND(AK$7&gt;0,$A827&gt;AK$7)),0,MAX(0,ROUND((INDEX($E827:$G827,AK$5)-SUMIFS(TF_Timer,TF_Tekniker,AK$4,TF_Dato,$A827))*2,0)/2)))</f>
        <v/>
      </c>
      <c r="AL827">
        <f>IF(OR(AL$4="",$A827&gt;TODAY()),0,IF(OR(INDEX($B827:$D827,AL$5)="F",AND(AL$6&gt;0,$A827&lt;AL$6),AND(AL$7&gt;0,$A827&gt;AL$7)),0,MAX(0,ROUND((INDEX($E827:$G827,AL$5)-SUMIFS(TF_Timer,TF_Tekniker,AL$4,TF_Dato,$A827))*2,0)/2)))</f>
        <v/>
      </c>
      <c r="AM827">
        <f>IF(OR(AM$4="",$A827&gt;TODAY()),0,IF(OR(INDEX($B827:$D827,AM$5)="F",AND(AM$6&gt;0,$A827&lt;AM$6),AND(AM$7&gt;0,$A827&gt;AM$7)),0,MAX(0,ROUND((INDEX($E827:$G827,AM$5)-SUMIFS(TF_Timer,TF_Tekniker,AM$4,TF_Dato,$A827))*2,0)/2)))</f>
        <v/>
      </c>
      <c r="AN827">
        <f>IF(OR(AN$4="",$A827&gt;TODAY()),0,IF(OR(INDEX($B827:$D827,AN$5)="F",AND(AN$6&gt;0,$A827&lt;AN$6),AND(AN$7&gt;0,$A827&gt;AN$7)),0,MAX(0,ROUND((INDEX($E827:$G827,AN$5)-SUMIFS(TF_Timer,TF_Tekniker,AN$4,TF_Dato,$A827))*2,0)/2)))</f>
        <v/>
      </c>
      <c r="AO827">
        <f>IF(OR(AO$4="",$A827&gt;TODAY()),0,IF(OR(INDEX($B827:$D827,AO$5)="F",AND(AO$6&gt;0,$A827&lt;AO$6),AND(AO$7&gt;0,$A827&gt;AO$7)),0,MAX(0,ROUND((INDEX($E827:$G827,AO$5)-SUMIFS(TF_Timer,TF_Tekniker,AO$4,TF_Dato,$A827))*2,0)/2)))</f>
        <v/>
      </c>
      <c r="AP827">
        <f>IF(OR(AP$4="",$A827&gt;TODAY()),0,IF(OR(INDEX($B827:$D827,AP$5)="F",AND(AP$6&gt;0,$A827&lt;AP$6),AND(AP$7&gt;0,$A827&gt;AP$7)),0,MAX(0,ROUND((INDEX($E827:$G827,AP$5)-SUMIFS(TF_Timer,TF_Tekniker,AP$4,TF_Dato,$A827))*2,0)/2)))</f>
        <v/>
      </c>
      <c r="AQ827">
        <f>IF(OR(AQ$4="",$A827&gt;TODAY()),0,IF(OR(INDEX($B827:$D827,AQ$5)="F",AND(AQ$6&gt;0,$A827&lt;AQ$6),AND(AQ$7&gt;0,$A827&gt;AQ$7)),0,MAX(0,ROUND((INDEX($E827:$G827,AQ$5)-SUMIFS(TF_Timer,TF_Tekniker,AQ$4,TF_Dato,$A827))*2,0)/2)))</f>
        <v/>
      </c>
      <c r="AR827">
        <f>IF(OR(AR$4="",$A827&gt;TODAY()),0,IF(OR(INDEX($B827:$D827,AR$5)="F",AND(AR$6&gt;0,$A827&lt;AR$6),AND(AR$7&gt;0,$A827&gt;AR$7)),0,MAX(0,ROUND((INDEX($E827:$G827,AR$5)-SUMIFS(TF_Timer,TF_Tekniker,AR$4,TF_Dato,$A827))*2,0)/2)))</f>
        <v/>
      </c>
      <c r="AS827">
        <f>IF(OR(AS$4="",$A827&gt;TODAY()),0,IF(OR(INDEX($B827:$D827,AS$5)="F",AND(AS$6&gt;0,$A827&lt;AS$6),AND(AS$7&gt;0,$A827&gt;AS$7)),0,MAX(0,ROUND((INDEX($E827:$G827,AS$5)-SUMIFS(TF_Timer,TF_Tekniker,AS$4,TF_Dato,$A827))*2,0)/2)))</f>
        <v/>
      </c>
      <c r="AT827">
        <f>IF(OR(AT$4="",$A827&gt;TODAY()),0,IF(OR(INDEX($B827:$D827,AT$5)="F",AND(AT$6&gt;0,$A827&lt;AT$6),AND(AT$7&gt;0,$A827&gt;AT$7)),0,MAX(0,ROUND((INDEX($E827:$G827,AT$5)-SUMIFS(TF_Timer,TF_Tekniker,AT$4,TF_Dato,$A827))*2,0)/2)))</f>
        <v/>
      </c>
      <c r="AU827">
        <f>IF(OR(AU$4="",$A827&gt;TODAY()),0,IF(OR(INDEX($B827:$D827,AU$5)="F",AND(AU$6&gt;0,$A827&lt;AU$6),AND(AU$7&gt;0,$A827&gt;AU$7)),0,MAX(0,ROUND((INDEX($E827:$G827,AU$5)-SUMIFS(TF_Timer,TF_Tekniker,AU$4,TF_Dato,$A827))*2,0)/2)))</f>
        <v/>
      </c>
      <c r="AV827">
        <f>IF(OR(AV$4="",$A827&gt;TODAY()),0,IF(OR(INDEX($B827:$D827,AV$5)="F",AND(AV$6&gt;0,$A827&lt;AV$6),AND(AV$7&gt;0,$A827&gt;AV$7)),0,MAX(0,ROUND((INDEX($E827:$G827,AV$5)-SUMIFS(TF_Timer,TF_Tekniker,AV$4,TF_Dato,$A827))*2,0)/2)))</f>
        <v/>
      </c>
      <c r="AW827">
        <f>IF(OR(AW$4="",$A827&gt;TODAY()),0,IF(OR(INDEX($B827:$D827,AW$5)="F",AND(AW$6&gt;0,$A827&lt;AW$6),AND(AW$7&gt;0,$A827&gt;AW$7)),0,MAX(0,ROUND((INDEX($E827:$G827,AW$5)-SUMIFS(TF_Timer,TF_Tekniker,AW$4,TF_Dato,$A827))*2,0)/2)))</f>
        <v/>
      </c>
      <c r="AX827">
        <f>IF(OR(AX$4="",$A827&gt;TODAY()),0,IF(OR(INDEX($B827:$D827,AX$5)="F",AND(AX$6&gt;0,$A827&lt;AX$6),AND(AX$7&gt;0,$A827&gt;AX$7)),0,MAX(0,ROUND((INDEX($E827:$G827,AX$5)-SUMIFS(TF_Timer,TF_Tekniker,AX$4,TF_Dato,$A827))*2,0)/2)))</f>
        <v/>
      </c>
      <c r="AY827">
        <f>IF(OR(AY$4="",$A827&gt;TODAY()),0,IF(OR(INDEX($B827:$D827,AY$5)="F",AND(AY$6&gt;0,$A827&lt;AY$6),AND(AY$7&gt;0,$A827&gt;AY$7)),0,MAX(0,ROUND((INDEX($E827:$G827,AY$5)-SUMIFS(TF_Timer,TF_Tekniker,AY$4,TF_Dato,$A827))*2,0)/2)))</f>
        <v/>
      </c>
      <c r="AZ827">
        <f>IF(OR(AZ$4="",$A827&gt;TODAY()),0,IF(OR(INDEX($B827:$D827,AZ$5)="F",AND(AZ$6&gt;0,$A827&lt;AZ$6),AND(AZ$7&gt;0,$A827&gt;AZ$7)),0,MAX(0,ROUND((INDEX($E827:$G827,AZ$5)-SUMIFS(TF_Timer,TF_Tekniker,AZ$4,TF_Dato,$A827))*2,0)/2)))</f>
        <v/>
      </c>
      <c r="BA827">
        <f>IF(OR(BA$4="",$A827&gt;TODAY()),0,IF(OR(INDEX($B827:$D827,BA$5)="F",AND(BA$6&gt;0,$A827&lt;BA$6),AND(BA$7&gt;0,$A827&gt;BA$7)),0,MAX(0,ROUND((INDEX($E827:$G827,BA$5)-SUMIFS(TF_Timer,TF_Tekniker,BA$4,TF_Dato,$A827))*2,0)/2)))</f>
        <v/>
      </c>
      <c r="BB827">
        <f>IF(OR(BB$4="",$A827&gt;TODAY()),0,IF(OR(INDEX($B827:$D827,BB$5)="F",AND(BB$6&gt;0,$A827&lt;BB$6),AND(BB$7&gt;0,$A827&gt;BB$7)),0,MAX(0,ROUND((INDEX($E827:$G827,BB$5)-SUMIFS(TF_Timer,TF_Tekniker,BB$4,TF_Dato,$A827))*2,0)/2)))</f>
        <v/>
      </c>
      <c r="BC827">
        <f>IF(OR(BC$4="",$A827&gt;TODAY()),0,IF(OR(INDEX($B827:$D827,BC$5)="F",AND(BC$6&gt;0,$A827&lt;BC$6),AND(BC$7&gt;0,$A827&gt;BC$7)),0,MAX(0,ROUND((INDEX($E827:$G827,BC$5)-SUMIFS(TF_Timer,TF_Tekniker,BC$4,TF_Dato,$A827))*2,0)/2)))</f>
        <v/>
      </c>
      <c r="BD827">
        <f>IF(OR(BD$4="",$A827&gt;TODAY()),0,IF(OR(INDEX($B827:$D827,BD$5)="F",AND(BD$6&gt;0,$A827&lt;BD$6),AND(BD$7&gt;0,$A827&gt;BD$7)),0,MAX(0,ROUND((INDEX($E827:$G827,BD$5)-SUMIFS(TF_Timer,TF_Tekniker,BD$4,TF_Dato,$A827))*2,0)/2)))</f>
        <v/>
      </c>
      <c r="BE827">
        <f>IF(OR(BE$4="",$A827&gt;TODAY()),0,IF(OR(INDEX($B827:$D827,BE$5)="F",AND(BE$6&gt;0,$A827&lt;BE$6),AND(BE$7&gt;0,$A827&gt;BE$7)),0,MAX(0,ROUND((INDEX($E827:$G827,BE$5)-SUMIFS(TF_Timer,TF_Tekniker,BE$4,TF_Dato,$A827))*2,0)/2)))</f>
        <v/>
      </c>
      <c r="BF827">
        <f>IF(OR(BF$4="",$A827&gt;TODAY()),0,IF(OR(INDEX($B827:$D827,BF$5)="F",AND(BF$6&gt;0,$A827&lt;BF$6),AND(BF$7&gt;0,$A827&gt;BF$7)),0,MAX(0,ROUND((INDEX($E827:$G827,BF$5)-SUMIFS(TF_Timer,TF_Tekniker,BF$4,TF_Dato,$A827))*2,0)/2)))</f>
        <v/>
      </c>
      <c r="BG827">
        <f>IF(OR(BG$4="",$A827&gt;TODAY()),0,IF(OR(INDEX($B827:$D827,BG$5)="F",AND(BG$6&gt;0,$A827&lt;BG$6),AND(BG$7&gt;0,$A827&gt;BG$7)),0,MAX(0,ROUND((INDEX($E827:$G827,BG$5)-SUMIFS(TF_Timer,TF_Tekniker,BG$4,TF_Dato,$A827))*2,0)/2)))</f>
        <v/>
      </c>
      <c r="BH827">
        <f>IF(OR(BH$4="",$A827&gt;TODAY()),0,IF(OR(INDEX($B827:$D827,BH$5)="F",AND(BH$6&gt;0,$A827&lt;BH$6),AND(BH$7&gt;0,$A827&gt;BH$7)),0,MAX(0,ROUND((INDEX($E827:$G827,BH$5)-SUMIFS(TF_Timer,TF_Tekniker,BH$4,TF_Dato,$A827))*2,0)/2)))</f>
        <v/>
      </c>
      <c r="BI827">
        <f>IF(OR(BI$4="",$A827&gt;TODAY()),0,IF(OR(INDEX($B827:$D827,BI$5)="F",AND(BI$6&gt;0,$A827&lt;BI$6),AND(BI$7&gt;0,$A827&gt;BI$7)),0,MAX(0,ROUND((INDEX($E827:$G827,BI$5)-SUMIFS(TF_Timer,TF_Tekniker,BI$4,TF_Dato,$A827))*2,0)/2)))</f>
        <v/>
      </c>
    </row>
    <row r="828">
      <c r="A828" s="64">
        <f>A827+1</f>
        <v/>
      </c>
      <c r="B828">
        <f>IF(MOD($A828-INDEX(SkiftStart,1),Syklus)&lt;DagK,"K",IF(MOD($A828-INDEX(SkiftStart,1),Syklus)&lt;DagK+DagH,"H",IF(MOD($A828-INDEX(SkiftStart,1),Syklus)&lt;DagK+DagH+DagD,"D","F")))</f>
        <v/>
      </c>
      <c r="C828">
        <f>IF(MOD($A828-INDEX(SkiftStart,2),Syklus)&lt;DagK,"K",IF(MOD($A828-INDEX(SkiftStart,2),Syklus)&lt;DagK+DagH,"H",IF(MOD($A828-INDEX(SkiftStart,2),Syklus)&lt;DagK+DagH+DagD,"D","F")))</f>
        <v/>
      </c>
      <c r="D828">
        <f>IF(MOD($A828-INDEX(SkiftStart,3),Syklus)&lt;DagK,"K",IF(MOD($A828-INDEX(SkiftStart,3),Syklus)&lt;DagK+DagH,"H",IF(MOD($A828-INDEX(SkiftStart,3),Syklus)&lt;DagK+DagH+DagD,"D","F")))</f>
        <v/>
      </c>
      <c r="E828">
        <f>IF(B828="F",0,IF(WEEKDAY($A828,2)=5,INDEX(TimerFr,MATCH(B828,FaseKode,0)),INDEX(TimerMT,MATCH(B828,FaseKode,0))))</f>
        <v/>
      </c>
      <c r="F828">
        <f>IF(C828="F",0,IF(WEEKDAY($A828,2)=5,INDEX(TimerFr,MATCH(C828,FaseKode,0)),INDEX(TimerMT,MATCH(C828,FaseKode,0))))</f>
        <v/>
      </c>
      <c r="G828">
        <f>IF(D828="F",0,IF(WEEKDAY($A828,2)=5,INDEX(TimerFr,MATCH(D828,FaseKode,0)),INDEX(TimerMT,MATCH(D828,FaseKode,0))))</f>
        <v/>
      </c>
      <c r="H828">
        <f>IF(OR(H$4="",$A828&gt;TODAY()),0,IF(OR(INDEX($B828:$D828,H$5)="F",AND(H$6&gt;0,$A828&lt;H$6),AND(H$7&gt;0,$A828&gt;H$7)),0,MAX(0,ROUND((INDEX($E828:$G828,H$5)-SUMIFS(TF_Timer,TF_Tekniker,H$4,TF_Dato,$A828))*2,0)/2)))</f>
        <v/>
      </c>
      <c r="I828">
        <f>IF(OR(I$4="",$A828&gt;TODAY()),0,IF(OR(INDEX($B828:$D828,I$5)="F",AND(I$6&gt;0,$A828&lt;I$6),AND(I$7&gt;0,$A828&gt;I$7)),0,MAX(0,ROUND((INDEX($E828:$G828,I$5)-SUMIFS(TF_Timer,TF_Tekniker,I$4,TF_Dato,$A828))*2,0)/2)))</f>
        <v/>
      </c>
      <c r="J828">
        <f>IF(OR(J$4="",$A828&gt;TODAY()),0,IF(OR(INDEX($B828:$D828,J$5)="F",AND(J$6&gt;0,$A828&lt;J$6),AND(J$7&gt;0,$A828&gt;J$7)),0,MAX(0,ROUND((INDEX($E828:$G828,J$5)-SUMIFS(TF_Timer,TF_Tekniker,J$4,TF_Dato,$A828))*2,0)/2)))</f>
        <v/>
      </c>
      <c r="K828">
        <f>IF(OR(K$4="",$A828&gt;TODAY()),0,IF(OR(INDEX($B828:$D828,K$5)="F",AND(K$6&gt;0,$A828&lt;K$6),AND(K$7&gt;0,$A828&gt;K$7)),0,MAX(0,ROUND((INDEX($E828:$G828,K$5)-SUMIFS(TF_Timer,TF_Tekniker,K$4,TF_Dato,$A828))*2,0)/2)))</f>
        <v/>
      </c>
      <c r="L828">
        <f>IF(OR(L$4="",$A828&gt;TODAY()),0,IF(OR(INDEX($B828:$D828,L$5)="F",AND(L$6&gt;0,$A828&lt;L$6),AND(L$7&gt;0,$A828&gt;L$7)),0,MAX(0,ROUND((INDEX($E828:$G828,L$5)-SUMIFS(TF_Timer,TF_Tekniker,L$4,TF_Dato,$A828))*2,0)/2)))</f>
        <v/>
      </c>
      <c r="M828">
        <f>IF(OR(M$4="",$A828&gt;TODAY()),0,IF(OR(INDEX($B828:$D828,M$5)="F",AND(M$6&gt;0,$A828&lt;M$6),AND(M$7&gt;0,$A828&gt;M$7)),0,MAX(0,ROUND((INDEX($E828:$G828,M$5)-SUMIFS(TF_Timer,TF_Tekniker,M$4,TF_Dato,$A828))*2,0)/2)))</f>
        <v/>
      </c>
      <c r="N828">
        <f>IF(OR(N$4="",$A828&gt;TODAY()),0,IF(OR(INDEX($B828:$D828,N$5)="F",AND(N$6&gt;0,$A828&lt;N$6),AND(N$7&gt;0,$A828&gt;N$7)),0,MAX(0,ROUND((INDEX($E828:$G828,N$5)-SUMIFS(TF_Timer,TF_Tekniker,N$4,TF_Dato,$A828))*2,0)/2)))</f>
        <v/>
      </c>
      <c r="O828">
        <f>IF(OR(O$4="",$A828&gt;TODAY()),0,IF(OR(INDEX($B828:$D828,O$5)="F",AND(O$6&gt;0,$A828&lt;O$6),AND(O$7&gt;0,$A828&gt;O$7)),0,MAX(0,ROUND((INDEX($E828:$G828,O$5)-SUMIFS(TF_Timer,TF_Tekniker,O$4,TF_Dato,$A828))*2,0)/2)))</f>
        <v/>
      </c>
      <c r="P828">
        <f>IF(OR(P$4="",$A828&gt;TODAY()),0,IF(OR(INDEX($B828:$D828,P$5)="F",AND(P$6&gt;0,$A828&lt;P$6),AND(P$7&gt;0,$A828&gt;P$7)),0,MAX(0,ROUND((INDEX($E828:$G828,P$5)-SUMIFS(TF_Timer,TF_Tekniker,P$4,TF_Dato,$A828))*2,0)/2)))</f>
        <v/>
      </c>
      <c r="Q828">
        <f>IF(OR(Q$4="",$A828&gt;TODAY()),0,IF(OR(INDEX($B828:$D828,Q$5)="F",AND(Q$6&gt;0,$A828&lt;Q$6),AND(Q$7&gt;0,$A828&gt;Q$7)),0,MAX(0,ROUND((INDEX($E828:$G828,Q$5)-SUMIFS(TF_Timer,TF_Tekniker,Q$4,TF_Dato,$A828))*2,0)/2)))</f>
        <v/>
      </c>
      <c r="R828">
        <f>IF(OR(R$4="",$A828&gt;TODAY()),0,IF(OR(INDEX($B828:$D828,R$5)="F",AND(R$6&gt;0,$A828&lt;R$6),AND(R$7&gt;0,$A828&gt;R$7)),0,MAX(0,ROUND((INDEX($E828:$G828,R$5)-SUMIFS(TF_Timer,TF_Tekniker,R$4,TF_Dato,$A828))*2,0)/2)))</f>
        <v/>
      </c>
      <c r="S828">
        <f>IF(OR(S$4="",$A828&gt;TODAY()),0,IF(OR(INDEX($B828:$D828,S$5)="F",AND(S$6&gt;0,$A828&lt;S$6),AND(S$7&gt;0,$A828&gt;S$7)),0,MAX(0,ROUND((INDEX($E828:$G828,S$5)-SUMIFS(TF_Timer,TF_Tekniker,S$4,TF_Dato,$A828))*2,0)/2)))</f>
        <v/>
      </c>
      <c r="T828">
        <f>IF(OR(T$4="",$A828&gt;TODAY()),0,IF(OR(INDEX($B828:$D828,T$5)="F",AND(T$6&gt;0,$A828&lt;T$6),AND(T$7&gt;0,$A828&gt;T$7)),0,MAX(0,ROUND((INDEX($E828:$G828,T$5)-SUMIFS(TF_Timer,TF_Tekniker,T$4,TF_Dato,$A828))*2,0)/2)))</f>
        <v/>
      </c>
      <c r="U828">
        <f>IF(OR(U$4="",$A828&gt;TODAY()),0,IF(OR(INDEX($B828:$D828,U$5)="F",AND(U$6&gt;0,$A828&lt;U$6),AND(U$7&gt;0,$A828&gt;U$7)),0,MAX(0,ROUND((INDEX($E828:$G828,U$5)-SUMIFS(TF_Timer,TF_Tekniker,U$4,TF_Dato,$A828))*2,0)/2)))</f>
        <v/>
      </c>
      <c r="V828">
        <f>IF(OR(V$4="",$A828&gt;TODAY()),0,IF(OR(INDEX($B828:$D828,V$5)="F",AND(V$6&gt;0,$A828&lt;V$6),AND(V$7&gt;0,$A828&gt;V$7)),0,MAX(0,ROUND((INDEX($E828:$G828,V$5)-SUMIFS(TF_Timer,TF_Tekniker,V$4,TF_Dato,$A828))*2,0)/2)))</f>
        <v/>
      </c>
      <c r="W828">
        <f>IF(OR(W$4="",$A828&gt;TODAY()),0,IF(OR(INDEX($B828:$D828,W$5)="F",AND(W$6&gt;0,$A828&lt;W$6),AND(W$7&gt;0,$A828&gt;W$7)),0,MAX(0,ROUND((INDEX($E828:$G828,W$5)-SUMIFS(TF_Timer,TF_Tekniker,W$4,TF_Dato,$A828))*2,0)/2)))</f>
        <v/>
      </c>
      <c r="X828">
        <f>IF(OR(X$4="",$A828&gt;TODAY()),0,IF(OR(INDEX($B828:$D828,X$5)="F",AND(X$6&gt;0,$A828&lt;X$6),AND(X$7&gt;0,$A828&gt;X$7)),0,MAX(0,ROUND((INDEX($E828:$G828,X$5)-SUMIFS(TF_Timer,TF_Tekniker,X$4,TF_Dato,$A828))*2,0)/2)))</f>
        <v/>
      </c>
      <c r="Y828">
        <f>IF(OR(Y$4="",$A828&gt;TODAY()),0,IF(OR(INDEX($B828:$D828,Y$5)="F",AND(Y$6&gt;0,$A828&lt;Y$6),AND(Y$7&gt;0,$A828&gt;Y$7)),0,MAX(0,ROUND((INDEX($E828:$G828,Y$5)-SUMIFS(TF_Timer,TF_Tekniker,Y$4,TF_Dato,$A828))*2,0)/2)))</f>
        <v/>
      </c>
      <c r="Z828">
        <f>IF(OR(Z$4="",$A828&gt;TODAY()),0,IF(OR(INDEX($B828:$D828,Z$5)="F",AND(Z$6&gt;0,$A828&lt;Z$6),AND(Z$7&gt;0,$A828&gt;Z$7)),0,MAX(0,ROUND((INDEX($E828:$G828,Z$5)-SUMIFS(TF_Timer,TF_Tekniker,Z$4,TF_Dato,$A828))*2,0)/2)))</f>
        <v/>
      </c>
      <c r="AA828">
        <f>IF(OR(AA$4="",$A828&gt;TODAY()),0,IF(OR(INDEX($B828:$D828,AA$5)="F",AND(AA$6&gt;0,$A828&lt;AA$6),AND(AA$7&gt;0,$A828&gt;AA$7)),0,MAX(0,ROUND((INDEX($E828:$G828,AA$5)-SUMIFS(TF_Timer,TF_Tekniker,AA$4,TF_Dato,$A828))*2,0)/2)))</f>
        <v/>
      </c>
      <c r="AB828">
        <f>IF(OR(AB$4="",$A828&gt;TODAY()),0,IF(OR(INDEX($B828:$D828,AB$5)="F",AND(AB$6&gt;0,$A828&lt;AB$6),AND(AB$7&gt;0,$A828&gt;AB$7)),0,MAX(0,ROUND((INDEX($E828:$G828,AB$5)-SUMIFS(TF_Timer,TF_Tekniker,AB$4,TF_Dato,$A828))*2,0)/2)))</f>
        <v/>
      </c>
      <c r="AC828">
        <f>IF(OR(AC$4="",$A828&gt;TODAY()),0,IF(OR(INDEX($B828:$D828,AC$5)="F",AND(AC$6&gt;0,$A828&lt;AC$6),AND(AC$7&gt;0,$A828&gt;AC$7)),0,MAX(0,ROUND((INDEX($E828:$G828,AC$5)-SUMIFS(TF_Timer,TF_Tekniker,AC$4,TF_Dato,$A828))*2,0)/2)))</f>
        <v/>
      </c>
      <c r="AD828">
        <f>IF(OR(AD$4="",$A828&gt;TODAY()),0,IF(OR(INDEX($B828:$D828,AD$5)="F",AND(AD$6&gt;0,$A828&lt;AD$6),AND(AD$7&gt;0,$A828&gt;AD$7)),0,MAX(0,ROUND((INDEX($E828:$G828,AD$5)-SUMIFS(TF_Timer,TF_Tekniker,AD$4,TF_Dato,$A828))*2,0)/2)))</f>
        <v/>
      </c>
      <c r="AE828">
        <f>IF(OR(AE$4="",$A828&gt;TODAY()),0,IF(OR(INDEX($B828:$D828,AE$5)="F",AND(AE$6&gt;0,$A828&lt;AE$6),AND(AE$7&gt;0,$A828&gt;AE$7)),0,MAX(0,ROUND((INDEX($E828:$G828,AE$5)-SUMIFS(TF_Timer,TF_Tekniker,AE$4,TF_Dato,$A828))*2,0)/2)))</f>
        <v/>
      </c>
      <c r="AF828">
        <f>IF(OR(AF$4="",$A828&gt;TODAY()),0,IF(OR(INDEX($B828:$D828,AF$5)="F",AND(AF$6&gt;0,$A828&lt;AF$6),AND(AF$7&gt;0,$A828&gt;AF$7)),0,MAX(0,ROUND((INDEX($E828:$G828,AF$5)-SUMIFS(TF_Timer,TF_Tekniker,AF$4,TF_Dato,$A828))*2,0)/2)))</f>
        <v/>
      </c>
      <c r="AG828">
        <f>IF(OR(AG$4="",$A828&gt;TODAY()),0,IF(OR(INDEX($B828:$D828,AG$5)="F",AND(AG$6&gt;0,$A828&lt;AG$6),AND(AG$7&gt;0,$A828&gt;AG$7)),0,MAX(0,ROUND((INDEX($E828:$G828,AG$5)-SUMIFS(TF_Timer,TF_Tekniker,AG$4,TF_Dato,$A828))*2,0)/2)))</f>
        <v/>
      </c>
      <c r="AH828">
        <f>IF(OR(AH$4="",$A828&gt;TODAY()),0,IF(OR(INDEX($B828:$D828,AH$5)="F",AND(AH$6&gt;0,$A828&lt;AH$6),AND(AH$7&gt;0,$A828&gt;AH$7)),0,MAX(0,ROUND((INDEX($E828:$G828,AH$5)-SUMIFS(TF_Timer,TF_Tekniker,AH$4,TF_Dato,$A828))*2,0)/2)))</f>
        <v/>
      </c>
      <c r="AI828">
        <f>IF(OR(AI$4="",$A828&gt;TODAY()),0,IF(OR(INDEX($B828:$D828,AI$5)="F",AND(AI$6&gt;0,$A828&lt;AI$6),AND(AI$7&gt;0,$A828&gt;AI$7)),0,MAX(0,ROUND((INDEX($E828:$G828,AI$5)-SUMIFS(TF_Timer,TF_Tekniker,AI$4,TF_Dato,$A828))*2,0)/2)))</f>
        <v/>
      </c>
      <c r="AJ828">
        <f>IF(OR(AJ$4="",$A828&gt;TODAY()),0,IF(OR(INDEX($B828:$D828,AJ$5)="F",AND(AJ$6&gt;0,$A828&lt;AJ$6),AND(AJ$7&gt;0,$A828&gt;AJ$7)),0,MAX(0,ROUND((INDEX($E828:$G828,AJ$5)-SUMIFS(TF_Timer,TF_Tekniker,AJ$4,TF_Dato,$A828))*2,0)/2)))</f>
        <v/>
      </c>
      <c r="AK828">
        <f>IF(OR(AK$4="",$A828&gt;TODAY()),0,IF(OR(INDEX($B828:$D828,AK$5)="F",AND(AK$6&gt;0,$A828&lt;AK$6),AND(AK$7&gt;0,$A828&gt;AK$7)),0,MAX(0,ROUND((INDEX($E828:$G828,AK$5)-SUMIFS(TF_Timer,TF_Tekniker,AK$4,TF_Dato,$A828))*2,0)/2)))</f>
        <v/>
      </c>
      <c r="AL828">
        <f>IF(OR(AL$4="",$A828&gt;TODAY()),0,IF(OR(INDEX($B828:$D828,AL$5)="F",AND(AL$6&gt;0,$A828&lt;AL$6),AND(AL$7&gt;0,$A828&gt;AL$7)),0,MAX(0,ROUND((INDEX($E828:$G828,AL$5)-SUMIFS(TF_Timer,TF_Tekniker,AL$4,TF_Dato,$A828))*2,0)/2)))</f>
        <v/>
      </c>
      <c r="AM828">
        <f>IF(OR(AM$4="",$A828&gt;TODAY()),0,IF(OR(INDEX($B828:$D828,AM$5)="F",AND(AM$6&gt;0,$A828&lt;AM$6),AND(AM$7&gt;0,$A828&gt;AM$7)),0,MAX(0,ROUND((INDEX($E828:$G828,AM$5)-SUMIFS(TF_Timer,TF_Tekniker,AM$4,TF_Dato,$A828))*2,0)/2)))</f>
        <v/>
      </c>
      <c r="AN828">
        <f>IF(OR(AN$4="",$A828&gt;TODAY()),0,IF(OR(INDEX($B828:$D828,AN$5)="F",AND(AN$6&gt;0,$A828&lt;AN$6),AND(AN$7&gt;0,$A828&gt;AN$7)),0,MAX(0,ROUND((INDEX($E828:$G828,AN$5)-SUMIFS(TF_Timer,TF_Tekniker,AN$4,TF_Dato,$A828))*2,0)/2)))</f>
        <v/>
      </c>
      <c r="AO828">
        <f>IF(OR(AO$4="",$A828&gt;TODAY()),0,IF(OR(INDEX($B828:$D828,AO$5)="F",AND(AO$6&gt;0,$A828&lt;AO$6),AND(AO$7&gt;0,$A828&gt;AO$7)),0,MAX(0,ROUND((INDEX($E828:$G828,AO$5)-SUMIFS(TF_Timer,TF_Tekniker,AO$4,TF_Dato,$A828))*2,0)/2)))</f>
        <v/>
      </c>
      <c r="AP828">
        <f>IF(OR(AP$4="",$A828&gt;TODAY()),0,IF(OR(INDEX($B828:$D828,AP$5)="F",AND(AP$6&gt;0,$A828&lt;AP$6),AND(AP$7&gt;0,$A828&gt;AP$7)),0,MAX(0,ROUND((INDEX($E828:$G828,AP$5)-SUMIFS(TF_Timer,TF_Tekniker,AP$4,TF_Dato,$A828))*2,0)/2)))</f>
        <v/>
      </c>
      <c r="AQ828">
        <f>IF(OR(AQ$4="",$A828&gt;TODAY()),0,IF(OR(INDEX($B828:$D828,AQ$5)="F",AND(AQ$6&gt;0,$A828&lt;AQ$6),AND(AQ$7&gt;0,$A828&gt;AQ$7)),0,MAX(0,ROUND((INDEX($E828:$G828,AQ$5)-SUMIFS(TF_Timer,TF_Tekniker,AQ$4,TF_Dato,$A828))*2,0)/2)))</f>
        <v/>
      </c>
      <c r="AR828">
        <f>IF(OR(AR$4="",$A828&gt;TODAY()),0,IF(OR(INDEX($B828:$D828,AR$5)="F",AND(AR$6&gt;0,$A828&lt;AR$6),AND(AR$7&gt;0,$A828&gt;AR$7)),0,MAX(0,ROUND((INDEX($E828:$G828,AR$5)-SUMIFS(TF_Timer,TF_Tekniker,AR$4,TF_Dato,$A828))*2,0)/2)))</f>
        <v/>
      </c>
      <c r="AS828">
        <f>IF(OR(AS$4="",$A828&gt;TODAY()),0,IF(OR(INDEX($B828:$D828,AS$5)="F",AND(AS$6&gt;0,$A828&lt;AS$6),AND(AS$7&gt;0,$A828&gt;AS$7)),0,MAX(0,ROUND((INDEX($E828:$G828,AS$5)-SUMIFS(TF_Timer,TF_Tekniker,AS$4,TF_Dato,$A828))*2,0)/2)))</f>
        <v/>
      </c>
      <c r="AT828">
        <f>IF(OR(AT$4="",$A828&gt;TODAY()),0,IF(OR(INDEX($B828:$D828,AT$5)="F",AND(AT$6&gt;0,$A828&lt;AT$6),AND(AT$7&gt;0,$A828&gt;AT$7)),0,MAX(0,ROUND((INDEX($E828:$G828,AT$5)-SUMIFS(TF_Timer,TF_Tekniker,AT$4,TF_Dato,$A828))*2,0)/2)))</f>
        <v/>
      </c>
      <c r="AU828">
        <f>IF(OR(AU$4="",$A828&gt;TODAY()),0,IF(OR(INDEX($B828:$D828,AU$5)="F",AND(AU$6&gt;0,$A828&lt;AU$6),AND(AU$7&gt;0,$A828&gt;AU$7)),0,MAX(0,ROUND((INDEX($E828:$G828,AU$5)-SUMIFS(TF_Timer,TF_Tekniker,AU$4,TF_Dato,$A828))*2,0)/2)))</f>
        <v/>
      </c>
      <c r="AV828">
        <f>IF(OR(AV$4="",$A828&gt;TODAY()),0,IF(OR(INDEX($B828:$D828,AV$5)="F",AND(AV$6&gt;0,$A828&lt;AV$6),AND(AV$7&gt;0,$A828&gt;AV$7)),0,MAX(0,ROUND((INDEX($E828:$G828,AV$5)-SUMIFS(TF_Timer,TF_Tekniker,AV$4,TF_Dato,$A828))*2,0)/2)))</f>
        <v/>
      </c>
      <c r="AW828">
        <f>IF(OR(AW$4="",$A828&gt;TODAY()),0,IF(OR(INDEX($B828:$D828,AW$5)="F",AND(AW$6&gt;0,$A828&lt;AW$6),AND(AW$7&gt;0,$A828&gt;AW$7)),0,MAX(0,ROUND((INDEX($E828:$G828,AW$5)-SUMIFS(TF_Timer,TF_Tekniker,AW$4,TF_Dato,$A828))*2,0)/2)))</f>
        <v/>
      </c>
      <c r="AX828">
        <f>IF(OR(AX$4="",$A828&gt;TODAY()),0,IF(OR(INDEX($B828:$D828,AX$5)="F",AND(AX$6&gt;0,$A828&lt;AX$6),AND(AX$7&gt;0,$A828&gt;AX$7)),0,MAX(0,ROUND((INDEX($E828:$G828,AX$5)-SUMIFS(TF_Timer,TF_Tekniker,AX$4,TF_Dato,$A828))*2,0)/2)))</f>
        <v/>
      </c>
      <c r="AY828">
        <f>IF(OR(AY$4="",$A828&gt;TODAY()),0,IF(OR(INDEX($B828:$D828,AY$5)="F",AND(AY$6&gt;0,$A828&lt;AY$6),AND(AY$7&gt;0,$A828&gt;AY$7)),0,MAX(0,ROUND((INDEX($E828:$G828,AY$5)-SUMIFS(TF_Timer,TF_Tekniker,AY$4,TF_Dato,$A828))*2,0)/2)))</f>
        <v/>
      </c>
      <c r="AZ828">
        <f>IF(OR(AZ$4="",$A828&gt;TODAY()),0,IF(OR(INDEX($B828:$D828,AZ$5)="F",AND(AZ$6&gt;0,$A828&lt;AZ$6),AND(AZ$7&gt;0,$A828&gt;AZ$7)),0,MAX(0,ROUND((INDEX($E828:$G828,AZ$5)-SUMIFS(TF_Timer,TF_Tekniker,AZ$4,TF_Dato,$A828))*2,0)/2)))</f>
        <v/>
      </c>
      <c r="BA828">
        <f>IF(OR(BA$4="",$A828&gt;TODAY()),0,IF(OR(INDEX($B828:$D828,BA$5)="F",AND(BA$6&gt;0,$A828&lt;BA$6),AND(BA$7&gt;0,$A828&gt;BA$7)),0,MAX(0,ROUND((INDEX($E828:$G828,BA$5)-SUMIFS(TF_Timer,TF_Tekniker,BA$4,TF_Dato,$A828))*2,0)/2)))</f>
        <v/>
      </c>
      <c r="BB828">
        <f>IF(OR(BB$4="",$A828&gt;TODAY()),0,IF(OR(INDEX($B828:$D828,BB$5)="F",AND(BB$6&gt;0,$A828&lt;BB$6),AND(BB$7&gt;0,$A828&gt;BB$7)),0,MAX(0,ROUND((INDEX($E828:$G828,BB$5)-SUMIFS(TF_Timer,TF_Tekniker,BB$4,TF_Dato,$A828))*2,0)/2)))</f>
        <v/>
      </c>
      <c r="BC828">
        <f>IF(OR(BC$4="",$A828&gt;TODAY()),0,IF(OR(INDEX($B828:$D828,BC$5)="F",AND(BC$6&gt;0,$A828&lt;BC$6),AND(BC$7&gt;0,$A828&gt;BC$7)),0,MAX(0,ROUND((INDEX($E828:$G828,BC$5)-SUMIFS(TF_Timer,TF_Tekniker,BC$4,TF_Dato,$A828))*2,0)/2)))</f>
        <v/>
      </c>
      <c r="BD828">
        <f>IF(OR(BD$4="",$A828&gt;TODAY()),0,IF(OR(INDEX($B828:$D828,BD$5)="F",AND(BD$6&gt;0,$A828&lt;BD$6),AND(BD$7&gt;0,$A828&gt;BD$7)),0,MAX(0,ROUND((INDEX($E828:$G828,BD$5)-SUMIFS(TF_Timer,TF_Tekniker,BD$4,TF_Dato,$A828))*2,0)/2)))</f>
        <v/>
      </c>
      <c r="BE828">
        <f>IF(OR(BE$4="",$A828&gt;TODAY()),0,IF(OR(INDEX($B828:$D828,BE$5)="F",AND(BE$6&gt;0,$A828&lt;BE$6),AND(BE$7&gt;0,$A828&gt;BE$7)),0,MAX(0,ROUND((INDEX($E828:$G828,BE$5)-SUMIFS(TF_Timer,TF_Tekniker,BE$4,TF_Dato,$A828))*2,0)/2)))</f>
        <v/>
      </c>
      <c r="BF828">
        <f>IF(OR(BF$4="",$A828&gt;TODAY()),0,IF(OR(INDEX($B828:$D828,BF$5)="F",AND(BF$6&gt;0,$A828&lt;BF$6),AND(BF$7&gt;0,$A828&gt;BF$7)),0,MAX(0,ROUND((INDEX($E828:$G828,BF$5)-SUMIFS(TF_Timer,TF_Tekniker,BF$4,TF_Dato,$A828))*2,0)/2)))</f>
        <v/>
      </c>
      <c r="BG828">
        <f>IF(OR(BG$4="",$A828&gt;TODAY()),0,IF(OR(INDEX($B828:$D828,BG$5)="F",AND(BG$6&gt;0,$A828&lt;BG$6),AND(BG$7&gt;0,$A828&gt;BG$7)),0,MAX(0,ROUND((INDEX($E828:$G828,BG$5)-SUMIFS(TF_Timer,TF_Tekniker,BG$4,TF_Dato,$A828))*2,0)/2)))</f>
        <v/>
      </c>
      <c r="BH828">
        <f>IF(OR(BH$4="",$A828&gt;TODAY()),0,IF(OR(INDEX($B828:$D828,BH$5)="F",AND(BH$6&gt;0,$A828&lt;BH$6),AND(BH$7&gt;0,$A828&gt;BH$7)),0,MAX(0,ROUND((INDEX($E828:$G828,BH$5)-SUMIFS(TF_Timer,TF_Tekniker,BH$4,TF_Dato,$A828))*2,0)/2)))</f>
        <v/>
      </c>
      <c r="BI828">
        <f>IF(OR(BI$4="",$A828&gt;TODAY()),0,IF(OR(INDEX($B828:$D828,BI$5)="F",AND(BI$6&gt;0,$A828&lt;BI$6),AND(BI$7&gt;0,$A828&gt;BI$7)),0,MAX(0,ROUND((INDEX($E828:$G828,BI$5)-SUMIFS(TF_Timer,TF_Tekniker,BI$4,TF_Dato,$A828))*2,0)/2)))</f>
        <v/>
      </c>
    </row>
    <row r="829">
      <c r="A829" s="64">
        <f>A828+1</f>
        <v/>
      </c>
      <c r="B829">
        <f>IF(MOD($A829-INDEX(SkiftStart,1),Syklus)&lt;DagK,"K",IF(MOD($A829-INDEX(SkiftStart,1),Syklus)&lt;DagK+DagH,"H",IF(MOD($A829-INDEX(SkiftStart,1),Syklus)&lt;DagK+DagH+DagD,"D","F")))</f>
        <v/>
      </c>
      <c r="C829">
        <f>IF(MOD($A829-INDEX(SkiftStart,2),Syklus)&lt;DagK,"K",IF(MOD($A829-INDEX(SkiftStart,2),Syklus)&lt;DagK+DagH,"H",IF(MOD($A829-INDEX(SkiftStart,2),Syklus)&lt;DagK+DagH+DagD,"D","F")))</f>
        <v/>
      </c>
      <c r="D829">
        <f>IF(MOD($A829-INDEX(SkiftStart,3),Syklus)&lt;DagK,"K",IF(MOD($A829-INDEX(SkiftStart,3),Syklus)&lt;DagK+DagH,"H",IF(MOD($A829-INDEX(SkiftStart,3),Syklus)&lt;DagK+DagH+DagD,"D","F")))</f>
        <v/>
      </c>
      <c r="E829">
        <f>IF(B829="F",0,IF(WEEKDAY($A829,2)=5,INDEX(TimerFr,MATCH(B829,FaseKode,0)),INDEX(TimerMT,MATCH(B829,FaseKode,0))))</f>
        <v/>
      </c>
      <c r="F829">
        <f>IF(C829="F",0,IF(WEEKDAY($A829,2)=5,INDEX(TimerFr,MATCH(C829,FaseKode,0)),INDEX(TimerMT,MATCH(C829,FaseKode,0))))</f>
        <v/>
      </c>
      <c r="G829">
        <f>IF(D829="F",0,IF(WEEKDAY($A829,2)=5,INDEX(TimerFr,MATCH(D829,FaseKode,0)),INDEX(TimerMT,MATCH(D829,FaseKode,0))))</f>
        <v/>
      </c>
      <c r="H829">
        <f>IF(OR(H$4="",$A829&gt;TODAY()),0,IF(OR(INDEX($B829:$D829,H$5)="F",AND(H$6&gt;0,$A829&lt;H$6),AND(H$7&gt;0,$A829&gt;H$7)),0,MAX(0,ROUND((INDEX($E829:$G829,H$5)-SUMIFS(TF_Timer,TF_Tekniker,H$4,TF_Dato,$A829))*2,0)/2)))</f>
        <v/>
      </c>
      <c r="I829">
        <f>IF(OR(I$4="",$A829&gt;TODAY()),0,IF(OR(INDEX($B829:$D829,I$5)="F",AND(I$6&gt;0,$A829&lt;I$6),AND(I$7&gt;0,$A829&gt;I$7)),0,MAX(0,ROUND((INDEX($E829:$G829,I$5)-SUMIFS(TF_Timer,TF_Tekniker,I$4,TF_Dato,$A829))*2,0)/2)))</f>
        <v/>
      </c>
      <c r="J829">
        <f>IF(OR(J$4="",$A829&gt;TODAY()),0,IF(OR(INDEX($B829:$D829,J$5)="F",AND(J$6&gt;0,$A829&lt;J$6),AND(J$7&gt;0,$A829&gt;J$7)),0,MAX(0,ROUND((INDEX($E829:$G829,J$5)-SUMIFS(TF_Timer,TF_Tekniker,J$4,TF_Dato,$A829))*2,0)/2)))</f>
        <v/>
      </c>
      <c r="K829">
        <f>IF(OR(K$4="",$A829&gt;TODAY()),0,IF(OR(INDEX($B829:$D829,K$5)="F",AND(K$6&gt;0,$A829&lt;K$6),AND(K$7&gt;0,$A829&gt;K$7)),0,MAX(0,ROUND((INDEX($E829:$G829,K$5)-SUMIFS(TF_Timer,TF_Tekniker,K$4,TF_Dato,$A829))*2,0)/2)))</f>
        <v/>
      </c>
      <c r="L829">
        <f>IF(OR(L$4="",$A829&gt;TODAY()),0,IF(OR(INDEX($B829:$D829,L$5)="F",AND(L$6&gt;0,$A829&lt;L$6),AND(L$7&gt;0,$A829&gt;L$7)),0,MAX(0,ROUND((INDEX($E829:$G829,L$5)-SUMIFS(TF_Timer,TF_Tekniker,L$4,TF_Dato,$A829))*2,0)/2)))</f>
        <v/>
      </c>
      <c r="M829">
        <f>IF(OR(M$4="",$A829&gt;TODAY()),0,IF(OR(INDEX($B829:$D829,M$5)="F",AND(M$6&gt;0,$A829&lt;M$6),AND(M$7&gt;0,$A829&gt;M$7)),0,MAX(0,ROUND((INDEX($E829:$G829,M$5)-SUMIFS(TF_Timer,TF_Tekniker,M$4,TF_Dato,$A829))*2,0)/2)))</f>
        <v/>
      </c>
      <c r="N829">
        <f>IF(OR(N$4="",$A829&gt;TODAY()),0,IF(OR(INDEX($B829:$D829,N$5)="F",AND(N$6&gt;0,$A829&lt;N$6),AND(N$7&gt;0,$A829&gt;N$7)),0,MAX(0,ROUND((INDEX($E829:$G829,N$5)-SUMIFS(TF_Timer,TF_Tekniker,N$4,TF_Dato,$A829))*2,0)/2)))</f>
        <v/>
      </c>
      <c r="O829">
        <f>IF(OR(O$4="",$A829&gt;TODAY()),0,IF(OR(INDEX($B829:$D829,O$5)="F",AND(O$6&gt;0,$A829&lt;O$6),AND(O$7&gt;0,$A829&gt;O$7)),0,MAX(0,ROUND((INDEX($E829:$G829,O$5)-SUMIFS(TF_Timer,TF_Tekniker,O$4,TF_Dato,$A829))*2,0)/2)))</f>
        <v/>
      </c>
      <c r="P829">
        <f>IF(OR(P$4="",$A829&gt;TODAY()),0,IF(OR(INDEX($B829:$D829,P$5)="F",AND(P$6&gt;0,$A829&lt;P$6),AND(P$7&gt;0,$A829&gt;P$7)),0,MAX(0,ROUND((INDEX($E829:$G829,P$5)-SUMIFS(TF_Timer,TF_Tekniker,P$4,TF_Dato,$A829))*2,0)/2)))</f>
        <v/>
      </c>
      <c r="Q829">
        <f>IF(OR(Q$4="",$A829&gt;TODAY()),0,IF(OR(INDEX($B829:$D829,Q$5)="F",AND(Q$6&gt;0,$A829&lt;Q$6),AND(Q$7&gt;0,$A829&gt;Q$7)),0,MAX(0,ROUND((INDEX($E829:$G829,Q$5)-SUMIFS(TF_Timer,TF_Tekniker,Q$4,TF_Dato,$A829))*2,0)/2)))</f>
        <v/>
      </c>
      <c r="R829">
        <f>IF(OR(R$4="",$A829&gt;TODAY()),0,IF(OR(INDEX($B829:$D829,R$5)="F",AND(R$6&gt;0,$A829&lt;R$6),AND(R$7&gt;0,$A829&gt;R$7)),0,MAX(0,ROUND((INDEX($E829:$G829,R$5)-SUMIFS(TF_Timer,TF_Tekniker,R$4,TF_Dato,$A829))*2,0)/2)))</f>
        <v/>
      </c>
      <c r="S829">
        <f>IF(OR(S$4="",$A829&gt;TODAY()),0,IF(OR(INDEX($B829:$D829,S$5)="F",AND(S$6&gt;0,$A829&lt;S$6),AND(S$7&gt;0,$A829&gt;S$7)),0,MAX(0,ROUND((INDEX($E829:$G829,S$5)-SUMIFS(TF_Timer,TF_Tekniker,S$4,TF_Dato,$A829))*2,0)/2)))</f>
        <v/>
      </c>
      <c r="T829">
        <f>IF(OR(T$4="",$A829&gt;TODAY()),0,IF(OR(INDEX($B829:$D829,T$5)="F",AND(T$6&gt;0,$A829&lt;T$6),AND(T$7&gt;0,$A829&gt;T$7)),0,MAX(0,ROUND((INDEX($E829:$G829,T$5)-SUMIFS(TF_Timer,TF_Tekniker,T$4,TF_Dato,$A829))*2,0)/2)))</f>
        <v/>
      </c>
      <c r="U829">
        <f>IF(OR(U$4="",$A829&gt;TODAY()),0,IF(OR(INDEX($B829:$D829,U$5)="F",AND(U$6&gt;0,$A829&lt;U$6),AND(U$7&gt;0,$A829&gt;U$7)),0,MAX(0,ROUND((INDEX($E829:$G829,U$5)-SUMIFS(TF_Timer,TF_Tekniker,U$4,TF_Dato,$A829))*2,0)/2)))</f>
        <v/>
      </c>
      <c r="V829">
        <f>IF(OR(V$4="",$A829&gt;TODAY()),0,IF(OR(INDEX($B829:$D829,V$5)="F",AND(V$6&gt;0,$A829&lt;V$6),AND(V$7&gt;0,$A829&gt;V$7)),0,MAX(0,ROUND((INDEX($E829:$G829,V$5)-SUMIFS(TF_Timer,TF_Tekniker,V$4,TF_Dato,$A829))*2,0)/2)))</f>
        <v/>
      </c>
      <c r="W829">
        <f>IF(OR(W$4="",$A829&gt;TODAY()),0,IF(OR(INDEX($B829:$D829,W$5)="F",AND(W$6&gt;0,$A829&lt;W$6),AND(W$7&gt;0,$A829&gt;W$7)),0,MAX(0,ROUND((INDEX($E829:$G829,W$5)-SUMIFS(TF_Timer,TF_Tekniker,W$4,TF_Dato,$A829))*2,0)/2)))</f>
        <v/>
      </c>
      <c r="X829">
        <f>IF(OR(X$4="",$A829&gt;TODAY()),0,IF(OR(INDEX($B829:$D829,X$5)="F",AND(X$6&gt;0,$A829&lt;X$6),AND(X$7&gt;0,$A829&gt;X$7)),0,MAX(0,ROUND((INDEX($E829:$G829,X$5)-SUMIFS(TF_Timer,TF_Tekniker,X$4,TF_Dato,$A829))*2,0)/2)))</f>
        <v/>
      </c>
      <c r="Y829">
        <f>IF(OR(Y$4="",$A829&gt;TODAY()),0,IF(OR(INDEX($B829:$D829,Y$5)="F",AND(Y$6&gt;0,$A829&lt;Y$6),AND(Y$7&gt;0,$A829&gt;Y$7)),0,MAX(0,ROUND((INDEX($E829:$G829,Y$5)-SUMIFS(TF_Timer,TF_Tekniker,Y$4,TF_Dato,$A829))*2,0)/2)))</f>
        <v/>
      </c>
      <c r="Z829">
        <f>IF(OR(Z$4="",$A829&gt;TODAY()),0,IF(OR(INDEX($B829:$D829,Z$5)="F",AND(Z$6&gt;0,$A829&lt;Z$6),AND(Z$7&gt;0,$A829&gt;Z$7)),0,MAX(0,ROUND((INDEX($E829:$G829,Z$5)-SUMIFS(TF_Timer,TF_Tekniker,Z$4,TF_Dato,$A829))*2,0)/2)))</f>
        <v/>
      </c>
      <c r="AA829">
        <f>IF(OR(AA$4="",$A829&gt;TODAY()),0,IF(OR(INDEX($B829:$D829,AA$5)="F",AND(AA$6&gt;0,$A829&lt;AA$6),AND(AA$7&gt;0,$A829&gt;AA$7)),0,MAX(0,ROUND((INDEX($E829:$G829,AA$5)-SUMIFS(TF_Timer,TF_Tekniker,AA$4,TF_Dato,$A829))*2,0)/2)))</f>
        <v/>
      </c>
      <c r="AB829">
        <f>IF(OR(AB$4="",$A829&gt;TODAY()),0,IF(OR(INDEX($B829:$D829,AB$5)="F",AND(AB$6&gt;0,$A829&lt;AB$6),AND(AB$7&gt;0,$A829&gt;AB$7)),0,MAX(0,ROUND((INDEX($E829:$G829,AB$5)-SUMIFS(TF_Timer,TF_Tekniker,AB$4,TF_Dato,$A829))*2,0)/2)))</f>
        <v/>
      </c>
      <c r="AC829">
        <f>IF(OR(AC$4="",$A829&gt;TODAY()),0,IF(OR(INDEX($B829:$D829,AC$5)="F",AND(AC$6&gt;0,$A829&lt;AC$6),AND(AC$7&gt;0,$A829&gt;AC$7)),0,MAX(0,ROUND((INDEX($E829:$G829,AC$5)-SUMIFS(TF_Timer,TF_Tekniker,AC$4,TF_Dato,$A829))*2,0)/2)))</f>
        <v/>
      </c>
      <c r="AD829">
        <f>IF(OR(AD$4="",$A829&gt;TODAY()),0,IF(OR(INDEX($B829:$D829,AD$5)="F",AND(AD$6&gt;0,$A829&lt;AD$6),AND(AD$7&gt;0,$A829&gt;AD$7)),0,MAX(0,ROUND((INDEX($E829:$G829,AD$5)-SUMIFS(TF_Timer,TF_Tekniker,AD$4,TF_Dato,$A829))*2,0)/2)))</f>
        <v/>
      </c>
      <c r="AE829">
        <f>IF(OR(AE$4="",$A829&gt;TODAY()),0,IF(OR(INDEX($B829:$D829,AE$5)="F",AND(AE$6&gt;0,$A829&lt;AE$6),AND(AE$7&gt;0,$A829&gt;AE$7)),0,MAX(0,ROUND((INDEX($E829:$G829,AE$5)-SUMIFS(TF_Timer,TF_Tekniker,AE$4,TF_Dato,$A829))*2,0)/2)))</f>
        <v/>
      </c>
      <c r="AF829">
        <f>IF(OR(AF$4="",$A829&gt;TODAY()),0,IF(OR(INDEX($B829:$D829,AF$5)="F",AND(AF$6&gt;0,$A829&lt;AF$6),AND(AF$7&gt;0,$A829&gt;AF$7)),0,MAX(0,ROUND((INDEX($E829:$G829,AF$5)-SUMIFS(TF_Timer,TF_Tekniker,AF$4,TF_Dato,$A829))*2,0)/2)))</f>
        <v/>
      </c>
      <c r="AG829">
        <f>IF(OR(AG$4="",$A829&gt;TODAY()),0,IF(OR(INDEX($B829:$D829,AG$5)="F",AND(AG$6&gt;0,$A829&lt;AG$6),AND(AG$7&gt;0,$A829&gt;AG$7)),0,MAX(0,ROUND((INDEX($E829:$G829,AG$5)-SUMIFS(TF_Timer,TF_Tekniker,AG$4,TF_Dato,$A829))*2,0)/2)))</f>
        <v/>
      </c>
      <c r="AH829">
        <f>IF(OR(AH$4="",$A829&gt;TODAY()),0,IF(OR(INDEX($B829:$D829,AH$5)="F",AND(AH$6&gt;0,$A829&lt;AH$6),AND(AH$7&gt;0,$A829&gt;AH$7)),0,MAX(0,ROUND((INDEX($E829:$G829,AH$5)-SUMIFS(TF_Timer,TF_Tekniker,AH$4,TF_Dato,$A829))*2,0)/2)))</f>
        <v/>
      </c>
      <c r="AI829">
        <f>IF(OR(AI$4="",$A829&gt;TODAY()),0,IF(OR(INDEX($B829:$D829,AI$5)="F",AND(AI$6&gt;0,$A829&lt;AI$6),AND(AI$7&gt;0,$A829&gt;AI$7)),0,MAX(0,ROUND((INDEX($E829:$G829,AI$5)-SUMIFS(TF_Timer,TF_Tekniker,AI$4,TF_Dato,$A829))*2,0)/2)))</f>
        <v/>
      </c>
      <c r="AJ829">
        <f>IF(OR(AJ$4="",$A829&gt;TODAY()),0,IF(OR(INDEX($B829:$D829,AJ$5)="F",AND(AJ$6&gt;0,$A829&lt;AJ$6),AND(AJ$7&gt;0,$A829&gt;AJ$7)),0,MAX(0,ROUND((INDEX($E829:$G829,AJ$5)-SUMIFS(TF_Timer,TF_Tekniker,AJ$4,TF_Dato,$A829))*2,0)/2)))</f>
        <v/>
      </c>
      <c r="AK829">
        <f>IF(OR(AK$4="",$A829&gt;TODAY()),0,IF(OR(INDEX($B829:$D829,AK$5)="F",AND(AK$6&gt;0,$A829&lt;AK$6),AND(AK$7&gt;0,$A829&gt;AK$7)),0,MAX(0,ROUND((INDEX($E829:$G829,AK$5)-SUMIFS(TF_Timer,TF_Tekniker,AK$4,TF_Dato,$A829))*2,0)/2)))</f>
        <v/>
      </c>
      <c r="AL829">
        <f>IF(OR(AL$4="",$A829&gt;TODAY()),0,IF(OR(INDEX($B829:$D829,AL$5)="F",AND(AL$6&gt;0,$A829&lt;AL$6),AND(AL$7&gt;0,$A829&gt;AL$7)),0,MAX(0,ROUND((INDEX($E829:$G829,AL$5)-SUMIFS(TF_Timer,TF_Tekniker,AL$4,TF_Dato,$A829))*2,0)/2)))</f>
        <v/>
      </c>
      <c r="AM829">
        <f>IF(OR(AM$4="",$A829&gt;TODAY()),0,IF(OR(INDEX($B829:$D829,AM$5)="F",AND(AM$6&gt;0,$A829&lt;AM$6),AND(AM$7&gt;0,$A829&gt;AM$7)),0,MAX(0,ROUND((INDEX($E829:$G829,AM$5)-SUMIFS(TF_Timer,TF_Tekniker,AM$4,TF_Dato,$A829))*2,0)/2)))</f>
        <v/>
      </c>
      <c r="AN829">
        <f>IF(OR(AN$4="",$A829&gt;TODAY()),0,IF(OR(INDEX($B829:$D829,AN$5)="F",AND(AN$6&gt;0,$A829&lt;AN$6),AND(AN$7&gt;0,$A829&gt;AN$7)),0,MAX(0,ROUND((INDEX($E829:$G829,AN$5)-SUMIFS(TF_Timer,TF_Tekniker,AN$4,TF_Dato,$A829))*2,0)/2)))</f>
        <v/>
      </c>
      <c r="AO829">
        <f>IF(OR(AO$4="",$A829&gt;TODAY()),0,IF(OR(INDEX($B829:$D829,AO$5)="F",AND(AO$6&gt;0,$A829&lt;AO$6),AND(AO$7&gt;0,$A829&gt;AO$7)),0,MAX(0,ROUND((INDEX($E829:$G829,AO$5)-SUMIFS(TF_Timer,TF_Tekniker,AO$4,TF_Dato,$A829))*2,0)/2)))</f>
        <v/>
      </c>
      <c r="AP829">
        <f>IF(OR(AP$4="",$A829&gt;TODAY()),0,IF(OR(INDEX($B829:$D829,AP$5)="F",AND(AP$6&gt;0,$A829&lt;AP$6),AND(AP$7&gt;0,$A829&gt;AP$7)),0,MAX(0,ROUND((INDEX($E829:$G829,AP$5)-SUMIFS(TF_Timer,TF_Tekniker,AP$4,TF_Dato,$A829))*2,0)/2)))</f>
        <v/>
      </c>
      <c r="AQ829">
        <f>IF(OR(AQ$4="",$A829&gt;TODAY()),0,IF(OR(INDEX($B829:$D829,AQ$5)="F",AND(AQ$6&gt;0,$A829&lt;AQ$6),AND(AQ$7&gt;0,$A829&gt;AQ$7)),0,MAX(0,ROUND((INDEX($E829:$G829,AQ$5)-SUMIFS(TF_Timer,TF_Tekniker,AQ$4,TF_Dato,$A829))*2,0)/2)))</f>
        <v/>
      </c>
      <c r="AR829">
        <f>IF(OR(AR$4="",$A829&gt;TODAY()),0,IF(OR(INDEX($B829:$D829,AR$5)="F",AND(AR$6&gt;0,$A829&lt;AR$6),AND(AR$7&gt;0,$A829&gt;AR$7)),0,MAX(0,ROUND((INDEX($E829:$G829,AR$5)-SUMIFS(TF_Timer,TF_Tekniker,AR$4,TF_Dato,$A829))*2,0)/2)))</f>
        <v/>
      </c>
      <c r="AS829">
        <f>IF(OR(AS$4="",$A829&gt;TODAY()),0,IF(OR(INDEX($B829:$D829,AS$5)="F",AND(AS$6&gt;0,$A829&lt;AS$6),AND(AS$7&gt;0,$A829&gt;AS$7)),0,MAX(0,ROUND((INDEX($E829:$G829,AS$5)-SUMIFS(TF_Timer,TF_Tekniker,AS$4,TF_Dato,$A829))*2,0)/2)))</f>
        <v/>
      </c>
      <c r="AT829">
        <f>IF(OR(AT$4="",$A829&gt;TODAY()),0,IF(OR(INDEX($B829:$D829,AT$5)="F",AND(AT$6&gt;0,$A829&lt;AT$6),AND(AT$7&gt;0,$A829&gt;AT$7)),0,MAX(0,ROUND((INDEX($E829:$G829,AT$5)-SUMIFS(TF_Timer,TF_Tekniker,AT$4,TF_Dato,$A829))*2,0)/2)))</f>
        <v/>
      </c>
      <c r="AU829">
        <f>IF(OR(AU$4="",$A829&gt;TODAY()),0,IF(OR(INDEX($B829:$D829,AU$5)="F",AND(AU$6&gt;0,$A829&lt;AU$6),AND(AU$7&gt;0,$A829&gt;AU$7)),0,MAX(0,ROUND((INDEX($E829:$G829,AU$5)-SUMIFS(TF_Timer,TF_Tekniker,AU$4,TF_Dato,$A829))*2,0)/2)))</f>
        <v/>
      </c>
      <c r="AV829">
        <f>IF(OR(AV$4="",$A829&gt;TODAY()),0,IF(OR(INDEX($B829:$D829,AV$5)="F",AND(AV$6&gt;0,$A829&lt;AV$6),AND(AV$7&gt;0,$A829&gt;AV$7)),0,MAX(0,ROUND((INDEX($E829:$G829,AV$5)-SUMIFS(TF_Timer,TF_Tekniker,AV$4,TF_Dato,$A829))*2,0)/2)))</f>
        <v/>
      </c>
      <c r="AW829">
        <f>IF(OR(AW$4="",$A829&gt;TODAY()),0,IF(OR(INDEX($B829:$D829,AW$5)="F",AND(AW$6&gt;0,$A829&lt;AW$6),AND(AW$7&gt;0,$A829&gt;AW$7)),0,MAX(0,ROUND((INDEX($E829:$G829,AW$5)-SUMIFS(TF_Timer,TF_Tekniker,AW$4,TF_Dato,$A829))*2,0)/2)))</f>
        <v/>
      </c>
      <c r="AX829">
        <f>IF(OR(AX$4="",$A829&gt;TODAY()),0,IF(OR(INDEX($B829:$D829,AX$5)="F",AND(AX$6&gt;0,$A829&lt;AX$6),AND(AX$7&gt;0,$A829&gt;AX$7)),0,MAX(0,ROUND((INDEX($E829:$G829,AX$5)-SUMIFS(TF_Timer,TF_Tekniker,AX$4,TF_Dato,$A829))*2,0)/2)))</f>
        <v/>
      </c>
      <c r="AY829">
        <f>IF(OR(AY$4="",$A829&gt;TODAY()),0,IF(OR(INDEX($B829:$D829,AY$5)="F",AND(AY$6&gt;0,$A829&lt;AY$6),AND(AY$7&gt;0,$A829&gt;AY$7)),0,MAX(0,ROUND((INDEX($E829:$G829,AY$5)-SUMIFS(TF_Timer,TF_Tekniker,AY$4,TF_Dato,$A829))*2,0)/2)))</f>
        <v/>
      </c>
      <c r="AZ829">
        <f>IF(OR(AZ$4="",$A829&gt;TODAY()),0,IF(OR(INDEX($B829:$D829,AZ$5)="F",AND(AZ$6&gt;0,$A829&lt;AZ$6),AND(AZ$7&gt;0,$A829&gt;AZ$7)),0,MAX(0,ROUND((INDEX($E829:$G829,AZ$5)-SUMIFS(TF_Timer,TF_Tekniker,AZ$4,TF_Dato,$A829))*2,0)/2)))</f>
        <v/>
      </c>
      <c r="BA829">
        <f>IF(OR(BA$4="",$A829&gt;TODAY()),0,IF(OR(INDEX($B829:$D829,BA$5)="F",AND(BA$6&gt;0,$A829&lt;BA$6),AND(BA$7&gt;0,$A829&gt;BA$7)),0,MAX(0,ROUND((INDEX($E829:$G829,BA$5)-SUMIFS(TF_Timer,TF_Tekniker,BA$4,TF_Dato,$A829))*2,0)/2)))</f>
        <v/>
      </c>
      <c r="BB829">
        <f>IF(OR(BB$4="",$A829&gt;TODAY()),0,IF(OR(INDEX($B829:$D829,BB$5)="F",AND(BB$6&gt;0,$A829&lt;BB$6),AND(BB$7&gt;0,$A829&gt;BB$7)),0,MAX(0,ROUND((INDEX($E829:$G829,BB$5)-SUMIFS(TF_Timer,TF_Tekniker,BB$4,TF_Dato,$A829))*2,0)/2)))</f>
        <v/>
      </c>
      <c r="BC829">
        <f>IF(OR(BC$4="",$A829&gt;TODAY()),0,IF(OR(INDEX($B829:$D829,BC$5)="F",AND(BC$6&gt;0,$A829&lt;BC$6),AND(BC$7&gt;0,$A829&gt;BC$7)),0,MAX(0,ROUND((INDEX($E829:$G829,BC$5)-SUMIFS(TF_Timer,TF_Tekniker,BC$4,TF_Dato,$A829))*2,0)/2)))</f>
        <v/>
      </c>
      <c r="BD829">
        <f>IF(OR(BD$4="",$A829&gt;TODAY()),0,IF(OR(INDEX($B829:$D829,BD$5)="F",AND(BD$6&gt;0,$A829&lt;BD$6),AND(BD$7&gt;0,$A829&gt;BD$7)),0,MAX(0,ROUND((INDEX($E829:$G829,BD$5)-SUMIFS(TF_Timer,TF_Tekniker,BD$4,TF_Dato,$A829))*2,0)/2)))</f>
        <v/>
      </c>
      <c r="BE829">
        <f>IF(OR(BE$4="",$A829&gt;TODAY()),0,IF(OR(INDEX($B829:$D829,BE$5)="F",AND(BE$6&gt;0,$A829&lt;BE$6),AND(BE$7&gt;0,$A829&gt;BE$7)),0,MAX(0,ROUND((INDEX($E829:$G829,BE$5)-SUMIFS(TF_Timer,TF_Tekniker,BE$4,TF_Dato,$A829))*2,0)/2)))</f>
        <v/>
      </c>
      <c r="BF829">
        <f>IF(OR(BF$4="",$A829&gt;TODAY()),0,IF(OR(INDEX($B829:$D829,BF$5)="F",AND(BF$6&gt;0,$A829&lt;BF$6),AND(BF$7&gt;0,$A829&gt;BF$7)),0,MAX(0,ROUND((INDEX($E829:$G829,BF$5)-SUMIFS(TF_Timer,TF_Tekniker,BF$4,TF_Dato,$A829))*2,0)/2)))</f>
        <v/>
      </c>
      <c r="BG829">
        <f>IF(OR(BG$4="",$A829&gt;TODAY()),0,IF(OR(INDEX($B829:$D829,BG$5)="F",AND(BG$6&gt;0,$A829&lt;BG$6),AND(BG$7&gt;0,$A829&gt;BG$7)),0,MAX(0,ROUND((INDEX($E829:$G829,BG$5)-SUMIFS(TF_Timer,TF_Tekniker,BG$4,TF_Dato,$A829))*2,0)/2)))</f>
        <v/>
      </c>
      <c r="BH829">
        <f>IF(OR(BH$4="",$A829&gt;TODAY()),0,IF(OR(INDEX($B829:$D829,BH$5)="F",AND(BH$6&gt;0,$A829&lt;BH$6),AND(BH$7&gt;0,$A829&gt;BH$7)),0,MAX(0,ROUND((INDEX($E829:$G829,BH$5)-SUMIFS(TF_Timer,TF_Tekniker,BH$4,TF_Dato,$A829))*2,0)/2)))</f>
        <v/>
      </c>
      <c r="BI829">
        <f>IF(OR(BI$4="",$A829&gt;TODAY()),0,IF(OR(INDEX($B829:$D829,BI$5)="F",AND(BI$6&gt;0,$A829&lt;BI$6),AND(BI$7&gt;0,$A829&gt;BI$7)),0,MAX(0,ROUND((INDEX($E829:$G829,BI$5)-SUMIFS(TF_Timer,TF_Tekniker,BI$4,TF_Dato,$A829))*2,0)/2)))</f>
        <v/>
      </c>
    </row>
    <row r="830">
      <c r="A830" s="64">
        <f>A829+1</f>
        <v/>
      </c>
      <c r="B830">
        <f>IF(MOD($A830-INDEX(SkiftStart,1),Syklus)&lt;DagK,"K",IF(MOD($A830-INDEX(SkiftStart,1),Syklus)&lt;DagK+DagH,"H",IF(MOD($A830-INDEX(SkiftStart,1),Syklus)&lt;DagK+DagH+DagD,"D","F")))</f>
        <v/>
      </c>
      <c r="C830">
        <f>IF(MOD($A830-INDEX(SkiftStart,2),Syklus)&lt;DagK,"K",IF(MOD($A830-INDEX(SkiftStart,2),Syklus)&lt;DagK+DagH,"H",IF(MOD($A830-INDEX(SkiftStart,2),Syklus)&lt;DagK+DagH+DagD,"D","F")))</f>
        <v/>
      </c>
      <c r="D830">
        <f>IF(MOD($A830-INDEX(SkiftStart,3),Syklus)&lt;DagK,"K",IF(MOD($A830-INDEX(SkiftStart,3),Syklus)&lt;DagK+DagH,"H",IF(MOD($A830-INDEX(SkiftStart,3),Syklus)&lt;DagK+DagH+DagD,"D","F")))</f>
        <v/>
      </c>
      <c r="E830">
        <f>IF(B830="F",0,IF(WEEKDAY($A830,2)=5,INDEX(TimerFr,MATCH(B830,FaseKode,0)),INDEX(TimerMT,MATCH(B830,FaseKode,0))))</f>
        <v/>
      </c>
      <c r="F830">
        <f>IF(C830="F",0,IF(WEEKDAY($A830,2)=5,INDEX(TimerFr,MATCH(C830,FaseKode,0)),INDEX(TimerMT,MATCH(C830,FaseKode,0))))</f>
        <v/>
      </c>
      <c r="G830">
        <f>IF(D830="F",0,IF(WEEKDAY($A830,2)=5,INDEX(TimerFr,MATCH(D830,FaseKode,0)),INDEX(TimerMT,MATCH(D830,FaseKode,0))))</f>
        <v/>
      </c>
      <c r="H830">
        <f>IF(OR(H$4="",$A830&gt;TODAY()),0,IF(OR(INDEX($B830:$D830,H$5)="F",AND(H$6&gt;0,$A830&lt;H$6),AND(H$7&gt;0,$A830&gt;H$7)),0,MAX(0,ROUND((INDEX($E830:$G830,H$5)-SUMIFS(TF_Timer,TF_Tekniker,H$4,TF_Dato,$A830))*2,0)/2)))</f>
        <v/>
      </c>
      <c r="I830">
        <f>IF(OR(I$4="",$A830&gt;TODAY()),0,IF(OR(INDEX($B830:$D830,I$5)="F",AND(I$6&gt;0,$A830&lt;I$6),AND(I$7&gt;0,$A830&gt;I$7)),0,MAX(0,ROUND((INDEX($E830:$G830,I$5)-SUMIFS(TF_Timer,TF_Tekniker,I$4,TF_Dato,$A830))*2,0)/2)))</f>
        <v/>
      </c>
      <c r="J830">
        <f>IF(OR(J$4="",$A830&gt;TODAY()),0,IF(OR(INDEX($B830:$D830,J$5)="F",AND(J$6&gt;0,$A830&lt;J$6),AND(J$7&gt;0,$A830&gt;J$7)),0,MAX(0,ROUND((INDEX($E830:$G830,J$5)-SUMIFS(TF_Timer,TF_Tekniker,J$4,TF_Dato,$A830))*2,0)/2)))</f>
        <v/>
      </c>
      <c r="K830">
        <f>IF(OR(K$4="",$A830&gt;TODAY()),0,IF(OR(INDEX($B830:$D830,K$5)="F",AND(K$6&gt;0,$A830&lt;K$6),AND(K$7&gt;0,$A830&gt;K$7)),0,MAX(0,ROUND((INDEX($E830:$G830,K$5)-SUMIFS(TF_Timer,TF_Tekniker,K$4,TF_Dato,$A830))*2,0)/2)))</f>
        <v/>
      </c>
      <c r="L830">
        <f>IF(OR(L$4="",$A830&gt;TODAY()),0,IF(OR(INDEX($B830:$D830,L$5)="F",AND(L$6&gt;0,$A830&lt;L$6),AND(L$7&gt;0,$A830&gt;L$7)),0,MAX(0,ROUND((INDEX($E830:$G830,L$5)-SUMIFS(TF_Timer,TF_Tekniker,L$4,TF_Dato,$A830))*2,0)/2)))</f>
        <v/>
      </c>
      <c r="M830">
        <f>IF(OR(M$4="",$A830&gt;TODAY()),0,IF(OR(INDEX($B830:$D830,M$5)="F",AND(M$6&gt;0,$A830&lt;M$6),AND(M$7&gt;0,$A830&gt;M$7)),0,MAX(0,ROUND((INDEX($E830:$G830,M$5)-SUMIFS(TF_Timer,TF_Tekniker,M$4,TF_Dato,$A830))*2,0)/2)))</f>
        <v/>
      </c>
      <c r="N830">
        <f>IF(OR(N$4="",$A830&gt;TODAY()),0,IF(OR(INDEX($B830:$D830,N$5)="F",AND(N$6&gt;0,$A830&lt;N$6),AND(N$7&gt;0,$A830&gt;N$7)),0,MAX(0,ROUND((INDEX($E830:$G830,N$5)-SUMIFS(TF_Timer,TF_Tekniker,N$4,TF_Dato,$A830))*2,0)/2)))</f>
        <v/>
      </c>
      <c r="O830">
        <f>IF(OR(O$4="",$A830&gt;TODAY()),0,IF(OR(INDEX($B830:$D830,O$5)="F",AND(O$6&gt;0,$A830&lt;O$6),AND(O$7&gt;0,$A830&gt;O$7)),0,MAX(0,ROUND((INDEX($E830:$G830,O$5)-SUMIFS(TF_Timer,TF_Tekniker,O$4,TF_Dato,$A830))*2,0)/2)))</f>
        <v/>
      </c>
      <c r="P830">
        <f>IF(OR(P$4="",$A830&gt;TODAY()),0,IF(OR(INDEX($B830:$D830,P$5)="F",AND(P$6&gt;0,$A830&lt;P$6),AND(P$7&gt;0,$A830&gt;P$7)),0,MAX(0,ROUND((INDEX($E830:$G830,P$5)-SUMIFS(TF_Timer,TF_Tekniker,P$4,TF_Dato,$A830))*2,0)/2)))</f>
        <v/>
      </c>
      <c r="Q830">
        <f>IF(OR(Q$4="",$A830&gt;TODAY()),0,IF(OR(INDEX($B830:$D830,Q$5)="F",AND(Q$6&gt;0,$A830&lt;Q$6),AND(Q$7&gt;0,$A830&gt;Q$7)),0,MAX(0,ROUND((INDEX($E830:$G830,Q$5)-SUMIFS(TF_Timer,TF_Tekniker,Q$4,TF_Dato,$A830))*2,0)/2)))</f>
        <v/>
      </c>
      <c r="R830">
        <f>IF(OR(R$4="",$A830&gt;TODAY()),0,IF(OR(INDEX($B830:$D830,R$5)="F",AND(R$6&gt;0,$A830&lt;R$6),AND(R$7&gt;0,$A830&gt;R$7)),0,MAX(0,ROUND((INDEX($E830:$G830,R$5)-SUMIFS(TF_Timer,TF_Tekniker,R$4,TF_Dato,$A830))*2,0)/2)))</f>
        <v/>
      </c>
      <c r="S830">
        <f>IF(OR(S$4="",$A830&gt;TODAY()),0,IF(OR(INDEX($B830:$D830,S$5)="F",AND(S$6&gt;0,$A830&lt;S$6),AND(S$7&gt;0,$A830&gt;S$7)),0,MAX(0,ROUND((INDEX($E830:$G830,S$5)-SUMIFS(TF_Timer,TF_Tekniker,S$4,TF_Dato,$A830))*2,0)/2)))</f>
        <v/>
      </c>
      <c r="T830">
        <f>IF(OR(T$4="",$A830&gt;TODAY()),0,IF(OR(INDEX($B830:$D830,T$5)="F",AND(T$6&gt;0,$A830&lt;T$6),AND(T$7&gt;0,$A830&gt;T$7)),0,MAX(0,ROUND((INDEX($E830:$G830,T$5)-SUMIFS(TF_Timer,TF_Tekniker,T$4,TF_Dato,$A830))*2,0)/2)))</f>
        <v/>
      </c>
      <c r="U830">
        <f>IF(OR(U$4="",$A830&gt;TODAY()),0,IF(OR(INDEX($B830:$D830,U$5)="F",AND(U$6&gt;0,$A830&lt;U$6),AND(U$7&gt;0,$A830&gt;U$7)),0,MAX(0,ROUND((INDEX($E830:$G830,U$5)-SUMIFS(TF_Timer,TF_Tekniker,U$4,TF_Dato,$A830))*2,0)/2)))</f>
        <v/>
      </c>
      <c r="V830">
        <f>IF(OR(V$4="",$A830&gt;TODAY()),0,IF(OR(INDEX($B830:$D830,V$5)="F",AND(V$6&gt;0,$A830&lt;V$6),AND(V$7&gt;0,$A830&gt;V$7)),0,MAX(0,ROUND((INDEX($E830:$G830,V$5)-SUMIFS(TF_Timer,TF_Tekniker,V$4,TF_Dato,$A830))*2,0)/2)))</f>
        <v/>
      </c>
      <c r="W830">
        <f>IF(OR(W$4="",$A830&gt;TODAY()),0,IF(OR(INDEX($B830:$D830,W$5)="F",AND(W$6&gt;0,$A830&lt;W$6),AND(W$7&gt;0,$A830&gt;W$7)),0,MAX(0,ROUND((INDEX($E830:$G830,W$5)-SUMIFS(TF_Timer,TF_Tekniker,W$4,TF_Dato,$A830))*2,0)/2)))</f>
        <v/>
      </c>
      <c r="X830">
        <f>IF(OR(X$4="",$A830&gt;TODAY()),0,IF(OR(INDEX($B830:$D830,X$5)="F",AND(X$6&gt;0,$A830&lt;X$6),AND(X$7&gt;0,$A830&gt;X$7)),0,MAX(0,ROUND((INDEX($E830:$G830,X$5)-SUMIFS(TF_Timer,TF_Tekniker,X$4,TF_Dato,$A830))*2,0)/2)))</f>
        <v/>
      </c>
      <c r="Y830">
        <f>IF(OR(Y$4="",$A830&gt;TODAY()),0,IF(OR(INDEX($B830:$D830,Y$5)="F",AND(Y$6&gt;0,$A830&lt;Y$6),AND(Y$7&gt;0,$A830&gt;Y$7)),0,MAX(0,ROUND((INDEX($E830:$G830,Y$5)-SUMIFS(TF_Timer,TF_Tekniker,Y$4,TF_Dato,$A830))*2,0)/2)))</f>
        <v/>
      </c>
      <c r="Z830">
        <f>IF(OR(Z$4="",$A830&gt;TODAY()),0,IF(OR(INDEX($B830:$D830,Z$5)="F",AND(Z$6&gt;0,$A830&lt;Z$6),AND(Z$7&gt;0,$A830&gt;Z$7)),0,MAX(0,ROUND((INDEX($E830:$G830,Z$5)-SUMIFS(TF_Timer,TF_Tekniker,Z$4,TF_Dato,$A830))*2,0)/2)))</f>
        <v/>
      </c>
      <c r="AA830">
        <f>IF(OR(AA$4="",$A830&gt;TODAY()),0,IF(OR(INDEX($B830:$D830,AA$5)="F",AND(AA$6&gt;0,$A830&lt;AA$6),AND(AA$7&gt;0,$A830&gt;AA$7)),0,MAX(0,ROUND((INDEX($E830:$G830,AA$5)-SUMIFS(TF_Timer,TF_Tekniker,AA$4,TF_Dato,$A830))*2,0)/2)))</f>
        <v/>
      </c>
      <c r="AB830">
        <f>IF(OR(AB$4="",$A830&gt;TODAY()),0,IF(OR(INDEX($B830:$D830,AB$5)="F",AND(AB$6&gt;0,$A830&lt;AB$6),AND(AB$7&gt;0,$A830&gt;AB$7)),0,MAX(0,ROUND((INDEX($E830:$G830,AB$5)-SUMIFS(TF_Timer,TF_Tekniker,AB$4,TF_Dato,$A830))*2,0)/2)))</f>
        <v/>
      </c>
      <c r="AC830">
        <f>IF(OR(AC$4="",$A830&gt;TODAY()),0,IF(OR(INDEX($B830:$D830,AC$5)="F",AND(AC$6&gt;0,$A830&lt;AC$6),AND(AC$7&gt;0,$A830&gt;AC$7)),0,MAX(0,ROUND((INDEX($E830:$G830,AC$5)-SUMIFS(TF_Timer,TF_Tekniker,AC$4,TF_Dato,$A830))*2,0)/2)))</f>
        <v/>
      </c>
      <c r="AD830">
        <f>IF(OR(AD$4="",$A830&gt;TODAY()),0,IF(OR(INDEX($B830:$D830,AD$5)="F",AND(AD$6&gt;0,$A830&lt;AD$6),AND(AD$7&gt;0,$A830&gt;AD$7)),0,MAX(0,ROUND((INDEX($E830:$G830,AD$5)-SUMIFS(TF_Timer,TF_Tekniker,AD$4,TF_Dato,$A830))*2,0)/2)))</f>
        <v/>
      </c>
      <c r="AE830">
        <f>IF(OR(AE$4="",$A830&gt;TODAY()),0,IF(OR(INDEX($B830:$D830,AE$5)="F",AND(AE$6&gt;0,$A830&lt;AE$6),AND(AE$7&gt;0,$A830&gt;AE$7)),0,MAX(0,ROUND((INDEX($E830:$G830,AE$5)-SUMIFS(TF_Timer,TF_Tekniker,AE$4,TF_Dato,$A830))*2,0)/2)))</f>
        <v/>
      </c>
      <c r="AF830">
        <f>IF(OR(AF$4="",$A830&gt;TODAY()),0,IF(OR(INDEX($B830:$D830,AF$5)="F",AND(AF$6&gt;0,$A830&lt;AF$6),AND(AF$7&gt;0,$A830&gt;AF$7)),0,MAX(0,ROUND((INDEX($E830:$G830,AF$5)-SUMIFS(TF_Timer,TF_Tekniker,AF$4,TF_Dato,$A830))*2,0)/2)))</f>
        <v/>
      </c>
      <c r="AG830">
        <f>IF(OR(AG$4="",$A830&gt;TODAY()),0,IF(OR(INDEX($B830:$D830,AG$5)="F",AND(AG$6&gt;0,$A830&lt;AG$6),AND(AG$7&gt;0,$A830&gt;AG$7)),0,MAX(0,ROUND((INDEX($E830:$G830,AG$5)-SUMIFS(TF_Timer,TF_Tekniker,AG$4,TF_Dato,$A830))*2,0)/2)))</f>
        <v/>
      </c>
      <c r="AH830">
        <f>IF(OR(AH$4="",$A830&gt;TODAY()),0,IF(OR(INDEX($B830:$D830,AH$5)="F",AND(AH$6&gt;0,$A830&lt;AH$6),AND(AH$7&gt;0,$A830&gt;AH$7)),0,MAX(0,ROUND((INDEX($E830:$G830,AH$5)-SUMIFS(TF_Timer,TF_Tekniker,AH$4,TF_Dato,$A830))*2,0)/2)))</f>
        <v/>
      </c>
      <c r="AI830">
        <f>IF(OR(AI$4="",$A830&gt;TODAY()),0,IF(OR(INDEX($B830:$D830,AI$5)="F",AND(AI$6&gt;0,$A830&lt;AI$6),AND(AI$7&gt;0,$A830&gt;AI$7)),0,MAX(0,ROUND((INDEX($E830:$G830,AI$5)-SUMIFS(TF_Timer,TF_Tekniker,AI$4,TF_Dato,$A830))*2,0)/2)))</f>
        <v/>
      </c>
      <c r="AJ830">
        <f>IF(OR(AJ$4="",$A830&gt;TODAY()),0,IF(OR(INDEX($B830:$D830,AJ$5)="F",AND(AJ$6&gt;0,$A830&lt;AJ$6),AND(AJ$7&gt;0,$A830&gt;AJ$7)),0,MAX(0,ROUND((INDEX($E830:$G830,AJ$5)-SUMIFS(TF_Timer,TF_Tekniker,AJ$4,TF_Dato,$A830))*2,0)/2)))</f>
        <v/>
      </c>
      <c r="AK830">
        <f>IF(OR(AK$4="",$A830&gt;TODAY()),0,IF(OR(INDEX($B830:$D830,AK$5)="F",AND(AK$6&gt;0,$A830&lt;AK$6),AND(AK$7&gt;0,$A830&gt;AK$7)),0,MAX(0,ROUND((INDEX($E830:$G830,AK$5)-SUMIFS(TF_Timer,TF_Tekniker,AK$4,TF_Dato,$A830))*2,0)/2)))</f>
        <v/>
      </c>
      <c r="AL830">
        <f>IF(OR(AL$4="",$A830&gt;TODAY()),0,IF(OR(INDEX($B830:$D830,AL$5)="F",AND(AL$6&gt;0,$A830&lt;AL$6),AND(AL$7&gt;0,$A830&gt;AL$7)),0,MAX(0,ROUND((INDEX($E830:$G830,AL$5)-SUMIFS(TF_Timer,TF_Tekniker,AL$4,TF_Dato,$A830))*2,0)/2)))</f>
        <v/>
      </c>
      <c r="AM830">
        <f>IF(OR(AM$4="",$A830&gt;TODAY()),0,IF(OR(INDEX($B830:$D830,AM$5)="F",AND(AM$6&gt;0,$A830&lt;AM$6),AND(AM$7&gt;0,$A830&gt;AM$7)),0,MAX(0,ROUND((INDEX($E830:$G830,AM$5)-SUMIFS(TF_Timer,TF_Tekniker,AM$4,TF_Dato,$A830))*2,0)/2)))</f>
        <v/>
      </c>
      <c r="AN830">
        <f>IF(OR(AN$4="",$A830&gt;TODAY()),0,IF(OR(INDEX($B830:$D830,AN$5)="F",AND(AN$6&gt;0,$A830&lt;AN$6),AND(AN$7&gt;0,$A830&gt;AN$7)),0,MAX(0,ROUND((INDEX($E830:$G830,AN$5)-SUMIFS(TF_Timer,TF_Tekniker,AN$4,TF_Dato,$A830))*2,0)/2)))</f>
        <v/>
      </c>
      <c r="AO830">
        <f>IF(OR(AO$4="",$A830&gt;TODAY()),0,IF(OR(INDEX($B830:$D830,AO$5)="F",AND(AO$6&gt;0,$A830&lt;AO$6),AND(AO$7&gt;0,$A830&gt;AO$7)),0,MAX(0,ROUND((INDEX($E830:$G830,AO$5)-SUMIFS(TF_Timer,TF_Tekniker,AO$4,TF_Dato,$A830))*2,0)/2)))</f>
        <v/>
      </c>
      <c r="AP830">
        <f>IF(OR(AP$4="",$A830&gt;TODAY()),0,IF(OR(INDEX($B830:$D830,AP$5)="F",AND(AP$6&gt;0,$A830&lt;AP$6),AND(AP$7&gt;0,$A830&gt;AP$7)),0,MAX(0,ROUND((INDEX($E830:$G830,AP$5)-SUMIFS(TF_Timer,TF_Tekniker,AP$4,TF_Dato,$A830))*2,0)/2)))</f>
        <v/>
      </c>
      <c r="AQ830">
        <f>IF(OR(AQ$4="",$A830&gt;TODAY()),0,IF(OR(INDEX($B830:$D830,AQ$5)="F",AND(AQ$6&gt;0,$A830&lt;AQ$6),AND(AQ$7&gt;0,$A830&gt;AQ$7)),0,MAX(0,ROUND((INDEX($E830:$G830,AQ$5)-SUMIFS(TF_Timer,TF_Tekniker,AQ$4,TF_Dato,$A830))*2,0)/2)))</f>
        <v/>
      </c>
      <c r="AR830">
        <f>IF(OR(AR$4="",$A830&gt;TODAY()),0,IF(OR(INDEX($B830:$D830,AR$5)="F",AND(AR$6&gt;0,$A830&lt;AR$6),AND(AR$7&gt;0,$A830&gt;AR$7)),0,MAX(0,ROUND((INDEX($E830:$G830,AR$5)-SUMIFS(TF_Timer,TF_Tekniker,AR$4,TF_Dato,$A830))*2,0)/2)))</f>
        <v/>
      </c>
      <c r="AS830">
        <f>IF(OR(AS$4="",$A830&gt;TODAY()),0,IF(OR(INDEX($B830:$D830,AS$5)="F",AND(AS$6&gt;0,$A830&lt;AS$6),AND(AS$7&gt;0,$A830&gt;AS$7)),0,MAX(0,ROUND((INDEX($E830:$G830,AS$5)-SUMIFS(TF_Timer,TF_Tekniker,AS$4,TF_Dato,$A830))*2,0)/2)))</f>
        <v/>
      </c>
      <c r="AT830">
        <f>IF(OR(AT$4="",$A830&gt;TODAY()),0,IF(OR(INDEX($B830:$D830,AT$5)="F",AND(AT$6&gt;0,$A830&lt;AT$6),AND(AT$7&gt;0,$A830&gt;AT$7)),0,MAX(0,ROUND((INDEX($E830:$G830,AT$5)-SUMIFS(TF_Timer,TF_Tekniker,AT$4,TF_Dato,$A830))*2,0)/2)))</f>
        <v/>
      </c>
      <c r="AU830">
        <f>IF(OR(AU$4="",$A830&gt;TODAY()),0,IF(OR(INDEX($B830:$D830,AU$5)="F",AND(AU$6&gt;0,$A830&lt;AU$6),AND(AU$7&gt;0,$A830&gt;AU$7)),0,MAX(0,ROUND((INDEX($E830:$G830,AU$5)-SUMIFS(TF_Timer,TF_Tekniker,AU$4,TF_Dato,$A830))*2,0)/2)))</f>
        <v/>
      </c>
      <c r="AV830">
        <f>IF(OR(AV$4="",$A830&gt;TODAY()),0,IF(OR(INDEX($B830:$D830,AV$5)="F",AND(AV$6&gt;0,$A830&lt;AV$6),AND(AV$7&gt;0,$A830&gt;AV$7)),0,MAX(0,ROUND((INDEX($E830:$G830,AV$5)-SUMIFS(TF_Timer,TF_Tekniker,AV$4,TF_Dato,$A830))*2,0)/2)))</f>
        <v/>
      </c>
      <c r="AW830">
        <f>IF(OR(AW$4="",$A830&gt;TODAY()),0,IF(OR(INDEX($B830:$D830,AW$5)="F",AND(AW$6&gt;0,$A830&lt;AW$6),AND(AW$7&gt;0,$A830&gt;AW$7)),0,MAX(0,ROUND((INDEX($E830:$G830,AW$5)-SUMIFS(TF_Timer,TF_Tekniker,AW$4,TF_Dato,$A830))*2,0)/2)))</f>
        <v/>
      </c>
      <c r="AX830">
        <f>IF(OR(AX$4="",$A830&gt;TODAY()),0,IF(OR(INDEX($B830:$D830,AX$5)="F",AND(AX$6&gt;0,$A830&lt;AX$6),AND(AX$7&gt;0,$A830&gt;AX$7)),0,MAX(0,ROUND((INDEX($E830:$G830,AX$5)-SUMIFS(TF_Timer,TF_Tekniker,AX$4,TF_Dato,$A830))*2,0)/2)))</f>
        <v/>
      </c>
      <c r="AY830">
        <f>IF(OR(AY$4="",$A830&gt;TODAY()),0,IF(OR(INDEX($B830:$D830,AY$5)="F",AND(AY$6&gt;0,$A830&lt;AY$6),AND(AY$7&gt;0,$A830&gt;AY$7)),0,MAX(0,ROUND((INDEX($E830:$G830,AY$5)-SUMIFS(TF_Timer,TF_Tekniker,AY$4,TF_Dato,$A830))*2,0)/2)))</f>
        <v/>
      </c>
      <c r="AZ830">
        <f>IF(OR(AZ$4="",$A830&gt;TODAY()),0,IF(OR(INDEX($B830:$D830,AZ$5)="F",AND(AZ$6&gt;0,$A830&lt;AZ$6),AND(AZ$7&gt;0,$A830&gt;AZ$7)),0,MAX(0,ROUND((INDEX($E830:$G830,AZ$5)-SUMIFS(TF_Timer,TF_Tekniker,AZ$4,TF_Dato,$A830))*2,0)/2)))</f>
        <v/>
      </c>
      <c r="BA830">
        <f>IF(OR(BA$4="",$A830&gt;TODAY()),0,IF(OR(INDEX($B830:$D830,BA$5)="F",AND(BA$6&gt;0,$A830&lt;BA$6),AND(BA$7&gt;0,$A830&gt;BA$7)),0,MAX(0,ROUND((INDEX($E830:$G830,BA$5)-SUMIFS(TF_Timer,TF_Tekniker,BA$4,TF_Dato,$A830))*2,0)/2)))</f>
        <v/>
      </c>
      <c r="BB830">
        <f>IF(OR(BB$4="",$A830&gt;TODAY()),0,IF(OR(INDEX($B830:$D830,BB$5)="F",AND(BB$6&gt;0,$A830&lt;BB$6),AND(BB$7&gt;0,$A830&gt;BB$7)),0,MAX(0,ROUND((INDEX($E830:$G830,BB$5)-SUMIFS(TF_Timer,TF_Tekniker,BB$4,TF_Dato,$A830))*2,0)/2)))</f>
        <v/>
      </c>
      <c r="BC830">
        <f>IF(OR(BC$4="",$A830&gt;TODAY()),0,IF(OR(INDEX($B830:$D830,BC$5)="F",AND(BC$6&gt;0,$A830&lt;BC$6),AND(BC$7&gt;0,$A830&gt;BC$7)),0,MAX(0,ROUND((INDEX($E830:$G830,BC$5)-SUMIFS(TF_Timer,TF_Tekniker,BC$4,TF_Dato,$A830))*2,0)/2)))</f>
        <v/>
      </c>
      <c r="BD830">
        <f>IF(OR(BD$4="",$A830&gt;TODAY()),0,IF(OR(INDEX($B830:$D830,BD$5)="F",AND(BD$6&gt;0,$A830&lt;BD$6),AND(BD$7&gt;0,$A830&gt;BD$7)),0,MAX(0,ROUND((INDEX($E830:$G830,BD$5)-SUMIFS(TF_Timer,TF_Tekniker,BD$4,TF_Dato,$A830))*2,0)/2)))</f>
        <v/>
      </c>
      <c r="BE830">
        <f>IF(OR(BE$4="",$A830&gt;TODAY()),0,IF(OR(INDEX($B830:$D830,BE$5)="F",AND(BE$6&gt;0,$A830&lt;BE$6),AND(BE$7&gt;0,$A830&gt;BE$7)),0,MAX(0,ROUND((INDEX($E830:$G830,BE$5)-SUMIFS(TF_Timer,TF_Tekniker,BE$4,TF_Dato,$A830))*2,0)/2)))</f>
        <v/>
      </c>
      <c r="BF830">
        <f>IF(OR(BF$4="",$A830&gt;TODAY()),0,IF(OR(INDEX($B830:$D830,BF$5)="F",AND(BF$6&gt;0,$A830&lt;BF$6),AND(BF$7&gt;0,$A830&gt;BF$7)),0,MAX(0,ROUND((INDEX($E830:$G830,BF$5)-SUMIFS(TF_Timer,TF_Tekniker,BF$4,TF_Dato,$A830))*2,0)/2)))</f>
        <v/>
      </c>
      <c r="BG830">
        <f>IF(OR(BG$4="",$A830&gt;TODAY()),0,IF(OR(INDEX($B830:$D830,BG$5)="F",AND(BG$6&gt;0,$A830&lt;BG$6),AND(BG$7&gt;0,$A830&gt;BG$7)),0,MAX(0,ROUND((INDEX($E830:$G830,BG$5)-SUMIFS(TF_Timer,TF_Tekniker,BG$4,TF_Dato,$A830))*2,0)/2)))</f>
        <v/>
      </c>
      <c r="BH830">
        <f>IF(OR(BH$4="",$A830&gt;TODAY()),0,IF(OR(INDEX($B830:$D830,BH$5)="F",AND(BH$6&gt;0,$A830&lt;BH$6),AND(BH$7&gt;0,$A830&gt;BH$7)),0,MAX(0,ROUND((INDEX($E830:$G830,BH$5)-SUMIFS(TF_Timer,TF_Tekniker,BH$4,TF_Dato,$A830))*2,0)/2)))</f>
        <v/>
      </c>
      <c r="BI830">
        <f>IF(OR(BI$4="",$A830&gt;TODAY()),0,IF(OR(INDEX($B830:$D830,BI$5)="F",AND(BI$6&gt;0,$A830&lt;BI$6),AND(BI$7&gt;0,$A830&gt;BI$7)),0,MAX(0,ROUND((INDEX($E830:$G830,BI$5)-SUMIFS(TF_Timer,TF_Tekniker,BI$4,TF_Dato,$A830))*2,0)/2)))</f>
        <v/>
      </c>
    </row>
    <row r="831">
      <c r="A831" s="64">
        <f>A830+1</f>
        <v/>
      </c>
      <c r="B831">
        <f>IF(MOD($A831-INDEX(SkiftStart,1),Syklus)&lt;DagK,"K",IF(MOD($A831-INDEX(SkiftStart,1),Syklus)&lt;DagK+DagH,"H",IF(MOD($A831-INDEX(SkiftStart,1),Syklus)&lt;DagK+DagH+DagD,"D","F")))</f>
        <v/>
      </c>
      <c r="C831">
        <f>IF(MOD($A831-INDEX(SkiftStart,2),Syklus)&lt;DagK,"K",IF(MOD($A831-INDEX(SkiftStart,2),Syklus)&lt;DagK+DagH,"H",IF(MOD($A831-INDEX(SkiftStart,2),Syklus)&lt;DagK+DagH+DagD,"D","F")))</f>
        <v/>
      </c>
      <c r="D831">
        <f>IF(MOD($A831-INDEX(SkiftStart,3),Syklus)&lt;DagK,"K",IF(MOD($A831-INDEX(SkiftStart,3),Syklus)&lt;DagK+DagH,"H",IF(MOD($A831-INDEX(SkiftStart,3),Syklus)&lt;DagK+DagH+DagD,"D","F")))</f>
        <v/>
      </c>
      <c r="E831">
        <f>IF(B831="F",0,IF(WEEKDAY($A831,2)=5,INDEX(TimerFr,MATCH(B831,FaseKode,0)),INDEX(TimerMT,MATCH(B831,FaseKode,0))))</f>
        <v/>
      </c>
      <c r="F831">
        <f>IF(C831="F",0,IF(WEEKDAY($A831,2)=5,INDEX(TimerFr,MATCH(C831,FaseKode,0)),INDEX(TimerMT,MATCH(C831,FaseKode,0))))</f>
        <v/>
      </c>
      <c r="G831">
        <f>IF(D831="F",0,IF(WEEKDAY($A831,2)=5,INDEX(TimerFr,MATCH(D831,FaseKode,0)),INDEX(TimerMT,MATCH(D831,FaseKode,0))))</f>
        <v/>
      </c>
      <c r="H831">
        <f>IF(OR(H$4="",$A831&gt;TODAY()),0,IF(OR(INDEX($B831:$D831,H$5)="F",AND(H$6&gt;0,$A831&lt;H$6),AND(H$7&gt;0,$A831&gt;H$7)),0,MAX(0,ROUND((INDEX($E831:$G831,H$5)-SUMIFS(TF_Timer,TF_Tekniker,H$4,TF_Dato,$A831))*2,0)/2)))</f>
        <v/>
      </c>
      <c r="I831">
        <f>IF(OR(I$4="",$A831&gt;TODAY()),0,IF(OR(INDEX($B831:$D831,I$5)="F",AND(I$6&gt;0,$A831&lt;I$6),AND(I$7&gt;0,$A831&gt;I$7)),0,MAX(0,ROUND((INDEX($E831:$G831,I$5)-SUMIFS(TF_Timer,TF_Tekniker,I$4,TF_Dato,$A831))*2,0)/2)))</f>
        <v/>
      </c>
      <c r="J831">
        <f>IF(OR(J$4="",$A831&gt;TODAY()),0,IF(OR(INDEX($B831:$D831,J$5)="F",AND(J$6&gt;0,$A831&lt;J$6),AND(J$7&gt;0,$A831&gt;J$7)),0,MAX(0,ROUND((INDEX($E831:$G831,J$5)-SUMIFS(TF_Timer,TF_Tekniker,J$4,TF_Dato,$A831))*2,0)/2)))</f>
        <v/>
      </c>
      <c r="K831">
        <f>IF(OR(K$4="",$A831&gt;TODAY()),0,IF(OR(INDEX($B831:$D831,K$5)="F",AND(K$6&gt;0,$A831&lt;K$6),AND(K$7&gt;0,$A831&gt;K$7)),0,MAX(0,ROUND((INDEX($E831:$G831,K$5)-SUMIFS(TF_Timer,TF_Tekniker,K$4,TF_Dato,$A831))*2,0)/2)))</f>
        <v/>
      </c>
      <c r="L831">
        <f>IF(OR(L$4="",$A831&gt;TODAY()),0,IF(OR(INDEX($B831:$D831,L$5)="F",AND(L$6&gt;0,$A831&lt;L$6),AND(L$7&gt;0,$A831&gt;L$7)),0,MAX(0,ROUND((INDEX($E831:$G831,L$5)-SUMIFS(TF_Timer,TF_Tekniker,L$4,TF_Dato,$A831))*2,0)/2)))</f>
        <v/>
      </c>
      <c r="M831">
        <f>IF(OR(M$4="",$A831&gt;TODAY()),0,IF(OR(INDEX($B831:$D831,M$5)="F",AND(M$6&gt;0,$A831&lt;M$6),AND(M$7&gt;0,$A831&gt;M$7)),0,MAX(0,ROUND((INDEX($E831:$G831,M$5)-SUMIFS(TF_Timer,TF_Tekniker,M$4,TF_Dato,$A831))*2,0)/2)))</f>
        <v/>
      </c>
      <c r="N831">
        <f>IF(OR(N$4="",$A831&gt;TODAY()),0,IF(OR(INDEX($B831:$D831,N$5)="F",AND(N$6&gt;0,$A831&lt;N$6),AND(N$7&gt;0,$A831&gt;N$7)),0,MAX(0,ROUND((INDEX($E831:$G831,N$5)-SUMIFS(TF_Timer,TF_Tekniker,N$4,TF_Dato,$A831))*2,0)/2)))</f>
        <v/>
      </c>
      <c r="O831">
        <f>IF(OR(O$4="",$A831&gt;TODAY()),0,IF(OR(INDEX($B831:$D831,O$5)="F",AND(O$6&gt;0,$A831&lt;O$6),AND(O$7&gt;0,$A831&gt;O$7)),0,MAX(0,ROUND((INDEX($E831:$G831,O$5)-SUMIFS(TF_Timer,TF_Tekniker,O$4,TF_Dato,$A831))*2,0)/2)))</f>
        <v/>
      </c>
      <c r="P831">
        <f>IF(OR(P$4="",$A831&gt;TODAY()),0,IF(OR(INDEX($B831:$D831,P$5)="F",AND(P$6&gt;0,$A831&lt;P$6),AND(P$7&gt;0,$A831&gt;P$7)),0,MAX(0,ROUND((INDEX($E831:$G831,P$5)-SUMIFS(TF_Timer,TF_Tekniker,P$4,TF_Dato,$A831))*2,0)/2)))</f>
        <v/>
      </c>
      <c r="Q831">
        <f>IF(OR(Q$4="",$A831&gt;TODAY()),0,IF(OR(INDEX($B831:$D831,Q$5)="F",AND(Q$6&gt;0,$A831&lt;Q$6),AND(Q$7&gt;0,$A831&gt;Q$7)),0,MAX(0,ROUND((INDEX($E831:$G831,Q$5)-SUMIFS(TF_Timer,TF_Tekniker,Q$4,TF_Dato,$A831))*2,0)/2)))</f>
        <v/>
      </c>
      <c r="R831">
        <f>IF(OR(R$4="",$A831&gt;TODAY()),0,IF(OR(INDEX($B831:$D831,R$5)="F",AND(R$6&gt;0,$A831&lt;R$6),AND(R$7&gt;0,$A831&gt;R$7)),0,MAX(0,ROUND((INDEX($E831:$G831,R$5)-SUMIFS(TF_Timer,TF_Tekniker,R$4,TF_Dato,$A831))*2,0)/2)))</f>
        <v/>
      </c>
      <c r="S831">
        <f>IF(OR(S$4="",$A831&gt;TODAY()),0,IF(OR(INDEX($B831:$D831,S$5)="F",AND(S$6&gt;0,$A831&lt;S$6),AND(S$7&gt;0,$A831&gt;S$7)),0,MAX(0,ROUND((INDEX($E831:$G831,S$5)-SUMIFS(TF_Timer,TF_Tekniker,S$4,TF_Dato,$A831))*2,0)/2)))</f>
        <v/>
      </c>
      <c r="T831">
        <f>IF(OR(T$4="",$A831&gt;TODAY()),0,IF(OR(INDEX($B831:$D831,T$5)="F",AND(T$6&gt;0,$A831&lt;T$6),AND(T$7&gt;0,$A831&gt;T$7)),0,MAX(0,ROUND((INDEX($E831:$G831,T$5)-SUMIFS(TF_Timer,TF_Tekniker,T$4,TF_Dato,$A831))*2,0)/2)))</f>
        <v/>
      </c>
      <c r="U831">
        <f>IF(OR(U$4="",$A831&gt;TODAY()),0,IF(OR(INDEX($B831:$D831,U$5)="F",AND(U$6&gt;0,$A831&lt;U$6),AND(U$7&gt;0,$A831&gt;U$7)),0,MAX(0,ROUND((INDEX($E831:$G831,U$5)-SUMIFS(TF_Timer,TF_Tekniker,U$4,TF_Dato,$A831))*2,0)/2)))</f>
        <v/>
      </c>
      <c r="V831">
        <f>IF(OR(V$4="",$A831&gt;TODAY()),0,IF(OR(INDEX($B831:$D831,V$5)="F",AND(V$6&gt;0,$A831&lt;V$6),AND(V$7&gt;0,$A831&gt;V$7)),0,MAX(0,ROUND((INDEX($E831:$G831,V$5)-SUMIFS(TF_Timer,TF_Tekniker,V$4,TF_Dato,$A831))*2,0)/2)))</f>
        <v/>
      </c>
      <c r="W831">
        <f>IF(OR(W$4="",$A831&gt;TODAY()),0,IF(OR(INDEX($B831:$D831,W$5)="F",AND(W$6&gt;0,$A831&lt;W$6),AND(W$7&gt;0,$A831&gt;W$7)),0,MAX(0,ROUND((INDEX($E831:$G831,W$5)-SUMIFS(TF_Timer,TF_Tekniker,W$4,TF_Dato,$A831))*2,0)/2)))</f>
        <v/>
      </c>
      <c r="X831">
        <f>IF(OR(X$4="",$A831&gt;TODAY()),0,IF(OR(INDEX($B831:$D831,X$5)="F",AND(X$6&gt;0,$A831&lt;X$6),AND(X$7&gt;0,$A831&gt;X$7)),0,MAX(0,ROUND((INDEX($E831:$G831,X$5)-SUMIFS(TF_Timer,TF_Tekniker,X$4,TF_Dato,$A831))*2,0)/2)))</f>
        <v/>
      </c>
      <c r="Y831">
        <f>IF(OR(Y$4="",$A831&gt;TODAY()),0,IF(OR(INDEX($B831:$D831,Y$5)="F",AND(Y$6&gt;0,$A831&lt;Y$6),AND(Y$7&gt;0,$A831&gt;Y$7)),0,MAX(0,ROUND((INDEX($E831:$G831,Y$5)-SUMIFS(TF_Timer,TF_Tekniker,Y$4,TF_Dato,$A831))*2,0)/2)))</f>
        <v/>
      </c>
      <c r="Z831">
        <f>IF(OR(Z$4="",$A831&gt;TODAY()),0,IF(OR(INDEX($B831:$D831,Z$5)="F",AND(Z$6&gt;0,$A831&lt;Z$6),AND(Z$7&gt;0,$A831&gt;Z$7)),0,MAX(0,ROUND((INDEX($E831:$G831,Z$5)-SUMIFS(TF_Timer,TF_Tekniker,Z$4,TF_Dato,$A831))*2,0)/2)))</f>
        <v/>
      </c>
      <c r="AA831">
        <f>IF(OR(AA$4="",$A831&gt;TODAY()),0,IF(OR(INDEX($B831:$D831,AA$5)="F",AND(AA$6&gt;0,$A831&lt;AA$6),AND(AA$7&gt;0,$A831&gt;AA$7)),0,MAX(0,ROUND((INDEX($E831:$G831,AA$5)-SUMIFS(TF_Timer,TF_Tekniker,AA$4,TF_Dato,$A831))*2,0)/2)))</f>
        <v/>
      </c>
      <c r="AB831">
        <f>IF(OR(AB$4="",$A831&gt;TODAY()),0,IF(OR(INDEX($B831:$D831,AB$5)="F",AND(AB$6&gt;0,$A831&lt;AB$6),AND(AB$7&gt;0,$A831&gt;AB$7)),0,MAX(0,ROUND((INDEX($E831:$G831,AB$5)-SUMIFS(TF_Timer,TF_Tekniker,AB$4,TF_Dato,$A831))*2,0)/2)))</f>
        <v/>
      </c>
      <c r="AC831">
        <f>IF(OR(AC$4="",$A831&gt;TODAY()),0,IF(OR(INDEX($B831:$D831,AC$5)="F",AND(AC$6&gt;0,$A831&lt;AC$6),AND(AC$7&gt;0,$A831&gt;AC$7)),0,MAX(0,ROUND((INDEX($E831:$G831,AC$5)-SUMIFS(TF_Timer,TF_Tekniker,AC$4,TF_Dato,$A831))*2,0)/2)))</f>
        <v/>
      </c>
      <c r="AD831">
        <f>IF(OR(AD$4="",$A831&gt;TODAY()),0,IF(OR(INDEX($B831:$D831,AD$5)="F",AND(AD$6&gt;0,$A831&lt;AD$6),AND(AD$7&gt;0,$A831&gt;AD$7)),0,MAX(0,ROUND((INDEX($E831:$G831,AD$5)-SUMIFS(TF_Timer,TF_Tekniker,AD$4,TF_Dato,$A831))*2,0)/2)))</f>
        <v/>
      </c>
      <c r="AE831">
        <f>IF(OR(AE$4="",$A831&gt;TODAY()),0,IF(OR(INDEX($B831:$D831,AE$5)="F",AND(AE$6&gt;0,$A831&lt;AE$6),AND(AE$7&gt;0,$A831&gt;AE$7)),0,MAX(0,ROUND((INDEX($E831:$G831,AE$5)-SUMIFS(TF_Timer,TF_Tekniker,AE$4,TF_Dato,$A831))*2,0)/2)))</f>
        <v/>
      </c>
      <c r="AF831">
        <f>IF(OR(AF$4="",$A831&gt;TODAY()),0,IF(OR(INDEX($B831:$D831,AF$5)="F",AND(AF$6&gt;0,$A831&lt;AF$6),AND(AF$7&gt;0,$A831&gt;AF$7)),0,MAX(0,ROUND((INDEX($E831:$G831,AF$5)-SUMIFS(TF_Timer,TF_Tekniker,AF$4,TF_Dato,$A831))*2,0)/2)))</f>
        <v/>
      </c>
      <c r="AG831">
        <f>IF(OR(AG$4="",$A831&gt;TODAY()),0,IF(OR(INDEX($B831:$D831,AG$5)="F",AND(AG$6&gt;0,$A831&lt;AG$6),AND(AG$7&gt;0,$A831&gt;AG$7)),0,MAX(0,ROUND((INDEX($E831:$G831,AG$5)-SUMIFS(TF_Timer,TF_Tekniker,AG$4,TF_Dato,$A831))*2,0)/2)))</f>
        <v/>
      </c>
      <c r="AH831">
        <f>IF(OR(AH$4="",$A831&gt;TODAY()),0,IF(OR(INDEX($B831:$D831,AH$5)="F",AND(AH$6&gt;0,$A831&lt;AH$6),AND(AH$7&gt;0,$A831&gt;AH$7)),0,MAX(0,ROUND((INDEX($E831:$G831,AH$5)-SUMIFS(TF_Timer,TF_Tekniker,AH$4,TF_Dato,$A831))*2,0)/2)))</f>
        <v/>
      </c>
      <c r="AI831">
        <f>IF(OR(AI$4="",$A831&gt;TODAY()),0,IF(OR(INDEX($B831:$D831,AI$5)="F",AND(AI$6&gt;0,$A831&lt;AI$6),AND(AI$7&gt;0,$A831&gt;AI$7)),0,MAX(0,ROUND((INDEX($E831:$G831,AI$5)-SUMIFS(TF_Timer,TF_Tekniker,AI$4,TF_Dato,$A831))*2,0)/2)))</f>
        <v/>
      </c>
      <c r="AJ831">
        <f>IF(OR(AJ$4="",$A831&gt;TODAY()),0,IF(OR(INDEX($B831:$D831,AJ$5)="F",AND(AJ$6&gt;0,$A831&lt;AJ$6),AND(AJ$7&gt;0,$A831&gt;AJ$7)),0,MAX(0,ROUND((INDEX($E831:$G831,AJ$5)-SUMIFS(TF_Timer,TF_Tekniker,AJ$4,TF_Dato,$A831))*2,0)/2)))</f>
        <v/>
      </c>
      <c r="AK831">
        <f>IF(OR(AK$4="",$A831&gt;TODAY()),0,IF(OR(INDEX($B831:$D831,AK$5)="F",AND(AK$6&gt;0,$A831&lt;AK$6),AND(AK$7&gt;0,$A831&gt;AK$7)),0,MAX(0,ROUND((INDEX($E831:$G831,AK$5)-SUMIFS(TF_Timer,TF_Tekniker,AK$4,TF_Dato,$A831))*2,0)/2)))</f>
        <v/>
      </c>
      <c r="AL831">
        <f>IF(OR(AL$4="",$A831&gt;TODAY()),0,IF(OR(INDEX($B831:$D831,AL$5)="F",AND(AL$6&gt;0,$A831&lt;AL$6),AND(AL$7&gt;0,$A831&gt;AL$7)),0,MAX(0,ROUND((INDEX($E831:$G831,AL$5)-SUMIFS(TF_Timer,TF_Tekniker,AL$4,TF_Dato,$A831))*2,0)/2)))</f>
        <v/>
      </c>
      <c r="AM831">
        <f>IF(OR(AM$4="",$A831&gt;TODAY()),0,IF(OR(INDEX($B831:$D831,AM$5)="F",AND(AM$6&gt;0,$A831&lt;AM$6),AND(AM$7&gt;0,$A831&gt;AM$7)),0,MAX(0,ROUND((INDEX($E831:$G831,AM$5)-SUMIFS(TF_Timer,TF_Tekniker,AM$4,TF_Dato,$A831))*2,0)/2)))</f>
        <v/>
      </c>
      <c r="AN831">
        <f>IF(OR(AN$4="",$A831&gt;TODAY()),0,IF(OR(INDEX($B831:$D831,AN$5)="F",AND(AN$6&gt;0,$A831&lt;AN$6),AND(AN$7&gt;0,$A831&gt;AN$7)),0,MAX(0,ROUND((INDEX($E831:$G831,AN$5)-SUMIFS(TF_Timer,TF_Tekniker,AN$4,TF_Dato,$A831))*2,0)/2)))</f>
        <v/>
      </c>
      <c r="AO831">
        <f>IF(OR(AO$4="",$A831&gt;TODAY()),0,IF(OR(INDEX($B831:$D831,AO$5)="F",AND(AO$6&gt;0,$A831&lt;AO$6),AND(AO$7&gt;0,$A831&gt;AO$7)),0,MAX(0,ROUND((INDEX($E831:$G831,AO$5)-SUMIFS(TF_Timer,TF_Tekniker,AO$4,TF_Dato,$A831))*2,0)/2)))</f>
        <v/>
      </c>
      <c r="AP831">
        <f>IF(OR(AP$4="",$A831&gt;TODAY()),0,IF(OR(INDEX($B831:$D831,AP$5)="F",AND(AP$6&gt;0,$A831&lt;AP$6),AND(AP$7&gt;0,$A831&gt;AP$7)),0,MAX(0,ROUND((INDEX($E831:$G831,AP$5)-SUMIFS(TF_Timer,TF_Tekniker,AP$4,TF_Dato,$A831))*2,0)/2)))</f>
        <v/>
      </c>
      <c r="AQ831">
        <f>IF(OR(AQ$4="",$A831&gt;TODAY()),0,IF(OR(INDEX($B831:$D831,AQ$5)="F",AND(AQ$6&gt;0,$A831&lt;AQ$6),AND(AQ$7&gt;0,$A831&gt;AQ$7)),0,MAX(0,ROUND((INDEX($E831:$G831,AQ$5)-SUMIFS(TF_Timer,TF_Tekniker,AQ$4,TF_Dato,$A831))*2,0)/2)))</f>
        <v/>
      </c>
      <c r="AR831">
        <f>IF(OR(AR$4="",$A831&gt;TODAY()),0,IF(OR(INDEX($B831:$D831,AR$5)="F",AND(AR$6&gt;0,$A831&lt;AR$6),AND(AR$7&gt;0,$A831&gt;AR$7)),0,MAX(0,ROUND((INDEX($E831:$G831,AR$5)-SUMIFS(TF_Timer,TF_Tekniker,AR$4,TF_Dato,$A831))*2,0)/2)))</f>
        <v/>
      </c>
      <c r="AS831">
        <f>IF(OR(AS$4="",$A831&gt;TODAY()),0,IF(OR(INDEX($B831:$D831,AS$5)="F",AND(AS$6&gt;0,$A831&lt;AS$6),AND(AS$7&gt;0,$A831&gt;AS$7)),0,MAX(0,ROUND((INDEX($E831:$G831,AS$5)-SUMIFS(TF_Timer,TF_Tekniker,AS$4,TF_Dato,$A831))*2,0)/2)))</f>
        <v/>
      </c>
      <c r="AT831">
        <f>IF(OR(AT$4="",$A831&gt;TODAY()),0,IF(OR(INDEX($B831:$D831,AT$5)="F",AND(AT$6&gt;0,$A831&lt;AT$6),AND(AT$7&gt;0,$A831&gt;AT$7)),0,MAX(0,ROUND((INDEX($E831:$G831,AT$5)-SUMIFS(TF_Timer,TF_Tekniker,AT$4,TF_Dato,$A831))*2,0)/2)))</f>
        <v/>
      </c>
      <c r="AU831">
        <f>IF(OR(AU$4="",$A831&gt;TODAY()),0,IF(OR(INDEX($B831:$D831,AU$5)="F",AND(AU$6&gt;0,$A831&lt;AU$6),AND(AU$7&gt;0,$A831&gt;AU$7)),0,MAX(0,ROUND((INDEX($E831:$G831,AU$5)-SUMIFS(TF_Timer,TF_Tekniker,AU$4,TF_Dato,$A831))*2,0)/2)))</f>
        <v/>
      </c>
      <c r="AV831">
        <f>IF(OR(AV$4="",$A831&gt;TODAY()),0,IF(OR(INDEX($B831:$D831,AV$5)="F",AND(AV$6&gt;0,$A831&lt;AV$6),AND(AV$7&gt;0,$A831&gt;AV$7)),0,MAX(0,ROUND((INDEX($E831:$G831,AV$5)-SUMIFS(TF_Timer,TF_Tekniker,AV$4,TF_Dato,$A831))*2,0)/2)))</f>
        <v/>
      </c>
      <c r="AW831">
        <f>IF(OR(AW$4="",$A831&gt;TODAY()),0,IF(OR(INDEX($B831:$D831,AW$5)="F",AND(AW$6&gt;0,$A831&lt;AW$6),AND(AW$7&gt;0,$A831&gt;AW$7)),0,MAX(0,ROUND((INDEX($E831:$G831,AW$5)-SUMIFS(TF_Timer,TF_Tekniker,AW$4,TF_Dato,$A831))*2,0)/2)))</f>
        <v/>
      </c>
      <c r="AX831">
        <f>IF(OR(AX$4="",$A831&gt;TODAY()),0,IF(OR(INDEX($B831:$D831,AX$5)="F",AND(AX$6&gt;0,$A831&lt;AX$6),AND(AX$7&gt;0,$A831&gt;AX$7)),0,MAX(0,ROUND((INDEX($E831:$G831,AX$5)-SUMIFS(TF_Timer,TF_Tekniker,AX$4,TF_Dato,$A831))*2,0)/2)))</f>
        <v/>
      </c>
      <c r="AY831">
        <f>IF(OR(AY$4="",$A831&gt;TODAY()),0,IF(OR(INDEX($B831:$D831,AY$5)="F",AND(AY$6&gt;0,$A831&lt;AY$6),AND(AY$7&gt;0,$A831&gt;AY$7)),0,MAX(0,ROUND((INDEX($E831:$G831,AY$5)-SUMIFS(TF_Timer,TF_Tekniker,AY$4,TF_Dato,$A831))*2,0)/2)))</f>
        <v/>
      </c>
      <c r="AZ831">
        <f>IF(OR(AZ$4="",$A831&gt;TODAY()),0,IF(OR(INDEX($B831:$D831,AZ$5)="F",AND(AZ$6&gt;0,$A831&lt;AZ$6),AND(AZ$7&gt;0,$A831&gt;AZ$7)),0,MAX(0,ROUND((INDEX($E831:$G831,AZ$5)-SUMIFS(TF_Timer,TF_Tekniker,AZ$4,TF_Dato,$A831))*2,0)/2)))</f>
        <v/>
      </c>
      <c r="BA831">
        <f>IF(OR(BA$4="",$A831&gt;TODAY()),0,IF(OR(INDEX($B831:$D831,BA$5)="F",AND(BA$6&gt;0,$A831&lt;BA$6),AND(BA$7&gt;0,$A831&gt;BA$7)),0,MAX(0,ROUND((INDEX($E831:$G831,BA$5)-SUMIFS(TF_Timer,TF_Tekniker,BA$4,TF_Dato,$A831))*2,0)/2)))</f>
        <v/>
      </c>
      <c r="BB831">
        <f>IF(OR(BB$4="",$A831&gt;TODAY()),0,IF(OR(INDEX($B831:$D831,BB$5)="F",AND(BB$6&gt;0,$A831&lt;BB$6),AND(BB$7&gt;0,$A831&gt;BB$7)),0,MAX(0,ROUND((INDEX($E831:$G831,BB$5)-SUMIFS(TF_Timer,TF_Tekniker,BB$4,TF_Dato,$A831))*2,0)/2)))</f>
        <v/>
      </c>
      <c r="BC831">
        <f>IF(OR(BC$4="",$A831&gt;TODAY()),0,IF(OR(INDEX($B831:$D831,BC$5)="F",AND(BC$6&gt;0,$A831&lt;BC$6),AND(BC$7&gt;0,$A831&gt;BC$7)),0,MAX(0,ROUND((INDEX($E831:$G831,BC$5)-SUMIFS(TF_Timer,TF_Tekniker,BC$4,TF_Dato,$A831))*2,0)/2)))</f>
        <v/>
      </c>
      <c r="BD831">
        <f>IF(OR(BD$4="",$A831&gt;TODAY()),0,IF(OR(INDEX($B831:$D831,BD$5)="F",AND(BD$6&gt;0,$A831&lt;BD$6),AND(BD$7&gt;0,$A831&gt;BD$7)),0,MAX(0,ROUND((INDEX($E831:$G831,BD$5)-SUMIFS(TF_Timer,TF_Tekniker,BD$4,TF_Dato,$A831))*2,0)/2)))</f>
        <v/>
      </c>
      <c r="BE831">
        <f>IF(OR(BE$4="",$A831&gt;TODAY()),0,IF(OR(INDEX($B831:$D831,BE$5)="F",AND(BE$6&gt;0,$A831&lt;BE$6),AND(BE$7&gt;0,$A831&gt;BE$7)),0,MAX(0,ROUND((INDEX($E831:$G831,BE$5)-SUMIFS(TF_Timer,TF_Tekniker,BE$4,TF_Dato,$A831))*2,0)/2)))</f>
        <v/>
      </c>
      <c r="BF831">
        <f>IF(OR(BF$4="",$A831&gt;TODAY()),0,IF(OR(INDEX($B831:$D831,BF$5)="F",AND(BF$6&gt;0,$A831&lt;BF$6),AND(BF$7&gt;0,$A831&gt;BF$7)),0,MAX(0,ROUND((INDEX($E831:$G831,BF$5)-SUMIFS(TF_Timer,TF_Tekniker,BF$4,TF_Dato,$A831))*2,0)/2)))</f>
        <v/>
      </c>
      <c r="BG831">
        <f>IF(OR(BG$4="",$A831&gt;TODAY()),0,IF(OR(INDEX($B831:$D831,BG$5)="F",AND(BG$6&gt;0,$A831&lt;BG$6),AND(BG$7&gt;0,$A831&gt;BG$7)),0,MAX(0,ROUND((INDEX($E831:$G831,BG$5)-SUMIFS(TF_Timer,TF_Tekniker,BG$4,TF_Dato,$A831))*2,0)/2)))</f>
        <v/>
      </c>
      <c r="BH831">
        <f>IF(OR(BH$4="",$A831&gt;TODAY()),0,IF(OR(INDEX($B831:$D831,BH$5)="F",AND(BH$6&gt;0,$A831&lt;BH$6),AND(BH$7&gt;0,$A831&gt;BH$7)),0,MAX(0,ROUND((INDEX($E831:$G831,BH$5)-SUMIFS(TF_Timer,TF_Tekniker,BH$4,TF_Dato,$A831))*2,0)/2)))</f>
        <v/>
      </c>
      <c r="BI831">
        <f>IF(OR(BI$4="",$A831&gt;TODAY()),0,IF(OR(INDEX($B831:$D831,BI$5)="F",AND(BI$6&gt;0,$A831&lt;BI$6),AND(BI$7&gt;0,$A831&gt;BI$7)),0,MAX(0,ROUND((INDEX($E831:$G831,BI$5)-SUMIFS(TF_Timer,TF_Tekniker,BI$4,TF_Dato,$A831))*2,0)/2)))</f>
        <v/>
      </c>
    </row>
    <row r="832">
      <c r="A832" s="64">
        <f>A831+1</f>
        <v/>
      </c>
      <c r="B832">
        <f>IF(MOD($A832-INDEX(SkiftStart,1),Syklus)&lt;DagK,"K",IF(MOD($A832-INDEX(SkiftStart,1),Syklus)&lt;DagK+DagH,"H",IF(MOD($A832-INDEX(SkiftStart,1),Syklus)&lt;DagK+DagH+DagD,"D","F")))</f>
        <v/>
      </c>
      <c r="C832">
        <f>IF(MOD($A832-INDEX(SkiftStart,2),Syklus)&lt;DagK,"K",IF(MOD($A832-INDEX(SkiftStart,2),Syklus)&lt;DagK+DagH,"H",IF(MOD($A832-INDEX(SkiftStart,2),Syklus)&lt;DagK+DagH+DagD,"D","F")))</f>
        <v/>
      </c>
      <c r="D832">
        <f>IF(MOD($A832-INDEX(SkiftStart,3),Syklus)&lt;DagK,"K",IF(MOD($A832-INDEX(SkiftStart,3),Syklus)&lt;DagK+DagH,"H",IF(MOD($A832-INDEX(SkiftStart,3),Syklus)&lt;DagK+DagH+DagD,"D","F")))</f>
        <v/>
      </c>
      <c r="E832">
        <f>IF(B832="F",0,IF(WEEKDAY($A832,2)=5,INDEX(TimerFr,MATCH(B832,FaseKode,0)),INDEX(TimerMT,MATCH(B832,FaseKode,0))))</f>
        <v/>
      </c>
      <c r="F832">
        <f>IF(C832="F",0,IF(WEEKDAY($A832,2)=5,INDEX(TimerFr,MATCH(C832,FaseKode,0)),INDEX(TimerMT,MATCH(C832,FaseKode,0))))</f>
        <v/>
      </c>
      <c r="G832">
        <f>IF(D832="F",0,IF(WEEKDAY($A832,2)=5,INDEX(TimerFr,MATCH(D832,FaseKode,0)),INDEX(TimerMT,MATCH(D832,FaseKode,0))))</f>
        <v/>
      </c>
      <c r="H832">
        <f>IF(OR(H$4="",$A832&gt;TODAY()),0,IF(OR(INDEX($B832:$D832,H$5)="F",AND(H$6&gt;0,$A832&lt;H$6),AND(H$7&gt;0,$A832&gt;H$7)),0,MAX(0,ROUND((INDEX($E832:$G832,H$5)-SUMIFS(TF_Timer,TF_Tekniker,H$4,TF_Dato,$A832))*2,0)/2)))</f>
        <v/>
      </c>
      <c r="I832">
        <f>IF(OR(I$4="",$A832&gt;TODAY()),0,IF(OR(INDEX($B832:$D832,I$5)="F",AND(I$6&gt;0,$A832&lt;I$6),AND(I$7&gt;0,$A832&gt;I$7)),0,MAX(0,ROUND((INDEX($E832:$G832,I$5)-SUMIFS(TF_Timer,TF_Tekniker,I$4,TF_Dato,$A832))*2,0)/2)))</f>
        <v/>
      </c>
      <c r="J832">
        <f>IF(OR(J$4="",$A832&gt;TODAY()),0,IF(OR(INDEX($B832:$D832,J$5)="F",AND(J$6&gt;0,$A832&lt;J$6),AND(J$7&gt;0,$A832&gt;J$7)),0,MAX(0,ROUND((INDEX($E832:$G832,J$5)-SUMIFS(TF_Timer,TF_Tekniker,J$4,TF_Dato,$A832))*2,0)/2)))</f>
        <v/>
      </c>
      <c r="K832">
        <f>IF(OR(K$4="",$A832&gt;TODAY()),0,IF(OR(INDEX($B832:$D832,K$5)="F",AND(K$6&gt;0,$A832&lt;K$6),AND(K$7&gt;0,$A832&gt;K$7)),0,MAX(0,ROUND((INDEX($E832:$G832,K$5)-SUMIFS(TF_Timer,TF_Tekniker,K$4,TF_Dato,$A832))*2,0)/2)))</f>
        <v/>
      </c>
      <c r="L832">
        <f>IF(OR(L$4="",$A832&gt;TODAY()),0,IF(OR(INDEX($B832:$D832,L$5)="F",AND(L$6&gt;0,$A832&lt;L$6),AND(L$7&gt;0,$A832&gt;L$7)),0,MAX(0,ROUND((INDEX($E832:$G832,L$5)-SUMIFS(TF_Timer,TF_Tekniker,L$4,TF_Dato,$A832))*2,0)/2)))</f>
        <v/>
      </c>
      <c r="M832">
        <f>IF(OR(M$4="",$A832&gt;TODAY()),0,IF(OR(INDEX($B832:$D832,M$5)="F",AND(M$6&gt;0,$A832&lt;M$6),AND(M$7&gt;0,$A832&gt;M$7)),0,MAX(0,ROUND((INDEX($E832:$G832,M$5)-SUMIFS(TF_Timer,TF_Tekniker,M$4,TF_Dato,$A832))*2,0)/2)))</f>
        <v/>
      </c>
      <c r="N832">
        <f>IF(OR(N$4="",$A832&gt;TODAY()),0,IF(OR(INDEX($B832:$D832,N$5)="F",AND(N$6&gt;0,$A832&lt;N$6),AND(N$7&gt;0,$A832&gt;N$7)),0,MAX(0,ROUND((INDEX($E832:$G832,N$5)-SUMIFS(TF_Timer,TF_Tekniker,N$4,TF_Dato,$A832))*2,0)/2)))</f>
        <v/>
      </c>
      <c r="O832">
        <f>IF(OR(O$4="",$A832&gt;TODAY()),0,IF(OR(INDEX($B832:$D832,O$5)="F",AND(O$6&gt;0,$A832&lt;O$6),AND(O$7&gt;0,$A832&gt;O$7)),0,MAX(0,ROUND((INDEX($E832:$G832,O$5)-SUMIFS(TF_Timer,TF_Tekniker,O$4,TF_Dato,$A832))*2,0)/2)))</f>
        <v/>
      </c>
      <c r="P832">
        <f>IF(OR(P$4="",$A832&gt;TODAY()),0,IF(OR(INDEX($B832:$D832,P$5)="F",AND(P$6&gt;0,$A832&lt;P$6),AND(P$7&gt;0,$A832&gt;P$7)),0,MAX(0,ROUND((INDEX($E832:$G832,P$5)-SUMIFS(TF_Timer,TF_Tekniker,P$4,TF_Dato,$A832))*2,0)/2)))</f>
        <v/>
      </c>
      <c r="Q832">
        <f>IF(OR(Q$4="",$A832&gt;TODAY()),0,IF(OR(INDEX($B832:$D832,Q$5)="F",AND(Q$6&gt;0,$A832&lt;Q$6),AND(Q$7&gt;0,$A832&gt;Q$7)),0,MAX(0,ROUND((INDEX($E832:$G832,Q$5)-SUMIFS(TF_Timer,TF_Tekniker,Q$4,TF_Dato,$A832))*2,0)/2)))</f>
        <v/>
      </c>
      <c r="R832">
        <f>IF(OR(R$4="",$A832&gt;TODAY()),0,IF(OR(INDEX($B832:$D832,R$5)="F",AND(R$6&gt;0,$A832&lt;R$6),AND(R$7&gt;0,$A832&gt;R$7)),0,MAX(0,ROUND((INDEX($E832:$G832,R$5)-SUMIFS(TF_Timer,TF_Tekniker,R$4,TF_Dato,$A832))*2,0)/2)))</f>
        <v/>
      </c>
      <c r="S832">
        <f>IF(OR(S$4="",$A832&gt;TODAY()),0,IF(OR(INDEX($B832:$D832,S$5)="F",AND(S$6&gt;0,$A832&lt;S$6),AND(S$7&gt;0,$A832&gt;S$7)),0,MAX(0,ROUND((INDEX($E832:$G832,S$5)-SUMIFS(TF_Timer,TF_Tekniker,S$4,TF_Dato,$A832))*2,0)/2)))</f>
        <v/>
      </c>
      <c r="T832">
        <f>IF(OR(T$4="",$A832&gt;TODAY()),0,IF(OR(INDEX($B832:$D832,T$5)="F",AND(T$6&gt;0,$A832&lt;T$6),AND(T$7&gt;0,$A832&gt;T$7)),0,MAX(0,ROUND((INDEX($E832:$G832,T$5)-SUMIFS(TF_Timer,TF_Tekniker,T$4,TF_Dato,$A832))*2,0)/2)))</f>
        <v/>
      </c>
      <c r="U832">
        <f>IF(OR(U$4="",$A832&gt;TODAY()),0,IF(OR(INDEX($B832:$D832,U$5)="F",AND(U$6&gt;0,$A832&lt;U$6),AND(U$7&gt;0,$A832&gt;U$7)),0,MAX(0,ROUND((INDEX($E832:$G832,U$5)-SUMIFS(TF_Timer,TF_Tekniker,U$4,TF_Dato,$A832))*2,0)/2)))</f>
        <v/>
      </c>
      <c r="V832">
        <f>IF(OR(V$4="",$A832&gt;TODAY()),0,IF(OR(INDEX($B832:$D832,V$5)="F",AND(V$6&gt;0,$A832&lt;V$6),AND(V$7&gt;0,$A832&gt;V$7)),0,MAX(0,ROUND((INDEX($E832:$G832,V$5)-SUMIFS(TF_Timer,TF_Tekniker,V$4,TF_Dato,$A832))*2,0)/2)))</f>
        <v/>
      </c>
      <c r="W832">
        <f>IF(OR(W$4="",$A832&gt;TODAY()),0,IF(OR(INDEX($B832:$D832,W$5)="F",AND(W$6&gt;0,$A832&lt;W$6),AND(W$7&gt;0,$A832&gt;W$7)),0,MAX(0,ROUND((INDEX($E832:$G832,W$5)-SUMIFS(TF_Timer,TF_Tekniker,W$4,TF_Dato,$A832))*2,0)/2)))</f>
        <v/>
      </c>
      <c r="X832">
        <f>IF(OR(X$4="",$A832&gt;TODAY()),0,IF(OR(INDEX($B832:$D832,X$5)="F",AND(X$6&gt;0,$A832&lt;X$6),AND(X$7&gt;0,$A832&gt;X$7)),0,MAX(0,ROUND((INDEX($E832:$G832,X$5)-SUMIFS(TF_Timer,TF_Tekniker,X$4,TF_Dato,$A832))*2,0)/2)))</f>
        <v/>
      </c>
      <c r="Y832">
        <f>IF(OR(Y$4="",$A832&gt;TODAY()),0,IF(OR(INDEX($B832:$D832,Y$5)="F",AND(Y$6&gt;0,$A832&lt;Y$6),AND(Y$7&gt;0,$A832&gt;Y$7)),0,MAX(0,ROUND((INDEX($E832:$G832,Y$5)-SUMIFS(TF_Timer,TF_Tekniker,Y$4,TF_Dato,$A832))*2,0)/2)))</f>
        <v/>
      </c>
      <c r="Z832">
        <f>IF(OR(Z$4="",$A832&gt;TODAY()),0,IF(OR(INDEX($B832:$D832,Z$5)="F",AND(Z$6&gt;0,$A832&lt;Z$6),AND(Z$7&gt;0,$A832&gt;Z$7)),0,MAX(0,ROUND((INDEX($E832:$G832,Z$5)-SUMIFS(TF_Timer,TF_Tekniker,Z$4,TF_Dato,$A832))*2,0)/2)))</f>
        <v/>
      </c>
      <c r="AA832">
        <f>IF(OR(AA$4="",$A832&gt;TODAY()),0,IF(OR(INDEX($B832:$D832,AA$5)="F",AND(AA$6&gt;0,$A832&lt;AA$6),AND(AA$7&gt;0,$A832&gt;AA$7)),0,MAX(0,ROUND((INDEX($E832:$G832,AA$5)-SUMIFS(TF_Timer,TF_Tekniker,AA$4,TF_Dato,$A832))*2,0)/2)))</f>
        <v/>
      </c>
      <c r="AB832">
        <f>IF(OR(AB$4="",$A832&gt;TODAY()),0,IF(OR(INDEX($B832:$D832,AB$5)="F",AND(AB$6&gt;0,$A832&lt;AB$6),AND(AB$7&gt;0,$A832&gt;AB$7)),0,MAX(0,ROUND((INDEX($E832:$G832,AB$5)-SUMIFS(TF_Timer,TF_Tekniker,AB$4,TF_Dato,$A832))*2,0)/2)))</f>
        <v/>
      </c>
      <c r="AC832">
        <f>IF(OR(AC$4="",$A832&gt;TODAY()),0,IF(OR(INDEX($B832:$D832,AC$5)="F",AND(AC$6&gt;0,$A832&lt;AC$6),AND(AC$7&gt;0,$A832&gt;AC$7)),0,MAX(0,ROUND((INDEX($E832:$G832,AC$5)-SUMIFS(TF_Timer,TF_Tekniker,AC$4,TF_Dato,$A832))*2,0)/2)))</f>
        <v/>
      </c>
      <c r="AD832">
        <f>IF(OR(AD$4="",$A832&gt;TODAY()),0,IF(OR(INDEX($B832:$D832,AD$5)="F",AND(AD$6&gt;0,$A832&lt;AD$6),AND(AD$7&gt;0,$A832&gt;AD$7)),0,MAX(0,ROUND((INDEX($E832:$G832,AD$5)-SUMIFS(TF_Timer,TF_Tekniker,AD$4,TF_Dato,$A832))*2,0)/2)))</f>
        <v/>
      </c>
      <c r="AE832">
        <f>IF(OR(AE$4="",$A832&gt;TODAY()),0,IF(OR(INDEX($B832:$D832,AE$5)="F",AND(AE$6&gt;0,$A832&lt;AE$6),AND(AE$7&gt;0,$A832&gt;AE$7)),0,MAX(0,ROUND((INDEX($E832:$G832,AE$5)-SUMIFS(TF_Timer,TF_Tekniker,AE$4,TF_Dato,$A832))*2,0)/2)))</f>
        <v/>
      </c>
      <c r="AF832">
        <f>IF(OR(AF$4="",$A832&gt;TODAY()),0,IF(OR(INDEX($B832:$D832,AF$5)="F",AND(AF$6&gt;0,$A832&lt;AF$6),AND(AF$7&gt;0,$A832&gt;AF$7)),0,MAX(0,ROUND((INDEX($E832:$G832,AF$5)-SUMIFS(TF_Timer,TF_Tekniker,AF$4,TF_Dato,$A832))*2,0)/2)))</f>
        <v/>
      </c>
      <c r="AG832">
        <f>IF(OR(AG$4="",$A832&gt;TODAY()),0,IF(OR(INDEX($B832:$D832,AG$5)="F",AND(AG$6&gt;0,$A832&lt;AG$6),AND(AG$7&gt;0,$A832&gt;AG$7)),0,MAX(0,ROUND((INDEX($E832:$G832,AG$5)-SUMIFS(TF_Timer,TF_Tekniker,AG$4,TF_Dato,$A832))*2,0)/2)))</f>
        <v/>
      </c>
      <c r="AH832">
        <f>IF(OR(AH$4="",$A832&gt;TODAY()),0,IF(OR(INDEX($B832:$D832,AH$5)="F",AND(AH$6&gt;0,$A832&lt;AH$6),AND(AH$7&gt;0,$A832&gt;AH$7)),0,MAX(0,ROUND((INDEX($E832:$G832,AH$5)-SUMIFS(TF_Timer,TF_Tekniker,AH$4,TF_Dato,$A832))*2,0)/2)))</f>
        <v/>
      </c>
      <c r="AI832">
        <f>IF(OR(AI$4="",$A832&gt;TODAY()),0,IF(OR(INDEX($B832:$D832,AI$5)="F",AND(AI$6&gt;0,$A832&lt;AI$6),AND(AI$7&gt;0,$A832&gt;AI$7)),0,MAX(0,ROUND((INDEX($E832:$G832,AI$5)-SUMIFS(TF_Timer,TF_Tekniker,AI$4,TF_Dato,$A832))*2,0)/2)))</f>
        <v/>
      </c>
      <c r="AJ832">
        <f>IF(OR(AJ$4="",$A832&gt;TODAY()),0,IF(OR(INDEX($B832:$D832,AJ$5)="F",AND(AJ$6&gt;0,$A832&lt;AJ$6),AND(AJ$7&gt;0,$A832&gt;AJ$7)),0,MAX(0,ROUND((INDEX($E832:$G832,AJ$5)-SUMIFS(TF_Timer,TF_Tekniker,AJ$4,TF_Dato,$A832))*2,0)/2)))</f>
        <v/>
      </c>
      <c r="AK832">
        <f>IF(OR(AK$4="",$A832&gt;TODAY()),0,IF(OR(INDEX($B832:$D832,AK$5)="F",AND(AK$6&gt;0,$A832&lt;AK$6),AND(AK$7&gt;0,$A832&gt;AK$7)),0,MAX(0,ROUND((INDEX($E832:$G832,AK$5)-SUMIFS(TF_Timer,TF_Tekniker,AK$4,TF_Dato,$A832))*2,0)/2)))</f>
        <v/>
      </c>
      <c r="AL832">
        <f>IF(OR(AL$4="",$A832&gt;TODAY()),0,IF(OR(INDEX($B832:$D832,AL$5)="F",AND(AL$6&gt;0,$A832&lt;AL$6),AND(AL$7&gt;0,$A832&gt;AL$7)),0,MAX(0,ROUND((INDEX($E832:$G832,AL$5)-SUMIFS(TF_Timer,TF_Tekniker,AL$4,TF_Dato,$A832))*2,0)/2)))</f>
        <v/>
      </c>
      <c r="AM832">
        <f>IF(OR(AM$4="",$A832&gt;TODAY()),0,IF(OR(INDEX($B832:$D832,AM$5)="F",AND(AM$6&gt;0,$A832&lt;AM$6),AND(AM$7&gt;0,$A832&gt;AM$7)),0,MAX(0,ROUND((INDEX($E832:$G832,AM$5)-SUMIFS(TF_Timer,TF_Tekniker,AM$4,TF_Dato,$A832))*2,0)/2)))</f>
        <v/>
      </c>
      <c r="AN832">
        <f>IF(OR(AN$4="",$A832&gt;TODAY()),0,IF(OR(INDEX($B832:$D832,AN$5)="F",AND(AN$6&gt;0,$A832&lt;AN$6),AND(AN$7&gt;0,$A832&gt;AN$7)),0,MAX(0,ROUND((INDEX($E832:$G832,AN$5)-SUMIFS(TF_Timer,TF_Tekniker,AN$4,TF_Dato,$A832))*2,0)/2)))</f>
        <v/>
      </c>
      <c r="AO832">
        <f>IF(OR(AO$4="",$A832&gt;TODAY()),0,IF(OR(INDEX($B832:$D832,AO$5)="F",AND(AO$6&gt;0,$A832&lt;AO$6),AND(AO$7&gt;0,$A832&gt;AO$7)),0,MAX(0,ROUND((INDEX($E832:$G832,AO$5)-SUMIFS(TF_Timer,TF_Tekniker,AO$4,TF_Dato,$A832))*2,0)/2)))</f>
        <v/>
      </c>
      <c r="AP832">
        <f>IF(OR(AP$4="",$A832&gt;TODAY()),0,IF(OR(INDEX($B832:$D832,AP$5)="F",AND(AP$6&gt;0,$A832&lt;AP$6),AND(AP$7&gt;0,$A832&gt;AP$7)),0,MAX(0,ROUND((INDEX($E832:$G832,AP$5)-SUMIFS(TF_Timer,TF_Tekniker,AP$4,TF_Dato,$A832))*2,0)/2)))</f>
        <v/>
      </c>
      <c r="AQ832">
        <f>IF(OR(AQ$4="",$A832&gt;TODAY()),0,IF(OR(INDEX($B832:$D832,AQ$5)="F",AND(AQ$6&gt;0,$A832&lt;AQ$6),AND(AQ$7&gt;0,$A832&gt;AQ$7)),0,MAX(0,ROUND((INDEX($E832:$G832,AQ$5)-SUMIFS(TF_Timer,TF_Tekniker,AQ$4,TF_Dato,$A832))*2,0)/2)))</f>
        <v/>
      </c>
      <c r="AR832">
        <f>IF(OR(AR$4="",$A832&gt;TODAY()),0,IF(OR(INDEX($B832:$D832,AR$5)="F",AND(AR$6&gt;0,$A832&lt;AR$6),AND(AR$7&gt;0,$A832&gt;AR$7)),0,MAX(0,ROUND((INDEX($E832:$G832,AR$5)-SUMIFS(TF_Timer,TF_Tekniker,AR$4,TF_Dato,$A832))*2,0)/2)))</f>
        <v/>
      </c>
      <c r="AS832">
        <f>IF(OR(AS$4="",$A832&gt;TODAY()),0,IF(OR(INDEX($B832:$D832,AS$5)="F",AND(AS$6&gt;0,$A832&lt;AS$6),AND(AS$7&gt;0,$A832&gt;AS$7)),0,MAX(0,ROUND((INDEX($E832:$G832,AS$5)-SUMIFS(TF_Timer,TF_Tekniker,AS$4,TF_Dato,$A832))*2,0)/2)))</f>
        <v/>
      </c>
      <c r="AT832">
        <f>IF(OR(AT$4="",$A832&gt;TODAY()),0,IF(OR(INDEX($B832:$D832,AT$5)="F",AND(AT$6&gt;0,$A832&lt;AT$6),AND(AT$7&gt;0,$A832&gt;AT$7)),0,MAX(0,ROUND((INDEX($E832:$G832,AT$5)-SUMIFS(TF_Timer,TF_Tekniker,AT$4,TF_Dato,$A832))*2,0)/2)))</f>
        <v/>
      </c>
      <c r="AU832">
        <f>IF(OR(AU$4="",$A832&gt;TODAY()),0,IF(OR(INDEX($B832:$D832,AU$5)="F",AND(AU$6&gt;0,$A832&lt;AU$6),AND(AU$7&gt;0,$A832&gt;AU$7)),0,MAX(0,ROUND((INDEX($E832:$G832,AU$5)-SUMIFS(TF_Timer,TF_Tekniker,AU$4,TF_Dato,$A832))*2,0)/2)))</f>
        <v/>
      </c>
      <c r="AV832">
        <f>IF(OR(AV$4="",$A832&gt;TODAY()),0,IF(OR(INDEX($B832:$D832,AV$5)="F",AND(AV$6&gt;0,$A832&lt;AV$6),AND(AV$7&gt;0,$A832&gt;AV$7)),0,MAX(0,ROUND((INDEX($E832:$G832,AV$5)-SUMIFS(TF_Timer,TF_Tekniker,AV$4,TF_Dato,$A832))*2,0)/2)))</f>
        <v/>
      </c>
      <c r="AW832">
        <f>IF(OR(AW$4="",$A832&gt;TODAY()),0,IF(OR(INDEX($B832:$D832,AW$5)="F",AND(AW$6&gt;0,$A832&lt;AW$6),AND(AW$7&gt;0,$A832&gt;AW$7)),0,MAX(0,ROUND((INDEX($E832:$G832,AW$5)-SUMIFS(TF_Timer,TF_Tekniker,AW$4,TF_Dato,$A832))*2,0)/2)))</f>
        <v/>
      </c>
      <c r="AX832">
        <f>IF(OR(AX$4="",$A832&gt;TODAY()),0,IF(OR(INDEX($B832:$D832,AX$5)="F",AND(AX$6&gt;0,$A832&lt;AX$6),AND(AX$7&gt;0,$A832&gt;AX$7)),0,MAX(0,ROUND((INDEX($E832:$G832,AX$5)-SUMIFS(TF_Timer,TF_Tekniker,AX$4,TF_Dato,$A832))*2,0)/2)))</f>
        <v/>
      </c>
      <c r="AY832">
        <f>IF(OR(AY$4="",$A832&gt;TODAY()),0,IF(OR(INDEX($B832:$D832,AY$5)="F",AND(AY$6&gt;0,$A832&lt;AY$6),AND(AY$7&gt;0,$A832&gt;AY$7)),0,MAX(0,ROUND((INDEX($E832:$G832,AY$5)-SUMIFS(TF_Timer,TF_Tekniker,AY$4,TF_Dato,$A832))*2,0)/2)))</f>
        <v/>
      </c>
      <c r="AZ832">
        <f>IF(OR(AZ$4="",$A832&gt;TODAY()),0,IF(OR(INDEX($B832:$D832,AZ$5)="F",AND(AZ$6&gt;0,$A832&lt;AZ$6),AND(AZ$7&gt;0,$A832&gt;AZ$7)),0,MAX(0,ROUND((INDEX($E832:$G832,AZ$5)-SUMIFS(TF_Timer,TF_Tekniker,AZ$4,TF_Dato,$A832))*2,0)/2)))</f>
        <v/>
      </c>
      <c r="BA832">
        <f>IF(OR(BA$4="",$A832&gt;TODAY()),0,IF(OR(INDEX($B832:$D832,BA$5)="F",AND(BA$6&gt;0,$A832&lt;BA$6),AND(BA$7&gt;0,$A832&gt;BA$7)),0,MAX(0,ROUND((INDEX($E832:$G832,BA$5)-SUMIFS(TF_Timer,TF_Tekniker,BA$4,TF_Dato,$A832))*2,0)/2)))</f>
        <v/>
      </c>
      <c r="BB832">
        <f>IF(OR(BB$4="",$A832&gt;TODAY()),0,IF(OR(INDEX($B832:$D832,BB$5)="F",AND(BB$6&gt;0,$A832&lt;BB$6),AND(BB$7&gt;0,$A832&gt;BB$7)),0,MAX(0,ROUND((INDEX($E832:$G832,BB$5)-SUMIFS(TF_Timer,TF_Tekniker,BB$4,TF_Dato,$A832))*2,0)/2)))</f>
        <v/>
      </c>
      <c r="BC832">
        <f>IF(OR(BC$4="",$A832&gt;TODAY()),0,IF(OR(INDEX($B832:$D832,BC$5)="F",AND(BC$6&gt;0,$A832&lt;BC$6),AND(BC$7&gt;0,$A832&gt;BC$7)),0,MAX(0,ROUND((INDEX($E832:$G832,BC$5)-SUMIFS(TF_Timer,TF_Tekniker,BC$4,TF_Dato,$A832))*2,0)/2)))</f>
        <v/>
      </c>
      <c r="BD832">
        <f>IF(OR(BD$4="",$A832&gt;TODAY()),0,IF(OR(INDEX($B832:$D832,BD$5)="F",AND(BD$6&gt;0,$A832&lt;BD$6),AND(BD$7&gt;0,$A832&gt;BD$7)),0,MAX(0,ROUND((INDEX($E832:$G832,BD$5)-SUMIFS(TF_Timer,TF_Tekniker,BD$4,TF_Dato,$A832))*2,0)/2)))</f>
        <v/>
      </c>
      <c r="BE832">
        <f>IF(OR(BE$4="",$A832&gt;TODAY()),0,IF(OR(INDEX($B832:$D832,BE$5)="F",AND(BE$6&gt;0,$A832&lt;BE$6),AND(BE$7&gt;0,$A832&gt;BE$7)),0,MAX(0,ROUND((INDEX($E832:$G832,BE$5)-SUMIFS(TF_Timer,TF_Tekniker,BE$4,TF_Dato,$A832))*2,0)/2)))</f>
        <v/>
      </c>
      <c r="BF832">
        <f>IF(OR(BF$4="",$A832&gt;TODAY()),0,IF(OR(INDEX($B832:$D832,BF$5)="F",AND(BF$6&gt;0,$A832&lt;BF$6),AND(BF$7&gt;0,$A832&gt;BF$7)),0,MAX(0,ROUND((INDEX($E832:$G832,BF$5)-SUMIFS(TF_Timer,TF_Tekniker,BF$4,TF_Dato,$A832))*2,0)/2)))</f>
        <v/>
      </c>
      <c r="BG832">
        <f>IF(OR(BG$4="",$A832&gt;TODAY()),0,IF(OR(INDEX($B832:$D832,BG$5)="F",AND(BG$6&gt;0,$A832&lt;BG$6),AND(BG$7&gt;0,$A832&gt;BG$7)),0,MAX(0,ROUND((INDEX($E832:$G832,BG$5)-SUMIFS(TF_Timer,TF_Tekniker,BG$4,TF_Dato,$A832))*2,0)/2)))</f>
        <v/>
      </c>
      <c r="BH832">
        <f>IF(OR(BH$4="",$A832&gt;TODAY()),0,IF(OR(INDEX($B832:$D832,BH$5)="F",AND(BH$6&gt;0,$A832&lt;BH$6),AND(BH$7&gt;0,$A832&gt;BH$7)),0,MAX(0,ROUND((INDEX($E832:$G832,BH$5)-SUMIFS(TF_Timer,TF_Tekniker,BH$4,TF_Dato,$A832))*2,0)/2)))</f>
        <v/>
      </c>
      <c r="BI832">
        <f>IF(OR(BI$4="",$A832&gt;TODAY()),0,IF(OR(INDEX($B832:$D832,BI$5)="F",AND(BI$6&gt;0,$A832&lt;BI$6),AND(BI$7&gt;0,$A832&gt;BI$7)),0,MAX(0,ROUND((INDEX($E832:$G832,BI$5)-SUMIFS(TF_Timer,TF_Tekniker,BI$4,TF_Dato,$A832))*2,0)/2)))</f>
        <v/>
      </c>
    </row>
    <row r="833">
      <c r="A833" s="64">
        <f>A832+1</f>
        <v/>
      </c>
      <c r="B833">
        <f>IF(MOD($A833-INDEX(SkiftStart,1),Syklus)&lt;DagK,"K",IF(MOD($A833-INDEX(SkiftStart,1),Syklus)&lt;DagK+DagH,"H",IF(MOD($A833-INDEX(SkiftStart,1),Syklus)&lt;DagK+DagH+DagD,"D","F")))</f>
        <v/>
      </c>
      <c r="C833">
        <f>IF(MOD($A833-INDEX(SkiftStart,2),Syklus)&lt;DagK,"K",IF(MOD($A833-INDEX(SkiftStart,2),Syklus)&lt;DagK+DagH,"H",IF(MOD($A833-INDEX(SkiftStart,2),Syklus)&lt;DagK+DagH+DagD,"D","F")))</f>
        <v/>
      </c>
      <c r="D833">
        <f>IF(MOD($A833-INDEX(SkiftStart,3),Syklus)&lt;DagK,"K",IF(MOD($A833-INDEX(SkiftStart,3),Syklus)&lt;DagK+DagH,"H",IF(MOD($A833-INDEX(SkiftStart,3),Syklus)&lt;DagK+DagH+DagD,"D","F")))</f>
        <v/>
      </c>
      <c r="E833">
        <f>IF(B833="F",0,IF(WEEKDAY($A833,2)=5,INDEX(TimerFr,MATCH(B833,FaseKode,0)),INDEX(TimerMT,MATCH(B833,FaseKode,0))))</f>
        <v/>
      </c>
      <c r="F833">
        <f>IF(C833="F",0,IF(WEEKDAY($A833,2)=5,INDEX(TimerFr,MATCH(C833,FaseKode,0)),INDEX(TimerMT,MATCH(C833,FaseKode,0))))</f>
        <v/>
      </c>
      <c r="G833">
        <f>IF(D833="F",0,IF(WEEKDAY($A833,2)=5,INDEX(TimerFr,MATCH(D833,FaseKode,0)),INDEX(TimerMT,MATCH(D833,FaseKode,0))))</f>
        <v/>
      </c>
      <c r="H833">
        <f>IF(OR(H$4="",$A833&gt;TODAY()),0,IF(OR(INDEX($B833:$D833,H$5)="F",AND(H$6&gt;0,$A833&lt;H$6),AND(H$7&gt;0,$A833&gt;H$7)),0,MAX(0,ROUND((INDEX($E833:$G833,H$5)-SUMIFS(TF_Timer,TF_Tekniker,H$4,TF_Dato,$A833))*2,0)/2)))</f>
        <v/>
      </c>
      <c r="I833">
        <f>IF(OR(I$4="",$A833&gt;TODAY()),0,IF(OR(INDEX($B833:$D833,I$5)="F",AND(I$6&gt;0,$A833&lt;I$6),AND(I$7&gt;0,$A833&gt;I$7)),0,MAX(0,ROUND((INDEX($E833:$G833,I$5)-SUMIFS(TF_Timer,TF_Tekniker,I$4,TF_Dato,$A833))*2,0)/2)))</f>
        <v/>
      </c>
      <c r="J833">
        <f>IF(OR(J$4="",$A833&gt;TODAY()),0,IF(OR(INDEX($B833:$D833,J$5)="F",AND(J$6&gt;0,$A833&lt;J$6),AND(J$7&gt;0,$A833&gt;J$7)),0,MAX(0,ROUND((INDEX($E833:$G833,J$5)-SUMIFS(TF_Timer,TF_Tekniker,J$4,TF_Dato,$A833))*2,0)/2)))</f>
        <v/>
      </c>
      <c r="K833">
        <f>IF(OR(K$4="",$A833&gt;TODAY()),0,IF(OR(INDEX($B833:$D833,K$5)="F",AND(K$6&gt;0,$A833&lt;K$6),AND(K$7&gt;0,$A833&gt;K$7)),0,MAX(0,ROUND((INDEX($E833:$G833,K$5)-SUMIFS(TF_Timer,TF_Tekniker,K$4,TF_Dato,$A833))*2,0)/2)))</f>
        <v/>
      </c>
      <c r="L833">
        <f>IF(OR(L$4="",$A833&gt;TODAY()),0,IF(OR(INDEX($B833:$D833,L$5)="F",AND(L$6&gt;0,$A833&lt;L$6),AND(L$7&gt;0,$A833&gt;L$7)),0,MAX(0,ROUND((INDEX($E833:$G833,L$5)-SUMIFS(TF_Timer,TF_Tekniker,L$4,TF_Dato,$A833))*2,0)/2)))</f>
        <v/>
      </c>
      <c r="M833">
        <f>IF(OR(M$4="",$A833&gt;TODAY()),0,IF(OR(INDEX($B833:$D833,M$5)="F",AND(M$6&gt;0,$A833&lt;M$6),AND(M$7&gt;0,$A833&gt;M$7)),0,MAX(0,ROUND((INDEX($E833:$G833,M$5)-SUMIFS(TF_Timer,TF_Tekniker,M$4,TF_Dato,$A833))*2,0)/2)))</f>
        <v/>
      </c>
      <c r="N833">
        <f>IF(OR(N$4="",$A833&gt;TODAY()),0,IF(OR(INDEX($B833:$D833,N$5)="F",AND(N$6&gt;0,$A833&lt;N$6),AND(N$7&gt;0,$A833&gt;N$7)),0,MAX(0,ROUND((INDEX($E833:$G833,N$5)-SUMIFS(TF_Timer,TF_Tekniker,N$4,TF_Dato,$A833))*2,0)/2)))</f>
        <v/>
      </c>
      <c r="O833">
        <f>IF(OR(O$4="",$A833&gt;TODAY()),0,IF(OR(INDEX($B833:$D833,O$5)="F",AND(O$6&gt;0,$A833&lt;O$6),AND(O$7&gt;0,$A833&gt;O$7)),0,MAX(0,ROUND((INDEX($E833:$G833,O$5)-SUMIFS(TF_Timer,TF_Tekniker,O$4,TF_Dato,$A833))*2,0)/2)))</f>
        <v/>
      </c>
      <c r="P833">
        <f>IF(OR(P$4="",$A833&gt;TODAY()),0,IF(OR(INDEX($B833:$D833,P$5)="F",AND(P$6&gt;0,$A833&lt;P$6),AND(P$7&gt;0,$A833&gt;P$7)),0,MAX(0,ROUND((INDEX($E833:$G833,P$5)-SUMIFS(TF_Timer,TF_Tekniker,P$4,TF_Dato,$A833))*2,0)/2)))</f>
        <v/>
      </c>
      <c r="Q833">
        <f>IF(OR(Q$4="",$A833&gt;TODAY()),0,IF(OR(INDEX($B833:$D833,Q$5)="F",AND(Q$6&gt;0,$A833&lt;Q$6),AND(Q$7&gt;0,$A833&gt;Q$7)),0,MAX(0,ROUND((INDEX($E833:$G833,Q$5)-SUMIFS(TF_Timer,TF_Tekniker,Q$4,TF_Dato,$A833))*2,0)/2)))</f>
        <v/>
      </c>
      <c r="R833">
        <f>IF(OR(R$4="",$A833&gt;TODAY()),0,IF(OR(INDEX($B833:$D833,R$5)="F",AND(R$6&gt;0,$A833&lt;R$6),AND(R$7&gt;0,$A833&gt;R$7)),0,MAX(0,ROUND((INDEX($E833:$G833,R$5)-SUMIFS(TF_Timer,TF_Tekniker,R$4,TF_Dato,$A833))*2,0)/2)))</f>
        <v/>
      </c>
      <c r="S833">
        <f>IF(OR(S$4="",$A833&gt;TODAY()),0,IF(OR(INDEX($B833:$D833,S$5)="F",AND(S$6&gt;0,$A833&lt;S$6),AND(S$7&gt;0,$A833&gt;S$7)),0,MAX(0,ROUND((INDEX($E833:$G833,S$5)-SUMIFS(TF_Timer,TF_Tekniker,S$4,TF_Dato,$A833))*2,0)/2)))</f>
        <v/>
      </c>
      <c r="T833">
        <f>IF(OR(T$4="",$A833&gt;TODAY()),0,IF(OR(INDEX($B833:$D833,T$5)="F",AND(T$6&gt;0,$A833&lt;T$6),AND(T$7&gt;0,$A833&gt;T$7)),0,MAX(0,ROUND((INDEX($E833:$G833,T$5)-SUMIFS(TF_Timer,TF_Tekniker,T$4,TF_Dato,$A833))*2,0)/2)))</f>
        <v/>
      </c>
      <c r="U833">
        <f>IF(OR(U$4="",$A833&gt;TODAY()),0,IF(OR(INDEX($B833:$D833,U$5)="F",AND(U$6&gt;0,$A833&lt;U$6),AND(U$7&gt;0,$A833&gt;U$7)),0,MAX(0,ROUND((INDEX($E833:$G833,U$5)-SUMIFS(TF_Timer,TF_Tekniker,U$4,TF_Dato,$A833))*2,0)/2)))</f>
        <v/>
      </c>
      <c r="V833">
        <f>IF(OR(V$4="",$A833&gt;TODAY()),0,IF(OR(INDEX($B833:$D833,V$5)="F",AND(V$6&gt;0,$A833&lt;V$6),AND(V$7&gt;0,$A833&gt;V$7)),0,MAX(0,ROUND((INDEX($E833:$G833,V$5)-SUMIFS(TF_Timer,TF_Tekniker,V$4,TF_Dato,$A833))*2,0)/2)))</f>
        <v/>
      </c>
      <c r="W833">
        <f>IF(OR(W$4="",$A833&gt;TODAY()),0,IF(OR(INDEX($B833:$D833,W$5)="F",AND(W$6&gt;0,$A833&lt;W$6),AND(W$7&gt;0,$A833&gt;W$7)),0,MAX(0,ROUND((INDEX($E833:$G833,W$5)-SUMIFS(TF_Timer,TF_Tekniker,W$4,TF_Dato,$A833))*2,0)/2)))</f>
        <v/>
      </c>
      <c r="X833">
        <f>IF(OR(X$4="",$A833&gt;TODAY()),0,IF(OR(INDEX($B833:$D833,X$5)="F",AND(X$6&gt;0,$A833&lt;X$6),AND(X$7&gt;0,$A833&gt;X$7)),0,MAX(0,ROUND((INDEX($E833:$G833,X$5)-SUMIFS(TF_Timer,TF_Tekniker,X$4,TF_Dato,$A833))*2,0)/2)))</f>
        <v/>
      </c>
      <c r="Y833">
        <f>IF(OR(Y$4="",$A833&gt;TODAY()),0,IF(OR(INDEX($B833:$D833,Y$5)="F",AND(Y$6&gt;0,$A833&lt;Y$6),AND(Y$7&gt;0,$A833&gt;Y$7)),0,MAX(0,ROUND((INDEX($E833:$G833,Y$5)-SUMIFS(TF_Timer,TF_Tekniker,Y$4,TF_Dato,$A833))*2,0)/2)))</f>
        <v/>
      </c>
      <c r="Z833">
        <f>IF(OR(Z$4="",$A833&gt;TODAY()),0,IF(OR(INDEX($B833:$D833,Z$5)="F",AND(Z$6&gt;0,$A833&lt;Z$6),AND(Z$7&gt;0,$A833&gt;Z$7)),0,MAX(0,ROUND((INDEX($E833:$G833,Z$5)-SUMIFS(TF_Timer,TF_Tekniker,Z$4,TF_Dato,$A833))*2,0)/2)))</f>
        <v/>
      </c>
      <c r="AA833">
        <f>IF(OR(AA$4="",$A833&gt;TODAY()),0,IF(OR(INDEX($B833:$D833,AA$5)="F",AND(AA$6&gt;0,$A833&lt;AA$6),AND(AA$7&gt;0,$A833&gt;AA$7)),0,MAX(0,ROUND((INDEX($E833:$G833,AA$5)-SUMIFS(TF_Timer,TF_Tekniker,AA$4,TF_Dato,$A833))*2,0)/2)))</f>
        <v/>
      </c>
      <c r="AB833">
        <f>IF(OR(AB$4="",$A833&gt;TODAY()),0,IF(OR(INDEX($B833:$D833,AB$5)="F",AND(AB$6&gt;0,$A833&lt;AB$6),AND(AB$7&gt;0,$A833&gt;AB$7)),0,MAX(0,ROUND((INDEX($E833:$G833,AB$5)-SUMIFS(TF_Timer,TF_Tekniker,AB$4,TF_Dato,$A833))*2,0)/2)))</f>
        <v/>
      </c>
      <c r="AC833">
        <f>IF(OR(AC$4="",$A833&gt;TODAY()),0,IF(OR(INDEX($B833:$D833,AC$5)="F",AND(AC$6&gt;0,$A833&lt;AC$6),AND(AC$7&gt;0,$A833&gt;AC$7)),0,MAX(0,ROUND((INDEX($E833:$G833,AC$5)-SUMIFS(TF_Timer,TF_Tekniker,AC$4,TF_Dato,$A833))*2,0)/2)))</f>
        <v/>
      </c>
      <c r="AD833">
        <f>IF(OR(AD$4="",$A833&gt;TODAY()),0,IF(OR(INDEX($B833:$D833,AD$5)="F",AND(AD$6&gt;0,$A833&lt;AD$6),AND(AD$7&gt;0,$A833&gt;AD$7)),0,MAX(0,ROUND((INDEX($E833:$G833,AD$5)-SUMIFS(TF_Timer,TF_Tekniker,AD$4,TF_Dato,$A833))*2,0)/2)))</f>
        <v/>
      </c>
      <c r="AE833">
        <f>IF(OR(AE$4="",$A833&gt;TODAY()),0,IF(OR(INDEX($B833:$D833,AE$5)="F",AND(AE$6&gt;0,$A833&lt;AE$6),AND(AE$7&gt;0,$A833&gt;AE$7)),0,MAX(0,ROUND((INDEX($E833:$G833,AE$5)-SUMIFS(TF_Timer,TF_Tekniker,AE$4,TF_Dato,$A833))*2,0)/2)))</f>
        <v/>
      </c>
      <c r="AF833">
        <f>IF(OR(AF$4="",$A833&gt;TODAY()),0,IF(OR(INDEX($B833:$D833,AF$5)="F",AND(AF$6&gt;0,$A833&lt;AF$6),AND(AF$7&gt;0,$A833&gt;AF$7)),0,MAX(0,ROUND((INDEX($E833:$G833,AF$5)-SUMIFS(TF_Timer,TF_Tekniker,AF$4,TF_Dato,$A833))*2,0)/2)))</f>
        <v/>
      </c>
      <c r="AG833">
        <f>IF(OR(AG$4="",$A833&gt;TODAY()),0,IF(OR(INDEX($B833:$D833,AG$5)="F",AND(AG$6&gt;0,$A833&lt;AG$6),AND(AG$7&gt;0,$A833&gt;AG$7)),0,MAX(0,ROUND((INDEX($E833:$G833,AG$5)-SUMIFS(TF_Timer,TF_Tekniker,AG$4,TF_Dato,$A833))*2,0)/2)))</f>
        <v/>
      </c>
      <c r="AH833">
        <f>IF(OR(AH$4="",$A833&gt;TODAY()),0,IF(OR(INDEX($B833:$D833,AH$5)="F",AND(AH$6&gt;0,$A833&lt;AH$6),AND(AH$7&gt;0,$A833&gt;AH$7)),0,MAX(0,ROUND((INDEX($E833:$G833,AH$5)-SUMIFS(TF_Timer,TF_Tekniker,AH$4,TF_Dato,$A833))*2,0)/2)))</f>
        <v/>
      </c>
      <c r="AI833">
        <f>IF(OR(AI$4="",$A833&gt;TODAY()),0,IF(OR(INDEX($B833:$D833,AI$5)="F",AND(AI$6&gt;0,$A833&lt;AI$6),AND(AI$7&gt;0,$A833&gt;AI$7)),0,MAX(0,ROUND((INDEX($E833:$G833,AI$5)-SUMIFS(TF_Timer,TF_Tekniker,AI$4,TF_Dato,$A833))*2,0)/2)))</f>
        <v/>
      </c>
      <c r="AJ833">
        <f>IF(OR(AJ$4="",$A833&gt;TODAY()),0,IF(OR(INDEX($B833:$D833,AJ$5)="F",AND(AJ$6&gt;0,$A833&lt;AJ$6),AND(AJ$7&gt;0,$A833&gt;AJ$7)),0,MAX(0,ROUND((INDEX($E833:$G833,AJ$5)-SUMIFS(TF_Timer,TF_Tekniker,AJ$4,TF_Dato,$A833))*2,0)/2)))</f>
        <v/>
      </c>
      <c r="AK833">
        <f>IF(OR(AK$4="",$A833&gt;TODAY()),0,IF(OR(INDEX($B833:$D833,AK$5)="F",AND(AK$6&gt;0,$A833&lt;AK$6),AND(AK$7&gt;0,$A833&gt;AK$7)),0,MAX(0,ROUND((INDEX($E833:$G833,AK$5)-SUMIFS(TF_Timer,TF_Tekniker,AK$4,TF_Dato,$A833))*2,0)/2)))</f>
        <v/>
      </c>
      <c r="AL833">
        <f>IF(OR(AL$4="",$A833&gt;TODAY()),0,IF(OR(INDEX($B833:$D833,AL$5)="F",AND(AL$6&gt;0,$A833&lt;AL$6),AND(AL$7&gt;0,$A833&gt;AL$7)),0,MAX(0,ROUND((INDEX($E833:$G833,AL$5)-SUMIFS(TF_Timer,TF_Tekniker,AL$4,TF_Dato,$A833))*2,0)/2)))</f>
        <v/>
      </c>
      <c r="AM833">
        <f>IF(OR(AM$4="",$A833&gt;TODAY()),0,IF(OR(INDEX($B833:$D833,AM$5)="F",AND(AM$6&gt;0,$A833&lt;AM$6),AND(AM$7&gt;0,$A833&gt;AM$7)),0,MAX(0,ROUND((INDEX($E833:$G833,AM$5)-SUMIFS(TF_Timer,TF_Tekniker,AM$4,TF_Dato,$A833))*2,0)/2)))</f>
        <v/>
      </c>
      <c r="AN833">
        <f>IF(OR(AN$4="",$A833&gt;TODAY()),0,IF(OR(INDEX($B833:$D833,AN$5)="F",AND(AN$6&gt;0,$A833&lt;AN$6),AND(AN$7&gt;0,$A833&gt;AN$7)),0,MAX(0,ROUND((INDEX($E833:$G833,AN$5)-SUMIFS(TF_Timer,TF_Tekniker,AN$4,TF_Dato,$A833))*2,0)/2)))</f>
        <v/>
      </c>
      <c r="AO833">
        <f>IF(OR(AO$4="",$A833&gt;TODAY()),0,IF(OR(INDEX($B833:$D833,AO$5)="F",AND(AO$6&gt;0,$A833&lt;AO$6),AND(AO$7&gt;0,$A833&gt;AO$7)),0,MAX(0,ROUND((INDEX($E833:$G833,AO$5)-SUMIFS(TF_Timer,TF_Tekniker,AO$4,TF_Dato,$A833))*2,0)/2)))</f>
        <v/>
      </c>
      <c r="AP833">
        <f>IF(OR(AP$4="",$A833&gt;TODAY()),0,IF(OR(INDEX($B833:$D833,AP$5)="F",AND(AP$6&gt;0,$A833&lt;AP$6),AND(AP$7&gt;0,$A833&gt;AP$7)),0,MAX(0,ROUND((INDEX($E833:$G833,AP$5)-SUMIFS(TF_Timer,TF_Tekniker,AP$4,TF_Dato,$A833))*2,0)/2)))</f>
        <v/>
      </c>
      <c r="AQ833">
        <f>IF(OR(AQ$4="",$A833&gt;TODAY()),0,IF(OR(INDEX($B833:$D833,AQ$5)="F",AND(AQ$6&gt;0,$A833&lt;AQ$6),AND(AQ$7&gt;0,$A833&gt;AQ$7)),0,MAX(0,ROUND((INDEX($E833:$G833,AQ$5)-SUMIFS(TF_Timer,TF_Tekniker,AQ$4,TF_Dato,$A833))*2,0)/2)))</f>
        <v/>
      </c>
      <c r="AR833">
        <f>IF(OR(AR$4="",$A833&gt;TODAY()),0,IF(OR(INDEX($B833:$D833,AR$5)="F",AND(AR$6&gt;0,$A833&lt;AR$6),AND(AR$7&gt;0,$A833&gt;AR$7)),0,MAX(0,ROUND((INDEX($E833:$G833,AR$5)-SUMIFS(TF_Timer,TF_Tekniker,AR$4,TF_Dato,$A833))*2,0)/2)))</f>
        <v/>
      </c>
      <c r="AS833">
        <f>IF(OR(AS$4="",$A833&gt;TODAY()),0,IF(OR(INDEX($B833:$D833,AS$5)="F",AND(AS$6&gt;0,$A833&lt;AS$6),AND(AS$7&gt;0,$A833&gt;AS$7)),0,MAX(0,ROUND((INDEX($E833:$G833,AS$5)-SUMIFS(TF_Timer,TF_Tekniker,AS$4,TF_Dato,$A833))*2,0)/2)))</f>
        <v/>
      </c>
      <c r="AT833">
        <f>IF(OR(AT$4="",$A833&gt;TODAY()),0,IF(OR(INDEX($B833:$D833,AT$5)="F",AND(AT$6&gt;0,$A833&lt;AT$6),AND(AT$7&gt;0,$A833&gt;AT$7)),0,MAX(0,ROUND((INDEX($E833:$G833,AT$5)-SUMIFS(TF_Timer,TF_Tekniker,AT$4,TF_Dato,$A833))*2,0)/2)))</f>
        <v/>
      </c>
      <c r="AU833">
        <f>IF(OR(AU$4="",$A833&gt;TODAY()),0,IF(OR(INDEX($B833:$D833,AU$5)="F",AND(AU$6&gt;0,$A833&lt;AU$6),AND(AU$7&gt;0,$A833&gt;AU$7)),0,MAX(0,ROUND((INDEX($E833:$G833,AU$5)-SUMIFS(TF_Timer,TF_Tekniker,AU$4,TF_Dato,$A833))*2,0)/2)))</f>
        <v/>
      </c>
      <c r="AV833">
        <f>IF(OR(AV$4="",$A833&gt;TODAY()),0,IF(OR(INDEX($B833:$D833,AV$5)="F",AND(AV$6&gt;0,$A833&lt;AV$6),AND(AV$7&gt;0,$A833&gt;AV$7)),0,MAX(0,ROUND((INDEX($E833:$G833,AV$5)-SUMIFS(TF_Timer,TF_Tekniker,AV$4,TF_Dato,$A833))*2,0)/2)))</f>
        <v/>
      </c>
      <c r="AW833">
        <f>IF(OR(AW$4="",$A833&gt;TODAY()),0,IF(OR(INDEX($B833:$D833,AW$5)="F",AND(AW$6&gt;0,$A833&lt;AW$6),AND(AW$7&gt;0,$A833&gt;AW$7)),0,MAX(0,ROUND((INDEX($E833:$G833,AW$5)-SUMIFS(TF_Timer,TF_Tekniker,AW$4,TF_Dato,$A833))*2,0)/2)))</f>
        <v/>
      </c>
      <c r="AX833">
        <f>IF(OR(AX$4="",$A833&gt;TODAY()),0,IF(OR(INDEX($B833:$D833,AX$5)="F",AND(AX$6&gt;0,$A833&lt;AX$6),AND(AX$7&gt;0,$A833&gt;AX$7)),0,MAX(0,ROUND((INDEX($E833:$G833,AX$5)-SUMIFS(TF_Timer,TF_Tekniker,AX$4,TF_Dato,$A833))*2,0)/2)))</f>
        <v/>
      </c>
      <c r="AY833">
        <f>IF(OR(AY$4="",$A833&gt;TODAY()),0,IF(OR(INDEX($B833:$D833,AY$5)="F",AND(AY$6&gt;0,$A833&lt;AY$6),AND(AY$7&gt;0,$A833&gt;AY$7)),0,MAX(0,ROUND((INDEX($E833:$G833,AY$5)-SUMIFS(TF_Timer,TF_Tekniker,AY$4,TF_Dato,$A833))*2,0)/2)))</f>
        <v/>
      </c>
      <c r="AZ833">
        <f>IF(OR(AZ$4="",$A833&gt;TODAY()),0,IF(OR(INDEX($B833:$D833,AZ$5)="F",AND(AZ$6&gt;0,$A833&lt;AZ$6),AND(AZ$7&gt;0,$A833&gt;AZ$7)),0,MAX(0,ROUND((INDEX($E833:$G833,AZ$5)-SUMIFS(TF_Timer,TF_Tekniker,AZ$4,TF_Dato,$A833))*2,0)/2)))</f>
        <v/>
      </c>
      <c r="BA833">
        <f>IF(OR(BA$4="",$A833&gt;TODAY()),0,IF(OR(INDEX($B833:$D833,BA$5)="F",AND(BA$6&gt;0,$A833&lt;BA$6),AND(BA$7&gt;0,$A833&gt;BA$7)),0,MAX(0,ROUND((INDEX($E833:$G833,BA$5)-SUMIFS(TF_Timer,TF_Tekniker,BA$4,TF_Dato,$A833))*2,0)/2)))</f>
        <v/>
      </c>
      <c r="BB833">
        <f>IF(OR(BB$4="",$A833&gt;TODAY()),0,IF(OR(INDEX($B833:$D833,BB$5)="F",AND(BB$6&gt;0,$A833&lt;BB$6),AND(BB$7&gt;0,$A833&gt;BB$7)),0,MAX(0,ROUND((INDEX($E833:$G833,BB$5)-SUMIFS(TF_Timer,TF_Tekniker,BB$4,TF_Dato,$A833))*2,0)/2)))</f>
        <v/>
      </c>
      <c r="BC833">
        <f>IF(OR(BC$4="",$A833&gt;TODAY()),0,IF(OR(INDEX($B833:$D833,BC$5)="F",AND(BC$6&gt;0,$A833&lt;BC$6),AND(BC$7&gt;0,$A833&gt;BC$7)),0,MAX(0,ROUND((INDEX($E833:$G833,BC$5)-SUMIFS(TF_Timer,TF_Tekniker,BC$4,TF_Dato,$A833))*2,0)/2)))</f>
        <v/>
      </c>
      <c r="BD833">
        <f>IF(OR(BD$4="",$A833&gt;TODAY()),0,IF(OR(INDEX($B833:$D833,BD$5)="F",AND(BD$6&gt;0,$A833&lt;BD$6),AND(BD$7&gt;0,$A833&gt;BD$7)),0,MAX(0,ROUND((INDEX($E833:$G833,BD$5)-SUMIFS(TF_Timer,TF_Tekniker,BD$4,TF_Dato,$A833))*2,0)/2)))</f>
        <v/>
      </c>
      <c r="BE833">
        <f>IF(OR(BE$4="",$A833&gt;TODAY()),0,IF(OR(INDEX($B833:$D833,BE$5)="F",AND(BE$6&gt;0,$A833&lt;BE$6),AND(BE$7&gt;0,$A833&gt;BE$7)),0,MAX(0,ROUND((INDEX($E833:$G833,BE$5)-SUMIFS(TF_Timer,TF_Tekniker,BE$4,TF_Dato,$A833))*2,0)/2)))</f>
        <v/>
      </c>
      <c r="BF833">
        <f>IF(OR(BF$4="",$A833&gt;TODAY()),0,IF(OR(INDEX($B833:$D833,BF$5)="F",AND(BF$6&gt;0,$A833&lt;BF$6),AND(BF$7&gt;0,$A833&gt;BF$7)),0,MAX(0,ROUND((INDEX($E833:$G833,BF$5)-SUMIFS(TF_Timer,TF_Tekniker,BF$4,TF_Dato,$A833))*2,0)/2)))</f>
        <v/>
      </c>
      <c r="BG833">
        <f>IF(OR(BG$4="",$A833&gt;TODAY()),0,IF(OR(INDEX($B833:$D833,BG$5)="F",AND(BG$6&gt;0,$A833&lt;BG$6),AND(BG$7&gt;0,$A833&gt;BG$7)),0,MAX(0,ROUND((INDEX($E833:$G833,BG$5)-SUMIFS(TF_Timer,TF_Tekniker,BG$4,TF_Dato,$A833))*2,0)/2)))</f>
        <v/>
      </c>
      <c r="BH833">
        <f>IF(OR(BH$4="",$A833&gt;TODAY()),0,IF(OR(INDEX($B833:$D833,BH$5)="F",AND(BH$6&gt;0,$A833&lt;BH$6),AND(BH$7&gt;0,$A833&gt;BH$7)),0,MAX(0,ROUND((INDEX($E833:$G833,BH$5)-SUMIFS(TF_Timer,TF_Tekniker,BH$4,TF_Dato,$A833))*2,0)/2)))</f>
        <v/>
      </c>
      <c r="BI833">
        <f>IF(OR(BI$4="",$A833&gt;TODAY()),0,IF(OR(INDEX($B833:$D833,BI$5)="F",AND(BI$6&gt;0,$A833&lt;BI$6),AND(BI$7&gt;0,$A833&gt;BI$7)),0,MAX(0,ROUND((INDEX($E833:$G833,BI$5)-SUMIFS(TF_Timer,TF_Tekniker,BI$4,TF_Dato,$A833))*2,0)/2)))</f>
        <v/>
      </c>
    </row>
    <row r="834">
      <c r="A834" s="64">
        <f>A833+1</f>
        <v/>
      </c>
      <c r="B834">
        <f>IF(MOD($A834-INDEX(SkiftStart,1),Syklus)&lt;DagK,"K",IF(MOD($A834-INDEX(SkiftStart,1),Syklus)&lt;DagK+DagH,"H",IF(MOD($A834-INDEX(SkiftStart,1),Syklus)&lt;DagK+DagH+DagD,"D","F")))</f>
        <v/>
      </c>
      <c r="C834">
        <f>IF(MOD($A834-INDEX(SkiftStart,2),Syklus)&lt;DagK,"K",IF(MOD($A834-INDEX(SkiftStart,2),Syklus)&lt;DagK+DagH,"H",IF(MOD($A834-INDEX(SkiftStart,2),Syklus)&lt;DagK+DagH+DagD,"D","F")))</f>
        <v/>
      </c>
      <c r="D834">
        <f>IF(MOD($A834-INDEX(SkiftStart,3),Syklus)&lt;DagK,"K",IF(MOD($A834-INDEX(SkiftStart,3),Syklus)&lt;DagK+DagH,"H",IF(MOD($A834-INDEX(SkiftStart,3),Syklus)&lt;DagK+DagH+DagD,"D","F")))</f>
        <v/>
      </c>
      <c r="E834">
        <f>IF(B834="F",0,IF(WEEKDAY($A834,2)=5,INDEX(TimerFr,MATCH(B834,FaseKode,0)),INDEX(TimerMT,MATCH(B834,FaseKode,0))))</f>
        <v/>
      </c>
      <c r="F834">
        <f>IF(C834="F",0,IF(WEEKDAY($A834,2)=5,INDEX(TimerFr,MATCH(C834,FaseKode,0)),INDEX(TimerMT,MATCH(C834,FaseKode,0))))</f>
        <v/>
      </c>
      <c r="G834">
        <f>IF(D834="F",0,IF(WEEKDAY($A834,2)=5,INDEX(TimerFr,MATCH(D834,FaseKode,0)),INDEX(TimerMT,MATCH(D834,FaseKode,0))))</f>
        <v/>
      </c>
      <c r="H834">
        <f>IF(OR(H$4="",$A834&gt;TODAY()),0,IF(OR(INDEX($B834:$D834,H$5)="F",AND(H$6&gt;0,$A834&lt;H$6),AND(H$7&gt;0,$A834&gt;H$7)),0,MAX(0,ROUND((INDEX($E834:$G834,H$5)-SUMIFS(TF_Timer,TF_Tekniker,H$4,TF_Dato,$A834))*2,0)/2)))</f>
        <v/>
      </c>
      <c r="I834">
        <f>IF(OR(I$4="",$A834&gt;TODAY()),0,IF(OR(INDEX($B834:$D834,I$5)="F",AND(I$6&gt;0,$A834&lt;I$6),AND(I$7&gt;0,$A834&gt;I$7)),0,MAX(0,ROUND((INDEX($E834:$G834,I$5)-SUMIFS(TF_Timer,TF_Tekniker,I$4,TF_Dato,$A834))*2,0)/2)))</f>
        <v/>
      </c>
      <c r="J834">
        <f>IF(OR(J$4="",$A834&gt;TODAY()),0,IF(OR(INDEX($B834:$D834,J$5)="F",AND(J$6&gt;0,$A834&lt;J$6),AND(J$7&gt;0,$A834&gt;J$7)),0,MAX(0,ROUND((INDEX($E834:$G834,J$5)-SUMIFS(TF_Timer,TF_Tekniker,J$4,TF_Dato,$A834))*2,0)/2)))</f>
        <v/>
      </c>
      <c r="K834">
        <f>IF(OR(K$4="",$A834&gt;TODAY()),0,IF(OR(INDEX($B834:$D834,K$5)="F",AND(K$6&gt;0,$A834&lt;K$6),AND(K$7&gt;0,$A834&gt;K$7)),0,MAX(0,ROUND((INDEX($E834:$G834,K$5)-SUMIFS(TF_Timer,TF_Tekniker,K$4,TF_Dato,$A834))*2,0)/2)))</f>
        <v/>
      </c>
      <c r="L834">
        <f>IF(OR(L$4="",$A834&gt;TODAY()),0,IF(OR(INDEX($B834:$D834,L$5)="F",AND(L$6&gt;0,$A834&lt;L$6),AND(L$7&gt;0,$A834&gt;L$7)),0,MAX(0,ROUND((INDEX($E834:$G834,L$5)-SUMIFS(TF_Timer,TF_Tekniker,L$4,TF_Dato,$A834))*2,0)/2)))</f>
        <v/>
      </c>
      <c r="M834">
        <f>IF(OR(M$4="",$A834&gt;TODAY()),0,IF(OR(INDEX($B834:$D834,M$5)="F",AND(M$6&gt;0,$A834&lt;M$6),AND(M$7&gt;0,$A834&gt;M$7)),0,MAX(0,ROUND((INDEX($E834:$G834,M$5)-SUMIFS(TF_Timer,TF_Tekniker,M$4,TF_Dato,$A834))*2,0)/2)))</f>
        <v/>
      </c>
      <c r="N834">
        <f>IF(OR(N$4="",$A834&gt;TODAY()),0,IF(OR(INDEX($B834:$D834,N$5)="F",AND(N$6&gt;0,$A834&lt;N$6),AND(N$7&gt;0,$A834&gt;N$7)),0,MAX(0,ROUND((INDEX($E834:$G834,N$5)-SUMIFS(TF_Timer,TF_Tekniker,N$4,TF_Dato,$A834))*2,0)/2)))</f>
        <v/>
      </c>
      <c r="O834">
        <f>IF(OR(O$4="",$A834&gt;TODAY()),0,IF(OR(INDEX($B834:$D834,O$5)="F",AND(O$6&gt;0,$A834&lt;O$6),AND(O$7&gt;0,$A834&gt;O$7)),0,MAX(0,ROUND((INDEX($E834:$G834,O$5)-SUMIFS(TF_Timer,TF_Tekniker,O$4,TF_Dato,$A834))*2,0)/2)))</f>
        <v/>
      </c>
      <c r="P834">
        <f>IF(OR(P$4="",$A834&gt;TODAY()),0,IF(OR(INDEX($B834:$D834,P$5)="F",AND(P$6&gt;0,$A834&lt;P$6),AND(P$7&gt;0,$A834&gt;P$7)),0,MAX(0,ROUND((INDEX($E834:$G834,P$5)-SUMIFS(TF_Timer,TF_Tekniker,P$4,TF_Dato,$A834))*2,0)/2)))</f>
        <v/>
      </c>
      <c r="Q834">
        <f>IF(OR(Q$4="",$A834&gt;TODAY()),0,IF(OR(INDEX($B834:$D834,Q$5)="F",AND(Q$6&gt;0,$A834&lt;Q$6),AND(Q$7&gt;0,$A834&gt;Q$7)),0,MAX(0,ROUND((INDEX($E834:$G834,Q$5)-SUMIFS(TF_Timer,TF_Tekniker,Q$4,TF_Dato,$A834))*2,0)/2)))</f>
        <v/>
      </c>
      <c r="R834">
        <f>IF(OR(R$4="",$A834&gt;TODAY()),0,IF(OR(INDEX($B834:$D834,R$5)="F",AND(R$6&gt;0,$A834&lt;R$6),AND(R$7&gt;0,$A834&gt;R$7)),0,MAX(0,ROUND((INDEX($E834:$G834,R$5)-SUMIFS(TF_Timer,TF_Tekniker,R$4,TF_Dato,$A834))*2,0)/2)))</f>
        <v/>
      </c>
      <c r="S834">
        <f>IF(OR(S$4="",$A834&gt;TODAY()),0,IF(OR(INDEX($B834:$D834,S$5)="F",AND(S$6&gt;0,$A834&lt;S$6),AND(S$7&gt;0,$A834&gt;S$7)),0,MAX(0,ROUND((INDEX($E834:$G834,S$5)-SUMIFS(TF_Timer,TF_Tekniker,S$4,TF_Dato,$A834))*2,0)/2)))</f>
        <v/>
      </c>
      <c r="T834">
        <f>IF(OR(T$4="",$A834&gt;TODAY()),0,IF(OR(INDEX($B834:$D834,T$5)="F",AND(T$6&gt;0,$A834&lt;T$6),AND(T$7&gt;0,$A834&gt;T$7)),0,MAX(0,ROUND((INDEX($E834:$G834,T$5)-SUMIFS(TF_Timer,TF_Tekniker,T$4,TF_Dato,$A834))*2,0)/2)))</f>
        <v/>
      </c>
      <c r="U834">
        <f>IF(OR(U$4="",$A834&gt;TODAY()),0,IF(OR(INDEX($B834:$D834,U$5)="F",AND(U$6&gt;0,$A834&lt;U$6),AND(U$7&gt;0,$A834&gt;U$7)),0,MAX(0,ROUND((INDEX($E834:$G834,U$5)-SUMIFS(TF_Timer,TF_Tekniker,U$4,TF_Dato,$A834))*2,0)/2)))</f>
        <v/>
      </c>
      <c r="V834">
        <f>IF(OR(V$4="",$A834&gt;TODAY()),0,IF(OR(INDEX($B834:$D834,V$5)="F",AND(V$6&gt;0,$A834&lt;V$6),AND(V$7&gt;0,$A834&gt;V$7)),0,MAX(0,ROUND((INDEX($E834:$G834,V$5)-SUMIFS(TF_Timer,TF_Tekniker,V$4,TF_Dato,$A834))*2,0)/2)))</f>
        <v/>
      </c>
      <c r="W834">
        <f>IF(OR(W$4="",$A834&gt;TODAY()),0,IF(OR(INDEX($B834:$D834,W$5)="F",AND(W$6&gt;0,$A834&lt;W$6),AND(W$7&gt;0,$A834&gt;W$7)),0,MAX(0,ROUND((INDEX($E834:$G834,W$5)-SUMIFS(TF_Timer,TF_Tekniker,W$4,TF_Dato,$A834))*2,0)/2)))</f>
        <v/>
      </c>
      <c r="X834">
        <f>IF(OR(X$4="",$A834&gt;TODAY()),0,IF(OR(INDEX($B834:$D834,X$5)="F",AND(X$6&gt;0,$A834&lt;X$6),AND(X$7&gt;0,$A834&gt;X$7)),0,MAX(0,ROUND((INDEX($E834:$G834,X$5)-SUMIFS(TF_Timer,TF_Tekniker,X$4,TF_Dato,$A834))*2,0)/2)))</f>
        <v/>
      </c>
      <c r="Y834">
        <f>IF(OR(Y$4="",$A834&gt;TODAY()),0,IF(OR(INDEX($B834:$D834,Y$5)="F",AND(Y$6&gt;0,$A834&lt;Y$6),AND(Y$7&gt;0,$A834&gt;Y$7)),0,MAX(0,ROUND((INDEX($E834:$G834,Y$5)-SUMIFS(TF_Timer,TF_Tekniker,Y$4,TF_Dato,$A834))*2,0)/2)))</f>
        <v/>
      </c>
      <c r="Z834">
        <f>IF(OR(Z$4="",$A834&gt;TODAY()),0,IF(OR(INDEX($B834:$D834,Z$5)="F",AND(Z$6&gt;0,$A834&lt;Z$6),AND(Z$7&gt;0,$A834&gt;Z$7)),0,MAX(0,ROUND((INDEX($E834:$G834,Z$5)-SUMIFS(TF_Timer,TF_Tekniker,Z$4,TF_Dato,$A834))*2,0)/2)))</f>
        <v/>
      </c>
      <c r="AA834">
        <f>IF(OR(AA$4="",$A834&gt;TODAY()),0,IF(OR(INDEX($B834:$D834,AA$5)="F",AND(AA$6&gt;0,$A834&lt;AA$6),AND(AA$7&gt;0,$A834&gt;AA$7)),0,MAX(0,ROUND((INDEX($E834:$G834,AA$5)-SUMIFS(TF_Timer,TF_Tekniker,AA$4,TF_Dato,$A834))*2,0)/2)))</f>
        <v/>
      </c>
      <c r="AB834">
        <f>IF(OR(AB$4="",$A834&gt;TODAY()),0,IF(OR(INDEX($B834:$D834,AB$5)="F",AND(AB$6&gt;0,$A834&lt;AB$6),AND(AB$7&gt;0,$A834&gt;AB$7)),0,MAX(0,ROUND((INDEX($E834:$G834,AB$5)-SUMIFS(TF_Timer,TF_Tekniker,AB$4,TF_Dato,$A834))*2,0)/2)))</f>
        <v/>
      </c>
      <c r="AC834">
        <f>IF(OR(AC$4="",$A834&gt;TODAY()),0,IF(OR(INDEX($B834:$D834,AC$5)="F",AND(AC$6&gt;0,$A834&lt;AC$6),AND(AC$7&gt;0,$A834&gt;AC$7)),0,MAX(0,ROUND((INDEX($E834:$G834,AC$5)-SUMIFS(TF_Timer,TF_Tekniker,AC$4,TF_Dato,$A834))*2,0)/2)))</f>
        <v/>
      </c>
      <c r="AD834">
        <f>IF(OR(AD$4="",$A834&gt;TODAY()),0,IF(OR(INDEX($B834:$D834,AD$5)="F",AND(AD$6&gt;0,$A834&lt;AD$6),AND(AD$7&gt;0,$A834&gt;AD$7)),0,MAX(0,ROUND((INDEX($E834:$G834,AD$5)-SUMIFS(TF_Timer,TF_Tekniker,AD$4,TF_Dato,$A834))*2,0)/2)))</f>
        <v/>
      </c>
      <c r="AE834">
        <f>IF(OR(AE$4="",$A834&gt;TODAY()),0,IF(OR(INDEX($B834:$D834,AE$5)="F",AND(AE$6&gt;0,$A834&lt;AE$6),AND(AE$7&gt;0,$A834&gt;AE$7)),0,MAX(0,ROUND((INDEX($E834:$G834,AE$5)-SUMIFS(TF_Timer,TF_Tekniker,AE$4,TF_Dato,$A834))*2,0)/2)))</f>
        <v/>
      </c>
      <c r="AF834">
        <f>IF(OR(AF$4="",$A834&gt;TODAY()),0,IF(OR(INDEX($B834:$D834,AF$5)="F",AND(AF$6&gt;0,$A834&lt;AF$6),AND(AF$7&gt;0,$A834&gt;AF$7)),0,MAX(0,ROUND((INDEX($E834:$G834,AF$5)-SUMIFS(TF_Timer,TF_Tekniker,AF$4,TF_Dato,$A834))*2,0)/2)))</f>
        <v/>
      </c>
      <c r="AG834">
        <f>IF(OR(AG$4="",$A834&gt;TODAY()),0,IF(OR(INDEX($B834:$D834,AG$5)="F",AND(AG$6&gt;0,$A834&lt;AG$6),AND(AG$7&gt;0,$A834&gt;AG$7)),0,MAX(0,ROUND((INDEX($E834:$G834,AG$5)-SUMIFS(TF_Timer,TF_Tekniker,AG$4,TF_Dato,$A834))*2,0)/2)))</f>
        <v/>
      </c>
      <c r="AH834">
        <f>IF(OR(AH$4="",$A834&gt;TODAY()),0,IF(OR(INDEX($B834:$D834,AH$5)="F",AND(AH$6&gt;0,$A834&lt;AH$6),AND(AH$7&gt;0,$A834&gt;AH$7)),0,MAX(0,ROUND((INDEX($E834:$G834,AH$5)-SUMIFS(TF_Timer,TF_Tekniker,AH$4,TF_Dato,$A834))*2,0)/2)))</f>
        <v/>
      </c>
      <c r="AI834">
        <f>IF(OR(AI$4="",$A834&gt;TODAY()),0,IF(OR(INDEX($B834:$D834,AI$5)="F",AND(AI$6&gt;0,$A834&lt;AI$6),AND(AI$7&gt;0,$A834&gt;AI$7)),0,MAX(0,ROUND((INDEX($E834:$G834,AI$5)-SUMIFS(TF_Timer,TF_Tekniker,AI$4,TF_Dato,$A834))*2,0)/2)))</f>
        <v/>
      </c>
      <c r="AJ834">
        <f>IF(OR(AJ$4="",$A834&gt;TODAY()),0,IF(OR(INDEX($B834:$D834,AJ$5)="F",AND(AJ$6&gt;0,$A834&lt;AJ$6),AND(AJ$7&gt;0,$A834&gt;AJ$7)),0,MAX(0,ROUND((INDEX($E834:$G834,AJ$5)-SUMIFS(TF_Timer,TF_Tekniker,AJ$4,TF_Dato,$A834))*2,0)/2)))</f>
        <v/>
      </c>
      <c r="AK834">
        <f>IF(OR(AK$4="",$A834&gt;TODAY()),0,IF(OR(INDEX($B834:$D834,AK$5)="F",AND(AK$6&gt;0,$A834&lt;AK$6),AND(AK$7&gt;0,$A834&gt;AK$7)),0,MAX(0,ROUND((INDEX($E834:$G834,AK$5)-SUMIFS(TF_Timer,TF_Tekniker,AK$4,TF_Dato,$A834))*2,0)/2)))</f>
        <v/>
      </c>
      <c r="AL834">
        <f>IF(OR(AL$4="",$A834&gt;TODAY()),0,IF(OR(INDEX($B834:$D834,AL$5)="F",AND(AL$6&gt;0,$A834&lt;AL$6),AND(AL$7&gt;0,$A834&gt;AL$7)),0,MAX(0,ROUND((INDEX($E834:$G834,AL$5)-SUMIFS(TF_Timer,TF_Tekniker,AL$4,TF_Dato,$A834))*2,0)/2)))</f>
        <v/>
      </c>
      <c r="AM834">
        <f>IF(OR(AM$4="",$A834&gt;TODAY()),0,IF(OR(INDEX($B834:$D834,AM$5)="F",AND(AM$6&gt;0,$A834&lt;AM$6),AND(AM$7&gt;0,$A834&gt;AM$7)),0,MAX(0,ROUND((INDEX($E834:$G834,AM$5)-SUMIFS(TF_Timer,TF_Tekniker,AM$4,TF_Dato,$A834))*2,0)/2)))</f>
        <v/>
      </c>
      <c r="AN834">
        <f>IF(OR(AN$4="",$A834&gt;TODAY()),0,IF(OR(INDEX($B834:$D834,AN$5)="F",AND(AN$6&gt;0,$A834&lt;AN$6),AND(AN$7&gt;0,$A834&gt;AN$7)),0,MAX(0,ROUND((INDEX($E834:$G834,AN$5)-SUMIFS(TF_Timer,TF_Tekniker,AN$4,TF_Dato,$A834))*2,0)/2)))</f>
        <v/>
      </c>
      <c r="AO834">
        <f>IF(OR(AO$4="",$A834&gt;TODAY()),0,IF(OR(INDEX($B834:$D834,AO$5)="F",AND(AO$6&gt;0,$A834&lt;AO$6),AND(AO$7&gt;0,$A834&gt;AO$7)),0,MAX(0,ROUND((INDEX($E834:$G834,AO$5)-SUMIFS(TF_Timer,TF_Tekniker,AO$4,TF_Dato,$A834))*2,0)/2)))</f>
        <v/>
      </c>
      <c r="AP834">
        <f>IF(OR(AP$4="",$A834&gt;TODAY()),0,IF(OR(INDEX($B834:$D834,AP$5)="F",AND(AP$6&gt;0,$A834&lt;AP$6),AND(AP$7&gt;0,$A834&gt;AP$7)),0,MAX(0,ROUND((INDEX($E834:$G834,AP$5)-SUMIFS(TF_Timer,TF_Tekniker,AP$4,TF_Dato,$A834))*2,0)/2)))</f>
        <v/>
      </c>
      <c r="AQ834">
        <f>IF(OR(AQ$4="",$A834&gt;TODAY()),0,IF(OR(INDEX($B834:$D834,AQ$5)="F",AND(AQ$6&gt;0,$A834&lt;AQ$6),AND(AQ$7&gt;0,$A834&gt;AQ$7)),0,MAX(0,ROUND((INDEX($E834:$G834,AQ$5)-SUMIFS(TF_Timer,TF_Tekniker,AQ$4,TF_Dato,$A834))*2,0)/2)))</f>
        <v/>
      </c>
      <c r="AR834">
        <f>IF(OR(AR$4="",$A834&gt;TODAY()),0,IF(OR(INDEX($B834:$D834,AR$5)="F",AND(AR$6&gt;0,$A834&lt;AR$6),AND(AR$7&gt;0,$A834&gt;AR$7)),0,MAX(0,ROUND((INDEX($E834:$G834,AR$5)-SUMIFS(TF_Timer,TF_Tekniker,AR$4,TF_Dato,$A834))*2,0)/2)))</f>
        <v/>
      </c>
      <c r="AS834">
        <f>IF(OR(AS$4="",$A834&gt;TODAY()),0,IF(OR(INDEX($B834:$D834,AS$5)="F",AND(AS$6&gt;0,$A834&lt;AS$6),AND(AS$7&gt;0,$A834&gt;AS$7)),0,MAX(0,ROUND((INDEX($E834:$G834,AS$5)-SUMIFS(TF_Timer,TF_Tekniker,AS$4,TF_Dato,$A834))*2,0)/2)))</f>
        <v/>
      </c>
      <c r="AT834">
        <f>IF(OR(AT$4="",$A834&gt;TODAY()),0,IF(OR(INDEX($B834:$D834,AT$5)="F",AND(AT$6&gt;0,$A834&lt;AT$6),AND(AT$7&gt;0,$A834&gt;AT$7)),0,MAX(0,ROUND((INDEX($E834:$G834,AT$5)-SUMIFS(TF_Timer,TF_Tekniker,AT$4,TF_Dato,$A834))*2,0)/2)))</f>
        <v/>
      </c>
      <c r="AU834">
        <f>IF(OR(AU$4="",$A834&gt;TODAY()),0,IF(OR(INDEX($B834:$D834,AU$5)="F",AND(AU$6&gt;0,$A834&lt;AU$6),AND(AU$7&gt;0,$A834&gt;AU$7)),0,MAX(0,ROUND((INDEX($E834:$G834,AU$5)-SUMIFS(TF_Timer,TF_Tekniker,AU$4,TF_Dato,$A834))*2,0)/2)))</f>
        <v/>
      </c>
      <c r="AV834">
        <f>IF(OR(AV$4="",$A834&gt;TODAY()),0,IF(OR(INDEX($B834:$D834,AV$5)="F",AND(AV$6&gt;0,$A834&lt;AV$6),AND(AV$7&gt;0,$A834&gt;AV$7)),0,MAX(0,ROUND((INDEX($E834:$G834,AV$5)-SUMIFS(TF_Timer,TF_Tekniker,AV$4,TF_Dato,$A834))*2,0)/2)))</f>
        <v/>
      </c>
      <c r="AW834">
        <f>IF(OR(AW$4="",$A834&gt;TODAY()),0,IF(OR(INDEX($B834:$D834,AW$5)="F",AND(AW$6&gt;0,$A834&lt;AW$6),AND(AW$7&gt;0,$A834&gt;AW$7)),0,MAX(0,ROUND((INDEX($E834:$G834,AW$5)-SUMIFS(TF_Timer,TF_Tekniker,AW$4,TF_Dato,$A834))*2,0)/2)))</f>
        <v/>
      </c>
      <c r="AX834">
        <f>IF(OR(AX$4="",$A834&gt;TODAY()),0,IF(OR(INDEX($B834:$D834,AX$5)="F",AND(AX$6&gt;0,$A834&lt;AX$6),AND(AX$7&gt;0,$A834&gt;AX$7)),0,MAX(0,ROUND((INDEX($E834:$G834,AX$5)-SUMIFS(TF_Timer,TF_Tekniker,AX$4,TF_Dato,$A834))*2,0)/2)))</f>
        <v/>
      </c>
      <c r="AY834">
        <f>IF(OR(AY$4="",$A834&gt;TODAY()),0,IF(OR(INDEX($B834:$D834,AY$5)="F",AND(AY$6&gt;0,$A834&lt;AY$6),AND(AY$7&gt;0,$A834&gt;AY$7)),0,MAX(0,ROUND((INDEX($E834:$G834,AY$5)-SUMIFS(TF_Timer,TF_Tekniker,AY$4,TF_Dato,$A834))*2,0)/2)))</f>
        <v/>
      </c>
      <c r="AZ834">
        <f>IF(OR(AZ$4="",$A834&gt;TODAY()),0,IF(OR(INDEX($B834:$D834,AZ$5)="F",AND(AZ$6&gt;0,$A834&lt;AZ$6),AND(AZ$7&gt;0,$A834&gt;AZ$7)),0,MAX(0,ROUND((INDEX($E834:$G834,AZ$5)-SUMIFS(TF_Timer,TF_Tekniker,AZ$4,TF_Dato,$A834))*2,0)/2)))</f>
        <v/>
      </c>
      <c r="BA834">
        <f>IF(OR(BA$4="",$A834&gt;TODAY()),0,IF(OR(INDEX($B834:$D834,BA$5)="F",AND(BA$6&gt;0,$A834&lt;BA$6),AND(BA$7&gt;0,$A834&gt;BA$7)),0,MAX(0,ROUND((INDEX($E834:$G834,BA$5)-SUMIFS(TF_Timer,TF_Tekniker,BA$4,TF_Dato,$A834))*2,0)/2)))</f>
        <v/>
      </c>
      <c r="BB834">
        <f>IF(OR(BB$4="",$A834&gt;TODAY()),0,IF(OR(INDEX($B834:$D834,BB$5)="F",AND(BB$6&gt;0,$A834&lt;BB$6),AND(BB$7&gt;0,$A834&gt;BB$7)),0,MAX(0,ROUND((INDEX($E834:$G834,BB$5)-SUMIFS(TF_Timer,TF_Tekniker,BB$4,TF_Dato,$A834))*2,0)/2)))</f>
        <v/>
      </c>
      <c r="BC834">
        <f>IF(OR(BC$4="",$A834&gt;TODAY()),0,IF(OR(INDEX($B834:$D834,BC$5)="F",AND(BC$6&gt;0,$A834&lt;BC$6),AND(BC$7&gt;0,$A834&gt;BC$7)),0,MAX(0,ROUND((INDEX($E834:$G834,BC$5)-SUMIFS(TF_Timer,TF_Tekniker,BC$4,TF_Dato,$A834))*2,0)/2)))</f>
        <v/>
      </c>
      <c r="BD834">
        <f>IF(OR(BD$4="",$A834&gt;TODAY()),0,IF(OR(INDEX($B834:$D834,BD$5)="F",AND(BD$6&gt;0,$A834&lt;BD$6),AND(BD$7&gt;0,$A834&gt;BD$7)),0,MAX(0,ROUND((INDEX($E834:$G834,BD$5)-SUMIFS(TF_Timer,TF_Tekniker,BD$4,TF_Dato,$A834))*2,0)/2)))</f>
        <v/>
      </c>
      <c r="BE834">
        <f>IF(OR(BE$4="",$A834&gt;TODAY()),0,IF(OR(INDEX($B834:$D834,BE$5)="F",AND(BE$6&gt;0,$A834&lt;BE$6),AND(BE$7&gt;0,$A834&gt;BE$7)),0,MAX(0,ROUND((INDEX($E834:$G834,BE$5)-SUMIFS(TF_Timer,TF_Tekniker,BE$4,TF_Dato,$A834))*2,0)/2)))</f>
        <v/>
      </c>
      <c r="BF834">
        <f>IF(OR(BF$4="",$A834&gt;TODAY()),0,IF(OR(INDEX($B834:$D834,BF$5)="F",AND(BF$6&gt;0,$A834&lt;BF$6),AND(BF$7&gt;0,$A834&gt;BF$7)),0,MAX(0,ROUND((INDEX($E834:$G834,BF$5)-SUMIFS(TF_Timer,TF_Tekniker,BF$4,TF_Dato,$A834))*2,0)/2)))</f>
        <v/>
      </c>
      <c r="BG834">
        <f>IF(OR(BG$4="",$A834&gt;TODAY()),0,IF(OR(INDEX($B834:$D834,BG$5)="F",AND(BG$6&gt;0,$A834&lt;BG$6),AND(BG$7&gt;0,$A834&gt;BG$7)),0,MAX(0,ROUND((INDEX($E834:$G834,BG$5)-SUMIFS(TF_Timer,TF_Tekniker,BG$4,TF_Dato,$A834))*2,0)/2)))</f>
        <v/>
      </c>
      <c r="BH834">
        <f>IF(OR(BH$4="",$A834&gt;TODAY()),0,IF(OR(INDEX($B834:$D834,BH$5)="F",AND(BH$6&gt;0,$A834&lt;BH$6),AND(BH$7&gt;0,$A834&gt;BH$7)),0,MAX(0,ROUND((INDEX($E834:$G834,BH$5)-SUMIFS(TF_Timer,TF_Tekniker,BH$4,TF_Dato,$A834))*2,0)/2)))</f>
        <v/>
      </c>
      <c r="BI834">
        <f>IF(OR(BI$4="",$A834&gt;TODAY()),0,IF(OR(INDEX($B834:$D834,BI$5)="F",AND(BI$6&gt;0,$A834&lt;BI$6),AND(BI$7&gt;0,$A834&gt;BI$7)),0,MAX(0,ROUND((INDEX($E834:$G834,BI$5)-SUMIFS(TF_Timer,TF_Tekniker,BI$4,TF_Dato,$A834))*2,0)/2)))</f>
        <v/>
      </c>
    </row>
    <row r="835">
      <c r="A835" s="64">
        <f>A834+1</f>
        <v/>
      </c>
      <c r="B835">
        <f>IF(MOD($A835-INDEX(SkiftStart,1),Syklus)&lt;DagK,"K",IF(MOD($A835-INDEX(SkiftStart,1),Syklus)&lt;DagK+DagH,"H",IF(MOD($A835-INDEX(SkiftStart,1),Syklus)&lt;DagK+DagH+DagD,"D","F")))</f>
        <v/>
      </c>
      <c r="C835">
        <f>IF(MOD($A835-INDEX(SkiftStart,2),Syklus)&lt;DagK,"K",IF(MOD($A835-INDEX(SkiftStart,2),Syklus)&lt;DagK+DagH,"H",IF(MOD($A835-INDEX(SkiftStart,2),Syklus)&lt;DagK+DagH+DagD,"D","F")))</f>
        <v/>
      </c>
      <c r="D835">
        <f>IF(MOD($A835-INDEX(SkiftStart,3),Syklus)&lt;DagK,"K",IF(MOD($A835-INDEX(SkiftStart,3),Syklus)&lt;DagK+DagH,"H",IF(MOD($A835-INDEX(SkiftStart,3),Syklus)&lt;DagK+DagH+DagD,"D","F")))</f>
        <v/>
      </c>
      <c r="E835">
        <f>IF(B835="F",0,IF(WEEKDAY($A835,2)=5,INDEX(TimerFr,MATCH(B835,FaseKode,0)),INDEX(TimerMT,MATCH(B835,FaseKode,0))))</f>
        <v/>
      </c>
      <c r="F835">
        <f>IF(C835="F",0,IF(WEEKDAY($A835,2)=5,INDEX(TimerFr,MATCH(C835,FaseKode,0)),INDEX(TimerMT,MATCH(C835,FaseKode,0))))</f>
        <v/>
      </c>
      <c r="G835">
        <f>IF(D835="F",0,IF(WEEKDAY($A835,2)=5,INDEX(TimerFr,MATCH(D835,FaseKode,0)),INDEX(TimerMT,MATCH(D835,FaseKode,0))))</f>
        <v/>
      </c>
      <c r="H835">
        <f>IF(OR(H$4="",$A835&gt;TODAY()),0,IF(OR(INDEX($B835:$D835,H$5)="F",AND(H$6&gt;0,$A835&lt;H$6),AND(H$7&gt;0,$A835&gt;H$7)),0,MAX(0,ROUND((INDEX($E835:$G835,H$5)-SUMIFS(TF_Timer,TF_Tekniker,H$4,TF_Dato,$A835))*2,0)/2)))</f>
        <v/>
      </c>
      <c r="I835">
        <f>IF(OR(I$4="",$A835&gt;TODAY()),0,IF(OR(INDEX($B835:$D835,I$5)="F",AND(I$6&gt;0,$A835&lt;I$6),AND(I$7&gt;0,$A835&gt;I$7)),0,MAX(0,ROUND((INDEX($E835:$G835,I$5)-SUMIFS(TF_Timer,TF_Tekniker,I$4,TF_Dato,$A835))*2,0)/2)))</f>
        <v/>
      </c>
      <c r="J835">
        <f>IF(OR(J$4="",$A835&gt;TODAY()),0,IF(OR(INDEX($B835:$D835,J$5)="F",AND(J$6&gt;0,$A835&lt;J$6),AND(J$7&gt;0,$A835&gt;J$7)),0,MAX(0,ROUND((INDEX($E835:$G835,J$5)-SUMIFS(TF_Timer,TF_Tekniker,J$4,TF_Dato,$A835))*2,0)/2)))</f>
        <v/>
      </c>
      <c r="K835">
        <f>IF(OR(K$4="",$A835&gt;TODAY()),0,IF(OR(INDEX($B835:$D835,K$5)="F",AND(K$6&gt;0,$A835&lt;K$6),AND(K$7&gt;0,$A835&gt;K$7)),0,MAX(0,ROUND((INDEX($E835:$G835,K$5)-SUMIFS(TF_Timer,TF_Tekniker,K$4,TF_Dato,$A835))*2,0)/2)))</f>
        <v/>
      </c>
      <c r="L835">
        <f>IF(OR(L$4="",$A835&gt;TODAY()),0,IF(OR(INDEX($B835:$D835,L$5)="F",AND(L$6&gt;0,$A835&lt;L$6),AND(L$7&gt;0,$A835&gt;L$7)),0,MAX(0,ROUND((INDEX($E835:$G835,L$5)-SUMIFS(TF_Timer,TF_Tekniker,L$4,TF_Dato,$A835))*2,0)/2)))</f>
        <v/>
      </c>
      <c r="M835">
        <f>IF(OR(M$4="",$A835&gt;TODAY()),0,IF(OR(INDEX($B835:$D835,M$5)="F",AND(M$6&gt;0,$A835&lt;M$6),AND(M$7&gt;0,$A835&gt;M$7)),0,MAX(0,ROUND((INDEX($E835:$G835,M$5)-SUMIFS(TF_Timer,TF_Tekniker,M$4,TF_Dato,$A835))*2,0)/2)))</f>
        <v/>
      </c>
      <c r="N835">
        <f>IF(OR(N$4="",$A835&gt;TODAY()),0,IF(OR(INDEX($B835:$D835,N$5)="F",AND(N$6&gt;0,$A835&lt;N$6),AND(N$7&gt;0,$A835&gt;N$7)),0,MAX(0,ROUND((INDEX($E835:$G835,N$5)-SUMIFS(TF_Timer,TF_Tekniker,N$4,TF_Dato,$A835))*2,0)/2)))</f>
        <v/>
      </c>
      <c r="O835">
        <f>IF(OR(O$4="",$A835&gt;TODAY()),0,IF(OR(INDEX($B835:$D835,O$5)="F",AND(O$6&gt;0,$A835&lt;O$6),AND(O$7&gt;0,$A835&gt;O$7)),0,MAX(0,ROUND((INDEX($E835:$G835,O$5)-SUMIFS(TF_Timer,TF_Tekniker,O$4,TF_Dato,$A835))*2,0)/2)))</f>
        <v/>
      </c>
      <c r="P835">
        <f>IF(OR(P$4="",$A835&gt;TODAY()),0,IF(OR(INDEX($B835:$D835,P$5)="F",AND(P$6&gt;0,$A835&lt;P$6),AND(P$7&gt;0,$A835&gt;P$7)),0,MAX(0,ROUND((INDEX($E835:$G835,P$5)-SUMIFS(TF_Timer,TF_Tekniker,P$4,TF_Dato,$A835))*2,0)/2)))</f>
        <v/>
      </c>
      <c r="Q835">
        <f>IF(OR(Q$4="",$A835&gt;TODAY()),0,IF(OR(INDEX($B835:$D835,Q$5)="F",AND(Q$6&gt;0,$A835&lt;Q$6),AND(Q$7&gt;0,$A835&gt;Q$7)),0,MAX(0,ROUND((INDEX($E835:$G835,Q$5)-SUMIFS(TF_Timer,TF_Tekniker,Q$4,TF_Dato,$A835))*2,0)/2)))</f>
        <v/>
      </c>
      <c r="R835">
        <f>IF(OR(R$4="",$A835&gt;TODAY()),0,IF(OR(INDEX($B835:$D835,R$5)="F",AND(R$6&gt;0,$A835&lt;R$6),AND(R$7&gt;0,$A835&gt;R$7)),0,MAX(0,ROUND((INDEX($E835:$G835,R$5)-SUMIFS(TF_Timer,TF_Tekniker,R$4,TF_Dato,$A835))*2,0)/2)))</f>
        <v/>
      </c>
      <c r="S835">
        <f>IF(OR(S$4="",$A835&gt;TODAY()),0,IF(OR(INDEX($B835:$D835,S$5)="F",AND(S$6&gt;0,$A835&lt;S$6),AND(S$7&gt;0,$A835&gt;S$7)),0,MAX(0,ROUND((INDEX($E835:$G835,S$5)-SUMIFS(TF_Timer,TF_Tekniker,S$4,TF_Dato,$A835))*2,0)/2)))</f>
        <v/>
      </c>
      <c r="T835">
        <f>IF(OR(T$4="",$A835&gt;TODAY()),0,IF(OR(INDEX($B835:$D835,T$5)="F",AND(T$6&gt;0,$A835&lt;T$6),AND(T$7&gt;0,$A835&gt;T$7)),0,MAX(0,ROUND((INDEX($E835:$G835,T$5)-SUMIFS(TF_Timer,TF_Tekniker,T$4,TF_Dato,$A835))*2,0)/2)))</f>
        <v/>
      </c>
      <c r="U835">
        <f>IF(OR(U$4="",$A835&gt;TODAY()),0,IF(OR(INDEX($B835:$D835,U$5)="F",AND(U$6&gt;0,$A835&lt;U$6),AND(U$7&gt;0,$A835&gt;U$7)),0,MAX(0,ROUND((INDEX($E835:$G835,U$5)-SUMIFS(TF_Timer,TF_Tekniker,U$4,TF_Dato,$A835))*2,0)/2)))</f>
        <v/>
      </c>
      <c r="V835">
        <f>IF(OR(V$4="",$A835&gt;TODAY()),0,IF(OR(INDEX($B835:$D835,V$5)="F",AND(V$6&gt;0,$A835&lt;V$6),AND(V$7&gt;0,$A835&gt;V$7)),0,MAX(0,ROUND((INDEX($E835:$G835,V$5)-SUMIFS(TF_Timer,TF_Tekniker,V$4,TF_Dato,$A835))*2,0)/2)))</f>
        <v/>
      </c>
      <c r="W835">
        <f>IF(OR(W$4="",$A835&gt;TODAY()),0,IF(OR(INDEX($B835:$D835,W$5)="F",AND(W$6&gt;0,$A835&lt;W$6),AND(W$7&gt;0,$A835&gt;W$7)),0,MAX(0,ROUND((INDEX($E835:$G835,W$5)-SUMIFS(TF_Timer,TF_Tekniker,W$4,TF_Dato,$A835))*2,0)/2)))</f>
        <v/>
      </c>
      <c r="X835">
        <f>IF(OR(X$4="",$A835&gt;TODAY()),0,IF(OR(INDEX($B835:$D835,X$5)="F",AND(X$6&gt;0,$A835&lt;X$6),AND(X$7&gt;0,$A835&gt;X$7)),0,MAX(0,ROUND((INDEX($E835:$G835,X$5)-SUMIFS(TF_Timer,TF_Tekniker,X$4,TF_Dato,$A835))*2,0)/2)))</f>
        <v/>
      </c>
      <c r="Y835">
        <f>IF(OR(Y$4="",$A835&gt;TODAY()),0,IF(OR(INDEX($B835:$D835,Y$5)="F",AND(Y$6&gt;0,$A835&lt;Y$6),AND(Y$7&gt;0,$A835&gt;Y$7)),0,MAX(0,ROUND((INDEX($E835:$G835,Y$5)-SUMIFS(TF_Timer,TF_Tekniker,Y$4,TF_Dato,$A835))*2,0)/2)))</f>
        <v/>
      </c>
      <c r="Z835">
        <f>IF(OR(Z$4="",$A835&gt;TODAY()),0,IF(OR(INDEX($B835:$D835,Z$5)="F",AND(Z$6&gt;0,$A835&lt;Z$6),AND(Z$7&gt;0,$A835&gt;Z$7)),0,MAX(0,ROUND((INDEX($E835:$G835,Z$5)-SUMIFS(TF_Timer,TF_Tekniker,Z$4,TF_Dato,$A835))*2,0)/2)))</f>
        <v/>
      </c>
      <c r="AA835">
        <f>IF(OR(AA$4="",$A835&gt;TODAY()),0,IF(OR(INDEX($B835:$D835,AA$5)="F",AND(AA$6&gt;0,$A835&lt;AA$6),AND(AA$7&gt;0,$A835&gt;AA$7)),0,MAX(0,ROUND((INDEX($E835:$G835,AA$5)-SUMIFS(TF_Timer,TF_Tekniker,AA$4,TF_Dato,$A835))*2,0)/2)))</f>
        <v/>
      </c>
      <c r="AB835">
        <f>IF(OR(AB$4="",$A835&gt;TODAY()),0,IF(OR(INDEX($B835:$D835,AB$5)="F",AND(AB$6&gt;0,$A835&lt;AB$6),AND(AB$7&gt;0,$A835&gt;AB$7)),0,MAX(0,ROUND((INDEX($E835:$G835,AB$5)-SUMIFS(TF_Timer,TF_Tekniker,AB$4,TF_Dato,$A835))*2,0)/2)))</f>
        <v/>
      </c>
      <c r="AC835">
        <f>IF(OR(AC$4="",$A835&gt;TODAY()),0,IF(OR(INDEX($B835:$D835,AC$5)="F",AND(AC$6&gt;0,$A835&lt;AC$6),AND(AC$7&gt;0,$A835&gt;AC$7)),0,MAX(0,ROUND((INDEX($E835:$G835,AC$5)-SUMIFS(TF_Timer,TF_Tekniker,AC$4,TF_Dato,$A835))*2,0)/2)))</f>
        <v/>
      </c>
      <c r="AD835">
        <f>IF(OR(AD$4="",$A835&gt;TODAY()),0,IF(OR(INDEX($B835:$D835,AD$5)="F",AND(AD$6&gt;0,$A835&lt;AD$6),AND(AD$7&gt;0,$A835&gt;AD$7)),0,MAX(0,ROUND((INDEX($E835:$G835,AD$5)-SUMIFS(TF_Timer,TF_Tekniker,AD$4,TF_Dato,$A835))*2,0)/2)))</f>
        <v/>
      </c>
      <c r="AE835">
        <f>IF(OR(AE$4="",$A835&gt;TODAY()),0,IF(OR(INDEX($B835:$D835,AE$5)="F",AND(AE$6&gt;0,$A835&lt;AE$6),AND(AE$7&gt;0,$A835&gt;AE$7)),0,MAX(0,ROUND((INDEX($E835:$G835,AE$5)-SUMIFS(TF_Timer,TF_Tekniker,AE$4,TF_Dato,$A835))*2,0)/2)))</f>
        <v/>
      </c>
      <c r="AF835">
        <f>IF(OR(AF$4="",$A835&gt;TODAY()),0,IF(OR(INDEX($B835:$D835,AF$5)="F",AND(AF$6&gt;0,$A835&lt;AF$6),AND(AF$7&gt;0,$A835&gt;AF$7)),0,MAX(0,ROUND((INDEX($E835:$G835,AF$5)-SUMIFS(TF_Timer,TF_Tekniker,AF$4,TF_Dato,$A835))*2,0)/2)))</f>
        <v/>
      </c>
      <c r="AG835">
        <f>IF(OR(AG$4="",$A835&gt;TODAY()),0,IF(OR(INDEX($B835:$D835,AG$5)="F",AND(AG$6&gt;0,$A835&lt;AG$6),AND(AG$7&gt;0,$A835&gt;AG$7)),0,MAX(0,ROUND((INDEX($E835:$G835,AG$5)-SUMIFS(TF_Timer,TF_Tekniker,AG$4,TF_Dato,$A835))*2,0)/2)))</f>
        <v/>
      </c>
      <c r="AH835">
        <f>IF(OR(AH$4="",$A835&gt;TODAY()),0,IF(OR(INDEX($B835:$D835,AH$5)="F",AND(AH$6&gt;0,$A835&lt;AH$6),AND(AH$7&gt;0,$A835&gt;AH$7)),0,MAX(0,ROUND((INDEX($E835:$G835,AH$5)-SUMIFS(TF_Timer,TF_Tekniker,AH$4,TF_Dato,$A835))*2,0)/2)))</f>
        <v/>
      </c>
      <c r="AI835">
        <f>IF(OR(AI$4="",$A835&gt;TODAY()),0,IF(OR(INDEX($B835:$D835,AI$5)="F",AND(AI$6&gt;0,$A835&lt;AI$6),AND(AI$7&gt;0,$A835&gt;AI$7)),0,MAX(0,ROUND((INDEX($E835:$G835,AI$5)-SUMIFS(TF_Timer,TF_Tekniker,AI$4,TF_Dato,$A835))*2,0)/2)))</f>
        <v/>
      </c>
      <c r="AJ835">
        <f>IF(OR(AJ$4="",$A835&gt;TODAY()),0,IF(OR(INDEX($B835:$D835,AJ$5)="F",AND(AJ$6&gt;0,$A835&lt;AJ$6),AND(AJ$7&gt;0,$A835&gt;AJ$7)),0,MAX(0,ROUND((INDEX($E835:$G835,AJ$5)-SUMIFS(TF_Timer,TF_Tekniker,AJ$4,TF_Dato,$A835))*2,0)/2)))</f>
        <v/>
      </c>
      <c r="AK835">
        <f>IF(OR(AK$4="",$A835&gt;TODAY()),0,IF(OR(INDEX($B835:$D835,AK$5)="F",AND(AK$6&gt;0,$A835&lt;AK$6),AND(AK$7&gt;0,$A835&gt;AK$7)),0,MAX(0,ROUND((INDEX($E835:$G835,AK$5)-SUMIFS(TF_Timer,TF_Tekniker,AK$4,TF_Dato,$A835))*2,0)/2)))</f>
        <v/>
      </c>
      <c r="AL835">
        <f>IF(OR(AL$4="",$A835&gt;TODAY()),0,IF(OR(INDEX($B835:$D835,AL$5)="F",AND(AL$6&gt;0,$A835&lt;AL$6),AND(AL$7&gt;0,$A835&gt;AL$7)),0,MAX(0,ROUND((INDEX($E835:$G835,AL$5)-SUMIFS(TF_Timer,TF_Tekniker,AL$4,TF_Dato,$A835))*2,0)/2)))</f>
        <v/>
      </c>
      <c r="AM835">
        <f>IF(OR(AM$4="",$A835&gt;TODAY()),0,IF(OR(INDEX($B835:$D835,AM$5)="F",AND(AM$6&gt;0,$A835&lt;AM$6),AND(AM$7&gt;0,$A835&gt;AM$7)),0,MAX(0,ROUND((INDEX($E835:$G835,AM$5)-SUMIFS(TF_Timer,TF_Tekniker,AM$4,TF_Dato,$A835))*2,0)/2)))</f>
        <v/>
      </c>
      <c r="AN835">
        <f>IF(OR(AN$4="",$A835&gt;TODAY()),0,IF(OR(INDEX($B835:$D835,AN$5)="F",AND(AN$6&gt;0,$A835&lt;AN$6),AND(AN$7&gt;0,$A835&gt;AN$7)),0,MAX(0,ROUND((INDEX($E835:$G835,AN$5)-SUMIFS(TF_Timer,TF_Tekniker,AN$4,TF_Dato,$A835))*2,0)/2)))</f>
        <v/>
      </c>
      <c r="AO835">
        <f>IF(OR(AO$4="",$A835&gt;TODAY()),0,IF(OR(INDEX($B835:$D835,AO$5)="F",AND(AO$6&gt;0,$A835&lt;AO$6),AND(AO$7&gt;0,$A835&gt;AO$7)),0,MAX(0,ROUND((INDEX($E835:$G835,AO$5)-SUMIFS(TF_Timer,TF_Tekniker,AO$4,TF_Dato,$A835))*2,0)/2)))</f>
        <v/>
      </c>
      <c r="AP835">
        <f>IF(OR(AP$4="",$A835&gt;TODAY()),0,IF(OR(INDEX($B835:$D835,AP$5)="F",AND(AP$6&gt;0,$A835&lt;AP$6),AND(AP$7&gt;0,$A835&gt;AP$7)),0,MAX(0,ROUND((INDEX($E835:$G835,AP$5)-SUMIFS(TF_Timer,TF_Tekniker,AP$4,TF_Dato,$A835))*2,0)/2)))</f>
        <v/>
      </c>
      <c r="AQ835">
        <f>IF(OR(AQ$4="",$A835&gt;TODAY()),0,IF(OR(INDEX($B835:$D835,AQ$5)="F",AND(AQ$6&gt;0,$A835&lt;AQ$6),AND(AQ$7&gt;0,$A835&gt;AQ$7)),0,MAX(0,ROUND((INDEX($E835:$G835,AQ$5)-SUMIFS(TF_Timer,TF_Tekniker,AQ$4,TF_Dato,$A835))*2,0)/2)))</f>
        <v/>
      </c>
      <c r="AR835">
        <f>IF(OR(AR$4="",$A835&gt;TODAY()),0,IF(OR(INDEX($B835:$D835,AR$5)="F",AND(AR$6&gt;0,$A835&lt;AR$6),AND(AR$7&gt;0,$A835&gt;AR$7)),0,MAX(0,ROUND((INDEX($E835:$G835,AR$5)-SUMIFS(TF_Timer,TF_Tekniker,AR$4,TF_Dato,$A835))*2,0)/2)))</f>
        <v/>
      </c>
      <c r="AS835">
        <f>IF(OR(AS$4="",$A835&gt;TODAY()),0,IF(OR(INDEX($B835:$D835,AS$5)="F",AND(AS$6&gt;0,$A835&lt;AS$6),AND(AS$7&gt;0,$A835&gt;AS$7)),0,MAX(0,ROUND((INDEX($E835:$G835,AS$5)-SUMIFS(TF_Timer,TF_Tekniker,AS$4,TF_Dato,$A835))*2,0)/2)))</f>
        <v/>
      </c>
      <c r="AT835">
        <f>IF(OR(AT$4="",$A835&gt;TODAY()),0,IF(OR(INDEX($B835:$D835,AT$5)="F",AND(AT$6&gt;0,$A835&lt;AT$6),AND(AT$7&gt;0,$A835&gt;AT$7)),0,MAX(0,ROUND((INDEX($E835:$G835,AT$5)-SUMIFS(TF_Timer,TF_Tekniker,AT$4,TF_Dato,$A835))*2,0)/2)))</f>
        <v/>
      </c>
      <c r="AU835">
        <f>IF(OR(AU$4="",$A835&gt;TODAY()),0,IF(OR(INDEX($B835:$D835,AU$5)="F",AND(AU$6&gt;0,$A835&lt;AU$6),AND(AU$7&gt;0,$A835&gt;AU$7)),0,MAX(0,ROUND((INDEX($E835:$G835,AU$5)-SUMIFS(TF_Timer,TF_Tekniker,AU$4,TF_Dato,$A835))*2,0)/2)))</f>
        <v/>
      </c>
      <c r="AV835">
        <f>IF(OR(AV$4="",$A835&gt;TODAY()),0,IF(OR(INDEX($B835:$D835,AV$5)="F",AND(AV$6&gt;0,$A835&lt;AV$6),AND(AV$7&gt;0,$A835&gt;AV$7)),0,MAX(0,ROUND((INDEX($E835:$G835,AV$5)-SUMIFS(TF_Timer,TF_Tekniker,AV$4,TF_Dato,$A835))*2,0)/2)))</f>
        <v/>
      </c>
      <c r="AW835">
        <f>IF(OR(AW$4="",$A835&gt;TODAY()),0,IF(OR(INDEX($B835:$D835,AW$5)="F",AND(AW$6&gt;0,$A835&lt;AW$6),AND(AW$7&gt;0,$A835&gt;AW$7)),0,MAX(0,ROUND((INDEX($E835:$G835,AW$5)-SUMIFS(TF_Timer,TF_Tekniker,AW$4,TF_Dato,$A835))*2,0)/2)))</f>
        <v/>
      </c>
      <c r="AX835">
        <f>IF(OR(AX$4="",$A835&gt;TODAY()),0,IF(OR(INDEX($B835:$D835,AX$5)="F",AND(AX$6&gt;0,$A835&lt;AX$6),AND(AX$7&gt;0,$A835&gt;AX$7)),0,MAX(0,ROUND((INDEX($E835:$G835,AX$5)-SUMIFS(TF_Timer,TF_Tekniker,AX$4,TF_Dato,$A835))*2,0)/2)))</f>
        <v/>
      </c>
      <c r="AY835">
        <f>IF(OR(AY$4="",$A835&gt;TODAY()),0,IF(OR(INDEX($B835:$D835,AY$5)="F",AND(AY$6&gt;0,$A835&lt;AY$6),AND(AY$7&gt;0,$A835&gt;AY$7)),0,MAX(0,ROUND((INDEX($E835:$G835,AY$5)-SUMIFS(TF_Timer,TF_Tekniker,AY$4,TF_Dato,$A835))*2,0)/2)))</f>
        <v/>
      </c>
      <c r="AZ835">
        <f>IF(OR(AZ$4="",$A835&gt;TODAY()),0,IF(OR(INDEX($B835:$D835,AZ$5)="F",AND(AZ$6&gt;0,$A835&lt;AZ$6),AND(AZ$7&gt;0,$A835&gt;AZ$7)),0,MAX(0,ROUND((INDEX($E835:$G835,AZ$5)-SUMIFS(TF_Timer,TF_Tekniker,AZ$4,TF_Dato,$A835))*2,0)/2)))</f>
        <v/>
      </c>
      <c r="BA835">
        <f>IF(OR(BA$4="",$A835&gt;TODAY()),0,IF(OR(INDEX($B835:$D835,BA$5)="F",AND(BA$6&gt;0,$A835&lt;BA$6),AND(BA$7&gt;0,$A835&gt;BA$7)),0,MAX(0,ROUND((INDEX($E835:$G835,BA$5)-SUMIFS(TF_Timer,TF_Tekniker,BA$4,TF_Dato,$A835))*2,0)/2)))</f>
        <v/>
      </c>
      <c r="BB835">
        <f>IF(OR(BB$4="",$A835&gt;TODAY()),0,IF(OR(INDEX($B835:$D835,BB$5)="F",AND(BB$6&gt;0,$A835&lt;BB$6),AND(BB$7&gt;0,$A835&gt;BB$7)),0,MAX(0,ROUND((INDEX($E835:$G835,BB$5)-SUMIFS(TF_Timer,TF_Tekniker,BB$4,TF_Dato,$A835))*2,0)/2)))</f>
        <v/>
      </c>
      <c r="BC835">
        <f>IF(OR(BC$4="",$A835&gt;TODAY()),0,IF(OR(INDEX($B835:$D835,BC$5)="F",AND(BC$6&gt;0,$A835&lt;BC$6),AND(BC$7&gt;0,$A835&gt;BC$7)),0,MAX(0,ROUND((INDEX($E835:$G835,BC$5)-SUMIFS(TF_Timer,TF_Tekniker,BC$4,TF_Dato,$A835))*2,0)/2)))</f>
        <v/>
      </c>
      <c r="BD835">
        <f>IF(OR(BD$4="",$A835&gt;TODAY()),0,IF(OR(INDEX($B835:$D835,BD$5)="F",AND(BD$6&gt;0,$A835&lt;BD$6),AND(BD$7&gt;0,$A835&gt;BD$7)),0,MAX(0,ROUND((INDEX($E835:$G835,BD$5)-SUMIFS(TF_Timer,TF_Tekniker,BD$4,TF_Dato,$A835))*2,0)/2)))</f>
        <v/>
      </c>
      <c r="BE835">
        <f>IF(OR(BE$4="",$A835&gt;TODAY()),0,IF(OR(INDEX($B835:$D835,BE$5)="F",AND(BE$6&gt;0,$A835&lt;BE$6),AND(BE$7&gt;0,$A835&gt;BE$7)),0,MAX(0,ROUND((INDEX($E835:$G835,BE$5)-SUMIFS(TF_Timer,TF_Tekniker,BE$4,TF_Dato,$A835))*2,0)/2)))</f>
        <v/>
      </c>
      <c r="BF835">
        <f>IF(OR(BF$4="",$A835&gt;TODAY()),0,IF(OR(INDEX($B835:$D835,BF$5)="F",AND(BF$6&gt;0,$A835&lt;BF$6),AND(BF$7&gt;0,$A835&gt;BF$7)),0,MAX(0,ROUND((INDEX($E835:$G835,BF$5)-SUMIFS(TF_Timer,TF_Tekniker,BF$4,TF_Dato,$A835))*2,0)/2)))</f>
        <v/>
      </c>
      <c r="BG835">
        <f>IF(OR(BG$4="",$A835&gt;TODAY()),0,IF(OR(INDEX($B835:$D835,BG$5)="F",AND(BG$6&gt;0,$A835&lt;BG$6),AND(BG$7&gt;0,$A835&gt;BG$7)),0,MAX(0,ROUND((INDEX($E835:$G835,BG$5)-SUMIFS(TF_Timer,TF_Tekniker,BG$4,TF_Dato,$A835))*2,0)/2)))</f>
        <v/>
      </c>
      <c r="BH835">
        <f>IF(OR(BH$4="",$A835&gt;TODAY()),0,IF(OR(INDEX($B835:$D835,BH$5)="F",AND(BH$6&gt;0,$A835&lt;BH$6),AND(BH$7&gt;0,$A835&gt;BH$7)),0,MAX(0,ROUND((INDEX($E835:$G835,BH$5)-SUMIFS(TF_Timer,TF_Tekniker,BH$4,TF_Dato,$A835))*2,0)/2)))</f>
        <v/>
      </c>
      <c r="BI835">
        <f>IF(OR(BI$4="",$A835&gt;TODAY()),0,IF(OR(INDEX($B835:$D835,BI$5)="F",AND(BI$6&gt;0,$A835&lt;BI$6),AND(BI$7&gt;0,$A835&gt;BI$7)),0,MAX(0,ROUND((INDEX($E835:$G835,BI$5)-SUMIFS(TF_Timer,TF_Tekniker,BI$4,TF_Dato,$A835))*2,0)/2)))</f>
        <v/>
      </c>
    </row>
    <row r="836">
      <c r="A836" s="64">
        <f>A835+1</f>
        <v/>
      </c>
      <c r="B836">
        <f>IF(MOD($A836-INDEX(SkiftStart,1),Syklus)&lt;DagK,"K",IF(MOD($A836-INDEX(SkiftStart,1),Syklus)&lt;DagK+DagH,"H",IF(MOD($A836-INDEX(SkiftStart,1),Syklus)&lt;DagK+DagH+DagD,"D","F")))</f>
        <v/>
      </c>
      <c r="C836">
        <f>IF(MOD($A836-INDEX(SkiftStart,2),Syklus)&lt;DagK,"K",IF(MOD($A836-INDEX(SkiftStart,2),Syklus)&lt;DagK+DagH,"H",IF(MOD($A836-INDEX(SkiftStart,2),Syklus)&lt;DagK+DagH+DagD,"D","F")))</f>
        <v/>
      </c>
      <c r="D836">
        <f>IF(MOD($A836-INDEX(SkiftStart,3),Syklus)&lt;DagK,"K",IF(MOD($A836-INDEX(SkiftStart,3),Syklus)&lt;DagK+DagH,"H",IF(MOD($A836-INDEX(SkiftStart,3),Syklus)&lt;DagK+DagH+DagD,"D","F")))</f>
        <v/>
      </c>
      <c r="E836">
        <f>IF(B836="F",0,IF(WEEKDAY($A836,2)=5,INDEX(TimerFr,MATCH(B836,FaseKode,0)),INDEX(TimerMT,MATCH(B836,FaseKode,0))))</f>
        <v/>
      </c>
      <c r="F836">
        <f>IF(C836="F",0,IF(WEEKDAY($A836,2)=5,INDEX(TimerFr,MATCH(C836,FaseKode,0)),INDEX(TimerMT,MATCH(C836,FaseKode,0))))</f>
        <v/>
      </c>
      <c r="G836">
        <f>IF(D836="F",0,IF(WEEKDAY($A836,2)=5,INDEX(TimerFr,MATCH(D836,FaseKode,0)),INDEX(TimerMT,MATCH(D836,FaseKode,0))))</f>
        <v/>
      </c>
      <c r="H836">
        <f>IF(OR(H$4="",$A836&gt;TODAY()),0,IF(OR(INDEX($B836:$D836,H$5)="F",AND(H$6&gt;0,$A836&lt;H$6),AND(H$7&gt;0,$A836&gt;H$7)),0,MAX(0,ROUND((INDEX($E836:$G836,H$5)-SUMIFS(TF_Timer,TF_Tekniker,H$4,TF_Dato,$A836))*2,0)/2)))</f>
        <v/>
      </c>
      <c r="I836">
        <f>IF(OR(I$4="",$A836&gt;TODAY()),0,IF(OR(INDEX($B836:$D836,I$5)="F",AND(I$6&gt;0,$A836&lt;I$6),AND(I$7&gt;0,$A836&gt;I$7)),0,MAX(0,ROUND((INDEX($E836:$G836,I$5)-SUMIFS(TF_Timer,TF_Tekniker,I$4,TF_Dato,$A836))*2,0)/2)))</f>
        <v/>
      </c>
      <c r="J836">
        <f>IF(OR(J$4="",$A836&gt;TODAY()),0,IF(OR(INDEX($B836:$D836,J$5)="F",AND(J$6&gt;0,$A836&lt;J$6),AND(J$7&gt;0,$A836&gt;J$7)),0,MAX(0,ROUND((INDEX($E836:$G836,J$5)-SUMIFS(TF_Timer,TF_Tekniker,J$4,TF_Dato,$A836))*2,0)/2)))</f>
        <v/>
      </c>
      <c r="K836">
        <f>IF(OR(K$4="",$A836&gt;TODAY()),0,IF(OR(INDEX($B836:$D836,K$5)="F",AND(K$6&gt;0,$A836&lt;K$6),AND(K$7&gt;0,$A836&gt;K$7)),0,MAX(0,ROUND((INDEX($E836:$G836,K$5)-SUMIFS(TF_Timer,TF_Tekniker,K$4,TF_Dato,$A836))*2,0)/2)))</f>
        <v/>
      </c>
      <c r="L836">
        <f>IF(OR(L$4="",$A836&gt;TODAY()),0,IF(OR(INDEX($B836:$D836,L$5)="F",AND(L$6&gt;0,$A836&lt;L$6),AND(L$7&gt;0,$A836&gt;L$7)),0,MAX(0,ROUND((INDEX($E836:$G836,L$5)-SUMIFS(TF_Timer,TF_Tekniker,L$4,TF_Dato,$A836))*2,0)/2)))</f>
        <v/>
      </c>
      <c r="M836">
        <f>IF(OR(M$4="",$A836&gt;TODAY()),0,IF(OR(INDEX($B836:$D836,M$5)="F",AND(M$6&gt;0,$A836&lt;M$6),AND(M$7&gt;0,$A836&gt;M$7)),0,MAX(0,ROUND((INDEX($E836:$G836,M$5)-SUMIFS(TF_Timer,TF_Tekniker,M$4,TF_Dato,$A836))*2,0)/2)))</f>
        <v/>
      </c>
      <c r="N836">
        <f>IF(OR(N$4="",$A836&gt;TODAY()),0,IF(OR(INDEX($B836:$D836,N$5)="F",AND(N$6&gt;0,$A836&lt;N$6),AND(N$7&gt;0,$A836&gt;N$7)),0,MAX(0,ROUND((INDEX($E836:$G836,N$5)-SUMIFS(TF_Timer,TF_Tekniker,N$4,TF_Dato,$A836))*2,0)/2)))</f>
        <v/>
      </c>
      <c r="O836">
        <f>IF(OR(O$4="",$A836&gt;TODAY()),0,IF(OR(INDEX($B836:$D836,O$5)="F",AND(O$6&gt;0,$A836&lt;O$6),AND(O$7&gt;0,$A836&gt;O$7)),0,MAX(0,ROUND((INDEX($E836:$G836,O$5)-SUMIFS(TF_Timer,TF_Tekniker,O$4,TF_Dato,$A836))*2,0)/2)))</f>
        <v/>
      </c>
      <c r="P836">
        <f>IF(OR(P$4="",$A836&gt;TODAY()),0,IF(OR(INDEX($B836:$D836,P$5)="F",AND(P$6&gt;0,$A836&lt;P$6),AND(P$7&gt;0,$A836&gt;P$7)),0,MAX(0,ROUND((INDEX($E836:$G836,P$5)-SUMIFS(TF_Timer,TF_Tekniker,P$4,TF_Dato,$A836))*2,0)/2)))</f>
        <v/>
      </c>
      <c r="Q836">
        <f>IF(OR(Q$4="",$A836&gt;TODAY()),0,IF(OR(INDEX($B836:$D836,Q$5)="F",AND(Q$6&gt;0,$A836&lt;Q$6),AND(Q$7&gt;0,$A836&gt;Q$7)),0,MAX(0,ROUND((INDEX($E836:$G836,Q$5)-SUMIFS(TF_Timer,TF_Tekniker,Q$4,TF_Dato,$A836))*2,0)/2)))</f>
        <v/>
      </c>
      <c r="R836">
        <f>IF(OR(R$4="",$A836&gt;TODAY()),0,IF(OR(INDEX($B836:$D836,R$5)="F",AND(R$6&gt;0,$A836&lt;R$6),AND(R$7&gt;0,$A836&gt;R$7)),0,MAX(0,ROUND((INDEX($E836:$G836,R$5)-SUMIFS(TF_Timer,TF_Tekniker,R$4,TF_Dato,$A836))*2,0)/2)))</f>
        <v/>
      </c>
      <c r="S836">
        <f>IF(OR(S$4="",$A836&gt;TODAY()),0,IF(OR(INDEX($B836:$D836,S$5)="F",AND(S$6&gt;0,$A836&lt;S$6),AND(S$7&gt;0,$A836&gt;S$7)),0,MAX(0,ROUND((INDEX($E836:$G836,S$5)-SUMIFS(TF_Timer,TF_Tekniker,S$4,TF_Dato,$A836))*2,0)/2)))</f>
        <v/>
      </c>
      <c r="T836">
        <f>IF(OR(T$4="",$A836&gt;TODAY()),0,IF(OR(INDEX($B836:$D836,T$5)="F",AND(T$6&gt;0,$A836&lt;T$6),AND(T$7&gt;0,$A836&gt;T$7)),0,MAX(0,ROUND((INDEX($E836:$G836,T$5)-SUMIFS(TF_Timer,TF_Tekniker,T$4,TF_Dato,$A836))*2,0)/2)))</f>
        <v/>
      </c>
      <c r="U836">
        <f>IF(OR(U$4="",$A836&gt;TODAY()),0,IF(OR(INDEX($B836:$D836,U$5)="F",AND(U$6&gt;0,$A836&lt;U$6),AND(U$7&gt;0,$A836&gt;U$7)),0,MAX(0,ROUND((INDEX($E836:$G836,U$5)-SUMIFS(TF_Timer,TF_Tekniker,U$4,TF_Dato,$A836))*2,0)/2)))</f>
        <v/>
      </c>
      <c r="V836">
        <f>IF(OR(V$4="",$A836&gt;TODAY()),0,IF(OR(INDEX($B836:$D836,V$5)="F",AND(V$6&gt;0,$A836&lt;V$6),AND(V$7&gt;0,$A836&gt;V$7)),0,MAX(0,ROUND((INDEX($E836:$G836,V$5)-SUMIFS(TF_Timer,TF_Tekniker,V$4,TF_Dato,$A836))*2,0)/2)))</f>
        <v/>
      </c>
      <c r="W836">
        <f>IF(OR(W$4="",$A836&gt;TODAY()),0,IF(OR(INDEX($B836:$D836,W$5)="F",AND(W$6&gt;0,$A836&lt;W$6),AND(W$7&gt;0,$A836&gt;W$7)),0,MAX(0,ROUND((INDEX($E836:$G836,W$5)-SUMIFS(TF_Timer,TF_Tekniker,W$4,TF_Dato,$A836))*2,0)/2)))</f>
        <v/>
      </c>
      <c r="X836">
        <f>IF(OR(X$4="",$A836&gt;TODAY()),0,IF(OR(INDEX($B836:$D836,X$5)="F",AND(X$6&gt;0,$A836&lt;X$6),AND(X$7&gt;0,$A836&gt;X$7)),0,MAX(0,ROUND((INDEX($E836:$G836,X$5)-SUMIFS(TF_Timer,TF_Tekniker,X$4,TF_Dato,$A836))*2,0)/2)))</f>
        <v/>
      </c>
      <c r="Y836">
        <f>IF(OR(Y$4="",$A836&gt;TODAY()),0,IF(OR(INDEX($B836:$D836,Y$5)="F",AND(Y$6&gt;0,$A836&lt;Y$6),AND(Y$7&gt;0,$A836&gt;Y$7)),0,MAX(0,ROUND((INDEX($E836:$G836,Y$5)-SUMIFS(TF_Timer,TF_Tekniker,Y$4,TF_Dato,$A836))*2,0)/2)))</f>
        <v/>
      </c>
      <c r="Z836">
        <f>IF(OR(Z$4="",$A836&gt;TODAY()),0,IF(OR(INDEX($B836:$D836,Z$5)="F",AND(Z$6&gt;0,$A836&lt;Z$6),AND(Z$7&gt;0,$A836&gt;Z$7)),0,MAX(0,ROUND((INDEX($E836:$G836,Z$5)-SUMIFS(TF_Timer,TF_Tekniker,Z$4,TF_Dato,$A836))*2,0)/2)))</f>
        <v/>
      </c>
      <c r="AA836">
        <f>IF(OR(AA$4="",$A836&gt;TODAY()),0,IF(OR(INDEX($B836:$D836,AA$5)="F",AND(AA$6&gt;0,$A836&lt;AA$6),AND(AA$7&gt;0,$A836&gt;AA$7)),0,MAX(0,ROUND((INDEX($E836:$G836,AA$5)-SUMIFS(TF_Timer,TF_Tekniker,AA$4,TF_Dato,$A836))*2,0)/2)))</f>
        <v/>
      </c>
      <c r="AB836">
        <f>IF(OR(AB$4="",$A836&gt;TODAY()),0,IF(OR(INDEX($B836:$D836,AB$5)="F",AND(AB$6&gt;0,$A836&lt;AB$6),AND(AB$7&gt;0,$A836&gt;AB$7)),0,MAX(0,ROUND((INDEX($E836:$G836,AB$5)-SUMIFS(TF_Timer,TF_Tekniker,AB$4,TF_Dato,$A836))*2,0)/2)))</f>
        <v/>
      </c>
      <c r="AC836">
        <f>IF(OR(AC$4="",$A836&gt;TODAY()),0,IF(OR(INDEX($B836:$D836,AC$5)="F",AND(AC$6&gt;0,$A836&lt;AC$6),AND(AC$7&gt;0,$A836&gt;AC$7)),0,MAX(0,ROUND((INDEX($E836:$G836,AC$5)-SUMIFS(TF_Timer,TF_Tekniker,AC$4,TF_Dato,$A836))*2,0)/2)))</f>
        <v/>
      </c>
      <c r="AD836">
        <f>IF(OR(AD$4="",$A836&gt;TODAY()),0,IF(OR(INDEX($B836:$D836,AD$5)="F",AND(AD$6&gt;0,$A836&lt;AD$6),AND(AD$7&gt;0,$A836&gt;AD$7)),0,MAX(0,ROUND((INDEX($E836:$G836,AD$5)-SUMIFS(TF_Timer,TF_Tekniker,AD$4,TF_Dato,$A836))*2,0)/2)))</f>
        <v/>
      </c>
      <c r="AE836">
        <f>IF(OR(AE$4="",$A836&gt;TODAY()),0,IF(OR(INDEX($B836:$D836,AE$5)="F",AND(AE$6&gt;0,$A836&lt;AE$6),AND(AE$7&gt;0,$A836&gt;AE$7)),0,MAX(0,ROUND((INDEX($E836:$G836,AE$5)-SUMIFS(TF_Timer,TF_Tekniker,AE$4,TF_Dato,$A836))*2,0)/2)))</f>
        <v/>
      </c>
      <c r="AF836">
        <f>IF(OR(AF$4="",$A836&gt;TODAY()),0,IF(OR(INDEX($B836:$D836,AF$5)="F",AND(AF$6&gt;0,$A836&lt;AF$6),AND(AF$7&gt;0,$A836&gt;AF$7)),0,MAX(0,ROUND((INDEX($E836:$G836,AF$5)-SUMIFS(TF_Timer,TF_Tekniker,AF$4,TF_Dato,$A836))*2,0)/2)))</f>
        <v/>
      </c>
      <c r="AG836">
        <f>IF(OR(AG$4="",$A836&gt;TODAY()),0,IF(OR(INDEX($B836:$D836,AG$5)="F",AND(AG$6&gt;0,$A836&lt;AG$6),AND(AG$7&gt;0,$A836&gt;AG$7)),0,MAX(0,ROUND((INDEX($E836:$G836,AG$5)-SUMIFS(TF_Timer,TF_Tekniker,AG$4,TF_Dato,$A836))*2,0)/2)))</f>
        <v/>
      </c>
      <c r="AH836">
        <f>IF(OR(AH$4="",$A836&gt;TODAY()),0,IF(OR(INDEX($B836:$D836,AH$5)="F",AND(AH$6&gt;0,$A836&lt;AH$6),AND(AH$7&gt;0,$A836&gt;AH$7)),0,MAX(0,ROUND((INDEX($E836:$G836,AH$5)-SUMIFS(TF_Timer,TF_Tekniker,AH$4,TF_Dato,$A836))*2,0)/2)))</f>
        <v/>
      </c>
      <c r="AI836">
        <f>IF(OR(AI$4="",$A836&gt;TODAY()),0,IF(OR(INDEX($B836:$D836,AI$5)="F",AND(AI$6&gt;0,$A836&lt;AI$6),AND(AI$7&gt;0,$A836&gt;AI$7)),0,MAX(0,ROUND((INDEX($E836:$G836,AI$5)-SUMIFS(TF_Timer,TF_Tekniker,AI$4,TF_Dato,$A836))*2,0)/2)))</f>
        <v/>
      </c>
      <c r="AJ836">
        <f>IF(OR(AJ$4="",$A836&gt;TODAY()),0,IF(OR(INDEX($B836:$D836,AJ$5)="F",AND(AJ$6&gt;0,$A836&lt;AJ$6),AND(AJ$7&gt;0,$A836&gt;AJ$7)),0,MAX(0,ROUND((INDEX($E836:$G836,AJ$5)-SUMIFS(TF_Timer,TF_Tekniker,AJ$4,TF_Dato,$A836))*2,0)/2)))</f>
        <v/>
      </c>
      <c r="AK836">
        <f>IF(OR(AK$4="",$A836&gt;TODAY()),0,IF(OR(INDEX($B836:$D836,AK$5)="F",AND(AK$6&gt;0,$A836&lt;AK$6),AND(AK$7&gt;0,$A836&gt;AK$7)),0,MAX(0,ROUND((INDEX($E836:$G836,AK$5)-SUMIFS(TF_Timer,TF_Tekniker,AK$4,TF_Dato,$A836))*2,0)/2)))</f>
        <v/>
      </c>
      <c r="AL836">
        <f>IF(OR(AL$4="",$A836&gt;TODAY()),0,IF(OR(INDEX($B836:$D836,AL$5)="F",AND(AL$6&gt;0,$A836&lt;AL$6),AND(AL$7&gt;0,$A836&gt;AL$7)),0,MAX(0,ROUND((INDEX($E836:$G836,AL$5)-SUMIFS(TF_Timer,TF_Tekniker,AL$4,TF_Dato,$A836))*2,0)/2)))</f>
        <v/>
      </c>
      <c r="AM836">
        <f>IF(OR(AM$4="",$A836&gt;TODAY()),0,IF(OR(INDEX($B836:$D836,AM$5)="F",AND(AM$6&gt;0,$A836&lt;AM$6),AND(AM$7&gt;0,$A836&gt;AM$7)),0,MAX(0,ROUND((INDEX($E836:$G836,AM$5)-SUMIFS(TF_Timer,TF_Tekniker,AM$4,TF_Dato,$A836))*2,0)/2)))</f>
        <v/>
      </c>
      <c r="AN836">
        <f>IF(OR(AN$4="",$A836&gt;TODAY()),0,IF(OR(INDEX($B836:$D836,AN$5)="F",AND(AN$6&gt;0,$A836&lt;AN$6),AND(AN$7&gt;0,$A836&gt;AN$7)),0,MAX(0,ROUND((INDEX($E836:$G836,AN$5)-SUMIFS(TF_Timer,TF_Tekniker,AN$4,TF_Dato,$A836))*2,0)/2)))</f>
        <v/>
      </c>
      <c r="AO836">
        <f>IF(OR(AO$4="",$A836&gt;TODAY()),0,IF(OR(INDEX($B836:$D836,AO$5)="F",AND(AO$6&gt;0,$A836&lt;AO$6),AND(AO$7&gt;0,$A836&gt;AO$7)),0,MAX(0,ROUND((INDEX($E836:$G836,AO$5)-SUMIFS(TF_Timer,TF_Tekniker,AO$4,TF_Dato,$A836))*2,0)/2)))</f>
        <v/>
      </c>
      <c r="AP836">
        <f>IF(OR(AP$4="",$A836&gt;TODAY()),0,IF(OR(INDEX($B836:$D836,AP$5)="F",AND(AP$6&gt;0,$A836&lt;AP$6),AND(AP$7&gt;0,$A836&gt;AP$7)),0,MAX(0,ROUND((INDEX($E836:$G836,AP$5)-SUMIFS(TF_Timer,TF_Tekniker,AP$4,TF_Dato,$A836))*2,0)/2)))</f>
        <v/>
      </c>
      <c r="AQ836">
        <f>IF(OR(AQ$4="",$A836&gt;TODAY()),0,IF(OR(INDEX($B836:$D836,AQ$5)="F",AND(AQ$6&gt;0,$A836&lt;AQ$6),AND(AQ$7&gt;0,$A836&gt;AQ$7)),0,MAX(0,ROUND((INDEX($E836:$G836,AQ$5)-SUMIFS(TF_Timer,TF_Tekniker,AQ$4,TF_Dato,$A836))*2,0)/2)))</f>
        <v/>
      </c>
      <c r="AR836">
        <f>IF(OR(AR$4="",$A836&gt;TODAY()),0,IF(OR(INDEX($B836:$D836,AR$5)="F",AND(AR$6&gt;0,$A836&lt;AR$6),AND(AR$7&gt;0,$A836&gt;AR$7)),0,MAX(0,ROUND((INDEX($E836:$G836,AR$5)-SUMIFS(TF_Timer,TF_Tekniker,AR$4,TF_Dato,$A836))*2,0)/2)))</f>
        <v/>
      </c>
      <c r="AS836">
        <f>IF(OR(AS$4="",$A836&gt;TODAY()),0,IF(OR(INDEX($B836:$D836,AS$5)="F",AND(AS$6&gt;0,$A836&lt;AS$6),AND(AS$7&gt;0,$A836&gt;AS$7)),0,MAX(0,ROUND((INDEX($E836:$G836,AS$5)-SUMIFS(TF_Timer,TF_Tekniker,AS$4,TF_Dato,$A836))*2,0)/2)))</f>
        <v/>
      </c>
      <c r="AT836">
        <f>IF(OR(AT$4="",$A836&gt;TODAY()),0,IF(OR(INDEX($B836:$D836,AT$5)="F",AND(AT$6&gt;0,$A836&lt;AT$6),AND(AT$7&gt;0,$A836&gt;AT$7)),0,MAX(0,ROUND((INDEX($E836:$G836,AT$5)-SUMIFS(TF_Timer,TF_Tekniker,AT$4,TF_Dato,$A836))*2,0)/2)))</f>
        <v/>
      </c>
      <c r="AU836">
        <f>IF(OR(AU$4="",$A836&gt;TODAY()),0,IF(OR(INDEX($B836:$D836,AU$5)="F",AND(AU$6&gt;0,$A836&lt;AU$6),AND(AU$7&gt;0,$A836&gt;AU$7)),0,MAX(0,ROUND((INDEX($E836:$G836,AU$5)-SUMIFS(TF_Timer,TF_Tekniker,AU$4,TF_Dato,$A836))*2,0)/2)))</f>
        <v/>
      </c>
      <c r="AV836">
        <f>IF(OR(AV$4="",$A836&gt;TODAY()),0,IF(OR(INDEX($B836:$D836,AV$5)="F",AND(AV$6&gt;0,$A836&lt;AV$6),AND(AV$7&gt;0,$A836&gt;AV$7)),0,MAX(0,ROUND((INDEX($E836:$G836,AV$5)-SUMIFS(TF_Timer,TF_Tekniker,AV$4,TF_Dato,$A836))*2,0)/2)))</f>
        <v/>
      </c>
      <c r="AW836">
        <f>IF(OR(AW$4="",$A836&gt;TODAY()),0,IF(OR(INDEX($B836:$D836,AW$5)="F",AND(AW$6&gt;0,$A836&lt;AW$6),AND(AW$7&gt;0,$A836&gt;AW$7)),0,MAX(0,ROUND((INDEX($E836:$G836,AW$5)-SUMIFS(TF_Timer,TF_Tekniker,AW$4,TF_Dato,$A836))*2,0)/2)))</f>
        <v/>
      </c>
      <c r="AX836">
        <f>IF(OR(AX$4="",$A836&gt;TODAY()),0,IF(OR(INDEX($B836:$D836,AX$5)="F",AND(AX$6&gt;0,$A836&lt;AX$6),AND(AX$7&gt;0,$A836&gt;AX$7)),0,MAX(0,ROUND((INDEX($E836:$G836,AX$5)-SUMIFS(TF_Timer,TF_Tekniker,AX$4,TF_Dato,$A836))*2,0)/2)))</f>
        <v/>
      </c>
      <c r="AY836">
        <f>IF(OR(AY$4="",$A836&gt;TODAY()),0,IF(OR(INDEX($B836:$D836,AY$5)="F",AND(AY$6&gt;0,$A836&lt;AY$6),AND(AY$7&gt;0,$A836&gt;AY$7)),0,MAX(0,ROUND((INDEX($E836:$G836,AY$5)-SUMIFS(TF_Timer,TF_Tekniker,AY$4,TF_Dato,$A836))*2,0)/2)))</f>
        <v/>
      </c>
      <c r="AZ836">
        <f>IF(OR(AZ$4="",$A836&gt;TODAY()),0,IF(OR(INDEX($B836:$D836,AZ$5)="F",AND(AZ$6&gt;0,$A836&lt;AZ$6),AND(AZ$7&gt;0,$A836&gt;AZ$7)),0,MAX(0,ROUND((INDEX($E836:$G836,AZ$5)-SUMIFS(TF_Timer,TF_Tekniker,AZ$4,TF_Dato,$A836))*2,0)/2)))</f>
        <v/>
      </c>
      <c r="BA836">
        <f>IF(OR(BA$4="",$A836&gt;TODAY()),0,IF(OR(INDEX($B836:$D836,BA$5)="F",AND(BA$6&gt;0,$A836&lt;BA$6),AND(BA$7&gt;0,$A836&gt;BA$7)),0,MAX(0,ROUND((INDEX($E836:$G836,BA$5)-SUMIFS(TF_Timer,TF_Tekniker,BA$4,TF_Dato,$A836))*2,0)/2)))</f>
        <v/>
      </c>
      <c r="BB836">
        <f>IF(OR(BB$4="",$A836&gt;TODAY()),0,IF(OR(INDEX($B836:$D836,BB$5)="F",AND(BB$6&gt;0,$A836&lt;BB$6),AND(BB$7&gt;0,$A836&gt;BB$7)),0,MAX(0,ROUND((INDEX($E836:$G836,BB$5)-SUMIFS(TF_Timer,TF_Tekniker,BB$4,TF_Dato,$A836))*2,0)/2)))</f>
        <v/>
      </c>
      <c r="BC836">
        <f>IF(OR(BC$4="",$A836&gt;TODAY()),0,IF(OR(INDEX($B836:$D836,BC$5)="F",AND(BC$6&gt;0,$A836&lt;BC$6),AND(BC$7&gt;0,$A836&gt;BC$7)),0,MAX(0,ROUND((INDEX($E836:$G836,BC$5)-SUMIFS(TF_Timer,TF_Tekniker,BC$4,TF_Dato,$A836))*2,0)/2)))</f>
        <v/>
      </c>
      <c r="BD836">
        <f>IF(OR(BD$4="",$A836&gt;TODAY()),0,IF(OR(INDEX($B836:$D836,BD$5)="F",AND(BD$6&gt;0,$A836&lt;BD$6),AND(BD$7&gt;0,$A836&gt;BD$7)),0,MAX(0,ROUND((INDEX($E836:$G836,BD$5)-SUMIFS(TF_Timer,TF_Tekniker,BD$4,TF_Dato,$A836))*2,0)/2)))</f>
        <v/>
      </c>
      <c r="BE836">
        <f>IF(OR(BE$4="",$A836&gt;TODAY()),0,IF(OR(INDEX($B836:$D836,BE$5)="F",AND(BE$6&gt;0,$A836&lt;BE$6),AND(BE$7&gt;0,$A836&gt;BE$7)),0,MAX(0,ROUND((INDEX($E836:$G836,BE$5)-SUMIFS(TF_Timer,TF_Tekniker,BE$4,TF_Dato,$A836))*2,0)/2)))</f>
        <v/>
      </c>
      <c r="BF836">
        <f>IF(OR(BF$4="",$A836&gt;TODAY()),0,IF(OR(INDEX($B836:$D836,BF$5)="F",AND(BF$6&gt;0,$A836&lt;BF$6),AND(BF$7&gt;0,$A836&gt;BF$7)),0,MAX(0,ROUND((INDEX($E836:$G836,BF$5)-SUMIFS(TF_Timer,TF_Tekniker,BF$4,TF_Dato,$A836))*2,0)/2)))</f>
        <v/>
      </c>
      <c r="BG836">
        <f>IF(OR(BG$4="",$A836&gt;TODAY()),0,IF(OR(INDEX($B836:$D836,BG$5)="F",AND(BG$6&gt;0,$A836&lt;BG$6),AND(BG$7&gt;0,$A836&gt;BG$7)),0,MAX(0,ROUND((INDEX($E836:$G836,BG$5)-SUMIFS(TF_Timer,TF_Tekniker,BG$4,TF_Dato,$A836))*2,0)/2)))</f>
        <v/>
      </c>
      <c r="BH836">
        <f>IF(OR(BH$4="",$A836&gt;TODAY()),0,IF(OR(INDEX($B836:$D836,BH$5)="F",AND(BH$6&gt;0,$A836&lt;BH$6),AND(BH$7&gt;0,$A836&gt;BH$7)),0,MAX(0,ROUND((INDEX($E836:$G836,BH$5)-SUMIFS(TF_Timer,TF_Tekniker,BH$4,TF_Dato,$A836))*2,0)/2)))</f>
        <v/>
      </c>
      <c r="BI836">
        <f>IF(OR(BI$4="",$A836&gt;TODAY()),0,IF(OR(INDEX($B836:$D836,BI$5)="F",AND(BI$6&gt;0,$A836&lt;BI$6),AND(BI$7&gt;0,$A836&gt;BI$7)),0,MAX(0,ROUND((INDEX($E836:$G836,BI$5)-SUMIFS(TF_Timer,TF_Tekniker,BI$4,TF_Dato,$A836))*2,0)/2)))</f>
        <v/>
      </c>
    </row>
    <row r="837">
      <c r="A837" s="64">
        <f>A836+1</f>
        <v/>
      </c>
      <c r="B837">
        <f>IF(MOD($A837-INDEX(SkiftStart,1),Syklus)&lt;DagK,"K",IF(MOD($A837-INDEX(SkiftStart,1),Syklus)&lt;DagK+DagH,"H",IF(MOD($A837-INDEX(SkiftStart,1),Syklus)&lt;DagK+DagH+DagD,"D","F")))</f>
        <v/>
      </c>
      <c r="C837">
        <f>IF(MOD($A837-INDEX(SkiftStart,2),Syklus)&lt;DagK,"K",IF(MOD($A837-INDEX(SkiftStart,2),Syklus)&lt;DagK+DagH,"H",IF(MOD($A837-INDEX(SkiftStart,2),Syklus)&lt;DagK+DagH+DagD,"D","F")))</f>
        <v/>
      </c>
      <c r="D837">
        <f>IF(MOD($A837-INDEX(SkiftStart,3),Syklus)&lt;DagK,"K",IF(MOD($A837-INDEX(SkiftStart,3),Syklus)&lt;DagK+DagH,"H",IF(MOD($A837-INDEX(SkiftStart,3),Syklus)&lt;DagK+DagH+DagD,"D","F")))</f>
        <v/>
      </c>
      <c r="E837">
        <f>IF(B837="F",0,IF(WEEKDAY($A837,2)=5,INDEX(TimerFr,MATCH(B837,FaseKode,0)),INDEX(TimerMT,MATCH(B837,FaseKode,0))))</f>
        <v/>
      </c>
      <c r="F837">
        <f>IF(C837="F",0,IF(WEEKDAY($A837,2)=5,INDEX(TimerFr,MATCH(C837,FaseKode,0)),INDEX(TimerMT,MATCH(C837,FaseKode,0))))</f>
        <v/>
      </c>
      <c r="G837">
        <f>IF(D837="F",0,IF(WEEKDAY($A837,2)=5,INDEX(TimerFr,MATCH(D837,FaseKode,0)),INDEX(TimerMT,MATCH(D837,FaseKode,0))))</f>
        <v/>
      </c>
      <c r="H837">
        <f>IF(OR(H$4="",$A837&gt;TODAY()),0,IF(OR(INDEX($B837:$D837,H$5)="F",AND(H$6&gt;0,$A837&lt;H$6),AND(H$7&gt;0,$A837&gt;H$7)),0,MAX(0,ROUND((INDEX($E837:$G837,H$5)-SUMIFS(TF_Timer,TF_Tekniker,H$4,TF_Dato,$A837))*2,0)/2)))</f>
        <v/>
      </c>
      <c r="I837">
        <f>IF(OR(I$4="",$A837&gt;TODAY()),0,IF(OR(INDEX($B837:$D837,I$5)="F",AND(I$6&gt;0,$A837&lt;I$6),AND(I$7&gt;0,$A837&gt;I$7)),0,MAX(0,ROUND((INDEX($E837:$G837,I$5)-SUMIFS(TF_Timer,TF_Tekniker,I$4,TF_Dato,$A837))*2,0)/2)))</f>
        <v/>
      </c>
      <c r="J837">
        <f>IF(OR(J$4="",$A837&gt;TODAY()),0,IF(OR(INDEX($B837:$D837,J$5)="F",AND(J$6&gt;0,$A837&lt;J$6),AND(J$7&gt;0,$A837&gt;J$7)),0,MAX(0,ROUND((INDEX($E837:$G837,J$5)-SUMIFS(TF_Timer,TF_Tekniker,J$4,TF_Dato,$A837))*2,0)/2)))</f>
        <v/>
      </c>
      <c r="K837">
        <f>IF(OR(K$4="",$A837&gt;TODAY()),0,IF(OR(INDEX($B837:$D837,K$5)="F",AND(K$6&gt;0,$A837&lt;K$6),AND(K$7&gt;0,$A837&gt;K$7)),0,MAX(0,ROUND((INDEX($E837:$G837,K$5)-SUMIFS(TF_Timer,TF_Tekniker,K$4,TF_Dato,$A837))*2,0)/2)))</f>
        <v/>
      </c>
      <c r="L837">
        <f>IF(OR(L$4="",$A837&gt;TODAY()),0,IF(OR(INDEX($B837:$D837,L$5)="F",AND(L$6&gt;0,$A837&lt;L$6),AND(L$7&gt;0,$A837&gt;L$7)),0,MAX(0,ROUND((INDEX($E837:$G837,L$5)-SUMIFS(TF_Timer,TF_Tekniker,L$4,TF_Dato,$A837))*2,0)/2)))</f>
        <v/>
      </c>
      <c r="M837">
        <f>IF(OR(M$4="",$A837&gt;TODAY()),0,IF(OR(INDEX($B837:$D837,M$5)="F",AND(M$6&gt;0,$A837&lt;M$6),AND(M$7&gt;0,$A837&gt;M$7)),0,MAX(0,ROUND((INDEX($E837:$G837,M$5)-SUMIFS(TF_Timer,TF_Tekniker,M$4,TF_Dato,$A837))*2,0)/2)))</f>
        <v/>
      </c>
      <c r="N837">
        <f>IF(OR(N$4="",$A837&gt;TODAY()),0,IF(OR(INDEX($B837:$D837,N$5)="F",AND(N$6&gt;0,$A837&lt;N$6),AND(N$7&gt;0,$A837&gt;N$7)),0,MAX(0,ROUND((INDEX($E837:$G837,N$5)-SUMIFS(TF_Timer,TF_Tekniker,N$4,TF_Dato,$A837))*2,0)/2)))</f>
        <v/>
      </c>
      <c r="O837">
        <f>IF(OR(O$4="",$A837&gt;TODAY()),0,IF(OR(INDEX($B837:$D837,O$5)="F",AND(O$6&gt;0,$A837&lt;O$6),AND(O$7&gt;0,$A837&gt;O$7)),0,MAX(0,ROUND((INDEX($E837:$G837,O$5)-SUMIFS(TF_Timer,TF_Tekniker,O$4,TF_Dato,$A837))*2,0)/2)))</f>
        <v/>
      </c>
      <c r="P837">
        <f>IF(OR(P$4="",$A837&gt;TODAY()),0,IF(OR(INDEX($B837:$D837,P$5)="F",AND(P$6&gt;0,$A837&lt;P$6),AND(P$7&gt;0,$A837&gt;P$7)),0,MAX(0,ROUND((INDEX($E837:$G837,P$5)-SUMIFS(TF_Timer,TF_Tekniker,P$4,TF_Dato,$A837))*2,0)/2)))</f>
        <v/>
      </c>
      <c r="Q837">
        <f>IF(OR(Q$4="",$A837&gt;TODAY()),0,IF(OR(INDEX($B837:$D837,Q$5)="F",AND(Q$6&gt;0,$A837&lt;Q$6),AND(Q$7&gt;0,$A837&gt;Q$7)),0,MAX(0,ROUND((INDEX($E837:$G837,Q$5)-SUMIFS(TF_Timer,TF_Tekniker,Q$4,TF_Dato,$A837))*2,0)/2)))</f>
        <v/>
      </c>
      <c r="R837">
        <f>IF(OR(R$4="",$A837&gt;TODAY()),0,IF(OR(INDEX($B837:$D837,R$5)="F",AND(R$6&gt;0,$A837&lt;R$6),AND(R$7&gt;0,$A837&gt;R$7)),0,MAX(0,ROUND((INDEX($E837:$G837,R$5)-SUMIFS(TF_Timer,TF_Tekniker,R$4,TF_Dato,$A837))*2,0)/2)))</f>
        <v/>
      </c>
      <c r="S837">
        <f>IF(OR(S$4="",$A837&gt;TODAY()),0,IF(OR(INDEX($B837:$D837,S$5)="F",AND(S$6&gt;0,$A837&lt;S$6),AND(S$7&gt;0,$A837&gt;S$7)),0,MAX(0,ROUND((INDEX($E837:$G837,S$5)-SUMIFS(TF_Timer,TF_Tekniker,S$4,TF_Dato,$A837))*2,0)/2)))</f>
        <v/>
      </c>
      <c r="T837">
        <f>IF(OR(T$4="",$A837&gt;TODAY()),0,IF(OR(INDEX($B837:$D837,T$5)="F",AND(T$6&gt;0,$A837&lt;T$6),AND(T$7&gt;0,$A837&gt;T$7)),0,MAX(0,ROUND((INDEX($E837:$G837,T$5)-SUMIFS(TF_Timer,TF_Tekniker,T$4,TF_Dato,$A837))*2,0)/2)))</f>
        <v/>
      </c>
      <c r="U837">
        <f>IF(OR(U$4="",$A837&gt;TODAY()),0,IF(OR(INDEX($B837:$D837,U$5)="F",AND(U$6&gt;0,$A837&lt;U$6),AND(U$7&gt;0,$A837&gt;U$7)),0,MAX(0,ROUND((INDEX($E837:$G837,U$5)-SUMIFS(TF_Timer,TF_Tekniker,U$4,TF_Dato,$A837))*2,0)/2)))</f>
        <v/>
      </c>
      <c r="V837">
        <f>IF(OR(V$4="",$A837&gt;TODAY()),0,IF(OR(INDEX($B837:$D837,V$5)="F",AND(V$6&gt;0,$A837&lt;V$6),AND(V$7&gt;0,$A837&gt;V$7)),0,MAX(0,ROUND((INDEX($E837:$G837,V$5)-SUMIFS(TF_Timer,TF_Tekniker,V$4,TF_Dato,$A837))*2,0)/2)))</f>
        <v/>
      </c>
      <c r="W837">
        <f>IF(OR(W$4="",$A837&gt;TODAY()),0,IF(OR(INDEX($B837:$D837,W$5)="F",AND(W$6&gt;0,$A837&lt;W$6),AND(W$7&gt;0,$A837&gt;W$7)),0,MAX(0,ROUND((INDEX($E837:$G837,W$5)-SUMIFS(TF_Timer,TF_Tekniker,W$4,TF_Dato,$A837))*2,0)/2)))</f>
        <v/>
      </c>
      <c r="X837">
        <f>IF(OR(X$4="",$A837&gt;TODAY()),0,IF(OR(INDEX($B837:$D837,X$5)="F",AND(X$6&gt;0,$A837&lt;X$6),AND(X$7&gt;0,$A837&gt;X$7)),0,MAX(0,ROUND((INDEX($E837:$G837,X$5)-SUMIFS(TF_Timer,TF_Tekniker,X$4,TF_Dato,$A837))*2,0)/2)))</f>
        <v/>
      </c>
      <c r="Y837">
        <f>IF(OR(Y$4="",$A837&gt;TODAY()),0,IF(OR(INDEX($B837:$D837,Y$5)="F",AND(Y$6&gt;0,$A837&lt;Y$6),AND(Y$7&gt;0,$A837&gt;Y$7)),0,MAX(0,ROUND((INDEX($E837:$G837,Y$5)-SUMIFS(TF_Timer,TF_Tekniker,Y$4,TF_Dato,$A837))*2,0)/2)))</f>
        <v/>
      </c>
      <c r="Z837">
        <f>IF(OR(Z$4="",$A837&gt;TODAY()),0,IF(OR(INDEX($B837:$D837,Z$5)="F",AND(Z$6&gt;0,$A837&lt;Z$6),AND(Z$7&gt;0,$A837&gt;Z$7)),0,MAX(0,ROUND((INDEX($E837:$G837,Z$5)-SUMIFS(TF_Timer,TF_Tekniker,Z$4,TF_Dato,$A837))*2,0)/2)))</f>
        <v/>
      </c>
      <c r="AA837">
        <f>IF(OR(AA$4="",$A837&gt;TODAY()),0,IF(OR(INDEX($B837:$D837,AA$5)="F",AND(AA$6&gt;0,$A837&lt;AA$6),AND(AA$7&gt;0,$A837&gt;AA$7)),0,MAX(0,ROUND((INDEX($E837:$G837,AA$5)-SUMIFS(TF_Timer,TF_Tekniker,AA$4,TF_Dato,$A837))*2,0)/2)))</f>
        <v/>
      </c>
      <c r="AB837">
        <f>IF(OR(AB$4="",$A837&gt;TODAY()),0,IF(OR(INDEX($B837:$D837,AB$5)="F",AND(AB$6&gt;0,$A837&lt;AB$6),AND(AB$7&gt;0,$A837&gt;AB$7)),0,MAX(0,ROUND((INDEX($E837:$G837,AB$5)-SUMIFS(TF_Timer,TF_Tekniker,AB$4,TF_Dato,$A837))*2,0)/2)))</f>
        <v/>
      </c>
      <c r="AC837">
        <f>IF(OR(AC$4="",$A837&gt;TODAY()),0,IF(OR(INDEX($B837:$D837,AC$5)="F",AND(AC$6&gt;0,$A837&lt;AC$6),AND(AC$7&gt;0,$A837&gt;AC$7)),0,MAX(0,ROUND((INDEX($E837:$G837,AC$5)-SUMIFS(TF_Timer,TF_Tekniker,AC$4,TF_Dato,$A837))*2,0)/2)))</f>
        <v/>
      </c>
      <c r="AD837">
        <f>IF(OR(AD$4="",$A837&gt;TODAY()),0,IF(OR(INDEX($B837:$D837,AD$5)="F",AND(AD$6&gt;0,$A837&lt;AD$6),AND(AD$7&gt;0,$A837&gt;AD$7)),0,MAX(0,ROUND((INDEX($E837:$G837,AD$5)-SUMIFS(TF_Timer,TF_Tekniker,AD$4,TF_Dato,$A837))*2,0)/2)))</f>
        <v/>
      </c>
      <c r="AE837">
        <f>IF(OR(AE$4="",$A837&gt;TODAY()),0,IF(OR(INDEX($B837:$D837,AE$5)="F",AND(AE$6&gt;0,$A837&lt;AE$6),AND(AE$7&gt;0,$A837&gt;AE$7)),0,MAX(0,ROUND((INDEX($E837:$G837,AE$5)-SUMIFS(TF_Timer,TF_Tekniker,AE$4,TF_Dato,$A837))*2,0)/2)))</f>
        <v/>
      </c>
      <c r="AF837">
        <f>IF(OR(AF$4="",$A837&gt;TODAY()),0,IF(OR(INDEX($B837:$D837,AF$5)="F",AND(AF$6&gt;0,$A837&lt;AF$6),AND(AF$7&gt;0,$A837&gt;AF$7)),0,MAX(0,ROUND((INDEX($E837:$G837,AF$5)-SUMIFS(TF_Timer,TF_Tekniker,AF$4,TF_Dato,$A837))*2,0)/2)))</f>
        <v/>
      </c>
      <c r="AG837">
        <f>IF(OR(AG$4="",$A837&gt;TODAY()),0,IF(OR(INDEX($B837:$D837,AG$5)="F",AND(AG$6&gt;0,$A837&lt;AG$6),AND(AG$7&gt;0,$A837&gt;AG$7)),0,MAX(0,ROUND((INDEX($E837:$G837,AG$5)-SUMIFS(TF_Timer,TF_Tekniker,AG$4,TF_Dato,$A837))*2,0)/2)))</f>
        <v/>
      </c>
      <c r="AH837">
        <f>IF(OR(AH$4="",$A837&gt;TODAY()),0,IF(OR(INDEX($B837:$D837,AH$5)="F",AND(AH$6&gt;0,$A837&lt;AH$6),AND(AH$7&gt;0,$A837&gt;AH$7)),0,MAX(0,ROUND((INDEX($E837:$G837,AH$5)-SUMIFS(TF_Timer,TF_Tekniker,AH$4,TF_Dato,$A837))*2,0)/2)))</f>
        <v/>
      </c>
      <c r="AI837">
        <f>IF(OR(AI$4="",$A837&gt;TODAY()),0,IF(OR(INDEX($B837:$D837,AI$5)="F",AND(AI$6&gt;0,$A837&lt;AI$6),AND(AI$7&gt;0,$A837&gt;AI$7)),0,MAX(0,ROUND((INDEX($E837:$G837,AI$5)-SUMIFS(TF_Timer,TF_Tekniker,AI$4,TF_Dato,$A837))*2,0)/2)))</f>
        <v/>
      </c>
      <c r="AJ837">
        <f>IF(OR(AJ$4="",$A837&gt;TODAY()),0,IF(OR(INDEX($B837:$D837,AJ$5)="F",AND(AJ$6&gt;0,$A837&lt;AJ$6),AND(AJ$7&gt;0,$A837&gt;AJ$7)),0,MAX(0,ROUND((INDEX($E837:$G837,AJ$5)-SUMIFS(TF_Timer,TF_Tekniker,AJ$4,TF_Dato,$A837))*2,0)/2)))</f>
        <v/>
      </c>
      <c r="AK837">
        <f>IF(OR(AK$4="",$A837&gt;TODAY()),0,IF(OR(INDEX($B837:$D837,AK$5)="F",AND(AK$6&gt;0,$A837&lt;AK$6),AND(AK$7&gt;0,$A837&gt;AK$7)),0,MAX(0,ROUND((INDEX($E837:$G837,AK$5)-SUMIFS(TF_Timer,TF_Tekniker,AK$4,TF_Dato,$A837))*2,0)/2)))</f>
        <v/>
      </c>
      <c r="AL837">
        <f>IF(OR(AL$4="",$A837&gt;TODAY()),0,IF(OR(INDEX($B837:$D837,AL$5)="F",AND(AL$6&gt;0,$A837&lt;AL$6),AND(AL$7&gt;0,$A837&gt;AL$7)),0,MAX(0,ROUND((INDEX($E837:$G837,AL$5)-SUMIFS(TF_Timer,TF_Tekniker,AL$4,TF_Dato,$A837))*2,0)/2)))</f>
        <v/>
      </c>
      <c r="AM837">
        <f>IF(OR(AM$4="",$A837&gt;TODAY()),0,IF(OR(INDEX($B837:$D837,AM$5)="F",AND(AM$6&gt;0,$A837&lt;AM$6),AND(AM$7&gt;0,$A837&gt;AM$7)),0,MAX(0,ROUND((INDEX($E837:$G837,AM$5)-SUMIFS(TF_Timer,TF_Tekniker,AM$4,TF_Dato,$A837))*2,0)/2)))</f>
        <v/>
      </c>
      <c r="AN837">
        <f>IF(OR(AN$4="",$A837&gt;TODAY()),0,IF(OR(INDEX($B837:$D837,AN$5)="F",AND(AN$6&gt;0,$A837&lt;AN$6),AND(AN$7&gt;0,$A837&gt;AN$7)),0,MAX(0,ROUND((INDEX($E837:$G837,AN$5)-SUMIFS(TF_Timer,TF_Tekniker,AN$4,TF_Dato,$A837))*2,0)/2)))</f>
        <v/>
      </c>
      <c r="AO837">
        <f>IF(OR(AO$4="",$A837&gt;TODAY()),0,IF(OR(INDEX($B837:$D837,AO$5)="F",AND(AO$6&gt;0,$A837&lt;AO$6),AND(AO$7&gt;0,$A837&gt;AO$7)),0,MAX(0,ROUND((INDEX($E837:$G837,AO$5)-SUMIFS(TF_Timer,TF_Tekniker,AO$4,TF_Dato,$A837))*2,0)/2)))</f>
        <v/>
      </c>
      <c r="AP837">
        <f>IF(OR(AP$4="",$A837&gt;TODAY()),0,IF(OR(INDEX($B837:$D837,AP$5)="F",AND(AP$6&gt;0,$A837&lt;AP$6),AND(AP$7&gt;0,$A837&gt;AP$7)),0,MAX(0,ROUND((INDEX($E837:$G837,AP$5)-SUMIFS(TF_Timer,TF_Tekniker,AP$4,TF_Dato,$A837))*2,0)/2)))</f>
        <v/>
      </c>
      <c r="AQ837">
        <f>IF(OR(AQ$4="",$A837&gt;TODAY()),0,IF(OR(INDEX($B837:$D837,AQ$5)="F",AND(AQ$6&gt;0,$A837&lt;AQ$6),AND(AQ$7&gt;0,$A837&gt;AQ$7)),0,MAX(0,ROUND((INDEX($E837:$G837,AQ$5)-SUMIFS(TF_Timer,TF_Tekniker,AQ$4,TF_Dato,$A837))*2,0)/2)))</f>
        <v/>
      </c>
      <c r="AR837">
        <f>IF(OR(AR$4="",$A837&gt;TODAY()),0,IF(OR(INDEX($B837:$D837,AR$5)="F",AND(AR$6&gt;0,$A837&lt;AR$6),AND(AR$7&gt;0,$A837&gt;AR$7)),0,MAX(0,ROUND((INDEX($E837:$G837,AR$5)-SUMIFS(TF_Timer,TF_Tekniker,AR$4,TF_Dato,$A837))*2,0)/2)))</f>
        <v/>
      </c>
      <c r="AS837">
        <f>IF(OR(AS$4="",$A837&gt;TODAY()),0,IF(OR(INDEX($B837:$D837,AS$5)="F",AND(AS$6&gt;0,$A837&lt;AS$6),AND(AS$7&gt;0,$A837&gt;AS$7)),0,MAX(0,ROUND((INDEX($E837:$G837,AS$5)-SUMIFS(TF_Timer,TF_Tekniker,AS$4,TF_Dato,$A837))*2,0)/2)))</f>
        <v/>
      </c>
      <c r="AT837">
        <f>IF(OR(AT$4="",$A837&gt;TODAY()),0,IF(OR(INDEX($B837:$D837,AT$5)="F",AND(AT$6&gt;0,$A837&lt;AT$6),AND(AT$7&gt;0,$A837&gt;AT$7)),0,MAX(0,ROUND((INDEX($E837:$G837,AT$5)-SUMIFS(TF_Timer,TF_Tekniker,AT$4,TF_Dato,$A837))*2,0)/2)))</f>
        <v/>
      </c>
      <c r="AU837">
        <f>IF(OR(AU$4="",$A837&gt;TODAY()),0,IF(OR(INDEX($B837:$D837,AU$5)="F",AND(AU$6&gt;0,$A837&lt;AU$6),AND(AU$7&gt;0,$A837&gt;AU$7)),0,MAX(0,ROUND((INDEX($E837:$G837,AU$5)-SUMIFS(TF_Timer,TF_Tekniker,AU$4,TF_Dato,$A837))*2,0)/2)))</f>
        <v/>
      </c>
      <c r="AV837">
        <f>IF(OR(AV$4="",$A837&gt;TODAY()),0,IF(OR(INDEX($B837:$D837,AV$5)="F",AND(AV$6&gt;0,$A837&lt;AV$6),AND(AV$7&gt;0,$A837&gt;AV$7)),0,MAX(0,ROUND((INDEX($E837:$G837,AV$5)-SUMIFS(TF_Timer,TF_Tekniker,AV$4,TF_Dato,$A837))*2,0)/2)))</f>
        <v/>
      </c>
      <c r="AW837">
        <f>IF(OR(AW$4="",$A837&gt;TODAY()),0,IF(OR(INDEX($B837:$D837,AW$5)="F",AND(AW$6&gt;0,$A837&lt;AW$6),AND(AW$7&gt;0,$A837&gt;AW$7)),0,MAX(0,ROUND((INDEX($E837:$G837,AW$5)-SUMIFS(TF_Timer,TF_Tekniker,AW$4,TF_Dato,$A837))*2,0)/2)))</f>
        <v/>
      </c>
      <c r="AX837">
        <f>IF(OR(AX$4="",$A837&gt;TODAY()),0,IF(OR(INDEX($B837:$D837,AX$5)="F",AND(AX$6&gt;0,$A837&lt;AX$6),AND(AX$7&gt;0,$A837&gt;AX$7)),0,MAX(0,ROUND((INDEX($E837:$G837,AX$5)-SUMIFS(TF_Timer,TF_Tekniker,AX$4,TF_Dato,$A837))*2,0)/2)))</f>
        <v/>
      </c>
      <c r="AY837">
        <f>IF(OR(AY$4="",$A837&gt;TODAY()),0,IF(OR(INDEX($B837:$D837,AY$5)="F",AND(AY$6&gt;0,$A837&lt;AY$6),AND(AY$7&gt;0,$A837&gt;AY$7)),0,MAX(0,ROUND((INDEX($E837:$G837,AY$5)-SUMIFS(TF_Timer,TF_Tekniker,AY$4,TF_Dato,$A837))*2,0)/2)))</f>
        <v/>
      </c>
      <c r="AZ837">
        <f>IF(OR(AZ$4="",$A837&gt;TODAY()),0,IF(OR(INDEX($B837:$D837,AZ$5)="F",AND(AZ$6&gt;0,$A837&lt;AZ$6),AND(AZ$7&gt;0,$A837&gt;AZ$7)),0,MAX(0,ROUND((INDEX($E837:$G837,AZ$5)-SUMIFS(TF_Timer,TF_Tekniker,AZ$4,TF_Dato,$A837))*2,0)/2)))</f>
        <v/>
      </c>
      <c r="BA837">
        <f>IF(OR(BA$4="",$A837&gt;TODAY()),0,IF(OR(INDEX($B837:$D837,BA$5)="F",AND(BA$6&gt;0,$A837&lt;BA$6),AND(BA$7&gt;0,$A837&gt;BA$7)),0,MAX(0,ROUND((INDEX($E837:$G837,BA$5)-SUMIFS(TF_Timer,TF_Tekniker,BA$4,TF_Dato,$A837))*2,0)/2)))</f>
        <v/>
      </c>
      <c r="BB837">
        <f>IF(OR(BB$4="",$A837&gt;TODAY()),0,IF(OR(INDEX($B837:$D837,BB$5)="F",AND(BB$6&gt;0,$A837&lt;BB$6),AND(BB$7&gt;0,$A837&gt;BB$7)),0,MAX(0,ROUND((INDEX($E837:$G837,BB$5)-SUMIFS(TF_Timer,TF_Tekniker,BB$4,TF_Dato,$A837))*2,0)/2)))</f>
        <v/>
      </c>
      <c r="BC837">
        <f>IF(OR(BC$4="",$A837&gt;TODAY()),0,IF(OR(INDEX($B837:$D837,BC$5)="F",AND(BC$6&gt;0,$A837&lt;BC$6),AND(BC$7&gt;0,$A837&gt;BC$7)),0,MAX(0,ROUND((INDEX($E837:$G837,BC$5)-SUMIFS(TF_Timer,TF_Tekniker,BC$4,TF_Dato,$A837))*2,0)/2)))</f>
        <v/>
      </c>
      <c r="BD837">
        <f>IF(OR(BD$4="",$A837&gt;TODAY()),0,IF(OR(INDEX($B837:$D837,BD$5)="F",AND(BD$6&gt;0,$A837&lt;BD$6),AND(BD$7&gt;0,$A837&gt;BD$7)),0,MAX(0,ROUND((INDEX($E837:$G837,BD$5)-SUMIFS(TF_Timer,TF_Tekniker,BD$4,TF_Dato,$A837))*2,0)/2)))</f>
        <v/>
      </c>
      <c r="BE837">
        <f>IF(OR(BE$4="",$A837&gt;TODAY()),0,IF(OR(INDEX($B837:$D837,BE$5)="F",AND(BE$6&gt;0,$A837&lt;BE$6),AND(BE$7&gt;0,$A837&gt;BE$7)),0,MAX(0,ROUND((INDEX($E837:$G837,BE$5)-SUMIFS(TF_Timer,TF_Tekniker,BE$4,TF_Dato,$A837))*2,0)/2)))</f>
        <v/>
      </c>
      <c r="BF837">
        <f>IF(OR(BF$4="",$A837&gt;TODAY()),0,IF(OR(INDEX($B837:$D837,BF$5)="F",AND(BF$6&gt;0,$A837&lt;BF$6),AND(BF$7&gt;0,$A837&gt;BF$7)),0,MAX(0,ROUND((INDEX($E837:$G837,BF$5)-SUMIFS(TF_Timer,TF_Tekniker,BF$4,TF_Dato,$A837))*2,0)/2)))</f>
        <v/>
      </c>
      <c r="BG837">
        <f>IF(OR(BG$4="",$A837&gt;TODAY()),0,IF(OR(INDEX($B837:$D837,BG$5)="F",AND(BG$6&gt;0,$A837&lt;BG$6),AND(BG$7&gt;0,$A837&gt;BG$7)),0,MAX(0,ROUND((INDEX($E837:$G837,BG$5)-SUMIFS(TF_Timer,TF_Tekniker,BG$4,TF_Dato,$A837))*2,0)/2)))</f>
        <v/>
      </c>
      <c r="BH837">
        <f>IF(OR(BH$4="",$A837&gt;TODAY()),0,IF(OR(INDEX($B837:$D837,BH$5)="F",AND(BH$6&gt;0,$A837&lt;BH$6),AND(BH$7&gt;0,$A837&gt;BH$7)),0,MAX(0,ROUND((INDEX($E837:$G837,BH$5)-SUMIFS(TF_Timer,TF_Tekniker,BH$4,TF_Dato,$A837))*2,0)/2)))</f>
        <v/>
      </c>
      <c r="BI837">
        <f>IF(OR(BI$4="",$A837&gt;TODAY()),0,IF(OR(INDEX($B837:$D837,BI$5)="F",AND(BI$6&gt;0,$A837&lt;BI$6),AND(BI$7&gt;0,$A837&gt;BI$7)),0,MAX(0,ROUND((INDEX($E837:$G837,BI$5)-SUMIFS(TF_Timer,TF_Tekniker,BI$4,TF_Dato,$A837))*2,0)/2)))</f>
        <v/>
      </c>
    </row>
    <row r="838">
      <c r="A838" s="64">
        <f>A837+1</f>
        <v/>
      </c>
      <c r="B838">
        <f>IF(MOD($A838-INDEX(SkiftStart,1),Syklus)&lt;DagK,"K",IF(MOD($A838-INDEX(SkiftStart,1),Syklus)&lt;DagK+DagH,"H",IF(MOD($A838-INDEX(SkiftStart,1),Syklus)&lt;DagK+DagH+DagD,"D","F")))</f>
        <v/>
      </c>
      <c r="C838">
        <f>IF(MOD($A838-INDEX(SkiftStart,2),Syklus)&lt;DagK,"K",IF(MOD($A838-INDEX(SkiftStart,2),Syklus)&lt;DagK+DagH,"H",IF(MOD($A838-INDEX(SkiftStart,2),Syklus)&lt;DagK+DagH+DagD,"D","F")))</f>
        <v/>
      </c>
      <c r="D838">
        <f>IF(MOD($A838-INDEX(SkiftStart,3),Syklus)&lt;DagK,"K",IF(MOD($A838-INDEX(SkiftStart,3),Syklus)&lt;DagK+DagH,"H",IF(MOD($A838-INDEX(SkiftStart,3),Syklus)&lt;DagK+DagH+DagD,"D","F")))</f>
        <v/>
      </c>
      <c r="E838">
        <f>IF(B838="F",0,IF(WEEKDAY($A838,2)=5,INDEX(TimerFr,MATCH(B838,FaseKode,0)),INDEX(TimerMT,MATCH(B838,FaseKode,0))))</f>
        <v/>
      </c>
      <c r="F838">
        <f>IF(C838="F",0,IF(WEEKDAY($A838,2)=5,INDEX(TimerFr,MATCH(C838,FaseKode,0)),INDEX(TimerMT,MATCH(C838,FaseKode,0))))</f>
        <v/>
      </c>
      <c r="G838">
        <f>IF(D838="F",0,IF(WEEKDAY($A838,2)=5,INDEX(TimerFr,MATCH(D838,FaseKode,0)),INDEX(TimerMT,MATCH(D838,FaseKode,0))))</f>
        <v/>
      </c>
      <c r="H838">
        <f>IF(OR(H$4="",$A838&gt;TODAY()),0,IF(OR(INDEX($B838:$D838,H$5)="F",AND(H$6&gt;0,$A838&lt;H$6),AND(H$7&gt;0,$A838&gt;H$7)),0,MAX(0,ROUND((INDEX($E838:$G838,H$5)-SUMIFS(TF_Timer,TF_Tekniker,H$4,TF_Dato,$A838))*2,0)/2)))</f>
        <v/>
      </c>
      <c r="I838">
        <f>IF(OR(I$4="",$A838&gt;TODAY()),0,IF(OR(INDEX($B838:$D838,I$5)="F",AND(I$6&gt;0,$A838&lt;I$6),AND(I$7&gt;0,$A838&gt;I$7)),0,MAX(0,ROUND((INDEX($E838:$G838,I$5)-SUMIFS(TF_Timer,TF_Tekniker,I$4,TF_Dato,$A838))*2,0)/2)))</f>
        <v/>
      </c>
      <c r="J838">
        <f>IF(OR(J$4="",$A838&gt;TODAY()),0,IF(OR(INDEX($B838:$D838,J$5)="F",AND(J$6&gt;0,$A838&lt;J$6),AND(J$7&gt;0,$A838&gt;J$7)),0,MAX(0,ROUND((INDEX($E838:$G838,J$5)-SUMIFS(TF_Timer,TF_Tekniker,J$4,TF_Dato,$A838))*2,0)/2)))</f>
        <v/>
      </c>
      <c r="K838">
        <f>IF(OR(K$4="",$A838&gt;TODAY()),0,IF(OR(INDEX($B838:$D838,K$5)="F",AND(K$6&gt;0,$A838&lt;K$6),AND(K$7&gt;0,$A838&gt;K$7)),0,MAX(0,ROUND((INDEX($E838:$G838,K$5)-SUMIFS(TF_Timer,TF_Tekniker,K$4,TF_Dato,$A838))*2,0)/2)))</f>
        <v/>
      </c>
      <c r="L838">
        <f>IF(OR(L$4="",$A838&gt;TODAY()),0,IF(OR(INDEX($B838:$D838,L$5)="F",AND(L$6&gt;0,$A838&lt;L$6),AND(L$7&gt;0,$A838&gt;L$7)),0,MAX(0,ROUND((INDEX($E838:$G838,L$5)-SUMIFS(TF_Timer,TF_Tekniker,L$4,TF_Dato,$A838))*2,0)/2)))</f>
        <v/>
      </c>
      <c r="M838">
        <f>IF(OR(M$4="",$A838&gt;TODAY()),0,IF(OR(INDEX($B838:$D838,M$5)="F",AND(M$6&gt;0,$A838&lt;M$6),AND(M$7&gt;0,$A838&gt;M$7)),0,MAX(0,ROUND((INDEX($E838:$G838,M$5)-SUMIFS(TF_Timer,TF_Tekniker,M$4,TF_Dato,$A838))*2,0)/2)))</f>
        <v/>
      </c>
      <c r="N838">
        <f>IF(OR(N$4="",$A838&gt;TODAY()),0,IF(OR(INDEX($B838:$D838,N$5)="F",AND(N$6&gt;0,$A838&lt;N$6),AND(N$7&gt;0,$A838&gt;N$7)),0,MAX(0,ROUND((INDEX($E838:$G838,N$5)-SUMIFS(TF_Timer,TF_Tekniker,N$4,TF_Dato,$A838))*2,0)/2)))</f>
        <v/>
      </c>
      <c r="O838">
        <f>IF(OR(O$4="",$A838&gt;TODAY()),0,IF(OR(INDEX($B838:$D838,O$5)="F",AND(O$6&gt;0,$A838&lt;O$6),AND(O$7&gt;0,$A838&gt;O$7)),0,MAX(0,ROUND((INDEX($E838:$G838,O$5)-SUMIFS(TF_Timer,TF_Tekniker,O$4,TF_Dato,$A838))*2,0)/2)))</f>
        <v/>
      </c>
      <c r="P838">
        <f>IF(OR(P$4="",$A838&gt;TODAY()),0,IF(OR(INDEX($B838:$D838,P$5)="F",AND(P$6&gt;0,$A838&lt;P$6),AND(P$7&gt;0,$A838&gt;P$7)),0,MAX(0,ROUND((INDEX($E838:$G838,P$5)-SUMIFS(TF_Timer,TF_Tekniker,P$4,TF_Dato,$A838))*2,0)/2)))</f>
        <v/>
      </c>
      <c r="Q838">
        <f>IF(OR(Q$4="",$A838&gt;TODAY()),0,IF(OR(INDEX($B838:$D838,Q$5)="F",AND(Q$6&gt;0,$A838&lt;Q$6),AND(Q$7&gt;0,$A838&gt;Q$7)),0,MAX(0,ROUND((INDEX($E838:$G838,Q$5)-SUMIFS(TF_Timer,TF_Tekniker,Q$4,TF_Dato,$A838))*2,0)/2)))</f>
        <v/>
      </c>
      <c r="R838">
        <f>IF(OR(R$4="",$A838&gt;TODAY()),0,IF(OR(INDEX($B838:$D838,R$5)="F",AND(R$6&gt;0,$A838&lt;R$6),AND(R$7&gt;0,$A838&gt;R$7)),0,MAX(0,ROUND((INDEX($E838:$G838,R$5)-SUMIFS(TF_Timer,TF_Tekniker,R$4,TF_Dato,$A838))*2,0)/2)))</f>
        <v/>
      </c>
      <c r="S838">
        <f>IF(OR(S$4="",$A838&gt;TODAY()),0,IF(OR(INDEX($B838:$D838,S$5)="F",AND(S$6&gt;0,$A838&lt;S$6),AND(S$7&gt;0,$A838&gt;S$7)),0,MAX(0,ROUND((INDEX($E838:$G838,S$5)-SUMIFS(TF_Timer,TF_Tekniker,S$4,TF_Dato,$A838))*2,0)/2)))</f>
        <v/>
      </c>
      <c r="T838">
        <f>IF(OR(T$4="",$A838&gt;TODAY()),0,IF(OR(INDEX($B838:$D838,T$5)="F",AND(T$6&gt;0,$A838&lt;T$6),AND(T$7&gt;0,$A838&gt;T$7)),0,MAX(0,ROUND((INDEX($E838:$G838,T$5)-SUMIFS(TF_Timer,TF_Tekniker,T$4,TF_Dato,$A838))*2,0)/2)))</f>
        <v/>
      </c>
      <c r="U838">
        <f>IF(OR(U$4="",$A838&gt;TODAY()),0,IF(OR(INDEX($B838:$D838,U$5)="F",AND(U$6&gt;0,$A838&lt;U$6),AND(U$7&gt;0,$A838&gt;U$7)),0,MAX(0,ROUND((INDEX($E838:$G838,U$5)-SUMIFS(TF_Timer,TF_Tekniker,U$4,TF_Dato,$A838))*2,0)/2)))</f>
        <v/>
      </c>
      <c r="V838">
        <f>IF(OR(V$4="",$A838&gt;TODAY()),0,IF(OR(INDEX($B838:$D838,V$5)="F",AND(V$6&gt;0,$A838&lt;V$6),AND(V$7&gt;0,$A838&gt;V$7)),0,MAX(0,ROUND((INDEX($E838:$G838,V$5)-SUMIFS(TF_Timer,TF_Tekniker,V$4,TF_Dato,$A838))*2,0)/2)))</f>
        <v/>
      </c>
      <c r="W838">
        <f>IF(OR(W$4="",$A838&gt;TODAY()),0,IF(OR(INDEX($B838:$D838,W$5)="F",AND(W$6&gt;0,$A838&lt;W$6),AND(W$7&gt;0,$A838&gt;W$7)),0,MAX(0,ROUND((INDEX($E838:$G838,W$5)-SUMIFS(TF_Timer,TF_Tekniker,W$4,TF_Dato,$A838))*2,0)/2)))</f>
        <v/>
      </c>
      <c r="X838">
        <f>IF(OR(X$4="",$A838&gt;TODAY()),0,IF(OR(INDEX($B838:$D838,X$5)="F",AND(X$6&gt;0,$A838&lt;X$6),AND(X$7&gt;0,$A838&gt;X$7)),0,MAX(0,ROUND((INDEX($E838:$G838,X$5)-SUMIFS(TF_Timer,TF_Tekniker,X$4,TF_Dato,$A838))*2,0)/2)))</f>
        <v/>
      </c>
      <c r="Y838">
        <f>IF(OR(Y$4="",$A838&gt;TODAY()),0,IF(OR(INDEX($B838:$D838,Y$5)="F",AND(Y$6&gt;0,$A838&lt;Y$6),AND(Y$7&gt;0,$A838&gt;Y$7)),0,MAX(0,ROUND((INDEX($E838:$G838,Y$5)-SUMIFS(TF_Timer,TF_Tekniker,Y$4,TF_Dato,$A838))*2,0)/2)))</f>
        <v/>
      </c>
      <c r="Z838">
        <f>IF(OR(Z$4="",$A838&gt;TODAY()),0,IF(OR(INDEX($B838:$D838,Z$5)="F",AND(Z$6&gt;0,$A838&lt;Z$6),AND(Z$7&gt;0,$A838&gt;Z$7)),0,MAX(0,ROUND((INDEX($E838:$G838,Z$5)-SUMIFS(TF_Timer,TF_Tekniker,Z$4,TF_Dato,$A838))*2,0)/2)))</f>
        <v/>
      </c>
      <c r="AA838">
        <f>IF(OR(AA$4="",$A838&gt;TODAY()),0,IF(OR(INDEX($B838:$D838,AA$5)="F",AND(AA$6&gt;0,$A838&lt;AA$6),AND(AA$7&gt;0,$A838&gt;AA$7)),0,MAX(0,ROUND((INDEX($E838:$G838,AA$5)-SUMIFS(TF_Timer,TF_Tekniker,AA$4,TF_Dato,$A838))*2,0)/2)))</f>
        <v/>
      </c>
      <c r="AB838">
        <f>IF(OR(AB$4="",$A838&gt;TODAY()),0,IF(OR(INDEX($B838:$D838,AB$5)="F",AND(AB$6&gt;0,$A838&lt;AB$6),AND(AB$7&gt;0,$A838&gt;AB$7)),0,MAX(0,ROUND((INDEX($E838:$G838,AB$5)-SUMIFS(TF_Timer,TF_Tekniker,AB$4,TF_Dato,$A838))*2,0)/2)))</f>
        <v/>
      </c>
      <c r="AC838">
        <f>IF(OR(AC$4="",$A838&gt;TODAY()),0,IF(OR(INDEX($B838:$D838,AC$5)="F",AND(AC$6&gt;0,$A838&lt;AC$6),AND(AC$7&gt;0,$A838&gt;AC$7)),0,MAX(0,ROUND((INDEX($E838:$G838,AC$5)-SUMIFS(TF_Timer,TF_Tekniker,AC$4,TF_Dato,$A838))*2,0)/2)))</f>
        <v/>
      </c>
      <c r="AD838">
        <f>IF(OR(AD$4="",$A838&gt;TODAY()),0,IF(OR(INDEX($B838:$D838,AD$5)="F",AND(AD$6&gt;0,$A838&lt;AD$6),AND(AD$7&gt;0,$A838&gt;AD$7)),0,MAX(0,ROUND((INDEX($E838:$G838,AD$5)-SUMIFS(TF_Timer,TF_Tekniker,AD$4,TF_Dato,$A838))*2,0)/2)))</f>
        <v/>
      </c>
      <c r="AE838">
        <f>IF(OR(AE$4="",$A838&gt;TODAY()),0,IF(OR(INDEX($B838:$D838,AE$5)="F",AND(AE$6&gt;0,$A838&lt;AE$6),AND(AE$7&gt;0,$A838&gt;AE$7)),0,MAX(0,ROUND((INDEX($E838:$G838,AE$5)-SUMIFS(TF_Timer,TF_Tekniker,AE$4,TF_Dato,$A838))*2,0)/2)))</f>
        <v/>
      </c>
      <c r="AF838">
        <f>IF(OR(AF$4="",$A838&gt;TODAY()),0,IF(OR(INDEX($B838:$D838,AF$5)="F",AND(AF$6&gt;0,$A838&lt;AF$6),AND(AF$7&gt;0,$A838&gt;AF$7)),0,MAX(0,ROUND((INDEX($E838:$G838,AF$5)-SUMIFS(TF_Timer,TF_Tekniker,AF$4,TF_Dato,$A838))*2,0)/2)))</f>
        <v/>
      </c>
      <c r="AG838">
        <f>IF(OR(AG$4="",$A838&gt;TODAY()),0,IF(OR(INDEX($B838:$D838,AG$5)="F",AND(AG$6&gt;0,$A838&lt;AG$6),AND(AG$7&gt;0,$A838&gt;AG$7)),0,MAX(0,ROUND((INDEX($E838:$G838,AG$5)-SUMIFS(TF_Timer,TF_Tekniker,AG$4,TF_Dato,$A838))*2,0)/2)))</f>
        <v/>
      </c>
      <c r="AH838">
        <f>IF(OR(AH$4="",$A838&gt;TODAY()),0,IF(OR(INDEX($B838:$D838,AH$5)="F",AND(AH$6&gt;0,$A838&lt;AH$6),AND(AH$7&gt;0,$A838&gt;AH$7)),0,MAX(0,ROUND((INDEX($E838:$G838,AH$5)-SUMIFS(TF_Timer,TF_Tekniker,AH$4,TF_Dato,$A838))*2,0)/2)))</f>
        <v/>
      </c>
      <c r="AI838">
        <f>IF(OR(AI$4="",$A838&gt;TODAY()),0,IF(OR(INDEX($B838:$D838,AI$5)="F",AND(AI$6&gt;0,$A838&lt;AI$6),AND(AI$7&gt;0,$A838&gt;AI$7)),0,MAX(0,ROUND((INDEX($E838:$G838,AI$5)-SUMIFS(TF_Timer,TF_Tekniker,AI$4,TF_Dato,$A838))*2,0)/2)))</f>
        <v/>
      </c>
      <c r="AJ838">
        <f>IF(OR(AJ$4="",$A838&gt;TODAY()),0,IF(OR(INDEX($B838:$D838,AJ$5)="F",AND(AJ$6&gt;0,$A838&lt;AJ$6),AND(AJ$7&gt;0,$A838&gt;AJ$7)),0,MAX(0,ROUND((INDEX($E838:$G838,AJ$5)-SUMIFS(TF_Timer,TF_Tekniker,AJ$4,TF_Dato,$A838))*2,0)/2)))</f>
        <v/>
      </c>
      <c r="AK838">
        <f>IF(OR(AK$4="",$A838&gt;TODAY()),0,IF(OR(INDEX($B838:$D838,AK$5)="F",AND(AK$6&gt;0,$A838&lt;AK$6),AND(AK$7&gt;0,$A838&gt;AK$7)),0,MAX(0,ROUND((INDEX($E838:$G838,AK$5)-SUMIFS(TF_Timer,TF_Tekniker,AK$4,TF_Dato,$A838))*2,0)/2)))</f>
        <v/>
      </c>
      <c r="AL838">
        <f>IF(OR(AL$4="",$A838&gt;TODAY()),0,IF(OR(INDEX($B838:$D838,AL$5)="F",AND(AL$6&gt;0,$A838&lt;AL$6),AND(AL$7&gt;0,$A838&gt;AL$7)),0,MAX(0,ROUND((INDEX($E838:$G838,AL$5)-SUMIFS(TF_Timer,TF_Tekniker,AL$4,TF_Dato,$A838))*2,0)/2)))</f>
        <v/>
      </c>
      <c r="AM838">
        <f>IF(OR(AM$4="",$A838&gt;TODAY()),0,IF(OR(INDEX($B838:$D838,AM$5)="F",AND(AM$6&gt;0,$A838&lt;AM$6),AND(AM$7&gt;0,$A838&gt;AM$7)),0,MAX(0,ROUND((INDEX($E838:$G838,AM$5)-SUMIFS(TF_Timer,TF_Tekniker,AM$4,TF_Dato,$A838))*2,0)/2)))</f>
        <v/>
      </c>
      <c r="AN838">
        <f>IF(OR(AN$4="",$A838&gt;TODAY()),0,IF(OR(INDEX($B838:$D838,AN$5)="F",AND(AN$6&gt;0,$A838&lt;AN$6),AND(AN$7&gt;0,$A838&gt;AN$7)),0,MAX(0,ROUND((INDEX($E838:$G838,AN$5)-SUMIFS(TF_Timer,TF_Tekniker,AN$4,TF_Dato,$A838))*2,0)/2)))</f>
        <v/>
      </c>
      <c r="AO838">
        <f>IF(OR(AO$4="",$A838&gt;TODAY()),0,IF(OR(INDEX($B838:$D838,AO$5)="F",AND(AO$6&gt;0,$A838&lt;AO$6),AND(AO$7&gt;0,$A838&gt;AO$7)),0,MAX(0,ROUND((INDEX($E838:$G838,AO$5)-SUMIFS(TF_Timer,TF_Tekniker,AO$4,TF_Dato,$A838))*2,0)/2)))</f>
        <v/>
      </c>
      <c r="AP838">
        <f>IF(OR(AP$4="",$A838&gt;TODAY()),0,IF(OR(INDEX($B838:$D838,AP$5)="F",AND(AP$6&gt;0,$A838&lt;AP$6),AND(AP$7&gt;0,$A838&gt;AP$7)),0,MAX(0,ROUND((INDEX($E838:$G838,AP$5)-SUMIFS(TF_Timer,TF_Tekniker,AP$4,TF_Dato,$A838))*2,0)/2)))</f>
        <v/>
      </c>
      <c r="AQ838">
        <f>IF(OR(AQ$4="",$A838&gt;TODAY()),0,IF(OR(INDEX($B838:$D838,AQ$5)="F",AND(AQ$6&gt;0,$A838&lt;AQ$6),AND(AQ$7&gt;0,$A838&gt;AQ$7)),0,MAX(0,ROUND((INDEX($E838:$G838,AQ$5)-SUMIFS(TF_Timer,TF_Tekniker,AQ$4,TF_Dato,$A838))*2,0)/2)))</f>
        <v/>
      </c>
      <c r="AR838">
        <f>IF(OR(AR$4="",$A838&gt;TODAY()),0,IF(OR(INDEX($B838:$D838,AR$5)="F",AND(AR$6&gt;0,$A838&lt;AR$6),AND(AR$7&gt;0,$A838&gt;AR$7)),0,MAX(0,ROUND((INDEX($E838:$G838,AR$5)-SUMIFS(TF_Timer,TF_Tekniker,AR$4,TF_Dato,$A838))*2,0)/2)))</f>
        <v/>
      </c>
      <c r="AS838">
        <f>IF(OR(AS$4="",$A838&gt;TODAY()),0,IF(OR(INDEX($B838:$D838,AS$5)="F",AND(AS$6&gt;0,$A838&lt;AS$6),AND(AS$7&gt;0,$A838&gt;AS$7)),0,MAX(0,ROUND((INDEX($E838:$G838,AS$5)-SUMIFS(TF_Timer,TF_Tekniker,AS$4,TF_Dato,$A838))*2,0)/2)))</f>
        <v/>
      </c>
      <c r="AT838">
        <f>IF(OR(AT$4="",$A838&gt;TODAY()),0,IF(OR(INDEX($B838:$D838,AT$5)="F",AND(AT$6&gt;0,$A838&lt;AT$6),AND(AT$7&gt;0,$A838&gt;AT$7)),0,MAX(0,ROUND((INDEX($E838:$G838,AT$5)-SUMIFS(TF_Timer,TF_Tekniker,AT$4,TF_Dato,$A838))*2,0)/2)))</f>
        <v/>
      </c>
      <c r="AU838">
        <f>IF(OR(AU$4="",$A838&gt;TODAY()),0,IF(OR(INDEX($B838:$D838,AU$5)="F",AND(AU$6&gt;0,$A838&lt;AU$6),AND(AU$7&gt;0,$A838&gt;AU$7)),0,MAX(0,ROUND((INDEX($E838:$G838,AU$5)-SUMIFS(TF_Timer,TF_Tekniker,AU$4,TF_Dato,$A838))*2,0)/2)))</f>
        <v/>
      </c>
      <c r="AV838">
        <f>IF(OR(AV$4="",$A838&gt;TODAY()),0,IF(OR(INDEX($B838:$D838,AV$5)="F",AND(AV$6&gt;0,$A838&lt;AV$6),AND(AV$7&gt;0,$A838&gt;AV$7)),0,MAX(0,ROUND((INDEX($E838:$G838,AV$5)-SUMIFS(TF_Timer,TF_Tekniker,AV$4,TF_Dato,$A838))*2,0)/2)))</f>
        <v/>
      </c>
      <c r="AW838">
        <f>IF(OR(AW$4="",$A838&gt;TODAY()),0,IF(OR(INDEX($B838:$D838,AW$5)="F",AND(AW$6&gt;0,$A838&lt;AW$6),AND(AW$7&gt;0,$A838&gt;AW$7)),0,MAX(0,ROUND((INDEX($E838:$G838,AW$5)-SUMIFS(TF_Timer,TF_Tekniker,AW$4,TF_Dato,$A838))*2,0)/2)))</f>
        <v/>
      </c>
      <c r="AX838">
        <f>IF(OR(AX$4="",$A838&gt;TODAY()),0,IF(OR(INDEX($B838:$D838,AX$5)="F",AND(AX$6&gt;0,$A838&lt;AX$6),AND(AX$7&gt;0,$A838&gt;AX$7)),0,MAX(0,ROUND((INDEX($E838:$G838,AX$5)-SUMIFS(TF_Timer,TF_Tekniker,AX$4,TF_Dato,$A838))*2,0)/2)))</f>
        <v/>
      </c>
      <c r="AY838">
        <f>IF(OR(AY$4="",$A838&gt;TODAY()),0,IF(OR(INDEX($B838:$D838,AY$5)="F",AND(AY$6&gt;0,$A838&lt;AY$6),AND(AY$7&gt;0,$A838&gt;AY$7)),0,MAX(0,ROUND((INDEX($E838:$G838,AY$5)-SUMIFS(TF_Timer,TF_Tekniker,AY$4,TF_Dato,$A838))*2,0)/2)))</f>
        <v/>
      </c>
      <c r="AZ838">
        <f>IF(OR(AZ$4="",$A838&gt;TODAY()),0,IF(OR(INDEX($B838:$D838,AZ$5)="F",AND(AZ$6&gt;0,$A838&lt;AZ$6),AND(AZ$7&gt;0,$A838&gt;AZ$7)),0,MAX(0,ROUND((INDEX($E838:$G838,AZ$5)-SUMIFS(TF_Timer,TF_Tekniker,AZ$4,TF_Dato,$A838))*2,0)/2)))</f>
        <v/>
      </c>
      <c r="BA838">
        <f>IF(OR(BA$4="",$A838&gt;TODAY()),0,IF(OR(INDEX($B838:$D838,BA$5)="F",AND(BA$6&gt;0,$A838&lt;BA$6),AND(BA$7&gt;0,$A838&gt;BA$7)),0,MAX(0,ROUND((INDEX($E838:$G838,BA$5)-SUMIFS(TF_Timer,TF_Tekniker,BA$4,TF_Dato,$A838))*2,0)/2)))</f>
        <v/>
      </c>
      <c r="BB838">
        <f>IF(OR(BB$4="",$A838&gt;TODAY()),0,IF(OR(INDEX($B838:$D838,BB$5)="F",AND(BB$6&gt;0,$A838&lt;BB$6),AND(BB$7&gt;0,$A838&gt;BB$7)),0,MAX(0,ROUND((INDEX($E838:$G838,BB$5)-SUMIFS(TF_Timer,TF_Tekniker,BB$4,TF_Dato,$A838))*2,0)/2)))</f>
        <v/>
      </c>
      <c r="BC838">
        <f>IF(OR(BC$4="",$A838&gt;TODAY()),0,IF(OR(INDEX($B838:$D838,BC$5)="F",AND(BC$6&gt;0,$A838&lt;BC$6),AND(BC$7&gt;0,$A838&gt;BC$7)),0,MAX(0,ROUND((INDEX($E838:$G838,BC$5)-SUMIFS(TF_Timer,TF_Tekniker,BC$4,TF_Dato,$A838))*2,0)/2)))</f>
        <v/>
      </c>
      <c r="BD838">
        <f>IF(OR(BD$4="",$A838&gt;TODAY()),0,IF(OR(INDEX($B838:$D838,BD$5)="F",AND(BD$6&gt;0,$A838&lt;BD$6),AND(BD$7&gt;0,$A838&gt;BD$7)),0,MAX(0,ROUND((INDEX($E838:$G838,BD$5)-SUMIFS(TF_Timer,TF_Tekniker,BD$4,TF_Dato,$A838))*2,0)/2)))</f>
        <v/>
      </c>
      <c r="BE838">
        <f>IF(OR(BE$4="",$A838&gt;TODAY()),0,IF(OR(INDEX($B838:$D838,BE$5)="F",AND(BE$6&gt;0,$A838&lt;BE$6),AND(BE$7&gt;0,$A838&gt;BE$7)),0,MAX(0,ROUND((INDEX($E838:$G838,BE$5)-SUMIFS(TF_Timer,TF_Tekniker,BE$4,TF_Dato,$A838))*2,0)/2)))</f>
        <v/>
      </c>
      <c r="BF838">
        <f>IF(OR(BF$4="",$A838&gt;TODAY()),0,IF(OR(INDEX($B838:$D838,BF$5)="F",AND(BF$6&gt;0,$A838&lt;BF$6),AND(BF$7&gt;0,$A838&gt;BF$7)),0,MAX(0,ROUND((INDEX($E838:$G838,BF$5)-SUMIFS(TF_Timer,TF_Tekniker,BF$4,TF_Dato,$A838))*2,0)/2)))</f>
        <v/>
      </c>
      <c r="BG838">
        <f>IF(OR(BG$4="",$A838&gt;TODAY()),0,IF(OR(INDEX($B838:$D838,BG$5)="F",AND(BG$6&gt;0,$A838&lt;BG$6),AND(BG$7&gt;0,$A838&gt;BG$7)),0,MAX(0,ROUND((INDEX($E838:$G838,BG$5)-SUMIFS(TF_Timer,TF_Tekniker,BG$4,TF_Dato,$A838))*2,0)/2)))</f>
        <v/>
      </c>
      <c r="BH838">
        <f>IF(OR(BH$4="",$A838&gt;TODAY()),0,IF(OR(INDEX($B838:$D838,BH$5)="F",AND(BH$6&gt;0,$A838&lt;BH$6),AND(BH$7&gt;0,$A838&gt;BH$7)),0,MAX(0,ROUND((INDEX($E838:$G838,BH$5)-SUMIFS(TF_Timer,TF_Tekniker,BH$4,TF_Dato,$A838))*2,0)/2)))</f>
        <v/>
      </c>
      <c r="BI838">
        <f>IF(OR(BI$4="",$A838&gt;TODAY()),0,IF(OR(INDEX($B838:$D838,BI$5)="F",AND(BI$6&gt;0,$A838&lt;BI$6),AND(BI$7&gt;0,$A838&gt;BI$7)),0,MAX(0,ROUND((INDEX($E838:$G838,BI$5)-SUMIFS(TF_Timer,TF_Tekniker,BI$4,TF_Dato,$A838))*2,0)/2)))</f>
        <v/>
      </c>
    </row>
    <row r="839">
      <c r="A839" s="64">
        <f>A838+1</f>
        <v/>
      </c>
      <c r="B839">
        <f>IF(MOD($A839-INDEX(SkiftStart,1),Syklus)&lt;DagK,"K",IF(MOD($A839-INDEX(SkiftStart,1),Syklus)&lt;DagK+DagH,"H",IF(MOD($A839-INDEX(SkiftStart,1),Syklus)&lt;DagK+DagH+DagD,"D","F")))</f>
        <v/>
      </c>
      <c r="C839">
        <f>IF(MOD($A839-INDEX(SkiftStart,2),Syklus)&lt;DagK,"K",IF(MOD($A839-INDEX(SkiftStart,2),Syklus)&lt;DagK+DagH,"H",IF(MOD($A839-INDEX(SkiftStart,2),Syklus)&lt;DagK+DagH+DagD,"D","F")))</f>
        <v/>
      </c>
      <c r="D839">
        <f>IF(MOD($A839-INDEX(SkiftStart,3),Syklus)&lt;DagK,"K",IF(MOD($A839-INDEX(SkiftStart,3),Syklus)&lt;DagK+DagH,"H",IF(MOD($A839-INDEX(SkiftStart,3),Syklus)&lt;DagK+DagH+DagD,"D","F")))</f>
        <v/>
      </c>
      <c r="E839">
        <f>IF(B839="F",0,IF(WEEKDAY($A839,2)=5,INDEX(TimerFr,MATCH(B839,FaseKode,0)),INDEX(TimerMT,MATCH(B839,FaseKode,0))))</f>
        <v/>
      </c>
      <c r="F839">
        <f>IF(C839="F",0,IF(WEEKDAY($A839,2)=5,INDEX(TimerFr,MATCH(C839,FaseKode,0)),INDEX(TimerMT,MATCH(C839,FaseKode,0))))</f>
        <v/>
      </c>
      <c r="G839">
        <f>IF(D839="F",0,IF(WEEKDAY($A839,2)=5,INDEX(TimerFr,MATCH(D839,FaseKode,0)),INDEX(TimerMT,MATCH(D839,FaseKode,0))))</f>
        <v/>
      </c>
      <c r="H839">
        <f>IF(OR(H$4="",$A839&gt;TODAY()),0,IF(OR(INDEX($B839:$D839,H$5)="F",AND(H$6&gt;0,$A839&lt;H$6),AND(H$7&gt;0,$A839&gt;H$7)),0,MAX(0,ROUND((INDEX($E839:$G839,H$5)-SUMIFS(TF_Timer,TF_Tekniker,H$4,TF_Dato,$A839))*2,0)/2)))</f>
        <v/>
      </c>
      <c r="I839">
        <f>IF(OR(I$4="",$A839&gt;TODAY()),0,IF(OR(INDEX($B839:$D839,I$5)="F",AND(I$6&gt;0,$A839&lt;I$6),AND(I$7&gt;0,$A839&gt;I$7)),0,MAX(0,ROUND((INDEX($E839:$G839,I$5)-SUMIFS(TF_Timer,TF_Tekniker,I$4,TF_Dato,$A839))*2,0)/2)))</f>
        <v/>
      </c>
      <c r="J839">
        <f>IF(OR(J$4="",$A839&gt;TODAY()),0,IF(OR(INDEX($B839:$D839,J$5)="F",AND(J$6&gt;0,$A839&lt;J$6),AND(J$7&gt;0,$A839&gt;J$7)),0,MAX(0,ROUND((INDEX($E839:$G839,J$5)-SUMIFS(TF_Timer,TF_Tekniker,J$4,TF_Dato,$A839))*2,0)/2)))</f>
        <v/>
      </c>
      <c r="K839">
        <f>IF(OR(K$4="",$A839&gt;TODAY()),0,IF(OR(INDEX($B839:$D839,K$5)="F",AND(K$6&gt;0,$A839&lt;K$6),AND(K$7&gt;0,$A839&gt;K$7)),0,MAX(0,ROUND((INDEX($E839:$G839,K$5)-SUMIFS(TF_Timer,TF_Tekniker,K$4,TF_Dato,$A839))*2,0)/2)))</f>
        <v/>
      </c>
      <c r="L839">
        <f>IF(OR(L$4="",$A839&gt;TODAY()),0,IF(OR(INDEX($B839:$D839,L$5)="F",AND(L$6&gt;0,$A839&lt;L$6),AND(L$7&gt;0,$A839&gt;L$7)),0,MAX(0,ROUND((INDEX($E839:$G839,L$5)-SUMIFS(TF_Timer,TF_Tekniker,L$4,TF_Dato,$A839))*2,0)/2)))</f>
        <v/>
      </c>
      <c r="M839">
        <f>IF(OR(M$4="",$A839&gt;TODAY()),0,IF(OR(INDEX($B839:$D839,M$5)="F",AND(M$6&gt;0,$A839&lt;M$6),AND(M$7&gt;0,$A839&gt;M$7)),0,MAX(0,ROUND((INDEX($E839:$G839,M$5)-SUMIFS(TF_Timer,TF_Tekniker,M$4,TF_Dato,$A839))*2,0)/2)))</f>
        <v/>
      </c>
      <c r="N839">
        <f>IF(OR(N$4="",$A839&gt;TODAY()),0,IF(OR(INDEX($B839:$D839,N$5)="F",AND(N$6&gt;0,$A839&lt;N$6),AND(N$7&gt;0,$A839&gt;N$7)),0,MAX(0,ROUND((INDEX($E839:$G839,N$5)-SUMIFS(TF_Timer,TF_Tekniker,N$4,TF_Dato,$A839))*2,0)/2)))</f>
        <v/>
      </c>
      <c r="O839">
        <f>IF(OR(O$4="",$A839&gt;TODAY()),0,IF(OR(INDEX($B839:$D839,O$5)="F",AND(O$6&gt;0,$A839&lt;O$6),AND(O$7&gt;0,$A839&gt;O$7)),0,MAX(0,ROUND((INDEX($E839:$G839,O$5)-SUMIFS(TF_Timer,TF_Tekniker,O$4,TF_Dato,$A839))*2,0)/2)))</f>
        <v/>
      </c>
      <c r="P839">
        <f>IF(OR(P$4="",$A839&gt;TODAY()),0,IF(OR(INDEX($B839:$D839,P$5)="F",AND(P$6&gt;0,$A839&lt;P$6),AND(P$7&gt;0,$A839&gt;P$7)),0,MAX(0,ROUND((INDEX($E839:$G839,P$5)-SUMIFS(TF_Timer,TF_Tekniker,P$4,TF_Dato,$A839))*2,0)/2)))</f>
        <v/>
      </c>
      <c r="Q839">
        <f>IF(OR(Q$4="",$A839&gt;TODAY()),0,IF(OR(INDEX($B839:$D839,Q$5)="F",AND(Q$6&gt;0,$A839&lt;Q$6),AND(Q$7&gt;0,$A839&gt;Q$7)),0,MAX(0,ROUND((INDEX($E839:$G839,Q$5)-SUMIFS(TF_Timer,TF_Tekniker,Q$4,TF_Dato,$A839))*2,0)/2)))</f>
        <v/>
      </c>
      <c r="R839">
        <f>IF(OR(R$4="",$A839&gt;TODAY()),0,IF(OR(INDEX($B839:$D839,R$5)="F",AND(R$6&gt;0,$A839&lt;R$6),AND(R$7&gt;0,$A839&gt;R$7)),0,MAX(0,ROUND((INDEX($E839:$G839,R$5)-SUMIFS(TF_Timer,TF_Tekniker,R$4,TF_Dato,$A839))*2,0)/2)))</f>
        <v/>
      </c>
      <c r="S839">
        <f>IF(OR(S$4="",$A839&gt;TODAY()),0,IF(OR(INDEX($B839:$D839,S$5)="F",AND(S$6&gt;0,$A839&lt;S$6),AND(S$7&gt;0,$A839&gt;S$7)),0,MAX(0,ROUND((INDEX($E839:$G839,S$5)-SUMIFS(TF_Timer,TF_Tekniker,S$4,TF_Dato,$A839))*2,0)/2)))</f>
        <v/>
      </c>
      <c r="T839">
        <f>IF(OR(T$4="",$A839&gt;TODAY()),0,IF(OR(INDEX($B839:$D839,T$5)="F",AND(T$6&gt;0,$A839&lt;T$6),AND(T$7&gt;0,$A839&gt;T$7)),0,MAX(0,ROUND((INDEX($E839:$G839,T$5)-SUMIFS(TF_Timer,TF_Tekniker,T$4,TF_Dato,$A839))*2,0)/2)))</f>
        <v/>
      </c>
      <c r="U839">
        <f>IF(OR(U$4="",$A839&gt;TODAY()),0,IF(OR(INDEX($B839:$D839,U$5)="F",AND(U$6&gt;0,$A839&lt;U$6),AND(U$7&gt;0,$A839&gt;U$7)),0,MAX(0,ROUND((INDEX($E839:$G839,U$5)-SUMIFS(TF_Timer,TF_Tekniker,U$4,TF_Dato,$A839))*2,0)/2)))</f>
        <v/>
      </c>
      <c r="V839">
        <f>IF(OR(V$4="",$A839&gt;TODAY()),0,IF(OR(INDEX($B839:$D839,V$5)="F",AND(V$6&gt;0,$A839&lt;V$6),AND(V$7&gt;0,$A839&gt;V$7)),0,MAX(0,ROUND((INDEX($E839:$G839,V$5)-SUMIFS(TF_Timer,TF_Tekniker,V$4,TF_Dato,$A839))*2,0)/2)))</f>
        <v/>
      </c>
      <c r="W839">
        <f>IF(OR(W$4="",$A839&gt;TODAY()),0,IF(OR(INDEX($B839:$D839,W$5)="F",AND(W$6&gt;0,$A839&lt;W$6),AND(W$7&gt;0,$A839&gt;W$7)),0,MAX(0,ROUND((INDEX($E839:$G839,W$5)-SUMIFS(TF_Timer,TF_Tekniker,W$4,TF_Dato,$A839))*2,0)/2)))</f>
        <v/>
      </c>
      <c r="X839">
        <f>IF(OR(X$4="",$A839&gt;TODAY()),0,IF(OR(INDEX($B839:$D839,X$5)="F",AND(X$6&gt;0,$A839&lt;X$6),AND(X$7&gt;0,$A839&gt;X$7)),0,MAX(0,ROUND((INDEX($E839:$G839,X$5)-SUMIFS(TF_Timer,TF_Tekniker,X$4,TF_Dato,$A839))*2,0)/2)))</f>
        <v/>
      </c>
      <c r="Y839">
        <f>IF(OR(Y$4="",$A839&gt;TODAY()),0,IF(OR(INDEX($B839:$D839,Y$5)="F",AND(Y$6&gt;0,$A839&lt;Y$6),AND(Y$7&gt;0,$A839&gt;Y$7)),0,MAX(0,ROUND((INDEX($E839:$G839,Y$5)-SUMIFS(TF_Timer,TF_Tekniker,Y$4,TF_Dato,$A839))*2,0)/2)))</f>
        <v/>
      </c>
      <c r="Z839">
        <f>IF(OR(Z$4="",$A839&gt;TODAY()),0,IF(OR(INDEX($B839:$D839,Z$5)="F",AND(Z$6&gt;0,$A839&lt;Z$6),AND(Z$7&gt;0,$A839&gt;Z$7)),0,MAX(0,ROUND((INDEX($E839:$G839,Z$5)-SUMIFS(TF_Timer,TF_Tekniker,Z$4,TF_Dato,$A839))*2,0)/2)))</f>
        <v/>
      </c>
      <c r="AA839">
        <f>IF(OR(AA$4="",$A839&gt;TODAY()),0,IF(OR(INDEX($B839:$D839,AA$5)="F",AND(AA$6&gt;0,$A839&lt;AA$6),AND(AA$7&gt;0,$A839&gt;AA$7)),0,MAX(0,ROUND((INDEX($E839:$G839,AA$5)-SUMIFS(TF_Timer,TF_Tekniker,AA$4,TF_Dato,$A839))*2,0)/2)))</f>
        <v/>
      </c>
      <c r="AB839">
        <f>IF(OR(AB$4="",$A839&gt;TODAY()),0,IF(OR(INDEX($B839:$D839,AB$5)="F",AND(AB$6&gt;0,$A839&lt;AB$6),AND(AB$7&gt;0,$A839&gt;AB$7)),0,MAX(0,ROUND((INDEX($E839:$G839,AB$5)-SUMIFS(TF_Timer,TF_Tekniker,AB$4,TF_Dato,$A839))*2,0)/2)))</f>
        <v/>
      </c>
      <c r="AC839">
        <f>IF(OR(AC$4="",$A839&gt;TODAY()),0,IF(OR(INDEX($B839:$D839,AC$5)="F",AND(AC$6&gt;0,$A839&lt;AC$6),AND(AC$7&gt;0,$A839&gt;AC$7)),0,MAX(0,ROUND((INDEX($E839:$G839,AC$5)-SUMIFS(TF_Timer,TF_Tekniker,AC$4,TF_Dato,$A839))*2,0)/2)))</f>
        <v/>
      </c>
      <c r="AD839">
        <f>IF(OR(AD$4="",$A839&gt;TODAY()),0,IF(OR(INDEX($B839:$D839,AD$5)="F",AND(AD$6&gt;0,$A839&lt;AD$6),AND(AD$7&gt;0,$A839&gt;AD$7)),0,MAX(0,ROUND((INDEX($E839:$G839,AD$5)-SUMIFS(TF_Timer,TF_Tekniker,AD$4,TF_Dato,$A839))*2,0)/2)))</f>
        <v/>
      </c>
      <c r="AE839">
        <f>IF(OR(AE$4="",$A839&gt;TODAY()),0,IF(OR(INDEX($B839:$D839,AE$5)="F",AND(AE$6&gt;0,$A839&lt;AE$6),AND(AE$7&gt;0,$A839&gt;AE$7)),0,MAX(0,ROUND((INDEX($E839:$G839,AE$5)-SUMIFS(TF_Timer,TF_Tekniker,AE$4,TF_Dato,$A839))*2,0)/2)))</f>
        <v/>
      </c>
      <c r="AF839">
        <f>IF(OR(AF$4="",$A839&gt;TODAY()),0,IF(OR(INDEX($B839:$D839,AF$5)="F",AND(AF$6&gt;0,$A839&lt;AF$6),AND(AF$7&gt;0,$A839&gt;AF$7)),0,MAX(0,ROUND((INDEX($E839:$G839,AF$5)-SUMIFS(TF_Timer,TF_Tekniker,AF$4,TF_Dato,$A839))*2,0)/2)))</f>
        <v/>
      </c>
      <c r="AG839">
        <f>IF(OR(AG$4="",$A839&gt;TODAY()),0,IF(OR(INDEX($B839:$D839,AG$5)="F",AND(AG$6&gt;0,$A839&lt;AG$6),AND(AG$7&gt;0,$A839&gt;AG$7)),0,MAX(0,ROUND((INDEX($E839:$G839,AG$5)-SUMIFS(TF_Timer,TF_Tekniker,AG$4,TF_Dato,$A839))*2,0)/2)))</f>
        <v/>
      </c>
      <c r="AH839">
        <f>IF(OR(AH$4="",$A839&gt;TODAY()),0,IF(OR(INDEX($B839:$D839,AH$5)="F",AND(AH$6&gt;0,$A839&lt;AH$6),AND(AH$7&gt;0,$A839&gt;AH$7)),0,MAX(0,ROUND((INDEX($E839:$G839,AH$5)-SUMIFS(TF_Timer,TF_Tekniker,AH$4,TF_Dato,$A839))*2,0)/2)))</f>
        <v/>
      </c>
      <c r="AI839">
        <f>IF(OR(AI$4="",$A839&gt;TODAY()),0,IF(OR(INDEX($B839:$D839,AI$5)="F",AND(AI$6&gt;0,$A839&lt;AI$6),AND(AI$7&gt;0,$A839&gt;AI$7)),0,MAX(0,ROUND((INDEX($E839:$G839,AI$5)-SUMIFS(TF_Timer,TF_Tekniker,AI$4,TF_Dato,$A839))*2,0)/2)))</f>
        <v/>
      </c>
      <c r="AJ839">
        <f>IF(OR(AJ$4="",$A839&gt;TODAY()),0,IF(OR(INDEX($B839:$D839,AJ$5)="F",AND(AJ$6&gt;0,$A839&lt;AJ$6),AND(AJ$7&gt;0,$A839&gt;AJ$7)),0,MAX(0,ROUND((INDEX($E839:$G839,AJ$5)-SUMIFS(TF_Timer,TF_Tekniker,AJ$4,TF_Dato,$A839))*2,0)/2)))</f>
        <v/>
      </c>
      <c r="AK839">
        <f>IF(OR(AK$4="",$A839&gt;TODAY()),0,IF(OR(INDEX($B839:$D839,AK$5)="F",AND(AK$6&gt;0,$A839&lt;AK$6),AND(AK$7&gt;0,$A839&gt;AK$7)),0,MAX(0,ROUND((INDEX($E839:$G839,AK$5)-SUMIFS(TF_Timer,TF_Tekniker,AK$4,TF_Dato,$A839))*2,0)/2)))</f>
        <v/>
      </c>
      <c r="AL839">
        <f>IF(OR(AL$4="",$A839&gt;TODAY()),0,IF(OR(INDEX($B839:$D839,AL$5)="F",AND(AL$6&gt;0,$A839&lt;AL$6),AND(AL$7&gt;0,$A839&gt;AL$7)),0,MAX(0,ROUND((INDEX($E839:$G839,AL$5)-SUMIFS(TF_Timer,TF_Tekniker,AL$4,TF_Dato,$A839))*2,0)/2)))</f>
        <v/>
      </c>
      <c r="AM839">
        <f>IF(OR(AM$4="",$A839&gt;TODAY()),0,IF(OR(INDEX($B839:$D839,AM$5)="F",AND(AM$6&gt;0,$A839&lt;AM$6),AND(AM$7&gt;0,$A839&gt;AM$7)),0,MAX(0,ROUND((INDEX($E839:$G839,AM$5)-SUMIFS(TF_Timer,TF_Tekniker,AM$4,TF_Dato,$A839))*2,0)/2)))</f>
        <v/>
      </c>
      <c r="AN839">
        <f>IF(OR(AN$4="",$A839&gt;TODAY()),0,IF(OR(INDEX($B839:$D839,AN$5)="F",AND(AN$6&gt;0,$A839&lt;AN$6),AND(AN$7&gt;0,$A839&gt;AN$7)),0,MAX(0,ROUND((INDEX($E839:$G839,AN$5)-SUMIFS(TF_Timer,TF_Tekniker,AN$4,TF_Dato,$A839))*2,0)/2)))</f>
        <v/>
      </c>
      <c r="AO839">
        <f>IF(OR(AO$4="",$A839&gt;TODAY()),0,IF(OR(INDEX($B839:$D839,AO$5)="F",AND(AO$6&gt;0,$A839&lt;AO$6),AND(AO$7&gt;0,$A839&gt;AO$7)),0,MAX(0,ROUND((INDEX($E839:$G839,AO$5)-SUMIFS(TF_Timer,TF_Tekniker,AO$4,TF_Dato,$A839))*2,0)/2)))</f>
        <v/>
      </c>
      <c r="AP839">
        <f>IF(OR(AP$4="",$A839&gt;TODAY()),0,IF(OR(INDEX($B839:$D839,AP$5)="F",AND(AP$6&gt;0,$A839&lt;AP$6),AND(AP$7&gt;0,$A839&gt;AP$7)),0,MAX(0,ROUND((INDEX($E839:$G839,AP$5)-SUMIFS(TF_Timer,TF_Tekniker,AP$4,TF_Dato,$A839))*2,0)/2)))</f>
        <v/>
      </c>
      <c r="AQ839">
        <f>IF(OR(AQ$4="",$A839&gt;TODAY()),0,IF(OR(INDEX($B839:$D839,AQ$5)="F",AND(AQ$6&gt;0,$A839&lt;AQ$6),AND(AQ$7&gt;0,$A839&gt;AQ$7)),0,MAX(0,ROUND((INDEX($E839:$G839,AQ$5)-SUMIFS(TF_Timer,TF_Tekniker,AQ$4,TF_Dato,$A839))*2,0)/2)))</f>
        <v/>
      </c>
      <c r="AR839">
        <f>IF(OR(AR$4="",$A839&gt;TODAY()),0,IF(OR(INDEX($B839:$D839,AR$5)="F",AND(AR$6&gt;0,$A839&lt;AR$6),AND(AR$7&gt;0,$A839&gt;AR$7)),0,MAX(0,ROUND((INDEX($E839:$G839,AR$5)-SUMIFS(TF_Timer,TF_Tekniker,AR$4,TF_Dato,$A839))*2,0)/2)))</f>
        <v/>
      </c>
      <c r="AS839">
        <f>IF(OR(AS$4="",$A839&gt;TODAY()),0,IF(OR(INDEX($B839:$D839,AS$5)="F",AND(AS$6&gt;0,$A839&lt;AS$6),AND(AS$7&gt;0,$A839&gt;AS$7)),0,MAX(0,ROUND((INDEX($E839:$G839,AS$5)-SUMIFS(TF_Timer,TF_Tekniker,AS$4,TF_Dato,$A839))*2,0)/2)))</f>
        <v/>
      </c>
      <c r="AT839">
        <f>IF(OR(AT$4="",$A839&gt;TODAY()),0,IF(OR(INDEX($B839:$D839,AT$5)="F",AND(AT$6&gt;0,$A839&lt;AT$6),AND(AT$7&gt;0,$A839&gt;AT$7)),0,MAX(0,ROUND((INDEX($E839:$G839,AT$5)-SUMIFS(TF_Timer,TF_Tekniker,AT$4,TF_Dato,$A839))*2,0)/2)))</f>
        <v/>
      </c>
      <c r="AU839">
        <f>IF(OR(AU$4="",$A839&gt;TODAY()),0,IF(OR(INDEX($B839:$D839,AU$5)="F",AND(AU$6&gt;0,$A839&lt;AU$6),AND(AU$7&gt;0,$A839&gt;AU$7)),0,MAX(0,ROUND((INDEX($E839:$G839,AU$5)-SUMIFS(TF_Timer,TF_Tekniker,AU$4,TF_Dato,$A839))*2,0)/2)))</f>
        <v/>
      </c>
      <c r="AV839">
        <f>IF(OR(AV$4="",$A839&gt;TODAY()),0,IF(OR(INDEX($B839:$D839,AV$5)="F",AND(AV$6&gt;0,$A839&lt;AV$6),AND(AV$7&gt;0,$A839&gt;AV$7)),0,MAX(0,ROUND((INDEX($E839:$G839,AV$5)-SUMIFS(TF_Timer,TF_Tekniker,AV$4,TF_Dato,$A839))*2,0)/2)))</f>
        <v/>
      </c>
      <c r="AW839">
        <f>IF(OR(AW$4="",$A839&gt;TODAY()),0,IF(OR(INDEX($B839:$D839,AW$5)="F",AND(AW$6&gt;0,$A839&lt;AW$6),AND(AW$7&gt;0,$A839&gt;AW$7)),0,MAX(0,ROUND((INDEX($E839:$G839,AW$5)-SUMIFS(TF_Timer,TF_Tekniker,AW$4,TF_Dato,$A839))*2,0)/2)))</f>
        <v/>
      </c>
      <c r="AX839">
        <f>IF(OR(AX$4="",$A839&gt;TODAY()),0,IF(OR(INDEX($B839:$D839,AX$5)="F",AND(AX$6&gt;0,$A839&lt;AX$6),AND(AX$7&gt;0,$A839&gt;AX$7)),0,MAX(0,ROUND((INDEX($E839:$G839,AX$5)-SUMIFS(TF_Timer,TF_Tekniker,AX$4,TF_Dato,$A839))*2,0)/2)))</f>
        <v/>
      </c>
      <c r="AY839">
        <f>IF(OR(AY$4="",$A839&gt;TODAY()),0,IF(OR(INDEX($B839:$D839,AY$5)="F",AND(AY$6&gt;0,$A839&lt;AY$6),AND(AY$7&gt;0,$A839&gt;AY$7)),0,MAX(0,ROUND((INDEX($E839:$G839,AY$5)-SUMIFS(TF_Timer,TF_Tekniker,AY$4,TF_Dato,$A839))*2,0)/2)))</f>
        <v/>
      </c>
      <c r="AZ839">
        <f>IF(OR(AZ$4="",$A839&gt;TODAY()),0,IF(OR(INDEX($B839:$D839,AZ$5)="F",AND(AZ$6&gt;0,$A839&lt;AZ$6),AND(AZ$7&gt;0,$A839&gt;AZ$7)),0,MAX(0,ROUND((INDEX($E839:$G839,AZ$5)-SUMIFS(TF_Timer,TF_Tekniker,AZ$4,TF_Dato,$A839))*2,0)/2)))</f>
        <v/>
      </c>
      <c r="BA839">
        <f>IF(OR(BA$4="",$A839&gt;TODAY()),0,IF(OR(INDEX($B839:$D839,BA$5)="F",AND(BA$6&gt;0,$A839&lt;BA$6),AND(BA$7&gt;0,$A839&gt;BA$7)),0,MAX(0,ROUND((INDEX($E839:$G839,BA$5)-SUMIFS(TF_Timer,TF_Tekniker,BA$4,TF_Dato,$A839))*2,0)/2)))</f>
        <v/>
      </c>
      <c r="BB839">
        <f>IF(OR(BB$4="",$A839&gt;TODAY()),0,IF(OR(INDEX($B839:$D839,BB$5)="F",AND(BB$6&gt;0,$A839&lt;BB$6),AND(BB$7&gt;0,$A839&gt;BB$7)),0,MAX(0,ROUND((INDEX($E839:$G839,BB$5)-SUMIFS(TF_Timer,TF_Tekniker,BB$4,TF_Dato,$A839))*2,0)/2)))</f>
        <v/>
      </c>
      <c r="BC839">
        <f>IF(OR(BC$4="",$A839&gt;TODAY()),0,IF(OR(INDEX($B839:$D839,BC$5)="F",AND(BC$6&gt;0,$A839&lt;BC$6),AND(BC$7&gt;0,$A839&gt;BC$7)),0,MAX(0,ROUND((INDEX($E839:$G839,BC$5)-SUMIFS(TF_Timer,TF_Tekniker,BC$4,TF_Dato,$A839))*2,0)/2)))</f>
        <v/>
      </c>
      <c r="BD839">
        <f>IF(OR(BD$4="",$A839&gt;TODAY()),0,IF(OR(INDEX($B839:$D839,BD$5)="F",AND(BD$6&gt;0,$A839&lt;BD$6),AND(BD$7&gt;0,$A839&gt;BD$7)),0,MAX(0,ROUND((INDEX($E839:$G839,BD$5)-SUMIFS(TF_Timer,TF_Tekniker,BD$4,TF_Dato,$A839))*2,0)/2)))</f>
        <v/>
      </c>
      <c r="BE839">
        <f>IF(OR(BE$4="",$A839&gt;TODAY()),0,IF(OR(INDEX($B839:$D839,BE$5)="F",AND(BE$6&gt;0,$A839&lt;BE$6),AND(BE$7&gt;0,$A839&gt;BE$7)),0,MAX(0,ROUND((INDEX($E839:$G839,BE$5)-SUMIFS(TF_Timer,TF_Tekniker,BE$4,TF_Dato,$A839))*2,0)/2)))</f>
        <v/>
      </c>
      <c r="BF839">
        <f>IF(OR(BF$4="",$A839&gt;TODAY()),0,IF(OR(INDEX($B839:$D839,BF$5)="F",AND(BF$6&gt;0,$A839&lt;BF$6),AND(BF$7&gt;0,$A839&gt;BF$7)),0,MAX(0,ROUND((INDEX($E839:$G839,BF$5)-SUMIFS(TF_Timer,TF_Tekniker,BF$4,TF_Dato,$A839))*2,0)/2)))</f>
        <v/>
      </c>
      <c r="BG839">
        <f>IF(OR(BG$4="",$A839&gt;TODAY()),0,IF(OR(INDEX($B839:$D839,BG$5)="F",AND(BG$6&gt;0,$A839&lt;BG$6),AND(BG$7&gt;0,$A839&gt;BG$7)),0,MAX(0,ROUND((INDEX($E839:$G839,BG$5)-SUMIFS(TF_Timer,TF_Tekniker,BG$4,TF_Dato,$A839))*2,0)/2)))</f>
        <v/>
      </c>
      <c r="BH839">
        <f>IF(OR(BH$4="",$A839&gt;TODAY()),0,IF(OR(INDEX($B839:$D839,BH$5)="F",AND(BH$6&gt;0,$A839&lt;BH$6),AND(BH$7&gt;0,$A839&gt;BH$7)),0,MAX(0,ROUND((INDEX($E839:$G839,BH$5)-SUMIFS(TF_Timer,TF_Tekniker,BH$4,TF_Dato,$A839))*2,0)/2)))</f>
        <v/>
      </c>
      <c r="BI839">
        <f>IF(OR(BI$4="",$A839&gt;TODAY()),0,IF(OR(INDEX($B839:$D839,BI$5)="F",AND(BI$6&gt;0,$A839&lt;BI$6),AND(BI$7&gt;0,$A839&gt;BI$7)),0,MAX(0,ROUND((INDEX($E839:$G839,BI$5)-SUMIFS(TF_Timer,TF_Tekniker,BI$4,TF_Dato,$A839))*2,0)/2)))</f>
        <v/>
      </c>
    </row>
    <row r="840">
      <c r="A840" s="64">
        <f>A839+1</f>
        <v/>
      </c>
      <c r="B840">
        <f>IF(MOD($A840-INDEX(SkiftStart,1),Syklus)&lt;DagK,"K",IF(MOD($A840-INDEX(SkiftStart,1),Syklus)&lt;DagK+DagH,"H",IF(MOD($A840-INDEX(SkiftStart,1),Syklus)&lt;DagK+DagH+DagD,"D","F")))</f>
        <v/>
      </c>
      <c r="C840">
        <f>IF(MOD($A840-INDEX(SkiftStart,2),Syklus)&lt;DagK,"K",IF(MOD($A840-INDEX(SkiftStart,2),Syklus)&lt;DagK+DagH,"H",IF(MOD($A840-INDEX(SkiftStart,2),Syklus)&lt;DagK+DagH+DagD,"D","F")))</f>
        <v/>
      </c>
      <c r="D840">
        <f>IF(MOD($A840-INDEX(SkiftStart,3),Syklus)&lt;DagK,"K",IF(MOD($A840-INDEX(SkiftStart,3),Syklus)&lt;DagK+DagH,"H",IF(MOD($A840-INDEX(SkiftStart,3),Syklus)&lt;DagK+DagH+DagD,"D","F")))</f>
        <v/>
      </c>
      <c r="E840">
        <f>IF(B840="F",0,IF(WEEKDAY($A840,2)=5,INDEX(TimerFr,MATCH(B840,FaseKode,0)),INDEX(TimerMT,MATCH(B840,FaseKode,0))))</f>
        <v/>
      </c>
      <c r="F840">
        <f>IF(C840="F",0,IF(WEEKDAY($A840,2)=5,INDEX(TimerFr,MATCH(C840,FaseKode,0)),INDEX(TimerMT,MATCH(C840,FaseKode,0))))</f>
        <v/>
      </c>
      <c r="G840">
        <f>IF(D840="F",0,IF(WEEKDAY($A840,2)=5,INDEX(TimerFr,MATCH(D840,FaseKode,0)),INDEX(TimerMT,MATCH(D840,FaseKode,0))))</f>
        <v/>
      </c>
      <c r="H840">
        <f>IF(OR(H$4="",$A840&gt;TODAY()),0,IF(OR(INDEX($B840:$D840,H$5)="F",AND(H$6&gt;0,$A840&lt;H$6),AND(H$7&gt;0,$A840&gt;H$7)),0,MAX(0,ROUND((INDEX($E840:$G840,H$5)-SUMIFS(TF_Timer,TF_Tekniker,H$4,TF_Dato,$A840))*2,0)/2)))</f>
        <v/>
      </c>
      <c r="I840">
        <f>IF(OR(I$4="",$A840&gt;TODAY()),0,IF(OR(INDEX($B840:$D840,I$5)="F",AND(I$6&gt;0,$A840&lt;I$6),AND(I$7&gt;0,$A840&gt;I$7)),0,MAX(0,ROUND((INDEX($E840:$G840,I$5)-SUMIFS(TF_Timer,TF_Tekniker,I$4,TF_Dato,$A840))*2,0)/2)))</f>
        <v/>
      </c>
      <c r="J840">
        <f>IF(OR(J$4="",$A840&gt;TODAY()),0,IF(OR(INDEX($B840:$D840,J$5)="F",AND(J$6&gt;0,$A840&lt;J$6),AND(J$7&gt;0,$A840&gt;J$7)),0,MAX(0,ROUND((INDEX($E840:$G840,J$5)-SUMIFS(TF_Timer,TF_Tekniker,J$4,TF_Dato,$A840))*2,0)/2)))</f>
        <v/>
      </c>
      <c r="K840">
        <f>IF(OR(K$4="",$A840&gt;TODAY()),0,IF(OR(INDEX($B840:$D840,K$5)="F",AND(K$6&gt;0,$A840&lt;K$6),AND(K$7&gt;0,$A840&gt;K$7)),0,MAX(0,ROUND((INDEX($E840:$G840,K$5)-SUMIFS(TF_Timer,TF_Tekniker,K$4,TF_Dato,$A840))*2,0)/2)))</f>
        <v/>
      </c>
      <c r="L840">
        <f>IF(OR(L$4="",$A840&gt;TODAY()),0,IF(OR(INDEX($B840:$D840,L$5)="F",AND(L$6&gt;0,$A840&lt;L$6),AND(L$7&gt;0,$A840&gt;L$7)),0,MAX(0,ROUND((INDEX($E840:$G840,L$5)-SUMIFS(TF_Timer,TF_Tekniker,L$4,TF_Dato,$A840))*2,0)/2)))</f>
        <v/>
      </c>
      <c r="M840">
        <f>IF(OR(M$4="",$A840&gt;TODAY()),0,IF(OR(INDEX($B840:$D840,M$5)="F",AND(M$6&gt;0,$A840&lt;M$6),AND(M$7&gt;0,$A840&gt;M$7)),0,MAX(0,ROUND((INDEX($E840:$G840,M$5)-SUMIFS(TF_Timer,TF_Tekniker,M$4,TF_Dato,$A840))*2,0)/2)))</f>
        <v/>
      </c>
      <c r="N840">
        <f>IF(OR(N$4="",$A840&gt;TODAY()),0,IF(OR(INDEX($B840:$D840,N$5)="F",AND(N$6&gt;0,$A840&lt;N$6),AND(N$7&gt;0,$A840&gt;N$7)),0,MAX(0,ROUND((INDEX($E840:$G840,N$5)-SUMIFS(TF_Timer,TF_Tekniker,N$4,TF_Dato,$A840))*2,0)/2)))</f>
        <v/>
      </c>
      <c r="O840">
        <f>IF(OR(O$4="",$A840&gt;TODAY()),0,IF(OR(INDEX($B840:$D840,O$5)="F",AND(O$6&gt;0,$A840&lt;O$6),AND(O$7&gt;0,$A840&gt;O$7)),0,MAX(0,ROUND((INDEX($E840:$G840,O$5)-SUMIFS(TF_Timer,TF_Tekniker,O$4,TF_Dato,$A840))*2,0)/2)))</f>
        <v/>
      </c>
      <c r="P840">
        <f>IF(OR(P$4="",$A840&gt;TODAY()),0,IF(OR(INDEX($B840:$D840,P$5)="F",AND(P$6&gt;0,$A840&lt;P$6),AND(P$7&gt;0,$A840&gt;P$7)),0,MAX(0,ROUND((INDEX($E840:$G840,P$5)-SUMIFS(TF_Timer,TF_Tekniker,P$4,TF_Dato,$A840))*2,0)/2)))</f>
        <v/>
      </c>
      <c r="Q840">
        <f>IF(OR(Q$4="",$A840&gt;TODAY()),0,IF(OR(INDEX($B840:$D840,Q$5)="F",AND(Q$6&gt;0,$A840&lt;Q$6),AND(Q$7&gt;0,$A840&gt;Q$7)),0,MAX(0,ROUND((INDEX($E840:$G840,Q$5)-SUMIFS(TF_Timer,TF_Tekniker,Q$4,TF_Dato,$A840))*2,0)/2)))</f>
        <v/>
      </c>
      <c r="R840">
        <f>IF(OR(R$4="",$A840&gt;TODAY()),0,IF(OR(INDEX($B840:$D840,R$5)="F",AND(R$6&gt;0,$A840&lt;R$6),AND(R$7&gt;0,$A840&gt;R$7)),0,MAX(0,ROUND((INDEX($E840:$G840,R$5)-SUMIFS(TF_Timer,TF_Tekniker,R$4,TF_Dato,$A840))*2,0)/2)))</f>
        <v/>
      </c>
      <c r="S840">
        <f>IF(OR(S$4="",$A840&gt;TODAY()),0,IF(OR(INDEX($B840:$D840,S$5)="F",AND(S$6&gt;0,$A840&lt;S$6),AND(S$7&gt;0,$A840&gt;S$7)),0,MAX(0,ROUND((INDEX($E840:$G840,S$5)-SUMIFS(TF_Timer,TF_Tekniker,S$4,TF_Dato,$A840))*2,0)/2)))</f>
        <v/>
      </c>
      <c r="T840">
        <f>IF(OR(T$4="",$A840&gt;TODAY()),0,IF(OR(INDEX($B840:$D840,T$5)="F",AND(T$6&gt;0,$A840&lt;T$6),AND(T$7&gt;0,$A840&gt;T$7)),0,MAX(0,ROUND((INDEX($E840:$G840,T$5)-SUMIFS(TF_Timer,TF_Tekniker,T$4,TF_Dato,$A840))*2,0)/2)))</f>
        <v/>
      </c>
      <c r="U840">
        <f>IF(OR(U$4="",$A840&gt;TODAY()),0,IF(OR(INDEX($B840:$D840,U$5)="F",AND(U$6&gt;0,$A840&lt;U$6),AND(U$7&gt;0,$A840&gt;U$7)),0,MAX(0,ROUND((INDEX($E840:$G840,U$5)-SUMIFS(TF_Timer,TF_Tekniker,U$4,TF_Dato,$A840))*2,0)/2)))</f>
        <v/>
      </c>
      <c r="V840">
        <f>IF(OR(V$4="",$A840&gt;TODAY()),0,IF(OR(INDEX($B840:$D840,V$5)="F",AND(V$6&gt;0,$A840&lt;V$6),AND(V$7&gt;0,$A840&gt;V$7)),0,MAX(0,ROUND((INDEX($E840:$G840,V$5)-SUMIFS(TF_Timer,TF_Tekniker,V$4,TF_Dato,$A840))*2,0)/2)))</f>
        <v/>
      </c>
      <c r="W840">
        <f>IF(OR(W$4="",$A840&gt;TODAY()),0,IF(OR(INDEX($B840:$D840,W$5)="F",AND(W$6&gt;0,$A840&lt;W$6),AND(W$7&gt;0,$A840&gt;W$7)),0,MAX(0,ROUND((INDEX($E840:$G840,W$5)-SUMIFS(TF_Timer,TF_Tekniker,W$4,TF_Dato,$A840))*2,0)/2)))</f>
        <v/>
      </c>
      <c r="X840">
        <f>IF(OR(X$4="",$A840&gt;TODAY()),0,IF(OR(INDEX($B840:$D840,X$5)="F",AND(X$6&gt;0,$A840&lt;X$6),AND(X$7&gt;0,$A840&gt;X$7)),0,MAX(0,ROUND((INDEX($E840:$G840,X$5)-SUMIFS(TF_Timer,TF_Tekniker,X$4,TF_Dato,$A840))*2,0)/2)))</f>
        <v/>
      </c>
      <c r="Y840">
        <f>IF(OR(Y$4="",$A840&gt;TODAY()),0,IF(OR(INDEX($B840:$D840,Y$5)="F",AND(Y$6&gt;0,$A840&lt;Y$6),AND(Y$7&gt;0,$A840&gt;Y$7)),0,MAX(0,ROUND((INDEX($E840:$G840,Y$5)-SUMIFS(TF_Timer,TF_Tekniker,Y$4,TF_Dato,$A840))*2,0)/2)))</f>
        <v/>
      </c>
      <c r="Z840">
        <f>IF(OR(Z$4="",$A840&gt;TODAY()),0,IF(OR(INDEX($B840:$D840,Z$5)="F",AND(Z$6&gt;0,$A840&lt;Z$6),AND(Z$7&gt;0,$A840&gt;Z$7)),0,MAX(0,ROUND((INDEX($E840:$G840,Z$5)-SUMIFS(TF_Timer,TF_Tekniker,Z$4,TF_Dato,$A840))*2,0)/2)))</f>
        <v/>
      </c>
      <c r="AA840">
        <f>IF(OR(AA$4="",$A840&gt;TODAY()),0,IF(OR(INDEX($B840:$D840,AA$5)="F",AND(AA$6&gt;0,$A840&lt;AA$6),AND(AA$7&gt;0,$A840&gt;AA$7)),0,MAX(0,ROUND((INDEX($E840:$G840,AA$5)-SUMIFS(TF_Timer,TF_Tekniker,AA$4,TF_Dato,$A840))*2,0)/2)))</f>
        <v/>
      </c>
      <c r="AB840">
        <f>IF(OR(AB$4="",$A840&gt;TODAY()),0,IF(OR(INDEX($B840:$D840,AB$5)="F",AND(AB$6&gt;0,$A840&lt;AB$6),AND(AB$7&gt;0,$A840&gt;AB$7)),0,MAX(0,ROUND((INDEX($E840:$G840,AB$5)-SUMIFS(TF_Timer,TF_Tekniker,AB$4,TF_Dato,$A840))*2,0)/2)))</f>
        <v/>
      </c>
      <c r="AC840">
        <f>IF(OR(AC$4="",$A840&gt;TODAY()),0,IF(OR(INDEX($B840:$D840,AC$5)="F",AND(AC$6&gt;0,$A840&lt;AC$6),AND(AC$7&gt;0,$A840&gt;AC$7)),0,MAX(0,ROUND((INDEX($E840:$G840,AC$5)-SUMIFS(TF_Timer,TF_Tekniker,AC$4,TF_Dato,$A840))*2,0)/2)))</f>
        <v/>
      </c>
      <c r="AD840">
        <f>IF(OR(AD$4="",$A840&gt;TODAY()),0,IF(OR(INDEX($B840:$D840,AD$5)="F",AND(AD$6&gt;0,$A840&lt;AD$6),AND(AD$7&gt;0,$A840&gt;AD$7)),0,MAX(0,ROUND((INDEX($E840:$G840,AD$5)-SUMIFS(TF_Timer,TF_Tekniker,AD$4,TF_Dato,$A840))*2,0)/2)))</f>
        <v/>
      </c>
      <c r="AE840">
        <f>IF(OR(AE$4="",$A840&gt;TODAY()),0,IF(OR(INDEX($B840:$D840,AE$5)="F",AND(AE$6&gt;0,$A840&lt;AE$6),AND(AE$7&gt;0,$A840&gt;AE$7)),0,MAX(0,ROUND((INDEX($E840:$G840,AE$5)-SUMIFS(TF_Timer,TF_Tekniker,AE$4,TF_Dato,$A840))*2,0)/2)))</f>
        <v/>
      </c>
      <c r="AF840">
        <f>IF(OR(AF$4="",$A840&gt;TODAY()),0,IF(OR(INDEX($B840:$D840,AF$5)="F",AND(AF$6&gt;0,$A840&lt;AF$6),AND(AF$7&gt;0,$A840&gt;AF$7)),0,MAX(0,ROUND((INDEX($E840:$G840,AF$5)-SUMIFS(TF_Timer,TF_Tekniker,AF$4,TF_Dato,$A840))*2,0)/2)))</f>
        <v/>
      </c>
      <c r="AG840">
        <f>IF(OR(AG$4="",$A840&gt;TODAY()),0,IF(OR(INDEX($B840:$D840,AG$5)="F",AND(AG$6&gt;0,$A840&lt;AG$6),AND(AG$7&gt;0,$A840&gt;AG$7)),0,MAX(0,ROUND((INDEX($E840:$G840,AG$5)-SUMIFS(TF_Timer,TF_Tekniker,AG$4,TF_Dato,$A840))*2,0)/2)))</f>
        <v/>
      </c>
      <c r="AH840">
        <f>IF(OR(AH$4="",$A840&gt;TODAY()),0,IF(OR(INDEX($B840:$D840,AH$5)="F",AND(AH$6&gt;0,$A840&lt;AH$6),AND(AH$7&gt;0,$A840&gt;AH$7)),0,MAX(0,ROUND((INDEX($E840:$G840,AH$5)-SUMIFS(TF_Timer,TF_Tekniker,AH$4,TF_Dato,$A840))*2,0)/2)))</f>
        <v/>
      </c>
      <c r="AI840">
        <f>IF(OR(AI$4="",$A840&gt;TODAY()),0,IF(OR(INDEX($B840:$D840,AI$5)="F",AND(AI$6&gt;0,$A840&lt;AI$6),AND(AI$7&gt;0,$A840&gt;AI$7)),0,MAX(0,ROUND((INDEX($E840:$G840,AI$5)-SUMIFS(TF_Timer,TF_Tekniker,AI$4,TF_Dato,$A840))*2,0)/2)))</f>
        <v/>
      </c>
      <c r="AJ840">
        <f>IF(OR(AJ$4="",$A840&gt;TODAY()),0,IF(OR(INDEX($B840:$D840,AJ$5)="F",AND(AJ$6&gt;0,$A840&lt;AJ$6),AND(AJ$7&gt;0,$A840&gt;AJ$7)),0,MAX(0,ROUND((INDEX($E840:$G840,AJ$5)-SUMIFS(TF_Timer,TF_Tekniker,AJ$4,TF_Dato,$A840))*2,0)/2)))</f>
        <v/>
      </c>
      <c r="AK840">
        <f>IF(OR(AK$4="",$A840&gt;TODAY()),0,IF(OR(INDEX($B840:$D840,AK$5)="F",AND(AK$6&gt;0,$A840&lt;AK$6),AND(AK$7&gt;0,$A840&gt;AK$7)),0,MAX(0,ROUND((INDEX($E840:$G840,AK$5)-SUMIFS(TF_Timer,TF_Tekniker,AK$4,TF_Dato,$A840))*2,0)/2)))</f>
        <v/>
      </c>
      <c r="AL840">
        <f>IF(OR(AL$4="",$A840&gt;TODAY()),0,IF(OR(INDEX($B840:$D840,AL$5)="F",AND(AL$6&gt;0,$A840&lt;AL$6),AND(AL$7&gt;0,$A840&gt;AL$7)),0,MAX(0,ROUND((INDEX($E840:$G840,AL$5)-SUMIFS(TF_Timer,TF_Tekniker,AL$4,TF_Dato,$A840))*2,0)/2)))</f>
        <v/>
      </c>
      <c r="AM840">
        <f>IF(OR(AM$4="",$A840&gt;TODAY()),0,IF(OR(INDEX($B840:$D840,AM$5)="F",AND(AM$6&gt;0,$A840&lt;AM$6),AND(AM$7&gt;0,$A840&gt;AM$7)),0,MAX(0,ROUND((INDEX($E840:$G840,AM$5)-SUMIFS(TF_Timer,TF_Tekniker,AM$4,TF_Dato,$A840))*2,0)/2)))</f>
        <v/>
      </c>
      <c r="AN840">
        <f>IF(OR(AN$4="",$A840&gt;TODAY()),0,IF(OR(INDEX($B840:$D840,AN$5)="F",AND(AN$6&gt;0,$A840&lt;AN$6),AND(AN$7&gt;0,$A840&gt;AN$7)),0,MAX(0,ROUND((INDEX($E840:$G840,AN$5)-SUMIFS(TF_Timer,TF_Tekniker,AN$4,TF_Dato,$A840))*2,0)/2)))</f>
        <v/>
      </c>
      <c r="AO840">
        <f>IF(OR(AO$4="",$A840&gt;TODAY()),0,IF(OR(INDEX($B840:$D840,AO$5)="F",AND(AO$6&gt;0,$A840&lt;AO$6),AND(AO$7&gt;0,$A840&gt;AO$7)),0,MAX(0,ROUND((INDEX($E840:$G840,AO$5)-SUMIFS(TF_Timer,TF_Tekniker,AO$4,TF_Dato,$A840))*2,0)/2)))</f>
        <v/>
      </c>
      <c r="AP840">
        <f>IF(OR(AP$4="",$A840&gt;TODAY()),0,IF(OR(INDEX($B840:$D840,AP$5)="F",AND(AP$6&gt;0,$A840&lt;AP$6),AND(AP$7&gt;0,$A840&gt;AP$7)),0,MAX(0,ROUND((INDEX($E840:$G840,AP$5)-SUMIFS(TF_Timer,TF_Tekniker,AP$4,TF_Dato,$A840))*2,0)/2)))</f>
        <v/>
      </c>
      <c r="AQ840">
        <f>IF(OR(AQ$4="",$A840&gt;TODAY()),0,IF(OR(INDEX($B840:$D840,AQ$5)="F",AND(AQ$6&gt;0,$A840&lt;AQ$6),AND(AQ$7&gt;0,$A840&gt;AQ$7)),0,MAX(0,ROUND((INDEX($E840:$G840,AQ$5)-SUMIFS(TF_Timer,TF_Tekniker,AQ$4,TF_Dato,$A840))*2,0)/2)))</f>
        <v/>
      </c>
      <c r="AR840">
        <f>IF(OR(AR$4="",$A840&gt;TODAY()),0,IF(OR(INDEX($B840:$D840,AR$5)="F",AND(AR$6&gt;0,$A840&lt;AR$6),AND(AR$7&gt;0,$A840&gt;AR$7)),0,MAX(0,ROUND((INDEX($E840:$G840,AR$5)-SUMIFS(TF_Timer,TF_Tekniker,AR$4,TF_Dato,$A840))*2,0)/2)))</f>
        <v/>
      </c>
      <c r="AS840">
        <f>IF(OR(AS$4="",$A840&gt;TODAY()),0,IF(OR(INDEX($B840:$D840,AS$5)="F",AND(AS$6&gt;0,$A840&lt;AS$6),AND(AS$7&gt;0,$A840&gt;AS$7)),0,MAX(0,ROUND((INDEX($E840:$G840,AS$5)-SUMIFS(TF_Timer,TF_Tekniker,AS$4,TF_Dato,$A840))*2,0)/2)))</f>
        <v/>
      </c>
      <c r="AT840">
        <f>IF(OR(AT$4="",$A840&gt;TODAY()),0,IF(OR(INDEX($B840:$D840,AT$5)="F",AND(AT$6&gt;0,$A840&lt;AT$6),AND(AT$7&gt;0,$A840&gt;AT$7)),0,MAX(0,ROUND((INDEX($E840:$G840,AT$5)-SUMIFS(TF_Timer,TF_Tekniker,AT$4,TF_Dato,$A840))*2,0)/2)))</f>
        <v/>
      </c>
      <c r="AU840">
        <f>IF(OR(AU$4="",$A840&gt;TODAY()),0,IF(OR(INDEX($B840:$D840,AU$5)="F",AND(AU$6&gt;0,$A840&lt;AU$6),AND(AU$7&gt;0,$A840&gt;AU$7)),0,MAX(0,ROUND((INDEX($E840:$G840,AU$5)-SUMIFS(TF_Timer,TF_Tekniker,AU$4,TF_Dato,$A840))*2,0)/2)))</f>
        <v/>
      </c>
      <c r="AV840">
        <f>IF(OR(AV$4="",$A840&gt;TODAY()),0,IF(OR(INDEX($B840:$D840,AV$5)="F",AND(AV$6&gt;0,$A840&lt;AV$6),AND(AV$7&gt;0,$A840&gt;AV$7)),0,MAX(0,ROUND((INDEX($E840:$G840,AV$5)-SUMIFS(TF_Timer,TF_Tekniker,AV$4,TF_Dato,$A840))*2,0)/2)))</f>
        <v/>
      </c>
      <c r="AW840">
        <f>IF(OR(AW$4="",$A840&gt;TODAY()),0,IF(OR(INDEX($B840:$D840,AW$5)="F",AND(AW$6&gt;0,$A840&lt;AW$6),AND(AW$7&gt;0,$A840&gt;AW$7)),0,MAX(0,ROUND((INDEX($E840:$G840,AW$5)-SUMIFS(TF_Timer,TF_Tekniker,AW$4,TF_Dato,$A840))*2,0)/2)))</f>
        <v/>
      </c>
      <c r="AX840">
        <f>IF(OR(AX$4="",$A840&gt;TODAY()),0,IF(OR(INDEX($B840:$D840,AX$5)="F",AND(AX$6&gt;0,$A840&lt;AX$6),AND(AX$7&gt;0,$A840&gt;AX$7)),0,MAX(0,ROUND((INDEX($E840:$G840,AX$5)-SUMIFS(TF_Timer,TF_Tekniker,AX$4,TF_Dato,$A840))*2,0)/2)))</f>
        <v/>
      </c>
      <c r="AY840">
        <f>IF(OR(AY$4="",$A840&gt;TODAY()),0,IF(OR(INDEX($B840:$D840,AY$5)="F",AND(AY$6&gt;0,$A840&lt;AY$6),AND(AY$7&gt;0,$A840&gt;AY$7)),0,MAX(0,ROUND((INDEX($E840:$G840,AY$5)-SUMIFS(TF_Timer,TF_Tekniker,AY$4,TF_Dato,$A840))*2,0)/2)))</f>
        <v/>
      </c>
      <c r="AZ840">
        <f>IF(OR(AZ$4="",$A840&gt;TODAY()),0,IF(OR(INDEX($B840:$D840,AZ$5)="F",AND(AZ$6&gt;0,$A840&lt;AZ$6),AND(AZ$7&gt;0,$A840&gt;AZ$7)),0,MAX(0,ROUND((INDEX($E840:$G840,AZ$5)-SUMIFS(TF_Timer,TF_Tekniker,AZ$4,TF_Dato,$A840))*2,0)/2)))</f>
        <v/>
      </c>
      <c r="BA840">
        <f>IF(OR(BA$4="",$A840&gt;TODAY()),0,IF(OR(INDEX($B840:$D840,BA$5)="F",AND(BA$6&gt;0,$A840&lt;BA$6),AND(BA$7&gt;0,$A840&gt;BA$7)),0,MAX(0,ROUND((INDEX($E840:$G840,BA$5)-SUMIFS(TF_Timer,TF_Tekniker,BA$4,TF_Dato,$A840))*2,0)/2)))</f>
        <v/>
      </c>
      <c r="BB840">
        <f>IF(OR(BB$4="",$A840&gt;TODAY()),0,IF(OR(INDEX($B840:$D840,BB$5)="F",AND(BB$6&gt;0,$A840&lt;BB$6),AND(BB$7&gt;0,$A840&gt;BB$7)),0,MAX(0,ROUND((INDEX($E840:$G840,BB$5)-SUMIFS(TF_Timer,TF_Tekniker,BB$4,TF_Dato,$A840))*2,0)/2)))</f>
        <v/>
      </c>
      <c r="BC840">
        <f>IF(OR(BC$4="",$A840&gt;TODAY()),0,IF(OR(INDEX($B840:$D840,BC$5)="F",AND(BC$6&gt;0,$A840&lt;BC$6),AND(BC$7&gt;0,$A840&gt;BC$7)),0,MAX(0,ROUND((INDEX($E840:$G840,BC$5)-SUMIFS(TF_Timer,TF_Tekniker,BC$4,TF_Dato,$A840))*2,0)/2)))</f>
        <v/>
      </c>
      <c r="BD840">
        <f>IF(OR(BD$4="",$A840&gt;TODAY()),0,IF(OR(INDEX($B840:$D840,BD$5)="F",AND(BD$6&gt;0,$A840&lt;BD$6),AND(BD$7&gt;0,$A840&gt;BD$7)),0,MAX(0,ROUND((INDEX($E840:$G840,BD$5)-SUMIFS(TF_Timer,TF_Tekniker,BD$4,TF_Dato,$A840))*2,0)/2)))</f>
        <v/>
      </c>
      <c r="BE840">
        <f>IF(OR(BE$4="",$A840&gt;TODAY()),0,IF(OR(INDEX($B840:$D840,BE$5)="F",AND(BE$6&gt;0,$A840&lt;BE$6),AND(BE$7&gt;0,$A840&gt;BE$7)),0,MAX(0,ROUND((INDEX($E840:$G840,BE$5)-SUMIFS(TF_Timer,TF_Tekniker,BE$4,TF_Dato,$A840))*2,0)/2)))</f>
        <v/>
      </c>
      <c r="BF840">
        <f>IF(OR(BF$4="",$A840&gt;TODAY()),0,IF(OR(INDEX($B840:$D840,BF$5)="F",AND(BF$6&gt;0,$A840&lt;BF$6),AND(BF$7&gt;0,$A840&gt;BF$7)),0,MAX(0,ROUND((INDEX($E840:$G840,BF$5)-SUMIFS(TF_Timer,TF_Tekniker,BF$4,TF_Dato,$A840))*2,0)/2)))</f>
        <v/>
      </c>
      <c r="BG840">
        <f>IF(OR(BG$4="",$A840&gt;TODAY()),0,IF(OR(INDEX($B840:$D840,BG$5)="F",AND(BG$6&gt;0,$A840&lt;BG$6),AND(BG$7&gt;0,$A840&gt;BG$7)),0,MAX(0,ROUND((INDEX($E840:$G840,BG$5)-SUMIFS(TF_Timer,TF_Tekniker,BG$4,TF_Dato,$A840))*2,0)/2)))</f>
        <v/>
      </c>
      <c r="BH840">
        <f>IF(OR(BH$4="",$A840&gt;TODAY()),0,IF(OR(INDEX($B840:$D840,BH$5)="F",AND(BH$6&gt;0,$A840&lt;BH$6),AND(BH$7&gt;0,$A840&gt;BH$7)),0,MAX(0,ROUND((INDEX($E840:$G840,BH$5)-SUMIFS(TF_Timer,TF_Tekniker,BH$4,TF_Dato,$A840))*2,0)/2)))</f>
        <v/>
      </c>
      <c r="BI840">
        <f>IF(OR(BI$4="",$A840&gt;TODAY()),0,IF(OR(INDEX($B840:$D840,BI$5)="F",AND(BI$6&gt;0,$A840&lt;BI$6),AND(BI$7&gt;0,$A840&gt;BI$7)),0,MAX(0,ROUND((INDEX($E840:$G840,BI$5)-SUMIFS(TF_Timer,TF_Tekniker,BI$4,TF_Dato,$A840))*2,0)/2)))</f>
        <v/>
      </c>
    </row>
    <row r="841">
      <c r="A841" s="64">
        <f>A840+1</f>
        <v/>
      </c>
      <c r="B841">
        <f>IF(MOD($A841-INDEX(SkiftStart,1),Syklus)&lt;DagK,"K",IF(MOD($A841-INDEX(SkiftStart,1),Syklus)&lt;DagK+DagH,"H",IF(MOD($A841-INDEX(SkiftStart,1),Syklus)&lt;DagK+DagH+DagD,"D","F")))</f>
        <v/>
      </c>
      <c r="C841">
        <f>IF(MOD($A841-INDEX(SkiftStart,2),Syklus)&lt;DagK,"K",IF(MOD($A841-INDEX(SkiftStart,2),Syklus)&lt;DagK+DagH,"H",IF(MOD($A841-INDEX(SkiftStart,2),Syklus)&lt;DagK+DagH+DagD,"D","F")))</f>
        <v/>
      </c>
      <c r="D841">
        <f>IF(MOD($A841-INDEX(SkiftStart,3),Syklus)&lt;DagK,"K",IF(MOD($A841-INDEX(SkiftStart,3),Syklus)&lt;DagK+DagH,"H",IF(MOD($A841-INDEX(SkiftStart,3),Syklus)&lt;DagK+DagH+DagD,"D","F")))</f>
        <v/>
      </c>
      <c r="E841">
        <f>IF(B841="F",0,IF(WEEKDAY($A841,2)=5,INDEX(TimerFr,MATCH(B841,FaseKode,0)),INDEX(TimerMT,MATCH(B841,FaseKode,0))))</f>
        <v/>
      </c>
      <c r="F841">
        <f>IF(C841="F",0,IF(WEEKDAY($A841,2)=5,INDEX(TimerFr,MATCH(C841,FaseKode,0)),INDEX(TimerMT,MATCH(C841,FaseKode,0))))</f>
        <v/>
      </c>
      <c r="G841">
        <f>IF(D841="F",0,IF(WEEKDAY($A841,2)=5,INDEX(TimerFr,MATCH(D841,FaseKode,0)),INDEX(TimerMT,MATCH(D841,FaseKode,0))))</f>
        <v/>
      </c>
      <c r="H841">
        <f>IF(OR(H$4="",$A841&gt;TODAY()),0,IF(OR(INDEX($B841:$D841,H$5)="F",AND(H$6&gt;0,$A841&lt;H$6),AND(H$7&gt;0,$A841&gt;H$7)),0,MAX(0,ROUND((INDEX($E841:$G841,H$5)-SUMIFS(TF_Timer,TF_Tekniker,H$4,TF_Dato,$A841))*2,0)/2)))</f>
        <v/>
      </c>
      <c r="I841">
        <f>IF(OR(I$4="",$A841&gt;TODAY()),0,IF(OR(INDEX($B841:$D841,I$5)="F",AND(I$6&gt;0,$A841&lt;I$6),AND(I$7&gt;0,$A841&gt;I$7)),0,MAX(0,ROUND((INDEX($E841:$G841,I$5)-SUMIFS(TF_Timer,TF_Tekniker,I$4,TF_Dato,$A841))*2,0)/2)))</f>
        <v/>
      </c>
      <c r="J841">
        <f>IF(OR(J$4="",$A841&gt;TODAY()),0,IF(OR(INDEX($B841:$D841,J$5)="F",AND(J$6&gt;0,$A841&lt;J$6),AND(J$7&gt;0,$A841&gt;J$7)),0,MAX(0,ROUND((INDEX($E841:$G841,J$5)-SUMIFS(TF_Timer,TF_Tekniker,J$4,TF_Dato,$A841))*2,0)/2)))</f>
        <v/>
      </c>
      <c r="K841">
        <f>IF(OR(K$4="",$A841&gt;TODAY()),0,IF(OR(INDEX($B841:$D841,K$5)="F",AND(K$6&gt;0,$A841&lt;K$6),AND(K$7&gt;0,$A841&gt;K$7)),0,MAX(0,ROUND((INDEX($E841:$G841,K$5)-SUMIFS(TF_Timer,TF_Tekniker,K$4,TF_Dato,$A841))*2,0)/2)))</f>
        <v/>
      </c>
      <c r="L841">
        <f>IF(OR(L$4="",$A841&gt;TODAY()),0,IF(OR(INDEX($B841:$D841,L$5)="F",AND(L$6&gt;0,$A841&lt;L$6),AND(L$7&gt;0,$A841&gt;L$7)),0,MAX(0,ROUND((INDEX($E841:$G841,L$5)-SUMIFS(TF_Timer,TF_Tekniker,L$4,TF_Dato,$A841))*2,0)/2)))</f>
        <v/>
      </c>
      <c r="M841">
        <f>IF(OR(M$4="",$A841&gt;TODAY()),0,IF(OR(INDEX($B841:$D841,M$5)="F",AND(M$6&gt;0,$A841&lt;M$6),AND(M$7&gt;0,$A841&gt;M$7)),0,MAX(0,ROUND((INDEX($E841:$G841,M$5)-SUMIFS(TF_Timer,TF_Tekniker,M$4,TF_Dato,$A841))*2,0)/2)))</f>
        <v/>
      </c>
      <c r="N841">
        <f>IF(OR(N$4="",$A841&gt;TODAY()),0,IF(OR(INDEX($B841:$D841,N$5)="F",AND(N$6&gt;0,$A841&lt;N$6),AND(N$7&gt;0,$A841&gt;N$7)),0,MAX(0,ROUND((INDEX($E841:$G841,N$5)-SUMIFS(TF_Timer,TF_Tekniker,N$4,TF_Dato,$A841))*2,0)/2)))</f>
        <v/>
      </c>
      <c r="O841">
        <f>IF(OR(O$4="",$A841&gt;TODAY()),0,IF(OR(INDEX($B841:$D841,O$5)="F",AND(O$6&gt;0,$A841&lt;O$6),AND(O$7&gt;0,$A841&gt;O$7)),0,MAX(0,ROUND((INDEX($E841:$G841,O$5)-SUMIFS(TF_Timer,TF_Tekniker,O$4,TF_Dato,$A841))*2,0)/2)))</f>
        <v/>
      </c>
      <c r="P841">
        <f>IF(OR(P$4="",$A841&gt;TODAY()),0,IF(OR(INDEX($B841:$D841,P$5)="F",AND(P$6&gt;0,$A841&lt;P$6),AND(P$7&gt;0,$A841&gt;P$7)),0,MAX(0,ROUND((INDEX($E841:$G841,P$5)-SUMIFS(TF_Timer,TF_Tekniker,P$4,TF_Dato,$A841))*2,0)/2)))</f>
        <v/>
      </c>
      <c r="Q841">
        <f>IF(OR(Q$4="",$A841&gt;TODAY()),0,IF(OR(INDEX($B841:$D841,Q$5)="F",AND(Q$6&gt;0,$A841&lt;Q$6),AND(Q$7&gt;0,$A841&gt;Q$7)),0,MAX(0,ROUND((INDEX($E841:$G841,Q$5)-SUMIFS(TF_Timer,TF_Tekniker,Q$4,TF_Dato,$A841))*2,0)/2)))</f>
        <v/>
      </c>
      <c r="R841">
        <f>IF(OR(R$4="",$A841&gt;TODAY()),0,IF(OR(INDEX($B841:$D841,R$5)="F",AND(R$6&gt;0,$A841&lt;R$6),AND(R$7&gt;0,$A841&gt;R$7)),0,MAX(0,ROUND((INDEX($E841:$G841,R$5)-SUMIFS(TF_Timer,TF_Tekniker,R$4,TF_Dato,$A841))*2,0)/2)))</f>
        <v/>
      </c>
      <c r="S841">
        <f>IF(OR(S$4="",$A841&gt;TODAY()),0,IF(OR(INDEX($B841:$D841,S$5)="F",AND(S$6&gt;0,$A841&lt;S$6),AND(S$7&gt;0,$A841&gt;S$7)),0,MAX(0,ROUND((INDEX($E841:$G841,S$5)-SUMIFS(TF_Timer,TF_Tekniker,S$4,TF_Dato,$A841))*2,0)/2)))</f>
        <v/>
      </c>
      <c r="T841">
        <f>IF(OR(T$4="",$A841&gt;TODAY()),0,IF(OR(INDEX($B841:$D841,T$5)="F",AND(T$6&gt;0,$A841&lt;T$6),AND(T$7&gt;0,$A841&gt;T$7)),0,MAX(0,ROUND((INDEX($E841:$G841,T$5)-SUMIFS(TF_Timer,TF_Tekniker,T$4,TF_Dato,$A841))*2,0)/2)))</f>
        <v/>
      </c>
      <c r="U841">
        <f>IF(OR(U$4="",$A841&gt;TODAY()),0,IF(OR(INDEX($B841:$D841,U$5)="F",AND(U$6&gt;0,$A841&lt;U$6),AND(U$7&gt;0,$A841&gt;U$7)),0,MAX(0,ROUND((INDEX($E841:$G841,U$5)-SUMIFS(TF_Timer,TF_Tekniker,U$4,TF_Dato,$A841))*2,0)/2)))</f>
        <v/>
      </c>
      <c r="V841">
        <f>IF(OR(V$4="",$A841&gt;TODAY()),0,IF(OR(INDEX($B841:$D841,V$5)="F",AND(V$6&gt;0,$A841&lt;V$6),AND(V$7&gt;0,$A841&gt;V$7)),0,MAX(0,ROUND((INDEX($E841:$G841,V$5)-SUMIFS(TF_Timer,TF_Tekniker,V$4,TF_Dato,$A841))*2,0)/2)))</f>
        <v/>
      </c>
      <c r="W841">
        <f>IF(OR(W$4="",$A841&gt;TODAY()),0,IF(OR(INDEX($B841:$D841,W$5)="F",AND(W$6&gt;0,$A841&lt;W$6),AND(W$7&gt;0,$A841&gt;W$7)),0,MAX(0,ROUND((INDEX($E841:$G841,W$5)-SUMIFS(TF_Timer,TF_Tekniker,W$4,TF_Dato,$A841))*2,0)/2)))</f>
        <v/>
      </c>
      <c r="X841">
        <f>IF(OR(X$4="",$A841&gt;TODAY()),0,IF(OR(INDEX($B841:$D841,X$5)="F",AND(X$6&gt;0,$A841&lt;X$6),AND(X$7&gt;0,$A841&gt;X$7)),0,MAX(0,ROUND((INDEX($E841:$G841,X$5)-SUMIFS(TF_Timer,TF_Tekniker,X$4,TF_Dato,$A841))*2,0)/2)))</f>
        <v/>
      </c>
      <c r="Y841">
        <f>IF(OR(Y$4="",$A841&gt;TODAY()),0,IF(OR(INDEX($B841:$D841,Y$5)="F",AND(Y$6&gt;0,$A841&lt;Y$6),AND(Y$7&gt;0,$A841&gt;Y$7)),0,MAX(0,ROUND((INDEX($E841:$G841,Y$5)-SUMIFS(TF_Timer,TF_Tekniker,Y$4,TF_Dato,$A841))*2,0)/2)))</f>
        <v/>
      </c>
      <c r="Z841">
        <f>IF(OR(Z$4="",$A841&gt;TODAY()),0,IF(OR(INDEX($B841:$D841,Z$5)="F",AND(Z$6&gt;0,$A841&lt;Z$6),AND(Z$7&gt;0,$A841&gt;Z$7)),0,MAX(0,ROUND((INDEX($E841:$G841,Z$5)-SUMIFS(TF_Timer,TF_Tekniker,Z$4,TF_Dato,$A841))*2,0)/2)))</f>
        <v/>
      </c>
      <c r="AA841">
        <f>IF(OR(AA$4="",$A841&gt;TODAY()),0,IF(OR(INDEX($B841:$D841,AA$5)="F",AND(AA$6&gt;0,$A841&lt;AA$6),AND(AA$7&gt;0,$A841&gt;AA$7)),0,MAX(0,ROUND((INDEX($E841:$G841,AA$5)-SUMIFS(TF_Timer,TF_Tekniker,AA$4,TF_Dato,$A841))*2,0)/2)))</f>
        <v/>
      </c>
      <c r="AB841">
        <f>IF(OR(AB$4="",$A841&gt;TODAY()),0,IF(OR(INDEX($B841:$D841,AB$5)="F",AND(AB$6&gt;0,$A841&lt;AB$6),AND(AB$7&gt;0,$A841&gt;AB$7)),0,MAX(0,ROUND((INDEX($E841:$G841,AB$5)-SUMIFS(TF_Timer,TF_Tekniker,AB$4,TF_Dato,$A841))*2,0)/2)))</f>
        <v/>
      </c>
      <c r="AC841">
        <f>IF(OR(AC$4="",$A841&gt;TODAY()),0,IF(OR(INDEX($B841:$D841,AC$5)="F",AND(AC$6&gt;0,$A841&lt;AC$6),AND(AC$7&gt;0,$A841&gt;AC$7)),0,MAX(0,ROUND((INDEX($E841:$G841,AC$5)-SUMIFS(TF_Timer,TF_Tekniker,AC$4,TF_Dato,$A841))*2,0)/2)))</f>
        <v/>
      </c>
      <c r="AD841">
        <f>IF(OR(AD$4="",$A841&gt;TODAY()),0,IF(OR(INDEX($B841:$D841,AD$5)="F",AND(AD$6&gt;0,$A841&lt;AD$6),AND(AD$7&gt;0,$A841&gt;AD$7)),0,MAX(0,ROUND((INDEX($E841:$G841,AD$5)-SUMIFS(TF_Timer,TF_Tekniker,AD$4,TF_Dato,$A841))*2,0)/2)))</f>
        <v/>
      </c>
      <c r="AE841">
        <f>IF(OR(AE$4="",$A841&gt;TODAY()),0,IF(OR(INDEX($B841:$D841,AE$5)="F",AND(AE$6&gt;0,$A841&lt;AE$6),AND(AE$7&gt;0,$A841&gt;AE$7)),0,MAX(0,ROUND((INDEX($E841:$G841,AE$5)-SUMIFS(TF_Timer,TF_Tekniker,AE$4,TF_Dato,$A841))*2,0)/2)))</f>
        <v/>
      </c>
      <c r="AF841">
        <f>IF(OR(AF$4="",$A841&gt;TODAY()),0,IF(OR(INDEX($B841:$D841,AF$5)="F",AND(AF$6&gt;0,$A841&lt;AF$6),AND(AF$7&gt;0,$A841&gt;AF$7)),0,MAX(0,ROUND((INDEX($E841:$G841,AF$5)-SUMIFS(TF_Timer,TF_Tekniker,AF$4,TF_Dato,$A841))*2,0)/2)))</f>
        <v/>
      </c>
      <c r="AG841">
        <f>IF(OR(AG$4="",$A841&gt;TODAY()),0,IF(OR(INDEX($B841:$D841,AG$5)="F",AND(AG$6&gt;0,$A841&lt;AG$6),AND(AG$7&gt;0,$A841&gt;AG$7)),0,MAX(0,ROUND((INDEX($E841:$G841,AG$5)-SUMIFS(TF_Timer,TF_Tekniker,AG$4,TF_Dato,$A841))*2,0)/2)))</f>
        <v/>
      </c>
      <c r="AH841">
        <f>IF(OR(AH$4="",$A841&gt;TODAY()),0,IF(OR(INDEX($B841:$D841,AH$5)="F",AND(AH$6&gt;0,$A841&lt;AH$6),AND(AH$7&gt;0,$A841&gt;AH$7)),0,MAX(0,ROUND((INDEX($E841:$G841,AH$5)-SUMIFS(TF_Timer,TF_Tekniker,AH$4,TF_Dato,$A841))*2,0)/2)))</f>
        <v/>
      </c>
      <c r="AI841">
        <f>IF(OR(AI$4="",$A841&gt;TODAY()),0,IF(OR(INDEX($B841:$D841,AI$5)="F",AND(AI$6&gt;0,$A841&lt;AI$6),AND(AI$7&gt;0,$A841&gt;AI$7)),0,MAX(0,ROUND((INDEX($E841:$G841,AI$5)-SUMIFS(TF_Timer,TF_Tekniker,AI$4,TF_Dato,$A841))*2,0)/2)))</f>
        <v/>
      </c>
      <c r="AJ841">
        <f>IF(OR(AJ$4="",$A841&gt;TODAY()),0,IF(OR(INDEX($B841:$D841,AJ$5)="F",AND(AJ$6&gt;0,$A841&lt;AJ$6),AND(AJ$7&gt;0,$A841&gt;AJ$7)),0,MAX(0,ROUND((INDEX($E841:$G841,AJ$5)-SUMIFS(TF_Timer,TF_Tekniker,AJ$4,TF_Dato,$A841))*2,0)/2)))</f>
        <v/>
      </c>
      <c r="AK841">
        <f>IF(OR(AK$4="",$A841&gt;TODAY()),0,IF(OR(INDEX($B841:$D841,AK$5)="F",AND(AK$6&gt;0,$A841&lt;AK$6),AND(AK$7&gt;0,$A841&gt;AK$7)),0,MAX(0,ROUND((INDEX($E841:$G841,AK$5)-SUMIFS(TF_Timer,TF_Tekniker,AK$4,TF_Dato,$A841))*2,0)/2)))</f>
        <v/>
      </c>
      <c r="AL841">
        <f>IF(OR(AL$4="",$A841&gt;TODAY()),0,IF(OR(INDEX($B841:$D841,AL$5)="F",AND(AL$6&gt;0,$A841&lt;AL$6),AND(AL$7&gt;0,$A841&gt;AL$7)),0,MAX(0,ROUND((INDEX($E841:$G841,AL$5)-SUMIFS(TF_Timer,TF_Tekniker,AL$4,TF_Dato,$A841))*2,0)/2)))</f>
        <v/>
      </c>
      <c r="AM841">
        <f>IF(OR(AM$4="",$A841&gt;TODAY()),0,IF(OR(INDEX($B841:$D841,AM$5)="F",AND(AM$6&gt;0,$A841&lt;AM$6),AND(AM$7&gt;0,$A841&gt;AM$7)),0,MAX(0,ROUND((INDEX($E841:$G841,AM$5)-SUMIFS(TF_Timer,TF_Tekniker,AM$4,TF_Dato,$A841))*2,0)/2)))</f>
        <v/>
      </c>
      <c r="AN841">
        <f>IF(OR(AN$4="",$A841&gt;TODAY()),0,IF(OR(INDEX($B841:$D841,AN$5)="F",AND(AN$6&gt;0,$A841&lt;AN$6),AND(AN$7&gt;0,$A841&gt;AN$7)),0,MAX(0,ROUND((INDEX($E841:$G841,AN$5)-SUMIFS(TF_Timer,TF_Tekniker,AN$4,TF_Dato,$A841))*2,0)/2)))</f>
        <v/>
      </c>
      <c r="AO841">
        <f>IF(OR(AO$4="",$A841&gt;TODAY()),0,IF(OR(INDEX($B841:$D841,AO$5)="F",AND(AO$6&gt;0,$A841&lt;AO$6),AND(AO$7&gt;0,$A841&gt;AO$7)),0,MAX(0,ROUND((INDEX($E841:$G841,AO$5)-SUMIFS(TF_Timer,TF_Tekniker,AO$4,TF_Dato,$A841))*2,0)/2)))</f>
        <v/>
      </c>
      <c r="AP841">
        <f>IF(OR(AP$4="",$A841&gt;TODAY()),0,IF(OR(INDEX($B841:$D841,AP$5)="F",AND(AP$6&gt;0,$A841&lt;AP$6),AND(AP$7&gt;0,$A841&gt;AP$7)),0,MAX(0,ROUND((INDEX($E841:$G841,AP$5)-SUMIFS(TF_Timer,TF_Tekniker,AP$4,TF_Dato,$A841))*2,0)/2)))</f>
        <v/>
      </c>
      <c r="AQ841">
        <f>IF(OR(AQ$4="",$A841&gt;TODAY()),0,IF(OR(INDEX($B841:$D841,AQ$5)="F",AND(AQ$6&gt;0,$A841&lt;AQ$6),AND(AQ$7&gt;0,$A841&gt;AQ$7)),0,MAX(0,ROUND((INDEX($E841:$G841,AQ$5)-SUMIFS(TF_Timer,TF_Tekniker,AQ$4,TF_Dato,$A841))*2,0)/2)))</f>
        <v/>
      </c>
      <c r="AR841">
        <f>IF(OR(AR$4="",$A841&gt;TODAY()),0,IF(OR(INDEX($B841:$D841,AR$5)="F",AND(AR$6&gt;0,$A841&lt;AR$6),AND(AR$7&gt;0,$A841&gt;AR$7)),0,MAX(0,ROUND((INDEX($E841:$G841,AR$5)-SUMIFS(TF_Timer,TF_Tekniker,AR$4,TF_Dato,$A841))*2,0)/2)))</f>
        <v/>
      </c>
      <c r="AS841">
        <f>IF(OR(AS$4="",$A841&gt;TODAY()),0,IF(OR(INDEX($B841:$D841,AS$5)="F",AND(AS$6&gt;0,$A841&lt;AS$6),AND(AS$7&gt;0,$A841&gt;AS$7)),0,MAX(0,ROUND((INDEX($E841:$G841,AS$5)-SUMIFS(TF_Timer,TF_Tekniker,AS$4,TF_Dato,$A841))*2,0)/2)))</f>
        <v/>
      </c>
      <c r="AT841">
        <f>IF(OR(AT$4="",$A841&gt;TODAY()),0,IF(OR(INDEX($B841:$D841,AT$5)="F",AND(AT$6&gt;0,$A841&lt;AT$6),AND(AT$7&gt;0,$A841&gt;AT$7)),0,MAX(0,ROUND((INDEX($E841:$G841,AT$5)-SUMIFS(TF_Timer,TF_Tekniker,AT$4,TF_Dato,$A841))*2,0)/2)))</f>
        <v/>
      </c>
      <c r="AU841">
        <f>IF(OR(AU$4="",$A841&gt;TODAY()),0,IF(OR(INDEX($B841:$D841,AU$5)="F",AND(AU$6&gt;0,$A841&lt;AU$6),AND(AU$7&gt;0,$A841&gt;AU$7)),0,MAX(0,ROUND((INDEX($E841:$G841,AU$5)-SUMIFS(TF_Timer,TF_Tekniker,AU$4,TF_Dato,$A841))*2,0)/2)))</f>
        <v/>
      </c>
      <c r="AV841">
        <f>IF(OR(AV$4="",$A841&gt;TODAY()),0,IF(OR(INDEX($B841:$D841,AV$5)="F",AND(AV$6&gt;0,$A841&lt;AV$6),AND(AV$7&gt;0,$A841&gt;AV$7)),0,MAX(0,ROUND((INDEX($E841:$G841,AV$5)-SUMIFS(TF_Timer,TF_Tekniker,AV$4,TF_Dato,$A841))*2,0)/2)))</f>
        <v/>
      </c>
      <c r="AW841">
        <f>IF(OR(AW$4="",$A841&gt;TODAY()),0,IF(OR(INDEX($B841:$D841,AW$5)="F",AND(AW$6&gt;0,$A841&lt;AW$6),AND(AW$7&gt;0,$A841&gt;AW$7)),0,MAX(0,ROUND((INDEX($E841:$G841,AW$5)-SUMIFS(TF_Timer,TF_Tekniker,AW$4,TF_Dato,$A841))*2,0)/2)))</f>
        <v/>
      </c>
      <c r="AX841">
        <f>IF(OR(AX$4="",$A841&gt;TODAY()),0,IF(OR(INDEX($B841:$D841,AX$5)="F",AND(AX$6&gt;0,$A841&lt;AX$6),AND(AX$7&gt;0,$A841&gt;AX$7)),0,MAX(0,ROUND((INDEX($E841:$G841,AX$5)-SUMIFS(TF_Timer,TF_Tekniker,AX$4,TF_Dato,$A841))*2,0)/2)))</f>
        <v/>
      </c>
      <c r="AY841">
        <f>IF(OR(AY$4="",$A841&gt;TODAY()),0,IF(OR(INDEX($B841:$D841,AY$5)="F",AND(AY$6&gt;0,$A841&lt;AY$6),AND(AY$7&gt;0,$A841&gt;AY$7)),0,MAX(0,ROUND((INDEX($E841:$G841,AY$5)-SUMIFS(TF_Timer,TF_Tekniker,AY$4,TF_Dato,$A841))*2,0)/2)))</f>
        <v/>
      </c>
      <c r="AZ841">
        <f>IF(OR(AZ$4="",$A841&gt;TODAY()),0,IF(OR(INDEX($B841:$D841,AZ$5)="F",AND(AZ$6&gt;0,$A841&lt;AZ$6),AND(AZ$7&gt;0,$A841&gt;AZ$7)),0,MAX(0,ROUND((INDEX($E841:$G841,AZ$5)-SUMIFS(TF_Timer,TF_Tekniker,AZ$4,TF_Dato,$A841))*2,0)/2)))</f>
        <v/>
      </c>
      <c r="BA841">
        <f>IF(OR(BA$4="",$A841&gt;TODAY()),0,IF(OR(INDEX($B841:$D841,BA$5)="F",AND(BA$6&gt;0,$A841&lt;BA$6),AND(BA$7&gt;0,$A841&gt;BA$7)),0,MAX(0,ROUND((INDEX($E841:$G841,BA$5)-SUMIFS(TF_Timer,TF_Tekniker,BA$4,TF_Dato,$A841))*2,0)/2)))</f>
        <v/>
      </c>
      <c r="BB841">
        <f>IF(OR(BB$4="",$A841&gt;TODAY()),0,IF(OR(INDEX($B841:$D841,BB$5)="F",AND(BB$6&gt;0,$A841&lt;BB$6),AND(BB$7&gt;0,$A841&gt;BB$7)),0,MAX(0,ROUND((INDEX($E841:$G841,BB$5)-SUMIFS(TF_Timer,TF_Tekniker,BB$4,TF_Dato,$A841))*2,0)/2)))</f>
        <v/>
      </c>
      <c r="BC841">
        <f>IF(OR(BC$4="",$A841&gt;TODAY()),0,IF(OR(INDEX($B841:$D841,BC$5)="F",AND(BC$6&gt;0,$A841&lt;BC$6),AND(BC$7&gt;0,$A841&gt;BC$7)),0,MAX(0,ROUND((INDEX($E841:$G841,BC$5)-SUMIFS(TF_Timer,TF_Tekniker,BC$4,TF_Dato,$A841))*2,0)/2)))</f>
        <v/>
      </c>
      <c r="BD841">
        <f>IF(OR(BD$4="",$A841&gt;TODAY()),0,IF(OR(INDEX($B841:$D841,BD$5)="F",AND(BD$6&gt;0,$A841&lt;BD$6),AND(BD$7&gt;0,$A841&gt;BD$7)),0,MAX(0,ROUND((INDEX($E841:$G841,BD$5)-SUMIFS(TF_Timer,TF_Tekniker,BD$4,TF_Dato,$A841))*2,0)/2)))</f>
        <v/>
      </c>
      <c r="BE841">
        <f>IF(OR(BE$4="",$A841&gt;TODAY()),0,IF(OR(INDEX($B841:$D841,BE$5)="F",AND(BE$6&gt;0,$A841&lt;BE$6),AND(BE$7&gt;0,$A841&gt;BE$7)),0,MAX(0,ROUND((INDEX($E841:$G841,BE$5)-SUMIFS(TF_Timer,TF_Tekniker,BE$4,TF_Dato,$A841))*2,0)/2)))</f>
        <v/>
      </c>
      <c r="BF841">
        <f>IF(OR(BF$4="",$A841&gt;TODAY()),0,IF(OR(INDEX($B841:$D841,BF$5)="F",AND(BF$6&gt;0,$A841&lt;BF$6),AND(BF$7&gt;0,$A841&gt;BF$7)),0,MAX(0,ROUND((INDEX($E841:$G841,BF$5)-SUMIFS(TF_Timer,TF_Tekniker,BF$4,TF_Dato,$A841))*2,0)/2)))</f>
        <v/>
      </c>
      <c r="BG841">
        <f>IF(OR(BG$4="",$A841&gt;TODAY()),0,IF(OR(INDEX($B841:$D841,BG$5)="F",AND(BG$6&gt;0,$A841&lt;BG$6),AND(BG$7&gt;0,$A841&gt;BG$7)),0,MAX(0,ROUND((INDEX($E841:$G841,BG$5)-SUMIFS(TF_Timer,TF_Tekniker,BG$4,TF_Dato,$A841))*2,0)/2)))</f>
        <v/>
      </c>
      <c r="BH841">
        <f>IF(OR(BH$4="",$A841&gt;TODAY()),0,IF(OR(INDEX($B841:$D841,BH$5)="F",AND(BH$6&gt;0,$A841&lt;BH$6),AND(BH$7&gt;0,$A841&gt;BH$7)),0,MAX(0,ROUND((INDEX($E841:$G841,BH$5)-SUMIFS(TF_Timer,TF_Tekniker,BH$4,TF_Dato,$A841))*2,0)/2)))</f>
        <v/>
      </c>
      <c r="BI841">
        <f>IF(OR(BI$4="",$A841&gt;TODAY()),0,IF(OR(INDEX($B841:$D841,BI$5)="F",AND(BI$6&gt;0,$A841&lt;BI$6),AND(BI$7&gt;0,$A841&gt;BI$7)),0,MAX(0,ROUND((INDEX($E841:$G841,BI$5)-SUMIFS(TF_Timer,TF_Tekniker,BI$4,TF_Dato,$A841))*2,0)/2)))</f>
        <v/>
      </c>
    </row>
    <row r="842">
      <c r="A842" s="64">
        <f>A841+1</f>
        <v/>
      </c>
      <c r="B842">
        <f>IF(MOD($A842-INDEX(SkiftStart,1),Syklus)&lt;DagK,"K",IF(MOD($A842-INDEX(SkiftStart,1),Syklus)&lt;DagK+DagH,"H",IF(MOD($A842-INDEX(SkiftStart,1),Syklus)&lt;DagK+DagH+DagD,"D","F")))</f>
        <v/>
      </c>
      <c r="C842">
        <f>IF(MOD($A842-INDEX(SkiftStart,2),Syklus)&lt;DagK,"K",IF(MOD($A842-INDEX(SkiftStart,2),Syklus)&lt;DagK+DagH,"H",IF(MOD($A842-INDEX(SkiftStart,2),Syklus)&lt;DagK+DagH+DagD,"D","F")))</f>
        <v/>
      </c>
      <c r="D842">
        <f>IF(MOD($A842-INDEX(SkiftStart,3),Syklus)&lt;DagK,"K",IF(MOD($A842-INDEX(SkiftStart,3),Syklus)&lt;DagK+DagH,"H",IF(MOD($A842-INDEX(SkiftStart,3),Syklus)&lt;DagK+DagH+DagD,"D","F")))</f>
        <v/>
      </c>
      <c r="E842">
        <f>IF(B842="F",0,IF(WEEKDAY($A842,2)=5,INDEX(TimerFr,MATCH(B842,FaseKode,0)),INDEX(TimerMT,MATCH(B842,FaseKode,0))))</f>
        <v/>
      </c>
      <c r="F842">
        <f>IF(C842="F",0,IF(WEEKDAY($A842,2)=5,INDEX(TimerFr,MATCH(C842,FaseKode,0)),INDEX(TimerMT,MATCH(C842,FaseKode,0))))</f>
        <v/>
      </c>
      <c r="G842">
        <f>IF(D842="F",0,IF(WEEKDAY($A842,2)=5,INDEX(TimerFr,MATCH(D842,FaseKode,0)),INDEX(TimerMT,MATCH(D842,FaseKode,0))))</f>
        <v/>
      </c>
      <c r="H842">
        <f>IF(OR(H$4="",$A842&gt;TODAY()),0,IF(OR(INDEX($B842:$D842,H$5)="F",AND(H$6&gt;0,$A842&lt;H$6),AND(H$7&gt;0,$A842&gt;H$7)),0,MAX(0,ROUND((INDEX($E842:$G842,H$5)-SUMIFS(TF_Timer,TF_Tekniker,H$4,TF_Dato,$A842))*2,0)/2)))</f>
        <v/>
      </c>
      <c r="I842">
        <f>IF(OR(I$4="",$A842&gt;TODAY()),0,IF(OR(INDEX($B842:$D842,I$5)="F",AND(I$6&gt;0,$A842&lt;I$6),AND(I$7&gt;0,$A842&gt;I$7)),0,MAX(0,ROUND((INDEX($E842:$G842,I$5)-SUMIFS(TF_Timer,TF_Tekniker,I$4,TF_Dato,$A842))*2,0)/2)))</f>
        <v/>
      </c>
      <c r="J842">
        <f>IF(OR(J$4="",$A842&gt;TODAY()),0,IF(OR(INDEX($B842:$D842,J$5)="F",AND(J$6&gt;0,$A842&lt;J$6),AND(J$7&gt;0,$A842&gt;J$7)),0,MAX(0,ROUND((INDEX($E842:$G842,J$5)-SUMIFS(TF_Timer,TF_Tekniker,J$4,TF_Dato,$A842))*2,0)/2)))</f>
        <v/>
      </c>
      <c r="K842">
        <f>IF(OR(K$4="",$A842&gt;TODAY()),0,IF(OR(INDEX($B842:$D842,K$5)="F",AND(K$6&gt;0,$A842&lt;K$6),AND(K$7&gt;0,$A842&gt;K$7)),0,MAX(0,ROUND((INDEX($E842:$G842,K$5)-SUMIFS(TF_Timer,TF_Tekniker,K$4,TF_Dato,$A842))*2,0)/2)))</f>
        <v/>
      </c>
      <c r="L842">
        <f>IF(OR(L$4="",$A842&gt;TODAY()),0,IF(OR(INDEX($B842:$D842,L$5)="F",AND(L$6&gt;0,$A842&lt;L$6),AND(L$7&gt;0,$A842&gt;L$7)),0,MAX(0,ROUND((INDEX($E842:$G842,L$5)-SUMIFS(TF_Timer,TF_Tekniker,L$4,TF_Dato,$A842))*2,0)/2)))</f>
        <v/>
      </c>
      <c r="M842">
        <f>IF(OR(M$4="",$A842&gt;TODAY()),0,IF(OR(INDEX($B842:$D842,M$5)="F",AND(M$6&gt;0,$A842&lt;M$6),AND(M$7&gt;0,$A842&gt;M$7)),0,MAX(0,ROUND((INDEX($E842:$G842,M$5)-SUMIFS(TF_Timer,TF_Tekniker,M$4,TF_Dato,$A842))*2,0)/2)))</f>
        <v/>
      </c>
      <c r="N842">
        <f>IF(OR(N$4="",$A842&gt;TODAY()),0,IF(OR(INDEX($B842:$D842,N$5)="F",AND(N$6&gt;0,$A842&lt;N$6),AND(N$7&gt;0,$A842&gt;N$7)),0,MAX(0,ROUND((INDEX($E842:$G842,N$5)-SUMIFS(TF_Timer,TF_Tekniker,N$4,TF_Dato,$A842))*2,0)/2)))</f>
        <v/>
      </c>
      <c r="O842">
        <f>IF(OR(O$4="",$A842&gt;TODAY()),0,IF(OR(INDEX($B842:$D842,O$5)="F",AND(O$6&gt;0,$A842&lt;O$6),AND(O$7&gt;0,$A842&gt;O$7)),0,MAX(0,ROUND((INDEX($E842:$G842,O$5)-SUMIFS(TF_Timer,TF_Tekniker,O$4,TF_Dato,$A842))*2,0)/2)))</f>
        <v/>
      </c>
      <c r="P842">
        <f>IF(OR(P$4="",$A842&gt;TODAY()),0,IF(OR(INDEX($B842:$D842,P$5)="F",AND(P$6&gt;0,$A842&lt;P$6),AND(P$7&gt;0,$A842&gt;P$7)),0,MAX(0,ROUND((INDEX($E842:$G842,P$5)-SUMIFS(TF_Timer,TF_Tekniker,P$4,TF_Dato,$A842))*2,0)/2)))</f>
        <v/>
      </c>
      <c r="Q842">
        <f>IF(OR(Q$4="",$A842&gt;TODAY()),0,IF(OR(INDEX($B842:$D842,Q$5)="F",AND(Q$6&gt;0,$A842&lt;Q$6),AND(Q$7&gt;0,$A842&gt;Q$7)),0,MAX(0,ROUND((INDEX($E842:$G842,Q$5)-SUMIFS(TF_Timer,TF_Tekniker,Q$4,TF_Dato,$A842))*2,0)/2)))</f>
        <v/>
      </c>
      <c r="R842">
        <f>IF(OR(R$4="",$A842&gt;TODAY()),0,IF(OR(INDEX($B842:$D842,R$5)="F",AND(R$6&gt;0,$A842&lt;R$6),AND(R$7&gt;0,$A842&gt;R$7)),0,MAX(0,ROUND((INDEX($E842:$G842,R$5)-SUMIFS(TF_Timer,TF_Tekniker,R$4,TF_Dato,$A842))*2,0)/2)))</f>
        <v/>
      </c>
      <c r="S842">
        <f>IF(OR(S$4="",$A842&gt;TODAY()),0,IF(OR(INDEX($B842:$D842,S$5)="F",AND(S$6&gt;0,$A842&lt;S$6),AND(S$7&gt;0,$A842&gt;S$7)),0,MAX(0,ROUND((INDEX($E842:$G842,S$5)-SUMIFS(TF_Timer,TF_Tekniker,S$4,TF_Dato,$A842))*2,0)/2)))</f>
        <v/>
      </c>
      <c r="T842">
        <f>IF(OR(T$4="",$A842&gt;TODAY()),0,IF(OR(INDEX($B842:$D842,T$5)="F",AND(T$6&gt;0,$A842&lt;T$6),AND(T$7&gt;0,$A842&gt;T$7)),0,MAX(0,ROUND((INDEX($E842:$G842,T$5)-SUMIFS(TF_Timer,TF_Tekniker,T$4,TF_Dato,$A842))*2,0)/2)))</f>
        <v/>
      </c>
      <c r="U842">
        <f>IF(OR(U$4="",$A842&gt;TODAY()),0,IF(OR(INDEX($B842:$D842,U$5)="F",AND(U$6&gt;0,$A842&lt;U$6),AND(U$7&gt;0,$A842&gt;U$7)),0,MAX(0,ROUND((INDEX($E842:$G842,U$5)-SUMIFS(TF_Timer,TF_Tekniker,U$4,TF_Dato,$A842))*2,0)/2)))</f>
        <v/>
      </c>
      <c r="V842">
        <f>IF(OR(V$4="",$A842&gt;TODAY()),0,IF(OR(INDEX($B842:$D842,V$5)="F",AND(V$6&gt;0,$A842&lt;V$6),AND(V$7&gt;0,$A842&gt;V$7)),0,MAX(0,ROUND((INDEX($E842:$G842,V$5)-SUMIFS(TF_Timer,TF_Tekniker,V$4,TF_Dato,$A842))*2,0)/2)))</f>
        <v/>
      </c>
      <c r="W842">
        <f>IF(OR(W$4="",$A842&gt;TODAY()),0,IF(OR(INDEX($B842:$D842,W$5)="F",AND(W$6&gt;0,$A842&lt;W$6),AND(W$7&gt;0,$A842&gt;W$7)),0,MAX(0,ROUND((INDEX($E842:$G842,W$5)-SUMIFS(TF_Timer,TF_Tekniker,W$4,TF_Dato,$A842))*2,0)/2)))</f>
        <v/>
      </c>
      <c r="X842">
        <f>IF(OR(X$4="",$A842&gt;TODAY()),0,IF(OR(INDEX($B842:$D842,X$5)="F",AND(X$6&gt;0,$A842&lt;X$6),AND(X$7&gt;0,$A842&gt;X$7)),0,MAX(0,ROUND((INDEX($E842:$G842,X$5)-SUMIFS(TF_Timer,TF_Tekniker,X$4,TF_Dato,$A842))*2,0)/2)))</f>
        <v/>
      </c>
      <c r="Y842">
        <f>IF(OR(Y$4="",$A842&gt;TODAY()),0,IF(OR(INDEX($B842:$D842,Y$5)="F",AND(Y$6&gt;0,$A842&lt;Y$6),AND(Y$7&gt;0,$A842&gt;Y$7)),0,MAX(0,ROUND((INDEX($E842:$G842,Y$5)-SUMIFS(TF_Timer,TF_Tekniker,Y$4,TF_Dato,$A842))*2,0)/2)))</f>
        <v/>
      </c>
      <c r="Z842">
        <f>IF(OR(Z$4="",$A842&gt;TODAY()),0,IF(OR(INDEX($B842:$D842,Z$5)="F",AND(Z$6&gt;0,$A842&lt;Z$6),AND(Z$7&gt;0,$A842&gt;Z$7)),0,MAX(0,ROUND((INDEX($E842:$G842,Z$5)-SUMIFS(TF_Timer,TF_Tekniker,Z$4,TF_Dato,$A842))*2,0)/2)))</f>
        <v/>
      </c>
      <c r="AA842">
        <f>IF(OR(AA$4="",$A842&gt;TODAY()),0,IF(OR(INDEX($B842:$D842,AA$5)="F",AND(AA$6&gt;0,$A842&lt;AA$6),AND(AA$7&gt;0,$A842&gt;AA$7)),0,MAX(0,ROUND((INDEX($E842:$G842,AA$5)-SUMIFS(TF_Timer,TF_Tekniker,AA$4,TF_Dato,$A842))*2,0)/2)))</f>
        <v/>
      </c>
      <c r="AB842">
        <f>IF(OR(AB$4="",$A842&gt;TODAY()),0,IF(OR(INDEX($B842:$D842,AB$5)="F",AND(AB$6&gt;0,$A842&lt;AB$6),AND(AB$7&gt;0,$A842&gt;AB$7)),0,MAX(0,ROUND((INDEX($E842:$G842,AB$5)-SUMIFS(TF_Timer,TF_Tekniker,AB$4,TF_Dato,$A842))*2,0)/2)))</f>
        <v/>
      </c>
      <c r="AC842">
        <f>IF(OR(AC$4="",$A842&gt;TODAY()),0,IF(OR(INDEX($B842:$D842,AC$5)="F",AND(AC$6&gt;0,$A842&lt;AC$6),AND(AC$7&gt;0,$A842&gt;AC$7)),0,MAX(0,ROUND((INDEX($E842:$G842,AC$5)-SUMIFS(TF_Timer,TF_Tekniker,AC$4,TF_Dato,$A842))*2,0)/2)))</f>
        <v/>
      </c>
      <c r="AD842">
        <f>IF(OR(AD$4="",$A842&gt;TODAY()),0,IF(OR(INDEX($B842:$D842,AD$5)="F",AND(AD$6&gt;0,$A842&lt;AD$6),AND(AD$7&gt;0,$A842&gt;AD$7)),0,MAX(0,ROUND((INDEX($E842:$G842,AD$5)-SUMIFS(TF_Timer,TF_Tekniker,AD$4,TF_Dato,$A842))*2,0)/2)))</f>
        <v/>
      </c>
      <c r="AE842">
        <f>IF(OR(AE$4="",$A842&gt;TODAY()),0,IF(OR(INDEX($B842:$D842,AE$5)="F",AND(AE$6&gt;0,$A842&lt;AE$6),AND(AE$7&gt;0,$A842&gt;AE$7)),0,MAX(0,ROUND((INDEX($E842:$G842,AE$5)-SUMIFS(TF_Timer,TF_Tekniker,AE$4,TF_Dato,$A842))*2,0)/2)))</f>
        <v/>
      </c>
      <c r="AF842">
        <f>IF(OR(AF$4="",$A842&gt;TODAY()),0,IF(OR(INDEX($B842:$D842,AF$5)="F",AND(AF$6&gt;0,$A842&lt;AF$6),AND(AF$7&gt;0,$A842&gt;AF$7)),0,MAX(0,ROUND((INDEX($E842:$G842,AF$5)-SUMIFS(TF_Timer,TF_Tekniker,AF$4,TF_Dato,$A842))*2,0)/2)))</f>
        <v/>
      </c>
      <c r="AG842">
        <f>IF(OR(AG$4="",$A842&gt;TODAY()),0,IF(OR(INDEX($B842:$D842,AG$5)="F",AND(AG$6&gt;0,$A842&lt;AG$6),AND(AG$7&gt;0,$A842&gt;AG$7)),0,MAX(0,ROUND((INDEX($E842:$G842,AG$5)-SUMIFS(TF_Timer,TF_Tekniker,AG$4,TF_Dato,$A842))*2,0)/2)))</f>
        <v/>
      </c>
      <c r="AH842">
        <f>IF(OR(AH$4="",$A842&gt;TODAY()),0,IF(OR(INDEX($B842:$D842,AH$5)="F",AND(AH$6&gt;0,$A842&lt;AH$6),AND(AH$7&gt;0,$A842&gt;AH$7)),0,MAX(0,ROUND((INDEX($E842:$G842,AH$5)-SUMIFS(TF_Timer,TF_Tekniker,AH$4,TF_Dato,$A842))*2,0)/2)))</f>
        <v/>
      </c>
      <c r="AI842">
        <f>IF(OR(AI$4="",$A842&gt;TODAY()),0,IF(OR(INDEX($B842:$D842,AI$5)="F",AND(AI$6&gt;0,$A842&lt;AI$6),AND(AI$7&gt;0,$A842&gt;AI$7)),0,MAX(0,ROUND((INDEX($E842:$G842,AI$5)-SUMIFS(TF_Timer,TF_Tekniker,AI$4,TF_Dato,$A842))*2,0)/2)))</f>
        <v/>
      </c>
      <c r="AJ842">
        <f>IF(OR(AJ$4="",$A842&gt;TODAY()),0,IF(OR(INDEX($B842:$D842,AJ$5)="F",AND(AJ$6&gt;0,$A842&lt;AJ$6),AND(AJ$7&gt;0,$A842&gt;AJ$7)),0,MAX(0,ROUND((INDEX($E842:$G842,AJ$5)-SUMIFS(TF_Timer,TF_Tekniker,AJ$4,TF_Dato,$A842))*2,0)/2)))</f>
        <v/>
      </c>
      <c r="AK842">
        <f>IF(OR(AK$4="",$A842&gt;TODAY()),0,IF(OR(INDEX($B842:$D842,AK$5)="F",AND(AK$6&gt;0,$A842&lt;AK$6),AND(AK$7&gt;0,$A842&gt;AK$7)),0,MAX(0,ROUND((INDEX($E842:$G842,AK$5)-SUMIFS(TF_Timer,TF_Tekniker,AK$4,TF_Dato,$A842))*2,0)/2)))</f>
        <v/>
      </c>
      <c r="AL842">
        <f>IF(OR(AL$4="",$A842&gt;TODAY()),0,IF(OR(INDEX($B842:$D842,AL$5)="F",AND(AL$6&gt;0,$A842&lt;AL$6),AND(AL$7&gt;0,$A842&gt;AL$7)),0,MAX(0,ROUND((INDEX($E842:$G842,AL$5)-SUMIFS(TF_Timer,TF_Tekniker,AL$4,TF_Dato,$A842))*2,0)/2)))</f>
        <v/>
      </c>
      <c r="AM842">
        <f>IF(OR(AM$4="",$A842&gt;TODAY()),0,IF(OR(INDEX($B842:$D842,AM$5)="F",AND(AM$6&gt;0,$A842&lt;AM$6),AND(AM$7&gt;0,$A842&gt;AM$7)),0,MAX(0,ROUND((INDEX($E842:$G842,AM$5)-SUMIFS(TF_Timer,TF_Tekniker,AM$4,TF_Dato,$A842))*2,0)/2)))</f>
        <v/>
      </c>
      <c r="AN842">
        <f>IF(OR(AN$4="",$A842&gt;TODAY()),0,IF(OR(INDEX($B842:$D842,AN$5)="F",AND(AN$6&gt;0,$A842&lt;AN$6),AND(AN$7&gt;0,$A842&gt;AN$7)),0,MAX(0,ROUND((INDEX($E842:$G842,AN$5)-SUMIFS(TF_Timer,TF_Tekniker,AN$4,TF_Dato,$A842))*2,0)/2)))</f>
        <v/>
      </c>
      <c r="AO842">
        <f>IF(OR(AO$4="",$A842&gt;TODAY()),0,IF(OR(INDEX($B842:$D842,AO$5)="F",AND(AO$6&gt;0,$A842&lt;AO$6),AND(AO$7&gt;0,$A842&gt;AO$7)),0,MAX(0,ROUND((INDEX($E842:$G842,AO$5)-SUMIFS(TF_Timer,TF_Tekniker,AO$4,TF_Dato,$A842))*2,0)/2)))</f>
        <v/>
      </c>
      <c r="AP842">
        <f>IF(OR(AP$4="",$A842&gt;TODAY()),0,IF(OR(INDEX($B842:$D842,AP$5)="F",AND(AP$6&gt;0,$A842&lt;AP$6),AND(AP$7&gt;0,$A842&gt;AP$7)),0,MAX(0,ROUND((INDEX($E842:$G842,AP$5)-SUMIFS(TF_Timer,TF_Tekniker,AP$4,TF_Dato,$A842))*2,0)/2)))</f>
        <v/>
      </c>
      <c r="AQ842">
        <f>IF(OR(AQ$4="",$A842&gt;TODAY()),0,IF(OR(INDEX($B842:$D842,AQ$5)="F",AND(AQ$6&gt;0,$A842&lt;AQ$6),AND(AQ$7&gt;0,$A842&gt;AQ$7)),0,MAX(0,ROUND((INDEX($E842:$G842,AQ$5)-SUMIFS(TF_Timer,TF_Tekniker,AQ$4,TF_Dato,$A842))*2,0)/2)))</f>
        <v/>
      </c>
      <c r="AR842">
        <f>IF(OR(AR$4="",$A842&gt;TODAY()),0,IF(OR(INDEX($B842:$D842,AR$5)="F",AND(AR$6&gt;0,$A842&lt;AR$6),AND(AR$7&gt;0,$A842&gt;AR$7)),0,MAX(0,ROUND((INDEX($E842:$G842,AR$5)-SUMIFS(TF_Timer,TF_Tekniker,AR$4,TF_Dato,$A842))*2,0)/2)))</f>
        <v/>
      </c>
      <c r="AS842">
        <f>IF(OR(AS$4="",$A842&gt;TODAY()),0,IF(OR(INDEX($B842:$D842,AS$5)="F",AND(AS$6&gt;0,$A842&lt;AS$6),AND(AS$7&gt;0,$A842&gt;AS$7)),0,MAX(0,ROUND((INDEX($E842:$G842,AS$5)-SUMIFS(TF_Timer,TF_Tekniker,AS$4,TF_Dato,$A842))*2,0)/2)))</f>
        <v/>
      </c>
      <c r="AT842">
        <f>IF(OR(AT$4="",$A842&gt;TODAY()),0,IF(OR(INDEX($B842:$D842,AT$5)="F",AND(AT$6&gt;0,$A842&lt;AT$6),AND(AT$7&gt;0,$A842&gt;AT$7)),0,MAX(0,ROUND((INDEX($E842:$G842,AT$5)-SUMIFS(TF_Timer,TF_Tekniker,AT$4,TF_Dato,$A842))*2,0)/2)))</f>
        <v/>
      </c>
      <c r="AU842">
        <f>IF(OR(AU$4="",$A842&gt;TODAY()),0,IF(OR(INDEX($B842:$D842,AU$5)="F",AND(AU$6&gt;0,$A842&lt;AU$6),AND(AU$7&gt;0,$A842&gt;AU$7)),0,MAX(0,ROUND((INDEX($E842:$G842,AU$5)-SUMIFS(TF_Timer,TF_Tekniker,AU$4,TF_Dato,$A842))*2,0)/2)))</f>
        <v/>
      </c>
      <c r="AV842">
        <f>IF(OR(AV$4="",$A842&gt;TODAY()),0,IF(OR(INDEX($B842:$D842,AV$5)="F",AND(AV$6&gt;0,$A842&lt;AV$6),AND(AV$7&gt;0,$A842&gt;AV$7)),0,MAX(0,ROUND((INDEX($E842:$G842,AV$5)-SUMIFS(TF_Timer,TF_Tekniker,AV$4,TF_Dato,$A842))*2,0)/2)))</f>
        <v/>
      </c>
      <c r="AW842">
        <f>IF(OR(AW$4="",$A842&gt;TODAY()),0,IF(OR(INDEX($B842:$D842,AW$5)="F",AND(AW$6&gt;0,$A842&lt;AW$6),AND(AW$7&gt;0,$A842&gt;AW$7)),0,MAX(0,ROUND((INDEX($E842:$G842,AW$5)-SUMIFS(TF_Timer,TF_Tekniker,AW$4,TF_Dato,$A842))*2,0)/2)))</f>
        <v/>
      </c>
      <c r="AX842">
        <f>IF(OR(AX$4="",$A842&gt;TODAY()),0,IF(OR(INDEX($B842:$D842,AX$5)="F",AND(AX$6&gt;0,$A842&lt;AX$6),AND(AX$7&gt;0,$A842&gt;AX$7)),0,MAX(0,ROUND((INDEX($E842:$G842,AX$5)-SUMIFS(TF_Timer,TF_Tekniker,AX$4,TF_Dato,$A842))*2,0)/2)))</f>
        <v/>
      </c>
      <c r="AY842">
        <f>IF(OR(AY$4="",$A842&gt;TODAY()),0,IF(OR(INDEX($B842:$D842,AY$5)="F",AND(AY$6&gt;0,$A842&lt;AY$6),AND(AY$7&gt;0,$A842&gt;AY$7)),0,MAX(0,ROUND((INDEX($E842:$G842,AY$5)-SUMIFS(TF_Timer,TF_Tekniker,AY$4,TF_Dato,$A842))*2,0)/2)))</f>
        <v/>
      </c>
      <c r="AZ842">
        <f>IF(OR(AZ$4="",$A842&gt;TODAY()),0,IF(OR(INDEX($B842:$D842,AZ$5)="F",AND(AZ$6&gt;0,$A842&lt;AZ$6),AND(AZ$7&gt;0,$A842&gt;AZ$7)),0,MAX(0,ROUND((INDEX($E842:$G842,AZ$5)-SUMIFS(TF_Timer,TF_Tekniker,AZ$4,TF_Dato,$A842))*2,0)/2)))</f>
        <v/>
      </c>
      <c r="BA842">
        <f>IF(OR(BA$4="",$A842&gt;TODAY()),0,IF(OR(INDEX($B842:$D842,BA$5)="F",AND(BA$6&gt;0,$A842&lt;BA$6),AND(BA$7&gt;0,$A842&gt;BA$7)),0,MAX(0,ROUND((INDEX($E842:$G842,BA$5)-SUMIFS(TF_Timer,TF_Tekniker,BA$4,TF_Dato,$A842))*2,0)/2)))</f>
        <v/>
      </c>
      <c r="BB842">
        <f>IF(OR(BB$4="",$A842&gt;TODAY()),0,IF(OR(INDEX($B842:$D842,BB$5)="F",AND(BB$6&gt;0,$A842&lt;BB$6),AND(BB$7&gt;0,$A842&gt;BB$7)),0,MAX(0,ROUND((INDEX($E842:$G842,BB$5)-SUMIFS(TF_Timer,TF_Tekniker,BB$4,TF_Dato,$A842))*2,0)/2)))</f>
        <v/>
      </c>
      <c r="BC842">
        <f>IF(OR(BC$4="",$A842&gt;TODAY()),0,IF(OR(INDEX($B842:$D842,BC$5)="F",AND(BC$6&gt;0,$A842&lt;BC$6),AND(BC$7&gt;0,$A842&gt;BC$7)),0,MAX(0,ROUND((INDEX($E842:$G842,BC$5)-SUMIFS(TF_Timer,TF_Tekniker,BC$4,TF_Dato,$A842))*2,0)/2)))</f>
        <v/>
      </c>
      <c r="BD842">
        <f>IF(OR(BD$4="",$A842&gt;TODAY()),0,IF(OR(INDEX($B842:$D842,BD$5)="F",AND(BD$6&gt;0,$A842&lt;BD$6),AND(BD$7&gt;0,$A842&gt;BD$7)),0,MAX(0,ROUND((INDEX($E842:$G842,BD$5)-SUMIFS(TF_Timer,TF_Tekniker,BD$4,TF_Dato,$A842))*2,0)/2)))</f>
        <v/>
      </c>
      <c r="BE842">
        <f>IF(OR(BE$4="",$A842&gt;TODAY()),0,IF(OR(INDEX($B842:$D842,BE$5)="F",AND(BE$6&gt;0,$A842&lt;BE$6),AND(BE$7&gt;0,$A842&gt;BE$7)),0,MAX(0,ROUND((INDEX($E842:$G842,BE$5)-SUMIFS(TF_Timer,TF_Tekniker,BE$4,TF_Dato,$A842))*2,0)/2)))</f>
        <v/>
      </c>
      <c r="BF842">
        <f>IF(OR(BF$4="",$A842&gt;TODAY()),0,IF(OR(INDEX($B842:$D842,BF$5)="F",AND(BF$6&gt;0,$A842&lt;BF$6),AND(BF$7&gt;0,$A842&gt;BF$7)),0,MAX(0,ROUND((INDEX($E842:$G842,BF$5)-SUMIFS(TF_Timer,TF_Tekniker,BF$4,TF_Dato,$A842))*2,0)/2)))</f>
        <v/>
      </c>
      <c r="BG842">
        <f>IF(OR(BG$4="",$A842&gt;TODAY()),0,IF(OR(INDEX($B842:$D842,BG$5)="F",AND(BG$6&gt;0,$A842&lt;BG$6),AND(BG$7&gt;0,$A842&gt;BG$7)),0,MAX(0,ROUND((INDEX($E842:$G842,BG$5)-SUMIFS(TF_Timer,TF_Tekniker,BG$4,TF_Dato,$A842))*2,0)/2)))</f>
        <v/>
      </c>
      <c r="BH842">
        <f>IF(OR(BH$4="",$A842&gt;TODAY()),0,IF(OR(INDEX($B842:$D842,BH$5)="F",AND(BH$6&gt;0,$A842&lt;BH$6),AND(BH$7&gt;0,$A842&gt;BH$7)),0,MAX(0,ROUND((INDEX($E842:$G842,BH$5)-SUMIFS(TF_Timer,TF_Tekniker,BH$4,TF_Dato,$A842))*2,0)/2)))</f>
        <v/>
      </c>
      <c r="BI842">
        <f>IF(OR(BI$4="",$A842&gt;TODAY()),0,IF(OR(INDEX($B842:$D842,BI$5)="F",AND(BI$6&gt;0,$A842&lt;BI$6),AND(BI$7&gt;0,$A842&gt;BI$7)),0,MAX(0,ROUND((INDEX($E842:$G842,BI$5)-SUMIFS(TF_Timer,TF_Tekniker,BI$4,TF_Dato,$A842))*2,0)/2)))</f>
        <v/>
      </c>
    </row>
    <row r="843">
      <c r="A843" s="64">
        <f>A842+1</f>
        <v/>
      </c>
      <c r="B843">
        <f>IF(MOD($A843-INDEX(SkiftStart,1),Syklus)&lt;DagK,"K",IF(MOD($A843-INDEX(SkiftStart,1),Syklus)&lt;DagK+DagH,"H",IF(MOD($A843-INDEX(SkiftStart,1),Syklus)&lt;DagK+DagH+DagD,"D","F")))</f>
        <v/>
      </c>
      <c r="C843">
        <f>IF(MOD($A843-INDEX(SkiftStart,2),Syklus)&lt;DagK,"K",IF(MOD($A843-INDEX(SkiftStart,2),Syklus)&lt;DagK+DagH,"H",IF(MOD($A843-INDEX(SkiftStart,2),Syklus)&lt;DagK+DagH+DagD,"D","F")))</f>
        <v/>
      </c>
      <c r="D843">
        <f>IF(MOD($A843-INDEX(SkiftStart,3),Syklus)&lt;DagK,"K",IF(MOD($A843-INDEX(SkiftStart,3),Syklus)&lt;DagK+DagH,"H",IF(MOD($A843-INDEX(SkiftStart,3),Syklus)&lt;DagK+DagH+DagD,"D","F")))</f>
        <v/>
      </c>
      <c r="E843">
        <f>IF(B843="F",0,IF(WEEKDAY($A843,2)=5,INDEX(TimerFr,MATCH(B843,FaseKode,0)),INDEX(TimerMT,MATCH(B843,FaseKode,0))))</f>
        <v/>
      </c>
      <c r="F843">
        <f>IF(C843="F",0,IF(WEEKDAY($A843,2)=5,INDEX(TimerFr,MATCH(C843,FaseKode,0)),INDEX(TimerMT,MATCH(C843,FaseKode,0))))</f>
        <v/>
      </c>
      <c r="G843">
        <f>IF(D843="F",0,IF(WEEKDAY($A843,2)=5,INDEX(TimerFr,MATCH(D843,FaseKode,0)),INDEX(TimerMT,MATCH(D843,FaseKode,0))))</f>
        <v/>
      </c>
      <c r="H843">
        <f>IF(OR(H$4="",$A843&gt;TODAY()),0,IF(OR(INDEX($B843:$D843,H$5)="F",AND(H$6&gt;0,$A843&lt;H$6),AND(H$7&gt;0,$A843&gt;H$7)),0,MAX(0,ROUND((INDEX($E843:$G843,H$5)-SUMIFS(TF_Timer,TF_Tekniker,H$4,TF_Dato,$A843))*2,0)/2)))</f>
        <v/>
      </c>
      <c r="I843">
        <f>IF(OR(I$4="",$A843&gt;TODAY()),0,IF(OR(INDEX($B843:$D843,I$5)="F",AND(I$6&gt;0,$A843&lt;I$6),AND(I$7&gt;0,$A843&gt;I$7)),0,MAX(0,ROUND((INDEX($E843:$G843,I$5)-SUMIFS(TF_Timer,TF_Tekniker,I$4,TF_Dato,$A843))*2,0)/2)))</f>
        <v/>
      </c>
      <c r="J843">
        <f>IF(OR(J$4="",$A843&gt;TODAY()),0,IF(OR(INDEX($B843:$D843,J$5)="F",AND(J$6&gt;0,$A843&lt;J$6),AND(J$7&gt;0,$A843&gt;J$7)),0,MAX(0,ROUND((INDEX($E843:$G843,J$5)-SUMIFS(TF_Timer,TF_Tekniker,J$4,TF_Dato,$A843))*2,0)/2)))</f>
        <v/>
      </c>
      <c r="K843">
        <f>IF(OR(K$4="",$A843&gt;TODAY()),0,IF(OR(INDEX($B843:$D843,K$5)="F",AND(K$6&gt;0,$A843&lt;K$6),AND(K$7&gt;0,$A843&gt;K$7)),0,MAX(0,ROUND((INDEX($E843:$G843,K$5)-SUMIFS(TF_Timer,TF_Tekniker,K$4,TF_Dato,$A843))*2,0)/2)))</f>
        <v/>
      </c>
      <c r="L843">
        <f>IF(OR(L$4="",$A843&gt;TODAY()),0,IF(OR(INDEX($B843:$D843,L$5)="F",AND(L$6&gt;0,$A843&lt;L$6),AND(L$7&gt;0,$A843&gt;L$7)),0,MAX(0,ROUND((INDEX($E843:$G843,L$5)-SUMIFS(TF_Timer,TF_Tekniker,L$4,TF_Dato,$A843))*2,0)/2)))</f>
        <v/>
      </c>
      <c r="M843">
        <f>IF(OR(M$4="",$A843&gt;TODAY()),0,IF(OR(INDEX($B843:$D843,M$5)="F",AND(M$6&gt;0,$A843&lt;M$6),AND(M$7&gt;0,$A843&gt;M$7)),0,MAX(0,ROUND((INDEX($E843:$G843,M$5)-SUMIFS(TF_Timer,TF_Tekniker,M$4,TF_Dato,$A843))*2,0)/2)))</f>
        <v/>
      </c>
      <c r="N843">
        <f>IF(OR(N$4="",$A843&gt;TODAY()),0,IF(OR(INDEX($B843:$D843,N$5)="F",AND(N$6&gt;0,$A843&lt;N$6),AND(N$7&gt;0,$A843&gt;N$7)),0,MAX(0,ROUND((INDEX($E843:$G843,N$5)-SUMIFS(TF_Timer,TF_Tekniker,N$4,TF_Dato,$A843))*2,0)/2)))</f>
        <v/>
      </c>
      <c r="O843">
        <f>IF(OR(O$4="",$A843&gt;TODAY()),0,IF(OR(INDEX($B843:$D843,O$5)="F",AND(O$6&gt;0,$A843&lt;O$6),AND(O$7&gt;0,$A843&gt;O$7)),0,MAX(0,ROUND((INDEX($E843:$G843,O$5)-SUMIFS(TF_Timer,TF_Tekniker,O$4,TF_Dato,$A843))*2,0)/2)))</f>
        <v/>
      </c>
      <c r="P843">
        <f>IF(OR(P$4="",$A843&gt;TODAY()),0,IF(OR(INDEX($B843:$D843,P$5)="F",AND(P$6&gt;0,$A843&lt;P$6),AND(P$7&gt;0,$A843&gt;P$7)),0,MAX(0,ROUND((INDEX($E843:$G843,P$5)-SUMIFS(TF_Timer,TF_Tekniker,P$4,TF_Dato,$A843))*2,0)/2)))</f>
        <v/>
      </c>
      <c r="Q843">
        <f>IF(OR(Q$4="",$A843&gt;TODAY()),0,IF(OR(INDEX($B843:$D843,Q$5)="F",AND(Q$6&gt;0,$A843&lt;Q$6),AND(Q$7&gt;0,$A843&gt;Q$7)),0,MAX(0,ROUND((INDEX($E843:$G843,Q$5)-SUMIFS(TF_Timer,TF_Tekniker,Q$4,TF_Dato,$A843))*2,0)/2)))</f>
        <v/>
      </c>
      <c r="R843">
        <f>IF(OR(R$4="",$A843&gt;TODAY()),0,IF(OR(INDEX($B843:$D843,R$5)="F",AND(R$6&gt;0,$A843&lt;R$6),AND(R$7&gt;0,$A843&gt;R$7)),0,MAX(0,ROUND((INDEX($E843:$G843,R$5)-SUMIFS(TF_Timer,TF_Tekniker,R$4,TF_Dato,$A843))*2,0)/2)))</f>
        <v/>
      </c>
      <c r="S843">
        <f>IF(OR(S$4="",$A843&gt;TODAY()),0,IF(OR(INDEX($B843:$D843,S$5)="F",AND(S$6&gt;0,$A843&lt;S$6),AND(S$7&gt;0,$A843&gt;S$7)),0,MAX(0,ROUND((INDEX($E843:$G843,S$5)-SUMIFS(TF_Timer,TF_Tekniker,S$4,TF_Dato,$A843))*2,0)/2)))</f>
        <v/>
      </c>
      <c r="T843">
        <f>IF(OR(T$4="",$A843&gt;TODAY()),0,IF(OR(INDEX($B843:$D843,T$5)="F",AND(T$6&gt;0,$A843&lt;T$6),AND(T$7&gt;0,$A843&gt;T$7)),0,MAX(0,ROUND((INDEX($E843:$G843,T$5)-SUMIFS(TF_Timer,TF_Tekniker,T$4,TF_Dato,$A843))*2,0)/2)))</f>
        <v/>
      </c>
      <c r="U843">
        <f>IF(OR(U$4="",$A843&gt;TODAY()),0,IF(OR(INDEX($B843:$D843,U$5)="F",AND(U$6&gt;0,$A843&lt;U$6),AND(U$7&gt;0,$A843&gt;U$7)),0,MAX(0,ROUND((INDEX($E843:$G843,U$5)-SUMIFS(TF_Timer,TF_Tekniker,U$4,TF_Dato,$A843))*2,0)/2)))</f>
        <v/>
      </c>
      <c r="V843">
        <f>IF(OR(V$4="",$A843&gt;TODAY()),0,IF(OR(INDEX($B843:$D843,V$5)="F",AND(V$6&gt;0,$A843&lt;V$6),AND(V$7&gt;0,$A843&gt;V$7)),0,MAX(0,ROUND((INDEX($E843:$G843,V$5)-SUMIFS(TF_Timer,TF_Tekniker,V$4,TF_Dato,$A843))*2,0)/2)))</f>
        <v/>
      </c>
      <c r="W843">
        <f>IF(OR(W$4="",$A843&gt;TODAY()),0,IF(OR(INDEX($B843:$D843,W$5)="F",AND(W$6&gt;0,$A843&lt;W$6),AND(W$7&gt;0,$A843&gt;W$7)),0,MAX(0,ROUND((INDEX($E843:$G843,W$5)-SUMIFS(TF_Timer,TF_Tekniker,W$4,TF_Dato,$A843))*2,0)/2)))</f>
        <v/>
      </c>
      <c r="X843">
        <f>IF(OR(X$4="",$A843&gt;TODAY()),0,IF(OR(INDEX($B843:$D843,X$5)="F",AND(X$6&gt;0,$A843&lt;X$6),AND(X$7&gt;0,$A843&gt;X$7)),0,MAX(0,ROUND((INDEX($E843:$G843,X$5)-SUMIFS(TF_Timer,TF_Tekniker,X$4,TF_Dato,$A843))*2,0)/2)))</f>
        <v/>
      </c>
      <c r="Y843">
        <f>IF(OR(Y$4="",$A843&gt;TODAY()),0,IF(OR(INDEX($B843:$D843,Y$5)="F",AND(Y$6&gt;0,$A843&lt;Y$6),AND(Y$7&gt;0,$A843&gt;Y$7)),0,MAX(0,ROUND((INDEX($E843:$G843,Y$5)-SUMIFS(TF_Timer,TF_Tekniker,Y$4,TF_Dato,$A843))*2,0)/2)))</f>
        <v/>
      </c>
      <c r="Z843">
        <f>IF(OR(Z$4="",$A843&gt;TODAY()),0,IF(OR(INDEX($B843:$D843,Z$5)="F",AND(Z$6&gt;0,$A843&lt;Z$6),AND(Z$7&gt;0,$A843&gt;Z$7)),0,MAX(0,ROUND((INDEX($E843:$G843,Z$5)-SUMIFS(TF_Timer,TF_Tekniker,Z$4,TF_Dato,$A843))*2,0)/2)))</f>
        <v/>
      </c>
      <c r="AA843">
        <f>IF(OR(AA$4="",$A843&gt;TODAY()),0,IF(OR(INDEX($B843:$D843,AA$5)="F",AND(AA$6&gt;0,$A843&lt;AA$6),AND(AA$7&gt;0,$A843&gt;AA$7)),0,MAX(0,ROUND((INDEX($E843:$G843,AA$5)-SUMIFS(TF_Timer,TF_Tekniker,AA$4,TF_Dato,$A843))*2,0)/2)))</f>
        <v/>
      </c>
      <c r="AB843">
        <f>IF(OR(AB$4="",$A843&gt;TODAY()),0,IF(OR(INDEX($B843:$D843,AB$5)="F",AND(AB$6&gt;0,$A843&lt;AB$6),AND(AB$7&gt;0,$A843&gt;AB$7)),0,MAX(0,ROUND((INDEX($E843:$G843,AB$5)-SUMIFS(TF_Timer,TF_Tekniker,AB$4,TF_Dato,$A843))*2,0)/2)))</f>
        <v/>
      </c>
      <c r="AC843">
        <f>IF(OR(AC$4="",$A843&gt;TODAY()),0,IF(OR(INDEX($B843:$D843,AC$5)="F",AND(AC$6&gt;0,$A843&lt;AC$6),AND(AC$7&gt;0,$A843&gt;AC$7)),0,MAX(0,ROUND((INDEX($E843:$G843,AC$5)-SUMIFS(TF_Timer,TF_Tekniker,AC$4,TF_Dato,$A843))*2,0)/2)))</f>
        <v/>
      </c>
      <c r="AD843">
        <f>IF(OR(AD$4="",$A843&gt;TODAY()),0,IF(OR(INDEX($B843:$D843,AD$5)="F",AND(AD$6&gt;0,$A843&lt;AD$6),AND(AD$7&gt;0,$A843&gt;AD$7)),0,MAX(0,ROUND((INDEX($E843:$G843,AD$5)-SUMIFS(TF_Timer,TF_Tekniker,AD$4,TF_Dato,$A843))*2,0)/2)))</f>
        <v/>
      </c>
      <c r="AE843">
        <f>IF(OR(AE$4="",$A843&gt;TODAY()),0,IF(OR(INDEX($B843:$D843,AE$5)="F",AND(AE$6&gt;0,$A843&lt;AE$6),AND(AE$7&gt;0,$A843&gt;AE$7)),0,MAX(0,ROUND((INDEX($E843:$G843,AE$5)-SUMIFS(TF_Timer,TF_Tekniker,AE$4,TF_Dato,$A843))*2,0)/2)))</f>
        <v/>
      </c>
      <c r="AF843">
        <f>IF(OR(AF$4="",$A843&gt;TODAY()),0,IF(OR(INDEX($B843:$D843,AF$5)="F",AND(AF$6&gt;0,$A843&lt;AF$6),AND(AF$7&gt;0,$A843&gt;AF$7)),0,MAX(0,ROUND((INDEX($E843:$G843,AF$5)-SUMIFS(TF_Timer,TF_Tekniker,AF$4,TF_Dato,$A843))*2,0)/2)))</f>
        <v/>
      </c>
      <c r="AG843">
        <f>IF(OR(AG$4="",$A843&gt;TODAY()),0,IF(OR(INDEX($B843:$D843,AG$5)="F",AND(AG$6&gt;0,$A843&lt;AG$6),AND(AG$7&gt;0,$A843&gt;AG$7)),0,MAX(0,ROUND((INDEX($E843:$G843,AG$5)-SUMIFS(TF_Timer,TF_Tekniker,AG$4,TF_Dato,$A843))*2,0)/2)))</f>
        <v/>
      </c>
      <c r="AH843">
        <f>IF(OR(AH$4="",$A843&gt;TODAY()),0,IF(OR(INDEX($B843:$D843,AH$5)="F",AND(AH$6&gt;0,$A843&lt;AH$6),AND(AH$7&gt;0,$A843&gt;AH$7)),0,MAX(0,ROUND((INDEX($E843:$G843,AH$5)-SUMIFS(TF_Timer,TF_Tekniker,AH$4,TF_Dato,$A843))*2,0)/2)))</f>
        <v/>
      </c>
      <c r="AI843">
        <f>IF(OR(AI$4="",$A843&gt;TODAY()),0,IF(OR(INDEX($B843:$D843,AI$5)="F",AND(AI$6&gt;0,$A843&lt;AI$6),AND(AI$7&gt;0,$A843&gt;AI$7)),0,MAX(0,ROUND((INDEX($E843:$G843,AI$5)-SUMIFS(TF_Timer,TF_Tekniker,AI$4,TF_Dato,$A843))*2,0)/2)))</f>
        <v/>
      </c>
      <c r="AJ843">
        <f>IF(OR(AJ$4="",$A843&gt;TODAY()),0,IF(OR(INDEX($B843:$D843,AJ$5)="F",AND(AJ$6&gt;0,$A843&lt;AJ$6),AND(AJ$7&gt;0,$A843&gt;AJ$7)),0,MAX(0,ROUND((INDEX($E843:$G843,AJ$5)-SUMIFS(TF_Timer,TF_Tekniker,AJ$4,TF_Dato,$A843))*2,0)/2)))</f>
        <v/>
      </c>
      <c r="AK843">
        <f>IF(OR(AK$4="",$A843&gt;TODAY()),0,IF(OR(INDEX($B843:$D843,AK$5)="F",AND(AK$6&gt;0,$A843&lt;AK$6),AND(AK$7&gt;0,$A843&gt;AK$7)),0,MAX(0,ROUND((INDEX($E843:$G843,AK$5)-SUMIFS(TF_Timer,TF_Tekniker,AK$4,TF_Dato,$A843))*2,0)/2)))</f>
        <v/>
      </c>
      <c r="AL843">
        <f>IF(OR(AL$4="",$A843&gt;TODAY()),0,IF(OR(INDEX($B843:$D843,AL$5)="F",AND(AL$6&gt;0,$A843&lt;AL$6),AND(AL$7&gt;0,$A843&gt;AL$7)),0,MAX(0,ROUND((INDEX($E843:$G843,AL$5)-SUMIFS(TF_Timer,TF_Tekniker,AL$4,TF_Dato,$A843))*2,0)/2)))</f>
        <v/>
      </c>
      <c r="AM843">
        <f>IF(OR(AM$4="",$A843&gt;TODAY()),0,IF(OR(INDEX($B843:$D843,AM$5)="F",AND(AM$6&gt;0,$A843&lt;AM$6),AND(AM$7&gt;0,$A843&gt;AM$7)),0,MAX(0,ROUND((INDEX($E843:$G843,AM$5)-SUMIFS(TF_Timer,TF_Tekniker,AM$4,TF_Dato,$A843))*2,0)/2)))</f>
        <v/>
      </c>
      <c r="AN843">
        <f>IF(OR(AN$4="",$A843&gt;TODAY()),0,IF(OR(INDEX($B843:$D843,AN$5)="F",AND(AN$6&gt;0,$A843&lt;AN$6),AND(AN$7&gt;0,$A843&gt;AN$7)),0,MAX(0,ROUND((INDEX($E843:$G843,AN$5)-SUMIFS(TF_Timer,TF_Tekniker,AN$4,TF_Dato,$A843))*2,0)/2)))</f>
        <v/>
      </c>
      <c r="AO843">
        <f>IF(OR(AO$4="",$A843&gt;TODAY()),0,IF(OR(INDEX($B843:$D843,AO$5)="F",AND(AO$6&gt;0,$A843&lt;AO$6),AND(AO$7&gt;0,$A843&gt;AO$7)),0,MAX(0,ROUND((INDEX($E843:$G843,AO$5)-SUMIFS(TF_Timer,TF_Tekniker,AO$4,TF_Dato,$A843))*2,0)/2)))</f>
        <v/>
      </c>
      <c r="AP843">
        <f>IF(OR(AP$4="",$A843&gt;TODAY()),0,IF(OR(INDEX($B843:$D843,AP$5)="F",AND(AP$6&gt;0,$A843&lt;AP$6),AND(AP$7&gt;0,$A843&gt;AP$7)),0,MAX(0,ROUND((INDEX($E843:$G843,AP$5)-SUMIFS(TF_Timer,TF_Tekniker,AP$4,TF_Dato,$A843))*2,0)/2)))</f>
        <v/>
      </c>
      <c r="AQ843">
        <f>IF(OR(AQ$4="",$A843&gt;TODAY()),0,IF(OR(INDEX($B843:$D843,AQ$5)="F",AND(AQ$6&gt;0,$A843&lt;AQ$6),AND(AQ$7&gt;0,$A843&gt;AQ$7)),0,MAX(0,ROUND((INDEX($E843:$G843,AQ$5)-SUMIFS(TF_Timer,TF_Tekniker,AQ$4,TF_Dato,$A843))*2,0)/2)))</f>
        <v/>
      </c>
      <c r="AR843">
        <f>IF(OR(AR$4="",$A843&gt;TODAY()),0,IF(OR(INDEX($B843:$D843,AR$5)="F",AND(AR$6&gt;0,$A843&lt;AR$6),AND(AR$7&gt;0,$A843&gt;AR$7)),0,MAX(0,ROUND((INDEX($E843:$G843,AR$5)-SUMIFS(TF_Timer,TF_Tekniker,AR$4,TF_Dato,$A843))*2,0)/2)))</f>
        <v/>
      </c>
      <c r="AS843">
        <f>IF(OR(AS$4="",$A843&gt;TODAY()),0,IF(OR(INDEX($B843:$D843,AS$5)="F",AND(AS$6&gt;0,$A843&lt;AS$6),AND(AS$7&gt;0,$A843&gt;AS$7)),0,MAX(0,ROUND((INDEX($E843:$G843,AS$5)-SUMIFS(TF_Timer,TF_Tekniker,AS$4,TF_Dato,$A843))*2,0)/2)))</f>
        <v/>
      </c>
      <c r="AT843">
        <f>IF(OR(AT$4="",$A843&gt;TODAY()),0,IF(OR(INDEX($B843:$D843,AT$5)="F",AND(AT$6&gt;0,$A843&lt;AT$6),AND(AT$7&gt;0,$A843&gt;AT$7)),0,MAX(0,ROUND((INDEX($E843:$G843,AT$5)-SUMIFS(TF_Timer,TF_Tekniker,AT$4,TF_Dato,$A843))*2,0)/2)))</f>
        <v/>
      </c>
      <c r="AU843">
        <f>IF(OR(AU$4="",$A843&gt;TODAY()),0,IF(OR(INDEX($B843:$D843,AU$5)="F",AND(AU$6&gt;0,$A843&lt;AU$6),AND(AU$7&gt;0,$A843&gt;AU$7)),0,MAX(0,ROUND((INDEX($E843:$G843,AU$5)-SUMIFS(TF_Timer,TF_Tekniker,AU$4,TF_Dato,$A843))*2,0)/2)))</f>
        <v/>
      </c>
      <c r="AV843">
        <f>IF(OR(AV$4="",$A843&gt;TODAY()),0,IF(OR(INDEX($B843:$D843,AV$5)="F",AND(AV$6&gt;0,$A843&lt;AV$6),AND(AV$7&gt;0,$A843&gt;AV$7)),0,MAX(0,ROUND((INDEX($E843:$G843,AV$5)-SUMIFS(TF_Timer,TF_Tekniker,AV$4,TF_Dato,$A843))*2,0)/2)))</f>
        <v/>
      </c>
      <c r="AW843">
        <f>IF(OR(AW$4="",$A843&gt;TODAY()),0,IF(OR(INDEX($B843:$D843,AW$5)="F",AND(AW$6&gt;0,$A843&lt;AW$6),AND(AW$7&gt;0,$A843&gt;AW$7)),0,MAX(0,ROUND((INDEX($E843:$G843,AW$5)-SUMIFS(TF_Timer,TF_Tekniker,AW$4,TF_Dato,$A843))*2,0)/2)))</f>
        <v/>
      </c>
      <c r="AX843">
        <f>IF(OR(AX$4="",$A843&gt;TODAY()),0,IF(OR(INDEX($B843:$D843,AX$5)="F",AND(AX$6&gt;0,$A843&lt;AX$6),AND(AX$7&gt;0,$A843&gt;AX$7)),0,MAX(0,ROUND((INDEX($E843:$G843,AX$5)-SUMIFS(TF_Timer,TF_Tekniker,AX$4,TF_Dato,$A843))*2,0)/2)))</f>
        <v/>
      </c>
      <c r="AY843">
        <f>IF(OR(AY$4="",$A843&gt;TODAY()),0,IF(OR(INDEX($B843:$D843,AY$5)="F",AND(AY$6&gt;0,$A843&lt;AY$6),AND(AY$7&gt;0,$A843&gt;AY$7)),0,MAX(0,ROUND((INDEX($E843:$G843,AY$5)-SUMIFS(TF_Timer,TF_Tekniker,AY$4,TF_Dato,$A843))*2,0)/2)))</f>
        <v/>
      </c>
      <c r="AZ843">
        <f>IF(OR(AZ$4="",$A843&gt;TODAY()),0,IF(OR(INDEX($B843:$D843,AZ$5)="F",AND(AZ$6&gt;0,$A843&lt;AZ$6),AND(AZ$7&gt;0,$A843&gt;AZ$7)),0,MAX(0,ROUND((INDEX($E843:$G843,AZ$5)-SUMIFS(TF_Timer,TF_Tekniker,AZ$4,TF_Dato,$A843))*2,0)/2)))</f>
        <v/>
      </c>
      <c r="BA843">
        <f>IF(OR(BA$4="",$A843&gt;TODAY()),0,IF(OR(INDEX($B843:$D843,BA$5)="F",AND(BA$6&gt;0,$A843&lt;BA$6),AND(BA$7&gt;0,$A843&gt;BA$7)),0,MAX(0,ROUND((INDEX($E843:$G843,BA$5)-SUMIFS(TF_Timer,TF_Tekniker,BA$4,TF_Dato,$A843))*2,0)/2)))</f>
        <v/>
      </c>
      <c r="BB843">
        <f>IF(OR(BB$4="",$A843&gt;TODAY()),0,IF(OR(INDEX($B843:$D843,BB$5)="F",AND(BB$6&gt;0,$A843&lt;BB$6),AND(BB$7&gt;0,$A843&gt;BB$7)),0,MAX(0,ROUND((INDEX($E843:$G843,BB$5)-SUMIFS(TF_Timer,TF_Tekniker,BB$4,TF_Dato,$A843))*2,0)/2)))</f>
        <v/>
      </c>
      <c r="BC843">
        <f>IF(OR(BC$4="",$A843&gt;TODAY()),0,IF(OR(INDEX($B843:$D843,BC$5)="F",AND(BC$6&gt;0,$A843&lt;BC$6),AND(BC$7&gt;0,$A843&gt;BC$7)),0,MAX(0,ROUND((INDEX($E843:$G843,BC$5)-SUMIFS(TF_Timer,TF_Tekniker,BC$4,TF_Dato,$A843))*2,0)/2)))</f>
        <v/>
      </c>
      <c r="BD843">
        <f>IF(OR(BD$4="",$A843&gt;TODAY()),0,IF(OR(INDEX($B843:$D843,BD$5)="F",AND(BD$6&gt;0,$A843&lt;BD$6),AND(BD$7&gt;0,$A843&gt;BD$7)),0,MAX(0,ROUND((INDEX($E843:$G843,BD$5)-SUMIFS(TF_Timer,TF_Tekniker,BD$4,TF_Dato,$A843))*2,0)/2)))</f>
        <v/>
      </c>
      <c r="BE843">
        <f>IF(OR(BE$4="",$A843&gt;TODAY()),0,IF(OR(INDEX($B843:$D843,BE$5)="F",AND(BE$6&gt;0,$A843&lt;BE$6),AND(BE$7&gt;0,$A843&gt;BE$7)),0,MAX(0,ROUND((INDEX($E843:$G843,BE$5)-SUMIFS(TF_Timer,TF_Tekniker,BE$4,TF_Dato,$A843))*2,0)/2)))</f>
        <v/>
      </c>
      <c r="BF843">
        <f>IF(OR(BF$4="",$A843&gt;TODAY()),0,IF(OR(INDEX($B843:$D843,BF$5)="F",AND(BF$6&gt;0,$A843&lt;BF$6),AND(BF$7&gt;0,$A843&gt;BF$7)),0,MAX(0,ROUND((INDEX($E843:$G843,BF$5)-SUMIFS(TF_Timer,TF_Tekniker,BF$4,TF_Dato,$A843))*2,0)/2)))</f>
        <v/>
      </c>
      <c r="BG843">
        <f>IF(OR(BG$4="",$A843&gt;TODAY()),0,IF(OR(INDEX($B843:$D843,BG$5)="F",AND(BG$6&gt;0,$A843&lt;BG$6),AND(BG$7&gt;0,$A843&gt;BG$7)),0,MAX(0,ROUND((INDEX($E843:$G843,BG$5)-SUMIFS(TF_Timer,TF_Tekniker,BG$4,TF_Dato,$A843))*2,0)/2)))</f>
        <v/>
      </c>
      <c r="BH843">
        <f>IF(OR(BH$4="",$A843&gt;TODAY()),0,IF(OR(INDEX($B843:$D843,BH$5)="F",AND(BH$6&gt;0,$A843&lt;BH$6),AND(BH$7&gt;0,$A843&gt;BH$7)),0,MAX(0,ROUND((INDEX($E843:$G843,BH$5)-SUMIFS(TF_Timer,TF_Tekniker,BH$4,TF_Dato,$A843))*2,0)/2)))</f>
        <v/>
      </c>
      <c r="BI843">
        <f>IF(OR(BI$4="",$A843&gt;TODAY()),0,IF(OR(INDEX($B843:$D843,BI$5)="F",AND(BI$6&gt;0,$A843&lt;BI$6),AND(BI$7&gt;0,$A843&gt;BI$7)),0,MAX(0,ROUND((INDEX($E843:$G843,BI$5)-SUMIFS(TF_Timer,TF_Tekniker,BI$4,TF_Dato,$A843))*2,0)/2)))</f>
        <v/>
      </c>
    </row>
    <row r="844">
      <c r="A844" s="64">
        <f>A843+1</f>
        <v/>
      </c>
      <c r="B844">
        <f>IF(MOD($A844-INDEX(SkiftStart,1),Syklus)&lt;DagK,"K",IF(MOD($A844-INDEX(SkiftStart,1),Syklus)&lt;DagK+DagH,"H",IF(MOD($A844-INDEX(SkiftStart,1),Syklus)&lt;DagK+DagH+DagD,"D","F")))</f>
        <v/>
      </c>
      <c r="C844">
        <f>IF(MOD($A844-INDEX(SkiftStart,2),Syklus)&lt;DagK,"K",IF(MOD($A844-INDEX(SkiftStart,2),Syklus)&lt;DagK+DagH,"H",IF(MOD($A844-INDEX(SkiftStart,2),Syklus)&lt;DagK+DagH+DagD,"D","F")))</f>
        <v/>
      </c>
      <c r="D844">
        <f>IF(MOD($A844-INDEX(SkiftStart,3),Syklus)&lt;DagK,"K",IF(MOD($A844-INDEX(SkiftStart,3),Syklus)&lt;DagK+DagH,"H",IF(MOD($A844-INDEX(SkiftStart,3),Syklus)&lt;DagK+DagH+DagD,"D","F")))</f>
        <v/>
      </c>
      <c r="E844">
        <f>IF(B844="F",0,IF(WEEKDAY($A844,2)=5,INDEX(TimerFr,MATCH(B844,FaseKode,0)),INDEX(TimerMT,MATCH(B844,FaseKode,0))))</f>
        <v/>
      </c>
      <c r="F844">
        <f>IF(C844="F",0,IF(WEEKDAY($A844,2)=5,INDEX(TimerFr,MATCH(C844,FaseKode,0)),INDEX(TimerMT,MATCH(C844,FaseKode,0))))</f>
        <v/>
      </c>
      <c r="G844">
        <f>IF(D844="F",0,IF(WEEKDAY($A844,2)=5,INDEX(TimerFr,MATCH(D844,FaseKode,0)),INDEX(TimerMT,MATCH(D844,FaseKode,0))))</f>
        <v/>
      </c>
      <c r="H844">
        <f>IF(OR(H$4="",$A844&gt;TODAY()),0,IF(OR(INDEX($B844:$D844,H$5)="F",AND(H$6&gt;0,$A844&lt;H$6),AND(H$7&gt;0,$A844&gt;H$7)),0,MAX(0,ROUND((INDEX($E844:$G844,H$5)-SUMIFS(TF_Timer,TF_Tekniker,H$4,TF_Dato,$A844))*2,0)/2)))</f>
        <v/>
      </c>
      <c r="I844">
        <f>IF(OR(I$4="",$A844&gt;TODAY()),0,IF(OR(INDEX($B844:$D844,I$5)="F",AND(I$6&gt;0,$A844&lt;I$6),AND(I$7&gt;0,$A844&gt;I$7)),0,MAX(0,ROUND((INDEX($E844:$G844,I$5)-SUMIFS(TF_Timer,TF_Tekniker,I$4,TF_Dato,$A844))*2,0)/2)))</f>
        <v/>
      </c>
      <c r="J844">
        <f>IF(OR(J$4="",$A844&gt;TODAY()),0,IF(OR(INDEX($B844:$D844,J$5)="F",AND(J$6&gt;0,$A844&lt;J$6),AND(J$7&gt;0,$A844&gt;J$7)),0,MAX(0,ROUND((INDEX($E844:$G844,J$5)-SUMIFS(TF_Timer,TF_Tekniker,J$4,TF_Dato,$A844))*2,0)/2)))</f>
        <v/>
      </c>
      <c r="K844">
        <f>IF(OR(K$4="",$A844&gt;TODAY()),0,IF(OR(INDEX($B844:$D844,K$5)="F",AND(K$6&gt;0,$A844&lt;K$6),AND(K$7&gt;0,$A844&gt;K$7)),0,MAX(0,ROUND((INDEX($E844:$G844,K$5)-SUMIFS(TF_Timer,TF_Tekniker,K$4,TF_Dato,$A844))*2,0)/2)))</f>
        <v/>
      </c>
      <c r="L844">
        <f>IF(OR(L$4="",$A844&gt;TODAY()),0,IF(OR(INDEX($B844:$D844,L$5)="F",AND(L$6&gt;0,$A844&lt;L$6),AND(L$7&gt;0,$A844&gt;L$7)),0,MAX(0,ROUND((INDEX($E844:$G844,L$5)-SUMIFS(TF_Timer,TF_Tekniker,L$4,TF_Dato,$A844))*2,0)/2)))</f>
        <v/>
      </c>
      <c r="M844">
        <f>IF(OR(M$4="",$A844&gt;TODAY()),0,IF(OR(INDEX($B844:$D844,M$5)="F",AND(M$6&gt;0,$A844&lt;M$6),AND(M$7&gt;0,$A844&gt;M$7)),0,MAX(0,ROUND((INDEX($E844:$G844,M$5)-SUMIFS(TF_Timer,TF_Tekniker,M$4,TF_Dato,$A844))*2,0)/2)))</f>
        <v/>
      </c>
      <c r="N844">
        <f>IF(OR(N$4="",$A844&gt;TODAY()),0,IF(OR(INDEX($B844:$D844,N$5)="F",AND(N$6&gt;0,$A844&lt;N$6),AND(N$7&gt;0,$A844&gt;N$7)),0,MAX(0,ROUND((INDEX($E844:$G844,N$5)-SUMIFS(TF_Timer,TF_Tekniker,N$4,TF_Dato,$A844))*2,0)/2)))</f>
        <v/>
      </c>
      <c r="O844">
        <f>IF(OR(O$4="",$A844&gt;TODAY()),0,IF(OR(INDEX($B844:$D844,O$5)="F",AND(O$6&gt;0,$A844&lt;O$6),AND(O$7&gt;0,$A844&gt;O$7)),0,MAX(0,ROUND((INDEX($E844:$G844,O$5)-SUMIFS(TF_Timer,TF_Tekniker,O$4,TF_Dato,$A844))*2,0)/2)))</f>
        <v/>
      </c>
      <c r="P844">
        <f>IF(OR(P$4="",$A844&gt;TODAY()),0,IF(OR(INDEX($B844:$D844,P$5)="F",AND(P$6&gt;0,$A844&lt;P$6),AND(P$7&gt;0,$A844&gt;P$7)),0,MAX(0,ROUND((INDEX($E844:$G844,P$5)-SUMIFS(TF_Timer,TF_Tekniker,P$4,TF_Dato,$A844))*2,0)/2)))</f>
        <v/>
      </c>
      <c r="Q844">
        <f>IF(OR(Q$4="",$A844&gt;TODAY()),0,IF(OR(INDEX($B844:$D844,Q$5)="F",AND(Q$6&gt;0,$A844&lt;Q$6),AND(Q$7&gt;0,$A844&gt;Q$7)),0,MAX(0,ROUND((INDEX($E844:$G844,Q$5)-SUMIFS(TF_Timer,TF_Tekniker,Q$4,TF_Dato,$A844))*2,0)/2)))</f>
        <v/>
      </c>
      <c r="R844">
        <f>IF(OR(R$4="",$A844&gt;TODAY()),0,IF(OR(INDEX($B844:$D844,R$5)="F",AND(R$6&gt;0,$A844&lt;R$6),AND(R$7&gt;0,$A844&gt;R$7)),0,MAX(0,ROUND((INDEX($E844:$G844,R$5)-SUMIFS(TF_Timer,TF_Tekniker,R$4,TF_Dato,$A844))*2,0)/2)))</f>
        <v/>
      </c>
      <c r="S844">
        <f>IF(OR(S$4="",$A844&gt;TODAY()),0,IF(OR(INDEX($B844:$D844,S$5)="F",AND(S$6&gt;0,$A844&lt;S$6),AND(S$7&gt;0,$A844&gt;S$7)),0,MAX(0,ROUND((INDEX($E844:$G844,S$5)-SUMIFS(TF_Timer,TF_Tekniker,S$4,TF_Dato,$A844))*2,0)/2)))</f>
        <v/>
      </c>
      <c r="T844">
        <f>IF(OR(T$4="",$A844&gt;TODAY()),0,IF(OR(INDEX($B844:$D844,T$5)="F",AND(T$6&gt;0,$A844&lt;T$6),AND(T$7&gt;0,$A844&gt;T$7)),0,MAX(0,ROUND((INDEX($E844:$G844,T$5)-SUMIFS(TF_Timer,TF_Tekniker,T$4,TF_Dato,$A844))*2,0)/2)))</f>
        <v/>
      </c>
      <c r="U844">
        <f>IF(OR(U$4="",$A844&gt;TODAY()),0,IF(OR(INDEX($B844:$D844,U$5)="F",AND(U$6&gt;0,$A844&lt;U$6),AND(U$7&gt;0,$A844&gt;U$7)),0,MAX(0,ROUND((INDEX($E844:$G844,U$5)-SUMIFS(TF_Timer,TF_Tekniker,U$4,TF_Dato,$A844))*2,0)/2)))</f>
        <v/>
      </c>
      <c r="V844">
        <f>IF(OR(V$4="",$A844&gt;TODAY()),0,IF(OR(INDEX($B844:$D844,V$5)="F",AND(V$6&gt;0,$A844&lt;V$6),AND(V$7&gt;0,$A844&gt;V$7)),0,MAX(0,ROUND((INDEX($E844:$G844,V$5)-SUMIFS(TF_Timer,TF_Tekniker,V$4,TF_Dato,$A844))*2,0)/2)))</f>
        <v/>
      </c>
      <c r="W844">
        <f>IF(OR(W$4="",$A844&gt;TODAY()),0,IF(OR(INDEX($B844:$D844,W$5)="F",AND(W$6&gt;0,$A844&lt;W$6),AND(W$7&gt;0,$A844&gt;W$7)),0,MAX(0,ROUND((INDEX($E844:$G844,W$5)-SUMIFS(TF_Timer,TF_Tekniker,W$4,TF_Dato,$A844))*2,0)/2)))</f>
        <v/>
      </c>
      <c r="X844">
        <f>IF(OR(X$4="",$A844&gt;TODAY()),0,IF(OR(INDEX($B844:$D844,X$5)="F",AND(X$6&gt;0,$A844&lt;X$6),AND(X$7&gt;0,$A844&gt;X$7)),0,MAX(0,ROUND((INDEX($E844:$G844,X$5)-SUMIFS(TF_Timer,TF_Tekniker,X$4,TF_Dato,$A844))*2,0)/2)))</f>
        <v/>
      </c>
      <c r="Y844">
        <f>IF(OR(Y$4="",$A844&gt;TODAY()),0,IF(OR(INDEX($B844:$D844,Y$5)="F",AND(Y$6&gt;0,$A844&lt;Y$6),AND(Y$7&gt;0,$A844&gt;Y$7)),0,MAX(0,ROUND((INDEX($E844:$G844,Y$5)-SUMIFS(TF_Timer,TF_Tekniker,Y$4,TF_Dato,$A844))*2,0)/2)))</f>
        <v/>
      </c>
      <c r="Z844">
        <f>IF(OR(Z$4="",$A844&gt;TODAY()),0,IF(OR(INDEX($B844:$D844,Z$5)="F",AND(Z$6&gt;0,$A844&lt;Z$6),AND(Z$7&gt;0,$A844&gt;Z$7)),0,MAX(0,ROUND((INDEX($E844:$G844,Z$5)-SUMIFS(TF_Timer,TF_Tekniker,Z$4,TF_Dato,$A844))*2,0)/2)))</f>
        <v/>
      </c>
      <c r="AA844">
        <f>IF(OR(AA$4="",$A844&gt;TODAY()),0,IF(OR(INDEX($B844:$D844,AA$5)="F",AND(AA$6&gt;0,$A844&lt;AA$6),AND(AA$7&gt;0,$A844&gt;AA$7)),0,MAX(0,ROUND((INDEX($E844:$G844,AA$5)-SUMIFS(TF_Timer,TF_Tekniker,AA$4,TF_Dato,$A844))*2,0)/2)))</f>
        <v/>
      </c>
      <c r="AB844">
        <f>IF(OR(AB$4="",$A844&gt;TODAY()),0,IF(OR(INDEX($B844:$D844,AB$5)="F",AND(AB$6&gt;0,$A844&lt;AB$6),AND(AB$7&gt;0,$A844&gt;AB$7)),0,MAX(0,ROUND((INDEX($E844:$G844,AB$5)-SUMIFS(TF_Timer,TF_Tekniker,AB$4,TF_Dato,$A844))*2,0)/2)))</f>
        <v/>
      </c>
      <c r="AC844">
        <f>IF(OR(AC$4="",$A844&gt;TODAY()),0,IF(OR(INDEX($B844:$D844,AC$5)="F",AND(AC$6&gt;0,$A844&lt;AC$6),AND(AC$7&gt;0,$A844&gt;AC$7)),0,MAX(0,ROUND((INDEX($E844:$G844,AC$5)-SUMIFS(TF_Timer,TF_Tekniker,AC$4,TF_Dato,$A844))*2,0)/2)))</f>
        <v/>
      </c>
      <c r="AD844">
        <f>IF(OR(AD$4="",$A844&gt;TODAY()),0,IF(OR(INDEX($B844:$D844,AD$5)="F",AND(AD$6&gt;0,$A844&lt;AD$6),AND(AD$7&gt;0,$A844&gt;AD$7)),0,MAX(0,ROUND((INDEX($E844:$G844,AD$5)-SUMIFS(TF_Timer,TF_Tekniker,AD$4,TF_Dato,$A844))*2,0)/2)))</f>
        <v/>
      </c>
      <c r="AE844">
        <f>IF(OR(AE$4="",$A844&gt;TODAY()),0,IF(OR(INDEX($B844:$D844,AE$5)="F",AND(AE$6&gt;0,$A844&lt;AE$6),AND(AE$7&gt;0,$A844&gt;AE$7)),0,MAX(0,ROUND((INDEX($E844:$G844,AE$5)-SUMIFS(TF_Timer,TF_Tekniker,AE$4,TF_Dato,$A844))*2,0)/2)))</f>
        <v/>
      </c>
      <c r="AF844">
        <f>IF(OR(AF$4="",$A844&gt;TODAY()),0,IF(OR(INDEX($B844:$D844,AF$5)="F",AND(AF$6&gt;0,$A844&lt;AF$6),AND(AF$7&gt;0,$A844&gt;AF$7)),0,MAX(0,ROUND((INDEX($E844:$G844,AF$5)-SUMIFS(TF_Timer,TF_Tekniker,AF$4,TF_Dato,$A844))*2,0)/2)))</f>
        <v/>
      </c>
      <c r="AG844">
        <f>IF(OR(AG$4="",$A844&gt;TODAY()),0,IF(OR(INDEX($B844:$D844,AG$5)="F",AND(AG$6&gt;0,$A844&lt;AG$6),AND(AG$7&gt;0,$A844&gt;AG$7)),0,MAX(0,ROUND((INDEX($E844:$G844,AG$5)-SUMIFS(TF_Timer,TF_Tekniker,AG$4,TF_Dato,$A844))*2,0)/2)))</f>
        <v/>
      </c>
      <c r="AH844">
        <f>IF(OR(AH$4="",$A844&gt;TODAY()),0,IF(OR(INDEX($B844:$D844,AH$5)="F",AND(AH$6&gt;0,$A844&lt;AH$6),AND(AH$7&gt;0,$A844&gt;AH$7)),0,MAX(0,ROUND((INDEX($E844:$G844,AH$5)-SUMIFS(TF_Timer,TF_Tekniker,AH$4,TF_Dato,$A844))*2,0)/2)))</f>
        <v/>
      </c>
      <c r="AI844">
        <f>IF(OR(AI$4="",$A844&gt;TODAY()),0,IF(OR(INDEX($B844:$D844,AI$5)="F",AND(AI$6&gt;0,$A844&lt;AI$6),AND(AI$7&gt;0,$A844&gt;AI$7)),0,MAX(0,ROUND((INDEX($E844:$G844,AI$5)-SUMIFS(TF_Timer,TF_Tekniker,AI$4,TF_Dato,$A844))*2,0)/2)))</f>
        <v/>
      </c>
      <c r="AJ844">
        <f>IF(OR(AJ$4="",$A844&gt;TODAY()),0,IF(OR(INDEX($B844:$D844,AJ$5)="F",AND(AJ$6&gt;0,$A844&lt;AJ$6),AND(AJ$7&gt;0,$A844&gt;AJ$7)),0,MAX(0,ROUND((INDEX($E844:$G844,AJ$5)-SUMIFS(TF_Timer,TF_Tekniker,AJ$4,TF_Dato,$A844))*2,0)/2)))</f>
        <v/>
      </c>
      <c r="AK844">
        <f>IF(OR(AK$4="",$A844&gt;TODAY()),0,IF(OR(INDEX($B844:$D844,AK$5)="F",AND(AK$6&gt;0,$A844&lt;AK$6),AND(AK$7&gt;0,$A844&gt;AK$7)),0,MAX(0,ROUND((INDEX($E844:$G844,AK$5)-SUMIFS(TF_Timer,TF_Tekniker,AK$4,TF_Dato,$A844))*2,0)/2)))</f>
        <v/>
      </c>
      <c r="AL844">
        <f>IF(OR(AL$4="",$A844&gt;TODAY()),0,IF(OR(INDEX($B844:$D844,AL$5)="F",AND(AL$6&gt;0,$A844&lt;AL$6),AND(AL$7&gt;0,$A844&gt;AL$7)),0,MAX(0,ROUND((INDEX($E844:$G844,AL$5)-SUMIFS(TF_Timer,TF_Tekniker,AL$4,TF_Dato,$A844))*2,0)/2)))</f>
        <v/>
      </c>
      <c r="AM844">
        <f>IF(OR(AM$4="",$A844&gt;TODAY()),0,IF(OR(INDEX($B844:$D844,AM$5)="F",AND(AM$6&gt;0,$A844&lt;AM$6),AND(AM$7&gt;0,$A844&gt;AM$7)),0,MAX(0,ROUND((INDEX($E844:$G844,AM$5)-SUMIFS(TF_Timer,TF_Tekniker,AM$4,TF_Dato,$A844))*2,0)/2)))</f>
        <v/>
      </c>
      <c r="AN844">
        <f>IF(OR(AN$4="",$A844&gt;TODAY()),0,IF(OR(INDEX($B844:$D844,AN$5)="F",AND(AN$6&gt;0,$A844&lt;AN$6),AND(AN$7&gt;0,$A844&gt;AN$7)),0,MAX(0,ROUND((INDEX($E844:$G844,AN$5)-SUMIFS(TF_Timer,TF_Tekniker,AN$4,TF_Dato,$A844))*2,0)/2)))</f>
        <v/>
      </c>
      <c r="AO844">
        <f>IF(OR(AO$4="",$A844&gt;TODAY()),0,IF(OR(INDEX($B844:$D844,AO$5)="F",AND(AO$6&gt;0,$A844&lt;AO$6),AND(AO$7&gt;0,$A844&gt;AO$7)),0,MAX(0,ROUND((INDEX($E844:$G844,AO$5)-SUMIFS(TF_Timer,TF_Tekniker,AO$4,TF_Dato,$A844))*2,0)/2)))</f>
        <v/>
      </c>
      <c r="AP844">
        <f>IF(OR(AP$4="",$A844&gt;TODAY()),0,IF(OR(INDEX($B844:$D844,AP$5)="F",AND(AP$6&gt;0,$A844&lt;AP$6),AND(AP$7&gt;0,$A844&gt;AP$7)),0,MAX(0,ROUND((INDEX($E844:$G844,AP$5)-SUMIFS(TF_Timer,TF_Tekniker,AP$4,TF_Dato,$A844))*2,0)/2)))</f>
        <v/>
      </c>
      <c r="AQ844">
        <f>IF(OR(AQ$4="",$A844&gt;TODAY()),0,IF(OR(INDEX($B844:$D844,AQ$5)="F",AND(AQ$6&gt;0,$A844&lt;AQ$6),AND(AQ$7&gt;0,$A844&gt;AQ$7)),0,MAX(0,ROUND((INDEX($E844:$G844,AQ$5)-SUMIFS(TF_Timer,TF_Tekniker,AQ$4,TF_Dato,$A844))*2,0)/2)))</f>
        <v/>
      </c>
      <c r="AR844">
        <f>IF(OR(AR$4="",$A844&gt;TODAY()),0,IF(OR(INDEX($B844:$D844,AR$5)="F",AND(AR$6&gt;0,$A844&lt;AR$6),AND(AR$7&gt;0,$A844&gt;AR$7)),0,MAX(0,ROUND((INDEX($E844:$G844,AR$5)-SUMIFS(TF_Timer,TF_Tekniker,AR$4,TF_Dato,$A844))*2,0)/2)))</f>
        <v/>
      </c>
      <c r="AS844">
        <f>IF(OR(AS$4="",$A844&gt;TODAY()),0,IF(OR(INDEX($B844:$D844,AS$5)="F",AND(AS$6&gt;0,$A844&lt;AS$6),AND(AS$7&gt;0,$A844&gt;AS$7)),0,MAX(0,ROUND((INDEX($E844:$G844,AS$5)-SUMIFS(TF_Timer,TF_Tekniker,AS$4,TF_Dato,$A844))*2,0)/2)))</f>
        <v/>
      </c>
      <c r="AT844">
        <f>IF(OR(AT$4="",$A844&gt;TODAY()),0,IF(OR(INDEX($B844:$D844,AT$5)="F",AND(AT$6&gt;0,$A844&lt;AT$6),AND(AT$7&gt;0,$A844&gt;AT$7)),0,MAX(0,ROUND((INDEX($E844:$G844,AT$5)-SUMIFS(TF_Timer,TF_Tekniker,AT$4,TF_Dato,$A844))*2,0)/2)))</f>
        <v/>
      </c>
      <c r="AU844">
        <f>IF(OR(AU$4="",$A844&gt;TODAY()),0,IF(OR(INDEX($B844:$D844,AU$5)="F",AND(AU$6&gt;0,$A844&lt;AU$6),AND(AU$7&gt;0,$A844&gt;AU$7)),0,MAX(0,ROUND((INDEX($E844:$G844,AU$5)-SUMIFS(TF_Timer,TF_Tekniker,AU$4,TF_Dato,$A844))*2,0)/2)))</f>
        <v/>
      </c>
      <c r="AV844">
        <f>IF(OR(AV$4="",$A844&gt;TODAY()),0,IF(OR(INDEX($B844:$D844,AV$5)="F",AND(AV$6&gt;0,$A844&lt;AV$6),AND(AV$7&gt;0,$A844&gt;AV$7)),0,MAX(0,ROUND((INDEX($E844:$G844,AV$5)-SUMIFS(TF_Timer,TF_Tekniker,AV$4,TF_Dato,$A844))*2,0)/2)))</f>
        <v/>
      </c>
      <c r="AW844">
        <f>IF(OR(AW$4="",$A844&gt;TODAY()),0,IF(OR(INDEX($B844:$D844,AW$5)="F",AND(AW$6&gt;0,$A844&lt;AW$6),AND(AW$7&gt;0,$A844&gt;AW$7)),0,MAX(0,ROUND((INDEX($E844:$G844,AW$5)-SUMIFS(TF_Timer,TF_Tekniker,AW$4,TF_Dato,$A844))*2,0)/2)))</f>
        <v/>
      </c>
      <c r="AX844">
        <f>IF(OR(AX$4="",$A844&gt;TODAY()),0,IF(OR(INDEX($B844:$D844,AX$5)="F",AND(AX$6&gt;0,$A844&lt;AX$6),AND(AX$7&gt;0,$A844&gt;AX$7)),0,MAX(0,ROUND((INDEX($E844:$G844,AX$5)-SUMIFS(TF_Timer,TF_Tekniker,AX$4,TF_Dato,$A844))*2,0)/2)))</f>
        <v/>
      </c>
      <c r="AY844">
        <f>IF(OR(AY$4="",$A844&gt;TODAY()),0,IF(OR(INDEX($B844:$D844,AY$5)="F",AND(AY$6&gt;0,$A844&lt;AY$6),AND(AY$7&gt;0,$A844&gt;AY$7)),0,MAX(0,ROUND((INDEX($E844:$G844,AY$5)-SUMIFS(TF_Timer,TF_Tekniker,AY$4,TF_Dato,$A844))*2,0)/2)))</f>
        <v/>
      </c>
      <c r="AZ844">
        <f>IF(OR(AZ$4="",$A844&gt;TODAY()),0,IF(OR(INDEX($B844:$D844,AZ$5)="F",AND(AZ$6&gt;0,$A844&lt;AZ$6),AND(AZ$7&gt;0,$A844&gt;AZ$7)),0,MAX(0,ROUND((INDEX($E844:$G844,AZ$5)-SUMIFS(TF_Timer,TF_Tekniker,AZ$4,TF_Dato,$A844))*2,0)/2)))</f>
        <v/>
      </c>
      <c r="BA844">
        <f>IF(OR(BA$4="",$A844&gt;TODAY()),0,IF(OR(INDEX($B844:$D844,BA$5)="F",AND(BA$6&gt;0,$A844&lt;BA$6),AND(BA$7&gt;0,$A844&gt;BA$7)),0,MAX(0,ROUND((INDEX($E844:$G844,BA$5)-SUMIFS(TF_Timer,TF_Tekniker,BA$4,TF_Dato,$A844))*2,0)/2)))</f>
        <v/>
      </c>
      <c r="BB844">
        <f>IF(OR(BB$4="",$A844&gt;TODAY()),0,IF(OR(INDEX($B844:$D844,BB$5)="F",AND(BB$6&gt;0,$A844&lt;BB$6),AND(BB$7&gt;0,$A844&gt;BB$7)),0,MAX(0,ROUND((INDEX($E844:$G844,BB$5)-SUMIFS(TF_Timer,TF_Tekniker,BB$4,TF_Dato,$A844))*2,0)/2)))</f>
        <v/>
      </c>
      <c r="BC844">
        <f>IF(OR(BC$4="",$A844&gt;TODAY()),0,IF(OR(INDEX($B844:$D844,BC$5)="F",AND(BC$6&gt;0,$A844&lt;BC$6),AND(BC$7&gt;0,$A844&gt;BC$7)),0,MAX(0,ROUND((INDEX($E844:$G844,BC$5)-SUMIFS(TF_Timer,TF_Tekniker,BC$4,TF_Dato,$A844))*2,0)/2)))</f>
        <v/>
      </c>
      <c r="BD844">
        <f>IF(OR(BD$4="",$A844&gt;TODAY()),0,IF(OR(INDEX($B844:$D844,BD$5)="F",AND(BD$6&gt;0,$A844&lt;BD$6),AND(BD$7&gt;0,$A844&gt;BD$7)),0,MAX(0,ROUND((INDEX($E844:$G844,BD$5)-SUMIFS(TF_Timer,TF_Tekniker,BD$4,TF_Dato,$A844))*2,0)/2)))</f>
        <v/>
      </c>
      <c r="BE844">
        <f>IF(OR(BE$4="",$A844&gt;TODAY()),0,IF(OR(INDEX($B844:$D844,BE$5)="F",AND(BE$6&gt;0,$A844&lt;BE$6),AND(BE$7&gt;0,$A844&gt;BE$7)),0,MAX(0,ROUND((INDEX($E844:$G844,BE$5)-SUMIFS(TF_Timer,TF_Tekniker,BE$4,TF_Dato,$A844))*2,0)/2)))</f>
        <v/>
      </c>
      <c r="BF844">
        <f>IF(OR(BF$4="",$A844&gt;TODAY()),0,IF(OR(INDEX($B844:$D844,BF$5)="F",AND(BF$6&gt;0,$A844&lt;BF$6),AND(BF$7&gt;0,$A844&gt;BF$7)),0,MAX(0,ROUND((INDEX($E844:$G844,BF$5)-SUMIFS(TF_Timer,TF_Tekniker,BF$4,TF_Dato,$A844))*2,0)/2)))</f>
        <v/>
      </c>
      <c r="BG844">
        <f>IF(OR(BG$4="",$A844&gt;TODAY()),0,IF(OR(INDEX($B844:$D844,BG$5)="F",AND(BG$6&gt;0,$A844&lt;BG$6),AND(BG$7&gt;0,$A844&gt;BG$7)),0,MAX(0,ROUND((INDEX($E844:$G844,BG$5)-SUMIFS(TF_Timer,TF_Tekniker,BG$4,TF_Dato,$A844))*2,0)/2)))</f>
        <v/>
      </c>
      <c r="BH844">
        <f>IF(OR(BH$4="",$A844&gt;TODAY()),0,IF(OR(INDEX($B844:$D844,BH$5)="F",AND(BH$6&gt;0,$A844&lt;BH$6),AND(BH$7&gt;0,$A844&gt;BH$7)),0,MAX(0,ROUND((INDEX($E844:$G844,BH$5)-SUMIFS(TF_Timer,TF_Tekniker,BH$4,TF_Dato,$A844))*2,0)/2)))</f>
        <v/>
      </c>
      <c r="BI844">
        <f>IF(OR(BI$4="",$A844&gt;TODAY()),0,IF(OR(INDEX($B844:$D844,BI$5)="F",AND(BI$6&gt;0,$A844&lt;BI$6),AND(BI$7&gt;0,$A844&gt;BI$7)),0,MAX(0,ROUND((INDEX($E844:$G844,BI$5)-SUMIFS(TF_Timer,TF_Tekniker,BI$4,TF_Dato,$A844))*2,0)/2)))</f>
        <v/>
      </c>
    </row>
    <row r="845">
      <c r="A845" s="64">
        <f>A844+1</f>
        <v/>
      </c>
      <c r="B845">
        <f>IF(MOD($A845-INDEX(SkiftStart,1),Syklus)&lt;DagK,"K",IF(MOD($A845-INDEX(SkiftStart,1),Syklus)&lt;DagK+DagH,"H",IF(MOD($A845-INDEX(SkiftStart,1),Syklus)&lt;DagK+DagH+DagD,"D","F")))</f>
        <v/>
      </c>
      <c r="C845">
        <f>IF(MOD($A845-INDEX(SkiftStart,2),Syklus)&lt;DagK,"K",IF(MOD($A845-INDEX(SkiftStart,2),Syklus)&lt;DagK+DagH,"H",IF(MOD($A845-INDEX(SkiftStart,2),Syklus)&lt;DagK+DagH+DagD,"D","F")))</f>
        <v/>
      </c>
      <c r="D845">
        <f>IF(MOD($A845-INDEX(SkiftStart,3),Syklus)&lt;DagK,"K",IF(MOD($A845-INDEX(SkiftStart,3),Syklus)&lt;DagK+DagH,"H",IF(MOD($A845-INDEX(SkiftStart,3),Syklus)&lt;DagK+DagH+DagD,"D","F")))</f>
        <v/>
      </c>
      <c r="E845">
        <f>IF(B845="F",0,IF(WEEKDAY($A845,2)=5,INDEX(TimerFr,MATCH(B845,FaseKode,0)),INDEX(TimerMT,MATCH(B845,FaseKode,0))))</f>
        <v/>
      </c>
      <c r="F845">
        <f>IF(C845="F",0,IF(WEEKDAY($A845,2)=5,INDEX(TimerFr,MATCH(C845,FaseKode,0)),INDEX(TimerMT,MATCH(C845,FaseKode,0))))</f>
        <v/>
      </c>
      <c r="G845">
        <f>IF(D845="F",0,IF(WEEKDAY($A845,2)=5,INDEX(TimerFr,MATCH(D845,FaseKode,0)),INDEX(TimerMT,MATCH(D845,FaseKode,0))))</f>
        <v/>
      </c>
      <c r="H845">
        <f>IF(OR(H$4="",$A845&gt;TODAY()),0,IF(OR(INDEX($B845:$D845,H$5)="F",AND(H$6&gt;0,$A845&lt;H$6),AND(H$7&gt;0,$A845&gt;H$7)),0,MAX(0,ROUND((INDEX($E845:$G845,H$5)-SUMIFS(TF_Timer,TF_Tekniker,H$4,TF_Dato,$A845))*2,0)/2)))</f>
        <v/>
      </c>
      <c r="I845">
        <f>IF(OR(I$4="",$A845&gt;TODAY()),0,IF(OR(INDEX($B845:$D845,I$5)="F",AND(I$6&gt;0,$A845&lt;I$6),AND(I$7&gt;0,$A845&gt;I$7)),0,MAX(0,ROUND((INDEX($E845:$G845,I$5)-SUMIFS(TF_Timer,TF_Tekniker,I$4,TF_Dato,$A845))*2,0)/2)))</f>
        <v/>
      </c>
      <c r="J845">
        <f>IF(OR(J$4="",$A845&gt;TODAY()),0,IF(OR(INDEX($B845:$D845,J$5)="F",AND(J$6&gt;0,$A845&lt;J$6),AND(J$7&gt;0,$A845&gt;J$7)),0,MAX(0,ROUND((INDEX($E845:$G845,J$5)-SUMIFS(TF_Timer,TF_Tekniker,J$4,TF_Dato,$A845))*2,0)/2)))</f>
        <v/>
      </c>
      <c r="K845">
        <f>IF(OR(K$4="",$A845&gt;TODAY()),0,IF(OR(INDEX($B845:$D845,K$5)="F",AND(K$6&gt;0,$A845&lt;K$6),AND(K$7&gt;0,$A845&gt;K$7)),0,MAX(0,ROUND((INDEX($E845:$G845,K$5)-SUMIFS(TF_Timer,TF_Tekniker,K$4,TF_Dato,$A845))*2,0)/2)))</f>
        <v/>
      </c>
      <c r="L845">
        <f>IF(OR(L$4="",$A845&gt;TODAY()),0,IF(OR(INDEX($B845:$D845,L$5)="F",AND(L$6&gt;0,$A845&lt;L$6),AND(L$7&gt;0,$A845&gt;L$7)),0,MAX(0,ROUND((INDEX($E845:$G845,L$5)-SUMIFS(TF_Timer,TF_Tekniker,L$4,TF_Dato,$A845))*2,0)/2)))</f>
        <v/>
      </c>
      <c r="M845">
        <f>IF(OR(M$4="",$A845&gt;TODAY()),0,IF(OR(INDEX($B845:$D845,M$5)="F",AND(M$6&gt;0,$A845&lt;M$6),AND(M$7&gt;0,$A845&gt;M$7)),0,MAX(0,ROUND((INDEX($E845:$G845,M$5)-SUMIFS(TF_Timer,TF_Tekniker,M$4,TF_Dato,$A845))*2,0)/2)))</f>
        <v/>
      </c>
      <c r="N845">
        <f>IF(OR(N$4="",$A845&gt;TODAY()),0,IF(OR(INDEX($B845:$D845,N$5)="F",AND(N$6&gt;0,$A845&lt;N$6),AND(N$7&gt;0,$A845&gt;N$7)),0,MAX(0,ROUND((INDEX($E845:$G845,N$5)-SUMIFS(TF_Timer,TF_Tekniker,N$4,TF_Dato,$A845))*2,0)/2)))</f>
        <v/>
      </c>
      <c r="O845">
        <f>IF(OR(O$4="",$A845&gt;TODAY()),0,IF(OR(INDEX($B845:$D845,O$5)="F",AND(O$6&gt;0,$A845&lt;O$6),AND(O$7&gt;0,$A845&gt;O$7)),0,MAX(0,ROUND((INDEX($E845:$G845,O$5)-SUMIFS(TF_Timer,TF_Tekniker,O$4,TF_Dato,$A845))*2,0)/2)))</f>
        <v/>
      </c>
      <c r="P845">
        <f>IF(OR(P$4="",$A845&gt;TODAY()),0,IF(OR(INDEX($B845:$D845,P$5)="F",AND(P$6&gt;0,$A845&lt;P$6),AND(P$7&gt;0,$A845&gt;P$7)),0,MAX(0,ROUND((INDEX($E845:$G845,P$5)-SUMIFS(TF_Timer,TF_Tekniker,P$4,TF_Dato,$A845))*2,0)/2)))</f>
        <v/>
      </c>
      <c r="Q845">
        <f>IF(OR(Q$4="",$A845&gt;TODAY()),0,IF(OR(INDEX($B845:$D845,Q$5)="F",AND(Q$6&gt;0,$A845&lt;Q$6),AND(Q$7&gt;0,$A845&gt;Q$7)),0,MAX(0,ROUND((INDEX($E845:$G845,Q$5)-SUMIFS(TF_Timer,TF_Tekniker,Q$4,TF_Dato,$A845))*2,0)/2)))</f>
        <v/>
      </c>
      <c r="R845">
        <f>IF(OR(R$4="",$A845&gt;TODAY()),0,IF(OR(INDEX($B845:$D845,R$5)="F",AND(R$6&gt;0,$A845&lt;R$6),AND(R$7&gt;0,$A845&gt;R$7)),0,MAX(0,ROUND((INDEX($E845:$G845,R$5)-SUMIFS(TF_Timer,TF_Tekniker,R$4,TF_Dato,$A845))*2,0)/2)))</f>
        <v/>
      </c>
      <c r="S845">
        <f>IF(OR(S$4="",$A845&gt;TODAY()),0,IF(OR(INDEX($B845:$D845,S$5)="F",AND(S$6&gt;0,$A845&lt;S$6),AND(S$7&gt;0,$A845&gt;S$7)),0,MAX(0,ROUND((INDEX($E845:$G845,S$5)-SUMIFS(TF_Timer,TF_Tekniker,S$4,TF_Dato,$A845))*2,0)/2)))</f>
        <v/>
      </c>
      <c r="T845">
        <f>IF(OR(T$4="",$A845&gt;TODAY()),0,IF(OR(INDEX($B845:$D845,T$5)="F",AND(T$6&gt;0,$A845&lt;T$6),AND(T$7&gt;0,$A845&gt;T$7)),0,MAX(0,ROUND((INDEX($E845:$G845,T$5)-SUMIFS(TF_Timer,TF_Tekniker,T$4,TF_Dato,$A845))*2,0)/2)))</f>
        <v/>
      </c>
      <c r="U845">
        <f>IF(OR(U$4="",$A845&gt;TODAY()),0,IF(OR(INDEX($B845:$D845,U$5)="F",AND(U$6&gt;0,$A845&lt;U$6),AND(U$7&gt;0,$A845&gt;U$7)),0,MAX(0,ROUND((INDEX($E845:$G845,U$5)-SUMIFS(TF_Timer,TF_Tekniker,U$4,TF_Dato,$A845))*2,0)/2)))</f>
        <v/>
      </c>
      <c r="V845">
        <f>IF(OR(V$4="",$A845&gt;TODAY()),0,IF(OR(INDEX($B845:$D845,V$5)="F",AND(V$6&gt;0,$A845&lt;V$6),AND(V$7&gt;0,$A845&gt;V$7)),0,MAX(0,ROUND((INDEX($E845:$G845,V$5)-SUMIFS(TF_Timer,TF_Tekniker,V$4,TF_Dato,$A845))*2,0)/2)))</f>
        <v/>
      </c>
      <c r="W845">
        <f>IF(OR(W$4="",$A845&gt;TODAY()),0,IF(OR(INDEX($B845:$D845,W$5)="F",AND(W$6&gt;0,$A845&lt;W$6),AND(W$7&gt;0,$A845&gt;W$7)),0,MAX(0,ROUND((INDEX($E845:$G845,W$5)-SUMIFS(TF_Timer,TF_Tekniker,W$4,TF_Dato,$A845))*2,0)/2)))</f>
        <v/>
      </c>
      <c r="X845">
        <f>IF(OR(X$4="",$A845&gt;TODAY()),0,IF(OR(INDEX($B845:$D845,X$5)="F",AND(X$6&gt;0,$A845&lt;X$6),AND(X$7&gt;0,$A845&gt;X$7)),0,MAX(0,ROUND((INDEX($E845:$G845,X$5)-SUMIFS(TF_Timer,TF_Tekniker,X$4,TF_Dato,$A845))*2,0)/2)))</f>
        <v/>
      </c>
      <c r="Y845">
        <f>IF(OR(Y$4="",$A845&gt;TODAY()),0,IF(OR(INDEX($B845:$D845,Y$5)="F",AND(Y$6&gt;0,$A845&lt;Y$6),AND(Y$7&gt;0,$A845&gt;Y$7)),0,MAX(0,ROUND((INDEX($E845:$G845,Y$5)-SUMIFS(TF_Timer,TF_Tekniker,Y$4,TF_Dato,$A845))*2,0)/2)))</f>
        <v/>
      </c>
      <c r="Z845">
        <f>IF(OR(Z$4="",$A845&gt;TODAY()),0,IF(OR(INDEX($B845:$D845,Z$5)="F",AND(Z$6&gt;0,$A845&lt;Z$6),AND(Z$7&gt;0,$A845&gt;Z$7)),0,MAX(0,ROUND((INDEX($E845:$G845,Z$5)-SUMIFS(TF_Timer,TF_Tekniker,Z$4,TF_Dato,$A845))*2,0)/2)))</f>
        <v/>
      </c>
      <c r="AA845">
        <f>IF(OR(AA$4="",$A845&gt;TODAY()),0,IF(OR(INDEX($B845:$D845,AA$5)="F",AND(AA$6&gt;0,$A845&lt;AA$6),AND(AA$7&gt;0,$A845&gt;AA$7)),0,MAX(0,ROUND((INDEX($E845:$G845,AA$5)-SUMIFS(TF_Timer,TF_Tekniker,AA$4,TF_Dato,$A845))*2,0)/2)))</f>
        <v/>
      </c>
      <c r="AB845">
        <f>IF(OR(AB$4="",$A845&gt;TODAY()),0,IF(OR(INDEX($B845:$D845,AB$5)="F",AND(AB$6&gt;0,$A845&lt;AB$6),AND(AB$7&gt;0,$A845&gt;AB$7)),0,MAX(0,ROUND((INDEX($E845:$G845,AB$5)-SUMIFS(TF_Timer,TF_Tekniker,AB$4,TF_Dato,$A845))*2,0)/2)))</f>
        <v/>
      </c>
      <c r="AC845">
        <f>IF(OR(AC$4="",$A845&gt;TODAY()),0,IF(OR(INDEX($B845:$D845,AC$5)="F",AND(AC$6&gt;0,$A845&lt;AC$6),AND(AC$7&gt;0,$A845&gt;AC$7)),0,MAX(0,ROUND((INDEX($E845:$G845,AC$5)-SUMIFS(TF_Timer,TF_Tekniker,AC$4,TF_Dato,$A845))*2,0)/2)))</f>
        <v/>
      </c>
      <c r="AD845">
        <f>IF(OR(AD$4="",$A845&gt;TODAY()),0,IF(OR(INDEX($B845:$D845,AD$5)="F",AND(AD$6&gt;0,$A845&lt;AD$6),AND(AD$7&gt;0,$A845&gt;AD$7)),0,MAX(0,ROUND((INDEX($E845:$G845,AD$5)-SUMIFS(TF_Timer,TF_Tekniker,AD$4,TF_Dato,$A845))*2,0)/2)))</f>
        <v/>
      </c>
      <c r="AE845">
        <f>IF(OR(AE$4="",$A845&gt;TODAY()),0,IF(OR(INDEX($B845:$D845,AE$5)="F",AND(AE$6&gt;0,$A845&lt;AE$6),AND(AE$7&gt;0,$A845&gt;AE$7)),0,MAX(0,ROUND((INDEX($E845:$G845,AE$5)-SUMIFS(TF_Timer,TF_Tekniker,AE$4,TF_Dato,$A845))*2,0)/2)))</f>
        <v/>
      </c>
      <c r="AF845">
        <f>IF(OR(AF$4="",$A845&gt;TODAY()),0,IF(OR(INDEX($B845:$D845,AF$5)="F",AND(AF$6&gt;0,$A845&lt;AF$6),AND(AF$7&gt;0,$A845&gt;AF$7)),0,MAX(0,ROUND((INDEX($E845:$G845,AF$5)-SUMIFS(TF_Timer,TF_Tekniker,AF$4,TF_Dato,$A845))*2,0)/2)))</f>
        <v/>
      </c>
      <c r="AG845">
        <f>IF(OR(AG$4="",$A845&gt;TODAY()),0,IF(OR(INDEX($B845:$D845,AG$5)="F",AND(AG$6&gt;0,$A845&lt;AG$6),AND(AG$7&gt;0,$A845&gt;AG$7)),0,MAX(0,ROUND((INDEX($E845:$G845,AG$5)-SUMIFS(TF_Timer,TF_Tekniker,AG$4,TF_Dato,$A845))*2,0)/2)))</f>
        <v/>
      </c>
      <c r="AH845">
        <f>IF(OR(AH$4="",$A845&gt;TODAY()),0,IF(OR(INDEX($B845:$D845,AH$5)="F",AND(AH$6&gt;0,$A845&lt;AH$6),AND(AH$7&gt;0,$A845&gt;AH$7)),0,MAX(0,ROUND((INDEX($E845:$G845,AH$5)-SUMIFS(TF_Timer,TF_Tekniker,AH$4,TF_Dato,$A845))*2,0)/2)))</f>
        <v/>
      </c>
      <c r="AI845">
        <f>IF(OR(AI$4="",$A845&gt;TODAY()),0,IF(OR(INDEX($B845:$D845,AI$5)="F",AND(AI$6&gt;0,$A845&lt;AI$6),AND(AI$7&gt;0,$A845&gt;AI$7)),0,MAX(0,ROUND((INDEX($E845:$G845,AI$5)-SUMIFS(TF_Timer,TF_Tekniker,AI$4,TF_Dato,$A845))*2,0)/2)))</f>
        <v/>
      </c>
      <c r="AJ845">
        <f>IF(OR(AJ$4="",$A845&gt;TODAY()),0,IF(OR(INDEX($B845:$D845,AJ$5)="F",AND(AJ$6&gt;0,$A845&lt;AJ$6),AND(AJ$7&gt;0,$A845&gt;AJ$7)),0,MAX(0,ROUND((INDEX($E845:$G845,AJ$5)-SUMIFS(TF_Timer,TF_Tekniker,AJ$4,TF_Dato,$A845))*2,0)/2)))</f>
        <v/>
      </c>
      <c r="AK845">
        <f>IF(OR(AK$4="",$A845&gt;TODAY()),0,IF(OR(INDEX($B845:$D845,AK$5)="F",AND(AK$6&gt;0,$A845&lt;AK$6),AND(AK$7&gt;0,$A845&gt;AK$7)),0,MAX(0,ROUND((INDEX($E845:$G845,AK$5)-SUMIFS(TF_Timer,TF_Tekniker,AK$4,TF_Dato,$A845))*2,0)/2)))</f>
        <v/>
      </c>
      <c r="AL845">
        <f>IF(OR(AL$4="",$A845&gt;TODAY()),0,IF(OR(INDEX($B845:$D845,AL$5)="F",AND(AL$6&gt;0,$A845&lt;AL$6),AND(AL$7&gt;0,$A845&gt;AL$7)),0,MAX(0,ROUND((INDEX($E845:$G845,AL$5)-SUMIFS(TF_Timer,TF_Tekniker,AL$4,TF_Dato,$A845))*2,0)/2)))</f>
        <v/>
      </c>
      <c r="AM845">
        <f>IF(OR(AM$4="",$A845&gt;TODAY()),0,IF(OR(INDEX($B845:$D845,AM$5)="F",AND(AM$6&gt;0,$A845&lt;AM$6),AND(AM$7&gt;0,$A845&gt;AM$7)),0,MAX(0,ROUND((INDEX($E845:$G845,AM$5)-SUMIFS(TF_Timer,TF_Tekniker,AM$4,TF_Dato,$A845))*2,0)/2)))</f>
        <v/>
      </c>
      <c r="AN845">
        <f>IF(OR(AN$4="",$A845&gt;TODAY()),0,IF(OR(INDEX($B845:$D845,AN$5)="F",AND(AN$6&gt;0,$A845&lt;AN$6),AND(AN$7&gt;0,$A845&gt;AN$7)),0,MAX(0,ROUND((INDEX($E845:$G845,AN$5)-SUMIFS(TF_Timer,TF_Tekniker,AN$4,TF_Dato,$A845))*2,0)/2)))</f>
        <v/>
      </c>
      <c r="AO845">
        <f>IF(OR(AO$4="",$A845&gt;TODAY()),0,IF(OR(INDEX($B845:$D845,AO$5)="F",AND(AO$6&gt;0,$A845&lt;AO$6),AND(AO$7&gt;0,$A845&gt;AO$7)),0,MAX(0,ROUND((INDEX($E845:$G845,AO$5)-SUMIFS(TF_Timer,TF_Tekniker,AO$4,TF_Dato,$A845))*2,0)/2)))</f>
        <v/>
      </c>
      <c r="AP845">
        <f>IF(OR(AP$4="",$A845&gt;TODAY()),0,IF(OR(INDEX($B845:$D845,AP$5)="F",AND(AP$6&gt;0,$A845&lt;AP$6),AND(AP$7&gt;0,$A845&gt;AP$7)),0,MAX(0,ROUND((INDEX($E845:$G845,AP$5)-SUMIFS(TF_Timer,TF_Tekniker,AP$4,TF_Dato,$A845))*2,0)/2)))</f>
        <v/>
      </c>
      <c r="AQ845">
        <f>IF(OR(AQ$4="",$A845&gt;TODAY()),0,IF(OR(INDEX($B845:$D845,AQ$5)="F",AND(AQ$6&gt;0,$A845&lt;AQ$6),AND(AQ$7&gt;0,$A845&gt;AQ$7)),0,MAX(0,ROUND((INDEX($E845:$G845,AQ$5)-SUMIFS(TF_Timer,TF_Tekniker,AQ$4,TF_Dato,$A845))*2,0)/2)))</f>
        <v/>
      </c>
      <c r="AR845">
        <f>IF(OR(AR$4="",$A845&gt;TODAY()),0,IF(OR(INDEX($B845:$D845,AR$5)="F",AND(AR$6&gt;0,$A845&lt;AR$6),AND(AR$7&gt;0,$A845&gt;AR$7)),0,MAX(0,ROUND((INDEX($E845:$G845,AR$5)-SUMIFS(TF_Timer,TF_Tekniker,AR$4,TF_Dato,$A845))*2,0)/2)))</f>
        <v/>
      </c>
      <c r="AS845">
        <f>IF(OR(AS$4="",$A845&gt;TODAY()),0,IF(OR(INDEX($B845:$D845,AS$5)="F",AND(AS$6&gt;0,$A845&lt;AS$6),AND(AS$7&gt;0,$A845&gt;AS$7)),0,MAX(0,ROUND((INDEX($E845:$G845,AS$5)-SUMIFS(TF_Timer,TF_Tekniker,AS$4,TF_Dato,$A845))*2,0)/2)))</f>
        <v/>
      </c>
      <c r="AT845">
        <f>IF(OR(AT$4="",$A845&gt;TODAY()),0,IF(OR(INDEX($B845:$D845,AT$5)="F",AND(AT$6&gt;0,$A845&lt;AT$6),AND(AT$7&gt;0,$A845&gt;AT$7)),0,MAX(0,ROUND((INDEX($E845:$G845,AT$5)-SUMIFS(TF_Timer,TF_Tekniker,AT$4,TF_Dato,$A845))*2,0)/2)))</f>
        <v/>
      </c>
      <c r="AU845">
        <f>IF(OR(AU$4="",$A845&gt;TODAY()),0,IF(OR(INDEX($B845:$D845,AU$5)="F",AND(AU$6&gt;0,$A845&lt;AU$6),AND(AU$7&gt;0,$A845&gt;AU$7)),0,MAX(0,ROUND((INDEX($E845:$G845,AU$5)-SUMIFS(TF_Timer,TF_Tekniker,AU$4,TF_Dato,$A845))*2,0)/2)))</f>
        <v/>
      </c>
      <c r="AV845">
        <f>IF(OR(AV$4="",$A845&gt;TODAY()),0,IF(OR(INDEX($B845:$D845,AV$5)="F",AND(AV$6&gt;0,$A845&lt;AV$6),AND(AV$7&gt;0,$A845&gt;AV$7)),0,MAX(0,ROUND((INDEX($E845:$G845,AV$5)-SUMIFS(TF_Timer,TF_Tekniker,AV$4,TF_Dato,$A845))*2,0)/2)))</f>
        <v/>
      </c>
      <c r="AW845">
        <f>IF(OR(AW$4="",$A845&gt;TODAY()),0,IF(OR(INDEX($B845:$D845,AW$5)="F",AND(AW$6&gt;0,$A845&lt;AW$6),AND(AW$7&gt;0,$A845&gt;AW$7)),0,MAX(0,ROUND((INDEX($E845:$G845,AW$5)-SUMIFS(TF_Timer,TF_Tekniker,AW$4,TF_Dato,$A845))*2,0)/2)))</f>
        <v/>
      </c>
      <c r="AX845">
        <f>IF(OR(AX$4="",$A845&gt;TODAY()),0,IF(OR(INDEX($B845:$D845,AX$5)="F",AND(AX$6&gt;0,$A845&lt;AX$6),AND(AX$7&gt;0,$A845&gt;AX$7)),0,MAX(0,ROUND((INDEX($E845:$G845,AX$5)-SUMIFS(TF_Timer,TF_Tekniker,AX$4,TF_Dato,$A845))*2,0)/2)))</f>
        <v/>
      </c>
      <c r="AY845">
        <f>IF(OR(AY$4="",$A845&gt;TODAY()),0,IF(OR(INDEX($B845:$D845,AY$5)="F",AND(AY$6&gt;0,$A845&lt;AY$6),AND(AY$7&gt;0,$A845&gt;AY$7)),0,MAX(0,ROUND((INDEX($E845:$G845,AY$5)-SUMIFS(TF_Timer,TF_Tekniker,AY$4,TF_Dato,$A845))*2,0)/2)))</f>
        <v/>
      </c>
      <c r="AZ845">
        <f>IF(OR(AZ$4="",$A845&gt;TODAY()),0,IF(OR(INDEX($B845:$D845,AZ$5)="F",AND(AZ$6&gt;0,$A845&lt;AZ$6),AND(AZ$7&gt;0,$A845&gt;AZ$7)),0,MAX(0,ROUND((INDEX($E845:$G845,AZ$5)-SUMIFS(TF_Timer,TF_Tekniker,AZ$4,TF_Dato,$A845))*2,0)/2)))</f>
        <v/>
      </c>
      <c r="BA845">
        <f>IF(OR(BA$4="",$A845&gt;TODAY()),0,IF(OR(INDEX($B845:$D845,BA$5)="F",AND(BA$6&gt;0,$A845&lt;BA$6),AND(BA$7&gt;0,$A845&gt;BA$7)),0,MAX(0,ROUND((INDEX($E845:$G845,BA$5)-SUMIFS(TF_Timer,TF_Tekniker,BA$4,TF_Dato,$A845))*2,0)/2)))</f>
        <v/>
      </c>
      <c r="BB845">
        <f>IF(OR(BB$4="",$A845&gt;TODAY()),0,IF(OR(INDEX($B845:$D845,BB$5)="F",AND(BB$6&gt;0,$A845&lt;BB$6),AND(BB$7&gt;0,$A845&gt;BB$7)),0,MAX(0,ROUND((INDEX($E845:$G845,BB$5)-SUMIFS(TF_Timer,TF_Tekniker,BB$4,TF_Dato,$A845))*2,0)/2)))</f>
        <v/>
      </c>
      <c r="BC845">
        <f>IF(OR(BC$4="",$A845&gt;TODAY()),0,IF(OR(INDEX($B845:$D845,BC$5)="F",AND(BC$6&gt;0,$A845&lt;BC$6),AND(BC$7&gt;0,$A845&gt;BC$7)),0,MAX(0,ROUND((INDEX($E845:$G845,BC$5)-SUMIFS(TF_Timer,TF_Tekniker,BC$4,TF_Dato,$A845))*2,0)/2)))</f>
        <v/>
      </c>
      <c r="BD845">
        <f>IF(OR(BD$4="",$A845&gt;TODAY()),0,IF(OR(INDEX($B845:$D845,BD$5)="F",AND(BD$6&gt;0,$A845&lt;BD$6),AND(BD$7&gt;0,$A845&gt;BD$7)),0,MAX(0,ROUND((INDEX($E845:$G845,BD$5)-SUMIFS(TF_Timer,TF_Tekniker,BD$4,TF_Dato,$A845))*2,0)/2)))</f>
        <v/>
      </c>
      <c r="BE845">
        <f>IF(OR(BE$4="",$A845&gt;TODAY()),0,IF(OR(INDEX($B845:$D845,BE$5)="F",AND(BE$6&gt;0,$A845&lt;BE$6),AND(BE$7&gt;0,$A845&gt;BE$7)),0,MAX(0,ROUND((INDEX($E845:$G845,BE$5)-SUMIFS(TF_Timer,TF_Tekniker,BE$4,TF_Dato,$A845))*2,0)/2)))</f>
        <v/>
      </c>
      <c r="BF845">
        <f>IF(OR(BF$4="",$A845&gt;TODAY()),0,IF(OR(INDEX($B845:$D845,BF$5)="F",AND(BF$6&gt;0,$A845&lt;BF$6),AND(BF$7&gt;0,$A845&gt;BF$7)),0,MAX(0,ROUND((INDEX($E845:$G845,BF$5)-SUMIFS(TF_Timer,TF_Tekniker,BF$4,TF_Dato,$A845))*2,0)/2)))</f>
        <v/>
      </c>
      <c r="BG845">
        <f>IF(OR(BG$4="",$A845&gt;TODAY()),0,IF(OR(INDEX($B845:$D845,BG$5)="F",AND(BG$6&gt;0,$A845&lt;BG$6),AND(BG$7&gt;0,$A845&gt;BG$7)),0,MAX(0,ROUND((INDEX($E845:$G845,BG$5)-SUMIFS(TF_Timer,TF_Tekniker,BG$4,TF_Dato,$A845))*2,0)/2)))</f>
        <v/>
      </c>
      <c r="BH845">
        <f>IF(OR(BH$4="",$A845&gt;TODAY()),0,IF(OR(INDEX($B845:$D845,BH$5)="F",AND(BH$6&gt;0,$A845&lt;BH$6),AND(BH$7&gt;0,$A845&gt;BH$7)),0,MAX(0,ROUND((INDEX($E845:$G845,BH$5)-SUMIFS(TF_Timer,TF_Tekniker,BH$4,TF_Dato,$A845))*2,0)/2)))</f>
        <v/>
      </c>
      <c r="BI845">
        <f>IF(OR(BI$4="",$A845&gt;TODAY()),0,IF(OR(INDEX($B845:$D845,BI$5)="F",AND(BI$6&gt;0,$A845&lt;BI$6),AND(BI$7&gt;0,$A845&gt;BI$7)),0,MAX(0,ROUND((INDEX($E845:$G845,BI$5)-SUMIFS(TF_Timer,TF_Tekniker,BI$4,TF_Dato,$A845))*2,0)/2)))</f>
        <v/>
      </c>
    </row>
    <row r="846">
      <c r="A846" s="64">
        <f>A845+1</f>
        <v/>
      </c>
      <c r="B846">
        <f>IF(MOD($A846-INDEX(SkiftStart,1),Syklus)&lt;DagK,"K",IF(MOD($A846-INDEX(SkiftStart,1),Syklus)&lt;DagK+DagH,"H",IF(MOD($A846-INDEX(SkiftStart,1),Syklus)&lt;DagK+DagH+DagD,"D","F")))</f>
        <v/>
      </c>
      <c r="C846">
        <f>IF(MOD($A846-INDEX(SkiftStart,2),Syklus)&lt;DagK,"K",IF(MOD($A846-INDEX(SkiftStart,2),Syklus)&lt;DagK+DagH,"H",IF(MOD($A846-INDEX(SkiftStart,2),Syklus)&lt;DagK+DagH+DagD,"D","F")))</f>
        <v/>
      </c>
      <c r="D846">
        <f>IF(MOD($A846-INDEX(SkiftStart,3),Syklus)&lt;DagK,"K",IF(MOD($A846-INDEX(SkiftStart,3),Syklus)&lt;DagK+DagH,"H",IF(MOD($A846-INDEX(SkiftStart,3),Syklus)&lt;DagK+DagH+DagD,"D","F")))</f>
        <v/>
      </c>
      <c r="E846">
        <f>IF(B846="F",0,IF(WEEKDAY($A846,2)=5,INDEX(TimerFr,MATCH(B846,FaseKode,0)),INDEX(TimerMT,MATCH(B846,FaseKode,0))))</f>
        <v/>
      </c>
      <c r="F846">
        <f>IF(C846="F",0,IF(WEEKDAY($A846,2)=5,INDEX(TimerFr,MATCH(C846,FaseKode,0)),INDEX(TimerMT,MATCH(C846,FaseKode,0))))</f>
        <v/>
      </c>
      <c r="G846">
        <f>IF(D846="F",0,IF(WEEKDAY($A846,2)=5,INDEX(TimerFr,MATCH(D846,FaseKode,0)),INDEX(TimerMT,MATCH(D846,FaseKode,0))))</f>
        <v/>
      </c>
      <c r="H846">
        <f>IF(OR(H$4="",$A846&gt;TODAY()),0,IF(OR(INDEX($B846:$D846,H$5)="F",AND(H$6&gt;0,$A846&lt;H$6),AND(H$7&gt;0,$A846&gt;H$7)),0,MAX(0,ROUND((INDEX($E846:$G846,H$5)-SUMIFS(TF_Timer,TF_Tekniker,H$4,TF_Dato,$A846))*2,0)/2)))</f>
        <v/>
      </c>
      <c r="I846">
        <f>IF(OR(I$4="",$A846&gt;TODAY()),0,IF(OR(INDEX($B846:$D846,I$5)="F",AND(I$6&gt;0,$A846&lt;I$6),AND(I$7&gt;0,$A846&gt;I$7)),0,MAX(0,ROUND((INDEX($E846:$G846,I$5)-SUMIFS(TF_Timer,TF_Tekniker,I$4,TF_Dato,$A846))*2,0)/2)))</f>
        <v/>
      </c>
      <c r="J846">
        <f>IF(OR(J$4="",$A846&gt;TODAY()),0,IF(OR(INDEX($B846:$D846,J$5)="F",AND(J$6&gt;0,$A846&lt;J$6),AND(J$7&gt;0,$A846&gt;J$7)),0,MAX(0,ROUND((INDEX($E846:$G846,J$5)-SUMIFS(TF_Timer,TF_Tekniker,J$4,TF_Dato,$A846))*2,0)/2)))</f>
        <v/>
      </c>
      <c r="K846">
        <f>IF(OR(K$4="",$A846&gt;TODAY()),0,IF(OR(INDEX($B846:$D846,K$5)="F",AND(K$6&gt;0,$A846&lt;K$6),AND(K$7&gt;0,$A846&gt;K$7)),0,MAX(0,ROUND((INDEX($E846:$G846,K$5)-SUMIFS(TF_Timer,TF_Tekniker,K$4,TF_Dato,$A846))*2,0)/2)))</f>
        <v/>
      </c>
      <c r="L846">
        <f>IF(OR(L$4="",$A846&gt;TODAY()),0,IF(OR(INDEX($B846:$D846,L$5)="F",AND(L$6&gt;0,$A846&lt;L$6),AND(L$7&gt;0,$A846&gt;L$7)),0,MAX(0,ROUND((INDEX($E846:$G846,L$5)-SUMIFS(TF_Timer,TF_Tekniker,L$4,TF_Dato,$A846))*2,0)/2)))</f>
        <v/>
      </c>
      <c r="M846">
        <f>IF(OR(M$4="",$A846&gt;TODAY()),0,IF(OR(INDEX($B846:$D846,M$5)="F",AND(M$6&gt;0,$A846&lt;M$6),AND(M$7&gt;0,$A846&gt;M$7)),0,MAX(0,ROUND((INDEX($E846:$G846,M$5)-SUMIFS(TF_Timer,TF_Tekniker,M$4,TF_Dato,$A846))*2,0)/2)))</f>
        <v/>
      </c>
      <c r="N846">
        <f>IF(OR(N$4="",$A846&gt;TODAY()),0,IF(OR(INDEX($B846:$D846,N$5)="F",AND(N$6&gt;0,$A846&lt;N$6),AND(N$7&gt;0,$A846&gt;N$7)),0,MAX(0,ROUND((INDEX($E846:$G846,N$5)-SUMIFS(TF_Timer,TF_Tekniker,N$4,TF_Dato,$A846))*2,0)/2)))</f>
        <v/>
      </c>
      <c r="O846">
        <f>IF(OR(O$4="",$A846&gt;TODAY()),0,IF(OR(INDEX($B846:$D846,O$5)="F",AND(O$6&gt;0,$A846&lt;O$6),AND(O$7&gt;0,$A846&gt;O$7)),0,MAX(0,ROUND((INDEX($E846:$G846,O$5)-SUMIFS(TF_Timer,TF_Tekniker,O$4,TF_Dato,$A846))*2,0)/2)))</f>
        <v/>
      </c>
      <c r="P846">
        <f>IF(OR(P$4="",$A846&gt;TODAY()),0,IF(OR(INDEX($B846:$D846,P$5)="F",AND(P$6&gt;0,$A846&lt;P$6),AND(P$7&gt;0,$A846&gt;P$7)),0,MAX(0,ROUND((INDEX($E846:$G846,P$5)-SUMIFS(TF_Timer,TF_Tekniker,P$4,TF_Dato,$A846))*2,0)/2)))</f>
        <v/>
      </c>
      <c r="Q846">
        <f>IF(OR(Q$4="",$A846&gt;TODAY()),0,IF(OR(INDEX($B846:$D846,Q$5)="F",AND(Q$6&gt;0,$A846&lt;Q$6),AND(Q$7&gt;0,$A846&gt;Q$7)),0,MAX(0,ROUND((INDEX($E846:$G846,Q$5)-SUMIFS(TF_Timer,TF_Tekniker,Q$4,TF_Dato,$A846))*2,0)/2)))</f>
        <v/>
      </c>
      <c r="R846">
        <f>IF(OR(R$4="",$A846&gt;TODAY()),0,IF(OR(INDEX($B846:$D846,R$5)="F",AND(R$6&gt;0,$A846&lt;R$6),AND(R$7&gt;0,$A846&gt;R$7)),0,MAX(0,ROUND((INDEX($E846:$G846,R$5)-SUMIFS(TF_Timer,TF_Tekniker,R$4,TF_Dato,$A846))*2,0)/2)))</f>
        <v/>
      </c>
      <c r="S846">
        <f>IF(OR(S$4="",$A846&gt;TODAY()),0,IF(OR(INDEX($B846:$D846,S$5)="F",AND(S$6&gt;0,$A846&lt;S$6),AND(S$7&gt;0,$A846&gt;S$7)),0,MAX(0,ROUND((INDEX($E846:$G846,S$5)-SUMIFS(TF_Timer,TF_Tekniker,S$4,TF_Dato,$A846))*2,0)/2)))</f>
        <v/>
      </c>
      <c r="T846">
        <f>IF(OR(T$4="",$A846&gt;TODAY()),0,IF(OR(INDEX($B846:$D846,T$5)="F",AND(T$6&gt;0,$A846&lt;T$6),AND(T$7&gt;0,$A846&gt;T$7)),0,MAX(0,ROUND((INDEX($E846:$G846,T$5)-SUMIFS(TF_Timer,TF_Tekniker,T$4,TF_Dato,$A846))*2,0)/2)))</f>
        <v/>
      </c>
      <c r="U846">
        <f>IF(OR(U$4="",$A846&gt;TODAY()),0,IF(OR(INDEX($B846:$D846,U$5)="F",AND(U$6&gt;0,$A846&lt;U$6),AND(U$7&gt;0,$A846&gt;U$7)),0,MAX(0,ROUND((INDEX($E846:$G846,U$5)-SUMIFS(TF_Timer,TF_Tekniker,U$4,TF_Dato,$A846))*2,0)/2)))</f>
        <v/>
      </c>
      <c r="V846">
        <f>IF(OR(V$4="",$A846&gt;TODAY()),0,IF(OR(INDEX($B846:$D846,V$5)="F",AND(V$6&gt;0,$A846&lt;V$6),AND(V$7&gt;0,$A846&gt;V$7)),0,MAX(0,ROUND((INDEX($E846:$G846,V$5)-SUMIFS(TF_Timer,TF_Tekniker,V$4,TF_Dato,$A846))*2,0)/2)))</f>
        <v/>
      </c>
      <c r="W846">
        <f>IF(OR(W$4="",$A846&gt;TODAY()),0,IF(OR(INDEX($B846:$D846,W$5)="F",AND(W$6&gt;0,$A846&lt;W$6),AND(W$7&gt;0,$A846&gt;W$7)),0,MAX(0,ROUND((INDEX($E846:$G846,W$5)-SUMIFS(TF_Timer,TF_Tekniker,W$4,TF_Dato,$A846))*2,0)/2)))</f>
        <v/>
      </c>
      <c r="X846">
        <f>IF(OR(X$4="",$A846&gt;TODAY()),0,IF(OR(INDEX($B846:$D846,X$5)="F",AND(X$6&gt;0,$A846&lt;X$6),AND(X$7&gt;0,$A846&gt;X$7)),0,MAX(0,ROUND((INDEX($E846:$G846,X$5)-SUMIFS(TF_Timer,TF_Tekniker,X$4,TF_Dato,$A846))*2,0)/2)))</f>
        <v/>
      </c>
      <c r="Y846">
        <f>IF(OR(Y$4="",$A846&gt;TODAY()),0,IF(OR(INDEX($B846:$D846,Y$5)="F",AND(Y$6&gt;0,$A846&lt;Y$6),AND(Y$7&gt;0,$A846&gt;Y$7)),0,MAX(0,ROUND((INDEX($E846:$G846,Y$5)-SUMIFS(TF_Timer,TF_Tekniker,Y$4,TF_Dato,$A846))*2,0)/2)))</f>
        <v/>
      </c>
      <c r="Z846">
        <f>IF(OR(Z$4="",$A846&gt;TODAY()),0,IF(OR(INDEX($B846:$D846,Z$5)="F",AND(Z$6&gt;0,$A846&lt;Z$6),AND(Z$7&gt;0,$A846&gt;Z$7)),0,MAX(0,ROUND((INDEX($E846:$G846,Z$5)-SUMIFS(TF_Timer,TF_Tekniker,Z$4,TF_Dato,$A846))*2,0)/2)))</f>
        <v/>
      </c>
      <c r="AA846">
        <f>IF(OR(AA$4="",$A846&gt;TODAY()),0,IF(OR(INDEX($B846:$D846,AA$5)="F",AND(AA$6&gt;0,$A846&lt;AA$6),AND(AA$7&gt;0,$A846&gt;AA$7)),0,MAX(0,ROUND((INDEX($E846:$G846,AA$5)-SUMIFS(TF_Timer,TF_Tekniker,AA$4,TF_Dato,$A846))*2,0)/2)))</f>
        <v/>
      </c>
      <c r="AB846">
        <f>IF(OR(AB$4="",$A846&gt;TODAY()),0,IF(OR(INDEX($B846:$D846,AB$5)="F",AND(AB$6&gt;0,$A846&lt;AB$6),AND(AB$7&gt;0,$A846&gt;AB$7)),0,MAX(0,ROUND((INDEX($E846:$G846,AB$5)-SUMIFS(TF_Timer,TF_Tekniker,AB$4,TF_Dato,$A846))*2,0)/2)))</f>
        <v/>
      </c>
      <c r="AC846">
        <f>IF(OR(AC$4="",$A846&gt;TODAY()),0,IF(OR(INDEX($B846:$D846,AC$5)="F",AND(AC$6&gt;0,$A846&lt;AC$6),AND(AC$7&gt;0,$A846&gt;AC$7)),0,MAX(0,ROUND((INDEX($E846:$G846,AC$5)-SUMIFS(TF_Timer,TF_Tekniker,AC$4,TF_Dato,$A846))*2,0)/2)))</f>
        <v/>
      </c>
      <c r="AD846">
        <f>IF(OR(AD$4="",$A846&gt;TODAY()),0,IF(OR(INDEX($B846:$D846,AD$5)="F",AND(AD$6&gt;0,$A846&lt;AD$6),AND(AD$7&gt;0,$A846&gt;AD$7)),0,MAX(0,ROUND((INDEX($E846:$G846,AD$5)-SUMIFS(TF_Timer,TF_Tekniker,AD$4,TF_Dato,$A846))*2,0)/2)))</f>
        <v/>
      </c>
      <c r="AE846">
        <f>IF(OR(AE$4="",$A846&gt;TODAY()),0,IF(OR(INDEX($B846:$D846,AE$5)="F",AND(AE$6&gt;0,$A846&lt;AE$6),AND(AE$7&gt;0,$A846&gt;AE$7)),0,MAX(0,ROUND((INDEX($E846:$G846,AE$5)-SUMIFS(TF_Timer,TF_Tekniker,AE$4,TF_Dato,$A846))*2,0)/2)))</f>
        <v/>
      </c>
      <c r="AF846">
        <f>IF(OR(AF$4="",$A846&gt;TODAY()),0,IF(OR(INDEX($B846:$D846,AF$5)="F",AND(AF$6&gt;0,$A846&lt;AF$6),AND(AF$7&gt;0,$A846&gt;AF$7)),0,MAX(0,ROUND((INDEX($E846:$G846,AF$5)-SUMIFS(TF_Timer,TF_Tekniker,AF$4,TF_Dato,$A846))*2,0)/2)))</f>
        <v/>
      </c>
      <c r="AG846">
        <f>IF(OR(AG$4="",$A846&gt;TODAY()),0,IF(OR(INDEX($B846:$D846,AG$5)="F",AND(AG$6&gt;0,$A846&lt;AG$6),AND(AG$7&gt;0,$A846&gt;AG$7)),0,MAX(0,ROUND((INDEX($E846:$G846,AG$5)-SUMIFS(TF_Timer,TF_Tekniker,AG$4,TF_Dato,$A846))*2,0)/2)))</f>
        <v/>
      </c>
      <c r="AH846">
        <f>IF(OR(AH$4="",$A846&gt;TODAY()),0,IF(OR(INDEX($B846:$D846,AH$5)="F",AND(AH$6&gt;0,$A846&lt;AH$6),AND(AH$7&gt;0,$A846&gt;AH$7)),0,MAX(0,ROUND((INDEX($E846:$G846,AH$5)-SUMIFS(TF_Timer,TF_Tekniker,AH$4,TF_Dato,$A846))*2,0)/2)))</f>
        <v/>
      </c>
      <c r="AI846">
        <f>IF(OR(AI$4="",$A846&gt;TODAY()),0,IF(OR(INDEX($B846:$D846,AI$5)="F",AND(AI$6&gt;0,$A846&lt;AI$6),AND(AI$7&gt;0,$A846&gt;AI$7)),0,MAX(0,ROUND((INDEX($E846:$G846,AI$5)-SUMIFS(TF_Timer,TF_Tekniker,AI$4,TF_Dato,$A846))*2,0)/2)))</f>
        <v/>
      </c>
      <c r="AJ846">
        <f>IF(OR(AJ$4="",$A846&gt;TODAY()),0,IF(OR(INDEX($B846:$D846,AJ$5)="F",AND(AJ$6&gt;0,$A846&lt;AJ$6),AND(AJ$7&gt;0,$A846&gt;AJ$7)),0,MAX(0,ROUND((INDEX($E846:$G846,AJ$5)-SUMIFS(TF_Timer,TF_Tekniker,AJ$4,TF_Dato,$A846))*2,0)/2)))</f>
        <v/>
      </c>
      <c r="AK846">
        <f>IF(OR(AK$4="",$A846&gt;TODAY()),0,IF(OR(INDEX($B846:$D846,AK$5)="F",AND(AK$6&gt;0,$A846&lt;AK$6),AND(AK$7&gt;0,$A846&gt;AK$7)),0,MAX(0,ROUND((INDEX($E846:$G846,AK$5)-SUMIFS(TF_Timer,TF_Tekniker,AK$4,TF_Dato,$A846))*2,0)/2)))</f>
        <v/>
      </c>
      <c r="AL846">
        <f>IF(OR(AL$4="",$A846&gt;TODAY()),0,IF(OR(INDEX($B846:$D846,AL$5)="F",AND(AL$6&gt;0,$A846&lt;AL$6),AND(AL$7&gt;0,$A846&gt;AL$7)),0,MAX(0,ROUND((INDEX($E846:$G846,AL$5)-SUMIFS(TF_Timer,TF_Tekniker,AL$4,TF_Dato,$A846))*2,0)/2)))</f>
        <v/>
      </c>
      <c r="AM846">
        <f>IF(OR(AM$4="",$A846&gt;TODAY()),0,IF(OR(INDEX($B846:$D846,AM$5)="F",AND(AM$6&gt;0,$A846&lt;AM$6),AND(AM$7&gt;0,$A846&gt;AM$7)),0,MAX(0,ROUND((INDEX($E846:$G846,AM$5)-SUMIFS(TF_Timer,TF_Tekniker,AM$4,TF_Dato,$A846))*2,0)/2)))</f>
        <v/>
      </c>
      <c r="AN846">
        <f>IF(OR(AN$4="",$A846&gt;TODAY()),0,IF(OR(INDEX($B846:$D846,AN$5)="F",AND(AN$6&gt;0,$A846&lt;AN$6),AND(AN$7&gt;0,$A846&gt;AN$7)),0,MAX(0,ROUND((INDEX($E846:$G846,AN$5)-SUMIFS(TF_Timer,TF_Tekniker,AN$4,TF_Dato,$A846))*2,0)/2)))</f>
        <v/>
      </c>
      <c r="AO846">
        <f>IF(OR(AO$4="",$A846&gt;TODAY()),0,IF(OR(INDEX($B846:$D846,AO$5)="F",AND(AO$6&gt;0,$A846&lt;AO$6),AND(AO$7&gt;0,$A846&gt;AO$7)),0,MAX(0,ROUND((INDEX($E846:$G846,AO$5)-SUMIFS(TF_Timer,TF_Tekniker,AO$4,TF_Dato,$A846))*2,0)/2)))</f>
        <v/>
      </c>
      <c r="AP846">
        <f>IF(OR(AP$4="",$A846&gt;TODAY()),0,IF(OR(INDEX($B846:$D846,AP$5)="F",AND(AP$6&gt;0,$A846&lt;AP$6),AND(AP$7&gt;0,$A846&gt;AP$7)),0,MAX(0,ROUND((INDEX($E846:$G846,AP$5)-SUMIFS(TF_Timer,TF_Tekniker,AP$4,TF_Dato,$A846))*2,0)/2)))</f>
        <v/>
      </c>
      <c r="AQ846">
        <f>IF(OR(AQ$4="",$A846&gt;TODAY()),0,IF(OR(INDEX($B846:$D846,AQ$5)="F",AND(AQ$6&gt;0,$A846&lt;AQ$6),AND(AQ$7&gt;0,$A846&gt;AQ$7)),0,MAX(0,ROUND((INDEX($E846:$G846,AQ$5)-SUMIFS(TF_Timer,TF_Tekniker,AQ$4,TF_Dato,$A846))*2,0)/2)))</f>
        <v/>
      </c>
      <c r="AR846">
        <f>IF(OR(AR$4="",$A846&gt;TODAY()),0,IF(OR(INDEX($B846:$D846,AR$5)="F",AND(AR$6&gt;0,$A846&lt;AR$6),AND(AR$7&gt;0,$A846&gt;AR$7)),0,MAX(0,ROUND((INDEX($E846:$G846,AR$5)-SUMIFS(TF_Timer,TF_Tekniker,AR$4,TF_Dato,$A846))*2,0)/2)))</f>
        <v/>
      </c>
      <c r="AS846">
        <f>IF(OR(AS$4="",$A846&gt;TODAY()),0,IF(OR(INDEX($B846:$D846,AS$5)="F",AND(AS$6&gt;0,$A846&lt;AS$6),AND(AS$7&gt;0,$A846&gt;AS$7)),0,MAX(0,ROUND((INDEX($E846:$G846,AS$5)-SUMIFS(TF_Timer,TF_Tekniker,AS$4,TF_Dato,$A846))*2,0)/2)))</f>
        <v/>
      </c>
      <c r="AT846">
        <f>IF(OR(AT$4="",$A846&gt;TODAY()),0,IF(OR(INDEX($B846:$D846,AT$5)="F",AND(AT$6&gt;0,$A846&lt;AT$6),AND(AT$7&gt;0,$A846&gt;AT$7)),0,MAX(0,ROUND((INDEX($E846:$G846,AT$5)-SUMIFS(TF_Timer,TF_Tekniker,AT$4,TF_Dato,$A846))*2,0)/2)))</f>
        <v/>
      </c>
      <c r="AU846">
        <f>IF(OR(AU$4="",$A846&gt;TODAY()),0,IF(OR(INDEX($B846:$D846,AU$5)="F",AND(AU$6&gt;0,$A846&lt;AU$6),AND(AU$7&gt;0,$A846&gt;AU$7)),0,MAX(0,ROUND((INDEX($E846:$G846,AU$5)-SUMIFS(TF_Timer,TF_Tekniker,AU$4,TF_Dato,$A846))*2,0)/2)))</f>
        <v/>
      </c>
      <c r="AV846">
        <f>IF(OR(AV$4="",$A846&gt;TODAY()),0,IF(OR(INDEX($B846:$D846,AV$5)="F",AND(AV$6&gt;0,$A846&lt;AV$6),AND(AV$7&gt;0,$A846&gt;AV$7)),0,MAX(0,ROUND((INDEX($E846:$G846,AV$5)-SUMIFS(TF_Timer,TF_Tekniker,AV$4,TF_Dato,$A846))*2,0)/2)))</f>
        <v/>
      </c>
      <c r="AW846">
        <f>IF(OR(AW$4="",$A846&gt;TODAY()),0,IF(OR(INDEX($B846:$D846,AW$5)="F",AND(AW$6&gt;0,$A846&lt;AW$6),AND(AW$7&gt;0,$A846&gt;AW$7)),0,MAX(0,ROUND((INDEX($E846:$G846,AW$5)-SUMIFS(TF_Timer,TF_Tekniker,AW$4,TF_Dato,$A846))*2,0)/2)))</f>
        <v/>
      </c>
      <c r="AX846">
        <f>IF(OR(AX$4="",$A846&gt;TODAY()),0,IF(OR(INDEX($B846:$D846,AX$5)="F",AND(AX$6&gt;0,$A846&lt;AX$6),AND(AX$7&gt;0,$A846&gt;AX$7)),0,MAX(0,ROUND((INDEX($E846:$G846,AX$5)-SUMIFS(TF_Timer,TF_Tekniker,AX$4,TF_Dato,$A846))*2,0)/2)))</f>
        <v/>
      </c>
      <c r="AY846">
        <f>IF(OR(AY$4="",$A846&gt;TODAY()),0,IF(OR(INDEX($B846:$D846,AY$5)="F",AND(AY$6&gt;0,$A846&lt;AY$6),AND(AY$7&gt;0,$A846&gt;AY$7)),0,MAX(0,ROUND((INDEX($E846:$G846,AY$5)-SUMIFS(TF_Timer,TF_Tekniker,AY$4,TF_Dato,$A846))*2,0)/2)))</f>
        <v/>
      </c>
      <c r="AZ846">
        <f>IF(OR(AZ$4="",$A846&gt;TODAY()),0,IF(OR(INDEX($B846:$D846,AZ$5)="F",AND(AZ$6&gt;0,$A846&lt;AZ$6),AND(AZ$7&gt;0,$A846&gt;AZ$7)),0,MAX(0,ROUND((INDEX($E846:$G846,AZ$5)-SUMIFS(TF_Timer,TF_Tekniker,AZ$4,TF_Dato,$A846))*2,0)/2)))</f>
        <v/>
      </c>
      <c r="BA846">
        <f>IF(OR(BA$4="",$A846&gt;TODAY()),0,IF(OR(INDEX($B846:$D846,BA$5)="F",AND(BA$6&gt;0,$A846&lt;BA$6),AND(BA$7&gt;0,$A846&gt;BA$7)),0,MAX(0,ROUND((INDEX($E846:$G846,BA$5)-SUMIFS(TF_Timer,TF_Tekniker,BA$4,TF_Dato,$A846))*2,0)/2)))</f>
        <v/>
      </c>
      <c r="BB846">
        <f>IF(OR(BB$4="",$A846&gt;TODAY()),0,IF(OR(INDEX($B846:$D846,BB$5)="F",AND(BB$6&gt;0,$A846&lt;BB$6),AND(BB$7&gt;0,$A846&gt;BB$7)),0,MAX(0,ROUND((INDEX($E846:$G846,BB$5)-SUMIFS(TF_Timer,TF_Tekniker,BB$4,TF_Dato,$A846))*2,0)/2)))</f>
        <v/>
      </c>
      <c r="BC846">
        <f>IF(OR(BC$4="",$A846&gt;TODAY()),0,IF(OR(INDEX($B846:$D846,BC$5)="F",AND(BC$6&gt;0,$A846&lt;BC$6),AND(BC$7&gt;0,$A846&gt;BC$7)),0,MAX(0,ROUND((INDEX($E846:$G846,BC$5)-SUMIFS(TF_Timer,TF_Tekniker,BC$4,TF_Dato,$A846))*2,0)/2)))</f>
        <v/>
      </c>
      <c r="BD846">
        <f>IF(OR(BD$4="",$A846&gt;TODAY()),0,IF(OR(INDEX($B846:$D846,BD$5)="F",AND(BD$6&gt;0,$A846&lt;BD$6),AND(BD$7&gt;0,$A846&gt;BD$7)),0,MAX(0,ROUND((INDEX($E846:$G846,BD$5)-SUMIFS(TF_Timer,TF_Tekniker,BD$4,TF_Dato,$A846))*2,0)/2)))</f>
        <v/>
      </c>
      <c r="BE846">
        <f>IF(OR(BE$4="",$A846&gt;TODAY()),0,IF(OR(INDEX($B846:$D846,BE$5)="F",AND(BE$6&gt;0,$A846&lt;BE$6),AND(BE$7&gt;0,$A846&gt;BE$7)),0,MAX(0,ROUND((INDEX($E846:$G846,BE$5)-SUMIFS(TF_Timer,TF_Tekniker,BE$4,TF_Dato,$A846))*2,0)/2)))</f>
        <v/>
      </c>
      <c r="BF846">
        <f>IF(OR(BF$4="",$A846&gt;TODAY()),0,IF(OR(INDEX($B846:$D846,BF$5)="F",AND(BF$6&gt;0,$A846&lt;BF$6),AND(BF$7&gt;0,$A846&gt;BF$7)),0,MAX(0,ROUND((INDEX($E846:$G846,BF$5)-SUMIFS(TF_Timer,TF_Tekniker,BF$4,TF_Dato,$A846))*2,0)/2)))</f>
        <v/>
      </c>
      <c r="BG846">
        <f>IF(OR(BG$4="",$A846&gt;TODAY()),0,IF(OR(INDEX($B846:$D846,BG$5)="F",AND(BG$6&gt;0,$A846&lt;BG$6),AND(BG$7&gt;0,$A846&gt;BG$7)),0,MAX(0,ROUND((INDEX($E846:$G846,BG$5)-SUMIFS(TF_Timer,TF_Tekniker,BG$4,TF_Dato,$A846))*2,0)/2)))</f>
        <v/>
      </c>
      <c r="BH846">
        <f>IF(OR(BH$4="",$A846&gt;TODAY()),0,IF(OR(INDEX($B846:$D846,BH$5)="F",AND(BH$6&gt;0,$A846&lt;BH$6),AND(BH$7&gt;0,$A846&gt;BH$7)),0,MAX(0,ROUND((INDEX($E846:$G846,BH$5)-SUMIFS(TF_Timer,TF_Tekniker,BH$4,TF_Dato,$A846))*2,0)/2)))</f>
        <v/>
      </c>
      <c r="BI846">
        <f>IF(OR(BI$4="",$A846&gt;TODAY()),0,IF(OR(INDEX($B846:$D846,BI$5)="F",AND(BI$6&gt;0,$A846&lt;BI$6),AND(BI$7&gt;0,$A846&gt;BI$7)),0,MAX(0,ROUND((INDEX($E846:$G846,BI$5)-SUMIFS(TF_Timer,TF_Tekniker,BI$4,TF_Dato,$A846))*2,0)/2)))</f>
        <v/>
      </c>
    </row>
    <row r="847">
      <c r="A847" s="64">
        <f>A846+1</f>
        <v/>
      </c>
      <c r="B847">
        <f>IF(MOD($A847-INDEX(SkiftStart,1),Syklus)&lt;DagK,"K",IF(MOD($A847-INDEX(SkiftStart,1),Syklus)&lt;DagK+DagH,"H",IF(MOD($A847-INDEX(SkiftStart,1),Syklus)&lt;DagK+DagH+DagD,"D","F")))</f>
        <v/>
      </c>
      <c r="C847">
        <f>IF(MOD($A847-INDEX(SkiftStart,2),Syklus)&lt;DagK,"K",IF(MOD($A847-INDEX(SkiftStart,2),Syklus)&lt;DagK+DagH,"H",IF(MOD($A847-INDEX(SkiftStart,2),Syklus)&lt;DagK+DagH+DagD,"D","F")))</f>
        <v/>
      </c>
      <c r="D847">
        <f>IF(MOD($A847-INDEX(SkiftStart,3),Syklus)&lt;DagK,"K",IF(MOD($A847-INDEX(SkiftStart,3),Syklus)&lt;DagK+DagH,"H",IF(MOD($A847-INDEX(SkiftStart,3),Syklus)&lt;DagK+DagH+DagD,"D","F")))</f>
        <v/>
      </c>
      <c r="E847">
        <f>IF(B847="F",0,IF(WEEKDAY($A847,2)=5,INDEX(TimerFr,MATCH(B847,FaseKode,0)),INDEX(TimerMT,MATCH(B847,FaseKode,0))))</f>
        <v/>
      </c>
      <c r="F847">
        <f>IF(C847="F",0,IF(WEEKDAY($A847,2)=5,INDEX(TimerFr,MATCH(C847,FaseKode,0)),INDEX(TimerMT,MATCH(C847,FaseKode,0))))</f>
        <v/>
      </c>
      <c r="G847">
        <f>IF(D847="F",0,IF(WEEKDAY($A847,2)=5,INDEX(TimerFr,MATCH(D847,FaseKode,0)),INDEX(TimerMT,MATCH(D847,FaseKode,0))))</f>
        <v/>
      </c>
      <c r="H847">
        <f>IF(OR(H$4="",$A847&gt;TODAY()),0,IF(OR(INDEX($B847:$D847,H$5)="F",AND(H$6&gt;0,$A847&lt;H$6),AND(H$7&gt;0,$A847&gt;H$7)),0,MAX(0,ROUND((INDEX($E847:$G847,H$5)-SUMIFS(TF_Timer,TF_Tekniker,H$4,TF_Dato,$A847))*2,0)/2)))</f>
        <v/>
      </c>
      <c r="I847">
        <f>IF(OR(I$4="",$A847&gt;TODAY()),0,IF(OR(INDEX($B847:$D847,I$5)="F",AND(I$6&gt;0,$A847&lt;I$6),AND(I$7&gt;0,$A847&gt;I$7)),0,MAX(0,ROUND((INDEX($E847:$G847,I$5)-SUMIFS(TF_Timer,TF_Tekniker,I$4,TF_Dato,$A847))*2,0)/2)))</f>
        <v/>
      </c>
      <c r="J847">
        <f>IF(OR(J$4="",$A847&gt;TODAY()),0,IF(OR(INDEX($B847:$D847,J$5)="F",AND(J$6&gt;0,$A847&lt;J$6),AND(J$7&gt;0,$A847&gt;J$7)),0,MAX(0,ROUND((INDEX($E847:$G847,J$5)-SUMIFS(TF_Timer,TF_Tekniker,J$4,TF_Dato,$A847))*2,0)/2)))</f>
        <v/>
      </c>
      <c r="K847">
        <f>IF(OR(K$4="",$A847&gt;TODAY()),0,IF(OR(INDEX($B847:$D847,K$5)="F",AND(K$6&gt;0,$A847&lt;K$6),AND(K$7&gt;0,$A847&gt;K$7)),0,MAX(0,ROUND((INDEX($E847:$G847,K$5)-SUMIFS(TF_Timer,TF_Tekniker,K$4,TF_Dato,$A847))*2,0)/2)))</f>
        <v/>
      </c>
      <c r="L847">
        <f>IF(OR(L$4="",$A847&gt;TODAY()),0,IF(OR(INDEX($B847:$D847,L$5)="F",AND(L$6&gt;0,$A847&lt;L$6),AND(L$7&gt;0,$A847&gt;L$7)),0,MAX(0,ROUND((INDEX($E847:$G847,L$5)-SUMIFS(TF_Timer,TF_Tekniker,L$4,TF_Dato,$A847))*2,0)/2)))</f>
        <v/>
      </c>
      <c r="M847">
        <f>IF(OR(M$4="",$A847&gt;TODAY()),0,IF(OR(INDEX($B847:$D847,M$5)="F",AND(M$6&gt;0,$A847&lt;M$6),AND(M$7&gt;0,$A847&gt;M$7)),0,MAX(0,ROUND((INDEX($E847:$G847,M$5)-SUMIFS(TF_Timer,TF_Tekniker,M$4,TF_Dato,$A847))*2,0)/2)))</f>
        <v/>
      </c>
      <c r="N847">
        <f>IF(OR(N$4="",$A847&gt;TODAY()),0,IF(OR(INDEX($B847:$D847,N$5)="F",AND(N$6&gt;0,$A847&lt;N$6),AND(N$7&gt;0,$A847&gt;N$7)),0,MAX(0,ROUND((INDEX($E847:$G847,N$5)-SUMIFS(TF_Timer,TF_Tekniker,N$4,TF_Dato,$A847))*2,0)/2)))</f>
        <v/>
      </c>
      <c r="O847">
        <f>IF(OR(O$4="",$A847&gt;TODAY()),0,IF(OR(INDEX($B847:$D847,O$5)="F",AND(O$6&gt;0,$A847&lt;O$6),AND(O$7&gt;0,$A847&gt;O$7)),0,MAX(0,ROUND((INDEX($E847:$G847,O$5)-SUMIFS(TF_Timer,TF_Tekniker,O$4,TF_Dato,$A847))*2,0)/2)))</f>
        <v/>
      </c>
      <c r="P847">
        <f>IF(OR(P$4="",$A847&gt;TODAY()),0,IF(OR(INDEX($B847:$D847,P$5)="F",AND(P$6&gt;0,$A847&lt;P$6),AND(P$7&gt;0,$A847&gt;P$7)),0,MAX(0,ROUND((INDEX($E847:$G847,P$5)-SUMIFS(TF_Timer,TF_Tekniker,P$4,TF_Dato,$A847))*2,0)/2)))</f>
        <v/>
      </c>
      <c r="Q847">
        <f>IF(OR(Q$4="",$A847&gt;TODAY()),0,IF(OR(INDEX($B847:$D847,Q$5)="F",AND(Q$6&gt;0,$A847&lt;Q$6),AND(Q$7&gt;0,$A847&gt;Q$7)),0,MAX(0,ROUND((INDEX($E847:$G847,Q$5)-SUMIFS(TF_Timer,TF_Tekniker,Q$4,TF_Dato,$A847))*2,0)/2)))</f>
        <v/>
      </c>
      <c r="R847">
        <f>IF(OR(R$4="",$A847&gt;TODAY()),0,IF(OR(INDEX($B847:$D847,R$5)="F",AND(R$6&gt;0,$A847&lt;R$6),AND(R$7&gt;0,$A847&gt;R$7)),0,MAX(0,ROUND((INDEX($E847:$G847,R$5)-SUMIFS(TF_Timer,TF_Tekniker,R$4,TF_Dato,$A847))*2,0)/2)))</f>
        <v/>
      </c>
      <c r="S847">
        <f>IF(OR(S$4="",$A847&gt;TODAY()),0,IF(OR(INDEX($B847:$D847,S$5)="F",AND(S$6&gt;0,$A847&lt;S$6),AND(S$7&gt;0,$A847&gt;S$7)),0,MAX(0,ROUND((INDEX($E847:$G847,S$5)-SUMIFS(TF_Timer,TF_Tekniker,S$4,TF_Dato,$A847))*2,0)/2)))</f>
        <v/>
      </c>
      <c r="T847">
        <f>IF(OR(T$4="",$A847&gt;TODAY()),0,IF(OR(INDEX($B847:$D847,T$5)="F",AND(T$6&gt;0,$A847&lt;T$6),AND(T$7&gt;0,$A847&gt;T$7)),0,MAX(0,ROUND((INDEX($E847:$G847,T$5)-SUMIFS(TF_Timer,TF_Tekniker,T$4,TF_Dato,$A847))*2,0)/2)))</f>
        <v/>
      </c>
      <c r="U847">
        <f>IF(OR(U$4="",$A847&gt;TODAY()),0,IF(OR(INDEX($B847:$D847,U$5)="F",AND(U$6&gt;0,$A847&lt;U$6),AND(U$7&gt;0,$A847&gt;U$7)),0,MAX(0,ROUND((INDEX($E847:$G847,U$5)-SUMIFS(TF_Timer,TF_Tekniker,U$4,TF_Dato,$A847))*2,0)/2)))</f>
        <v/>
      </c>
      <c r="V847">
        <f>IF(OR(V$4="",$A847&gt;TODAY()),0,IF(OR(INDEX($B847:$D847,V$5)="F",AND(V$6&gt;0,$A847&lt;V$6),AND(V$7&gt;0,$A847&gt;V$7)),0,MAX(0,ROUND((INDEX($E847:$G847,V$5)-SUMIFS(TF_Timer,TF_Tekniker,V$4,TF_Dato,$A847))*2,0)/2)))</f>
        <v/>
      </c>
      <c r="W847">
        <f>IF(OR(W$4="",$A847&gt;TODAY()),0,IF(OR(INDEX($B847:$D847,W$5)="F",AND(W$6&gt;0,$A847&lt;W$6),AND(W$7&gt;0,$A847&gt;W$7)),0,MAX(0,ROUND((INDEX($E847:$G847,W$5)-SUMIFS(TF_Timer,TF_Tekniker,W$4,TF_Dato,$A847))*2,0)/2)))</f>
        <v/>
      </c>
      <c r="X847">
        <f>IF(OR(X$4="",$A847&gt;TODAY()),0,IF(OR(INDEX($B847:$D847,X$5)="F",AND(X$6&gt;0,$A847&lt;X$6),AND(X$7&gt;0,$A847&gt;X$7)),0,MAX(0,ROUND((INDEX($E847:$G847,X$5)-SUMIFS(TF_Timer,TF_Tekniker,X$4,TF_Dato,$A847))*2,0)/2)))</f>
        <v/>
      </c>
      <c r="Y847">
        <f>IF(OR(Y$4="",$A847&gt;TODAY()),0,IF(OR(INDEX($B847:$D847,Y$5)="F",AND(Y$6&gt;0,$A847&lt;Y$6),AND(Y$7&gt;0,$A847&gt;Y$7)),0,MAX(0,ROUND((INDEX($E847:$G847,Y$5)-SUMIFS(TF_Timer,TF_Tekniker,Y$4,TF_Dato,$A847))*2,0)/2)))</f>
        <v/>
      </c>
      <c r="Z847">
        <f>IF(OR(Z$4="",$A847&gt;TODAY()),0,IF(OR(INDEX($B847:$D847,Z$5)="F",AND(Z$6&gt;0,$A847&lt;Z$6),AND(Z$7&gt;0,$A847&gt;Z$7)),0,MAX(0,ROUND((INDEX($E847:$G847,Z$5)-SUMIFS(TF_Timer,TF_Tekniker,Z$4,TF_Dato,$A847))*2,0)/2)))</f>
        <v/>
      </c>
      <c r="AA847">
        <f>IF(OR(AA$4="",$A847&gt;TODAY()),0,IF(OR(INDEX($B847:$D847,AA$5)="F",AND(AA$6&gt;0,$A847&lt;AA$6),AND(AA$7&gt;0,$A847&gt;AA$7)),0,MAX(0,ROUND((INDEX($E847:$G847,AA$5)-SUMIFS(TF_Timer,TF_Tekniker,AA$4,TF_Dato,$A847))*2,0)/2)))</f>
        <v/>
      </c>
      <c r="AB847">
        <f>IF(OR(AB$4="",$A847&gt;TODAY()),0,IF(OR(INDEX($B847:$D847,AB$5)="F",AND(AB$6&gt;0,$A847&lt;AB$6),AND(AB$7&gt;0,$A847&gt;AB$7)),0,MAX(0,ROUND((INDEX($E847:$G847,AB$5)-SUMIFS(TF_Timer,TF_Tekniker,AB$4,TF_Dato,$A847))*2,0)/2)))</f>
        <v/>
      </c>
      <c r="AC847">
        <f>IF(OR(AC$4="",$A847&gt;TODAY()),0,IF(OR(INDEX($B847:$D847,AC$5)="F",AND(AC$6&gt;0,$A847&lt;AC$6),AND(AC$7&gt;0,$A847&gt;AC$7)),0,MAX(0,ROUND((INDEX($E847:$G847,AC$5)-SUMIFS(TF_Timer,TF_Tekniker,AC$4,TF_Dato,$A847))*2,0)/2)))</f>
        <v/>
      </c>
      <c r="AD847">
        <f>IF(OR(AD$4="",$A847&gt;TODAY()),0,IF(OR(INDEX($B847:$D847,AD$5)="F",AND(AD$6&gt;0,$A847&lt;AD$6),AND(AD$7&gt;0,$A847&gt;AD$7)),0,MAX(0,ROUND((INDEX($E847:$G847,AD$5)-SUMIFS(TF_Timer,TF_Tekniker,AD$4,TF_Dato,$A847))*2,0)/2)))</f>
        <v/>
      </c>
      <c r="AE847">
        <f>IF(OR(AE$4="",$A847&gt;TODAY()),0,IF(OR(INDEX($B847:$D847,AE$5)="F",AND(AE$6&gt;0,$A847&lt;AE$6),AND(AE$7&gt;0,$A847&gt;AE$7)),0,MAX(0,ROUND((INDEX($E847:$G847,AE$5)-SUMIFS(TF_Timer,TF_Tekniker,AE$4,TF_Dato,$A847))*2,0)/2)))</f>
        <v/>
      </c>
      <c r="AF847">
        <f>IF(OR(AF$4="",$A847&gt;TODAY()),0,IF(OR(INDEX($B847:$D847,AF$5)="F",AND(AF$6&gt;0,$A847&lt;AF$6),AND(AF$7&gt;0,$A847&gt;AF$7)),0,MAX(0,ROUND((INDEX($E847:$G847,AF$5)-SUMIFS(TF_Timer,TF_Tekniker,AF$4,TF_Dato,$A847))*2,0)/2)))</f>
        <v/>
      </c>
      <c r="AG847">
        <f>IF(OR(AG$4="",$A847&gt;TODAY()),0,IF(OR(INDEX($B847:$D847,AG$5)="F",AND(AG$6&gt;0,$A847&lt;AG$6),AND(AG$7&gt;0,$A847&gt;AG$7)),0,MAX(0,ROUND((INDEX($E847:$G847,AG$5)-SUMIFS(TF_Timer,TF_Tekniker,AG$4,TF_Dato,$A847))*2,0)/2)))</f>
        <v/>
      </c>
      <c r="AH847">
        <f>IF(OR(AH$4="",$A847&gt;TODAY()),0,IF(OR(INDEX($B847:$D847,AH$5)="F",AND(AH$6&gt;0,$A847&lt;AH$6),AND(AH$7&gt;0,$A847&gt;AH$7)),0,MAX(0,ROUND((INDEX($E847:$G847,AH$5)-SUMIFS(TF_Timer,TF_Tekniker,AH$4,TF_Dato,$A847))*2,0)/2)))</f>
        <v/>
      </c>
      <c r="AI847">
        <f>IF(OR(AI$4="",$A847&gt;TODAY()),0,IF(OR(INDEX($B847:$D847,AI$5)="F",AND(AI$6&gt;0,$A847&lt;AI$6),AND(AI$7&gt;0,$A847&gt;AI$7)),0,MAX(0,ROUND((INDEX($E847:$G847,AI$5)-SUMIFS(TF_Timer,TF_Tekniker,AI$4,TF_Dato,$A847))*2,0)/2)))</f>
        <v/>
      </c>
      <c r="AJ847">
        <f>IF(OR(AJ$4="",$A847&gt;TODAY()),0,IF(OR(INDEX($B847:$D847,AJ$5)="F",AND(AJ$6&gt;0,$A847&lt;AJ$6),AND(AJ$7&gt;0,$A847&gt;AJ$7)),0,MAX(0,ROUND((INDEX($E847:$G847,AJ$5)-SUMIFS(TF_Timer,TF_Tekniker,AJ$4,TF_Dato,$A847))*2,0)/2)))</f>
        <v/>
      </c>
      <c r="AK847">
        <f>IF(OR(AK$4="",$A847&gt;TODAY()),0,IF(OR(INDEX($B847:$D847,AK$5)="F",AND(AK$6&gt;0,$A847&lt;AK$6),AND(AK$7&gt;0,$A847&gt;AK$7)),0,MAX(0,ROUND((INDEX($E847:$G847,AK$5)-SUMIFS(TF_Timer,TF_Tekniker,AK$4,TF_Dato,$A847))*2,0)/2)))</f>
        <v/>
      </c>
      <c r="AL847">
        <f>IF(OR(AL$4="",$A847&gt;TODAY()),0,IF(OR(INDEX($B847:$D847,AL$5)="F",AND(AL$6&gt;0,$A847&lt;AL$6),AND(AL$7&gt;0,$A847&gt;AL$7)),0,MAX(0,ROUND((INDEX($E847:$G847,AL$5)-SUMIFS(TF_Timer,TF_Tekniker,AL$4,TF_Dato,$A847))*2,0)/2)))</f>
        <v/>
      </c>
      <c r="AM847">
        <f>IF(OR(AM$4="",$A847&gt;TODAY()),0,IF(OR(INDEX($B847:$D847,AM$5)="F",AND(AM$6&gt;0,$A847&lt;AM$6),AND(AM$7&gt;0,$A847&gt;AM$7)),0,MAX(0,ROUND((INDEX($E847:$G847,AM$5)-SUMIFS(TF_Timer,TF_Tekniker,AM$4,TF_Dato,$A847))*2,0)/2)))</f>
        <v/>
      </c>
      <c r="AN847">
        <f>IF(OR(AN$4="",$A847&gt;TODAY()),0,IF(OR(INDEX($B847:$D847,AN$5)="F",AND(AN$6&gt;0,$A847&lt;AN$6),AND(AN$7&gt;0,$A847&gt;AN$7)),0,MAX(0,ROUND((INDEX($E847:$G847,AN$5)-SUMIFS(TF_Timer,TF_Tekniker,AN$4,TF_Dato,$A847))*2,0)/2)))</f>
        <v/>
      </c>
      <c r="AO847">
        <f>IF(OR(AO$4="",$A847&gt;TODAY()),0,IF(OR(INDEX($B847:$D847,AO$5)="F",AND(AO$6&gt;0,$A847&lt;AO$6),AND(AO$7&gt;0,$A847&gt;AO$7)),0,MAX(0,ROUND((INDEX($E847:$G847,AO$5)-SUMIFS(TF_Timer,TF_Tekniker,AO$4,TF_Dato,$A847))*2,0)/2)))</f>
        <v/>
      </c>
      <c r="AP847">
        <f>IF(OR(AP$4="",$A847&gt;TODAY()),0,IF(OR(INDEX($B847:$D847,AP$5)="F",AND(AP$6&gt;0,$A847&lt;AP$6),AND(AP$7&gt;0,$A847&gt;AP$7)),0,MAX(0,ROUND((INDEX($E847:$G847,AP$5)-SUMIFS(TF_Timer,TF_Tekniker,AP$4,TF_Dato,$A847))*2,0)/2)))</f>
        <v/>
      </c>
      <c r="AQ847">
        <f>IF(OR(AQ$4="",$A847&gt;TODAY()),0,IF(OR(INDEX($B847:$D847,AQ$5)="F",AND(AQ$6&gt;0,$A847&lt;AQ$6),AND(AQ$7&gt;0,$A847&gt;AQ$7)),0,MAX(0,ROUND((INDEX($E847:$G847,AQ$5)-SUMIFS(TF_Timer,TF_Tekniker,AQ$4,TF_Dato,$A847))*2,0)/2)))</f>
        <v/>
      </c>
      <c r="AR847">
        <f>IF(OR(AR$4="",$A847&gt;TODAY()),0,IF(OR(INDEX($B847:$D847,AR$5)="F",AND(AR$6&gt;0,$A847&lt;AR$6),AND(AR$7&gt;0,$A847&gt;AR$7)),0,MAX(0,ROUND((INDEX($E847:$G847,AR$5)-SUMIFS(TF_Timer,TF_Tekniker,AR$4,TF_Dato,$A847))*2,0)/2)))</f>
        <v/>
      </c>
      <c r="AS847">
        <f>IF(OR(AS$4="",$A847&gt;TODAY()),0,IF(OR(INDEX($B847:$D847,AS$5)="F",AND(AS$6&gt;0,$A847&lt;AS$6),AND(AS$7&gt;0,$A847&gt;AS$7)),0,MAX(0,ROUND((INDEX($E847:$G847,AS$5)-SUMIFS(TF_Timer,TF_Tekniker,AS$4,TF_Dato,$A847))*2,0)/2)))</f>
        <v/>
      </c>
      <c r="AT847">
        <f>IF(OR(AT$4="",$A847&gt;TODAY()),0,IF(OR(INDEX($B847:$D847,AT$5)="F",AND(AT$6&gt;0,$A847&lt;AT$6),AND(AT$7&gt;0,$A847&gt;AT$7)),0,MAX(0,ROUND((INDEX($E847:$G847,AT$5)-SUMIFS(TF_Timer,TF_Tekniker,AT$4,TF_Dato,$A847))*2,0)/2)))</f>
        <v/>
      </c>
      <c r="AU847">
        <f>IF(OR(AU$4="",$A847&gt;TODAY()),0,IF(OR(INDEX($B847:$D847,AU$5)="F",AND(AU$6&gt;0,$A847&lt;AU$6),AND(AU$7&gt;0,$A847&gt;AU$7)),0,MAX(0,ROUND((INDEX($E847:$G847,AU$5)-SUMIFS(TF_Timer,TF_Tekniker,AU$4,TF_Dato,$A847))*2,0)/2)))</f>
        <v/>
      </c>
      <c r="AV847">
        <f>IF(OR(AV$4="",$A847&gt;TODAY()),0,IF(OR(INDEX($B847:$D847,AV$5)="F",AND(AV$6&gt;0,$A847&lt;AV$6),AND(AV$7&gt;0,$A847&gt;AV$7)),0,MAX(0,ROUND((INDEX($E847:$G847,AV$5)-SUMIFS(TF_Timer,TF_Tekniker,AV$4,TF_Dato,$A847))*2,0)/2)))</f>
        <v/>
      </c>
      <c r="AW847">
        <f>IF(OR(AW$4="",$A847&gt;TODAY()),0,IF(OR(INDEX($B847:$D847,AW$5)="F",AND(AW$6&gt;0,$A847&lt;AW$6),AND(AW$7&gt;0,$A847&gt;AW$7)),0,MAX(0,ROUND((INDEX($E847:$G847,AW$5)-SUMIFS(TF_Timer,TF_Tekniker,AW$4,TF_Dato,$A847))*2,0)/2)))</f>
        <v/>
      </c>
      <c r="AX847">
        <f>IF(OR(AX$4="",$A847&gt;TODAY()),0,IF(OR(INDEX($B847:$D847,AX$5)="F",AND(AX$6&gt;0,$A847&lt;AX$6),AND(AX$7&gt;0,$A847&gt;AX$7)),0,MAX(0,ROUND((INDEX($E847:$G847,AX$5)-SUMIFS(TF_Timer,TF_Tekniker,AX$4,TF_Dato,$A847))*2,0)/2)))</f>
        <v/>
      </c>
      <c r="AY847">
        <f>IF(OR(AY$4="",$A847&gt;TODAY()),0,IF(OR(INDEX($B847:$D847,AY$5)="F",AND(AY$6&gt;0,$A847&lt;AY$6),AND(AY$7&gt;0,$A847&gt;AY$7)),0,MAX(0,ROUND((INDEX($E847:$G847,AY$5)-SUMIFS(TF_Timer,TF_Tekniker,AY$4,TF_Dato,$A847))*2,0)/2)))</f>
        <v/>
      </c>
      <c r="AZ847">
        <f>IF(OR(AZ$4="",$A847&gt;TODAY()),0,IF(OR(INDEX($B847:$D847,AZ$5)="F",AND(AZ$6&gt;0,$A847&lt;AZ$6),AND(AZ$7&gt;0,$A847&gt;AZ$7)),0,MAX(0,ROUND((INDEX($E847:$G847,AZ$5)-SUMIFS(TF_Timer,TF_Tekniker,AZ$4,TF_Dato,$A847))*2,0)/2)))</f>
        <v/>
      </c>
      <c r="BA847">
        <f>IF(OR(BA$4="",$A847&gt;TODAY()),0,IF(OR(INDEX($B847:$D847,BA$5)="F",AND(BA$6&gt;0,$A847&lt;BA$6),AND(BA$7&gt;0,$A847&gt;BA$7)),0,MAX(0,ROUND((INDEX($E847:$G847,BA$5)-SUMIFS(TF_Timer,TF_Tekniker,BA$4,TF_Dato,$A847))*2,0)/2)))</f>
        <v/>
      </c>
      <c r="BB847">
        <f>IF(OR(BB$4="",$A847&gt;TODAY()),0,IF(OR(INDEX($B847:$D847,BB$5)="F",AND(BB$6&gt;0,$A847&lt;BB$6),AND(BB$7&gt;0,$A847&gt;BB$7)),0,MAX(0,ROUND((INDEX($E847:$G847,BB$5)-SUMIFS(TF_Timer,TF_Tekniker,BB$4,TF_Dato,$A847))*2,0)/2)))</f>
        <v/>
      </c>
      <c r="BC847">
        <f>IF(OR(BC$4="",$A847&gt;TODAY()),0,IF(OR(INDEX($B847:$D847,BC$5)="F",AND(BC$6&gt;0,$A847&lt;BC$6),AND(BC$7&gt;0,$A847&gt;BC$7)),0,MAX(0,ROUND((INDEX($E847:$G847,BC$5)-SUMIFS(TF_Timer,TF_Tekniker,BC$4,TF_Dato,$A847))*2,0)/2)))</f>
        <v/>
      </c>
      <c r="BD847">
        <f>IF(OR(BD$4="",$A847&gt;TODAY()),0,IF(OR(INDEX($B847:$D847,BD$5)="F",AND(BD$6&gt;0,$A847&lt;BD$6),AND(BD$7&gt;0,$A847&gt;BD$7)),0,MAX(0,ROUND((INDEX($E847:$G847,BD$5)-SUMIFS(TF_Timer,TF_Tekniker,BD$4,TF_Dato,$A847))*2,0)/2)))</f>
        <v/>
      </c>
      <c r="BE847">
        <f>IF(OR(BE$4="",$A847&gt;TODAY()),0,IF(OR(INDEX($B847:$D847,BE$5)="F",AND(BE$6&gt;0,$A847&lt;BE$6),AND(BE$7&gt;0,$A847&gt;BE$7)),0,MAX(0,ROUND((INDEX($E847:$G847,BE$5)-SUMIFS(TF_Timer,TF_Tekniker,BE$4,TF_Dato,$A847))*2,0)/2)))</f>
        <v/>
      </c>
      <c r="BF847">
        <f>IF(OR(BF$4="",$A847&gt;TODAY()),0,IF(OR(INDEX($B847:$D847,BF$5)="F",AND(BF$6&gt;0,$A847&lt;BF$6),AND(BF$7&gt;0,$A847&gt;BF$7)),0,MAX(0,ROUND((INDEX($E847:$G847,BF$5)-SUMIFS(TF_Timer,TF_Tekniker,BF$4,TF_Dato,$A847))*2,0)/2)))</f>
        <v/>
      </c>
      <c r="BG847">
        <f>IF(OR(BG$4="",$A847&gt;TODAY()),0,IF(OR(INDEX($B847:$D847,BG$5)="F",AND(BG$6&gt;0,$A847&lt;BG$6),AND(BG$7&gt;0,$A847&gt;BG$7)),0,MAX(0,ROUND((INDEX($E847:$G847,BG$5)-SUMIFS(TF_Timer,TF_Tekniker,BG$4,TF_Dato,$A847))*2,0)/2)))</f>
        <v/>
      </c>
      <c r="BH847">
        <f>IF(OR(BH$4="",$A847&gt;TODAY()),0,IF(OR(INDEX($B847:$D847,BH$5)="F",AND(BH$6&gt;0,$A847&lt;BH$6),AND(BH$7&gt;0,$A847&gt;BH$7)),0,MAX(0,ROUND((INDEX($E847:$G847,BH$5)-SUMIFS(TF_Timer,TF_Tekniker,BH$4,TF_Dato,$A847))*2,0)/2)))</f>
        <v/>
      </c>
      <c r="BI847">
        <f>IF(OR(BI$4="",$A847&gt;TODAY()),0,IF(OR(INDEX($B847:$D847,BI$5)="F",AND(BI$6&gt;0,$A847&lt;BI$6),AND(BI$7&gt;0,$A847&gt;BI$7)),0,MAX(0,ROUND((INDEX($E847:$G847,BI$5)-SUMIFS(TF_Timer,TF_Tekniker,BI$4,TF_Dato,$A847))*2,0)/2)))</f>
        <v/>
      </c>
    </row>
    <row r="848">
      <c r="A848" s="64">
        <f>A847+1</f>
        <v/>
      </c>
      <c r="B848">
        <f>IF(MOD($A848-INDEX(SkiftStart,1),Syklus)&lt;DagK,"K",IF(MOD($A848-INDEX(SkiftStart,1),Syklus)&lt;DagK+DagH,"H",IF(MOD($A848-INDEX(SkiftStart,1),Syklus)&lt;DagK+DagH+DagD,"D","F")))</f>
        <v/>
      </c>
      <c r="C848">
        <f>IF(MOD($A848-INDEX(SkiftStart,2),Syklus)&lt;DagK,"K",IF(MOD($A848-INDEX(SkiftStart,2),Syklus)&lt;DagK+DagH,"H",IF(MOD($A848-INDEX(SkiftStart,2),Syklus)&lt;DagK+DagH+DagD,"D","F")))</f>
        <v/>
      </c>
      <c r="D848">
        <f>IF(MOD($A848-INDEX(SkiftStart,3),Syklus)&lt;DagK,"K",IF(MOD($A848-INDEX(SkiftStart,3),Syklus)&lt;DagK+DagH,"H",IF(MOD($A848-INDEX(SkiftStart,3),Syklus)&lt;DagK+DagH+DagD,"D","F")))</f>
        <v/>
      </c>
      <c r="E848">
        <f>IF(B848="F",0,IF(WEEKDAY($A848,2)=5,INDEX(TimerFr,MATCH(B848,FaseKode,0)),INDEX(TimerMT,MATCH(B848,FaseKode,0))))</f>
        <v/>
      </c>
      <c r="F848">
        <f>IF(C848="F",0,IF(WEEKDAY($A848,2)=5,INDEX(TimerFr,MATCH(C848,FaseKode,0)),INDEX(TimerMT,MATCH(C848,FaseKode,0))))</f>
        <v/>
      </c>
      <c r="G848">
        <f>IF(D848="F",0,IF(WEEKDAY($A848,2)=5,INDEX(TimerFr,MATCH(D848,FaseKode,0)),INDEX(TimerMT,MATCH(D848,FaseKode,0))))</f>
        <v/>
      </c>
      <c r="H848">
        <f>IF(OR(H$4="",$A848&gt;TODAY()),0,IF(OR(INDEX($B848:$D848,H$5)="F",AND(H$6&gt;0,$A848&lt;H$6),AND(H$7&gt;0,$A848&gt;H$7)),0,MAX(0,ROUND((INDEX($E848:$G848,H$5)-SUMIFS(TF_Timer,TF_Tekniker,H$4,TF_Dato,$A848))*2,0)/2)))</f>
        <v/>
      </c>
      <c r="I848">
        <f>IF(OR(I$4="",$A848&gt;TODAY()),0,IF(OR(INDEX($B848:$D848,I$5)="F",AND(I$6&gt;0,$A848&lt;I$6),AND(I$7&gt;0,$A848&gt;I$7)),0,MAX(0,ROUND((INDEX($E848:$G848,I$5)-SUMIFS(TF_Timer,TF_Tekniker,I$4,TF_Dato,$A848))*2,0)/2)))</f>
        <v/>
      </c>
      <c r="J848">
        <f>IF(OR(J$4="",$A848&gt;TODAY()),0,IF(OR(INDEX($B848:$D848,J$5)="F",AND(J$6&gt;0,$A848&lt;J$6),AND(J$7&gt;0,$A848&gt;J$7)),0,MAX(0,ROUND((INDEX($E848:$G848,J$5)-SUMIFS(TF_Timer,TF_Tekniker,J$4,TF_Dato,$A848))*2,0)/2)))</f>
        <v/>
      </c>
      <c r="K848">
        <f>IF(OR(K$4="",$A848&gt;TODAY()),0,IF(OR(INDEX($B848:$D848,K$5)="F",AND(K$6&gt;0,$A848&lt;K$6),AND(K$7&gt;0,$A848&gt;K$7)),0,MAX(0,ROUND((INDEX($E848:$G848,K$5)-SUMIFS(TF_Timer,TF_Tekniker,K$4,TF_Dato,$A848))*2,0)/2)))</f>
        <v/>
      </c>
      <c r="L848">
        <f>IF(OR(L$4="",$A848&gt;TODAY()),0,IF(OR(INDEX($B848:$D848,L$5)="F",AND(L$6&gt;0,$A848&lt;L$6),AND(L$7&gt;0,$A848&gt;L$7)),0,MAX(0,ROUND((INDEX($E848:$G848,L$5)-SUMIFS(TF_Timer,TF_Tekniker,L$4,TF_Dato,$A848))*2,0)/2)))</f>
        <v/>
      </c>
      <c r="M848">
        <f>IF(OR(M$4="",$A848&gt;TODAY()),0,IF(OR(INDEX($B848:$D848,M$5)="F",AND(M$6&gt;0,$A848&lt;M$6),AND(M$7&gt;0,$A848&gt;M$7)),0,MAX(0,ROUND((INDEX($E848:$G848,M$5)-SUMIFS(TF_Timer,TF_Tekniker,M$4,TF_Dato,$A848))*2,0)/2)))</f>
        <v/>
      </c>
      <c r="N848">
        <f>IF(OR(N$4="",$A848&gt;TODAY()),0,IF(OR(INDEX($B848:$D848,N$5)="F",AND(N$6&gt;0,$A848&lt;N$6),AND(N$7&gt;0,$A848&gt;N$7)),0,MAX(0,ROUND((INDEX($E848:$G848,N$5)-SUMIFS(TF_Timer,TF_Tekniker,N$4,TF_Dato,$A848))*2,0)/2)))</f>
        <v/>
      </c>
      <c r="O848">
        <f>IF(OR(O$4="",$A848&gt;TODAY()),0,IF(OR(INDEX($B848:$D848,O$5)="F",AND(O$6&gt;0,$A848&lt;O$6),AND(O$7&gt;0,$A848&gt;O$7)),0,MAX(0,ROUND((INDEX($E848:$G848,O$5)-SUMIFS(TF_Timer,TF_Tekniker,O$4,TF_Dato,$A848))*2,0)/2)))</f>
        <v/>
      </c>
      <c r="P848">
        <f>IF(OR(P$4="",$A848&gt;TODAY()),0,IF(OR(INDEX($B848:$D848,P$5)="F",AND(P$6&gt;0,$A848&lt;P$6),AND(P$7&gt;0,$A848&gt;P$7)),0,MAX(0,ROUND((INDEX($E848:$G848,P$5)-SUMIFS(TF_Timer,TF_Tekniker,P$4,TF_Dato,$A848))*2,0)/2)))</f>
        <v/>
      </c>
      <c r="Q848">
        <f>IF(OR(Q$4="",$A848&gt;TODAY()),0,IF(OR(INDEX($B848:$D848,Q$5)="F",AND(Q$6&gt;0,$A848&lt;Q$6),AND(Q$7&gt;0,$A848&gt;Q$7)),0,MAX(0,ROUND((INDEX($E848:$G848,Q$5)-SUMIFS(TF_Timer,TF_Tekniker,Q$4,TF_Dato,$A848))*2,0)/2)))</f>
        <v/>
      </c>
      <c r="R848">
        <f>IF(OR(R$4="",$A848&gt;TODAY()),0,IF(OR(INDEX($B848:$D848,R$5)="F",AND(R$6&gt;0,$A848&lt;R$6),AND(R$7&gt;0,$A848&gt;R$7)),0,MAX(0,ROUND((INDEX($E848:$G848,R$5)-SUMIFS(TF_Timer,TF_Tekniker,R$4,TF_Dato,$A848))*2,0)/2)))</f>
        <v/>
      </c>
      <c r="S848">
        <f>IF(OR(S$4="",$A848&gt;TODAY()),0,IF(OR(INDEX($B848:$D848,S$5)="F",AND(S$6&gt;0,$A848&lt;S$6),AND(S$7&gt;0,$A848&gt;S$7)),0,MAX(0,ROUND((INDEX($E848:$G848,S$5)-SUMIFS(TF_Timer,TF_Tekniker,S$4,TF_Dato,$A848))*2,0)/2)))</f>
        <v/>
      </c>
      <c r="T848">
        <f>IF(OR(T$4="",$A848&gt;TODAY()),0,IF(OR(INDEX($B848:$D848,T$5)="F",AND(T$6&gt;0,$A848&lt;T$6),AND(T$7&gt;0,$A848&gt;T$7)),0,MAX(0,ROUND((INDEX($E848:$G848,T$5)-SUMIFS(TF_Timer,TF_Tekniker,T$4,TF_Dato,$A848))*2,0)/2)))</f>
        <v/>
      </c>
      <c r="U848">
        <f>IF(OR(U$4="",$A848&gt;TODAY()),0,IF(OR(INDEX($B848:$D848,U$5)="F",AND(U$6&gt;0,$A848&lt;U$6),AND(U$7&gt;0,$A848&gt;U$7)),0,MAX(0,ROUND((INDEX($E848:$G848,U$5)-SUMIFS(TF_Timer,TF_Tekniker,U$4,TF_Dato,$A848))*2,0)/2)))</f>
        <v/>
      </c>
      <c r="V848">
        <f>IF(OR(V$4="",$A848&gt;TODAY()),0,IF(OR(INDEX($B848:$D848,V$5)="F",AND(V$6&gt;0,$A848&lt;V$6),AND(V$7&gt;0,$A848&gt;V$7)),0,MAX(0,ROUND((INDEX($E848:$G848,V$5)-SUMIFS(TF_Timer,TF_Tekniker,V$4,TF_Dato,$A848))*2,0)/2)))</f>
        <v/>
      </c>
      <c r="W848">
        <f>IF(OR(W$4="",$A848&gt;TODAY()),0,IF(OR(INDEX($B848:$D848,W$5)="F",AND(W$6&gt;0,$A848&lt;W$6),AND(W$7&gt;0,$A848&gt;W$7)),0,MAX(0,ROUND((INDEX($E848:$G848,W$5)-SUMIFS(TF_Timer,TF_Tekniker,W$4,TF_Dato,$A848))*2,0)/2)))</f>
        <v/>
      </c>
      <c r="X848">
        <f>IF(OR(X$4="",$A848&gt;TODAY()),0,IF(OR(INDEX($B848:$D848,X$5)="F",AND(X$6&gt;0,$A848&lt;X$6),AND(X$7&gt;0,$A848&gt;X$7)),0,MAX(0,ROUND((INDEX($E848:$G848,X$5)-SUMIFS(TF_Timer,TF_Tekniker,X$4,TF_Dato,$A848))*2,0)/2)))</f>
        <v/>
      </c>
      <c r="Y848">
        <f>IF(OR(Y$4="",$A848&gt;TODAY()),0,IF(OR(INDEX($B848:$D848,Y$5)="F",AND(Y$6&gt;0,$A848&lt;Y$6),AND(Y$7&gt;0,$A848&gt;Y$7)),0,MAX(0,ROUND((INDEX($E848:$G848,Y$5)-SUMIFS(TF_Timer,TF_Tekniker,Y$4,TF_Dato,$A848))*2,0)/2)))</f>
        <v/>
      </c>
      <c r="Z848">
        <f>IF(OR(Z$4="",$A848&gt;TODAY()),0,IF(OR(INDEX($B848:$D848,Z$5)="F",AND(Z$6&gt;0,$A848&lt;Z$6),AND(Z$7&gt;0,$A848&gt;Z$7)),0,MAX(0,ROUND((INDEX($E848:$G848,Z$5)-SUMIFS(TF_Timer,TF_Tekniker,Z$4,TF_Dato,$A848))*2,0)/2)))</f>
        <v/>
      </c>
      <c r="AA848">
        <f>IF(OR(AA$4="",$A848&gt;TODAY()),0,IF(OR(INDEX($B848:$D848,AA$5)="F",AND(AA$6&gt;0,$A848&lt;AA$6),AND(AA$7&gt;0,$A848&gt;AA$7)),0,MAX(0,ROUND((INDEX($E848:$G848,AA$5)-SUMIFS(TF_Timer,TF_Tekniker,AA$4,TF_Dato,$A848))*2,0)/2)))</f>
        <v/>
      </c>
      <c r="AB848">
        <f>IF(OR(AB$4="",$A848&gt;TODAY()),0,IF(OR(INDEX($B848:$D848,AB$5)="F",AND(AB$6&gt;0,$A848&lt;AB$6),AND(AB$7&gt;0,$A848&gt;AB$7)),0,MAX(0,ROUND((INDEX($E848:$G848,AB$5)-SUMIFS(TF_Timer,TF_Tekniker,AB$4,TF_Dato,$A848))*2,0)/2)))</f>
        <v/>
      </c>
      <c r="AC848">
        <f>IF(OR(AC$4="",$A848&gt;TODAY()),0,IF(OR(INDEX($B848:$D848,AC$5)="F",AND(AC$6&gt;0,$A848&lt;AC$6),AND(AC$7&gt;0,$A848&gt;AC$7)),0,MAX(0,ROUND((INDEX($E848:$G848,AC$5)-SUMIFS(TF_Timer,TF_Tekniker,AC$4,TF_Dato,$A848))*2,0)/2)))</f>
        <v/>
      </c>
      <c r="AD848">
        <f>IF(OR(AD$4="",$A848&gt;TODAY()),0,IF(OR(INDEX($B848:$D848,AD$5)="F",AND(AD$6&gt;0,$A848&lt;AD$6),AND(AD$7&gt;0,$A848&gt;AD$7)),0,MAX(0,ROUND((INDEX($E848:$G848,AD$5)-SUMIFS(TF_Timer,TF_Tekniker,AD$4,TF_Dato,$A848))*2,0)/2)))</f>
        <v/>
      </c>
      <c r="AE848">
        <f>IF(OR(AE$4="",$A848&gt;TODAY()),0,IF(OR(INDEX($B848:$D848,AE$5)="F",AND(AE$6&gt;0,$A848&lt;AE$6),AND(AE$7&gt;0,$A848&gt;AE$7)),0,MAX(0,ROUND((INDEX($E848:$G848,AE$5)-SUMIFS(TF_Timer,TF_Tekniker,AE$4,TF_Dato,$A848))*2,0)/2)))</f>
        <v/>
      </c>
      <c r="AF848">
        <f>IF(OR(AF$4="",$A848&gt;TODAY()),0,IF(OR(INDEX($B848:$D848,AF$5)="F",AND(AF$6&gt;0,$A848&lt;AF$6),AND(AF$7&gt;0,$A848&gt;AF$7)),0,MAX(0,ROUND((INDEX($E848:$G848,AF$5)-SUMIFS(TF_Timer,TF_Tekniker,AF$4,TF_Dato,$A848))*2,0)/2)))</f>
        <v/>
      </c>
      <c r="AG848">
        <f>IF(OR(AG$4="",$A848&gt;TODAY()),0,IF(OR(INDEX($B848:$D848,AG$5)="F",AND(AG$6&gt;0,$A848&lt;AG$6),AND(AG$7&gt;0,$A848&gt;AG$7)),0,MAX(0,ROUND((INDEX($E848:$G848,AG$5)-SUMIFS(TF_Timer,TF_Tekniker,AG$4,TF_Dato,$A848))*2,0)/2)))</f>
        <v/>
      </c>
      <c r="AH848">
        <f>IF(OR(AH$4="",$A848&gt;TODAY()),0,IF(OR(INDEX($B848:$D848,AH$5)="F",AND(AH$6&gt;0,$A848&lt;AH$6),AND(AH$7&gt;0,$A848&gt;AH$7)),0,MAX(0,ROUND((INDEX($E848:$G848,AH$5)-SUMIFS(TF_Timer,TF_Tekniker,AH$4,TF_Dato,$A848))*2,0)/2)))</f>
        <v/>
      </c>
      <c r="AI848">
        <f>IF(OR(AI$4="",$A848&gt;TODAY()),0,IF(OR(INDEX($B848:$D848,AI$5)="F",AND(AI$6&gt;0,$A848&lt;AI$6),AND(AI$7&gt;0,$A848&gt;AI$7)),0,MAX(0,ROUND((INDEX($E848:$G848,AI$5)-SUMIFS(TF_Timer,TF_Tekniker,AI$4,TF_Dato,$A848))*2,0)/2)))</f>
        <v/>
      </c>
      <c r="AJ848">
        <f>IF(OR(AJ$4="",$A848&gt;TODAY()),0,IF(OR(INDEX($B848:$D848,AJ$5)="F",AND(AJ$6&gt;0,$A848&lt;AJ$6),AND(AJ$7&gt;0,$A848&gt;AJ$7)),0,MAX(0,ROUND((INDEX($E848:$G848,AJ$5)-SUMIFS(TF_Timer,TF_Tekniker,AJ$4,TF_Dato,$A848))*2,0)/2)))</f>
        <v/>
      </c>
      <c r="AK848">
        <f>IF(OR(AK$4="",$A848&gt;TODAY()),0,IF(OR(INDEX($B848:$D848,AK$5)="F",AND(AK$6&gt;0,$A848&lt;AK$6),AND(AK$7&gt;0,$A848&gt;AK$7)),0,MAX(0,ROUND((INDEX($E848:$G848,AK$5)-SUMIFS(TF_Timer,TF_Tekniker,AK$4,TF_Dato,$A848))*2,0)/2)))</f>
        <v/>
      </c>
      <c r="AL848">
        <f>IF(OR(AL$4="",$A848&gt;TODAY()),0,IF(OR(INDEX($B848:$D848,AL$5)="F",AND(AL$6&gt;0,$A848&lt;AL$6),AND(AL$7&gt;0,$A848&gt;AL$7)),0,MAX(0,ROUND((INDEX($E848:$G848,AL$5)-SUMIFS(TF_Timer,TF_Tekniker,AL$4,TF_Dato,$A848))*2,0)/2)))</f>
        <v/>
      </c>
      <c r="AM848">
        <f>IF(OR(AM$4="",$A848&gt;TODAY()),0,IF(OR(INDEX($B848:$D848,AM$5)="F",AND(AM$6&gt;0,$A848&lt;AM$6),AND(AM$7&gt;0,$A848&gt;AM$7)),0,MAX(0,ROUND((INDEX($E848:$G848,AM$5)-SUMIFS(TF_Timer,TF_Tekniker,AM$4,TF_Dato,$A848))*2,0)/2)))</f>
        <v/>
      </c>
      <c r="AN848">
        <f>IF(OR(AN$4="",$A848&gt;TODAY()),0,IF(OR(INDEX($B848:$D848,AN$5)="F",AND(AN$6&gt;0,$A848&lt;AN$6),AND(AN$7&gt;0,$A848&gt;AN$7)),0,MAX(0,ROUND((INDEX($E848:$G848,AN$5)-SUMIFS(TF_Timer,TF_Tekniker,AN$4,TF_Dato,$A848))*2,0)/2)))</f>
        <v/>
      </c>
      <c r="AO848">
        <f>IF(OR(AO$4="",$A848&gt;TODAY()),0,IF(OR(INDEX($B848:$D848,AO$5)="F",AND(AO$6&gt;0,$A848&lt;AO$6),AND(AO$7&gt;0,$A848&gt;AO$7)),0,MAX(0,ROUND((INDEX($E848:$G848,AO$5)-SUMIFS(TF_Timer,TF_Tekniker,AO$4,TF_Dato,$A848))*2,0)/2)))</f>
        <v/>
      </c>
      <c r="AP848">
        <f>IF(OR(AP$4="",$A848&gt;TODAY()),0,IF(OR(INDEX($B848:$D848,AP$5)="F",AND(AP$6&gt;0,$A848&lt;AP$6),AND(AP$7&gt;0,$A848&gt;AP$7)),0,MAX(0,ROUND((INDEX($E848:$G848,AP$5)-SUMIFS(TF_Timer,TF_Tekniker,AP$4,TF_Dato,$A848))*2,0)/2)))</f>
        <v/>
      </c>
      <c r="AQ848">
        <f>IF(OR(AQ$4="",$A848&gt;TODAY()),0,IF(OR(INDEX($B848:$D848,AQ$5)="F",AND(AQ$6&gt;0,$A848&lt;AQ$6),AND(AQ$7&gt;0,$A848&gt;AQ$7)),0,MAX(0,ROUND((INDEX($E848:$G848,AQ$5)-SUMIFS(TF_Timer,TF_Tekniker,AQ$4,TF_Dato,$A848))*2,0)/2)))</f>
        <v/>
      </c>
      <c r="AR848">
        <f>IF(OR(AR$4="",$A848&gt;TODAY()),0,IF(OR(INDEX($B848:$D848,AR$5)="F",AND(AR$6&gt;0,$A848&lt;AR$6),AND(AR$7&gt;0,$A848&gt;AR$7)),0,MAX(0,ROUND((INDEX($E848:$G848,AR$5)-SUMIFS(TF_Timer,TF_Tekniker,AR$4,TF_Dato,$A848))*2,0)/2)))</f>
        <v/>
      </c>
      <c r="AS848">
        <f>IF(OR(AS$4="",$A848&gt;TODAY()),0,IF(OR(INDEX($B848:$D848,AS$5)="F",AND(AS$6&gt;0,$A848&lt;AS$6),AND(AS$7&gt;0,$A848&gt;AS$7)),0,MAX(0,ROUND((INDEX($E848:$G848,AS$5)-SUMIFS(TF_Timer,TF_Tekniker,AS$4,TF_Dato,$A848))*2,0)/2)))</f>
        <v/>
      </c>
      <c r="AT848">
        <f>IF(OR(AT$4="",$A848&gt;TODAY()),0,IF(OR(INDEX($B848:$D848,AT$5)="F",AND(AT$6&gt;0,$A848&lt;AT$6),AND(AT$7&gt;0,$A848&gt;AT$7)),0,MAX(0,ROUND((INDEX($E848:$G848,AT$5)-SUMIFS(TF_Timer,TF_Tekniker,AT$4,TF_Dato,$A848))*2,0)/2)))</f>
        <v/>
      </c>
      <c r="AU848">
        <f>IF(OR(AU$4="",$A848&gt;TODAY()),0,IF(OR(INDEX($B848:$D848,AU$5)="F",AND(AU$6&gt;0,$A848&lt;AU$6),AND(AU$7&gt;0,$A848&gt;AU$7)),0,MAX(0,ROUND((INDEX($E848:$G848,AU$5)-SUMIFS(TF_Timer,TF_Tekniker,AU$4,TF_Dato,$A848))*2,0)/2)))</f>
        <v/>
      </c>
      <c r="AV848">
        <f>IF(OR(AV$4="",$A848&gt;TODAY()),0,IF(OR(INDEX($B848:$D848,AV$5)="F",AND(AV$6&gt;0,$A848&lt;AV$6),AND(AV$7&gt;0,$A848&gt;AV$7)),0,MAX(0,ROUND((INDEX($E848:$G848,AV$5)-SUMIFS(TF_Timer,TF_Tekniker,AV$4,TF_Dato,$A848))*2,0)/2)))</f>
        <v/>
      </c>
      <c r="AW848">
        <f>IF(OR(AW$4="",$A848&gt;TODAY()),0,IF(OR(INDEX($B848:$D848,AW$5)="F",AND(AW$6&gt;0,$A848&lt;AW$6),AND(AW$7&gt;0,$A848&gt;AW$7)),0,MAX(0,ROUND((INDEX($E848:$G848,AW$5)-SUMIFS(TF_Timer,TF_Tekniker,AW$4,TF_Dato,$A848))*2,0)/2)))</f>
        <v/>
      </c>
      <c r="AX848">
        <f>IF(OR(AX$4="",$A848&gt;TODAY()),0,IF(OR(INDEX($B848:$D848,AX$5)="F",AND(AX$6&gt;0,$A848&lt;AX$6),AND(AX$7&gt;0,$A848&gt;AX$7)),0,MAX(0,ROUND((INDEX($E848:$G848,AX$5)-SUMIFS(TF_Timer,TF_Tekniker,AX$4,TF_Dato,$A848))*2,0)/2)))</f>
        <v/>
      </c>
      <c r="AY848">
        <f>IF(OR(AY$4="",$A848&gt;TODAY()),0,IF(OR(INDEX($B848:$D848,AY$5)="F",AND(AY$6&gt;0,$A848&lt;AY$6),AND(AY$7&gt;0,$A848&gt;AY$7)),0,MAX(0,ROUND((INDEX($E848:$G848,AY$5)-SUMIFS(TF_Timer,TF_Tekniker,AY$4,TF_Dato,$A848))*2,0)/2)))</f>
        <v/>
      </c>
      <c r="AZ848">
        <f>IF(OR(AZ$4="",$A848&gt;TODAY()),0,IF(OR(INDEX($B848:$D848,AZ$5)="F",AND(AZ$6&gt;0,$A848&lt;AZ$6),AND(AZ$7&gt;0,$A848&gt;AZ$7)),0,MAX(0,ROUND((INDEX($E848:$G848,AZ$5)-SUMIFS(TF_Timer,TF_Tekniker,AZ$4,TF_Dato,$A848))*2,0)/2)))</f>
        <v/>
      </c>
      <c r="BA848">
        <f>IF(OR(BA$4="",$A848&gt;TODAY()),0,IF(OR(INDEX($B848:$D848,BA$5)="F",AND(BA$6&gt;0,$A848&lt;BA$6),AND(BA$7&gt;0,$A848&gt;BA$7)),0,MAX(0,ROUND((INDEX($E848:$G848,BA$5)-SUMIFS(TF_Timer,TF_Tekniker,BA$4,TF_Dato,$A848))*2,0)/2)))</f>
        <v/>
      </c>
      <c r="BB848">
        <f>IF(OR(BB$4="",$A848&gt;TODAY()),0,IF(OR(INDEX($B848:$D848,BB$5)="F",AND(BB$6&gt;0,$A848&lt;BB$6),AND(BB$7&gt;0,$A848&gt;BB$7)),0,MAX(0,ROUND((INDEX($E848:$G848,BB$5)-SUMIFS(TF_Timer,TF_Tekniker,BB$4,TF_Dato,$A848))*2,0)/2)))</f>
        <v/>
      </c>
      <c r="BC848">
        <f>IF(OR(BC$4="",$A848&gt;TODAY()),0,IF(OR(INDEX($B848:$D848,BC$5)="F",AND(BC$6&gt;0,$A848&lt;BC$6),AND(BC$7&gt;0,$A848&gt;BC$7)),0,MAX(0,ROUND((INDEX($E848:$G848,BC$5)-SUMIFS(TF_Timer,TF_Tekniker,BC$4,TF_Dato,$A848))*2,0)/2)))</f>
        <v/>
      </c>
      <c r="BD848">
        <f>IF(OR(BD$4="",$A848&gt;TODAY()),0,IF(OR(INDEX($B848:$D848,BD$5)="F",AND(BD$6&gt;0,$A848&lt;BD$6),AND(BD$7&gt;0,$A848&gt;BD$7)),0,MAX(0,ROUND((INDEX($E848:$G848,BD$5)-SUMIFS(TF_Timer,TF_Tekniker,BD$4,TF_Dato,$A848))*2,0)/2)))</f>
        <v/>
      </c>
      <c r="BE848">
        <f>IF(OR(BE$4="",$A848&gt;TODAY()),0,IF(OR(INDEX($B848:$D848,BE$5)="F",AND(BE$6&gt;0,$A848&lt;BE$6),AND(BE$7&gt;0,$A848&gt;BE$7)),0,MAX(0,ROUND((INDEX($E848:$G848,BE$5)-SUMIFS(TF_Timer,TF_Tekniker,BE$4,TF_Dato,$A848))*2,0)/2)))</f>
        <v/>
      </c>
      <c r="BF848">
        <f>IF(OR(BF$4="",$A848&gt;TODAY()),0,IF(OR(INDEX($B848:$D848,BF$5)="F",AND(BF$6&gt;0,$A848&lt;BF$6),AND(BF$7&gt;0,$A848&gt;BF$7)),0,MAX(0,ROUND((INDEX($E848:$G848,BF$5)-SUMIFS(TF_Timer,TF_Tekniker,BF$4,TF_Dato,$A848))*2,0)/2)))</f>
        <v/>
      </c>
      <c r="BG848">
        <f>IF(OR(BG$4="",$A848&gt;TODAY()),0,IF(OR(INDEX($B848:$D848,BG$5)="F",AND(BG$6&gt;0,$A848&lt;BG$6),AND(BG$7&gt;0,$A848&gt;BG$7)),0,MAX(0,ROUND((INDEX($E848:$G848,BG$5)-SUMIFS(TF_Timer,TF_Tekniker,BG$4,TF_Dato,$A848))*2,0)/2)))</f>
        <v/>
      </c>
      <c r="BH848">
        <f>IF(OR(BH$4="",$A848&gt;TODAY()),0,IF(OR(INDEX($B848:$D848,BH$5)="F",AND(BH$6&gt;0,$A848&lt;BH$6),AND(BH$7&gt;0,$A848&gt;BH$7)),0,MAX(0,ROUND((INDEX($E848:$G848,BH$5)-SUMIFS(TF_Timer,TF_Tekniker,BH$4,TF_Dato,$A848))*2,0)/2)))</f>
        <v/>
      </c>
      <c r="BI848">
        <f>IF(OR(BI$4="",$A848&gt;TODAY()),0,IF(OR(INDEX($B848:$D848,BI$5)="F",AND(BI$6&gt;0,$A848&lt;BI$6),AND(BI$7&gt;0,$A848&gt;BI$7)),0,MAX(0,ROUND((INDEX($E848:$G848,BI$5)-SUMIFS(TF_Timer,TF_Tekniker,BI$4,TF_Dato,$A848))*2,0)/2)))</f>
        <v/>
      </c>
    </row>
    <row r="849">
      <c r="A849" s="64">
        <f>A848+1</f>
        <v/>
      </c>
      <c r="B849">
        <f>IF(MOD($A849-INDEX(SkiftStart,1),Syklus)&lt;DagK,"K",IF(MOD($A849-INDEX(SkiftStart,1),Syklus)&lt;DagK+DagH,"H",IF(MOD($A849-INDEX(SkiftStart,1),Syklus)&lt;DagK+DagH+DagD,"D","F")))</f>
        <v/>
      </c>
      <c r="C849">
        <f>IF(MOD($A849-INDEX(SkiftStart,2),Syklus)&lt;DagK,"K",IF(MOD($A849-INDEX(SkiftStart,2),Syklus)&lt;DagK+DagH,"H",IF(MOD($A849-INDEX(SkiftStart,2),Syklus)&lt;DagK+DagH+DagD,"D","F")))</f>
        <v/>
      </c>
      <c r="D849">
        <f>IF(MOD($A849-INDEX(SkiftStart,3),Syklus)&lt;DagK,"K",IF(MOD($A849-INDEX(SkiftStart,3),Syklus)&lt;DagK+DagH,"H",IF(MOD($A849-INDEX(SkiftStart,3),Syklus)&lt;DagK+DagH+DagD,"D","F")))</f>
        <v/>
      </c>
      <c r="E849">
        <f>IF(B849="F",0,IF(WEEKDAY($A849,2)=5,INDEX(TimerFr,MATCH(B849,FaseKode,0)),INDEX(TimerMT,MATCH(B849,FaseKode,0))))</f>
        <v/>
      </c>
      <c r="F849">
        <f>IF(C849="F",0,IF(WEEKDAY($A849,2)=5,INDEX(TimerFr,MATCH(C849,FaseKode,0)),INDEX(TimerMT,MATCH(C849,FaseKode,0))))</f>
        <v/>
      </c>
      <c r="G849">
        <f>IF(D849="F",0,IF(WEEKDAY($A849,2)=5,INDEX(TimerFr,MATCH(D849,FaseKode,0)),INDEX(TimerMT,MATCH(D849,FaseKode,0))))</f>
        <v/>
      </c>
      <c r="H849">
        <f>IF(OR(H$4="",$A849&gt;TODAY()),0,IF(OR(INDEX($B849:$D849,H$5)="F",AND(H$6&gt;0,$A849&lt;H$6),AND(H$7&gt;0,$A849&gt;H$7)),0,MAX(0,ROUND((INDEX($E849:$G849,H$5)-SUMIFS(TF_Timer,TF_Tekniker,H$4,TF_Dato,$A849))*2,0)/2)))</f>
        <v/>
      </c>
      <c r="I849">
        <f>IF(OR(I$4="",$A849&gt;TODAY()),0,IF(OR(INDEX($B849:$D849,I$5)="F",AND(I$6&gt;0,$A849&lt;I$6),AND(I$7&gt;0,$A849&gt;I$7)),0,MAX(0,ROUND((INDEX($E849:$G849,I$5)-SUMIFS(TF_Timer,TF_Tekniker,I$4,TF_Dato,$A849))*2,0)/2)))</f>
        <v/>
      </c>
      <c r="J849">
        <f>IF(OR(J$4="",$A849&gt;TODAY()),0,IF(OR(INDEX($B849:$D849,J$5)="F",AND(J$6&gt;0,$A849&lt;J$6),AND(J$7&gt;0,$A849&gt;J$7)),0,MAX(0,ROUND((INDEX($E849:$G849,J$5)-SUMIFS(TF_Timer,TF_Tekniker,J$4,TF_Dato,$A849))*2,0)/2)))</f>
        <v/>
      </c>
      <c r="K849">
        <f>IF(OR(K$4="",$A849&gt;TODAY()),0,IF(OR(INDEX($B849:$D849,K$5)="F",AND(K$6&gt;0,$A849&lt;K$6),AND(K$7&gt;0,$A849&gt;K$7)),0,MAX(0,ROUND((INDEX($E849:$G849,K$5)-SUMIFS(TF_Timer,TF_Tekniker,K$4,TF_Dato,$A849))*2,0)/2)))</f>
        <v/>
      </c>
      <c r="L849">
        <f>IF(OR(L$4="",$A849&gt;TODAY()),0,IF(OR(INDEX($B849:$D849,L$5)="F",AND(L$6&gt;0,$A849&lt;L$6),AND(L$7&gt;0,$A849&gt;L$7)),0,MAX(0,ROUND((INDEX($E849:$G849,L$5)-SUMIFS(TF_Timer,TF_Tekniker,L$4,TF_Dato,$A849))*2,0)/2)))</f>
        <v/>
      </c>
      <c r="M849">
        <f>IF(OR(M$4="",$A849&gt;TODAY()),0,IF(OR(INDEX($B849:$D849,M$5)="F",AND(M$6&gt;0,$A849&lt;M$6),AND(M$7&gt;0,$A849&gt;M$7)),0,MAX(0,ROUND((INDEX($E849:$G849,M$5)-SUMIFS(TF_Timer,TF_Tekniker,M$4,TF_Dato,$A849))*2,0)/2)))</f>
        <v/>
      </c>
      <c r="N849">
        <f>IF(OR(N$4="",$A849&gt;TODAY()),0,IF(OR(INDEX($B849:$D849,N$5)="F",AND(N$6&gt;0,$A849&lt;N$6),AND(N$7&gt;0,$A849&gt;N$7)),0,MAX(0,ROUND((INDEX($E849:$G849,N$5)-SUMIFS(TF_Timer,TF_Tekniker,N$4,TF_Dato,$A849))*2,0)/2)))</f>
        <v/>
      </c>
      <c r="O849">
        <f>IF(OR(O$4="",$A849&gt;TODAY()),0,IF(OR(INDEX($B849:$D849,O$5)="F",AND(O$6&gt;0,$A849&lt;O$6),AND(O$7&gt;0,$A849&gt;O$7)),0,MAX(0,ROUND((INDEX($E849:$G849,O$5)-SUMIFS(TF_Timer,TF_Tekniker,O$4,TF_Dato,$A849))*2,0)/2)))</f>
        <v/>
      </c>
      <c r="P849">
        <f>IF(OR(P$4="",$A849&gt;TODAY()),0,IF(OR(INDEX($B849:$D849,P$5)="F",AND(P$6&gt;0,$A849&lt;P$6),AND(P$7&gt;0,$A849&gt;P$7)),0,MAX(0,ROUND((INDEX($E849:$G849,P$5)-SUMIFS(TF_Timer,TF_Tekniker,P$4,TF_Dato,$A849))*2,0)/2)))</f>
        <v/>
      </c>
      <c r="Q849">
        <f>IF(OR(Q$4="",$A849&gt;TODAY()),0,IF(OR(INDEX($B849:$D849,Q$5)="F",AND(Q$6&gt;0,$A849&lt;Q$6),AND(Q$7&gt;0,$A849&gt;Q$7)),0,MAX(0,ROUND((INDEX($E849:$G849,Q$5)-SUMIFS(TF_Timer,TF_Tekniker,Q$4,TF_Dato,$A849))*2,0)/2)))</f>
        <v/>
      </c>
      <c r="R849">
        <f>IF(OR(R$4="",$A849&gt;TODAY()),0,IF(OR(INDEX($B849:$D849,R$5)="F",AND(R$6&gt;0,$A849&lt;R$6),AND(R$7&gt;0,$A849&gt;R$7)),0,MAX(0,ROUND((INDEX($E849:$G849,R$5)-SUMIFS(TF_Timer,TF_Tekniker,R$4,TF_Dato,$A849))*2,0)/2)))</f>
        <v/>
      </c>
      <c r="S849">
        <f>IF(OR(S$4="",$A849&gt;TODAY()),0,IF(OR(INDEX($B849:$D849,S$5)="F",AND(S$6&gt;0,$A849&lt;S$6),AND(S$7&gt;0,$A849&gt;S$7)),0,MAX(0,ROUND((INDEX($E849:$G849,S$5)-SUMIFS(TF_Timer,TF_Tekniker,S$4,TF_Dato,$A849))*2,0)/2)))</f>
        <v/>
      </c>
      <c r="T849">
        <f>IF(OR(T$4="",$A849&gt;TODAY()),0,IF(OR(INDEX($B849:$D849,T$5)="F",AND(T$6&gt;0,$A849&lt;T$6),AND(T$7&gt;0,$A849&gt;T$7)),0,MAX(0,ROUND((INDEX($E849:$G849,T$5)-SUMIFS(TF_Timer,TF_Tekniker,T$4,TF_Dato,$A849))*2,0)/2)))</f>
        <v/>
      </c>
      <c r="U849">
        <f>IF(OR(U$4="",$A849&gt;TODAY()),0,IF(OR(INDEX($B849:$D849,U$5)="F",AND(U$6&gt;0,$A849&lt;U$6),AND(U$7&gt;0,$A849&gt;U$7)),0,MAX(0,ROUND((INDEX($E849:$G849,U$5)-SUMIFS(TF_Timer,TF_Tekniker,U$4,TF_Dato,$A849))*2,0)/2)))</f>
        <v/>
      </c>
      <c r="V849">
        <f>IF(OR(V$4="",$A849&gt;TODAY()),0,IF(OR(INDEX($B849:$D849,V$5)="F",AND(V$6&gt;0,$A849&lt;V$6),AND(V$7&gt;0,$A849&gt;V$7)),0,MAX(0,ROUND((INDEX($E849:$G849,V$5)-SUMIFS(TF_Timer,TF_Tekniker,V$4,TF_Dato,$A849))*2,0)/2)))</f>
        <v/>
      </c>
      <c r="W849">
        <f>IF(OR(W$4="",$A849&gt;TODAY()),0,IF(OR(INDEX($B849:$D849,W$5)="F",AND(W$6&gt;0,$A849&lt;W$6),AND(W$7&gt;0,$A849&gt;W$7)),0,MAX(0,ROUND((INDEX($E849:$G849,W$5)-SUMIFS(TF_Timer,TF_Tekniker,W$4,TF_Dato,$A849))*2,0)/2)))</f>
        <v/>
      </c>
      <c r="X849">
        <f>IF(OR(X$4="",$A849&gt;TODAY()),0,IF(OR(INDEX($B849:$D849,X$5)="F",AND(X$6&gt;0,$A849&lt;X$6),AND(X$7&gt;0,$A849&gt;X$7)),0,MAX(0,ROUND((INDEX($E849:$G849,X$5)-SUMIFS(TF_Timer,TF_Tekniker,X$4,TF_Dato,$A849))*2,0)/2)))</f>
        <v/>
      </c>
      <c r="Y849">
        <f>IF(OR(Y$4="",$A849&gt;TODAY()),0,IF(OR(INDEX($B849:$D849,Y$5)="F",AND(Y$6&gt;0,$A849&lt;Y$6),AND(Y$7&gt;0,$A849&gt;Y$7)),0,MAX(0,ROUND((INDEX($E849:$G849,Y$5)-SUMIFS(TF_Timer,TF_Tekniker,Y$4,TF_Dato,$A849))*2,0)/2)))</f>
        <v/>
      </c>
      <c r="Z849">
        <f>IF(OR(Z$4="",$A849&gt;TODAY()),0,IF(OR(INDEX($B849:$D849,Z$5)="F",AND(Z$6&gt;0,$A849&lt;Z$6),AND(Z$7&gt;0,$A849&gt;Z$7)),0,MAX(0,ROUND((INDEX($E849:$G849,Z$5)-SUMIFS(TF_Timer,TF_Tekniker,Z$4,TF_Dato,$A849))*2,0)/2)))</f>
        <v/>
      </c>
      <c r="AA849">
        <f>IF(OR(AA$4="",$A849&gt;TODAY()),0,IF(OR(INDEX($B849:$D849,AA$5)="F",AND(AA$6&gt;0,$A849&lt;AA$6),AND(AA$7&gt;0,$A849&gt;AA$7)),0,MAX(0,ROUND((INDEX($E849:$G849,AA$5)-SUMIFS(TF_Timer,TF_Tekniker,AA$4,TF_Dato,$A849))*2,0)/2)))</f>
        <v/>
      </c>
      <c r="AB849">
        <f>IF(OR(AB$4="",$A849&gt;TODAY()),0,IF(OR(INDEX($B849:$D849,AB$5)="F",AND(AB$6&gt;0,$A849&lt;AB$6),AND(AB$7&gt;0,$A849&gt;AB$7)),0,MAX(0,ROUND((INDEX($E849:$G849,AB$5)-SUMIFS(TF_Timer,TF_Tekniker,AB$4,TF_Dato,$A849))*2,0)/2)))</f>
        <v/>
      </c>
      <c r="AC849">
        <f>IF(OR(AC$4="",$A849&gt;TODAY()),0,IF(OR(INDEX($B849:$D849,AC$5)="F",AND(AC$6&gt;0,$A849&lt;AC$6),AND(AC$7&gt;0,$A849&gt;AC$7)),0,MAX(0,ROUND((INDEX($E849:$G849,AC$5)-SUMIFS(TF_Timer,TF_Tekniker,AC$4,TF_Dato,$A849))*2,0)/2)))</f>
        <v/>
      </c>
      <c r="AD849">
        <f>IF(OR(AD$4="",$A849&gt;TODAY()),0,IF(OR(INDEX($B849:$D849,AD$5)="F",AND(AD$6&gt;0,$A849&lt;AD$6),AND(AD$7&gt;0,$A849&gt;AD$7)),0,MAX(0,ROUND((INDEX($E849:$G849,AD$5)-SUMIFS(TF_Timer,TF_Tekniker,AD$4,TF_Dato,$A849))*2,0)/2)))</f>
        <v/>
      </c>
      <c r="AE849">
        <f>IF(OR(AE$4="",$A849&gt;TODAY()),0,IF(OR(INDEX($B849:$D849,AE$5)="F",AND(AE$6&gt;0,$A849&lt;AE$6),AND(AE$7&gt;0,$A849&gt;AE$7)),0,MAX(0,ROUND((INDEX($E849:$G849,AE$5)-SUMIFS(TF_Timer,TF_Tekniker,AE$4,TF_Dato,$A849))*2,0)/2)))</f>
        <v/>
      </c>
      <c r="AF849">
        <f>IF(OR(AF$4="",$A849&gt;TODAY()),0,IF(OR(INDEX($B849:$D849,AF$5)="F",AND(AF$6&gt;0,$A849&lt;AF$6),AND(AF$7&gt;0,$A849&gt;AF$7)),0,MAX(0,ROUND((INDEX($E849:$G849,AF$5)-SUMIFS(TF_Timer,TF_Tekniker,AF$4,TF_Dato,$A849))*2,0)/2)))</f>
        <v/>
      </c>
      <c r="AG849">
        <f>IF(OR(AG$4="",$A849&gt;TODAY()),0,IF(OR(INDEX($B849:$D849,AG$5)="F",AND(AG$6&gt;0,$A849&lt;AG$6),AND(AG$7&gt;0,$A849&gt;AG$7)),0,MAX(0,ROUND((INDEX($E849:$G849,AG$5)-SUMIFS(TF_Timer,TF_Tekniker,AG$4,TF_Dato,$A849))*2,0)/2)))</f>
        <v/>
      </c>
      <c r="AH849">
        <f>IF(OR(AH$4="",$A849&gt;TODAY()),0,IF(OR(INDEX($B849:$D849,AH$5)="F",AND(AH$6&gt;0,$A849&lt;AH$6),AND(AH$7&gt;0,$A849&gt;AH$7)),0,MAX(0,ROUND((INDEX($E849:$G849,AH$5)-SUMIFS(TF_Timer,TF_Tekniker,AH$4,TF_Dato,$A849))*2,0)/2)))</f>
        <v/>
      </c>
      <c r="AI849">
        <f>IF(OR(AI$4="",$A849&gt;TODAY()),0,IF(OR(INDEX($B849:$D849,AI$5)="F",AND(AI$6&gt;0,$A849&lt;AI$6),AND(AI$7&gt;0,$A849&gt;AI$7)),0,MAX(0,ROUND((INDEX($E849:$G849,AI$5)-SUMIFS(TF_Timer,TF_Tekniker,AI$4,TF_Dato,$A849))*2,0)/2)))</f>
        <v/>
      </c>
      <c r="AJ849">
        <f>IF(OR(AJ$4="",$A849&gt;TODAY()),0,IF(OR(INDEX($B849:$D849,AJ$5)="F",AND(AJ$6&gt;0,$A849&lt;AJ$6),AND(AJ$7&gt;0,$A849&gt;AJ$7)),0,MAX(0,ROUND((INDEX($E849:$G849,AJ$5)-SUMIFS(TF_Timer,TF_Tekniker,AJ$4,TF_Dato,$A849))*2,0)/2)))</f>
        <v/>
      </c>
      <c r="AK849">
        <f>IF(OR(AK$4="",$A849&gt;TODAY()),0,IF(OR(INDEX($B849:$D849,AK$5)="F",AND(AK$6&gt;0,$A849&lt;AK$6),AND(AK$7&gt;0,$A849&gt;AK$7)),0,MAX(0,ROUND((INDEX($E849:$G849,AK$5)-SUMIFS(TF_Timer,TF_Tekniker,AK$4,TF_Dato,$A849))*2,0)/2)))</f>
        <v/>
      </c>
      <c r="AL849">
        <f>IF(OR(AL$4="",$A849&gt;TODAY()),0,IF(OR(INDEX($B849:$D849,AL$5)="F",AND(AL$6&gt;0,$A849&lt;AL$6),AND(AL$7&gt;0,$A849&gt;AL$7)),0,MAX(0,ROUND((INDEX($E849:$G849,AL$5)-SUMIFS(TF_Timer,TF_Tekniker,AL$4,TF_Dato,$A849))*2,0)/2)))</f>
        <v/>
      </c>
      <c r="AM849">
        <f>IF(OR(AM$4="",$A849&gt;TODAY()),0,IF(OR(INDEX($B849:$D849,AM$5)="F",AND(AM$6&gt;0,$A849&lt;AM$6),AND(AM$7&gt;0,$A849&gt;AM$7)),0,MAX(0,ROUND((INDEX($E849:$G849,AM$5)-SUMIFS(TF_Timer,TF_Tekniker,AM$4,TF_Dato,$A849))*2,0)/2)))</f>
        <v/>
      </c>
      <c r="AN849">
        <f>IF(OR(AN$4="",$A849&gt;TODAY()),0,IF(OR(INDEX($B849:$D849,AN$5)="F",AND(AN$6&gt;0,$A849&lt;AN$6),AND(AN$7&gt;0,$A849&gt;AN$7)),0,MAX(0,ROUND((INDEX($E849:$G849,AN$5)-SUMIFS(TF_Timer,TF_Tekniker,AN$4,TF_Dato,$A849))*2,0)/2)))</f>
        <v/>
      </c>
      <c r="AO849">
        <f>IF(OR(AO$4="",$A849&gt;TODAY()),0,IF(OR(INDEX($B849:$D849,AO$5)="F",AND(AO$6&gt;0,$A849&lt;AO$6),AND(AO$7&gt;0,$A849&gt;AO$7)),0,MAX(0,ROUND((INDEX($E849:$G849,AO$5)-SUMIFS(TF_Timer,TF_Tekniker,AO$4,TF_Dato,$A849))*2,0)/2)))</f>
        <v/>
      </c>
      <c r="AP849">
        <f>IF(OR(AP$4="",$A849&gt;TODAY()),0,IF(OR(INDEX($B849:$D849,AP$5)="F",AND(AP$6&gt;0,$A849&lt;AP$6),AND(AP$7&gt;0,$A849&gt;AP$7)),0,MAX(0,ROUND((INDEX($E849:$G849,AP$5)-SUMIFS(TF_Timer,TF_Tekniker,AP$4,TF_Dato,$A849))*2,0)/2)))</f>
        <v/>
      </c>
      <c r="AQ849">
        <f>IF(OR(AQ$4="",$A849&gt;TODAY()),0,IF(OR(INDEX($B849:$D849,AQ$5)="F",AND(AQ$6&gt;0,$A849&lt;AQ$6),AND(AQ$7&gt;0,$A849&gt;AQ$7)),0,MAX(0,ROUND((INDEX($E849:$G849,AQ$5)-SUMIFS(TF_Timer,TF_Tekniker,AQ$4,TF_Dato,$A849))*2,0)/2)))</f>
        <v/>
      </c>
      <c r="AR849">
        <f>IF(OR(AR$4="",$A849&gt;TODAY()),0,IF(OR(INDEX($B849:$D849,AR$5)="F",AND(AR$6&gt;0,$A849&lt;AR$6),AND(AR$7&gt;0,$A849&gt;AR$7)),0,MAX(0,ROUND((INDEX($E849:$G849,AR$5)-SUMIFS(TF_Timer,TF_Tekniker,AR$4,TF_Dato,$A849))*2,0)/2)))</f>
        <v/>
      </c>
      <c r="AS849">
        <f>IF(OR(AS$4="",$A849&gt;TODAY()),0,IF(OR(INDEX($B849:$D849,AS$5)="F",AND(AS$6&gt;0,$A849&lt;AS$6),AND(AS$7&gt;0,$A849&gt;AS$7)),0,MAX(0,ROUND((INDEX($E849:$G849,AS$5)-SUMIFS(TF_Timer,TF_Tekniker,AS$4,TF_Dato,$A849))*2,0)/2)))</f>
        <v/>
      </c>
      <c r="AT849">
        <f>IF(OR(AT$4="",$A849&gt;TODAY()),0,IF(OR(INDEX($B849:$D849,AT$5)="F",AND(AT$6&gt;0,$A849&lt;AT$6),AND(AT$7&gt;0,$A849&gt;AT$7)),0,MAX(0,ROUND((INDEX($E849:$G849,AT$5)-SUMIFS(TF_Timer,TF_Tekniker,AT$4,TF_Dato,$A849))*2,0)/2)))</f>
        <v/>
      </c>
      <c r="AU849">
        <f>IF(OR(AU$4="",$A849&gt;TODAY()),0,IF(OR(INDEX($B849:$D849,AU$5)="F",AND(AU$6&gt;0,$A849&lt;AU$6),AND(AU$7&gt;0,$A849&gt;AU$7)),0,MAX(0,ROUND((INDEX($E849:$G849,AU$5)-SUMIFS(TF_Timer,TF_Tekniker,AU$4,TF_Dato,$A849))*2,0)/2)))</f>
        <v/>
      </c>
      <c r="AV849">
        <f>IF(OR(AV$4="",$A849&gt;TODAY()),0,IF(OR(INDEX($B849:$D849,AV$5)="F",AND(AV$6&gt;0,$A849&lt;AV$6),AND(AV$7&gt;0,$A849&gt;AV$7)),0,MAX(0,ROUND((INDEX($E849:$G849,AV$5)-SUMIFS(TF_Timer,TF_Tekniker,AV$4,TF_Dato,$A849))*2,0)/2)))</f>
        <v/>
      </c>
      <c r="AW849">
        <f>IF(OR(AW$4="",$A849&gt;TODAY()),0,IF(OR(INDEX($B849:$D849,AW$5)="F",AND(AW$6&gt;0,$A849&lt;AW$6),AND(AW$7&gt;0,$A849&gt;AW$7)),0,MAX(0,ROUND((INDEX($E849:$G849,AW$5)-SUMIFS(TF_Timer,TF_Tekniker,AW$4,TF_Dato,$A849))*2,0)/2)))</f>
        <v/>
      </c>
      <c r="AX849">
        <f>IF(OR(AX$4="",$A849&gt;TODAY()),0,IF(OR(INDEX($B849:$D849,AX$5)="F",AND(AX$6&gt;0,$A849&lt;AX$6),AND(AX$7&gt;0,$A849&gt;AX$7)),0,MAX(0,ROUND((INDEX($E849:$G849,AX$5)-SUMIFS(TF_Timer,TF_Tekniker,AX$4,TF_Dato,$A849))*2,0)/2)))</f>
        <v/>
      </c>
      <c r="AY849">
        <f>IF(OR(AY$4="",$A849&gt;TODAY()),0,IF(OR(INDEX($B849:$D849,AY$5)="F",AND(AY$6&gt;0,$A849&lt;AY$6),AND(AY$7&gt;0,$A849&gt;AY$7)),0,MAX(0,ROUND((INDEX($E849:$G849,AY$5)-SUMIFS(TF_Timer,TF_Tekniker,AY$4,TF_Dato,$A849))*2,0)/2)))</f>
        <v/>
      </c>
      <c r="AZ849">
        <f>IF(OR(AZ$4="",$A849&gt;TODAY()),0,IF(OR(INDEX($B849:$D849,AZ$5)="F",AND(AZ$6&gt;0,$A849&lt;AZ$6),AND(AZ$7&gt;0,$A849&gt;AZ$7)),0,MAX(0,ROUND((INDEX($E849:$G849,AZ$5)-SUMIFS(TF_Timer,TF_Tekniker,AZ$4,TF_Dato,$A849))*2,0)/2)))</f>
        <v/>
      </c>
      <c r="BA849">
        <f>IF(OR(BA$4="",$A849&gt;TODAY()),0,IF(OR(INDEX($B849:$D849,BA$5)="F",AND(BA$6&gt;0,$A849&lt;BA$6),AND(BA$7&gt;0,$A849&gt;BA$7)),0,MAX(0,ROUND((INDEX($E849:$G849,BA$5)-SUMIFS(TF_Timer,TF_Tekniker,BA$4,TF_Dato,$A849))*2,0)/2)))</f>
        <v/>
      </c>
      <c r="BB849">
        <f>IF(OR(BB$4="",$A849&gt;TODAY()),0,IF(OR(INDEX($B849:$D849,BB$5)="F",AND(BB$6&gt;0,$A849&lt;BB$6),AND(BB$7&gt;0,$A849&gt;BB$7)),0,MAX(0,ROUND((INDEX($E849:$G849,BB$5)-SUMIFS(TF_Timer,TF_Tekniker,BB$4,TF_Dato,$A849))*2,0)/2)))</f>
        <v/>
      </c>
      <c r="BC849">
        <f>IF(OR(BC$4="",$A849&gt;TODAY()),0,IF(OR(INDEX($B849:$D849,BC$5)="F",AND(BC$6&gt;0,$A849&lt;BC$6),AND(BC$7&gt;0,$A849&gt;BC$7)),0,MAX(0,ROUND((INDEX($E849:$G849,BC$5)-SUMIFS(TF_Timer,TF_Tekniker,BC$4,TF_Dato,$A849))*2,0)/2)))</f>
        <v/>
      </c>
      <c r="BD849">
        <f>IF(OR(BD$4="",$A849&gt;TODAY()),0,IF(OR(INDEX($B849:$D849,BD$5)="F",AND(BD$6&gt;0,$A849&lt;BD$6),AND(BD$7&gt;0,$A849&gt;BD$7)),0,MAX(0,ROUND((INDEX($E849:$G849,BD$5)-SUMIFS(TF_Timer,TF_Tekniker,BD$4,TF_Dato,$A849))*2,0)/2)))</f>
        <v/>
      </c>
      <c r="BE849">
        <f>IF(OR(BE$4="",$A849&gt;TODAY()),0,IF(OR(INDEX($B849:$D849,BE$5)="F",AND(BE$6&gt;0,$A849&lt;BE$6),AND(BE$7&gt;0,$A849&gt;BE$7)),0,MAX(0,ROUND((INDEX($E849:$G849,BE$5)-SUMIFS(TF_Timer,TF_Tekniker,BE$4,TF_Dato,$A849))*2,0)/2)))</f>
        <v/>
      </c>
      <c r="BF849">
        <f>IF(OR(BF$4="",$A849&gt;TODAY()),0,IF(OR(INDEX($B849:$D849,BF$5)="F",AND(BF$6&gt;0,$A849&lt;BF$6),AND(BF$7&gt;0,$A849&gt;BF$7)),0,MAX(0,ROUND((INDEX($E849:$G849,BF$5)-SUMIFS(TF_Timer,TF_Tekniker,BF$4,TF_Dato,$A849))*2,0)/2)))</f>
        <v/>
      </c>
      <c r="BG849">
        <f>IF(OR(BG$4="",$A849&gt;TODAY()),0,IF(OR(INDEX($B849:$D849,BG$5)="F",AND(BG$6&gt;0,$A849&lt;BG$6),AND(BG$7&gt;0,$A849&gt;BG$7)),0,MAX(0,ROUND((INDEX($E849:$G849,BG$5)-SUMIFS(TF_Timer,TF_Tekniker,BG$4,TF_Dato,$A849))*2,0)/2)))</f>
        <v/>
      </c>
      <c r="BH849">
        <f>IF(OR(BH$4="",$A849&gt;TODAY()),0,IF(OR(INDEX($B849:$D849,BH$5)="F",AND(BH$6&gt;0,$A849&lt;BH$6),AND(BH$7&gt;0,$A849&gt;BH$7)),0,MAX(0,ROUND((INDEX($E849:$G849,BH$5)-SUMIFS(TF_Timer,TF_Tekniker,BH$4,TF_Dato,$A849))*2,0)/2)))</f>
        <v/>
      </c>
      <c r="BI849">
        <f>IF(OR(BI$4="",$A849&gt;TODAY()),0,IF(OR(INDEX($B849:$D849,BI$5)="F",AND(BI$6&gt;0,$A849&lt;BI$6),AND(BI$7&gt;0,$A849&gt;BI$7)),0,MAX(0,ROUND((INDEX($E849:$G849,BI$5)-SUMIFS(TF_Timer,TF_Tekniker,BI$4,TF_Dato,$A849))*2,0)/2)))</f>
        <v/>
      </c>
    </row>
    <row r="850">
      <c r="A850" s="64">
        <f>A849+1</f>
        <v/>
      </c>
      <c r="B850">
        <f>IF(MOD($A850-INDEX(SkiftStart,1),Syklus)&lt;DagK,"K",IF(MOD($A850-INDEX(SkiftStart,1),Syklus)&lt;DagK+DagH,"H",IF(MOD($A850-INDEX(SkiftStart,1),Syklus)&lt;DagK+DagH+DagD,"D","F")))</f>
        <v/>
      </c>
      <c r="C850">
        <f>IF(MOD($A850-INDEX(SkiftStart,2),Syklus)&lt;DagK,"K",IF(MOD($A850-INDEX(SkiftStart,2),Syklus)&lt;DagK+DagH,"H",IF(MOD($A850-INDEX(SkiftStart,2),Syklus)&lt;DagK+DagH+DagD,"D","F")))</f>
        <v/>
      </c>
      <c r="D850">
        <f>IF(MOD($A850-INDEX(SkiftStart,3),Syklus)&lt;DagK,"K",IF(MOD($A850-INDEX(SkiftStart,3),Syklus)&lt;DagK+DagH,"H",IF(MOD($A850-INDEX(SkiftStart,3),Syklus)&lt;DagK+DagH+DagD,"D","F")))</f>
        <v/>
      </c>
      <c r="E850">
        <f>IF(B850="F",0,IF(WEEKDAY($A850,2)=5,INDEX(TimerFr,MATCH(B850,FaseKode,0)),INDEX(TimerMT,MATCH(B850,FaseKode,0))))</f>
        <v/>
      </c>
      <c r="F850">
        <f>IF(C850="F",0,IF(WEEKDAY($A850,2)=5,INDEX(TimerFr,MATCH(C850,FaseKode,0)),INDEX(TimerMT,MATCH(C850,FaseKode,0))))</f>
        <v/>
      </c>
      <c r="G850">
        <f>IF(D850="F",0,IF(WEEKDAY($A850,2)=5,INDEX(TimerFr,MATCH(D850,FaseKode,0)),INDEX(TimerMT,MATCH(D850,FaseKode,0))))</f>
        <v/>
      </c>
      <c r="H850">
        <f>IF(OR(H$4="",$A850&gt;TODAY()),0,IF(OR(INDEX($B850:$D850,H$5)="F",AND(H$6&gt;0,$A850&lt;H$6),AND(H$7&gt;0,$A850&gt;H$7)),0,MAX(0,ROUND((INDEX($E850:$G850,H$5)-SUMIFS(TF_Timer,TF_Tekniker,H$4,TF_Dato,$A850))*2,0)/2)))</f>
        <v/>
      </c>
      <c r="I850">
        <f>IF(OR(I$4="",$A850&gt;TODAY()),0,IF(OR(INDEX($B850:$D850,I$5)="F",AND(I$6&gt;0,$A850&lt;I$6),AND(I$7&gt;0,$A850&gt;I$7)),0,MAX(0,ROUND((INDEX($E850:$G850,I$5)-SUMIFS(TF_Timer,TF_Tekniker,I$4,TF_Dato,$A850))*2,0)/2)))</f>
        <v/>
      </c>
      <c r="J850">
        <f>IF(OR(J$4="",$A850&gt;TODAY()),0,IF(OR(INDEX($B850:$D850,J$5)="F",AND(J$6&gt;0,$A850&lt;J$6),AND(J$7&gt;0,$A850&gt;J$7)),0,MAX(0,ROUND((INDEX($E850:$G850,J$5)-SUMIFS(TF_Timer,TF_Tekniker,J$4,TF_Dato,$A850))*2,0)/2)))</f>
        <v/>
      </c>
      <c r="K850">
        <f>IF(OR(K$4="",$A850&gt;TODAY()),0,IF(OR(INDEX($B850:$D850,K$5)="F",AND(K$6&gt;0,$A850&lt;K$6),AND(K$7&gt;0,$A850&gt;K$7)),0,MAX(0,ROUND((INDEX($E850:$G850,K$5)-SUMIFS(TF_Timer,TF_Tekniker,K$4,TF_Dato,$A850))*2,0)/2)))</f>
        <v/>
      </c>
      <c r="L850">
        <f>IF(OR(L$4="",$A850&gt;TODAY()),0,IF(OR(INDEX($B850:$D850,L$5)="F",AND(L$6&gt;0,$A850&lt;L$6),AND(L$7&gt;0,$A850&gt;L$7)),0,MAX(0,ROUND((INDEX($E850:$G850,L$5)-SUMIFS(TF_Timer,TF_Tekniker,L$4,TF_Dato,$A850))*2,0)/2)))</f>
        <v/>
      </c>
      <c r="M850">
        <f>IF(OR(M$4="",$A850&gt;TODAY()),0,IF(OR(INDEX($B850:$D850,M$5)="F",AND(M$6&gt;0,$A850&lt;M$6),AND(M$7&gt;0,$A850&gt;M$7)),0,MAX(0,ROUND((INDEX($E850:$G850,M$5)-SUMIFS(TF_Timer,TF_Tekniker,M$4,TF_Dato,$A850))*2,0)/2)))</f>
        <v/>
      </c>
      <c r="N850">
        <f>IF(OR(N$4="",$A850&gt;TODAY()),0,IF(OR(INDEX($B850:$D850,N$5)="F",AND(N$6&gt;0,$A850&lt;N$6),AND(N$7&gt;0,$A850&gt;N$7)),0,MAX(0,ROUND((INDEX($E850:$G850,N$5)-SUMIFS(TF_Timer,TF_Tekniker,N$4,TF_Dato,$A850))*2,0)/2)))</f>
        <v/>
      </c>
      <c r="O850">
        <f>IF(OR(O$4="",$A850&gt;TODAY()),0,IF(OR(INDEX($B850:$D850,O$5)="F",AND(O$6&gt;0,$A850&lt;O$6),AND(O$7&gt;0,$A850&gt;O$7)),0,MAX(0,ROUND((INDEX($E850:$G850,O$5)-SUMIFS(TF_Timer,TF_Tekniker,O$4,TF_Dato,$A850))*2,0)/2)))</f>
        <v/>
      </c>
      <c r="P850">
        <f>IF(OR(P$4="",$A850&gt;TODAY()),0,IF(OR(INDEX($B850:$D850,P$5)="F",AND(P$6&gt;0,$A850&lt;P$6),AND(P$7&gt;0,$A850&gt;P$7)),0,MAX(0,ROUND((INDEX($E850:$G850,P$5)-SUMIFS(TF_Timer,TF_Tekniker,P$4,TF_Dato,$A850))*2,0)/2)))</f>
        <v/>
      </c>
      <c r="Q850">
        <f>IF(OR(Q$4="",$A850&gt;TODAY()),0,IF(OR(INDEX($B850:$D850,Q$5)="F",AND(Q$6&gt;0,$A850&lt;Q$6),AND(Q$7&gt;0,$A850&gt;Q$7)),0,MAX(0,ROUND((INDEX($E850:$G850,Q$5)-SUMIFS(TF_Timer,TF_Tekniker,Q$4,TF_Dato,$A850))*2,0)/2)))</f>
        <v/>
      </c>
      <c r="R850">
        <f>IF(OR(R$4="",$A850&gt;TODAY()),0,IF(OR(INDEX($B850:$D850,R$5)="F",AND(R$6&gt;0,$A850&lt;R$6),AND(R$7&gt;0,$A850&gt;R$7)),0,MAX(0,ROUND((INDEX($E850:$G850,R$5)-SUMIFS(TF_Timer,TF_Tekniker,R$4,TF_Dato,$A850))*2,0)/2)))</f>
        <v/>
      </c>
      <c r="S850">
        <f>IF(OR(S$4="",$A850&gt;TODAY()),0,IF(OR(INDEX($B850:$D850,S$5)="F",AND(S$6&gt;0,$A850&lt;S$6),AND(S$7&gt;0,$A850&gt;S$7)),0,MAX(0,ROUND((INDEX($E850:$G850,S$5)-SUMIFS(TF_Timer,TF_Tekniker,S$4,TF_Dato,$A850))*2,0)/2)))</f>
        <v/>
      </c>
      <c r="T850">
        <f>IF(OR(T$4="",$A850&gt;TODAY()),0,IF(OR(INDEX($B850:$D850,T$5)="F",AND(T$6&gt;0,$A850&lt;T$6),AND(T$7&gt;0,$A850&gt;T$7)),0,MAX(0,ROUND((INDEX($E850:$G850,T$5)-SUMIFS(TF_Timer,TF_Tekniker,T$4,TF_Dato,$A850))*2,0)/2)))</f>
        <v/>
      </c>
      <c r="U850">
        <f>IF(OR(U$4="",$A850&gt;TODAY()),0,IF(OR(INDEX($B850:$D850,U$5)="F",AND(U$6&gt;0,$A850&lt;U$6),AND(U$7&gt;0,$A850&gt;U$7)),0,MAX(0,ROUND((INDEX($E850:$G850,U$5)-SUMIFS(TF_Timer,TF_Tekniker,U$4,TF_Dato,$A850))*2,0)/2)))</f>
        <v/>
      </c>
      <c r="V850">
        <f>IF(OR(V$4="",$A850&gt;TODAY()),0,IF(OR(INDEX($B850:$D850,V$5)="F",AND(V$6&gt;0,$A850&lt;V$6),AND(V$7&gt;0,$A850&gt;V$7)),0,MAX(0,ROUND((INDEX($E850:$G850,V$5)-SUMIFS(TF_Timer,TF_Tekniker,V$4,TF_Dato,$A850))*2,0)/2)))</f>
        <v/>
      </c>
      <c r="W850">
        <f>IF(OR(W$4="",$A850&gt;TODAY()),0,IF(OR(INDEX($B850:$D850,W$5)="F",AND(W$6&gt;0,$A850&lt;W$6),AND(W$7&gt;0,$A850&gt;W$7)),0,MAX(0,ROUND((INDEX($E850:$G850,W$5)-SUMIFS(TF_Timer,TF_Tekniker,W$4,TF_Dato,$A850))*2,0)/2)))</f>
        <v/>
      </c>
      <c r="X850">
        <f>IF(OR(X$4="",$A850&gt;TODAY()),0,IF(OR(INDEX($B850:$D850,X$5)="F",AND(X$6&gt;0,$A850&lt;X$6),AND(X$7&gt;0,$A850&gt;X$7)),0,MAX(0,ROUND((INDEX($E850:$G850,X$5)-SUMIFS(TF_Timer,TF_Tekniker,X$4,TF_Dato,$A850))*2,0)/2)))</f>
        <v/>
      </c>
      <c r="Y850">
        <f>IF(OR(Y$4="",$A850&gt;TODAY()),0,IF(OR(INDEX($B850:$D850,Y$5)="F",AND(Y$6&gt;0,$A850&lt;Y$6),AND(Y$7&gt;0,$A850&gt;Y$7)),0,MAX(0,ROUND((INDEX($E850:$G850,Y$5)-SUMIFS(TF_Timer,TF_Tekniker,Y$4,TF_Dato,$A850))*2,0)/2)))</f>
        <v/>
      </c>
      <c r="Z850">
        <f>IF(OR(Z$4="",$A850&gt;TODAY()),0,IF(OR(INDEX($B850:$D850,Z$5)="F",AND(Z$6&gt;0,$A850&lt;Z$6),AND(Z$7&gt;0,$A850&gt;Z$7)),0,MAX(0,ROUND((INDEX($E850:$G850,Z$5)-SUMIFS(TF_Timer,TF_Tekniker,Z$4,TF_Dato,$A850))*2,0)/2)))</f>
        <v/>
      </c>
      <c r="AA850">
        <f>IF(OR(AA$4="",$A850&gt;TODAY()),0,IF(OR(INDEX($B850:$D850,AA$5)="F",AND(AA$6&gt;0,$A850&lt;AA$6),AND(AA$7&gt;0,$A850&gt;AA$7)),0,MAX(0,ROUND((INDEX($E850:$G850,AA$5)-SUMIFS(TF_Timer,TF_Tekniker,AA$4,TF_Dato,$A850))*2,0)/2)))</f>
        <v/>
      </c>
      <c r="AB850">
        <f>IF(OR(AB$4="",$A850&gt;TODAY()),0,IF(OR(INDEX($B850:$D850,AB$5)="F",AND(AB$6&gt;0,$A850&lt;AB$6),AND(AB$7&gt;0,$A850&gt;AB$7)),0,MAX(0,ROUND((INDEX($E850:$G850,AB$5)-SUMIFS(TF_Timer,TF_Tekniker,AB$4,TF_Dato,$A850))*2,0)/2)))</f>
        <v/>
      </c>
      <c r="AC850">
        <f>IF(OR(AC$4="",$A850&gt;TODAY()),0,IF(OR(INDEX($B850:$D850,AC$5)="F",AND(AC$6&gt;0,$A850&lt;AC$6),AND(AC$7&gt;0,$A850&gt;AC$7)),0,MAX(0,ROUND((INDEX($E850:$G850,AC$5)-SUMIFS(TF_Timer,TF_Tekniker,AC$4,TF_Dato,$A850))*2,0)/2)))</f>
        <v/>
      </c>
      <c r="AD850">
        <f>IF(OR(AD$4="",$A850&gt;TODAY()),0,IF(OR(INDEX($B850:$D850,AD$5)="F",AND(AD$6&gt;0,$A850&lt;AD$6),AND(AD$7&gt;0,$A850&gt;AD$7)),0,MAX(0,ROUND((INDEX($E850:$G850,AD$5)-SUMIFS(TF_Timer,TF_Tekniker,AD$4,TF_Dato,$A850))*2,0)/2)))</f>
        <v/>
      </c>
      <c r="AE850">
        <f>IF(OR(AE$4="",$A850&gt;TODAY()),0,IF(OR(INDEX($B850:$D850,AE$5)="F",AND(AE$6&gt;0,$A850&lt;AE$6),AND(AE$7&gt;0,$A850&gt;AE$7)),0,MAX(0,ROUND((INDEX($E850:$G850,AE$5)-SUMIFS(TF_Timer,TF_Tekniker,AE$4,TF_Dato,$A850))*2,0)/2)))</f>
        <v/>
      </c>
      <c r="AF850">
        <f>IF(OR(AF$4="",$A850&gt;TODAY()),0,IF(OR(INDEX($B850:$D850,AF$5)="F",AND(AF$6&gt;0,$A850&lt;AF$6),AND(AF$7&gt;0,$A850&gt;AF$7)),0,MAX(0,ROUND((INDEX($E850:$G850,AF$5)-SUMIFS(TF_Timer,TF_Tekniker,AF$4,TF_Dato,$A850))*2,0)/2)))</f>
        <v/>
      </c>
      <c r="AG850">
        <f>IF(OR(AG$4="",$A850&gt;TODAY()),0,IF(OR(INDEX($B850:$D850,AG$5)="F",AND(AG$6&gt;0,$A850&lt;AG$6),AND(AG$7&gt;0,$A850&gt;AG$7)),0,MAX(0,ROUND((INDEX($E850:$G850,AG$5)-SUMIFS(TF_Timer,TF_Tekniker,AG$4,TF_Dato,$A850))*2,0)/2)))</f>
        <v/>
      </c>
      <c r="AH850">
        <f>IF(OR(AH$4="",$A850&gt;TODAY()),0,IF(OR(INDEX($B850:$D850,AH$5)="F",AND(AH$6&gt;0,$A850&lt;AH$6),AND(AH$7&gt;0,$A850&gt;AH$7)),0,MAX(0,ROUND((INDEX($E850:$G850,AH$5)-SUMIFS(TF_Timer,TF_Tekniker,AH$4,TF_Dato,$A850))*2,0)/2)))</f>
        <v/>
      </c>
      <c r="AI850">
        <f>IF(OR(AI$4="",$A850&gt;TODAY()),0,IF(OR(INDEX($B850:$D850,AI$5)="F",AND(AI$6&gt;0,$A850&lt;AI$6),AND(AI$7&gt;0,$A850&gt;AI$7)),0,MAX(0,ROUND((INDEX($E850:$G850,AI$5)-SUMIFS(TF_Timer,TF_Tekniker,AI$4,TF_Dato,$A850))*2,0)/2)))</f>
        <v/>
      </c>
      <c r="AJ850">
        <f>IF(OR(AJ$4="",$A850&gt;TODAY()),0,IF(OR(INDEX($B850:$D850,AJ$5)="F",AND(AJ$6&gt;0,$A850&lt;AJ$6),AND(AJ$7&gt;0,$A850&gt;AJ$7)),0,MAX(0,ROUND((INDEX($E850:$G850,AJ$5)-SUMIFS(TF_Timer,TF_Tekniker,AJ$4,TF_Dato,$A850))*2,0)/2)))</f>
        <v/>
      </c>
      <c r="AK850">
        <f>IF(OR(AK$4="",$A850&gt;TODAY()),0,IF(OR(INDEX($B850:$D850,AK$5)="F",AND(AK$6&gt;0,$A850&lt;AK$6),AND(AK$7&gt;0,$A850&gt;AK$7)),0,MAX(0,ROUND((INDEX($E850:$G850,AK$5)-SUMIFS(TF_Timer,TF_Tekniker,AK$4,TF_Dato,$A850))*2,0)/2)))</f>
        <v/>
      </c>
      <c r="AL850">
        <f>IF(OR(AL$4="",$A850&gt;TODAY()),0,IF(OR(INDEX($B850:$D850,AL$5)="F",AND(AL$6&gt;0,$A850&lt;AL$6),AND(AL$7&gt;0,$A850&gt;AL$7)),0,MAX(0,ROUND((INDEX($E850:$G850,AL$5)-SUMIFS(TF_Timer,TF_Tekniker,AL$4,TF_Dato,$A850))*2,0)/2)))</f>
        <v/>
      </c>
      <c r="AM850">
        <f>IF(OR(AM$4="",$A850&gt;TODAY()),0,IF(OR(INDEX($B850:$D850,AM$5)="F",AND(AM$6&gt;0,$A850&lt;AM$6),AND(AM$7&gt;0,$A850&gt;AM$7)),0,MAX(0,ROUND((INDEX($E850:$G850,AM$5)-SUMIFS(TF_Timer,TF_Tekniker,AM$4,TF_Dato,$A850))*2,0)/2)))</f>
        <v/>
      </c>
      <c r="AN850">
        <f>IF(OR(AN$4="",$A850&gt;TODAY()),0,IF(OR(INDEX($B850:$D850,AN$5)="F",AND(AN$6&gt;0,$A850&lt;AN$6),AND(AN$7&gt;0,$A850&gt;AN$7)),0,MAX(0,ROUND((INDEX($E850:$G850,AN$5)-SUMIFS(TF_Timer,TF_Tekniker,AN$4,TF_Dato,$A850))*2,0)/2)))</f>
        <v/>
      </c>
      <c r="AO850">
        <f>IF(OR(AO$4="",$A850&gt;TODAY()),0,IF(OR(INDEX($B850:$D850,AO$5)="F",AND(AO$6&gt;0,$A850&lt;AO$6),AND(AO$7&gt;0,$A850&gt;AO$7)),0,MAX(0,ROUND((INDEX($E850:$G850,AO$5)-SUMIFS(TF_Timer,TF_Tekniker,AO$4,TF_Dato,$A850))*2,0)/2)))</f>
        <v/>
      </c>
      <c r="AP850">
        <f>IF(OR(AP$4="",$A850&gt;TODAY()),0,IF(OR(INDEX($B850:$D850,AP$5)="F",AND(AP$6&gt;0,$A850&lt;AP$6),AND(AP$7&gt;0,$A850&gt;AP$7)),0,MAX(0,ROUND((INDEX($E850:$G850,AP$5)-SUMIFS(TF_Timer,TF_Tekniker,AP$4,TF_Dato,$A850))*2,0)/2)))</f>
        <v/>
      </c>
      <c r="AQ850">
        <f>IF(OR(AQ$4="",$A850&gt;TODAY()),0,IF(OR(INDEX($B850:$D850,AQ$5)="F",AND(AQ$6&gt;0,$A850&lt;AQ$6),AND(AQ$7&gt;0,$A850&gt;AQ$7)),0,MAX(0,ROUND((INDEX($E850:$G850,AQ$5)-SUMIFS(TF_Timer,TF_Tekniker,AQ$4,TF_Dato,$A850))*2,0)/2)))</f>
        <v/>
      </c>
      <c r="AR850">
        <f>IF(OR(AR$4="",$A850&gt;TODAY()),0,IF(OR(INDEX($B850:$D850,AR$5)="F",AND(AR$6&gt;0,$A850&lt;AR$6),AND(AR$7&gt;0,$A850&gt;AR$7)),0,MAX(0,ROUND((INDEX($E850:$G850,AR$5)-SUMIFS(TF_Timer,TF_Tekniker,AR$4,TF_Dato,$A850))*2,0)/2)))</f>
        <v/>
      </c>
      <c r="AS850">
        <f>IF(OR(AS$4="",$A850&gt;TODAY()),0,IF(OR(INDEX($B850:$D850,AS$5)="F",AND(AS$6&gt;0,$A850&lt;AS$6),AND(AS$7&gt;0,$A850&gt;AS$7)),0,MAX(0,ROUND((INDEX($E850:$G850,AS$5)-SUMIFS(TF_Timer,TF_Tekniker,AS$4,TF_Dato,$A850))*2,0)/2)))</f>
        <v/>
      </c>
      <c r="AT850">
        <f>IF(OR(AT$4="",$A850&gt;TODAY()),0,IF(OR(INDEX($B850:$D850,AT$5)="F",AND(AT$6&gt;0,$A850&lt;AT$6),AND(AT$7&gt;0,$A850&gt;AT$7)),0,MAX(0,ROUND((INDEX($E850:$G850,AT$5)-SUMIFS(TF_Timer,TF_Tekniker,AT$4,TF_Dato,$A850))*2,0)/2)))</f>
        <v/>
      </c>
      <c r="AU850">
        <f>IF(OR(AU$4="",$A850&gt;TODAY()),0,IF(OR(INDEX($B850:$D850,AU$5)="F",AND(AU$6&gt;0,$A850&lt;AU$6),AND(AU$7&gt;0,$A850&gt;AU$7)),0,MAX(0,ROUND((INDEX($E850:$G850,AU$5)-SUMIFS(TF_Timer,TF_Tekniker,AU$4,TF_Dato,$A850))*2,0)/2)))</f>
        <v/>
      </c>
      <c r="AV850">
        <f>IF(OR(AV$4="",$A850&gt;TODAY()),0,IF(OR(INDEX($B850:$D850,AV$5)="F",AND(AV$6&gt;0,$A850&lt;AV$6),AND(AV$7&gt;0,$A850&gt;AV$7)),0,MAX(0,ROUND((INDEX($E850:$G850,AV$5)-SUMIFS(TF_Timer,TF_Tekniker,AV$4,TF_Dato,$A850))*2,0)/2)))</f>
        <v/>
      </c>
      <c r="AW850">
        <f>IF(OR(AW$4="",$A850&gt;TODAY()),0,IF(OR(INDEX($B850:$D850,AW$5)="F",AND(AW$6&gt;0,$A850&lt;AW$6),AND(AW$7&gt;0,$A850&gt;AW$7)),0,MAX(0,ROUND((INDEX($E850:$G850,AW$5)-SUMIFS(TF_Timer,TF_Tekniker,AW$4,TF_Dato,$A850))*2,0)/2)))</f>
        <v/>
      </c>
      <c r="AX850">
        <f>IF(OR(AX$4="",$A850&gt;TODAY()),0,IF(OR(INDEX($B850:$D850,AX$5)="F",AND(AX$6&gt;0,$A850&lt;AX$6),AND(AX$7&gt;0,$A850&gt;AX$7)),0,MAX(0,ROUND((INDEX($E850:$G850,AX$5)-SUMIFS(TF_Timer,TF_Tekniker,AX$4,TF_Dato,$A850))*2,0)/2)))</f>
        <v/>
      </c>
      <c r="AY850">
        <f>IF(OR(AY$4="",$A850&gt;TODAY()),0,IF(OR(INDEX($B850:$D850,AY$5)="F",AND(AY$6&gt;0,$A850&lt;AY$6),AND(AY$7&gt;0,$A850&gt;AY$7)),0,MAX(0,ROUND((INDEX($E850:$G850,AY$5)-SUMIFS(TF_Timer,TF_Tekniker,AY$4,TF_Dato,$A850))*2,0)/2)))</f>
        <v/>
      </c>
      <c r="AZ850">
        <f>IF(OR(AZ$4="",$A850&gt;TODAY()),0,IF(OR(INDEX($B850:$D850,AZ$5)="F",AND(AZ$6&gt;0,$A850&lt;AZ$6),AND(AZ$7&gt;0,$A850&gt;AZ$7)),0,MAX(0,ROUND((INDEX($E850:$G850,AZ$5)-SUMIFS(TF_Timer,TF_Tekniker,AZ$4,TF_Dato,$A850))*2,0)/2)))</f>
        <v/>
      </c>
      <c r="BA850">
        <f>IF(OR(BA$4="",$A850&gt;TODAY()),0,IF(OR(INDEX($B850:$D850,BA$5)="F",AND(BA$6&gt;0,$A850&lt;BA$6),AND(BA$7&gt;0,$A850&gt;BA$7)),0,MAX(0,ROUND((INDEX($E850:$G850,BA$5)-SUMIFS(TF_Timer,TF_Tekniker,BA$4,TF_Dato,$A850))*2,0)/2)))</f>
        <v/>
      </c>
      <c r="BB850">
        <f>IF(OR(BB$4="",$A850&gt;TODAY()),0,IF(OR(INDEX($B850:$D850,BB$5)="F",AND(BB$6&gt;0,$A850&lt;BB$6),AND(BB$7&gt;0,$A850&gt;BB$7)),0,MAX(0,ROUND((INDEX($E850:$G850,BB$5)-SUMIFS(TF_Timer,TF_Tekniker,BB$4,TF_Dato,$A850))*2,0)/2)))</f>
        <v/>
      </c>
      <c r="BC850">
        <f>IF(OR(BC$4="",$A850&gt;TODAY()),0,IF(OR(INDEX($B850:$D850,BC$5)="F",AND(BC$6&gt;0,$A850&lt;BC$6),AND(BC$7&gt;0,$A850&gt;BC$7)),0,MAX(0,ROUND((INDEX($E850:$G850,BC$5)-SUMIFS(TF_Timer,TF_Tekniker,BC$4,TF_Dato,$A850))*2,0)/2)))</f>
        <v/>
      </c>
      <c r="BD850">
        <f>IF(OR(BD$4="",$A850&gt;TODAY()),0,IF(OR(INDEX($B850:$D850,BD$5)="F",AND(BD$6&gt;0,$A850&lt;BD$6),AND(BD$7&gt;0,$A850&gt;BD$7)),0,MAX(0,ROUND((INDEX($E850:$G850,BD$5)-SUMIFS(TF_Timer,TF_Tekniker,BD$4,TF_Dato,$A850))*2,0)/2)))</f>
        <v/>
      </c>
      <c r="BE850">
        <f>IF(OR(BE$4="",$A850&gt;TODAY()),0,IF(OR(INDEX($B850:$D850,BE$5)="F",AND(BE$6&gt;0,$A850&lt;BE$6),AND(BE$7&gt;0,$A850&gt;BE$7)),0,MAX(0,ROUND((INDEX($E850:$G850,BE$5)-SUMIFS(TF_Timer,TF_Tekniker,BE$4,TF_Dato,$A850))*2,0)/2)))</f>
        <v/>
      </c>
      <c r="BF850">
        <f>IF(OR(BF$4="",$A850&gt;TODAY()),0,IF(OR(INDEX($B850:$D850,BF$5)="F",AND(BF$6&gt;0,$A850&lt;BF$6),AND(BF$7&gt;0,$A850&gt;BF$7)),0,MAX(0,ROUND((INDEX($E850:$G850,BF$5)-SUMIFS(TF_Timer,TF_Tekniker,BF$4,TF_Dato,$A850))*2,0)/2)))</f>
        <v/>
      </c>
      <c r="BG850">
        <f>IF(OR(BG$4="",$A850&gt;TODAY()),0,IF(OR(INDEX($B850:$D850,BG$5)="F",AND(BG$6&gt;0,$A850&lt;BG$6),AND(BG$7&gt;0,$A850&gt;BG$7)),0,MAX(0,ROUND((INDEX($E850:$G850,BG$5)-SUMIFS(TF_Timer,TF_Tekniker,BG$4,TF_Dato,$A850))*2,0)/2)))</f>
        <v/>
      </c>
      <c r="BH850">
        <f>IF(OR(BH$4="",$A850&gt;TODAY()),0,IF(OR(INDEX($B850:$D850,BH$5)="F",AND(BH$6&gt;0,$A850&lt;BH$6),AND(BH$7&gt;0,$A850&gt;BH$7)),0,MAX(0,ROUND((INDEX($E850:$G850,BH$5)-SUMIFS(TF_Timer,TF_Tekniker,BH$4,TF_Dato,$A850))*2,0)/2)))</f>
        <v/>
      </c>
      <c r="BI850">
        <f>IF(OR(BI$4="",$A850&gt;TODAY()),0,IF(OR(INDEX($B850:$D850,BI$5)="F",AND(BI$6&gt;0,$A850&lt;BI$6),AND(BI$7&gt;0,$A850&gt;BI$7)),0,MAX(0,ROUND((INDEX($E850:$G850,BI$5)-SUMIFS(TF_Timer,TF_Tekniker,BI$4,TF_Dato,$A850))*2,0)/2)))</f>
        <v/>
      </c>
    </row>
    <row r="851">
      <c r="A851" s="64">
        <f>A850+1</f>
        <v/>
      </c>
      <c r="B851">
        <f>IF(MOD($A851-INDEX(SkiftStart,1),Syklus)&lt;DagK,"K",IF(MOD($A851-INDEX(SkiftStart,1),Syklus)&lt;DagK+DagH,"H",IF(MOD($A851-INDEX(SkiftStart,1),Syklus)&lt;DagK+DagH+DagD,"D","F")))</f>
        <v/>
      </c>
      <c r="C851">
        <f>IF(MOD($A851-INDEX(SkiftStart,2),Syklus)&lt;DagK,"K",IF(MOD($A851-INDEX(SkiftStart,2),Syklus)&lt;DagK+DagH,"H",IF(MOD($A851-INDEX(SkiftStart,2),Syklus)&lt;DagK+DagH+DagD,"D","F")))</f>
        <v/>
      </c>
      <c r="D851">
        <f>IF(MOD($A851-INDEX(SkiftStart,3),Syklus)&lt;DagK,"K",IF(MOD($A851-INDEX(SkiftStart,3),Syklus)&lt;DagK+DagH,"H",IF(MOD($A851-INDEX(SkiftStart,3),Syklus)&lt;DagK+DagH+DagD,"D","F")))</f>
        <v/>
      </c>
      <c r="E851">
        <f>IF(B851="F",0,IF(WEEKDAY($A851,2)=5,INDEX(TimerFr,MATCH(B851,FaseKode,0)),INDEX(TimerMT,MATCH(B851,FaseKode,0))))</f>
        <v/>
      </c>
      <c r="F851">
        <f>IF(C851="F",0,IF(WEEKDAY($A851,2)=5,INDEX(TimerFr,MATCH(C851,FaseKode,0)),INDEX(TimerMT,MATCH(C851,FaseKode,0))))</f>
        <v/>
      </c>
      <c r="G851">
        <f>IF(D851="F",0,IF(WEEKDAY($A851,2)=5,INDEX(TimerFr,MATCH(D851,FaseKode,0)),INDEX(TimerMT,MATCH(D851,FaseKode,0))))</f>
        <v/>
      </c>
      <c r="H851">
        <f>IF(OR(H$4="",$A851&gt;TODAY()),0,IF(OR(INDEX($B851:$D851,H$5)="F",AND(H$6&gt;0,$A851&lt;H$6),AND(H$7&gt;0,$A851&gt;H$7)),0,MAX(0,ROUND((INDEX($E851:$G851,H$5)-SUMIFS(TF_Timer,TF_Tekniker,H$4,TF_Dato,$A851))*2,0)/2)))</f>
        <v/>
      </c>
      <c r="I851">
        <f>IF(OR(I$4="",$A851&gt;TODAY()),0,IF(OR(INDEX($B851:$D851,I$5)="F",AND(I$6&gt;0,$A851&lt;I$6),AND(I$7&gt;0,$A851&gt;I$7)),0,MAX(0,ROUND((INDEX($E851:$G851,I$5)-SUMIFS(TF_Timer,TF_Tekniker,I$4,TF_Dato,$A851))*2,0)/2)))</f>
        <v/>
      </c>
      <c r="J851">
        <f>IF(OR(J$4="",$A851&gt;TODAY()),0,IF(OR(INDEX($B851:$D851,J$5)="F",AND(J$6&gt;0,$A851&lt;J$6),AND(J$7&gt;0,$A851&gt;J$7)),0,MAX(0,ROUND((INDEX($E851:$G851,J$5)-SUMIFS(TF_Timer,TF_Tekniker,J$4,TF_Dato,$A851))*2,0)/2)))</f>
        <v/>
      </c>
      <c r="K851">
        <f>IF(OR(K$4="",$A851&gt;TODAY()),0,IF(OR(INDEX($B851:$D851,K$5)="F",AND(K$6&gt;0,$A851&lt;K$6),AND(K$7&gt;0,$A851&gt;K$7)),0,MAX(0,ROUND((INDEX($E851:$G851,K$5)-SUMIFS(TF_Timer,TF_Tekniker,K$4,TF_Dato,$A851))*2,0)/2)))</f>
        <v/>
      </c>
      <c r="L851">
        <f>IF(OR(L$4="",$A851&gt;TODAY()),0,IF(OR(INDEX($B851:$D851,L$5)="F",AND(L$6&gt;0,$A851&lt;L$6),AND(L$7&gt;0,$A851&gt;L$7)),0,MAX(0,ROUND((INDEX($E851:$G851,L$5)-SUMIFS(TF_Timer,TF_Tekniker,L$4,TF_Dato,$A851))*2,0)/2)))</f>
        <v/>
      </c>
      <c r="M851">
        <f>IF(OR(M$4="",$A851&gt;TODAY()),0,IF(OR(INDEX($B851:$D851,M$5)="F",AND(M$6&gt;0,$A851&lt;M$6),AND(M$7&gt;0,$A851&gt;M$7)),0,MAX(0,ROUND((INDEX($E851:$G851,M$5)-SUMIFS(TF_Timer,TF_Tekniker,M$4,TF_Dato,$A851))*2,0)/2)))</f>
        <v/>
      </c>
      <c r="N851">
        <f>IF(OR(N$4="",$A851&gt;TODAY()),0,IF(OR(INDEX($B851:$D851,N$5)="F",AND(N$6&gt;0,$A851&lt;N$6),AND(N$7&gt;0,$A851&gt;N$7)),0,MAX(0,ROUND((INDEX($E851:$G851,N$5)-SUMIFS(TF_Timer,TF_Tekniker,N$4,TF_Dato,$A851))*2,0)/2)))</f>
        <v/>
      </c>
      <c r="O851">
        <f>IF(OR(O$4="",$A851&gt;TODAY()),0,IF(OR(INDEX($B851:$D851,O$5)="F",AND(O$6&gt;0,$A851&lt;O$6),AND(O$7&gt;0,$A851&gt;O$7)),0,MAX(0,ROUND((INDEX($E851:$G851,O$5)-SUMIFS(TF_Timer,TF_Tekniker,O$4,TF_Dato,$A851))*2,0)/2)))</f>
        <v/>
      </c>
      <c r="P851">
        <f>IF(OR(P$4="",$A851&gt;TODAY()),0,IF(OR(INDEX($B851:$D851,P$5)="F",AND(P$6&gt;0,$A851&lt;P$6),AND(P$7&gt;0,$A851&gt;P$7)),0,MAX(0,ROUND((INDEX($E851:$G851,P$5)-SUMIFS(TF_Timer,TF_Tekniker,P$4,TF_Dato,$A851))*2,0)/2)))</f>
        <v/>
      </c>
      <c r="Q851">
        <f>IF(OR(Q$4="",$A851&gt;TODAY()),0,IF(OR(INDEX($B851:$D851,Q$5)="F",AND(Q$6&gt;0,$A851&lt;Q$6),AND(Q$7&gt;0,$A851&gt;Q$7)),0,MAX(0,ROUND((INDEX($E851:$G851,Q$5)-SUMIFS(TF_Timer,TF_Tekniker,Q$4,TF_Dato,$A851))*2,0)/2)))</f>
        <v/>
      </c>
      <c r="R851">
        <f>IF(OR(R$4="",$A851&gt;TODAY()),0,IF(OR(INDEX($B851:$D851,R$5)="F",AND(R$6&gt;0,$A851&lt;R$6),AND(R$7&gt;0,$A851&gt;R$7)),0,MAX(0,ROUND((INDEX($E851:$G851,R$5)-SUMIFS(TF_Timer,TF_Tekniker,R$4,TF_Dato,$A851))*2,0)/2)))</f>
        <v/>
      </c>
      <c r="S851">
        <f>IF(OR(S$4="",$A851&gt;TODAY()),0,IF(OR(INDEX($B851:$D851,S$5)="F",AND(S$6&gt;0,$A851&lt;S$6),AND(S$7&gt;0,$A851&gt;S$7)),0,MAX(0,ROUND((INDEX($E851:$G851,S$5)-SUMIFS(TF_Timer,TF_Tekniker,S$4,TF_Dato,$A851))*2,0)/2)))</f>
        <v/>
      </c>
      <c r="T851">
        <f>IF(OR(T$4="",$A851&gt;TODAY()),0,IF(OR(INDEX($B851:$D851,T$5)="F",AND(T$6&gt;0,$A851&lt;T$6),AND(T$7&gt;0,$A851&gt;T$7)),0,MAX(0,ROUND((INDEX($E851:$G851,T$5)-SUMIFS(TF_Timer,TF_Tekniker,T$4,TF_Dato,$A851))*2,0)/2)))</f>
        <v/>
      </c>
      <c r="U851">
        <f>IF(OR(U$4="",$A851&gt;TODAY()),0,IF(OR(INDEX($B851:$D851,U$5)="F",AND(U$6&gt;0,$A851&lt;U$6),AND(U$7&gt;0,$A851&gt;U$7)),0,MAX(0,ROUND((INDEX($E851:$G851,U$5)-SUMIFS(TF_Timer,TF_Tekniker,U$4,TF_Dato,$A851))*2,0)/2)))</f>
        <v/>
      </c>
      <c r="V851">
        <f>IF(OR(V$4="",$A851&gt;TODAY()),0,IF(OR(INDEX($B851:$D851,V$5)="F",AND(V$6&gt;0,$A851&lt;V$6),AND(V$7&gt;0,$A851&gt;V$7)),0,MAX(0,ROUND((INDEX($E851:$G851,V$5)-SUMIFS(TF_Timer,TF_Tekniker,V$4,TF_Dato,$A851))*2,0)/2)))</f>
        <v/>
      </c>
      <c r="W851">
        <f>IF(OR(W$4="",$A851&gt;TODAY()),0,IF(OR(INDEX($B851:$D851,W$5)="F",AND(W$6&gt;0,$A851&lt;W$6),AND(W$7&gt;0,$A851&gt;W$7)),0,MAX(0,ROUND((INDEX($E851:$G851,W$5)-SUMIFS(TF_Timer,TF_Tekniker,W$4,TF_Dato,$A851))*2,0)/2)))</f>
        <v/>
      </c>
      <c r="X851">
        <f>IF(OR(X$4="",$A851&gt;TODAY()),0,IF(OR(INDEX($B851:$D851,X$5)="F",AND(X$6&gt;0,$A851&lt;X$6),AND(X$7&gt;0,$A851&gt;X$7)),0,MAX(0,ROUND((INDEX($E851:$G851,X$5)-SUMIFS(TF_Timer,TF_Tekniker,X$4,TF_Dato,$A851))*2,0)/2)))</f>
        <v/>
      </c>
      <c r="Y851">
        <f>IF(OR(Y$4="",$A851&gt;TODAY()),0,IF(OR(INDEX($B851:$D851,Y$5)="F",AND(Y$6&gt;0,$A851&lt;Y$6),AND(Y$7&gt;0,$A851&gt;Y$7)),0,MAX(0,ROUND((INDEX($E851:$G851,Y$5)-SUMIFS(TF_Timer,TF_Tekniker,Y$4,TF_Dato,$A851))*2,0)/2)))</f>
        <v/>
      </c>
      <c r="Z851">
        <f>IF(OR(Z$4="",$A851&gt;TODAY()),0,IF(OR(INDEX($B851:$D851,Z$5)="F",AND(Z$6&gt;0,$A851&lt;Z$6),AND(Z$7&gt;0,$A851&gt;Z$7)),0,MAX(0,ROUND((INDEX($E851:$G851,Z$5)-SUMIFS(TF_Timer,TF_Tekniker,Z$4,TF_Dato,$A851))*2,0)/2)))</f>
        <v/>
      </c>
      <c r="AA851">
        <f>IF(OR(AA$4="",$A851&gt;TODAY()),0,IF(OR(INDEX($B851:$D851,AA$5)="F",AND(AA$6&gt;0,$A851&lt;AA$6),AND(AA$7&gt;0,$A851&gt;AA$7)),0,MAX(0,ROUND((INDEX($E851:$G851,AA$5)-SUMIFS(TF_Timer,TF_Tekniker,AA$4,TF_Dato,$A851))*2,0)/2)))</f>
        <v/>
      </c>
      <c r="AB851">
        <f>IF(OR(AB$4="",$A851&gt;TODAY()),0,IF(OR(INDEX($B851:$D851,AB$5)="F",AND(AB$6&gt;0,$A851&lt;AB$6),AND(AB$7&gt;0,$A851&gt;AB$7)),0,MAX(0,ROUND((INDEX($E851:$G851,AB$5)-SUMIFS(TF_Timer,TF_Tekniker,AB$4,TF_Dato,$A851))*2,0)/2)))</f>
        <v/>
      </c>
      <c r="AC851">
        <f>IF(OR(AC$4="",$A851&gt;TODAY()),0,IF(OR(INDEX($B851:$D851,AC$5)="F",AND(AC$6&gt;0,$A851&lt;AC$6),AND(AC$7&gt;0,$A851&gt;AC$7)),0,MAX(0,ROUND((INDEX($E851:$G851,AC$5)-SUMIFS(TF_Timer,TF_Tekniker,AC$4,TF_Dato,$A851))*2,0)/2)))</f>
        <v/>
      </c>
      <c r="AD851">
        <f>IF(OR(AD$4="",$A851&gt;TODAY()),0,IF(OR(INDEX($B851:$D851,AD$5)="F",AND(AD$6&gt;0,$A851&lt;AD$6),AND(AD$7&gt;0,$A851&gt;AD$7)),0,MAX(0,ROUND((INDEX($E851:$G851,AD$5)-SUMIFS(TF_Timer,TF_Tekniker,AD$4,TF_Dato,$A851))*2,0)/2)))</f>
        <v/>
      </c>
      <c r="AE851">
        <f>IF(OR(AE$4="",$A851&gt;TODAY()),0,IF(OR(INDEX($B851:$D851,AE$5)="F",AND(AE$6&gt;0,$A851&lt;AE$6),AND(AE$7&gt;0,$A851&gt;AE$7)),0,MAX(0,ROUND((INDEX($E851:$G851,AE$5)-SUMIFS(TF_Timer,TF_Tekniker,AE$4,TF_Dato,$A851))*2,0)/2)))</f>
        <v/>
      </c>
      <c r="AF851">
        <f>IF(OR(AF$4="",$A851&gt;TODAY()),0,IF(OR(INDEX($B851:$D851,AF$5)="F",AND(AF$6&gt;0,$A851&lt;AF$6),AND(AF$7&gt;0,$A851&gt;AF$7)),0,MAX(0,ROUND((INDEX($E851:$G851,AF$5)-SUMIFS(TF_Timer,TF_Tekniker,AF$4,TF_Dato,$A851))*2,0)/2)))</f>
        <v/>
      </c>
      <c r="AG851">
        <f>IF(OR(AG$4="",$A851&gt;TODAY()),0,IF(OR(INDEX($B851:$D851,AG$5)="F",AND(AG$6&gt;0,$A851&lt;AG$6),AND(AG$7&gt;0,$A851&gt;AG$7)),0,MAX(0,ROUND((INDEX($E851:$G851,AG$5)-SUMIFS(TF_Timer,TF_Tekniker,AG$4,TF_Dato,$A851))*2,0)/2)))</f>
        <v/>
      </c>
      <c r="AH851">
        <f>IF(OR(AH$4="",$A851&gt;TODAY()),0,IF(OR(INDEX($B851:$D851,AH$5)="F",AND(AH$6&gt;0,$A851&lt;AH$6),AND(AH$7&gt;0,$A851&gt;AH$7)),0,MAX(0,ROUND((INDEX($E851:$G851,AH$5)-SUMIFS(TF_Timer,TF_Tekniker,AH$4,TF_Dato,$A851))*2,0)/2)))</f>
        <v/>
      </c>
      <c r="AI851">
        <f>IF(OR(AI$4="",$A851&gt;TODAY()),0,IF(OR(INDEX($B851:$D851,AI$5)="F",AND(AI$6&gt;0,$A851&lt;AI$6),AND(AI$7&gt;0,$A851&gt;AI$7)),0,MAX(0,ROUND((INDEX($E851:$G851,AI$5)-SUMIFS(TF_Timer,TF_Tekniker,AI$4,TF_Dato,$A851))*2,0)/2)))</f>
        <v/>
      </c>
      <c r="AJ851">
        <f>IF(OR(AJ$4="",$A851&gt;TODAY()),0,IF(OR(INDEX($B851:$D851,AJ$5)="F",AND(AJ$6&gt;0,$A851&lt;AJ$6),AND(AJ$7&gt;0,$A851&gt;AJ$7)),0,MAX(0,ROUND((INDEX($E851:$G851,AJ$5)-SUMIFS(TF_Timer,TF_Tekniker,AJ$4,TF_Dato,$A851))*2,0)/2)))</f>
        <v/>
      </c>
      <c r="AK851">
        <f>IF(OR(AK$4="",$A851&gt;TODAY()),0,IF(OR(INDEX($B851:$D851,AK$5)="F",AND(AK$6&gt;0,$A851&lt;AK$6),AND(AK$7&gt;0,$A851&gt;AK$7)),0,MAX(0,ROUND((INDEX($E851:$G851,AK$5)-SUMIFS(TF_Timer,TF_Tekniker,AK$4,TF_Dato,$A851))*2,0)/2)))</f>
        <v/>
      </c>
      <c r="AL851">
        <f>IF(OR(AL$4="",$A851&gt;TODAY()),0,IF(OR(INDEX($B851:$D851,AL$5)="F",AND(AL$6&gt;0,$A851&lt;AL$6),AND(AL$7&gt;0,$A851&gt;AL$7)),0,MAX(0,ROUND((INDEX($E851:$G851,AL$5)-SUMIFS(TF_Timer,TF_Tekniker,AL$4,TF_Dato,$A851))*2,0)/2)))</f>
        <v/>
      </c>
      <c r="AM851">
        <f>IF(OR(AM$4="",$A851&gt;TODAY()),0,IF(OR(INDEX($B851:$D851,AM$5)="F",AND(AM$6&gt;0,$A851&lt;AM$6),AND(AM$7&gt;0,$A851&gt;AM$7)),0,MAX(0,ROUND((INDEX($E851:$G851,AM$5)-SUMIFS(TF_Timer,TF_Tekniker,AM$4,TF_Dato,$A851))*2,0)/2)))</f>
        <v/>
      </c>
      <c r="AN851">
        <f>IF(OR(AN$4="",$A851&gt;TODAY()),0,IF(OR(INDEX($B851:$D851,AN$5)="F",AND(AN$6&gt;0,$A851&lt;AN$6),AND(AN$7&gt;0,$A851&gt;AN$7)),0,MAX(0,ROUND((INDEX($E851:$G851,AN$5)-SUMIFS(TF_Timer,TF_Tekniker,AN$4,TF_Dato,$A851))*2,0)/2)))</f>
        <v/>
      </c>
      <c r="AO851">
        <f>IF(OR(AO$4="",$A851&gt;TODAY()),0,IF(OR(INDEX($B851:$D851,AO$5)="F",AND(AO$6&gt;0,$A851&lt;AO$6),AND(AO$7&gt;0,$A851&gt;AO$7)),0,MAX(0,ROUND((INDEX($E851:$G851,AO$5)-SUMIFS(TF_Timer,TF_Tekniker,AO$4,TF_Dato,$A851))*2,0)/2)))</f>
        <v/>
      </c>
      <c r="AP851">
        <f>IF(OR(AP$4="",$A851&gt;TODAY()),0,IF(OR(INDEX($B851:$D851,AP$5)="F",AND(AP$6&gt;0,$A851&lt;AP$6),AND(AP$7&gt;0,$A851&gt;AP$7)),0,MAX(0,ROUND((INDEX($E851:$G851,AP$5)-SUMIFS(TF_Timer,TF_Tekniker,AP$4,TF_Dato,$A851))*2,0)/2)))</f>
        <v/>
      </c>
      <c r="AQ851">
        <f>IF(OR(AQ$4="",$A851&gt;TODAY()),0,IF(OR(INDEX($B851:$D851,AQ$5)="F",AND(AQ$6&gt;0,$A851&lt;AQ$6),AND(AQ$7&gt;0,$A851&gt;AQ$7)),0,MAX(0,ROUND((INDEX($E851:$G851,AQ$5)-SUMIFS(TF_Timer,TF_Tekniker,AQ$4,TF_Dato,$A851))*2,0)/2)))</f>
        <v/>
      </c>
      <c r="AR851">
        <f>IF(OR(AR$4="",$A851&gt;TODAY()),0,IF(OR(INDEX($B851:$D851,AR$5)="F",AND(AR$6&gt;0,$A851&lt;AR$6),AND(AR$7&gt;0,$A851&gt;AR$7)),0,MAX(0,ROUND((INDEX($E851:$G851,AR$5)-SUMIFS(TF_Timer,TF_Tekniker,AR$4,TF_Dato,$A851))*2,0)/2)))</f>
        <v/>
      </c>
      <c r="AS851">
        <f>IF(OR(AS$4="",$A851&gt;TODAY()),0,IF(OR(INDEX($B851:$D851,AS$5)="F",AND(AS$6&gt;0,$A851&lt;AS$6),AND(AS$7&gt;0,$A851&gt;AS$7)),0,MAX(0,ROUND((INDEX($E851:$G851,AS$5)-SUMIFS(TF_Timer,TF_Tekniker,AS$4,TF_Dato,$A851))*2,0)/2)))</f>
        <v/>
      </c>
      <c r="AT851">
        <f>IF(OR(AT$4="",$A851&gt;TODAY()),0,IF(OR(INDEX($B851:$D851,AT$5)="F",AND(AT$6&gt;0,$A851&lt;AT$6),AND(AT$7&gt;0,$A851&gt;AT$7)),0,MAX(0,ROUND((INDEX($E851:$G851,AT$5)-SUMIFS(TF_Timer,TF_Tekniker,AT$4,TF_Dato,$A851))*2,0)/2)))</f>
        <v/>
      </c>
      <c r="AU851">
        <f>IF(OR(AU$4="",$A851&gt;TODAY()),0,IF(OR(INDEX($B851:$D851,AU$5)="F",AND(AU$6&gt;0,$A851&lt;AU$6),AND(AU$7&gt;0,$A851&gt;AU$7)),0,MAX(0,ROUND((INDEX($E851:$G851,AU$5)-SUMIFS(TF_Timer,TF_Tekniker,AU$4,TF_Dato,$A851))*2,0)/2)))</f>
        <v/>
      </c>
      <c r="AV851">
        <f>IF(OR(AV$4="",$A851&gt;TODAY()),0,IF(OR(INDEX($B851:$D851,AV$5)="F",AND(AV$6&gt;0,$A851&lt;AV$6),AND(AV$7&gt;0,$A851&gt;AV$7)),0,MAX(0,ROUND((INDEX($E851:$G851,AV$5)-SUMIFS(TF_Timer,TF_Tekniker,AV$4,TF_Dato,$A851))*2,0)/2)))</f>
        <v/>
      </c>
      <c r="AW851">
        <f>IF(OR(AW$4="",$A851&gt;TODAY()),0,IF(OR(INDEX($B851:$D851,AW$5)="F",AND(AW$6&gt;0,$A851&lt;AW$6),AND(AW$7&gt;0,$A851&gt;AW$7)),0,MAX(0,ROUND((INDEX($E851:$G851,AW$5)-SUMIFS(TF_Timer,TF_Tekniker,AW$4,TF_Dato,$A851))*2,0)/2)))</f>
        <v/>
      </c>
      <c r="AX851">
        <f>IF(OR(AX$4="",$A851&gt;TODAY()),0,IF(OR(INDEX($B851:$D851,AX$5)="F",AND(AX$6&gt;0,$A851&lt;AX$6),AND(AX$7&gt;0,$A851&gt;AX$7)),0,MAX(0,ROUND((INDEX($E851:$G851,AX$5)-SUMIFS(TF_Timer,TF_Tekniker,AX$4,TF_Dato,$A851))*2,0)/2)))</f>
        <v/>
      </c>
      <c r="AY851">
        <f>IF(OR(AY$4="",$A851&gt;TODAY()),0,IF(OR(INDEX($B851:$D851,AY$5)="F",AND(AY$6&gt;0,$A851&lt;AY$6),AND(AY$7&gt;0,$A851&gt;AY$7)),0,MAX(0,ROUND((INDEX($E851:$G851,AY$5)-SUMIFS(TF_Timer,TF_Tekniker,AY$4,TF_Dato,$A851))*2,0)/2)))</f>
        <v/>
      </c>
      <c r="AZ851">
        <f>IF(OR(AZ$4="",$A851&gt;TODAY()),0,IF(OR(INDEX($B851:$D851,AZ$5)="F",AND(AZ$6&gt;0,$A851&lt;AZ$6),AND(AZ$7&gt;0,$A851&gt;AZ$7)),0,MAX(0,ROUND((INDEX($E851:$G851,AZ$5)-SUMIFS(TF_Timer,TF_Tekniker,AZ$4,TF_Dato,$A851))*2,0)/2)))</f>
        <v/>
      </c>
      <c r="BA851">
        <f>IF(OR(BA$4="",$A851&gt;TODAY()),0,IF(OR(INDEX($B851:$D851,BA$5)="F",AND(BA$6&gt;0,$A851&lt;BA$6),AND(BA$7&gt;0,$A851&gt;BA$7)),0,MAX(0,ROUND((INDEX($E851:$G851,BA$5)-SUMIFS(TF_Timer,TF_Tekniker,BA$4,TF_Dato,$A851))*2,0)/2)))</f>
        <v/>
      </c>
      <c r="BB851">
        <f>IF(OR(BB$4="",$A851&gt;TODAY()),0,IF(OR(INDEX($B851:$D851,BB$5)="F",AND(BB$6&gt;0,$A851&lt;BB$6),AND(BB$7&gt;0,$A851&gt;BB$7)),0,MAX(0,ROUND((INDEX($E851:$G851,BB$5)-SUMIFS(TF_Timer,TF_Tekniker,BB$4,TF_Dato,$A851))*2,0)/2)))</f>
        <v/>
      </c>
      <c r="BC851">
        <f>IF(OR(BC$4="",$A851&gt;TODAY()),0,IF(OR(INDEX($B851:$D851,BC$5)="F",AND(BC$6&gt;0,$A851&lt;BC$6),AND(BC$7&gt;0,$A851&gt;BC$7)),0,MAX(0,ROUND((INDEX($E851:$G851,BC$5)-SUMIFS(TF_Timer,TF_Tekniker,BC$4,TF_Dato,$A851))*2,0)/2)))</f>
        <v/>
      </c>
      <c r="BD851">
        <f>IF(OR(BD$4="",$A851&gt;TODAY()),0,IF(OR(INDEX($B851:$D851,BD$5)="F",AND(BD$6&gt;0,$A851&lt;BD$6),AND(BD$7&gt;0,$A851&gt;BD$7)),0,MAX(0,ROUND((INDEX($E851:$G851,BD$5)-SUMIFS(TF_Timer,TF_Tekniker,BD$4,TF_Dato,$A851))*2,0)/2)))</f>
        <v/>
      </c>
      <c r="BE851">
        <f>IF(OR(BE$4="",$A851&gt;TODAY()),0,IF(OR(INDEX($B851:$D851,BE$5)="F",AND(BE$6&gt;0,$A851&lt;BE$6),AND(BE$7&gt;0,$A851&gt;BE$7)),0,MAX(0,ROUND((INDEX($E851:$G851,BE$5)-SUMIFS(TF_Timer,TF_Tekniker,BE$4,TF_Dato,$A851))*2,0)/2)))</f>
        <v/>
      </c>
      <c r="BF851">
        <f>IF(OR(BF$4="",$A851&gt;TODAY()),0,IF(OR(INDEX($B851:$D851,BF$5)="F",AND(BF$6&gt;0,$A851&lt;BF$6),AND(BF$7&gt;0,$A851&gt;BF$7)),0,MAX(0,ROUND((INDEX($E851:$G851,BF$5)-SUMIFS(TF_Timer,TF_Tekniker,BF$4,TF_Dato,$A851))*2,0)/2)))</f>
        <v/>
      </c>
      <c r="BG851">
        <f>IF(OR(BG$4="",$A851&gt;TODAY()),0,IF(OR(INDEX($B851:$D851,BG$5)="F",AND(BG$6&gt;0,$A851&lt;BG$6),AND(BG$7&gt;0,$A851&gt;BG$7)),0,MAX(0,ROUND((INDEX($E851:$G851,BG$5)-SUMIFS(TF_Timer,TF_Tekniker,BG$4,TF_Dato,$A851))*2,0)/2)))</f>
        <v/>
      </c>
      <c r="BH851">
        <f>IF(OR(BH$4="",$A851&gt;TODAY()),0,IF(OR(INDEX($B851:$D851,BH$5)="F",AND(BH$6&gt;0,$A851&lt;BH$6),AND(BH$7&gt;0,$A851&gt;BH$7)),0,MAX(0,ROUND((INDEX($E851:$G851,BH$5)-SUMIFS(TF_Timer,TF_Tekniker,BH$4,TF_Dato,$A851))*2,0)/2)))</f>
        <v/>
      </c>
      <c r="BI851">
        <f>IF(OR(BI$4="",$A851&gt;TODAY()),0,IF(OR(INDEX($B851:$D851,BI$5)="F",AND(BI$6&gt;0,$A851&lt;BI$6),AND(BI$7&gt;0,$A851&gt;BI$7)),0,MAX(0,ROUND((INDEX($E851:$G851,BI$5)-SUMIFS(TF_Timer,TF_Tekniker,BI$4,TF_Dato,$A851))*2,0)/2)))</f>
        <v/>
      </c>
    </row>
    <row r="852">
      <c r="A852" s="64">
        <f>A851+1</f>
        <v/>
      </c>
      <c r="B852">
        <f>IF(MOD($A852-INDEX(SkiftStart,1),Syklus)&lt;DagK,"K",IF(MOD($A852-INDEX(SkiftStart,1),Syklus)&lt;DagK+DagH,"H",IF(MOD($A852-INDEX(SkiftStart,1),Syklus)&lt;DagK+DagH+DagD,"D","F")))</f>
        <v/>
      </c>
      <c r="C852">
        <f>IF(MOD($A852-INDEX(SkiftStart,2),Syklus)&lt;DagK,"K",IF(MOD($A852-INDEX(SkiftStart,2),Syklus)&lt;DagK+DagH,"H",IF(MOD($A852-INDEX(SkiftStart,2),Syklus)&lt;DagK+DagH+DagD,"D","F")))</f>
        <v/>
      </c>
      <c r="D852">
        <f>IF(MOD($A852-INDEX(SkiftStart,3),Syklus)&lt;DagK,"K",IF(MOD($A852-INDEX(SkiftStart,3),Syklus)&lt;DagK+DagH,"H",IF(MOD($A852-INDEX(SkiftStart,3),Syklus)&lt;DagK+DagH+DagD,"D","F")))</f>
        <v/>
      </c>
      <c r="E852">
        <f>IF(B852="F",0,IF(WEEKDAY($A852,2)=5,INDEX(TimerFr,MATCH(B852,FaseKode,0)),INDEX(TimerMT,MATCH(B852,FaseKode,0))))</f>
        <v/>
      </c>
      <c r="F852">
        <f>IF(C852="F",0,IF(WEEKDAY($A852,2)=5,INDEX(TimerFr,MATCH(C852,FaseKode,0)),INDEX(TimerMT,MATCH(C852,FaseKode,0))))</f>
        <v/>
      </c>
      <c r="G852">
        <f>IF(D852="F",0,IF(WEEKDAY($A852,2)=5,INDEX(TimerFr,MATCH(D852,FaseKode,0)),INDEX(TimerMT,MATCH(D852,FaseKode,0))))</f>
        <v/>
      </c>
      <c r="H852">
        <f>IF(OR(H$4="",$A852&gt;TODAY()),0,IF(OR(INDEX($B852:$D852,H$5)="F",AND(H$6&gt;0,$A852&lt;H$6),AND(H$7&gt;0,$A852&gt;H$7)),0,MAX(0,ROUND((INDEX($E852:$G852,H$5)-SUMIFS(TF_Timer,TF_Tekniker,H$4,TF_Dato,$A852))*2,0)/2)))</f>
        <v/>
      </c>
      <c r="I852">
        <f>IF(OR(I$4="",$A852&gt;TODAY()),0,IF(OR(INDEX($B852:$D852,I$5)="F",AND(I$6&gt;0,$A852&lt;I$6),AND(I$7&gt;0,$A852&gt;I$7)),0,MAX(0,ROUND((INDEX($E852:$G852,I$5)-SUMIFS(TF_Timer,TF_Tekniker,I$4,TF_Dato,$A852))*2,0)/2)))</f>
        <v/>
      </c>
      <c r="J852">
        <f>IF(OR(J$4="",$A852&gt;TODAY()),0,IF(OR(INDEX($B852:$D852,J$5)="F",AND(J$6&gt;0,$A852&lt;J$6),AND(J$7&gt;0,$A852&gt;J$7)),0,MAX(0,ROUND((INDEX($E852:$G852,J$5)-SUMIFS(TF_Timer,TF_Tekniker,J$4,TF_Dato,$A852))*2,0)/2)))</f>
        <v/>
      </c>
      <c r="K852">
        <f>IF(OR(K$4="",$A852&gt;TODAY()),0,IF(OR(INDEX($B852:$D852,K$5)="F",AND(K$6&gt;0,$A852&lt;K$6),AND(K$7&gt;0,$A852&gt;K$7)),0,MAX(0,ROUND((INDEX($E852:$G852,K$5)-SUMIFS(TF_Timer,TF_Tekniker,K$4,TF_Dato,$A852))*2,0)/2)))</f>
        <v/>
      </c>
      <c r="L852">
        <f>IF(OR(L$4="",$A852&gt;TODAY()),0,IF(OR(INDEX($B852:$D852,L$5)="F",AND(L$6&gt;0,$A852&lt;L$6),AND(L$7&gt;0,$A852&gt;L$7)),0,MAX(0,ROUND((INDEX($E852:$G852,L$5)-SUMIFS(TF_Timer,TF_Tekniker,L$4,TF_Dato,$A852))*2,0)/2)))</f>
        <v/>
      </c>
      <c r="M852">
        <f>IF(OR(M$4="",$A852&gt;TODAY()),0,IF(OR(INDEX($B852:$D852,M$5)="F",AND(M$6&gt;0,$A852&lt;M$6),AND(M$7&gt;0,$A852&gt;M$7)),0,MAX(0,ROUND((INDEX($E852:$G852,M$5)-SUMIFS(TF_Timer,TF_Tekniker,M$4,TF_Dato,$A852))*2,0)/2)))</f>
        <v/>
      </c>
      <c r="N852">
        <f>IF(OR(N$4="",$A852&gt;TODAY()),0,IF(OR(INDEX($B852:$D852,N$5)="F",AND(N$6&gt;0,$A852&lt;N$6),AND(N$7&gt;0,$A852&gt;N$7)),0,MAX(0,ROUND((INDEX($E852:$G852,N$5)-SUMIFS(TF_Timer,TF_Tekniker,N$4,TF_Dato,$A852))*2,0)/2)))</f>
        <v/>
      </c>
      <c r="O852">
        <f>IF(OR(O$4="",$A852&gt;TODAY()),0,IF(OR(INDEX($B852:$D852,O$5)="F",AND(O$6&gt;0,$A852&lt;O$6),AND(O$7&gt;0,$A852&gt;O$7)),0,MAX(0,ROUND((INDEX($E852:$G852,O$5)-SUMIFS(TF_Timer,TF_Tekniker,O$4,TF_Dato,$A852))*2,0)/2)))</f>
        <v/>
      </c>
      <c r="P852">
        <f>IF(OR(P$4="",$A852&gt;TODAY()),0,IF(OR(INDEX($B852:$D852,P$5)="F",AND(P$6&gt;0,$A852&lt;P$6),AND(P$7&gt;0,$A852&gt;P$7)),0,MAX(0,ROUND((INDEX($E852:$G852,P$5)-SUMIFS(TF_Timer,TF_Tekniker,P$4,TF_Dato,$A852))*2,0)/2)))</f>
        <v/>
      </c>
      <c r="Q852">
        <f>IF(OR(Q$4="",$A852&gt;TODAY()),0,IF(OR(INDEX($B852:$D852,Q$5)="F",AND(Q$6&gt;0,$A852&lt;Q$6),AND(Q$7&gt;0,$A852&gt;Q$7)),0,MAX(0,ROUND((INDEX($E852:$G852,Q$5)-SUMIFS(TF_Timer,TF_Tekniker,Q$4,TF_Dato,$A852))*2,0)/2)))</f>
        <v/>
      </c>
      <c r="R852">
        <f>IF(OR(R$4="",$A852&gt;TODAY()),0,IF(OR(INDEX($B852:$D852,R$5)="F",AND(R$6&gt;0,$A852&lt;R$6),AND(R$7&gt;0,$A852&gt;R$7)),0,MAX(0,ROUND((INDEX($E852:$G852,R$5)-SUMIFS(TF_Timer,TF_Tekniker,R$4,TF_Dato,$A852))*2,0)/2)))</f>
        <v/>
      </c>
      <c r="S852">
        <f>IF(OR(S$4="",$A852&gt;TODAY()),0,IF(OR(INDEX($B852:$D852,S$5)="F",AND(S$6&gt;0,$A852&lt;S$6),AND(S$7&gt;0,$A852&gt;S$7)),0,MAX(0,ROUND((INDEX($E852:$G852,S$5)-SUMIFS(TF_Timer,TF_Tekniker,S$4,TF_Dato,$A852))*2,0)/2)))</f>
        <v/>
      </c>
      <c r="T852">
        <f>IF(OR(T$4="",$A852&gt;TODAY()),0,IF(OR(INDEX($B852:$D852,T$5)="F",AND(T$6&gt;0,$A852&lt;T$6),AND(T$7&gt;0,$A852&gt;T$7)),0,MAX(0,ROUND((INDEX($E852:$G852,T$5)-SUMIFS(TF_Timer,TF_Tekniker,T$4,TF_Dato,$A852))*2,0)/2)))</f>
        <v/>
      </c>
      <c r="U852">
        <f>IF(OR(U$4="",$A852&gt;TODAY()),0,IF(OR(INDEX($B852:$D852,U$5)="F",AND(U$6&gt;0,$A852&lt;U$6),AND(U$7&gt;0,$A852&gt;U$7)),0,MAX(0,ROUND((INDEX($E852:$G852,U$5)-SUMIFS(TF_Timer,TF_Tekniker,U$4,TF_Dato,$A852))*2,0)/2)))</f>
        <v/>
      </c>
      <c r="V852">
        <f>IF(OR(V$4="",$A852&gt;TODAY()),0,IF(OR(INDEX($B852:$D852,V$5)="F",AND(V$6&gt;0,$A852&lt;V$6),AND(V$7&gt;0,$A852&gt;V$7)),0,MAX(0,ROUND((INDEX($E852:$G852,V$5)-SUMIFS(TF_Timer,TF_Tekniker,V$4,TF_Dato,$A852))*2,0)/2)))</f>
        <v/>
      </c>
      <c r="W852">
        <f>IF(OR(W$4="",$A852&gt;TODAY()),0,IF(OR(INDEX($B852:$D852,W$5)="F",AND(W$6&gt;0,$A852&lt;W$6),AND(W$7&gt;0,$A852&gt;W$7)),0,MAX(0,ROUND((INDEX($E852:$G852,W$5)-SUMIFS(TF_Timer,TF_Tekniker,W$4,TF_Dato,$A852))*2,0)/2)))</f>
        <v/>
      </c>
      <c r="X852">
        <f>IF(OR(X$4="",$A852&gt;TODAY()),0,IF(OR(INDEX($B852:$D852,X$5)="F",AND(X$6&gt;0,$A852&lt;X$6),AND(X$7&gt;0,$A852&gt;X$7)),0,MAX(0,ROUND((INDEX($E852:$G852,X$5)-SUMIFS(TF_Timer,TF_Tekniker,X$4,TF_Dato,$A852))*2,0)/2)))</f>
        <v/>
      </c>
      <c r="Y852">
        <f>IF(OR(Y$4="",$A852&gt;TODAY()),0,IF(OR(INDEX($B852:$D852,Y$5)="F",AND(Y$6&gt;0,$A852&lt;Y$6),AND(Y$7&gt;0,$A852&gt;Y$7)),0,MAX(0,ROUND((INDEX($E852:$G852,Y$5)-SUMIFS(TF_Timer,TF_Tekniker,Y$4,TF_Dato,$A852))*2,0)/2)))</f>
        <v/>
      </c>
      <c r="Z852">
        <f>IF(OR(Z$4="",$A852&gt;TODAY()),0,IF(OR(INDEX($B852:$D852,Z$5)="F",AND(Z$6&gt;0,$A852&lt;Z$6),AND(Z$7&gt;0,$A852&gt;Z$7)),0,MAX(0,ROUND((INDEX($E852:$G852,Z$5)-SUMIFS(TF_Timer,TF_Tekniker,Z$4,TF_Dato,$A852))*2,0)/2)))</f>
        <v/>
      </c>
      <c r="AA852">
        <f>IF(OR(AA$4="",$A852&gt;TODAY()),0,IF(OR(INDEX($B852:$D852,AA$5)="F",AND(AA$6&gt;0,$A852&lt;AA$6),AND(AA$7&gt;0,$A852&gt;AA$7)),0,MAX(0,ROUND((INDEX($E852:$G852,AA$5)-SUMIFS(TF_Timer,TF_Tekniker,AA$4,TF_Dato,$A852))*2,0)/2)))</f>
        <v/>
      </c>
      <c r="AB852">
        <f>IF(OR(AB$4="",$A852&gt;TODAY()),0,IF(OR(INDEX($B852:$D852,AB$5)="F",AND(AB$6&gt;0,$A852&lt;AB$6),AND(AB$7&gt;0,$A852&gt;AB$7)),0,MAX(0,ROUND((INDEX($E852:$G852,AB$5)-SUMIFS(TF_Timer,TF_Tekniker,AB$4,TF_Dato,$A852))*2,0)/2)))</f>
        <v/>
      </c>
      <c r="AC852">
        <f>IF(OR(AC$4="",$A852&gt;TODAY()),0,IF(OR(INDEX($B852:$D852,AC$5)="F",AND(AC$6&gt;0,$A852&lt;AC$6),AND(AC$7&gt;0,$A852&gt;AC$7)),0,MAX(0,ROUND((INDEX($E852:$G852,AC$5)-SUMIFS(TF_Timer,TF_Tekniker,AC$4,TF_Dato,$A852))*2,0)/2)))</f>
        <v/>
      </c>
      <c r="AD852">
        <f>IF(OR(AD$4="",$A852&gt;TODAY()),0,IF(OR(INDEX($B852:$D852,AD$5)="F",AND(AD$6&gt;0,$A852&lt;AD$6),AND(AD$7&gt;0,$A852&gt;AD$7)),0,MAX(0,ROUND((INDEX($E852:$G852,AD$5)-SUMIFS(TF_Timer,TF_Tekniker,AD$4,TF_Dato,$A852))*2,0)/2)))</f>
        <v/>
      </c>
      <c r="AE852">
        <f>IF(OR(AE$4="",$A852&gt;TODAY()),0,IF(OR(INDEX($B852:$D852,AE$5)="F",AND(AE$6&gt;0,$A852&lt;AE$6),AND(AE$7&gt;0,$A852&gt;AE$7)),0,MAX(0,ROUND((INDEX($E852:$G852,AE$5)-SUMIFS(TF_Timer,TF_Tekniker,AE$4,TF_Dato,$A852))*2,0)/2)))</f>
        <v/>
      </c>
      <c r="AF852">
        <f>IF(OR(AF$4="",$A852&gt;TODAY()),0,IF(OR(INDEX($B852:$D852,AF$5)="F",AND(AF$6&gt;0,$A852&lt;AF$6),AND(AF$7&gt;0,$A852&gt;AF$7)),0,MAX(0,ROUND((INDEX($E852:$G852,AF$5)-SUMIFS(TF_Timer,TF_Tekniker,AF$4,TF_Dato,$A852))*2,0)/2)))</f>
        <v/>
      </c>
      <c r="AG852">
        <f>IF(OR(AG$4="",$A852&gt;TODAY()),0,IF(OR(INDEX($B852:$D852,AG$5)="F",AND(AG$6&gt;0,$A852&lt;AG$6),AND(AG$7&gt;0,$A852&gt;AG$7)),0,MAX(0,ROUND((INDEX($E852:$G852,AG$5)-SUMIFS(TF_Timer,TF_Tekniker,AG$4,TF_Dato,$A852))*2,0)/2)))</f>
        <v/>
      </c>
      <c r="AH852">
        <f>IF(OR(AH$4="",$A852&gt;TODAY()),0,IF(OR(INDEX($B852:$D852,AH$5)="F",AND(AH$6&gt;0,$A852&lt;AH$6),AND(AH$7&gt;0,$A852&gt;AH$7)),0,MAX(0,ROUND((INDEX($E852:$G852,AH$5)-SUMIFS(TF_Timer,TF_Tekniker,AH$4,TF_Dato,$A852))*2,0)/2)))</f>
        <v/>
      </c>
      <c r="AI852">
        <f>IF(OR(AI$4="",$A852&gt;TODAY()),0,IF(OR(INDEX($B852:$D852,AI$5)="F",AND(AI$6&gt;0,$A852&lt;AI$6),AND(AI$7&gt;0,$A852&gt;AI$7)),0,MAX(0,ROUND((INDEX($E852:$G852,AI$5)-SUMIFS(TF_Timer,TF_Tekniker,AI$4,TF_Dato,$A852))*2,0)/2)))</f>
        <v/>
      </c>
      <c r="AJ852">
        <f>IF(OR(AJ$4="",$A852&gt;TODAY()),0,IF(OR(INDEX($B852:$D852,AJ$5)="F",AND(AJ$6&gt;0,$A852&lt;AJ$6),AND(AJ$7&gt;0,$A852&gt;AJ$7)),0,MAX(0,ROUND((INDEX($E852:$G852,AJ$5)-SUMIFS(TF_Timer,TF_Tekniker,AJ$4,TF_Dato,$A852))*2,0)/2)))</f>
        <v/>
      </c>
      <c r="AK852">
        <f>IF(OR(AK$4="",$A852&gt;TODAY()),0,IF(OR(INDEX($B852:$D852,AK$5)="F",AND(AK$6&gt;0,$A852&lt;AK$6),AND(AK$7&gt;0,$A852&gt;AK$7)),0,MAX(0,ROUND((INDEX($E852:$G852,AK$5)-SUMIFS(TF_Timer,TF_Tekniker,AK$4,TF_Dato,$A852))*2,0)/2)))</f>
        <v/>
      </c>
      <c r="AL852">
        <f>IF(OR(AL$4="",$A852&gt;TODAY()),0,IF(OR(INDEX($B852:$D852,AL$5)="F",AND(AL$6&gt;0,$A852&lt;AL$6),AND(AL$7&gt;0,$A852&gt;AL$7)),0,MAX(0,ROUND((INDEX($E852:$G852,AL$5)-SUMIFS(TF_Timer,TF_Tekniker,AL$4,TF_Dato,$A852))*2,0)/2)))</f>
        <v/>
      </c>
      <c r="AM852">
        <f>IF(OR(AM$4="",$A852&gt;TODAY()),0,IF(OR(INDEX($B852:$D852,AM$5)="F",AND(AM$6&gt;0,$A852&lt;AM$6),AND(AM$7&gt;0,$A852&gt;AM$7)),0,MAX(0,ROUND((INDEX($E852:$G852,AM$5)-SUMIFS(TF_Timer,TF_Tekniker,AM$4,TF_Dato,$A852))*2,0)/2)))</f>
        <v/>
      </c>
      <c r="AN852">
        <f>IF(OR(AN$4="",$A852&gt;TODAY()),0,IF(OR(INDEX($B852:$D852,AN$5)="F",AND(AN$6&gt;0,$A852&lt;AN$6),AND(AN$7&gt;0,$A852&gt;AN$7)),0,MAX(0,ROUND((INDEX($E852:$G852,AN$5)-SUMIFS(TF_Timer,TF_Tekniker,AN$4,TF_Dato,$A852))*2,0)/2)))</f>
        <v/>
      </c>
      <c r="AO852">
        <f>IF(OR(AO$4="",$A852&gt;TODAY()),0,IF(OR(INDEX($B852:$D852,AO$5)="F",AND(AO$6&gt;0,$A852&lt;AO$6),AND(AO$7&gt;0,$A852&gt;AO$7)),0,MAX(0,ROUND((INDEX($E852:$G852,AO$5)-SUMIFS(TF_Timer,TF_Tekniker,AO$4,TF_Dato,$A852))*2,0)/2)))</f>
        <v/>
      </c>
      <c r="AP852">
        <f>IF(OR(AP$4="",$A852&gt;TODAY()),0,IF(OR(INDEX($B852:$D852,AP$5)="F",AND(AP$6&gt;0,$A852&lt;AP$6),AND(AP$7&gt;0,$A852&gt;AP$7)),0,MAX(0,ROUND((INDEX($E852:$G852,AP$5)-SUMIFS(TF_Timer,TF_Tekniker,AP$4,TF_Dato,$A852))*2,0)/2)))</f>
        <v/>
      </c>
      <c r="AQ852">
        <f>IF(OR(AQ$4="",$A852&gt;TODAY()),0,IF(OR(INDEX($B852:$D852,AQ$5)="F",AND(AQ$6&gt;0,$A852&lt;AQ$6),AND(AQ$7&gt;0,$A852&gt;AQ$7)),0,MAX(0,ROUND((INDEX($E852:$G852,AQ$5)-SUMIFS(TF_Timer,TF_Tekniker,AQ$4,TF_Dato,$A852))*2,0)/2)))</f>
        <v/>
      </c>
      <c r="AR852">
        <f>IF(OR(AR$4="",$A852&gt;TODAY()),0,IF(OR(INDEX($B852:$D852,AR$5)="F",AND(AR$6&gt;0,$A852&lt;AR$6),AND(AR$7&gt;0,$A852&gt;AR$7)),0,MAX(0,ROUND((INDEX($E852:$G852,AR$5)-SUMIFS(TF_Timer,TF_Tekniker,AR$4,TF_Dato,$A852))*2,0)/2)))</f>
        <v/>
      </c>
      <c r="AS852">
        <f>IF(OR(AS$4="",$A852&gt;TODAY()),0,IF(OR(INDEX($B852:$D852,AS$5)="F",AND(AS$6&gt;0,$A852&lt;AS$6),AND(AS$7&gt;0,$A852&gt;AS$7)),0,MAX(0,ROUND((INDEX($E852:$G852,AS$5)-SUMIFS(TF_Timer,TF_Tekniker,AS$4,TF_Dato,$A852))*2,0)/2)))</f>
        <v/>
      </c>
      <c r="AT852">
        <f>IF(OR(AT$4="",$A852&gt;TODAY()),0,IF(OR(INDEX($B852:$D852,AT$5)="F",AND(AT$6&gt;0,$A852&lt;AT$6),AND(AT$7&gt;0,$A852&gt;AT$7)),0,MAX(0,ROUND((INDEX($E852:$G852,AT$5)-SUMIFS(TF_Timer,TF_Tekniker,AT$4,TF_Dato,$A852))*2,0)/2)))</f>
        <v/>
      </c>
      <c r="AU852">
        <f>IF(OR(AU$4="",$A852&gt;TODAY()),0,IF(OR(INDEX($B852:$D852,AU$5)="F",AND(AU$6&gt;0,$A852&lt;AU$6),AND(AU$7&gt;0,$A852&gt;AU$7)),0,MAX(0,ROUND((INDEX($E852:$G852,AU$5)-SUMIFS(TF_Timer,TF_Tekniker,AU$4,TF_Dato,$A852))*2,0)/2)))</f>
        <v/>
      </c>
      <c r="AV852">
        <f>IF(OR(AV$4="",$A852&gt;TODAY()),0,IF(OR(INDEX($B852:$D852,AV$5)="F",AND(AV$6&gt;0,$A852&lt;AV$6),AND(AV$7&gt;0,$A852&gt;AV$7)),0,MAX(0,ROUND((INDEX($E852:$G852,AV$5)-SUMIFS(TF_Timer,TF_Tekniker,AV$4,TF_Dato,$A852))*2,0)/2)))</f>
        <v/>
      </c>
      <c r="AW852">
        <f>IF(OR(AW$4="",$A852&gt;TODAY()),0,IF(OR(INDEX($B852:$D852,AW$5)="F",AND(AW$6&gt;0,$A852&lt;AW$6),AND(AW$7&gt;0,$A852&gt;AW$7)),0,MAX(0,ROUND((INDEX($E852:$G852,AW$5)-SUMIFS(TF_Timer,TF_Tekniker,AW$4,TF_Dato,$A852))*2,0)/2)))</f>
        <v/>
      </c>
      <c r="AX852">
        <f>IF(OR(AX$4="",$A852&gt;TODAY()),0,IF(OR(INDEX($B852:$D852,AX$5)="F",AND(AX$6&gt;0,$A852&lt;AX$6),AND(AX$7&gt;0,$A852&gt;AX$7)),0,MAX(0,ROUND((INDEX($E852:$G852,AX$5)-SUMIFS(TF_Timer,TF_Tekniker,AX$4,TF_Dato,$A852))*2,0)/2)))</f>
        <v/>
      </c>
      <c r="AY852">
        <f>IF(OR(AY$4="",$A852&gt;TODAY()),0,IF(OR(INDEX($B852:$D852,AY$5)="F",AND(AY$6&gt;0,$A852&lt;AY$6),AND(AY$7&gt;0,$A852&gt;AY$7)),0,MAX(0,ROUND((INDEX($E852:$G852,AY$5)-SUMIFS(TF_Timer,TF_Tekniker,AY$4,TF_Dato,$A852))*2,0)/2)))</f>
        <v/>
      </c>
      <c r="AZ852">
        <f>IF(OR(AZ$4="",$A852&gt;TODAY()),0,IF(OR(INDEX($B852:$D852,AZ$5)="F",AND(AZ$6&gt;0,$A852&lt;AZ$6),AND(AZ$7&gt;0,$A852&gt;AZ$7)),0,MAX(0,ROUND((INDEX($E852:$G852,AZ$5)-SUMIFS(TF_Timer,TF_Tekniker,AZ$4,TF_Dato,$A852))*2,0)/2)))</f>
        <v/>
      </c>
      <c r="BA852">
        <f>IF(OR(BA$4="",$A852&gt;TODAY()),0,IF(OR(INDEX($B852:$D852,BA$5)="F",AND(BA$6&gt;0,$A852&lt;BA$6),AND(BA$7&gt;0,$A852&gt;BA$7)),0,MAX(0,ROUND((INDEX($E852:$G852,BA$5)-SUMIFS(TF_Timer,TF_Tekniker,BA$4,TF_Dato,$A852))*2,0)/2)))</f>
        <v/>
      </c>
      <c r="BB852">
        <f>IF(OR(BB$4="",$A852&gt;TODAY()),0,IF(OR(INDEX($B852:$D852,BB$5)="F",AND(BB$6&gt;0,$A852&lt;BB$6),AND(BB$7&gt;0,$A852&gt;BB$7)),0,MAX(0,ROUND((INDEX($E852:$G852,BB$5)-SUMIFS(TF_Timer,TF_Tekniker,BB$4,TF_Dato,$A852))*2,0)/2)))</f>
        <v/>
      </c>
      <c r="BC852">
        <f>IF(OR(BC$4="",$A852&gt;TODAY()),0,IF(OR(INDEX($B852:$D852,BC$5)="F",AND(BC$6&gt;0,$A852&lt;BC$6),AND(BC$7&gt;0,$A852&gt;BC$7)),0,MAX(0,ROUND((INDEX($E852:$G852,BC$5)-SUMIFS(TF_Timer,TF_Tekniker,BC$4,TF_Dato,$A852))*2,0)/2)))</f>
        <v/>
      </c>
      <c r="BD852">
        <f>IF(OR(BD$4="",$A852&gt;TODAY()),0,IF(OR(INDEX($B852:$D852,BD$5)="F",AND(BD$6&gt;0,$A852&lt;BD$6),AND(BD$7&gt;0,$A852&gt;BD$7)),0,MAX(0,ROUND((INDEX($E852:$G852,BD$5)-SUMIFS(TF_Timer,TF_Tekniker,BD$4,TF_Dato,$A852))*2,0)/2)))</f>
        <v/>
      </c>
      <c r="BE852">
        <f>IF(OR(BE$4="",$A852&gt;TODAY()),0,IF(OR(INDEX($B852:$D852,BE$5)="F",AND(BE$6&gt;0,$A852&lt;BE$6),AND(BE$7&gt;0,$A852&gt;BE$7)),0,MAX(0,ROUND((INDEX($E852:$G852,BE$5)-SUMIFS(TF_Timer,TF_Tekniker,BE$4,TF_Dato,$A852))*2,0)/2)))</f>
        <v/>
      </c>
      <c r="BF852">
        <f>IF(OR(BF$4="",$A852&gt;TODAY()),0,IF(OR(INDEX($B852:$D852,BF$5)="F",AND(BF$6&gt;0,$A852&lt;BF$6),AND(BF$7&gt;0,$A852&gt;BF$7)),0,MAX(0,ROUND((INDEX($E852:$G852,BF$5)-SUMIFS(TF_Timer,TF_Tekniker,BF$4,TF_Dato,$A852))*2,0)/2)))</f>
        <v/>
      </c>
      <c r="BG852">
        <f>IF(OR(BG$4="",$A852&gt;TODAY()),0,IF(OR(INDEX($B852:$D852,BG$5)="F",AND(BG$6&gt;0,$A852&lt;BG$6),AND(BG$7&gt;0,$A852&gt;BG$7)),0,MAX(0,ROUND((INDEX($E852:$G852,BG$5)-SUMIFS(TF_Timer,TF_Tekniker,BG$4,TF_Dato,$A852))*2,0)/2)))</f>
        <v/>
      </c>
      <c r="BH852">
        <f>IF(OR(BH$4="",$A852&gt;TODAY()),0,IF(OR(INDEX($B852:$D852,BH$5)="F",AND(BH$6&gt;0,$A852&lt;BH$6),AND(BH$7&gt;0,$A852&gt;BH$7)),0,MAX(0,ROUND((INDEX($E852:$G852,BH$5)-SUMIFS(TF_Timer,TF_Tekniker,BH$4,TF_Dato,$A852))*2,0)/2)))</f>
        <v/>
      </c>
      <c r="BI852">
        <f>IF(OR(BI$4="",$A852&gt;TODAY()),0,IF(OR(INDEX($B852:$D852,BI$5)="F",AND(BI$6&gt;0,$A852&lt;BI$6),AND(BI$7&gt;0,$A852&gt;BI$7)),0,MAX(0,ROUND((INDEX($E852:$G852,BI$5)-SUMIFS(TF_Timer,TF_Tekniker,BI$4,TF_Dato,$A852))*2,0)/2)))</f>
        <v/>
      </c>
    </row>
    <row r="853">
      <c r="A853" s="64">
        <f>A852+1</f>
        <v/>
      </c>
      <c r="B853">
        <f>IF(MOD($A853-INDEX(SkiftStart,1),Syklus)&lt;DagK,"K",IF(MOD($A853-INDEX(SkiftStart,1),Syklus)&lt;DagK+DagH,"H",IF(MOD($A853-INDEX(SkiftStart,1),Syklus)&lt;DagK+DagH+DagD,"D","F")))</f>
        <v/>
      </c>
      <c r="C853">
        <f>IF(MOD($A853-INDEX(SkiftStart,2),Syklus)&lt;DagK,"K",IF(MOD($A853-INDEX(SkiftStart,2),Syklus)&lt;DagK+DagH,"H",IF(MOD($A853-INDEX(SkiftStart,2),Syklus)&lt;DagK+DagH+DagD,"D","F")))</f>
        <v/>
      </c>
      <c r="D853">
        <f>IF(MOD($A853-INDEX(SkiftStart,3),Syklus)&lt;DagK,"K",IF(MOD($A853-INDEX(SkiftStart,3),Syklus)&lt;DagK+DagH,"H",IF(MOD($A853-INDEX(SkiftStart,3),Syklus)&lt;DagK+DagH+DagD,"D","F")))</f>
        <v/>
      </c>
      <c r="E853">
        <f>IF(B853="F",0,IF(WEEKDAY($A853,2)=5,INDEX(TimerFr,MATCH(B853,FaseKode,0)),INDEX(TimerMT,MATCH(B853,FaseKode,0))))</f>
        <v/>
      </c>
      <c r="F853">
        <f>IF(C853="F",0,IF(WEEKDAY($A853,2)=5,INDEX(TimerFr,MATCH(C853,FaseKode,0)),INDEX(TimerMT,MATCH(C853,FaseKode,0))))</f>
        <v/>
      </c>
      <c r="G853">
        <f>IF(D853="F",0,IF(WEEKDAY($A853,2)=5,INDEX(TimerFr,MATCH(D853,FaseKode,0)),INDEX(TimerMT,MATCH(D853,FaseKode,0))))</f>
        <v/>
      </c>
      <c r="H853">
        <f>IF(OR(H$4="",$A853&gt;TODAY()),0,IF(OR(INDEX($B853:$D853,H$5)="F",AND(H$6&gt;0,$A853&lt;H$6),AND(H$7&gt;0,$A853&gt;H$7)),0,MAX(0,ROUND((INDEX($E853:$G853,H$5)-SUMIFS(TF_Timer,TF_Tekniker,H$4,TF_Dato,$A853))*2,0)/2)))</f>
        <v/>
      </c>
      <c r="I853">
        <f>IF(OR(I$4="",$A853&gt;TODAY()),0,IF(OR(INDEX($B853:$D853,I$5)="F",AND(I$6&gt;0,$A853&lt;I$6),AND(I$7&gt;0,$A853&gt;I$7)),0,MAX(0,ROUND((INDEX($E853:$G853,I$5)-SUMIFS(TF_Timer,TF_Tekniker,I$4,TF_Dato,$A853))*2,0)/2)))</f>
        <v/>
      </c>
      <c r="J853">
        <f>IF(OR(J$4="",$A853&gt;TODAY()),0,IF(OR(INDEX($B853:$D853,J$5)="F",AND(J$6&gt;0,$A853&lt;J$6),AND(J$7&gt;0,$A853&gt;J$7)),0,MAX(0,ROUND((INDEX($E853:$G853,J$5)-SUMIFS(TF_Timer,TF_Tekniker,J$4,TF_Dato,$A853))*2,0)/2)))</f>
        <v/>
      </c>
      <c r="K853">
        <f>IF(OR(K$4="",$A853&gt;TODAY()),0,IF(OR(INDEX($B853:$D853,K$5)="F",AND(K$6&gt;0,$A853&lt;K$6),AND(K$7&gt;0,$A853&gt;K$7)),0,MAX(0,ROUND((INDEX($E853:$G853,K$5)-SUMIFS(TF_Timer,TF_Tekniker,K$4,TF_Dato,$A853))*2,0)/2)))</f>
        <v/>
      </c>
      <c r="L853">
        <f>IF(OR(L$4="",$A853&gt;TODAY()),0,IF(OR(INDEX($B853:$D853,L$5)="F",AND(L$6&gt;0,$A853&lt;L$6),AND(L$7&gt;0,$A853&gt;L$7)),0,MAX(0,ROUND((INDEX($E853:$G853,L$5)-SUMIFS(TF_Timer,TF_Tekniker,L$4,TF_Dato,$A853))*2,0)/2)))</f>
        <v/>
      </c>
      <c r="M853">
        <f>IF(OR(M$4="",$A853&gt;TODAY()),0,IF(OR(INDEX($B853:$D853,M$5)="F",AND(M$6&gt;0,$A853&lt;M$6),AND(M$7&gt;0,$A853&gt;M$7)),0,MAX(0,ROUND((INDEX($E853:$G853,M$5)-SUMIFS(TF_Timer,TF_Tekniker,M$4,TF_Dato,$A853))*2,0)/2)))</f>
        <v/>
      </c>
      <c r="N853">
        <f>IF(OR(N$4="",$A853&gt;TODAY()),0,IF(OR(INDEX($B853:$D853,N$5)="F",AND(N$6&gt;0,$A853&lt;N$6),AND(N$7&gt;0,$A853&gt;N$7)),0,MAX(0,ROUND((INDEX($E853:$G853,N$5)-SUMIFS(TF_Timer,TF_Tekniker,N$4,TF_Dato,$A853))*2,0)/2)))</f>
        <v/>
      </c>
      <c r="O853">
        <f>IF(OR(O$4="",$A853&gt;TODAY()),0,IF(OR(INDEX($B853:$D853,O$5)="F",AND(O$6&gt;0,$A853&lt;O$6),AND(O$7&gt;0,$A853&gt;O$7)),0,MAX(0,ROUND((INDEX($E853:$G853,O$5)-SUMIFS(TF_Timer,TF_Tekniker,O$4,TF_Dato,$A853))*2,0)/2)))</f>
        <v/>
      </c>
      <c r="P853">
        <f>IF(OR(P$4="",$A853&gt;TODAY()),0,IF(OR(INDEX($B853:$D853,P$5)="F",AND(P$6&gt;0,$A853&lt;P$6),AND(P$7&gt;0,$A853&gt;P$7)),0,MAX(0,ROUND((INDEX($E853:$G853,P$5)-SUMIFS(TF_Timer,TF_Tekniker,P$4,TF_Dato,$A853))*2,0)/2)))</f>
        <v/>
      </c>
      <c r="Q853">
        <f>IF(OR(Q$4="",$A853&gt;TODAY()),0,IF(OR(INDEX($B853:$D853,Q$5)="F",AND(Q$6&gt;0,$A853&lt;Q$6),AND(Q$7&gt;0,$A853&gt;Q$7)),0,MAX(0,ROUND((INDEX($E853:$G853,Q$5)-SUMIFS(TF_Timer,TF_Tekniker,Q$4,TF_Dato,$A853))*2,0)/2)))</f>
        <v/>
      </c>
      <c r="R853">
        <f>IF(OR(R$4="",$A853&gt;TODAY()),0,IF(OR(INDEX($B853:$D853,R$5)="F",AND(R$6&gt;0,$A853&lt;R$6),AND(R$7&gt;0,$A853&gt;R$7)),0,MAX(0,ROUND((INDEX($E853:$G853,R$5)-SUMIFS(TF_Timer,TF_Tekniker,R$4,TF_Dato,$A853))*2,0)/2)))</f>
        <v/>
      </c>
      <c r="S853">
        <f>IF(OR(S$4="",$A853&gt;TODAY()),0,IF(OR(INDEX($B853:$D853,S$5)="F",AND(S$6&gt;0,$A853&lt;S$6),AND(S$7&gt;0,$A853&gt;S$7)),0,MAX(0,ROUND((INDEX($E853:$G853,S$5)-SUMIFS(TF_Timer,TF_Tekniker,S$4,TF_Dato,$A853))*2,0)/2)))</f>
        <v/>
      </c>
      <c r="T853">
        <f>IF(OR(T$4="",$A853&gt;TODAY()),0,IF(OR(INDEX($B853:$D853,T$5)="F",AND(T$6&gt;0,$A853&lt;T$6),AND(T$7&gt;0,$A853&gt;T$7)),0,MAX(0,ROUND((INDEX($E853:$G853,T$5)-SUMIFS(TF_Timer,TF_Tekniker,T$4,TF_Dato,$A853))*2,0)/2)))</f>
        <v/>
      </c>
      <c r="U853">
        <f>IF(OR(U$4="",$A853&gt;TODAY()),0,IF(OR(INDEX($B853:$D853,U$5)="F",AND(U$6&gt;0,$A853&lt;U$6),AND(U$7&gt;0,$A853&gt;U$7)),0,MAX(0,ROUND((INDEX($E853:$G853,U$5)-SUMIFS(TF_Timer,TF_Tekniker,U$4,TF_Dato,$A853))*2,0)/2)))</f>
        <v/>
      </c>
      <c r="V853">
        <f>IF(OR(V$4="",$A853&gt;TODAY()),0,IF(OR(INDEX($B853:$D853,V$5)="F",AND(V$6&gt;0,$A853&lt;V$6),AND(V$7&gt;0,$A853&gt;V$7)),0,MAX(0,ROUND((INDEX($E853:$G853,V$5)-SUMIFS(TF_Timer,TF_Tekniker,V$4,TF_Dato,$A853))*2,0)/2)))</f>
        <v/>
      </c>
      <c r="W853">
        <f>IF(OR(W$4="",$A853&gt;TODAY()),0,IF(OR(INDEX($B853:$D853,W$5)="F",AND(W$6&gt;0,$A853&lt;W$6),AND(W$7&gt;0,$A853&gt;W$7)),0,MAX(0,ROUND((INDEX($E853:$G853,W$5)-SUMIFS(TF_Timer,TF_Tekniker,W$4,TF_Dato,$A853))*2,0)/2)))</f>
        <v/>
      </c>
      <c r="X853">
        <f>IF(OR(X$4="",$A853&gt;TODAY()),0,IF(OR(INDEX($B853:$D853,X$5)="F",AND(X$6&gt;0,$A853&lt;X$6),AND(X$7&gt;0,$A853&gt;X$7)),0,MAX(0,ROUND((INDEX($E853:$G853,X$5)-SUMIFS(TF_Timer,TF_Tekniker,X$4,TF_Dato,$A853))*2,0)/2)))</f>
        <v/>
      </c>
      <c r="Y853">
        <f>IF(OR(Y$4="",$A853&gt;TODAY()),0,IF(OR(INDEX($B853:$D853,Y$5)="F",AND(Y$6&gt;0,$A853&lt;Y$6),AND(Y$7&gt;0,$A853&gt;Y$7)),0,MAX(0,ROUND((INDEX($E853:$G853,Y$5)-SUMIFS(TF_Timer,TF_Tekniker,Y$4,TF_Dato,$A853))*2,0)/2)))</f>
        <v/>
      </c>
      <c r="Z853">
        <f>IF(OR(Z$4="",$A853&gt;TODAY()),0,IF(OR(INDEX($B853:$D853,Z$5)="F",AND(Z$6&gt;0,$A853&lt;Z$6),AND(Z$7&gt;0,$A853&gt;Z$7)),0,MAX(0,ROUND((INDEX($E853:$G853,Z$5)-SUMIFS(TF_Timer,TF_Tekniker,Z$4,TF_Dato,$A853))*2,0)/2)))</f>
        <v/>
      </c>
      <c r="AA853">
        <f>IF(OR(AA$4="",$A853&gt;TODAY()),0,IF(OR(INDEX($B853:$D853,AA$5)="F",AND(AA$6&gt;0,$A853&lt;AA$6),AND(AA$7&gt;0,$A853&gt;AA$7)),0,MAX(0,ROUND((INDEX($E853:$G853,AA$5)-SUMIFS(TF_Timer,TF_Tekniker,AA$4,TF_Dato,$A853))*2,0)/2)))</f>
        <v/>
      </c>
      <c r="AB853">
        <f>IF(OR(AB$4="",$A853&gt;TODAY()),0,IF(OR(INDEX($B853:$D853,AB$5)="F",AND(AB$6&gt;0,$A853&lt;AB$6),AND(AB$7&gt;0,$A853&gt;AB$7)),0,MAX(0,ROUND((INDEX($E853:$G853,AB$5)-SUMIFS(TF_Timer,TF_Tekniker,AB$4,TF_Dato,$A853))*2,0)/2)))</f>
        <v/>
      </c>
      <c r="AC853">
        <f>IF(OR(AC$4="",$A853&gt;TODAY()),0,IF(OR(INDEX($B853:$D853,AC$5)="F",AND(AC$6&gt;0,$A853&lt;AC$6),AND(AC$7&gt;0,$A853&gt;AC$7)),0,MAX(0,ROUND((INDEX($E853:$G853,AC$5)-SUMIFS(TF_Timer,TF_Tekniker,AC$4,TF_Dato,$A853))*2,0)/2)))</f>
        <v/>
      </c>
      <c r="AD853">
        <f>IF(OR(AD$4="",$A853&gt;TODAY()),0,IF(OR(INDEX($B853:$D853,AD$5)="F",AND(AD$6&gt;0,$A853&lt;AD$6),AND(AD$7&gt;0,$A853&gt;AD$7)),0,MAX(0,ROUND((INDEX($E853:$G853,AD$5)-SUMIFS(TF_Timer,TF_Tekniker,AD$4,TF_Dato,$A853))*2,0)/2)))</f>
        <v/>
      </c>
      <c r="AE853">
        <f>IF(OR(AE$4="",$A853&gt;TODAY()),0,IF(OR(INDEX($B853:$D853,AE$5)="F",AND(AE$6&gt;0,$A853&lt;AE$6),AND(AE$7&gt;0,$A853&gt;AE$7)),0,MAX(0,ROUND((INDEX($E853:$G853,AE$5)-SUMIFS(TF_Timer,TF_Tekniker,AE$4,TF_Dato,$A853))*2,0)/2)))</f>
        <v/>
      </c>
      <c r="AF853">
        <f>IF(OR(AF$4="",$A853&gt;TODAY()),0,IF(OR(INDEX($B853:$D853,AF$5)="F",AND(AF$6&gt;0,$A853&lt;AF$6),AND(AF$7&gt;0,$A853&gt;AF$7)),0,MAX(0,ROUND((INDEX($E853:$G853,AF$5)-SUMIFS(TF_Timer,TF_Tekniker,AF$4,TF_Dato,$A853))*2,0)/2)))</f>
        <v/>
      </c>
      <c r="AG853">
        <f>IF(OR(AG$4="",$A853&gt;TODAY()),0,IF(OR(INDEX($B853:$D853,AG$5)="F",AND(AG$6&gt;0,$A853&lt;AG$6),AND(AG$7&gt;0,$A853&gt;AG$7)),0,MAX(0,ROUND((INDEX($E853:$G853,AG$5)-SUMIFS(TF_Timer,TF_Tekniker,AG$4,TF_Dato,$A853))*2,0)/2)))</f>
        <v/>
      </c>
      <c r="AH853">
        <f>IF(OR(AH$4="",$A853&gt;TODAY()),0,IF(OR(INDEX($B853:$D853,AH$5)="F",AND(AH$6&gt;0,$A853&lt;AH$6),AND(AH$7&gt;0,$A853&gt;AH$7)),0,MAX(0,ROUND((INDEX($E853:$G853,AH$5)-SUMIFS(TF_Timer,TF_Tekniker,AH$4,TF_Dato,$A853))*2,0)/2)))</f>
        <v/>
      </c>
      <c r="AI853">
        <f>IF(OR(AI$4="",$A853&gt;TODAY()),0,IF(OR(INDEX($B853:$D853,AI$5)="F",AND(AI$6&gt;0,$A853&lt;AI$6),AND(AI$7&gt;0,$A853&gt;AI$7)),0,MAX(0,ROUND((INDEX($E853:$G853,AI$5)-SUMIFS(TF_Timer,TF_Tekniker,AI$4,TF_Dato,$A853))*2,0)/2)))</f>
        <v/>
      </c>
      <c r="AJ853">
        <f>IF(OR(AJ$4="",$A853&gt;TODAY()),0,IF(OR(INDEX($B853:$D853,AJ$5)="F",AND(AJ$6&gt;0,$A853&lt;AJ$6),AND(AJ$7&gt;0,$A853&gt;AJ$7)),0,MAX(0,ROUND((INDEX($E853:$G853,AJ$5)-SUMIFS(TF_Timer,TF_Tekniker,AJ$4,TF_Dato,$A853))*2,0)/2)))</f>
        <v/>
      </c>
      <c r="AK853">
        <f>IF(OR(AK$4="",$A853&gt;TODAY()),0,IF(OR(INDEX($B853:$D853,AK$5)="F",AND(AK$6&gt;0,$A853&lt;AK$6),AND(AK$7&gt;0,$A853&gt;AK$7)),0,MAX(0,ROUND((INDEX($E853:$G853,AK$5)-SUMIFS(TF_Timer,TF_Tekniker,AK$4,TF_Dato,$A853))*2,0)/2)))</f>
        <v/>
      </c>
      <c r="AL853">
        <f>IF(OR(AL$4="",$A853&gt;TODAY()),0,IF(OR(INDEX($B853:$D853,AL$5)="F",AND(AL$6&gt;0,$A853&lt;AL$6),AND(AL$7&gt;0,$A853&gt;AL$7)),0,MAX(0,ROUND((INDEX($E853:$G853,AL$5)-SUMIFS(TF_Timer,TF_Tekniker,AL$4,TF_Dato,$A853))*2,0)/2)))</f>
        <v/>
      </c>
      <c r="AM853">
        <f>IF(OR(AM$4="",$A853&gt;TODAY()),0,IF(OR(INDEX($B853:$D853,AM$5)="F",AND(AM$6&gt;0,$A853&lt;AM$6),AND(AM$7&gt;0,$A853&gt;AM$7)),0,MAX(0,ROUND((INDEX($E853:$G853,AM$5)-SUMIFS(TF_Timer,TF_Tekniker,AM$4,TF_Dato,$A853))*2,0)/2)))</f>
        <v/>
      </c>
      <c r="AN853">
        <f>IF(OR(AN$4="",$A853&gt;TODAY()),0,IF(OR(INDEX($B853:$D853,AN$5)="F",AND(AN$6&gt;0,$A853&lt;AN$6),AND(AN$7&gt;0,$A853&gt;AN$7)),0,MAX(0,ROUND((INDEX($E853:$G853,AN$5)-SUMIFS(TF_Timer,TF_Tekniker,AN$4,TF_Dato,$A853))*2,0)/2)))</f>
        <v/>
      </c>
      <c r="AO853">
        <f>IF(OR(AO$4="",$A853&gt;TODAY()),0,IF(OR(INDEX($B853:$D853,AO$5)="F",AND(AO$6&gt;0,$A853&lt;AO$6),AND(AO$7&gt;0,$A853&gt;AO$7)),0,MAX(0,ROUND((INDEX($E853:$G853,AO$5)-SUMIFS(TF_Timer,TF_Tekniker,AO$4,TF_Dato,$A853))*2,0)/2)))</f>
        <v/>
      </c>
      <c r="AP853">
        <f>IF(OR(AP$4="",$A853&gt;TODAY()),0,IF(OR(INDEX($B853:$D853,AP$5)="F",AND(AP$6&gt;0,$A853&lt;AP$6),AND(AP$7&gt;0,$A853&gt;AP$7)),0,MAX(0,ROUND((INDEX($E853:$G853,AP$5)-SUMIFS(TF_Timer,TF_Tekniker,AP$4,TF_Dato,$A853))*2,0)/2)))</f>
        <v/>
      </c>
      <c r="AQ853">
        <f>IF(OR(AQ$4="",$A853&gt;TODAY()),0,IF(OR(INDEX($B853:$D853,AQ$5)="F",AND(AQ$6&gt;0,$A853&lt;AQ$6),AND(AQ$7&gt;0,$A853&gt;AQ$7)),0,MAX(0,ROUND((INDEX($E853:$G853,AQ$5)-SUMIFS(TF_Timer,TF_Tekniker,AQ$4,TF_Dato,$A853))*2,0)/2)))</f>
        <v/>
      </c>
      <c r="AR853">
        <f>IF(OR(AR$4="",$A853&gt;TODAY()),0,IF(OR(INDEX($B853:$D853,AR$5)="F",AND(AR$6&gt;0,$A853&lt;AR$6),AND(AR$7&gt;0,$A853&gt;AR$7)),0,MAX(0,ROUND((INDEX($E853:$G853,AR$5)-SUMIFS(TF_Timer,TF_Tekniker,AR$4,TF_Dato,$A853))*2,0)/2)))</f>
        <v/>
      </c>
      <c r="AS853">
        <f>IF(OR(AS$4="",$A853&gt;TODAY()),0,IF(OR(INDEX($B853:$D853,AS$5)="F",AND(AS$6&gt;0,$A853&lt;AS$6),AND(AS$7&gt;0,$A853&gt;AS$7)),0,MAX(0,ROUND((INDEX($E853:$G853,AS$5)-SUMIFS(TF_Timer,TF_Tekniker,AS$4,TF_Dato,$A853))*2,0)/2)))</f>
        <v/>
      </c>
      <c r="AT853">
        <f>IF(OR(AT$4="",$A853&gt;TODAY()),0,IF(OR(INDEX($B853:$D853,AT$5)="F",AND(AT$6&gt;0,$A853&lt;AT$6),AND(AT$7&gt;0,$A853&gt;AT$7)),0,MAX(0,ROUND((INDEX($E853:$G853,AT$5)-SUMIFS(TF_Timer,TF_Tekniker,AT$4,TF_Dato,$A853))*2,0)/2)))</f>
        <v/>
      </c>
      <c r="AU853">
        <f>IF(OR(AU$4="",$A853&gt;TODAY()),0,IF(OR(INDEX($B853:$D853,AU$5)="F",AND(AU$6&gt;0,$A853&lt;AU$6),AND(AU$7&gt;0,$A853&gt;AU$7)),0,MAX(0,ROUND((INDEX($E853:$G853,AU$5)-SUMIFS(TF_Timer,TF_Tekniker,AU$4,TF_Dato,$A853))*2,0)/2)))</f>
        <v/>
      </c>
      <c r="AV853">
        <f>IF(OR(AV$4="",$A853&gt;TODAY()),0,IF(OR(INDEX($B853:$D853,AV$5)="F",AND(AV$6&gt;0,$A853&lt;AV$6),AND(AV$7&gt;0,$A853&gt;AV$7)),0,MAX(0,ROUND((INDEX($E853:$G853,AV$5)-SUMIFS(TF_Timer,TF_Tekniker,AV$4,TF_Dato,$A853))*2,0)/2)))</f>
        <v/>
      </c>
      <c r="AW853">
        <f>IF(OR(AW$4="",$A853&gt;TODAY()),0,IF(OR(INDEX($B853:$D853,AW$5)="F",AND(AW$6&gt;0,$A853&lt;AW$6),AND(AW$7&gt;0,$A853&gt;AW$7)),0,MAX(0,ROUND((INDEX($E853:$G853,AW$5)-SUMIFS(TF_Timer,TF_Tekniker,AW$4,TF_Dato,$A853))*2,0)/2)))</f>
        <v/>
      </c>
      <c r="AX853">
        <f>IF(OR(AX$4="",$A853&gt;TODAY()),0,IF(OR(INDEX($B853:$D853,AX$5)="F",AND(AX$6&gt;0,$A853&lt;AX$6),AND(AX$7&gt;0,$A853&gt;AX$7)),0,MAX(0,ROUND((INDEX($E853:$G853,AX$5)-SUMIFS(TF_Timer,TF_Tekniker,AX$4,TF_Dato,$A853))*2,0)/2)))</f>
        <v/>
      </c>
      <c r="AY853">
        <f>IF(OR(AY$4="",$A853&gt;TODAY()),0,IF(OR(INDEX($B853:$D853,AY$5)="F",AND(AY$6&gt;0,$A853&lt;AY$6),AND(AY$7&gt;0,$A853&gt;AY$7)),0,MAX(0,ROUND((INDEX($E853:$G853,AY$5)-SUMIFS(TF_Timer,TF_Tekniker,AY$4,TF_Dato,$A853))*2,0)/2)))</f>
        <v/>
      </c>
      <c r="AZ853">
        <f>IF(OR(AZ$4="",$A853&gt;TODAY()),0,IF(OR(INDEX($B853:$D853,AZ$5)="F",AND(AZ$6&gt;0,$A853&lt;AZ$6),AND(AZ$7&gt;0,$A853&gt;AZ$7)),0,MAX(0,ROUND((INDEX($E853:$G853,AZ$5)-SUMIFS(TF_Timer,TF_Tekniker,AZ$4,TF_Dato,$A853))*2,0)/2)))</f>
        <v/>
      </c>
      <c r="BA853">
        <f>IF(OR(BA$4="",$A853&gt;TODAY()),0,IF(OR(INDEX($B853:$D853,BA$5)="F",AND(BA$6&gt;0,$A853&lt;BA$6),AND(BA$7&gt;0,$A853&gt;BA$7)),0,MAX(0,ROUND((INDEX($E853:$G853,BA$5)-SUMIFS(TF_Timer,TF_Tekniker,BA$4,TF_Dato,$A853))*2,0)/2)))</f>
        <v/>
      </c>
      <c r="BB853">
        <f>IF(OR(BB$4="",$A853&gt;TODAY()),0,IF(OR(INDEX($B853:$D853,BB$5)="F",AND(BB$6&gt;0,$A853&lt;BB$6),AND(BB$7&gt;0,$A853&gt;BB$7)),0,MAX(0,ROUND((INDEX($E853:$G853,BB$5)-SUMIFS(TF_Timer,TF_Tekniker,BB$4,TF_Dato,$A853))*2,0)/2)))</f>
        <v/>
      </c>
      <c r="BC853">
        <f>IF(OR(BC$4="",$A853&gt;TODAY()),0,IF(OR(INDEX($B853:$D853,BC$5)="F",AND(BC$6&gt;0,$A853&lt;BC$6),AND(BC$7&gt;0,$A853&gt;BC$7)),0,MAX(0,ROUND((INDEX($E853:$G853,BC$5)-SUMIFS(TF_Timer,TF_Tekniker,BC$4,TF_Dato,$A853))*2,0)/2)))</f>
        <v/>
      </c>
      <c r="BD853">
        <f>IF(OR(BD$4="",$A853&gt;TODAY()),0,IF(OR(INDEX($B853:$D853,BD$5)="F",AND(BD$6&gt;0,$A853&lt;BD$6),AND(BD$7&gt;0,$A853&gt;BD$7)),0,MAX(0,ROUND((INDEX($E853:$G853,BD$5)-SUMIFS(TF_Timer,TF_Tekniker,BD$4,TF_Dato,$A853))*2,0)/2)))</f>
        <v/>
      </c>
      <c r="BE853">
        <f>IF(OR(BE$4="",$A853&gt;TODAY()),0,IF(OR(INDEX($B853:$D853,BE$5)="F",AND(BE$6&gt;0,$A853&lt;BE$6),AND(BE$7&gt;0,$A853&gt;BE$7)),0,MAX(0,ROUND((INDEX($E853:$G853,BE$5)-SUMIFS(TF_Timer,TF_Tekniker,BE$4,TF_Dato,$A853))*2,0)/2)))</f>
        <v/>
      </c>
      <c r="BF853">
        <f>IF(OR(BF$4="",$A853&gt;TODAY()),0,IF(OR(INDEX($B853:$D853,BF$5)="F",AND(BF$6&gt;0,$A853&lt;BF$6),AND(BF$7&gt;0,$A853&gt;BF$7)),0,MAX(0,ROUND((INDEX($E853:$G853,BF$5)-SUMIFS(TF_Timer,TF_Tekniker,BF$4,TF_Dato,$A853))*2,0)/2)))</f>
        <v/>
      </c>
      <c r="BG853">
        <f>IF(OR(BG$4="",$A853&gt;TODAY()),0,IF(OR(INDEX($B853:$D853,BG$5)="F",AND(BG$6&gt;0,$A853&lt;BG$6),AND(BG$7&gt;0,$A853&gt;BG$7)),0,MAX(0,ROUND((INDEX($E853:$G853,BG$5)-SUMIFS(TF_Timer,TF_Tekniker,BG$4,TF_Dato,$A853))*2,0)/2)))</f>
        <v/>
      </c>
      <c r="BH853">
        <f>IF(OR(BH$4="",$A853&gt;TODAY()),0,IF(OR(INDEX($B853:$D853,BH$5)="F",AND(BH$6&gt;0,$A853&lt;BH$6),AND(BH$7&gt;0,$A853&gt;BH$7)),0,MAX(0,ROUND((INDEX($E853:$G853,BH$5)-SUMIFS(TF_Timer,TF_Tekniker,BH$4,TF_Dato,$A853))*2,0)/2)))</f>
        <v/>
      </c>
      <c r="BI853">
        <f>IF(OR(BI$4="",$A853&gt;TODAY()),0,IF(OR(INDEX($B853:$D853,BI$5)="F",AND(BI$6&gt;0,$A853&lt;BI$6),AND(BI$7&gt;0,$A853&gt;BI$7)),0,MAX(0,ROUND((INDEX($E853:$G853,BI$5)-SUMIFS(TF_Timer,TF_Tekniker,BI$4,TF_Dato,$A853))*2,0)/2)))</f>
        <v/>
      </c>
    </row>
    <row r="854">
      <c r="A854" s="64">
        <f>A853+1</f>
        <v/>
      </c>
      <c r="B854">
        <f>IF(MOD($A854-INDEX(SkiftStart,1),Syklus)&lt;DagK,"K",IF(MOD($A854-INDEX(SkiftStart,1),Syklus)&lt;DagK+DagH,"H",IF(MOD($A854-INDEX(SkiftStart,1),Syklus)&lt;DagK+DagH+DagD,"D","F")))</f>
        <v/>
      </c>
      <c r="C854">
        <f>IF(MOD($A854-INDEX(SkiftStart,2),Syklus)&lt;DagK,"K",IF(MOD($A854-INDEX(SkiftStart,2),Syklus)&lt;DagK+DagH,"H",IF(MOD($A854-INDEX(SkiftStart,2),Syklus)&lt;DagK+DagH+DagD,"D","F")))</f>
        <v/>
      </c>
      <c r="D854">
        <f>IF(MOD($A854-INDEX(SkiftStart,3),Syklus)&lt;DagK,"K",IF(MOD($A854-INDEX(SkiftStart,3),Syklus)&lt;DagK+DagH,"H",IF(MOD($A854-INDEX(SkiftStart,3),Syklus)&lt;DagK+DagH+DagD,"D","F")))</f>
        <v/>
      </c>
      <c r="E854">
        <f>IF(B854="F",0,IF(WEEKDAY($A854,2)=5,INDEX(TimerFr,MATCH(B854,FaseKode,0)),INDEX(TimerMT,MATCH(B854,FaseKode,0))))</f>
        <v/>
      </c>
      <c r="F854">
        <f>IF(C854="F",0,IF(WEEKDAY($A854,2)=5,INDEX(TimerFr,MATCH(C854,FaseKode,0)),INDEX(TimerMT,MATCH(C854,FaseKode,0))))</f>
        <v/>
      </c>
      <c r="G854">
        <f>IF(D854="F",0,IF(WEEKDAY($A854,2)=5,INDEX(TimerFr,MATCH(D854,FaseKode,0)),INDEX(TimerMT,MATCH(D854,FaseKode,0))))</f>
        <v/>
      </c>
      <c r="H854">
        <f>IF(OR(H$4="",$A854&gt;TODAY()),0,IF(OR(INDEX($B854:$D854,H$5)="F",AND(H$6&gt;0,$A854&lt;H$6),AND(H$7&gt;0,$A854&gt;H$7)),0,MAX(0,ROUND((INDEX($E854:$G854,H$5)-SUMIFS(TF_Timer,TF_Tekniker,H$4,TF_Dato,$A854))*2,0)/2)))</f>
        <v/>
      </c>
      <c r="I854">
        <f>IF(OR(I$4="",$A854&gt;TODAY()),0,IF(OR(INDEX($B854:$D854,I$5)="F",AND(I$6&gt;0,$A854&lt;I$6),AND(I$7&gt;0,$A854&gt;I$7)),0,MAX(0,ROUND((INDEX($E854:$G854,I$5)-SUMIFS(TF_Timer,TF_Tekniker,I$4,TF_Dato,$A854))*2,0)/2)))</f>
        <v/>
      </c>
      <c r="J854">
        <f>IF(OR(J$4="",$A854&gt;TODAY()),0,IF(OR(INDEX($B854:$D854,J$5)="F",AND(J$6&gt;0,$A854&lt;J$6),AND(J$7&gt;0,$A854&gt;J$7)),0,MAX(0,ROUND((INDEX($E854:$G854,J$5)-SUMIFS(TF_Timer,TF_Tekniker,J$4,TF_Dato,$A854))*2,0)/2)))</f>
        <v/>
      </c>
      <c r="K854">
        <f>IF(OR(K$4="",$A854&gt;TODAY()),0,IF(OR(INDEX($B854:$D854,K$5)="F",AND(K$6&gt;0,$A854&lt;K$6),AND(K$7&gt;0,$A854&gt;K$7)),0,MAX(0,ROUND((INDEX($E854:$G854,K$5)-SUMIFS(TF_Timer,TF_Tekniker,K$4,TF_Dato,$A854))*2,0)/2)))</f>
        <v/>
      </c>
      <c r="L854">
        <f>IF(OR(L$4="",$A854&gt;TODAY()),0,IF(OR(INDEX($B854:$D854,L$5)="F",AND(L$6&gt;0,$A854&lt;L$6),AND(L$7&gt;0,$A854&gt;L$7)),0,MAX(0,ROUND((INDEX($E854:$G854,L$5)-SUMIFS(TF_Timer,TF_Tekniker,L$4,TF_Dato,$A854))*2,0)/2)))</f>
        <v/>
      </c>
      <c r="M854">
        <f>IF(OR(M$4="",$A854&gt;TODAY()),0,IF(OR(INDEX($B854:$D854,M$5)="F",AND(M$6&gt;0,$A854&lt;M$6),AND(M$7&gt;0,$A854&gt;M$7)),0,MAX(0,ROUND((INDEX($E854:$G854,M$5)-SUMIFS(TF_Timer,TF_Tekniker,M$4,TF_Dato,$A854))*2,0)/2)))</f>
        <v/>
      </c>
      <c r="N854">
        <f>IF(OR(N$4="",$A854&gt;TODAY()),0,IF(OR(INDEX($B854:$D854,N$5)="F",AND(N$6&gt;0,$A854&lt;N$6),AND(N$7&gt;0,$A854&gt;N$7)),0,MAX(0,ROUND((INDEX($E854:$G854,N$5)-SUMIFS(TF_Timer,TF_Tekniker,N$4,TF_Dato,$A854))*2,0)/2)))</f>
        <v/>
      </c>
      <c r="O854">
        <f>IF(OR(O$4="",$A854&gt;TODAY()),0,IF(OR(INDEX($B854:$D854,O$5)="F",AND(O$6&gt;0,$A854&lt;O$6),AND(O$7&gt;0,$A854&gt;O$7)),0,MAX(0,ROUND((INDEX($E854:$G854,O$5)-SUMIFS(TF_Timer,TF_Tekniker,O$4,TF_Dato,$A854))*2,0)/2)))</f>
        <v/>
      </c>
      <c r="P854">
        <f>IF(OR(P$4="",$A854&gt;TODAY()),0,IF(OR(INDEX($B854:$D854,P$5)="F",AND(P$6&gt;0,$A854&lt;P$6),AND(P$7&gt;0,$A854&gt;P$7)),0,MAX(0,ROUND((INDEX($E854:$G854,P$5)-SUMIFS(TF_Timer,TF_Tekniker,P$4,TF_Dato,$A854))*2,0)/2)))</f>
        <v/>
      </c>
      <c r="Q854">
        <f>IF(OR(Q$4="",$A854&gt;TODAY()),0,IF(OR(INDEX($B854:$D854,Q$5)="F",AND(Q$6&gt;0,$A854&lt;Q$6),AND(Q$7&gt;0,$A854&gt;Q$7)),0,MAX(0,ROUND((INDEX($E854:$G854,Q$5)-SUMIFS(TF_Timer,TF_Tekniker,Q$4,TF_Dato,$A854))*2,0)/2)))</f>
        <v/>
      </c>
      <c r="R854">
        <f>IF(OR(R$4="",$A854&gt;TODAY()),0,IF(OR(INDEX($B854:$D854,R$5)="F",AND(R$6&gt;0,$A854&lt;R$6),AND(R$7&gt;0,$A854&gt;R$7)),0,MAX(0,ROUND((INDEX($E854:$G854,R$5)-SUMIFS(TF_Timer,TF_Tekniker,R$4,TF_Dato,$A854))*2,0)/2)))</f>
        <v/>
      </c>
      <c r="S854">
        <f>IF(OR(S$4="",$A854&gt;TODAY()),0,IF(OR(INDEX($B854:$D854,S$5)="F",AND(S$6&gt;0,$A854&lt;S$6),AND(S$7&gt;0,$A854&gt;S$7)),0,MAX(0,ROUND((INDEX($E854:$G854,S$5)-SUMIFS(TF_Timer,TF_Tekniker,S$4,TF_Dato,$A854))*2,0)/2)))</f>
        <v/>
      </c>
      <c r="T854">
        <f>IF(OR(T$4="",$A854&gt;TODAY()),0,IF(OR(INDEX($B854:$D854,T$5)="F",AND(T$6&gt;0,$A854&lt;T$6),AND(T$7&gt;0,$A854&gt;T$7)),0,MAX(0,ROUND((INDEX($E854:$G854,T$5)-SUMIFS(TF_Timer,TF_Tekniker,T$4,TF_Dato,$A854))*2,0)/2)))</f>
        <v/>
      </c>
      <c r="U854">
        <f>IF(OR(U$4="",$A854&gt;TODAY()),0,IF(OR(INDEX($B854:$D854,U$5)="F",AND(U$6&gt;0,$A854&lt;U$6),AND(U$7&gt;0,$A854&gt;U$7)),0,MAX(0,ROUND((INDEX($E854:$G854,U$5)-SUMIFS(TF_Timer,TF_Tekniker,U$4,TF_Dato,$A854))*2,0)/2)))</f>
        <v/>
      </c>
      <c r="V854">
        <f>IF(OR(V$4="",$A854&gt;TODAY()),0,IF(OR(INDEX($B854:$D854,V$5)="F",AND(V$6&gt;0,$A854&lt;V$6),AND(V$7&gt;0,$A854&gt;V$7)),0,MAX(0,ROUND((INDEX($E854:$G854,V$5)-SUMIFS(TF_Timer,TF_Tekniker,V$4,TF_Dato,$A854))*2,0)/2)))</f>
        <v/>
      </c>
      <c r="W854">
        <f>IF(OR(W$4="",$A854&gt;TODAY()),0,IF(OR(INDEX($B854:$D854,W$5)="F",AND(W$6&gt;0,$A854&lt;W$6),AND(W$7&gt;0,$A854&gt;W$7)),0,MAX(0,ROUND((INDEX($E854:$G854,W$5)-SUMIFS(TF_Timer,TF_Tekniker,W$4,TF_Dato,$A854))*2,0)/2)))</f>
        <v/>
      </c>
      <c r="X854">
        <f>IF(OR(X$4="",$A854&gt;TODAY()),0,IF(OR(INDEX($B854:$D854,X$5)="F",AND(X$6&gt;0,$A854&lt;X$6),AND(X$7&gt;0,$A854&gt;X$7)),0,MAX(0,ROUND((INDEX($E854:$G854,X$5)-SUMIFS(TF_Timer,TF_Tekniker,X$4,TF_Dato,$A854))*2,0)/2)))</f>
        <v/>
      </c>
      <c r="Y854">
        <f>IF(OR(Y$4="",$A854&gt;TODAY()),0,IF(OR(INDEX($B854:$D854,Y$5)="F",AND(Y$6&gt;0,$A854&lt;Y$6),AND(Y$7&gt;0,$A854&gt;Y$7)),0,MAX(0,ROUND((INDEX($E854:$G854,Y$5)-SUMIFS(TF_Timer,TF_Tekniker,Y$4,TF_Dato,$A854))*2,0)/2)))</f>
        <v/>
      </c>
      <c r="Z854">
        <f>IF(OR(Z$4="",$A854&gt;TODAY()),0,IF(OR(INDEX($B854:$D854,Z$5)="F",AND(Z$6&gt;0,$A854&lt;Z$6),AND(Z$7&gt;0,$A854&gt;Z$7)),0,MAX(0,ROUND((INDEX($E854:$G854,Z$5)-SUMIFS(TF_Timer,TF_Tekniker,Z$4,TF_Dato,$A854))*2,0)/2)))</f>
        <v/>
      </c>
      <c r="AA854">
        <f>IF(OR(AA$4="",$A854&gt;TODAY()),0,IF(OR(INDEX($B854:$D854,AA$5)="F",AND(AA$6&gt;0,$A854&lt;AA$6),AND(AA$7&gt;0,$A854&gt;AA$7)),0,MAX(0,ROUND((INDEX($E854:$G854,AA$5)-SUMIFS(TF_Timer,TF_Tekniker,AA$4,TF_Dato,$A854))*2,0)/2)))</f>
        <v/>
      </c>
      <c r="AB854">
        <f>IF(OR(AB$4="",$A854&gt;TODAY()),0,IF(OR(INDEX($B854:$D854,AB$5)="F",AND(AB$6&gt;0,$A854&lt;AB$6),AND(AB$7&gt;0,$A854&gt;AB$7)),0,MAX(0,ROUND((INDEX($E854:$G854,AB$5)-SUMIFS(TF_Timer,TF_Tekniker,AB$4,TF_Dato,$A854))*2,0)/2)))</f>
        <v/>
      </c>
      <c r="AC854">
        <f>IF(OR(AC$4="",$A854&gt;TODAY()),0,IF(OR(INDEX($B854:$D854,AC$5)="F",AND(AC$6&gt;0,$A854&lt;AC$6),AND(AC$7&gt;0,$A854&gt;AC$7)),0,MAX(0,ROUND((INDEX($E854:$G854,AC$5)-SUMIFS(TF_Timer,TF_Tekniker,AC$4,TF_Dato,$A854))*2,0)/2)))</f>
        <v/>
      </c>
      <c r="AD854">
        <f>IF(OR(AD$4="",$A854&gt;TODAY()),0,IF(OR(INDEX($B854:$D854,AD$5)="F",AND(AD$6&gt;0,$A854&lt;AD$6),AND(AD$7&gt;0,$A854&gt;AD$7)),0,MAX(0,ROUND((INDEX($E854:$G854,AD$5)-SUMIFS(TF_Timer,TF_Tekniker,AD$4,TF_Dato,$A854))*2,0)/2)))</f>
        <v/>
      </c>
      <c r="AE854">
        <f>IF(OR(AE$4="",$A854&gt;TODAY()),0,IF(OR(INDEX($B854:$D854,AE$5)="F",AND(AE$6&gt;0,$A854&lt;AE$6),AND(AE$7&gt;0,$A854&gt;AE$7)),0,MAX(0,ROUND((INDEX($E854:$G854,AE$5)-SUMIFS(TF_Timer,TF_Tekniker,AE$4,TF_Dato,$A854))*2,0)/2)))</f>
        <v/>
      </c>
      <c r="AF854">
        <f>IF(OR(AF$4="",$A854&gt;TODAY()),0,IF(OR(INDEX($B854:$D854,AF$5)="F",AND(AF$6&gt;0,$A854&lt;AF$6),AND(AF$7&gt;0,$A854&gt;AF$7)),0,MAX(0,ROUND((INDEX($E854:$G854,AF$5)-SUMIFS(TF_Timer,TF_Tekniker,AF$4,TF_Dato,$A854))*2,0)/2)))</f>
        <v/>
      </c>
      <c r="AG854">
        <f>IF(OR(AG$4="",$A854&gt;TODAY()),0,IF(OR(INDEX($B854:$D854,AG$5)="F",AND(AG$6&gt;0,$A854&lt;AG$6),AND(AG$7&gt;0,$A854&gt;AG$7)),0,MAX(0,ROUND((INDEX($E854:$G854,AG$5)-SUMIFS(TF_Timer,TF_Tekniker,AG$4,TF_Dato,$A854))*2,0)/2)))</f>
        <v/>
      </c>
      <c r="AH854">
        <f>IF(OR(AH$4="",$A854&gt;TODAY()),0,IF(OR(INDEX($B854:$D854,AH$5)="F",AND(AH$6&gt;0,$A854&lt;AH$6),AND(AH$7&gt;0,$A854&gt;AH$7)),0,MAX(0,ROUND((INDEX($E854:$G854,AH$5)-SUMIFS(TF_Timer,TF_Tekniker,AH$4,TF_Dato,$A854))*2,0)/2)))</f>
        <v/>
      </c>
      <c r="AI854">
        <f>IF(OR(AI$4="",$A854&gt;TODAY()),0,IF(OR(INDEX($B854:$D854,AI$5)="F",AND(AI$6&gt;0,$A854&lt;AI$6),AND(AI$7&gt;0,$A854&gt;AI$7)),0,MAX(0,ROUND((INDEX($E854:$G854,AI$5)-SUMIFS(TF_Timer,TF_Tekniker,AI$4,TF_Dato,$A854))*2,0)/2)))</f>
        <v/>
      </c>
      <c r="AJ854">
        <f>IF(OR(AJ$4="",$A854&gt;TODAY()),0,IF(OR(INDEX($B854:$D854,AJ$5)="F",AND(AJ$6&gt;0,$A854&lt;AJ$6),AND(AJ$7&gt;0,$A854&gt;AJ$7)),0,MAX(0,ROUND((INDEX($E854:$G854,AJ$5)-SUMIFS(TF_Timer,TF_Tekniker,AJ$4,TF_Dato,$A854))*2,0)/2)))</f>
        <v/>
      </c>
      <c r="AK854">
        <f>IF(OR(AK$4="",$A854&gt;TODAY()),0,IF(OR(INDEX($B854:$D854,AK$5)="F",AND(AK$6&gt;0,$A854&lt;AK$6),AND(AK$7&gt;0,$A854&gt;AK$7)),0,MAX(0,ROUND((INDEX($E854:$G854,AK$5)-SUMIFS(TF_Timer,TF_Tekniker,AK$4,TF_Dato,$A854))*2,0)/2)))</f>
        <v/>
      </c>
      <c r="AL854">
        <f>IF(OR(AL$4="",$A854&gt;TODAY()),0,IF(OR(INDEX($B854:$D854,AL$5)="F",AND(AL$6&gt;0,$A854&lt;AL$6),AND(AL$7&gt;0,$A854&gt;AL$7)),0,MAX(0,ROUND((INDEX($E854:$G854,AL$5)-SUMIFS(TF_Timer,TF_Tekniker,AL$4,TF_Dato,$A854))*2,0)/2)))</f>
        <v/>
      </c>
      <c r="AM854">
        <f>IF(OR(AM$4="",$A854&gt;TODAY()),0,IF(OR(INDEX($B854:$D854,AM$5)="F",AND(AM$6&gt;0,$A854&lt;AM$6),AND(AM$7&gt;0,$A854&gt;AM$7)),0,MAX(0,ROUND((INDEX($E854:$G854,AM$5)-SUMIFS(TF_Timer,TF_Tekniker,AM$4,TF_Dato,$A854))*2,0)/2)))</f>
        <v/>
      </c>
      <c r="AN854">
        <f>IF(OR(AN$4="",$A854&gt;TODAY()),0,IF(OR(INDEX($B854:$D854,AN$5)="F",AND(AN$6&gt;0,$A854&lt;AN$6),AND(AN$7&gt;0,$A854&gt;AN$7)),0,MAX(0,ROUND((INDEX($E854:$G854,AN$5)-SUMIFS(TF_Timer,TF_Tekniker,AN$4,TF_Dato,$A854))*2,0)/2)))</f>
        <v/>
      </c>
      <c r="AO854">
        <f>IF(OR(AO$4="",$A854&gt;TODAY()),0,IF(OR(INDEX($B854:$D854,AO$5)="F",AND(AO$6&gt;0,$A854&lt;AO$6),AND(AO$7&gt;0,$A854&gt;AO$7)),0,MAX(0,ROUND((INDEX($E854:$G854,AO$5)-SUMIFS(TF_Timer,TF_Tekniker,AO$4,TF_Dato,$A854))*2,0)/2)))</f>
        <v/>
      </c>
      <c r="AP854">
        <f>IF(OR(AP$4="",$A854&gt;TODAY()),0,IF(OR(INDEX($B854:$D854,AP$5)="F",AND(AP$6&gt;0,$A854&lt;AP$6),AND(AP$7&gt;0,$A854&gt;AP$7)),0,MAX(0,ROUND((INDEX($E854:$G854,AP$5)-SUMIFS(TF_Timer,TF_Tekniker,AP$4,TF_Dato,$A854))*2,0)/2)))</f>
        <v/>
      </c>
      <c r="AQ854">
        <f>IF(OR(AQ$4="",$A854&gt;TODAY()),0,IF(OR(INDEX($B854:$D854,AQ$5)="F",AND(AQ$6&gt;0,$A854&lt;AQ$6),AND(AQ$7&gt;0,$A854&gt;AQ$7)),0,MAX(0,ROUND((INDEX($E854:$G854,AQ$5)-SUMIFS(TF_Timer,TF_Tekniker,AQ$4,TF_Dato,$A854))*2,0)/2)))</f>
        <v/>
      </c>
      <c r="AR854">
        <f>IF(OR(AR$4="",$A854&gt;TODAY()),0,IF(OR(INDEX($B854:$D854,AR$5)="F",AND(AR$6&gt;0,$A854&lt;AR$6),AND(AR$7&gt;0,$A854&gt;AR$7)),0,MAX(0,ROUND((INDEX($E854:$G854,AR$5)-SUMIFS(TF_Timer,TF_Tekniker,AR$4,TF_Dato,$A854))*2,0)/2)))</f>
        <v/>
      </c>
      <c r="AS854">
        <f>IF(OR(AS$4="",$A854&gt;TODAY()),0,IF(OR(INDEX($B854:$D854,AS$5)="F",AND(AS$6&gt;0,$A854&lt;AS$6),AND(AS$7&gt;0,$A854&gt;AS$7)),0,MAX(0,ROUND((INDEX($E854:$G854,AS$5)-SUMIFS(TF_Timer,TF_Tekniker,AS$4,TF_Dato,$A854))*2,0)/2)))</f>
        <v/>
      </c>
      <c r="AT854">
        <f>IF(OR(AT$4="",$A854&gt;TODAY()),0,IF(OR(INDEX($B854:$D854,AT$5)="F",AND(AT$6&gt;0,$A854&lt;AT$6),AND(AT$7&gt;0,$A854&gt;AT$7)),0,MAX(0,ROUND((INDEX($E854:$G854,AT$5)-SUMIFS(TF_Timer,TF_Tekniker,AT$4,TF_Dato,$A854))*2,0)/2)))</f>
        <v/>
      </c>
      <c r="AU854">
        <f>IF(OR(AU$4="",$A854&gt;TODAY()),0,IF(OR(INDEX($B854:$D854,AU$5)="F",AND(AU$6&gt;0,$A854&lt;AU$6),AND(AU$7&gt;0,$A854&gt;AU$7)),0,MAX(0,ROUND((INDEX($E854:$G854,AU$5)-SUMIFS(TF_Timer,TF_Tekniker,AU$4,TF_Dato,$A854))*2,0)/2)))</f>
        <v/>
      </c>
      <c r="AV854">
        <f>IF(OR(AV$4="",$A854&gt;TODAY()),0,IF(OR(INDEX($B854:$D854,AV$5)="F",AND(AV$6&gt;0,$A854&lt;AV$6),AND(AV$7&gt;0,$A854&gt;AV$7)),0,MAX(0,ROUND((INDEX($E854:$G854,AV$5)-SUMIFS(TF_Timer,TF_Tekniker,AV$4,TF_Dato,$A854))*2,0)/2)))</f>
        <v/>
      </c>
      <c r="AW854">
        <f>IF(OR(AW$4="",$A854&gt;TODAY()),0,IF(OR(INDEX($B854:$D854,AW$5)="F",AND(AW$6&gt;0,$A854&lt;AW$6),AND(AW$7&gt;0,$A854&gt;AW$7)),0,MAX(0,ROUND((INDEX($E854:$G854,AW$5)-SUMIFS(TF_Timer,TF_Tekniker,AW$4,TF_Dato,$A854))*2,0)/2)))</f>
        <v/>
      </c>
      <c r="AX854">
        <f>IF(OR(AX$4="",$A854&gt;TODAY()),0,IF(OR(INDEX($B854:$D854,AX$5)="F",AND(AX$6&gt;0,$A854&lt;AX$6),AND(AX$7&gt;0,$A854&gt;AX$7)),0,MAX(0,ROUND((INDEX($E854:$G854,AX$5)-SUMIFS(TF_Timer,TF_Tekniker,AX$4,TF_Dato,$A854))*2,0)/2)))</f>
        <v/>
      </c>
      <c r="AY854">
        <f>IF(OR(AY$4="",$A854&gt;TODAY()),0,IF(OR(INDEX($B854:$D854,AY$5)="F",AND(AY$6&gt;0,$A854&lt;AY$6),AND(AY$7&gt;0,$A854&gt;AY$7)),0,MAX(0,ROUND((INDEX($E854:$G854,AY$5)-SUMIFS(TF_Timer,TF_Tekniker,AY$4,TF_Dato,$A854))*2,0)/2)))</f>
        <v/>
      </c>
      <c r="AZ854">
        <f>IF(OR(AZ$4="",$A854&gt;TODAY()),0,IF(OR(INDEX($B854:$D854,AZ$5)="F",AND(AZ$6&gt;0,$A854&lt;AZ$6),AND(AZ$7&gt;0,$A854&gt;AZ$7)),0,MAX(0,ROUND((INDEX($E854:$G854,AZ$5)-SUMIFS(TF_Timer,TF_Tekniker,AZ$4,TF_Dato,$A854))*2,0)/2)))</f>
        <v/>
      </c>
      <c r="BA854">
        <f>IF(OR(BA$4="",$A854&gt;TODAY()),0,IF(OR(INDEX($B854:$D854,BA$5)="F",AND(BA$6&gt;0,$A854&lt;BA$6),AND(BA$7&gt;0,$A854&gt;BA$7)),0,MAX(0,ROUND((INDEX($E854:$G854,BA$5)-SUMIFS(TF_Timer,TF_Tekniker,BA$4,TF_Dato,$A854))*2,0)/2)))</f>
        <v/>
      </c>
      <c r="BB854">
        <f>IF(OR(BB$4="",$A854&gt;TODAY()),0,IF(OR(INDEX($B854:$D854,BB$5)="F",AND(BB$6&gt;0,$A854&lt;BB$6),AND(BB$7&gt;0,$A854&gt;BB$7)),0,MAX(0,ROUND((INDEX($E854:$G854,BB$5)-SUMIFS(TF_Timer,TF_Tekniker,BB$4,TF_Dato,$A854))*2,0)/2)))</f>
        <v/>
      </c>
      <c r="BC854">
        <f>IF(OR(BC$4="",$A854&gt;TODAY()),0,IF(OR(INDEX($B854:$D854,BC$5)="F",AND(BC$6&gt;0,$A854&lt;BC$6),AND(BC$7&gt;0,$A854&gt;BC$7)),0,MAX(0,ROUND((INDEX($E854:$G854,BC$5)-SUMIFS(TF_Timer,TF_Tekniker,BC$4,TF_Dato,$A854))*2,0)/2)))</f>
        <v/>
      </c>
      <c r="BD854">
        <f>IF(OR(BD$4="",$A854&gt;TODAY()),0,IF(OR(INDEX($B854:$D854,BD$5)="F",AND(BD$6&gt;0,$A854&lt;BD$6),AND(BD$7&gt;0,$A854&gt;BD$7)),0,MAX(0,ROUND((INDEX($E854:$G854,BD$5)-SUMIFS(TF_Timer,TF_Tekniker,BD$4,TF_Dato,$A854))*2,0)/2)))</f>
        <v/>
      </c>
      <c r="BE854">
        <f>IF(OR(BE$4="",$A854&gt;TODAY()),0,IF(OR(INDEX($B854:$D854,BE$5)="F",AND(BE$6&gt;0,$A854&lt;BE$6),AND(BE$7&gt;0,$A854&gt;BE$7)),0,MAX(0,ROUND((INDEX($E854:$G854,BE$5)-SUMIFS(TF_Timer,TF_Tekniker,BE$4,TF_Dato,$A854))*2,0)/2)))</f>
        <v/>
      </c>
      <c r="BF854">
        <f>IF(OR(BF$4="",$A854&gt;TODAY()),0,IF(OR(INDEX($B854:$D854,BF$5)="F",AND(BF$6&gt;0,$A854&lt;BF$6),AND(BF$7&gt;0,$A854&gt;BF$7)),0,MAX(0,ROUND((INDEX($E854:$G854,BF$5)-SUMIFS(TF_Timer,TF_Tekniker,BF$4,TF_Dato,$A854))*2,0)/2)))</f>
        <v/>
      </c>
      <c r="BG854">
        <f>IF(OR(BG$4="",$A854&gt;TODAY()),0,IF(OR(INDEX($B854:$D854,BG$5)="F",AND(BG$6&gt;0,$A854&lt;BG$6),AND(BG$7&gt;0,$A854&gt;BG$7)),0,MAX(0,ROUND((INDEX($E854:$G854,BG$5)-SUMIFS(TF_Timer,TF_Tekniker,BG$4,TF_Dato,$A854))*2,0)/2)))</f>
        <v/>
      </c>
      <c r="BH854">
        <f>IF(OR(BH$4="",$A854&gt;TODAY()),0,IF(OR(INDEX($B854:$D854,BH$5)="F",AND(BH$6&gt;0,$A854&lt;BH$6),AND(BH$7&gt;0,$A854&gt;BH$7)),0,MAX(0,ROUND((INDEX($E854:$G854,BH$5)-SUMIFS(TF_Timer,TF_Tekniker,BH$4,TF_Dato,$A854))*2,0)/2)))</f>
        <v/>
      </c>
      <c r="BI854">
        <f>IF(OR(BI$4="",$A854&gt;TODAY()),0,IF(OR(INDEX($B854:$D854,BI$5)="F",AND(BI$6&gt;0,$A854&lt;BI$6),AND(BI$7&gt;0,$A854&gt;BI$7)),0,MAX(0,ROUND((INDEX($E854:$G854,BI$5)-SUMIFS(TF_Timer,TF_Tekniker,BI$4,TF_Dato,$A854))*2,0)/2)))</f>
        <v/>
      </c>
    </row>
    <row r="855">
      <c r="A855" s="64">
        <f>A854+1</f>
        <v/>
      </c>
      <c r="B855">
        <f>IF(MOD($A855-INDEX(SkiftStart,1),Syklus)&lt;DagK,"K",IF(MOD($A855-INDEX(SkiftStart,1),Syklus)&lt;DagK+DagH,"H",IF(MOD($A855-INDEX(SkiftStart,1),Syklus)&lt;DagK+DagH+DagD,"D","F")))</f>
        <v/>
      </c>
      <c r="C855">
        <f>IF(MOD($A855-INDEX(SkiftStart,2),Syklus)&lt;DagK,"K",IF(MOD($A855-INDEX(SkiftStart,2),Syklus)&lt;DagK+DagH,"H",IF(MOD($A855-INDEX(SkiftStart,2),Syklus)&lt;DagK+DagH+DagD,"D","F")))</f>
        <v/>
      </c>
      <c r="D855">
        <f>IF(MOD($A855-INDEX(SkiftStart,3),Syklus)&lt;DagK,"K",IF(MOD($A855-INDEX(SkiftStart,3),Syklus)&lt;DagK+DagH,"H",IF(MOD($A855-INDEX(SkiftStart,3),Syklus)&lt;DagK+DagH+DagD,"D","F")))</f>
        <v/>
      </c>
      <c r="E855">
        <f>IF(B855="F",0,IF(WEEKDAY($A855,2)=5,INDEX(TimerFr,MATCH(B855,FaseKode,0)),INDEX(TimerMT,MATCH(B855,FaseKode,0))))</f>
        <v/>
      </c>
      <c r="F855">
        <f>IF(C855="F",0,IF(WEEKDAY($A855,2)=5,INDEX(TimerFr,MATCH(C855,FaseKode,0)),INDEX(TimerMT,MATCH(C855,FaseKode,0))))</f>
        <v/>
      </c>
      <c r="G855">
        <f>IF(D855="F",0,IF(WEEKDAY($A855,2)=5,INDEX(TimerFr,MATCH(D855,FaseKode,0)),INDEX(TimerMT,MATCH(D855,FaseKode,0))))</f>
        <v/>
      </c>
      <c r="H855">
        <f>IF(OR(H$4="",$A855&gt;TODAY()),0,IF(OR(INDEX($B855:$D855,H$5)="F",AND(H$6&gt;0,$A855&lt;H$6),AND(H$7&gt;0,$A855&gt;H$7)),0,MAX(0,ROUND((INDEX($E855:$G855,H$5)-SUMIFS(TF_Timer,TF_Tekniker,H$4,TF_Dato,$A855))*2,0)/2)))</f>
        <v/>
      </c>
      <c r="I855">
        <f>IF(OR(I$4="",$A855&gt;TODAY()),0,IF(OR(INDEX($B855:$D855,I$5)="F",AND(I$6&gt;0,$A855&lt;I$6),AND(I$7&gt;0,$A855&gt;I$7)),0,MAX(0,ROUND((INDEX($E855:$G855,I$5)-SUMIFS(TF_Timer,TF_Tekniker,I$4,TF_Dato,$A855))*2,0)/2)))</f>
        <v/>
      </c>
      <c r="J855">
        <f>IF(OR(J$4="",$A855&gt;TODAY()),0,IF(OR(INDEX($B855:$D855,J$5)="F",AND(J$6&gt;0,$A855&lt;J$6),AND(J$7&gt;0,$A855&gt;J$7)),0,MAX(0,ROUND((INDEX($E855:$G855,J$5)-SUMIFS(TF_Timer,TF_Tekniker,J$4,TF_Dato,$A855))*2,0)/2)))</f>
        <v/>
      </c>
      <c r="K855">
        <f>IF(OR(K$4="",$A855&gt;TODAY()),0,IF(OR(INDEX($B855:$D855,K$5)="F",AND(K$6&gt;0,$A855&lt;K$6),AND(K$7&gt;0,$A855&gt;K$7)),0,MAX(0,ROUND((INDEX($E855:$G855,K$5)-SUMIFS(TF_Timer,TF_Tekniker,K$4,TF_Dato,$A855))*2,0)/2)))</f>
        <v/>
      </c>
      <c r="L855">
        <f>IF(OR(L$4="",$A855&gt;TODAY()),0,IF(OR(INDEX($B855:$D855,L$5)="F",AND(L$6&gt;0,$A855&lt;L$6),AND(L$7&gt;0,$A855&gt;L$7)),0,MAX(0,ROUND((INDEX($E855:$G855,L$5)-SUMIFS(TF_Timer,TF_Tekniker,L$4,TF_Dato,$A855))*2,0)/2)))</f>
        <v/>
      </c>
      <c r="M855">
        <f>IF(OR(M$4="",$A855&gt;TODAY()),0,IF(OR(INDEX($B855:$D855,M$5)="F",AND(M$6&gt;0,$A855&lt;M$6),AND(M$7&gt;0,$A855&gt;M$7)),0,MAX(0,ROUND((INDEX($E855:$G855,M$5)-SUMIFS(TF_Timer,TF_Tekniker,M$4,TF_Dato,$A855))*2,0)/2)))</f>
        <v/>
      </c>
      <c r="N855">
        <f>IF(OR(N$4="",$A855&gt;TODAY()),0,IF(OR(INDEX($B855:$D855,N$5)="F",AND(N$6&gt;0,$A855&lt;N$6),AND(N$7&gt;0,$A855&gt;N$7)),0,MAX(0,ROUND((INDEX($E855:$G855,N$5)-SUMIFS(TF_Timer,TF_Tekniker,N$4,TF_Dato,$A855))*2,0)/2)))</f>
        <v/>
      </c>
      <c r="O855">
        <f>IF(OR(O$4="",$A855&gt;TODAY()),0,IF(OR(INDEX($B855:$D855,O$5)="F",AND(O$6&gt;0,$A855&lt;O$6),AND(O$7&gt;0,$A855&gt;O$7)),0,MAX(0,ROUND((INDEX($E855:$G855,O$5)-SUMIFS(TF_Timer,TF_Tekniker,O$4,TF_Dato,$A855))*2,0)/2)))</f>
        <v/>
      </c>
      <c r="P855">
        <f>IF(OR(P$4="",$A855&gt;TODAY()),0,IF(OR(INDEX($B855:$D855,P$5)="F",AND(P$6&gt;0,$A855&lt;P$6),AND(P$7&gt;0,$A855&gt;P$7)),0,MAX(0,ROUND((INDEX($E855:$G855,P$5)-SUMIFS(TF_Timer,TF_Tekniker,P$4,TF_Dato,$A855))*2,0)/2)))</f>
        <v/>
      </c>
      <c r="Q855">
        <f>IF(OR(Q$4="",$A855&gt;TODAY()),0,IF(OR(INDEX($B855:$D855,Q$5)="F",AND(Q$6&gt;0,$A855&lt;Q$6),AND(Q$7&gt;0,$A855&gt;Q$7)),0,MAX(0,ROUND((INDEX($E855:$G855,Q$5)-SUMIFS(TF_Timer,TF_Tekniker,Q$4,TF_Dato,$A855))*2,0)/2)))</f>
        <v/>
      </c>
      <c r="R855">
        <f>IF(OR(R$4="",$A855&gt;TODAY()),0,IF(OR(INDEX($B855:$D855,R$5)="F",AND(R$6&gt;0,$A855&lt;R$6),AND(R$7&gt;0,$A855&gt;R$7)),0,MAX(0,ROUND((INDEX($E855:$G855,R$5)-SUMIFS(TF_Timer,TF_Tekniker,R$4,TF_Dato,$A855))*2,0)/2)))</f>
        <v/>
      </c>
      <c r="S855">
        <f>IF(OR(S$4="",$A855&gt;TODAY()),0,IF(OR(INDEX($B855:$D855,S$5)="F",AND(S$6&gt;0,$A855&lt;S$6),AND(S$7&gt;0,$A855&gt;S$7)),0,MAX(0,ROUND((INDEX($E855:$G855,S$5)-SUMIFS(TF_Timer,TF_Tekniker,S$4,TF_Dato,$A855))*2,0)/2)))</f>
        <v/>
      </c>
      <c r="T855">
        <f>IF(OR(T$4="",$A855&gt;TODAY()),0,IF(OR(INDEX($B855:$D855,T$5)="F",AND(T$6&gt;0,$A855&lt;T$6),AND(T$7&gt;0,$A855&gt;T$7)),0,MAX(0,ROUND((INDEX($E855:$G855,T$5)-SUMIFS(TF_Timer,TF_Tekniker,T$4,TF_Dato,$A855))*2,0)/2)))</f>
        <v/>
      </c>
      <c r="U855">
        <f>IF(OR(U$4="",$A855&gt;TODAY()),0,IF(OR(INDEX($B855:$D855,U$5)="F",AND(U$6&gt;0,$A855&lt;U$6),AND(U$7&gt;0,$A855&gt;U$7)),0,MAX(0,ROUND((INDEX($E855:$G855,U$5)-SUMIFS(TF_Timer,TF_Tekniker,U$4,TF_Dato,$A855))*2,0)/2)))</f>
        <v/>
      </c>
      <c r="V855">
        <f>IF(OR(V$4="",$A855&gt;TODAY()),0,IF(OR(INDEX($B855:$D855,V$5)="F",AND(V$6&gt;0,$A855&lt;V$6),AND(V$7&gt;0,$A855&gt;V$7)),0,MAX(0,ROUND((INDEX($E855:$G855,V$5)-SUMIFS(TF_Timer,TF_Tekniker,V$4,TF_Dato,$A855))*2,0)/2)))</f>
        <v/>
      </c>
      <c r="W855">
        <f>IF(OR(W$4="",$A855&gt;TODAY()),0,IF(OR(INDEX($B855:$D855,W$5)="F",AND(W$6&gt;0,$A855&lt;W$6),AND(W$7&gt;0,$A855&gt;W$7)),0,MAX(0,ROUND((INDEX($E855:$G855,W$5)-SUMIFS(TF_Timer,TF_Tekniker,W$4,TF_Dato,$A855))*2,0)/2)))</f>
        <v/>
      </c>
      <c r="X855">
        <f>IF(OR(X$4="",$A855&gt;TODAY()),0,IF(OR(INDEX($B855:$D855,X$5)="F",AND(X$6&gt;0,$A855&lt;X$6),AND(X$7&gt;0,$A855&gt;X$7)),0,MAX(0,ROUND((INDEX($E855:$G855,X$5)-SUMIFS(TF_Timer,TF_Tekniker,X$4,TF_Dato,$A855))*2,0)/2)))</f>
        <v/>
      </c>
      <c r="Y855">
        <f>IF(OR(Y$4="",$A855&gt;TODAY()),0,IF(OR(INDEX($B855:$D855,Y$5)="F",AND(Y$6&gt;0,$A855&lt;Y$6),AND(Y$7&gt;0,$A855&gt;Y$7)),0,MAX(0,ROUND((INDEX($E855:$G855,Y$5)-SUMIFS(TF_Timer,TF_Tekniker,Y$4,TF_Dato,$A855))*2,0)/2)))</f>
        <v/>
      </c>
      <c r="Z855">
        <f>IF(OR(Z$4="",$A855&gt;TODAY()),0,IF(OR(INDEX($B855:$D855,Z$5)="F",AND(Z$6&gt;0,$A855&lt;Z$6),AND(Z$7&gt;0,$A855&gt;Z$7)),0,MAX(0,ROUND((INDEX($E855:$G855,Z$5)-SUMIFS(TF_Timer,TF_Tekniker,Z$4,TF_Dato,$A855))*2,0)/2)))</f>
        <v/>
      </c>
      <c r="AA855">
        <f>IF(OR(AA$4="",$A855&gt;TODAY()),0,IF(OR(INDEX($B855:$D855,AA$5)="F",AND(AA$6&gt;0,$A855&lt;AA$6),AND(AA$7&gt;0,$A855&gt;AA$7)),0,MAX(0,ROUND((INDEX($E855:$G855,AA$5)-SUMIFS(TF_Timer,TF_Tekniker,AA$4,TF_Dato,$A855))*2,0)/2)))</f>
        <v/>
      </c>
      <c r="AB855">
        <f>IF(OR(AB$4="",$A855&gt;TODAY()),0,IF(OR(INDEX($B855:$D855,AB$5)="F",AND(AB$6&gt;0,$A855&lt;AB$6),AND(AB$7&gt;0,$A855&gt;AB$7)),0,MAX(0,ROUND((INDEX($E855:$G855,AB$5)-SUMIFS(TF_Timer,TF_Tekniker,AB$4,TF_Dato,$A855))*2,0)/2)))</f>
        <v/>
      </c>
      <c r="AC855">
        <f>IF(OR(AC$4="",$A855&gt;TODAY()),0,IF(OR(INDEX($B855:$D855,AC$5)="F",AND(AC$6&gt;0,$A855&lt;AC$6),AND(AC$7&gt;0,$A855&gt;AC$7)),0,MAX(0,ROUND((INDEX($E855:$G855,AC$5)-SUMIFS(TF_Timer,TF_Tekniker,AC$4,TF_Dato,$A855))*2,0)/2)))</f>
        <v/>
      </c>
      <c r="AD855">
        <f>IF(OR(AD$4="",$A855&gt;TODAY()),0,IF(OR(INDEX($B855:$D855,AD$5)="F",AND(AD$6&gt;0,$A855&lt;AD$6),AND(AD$7&gt;0,$A855&gt;AD$7)),0,MAX(0,ROUND((INDEX($E855:$G855,AD$5)-SUMIFS(TF_Timer,TF_Tekniker,AD$4,TF_Dato,$A855))*2,0)/2)))</f>
        <v/>
      </c>
      <c r="AE855">
        <f>IF(OR(AE$4="",$A855&gt;TODAY()),0,IF(OR(INDEX($B855:$D855,AE$5)="F",AND(AE$6&gt;0,$A855&lt;AE$6),AND(AE$7&gt;0,$A855&gt;AE$7)),0,MAX(0,ROUND((INDEX($E855:$G855,AE$5)-SUMIFS(TF_Timer,TF_Tekniker,AE$4,TF_Dato,$A855))*2,0)/2)))</f>
        <v/>
      </c>
      <c r="AF855">
        <f>IF(OR(AF$4="",$A855&gt;TODAY()),0,IF(OR(INDEX($B855:$D855,AF$5)="F",AND(AF$6&gt;0,$A855&lt;AF$6),AND(AF$7&gt;0,$A855&gt;AF$7)),0,MAX(0,ROUND((INDEX($E855:$G855,AF$5)-SUMIFS(TF_Timer,TF_Tekniker,AF$4,TF_Dato,$A855))*2,0)/2)))</f>
        <v/>
      </c>
      <c r="AG855">
        <f>IF(OR(AG$4="",$A855&gt;TODAY()),0,IF(OR(INDEX($B855:$D855,AG$5)="F",AND(AG$6&gt;0,$A855&lt;AG$6),AND(AG$7&gt;0,$A855&gt;AG$7)),0,MAX(0,ROUND((INDEX($E855:$G855,AG$5)-SUMIFS(TF_Timer,TF_Tekniker,AG$4,TF_Dato,$A855))*2,0)/2)))</f>
        <v/>
      </c>
      <c r="AH855">
        <f>IF(OR(AH$4="",$A855&gt;TODAY()),0,IF(OR(INDEX($B855:$D855,AH$5)="F",AND(AH$6&gt;0,$A855&lt;AH$6),AND(AH$7&gt;0,$A855&gt;AH$7)),0,MAX(0,ROUND((INDEX($E855:$G855,AH$5)-SUMIFS(TF_Timer,TF_Tekniker,AH$4,TF_Dato,$A855))*2,0)/2)))</f>
        <v/>
      </c>
      <c r="AI855">
        <f>IF(OR(AI$4="",$A855&gt;TODAY()),0,IF(OR(INDEX($B855:$D855,AI$5)="F",AND(AI$6&gt;0,$A855&lt;AI$6),AND(AI$7&gt;0,$A855&gt;AI$7)),0,MAX(0,ROUND((INDEX($E855:$G855,AI$5)-SUMIFS(TF_Timer,TF_Tekniker,AI$4,TF_Dato,$A855))*2,0)/2)))</f>
        <v/>
      </c>
      <c r="AJ855">
        <f>IF(OR(AJ$4="",$A855&gt;TODAY()),0,IF(OR(INDEX($B855:$D855,AJ$5)="F",AND(AJ$6&gt;0,$A855&lt;AJ$6),AND(AJ$7&gt;0,$A855&gt;AJ$7)),0,MAX(0,ROUND((INDEX($E855:$G855,AJ$5)-SUMIFS(TF_Timer,TF_Tekniker,AJ$4,TF_Dato,$A855))*2,0)/2)))</f>
        <v/>
      </c>
      <c r="AK855">
        <f>IF(OR(AK$4="",$A855&gt;TODAY()),0,IF(OR(INDEX($B855:$D855,AK$5)="F",AND(AK$6&gt;0,$A855&lt;AK$6),AND(AK$7&gt;0,$A855&gt;AK$7)),0,MAX(0,ROUND((INDEX($E855:$G855,AK$5)-SUMIFS(TF_Timer,TF_Tekniker,AK$4,TF_Dato,$A855))*2,0)/2)))</f>
        <v/>
      </c>
      <c r="AL855">
        <f>IF(OR(AL$4="",$A855&gt;TODAY()),0,IF(OR(INDEX($B855:$D855,AL$5)="F",AND(AL$6&gt;0,$A855&lt;AL$6),AND(AL$7&gt;0,$A855&gt;AL$7)),0,MAX(0,ROUND((INDEX($E855:$G855,AL$5)-SUMIFS(TF_Timer,TF_Tekniker,AL$4,TF_Dato,$A855))*2,0)/2)))</f>
        <v/>
      </c>
      <c r="AM855">
        <f>IF(OR(AM$4="",$A855&gt;TODAY()),0,IF(OR(INDEX($B855:$D855,AM$5)="F",AND(AM$6&gt;0,$A855&lt;AM$6),AND(AM$7&gt;0,$A855&gt;AM$7)),0,MAX(0,ROUND((INDEX($E855:$G855,AM$5)-SUMIFS(TF_Timer,TF_Tekniker,AM$4,TF_Dato,$A855))*2,0)/2)))</f>
        <v/>
      </c>
      <c r="AN855">
        <f>IF(OR(AN$4="",$A855&gt;TODAY()),0,IF(OR(INDEX($B855:$D855,AN$5)="F",AND(AN$6&gt;0,$A855&lt;AN$6),AND(AN$7&gt;0,$A855&gt;AN$7)),0,MAX(0,ROUND((INDEX($E855:$G855,AN$5)-SUMIFS(TF_Timer,TF_Tekniker,AN$4,TF_Dato,$A855))*2,0)/2)))</f>
        <v/>
      </c>
      <c r="AO855">
        <f>IF(OR(AO$4="",$A855&gt;TODAY()),0,IF(OR(INDEX($B855:$D855,AO$5)="F",AND(AO$6&gt;0,$A855&lt;AO$6),AND(AO$7&gt;0,$A855&gt;AO$7)),0,MAX(0,ROUND((INDEX($E855:$G855,AO$5)-SUMIFS(TF_Timer,TF_Tekniker,AO$4,TF_Dato,$A855))*2,0)/2)))</f>
        <v/>
      </c>
      <c r="AP855">
        <f>IF(OR(AP$4="",$A855&gt;TODAY()),0,IF(OR(INDEX($B855:$D855,AP$5)="F",AND(AP$6&gt;0,$A855&lt;AP$6),AND(AP$7&gt;0,$A855&gt;AP$7)),0,MAX(0,ROUND((INDEX($E855:$G855,AP$5)-SUMIFS(TF_Timer,TF_Tekniker,AP$4,TF_Dato,$A855))*2,0)/2)))</f>
        <v/>
      </c>
      <c r="AQ855">
        <f>IF(OR(AQ$4="",$A855&gt;TODAY()),0,IF(OR(INDEX($B855:$D855,AQ$5)="F",AND(AQ$6&gt;0,$A855&lt;AQ$6),AND(AQ$7&gt;0,$A855&gt;AQ$7)),0,MAX(0,ROUND((INDEX($E855:$G855,AQ$5)-SUMIFS(TF_Timer,TF_Tekniker,AQ$4,TF_Dato,$A855))*2,0)/2)))</f>
        <v/>
      </c>
      <c r="AR855">
        <f>IF(OR(AR$4="",$A855&gt;TODAY()),0,IF(OR(INDEX($B855:$D855,AR$5)="F",AND(AR$6&gt;0,$A855&lt;AR$6),AND(AR$7&gt;0,$A855&gt;AR$7)),0,MAX(0,ROUND((INDEX($E855:$G855,AR$5)-SUMIFS(TF_Timer,TF_Tekniker,AR$4,TF_Dato,$A855))*2,0)/2)))</f>
        <v/>
      </c>
      <c r="AS855">
        <f>IF(OR(AS$4="",$A855&gt;TODAY()),0,IF(OR(INDEX($B855:$D855,AS$5)="F",AND(AS$6&gt;0,$A855&lt;AS$6),AND(AS$7&gt;0,$A855&gt;AS$7)),0,MAX(0,ROUND((INDEX($E855:$G855,AS$5)-SUMIFS(TF_Timer,TF_Tekniker,AS$4,TF_Dato,$A855))*2,0)/2)))</f>
        <v/>
      </c>
      <c r="AT855">
        <f>IF(OR(AT$4="",$A855&gt;TODAY()),0,IF(OR(INDEX($B855:$D855,AT$5)="F",AND(AT$6&gt;0,$A855&lt;AT$6),AND(AT$7&gt;0,$A855&gt;AT$7)),0,MAX(0,ROUND((INDEX($E855:$G855,AT$5)-SUMIFS(TF_Timer,TF_Tekniker,AT$4,TF_Dato,$A855))*2,0)/2)))</f>
        <v/>
      </c>
      <c r="AU855">
        <f>IF(OR(AU$4="",$A855&gt;TODAY()),0,IF(OR(INDEX($B855:$D855,AU$5)="F",AND(AU$6&gt;0,$A855&lt;AU$6),AND(AU$7&gt;0,$A855&gt;AU$7)),0,MAX(0,ROUND((INDEX($E855:$G855,AU$5)-SUMIFS(TF_Timer,TF_Tekniker,AU$4,TF_Dato,$A855))*2,0)/2)))</f>
        <v/>
      </c>
      <c r="AV855">
        <f>IF(OR(AV$4="",$A855&gt;TODAY()),0,IF(OR(INDEX($B855:$D855,AV$5)="F",AND(AV$6&gt;0,$A855&lt;AV$6),AND(AV$7&gt;0,$A855&gt;AV$7)),0,MAX(0,ROUND((INDEX($E855:$G855,AV$5)-SUMIFS(TF_Timer,TF_Tekniker,AV$4,TF_Dato,$A855))*2,0)/2)))</f>
        <v/>
      </c>
      <c r="AW855">
        <f>IF(OR(AW$4="",$A855&gt;TODAY()),0,IF(OR(INDEX($B855:$D855,AW$5)="F",AND(AW$6&gt;0,$A855&lt;AW$6),AND(AW$7&gt;0,$A855&gt;AW$7)),0,MAX(0,ROUND((INDEX($E855:$G855,AW$5)-SUMIFS(TF_Timer,TF_Tekniker,AW$4,TF_Dato,$A855))*2,0)/2)))</f>
        <v/>
      </c>
      <c r="AX855">
        <f>IF(OR(AX$4="",$A855&gt;TODAY()),0,IF(OR(INDEX($B855:$D855,AX$5)="F",AND(AX$6&gt;0,$A855&lt;AX$6),AND(AX$7&gt;0,$A855&gt;AX$7)),0,MAX(0,ROUND((INDEX($E855:$G855,AX$5)-SUMIFS(TF_Timer,TF_Tekniker,AX$4,TF_Dato,$A855))*2,0)/2)))</f>
        <v/>
      </c>
      <c r="AY855">
        <f>IF(OR(AY$4="",$A855&gt;TODAY()),0,IF(OR(INDEX($B855:$D855,AY$5)="F",AND(AY$6&gt;0,$A855&lt;AY$6),AND(AY$7&gt;0,$A855&gt;AY$7)),0,MAX(0,ROUND((INDEX($E855:$G855,AY$5)-SUMIFS(TF_Timer,TF_Tekniker,AY$4,TF_Dato,$A855))*2,0)/2)))</f>
        <v/>
      </c>
      <c r="AZ855">
        <f>IF(OR(AZ$4="",$A855&gt;TODAY()),0,IF(OR(INDEX($B855:$D855,AZ$5)="F",AND(AZ$6&gt;0,$A855&lt;AZ$6),AND(AZ$7&gt;0,$A855&gt;AZ$7)),0,MAX(0,ROUND((INDEX($E855:$G855,AZ$5)-SUMIFS(TF_Timer,TF_Tekniker,AZ$4,TF_Dato,$A855))*2,0)/2)))</f>
        <v/>
      </c>
      <c r="BA855">
        <f>IF(OR(BA$4="",$A855&gt;TODAY()),0,IF(OR(INDEX($B855:$D855,BA$5)="F",AND(BA$6&gt;0,$A855&lt;BA$6),AND(BA$7&gt;0,$A855&gt;BA$7)),0,MAX(0,ROUND((INDEX($E855:$G855,BA$5)-SUMIFS(TF_Timer,TF_Tekniker,BA$4,TF_Dato,$A855))*2,0)/2)))</f>
        <v/>
      </c>
      <c r="BB855">
        <f>IF(OR(BB$4="",$A855&gt;TODAY()),0,IF(OR(INDEX($B855:$D855,BB$5)="F",AND(BB$6&gt;0,$A855&lt;BB$6),AND(BB$7&gt;0,$A855&gt;BB$7)),0,MAX(0,ROUND((INDEX($E855:$G855,BB$5)-SUMIFS(TF_Timer,TF_Tekniker,BB$4,TF_Dato,$A855))*2,0)/2)))</f>
        <v/>
      </c>
      <c r="BC855">
        <f>IF(OR(BC$4="",$A855&gt;TODAY()),0,IF(OR(INDEX($B855:$D855,BC$5)="F",AND(BC$6&gt;0,$A855&lt;BC$6),AND(BC$7&gt;0,$A855&gt;BC$7)),0,MAX(0,ROUND((INDEX($E855:$G855,BC$5)-SUMIFS(TF_Timer,TF_Tekniker,BC$4,TF_Dato,$A855))*2,0)/2)))</f>
        <v/>
      </c>
      <c r="BD855">
        <f>IF(OR(BD$4="",$A855&gt;TODAY()),0,IF(OR(INDEX($B855:$D855,BD$5)="F",AND(BD$6&gt;0,$A855&lt;BD$6),AND(BD$7&gt;0,$A855&gt;BD$7)),0,MAX(0,ROUND((INDEX($E855:$G855,BD$5)-SUMIFS(TF_Timer,TF_Tekniker,BD$4,TF_Dato,$A855))*2,0)/2)))</f>
        <v/>
      </c>
      <c r="BE855">
        <f>IF(OR(BE$4="",$A855&gt;TODAY()),0,IF(OR(INDEX($B855:$D855,BE$5)="F",AND(BE$6&gt;0,$A855&lt;BE$6),AND(BE$7&gt;0,$A855&gt;BE$7)),0,MAX(0,ROUND((INDEX($E855:$G855,BE$5)-SUMIFS(TF_Timer,TF_Tekniker,BE$4,TF_Dato,$A855))*2,0)/2)))</f>
        <v/>
      </c>
      <c r="BF855">
        <f>IF(OR(BF$4="",$A855&gt;TODAY()),0,IF(OR(INDEX($B855:$D855,BF$5)="F",AND(BF$6&gt;0,$A855&lt;BF$6),AND(BF$7&gt;0,$A855&gt;BF$7)),0,MAX(0,ROUND((INDEX($E855:$G855,BF$5)-SUMIFS(TF_Timer,TF_Tekniker,BF$4,TF_Dato,$A855))*2,0)/2)))</f>
        <v/>
      </c>
      <c r="BG855">
        <f>IF(OR(BG$4="",$A855&gt;TODAY()),0,IF(OR(INDEX($B855:$D855,BG$5)="F",AND(BG$6&gt;0,$A855&lt;BG$6),AND(BG$7&gt;0,$A855&gt;BG$7)),0,MAX(0,ROUND((INDEX($E855:$G855,BG$5)-SUMIFS(TF_Timer,TF_Tekniker,BG$4,TF_Dato,$A855))*2,0)/2)))</f>
        <v/>
      </c>
      <c r="BH855">
        <f>IF(OR(BH$4="",$A855&gt;TODAY()),0,IF(OR(INDEX($B855:$D855,BH$5)="F",AND(BH$6&gt;0,$A855&lt;BH$6),AND(BH$7&gt;0,$A855&gt;BH$7)),0,MAX(0,ROUND((INDEX($E855:$G855,BH$5)-SUMIFS(TF_Timer,TF_Tekniker,BH$4,TF_Dato,$A855))*2,0)/2)))</f>
        <v/>
      </c>
      <c r="BI855">
        <f>IF(OR(BI$4="",$A855&gt;TODAY()),0,IF(OR(INDEX($B855:$D855,BI$5)="F",AND(BI$6&gt;0,$A855&lt;BI$6),AND(BI$7&gt;0,$A855&gt;BI$7)),0,MAX(0,ROUND((INDEX($E855:$G855,BI$5)-SUMIFS(TF_Timer,TF_Tekniker,BI$4,TF_Dato,$A855))*2,0)/2)))</f>
        <v/>
      </c>
    </row>
    <row r="856">
      <c r="A856" s="64">
        <f>A855+1</f>
        <v/>
      </c>
      <c r="B856">
        <f>IF(MOD($A856-INDEX(SkiftStart,1),Syklus)&lt;DagK,"K",IF(MOD($A856-INDEX(SkiftStart,1),Syklus)&lt;DagK+DagH,"H",IF(MOD($A856-INDEX(SkiftStart,1),Syklus)&lt;DagK+DagH+DagD,"D","F")))</f>
        <v/>
      </c>
      <c r="C856">
        <f>IF(MOD($A856-INDEX(SkiftStart,2),Syklus)&lt;DagK,"K",IF(MOD($A856-INDEX(SkiftStart,2),Syklus)&lt;DagK+DagH,"H",IF(MOD($A856-INDEX(SkiftStart,2),Syklus)&lt;DagK+DagH+DagD,"D","F")))</f>
        <v/>
      </c>
      <c r="D856">
        <f>IF(MOD($A856-INDEX(SkiftStart,3),Syklus)&lt;DagK,"K",IF(MOD($A856-INDEX(SkiftStart,3),Syklus)&lt;DagK+DagH,"H",IF(MOD($A856-INDEX(SkiftStart,3),Syklus)&lt;DagK+DagH+DagD,"D","F")))</f>
        <v/>
      </c>
      <c r="E856">
        <f>IF(B856="F",0,IF(WEEKDAY($A856,2)=5,INDEX(TimerFr,MATCH(B856,FaseKode,0)),INDEX(TimerMT,MATCH(B856,FaseKode,0))))</f>
        <v/>
      </c>
      <c r="F856">
        <f>IF(C856="F",0,IF(WEEKDAY($A856,2)=5,INDEX(TimerFr,MATCH(C856,FaseKode,0)),INDEX(TimerMT,MATCH(C856,FaseKode,0))))</f>
        <v/>
      </c>
      <c r="G856">
        <f>IF(D856="F",0,IF(WEEKDAY($A856,2)=5,INDEX(TimerFr,MATCH(D856,FaseKode,0)),INDEX(TimerMT,MATCH(D856,FaseKode,0))))</f>
        <v/>
      </c>
      <c r="H856">
        <f>IF(OR(H$4="",$A856&gt;TODAY()),0,IF(OR(INDEX($B856:$D856,H$5)="F",AND(H$6&gt;0,$A856&lt;H$6),AND(H$7&gt;0,$A856&gt;H$7)),0,MAX(0,ROUND((INDEX($E856:$G856,H$5)-SUMIFS(TF_Timer,TF_Tekniker,H$4,TF_Dato,$A856))*2,0)/2)))</f>
        <v/>
      </c>
      <c r="I856">
        <f>IF(OR(I$4="",$A856&gt;TODAY()),0,IF(OR(INDEX($B856:$D856,I$5)="F",AND(I$6&gt;0,$A856&lt;I$6),AND(I$7&gt;0,$A856&gt;I$7)),0,MAX(0,ROUND((INDEX($E856:$G856,I$5)-SUMIFS(TF_Timer,TF_Tekniker,I$4,TF_Dato,$A856))*2,0)/2)))</f>
        <v/>
      </c>
      <c r="J856">
        <f>IF(OR(J$4="",$A856&gt;TODAY()),0,IF(OR(INDEX($B856:$D856,J$5)="F",AND(J$6&gt;0,$A856&lt;J$6),AND(J$7&gt;0,$A856&gt;J$7)),0,MAX(0,ROUND((INDEX($E856:$G856,J$5)-SUMIFS(TF_Timer,TF_Tekniker,J$4,TF_Dato,$A856))*2,0)/2)))</f>
        <v/>
      </c>
      <c r="K856">
        <f>IF(OR(K$4="",$A856&gt;TODAY()),0,IF(OR(INDEX($B856:$D856,K$5)="F",AND(K$6&gt;0,$A856&lt;K$6),AND(K$7&gt;0,$A856&gt;K$7)),0,MAX(0,ROUND((INDEX($E856:$G856,K$5)-SUMIFS(TF_Timer,TF_Tekniker,K$4,TF_Dato,$A856))*2,0)/2)))</f>
        <v/>
      </c>
      <c r="L856">
        <f>IF(OR(L$4="",$A856&gt;TODAY()),0,IF(OR(INDEX($B856:$D856,L$5)="F",AND(L$6&gt;0,$A856&lt;L$6),AND(L$7&gt;0,$A856&gt;L$7)),0,MAX(0,ROUND((INDEX($E856:$G856,L$5)-SUMIFS(TF_Timer,TF_Tekniker,L$4,TF_Dato,$A856))*2,0)/2)))</f>
        <v/>
      </c>
      <c r="M856">
        <f>IF(OR(M$4="",$A856&gt;TODAY()),0,IF(OR(INDEX($B856:$D856,M$5)="F",AND(M$6&gt;0,$A856&lt;M$6),AND(M$7&gt;0,$A856&gt;M$7)),0,MAX(0,ROUND((INDEX($E856:$G856,M$5)-SUMIFS(TF_Timer,TF_Tekniker,M$4,TF_Dato,$A856))*2,0)/2)))</f>
        <v/>
      </c>
      <c r="N856">
        <f>IF(OR(N$4="",$A856&gt;TODAY()),0,IF(OR(INDEX($B856:$D856,N$5)="F",AND(N$6&gt;0,$A856&lt;N$6),AND(N$7&gt;0,$A856&gt;N$7)),0,MAX(0,ROUND((INDEX($E856:$G856,N$5)-SUMIFS(TF_Timer,TF_Tekniker,N$4,TF_Dato,$A856))*2,0)/2)))</f>
        <v/>
      </c>
      <c r="O856">
        <f>IF(OR(O$4="",$A856&gt;TODAY()),0,IF(OR(INDEX($B856:$D856,O$5)="F",AND(O$6&gt;0,$A856&lt;O$6),AND(O$7&gt;0,$A856&gt;O$7)),0,MAX(0,ROUND((INDEX($E856:$G856,O$5)-SUMIFS(TF_Timer,TF_Tekniker,O$4,TF_Dato,$A856))*2,0)/2)))</f>
        <v/>
      </c>
      <c r="P856">
        <f>IF(OR(P$4="",$A856&gt;TODAY()),0,IF(OR(INDEX($B856:$D856,P$5)="F",AND(P$6&gt;0,$A856&lt;P$6),AND(P$7&gt;0,$A856&gt;P$7)),0,MAX(0,ROUND((INDEX($E856:$G856,P$5)-SUMIFS(TF_Timer,TF_Tekniker,P$4,TF_Dato,$A856))*2,0)/2)))</f>
        <v/>
      </c>
      <c r="Q856">
        <f>IF(OR(Q$4="",$A856&gt;TODAY()),0,IF(OR(INDEX($B856:$D856,Q$5)="F",AND(Q$6&gt;0,$A856&lt;Q$6),AND(Q$7&gt;0,$A856&gt;Q$7)),0,MAX(0,ROUND((INDEX($E856:$G856,Q$5)-SUMIFS(TF_Timer,TF_Tekniker,Q$4,TF_Dato,$A856))*2,0)/2)))</f>
        <v/>
      </c>
      <c r="R856">
        <f>IF(OR(R$4="",$A856&gt;TODAY()),0,IF(OR(INDEX($B856:$D856,R$5)="F",AND(R$6&gt;0,$A856&lt;R$6),AND(R$7&gt;0,$A856&gt;R$7)),0,MAX(0,ROUND((INDEX($E856:$G856,R$5)-SUMIFS(TF_Timer,TF_Tekniker,R$4,TF_Dato,$A856))*2,0)/2)))</f>
        <v/>
      </c>
      <c r="S856">
        <f>IF(OR(S$4="",$A856&gt;TODAY()),0,IF(OR(INDEX($B856:$D856,S$5)="F",AND(S$6&gt;0,$A856&lt;S$6),AND(S$7&gt;0,$A856&gt;S$7)),0,MAX(0,ROUND((INDEX($E856:$G856,S$5)-SUMIFS(TF_Timer,TF_Tekniker,S$4,TF_Dato,$A856))*2,0)/2)))</f>
        <v/>
      </c>
      <c r="T856">
        <f>IF(OR(T$4="",$A856&gt;TODAY()),0,IF(OR(INDEX($B856:$D856,T$5)="F",AND(T$6&gt;0,$A856&lt;T$6),AND(T$7&gt;0,$A856&gt;T$7)),0,MAX(0,ROUND((INDEX($E856:$G856,T$5)-SUMIFS(TF_Timer,TF_Tekniker,T$4,TF_Dato,$A856))*2,0)/2)))</f>
        <v/>
      </c>
      <c r="U856">
        <f>IF(OR(U$4="",$A856&gt;TODAY()),0,IF(OR(INDEX($B856:$D856,U$5)="F",AND(U$6&gt;0,$A856&lt;U$6),AND(U$7&gt;0,$A856&gt;U$7)),0,MAX(0,ROUND((INDEX($E856:$G856,U$5)-SUMIFS(TF_Timer,TF_Tekniker,U$4,TF_Dato,$A856))*2,0)/2)))</f>
        <v/>
      </c>
      <c r="V856">
        <f>IF(OR(V$4="",$A856&gt;TODAY()),0,IF(OR(INDEX($B856:$D856,V$5)="F",AND(V$6&gt;0,$A856&lt;V$6),AND(V$7&gt;0,$A856&gt;V$7)),0,MAX(0,ROUND((INDEX($E856:$G856,V$5)-SUMIFS(TF_Timer,TF_Tekniker,V$4,TF_Dato,$A856))*2,0)/2)))</f>
        <v/>
      </c>
      <c r="W856">
        <f>IF(OR(W$4="",$A856&gt;TODAY()),0,IF(OR(INDEX($B856:$D856,W$5)="F",AND(W$6&gt;0,$A856&lt;W$6),AND(W$7&gt;0,$A856&gt;W$7)),0,MAX(0,ROUND((INDEX($E856:$G856,W$5)-SUMIFS(TF_Timer,TF_Tekniker,W$4,TF_Dato,$A856))*2,0)/2)))</f>
        <v/>
      </c>
      <c r="X856">
        <f>IF(OR(X$4="",$A856&gt;TODAY()),0,IF(OR(INDEX($B856:$D856,X$5)="F",AND(X$6&gt;0,$A856&lt;X$6),AND(X$7&gt;0,$A856&gt;X$7)),0,MAX(0,ROUND((INDEX($E856:$G856,X$5)-SUMIFS(TF_Timer,TF_Tekniker,X$4,TF_Dato,$A856))*2,0)/2)))</f>
        <v/>
      </c>
      <c r="Y856">
        <f>IF(OR(Y$4="",$A856&gt;TODAY()),0,IF(OR(INDEX($B856:$D856,Y$5)="F",AND(Y$6&gt;0,$A856&lt;Y$6),AND(Y$7&gt;0,$A856&gt;Y$7)),0,MAX(0,ROUND((INDEX($E856:$G856,Y$5)-SUMIFS(TF_Timer,TF_Tekniker,Y$4,TF_Dato,$A856))*2,0)/2)))</f>
        <v/>
      </c>
      <c r="Z856">
        <f>IF(OR(Z$4="",$A856&gt;TODAY()),0,IF(OR(INDEX($B856:$D856,Z$5)="F",AND(Z$6&gt;0,$A856&lt;Z$6),AND(Z$7&gt;0,$A856&gt;Z$7)),0,MAX(0,ROUND((INDEX($E856:$G856,Z$5)-SUMIFS(TF_Timer,TF_Tekniker,Z$4,TF_Dato,$A856))*2,0)/2)))</f>
        <v/>
      </c>
      <c r="AA856">
        <f>IF(OR(AA$4="",$A856&gt;TODAY()),0,IF(OR(INDEX($B856:$D856,AA$5)="F",AND(AA$6&gt;0,$A856&lt;AA$6),AND(AA$7&gt;0,$A856&gt;AA$7)),0,MAX(0,ROUND((INDEX($E856:$G856,AA$5)-SUMIFS(TF_Timer,TF_Tekniker,AA$4,TF_Dato,$A856))*2,0)/2)))</f>
        <v/>
      </c>
      <c r="AB856">
        <f>IF(OR(AB$4="",$A856&gt;TODAY()),0,IF(OR(INDEX($B856:$D856,AB$5)="F",AND(AB$6&gt;0,$A856&lt;AB$6),AND(AB$7&gt;0,$A856&gt;AB$7)),0,MAX(0,ROUND((INDEX($E856:$G856,AB$5)-SUMIFS(TF_Timer,TF_Tekniker,AB$4,TF_Dato,$A856))*2,0)/2)))</f>
        <v/>
      </c>
      <c r="AC856">
        <f>IF(OR(AC$4="",$A856&gt;TODAY()),0,IF(OR(INDEX($B856:$D856,AC$5)="F",AND(AC$6&gt;0,$A856&lt;AC$6),AND(AC$7&gt;0,$A856&gt;AC$7)),0,MAX(0,ROUND((INDEX($E856:$G856,AC$5)-SUMIFS(TF_Timer,TF_Tekniker,AC$4,TF_Dato,$A856))*2,0)/2)))</f>
        <v/>
      </c>
      <c r="AD856">
        <f>IF(OR(AD$4="",$A856&gt;TODAY()),0,IF(OR(INDEX($B856:$D856,AD$5)="F",AND(AD$6&gt;0,$A856&lt;AD$6),AND(AD$7&gt;0,$A856&gt;AD$7)),0,MAX(0,ROUND((INDEX($E856:$G856,AD$5)-SUMIFS(TF_Timer,TF_Tekniker,AD$4,TF_Dato,$A856))*2,0)/2)))</f>
        <v/>
      </c>
      <c r="AE856">
        <f>IF(OR(AE$4="",$A856&gt;TODAY()),0,IF(OR(INDEX($B856:$D856,AE$5)="F",AND(AE$6&gt;0,$A856&lt;AE$6),AND(AE$7&gt;0,$A856&gt;AE$7)),0,MAX(0,ROUND((INDEX($E856:$G856,AE$5)-SUMIFS(TF_Timer,TF_Tekniker,AE$4,TF_Dato,$A856))*2,0)/2)))</f>
        <v/>
      </c>
      <c r="AF856">
        <f>IF(OR(AF$4="",$A856&gt;TODAY()),0,IF(OR(INDEX($B856:$D856,AF$5)="F",AND(AF$6&gt;0,$A856&lt;AF$6),AND(AF$7&gt;0,$A856&gt;AF$7)),0,MAX(0,ROUND((INDEX($E856:$G856,AF$5)-SUMIFS(TF_Timer,TF_Tekniker,AF$4,TF_Dato,$A856))*2,0)/2)))</f>
        <v/>
      </c>
      <c r="AG856">
        <f>IF(OR(AG$4="",$A856&gt;TODAY()),0,IF(OR(INDEX($B856:$D856,AG$5)="F",AND(AG$6&gt;0,$A856&lt;AG$6),AND(AG$7&gt;0,$A856&gt;AG$7)),0,MAX(0,ROUND((INDEX($E856:$G856,AG$5)-SUMIFS(TF_Timer,TF_Tekniker,AG$4,TF_Dato,$A856))*2,0)/2)))</f>
        <v/>
      </c>
      <c r="AH856">
        <f>IF(OR(AH$4="",$A856&gt;TODAY()),0,IF(OR(INDEX($B856:$D856,AH$5)="F",AND(AH$6&gt;0,$A856&lt;AH$6),AND(AH$7&gt;0,$A856&gt;AH$7)),0,MAX(0,ROUND((INDEX($E856:$G856,AH$5)-SUMIFS(TF_Timer,TF_Tekniker,AH$4,TF_Dato,$A856))*2,0)/2)))</f>
        <v/>
      </c>
      <c r="AI856">
        <f>IF(OR(AI$4="",$A856&gt;TODAY()),0,IF(OR(INDEX($B856:$D856,AI$5)="F",AND(AI$6&gt;0,$A856&lt;AI$6),AND(AI$7&gt;0,$A856&gt;AI$7)),0,MAX(0,ROUND((INDEX($E856:$G856,AI$5)-SUMIFS(TF_Timer,TF_Tekniker,AI$4,TF_Dato,$A856))*2,0)/2)))</f>
        <v/>
      </c>
      <c r="AJ856">
        <f>IF(OR(AJ$4="",$A856&gt;TODAY()),0,IF(OR(INDEX($B856:$D856,AJ$5)="F",AND(AJ$6&gt;0,$A856&lt;AJ$6),AND(AJ$7&gt;0,$A856&gt;AJ$7)),0,MAX(0,ROUND((INDEX($E856:$G856,AJ$5)-SUMIFS(TF_Timer,TF_Tekniker,AJ$4,TF_Dato,$A856))*2,0)/2)))</f>
        <v/>
      </c>
      <c r="AK856">
        <f>IF(OR(AK$4="",$A856&gt;TODAY()),0,IF(OR(INDEX($B856:$D856,AK$5)="F",AND(AK$6&gt;0,$A856&lt;AK$6),AND(AK$7&gt;0,$A856&gt;AK$7)),0,MAX(0,ROUND((INDEX($E856:$G856,AK$5)-SUMIFS(TF_Timer,TF_Tekniker,AK$4,TF_Dato,$A856))*2,0)/2)))</f>
        <v/>
      </c>
      <c r="AL856">
        <f>IF(OR(AL$4="",$A856&gt;TODAY()),0,IF(OR(INDEX($B856:$D856,AL$5)="F",AND(AL$6&gt;0,$A856&lt;AL$6),AND(AL$7&gt;0,$A856&gt;AL$7)),0,MAX(0,ROUND((INDEX($E856:$G856,AL$5)-SUMIFS(TF_Timer,TF_Tekniker,AL$4,TF_Dato,$A856))*2,0)/2)))</f>
        <v/>
      </c>
      <c r="AM856">
        <f>IF(OR(AM$4="",$A856&gt;TODAY()),0,IF(OR(INDEX($B856:$D856,AM$5)="F",AND(AM$6&gt;0,$A856&lt;AM$6),AND(AM$7&gt;0,$A856&gt;AM$7)),0,MAX(0,ROUND((INDEX($E856:$G856,AM$5)-SUMIFS(TF_Timer,TF_Tekniker,AM$4,TF_Dato,$A856))*2,0)/2)))</f>
        <v/>
      </c>
      <c r="AN856">
        <f>IF(OR(AN$4="",$A856&gt;TODAY()),0,IF(OR(INDEX($B856:$D856,AN$5)="F",AND(AN$6&gt;0,$A856&lt;AN$6),AND(AN$7&gt;0,$A856&gt;AN$7)),0,MAX(0,ROUND((INDEX($E856:$G856,AN$5)-SUMIFS(TF_Timer,TF_Tekniker,AN$4,TF_Dato,$A856))*2,0)/2)))</f>
        <v/>
      </c>
      <c r="AO856">
        <f>IF(OR(AO$4="",$A856&gt;TODAY()),0,IF(OR(INDEX($B856:$D856,AO$5)="F",AND(AO$6&gt;0,$A856&lt;AO$6),AND(AO$7&gt;0,$A856&gt;AO$7)),0,MAX(0,ROUND((INDEX($E856:$G856,AO$5)-SUMIFS(TF_Timer,TF_Tekniker,AO$4,TF_Dato,$A856))*2,0)/2)))</f>
        <v/>
      </c>
      <c r="AP856">
        <f>IF(OR(AP$4="",$A856&gt;TODAY()),0,IF(OR(INDEX($B856:$D856,AP$5)="F",AND(AP$6&gt;0,$A856&lt;AP$6),AND(AP$7&gt;0,$A856&gt;AP$7)),0,MAX(0,ROUND((INDEX($E856:$G856,AP$5)-SUMIFS(TF_Timer,TF_Tekniker,AP$4,TF_Dato,$A856))*2,0)/2)))</f>
        <v/>
      </c>
      <c r="AQ856">
        <f>IF(OR(AQ$4="",$A856&gt;TODAY()),0,IF(OR(INDEX($B856:$D856,AQ$5)="F",AND(AQ$6&gt;0,$A856&lt;AQ$6),AND(AQ$7&gt;0,$A856&gt;AQ$7)),0,MAX(0,ROUND((INDEX($E856:$G856,AQ$5)-SUMIFS(TF_Timer,TF_Tekniker,AQ$4,TF_Dato,$A856))*2,0)/2)))</f>
        <v/>
      </c>
      <c r="AR856">
        <f>IF(OR(AR$4="",$A856&gt;TODAY()),0,IF(OR(INDEX($B856:$D856,AR$5)="F",AND(AR$6&gt;0,$A856&lt;AR$6),AND(AR$7&gt;0,$A856&gt;AR$7)),0,MAX(0,ROUND((INDEX($E856:$G856,AR$5)-SUMIFS(TF_Timer,TF_Tekniker,AR$4,TF_Dato,$A856))*2,0)/2)))</f>
        <v/>
      </c>
      <c r="AS856">
        <f>IF(OR(AS$4="",$A856&gt;TODAY()),0,IF(OR(INDEX($B856:$D856,AS$5)="F",AND(AS$6&gt;0,$A856&lt;AS$6),AND(AS$7&gt;0,$A856&gt;AS$7)),0,MAX(0,ROUND((INDEX($E856:$G856,AS$5)-SUMIFS(TF_Timer,TF_Tekniker,AS$4,TF_Dato,$A856))*2,0)/2)))</f>
        <v/>
      </c>
      <c r="AT856">
        <f>IF(OR(AT$4="",$A856&gt;TODAY()),0,IF(OR(INDEX($B856:$D856,AT$5)="F",AND(AT$6&gt;0,$A856&lt;AT$6),AND(AT$7&gt;0,$A856&gt;AT$7)),0,MAX(0,ROUND((INDEX($E856:$G856,AT$5)-SUMIFS(TF_Timer,TF_Tekniker,AT$4,TF_Dato,$A856))*2,0)/2)))</f>
        <v/>
      </c>
      <c r="AU856">
        <f>IF(OR(AU$4="",$A856&gt;TODAY()),0,IF(OR(INDEX($B856:$D856,AU$5)="F",AND(AU$6&gt;0,$A856&lt;AU$6),AND(AU$7&gt;0,$A856&gt;AU$7)),0,MAX(0,ROUND((INDEX($E856:$G856,AU$5)-SUMIFS(TF_Timer,TF_Tekniker,AU$4,TF_Dato,$A856))*2,0)/2)))</f>
        <v/>
      </c>
      <c r="AV856">
        <f>IF(OR(AV$4="",$A856&gt;TODAY()),0,IF(OR(INDEX($B856:$D856,AV$5)="F",AND(AV$6&gt;0,$A856&lt;AV$6),AND(AV$7&gt;0,$A856&gt;AV$7)),0,MAX(0,ROUND((INDEX($E856:$G856,AV$5)-SUMIFS(TF_Timer,TF_Tekniker,AV$4,TF_Dato,$A856))*2,0)/2)))</f>
        <v/>
      </c>
      <c r="AW856">
        <f>IF(OR(AW$4="",$A856&gt;TODAY()),0,IF(OR(INDEX($B856:$D856,AW$5)="F",AND(AW$6&gt;0,$A856&lt;AW$6),AND(AW$7&gt;0,$A856&gt;AW$7)),0,MAX(0,ROUND((INDEX($E856:$G856,AW$5)-SUMIFS(TF_Timer,TF_Tekniker,AW$4,TF_Dato,$A856))*2,0)/2)))</f>
        <v/>
      </c>
      <c r="AX856">
        <f>IF(OR(AX$4="",$A856&gt;TODAY()),0,IF(OR(INDEX($B856:$D856,AX$5)="F",AND(AX$6&gt;0,$A856&lt;AX$6),AND(AX$7&gt;0,$A856&gt;AX$7)),0,MAX(0,ROUND((INDEX($E856:$G856,AX$5)-SUMIFS(TF_Timer,TF_Tekniker,AX$4,TF_Dato,$A856))*2,0)/2)))</f>
        <v/>
      </c>
      <c r="AY856">
        <f>IF(OR(AY$4="",$A856&gt;TODAY()),0,IF(OR(INDEX($B856:$D856,AY$5)="F",AND(AY$6&gt;0,$A856&lt;AY$6),AND(AY$7&gt;0,$A856&gt;AY$7)),0,MAX(0,ROUND((INDEX($E856:$G856,AY$5)-SUMIFS(TF_Timer,TF_Tekniker,AY$4,TF_Dato,$A856))*2,0)/2)))</f>
        <v/>
      </c>
      <c r="AZ856">
        <f>IF(OR(AZ$4="",$A856&gt;TODAY()),0,IF(OR(INDEX($B856:$D856,AZ$5)="F",AND(AZ$6&gt;0,$A856&lt;AZ$6),AND(AZ$7&gt;0,$A856&gt;AZ$7)),0,MAX(0,ROUND((INDEX($E856:$G856,AZ$5)-SUMIFS(TF_Timer,TF_Tekniker,AZ$4,TF_Dato,$A856))*2,0)/2)))</f>
        <v/>
      </c>
      <c r="BA856">
        <f>IF(OR(BA$4="",$A856&gt;TODAY()),0,IF(OR(INDEX($B856:$D856,BA$5)="F",AND(BA$6&gt;0,$A856&lt;BA$6),AND(BA$7&gt;0,$A856&gt;BA$7)),0,MAX(0,ROUND((INDEX($E856:$G856,BA$5)-SUMIFS(TF_Timer,TF_Tekniker,BA$4,TF_Dato,$A856))*2,0)/2)))</f>
        <v/>
      </c>
      <c r="BB856">
        <f>IF(OR(BB$4="",$A856&gt;TODAY()),0,IF(OR(INDEX($B856:$D856,BB$5)="F",AND(BB$6&gt;0,$A856&lt;BB$6),AND(BB$7&gt;0,$A856&gt;BB$7)),0,MAX(0,ROUND((INDEX($E856:$G856,BB$5)-SUMIFS(TF_Timer,TF_Tekniker,BB$4,TF_Dato,$A856))*2,0)/2)))</f>
        <v/>
      </c>
      <c r="BC856">
        <f>IF(OR(BC$4="",$A856&gt;TODAY()),0,IF(OR(INDEX($B856:$D856,BC$5)="F",AND(BC$6&gt;0,$A856&lt;BC$6),AND(BC$7&gt;0,$A856&gt;BC$7)),0,MAX(0,ROUND((INDEX($E856:$G856,BC$5)-SUMIFS(TF_Timer,TF_Tekniker,BC$4,TF_Dato,$A856))*2,0)/2)))</f>
        <v/>
      </c>
      <c r="BD856">
        <f>IF(OR(BD$4="",$A856&gt;TODAY()),0,IF(OR(INDEX($B856:$D856,BD$5)="F",AND(BD$6&gt;0,$A856&lt;BD$6),AND(BD$7&gt;0,$A856&gt;BD$7)),0,MAX(0,ROUND((INDEX($E856:$G856,BD$5)-SUMIFS(TF_Timer,TF_Tekniker,BD$4,TF_Dato,$A856))*2,0)/2)))</f>
        <v/>
      </c>
      <c r="BE856">
        <f>IF(OR(BE$4="",$A856&gt;TODAY()),0,IF(OR(INDEX($B856:$D856,BE$5)="F",AND(BE$6&gt;0,$A856&lt;BE$6),AND(BE$7&gt;0,$A856&gt;BE$7)),0,MAX(0,ROUND((INDEX($E856:$G856,BE$5)-SUMIFS(TF_Timer,TF_Tekniker,BE$4,TF_Dato,$A856))*2,0)/2)))</f>
        <v/>
      </c>
      <c r="BF856">
        <f>IF(OR(BF$4="",$A856&gt;TODAY()),0,IF(OR(INDEX($B856:$D856,BF$5)="F",AND(BF$6&gt;0,$A856&lt;BF$6),AND(BF$7&gt;0,$A856&gt;BF$7)),0,MAX(0,ROUND((INDEX($E856:$G856,BF$5)-SUMIFS(TF_Timer,TF_Tekniker,BF$4,TF_Dato,$A856))*2,0)/2)))</f>
        <v/>
      </c>
      <c r="BG856">
        <f>IF(OR(BG$4="",$A856&gt;TODAY()),0,IF(OR(INDEX($B856:$D856,BG$5)="F",AND(BG$6&gt;0,$A856&lt;BG$6),AND(BG$7&gt;0,$A856&gt;BG$7)),0,MAX(0,ROUND((INDEX($E856:$G856,BG$5)-SUMIFS(TF_Timer,TF_Tekniker,BG$4,TF_Dato,$A856))*2,0)/2)))</f>
        <v/>
      </c>
      <c r="BH856">
        <f>IF(OR(BH$4="",$A856&gt;TODAY()),0,IF(OR(INDEX($B856:$D856,BH$5)="F",AND(BH$6&gt;0,$A856&lt;BH$6),AND(BH$7&gt;0,$A856&gt;BH$7)),0,MAX(0,ROUND((INDEX($E856:$G856,BH$5)-SUMIFS(TF_Timer,TF_Tekniker,BH$4,TF_Dato,$A856))*2,0)/2)))</f>
        <v/>
      </c>
      <c r="BI856">
        <f>IF(OR(BI$4="",$A856&gt;TODAY()),0,IF(OR(INDEX($B856:$D856,BI$5)="F",AND(BI$6&gt;0,$A856&lt;BI$6),AND(BI$7&gt;0,$A856&gt;BI$7)),0,MAX(0,ROUND((INDEX($E856:$G856,BI$5)-SUMIFS(TF_Timer,TF_Tekniker,BI$4,TF_Dato,$A856))*2,0)/2)))</f>
        <v/>
      </c>
    </row>
    <row r="857">
      <c r="A857" s="64">
        <f>A856+1</f>
        <v/>
      </c>
      <c r="B857">
        <f>IF(MOD($A857-INDEX(SkiftStart,1),Syklus)&lt;DagK,"K",IF(MOD($A857-INDEX(SkiftStart,1),Syklus)&lt;DagK+DagH,"H",IF(MOD($A857-INDEX(SkiftStart,1),Syklus)&lt;DagK+DagH+DagD,"D","F")))</f>
        <v/>
      </c>
      <c r="C857">
        <f>IF(MOD($A857-INDEX(SkiftStart,2),Syklus)&lt;DagK,"K",IF(MOD($A857-INDEX(SkiftStart,2),Syklus)&lt;DagK+DagH,"H",IF(MOD($A857-INDEX(SkiftStart,2),Syklus)&lt;DagK+DagH+DagD,"D","F")))</f>
        <v/>
      </c>
      <c r="D857">
        <f>IF(MOD($A857-INDEX(SkiftStart,3),Syklus)&lt;DagK,"K",IF(MOD($A857-INDEX(SkiftStart,3),Syklus)&lt;DagK+DagH,"H",IF(MOD($A857-INDEX(SkiftStart,3),Syklus)&lt;DagK+DagH+DagD,"D","F")))</f>
        <v/>
      </c>
      <c r="E857">
        <f>IF(B857="F",0,IF(WEEKDAY($A857,2)=5,INDEX(TimerFr,MATCH(B857,FaseKode,0)),INDEX(TimerMT,MATCH(B857,FaseKode,0))))</f>
        <v/>
      </c>
      <c r="F857">
        <f>IF(C857="F",0,IF(WEEKDAY($A857,2)=5,INDEX(TimerFr,MATCH(C857,FaseKode,0)),INDEX(TimerMT,MATCH(C857,FaseKode,0))))</f>
        <v/>
      </c>
      <c r="G857">
        <f>IF(D857="F",0,IF(WEEKDAY($A857,2)=5,INDEX(TimerFr,MATCH(D857,FaseKode,0)),INDEX(TimerMT,MATCH(D857,FaseKode,0))))</f>
        <v/>
      </c>
      <c r="H857">
        <f>IF(OR(H$4="",$A857&gt;TODAY()),0,IF(OR(INDEX($B857:$D857,H$5)="F",AND(H$6&gt;0,$A857&lt;H$6),AND(H$7&gt;0,$A857&gt;H$7)),0,MAX(0,ROUND((INDEX($E857:$G857,H$5)-SUMIFS(TF_Timer,TF_Tekniker,H$4,TF_Dato,$A857))*2,0)/2)))</f>
        <v/>
      </c>
      <c r="I857">
        <f>IF(OR(I$4="",$A857&gt;TODAY()),0,IF(OR(INDEX($B857:$D857,I$5)="F",AND(I$6&gt;0,$A857&lt;I$6),AND(I$7&gt;0,$A857&gt;I$7)),0,MAX(0,ROUND((INDEX($E857:$G857,I$5)-SUMIFS(TF_Timer,TF_Tekniker,I$4,TF_Dato,$A857))*2,0)/2)))</f>
        <v/>
      </c>
      <c r="J857">
        <f>IF(OR(J$4="",$A857&gt;TODAY()),0,IF(OR(INDEX($B857:$D857,J$5)="F",AND(J$6&gt;0,$A857&lt;J$6),AND(J$7&gt;0,$A857&gt;J$7)),0,MAX(0,ROUND((INDEX($E857:$G857,J$5)-SUMIFS(TF_Timer,TF_Tekniker,J$4,TF_Dato,$A857))*2,0)/2)))</f>
        <v/>
      </c>
      <c r="K857">
        <f>IF(OR(K$4="",$A857&gt;TODAY()),0,IF(OR(INDEX($B857:$D857,K$5)="F",AND(K$6&gt;0,$A857&lt;K$6),AND(K$7&gt;0,$A857&gt;K$7)),0,MAX(0,ROUND((INDEX($E857:$G857,K$5)-SUMIFS(TF_Timer,TF_Tekniker,K$4,TF_Dato,$A857))*2,0)/2)))</f>
        <v/>
      </c>
      <c r="L857">
        <f>IF(OR(L$4="",$A857&gt;TODAY()),0,IF(OR(INDEX($B857:$D857,L$5)="F",AND(L$6&gt;0,$A857&lt;L$6),AND(L$7&gt;0,$A857&gt;L$7)),0,MAX(0,ROUND((INDEX($E857:$G857,L$5)-SUMIFS(TF_Timer,TF_Tekniker,L$4,TF_Dato,$A857))*2,0)/2)))</f>
        <v/>
      </c>
      <c r="M857">
        <f>IF(OR(M$4="",$A857&gt;TODAY()),0,IF(OR(INDEX($B857:$D857,M$5)="F",AND(M$6&gt;0,$A857&lt;M$6),AND(M$7&gt;0,$A857&gt;M$7)),0,MAX(0,ROUND((INDEX($E857:$G857,M$5)-SUMIFS(TF_Timer,TF_Tekniker,M$4,TF_Dato,$A857))*2,0)/2)))</f>
        <v/>
      </c>
      <c r="N857">
        <f>IF(OR(N$4="",$A857&gt;TODAY()),0,IF(OR(INDEX($B857:$D857,N$5)="F",AND(N$6&gt;0,$A857&lt;N$6),AND(N$7&gt;0,$A857&gt;N$7)),0,MAX(0,ROUND((INDEX($E857:$G857,N$5)-SUMIFS(TF_Timer,TF_Tekniker,N$4,TF_Dato,$A857))*2,0)/2)))</f>
        <v/>
      </c>
      <c r="O857">
        <f>IF(OR(O$4="",$A857&gt;TODAY()),0,IF(OR(INDEX($B857:$D857,O$5)="F",AND(O$6&gt;0,$A857&lt;O$6),AND(O$7&gt;0,$A857&gt;O$7)),0,MAX(0,ROUND((INDEX($E857:$G857,O$5)-SUMIFS(TF_Timer,TF_Tekniker,O$4,TF_Dato,$A857))*2,0)/2)))</f>
        <v/>
      </c>
      <c r="P857">
        <f>IF(OR(P$4="",$A857&gt;TODAY()),0,IF(OR(INDEX($B857:$D857,P$5)="F",AND(P$6&gt;0,$A857&lt;P$6),AND(P$7&gt;0,$A857&gt;P$7)),0,MAX(0,ROUND((INDEX($E857:$G857,P$5)-SUMIFS(TF_Timer,TF_Tekniker,P$4,TF_Dato,$A857))*2,0)/2)))</f>
        <v/>
      </c>
      <c r="Q857">
        <f>IF(OR(Q$4="",$A857&gt;TODAY()),0,IF(OR(INDEX($B857:$D857,Q$5)="F",AND(Q$6&gt;0,$A857&lt;Q$6),AND(Q$7&gt;0,$A857&gt;Q$7)),0,MAX(0,ROUND((INDEX($E857:$G857,Q$5)-SUMIFS(TF_Timer,TF_Tekniker,Q$4,TF_Dato,$A857))*2,0)/2)))</f>
        <v/>
      </c>
      <c r="R857">
        <f>IF(OR(R$4="",$A857&gt;TODAY()),0,IF(OR(INDEX($B857:$D857,R$5)="F",AND(R$6&gt;0,$A857&lt;R$6),AND(R$7&gt;0,$A857&gt;R$7)),0,MAX(0,ROUND((INDEX($E857:$G857,R$5)-SUMIFS(TF_Timer,TF_Tekniker,R$4,TF_Dato,$A857))*2,0)/2)))</f>
        <v/>
      </c>
      <c r="S857">
        <f>IF(OR(S$4="",$A857&gt;TODAY()),0,IF(OR(INDEX($B857:$D857,S$5)="F",AND(S$6&gt;0,$A857&lt;S$6),AND(S$7&gt;0,$A857&gt;S$7)),0,MAX(0,ROUND((INDEX($E857:$G857,S$5)-SUMIFS(TF_Timer,TF_Tekniker,S$4,TF_Dato,$A857))*2,0)/2)))</f>
        <v/>
      </c>
      <c r="T857">
        <f>IF(OR(T$4="",$A857&gt;TODAY()),0,IF(OR(INDEX($B857:$D857,T$5)="F",AND(T$6&gt;0,$A857&lt;T$6),AND(T$7&gt;0,$A857&gt;T$7)),0,MAX(0,ROUND((INDEX($E857:$G857,T$5)-SUMIFS(TF_Timer,TF_Tekniker,T$4,TF_Dato,$A857))*2,0)/2)))</f>
        <v/>
      </c>
      <c r="U857">
        <f>IF(OR(U$4="",$A857&gt;TODAY()),0,IF(OR(INDEX($B857:$D857,U$5)="F",AND(U$6&gt;0,$A857&lt;U$6),AND(U$7&gt;0,$A857&gt;U$7)),0,MAX(0,ROUND((INDEX($E857:$G857,U$5)-SUMIFS(TF_Timer,TF_Tekniker,U$4,TF_Dato,$A857))*2,0)/2)))</f>
        <v/>
      </c>
      <c r="V857">
        <f>IF(OR(V$4="",$A857&gt;TODAY()),0,IF(OR(INDEX($B857:$D857,V$5)="F",AND(V$6&gt;0,$A857&lt;V$6),AND(V$7&gt;0,$A857&gt;V$7)),0,MAX(0,ROUND((INDEX($E857:$G857,V$5)-SUMIFS(TF_Timer,TF_Tekniker,V$4,TF_Dato,$A857))*2,0)/2)))</f>
        <v/>
      </c>
      <c r="W857">
        <f>IF(OR(W$4="",$A857&gt;TODAY()),0,IF(OR(INDEX($B857:$D857,W$5)="F",AND(W$6&gt;0,$A857&lt;W$6),AND(W$7&gt;0,$A857&gt;W$7)),0,MAX(0,ROUND((INDEX($E857:$G857,W$5)-SUMIFS(TF_Timer,TF_Tekniker,W$4,TF_Dato,$A857))*2,0)/2)))</f>
        <v/>
      </c>
      <c r="X857">
        <f>IF(OR(X$4="",$A857&gt;TODAY()),0,IF(OR(INDEX($B857:$D857,X$5)="F",AND(X$6&gt;0,$A857&lt;X$6),AND(X$7&gt;0,$A857&gt;X$7)),0,MAX(0,ROUND((INDEX($E857:$G857,X$5)-SUMIFS(TF_Timer,TF_Tekniker,X$4,TF_Dato,$A857))*2,0)/2)))</f>
        <v/>
      </c>
      <c r="Y857">
        <f>IF(OR(Y$4="",$A857&gt;TODAY()),0,IF(OR(INDEX($B857:$D857,Y$5)="F",AND(Y$6&gt;0,$A857&lt;Y$6),AND(Y$7&gt;0,$A857&gt;Y$7)),0,MAX(0,ROUND((INDEX($E857:$G857,Y$5)-SUMIFS(TF_Timer,TF_Tekniker,Y$4,TF_Dato,$A857))*2,0)/2)))</f>
        <v/>
      </c>
      <c r="Z857">
        <f>IF(OR(Z$4="",$A857&gt;TODAY()),0,IF(OR(INDEX($B857:$D857,Z$5)="F",AND(Z$6&gt;0,$A857&lt;Z$6),AND(Z$7&gt;0,$A857&gt;Z$7)),0,MAX(0,ROUND((INDEX($E857:$G857,Z$5)-SUMIFS(TF_Timer,TF_Tekniker,Z$4,TF_Dato,$A857))*2,0)/2)))</f>
        <v/>
      </c>
      <c r="AA857">
        <f>IF(OR(AA$4="",$A857&gt;TODAY()),0,IF(OR(INDEX($B857:$D857,AA$5)="F",AND(AA$6&gt;0,$A857&lt;AA$6),AND(AA$7&gt;0,$A857&gt;AA$7)),0,MAX(0,ROUND((INDEX($E857:$G857,AA$5)-SUMIFS(TF_Timer,TF_Tekniker,AA$4,TF_Dato,$A857))*2,0)/2)))</f>
        <v/>
      </c>
      <c r="AB857">
        <f>IF(OR(AB$4="",$A857&gt;TODAY()),0,IF(OR(INDEX($B857:$D857,AB$5)="F",AND(AB$6&gt;0,$A857&lt;AB$6),AND(AB$7&gt;0,$A857&gt;AB$7)),0,MAX(0,ROUND((INDEX($E857:$G857,AB$5)-SUMIFS(TF_Timer,TF_Tekniker,AB$4,TF_Dato,$A857))*2,0)/2)))</f>
        <v/>
      </c>
      <c r="AC857">
        <f>IF(OR(AC$4="",$A857&gt;TODAY()),0,IF(OR(INDEX($B857:$D857,AC$5)="F",AND(AC$6&gt;0,$A857&lt;AC$6),AND(AC$7&gt;0,$A857&gt;AC$7)),0,MAX(0,ROUND((INDEX($E857:$G857,AC$5)-SUMIFS(TF_Timer,TF_Tekniker,AC$4,TF_Dato,$A857))*2,0)/2)))</f>
        <v/>
      </c>
      <c r="AD857">
        <f>IF(OR(AD$4="",$A857&gt;TODAY()),0,IF(OR(INDEX($B857:$D857,AD$5)="F",AND(AD$6&gt;0,$A857&lt;AD$6),AND(AD$7&gt;0,$A857&gt;AD$7)),0,MAX(0,ROUND((INDEX($E857:$G857,AD$5)-SUMIFS(TF_Timer,TF_Tekniker,AD$4,TF_Dato,$A857))*2,0)/2)))</f>
        <v/>
      </c>
      <c r="AE857">
        <f>IF(OR(AE$4="",$A857&gt;TODAY()),0,IF(OR(INDEX($B857:$D857,AE$5)="F",AND(AE$6&gt;0,$A857&lt;AE$6),AND(AE$7&gt;0,$A857&gt;AE$7)),0,MAX(0,ROUND((INDEX($E857:$G857,AE$5)-SUMIFS(TF_Timer,TF_Tekniker,AE$4,TF_Dato,$A857))*2,0)/2)))</f>
        <v/>
      </c>
      <c r="AF857">
        <f>IF(OR(AF$4="",$A857&gt;TODAY()),0,IF(OR(INDEX($B857:$D857,AF$5)="F",AND(AF$6&gt;0,$A857&lt;AF$6),AND(AF$7&gt;0,$A857&gt;AF$7)),0,MAX(0,ROUND((INDEX($E857:$G857,AF$5)-SUMIFS(TF_Timer,TF_Tekniker,AF$4,TF_Dato,$A857))*2,0)/2)))</f>
        <v/>
      </c>
      <c r="AG857">
        <f>IF(OR(AG$4="",$A857&gt;TODAY()),0,IF(OR(INDEX($B857:$D857,AG$5)="F",AND(AG$6&gt;0,$A857&lt;AG$6),AND(AG$7&gt;0,$A857&gt;AG$7)),0,MAX(0,ROUND((INDEX($E857:$G857,AG$5)-SUMIFS(TF_Timer,TF_Tekniker,AG$4,TF_Dato,$A857))*2,0)/2)))</f>
        <v/>
      </c>
      <c r="AH857">
        <f>IF(OR(AH$4="",$A857&gt;TODAY()),0,IF(OR(INDEX($B857:$D857,AH$5)="F",AND(AH$6&gt;0,$A857&lt;AH$6),AND(AH$7&gt;0,$A857&gt;AH$7)),0,MAX(0,ROUND((INDEX($E857:$G857,AH$5)-SUMIFS(TF_Timer,TF_Tekniker,AH$4,TF_Dato,$A857))*2,0)/2)))</f>
        <v/>
      </c>
      <c r="AI857">
        <f>IF(OR(AI$4="",$A857&gt;TODAY()),0,IF(OR(INDEX($B857:$D857,AI$5)="F",AND(AI$6&gt;0,$A857&lt;AI$6),AND(AI$7&gt;0,$A857&gt;AI$7)),0,MAX(0,ROUND((INDEX($E857:$G857,AI$5)-SUMIFS(TF_Timer,TF_Tekniker,AI$4,TF_Dato,$A857))*2,0)/2)))</f>
        <v/>
      </c>
      <c r="AJ857">
        <f>IF(OR(AJ$4="",$A857&gt;TODAY()),0,IF(OR(INDEX($B857:$D857,AJ$5)="F",AND(AJ$6&gt;0,$A857&lt;AJ$6),AND(AJ$7&gt;0,$A857&gt;AJ$7)),0,MAX(0,ROUND((INDEX($E857:$G857,AJ$5)-SUMIFS(TF_Timer,TF_Tekniker,AJ$4,TF_Dato,$A857))*2,0)/2)))</f>
        <v/>
      </c>
      <c r="AK857">
        <f>IF(OR(AK$4="",$A857&gt;TODAY()),0,IF(OR(INDEX($B857:$D857,AK$5)="F",AND(AK$6&gt;0,$A857&lt;AK$6),AND(AK$7&gt;0,$A857&gt;AK$7)),0,MAX(0,ROUND((INDEX($E857:$G857,AK$5)-SUMIFS(TF_Timer,TF_Tekniker,AK$4,TF_Dato,$A857))*2,0)/2)))</f>
        <v/>
      </c>
      <c r="AL857">
        <f>IF(OR(AL$4="",$A857&gt;TODAY()),0,IF(OR(INDEX($B857:$D857,AL$5)="F",AND(AL$6&gt;0,$A857&lt;AL$6),AND(AL$7&gt;0,$A857&gt;AL$7)),0,MAX(0,ROUND((INDEX($E857:$G857,AL$5)-SUMIFS(TF_Timer,TF_Tekniker,AL$4,TF_Dato,$A857))*2,0)/2)))</f>
        <v/>
      </c>
      <c r="AM857">
        <f>IF(OR(AM$4="",$A857&gt;TODAY()),0,IF(OR(INDEX($B857:$D857,AM$5)="F",AND(AM$6&gt;0,$A857&lt;AM$6),AND(AM$7&gt;0,$A857&gt;AM$7)),0,MAX(0,ROUND((INDEX($E857:$G857,AM$5)-SUMIFS(TF_Timer,TF_Tekniker,AM$4,TF_Dato,$A857))*2,0)/2)))</f>
        <v/>
      </c>
      <c r="AN857">
        <f>IF(OR(AN$4="",$A857&gt;TODAY()),0,IF(OR(INDEX($B857:$D857,AN$5)="F",AND(AN$6&gt;0,$A857&lt;AN$6),AND(AN$7&gt;0,$A857&gt;AN$7)),0,MAX(0,ROUND((INDEX($E857:$G857,AN$5)-SUMIFS(TF_Timer,TF_Tekniker,AN$4,TF_Dato,$A857))*2,0)/2)))</f>
        <v/>
      </c>
      <c r="AO857">
        <f>IF(OR(AO$4="",$A857&gt;TODAY()),0,IF(OR(INDEX($B857:$D857,AO$5)="F",AND(AO$6&gt;0,$A857&lt;AO$6),AND(AO$7&gt;0,$A857&gt;AO$7)),0,MAX(0,ROUND((INDEX($E857:$G857,AO$5)-SUMIFS(TF_Timer,TF_Tekniker,AO$4,TF_Dato,$A857))*2,0)/2)))</f>
        <v/>
      </c>
      <c r="AP857">
        <f>IF(OR(AP$4="",$A857&gt;TODAY()),0,IF(OR(INDEX($B857:$D857,AP$5)="F",AND(AP$6&gt;0,$A857&lt;AP$6),AND(AP$7&gt;0,$A857&gt;AP$7)),0,MAX(0,ROUND((INDEX($E857:$G857,AP$5)-SUMIFS(TF_Timer,TF_Tekniker,AP$4,TF_Dato,$A857))*2,0)/2)))</f>
        <v/>
      </c>
      <c r="AQ857">
        <f>IF(OR(AQ$4="",$A857&gt;TODAY()),0,IF(OR(INDEX($B857:$D857,AQ$5)="F",AND(AQ$6&gt;0,$A857&lt;AQ$6),AND(AQ$7&gt;0,$A857&gt;AQ$7)),0,MAX(0,ROUND((INDEX($E857:$G857,AQ$5)-SUMIFS(TF_Timer,TF_Tekniker,AQ$4,TF_Dato,$A857))*2,0)/2)))</f>
        <v/>
      </c>
      <c r="AR857">
        <f>IF(OR(AR$4="",$A857&gt;TODAY()),0,IF(OR(INDEX($B857:$D857,AR$5)="F",AND(AR$6&gt;0,$A857&lt;AR$6),AND(AR$7&gt;0,$A857&gt;AR$7)),0,MAX(0,ROUND((INDEX($E857:$G857,AR$5)-SUMIFS(TF_Timer,TF_Tekniker,AR$4,TF_Dato,$A857))*2,0)/2)))</f>
        <v/>
      </c>
      <c r="AS857">
        <f>IF(OR(AS$4="",$A857&gt;TODAY()),0,IF(OR(INDEX($B857:$D857,AS$5)="F",AND(AS$6&gt;0,$A857&lt;AS$6),AND(AS$7&gt;0,$A857&gt;AS$7)),0,MAX(0,ROUND((INDEX($E857:$G857,AS$5)-SUMIFS(TF_Timer,TF_Tekniker,AS$4,TF_Dato,$A857))*2,0)/2)))</f>
        <v/>
      </c>
      <c r="AT857">
        <f>IF(OR(AT$4="",$A857&gt;TODAY()),0,IF(OR(INDEX($B857:$D857,AT$5)="F",AND(AT$6&gt;0,$A857&lt;AT$6),AND(AT$7&gt;0,$A857&gt;AT$7)),0,MAX(0,ROUND((INDEX($E857:$G857,AT$5)-SUMIFS(TF_Timer,TF_Tekniker,AT$4,TF_Dato,$A857))*2,0)/2)))</f>
        <v/>
      </c>
      <c r="AU857">
        <f>IF(OR(AU$4="",$A857&gt;TODAY()),0,IF(OR(INDEX($B857:$D857,AU$5)="F",AND(AU$6&gt;0,$A857&lt;AU$6),AND(AU$7&gt;0,$A857&gt;AU$7)),0,MAX(0,ROUND((INDEX($E857:$G857,AU$5)-SUMIFS(TF_Timer,TF_Tekniker,AU$4,TF_Dato,$A857))*2,0)/2)))</f>
        <v/>
      </c>
      <c r="AV857">
        <f>IF(OR(AV$4="",$A857&gt;TODAY()),0,IF(OR(INDEX($B857:$D857,AV$5)="F",AND(AV$6&gt;0,$A857&lt;AV$6),AND(AV$7&gt;0,$A857&gt;AV$7)),0,MAX(0,ROUND((INDEX($E857:$G857,AV$5)-SUMIFS(TF_Timer,TF_Tekniker,AV$4,TF_Dato,$A857))*2,0)/2)))</f>
        <v/>
      </c>
      <c r="AW857">
        <f>IF(OR(AW$4="",$A857&gt;TODAY()),0,IF(OR(INDEX($B857:$D857,AW$5)="F",AND(AW$6&gt;0,$A857&lt;AW$6),AND(AW$7&gt;0,$A857&gt;AW$7)),0,MAX(0,ROUND((INDEX($E857:$G857,AW$5)-SUMIFS(TF_Timer,TF_Tekniker,AW$4,TF_Dato,$A857))*2,0)/2)))</f>
        <v/>
      </c>
      <c r="AX857">
        <f>IF(OR(AX$4="",$A857&gt;TODAY()),0,IF(OR(INDEX($B857:$D857,AX$5)="F",AND(AX$6&gt;0,$A857&lt;AX$6),AND(AX$7&gt;0,$A857&gt;AX$7)),0,MAX(0,ROUND((INDEX($E857:$G857,AX$5)-SUMIFS(TF_Timer,TF_Tekniker,AX$4,TF_Dato,$A857))*2,0)/2)))</f>
        <v/>
      </c>
      <c r="AY857">
        <f>IF(OR(AY$4="",$A857&gt;TODAY()),0,IF(OR(INDEX($B857:$D857,AY$5)="F",AND(AY$6&gt;0,$A857&lt;AY$6),AND(AY$7&gt;0,$A857&gt;AY$7)),0,MAX(0,ROUND((INDEX($E857:$G857,AY$5)-SUMIFS(TF_Timer,TF_Tekniker,AY$4,TF_Dato,$A857))*2,0)/2)))</f>
        <v/>
      </c>
      <c r="AZ857">
        <f>IF(OR(AZ$4="",$A857&gt;TODAY()),0,IF(OR(INDEX($B857:$D857,AZ$5)="F",AND(AZ$6&gt;0,$A857&lt;AZ$6),AND(AZ$7&gt;0,$A857&gt;AZ$7)),0,MAX(0,ROUND((INDEX($E857:$G857,AZ$5)-SUMIFS(TF_Timer,TF_Tekniker,AZ$4,TF_Dato,$A857))*2,0)/2)))</f>
        <v/>
      </c>
      <c r="BA857">
        <f>IF(OR(BA$4="",$A857&gt;TODAY()),0,IF(OR(INDEX($B857:$D857,BA$5)="F",AND(BA$6&gt;0,$A857&lt;BA$6),AND(BA$7&gt;0,$A857&gt;BA$7)),0,MAX(0,ROUND((INDEX($E857:$G857,BA$5)-SUMIFS(TF_Timer,TF_Tekniker,BA$4,TF_Dato,$A857))*2,0)/2)))</f>
        <v/>
      </c>
      <c r="BB857">
        <f>IF(OR(BB$4="",$A857&gt;TODAY()),0,IF(OR(INDEX($B857:$D857,BB$5)="F",AND(BB$6&gt;0,$A857&lt;BB$6),AND(BB$7&gt;0,$A857&gt;BB$7)),0,MAX(0,ROUND((INDEX($E857:$G857,BB$5)-SUMIFS(TF_Timer,TF_Tekniker,BB$4,TF_Dato,$A857))*2,0)/2)))</f>
        <v/>
      </c>
      <c r="BC857">
        <f>IF(OR(BC$4="",$A857&gt;TODAY()),0,IF(OR(INDEX($B857:$D857,BC$5)="F",AND(BC$6&gt;0,$A857&lt;BC$6),AND(BC$7&gt;0,$A857&gt;BC$7)),0,MAX(0,ROUND((INDEX($E857:$G857,BC$5)-SUMIFS(TF_Timer,TF_Tekniker,BC$4,TF_Dato,$A857))*2,0)/2)))</f>
        <v/>
      </c>
      <c r="BD857">
        <f>IF(OR(BD$4="",$A857&gt;TODAY()),0,IF(OR(INDEX($B857:$D857,BD$5)="F",AND(BD$6&gt;0,$A857&lt;BD$6),AND(BD$7&gt;0,$A857&gt;BD$7)),0,MAX(0,ROUND((INDEX($E857:$G857,BD$5)-SUMIFS(TF_Timer,TF_Tekniker,BD$4,TF_Dato,$A857))*2,0)/2)))</f>
        <v/>
      </c>
      <c r="BE857">
        <f>IF(OR(BE$4="",$A857&gt;TODAY()),0,IF(OR(INDEX($B857:$D857,BE$5)="F",AND(BE$6&gt;0,$A857&lt;BE$6),AND(BE$7&gt;0,$A857&gt;BE$7)),0,MAX(0,ROUND((INDEX($E857:$G857,BE$5)-SUMIFS(TF_Timer,TF_Tekniker,BE$4,TF_Dato,$A857))*2,0)/2)))</f>
        <v/>
      </c>
      <c r="BF857">
        <f>IF(OR(BF$4="",$A857&gt;TODAY()),0,IF(OR(INDEX($B857:$D857,BF$5)="F",AND(BF$6&gt;0,$A857&lt;BF$6),AND(BF$7&gt;0,$A857&gt;BF$7)),0,MAX(0,ROUND((INDEX($E857:$G857,BF$5)-SUMIFS(TF_Timer,TF_Tekniker,BF$4,TF_Dato,$A857))*2,0)/2)))</f>
        <v/>
      </c>
      <c r="BG857">
        <f>IF(OR(BG$4="",$A857&gt;TODAY()),0,IF(OR(INDEX($B857:$D857,BG$5)="F",AND(BG$6&gt;0,$A857&lt;BG$6),AND(BG$7&gt;0,$A857&gt;BG$7)),0,MAX(0,ROUND((INDEX($E857:$G857,BG$5)-SUMIFS(TF_Timer,TF_Tekniker,BG$4,TF_Dato,$A857))*2,0)/2)))</f>
        <v/>
      </c>
      <c r="BH857">
        <f>IF(OR(BH$4="",$A857&gt;TODAY()),0,IF(OR(INDEX($B857:$D857,BH$5)="F",AND(BH$6&gt;0,$A857&lt;BH$6),AND(BH$7&gt;0,$A857&gt;BH$7)),0,MAX(0,ROUND((INDEX($E857:$G857,BH$5)-SUMIFS(TF_Timer,TF_Tekniker,BH$4,TF_Dato,$A857))*2,0)/2)))</f>
        <v/>
      </c>
      <c r="BI857">
        <f>IF(OR(BI$4="",$A857&gt;TODAY()),0,IF(OR(INDEX($B857:$D857,BI$5)="F",AND(BI$6&gt;0,$A857&lt;BI$6),AND(BI$7&gt;0,$A857&gt;BI$7)),0,MAX(0,ROUND((INDEX($E857:$G857,BI$5)-SUMIFS(TF_Timer,TF_Tekniker,BI$4,TF_Dato,$A857))*2,0)/2)))</f>
        <v/>
      </c>
    </row>
    <row r="858">
      <c r="A858" s="64">
        <f>A857+1</f>
        <v/>
      </c>
      <c r="B858">
        <f>IF(MOD($A858-INDEX(SkiftStart,1),Syklus)&lt;DagK,"K",IF(MOD($A858-INDEX(SkiftStart,1),Syklus)&lt;DagK+DagH,"H",IF(MOD($A858-INDEX(SkiftStart,1),Syklus)&lt;DagK+DagH+DagD,"D","F")))</f>
        <v/>
      </c>
      <c r="C858">
        <f>IF(MOD($A858-INDEX(SkiftStart,2),Syklus)&lt;DagK,"K",IF(MOD($A858-INDEX(SkiftStart,2),Syklus)&lt;DagK+DagH,"H",IF(MOD($A858-INDEX(SkiftStart,2),Syklus)&lt;DagK+DagH+DagD,"D","F")))</f>
        <v/>
      </c>
      <c r="D858">
        <f>IF(MOD($A858-INDEX(SkiftStart,3),Syklus)&lt;DagK,"K",IF(MOD($A858-INDEX(SkiftStart,3),Syklus)&lt;DagK+DagH,"H",IF(MOD($A858-INDEX(SkiftStart,3),Syklus)&lt;DagK+DagH+DagD,"D","F")))</f>
        <v/>
      </c>
      <c r="E858">
        <f>IF(B858="F",0,IF(WEEKDAY($A858,2)=5,INDEX(TimerFr,MATCH(B858,FaseKode,0)),INDEX(TimerMT,MATCH(B858,FaseKode,0))))</f>
        <v/>
      </c>
      <c r="F858">
        <f>IF(C858="F",0,IF(WEEKDAY($A858,2)=5,INDEX(TimerFr,MATCH(C858,FaseKode,0)),INDEX(TimerMT,MATCH(C858,FaseKode,0))))</f>
        <v/>
      </c>
      <c r="G858">
        <f>IF(D858="F",0,IF(WEEKDAY($A858,2)=5,INDEX(TimerFr,MATCH(D858,FaseKode,0)),INDEX(TimerMT,MATCH(D858,FaseKode,0))))</f>
        <v/>
      </c>
      <c r="H858">
        <f>IF(OR(H$4="",$A858&gt;TODAY()),0,IF(OR(INDEX($B858:$D858,H$5)="F",AND(H$6&gt;0,$A858&lt;H$6),AND(H$7&gt;0,$A858&gt;H$7)),0,MAX(0,ROUND((INDEX($E858:$G858,H$5)-SUMIFS(TF_Timer,TF_Tekniker,H$4,TF_Dato,$A858))*2,0)/2)))</f>
        <v/>
      </c>
      <c r="I858">
        <f>IF(OR(I$4="",$A858&gt;TODAY()),0,IF(OR(INDEX($B858:$D858,I$5)="F",AND(I$6&gt;0,$A858&lt;I$6),AND(I$7&gt;0,$A858&gt;I$7)),0,MAX(0,ROUND((INDEX($E858:$G858,I$5)-SUMIFS(TF_Timer,TF_Tekniker,I$4,TF_Dato,$A858))*2,0)/2)))</f>
        <v/>
      </c>
      <c r="J858">
        <f>IF(OR(J$4="",$A858&gt;TODAY()),0,IF(OR(INDEX($B858:$D858,J$5)="F",AND(J$6&gt;0,$A858&lt;J$6),AND(J$7&gt;0,$A858&gt;J$7)),0,MAX(0,ROUND((INDEX($E858:$G858,J$5)-SUMIFS(TF_Timer,TF_Tekniker,J$4,TF_Dato,$A858))*2,0)/2)))</f>
        <v/>
      </c>
      <c r="K858">
        <f>IF(OR(K$4="",$A858&gt;TODAY()),0,IF(OR(INDEX($B858:$D858,K$5)="F",AND(K$6&gt;0,$A858&lt;K$6),AND(K$7&gt;0,$A858&gt;K$7)),0,MAX(0,ROUND((INDEX($E858:$G858,K$5)-SUMIFS(TF_Timer,TF_Tekniker,K$4,TF_Dato,$A858))*2,0)/2)))</f>
        <v/>
      </c>
      <c r="L858">
        <f>IF(OR(L$4="",$A858&gt;TODAY()),0,IF(OR(INDEX($B858:$D858,L$5)="F",AND(L$6&gt;0,$A858&lt;L$6),AND(L$7&gt;0,$A858&gt;L$7)),0,MAX(0,ROUND((INDEX($E858:$G858,L$5)-SUMIFS(TF_Timer,TF_Tekniker,L$4,TF_Dato,$A858))*2,0)/2)))</f>
        <v/>
      </c>
      <c r="M858">
        <f>IF(OR(M$4="",$A858&gt;TODAY()),0,IF(OR(INDEX($B858:$D858,M$5)="F",AND(M$6&gt;0,$A858&lt;M$6),AND(M$7&gt;0,$A858&gt;M$7)),0,MAX(0,ROUND((INDEX($E858:$G858,M$5)-SUMIFS(TF_Timer,TF_Tekniker,M$4,TF_Dato,$A858))*2,0)/2)))</f>
        <v/>
      </c>
      <c r="N858">
        <f>IF(OR(N$4="",$A858&gt;TODAY()),0,IF(OR(INDEX($B858:$D858,N$5)="F",AND(N$6&gt;0,$A858&lt;N$6),AND(N$7&gt;0,$A858&gt;N$7)),0,MAX(0,ROUND((INDEX($E858:$G858,N$5)-SUMIFS(TF_Timer,TF_Tekniker,N$4,TF_Dato,$A858))*2,0)/2)))</f>
        <v/>
      </c>
      <c r="O858">
        <f>IF(OR(O$4="",$A858&gt;TODAY()),0,IF(OR(INDEX($B858:$D858,O$5)="F",AND(O$6&gt;0,$A858&lt;O$6),AND(O$7&gt;0,$A858&gt;O$7)),0,MAX(0,ROUND((INDEX($E858:$G858,O$5)-SUMIFS(TF_Timer,TF_Tekniker,O$4,TF_Dato,$A858))*2,0)/2)))</f>
        <v/>
      </c>
      <c r="P858">
        <f>IF(OR(P$4="",$A858&gt;TODAY()),0,IF(OR(INDEX($B858:$D858,P$5)="F",AND(P$6&gt;0,$A858&lt;P$6),AND(P$7&gt;0,$A858&gt;P$7)),0,MAX(0,ROUND((INDEX($E858:$G858,P$5)-SUMIFS(TF_Timer,TF_Tekniker,P$4,TF_Dato,$A858))*2,0)/2)))</f>
        <v/>
      </c>
      <c r="Q858">
        <f>IF(OR(Q$4="",$A858&gt;TODAY()),0,IF(OR(INDEX($B858:$D858,Q$5)="F",AND(Q$6&gt;0,$A858&lt;Q$6),AND(Q$7&gt;0,$A858&gt;Q$7)),0,MAX(0,ROUND((INDEX($E858:$G858,Q$5)-SUMIFS(TF_Timer,TF_Tekniker,Q$4,TF_Dato,$A858))*2,0)/2)))</f>
        <v/>
      </c>
      <c r="R858">
        <f>IF(OR(R$4="",$A858&gt;TODAY()),0,IF(OR(INDEX($B858:$D858,R$5)="F",AND(R$6&gt;0,$A858&lt;R$6),AND(R$7&gt;0,$A858&gt;R$7)),0,MAX(0,ROUND((INDEX($E858:$G858,R$5)-SUMIFS(TF_Timer,TF_Tekniker,R$4,TF_Dato,$A858))*2,0)/2)))</f>
        <v/>
      </c>
      <c r="S858">
        <f>IF(OR(S$4="",$A858&gt;TODAY()),0,IF(OR(INDEX($B858:$D858,S$5)="F",AND(S$6&gt;0,$A858&lt;S$6),AND(S$7&gt;0,$A858&gt;S$7)),0,MAX(0,ROUND((INDEX($E858:$G858,S$5)-SUMIFS(TF_Timer,TF_Tekniker,S$4,TF_Dato,$A858))*2,0)/2)))</f>
        <v/>
      </c>
      <c r="T858">
        <f>IF(OR(T$4="",$A858&gt;TODAY()),0,IF(OR(INDEX($B858:$D858,T$5)="F",AND(T$6&gt;0,$A858&lt;T$6),AND(T$7&gt;0,$A858&gt;T$7)),0,MAX(0,ROUND((INDEX($E858:$G858,T$5)-SUMIFS(TF_Timer,TF_Tekniker,T$4,TF_Dato,$A858))*2,0)/2)))</f>
        <v/>
      </c>
      <c r="U858">
        <f>IF(OR(U$4="",$A858&gt;TODAY()),0,IF(OR(INDEX($B858:$D858,U$5)="F",AND(U$6&gt;0,$A858&lt;U$6),AND(U$7&gt;0,$A858&gt;U$7)),0,MAX(0,ROUND((INDEX($E858:$G858,U$5)-SUMIFS(TF_Timer,TF_Tekniker,U$4,TF_Dato,$A858))*2,0)/2)))</f>
        <v/>
      </c>
      <c r="V858">
        <f>IF(OR(V$4="",$A858&gt;TODAY()),0,IF(OR(INDEX($B858:$D858,V$5)="F",AND(V$6&gt;0,$A858&lt;V$6),AND(V$7&gt;0,$A858&gt;V$7)),0,MAX(0,ROUND((INDEX($E858:$G858,V$5)-SUMIFS(TF_Timer,TF_Tekniker,V$4,TF_Dato,$A858))*2,0)/2)))</f>
        <v/>
      </c>
      <c r="W858">
        <f>IF(OR(W$4="",$A858&gt;TODAY()),0,IF(OR(INDEX($B858:$D858,W$5)="F",AND(W$6&gt;0,$A858&lt;W$6),AND(W$7&gt;0,$A858&gt;W$7)),0,MAX(0,ROUND((INDEX($E858:$G858,W$5)-SUMIFS(TF_Timer,TF_Tekniker,W$4,TF_Dato,$A858))*2,0)/2)))</f>
        <v/>
      </c>
      <c r="X858">
        <f>IF(OR(X$4="",$A858&gt;TODAY()),0,IF(OR(INDEX($B858:$D858,X$5)="F",AND(X$6&gt;0,$A858&lt;X$6),AND(X$7&gt;0,$A858&gt;X$7)),0,MAX(0,ROUND((INDEX($E858:$G858,X$5)-SUMIFS(TF_Timer,TF_Tekniker,X$4,TF_Dato,$A858))*2,0)/2)))</f>
        <v/>
      </c>
      <c r="Y858">
        <f>IF(OR(Y$4="",$A858&gt;TODAY()),0,IF(OR(INDEX($B858:$D858,Y$5)="F",AND(Y$6&gt;0,$A858&lt;Y$6),AND(Y$7&gt;0,$A858&gt;Y$7)),0,MAX(0,ROUND((INDEX($E858:$G858,Y$5)-SUMIFS(TF_Timer,TF_Tekniker,Y$4,TF_Dato,$A858))*2,0)/2)))</f>
        <v/>
      </c>
      <c r="Z858">
        <f>IF(OR(Z$4="",$A858&gt;TODAY()),0,IF(OR(INDEX($B858:$D858,Z$5)="F",AND(Z$6&gt;0,$A858&lt;Z$6),AND(Z$7&gt;0,$A858&gt;Z$7)),0,MAX(0,ROUND((INDEX($E858:$G858,Z$5)-SUMIFS(TF_Timer,TF_Tekniker,Z$4,TF_Dato,$A858))*2,0)/2)))</f>
        <v/>
      </c>
      <c r="AA858">
        <f>IF(OR(AA$4="",$A858&gt;TODAY()),0,IF(OR(INDEX($B858:$D858,AA$5)="F",AND(AA$6&gt;0,$A858&lt;AA$6),AND(AA$7&gt;0,$A858&gt;AA$7)),0,MAX(0,ROUND((INDEX($E858:$G858,AA$5)-SUMIFS(TF_Timer,TF_Tekniker,AA$4,TF_Dato,$A858))*2,0)/2)))</f>
        <v/>
      </c>
      <c r="AB858">
        <f>IF(OR(AB$4="",$A858&gt;TODAY()),0,IF(OR(INDEX($B858:$D858,AB$5)="F",AND(AB$6&gt;0,$A858&lt;AB$6),AND(AB$7&gt;0,$A858&gt;AB$7)),0,MAX(0,ROUND((INDEX($E858:$G858,AB$5)-SUMIFS(TF_Timer,TF_Tekniker,AB$4,TF_Dato,$A858))*2,0)/2)))</f>
        <v/>
      </c>
      <c r="AC858">
        <f>IF(OR(AC$4="",$A858&gt;TODAY()),0,IF(OR(INDEX($B858:$D858,AC$5)="F",AND(AC$6&gt;0,$A858&lt;AC$6),AND(AC$7&gt;0,$A858&gt;AC$7)),0,MAX(0,ROUND((INDEX($E858:$G858,AC$5)-SUMIFS(TF_Timer,TF_Tekniker,AC$4,TF_Dato,$A858))*2,0)/2)))</f>
        <v/>
      </c>
      <c r="AD858">
        <f>IF(OR(AD$4="",$A858&gt;TODAY()),0,IF(OR(INDEX($B858:$D858,AD$5)="F",AND(AD$6&gt;0,$A858&lt;AD$6),AND(AD$7&gt;0,$A858&gt;AD$7)),0,MAX(0,ROUND((INDEX($E858:$G858,AD$5)-SUMIFS(TF_Timer,TF_Tekniker,AD$4,TF_Dato,$A858))*2,0)/2)))</f>
        <v/>
      </c>
      <c r="AE858">
        <f>IF(OR(AE$4="",$A858&gt;TODAY()),0,IF(OR(INDEX($B858:$D858,AE$5)="F",AND(AE$6&gt;0,$A858&lt;AE$6),AND(AE$7&gt;0,$A858&gt;AE$7)),0,MAX(0,ROUND((INDEX($E858:$G858,AE$5)-SUMIFS(TF_Timer,TF_Tekniker,AE$4,TF_Dato,$A858))*2,0)/2)))</f>
        <v/>
      </c>
      <c r="AF858">
        <f>IF(OR(AF$4="",$A858&gt;TODAY()),0,IF(OR(INDEX($B858:$D858,AF$5)="F",AND(AF$6&gt;0,$A858&lt;AF$6),AND(AF$7&gt;0,$A858&gt;AF$7)),0,MAX(0,ROUND((INDEX($E858:$G858,AF$5)-SUMIFS(TF_Timer,TF_Tekniker,AF$4,TF_Dato,$A858))*2,0)/2)))</f>
        <v/>
      </c>
      <c r="AG858">
        <f>IF(OR(AG$4="",$A858&gt;TODAY()),0,IF(OR(INDEX($B858:$D858,AG$5)="F",AND(AG$6&gt;0,$A858&lt;AG$6),AND(AG$7&gt;0,$A858&gt;AG$7)),0,MAX(0,ROUND((INDEX($E858:$G858,AG$5)-SUMIFS(TF_Timer,TF_Tekniker,AG$4,TF_Dato,$A858))*2,0)/2)))</f>
        <v/>
      </c>
      <c r="AH858">
        <f>IF(OR(AH$4="",$A858&gt;TODAY()),0,IF(OR(INDEX($B858:$D858,AH$5)="F",AND(AH$6&gt;0,$A858&lt;AH$6),AND(AH$7&gt;0,$A858&gt;AH$7)),0,MAX(0,ROUND((INDEX($E858:$G858,AH$5)-SUMIFS(TF_Timer,TF_Tekniker,AH$4,TF_Dato,$A858))*2,0)/2)))</f>
        <v/>
      </c>
      <c r="AI858">
        <f>IF(OR(AI$4="",$A858&gt;TODAY()),0,IF(OR(INDEX($B858:$D858,AI$5)="F",AND(AI$6&gt;0,$A858&lt;AI$6),AND(AI$7&gt;0,$A858&gt;AI$7)),0,MAX(0,ROUND((INDEX($E858:$G858,AI$5)-SUMIFS(TF_Timer,TF_Tekniker,AI$4,TF_Dato,$A858))*2,0)/2)))</f>
        <v/>
      </c>
      <c r="AJ858">
        <f>IF(OR(AJ$4="",$A858&gt;TODAY()),0,IF(OR(INDEX($B858:$D858,AJ$5)="F",AND(AJ$6&gt;0,$A858&lt;AJ$6),AND(AJ$7&gt;0,$A858&gt;AJ$7)),0,MAX(0,ROUND((INDEX($E858:$G858,AJ$5)-SUMIFS(TF_Timer,TF_Tekniker,AJ$4,TF_Dato,$A858))*2,0)/2)))</f>
        <v/>
      </c>
      <c r="AK858">
        <f>IF(OR(AK$4="",$A858&gt;TODAY()),0,IF(OR(INDEX($B858:$D858,AK$5)="F",AND(AK$6&gt;0,$A858&lt;AK$6),AND(AK$7&gt;0,$A858&gt;AK$7)),0,MAX(0,ROUND((INDEX($E858:$G858,AK$5)-SUMIFS(TF_Timer,TF_Tekniker,AK$4,TF_Dato,$A858))*2,0)/2)))</f>
        <v/>
      </c>
      <c r="AL858">
        <f>IF(OR(AL$4="",$A858&gt;TODAY()),0,IF(OR(INDEX($B858:$D858,AL$5)="F",AND(AL$6&gt;0,$A858&lt;AL$6),AND(AL$7&gt;0,$A858&gt;AL$7)),0,MAX(0,ROUND((INDEX($E858:$G858,AL$5)-SUMIFS(TF_Timer,TF_Tekniker,AL$4,TF_Dato,$A858))*2,0)/2)))</f>
        <v/>
      </c>
      <c r="AM858">
        <f>IF(OR(AM$4="",$A858&gt;TODAY()),0,IF(OR(INDEX($B858:$D858,AM$5)="F",AND(AM$6&gt;0,$A858&lt;AM$6),AND(AM$7&gt;0,$A858&gt;AM$7)),0,MAX(0,ROUND((INDEX($E858:$G858,AM$5)-SUMIFS(TF_Timer,TF_Tekniker,AM$4,TF_Dato,$A858))*2,0)/2)))</f>
        <v/>
      </c>
      <c r="AN858">
        <f>IF(OR(AN$4="",$A858&gt;TODAY()),0,IF(OR(INDEX($B858:$D858,AN$5)="F",AND(AN$6&gt;0,$A858&lt;AN$6),AND(AN$7&gt;0,$A858&gt;AN$7)),0,MAX(0,ROUND((INDEX($E858:$G858,AN$5)-SUMIFS(TF_Timer,TF_Tekniker,AN$4,TF_Dato,$A858))*2,0)/2)))</f>
        <v/>
      </c>
      <c r="AO858">
        <f>IF(OR(AO$4="",$A858&gt;TODAY()),0,IF(OR(INDEX($B858:$D858,AO$5)="F",AND(AO$6&gt;0,$A858&lt;AO$6),AND(AO$7&gt;0,$A858&gt;AO$7)),0,MAX(0,ROUND((INDEX($E858:$G858,AO$5)-SUMIFS(TF_Timer,TF_Tekniker,AO$4,TF_Dato,$A858))*2,0)/2)))</f>
        <v/>
      </c>
      <c r="AP858">
        <f>IF(OR(AP$4="",$A858&gt;TODAY()),0,IF(OR(INDEX($B858:$D858,AP$5)="F",AND(AP$6&gt;0,$A858&lt;AP$6),AND(AP$7&gt;0,$A858&gt;AP$7)),0,MAX(0,ROUND((INDEX($E858:$G858,AP$5)-SUMIFS(TF_Timer,TF_Tekniker,AP$4,TF_Dato,$A858))*2,0)/2)))</f>
        <v/>
      </c>
      <c r="AQ858">
        <f>IF(OR(AQ$4="",$A858&gt;TODAY()),0,IF(OR(INDEX($B858:$D858,AQ$5)="F",AND(AQ$6&gt;0,$A858&lt;AQ$6),AND(AQ$7&gt;0,$A858&gt;AQ$7)),0,MAX(0,ROUND((INDEX($E858:$G858,AQ$5)-SUMIFS(TF_Timer,TF_Tekniker,AQ$4,TF_Dato,$A858))*2,0)/2)))</f>
        <v/>
      </c>
      <c r="AR858">
        <f>IF(OR(AR$4="",$A858&gt;TODAY()),0,IF(OR(INDEX($B858:$D858,AR$5)="F",AND(AR$6&gt;0,$A858&lt;AR$6),AND(AR$7&gt;0,$A858&gt;AR$7)),0,MAX(0,ROUND((INDEX($E858:$G858,AR$5)-SUMIFS(TF_Timer,TF_Tekniker,AR$4,TF_Dato,$A858))*2,0)/2)))</f>
        <v/>
      </c>
      <c r="AS858">
        <f>IF(OR(AS$4="",$A858&gt;TODAY()),0,IF(OR(INDEX($B858:$D858,AS$5)="F",AND(AS$6&gt;0,$A858&lt;AS$6),AND(AS$7&gt;0,$A858&gt;AS$7)),0,MAX(0,ROUND((INDEX($E858:$G858,AS$5)-SUMIFS(TF_Timer,TF_Tekniker,AS$4,TF_Dato,$A858))*2,0)/2)))</f>
        <v/>
      </c>
      <c r="AT858">
        <f>IF(OR(AT$4="",$A858&gt;TODAY()),0,IF(OR(INDEX($B858:$D858,AT$5)="F",AND(AT$6&gt;0,$A858&lt;AT$6),AND(AT$7&gt;0,$A858&gt;AT$7)),0,MAX(0,ROUND((INDEX($E858:$G858,AT$5)-SUMIFS(TF_Timer,TF_Tekniker,AT$4,TF_Dato,$A858))*2,0)/2)))</f>
        <v/>
      </c>
      <c r="AU858">
        <f>IF(OR(AU$4="",$A858&gt;TODAY()),0,IF(OR(INDEX($B858:$D858,AU$5)="F",AND(AU$6&gt;0,$A858&lt;AU$6),AND(AU$7&gt;0,$A858&gt;AU$7)),0,MAX(0,ROUND((INDEX($E858:$G858,AU$5)-SUMIFS(TF_Timer,TF_Tekniker,AU$4,TF_Dato,$A858))*2,0)/2)))</f>
        <v/>
      </c>
      <c r="AV858">
        <f>IF(OR(AV$4="",$A858&gt;TODAY()),0,IF(OR(INDEX($B858:$D858,AV$5)="F",AND(AV$6&gt;0,$A858&lt;AV$6),AND(AV$7&gt;0,$A858&gt;AV$7)),0,MAX(0,ROUND((INDEX($E858:$G858,AV$5)-SUMIFS(TF_Timer,TF_Tekniker,AV$4,TF_Dato,$A858))*2,0)/2)))</f>
        <v/>
      </c>
      <c r="AW858">
        <f>IF(OR(AW$4="",$A858&gt;TODAY()),0,IF(OR(INDEX($B858:$D858,AW$5)="F",AND(AW$6&gt;0,$A858&lt;AW$6),AND(AW$7&gt;0,$A858&gt;AW$7)),0,MAX(0,ROUND((INDEX($E858:$G858,AW$5)-SUMIFS(TF_Timer,TF_Tekniker,AW$4,TF_Dato,$A858))*2,0)/2)))</f>
        <v/>
      </c>
      <c r="AX858">
        <f>IF(OR(AX$4="",$A858&gt;TODAY()),0,IF(OR(INDEX($B858:$D858,AX$5)="F",AND(AX$6&gt;0,$A858&lt;AX$6),AND(AX$7&gt;0,$A858&gt;AX$7)),0,MAX(0,ROUND((INDEX($E858:$G858,AX$5)-SUMIFS(TF_Timer,TF_Tekniker,AX$4,TF_Dato,$A858))*2,0)/2)))</f>
        <v/>
      </c>
      <c r="AY858">
        <f>IF(OR(AY$4="",$A858&gt;TODAY()),0,IF(OR(INDEX($B858:$D858,AY$5)="F",AND(AY$6&gt;0,$A858&lt;AY$6),AND(AY$7&gt;0,$A858&gt;AY$7)),0,MAX(0,ROUND((INDEX($E858:$G858,AY$5)-SUMIFS(TF_Timer,TF_Tekniker,AY$4,TF_Dato,$A858))*2,0)/2)))</f>
        <v/>
      </c>
      <c r="AZ858">
        <f>IF(OR(AZ$4="",$A858&gt;TODAY()),0,IF(OR(INDEX($B858:$D858,AZ$5)="F",AND(AZ$6&gt;0,$A858&lt;AZ$6),AND(AZ$7&gt;0,$A858&gt;AZ$7)),0,MAX(0,ROUND((INDEX($E858:$G858,AZ$5)-SUMIFS(TF_Timer,TF_Tekniker,AZ$4,TF_Dato,$A858))*2,0)/2)))</f>
        <v/>
      </c>
      <c r="BA858">
        <f>IF(OR(BA$4="",$A858&gt;TODAY()),0,IF(OR(INDEX($B858:$D858,BA$5)="F",AND(BA$6&gt;0,$A858&lt;BA$6),AND(BA$7&gt;0,$A858&gt;BA$7)),0,MAX(0,ROUND((INDEX($E858:$G858,BA$5)-SUMIFS(TF_Timer,TF_Tekniker,BA$4,TF_Dato,$A858))*2,0)/2)))</f>
        <v/>
      </c>
      <c r="BB858">
        <f>IF(OR(BB$4="",$A858&gt;TODAY()),0,IF(OR(INDEX($B858:$D858,BB$5)="F",AND(BB$6&gt;0,$A858&lt;BB$6),AND(BB$7&gt;0,$A858&gt;BB$7)),0,MAX(0,ROUND((INDEX($E858:$G858,BB$5)-SUMIFS(TF_Timer,TF_Tekniker,BB$4,TF_Dato,$A858))*2,0)/2)))</f>
        <v/>
      </c>
      <c r="BC858">
        <f>IF(OR(BC$4="",$A858&gt;TODAY()),0,IF(OR(INDEX($B858:$D858,BC$5)="F",AND(BC$6&gt;0,$A858&lt;BC$6),AND(BC$7&gt;0,$A858&gt;BC$7)),0,MAX(0,ROUND((INDEX($E858:$G858,BC$5)-SUMIFS(TF_Timer,TF_Tekniker,BC$4,TF_Dato,$A858))*2,0)/2)))</f>
        <v/>
      </c>
      <c r="BD858">
        <f>IF(OR(BD$4="",$A858&gt;TODAY()),0,IF(OR(INDEX($B858:$D858,BD$5)="F",AND(BD$6&gt;0,$A858&lt;BD$6),AND(BD$7&gt;0,$A858&gt;BD$7)),0,MAX(0,ROUND((INDEX($E858:$G858,BD$5)-SUMIFS(TF_Timer,TF_Tekniker,BD$4,TF_Dato,$A858))*2,0)/2)))</f>
        <v/>
      </c>
      <c r="BE858">
        <f>IF(OR(BE$4="",$A858&gt;TODAY()),0,IF(OR(INDEX($B858:$D858,BE$5)="F",AND(BE$6&gt;0,$A858&lt;BE$6),AND(BE$7&gt;0,$A858&gt;BE$7)),0,MAX(0,ROUND((INDEX($E858:$G858,BE$5)-SUMIFS(TF_Timer,TF_Tekniker,BE$4,TF_Dato,$A858))*2,0)/2)))</f>
        <v/>
      </c>
      <c r="BF858">
        <f>IF(OR(BF$4="",$A858&gt;TODAY()),0,IF(OR(INDEX($B858:$D858,BF$5)="F",AND(BF$6&gt;0,$A858&lt;BF$6),AND(BF$7&gt;0,$A858&gt;BF$7)),0,MAX(0,ROUND((INDEX($E858:$G858,BF$5)-SUMIFS(TF_Timer,TF_Tekniker,BF$4,TF_Dato,$A858))*2,0)/2)))</f>
        <v/>
      </c>
      <c r="BG858">
        <f>IF(OR(BG$4="",$A858&gt;TODAY()),0,IF(OR(INDEX($B858:$D858,BG$5)="F",AND(BG$6&gt;0,$A858&lt;BG$6),AND(BG$7&gt;0,$A858&gt;BG$7)),0,MAX(0,ROUND((INDEX($E858:$G858,BG$5)-SUMIFS(TF_Timer,TF_Tekniker,BG$4,TF_Dato,$A858))*2,0)/2)))</f>
        <v/>
      </c>
      <c r="BH858">
        <f>IF(OR(BH$4="",$A858&gt;TODAY()),0,IF(OR(INDEX($B858:$D858,BH$5)="F",AND(BH$6&gt;0,$A858&lt;BH$6),AND(BH$7&gt;0,$A858&gt;BH$7)),0,MAX(0,ROUND((INDEX($E858:$G858,BH$5)-SUMIFS(TF_Timer,TF_Tekniker,BH$4,TF_Dato,$A858))*2,0)/2)))</f>
        <v/>
      </c>
      <c r="BI858">
        <f>IF(OR(BI$4="",$A858&gt;TODAY()),0,IF(OR(INDEX($B858:$D858,BI$5)="F",AND(BI$6&gt;0,$A858&lt;BI$6),AND(BI$7&gt;0,$A858&gt;BI$7)),0,MAX(0,ROUND((INDEX($E858:$G858,BI$5)-SUMIFS(TF_Timer,TF_Tekniker,BI$4,TF_Dato,$A858))*2,0)/2)))</f>
        <v/>
      </c>
    </row>
    <row r="859">
      <c r="A859" s="64">
        <f>A858+1</f>
        <v/>
      </c>
      <c r="B859">
        <f>IF(MOD($A859-INDEX(SkiftStart,1),Syklus)&lt;DagK,"K",IF(MOD($A859-INDEX(SkiftStart,1),Syklus)&lt;DagK+DagH,"H",IF(MOD($A859-INDEX(SkiftStart,1),Syklus)&lt;DagK+DagH+DagD,"D","F")))</f>
        <v/>
      </c>
      <c r="C859">
        <f>IF(MOD($A859-INDEX(SkiftStart,2),Syklus)&lt;DagK,"K",IF(MOD($A859-INDEX(SkiftStart,2),Syklus)&lt;DagK+DagH,"H",IF(MOD($A859-INDEX(SkiftStart,2),Syklus)&lt;DagK+DagH+DagD,"D","F")))</f>
        <v/>
      </c>
      <c r="D859">
        <f>IF(MOD($A859-INDEX(SkiftStart,3),Syklus)&lt;DagK,"K",IF(MOD($A859-INDEX(SkiftStart,3),Syklus)&lt;DagK+DagH,"H",IF(MOD($A859-INDEX(SkiftStart,3),Syklus)&lt;DagK+DagH+DagD,"D","F")))</f>
        <v/>
      </c>
      <c r="E859">
        <f>IF(B859="F",0,IF(WEEKDAY($A859,2)=5,INDEX(TimerFr,MATCH(B859,FaseKode,0)),INDEX(TimerMT,MATCH(B859,FaseKode,0))))</f>
        <v/>
      </c>
      <c r="F859">
        <f>IF(C859="F",0,IF(WEEKDAY($A859,2)=5,INDEX(TimerFr,MATCH(C859,FaseKode,0)),INDEX(TimerMT,MATCH(C859,FaseKode,0))))</f>
        <v/>
      </c>
      <c r="G859">
        <f>IF(D859="F",0,IF(WEEKDAY($A859,2)=5,INDEX(TimerFr,MATCH(D859,FaseKode,0)),INDEX(TimerMT,MATCH(D859,FaseKode,0))))</f>
        <v/>
      </c>
      <c r="H859">
        <f>IF(OR(H$4="",$A859&gt;TODAY()),0,IF(OR(INDEX($B859:$D859,H$5)="F",AND(H$6&gt;0,$A859&lt;H$6),AND(H$7&gt;0,$A859&gt;H$7)),0,MAX(0,ROUND((INDEX($E859:$G859,H$5)-SUMIFS(TF_Timer,TF_Tekniker,H$4,TF_Dato,$A859))*2,0)/2)))</f>
        <v/>
      </c>
      <c r="I859">
        <f>IF(OR(I$4="",$A859&gt;TODAY()),0,IF(OR(INDEX($B859:$D859,I$5)="F",AND(I$6&gt;0,$A859&lt;I$6),AND(I$7&gt;0,$A859&gt;I$7)),0,MAX(0,ROUND((INDEX($E859:$G859,I$5)-SUMIFS(TF_Timer,TF_Tekniker,I$4,TF_Dato,$A859))*2,0)/2)))</f>
        <v/>
      </c>
      <c r="J859">
        <f>IF(OR(J$4="",$A859&gt;TODAY()),0,IF(OR(INDEX($B859:$D859,J$5)="F",AND(J$6&gt;0,$A859&lt;J$6),AND(J$7&gt;0,$A859&gt;J$7)),0,MAX(0,ROUND((INDEX($E859:$G859,J$5)-SUMIFS(TF_Timer,TF_Tekniker,J$4,TF_Dato,$A859))*2,0)/2)))</f>
        <v/>
      </c>
      <c r="K859">
        <f>IF(OR(K$4="",$A859&gt;TODAY()),0,IF(OR(INDEX($B859:$D859,K$5)="F",AND(K$6&gt;0,$A859&lt;K$6),AND(K$7&gt;0,$A859&gt;K$7)),0,MAX(0,ROUND((INDEX($E859:$G859,K$5)-SUMIFS(TF_Timer,TF_Tekniker,K$4,TF_Dato,$A859))*2,0)/2)))</f>
        <v/>
      </c>
      <c r="L859">
        <f>IF(OR(L$4="",$A859&gt;TODAY()),0,IF(OR(INDEX($B859:$D859,L$5)="F",AND(L$6&gt;0,$A859&lt;L$6),AND(L$7&gt;0,$A859&gt;L$7)),0,MAX(0,ROUND((INDEX($E859:$G859,L$5)-SUMIFS(TF_Timer,TF_Tekniker,L$4,TF_Dato,$A859))*2,0)/2)))</f>
        <v/>
      </c>
      <c r="M859">
        <f>IF(OR(M$4="",$A859&gt;TODAY()),0,IF(OR(INDEX($B859:$D859,M$5)="F",AND(M$6&gt;0,$A859&lt;M$6),AND(M$7&gt;0,$A859&gt;M$7)),0,MAX(0,ROUND((INDEX($E859:$G859,M$5)-SUMIFS(TF_Timer,TF_Tekniker,M$4,TF_Dato,$A859))*2,0)/2)))</f>
        <v/>
      </c>
      <c r="N859">
        <f>IF(OR(N$4="",$A859&gt;TODAY()),0,IF(OR(INDEX($B859:$D859,N$5)="F",AND(N$6&gt;0,$A859&lt;N$6),AND(N$7&gt;0,$A859&gt;N$7)),0,MAX(0,ROUND((INDEX($E859:$G859,N$5)-SUMIFS(TF_Timer,TF_Tekniker,N$4,TF_Dato,$A859))*2,0)/2)))</f>
        <v/>
      </c>
      <c r="O859">
        <f>IF(OR(O$4="",$A859&gt;TODAY()),0,IF(OR(INDEX($B859:$D859,O$5)="F",AND(O$6&gt;0,$A859&lt;O$6),AND(O$7&gt;0,$A859&gt;O$7)),0,MAX(0,ROUND((INDEX($E859:$G859,O$5)-SUMIFS(TF_Timer,TF_Tekniker,O$4,TF_Dato,$A859))*2,0)/2)))</f>
        <v/>
      </c>
      <c r="P859">
        <f>IF(OR(P$4="",$A859&gt;TODAY()),0,IF(OR(INDEX($B859:$D859,P$5)="F",AND(P$6&gt;0,$A859&lt;P$6),AND(P$7&gt;0,$A859&gt;P$7)),0,MAX(0,ROUND((INDEX($E859:$G859,P$5)-SUMIFS(TF_Timer,TF_Tekniker,P$4,TF_Dato,$A859))*2,0)/2)))</f>
        <v/>
      </c>
      <c r="Q859">
        <f>IF(OR(Q$4="",$A859&gt;TODAY()),0,IF(OR(INDEX($B859:$D859,Q$5)="F",AND(Q$6&gt;0,$A859&lt;Q$6),AND(Q$7&gt;0,$A859&gt;Q$7)),0,MAX(0,ROUND((INDEX($E859:$G859,Q$5)-SUMIFS(TF_Timer,TF_Tekniker,Q$4,TF_Dato,$A859))*2,0)/2)))</f>
        <v/>
      </c>
      <c r="R859">
        <f>IF(OR(R$4="",$A859&gt;TODAY()),0,IF(OR(INDEX($B859:$D859,R$5)="F",AND(R$6&gt;0,$A859&lt;R$6),AND(R$7&gt;0,$A859&gt;R$7)),0,MAX(0,ROUND((INDEX($E859:$G859,R$5)-SUMIFS(TF_Timer,TF_Tekniker,R$4,TF_Dato,$A859))*2,0)/2)))</f>
        <v/>
      </c>
      <c r="S859">
        <f>IF(OR(S$4="",$A859&gt;TODAY()),0,IF(OR(INDEX($B859:$D859,S$5)="F",AND(S$6&gt;0,$A859&lt;S$6),AND(S$7&gt;0,$A859&gt;S$7)),0,MAX(0,ROUND((INDEX($E859:$G859,S$5)-SUMIFS(TF_Timer,TF_Tekniker,S$4,TF_Dato,$A859))*2,0)/2)))</f>
        <v/>
      </c>
      <c r="T859">
        <f>IF(OR(T$4="",$A859&gt;TODAY()),0,IF(OR(INDEX($B859:$D859,T$5)="F",AND(T$6&gt;0,$A859&lt;T$6),AND(T$7&gt;0,$A859&gt;T$7)),0,MAX(0,ROUND((INDEX($E859:$G859,T$5)-SUMIFS(TF_Timer,TF_Tekniker,T$4,TF_Dato,$A859))*2,0)/2)))</f>
        <v/>
      </c>
      <c r="U859">
        <f>IF(OR(U$4="",$A859&gt;TODAY()),0,IF(OR(INDEX($B859:$D859,U$5)="F",AND(U$6&gt;0,$A859&lt;U$6),AND(U$7&gt;0,$A859&gt;U$7)),0,MAX(0,ROUND((INDEX($E859:$G859,U$5)-SUMIFS(TF_Timer,TF_Tekniker,U$4,TF_Dato,$A859))*2,0)/2)))</f>
        <v/>
      </c>
      <c r="V859">
        <f>IF(OR(V$4="",$A859&gt;TODAY()),0,IF(OR(INDEX($B859:$D859,V$5)="F",AND(V$6&gt;0,$A859&lt;V$6),AND(V$7&gt;0,$A859&gt;V$7)),0,MAX(0,ROUND((INDEX($E859:$G859,V$5)-SUMIFS(TF_Timer,TF_Tekniker,V$4,TF_Dato,$A859))*2,0)/2)))</f>
        <v/>
      </c>
      <c r="W859">
        <f>IF(OR(W$4="",$A859&gt;TODAY()),0,IF(OR(INDEX($B859:$D859,W$5)="F",AND(W$6&gt;0,$A859&lt;W$6),AND(W$7&gt;0,$A859&gt;W$7)),0,MAX(0,ROUND((INDEX($E859:$G859,W$5)-SUMIFS(TF_Timer,TF_Tekniker,W$4,TF_Dato,$A859))*2,0)/2)))</f>
        <v/>
      </c>
      <c r="X859">
        <f>IF(OR(X$4="",$A859&gt;TODAY()),0,IF(OR(INDEX($B859:$D859,X$5)="F",AND(X$6&gt;0,$A859&lt;X$6),AND(X$7&gt;0,$A859&gt;X$7)),0,MAX(0,ROUND((INDEX($E859:$G859,X$5)-SUMIFS(TF_Timer,TF_Tekniker,X$4,TF_Dato,$A859))*2,0)/2)))</f>
        <v/>
      </c>
      <c r="Y859">
        <f>IF(OR(Y$4="",$A859&gt;TODAY()),0,IF(OR(INDEX($B859:$D859,Y$5)="F",AND(Y$6&gt;0,$A859&lt;Y$6),AND(Y$7&gt;0,$A859&gt;Y$7)),0,MAX(0,ROUND((INDEX($E859:$G859,Y$5)-SUMIFS(TF_Timer,TF_Tekniker,Y$4,TF_Dato,$A859))*2,0)/2)))</f>
        <v/>
      </c>
      <c r="Z859">
        <f>IF(OR(Z$4="",$A859&gt;TODAY()),0,IF(OR(INDEX($B859:$D859,Z$5)="F",AND(Z$6&gt;0,$A859&lt;Z$6),AND(Z$7&gt;0,$A859&gt;Z$7)),0,MAX(0,ROUND((INDEX($E859:$G859,Z$5)-SUMIFS(TF_Timer,TF_Tekniker,Z$4,TF_Dato,$A859))*2,0)/2)))</f>
        <v/>
      </c>
      <c r="AA859">
        <f>IF(OR(AA$4="",$A859&gt;TODAY()),0,IF(OR(INDEX($B859:$D859,AA$5)="F",AND(AA$6&gt;0,$A859&lt;AA$6),AND(AA$7&gt;0,$A859&gt;AA$7)),0,MAX(0,ROUND((INDEX($E859:$G859,AA$5)-SUMIFS(TF_Timer,TF_Tekniker,AA$4,TF_Dato,$A859))*2,0)/2)))</f>
        <v/>
      </c>
      <c r="AB859">
        <f>IF(OR(AB$4="",$A859&gt;TODAY()),0,IF(OR(INDEX($B859:$D859,AB$5)="F",AND(AB$6&gt;0,$A859&lt;AB$6),AND(AB$7&gt;0,$A859&gt;AB$7)),0,MAX(0,ROUND((INDEX($E859:$G859,AB$5)-SUMIFS(TF_Timer,TF_Tekniker,AB$4,TF_Dato,$A859))*2,0)/2)))</f>
        <v/>
      </c>
      <c r="AC859">
        <f>IF(OR(AC$4="",$A859&gt;TODAY()),0,IF(OR(INDEX($B859:$D859,AC$5)="F",AND(AC$6&gt;0,$A859&lt;AC$6),AND(AC$7&gt;0,$A859&gt;AC$7)),0,MAX(0,ROUND((INDEX($E859:$G859,AC$5)-SUMIFS(TF_Timer,TF_Tekniker,AC$4,TF_Dato,$A859))*2,0)/2)))</f>
        <v/>
      </c>
      <c r="AD859">
        <f>IF(OR(AD$4="",$A859&gt;TODAY()),0,IF(OR(INDEX($B859:$D859,AD$5)="F",AND(AD$6&gt;0,$A859&lt;AD$6),AND(AD$7&gt;0,$A859&gt;AD$7)),0,MAX(0,ROUND((INDEX($E859:$G859,AD$5)-SUMIFS(TF_Timer,TF_Tekniker,AD$4,TF_Dato,$A859))*2,0)/2)))</f>
        <v/>
      </c>
      <c r="AE859">
        <f>IF(OR(AE$4="",$A859&gt;TODAY()),0,IF(OR(INDEX($B859:$D859,AE$5)="F",AND(AE$6&gt;0,$A859&lt;AE$6),AND(AE$7&gt;0,$A859&gt;AE$7)),0,MAX(0,ROUND((INDEX($E859:$G859,AE$5)-SUMIFS(TF_Timer,TF_Tekniker,AE$4,TF_Dato,$A859))*2,0)/2)))</f>
        <v/>
      </c>
      <c r="AF859">
        <f>IF(OR(AF$4="",$A859&gt;TODAY()),0,IF(OR(INDEX($B859:$D859,AF$5)="F",AND(AF$6&gt;0,$A859&lt;AF$6),AND(AF$7&gt;0,$A859&gt;AF$7)),0,MAX(0,ROUND((INDEX($E859:$G859,AF$5)-SUMIFS(TF_Timer,TF_Tekniker,AF$4,TF_Dato,$A859))*2,0)/2)))</f>
        <v/>
      </c>
      <c r="AG859">
        <f>IF(OR(AG$4="",$A859&gt;TODAY()),0,IF(OR(INDEX($B859:$D859,AG$5)="F",AND(AG$6&gt;0,$A859&lt;AG$6),AND(AG$7&gt;0,$A859&gt;AG$7)),0,MAX(0,ROUND((INDEX($E859:$G859,AG$5)-SUMIFS(TF_Timer,TF_Tekniker,AG$4,TF_Dato,$A859))*2,0)/2)))</f>
        <v/>
      </c>
      <c r="AH859">
        <f>IF(OR(AH$4="",$A859&gt;TODAY()),0,IF(OR(INDEX($B859:$D859,AH$5)="F",AND(AH$6&gt;0,$A859&lt;AH$6),AND(AH$7&gt;0,$A859&gt;AH$7)),0,MAX(0,ROUND((INDEX($E859:$G859,AH$5)-SUMIFS(TF_Timer,TF_Tekniker,AH$4,TF_Dato,$A859))*2,0)/2)))</f>
        <v/>
      </c>
      <c r="AI859">
        <f>IF(OR(AI$4="",$A859&gt;TODAY()),0,IF(OR(INDEX($B859:$D859,AI$5)="F",AND(AI$6&gt;0,$A859&lt;AI$6),AND(AI$7&gt;0,$A859&gt;AI$7)),0,MAX(0,ROUND((INDEX($E859:$G859,AI$5)-SUMIFS(TF_Timer,TF_Tekniker,AI$4,TF_Dato,$A859))*2,0)/2)))</f>
        <v/>
      </c>
      <c r="AJ859">
        <f>IF(OR(AJ$4="",$A859&gt;TODAY()),0,IF(OR(INDEX($B859:$D859,AJ$5)="F",AND(AJ$6&gt;0,$A859&lt;AJ$6),AND(AJ$7&gt;0,$A859&gt;AJ$7)),0,MAX(0,ROUND((INDEX($E859:$G859,AJ$5)-SUMIFS(TF_Timer,TF_Tekniker,AJ$4,TF_Dato,$A859))*2,0)/2)))</f>
        <v/>
      </c>
      <c r="AK859">
        <f>IF(OR(AK$4="",$A859&gt;TODAY()),0,IF(OR(INDEX($B859:$D859,AK$5)="F",AND(AK$6&gt;0,$A859&lt;AK$6),AND(AK$7&gt;0,$A859&gt;AK$7)),0,MAX(0,ROUND((INDEX($E859:$G859,AK$5)-SUMIFS(TF_Timer,TF_Tekniker,AK$4,TF_Dato,$A859))*2,0)/2)))</f>
        <v/>
      </c>
      <c r="AL859">
        <f>IF(OR(AL$4="",$A859&gt;TODAY()),0,IF(OR(INDEX($B859:$D859,AL$5)="F",AND(AL$6&gt;0,$A859&lt;AL$6),AND(AL$7&gt;0,$A859&gt;AL$7)),0,MAX(0,ROUND((INDEX($E859:$G859,AL$5)-SUMIFS(TF_Timer,TF_Tekniker,AL$4,TF_Dato,$A859))*2,0)/2)))</f>
        <v/>
      </c>
      <c r="AM859">
        <f>IF(OR(AM$4="",$A859&gt;TODAY()),0,IF(OR(INDEX($B859:$D859,AM$5)="F",AND(AM$6&gt;0,$A859&lt;AM$6),AND(AM$7&gt;0,$A859&gt;AM$7)),0,MAX(0,ROUND((INDEX($E859:$G859,AM$5)-SUMIFS(TF_Timer,TF_Tekniker,AM$4,TF_Dato,$A859))*2,0)/2)))</f>
        <v/>
      </c>
      <c r="AN859">
        <f>IF(OR(AN$4="",$A859&gt;TODAY()),0,IF(OR(INDEX($B859:$D859,AN$5)="F",AND(AN$6&gt;0,$A859&lt;AN$6),AND(AN$7&gt;0,$A859&gt;AN$7)),0,MAX(0,ROUND((INDEX($E859:$G859,AN$5)-SUMIFS(TF_Timer,TF_Tekniker,AN$4,TF_Dato,$A859))*2,0)/2)))</f>
        <v/>
      </c>
      <c r="AO859">
        <f>IF(OR(AO$4="",$A859&gt;TODAY()),0,IF(OR(INDEX($B859:$D859,AO$5)="F",AND(AO$6&gt;0,$A859&lt;AO$6),AND(AO$7&gt;0,$A859&gt;AO$7)),0,MAX(0,ROUND((INDEX($E859:$G859,AO$5)-SUMIFS(TF_Timer,TF_Tekniker,AO$4,TF_Dato,$A859))*2,0)/2)))</f>
        <v/>
      </c>
      <c r="AP859">
        <f>IF(OR(AP$4="",$A859&gt;TODAY()),0,IF(OR(INDEX($B859:$D859,AP$5)="F",AND(AP$6&gt;0,$A859&lt;AP$6),AND(AP$7&gt;0,$A859&gt;AP$7)),0,MAX(0,ROUND((INDEX($E859:$G859,AP$5)-SUMIFS(TF_Timer,TF_Tekniker,AP$4,TF_Dato,$A859))*2,0)/2)))</f>
        <v/>
      </c>
      <c r="AQ859">
        <f>IF(OR(AQ$4="",$A859&gt;TODAY()),0,IF(OR(INDEX($B859:$D859,AQ$5)="F",AND(AQ$6&gt;0,$A859&lt;AQ$6),AND(AQ$7&gt;0,$A859&gt;AQ$7)),0,MAX(0,ROUND((INDEX($E859:$G859,AQ$5)-SUMIFS(TF_Timer,TF_Tekniker,AQ$4,TF_Dato,$A859))*2,0)/2)))</f>
        <v/>
      </c>
      <c r="AR859">
        <f>IF(OR(AR$4="",$A859&gt;TODAY()),0,IF(OR(INDEX($B859:$D859,AR$5)="F",AND(AR$6&gt;0,$A859&lt;AR$6),AND(AR$7&gt;0,$A859&gt;AR$7)),0,MAX(0,ROUND((INDEX($E859:$G859,AR$5)-SUMIFS(TF_Timer,TF_Tekniker,AR$4,TF_Dato,$A859))*2,0)/2)))</f>
        <v/>
      </c>
      <c r="AS859">
        <f>IF(OR(AS$4="",$A859&gt;TODAY()),0,IF(OR(INDEX($B859:$D859,AS$5)="F",AND(AS$6&gt;0,$A859&lt;AS$6),AND(AS$7&gt;0,$A859&gt;AS$7)),0,MAX(0,ROUND((INDEX($E859:$G859,AS$5)-SUMIFS(TF_Timer,TF_Tekniker,AS$4,TF_Dato,$A859))*2,0)/2)))</f>
        <v/>
      </c>
      <c r="AT859">
        <f>IF(OR(AT$4="",$A859&gt;TODAY()),0,IF(OR(INDEX($B859:$D859,AT$5)="F",AND(AT$6&gt;0,$A859&lt;AT$6),AND(AT$7&gt;0,$A859&gt;AT$7)),0,MAX(0,ROUND((INDEX($E859:$G859,AT$5)-SUMIFS(TF_Timer,TF_Tekniker,AT$4,TF_Dato,$A859))*2,0)/2)))</f>
        <v/>
      </c>
      <c r="AU859">
        <f>IF(OR(AU$4="",$A859&gt;TODAY()),0,IF(OR(INDEX($B859:$D859,AU$5)="F",AND(AU$6&gt;0,$A859&lt;AU$6),AND(AU$7&gt;0,$A859&gt;AU$7)),0,MAX(0,ROUND((INDEX($E859:$G859,AU$5)-SUMIFS(TF_Timer,TF_Tekniker,AU$4,TF_Dato,$A859))*2,0)/2)))</f>
        <v/>
      </c>
      <c r="AV859">
        <f>IF(OR(AV$4="",$A859&gt;TODAY()),0,IF(OR(INDEX($B859:$D859,AV$5)="F",AND(AV$6&gt;0,$A859&lt;AV$6),AND(AV$7&gt;0,$A859&gt;AV$7)),0,MAX(0,ROUND((INDEX($E859:$G859,AV$5)-SUMIFS(TF_Timer,TF_Tekniker,AV$4,TF_Dato,$A859))*2,0)/2)))</f>
        <v/>
      </c>
      <c r="AW859">
        <f>IF(OR(AW$4="",$A859&gt;TODAY()),0,IF(OR(INDEX($B859:$D859,AW$5)="F",AND(AW$6&gt;0,$A859&lt;AW$6),AND(AW$7&gt;0,$A859&gt;AW$7)),0,MAX(0,ROUND((INDEX($E859:$G859,AW$5)-SUMIFS(TF_Timer,TF_Tekniker,AW$4,TF_Dato,$A859))*2,0)/2)))</f>
        <v/>
      </c>
      <c r="AX859">
        <f>IF(OR(AX$4="",$A859&gt;TODAY()),0,IF(OR(INDEX($B859:$D859,AX$5)="F",AND(AX$6&gt;0,$A859&lt;AX$6),AND(AX$7&gt;0,$A859&gt;AX$7)),0,MAX(0,ROUND((INDEX($E859:$G859,AX$5)-SUMIFS(TF_Timer,TF_Tekniker,AX$4,TF_Dato,$A859))*2,0)/2)))</f>
        <v/>
      </c>
      <c r="AY859">
        <f>IF(OR(AY$4="",$A859&gt;TODAY()),0,IF(OR(INDEX($B859:$D859,AY$5)="F",AND(AY$6&gt;0,$A859&lt;AY$6),AND(AY$7&gt;0,$A859&gt;AY$7)),0,MAX(0,ROUND((INDEX($E859:$G859,AY$5)-SUMIFS(TF_Timer,TF_Tekniker,AY$4,TF_Dato,$A859))*2,0)/2)))</f>
        <v/>
      </c>
      <c r="AZ859">
        <f>IF(OR(AZ$4="",$A859&gt;TODAY()),0,IF(OR(INDEX($B859:$D859,AZ$5)="F",AND(AZ$6&gt;0,$A859&lt;AZ$6),AND(AZ$7&gt;0,$A859&gt;AZ$7)),0,MAX(0,ROUND((INDEX($E859:$G859,AZ$5)-SUMIFS(TF_Timer,TF_Tekniker,AZ$4,TF_Dato,$A859))*2,0)/2)))</f>
        <v/>
      </c>
      <c r="BA859">
        <f>IF(OR(BA$4="",$A859&gt;TODAY()),0,IF(OR(INDEX($B859:$D859,BA$5)="F",AND(BA$6&gt;0,$A859&lt;BA$6),AND(BA$7&gt;0,$A859&gt;BA$7)),0,MAX(0,ROUND((INDEX($E859:$G859,BA$5)-SUMIFS(TF_Timer,TF_Tekniker,BA$4,TF_Dato,$A859))*2,0)/2)))</f>
        <v/>
      </c>
      <c r="BB859">
        <f>IF(OR(BB$4="",$A859&gt;TODAY()),0,IF(OR(INDEX($B859:$D859,BB$5)="F",AND(BB$6&gt;0,$A859&lt;BB$6),AND(BB$7&gt;0,$A859&gt;BB$7)),0,MAX(0,ROUND((INDEX($E859:$G859,BB$5)-SUMIFS(TF_Timer,TF_Tekniker,BB$4,TF_Dato,$A859))*2,0)/2)))</f>
        <v/>
      </c>
      <c r="BC859">
        <f>IF(OR(BC$4="",$A859&gt;TODAY()),0,IF(OR(INDEX($B859:$D859,BC$5)="F",AND(BC$6&gt;0,$A859&lt;BC$6),AND(BC$7&gt;0,$A859&gt;BC$7)),0,MAX(0,ROUND((INDEX($E859:$G859,BC$5)-SUMIFS(TF_Timer,TF_Tekniker,BC$4,TF_Dato,$A859))*2,0)/2)))</f>
        <v/>
      </c>
      <c r="BD859">
        <f>IF(OR(BD$4="",$A859&gt;TODAY()),0,IF(OR(INDEX($B859:$D859,BD$5)="F",AND(BD$6&gt;0,$A859&lt;BD$6),AND(BD$7&gt;0,$A859&gt;BD$7)),0,MAX(0,ROUND((INDEX($E859:$G859,BD$5)-SUMIFS(TF_Timer,TF_Tekniker,BD$4,TF_Dato,$A859))*2,0)/2)))</f>
        <v/>
      </c>
      <c r="BE859">
        <f>IF(OR(BE$4="",$A859&gt;TODAY()),0,IF(OR(INDEX($B859:$D859,BE$5)="F",AND(BE$6&gt;0,$A859&lt;BE$6),AND(BE$7&gt;0,$A859&gt;BE$7)),0,MAX(0,ROUND((INDEX($E859:$G859,BE$5)-SUMIFS(TF_Timer,TF_Tekniker,BE$4,TF_Dato,$A859))*2,0)/2)))</f>
        <v/>
      </c>
      <c r="BF859">
        <f>IF(OR(BF$4="",$A859&gt;TODAY()),0,IF(OR(INDEX($B859:$D859,BF$5)="F",AND(BF$6&gt;0,$A859&lt;BF$6),AND(BF$7&gt;0,$A859&gt;BF$7)),0,MAX(0,ROUND((INDEX($E859:$G859,BF$5)-SUMIFS(TF_Timer,TF_Tekniker,BF$4,TF_Dato,$A859))*2,0)/2)))</f>
        <v/>
      </c>
      <c r="BG859">
        <f>IF(OR(BG$4="",$A859&gt;TODAY()),0,IF(OR(INDEX($B859:$D859,BG$5)="F",AND(BG$6&gt;0,$A859&lt;BG$6),AND(BG$7&gt;0,$A859&gt;BG$7)),0,MAX(0,ROUND((INDEX($E859:$G859,BG$5)-SUMIFS(TF_Timer,TF_Tekniker,BG$4,TF_Dato,$A859))*2,0)/2)))</f>
        <v/>
      </c>
      <c r="BH859">
        <f>IF(OR(BH$4="",$A859&gt;TODAY()),0,IF(OR(INDEX($B859:$D859,BH$5)="F",AND(BH$6&gt;0,$A859&lt;BH$6),AND(BH$7&gt;0,$A859&gt;BH$7)),0,MAX(0,ROUND((INDEX($E859:$G859,BH$5)-SUMIFS(TF_Timer,TF_Tekniker,BH$4,TF_Dato,$A859))*2,0)/2)))</f>
        <v/>
      </c>
      <c r="BI859">
        <f>IF(OR(BI$4="",$A859&gt;TODAY()),0,IF(OR(INDEX($B859:$D859,BI$5)="F",AND(BI$6&gt;0,$A859&lt;BI$6),AND(BI$7&gt;0,$A859&gt;BI$7)),0,MAX(0,ROUND((INDEX($E859:$G859,BI$5)-SUMIFS(TF_Timer,TF_Tekniker,BI$4,TF_Dato,$A859))*2,0)/2)))</f>
        <v/>
      </c>
    </row>
    <row r="860">
      <c r="A860" s="64">
        <f>A859+1</f>
        <v/>
      </c>
      <c r="B860">
        <f>IF(MOD($A860-INDEX(SkiftStart,1),Syklus)&lt;DagK,"K",IF(MOD($A860-INDEX(SkiftStart,1),Syklus)&lt;DagK+DagH,"H",IF(MOD($A860-INDEX(SkiftStart,1),Syklus)&lt;DagK+DagH+DagD,"D","F")))</f>
        <v/>
      </c>
      <c r="C860">
        <f>IF(MOD($A860-INDEX(SkiftStart,2),Syklus)&lt;DagK,"K",IF(MOD($A860-INDEX(SkiftStart,2),Syklus)&lt;DagK+DagH,"H",IF(MOD($A860-INDEX(SkiftStart,2),Syklus)&lt;DagK+DagH+DagD,"D","F")))</f>
        <v/>
      </c>
      <c r="D860">
        <f>IF(MOD($A860-INDEX(SkiftStart,3),Syklus)&lt;DagK,"K",IF(MOD($A860-INDEX(SkiftStart,3),Syklus)&lt;DagK+DagH,"H",IF(MOD($A860-INDEX(SkiftStart,3),Syklus)&lt;DagK+DagH+DagD,"D","F")))</f>
        <v/>
      </c>
      <c r="E860">
        <f>IF(B860="F",0,IF(WEEKDAY($A860,2)=5,INDEX(TimerFr,MATCH(B860,FaseKode,0)),INDEX(TimerMT,MATCH(B860,FaseKode,0))))</f>
        <v/>
      </c>
      <c r="F860">
        <f>IF(C860="F",0,IF(WEEKDAY($A860,2)=5,INDEX(TimerFr,MATCH(C860,FaseKode,0)),INDEX(TimerMT,MATCH(C860,FaseKode,0))))</f>
        <v/>
      </c>
      <c r="G860">
        <f>IF(D860="F",0,IF(WEEKDAY($A860,2)=5,INDEX(TimerFr,MATCH(D860,FaseKode,0)),INDEX(TimerMT,MATCH(D860,FaseKode,0))))</f>
        <v/>
      </c>
      <c r="H860">
        <f>IF(OR(H$4="",$A860&gt;TODAY()),0,IF(OR(INDEX($B860:$D860,H$5)="F",AND(H$6&gt;0,$A860&lt;H$6),AND(H$7&gt;0,$A860&gt;H$7)),0,MAX(0,ROUND((INDEX($E860:$G860,H$5)-SUMIFS(TF_Timer,TF_Tekniker,H$4,TF_Dato,$A860))*2,0)/2)))</f>
        <v/>
      </c>
      <c r="I860">
        <f>IF(OR(I$4="",$A860&gt;TODAY()),0,IF(OR(INDEX($B860:$D860,I$5)="F",AND(I$6&gt;0,$A860&lt;I$6),AND(I$7&gt;0,$A860&gt;I$7)),0,MAX(0,ROUND((INDEX($E860:$G860,I$5)-SUMIFS(TF_Timer,TF_Tekniker,I$4,TF_Dato,$A860))*2,0)/2)))</f>
        <v/>
      </c>
      <c r="J860">
        <f>IF(OR(J$4="",$A860&gt;TODAY()),0,IF(OR(INDEX($B860:$D860,J$5)="F",AND(J$6&gt;0,$A860&lt;J$6),AND(J$7&gt;0,$A860&gt;J$7)),0,MAX(0,ROUND((INDEX($E860:$G860,J$5)-SUMIFS(TF_Timer,TF_Tekniker,J$4,TF_Dato,$A860))*2,0)/2)))</f>
        <v/>
      </c>
      <c r="K860">
        <f>IF(OR(K$4="",$A860&gt;TODAY()),0,IF(OR(INDEX($B860:$D860,K$5)="F",AND(K$6&gt;0,$A860&lt;K$6),AND(K$7&gt;0,$A860&gt;K$7)),0,MAX(0,ROUND((INDEX($E860:$G860,K$5)-SUMIFS(TF_Timer,TF_Tekniker,K$4,TF_Dato,$A860))*2,0)/2)))</f>
        <v/>
      </c>
      <c r="L860">
        <f>IF(OR(L$4="",$A860&gt;TODAY()),0,IF(OR(INDEX($B860:$D860,L$5)="F",AND(L$6&gt;0,$A860&lt;L$6),AND(L$7&gt;0,$A860&gt;L$7)),0,MAX(0,ROUND((INDEX($E860:$G860,L$5)-SUMIFS(TF_Timer,TF_Tekniker,L$4,TF_Dato,$A860))*2,0)/2)))</f>
        <v/>
      </c>
      <c r="M860">
        <f>IF(OR(M$4="",$A860&gt;TODAY()),0,IF(OR(INDEX($B860:$D860,M$5)="F",AND(M$6&gt;0,$A860&lt;M$6),AND(M$7&gt;0,$A860&gt;M$7)),0,MAX(0,ROUND((INDEX($E860:$G860,M$5)-SUMIFS(TF_Timer,TF_Tekniker,M$4,TF_Dato,$A860))*2,0)/2)))</f>
        <v/>
      </c>
      <c r="N860">
        <f>IF(OR(N$4="",$A860&gt;TODAY()),0,IF(OR(INDEX($B860:$D860,N$5)="F",AND(N$6&gt;0,$A860&lt;N$6),AND(N$7&gt;0,$A860&gt;N$7)),0,MAX(0,ROUND((INDEX($E860:$G860,N$5)-SUMIFS(TF_Timer,TF_Tekniker,N$4,TF_Dato,$A860))*2,0)/2)))</f>
        <v/>
      </c>
      <c r="O860">
        <f>IF(OR(O$4="",$A860&gt;TODAY()),0,IF(OR(INDEX($B860:$D860,O$5)="F",AND(O$6&gt;0,$A860&lt;O$6),AND(O$7&gt;0,$A860&gt;O$7)),0,MAX(0,ROUND((INDEX($E860:$G860,O$5)-SUMIFS(TF_Timer,TF_Tekniker,O$4,TF_Dato,$A860))*2,0)/2)))</f>
        <v/>
      </c>
      <c r="P860">
        <f>IF(OR(P$4="",$A860&gt;TODAY()),0,IF(OR(INDEX($B860:$D860,P$5)="F",AND(P$6&gt;0,$A860&lt;P$6),AND(P$7&gt;0,$A860&gt;P$7)),0,MAX(0,ROUND((INDEX($E860:$G860,P$5)-SUMIFS(TF_Timer,TF_Tekniker,P$4,TF_Dato,$A860))*2,0)/2)))</f>
        <v/>
      </c>
      <c r="Q860">
        <f>IF(OR(Q$4="",$A860&gt;TODAY()),0,IF(OR(INDEX($B860:$D860,Q$5)="F",AND(Q$6&gt;0,$A860&lt;Q$6),AND(Q$7&gt;0,$A860&gt;Q$7)),0,MAX(0,ROUND((INDEX($E860:$G860,Q$5)-SUMIFS(TF_Timer,TF_Tekniker,Q$4,TF_Dato,$A860))*2,0)/2)))</f>
        <v/>
      </c>
      <c r="R860">
        <f>IF(OR(R$4="",$A860&gt;TODAY()),0,IF(OR(INDEX($B860:$D860,R$5)="F",AND(R$6&gt;0,$A860&lt;R$6),AND(R$7&gt;0,$A860&gt;R$7)),0,MAX(0,ROUND((INDEX($E860:$G860,R$5)-SUMIFS(TF_Timer,TF_Tekniker,R$4,TF_Dato,$A860))*2,0)/2)))</f>
        <v/>
      </c>
      <c r="S860">
        <f>IF(OR(S$4="",$A860&gt;TODAY()),0,IF(OR(INDEX($B860:$D860,S$5)="F",AND(S$6&gt;0,$A860&lt;S$6),AND(S$7&gt;0,$A860&gt;S$7)),0,MAX(0,ROUND((INDEX($E860:$G860,S$5)-SUMIFS(TF_Timer,TF_Tekniker,S$4,TF_Dato,$A860))*2,0)/2)))</f>
        <v/>
      </c>
      <c r="T860">
        <f>IF(OR(T$4="",$A860&gt;TODAY()),0,IF(OR(INDEX($B860:$D860,T$5)="F",AND(T$6&gt;0,$A860&lt;T$6),AND(T$7&gt;0,$A860&gt;T$7)),0,MAX(0,ROUND((INDEX($E860:$G860,T$5)-SUMIFS(TF_Timer,TF_Tekniker,T$4,TF_Dato,$A860))*2,0)/2)))</f>
        <v/>
      </c>
      <c r="U860">
        <f>IF(OR(U$4="",$A860&gt;TODAY()),0,IF(OR(INDEX($B860:$D860,U$5)="F",AND(U$6&gt;0,$A860&lt;U$6),AND(U$7&gt;0,$A860&gt;U$7)),0,MAX(0,ROUND((INDEX($E860:$G860,U$5)-SUMIFS(TF_Timer,TF_Tekniker,U$4,TF_Dato,$A860))*2,0)/2)))</f>
        <v/>
      </c>
      <c r="V860">
        <f>IF(OR(V$4="",$A860&gt;TODAY()),0,IF(OR(INDEX($B860:$D860,V$5)="F",AND(V$6&gt;0,$A860&lt;V$6),AND(V$7&gt;0,$A860&gt;V$7)),0,MAX(0,ROUND((INDEX($E860:$G860,V$5)-SUMIFS(TF_Timer,TF_Tekniker,V$4,TF_Dato,$A860))*2,0)/2)))</f>
        <v/>
      </c>
      <c r="W860">
        <f>IF(OR(W$4="",$A860&gt;TODAY()),0,IF(OR(INDEX($B860:$D860,W$5)="F",AND(W$6&gt;0,$A860&lt;W$6),AND(W$7&gt;0,$A860&gt;W$7)),0,MAX(0,ROUND((INDEX($E860:$G860,W$5)-SUMIFS(TF_Timer,TF_Tekniker,W$4,TF_Dato,$A860))*2,0)/2)))</f>
        <v/>
      </c>
      <c r="X860">
        <f>IF(OR(X$4="",$A860&gt;TODAY()),0,IF(OR(INDEX($B860:$D860,X$5)="F",AND(X$6&gt;0,$A860&lt;X$6),AND(X$7&gt;0,$A860&gt;X$7)),0,MAX(0,ROUND((INDEX($E860:$G860,X$5)-SUMIFS(TF_Timer,TF_Tekniker,X$4,TF_Dato,$A860))*2,0)/2)))</f>
        <v/>
      </c>
      <c r="Y860">
        <f>IF(OR(Y$4="",$A860&gt;TODAY()),0,IF(OR(INDEX($B860:$D860,Y$5)="F",AND(Y$6&gt;0,$A860&lt;Y$6),AND(Y$7&gt;0,$A860&gt;Y$7)),0,MAX(0,ROUND((INDEX($E860:$G860,Y$5)-SUMIFS(TF_Timer,TF_Tekniker,Y$4,TF_Dato,$A860))*2,0)/2)))</f>
        <v/>
      </c>
      <c r="Z860">
        <f>IF(OR(Z$4="",$A860&gt;TODAY()),0,IF(OR(INDEX($B860:$D860,Z$5)="F",AND(Z$6&gt;0,$A860&lt;Z$6),AND(Z$7&gt;0,$A860&gt;Z$7)),0,MAX(0,ROUND((INDEX($E860:$G860,Z$5)-SUMIFS(TF_Timer,TF_Tekniker,Z$4,TF_Dato,$A860))*2,0)/2)))</f>
        <v/>
      </c>
      <c r="AA860">
        <f>IF(OR(AA$4="",$A860&gt;TODAY()),0,IF(OR(INDEX($B860:$D860,AA$5)="F",AND(AA$6&gt;0,$A860&lt;AA$6),AND(AA$7&gt;0,$A860&gt;AA$7)),0,MAX(0,ROUND((INDEX($E860:$G860,AA$5)-SUMIFS(TF_Timer,TF_Tekniker,AA$4,TF_Dato,$A860))*2,0)/2)))</f>
        <v/>
      </c>
      <c r="AB860">
        <f>IF(OR(AB$4="",$A860&gt;TODAY()),0,IF(OR(INDEX($B860:$D860,AB$5)="F",AND(AB$6&gt;0,$A860&lt;AB$6),AND(AB$7&gt;0,$A860&gt;AB$7)),0,MAX(0,ROUND((INDEX($E860:$G860,AB$5)-SUMIFS(TF_Timer,TF_Tekniker,AB$4,TF_Dato,$A860))*2,0)/2)))</f>
        <v/>
      </c>
      <c r="AC860">
        <f>IF(OR(AC$4="",$A860&gt;TODAY()),0,IF(OR(INDEX($B860:$D860,AC$5)="F",AND(AC$6&gt;0,$A860&lt;AC$6),AND(AC$7&gt;0,$A860&gt;AC$7)),0,MAX(0,ROUND((INDEX($E860:$G860,AC$5)-SUMIFS(TF_Timer,TF_Tekniker,AC$4,TF_Dato,$A860))*2,0)/2)))</f>
        <v/>
      </c>
      <c r="AD860">
        <f>IF(OR(AD$4="",$A860&gt;TODAY()),0,IF(OR(INDEX($B860:$D860,AD$5)="F",AND(AD$6&gt;0,$A860&lt;AD$6),AND(AD$7&gt;0,$A860&gt;AD$7)),0,MAX(0,ROUND((INDEX($E860:$G860,AD$5)-SUMIFS(TF_Timer,TF_Tekniker,AD$4,TF_Dato,$A860))*2,0)/2)))</f>
        <v/>
      </c>
      <c r="AE860">
        <f>IF(OR(AE$4="",$A860&gt;TODAY()),0,IF(OR(INDEX($B860:$D860,AE$5)="F",AND(AE$6&gt;0,$A860&lt;AE$6),AND(AE$7&gt;0,$A860&gt;AE$7)),0,MAX(0,ROUND((INDEX($E860:$G860,AE$5)-SUMIFS(TF_Timer,TF_Tekniker,AE$4,TF_Dato,$A860))*2,0)/2)))</f>
        <v/>
      </c>
      <c r="AF860">
        <f>IF(OR(AF$4="",$A860&gt;TODAY()),0,IF(OR(INDEX($B860:$D860,AF$5)="F",AND(AF$6&gt;0,$A860&lt;AF$6),AND(AF$7&gt;0,$A860&gt;AF$7)),0,MAX(0,ROUND((INDEX($E860:$G860,AF$5)-SUMIFS(TF_Timer,TF_Tekniker,AF$4,TF_Dato,$A860))*2,0)/2)))</f>
        <v/>
      </c>
      <c r="AG860">
        <f>IF(OR(AG$4="",$A860&gt;TODAY()),0,IF(OR(INDEX($B860:$D860,AG$5)="F",AND(AG$6&gt;0,$A860&lt;AG$6),AND(AG$7&gt;0,$A860&gt;AG$7)),0,MAX(0,ROUND((INDEX($E860:$G860,AG$5)-SUMIFS(TF_Timer,TF_Tekniker,AG$4,TF_Dato,$A860))*2,0)/2)))</f>
        <v/>
      </c>
      <c r="AH860">
        <f>IF(OR(AH$4="",$A860&gt;TODAY()),0,IF(OR(INDEX($B860:$D860,AH$5)="F",AND(AH$6&gt;0,$A860&lt;AH$6),AND(AH$7&gt;0,$A860&gt;AH$7)),0,MAX(0,ROUND((INDEX($E860:$G860,AH$5)-SUMIFS(TF_Timer,TF_Tekniker,AH$4,TF_Dato,$A860))*2,0)/2)))</f>
        <v/>
      </c>
      <c r="AI860">
        <f>IF(OR(AI$4="",$A860&gt;TODAY()),0,IF(OR(INDEX($B860:$D860,AI$5)="F",AND(AI$6&gt;0,$A860&lt;AI$6),AND(AI$7&gt;0,$A860&gt;AI$7)),0,MAX(0,ROUND((INDEX($E860:$G860,AI$5)-SUMIFS(TF_Timer,TF_Tekniker,AI$4,TF_Dato,$A860))*2,0)/2)))</f>
        <v/>
      </c>
      <c r="AJ860">
        <f>IF(OR(AJ$4="",$A860&gt;TODAY()),0,IF(OR(INDEX($B860:$D860,AJ$5)="F",AND(AJ$6&gt;0,$A860&lt;AJ$6),AND(AJ$7&gt;0,$A860&gt;AJ$7)),0,MAX(0,ROUND((INDEX($E860:$G860,AJ$5)-SUMIFS(TF_Timer,TF_Tekniker,AJ$4,TF_Dato,$A860))*2,0)/2)))</f>
        <v/>
      </c>
      <c r="AK860">
        <f>IF(OR(AK$4="",$A860&gt;TODAY()),0,IF(OR(INDEX($B860:$D860,AK$5)="F",AND(AK$6&gt;0,$A860&lt;AK$6),AND(AK$7&gt;0,$A860&gt;AK$7)),0,MAX(0,ROUND((INDEX($E860:$G860,AK$5)-SUMIFS(TF_Timer,TF_Tekniker,AK$4,TF_Dato,$A860))*2,0)/2)))</f>
        <v/>
      </c>
      <c r="AL860">
        <f>IF(OR(AL$4="",$A860&gt;TODAY()),0,IF(OR(INDEX($B860:$D860,AL$5)="F",AND(AL$6&gt;0,$A860&lt;AL$6),AND(AL$7&gt;0,$A860&gt;AL$7)),0,MAX(0,ROUND((INDEX($E860:$G860,AL$5)-SUMIFS(TF_Timer,TF_Tekniker,AL$4,TF_Dato,$A860))*2,0)/2)))</f>
        <v/>
      </c>
      <c r="AM860">
        <f>IF(OR(AM$4="",$A860&gt;TODAY()),0,IF(OR(INDEX($B860:$D860,AM$5)="F",AND(AM$6&gt;0,$A860&lt;AM$6),AND(AM$7&gt;0,$A860&gt;AM$7)),0,MAX(0,ROUND((INDEX($E860:$G860,AM$5)-SUMIFS(TF_Timer,TF_Tekniker,AM$4,TF_Dato,$A860))*2,0)/2)))</f>
        <v/>
      </c>
      <c r="AN860">
        <f>IF(OR(AN$4="",$A860&gt;TODAY()),0,IF(OR(INDEX($B860:$D860,AN$5)="F",AND(AN$6&gt;0,$A860&lt;AN$6),AND(AN$7&gt;0,$A860&gt;AN$7)),0,MAX(0,ROUND((INDEX($E860:$G860,AN$5)-SUMIFS(TF_Timer,TF_Tekniker,AN$4,TF_Dato,$A860))*2,0)/2)))</f>
        <v/>
      </c>
      <c r="AO860">
        <f>IF(OR(AO$4="",$A860&gt;TODAY()),0,IF(OR(INDEX($B860:$D860,AO$5)="F",AND(AO$6&gt;0,$A860&lt;AO$6),AND(AO$7&gt;0,$A860&gt;AO$7)),0,MAX(0,ROUND((INDEX($E860:$G860,AO$5)-SUMIFS(TF_Timer,TF_Tekniker,AO$4,TF_Dato,$A860))*2,0)/2)))</f>
        <v/>
      </c>
      <c r="AP860">
        <f>IF(OR(AP$4="",$A860&gt;TODAY()),0,IF(OR(INDEX($B860:$D860,AP$5)="F",AND(AP$6&gt;0,$A860&lt;AP$6),AND(AP$7&gt;0,$A860&gt;AP$7)),0,MAX(0,ROUND((INDEX($E860:$G860,AP$5)-SUMIFS(TF_Timer,TF_Tekniker,AP$4,TF_Dato,$A860))*2,0)/2)))</f>
        <v/>
      </c>
      <c r="AQ860">
        <f>IF(OR(AQ$4="",$A860&gt;TODAY()),0,IF(OR(INDEX($B860:$D860,AQ$5)="F",AND(AQ$6&gt;0,$A860&lt;AQ$6),AND(AQ$7&gt;0,$A860&gt;AQ$7)),0,MAX(0,ROUND((INDEX($E860:$G860,AQ$5)-SUMIFS(TF_Timer,TF_Tekniker,AQ$4,TF_Dato,$A860))*2,0)/2)))</f>
        <v/>
      </c>
      <c r="AR860">
        <f>IF(OR(AR$4="",$A860&gt;TODAY()),0,IF(OR(INDEX($B860:$D860,AR$5)="F",AND(AR$6&gt;0,$A860&lt;AR$6),AND(AR$7&gt;0,$A860&gt;AR$7)),0,MAX(0,ROUND((INDEX($E860:$G860,AR$5)-SUMIFS(TF_Timer,TF_Tekniker,AR$4,TF_Dato,$A860))*2,0)/2)))</f>
        <v/>
      </c>
      <c r="AS860">
        <f>IF(OR(AS$4="",$A860&gt;TODAY()),0,IF(OR(INDEX($B860:$D860,AS$5)="F",AND(AS$6&gt;0,$A860&lt;AS$6),AND(AS$7&gt;0,$A860&gt;AS$7)),0,MAX(0,ROUND((INDEX($E860:$G860,AS$5)-SUMIFS(TF_Timer,TF_Tekniker,AS$4,TF_Dato,$A860))*2,0)/2)))</f>
        <v/>
      </c>
      <c r="AT860">
        <f>IF(OR(AT$4="",$A860&gt;TODAY()),0,IF(OR(INDEX($B860:$D860,AT$5)="F",AND(AT$6&gt;0,$A860&lt;AT$6),AND(AT$7&gt;0,$A860&gt;AT$7)),0,MAX(0,ROUND((INDEX($E860:$G860,AT$5)-SUMIFS(TF_Timer,TF_Tekniker,AT$4,TF_Dato,$A860))*2,0)/2)))</f>
        <v/>
      </c>
      <c r="AU860">
        <f>IF(OR(AU$4="",$A860&gt;TODAY()),0,IF(OR(INDEX($B860:$D860,AU$5)="F",AND(AU$6&gt;0,$A860&lt;AU$6),AND(AU$7&gt;0,$A860&gt;AU$7)),0,MAX(0,ROUND((INDEX($E860:$G860,AU$5)-SUMIFS(TF_Timer,TF_Tekniker,AU$4,TF_Dato,$A860))*2,0)/2)))</f>
        <v/>
      </c>
      <c r="AV860">
        <f>IF(OR(AV$4="",$A860&gt;TODAY()),0,IF(OR(INDEX($B860:$D860,AV$5)="F",AND(AV$6&gt;0,$A860&lt;AV$6),AND(AV$7&gt;0,$A860&gt;AV$7)),0,MAX(0,ROUND((INDEX($E860:$G860,AV$5)-SUMIFS(TF_Timer,TF_Tekniker,AV$4,TF_Dato,$A860))*2,0)/2)))</f>
        <v/>
      </c>
      <c r="AW860">
        <f>IF(OR(AW$4="",$A860&gt;TODAY()),0,IF(OR(INDEX($B860:$D860,AW$5)="F",AND(AW$6&gt;0,$A860&lt;AW$6),AND(AW$7&gt;0,$A860&gt;AW$7)),0,MAX(0,ROUND((INDEX($E860:$G860,AW$5)-SUMIFS(TF_Timer,TF_Tekniker,AW$4,TF_Dato,$A860))*2,0)/2)))</f>
        <v/>
      </c>
      <c r="AX860">
        <f>IF(OR(AX$4="",$A860&gt;TODAY()),0,IF(OR(INDEX($B860:$D860,AX$5)="F",AND(AX$6&gt;0,$A860&lt;AX$6),AND(AX$7&gt;0,$A860&gt;AX$7)),0,MAX(0,ROUND((INDEX($E860:$G860,AX$5)-SUMIFS(TF_Timer,TF_Tekniker,AX$4,TF_Dato,$A860))*2,0)/2)))</f>
        <v/>
      </c>
      <c r="AY860">
        <f>IF(OR(AY$4="",$A860&gt;TODAY()),0,IF(OR(INDEX($B860:$D860,AY$5)="F",AND(AY$6&gt;0,$A860&lt;AY$6),AND(AY$7&gt;0,$A860&gt;AY$7)),0,MAX(0,ROUND((INDEX($E860:$G860,AY$5)-SUMIFS(TF_Timer,TF_Tekniker,AY$4,TF_Dato,$A860))*2,0)/2)))</f>
        <v/>
      </c>
      <c r="AZ860">
        <f>IF(OR(AZ$4="",$A860&gt;TODAY()),0,IF(OR(INDEX($B860:$D860,AZ$5)="F",AND(AZ$6&gt;0,$A860&lt;AZ$6),AND(AZ$7&gt;0,$A860&gt;AZ$7)),0,MAX(0,ROUND((INDEX($E860:$G860,AZ$5)-SUMIFS(TF_Timer,TF_Tekniker,AZ$4,TF_Dato,$A860))*2,0)/2)))</f>
        <v/>
      </c>
      <c r="BA860">
        <f>IF(OR(BA$4="",$A860&gt;TODAY()),0,IF(OR(INDEX($B860:$D860,BA$5)="F",AND(BA$6&gt;0,$A860&lt;BA$6),AND(BA$7&gt;0,$A860&gt;BA$7)),0,MAX(0,ROUND((INDEX($E860:$G860,BA$5)-SUMIFS(TF_Timer,TF_Tekniker,BA$4,TF_Dato,$A860))*2,0)/2)))</f>
        <v/>
      </c>
      <c r="BB860">
        <f>IF(OR(BB$4="",$A860&gt;TODAY()),0,IF(OR(INDEX($B860:$D860,BB$5)="F",AND(BB$6&gt;0,$A860&lt;BB$6),AND(BB$7&gt;0,$A860&gt;BB$7)),0,MAX(0,ROUND((INDEX($E860:$G860,BB$5)-SUMIFS(TF_Timer,TF_Tekniker,BB$4,TF_Dato,$A860))*2,0)/2)))</f>
        <v/>
      </c>
      <c r="BC860">
        <f>IF(OR(BC$4="",$A860&gt;TODAY()),0,IF(OR(INDEX($B860:$D860,BC$5)="F",AND(BC$6&gt;0,$A860&lt;BC$6),AND(BC$7&gt;0,$A860&gt;BC$7)),0,MAX(0,ROUND((INDEX($E860:$G860,BC$5)-SUMIFS(TF_Timer,TF_Tekniker,BC$4,TF_Dato,$A860))*2,0)/2)))</f>
        <v/>
      </c>
      <c r="BD860">
        <f>IF(OR(BD$4="",$A860&gt;TODAY()),0,IF(OR(INDEX($B860:$D860,BD$5)="F",AND(BD$6&gt;0,$A860&lt;BD$6),AND(BD$7&gt;0,$A860&gt;BD$7)),0,MAX(0,ROUND((INDEX($E860:$G860,BD$5)-SUMIFS(TF_Timer,TF_Tekniker,BD$4,TF_Dato,$A860))*2,0)/2)))</f>
        <v/>
      </c>
      <c r="BE860">
        <f>IF(OR(BE$4="",$A860&gt;TODAY()),0,IF(OR(INDEX($B860:$D860,BE$5)="F",AND(BE$6&gt;0,$A860&lt;BE$6),AND(BE$7&gt;0,$A860&gt;BE$7)),0,MAX(0,ROUND((INDEX($E860:$G860,BE$5)-SUMIFS(TF_Timer,TF_Tekniker,BE$4,TF_Dato,$A860))*2,0)/2)))</f>
        <v/>
      </c>
      <c r="BF860">
        <f>IF(OR(BF$4="",$A860&gt;TODAY()),0,IF(OR(INDEX($B860:$D860,BF$5)="F",AND(BF$6&gt;0,$A860&lt;BF$6),AND(BF$7&gt;0,$A860&gt;BF$7)),0,MAX(0,ROUND((INDEX($E860:$G860,BF$5)-SUMIFS(TF_Timer,TF_Tekniker,BF$4,TF_Dato,$A860))*2,0)/2)))</f>
        <v/>
      </c>
      <c r="BG860">
        <f>IF(OR(BG$4="",$A860&gt;TODAY()),0,IF(OR(INDEX($B860:$D860,BG$5)="F",AND(BG$6&gt;0,$A860&lt;BG$6),AND(BG$7&gt;0,$A860&gt;BG$7)),0,MAX(0,ROUND((INDEX($E860:$G860,BG$5)-SUMIFS(TF_Timer,TF_Tekniker,BG$4,TF_Dato,$A860))*2,0)/2)))</f>
        <v/>
      </c>
      <c r="BH860">
        <f>IF(OR(BH$4="",$A860&gt;TODAY()),0,IF(OR(INDEX($B860:$D860,BH$5)="F",AND(BH$6&gt;0,$A860&lt;BH$6),AND(BH$7&gt;0,$A860&gt;BH$7)),0,MAX(0,ROUND((INDEX($E860:$G860,BH$5)-SUMIFS(TF_Timer,TF_Tekniker,BH$4,TF_Dato,$A860))*2,0)/2)))</f>
        <v/>
      </c>
      <c r="BI860">
        <f>IF(OR(BI$4="",$A860&gt;TODAY()),0,IF(OR(INDEX($B860:$D860,BI$5)="F",AND(BI$6&gt;0,$A860&lt;BI$6),AND(BI$7&gt;0,$A860&gt;BI$7)),0,MAX(0,ROUND((INDEX($E860:$G860,BI$5)-SUMIFS(TF_Timer,TF_Tekniker,BI$4,TF_Dato,$A860))*2,0)/2)))</f>
        <v/>
      </c>
    </row>
    <row r="861">
      <c r="A861" s="64">
        <f>A860+1</f>
        <v/>
      </c>
      <c r="B861">
        <f>IF(MOD($A861-INDEX(SkiftStart,1),Syklus)&lt;DagK,"K",IF(MOD($A861-INDEX(SkiftStart,1),Syklus)&lt;DagK+DagH,"H",IF(MOD($A861-INDEX(SkiftStart,1),Syklus)&lt;DagK+DagH+DagD,"D","F")))</f>
        <v/>
      </c>
      <c r="C861">
        <f>IF(MOD($A861-INDEX(SkiftStart,2),Syklus)&lt;DagK,"K",IF(MOD($A861-INDEX(SkiftStart,2),Syklus)&lt;DagK+DagH,"H",IF(MOD($A861-INDEX(SkiftStart,2),Syklus)&lt;DagK+DagH+DagD,"D","F")))</f>
        <v/>
      </c>
      <c r="D861">
        <f>IF(MOD($A861-INDEX(SkiftStart,3),Syklus)&lt;DagK,"K",IF(MOD($A861-INDEX(SkiftStart,3),Syklus)&lt;DagK+DagH,"H",IF(MOD($A861-INDEX(SkiftStart,3),Syklus)&lt;DagK+DagH+DagD,"D","F")))</f>
        <v/>
      </c>
      <c r="E861">
        <f>IF(B861="F",0,IF(WEEKDAY($A861,2)=5,INDEX(TimerFr,MATCH(B861,FaseKode,0)),INDEX(TimerMT,MATCH(B861,FaseKode,0))))</f>
        <v/>
      </c>
      <c r="F861">
        <f>IF(C861="F",0,IF(WEEKDAY($A861,2)=5,INDEX(TimerFr,MATCH(C861,FaseKode,0)),INDEX(TimerMT,MATCH(C861,FaseKode,0))))</f>
        <v/>
      </c>
      <c r="G861">
        <f>IF(D861="F",0,IF(WEEKDAY($A861,2)=5,INDEX(TimerFr,MATCH(D861,FaseKode,0)),INDEX(TimerMT,MATCH(D861,FaseKode,0))))</f>
        <v/>
      </c>
      <c r="H861">
        <f>IF(OR(H$4="",$A861&gt;TODAY()),0,IF(OR(INDEX($B861:$D861,H$5)="F",AND(H$6&gt;0,$A861&lt;H$6),AND(H$7&gt;0,$A861&gt;H$7)),0,MAX(0,ROUND((INDEX($E861:$G861,H$5)-SUMIFS(TF_Timer,TF_Tekniker,H$4,TF_Dato,$A861))*2,0)/2)))</f>
        <v/>
      </c>
      <c r="I861">
        <f>IF(OR(I$4="",$A861&gt;TODAY()),0,IF(OR(INDEX($B861:$D861,I$5)="F",AND(I$6&gt;0,$A861&lt;I$6),AND(I$7&gt;0,$A861&gt;I$7)),0,MAX(0,ROUND((INDEX($E861:$G861,I$5)-SUMIFS(TF_Timer,TF_Tekniker,I$4,TF_Dato,$A861))*2,0)/2)))</f>
        <v/>
      </c>
      <c r="J861">
        <f>IF(OR(J$4="",$A861&gt;TODAY()),0,IF(OR(INDEX($B861:$D861,J$5)="F",AND(J$6&gt;0,$A861&lt;J$6),AND(J$7&gt;0,$A861&gt;J$7)),0,MAX(0,ROUND((INDEX($E861:$G861,J$5)-SUMIFS(TF_Timer,TF_Tekniker,J$4,TF_Dato,$A861))*2,0)/2)))</f>
        <v/>
      </c>
      <c r="K861">
        <f>IF(OR(K$4="",$A861&gt;TODAY()),0,IF(OR(INDEX($B861:$D861,K$5)="F",AND(K$6&gt;0,$A861&lt;K$6),AND(K$7&gt;0,$A861&gt;K$7)),0,MAX(0,ROUND((INDEX($E861:$G861,K$5)-SUMIFS(TF_Timer,TF_Tekniker,K$4,TF_Dato,$A861))*2,0)/2)))</f>
        <v/>
      </c>
      <c r="L861">
        <f>IF(OR(L$4="",$A861&gt;TODAY()),0,IF(OR(INDEX($B861:$D861,L$5)="F",AND(L$6&gt;0,$A861&lt;L$6),AND(L$7&gt;0,$A861&gt;L$7)),0,MAX(0,ROUND((INDEX($E861:$G861,L$5)-SUMIFS(TF_Timer,TF_Tekniker,L$4,TF_Dato,$A861))*2,0)/2)))</f>
        <v/>
      </c>
      <c r="M861">
        <f>IF(OR(M$4="",$A861&gt;TODAY()),0,IF(OR(INDEX($B861:$D861,M$5)="F",AND(M$6&gt;0,$A861&lt;M$6),AND(M$7&gt;0,$A861&gt;M$7)),0,MAX(0,ROUND((INDEX($E861:$G861,M$5)-SUMIFS(TF_Timer,TF_Tekniker,M$4,TF_Dato,$A861))*2,0)/2)))</f>
        <v/>
      </c>
      <c r="N861">
        <f>IF(OR(N$4="",$A861&gt;TODAY()),0,IF(OR(INDEX($B861:$D861,N$5)="F",AND(N$6&gt;0,$A861&lt;N$6),AND(N$7&gt;0,$A861&gt;N$7)),0,MAX(0,ROUND((INDEX($E861:$G861,N$5)-SUMIFS(TF_Timer,TF_Tekniker,N$4,TF_Dato,$A861))*2,0)/2)))</f>
        <v/>
      </c>
      <c r="O861">
        <f>IF(OR(O$4="",$A861&gt;TODAY()),0,IF(OR(INDEX($B861:$D861,O$5)="F",AND(O$6&gt;0,$A861&lt;O$6),AND(O$7&gt;0,$A861&gt;O$7)),0,MAX(0,ROUND((INDEX($E861:$G861,O$5)-SUMIFS(TF_Timer,TF_Tekniker,O$4,TF_Dato,$A861))*2,0)/2)))</f>
        <v/>
      </c>
      <c r="P861">
        <f>IF(OR(P$4="",$A861&gt;TODAY()),0,IF(OR(INDEX($B861:$D861,P$5)="F",AND(P$6&gt;0,$A861&lt;P$6),AND(P$7&gt;0,$A861&gt;P$7)),0,MAX(0,ROUND((INDEX($E861:$G861,P$5)-SUMIFS(TF_Timer,TF_Tekniker,P$4,TF_Dato,$A861))*2,0)/2)))</f>
        <v/>
      </c>
      <c r="Q861">
        <f>IF(OR(Q$4="",$A861&gt;TODAY()),0,IF(OR(INDEX($B861:$D861,Q$5)="F",AND(Q$6&gt;0,$A861&lt;Q$6),AND(Q$7&gt;0,$A861&gt;Q$7)),0,MAX(0,ROUND((INDEX($E861:$G861,Q$5)-SUMIFS(TF_Timer,TF_Tekniker,Q$4,TF_Dato,$A861))*2,0)/2)))</f>
        <v/>
      </c>
      <c r="R861">
        <f>IF(OR(R$4="",$A861&gt;TODAY()),0,IF(OR(INDEX($B861:$D861,R$5)="F",AND(R$6&gt;0,$A861&lt;R$6),AND(R$7&gt;0,$A861&gt;R$7)),0,MAX(0,ROUND((INDEX($E861:$G861,R$5)-SUMIFS(TF_Timer,TF_Tekniker,R$4,TF_Dato,$A861))*2,0)/2)))</f>
        <v/>
      </c>
      <c r="S861">
        <f>IF(OR(S$4="",$A861&gt;TODAY()),0,IF(OR(INDEX($B861:$D861,S$5)="F",AND(S$6&gt;0,$A861&lt;S$6),AND(S$7&gt;0,$A861&gt;S$7)),0,MAX(0,ROUND((INDEX($E861:$G861,S$5)-SUMIFS(TF_Timer,TF_Tekniker,S$4,TF_Dato,$A861))*2,0)/2)))</f>
        <v/>
      </c>
      <c r="T861">
        <f>IF(OR(T$4="",$A861&gt;TODAY()),0,IF(OR(INDEX($B861:$D861,T$5)="F",AND(T$6&gt;0,$A861&lt;T$6),AND(T$7&gt;0,$A861&gt;T$7)),0,MAX(0,ROUND((INDEX($E861:$G861,T$5)-SUMIFS(TF_Timer,TF_Tekniker,T$4,TF_Dato,$A861))*2,0)/2)))</f>
        <v/>
      </c>
      <c r="U861">
        <f>IF(OR(U$4="",$A861&gt;TODAY()),0,IF(OR(INDEX($B861:$D861,U$5)="F",AND(U$6&gt;0,$A861&lt;U$6),AND(U$7&gt;0,$A861&gt;U$7)),0,MAX(0,ROUND((INDEX($E861:$G861,U$5)-SUMIFS(TF_Timer,TF_Tekniker,U$4,TF_Dato,$A861))*2,0)/2)))</f>
        <v/>
      </c>
      <c r="V861">
        <f>IF(OR(V$4="",$A861&gt;TODAY()),0,IF(OR(INDEX($B861:$D861,V$5)="F",AND(V$6&gt;0,$A861&lt;V$6),AND(V$7&gt;0,$A861&gt;V$7)),0,MAX(0,ROUND((INDEX($E861:$G861,V$5)-SUMIFS(TF_Timer,TF_Tekniker,V$4,TF_Dato,$A861))*2,0)/2)))</f>
        <v/>
      </c>
      <c r="W861">
        <f>IF(OR(W$4="",$A861&gt;TODAY()),0,IF(OR(INDEX($B861:$D861,W$5)="F",AND(W$6&gt;0,$A861&lt;W$6),AND(W$7&gt;0,$A861&gt;W$7)),0,MAX(0,ROUND((INDEX($E861:$G861,W$5)-SUMIFS(TF_Timer,TF_Tekniker,W$4,TF_Dato,$A861))*2,0)/2)))</f>
        <v/>
      </c>
      <c r="X861">
        <f>IF(OR(X$4="",$A861&gt;TODAY()),0,IF(OR(INDEX($B861:$D861,X$5)="F",AND(X$6&gt;0,$A861&lt;X$6),AND(X$7&gt;0,$A861&gt;X$7)),0,MAX(0,ROUND((INDEX($E861:$G861,X$5)-SUMIFS(TF_Timer,TF_Tekniker,X$4,TF_Dato,$A861))*2,0)/2)))</f>
        <v/>
      </c>
      <c r="Y861">
        <f>IF(OR(Y$4="",$A861&gt;TODAY()),0,IF(OR(INDEX($B861:$D861,Y$5)="F",AND(Y$6&gt;0,$A861&lt;Y$6),AND(Y$7&gt;0,$A861&gt;Y$7)),0,MAX(0,ROUND((INDEX($E861:$G861,Y$5)-SUMIFS(TF_Timer,TF_Tekniker,Y$4,TF_Dato,$A861))*2,0)/2)))</f>
        <v/>
      </c>
      <c r="Z861">
        <f>IF(OR(Z$4="",$A861&gt;TODAY()),0,IF(OR(INDEX($B861:$D861,Z$5)="F",AND(Z$6&gt;0,$A861&lt;Z$6),AND(Z$7&gt;0,$A861&gt;Z$7)),0,MAX(0,ROUND((INDEX($E861:$G861,Z$5)-SUMIFS(TF_Timer,TF_Tekniker,Z$4,TF_Dato,$A861))*2,0)/2)))</f>
        <v/>
      </c>
      <c r="AA861">
        <f>IF(OR(AA$4="",$A861&gt;TODAY()),0,IF(OR(INDEX($B861:$D861,AA$5)="F",AND(AA$6&gt;0,$A861&lt;AA$6),AND(AA$7&gt;0,$A861&gt;AA$7)),0,MAX(0,ROUND((INDEX($E861:$G861,AA$5)-SUMIFS(TF_Timer,TF_Tekniker,AA$4,TF_Dato,$A861))*2,0)/2)))</f>
        <v/>
      </c>
      <c r="AB861">
        <f>IF(OR(AB$4="",$A861&gt;TODAY()),0,IF(OR(INDEX($B861:$D861,AB$5)="F",AND(AB$6&gt;0,$A861&lt;AB$6),AND(AB$7&gt;0,$A861&gt;AB$7)),0,MAX(0,ROUND((INDEX($E861:$G861,AB$5)-SUMIFS(TF_Timer,TF_Tekniker,AB$4,TF_Dato,$A861))*2,0)/2)))</f>
        <v/>
      </c>
      <c r="AC861">
        <f>IF(OR(AC$4="",$A861&gt;TODAY()),0,IF(OR(INDEX($B861:$D861,AC$5)="F",AND(AC$6&gt;0,$A861&lt;AC$6),AND(AC$7&gt;0,$A861&gt;AC$7)),0,MAX(0,ROUND((INDEX($E861:$G861,AC$5)-SUMIFS(TF_Timer,TF_Tekniker,AC$4,TF_Dato,$A861))*2,0)/2)))</f>
        <v/>
      </c>
      <c r="AD861">
        <f>IF(OR(AD$4="",$A861&gt;TODAY()),0,IF(OR(INDEX($B861:$D861,AD$5)="F",AND(AD$6&gt;0,$A861&lt;AD$6),AND(AD$7&gt;0,$A861&gt;AD$7)),0,MAX(0,ROUND((INDEX($E861:$G861,AD$5)-SUMIFS(TF_Timer,TF_Tekniker,AD$4,TF_Dato,$A861))*2,0)/2)))</f>
        <v/>
      </c>
      <c r="AE861">
        <f>IF(OR(AE$4="",$A861&gt;TODAY()),0,IF(OR(INDEX($B861:$D861,AE$5)="F",AND(AE$6&gt;0,$A861&lt;AE$6),AND(AE$7&gt;0,$A861&gt;AE$7)),0,MAX(0,ROUND((INDEX($E861:$G861,AE$5)-SUMIFS(TF_Timer,TF_Tekniker,AE$4,TF_Dato,$A861))*2,0)/2)))</f>
        <v/>
      </c>
      <c r="AF861">
        <f>IF(OR(AF$4="",$A861&gt;TODAY()),0,IF(OR(INDEX($B861:$D861,AF$5)="F",AND(AF$6&gt;0,$A861&lt;AF$6),AND(AF$7&gt;0,$A861&gt;AF$7)),0,MAX(0,ROUND((INDEX($E861:$G861,AF$5)-SUMIFS(TF_Timer,TF_Tekniker,AF$4,TF_Dato,$A861))*2,0)/2)))</f>
        <v/>
      </c>
      <c r="AG861">
        <f>IF(OR(AG$4="",$A861&gt;TODAY()),0,IF(OR(INDEX($B861:$D861,AG$5)="F",AND(AG$6&gt;0,$A861&lt;AG$6),AND(AG$7&gt;0,$A861&gt;AG$7)),0,MAX(0,ROUND((INDEX($E861:$G861,AG$5)-SUMIFS(TF_Timer,TF_Tekniker,AG$4,TF_Dato,$A861))*2,0)/2)))</f>
        <v/>
      </c>
      <c r="AH861">
        <f>IF(OR(AH$4="",$A861&gt;TODAY()),0,IF(OR(INDEX($B861:$D861,AH$5)="F",AND(AH$6&gt;0,$A861&lt;AH$6),AND(AH$7&gt;0,$A861&gt;AH$7)),0,MAX(0,ROUND((INDEX($E861:$G861,AH$5)-SUMIFS(TF_Timer,TF_Tekniker,AH$4,TF_Dato,$A861))*2,0)/2)))</f>
        <v/>
      </c>
      <c r="AI861">
        <f>IF(OR(AI$4="",$A861&gt;TODAY()),0,IF(OR(INDEX($B861:$D861,AI$5)="F",AND(AI$6&gt;0,$A861&lt;AI$6),AND(AI$7&gt;0,$A861&gt;AI$7)),0,MAX(0,ROUND((INDEX($E861:$G861,AI$5)-SUMIFS(TF_Timer,TF_Tekniker,AI$4,TF_Dato,$A861))*2,0)/2)))</f>
        <v/>
      </c>
      <c r="AJ861">
        <f>IF(OR(AJ$4="",$A861&gt;TODAY()),0,IF(OR(INDEX($B861:$D861,AJ$5)="F",AND(AJ$6&gt;0,$A861&lt;AJ$6),AND(AJ$7&gt;0,$A861&gt;AJ$7)),0,MAX(0,ROUND((INDEX($E861:$G861,AJ$5)-SUMIFS(TF_Timer,TF_Tekniker,AJ$4,TF_Dato,$A861))*2,0)/2)))</f>
        <v/>
      </c>
      <c r="AK861">
        <f>IF(OR(AK$4="",$A861&gt;TODAY()),0,IF(OR(INDEX($B861:$D861,AK$5)="F",AND(AK$6&gt;0,$A861&lt;AK$6),AND(AK$7&gt;0,$A861&gt;AK$7)),0,MAX(0,ROUND((INDEX($E861:$G861,AK$5)-SUMIFS(TF_Timer,TF_Tekniker,AK$4,TF_Dato,$A861))*2,0)/2)))</f>
        <v/>
      </c>
      <c r="AL861">
        <f>IF(OR(AL$4="",$A861&gt;TODAY()),0,IF(OR(INDEX($B861:$D861,AL$5)="F",AND(AL$6&gt;0,$A861&lt;AL$6),AND(AL$7&gt;0,$A861&gt;AL$7)),0,MAX(0,ROUND((INDEX($E861:$G861,AL$5)-SUMIFS(TF_Timer,TF_Tekniker,AL$4,TF_Dato,$A861))*2,0)/2)))</f>
        <v/>
      </c>
      <c r="AM861">
        <f>IF(OR(AM$4="",$A861&gt;TODAY()),0,IF(OR(INDEX($B861:$D861,AM$5)="F",AND(AM$6&gt;0,$A861&lt;AM$6),AND(AM$7&gt;0,$A861&gt;AM$7)),0,MAX(0,ROUND((INDEX($E861:$G861,AM$5)-SUMIFS(TF_Timer,TF_Tekniker,AM$4,TF_Dato,$A861))*2,0)/2)))</f>
        <v/>
      </c>
      <c r="AN861">
        <f>IF(OR(AN$4="",$A861&gt;TODAY()),0,IF(OR(INDEX($B861:$D861,AN$5)="F",AND(AN$6&gt;0,$A861&lt;AN$6),AND(AN$7&gt;0,$A861&gt;AN$7)),0,MAX(0,ROUND((INDEX($E861:$G861,AN$5)-SUMIFS(TF_Timer,TF_Tekniker,AN$4,TF_Dato,$A861))*2,0)/2)))</f>
        <v/>
      </c>
      <c r="AO861">
        <f>IF(OR(AO$4="",$A861&gt;TODAY()),0,IF(OR(INDEX($B861:$D861,AO$5)="F",AND(AO$6&gt;0,$A861&lt;AO$6),AND(AO$7&gt;0,$A861&gt;AO$7)),0,MAX(0,ROUND((INDEX($E861:$G861,AO$5)-SUMIFS(TF_Timer,TF_Tekniker,AO$4,TF_Dato,$A861))*2,0)/2)))</f>
        <v/>
      </c>
      <c r="AP861">
        <f>IF(OR(AP$4="",$A861&gt;TODAY()),0,IF(OR(INDEX($B861:$D861,AP$5)="F",AND(AP$6&gt;0,$A861&lt;AP$6),AND(AP$7&gt;0,$A861&gt;AP$7)),0,MAX(0,ROUND((INDEX($E861:$G861,AP$5)-SUMIFS(TF_Timer,TF_Tekniker,AP$4,TF_Dato,$A861))*2,0)/2)))</f>
        <v/>
      </c>
      <c r="AQ861">
        <f>IF(OR(AQ$4="",$A861&gt;TODAY()),0,IF(OR(INDEX($B861:$D861,AQ$5)="F",AND(AQ$6&gt;0,$A861&lt;AQ$6),AND(AQ$7&gt;0,$A861&gt;AQ$7)),0,MAX(0,ROUND((INDEX($E861:$G861,AQ$5)-SUMIFS(TF_Timer,TF_Tekniker,AQ$4,TF_Dato,$A861))*2,0)/2)))</f>
        <v/>
      </c>
      <c r="AR861">
        <f>IF(OR(AR$4="",$A861&gt;TODAY()),0,IF(OR(INDEX($B861:$D861,AR$5)="F",AND(AR$6&gt;0,$A861&lt;AR$6),AND(AR$7&gt;0,$A861&gt;AR$7)),0,MAX(0,ROUND((INDEX($E861:$G861,AR$5)-SUMIFS(TF_Timer,TF_Tekniker,AR$4,TF_Dato,$A861))*2,0)/2)))</f>
        <v/>
      </c>
      <c r="AS861">
        <f>IF(OR(AS$4="",$A861&gt;TODAY()),0,IF(OR(INDEX($B861:$D861,AS$5)="F",AND(AS$6&gt;0,$A861&lt;AS$6),AND(AS$7&gt;0,$A861&gt;AS$7)),0,MAX(0,ROUND((INDEX($E861:$G861,AS$5)-SUMIFS(TF_Timer,TF_Tekniker,AS$4,TF_Dato,$A861))*2,0)/2)))</f>
        <v/>
      </c>
      <c r="AT861">
        <f>IF(OR(AT$4="",$A861&gt;TODAY()),0,IF(OR(INDEX($B861:$D861,AT$5)="F",AND(AT$6&gt;0,$A861&lt;AT$6),AND(AT$7&gt;0,$A861&gt;AT$7)),0,MAX(0,ROUND((INDEX($E861:$G861,AT$5)-SUMIFS(TF_Timer,TF_Tekniker,AT$4,TF_Dato,$A861))*2,0)/2)))</f>
        <v/>
      </c>
      <c r="AU861">
        <f>IF(OR(AU$4="",$A861&gt;TODAY()),0,IF(OR(INDEX($B861:$D861,AU$5)="F",AND(AU$6&gt;0,$A861&lt;AU$6),AND(AU$7&gt;0,$A861&gt;AU$7)),0,MAX(0,ROUND((INDEX($E861:$G861,AU$5)-SUMIFS(TF_Timer,TF_Tekniker,AU$4,TF_Dato,$A861))*2,0)/2)))</f>
        <v/>
      </c>
      <c r="AV861">
        <f>IF(OR(AV$4="",$A861&gt;TODAY()),0,IF(OR(INDEX($B861:$D861,AV$5)="F",AND(AV$6&gt;0,$A861&lt;AV$6),AND(AV$7&gt;0,$A861&gt;AV$7)),0,MAX(0,ROUND((INDEX($E861:$G861,AV$5)-SUMIFS(TF_Timer,TF_Tekniker,AV$4,TF_Dato,$A861))*2,0)/2)))</f>
        <v/>
      </c>
      <c r="AW861">
        <f>IF(OR(AW$4="",$A861&gt;TODAY()),0,IF(OR(INDEX($B861:$D861,AW$5)="F",AND(AW$6&gt;0,$A861&lt;AW$6),AND(AW$7&gt;0,$A861&gt;AW$7)),0,MAX(0,ROUND((INDEX($E861:$G861,AW$5)-SUMIFS(TF_Timer,TF_Tekniker,AW$4,TF_Dato,$A861))*2,0)/2)))</f>
        <v/>
      </c>
      <c r="AX861">
        <f>IF(OR(AX$4="",$A861&gt;TODAY()),0,IF(OR(INDEX($B861:$D861,AX$5)="F",AND(AX$6&gt;0,$A861&lt;AX$6),AND(AX$7&gt;0,$A861&gt;AX$7)),0,MAX(0,ROUND((INDEX($E861:$G861,AX$5)-SUMIFS(TF_Timer,TF_Tekniker,AX$4,TF_Dato,$A861))*2,0)/2)))</f>
        <v/>
      </c>
      <c r="AY861">
        <f>IF(OR(AY$4="",$A861&gt;TODAY()),0,IF(OR(INDEX($B861:$D861,AY$5)="F",AND(AY$6&gt;0,$A861&lt;AY$6),AND(AY$7&gt;0,$A861&gt;AY$7)),0,MAX(0,ROUND((INDEX($E861:$G861,AY$5)-SUMIFS(TF_Timer,TF_Tekniker,AY$4,TF_Dato,$A861))*2,0)/2)))</f>
        <v/>
      </c>
      <c r="AZ861">
        <f>IF(OR(AZ$4="",$A861&gt;TODAY()),0,IF(OR(INDEX($B861:$D861,AZ$5)="F",AND(AZ$6&gt;0,$A861&lt;AZ$6),AND(AZ$7&gt;0,$A861&gt;AZ$7)),0,MAX(0,ROUND((INDEX($E861:$G861,AZ$5)-SUMIFS(TF_Timer,TF_Tekniker,AZ$4,TF_Dato,$A861))*2,0)/2)))</f>
        <v/>
      </c>
      <c r="BA861">
        <f>IF(OR(BA$4="",$A861&gt;TODAY()),0,IF(OR(INDEX($B861:$D861,BA$5)="F",AND(BA$6&gt;0,$A861&lt;BA$6),AND(BA$7&gt;0,$A861&gt;BA$7)),0,MAX(0,ROUND((INDEX($E861:$G861,BA$5)-SUMIFS(TF_Timer,TF_Tekniker,BA$4,TF_Dato,$A861))*2,0)/2)))</f>
        <v/>
      </c>
      <c r="BB861">
        <f>IF(OR(BB$4="",$A861&gt;TODAY()),0,IF(OR(INDEX($B861:$D861,BB$5)="F",AND(BB$6&gt;0,$A861&lt;BB$6),AND(BB$7&gt;0,$A861&gt;BB$7)),0,MAX(0,ROUND((INDEX($E861:$G861,BB$5)-SUMIFS(TF_Timer,TF_Tekniker,BB$4,TF_Dato,$A861))*2,0)/2)))</f>
        <v/>
      </c>
      <c r="BC861">
        <f>IF(OR(BC$4="",$A861&gt;TODAY()),0,IF(OR(INDEX($B861:$D861,BC$5)="F",AND(BC$6&gt;0,$A861&lt;BC$6),AND(BC$7&gt;0,$A861&gt;BC$7)),0,MAX(0,ROUND((INDEX($E861:$G861,BC$5)-SUMIFS(TF_Timer,TF_Tekniker,BC$4,TF_Dato,$A861))*2,0)/2)))</f>
        <v/>
      </c>
      <c r="BD861">
        <f>IF(OR(BD$4="",$A861&gt;TODAY()),0,IF(OR(INDEX($B861:$D861,BD$5)="F",AND(BD$6&gt;0,$A861&lt;BD$6),AND(BD$7&gt;0,$A861&gt;BD$7)),0,MAX(0,ROUND((INDEX($E861:$G861,BD$5)-SUMIFS(TF_Timer,TF_Tekniker,BD$4,TF_Dato,$A861))*2,0)/2)))</f>
        <v/>
      </c>
      <c r="BE861">
        <f>IF(OR(BE$4="",$A861&gt;TODAY()),0,IF(OR(INDEX($B861:$D861,BE$5)="F",AND(BE$6&gt;0,$A861&lt;BE$6),AND(BE$7&gt;0,$A861&gt;BE$7)),0,MAX(0,ROUND((INDEX($E861:$G861,BE$5)-SUMIFS(TF_Timer,TF_Tekniker,BE$4,TF_Dato,$A861))*2,0)/2)))</f>
        <v/>
      </c>
      <c r="BF861">
        <f>IF(OR(BF$4="",$A861&gt;TODAY()),0,IF(OR(INDEX($B861:$D861,BF$5)="F",AND(BF$6&gt;0,$A861&lt;BF$6),AND(BF$7&gt;0,$A861&gt;BF$7)),0,MAX(0,ROUND((INDEX($E861:$G861,BF$5)-SUMIFS(TF_Timer,TF_Tekniker,BF$4,TF_Dato,$A861))*2,0)/2)))</f>
        <v/>
      </c>
      <c r="BG861">
        <f>IF(OR(BG$4="",$A861&gt;TODAY()),0,IF(OR(INDEX($B861:$D861,BG$5)="F",AND(BG$6&gt;0,$A861&lt;BG$6),AND(BG$7&gt;0,$A861&gt;BG$7)),0,MAX(0,ROUND((INDEX($E861:$G861,BG$5)-SUMIFS(TF_Timer,TF_Tekniker,BG$4,TF_Dato,$A861))*2,0)/2)))</f>
        <v/>
      </c>
      <c r="BH861">
        <f>IF(OR(BH$4="",$A861&gt;TODAY()),0,IF(OR(INDEX($B861:$D861,BH$5)="F",AND(BH$6&gt;0,$A861&lt;BH$6),AND(BH$7&gt;0,$A861&gt;BH$7)),0,MAX(0,ROUND((INDEX($E861:$G861,BH$5)-SUMIFS(TF_Timer,TF_Tekniker,BH$4,TF_Dato,$A861))*2,0)/2)))</f>
        <v/>
      </c>
      <c r="BI861">
        <f>IF(OR(BI$4="",$A861&gt;TODAY()),0,IF(OR(INDEX($B861:$D861,BI$5)="F",AND(BI$6&gt;0,$A861&lt;BI$6),AND(BI$7&gt;0,$A861&gt;BI$7)),0,MAX(0,ROUND((INDEX($E861:$G861,BI$5)-SUMIFS(TF_Timer,TF_Tekniker,BI$4,TF_Dato,$A861))*2,0)/2)))</f>
        <v/>
      </c>
    </row>
    <row r="862">
      <c r="A862" s="64">
        <f>A861+1</f>
        <v/>
      </c>
      <c r="B862">
        <f>IF(MOD($A862-INDEX(SkiftStart,1),Syklus)&lt;DagK,"K",IF(MOD($A862-INDEX(SkiftStart,1),Syklus)&lt;DagK+DagH,"H",IF(MOD($A862-INDEX(SkiftStart,1),Syklus)&lt;DagK+DagH+DagD,"D","F")))</f>
        <v/>
      </c>
      <c r="C862">
        <f>IF(MOD($A862-INDEX(SkiftStart,2),Syklus)&lt;DagK,"K",IF(MOD($A862-INDEX(SkiftStart,2),Syklus)&lt;DagK+DagH,"H",IF(MOD($A862-INDEX(SkiftStart,2),Syklus)&lt;DagK+DagH+DagD,"D","F")))</f>
        <v/>
      </c>
      <c r="D862">
        <f>IF(MOD($A862-INDEX(SkiftStart,3),Syklus)&lt;DagK,"K",IF(MOD($A862-INDEX(SkiftStart,3),Syklus)&lt;DagK+DagH,"H",IF(MOD($A862-INDEX(SkiftStart,3),Syklus)&lt;DagK+DagH+DagD,"D","F")))</f>
        <v/>
      </c>
      <c r="E862">
        <f>IF(B862="F",0,IF(WEEKDAY($A862,2)=5,INDEX(TimerFr,MATCH(B862,FaseKode,0)),INDEX(TimerMT,MATCH(B862,FaseKode,0))))</f>
        <v/>
      </c>
      <c r="F862">
        <f>IF(C862="F",0,IF(WEEKDAY($A862,2)=5,INDEX(TimerFr,MATCH(C862,FaseKode,0)),INDEX(TimerMT,MATCH(C862,FaseKode,0))))</f>
        <v/>
      </c>
      <c r="G862">
        <f>IF(D862="F",0,IF(WEEKDAY($A862,2)=5,INDEX(TimerFr,MATCH(D862,FaseKode,0)),INDEX(TimerMT,MATCH(D862,FaseKode,0))))</f>
        <v/>
      </c>
      <c r="H862">
        <f>IF(OR(H$4="",$A862&gt;TODAY()),0,IF(OR(INDEX($B862:$D862,H$5)="F",AND(H$6&gt;0,$A862&lt;H$6),AND(H$7&gt;0,$A862&gt;H$7)),0,MAX(0,ROUND((INDEX($E862:$G862,H$5)-SUMIFS(TF_Timer,TF_Tekniker,H$4,TF_Dato,$A862))*2,0)/2)))</f>
        <v/>
      </c>
      <c r="I862">
        <f>IF(OR(I$4="",$A862&gt;TODAY()),0,IF(OR(INDEX($B862:$D862,I$5)="F",AND(I$6&gt;0,$A862&lt;I$6),AND(I$7&gt;0,$A862&gt;I$7)),0,MAX(0,ROUND((INDEX($E862:$G862,I$5)-SUMIFS(TF_Timer,TF_Tekniker,I$4,TF_Dato,$A862))*2,0)/2)))</f>
        <v/>
      </c>
      <c r="J862">
        <f>IF(OR(J$4="",$A862&gt;TODAY()),0,IF(OR(INDEX($B862:$D862,J$5)="F",AND(J$6&gt;0,$A862&lt;J$6),AND(J$7&gt;0,$A862&gt;J$7)),0,MAX(0,ROUND((INDEX($E862:$G862,J$5)-SUMIFS(TF_Timer,TF_Tekniker,J$4,TF_Dato,$A862))*2,0)/2)))</f>
        <v/>
      </c>
      <c r="K862">
        <f>IF(OR(K$4="",$A862&gt;TODAY()),0,IF(OR(INDEX($B862:$D862,K$5)="F",AND(K$6&gt;0,$A862&lt;K$6),AND(K$7&gt;0,$A862&gt;K$7)),0,MAX(0,ROUND((INDEX($E862:$G862,K$5)-SUMIFS(TF_Timer,TF_Tekniker,K$4,TF_Dato,$A862))*2,0)/2)))</f>
        <v/>
      </c>
      <c r="L862">
        <f>IF(OR(L$4="",$A862&gt;TODAY()),0,IF(OR(INDEX($B862:$D862,L$5)="F",AND(L$6&gt;0,$A862&lt;L$6),AND(L$7&gt;0,$A862&gt;L$7)),0,MAX(0,ROUND((INDEX($E862:$G862,L$5)-SUMIFS(TF_Timer,TF_Tekniker,L$4,TF_Dato,$A862))*2,0)/2)))</f>
        <v/>
      </c>
      <c r="M862">
        <f>IF(OR(M$4="",$A862&gt;TODAY()),0,IF(OR(INDEX($B862:$D862,M$5)="F",AND(M$6&gt;0,$A862&lt;M$6),AND(M$7&gt;0,$A862&gt;M$7)),0,MAX(0,ROUND((INDEX($E862:$G862,M$5)-SUMIFS(TF_Timer,TF_Tekniker,M$4,TF_Dato,$A862))*2,0)/2)))</f>
        <v/>
      </c>
      <c r="N862">
        <f>IF(OR(N$4="",$A862&gt;TODAY()),0,IF(OR(INDEX($B862:$D862,N$5)="F",AND(N$6&gt;0,$A862&lt;N$6),AND(N$7&gt;0,$A862&gt;N$7)),0,MAX(0,ROUND((INDEX($E862:$G862,N$5)-SUMIFS(TF_Timer,TF_Tekniker,N$4,TF_Dato,$A862))*2,0)/2)))</f>
        <v/>
      </c>
      <c r="O862">
        <f>IF(OR(O$4="",$A862&gt;TODAY()),0,IF(OR(INDEX($B862:$D862,O$5)="F",AND(O$6&gt;0,$A862&lt;O$6),AND(O$7&gt;0,$A862&gt;O$7)),0,MAX(0,ROUND((INDEX($E862:$G862,O$5)-SUMIFS(TF_Timer,TF_Tekniker,O$4,TF_Dato,$A862))*2,0)/2)))</f>
        <v/>
      </c>
      <c r="P862">
        <f>IF(OR(P$4="",$A862&gt;TODAY()),0,IF(OR(INDEX($B862:$D862,P$5)="F",AND(P$6&gt;0,$A862&lt;P$6),AND(P$7&gt;0,$A862&gt;P$7)),0,MAX(0,ROUND((INDEX($E862:$G862,P$5)-SUMIFS(TF_Timer,TF_Tekniker,P$4,TF_Dato,$A862))*2,0)/2)))</f>
        <v/>
      </c>
      <c r="Q862">
        <f>IF(OR(Q$4="",$A862&gt;TODAY()),0,IF(OR(INDEX($B862:$D862,Q$5)="F",AND(Q$6&gt;0,$A862&lt;Q$6),AND(Q$7&gt;0,$A862&gt;Q$7)),0,MAX(0,ROUND((INDEX($E862:$G862,Q$5)-SUMIFS(TF_Timer,TF_Tekniker,Q$4,TF_Dato,$A862))*2,0)/2)))</f>
        <v/>
      </c>
      <c r="R862">
        <f>IF(OR(R$4="",$A862&gt;TODAY()),0,IF(OR(INDEX($B862:$D862,R$5)="F",AND(R$6&gt;0,$A862&lt;R$6),AND(R$7&gt;0,$A862&gt;R$7)),0,MAX(0,ROUND((INDEX($E862:$G862,R$5)-SUMIFS(TF_Timer,TF_Tekniker,R$4,TF_Dato,$A862))*2,0)/2)))</f>
        <v/>
      </c>
      <c r="S862">
        <f>IF(OR(S$4="",$A862&gt;TODAY()),0,IF(OR(INDEX($B862:$D862,S$5)="F",AND(S$6&gt;0,$A862&lt;S$6),AND(S$7&gt;0,$A862&gt;S$7)),0,MAX(0,ROUND((INDEX($E862:$G862,S$5)-SUMIFS(TF_Timer,TF_Tekniker,S$4,TF_Dato,$A862))*2,0)/2)))</f>
        <v/>
      </c>
      <c r="T862">
        <f>IF(OR(T$4="",$A862&gt;TODAY()),0,IF(OR(INDEX($B862:$D862,T$5)="F",AND(T$6&gt;0,$A862&lt;T$6),AND(T$7&gt;0,$A862&gt;T$7)),0,MAX(0,ROUND((INDEX($E862:$G862,T$5)-SUMIFS(TF_Timer,TF_Tekniker,T$4,TF_Dato,$A862))*2,0)/2)))</f>
        <v/>
      </c>
      <c r="U862">
        <f>IF(OR(U$4="",$A862&gt;TODAY()),0,IF(OR(INDEX($B862:$D862,U$5)="F",AND(U$6&gt;0,$A862&lt;U$6),AND(U$7&gt;0,$A862&gt;U$7)),0,MAX(0,ROUND((INDEX($E862:$G862,U$5)-SUMIFS(TF_Timer,TF_Tekniker,U$4,TF_Dato,$A862))*2,0)/2)))</f>
        <v/>
      </c>
      <c r="V862">
        <f>IF(OR(V$4="",$A862&gt;TODAY()),0,IF(OR(INDEX($B862:$D862,V$5)="F",AND(V$6&gt;0,$A862&lt;V$6),AND(V$7&gt;0,$A862&gt;V$7)),0,MAX(0,ROUND((INDEX($E862:$G862,V$5)-SUMIFS(TF_Timer,TF_Tekniker,V$4,TF_Dato,$A862))*2,0)/2)))</f>
        <v/>
      </c>
      <c r="W862">
        <f>IF(OR(W$4="",$A862&gt;TODAY()),0,IF(OR(INDEX($B862:$D862,W$5)="F",AND(W$6&gt;0,$A862&lt;W$6),AND(W$7&gt;0,$A862&gt;W$7)),0,MAX(0,ROUND((INDEX($E862:$G862,W$5)-SUMIFS(TF_Timer,TF_Tekniker,W$4,TF_Dato,$A862))*2,0)/2)))</f>
        <v/>
      </c>
      <c r="X862">
        <f>IF(OR(X$4="",$A862&gt;TODAY()),0,IF(OR(INDEX($B862:$D862,X$5)="F",AND(X$6&gt;0,$A862&lt;X$6),AND(X$7&gt;0,$A862&gt;X$7)),0,MAX(0,ROUND((INDEX($E862:$G862,X$5)-SUMIFS(TF_Timer,TF_Tekniker,X$4,TF_Dato,$A862))*2,0)/2)))</f>
        <v/>
      </c>
      <c r="Y862">
        <f>IF(OR(Y$4="",$A862&gt;TODAY()),0,IF(OR(INDEX($B862:$D862,Y$5)="F",AND(Y$6&gt;0,$A862&lt;Y$6),AND(Y$7&gt;0,$A862&gt;Y$7)),0,MAX(0,ROUND((INDEX($E862:$G862,Y$5)-SUMIFS(TF_Timer,TF_Tekniker,Y$4,TF_Dato,$A862))*2,0)/2)))</f>
        <v/>
      </c>
      <c r="Z862">
        <f>IF(OR(Z$4="",$A862&gt;TODAY()),0,IF(OR(INDEX($B862:$D862,Z$5)="F",AND(Z$6&gt;0,$A862&lt;Z$6),AND(Z$7&gt;0,$A862&gt;Z$7)),0,MAX(0,ROUND((INDEX($E862:$G862,Z$5)-SUMIFS(TF_Timer,TF_Tekniker,Z$4,TF_Dato,$A862))*2,0)/2)))</f>
        <v/>
      </c>
      <c r="AA862">
        <f>IF(OR(AA$4="",$A862&gt;TODAY()),0,IF(OR(INDEX($B862:$D862,AA$5)="F",AND(AA$6&gt;0,$A862&lt;AA$6),AND(AA$7&gt;0,$A862&gt;AA$7)),0,MAX(0,ROUND((INDEX($E862:$G862,AA$5)-SUMIFS(TF_Timer,TF_Tekniker,AA$4,TF_Dato,$A862))*2,0)/2)))</f>
        <v/>
      </c>
      <c r="AB862">
        <f>IF(OR(AB$4="",$A862&gt;TODAY()),0,IF(OR(INDEX($B862:$D862,AB$5)="F",AND(AB$6&gt;0,$A862&lt;AB$6),AND(AB$7&gt;0,$A862&gt;AB$7)),0,MAX(0,ROUND((INDEX($E862:$G862,AB$5)-SUMIFS(TF_Timer,TF_Tekniker,AB$4,TF_Dato,$A862))*2,0)/2)))</f>
        <v/>
      </c>
      <c r="AC862">
        <f>IF(OR(AC$4="",$A862&gt;TODAY()),0,IF(OR(INDEX($B862:$D862,AC$5)="F",AND(AC$6&gt;0,$A862&lt;AC$6),AND(AC$7&gt;0,$A862&gt;AC$7)),0,MAX(0,ROUND((INDEX($E862:$G862,AC$5)-SUMIFS(TF_Timer,TF_Tekniker,AC$4,TF_Dato,$A862))*2,0)/2)))</f>
        <v/>
      </c>
      <c r="AD862">
        <f>IF(OR(AD$4="",$A862&gt;TODAY()),0,IF(OR(INDEX($B862:$D862,AD$5)="F",AND(AD$6&gt;0,$A862&lt;AD$6),AND(AD$7&gt;0,$A862&gt;AD$7)),0,MAX(0,ROUND((INDEX($E862:$G862,AD$5)-SUMIFS(TF_Timer,TF_Tekniker,AD$4,TF_Dato,$A862))*2,0)/2)))</f>
        <v/>
      </c>
      <c r="AE862">
        <f>IF(OR(AE$4="",$A862&gt;TODAY()),0,IF(OR(INDEX($B862:$D862,AE$5)="F",AND(AE$6&gt;0,$A862&lt;AE$6),AND(AE$7&gt;0,$A862&gt;AE$7)),0,MAX(0,ROUND((INDEX($E862:$G862,AE$5)-SUMIFS(TF_Timer,TF_Tekniker,AE$4,TF_Dato,$A862))*2,0)/2)))</f>
        <v/>
      </c>
      <c r="AF862">
        <f>IF(OR(AF$4="",$A862&gt;TODAY()),0,IF(OR(INDEX($B862:$D862,AF$5)="F",AND(AF$6&gt;0,$A862&lt;AF$6),AND(AF$7&gt;0,$A862&gt;AF$7)),0,MAX(0,ROUND((INDEX($E862:$G862,AF$5)-SUMIFS(TF_Timer,TF_Tekniker,AF$4,TF_Dato,$A862))*2,0)/2)))</f>
        <v/>
      </c>
      <c r="AG862">
        <f>IF(OR(AG$4="",$A862&gt;TODAY()),0,IF(OR(INDEX($B862:$D862,AG$5)="F",AND(AG$6&gt;0,$A862&lt;AG$6),AND(AG$7&gt;0,$A862&gt;AG$7)),0,MAX(0,ROUND((INDEX($E862:$G862,AG$5)-SUMIFS(TF_Timer,TF_Tekniker,AG$4,TF_Dato,$A862))*2,0)/2)))</f>
        <v/>
      </c>
      <c r="AH862">
        <f>IF(OR(AH$4="",$A862&gt;TODAY()),0,IF(OR(INDEX($B862:$D862,AH$5)="F",AND(AH$6&gt;0,$A862&lt;AH$6),AND(AH$7&gt;0,$A862&gt;AH$7)),0,MAX(0,ROUND((INDEX($E862:$G862,AH$5)-SUMIFS(TF_Timer,TF_Tekniker,AH$4,TF_Dato,$A862))*2,0)/2)))</f>
        <v/>
      </c>
      <c r="AI862">
        <f>IF(OR(AI$4="",$A862&gt;TODAY()),0,IF(OR(INDEX($B862:$D862,AI$5)="F",AND(AI$6&gt;0,$A862&lt;AI$6),AND(AI$7&gt;0,$A862&gt;AI$7)),0,MAX(0,ROUND((INDEX($E862:$G862,AI$5)-SUMIFS(TF_Timer,TF_Tekniker,AI$4,TF_Dato,$A862))*2,0)/2)))</f>
        <v/>
      </c>
      <c r="AJ862">
        <f>IF(OR(AJ$4="",$A862&gt;TODAY()),0,IF(OR(INDEX($B862:$D862,AJ$5)="F",AND(AJ$6&gt;0,$A862&lt;AJ$6),AND(AJ$7&gt;0,$A862&gt;AJ$7)),0,MAX(0,ROUND((INDEX($E862:$G862,AJ$5)-SUMIFS(TF_Timer,TF_Tekniker,AJ$4,TF_Dato,$A862))*2,0)/2)))</f>
        <v/>
      </c>
      <c r="AK862">
        <f>IF(OR(AK$4="",$A862&gt;TODAY()),0,IF(OR(INDEX($B862:$D862,AK$5)="F",AND(AK$6&gt;0,$A862&lt;AK$6),AND(AK$7&gt;0,$A862&gt;AK$7)),0,MAX(0,ROUND((INDEX($E862:$G862,AK$5)-SUMIFS(TF_Timer,TF_Tekniker,AK$4,TF_Dato,$A862))*2,0)/2)))</f>
        <v/>
      </c>
      <c r="AL862">
        <f>IF(OR(AL$4="",$A862&gt;TODAY()),0,IF(OR(INDEX($B862:$D862,AL$5)="F",AND(AL$6&gt;0,$A862&lt;AL$6),AND(AL$7&gt;0,$A862&gt;AL$7)),0,MAX(0,ROUND((INDEX($E862:$G862,AL$5)-SUMIFS(TF_Timer,TF_Tekniker,AL$4,TF_Dato,$A862))*2,0)/2)))</f>
        <v/>
      </c>
      <c r="AM862">
        <f>IF(OR(AM$4="",$A862&gt;TODAY()),0,IF(OR(INDEX($B862:$D862,AM$5)="F",AND(AM$6&gt;0,$A862&lt;AM$6),AND(AM$7&gt;0,$A862&gt;AM$7)),0,MAX(0,ROUND((INDEX($E862:$G862,AM$5)-SUMIFS(TF_Timer,TF_Tekniker,AM$4,TF_Dato,$A862))*2,0)/2)))</f>
        <v/>
      </c>
      <c r="AN862">
        <f>IF(OR(AN$4="",$A862&gt;TODAY()),0,IF(OR(INDEX($B862:$D862,AN$5)="F",AND(AN$6&gt;0,$A862&lt;AN$6),AND(AN$7&gt;0,$A862&gt;AN$7)),0,MAX(0,ROUND((INDEX($E862:$G862,AN$5)-SUMIFS(TF_Timer,TF_Tekniker,AN$4,TF_Dato,$A862))*2,0)/2)))</f>
        <v/>
      </c>
      <c r="AO862">
        <f>IF(OR(AO$4="",$A862&gt;TODAY()),0,IF(OR(INDEX($B862:$D862,AO$5)="F",AND(AO$6&gt;0,$A862&lt;AO$6),AND(AO$7&gt;0,$A862&gt;AO$7)),0,MAX(0,ROUND((INDEX($E862:$G862,AO$5)-SUMIFS(TF_Timer,TF_Tekniker,AO$4,TF_Dato,$A862))*2,0)/2)))</f>
        <v/>
      </c>
      <c r="AP862">
        <f>IF(OR(AP$4="",$A862&gt;TODAY()),0,IF(OR(INDEX($B862:$D862,AP$5)="F",AND(AP$6&gt;0,$A862&lt;AP$6),AND(AP$7&gt;0,$A862&gt;AP$7)),0,MAX(0,ROUND((INDEX($E862:$G862,AP$5)-SUMIFS(TF_Timer,TF_Tekniker,AP$4,TF_Dato,$A862))*2,0)/2)))</f>
        <v/>
      </c>
      <c r="AQ862">
        <f>IF(OR(AQ$4="",$A862&gt;TODAY()),0,IF(OR(INDEX($B862:$D862,AQ$5)="F",AND(AQ$6&gt;0,$A862&lt;AQ$6),AND(AQ$7&gt;0,$A862&gt;AQ$7)),0,MAX(0,ROUND((INDEX($E862:$G862,AQ$5)-SUMIFS(TF_Timer,TF_Tekniker,AQ$4,TF_Dato,$A862))*2,0)/2)))</f>
        <v/>
      </c>
      <c r="AR862">
        <f>IF(OR(AR$4="",$A862&gt;TODAY()),0,IF(OR(INDEX($B862:$D862,AR$5)="F",AND(AR$6&gt;0,$A862&lt;AR$6),AND(AR$7&gt;0,$A862&gt;AR$7)),0,MAX(0,ROUND((INDEX($E862:$G862,AR$5)-SUMIFS(TF_Timer,TF_Tekniker,AR$4,TF_Dato,$A862))*2,0)/2)))</f>
        <v/>
      </c>
      <c r="AS862">
        <f>IF(OR(AS$4="",$A862&gt;TODAY()),0,IF(OR(INDEX($B862:$D862,AS$5)="F",AND(AS$6&gt;0,$A862&lt;AS$6),AND(AS$7&gt;0,$A862&gt;AS$7)),0,MAX(0,ROUND((INDEX($E862:$G862,AS$5)-SUMIFS(TF_Timer,TF_Tekniker,AS$4,TF_Dato,$A862))*2,0)/2)))</f>
        <v/>
      </c>
      <c r="AT862">
        <f>IF(OR(AT$4="",$A862&gt;TODAY()),0,IF(OR(INDEX($B862:$D862,AT$5)="F",AND(AT$6&gt;0,$A862&lt;AT$6),AND(AT$7&gt;0,$A862&gt;AT$7)),0,MAX(0,ROUND((INDEX($E862:$G862,AT$5)-SUMIFS(TF_Timer,TF_Tekniker,AT$4,TF_Dato,$A862))*2,0)/2)))</f>
        <v/>
      </c>
      <c r="AU862">
        <f>IF(OR(AU$4="",$A862&gt;TODAY()),0,IF(OR(INDEX($B862:$D862,AU$5)="F",AND(AU$6&gt;0,$A862&lt;AU$6),AND(AU$7&gt;0,$A862&gt;AU$7)),0,MAX(0,ROUND((INDEX($E862:$G862,AU$5)-SUMIFS(TF_Timer,TF_Tekniker,AU$4,TF_Dato,$A862))*2,0)/2)))</f>
        <v/>
      </c>
      <c r="AV862">
        <f>IF(OR(AV$4="",$A862&gt;TODAY()),0,IF(OR(INDEX($B862:$D862,AV$5)="F",AND(AV$6&gt;0,$A862&lt;AV$6),AND(AV$7&gt;0,$A862&gt;AV$7)),0,MAX(0,ROUND((INDEX($E862:$G862,AV$5)-SUMIFS(TF_Timer,TF_Tekniker,AV$4,TF_Dato,$A862))*2,0)/2)))</f>
        <v/>
      </c>
      <c r="AW862">
        <f>IF(OR(AW$4="",$A862&gt;TODAY()),0,IF(OR(INDEX($B862:$D862,AW$5)="F",AND(AW$6&gt;0,$A862&lt;AW$6),AND(AW$7&gt;0,$A862&gt;AW$7)),0,MAX(0,ROUND((INDEX($E862:$G862,AW$5)-SUMIFS(TF_Timer,TF_Tekniker,AW$4,TF_Dato,$A862))*2,0)/2)))</f>
        <v/>
      </c>
      <c r="AX862">
        <f>IF(OR(AX$4="",$A862&gt;TODAY()),0,IF(OR(INDEX($B862:$D862,AX$5)="F",AND(AX$6&gt;0,$A862&lt;AX$6),AND(AX$7&gt;0,$A862&gt;AX$7)),0,MAX(0,ROUND((INDEX($E862:$G862,AX$5)-SUMIFS(TF_Timer,TF_Tekniker,AX$4,TF_Dato,$A862))*2,0)/2)))</f>
        <v/>
      </c>
      <c r="AY862">
        <f>IF(OR(AY$4="",$A862&gt;TODAY()),0,IF(OR(INDEX($B862:$D862,AY$5)="F",AND(AY$6&gt;0,$A862&lt;AY$6),AND(AY$7&gt;0,$A862&gt;AY$7)),0,MAX(0,ROUND((INDEX($E862:$G862,AY$5)-SUMIFS(TF_Timer,TF_Tekniker,AY$4,TF_Dato,$A862))*2,0)/2)))</f>
        <v/>
      </c>
      <c r="AZ862">
        <f>IF(OR(AZ$4="",$A862&gt;TODAY()),0,IF(OR(INDEX($B862:$D862,AZ$5)="F",AND(AZ$6&gt;0,$A862&lt;AZ$6),AND(AZ$7&gt;0,$A862&gt;AZ$7)),0,MAX(0,ROUND((INDEX($E862:$G862,AZ$5)-SUMIFS(TF_Timer,TF_Tekniker,AZ$4,TF_Dato,$A862))*2,0)/2)))</f>
        <v/>
      </c>
      <c r="BA862">
        <f>IF(OR(BA$4="",$A862&gt;TODAY()),0,IF(OR(INDEX($B862:$D862,BA$5)="F",AND(BA$6&gt;0,$A862&lt;BA$6),AND(BA$7&gt;0,$A862&gt;BA$7)),0,MAX(0,ROUND((INDEX($E862:$G862,BA$5)-SUMIFS(TF_Timer,TF_Tekniker,BA$4,TF_Dato,$A862))*2,0)/2)))</f>
        <v/>
      </c>
      <c r="BB862">
        <f>IF(OR(BB$4="",$A862&gt;TODAY()),0,IF(OR(INDEX($B862:$D862,BB$5)="F",AND(BB$6&gt;0,$A862&lt;BB$6),AND(BB$7&gt;0,$A862&gt;BB$7)),0,MAX(0,ROUND((INDEX($E862:$G862,BB$5)-SUMIFS(TF_Timer,TF_Tekniker,BB$4,TF_Dato,$A862))*2,0)/2)))</f>
        <v/>
      </c>
      <c r="BC862">
        <f>IF(OR(BC$4="",$A862&gt;TODAY()),0,IF(OR(INDEX($B862:$D862,BC$5)="F",AND(BC$6&gt;0,$A862&lt;BC$6),AND(BC$7&gt;0,$A862&gt;BC$7)),0,MAX(0,ROUND((INDEX($E862:$G862,BC$5)-SUMIFS(TF_Timer,TF_Tekniker,BC$4,TF_Dato,$A862))*2,0)/2)))</f>
        <v/>
      </c>
      <c r="BD862">
        <f>IF(OR(BD$4="",$A862&gt;TODAY()),0,IF(OR(INDEX($B862:$D862,BD$5)="F",AND(BD$6&gt;0,$A862&lt;BD$6),AND(BD$7&gt;0,$A862&gt;BD$7)),0,MAX(0,ROUND((INDEX($E862:$G862,BD$5)-SUMIFS(TF_Timer,TF_Tekniker,BD$4,TF_Dato,$A862))*2,0)/2)))</f>
        <v/>
      </c>
      <c r="BE862">
        <f>IF(OR(BE$4="",$A862&gt;TODAY()),0,IF(OR(INDEX($B862:$D862,BE$5)="F",AND(BE$6&gt;0,$A862&lt;BE$6),AND(BE$7&gt;0,$A862&gt;BE$7)),0,MAX(0,ROUND((INDEX($E862:$G862,BE$5)-SUMIFS(TF_Timer,TF_Tekniker,BE$4,TF_Dato,$A862))*2,0)/2)))</f>
        <v/>
      </c>
      <c r="BF862">
        <f>IF(OR(BF$4="",$A862&gt;TODAY()),0,IF(OR(INDEX($B862:$D862,BF$5)="F",AND(BF$6&gt;0,$A862&lt;BF$6),AND(BF$7&gt;0,$A862&gt;BF$7)),0,MAX(0,ROUND((INDEX($E862:$G862,BF$5)-SUMIFS(TF_Timer,TF_Tekniker,BF$4,TF_Dato,$A862))*2,0)/2)))</f>
        <v/>
      </c>
      <c r="BG862">
        <f>IF(OR(BG$4="",$A862&gt;TODAY()),0,IF(OR(INDEX($B862:$D862,BG$5)="F",AND(BG$6&gt;0,$A862&lt;BG$6),AND(BG$7&gt;0,$A862&gt;BG$7)),0,MAX(0,ROUND((INDEX($E862:$G862,BG$5)-SUMIFS(TF_Timer,TF_Tekniker,BG$4,TF_Dato,$A862))*2,0)/2)))</f>
        <v/>
      </c>
      <c r="BH862">
        <f>IF(OR(BH$4="",$A862&gt;TODAY()),0,IF(OR(INDEX($B862:$D862,BH$5)="F",AND(BH$6&gt;0,$A862&lt;BH$6),AND(BH$7&gt;0,$A862&gt;BH$7)),0,MAX(0,ROUND((INDEX($E862:$G862,BH$5)-SUMIFS(TF_Timer,TF_Tekniker,BH$4,TF_Dato,$A862))*2,0)/2)))</f>
        <v/>
      </c>
      <c r="BI862">
        <f>IF(OR(BI$4="",$A862&gt;TODAY()),0,IF(OR(INDEX($B862:$D862,BI$5)="F",AND(BI$6&gt;0,$A862&lt;BI$6),AND(BI$7&gt;0,$A862&gt;BI$7)),0,MAX(0,ROUND((INDEX($E862:$G862,BI$5)-SUMIFS(TF_Timer,TF_Tekniker,BI$4,TF_Dato,$A862))*2,0)/2)))</f>
        <v/>
      </c>
    </row>
    <row r="863">
      <c r="A863" s="64">
        <f>A862+1</f>
        <v/>
      </c>
      <c r="B863">
        <f>IF(MOD($A863-INDEX(SkiftStart,1),Syklus)&lt;DagK,"K",IF(MOD($A863-INDEX(SkiftStart,1),Syklus)&lt;DagK+DagH,"H",IF(MOD($A863-INDEX(SkiftStart,1),Syklus)&lt;DagK+DagH+DagD,"D","F")))</f>
        <v/>
      </c>
      <c r="C863">
        <f>IF(MOD($A863-INDEX(SkiftStart,2),Syklus)&lt;DagK,"K",IF(MOD($A863-INDEX(SkiftStart,2),Syklus)&lt;DagK+DagH,"H",IF(MOD($A863-INDEX(SkiftStart,2),Syklus)&lt;DagK+DagH+DagD,"D","F")))</f>
        <v/>
      </c>
      <c r="D863">
        <f>IF(MOD($A863-INDEX(SkiftStart,3),Syklus)&lt;DagK,"K",IF(MOD($A863-INDEX(SkiftStart,3),Syklus)&lt;DagK+DagH,"H",IF(MOD($A863-INDEX(SkiftStart,3),Syklus)&lt;DagK+DagH+DagD,"D","F")))</f>
        <v/>
      </c>
      <c r="E863">
        <f>IF(B863="F",0,IF(WEEKDAY($A863,2)=5,INDEX(TimerFr,MATCH(B863,FaseKode,0)),INDEX(TimerMT,MATCH(B863,FaseKode,0))))</f>
        <v/>
      </c>
      <c r="F863">
        <f>IF(C863="F",0,IF(WEEKDAY($A863,2)=5,INDEX(TimerFr,MATCH(C863,FaseKode,0)),INDEX(TimerMT,MATCH(C863,FaseKode,0))))</f>
        <v/>
      </c>
      <c r="G863">
        <f>IF(D863="F",0,IF(WEEKDAY($A863,2)=5,INDEX(TimerFr,MATCH(D863,FaseKode,0)),INDEX(TimerMT,MATCH(D863,FaseKode,0))))</f>
        <v/>
      </c>
      <c r="H863">
        <f>IF(OR(H$4="",$A863&gt;TODAY()),0,IF(OR(INDEX($B863:$D863,H$5)="F",AND(H$6&gt;0,$A863&lt;H$6),AND(H$7&gt;0,$A863&gt;H$7)),0,MAX(0,ROUND((INDEX($E863:$G863,H$5)-SUMIFS(TF_Timer,TF_Tekniker,H$4,TF_Dato,$A863))*2,0)/2)))</f>
        <v/>
      </c>
      <c r="I863">
        <f>IF(OR(I$4="",$A863&gt;TODAY()),0,IF(OR(INDEX($B863:$D863,I$5)="F",AND(I$6&gt;0,$A863&lt;I$6),AND(I$7&gt;0,$A863&gt;I$7)),0,MAX(0,ROUND((INDEX($E863:$G863,I$5)-SUMIFS(TF_Timer,TF_Tekniker,I$4,TF_Dato,$A863))*2,0)/2)))</f>
        <v/>
      </c>
      <c r="J863">
        <f>IF(OR(J$4="",$A863&gt;TODAY()),0,IF(OR(INDEX($B863:$D863,J$5)="F",AND(J$6&gt;0,$A863&lt;J$6),AND(J$7&gt;0,$A863&gt;J$7)),0,MAX(0,ROUND((INDEX($E863:$G863,J$5)-SUMIFS(TF_Timer,TF_Tekniker,J$4,TF_Dato,$A863))*2,0)/2)))</f>
        <v/>
      </c>
      <c r="K863">
        <f>IF(OR(K$4="",$A863&gt;TODAY()),0,IF(OR(INDEX($B863:$D863,K$5)="F",AND(K$6&gt;0,$A863&lt;K$6),AND(K$7&gt;0,$A863&gt;K$7)),0,MAX(0,ROUND((INDEX($E863:$G863,K$5)-SUMIFS(TF_Timer,TF_Tekniker,K$4,TF_Dato,$A863))*2,0)/2)))</f>
        <v/>
      </c>
      <c r="L863">
        <f>IF(OR(L$4="",$A863&gt;TODAY()),0,IF(OR(INDEX($B863:$D863,L$5)="F",AND(L$6&gt;0,$A863&lt;L$6),AND(L$7&gt;0,$A863&gt;L$7)),0,MAX(0,ROUND((INDEX($E863:$G863,L$5)-SUMIFS(TF_Timer,TF_Tekniker,L$4,TF_Dato,$A863))*2,0)/2)))</f>
        <v/>
      </c>
      <c r="M863">
        <f>IF(OR(M$4="",$A863&gt;TODAY()),0,IF(OR(INDEX($B863:$D863,M$5)="F",AND(M$6&gt;0,$A863&lt;M$6),AND(M$7&gt;0,$A863&gt;M$7)),0,MAX(0,ROUND((INDEX($E863:$G863,M$5)-SUMIFS(TF_Timer,TF_Tekniker,M$4,TF_Dato,$A863))*2,0)/2)))</f>
        <v/>
      </c>
      <c r="N863">
        <f>IF(OR(N$4="",$A863&gt;TODAY()),0,IF(OR(INDEX($B863:$D863,N$5)="F",AND(N$6&gt;0,$A863&lt;N$6),AND(N$7&gt;0,$A863&gt;N$7)),0,MAX(0,ROUND((INDEX($E863:$G863,N$5)-SUMIFS(TF_Timer,TF_Tekniker,N$4,TF_Dato,$A863))*2,0)/2)))</f>
        <v/>
      </c>
      <c r="O863">
        <f>IF(OR(O$4="",$A863&gt;TODAY()),0,IF(OR(INDEX($B863:$D863,O$5)="F",AND(O$6&gt;0,$A863&lt;O$6),AND(O$7&gt;0,$A863&gt;O$7)),0,MAX(0,ROUND((INDEX($E863:$G863,O$5)-SUMIFS(TF_Timer,TF_Tekniker,O$4,TF_Dato,$A863))*2,0)/2)))</f>
        <v/>
      </c>
      <c r="P863">
        <f>IF(OR(P$4="",$A863&gt;TODAY()),0,IF(OR(INDEX($B863:$D863,P$5)="F",AND(P$6&gt;0,$A863&lt;P$6),AND(P$7&gt;0,$A863&gt;P$7)),0,MAX(0,ROUND((INDEX($E863:$G863,P$5)-SUMIFS(TF_Timer,TF_Tekniker,P$4,TF_Dato,$A863))*2,0)/2)))</f>
        <v/>
      </c>
      <c r="Q863">
        <f>IF(OR(Q$4="",$A863&gt;TODAY()),0,IF(OR(INDEX($B863:$D863,Q$5)="F",AND(Q$6&gt;0,$A863&lt;Q$6),AND(Q$7&gt;0,$A863&gt;Q$7)),0,MAX(0,ROUND((INDEX($E863:$G863,Q$5)-SUMIFS(TF_Timer,TF_Tekniker,Q$4,TF_Dato,$A863))*2,0)/2)))</f>
        <v/>
      </c>
      <c r="R863">
        <f>IF(OR(R$4="",$A863&gt;TODAY()),0,IF(OR(INDEX($B863:$D863,R$5)="F",AND(R$6&gt;0,$A863&lt;R$6),AND(R$7&gt;0,$A863&gt;R$7)),0,MAX(0,ROUND((INDEX($E863:$G863,R$5)-SUMIFS(TF_Timer,TF_Tekniker,R$4,TF_Dato,$A863))*2,0)/2)))</f>
        <v/>
      </c>
      <c r="S863">
        <f>IF(OR(S$4="",$A863&gt;TODAY()),0,IF(OR(INDEX($B863:$D863,S$5)="F",AND(S$6&gt;0,$A863&lt;S$6),AND(S$7&gt;0,$A863&gt;S$7)),0,MAX(0,ROUND((INDEX($E863:$G863,S$5)-SUMIFS(TF_Timer,TF_Tekniker,S$4,TF_Dato,$A863))*2,0)/2)))</f>
        <v/>
      </c>
      <c r="T863">
        <f>IF(OR(T$4="",$A863&gt;TODAY()),0,IF(OR(INDEX($B863:$D863,T$5)="F",AND(T$6&gt;0,$A863&lt;T$6),AND(T$7&gt;0,$A863&gt;T$7)),0,MAX(0,ROUND((INDEX($E863:$G863,T$5)-SUMIFS(TF_Timer,TF_Tekniker,T$4,TF_Dato,$A863))*2,0)/2)))</f>
        <v/>
      </c>
      <c r="U863">
        <f>IF(OR(U$4="",$A863&gt;TODAY()),0,IF(OR(INDEX($B863:$D863,U$5)="F",AND(U$6&gt;0,$A863&lt;U$6),AND(U$7&gt;0,$A863&gt;U$7)),0,MAX(0,ROUND((INDEX($E863:$G863,U$5)-SUMIFS(TF_Timer,TF_Tekniker,U$4,TF_Dato,$A863))*2,0)/2)))</f>
        <v/>
      </c>
      <c r="V863">
        <f>IF(OR(V$4="",$A863&gt;TODAY()),0,IF(OR(INDEX($B863:$D863,V$5)="F",AND(V$6&gt;0,$A863&lt;V$6),AND(V$7&gt;0,$A863&gt;V$7)),0,MAX(0,ROUND((INDEX($E863:$G863,V$5)-SUMIFS(TF_Timer,TF_Tekniker,V$4,TF_Dato,$A863))*2,0)/2)))</f>
        <v/>
      </c>
      <c r="W863">
        <f>IF(OR(W$4="",$A863&gt;TODAY()),0,IF(OR(INDEX($B863:$D863,W$5)="F",AND(W$6&gt;0,$A863&lt;W$6),AND(W$7&gt;0,$A863&gt;W$7)),0,MAX(0,ROUND((INDEX($E863:$G863,W$5)-SUMIFS(TF_Timer,TF_Tekniker,W$4,TF_Dato,$A863))*2,0)/2)))</f>
        <v/>
      </c>
      <c r="X863">
        <f>IF(OR(X$4="",$A863&gt;TODAY()),0,IF(OR(INDEX($B863:$D863,X$5)="F",AND(X$6&gt;0,$A863&lt;X$6),AND(X$7&gt;0,$A863&gt;X$7)),0,MAX(0,ROUND((INDEX($E863:$G863,X$5)-SUMIFS(TF_Timer,TF_Tekniker,X$4,TF_Dato,$A863))*2,0)/2)))</f>
        <v/>
      </c>
      <c r="Y863">
        <f>IF(OR(Y$4="",$A863&gt;TODAY()),0,IF(OR(INDEX($B863:$D863,Y$5)="F",AND(Y$6&gt;0,$A863&lt;Y$6),AND(Y$7&gt;0,$A863&gt;Y$7)),0,MAX(0,ROUND((INDEX($E863:$G863,Y$5)-SUMIFS(TF_Timer,TF_Tekniker,Y$4,TF_Dato,$A863))*2,0)/2)))</f>
        <v/>
      </c>
      <c r="Z863">
        <f>IF(OR(Z$4="",$A863&gt;TODAY()),0,IF(OR(INDEX($B863:$D863,Z$5)="F",AND(Z$6&gt;0,$A863&lt;Z$6),AND(Z$7&gt;0,$A863&gt;Z$7)),0,MAX(0,ROUND((INDEX($E863:$G863,Z$5)-SUMIFS(TF_Timer,TF_Tekniker,Z$4,TF_Dato,$A863))*2,0)/2)))</f>
        <v/>
      </c>
      <c r="AA863">
        <f>IF(OR(AA$4="",$A863&gt;TODAY()),0,IF(OR(INDEX($B863:$D863,AA$5)="F",AND(AA$6&gt;0,$A863&lt;AA$6),AND(AA$7&gt;0,$A863&gt;AA$7)),0,MAX(0,ROUND((INDEX($E863:$G863,AA$5)-SUMIFS(TF_Timer,TF_Tekniker,AA$4,TF_Dato,$A863))*2,0)/2)))</f>
        <v/>
      </c>
      <c r="AB863">
        <f>IF(OR(AB$4="",$A863&gt;TODAY()),0,IF(OR(INDEX($B863:$D863,AB$5)="F",AND(AB$6&gt;0,$A863&lt;AB$6),AND(AB$7&gt;0,$A863&gt;AB$7)),0,MAX(0,ROUND((INDEX($E863:$G863,AB$5)-SUMIFS(TF_Timer,TF_Tekniker,AB$4,TF_Dato,$A863))*2,0)/2)))</f>
        <v/>
      </c>
      <c r="AC863">
        <f>IF(OR(AC$4="",$A863&gt;TODAY()),0,IF(OR(INDEX($B863:$D863,AC$5)="F",AND(AC$6&gt;0,$A863&lt;AC$6),AND(AC$7&gt;0,$A863&gt;AC$7)),0,MAX(0,ROUND((INDEX($E863:$G863,AC$5)-SUMIFS(TF_Timer,TF_Tekniker,AC$4,TF_Dato,$A863))*2,0)/2)))</f>
        <v/>
      </c>
      <c r="AD863">
        <f>IF(OR(AD$4="",$A863&gt;TODAY()),0,IF(OR(INDEX($B863:$D863,AD$5)="F",AND(AD$6&gt;0,$A863&lt;AD$6),AND(AD$7&gt;0,$A863&gt;AD$7)),0,MAX(0,ROUND((INDEX($E863:$G863,AD$5)-SUMIFS(TF_Timer,TF_Tekniker,AD$4,TF_Dato,$A863))*2,0)/2)))</f>
        <v/>
      </c>
      <c r="AE863">
        <f>IF(OR(AE$4="",$A863&gt;TODAY()),0,IF(OR(INDEX($B863:$D863,AE$5)="F",AND(AE$6&gt;0,$A863&lt;AE$6),AND(AE$7&gt;0,$A863&gt;AE$7)),0,MAX(0,ROUND((INDEX($E863:$G863,AE$5)-SUMIFS(TF_Timer,TF_Tekniker,AE$4,TF_Dato,$A863))*2,0)/2)))</f>
        <v/>
      </c>
      <c r="AF863">
        <f>IF(OR(AF$4="",$A863&gt;TODAY()),0,IF(OR(INDEX($B863:$D863,AF$5)="F",AND(AF$6&gt;0,$A863&lt;AF$6),AND(AF$7&gt;0,$A863&gt;AF$7)),0,MAX(0,ROUND((INDEX($E863:$G863,AF$5)-SUMIFS(TF_Timer,TF_Tekniker,AF$4,TF_Dato,$A863))*2,0)/2)))</f>
        <v/>
      </c>
      <c r="AG863">
        <f>IF(OR(AG$4="",$A863&gt;TODAY()),0,IF(OR(INDEX($B863:$D863,AG$5)="F",AND(AG$6&gt;0,$A863&lt;AG$6),AND(AG$7&gt;0,$A863&gt;AG$7)),0,MAX(0,ROUND((INDEX($E863:$G863,AG$5)-SUMIFS(TF_Timer,TF_Tekniker,AG$4,TF_Dato,$A863))*2,0)/2)))</f>
        <v/>
      </c>
      <c r="AH863">
        <f>IF(OR(AH$4="",$A863&gt;TODAY()),0,IF(OR(INDEX($B863:$D863,AH$5)="F",AND(AH$6&gt;0,$A863&lt;AH$6),AND(AH$7&gt;0,$A863&gt;AH$7)),0,MAX(0,ROUND((INDEX($E863:$G863,AH$5)-SUMIFS(TF_Timer,TF_Tekniker,AH$4,TF_Dato,$A863))*2,0)/2)))</f>
        <v/>
      </c>
      <c r="AI863">
        <f>IF(OR(AI$4="",$A863&gt;TODAY()),0,IF(OR(INDEX($B863:$D863,AI$5)="F",AND(AI$6&gt;0,$A863&lt;AI$6),AND(AI$7&gt;0,$A863&gt;AI$7)),0,MAX(0,ROUND((INDEX($E863:$G863,AI$5)-SUMIFS(TF_Timer,TF_Tekniker,AI$4,TF_Dato,$A863))*2,0)/2)))</f>
        <v/>
      </c>
      <c r="AJ863">
        <f>IF(OR(AJ$4="",$A863&gt;TODAY()),0,IF(OR(INDEX($B863:$D863,AJ$5)="F",AND(AJ$6&gt;0,$A863&lt;AJ$6),AND(AJ$7&gt;0,$A863&gt;AJ$7)),0,MAX(0,ROUND((INDEX($E863:$G863,AJ$5)-SUMIFS(TF_Timer,TF_Tekniker,AJ$4,TF_Dato,$A863))*2,0)/2)))</f>
        <v/>
      </c>
      <c r="AK863">
        <f>IF(OR(AK$4="",$A863&gt;TODAY()),0,IF(OR(INDEX($B863:$D863,AK$5)="F",AND(AK$6&gt;0,$A863&lt;AK$6),AND(AK$7&gt;0,$A863&gt;AK$7)),0,MAX(0,ROUND((INDEX($E863:$G863,AK$5)-SUMIFS(TF_Timer,TF_Tekniker,AK$4,TF_Dato,$A863))*2,0)/2)))</f>
        <v/>
      </c>
      <c r="AL863">
        <f>IF(OR(AL$4="",$A863&gt;TODAY()),0,IF(OR(INDEX($B863:$D863,AL$5)="F",AND(AL$6&gt;0,$A863&lt;AL$6),AND(AL$7&gt;0,$A863&gt;AL$7)),0,MAX(0,ROUND((INDEX($E863:$G863,AL$5)-SUMIFS(TF_Timer,TF_Tekniker,AL$4,TF_Dato,$A863))*2,0)/2)))</f>
        <v/>
      </c>
      <c r="AM863">
        <f>IF(OR(AM$4="",$A863&gt;TODAY()),0,IF(OR(INDEX($B863:$D863,AM$5)="F",AND(AM$6&gt;0,$A863&lt;AM$6),AND(AM$7&gt;0,$A863&gt;AM$7)),0,MAX(0,ROUND((INDEX($E863:$G863,AM$5)-SUMIFS(TF_Timer,TF_Tekniker,AM$4,TF_Dato,$A863))*2,0)/2)))</f>
        <v/>
      </c>
      <c r="AN863">
        <f>IF(OR(AN$4="",$A863&gt;TODAY()),0,IF(OR(INDEX($B863:$D863,AN$5)="F",AND(AN$6&gt;0,$A863&lt;AN$6),AND(AN$7&gt;0,$A863&gt;AN$7)),0,MAX(0,ROUND((INDEX($E863:$G863,AN$5)-SUMIFS(TF_Timer,TF_Tekniker,AN$4,TF_Dato,$A863))*2,0)/2)))</f>
        <v/>
      </c>
      <c r="AO863">
        <f>IF(OR(AO$4="",$A863&gt;TODAY()),0,IF(OR(INDEX($B863:$D863,AO$5)="F",AND(AO$6&gt;0,$A863&lt;AO$6),AND(AO$7&gt;0,$A863&gt;AO$7)),0,MAX(0,ROUND((INDEX($E863:$G863,AO$5)-SUMIFS(TF_Timer,TF_Tekniker,AO$4,TF_Dato,$A863))*2,0)/2)))</f>
        <v/>
      </c>
      <c r="AP863">
        <f>IF(OR(AP$4="",$A863&gt;TODAY()),0,IF(OR(INDEX($B863:$D863,AP$5)="F",AND(AP$6&gt;0,$A863&lt;AP$6),AND(AP$7&gt;0,$A863&gt;AP$7)),0,MAX(0,ROUND((INDEX($E863:$G863,AP$5)-SUMIFS(TF_Timer,TF_Tekniker,AP$4,TF_Dato,$A863))*2,0)/2)))</f>
        <v/>
      </c>
      <c r="AQ863">
        <f>IF(OR(AQ$4="",$A863&gt;TODAY()),0,IF(OR(INDEX($B863:$D863,AQ$5)="F",AND(AQ$6&gt;0,$A863&lt;AQ$6),AND(AQ$7&gt;0,$A863&gt;AQ$7)),0,MAX(0,ROUND((INDEX($E863:$G863,AQ$5)-SUMIFS(TF_Timer,TF_Tekniker,AQ$4,TF_Dato,$A863))*2,0)/2)))</f>
        <v/>
      </c>
      <c r="AR863">
        <f>IF(OR(AR$4="",$A863&gt;TODAY()),0,IF(OR(INDEX($B863:$D863,AR$5)="F",AND(AR$6&gt;0,$A863&lt;AR$6),AND(AR$7&gt;0,$A863&gt;AR$7)),0,MAX(0,ROUND((INDEX($E863:$G863,AR$5)-SUMIFS(TF_Timer,TF_Tekniker,AR$4,TF_Dato,$A863))*2,0)/2)))</f>
        <v/>
      </c>
      <c r="AS863">
        <f>IF(OR(AS$4="",$A863&gt;TODAY()),0,IF(OR(INDEX($B863:$D863,AS$5)="F",AND(AS$6&gt;0,$A863&lt;AS$6),AND(AS$7&gt;0,$A863&gt;AS$7)),0,MAX(0,ROUND((INDEX($E863:$G863,AS$5)-SUMIFS(TF_Timer,TF_Tekniker,AS$4,TF_Dato,$A863))*2,0)/2)))</f>
        <v/>
      </c>
      <c r="AT863">
        <f>IF(OR(AT$4="",$A863&gt;TODAY()),0,IF(OR(INDEX($B863:$D863,AT$5)="F",AND(AT$6&gt;0,$A863&lt;AT$6),AND(AT$7&gt;0,$A863&gt;AT$7)),0,MAX(0,ROUND((INDEX($E863:$G863,AT$5)-SUMIFS(TF_Timer,TF_Tekniker,AT$4,TF_Dato,$A863))*2,0)/2)))</f>
        <v/>
      </c>
      <c r="AU863">
        <f>IF(OR(AU$4="",$A863&gt;TODAY()),0,IF(OR(INDEX($B863:$D863,AU$5)="F",AND(AU$6&gt;0,$A863&lt;AU$6),AND(AU$7&gt;0,$A863&gt;AU$7)),0,MAX(0,ROUND((INDEX($E863:$G863,AU$5)-SUMIFS(TF_Timer,TF_Tekniker,AU$4,TF_Dato,$A863))*2,0)/2)))</f>
        <v/>
      </c>
      <c r="AV863">
        <f>IF(OR(AV$4="",$A863&gt;TODAY()),0,IF(OR(INDEX($B863:$D863,AV$5)="F",AND(AV$6&gt;0,$A863&lt;AV$6),AND(AV$7&gt;0,$A863&gt;AV$7)),0,MAX(0,ROUND((INDEX($E863:$G863,AV$5)-SUMIFS(TF_Timer,TF_Tekniker,AV$4,TF_Dato,$A863))*2,0)/2)))</f>
        <v/>
      </c>
      <c r="AW863">
        <f>IF(OR(AW$4="",$A863&gt;TODAY()),0,IF(OR(INDEX($B863:$D863,AW$5)="F",AND(AW$6&gt;0,$A863&lt;AW$6),AND(AW$7&gt;0,$A863&gt;AW$7)),0,MAX(0,ROUND((INDEX($E863:$G863,AW$5)-SUMIFS(TF_Timer,TF_Tekniker,AW$4,TF_Dato,$A863))*2,0)/2)))</f>
        <v/>
      </c>
      <c r="AX863">
        <f>IF(OR(AX$4="",$A863&gt;TODAY()),0,IF(OR(INDEX($B863:$D863,AX$5)="F",AND(AX$6&gt;0,$A863&lt;AX$6),AND(AX$7&gt;0,$A863&gt;AX$7)),0,MAX(0,ROUND((INDEX($E863:$G863,AX$5)-SUMIFS(TF_Timer,TF_Tekniker,AX$4,TF_Dato,$A863))*2,0)/2)))</f>
        <v/>
      </c>
      <c r="AY863">
        <f>IF(OR(AY$4="",$A863&gt;TODAY()),0,IF(OR(INDEX($B863:$D863,AY$5)="F",AND(AY$6&gt;0,$A863&lt;AY$6),AND(AY$7&gt;0,$A863&gt;AY$7)),0,MAX(0,ROUND((INDEX($E863:$G863,AY$5)-SUMIFS(TF_Timer,TF_Tekniker,AY$4,TF_Dato,$A863))*2,0)/2)))</f>
        <v/>
      </c>
      <c r="AZ863">
        <f>IF(OR(AZ$4="",$A863&gt;TODAY()),0,IF(OR(INDEX($B863:$D863,AZ$5)="F",AND(AZ$6&gt;0,$A863&lt;AZ$6),AND(AZ$7&gt;0,$A863&gt;AZ$7)),0,MAX(0,ROUND((INDEX($E863:$G863,AZ$5)-SUMIFS(TF_Timer,TF_Tekniker,AZ$4,TF_Dato,$A863))*2,0)/2)))</f>
        <v/>
      </c>
      <c r="BA863">
        <f>IF(OR(BA$4="",$A863&gt;TODAY()),0,IF(OR(INDEX($B863:$D863,BA$5)="F",AND(BA$6&gt;0,$A863&lt;BA$6),AND(BA$7&gt;0,$A863&gt;BA$7)),0,MAX(0,ROUND((INDEX($E863:$G863,BA$5)-SUMIFS(TF_Timer,TF_Tekniker,BA$4,TF_Dato,$A863))*2,0)/2)))</f>
        <v/>
      </c>
      <c r="BB863">
        <f>IF(OR(BB$4="",$A863&gt;TODAY()),0,IF(OR(INDEX($B863:$D863,BB$5)="F",AND(BB$6&gt;0,$A863&lt;BB$6),AND(BB$7&gt;0,$A863&gt;BB$7)),0,MAX(0,ROUND((INDEX($E863:$G863,BB$5)-SUMIFS(TF_Timer,TF_Tekniker,BB$4,TF_Dato,$A863))*2,0)/2)))</f>
        <v/>
      </c>
      <c r="BC863">
        <f>IF(OR(BC$4="",$A863&gt;TODAY()),0,IF(OR(INDEX($B863:$D863,BC$5)="F",AND(BC$6&gt;0,$A863&lt;BC$6),AND(BC$7&gt;0,$A863&gt;BC$7)),0,MAX(0,ROUND((INDEX($E863:$G863,BC$5)-SUMIFS(TF_Timer,TF_Tekniker,BC$4,TF_Dato,$A863))*2,0)/2)))</f>
        <v/>
      </c>
      <c r="BD863">
        <f>IF(OR(BD$4="",$A863&gt;TODAY()),0,IF(OR(INDEX($B863:$D863,BD$5)="F",AND(BD$6&gt;0,$A863&lt;BD$6),AND(BD$7&gt;0,$A863&gt;BD$7)),0,MAX(0,ROUND((INDEX($E863:$G863,BD$5)-SUMIFS(TF_Timer,TF_Tekniker,BD$4,TF_Dato,$A863))*2,0)/2)))</f>
        <v/>
      </c>
      <c r="BE863">
        <f>IF(OR(BE$4="",$A863&gt;TODAY()),0,IF(OR(INDEX($B863:$D863,BE$5)="F",AND(BE$6&gt;0,$A863&lt;BE$6),AND(BE$7&gt;0,$A863&gt;BE$7)),0,MAX(0,ROUND((INDEX($E863:$G863,BE$5)-SUMIFS(TF_Timer,TF_Tekniker,BE$4,TF_Dato,$A863))*2,0)/2)))</f>
        <v/>
      </c>
      <c r="BF863">
        <f>IF(OR(BF$4="",$A863&gt;TODAY()),0,IF(OR(INDEX($B863:$D863,BF$5)="F",AND(BF$6&gt;0,$A863&lt;BF$6),AND(BF$7&gt;0,$A863&gt;BF$7)),0,MAX(0,ROUND((INDEX($E863:$G863,BF$5)-SUMIFS(TF_Timer,TF_Tekniker,BF$4,TF_Dato,$A863))*2,0)/2)))</f>
        <v/>
      </c>
      <c r="BG863">
        <f>IF(OR(BG$4="",$A863&gt;TODAY()),0,IF(OR(INDEX($B863:$D863,BG$5)="F",AND(BG$6&gt;0,$A863&lt;BG$6),AND(BG$7&gt;0,$A863&gt;BG$7)),0,MAX(0,ROUND((INDEX($E863:$G863,BG$5)-SUMIFS(TF_Timer,TF_Tekniker,BG$4,TF_Dato,$A863))*2,0)/2)))</f>
        <v/>
      </c>
      <c r="BH863">
        <f>IF(OR(BH$4="",$A863&gt;TODAY()),0,IF(OR(INDEX($B863:$D863,BH$5)="F",AND(BH$6&gt;0,$A863&lt;BH$6),AND(BH$7&gt;0,$A863&gt;BH$7)),0,MAX(0,ROUND((INDEX($E863:$G863,BH$5)-SUMIFS(TF_Timer,TF_Tekniker,BH$4,TF_Dato,$A863))*2,0)/2)))</f>
        <v/>
      </c>
      <c r="BI863">
        <f>IF(OR(BI$4="",$A863&gt;TODAY()),0,IF(OR(INDEX($B863:$D863,BI$5)="F",AND(BI$6&gt;0,$A863&lt;BI$6),AND(BI$7&gt;0,$A863&gt;BI$7)),0,MAX(0,ROUND((INDEX($E863:$G863,BI$5)-SUMIFS(TF_Timer,TF_Tekniker,BI$4,TF_Dato,$A863))*2,0)/2)))</f>
        <v/>
      </c>
    </row>
    <row r="864">
      <c r="A864" s="64">
        <f>A863+1</f>
        <v/>
      </c>
      <c r="B864">
        <f>IF(MOD($A864-INDEX(SkiftStart,1),Syklus)&lt;DagK,"K",IF(MOD($A864-INDEX(SkiftStart,1),Syklus)&lt;DagK+DagH,"H",IF(MOD($A864-INDEX(SkiftStart,1),Syklus)&lt;DagK+DagH+DagD,"D","F")))</f>
        <v/>
      </c>
      <c r="C864">
        <f>IF(MOD($A864-INDEX(SkiftStart,2),Syklus)&lt;DagK,"K",IF(MOD($A864-INDEX(SkiftStart,2),Syklus)&lt;DagK+DagH,"H",IF(MOD($A864-INDEX(SkiftStart,2),Syklus)&lt;DagK+DagH+DagD,"D","F")))</f>
        <v/>
      </c>
      <c r="D864">
        <f>IF(MOD($A864-INDEX(SkiftStart,3),Syklus)&lt;DagK,"K",IF(MOD($A864-INDEX(SkiftStart,3),Syklus)&lt;DagK+DagH,"H",IF(MOD($A864-INDEX(SkiftStart,3),Syklus)&lt;DagK+DagH+DagD,"D","F")))</f>
        <v/>
      </c>
      <c r="E864">
        <f>IF(B864="F",0,IF(WEEKDAY($A864,2)=5,INDEX(TimerFr,MATCH(B864,FaseKode,0)),INDEX(TimerMT,MATCH(B864,FaseKode,0))))</f>
        <v/>
      </c>
      <c r="F864">
        <f>IF(C864="F",0,IF(WEEKDAY($A864,2)=5,INDEX(TimerFr,MATCH(C864,FaseKode,0)),INDEX(TimerMT,MATCH(C864,FaseKode,0))))</f>
        <v/>
      </c>
      <c r="G864">
        <f>IF(D864="F",0,IF(WEEKDAY($A864,2)=5,INDEX(TimerFr,MATCH(D864,FaseKode,0)),INDEX(TimerMT,MATCH(D864,FaseKode,0))))</f>
        <v/>
      </c>
      <c r="H864">
        <f>IF(OR(H$4="",$A864&gt;TODAY()),0,IF(OR(INDEX($B864:$D864,H$5)="F",AND(H$6&gt;0,$A864&lt;H$6),AND(H$7&gt;0,$A864&gt;H$7)),0,MAX(0,ROUND((INDEX($E864:$G864,H$5)-SUMIFS(TF_Timer,TF_Tekniker,H$4,TF_Dato,$A864))*2,0)/2)))</f>
        <v/>
      </c>
      <c r="I864">
        <f>IF(OR(I$4="",$A864&gt;TODAY()),0,IF(OR(INDEX($B864:$D864,I$5)="F",AND(I$6&gt;0,$A864&lt;I$6),AND(I$7&gt;0,$A864&gt;I$7)),0,MAX(0,ROUND((INDEX($E864:$G864,I$5)-SUMIFS(TF_Timer,TF_Tekniker,I$4,TF_Dato,$A864))*2,0)/2)))</f>
        <v/>
      </c>
      <c r="J864">
        <f>IF(OR(J$4="",$A864&gt;TODAY()),0,IF(OR(INDEX($B864:$D864,J$5)="F",AND(J$6&gt;0,$A864&lt;J$6),AND(J$7&gt;0,$A864&gt;J$7)),0,MAX(0,ROUND((INDEX($E864:$G864,J$5)-SUMIFS(TF_Timer,TF_Tekniker,J$4,TF_Dato,$A864))*2,0)/2)))</f>
        <v/>
      </c>
      <c r="K864">
        <f>IF(OR(K$4="",$A864&gt;TODAY()),0,IF(OR(INDEX($B864:$D864,K$5)="F",AND(K$6&gt;0,$A864&lt;K$6),AND(K$7&gt;0,$A864&gt;K$7)),0,MAX(0,ROUND((INDEX($E864:$G864,K$5)-SUMIFS(TF_Timer,TF_Tekniker,K$4,TF_Dato,$A864))*2,0)/2)))</f>
        <v/>
      </c>
      <c r="L864">
        <f>IF(OR(L$4="",$A864&gt;TODAY()),0,IF(OR(INDEX($B864:$D864,L$5)="F",AND(L$6&gt;0,$A864&lt;L$6),AND(L$7&gt;0,$A864&gt;L$7)),0,MAX(0,ROUND((INDEX($E864:$G864,L$5)-SUMIFS(TF_Timer,TF_Tekniker,L$4,TF_Dato,$A864))*2,0)/2)))</f>
        <v/>
      </c>
      <c r="M864">
        <f>IF(OR(M$4="",$A864&gt;TODAY()),0,IF(OR(INDEX($B864:$D864,M$5)="F",AND(M$6&gt;0,$A864&lt;M$6),AND(M$7&gt;0,$A864&gt;M$7)),0,MAX(0,ROUND((INDEX($E864:$G864,M$5)-SUMIFS(TF_Timer,TF_Tekniker,M$4,TF_Dato,$A864))*2,0)/2)))</f>
        <v/>
      </c>
      <c r="N864">
        <f>IF(OR(N$4="",$A864&gt;TODAY()),0,IF(OR(INDEX($B864:$D864,N$5)="F",AND(N$6&gt;0,$A864&lt;N$6),AND(N$7&gt;0,$A864&gt;N$7)),0,MAX(0,ROUND((INDEX($E864:$G864,N$5)-SUMIFS(TF_Timer,TF_Tekniker,N$4,TF_Dato,$A864))*2,0)/2)))</f>
        <v/>
      </c>
      <c r="O864">
        <f>IF(OR(O$4="",$A864&gt;TODAY()),0,IF(OR(INDEX($B864:$D864,O$5)="F",AND(O$6&gt;0,$A864&lt;O$6),AND(O$7&gt;0,$A864&gt;O$7)),0,MAX(0,ROUND((INDEX($E864:$G864,O$5)-SUMIFS(TF_Timer,TF_Tekniker,O$4,TF_Dato,$A864))*2,0)/2)))</f>
        <v/>
      </c>
      <c r="P864">
        <f>IF(OR(P$4="",$A864&gt;TODAY()),0,IF(OR(INDEX($B864:$D864,P$5)="F",AND(P$6&gt;0,$A864&lt;P$6),AND(P$7&gt;0,$A864&gt;P$7)),0,MAX(0,ROUND((INDEX($E864:$G864,P$5)-SUMIFS(TF_Timer,TF_Tekniker,P$4,TF_Dato,$A864))*2,0)/2)))</f>
        <v/>
      </c>
      <c r="Q864">
        <f>IF(OR(Q$4="",$A864&gt;TODAY()),0,IF(OR(INDEX($B864:$D864,Q$5)="F",AND(Q$6&gt;0,$A864&lt;Q$6),AND(Q$7&gt;0,$A864&gt;Q$7)),0,MAX(0,ROUND((INDEX($E864:$G864,Q$5)-SUMIFS(TF_Timer,TF_Tekniker,Q$4,TF_Dato,$A864))*2,0)/2)))</f>
        <v/>
      </c>
      <c r="R864">
        <f>IF(OR(R$4="",$A864&gt;TODAY()),0,IF(OR(INDEX($B864:$D864,R$5)="F",AND(R$6&gt;0,$A864&lt;R$6),AND(R$7&gt;0,$A864&gt;R$7)),0,MAX(0,ROUND((INDEX($E864:$G864,R$5)-SUMIFS(TF_Timer,TF_Tekniker,R$4,TF_Dato,$A864))*2,0)/2)))</f>
        <v/>
      </c>
      <c r="S864">
        <f>IF(OR(S$4="",$A864&gt;TODAY()),0,IF(OR(INDEX($B864:$D864,S$5)="F",AND(S$6&gt;0,$A864&lt;S$6),AND(S$7&gt;0,$A864&gt;S$7)),0,MAX(0,ROUND((INDEX($E864:$G864,S$5)-SUMIFS(TF_Timer,TF_Tekniker,S$4,TF_Dato,$A864))*2,0)/2)))</f>
        <v/>
      </c>
      <c r="T864">
        <f>IF(OR(T$4="",$A864&gt;TODAY()),0,IF(OR(INDEX($B864:$D864,T$5)="F",AND(T$6&gt;0,$A864&lt;T$6),AND(T$7&gt;0,$A864&gt;T$7)),0,MAX(0,ROUND((INDEX($E864:$G864,T$5)-SUMIFS(TF_Timer,TF_Tekniker,T$4,TF_Dato,$A864))*2,0)/2)))</f>
        <v/>
      </c>
      <c r="U864">
        <f>IF(OR(U$4="",$A864&gt;TODAY()),0,IF(OR(INDEX($B864:$D864,U$5)="F",AND(U$6&gt;0,$A864&lt;U$6),AND(U$7&gt;0,$A864&gt;U$7)),0,MAX(0,ROUND((INDEX($E864:$G864,U$5)-SUMIFS(TF_Timer,TF_Tekniker,U$4,TF_Dato,$A864))*2,0)/2)))</f>
        <v/>
      </c>
      <c r="V864">
        <f>IF(OR(V$4="",$A864&gt;TODAY()),0,IF(OR(INDEX($B864:$D864,V$5)="F",AND(V$6&gt;0,$A864&lt;V$6),AND(V$7&gt;0,$A864&gt;V$7)),0,MAX(0,ROUND((INDEX($E864:$G864,V$5)-SUMIFS(TF_Timer,TF_Tekniker,V$4,TF_Dato,$A864))*2,0)/2)))</f>
        <v/>
      </c>
      <c r="W864">
        <f>IF(OR(W$4="",$A864&gt;TODAY()),0,IF(OR(INDEX($B864:$D864,W$5)="F",AND(W$6&gt;0,$A864&lt;W$6),AND(W$7&gt;0,$A864&gt;W$7)),0,MAX(0,ROUND((INDEX($E864:$G864,W$5)-SUMIFS(TF_Timer,TF_Tekniker,W$4,TF_Dato,$A864))*2,0)/2)))</f>
        <v/>
      </c>
      <c r="X864">
        <f>IF(OR(X$4="",$A864&gt;TODAY()),0,IF(OR(INDEX($B864:$D864,X$5)="F",AND(X$6&gt;0,$A864&lt;X$6),AND(X$7&gt;0,$A864&gt;X$7)),0,MAX(0,ROUND((INDEX($E864:$G864,X$5)-SUMIFS(TF_Timer,TF_Tekniker,X$4,TF_Dato,$A864))*2,0)/2)))</f>
        <v/>
      </c>
      <c r="Y864">
        <f>IF(OR(Y$4="",$A864&gt;TODAY()),0,IF(OR(INDEX($B864:$D864,Y$5)="F",AND(Y$6&gt;0,$A864&lt;Y$6),AND(Y$7&gt;0,$A864&gt;Y$7)),0,MAX(0,ROUND((INDEX($E864:$G864,Y$5)-SUMIFS(TF_Timer,TF_Tekniker,Y$4,TF_Dato,$A864))*2,0)/2)))</f>
        <v/>
      </c>
      <c r="Z864">
        <f>IF(OR(Z$4="",$A864&gt;TODAY()),0,IF(OR(INDEX($B864:$D864,Z$5)="F",AND(Z$6&gt;0,$A864&lt;Z$6),AND(Z$7&gt;0,$A864&gt;Z$7)),0,MAX(0,ROUND((INDEX($E864:$G864,Z$5)-SUMIFS(TF_Timer,TF_Tekniker,Z$4,TF_Dato,$A864))*2,0)/2)))</f>
        <v/>
      </c>
      <c r="AA864">
        <f>IF(OR(AA$4="",$A864&gt;TODAY()),0,IF(OR(INDEX($B864:$D864,AA$5)="F",AND(AA$6&gt;0,$A864&lt;AA$6),AND(AA$7&gt;0,$A864&gt;AA$7)),0,MAX(0,ROUND((INDEX($E864:$G864,AA$5)-SUMIFS(TF_Timer,TF_Tekniker,AA$4,TF_Dato,$A864))*2,0)/2)))</f>
        <v/>
      </c>
      <c r="AB864">
        <f>IF(OR(AB$4="",$A864&gt;TODAY()),0,IF(OR(INDEX($B864:$D864,AB$5)="F",AND(AB$6&gt;0,$A864&lt;AB$6),AND(AB$7&gt;0,$A864&gt;AB$7)),0,MAX(0,ROUND((INDEX($E864:$G864,AB$5)-SUMIFS(TF_Timer,TF_Tekniker,AB$4,TF_Dato,$A864))*2,0)/2)))</f>
        <v/>
      </c>
      <c r="AC864">
        <f>IF(OR(AC$4="",$A864&gt;TODAY()),0,IF(OR(INDEX($B864:$D864,AC$5)="F",AND(AC$6&gt;0,$A864&lt;AC$6),AND(AC$7&gt;0,$A864&gt;AC$7)),0,MAX(0,ROUND((INDEX($E864:$G864,AC$5)-SUMIFS(TF_Timer,TF_Tekniker,AC$4,TF_Dato,$A864))*2,0)/2)))</f>
        <v/>
      </c>
      <c r="AD864">
        <f>IF(OR(AD$4="",$A864&gt;TODAY()),0,IF(OR(INDEX($B864:$D864,AD$5)="F",AND(AD$6&gt;0,$A864&lt;AD$6),AND(AD$7&gt;0,$A864&gt;AD$7)),0,MAX(0,ROUND((INDEX($E864:$G864,AD$5)-SUMIFS(TF_Timer,TF_Tekniker,AD$4,TF_Dato,$A864))*2,0)/2)))</f>
        <v/>
      </c>
      <c r="AE864">
        <f>IF(OR(AE$4="",$A864&gt;TODAY()),0,IF(OR(INDEX($B864:$D864,AE$5)="F",AND(AE$6&gt;0,$A864&lt;AE$6),AND(AE$7&gt;0,$A864&gt;AE$7)),0,MAX(0,ROUND((INDEX($E864:$G864,AE$5)-SUMIFS(TF_Timer,TF_Tekniker,AE$4,TF_Dato,$A864))*2,0)/2)))</f>
        <v/>
      </c>
      <c r="AF864">
        <f>IF(OR(AF$4="",$A864&gt;TODAY()),0,IF(OR(INDEX($B864:$D864,AF$5)="F",AND(AF$6&gt;0,$A864&lt;AF$6),AND(AF$7&gt;0,$A864&gt;AF$7)),0,MAX(0,ROUND((INDEX($E864:$G864,AF$5)-SUMIFS(TF_Timer,TF_Tekniker,AF$4,TF_Dato,$A864))*2,0)/2)))</f>
        <v/>
      </c>
      <c r="AG864">
        <f>IF(OR(AG$4="",$A864&gt;TODAY()),0,IF(OR(INDEX($B864:$D864,AG$5)="F",AND(AG$6&gt;0,$A864&lt;AG$6),AND(AG$7&gt;0,$A864&gt;AG$7)),0,MAX(0,ROUND((INDEX($E864:$G864,AG$5)-SUMIFS(TF_Timer,TF_Tekniker,AG$4,TF_Dato,$A864))*2,0)/2)))</f>
        <v/>
      </c>
      <c r="AH864">
        <f>IF(OR(AH$4="",$A864&gt;TODAY()),0,IF(OR(INDEX($B864:$D864,AH$5)="F",AND(AH$6&gt;0,$A864&lt;AH$6),AND(AH$7&gt;0,$A864&gt;AH$7)),0,MAX(0,ROUND((INDEX($E864:$G864,AH$5)-SUMIFS(TF_Timer,TF_Tekniker,AH$4,TF_Dato,$A864))*2,0)/2)))</f>
        <v/>
      </c>
      <c r="AI864">
        <f>IF(OR(AI$4="",$A864&gt;TODAY()),0,IF(OR(INDEX($B864:$D864,AI$5)="F",AND(AI$6&gt;0,$A864&lt;AI$6),AND(AI$7&gt;0,$A864&gt;AI$7)),0,MAX(0,ROUND((INDEX($E864:$G864,AI$5)-SUMIFS(TF_Timer,TF_Tekniker,AI$4,TF_Dato,$A864))*2,0)/2)))</f>
        <v/>
      </c>
      <c r="AJ864">
        <f>IF(OR(AJ$4="",$A864&gt;TODAY()),0,IF(OR(INDEX($B864:$D864,AJ$5)="F",AND(AJ$6&gt;0,$A864&lt;AJ$6),AND(AJ$7&gt;0,$A864&gt;AJ$7)),0,MAX(0,ROUND((INDEX($E864:$G864,AJ$5)-SUMIFS(TF_Timer,TF_Tekniker,AJ$4,TF_Dato,$A864))*2,0)/2)))</f>
        <v/>
      </c>
      <c r="AK864">
        <f>IF(OR(AK$4="",$A864&gt;TODAY()),0,IF(OR(INDEX($B864:$D864,AK$5)="F",AND(AK$6&gt;0,$A864&lt;AK$6),AND(AK$7&gt;0,$A864&gt;AK$7)),0,MAX(0,ROUND((INDEX($E864:$G864,AK$5)-SUMIFS(TF_Timer,TF_Tekniker,AK$4,TF_Dato,$A864))*2,0)/2)))</f>
        <v/>
      </c>
      <c r="AL864">
        <f>IF(OR(AL$4="",$A864&gt;TODAY()),0,IF(OR(INDEX($B864:$D864,AL$5)="F",AND(AL$6&gt;0,$A864&lt;AL$6),AND(AL$7&gt;0,$A864&gt;AL$7)),0,MAX(0,ROUND((INDEX($E864:$G864,AL$5)-SUMIFS(TF_Timer,TF_Tekniker,AL$4,TF_Dato,$A864))*2,0)/2)))</f>
        <v/>
      </c>
      <c r="AM864">
        <f>IF(OR(AM$4="",$A864&gt;TODAY()),0,IF(OR(INDEX($B864:$D864,AM$5)="F",AND(AM$6&gt;0,$A864&lt;AM$6),AND(AM$7&gt;0,$A864&gt;AM$7)),0,MAX(0,ROUND((INDEX($E864:$G864,AM$5)-SUMIFS(TF_Timer,TF_Tekniker,AM$4,TF_Dato,$A864))*2,0)/2)))</f>
        <v/>
      </c>
      <c r="AN864">
        <f>IF(OR(AN$4="",$A864&gt;TODAY()),0,IF(OR(INDEX($B864:$D864,AN$5)="F",AND(AN$6&gt;0,$A864&lt;AN$6),AND(AN$7&gt;0,$A864&gt;AN$7)),0,MAX(0,ROUND((INDEX($E864:$G864,AN$5)-SUMIFS(TF_Timer,TF_Tekniker,AN$4,TF_Dato,$A864))*2,0)/2)))</f>
        <v/>
      </c>
      <c r="AO864">
        <f>IF(OR(AO$4="",$A864&gt;TODAY()),0,IF(OR(INDEX($B864:$D864,AO$5)="F",AND(AO$6&gt;0,$A864&lt;AO$6),AND(AO$7&gt;0,$A864&gt;AO$7)),0,MAX(0,ROUND((INDEX($E864:$G864,AO$5)-SUMIFS(TF_Timer,TF_Tekniker,AO$4,TF_Dato,$A864))*2,0)/2)))</f>
        <v/>
      </c>
      <c r="AP864">
        <f>IF(OR(AP$4="",$A864&gt;TODAY()),0,IF(OR(INDEX($B864:$D864,AP$5)="F",AND(AP$6&gt;0,$A864&lt;AP$6),AND(AP$7&gt;0,$A864&gt;AP$7)),0,MAX(0,ROUND((INDEX($E864:$G864,AP$5)-SUMIFS(TF_Timer,TF_Tekniker,AP$4,TF_Dato,$A864))*2,0)/2)))</f>
        <v/>
      </c>
      <c r="AQ864">
        <f>IF(OR(AQ$4="",$A864&gt;TODAY()),0,IF(OR(INDEX($B864:$D864,AQ$5)="F",AND(AQ$6&gt;0,$A864&lt;AQ$6),AND(AQ$7&gt;0,$A864&gt;AQ$7)),0,MAX(0,ROUND((INDEX($E864:$G864,AQ$5)-SUMIFS(TF_Timer,TF_Tekniker,AQ$4,TF_Dato,$A864))*2,0)/2)))</f>
        <v/>
      </c>
      <c r="AR864">
        <f>IF(OR(AR$4="",$A864&gt;TODAY()),0,IF(OR(INDEX($B864:$D864,AR$5)="F",AND(AR$6&gt;0,$A864&lt;AR$6),AND(AR$7&gt;0,$A864&gt;AR$7)),0,MAX(0,ROUND((INDEX($E864:$G864,AR$5)-SUMIFS(TF_Timer,TF_Tekniker,AR$4,TF_Dato,$A864))*2,0)/2)))</f>
        <v/>
      </c>
      <c r="AS864">
        <f>IF(OR(AS$4="",$A864&gt;TODAY()),0,IF(OR(INDEX($B864:$D864,AS$5)="F",AND(AS$6&gt;0,$A864&lt;AS$6),AND(AS$7&gt;0,$A864&gt;AS$7)),0,MAX(0,ROUND((INDEX($E864:$G864,AS$5)-SUMIFS(TF_Timer,TF_Tekniker,AS$4,TF_Dato,$A864))*2,0)/2)))</f>
        <v/>
      </c>
      <c r="AT864">
        <f>IF(OR(AT$4="",$A864&gt;TODAY()),0,IF(OR(INDEX($B864:$D864,AT$5)="F",AND(AT$6&gt;0,$A864&lt;AT$6),AND(AT$7&gt;0,$A864&gt;AT$7)),0,MAX(0,ROUND((INDEX($E864:$G864,AT$5)-SUMIFS(TF_Timer,TF_Tekniker,AT$4,TF_Dato,$A864))*2,0)/2)))</f>
        <v/>
      </c>
      <c r="AU864">
        <f>IF(OR(AU$4="",$A864&gt;TODAY()),0,IF(OR(INDEX($B864:$D864,AU$5)="F",AND(AU$6&gt;0,$A864&lt;AU$6),AND(AU$7&gt;0,$A864&gt;AU$7)),0,MAX(0,ROUND((INDEX($E864:$G864,AU$5)-SUMIFS(TF_Timer,TF_Tekniker,AU$4,TF_Dato,$A864))*2,0)/2)))</f>
        <v/>
      </c>
      <c r="AV864">
        <f>IF(OR(AV$4="",$A864&gt;TODAY()),0,IF(OR(INDEX($B864:$D864,AV$5)="F",AND(AV$6&gt;0,$A864&lt;AV$6),AND(AV$7&gt;0,$A864&gt;AV$7)),0,MAX(0,ROUND((INDEX($E864:$G864,AV$5)-SUMIFS(TF_Timer,TF_Tekniker,AV$4,TF_Dato,$A864))*2,0)/2)))</f>
        <v/>
      </c>
      <c r="AW864">
        <f>IF(OR(AW$4="",$A864&gt;TODAY()),0,IF(OR(INDEX($B864:$D864,AW$5)="F",AND(AW$6&gt;0,$A864&lt;AW$6),AND(AW$7&gt;0,$A864&gt;AW$7)),0,MAX(0,ROUND((INDEX($E864:$G864,AW$5)-SUMIFS(TF_Timer,TF_Tekniker,AW$4,TF_Dato,$A864))*2,0)/2)))</f>
        <v/>
      </c>
      <c r="AX864">
        <f>IF(OR(AX$4="",$A864&gt;TODAY()),0,IF(OR(INDEX($B864:$D864,AX$5)="F",AND(AX$6&gt;0,$A864&lt;AX$6),AND(AX$7&gt;0,$A864&gt;AX$7)),0,MAX(0,ROUND((INDEX($E864:$G864,AX$5)-SUMIFS(TF_Timer,TF_Tekniker,AX$4,TF_Dato,$A864))*2,0)/2)))</f>
        <v/>
      </c>
      <c r="AY864">
        <f>IF(OR(AY$4="",$A864&gt;TODAY()),0,IF(OR(INDEX($B864:$D864,AY$5)="F",AND(AY$6&gt;0,$A864&lt;AY$6),AND(AY$7&gt;0,$A864&gt;AY$7)),0,MAX(0,ROUND((INDEX($E864:$G864,AY$5)-SUMIFS(TF_Timer,TF_Tekniker,AY$4,TF_Dato,$A864))*2,0)/2)))</f>
        <v/>
      </c>
      <c r="AZ864">
        <f>IF(OR(AZ$4="",$A864&gt;TODAY()),0,IF(OR(INDEX($B864:$D864,AZ$5)="F",AND(AZ$6&gt;0,$A864&lt;AZ$6),AND(AZ$7&gt;0,$A864&gt;AZ$7)),0,MAX(0,ROUND((INDEX($E864:$G864,AZ$5)-SUMIFS(TF_Timer,TF_Tekniker,AZ$4,TF_Dato,$A864))*2,0)/2)))</f>
        <v/>
      </c>
      <c r="BA864">
        <f>IF(OR(BA$4="",$A864&gt;TODAY()),0,IF(OR(INDEX($B864:$D864,BA$5)="F",AND(BA$6&gt;0,$A864&lt;BA$6),AND(BA$7&gt;0,$A864&gt;BA$7)),0,MAX(0,ROUND((INDEX($E864:$G864,BA$5)-SUMIFS(TF_Timer,TF_Tekniker,BA$4,TF_Dato,$A864))*2,0)/2)))</f>
        <v/>
      </c>
      <c r="BB864">
        <f>IF(OR(BB$4="",$A864&gt;TODAY()),0,IF(OR(INDEX($B864:$D864,BB$5)="F",AND(BB$6&gt;0,$A864&lt;BB$6),AND(BB$7&gt;0,$A864&gt;BB$7)),0,MAX(0,ROUND((INDEX($E864:$G864,BB$5)-SUMIFS(TF_Timer,TF_Tekniker,BB$4,TF_Dato,$A864))*2,0)/2)))</f>
        <v/>
      </c>
      <c r="BC864">
        <f>IF(OR(BC$4="",$A864&gt;TODAY()),0,IF(OR(INDEX($B864:$D864,BC$5)="F",AND(BC$6&gt;0,$A864&lt;BC$6),AND(BC$7&gt;0,$A864&gt;BC$7)),0,MAX(0,ROUND((INDEX($E864:$G864,BC$5)-SUMIFS(TF_Timer,TF_Tekniker,BC$4,TF_Dato,$A864))*2,0)/2)))</f>
        <v/>
      </c>
      <c r="BD864">
        <f>IF(OR(BD$4="",$A864&gt;TODAY()),0,IF(OR(INDEX($B864:$D864,BD$5)="F",AND(BD$6&gt;0,$A864&lt;BD$6),AND(BD$7&gt;0,$A864&gt;BD$7)),0,MAX(0,ROUND((INDEX($E864:$G864,BD$5)-SUMIFS(TF_Timer,TF_Tekniker,BD$4,TF_Dato,$A864))*2,0)/2)))</f>
        <v/>
      </c>
      <c r="BE864">
        <f>IF(OR(BE$4="",$A864&gt;TODAY()),0,IF(OR(INDEX($B864:$D864,BE$5)="F",AND(BE$6&gt;0,$A864&lt;BE$6),AND(BE$7&gt;0,$A864&gt;BE$7)),0,MAX(0,ROUND((INDEX($E864:$G864,BE$5)-SUMIFS(TF_Timer,TF_Tekniker,BE$4,TF_Dato,$A864))*2,0)/2)))</f>
        <v/>
      </c>
      <c r="BF864">
        <f>IF(OR(BF$4="",$A864&gt;TODAY()),0,IF(OR(INDEX($B864:$D864,BF$5)="F",AND(BF$6&gt;0,$A864&lt;BF$6),AND(BF$7&gt;0,$A864&gt;BF$7)),0,MAX(0,ROUND((INDEX($E864:$G864,BF$5)-SUMIFS(TF_Timer,TF_Tekniker,BF$4,TF_Dato,$A864))*2,0)/2)))</f>
        <v/>
      </c>
      <c r="BG864">
        <f>IF(OR(BG$4="",$A864&gt;TODAY()),0,IF(OR(INDEX($B864:$D864,BG$5)="F",AND(BG$6&gt;0,$A864&lt;BG$6),AND(BG$7&gt;0,$A864&gt;BG$7)),0,MAX(0,ROUND((INDEX($E864:$G864,BG$5)-SUMIFS(TF_Timer,TF_Tekniker,BG$4,TF_Dato,$A864))*2,0)/2)))</f>
        <v/>
      </c>
      <c r="BH864">
        <f>IF(OR(BH$4="",$A864&gt;TODAY()),0,IF(OR(INDEX($B864:$D864,BH$5)="F",AND(BH$6&gt;0,$A864&lt;BH$6),AND(BH$7&gt;0,$A864&gt;BH$7)),0,MAX(0,ROUND((INDEX($E864:$G864,BH$5)-SUMIFS(TF_Timer,TF_Tekniker,BH$4,TF_Dato,$A864))*2,0)/2)))</f>
        <v/>
      </c>
      <c r="BI864">
        <f>IF(OR(BI$4="",$A864&gt;TODAY()),0,IF(OR(INDEX($B864:$D864,BI$5)="F",AND(BI$6&gt;0,$A864&lt;BI$6),AND(BI$7&gt;0,$A864&gt;BI$7)),0,MAX(0,ROUND((INDEX($E864:$G864,BI$5)-SUMIFS(TF_Timer,TF_Tekniker,BI$4,TF_Dato,$A864))*2,0)/2)))</f>
        <v/>
      </c>
    </row>
    <row r="865">
      <c r="A865" s="64">
        <f>A864+1</f>
        <v/>
      </c>
      <c r="B865">
        <f>IF(MOD($A865-INDEX(SkiftStart,1),Syklus)&lt;DagK,"K",IF(MOD($A865-INDEX(SkiftStart,1),Syklus)&lt;DagK+DagH,"H",IF(MOD($A865-INDEX(SkiftStart,1),Syklus)&lt;DagK+DagH+DagD,"D","F")))</f>
        <v/>
      </c>
      <c r="C865">
        <f>IF(MOD($A865-INDEX(SkiftStart,2),Syklus)&lt;DagK,"K",IF(MOD($A865-INDEX(SkiftStart,2),Syklus)&lt;DagK+DagH,"H",IF(MOD($A865-INDEX(SkiftStart,2),Syklus)&lt;DagK+DagH+DagD,"D","F")))</f>
        <v/>
      </c>
      <c r="D865">
        <f>IF(MOD($A865-INDEX(SkiftStart,3),Syklus)&lt;DagK,"K",IF(MOD($A865-INDEX(SkiftStart,3),Syklus)&lt;DagK+DagH,"H",IF(MOD($A865-INDEX(SkiftStart,3),Syklus)&lt;DagK+DagH+DagD,"D","F")))</f>
        <v/>
      </c>
      <c r="E865">
        <f>IF(B865="F",0,IF(WEEKDAY($A865,2)=5,INDEX(TimerFr,MATCH(B865,FaseKode,0)),INDEX(TimerMT,MATCH(B865,FaseKode,0))))</f>
        <v/>
      </c>
      <c r="F865">
        <f>IF(C865="F",0,IF(WEEKDAY($A865,2)=5,INDEX(TimerFr,MATCH(C865,FaseKode,0)),INDEX(TimerMT,MATCH(C865,FaseKode,0))))</f>
        <v/>
      </c>
      <c r="G865">
        <f>IF(D865="F",0,IF(WEEKDAY($A865,2)=5,INDEX(TimerFr,MATCH(D865,FaseKode,0)),INDEX(TimerMT,MATCH(D865,FaseKode,0))))</f>
        <v/>
      </c>
      <c r="H865">
        <f>IF(OR(H$4="",$A865&gt;TODAY()),0,IF(OR(INDEX($B865:$D865,H$5)="F",AND(H$6&gt;0,$A865&lt;H$6),AND(H$7&gt;0,$A865&gt;H$7)),0,MAX(0,ROUND((INDEX($E865:$G865,H$5)-SUMIFS(TF_Timer,TF_Tekniker,H$4,TF_Dato,$A865))*2,0)/2)))</f>
        <v/>
      </c>
      <c r="I865">
        <f>IF(OR(I$4="",$A865&gt;TODAY()),0,IF(OR(INDEX($B865:$D865,I$5)="F",AND(I$6&gt;0,$A865&lt;I$6),AND(I$7&gt;0,$A865&gt;I$7)),0,MAX(0,ROUND((INDEX($E865:$G865,I$5)-SUMIFS(TF_Timer,TF_Tekniker,I$4,TF_Dato,$A865))*2,0)/2)))</f>
        <v/>
      </c>
      <c r="J865">
        <f>IF(OR(J$4="",$A865&gt;TODAY()),0,IF(OR(INDEX($B865:$D865,J$5)="F",AND(J$6&gt;0,$A865&lt;J$6),AND(J$7&gt;0,$A865&gt;J$7)),0,MAX(0,ROUND((INDEX($E865:$G865,J$5)-SUMIFS(TF_Timer,TF_Tekniker,J$4,TF_Dato,$A865))*2,0)/2)))</f>
        <v/>
      </c>
      <c r="K865">
        <f>IF(OR(K$4="",$A865&gt;TODAY()),0,IF(OR(INDEX($B865:$D865,K$5)="F",AND(K$6&gt;0,$A865&lt;K$6),AND(K$7&gt;0,$A865&gt;K$7)),0,MAX(0,ROUND((INDEX($E865:$G865,K$5)-SUMIFS(TF_Timer,TF_Tekniker,K$4,TF_Dato,$A865))*2,0)/2)))</f>
        <v/>
      </c>
      <c r="L865">
        <f>IF(OR(L$4="",$A865&gt;TODAY()),0,IF(OR(INDEX($B865:$D865,L$5)="F",AND(L$6&gt;0,$A865&lt;L$6),AND(L$7&gt;0,$A865&gt;L$7)),0,MAX(0,ROUND((INDEX($E865:$G865,L$5)-SUMIFS(TF_Timer,TF_Tekniker,L$4,TF_Dato,$A865))*2,0)/2)))</f>
        <v/>
      </c>
      <c r="M865">
        <f>IF(OR(M$4="",$A865&gt;TODAY()),0,IF(OR(INDEX($B865:$D865,M$5)="F",AND(M$6&gt;0,$A865&lt;M$6),AND(M$7&gt;0,$A865&gt;M$7)),0,MAX(0,ROUND((INDEX($E865:$G865,M$5)-SUMIFS(TF_Timer,TF_Tekniker,M$4,TF_Dato,$A865))*2,0)/2)))</f>
        <v/>
      </c>
      <c r="N865">
        <f>IF(OR(N$4="",$A865&gt;TODAY()),0,IF(OR(INDEX($B865:$D865,N$5)="F",AND(N$6&gt;0,$A865&lt;N$6),AND(N$7&gt;0,$A865&gt;N$7)),0,MAX(0,ROUND((INDEX($E865:$G865,N$5)-SUMIFS(TF_Timer,TF_Tekniker,N$4,TF_Dato,$A865))*2,0)/2)))</f>
        <v/>
      </c>
      <c r="O865">
        <f>IF(OR(O$4="",$A865&gt;TODAY()),0,IF(OR(INDEX($B865:$D865,O$5)="F",AND(O$6&gt;0,$A865&lt;O$6),AND(O$7&gt;0,$A865&gt;O$7)),0,MAX(0,ROUND((INDEX($E865:$G865,O$5)-SUMIFS(TF_Timer,TF_Tekniker,O$4,TF_Dato,$A865))*2,0)/2)))</f>
        <v/>
      </c>
      <c r="P865">
        <f>IF(OR(P$4="",$A865&gt;TODAY()),0,IF(OR(INDEX($B865:$D865,P$5)="F",AND(P$6&gt;0,$A865&lt;P$6),AND(P$7&gt;0,$A865&gt;P$7)),0,MAX(0,ROUND((INDEX($E865:$G865,P$5)-SUMIFS(TF_Timer,TF_Tekniker,P$4,TF_Dato,$A865))*2,0)/2)))</f>
        <v/>
      </c>
      <c r="Q865">
        <f>IF(OR(Q$4="",$A865&gt;TODAY()),0,IF(OR(INDEX($B865:$D865,Q$5)="F",AND(Q$6&gt;0,$A865&lt;Q$6),AND(Q$7&gt;0,$A865&gt;Q$7)),0,MAX(0,ROUND((INDEX($E865:$G865,Q$5)-SUMIFS(TF_Timer,TF_Tekniker,Q$4,TF_Dato,$A865))*2,0)/2)))</f>
        <v/>
      </c>
      <c r="R865">
        <f>IF(OR(R$4="",$A865&gt;TODAY()),0,IF(OR(INDEX($B865:$D865,R$5)="F",AND(R$6&gt;0,$A865&lt;R$6),AND(R$7&gt;0,$A865&gt;R$7)),0,MAX(0,ROUND((INDEX($E865:$G865,R$5)-SUMIFS(TF_Timer,TF_Tekniker,R$4,TF_Dato,$A865))*2,0)/2)))</f>
        <v/>
      </c>
      <c r="S865">
        <f>IF(OR(S$4="",$A865&gt;TODAY()),0,IF(OR(INDEX($B865:$D865,S$5)="F",AND(S$6&gt;0,$A865&lt;S$6),AND(S$7&gt;0,$A865&gt;S$7)),0,MAX(0,ROUND((INDEX($E865:$G865,S$5)-SUMIFS(TF_Timer,TF_Tekniker,S$4,TF_Dato,$A865))*2,0)/2)))</f>
        <v/>
      </c>
      <c r="T865">
        <f>IF(OR(T$4="",$A865&gt;TODAY()),0,IF(OR(INDEX($B865:$D865,T$5)="F",AND(T$6&gt;0,$A865&lt;T$6),AND(T$7&gt;0,$A865&gt;T$7)),0,MAX(0,ROUND((INDEX($E865:$G865,T$5)-SUMIFS(TF_Timer,TF_Tekniker,T$4,TF_Dato,$A865))*2,0)/2)))</f>
        <v/>
      </c>
      <c r="U865">
        <f>IF(OR(U$4="",$A865&gt;TODAY()),0,IF(OR(INDEX($B865:$D865,U$5)="F",AND(U$6&gt;0,$A865&lt;U$6),AND(U$7&gt;0,$A865&gt;U$7)),0,MAX(0,ROUND((INDEX($E865:$G865,U$5)-SUMIFS(TF_Timer,TF_Tekniker,U$4,TF_Dato,$A865))*2,0)/2)))</f>
        <v/>
      </c>
      <c r="V865">
        <f>IF(OR(V$4="",$A865&gt;TODAY()),0,IF(OR(INDEX($B865:$D865,V$5)="F",AND(V$6&gt;0,$A865&lt;V$6),AND(V$7&gt;0,$A865&gt;V$7)),0,MAX(0,ROUND((INDEX($E865:$G865,V$5)-SUMIFS(TF_Timer,TF_Tekniker,V$4,TF_Dato,$A865))*2,0)/2)))</f>
        <v/>
      </c>
      <c r="W865">
        <f>IF(OR(W$4="",$A865&gt;TODAY()),0,IF(OR(INDEX($B865:$D865,W$5)="F",AND(W$6&gt;0,$A865&lt;W$6),AND(W$7&gt;0,$A865&gt;W$7)),0,MAX(0,ROUND((INDEX($E865:$G865,W$5)-SUMIFS(TF_Timer,TF_Tekniker,W$4,TF_Dato,$A865))*2,0)/2)))</f>
        <v/>
      </c>
      <c r="X865">
        <f>IF(OR(X$4="",$A865&gt;TODAY()),0,IF(OR(INDEX($B865:$D865,X$5)="F",AND(X$6&gt;0,$A865&lt;X$6),AND(X$7&gt;0,$A865&gt;X$7)),0,MAX(0,ROUND((INDEX($E865:$G865,X$5)-SUMIFS(TF_Timer,TF_Tekniker,X$4,TF_Dato,$A865))*2,0)/2)))</f>
        <v/>
      </c>
      <c r="Y865">
        <f>IF(OR(Y$4="",$A865&gt;TODAY()),0,IF(OR(INDEX($B865:$D865,Y$5)="F",AND(Y$6&gt;0,$A865&lt;Y$6),AND(Y$7&gt;0,$A865&gt;Y$7)),0,MAX(0,ROUND((INDEX($E865:$G865,Y$5)-SUMIFS(TF_Timer,TF_Tekniker,Y$4,TF_Dato,$A865))*2,0)/2)))</f>
        <v/>
      </c>
      <c r="Z865">
        <f>IF(OR(Z$4="",$A865&gt;TODAY()),0,IF(OR(INDEX($B865:$D865,Z$5)="F",AND(Z$6&gt;0,$A865&lt;Z$6),AND(Z$7&gt;0,$A865&gt;Z$7)),0,MAX(0,ROUND((INDEX($E865:$G865,Z$5)-SUMIFS(TF_Timer,TF_Tekniker,Z$4,TF_Dato,$A865))*2,0)/2)))</f>
        <v/>
      </c>
      <c r="AA865">
        <f>IF(OR(AA$4="",$A865&gt;TODAY()),0,IF(OR(INDEX($B865:$D865,AA$5)="F",AND(AA$6&gt;0,$A865&lt;AA$6),AND(AA$7&gt;0,$A865&gt;AA$7)),0,MAX(0,ROUND((INDEX($E865:$G865,AA$5)-SUMIFS(TF_Timer,TF_Tekniker,AA$4,TF_Dato,$A865))*2,0)/2)))</f>
        <v/>
      </c>
      <c r="AB865">
        <f>IF(OR(AB$4="",$A865&gt;TODAY()),0,IF(OR(INDEX($B865:$D865,AB$5)="F",AND(AB$6&gt;0,$A865&lt;AB$6),AND(AB$7&gt;0,$A865&gt;AB$7)),0,MAX(0,ROUND((INDEX($E865:$G865,AB$5)-SUMIFS(TF_Timer,TF_Tekniker,AB$4,TF_Dato,$A865))*2,0)/2)))</f>
        <v/>
      </c>
      <c r="AC865">
        <f>IF(OR(AC$4="",$A865&gt;TODAY()),0,IF(OR(INDEX($B865:$D865,AC$5)="F",AND(AC$6&gt;0,$A865&lt;AC$6),AND(AC$7&gt;0,$A865&gt;AC$7)),0,MAX(0,ROUND((INDEX($E865:$G865,AC$5)-SUMIFS(TF_Timer,TF_Tekniker,AC$4,TF_Dato,$A865))*2,0)/2)))</f>
        <v/>
      </c>
      <c r="AD865">
        <f>IF(OR(AD$4="",$A865&gt;TODAY()),0,IF(OR(INDEX($B865:$D865,AD$5)="F",AND(AD$6&gt;0,$A865&lt;AD$6),AND(AD$7&gt;0,$A865&gt;AD$7)),0,MAX(0,ROUND((INDEX($E865:$G865,AD$5)-SUMIFS(TF_Timer,TF_Tekniker,AD$4,TF_Dato,$A865))*2,0)/2)))</f>
        <v/>
      </c>
      <c r="AE865">
        <f>IF(OR(AE$4="",$A865&gt;TODAY()),0,IF(OR(INDEX($B865:$D865,AE$5)="F",AND(AE$6&gt;0,$A865&lt;AE$6),AND(AE$7&gt;0,$A865&gt;AE$7)),0,MAX(0,ROUND((INDEX($E865:$G865,AE$5)-SUMIFS(TF_Timer,TF_Tekniker,AE$4,TF_Dato,$A865))*2,0)/2)))</f>
        <v/>
      </c>
      <c r="AF865">
        <f>IF(OR(AF$4="",$A865&gt;TODAY()),0,IF(OR(INDEX($B865:$D865,AF$5)="F",AND(AF$6&gt;0,$A865&lt;AF$6),AND(AF$7&gt;0,$A865&gt;AF$7)),0,MAX(0,ROUND((INDEX($E865:$G865,AF$5)-SUMIFS(TF_Timer,TF_Tekniker,AF$4,TF_Dato,$A865))*2,0)/2)))</f>
        <v/>
      </c>
      <c r="AG865">
        <f>IF(OR(AG$4="",$A865&gt;TODAY()),0,IF(OR(INDEX($B865:$D865,AG$5)="F",AND(AG$6&gt;0,$A865&lt;AG$6),AND(AG$7&gt;0,$A865&gt;AG$7)),0,MAX(0,ROUND((INDEX($E865:$G865,AG$5)-SUMIFS(TF_Timer,TF_Tekniker,AG$4,TF_Dato,$A865))*2,0)/2)))</f>
        <v/>
      </c>
      <c r="AH865">
        <f>IF(OR(AH$4="",$A865&gt;TODAY()),0,IF(OR(INDEX($B865:$D865,AH$5)="F",AND(AH$6&gt;0,$A865&lt;AH$6),AND(AH$7&gt;0,$A865&gt;AH$7)),0,MAX(0,ROUND((INDEX($E865:$G865,AH$5)-SUMIFS(TF_Timer,TF_Tekniker,AH$4,TF_Dato,$A865))*2,0)/2)))</f>
        <v/>
      </c>
      <c r="AI865">
        <f>IF(OR(AI$4="",$A865&gt;TODAY()),0,IF(OR(INDEX($B865:$D865,AI$5)="F",AND(AI$6&gt;0,$A865&lt;AI$6),AND(AI$7&gt;0,$A865&gt;AI$7)),0,MAX(0,ROUND((INDEX($E865:$G865,AI$5)-SUMIFS(TF_Timer,TF_Tekniker,AI$4,TF_Dato,$A865))*2,0)/2)))</f>
        <v/>
      </c>
      <c r="AJ865">
        <f>IF(OR(AJ$4="",$A865&gt;TODAY()),0,IF(OR(INDEX($B865:$D865,AJ$5)="F",AND(AJ$6&gt;0,$A865&lt;AJ$6),AND(AJ$7&gt;0,$A865&gt;AJ$7)),0,MAX(0,ROUND((INDEX($E865:$G865,AJ$5)-SUMIFS(TF_Timer,TF_Tekniker,AJ$4,TF_Dato,$A865))*2,0)/2)))</f>
        <v/>
      </c>
      <c r="AK865">
        <f>IF(OR(AK$4="",$A865&gt;TODAY()),0,IF(OR(INDEX($B865:$D865,AK$5)="F",AND(AK$6&gt;0,$A865&lt;AK$6),AND(AK$7&gt;0,$A865&gt;AK$7)),0,MAX(0,ROUND((INDEX($E865:$G865,AK$5)-SUMIFS(TF_Timer,TF_Tekniker,AK$4,TF_Dato,$A865))*2,0)/2)))</f>
        <v/>
      </c>
      <c r="AL865">
        <f>IF(OR(AL$4="",$A865&gt;TODAY()),0,IF(OR(INDEX($B865:$D865,AL$5)="F",AND(AL$6&gt;0,$A865&lt;AL$6),AND(AL$7&gt;0,$A865&gt;AL$7)),0,MAX(0,ROUND((INDEX($E865:$G865,AL$5)-SUMIFS(TF_Timer,TF_Tekniker,AL$4,TF_Dato,$A865))*2,0)/2)))</f>
        <v/>
      </c>
      <c r="AM865">
        <f>IF(OR(AM$4="",$A865&gt;TODAY()),0,IF(OR(INDEX($B865:$D865,AM$5)="F",AND(AM$6&gt;0,$A865&lt;AM$6),AND(AM$7&gt;0,$A865&gt;AM$7)),0,MAX(0,ROUND((INDEX($E865:$G865,AM$5)-SUMIFS(TF_Timer,TF_Tekniker,AM$4,TF_Dato,$A865))*2,0)/2)))</f>
        <v/>
      </c>
      <c r="AN865">
        <f>IF(OR(AN$4="",$A865&gt;TODAY()),0,IF(OR(INDEX($B865:$D865,AN$5)="F",AND(AN$6&gt;0,$A865&lt;AN$6),AND(AN$7&gt;0,$A865&gt;AN$7)),0,MAX(0,ROUND((INDEX($E865:$G865,AN$5)-SUMIFS(TF_Timer,TF_Tekniker,AN$4,TF_Dato,$A865))*2,0)/2)))</f>
        <v/>
      </c>
      <c r="AO865">
        <f>IF(OR(AO$4="",$A865&gt;TODAY()),0,IF(OR(INDEX($B865:$D865,AO$5)="F",AND(AO$6&gt;0,$A865&lt;AO$6),AND(AO$7&gt;0,$A865&gt;AO$7)),0,MAX(0,ROUND((INDEX($E865:$G865,AO$5)-SUMIFS(TF_Timer,TF_Tekniker,AO$4,TF_Dato,$A865))*2,0)/2)))</f>
        <v/>
      </c>
      <c r="AP865">
        <f>IF(OR(AP$4="",$A865&gt;TODAY()),0,IF(OR(INDEX($B865:$D865,AP$5)="F",AND(AP$6&gt;0,$A865&lt;AP$6),AND(AP$7&gt;0,$A865&gt;AP$7)),0,MAX(0,ROUND((INDEX($E865:$G865,AP$5)-SUMIFS(TF_Timer,TF_Tekniker,AP$4,TF_Dato,$A865))*2,0)/2)))</f>
        <v/>
      </c>
      <c r="AQ865">
        <f>IF(OR(AQ$4="",$A865&gt;TODAY()),0,IF(OR(INDEX($B865:$D865,AQ$5)="F",AND(AQ$6&gt;0,$A865&lt;AQ$6),AND(AQ$7&gt;0,$A865&gt;AQ$7)),0,MAX(0,ROUND((INDEX($E865:$G865,AQ$5)-SUMIFS(TF_Timer,TF_Tekniker,AQ$4,TF_Dato,$A865))*2,0)/2)))</f>
        <v/>
      </c>
      <c r="AR865">
        <f>IF(OR(AR$4="",$A865&gt;TODAY()),0,IF(OR(INDEX($B865:$D865,AR$5)="F",AND(AR$6&gt;0,$A865&lt;AR$6),AND(AR$7&gt;0,$A865&gt;AR$7)),0,MAX(0,ROUND((INDEX($E865:$G865,AR$5)-SUMIFS(TF_Timer,TF_Tekniker,AR$4,TF_Dato,$A865))*2,0)/2)))</f>
        <v/>
      </c>
      <c r="AS865">
        <f>IF(OR(AS$4="",$A865&gt;TODAY()),0,IF(OR(INDEX($B865:$D865,AS$5)="F",AND(AS$6&gt;0,$A865&lt;AS$6),AND(AS$7&gt;0,$A865&gt;AS$7)),0,MAX(0,ROUND((INDEX($E865:$G865,AS$5)-SUMIFS(TF_Timer,TF_Tekniker,AS$4,TF_Dato,$A865))*2,0)/2)))</f>
        <v/>
      </c>
      <c r="AT865">
        <f>IF(OR(AT$4="",$A865&gt;TODAY()),0,IF(OR(INDEX($B865:$D865,AT$5)="F",AND(AT$6&gt;0,$A865&lt;AT$6),AND(AT$7&gt;0,$A865&gt;AT$7)),0,MAX(0,ROUND((INDEX($E865:$G865,AT$5)-SUMIFS(TF_Timer,TF_Tekniker,AT$4,TF_Dato,$A865))*2,0)/2)))</f>
        <v/>
      </c>
      <c r="AU865">
        <f>IF(OR(AU$4="",$A865&gt;TODAY()),0,IF(OR(INDEX($B865:$D865,AU$5)="F",AND(AU$6&gt;0,$A865&lt;AU$6),AND(AU$7&gt;0,$A865&gt;AU$7)),0,MAX(0,ROUND((INDEX($E865:$G865,AU$5)-SUMIFS(TF_Timer,TF_Tekniker,AU$4,TF_Dato,$A865))*2,0)/2)))</f>
        <v/>
      </c>
      <c r="AV865">
        <f>IF(OR(AV$4="",$A865&gt;TODAY()),0,IF(OR(INDEX($B865:$D865,AV$5)="F",AND(AV$6&gt;0,$A865&lt;AV$6),AND(AV$7&gt;0,$A865&gt;AV$7)),0,MAX(0,ROUND((INDEX($E865:$G865,AV$5)-SUMIFS(TF_Timer,TF_Tekniker,AV$4,TF_Dato,$A865))*2,0)/2)))</f>
        <v/>
      </c>
      <c r="AW865">
        <f>IF(OR(AW$4="",$A865&gt;TODAY()),0,IF(OR(INDEX($B865:$D865,AW$5)="F",AND(AW$6&gt;0,$A865&lt;AW$6),AND(AW$7&gt;0,$A865&gt;AW$7)),0,MAX(0,ROUND((INDEX($E865:$G865,AW$5)-SUMIFS(TF_Timer,TF_Tekniker,AW$4,TF_Dato,$A865))*2,0)/2)))</f>
        <v/>
      </c>
      <c r="AX865">
        <f>IF(OR(AX$4="",$A865&gt;TODAY()),0,IF(OR(INDEX($B865:$D865,AX$5)="F",AND(AX$6&gt;0,$A865&lt;AX$6),AND(AX$7&gt;0,$A865&gt;AX$7)),0,MAX(0,ROUND((INDEX($E865:$G865,AX$5)-SUMIFS(TF_Timer,TF_Tekniker,AX$4,TF_Dato,$A865))*2,0)/2)))</f>
        <v/>
      </c>
      <c r="AY865">
        <f>IF(OR(AY$4="",$A865&gt;TODAY()),0,IF(OR(INDEX($B865:$D865,AY$5)="F",AND(AY$6&gt;0,$A865&lt;AY$6),AND(AY$7&gt;0,$A865&gt;AY$7)),0,MAX(0,ROUND((INDEX($E865:$G865,AY$5)-SUMIFS(TF_Timer,TF_Tekniker,AY$4,TF_Dato,$A865))*2,0)/2)))</f>
        <v/>
      </c>
      <c r="AZ865">
        <f>IF(OR(AZ$4="",$A865&gt;TODAY()),0,IF(OR(INDEX($B865:$D865,AZ$5)="F",AND(AZ$6&gt;0,$A865&lt;AZ$6),AND(AZ$7&gt;0,$A865&gt;AZ$7)),0,MAX(0,ROUND((INDEX($E865:$G865,AZ$5)-SUMIFS(TF_Timer,TF_Tekniker,AZ$4,TF_Dato,$A865))*2,0)/2)))</f>
        <v/>
      </c>
      <c r="BA865">
        <f>IF(OR(BA$4="",$A865&gt;TODAY()),0,IF(OR(INDEX($B865:$D865,BA$5)="F",AND(BA$6&gt;0,$A865&lt;BA$6),AND(BA$7&gt;0,$A865&gt;BA$7)),0,MAX(0,ROUND((INDEX($E865:$G865,BA$5)-SUMIFS(TF_Timer,TF_Tekniker,BA$4,TF_Dato,$A865))*2,0)/2)))</f>
        <v/>
      </c>
      <c r="BB865">
        <f>IF(OR(BB$4="",$A865&gt;TODAY()),0,IF(OR(INDEX($B865:$D865,BB$5)="F",AND(BB$6&gt;0,$A865&lt;BB$6),AND(BB$7&gt;0,$A865&gt;BB$7)),0,MAX(0,ROUND((INDEX($E865:$G865,BB$5)-SUMIFS(TF_Timer,TF_Tekniker,BB$4,TF_Dato,$A865))*2,0)/2)))</f>
        <v/>
      </c>
      <c r="BC865">
        <f>IF(OR(BC$4="",$A865&gt;TODAY()),0,IF(OR(INDEX($B865:$D865,BC$5)="F",AND(BC$6&gt;0,$A865&lt;BC$6),AND(BC$7&gt;0,$A865&gt;BC$7)),0,MAX(0,ROUND((INDEX($E865:$G865,BC$5)-SUMIFS(TF_Timer,TF_Tekniker,BC$4,TF_Dato,$A865))*2,0)/2)))</f>
        <v/>
      </c>
      <c r="BD865">
        <f>IF(OR(BD$4="",$A865&gt;TODAY()),0,IF(OR(INDEX($B865:$D865,BD$5)="F",AND(BD$6&gt;0,$A865&lt;BD$6),AND(BD$7&gt;0,$A865&gt;BD$7)),0,MAX(0,ROUND((INDEX($E865:$G865,BD$5)-SUMIFS(TF_Timer,TF_Tekniker,BD$4,TF_Dato,$A865))*2,0)/2)))</f>
        <v/>
      </c>
      <c r="BE865">
        <f>IF(OR(BE$4="",$A865&gt;TODAY()),0,IF(OR(INDEX($B865:$D865,BE$5)="F",AND(BE$6&gt;0,$A865&lt;BE$6),AND(BE$7&gt;0,$A865&gt;BE$7)),0,MAX(0,ROUND((INDEX($E865:$G865,BE$5)-SUMIFS(TF_Timer,TF_Tekniker,BE$4,TF_Dato,$A865))*2,0)/2)))</f>
        <v/>
      </c>
      <c r="BF865">
        <f>IF(OR(BF$4="",$A865&gt;TODAY()),0,IF(OR(INDEX($B865:$D865,BF$5)="F",AND(BF$6&gt;0,$A865&lt;BF$6),AND(BF$7&gt;0,$A865&gt;BF$7)),0,MAX(0,ROUND((INDEX($E865:$G865,BF$5)-SUMIFS(TF_Timer,TF_Tekniker,BF$4,TF_Dato,$A865))*2,0)/2)))</f>
        <v/>
      </c>
      <c r="BG865">
        <f>IF(OR(BG$4="",$A865&gt;TODAY()),0,IF(OR(INDEX($B865:$D865,BG$5)="F",AND(BG$6&gt;0,$A865&lt;BG$6),AND(BG$7&gt;0,$A865&gt;BG$7)),0,MAX(0,ROUND((INDEX($E865:$G865,BG$5)-SUMIFS(TF_Timer,TF_Tekniker,BG$4,TF_Dato,$A865))*2,0)/2)))</f>
        <v/>
      </c>
      <c r="BH865">
        <f>IF(OR(BH$4="",$A865&gt;TODAY()),0,IF(OR(INDEX($B865:$D865,BH$5)="F",AND(BH$6&gt;0,$A865&lt;BH$6),AND(BH$7&gt;0,$A865&gt;BH$7)),0,MAX(0,ROUND((INDEX($E865:$G865,BH$5)-SUMIFS(TF_Timer,TF_Tekniker,BH$4,TF_Dato,$A865))*2,0)/2)))</f>
        <v/>
      </c>
      <c r="BI865">
        <f>IF(OR(BI$4="",$A865&gt;TODAY()),0,IF(OR(INDEX($B865:$D865,BI$5)="F",AND(BI$6&gt;0,$A865&lt;BI$6),AND(BI$7&gt;0,$A865&gt;BI$7)),0,MAX(0,ROUND((INDEX($E865:$G865,BI$5)-SUMIFS(TF_Timer,TF_Tekniker,BI$4,TF_Dato,$A865))*2,0)/2)))</f>
        <v/>
      </c>
    </row>
    <row r="866">
      <c r="A866" s="64">
        <f>A865+1</f>
        <v/>
      </c>
      <c r="B866">
        <f>IF(MOD($A866-INDEX(SkiftStart,1),Syklus)&lt;DagK,"K",IF(MOD($A866-INDEX(SkiftStart,1),Syklus)&lt;DagK+DagH,"H",IF(MOD($A866-INDEX(SkiftStart,1),Syklus)&lt;DagK+DagH+DagD,"D","F")))</f>
        <v/>
      </c>
      <c r="C866">
        <f>IF(MOD($A866-INDEX(SkiftStart,2),Syklus)&lt;DagK,"K",IF(MOD($A866-INDEX(SkiftStart,2),Syklus)&lt;DagK+DagH,"H",IF(MOD($A866-INDEX(SkiftStart,2),Syklus)&lt;DagK+DagH+DagD,"D","F")))</f>
        <v/>
      </c>
      <c r="D866">
        <f>IF(MOD($A866-INDEX(SkiftStart,3),Syklus)&lt;DagK,"K",IF(MOD($A866-INDEX(SkiftStart,3),Syklus)&lt;DagK+DagH,"H",IF(MOD($A866-INDEX(SkiftStart,3),Syklus)&lt;DagK+DagH+DagD,"D","F")))</f>
        <v/>
      </c>
      <c r="E866">
        <f>IF(B866="F",0,IF(WEEKDAY($A866,2)=5,INDEX(TimerFr,MATCH(B866,FaseKode,0)),INDEX(TimerMT,MATCH(B866,FaseKode,0))))</f>
        <v/>
      </c>
      <c r="F866">
        <f>IF(C866="F",0,IF(WEEKDAY($A866,2)=5,INDEX(TimerFr,MATCH(C866,FaseKode,0)),INDEX(TimerMT,MATCH(C866,FaseKode,0))))</f>
        <v/>
      </c>
      <c r="G866">
        <f>IF(D866="F",0,IF(WEEKDAY($A866,2)=5,INDEX(TimerFr,MATCH(D866,FaseKode,0)),INDEX(TimerMT,MATCH(D866,FaseKode,0))))</f>
        <v/>
      </c>
      <c r="H866">
        <f>IF(OR(H$4="",$A866&gt;TODAY()),0,IF(OR(INDEX($B866:$D866,H$5)="F",AND(H$6&gt;0,$A866&lt;H$6),AND(H$7&gt;0,$A866&gt;H$7)),0,MAX(0,ROUND((INDEX($E866:$G866,H$5)-SUMIFS(TF_Timer,TF_Tekniker,H$4,TF_Dato,$A866))*2,0)/2)))</f>
        <v/>
      </c>
      <c r="I866">
        <f>IF(OR(I$4="",$A866&gt;TODAY()),0,IF(OR(INDEX($B866:$D866,I$5)="F",AND(I$6&gt;0,$A866&lt;I$6),AND(I$7&gt;0,$A866&gt;I$7)),0,MAX(0,ROUND((INDEX($E866:$G866,I$5)-SUMIFS(TF_Timer,TF_Tekniker,I$4,TF_Dato,$A866))*2,0)/2)))</f>
        <v/>
      </c>
      <c r="J866">
        <f>IF(OR(J$4="",$A866&gt;TODAY()),0,IF(OR(INDEX($B866:$D866,J$5)="F",AND(J$6&gt;0,$A866&lt;J$6),AND(J$7&gt;0,$A866&gt;J$7)),0,MAX(0,ROUND((INDEX($E866:$G866,J$5)-SUMIFS(TF_Timer,TF_Tekniker,J$4,TF_Dato,$A866))*2,0)/2)))</f>
        <v/>
      </c>
      <c r="K866">
        <f>IF(OR(K$4="",$A866&gt;TODAY()),0,IF(OR(INDEX($B866:$D866,K$5)="F",AND(K$6&gt;0,$A866&lt;K$6),AND(K$7&gt;0,$A866&gt;K$7)),0,MAX(0,ROUND((INDEX($E866:$G866,K$5)-SUMIFS(TF_Timer,TF_Tekniker,K$4,TF_Dato,$A866))*2,0)/2)))</f>
        <v/>
      </c>
      <c r="L866">
        <f>IF(OR(L$4="",$A866&gt;TODAY()),0,IF(OR(INDEX($B866:$D866,L$5)="F",AND(L$6&gt;0,$A866&lt;L$6),AND(L$7&gt;0,$A866&gt;L$7)),0,MAX(0,ROUND((INDEX($E866:$G866,L$5)-SUMIFS(TF_Timer,TF_Tekniker,L$4,TF_Dato,$A866))*2,0)/2)))</f>
        <v/>
      </c>
      <c r="M866">
        <f>IF(OR(M$4="",$A866&gt;TODAY()),0,IF(OR(INDEX($B866:$D866,M$5)="F",AND(M$6&gt;0,$A866&lt;M$6),AND(M$7&gt;0,$A866&gt;M$7)),0,MAX(0,ROUND((INDEX($E866:$G866,M$5)-SUMIFS(TF_Timer,TF_Tekniker,M$4,TF_Dato,$A866))*2,0)/2)))</f>
        <v/>
      </c>
      <c r="N866">
        <f>IF(OR(N$4="",$A866&gt;TODAY()),0,IF(OR(INDEX($B866:$D866,N$5)="F",AND(N$6&gt;0,$A866&lt;N$6),AND(N$7&gt;0,$A866&gt;N$7)),0,MAX(0,ROUND((INDEX($E866:$G866,N$5)-SUMIFS(TF_Timer,TF_Tekniker,N$4,TF_Dato,$A866))*2,0)/2)))</f>
        <v/>
      </c>
      <c r="O866">
        <f>IF(OR(O$4="",$A866&gt;TODAY()),0,IF(OR(INDEX($B866:$D866,O$5)="F",AND(O$6&gt;0,$A866&lt;O$6),AND(O$7&gt;0,$A866&gt;O$7)),0,MAX(0,ROUND((INDEX($E866:$G866,O$5)-SUMIFS(TF_Timer,TF_Tekniker,O$4,TF_Dato,$A866))*2,0)/2)))</f>
        <v/>
      </c>
      <c r="P866">
        <f>IF(OR(P$4="",$A866&gt;TODAY()),0,IF(OR(INDEX($B866:$D866,P$5)="F",AND(P$6&gt;0,$A866&lt;P$6),AND(P$7&gt;0,$A866&gt;P$7)),0,MAX(0,ROUND((INDEX($E866:$G866,P$5)-SUMIFS(TF_Timer,TF_Tekniker,P$4,TF_Dato,$A866))*2,0)/2)))</f>
        <v/>
      </c>
      <c r="Q866">
        <f>IF(OR(Q$4="",$A866&gt;TODAY()),0,IF(OR(INDEX($B866:$D866,Q$5)="F",AND(Q$6&gt;0,$A866&lt;Q$6),AND(Q$7&gt;0,$A866&gt;Q$7)),0,MAX(0,ROUND((INDEX($E866:$G866,Q$5)-SUMIFS(TF_Timer,TF_Tekniker,Q$4,TF_Dato,$A866))*2,0)/2)))</f>
        <v/>
      </c>
      <c r="R866">
        <f>IF(OR(R$4="",$A866&gt;TODAY()),0,IF(OR(INDEX($B866:$D866,R$5)="F",AND(R$6&gt;0,$A866&lt;R$6),AND(R$7&gt;0,$A866&gt;R$7)),0,MAX(0,ROUND((INDEX($E866:$G866,R$5)-SUMIFS(TF_Timer,TF_Tekniker,R$4,TF_Dato,$A866))*2,0)/2)))</f>
        <v/>
      </c>
      <c r="S866">
        <f>IF(OR(S$4="",$A866&gt;TODAY()),0,IF(OR(INDEX($B866:$D866,S$5)="F",AND(S$6&gt;0,$A866&lt;S$6),AND(S$7&gt;0,$A866&gt;S$7)),0,MAX(0,ROUND((INDEX($E866:$G866,S$5)-SUMIFS(TF_Timer,TF_Tekniker,S$4,TF_Dato,$A866))*2,0)/2)))</f>
        <v/>
      </c>
      <c r="T866">
        <f>IF(OR(T$4="",$A866&gt;TODAY()),0,IF(OR(INDEX($B866:$D866,T$5)="F",AND(T$6&gt;0,$A866&lt;T$6),AND(T$7&gt;0,$A866&gt;T$7)),0,MAX(0,ROUND((INDEX($E866:$G866,T$5)-SUMIFS(TF_Timer,TF_Tekniker,T$4,TF_Dato,$A866))*2,0)/2)))</f>
        <v/>
      </c>
      <c r="U866">
        <f>IF(OR(U$4="",$A866&gt;TODAY()),0,IF(OR(INDEX($B866:$D866,U$5)="F",AND(U$6&gt;0,$A866&lt;U$6),AND(U$7&gt;0,$A866&gt;U$7)),0,MAX(0,ROUND((INDEX($E866:$G866,U$5)-SUMIFS(TF_Timer,TF_Tekniker,U$4,TF_Dato,$A866))*2,0)/2)))</f>
        <v/>
      </c>
      <c r="V866">
        <f>IF(OR(V$4="",$A866&gt;TODAY()),0,IF(OR(INDEX($B866:$D866,V$5)="F",AND(V$6&gt;0,$A866&lt;V$6),AND(V$7&gt;0,$A866&gt;V$7)),0,MAX(0,ROUND((INDEX($E866:$G866,V$5)-SUMIFS(TF_Timer,TF_Tekniker,V$4,TF_Dato,$A866))*2,0)/2)))</f>
        <v/>
      </c>
      <c r="W866">
        <f>IF(OR(W$4="",$A866&gt;TODAY()),0,IF(OR(INDEX($B866:$D866,W$5)="F",AND(W$6&gt;0,$A866&lt;W$6),AND(W$7&gt;0,$A866&gt;W$7)),0,MAX(0,ROUND((INDEX($E866:$G866,W$5)-SUMIFS(TF_Timer,TF_Tekniker,W$4,TF_Dato,$A866))*2,0)/2)))</f>
        <v/>
      </c>
      <c r="X866">
        <f>IF(OR(X$4="",$A866&gt;TODAY()),0,IF(OR(INDEX($B866:$D866,X$5)="F",AND(X$6&gt;0,$A866&lt;X$6),AND(X$7&gt;0,$A866&gt;X$7)),0,MAX(0,ROUND((INDEX($E866:$G866,X$5)-SUMIFS(TF_Timer,TF_Tekniker,X$4,TF_Dato,$A866))*2,0)/2)))</f>
        <v/>
      </c>
      <c r="Y866">
        <f>IF(OR(Y$4="",$A866&gt;TODAY()),0,IF(OR(INDEX($B866:$D866,Y$5)="F",AND(Y$6&gt;0,$A866&lt;Y$6),AND(Y$7&gt;0,$A866&gt;Y$7)),0,MAX(0,ROUND((INDEX($E866:$G866,Y$5)-SUMIFS(TF_Timer,TF_Tekniker,Y$4,TF_Dato,$A866))*2,0)/2)))</f>
        <v/>
      </c>
      <c r="Z866">
        <f>IF(OR(Z$4="",$A866&gt;TODAY()),0,IF(OR(INDEX($B866:$D866,Z$5)="F",AND(Z$6&gt;0,$A866&lt;Z$6),AND(Z$7&gt;0,$A866&gt;Z$7)),0,MAX(0,ROUND((INDEX($E866:$G866,Z$5)-SUMIFS(TF_Timer,TF_Tekniker,Z$4,TF_Dato,$A866))*2,0)/2)))</f>
        <v/>
      </c>
      <c r="AA866">
        <f>IF(OR(AA$4="",$A866&gt;TODAY()),0,IF(OR(INDEX($B866:$D866,AA$5)="F",AND(AA$6&gt;0,$A866&lt;AA$6),AND(AA$7&gt;0,$A866&gt;AA$7)),0,MAX(0,ROUND((INDEX($E866:$G866,AA$5)-SUMIFS(TF_Timer,TF_Tekniker,AA$4,TF_Dato,$A866))*2,0)/2)))</f>
        <v/>
      </c>
      <c r="AB866">
        <f>IF(OR(AB$4="",$A866&gt;TODAY()),0,IF(OR(INDEX($B866:$D866,AB$5)="F",AND(AB$6&gt;0,$A866&lt;AB$6),AND(AB$7&gt;0,$A866&gt;AB$7)),0,MAX(0,ROUND((INDEX($E866:$G866,AB$5)-SUMIFS(TF_Timer,TF_Tekniker,AB$4,TF_Dato,$A866))*2,0)/2)))</f>
        <v/>
      </c>
      <c r="AC866">
        <f>IF(OR(AC$4="",$A866&gt;TODAY()),0,IF(OR(INDEX($B866:$D866,AC$5)="F",AND(AC$6&gt;0,$A866&lt;AC$6),AND(AC$7&gt;0,$A866&gt;AC$7)),0,MAX(0,ROUND((INDEX($E866:$G866,AC$5)-SUMIFS(TF_Timer,TF_Tekniker,AC$4,TF_Dato,$A866))*2,0)/2)))</f>
        <v/>
      </c>
      <c r="AD866">
        <f>IF(OR(AD$4="",$A866&gt;TODAY()),0,IF(OR(INDEX($B866:$D866,AD$5)="F",AND(AD$6&gt;0,$A866&lt;AD$6),AND(AD$7&gt;0,$A866&gt;AD$7)),0,MAX(0,ROUND((INDEX($E866:$G866,AD$5)-SUMIFS(TF_Timer,TF_Tekniker,AD$4,TF_Dato,$A866))*2,0)/2)))</f>
        <v/>
      </c>
      <c r="AE866">
        <f>IF(OR(AE$4="",$A866&gt;TODAY()),0,IF(OR(INDEX($B866:$D866,AE$5)="F",AND(AE$6&gt;0,$A866&lt;AE$6),AND(AE$7&gt;0,$A866&gt;AE$7)),0,MAX(0,ROUND((INDEX($E866:$G866,AE$5)-SUMIFS(TF_Timer,TF_Tekniker,AE$4,TF_Dato,$A866))*2,0)/2)))</f>
        <v/>
      </c>
      <c r="AF866">
        <f>IF(OR(AF$4="",$A866&gt;TODAY()),0,IF(OR(INDEX($B866:$D866,AF$5)="F",AND(AF$6&gt;0,$A866&lt;AF$6),AND(AF$7&gt;0,$A866&gt;AF$7)),0,MAX(0,ROUND((INDEX($E866:$G866,AF$5)-SUMIFS(TF_Timer,TF_Tekniker,AF$4,TF_Dato,$A866))*2,0)/2)))</f>
        <v/>
      </c>
      <c r="AG866">
        <f>IF(OR(AG$4="",$A866&gt;TODAY()),0,IF(OR(INDEX($B866:$D866,AG$5)="F",AND(AG$6&gt;0,$A866&lt;AG$6),AND(AG$7&gt;0,$A866&gt;AG$7)),0,MAX(0,ROUND((INDEX($E866:$G866,AG$5)-SUMIFS(TF_Timer,TF_Tekniker,AG$4,TF_Dato,$A866))*2,0)/2)))</f>
        <v/>
      </c>
      <c r="AH866">
        <f>IF(OR(AH$4="",$A866&gt;TODAY()),0,IF(OR(INDEX($B866:$D866,AH$5)="F",AND(AH$6&gt;0,$A866&lt;AH$6),AND(AH$7&gt;0,$A866&gt;AH$7)),0,MAX(0,ROUND((INDEX($E866:$G866,AH$5)-SUMIFS(TF_Timer,TF_Tekniker,AH$4,TF_Dato,$A866))*2,0)/2)))</f>
        <v/>
      </c>
      <c r="AI866">
        <f>IF(OR(AI$4="",$A866&gt;TODAY()),0,IF(OR(INDEX($B866:$D866,AI$5)="F",AND(AI$6&gt;0,$A866&lt;AI$6),AND(AI$7&gt;0,$A866&gt;AI$7)),0,MAX(0,ROUND((INDEX($E866:$G866,AI$5)-SUMIFS(TF_Timer,TF_Tekniker,AI$4,TF_Dato,$A866))*2,0)/2)))</f>
        <v/>
      </c>
      <c r="AJ866">
        <f>IF(OR(AJ$4="",$A866&gt;TODAY()),0,IF(OR(INDEX($B866:$D866,AJ$5)="F",AND(AJ$6&gt;0,$A866&lt;AJ$6),AND(AJ$7&gt;0,$A866&gt;AJ$7)),0,MAX(0,ROUND((INDEX($E866:$G866,AJ$5)-SUMIFS(TF_Timer,TF_Tekniker,AJ$4,TF_Dato,$A866))*2,0)/2)))</f>
        <v/>
      </c>
      <c r="AK866">
        <f>IF(OR(AK$4="",$A866&gt;TODAY()),0,IF(OR(INDEX($B866:$D866,AK$5)="F",AND(AK$6&gt;0,$A866&lt;AK$6),AND(AK$7&gt;0,$A866&gt;AK$7)),0,MAX(0,ROUND((INDEX($E866:$G866,AK$5)-SUMIFS(TF_Timer,TF_Tekniker,AK$4,TF_Dato,$A866))*2,0)/2)))</f>
        <v/>
      </c>
      <c r="AL866">
        <f>IF(OR(AL$4="",$A866&gt;TODAY()),0,IF(OR(INDEX($B866:$D866,AL$5)="F",AND(AL$6&gt;0,$A866&lt;AL$6),AND(AL$7&gt;0,$A866&gt;AL$7)),0,MAX(0,ROUND((INDEX($E866:$G866,AL$5)-SUMIFS(TF_Timer,TF_Tekniker,AL$4,TF_Dato,$A866))*2,0)/2)))</f>
        <v/>
      </c>
      <c r="AM866">
        <f>IF(OR(AM$4="",$A866&gt;TODAY()),0,IF(OR(INDEX($B866:$D866,AM$5)="F",AND(AM$6&gt;0,$A866&lt;AM$6),AND(AM$7&gt;0,$A866&gt;AM$7)),0,MAX(0,ROUND((INDEX($E866:$G866,AM$5)-SUMIFS(TF_Timer,TF_Tekniker,AM$4,TF_Dato,$A866))*2,0)/2)))</f>
        <v/>
      </c>
      <c r="AN866">
        <f>IF(OR(AN$4="",$A866&gt;TODAY()),0,IF(OR(INDEX($B866:$D866,AN$5)="F",AND(AN$6&gt;0,$A866&lt;AN$6),AND(AN$7&gt;0,$A866&gt;AN$7)),0,MAX(0,ROUND((INDEX($E866:$G866,AN$5)-SUMIFS(TF_Timer,TF_Tekniker,AN$4,TF_Dato,$A866))*2,0)/2)))</f>
        <v/>
      </c>
      <c r="AO866">
        <f>IF(OR(AO$4="",$A866&gt;TODAY()),0,IF(OR(INDEX($B866:$D866,AO$5)="F",AND(AO$6&gt;0,$A866&lt;AO$6),AND(AO$7&gt;0,$A866&gt;AO$7)),0,MAX(0,ROUND((INDEX($E866:$G866,AO$5)-SUMIFS(TF_Timer,TF_Tekniker,AO$4,TF_Dato,$A866))*2,0)/2)))</f>
        <v/>
      </c>
      <c r="AP866">
        <f>IF(OR(AP$4="",$A866&gt;TODAY()),0,IF(OR(INDEX($B866:$D866,AP$5)="F",AND(AP$6&gt;0,$A866&lt;AP$6),AND(AP$7&gt;0,$A866&gt;AP$7)),0,MAX(0,ROUND((INDEX($E866:$G866,AP$5)-SUMIFS(TF_Timer,TF_Tekniker,AP$4,TF_Dato,$A866))*2,0)/2)))</f>
        <v/>
      </c>
      <c r="AQ866">
        <f>IF(OR(AQ$4="",$A866&gt;TODAY()),0,IF(OR(INDEX($B866:$D866,AQ$5)="F",AND(AQ$6&gt;0,$A866&lt;AQ$6),AND(AQ$7&gt;0,$A866&gt;AQ$7)),0,MAX(0,ROUND((INDEX($E866:$G866,AQ$5)-SUMIFS(TF_Timer,TF_Tekniker,AQ$4,TF_Dato,$A866))*2,0)/2)))</f>
        <v/>
      </c>
      <c r="AR866">
        <f>IF(OR(AR$4="",$A866&gt;TODAY()),0,IF(OR(INDEX($B866:$D866,AR$5)="F",AND(AR$6&gt;0,$A866&lt;AR$6),AND(AR$7&gt;0,$A866&gt;AR$7)),0,MAX(0,ROUND((INDEX($E866:$G866,AR$5)-SUMIFS(TF_Timer,TF_Tekniker,AR$4,TF_Dato,$A866))*2,0)/2)))</f>
        <v/>
      </c>
      <c r="AS866">
        <f>IF(OR(AS$4="",$A866&gt;TODAY()),0,IF(OR(INDEX($B866:$D866,AS$5)="F",AND(AS$6&gt;0,$A866&lt;AS$6),AND(AS$7&gt;0,$A866&gt;AS$7)),0,MAX(0,ROUND((INDEX($E866:$G866,AS$5)-SUMIFS(TF_Timer,TF_Tekniker,AS$4,TF_Dato,$A866))*2,0)/2)))</f>
        <v/>
      </c>
      <c r="AT866">
        <f>IF(OR(AT$4="",$A866&gt;TODAY()),0,IF(OR(INDEX($B866:$D866,AT$5)="F",AND(AT$6&gt;0,$A866&lt;AT$6),AND(AT$7&gt;0,$A866&gt;AT$7)),0,MAX(0,ROUND((INDEX($E866:$G866,AT$5)-SUMIFS(TF_Timer,TF_Tekniker,AT$4,TF_Dato,$A866))*2,0)/2)))</f>
        <v/>
      </c>
      <c r="AU866">
        <f>IF(OR(AU$4="",$A866&gt;TODAY()),0,IF(OR(INDEX($B866:$D866,AU$5)="F",AND(AU$6&gt;0,$A866&lt;AU$6),AND(AU$7&gt;0,$A866&gt;AU$7)),0,MAX(0,ROUND((INDEX($E866:$G866,AU$5)-SUMIFS(TF_Timer,TF_Tekniker,AU$4,TF_Dato,$A866))*2,0)/2)))</f>
        <v/>
      </c>
      <c r="AV866">
        <f>IF(OR(AV$4="",$A866&gt;TODAY()),0,IF(OR(INDEX($B866:$D866,AV$5)="F",AND(AV$6&gt;0,$A866&lt;AV$6),AND(AV$7&gt;0,$A866&gt;AV$7)),0,MAX(0,ROUND((INDEX($E866:$G866,AV$5)-SUMIFS(TF_Timer,TF_Tekniker,AV$4,TF_Dato,$A866))*2,0)/2)))</f>
        <v/>
      </c>
      <c r="AW866">
        <f>IF(OR(AW$4="",$A866&gt;TODAY()),0,IF(OR(INDEX($B866:$D866,AW$5)="F",AND(AW$6&gt;0,$A866&lt;AW$6),AND(AW$7&gt;0,$A866&gt;AW$7)),0,MAX(0,ROUND((INDEX($E866:$G866,AW$5)-SUMIFS(TF_Timer,TF_Tekniker,AW$4,TF_Dato,$A866))*2,0)/2)))</f>
        <v/>
      </c>
      <c r="AX866">
        <f>IF(OR(AX$4="",$A866&gt;TODAY()),0,IF(OR(INDEX($B866:$D866,AX$5)="F",AND(AX$6&gt;0,$A866&lt;AX$6),AND(AX$7&gt;0,$A866&gt;AX$7)),0,MAX(0,ROUND((INDEX($E866:$G866,AX$5)-SUMIFS(TF_Timer,TF_Tekniker,AX$4,TF_Dato,$A866))*2,0)/2)))</f>
        <v/>
      </c>
      <c r="AY866">
        <f>IF(OR(AY$4="",$A866&gt;TODAY()),0,IF(OR(INDEX($B866:$D866,AY$5)="F",AND(AY$6&gt;0,$A866&lt;AY$6),AND(AY$7&gt;0,$A866&gt;AY$7)),0,MAX(0,ROUND((INDEX($E866:$G866,AY$5)-SUMIFS(TF_Timer,TF_Tekniker,AY$4,TF_Dato,$A866))*2,0)/2)))</f>
        <v/>
      </c>
      <c r="AZ866">
        <f>IF(OR(AZ$4="",$A866&gt;TODAY()),0,IF(OR(INDEX($B866:$D866,AZ$5)="F",AND(AZ$6&gt;0,$A866&lt;AZ$6),AND(AZ$7&gt;0,$A866&gt;AZ$7)),0,MAX(0,ROUND((INDEX($E866:$G866,AZ$5)-SUMIFS(TF_Timer,TF_Tekniker,AZ$4,TF_Dato,$A866))*2,0)/2)))</f>
        <v/>
      </c>
      <c r="BA866">
        <f>IF(OR(BA$4="",$A866&gt;TODAY()),0,IF(OR(INDEX($B866:$D866,BA$5)="F",AND(BA$6&gt;0,$A866&lt;BA$6),AND(BA$7&gt;0,$A866&gt;BA$7)),0,MAX(0,ROUND((INDEX($E866:$G866,BA$5)-SUMIFS(TF_Timer,TF_Tekniker,BA$4,TF_Dato,$A866))*2,0)/2)))</f>
        <v/>
      </c>
      <c r="BB866">
        <f>IF(OR(BB$4="",$A866&gt;TODAY()),0,IF(OR(INDEX($B866:$D866,BB$5)="F",AND(BB$6&gt;0,$A866&lt;BB$6),AND(BB$7&gt;0,$A866&gt;BB$7)),0,MAX(0,ROUND((INDEX($E866:$G866,BB$5)-SUMIFS(TF_Timer,TF_Tekniker,BB$4,TF_Dato,$A866))*2,0)/2)))</f>
        <v/>
      </c>
      <c r="BC866">
        <f>IF(OR(BC$4="",$A866&gt;TODAY()),0,IF(OR(INDEX($B866:$D866,BC$5)="F",AND(BC$6&gt;0,$A866&lt;BC$6),AND(BC$7&gt;0,$A866&gt;BC$7)),0,MAX(0,ROUND((INDEX($E866:$G866,BC$5)-SUMIFS(TF_Timer,TF_Tekniker,BC$4,TF_Dato,$A866))*2,0)/2)))</f>
        <v/>
      </c>
      <c r="BD866">
        <f>IF(OR(BD$4="",$A866&gt;TODAY()),0,IF(OR(INDEX($B866:$D866,BD$5)="F",AND(BD$6&gt;0,$A866&lt;BD$6),AND(BD$7&gt;0,$A866&gt;BD$7)),0,MAX(0,ROUND((INDEX($E866:$G866,BD$5)-SUMIFS(TF_Timer,TF_Tekniker,BD$4,TF_Dato,$A866))*2,0)/2)))</f>
        <v/>
      </c>
      <c r="BE866">
        <f>IF(OR(BE$4="",$A866&gt;TODAY()),0,IF(OR(INDEX($B866:$D866,BE$5)="F",AND(BE$6&gt;0,$A866&lt;BE$6),AND(BE$7&gt;0,$A866&gt;BE$7)),0,MAX(0,ROUND((INDEX($E866:$G866,BE$5)-SUMIFS(TF_Timer,TF_Tekniker,BE$4,TF_Dato,$A866))*2,0)/2)))</f>
        <v/>
      </c>
      <c r="BF866">
        <f>IF(OR(BF$4="",$A866&gt;TODAY()),0,IF(OR(INDEX($B866:$D866,BF$5)="F",AND(BF$6&gt;0,$A866&lt;BF$6),AND(BF$7&gt;0,$A866&gt;BF$7)),0,MAX(0,ROUND((INDEX($E866:$G866,BF$5)-SUMIFS(TF_Timer,TF_Tekniker,BF$4,TF_Dato,$A866))*2,0)/2)))</f>
        <v/>
      </c>
      <c r="BG866">
        <f>IF(OR(BG$4="",$A866&gt;TODAY()),0,IF(OR(INDEX($B866:$D866,BG$5)="F",AND(BG$6&gt;0,$A866&lt;BG$6),AND(BG$7&gt;0,$A866&gt;BG$7)),0,MAX(0,ROUND((INDEX($E866:$G866,BG$5)-SUMIFS(TF_Timer,TF_Tekniker,BG$4,TF_Dato,$A866))*2,0)/2)))</f>
        <v/>
      </c>
      <c r="BH866">
        <f>IF(OR(BH$4="",$A866&gt;TODAY()),0,IF(OR(INDEX($B866:$D866,BH$5)="F",AND(BH$6&gt;0,$A866&lt;BH$6),AND(BH$7&gt;0,$A866&gt;BH$7)),0,MAX(0,ROUND((INDEX($E866:$G866,BH$5)-SUMIFS(TF_Timer,TF_Tekniker,BH$4,TF_Dato,$A866))*2,0)/2)))</f>
        <v/>
      </c>
      <c r="BI866">
        <f>IF(OR(BI$4="",$A866&gt;TODAY()),0,IF(OR(INDEX($B866:$D866,BI$5)="F",AND(BI$6&gt;0,$A866&lt;BI$6),AND(BI$7&gt;0,$A866&gt;BI$7)),0,MAX(0,ROUND((INDEX($E866:$G866,BI$5)-SUMIFS(TF_Timer,TF_Tekniker,BI$4,TF_Dato,$A866))*2,0)/2)))</f>
        <v/>
      </c>
    </row>
    <row r="867">
      <c r="A867" s="64">
        <f>A866+1</f>
        <v/>
      </c>
      <c r="B867">
        <f>IF(MOD($A867-INDEX(SkiftStart,1),Syklus)&lt;DagK,"K",IF(MOD($A867-INDEX(SkiftStart,1),Syklus)&lt;DagK+DagH,"H",IF(MOD($A867-INDEX(SkiftStart,1),Syklus)&lt;DagK+DagH+DagD,"D","F")))</f>
        <v/>
      </c>
      <c r="C867">
        <f>IF(MOD($A867-INDEX(SkiftStart,2),Syklus)&lt;DagK,"K",IF(MOD($A867-INDEX(SkiftStart,2),Syklus)&lt;DagK+DagH,"H",IF(MOD($A867-INDEX(SkiftStart,2),Syklus)&lt;DagK+DagH+DagD,"D","F")))</f>
        <v/>
      </c>
      <c r="D867">
        <f>IF(MOD($A867-INDEX(SkiftStart,3),Syklus)&lt;DagK,"K",IF(MOD($A867-INDEX(SkiftStart,3),Syklus)&lt;DagK+DagH,"H",IF(MOD($A867-INDEX(SkiftStart,3),Syklus)&lt;DagK+DagH+DagD,"D","F")))</f>
        <v/>
      </c>
      <c r="E867">
        <f>IF(B867="F",0,IF(WEEKDAY($A867,2)=5,INDEX(TimerFr,MATCH(B867,FaseKode,0)),INDEX(TimerMT,MATCH(B867,FaseKode,0))))</f>
        <v/>
      </c>
      <c r="F867">
        <f>IF(C867="F",0,IF(WEEKDAY($A867,2)=5,INDEX(TimerFr,MATCH(C867,FaseKode,0)),INDEX(TimerMT,MATCH(C867,FaseKode,0))))</f>
        <v/>
      </c>
      <c r="G867">
        <f>IF(D867="F",0,IF(WEEKDAY($A867,2)=5,INDEX(TimerFr,MATCH(D867,FaseKode,0)),INDEX(TimerMT,MATCH(D867,FaseKode,0))))</f>
        <v/>
      </c>
      <c r="H867">
        <f>IF(OR(H$4="",$A867&gt;TODAY()),0,IF(OR(INDEX($B867:$D867,H$5)="F",AND(H$6&gt;0,$A867&lt;H$6),AND(H$7&gt;0,$A867&gt;H$7)),0,MAX(0,ROUND((INDEX($E867:$G867,H$5)-SUMIFS(TF_Timer,TF_Tekniker,H$4,TF_Dato,$A867))*2,0)/2)))</f>
        <v/>
      </c>
      <c r="I867">
        <f>IF(OR(I$4="",$A867&gt;TODAY()),0,IF(OR(INDEX($B867:$D867,I$5)="F",AND(I$6&gt;0,$A867&lt;I$6),AND(I$7&gt;0,$A867&gt;I$7)),0,MAX(0,ROUND((INDEX($E867:$G867,I$5)-SUMIFS(TF_Timer,TF_Tekniker,I$4,TF_Dato,$A867))*2,0)/2)))</f>
        <v/>
      </c>
      <c r="J867">
        <f>IF(OR(J$4="",$A867&gt;TODAY()),0,IF(OR(INDEX($B867:$D867,J$5)="F",AND(J$6&gt;0,$A867&lt;J$6),AND(J$7&gt;0,$A867&gt;J$7)),0,MAX(0,ROUND((INDEX($E867:$G867,J$5)-SUMIFS(TF_Timer,TF_Tekniker,J$4,TF_Dato,$A867))*2,0)/2)))</f>
        <v/>
      </c>
      <c r="K867">
        <f>IF(OR(K$4="",$A867&gt;TODAY()),0,IF(OR(INDEX($B867:$D867,K$5)="F",AND(K$6&gt;0,$A867&lt;K$6),AND(K$7&gt;0,$A867&gt;K$7)),0,MAX(0,ROUND((INDEX($E867:$G867,K$5)-SUMIFS(TF_Timer,TF_Tekniker,K$4,TF_Dato,$A867))*2,0)/2)))</f>
        <v/>
      </c>
      <c r="L867">
        <f>IF(OR(L$4="",$A867&gt;TODAY()),0,IF(OR(INDEX($B867:$D867,L$5)="F",AND(L$6&gt;0,$A867&lt;L$6),AND(L$7&gt;0,$A867&gt;L$7)),0,MAX(0,ROUND((INDEX($E867:$G867,L$5)-SUMIFS(TF_Timer,TF_Tekniker,L$4,TF_Dato,$A867))*2,0)/2)))</f>
        <v/>
      </c>
      <c r="M867">
        <f>IF(OR(M$4="",$A867&gt;TODAY()),0,IF(OR(INDEX($B867:$D867,M$5)="F",AND(M$6&gt;0,$A867&lt;M$6),AND(M$7&gt;0,$A867&gt;M$7)),0,MAX(0,ROUND((INDEX($E867:$G867,M$5)-SUMIFS(TF_Timer,TF_Tekniker,M$4,TF_Dato,$A867))*2,0)/2)))</f>
        <v/>
      </c>
      <c r="N867">
        <f>IF(OR(N$4="",$A867&gt;TODAY()),0,IF(OR(INDEX($B867:$D867,N$5)="F",AND(N$6&gt;0,$A867&lt;N$6),AND(N$7&gt;0,$A867&gt;N$7)),0,MAX(0,ROUND((INDEX($E867:$G867,N$5)-SUMIFS(TF_Timer,TF_Tekniker,N$4,TF_Dato,$A867))*2,0)/2)))</f>
        <v/>
      </c>
      <c r="O867">
        <f>IF(OR(O$4="",$A867&gt;TODAY()),0,IF(OR(INDEX($B867:$D867,O$5)="F",AND(O$6&gt;0,$A867&lt;O$6),AND(O$7&gt;0,$A867&gt;O$7)),0,MAX(0,ROUND((INDEX($E867:$G867,O$5)-SUMIFS(TF_Timer,TF_Tekniker,O$4,TF_Dato,$A867))*2,0)/2)))</f>
        <v/>
      </c>
      <c r="P867">
        <f>IF(OR(P$4="",$A867&gt;TODAY()),0,IF(OR(INDEX($B867:$D867,P$5)="F",AND(P$6&gt;0,$A867&lt;P$6),AND(P$7&gt;0,$A867&gt;P$7)),0,MAX(0,ROUND((INDEX($E867:$G867,P$5)-SUMIFS(TF_Timer,TF_Tekniker,P$4,TF_Dato,$A867))*2,0)/2)))</f>
        <v/>
      </c>
      <c r="Q867">
        <f>IF(OR(Q$4="",$A867&gt;TODAY()),0,IF(OR(INDEX($B867:$D867,Q$5)="F",AND(Q$6&gt;0,$A867&lt;Q$6),AND(Q$7&gt;0,$A867&gt;Q$7)),0,MAX(0,ROUND((INDEX($E867:$G867,Q$5)-SUMIFS(TF_Timer,TF_Tekniker,Q$4,TF_Dato,$A867))*2,0)/2)))</f>
        <v/>
      </c>
      <c r="R867">
        <f>IF(OR(R$4="",$A867&gt;TODAY()),0,IF(OR(INDEX($B867:$D867,R$5)="F",AND(R$6&gt;0,$A867&lt;R$6),AND(R$7&gt;0,$A867&gt;R$7)),0,MAX(0,ROUND((INDEX($E867:$G867,R$5)-SUMIFS(TF_Timer,TF_Tekniker,R$4,TF_Dato,$A867))*2,0)/2)))</f>
        <v/>
      </c>
      <c r="S867">
        <f>IF(OR(S$4="",$A867&gt;TODAY()),0,IF(OR(INDEX($B867:$D867,S$5)="F",AND(S$6&gt;0,$A867&lt;S$6),AND(S$7&gt;0,$A867&gt;S$7)),0,MAX(0,ROUND((INDEX($E867:$G867,S$5)-SUMIFS(TF_Timer,TF_Tekniker,S$4,TF_Dato,$A867))*2,0)/2)))</f>
        <v/>
      </c>
      <c r="T867">
        <f>IF(OR(T$4="",$A867&gt;TODAY()),0,IF(OR(INDEX($B867:$D867,T$5)="F",AND(T$6&gt;0,$A867&lt;T$6),AND(T$7&gt;0,$A867&gt;T$7)),0,MAX(0,ROUND((INDEX($E867:$G867,T$5)-SUMIFS(TF_Timer,TF_Tekniker,T$4,TF_Dato,$A867))*2,0)/2)))</f>
        <v/>
      </c>
      <c r="U867">
        <f>IF(OR(U$4="",$A867&gt;TODAY()),0,IF(OR(INDEX($B867:$D867,U$5)="F",AND(U$6&gt;0,$A867&lt;U$6),AND(U$7&gt;0,$A867&gt;U$7)),0,MAX(0,ROUND((INDEX($E867:$G867,U$5)-SUMIFS(TF_Timer,TF_Tekniker,U$4,TF_Dato,$A867))*2,0)/2)))</f>
        <v/>
      </c>
      <c r="V867">
        <f>IF(OR(V$4="",$A867&gt;TODAY()),0,IF(OR(INDEX($B867:$D867,V$5)="F",AND(V$6&gt;0,$A867&lt;V$6),AND(V$7&gt;0,$A867&gt;V$7)),0,MAX(0,ROUND((INDEX($E867:$G867,V$5)-SUMIFS(TF_Timer,TF_Tekniker,V$4,TF_Dato,$A867))*2,0)/2)))</f>
        <v/>
      </c>
      <c r="W867">
        <f>IF(OR(W$4="",$A867&gt;TODAY()),0,IF(OR(INDEX($B867:$D867,W$5)="F",AND(W$6&gt;0,$A867&lt;W$6),AND(W$7&gt;0,$A867&gt;W$7)),0,MAX(0,ROUND((INDEX($E867:$G867,W$5)-SUMIFS(TF_Timer,TF_Tekniker,W$4,TF_Dato,$A867))*2,0)/2)))</f>
        <v/>
      </c>
      <c r="X867">
        <f>IF(OR(X$4="",$A867&gt;TODAY()),0,IF(OR(INDEX($B867:$D867,X$5)="F",AND(X$6&gt;0,$A867&lt;X$6),AND(X$7&gt;0,$A867&gt;X$7)),0,MAX(0,ROUND((INDEX($E867:$G867,X$5)-SUMIFS(TF_Timer,TF_Tekniker,X$4,TF_Dato,$A867))*2,0)/2)))</f>
        <v/>
      </c>
      <c r="Y867">
        <f>IF(OR(Y$4="",$A867&gt;TODAY()),0,IF(OR(INDEX($B867:$D867,Y$5)="F",AND(Y$6&gt;0,$A867&lt;Y$6),AND(Y$7&gt;0,$A867&gt;Y$7)),0,MAX(0,ROUND((INDEX($E867:$G867,Y$5)-SUMIFS(TF_Timer,TF_Tekniker,Y$4,TF_Dato,$A867))*2,0)/2)))</f>
        <v/>
      </c>
      <c r="Z867">
        <f>IF(OR(Z$4="",$A867&gt;TODAY()),0,IF(OR(INDEX($B867:$D867,Z$5)="F",AND(Z$6&gt;0,$A867&lt;Z$6),AND(Z$7&gt;0,$A867&gt;Z$7)),0,MAX(0,ROUND((INDEX($E867:$G867,Z$5)-SUMIFS(TF_Timer,TF_Tekniker,Z$4,TF_Dato,$A867))*2,0)/2)))</f>
        <v/>
      </c>
      <c r="AA867">
        <f>IF(OR(AA$4="",$A867&gt;TODAY()),0,IF(OR(INDEX($B867:$D867,AA$5)="F",AND(AA$6&gt;0,$A867&lt;AA$6),AND(AA$7&gt;0,$A867&gt;AA$7)),0,MAX(0,ROUND((INDEX($E867:$G867,AA$5)-SUMIFS(TF_Timer,TF_Tekniker,AA$4,TF_Dato,$A867))*2,0)/2)))</f>
        <v/>
      </c>
      <c r="AB867">
        <f>IF(OR(AB$4="",$A867&gt;TODAY()),0,IF(OR(INDEX($B867:$D867,AB$5)="F",AND(AB$6&gt;0,$A867&lt;AB$6),AND(AB$7&gt;0,$A867&gt;AB$7)),0,MAX(0,ROUND((INDEX($E867:$G867,AB$5)-SUMIFS(TF_Timer,TF_Tekniker,AB$4,TF_Dato,$A867))*2,0)/2)))</f>
        <v/>
      </c>
      <c r="AC867">
        <f>IF(OR(AC$4="",$A867&gt;TODAY()),0,IF(OR(INDEX($B867:$D867,AC$5)="F",AND(AC$6&gt;0,$A867&lt;AC$6),AND(AC$7&gt;0,$A867&gt;AC$7)),0,MAX(0,ROUND((INDEX($E867:$G867,AC$5)-SUMIFS(TF_Timer,TF_Tekniker,AC$4,TF_Dato,$A867))*2,0)/2)))</f>
        <v/>
      </c>
      <c r="AD867">
        <f>IF(OR(AD$4="",$A867&gt;TODAY()),0,IF(OR(INDEX($B867:$D867,AD$5)="F",AND(AD$6&gt;0,$A867&lt;AD$6),AND(AD$7&gt;0,$A867&gt;AD$7)),0,MAX(0,ROUND((INDEX($E867:$G867,AD$5)-SUMIFS(TF_Timer,TF_Tekniker,AD$4,TF_Dato,$A867))*2,0)/2)))</f>
        <v/>
      </c>
      <c r="AE867">
        <f>IF(OR(AE$4="",$A867&gt;TODAY()),0,IF(OR(INDEX($B867:$D867,AE$5)="F",AND(AE$6&gt;0,$A867&lt;AE$6),AND(AE$7&gt;0,$A867&gt;AE$7)),0,MAX(0,ROUND((INDEX($E867:$G867,AE$5)-SUMIFS(TF_Timer,TF_Tekniker,AE$4,TF_Dato,$A867))*2,0)/2)))</f>
        <v/>
      </c>
      <c r="AF867">
        <f>IF(OR(AF$4="",$A867&gt;TODAY()),0,IF(OR(INDEX($B867:$D867,AF$5)="F",AND(AF$6&gt;0,$A867&lt;AF$6),AND(AF$7&gt;0,$A867&gt;AF$7)),0,MAX(0,ROUND((INDEX($E867:$G867,AF$5)-SUMIFS(TF_Timer,TF_Tekniker,AF$4,TF_Dato,$A867))*2,0)/2)))</f>
        <v/>
      </c>
      <c r="AG867">
        <f>IF(OR(AG$4="",$A867&gt;TODAY()),0,IF(OR(INDEX($B867:$D867,AG$5)="F",AND(AG$6&gt;0,$A867&lt;AG$6),AND(AG$7&gt;0,$A867&gt;AG$7)),0,MAX(0,ROUND((INDEX($E867:$G867,AG$5)-SUMIFS(TF_Timer,TF_Tekniker,AG$4,TF_Dato,$A867))*2,0)/2)))</f>
        <v/>
      </c>
      <c r="AH867">
        <f>IF(OR(AH$4="",$A867&gt;TODAY()),0,IF(OR(INDEX($B867:$D867,AH$5)="F",AND(AH$6&gt;0,$A867&lt;AH$6),AND(AH$7&gt;0,$A867&gt;AH$7)),0,MAX(0,ROUND((INDEX($E867:$G867,AH$5)-SUMIFS(TF_Timer,TF_Tekniker,AH$4,TF_Dato,$A867))*2,0)/2)))</f>
        <v/>
      </c>
      <c r="AI867">
        <f>IF(OR(AI$4="",$A867&gt;TODAY()),0,IF(OR(INDEX($B867:$D867,AI$5)="F",AND(AI$6&gt;0,$A867&lt;AI$6),AND(AI$7&gt;0,$A867&gt;AI$7)),0,MAX(0,ROUND((INDEX($E867:$G867,AI$5)-SUMIFS(TF_Timer,TF_Tekniker,AI$4,TF_Dato,$A867))*2,0)/2)))</f>
        <v/>
      </c>
      <c r="AJ867">
        <f>IF(OR(AJ$4="",$A867&gt;TODAY()),0,IF(OR(INDEX($B867:$D867,AJ$5)="F",AND(AJ$6&gt;0,$A867&lt;AJ$6),AND(AJ$7&gt;0,$A867&gt;AJ$7)),0,MAX(0,ROUND((INDEX($E867:$G867,AJ$5)-SUMIFS(TF_Timer,TF_Tekniker,AJ$4,TF_Dato,$A867))*2,0)/2)))</f>
        <v/>
      </c>
      <c r="AK867">
        <f>IF(OR(AK$4="",$A867&gt;TODAY()),0,IF(OR(INDEX($B867:$D867,AK$5)="F",AND(AK$6&gt;0,$A867&lt;AK$6),AND(AK$7&gt;0,$A867&gt;AK$7)),0,MAX(0,ROUND((INDEX($E867:$G867,AK$5)-SUMIFS(TF_Timer,TF_Tekniker,AK$4,TF_Dato,$A867))*2,0)/2)))</f>
        <v/>
      </c>
      <c r="AL867">
        <f>IF(OR(AL$4="",$A867&gt;TODAY()),0,IF(OR(INDEX($B867:$D867,AL$5)="F",AND(AL$6&gt;0,$A867&lt;AL$6),AND(AL$7&gt;0,$A867&gt;AL$7)),0,MAX(0,ROUND((INDEX($E867:$G867,AL$5)-SUMIFS(TF_Timer,TF_Tekniker,AL$4,TF_Dato,$A867))*2,0)/2)))</f>
        <v/>
      </c>
      <c r="AM867">
        <f>IF(OR(AM$4="",$A867&gt;TODAY()),0,IF(OR(INDEX($B867:$D867,AM$5)="F",AND(AM$6&gt;0,$A867&lt;AM$6),AND(AM$7&gt;0,$A867&gt;AM$7)),0,MAX(0,ROUND((INDEX($E867:$G867,AM$5)-SUMIFS(TF_Timer,TF_Tekniker,AM$4,TF_Dato,$A867))*2,0)/2)))</f>
        <v/>
      </c>
      <c r="AN867">
        <f>IF(OR(AN$4="",$A867&gt;TODAY()),0,IF(OR(INDEX($B867:$D867,AN$5)="F",AND(AN$6&gt;0,$A867&lt;AN$6),AND(AN$7&gt;0,$A867&gt;AN$7)),0,MAX(0,ROUND((INDEX($E867:$G867,AN$5)-SUMIFS(TF_Timer,TF_Tekniker,AN$4,TF_Dato,$A867))*2,0)/2)))</f>
        <v/>
      </c>
      <c r="AO867">
        <f>IF(OR(AO$4="",$A867&gt;TODAY()),0,IF(OR(INDEX($B867:$D867,AO$5)="F",AND(AO$6&gt;0,$A867&lt;AO$6),AND(AO$7&gt;0,$A867&gt;AO$7)),0,MAX(0,ROUND((INDEX($E867:$G867,AO$5)-SUMIFS(TF_Timer,TF_Tekniker,AO$4,TF_Dato,$A867))*2,0)/2)))</f>
        <v/>
      </c>
      <c r="AP867">
        <f>IF(OR(AP$4="",$A867&gt;TODAY()),0,IF(OR(INDEX($B867:$D867,AP$5)="F",AND(AP$6&gt;0,$A867&lt;AP$6),AND(AP$7&gt;0,$A867&gt;AP$7)),0,MAX(0,ROUND((INDEX($E867:$G867,AP$5)-SUMIFS(TF_Timer,TF_Tekniker,AP$4,TF_Dato,$A867))*2,0)/2)))</f>
        <v/>
      </c>
      <c r="AQ867">
        <f>IF(OR(AQ$4="",$A867&gt;TODAY()),0,IF(OR(INDEX($B867:$D867,AQ$5)="F",AND(AQ$6&gt;0,$A867&lt;AQ$6),AND(AQ$7&gt;0,$A867&gt;AQ$7)),0,MAX(0,ROUND((INDEX($E867:$G867,AQ$5)-SUMIFS(TF_Timer,TF_Tekniker,AQ$4,TF_Dato,$A867))*2,0)/2)))</f>
        <v/>
      </c>
      <c r="AR867">
        <f>IF(OR(AR$4="",$A867&gt;TODAY()),0,IF(OR(INDEX($B867:$D867,AR$5)="F",AND(AR$6&gt;0,$A867&lt;AR$6),AND(AR$7&gt;0,$A867&gt;AR$7)),0,MAX(0,ROUND((INDEX($E867:$G867,AR$5)-SUMIFS(TF_Timer,TF_Tekniker,AR$4,TF_Dato,$A867))*2,0)/2)))</f>
        <v/>
      </c>
      <c r="AS867">
        <f>IF(OR(AS$4="",$A867&gt;TODAY()),0,IF(OR(INDEX($B867:$D867,AS$5)="F",AND(AS$6&gt;0,$A867&lt;AS$6),AND(AS$7&gt;0,$A867&gt;AS$7)),0,MAX(0,ROUND((INDEX($E867:$G867,AS$5)-SUMIFS(TF_Timer,TF_Tekniker,AS$4,TF_Dato,$A867))*2,0)/2)))</f>
        <v/>
      </c>
      <c r="AT867">
        <f>IF(OR(AT$4="",$A867&gt;TODAY()),0,IF(OR(INDEX($B867:$D867,AT$5)="F",AND(AT$6&gt;0,$A867&lt;AT$6),AND(AT$7&gt;0,$A867&gt;AT$7)),0,MAX(0,ROUND((INDEX($E867:$G867,AT$5)-SUMIFS(TF_Timer,TF_Tekniker,AT$4,TF_Dato,$A867))*2,0)/2)))</f>
        <v/>
      </c>
      <c r="AU867">
        <f>IF(OR(AU$4="",$A867&gt;TODAY()),0,IF(OR(INDEX($B867:$D867,AU$5)="F",AND(AU$6&gt;0,$A867&lt;AU$6),AND(AU$7&gt;0,$A867&gt;AU$7)),0,MAX(0,ROUND((INDEX($E867:$G867,AU$5)-SUMIFS(TF_Timer,TF_Tekniker,AU$4,TF_Dato,$A867))*2,0)/2)))</f>
        <v/>
      </c>
      <c r="AV867">
        <f>IF(OR(AV$4="",$A867&gt;TODAY()),0,IF(OR(INDEX($B867:$D867,AV$5)="F",AND(AV$6&gt;0,$A867&lt;AV$6),AND(AV$7&gt;0,$A867&gt;AV$7)),0,MAX(0,ROUND((INDEX($E867:$G867,AV$5)-SUMIFS(TF_Timer,TF_Tekniker,AV$4,TF_Dato,$A867))*2,0)/2)))</f>
        <v/>
      </c>
      <c r="AW867">
        <f>IF(OR(AW$4="",$A867&gt;TODAY()),0,IF(OR(INDEX($B867:$D867,AW$5)="F",AND(AW$6&gt;0,$A867&lt;AW$6),AND(AW$7&gt;0,$A867&gt;AW$7)),0,MAX(0,ROUND((INDEX($E867:$G867,AW$5)-SUMIFS(TF_Timer,TF_Tekniker,AW$4,TF_Dato,$A867))*2,0)/2)))</f>
        <v/>
      </c>
      <c r="AX867">
        <f>IF(OR(AX$4="",$A867&gt;TODAY()),0,IF(OR(INDEX($B867:$D867,AX$5)="F",AND(AX$6&gt;0,$A867&lt;AX$6),AND(AX$7&gt;0,$A867&gt;AX$7)),0,MAX(0,ROUND((INDEX($E867:$G867,AX$5)-SUMIFS(TF_Timer,TF_Tekniker,AX$4,TF_Dato,$A867))*2,0)/2)))</f>
        <v/>
      </c>
      <c r="AY867">
        <f>IF(OR(AY$4="",$A867&gt;TODAY()),0,IF(OR(INDEX($B867:$D867,AY$5)="F",AND(AY$6&gt;0,$A867&lt;AY$6),AND(AY$7&gt;0,$A867&gt;AY$7)),0,MAX(0,ROUND((INDEX($E867:$G867,AY$5)-SUMIFS(TF_Timer,TF_Tekniker,AY$4,TF_Dato,$A867))*2,0)/2)))</f>
        <v/>
      </c>
      <c r="AZ867">
        <f>IF(OR(AZ$4="",$A867&gt;TODAY()),0,IF(OR(INDEX($B867:$D867,AZ$5)="F",AND(AZ$6&gt;0,$A867&lt;AZ$6),AND(AZ$7&gt;0,$A867&gt;AZ$7)),0,MAX(0,ROUND((INDEX($E867:$G867,AZ$5)-SUMIFS(TF_Timer,TF_Tekniker,AZ$4,TF_Dato,$A867))*2,0)/2)))</f>
        <v/>
      </c>
      <c r="BA867">
        <f>IF(OR(BA$4="",$A867&gt;TODAY()),0,IF(OR(INDEX($B867:$D867,BA$5)="F",AND(BA$6&gt;0,$A867&lt;BA$6),AND(BA$7&gt;0,$A867&gt;BA$7)),0,MAX(0,ROUND((INDEX($E867:$G867,BA$5)-SUMIFS(TF_Timer,TF_Tekniker,BA$4,TF_Dato,$A867))*2,0)/2)))</f>
        <v/>
      </c>
      <c r="BB867">
        <f>IF(OR(BB$4="",$A867&gt;TODAY()),0,IF(OR(INDEX($B867:$D867,BB$5)="F",AND(BB$6&gt;0,$A867&lt;BB$6),AND(BB$7&gt;0,$A867&gt;BB$7)),0,MAX(0,ROUND((INDEX($E867:$G867,BB$5)-SUMIFS(TF_Timer,TF_Tekniker,BB$4,TF_Dato,$A867))*2,0)/2)))</f>
        <v/>
      </c>
      <c r="BC867">
        <f>IF(OR(BC$4="",$A867&gt;TODAY()),0,IF(OR(INDEX($B867:$D867,BC$5)="F",AND(BC$6&gt;0,$A867&lt;BC$6),AND(BC$7&gt;0,$A867&gt;BC$7)),0,MAX(0,ROUND((INDEX($E867:$G867,BC$5)-SUMIFS(TF_Timer,TF_Tekniker,BC$4,TF_Dato,$A867))*2,0)/2)))</f>
        <v/>
      </c>
      <c r="BD867">
        <f>IF(OR(BD$4="",$A867&gt;TODAY()),0,IF(OR(INDEX($B867:$D867,BD$5)="F",AND(BD$6&gt;0,$A867&lt;BD$6),AND(BD$7&gt;0,$A867&gt;BD$7)),0,MAX(0,ROUND((INDEX($E867:$G867,BD$5)-SUMIFS(TF_Timer,TF_Tekniker,BD$4,TF_Dato,$A867))*2,0)/2)))</f>
        <v/>
      </c>
      <c r="BE867">
        <f>IF(OR(BE$4="",$A867&gt;TODAY()),0,IF(OR(INDEX($B867:$D867,BE$5)="F",AND(BE$6&gt;0,$A867&lt;BE$6),AND(BE$7&gt;0,$A867&gt;BE$7)),0,MAX(0,ROUND((INDEX($E867:$G867,BE$5)-SUMIFS(TF_Timer,TF_Tekniker,BE$4,TF_Dato,$A867))*2,0)/2)))</f>
        <v/>
      </c>
      <c r="BF867">
        <f>IF(OR(BF$4="",$A867&gt;TODAY()),0,IF(OR(INDEX($B867:$D867,BF$5)="F",AND(BF$6&gt;0,$A867&lt;BF$6),AND(BF$7&gt;0,$A867&gt;BF$7)),0,MAX(0,ROUND((INDEX($E867:$G867,BF$5)-SUMIFS(TF_Timer,TF_Tekniker,BF$4,TF_Dato,$A867))*2,0)/2)))</f>
        <v/>
      </c>
      <c r="BG867">
        <f>IF(OR(BG$4="",$A867&gt;TODAY()),0,IF(OR(INDEX($B867:$D867,BG$5)="F",AND(BG$6&gt;0,$A867&lt;BG$6),AND(BG$7&gt;0,$A867&gt;BG$7)),0,MAX(0,ROUND((INDEX($E867:$G867,BG$5)-SUMIFS(TF_Timer,TF_Tekniker,BG$4,TF_Dato,$A867))*2,0)/2)))</f>
        <v/>
      </c>
      <c r="BH867">
        <f>IF(OR(BH$4="",$A867&gt;TODAY()),0,IF(OR(INDEX($B867:$D867,BH$5)="F",AND(BH$6&gt;0,$A867&lt;BH$6),AND(BH$7&gt;0,$A867&gt;BH$7)),0,MAX(0,ROUND((INDEX($E867:$G867,BH$5)-SUMIFS(TF_Timer,TF_Tekniker,BH$4,TF_Dato,$A867))*2,0)/2)))</f>
        <v/>
      </c>
      <c r="BI867">
        <f>IF(OR(BI$4="",$A867&gt;TODAY()),0,IF(OR(INDEX($B867:$D867,BI$5)="F",AND(BI$6&gt;0,$A867&lt;BI$6),AND(BI$7&gt;0,$A867&gt;BI$7)),0,MAX(0,ROUND((INDEX($E867:$G867,BI$5)-SUMIFS(TF_Timer,TF_Tekniker,BI$4,TF_Dato,$A867))*2,0)/2)))</f>
        <v/>
      </c>
    </row>
    <row r="868">
      <c r="A868" s="64">
        <f>A867+1</f>
        <v/>
      </c>
      <c r="B868">
        <f>IF(MOD($A868-INDEX(SkiftStart,1),Syklus)&lt;DagK,"K",IF(MOD($A868-INDEX(SkiftStart,1),Syklus)&lt;DagK+DagH,"H",IF(MOD($A868-INDEX(SkiftStart,1),Syklus)&lt;DagK+DagH+DagD,"D","F")))</f>
        <v/>
      </c>
      <c r="C868">
        <f>IF(MOD($A868-INDEX(SkiftStart,2),Syklus)&lt;DagK,"K",IF(MOD($A868-INDEX(SkiftStart,2),Syklus)&lt;DagK+DagH,"H",IF(MOD($A868-INDEX(SkiftStart,2),Syklus)&lt;DagK+DagH+DagD,"D","F")))</f>
        <v/>
      </c>
      <c r="D868">
        <f>IF(MOD($A868-INDEX(SkiftStart,3),Syklus)&lt;DagK,"K",IF(MOD($A868-INDEX(SkiftStart,3),Syklus)&lt;DagK+DagH,"H",IF(MOD($A868-INDEX(SkiftStart,3),Syklus)&lt;DagK+DagH+DagD,"D","F")))</f>
        <v/>
      </c>
      <c r="E868">
        <f>IF(B868="F",0,IF(WEEKDAY($A868,2)=5,INDEX(TimerFr,MATCH(B868,FaseKode,0)),INDEX(TimerMT,MATCH(B868,FaseKode,0))))</f>
        <v/>
      </c>
      <c r="F868">
        <f>IF(C868="F",0,IF(WEEKDAY($A868,2)=5,INDEX(TimerFr,MATCH(C868,FaseKode,0)),INDEX(TimerMT,MATCH(C868,FaseKode,0))))</f>
        <v/>
      </c>
      <c r="G868">
        <f>IF(D868="F",0,IF(WEEKDAY($A868,2)=5,INDEX(TimerFr,MATCH(D868,FaseKode,0)),INDEX(TimerMT,MATCH(D868,FaseKode,0))))</f>
        <v/>
      </c>
      <c r="H868">
        <f>IF(OR(H$4="",$A868&gt;TODAY()),0,IF(OR(INDEX($B868:$D868,H$5)="F",AND(H$6&gt;0,$A868&lt;H$6),AND(H$7&gt;0,$A868&gt;H$7)),0,MAX(0,ROUND((INDEX($E868:$G868,H$5)-SUMIFS(TF_Timer,TF_Tekniker,H$4,TF_Dato,$A868))*2,0)/2)))</f>
        <v/>
      </c>
      <c r="I868">
        <f>IF(OR(I$4="",$A868&gt;TODAY()),0,IF(OR(INDEX($B868:$D868,I$5)="F",AND(I$6&gt;0,$A868&lt;I$6),AND(I$7&gt;0,$A868&gt;I$7)),0,MAX(0,ROUND((INDEX($E868:$G868,I$5)-SUMIFS(TF_Timer,TF_Tekniker,I$4,TF_Dato,$A868))*2,0)/2)))</f>
        <v/>
      </c>
      <c r="J868">
        <f>IF(OR(J$4="",$A868&gt;TODAY()),0,IF(OR(INDEX($B868:$D868,J$5)="F",AND(J$6&gt;0,$A868&lt;J$6),AND(J$7&gt;0,$A868&gt;J$7)),0,MAX(0,ROUND((INDEX($E868:$G868,J$5)-SUMIFS(TF_Timer,TF_Tekniker,J$4,TF_Dato,$A868))*2,0)/2)))</f>
        <v/>
      </c>
      <c r="K868">
        <f>IF(OR(K$4="",$A868&gt;TODAY()),0,IF(OR(INDEX($B868:$D868,K$5)="F",AND(K$6&gt;0,$A868&lt;K$6),AND(K$7&gt;0,$A868&gt;K$7)),0,MAX(0,ROUND((INDEX($E868:$G868,K$5)-SUMIFS(TF_Timer,TF_Tekniker,K$4,TF_Dato,$A868))*2,0)/2)))</f>
        <v/>
      </c>
      <c r="L868">
        <f>IF(OR(L$4="",$A868&gt;TODAY()),0,IF(OR(INDEX($B868:$D868,L$5)="F",AND(L$6&gt;0,$A868&lt;L$6),AND(L$7&gt;0,$A868&gt;L$7)),0,MAX(0,ROUND((INDEX($E868:$G868,L$5)-SUMIFS(TF_Timer,TF_Tekniker,L$4,TF_Dato,$A868))*2,0)/2)))</f>
        <v/>
      </c>
      <c r="M868">
        <f>IF(OR(M$4="",$A868&gt;TODAY()),0,IF(OR(INDEX($B868:$D868,M$5)="F",AND(M$6&gt;0,$A868&lt;M$6),AND(M$7&gt;0,$A868&gt;M$7)),0,MAX(0,ROUND((INDEX($E868:$G868,M$5)-SUMIFS(TF_Timer,TF_Tekniker,M$4,TF_Dato,$A868))*2,0)/2)))</f>
        <v/>
      </c>
      <c r="N868">
        <f>IF(OR(N$4="",$A868&gt;TODAY()),0,IF(OR(INDEX($B868:$D868,N$5)="F",AND(N$6&gt;0,$A868&lt;N$6),AND(N$7&gt;0,$A868&gt;N$7)),0,MAX(0,ROUND((INDEX($E868:$G868,N$5)-SUMIFS(TF_Timer,TF_Tekniker,N$4,TF_Dato,$A868))*2,0)/2)))</f>
        <v/>
      </c>
      <c r="O868">
        <f>IF(OR(O$4="",$A868&gt;TODAY()),0,IF(OR(INDEX($B868:$D868,O$5)="F",AND(O$6&gt;0,$A868&lt;O$6),AND(O$7&gt;0,$A868&gt;O$7)),0,MAX(0,ROUND((INDEX($E868:$G868,O$5)-SUMIFS(TF_Timer,TF_Tekniker,O$4,TF_Dato,$A868))*2,0)/2)))</f>
        <v/>
      </c>
      <c r="P868">
        <f>IF(OR(P$4="",$A868&gt;TODAY()),0,IF(OR(INDEX($B868:$D868,P$5)="F",AND(P$6&gt;0,$A868&lt;P$6),AND(P$7&gt;0,$A868&gt;P$7)),0,MAX(0,ROUND((INDEX($E868:$G868,P$5)-SUMIFS(TF_Timer,TF_Tekniker,P$4,TF_Dato,$A868))*2,0)/2)))</f>
        <v/>
      </c>
      <c r="Q868">
        <f>IF(OR(Q$4="",$A868&gt;TODAY()),0,IF(OR(INDEX($B868:$D868,Q$5)="F",AND(Q$6&gt;0,$A868&lt;Q$6),AND(Q$7&gt;0,$A868&gt;Q$7)),0,MAX(0,ROUND((INDEX($E868:$G868,Q$5)-SUMIFS(TF_Timer,TF_Tekniker,Q$4,TF_Dato,$A868))*2,0)/2)))</f>
        <v/>
      </c>
      <c r="R868">
        <f>IF(OR(R$4="",$A868&gt;TODAY()),0,IF(OR(INDEX($B868:$D868,R$5)="F",AND(R$6&gt;0,$A868&lt;R$6),AND(R$7&gt;0,$A868&gt;R$7)),0,MAX(0,ROUND((INDEX($E868:$G868,R$5)-SUMIFS(TF_Timer,TF_Tekniker,R$4,TF_Dato,$A868))*2,0)/2)))</f>
        <v/>
      </c>
      <c r="S868">
        <f>IF(OR(S$4="",$A868&gt;TODAY()),0,IF(OR(INDEX($B868:$D868,S$5)="F",AND(S$6&gt;0,$A868&lt;S$6),AND(S$7&gt;0,$A868&gt;S$7)),0,MAX(0,ROUND((INDEX($E868:$G868,S$5)-SUMIFS(TF_Timer,TF_Tekniker,S$4,TF_Dato,$A868))*2,0)/2)))</f>
        <v/>
      </c>
      <c r="T868">
        <f>IF(OR(T$4="",$A868&gt;TODAY()),0,IF(OR(INDEX($B868:$D868,T$5)="F",AND(T$6&gt;0,$A868&lt;T$6),AND(T$7&gt;0,$A868&gt;T$7)),0,MAX(0,ROUND((INDEX($E868:$G868,T$5)-SUMIFS(TF_Timer,TF_Tekniker,T$4,TF_Dato,$A868))*2,0)/2)))</f>
        <v/>
      </c>
      <c r="U868">
        <f>IF(OR(U$4="",$A868&gt;TODAY()),0,IF(OR(INDEX($B868:$D868,U$5)="F",AND(U$6&gt;0,$A868&lt;U$6),AND(U$7&gt;0,$A868&gt;U$7)),0,MAX(0,ROUND((INDEX($E868:$G868,U$5)-SUMIFS(TF_Timer,TF_Tekniker,U$4,TF_Dato,$A868))*2,0)/2)))</f>
        <v/>
      </c>
      <c r="V868">
        <f>IF(OR(V$4="",$A868&gt;TODAY()),0,IF(OR(INDEX($B868:$D868,V$5)="F",AND(V$6&gt;0,$A868&lt;V$6),AND(V$7&gt;0,$A868&gt;V$7)),0,MAX(0,ROUND((INDEX($E868:$G868,V$5)-SUMIFS(TF_Timer,TF_Tekniker,V$4,TF_Dato,$A868))*2,0)/2)))</f>
        <v/>
      </c>
      <c r="W868">
        <f>IF(OR(W$4="",$A868&gt;TODAY()),0,IF(OR(INDEX($B868:$D868,W$5)="F",AND(W$6&gt;0,$A868&lt;W$6),AND(W$7&gt;0,$A868&gt;W$7)),0,MAX(0,ROUND((INDEX($E868:$G868,W$5)-SUMIFS(TF_Timer,TF_Tekniker,W$4,TF_Dato,$A868))*2,0)/2)))</f>
        <v/>
      </c>
      <c r="X868">
        <f>IF(OR(X$4="",$A868&gt;TODAY()),0,IF(OR(INDEX($B868:$D868,X$5)="F",AND(X$6&gt;0,$A868&lt;X$6),AND(X$7&gt;0,$A868&gt;X$7)),0,MAX(0,ROUND((INDEX($E868:$G868,X$5)-SUMIFS(TF_Timer,TF_Tekniker,X$4,TF_Dato,$A868))*2,0)/2)))</f>
        <v/>
      </c>
      <c r="Y868">
        <f>IF(OR(Y$4="",$A868&gt;TODAY()),0,IF(OR(INDEX($B868:$D868,Y$5)="F",AND(Y$6&gt;0,$A868&lt;Y$6),AND(Y$7&gt;0,$A868&gt;Y$7)),0,MAX(0,ROUND((INDEX($E868:$G868,Y$5)-SUMIFS(TF_Timer,TF_Tekniker,Y$4,TF_Dato,$A868))*2,0)/2)))</f>
        <v/>
      </c>
      <c r="Z868">
        <f>IF(OR(Z$4="",$A868&gt;TODAY()),0,IF(OR(INDEX($B868:$D868,Z$5)="F",AND(Z$6&gt;0,$A868&lt;Z$6),AND(Z$7&gt;0,$A868&gt;Z$7)),0,MAX(0,ROUND((INDEX($E868:$G868,Z$5)-SUMIFS(TF_Timer,TF_Tekniker,Z$4,TF_Dato,$A868))*2,0)/2)))</f>
        <v/>
      </c>
      <c r="AA868">
        <f>IF(OR(AA$4="",$A868&gt;TODAY()),0,IF(OR(INDEX($B868:$D868,AA$5)="F",AND(AA$6&gt;0,$A868&lt;AA$6),AND(AA$7&gt;0,$A868&gt;AA$7)),0,MAX(0,ROUND((INDEX($E868:$G868,AA$5)-SUMIFS(TF_Timer,TF_Tekniker,AA$4,TF_Dato,$A868))*2,0)/2)))</f>
        <v/>
      </c>
      <c r="AB868">
        <f>IF(OR(AB$4="",$A868&gt;TODAY()),0,IF(OR(INDEX($B868:$D868,AB$5)="F",AND(AB$6&gt;0,$A868&lt;AB$6),AND(AB$7&gt;0,$A868&gt;AB$7)),0,MAX(0,ROUND((INDEX($E868:$G868,AB$5)-SUMIFS(TF_Timer,TF_Tekniker,AB$4,TF_Dato,$A868))*2,0)/2)))</f>
        <v/>
      </c>
      <c r="AC868">
        <f>IF(OR(AC$4="",$A868&gt;TODAY()),0,IF(OR(INDEX($B868:$D868,AC$5)="F",AND(AC$6&gt;0,$A868&lt;AC$6),AND(AC$7&gt;0,$A868&gt;AC$7)),0,MAX(0,ROUND((INDEX($E868:$G868,AC$5)-SUMIFS(TF_Timer,TF_Tekniker,AC$4,TF_Dato,$A868))*2,0)/2)))</f>
        <v/>
      </c>
      <c r="AD868">
        <f>IF(OR(AD$4="",$A868&gt;TODAY()),0,IF(OR(INDEX($B868:$D868,AD$5)="F",AND(AD$6&gt;0,$A868&lt;AD$6),AND(AD$7&gt;0,$A868&gt;AD$7)),0,MAX(0,ROUND((INDEX($E868:$G868,AD$5)-SUMIFS(TF_Timer,TF_Tekniker,AD$4,TF_Dato,$A868))*2,0)/2)))</f>
        <v/>
      </c>
      <c r="AE868">
        <f>IF(OR(AE$4="",$A868&gt;TODAY()),0,IF(OR(INDEX($B868:$D868,AE$5)="F",AND(AE$6&gt;0,$A868&lt;AE$6),AND(AE$7&gt;0,$A868&gt;AE$7)),0,MAX(0,ROUND((INDEX($E868:$G868,AE$5)-SUMIFS(TF_Timer,TF_Tekniker,AE$4,TF_Dato,$A868))*2,0)/2)))</f>
        <v/>
      </c>
      <c r="AF868">
        <f>IF(OR(AF$4="",$A868&gt;TODAY()),0,IF(OR(INDEX($B868:$D868,AF$5)="F",AND(AF$6&gt;0,$A868&lt;AF$6),AND(AF$7&gt;0,$A868&gt;AF$7)),0,MAX(0,ROUND((INDEX($E868:$G868,AF$5)-SUMIFS(TF_Timer,TF_Tekniker,AF$4,TF_Dato,$A868))*2,0)/2)))</f>
        <v/>
      </c>
      <c r="AG868">
        <f>IF(OR(AG$4="",$A868&gt;TODAY()),0,IF(OR(INDEX($B868:$D868,AG$5)="F",AND(AG$6&gt;0,$A868&lt;AG$6),AND(AG$7&gt;0,$A868&gt;AG$7)),0,MAX(0,ROUND((INDEX($E868:$G868,AG$5)-SUMIFS(TF_Timer,TF_Tekniker,AG$4,TF_Dato,$A868))*2,0)/2)))</f>
        <v/>
      </c>
      <c r="AH868">
        <f>IF(OR(AH$4="",$A868&gt;TODAY()),0,IF(OR(INDEX($B868:$D868,AH$5)="F",AND(AH$6&gt;0,$A868&lt;AH$6),AND(AH$7&gt;0,$A868&gt;AH$7)),0,MAX(0,ROUND((INDEX($E868:$G868,AH$5)-SUMIFS(TF_Timer,TF_Tekniker,AH$4,TF_Dato,$A868))*2,0)/2)))</f>
        <v/>
      </c>
      <c r="AI868">
        <f>IF(OR(AI$4="",$A868&gt;TODAY()),0,IF(OR(INDEX($B868:$D868,AI$5)="F",AND(AI$6&gt;0,$A868&lt;AI$6),AND(AI$7&gt;0,$A868&gt;AI$7)),0,MAX(0,ROUND((INDEX($E868:$G868,AI$5)-SUMIFS(TF_Timer,TF_Tekniker,AI$4,TF_Dato,$A868))*2,0)/2)))</f>
        <v/>
      </c>
      <c r="AJ868">
        <f>IF(OR(AJ$4="",$A868&gt;TODAY()),0,IF(OR(INDEX($B868:$D868,AJ$5)="F",AND(AJ$6&gt;0,$A868&lt;AJ$6),AND(AJ$7&gt;0,$A868&gt;AJ$7)),0,MAX(0,ROUND((INDEX($E868:$G868,AJ$5)-SUMIFS(TF_Timer,TF_Tekniker,AJ$4,TF_Dato,$A868))*2,0)/2)))</f>
        <v/>
      </c>
      <c r="AK868">
        <f>IF(OR(AK$4="",$A868&gt;TODAY()),0,IF(OR(INDEX($B868:$D868,AK$5)="F",AND(AK$6&gt;0,$A868&lt;AK$6),AND(AK$7&gt;0,$A868&gt;AK$7)),0,MAX(0,ROUND((INDEX($E868:$G868,AK$5)-SUMIFS(TF_Timer,TF_Tekniker,AK$4,TF_Dato,$A868))*2,0)/2)))</f>
        <v/>
      </c>
      <c r="AL868">
        <f>IF(OR(AL$4="",$A868&gt;TODAY()),0,IF(OR(INDEX($B868:$D868,AL$5)="F",AND(AL$6&gt;0,$A868&lt;AL$6),AND(AL$7&gt;0,$A868&gt;AL$7)),0,MAX(0,ROUND((INDEX($E868:$G868,AL$5)-SUMIFS(TF_Timer,TF_Tekniker,AL$4,TF_Dato,$A868))*2,0)/2)))</f>
        <v/>
      </c>
      <c r="AM868">
        <f>IF(OR(AM$4="",$A868&gt;TODAY()),0,IF(OR(INDEX($B868:$D868,AM$5)="F",AND(AM$6&gt;0,$A868&lt;AM$6),AND(AM$7&gt;0,$A868&gt;AM$7)),0,MAX(0,ROUND((INDEX($E868:$G868,AM$5)-SUMIFS(TF_Timer,TF_Tekniker,AM$4,TF_Dato,$A868))*2,0)/2)))</f>
        <v/>
      </c>
      <c r="AN868">
        <f>IF(OR(AN$4="",$A868&gt;TODAY()),0,IF(OR(INDEX($B868:$D868,AN$5)="F",AND(AN$6&gt;0,$A868&lt;AN$6),AND(AN$7&gt;0,$A868&gt;AN$7)),0,MAX(0,ROUND((INDEX($E868:$G868,AN$5)-SUMIFS(TF_Timer,TF_Tekniker,AN$4,TF_Dato,$A868))*2,0)/2)))</f>
        <v/>
      </c>
      <c r="AO868">
        <f>IF(OR(AO$4="",$A868&gt;TODAY()),0,IF(OR(INDEX($B868:$D868,AO$5)="F",AND(AO$6&gt;0,$A868&lt;AO$6),AND(AO$7&gt;0,$A868&gt;AO$7)),0,MAX(0,ROUND((INDEX($E868:$G868,AO$5)-SUMIFS(TF_Timer,TF_Tekniker,AO$4,TF_Dato,$A868))*2,0)/2)))</f>
        <v/>
      </c>
      <c r="AP868">
        <f>IF(OR(AP$4="",$A868&gt;TODAY()),0,IF(OR(INDEX($B868:$D868,AP$5)="F",AND(AP$6&gt;0,$A868&lt;AP$6),AND(AP$7&gt;0,$A868&gt;AP$7)),0,MAX(0,ROUND((INDEX($E868:$G868,AP$5)-SUMIFS(TF_Timer,TF_Tekniker,AP$4,TF_Dato,$A868))*2,0)/2)))</f>
        <v/>
      </c>
      <c r="AQ868">
        <f>IF(OR(AQ$4="",$A868&gt;TODAY()),0,IF(OR(INDEX($B868:$D868,AQ$5)="F",AND(AQ$6&gt;0,$A868&lt;AQ$6),AND(AQ$7&gt;0,$A868&gt;AQ$7)),0,MAX(0,ROUND((INDEX($E868:$G868,AQ$5)-SUMIFS(TF_Timer,TF_Tekniker,AQ$4,TF_Dato,$A868))*2,0)/2)))</f>
        <v/>
      </c>
      <c r="AR868">
        <f>IF(OR(AR$4="",$A868&gt;TODAY()),0,IF(OR(INDEX($B868:$D868,AR$5)="F",AND(AR$6&gt;0,$A868&lt;AR$6),AND(AR$7&gt;0,$A868&gt;AR$7)),0,MAX(0,ROUND((INDEX($E868:$G868,AR$5)-SUMIFS(TF_Timer,TF_Tekniker,AR$4,TF_Dato,$A868))*2,0)/2)))</f>
        <v/>
      </c>
      <c r="AS868">
        <f>IF(OR(AS$4="",$A868&gt;TODAY()),0,IF(OR(INDEX($B868:$D868,AS$5)="F",AND(AS$6&gt;0,$A868&lt;AS$6),AND(AS$7&gt;0,$A868&gt;AS$7)),0,MAX(0,ROUND((INDEX($E868:$G868,AS$5)-SUMIFS(TF_Timer,TF_Tekniker,AS$4,TF_Dato,$A868))*2,0)/2)))</f>
        <v/>
      </c>
      <c r="AT868">
        <f>IF(OR(AT$4="",$A868&gt;TODAY()),0,IF(OR(INDEX($B868:$D868,AT$5)="F",AND(AT$6&gt;0,$A868&lt;AT$6),AND(AT$7&gt;0,$A868&gt;AT$7)),0,MAX(0,ROUND((INDEX($E868:$G868,AT$5)-SUMIFS(TF_Timer,TF_Tekniker,AT$4,TF_Dato,$A868))*2,0)/2)))</f>
        <v/>
      </c>
      <c r="AU868">
        <f>IF(OR(AU$4="",$A868&gt;TODAY()),0,IF(OR(INDEX($B868:$D868,AU$5)="F",AND(AU$6&gt;0,$A868&lt;AU$6),AND(AU$7&gt;0,$A868&gt;AU$7)),0,MAX(0,ROUND((INDEX($E868:$G868,AU$5)-SUMIFS(TF_Timer,TF_Tekniker,AU$4,TF_Dato,$A868))*2,0)/2)))</f>
        <v/>
      </c>
      <c r="AV868">
        <f>IF(OR(AV$4="",$A868&gt;TODAY()),0,IF(OR(INDEX($B868:$D868,AV$5)="F",AND(AV$6&gt;0,$A868&lt;AV$6),AND(AV$7&gt;0,$A868&gt;AV$7)),0,MAX(0,ROUND((INDEX($E868:$G868,AV$5)-SUMIFS(TF_Timer,TF_Tekniker,AV$4,TF_Dato,$A868))*2,0)/2)))</f>
        <v/>
      </c>
      <c r="AW868">
        <f>IF(OR(AW$4="",$A868&gt;TODAY()),0,IF(OR(INDEX($B868:$D868,AW$5)="F",AND(AW$6&gt;0,$A868&lt;AW$6),AND(AW$7&gt;0,$A868&gt;AW$7)),0,MAX(0,ROUND((INDEX($E868:$G868,AW$5)-SUMIFS(TF_Timer,TF_Tekniker,AW$4,TF_Dato,$A868))*2,0)/2)))</f>
        <v/>
      </c>
      <c r="AX868">
        <f>IF(OR(AX$4="",$A868&gt;TODAY()),0,IF(OR(INDEX($B868:$D868,AX$5)="F",AND(AX$6&gt;0,$A868&lt;AX$6),AND(AX$7&gt;0,$A868&gt;AX$7)),0,MAX(0,ROUND((INDEX($E868:$G868,AX$5)-SUMIFS(TF_Timer,TF_Tekniker,AX$4,TF_Dato,$A868))*2,0)/2)))</f>
        <v/>
      </c>
      <c r="AY868">
        <f>IF(OR(AY$4="",$A868&gt;TODAY()),0,IF(OR(INDEX($B868:$D868,AY$5)="F",AND(AY$6&gt;0,$A868&lt;AY$6),AND(AY$7&gt;0,$A868&gt;AY$7)),0,MAX(0,ROUND((INDEX($E868:$G868,AY$5)-SUMIFS(TF_Timer,TF_Tekniker,AY$4,TF_Dato,$A868))*2,0)/2)))</f>
        <v/>
      </c>
      <c r="AZ868">
        <f>IF(OR(AZ$4="",$A868&gt;TODAY()),0,IF(OR(INDEX($B868:$D868,AZ$5)="F",AND(AZ$6&gt;0,$A868&lt;AZ$6),AND(AZ$7&gt;0,$A868&gt;AZ$7)),0,MAX(0,ROUND((INDEX($E868:$G868,AZ$5)-SUMIFS(TF_Timer,TF_Tekniker,AZ$4,TF_Dato,$A868))*2,0)/2)))</f>
        <v/>
      </c>
      <c r="BA868">
        <f>IF(OR(BA$4="",$A868&gt;TODAY()),0,IF(OR(INDEX($B868:$D868,BA$5)="F",AND(BA$6&gt;0,$A868&lt;BA$6),AND(BA$7&gt;0,$A868&gt;BA$7)),0,MAX(0,ROUND((INDEX($E868:$G868,BA$5)-SUMIFS(TF_Timer,TF_Tekniker,BA$4,TF_Dato,$A868))*2,0)/2)))</f>
        <v/>
      </c>
      <c r="BB868">
        <f>IF(OR(BB$4="",$A868&gt;TODAY()),0,IF(OR(INDEX($B868:$D868,BB$5)="F",AND(BB$6&gt;0,$A868&lt;BB$6),AND(BB$7&gt;0,$A868&gt;BB$7)),0,MAX(0,ROUND((INDEX($E868:$G868,BB$5)-SUMIFS(TF_Timer,TF_Tekniker,BB$4,TF_Dato,$A868))*2,0)/2)))</f>
        <v/>
      </c>
      <c r="BC868">
        <f>IF(OR(BC$4="",$A868&gt;TODAY()),0,IF(OR(INDEX($B868:$D868,BC$5)="F",AND(BC$6&gt;0,$A868&lt;BC$6),AND(BC$7&gt;0,$A868&gt;BC$7)),0,MAX(0,ROUND((INDEX($E868:$G868,BC$5)-SUMIFS(TF_Timer,TF_Tekniker,BC$4,TF_Dato,$A868))*2,0)/2)))</f>
        <v/>
      </c>
      <c r="BD868">
        <f>IF(OR(BD$4="",$A868&gt;TODAY()),0,IF(OR(INDEX($B868:$D868,BD$5)="F",AND(BD$6&gt;0,$A868&lt;BD$6),AND(BD$7&gt;0,$A868&gt;BD$7)),0,MAX(0,ROUND((INDEX($E868:$G868,BD$5)-SUMIFS(TF_Timer,TF_Tekniker,BD$4,TF_Dato,$A868))*2,0)/2)))</f>
        <v/>
      </c>
      <c r="BE868">
        <f>IF(OR(BE$4="",$A868&gt;TODAY()),0,IF(OR(INDEX($B868:$D868,BE$5)="F",AND(BE$6&gt;0,$A868&lt;BE$6),AND(BE$7&gt;0,$A868&gt;BE$7)),0,MAX(0,ROUND((INDEX($E868:$G868,BE$5)-SUMIFS(TF_Timer,TF_Tekniker,BE$4,TF_Dato,$A868))*2,0)/2)))</f>
        <v/>
      </c>
      <c r="BF868">
        <f>IF(OR(BF$4="",$A868&gt;TODAY()),0,IF(OR(INDEX($B868:$D868,BF$5)="F",AND(BF$6&gt;0,$A868&lt;BF$6),AND(BF$7&gt;0,$A868&gt;BF$7)),0,MAX(0,ROUND((INDEX($E868:$G868,BF$5)-SUMIFS(TF_Timer,TF_Tekniker,BF$4,TF_Dato,$A868))*2,0)/2)))</f>
        <v/>
      </c>
      <c r="BG868">
        <f>IF(OR(BG$4="",$A868&gt;TODAY()),0,IF(OR(INDEX($B868:$D868,BG$5)="F",AND(BG$6&gt;0,$A868&lt;BG$6),AND(BG$7&gt;0,$A868&gt;BG$7)),0,MAX(0,ROUND((INDEX($E868:$G868,BG$5)-SUMIFS(TF_Timer,TF_Tekniker,BG$4,TF_Dato,$A868))*2,0)/2)))</f>
        <v/>
      </c>
      <c r="BH868">
        <f>IF(OR(BH$4="",$A868&gt;TODAY()),0,IF(OR(INDEX($B868:$D868,BH$5)="F",AND(BH$6&gt;0,$A868&lt;BH$6),AND(BH$7&gt;0,$A868&gt;BH$7)),0,MAX(0,ROUND((INDEX($E868:$G868,BH$5)-SUMIFS(TF_Timer,TF_Tekniker,BH$4,TF_Dato,$A868))*2,0)/2)))</f>
        <v/>
      </c>
      <c r="BI868">
        <f>IF(OR(BI$4="",$A868&gt;TODAY()),0,IF(OR(INDEX($B868:$D868,BI$5)="F",AND(BI$6&gt;0,$A868&lt;BI$6),AND(BI$7&gt;0,$A868&gt;BI$7)),0,MAX(0,ROUND((INDEX($E868:$G868,BI$5)-SUMIFS(TF_Timer,TF_Tekniker,BI$4,TF_Dato,$A868))*2,0)/2)))</f>
        <v/>
      </c>
    </row>
    <row r="869">
      <c r="A869" s="64">
        <f>A868+1</f>
        <v/>
      </c>
      <c r="B869">
        <f>IF(MOD($A869-INDEX(SkiftStart,1),Syklus)&lt;DagK,"K",IF(MOD($A869-INDEX(SkiftStart,1),Syklus)&lt;DagK+DagH,"H",IF(MOD($A869-INDEX(SkiftStart,1),Syklus)&lt;DagK+DagH+DagD,"D","F")))</f>
        <v/>
      </c>
      <c r="C869">
        <f>IF(MOD($A869-INDEX(SkiftStart,2),Syklus)&lt;DagK,"K",IF(MOD($A869-INDEX(SkiftStart,2),Syklus)&lt;DagK+DagH,"H",IF(MOD($A869-INDEX(SkiftStart,2),Syklus)&lt;DagK+DagH+DagD,"D","F")))</f>
        <v/>
      </c>
      <c r="D869">
        <f>IF(MOD($A869-INDEX(SkiftStart,3),Syklus)&lt;DagK,"K",IF(MOD($A869-INDEX(SkiftStart,3),Syklus)&lt;DagK+DagH,"H",IF(MOD($A869-INDEX(SkiftStart,3),Syklus)&lt;DagK+DagH+DagD,"D","F")))</f>
        <v/>
      </c>
      <c r="E869">
        <f>IF(B869="F",0,IF(WEEKDAY($A869,2)=5,INDEX(TimerFr,MATCH(B869,FaseKode,0)),INDEX(TimerMT,MATCH(B869,FaseKode,0))))</f>
        <v/>
      </c>
      <c r="F869">
        <f>IF(C869="F",0,IF(WEEKDAY($A869,2)=5,INDEX(TimerFr,MATCH(C869,FaseKode,0)),INDEX(TimerMT,MATCH(C869,FaseKode,0))))</f>
        <v/>
      </c>
      <c r="G869">
        <f>IF(D869="F",0,IF(WEEKDAY($A869,2)=5,INDEX(TimerFr,MATCH(D869,FaseKode,0)),INDEX(TimerMT,MATCH(D869,FaseKode,0))))</f>
        <v/>
      </c>
      <c r="H869">
        <f>IF(OR(H$4="",$A869&gt;TODAY()),0,IF(OR(INDEX($B869:$D869,H$5)="F",AND(H$6&gt;0,$A869&lt;H$6),AND(H$7&gt;0,$A869&gt;H$7)),0,MAX(0,ROUND((INDEX($E869:$G869,H$5)-SUMIFS(TF_Timer,TF_Tekniker,H$4,TF_Dato,$A869))*2,0)/2)))</f>
        <v/>
      </c>
      <c r="I869">
        <f>IF(OR(I$4="",$A869&gt;TODAY()),0,IF(OR(INDEX($B869:$D869,I$5)="F",AND(I$6&gt;0,$A869&lt;I$6),AND(I$7&gt;0,$A869&gt;I$7)),0,MAX(0,ROUND((INDEX($E869:$G869,I$5)-SUMIFS(TF_Timer,TF_Tekniker,I$4,TF_Dato,$A869))*2,0)/2)))</f>
        <v/>
      </c>
      <c r="J869">
        <f>IF(OR(J$4="",$A869&gt;TODAY()),0,IF(OR(INDEX($B869:$D869,J$5)="F",AND(J$6&gt;0,$A869&lt;J$6),AND(J$7&gt;0,$A869&gt;J$7)),0,MAX(0,ROUND((INDEX($E869:$G869,J$5)-SUMIFS(TF_Timer,TF_Tekniker,J$4,TF_Dato,$A869))*2,0)/2)))</f>
        <v/>
      </c>
      <c r="K869">
        <f>IF(OR(K$4="",$A869&gt;TODAY()),0,IF(OR(INDEX($B869:$D869,K$5)="F",AND(K$6&gt;0,$A869&lt;K$6),AND(K$7&gt;0,$A869&gt;K$7)),0,MAX(0,ROUND((INDEX($E869:$G869,K$5)-SUMIFS(TF_Timer,TF_Tekniker,K$4,TF_Dato,$A869))*2,0)/2)))</f>
        <v/>
      </c>
      <c r="L869">
        <f>IF(OR(L$4="",$A869&gt;TODAY()),0,IF(OR(INDEX($B869:$D869,L$5)="F",AND(L$6&gt;0,$A869&lt;L$6),AND(L$7&gt;0,$A869&gt;L$7)),0,MAX(0,ROUND((INDEX($E869:$G869,L$5)-SUMIFS(TF_Timer,TF_Tekniker,L$4,TF_Dato,$A869))*2,0)/2)))</f>
        <v/>
      </c>
      <c r="M869">
        <f>IF(OR(M$4="",$A869&gt;TODAY()),0,IF(OR(INDEX($B869:$D869,M$5)="F",AND(M$6&gt;0,$A869&lt;M$6),AND(M$7&gt;0,$A869&gt;M$7)),0,MAX(0,ROUND((INDEX($E869:$G869,M$5)-SUMIFS(TF_Timer,TF_Tekniker,M$4,TF_Dato,$A869))*2,0)/2)))</f>
        <v/>
      </c>
      <c r="N869">
        <f>IF(OR(N$4="",$A869&gt;TODAY()),0,IF(OR(INDEX($B869:$D869,N$5)="F",AND(N$6&gt;0,$A869&lt;N$6),AND(N$7&gt;0,$A869&gt;N$7)),0,MAX(0,ROUND((INDEX($E869:$G869,N$5)-SUMIFS(TF_Timer,TF_Tekniker,N$4,TF_Dato,$A869))*2,0)/2)))</f>
        <v/>
      </c>
      <c r="O869">
        <f>IF(OR(O$4="",$A869&gt;TODAY()),0,IF(OR(INDEX($B869:$D869,O$5)="F",AND(O$6&gt;0,$A869&lt;O$6),AND(O$7&gt;0,$A869&gt;O$7)),0,MAX(0,ROUND((INDEX($E869:$G869,O$5)-SUMIFS(TF_Timer,TF_Tekniker,O$4,TF_Dato,$A869))*2,0)/2)))</f>
        <v/>
      </c>
      <c r="P869">
        <f>IF(OR(P$4="",$A869&gt;TODAY()),0,IF(OR(INDEX($B869:$D869,P$5)="F",AND(P$6&gt;0,$A869&lt;P$6),AND(P$7&gt;0,$A869&gt;P$7)),0,MAX(0,ROUND((INDEX($E869:$G869,P$5)-SUMIFS(TF_Timer,TF_Tekniker,P$4,TF_Dato,$A869))*2,0)/2)))</f>
        <v/>
      </c>
      <c r="Q869">
        <f>IF(OR(Q$4="",$A869&gt;TODAY()),0,IF(OR(INDEX($B869:$D869,Q$5)="F",AND(Q$6&gt;0,$A869&lt;Q$6),AND(Q$7&gt;0,$A869&gt;Q$7)),0,MAX(0,ROUND((INDEX($E869:$G869,Q$5)-SUMIFS(TF_Timer,TF_Tekniker,Q$4,TF_Dato,$A869))*2,0)/2)))</f>
        <v/>
      </c>
      <c r="R869">
        <f>IF(OR(R$4="",$A869&gt;TODAY()),0,IF(OR(INDEX($B869:$D869,R$5)="F",AND(R$6&gt;0,$A869&lt;R$6),AND(R$7&gt;0,$A869&gt;R$7)),0,MAX(0,ROUND((INDEX($E869:$G869,R$5)-SUMIFS(TF_Timer,TF_Tekniker,R$4,TF_Dato,$A869))*2,0)/2)))</f>
        <v/>
      </c>
      <c r="S869">
        <f>IF(OR(S$4="",$A869&gt;TODAY()),0,IF(OR(INDEX($B869:$D869,S$5)="F",AND(S$6&gt;0,$A869&lt;S$6),AND(S$7&gt;0,$A869&gt;S$7)),0,MAX(0,ROUND((INDEX($E869:$G869,S$5)-SUMIFS(TF_Timer,TF_Tekniker,S$4,TF_Dato,$A869))*2,0)/2)))</f>
        <v/>
      </c>
      <c r="T869">
        <f>IF(OR(T$4="",$A869&gt;TODAY()),0,IF(OR(INDEX($B869:$D869,T$5)="F",AND(T$6&gt;0,$A869&lt;T$6),AND(T$7&gt;0,$A869&gt;T$7)),0,MAX(0,ROUND((INDEX($E869:$G869,T$5)-SUMIFS(TF_Timer,TF_Tekniker,T$4,TF_Dato,$A869))*2,0)/2)))</f>
        <v/>
      </c>
      <c r="U869">
        <f>IF(OR(U$4="",$A869&gt;TODAY()),0,IF(OR(INDEX($B869:$D869,U$5)="F",AND(U$6&gt;0,$A869&lt;U$6),AND(U$7&gt;0,$A869&gt;U$7)),0,MAX(0,ROUND((INDEX($E869:$G869,U$5)-SUMIFS(TF_Timer,TF_Tekniker,U$4,TF_Dato,$A869))*2,0)/2)))</f>
        <v/>
      </c>
      <c r="V869">
        <f>IF(OR(V$4="",$A869&gt;TODAY()),0,IF(OR(INDEX($B869:$D869,V$5)="F",AND(V$6&gt;0,$A869&lt;V$6),AND(V$7&gt;0,$A869&gt;V$7)),0,MAX(0,ROUND((INDEX($E869:$G869,V$5)-SUMIFS(TF_Timer,TF_Tekniker,V$4,TF_Dato,$A869))*2,0)/2)))</f>
        <v/>
      </c>
      <c r="W869">
        <f>IF(OR(W$4="",$A869&gt;TODAY()),0,IF(OR(INDEX($B869:$D869,W$5)="F",AND(W$6&gt;0,$A869&lt;W$6),AND(W$7&gt;0,$A869&gt;W$7)),0,MAX(0,ROUND((INDEX($E869:$G869,W$5)-SUMIFS(TF_Timer,TF_Tekniker,W$4,TF_Dato,$A869))*2,0)/2)))</f>
        <v/>
      </c>
      <c r="X869">
        <f>IF(OR(X$4="",$A869&gt;TODAY()),0,IF(OR(INDEX($B869:$D869,X$5)="F",AND(X$6&gt;0,$A869&lt;X$6),AND(X$7&gt;0,$A869&gt;X$7)),0,MAX(0,ROUND((INDEX($E869:$G869,X$5)-SUMIFS(TF_Timer,TF_Tekniker,X$4,TF_Dato,$A869))*2,0)/2)))</f>
        <v/>
      </c>
      <c r="Y869">
        <f>IF(OR(Y$4="",$A869&gt;TODAY()),0,IF(OR(INDEX($B869:$D869,Y$5)="F",AND(Y$6&gt;0,$A869&lt;Y$6),AND(Y$7&gt;0,$A869&gt;Y$7)),0,MAX(0,ROUND((INDEX($E869:$G869,Y$5)-SUMIFS(TF_Timer,TF_Tekniker,Y$4,TF_Dato,$A869))*2,0)/2)))</f>
        <v/>
      </c>
      <c r="Z869">
        <f>IF(OR(Z$4="",$A869&gt;TODAY()),0,IF(OR(INDEX($B869:$D869,Z$5)="F",AND(Z$6&gt;0,$A869&lt;Z$6),AND(Z$7&gt;0,$A869&gt;Z$7)),0,MAX(0,ROUND((INDEX($E869:$G869,Z$5)-SUMIFS(TF_Timer,TF_Tekniker,Z$4,TF_Dato,$A869))*2,0)/2)))</f>
        <v/>
      </c>
      <c r="AA869">
        <f>IF(OR(AA$4="",$A869&gt;TODAY()),0,IF(OR(INDEX($B869:$D869,AA$5)="F",AND(AA$6&gt;0,$A869&lt;AA$6),AND(AA$7&gt;0,$A869&gt;AA$7)),0,MAX(0,ROUND((INDEX($E869:$G869,AA$5)-SUMIFS(TF_Timer,TF_Tekniker,AA$4,TF_Dato,$A869))*2,0)/2)))</f>
        <v/>
      </c>
      <c r="AB869">
        <f>IF(OR(AB$4="",$A869&gt;TODAY()),0,IF(OR(INDEX($B869:$D869,AB$5)="F",AND(AB$6&gt;0,$A869&lt;AB$6),AND(AB$7&gt;0,$A869&gt;AB$7)),0,MAX(0,ROUND((INDEX($E869:$G869,AB$5)-SUMIFS(TF_Timer,TF_Tekniker,AB$4,TF_Dato,$A869))*2,0)/2)))</f>
        <v/>
      </c>
      <c r="AC869">
        <f>IF(OR(AC$4="",$A869&gt;TODAY()),0,IF(OR(INDEX($B869:$D869,AC$5)="F",AND(AC$6&gt;0,$A869&lt;AC$6),AND(AC$7&gt;0,$A869&gt;AC$7)),0,MAX(0,ROUND((INDEX($E869:$G869,AC$5)-SUMIFS(TF_Timer,TF_Tekniker,AC$4,TF_Dato,$A869))*2,0)/2)))</f>
        <v/>
      </c>
      <c r="AD869">
        <f>IF(OR(AD$4="",$A869&gt;TODAY()),0,IF(OR(INDEX($B869:$D869,AD$5)="F",AND(AD$6&gt;0,$A869&lt;AD$6),AND(AD$7&gt;0,$A869&gt;AD$7)),0,MAX(0,ROUND((INDEX($E869:$G869,AD$5)-SUMIFS(TF_Timer,TF_Tekniker,AD$4,TF_Dato,$A869))*2,0)/2)))</f>
        <v/>
      </c>
      <c r="AE869">
        <f>IF(OR(AE$4="",$A869&gt;TODAY()),0,IF(OR(INDEX($B869:$D869,AE$5)="F",AND(AE$6&gt;0,$A869&lt;AE$6),AND(AE$7&gt;0,$A869&gt;AE$7)),0,MAX(0,ROUND((INDEX($E869:$G869,AE$5)-SUMIFS(TF_Timer,TF_Tekniker,AE$4,TF_Dato,$A869))*2,0)/2)))</f>
        <v/>
      </c>
      <c r="AF869">
        <f>IF(OR(AF$4="",$A869&gt;TODAY()),0,IF(OR(INDEX($B869:$D869,AF$5)="F",AND(AF$6&gt;0,$A869&lt;AF$6),AND(AF$7&gt;0,$A869&gt;AF$7)),0,MAX(0,ROUND((INDEX($E869:$G869,AF$5)-SUMIFS(TF_Timer,TF_Tekniker,AF$4,TF_Dato,$A869))*2,0)/2)))</f>
        <v/>
      </c>
      <c r="AG869">
        <f>IF(OR(AG$4="",$A869&gt;TODAY()),0,IF(OR(INDEX($B869:$D869,AG$5)="F",AND(AG$6&gt;0,$A869&lt;AG$6),AND(AG$7&gt;0,$A869&gt;AG$7)),0,MAX(0,ROUND((INDEX($E869:$G869,AG$5)-SUMIFS(TF_Timer,TF_Tekniker,AG$4,TF_Dato,$A869))*2,0)/2)))</f>
        <v/>
      </c>
      <c r="AH869">
        <f>IF(OR(AH$4="",$A869&gt;TODAY()),0,IF(OR(INDEX($B869:$D869,AH$5)="F",AND(AH$6&gt;0,$A869&lt;AH$6),AND(AH$7&gt;0,$A869&gt;AH$7)),0,MAX(0,ROUND((INDEX($E869:$G869,AH$5)-SUMIFS(TF_Timer,TF_Tekniker,AH$4,TF_Dato,$A869))*2,0)/2)))</f>
        <v/>
      </c>
      <c r="AI869">
        <f>IF(OR(AI$4="",$A869&gt;TODAY()),0,IF(OR(INDEX($B869:$D869,AI$5)="F",AND(AI$6&gt;0,$A869&lt;AI$6),AND(AI$7&gt;0,$A869&gt;AI$7)),0,MAX(0,ROUND((INDEX($E869:$G869,AI$5)-SUMIFS(TF_Timer,TF_Tekniker,AI$4,TF_Dato,$A869))*2,0)/2)))</f>
        <v/>
      </c>
      <c r="AJ869">
        <f>IF(OR(AJ$4="",$A869&gt;TODAY()),0,IF(OR(INDEX($B869:$D869,AJ$5)="F",AND(AJ$6&gt;0,$A869&lt;AJ$6),AND(AJ$7&gt;0,$A869&gt;AJ$7)),0,MAX(0,ROUND((INDEX($E869:$G869,AJ$5)-SUMIFS(TF_Timer,TF_Tekniker,AJ$4,TF_Dato,$A869))*2,0)/2)))</f>
        <v/>
      </c>
      <c r="AK869">
        <f>IF(OR(AK$4="",$A869&gt;TODAY()),0,IF(OR(INDEX($B869:$D869,AK$5)="F",AND(AK$6&gt;0,$A869&lt;AK$6),AND(AK$7&gt;0,$A869&gt;AK$7)),0,MAX(0,ROUND((INDEX($E869:$G869,AK$5)-SUMIFS(TF_Timer,TF_Tekniker,AK$4,TF_Dato,$A869))*2,0)/2)))</f>
        <v/>
      </c>
      <c r="AL869">
        <f>IF(OR(AL$4="",$A869&gt;TODAY()),0,IF(OR(INDEX($B869:$D869,AL$5)="F",AND(AL$6&gt;0,$A869&lt;AL$6),AND(AL$7&gt;0,$A869&gt;AL$7)),0,MAX(0,ROUND((INDEX($E869:$G869,AL$5)-SUMIFS(TF_Timer,TF_Tekniker,AL$4,TF_Dato,$A869))*2,0)/2)))</f>
        <v/>
      </c>
      <c r="AM869">
        <f>IF(OR(AM$4="",$A869&gt;TODAY()),0,IF(OR(INDEX($B869:$D869,AM$5)="F",AND(AM$6&gt;0,$A869&lt;AM$6),AND(AM$7&gt;0,$A869&gt;AM$7)),0,MAX(0,ROUND((INDEX($E869:$G869,AM$5)-SUMIFS(TF_Timer,TF_Tekniker,AM$4,TF_Dato,$A869))*2,0)/2)))</f>
        <v/>
      </c>
      <c r="AN869">
        <f>IF(OR(AN$4="",$A869&gt;TODAY()),0,IF(OR(INDEX($B869:$D869,AN$5)="F",AND(AN$6&gt;0,$A869&lt;AN$6),AND(AN$7&gt;0,$A869&gt;AN$7)),0,MAX(0,ROUND((INDEX($E869:$G869,AN$5)-SUMIFS(TF_Timer,TF_Tekniker,AN$4,TF_Dato,$A869))*2,0)/2)))</f>
        <v/>
      </c>
      <c r="AO869">
        <f>IF(OR(AO$4="",$A869&gt;TODAY()),0,IF(OR(INDEX($B869:$D869,AO$5)="F",AND(AO$6&gt;0,$A869&lt;AO$6),AND(AO$7&gt;0,$A869&gt;AO$7)),0,MAX(0,ROUND((INDEX($E869:$G869,AO$5)-SUMIFS(TF_Timer,TF_Tekniker,AO$4,TF_Dato,$A869))*2,0)/2)))</f>
        <v/>
      </c>
      <c r="AP869">
        <f>IF(OR(AP$4="",$A869&gt;TODAY()),0,IF(OR(INDEX($B869:$D869,AP$5)="F",AND(AP$6&gt;0,$A869&lt;AP$6),AND(AP$7&gt;0,$A869&gt;AP$7)),0,MAX(0,ROUND((INDEX($E869:$G869,AP$5)-SUMIFS(TF_Timer,TF_Tekniker,AP$4,TF_Dato,$A869))*2,0)/2)))</f>
        <v/>
      </c>
      <c r="AQ869">
        <f>IF(OR(AQ$4="",$A869&gt;TODAY()),0,IF(OR(INDEX($B869:$D869,AQ$5)="F",AND(AQ$6&gt;0,$A869&lt;AQ$6),AND(AQ$7&gt;0,$A869&gt;AQ$7)),0,MAX(0,ROUND((INDEX($E869:$G869,AQ$5)-SUMIFS(TF_Timer,TF_Tekniker,AQ$4,TF_Dato,$A869))*2,0)/2)))</f>
        <v/>
      </c>
      <c r="AR869">
        <f>IF(OR(AR$4="",$A869&gt;TODAY()),0,IF(OR(INDEX($B869:$D869,AR$5)="F",AND(AR$6&gt;0,$A869&lt;AR$6),AND(AR$7&gt;0,$A869&gt;AR$7)),0,MAX(0,ROUND((INDEX($E869:$G869,AR$5)-SUMIFS(TF_Timer,TF_Tekniker,AR$4,TF_Dato,$A869))*2,0)/2)))</f>
        <v/>
      </c>
      <c r="AS869">
        <f>IF(OR(AS$4="",$A869&gt;TODAY()),0,IF(OR(INDEX($B869:$D869,AS$5)="F",AND(AS$6&gt;0,$A869&lt;AS$6),AND(AS$7&gt;0,$A869&gt;AS$7)),0,MAX(0,ROUND((INDEX($E869:$G869,AS$5)-SUMIFS(TF_Timer,TF_Tekniker,AS$4,TF_Dato,$A869))*2,0)/2)))</f>
        <v/>
      </c>
      <c r="AT869">
        <f>IF(OR(AT$4="",$A869&gt;TODAY()),0,IF(OR(INDEX($B869:$D869,AT$5)="F",AND(AT$6&gt;0,$A869&lt;AT$6),AND(AT$7&gt;0,$A869&gt;AT$7)),0,MAX(0,ROUND((INDEX($E869:$G869,AT$5)-SUMIFS(TF_Timer,TF_Tekniker,AT$4,TF_Dato,$A869))*2,0)/2)))</f>
        <v/>
      </c>
      <c r="AU869">
        <f>IF(OR(AU$4="",$A869&gt;TODAY()),0,IF(OR(INDEX($B869:$D869,AU$5)="F",AND(AU$6&gt;0,$A869&lt;AU$6),AND(AU$7&gt;0,$A869&gt;AU$7)),0,MAX(0,ROUND((INDEX($E869:$G869,AU$5)-SUMIFS(TF_Timer,TF_Tekniker,AU$4,TF_Dato,$A869))*2,0)/2)))</f>
        <v/>
      </c>
      <c r="AV869">
        <f>IF(OR(AV$4="",$A869&gt;TODAY()),0,IF(OR(INDEX($B869:$D869,AV$5)="F",AND(AV$6&gt;0,$A869&lt;AV$6),AND(AV$7&gt;0,$A869&gt;AV$7)),0,MAX(0,ROUND((INDEX($E869:$G869,AV$5)-SUMIFS(TF_Timer,TF_Tekniker,AV$4,TF_Dato,$A869))*2,0)/2)))</f>
        <v/>
      </c>
      <c r="AW869">
        <f>IF(OR(AW$4="",$A869&gt;TODAY()),0,IF(OR(INDEX($B869:$D869,AW$5)="F",AND(AW$6&gt;0,$A869&lt;AW$6),AND(AW$7&gt;0,$A869&gt;AW$7)),0,MAX(0,ROUND((INDEX($E869:$G869,AW$5)-SUMIFS(TF_Timer,TF_Tekniker,AW$4,TF_Dato,$A869))*2,0)/2)))</f>
        <v/>
      </c>
      <c r="AX869">
        <f>IF(OR(AX$4="",$A869&gt;TODAY()),0,IF(OR(INDEX($B869:$D869,AX$5)="F",AND(AX$6&gt;0,$A869&lt;AX$6),AND(AX$7&gt;0,$A869&gt;AX$7)),0,MAX(0,ROUND((INDEX($E869:$G869,AX$5)-SUMIFS(TF_Timer,TF_Tekniker,AX$4,TF_Dato,$A869))*2,0)/2)))</f>
        <v/>
      </c>
      <c r="AY869">
        <f>IF(OR(AY$4="",$A869&gt;TODAY()),0,IF(OR(INDEX($B869:$D869,AY$5)="F",AND(AY$6&gt;0,$A869&lt;AY$6),AND(AY$7&gt;0,$A869&gt;AY$7)),0,MAX(0,ROUND((INDEX($E869:$G869,AY$5)-SUMIFS(TF_Timer,TF_Tekniker,AY$4,TF_Dato,$A869))*2,0)/2)))</f>
        <v/>
      </c>
      <c r="AZ869">
        <f>IF(OR(AZ$4="",$A869&gt;TODAY()),0,IF(OR(INDEX($B869:$D869,AZ$5)="F",AND(AZ$6&gt;0,$A869&lt;AZ$6),AND(AZ$7&gt;0,$A869&gt;AZ$7)),0,MAX(0,ROUND((INDEX($E869:$G869,AZ$5)-SUMIFS(TF_Timer,TF_Tekniker,AZ$4,TF_Dato,$A869))*2,0)/2)))</f>
        <v/>
      </c>
      <c r="BA869">
        <f>IF(OR(BA$4="",$A869&gt;TODAY()),0,IF(OR(INDEX($B869:$D869,BA$5)="F",AND(BA$6&gt;0,$A869&lt;BA$6),AND(BA$7&gt;0,$A869&gt;BA$7)),0,MAX(0,ROUND((INDEX($E869:$G869,BA$5)-SUMIFS(TF_Timer,TF_Tekniker,BA$4,TF_Dato,$A869))*2,0)/2)))</f>
        <v/>
      </c>
      <c r="BB869">
        <f>IF(OR(BB$4="",$A869&gt;TODAY()),0,IF(OR(INDEX($B869:$D869,BB$5)="F",AND(BB$6&gt;0,$A869&lt;BB$6),AND(BB$7&gt;0,$A869&gt;BB$7)),0,MAX(0,ROUND((INDEX($E869:$G869,BB$5)-SUMIFS(TF_Timer,TF_Tekniker,BB$4,TF_Dato,$A869))*2,0)/2)))</f>
        <v/>
      </c>
      <c r="BC869">
        <f>IF(OR(BC$4="",$A869&gt;TODAY()),0,IF(OR(INDEX($B869:$D869,BC$5)="F",AND(BC$6&gt;0,$A869&lt;BC$6),AND(BC$7&gt;0,$A869&gt;BC$7)),0,MAX(0,ROUND((INDEX($E869:$G869,BC$5)-SUMIFS(TF_Timer,TF_Tekniker,BC$4,TF_Dato,$A869))*2,0)/2)))</f>
        <v/>
      </c>
      <c r="BD869">
        <f>IF(OR(BD$4="",$A869&gt;TODAY()),0,IF(OR(INDEX($B869:$D869,BD$5)="F",AND(BD$6&gt;0,$A869&lt;BD$6),AND(BD$7&gt;0,$A869&gt;BD$7)),0,MAX(0,ROUND((INDEX($E869:$G869,BD$5)-SUMIFS(TF_Timer,TF_Tekniker,BD$4,TF_Dato,$A869))*2,0)/2)))</f>
        <v/>
      </c>
      <c r="BE869">
        <f>IF(OR(BE$4="",$A869&gt;TODAY()),0,IF(OR(INDEX($B869:$D869,BE$5)="F",AND(BE$6&gt;0,$A869&lt;BE$6),AND(BE$7&gt;0,$A869&gt;BE$7)),0,MAX(0,ROUND((INDEX($E869:$G869,BE$5)-SUMIFS(TF_Timer,TF_Tekniker,BE$4,TF_Dato,$A869))*2,0)/2)))</f>
        <v/>
      </c>
      <c r="BF869">
        <f>IF(OR(BF$4="",$A869&gt;TODAY()),0,IF(OR(INDEX($B869:$D869,BF$5)="F",AND(BF$6&gt;0,$A869&lt;BF$6),AND(BF$7&gt;0,$A869&gt;BF$7)),0,MAX(0,ROUND((INDEX($E869:$G869,BF$5)-SUMIFS(TF_Timer,TF_Tekniker,BF$4,TF_Dato,$A869))*2,0)/2)))</f>
        <v/>
      </c>
      <c r="BG869">
        <f>IF(OR(BG$4="",$A869&gt;TODAY()),0,IF(OR(INDEX($B869:$D869,BG$5)="F",AND(BG$6&gt;0,$A869&lt;BG$6),AND(BG$7&gt;0,$A869&gt;BG$7)),0,MAX(0,ROUND((INDEX($E869:$G869,BG$5)-SUMIFS(TF_Timer,TF_Tekniker,BG$4,TF_Dato,$A869))*2,0)/2)))</f>
        <v/>
      </c>
      <c r="BH869">
        <f>IF(OR(BH$4="",$A869&gt;TODAY()),0,IF(OR(INDEX($B869:$D869,BH$5)="F",AND(BH$6&gt;0,$A869&lt;BH$6),AND(BH$7&gt;0,$A869&gt;BH$7)),0,MAX(0,ROUND((INDEX($E869:$G869,BH$5)-SUMIFS(TF_Timer,TF_Tekniker,BH$4,TF_Dato,$A869))*2,0)/2)))</f>
        <v/>
      </c>
      <c r="BI869">
        <f>IF(OR(BI$4="",$A869&gt;TODAY()),0,IF(OR(INDEX($B869:$D869,BI$5)="F",AND(BI$6&gt;0,$A869&lt;BI$6),AND(BI$7&gt;0,$A869&gt;BI$7)),0,MAX(0,ROUND((INDEX($E869:$G869,BI$5)-SUMIFS(TF_Timer,TF_Tekniker,BI$4,TF_Dato,$A869))*2,0)/2)))</f>
        <v/>
      </c>
    </row>
    <row r="870">
      <c r="A870" s="64">
        <f>A869+1</f>
        <v/>
      </c>
      <c r="B870">
        <f>IF(MOD($A870-INDEX(SkiftStart,1),Syklus)&lt;DagK,"K",IF(MOD($A870-INDEX(SkiftStart,1),Syklus)&lt;DagK+DagH,"H",IF(MOD($A870-INDEX(SkiftStart,1),Syklus)&lt;DagK+DagH+DagD,"D","F")))</f>
        <v/>
      </c>
      <c r="C870">
        <f>IF(MOD($A870-INDEX(SkiftStart,2),Syklus)&lt;DagK,"K",IF(MOD($A870-INDEX(SkiftStart,2),Syklus)&lt;DagK+DagH,"H",IF(MOD($A870-INDEX(SkiftStart,2),Syklus)&lt;DagK+DagH+DagD,"D","F")))</f>
        <v/>
      </c>
      <c r="D870">
        <f>IF(MOD($A870-INDEX(SkiftStart,3),Syklus)&lt;DagK,"K",IF(MOD($A870-INDEX(SkiftStart,3),Syklus)&lt;DagK+DagH,"H",IF(MOD($A870-INDEX(SkiftStart,3),Syklus)&lt;DagK+DagH+DagD,"D","F")))</f>
        <v/>
      </c>
      <c r="E870">
        <f>IF(B870="F",0,IF(WEEKDAY($A870,2)=5,INDEX(TimerFr,MATCH(B870,FaseKode,0)),INDEX(TimerMT,MATCH(B870,FaseKode,0))))</f>
        <v/>
      </c>
      <c r="F870">
        <f>IF(C870="F",0,IF(WEEKDAY($A870,2)=5,INDEX(TimerFr,MATCH(C870,FaseKode,0)),INDEX(TimerMT,MATCH(C870,FaseKode,0))))</f>
        <v/>
      </c>
      <c r="G870">
        <f>IF(D870="F",0,IF(WEEKDAY($A870,2)=5,INDEX(TimerFr,MATCH(D870,FaseKode,0)),INDEX(TimerMT,MATCH(D870,FaseKode,0))))</f>
        <v/>
      </c>
      <c r="H870">
        <f>IF(OR(H$4="",$A870&gt;TODAY()),0,IF(OR(INDEX($B870:$D870,H$5)="F",AND(H$6&gt;0,$A870&lt;H$6),AND(H$7&gt;0,$A870&gt;H$7)),0,MAX(0,ROUND((INDEX($E870:$G870,H$5)-SUMIFS(TF_Timer,TF_Tekniker,H$4,TF_Dato,$A870))*2,0)/2)))</f>
        <v/>
      </c>
      <c r="I870">
        <f>IF(OR(I$4="",$A870&gt;TODAY()),0,IF(OR(INDEX($B870:$D870,I$5)="F",AND(I$6&gt;0,$A870&lt;I$6),AND(I$7&gt;0,$A870&gt;I$7)),0,MAX(0,ROUND((INDEX($E870:$G870,I$5)-SUMIFS(TF_Timer,TF_Tekniker,I$4,TF_Dato,$A870))*2,0)/2)))</f>
        <v/>
      </c>
      <c r="J870">
        <f>IF(OR(J$4="",$A870&gt;TODAY()),0,IF(OR(INDEX($B870:$D870,J$5)="F",AND(J$6&gt;0,$A870&lt;J$6),AND(J$7&gt;0,$A870&gt;J$7)),0,MAX(0,ROUND((INDEX($E870:$G870,J$5)-SUMIFS(TF_Timer,TF_Tekniker,J$4,TF_Dato,$A870))*2,0)/2)))</f>
        <v/>
      </c>
      <c r="K870">
        <f>IF(OR(K$4="",$A870&gt;TODAY()),0,IF(OR(INDEX($B870:$D870,K$5)="F",AND(K$6&gt;0,$A870&lt;K$6),AND(K$7&gt;0,$A870&gt;K$7)),0,MAX(0,ROUND((INDEX($E870:$G870,K$5)-SUMIFS(TF_Timer,TF_Tekniker,K$4,TF_Dato,$A870))*2,0)/2)))</f>
        <v/>
      </c>
      <c r="L870">
        <f>IF(OR(L$4="",$A870&gt;TODAY()),0,IF(OR(INDEX($B870:$D870,L$5)="F",AND(L$6&gt;0,$A870&lt;L$6),AND(L$7&gt;0,$A870&gt;L$7)),0,MAX(0,ROUND((INDEX($E870:$G870,L$5)-SUMIFS(TF_Timer,TF_Tekniker,L$4,TF_Dato,$A870))*2,0)/2)))</f>
        <v/>
      </c>
      <c r="M870">
        <f>IF(OR(M$4="",$A870&gt;TODAY()),0,IF(OR(INDEX($B870:$D870,M$5)="F",AND(M$6&gt;0,$A870&lt;M$6),AND(M$7&gt;0,$A870&gt;M$7)),0,MAX(0,ROUND((INDEX($E870:$G870,M$5)-SUMIFS(TF_Timer,TF_Tekniker,M$4,TF_Dato,$A870))*2,0)/2)))</f>
        <v/>
      </c>
      <c r="N870">
        <f>IF(OR(N$4="",$A870&gt;TODAY()),0,IF(OR(INDEX($B870:$D870,N$5)="F",AND(N$6&gt;0,$A870&lt;N$6),AND(N$7&gt;0,$A870&gt;N$7)),0,MAX(0,ROUND((INDEX($E870:$G870,N$5)-SUMIFS(TF_Timer,TF_Tekniker,N$4,TF_Dato,$A870))*2,0)/2)))</f>
        <v/>
      </c>
      <c r="O870">
        <f>IF(OR(O$4="",$A870&gt;TODAY()),0,IF(OR(INDEX($B870:$D870,O$5)="F",AND(O$6&gt;0,$A870&lt;O$6),AND(O$7&gt;0,$A870&gt;O$7)),0,MAX(0,ROUND((INDEX($E870:$G870,O$5)-SUMIFS(TF_Timer,TF_Tekniker,O$4,TF_Dato,$A870))*2,0)/2)))</f>
        <v/>
      </c>
      <c r="P870">
        <f>IF(OR(P$4="",$A870&gt;TODAY()),0,IF(OR(INDEX($B870:$D870,P$5)="F",AND(P$6&gt;0,$A870&lt;P$6),AND(P$7&gt;0,$A870&gt;P$7)),0,MAX(0,ROUND((INDEX($E870:$G870,P$5)-SUMIFS(TF_Timer,TF_Tekniker,P$4,TF_Dato,$A870))*2,0)/2)))</f>
        <v/>
      </c>
      <c r="Q870">
        <f>IF(OR(Q$4="",$A870&gt;TODAY()),0,IF(OR(INDEX($B870:$D870,Q$5)="F",AND(Q$6&gt;0,$A870&lt;Q$6),AND(Q$7&gt;0,$A870&gt;Q$7)),0,MAX(0,ROUND((INDEX($E870:$G870,Q$5)-SUMIFS(TF_Timer,TF_Tekniker,Q$4,TF_Dato,$A870))*2,0)/2)))</f>
        <v/>
      </c>
      <c r="R870">
        <f>IF(OR(R$4="",$A870&gt;TODAY()),0,IF(OR(INDEX($B870:$D870,R$5)="F",AND(R$6&gt;0,$A870&lt;R$6),AND(R$7&gt;0,$A870&gt;R$7)),0,MAX(0,ROUND((INDEX($E870:$G870,R$5)-SUMIFS(TF_Timer,TF_Tekniker,R$4,TF_Dato,$A870))*2,0)/2)))</f>
        <v/>
      </c>
      <c r="S870">
        <f>IF(OR(S$4="",$A870&gt;TODAY()),0,IF(OR(INDEX($B870:$D870,S$5)="F",AND(S$6&gt;0,$A870&lt;S$6),AND(S$7&gt;0,$A870&gt;S$7)),0,MAX(0,ROUND((INDEX($E870:$G870,S$5)-SUMIFS(TF_Timer,TF_Tekniker,S$4,TF_Dato,$A870))*2,0)/2)))</f>
        <v/>
      </c>
      <c r="T870">
        <f>IF(OR(T$4="",$A870&gt;TODAY()),0,IF(OR(INDEX($B870:$D870,T$5)="F",AND(T$6&gt;0,$A870&lt;T$6),AND(T$7&gt;0,$A870&gt;T$7)),0,MAX(0,ROUND((INDEX($E870:$G870,T$5)-SUMIFS(TF_Timer,TF_Tekniker,T$4,TF_Dato,$A870))*2,0)/2)))</f>
        <v/>
      </c>
      <c r="U870">
        <f>IF(OR(U$4="",$A870&gt;TODAY()),0,IF(OR(INDEX($B870:$D870,U$5)="F",AND(U$6&gt;0,$A870&lt;U$6),AND(U$7&gt;0,$A870&gt;U$7)),0,MAX(0,ROUND((INDEX($E870:$G870,U$5)-SUMIFS(TF_Timer,TF_Tekniker,U$4,TF_Dato,$A870))*2,0)/2)))</f>
        <v/>
      </c>
      <c r="V870">
        <f>IF(OR(V$4="",$A870&gt;TODAY()),0,IF(OR(INDEX($B870:$D870,V$5)="F",AND(V$6&gt;0,$A870&lt;V$6),AND(V$7&gt;0,$A870&gt;V$7)),0,MAX(0,ROUND((INDEX($E870:$G870,V$5)-SUMIFS(TF_Timer,TF_Tekniker,V$4,TF_Dato,$A870))*2,0)/2)))</f>
        <v/>
      </c>
      <c r="W870">
        <f>IF(OR(W$4="",$A870&gt;TODAY()),0,IF(OR(INDEX($B870:$D870,W$5)="F",AND(W$6&gt;0,$A870&lt;W$6),AND(W$7&gt;0,$A870&gt;W$7)),0,MAX(0,ROUND((INDEX($E870:$G870,W$5)-SUMIFS(TF_Timer,TF_Tekniker,W$4,TF_Dato,$A870))*2,0)/2)))</f>
        <v/>
      </c>
      <c r="X870">
        <f>IF(OR(X$4="",$A870&gt;TODAY()),0,IF(OR(INDEX($B870:$D870,X$5)="F",AND(X$6&gt;0,$A870&lt;X$6),AND(X$7&gt;0,$A870&gt;X$7)),0,MAX(0,ROUND((INDEX($E870:$G870,X$5)-SUMIFS(TF_Timer,TF_Tekniker,X$4,TF_Dato,$A870))*2,0)/2)))</f>
        <v/>
      </c>
      <c r="Y870">
        <f>IF(OR(Y$4="",$A870&gt;TODAY()),0,IF(OR(INDEX($B870:$D870,Y$5)="F",AND(Y$6&gt;0,$A870&lt;Y$6),AND(Y$7&gt;0,$A870&gt;Y$7)),0,MAX(0,ROUND((INDEX($E870:$G870,Y$5)-SUMIFS(TF_Timer,TF_Tekniker,Y$4,TF_Dato,$A870))*2,0)/2)))</f>
        <v/>
      </c>
      <c r="Z870">
        <f>IF(OR(Z$4="",$A870&gt;TODAY()),0,IF(OR(INDEX($B870:$D870,Z$5)="F",AND(Z$6&gt;0,$A870&lt;Z$6),AND(Z$7&gt;0,$A870&gt;Z$7)),0,MAX(0,ROUND((INDEX($E870:$G870,Z$5)-SUMIFS(TF_Timer,TF_Tekniker,Z$4,TF_Dato,$A870))*2,0)/2)))</f>
        <v/>
      </c>
      <c r="AA870">
        <f>IF(OR(AA$4="",$A870&gt;TODAY()),0,IF(OR(INDEX($B870:$D870,AA$5)="F",AND(AA$6&gt;0,$A870&lt;AA$6),AND(AA$7&gt;0,$A870&gt;AA$7)),0,MAX(0,ROUND((INDEX($E870:$G870,AA$5)-SUMIFS(TF_Timer,TF_Tekniker,AA$4,TF_Dato,$A870))*2,0)/2)))</f>
        <v/>
      </c>
      <c r="AB870">
        <f>IF(OR(AB$4="",$A870&gt;TODAY()),0,IF(OR(INDEX($B870:$D870,AB$5)="F",AND(AB$6&gt;0,$A870&lt;AB$6),AND(AB$7&gt;0,$A870&gt;AB$7)),0,MAX(0,ROUND((INDEX($E870:$G870,AB$5)-SUMIFS(TF_Timer,TF_Tekniker,AB$4,TF_Dato,$A870))*2,0)/2)))</f>
        <v/>
      </c>
      <c r="AC870">
        <f>IF(OR(AC$4="",$A870&gt;TODAY()),0,IF(OR(INDEX($B870:$D870,AC$5)="F",AND(AC$6&gt;0,$A870&lt;AC$6),AND(AC$7&gt;0,$A870&gt;AC$7)),0,MAX(0,ROUND((INDEX($E870:$G870,AC$5)-SUMIFS(TF_Timer,TF_Tekniker,AC$4,TF_Dato,$A870))*2,0)/2)))</f>
        <v/>
      </c>
      <c r="AD870">
        <f>IF(OR(AD$4="",$A870&gt;TODAY()),0,IF(OR(INDEX($B870:$D870,AD$5)="F",AND(AD$6&gt;0,$A870&lt;AD$6),AND(AD$7&gt;0,$A870&gt;AD$7)),0,MAX(0,ROUND((INDEX($E870:$G870,AD$5)-SUMIFS(TF_Timer,TF_Tekniker,AD$4,TF_Dato,$A870))*2,0)/2)))</f>
        <v/>
      </c>
      <c r="AE870">
        <f>IF(OR(AE$4="",$A870&gt;TODAY()),0,IF(OR(INDEX($B870:$D870,AE$5)="F",AND(AE$6&gt;0,$A870&lt;AE$6),AND(AE$7&gt;0,$A870&gt;AE$7)),0,MAX(0,ROUND((INDEX($E870:$G870,AE$5)-SUMIFS(TF_Timer,TF_Tekniker,AE$4,TF_Dato,$A870))*2,0)/2)))</f>
        <v/>
      </c>
      <c r="AF870">
        <f>IF(OR(AF$4="",$A870&gt;TODAY()),0,IF(OR(INDEX($B870:$D870,AF$5)="F",AND(AF$6&gt;0,$A870&lt;AF$6),AND(AF$7&gt;0,$A870&gt;AF$7)),0,MAX(0,ROUND((INDEX($E870:$G870,AF$5)-SUMIFS(TF_Timer,TF_Tekniker,AF$4,TF_Dato,$A870))*2,0)/2)))</f>
        <v/>
      </c>
      <c r="AG870">
        <f>IF(OR(AG$4="",$A870&gt;TODAY()),0,IF(OR(INDEX($B870:$D870,AG$5)="F",AND(AG$6&gt;0,$A870&lt;AG$6),AND(AG$7&gt;0,$A870&gt;AG$7)),0,MAX(0,ROUND((INDEX($E870:$G870,AG$5)-SUMIFS(TF_Timer,TF_Tekniker,AG$4,TF_Dato,$A870))*2,0)/2)))</f>
        <v/>
      </c>
      <c r="AH870">
        <f>IF(OR(AH$4="",$A870&gt;TODAY()),0,IF(OR(INDEX($B870:$D870,AH$5)="F",AND(AH$6&gt;0,$A870&lt;AH$6),AND(AH$7&gt;0,$A870&gt;AH$7)),0,MAX(0,ROUND((INDEX($E870:$G870,AH$5)-SUMIFS(TF_Timer,TF_Tekniker,AH$4,TF_Dato,$A870))*2,0)/2)))</f>
        <v/>
      </c>
      <c r="AI870">
        <f>IF(OR(AI$4="",$A870&gt;TODAY()),0,IF(OR(INDEX($B870:$D870,AI$5)="F",AND(AI$6&gt;0,$A870&lt;AI$6),AND(AI$7&gt;0,$A870&gt;AI$7)),0,MAX(0,ROUND((INDEX($E870:$G870,AI$5)-SUMIFS(TF_Timer,TF_Tekniker,AI$4,TF_Dato,$A870))*2,0)/2)))</f>
        <v/>
      </c>
      <c r="AJ870">
        <f>IF(OR(AJ$4="",$A870&gt;TODAY()),0,IF(OR(INDEX($B870:$D870,AJ$5)="F",AND(AJ$6&gt;0,$A870&lt;AJ$6),AND(AJ$7&gt;0,$A870&gt;AJ$7)),0,MAX(0,ROUND((INDEX($E870:$G870,AJ$5)-SUMIFS(TF_Timer,TF_Tekniker,AJ$4,TF_Dato,$A870))*2,0)/2)))</f>
        <v/>
      </c>
      <c r="AK870">
        <f>IF(OR(AK$4="",$A870&gt;TODAY()),0,IF(OR(INDEX($B870:$D870,AK$5)="F",AND(AK$6&gt;0,$A870&lt;AK$6),AND(AK$7&gt;0,$A870&gt;AK$7)),0,MAX(0,ROUND((INDEX($E870:$G870,AK$5)-SUMIFS(TF_Timer,TF_Tekniker,AK$4,TF_Dato,$A870))*2,0)/2)))</f>
        <v/>
      </c>
      <c r="AL870">
        <f>IF(OR(AL$4="",$A870&gt;TODAY()),0,IF(OR(INDEX($B870:$D870,AL$5)="F",AND(AL$6&gt;0,$A870&lt;AL$6),AND(AL$7&gt;0,$A870&gt;AL$7)),0,MAX(0,ROUND((INDEX($E870:$G870,AL$5)-SUMIFS(TF_Timer,TF_Tekniker,AL$4,TF_Dato,$A870))*2,0)/2)))</f>
        <v/>
      </c>
      <c r="AM870">
        <f>IF(OR(AM$4="",$A870&gt;TODAY()),0,IF(OR(INDEX($B870:$D870,AM$5)="F",AND(AM$6&gt;0,$A870&lt;AM$6),AND(AM$7&gt;0,$A870&gt;AM$7)),0,MAX(0,ROUND((INDEX($E870:$G870,AM$5)-SUMIFS(TF_Timer,TF_Tekniker,AM$4,TF_Dato,$A870))*2,0)/2)))</f>
        <v/>
      </c>
      <c r="AN870">
        <f>IF(OR(AN$4="",$A870&gt;TODAY()),0,IF(OR(INDEX($B870:$D870,AN$5)="F",AND(AN$6&gt;0,$A870&lt;AN$6),AND(AN$7&gt;0,$A870&gt;AN$7)),0,MAX(0,ROUND((INDEX($E870:$G870,AN$5)-SUMIFS(TF_Timer,TF_Tekniker,AN$4,TF_Dato,$A870))*2,0)/2)))</f>
        <v/>
      </c>
      <c r="AO870">
        <f>IF(OR(AO$4="",$A870&gt;TODAY()),0,IF(OR(INDEX($B870:$D870,AO$5)="F",AND(AO$6&gt;0,$A870&lt;AO$6),AND(AO$7&gt;0,$A870&gt;AO$7)),0,MAX(0,ROUND((INDEX($E870:$G870,AO$5)-SUMIFS(TF_Timer,TF_Tekniker,AO$4,TF_Dato,$A870))*2,0)/2)))</f>
        <v/>
      </c>
      <c r="AP870">
        <f>IF(OR(AP$4="",$A870&gt;TODAY()),0,IF(OR(INDEX($B870:$D870,AP$5)="F",AND(AP$6&gt;0,$A870&lt;AP$6),AND(AP$7&gt;0,$A870&gt;AP$7)),0,MAX(0,ROUND((INDEX($E870:$G870,AP$5)-SUMIFS(TF_Timer,TF_Tekniker,AP$4,TF_Dato,$A870))*2,0)/2)))</f>
        <v/>
      </c>
      <c r="AQ870">
        <f>IF(OR(AQ$4="",$A870&gt;TODAY()),0,IF(OR(INDEX($B870:$D870,AQ$5)="F",AND(AQ$6&gt;0,$A870&lt;AQ$6),AND(AQ$7&gt;0,$A870&gt;AQ$7)),0,MAX(0,ROUND((INDEX($E870:$G870,AQ$5)-SUMIFS(TF_Timer,TF_Tekniker,AQ$4,TF_Dato,$A870))*2,0)/2)))</f>
        <v/>
      </c>
      <c r="AR870">
        <f>IF(OR(AR$4="",$A870&gt;TODAY()),0,IF(OR(INDEX($B870:$D870,AR$5)="F",AND(AR$6&gt;0,$A870&lt;AR$6),AND(AR$7&gt;0,$A870&gt;AR$7)),0,MAX(0,ROUND((INDEX($E870:$G870,AR$5)-SUMIFS(TF_Timer,TF_Tekniker,AR$4,TF_Dato,$A870))*2,0)/2)))</f>
        <v/>
      </c>
      <c r="AS870">
        <f>IF(OR(AS$4="",$A870&gt;TODAY()),0,IF(OR(INDEX($B870:$D870,AS$5)="F",AND(AS$6&gt;0,$A870&lt;AS$6),AND(AS$7&gt;0,$A870&gt;AS$7)),0,MAX(0,ROUND((INDEX($E870:$G870,AS$5)-SUMIFS(TF_Timer,TF_Tekniker,AS$4,TF_Dato,$A870))*2,0)/2)))</f>
        <v/>
      </c>
      <c r="AT870">
        <f>IF(OR(AT$4="",$A870&gt;TODAY()),0,IF(OR(INDEX($B870:$D870,AT$5)="F",AND(AT$6&gt;0,$A870&lt;AT$6),AND(AT$7&gt;0,$A870&gt;AT$7)),0,MAX(0,ROUND((INDEX($E870:$G870,AT$5)-SUMIFS(TF_Timer,TF_Tekniker,AT$4,TF_Dato,$A870))*2,0)/2)))</f>
        <v/>
      </c>
      <c r="AU870">
        <f>IF(OR(AU$4="",$A870&gt;TODAY()),0,IF(OR(INDEX($B870:$D870,AU$5)="F",AND(AU$6&gt;0,$A870&lt;AU$6),AND(AU$7&gt;0,$A870&gt;AU$7)),0,MAX(0,ROUND((INDEX($E870:$G870,AU$5)-SUMIFS(TF_Timer,TF_Tekniker,AU$4,TF_Dato,$A870))*2,0)/2)))</f>
        <v/>
      </c>
      <c r="AV870">
        <f>IF(OR(AV$4="",$A870&gt;TODAY()),0,IF(OR(INDEX($B870:$D870,AV$5)="F",AND(AV$6&gt;0,$A870&lt;AV$6),AND(AV$7&gt;0,$A870&gt;AV$7)),0,MAX(0,ROUND((INDEX($E870:$G870,AV$5)-SUMIFS(TF_Timer,TF_Tekniker,AV$4,TF_Dato,$A870))*2,0)/2)))</f>
        <v/>
      </c>
      <c r="AW870">
        <f>IF(OR(AW$4="",$A870&gt;TODAY()),0,IF(OR(INDEX($B870:$D870,AW$5)="F",AND(AW$6&gt;0,$A870&lt;AW$6),AND(AW$7&gt;0,$A870&gt;AW$7)),0,MAX(0,ROUND((INDEX($E870:$G870,AW$5)-SUMIFS(TF_Timer,TF_Tekniker,AW$4,TF_Dato,$A870))*2,0)/2)))</f>
        <v/>
      </c>
      <c r="AX870">
        <f>IF(OR(AX$4="",$A870&gt;TODAY()),0,IF(OR(INDEX($B870:$D870,AX$5)="F",AND(AX$6&gt;0,$A870&lt;AX$6),AND(AX$7&gt;0,$A870&gt;AX$7)),0,MAX(0,ROUND((INDEX($E870:$G870,AX$5)-SUMIFS(TF_Timer,TF_Tekniker,AX$4,TF_Dato,$A870))*2,0)/2)))</f>
        <v/>
      </c>
      <c r="AY870">
        <f>IF(OR(AY$4="",$A870&gt;TODAY()),0,IF(OR(INDEX($B870:$D870,AY$5)="F",AND(AY$6&gt;0,$A870&lt;AY$6),AND(AY$7&gt;0,$A870&gt;AY$7)),0,MAX(0,ROUND((INDEX($E870:$G870,AY$5)-SUMIFS(TF_Timer,TF_Tekniker,AY$4,TF_Dato,$A870))*2,0)/2)))</f>
        <v/>
      </c>
      <c r="AZ870">
        <f>IF(OR(AZ$4="",$A870&gt;TODAY()),0,IF(OR(INDEX($B870:$D870,AZ$5)="F",AND(AZ$6&gt;0,$A870&lt;AZ$6),AND(AZ$7&gt;0,$A870&gt;AZ$7)),0,MAX(0,ROUND((INDEX($E870:$G870,AZ$5)-SUMIFS(TF_Timer,TF_Tekniker,AZ$4,TF_Dato,$A870))*2,0)/2)))</f>
        <v/>
      </c>
      <c r="BA870">
        <f>IF(OR(BA$4="",$A870&gt;TODAY()),0,IF(OR(INDEX($B870:$D870,BA$5)="F",AND(BA$6&gt;0,$A870&lt;BA$6),AND(BA$7&gt;0,$A870&gt;BA$7)),0,MAX(0,ROUND((INDEX($E870:$G870,BA$5)-SUMIFS(TF_Timer,TF_Tekniker,BA$4,TF_Dato,$A870))*2,0)/2)))</f>
        <v/>
      </c>
      <c r="BB870">
        <f>IF(OR(BB$4="",$A870&gt;TODAY()),0,IF(OR(INDEX($B870:$D870,BB$5)="F",AND(BB$6&gt;0,$A870&lt;BB$6),AND(BB$7&gt;0,$A870&gt;BB$7)),0,MAX(0,ROUND((INDEX($E870:$G870,BB$5)-SUMIFS(TF_Timer,TF_Tekniker,BB$4,TF_Dato,$A870))*2,0)/2)))</f>
        <v/>
      </c>
      <c r="BC870">
        <f>IF(OR(BC$4="",$A870&gt;TODAY()),0,IF(OR(INDEX($B870:$D870,BC$5)="F",AND(BC$6&gt;0,$A870&lt;BC$6),AND(BC$7&gt;0,$A870&gt;BC$7)),0,MAX(0,ROUND((INDEX($E870:$G870,BC$5)-SUMIFS(TF_Timer,TF_Tekniker,BC$4,TF_Dato,$A870))*2,0)/2)))</f>
        <v/>
      </c>
      <c r="BD870">
        <f>IF(OR(BD$4="",$A870&gt;TODAY()),0,IF(OR(INDEX($B870:$D870,BD$5)="F",AND(BD$6&gt;0,$A870&lt;BD$6),AND(BD$7&gt;0,$A870&gt;BD$7)),0,MAX(0,ROUND((INDEX($E870:$G870,BD$5)-SUMIFS(TF_Timer,TF_Tekniker,BD$4,TF_Dato,$A870))*2,0)/2)))</f>
        <v/>
      </c>
      <c r="BE870">
        <f>IF(OR(BE$4="",$A870&gt;TODAY()),0,IF(OR(INDEX($B870:$D870,BE$5)="F",AND(BE$6&gt;0,$A870&lt;BE$6),AND(BE$7&gt;0,$A870&gt;BE$7)),0,MAX(0,ROUND((INDEX($E870:$G870,BE$5)-SUMIFS(TF_Timer,TF_Tekniker,BE$4,TF_Dato,$A870))*2,0)/2)))</f>
        <v/>
      </c>
      <c r="BF870">
        <f>IF(OR(BF$4="",$A870&gt;TODAY()),0,IF(OR(INDEX($B870:$D870,BF$5)="F",AND(BF$6&gt;0,$A870&lt;BF$6),AND(BF$7&gt;0,$A870&gt;BF$7)),0,MAX(0,ROUND((INDEX($E870:$G870,BF$5)-SUMIFS(TF_Timer,TF_Tekniker,BF$4,TF_Dato,$A870))*2,0)/2)))</f>
        <v/>
      </c>
      <c r="BG870">
        <f>IF(OR(BG$4="",$A870&gt;TODAY()),0,IF(OR(INDEX($B870:$D870,BG$5)="F",AND(BG$6&gt;0,$A870&lt;BG$6),AND(BG$7&gt;0,$A870&gt;BG$7)),0,MAX(0,ROUND((INDEX($E870:$G870,BG$5)-SUMIFS(TF_Timer,TF_Tekniker,BG$4,TF_Dato,$A870))*2,0)/2)))</f>
        <v/>
      </c>
      <c r="BH870">
        <f>IF(OR(BH$4="",$A870&gt;TODAY()),0,IF(OR(INDEX($B870:$D870,BH$5)="F",AND(BH$6&gt;0,$A870&lt;BH$6),AND(BH$7&gt;0,$A870&gt;BH$7)),0,MAX(0,ROUND((INDEX($E870:$G870,BH$5)-SUMIFS(TF_Timer,TF_Tekniker,BH$4,TF_Dato,$A870))*2,0)/2)))</f>
        <v/>
      </c>
      <c r="BI870">
        <f>IF(OR(BI$4="",$A870&gt;TODAY()),0,IF(OR(INDEX($B870:$D870,BI$5)="F",AND(BI$6&gt;0,$A870&lt;BI$6),AND(BI$7&gt;0,$A870&gt;BI$7)),0,MAX(0,ROUND((INDEX($E870:$G870,BI$5)-SUMIFS(TF_Timer,TF_Tekniker,BI$4,TF_Dato,$A870))*2,0)/2)))</f>
        <v/>
      </c>
    </row>
    <row r="871">
      <c r="A871" s="64">
        <f>A870+1</f>
        <v/>
      </c>
      <c r="B871">
        <f>IF(MOD($A871-INDEX(SkiftStart,1),Syklus)&lt;DagK,"K",IF(MOD($A871-INDEX(SkiftStart,1),Syklus)&lt;DagK+DagH,"H",IF(MOD($A871-INDEX(SkiftStart,1),Syklus)&lt;DagK+DagH+DagD,"D","F")))</f>
        <v/>
      </c>
      <c r="C871">
        <f>IF(MOD($A871-INDEX(SkiftStart,2),Syklus)&lt;DagK,"K",IF(MOD($A871-INDEX(SkiftStart,2),Syklus)&lt;DagK+DagH,"H",IF(MOD($A871-INDEX(SkiftStart,2),Syklus)&lt;DagK+DagH+DagD,"D","F")))</f>
        <v/>
      </c>
      <c r="D871">
        <f>IF(MOD($A871-INDEX(SkiftStart,3),Syklus)&lt;DagK,"K",IF(MOD($A871-INDEX(SkiftStart,3),Syklus)&lt;DagK+DagH,"H",IF(MOD($A871-INDEX(SkiftStart,3),Syklus)&lt;DagK+DagH+DagD,"D","F")))</f>
        <v/>
      </c>
      <c r="E871">
        <f>IF(B871="F",0,IF(WEEKDAY($A871,2)=5,INDEX(TimerFr,MATCH(B871,FaseKode,0)),INDEX(TimerMT,MATCH(B871,FaseKode,0))))</f>
        <v/>
      </c>
      <c r="F871">
        <f>IF(C871="F",0,IF(WEEKDAY($A871,2)=5,INDEX(TimerFr,MATCH(C871,FaseKode,0)),INDEX(TimerMT,MATCH(C871,FaseKode,0))))</f>
        <v/>
      </c>
      <c r="G871">
        <f>IF(D871="F",0,IF(WEEKDAY($A871,2)=5,INDEX(TimerFr,MATCH(D871,FaseKode,0)),INDEX(TimerMT,MATCH(D871,FaseKode,0))))</f>
        <v/>
      </c>
      <c r="H871">
        <f>IF(OR(H$4="",$A871&gt;TODAY()),0,IF(OR(INDEX($B871:$D871,H$5)="F",AND(H$6&gt;0,$A871&lt;H$6),AND(H$7&gt;0,$A871&gt;H$7)),0,MAX(0,ROUND((INDEX($E871:$G871,H$5)-SUMIFS(TF_Timer,TF_Tekniker,H$4,TF_Dato,$A871))*2,0)/2)))</f>
        <v/>
      </c>
      <c r="I871">
        <f>IF(OR(I$4="",$A871&gt;TODAY()),0,IF(OR(INDEX($B871:$D871,I$5)="F",AND(I$6&gt;0,$A871&lt;I$6),AND(I$7&gt;0,$A871&gt;I$7)),0,MAX(0,ROUND((INDEX($E871:$G871,I$5)-SUMIFS(TF_Timer,TF_Tekniker,I$4,TF_Dato,$A871))*2,0)/2)))</f>
        <v/>
      </c>
      <c r="J871">
        <f>IF(OR(J$4="",$A871&gt;TODAY()),0,IF(OR(INDEX($B871:$D871,J$5)="F",AND(J$6&gt;0,$A871&lt;J$6),AND(J$7&gt;0,$A871&gt;J$7)),0,MAX(0,ROUND((INDEX($E871:$G871,J$5)-SUMIFS(TF_Timer,TF_Tekniker,J$4,TF_Dato,$A871))*2,0)/2)))</f>
        <v/>
      </c>
      <c r="K871">
        <f>IF(OR(K$4="",$A871&gt;TODAY()),0,IF(OR(INDEX($B871:$D871,K$5)="F",AND(K$6&gt;0,$A871&lt;K$6),AND(K$7&gt;0,$A871&gt;K$7)),0,MAX(0,ROUND((INDEX($E871:$G871,K$5)-SUMIFS(TF_Timer,TF_Tekniker,K$4,TF_Dato,$A871))*2,0)/2)))</f>
        <v/>
      </c>
      <c r="L871">
        <f>IF(OR(L$4="",$A871&gt;TODAY()),0,IF(OR(INDEX($B871:$D871,L$5)="F",AND(L$6&gt;0,$A871&lt;L$6),AND(L$7&gt;0,$A871&gt;L$7)),0,MAX(0,ROUND((INDEX($E871:$G871,L$5)-SUMIFS(TF_Timer,TF_Tekniker,L$4,TF_Dato,$A871))*2,0)/2)))</f>
        <v/>
      </c>
      <c r="M871">
        <f>IF(OR(M$4="",$A871&gt;TODAY()),0,IF(OR(INDEX($B871:$D871,M$5)="F",AND(M$6&gt;0,$A871&lt;M$6),AND(M$7&gt;0,$A871&gt;M$7)),0,MAX(0,ROUND((INDEX($E871:$G871,M$5)-SUMIFS(TF_Timer,TF_Tekniker,M$4,TF_Dato,$A871))*2,0)/2)))</f>
        <v/>
      </c>
      <c r="N871">
        <f>IF(OR(N$4="",$A871&gt;TODAY()),0,IF(OR(INDEX($B871:$D871,N$5)="F",AND(N$6&gt;0,$A871&lt;N$6),AND(N$7&gt;0,$A871&gt;N$7)),0,MAX(0,ROUND((INDEX($E871:$G871,N$5)-SUMIFS(TF_Timer,TF_Tekniker,N$4,TF_Dato,$A871))*2,0)/2)))</f>
        <v/>
      </c>
      <c r="O871">
        <f>IF(OR(O$4="",$A871&gt;TODAY()),0,IF(OR(INDEX($B871:$D871,O$5)="F",AND(O$6&gt;0,$A871&lt;O$6),AND(O$7&gt;0,$A871&gt;O$7)),0,MAX(0,ROUND((INDEX($E871:$G871,O$5)-SUMIFS(TF_Timer,TF_Tekniker,O$4,TF_Dato,$A871))*2,0)/2)))</f>
        <v/>
      </c>
      <c r="P871">
        <f>IF(OR(P$4="",$A871&gt;TODAY()),0,IF(OR(INDEX($B871:$D871,P$5)="F",AND(P$6&gt;0,$A871&lt;P$6),AND(P$7&gt;0,$A871&gt;P$7)),0,MAX(0,ROUND((INDEX($E871:$G871,P$5)-SUMIFS(TF_Timer,TF_Tekniker,P$4,TF_Dato,$A871))*2,0)/2)))</f>
        <v/>
      </c>
      <c r="Q871">
        <f>IF(OR(Q$4="",$A871&gt;TODAY()),0,IF(OR(INDEX($B871:$D871,Q$5)="F",AND(Q$6&gt;0,$A871&lt;Q$6),AND(Q$7&gt;0,$A871&gt;Q$7)),0,MAX(0,ROUND((INDEX($E871:$G871,Q$5)-SUMIFS(TF_Timer,TF_Tekniker,Q$4,TF_Dato,$A871))*2,0)/2)))</f>
        <v/>
      </c>
      <c r="R871">
        <f>IF(OR(R$4="",$A871&gt;TODAY()),0,IF(OR(INDEX($B871:$D871,R$5)="F",AND(R$6&gt;0,$A871&lt;R$6),AND(R$7&gt;0,$A871&gt;R$7)),0,MAX(0,ROUND((INDEX($E871:$G871,R$5)-SUMIFS(TF_Timer,TF_Tekniker,R$4,TF_Dato,$A871))*2,0)/2)))</f>
        <v/>
      </c>
      <c r="S871">
        <f>IF(OR(S$4="",$A871&gt;TODAY()),0,IF(OR(INDEX($B871:$D871,S$5)="F",AND(S$6&gt;0,$A871&lt;S$6),AND(S$7&gt;0,$A871&gt;S$7)),0,MAX(0,ROUND((INDEX($E871:$G871,S$5)-SUMIFS(TF_Timer,TF_Tekniker,S$4,TF_Dato,$A871))*2,0)/2)))</f>
        <v/>
      </c>
      <c r="T871">
        <f>IF(OR(T$4="",$A871&gt;TODAY()),0,IF(OR(INDEX($B871:$D871,T$5)="F",AND(T$6&gt;0,$A871&lt;T$6),AND(T$7&gt;0,$A871&gt;T$7)),0,MAX(0,ROUND((INDEX($E871:$G871,T$5)-SUMIFS(TF_Timer,TF_Tekniker,T$4,TF_Dato,$A871))*2,0)/2)))</f>
        <v/>
      </c>
      <c r="U871">
        <f>IF(OR(U$4="",$A871&gt;TODAY()),0,IF(OR(INDEX($B871:$D871,U$5)="F",AND(U$6&gt;0,$A871&lt;U$6),AND(U$7&gt;0,$A871&gt;U$7)),0,MAX(0,ROUND((INDEX($E871:$G871,U$5)-SUMIFS(TF_Timer,TF_Tekniker,U$4,TF_Dato,$A871))*2,0)/2)))</f>
        <v/>
      </c>
      <c r="V871">
        <f>IF(OR(V$4="",$A871&gt;TODAY()),0,IF(OR(INDEX($B871:$D871,V$5)="F",AND(V$6&gt;0,$A871&lt;V$6),AND(V$7&gt;0,$A871&gt;V$7)),0,MAX(0,ROUND((INDEX($E871:$G871,V$5)-SUMIFS(TF_Timer,TF_Tekniker,V$4,TF_Dato,$A871))*2,0)/2)))</f>
        <v/>
      </c>
      <c r="W871">
        <f>IF(OR(W$4="",$A871&gt;TODAY()),0,IF(OR(INDEX($B871:$D871,W$5)="F",AND(W$6&gt;0,$A871&lt;W$6),AND(W$7&gt;0,$A871&gt;W$7)),0,MAX(0,ROUND((INDEX($E871:$G871,W$5)-SUMIFS(TF_Timer,TF_Tekniker,W$4,TF_Dato,$A871))*2,0)/2)))</f>
        <v/>
      </c>
      <c r="X871">
        <f>IF(OR(X$4="",$A871&gt;TODAY()),0,IF(OR(INDEX($B871:$D871,X$5)="F",AND(X$6&gt;0,$A871&lt;X$6),AND(X$7&gt;0,$A871&gt;X$7)),0,MAX(0,ROUND((INDEX($E871:$G871,X$5)-SUMIFS(TF_Timer,TF_Tekniker,X$4,TF_Dato,$A871))*2,0)/2)))</f>
        <v/>
      </c>
      <c r="Y871">
        <f>IF(OR(Y$4="",$A871&gt;TODAY()),0,IF(OR(INDEX($B871:$D871,Y$5)="F",AND(Y$6&gt;0,$A871&lt;Y$6),AND(Y$7&gt;0,$A871&gt;Y$7)),0,MAX(0,ROUND((INDEX($E871:$G871,Y$5)-SUMIFS(TF_Timer,TF_Tekniker,Y$4,TF_Dato,$A871))*2,0)/2)))</f>
        <v/>
      </c>
      <c r="Z871">
        <f>IF(OR(Z$4="",$A871&gt;TODAY()),0,IF(OR(INDEX($B871:$D871,Z$5)="F",AND(Z$6&gt;0,$A871&lt;Z$6),AND(Z$7&gt;0,$A871&gt;Z$7)),0,MAX(0,ROUND((INDEX($E871:$G871,Z$5)-SUMIFS(TF_Timer,TF_Tekniker,Z$4,TF_Dato,$A871))*2,0)/2)))</f>
        <v/>
      </c>
      <c r="AA871">
        <f>IF(OR(AA$4="",$A871&gt;TODAY()),0,IF(OR(INDEX($B871:$D871,AA$5)="F",AND(AA$6&gt;0,$A871&lt;AA$6),AND(AA$7&gt;0,$A871&gt;AA$7)),0,MAX(0,ROUND((INDEX($E871:$G871,AA$5)-SUMIFS(TF_Timer,TF_Tekniker,AA$4,TF_Dato,$A871))*2,0)/2)))</f>
        <v/>
      </c>
      <c r="AB871">
        <f>IF(OR(AB$4="",$A871&gt;TODAY()),0,IF(OR(INDEX($B871:$D871,AB$5)="F",AND(AB$6&gt;0,$A871&lt;AB$6),AND(AB$7&gt;0,$A871&gt;AB$7)),0,MAX(0,ROUND((INDEX($E871:$G871,AB$5)-SUMIFS(TF_Timer,TF_Tekniker,AB$4,TF_Dato,$A871))*2,0)/2)))</f>
        <v/>
      </c>
      <c r="AC871">
        <f>IF(OR(AC$4="",$A871&gt;TODAY()),0,IF(OR(INDEX($B871:$D871,AC$5)="F",AND(AC$6&gt;0,$A871&lt;AC$6),AND(AC$7&gt;0,$A871&gt;AC$7)),0,MAX(0,ROUND((INDEX($E871:$G871,AC$5)-SUMIFS(TF_Timer,TF_Tekniker,AC$4,TF_Dato,$A871))*2,0)/2)))</f>
        <v/>
      </c>
      <c r="AD871">
        <f>IF(OR(AD$4="",$A871&gt;TODAY()),0,IF(OR(INDEX($B871:$D871,AD$5)="F",AND(AD$6&gt;0,$A871&lt;AD$6),AND(AD$7&gt;0,$A871&gt;AD$7)),0,MAX(0,ROUND((INDEX($E871:$G871,AD$5)-SUMIFS(TF_Timer,TF_Tekniker,AD$4,TF_Dato,$A871))*2,0)/2)))</f>
        <v/>
      </c>
      <c r="AE871">
        <f>IF(OR(AE$4="",$A871&gt;TODAY()),0,IF(OR(INDEX($B871:$D871,AE$5)="F",AND(AE$6&gt;0,$A871&lt;AE$6),AND(AE$7&gt;0,$A871&gt;AE$7)),0,MAX(0,ROUND((INDEX($E871:$G871,AE$5)-SUMIFS(TF_Timer,TF_Tekniker,AE$4,TF_Dato,$A871))*2,0)/2)))</f>
        <v/>
      </c>
      <c r="AF871">
        <f>IF(OR(AF$4="",$A871&gt;TODAY()),0,IF(OR(INDEX($B871:$D871,AF$5)="F",AND(AF$6&gt;0,$A871&lt;AF$6),AND(AF$7&gt;0,$A871&gt;AF$7)),0,MAX(0,ROUND((INDEX($E871:$G871,AF$5)-SUMIFS(TF_Timer,TF_Tekniker,AF$4,TF_Dato,$A871))*2,0)/2)))</f>
        <v/>
      </c>
      <c r="AG871">
        <f>IF(OR(AG$4="",$A871&gt;TODAY()),0,IF(OR(INDEX($B871:$D871,AG$5)="F",AND(AG$6&gt;0,$A871&lt;AG$6),AND(AG$7&gt;0,$A871&gt;AG$7)),0,MAX(0,ROUND((INDEX($E871:$G871,AG$5)-SUMIFS(TF_Timer,TF_Tekniker,AG$4,TF_Dato,$A871))*2,0)/2)))</f>
        <v/>
      </c>
      <c r="AH871">
        <f>IF(OR(AH$4="",$A871&gt;TODAY()),0,IF(OR(INDEX($B871:$D871,AH$5)="F",AND(AH$6&gt;0,$A871&lt;AH$6),AND(AH$7&gt;0,$A871&gt;AH$7)),0,MAX(0,ROUND((INDEX($E871:$G871,AH$5)-SUMIFS(TF_Timer,TF_Tekniker,AH$4,TF_Dato,$A871))*2,0)/2)))</f>
        <v/>
      </c>
      <c r="AI871">
        <f>IF(OR(AI$4="",$A871&gt;TODAY()),0,IF(OR(INDEX($B871:$D871,AI$5)="F",AND(AI$6&gt;0,$A871&lt;AI$6),AND(AI$7&gt;0,$A871&gt;AI$7)),0,MAX(0,ROUND((INDEX($E871:$G871,AI$5)-SUMIFS(TF_Timer,TF_Tekniker,AI$4,TF_Dato,$A871))*2,0)/2)))</f>
        <v/>
      </c>
      <c r="AJ871">
        <f>IF(OR(AJ$4="",$A871&gt;TODAY()),0,IF(OR(INDEX($B871:$D871,AJ$5)="F",AND(AJ$6&gt;0,$A871&lt;AJ$6),AND(AJ$7&gt;0,$A871&gt;AJ$7)),0,MAX(0,ROUND((INDEX($E871:$G871,AJ$5)-SUMIFS(TF_Timer,TF_Tekniker,AJ$4,TF_Dato,$A871))*2,0)/2)))</f>
        <v/>
      </c>
      <c r="AK871">
        <f>IF(OR(AK$4="",$A871&gt;TODAY()),0,IF(OR(INDEX($B871:$D871,AK$5)="F",AND(AK$6&gt;0,$A871&lt;AK$6),AND(AK$7&gt;0,$A871&gt;AK$7)),0,MAX(0,ROUND((INDEX($E871:$G871,AK$5)-SUMIFS(TF_Timer,TF_Tekniker,AK$4,TF_Dato,$A871))*2,0)/2)))</f>
        <v/>
      </c>
      <c r="AL871">
        <f>IF(OR(AL$4="",$A871&gt;TODAY()),0,IF(OR(INDEX($B871:$D871,AL$5)="F",AND(AL$6&gt;0,$A871&lt;AL$6),AND(AL$7&gt;0,$A871&gt;AL$7)),0,MAX(0,ROUND((INDEX($E871:$G871,AL$5)-SUMIFS(TF_Timer,TF_Tekniker,AL$4,TF_Dato,$A871))*2,0)/2)))</f>
        <v/>
      </c>
      <c r="AM871">
        <f>IF(OR(AM$4="",$A871&gt;TODAY()),0,IF(OR(INDEX($B871:$D871,AM$5)="F",AND(AM$6&gt;0,$A871&lt;AM$6),AND(AM$7&gt;0,$A871&gt;AM$7)),0,MAX(0,ROUND((INDEX($E871:$G871,AM$5)-SUMIFS(TF_Timer,TF_Tekniker,AM$4,TF_Dato,$A871))*2,0)/2)))</f>
        <v/>
      </c>
      <c r="AN871">
        <f>IF(OR(AN$4="",$A871&gt;TODAY()),0,IF(OR(INDEX($B871:$D871,AN$5)="F",AND(AN$6&gt;0,$A871&lt;AN$6),AND(AN$7&gt;0,$A871&gt;AN$7)),0,MAX(0,ROUND((INDEX($E871:$G871,AN$5)-SUMIFS(TF_Timer,TF_Tekniker,AN$4,TF_Dato,$A871))*2,0)/2)))</f>
        <v/>
      </c>
      <c r="AO871">
        <f>IF(OR(AO$4="",$A871&gt;TODAY()),0,IF(OR(INDEX($B871:$D871,AO$5)="F",AND(AO$6&gt;0,$A871&lt;AO$6),AND(AO$7&gt;0,$A871&gt;AO$7)),0,MAX(0,ROUND((INDEX($E871:$G871,AO$5)-SUMIFS(TF_Timer,TF_Tekniker,AO$4,TF_Dato,$A871))*2,0)/2)))</f>
        <v/>
      </c>
      <c r="AP871">
        <f>IF(OR(AP$4="",$A871&gt;TODAY()),0,IF(OR(INDEX($B871:$D871,AP$5)="F",AND(AP$6&gt;0,$A871&lt;AP$6),AND(AP$7&gt;0,$A871&gt;AP$7)),0,MAX(0,ROUND((INDEX($E871:$G871,AP$5)-SUMIFS(TF_Timer,TF_Tekniker,AP$4,TF_Dato,$A871))*2,0)/2)))</f>
        <v/>
      </c>
      <c r="AQ871">
        <f>IF(OR(AQ$4="",$A871&gt;TODAY()),0,IF(OR(INDEX($B871:$D871,AQ$5)="F",AND(AQ$6&gt;0,$A871&lt;AQ$6),AND(AQ$7&gt;0,$A871&gt;AQ$7)),0,MAX(0,ROUND((INDEX($E871:$G871,AQ$5)-SUMIFS(TF_Timer,TF_Tekniker,AQ$4,TF_Dato,$A871))*2,0)/2)))</f>
        <v/>
      </c>
      <c r="AR871">
        <f>IF(OR(AR$4="",$A871&gt;TODAY()),0,IF(OR(INDEX($B871:$D871,AR$5)="F",AND(AR$6&gt;0,$A871&lt;AR$6),AND(AR$7&gt;0,$A871&gt;AR$7)),0,MAX(0,ROUND((INDEX($E871:$G871,AR$5)-SUMIFS(TF_Timer,TF_Tekniker,AR$4,TF_Dato,$A871))*2,0)/2)))</f>
        <v/>
      </c>
      <c r="AS871">
        <f>IF(OR(AS$4="",$A871&gt;TODAY()),0,IF(OR(INDEX($B871:$D871,AS$5)="F",AND(AS$6&gt;0,$A871&lt;AS$6),AND(AS$7&gt;0,$A871&gt;AS$7)),0,MAX(0,ROUND((INDEX($E871:$G871,AS$5)-SUMIFS(TF_Timer,TF_Tekniker,AS$4,TF_Dato,$A871))*2,0)/2)))</f>
        <v/>
      </c>
      <c r="AT871">
        <f>IF(OR(AT$4="",$A871&gt;TODAY()),0,IF(OR(INDEX($B871:$D871,AT$5)="F",AND(AT$6&gt;0,$A871&lt;AT$6),AND(AT$7&gt;0,$A871&gt;AT$7)),0,MAX(0,ROUND((INDEX($E871:$G871,AT$5)-SUMIFS(TF_Timer,TF_Tekniker,AT$4,TF_Dato,$A871))*2,0)/2)))</f>
        <v/>
      </c>
      <c r="AU871">
        <f>IF(OR(AU$4="",$A871&gt;TODAY()),0,IF(OR(INDEX($B871:$D871,AU$5)="F",AND(AU$6&gt;0,$A871&lt;AU$6),AND(AU$7&gt;0,$A871&gt;AU$7)),0,MAX(0,ROUND((INDEX($E871:$G871,AU$5)-SUMIFS(TF_Timer,TF_Tekniker,AU$4,TF_Dato,$A871))*2,0)/2)))</f>
        <v/>
      </c>
      <c r="AV871">
        <f>IF(OR(AV$4="",$A871&gt;TODAY()),0,IF(OR(INDEX($B871:$D871,AV$5)="F",AND(AV$6&gt;0,$A871&lt;AV$6),AND(AV$7&gt;0,$A871&gt;AV$7)),0,MAX(0,ROUND((INDEX($E871:$G871,AV$5)-SUMIFS(TF_Timer,TF_Tekniker,AV$4,TF_Dato,$A871))*2,0)/2)))</f>
        <v/>
      </c>
      <c r="AW871">
        <f>IF(OR(AW$4="",$A871&gt;TODAY()),0,IF(OR(INDEX($B871:$D871,AW$5)="F",AND(AW$6&gt;0,$A871&lt;AW$6),AND(AW$7&gt;0,$A871&gt;AW$7)),0,MAX(0,ROUND((INDEX($E871:$G871,AW$5)-SUMIFS(TF_Timer,TF_Tekniker,AW$4,TF_Dato,$A871))*2,0)/2)))</f>
        <v/>
      </c>
      <c r="AX871">
        <f>IF(OR(AX$4="",$A871&gt;TODAY()),0,IF(OR(INDEX($B871:$D871,AX$5)="F",AND(AX$6&gt;0,$A871&lt;AX$6),AND(AX$7&gt;0,$A871&gt;AX$7)),0,MAX(0,ROUND((INDEX($E871:$G871,AX$5)-SUMIFS(TF_Timer,TF_Tekniker,AX$4,TF_Dato,$A871))*2,0)/2)))</f>
        <v/>
      </c>
      <c r="AY871">
        <f>IF(OR(AY$4="",$A871&gt;TODAY()),0,IF(OR(INDEX($B871:$D871,AY$5)="F",AND(AY$6&gt;0,$A871&lt;AY$6),AND(AY$7&gt;0,$A871&gt;AY$7)),0,MAX(0,ROUND((INDEX($E871:$G871,AY$5)-SUMIFS(TF_Timer,TF_Tekniker,AY$4,TF_Dato,$A871))*2,0)/2)))</f>
        <v/>
      </c>
      <c r="AZ871">
        <f>IF(OR(AZ$4="",$A871&gt;TODAY()),0,IF(OR(INDEX($B871:$D871,AZ$5)="F",AND(AZ$6&gt;0,$A871&lt;AZ$6),AND(AZ$7&gt;0,$A871&gt;AZ$7)),0,MAX(0,ROUND((INDEX($E871:$G871,AZ$5)-SUMIFS(TF_Timer,TF_Tekniker,AZ$4,TF_Dato,$A871))*2,0)/2)))</f>
        <v/>
      </c>
      <c r="BA871">
        <f>IF(OR(BA$4="",$A871&gt;TODAY()),0,IF(OR(INDEX($B871:$D871,BA$5)="F",AND(BA$6&gt;0,$A871&lt;BA$6),AND(BA$7&gt;0,$A871&gt;BA$7)),0,MAX(0,ROUND((INDEX($E871:$G871,BA$5)-SUMIFS(TF_Timer,TF_Tekniker,BA$4,TF_Dato,$A871))*2,0)/2)))</f>
        <v/>
      </c>
      <c r="BB871">
        <f>IF(OR(BB$4="",$A871&gt;TODAY()),0,IF(OR(INDEX($B871:$D871,BB$5)="F",AND(BB$6&gt;0,$A871&lt;BB$6),AND(BB$7&gt;0,$A871&gt;BB$7)),0,MAX(0,ROUND((INDEX($E871:$G871,BB$5)-SUMIFS(TF_Timer,TF_Tekniker,BB$4,TF_Dato,$A871))*2,0)/2)))</f>
        <v/>
      </c>
      <c r="BC871">
        <f>IF(OR(BC$4="",$A871&gt;TODAY()),0,IF(OR(INDEX($B871:$D871,BC$5)="F",AND(BC$6&gt;0,$A871&lt;BC$6),AND(BC$7&gt;0,$A871&gt;BC$7)),0,MAX(0,ROUND((INDEX($E871:$G871,BC$5)-SUMIFS(TF_Timer,TF_Tekniker,BC$4,TF_Dato,$A871))*2,0)/2)))</f>
        <v/>
      </c>
      <c r="BD871">
        <f>IF(OR(BD$4="",$A871&gt;TODAY()),0,IF(OR(INDEX($B871:$D871,BD$5)="F",AND(BD$6&gt;0,$A871&lt;BD$6),AND(BD$7&gt;0,$A871&gt;BD$7)),0,MAX(0,ROUND((INDEX($E871:$G871,BD$5)-SUMIFS(TF_Timer,TF_Tekniker,BD$4,TF_Dato,$A871))*2,0)/2)))</f>
        <v/>
      </c>
      <c r="BE871">
        <f>IF(OR(BE$4="",$A871&gt;TODAY()),0,IF(OR(INDEX($B871:$D871,BE$5)="F",AND(BE$6&gt;0,$A871&lt;BE$6),AND(BE$7&gt;0,$A871&gt;BE$7)),0,MAX(0,ROUND((INDEX($E871:$G871,BE$5)-SUMIFS(TF_Timer,TF_Tekniker,BE$4,TF_Dato,$A871))*2,0)/2)))</f>
        <v/>
      </c>
      <c r="BF871">
        <f>IF(OR(BF$4="",$A871&gt;TODAY()),0,IF(OR(INDEX($B871:$D871,BF$5)="F",AND(BF$6&gt;0,$A871&lt;BF$6),AND(BF$7&gt;0,$A871&gt;BF$7)),0,MAX(0,ROUND((INDEX($E871:$G871,BF$5)-SUMIFS(TF_Timer,TF_Tekniker,BF$4,TF_Dato,$A871))*2,0)/2)))</f>
        <v/>
      </c>
      <c r="BG871">
        <f>IF(OR(BG$4="",$A871&gt;TODAY()),0,IF(OR(INDEX($B871:$D871,BG$5)="F",AND(BG$6&gt;0,$A871&lt;BG$6),AND(BG$7&gt;0,$A871&gt;BG$7)),0,MAX(0,ROUND((INDEX($E871:$G871,BG$5)-SUMIFS(TF_Timer,TF_Tekniker,BG$4,TF_Dato,$A871))*2,0)/2)))</f>
        <v/>
      </c>
      <c r="BH871">
        <f>IF(OR(BH$4="",$A871&gt;TODAY()),0,IF(OR(INDEX($B871:$D871,BH$5)="F",AND(BH$6&gt;0,$A871&lt;BH$6),AND(BH$7&gt;0,$A871&gt;BH$7)),0,MAX(0,ROUND((INDEX($E871:$G871,BH$5)-SUMIFS(TF_Timer,TF_Tekniker,BH$4,TF_Dato,$A871))*2,0)/2)))</f>
        <v/>
      </c>
      <c r="BI871">
        <f>IF(OR(BI$4="",$A871&gt;TODAY()),0,IF(OR(INDEX($B871:$D871,BI$5)="F",AND(BI$6&gt;0,$A871&lt;BI$6),AND(BI$7&gt;0,$A871&gt;BI$7)),0,MAX(0,ROUND((INDEX($E871:$G871,BI$5)-SUMIFS(TF_Timer,TF_Tekniker,BI$4,TF_Dato,$A871))*2,0)/2)))</f>
        <v/>
      </c>
    </row>
    <row r="872">
      <c r="A872" s="64">
        <f>A871+1</f>
        <v/>
      </c>
      <c r="B872">
        <f>IF(MOD($A872-INDEX(SkiftStart,1),Syklus)&lt;DagK,"K",IF(MOD($A872-INDEX(SkiftStart,1),Syklus)&lt;DagK+DagH,"H",IF(MOD($A872-INDEX(SkiftStart,1),Syklus)&lt;DagK+DagH+DagD,"D","F")))</f>
        <v/>
      </c>
      <c r="C872">
        <f>IF(MOD($A872-INDEX(SkiftStart,2),Syklus)&lt;DagK,"K",IF(MOD($A872-INDEX(SkiftStart,2),Syklus)&lt;DagK+DagH,"H",IF(MOD($A872-INDEX(SkiftStart,2),Syklus)&lt;DagK+DagH+DagD,"D","F")))</f>
        <v/>
      </c>
      <c r="D872">
        <f>IF(MOD($A872-INDEX(SkiftStart,3),Syklus)&lt;DagK,"K",IF(MOD($A872-INDEX(SkiftStart,3),Syklus)&lt;DagK+DagH,"H",IF(MOD($A872-INDEX(SkiftStart,3),Syklus)&lt;DagK+DagH+DagD,"D","F")))</f>
        <v/>
      </c>
      <c r="E872">
        <f>IF(B872="F",0,IF(WEEKDAY($A872,2)=5,INDEX(TimerFr,MATCH(B872,FaseKode,0)),INDEX(TimerMT,MATCH(B872,FaseKode,0))))</f>
        <v/>
      </c>
      <c r="F872">
        <f>IF(C872="F",0,IF(WEEKDAY($A872,2)=5,INDEX(TimerFr,MATCH(C872,FaseKode,0)),INDEX(TimerMT,MATCH(C872,FaseKode,0))))</f>
        <v/>
      </c>
      <c r="G872">
        <f>IF(D872="F",0,IF(WEEKDAY($A872,2)=5,INDEX(TimerFr,MATCH(D872,FaseKode,0)),INDEX(TimerMT,MATCH(D872,FaseKode,0))))</f>
        <v/>
      </c>
      <c r="H872">
        <f>IF(OR(H$4="",$A872&gt;TODAY()),0,IF(OR(INDEX($B872:$D872,H$5)="F",AND(H$6&gt;0,$A872&lt;H$6),AND(H$7&gt;0,$A872&gt;H$7)),0,MAX(0,ROUND((INDEX($E872:$G872,H$5)-SUMIFS(TF_Timer,TF_Tekniker,H$4,TF_Dato,$A872))*2,0)/2)))</f>
        <v/>
      </c>
      <c r="I872">
        <f>IF(OR(I$4="",$A872&gt;TODAY()),0,IF(OR(INDEX($B872:$D872,I$5)="F",AND(I$6&gt;0,$A872&lt;I$6),AND(I$7&gt;0,$A872&gt;I$7)),0,MAX(0,ROUND((INDEX($E872:$G872,I$5)-SUMIFS(TF_Timer,TF_Tekniker,I$4,TF_Dato,$A872))*2,0)/2)))</f>
        <v/>
      </c>
      <c r="J872">
        <f>IF(OR(J$4="",$A872&gt;TODAY()),0,IF(OR(INDEX($B872:$D872,J$5)="F",AND(J$6&gt;0,$A872&lt;J$6),AND(J$7&gt;0,$A872&gt;J$7)),0,MAX(0,ROUND((INDEX($E872:$G872,J$5)-SUMIFS(TF_Timer,TF_Tekniker,J$4,TF_Dato,$A872))*2,0)/2)))</f>
        <v/>
      </c>
      <c r="K872">
        <f>IF(OR(K$4="",$A872&gt;TODAY()),0,IF(OR(INDEX($B872:$D872,K$5)="F",AND(K$6&gt;0,$A872&lt;K$6),AND(K$7&gt;0,$A872&gt;K$7)),0,MAX(0,ROUND((INDEX($E872:$G872,K$5)-SUMIFS(TF_Timer,TF_Tekniker,K$4,TF_Dato,$A872))*2,0)/2)))</f>
        <v/>
      </c>
      <c r="L872">
        <f>IF(OR(L$4="",$A872&gt;TODAY()),0,IF(OR(INDEX($B872:$D872,L$5)="F",AND(L$6&gt;0,$A872&lt;L$6),AND(L$7&gt;0,$A872&gt;L$7)),0,MAX(0,ROUND((INDEX($E872:$G872,L$5)-SUMIFS(TF_Timer,TF_Tekniker,L$4,TF_Dato,$A872))*2,0)/2)))</f>
        <v/>
      </c>
      <c r="M872">
        <f>IF(OR(M$4="",$A872&gt;TODAY()),0,IF(OR(INDEX($B872:$D872,M$5)="F",AND(M$6&gt;0,$A872&lt;M$6),AND(M$7&gt;0,$A872&gt;M$7)),0,MAX(0,ROUND((INDEX($E872:$G872,M$5)-SUMIFS(TF_Timer,TF_Tekniker,M$4,TF_Dato,$A872))*2,0)/2)))</f>
        <v/>
      </c>
      <c r="N872">
        <f>IF(OR(N$4="",$A872&gt;TODAY()),0,IF(OR(INDEX($B872:$D872,N$5)="F",AND(N$6&gt;0,$A872&lt;N$6),AND(N$7&gt;0,$A872&gt;N$7)),0,MAX(0,ROUND((INDEX($E872:$G872,N$5)-SUMIFS(TF_Timer,TF_Tekniker,N$4,TF_Dato,$A872))*2,0)/2)))</f>
        <v/>
      </c>
      <c r="O872">
        <f>IF(OR(O$4="",$A872&gt;TODAY()),0,IF(OR(INDEX($B872:$D872,O$5)="F",AND(O$6&gt;0,$A872&lt;O$6),AND(O$7&gt;0,$A872&gt;O$7)),0,MAX(0,ROUND((INDEX($E872:$G872,O$5)-SUMIFS(TF_Timer,TF_Tekniker,O$4,TF_Dato,$A872))*2,0)/2)))</f>
        <v/>
      </c>
      <c r="P872">
        <f>IF(OR(P$4="",$A872&gt;TODAY()),0,IF(OR(INDEX($B872:$D872,P$5)="F",AND(P$6&gt;0,$A872&lt;P$6),AND(P$7&gt;0,$A872&gt;P$7)),0,MAX(0,ROUND((INDEX($E872:$G872,P$5)-SUMIFS(TF_Timer,TF_Tekniker,P$4,TF_Dato,$A872))*2,0)/2)))</f>
        <v/>
      </c>
      <c r="Q872">
        <f>IF(OR(Q$4="",$A872&gt;TODAY()),0,IF(OR(INDEX($B872:$D872,Q$5)="F",AND(Q$6&gt;0,$A872&lt;Q$6),AND(Q$7&gt;0,$A872&gt;Q$7)),0,MAX(0,ROUND((INDEX($E872:$G872,Q$5)-SUMIFS(TF_Timer,TF_Tekniker,Q$4,TF_Dato,$A872))*2,0)/2)))</f>
        <v/>
      </c>
      <c r="R872">
        <f>IF(OR(R$4="",$A872&gt;TODAY()),0,IF(OR(INDEX($B872:$D872,R$5)="F",AND(R$6&gt;0,$A872&lt;R$6),AND(R$7&gt;0,$A872&gt;R$7)),0,MAX(0,ROUND((INDEX($E872:$G872,R$5)-SUMIFS(TF_Timer,TF_Tekniker,R$4,TF_Dato,$A872))*2,0)/2)))</f>
        <v/>
      </c>
      <c r="S872">
        <f>IF(OR(S$4="",$A872&gt;TODAY()),0,IF(OR(INDEX($B872:$D872,S$5)="F",AND(S$6&gt;0,$A872&lt;S$6),AND(S$7&gt;0,$A872&gt;S$7)),0,MAX(0,ROUND((INDEX($E872:$G872,S$5)-SUMIFS(TF_Timer,TF_Tekniker,S$4,TF_Dato,$A872))*2,0)/2)))</f>
        <v/>
      </c>
      <c r="T872">
        <f>IF(OR(T$4="",$A872&gt;TODAY()),0,IF(OR(INDEX($B872:$D872,T$5)="F",AND(T$6&gt;0,$A872&lt;T$6),AND(T$7&gt;0,$A872&gt;T$7)),0,MAX(0,ROUND((INDEX($E872:$G872,T$5)-SUMIFS(TF_Timer,TF_Tekniker,T$4,TF_Dato,$A872))*2,0)/2)))</f>
        <v/>
      </c>
      <c r="U872">
        <f>IF(OR(U$4="",$A872&gt;TODAY()),0,IF(OR(INDEX($B872:$D872,U$5)="F",AND(U$6&gt;0,$A872&lt;U$6),AND(U$7&gt;0,$A872&gt;U$7)),0,MAX(0,ROUND((INDEX($E872:$G872,U$5)-SUMIFS(TF_Timer,TF_Tekniker,U$4,TF_Dato,$A872))*2,0)/2)))</f>
        <v/>
      </c>
      <c r="V872">
        <f>IF(OR(V$4="",$A872&gt;TODAY()),0,IF(OR(INDEX($B872:$D872,V$5)="F",AND(V$6&gt;0,$A872&lt;V$6),AND(V$7&gt;0,$A872&gt;V$7)),0,MAX(0,ROUND((INDEX($E872:$G872,V$5)-SUMIFS(TF_Timer,TF_Tekniker,V$4,TF_Dato,$A872))*2,0)/2)))</f>
        <v/>
      </c>
      <c r="W872">
        <f>IF(OR(W$4="",$A872&gt;TODAY()),0,IF(OR(INDEX($B872:$D872,W$5)="F",AND(W$6&gt;0,$A872&lt;W$6),AND(W$7&gt;0,$A872&gt;W$7)),0,MAX(0,ROUND((INDEX($E872:$G872,W$5)-SUMIFS(TF_Timer,TF_Tekniker,W$4,TF_Dato,$A872))*2,0)/2)))</f>
        <v/>
      </c>
      <c r="X872">
        <f>IF(OR(X$4="",$A872&gt;TODAY()),0,IF(OR(INDEX($B872:$D872,X$5)="F",AND(X$6&gt;0,$A872&lt;X$6),AND(X$7&gt;0,$A872&gt;X$7)),0,MAX(0,ROUND((INDEX($E872:$G872,X$5)-SUMIFS(TF_Timer,TF_Tekniker,X$4,TF_Dato,$A872))*2,0)/2)))</f>
        <v/>
      </c>
      <c r="Y872">
        <f>IF(OR(Y$4="",$A872&gt;TODAY()),0,IF(OR(INDEX($B872:$D872,Y$5)="F",AND(Y$6&gt;0,$A872&lt;Y$6),AND(Y$7&gt;0,$A872&gt;Y$7)),0,MAX(0,ROUND((INDEX($E872:$G872,Y$5)-SUMIFS(TF_Timer,TF_Tekniker,Y$4,TF_Dato,$A872))*2,0)/2)))</f>
        <v/>
      </c>
      <c r="Z872">
        <f>IF(OR(Z$4="",$A872&gt;TODAY()),0,IF(OR(INDEX($B872:$D872,Z$5)="F",AND(Z$6&gt;0,$A872&lt;Z$6),AND(Z$7&gt;0,$A872&gt;Z$7)),0,MAX(0,ROUND((INDEX($E872:$G872,Z$5)-SUMIFS(TF_Timer,TF_Tekniker,Z$4,TF_Dato,$A872))*2,0)/2)))</f>
        <v/>
      </c>
      <c r="AA872">
        <f>IF(OR(AA$4="",$A872&gt;TODAY()),0,IF(OR(INDEX($B872:$D872,AA$5)="F",AND(AA$6&gt;0,$A872&lt;AA$6),AND(AA$7&gt;0,$A872&gt;AA$7)),0,MAX(0,ROUND((INDEX($E872:$G872,AA$5)-SUMIFS(TF_Timer,TF_Tekniker,AA$4,TF_Dato,$A872))*2,0)/2)))</f>
        <v/>
      </c>
      <c r="AB872">
        <f>IF(OR(AB$4="",$A872&gt;TODAY()),0,IF(OR(INDEX($B872:$D872,AB$5)="F",AND(AB$6&gt;0,$A872&lt;AB$6),AND(AB$7&gt;0,$A872&gt;AB$7)),0,MAX(0,ROUND((INDEX($E872:$G872,AB$5)-SUMIFS(TF_Timer,TF_Tekniker,AB$4,TF_Dato,$A872))*2,0)/2)))</f>
        <v/>
      </c>
      <c r="AC872">
        <f>IF(OR(AC$4="",$A872&gt;TODAY()),0,IF(OR(INDEX($B872:$D872,AC$5)="F",AND(AC$6&gt;0,$A872&lt;AC$6),AND(AC$7&gt;0,$A872&gt;AC$7)),0,MAX(0,ROUND((INDEX($E872:$G872,AC$5)-SUMIFS(TF_Timer,TF_Tekniker,AC$4,TF_Dato,$A872))*2,0)/2)))</f>
        <v/>
      </c>
      <c r="AD872">
        <f>IF(OR(AD$4="",$A872&gt;TODAY()),0,IF(OR(INDEX($B872:$D872,AD$5)="F",AND(AD$6&gt;0,$A872&lt;AD$6),AND(AD$7&gt;0,$A872&gt;AD$7)),0,MAX(0,ROUND((INDEX($E872:$G872,AD$5)-SUMIFS(TF_Timer,TF_Tekniker,AD$4,TF_Dato,$A872))*2,0)/2)))</f>
        <v/>
      </c>
      <c r="AE872">
        <f>IF(OR(AE$4="",$A872&gt;TODAY()),0,IF(OR(INDEX($B872:$D872,AE$5)="F",AND(AE$6&gt;0,$A872&lt;AE$6),AND(AE$7&gt;0,$A872&gt;AE$7)),0,MAX(0,ROUND((INDEX($E872:$G872,AE$5)-SUMIFS(TF_Timer,TF_Tekniker,AE$4,TF_Dato,$A872))*2,0)/2)))</f>
        <v/>
      </c>
      <c r="AF872">
        <f>IF(OR(AF$4="",$A872&gt;TODAY()),0,IF(OR(INDEX($B872:$D872,AF$5)="F",AND(AF$6&gt;0,$A872&lt;AF$6),AND(AF$7&gt;0,$A872&gt;AF$7)),0,MAX(0,ROUND((INDEX($E872:$G872,AF$5)-SUMIFS(TF_Timer,TF_Tekniker,AF$4,TF_Dato,$A872))*2,0)/2)))</f>
        <v/>
      </c>
      <c r="AG872">
        <f>IF(OR(AG$4="",$A872&gt;TODAY()),0,IF(OR(INDEX($B872:$D872,AG$5)="F",AND(AG$6&gt;0,$A872&lt;AG$6),AND(AG$7&gt;0,$A872&gt;AG$7)),0,MAX(0,ROUND((INDEX($E872:$G872,AG$5)-SUMIFS(TF_Timer,TF_Tekniker,AG$4,TF_Dato,$A872))*2,0)/2)))</f>
        <v/>
      </c>
      <c r="AH872">
        <f>IF(OR(AH$4="",$A872&gt;TODAY()),0,IF(OR(INDEX($B872:$D872,AH$5)="F",AND(AH$6&gt;0,$A872&lt;AH$6),AND(AH$7&gt;0,$A872&gt;AH$7)),0,MAX(0,ROUND((INDEX($E872:$G872,AH$5)-SUMIFS(TF_Timer,TF_Tekniker,AH$4,TF_Dato,$A872))*2,0)/2)))</f>
        <v/>
      </c>
      <c r="AI872">
        <f>IF(OR(AI$4="",$A872&gt;TODAY()),0,IF(OR(INDEX($B872:$D872,AI$5)="F",AND(AI$6&gt;0,$A872&lt;AI$6),AND(AI$7&gt;0,$A872&gt;AI$7)),0,MAX(0,ROUND((INDEX($E872:$G872,AI$5)-SUMIFS(TF_Timer,TF_Tekniker,AI$4,TF_Dato,$A872))*2,0)/2)))</f>
        <v/>
      </c>
      <c r="AJ872">
        <f>IF(OR(AJ$4="",$A872&gt;TODAY()),0,IF(OR(INDEX($B872:$D872,AJ$5)="F",AND(AJ$6&gt;0,$A872&lt;AJ$6),AND(AJ$7&gt;0,$A872&gt;AJ$7)),0,MAX(0,ROUND((INDEX($E872:$G872,AJ$5)-SUMIFS(TF_Timer,TF_Tekniker,AJ$4,TF_Dato,$A872))*2,0)/2)))</f>
        <v/>
      </c>
      <c r="AK872">
        <f>IF(OR(AK$4="",$A872&gt;TODAY()),0,IF(OR(INDEX($B872:$D872,AK$5)="F",AND(AK$6&gt;0,$A872&lt;AK$6),AND(AK$7&gt;0,$A872&gt;AK$7)),0,MAX(0,ROUND((INDEX($E872:$G872,AK$5)-SUMIFS(TF_Timer,TF_Tekniker,AK$4,TF_Dato,$A872))*2,0)/2)))</f>
        <v/>
      </c>
      <c r="AL872">
        <f>IF(OR(AL$4="",$A872&gt;TODAY()),0,IF(OR(INDEX($B872:$D872,AL$5)="F",AND(AL$6&gt;0,$A872&lt;AL$6),AND(AL$7&gt;0,$A872&gt;AL$7)),0,MAX(0,ROUND((INDEX($E872:$G872,AL$5)-SUMIFS(TF_Timer,TF_Tekniker,AL$4,TF_Dato,$A872))*2,0)/2)))</f>
        <v/>
      </c>
      <c r="AM872">
        <f>IF(OR(AM$4="",$A872&gt;TODAY()),0,IF(OR(INDEX($B872:$D872,AM$5)="F",AND(AM$6&gt;0,$A872&lt;AM$6),AND(AM$7&gt;0,$A872&gt;AM$7)),0,MAX(0,ROUND((INDEX($E872:$G872,AM$5)-SUMIFS(TF_Timer,TF_Tekniker,AM$4,TF_Dato,$A872))*2,0)/2)))</f>
        <v/>
      </c>
      <c r="AN872">
        <f>IF(OR(AN$4="",$A872&gt;TODAY()),0,IF(OR(INDEX($B872:$D872,AN$5)="F",AND(AN$6&gt;0,$A872&lt;AN$6),AND(AN$7&gt;0,$A872&gt;AN$7)),0,MAX(0,ROUND((INDEX($E872:$G872,AN$5)-SUMIFS(TF_Timer,TF_Tekniker,AN$4,TF_Dato,$A872))*2,0)/2)))</f>
        <v/>
      </c>
      <c r="AO872">
        <f>IF(OR(AO$4="",$A872&gt;TODAY()),0,IF(OR(INDEX($B872:$D872,AO$5)="F",AND(AO$6&gt;0,$A872&lt;AO$6),AND(AO$7&gt;0,$A872&gt;AO$7)),0,MAX(0,ROUND((INDEX($E872:$G872,AO$5)-SUMIFS(TF_Timer,TF_Tekniker,AO$4,TF_Dato,$A872))*2,0)/2)))</f>
        <v/>
      </c>
      <c r="AP872">
        <f>IF(OR(AP$4="",$A872&gt;TODAY()),0,IF(OR(INDEX($B872:$D872,AP$5)="F",AND(AP$6&gt;0,$A872&lt;AP$6),AND(AP$7&gt;0,$A872&gt;AP$7)),0,MAX(0,ROUND((INDEX($E872:$G872,AP$5)-SUMIFS(TF_Timer,TF_Tekniker,AP$4,TF_Dato,$A872))*2,0)/2)))</f>
        <v/>
      </c>
      <c r="AQ872">
        <f>IF(OR(AQ$4="",$A872&gt;TODAY()),0,IF(OR(INDEX($B872:$D872,AQ$5)="F",AND(AQ$6&gt;0,$A872&lt;AQ$6),AND(AQ$7&gt;0,$A872&gt;AQ$7)),0,MAX(0,ROUND((INDEX($E872:$G872,AQ$5)-SUMIFS(TF_Timer,TF_Tekniker,AQ$4,TF_Dato,$A872))*2,0)/2)))</f>
        <v/>
      </c>
      <c r="AR872">
        <f>IF(OR(AR$4="",$A872&gt;TODAY()),0,IF(OR(INDEX($B872:$D872,AR$5)="F",AND(AR$6&gt;0,$A872&lt;AR$6),AND(AR$7&gt;0,$A872&gt;AR$7)),0,MAX(0,ROUND((INDEX($E872:$G872,AR$5)-SUMIFS(TF_Timer,TF_Tekniker,AR$4,TF_Dato,$A872))*2,0)/2)))</f>
        <v/>
      </c>
      <c r="AS872">
        <f>IF(OR(AS$4="",$A872&gt;TODAY()),0,IF(OR(INDEX($B872:$D872,AS$5)="F",AND(AS$6&gt;0,$A872&lt;AS$6),AND(AS$7&gt;0,$A872&gt;AS$7)),0,MAX(0,ROUND((INDEX($E872:$G872,AS$5)-SUMIFS(TF_Timer,TF_Tekniker,AS$4,TF_Dato,$A872))*2,0)/2)))</f>
        <v/>
      </c>
      <c r="AT872">
        <f>IF(OR(AT$4="",$A872&gt;TODAY()),0,IF(OR(INDEX($B872:$D872,AT$5)="F",AND(AT$6&gt;0,$A872&lt;AT$6),AND(AT$7&gt;0,$A872&gt;AT$7)),0,MAX(0,ROUND((INDEX($E872:$G872,AT$5)-SUMIFS(TF_Timer,TF_Tekniker,AT$4,TF_Dato,$A872))*2,0)/2)))</f>
        <v/>
      </c>
      <c r="AU872">
        <f>IF(OR(AU$4="",$A872&gt;TODAY()),0,IF(OR(INDEX($B872:$D872,AU$5)="F",AND(AU$6&gt;0,$A872&lt;AU$6),AND(AU$7&gt;0,$A872&gt;AU$7)),0,MAX(0,ROUND((INDEX($E872:$G872,AU$5)-SUMIFS(TF_Timer,TF_Tekniker,AU$4,TF_Dato,$A872))*2,0)/2)))</f>
        <v/>
      </c>
      <c r="AV872">
        <f>IF(OR(AV$4="",$A872&gt;TODAY()),0,IF(OR(INDEX($B872:$D872,AV$5)="F",AND(AV$6&gt;0,$A872&lt;AV$6),AND(AV$7&gt;0,$A872&gt;AV$7)),0,MAX(0,ROUND((INDEX($E872:$G872,AV$5)-SUMIFS(TF_Timer,TF_Tekniker,AV$4,TF_Dato,$A872))*2,0)/2)))</f>
        <v/>
      </c>
      <c r="AW872">
        <f>IF(OR(AW$4="",$A872&gt;TODAY()),0,IF(OR(INDEX($B872:$D872,AW$5)="F",AND(AW$6&gt;0,$A872&lt;AW$6),AND(AW$7&gt;0,$A872&gt;AW$7)),0,MAX(0,ROUND((INDEX($E872:$G872,AW$5)-SUMIFS(TF_Timer,TF_Tekniker,AW$4,TF_Dato,$A872))*2,0)/2)))</f>
        <v/>
      </c>
      <c r="AX872">
        <f>IF(OR(AX$4="",$A872&gt;TODAY()),0,IF(OR(INDEX($B872:$D872,AX$5)="F",AND(AX$6&gt;0,$A872&lt;AX$6),AND(AX$7&gt;0,$A872&gt;AX$7)),0,MAX(0,ROUND((INDEX($E872:$G872,AX$5)-SUMIFS(TF_Timer,TF_Tekniker,AX$4,TF_Dato,$A872))*2,0)/2)))</f>
        <v/>
      </c>
      <c r="AY872">
        <f>IF(OR(AY$4="",$A872&gt;TODAY()),0,IF(OR(INDEX($B872:$D872,AY$5)="F",AND(AY$6&gt;0,$A872&lt;AY$6),AND(AY$7&gt;0,$A872&gt;AY$7)),0,MAX(0,ROUND((INDEX($E872:$G872,AY$5)-SUMIFS(TF_Timer,TF_Tekniker,AY$4,TF_Dato,$A872))*2,0)/2)))</f>
        <v/>
      </c>
      <c r="AZ872">
        <f>IF(OR(AZ$4="",$A872&gt;TODAY()),0,IF(OR(INDEX($B872:$D872,AZ$5)="F",AND(AZ$6&gt;0,$A872&lt;AZ$6),AND(AZ$7&gt;0,$A872&gt;AZ$7)),0,MAX(0,ROUND((INDEX($E872:$G872,AZ$5)-SUMIFS(TF_Timer,TF_Tekniker,AZ$4,TF_Dato,$A872))*2,0)/2)))</f>
        <v/>
      </c>
      <c r="BA872">
        <f>IF(OR(BA$4="",$A872&gt;TODAY()),0,IF(OR(INDEX($B872:$D872,BA$5)="F",AND(BA$6&gt;0,$A872&lt;BA$6),AND(BA$7&gt;0,$A872&gt;BA$7)),0,MAX(0,ROUND((INDEX($E872:$G872,BA$5)-SUMIFS(TF_Timer,TF_Tekniker,BA$4,TF_Dato,$A872))*2,0)/2)))</f>
        <v/>
      </c>
      <c r="BB872">
        <f>IF(OR(BB$4="",$A872&gt;TODAY()),0,IF(OR(INDEX($B872:$D872,BB$5)="F",AND(BB$6&gt;0,$A872&lt;BB$6),AND(BB$7&gt;0,$A872&gt;BB$7)),0,MAX(0,ROUND((INDEX($E872:$G872,BB$5)-SUMIFS(TF_Timer,TF_Tekniker,BB$4,TF_Dato,$A872))*2,0)/2)))</f>
        <v/>
      </c>
      <c r="BC872">
        <f>IF(OR(BC$4="",$A872&gt;TODAY()),0,IF(OR(INDEX($B872:$D872,BC$5)="F",AND(BC$6&gt;0,$A872&lt;BC$6),AND(BC$7&gt;0,$A872&gt;BC$7)),0,MAX(0,ROUND((INDEX($E872:$G872,BC$5)-SUMIFS(TF_Timer,TF_Tekniker,BC$4,TF_Dato,$A872))*2,0)/2)))</f>
        <v/>
      </c>
      <c r="BD872">
        <f>IF(OR(BD$4="",$A872&gt;TODAY()),0,IF(OR(INDEX($B872:$D872,BD$5)="F",AND(BD$6&gt;0,$A872&lt;BD$6),AND(BD$7&gt;0,$A872&gt;BD$7)),0,MAX(0,ROUND((INDEX($E872:$G872,BD$5)-SUMIFS(TF_Timer,TF_Tekniker,BD$4,TF_Dato,$A872))*2,0)/2)))</f>
        <v/>
      </c>
      <c r="BE872">
        <f>IF(OR(BE$4="",$A872&gt;TODAY()),0,IF(OR(INDEX($B872:$D872,BE$5)="F",AND(BE$6&gt;0,$A872&lt;BE$6),AND(BE$7&gt;0,$A872&gt;BE$7)),0,MAX(0,ROUND((INDEX($E872:$G872,BE$5)-SUMIFS(TF_Timer,TF_Tekniker,BE$4,TF_Dato,$A872))*2,0)/2)))</f>
        <v/>
      </c>
      <c r="BF872">
        <f>IF(OR(BF$4="",$A872&gt;TODAY()),0,IF(OR(INDEX($B872:$D872,BF$5)="F",AND(BF$6&gt;0,$A872&lt;BF$6),AND(BF$7&gt;0,$A872&gt;BF$7)),0,MAX(0,ROUND((INDEX($E872:$G872,BF$5)-SUMIFS(TF_Timer,TF_Tekniker,BF$4,TF_Dato,$A872))*2,0)/2)))</f>
        <v/>
      </c>
      <c r="BG872">
        <f>IF(OR(BG$4="",$A872&gt;TODAY()),0,IF(OR(INDEX($B872:$D872,BG$5)="F",AND(BG$6&gt;0,$A872&lt;BG$6),AND(BG$7&gt;0,$A872&gt;BG$7)),0,MAX(0,ROUND((INDEX($E872:$G872,BG$5)-SUMIFS(TF_Timer,TF_Tekniker,BG$4,TF_Dato,$A872))*2,0)/2)))</f>
        <v/>
      </c>
      <c r="BH872">
        <f>IF(OR(BH$4="",$A872&gt;TODAY()),0,IF(OR(INDEX($B872:$D872,BH$5)="F",AND(BH$6&gt;0,$A872&lt;BH$6),AND(BH$7&gt;0,$A872&gt;BH$7)),0,MAX(0,ROUND((INDEX($E872:$G872,BH$5)-SUMIFS(TF_Timer,TF_Tekniker,BH$4,TF_Dato,$A872))*2,0)/2)))</f>
        <v/>
      </c>
      <c r="BI872">
        <f>IF(OR(BI$4="",$A872&gt;TODAY()),0,IF(OR(INDEX($B872:$D872,BI$5)="F",AND(BI$6&gt;0,$A872&lt;BI$6),AND(BI$7&gt;0,$A872&gt;BI$7)),0,MAX(0,ROUND((INDEX($E872:$G872,BI$5)-SUMIFS(TF_Timer,TF_Tekniker,BI$4,TF_Dato,$A872))*2,0)/2)))</f>
        <v/>
      </c>
    </row>
    <row r="873">
      <c r="A873" s="64">
        <f>A872+1</f>
        <v/>
      </c>
      <c r="B873">
        <f>IF(MOD($A873-INDEX(SkiftStart,1),Syklus)&lt;DagK,"K",IF(MOD($A873-INDEX(SkiftStart,1),Syklus)&lt;DagK+DagH,"H",IF(MOD($A873-INDEX(SkiftStart,1),Syklus)&lt;DagK+DagH+DagD,"D","F")))</f>
        <v/>
      </c>
      <c r="C873">
        <f>IF(MOD($A873-INDEX(SkiftStart,2),Syklus)&lt;DagK,"K",IF(MOD($A873-INDEX(SkiftStart,2),Syklus)&lt;DagK+DagH,"H",IF(MOD($A873-INDEX(SkiftStart,2),Syklus)&lt;DagK+DagH+DagD,"D","F")))</f>
        <v/>
      </c>
      <c r="D873">
        <f>IF(MOD($A873-INDEX(SkiftStart,3),Syklus)&lt;DagK,"K",IF(MOD($A873-INDEX(SkiftStart,3),Syklus)&lt;DagK+DagH,"H",IF(MOD($A873-INDEX(SkiftStart,3),Syklus)&lt;DagK+DagH+DagD,"D","F")))</f>
        <v/>
      </c>
      <c r="E873">
        <f>IF(B873="F",0,IF(WEEKDAY($A873,2)=5,INDEX(TimerFr,MATCH(B873,FaseKode,0)),INDEX(TimerMT,MATCH(B873,FaseKode,0))))</f>
        <v/>
      </c>
      <c r="F873">
        <f>IF(C873="F",0,IF(WEEKDAY($A873,2)=5,INDEX(TimerFr,MATCH(C873,FaseKode,0)),INDEX(TimerMT,MATCH(C873,FaseKode,0))))</f>
        <v/>
      </c>
      <c r="G873">
        <f>IF(D873="F",0,IF(WEEKDAY($A873,2)=5,INDEX(TimerFr,MATCH(D873,FaseKode,0)),INDEX(TimerMT,MATCH(D873,FaseKode,0))))</f>
        <v/>
      </c>
      <c r="H873">
        <f>IF(OR(H$4="",$A873&gt;TODAY()),0,IF(OR(INDEX($B873:$D873,H$5)="F",AND(H$6&gt;0,$A873&lt;H$6),AND(H$7&gt;0,$A873&gt;H$7)),0,MAX(0,ROUND((INDEX($E873:$G873,H$5)-SUMIFS(TF_Timer,TF_Tekniker,H$4,TF_Dato,$A873))*2,0)/2)))</f>
        <v/>
      </c>
      <c r="I873">
        <f>IF(OR(I$4="",$A873&gt;TODAY()),0,IF(OR(INDEX($B873:$D873,I$5)="F",AND(I$6&gt;0,$A873&lt;I$6),AND(I$7&gt;0,$A873&gt;I$7)),0,MAX(0,ROUND((INDEX($E873:$G873,I$5)-SUMIFS(TF_Timer,TF_Tekniker,I$4,TF_Dato,$A873))*2,0)/2)))</f>
        <v/>
      </c>
      <c r="J873">
        <f>IF(OR(J$4="",$A873&gt;TODAY()),0,IF(OR(INDEX($B873:$D873,J$5)="F",AND(J$6&gt;0,$A873&lt;J$6),AND(J$7&gt;0,$A873&gt;J$7)),0,MAX(0,ROUND((INDEX($E873:$G873,J$5)-SUMIFS(TF_Timer,TF_Tekniker,J$4,TF_Dato,$A873))*2,0)/2)))</f>
        <v/>
      </c>
      <c r="K873">
        <f>IF(OR(K$4="",$A873&gt;TODAY()),0,IF(OR(INDEX($B873:$D873,K$5)="F",AND(K$6&gt;0,$A873&lt;K$6),AND(K$7&gt;0,$A873&gt;K$7)),0,MAX(0,ROUND((INDEX($E873:$G873,K$5)-SUMIFS(TF_Timer,TF_Tekniker,K$4,TF_Dato,$A873))*2,0)/2)))</f>
        <v/>
      </c>
      <c r="L873">
        <f>IF(OR(L$4="",$A873&gt;TODAY()),0,IF(OR(INDEX($B873:$D873,L$5)="F",AND(L$6&gt;0,$A873&lt;L$6),AND(L$7&gt;0,$A873&gt;L$7)),0,MAX(0,ROUND((INDEX($E873:$G873,L$5)-SUMIFS(TF_Timer,TF_Tekniker,L$4,TF_Dato,$A873))*2,0)/2)))</f>
        <v/>
      </c>
      <c r="M873">
        <f>IF(OR(M$4="",$A873&gt;TODAY()),0,IF(OR(INDEX($B873:$D873,M$5)="F",AND(M$6&gt;0,$A873&lt;M$6),AND(M$7&gt;0,$A873&gt;M$7)),0,MAX(0,ROUND((INDEX($E873:$G873,M$5)-SUMIFS(TF_Timer,TF_Tekniker,M$4,TF_Dato,$A873))*2,0)/2)))</f>
        <v/>
      </c>
      <c r="N873">
        <f>IF(OR(N$4="",$A873&gt;TODAY()),0,IF(OR(INDEX($B873:$D873,N$5)="F",AND(N$6&gt;0,$A873&lt;N$6),AND(N$7&gt;0,$A873&gt;N$7)),0,MAX(0,ROUND((INDEX($E873:$G873,N$5)-SUMIFS(TF_Timer,TF_Tekniker,N$4,TF_Dato,$A873))*2,0)/2)))</f>
        <v/>
      </c>
      <c r="O873">
        <f>IF(OR(O$4="",$A873&gt;TODAY()),0,IF(OR(INDEX($B873:$D873,O$5)="F",AND(O$6&gt;0,$A873&lt;O$6),AND(O$7&gt;0,$A873&gt;O$7)),0,MAX(0,ROUND((INDEX($E873:$G873,O$5)-SUMIFS(TF_Timer,TF_Tekniker,O$4,TF_Dato,$A873))*2,0)/2)))</f>
        <v/>
      </c>
      <c r="P873">
        <f>IF(OR(P$4="",$A873&gt;TODAY()),0,IF(OR(INDEX($B873:$D873,P$5)="F",AND(P$6&gt;0,$A873&lt;P$6),AND(P$7&gt;0,$A873&gt;P$7)),0,MAX(0,ROUND((INDEX($E873:$G873,P$5)-SUMIFS(TF_Timer,TF_Tekniker,P$4,TF_Dato,$A873))*2,0)/2)))</f>
        <v/>
      </c>
      <c r="Q873">
        <f>IF(OR(Q$4="",$A873&gt;TODAY()),0,IF(OR(INDEX($B873:$D873,Q$5)="F",AND(Q$6&gt;0,$A873&lt;Q$6),AND(Q$7&gt;0,$A873&gt;Q$7)),0,MAX(0,ROUND((INDEX($E873:$G873,Q$5)-SUMIFS(TF_Timer,TF_Tekniker,Q$4,TF_Dato,$A873))*2,0)/2)))</f>
        <v/>
      </c>
      <c r="R873">
        <f>IF(OR(R$4="",$A873&gt;TODAY()),0,IF(OR(INDEX($B873:$D873,R$5)="F",AND(R$6&gt;0,$A873&lt;R$6),AND(R$7&gt;0,$A873&gt;R$7)),0,MAX(0,ROUND((INDEX($E873:$G873,R$5)-SUMIFS(TF_Timer,TF_Tekniker,R$4,TF_Dato,$A873))*2,0)/2)))</f>
        <v/>
      </c>
      <c r="S873">
        <f>IF(OR(S$4="",$A873&gt;TODAY()),0,IF(OR(INDEX($B873:$D873,S$5)="F",AND(S$6&gt;0,$A873&lt;S$6),AND(S$7&gt;0,$A873&gt;S$7)),0,MAX(0,ROUND((INDEX($E873:$G873,S$5)-SUMIFS(TF_Timer,TF_Tekniker,S$4,TF_Dato,$A873))*2,0)/2)))</f>
        <v/>
      </c>
      <c r="T873">
        <f>IF(OR(T$4="",$A873&gt;TODAY()),0,IF(OR(INDEX($B873:$D873,T$5)="F",AND(T$6&gt;0,$A873&lt;T$6),AND(T$7&gt;0,$A873&gt;T$7)),0,MAX(0,ROUND((INDEX($E873:$G873,T$5)-SUMIFS(TF_Timer,TF_Tekniker,T$4,TF_Dato,$A873))*2,0)/2)))</f>
        <v/>
      </c>
      <c r="U873">
        <f>IF(OR(U$4="",$A873&gt;TODAY()),0,IF(OR(INDEX($B873:$D873,U$5)="F",AND(U$6&gt;0,$A873&lt;U$6),AND(U$7&gt;0,$A873&gt;U$7)),0,MAX(0,ROUND((INDEX($E873:$G873,U$5)-SUMIFS(TF_Timer,TF_Tekniker,U$4,TF_Dato,$A873))*2,0)/2)))</f>
        <v/>
      </c>
      <c r="V873">
        <f>IF(OR(V$4="",$A873&gt;TODAY()),0,IF(OR(INDEX($B873:$D873,V$5)="F",AND(V$6&gt;0,$A873&lt;V$6),AND(V$7&gt;0,$A873&gt;V$7)),0,MAX(0,ROUND((INDEX($E873:$G873,V$5)-SUMIFS(TF_Timer,TF_Tekniker,V$4,TF_Dato,$A873))*2,0)/2)))</f>
        <v/>
      </c>
      <c r="W873">
        <f>IF(OR(W$4="",$A873&gt;TODAY()),0,IF(OR(INDEX($B873:$D873,W$5)="F",AND(W$6&gt;0,$A873&lt;W$6),AND(W$7&gt;0,$A873&gt;W$7)),0,MAX(0,ROUND((INDEX($E873:$G873,W$5)-SUMIFS(TF_Timer,TF_Tekniker,W$4,TF_Dato,$A873))*2,0)/2)))</f>
        <v/>
      </c>
      <c r="X873">
        <f>IF(OR(X$4="",$A873&gt;TODAY()),0,IF(OR(INDEX($B873:$D873,X$5)="F",AND(X$6&gt;0,$A873&lt;X$6),AND(X$7&gt;0,$A873&gt;X$7)),0,MAX(0,ROUND((INDEX($E873:$G873,X$5)-SUMIFS(TF_Timer,TF_Tekniker,X$4,TF_Dato,$A873))*2,0)/2)))</f>
        <v/>
      </c>
      <c r="Y873">
        <f>IF(OR(Y$4="",$A873&gt;TODAY()),0,IF(OR(INDEX($B873:$D873,Y$5)="F",AND(Y$6&gt;0,$A873&lt;Y$6),AND(Y$7&gt;0,$A873&gt;Y$7)),0,MAX(0,ROUND((INDEX($E873:$G873,Y$5)-SUMIFS(TF_Timer,TF_Tekniker,Y$4,TF_Dato,$A873))*2,0)/2)))</f>
        <v/>
      </c>
      <c r="Z873">
        <f>IF(OR(Z$4="",$A873&gt;TODAY()),0,IF(OR(INDEX($B873:$D873,Z$5)="F",AND(Z$6&gt;0,$A873&lt;Z$6),AND(Z$7&gt;0,$A873&gt;Z$7)),0,MAX(0,ROUND((INDEX($E873:$G873,Z$5)-SUMIFS(TF_Timer,TF_Tekniker,Z$4,TF_Dato,$A873))*2,0)/2)))</f>
        <v/>
      </c>
      <c r="AA873">
        <f>IF(OR(AA$4="",$A873&gt;TODAY()),0,IF(OR(INDEX($B873:$D873,AA$5)="F",AND(AA$6&gt;0,$A873&lt;AA$6),AND(AA$7&gt;0,$A873&gt;AA$7)),0,MAX(0,ROUND((INDEX($E873:$G873,AA$5)-SUMIFS(TF_Timer,TF_Tekniker,AA$4,TF_Dato,$A873))*2,0)/2)))</f>
        <v/>
      </c>
      <c r="AB873">
        <f>IF(OR(AB$4="",$A873&gt;TODAY()),0,IF(OR(INDEX($B873:$D873,AB$5)="F",AND(AB$6&gt;0,$A873&lt;AB$6),AND(AB$7&gt;0,$A873&gt;AB$7)),0,MAX(0,ROUND((INDEX($E873:$G873,AB$5)-SUMIFS(TF_Timer,TF_Tekniker,AB$4,TF_Dato,$A873))*2,0)/2)))</f>
        <v/>
      </c>
      <c r="AC873">
        <f>IF(OR(AC$4="",$A873&gt;TODAY()),0,IF(OR(INDEX($B873:$D873,AC$5)="F",AND(AC$6&gt;0,$A873&lt;AC$6),AND(AC$7&gt;0,$A873&gt;AC$7)),0,MAX(0,ROUND((INDEX($E873:$G873,AC$5)-SUMIFS(TF_Timer,TF_Tekniker,AC$4,TF_Dato,$A873))*2,0)/2)))</f>
        <v/>
      </c>
      <c r="AD873">
        <f>IF(OR(AD$4="",$A873&gt;TODAY()),0,IF(OR(INDEX($B873:$D873,AD$5)="F",AND(AD$6&gt;0,$A873&lt;AD$6),AND(AD$7&gt;0,$A873&gt;AD$7)),0,MAX(0,ROUND((INDEX($E873:$G873,AD$5)-SUMIFS(TF_Timer,TF_Tekniker,AD$4,TF_Dato,$A873))*2,0)/2)))</f>
        <v/>
      </c>
      <c r="AE873">
        <f>IF(OR(AE$4="",$A873&gt;TODAY()),0,IF(OR(INDEX($B873:$D873,AE$5)="F",AND(AE$6&gt;0,$A873&lt;AE$6),AND(AE$7&gt;0,$A873&gt;AE$7)),0,MAX(0,ROUND((INDEX($E873:$G873,AE$5)-SUMIFS(TF_Timer,TF_Tekniker,AE$4,TF_Dato,$A873))*2,0)/2)))</f>
        <v/>
      </c>
      <c r="AF873">
        <f>IF(OR(AF$4="",$A873&gt;TODAY()),0,IF(OR(INDEX($B873:$D873,AF$5)="F",AND(AF$6&gt;0,$A873&lt;AF$6),AND(AF$7&gt;0,$A873&gt;AF$7)),0,MAX(0,ROUND((INDEX($E873:$G873,AF$5)-SUMIFS(TF_Timer,TF_Tekniker,AF$4,TF_Dato,$A873))*2,0)/2)))</f>
        <v/>
      </c>
      <c r="AG873">
        <f>IF(OR(AG$4="",$A873&gt;TODAY()),0,IF(OR(INDEX($B873:$D873,AG$5)="F",AND(AG$6&gt;0,$A873&lt;AG$6),AND(AG$7&gt;0,$A873&gt;AG$7)),0,MAX(0,ROUND((INDEX($E873:$G873,AG$5)-SUMIFS(TF_Timer,TF_Tekniker,AG$4,TF_Dato,$A873))*2,0)/2)))</f>
        <v/>
      </c>
      <c r="AH873">
        <f>IF(OR(AH$4="",$A873&gt;TODAY()),0,IF(OR(INDEX($B873:$D873,AH$5)="F",AND(AH$6&gt;0,$A873&lt;AH$6),AND(AH$7&gt;0,$A873&gt;AH$7)),0,MAX(0,ROUND((INDEX($E873:$G873,AH$5)-SUMIFS(TF_Timer,TF_Tekniker,AH$4,TF_Dato,$A873))*2,0)/2)))</f>
        <v/>
      </c>
      <c r="AI873">
        <f>IF(OR(AI$4="",$A873&gt;TODAY()),0,IF(OR(INDEX($B873:$D873,AI$5)="F",AND(AI$6&gt;0,$A873&lt;AI$6),AND(AI$7&gt;0,$A873&gt;AI$7)),0,MAX(0,ROUND((INDEX($E873:$G873,AI$5)-SUMIFS(TF_Timer,TF_Tekniker,AI$4,TF_Dato,$A873))*2,0)/2)))</f>
        <v/>
      </c>
      <c r="AJ873">
        <f>IF(OR(AJ$4="",$A873&gt;TODAY()),0,IF(OR(INDEX($B873:$D873,AJ$5)="F",AND(AJ$6&gt;0,$A873&lt;AJ$6),AND(AJ$7&gt;0,$A873&gt;AJ$7)),0,MAX(0,ROUND((INDEX($E873:$G873,AJ$5)-SUMIFS(TF_Timer,TF_Tekniker,AJ$4,TF_Dato,$A873))*2,0)/2)))</f>
        <v/>
      </c>
      <c r="AK873">
        <f>IF(OR(AK$4="",$A873&gt;TODAY()),0,IF(OR(INDEX($B873:$D873,AK$5)="F",AND(AK$6&gt;0,$A873&lt;AK$6),AND(AK$7&gt;0,$A873&gt;AK$7)),0,MAX(0,ROUND((INDEX($E873:$G873,AK$5)-SUMIFS(TF_Timer,TF_Tekniker,AK$4,TF_Dato,$A873))*2,0)/2)))</f>
        <v/>
      </c>
      <c r="AL873">
        <f>IF(OR(AL$4="",$A873&gt;TODAY()),0,IF(OR(INDEX($B873:$D873,AL$5)="F",AND(AL$6&gt;0,$A873&lt;AL$6),AND(AL$7&gt;0,$A873&gt;AL$7)),0,MAX(0,ROUND((INDEX($E873:$G873,AL$5)-SUMIFS(TF_Timer,TF_Tekniker,AL$4,TF_Dato,$A873))*2,0)/2)))</f>
        <v/>
      </c>
      <c r="AM873">
        <f>IF(OR(AM$4="",$A873&gt;TODAY()),0,IF(OR(INDEX($B873:$D873,AM$5)="F",AND(AM$6&gt;0,$A873&lt;AM$6),AND(AM$7&gt;0,$A873&gt;AM$7)),0,MAX(0,ROUND((INDEX($E873:$G873,AM$5)-SUMIFS(TF_Timer,TF_Tekniker,AM$4,TF_Dato,$A873))*2,0)/2)))</f>
        <v/>
      </c>
      <c r="AN873">
        <f>IF(OR(AN$4="",$A873&gt;TODAY()),0,IF(OR(INDEX($B873:$D873,AN$5)="F",AND(AN$6&gt;0,$A873&lt;AN$6),AND(AN$7&gt;0,$A873&gt;AN$7)),0,MAX(0,ROUND((INDEX($E873:$G873,AN$5)-SUMIFS(TF_Timer,TF_Tekniker,AN$4,TF_Dato,$A873))*2,0)/2)))</f>
        <v/>
      </c>
      <c r="AO873">
        <f>IF(OR(AO$4="",$A873&gt;TODAY()),0,IF(OR(INDEX($B873:$D873,AO$5)="F",AND(AO$6&gt;0,$A873&lt;AO$6),AND(AO$7&gt;0,$A873&gt;AO$7)),0,MAX(0,ROUND((INDEX($E873:$G873,AO$5)-SUMIFS(TF_Timer,TF_Tekniker,AO$4,TF_Dato,$A873))*2,0)/2)))</f>
        <v/>
      </c>
      <c r="AP873">
        <f>IF(OR(AP$4="",$A873&gt;TODAY()),0,IF(OR(INDEX($B873:$D873,AP$5)="F",AND(AP$6&gt;0,$A873&lt;AP$6),AND(AP$7&gt;0,$A873&gt;AP$7)),0,MAX(0,ROUND((INDEX($E873:$G873,AP$5)-SUMIFS(TF_Timer,TF_Tekniker,AP$4,TF_Dato,$A873))*2,0)/2)))</f>
        <v/>
      </c>
      <c r="AQ873">
        <f>IF(OR(AQ$4="",$A873&gt;TODAY()),0,IF(OR(INDEX($B873:$D873,AQ$5)="F",AND(AQ$6&gt;0,$A873&lt;AQ$6),AND(AQ$7&gt;0,$A873&gt;AQ$7)),0,MAX(0,ROUND((INDEX($E873:$G873,AQ$5)-SUMIFS(TF_Timer,TF_Tekniker,AQ$4,TF_Dato,$A873))*2,0)/2)))</f>
        <v/>
      </c>
      <c r="AR873">
        <f>IF(OR(AR$4="",$A873&gt;TODAY()),0,IF(OR(INDEX($B873:$D873,AR$5)="F",AND(AR$6&gt;0,$A873&lt;AR$6),AND(AR$7&gt;0,$A873&gt;AR$7)),0,MAX(0,ROUND((INDEX($E873:$G873,AR$5)-SUMIFS(TF_Timer,TF_Tekniker,AR$4,TF_Dato,$A873))*2,0)/2)))</f>
        <v/>
      </c>
      <c r="AS873">
        <f>IF(OR(AS$4="",$A873&gt;TODAY()),0,IF(OR(INDEX($B873:$D873,AS$5)="F",AND(AS$6&gt;0,$A873&lt;AS$6),AND(AS$7&gt;0,$A873&gt;AS$7)),0,MAX(0,ROUND((INDEX($E873:$G873,AS$5)-SUMIFS(TF_Timer,TF_Tekniker,AS$4,TF_Dato,$A873))*2,0)/2)))</f>
        <v/>
      </c>
      <c r="AT873">
        <f>IF(OR(AT$4="",$A873&gt;TODAY()),0,IF(OR(INDEX($B873:$D873,AT$5)="F",AND(AT$6&gt;0,$A873&lt;AT$6),AND(AT$7&gt;0,$A873&gt;AT$7)),0,MAX(0,ROUND((INDEX($E873:$G873,AT$5)-SUMIFS(TF_Timer,TF_Tekniker,AT$4,TF_Dato,$A873))*2,0)/2)))</f>
        <v/>
      </c>
      <c r="AU873">
        <f>IF(OR(AU$4="",$A873&gt;TODAY()),0,IF(OR(INDEX($B873:$D873,AU$5)="F",AND(AU$6&gt;0,$A873&lt;AU$6),AND(AU$7&gt;0,$A873&gt;AU$7)),0,MAX(0,ROUND((INDEX($E873:$G873,AU$5)-SUMIFS(TF_Timer,TF_Tekniker,AU$4,TF_Dato,$A873))*2,0)/2)))</f>
        <v/>
      </c>
      <c r="AV873">
        <f>IF(OR(AV$4="",$A873&gt;TODAY()),0,IF(OR(INDEX($B873:$D873,AV$5)="F",AND(AV$6&gt;0,$A873&lt;AV$6),AND(AV$7&gt;0,$A873&gt;AV$7)),0,MAX(0,ROUND((INDEX($E873:$G873,AV$5)-SUMIFS(TF_Timer,TF_Tekniker,AV$4,TF_Dato,$A873))*2,0)/2)))</f>
        <v/>
      </c>
      <c r="AW873">
        <f>IF(OR(AW$4="",$A873&gt;TODAY()),0,IF(OR(INDEX($B873:$D873,AW$5)="F",AND(AW$6&gt;0,$A873&lt;AW$6),AND(AW$7&gt;0,$A873&gt;AW$7)),0,MAX(0,ROUND((INDEX($E873:$G873,AW$5)-SUMIFS(TF_Timer,TF_Tekniker,AW$4,TF_Dato,$A873))*2,0)/2)))</f>
        <v/>
      </c>
      <c r="AX873">
        <f>IF(OR(AX$4="",$A873&gt;TODAY()),0,IF(OR(INDEX($B873:$D873,AX$5)="F",AND(AX$6&gt;0,$A873&lt;AX$6),AND(AX$7&gt;0,$A873&gt;AX$7)),0,MAX(0,ROUND((INDEX($E873:$G873,AX$5)-SUMIFS(TF_Timer,TF_Tekniker,AX$4,TF_Dato,$A873))*2,0)/2)))</f>
        <v/>
      </c>
      <c r="AY873">
        <f>IF(OR(AY$4="",$A873&gt;TODAY()),0,IF(OR(INDEX($B873:$D873,AY$5)="F",AND(AY$6&gt;0,$A873&lt;AY$6),AND(AY$7&gt;0,$A873&gt;AY$7)),0,MAX(0,ROUND((INDEX($E873:$G873,AY$5)-SUMIFS(TF_Timer,TF_Tekniker,AY$4,TF_Dato,$A873))*2,0)/2)))</f>
        <v/>
      </c>
      <c r="AZ873">
        <f>IF(OR(AZ$4="",$A873&gt;TODAY()),0,IF(OR(INDEX($B873:$D873,AZ$5)="F",AND(AZ$6&gt;0,$A873&lt;AZ$6),AND(AZ$7&gt;0,$A873&gt;AZ$7)),0,MAX(0,ROUND((INDEX($E873:$G873,AZ$5)-SUMIFS(TF_Timer,TF_Tekniker,AZ$4,TF_Dato,$A873))*2,0)/2)))</f>
        <v/>
      </c>
      <c r="BA873">
        <f>IF(OR(BA$4="",$A873&gt;TODAY()),0,IF(OR(INDEX($B873:$D873,BA$5)="F",AND(BA$6&gt;0,$A873&lt;BA$6),AND(BA$7&gt;0,$A873&gt;BA$7)),0,MAX(0,ROUND((INDEX($E873:$G873,BA$5)-SUMIFS(TF_Timer,TF_Tekniker,BA$4,TF_Dato,$A873))*2,0)/2)))</f>
        <v/>
      </c>
      <c r="BB873">
        <f>IF(OR(BB$4="",$A873&gt;TODAY()),0,IF(OR(INDEX($B873:$D873,BB$5)="F",AND(BB$6&gt;0,$A873&lt;BB$6),AND(BB$7&gt;0,$A873&gt;BB$7)),0,MAX(0,ROUND((INDEX($E873:$G873,BB$5)-SUMIFS(TF_Timer,TF_Tekniker,BB$4,TF_Dato,$A873))*2,0)/2)))</f>
        <v/>
      </c>
      <c r="BC873">
        <f>IF(OR(BC$4="",$A873&gt;TODAY()),0,IF(OR(INDEX($B873:$D873,BC$5)="F",AND(BC$6&gt;0,$A873&lt;BC$6),AND(BC$7&gt;0,$A873&gt;BC$7)),0,MAX(0,ROUND((INDEX($E873:$G873,BC$5)-SUMIFS(TF_Timer,TF_Tekniker,BC$4,TF_Dato,$A873))*2,0)/2)))</f>
        <v/>
      </c>
      <c r="BD873">
        <f>IF(OR(BD$4="",$A873&gt;TODAY()),0,IF(OR(INDEX($B873:$D873,BD$5)="F",AND(BD$6&gt;0,$A873&lt;BD$6),AND(BD$7&gt;0,$A873&gt;BD$7)),0,MAX(0,ROUND((INDEX($E873:$G873,BD$5)-SUMIFS(TF_Timer,TF_Tekniker,BD$4,TF_Dato,$A873))*2,0)/2)))</f>
        <v/>
      </c>
      <c r="BE873">
        <f>IF(OR(BE$4="",$A873&gt;TODAY()),0,IF(OR(INDEX($B873:$D873,BE$5)="F",AND(BE$6&gt;0,$A873&lt;BE$6),AND(BE$7&gt;0,$A873&gt;BE$7)),0,MAX(0,ROUND((INDEX($E873:$G873,BE$5)-SUMIFS(TF_Timer,TF_Tekniker,BE$4,TF_Dato,$A873))*2,0)/2)))</f>
        <v/>
      </c>
      <c r="BF873">
        <f>IF(OR(BF$4="",$A873&gt;TODAY()),0,IF(OR(INDEX($B873:$D873,BF$5)="F",AND(BF$6&gt;0,$A873&lt;BF$6),AND(BF$7&gt;0,$A873&gt;BF$7)),0,MAX(0,ROUND((INDEX($E873:$G873,BF$5)-SUMIFS(TF_Timer,TF_Tekniker,BF$4,TF_Dato,$A873))*2,0)/2)))</f>
        <v/>
      </c>
      <c r="BG873">
        <f>IF(OR(BG$4="",$A873&gt;TODAY()),0,IF(OR(INDEX($B873:$D873,BG$5)="F",AND(BG$6&gt;0,$A873&lt;BG$6),AND(BG$7&gt;0,$A873&gt;BG$7)),0,MAX(0,ROUND((INDEX($E873:$G873,BG$5)-SUMIFS(TF_Timer,TF_Tekniker,BG$4,TF_Dato,$A873))*2,0)/2)))</f>
        <v/>
      </c>
      <c r="BH873">
        <f>IF(OR(BH$4="",$A873&gt;TODAY()),0,IF(OR(INDEX($B873:$D873,BH$5)="F",AND(BH$6&gt;0,$A873&lt;BH$6),AND(BH$7&gt;0,$A873&gt;BH$7)),0,MAX(0,ROUND((INDEX($E873:$G873,BH$5)-SUMIFS(TF_Timer,TF_Tekniker,BH$4,TF_Dato,$A873))*2,0)/2)))</f>
        <v/>
      </c>
      <c r="BI873">
        <f>IF(OR(BI$4="",$A873&gt;TODAY()),0,IF(OR(INDEX($B873:$D873,BI$5)="F",AND(BI$6&gt;0,$A873&lt;BI$6),AND(BI$7&gt;0,$A873&gt;BI$7)),0,MAX(0,ROUND((INDEX($E873:$G873,BI$5)-SUMIFS(TF_Timer,TF_Tekniker,BI$4,TF_Dato,$A873))*2,0)/2)))</f>
        <v/>
      </c>
    </row>
    <row r="874">
      <c r="A874" s="64">
        <f>A873+1</f>
        <v/>
      </c>
      <c r="B874">
        <f>IF(MOD($A874-INDEX(SkiftStart,1),Syklus)&lt;DagK,"K",IF(MOD($A874-INDEX(SkiftStart,1),Syklus)&lt;DagK+DagH,"H",IF(MOD($A874-INDEX(SkiftStart,1),Syklus)&lt;DagK+DagH+DagD,"D","F")))</f>
        <v/>
      </c>
      <c r="C874">
        <f>IF(MOD($A874-INDEX(SkiftStart,2),Syklus)&lt;DagK,"K",IF(MOD($A874-INDEX(SkiftStart,2),Syklus)&lt;DagK+DagH,"H",IF(MOD($A874-INDEX(SkiftStart,2),Syklus)&lt;DagK+DagH+DagD,"D","F")))</f>
        <v/>
      </c>
      <c r="D874">
        <f>IF(MOD($A874-INDEX(SkiftStart,3),Syklus)&lt;DagK,"K",IF(MOD($A874-INDEX(SkiftStart,3),Syklus)&lt;DagK+DagH,"H",IF(MOD($A874-INDEX(SkiftStart,3),Syklus)&lt;DagK+DagH+DagD,"D","F")))</f>
        <v/>
      </c>
      <c r="E874">
        <f>IF(B874="F",0,IF(WEEKDAY($A874,2)=5,INDEX(TimerFr,MATCH(B874,FaseKode,0)),INDEX(TimerMT,MATCH(B874,FaseKode,0))))</f>
        <v/>
      </c>
      <c r="F874">
        <f>IF(C874="F",0,IF(WEEKDAY($A874,2)=5,INDEX(TimerFr,MATCH(C874,FaseKode,0)),INDEX(TimerMT,MATCH(C874,FaseKode,0))))</f>
        <v/>
      </c>
      <c r="G874">
        <f>IF(D874="F",0,IF(WEEKDAY($A874,2)=5,INDEX(TimerFr,MATCH(D874,FaseKode,0)),INDEX(TimerMT,MATCH(D874,FaseKode,0))))</f>
        <v/>
      </c>
      <c r="H874">
        <f>IF(OR(H$4="",$A874&gt;TODAY()),0,IF(OR(INDEX($B874:$D874,H$5)="F",AND(H$6&gt;0,$A874&lt;H$6),AND(H$7&gt;0,$A874&gt;H$7)),0,MAX(0,ROUND((INDEX($E874:$G874,H$5)-SUMIFS(TF_Timer,TF_Tekniker,H$4,TF_Dato,$A874))*2,0)/2)))</f>
        <v/>
      </c>
      <c r="I874">
        <f>IF(OR(I$4="",$A874&gt;TODAY()),0,IF(OR(INDEX($B874:$D874,I$5)="F",AND(I$6&gt;0,$A874&lt;I$6),AND(I$7&gt;0,$A874&gt;I$7)),0,MAX(0,ROUND((INDEX($E874:$G874,I$5)-SUMIFS(TF_Timer,TF_Tekniker,I$4,TF_Dato,$A874))*2,0)/2)))</f>
        <v/>
      </c>
      <c r="J874">
        <f>IF(OR(J$4="",$A874&gt;TODAY()),0,IF(OR(INDEX($B874:$D874,J$5)="F",AND(J$6&gt;0,$A874&lt;J$6),AND(J$7&gt;0,$A874&gt;J$7)),0,MAX(0,ROUND((INDEX($E874:$G874,J$5)-SUMIFS(TF_Timer,TF_Tekniker,J$4,TF_Dato,$A874))*2,0)/2)))</f>
        <v/>
      </c>
      <c r="K874">
        <f>IF(OR(K$4="",$A874&gt;TODAY()),0,IF(OR(INDEX($B874:$D874,K$5)="F",AND(K$6&gt;0,$A874&lt;K$6),AND(K$7&gt;0,$A874&gt;K$7)),0,MAX(0,ROUND((INDEX($E874:$G874,K$5)-SUMIFS(TF_Timer,TF_Tekniker,K$4,TF_Dato,$A874))*2,0)/2)))</f>
        <v/>
      </c>
      <c r="L874">
        <f>IF(OR(L$4="",$A874&gt;TODAY()),0,IF(OR(INDEX($B874:$D874,L$5)="F",AND(L$6&gt;0,$A874&lt;L$6),AND(L$7&gt;0,$A874&gt;L$7)),0,MAX(0,ROUND((INDEX($E874:$G874,L$5)-SUMIFS(TF_Timer,TF_Tekniker,L$4,TF_Dato,$A874))*2,0)/2)))</f>
        <v/>
      </c>
      <c r="M874">
        <f>IF(OR(M$4="",$A874&gt;TODAY()),0,IF(OR(INDEX($B874:$D874,M$5)="F",AND(M$6&gt;0,$A874&lt;M$6),AND(M$7&gt;0,$A874&gt;M$7)),0,MAX(0,ROUND((INDEX($E874:$G874,M$5)-SUMIFS(TF_Timer,TF_Tekniker,M$4,TF_Dato,$A874))*2,0)/2)))</f>
        <v/>
      </c>
      <c r="N874">
        <f>IF(OR(N$4="",$A874&gt;TODAY()),0,IF(OR(INDEX($B874:$D874,N$5)="F",AND(N$6&gt;0,$A874&lt;N$6),AND(N$7&gt;0,$A874&gt;N$7)),0,MAX(0,ROUND((INDEX($E874:$G874,N$5)-SUMIFS(TF_Timer,TF_Tekniker,N$4,TF_Dato,$A874))*2,0)/2)))</f>
        <v/>
      </c>
      <c r="O874">
        <f>IF(OR(O$4="",$A874&gt;TODAY()),0,IF(OR(INDEX($B874:$D874,O$5)="F",AND(O$6&gt;0,$A874&lt;O$6),AND(O$7&gt;0,$A874&gt;O$7)),0,MAX(0,ROUND((INDEX($E874:$G874,O$5)-SUMIFS(TF_Timer,TF_Tekniker,O$4,TF_Dato,$A874))*2,0)/2)))</f>
        <v/>
      </c>
      <c r="P874">
        <f>IF(OR(P$4="",$A874&gt;TODAY()),0,IF(OR(INDEX($B874:$D874,P$5)="F",AND(P$6&gt;0,$A874&lt;P$6),AND(P$7&gt;0,$A874&gt;P$7)),0,MAX(0,ROUND((INDEX($E874:$G874,P$5)-SUMIFS(TF_Timer,TF_Tekniker,P$4,TF_Dato,$A874))*2,0)/2)))</f>
        <v/>
      </c>
      <c r="Q874">
        <f>IF(OR(Q$4="",$A874&gt;TODAY()),0,IF(OR(INDEX($B874:$D874,Q$5)="F",AND(Q$6&gt;0,$A874&lt;Q$6),AND(Q$7&gt;0,$A874&gt;Q$7)),0,MAX(0,ROUND((INDEX($E874:$G874,Q$5)-SUMIFS(TF_Timer,TF_Tekniker,Q$4,TF_Dato,$A874))*2,0)/2)))</f>
        <v/>
      </c>
      <c r="R874">
        <f>IF(OR(R$4="",$A874&gt;TODAY()),0,IF(OR(INDEX($B874:$D874,R$5)="F",AND(R$6&gt;0,$A874&lt;R$6),AND(R$7&gt;0,$A874&gt;R$7)),0,MAX(0,ROUND((INDEX($E874:$G874,R$5)-SUMIFS(TF_Timer,TF_Tekniker,R$4,TF_Dato,$A874))*2,0)/2)))</f>
        <v/>
      </c>
      <c r="S874">
        <f>IF(OR(S$4="",$A874&gt;TODAY()),0,IF(OR(INDEX($B874:$D874,S$5)="F",AND(S$6&gt;0,$A874&lt;S$6),AND(S$7&gt;0,$A874&gt;S$7)),0,MAX(0,ROUND((INDEX($E874:$G874,S$5)-SUMIFS(TF_Timer,TF_Tekniker,S$4,TF_Dato,$A874))*2,0)/2)))</f>
        <v/>
      </c>
      <c r="T874">
        <f>IF(OR(T$4="",$A874&gt;TODAY()),0,IF(OR(INDEX($B874:$D874,T$5)="F",AND(T$6&gt;0,$A874&lt;T$6),AND(T$7&gt;0,$A874&gt;T$7)),0,MAX(0,ROUND((INDEX($E874:$G874,T$5)-SUMIFS(TF_Timer,TF_Tekniker,T$4,TF_Dato,$A874))*2,0)/2)))</f>
        <v/>
      </c>
      <c r="U874">
        <f>IF(OR(U$4="",$A874&gt;TODAY()),0,IF(OR(INDEX($B874:$D874,U$5)="F",AND(U$6&gt;0,$A874&lt;U$6),AND(U$7&gt;0,$A874&gt;U$7)),0,MAX(0,ROUND((INDEX($E874:$G874,U$5)-SUMIFS(TF_Timer,TF_Tekniker,U$4,TF_Dato,$A874))*2,0)/2)))</f>
        <v/>
      </c>
      <c r="V874">
        <f>IF(OR(V$4="",$A874&gt;TODAY()),0,IF(OR(INDEX($B874:$D874,V$5)="F",AND(V$6&gt;0,$A874&lt;V$6),AND(V$7&gt;0,$A874&gt;V$7)),0,MAX(0,ROUND((INDEX($E874:$G874,V$5)-SUMIFS(TF_Timer,TF_Tekniker,V$4,TF_Dato,$A874))*2,0)/2)))</f>
        <v/>
      </c>
      <c r="W874">
        <f>IF(OR(W$4="",$A874&gt;TODAY()),0,IF(OR(INDEX($B874:$D874,W$5)="F",AND(W$6&gt;0,$A874&lt;W$6),AND(W$7&gt;0,$A874&gt;W$7)),0,MAX(0,ROUND((INDEX($E874:$G874,W$5)-SUMIFS(TF_Timer,TF_Tekniker,W$4,TF_Dato,$A874))*2,0)/2)))</f>
        <v/>
      </c>
      <c r="X874">
        <f>IF(OR(X$4="",$A874&gt;TODAY()),0,IF(OR(INDEX($B874:$D874,X$5)="F",AND(X$6&gt;0,$A874&lt;X$6),AND(X$7&gt;0,$A874&gt;X$7)),0,MAX(0,ROUND((INDEX($E874:$G874,X$5)-SUMIFS(TF_Timer,TF_Tekniker,X$4,TF_Dato,$A874))*2,0)/2)))</f>
        <v/>
      </c>
      <c r="Y874">
        <f>IF(OR(Y$4="",$A874&gt;TODAY()),0,IF(OR(INDEX($B874:$D874,Y$5)="F",AND(Y$6&gt;0,$A874&lt;Y$6),AND(Y$7&gt;0,$A874&gt;Y$7)),0,MAX(0,ROUND((INDEX($E874:$G874,Y$5)-SUMIFS(TF_Timer,TF_Tekniker,Y$4,TF_Dato,$A874))*2,0)/2)))</f>
        <v/>
      </c>
      <c r="Z874">
        <f>IF(OR(Z$4="",$A874&gt;TODAY()),0,IF(OR(INDEX($B874:$D874,Z$5)="F",AND(Z$6&gt;0,$A874&lt;Z$6),AND(Z$7&gt;0,$A874&gt;Z$7)),0,MAX(0,ROUND((INDEX($E874:$G874,Z$5)-SUMIFS(TF_Timer,TF_Tekniker,Z$4,TF_Dato,$A874))*2,0)/2)))</f>
        <v/>
      </c>
      <c r="AA874">
        <f>IF(OR(AA$4="",$A874&gt;TODAY()),0,IF(OR(INDEX($B874:$D874,AA$5)="F",AND(AA$6&gt;0,$A874&lt;AA$6),AND(AA$7&gt;0,$A874&gt;AA$7)),0,MAX(0,ROUND((INDEX($E874:$G874,AA$5)-SUMIFS(TF_Timer,TF_Tekniker,AA$4,TF_Dato,$A874))*2,0)/2)))</f>
        <v/>
      </c>
      <c r="AB874">
        <f>IF(OR(AB$4="",$A874&gt;TODAY()),0,IF(OR(INDEX($B874:$D874,AB$5)="F",AND(AB$6&gt;0,$A874&lt;AB$6),AND(AB$7&gt;0,$A874&gt;AB$7)),0,MAX(0,ROUND((INDEX($E874:$G874,AB$5)-SUMIFS(TF_Timer,TF_Tekniker,AB$4,TF_Dato,$A874))*2,0)/2)))</f>
        <v/>
      </c>
      <c r="AC874">
        <f>IF(OR(AC$4="",$A874&gt;TODAY()),0,IF(OR(INDEX($B874:$D874,AC$5)="F",AND(AC$6&gt;0,$A874&lt;AC$6),AND(AC$7&gt;0,$A874&gt;AC$7)),0,MAX(0,ROUND((INDEX($E874:$G874,AC$5)-SUMIFS(TF_Timer,TF_Tekniker,AC$4,TF_Dato,$A874))*2,0)/2)))</f>
        <v/>
      </c>
      <c r="AD874">
        <f>IF(OR(AD$4="",$A874&gt;TODAY()),0,IF(OR(INDEX($B874:$D874,AD$5)="F",AND(AD$6&gt;0,$A874&lt;AD$6),AND(AD$7&gt;0,$A874&gt;AD$7)),0,MAX(0,ROUND((INDEX($E874:$G874,AD$5)-SUMIFS(TF_Timer,TF_Tekniker,AD$4,TF_Dato,$A874))*2,0)/2)))</f>
        <v/>
      </c>
      <c r="AE874">
        <f>IF(OR(AE$4="",$A874&gt;TODAY()),0,IF(OR(INDEX($B874:$D874,AE$5)="F",AND(AE$6&gt;0,$A874&lt;AE$6),AND(AE$7&gt;0,$A874&gt;AE$7)),0,MAX(0,ROUND((INDEX($E874:$G874,AE$5)-SUMIFS(TF_Timer,TF_Tekniker,AE$4,TF_Dato,$A874))*2,0)/2)))</f>
        <v/>
      </c>
      <c r="AF874">
        <f>IF(OR(AF$4="",$A874&gt;TODAY()),0,IF(OR(INDEX($B874:$D874,AF$5)="F",AND(AF$6&gt;0,$A874&lt;AF$6),AND(AF$7&gt;0,$A874&gt;AF$7)),0,MAX(0,ROUND((INDEX($E874:$G874,AF$5)-SUMIFS(TF_Timer,TF_Tekniker,AF$4,TF_Dato,$A874))*2,0)/2)))</f>
        <v/>
      </c>
      <c r="AG874">
        <f>IF(OR(AG$4="",$A874&gt;TODAY()),0,IF(OR(INDEX($B874:$D874,AG$5)="F",AND(AG$6&gt;0,$A874&lt;AG$6),AND(AG$7&gt;0,$A874&gt;AG$7)),0,MAX(0,ROUND((INDEX($E874:$G874,AG$5)-SUMIFS(TF_Timer,TF_Tekniker,AG$4,TF_Dato,$A874))*2,0)/2)))</f>
        <v/>
      </c>
      <c r="AH874">
        <f>IF(OR(AH$4="",$A874&gt;TODAY()),0,IF(OR(INDEX($B874:$D874,AH$5)="F",AND(AH$6&gt;0,$A874&lt;AH$6),AND(AH$7&gt;0,$A874&gt;AH$7)),0,MAX(0,ROUND((INDEX($E874:$G874,AH$5)-SUMIFS(TF_Timer,TF_Tekniker,AH$4,TF_Dato,$A874))*2,0)/2)))</f>
        <v/>
      </c>
      <c r="AI874">
        <f>IF(OR(AI$4="",$A874&gt;TODAY()),0,IF(OR(INDEX($B874:$D874,AI$5)="F",AND(AI$6&gt;0,$A874&lt;AI$6),AND(AI$7&gt;0,$A874&gt;AI$7)),0,MAX(0,ROUND((INDEX($E874:$G874,AI$5)-SUMIFS(TF_Timer,TF_Tekniker,AI$4,TF_Dato,$A874))*2,0)/2)))</f>
        <v/>
      </c>
      <c r="AJ874">
        <f>IF(OR(AJ$4="",$A874&gt;TODAY()),0,IF(OR(INDEX($B874:$D874,AJ$5)="F",AND(AJ$6&gt;0,$A874&lt;AJ$6),AND(AJ$7&gt;0,$A874&gt;AJ$7)),0,MAX(0,ROUND((INDEX($E874:$G874,AJ$5)-SUMIFS(TF_Timer,TF_Tekniker,AJ$4,TF_Dato,$A874))*2,0)/2)))</f>
        <v/>
      </c>
      <c r="AK874">
        <f>IF(OR(AK$4="",$A874&gt;TODAY()),0,IF(OR(INDEX($B874:$D874,AK$5)="F",AND(AK$6&gt;0,$A874&lt;AK$6),AND(AK$7&gt;0,$A874&gt;AK$7)),0,MAX(0,ROUND((INDEX($E874:$G874,AK$5)-SUMIFS(TF_Timer,TF_Tekniker,AK$4,TF_Dato,$A874))*2,0)/2)))</f>
        <v/>
      </c>
      <c r="AL874">
        <f>IF(OR(AL$4="",$A874&gt;TODAY()),0,IF(OR(INDEX($B874:$D874,AL$5)="F",AND(AL$6&gt;0,$A874&lt;AL$6),AND(AL$7&gt;0,$A874&gt;AL$7)),0,MAX(0,ROUND((INDEX($E874:$G874,AL$5)-SUMIFS(TF_Timer,TF_Tekniker,AL$4,TF_Dato,$A874))*2,0)/2)))</f>
        <v/>
      </c>
      <c r="AM874">
        <f>IF(OR(AM$4="",$A874&gt;TODAY()),0,IF(OR(INDEX($B874:$D874,AM$5)="F",AND(AM$6&gt;0,$A874&lt;AM$6),AND(AM$7&gt;0,$A874&gt;AM$7)),0,MAX(0,ROUND((INDEX($E874:$G874,AM$5)-SUMIFS(TF_Timer,TF_Tekniker,AM$4,TF_Dato,$A874))*2,0)/2)))</f>
        <v/>
      </c>
      <c r="AN874">
        <f>IF(OR(AN$4="",$A874&gt;TODAY()),0,IF(OR(INDEX($B874:$D874,AN$5)="F",AND(AN$6&gt;0,$A874&lt;AN$6),AND(AN$7&gt;0,$A874&gt;AN$7)),0,MAX(0,ROUND((INDEX($E874:$G874,AN$5)-SUMIFS(TF_Timer,TF_Tekniker,AN$4,TF_Dato,$A874))*2,0)/2)))</f>
        <v/>
      </c>
      <c r="AO874">
        <f>IF(OR(AO$4="",$A874&gt;TODAY()),0,IF(OR(INDEX($B874:$D874,AO$5)="F",AND(AO$6&gt;0,$A874&lt;AO$6),AND(AO$7&gt;0,$A874&gt;AO$7)),0,MAX(0,ROUND((INDEX($E874:$G874,AO$5)-SUMIFS(TF_Timer,TF_Tekniker,AO$4,TF_Dato,$A874))*2,0)/2)))</f>
        <v/>
      </c>
      <c r="AP874">
        <f>IF(OR(AP$4="",$A874&gt;TODAY()),0,IF(OR(INDEX($B874:$D874,AP$5)="F",AND(AP$6&gt;0,$A874&lt;AP$6),AND(AP$7&gt;0,$A874&gt;AP$7)),0,MAX(0,ROUND((INDEX($E874:$G874,AP$5)-SUMIFS(TF_Timer,TF_Tekniker,AP$4,TF_Dato,$A874))*2,0)/2)))</f>
        <v/>
      </c>
      <c r="AQ874">
        <f>IF(OR(AQ$4="",$A874&gt;TODAY()),0,IF(OR(INDEX($B874:$D874,AQ$5)="F",AND(AQ$6&gt;0,$A874&lt;AQ$6),AND(AQ$7&gt;0,$A874&gt;AQ$7)),0,MAX(0,ROUND((INDEX($E874:$G874,AQ$5)-SUMIFS(TF_Timer,TF_Tekniker,AQ$4,TF_Dato,$A874))*2,0)/2)))</f>
        <v/>
      </c>
      <c r="AR874">
        <f>IF(OR(AR$4="",$A874&gt;TODAY()),0,IF(OR(INDEX($B874:$D874,AR$5)="F",AND(AR$6&gt;0,$A874&lt;AR$6),AND(AR$7&gt;0,$A874&gt;AR$7)),0,MAX(0,ROUND((INDEX($E874:$G874,AR$5)-SUMIFS(TF_Timer,TF_Tekniker,AR$4,TF_Dato,$A874))*2,0)/2)))</f>
        <v/>
      </c>
      <c r="AS874">
        <f>IF(OR(AS$4="",$A874&gt;TODAY()),0,IF(OR(INDEX($B874:$D874,AS$5)="F",AND(AS$6&gt;0,$A874&lt;AS$6),AND(AS$7&gt;0,$A874&gt;AS$7)),0,MAX(0,ROUND((INDEX($E874:$G874,AS$5)-SUMIFS(TF_Timer,TF_Tekniker,AS$4,TF_Dato,$A874))*2,0)/2)))</f>
        <v/>
      </c>
      <c r="AT874">
        <f>IF(OR(AT$4="",$A874&gt;TODAY()),0,IF(OR(INDEX($B874:$D874,AT$5)="F",AND(AT$6&gt;0,$A874&lt;AT$6),AND(AT$7&gt;0,$A874&gt;AT$7)),0,MAX(0,ROUND((INDEX($E874:$G874,AT$5)-SUMIFS(TF_Timer,TF_Tekniker,AT$4,TF_Dato,$A874))*2,0)/2)))</f>
        <v/>
      </c>
      <c r="AU874">
        <f>IF(OR(AU$4="",$A874&gt;TODAY()),0,IF(OR(INDEX($B874:$D874,AU$5)="F",AND(AU$6&gt;0,$A874&lt;AU$6),AND(AU$7&gt;0,$A874&gt;AU$7)),0,MAX(0,ROUND((INDEX($E874:$G874,AU$5)-SUMIFS(TF_Timer,TF_Tekniker,AU$4,TF_Dato,$A874))*2,0)/2)))</f>
        <v/>
      </c>
      <c r="AV874">
        <f>IF(OR(AV$4="",$A874&gt;TODAY()),0,IF(OR(INDEX($B874:$D874,AV$5)="F",AND(AV$6&gt;0,$A874&lt;AV$6),AND(AV$7&gt;0,$A874&gt;AV$7)),0,MAX(0,ROUND((INDEX($E874:$G874,AV$5)-SUMIFS(TF_Timer,TF_Tekniker,AV$4,TF_Dato,$A874))*2,0)/2)))</f>
        <v/>
      </c>
      <c r="AW874">
        <f>IF(OR(AW$4="",$A874&gt;TODAY()),0,IF(OR(INDEX($B874:$D874,AW$5)="F",AND(AW$6&gt;0,$A874&lt;AW$6),AND(AW$7&gt;0,$A874&gt;AW$7)),0,MAX(0,ROUND((INDEX($E874:$G874,AW$5)-SUMIFS(TF_Timer,TF_Tekniker,AW$4,TF_Dato,$A874))*2,0)/2)))</f>
        <v/>
      </c>
      <c r="AX874">
        <f>IF(OR(AX$4="",$A874&gt;TODAY()),0,IF(OR(INDEX($B874:$D874,AX$5)="F",AND(AX$6&gt;0,$A874&lt;AX$6),AND(AX$7&gt;0,$A874&gt;AX$7)),0,MAX(0,ROUND((INDEX($E874:$G874,AX$5)-SUMIFS(TF_Timer,TF_Tekniker,AX$4,TF_Dato,$A874))*2,0)/2)))</f>
        <v/>
      </c>
      <c r="AY874">
        <f>IF(OR(AY$4="",$A874&gt;TODAY()),0,IF(OR(INDEX($B874:$D874,AY$5)="F",AND(AY$6&gt;0,$A874&lt;AY$6),AND(AY$7&gt;0,$A874&gt;AY$7)),0,MAX(0,ROUND((INDEX($E874:$G874,AY$5)-SUMIFS(TF_Timer,TF_Tekniker,AY$4,TF_Dato,$A874))*2,0)/2)))</f>
        <v/>
      </c>
      <c r="AZ874">
        <f>IF(OR(AZ$4="",$A874&gt;TODAY()),0,IF(OR(INDEX($B874:$D874,AZ$5)="F",AND(AZ$6&gt;0,$A874&lt;AZ$6),AND(AZ$7&gt;0,$A874&gt;AZ$7)),0,MAX(0,ROUND((INDEX($E874:$G874,AZ$5)-SUMIFS(TF_Timer,TF_Tekniker,AZ$4,TF_Dato,$A874))*2,0)/2)))</f>
        <v/>
      </c>
      <c r="BA874">
        <f>IF(OR(BA$4="",$A874&gt;TODAY()),0,IF(OR(INDEX($B874:$D874,BA$5)="F",AND(BA$6&gt;0,$A874&lt;BA$6),AND(BA$7&gt;0,$A874&gt;BA$7)),0,MAX(0,ROUND((INDEX($E874:$G874,BA$5)-SUMIFS(TF_Timer,TF_Tekniker,BA$4,TF_Dato,$A874))*2,0)/2)))</f>
        <v/>
      </c>
      <c r="BB874">
        <f>IF(OR(BB$4="",$A874&gt;TODAY()),0,IF(OR(INDEX($B874:$D874,BB$5)="F",AND(BB$6&gt;0,$A874&lt;BB$6),AND(BB$7&gt;0,$A874&gt;BB$7)),0,MAX(0,ROUND((INDEX($E874:$G874,BB$5)-SUMIFS(TF_Timer,TF_Tekniker,BB$4,TF_Dato,$A874))*2,0)/2)))</f>
        <v/>
      </c>
      <c r="BC874">
        <f>IF(OR(BC$4="",$A874&gt;TODAY()),0,IF(OR(INDEX($B874:$D874,BC$5)="F",AND(BC$6&gt;0,$A874&lt;BC$6),AND(BC$7&gt;0,$A874&gt;BC$7)),0,MAX(0,ROUND((INDEX($E874:$G874,BC$5)-SUMIFS(TF_Timer,TF_Tekniker,BC$4,TF_Dato,$A874))*2,0)/2)))</f>
        <v/>
      </c>
      <c r="BD874">
        <f>IF(OR(BD$4="",$A874&gt;TODAY()),0,IF(OR(INDEX($B874:$D874,BD$5)="F",AND(BD$6&gt;0,$A874&lt;BD$6),AND(BD$7&gt;0,$A874&gt;BD$7)),0,MAX(0,ROUND((INDEX($E874:$G874,BD$5)-SUMIFS(TF_Timer,TF_Tekniker,BD$4,TF_Dato,$A874))*2,0)/2)))</f>
        <v/>
      </c>
      <c r="BE874">
        <f>IF(OR(BE$4="",$A874&gt;TODAY()),0,IF(OR(INDEX($B874:$D874,BE$5)="F",AND(BE$6&gt;0,$A874&lt;BE$6),AND(BE$7&gt;0,$A874&gt;BE$7)),0,MAX(0,ROUND((INDEX($E874:$G874,BE$5)-SUMIFS(TF_Timer,TF_Tekniker,BE$4,TF_Dato,$A874))*2,0)/2)))</f>
        <v/>
      </c>
      <c r="BF874">
        <f>IF(OR(BF$4="",$A874&gt;TODAY()),0,IF(OR(INDEX($B874:$D874,BF$5)="F",AND(BF$6&gt;0,$A874&lt;BF$6),AND(BF$7&gt;0,$A874&gt;BF$7)),0,MAX(0,ROUND((INDEX($E874:$G874,BF$5)-SUMIFS(TF_Timer,TF_Tekniker,BF$4,TF_Dato,$A874))*2,0)/2)))</f>
        <v/>
      </c>
      <c r="BG874">
        <f>IF(OR(BG$4="",$A874&gt;TODAY()),0,IF(OR(INDEX($B874:$D874,BG$5)="F",AND(BG$6&gt;0,$A874&lt;BG$6),AND(BG$7&gt;0,$A874&gt;BG$7)),0,MAX(0,ROUND((INDEX($E874:$G874,BG$5)-SUMIFS(TF_Timer,TF_Tekniker,BG$4,TF_Dato,$A874))*2,0)/2)))</f>
        <v/>
      </c>
      <c r="BH874">
        <f>IF(OR(BH$4="",$A874&gt;TODAY()),0,IF(OR(INDEX($B874:$D874,BH$5)="F",AND(BH$6&gt;0,$A874&lt;BH$6),AND(BH$7&gt;0,$A874&gt;BH$7)),0,MAX(0,ROUND((INDEX($E874:$G874,BH$5)-SUMIFS(TF_Timer,TF_Tekniker,BH$4,TF_Dato,$A874))*2,0)/2)))</f>
        <v/>
      </c>
      <c r="BI874">
        <f>IF(OR(BI$4="",$A874&gt;TODAY()),0,IF(OR(INDEX($B874:$D874,BI$5)="F",AND(BI$6&gt;0,$A874&lt;BI$6),AND(BI$7&gt;0,$A874&gt;BI$7)),0,MAX(0,ROUND((INDEX($E874:$G874,BI$5)-SUMIFS(TF_Timer,TF_Tekniker,BI$4,TF_Dato,$A874))*2,0)/2)))</f>
        <v/>
      </c>
    </row>
    <row r="875">
      <c r="A875" s="64">
        <f>A874+1</f>
        <v/>
      </c>
      <c r="B875">
        <f>IF(MOD($A875-INDEX(SkiftStart,1),Syklus)&lt;DagK,"K",IF(MOD($A875-INDEX(SkiftStart,1),Syklus)&lt;DagK+DagH,"H",IF(MOD($A875-INDEX(SkiftStart,1),Syklus)&lt;DagK+DagH+DagD,"D","F")))</f>
        <v/>
      </c>
      <c r="C875">
        <f>IF(MOD($A875-INDEX(SkiftStart,2),Syklus)&lt;DagK,"K",IF(MOD($A875-INDEX(SkiftStart,2),Syklus)&lt;DagK+DagH,"H",IF(MOD($A875-INDEX(SkiftStart,2),Syklus)&lt;DagK+DagH+DagD,"D","F")))</f>
        <v/>
      </c>
      <c r="D875">
        <f>IF(MOD($A875-INDEX(SkiftStart,3),Syklus)&lt;DagK,"K",IF(MOD($A875-INDEX(SkiftStart,3),Syklus)&lt;DagK+DagH,"H",IF(MOD($A875-INDEX(SkiftStart,3),Syklus)&lt;DagK+DagH+DagD,"D","F")))</f>
        <v/>
      </c>
      <c r="E875">
        <f>IF(B875="F",0,IF(WEEKDAY($A875,2)=5,INDEX(TimerFr,MATCH(B875,FaseKode,0)),INDEX(TimerMT,MATCH(B875,FaseKode,0))))</f>
        <v/>
      </c>
      <c r="F875">
        <f>IF(C875="F",0,IF(WEEKDAY($A875,2)=5,INDEX(TimerFr,MATCH(C875,FaseKode,0)),INDEX(TimerMT,MATCH(C875,FaseKode,0))))</f>
        <v/>
      </c>
      <c r="G875">
        <f>IF(D875="F",0,IF(WEEKDAY($A875,2)=5,INDEX(TimerFr,MATCH(D875,FaseKode,0)),INDEX(TimerMT,MATCH(D875,FaseKode,0))))</f>
        <v/>
      </c>
      <c r="H875">
        <f>IF(OR(H$4="",$A875&gt;TODAY()),0,IF(OR(INDEX($B875:$D875,H$5)="F",AND(H$6&gt;0,$A875&lt;H$6),AND(H$7&gt;0,$A875&gt;H$7)),0,MAX(0,ROUND((INDEX($E875:$G875,H$5)-SUMIFS(TF_Timer,TF_Tekniker,H$4,TF_Dato,$A875))*2,0)/2)))</f>
        <v/>
      </c>
      <c r="I875">
        <f>IF(OR(I$4="",$A875&gt;TODAY()),0,IF(OR(INDEX($B875:$D875,I$5)="F",AND(I$6&gt;0,$A875&lt;I$6),AND(I$7&gt;0,$A875&gt;I$7)),0,MAX(0,ROUND((INDEX($E875:$G875,I$5)-SUMIFS(TF_Timer,TF_Tekniker,I$4,TF_Dato,$A875))*2,0)/2)))</f>
        <v/>
      </c>
      <c r="J875">
        <f>IF(OR(J$4="",$A875&gt;TODAY()),0,IF(OR(INDEX($B875:$D875,J$5)="F",AND(J$6&gt;0,$A875&lt;J$6),AND(J$7&gt;0,$A875&gt;J$7)),0,MAX(0,ROUND((INDEX($E875:$G875,J$5)-SUMIFS(TF_Timer,TF_Tekniker,J$4,TF_Dato,$A875))*2,0)/2)))</f>
        <v/>
      </c>
      <c r="K875">
        <f>IF(OR(K$4="",$A875&gt;TODAY()),0,IF(OR(INDEX($B875:$D875,K$5)="F",AND(K$6&gt;0,$A875&lt;K$6),AND(K$7&gt;0,$A875&gt;K$7)),0,MAX(0,ROUND((INDEX($E875:$G875,K$5)-SUMIFS(TF_Timer,TF_Tekniker,K$4,TF_Dato,$A875))*2,0)/2)))</f>
        <v/>
      </c>
      <c r="L875">
        <f>IF(OR(L$4="",$A875&gt;TODAY()),0,IF(OR(INDEX($B875:$D875,L$5)="F",AND(L$6&gt;0,$A875&lt;L$6),AND(L$7&gt;0,$A875&gt;L$7)),0,MAX(0,ROUND((INDEX($E875:$G875,L$5)-SUMIFS(TF_Timer,TF_Tekniker,L$4,TF_Dato,$A875))*2,0)/2)))</f>
        <v/>
      </c>
      <c r="M875">
        <f>IF(OR(M$4="",$A875&gt;TODAY()),0,IF(OR(INDEX($B875:$D875,M$5)="F",AND(M$6&gt;0,$A875&lt;M$6),AND(M$7&gt;0,$A875&gt;M$7)),0,MAX(0,ROUND((INDEX($E875:$G875,M$5)-SUMIFS(TF_Timer,TF_Tekniker,M$4,TF_Dato,$A875))*2,0)/2)))</f>
        <v/>
      </c>
      <c r="N875">
        <f>IF(OR(N$4="",$A875&gt;TODAY()),0,IF(OR(INDEX($B875:$D875,N$5)="F",AND(N$6&gt;0,$A875&lt;N$6),AND(N$7&gt;0,$A875&gt;N$7)),0,MAX(0,ROUND((INDEX($E875:$G875,N$5)-SUMIFS(TF_Timer,TF_Tekniker,N$4,TF_Dato,$A875))*2,0)/2)))</f>
        <v/>
      </c>
      <c r="O875">
        <f>IF(OR(O$4="",$A875&gt;TODAY()),0,IF(OR(INDEX($B875:$D875,O$5)="F",AND(O$6&gt;0,$A875&lt;O$6),AND(O$7&gt;0,$A875&gt;O$7)),0,MAX(0,ROUND((INDEX($E875:$G875,O$5)-SUMIFS(TF_Timer,TF_Tekniker,O$4,TF_Dato,$A875))*2,0)/2)))</f>
        <v/>
      </c>
      <c r="P875">
        <f>IF(OR(P$4="",$A875&gt;TODAY()),0,IF(OR(INDEX($B875:$D875,P$5)="F",AND(P$6&gt;0,$A875&lt;P$6),AND(P$7&gt;0,$A875&gt;P$7)),0,MAX(0,ROUND((INDEX($E875:$G875,P$5)-SUMIFS(TF_Timer,TF_Tekniker,P$4,TF_Dato,$A875))*2,0)/2)))</f>
        <v/>
      </c>
      <c r="Q875">
        <f>IF(OR(Q$4="",$A875&gt;TODAY()),0,IF(OR(INDEX($B875:$D875,Q$5)="F",AND(Q$6&gt;0,$A875&lt;Q$6),AND(Q$7&gt;0,$A875&gt;Q$7)),0,MAX(0,ROUND((INDEX($E875:$G875,Q$5)-SUMIFS(TF_Timer,TF_Tekniker,Q$4,TF_Dato,$A875))*2,0)/2)))</f>
        <v/>
      </c>
      <c r="R875">
        <f>IF(OR(R$4="",$A875&gt;TODAY()),0,IF(OR(INDEX($B875:$D875,R$5)="F",AND(R$6&gt;0,$A875&lt;R$6),AND(R$7&gt;0,$A875&gt;R$7)),0,MAX(0,ROUND((INDEX($E875:$G875,R$5)-SUMIFS(TF_Timer,TF_Tekniker,R$4,TF_Dato,$A875))*2,0)/2)))</f>
        <v/>
      </c>
      <c r="S875">
        <f>IF(OR(S$4="",$A875&gt;TODAY()),0,IF(OR(INDEX($B875:$D875,S$5)="F",AND(S$6&gt;0,$A875&lt;S$6),AND(S$7&gt;0,$A875&gt;S$7)),0,MAX(0,ROUND((INDEX($E875:$G875,S$5)-SUMIFS(TF_Timer,TF_Tekniker,S$4,TF_Dato,$A875))*2,0)/2)))</f>
        <v/>
      </c>
      <c r="T875">
        <f>IF(OR(T$4="",$A875&gt;TODAY()),0,IF(OR(INDEX($B875:$D875,T$5)="F",AND(T$6&gt;0,$A875&lt;T$6),AND(T$7&gt;0,$A875&gt;T$7)),0,MAX(0,ROUND((INDEX($E875:$G875,T$5)-SUMIFS(TF_Timer,TF_Tekniker,T$4,TF_Dato,$A875))*2,0)/2)))</f>
        <v/>
      </c>
      <c r="U875">
        <f>IF(OR(U$4="",$A875&gt;TODAY()),0,IF(OR(INDEX($B875:$D875,U$5)="F",AND(U$6&gt;0,$A875&lt;U$6),AND(U$7&gt;0,$A875&gt;U$7)),0,MAX(0,ROUND((INDEX($E875:$G875,U$5)-SUMIFS(TF_Timer,TF_Tekniker,U$4,TF_Dato,$A875))*2,0)/2)))</f>
        <v/>
      </c>
      <c r="V875">
        <f>IF(OR(V$4="",$A875&gt;TODAY()),0,IF(OR(INDEX($B875:$D875,V$5)="F",AND(V$6&gt;0,$A875&lt;V$6),AND(V$7&gt;0,$A875&gt;V$7)),0,MAX(0,ROUND((INDEX($E875:$G875,V$5)-SUMIFS(TF_Timer,TF_Tekniker,V$4,TF_Dato,$A875))*2,0)/2)))</f>
        <v/>
      </c>
      <c r="W875">
        <f>IF(OR(W$4="",$A875&gt;TODAY()),0,IF(OR(INDEX($B875:$D875,W$5)="F",AND(W$6&gt;0,$A875&lt;W$6),AND(W$7&gt;0,$A875&gt;W$7)),0,MAX(0,ROUND((INDEX($E875:$G875,W$5)-SUMIFS(TF_Timer,TF_Tekniker,W$4,TF_Dato,$A875))*2,0)/2)))</f>
        <v/>
      </c>
      <c r="X875">
        <f>IF(OR(X$4="",$A875&gt;TODAY()),0,IF(OR(INDEX($B875:$D875,X$5)="F",AND(X$6&gt;0,$A875&lt;X$6),AND(X$7&gt;0,$A875&gt;X$7)),0,MAX(0,ROUND((INDEX($E875:$G875,X$5)-SUMIFS(TF_Timer,TF_Tekniker,X$4,TF_Dato,$A875))*2,0)/2)))</f>
        <v/>
      </c>
      <c r="Y875">
        <f>IF(OR(Y$4="",$A875&gt;TODAY()),0,IF(OR(INDEX($B875:$D875,Y$5)="F",AND(Y$6&gt;0,$A875&lt;Y$6),AND(Y$7&gt;0,$A875&gt;Y$7)),0,MAX(0,ROUND((INDEX($E875:$G875,Y$5)-SUMIFS(TF_Timer,TF_Tekniker,Y$4,TF_Dato,$A875))*2,0)/2)))</f>
        <v/>
      </c>
      <c r="Z875">
        <f>IF(OR(Z$4="",$A875&gt;TODAY()),0,IF(OR(INDEX($B875:$D875,Z$5)="F",AND(Z$6&gt;0,$A875&lt;Z$6),AND(Z$7&gt;0,$A875&gt;Z$7)),0,MAX(0,ROUND((INDEX($E875:$G875,Z$5)-SUMIFS(TF_Timer,TF_Tekniker,Z$4,TF_Dato,$A875))*2,0)/2)))</f>
        <v/>
      </c>
      <c r="AA875">
        <f>IF(OR(AA$4="",$A875&gt;TODAY()),0,IF(OR(INDEX($B875:$D875,AA$5)="F",AND(AA$6&gt;0,$A875&lt;AA$6),AND(AA$7&gt;0,$A875&gt;AA$7)),0,MAX(0,ROUND((INDEX($E875:$G875,AA$5)-SUMIFS(TF_Timer,TF_Tekniker,AA$4,TF_Dato,$A875))*2,0)/2)))</f>
        <v/>
      </c>
      <c r="AB875">
        <f>IF(OR(AB$4="",$A875&gt;TODAY()),0,IF(OR(INDEX($B875:$D875,AB$5)="F",AND(AB$6&gt;0,$A875&lt;AB$6),AND(AB$7&gt;0,$A875&gt;AB$7)),0,MAX(0,ROUND((INDEX($E875:$G875,AB$5)-SUMIFS(TF_Timer,TF_Tekniker,AB$4,TF_Dato,$A875))*2,0)/2)))</f>
        <v/>
      </c>
      <c r="AC875">
        <f>IF(OR(AC$4="",$A875&gt;TODAY()),0,IF(OR(INDEX($B875:$D875,AC$5)="F",AND(AC$6&gt;0,$A875&lt;AC$6),AND(AC$7&gt;0,$A875&gt;AC$7)),0,MAX(0,ROUND((INDEX($E875:$G875,AC$5)-SUMIFS(TF_Timer,TF_Tekniker,AC$4,TF_Dato,$A875))*2,0)/2)))</f>
        <v/>
      </c>
      <c r="AD875">
        <f>IF(OR(AD$4="",$A875&gt;TODAY()),0,IF(OR(INDEX($B875:$D875,AD$5)="F",AND(AD$6&gt;0,$A875&lt;AD$6),AND(AD$7&gt;0,$A875&gt;AD$7)),0,MAX(0,ROUND((INDEX($E875:$G875,AD$5)-SUMIFS(TF_Timer,TF_Tekniker,AD$4,TF_Dato,$A875))*2,0)/2)))</f>
        <v/>
      </c>
      <c r="AE875">
        <f>IF(OR(AE$4="",$A875&gt;TODAY()),0,IF(OR(INDEX($B875:$D875,AE$5)="F",AND(AE$6&gt;0,$A875&lt;AE$6),AND(AE$7&gt;0,$A875&gt;AE$7)),0,MAX(0,ROUND((INDEX($E875:$G875,AE$5)-SUMIFS(TF_Timer,TF_Tekniker,AE$4,TF_Dato,$A875))*2,0)/2)))</f>
        <v/>
      </c>
      <c r="AF875">
        <f>IF(OR(AF$4="",$A875&gt;TODAY()),0,IF(OR(INDEX($B875:$D875,AF$5)="F",AND(AF$6&gt;0,$A875&lt;AF$6),AND(AF$7&gt;0,$A875&gt;AF$7)),0,MAX(0,ROUND((INDEX($E875:$G875,AF$5)-SUMIFS(TF_Timer,TF_Tekniker,AF$4,TF_Dato,$A875))*2,0)/2)))</f>
        <v/>
      </c>
      <c r="AG875">
        <f>IF(OR(AG$4="",$A875&gt;TODAY()),0,IF(OR(INDEX($B875:$D875,AG$5)="F",AND(AG$6&gt;0,$A875&lt;AG$6),AND(AG$7&gt;0,$A875&gt;AG$7)),0,MAX(0,ROUND((INDEX($E875:$G875,AG$5)-SUMIFS(TF_Timer,TF_Tekniker,AG$4,TF_Dato,$A875))*2,0)/2)))</f>
        <v/>
      </c>
      <c r="AH875">
        <f>IF(OR(AH$4="",$A875&gt;TODAY()),0,IF(OR(INDEX($B875:$D875,AH$5)="F",AND(AH$6&gt;0,$A875&lt;AH$6),AND(AH$7&gt;0,$A875&gt;AH$7)),0,MAX(0,ROUND((INDEX($E875:$G875,AH$5)-SUMIFS(TF_Timer,TF_Tekniker,AH$4,TF_Dato,$A875))*2,0)/2)))</f>
        <v/>
      </c>
      <c r="AI875">
        <f>IF(OR(AI$4="",$A875&gt;TODAY()),0,IF(OR(INDEX($B875:$D875,AI$5)="F",AND(AI$6&gt;0,$A875&lt;AI$6),AND(AI$7&gt;0,$A875&gt;AI$7)),0,MAX(0,ROUND((INDEX($E875:$G875,AI$5)-SUMIFS(TF_Timer,TF_Tekniker,AI$4,TF_Dato,$A875))*2,0)/2)))</f>
        <v/>
      </c>
      <c r="AJ875">
        <f>IF(OR(AJ$4="",$A875&gt;TODAY()),0,IF(OR(INDEX($B875:$D875,AJ$5)="F",AND(AJ$6&gt;0,$A875&lt;AJ$6),AND(AJ$7&gt;0,$A875&gt;AJ$7)),0,MAX(0,ROUND((INDEX($E875:$G875,AJ$5)-SUMIFS(TF_Timer,TF_Tekniker,AJ$4,TF_Dato,$A875))*2,0)/2)))</f>
        <v/>
      </c>
      <c r="AK875">
        <f>IF(OR(AK$4="",$A875&gt;TODAY()),0,IF(OR(INDEX($B875:$D875,AK$5)="F",AND(AK$6&gt;0,$A875&lt;AK$6),AND(AK$7&gt;0,$A875&gt;AK$7)),0,MAX(0,ROUND((INDEX($E875:$G875,AK$5)-SUMIFS(TF_Timer,TF_Tekniker,AK$4,TF_Dato,$A875))*2,0)/2)))</f>
        <v/>
      </c>
      <c r="AL875">
        <f>IF(OR(AL$4="",$A875&gt;TODAY()),0,IF(OR(INDEX($B875:$D875,AL$5)="F",AND(AL$6&gt;0,$A875&lt;AL$6),AND(AL$7&gt;0,$A875&gt;AL$7)),0,MAX(0,ROUND((INDEX($E875:$G875,AL$5)-SUMIFS(TF_Timer,TF_Tekniker,AL$4,TF_Dato,$A875))*2,0)/2)))</f>
        <v/>
      </c>
      <c r="AM875">
        <f>IF(OR(AM$4="",$A875&gt;TODAY()),0,IF(OR(INDEX($B875:$D875,AM$5)="F",AND(AM$6&gt;0,$A875&lt;AM$6),AND(AM$7&gt;0,$A875&gt;AM$7)),0,MAX(0,ROUND((INDEX($E875:$G875,AM$5)-SUMIFS(TF_Timer,TF_Tekniker,AM$4,TF_Dato,$A875))*2,0)/2)))</f>
        <v/>
      </c>
      <c r="AN875">
        <f>IF(OR(AN$4="",$A875&gt;TODAY()),0,IF(OR(INDEX($B875:$D875,AN$5)="F",AND(AN$6&gt;0,$A875&lt;AN$6),AND(AN$7&gt;0,$A875&gt;AN$7)),0,MAX(0,ROUND((INDEX($E875:$G875,AN$5)-SUMIFS(TF_Timer,TF_Tekniker,AN$4,TF_Dato,$A875))*2,0)/2)))</f>
        <v/>
      </c>
      <c r="AO875">
        <f>IF(OR(AO$4="",$A875&gt;TODAY()),0,IF(OR(INDEX($B875:$D875,AO$5)="F",AND(AO$6&gt;0,$A875&lt;AO$6),AND(AO$7&gt;0,$A875&gt;AO$7)),0,MAX(0,ROUND((INDEX($E875:$G875,AO$5)-SUMIFS(TF_Timer,TF_Tekniker,AO$4,TF_Dato,$A875))*2,0)/2)))</f>
        <v/>
      </c>
      <c r="AP875">
        <f>IF(OR(AP$4="",$A875&gt;TODAY()),0,IF(OR(INDEX($B875:$D875,AP$5)="F",AND(AP$6&gt;0,$A875&lt;AP$6),AND(AP$7&gt;0,$A875&gt;AP$7)),0,MAX(0,ROUND((INDEX($E875:$G875,AP$5)-SUMIFS(TF_Timer,TF_Tekniker,AP$4,TF_Dato,$A875))*2,0)/2)))</f>
        <v/>
      </c>
      <c r="AQ875">
        <f>IF(OR(AQ$4="",$A875&gt;TODAY()),0,IF(OR(INDEX($B875:$D875,AQ$5)="F",AND(AQ$6&gt;0,$A875&lt;AQ$6),AND(AQ$7&gt;0,$A875&gt;AQ$7)),0,MAX(0,ROUND((INDEX($E875:$G875,AQ$5)-SUMIFS(TF_Timer,TF_Tekniker,AQ$4,TF_Dato,$A875))*2,0)/2)))</f>
        <v/>
      </c>
      <c r="AR875">
        <f>IF(OR(AR$4="",$A875&gt;TODAY()),0,IF(OR(INDEX($B875:$D875,AR$5)="F",AND(AR$6&gt;0,$A875&lt;AR$6),AND(AR$7&gt;0,$A875&gt;AR$7)),0,MAX(0,ROUND((INDEX($E875:$G875,AR$5)-SUMIFS(TF_Timer,TF_Tekniker,AR$4,TF_Dato,$A875))*2,0)/2)))</f>
        <v/>
      </c>
      <c r="AS875">
        <f>IF(OR(AS$4="",$A875&gt;TODAY()),0,IF(OR(INDEX($B875:$D875,AS$5)="F",AND(AS$6&gt;0,$A875&lt;AS$6),AND(AS$7&gt;0,$A875&gt;AS$7)),0,MAX(0,ROUND((INDEX($E875:$G875,AS$5)-SUMIFS(TF_Timer,TF_Tekniker,AS$4,TF_Dato,$A875))*2,0)/2)))</f>
        <v/>
      </c>
      <c r="AT875">
        <f>IF(OR(AT$4="",$A875&gt;TODAY()),0,IF(OR(INDEX($B875:$D875,AT$5)="F",AND(AT$6&gt;0,$A875&lt;AT$6),AND(AT$7&gt;0,$A875&gt;AT$7)),0,MAX(0,ROUND((INDEX($E875:$G875,AT$5)-SUMIFS(TF_Timer,TF_Tekniker,AT$4,TF_Dato,$A875))*2,0)/2)))</f>
        <v/>
      </c>
      <c r="AU875">
        <f>IF(OR(AU$4="",$A875&gt;TODAY()),0,IF(OR(INDEX($B875:$D875,AU$5)="F",AND(AU$6&gt;0,$A875&lt;AU$6),AND(AU$7&gt;0,$A875&gt;AU$7)),0,MAX(0,ROUND((INDEX($E875:$G875,AU$5)-SUMIFS(TF_Timer,TF_Tekniker,AU$4,TF_Dato,$A875))*2,0)/2)))</f>
        <v/>
      </c>
      <c r="AV875">
        <f>IF(OR(AV$4="",$A875&gt;TODAY()),0,IF(OR(INDEX($B875:$D875,AV$5)="F",AND(AV$6&gt;0,$A875&lt;AV$6),AND(AV$7&gt;0,$A875&gt;AV$7)),0,MAX(0,ROUND((INDEX($E875:$G875,AV$5)-SUMIFS(TF_Timer,TF_Tekniker,AV$4,TF_Dato,$A875))*2,0)/2)))</f>
        <v/>
      </c>
      <c r="AW875">
        <f>IF(OR(AW$4="",$A875&gt;TODAY()),0,IF(OR(INDEX($B875:$D875,AW$5)="F",AND(AW$6&gt;0,$A875&lt;AW$6),AND(AW$7&gt;0,$A875&gt;AW$7)),0,MAX(0,ROUND((INDEX($E875:$G875,AW$5)-SUMIFS(TF_Timer,TF_Tekniker,AW$4,TF_Dato,$A875))*2,0)/2)))</f>
        <v/>
      </c>
      <c r="AX875">
        <f>IF(OR(AX$4="",$A875&gt;TODAY()),0,IF(OR(INDEX($B875:$D875,AX$5)="F",AND(AX$6&gt;0,$A875&lt;AX$6),AND(AX$7&gt;0,$A875&gt;AX$7)),0,MAX(0,ROUND((INDEX($E875:$G875,AX$5)-SUMIFS(TF_Timer,TF_Tekniker,AX$4,TF_Dato,$A875))*2,0)/2)))</f>
        <v/>
      </c>
      <c r="AY875">
        <f>IF(OR(AY$4="",$A875&gt;TODAY()),0,IF(OR(INDEX($B875:$D875,AY$5)="F",AND(AY$6&gt;0,$A875&lt;AY$6),AND(AY$7&gt;0,$A875&gt;AY$7)),0,MAX(0,ROUND((INDEX($E875:$G875,AY$5)-SUMIFS(TF_Timer,TF_Tekniker,AY$4,TF_Dato,$A875))*2,0)/2)))</f>
        <v/>
      </c>
      <c r="AZ875">
        <f>IF(OR(AZ$4="",$A875&gt;TODAY()),0,IF(OR(INDEX($B875:$D875,AZ$5)="F",AND(AZ$6&gt;0,$A875&lt;AZ$6),AND(AZ$7&gt;0,$A875&gt;AZ$7)),0,MAX(0,ROUND((INDEX($E875:$G875,AZ$5)-SUMIFS(TF_Timer,TF_Tekniker,AZ$4,TF_Dato,$A875))*2,0)/2)))</f>
        <v/>
      </c>
      <c r="BA875">
        <f>IF(OR(BA$4="",$A875&gt;TODAY()),0,IF(OR(INDEX($B875:$D875,BA$5)="F",AND(BA$6&gt;0,$A875&lt;BA$6),AND(BA$7&gt;0,$A875&gt;BA$7)),0,MAX(0,ROUND((INDEX($E875:$G875,BA$5)-SUMIFS(TF_Timer,TF_Tekniker,BA$4,TF_Dato,$A875))*2,0)/2)))</f>
        <v/>
      </c>
      <c r="BB875">
        <f>IF(OR(BB$4="",$A875&gt;TODAY()),0,IF(OR(INDEX($B875:$D875,BB$5)="F",AND(BB$6&gt;0,$A875&lt;BB$6),AND(BB$7&gt;0,$A875&gt;BB$7)),0,MAX(0,ROUND((INDEX($E875:$G875,BB$5)-SUMIFS(TF_Timer,TF_Tekniker,BB$4,TF_Dato,$A875))*2,0)/2)))</f>
        <v/>
      </c>
      <c r="BC875">
        <f>IF(OR(BC$4="",$A875&gt;TODAY()),0,IF(OR(INDEX($B875:$D875,BC$5)="F",AND(BC$6&gt;0,$A875&lt;BC$6),AND(BC$7&gt;0,$A875&gt;BC$7)),0,MAX(0,ROUND((INDEX($E875:$G875,BC$5)-SUMIFS(TF_Timer,TF_Tekniker,BC$4,TF_Dato,$A875))*2,0)/2)))</f>
        <v/>
      </c>
      <c r="BD875">
        <f>IF(OR(BD$4="",$A875&gt;TODAY()),0,IF(OR(INDEX($B875:$D875,BD$5)="F",AND(BD$6&gt;0,$A875&lt;BD$6),AND(BD$7&gt;0,$A875&gt;BD$7)),0,MAX(0,ROUND((INDEX($E875:$G875,BD$5)-SUMIFS(TF_Timer,TF_Tekniker,BD$4,TF_Dato,$A875))*2,0)/2)))</f>
        <v/>
      </c>
      <c r="BE875">
        <f>IF(OR(BE$4="",$A875&gt;TODAY()),0,IF(OR(INDEX($B875:$D875,BE$5)="F",AND(BE$6&gt;0,$A875&lt;BE$6),AND(BE$7&gt;0,$A875&gt;BE$7)),0,MAX(0,ROUND((INDEX($E875:$G875,BE$5)-SUMIFS(TF_Timer,TF_Tekniker,BE$4,TF_Dato,$A875))*2,0)/2)))</f>
        <v/>
      </c>
      <c r="BF875">
        <f>IF(OR(BF$4="",$A875&gt;TODAY()),0,IF(OR(INDEX($B875:$D875,BF$5)="F",AND(BF$6&gt;0,$A875&lt;BF$6),AND(BF$7&gt;0,$A875&gt;BF$7)),0,MAX(0,ROUND((INDEX($E875:$G875,BF$5)-SUMIFS(TF_Timer,TF_Tekniker,BF$4,TF_Dato,$A875))*2,0)/2)))</f>
        <v/>
      </c>
      <c r="BG875">
        <f>IF(OR(BG$4="",$A875&gt;TODAY()),0,IF(OR(INDEX($B875:$D875,BG$5)="F",AND(BG$6&gt;0,$A875&lt;BG$6),AND(BG$7&gt;0,$A875&gt;BG$7)),0,MAX(0,ROUND((INDEX($E875:$G875,BG$5)-SUMIFS(TF_Timer,TF_Tekniker,BG$4,TF_Dato,$A875))*2,0)/2)))</f>
        <v/>
      </c>
      <c r="BH875">
        <f>IF(OR(BH$4="",$A875&gt;TODAY()),0,IF(OR(INDEX($B875:$D875,BH$5)="F",AND(BH$6&gt;0,$A875&lt;BH$6),AND(BH$7&gt;0,$A875&gt;BH$7)),0,MAX(0,ROUND((INDEX($E875:$G875,BH$5)-SUMIFS(TF_Timer,TF_Tekniker,BH$4,TF_Dato,$A875))*2,0)/2)))</f>
        <v/>
      </c>
      <c r="BI875">
        <f>IF(OR(BI$4="",$A875&gt;TODAY()),0,IF(OR(INDEX($B875:$D875,BI$5)="F",AND(BI$6&gt;0,$A875&lt;BI$6),AND(BI$7&gt;0,$A875&gt;BI$7)),0,MAX(0,ROUND((INDEX($E875:$G875,BI$5)-SUMIFS(TF_Timer,TF_Tekniker,BI$4,TF_Dato,$A875))*2,0)/2)))</f>
        <v/>
      </c>
    </row>
    <row r="876">
      <c r="A876" s="64">
        <f>A875+1</f>
        <v/>
      </c>
      <c r="B876">
        <f>IF(MOD($A876-INDEX(SkiftStart,1),Syklus)&lt;DagK,"K",IF(MOD($A876-INDEX(SkiftStart,1),Syklus)&lt;DagK+DagH,"H",IF(MOD($A876-INDEX(SkiftStart,1),Syklus)&lt;DagK+DagH+DagD,"D","F")))</f>
        <v/>
      </c>
      <c r="C876">
        <f>IF(MOD($A876-INDEX(SkiftStart,2),Syklus)&lt;DagK,"K",IF(MOD($A876-INDEX(SkiftStart,2),Syklus)&lt;DagK+DagH,"H",IF(MOD($A876-INDEX(SkiftStart,2),Syklus)&lt;DagK+DagH+DagD,"D","F")))</f>
        <v/>
      </c>
      <c r="D876">
        <f>IF(MOD($A876-INDEX(SkiftStart,3),Syklus)&lt;DagK,"K",IF(MOD($A876-INDEX(SkiftStart,3),Syklus)&lt;DagK+DagH,"H",IF(MOD($A876-INDEX(SkiftStart,3),Syklus)&lt;DagK+DagH+DagD,"D","F")))</f>
        <v/>
      </c>
      <c r="E876">
        <f>IF(B876="F",0,IF(WEEKDAY($A876,2)=5,INDEX(TimerFr,MATCH(B876,FaseKode,0)),INDEX(TimerMT,MATCH(B876,FaseKode,0))))</f>
        <v/>
      </c>
      <c r="F876">
        <f>IF(C876="F",0,IF(WEEKDAY($A876,2)=5,INDEX(TimerFr,MATCH(C876,FaseKode,0)),INDEX(TimerMT,MATCH(C876,FaseKode,0))))</f>
        <v/>
      </c>
      <c r="G876">
        <f>IF(D876="F",0,IF(WEEKDAY($A876,2)=5,INDEX(TimerFr,MATCH(D876,FaseKode,0)),INDEX(TimerMT,MATCH(D876,FaseKode,0))))</f>
        <v/>
      </c>
      <c r="H876">
        <f>IF(OR(H$4="",$A876&gt;TODAY()),0,IF(OR(INDEX($B876:$D876,H$5)="F",AND(H$6&gt;0,$A876&lt;H$6),AND(H$7&gt;0,$A876&gt;H$7)),0,MAX(0,ROUND((INDEX($E876:$G876,H$5)-SUMIFS(TF_Timer,TF_Tekniker,H$4,TF_Dato,$A876))*2,0)/2)))</f>
        <v/>
      </c>
      <c r="I876">
        <f>IF(OR(I$4="",$A876&gt;TODAY()),0,IF(OR(INDEX($B876:$D876,I$5)="F",AND(I$6&gt;0,$A876&lt;I$6),AND(I$7&gt;0,$A876&gt;I$7)),0,MAX(0,ROUND((INDEX($E876:$G876,I$5)-SUMIFS(TF_Timer,TF_Tekniker,I$4,TF_Dato,$A876))*2,0)/2)))</f>
        <v/>
      </c>
      <c r="J876">
        <f>IF(OR(J$4="",$A876&gt;TODAY()),0,IF(OR(INDEX($B876:$D876,J$5)="F",AND(J$6&gt;0,$A876&lt;J$6),AND(J$7&gt;0,$A876&gt;J$7)),0,MAX(0,ROUND((INDEX($E876:$G876,J$5)-SUMIFS(TF_Timer,TF_Tekniker,J$4,TF_Dato,$A876))*2,0)/2)))</f>
        <v/>
      </c>
      <c r="K876">
        <f>IF(OR(K$4="",$A876&gt;TODAY()),0,IF(OR(INDEX($B876:$D876,K$5)="F",AND(K$6&gt;0,$A876&lt;K$6),AND(K$7&gt;0,$A876&gt;K$7)),0,MAX(0,ROUND((INDEX($E876:$G876,K$5)-SUMIFS(TF_Timer,TF_Tekniker,K$4,TF_Dato,$A876))*2,0)/2)))</f>
        <v/>
      </c>
      <c r="L876">
        <f>IF(OR(L$4="",$A876&gt;TODAY()),0,IF(OR(INDEX($B876:$D876,L$5)="F",AND(L$6&gt;0,$A876&lt;L$6),AND(L$7&gt;0,$A876&gt;L$7)),0,MAX(0,ROUND((INDEX($E876:$G876,L$5)-SUMIFS(TF_Timer,TF_Tekniker,L$4,TF_Dato,$A876))*2,0)/2)))</f>
        <v/>
      </c>
      <c r="M876">
        <f>IF(OR(M$4="",$A876&gt;TODAY()),0,IF(OR(INDEX($B876:$D876,M$5)="F",AND(M$6&gt;0,$A876&lt;M$6),AND(M$7&gt;0,$A876&gt;M$7)),0,MAX(0,ROUND((INDEX($E876:$G876,M$5)-SUMIFS(TF_Timer,TF_Tekniker,M$4,TF_Dato,$A876))*2,0)/2)))</f>
        <v/>
      </c>
      <c r="N876">
        <f>IF(OR(N$4="",$A876&gt;TODAY()),0,IF(OR(INDEX($B876:$D876,N$5)="F",AND(N$6&gt;0,$A876&lt;N$6),AND(N$7&gt;0,$A876&gt;N$7)),0,MAX(0,ROUND((INDEX($E876:$G876,N$5)-SUMIFS(TF_Timer,TF_Tekniker,N$4,TF_Dato,$A876))*2,0)/2)))</f>
        <v/>
      </c>
      <c r="O876">
        <f>IF(OR(O$4="",$A876&gt;TODAY()),0,IF(OR(INDEX($B876:$D876,O$5)="F",AND(O$6&gt;0,$A876&lt;O$6),AND(O$7&gt;0,$A876&gt;O$7)),0,MAX(0,ROUND((INDEX($E876:$G876,O$5)-SUMIFS(TF_Timer,TF_Tekniker,O$4,TF_Dato,$A876))*2,0)/2)))</f>
        <v/>
      </c>
      <c r="P876">
        <f>IF(OR(P$4="",$A876&gt;TODAY()),0,IF(OR(INDEX($B876:$D876,P$5)="F",AND(P$6&gt;0,$A876&lt;P$6),AND(P$7&gt;0,$A876&gt;P$7)),0,MAX(0,ROUND((INDEX($E876:$G876,P$5)-SUMIFS(TF_Timer,TF_Tekniker,P$4,TF_Dato,$A876))*2,0)/2)))</f>
        <v/>
      </c>
      <c r="Q876">
        <f>IF(OR(Q$4="",$A876&gt;TODAY()),0,IF(OR(INDEX($B876:$D876,Q$5)="F",AND(Q$6&gt;0,$A876&lt;Q$6),AND(Q$7&gt;0,$A876&gt;Q$7)),0,MAX(0,ROUND((INDEX($E876:$G876,Q$5)-SUMIFS(TF_Timer,TF_Tekniker,Q$4,TF_Dato,$A876))*2,0)/2)))</f>
        <v/>
      </c>
      <c r="R876">
        <f>IF(OR(R$4="",$A876&gt;TODAY()),0,IF(OR(INDEX($B876:$D876,R$5)="F",AND(R$6&gt;0,$A876&lt;R$6),AND(R$7&gt;0,$A876&gt;R$7)),0,MAX(0,ROUND((INDEX($E876:$G876,R$5)-SUMIFS(TF_Timer,TF_Tekniker,R$4,TF_Dato,$A876))*2,0)/2)))</f>
        <v/>
      </c>
      <c r="S876">
        <f>IF(OR(S$4="",$A876&gt;TODAY()),0,IF(OR(INDEX($B876:$D876,S$5)="F",AND(S$6&gt;0,$A876&lt;S$6),AND(S$7&gt;0,$A876&gt;S$7)),0,MAX(0,ROUND((INDEX($E876:$G876,S$5)-SUMIFS(TF_Timer,TF_Tekniker,S$4,TF_Dato,$A876))*2,0)/2)))</f>
        <v/>
      </c>
      <c r="T876">
        <f>IF(OR(T$4="",$A876&gt;TODAY()),0,IF(OR(INDEX($B876:$D876,T$5)="F",AND(T$6&gt;0,$A876&lt;T$6),AND(T$7&gt;0,$A876&gt;T$7)),0,MAX(0,ROUND((INDEX($E876:$G876,T$5)-SUMIFS(TF_Timer,TF_Tekniker,T$4,TF_Dato,$A876))*2,0)/2)))</f>
        <v/>
      </c>
      <c r="U876">
        <f>IF(OR(U$4="",$A876&gt;TODAY()),0,IF(OR(INDEX($B876:$D876,U$5)="F",AND(U$6&gt;0,$A876&lt;U$6),AND(U$7&gt;0,$A876&gt;U$7)),0,MAX(0,ROUND((INDEX($E876:$G876,U$5)-SUMIFS(TF_Timer,TF_Tekniker,U$4,TF_Dato,$A876))*2,0)/2)))</f>
        <v/>
      </c>
      <c r="V876">
        <f>IF(OR(V$4="",$A876&gt;TODAY()),0,IF(OR(INDEX($B876:$D876,V$5)="F",AND(V$6&gt;0,$A876&lt;V$6),AND(V$7&gt;0,$A876&gt;V$7)),0,MAX(0,ROUND((INDEX($E876:$G876,V$5)-SUMIFS(TF_Timer,TF_Tekniker,V$4,TF_Dato,$A876))*2,0)/2)))</f>
        <v/>
      </c>
      <c r="W876">
        <f>IF(OR(W$4="",$A876&gt;TODAY()),0,IF(OR(INDEX($B876:$D876,W$5)="F",AND(W$6&gt;0,$A876&lt;W$6),AND(W$7&gt;0,$A876&gt;W$7)),0,MAX(0,ROUND((INDEX($E876:$G876,W$5)-SUMIFS(TF_Timer,TF_Tekniker,W$4,TF_Dato,$A876))*2,0)/2)))</f>
        <v/>
      </c>
      <c r="X876">
        <f>IF(OR(X$4="",$A876&gt;TODAY()),0,IF(OR(INDEX($B876:$D876,X$5)="F",AND(X$6&gt;0,$A876&lt;X$6),AND(X$7&gt;0,$A876&gt;X$7)),0,MAX(0,ROUND((INDEX($E876:$G876,X$5)-SUMIFS(TF_Timer,TF_Tekniker,X$4,TF_Dato,$A876))*2,0)/2)))</f>
        <v/>
      </c>
      <c r="Y876">
        <f>IF(OR(Y$4="",$A876&gt;TODAY()),0,IF(OR(INDEX($B876:$D876,Y$5)="F",AND(Y$6&gt;0,$A876&lt;Y$6),AND(Y$7&gt;0,$A876&gt;Y$7)),0,MAX(0,ROUND((INDEX($E876:$G876,Y$5)-SUMIFS(TF_Timer,TF_Tekniker,Y$4,TF_Dato,$A876))*2,0)/2)))</f>
        <v/>
      </c>
      <c r="Z876">
        <f>IF(OR(Z$4="",$A876&gt;TODAY()),0,IF(OR(INDEX($B876:$D876,Z$5)="F",AND(Z$6&gt;0,$A876&lt;Z$6),AND(Z$7&gt;0,$A876&gt;Z$7)),0,MAX(0,ROUND((INDEX($E876:$G876,Z$5)-SUMIFS(TF_Timer,TF_Tekniker,Z$4,TF_Dato,$A876))*2,0)/2)))</f>
        <v/>
      </c>
      <c r="AA876">
        <f>IF(OR(AA$4="",$A876&gt;TODAY()),0,IF(OR(INDEX($B876:$D876,AA$5)="F",AND(AA$6&gt;0,$A876&lt;AA$6),AND(AA$7&gt;0,$A876&gt;AA$7)),0,MAX(0,ROUND((INDEX($E876:$G876,AA$5)-SUMIFS(TF_Timer,TF_Tekniker,AA$4,TF_Dato,$A876))*2,0)/2)))</f>
        <v/>
      </c>
      <c r="AB876">
        <f>IF(OR(AB$4="",$A876&gt;TODAY()),0,IF(OR(INDEX($B876:$D876,AB$5)="F",AND(AB$6&gt;0,$A876&lt;AB$6),AND(AB$7&gt;0,$A876&gt;AB$7)),0,MAX(0,ROUND((INDEX($E876:$G876,AB$5)-SUMIFS(TF_Timer,TF_Tekniker,AB$4,TF_Dato,$A876))*2,0)/2)))</f>
        <v/>
      </c>
      <c r="AC876">
        <f>IF(OR(AC$4="",$A876&gt;TODAY()),0,IF(OR(INDEX($B876:$D876,AC$5)="F",AND(AC$6&gt;0,$A876&lt;AC$6),AND(AC$7&gt;0,$A876&gt;AC$7)),0,MAX(0,ROUND((INDEX($E876:$G876,AC$5)-SUMIFS(TF_Timer,TF_Tekniker,AC$4,TF_Dato,$A876))*2,0)/2)))</f>
        <v/>
      </c>
      <c r="AD876">
        <f>IF(OR(AD$4="",$A876&gt;TODAY()),0,IF(OR(INDEX($B876:$D876,AD$5)="F",AND(AD$6&gt;0,$A876&lt;AD$6),AND(AD$7&gt;0,$A876&gt;AD$7)),0,MAX(0,ROUND((INDEX($E876:$G876,AD$5)-SUMIFS(TF_Timer,TF_Tekniker,AD$4,TF_Dato,$A876))*2,0)/2)))</f>
        <v/>
      </c>
      <c r="AE876">
        <f>IF(OR(AE$4="",$A876&gt;TODAY()),0,IF(OR(INDEX($B876:$D876,AE$5)="F",AND(AE$6&gt;0,$A876&lt;AE$6),AND(AE$7&gt;0,$A876&gt;AE$7)),0,MAX(0,ROUND((INDEX($E876:$G876,AE$5)-SUMIFS(TF_Timer,TF_Tekniker,AE$4,TF_Dato,$A876))*2,0)/2)))</f>
        <v/>
      </c>
      <c r="AF876">
        <f>IF(OR(AF$4="",$A876&gt;TODAY()),0,IF(OR(INDEX($B876:$D876,AF$5)="F",AND(AF$6&gt;0,$A876&lt;AF$6),AND(AF$7&gt;0,$A876&gt;AF$7)),0,MAX(0,ROUND((INDEX($E876:$G876,AF$5)-SUMIFS(TF_Timer,TF_Tekniker,AF$4,TF_Dato,$A876))*2,0)/2)))</f>
        <v/>
      </c>
      <c r="AG876">
        <f>IF(OR(AG$4="",$A876&gt;TODAY()),0,IF(OR(INDEX($B876:$D876,AG$5)="F",AND(AG$6&gt;0,$A876&lt;AG$6),AND(AG$7&gt;0,$A876&gt;AG$7)),0,MAX(0,ROUND((INDEX($E876:$G876,AG$5)-SUMIFS(TF_Timer,TF_Tekniker,AG$4,TF_Dato,$A876))*2,0)/2)))</f>
        <v/>
      </c>
      <c r="AH876">
        <f>IF(OR(AH$4="",$A876&gt;TODAY()),0,IF(OR(INDEX($B876:$D876,AH$5)="F",AND(AH$6&gt;0,$A876&lt;AH$6),AND(AH$7&gt;0,$A876&gt;AH$7)),0,MAX(0,ROUND((INDEX($E876:$G876,AH$5)-SUMIFS(TF_Timer,TF_Tekniker,AH$4,TF_Dato,$A876))*2,0)/2)))</f>
        <v/>
      </c>
      <c r="AI876">
        <f>IF(OR(AI$4="",$A876&gt;TODAY()),0,IF(OR(INDEX($B876:$D876,AI$5)="F",AND(AI$6&gt;0,$A876&lt;AI$6),AND(AI$7&gt;0,$A876&gt;AI$7)),0,MAX(0,ROUND((INDEX($E876:$G876,AI$5)-SUMIFS(TF_Timer,TF_Tekniker,AI$4,TF_Dato,$A876))*2,0)/2)))</f>
        <v/>
      </c>
      <c r="AJ876">
        <f>IF(OR(AJ$4="",$A876&gt;TODAY()),0,IF(OR(INDEX($B876:$D876,AJ$5)="F",AND(AJ$6&gt;0,$A876&lt;AJ$6),AND(AJ$7&gt;0,$A876&gt;AJ$7)),0,MAX(0,ROUND((INDEX($E876:$G876,AJ$5)-SUMIFS(TF_Timer,TF_Tekniker,AJ$4,TF_Dato,$A876))*2,0)/2)))</f>
        <v/>
      </c>
      <c r="AK876">
        <f>IF(OR(AK$4="",$A876&gt;TODAY()),0,IF(OR(INDEX($B876:$D876,AK$5)="F",AND(AK$6&gt;0,$A876&lt;AK$6),AND(AK$7&gt;0,$A876&gt;AK$7)),0,MAX(0,ROUND((INDEX($E876:$G876,AK$5)-SUMIFS(TF_Timer,TF_Tekniker,AK$4,TF_Dato,$A876))*2,0)/2)))</f>
        <v/>
      </c>
      <c r="AL876">
        <f>IF(OR(AL$4="",$A876&gt;TODAY()),0,IF(OR(INDEX($B876:$D876,AL$5)="F",AND(AL$6&gt;0,$A876&lt;AL$6),AND(AL$7&gt;0,$A876&gt;AL$7)),0,MAX(0,ROUND((INDEX($E876:$G876,AL$5)-SUMIFS(TF_Timer,TF_Tekniker,AL$4,TF_Dato,$A876))*2,0)/2)))</f>
        <v/>
      </c>
      <c r="AM876">
        <f>IF(OR(AM$4="",$A876&gt;TODAY()),0,IF(OR(INDEX($B876:$D876,AM$5)="F",AND(AM$6&gt;0,$A876&lt;AM$6),AND(AM$7&gt;0,$A876&gt;AM$7)),0,MAX(0,ROUND((INDEX($E876:$G876,AM$5)-SUMIFS(TF_Timer,TF_Tekniker,AM$4,TF_Dato,$A876))*2,0)/2)))</f>
        <v/>
      </c>
      <c r="AN876">
        <f>IF(OR(AN$4="",$A876&gt;TODAY()),0,IF(OR(INDEX($B876:$D876,AN$5)="F",AND(AN$6&gt;0,$A876&lt;AN$6),AND(AN$7&gt;0,$A876&gt;AN$7)),0,MAX(0,ROUND((INDEX($E876:$G876,AN$5)-SUMIFS(TF_Timer,TF_Tekniker,AN$4,TF_Dato,$A876))*2,0)/2)))</f>
        <v/>
      </c>
      <c r="AO876">
        <f>IF(OR(AO$4="",$A876&gt;TODAY()),0,IF(OR(INDEX($B876:$D876,AO$5)="F",AND(AO$6&gt;0,$A876&lt;AO$6),AND(AO$7&gt;0,$A876&gt;AO$7)),0,MAX(0,ROUND((INDEX($E876:$G876,AO$5)-SUMIFS(TF_Timer,TF_Tekniker,AO$4,TF_Dato,$A876))*2,0)/2)))</f>
        <v/>
      </c>
      <c r="AP876">
        <f>IF(OR(AP$4="",$A876&gt;TODAY()),0,IF(OR(INDEX($B876:$D876,AP$5)="F",AND(AP$6&gt;0,$A876&lt;AP$6),AND(AP$7&gt;0,$A876&gt;AP$7)),0,MAX(0,ROUND((INDEX($E876:$G876,AP$5)-SUMIFS(TF_Timer,TF_Tekniker,AP$4,TF_Dato,$A876))*2,0)/2)))</f>
        <v/>
      </c>
      <c r="AQ876">
        <f>IF(OR(AQ$4="",$A876&gt;TODAY()),0,IF(OR(INDEX($B876:$D876,AQ$5)="F",AND(AQ$6&gt;0,$A876&lt;AQ$6),AND(AQ$7&gt;0,$A876&gt;AQ$7)),0,MAX(0,ROUND((INDEX($E876:$G876,AQ$5)-SUMIFS(TF_Timer,TF_Tekniker,AQ$4,TF_Dato,$A876))*2,0)/2)))</f>
        <v/>
      </c>
      <c r="AR876">
        <f>IF(OR(AR$4="",$A876&gt;TODAY()),0,IF(OR(INDEX($B876:$D876,AR$5)="F",AND(AR$6&gt;0,$A876&lt;AR$6),AND(AR$7&gt;0,$A876&gt;AR$7)),0,MAX(0,ROUND((INDEX($E876:$G876,AR$5)-SUMIFS(TF_Timer,TF_Tekniker,AR$4,TF_Dato,$A876))*2,0)/2)))</f>
        <v/>
      </c>
      <c r="AS876">
        <f>IF(OR(AS$4="",$A876&gt;TODAY()),0,IF(OR(INDEX($B876:$D876,AS$5)="F",AND(AS$6&gt;0,$A876&lt;AS$6),AND(AS$7&gt;0,$A876&gt;AS$7)),0,MAX(0,ROUND((INDEX($E876:$G876,AS$5)-SUMIFS(TF_Timer,TF_Tekniker,AS$4,TF_Dato,$A876))*2,0)/2)))</f>
        <v/>
      </c>
      <c r="AT876">
        <f>IF(OR(AT$4="",$A876&gt;TODAY()),0,IF(OR(INDEX($B876:$D876,AT$5)="F",AND(AT$6&gt;0,$A876&lt;AT$6),AND(AT$7&gt;0,$A876&gt;AT$7)),0,MAX(0,ROUND((INDEX($E876:$G876,AT$5)-SUMIFS(TF_Timer,TF_Tekniker,AT$4,TF_Dato,$A876))*2,0)/2)))</f>
        <v/>
      </c>
      <c r="AU876">
        <f>IF(OR(AU$4="",$A876&gt;TODAY()),0,IF(OR(INDEX($B876:$D876,AU$5)="F",AND(AU$6&gt;0,$A876&lt;AU$6),AND(AU$7&gt;0,$A876&gt;AU$7)),0,MAX(0,ROUND((INDEX($E876:$G876,AU$5)-SUMIFS(TF_Timer,TF_Tekniker,AU$4,TF_Dato,$A876))*2,0)/2)))</f>
        <v/>
      </c>
      <c r="AV876">
        <f>IF(OR(AV$4="",$A876&gt;TODAY()),0,IF(OR(INDEX($B876:$D876,AV$5)="F",AND(AV$6&gt;0,$A876&lt;AV$6),AND(AV$7&gt;0,$A876&gt;AV$7)),0,MAX(0,ROUND((INDEX($E876:$G876,AV$5)-SUMIFS(TF_Timer,TF_Tekniker,AV$4,TF_Dato,$A876))*2,0)/2)))</f>
        <v/>
      </c>
      <c r="AW876">
        <f>IF(OR(AW$4="",$A876&gt;TODAY()),0,IF(OR(INDEX($B876:$D876,AW$5)="F",AND(AW$6&gt;0,$A876&lt;AW$6),AND(AW$7&gt;0,$A876&gt;AW$7)),0,MAX(0,ROUND((INDEX($E876:$G876,AW$5)-SUMIFS(TF_Timer,TF_Tekniker,AW$4,TF_Dato,$A876))*2,0)/2)))</f>
        <v/>
      </c>
      <c r="AX876">
        <f>IF(OR(AX$4="",$A876&gt;TODAY()),0,IF(OR(INDEX($B876:$D876,AX$5)="F",AND(AX$6&gt;0,$A876&lt;AX$6),AND(AX$7&gt;0,$A876&gt;AX$7)),0,MAX(0,ROUND((INDEX($E876:$G876,AX$5)-SUMIFS(TF_Timer,TF_Tekniker,AX$4,TF_Dato,$A876))*2,0)/2)))</f>
        <v/>
      </c>
      <c r="AY876">
        <f>IF(OR(AY$4="",$A876&gt;TODAY()),0,IF(OR(INDEX($B876:$D876,AY$5)="F",AND(AY$6&gt;0,$A876&lt;AY$6),AND(AY$7&gt;0,$A876&gt;AY$7)),0,MAX(0,ROUND((INDEX($E876:$G876,AY$5)-SUMIFS(TF_Timer,TF_Tekniker,AY$4,TF_Dato,$A876))*2,0)/2)))</f>
        <v/>
      </c>
      <c r="AZ876">
        <f>IF(OR(AZ$4="",$A876&gt;TODAY()),0,IF(OR(INDEX($B876:$D876,AZ$5)="F",AND(AZ$6&gt;0,$A876&lt;AZ$6),AND(AZ$7&gt;0,$A876&gt;AZ$7)),0,MAX(0,ROUND((INDEX($E876:$G876,AZ$5)-SUMIFS(TF_Timer,TF_Tekniker,AZ$4,TF_Dato,$A876))*2,0)/2)))</f>
        <v/>
      </c>
      <c r="BA876">
        <f>IF(OR(BA$4="",$A876&gt;TODAY()),0,IF(OR(INDEX($B876:$D876,BA$5)="F",AND(BA$6&gt;0,$A876&lt;BA$6),AND(BA$7&gt;0,$A876&gt;BA$7)),0,MAX(0,ROUND((INDEX($E876:$G876,BA$5)-SUMIFS(TF_Timer,TF_Tekniker,BA$4,TF_Dato,$A876))*2,0)/2)))</f>
        <v/>
      </c>
      <c r="BB876">
        <f>IF(OR(BB$4="",$A876&gt;TODAY()),0,IF(OR(INDEX($B876:$D876,BB$5)="F",AND(BB$6&gt;0,$A876&lt;BB$6),AND(BB$7&gt;0,$A876&gt;BB$7)),0,MAX(0,ROUND((INDEX($E876:$G876,BB$5)-SUMIFS(TF_Timer,TF_Tekniker,BB$4,TF_Dato,$A876))*2,0)/2)))</f>
        <v/>
      </c>
      <c r="BC876">
        <f>IF(OR(BC$4="",$A876&gt;TODAY()),0,IF(OR(INDEX($B876:$D876,BC$5)="F",AND(BC$6&gt;0,$A876&lt;BC$6),AND(BC$7&gt;0,$A876&gt;BC$7)),0,MAX(0,ROUND((INDEX($E876:$G876,BC$5)-SUMIFS(TF_Timer,TF_Tekniker,BC$4,TF_Dato,$A876))*2,0)/2)))</f>
        <v/>
      </c>
      <c r="BD876">
        <f>IF(OR(BD$4="",$A876&gt;TODAY()),0,IF(OR(INDEX($B876:$D876,BD$5)="F",AND(BD$6&gt;0,$A876&lt;BD$6),AND(BD$7&gt;0,$A876&gt;BD$7)),0,MAX(0,ROUND((INDEX($E876:$G876,BD$5)-SUMIFS(TF_Timer,TF_Tekniker,BD$4,TF_Dato,$A876))*2,0)/2)))</f>
        <v/>
      </c>
      <c r="BE876">
        <f>IF(OR(BE$4="",$A876&gt;TODAY()),0,IF(OR(INDEX($B876:$D876,BE$5)="F",AND(BE$6&gt;0,$A876&lt;BE$6),AND(BE$7&gt;0,$A876&gt;BE$7)),0,MAX(0,ROUND((INDEX($E876:$G876,BE$5)-SUMIFS(TF_Timer,TF_Tekniker,BE$4,TF_Dato,$A876))*2,0)/2)))</f>
        <v/>
      </c>
      <c r="BF876">
        <f>IF(OR(BF$4="",$A876&gt;TODAY()),0,IF(OR(INDEX($B876:$D876,BF$5)="F",AND(BF$6&gt;0,$A876&lt;BF$6),AND(BF$7&gt;0,$A876&gt;BF$7)),0,MAX(0,ROUND((INDEX($E876:$G876,BF$5)-SUMIFS(TF_Timer,TF_Tekniker,BF$4,TF_Dato,$A876))*2,0)/2)))</f>
        <v/>
      </c>
      <c r="BG876">
        <f>IF(OR(BG$4="",$A876&gt;TODAY()),0,IF(OR(INDEX($B876:$D876,BG$5)="F",AND(BG$6&gt;0,$A876&lt;BG$6),AND(BG$7&gt;0,$A876&gt;BG$7)),0,MAX(0,ROUND((INDEX($E876:$G876,BG$5)-SUMIFS(TF_Timer,TF_Tekniker,BG$4,TF_Dato,$A876))*2,0)/2)))</f>
        <v/>
      </c>
      <c r="BH876">
        <f>IF(OR(BH$4="",$A876&gt;TODAY()),0,IF(OR(INDEX($B876:$D876,BH$5)="F",AND(BH$6&gt;0,$A876&lt;BH$6),AND(BH$7&gt;0,$A876&gt;BH$7)),0,MAX(0,ROUND((INDEX($E876:$G876,BH$5)-SUMIFS(TF_Timer,TF_Tekniker,BH$4,TF_Dato,$A876))*2,0)/2)))</f>
        <v/>
      </c>
      <c r="BI876">
        <f>IF(OR(BI$4="",$A876&gt;TODAY()),0,IF(OR(INDEX($B876:$D876,BI$5)="F",AND(BI$6&gt;0,$A876&lt;BI$6),AND(BI$7&gt;0,$A876&gt;BI$7)),0,MAX(0,ROUND((INDEX($E876:$G876,BI$5)-SUMIFS(TF_Timer,TF_Tekniker,BI$4,TF_Dato,$A876))*2,0)/2)))</f>
        <v/>
      </c>
    </row>
    <row r="877">
      <c r="A877" s="64">
        <f>A876+1</f>
        <v/>
      </c>
      <c r="B877">
        <f>IF(MOD($A877-INDEX(SkiftStart,1),Syklus)&lt;DagK,"K",IF(MOD($A877-INDEX(SkiftStart,1),Syklus)&lt;DagK+DagH,"H",IF(MOD($A877-INDEX(SkiftStart,1),Syklus)&lt;DagK+DagH+DagD,"D","F")))</f>
        <v/>
      </c>
      <c r="C877">
        <f>IF(MOD($A877-INDEX(SkiftStart,2),Syklus)&lt;DagK,"K",IF(MOD($A877-INDEX(SkiftStart,2),Syklus)&lt;DagK+DagH,"H",IF(MOD($A877-INDEX(SkiftStart,2),Syklus)&lt;DagK+DagH+DagD,"D","F")))</f>
        <v/>
      </c>
      <c r="D877">
        <f>IF(MOD($A877-INDEX(SkiftStart,3),Syklus)&lt;DagK,"K",IF(MOD($A877-INDEX(SkiftStart,3),Syklus)&lt;DagK+DagH,"H",IF(MOD($A877-INDEX(SkiftStart,3),Syklus)&lt;DagK+DagH+DagD,"D","F")))</f>
        <v/>
      </c>
      <c r="E877">
        <f>IF(B877="F",0,IF(WEEKDAY($A877,2)=5,INDEX(TimerFr,MATCH(B877,FaseKode,0)),INDEX(TimerMT,MATCH(B877,FaseKode,0))))</f>
        <v/>
      </c>
      <c r="F877">
        <f>IF(C877="F",0,IF(WEEKDAY($A877,2)=5,INDEX(TimerFr,MATCH(C877,FaseKode,0)),INDEX(TimerMT,MATCH(C877,FaseKode,0))))</f>
        <v/>
      </c>
      <c r="G877">
        <f>IF(D877="F",0,IF(WEEKDAY($A877,2)=5,INDEX(TimerFr,MATCH(D877,FaseKode,0)),INDEX(TimerMT,MATCH(D877,FaseKode,0))))</f>
        <v/>
      </c>
      <c r="H877">
        <f>IF(OR(H$4="",$A877&gt;TODAY()),0,IF(OR(INDEX($B877:$D877,H$5)="F",AND(H$6&gt;0,$A877&lt;H$6),AND(H$7&gt;0,$A877&gt;H$7)),0,MAX(0,ROUND((INDEX($E877:$G877,H$5)-SUMIFS(TF_Timer,TF_Tekniker,H$4,TF_Dato,$A877))*2,0)/2)))</f>
        <v/>
      </c>
      <c r="I877">
        <f>IF(OR(I$4="",$A877&gt;TODAY()),0,IF(OR(INDEX($B877:$D877,I$5)="F",AND(I$6&gt;0,$A877&lt;I$6),AND(I$7&gt;0,$A877&gt;I$7)),0,MAX(0,ROUND((INDEX($E877:$G877,I$5)-SUMIFS(TF_Timer,TF_Tekniker,I$4,TF_Dato,$A877))*2,0)/2)))</f>
        <v/>
      </c>
      <c r="J877">
        <f>IF(OR(J$4="",$A877&gt;TODAY()),0,IF(OR(INDEX($B877:$D877,J$5)="F",AND(J$6&gt;0,$A877&lt;J$6),AND(J$7&gt;0,$A877&gt;J$7)),0,MAX(0,ROUND((INDEX($E877:$G877,J$5)-SUMIFS(TF_Timer,TF_Tekniker,J$4,TF_Dato,$A877))*2,0)/2)))</f>
        <v/>
      </c>
      <c r="K877">
        <f>IF(OR(K$4="",$A877&gt;TODAY()),0,IF(OR(INDEX($B877:$D877,K$5)="F",AND(K$6&gt;0,$A877&lt;K$6),AND(K$7&gt;0,$A877&gt;K$7)),0,MAX(0,ROUND((INDEX($E877:$G877,K$5)-SUMIFS(TF_Timer,TF_Tekniker,K$4,TF_Dato,$A877))*2,0)/2)))</f>
        <v/>
      </c>
      <c r="L877">
        <f>IF(OR(L$4="",$A877&gt;TODAY()),0,IF(OR(INDEX($B877:$D877,L$5)="F",AND(L$6&gt;0,$A877&lt;L$6),AND(L$7&gt;0,$A877&gt;L$7)),0,MAX(0,ROUND((INDEX($E877:$G877,L$5)-SUMIFS(TF_Timer,TF_Tekniker,L$4,TF_Dato,$A877))*2,0)/2)))</f>
        <v/>
      </c>
      <c r="M877">
        <f>IF(OR(M$4="",$A877&gt;TODAY()),0,IF(OR(INDEX($B877:$D877,M$5)="F",AND(M$6&gt;0,$A877&lt;M$6),AND(M$7&gt;0,$A877&gt;M$7)),0,MAX(0,ROUND((INDEX($E877:$G877,M$5)-SUMIFS(TF_Timer,TF_Tekniker,M$4,TF_Dato,$A877))*2,0)/2)))</f>
        <v/>
      </c>
      <c r="N877">
        <f>IF(OR(N$4="",$A877&gt;TODAY()),0,IF(OR(INDEX($B877:$D877,N$5)="F",AND(N$6&gt;0,$A877&lt;N$6),AND(N$7&gt;0,$A877&gt;N$7)),0,MAX(0,ROUND((INDEX($E877:$G877,N$5)-SUMIFS(TF_Timer,TF_Tekniker,N$4,TF_Dato,$A877))*2,0)/2)))</f>
        <v/>
      </c>
      <c r="O877">
        <f>IF(OR(O$4="",$A877&gt;TODAY()),0,IF(OR(INDEX($B877:$D877,O$5)="F",AND(O$6&gt;0,$A877&lt;O$6),AND(O$7&gt;0,$A877&gt;O$7)),0,MAX(0,ROUND((INDEX($E877:$G877,O$5)-SUMIFS(TF_Timer,TF_Tekniker,O$4,TF_Dato,$A877))*2,0)/2)))</f>
        <v/>
      </c>
      <c r="P877">
        <f>IF(OR(P$4="",$A877&gt;TODAY()),0,IF(OR(INDEX($B877:$D877,P$5)="F",AND(P$6&gt;0,$A877&lt;P$6),AND(P$7&gt;0,$A877&gt;P$7)),0,MAX(0,ROUND((INDEX($E877:$G877,P$5)-SUMIFS(TF_Timer,TF_Tekniker,P$4,TF_Dato,$A877))*2,0)/2)))</f>
        <v/>
      </c>
      <c r="Q877">
        <f>IF(OR(Q$4="",$A877&gt;TODAY()),0,IF(OR(INDEX($B877:$D877,Q$5)="F",AND(Q$6&gt;0,$A877&lt;Q$6),AND(Q$7&gt;0,$A877&gt;Q$7)),0,MAX(0,ROUND((INDEX($E877:$G877,Q$5)-SUMIFS(TF_Timer,TF_Tekniker,Q$4,TF_Dato,$A877))*2,0)/2)))</f>
        <v/>
      </c>
      <c r="R877">
        <f>IF(OR(R$4="",$A877&gt;TODAY()),0,IF(OR(INDEX($B877:$D877,R$5)="F",AND(R$6&gt;0,$A877&lt;R$6),AND(R$7&gt;0,$A877&gt;R$7)),0,MAX(0,ROUND((INDEX($E877:$G877,R$5)-SUMIFS(TF_Timer,TF_Tekniker,R$4,TF_Dato,$A877))*2,0)/2)))</f>
        <v/>
      </c>
      <c r="S877">
        <f>IF(OR(S$4="",$A877&gt;TODAY()),0,IF(OR(INDEX($B877:$D877,S$5)="F",AND(S$6&gt;0,$A877&lt;S$6),AND(S$7&gt;0,$A877&gt;S$7)),0,MAX(0,ROUND((INDEX($E877:$G877,S$5)-SUMIFS(TF_Timer,TF_Tekniker,S$4,TF_Dato,$A877))*2,0)/2)))</f>
        <v/>
      </c>
      <c r="T877">
        <f>IF(OR(T$4="",$A877&gt;TODAY()),0,IF(OR(INDEX($B877:$D877,T$5)="F",AND(T$6&gt;0,$A877&lt;T$6),AND(T$7&gt;0,$A877&gt;T$7)),0,MAX(0,ROUND((INDEX($E877:$G877,T$5)-SUMIFS(TF_Timer,TF_Tekniker,T$4,TF_Dato,$A877))*2,0)/2)))</f>
        <v/>
      </c>
      <c r="U877">
        <f>IF(OR(U$4="",$A877&gt;TODAY()),0,IF(OR(INDEX($B877:$D877,U$5)="F",AND(U$6&gt;0,$A877&lt;U$6),AND(U$7&gt;0,$A877&gt;U$7)),0,MAX(0,ROUND((INDEX($E877:$G877,U$5)-SUMIFS(TF_Timer,TF_Tekniker,U$4,TF_Dato,$A877))*2,0)/2)))</f>
        <v/>
      </c>
      <c r="V877">
        <f>IF(OR(V$4="",$A877&gt;TODAY()),0,IF(OR(INDEX($B877:$D877,V$5)="F",AND(V$6&gt;0,$A877&lt;V$6),AND(V$7&gt;0,$A877&gt;V$7)),0,MAX(0,ROUND((INDEX($E877:$G877,V$5)-SUMIFS(TF_Timer,TF_Tekniker,V$4,TF_Dato,$A877))*2,0)/2)))</f>
        <v/>
      </c>
      <c r="W877">
        <f>IF(OR(W$4="",$A877&gt;TODAY()),0,IF(OR(INDEX($B877:$D877,W$5)="F",AND(W$6&gt;0,$A877&lt;W$6),AND(W$7&gt;0,$A877&gt;W$7)),0,MAX(0,ROUND((INDEX($E877:$G877,W$5)-SUMIFS(TF_Timer,TF_Tekniker,W$4,TF_Dato,$A877))*2,0)/2)))</f>
        <v/>
      </c>
      <c r="X877">
        <f>IF(OR(X$4="",$A877&gt;TODAY()),0,IF(OR(INDEX($B877:$D877,X$5)="F",AND(X$6&gt;0,$A877&lt;X$6),AND(X$7&gt;0,$A877&gt;X$7)),0,MAX(0,ROUND((INDEX($E877:$G877,X$5)-SUMIFS(TF_Timer,TF_Tekniker,X$4,TF_Dato,$A877))*2,0)/2)))</f>
        <v/>
      </c>
      <c r="Y877">
        <f>IF(OR(Y$4="",$A877&gt;TODAY()),0,IF(OR(INDEX($B877:$D877,Y$5)="F",AND(Y$6&gt;0,$A877&lt;Y$6),AND(Y$7&gt;0,$A877&gt;Y$7)),0,MAX(0,ROUND((INDEX($E877:$G877,Y$5)-SUMIFS(TF_Timer,TF_Tekniker,Y$4,TF_Dato,$A877))*2,0)/2)))</f>
        <v/>
      </c>
      <c r="Z877">
        <f>IF(OR(Z$4="",$A877&gt;TODAY()),0,IF(OR(INDEX($B877:$D877,Z$5)="F",AND(Z$6&gt;0,$A877&lt;Z$6),AND(Z$7&gt;0,$A877&gt;Z$7)),0,MAX(0,ROUND((INDEX($E877:$G877,Z$5)-SUMIFS(TF_Timer,TF_Tekniker,Z$4,TF_Dato,$A877))*2,0)/2)))</f>
        <v/>
      </c>
      <c r="AA877">
        <f>IF(OR(AA$4="",$A877&gt;TODAY()),0,IF(OR(INDEX($B877:$D877,AA$5)="F",AND(AA$6&gt;0,$A877&lt;AA$6),AND(AA$7&gt;0,$A877&gt;AA$7)),0,MAX(0,ROUND((INDEX($E877:$G877,AA$5)-SUMIFS(TF_Timer,TF_Tekniker,AA$4,TF_Dato,$A877))*2,0)/2)))</f>
        <v/>
      </c>
      <c r="AB877">
        <f>IF(OR(AB$4="",$A877&gt;TODAY()),0,IF(OR(INDEX($B877:$D877,AB$5)="F",AND(AB$6&gt;0,$A877&lt;AB$6),AND(AB$7&gt;0,$A877&gt;AB$7)),0,MAX(0,ROUND((INDEX($E877:$G877,AB$5)-SUMIFS(TF_Timer,TF_Tekniker,AB$4,TF_Dato,$A877))*2,0)/2)))</f>
        <v/>
      </c>
      <c r="AC877">
        <f>IF(OR(AC$4="",$A877&gt;TODAY()),0,IF(OR(INDEX($B877:$D877,AC$5)="F",AND(AC$6&gt;0,$A877&lt;AC$6),AND(AC$7&gt;0,$A877&gt;AC$7)),0,MAX(0,ROUND((INDEX($E877:$G877,AC$5)-SUMIFS(TF_Timer,TF_Tekniker,AC$4,TF_Dato,$A877))*2,0)/2)))</f>
        <v/>
      </c>
      <c r="AD877">
        <f>IF(OR(AD$4="",$A877&gt;TODAY()),0,IF(OR(INDEX($B877:$D877,AD$5)="F",AND(AD$6&gt;0,$A877&lt;AD$6),AND(AD$7&gt;0,$A877&gt;AD$7)),0,MAX(0,ROUND((INDEX($E877:$G877,AD$5)-SUMIFS(TF_Timer,TF_Tekniker,AD$4,TF_Dato,$A877))*2,0)/2)))</f>
        <v/>
      </c>
      <c r="AE877">
        <f>IF(OR(AE$4="",$A877&gt;TODAY()),0,IF(OR(INDEX($B877:$D877,AE$5)="F",AND(AE$6&gt;0,$A877&lt;AE$6),AND(AE$7&gt;0,$A877&gt;AE$7)),0,MAX(0,ROUND((INDEX($E877:$G877,AE$5)-SUMIFS(TF_Timer,TF_Tekniker,AE$4,TF_Dato,$A877))*2,0)/2)))</f>
        <v/>
      </c>
      <c r="AF877">
        <f>IF(OR(AF$4="",$A877&gt;TODAY()),0,IF(OR(INDEX($B877:$D877,AF$5)="F",AND(AF$6&gt;0,$A877&lt;AF$6),AND(AF$7&gt;0,$A877&gt;AF$7)),0,MAX(0,ROUND((INDEX($E877:$G877,AF$5)-SUMIFS(TF_Timer,TF_Tekniker,AF$4,TF_Dato,$A877))*2,0)/2)))</f>
        <v/>
      </c>
      <c r="AG877">
        <f>IF(OR(AG$4="",$A877&gt;TODAY()),0,IF(OR(INDEX($B877:$D877,AG$5)="F",AND(AG$6&gt;0,$A877&lt;AG$6),AND(AG$7&gt;0,$A877&gt;AG$7)),0,MAX(0,ROUND((INDEX($E877:$G877,AG$5)-SUMIFS(TF_Timer,TF_Tekniker,AG$4,TF_Dato,$A877))*2,0)/2)))</f>
        <v/>
      </c>
      <c r="AH877">
        <f>IF(OR(AH$4="",$A877&gt;TODAY()),0,IF(OR(INDEX($B877:$D877,AH$5)="F",AND(AH$6&gt;0,$A877&lt;AH$6),AND(AH$7&gt;0,$A877&gt;AH$7)),0,MAX(0,ROUND((INDEX($E877:$G877,AH$5)-SUMIFS(TF_Timer,TF_Tekniker,AH$4,TF_Dato,$A877))*2,0)/2)))</f>
        <v/>
      </c>
      <c r="AI877">
        <f>IF(OR(AI$4="",$A877&gt;TODAY()),0,IF(OR(INDEX($B877:$D877,AI$5)="F",AND(AI$6&gt;0,$A877&lt;AI$6),AND(AI$7&gt;0,$A877&gt;AI$7)),0,MAX(0,ROUND((INDEX($E877:$G877,AI$5)-SUMIFS(TF_Timer,TF_Tekniker,AI$4,TF_Dato,$A877))*2,0)/2)))</f>
        <v/>
      </c>
      <c r="AJ877">
        <f>IF(OR(AJ$4="",$A877&gt;TODAY()),0,IF(OR(INDEX($B877:$D877,AJ$5)="F",AND(AJ$6&gt;0,$A877&lt;AJ$6),AND(AJ$7&gt;0,$A877&gt;AJ$7)),0,MAX(0,ROUND((INDEX($E877:$G877,AJ$5)-SUMIFS(TF_Timer,TF_Tekniker,AJ$4,TF_Dato,$A877))*2,0)/2)))</f>
        <v/>
      </c>
      <c r="AK877">
        <f>IF(OR(AK$4="",$A877&gt;TODAY()),0,IF(OR(INDEX($B877:$D877,AK$5)="F",AND(AK$6&gt;0,$A877&lt;AK$6),AND(AK$7&gt;0,$A877&gt;AK$7)),0,MAX(0,ROUND((INDEX($E877:$G877,AK$5)-SUMIFS(TF_Timer,TF_Tekniker,AK$4,TF_Dato,$A877))*2,0)/2)))</f>
        <v/>
      </c>
      <c r="AL877">
        <f>IF(OR(AL$4="",$A877&gt;TODAY()),0,IF(OR(INDEX($B877:$D877,AL$5)="F",AND(AL$6&gt;0,$A877&lt;AL$6),AND(AL$7&gt;0,$A877&gt;AL$7)),0,MAX(0,ROUND((INDEX($E877:$G877,AL$5)-SUMIFS(TF_Timer,TF_Tekniker,AL$4,TF_Dato,$A877))*2,0)/2)))</f>
        <v/>
      </c>
      <c r="AM877">
        <f>IF(OR(AM$4="",$A877&gt;TODAY()),0,IF(OR(INDEX($B877:$D877,AM$5)="F",AND(AM$6&gt;0,$A877&lt;AM$6),AND(AM$7&gt;0,$A877&gt;AM$7)),0,MAX(0,ROUND((INDEX($E877:$G877,AM$5)-SUMIFS(TF_Timer,TF_Tekniker,AM$4,TF_Dato,$A877))*2,0)/2)))</f>
        <v/>
      </c>
      <c r="AN877">
        <f>IF(OR(AN$4="",$A877&gt;TODAY()),0,IF(OR(INDEX($B877:$D877,AN$5)="F",AND(AN$6&gt;0,$A877&lt;AN$6),AND(AN$7&gt;0,$A877&gt;AN$7)),0,MAX(0,ROUND((INDEX($E877:$G877,AN$5)-SUMIFS(TF_Timer,TF_Tekniker,AN$4,TF_Dato,$A877))*2,0)/2)))</f>
        <v/>
      </c>
      <c r="AO877">
        <f>IF(OR(AO$4="",$A877&gt;TODAY()),0,IF(OR(INDEX($B877:$D877,AO$5)="F",AND(AO$6&gt;0,$A877&lt;AO$6),AND(AO$7&gt;0,$A877&gt;AO$7)),0,MAX(0,ROUND((INDEX($E877:$G877,AO$5)-SUMIFS(TF_Timer,TF_Tekniker,AO$4,TF_Dato,$A877))*2,0)/2)))</f>
        <v/>
      </c>
      <c r="AP877">
        <f>IF(OR(AP$4="",$A877&gt;TODAY()),0,IF(OR(INDEX($B877:$D877,AP$5)="F",AND(AP$6&gt;0,$A877&lt;AP$6),AND(AP$7&gt;0,$A877&gt;AP$7)),0,MAX(0,ROUND((INDEX($E877:$G877,AP$5)-SUMIFS(TF_Timer,TF_Tekniker,AP$4,TF_Dato,$A877))*2,0)/2)))</f>
        <v/>
      </c>
      <c r="AQ877">
        <f>IF(OR(AQ$4="",$A877&gt;TODAY()),0,IF(OR(INDEX($B877:$D877,AQ$5)="F",AND(AQ$6&gt;0,$A877&lt;AQ$6),AND(AQ$7&gt;0,$A877&gt;AQ$7)),0,MAX(0,ROUND((INDEX($E877:$G877,AQ$5)-SUMIFS(TF_Timer,TF_Tekniker,AQ$4,TF_Dato,$A877))*2,0)/2)))</f>
        <v/>
      </c>
      <c r="AR877">
        <f>IF(OR(AR$4="",$A877&gt;TODAY()),0,IF(OR(INDEX($B877:$D877,AR$5)="F",AND(AR$6&gt;0,$A877&lt;AR$6),AND(AR$7&gt;0,$A877&gt;AR$7)),0,MAX(0,ROUND((INDEX($E877:$G877,AR$5)-SUMIFS(TF_Timer,TF_Tekniker,AR$4,TF_Dato,$A877))*2,0)/2)))</f>
        <v/>
      </c>
      <c r="AS877">
        <f>IF(OR(AS$4="",$A877&gt;TODAY()),0,IF(OR(INDEX($B877:$D877,AS$5)="F",AND(AS$6&gt;0,$A877&lt;AS$6),AND(AS$7&gt;0,$A877&gt;AS$7)),0,MAX(0,ROUND((INDEX($E877:$G877,AS$5)-SUMIFS(TF_Timer,TF_Tekniker,AS$4,TF_Dato,$A877))*2,0)/2)))</f>
        <v/>
      </c>
      <c r="AT877">
        <f>IF(OR(AT$4="",$A877&gt;TODAY()),0,IF(OR(INDEX($B877:$D877,AT$5)="F",AND(AT$6&gt;0,$A877&lt;AT$6),AND(AT$7&gt;0,$A877&gt;AT$7)),0,MAX(0,ROUND((INDEX($E877:$G877,AT$5)-SUMIFS(TF_Timer,TF_Tekniker,AT$4,TF_Dato,$A877))*2,0)/2)))</f>
        <v/>
      </c>
      <c r="AU877">
        <f>IF(OR(AU$4="",$A877&gt;TODAY()),0,IF(OR(INDEX($B877:$D877,AU$5)="F",AND(AU$6&gt;0,$A877&lt;AU$6),AND(AU$7&gt;0,$A877&gt;AU$7)),0,MAX(0,ROUND((INDEX($E877:$G877,AU$5)-SUMIFS(TF_Timer,TF_Tekniker,AU$4,TF_Dato,$A877))*2,0)/2)))</f>
        <v/>
      </c>
      <c r="AV877">
        <f>IF(OR(AV$4="",$A877&gt;TODAY()),0,IF(OR(INDEX($B877:$D877,AV$5)="F",AND(AV$6&gt;0,$A877&lt;AV$6),AND(AV$7&gt;0,$A877&gt;AV$7)),0,MAX(0,ROUND((INDEX($E877:$G877,AV$5)-SUMIFS(TF_Timer,TF_Tekniker,AV$4,TF_Dato,$A877))*2,0)/2)))</f>
        <v/>
      </c>
      <c r="AW877">
        <f>IF(OR(AW$4="",$A877&gt;TODAY()),0,IF(OR(INDEX($B877:$D877,AW$5)="F",AND(AW$6&gt;0,$A877&lt;AW$6),AND(AW$7&gt;0,$A877&gt;AW$7)),0,MAX(0,ROUND((INDEX($E877:$G877,AW$5)-SUMIFS(TF_Timer,TF_Tekniker,AW$4,TF_Dato,$A877))*2,0)/2)))</f>
        <v/>
      </c>
      <c r="AX877">
        <f>IF(OR(AX$4="",$A877&gt;TODAY()),0,IF(OR(INDEX($B877:$D877,AX$5)="F",AND(AX$6&gt;0,$A877&lt;AX$6),AND(AX$7&gt;0,$A877&gt;AX$7)),0,MAX(0,ROUND((INDEX($E877:$G877,AX$5)-SUMIFS(TF_Timer,TF_Tekniker,AX$4,TF_Dato,$A877))*2,0)/2)))</f>
        <v/>
      </c>
      <c r="AY877">
        <f>IF(OR(AY$4="",$A877&gt;TODAY()),0,IF(OR(INDEX($B877:$D877,AY$5)="F",AND(AY$6&gt;0,$A877&lt;AY$6),AND(AY$7&gt;0,$A877&gt;AY$7)),0,MAX(0,ROUND((INDEX($E877:$G877,AY$5)-SUMIFS(TF_Timer,TF_Tekniker,AY$4,TF_Dato,$A877))*2,0)/2)))</f>
        <v/>
      </c>
      <c r="AZ877">
        <f>IF(OR(AZ$4="",$A877&gt;TODAY()),0,IF(OR(INDEX($B877:$D877,AZ$5)="F",AND(AZ$6&gt;0,$A877&lt;AZ$6),AND(AZ$7&gt;0,$A877&gt;AZ$7)),0,MAX(0,ROUND((INDEX($E877:$G877,AZ$5)-SUMIFS(TF_Timer,TF_Tekniker,AZ$4,TF_Dato,$A877))*2,0)/2)))</f>
        <v/>
      </c>
      <c r="BA877">
        <f>IF(OR(BA$4="",$A877&gt;TODAY()),0,IF(OR(INDEX($B877:$D877,BA$5)="F",AND(BA$6&gt;0,$A877&lt;BA$6),AND(BA$7&gt;0,$A877&gt;BA$7)),0,MAX(0,ROUND((INDEX($E877:$G877,BA$5)-SUMIFS(TF_Timer,TF_Tekniker,BA$4,TF_Dato,$A877))*2,0)/2)))</f>
        <v/>
      </c>
      <c r="BB877">
        <f>IF(OR(BB$4="",$A877&gt;TODAY()),0,IF(OR(INDEX($B877:$D877,BB$5)="F",AND(BB$6&gt;0,$A877&lt;BB$6),AND(BB$7&gt;0,$A877&gt;BB$7)),0,MAX(0,ROUND((INDEX($E877:$G877,BB$5)-SUMIFS(TF_Timer,TF_Tekniker,BB$4,TF_Dato,$A877))*2,0)/2)))</f>
        <v/>
      </c>
      <c r="BC877">
        <f>IF(OR(BC$4="",$A877&gt;TODAY()),0,IF(OR(INDEX($B877:$D877,BC$5)="F",AND(BC$6&gt;0,$A877&lt;BC$6),AND(BC$7&gt;0,$A877&gt;BC$7)),0,MAX(0,ROUND((INDEX($E877:$G877,BC$5)-SUMIFS(TF_Timer,TF_Tekniker,BC$4,TF_Dato,$A877))*2,0)/2)))</f>
        <v/>
      </c>
      <c r="BD877">
        <f>IF(OR(BD$4="",$A877&gt;TODAY()),0,IF(OR(INDEX($B877:$D877,BD$5)="F",AND(BD$6&gt;0,$A877&lt;BD$6),AND(BD$7&gt;0,$A877&gt;BD$7)),0,MAX(0,ROUND((INDEX($E877:$G877,BD$5)-SUMIFS(TF_Timer,TF_Tekniker,BD$4,TF_Dato,$A877))*2,0)/2)))</f>
        <v/>
      </c>
      <c r="BE877">
        <f>IF(OR(BE$4="",$A877&gt;TODAY()),0,IF(OR(INDEX($B877:$D877,BE$5)="F",AND(BE$6&gt;0,$A877&lt;BE$6),AND(BE$7&gt;0,$A877&gt;BE$7)),0,MAX(0,ROUND((INDEX($E877:$G877,BE$5)-SUMIFS(TF_Timer,TF_Tekniker,BE$4,TF_Dato,$A877))*2,0)/2)))</f>
        <v/>
      </c>
      <c r="BF877">
        <f>IF(OR(BF$4="",$A877&gt;TODAY()),0,IF(OR(INDEX($B877:$D877,BF$5)="F",AND(BF$6&gt;0,$A877&lt;BF$6),AND(BF$7&gt;0,$A877&gt;BF$7)),0,MAX(0,ROUND((INDEX($E877:$G877,BF$5)-SUMIFS(TF_Timer,TF_Tekniker,BF$4,TF_Dato,$A877))*2,0)/2)))</f>
        <v/>
      </c>
      <c r="BG877">
        <f>IF(OR(BG$4="",$A877&gt;TODAY()),0,IF(OR(INDEX($B877:$D877,BG$5)="F",AND(BG$6&gt;0,$A877&lt;BG$6),AND(BG$7&gt;0,$A877&gt;BG$7)),0,MAX(0,ROUND((INDEX($E877:$G877,BG$5)-SUMIFS(TF_Timer,TF_Tekniker,BG$4,TF_Dato,$A877))*2,0)/2)))</f>
        <v/>
      </c>
      <c r="BH877">
        <f>IF(OR(BH$4="",$A877&gt;TODAY()),0,IF(OR(INDEX($B877:$D877,BH$5)="F",AND(BH$6&gt;0,$A877&lt;BH$6),AND(BH$7&gt;0,$A877&gt;BH$7)),0,MAX(0,ROUND((INDEX($E877:$G877,BH$5)-SUMIFS(TF_Timer,TF_Tekniker,BH$4,TF_Dato,$A877))*2,0)/2)))</f>
        <v/>
      </c>
      <c r="BI877">
        <f>IF(OR(BI$4="",$A877&gt;TODAY()),0,IF(OR(INDEX($B877:$D877,BI$5)="F",AND(BI$6&gt;0,$A877&lt;BI$6),AND(BI$7&gt;0,$A877&gt;BI$7)),0,MAX(0,ROUND((INDEX($E877:$G877,BI$5)-SUMIFS(TF_Timer,TF_Tekniker,BI$4,TF_Dato,$A877))*2,0)/2)))</f>
        <v/>
      </c>
    </row>
    <row r="878">
      <c r="A878" s="64">
        <f>A877+1</f>
        <v/>
      </c>
      <c r="B878">
        <f>IF(MOD($A878-INDEX(SkiftStart,1),Syklus)&lt;DagK,"K",IF(MOD($A878-INDEX(SkiftStart,1),Syklus)&lt;DagK+DagH,"H",IF(MOD($A878-INDEX(SkiftStart,1),Syklus)&lt;DagK+DagH+DagD,"D","F")))</f>
        <v/>
      </c>
      <c r="C878">
        <f>IF(MOD($A878-INDEX(SkiftStart,2),Syklus)&lt;DagK,"K",IF(MOD($A878-INDEX(SkiftStart,2),Syklus)&lt;DagK+DagH,"H",IF(MOD($A878-INDEX(SkiftStart,2),Syklus)&lt;DagK+DagH+DagD,"D","F")))</f>
        <v/>
      </c>
      <c r="D878">
        <f>IF(MOD($A878-INDEX(SkiftStart,3),Syklus)&lt;DagK,"K",IF(MOD($A878-INDEX(SkiftStart,3),Syklus)&lt;DagK+DagH,"H",IF(MOD($A878-INDEX(SkiftStart,3),Syklus)&lt;DagK+DagH+DagD,"D","F")))</f>
        <v/>
      </c>
      <c r="E878">
        <f>IF(B878="F",0,IF(WEEKDAY($A878,2)=5,INDEX(TimerFr,MATCH(B878,FaseKode,0)),INDEX(TimerMT,MATCH(B878,FaseKode,0))))</f>
        <v/>
      </c>
      <c r="F878">
        <f>IF(C878="F",0,IF(WEEKDAY($A878,2)=5,INDEX(TimerFr,MATCH(C878,FaseKode,0)),INDEX(TimerMT,MATCH(C878,FaseKode,0))))</f>
        <v/>
      </c>
      <c r="G878">
        <f>IF(D878="F",0,IF(WEEKDAY($A878,2)=5,INDEX(TimerFr,MATCH(D878,FaseKode,0)),INDEX(TimerMT,MATCH(D878,FaseKode,0))))</f>
        <v/>
      </c>
      <c r="H878">
        <f>IF(OR(H$4="",$A878&gt;TODAY()),0,IF(OR(INDEX($B878:$D878,H$5)="F",AND(H$6&gt;0,$A878&lt;H$6),AND(H$7&gt;0,$A878&gt;H$7)),0,MAX(0,ROUND((INDEX($E878:$G878,H$5)-SUMIFS(TF_Timer,TF_Tekniker,H$4,TF_Dato,$A878))*2,0)/2)))</f>
        <v/>
      </c>
      <c r="I878">
        <f>IF(OR(I$4="",$A878&gt;TODAY()),0,IF(OR(INDEX($B878:$D878,I$5)="F",AND(I$6&gt;0,$A878&lt;I$6),AND(I$7&gt;0,$A878&gt;I$7)),0,MAX(0,ROUND((INDEX($E878:$G878,I$5)-SUMIFS(TF_Timer,TF_Tekniker,I$4,TF_Dato,$A878))*2,0)/2)))</f>
        <v/>
      </c>
      <c r="J878">
        <f>IF(OR(J$4="",$A878&gt;TODAY()),0,IF(OR(INDEX($B878:$D878,J$5)="F",AND(J$6&gt;0,$A878&lt;J$6),AND(J$7&gt;0,$A878&gt;J$7)),0,MAX(0,ROUND((INDEX($E878:$G878,J$5)-SUMIFS(TF_Timer,TF_Tekniker,J$4,TF_Dato,$A878))*2,0)/2)))</f>
        <v/>
      </c>
      <c r="K878">
        <f>IF(OR(K$4="",$A878&gt;TODAY()),0,IF(OR(INDEX($B878:$D878,K$5)="F",AND(K$6&gt;0,$A878&lt;K$6),AND(K$7&gt;0,$A878&gt;K$7)),0,MAX(0,ROUND((INDEX($E878:$G878,K$5)-SUMIFS(TF_Timer,TF_Tekniker,K$4,TF_Dato,$A878))*2,0)/2)))</f>
        <v/>
      </c>
      <c r="L878">
        <f>IF(OR(L$4="",$A878&gt;TODAY()),0,IF(OR(INDEX($B878:$D878,L$5)="F",AND(L$6&gt;0,$A878&lt;L$6),AND(L$7&gt;0,$A878&gt;L$7)),0,MAX(0,ROUND((INDEX($E878:$G878,L$5)-SUMIFS(TF_Timer,TF_Tekniker,L$4,TF_Dato,$A878))*2,0)/2)))</f>
        <v/>
      </c>
      <c r="M878">
        <f>IF(OR(M$4="",$A878&gt;TODAY()),0,IF(OR(INDEX($B878:$D878,M$5)="F",AND(M$6&gt;0,$A878&lt;M$6),AND(M$7&gt;0,$A878&gt;M$7)),0,MAX(0,ROUND((INDEX($E878:$G878,M$5)-SUMIFS(TF_Timer,TF_Tekniker,M$4,TF_Dato,$A878))*2,0)/2)))</f>
        <v/>
      </c>
      <c r="N878">
        <f>IF(OR(N$4="",$A878&gt;TODAY()),0,IF(OR(INDEX($B878:$D878,N$5)="F",AND(N$6&gt;0,$A878&lt;N$6),AND(N$7&gt;0,$A878&gt;N$7)),0,MAX(0,ROUND((INDEX($E878:$G878,N$5)-SUMIFS(TF_Timer,TF_Tekniker,N$4,TF_Dato,$A878))*2,0)/2)))</f>
        <v/>
      </c>
      <c r="O878">
        <f>IF(OR(O$4="",$A878&gt;TODAY()),0,IF(OR(INDEX($B878:$D878,O$5)="F",AND(O$6&gt;0,$A878&lt;O$6),AND(O$7&gt;0,$A878&gt;O$7)),0,MAX(0,ROUND((INDEX($E878:$G878,O$5)-SUMIFS(TF_Timer,TF_Tekniker,O$4,TF_Dato,$A878))*2,0)/2)))</f>
        <v/>
      </c>
      <c r="P878">
        <f>IF(OR(P$4="",$A878&gt;TODAY()),0,IF(OR(INDEX($B878:$D878,P$5)="F",AND(P$6&gt;0,$A878&lt;P$6),AND(P$7&gt;0,$A878&gt;P$7)),0,MAX(0,ROUND((INDEX($E878:$G878,P$5)-SUMIFS(TF_Timer,TF_Tekniker,P$4,TF_Dato,$A878))*2,0)/2)))</f>
        <v/>
      </c>
      <c r="Q878">
        <f>IF(OR(Q$4="",$A878&gt;TODAY()),0,IF(OR(INDEX($B878:$D878,Q$5)="F",AND(Q$6&gt;0,$A878&lt;Q$6),AND(Q$7&gt;0,$A878&gt;Q$7)),0,MAX(0,ROUND((INDEX($E878:$G878,Q$5)-SUMIFS(TF_Timer,TF_Tekniker,Q$4,TF_Dato,$A878))*2,0)/2)))</f>
        <v/>
      </c>
      <c r="R878">
        <f>IF(OR(R$4="",$A878&gt;TODAY()),0,IF(OR(INDEX($B878:$D878,R$5)="F",AND(R$6&gt;0,$A878&lt;R$6),AND(R$7&gt;0,$A878&gt;R$7)),0,MAX(0,ROUND((INDEX($E878:$G878,R$5)-SUMIFS(TF_Timer,TF_Tekniker,R$4,TF_Dato,$A878))*2,0)/2)))</f>
        <v/>
      </c>
      <c r="S878">
        <f>IF(OR(S$4="",$A878&gt;TODAY()),0,IF(OR(INDEX($B878:$D878,S$5)="F",AND(S$6&gt;0,$A878&lt;S$6),AND(S$7&gt;0,$A878&gt;S$7)),0,MAX(0,ROUND((INDEX($E878:$G878,S$5)-SUMIFS(TF_Timer,TF_Tekniker,S$4,TF_Dato,$A878))*2,0)/2)))</f>
        <v/>
      </c>
      <c r="T878">
        <f>IF(OR(T$4="",$A878&gt;TODAY()),0,IF(OR(INDEX($B878:$D878,T$5)="F",AND(T$6&gt;0,$A878&lt;T$6),AND(T$7&gt;0,$A878&gt;T$7)),0,MAX(0,ROUND((INDEX($E878:$G878,T$5)-SUMIFS(TF_Timer,TF_Tekniker,T$4,TF_Dato,$A878))*2,0)/2)))</f>
        <v/>
      </c>
      <c r="U878">
        <f>IF(OR(U$4="",$A878&gt;TODAY()),0,IF(OR(INDEX($B878:$D878,U$5)="F",AND(U$6&gt;0,$A878&lt;U$6),AND(U$7&gt;0,$A878&gt;U$7)),0,MAX(0,ROUND((INDEX($E878:$G878,U$5)-SUMIFS(TF_Timer,TF_Tekniker,U$4,TF_Dato,$A878))*2,0)/2)))</f>
        <v/>
      </c>
      <c r="V878">
        <f>IF(OR(V$4="",$A878&gt;TODAY()),0,IF(OR(INDEX($B878:$D878,V$5)="F",AND(V$6&gt;0,$A878&lt;V$6),AND(V$7&gt;0,$A878&gt;V$7)),0,MAX(0,ROUND((INDEX($E878:$G878,V$5)-SUMIFS(TF_Timer,TF_Tekniker,V$4,TF_Dato,$A878))*2,0)/2)))</f>
        <v/>
      </c>
      <c r="W878">
        <f>IF(OR(W$4="",$A878&gt;TODAY()),0,IF(OR(INDEX($B878:$D878,W$5)="F",AND(W$6&gt;0,$A878&lt;W$6),AND(W$7&gt;0,$A878&gt;W$7)),0,MAX(0,ROUND((INDEX($E878:$G878,W$5)-SUMIFS(TF_Timer,TF_Tekniker,W$4,TF_Dato,$A878))*2,0)/2)))</f>
        <v/>
      </c>
      <c r="X878">
        <f>IF(OR(X$4="",$A878&gt;TODAY()),0,IF(OR(INDEX($B878:$D878,X$5)="F",AND(X$6&gt;0,$A878&lt;X$6),AND(X$7&gt;0,$A878&gt;X$7)),0,MAX(0,ROUND((INDEX($E878:$G878,X$5)-SUMIFS(TF_Timer,TF_Tekniker,X$4,TF_Dato,$A878))*2,0)/2)))</f>
        <v/>
      </c>
      <c r="Y878">
        <f>IF(OR(Y$4="",$A878&gt;TODAY()),0,IF(OR(INDEX($B878:$D878,Y$5)="F",AND(Y$6&gt;0,$A878&lt;Y$6),AND(Y$7&gt;0,$A878&gt;Y$7)),0,MAX(0,ROUND((INDEX($E878:$G878,Y$5)-SUMIFS(TF_Timer,TF_Tekniker,Y$4,TF_Dato,$A878))*2,0)/2)))</f>
        <v/>
      </c>
      <c r="Z878">
        <f>IF(OR(Z$4="",$A878&gt;TODAY()),0,IF(OR(INDEX($B878:$D878,Z$5)="F",AND(Z$6&gt;0,$A878&lt;Z$6),AND(Z$7&gt;0,$A878&gt;Z$7)),0,MAX(0,ROUND((INDEX($E878:$G878,Z$5)-SUMIFS(TF_Timer,TF_Tekniker,Z$4,TF_Dato,$A878))*2,0)/2)))</f>
        <v/>
      </c>
      <c r="AA878">
        <f>IF(OR(AA$4="",$A878&gt;TODAY()),0,IF(OR(INDEX($B878:$D878,AA$5)="F",AND(AA$6&gt;0,$A878&lt;AA$6),AND(AA$7&gt;0,$A878&gt;AA$7)),0,MAX(0,ROUND((INDEX($E878:$G878,AA$5)-SUMIFS(TF_Timer,TF_Tekniker,AA$4,TF_Dato,$A878))*2,0)/2)))</f>
        <v/>
      </c>
      <c r="AB878">
        <f>IF(OR(AB$4="",$A878&gt;TODAY()),0,IF(OR(INDEX($B878:$D878,AB$5)="F",AND(AB$6&gt;0,$A878&lt;AB$6),AND(AB$7&gt;0,$A878&gt;AB$7)),0,MAX(0,ROUND((INDEX($E878:$G878,AB$5)-SUMIFS(TF_Timer,TF_Tekniker,AB$4,TF_Dato,$A878))*2,0)/2)))</f>
        <v/>
      </c>
      <c r="AC878">
        <f>IF(OR(AC$4="",$A878&gt;TODAY()),0,IF(OR(INDEX($B878:$D878,AC$5)="F",AND(AC$6&gt;0,$A878&lt;AC$6),AND(AC$7&gt;0,$A878&gt;AC$7)),0,MAX(0,ROUND((INDEX($E878:$G878,AC$5)-SUMIFS(TF_Timer,TF_Tekniker,AC$4,TF_Dato,$A878))*2,0)/2)))</f>
        <v/>
      </c>
      <c r="AD878">
        <f>IF(OR(AD$4="",$A878&gt;TODAY()),0,IF(OR(INDEX($B878:$D878,AD$5)="F",AND(AD$6&gt;0,$A878&lt;AD$6),AND(AD$7&gt;0,$A878&gt;AD$7)),0,MAX(0,ROUND((INDEX($E878:$G878,AD$5)-SUMIFS(TF_Timer,TF_Tekniker,AD$4,TF_Dato,$A878))*2,0)/2)))</f>
        <v/>
      </c>
      <c r="AE878">
        <f>IF(OR(AE$4="",$A878&gt;TODAY()),0,IF(OR(INDEX($B878:$D878,AE$5)="F",AND(AE$6&gt;0,$A878&lt;AE$6),AND(AE$7&gt;0,$A878&gt;AE$7)),0,MAX(0,ROUND((INDEX($E878:$G878,AE$5)-SUMIFS(TF_Timer,TF_Tekniker,AE$4,TF_Dato,$A878))*2,0)/2)))</f>
        <v/>
      </c>
      <c r="AF878">
        <f>IF(OR(AF$4="",$A878&gt;TODAY()),0,IF(OR(INDEX($B878:$D878,AF$5)="F",AND(AF$6&gt;0,$A878&lt;AF$6),AND(AF$7&gt;0,$A878&gt;AF$7)),0,MAX(0,ROUND((INDEX($E878:$G878,AF$5)-SUMIFS(TF_Timer,TF_Tekniker,AF$4,TF_Dato,$A878))*2,0)/2)))</f>
        <v/>
      </c>
      <c r="AG878">
        <f>IF(OR(AG$4="",$A878&gt;TODAY()),0,IF(OR(INDEX($B878:$D878,AG$5)="F",AND(AG$6&gt;0,$A878&lt;AG$6),AND(AG$7&gt;0,$A878&gt;AG$7)),0,MAX(0,ROUND((INDEX($E878:$G878,AG$5)-SUMIFS(TF_Timer,TF_Tekniker,AG$4,TF_Dato,$A878))*2,0)/2)))</f>
        <v/>
      </c>
      <c r="AH878">
        <f>IF(OR(AH$4="",$A878&gt;TODAY()),0,IF(OR(INDEX($B878:$D878,AH$5)="F",AND(AH$6&gt;0,$A878&lt;AH$6),AND(AH$7&gt;0,$A878&gt;AH$7)),0,MAX(0,ROUND((INDEX($E878:$G878,AH$5)-SUMIFS(TF_Timer,TF_Tekniker,AH$4,TF_Dato,$A878))*2,0)/2)))</f>
        <v/>
      </c>
      <c r="AI878">
        <f>IF(OR(AI$4="",$A878&gt;TODAY()),0,IF(OR(INDEX($B878:$D878,AI$5)="F",AND(AI$6&gt;0,$A878&lt;AI$6),AND(AI$7&gt;0,$A878&gt;AI$7)),0,MAX(0,ROUND((INDEX($E878:$G878,AI$5)-SUMIFS(TF_Timer,TF_Tekniker,AI$4,TF_Dato,$A878))*2,0)/2)))</f>
        <v/>
      </c>
      <c r="AJ878">
        <f>IF(OR(AJ$4="",$A878&gt;TODAY()),0,IF(OR(INDEX($B878:$D878,AJ$5)="F",AND(AJ$6&gt;0,$A878&lt;AJ$6),AND(AJ$7&gt;0,$A878&gt;AJ$7)),0,MAX(0,ROUND((INDEX($E878:$G878,AJ$5)-SUMIFS(TF_Timer,TF_Tekniker,AJ$4,TF_Dato,$A878))*2,0)/2)))</f>
        <v/>
      </c>
      <c r="AK878">
        <f>IF(OR(AK$4="",$A878&gt;TODAY()),0,IF(OR(INDEX($B878:$D878,AK$5)="F",AND(AK$6&gt;0,$A878&lt;AK$6),AND(AK$7&gt;0,$A878&gt;AK$7)),0,MAX(0,ROUND((INDEX($E878:$G878,AK$5)-SUMIFS(TF_Timer,TF_Tekniker,AK$4,TF_Dato,$A878))*2,0)/2)))</f>
        <v/>
      </c>
      <c r="AL878">
        <f>IF(OR(AL$4="",$A878&gt;TODAY()),0,IF(OR(INDEX($B878:$D878,AL$5)="F",AND(AL$6&gt;0,$A878&lt;AL$6),AND(AL$7&gt;0,$A878&gt;AL$7)),0,MAX(0,ROUND((INDEX($E878:$G878,AL$5)-SUMIFS(TF_Timer,TF_Tekniker,AL$4,TF_Dato,$A878))*2,0)/2)))</f>
        <v/>
      </c>
      <c r="AM878">
        <f>IF(OR(AM$4="",$A878&gt;TODAY()),0,IF(OR(INDEX($B878:$D878,AM$5)="F",AND(AM$6&gt;0,$A878&lt;AM$6),AND(AM$7&gt;0,$A878&gt;AM$7)),0,MAX(0,ROUND((INDEX($E878:$G878,AM$5)-SUMIFS(TF_Timer,TF_Tekniker,AM$4,TF_Dato,$A878))*2,0)/2)))</f>
        <v/>
      </c>
      <c r="AN878">
        <f>IF(OR(AN$4="",$A878&gt;TODAY()),0,IF(OR(INDEX($B878:$D878,AN$5)="F",AND(AN$6&gt;0,$A878&lt;AN$6),AND(AN$7&gt;0,$A878&gt;AN$7)),0,MAX(0,ROUND((INDEX($E878:$G878,AN$5)-SUMIFS(TF_Timer,TF_Tekniker,AN$4,TF_Dato,$A878))*2,0)/2)))</f>
        <v/>
      </c>
      <c r="AO878">
        <f>IF(OR(AO$4="",$A878&gt;TODAY()),0,IF(OR(INDEX($B878:$D878,AO$5)="F",AND(AO$6&gt;0,$A878&lt;AO$6),AND(AO$7&gt;0,$A878&gt;AO$7)),0,MAX(0,ROUND((INDEX($E878:$G878,AO$5)-SUMIFS(TF_Timer,TF_Tekniker,AO$4,TF_Dato,$A878))*2,0)/2)))</f>
        <v/>
      </c>
      <c r="AP878">
        <f>IF(OR(AP$4="",$A878&gt;TODAY()),0,IF(OR(INDEX($B878:$D878,AP$5)="F",AND(AP$6&gt;0,$A878&lt;AP$6),AND(AP$7&gt;0,$A878&gt;AP$7)),0,MAX(0,ROUND((INDEX($E878:$G878,AP$5)-SUMIFS(TF_Timer,TF_Tekniker,AP$4,TF_Dato,$A878))*2,0)/2)))</f>
        <v/>
      </c>
      <c r="AQ878">
        <f>IF(OR(AQ$4="",$A878&gt;TODAY()),0,IF(OR(INDEX($B878:$D878,AQ$5)="F",AND(AQ$6&gt;0,$A878&lt;AQ$6),AND(AQ$7&gt;0,$A878&gt;AQ$7)),0,MAX(0,ROUND((INDEX($E878:$G878,AQ$5)-SUMIFS(TF_Timer,TF_Tekniker,AQ$4,TF_Dato,$A878))*2,0)/2)))</f>
        <v/>
      </c>
      <c r="AR878">
        <f>IF(OR(AR$4="",$A878&gt;TODAY()),0,IF(OR(INDEX($B878:$D878,AR$5)="F",AND(AR$6&gt;0,$A878&lt;AR$6),AND(AR$7&gt;0,$A878&gt;AR$7)),0,MAX(0,ROUND((INDEX($E878:$G878,AR$5)-SUMIFS(TF_Timer,TF_Tekniker,AR$4,TF_Dato,$A878))*2,0)/2)))</f>
        <v/>
      </c>
      <c r="AS878">
        <f>IF(OR(AS$4="",$A878&gt;TODAY()),0,IF(OR(INDEX($B878:$D878,AS$5)="F",AND(AS$6&gt;0,$A878&lt;AS$6),AND(AS$7&gt;0,$A878&gt;AS$7)),0,MAX(0,ROUND((INDEX($E878:$G878,AS$5)-SUMIFS(TF_Timer,TF_Tekniker,AS$4,TF_Dato,$A878))*2,0)/2)))</f>
        <v/>
      </c>
      <c r="AT878">
        <f>IF(OR(AT$4="",$A878&gt;TODAY()),0,IF(OR(INDEX($B878:$D878,AT$5)="F",AND(AT$6&gt;0,$A878&lt;AT$6),AND(AT$7&gt;0,$A878&gt;AT$7)),0,MAX(0,ROUND((INDEX($E878:$G878,AT$5)-SUMIFS(TF_Timer,TF_Tekniker,AT$4,TF_Dato,$A878))*2,0)/2)))</f>
        <v/>
      </c>
      <c r="AU878">
        <f>IF(OR(AU$4="",$A878&gt;TODAY()),0,IF(OR(INDEX($B878:$D878,AU$5)="F",AND(AU$6&gt;0,$A878&lt;AU$6),AND(AU$7&gt;0,$A878&gt;AU$7)),0,MAX(0,ROUND((INDEX($E878:$G878,AU$5)-SUMIFS(TF_Timer,TF_Tekniker,AU$4,TF_Dato,$A878))*2,0)/2)))</f>
        <v/>
      </c>
      <c r="AV878">
        <f>IF(OR(AV$4="",$A878&gt;TODAY()),0,IF(OR(INDEX($B878:$D878,AV$5)="F",AND(AV$6&gt;0,$A878&lt;AV$6),AND(AV$7&gt;0,$A878&gt;AV$7)),0,MAX(0,ROUND((INDEX($E878:$G878,AV$5)-SUMIFS(TF_Timer,TF_Tekniker,AV$4,TF_Dato,$A878))*2,0)/2)))</f>
        <v/>
      </c>
      <c r="AW878">
        <f>IF(OR(AW$4="",$A878&gt;TODAY()),0,IF(OR(INDEX($B878:$D878,AW$5)="F",AND(AW$6&gt;0,$A878&lt;AW$6),AND(AW$7&gt;0,$A878&gt;AW$7)),0,MAX(0,ROUND((INDEX($E878:$G878,AW$5)-SUMIFS(TF_Timer,TF_Tekniker,AW$4,TF_Dato,$A878))*2,0)/2)))</f>
        <v/>
      </c>
      <c r="AX878">
        <f>IF(OR(AX$4="",$A878&gt;TODAY()),0,IF(OR(INDEX($B878:$D878,AX$5)="F",AND(AX$6&gt;0,$A878&lt;AX$6),AND(AX$7&gt;0,$A878&gt;AX$7)),0,MAX(0,ROUND((INDEX($E878:$G878,AX$5)-SUMIFS(TF_Timer,TF_Tekniker,AX$4,TF_Dato,$A878))*2,0)/2)))</f>
        <v/>
      </c>
      <c r="AY878">
        <f>IF(OR(AY$4="",$A878&gt;TODAY()),0,IF(OR(INDEX($B878:$D878,AY$5)="F",AND(AY$6&gt;0,$A878&lt;AY$6),AND(AY$7&gt;0,$A878&gt;AY$7)),0,MAX(0,ROUND((INDEX($E878:$G878,AY$5)-SUMIFS(TF_Timer,TF_Tekniker,AY$4,TF_Dato,$A878))*2,0)/2)))</f>
        <v/>
      </c>
      <c r="AZ878">
        <f>IF(OR(AZ$4="",$A878&gt;TODAY()),0,IF(OR(INDEX($B878:$D878,AZ$5)="F",AND(AZ$6&gt;0,$A878&lt;AZ$6),AND(AZ$7&gt;0,$A878&gt;AZ$7)),0,MAX(0,ROUND((INDEX($E878:$G878,AZ$5)-SUMIFS(TF_Timer,TF_Tekniker,AZ$4,TF_Dato,$A878))*2,0)/2)))</f>
        <v/>
      </c>
      <c r="BA878">
        <f>IF(OR(BA$4="",$A878&gt;TODAY()),0,IF(OR(INDEX($B878:$D878,BA$5)="F",AND(BA$6&gt;0,$A878&lt;BA$6),AND(BA$7&gt;0,$A878&gt;BA$7)),0,MAX(0,ROUND((INDEX($E878:$G878,BA$5)-SUMIFS(TF_Timer,TF_Tekniker,BA$4,TF_Dato,$A878))*2,0)/2)))</f>
        <v/>
      </c>
      <c r="BB878">
        <f>IF(OR(BB$4="",$A878&gt;TODAY()),0,IF(OR(INDEX($B878:$D878,BB$5)="F",AND(BB$6&gt;0,$A878&lt;BB$6),AND(BB$7&gt;0,$A878&gt;BB$7)),0,MAX(0,ROUND((INDEX($E878:$G878,BB$5)-SUMIFS(TF_Timer,TF_Tekniker,BB$4,TF_Dato,$A878))*2,0)/2)))</f>
        <v/>
      </c>
      <c r="BC878">
        <f>IF(OR(BC$4="",$A878&gt;TODAY()),0,IF(OR(INDEX($B878:$D878,BC$5)="F",AND(BC$6&gt;0,$A878&lt;BC$6),AND(BC$7&gt;0,$A878&gt;BC$7)),0,MAX(0,ROUND((INDEX($E878:$G878,BC$5)-SUMIFS(TF_Timer,TF_Tekniker,BC$4,TF_Dato,$A878))*2,0)/2)))</f>
        <v/>
      </c>
      <c r="BD878">
        <f>IF(OR(BD$4="",$A878&gt;TODAY()),0,IF(OR(INDEX($B878:$D878,BD$5)="F",AND(BD$6&gt;0,$A878&lt;BD$6),AND(BD$7&gt;0,$A878&gt;BD$7)),0,MAX(0,ROUND((INDEX($E878:$G878,BD$5)-SUMIFS(TF_Timer,TF_Tekniker,BD$4,TF_Dato,$A878))*2,0)/2)))</f>
        <v/>
      </c>
      <c r="BE878">
        <f>IF(OR(BE$4="",$A878&gt;TODAY()),0,IF(OR(INDEX($B878:$D878,BE$5)="F",AND(BE$6&gt;0,$A878&lt;BE$6),AND(BE$7&gt;0,$A878&gt;BE$7)),0,MAX(0,ROUND((INDEX($E878:$G878,BE$5)-SUMIFS(TF_Timer,TF_Tekniker,BE$4,TF_Dato,$A878))*2,0)/2)))</f>
        <v/>
      </c>
      <c r="BF878">
        <f>IF(OR(BF$4="",$A878&gt;TODAY()),0,IF(OR(INDEX($B878:$D878,BF$5)="F",AND(BF$6&gt;0,$A878&lt;BF$6),AND(BF$7&gt;0,$A878&gt;BF$7)),0,MAX(0,ROUND((INDEX($E878:$G878,BF$5)-SUMIFS(TF_Timer,TF_Tekniker,BF$4,TF_Dato,$A878))*2,0)/2)))</f>
        <v/>
      </c>
      <c r="BG878">
        <f>IF(OR(BG$4="",$A878&gt;TODAY()),0,IF(OR(INDEX($B878:$D878,BG$5)="F",AND(BG$6&gt;0,$A878&lt;BG$6),AND(BG$7&gt;0,$A878&gt;BG$7)),0,MAX(0,ROUND((INDEX($E878:$G878,BG$5)-SUMIFS(TF_Timer,TF_Tekniker,BG$4,TF_Dato,$A878))*2,0)/2)))</f>
        <v/>
      </c>
      <c r="BH878">
        <f>IF(OR(BH$4="",$A878&gt;TODAY()),0,IF(OR(INDEX($B878:$D878,BH$5)="F",AND(BH$6&gt;0,$A878&lt;BH$6),AND(BH$7&gt;0,$A878&gt;BH$7)),0,MAX(0,ROUND((INDEX($E878:$G878,BH$5)-SUMIFS(TF_Timer,TF_Tekniker,BH$4,TF_Dato,$A878))*2,0)/2)))</f>
        <v/>
      </c>
      <c r="BI878">
        <f>IF(OR(BI$4="",$A878&gt;TODAY()),0,IF(OR(INDEX($B878:$D878,BI$5)="F",AND(BI$6&gt;0,$A878&lt;BI$6),AND(BI$7&gt;0,$A878&gt;BI$7)),0,MAX(0,ROUND((INDEX($E878:$G878,BI$5)-SUMIFS(TF_Timer,TF_Tekniker,BI$4,TF_Dato,$A878))*2,0)/2)))</f>
        <v/>
      </c>
    </row>
    <row r="879">
      <c r="A879" s="64">
        <f>A878+1</f>
        <v/>
      </c>
      <c r="B879">
        <f>IF(MOD($A879-INDEX(SkiftStart,1),Syklus)&lt;DagK,"K",IF(MOD($A879-INDEX(SkiftStart,1),Syklus)&lt;DagK+DagH,"H",IF(MOD($A879-INDEX(SkiftStart,1),Syklus)&lt;DagK+DagH+DagD,"D","F")))</f>
        <v/>
      </c>
      <c r="C879">
        <f>IF(MOD($A879-INDEX(SkiftStart,2),Syklus)&lt;DagK,"K",IF(MOD($A879-INDEX(SkiftStart,2),Syklus)&lt;DagK+DagH,"H",IF(MOD($A879-INDEX(SkiftStart,2),Syklus)&lt;DagK+DagH+DagD,"D","F")))</f>
        <v/>
      </c>
      <c r="D879">
        <f>IF(MOD($A879-INDEX(SkiftStart,3),Syklus)&lt;DagK,"K",IF(MOD($A879-INDEX(SkiftStart,3),Syklus)&lt;DagK+DagH,"H",IF(MOD($A879-INDEX(SkiftStart,3),Syklus)&lt;DagK+DagH+DagD,"D","F")))</f>
        <v/>
      </c>
      <c r="E879">
        <f>IF(B879="F",0,IF(WEEKDAY($A879,2)=5,INDEX(TimerFr,MATCH(B879,FaseKode,0)),INDEX(TimerMT,MATCH(B879,FaseKode,0))))</f>
        <v/>
      </c>
      <c r="F879">
        <f>IF(C879="F",0,IF(WEEKDAY($A879,2)=5,INDEX(TimerFr,MATCH(C879,FaseKode,0)),INDEX(TimerMT,MATCH(C879,FaseKode,0))))</f>
        <v/>
      </c>
      <c r="G879">
        <f>IF(D879="F",0,IF(WEEKDAY($A879,2)=5,INDEX(TimerFr,MATCH(D879,FaseKode,0)),INDEX(TimerMT,MATCH(D879,FaseKode,0))))</f>
        <v/>
      </c>
      <c r="H879">
        <f>IF(OR(H$4="",$A879&gt;TODAY()),0,IF(OR(INDEX($B879:$D879,H$5)="F",AND(H$6&gt;0,$A879&lt;H$6),AND(H$7&gt;0,$A879&gt;H$7)),0,MAX(0,ROUND((INDEX($E879:$G879,H$5)-SUMIFS(TF_Timer,TF_Tekniker,H$4,TF_Dato,$A879))*2,0)/2)))</f>
        <v/>
      </c>
      <c r="I879">
        <f>IF(OR(I$4="",$A879&gt;TODAY()),0,IF(OR(INDEX($B879:$D879,I$5)="F",AND(I$6&gt;0,$A879&lt;I$6),AND(I$7&gt;0,$A879&gt;I$7)),0,MAX(0,ROUND((INDEX($E879:$G879,I$5)-SUMIFS(TF_Timer,TF_Tekniker,I$4,TF_Dato,$A879))*2,0)/2)))</f>
        <v/>
      </c>
      <c r="J879">
        <f>IF(OR(J$4="",$A879&gt;TODAY()),0,IF(OR(INDEX($B879:$D879,J$5)="F",AND(J$6&gt;0,$A879&lt;J$6),AND(J$7&gt;0,$A879&gt;J$7)),0,MAX(0,ROUND((INDEX($E879:$G879,J$5)-SUMIFS(TF_Timer,TF_Tekniker,J$4,TF_Dato,$A879))*2,0)/2)))</f>
        <v/>
      </c>
      <c r="K879">
        <f>IF(OR(K$4="",$A879&gt;TODAY()),0,IF(OR(INDEX($B879:$D879,K$5)="F",AND(K$6&gt;0,$A879&lt;K$6),AND(K$7&gt;0,$A879&gt;K$7)),0,MAX(0,ROUND((INDEX($E879:$G879,K$5)-SUMIFS(TF_Timer,TF_Tekniker,K$4,TF_Dato,$A879))*2,0)/2)))</f>
        <v/>
      </c>
      <c r="L879">
        <f>IF(OR(L$4="",$A879&gt;TODAY()),0,IF(OR(INDEX($B879:$D879,L$5)="F",AND(L$6&gt;0,$A879&lt;L$6),AND(L$7&gt;0,$A879&gt;L$7)),0,MAX(0,ROUND((INDEX($E879:$G879,L$5)-SUMIFS(TF_Timer,TF_Tekniker,L$4,TF_Dato,$A879))*2,0)/2)))</f>
        <v/>
      </c>
      <c r="M879">
        <f>IF(OR(M$4="",$A879&gt;TODAY()),0,IF(OR(INDEX($B879:$D879,M$5)="F",AND(M$6&gt;0,$A879&lt;M$6),AND(M$7&gt;0,$A879&gt;M$7)),0,MAX(0,ROUND((INDEX($E879:$G879,M$5)-SUMIFS(TF_Timer,TF_Tekniker,M$4,TF_Dato,$A879))*2,0)/2)))</f>
        <v/>
      </c>
      <c r="N879">
        <f>IF(OR(N$4="",$A879&gt;TODAY()),0,IF(OR(INDEX($B879:$D879,N$5)="F",AND(N$6&gt;0,$A879&lt;N$6),AND(N$7&gt;0,$A879&gt;N$7)),0,MAX(0,ROUND((INDEX($E879:$G879,N$5)-SUMIFS(TF_Timer,TF_Tekniker,N$4,TF_Dato,$A879))*2,0)/2)))</f>
        <v/>
      </c>
      <c r="O879">
        <f>IF(OR(O$4="",$A879&gt;TODAY()),0,IF(OR(INDEX($B879:$D879,O$5)="F",AND(O$6&gt;0,$A879&lt;O$6),AND(O$7&gt;0,$A879&gt;O$7)),0,MAX(0,ROUND((INDEX($E879:$G879,O$5)-SUMIFS(TF_Timer,TF_Tekniker,O$4,TF_Dato,$A879))*2,0)/2)))</f>
        <v/>
      </c>
      <c r="P879">
        <f>IF(OR(P$4="",$A879&gt;TODAY()),0,IF(OR(INDEX($B879:$D879,P$5)="F",AND(P$6&gt;0,$A879&lt;P$6),AND(P$7&gt;0,$A879&gt;P$7)),0,MAX(0,ROUND((INDEX($E879:$G879,P$5)-SUMIFS(TF_Timer,TF_Tekniker,P$4,TF_Dato,$A879))*2,0)/2)))</f>
        <v/>
      </c>
      <c r="Q879">
        <f>IF(OR(Q$4="",$A879&gt;TODAY()),0,IF(OR(INDEX($B879:$D879,Q$5)="F",AND(Q$6&gt;0,$A879&lt;Q$6),AND(Q$7&gt;0,$A879&gt;Q$7)),0,MAX(0,ROUND((INDEX($E879:$G879,Q$5)-SUMIFS(TF_Timer,TF_Tekniker,Q$4,TF_Dato,$A879))*2,0)/2)))</f>
        <v/>
      </c>
      <c r="R879">
        <f>IF(OR(R$4="",$A879&gt;TODAY()),0,IF(OR(INDEX($B879:$D879,R$5)="F",AND(R$6&gt;0,$A879&lt;R$6),AND(R$7&gt;0,$A879&gt;R$7)),0,MAX(0,ROUND((INDEX($E879:$G879,R$5)-SUMIFS(TF_Timer,TF_Tekniker,R$4,TF_Dato,$A879))*2,0)/2)))</f>
        <v/>
      </c>
      <c r="S879">
        <f>IF(OR(S$4="",$A879&gt;TODAY()),0,IF(OR(INDEX($B879:$D879,S$5)="F",AND(S$6&gt;0,$A879&lt;S$6),AND(S$7&gt;0,$A879&gt;S$7)),0,MAX(0,ROUND((INDEX($E879:$G879,S$5)-SUMIFS(TF_Timer,TF_Tekniker,S$4,TF_Dato,$A879))*2,0)/2)))</f>
        <v/>
      </c>
      <c r="T879">
        <f>IF(OR(T$4="",$A879&gt;TODAY()),0,IF(OR(INDEX($B879:$D879,T$5)="F",AND(T$6&gt;0,$A879&lt;T$6),AND(T$7&gt;0,$A879&gt;T$7)),0,MAX(0,ROUND((INDEX($E879:$G879,T$5)-SUMIFS(TF_Timer,TF_Tekniker,T$4,TF_Dato,$A879))*2,0)/2)))</f>
        <v/>
      </c>
      <c r="U879">
        <f>IF(OR(U$4="",$A879&gt;TODAY()),0,IF(OR(INDEX($B879:$D879,U$5)="F",AND(U$6&gt;0,$A879&lt;U$6),AND(U$7&gt;0,$A879&gt;U$7)),0,MAX(0,ROUND((INDEX($E879:$G879,U$5)-SUMIFS(TF_Timer,TF_Tekniker,U$4,TF_Dato,$A879))*2,0)/2)))</f>
        <v/>
      </c>
      <c r="V879">
        <f>IF(OR(V$4="",$A879&gt;TODAY()),0,IF(OR(INDEX($B879:$D879,V$5)="F",AND(V$6&gt;0,$A879&lt;V$6),AND(V$7&gt;0,$A879&gt;V$7)),0,MAX(0,ROUND((INDEX($E879:$G879,V$5)-SUMIFS(TF_Timer,TF_Tekniker,V$4,TF_Dato,$A879))*2,0)/2)))</f>
        <v/>
      </c>
      <c r="W879">
        <f>IF(OR(W$4="",$A879&gt;TODAY()),0,IF(OR(INDEX($B879:$D879,W$5)="F",AND(W$6&gt;0,$A879&lt;W$6),AND(W$7&gt;0,$A879&gt;W$7)),0,MAX(0,ROUND((INDEX($E879:$G879,W$5)-SUMIFS(TF_Timer,TF_Tekniker,W$4,TF_Dato,$A879))*2,0)/2)))</f>
        <v/>
      </c>
      <c r="X879">
        <f>IF(OR(X$4="",$A879&gt;TODAY()),0,IF(OR(INDEX($B879:$D879,X$5)="F",AND(X$6&gt;0,$A879&lt;X$6),AND(X$7&gt;0,$A879&gt;X$7)),0,MAX(0,ROUND((INDEX($E879:$G879,X$5)-SUMIFS(TF_Timer,TF_Tekniker,X$4,TF_Dato,$A879))*2,0)/2)))</f>
        <v/>
      </c>
      <c r="Y879">
        <f>IF(OR(Y$4="",$A879&gt;TODAY()),0,IF(OR(INDEX($B879:$D879,Y$5)="F",AND(Y$6&gt;0,$A879&lt;Y$6),AND(Y$7&gt;0,$A879&gt;Y$7)),0,MAX(0,ROUND((INDEX($E879:$G879,Y$5)-SUMIFS(TF_Timer,TF_Tekniker,Y$4,TF_Dato,$A879))*2,0)/2)))</f>
        <v/>
      </c>
      <c r="Z879">
        <f>IF(OR(Z$4="",$A879&gt;TODAY()),0,IF(OR(INDEX($B879:$D879,Z$5)="F",AND(Z$6&gt;0,$A879&lt;Z$6),AND(Z$7&gt;0,$A879&gt;Z$7)),0,MAX(0,ROUND((INDEX($E879:$G879,Z$5)-SUMIFS(TF_Timer,TF_Tekniker,Z$4,TF_Dato,$A879))*2,0)/2)))</f>
        <v/>
      </c>
      <c r="AA879">
        <f>IF(OR(AA$4="",$A879&gt;TODAY()),0,IF(OR(INDEX($B879:$D879,AA$5)="F",AND(AA$6&gt;0,$A879&lt;AA$6),AND(AA$7&gt;0,$A879&gt;AA$7)),0,MAX(0,ROUND((INDEX($E879:$G879,AA$5)-SUMIFS(TF_Timer,TF_Tekniker,AA$4,TF_Dato,$A879))*2,0)/2)))</f>
        <v/>
      </c>
      <c r="AB879">
        <f>IF(OR(AB$4="",$A879&gt;TODAY()),0,IF(OR(INDEX($B879:$D879,AB$5)="F",AND(AB$6&gt;0,$A879&lt;AB$6),AND(AB$7&gt;0,$A879&gt;AB$7)),0,MAX(0,ROUND((INDEX($E879:$G879,AB$5)-SUMIFS(TF_Timer,TF_Tekniker,AB$4,TF_Dato,$A879))*2,0)/2)))</f>
        <v/>
      </c>
      <c r="AC879">
        <f>IF(OR(AC$4="",$A879&gt;TODAY()),0,IF(OR(INDEX($B879:$D879,AC$5)="F",AND(AC$6&gt;0,$A879&lt;AC$6),AND(AC$7&gt;0,$A879&gt;AC$7)),0,MAX(0,ROUND((INDEX($E879:$G879,AC$5)-SUMIFS(TF_Timer,TF_Tekniker,AC$4,TF_Dato,$A879))*2,0)/2)))</f>
        <v/>
      </c>
      <c r="AD879">
        <f>IF(OR(AD$4="",$A879&gt;TODAY()),0,IF(OR(INDEX($B879:$D879,AD$5)="F",AND(AD$6&gt;0,$A879&lt;AD$6),AND(AD$7&gt;0,$A879&gt;AD$7)),0,MAX(0,ROUND((INDEX($E879:$G879,AD$5)-SUMIFS(TF_Timer,TF_Tekniker,AD$4,TF_Dato,$A879))*2,0)/2)))</f>
        <v/>
      </c>
      <c r="AE879">
        <f>IF(OR(AE$4="",$A879&gt;TODAY()),0,IF(OR(INDEX($B879:$D879,AE$5)="F",AND(AE$6&gt;0,$A879&lt;AE$6),AND(AE$7&gt;0,$A879&gt;AE$7)),0,MAX(0,ROUND((INDEX($E879:$G879,AE$5)-SUMIFS(TF_Timer,TF_Tekniker,AE$4,TF_Dato,$A879))*2,0)/2)))</f>
        <v/>
      </c>
      <c r="AF879">
        <f>IF(OR(AF$4="",$A879&gt;TODAY()),0,IF(OR(INDEX($B879:$D879,AF$5)="F",AND(AF$6&gt;0,$A879&lt;AF$6),AND(AF$7&gt;0,$A879&gt;AF$7)),0,MAX(0,ROUND((INDEX($E879:$G879,AF$5)-SUMIFS(TF_Timer,TF_Tekniker,AF$4,TF_Dato,$A879))*2,0)/2)))</f>
        <v/>
      </c>
      <c r="AG879">
        <f>IF(OR(AG$4="",$A879&gt;TODAY()),0,IF(OR(INDEX($B879:$D879,AG$5)="F",AND(AG$6&gt;0,$A879&lt;AG$6),AND(AG$7&gt;0,$A879&gt;AG$7)),0,MAX(0,ROUND((INDEX($E879:$G879,AG$5)-SUMIFS(TF_Timer,TF_Tekniker,AG$4,TF_Dato,$A879))*2,0)/2)))</f>
        <v/>
      </c>
      <c r="AH879">
        <f>IF(OR(AH$4="",$A879&gt;TODAY()),0,IF(OR(INDEX($B879:$D879,AH$5)="F",AND(AH$6&gt;0,$A879&lt;AH$6),AND(AH$7&gt;0,$A879&gt;AH$7)),0,MAX(0,ROUND((INDEX($E879:$G879,AH$5)-SUMIFS(TF_Timer,TF_Tekniker,AH$4,TF_Dato,$A879))*2,0)/2)))</f>
        <v/>
      </c>
      <c r="AI879">
        <f>IF(OR(AI$4="",$A879&gt;TODAY()),0,IF(OR(INDEX($B879:$D879,AI$5)="F",AND(AI$6&gt;0,$A879&lt;AI$6),AND(AI$7&gt;0,$A879&gt;AI$7)),0,MAX(0,ROUND((INDEX($E879:$G879,AI$5)-SUMIFS(TF_Timer,TF_Tekniker,AI$4,TF_Dato,$A879))*2,0)/2)))</f>
        <v/>
      </c>
      <c r="AJ879">
        <f>IF(OR(AJ$4="",$A879&gt;TODAY()),0,IF(OR(INDEX($B879:$D879,AJ$5)="F",AND(AJ$6&gt;0,$A879&lt;AJ$6),AND(AJ$7&gt;0,$A879&gt;AJ$7)),0,MAX(0,ROUND((INDEX($E879:$G879,AJ$5)-SUMIFS(TF_Timer,TF_Tekniker,AJ$4,TF_Dato,$A879))*2,0)/2)))</f>
        <v/>
      </c>
      <c r="AK879">
        <f>IF(OR(AK$4="",$A879&gt;TODAY()),0,IF(OR(INDEX($B879:$D879,AK$5)="F",AND(AK$6&gt;0,$A879&lt;AK$6),AND(AK$7&gt;0,$A879&gt;AK$7)),0,MAX(0,ROUND((INDEX($E879:$G879,AK$5)-SUMIFS(TF_Timer,TF_Tekniker,AK$4,TF_Dato,$A879))*2,0)/2)))</f>
        <v/>
      </c>
      <c r="AL879">
        <f>IF(OR(AL$4="",$A879&gt;TODAY()),0,IF(OR(INDEX($B879:$D879,AL$5)="F",AND(AL$6&gt;0,$A879&lt;AL$6),AND(AL$7&gt;0,$A879&gt;AL$7)),0,MAX(0,ROUND((INDEX($E879:$G879,AL$5)-SUMIFS(TF_Timer,TF_Tekniker,AL$4,TF_Dato,$A879))*2,0)/2)))</f>
        <v/>
      </c>
      <c r="AM879">
        <f>IF(OR(AM$4="",$A879&gt;TODAY()),0,IF(OR(INDEX($B879:$D879,AM$5)="F",AND(AM$6&gt;0,$A879&lt;AM$6),AND(AM$7&gt;0,$A879&gt;AM$7)),0,MAX(0,ROUND((INDEX($E879:$G879,AM$5)-SUMIFS(TF_Timer,TF_Tekniker,AM$4,TF_Dato,$A879))*2,0)/2)))</f>
        <v/>
      </c>
      <c r="AN879">
        <f>IF(OR(AN$4="",$A879&gt;TODAY()),0,IF(OR(INDEX($B879:$D879,AN$5)="F",AND(AN$6&gt;0,$A879&lt;AN$6),AND(AN$7&gt;0,$A879&gt;AN$7)),0,MAX(0,ROUND((INDEX($E879:$G879,AN$5)-SUMIFS(TF_Timer,TF_Tekniker,AN$4,TF_Dato,$A879))*2,0)/2)))</f>
        <v/>
      </c>
      <c r="AO879">
        <f>IF(OR(AO$4="",$A879&gt;TODAY()),0,IF(OR(INDEX($B879:$D879,AO$5)="F",AND(AO$6&gt;0,$A879&lt;AO$6),AND(AO$7&gt;0,$A879&gt;AO$7)),0,MAX(0,ROUND((INDEX($E879:$G879,AO$5)-SUMIFS(TF_Timer,TF_Tekniker,AO$4,TF_Dato,$A879))*2,0)/2)))</f>
        <v/>
      </c>
      <c r="AP879">
        <f>IF(OR(AP$4="",$A879&gt;TODAY()),0,IF(OR(INDEX($B879:$D879,AP$5)="F",AND(AP$6&gt;0,$A879&lt;AP$6),AND(AP$7&gt;0,$A879&gt;AP$7)),0,MAX(0,ROUND((INDEX($E879:$G879,AP$5)-SUMIFS(TF_Timer,TF_Tekniker,AP$4,TF_Dato,$A879))*2,0)/2)))</f>
        <v/>
      </c>
      <c r="AQ879">
        <f>IF(OR(AQ$4="",$A879&gt;TODAY()),0,IF(OR(INDEX($B879:$D879,AQ$5)="F",AND(AQ$6&gt;0,$A879&lt;AQ$6),AND(AQ$7&gt;0,$A879&gt;AQ$7)),0,MAX(0,ROUND((INDEX($E879:$G879,AQ$5)-SUMIFS(TF_Timer,TF_Tekniker,AQ$4,TF_Dato,$A879))*2,0)/2)))</f>
        <v/>
      </c>
      <c r="AR879">
        <f>IF(OR(AR$4="",$A879&gt;TODAY()),0,IF(OR(INDEX($B879:$D879,AR$5)="F",AND(AR$6&gt;0,$A879&lt;AR$6),AND(AR$7&gt;0,$A879&gt;AR$7)),0,MAX(0,ROUND((INDEX($E879:$G879,AR$5)-SUMIFS(TF_Timer,TF_Tekniker,AR$4,TF_Dato,$A879))*2,0)/2)))</f>
        <v/>
      </c>
      <c r="AS879">
        <f>IF(OR(AS$4="",$A879&gt;TODAY()),0,IF(OR(INDEX($B879:$D879,AS$5)="F",AND(AS$6&gt;0,$A879&lt;AS$6),AND(AS$7&gt;0,$A879&gt;AS$7)),0,MAX(0,ROUND((INDEX($E879:$G879,AS$5)-SUMIFS(TF_Timer,TF_Tekniker,AS$4,TF_Dato,$A879))*2,0)/2)))</f>
        <v/>
      </c>
      <c r="AT879">
        <f>IF(OR(AT$4="",$A879&gt;TODAY()),0,IF(OR(INDEX($B879:$D879,AT$5)="F",AND(AT$6&gt;0,$A879&lt;AT$6),AND(AT$7&gt;0,$A879&gt;AT$7)),0,MAX(0,ROUND((INDEX($E879:$G879,AT$5)-SUMIFS(TF_Timer,TF_Tekniker,AT$4,TF_Dato,$A879))*2,0)/2)))</f>
        <v/>
      </c>
      <c r="AU879">
        <f>IF(OR(AU$4="",$A879&gt;TODAY()),0,IF(OR(INDEX($B879:$D879,AU$5)="F",AND(AU$6&gt;0,$A879&lt;AU$6),AND(AU$7&gt;0,$A879&gt;AU$7)),0,MAX(0,ROUND((INDEX($E879:$G879,AU$5)-SUMIFS(TF_Timer,TF_Tekniker,AU$4,TF_Dato,$A879))*2,0)/2)))</f>
        <v/>
      </c>
      <c r="AV879">
        <f>IF(OR(AV$4="",$A879&gt;TODAY()),0,IF(OR(INDEX($B879:$D879,AV$5)="F",AND(AV$6&gt;0,$A879&lt;AV$6),AND(AV$7&gt;0,$A879&gt;AV$7)),0,MAX(0,ROUND((INDEX($E879:$G879,AV$5)-SUMIFS(TF_Timer,TF_Tekniker,AV$4,TF_Dato,$A879))*2,0)/2)))</f>
        <v/>
      </c>
      <c r="AW879">
        <f>IF(OR(AW$4="",$A879&gt;TODAY()),0,IF(OR(INDEX($B879:$D879,AW$5)="F",AND(AW$6&gt;0,$A879&lt;AW$6),AND(AW$7&gt;0,$A879&gt;AW$7)),0,MAX(0,ROUND((INDEX($E879:$G879,AW$5)-SUMIFS(TF_Timer,TF_Tekniker,AW$4,TF_Dato,$A879))*2,0)/2)))</f>
        <v/>
      </c>
      <c r="AX879">
        <f>IF(OR(AX$4="",$A879&gt;TODAY()),0,IF(OR(INDEX($B879:$D879,AX$5)="F",AND(AX$6&gt;0,$A879&lt;AX$6),AND(AX$7&gt;0,$A879&gt;AX$7)),0,MAX(0,ROUND((INDEX($E879:$G879,AX$5)-SUMIFS(TF_Timer,TF_Tekniker,AX$4,TF_Dato,$A879))*2,0)/2)))</f>
        <v/>
      </c>
      <c r="AY879">
        <f>IF(OR(AY$4="",$A879&gt;TODAY()),0,IF(OR(INDEX($B879:$D879,AY$5)="F",AND(AY$6&gt;0,$A879&lt;AY$6),AND(AY$7&gt;0,$A879&gt;AY$7)),0,MAX(0,ROUND((INDEX($E879:$G879,AY$5)-SUMIFS(TF_Timer,TF_Tekniker,AY$4,TF_Dato,$A879))*2,0)/2)))</f>
        <v/>
      </c>
      <c r="AZ879">
        <f>IF(OR(AZ$4="",$A879&gt;TODAY()),0,IF(OR(INDEX($B879:$D879,AZ$5)="F",AND(AZ$6&gt;0,$A879&lt;AZ$6),AND(AZ$7&gt;0,$A879&gt;AZ$7)),0,MAX(0,ROUND((INDEX($E879:$G879,AZ$5)-SUMIFS(TF_Timer,TF_Tekniker,AZ$4,TF_Dato,$A879))*2,0)/2)))</f>
        <v/>
      </c>
      <c r="BA879">
        <f>IF(OR(BA$4="",$A879&gt;TODAY()),0,IF(OR(INDEX($B879:$D879,BA$5)="F",AND(BA$6&gt;0,$A879&lt;BA$6),AND(BA$7&gt;0,$A879&gt;BA$7)),0,MAX(0,ROUND((INDEX($E879:$G879,BA$5)-SUMIFS(TF_Timer,TF_Tekniker,BA$4,TF_Dato,$A879))*2,0)/2)))</f>
        <v/>
      </c>
      <c r="BB879">
        <f>IF(OR(BB$4="",$A879&gt;TODAY()),0,IF(OR(INDEX($B879:$D879,BB$5)="F",AND(BB$6&gt;0,$A879&lt;BB$6),AND(BB$7&gt;0,$A879&gt;BB$7)),0,MAX(0,ROUND((INDEX($E879:$G879,BB$5)-SUMIFS(TF_Timer,TF_Tekniker,BB$4,TF_Dato,$A879))*2,0)/2)))</f>
        <v/>
      </c>
      <c r="BC879">
        <f>IF(OR(BC$4="",$A879&gt;TODAY()),0,IF(OR(INDEX($B879:$D879,BC$5)="F",AND(BC$6&gt;0,$A879&lt;BC$6),AND(BC$7&gt;0,$A879&gt;BC$7)),0,MAX(0,ROUND((INDEX($E879:$G879,BC$5)-SUMIFS(TF_Timer,TF_Tekniker,BC$4,TF_Dato,$A879))*2,0)/2)))</f>
        <v/>
      </c>
      <c r="BD879">
        <f>IF(OR(BD$4="",$A879&gt;TODAY()),0,IF(OR(INDEX($B879:$D879,BD$5)="F",AND(BD$6&gt;0,$A879&lt;BD$6),AND(BD$7&gt;0,$A879&gt;BD$7)),0,MAX(0,ROUND((INDEX($E879:$G879,BD$5)-SUMIFS(TF_Timer,TF_Tekniker,BD$4,TF_Dato,$A879))*2,0)/2)))</f>
        <v/>
      </c>
      <c r="BE879">
        <f>IF(OR(BE$4="",$A879&gt;TODAY()),0,IF(OR(INDEX($B879:$D879,BE$5)="F",AND(BE$6&gt;0,$A879&lt;BE$6),AND(BE$7&gt;0,$A879&gt;BE$7)),0,MAX(0,ROUND((INDEX($E879:$G879,BE$5)-SUMIFS(TF_Timer,TF_Tekniker,BE$4,TF_Dato,$A879))*2,0)/2)))</f>
        <v/>
      </c>
      <c r="BF879">
        <f>IF(OR(BF$4="",$A879&gt;TODAY()),0,IF(OR(INDEX($B879:$D879,BF$5)="F",AND(BF$6&gt;0,$A879&lt;BF$6),AND(BF$7&gt;0,$A879&gt;BF$7)),0,MAX(0,ROUND((INDEX($E879:$G879,BF$5)-SUMIFS(TF_Timer,TF_Tekniker,BF$4,TF_Dato,$A879))*2,0)/2)))</f>
        <v/>
      </c>
      <c r="BG879">
        <f>IF(OR(BG$4="",$A879&gt;TODAY()),0,IF(OR(INDEX($B879:$D879,BG$5)="F",AND(BG$6&gt;0,$A879&lt;BG$6),AND(BG$7&gt;0,$A879&gt;BG$7)),0,MAX(0,ROUND((INDEX($E879:$G879,BG$5)-SUMIFS(TF_Timer,TF_Tekniker,BG$4,TF_Dato,$A879))*2,0)/2)))</f>
        <v/>
      </c>
      <c r="BH879">
        <f>IF(OR(BH$4="",$A879&gt;TODAY()),0,IF(OR(INDEX($B879:$D879,BH$5)="F",AND(BH$6&gt;0,$A879&lt;BH$6),AND(BH$7&gt;0,$A879&gt;BH$7)),0,MAX(0,ROUND((INDEX($E879:$G879,BH$5)-SUMIFS(TF_Timer,TF_Tekniker,BH$4,TF_Dato,$A879))*2,0)/2)))</f>
        <v/>
      </c>
      <c r="BI879">
        <f>IF(OR(BI$4="",$A879&gt;TODAY()),0,IF(OR(INDEX($B879:$D879,BI$5)="F",AND(BI$6&gt;0,$A879&lt;BI$6),AND(BI$7&gt;0,$A879&gt;BI$7)),0,MAX(0,ROUND((INDEX($E879:$G879,BI$5)-SUMIFS(TF_Timer,TF_Tekniker,BI$4,TF_Dato,$A879))*2,0)/2)))</f>
        <v/>
      </c>
    </row>
    <row r="880">
      <c r="A880" s="64">
        <f>A879+1</f>
        <v/>
      </c>
      <c r="B880">
        <f>IF(MOD($A880-INDEX(SkiftStart,1),Syklus)&lt;DagK,"K",IF(MOD($A880-INDEX(SkiftStart,1),Syklus)&lt;DagK+DagH,"H",IF(MOD($A880-INDEX(SkiftStart,1),Syklus)&lt;DagK+DagH+DagD,"D","F")))</f>
        <v/>
      </c>
      <c r="C880">
        <f>IF(MOD($A880-INDEX(SkiftStart,2),Syklus)&lt;DagK,"K",IF(MOD($A880-INDEX(SkiftStart,2),Syklus)&lt;DagK+DagH,"H",IF(MOD($A880-INDEX(SkiftStart,2),Syklus)&lt;DagK+DagH+DagD,"D","F")))</f>
        <v/>
      </c>
      <c r="D880">
        <f>IF(MOD($A880-INDEX(SkiftStart,3),Syklus)&lt;DagK,"K",IF(MOD($A880-INDEX(SkiftStart,3),Syklus)&lt;DagK+DagH,"H",IF(MOD($A880-INDEX(SkiftStart,3),Syklus)&lt;DagK+DagH+DagD,"D","F")))</f>
        <v/>
      </c>
      <c r="E880">
        <f>IF(B880="F",0,IF(WEEKDAY($A880,2)=5,INDEX(TimerFr,MATCH(B880,FaseKode,0)),INDEX(TimerMT,MATCH(B880,FaseKode,0))))</f>
        <v/>
      </c>
      <c r="F880">
        <f>IF(C880="F",0,IF(WEEKDAY($A880,2)=5,INDEX(TimerFr,MATCH(C880,FaseKode,0)),INDEX(TimerMT,MATCH(C880,FaseKode,0))))</f>
        <v/>
      </c>
      <c r="G880">
        <f>IF(D880="F",0,IF(WEEKDAY($A880,2)=5,INDEX(TimerFr,MATCH(D880,FaseKode,0)),INDEX(TimerMT,MATCH(D880,FaseKode,0))))</f>
        <v/>
      </c>
      <c r="H880">
        <f>IF(OR(H$4="",$A880&gt;TODAY()),0,IF(OR(INDEX($B880:$D880,H$5)="F",AND(H$6&gt;0,$A880&lt;H$6),AND(H$7&gt;0,$A880&gt;H$7)),0,MAX(0,ROUND((INDEX($E880:$G880,H$5)-SUMIFS(TF_Timer,TF_Tekniker,H$4,TF_Dato,$A880))*2,0)/2)))</f>
        <v/>
      </c>
      <c r="I880">
        <f>IF(OR(I$4="",$A880&gt;TODAY()),0,IF(OR(INDEX($B880:$D880,I$5)="F",AND(I$6&gt;0,$A880&lt;I$6),AND(I$7&gt;0,$A880&gt;I$7)),0,MAX(0,ROUND((INDEX($E880:$G880,I$5)-SUMIFS(TF_Timer,TF_Tekniker,I$4,TF_Dato,$A880))*2,0)/2)))</f>
        <v/>
      </c>
      <c r="J880">
        <f>IF(OR(J$4="",$A880&gt;TODAY()),0,IF(OR(INDEX($B880:$D880,J$5)="F",AND(J$6&gt;0,$A880&lt;J$6),AND(J$7&gt;0,$A880&gt;J$7)),0,MAX(0,ROUND((INDEX($E880:$G880,J$5)-SUMIFS(TF_Timer,TF_Tekniker,J$4,TF_Dato,$A880))*2,0)/2)))</f>
        <v/>
      </c>
      <c r="K880">
        <f>IF(OR(K$4="",$A880&gt;TODAY()),0,IF(OR(INDEX($B880:$D880,K$5)="F",AND(K$6&gt;0,$A880&lt;K$6),AND(K$7&gt;0,$A880&gt;K$7)),0,MAX(0,ROUND((INDEX($E880:$G880,K$5)-SUMIFS(TF_Timer,TF_Tekniker,K$4,TF_Dato,$A880))*2,0)/2)))</f>
        <v/>
      </c>
      <c r="L880">
        <f>IF(OR(L$4="",$A880&gt;TODAY()),0,IF(OR(INDEX($B880:$D880,L$5)="F",AND(L$6&gt;0,$A880&lt;L$6),AND(L$7&gt;0,$A880&gt;L$7)),0,MAX(0,ROUND((INDEX($E880:$G880,L$5)-SUMIFS(TF_Timer,TF_Tekniker,L$4,TF_Dato,$A880))*2,0)/2)))</f>
        <v/>
      </c>
      <c r="M880">
        <f>IF(OR(M$4="",$A880&gt;TODAY()),0,IF(OR(INDEX($B880:$D880,M$5)="F",AND(M$6&gt;0,$A880&lt;M$6),AND(M$7&gt;0,$A880&gt;M$7)),0,MAX(0,ROUND((INDEX($E880:$G880,M$5)-SUMIFS(TF_Timer,TF_Tekniker,M$4,TF_Dato,$A880))*2,0)/2)))</f>
        <v/>
      </c>
      <c r="N880">
        <f>IF(OR(N$4="",$A880&gt;TODAY()),0,IF(OR(INDEX($B880:$D880,N$5)="F",AND(N$6&gt;0,$A880&lt;N$6),AND(N$7&gt;0,$A880&gt;N$7)),0,MAX(0,ROUND((INDEX($E880:$G880,N$5)-SUMIFS(TF_Timer,TF_Tekniker,N$4,TF_Dato,$A880))*2,0)/2)))</f>
        <v/>
      </c>
      <c r="O880">
        <f>IF(OR(O$4="",$A880&gt;TODAY()),0,IF(OR(INDEX($B880:$D880,O$5)="F",AND(O$6&gt;0,$A880&lt;O$6),AND(O$7&gt;0,$A880&gt;O$7)),0,MAX(0,ROUND((INDEX($E880:$G880,O$5)-SUMIFS(TF_Timer,TF_Tekniker,O$4,TF_Dato,$A880))*2,0)/2)))</f>
        <v/>
      </c>
      <c r="P880">
        <f>IF(OR(P$4="",$A880&gt;TODAY()),0,IF(OR(INDEX($B880:$D880,P$5)="F",AND(P$6&gt;0,$A880&lt;P$6),AND(P$7&gt;0,$A880&gt;P$7)),0,MAX(0,ROUND((INDEX($E880:$G880,P$5)-SUMIFS(TF_Timer,TF_Tekniker,P$4,TF_Dato,$A880))*2,0)/2)))</f>
        <v/>
      </c>
      <c r="Q880">
        <f>IF(OR(Q$4="",$A880&gt;TODAY()),0,IF(OR(INDEX($B880:$D880,Q$5)="F",AND(Q$6&gt;0,$A880&lt;Q$6),AND(Q$7&gt;0,$A880&gt;Q$7)),0,MAX(0,ROUND((INDEX($E880:$G880,Q$5)-SUMIFS(TF_Timer,TF_Tekniker,Q$4,TF_Dato,$A880))*2,0)/2)))</f>
        <v/>
      </c>
      <c r="R880">
        <f>IF(OR(R$4="",$A880&gt;TODAY()),0,IF(OR(INDEX($B880:$D880,R$5)="F",AND(R$6&gt;0,$A880&lt;R$6),AND(R$7&gt;0,$A880&gt;R$7)),0,MAX(0,ROUND((INDEX($E880:$G880,R$5)-SUMIFS(TF_Timer,TF_Tekniker,R$4,TF_Dato,$A880))*2,0)/2)))</f>
        <v/>
      </c>
      <c r="S880">
        <f>IF(OR(S$4="",$A880&gt;TODAY()),0,IF(OR(INDEX($B880:$D880,S$5)="F",AND(S$6&gt;0,$A880&lt;S$6),AND(S$7&gt;0,$A880&gt;S$7)),0,MAX(0,ROUND((INDEX($E880:$G880,S$5)-SUMIFS(TF_Timer,TF_Tekniker,S$4,TF_Dato,$A880))*2,0)/2)))</f>
        <v/>
      </c>
      <c r="T880">
        <f>IF(OR(T$4="",$A880&gt;TODAY()),0,IF(OR(INDEX($B880:$D880,T$5)="F",AND(T$6&gt;0,$A880&lt;T$6),AND(T$7&gt;0,$A880&gt;T$7)),0,MAX(0,ROUND((INDEX($E880:$G880,T$5)-SUMIFS(TF_Timer,TF_Tekniker,T$4,TF_Dato,$A880))*2,0)/2)))</f>
        <v/>
      </c>
      <c r="U880">
        <f>IF(OR(U$4="",$A880&gt;TODAY()),0,IF(OR(INDEX($B880:$D880,U$5)="F",AND(U$6&gt;0,$A880&lt;U$6),AND(U$7&gt;0,$A880&gt;U$7)),0,MAX(0,ROUND((INDEX($E880:$G880,U$5)-SUMIFS(TF_Timer,TF_Tekniker,U$4,TF_Dato,$A880))*2,0)/2)))</f>
        <v/>
      </c>
      <c r="V880">
        <f>IF(OR(V$4="",$A880&gt;TODAY()),0,IF(OR(INDEX($B880:$D880,V$5)="F",AND(V$6&gt;0,$A880&lt;V$6),AND(V$7&gt;0,$A880&gt;V$7)),0,MAX(0,ROUND((INDEX($E880:$G880,V$5)-SUMIFS(TF_Timer,TF_Tekniker,V$4,TF_Dato,$A880))*2,0)/2)))</f>
        <v/>
      </c>
      <c r="W880">
        <f>IF(OR(W$4="",$A880&gt;TODAY()),0,IF(OR(INDEX($B880:$D880,W$5)="F",AND(W$6&gt;0,$A880&lt;W$6),AND(W$7&gt;0,$A880&gt;W$7)),0,MAX(0,ROUND((INDEX($E880:$G880,W$5)-SUMIFS(TF_Timer,TF_Tekniker,W$4,TF_Dato,$A880))*2,0)/2)))</f>
        <v/>
      </c>
      <c r="X880">
        <f>IF(OR(X$4="",$A880&gt;TODAY()),0,IF(OR(INDEX($B880:$D880,X$5)="F",AND(X$6&gt;0,$A880&lt;X$6),AND(X$7&gt;0,$A880&gt;X$7)),0,MAX(0,ROUND((INDEX($E880:$G880,X$5)-SUMIFS(TF_Timer,TF_Tekniker,X$4,TF_Dato,$A880))*2,0)/2)))</f>
        <v/>
      </c>
      <c r="Y880">
        <f>IF(OR(Y$4="",$A880&gt;TODAY()),0,IF(OR(INDEX($B880:$D880,Y$5)="F",AND(Y$6&gt;0,$A880&lt;Y$6),AND(Y$7&gt;0,$A880&gt;Y$7)),0,MAX(0,ROUND((INDEX($E880:$G880,Y$5)-SUMIFS(TF_Timer,TF_Tekniker,Y$4,TF_Dato,$A880))*2,0)/2)))</f>
        <v/>
      </c>
      <c r="Z880">
        <f>IF(OR(Z$4="",$A880&gt;TODAY()),0,IF(OR(INDEX($B880:$D880,Z$5)="F",AND(Z$6&gt;0,$A880&lt;Z$6),AND(Z$7&gt;0,$A880&gt;Z$7)),0,MAX(0,ROUND((INDEX($E880:$G880,Z$5)-SUMIFS(TF_Timer,TF_Tekniker,Z$4,TF_Dato,$A880))*2,0)/2)))</f>
        <v/>
      </c>
      <c r="AA880">
        <f>IF(OR(AA$4="",$A880&gt;TODAY()),0,IF(OR(INDEX($B880:$D880,AA$5)="F",AND(AA$6&gt;0,$A880&lt;AA$6),AND(AA$7&gt;0,$A880&gt;AA$7)),0,MAX(0,ROUND((INDEX($E880:$G880,AA$5)-SUMIFS(TF_Timer,TF_Tekniker,AA$4,TF_Dato,$A880))*2,0)/2)))</f>
        <v/>
      </c>
      <c r="AB880">
        <f>IF(OR(AB$4="",$A880&gt;TODAY()),0,IF(OR(INDEX($B880:$D880,AB$5)="F",AND(AB$6&gt;0,$A880&lt;AB$6),AND(AB$7&gt;0,$A880&gt;AB$7)),0,MAX(0,ROUND((INDEX($E880:$G880,AB$5)-SUMIFS(TF_Timer,TF_Tekniker,AB$4,TF_Dato,$A880))*2,0)/2)))</f>
        <v/>
      </c>
      <c r="AC880">
        <f>IF(OR(AC$4="",$A880&gt;TODAY()),0,IF(OR(INDEX($B880:$D880,AC$5)="F",AND(AC$6&gt;0,$A880&lt;AC$6),AND(AC$7&gt;0,$A880&gt;AC$7)),0,MAX(0,ROUND((INDEX($E880:$G880,AC$5)-SUMIFS(TF_Timer,TF_Tekniker,AC$4,TF_Dato,$A880))*2,0)/2)))</f>
        <v/>
      </c>
      <c r="AD880">
        <f>IF(OR(AD$4="",$A880&gt;TODAY()),0,IF(OR(INDEX($B880:$D880,AD$5)="F",AND(AD$6&gt;0,$A880&lt;AD$6),AND(AD$7&gt;0,$A880&gt;AD$7)),0,MAX(0,ROUND((INDEX($E880:$G880,AD$5)-SUMIFS(TF_Timer,TF_Tekniker,AD$4,TF_Dato,$A880))*2,0)/2)))</f>
        <v/>
      </c>
      <c r="AE880">
        <f>IF(OR(AE$4="",$A880&gt;TODAY()),0,IF(OR(INDEX($B880:$D880,AE$5)="F",AND(AE$6&gt;0,$A880&lt;AE$6),AND(AE$7&gt;0,$A880&gt;AE$7)),0,MAX(0,ROUND((INDEX($E880:$G880,AE$5)-SUMIFS(TF_Timer,TF_Tekniker,AE$4,TF_Dato,$A880))*2,0)/2)))</f>
        <v/>
      </c>
      <c r="AF880">
        <f>IF(OR(AF$4="",$A880&gt;TODAY()),0,IF(OR(INDEX($B880:$D880,AF$5)="F",AND(AF$6&gt;0,$A880&lt;AF$6),AND(AF$7&gt;0,$A880&gt;AF$7)),0,MAX(0,ROUND((INDEX($E880:$G880,AF$5)-SUMIFS(TF_Timer,TF_Tekniker,AF$4,TF_Dato,$A880))*2,0)/2)))</f>
        <v/>
      </c>
      <c r="AG880">
        <f>IF(OR(AG$4="",$A880&gt;TODAY()),0,IF(OR(INDEX($B880:$D880,AG$5)="F",AND(AG$6&gt;0,$A880&lt;AG$6),AND(AG$7&gt;0,$A880&gt;AG$7)),0,MAX(0,ROUND((INDEX($E880:$G880,AG$5)-SUMIFS(TF_Timer,TF_Tekniker,AG$4,TF_Dato,$A880))*2,0)/2)))</f>
        <v/>
      </c>
      <c r="AH880">
        <f>IF(OR(AH$4="",$A880&gt;TODAY()),0,IF(OR(INDEX($B880:$D880,AH$5)="F",AND(AH$6&gt;0,$A880&lt;AH$6),AND(AH$7&gt;0,$A880&gt;AH$7)),0,MAX(0,ROUND((INDEX($E880:$G880,AH$5)-SUMIFS(TF_Timer,TF_Tekniker,AH$4,TF_Dato,$A880))*2,0)/2)))</f>
        <v/>
      </c>
      <c r="AI880">
        <f>IF(OR(AI$4="",$A880&gt;TODAY()),0,IF(OR(INDEX($B880:$D880,AI$5)="F",AND(AI$6&gt;0,$A880&lt;AI$6),AND(AI$7&gt;0,$A880&gt;AI$7)),0,MAX(0,ROUND((INDEX($E880:$G880,AI$5)-SUMIFS(TF_Timer,TF_Tekniker,AI$4,TF_Dato,$A880))*2,0)/2)))</f>
        <v/>
      </c>
      <c r="AJ880">
        <f>IF(OR(AJ$4="",$A880&gt;TODAY()),0,IF(OR(INDEX($B880:$D880,AJ$5)="F",AND(AJ$6&gt;0,$A880&lt;AJ$6),AND(AJ$7&gt;0,$A880&gt;AJ$7)),0,MAX(0,ROUND((INDEX($E880:$G880,AJ$5)-SUMIFS(TF_Timer,TF_Tekniker,AJ$4,TF_Dato,$A880))*2,0)/2)))</f>
        <v/>
      </c>
      <c r="AK880">
        <f>IF(OR(AK$4="",$A880&gt;TODAY()),0,IF(OR(INDEX($B880:$D880,AK$5)="F",AND(AK$6&gt;0,$A880&lt;AK$6),AND(AK$7&gt;0,$A880&gt;AK$7)),0,MAX(0,ROUND((INDEX($E880:$G880,AK$5)-SUMIFS(TF_Timer,TF_Tekniker,AK$4,TF_Dato,$A880))*2,0)/2)))</f>
        <v/>
      </c>
      <c r="AL880">
        <f>IF(OR(AL$4="",$A880&gt;TODAY()),0,IF(OR(INDEX($B880:$D880,AL$5)="F",AND(AL$6&gt;0,$A880&lt;AL$6),AND(AL$7&gt;0,$A880&gt;AL$7)),0,MAX(0,ROUND((INDEX($E880:$G880,AL$5)-SUMIFS(TF_Timer,TF_Tekniker,AL$4,TF_Dato,$A880))*2,0)/2)))</f>
        <v/>
      </c>
      <c r="AM880">
        <f>IF(OR(AM$4="",$A880&gt;TODAY()),0,IF(OR(INDEX($B880:$D880,AM$5)="F",AND(AM$6&gt;0,$A880&lt;AM$6),AND(AM$7&gt;0,$A880&gt;AM$7)),0,MAX(0,ROUND((INDEX($E880:$G880,AM$5)-SUMIFS(TF_Timer,TF_Tekniker,AM$4,TF_Dato,$A880))*2,0)/2)))</f>
        <v/>
      </c>
      <c r="AN880">
        <f>IF(OR(AN$4="",$A880&gt;TODAY()),0,IF(OR(INDEX($B880:$D880,AN$5)="F",AND(AN$6&gt;0,$A880&lt;AN$6),AND(AN$7&gt;0,$A880&gt;AN$7)),0,MAX(0,ROUND((INDEX($E880:$G880,AN$5)-SUMIFS(TF_Timer,TF_Tekniker,AN$4,TF_Dato,$A880))*2,0)/2)))</f>
        <v/>
      </c>
      <c r="AO880">
        <f>IF(OR(AO$4="",$A880&gt;TODAY()),0,IF(OR(INDEX($B880:$D880,AO$5)="F",AND(AO$6&gt;0,$A880&lt;AO$6),AND(AO$7&gt;0,$A880&gt;AO$7)),0,MAX(0,ROUND((INDEX($E880:$G880,AO$5)-SUMIFS(TF_Timer,TF_Tekniker,AO$4,TF_Dato,$A880))*2,0)/2)))</f>
        <v/>
      </c>
      <c r="AP880">
        <f>IF(OR(AP$4="",$A880&gt;TODAY()),0,IF(OR(INDEX($B880:$D880,AP$5)="F",AND(AP$6&gt;0,$A880&lt;AP$6),AND(AP$7&gt;0,$A880&gt;AP$7)),0,MAX(0,ROUND((INDEX($E880:$G880,AP$5)-SUMIFS(TF_Timer,TF_Tekniker,AP$4,TF_Dato,$A880))*2,0)/2)))</f>
        <v/>
      </c>
      <c r="AQ880">
        <f>IF(OR(AQ$4="",$A880&gt;TODAY()),0,IF(OR(INDEX($B880:$D880,AQ$5)="F",AND(AQ$6&gt;0,$A880&lt;AQ$6),AND(AQ$7&gt;0,$A880&gt;AQ$7)),0,MAX(0,ROUND((INDEX($E880:$G880,AQ$5)-SUMIFS(TF_Timer,TF_Tekniker,AQ$4,TF_Dato,$A880))*2,0)/2)))</f>
        <v/>
      </c>
      <c r="AR880">
        <f>IF(OR(AR$4="",$A880&gt;TODAY()),0,IF(OR(INDEX($B880:$D880,AR$5)="F",AND(AR$6&gt;0,$A880&lt;AR$6),AND(AR$7&gt;0,$A880&gt;AR$7)),0,MAX(0,ROUND((INDEX($E880:$G880,AR$5)-SUMIFS(TF_Timer,TF_Tekniker,AR$4,TF_Dato,$A880))*2,0)/2)))</f>
        <v/>
      </c>
      <c r="AS880">
        <f>IF(OR(AS$4="",$A880&gt;TODAY()),0,IF(OR(INDEX($B880:$D880,AS$5)="F",AND(AS$6&gt;0,$A880&lt;AS$6),AND(AS$7&gt;0,$A880&gt;AS$7)),0,MAX(0,ROUND((INDEX($E880:$G880,AS$5)-SUMIFS(TF_Timer,TF_Tekniker,AS$4,TF_Dato,$A880))*2,0)/2)))</f>
        <v/>
      </c>
      <c r="AT880">
        <f>IF(OR(AT$4="",$A880&gt;TODAY()),0,IF(OR(INDEX($B880:$D880,AT$5)="F",AND(AT$6&gt;0,$A880&lt;AT$6),AND(AT$7&gt;0,$A880&gt;AT$7)),0,MAX(0,ROUND((INDEX($E880:$G880,AT$5)-SUMIFS(TF_Timer,TF_Tekniker,AT$4,TF_Dato,$A880))*2,0)/2)))</f>
        <v/>
      </c>
      <c r="AU880">
        <f>IF(OR(AU$4="",$A880&gt;TODAY()),0,IF(OR(INDEX($B880:$D880,AU$5)="F",AND(AU$6&gt;0,$A880&lt;AU$6),AND(AU$7&gt;0,$A880&gt;AU$7)),0,MAX(0,ROUND((INDEX($E880:$G880,AU$5)-SUMIFS(TF_Timer,TF_Tekniker,AU$4,TF_Dato,$A880))*2,0)/2)))</f>
        <v/>
      </c>
      <c r="AV880">
        <f>IF(OR(AV$4="",$A880&gt;TODAY()),0,IF(OR(INDEX($B880:$D880,AV$5)="F",AND(AV$6&gt;0,$A880&lt;AV$6),AND(AV$7&gt;0,$A880&gt;AV$7)),0,MAX(0,ROUND((INDEX($E880:$G880,AV$5)-SUMIFS(TF_Timer,TF_Tekniker,AV$4,TF_Dato,$A880))*2,0)/2)))</f>
        <v/>
      </c>
      <c r="AW880">
        <f>IF(OR(AW$4="",$A880&gt;TODAY()),0,IF(OR(INDEX($B880:$D880,AW$5)="F",AND(AW$6&gt;0,$A880&lt;AW$6),AND(AW$7&gt;0,$A880&gt;AW$7)),0,MAX(0,ROUND((INDEX($E880:$G880,AW$5)-SUMIFS(TF_Timer,TF_Tekniker,AW$4,TF_Dato,$A880))*2,0)/2)))</f>
        <v/>
      </c>
      <c r="AX880">
        <f>IF(OR(AX$4="",$A880&gt;TODAY()),0,IF(OR(INDEX($B880:$D880,AX$5)="F",AND(AX$6&gt;0,$A880&lt;AX$6),AND(AX$7&gt;0,$A880&gt;AX$7)),0,MAX(0,ROUND((INDEX($E880:$G880,AX$5)-SUMIFS(TF_Timer,TF_Tekniker,AX$4,TF_Dato,$A880))*2,0)/2)))</f>
        <v/>
      </c>
      <c r="AY880">
        <f>IF(OR(AY$4="",$A880&gt;TODAY()),0,IF(OR(INDEX($B880:$D880,AY$5)="F",AND(AY$6&gt;0,$A880&lt;AY$6),AND(AY$7&gt;0,$A880&gt;AY$7)),0,MAX(0,ROUND((INDEX($E880:$G880,AY$5)-SUMIFS(TF_Timer,TF_Tekniker,AY$4,TF_Dato,$A880))*2,0)/2)))</f>
        <v/>
      </c>
      <c r="AZ880">
        <f>IF(OR(AZ$4="",$A880&gt;TODAY()),0,IF(OR(INDEX($B880:$D880,AZ$5)="F",AND(AZ$6&gt;0,$A880&lt;AZ$6),AND(AZ$7&gt;0,$A880&gt;AZ$7)),0,MAX(0,ROUND((INDEX($E880:$G880,AZ$5)-SUMIFS(TF_Timer,TF_Tekniker,AZ$4,TF_Dato,$A880))*2,0)/2)))</f>
        <v/>
      </c>
      <c r="BA880">
        <f>IF(OR(BA$4="",$A880&gt;TODAY()),0,IF(OR(INDEX($B880:$D880,BA$5)="F",AND(BA$6&gt;0,$A880&lt;BA$6),AND(BA$7&gt;0,$A880&gt;BA$7)),0,MAX(0,ROUND((INDEX($E880:$G880,BA$5)-SUMIFS(TF_Timer,TF_Tekniker,BA$4,TF_Dato,$A880))*2,0)/2)))</f>
        <v/>
      </c>
      <c r="BB880">
        <f>IF(OR(BB$4="",$A880&gt;TODAY()),0,IF(OR(INDEX($B880:$D880,BB$5)="F",AND(BB$6&gt;0,$A880&lt;BB$6),AND(BB$7&gt;0,$A880&gt;BB$7)),0,MAX(0,ROUND((INDEX($E880:$G880,BB$5)-SUMIFS(TF_Timer,TF_Tekniker,BB$4,TF_Dato,$A880))*2,0)/2)))</f>
        <v/>
      </c>
      <c r="BC880">
        <f>IF(OR(BC$4="",$A880&gt;TODAY()),0,IF(OR(INDEX($B880:$D880,BC$5)="F",AND(BC$6&gt;0,$A880&lt;BC$6),AND(BC$7&gt;0,$A880&gt;BC$7)),0,MAX(0,ROUND((INDEX($E880:$G880,BC$5)-SUMIFS(TF_Timer,TF_Tekniker,BC$4,TF_Dato,$A880))*2,0)/2)))</f>
        <v/>
      </c>
      <c r="BD880">
        <f>IF(OR(BD$4="",$A880&gt;TODAY()),0,IF(OR(INDEX($B880:$D880,BD$5)="F",AND(BD$6&gt;0,$A880&lt;BD$6),AND(BD$7&gt;0,$A880&gt;BD$7)),0,MAX(0,ROUND((INDEX($E880:$G880,BD$5)-SUMIFS(TF_Timer,TF_Tekniker,BD$4,TF_Dato,$A880))*2,0)/2)))</f>
        <v/>
      </c>
      <c r="BE880">
        <f>IF(OR(BE$4="",$A880&gt;TODAY()),0,IF(OR(INDEX($B880:$D880,BE$5)="F",AND(BE$6&gt;0,$A880&lt;BE$6),AND(BE$7&gt;0,$A880&gt;BE$7)),0,MAX(0,ROUND((INDEX($E880:$G880,BE$5)-SUMIFS(TF_Timer,TF_Tekniker,BE$4,TF_Dato,$A880))*2,0)/2)))</f>
        <v/>
      </c>
      <c r="BF880">
        <f>IF(OR(BF$4="",$A880&gt;TODAY()),0,IF(OR(INDEX($B880:$D880,BF$5)="F",AND(BF$6&gt;0,$A880&lt;BF$6),AND(BF$7&gt;0,$A880&gt;BF$7)),0,MAX(0,ROUND((INDEX($E880:$G880,BF$5)-SUMIFS(TF_Timer,TF_Tekniker,BF$4,TF_Dato,$A880))*2,0)/2)))</f>
        <v/>
      </c>
      <c r="BG880">
        <f>IF(OR(BG$4="",$A880&gt;TODAY()),0,IF(OR(INDEX($B880:$D880,BG$5)="F",AND(BG$6&gt;0,$A880&lt;BG$6),AND(BG$7&gt;0,$A880&gt;BG$7)),0,MAX(0,ROUND((INDEX($E880:$G880,BG$5)-SUMIFS(TF_Timer,TF_Tekniker,BG$4,TF_Dato,$A880))*2,0)/2)))</f>
        <v/>
      </c>
      <c r="BH880">
        <f>IF(OR(BH$4="",$A880&gt;TODAY()),0,IF(OR(INDEX($B880:$D880,BH$5)="F",AND(BH$6&gt;0,$A880&lt;BH$6),AND(BH$7&gt;0,$A880&gt;BH$7)),0,MAX(0,ROUND((INDEX($E880:$G880,BH$5)-SUMIFS(TF_Timer,TF_Tekniker,BH$4,TF_Dato,$A880))*2,0)/2)))</f>
        <v/>
      </c>
      <c r="BI880">
        <f>IF(OR(BI$4="",$A880&gt;TODAY()),0,IF(OR(INDEX($B880:$D880,BI$5)="F",AND(BI$6&gt;0,$A880&lt;BI$6),AND(BI$7&gt;0,$A880&gt;BI$7)),0,MAX(0,ROUND((INDEX($E880:$G880,BI$5)-SUMIFS(TF_Timer,TF_Tekniker,BI$4,TF_Dato,$A880))*2,0)/2)))</f>
        <v/>
      </c>
    </row>
    <row r="881">
      <c r="A881" s="64">
        <f>A880+1</f>
        <v/>
      </c>
      <c r="B881">
        <f>IF(MOD($A881-INDEX(SkiftStart,1),Syklus)&lt;DagK,"K",IF(MOD($A881-INDEX(SkiftStart,1),Syklus)&lt;DagK+DagH,"H",IF(MOD($A881-INDEX(SkiftStart,1),Syklus)&lt;DagK+DagH+DagD,"D","F")))</f>
        <v/>
      </c>
      <c r="C881">
        <f>IF(MOD($A881-INDEX(SkiftStart,2),Syklus)&lt;DagK,"K",IF(MOD($A881-INDEX(SkiftStart,2),Syklus)&lt;DagK+DagH,"H",IF(MOD($A881-INDEX(SkiftStart,2),Syklus)&lt;DagK+DagH+DagD,"D","F")))</f>
        <v/>
      </c>
      <c r="D881">
        <f>IF(MOD($A881-INDEX(SkiftStart,3),Syklus)&lt;DagK,"K",IF(MOD($A881-INDEX(SkiftStart,3),Syklus)&lt;DagK+DagH,"H",IF(MOD($A881-INDEX(SkiftStart,3),Syklus)&lt;DagK+DagH+DagD,"D","F")))</f>
        <v/>
      </c>
      <c r="E881">
        <f>IF(B881="F",0,IF(WEEKDAY($A881,2)=5,INDEX(TimerFr,MATCH(B881,FaseKode,0)),INDEX(TimerMT,MATCH(B881,FaseKode,0))))</f>
        <v/>
      </c>
      <c r="F881">
        <f>IF(C881="F",0,IF(WEEKDAY($A881,2)=5,INDEX(TimerFr,MATCH(C881,FaseKode,0)),INDEX(TimerMT,MATCH(C881,FaseKode,0))))</f>
        <v/>
      </c>
      <c r="G881">
        <f>IF(D881="F",0,IF(WEEKDAY($A881,2)=5,INDEX(TimerFr,MATCH(D881,FaseKode,0)),INDEX(TimerMT,MATCH(D881,FaseKode,0))))</f>
        <v/>
      </c>
      <c r="H881">
        <f>IF(OR(H$4="",$A881&gt;TODAY()),0,IF(OR(INDEX($B881:$D881,H$5)="F",AND(H$6&gt;0,$A881&lt;H$6),AND(H$7&gt;0,$A881&gt;H$7)),0,MAX(0,ROUND((INDEX($E881:$G881,H$5)-SUMIFS(TF_Timer,TF_Tekniker,H$4,TF_Dato,$A881))*2,0)/2)))</f>
        <v/>
      </c>
      <c r="I881">
        <f>IF(OR(I$4="",$A881&gt;TODAY()),0,IF(OR(INDEX($B881:$D881,I$5)="F",AND(I$6&gt;0,$A881&lt;I$6),AND(I$7&gt;0,$A881&gt;I$7)),0,MAX(0,ROUND((INDEX($E881:$G881,I$5)-SUMIFS(TF_Timer,TF_Tekniker,I$4,TF_Dato,$A881))*2,0)/2)))</f>
        <v/>
      </c>
      <c r="J881">
        <f>IF(OR(J$4="",$A881&gt;TODAY()),0,IF(OR(INDEX($B881:$D881,J$5)="F",AND(J$6&gt;0,$A881&lt;J$6),AND(J$7&gt;0,$A881&gt;J$7)),0,MAX(0,ROUND((INDEX($E881:$G881,J$5)-SUMIFS(TF_Timer,TF_Tekniker,J$4,TF_Dato,$A881))*2,0)/2)))</f>
        <v/>
      </c>
      <c r="K881">
        <f>IF(OR(K$4="",$A881&gt;TODAY()),0,IF(OR(INDEX($B881:$D881,K$5)="F",AND(K$6&gt;0,$A881&lt;K$6),AND(K$7&gt;0,$A881&gt;K$7)),0,MAX(0,ROUND((INDEX($E881:$G881,K$5)-SUMIFS(TF_Timer,TF_Tekniker,K$4,TF_Dato,$A881))*2,0)/2)))</f>
        <v/>
      </c>
      <c r="L881">
        <f>IF(OR(L$4="",$A881&gt;TODAY()),0,IF(OR(INDEX($B881:$D881,L$5)="F",AND(L$6&gt;0,$A881&lt;L$6),AND(L$7&gt;0,$A881&gt;L$7)),0,MAX(0,ROUND((INDEX($E881:$G881,L$5)-SUMIFS(TF_Timer,TF_Tekniker,L$4,TF_Dato,$A881))*2,0)/2)))</f>
        <v/>
      </c>
      <c r="M881">
        <f>IF(OR(M$4="",$A881&gt;TODAY()),0,IF(OR(INDEX($B881:$D881,M$5)="F",AND(M$6&gt;0,$A881&lt;M$6),AND(M$7&gt;0,$A881&gt;M$7)),0,MAX(0,ROUND((INDEX($E881:$G881,M$5)-SUMIFS(TF_Timer,TF_Tekniker,M$4,TF_Dato,$A881))*2,0)/2)))</f>
        <v/>
      </c>
      <c r="N881">
        <f>IF(OR(N$4="",$A881&gt;TODAY()),0,IF(OR(INDEX($B881:$D881,N$5)="F",AND(N$6&gt;0,$A881&lt;N$6),AND(N$7&gt;0,$A881&gt;N$7)),0,MAX(0,ROUND((INDEX($E881:$G881,N$5)-SUMIFS(TF_Timer,TF_Tekniker,N$4,TF_Dato,$A881))*2,0)/2)))</f>
        <v/>
      </c>
      <c r="O881">
        <f>IF(OR(O$4="",$A881&gt;TODAY()),0,IF(OR(INDEX($B881:$D881,O$5)="F",AND(O$6&gt;0,$A881&lt;O$6),AND(O$7&gt;0,$A881&gt;O$7)),0,MAX(0,ROUND((INDEX($E881:$G881,O$5)-SUMIFS(TF_Timer,TF_Tekniker,O$4,TF_Dato,$A881))*2,0)/2)))</f>
        <v/>
      </c>
      <c r="P881">
        <f>IF(OR(P$4="",$A881&gt;TODAY()),0,IF(OR(INDEX($B881:$D881,P$5)="F",AND(P$6&gt;0,$A881&lt;P$6),AND(P$7&gt;0,$A881&gt;P$7)),0,MAX(0,ROUND((INDEX($E881:$G881,P$5)-SUMIFS(TF_Timer,TF_Tekniker,P$4,TF_Dato,$A881))*2,0)/2)))</f>
        <v/>
      </c>
      <c r="Q881">
        <f>IF(OR(Q$4="",$A881&gt;TODAY()),0,IF(OR(INDEX($B881:$D881,Q$5)="F",AND(Q$6&gt;0,$A881&lt;Q$6),AND(Q$7&gt;0,$A881&gt;Q$7)),0,MAX(0,ROUND((INDEX($E881:$G881,Q$5)-SUMIFS(TF_Timer,TF_Tekniker,Q$4,TF_Dato,$A881))*2,0)/2)))</f>
        <v/>
      </c>
      <c r="R881">
        <f>IF(OR(R$4="",$A881&gt;TODAY()),0,IF(OR(INDEX($B881:$D881,R$5)="F",AND(R$6&gt;0,$A881&lt;R$6),AND(R$7&gt;0,$A881&gt;R$7)),0,MAX(0,ROUND((INDEX($E881:$G881,R$5)-SUMIFS(TF_Timer,TF_Tekniker,R$4,TF_Dato,$A881))*2,0)/2)))</f>
        <v/>
      </c>
      <c r="S881">
        <f>IF(OR(S$4="",$A881&gt;TODAY()),0,IF(OR(INDEX($B881:$D881,S$5)="F",AND(S$6&gt;0,$A881&lt;S$6),AND(S$7&gt;0,$A881&gt;S$7)),0,MAX(0,ROUND((INDEX($E881:$G881,S$5)-SUMIFS(TF_Timer,TF_Tekniker,S$4,TF_Dato,$A881))*2,0)/2)))</f>
        <v/>
      </c>
      <c r="T881">
        <f>IF(OR(T$4="",$A881&gt;TODAY()),0,IF(OR(INDEX($B881:$D881,T$5)="F",AND(T$6&gt;0,$A881&lt;T$6),AND(T$7&gt;0,$A881&gt;T$7)),0,MAX(0,ROUND((INDEX($E881:$G881,T$5)-SUMIFS(TF_Timer,TF_Tekniker,T$4,TF_Dato,$A881))*2,0)/2)))</f>
        <v/>
      </c>
      <c r="U881">
        <f>IF(OR(U$4="",$A881&gt;TODAY()),0,IF(OR(INDEX($B881:$D881,U$5)="F",AND(U$6&gt;0,$A881&lt;U$6),AND(U$7&gt;0,$A881&gt;U$7)),0,MAX(0,ROUND((INDEX($E881:$G881,U$5)-SUMIFS(TF_Timer,TF_Tekniker,U$4,TF_Dato,$A881))*2,0)/2)))</f>
        <v/>
      </c>
      <c r="V881">
        <f>IF(OR(V$4="",$A881&gt;TODAY()),0,IF(OR(INDEX($B881:$D881,V$5)="F",AND(V$6&gt;0,$A881&lt;V$6),AND(V$7&gt;0,$A881&gt;V$7)),0,MAX(0,ROUND((INDEX($E881:$G881,V$5)-SUMIFS(TF_Timer,TF_Tekniker,V$4,TF_Dato,$A881))*2,0)/2)))</f>
        <v/>
      </c>
      <c r="W881">
        <f>IF(OR(W$4="",$A881&gt;TODAY()),0,IF(OR(INDEX($B881:$D881,W$5)="F",AND(W$6&gt;0,$A881&lt;W$6),AND(W$7&gt;0,$A881&gt;W$7)),0,MAX(0,ROUND((INDEX($E881:$G881,W$5)-SUMIFS(TF_Timer,TF_Tekniker,W$4,TF_Dato,$A881))*2,0)/2)))</f>
        <v/>
      </c>
      <c r="X881">
        <f>IF(OR(X$4="",$A881&gt;TODAY()),0,IF(OR(INDEX($B881:$D881,X$5)="F",AND(X$6&gt;0,$A881&lt;X$6),AND(X$7&gt;0,$A881&gt;X$7)),0,MAX(0,ROUND((INDEX($E881:$G881,X$5)-SUMIFS(TF_Timer,TF_Tekniker,X$4,TF_Dato,$A881))*2,0)/2)))</f>
        <v/>
      </c>
      <c r="Y881">
        <f>IF(OR(Y$4="",$A881&gt;TODAY()),0,IF(OR(INDEX($B881:$D881,Y$5)="F",AND(Y$6&gt;0,$A881&lt;Y$6),AND(Y$7&gt;0,$A881&gt;Y$7)),0,MAX(0,ROUND((INDEX($E881:$G881,Y$5)-SUMIFS(TF_Timer,TF_Tekniker,Y$4,TF_Dato,$A881))*2,0)/2)))</f>
        <v/>
      </c>
      <c r="Z881">
        <f>IF(OR(Z$4="",$A881&gt;TODAY()),0,IF(OR(INDEX($B881:$D881,Z$5)="F",AND(Z$6&gt;0,$A881&lt;Z$6),AND(Z$7&gt;0,$A881&gt;Z$7)),0,MAX(0,ROUND((INDEX($E881:$G881,Z$5)-SUMIFS(TF_Timer,TF_Tekniker,Z$4,TF_Dato,$A881))*2,0)/2)))</f>
        <v/>
      </c>
      <c r="AA881">
        <f>IF(OR(AA$4="",$A881&gt;TODAY()),0,IF(OR(INDEX($B881:$D881,AA$5)="F",AND(AA$6&gt;0,$A881&lt;AA$6),AND(AA$7&gt;0,$A881&gt;AA$7)),0,MAX(0,ROUND((INDEX($E881:$G881,AA$5)-SUMIFS(TF_Timer,TF_Tekniker,AA$4,TF_Dato,$A881))*2,0)/2)))</f>
        <v/>
      </c>
      <c r="AB881">
        <f>IF(OR(AB$4="",$A881&gt;TODAY()),0,IF(OR(INDEX($B881:$D881,AB$5)="F",AND(AB$6&gt;0,$A881&lt;AB$6),AND(AB$7&gt;0,$A881&gt;AB$7)),0,MAX(0,ROUND((INDEX($E881:$G881,AB$5)-SUMIFS(TF_Timer,TF_Tekniker,AB$4,TF_Dato,$A881))*2,0)/2)))</f>
        <v/>
      </c>
      <c r="AC881">
        <f>IF(OR(AC$4="",$A881&gt;TODAY()),0,IF(OR(INDEX($B881:$D881,AC$5)="F",AND(AC$6&gt;0,$A881&lt;AC$6),AND(AC$7&gt;0,$A881&gt;AC$7)),0,MAX(0,ROUND((INDEX($E881:$G881,AC$5)-SUMIFS(TF_Timer,TF_Tekniker,AC$4,TF_Dato,$A881))*2,0)/2)))</f>
        <v/>
      </c>
      <c r="AD881">
        <f>IF(OR(AD$4="",$A881&gt;TODAY()),0,IF(OR(INDEX($B881:$D881,AD$5)="F",AND(AD$6&gt;0,$A881&lt;AD$6),AND(AD$7&gt;0,$A881&gt;AD$7)),0,MAX(0,ROUND((INDEX($E881:$G881,AD$5)-SUMIFS(TF_Timer,TF_Tekniker,AD$4,TF_Dato,$A881))*2,0)/2)))</f>
        <v/>
      </c>
      <c r="AE881">
        <f>IF(OR(AE$4="",$A881&gt;TODAY()),0,IF(OR(INDEX($B881:$D881,AE$5)="F",AND(AE$6&gt;0,$A881&lt;AE$6),AND(AE$7&gt;0,$A881&gt;AE$7)),0,MAX(0,ROUND((INDEX($E881:$G881,AE$5)-SUMIFS(TF_Timer,TF_Tekniker,AE$4,TF_Dato,$A881))*2,0)/2)))</f>
        <v/>
      </c>
      <c r="AF881">
        <f>IF(OR(AF$4="",$A881&gt;TODAY()),0,IF(OR(INDEX($B881:$D881,AF$5)="F",AND(AF$6&gt;0,$A881&lt;AF$6),AND(AF$7&gt;0,$A881&gt;AF$7)),0,MAX(0,ROUND((INDEX($E881:$G881,AF$5)-SUMIFS(TF_Timer,TF_Tekniker,AF$4,TF_Dato,$A881))*2,0)/2)))</f>
        <v/>
      </c>
      <c r="AG881">
        <f>IF(OR(AG$4="",$A881&gt;TODAY()),0,IF(OR(INDEX($B881:$D881,AG$5)="F",AND(AG$6&gt;0,$A881&lt;AG$6),AND(AG$7&gt;0,$A881&gt;AG$7)),0,MAX(0,ROUND((INDEX($E881:$G881,AG$5)-SUMIFS(TF_Timer,TF_Tekniker,AG$4,TF_Dato,$A881))*2,0)/2)))</f>
        <v/>
      </c>
      <c r="AH881">
        <f>IF(OR(AH$4="",$A881&gt;TODAY()),0,IF(OR(INDEX($B881:$D881,AH$5)="F",AND(AH$6&gt;0,$A881&lt;AH$6),AND(AH$7&gt;0,$A881&gt;AH$7)),0,MAX(0,ROUND((INDEX($E881:$G881,AH$5)-SUMIFS(TF_Timer,TF_Tekniker,AH$4,TF_Dato,$A881))*2,0)/2)))</f>
        <v/>
      </c>
      <c r="AI881">
        <f>IF(OR(AI$4="",$A881&gt;TODAY()),0,IF(OR(INDEX($B881:$D881,AI$5)="F",AND(AI$6&gt;0,$A881&lt;AI$6),AND(AI$7&gt;0,$A881&gt;AI$7)),0,MAX(0,ROUND((INDEX($E881:$G881,AI$5)-SUMIFS(TF_Timer,TF_Tekniker,AI$4,TF_Dato,$A881))*2,0)/2)))</f>
        <v/>
      </c>
      <c r="AJ881">
        <f>IF(OR(AJ$4="",$A881&gt;TODAY()),0,IF(OR(INDEX($B881:$D881,AJ$5)="F",AND(AJ$6&gt;0,$A881&lt;AJ$6),AND(AJ$7&gt;0,$A881&gt;AJ$7)),0,MAX(0,ROUND((INDEX($E881:$G881,AJ$5)-SUMIFS(TF_Timer,TF_Tekniker,AJ$4,TF_Dato,$A881))*2,0)/2)))</f>
        <v/>
      </c>
      <c r="AK881">
        <f>IF(OR(AK$4="",$A881&gt;TODAY()),0,IF(OR(INDEX($B881:$D881,AK$5)="F",AND(AK$6&gt;0,$A881&lt;AK$6),AND(AK$7&gt;0,$A881&gt;AK$7)),0,MAX(0,ROUND((INDEX($E881:$G881,AK$5)-SUMIFS(TF_Timer,TF_Tekniker,AK$4,TF_Dato,$A881))*2,0)/2)))</f>
        <v/>
      </c>
      <c r="AL881">
        <f>IF(OR(AL$4="",$A881&gt;TODAY()),0,IF(OR(INDEX($B881:$D881,AL$5)="F",AND(AL$6&gt;0,$A881&lt;AL$6),AND(AL$7&gt;0,$A881&gt;AL$7)),0,MAX(0,ROUND((INDEX($E881:$G881,AL$5)-SUMIFS(TF_Timer,TF_Tekniker,AL$4,TF_Dato,$A881))*2,0)/2)))</f>
        <v/>
      </c>
      <c r="AM881">
        <f>IF(OR(AM$4="",$A881&gt;TODAY()),0,IF(OR(INDEX($B881:$D881,AM$5)="F",AND(AM$6&gt;0,$A881&lt;AM$6),AND(AM$7&gt;0,$A881&gt;AM$7)),0,MAX(0,ROUND((INDEX($E881:$G881,AM$5)-SUMIFS(TF_Timer,TF_Tekniker,AM$4,TF_Dato,$A881))*2,0)/2)))</f>
        <v/>
      </c>
      <c r="AN881">
        <f>IF(OR(AN$4="",$A881&gt;TODAY()),0,IF(OR(INDEX($B881:$D881,AN$5)="F",AND(AN$6&gt;0,$A881&lt;AN$6),AND(AN$7&gt;0,$A881&gt;AN$7)),0,MAX(0,ROUND((INDEX($E881:$G881,AN$5)-SUMIFS(TF_Timer,TF_Tekniker,AN$4,TF_Dato,$A881))*2,0)/2)))</f>
        <v/>
      </c>
      <c r="AO881">
        <f>IF(OR(AO$4="",$A881&gt;TODAY()),0,IF(OR(INDEX($B881:$D881,AO$5)="F",AND(AO$6&gt;0,$A881&lt;AO$6),AND(AO$7&gt;0,$A881&gt;AO$7)),0,MAX(0,ROUND((INDEX($E881:$G881,AO$5)-SUMIFS(TF_Timer,TF_Tekniker,AO$4,TF_Dato,$A881))*2,0)/2)))</f>
        <v/>
      </c>
      <c r="AP881">
        <f>IF(OR(AP$4="",$A881&gt;TODAY()),0,IF(OR(INDEX($B881:$D881,AP$5)="F",AND(AP$6&gt;0,$A881&lt;AP$6),AND(AP$7&gt;0,$A881&gt;AP$7)),0,MAX(0,ROUND((INDEX($E881:$G881,AP$5)-SUMIFS(TF_Timer,TF_Tekniker,AP$4,TF_Dato,$A881))*2,0)/2)))</f>
        <v/>
      </c>
      <c r="AQ881">
        <f>IF(OR(AQ$4="",$A881&gt;TODAY()),0,IF(OR(INDEX($B881:$D881,AQ$5)="F",AND(AQ$6&gt;0,$A881&lt;AQ$6),AND(AQ$7&gt;0,$A881&gt;AQ$7)),0,MAX(0,ROUND((INDEX($E881:$G881,AQ$5)-SUMIFS(TF_Timer,TF_Tekniker,AQ$4,TF_Dato,$A881))*2,0)/2)))</f>
        <v/>
      </c>
      <c r="AR881">
        <f>IF(OR(AR$4="",$A881&gt;TODAY()),0,IF(OR(INDEX($B881:$D881,AR$5)="F",AND(AR$6&gt;0,$A881&lt;AR$6),AND(AR$7&gt;0,$A881&gt;AR$7)),0,MAX(0,ROUND((INDEX($E881:$G881,AR$5)-SUMIFS(TF_Timer,TF_Tekniker,AR$4,TF_Dato,$A881))*2,0)/2)))</f>
        <v/>
      </c>
      <c r="AS881">
        <f>IF(OR(AS$4="",$A881&gt;TODAY()),0,IF(OR(INDEX($B881:$D881,AS$5)="F",AND(AS$6&gt;0,$A881&lt;AS$6),AND(AS$7&gt;0,$A881&gt;AS$7)),0,MAX(0,ROUND((INDEX($E881:$G881,AS$5)-SUMIFS(TF_Timer,TF_Tekniker,AS$4,TF_Dato,$A881))*2,0)/2)))</f>
        <v/>
      </c>
      <c r="AT881">
        <f>IF(OR(AT$4="",$A881&gt;TODAY()),0,IF(OR(INDEX($B881:$D881,AT$5)="F",AND(AT$6&gt;0,$A881&lt;AT$6),AND(AT$7&gt;0,$A881&gt;AT$7)),0,MAX(0,ROUND((INDEX($E881:$G881,AT$5)-SUMIFS(TF_Timer,TF_Tekniker,AT$4,TF_Dato,$A881))*2,0)/2)))</f>
        <v/>
      </c>
      <c r="AU881">
        <f>IF(OR(AU$4="",$A881&gt;TODAY()),0,IF(OR(INDEX($B881:$D881,AU$5)="F",AND(AU$6&gt;0,$A881&lt;AU$6),AND(AU$7&gt;0,$A881&gt;AU$7)),0,MAX(0,ROUND((INDEX($E881:$G881,AU$5)-SUMIFS(TF_Timer,TF_Tekniker,AU$4,TF_Dato,$A881))*2,0)/2)))</f>
        <v/>
      </c>
      <c r="AV881">
        <f>IF(OR(AV$4="",$A881&gt;TODAY()),0,IF(OR(INDEX($B881:$D881,AV$5)="F",AND(AV$6&gt;0,$A881&lt;AV$6),AND(AV$7&gt;0,$A881&gt;AV$7)),0,MAX(0,ROUND((INDEX($E881:$G881,AV$5)-SUMIFS(TF_Timer,TF_Tekniker,AV$4,TF_Dato,$A881))*2,0)/2)))</f>
        <v/>
      </c>
      <c r="AW881">
        <f>IF(OR(AW$4="",$A881&gt;TODAY()),0,IF(OR(INDEX($B881:$D881,AW$5)="F",AND(AW$6&gt;0,$A881&lt;AW$6),AND(AW$7&gt;0,$A881&gt;AW$7)),0,MAX(0,ROUND((INDEX($E881:$G881,AW$5)-SUMIFS(TF_Timer,TF_Tekniker,AW$4,TF_Dato,$A881))*2,0)/2)))</f>
        <v/>
      </c>
      <c r="AX881">
        <f>IF(OR(AX$4="",$A881&gt;TODAY()),0,IF(OR(INDEX($B881:$D881,AX$5)="F",AND(AX$6&gt;0,$A881&lt;AX$6),AND(AX$7&gt;0,$A881&gt;AX$7)),0,MAX(0,ROUND((INDEX($E881:$G881,AX$5)-SUMIFS(TF_Timer,TF_Tekniker,AX$4,TF_Dato,$A881))*2,0)/2)))</f>
        <v/>
      </c>
      <c r="AY881">
        <f>IF(OR(AY$4="",$A881&gt;TODAY()),0,IF(OR(INDEX($B881:$D881,AY$5)="F",AND(AY$6&gt;0,$A881&lt;AY$6),AND(AY$7&gt;0,$A881&gt;AY$7)),0,MAX(0,ROUND((INDEX($E881:$G881,AY$5)-SUMIFS(TF_Timer,TF_Tekniker,AY$4,TF_Dato,$A881))*2,0)/2)))</f>
        <v/>
      </c>
      <c r="AZ881">
        <f>IF(OR(AZ$4="",$A881&gt;TODAY()),0,IF(OR(INDEX($B881:$D881,AZ$5)="F",AND(AZ$6&gt;0,$A881&lt;AZ$6),AND(AZ$7&gt;0,$A881&gt;AZ$7)),0,MAX(0,ROUND((INDEX($E881:$G881,AZ$5)-SUMIFS(TF_Timer,TF_Tekniker,AZ$4,TF_Dato,$A881))*2,0)/2)))</f>
        <v/>
      </c>
      <c r="BA881">
        <f>IF(OR(BA$4="",$A881&gt;TODAY()),0,IF(OR(INDEX($B881:$D881,BA$5)="F",AND(BA$6&gt;0,$A881&lt;BA$6),AND(BA$7&gt;0,$A881&gt;BA$7)),0,MAX(0,ROUND((INDEX($E881:$G881,BA$5)-SUMIFS(TF_Timer,TF_Tekniker,BA$4,TF_Dato,$A881))*2,0)/2)))</f>
        <v/>
      </c>
      <c r="BB881">
        <f>IF(OR(BB$4="",$A881&gt;TODAY()),0,IF(OR(INDEX($B881:$D881,BB$5)="F",AND(BB$6&gt;0,$A881&lt;BB$6),AND(BB$7&gt;0,$A881&gt;BB$7)),0,MAX(0,ROUND((INDEX($E881:$G881,BB$5)-SUMIFS(TF_Timer,TF_Tekniker,BB$4,TF_Dato,$A881))*2,0)/2)))</f>
        <v/>
      </c>
      <c r="BC881">
        <f>IF(OR(BC$4="",$A881&gt;TODAY()),0,IF(OR(INDEX($B881:$D881,BC$5)="F",AND(BC$6&gt;0,$A881&lt;BC$6),AND(BC$7&gt;0,$A881&gt;BC$7)),0,MAX(0,ROUND((INDEX($E881:$G881,BC$5)-SUMIFS(TF_Timer,TF_Tekniker,BC$4,TF_Dato,$A881))*2,0)/2)))</f>
        <v/>
      </c>
      <c r="BD881">
        <f>IF(OR(BD$4="",$A881&gt;TODAY()),0,IF(OR(INDEX($B881:$D881,BD$5)="F",AND(BD$6&gt;0,$A881&lt;BD$6),AND(BD$7&gt;0,$A881&gt;BD$7)),0,MAX(0,ROUND((INDEX($E881:$G881,BD$5)-SUMIFS(TF_Timer,TF_Tekniker,BD$4,TF_Dato,$A881))*2,0)/2)))</f>
        <v/>
      </c>
      <c r="BE881">
        <f>IF(OR(BE$4="",$A881&gt;TODAY()),0,IF(OR(INDEX($B881:$D881,BE$5)="F",AND(BE$6&gt;0,$A881&lt;BE$6),AND(BE$7&gt;0,$A881&gt;BE$7)),0,MAX(0,ROUND((INDEX($E881:$G881,BE$5)-SUMIFS(TF_Timer,TF_Tekniker,BE$4,TF_Dato,$A881))*2,0)/2)))</f>
        <v/>
      </c>
      <c r="BF881">
        <f>IF(OR(BF$4="",$A881&gt;TODAY()),0,IF(OR(INDEX($B881:$D881,BF$5)="F",AND(BF$6&gt;0,$A881&lt;BF$6),AND(BF$7&gt;0,$A881&gt;BF$7)),0,MAX(0,ROUND((INDEX($E881:$G881,BF$5)-SUMIFS(TF_Timer,TF_Tekniker,BF$4,TF_Dato,$A881))*2,0)/2)))</f>
        <v/>
      </c>
      <c r="BG881">
        <f>IF(OR(BG$4="",$A881&gt;TODAY()),0,IF(OR(INDEX($B881:$D881,BG$5)="F",AND(BG$6&gt;0,$A881&lt;BG$6),AND(BG$7&gt;0,$A881&gt;BG$7)),0,MAX(0,ROUND((INDEX($E881:$G881,BG$5)-SUMIFS(TF_Timer,TF_Tekniker,BG$4,TF_Dato,$A881))*2,0)/2)))</f>
        <v/>
      </c>
      <c r="BH881">
        <f>IF(OR(BH$4="",$A881&gt;TODAY()),0,IF(OR(INDEX($B881:$D881,BH$5)="F",AND(BH$6&gt;0,$A881&lt;BH$6),AND(BH$7&gt;0,$A881&gt;BH$7)),0,MAX(0,ROUND((INDEX($E881:$G881,BH$5)-SUMIFS(TF_Timer,TF_Tekniker,BH$4,TF_Dato,$A881))*2,0)/2)))</f>
        <v/>
      </c>
      <c r="BI881">
        <f>IF(OR(BI$4="",$A881&gt;TODAY()),0,IF(OR(INDEX($B881:$D881,BI$5)="F",AND(BI$6&gt;0,$A881&lt;BI$6),AND(BI$7&gt;0,$A881&gt;BI$7)),0,MAX(0,ROUND((INDEX($E881:$G881,BI$5)-SUMIFS(TF_Timer,TF_Tekniker,BI$4,TF_Dato,$A881))*2,0)/2)))</f>
        <v/>
      </c>
    </row>
    <row r="882">
      <c r="A882" s="64">
        <f>A881+1</f>
        <v/>
      </c>
      <c r="B882">
        <f>IF(MOD($A882-INDEX(SkiftStart,1),Syklus)&lt;DagK,"K",IF(MOD($A882-INDEX(SkiftStart,1),Syklus)&lt;DagK+DagH,"H",IF(MOD($A882-INDEX(SkiftStart,1),Syklus)&lt;DagK+DagH+DagD,"D","F")))</f>
        <v/>
      </c>
      <c r="C882">
        <f>IF(MOD($A882-INDEX(SkiftStart,2),Syklus)&lt;DagK,"K",IF(MOD($A882-INDEX(SkiftStart,2),Syklus)&lt;DagK+DagH,"H",IF(MOD($A882-INDEX(SkiftStart,2),Syklus)&lt;DagK+DagH+DagD,"D","F")))</f>
        <v/>
      </c>
      <c r="D882">
        <f>IF(MOD($A882-INDEX(SkiftStart,3),Syklus)&lt;DagK,"K",IF(MOD($A882-INDEX(SkiftStart,3),Syklus)&lt;DagK+DagH,"H",IF(MOD($A882-INDEX(SkiftStart,3),Syklus)&lt;DagK+DagH+DagD,"D","F")))</f>
        <v/>
      </c>
      <c r="E882">
        <f>IF(B882="F",0,IF(WEEKDAY($A882,2)=5,INDEX(TimerFr,MATCH(B882,FaseKode,0)),INDEX(TimerMT,MATCH(B882,FaseKode,0))))</f>
        <v/>
      </c>
      <c r="F882">
        <f>IF(C882="F",0,IF(WEEKDAY($A882,2)=5,INDEX(TimerFr,MATCH(C882,FaseKode,0)),INDEX(TimerMT,MATCH(C882,FaseKode,0))))</f>
        <v/>
      </c>
      <c r="G882">
        <f>IF(D882="F",0,IF(WEEKDAY($A882,2)=5,INDEX(TimerFr,MATCH(D882,FaseKode,0)),INDEX(TimerMT,MATCH(D882,FaseKode,0))))</f>
        <v/>
      </c>
      <c r="H882">
        <f>IF(OR(H$4="",$A882&gt;TODAY()),0,IF(OR(INDEX($B882:$D882,H$5)="F",AND(H$6&gt;0,$A882&lt;H$6),AND(H$7&gt;0,$A882&gt;H$7)),0,MAX(0,ROUND((INDEX($E882:$G882,H$5)-SUMIFS(TF_Timer,TF_Tekniker,H$4,TF_Dato,$A882))*2,0)/2)))</f>
        <v/>
      </c>
      <c r="I882">
        <f>IF(OR(I$4="",$A882&gt;TODAY()),0,IF(OR(INDEX($B882:$D882,I$5)="F",AND(I$6&gt;0,$A882&lt;I$6),AND(I$7&gt;0,$A882&gt;I$7)),0,MAX(0,ROUND((INDEX($E882:$G882,I$5)-SUMIFS(TF_Timer,TF_Tekniker,I$4,TF_Dato,$A882))*2,0)/2)))</f>
        <v/>
      </c>
      <c r="J882">
        <f>IF(OR(J$4="",$A882&gt;TODAY()),0,IF(OR(INDEX($B882:$D882,J$5)="F",AND(J$6&gt;0,$A882&lt;J$6),AND(J$7&gt;0,$A882&gt;J$7)),0,MAX(0,ROUND((INDEX($E882:$G882,J$5)-SUMIFS(TF_Timer,TF_Tekniker,J$4,TF_Dato,$A882))*2,0)/2)))</f>
        <v/>
      </c>
      <c r="K882">
        <f>IF(OR(K$4="",$A882&gt;TODAY()),0,IF(OR(INDEX($B882:$D882,K$5)="F",AND(K$6&gt;0,$A882&lt;K$6),AND(K$7&gt;0,$A882&gt;K$7)),0,MAX(0,ROUND((INDEX($E882:$G882,K$5)-SUMIFS(TF_Timer,TF_Tekniker,K$4,TF_Dato,$A882))*2,0)/2)))</f>
        <v/>
      </c>
      <c r="L882">
        <f>IF(OR(L$4="",$A882&gt;TODAY()),0,IF(OR(INDEX($B882:$D882,L$5)="F",AND(L$6&gt;0,$A882&lt;L$6),AND(L$7&gt;0,$A882&gt;L$7)),0,MAX(0,ROUND((INDEX($E882:$G882,L$5)-SUMIFS(TF_Timer,TF_Tekniker,L$4,TF_Dato,$A882))*2,0)/2)))</f>
        <v/>
      </c>
      <c r="M882">
        <f>IF(OR(M$4="",$A882&gt;TODAY()),0,IF(OR(INDEX($B882:$D882,M$5)="F",AND(M$6&gt;0,$A882&lt;M$6),AND(M$7&gt;0,$A882&gt;M$7)),0,MAX(0,ROUND((INDEX($E882:$G882,M$5)-SUMIFS(TF_Timer,TF_Tekniker,M$4,TF_Dato,$A882))*2,0)/2)))</f>
        <v/>
      </c>
      <c r="N882">
        <f>IF(OR(N$4="",$A882&gt;TODAY()),0,IF(OR(INDEX($B882:$D882,N$5)="F",AND(N$6&gt;0,$A882&lt;N$6),AND(N$7&gt;0,$A882&gt;N$7)),0,MAX(0,ROUND((INDEX($E882:$G882,N$5)-SUMIFS(TF_Timer,TF_Tekniker,N$4,TF_Dato,$A882))*2,0)/2)))</f>
        <v/>
      </c>
      <c r="O882">
        <f>IF(OR(O$4="",$A882&gt;TODAY()),0,IF(OR(INDEX($B882:$D882,O$5)="F",AND(O$6&gt;0,$A882&lt;O$6),AND(O$7&gt;0,$A882&gt;O$7)),0,MAX(0,ROUND((INDEX($E882:$G882,O$5)-SUMIFS(TF_Timer,TF_Tekniker,O$4,TF_Dato,$A882))*2,0)/2)))</f>
        <v/>
      </c>
      <c r="P882">
        <f>IF(OR(P$4="",$A882&gt;TODAY()),0,IF(OR(INDEX($B882:$D882,P$5)="F",AND(P$6&gt;0,$A882&lt;P$6),AND(P$7&gt;0,$A882&gt;P$7)),0,MAX(0,ROUND((INDEX($E882:$G882,P$5)-SUMIFS(TF_Timer,TF_Tekniker,P$4,TF_Dato,$A882))*2,0)/2)))</f>
        <v/>
      </c>
      <c r="Q882">
        <f>IF(OR(Q$4="",$A882&gt;TODAY()),0,IF(OR(INDEX($B882:$D882,Q$5)="F",AND(Q$6&gt;0,$A882&lt;Q$6),AND(Q$7&gt;0,$A882&gt;Q$7)),0,MAX(0,ROUND((INDEX($E882:$G882,Q$5)-SUMIFS(TF_Timer,TF_Tekniker,Q$4,TF_Dato,$A882))*2,0)/2)))</f>
        <v/>
      </c>
      <c r="R882">
        <f>IF(OR(R$4="",$A882&gt;TODAY()),0,IF(OR(INDEX($B882:$D882,R$5)="F",AND(R$6&gt;0,$A882&lt;R$6),AND(R$7&gt;0,$A882&gt;R$7)),0,MAX(0,ROUND((INDEX($E882:$G882,R$5)-SUMIFS(TF_Timer,TF_Tekniker,R$4,TF_Dato,$A882))*2,0)/2)))</f>
        <v/>
      </c>
      <c r="S882">
        <f>IF(OR(S$4="",$A882&gt;TODAY()),0,IF(OR(INDEX($B882:$D882,S$5)="F",AND(S$6&gt;0,$A882&lt;S$6),AND(S$7&gt;0,$A882&gt;S$7)),0,MAX(0,ROUND((INDEX($E882:$G882,S$5)-SUMIFS(TF_Timer,TF_Tekniker,S$4,TF_Dato,$A882))*2,0)/2)))</f>
        <v/>
      </c>
      <c r="T882">
        <f>IF(OR(T$4="",$A882&gt;TODAY()),0,IF(OR(INDEX($B882:$D882,T$5)="F",AND(T$6&gt;0,$A882&lt;T$6),AND(T$7&gt;0,$A882&gt;T$7)),0,MAX(0,ROUND((INDEX($E882:$G882,T$5)-SUMIFS(TF_Timer,TF_Tekniker,T$4,TF_Dato,$A882))*2,0)/2)))</f>
        <v/>
      </c>
      <c r="U882">
        <f>IF(OR(U$4="",$A882&gt;TODAY()),0,IF(OR(INDEX($B882:$D882,U$5)="F",AND(U$6&gt;0,$A882&lt;U$6),AND(U$7&gt;0,$A882&gt;U$7)),0,MAX(0,ROUND((INDEX($E882:$G882,U$5)-SUMIFS(TF_Timer,TF_Tekniker,U$4,TF_Dato,$A882))*2,0)/2)))</f>
        <v/>
      </c>
      <c r="V882">
        <f>IF(OR(V$4="",$A882&gt;TODAY()),0,IF(OR(INDEX($B882:$D882,V$5)="F",AND(V$6&gt;0,$A882&lt;V$6),AND(V$7&gt;0,$A882&gt;V$7)),0,MAX(0,ROUND((INDEX($E882:$G882,V$5)-SUMIFS(TF_Timer,TF_Tekniker,V$4,TF_Dato,$A882))*2,0)/2)))</f>
        <v/>
      </c>
      <c r="W882">
        <f>IF(OR(W$4="",$A882&gt;TODAY()),0,IF(OR(INDEX($B882:$D882,W$5)="F",AND(W$6&gt;0,$A882&lt;W$6),AND(W$7&gt;0,$A882&gt;W$7)),0,MAX(0,ROUND((INDEX($E882:$G882,W$5)-SUMIFS(TF_Timer,TF_Tekniker,W$4,TF_Dato,$A882))*2,0)/2)))</f>
        <v/>
      </c>
      <c r="X882">
        <f>IF(OR(X$4="",$A882&gt;TODAY()),0,IF(OR(INDEX($B882:$D882,X$5)="F",AND(X$6&gt;0,$A882&lt;X$6),AND(X$7&gt;0,$A882&gt;X$7)),0,MAX(0,ROUND((INDEX($E882:$G882,X$5)-SUMIFS(TF_Timer,TF_Tekniker,X$4,TF_Dato,$A882))*2,0)/2)))</f>
        <v/>
      </c>
      <c r="Y882">
        <f>IF(OR(Y$4="",$A882&gt;TODAY()),0,IF(OR(INDEX($B882:$D882,Y$5)="F",AND(Y$6&gt;0,$A882&lt;Y$6),AND(Y$7&gt;0,$A882&gt;Y$7)),0,MAX(0,ROUND((INDEX($E882:$G882,Y$5)-SUMIFS(TF_Timer,TF_Tekniker,Y$4,TF_Dato,$A882))*2,0)/2)))</f>
        <v/>
      </c>
      <c r="Z882">
        <f>IF(OR(Z$4="",$A882&gt;TODAY()),0,IF(OR(INDEX($B882:$D882,Z$5)="F",AND(Z$6&gt;0,$A882&lt;Z$6),AND(Z$7&gt;0,$A882&gt;Z$7)),0,MAX(0,ROUND((INDEX($E882:$G882,Z$5)-SUMIFS(TF_Timer,TF_Tekniker,Z$4,TF_Dato,$A882))*2,0)/2)))</f>
        <v/>
      </c>
      <c r="AA882">
        <f>IF(OR(AA$4="",$A882&gt;TODAY()),0,IF(OR(INDEX($B882:$D882,AA$5)="F",AND(AA$6&gt;0,$A882&lt;AA$6),AND(AA$7&gt;0,$A882&gt;AA$7)),0,MAX(0,ROUND((INDEX($E882:$G882,AA$5)-SUMIFS(TF_Timer,TF_Tekniker,AA$4,TF_Dato,$A882))*2,0)/2)))</f>
        <v/>
      </c>
      <c r="AB882">
        <f>IF(OR(AB$4="",$A882&gt;TODAY()),0,IF(OR(INDEX($B882:$D882,AB$5)="F",AND(AB$6&gt;0,$A882&lt;AB$6),AND(AB$7&gt;0,$A882&gt;AB$7)),0,MAX(0,ROUND((INDEX($E882:$G882,AB$5)-SUMIFS(TF_Timer,TF_Tekniker,AB$4,TF_Dato,$A882))*2,0)/2)))</f>
        <v/>
      </c>
      <c r="AC882">
        <f>IF(OR(AC$4="",$A882&gt;TODAY()),0,IF(OR(INDEX($B882:$D882,AC$5)="F",AND(AC$6&gt;0,$A882&lt;AC$6),AND(AC$7&gt;0,$A882&gt;AC$7)),0,MAX(0,ROUND((INDEX($E882:$G882,AC$5)-SUMIFS(TF_Timer,TF_Tekniker,AC$4,TF_Dato,$A882))*2,0)/2)))</f>
        <v/>
      </c>
      <c r="AD882">
        <f>IF(OR(AD$4="",$A882&gt;TODAY()),0,IF(OR(INDEX($B882:$D882,AD$5)="F",AND(AD$6&gt;0,$A882&lt;AD$6),AND(AD$7&gt;0,$A882&gt;AD$7)),0,MAX(0,ROUND((INDEX($E882:$G882,AD$5)-SUMIFS(TF_Timer,TF_Tekniker,AD$4,TF_Dato,$A882))*2,0)/2)))</f>
        <v/>
      </c>
      <c r="AE882">
        <f>IF(OR(AE$4="",$A882&gt;TODAY()),0,IF(OR(INDEX($B882:$D882,AE$5)="F",AND(AE$6&gt;0,$A882&lt;AE$6),AND(AE$7&gt;0,$A882&gt;AE$7)),0,MAX(0,ROUND((INDEX($E882:$G882,AE$5)-SUMIFS(TF_Timer,TF_Tekniker,AE$4,TF_Dato,$A882))*2,0)/2)))</f>
        <v/>
      </c>
      <c r="AF882">
        <f>IF(OR(AF$4="",$A882&gt;TODAY()),0,IF(OR(INDEX($B882:$D882,AF$5)="F",AND(AF$6&gt;0,$A882&lt;AF$6),AND(AF$7&gt;0,$A882&gt;AF$7)),0,MAX(0,ROUND((INDEX($E882:$G882,AF$5)-SUMIFS(TF_Timer,TF_Tekniker,AF$4,TF_Dato,$A882))*2,0)/2)))</f>
        <v/>
      </c>
      <c r="AG882">
        <f>IF(OR(AG$4="",$A882&gt;TODAY()),0,IF(OR(INDEX($B882:$D882,AG$5)="F",AND(AG$6&gt;0,$A882&lt;AG$6),AND(AG$7&gt;0,$A882&gt;AG$7)),0,MAX(0,ROUND((INDEX($E882:$G882,AG$5)-SUMIFS(TF_Timer,TF_Tekniker,AG$4,TF_Dato,$A882))*2,0)/2)))</f>
        <v/>
      </c>
      <c r="AH882">
        <f>IF(OR(AH$4="",$A882&gt;TODAY()),0,IF(OR(INDEX($B882:$D882,AH$5)="F",AND(AH$6&gt;0,$A882&lt;AH$6),AND(AH$7&gt;0,$A882&gt;AH$7)),0,MAX(0,ROUND((INDEX($E882:$G882,AH$5)-SUMIFS(TF_Timer,TF_Tekniker,AH$4,TF_Dato,$A882))*2,0)/2)))</f>
        <v/>
      </c>
      <c r="AI882">
        <f>IF(OR(AI$4="",$A882&gt;TODAY()),0,IF(OR(INDEX($B882:$D882,AI$5)="F",AND(AI$6&gt;0,$A882&lt;AI$6),AND(AI$7&gt;0,$A882&gt;AI$7)),0,MAX(0,ROUND((INDEX($E882:$G882,AI$5)-SUMIFS(TF_Timer,TF_Tekniker,AI$4,TF_Dato,$A882))*2,0)/2)))</f>
        <v/>
      </c>
      <c r="AJ882">
        <f>IF(OR(AJ$4="",$A882&gt;TODAY()),0,IF(OR(INDEX($B882:$D882,AJ$5)="F",AND(AJ$6&gt;0,$A882&lt;AJ$6),AND(AJ$7&gt;0,$A882&gt;AJ$7)),0,MAX(0,ROUND((INDEX($E882:$G882,AJ$5)-SUMIFS(TF_Timer,TF_Tekniker,AJ$4,TF_Dato,$A882))*2,0)/2)))</f>
        <v/>
      </c>
      <c r="AK882">
        <f>IF(OR(AK$4="",$A882&gt;TODAY()),0,IF(OR(INDEX($B882:$D882,AK$5)="F",AND(AK$6&gt;0,$A882&lt;AK$6),AND(AK$7&gt;0,$A882&gt;AK$7)),0,MAX(0,ROUND((INDEX($E882:$G882,AK$5)-SUMIFS(TF_Timer,TF_Tekniker,AK$4,TF_Dato,$A882))*2,0)/2)))</f>
        <v/>
      </c>
      <c r="AL882">
        <f>IF(OR(AL$4="",$A882&gt;TODAY()),0,IF(OR(INDEX($B882:$D882,AL$5)="F",AND(AL$6&gt;0,$A882&lt;AL$6),AND(AL$7&gt;0,$A882&gt;AL$7)),0,MAX(0,ROUND((INDEX($E882:$G882,AL$5)-SUMIFS(TF_Timer,TF_Tekniker,AL$4,TF_Dato,$A882))*2,0)/2)))</f>
        <v/>
      </c>
      <c r="AM882">
        <f>IF(OR(AM$4="",$A882&gt;TODAY()),0,IF(OR(INDEX($B882:$D882,AM$5)="F",AND(AM$6&gt;0,$A882&lt;AM$6),AND(AM$7&gt;0,$A882&gt;AM$7)),0,MAX(0,ROUND((INDEX($E882:$G882,AM$5)-SUMIFS(TF_Timer,TF_Tekniker,AM$4,TF_Dato,$A882))*2,0)/2)))</f>
        <v/>
      </c>
      <c r="AN882">
        <f>IF(OR(AN$4="",$A882&gt;TODAY()),0,IF(OR(INDEX($B882:$D882,AN$5)="F",AND(AN$6&gt;0,$A882&lt;AN$6),AND(AN$7&gt;0,$A882&gt;AN$7)),0,MAX(0,ROUND((INDEX($E882:$G882,AN$5)-SUMIFS(TF_Timer,TF_Tekniker,AN$4,TF_Dato,$A882))*2,0)/2)))</f>
        <v/>
      </c>
      <c r="AO882">
        <f>IF(OR(AO$4="",$A882&gt;TODAY()),0,IF(OR(INDEX($B882:$D882,AO$5)="F",AND(AO$6&gt;0,$A882&lt;AO$6),AND(AO$7&gt;0,$A882&gt;AO$7)),0,MAX(0,ROUND((INDEX($E882:$G882,AO$5)-SUMIFS(TF_Timer,TF_Tekniker,AO$4,TF_Dato,$A882))*2,0)/2)))</f>
        <v/>
      </c>
      <c r="AP882">
        <f>IF(OR(AP$4="",$A882&gt;TODAY()),0,IF(OR(INDEX($B882:$D882,AP$5)="F",AND(AP$6&gt;0,$A882&lt;AP$6),AND(AP$7&gt;0,$A882&gt;AP$7)),0,MAX(0,ROUND((INDEX($E882:$G882,AP$5)-SUMIFS(TF_Timer,TF_Tekniker,AP$4,TF_Dato,$A882))*2,0)/2)))</f>
        <v/>
      </c>
      <c r="AQ882">
        <f>IF(OR(AQ$4="",$A882&gt;TODAY()),0,IF(OR(INDEX($B882:$D882,AQ$5)="F",AND(AQ$6&gt;0,$A882&lt;AQ$6),AND(AQ$7&gt;0,$A882&gt;AQ$7)),0,MAX(0,ROUND((INDEX($E882:$G882,AQ$5)-SUMIFS(TF_Timer,TF_Tekniker,AQ$4,TF_Dato,$A882))*2,0)/2)))</f>
        <v/>
      </c>
      <c r="AR882">
        <f>IF(OR(AR$4="",$A882&gt;TODAY()),0,IF(OR(INDEX($B882:$D882,AR$5)="F",AND(AR$6&gt;0,$A882&lt;AR$6),AND(AR$7&gt;0,$A882&gt;AR$7)),0,MAX(0,ROUND((INDEX($E882:$G882,AR$5)-SUMIFS(TF_Timer,TF_Tekniker,AR$4,TF_Dato,$A882))*2,0)/2)))</f>
        <v/>
      </c>
      <c r="AS882">
        <f>IF(OR(AS$4="",$A882&gt;TODAY()),0,IF(OR(INDEX($B882:$D882,AS$5)="F",AND(AS$6&gt;0,$A882&lt;AS$6),AND(AS$7&gt;0,$A882&gt;AS$7)),0,MAX(0,ROUND((INDEX($E882:$G882,AS$5)-SUMIFS(TF_Timer,TF_Tekniker,AS$4,TF_Dato,$A882))*2,0)/2)))</f>
        <v/>
      </c>
      <c r="AT882">
        <f>IF(OR(AT$4="",$A882&gt;TODAY()),0,IF(OR(INDEX($B882:$D882,AT$5)="F",AND(AT$6&gt;0,$A882&lt;AT$6),AND(AT$7&gt;0,$A882&gt;AT$7)),0,MAX(0,ROUND((INDEX($E882:$G882,AT$5)-SUMIFS(TF_Timer,TF_Tekniker,AT$4,TF_Dato,$A882))*2,0)/2)))</f>
        <v/>
      </c>
      <c r="AU882">
        <f>IF(OR(AU$4="",$A882&gt;TODAY()),0,IF(OR(INDEX($B882:$D882,AU$5)="F",AND(AU$6&gt;0,$A882&lt;AU$6),AND(AU$7&gt;0,$A882&gt;AU$7)),0,MAX(0,ROUND((INDEX($E882:$G882,AU$5)-SUMIFS(TF_Timer,TF_Tekniker,AU$4,TF_Dato,$A882))*2,0)/2)))</f>
        <v/>
      </c>
      <c r="AV882">
        <f>IF(OR(AV$4="",$A882&gt;TODAY()),0,IF(OR(INDEX($B882:$D882,AV$5)="F",AND(AV$6&gt;0,$A882&lt;AV$6),AND(AV$7&gt;0,$A882&gt;AV$7)),0,MAX(0,ROUND((INDEX($E882:$G882,AV$5)-SUMIFS(TF_Timer,TF_Tekniker,AV$4,TF_Dato,$A882))*2,0)/2)))</f>
        <v/>
      </c>
      <c r="AW882">
        <f>IF(OR(AW$4="",$A882&gt;TODAY()),0,IF(OR(INDEX($B882:$D882,AW$5)="F",AND(AW$6&gt;0,$A882&lt;AW$6),AND(AW$7&gt;0,$A882&gt;AW$7)),0,MAX(0,ROUND((INDEX($E882:$G882,AW$5)-SUMIFS(TF_Timer,TF_Tekniker,AW$4,TF_Dato,$A882))*2,0)/2)))</f>
        <v/>
      </c>
      <c r="AX882">
        <f>IF(OR(AX$4="",$A882&gt;TODAY()),0,IF(OR(INDEX($B882:$D882,AX$5)="F",AND(AX$6&gt;0,$A882&lt;AX$6),AND(AX$7&gt;0,$A882&gt;AX$7)),0,MAX(0,ROUND((INDEX($E882:$G882,AX$5)-SUMIFS(TF_Timer,TF_Tekniker,AX$4,TF_Dato,$A882))*2,0)/2)))</f>
        <v/>
      </c>
      <c r="AY882">
        <f>IF(OR(AY$4="",$A882&gt;TODAY()),0,IF(OR(INDEX($B882:$D882,AY$5)="F",AND(AY$6&gt;0,$A882&lt;AY$6),AND(AY$7&gt;0,$A882&gt;AY$7)),0,MAX(0,ROUND((INDEX($E882:$G882,AY$5)-SUMIFS(TF_Timer,TF_Tekniker,AY$4,TF_Dato,$A882))*2,0)/2)))</f>
        <v/>
      </c>
      <c r="AZ882">
        <f>IF(OR(AZ$4="",$A882&gt;TODAY()),0,IF(OR(INDEX($B882:$D882,AZ$5)="F",AND(AZ$6&gt;0,$A882&lt;AZ$6),AND(AZ$7&gt;0,$A882&gt;AZ$7)),0,MAX(0,ROUND((INDEX($E882:$G882,AZ$5)-SUMIFS(TF_Timer,TF_Tekniker,AZ$4,TF_Dato,$A882))*2,0)/2)))</f>
        <v/>
      </c>
      <c r="BA882">
        <f>IF(OR(BA$4="",$A882&gt;TODAY()),0,IF(OR(INDEX($B882:$D882,BA$5)="F",AND(BA$6&gt;0,$A882&lt;BA$6),AND(BA$7&gt;0,$A882&gt;BA$7)),0,MAX(0,ROUND((INDEX($E882:$G882,BA$5)-SUMIFS(TF_Timer,TF_Tekniker,BA$4,TF_Dato,$A882))*2,0)/2)))</f>
        <v/>
      </c>
      <c r="BB882">
        <f>IF(OR(BB$4="",$A882&gt;TODAY()),0,IF(OR(INDEX($B882:$D882,BB$5)="F",AND(BB$6&gt;0,$A882&lt;BB$6),AND(BB$7&gt;0,$A882&gt;BB$7)),0,MAX(0,ROUND((INDEX($E882:$G882,BB$5)-SUMIFS(TF_Timer,TF_Tekniker,BB$4,TF_Dato,$A882))*2,0)/2)))</f>
        <v/>
      </c>
      <c r="BC882">
        <f>IF(OR(BC$4="",$A882&gt;TODAY()),0,IF(OR(INDEX($B882:$D882,BC$5)="F",AND(BC$6&gt;0,$A882&lt;BC$6),AND(BC$7&gt;0,$A882&gt;BC$7)),0,MAX(0,ROUND((INDEX($E882:$G882,BC$5)-SUMIFS(TF_Timer,TF_Tekniker,BC$4,TF_Dato,$A882))*2,0)/2)))</f>
        <v/>
      </c>
      <c r="BD882">
        <f>IF(OR(BD$4="",$A882&gt;TODAY()),0,IF(OR(INDEX($B882:$D882,BD$5)="F",AND(BD$6&gt;0,$A882&lt;BD$6),AND(BD$7&gt;0,$A882&gt;BD$7)),0,MAX(0,ROUND((INDEX($E882:$G882,BD$5)-SUMIFS(TF_Timer,TF_Tekniker,BD$4,TF_Dato,$A882))*2,0)/2)))</f>
        <v/>
      </c>
      <c r="BE882">
        <f>IF(OR(BE$4="",$A882&gt;TODAY()),0,IF(OR(INDEX($B882:$D882,BE$5)="F",AND(BE$6&gt;0,$A882&lt;BE$6),AND(BE$7&gt;0,$A882&gt;BE$7)),0,MAX(0,ROUND((INDEX($E882:$G882,BE$5)-SUMIFS(TF_Timer,TF_Tekniker,BE$4,TF_Dato,$A882))*2,0)/2)))</f>
        <v/>
      </c>
      <c r="BF882">
        <f>IF(OR(BF$4="",$A882&gt;TODAY()),0,IF(OR(INDEX($B882:$D882,BF$5)="F",AND(BF$6&gt;0,$A882&lt;BF$6),AND(BF$7&gt;0,$A882&gt;BF$7)),0,MAX(0,ROUND((INDEX($E882:$G882,BF$5)-SUMIFS(TF_Timer,TF_Tekniker,BF$4,TF_Dato,$A882))*2,0)/2)))</f>
        <v/>
      </c>
      <c r="BG882">
        <f>IF(OR(BG$4="",$A882&gt;TODAY()),0,IF(OR(INDEX($B882:$D882,BG$5)="F",AND(BG$6&gt;0,$A882&lt;BG$6),AND(BG$7&gt;0,$A882&gt;BG$7)),0,MAX(0,ROUND((INDEX($E882:$G882,BG$5)-SUMIFS(TF_Timer,TF_Tekniker,BG$4,TF_Dato,$A882))*2,0)/2)))</f>
        <v/>
      </c>
      <c r="BH882">
        <f>IF(OR(BH$4="",$A882&gt;TODAY()),0,IF(OR(INDEX($B882:$D882,BH$5)="F",AND(BH$6&gt;0,$A882&lt;BH$6),AND(BH$7&gt;0,$A882&gt;BH$7)),0,MAX(0,ROUND((INDEX($E882:$G882,BH$5)-SUMIFS(TF_Timer,TF_Tekniker,BH$4,TF_Dato,$A882))*2,0)/2)))</f>
        <v/>
      </c>
      <c r="BI882">
        <f>IF(OR(BI$4="",$A882&gt;TODAY()),0,IF(OR(INDEX($B882:$D882,BI$5)="F",AND(BI$6&gt;0,$A882&lt;BI$6),AND(BI$7&gt;0,$A882&gt;BI$7)),0,MAX(0,ROUND((INDEX($E882:$G882,BI$5)-SUMIFS(TF_Timer,TF_Tekniker,BI$4,TF_Dato,$A882))*2,0)/2)))</f>
        <v/>
      </c>
    </row>
    <row r="883">
      <c r="A883" s="64">
        <f>A882+1</f>
        <v/>
      </c>
      <c r="B883">
        <f>IF(MOD($A883-INDEX(SkiftStart,1),Syklus)&lt;DagK,"K",IF(MOD($A883-INDEX(SkiftStart,1),Syklus)&lt;DagK+DagH,"H",IF(MOD($A883-INDEX(SkiftStart,1),Syklus)&lt;DagK+DagH+DagD,"D","F")))</f>
        <v/>
      </c>
      <c r="C883">
        <f>IF(MOD($A883-INDEX(SkiftStart,2),Syklus)&lt;DagK,"K",IF(MOD($A883-INDEX(SkiftStart,2),Syklus)&lt;DagK+DagH,"H",IF(MOD($A883-INDEX(SkiftStart,2),Syklus)&lt;DagK+DagH+DagD,"D","F")))</f>
        <v/>
      </c>
      <c r="D883">
        <f>IF(MOD($A883-INDEX(SkiftStart,3),Syklus)&lt;DagK,"K",IF(MOD($A883-INDEX(SkiftStart,3),Syklus)&lt;DagK+DagH,"H",IF(MOD($A883-INDEX(SkiftStart,3),Syklus)&lt;DagK+DagH+DagD,"D","F")))</f>
        <v/>
      </c>
      <c r="E883">
        <f>IF(B883="F",0,IF(WEEKDAY($A883,2)=5,INDEX(TimerFr,MATCH(B883,FaseKode,0)),INDEX(TimerMT,MATCH(B883,FaseKode,0))))</f>
        <v/>
      </c>
      <c r="F883">
        <f>IF(C883="F",0,IF(WEEKDAY($A883,2)=5,INDEX(TimerFr,MATCH(C883,FaseKode,0)),INDEX(TimerMT,MATCH(C883,FaseKode,0))))</f>
        <v/>
      </c>
      <c r="G883">
        <f>IF(D883="F",0,IF(WEEKDAY($A883,2)=5,INDEX(TimerFr,MATCH(D883,FaseKode,0)),INDEX(TimerMT,MATCH(D883,FaseKode,0))))</f>
        <v/>
      </c>
      <c r="H883">
        <f>IF(OR(H$4="",$A883&gt;TODAY()),0,IF(OR(INDEX($B883:$D883,H$5)="F",AND(H$6&gt;0,$A883&lt;H$6),AND(H$7&gt;0,$A883&gt;H$7)),0,MAX(0,ROUND((INDEX($E883:$G883,H$5)-SUMIFS(TF_Timer,TF_Tekniker,H$4,TF_Dato,$A883))*2,0)/2)))</f>
        <v/>
      </c>
      <c r="I883">
        <f>IF(OR(I$4="",$A883&gt;TODAY()),0,IF(OR(INDEX($B883:$D883,I$5)="F",AND(I$6&gt;0,$A883&lt;I$6),AND(I$7&gt;0,$A883&gt;I$7)),0,MAX(0,ROUND((INDEX($E883:$G883,I$5)-SUMIFS(TF_Timer,TF_Tekniker,I$4,TF_Dato,$A883))*2,0)/2)))</f>
        <v/>
      </c>
      <c r="J883">
        <f>IF(OR(J$4="",$A883&gt;TODAY()),0,IF(OR(INDEX($B883:$D883,J$5)="F",AND(J$6&gt;0,$A883&lt;J$6),AND(J$7&gt;0,$A883&gt;J$7)),0,MAX(0,ROUND((INDEX($E883:$G883,J$5)-SUMIFS(TF_Timer,TF_Tekniker,J$4,TF_Dato,$A883))*2,0)/2)))</f>
        <v/>
      </c>
      <c r="K883">
        <f>IF(OR(K$4="",$A883&gt;TODAY()),0,IF(OR(INDEX($B883:$D883,K$5)="F",AND(K$6&gt;0,$A883&lt;K$6),AND(K$7&gt;0,$A883&gt;K$7)),0,MAX(0,ROUND((INDEX($E883:$G883,K$5)-SUMIFS(TF_Timer,TF_Tekniker,K$4,TF_Dato,$A883))*2,0)/2)))</f>
        <v/>
      </c>
      <c r="L883">
        <f>IF(OR(L$4="",$A883&gt;TODAY()),0,IF(OR(INDEX($B883:$D883,L$5)="F",AND(L$6&gt;0,$A883&lt;L$6),AND(L$7&gt;0,$A883&gt;L$7)),0,MAX(0,ROUND((INDEX($E883:$G883,L$5)-SUMIFS(TF_Timer,TF_Tekniker,L$4,TF_Dato,$A883))*2,0)/2)))</f>
        <v/>
      </c>
      <c r="M883">
        <f>IF(OR(M$4="",$A883&gt;TODAY()),0,IF(OR(INDEX($B883:$D883,M$5)="F",AND(M$6&gt;0,$A883&lt;M$6),AND(M$7&gt;0,$A883&gt;M$7)),0,MAX(0,ROUND((INDEX($E883:$G883,M$5)-SUMIFS(TF_Timer,TF_Tekniker,M$4,TF_Dato,$A883))*2,0)/2)))</f>
        <v/>
      </c>
      <c r="N883">
        <f>IF(OR(N$4="",$A883&gt;TODAY()),0,IF(OR(INDEX($B883:$D883,N$5)="F",AND(N$6&gt;0,$A883&lt;N$6),AND(N$7&gt;0,$A883&gt;N$7)),0,MAX(0,ROUND((INDEX($E883:$G883,N$5)-SUMIFS(TF_Timer,TF_Tekniker,N$4,TF_Dato,$A883))*2,0)/2)))</f>
        <v/>
      </c>
      <c r="O883">
        <f>IF(OR(O$4="",$A883&gt;TODAY()),0,IF(OR(INDEX($B883:$D883,O$5)="F",AND(O$6&gt;0,$A883&lt;O$6),AND(O$7&gt;0,$A883&gt;O$7)),0,MAX(0,ROUND((INDEX($E883:$G883,O$5)-SUMIFS(TF_Timer,TF_Tekniker,O$4,TF_Dato,$A883))*2,0)/2)))</f>
        <v/>
      </c>
      <c r="P883">
        <f>IF(OR(P$4="",$A883&gt;TODAY()),0,IF(OR(INDEX($B883:$D883,P$5)="F",AND(P$6&gt;0,$A883&lt;P$6),AND(P$7&gt;0,$A883&gt;P$7)),0,MAX(0,ROUND((INDEX($E883:$G883,P$5)-SUMIFS(TF_Timer,TF_Tekniker,P$4,TF_Dato,$A883))*2,0)/2)))</f>
        <v/>
      </c>
      <c r="Q883">
        <f>IF(OR(Q$4="",$A883&gt;TODAY()),0,IF(OR(INDEX($B883:$D883,Q$5)="F",AND(Q$6&gt;0,$A883&lt;Q$6),AND(Q$7&gt;0,$A883&gt;Q$7)),0,MAX(0,ROUND((INDEX($E883:$G883,Q$5)-SUMIFS(TF_Timer,TF_Tekniker,Q$4,TF_Dato,$A883))*2,0)/2)))</f>
        <v/>
      </c>
      <c r="R883">
        <f>IF(OR(R$4="",$A883&gt;TODAY()),0,IF(OR(INDEX($B883:$D883,R$5)="F",AND(R$6&gt;0,$A883&lt;R$6),AND(R$7&gt;0,$A883&gt;R$7)),0,MAX(0,ROUND((INDEX($E883:$G883,R$5)-SUMIFS(TF_Timer,TF_Tekniker,R$4,TF_Dato,$A883))*2,0)/2)))</f>
        <v/>
      </c>
      <c r="S883">
        <f>IF(OR(S$4="",$A883&gt;TODAY()),0,IF(OR(INDEX($B883:$D883,S$5)="F",AND(S$6&gt;0,$A883&lt;S$6),AND(S$7&gt;0,$A883&gt;S$7)),0,MAX(0,ROUND((INDEX($E883:$G883,S$5)-SUMIFS(TF_Timer,TF_Tekniker,S$4,TF_Dato,$A883))*2,0)/2)))</f>
        <v/>
      </c>
      <c r="T883">
        <f>IF(OR(T$4="",$A883&gt;TODAY()),0,IF(OR(INDEX($B883:$D883,T$5)="F",AND(T$6&gt;0,$A883&lt;T$6),AND(T$7&gt;0,$A883&gt;T$7)),0,MAX(0,ROUND((INDEX($E883:$G883,T$5)-SUMIFS(TF_Timer,TF_Tekniker,T$4,TF_Dato,$A883))*2,0)/2)))</f>
        <v/>
      </c>
      <c r="U883">
        <f>IF(OR(U$4="",$A883&gt;TODAY()),0,IF(OR(INDEX($B883:$D883,U$5)="F",AND(U$6&gt;0,$A883&lt;U$6),AND(U$7&gt;0,$A883&gt;U$7)),0,MAX(0,ROUND((INDEX($E883:$G883,U$5)-SUMIFS(TF_Timer,TF_Tekniker,U$4,TF_Dato,$A883))*2,0)/2)))</f>
        <v/>
      </c>
      <c r="V883">
        <f>IF(OR(V$4="",$A883&gt;TODAY()),0,IF(OR(INDEX($B883:$D883,V$5)="F",AND(V$6&gt;0,$A883&lt;V$6),AND(V$7&gt;0,$A883&gt;V$7)),0,MAX(0,ROUND((INDEX($E883:$G883,V$5)-SUMIFS(TF_Timer,TF_Tekniker,V$4,TF_Dato,$A883))*2,0)/2)))</f>
        <v/>
      </c>
      <c r="W883">
        <f>IF(OR(W$4="",$A883&gt;TODAY()),0,IF(OR(INDEX($B883:$D883,W$5)="F",AND(W$6&gt;0,$A883&lt;W$6),AND(W$7&gt;0,$A883&gt;W$7)),0,MAX(0,ROUND((INDEX($E883:$G883,W$5)-SUMIFS(TF_Timer,TF_Tekniker,W$4,TF_Dato,$A883))*2,0)/2)))</f>
        <v/>
      </c>
      <c r="X883">
        <f>IF(OR(X$4="",$A883&gt;TODAY()),0,IF(OR(INDEX($B883:$D883,X$5)="F",AND(X$6&gt;0,$A883&lt;X$6),AND(X$7&gt;0,$A883&gt;X$7)),0,MAX(0,ROUND((INDEX($E883:$G883,X$5)-SUMIFS(TF_Timer,TF_Tekniker,X$4,TF_Dato,$A883))*2,0)/2)))</f>
        <v/>
      </c>
      <c r="Y883">
        <f>IF(OR(Y$4="",$A883&gt;TODAY()),0,IF(OR(INDEX($B883:$D883,Y$5)="F",AND(Y$6&gt;0,$A883&lt;Y$6),AND(Y$7&gt;0,$A883&gt;Y$7)),0,MAX(0,ROUND((INDEX($E883:$G883,Y$5)-SUMIFS(TF_Timer,TF_Tekniker,Y$4,TF_Dato,$A883))*2,0)/2)))</f>
        <v/>
      </c>
      <c r="Z883">
        <f>IF(OR(Z$4="",$A883&gt;TODAY()),0,IF(OR(INDEX($B883:$D883,Z$5)="F",AND(Z$6&gt;0,$A883&lt;Z$6),AND(Z$7&gt;0,$A883&gt;Z$7)),0,MAX(0,ROUND((INDEX($E883:$G883,Z$5)-SUMIFS(TF_Timer,TF_Tekniker,Z$4,TF_Dato,$A883))*2,0)/2)))</f>
        <v/>
      </c>
      <c r="AA883">
        <f>IF(OR(AA$4="",$A883&gt;TODAY()),0,IF(OR(INDEX($B883:$D883,AA$5)="F",AND(AA$6&gt;0,$A883&lt;AA$6),AND(AA$7&gt;0,$A883&gt;AA$7)),0,MAX(0,ROUND((INDEX($E883:$G883,AA$5)-SUMIFS(TF_Timer,TF_Tekniker,AA$4,TF_Dato,$A883))*2,0)/2)))</f>
        <v/>
      </c>
      <c r="AB883">
        <f>IF(OR(AB$4="",$A883&gt;TODAY()),0,IF(OR(INDEX($B883:$D883,AB$5)="F",AND(AB$6&gt;0,$A883&lt;AB$6),AND(AB$7&gt;0,$A883&gt;AB$7)),0,MAX(0,ROUND((INDEX($E883:$G883,AB$5)-SUMIFS(TF_Timer,TF_Tekniker,AB$4,TF_Dato,$A883))*2,0)/2)))</f>
        <v/>
      </c>
      <c r="AC883">
        <f>IF(OR(AC$4="",$A883&gt;TODAY()),0,IF(OR(INDEX($B883:$D883,AC$5)="F",AND(AC$6&gt;0,$A883&lt;AC$6),AND(AC$7&gt;0,$A883&gt;AC$7)),0,MAX(0,ROUND((INDEX($E883:$G883,AC$5)-SUMIFS(TF_Timer,TF_Tekniker,AC$4,TF_Dato,$A883))*2,0)/2)))</f>
        <v/>
      </c>
      <c r="AD883">
        <f>IF(OR(AD$4="",$A883&gt;TODAY()),0,IF(OR(INDEX($B883:$D883,AD$5)="F",AND(AD$6&gt;0,$A883&lt;AD$6),AND(AD$7&gt;0,$A883&gt;AD$7)),0,MAX(0,ROUND((INDEX($E883:$G883,AD$5)-SUMIFS(TF_Timer,TF_Tekniker,AD$4,TF_Dato,$A883))*2,0)/2)))</f>
        <v/>
      </c>
      <c r="AE883">
        <f>IF(OR(AE$4="",$A883&gt;TODAY()),0,IF(OR(INDEX($B883:$D883,AE$5)="F",AND(AE$6&gt;0,$A883&lt;AE$6),AND(AE$7&gt;0,$A883&gt;AE$7)),0,MAX(0,ROUND((INDEX($E883:$G883,AE$5)-SUMIFS(TF_Timer,TF_Tekniker,AE$4,TF_Dato,$A883))*2,0)/2)))</f>
        <v/>
      </c>
      <c r="AF883">
        <f>IF(OR(AF$4="",$A883&gt;TODAY()),0,IF(OR(INDEX($B883:$D883,AF$5)="F",AND(AF$6&gt;0,$A883&lt;AF$6),AND(AF$7&gt;0,$A883&gt;AF$7)),0,MAX(0,ROUND((INDEX($E883:$G883,AF$5)-SUMIFS(TF_Timer,TF_Tekniker,AF$4,TF_Dato,$A883))*2,0)/2)))</f>
        <v/>
      </c>
      <c r="AG883">
        <f>IF(OR(AG$4="",$A883&gt;TODAY()),0,IF(OR(INDEX($B883:$D883,AG$5)="F",AND(AG$6&gt;0,$A883&lt;AG$6),AND(AG$7&gt;0,$A883&gt;AG$7)),0,MAX(0,ROUND((INDEX($E883:$G883,AG$5)-SUMIFS(TF_Timer,TF_Tekniker,AG$4,TF_Dato,$A883))*2,0)/2)))</f>
        <v/>
      </c>
      <c r="AH883">
        <f>IF(OR(AH$4="",$A883&gt;TODAY()),0,IF(OR(INDEX($B883:$D883,AH$5)="F",AND(AH$6&gt;0,$A883&lt;AH$6),AND(AH$7&gt;0,$A883&gt;AH$7)),0,MAX(0,ROUND((INDEX($E883:$G883,AH$5)-SUMIFS(TF_Timer,TF_Tekniker,AH$4,TF_Dato,$A883))*2,0)/2)))</f>
        <v/>
      </c>
      <c r="AI883">
        <f>IF(OR(AI$4="",$A883&gt;TODAY()),0,IF(OR(INDEX($B883:$D883,AI$5)="F",AND(AI$6&gt;0,$A883&lt;AI$6),AND(AI$7&gt;0,$A883&gt;AI$7)),0,MAX(0,ROUND((INDEX($E883:$G883,AI$5)-SUMIFS(TF_Timer,TF_Tekniker,AI$4,TF_Dato,$A883))*2,0)/2)))</f>
        <v/>
      </c>
      <c r="AJ883">
        <f>IF(OR(AJ$4="",$A883&gt;TODAY()),0,IF(OR(INDEX($B883:$D883,AJ$5)="F",AND(AJ$6&gt;0,$A883&lt;AJ$6),AND(AJ$7&gt;0,$A883&gt;AJ$7)),0,MAX(0,ROUND((INDEX($E883:$G883,AJ$5)-SUMIFS(TF_Timer,TF_Tekniker,AJ$4,TF_Dato,$A883))*2,0)/2)))</f>
        <v/>
      </c>
      <c r="AK883">
        <f>IF(OR(AK$4="",$A883&gt;TODAY()),0,IF(OR(INDEX($B883:$D883,AK$5)="F",AND(AK$6&gt;0,$A883&lt;AK$6),AND(AK$7&gt;0,$A883&gt;AK$7)),0,MAX(0,ROUND((INDEX($E883:$G883,AK$5)-SUMIFS(TF_Timer,TF_Tekniker,AK$4,TF_Dato,$A883))*2,0)/2)))</f>
        <v/>
      </c>
      <c r="AL883">
        <f>IF(OR(AL$4="",$A883&gt;TODAY()),0,IF(OR(INDEX($B883:$D883,AL$5)="F",AND(AL$6&gt;0,$A883&lt;AL$6),AND(AL$7&gt;0,$A883&gt;AL$7)),0,MAX(0,ROUND((INDEX($E883:$G883,AL$5)-SUMIFS(TF_Timer,TF_Tekniker,AL$4,TF_Dato,$A883))*2,0)/2)))</f>
        <v/>
      </c>
      <c r="AM883">
        <f>IF(OR(AM$4="",$A883&gt;TODAY()),0,IF(OR(INDEX($B883:$D883,AM$5)="F",AND(AM$6&gt;0,$A883&lt;AM$6),AND(AM$7&gt;0,$A883&gt;AM$7)),0,MAX(0,ROUND((INDEX($E883:$G883,AM$5)-SUMIFS(TF_Timer,TF_Tekniker,AM$4,TF_Dato,$A883))*2,0)/2)))</f>
        <v/>
      </c>
      <c r="AN883">
        <f>IF(OR(AN$4="",$A883&gt;TODAY()),0,IF(OR(INDEX($B883:$D883,AN$5)="F",AND(AN$6&gt;0,$A883&lt;AN$6),AND(AN$7&gt;0,$A883&gt;AN$7)),0,MAX(0,ROUND((INDEX($E883:$G883,AN$5)-SUMIFS(TF_Timer,TF_Tekniker,AN$4,TF_Dato,$A883))*2,0)/2)))</f>
        <v/>
      </c>
      <c r="AO883">
        <f>IF(OR(AO$4="",$A883&gt;TODAY()),0,IF(OR(INDEX($B883:$D883,AO$5)="F",AND(AO$6&gt;0,$A883&lt;AO$6),AND(AO$7&gt;0,$A883&gt;AO$7)),0,MAX(0,ROUND((INDEX($E883:$G883,AO$5)-SUMIFS(TF_Timer,TF_Tekniker,AO$4,TF_Dato,$A883))*2,0)/2)))</f>
        <v/>
      </c>
      <c r="AP883">
        <f>IF(OR(AP$4="",$A883&gt;TODAY()),0,IF(OR(INDEX($B883:$D883,AP$5)="F",AND(AP$6&gt;0,$A883&lt;AP$6),AND(AP$7&gt;0,$A883&gt;AP$7)),0,MAX(0,ROUND((INDEX($E883:$G883,AP$5)-SUMIFS(TF_Timer,TF_Tekniker,AP$4,TF_Dato,$A883))*2,0)/2)))</f>
        <v/>
      </c>
      <c r="AQ883">
        <f>IF(OR(AQ$4="",$A883&gt;TODAY()),0,IF(OR(INDEX($B883:$D883,AQ$5)="F",AND(AQ$6&gt;0,$A883&lt;AQ$6),AND(AQ$7&gt;0,$A883&gt;AQ$7)),0,MAX(0,ROUND((INDEX($E883:$G883,AQ$5)-SUMIFS(TF_Timer,TF_Tekniker,AQ$4,TF_Dato,$A883))*2,0)/2)))</f>
        <v/>
      </c>
      <c r="AR883">
        <f>IF(OR(AR$4="",$A883&gt;TODAY()),0,IF(OR(INDEX($B883:$D883,AR$5)="F",AND(AR$6&gt;0,$A883&lt;AR$6),AND(AR$7&gt;0,$A883&gt;AR$7)),0,MAX(0,ROUND((INDEX($E883:$G883,AR$5)-SUMIFS(TF_Timer,TF_Tekniker,AR$4,TF_Dato,$A883))*2,0)/2)))</f>
        <v/>
      </c>
      <c r="AS883">
        <f>IF(OR(AS$4="",$A883&gt;TODAY()),0,IF(OR(INDEX($B883:$D883,AS$5)="F",AND(AS$6&gt;0,$A883&lt;AS$6),AND(AS$7&gt;0,$A883&gt;AS$7)),0,MAX(0,ROUND((INDEX($E883:$G883,AS$5)-SUMIFS(TF_Timer,TF_Tekniker,AS$4,TF_Dato,$A883))*2,0)/2)))</f>
        <v/>
      </c>
      <c r="AT883">
        <f>IF(OR(AT$4="",$A883&gt;TODAY()),0,IF(OR(INDEX($B883:$D883,AT$5)="F",AND(AT$6&gt;0,$A883&lt;AT$6),AND(AT$7&gt;0,$A883&gt;AT$7)),0,MAX(0,ROUND((INDEX($E883:$G883,AT$5)-SUMIFS(TF_Timer,TF_Tekniker,AT$4,TF_Dato,$A883))*2,0)/2)))</f>
        <v/>
      </c>
      <c r="AU883">
        <f>IF(OR(AU$4="",$A883&gt;TODAY()),0,IF(OR(INDEX($B883:$D883,AU$5)="F",AND(AU$6&gt;0,$A883&lt;AU$6),AND(AU$7&gt;0,$A883&gt;AU$7)),0,MAX(0,ROUND((INDEX($E883:$G883,AU$5)-SUMIFS(TF_Timer,TF_Tekniker,AU$4,TF_Dato,$A883))*2,0)/2)))</f>
        <v/>
      </c>
      <c r="AV883">
        <f>IF(OR(AV$4="",$A883&gt;TODAY()),0,IF(OR(INDEX($B883:$D883,AV$5)="F",AND(AV$6&gt;0,$A883&lt;AV$6),AND(AV$7&gt;0,$A883&gt;AV$7)),0,MAX(0,ROUND((INDEX($E883:$G883,AV$5)-SUMIFS(TF_Timer,TF_Tekniker,AV$4,TF_Dato,$A883))*2,0)/2)))</f>
        <v/>
      </c>
      <c r="AW883">
        <f>IF(OR(AW$4="",$A883&gt;TODAY()),0,IF(OR(INDEX($B883:$D883,AW$5)="F",AND(AW$6&gt;0,$A883&lt;AW$6),AND(AW$7&gt;0,$A883&gt;AW$7)),0,MAX(0,ROUND((INDEX($E883:$G883,AW$5)-SUMIFS(TF_Timer,TF_Tekniker,AW$4,TF_Dato,$A883))*2,0)/2)))</f>
        <v/>
      </c>
      <c r="AX883">
        <f>IF(OR(AX$4="",$A883&gt;TODAY()),0,IF(OR(INDEX($B883:$D883,AX$5)="F",AND(AX$6&gt;0,$A883&lt;AX$6),AND(AX$7&gt;0,$A883&gt;AX$7)),0,MAX(0,ROUND((INDEX($E883:$G883,AX$5)-SUMIFS(TF_Timer,TF_Tekniker,AX$4,TF_Dato,$A883))*2,0)/2)))</f>
        <v/>
      </c>
      <c r="AY883">
        <f>IF(OR(AY$4="",$A883&gt;TODAY()),0,IF(OR(INDEX($B883:$D883,AY$5)="F",AND(AY$6&gt;0,$A883&lt;AY$6),AND(AY$7&gt;0,$A883&gt;AY$7)),0,MAX(0,ROUND((INDEX($E883:$G883,AY$5)-SUMIFS(TF_Timer,TF_Tekniker,AY$4,TF_Dato,$A883))*2,0)/2)))</f>
        <v/>
      </c>
      <c r="AZ883">
        <f>IF(OR(AZ$4="",$A883&gt;TODAY()),0,IF(OR(INDEX($B883:$D883,AZ$5)="F",AND(AZ$6&gt;0,$A883&lt;AZ$6),AND(AZ$7&gt;0,$A883&gt;AZ$7)),0,MAX(0,ROUND((INDEX($E883:$G883,AZ$5)-SUMIFS(TF_Timer,TF_Tekniker,AZ$4,TF_Dato,$A883))*2,0)/2)))</f>
        <v/>
      </c>
      <c r="BA883">
        <f>IF(OR(BA$4="",$A883&gt;TODAY()),0,IF(OR(INDEX($B883:$D883,BA$5)="F",AND(BA$6&gt;0,$A883&lt;BA$6),AND(BA$7&gt;0,$A883&gt;BA$7)),0,MAX(0,ROUND((INDEX($E883:$G883,BA$5)-SUMIFS(TF_Timer,TF_Tekniker,BA$4,TF_Dato,$A883))*2,0)/2)))</f>
        <v/>
      </c>
      <c r="BB883">
        <f>IF(OR(BB$4="",$A883&gt;TODAY()),0,IF(OR(INDEX($B883:$D883,BB$5)="F",AND(BB$6&gt;0,$A883&lt;BB$6),AND(BB$7&gt;0,$A883&gt;BB$7)),0,MAX(0,ROUND((INDEX($E883:$G883,BB$5)-SUMIFS(TF_Timer,TF_Tekniker,BB$4,TF_Dato,$A883))*2,0)/2)))</f>
        <v/>
      </c>
      <c r="BC883">
        <f>IF(OR(BC$4="",$A883&gt;TODAY()),0,IF(OR(INDEX($B883:$D883,BC$5)="F",AND(BC$6&gt;0,$A883&lt;BC$6),AND(BC$7&gt;0,$A883&gt;BC$7)),0,MAX(0,ROUND((INDEX($E883:$G883,BC$5)-SUMIFS(TF_Timer,TF_Tekniker,BC$4,TF_Dato,$A883))*2,0)/2)))</f>
        <v/>
      </c>
      <c r="BD883">
        <f>IF(OR(BD$4="",$A883&gt;TODAY()),0,IF(OR(INDEX($B883:$D883,BD$5)="F",AND(BD$6&gt;0,$A883&lt;BD$6),AND(BD$7&gt;0,$A883&gt;BD$7)),0,MAX(0,ROUND((INDEX($E883:$G883,BD$5)-SUMIFS(TF_Timer,TF_Tekniker,BD$4,TF_Dato,$A883))*2,0)/2)))</f>
        <v/>
      </c>
      <c r="BE883">
        <f>IF(OR(BE$4="",$A883&gt;TODAY()),0,IF(OR(INDEX($B883:$D883,BE$5)="F",AND(BE$6&gt;0,$A883&lt;BE$6),AND(BE$7&gt;0,$A883&gt;BE$7)),0,MAX(0,ROUND((INDEX($E883:$G883,BE$5)-SUMIFS(TF_Timer,TF_Tekniker,BE$4,TF_Dato,$A883))*2,0)/2)))</f>
        <v/>
      </c>
      <c r="BF883">
        <f>IF(OR(BF$4="",$A883&gt;TODAY()),0,IF(OR(INDEX($B883:$D883,BF$5)="F",AND(BF$6&gt;0,$A883&lt;BF$6),AND(BF$7&gt;0,$A883&gt;BF$7)),0,MAX(0,ROUND((INDEX($E883:$G883,BF$5)-SUMIFS(TF_Timer,TF_Tekniker,BF$4,TF_Dato,$A883))*2,0)/2)))</f>
        <v/>
      </c>
      <c r="BG883">
        <f>IF(OR(BG$4="",$A883&gt;TODAY()),0,IF(OR(INDEX($B883:$D883,BG$5)="F",AND(BG$6&gt;0,$A883&lt;BG$6),AND(BG$7&gt;0,$A883&gt;BG$7)),0,MAX(0,ROUND((INDEX($E883:$G883,BG$5)-SUMIFS(TF_Timer,TF_Tekniker,BG$4,TF_Dato,$A883))*2,0)/2)))</f>
        <v/>
      </c>
      <c r="BH883">
        <f>IF(OR(BH$4="",$A883&gt;TODAY()),0,IF(OR(INDEX($B883:$D883,BH$5)="F",AND(BH$6&gt;0,$A883&lt;BH$6),AND(BH$7&gt;0,$A883&gt;BH$7)),0,MAX(0,ROUND((INDEX($E883:$G883,BH$5)-SUMIFS(TF_Timer,TF_Tekniker,BH$4,TF_Dato,$A883))*2,0)/2)))</f>
        <v/>
      </c>
      <c r="BI883">
        <f>IF(OR(BI$4="",$A883&gt;TODAY()),0,IF(OR(INDEX($B883:$D883,BI$5)="F",AND(BI$6&gt;0,$A883&lt;BI$6),AND(BI$7&gt;0,$A883&gt;BI$7)),0,MAX(0,ROUND((INDEX($E883:$G883,BI$5)-SUMIFS(TF_Timer,TF_Tekniker,BI$4,TF_Dato,$A883))*2,0)/2)))</f>
        <v/>
      </c>
    </row>
    <row r="884">
      <c r="A884" s="64">
        <f>A883+1</f>
        <v/>
      </c>
      <c r="B884">
        <f>IF(MOD($A884-INDEX(SkiftStart,1),Syklus)&lt;DagK,"K",IF(MOD($A884-INDEX(SkiftStart,1),Syklus)&lt;DagK+DagH,"H",IF(MOD($A884-INDEX(SkiftStart,1),Syklus)&lt;DagK+DagH+DagD,"D","F")))</f>
        <v/>
      </c>
      <c r="C884">
        <f>IF(MOD($A884-INDEX(SkiftStart,2),Syklus)&lt;DagK,"K",IF(MOD($A884-INDEX(SkiftStart,2),Syklus)&lt;DagK+DagH,"H",IF(MOD($A884-INDEX(SkiftStart,2),Syklus)&lt;DagK+DagH+DagD,"D","F")))</f>
        <v/>
      </c>
      <c r="D884">
        <f>IF(MOD($A884-INDEX(SkiftStart,3),Syklus)&lt;DagK,"K",IF(MOD($A884-INDEX(SkiftStart,3),Syklus)&lt;DagK+DagH,"H",IF(MOD($A884-INDEX(SkiftStart,3),Syklus)&lt;DagK+DagH+DagD,"D","F")))</f>
        <v/>
      </c>
      <c r="E884">
        <f>IF(B884="F",0,IF(WEEKDAY($A884,2)=5,INDEX(TimerFr,MATCH(B884,FaseKode,0)),INDEX(TimerMT,MATCH(B884,FaseKode,0))))</f>
        <v/>
      </c>
      <c r="F884">
        <f>IF(C884="F",0,IF(WEEKDAY($A884,2)=5,INDEX(TimerFr,MATCH(C884,FaseKode,0)),INDEX(TimerMT,MATCH(C884,FaseKode,0))))</f>
        <v/>
      </c>
      <c r="G884">
        <f>IF(D884="F",0,IF(WEEKDAY($A884,2)=5,INDEX(TimerFr,MATCH(D884,FaseKode,0)),INDEX(TimerMT,MATCH(D884,FaseKode,0))))</f>
        <v/>
      </c>
      <c r="H884">
        <f>IF(OR(H$4="",$A884&gt;TODAY()),0,IF(OR(INDEX($B884:$D884,H$5)="F",AND(H$6&gt;0,$A884&lt;H$6),AND(H$7&gt;0,$A884&gt;H$7)),0,MAX(0,ROUND((INDEX($E884:$G884,H$5)-SUMIFS(TF_Timer,TF_Tekniker,H$4,TF_Dato,$A884))*2,0)/2)))</f>
        <v/>
      </c>
      <c r="I884">
        <f>IF(OR(I$4="",$A884&gt;TODAY()),0,IF(OR(INDEX($B884:$D884,I$5)="F",AND(I$6&gt;0,$A884&lt;I$6),AND(I$7&gt;0,$A884&gt;I$7)),0,MAX(0,ROUND((INDEX($E884:$G884,I$5)-SUMIFS(TF_Timer,TF_Tekniker,I$4,TF_Dato,$A884))*2,0)/2)))</f>
        <v/>
      </c>
      <c r="J884">
        <f>IF(OR(J$4="",$A884&gt;TODAY()),0,IF(OR(INDEX($B884:$D884,J$5)="F",AND(J$6&gt;0,$A884&lt;J$6),AND(J$7&gt;0,$A884&gt;J$7)),0,MAX(0,ROUND((INDEX($E884:$G884,J$5)-SUMIFS(TF_Timer,TF_Tekniker,J$4,TF_Dato,$A884))*2,0)/2)))</f>
        <v/>
      </c>
      <c r="K884">
        <f>IF(OR(K$4="",$A884&gt;TODAY()),0,IF(OR(INDEX($B884:$D884,K$5)="F",AND(K$6&gt;0,$A884&lt;K$6),AND(K$7&gt;0,$A884&gt;K$7)),0,MAX(0,ROUND((INDEX($E884:$G884,K$5)-SUMIFS(TF_Timer,TF_Tekniker,K$4,TF_Dato,$A884))*2,0)/2)))</f>
        <v/>
      </c>
      <c r="L884">
        <f>IF(OR(L$4="",$A884&gt;TODAY()),0,IF(OR(INDEX($B884:$D884,L$5)="F",AND(L$6&gt;0,$A884&lt;L$6),AND(L$7&gt;0,$A884&gt;L$7)),0,MAX(0,ROUND((INDEX($E884:$G884,L$5)-SUMIFS(TF_Timer,TF_Tekniker,L$4,TF_Dato,$A884))*2,0)/2)))</f>
        <v/>
      </c>
      <c r="M884">
        <f>IF(OR(M$4="",$A884&gt;TODAY()),0,IF(OR(INDEX($B884:$D884,M$5)="F",AND(M$6&gt;0,$A884&lt;M$6),AND(M$7&gt;0,$A884&gt;M$7)),0,MAX(0,ROUND((INDEX($E884:$G884,M$5)-SUMIFS(TF_Timer,TF_Tekniker,M$4,TF_Dato,$A884))*2,0)/2)))</f>
        <v/>
      </c>
      <c r="N884">
        <f>IF(OR(N$4="",$A884&gt;TODAY()),0,IF(OR(INDEX($B884:$D884,N$5)="F",AND(N$6&gt;0,$A884&lt;N$6),AND(N$7&gt;0,$A884&gt;N$7)),0,MAX(0,ROUND((INDEX($E884:$G884,N$5)-SUMIFS(TF_Timer,TF_Tekniker,N$4,TF_Dato,$A884))*2,0)/2)))</f>
        <v/>
      </c>
      <c r="O884">
        <f>IF(OR(O$4="",$A884&gt;TODAY()),0,IF(OR(INDEX($B884:$D884,O$5)="F",AND(O$6&gt;0,$A884&lt;O$6),AND(O$7&gt;0,$A884&gt;O$7)),0,MAX(0,ROUND((INDEX($E884:$G884,O$5)-SUMIFS(TF_Timer,TF_Tekniker,O$4,TF_Dato,$A884))*2,0)/2)))</f>
        <v/>
      </c>
      <c r="P884">
        <f>IF(OR(P$4="",$A884&gt;TODAY()),0,IF(OR(INDEX($B884:$D884,P$5)="F",AND(P$6&gt;0,$A884&lt;P$6),AND(P$7&gt;0,$A884&gt;P$7)),0,MAX(0,ROUND((INDEX($E884:$G884,P$5)-SUMIFS(TF_Timer,TF_Tekniker,P$4,TF_Dato,$A884))*2,0)/2)))</f>
        <v/>
      </c>
      <c r="Q884">
        <f>IF(OR(Q$4="",$A884&gt;TODAY()),0,IF(OR(INDEX($B884:$D884,Q$5)="F",AND(Q$6&gt;0,$A884&lt;Q$6),AND(Q$7&gt;0,$A884&gt;Q$7)),0,MAX(0,ROUND((INDEX($E884:$G884,Q$5)-SUMIFS(TF_Timer,TF_Tekniker,Q$4,TF_Dato,$A884))*2,0)/2)))</f>
        <v/>
      </c>
      <c r="R884">
        <f>IF(OR(R$4="",$A884&gt;TODAY()),0,IF(OR(INDEX($B884:$D884,R$5)="F",AND(R$6&gt;0,$A884&lt;R$6),AND(R$7&gt;0,$A884&gt;R$7)),0,MAX(0,ROUND((INDEX($E884:$G884,R$5)-SUMIFS(TF_Timer,TF_Tekniker,R$4,TF_Dato,$A884))*2,0)/2)))</f>
        <v/>
      </c>
      <c r="S884">
        <f>IF(OR(S$4="",$A884&gt;TODAY()),0,IF(OR(INDEX($B884:$D884,S$5)="F",AND(S$6&gt;0,$A884&lt;S$6),AND(S$7&gt;0,$A884&gt;S$7)),0,MAX(0,ROUND((INDEX($E884:$G884,S$5)-SUMIFS(TF_Timer,TF_Tekniker,S$4,TF_Dato,$A884))*2,0)/2)))</f>
        <v/>
      </c>
      <c r="T884">
        <f>IF(OR(T$4="",$A884&gt;TODAY()),0,IF(OR(INDEX($B884:$D884,T$5)="F",AND(T$6&gt;0,$A884&lt;T$6),AND(T$7&gt;0,$A884&gt;T$7)),0,MAX(0,ROUND((INDEX($E884:$G884,T$5)-SUMIFS(TF_Timer,TF_Tekniker,T$4,TF_Dato,$A884))*2,0)/2)))</f>
        <v/>
      </c>
      <c r="U884">
        <f>IF(OR(U$4="",$A884&gt;TODAY()),0,IF(OR(INDEX($B884:$D884,U$5)="F",AND(U$6&gt;0,$A884&lt;U$6),AND(U$7&gt;0,$A884&gt;U$7)),0,MAX(0,ROUND((INDEX($E884:$G884,U$5)-SUMIFS(TF_Timer,TF_Tekniker,U$4,TF_Dato,$A884))*2,0)/2)))</f>
        <v/>
      </c>
      <c r="V884">
        <f>IF(OR(V$4="",$A884&gt;TODAY()),0,IF(OR(INDEX($B884:$D884,V$5)="F",AND(V$6&gt;0,$A884&lt;V$6),AND(V$7&gt;0,$A884&gt;V$7)),0,MAX(0,ROUND((INDEX($E884:$G884,V$5)-SUMIFS(TF_Timer,TF_Tekniker,V$4,TF_Dato,$A884))*2,0)/2)))</f>
        <v/>
      </c>
      <c r="W884">
        <f>IF(OR(W$4="",$A884&gt;TODAY()),0,IF(OR(INDEX($B884:$D884,W$5)="F",AND(W$6&gt;0,$A884&lt;W$6),AND(W$7&gt;0,$A884&gt;W$7)),0,MAX(0,ROUND((INDEX($E884:$G884,W$5)-SUMIFS(TF_Timer,TF_Tekniker,W$4,TF_Dato,$A884))*2,0)/2)))</f>
        <v/>
      </c>
      <c r="X884">
        <f>IF(OR(X$4="",$A884&gt;TODAY()),0,IF(OR(INDEX($B884:$D884,X$5)="F",AND(X$6&gt;0,$A884&lt;X$6),AND(X$7&gt;0,$A884&gt;X$7)),0,MAX(0,ROUND((INDEX($E884:$G884,X$5)-SUMIFS(TF_Timer,TF_Tekniker,X$4,TF_Dato,$A884))*2,0)/2)))</f>
        <v/>
      </c>
      <c r="Y884">
        <f>IF(OR(Y$4="",$A884&gt;TODAY()),0,IF(OR(INDEX($B884:$D884,Y$5)="F",AND(Y$6&gt;0,$A884&lt;Y$6),AND(Y$7&gt;0,$A884&gt;Y$7)),0,MAX(0,ROUND((INDEX($E884:$G884,Y$5)-SUMIFS(TF_Timer,TF_Tekniker,Y$4,TF_Dato,$A884))*2,0)/2)))</f>
        <v/>
      </c>
      <c r="Z884">
        <f>IF(OR(Z$4="",$A884&gt;TODAY()),0,IF(OR(INDEX($B884:$D884,Z$5)="F",AND(Z$6&gt;0,$A884&lt;Z$6),AND(Z$7&gt;0,$A884&gt;Z$7)),0,MAX(0,ROUND((INDEX($E884:$G884,Z$5)-SUMIFS(TF_Timer,TF_Tekniker,Z$4,TF_Dato,$A884))*2,0)/2)))</f>
        <v/>
      </c>
      <c r="AA884">
        <f>IF(OR(AA$4="",$A884&gt;TODAY()),0,IF(OR(INDEX($B884:$D884,AA$5)="F",AND(AA$6&gt;0,$A884&lt;AA$6),AND(AA$7&gt;0,$A884&gt;AA$7)),0,MAX(0,ROUND((INDEX($E884:$G884,AA$5)-SUMIFS(TF_Timer,TF_Tekniker,AA$4,TF_Dato,$A884))*2,0)/2)))</f>
        <v/>
      </c>
      <c r="AB884">
        <f>IF(OR(AB$4="",$A884&gt;TODAY()),0,IF(OR(INDEX($B884:$D884,AB$5)="F",AND(AB$6&gt;0,$A884&lt;AB$6),AND(AB$7&gt;0,$A884&gt;AB$7)),0,MAX(0,ROUND((INDEX($E884:$G884,AB$5)-SUMIFS(TF_Timer,TF_Tekniker,AB$4,TF_Dato,$A884))*2,0)/2)))</f>
        <v/>
      </c>
      <c r="AC884">
        <f>IF(OR(AC$4="",$A884&gt;TODAY()),0,IF(OR(INDEX($B884:$D884,AC$5)="F",AND(AC$6&gt;0,$A884&lt;AC$6),AND(AC$7&gt;0,$A884&gt;AC$7)),0,MAX(0,ROUND((INDEX($E884:$G884,AC$5)-SUMIFS(TF_Timer,TF_Tekniker,AC$4,TF_Dato,$A884))*2,0)/2)))</f>
        <v/>
      </c>
      <c r="AD884">
        <f>IF(OR(AD$4="",$A884&gt;TODAY()),0,IF(OR(INDEX($B884:$D884,AD$5)="F",AND(AD$6&gt;0,$A884&lt;AD$6),AND(AD$7&gt;0,$A884&gt;AD$7)),0,MAX(0,ROUND((INDEX($E884:$G884,AD$5)-SUMIFS(TF_Timer,TF_Tekniker,AD$4,TF_Dato,$A884))*2,0)/2)))</f>
        <v/>
      </c>
      <c r="AE884">
        <f>IF(OR(AE$4="",$A884&gt;TODAY()),0,IF(OR(INDEX($B884:$D884,AE$5)="F",AND(AE$6&gt;0,$A884&lt;AE$6),AND(AE$7&gt;0,$A884&gt;AE$7)),0,MAX(0,ROUND((INDEX($E884:$G884,AE$5)-SUMIFS(TF_Timer,TF_Tekniker,AE$4,TF_Dato,$A884))*2,0)/2)))</f>
        <v/>
      </c>
      <c r="AF884">
        <f>IF(OR(AF$4="",$A884&gt;TODAY()),0,IF(OR(INDEX($B884:$D884,AF$5)="F",AND(AF$6&gt;0,$A884&lt;AF$6),AND(AF$7&gt;0,$A884&gt;AF$7)),0,MAX(0,ROUND((INDEX($E884:$G884,AF$5)-SUMIFS(TF_Timer,TF_Tekniker,AF$4,TF_Dato,$A884))*2,0)/2)))</f>
        <v/>
      </c>
      <c r="AG884">
        <f>IF(OR(AG$4="",$A884&gt;TODAY()),0,IF(OR(INDEX($B884:$D884,AG$5)="F",AND(AG$6&gt;0,$A884&lt;AG$6),AND(AG$7&gt;0,$A884&gt;AG$7)),0,MAX(0,ROUND((INDEX($E884:$G884,AG$5)-SUMIFS(TF_Timer,TF_Tekniker,AG$4,TF_Dato,$A884))*2,0)/2)))</f>
        <v/>
      </c>
      <c r="AH884">
        <f>IF(OR(AH$4="",$A884&gt;TODAY()),0,IF(OR(INDEX($B884:$D884,AH$5)="F",AND(AH$6&gt;0,$A884&lt;AH$6),AND(AH$7&gt;0,$A884&gt;AH$7)),0,MAX(0,ROUND((INDEX($E884:$G884,AH$5)-SUMIFS(TF_Timer,TF_Tekniker,AH$4,TF_Dato,$A884))*2,0)/2)))</f>
        <v/>
      </c>
      <c r="AI884">
        <f>IF(OR(AI$4="",$A884&gt;TODAY()),0,IF(OR(INDEX($B884:$D884,AI$5)="F",AND(AI$6&gt;0,$A884&lt;AI$6),AND(AI$7&gt;0,$A884&gt;AI$7)),0,MAX(0,ROUND((INDEX($E884:$G884,AI$5)-SUMIFS(TF_Timer,TF_Tekniker,AI$4,TF_Dato,$A884))*2,0)/2)))</f>
        <v/>
      </c>
      <c r="AJ884">
        <f>IF(OR(AJ$4="",$A884&gt;TODAY()),0,IF(OR(INDEX($B884:$D884,AJ$5)="F",AND(AJ$6&gt;0,$A884&lt;AJ$6),AND(AJ$7&gt;0,$A884&gt;AJ$7)),0,MAX(0,ROUND((INDEX($E884:$G884,AJ$5)-SUMIFS(TF_Timer,TF_Tekniker,AJ$4,TF_Dato,$A884))*2,0)/2)))</f>
        <v/>
      </c>
      <c r="AK884">
        <f>IF(OR(AK$4="",$A884&gt;TODAY()),0,IF(OR(INDEX($B884:$D884,AK$5)="F",AND(AK$6&gt;0,$A884&lt;AK$6),AND(AK$7&gt;0,$A884&gt;AK$7)),0,MAX(0,ROUND((INDEX($E884:$G884,AK$5)-SUMIFS(TF_Timer,TF_Tekniker,AK$4,TF_Dato,$A884))*2,0)/2)))</f>
        <v/>
      </c>
      <c r="AL884">
        <f>IF(OR(AL$4="",$A884&gt;TODAY()),0,IF(OR(INDEX($B884:$D884,AL$5)="F",AND(AL$6&gt;0,$A884&lt;AL$6),AND(AL$7&gt;0,$A884&gt;AL$7)),0,MAX(0,ROUND((INDEX($E884:$G884,AL$5)-SUMIFS(TF_Timer,TF_Tekniker,AL$4,TF_Dato,$A884))*2,0)/2)))</f>
        <v/>
      </c>
      <c r="AM884">
        <f>IF(OR(AM$4="",$A884&gt;TODAY()),0,IF(OR(INDEX($B884:$D884,AM$5)="F",AND(AM$6&gt;0,$A884&lt;AM$6),AND(AM$7&gt;0,$A884&gt;AM$7)),0,MAX(0,ROUND((INDEX($E884:$G884,AM$5)-SUMIFS(TF_Timer,TF_Tekniker,AM$4,TF_Dato,$A884))*2,0)/2)))</f>
        <v/>
      </c>
      <c r="AN884">
        <f>IF(OR(AN$4="",$A884&gt;TODAY()),0,IF(OR(INDEX($B884:$D884,AN$5)="F",AND(AN$6&gt;0,$A884&lt;AN$6),AND(AN$7&gt;0,$A884&gt;AN$7)),0,MAX(0,ROUND((INDEX($E884:$G884,AN$5)-SUMIFS(TF_Timer,TF_Tekniker,AN$4,TF_Dato,$A884))*2,0)/2)))</f>
        <v/>
      </c>
      <c r="AO884">
        <f>IF(OR(AO$4="",$A884&gt;TODAY()),0,IF(OR(INDEX($B884:$D884,AO$5)="F",AND(AO$6&gt;0,$A884&lt;AO$6),AND(AO$7&gt;0,$A884&gt;AO$7)),0,MAX(0,ROUND((INDEX($E884:$G884,AO$5)-SUMIFS(TF_Timer,TF_Tekniker,AO$4,TF_Dato,$A884))*2,0)/2)))</f>
        <v/>
      </c>
      <c r="AP884">
        <f>IF(OR(AP$4="",$A884&gt;TODAY()),0,IF(OR(INDEX($B884:$D884,AP$5)="F",AND(AP$6&gt;0,$A884&lt;AP$6),AND(AP$7&gt;0,$A884&gt;AP$7)),0,MAX(0,ROUND((INDEX($E884:$G884,AP$5)-SUMIFS(TF_Timer,TF_Tekniker,AP$4,TF_Dato,$A884))*2,0)/2)))</f>
        <v/>
      </c>
      <c r="AQ884">
        <f>IF(OR(AQ$4="",$A884&gt;TODAY()),0,IF(OR(INDEX($B884:$D884,AQ$5)="F",AND(AQ$6&gt;0,$A884&lt;AQ$6),AND(AQ$7&gt;0,$A884&gt;AQ$7)),0,MAX(0,ROUND((INDEX($E884:$G884,AQ$5)-SUMIFS(TF_Timer,TF_Tekniker,AQ$4,TF_Dato,$A884))*2,0)/2)))</f>
        <v/>
      </c>
      <c r="AR884">
        <f>IF(OR(AR$4="",$A884&gt;TODAY()),0,IF(OR(INDEX($B884:$D884,AR$5)="F",AND(AR$6&gt;0,$A884&lt;AR$6),AND(AR$7&gt;0,$A884&gt;AR$7)),0,MAX(0,ROUND((INDEX($E884:$G884,AR$5)-SUMIFS(TF_Timer,TF_Tekniker,AR$4,TF_Dato,$A884))*2,0)/2)))</f>
        <v/>
      </c>
      <c r="AS884">
        <f>IF(OR(AS$4="",$A884&gt;TODAY()),0,IF(OR(INDEX($B884:$D884,AS$5)="F",AND(AS$6&gt;0,$A884&lt;AS$6),AND(AS$7&gt;0,$A884&gt;AS$7)),0,MAX(0,ROUND((INDEX($E884:$G884,AS$5)-SUMIFS(TF_Timer,TF_Tekniker,AS$4,TF_Dato,$A884))*2,0)/2)))</f>
        <v/>
      </c>
      <c r="AT884">
        <f>IF(OR(AT$4="",$A884&gt;TODAY()),0,IF(OR(INDEX($B884:$D884,AT$5)="F",AND(AT$6&gt;0,$A884&lt;AT$6),AND(AT$7&gt;0,$A884&gt;AT$7)),0,MAX(0,ROUND((INDEX($E884:$G884,AT$5)-SUMIFS(TF_Timer,TF_Tekniker,AT$4,TF_Dato,$A884))*2,0)/2)))</f>
        <v/>
      </c>
      <c r="AU884">
        <f>IF(OR(AU$4="",$A884&gt;TODAY()),0,IF(OR(INDEX($B884:$D884,AU$5)="F",AND(AU$6&gt;0,$A884&lt;AU$6),AND(AU$7&gt;0,$A884&gt;AU$7)),0,MAX(0,ROUND((INDEX($E884:$G884,AU$5)-SUMIFS(TF_Timer,TF_Tekniker,AU$4,TF_Dato,$A884))*2,0)/2)))</f>
        <v/>
      </c>
      <c r="AV884">
        <f>IF(OR(AV$4="",$A884&gt;TODAY()),0,IF(OR(INDEX($B884:$D884,AV$5)="F",AND(AV$6&gt;0,$A884&lt;AV$6),AND(AV$7&gt;0,$A884&gt;AV$7)),0,MAX(0,ROUND((INDEX($E884:$G884,AV$5)-SUMIFS(TF_Timer,TF_Tekniker,AV$4,TF_Dato,$A884))*2,0)/2)))</f>
        <v/>
      </c>
      <c r="AW884">
        <f>IF(OR(AW$4="",$A884&gt;TODAY()),0,IF(OR(INDEX($B884:$D884,AW$5)="F",AND(AW$6&gt;0,$A884&lt;AW$6),AND(AW$7&gt;0,$A884&gt;AW$7)),0,MAX(0,ROUND((INDEX($E884:$G884,AW$5)-SUMIFS(TF_Timer,TF_Tekniker,AW$4,TF_Dato,$A884))*2,0)/2)))</f>
        <v/>
      </c>
      <c r="AX884">
        <f>IF(OR(AX$4="",$A884&gt;TODAY()),0,IF(OR(INDEX($B884:$D884,AX$5)="F",AND(AX$6&gt;0,$A884&lt;AX$6),AND(AX$7&gt;0,$A884&gt;AX$7)),0,MAX(0,ROUND((INDEX($E884:$G884,AX$5)-SUMIFS(TF_Timer,TF_Tekniker,AX$4,TF_Dato,$A884))*2,0)/2)))</f>
        <v/>
      </c>
      <c r="AY884">
        <f>IF(OR(AY$4="",$A884&gt;TODAY()),0,IF(OR(INDEX($B884:$D884,AY$5)="F",AND(AY$6&gt;0,$A884&lt;AY$6),AND(AY$7&gt;0,$A884&gt;AY$7)),0,MAX(0,ROUND((INDEX($E884:$G884,AY$5)-SUMIFS(TF_Timer,TF_Tekniker,AY$4,TF_Dato,$A884))*2,0)/2)))</f>
        <v/>
      </c>
      <c r="AZ884">
        <f>IF(OR(AZ$4="",$A884&gt;TODAY()),0,IF(OR(INDEX($B884:$D884,AZ$5)="F",AND(AZ$6&gt;0,$A884&lt;AZ$6),AND(AZ$7&gt;0,$A884&gt;AZ$7)),0,MAX(0,ROUND((INDEX($E884:$G884,AZ$5)-SUMIFS(TF_Timer,TF_Tekniker,AZ$4,TF_Dato,$A884))*2,0)/2)))</f>
        <v/>
      </c>
      <c r="BA884">
        <f>IF(OR(BA$4="",$A884&gt;TODAY()),0,IF(OR(INDEX($B884:$D884,BA$5)="F",AND(BA$6&gt;0,$A884&lt;BA$6),AND(BA$7&gt;0,$A884&gt;BA$7)),0,MAX(0,ROUND((INDEX($E884:$G884,BA$5)-SUMIFS(TF_Timer,TF_Tekniker,BA$4,TF_Dato,$A884))*2,0)/2)))</f>
        <v/>
      </c>
      <c r="BB884">
        <f>IF(OR(BB$4="",$A884&gt;TODAY()),0,IF(OR(INDEX($B884:$D884,BB$5)="F",AND(BB$6&gt;0,$A884&lt;BB$6),AND(BB$7&gt;0,$A884&gt;BB$7)),0,MAX(0,ROUND((INDEX($E884:$G884,BB$5)-SUMIFS(TF_Timer,TF_Tekniker,BB$4,TF_Dato,$A884))*2,0)/2)))</f>
        <v/>
      </c>
      <c r="BC884">
        <f>IF(OR(BC$4="",$A884&gt;TODAY()),0,IF(OR(INDEX($B884:$D884,BC$5)="F",AND(BC$6&gt;0,$A884&lt;BC$6),AND(BC$7&gt;0,$A884&gt;BC$7)),0,MAX(0,ROUND((INDEX($E884:$G884,BC$5)-SUMIFS(TF_Timer,TF_Tekniker,BC$4,TF_Dato,$A884))*2,0)/2)))</f>
        <v/>
      </c>
      <c r="BD884">
        <f>IF(OR(BD$4="",$A884&gt;TODAY()),0,IF(OR(INDEX($B884:$D884,BD$5)="F",AND(BD$6&gt;0,$A884&lt;BD$6),AND(BD$7&gt;0,$A884&gt;BD$7)),0,MAX(0,ROUND((INDEX($E884:$G884,BD$5)-SUMIFS(TF_Timer,TF_Tekniker,BD$4,TF_Dato,$A884))*2,0)/2)))</f>
        <v/>
      </c>
      <c r="BE884">
        <f>IF(OR(BE$4="",$A884&gt;TODAY()),0,IF(OR(INDEX($B884:$D884,BE$5)="F",AND(BE$6&gt;0,$A884&lt;BE$6),AND(BE$7&gt;0,$A884&gt;BE$7)),0,MAX(0,ROUND((INDEX($E884:$G884,BE$5)-SUMIFS(TF_Timer,TF_Tekniker,BE$4,TF_Dato,$A884))*2,0)/2)))</f>
        <v/>
      </c>
      <c r="BF884">
        <f>IF(OR(BF$4="",$A884&gt;TODAY()),0,IF(OR(INDEX($B884:$D884,BF$5)="F",AND(BF$6&gt;0,$A884&lt;BF$6),AND(BF$7&gt;0,$A884&gt;BF$7)),0,MAX(0,ROUND((INDEX($E884:$G884,BF$5)-SUMIFS(TF_Timer,TF_Tekniker,BF$4,TF_Dato,$A884))*2,0)/2)))</f>
        <v/>
      </c>
      <c r="BG884">
        <f>IF(OR(BG$4="",$A884&gt;TODAY()),0,IF(OR(INDEX($B884:$D884,BG$5)="F",AND(BG$6&gt;0,$A884&lt;BG$6),AND(BG$7&gt;0,$A884&gt;BG$7)),0,MAX(0,ROUND((INDEX($E884:$G884,BG$5)-SUMIFS(TF_Timer,TF_Tekniker,BG$4,TF_Dato,$A884))*2,0)/2)))</f>
        <v/>
      </c>
      <c r="BH884">
        <f>IF(OR(BH$4="",$A884&gt;TODAY()),0,IF(OR(INDEX($B884:$D884,BH$5)="F",AND(BH$6&gt;0,$A884&lt;BH$6),AND(BH$7&gt;0,$A884&gt;BH$7)),0,MAX(0,ROUND((INDEX($E884:$G884,BH$5)-SUMIFS(TF_Timer,TF_Tekniker,BH$4,TF_Dato,$A884))*2,0)/2)))</f>
        <v/>
      </c>
      <c r="BI884">
        <f>IF(OR(BI$4="",$A884&gt;TODAY()),0,IF(OR(INDEX($B884:$D884,BI$5)="F",AND(BI$6&gt;0,$A884&lt;BI$6),AND(BI$7&gt;0,$A884&gt;BI$7)),0,MAX(0,ROUND((INDEX($E884:$G884,BI$5)-SUMIFS(TF_Timer,TF_Tekniker,BI$4,TF_Dato,$A884))*2,0)/2)))</f>
        <v/>
      </c>
    </row>
    <row r="885">
      <c r="A885" s="64">
        <f>A884+1</f>
        <v/>
      </c>
      <c r="B885">
        <f>IF(MOD($A885-INDEX(SkiftStart,1),Syklus)&lt;DagK,"K",IF(MOD($A885-INDEX(SkiftStart,1),Syklus)&lt;DagK+DagH,"H",IF(MOD($A885-INDEX(SkiftStart,1),Syklus)&lt;DagK+DagH+DagD,"D","F")))</f>
        <v/>
      </c>
      <c r="C885">
        <f>IF(MOD($A885-INDEX(SkiftStart,2),Syklus)&lt;DagK,"K",IF(MOD($A885-INDEX(SkiftStart,2),Syklus)&lt;DagK+DagH,"H",IF(MOD($A885-INDEX(SkiftStart,2),Syklus)&lt;DagK+DagH+DagD,"D","F")))</f>
        <v/>
      </c>
      <c r="D885">
        <f>IF(MOD($A885-INDEX(SkiftStart,3),Syklus)&lt;DagK,"K",IF(MOD($A885-INDEX(SkiftStart,3),Syklus)&lt;DagK+DagH,"H",IF(MOD($A885-INDEX(SkiftStart,3),Syklus)&lt;DagK+DagH+DagD,"D","F")))</f>
        <v/>
      </c>
      <c r="E885">
        <f>IF(B885="F",0,IF(WEEKDAY($A885,2)=5,INDEX(TimerFr,MATCH(B885,FaseKode,0)),INDEX(TimerMT,MATCH(B885,FaseKode,0))))</f>
        <v/>
      </c>
      <c r="F885">
        <f>IF(C885="F",0,IF(WEEKDAY($A885,2)=5,INDEX(TimerFr,MATCH(C885,FaseKode,0)),INDEX(TimerMT,MATCH(C885,FaseKode,0))))</f>
        <v/>
      </c>
      <c r="G885">
        <f>IF(D885="F",0,IF(WEEKDAY($A885,2)=5,INDEX(TimerFr,MATCH(D885,FaseKode,0)),INDEX(TimerMT,MATCH(D885,FaseKode,0))))</f>
        <v/>
      </c>
      <c r="H885">
        <f>IF(OR(H$4="",$A885&gt;TODAY()),0,IF(OR(INDEX($B885:$D885,H$5)="F",AND(H$6&gt;0,$A885&lt;H$6),AND(H$7&gt;0,$A885&gt;H$7)),0,MAX(0,ROUND((INDEX($E885:$G885,H$5)-SUMIFS(TF_Timer,TF_Tekniker,H$4,TF_Dato,$A885))*2,0)/2)))</f>
        <v/>
      </c>
      <c r="I885">
        <f>IF(OR(I$4="",$A885&gt;TODAY()),0,IF(OR(INDEX($B885:$D885,I$5)="F",AND(I$6&gt;0,$A885&lt;I$6),AND(I$7&gt;0,$A885&gt;I$7)),0,MAX(0,ROUND((INDEX($E885:$G885,I$5)-SUMIFS(TF_Timer,TF_Tekniker,I$4,TF_Dato,$A885))*2,0)/2)))</f>
        <v/>
      </c>
      <c r="J885">
        <f>IF(OR(J$4="",$A885&gt;TODAY()),0,IF(OR(INDEX($B885:$D885,J$5)="F",AND(J$6&gt;0,$A885&lt;J$6),AND(J$7&gt;0,$A885&gt;J$7)),0,MAX(0,ROUND((INDEX($E885:$G885,J$5)-SUMIFS(TF_Timer,TF_Tekniker,J$4,TF_Dato,$A885))*2,0)/2)))</f>
        <v/>
      </c>
      <c r="K885">
        <f>IF(OR(K$4="",$A885&gt;TODAY()),0,IF(OR(INDEX($B885:$D885,K$5)="F",AND(K$6&gt;0,$A885&lt;K$6),AND(K$7&gt;0,$A885&gt;K$7)),0,MAX(0,ROUND((INDEX($E885:$G885,K$5)-SUMIFS(TF_Timer,TF_Tekniker,K$4,TF_Dato,$A885))*2,0)/2)))</f>
        <v/>
      </c>
      <c r="L885">
        <f>IF(OR(L$4="",$A885&gt;TODAY()),0,IF(OR(INDEX($B885:$D885,L$5)="F",AND(L$6&gt;0,$A885&lt;L$6),AND(L$7&gt;0,$A885&gt;L$7)),0,MAX(0,ROUND((INDEX($E885:$G885,L$5)-SUMIFS(TF_Timer,TF_Tekniker,L$4,TF_Dato,$A885))*2,0)/2)))</f>
        <v/>
      </c>
      <c r="M885">
        <f>IF(OR(M$4="",$A885&gt;TODAY()),0,IF(OR(INDEX($B885:$D885,M$5)="F",AND(M$6&gt;0,$A885&lt;M$6),AND(M$7&gt;0,$A885&gt;M$7)),0,MAX(0,ROUND((INDEX($E885:$G885,M$5)-SUMIFS(TF_Timer,TF_Tekniker,M$4,TF_Dato,$A885))*2,0)/2)))</f>
        <v/>
      </c>
      <c r="N885">
        <f>IF(OR(N$4="",$A885&gt;TODAY()),0,IF(OR(INDEX($B885:$D885,N$5)="F",AND(N$6&gt;0,$A885&lt;N$6),AND(N$7&gt;0,$A885&gt;N$7)),0,MAX(0,ROUND((INDEX($E885:$G885,N$5)-SUMIFS(TF_Timer,TF_Tekniker,N$4,TF_Dato,$A885))*2,0)/2)))</f>
        <v/>
      </c>
      <c r="O885">
        <f>IF(OR(O$4="",$A885&gt;TODAY()),0,IF(OR(INDEX($B885:$D885,O$5)="F",AND(O$6&gt;0,$A885&lt;O$6),AND(O$7&gt;0,$A885&gt;O$7)),0,MAX(0,ROUND((INDEX($E885:$G885,O$5)-SUMIFS(TF_Timer,TF_Tekniker,O$4,TF_Dato,$A885))*2,0)/2)))</f>
        <v/>
      </c>
      <c r="P885">
        <f>IF(OR(P$4="",$A885&gt;TODAY()),0,IF(OR(INDEX($B885:$D885,P$5)="F",AND(P$6&gt;0,$A885&lt;P$6),AND(P$7&gt;0,$A885&gt;P$7)),0,MAX(0,ROUND((INDEX($E885:$G885,P$5)-SUMIFS(TF_Timer,TF_Tekniker,P$4,TF_Dato,$A885))*2,0)/2)))</f>
        <v/>
      </c>
      <c r="Q885">
        <f>IF(OR(Q$4="",$A885&gt;TODAY()),0,IF(OR(INDEX($B885:$D885,Q$5)="F",AND(Q$6&gt;0,$A885&lt;Q$6),AND(Q$7&gt;0,$A885&gt;Q$7)),0,MAX(0,ROUND((INDEX($E885:$G885,Q$5)-SUMIFS(TF_Timer,TF_Tekniker,Q$4,TF_Dato,$A885))*2,0)/2)))</f>
        <v/>
      </c>
      <c r="R885">
        <f>IF(OR(R$4="",$A885&gt;TODAY()),0,IF(OR(INDEX($B885:$D885,R$5)="F",AND(R$6&gt;0,$A885&lt;R$6),AND(R$7&gt;0,$A885&gt;R$7)),0,MAX(0,ROUND((INDEX($E885:$G885,R$5)-SUMIFS(TF_Timer,TF_Tekniker,R$4,TF_Dato,$A885))*2,0)/2)))</f>
        <v/>
      </c>
      <c r="S885">
        <f>IF(OR(S$4="",$A885&gt;TODAY()),0,IF(OR(INDEX($B885:$D885,S$5)="F",AND(S$6&gt;0,$A885&lt;S$6),AND(S$7&gt;0,$A885&gt;S$7)),0,MAX(0,ROUND((INDEX($E885:$G885,S$5)-SUMIFS(TF_Timer,TF_Tekniker,S$4,TF_Dato,$A885))*2,0)/2)))</f>
        <v/>
      </c>
      <c r="T885">
        <f>IF(OR(T$4="",$A885&gt;TODAY()),0,IF(OR(INDEX($B885:$D885,T$5)="F",AND(T$6&gt;0,$A885&lt;T$6),AND(T$7&gt;0,$A885&gt;T$7)),0,MAX(0,ROUND((INDEX($E885:$G885,T$5)-SUMIFS(TF_Timer,TF_Tekniker,T$4,TF_Dato,$A885))*2,0)/2)))</f>
        <v/>
      </c>
      <c r="U885">
        <f>IF(OR(U$4="",$A885&gt;TODAY()),0,IF(OR(INDEX($B885:$D885,U$5)="F",AND(U$6&gt;0,$A885&lt;U$6),AND(U$7&gt;0,$A885&gt;U$7)),0,MAX(0,ROUND((INDEX($E885:$G885,U$5)-SUMIFS(TF_Timer,TF_Tekniker,U$4,TF_Dato,$A885))*2,0)/2)))</f>
        <v/>
      </c>
      <c r="V885">
        <f>IF(OR(V$4="",$A885&gt;TODAY()),0,IF(OR(INDEX($B885:$D885,V$5)="F",AND(V$6&gt;0,$A885&lt;V$6),AND(V$7&gt;0,$A885&gt;V$7)),0,MAX(0,ROUND((INDEX($E885:$G885,V$5)-SUMIFS(TF_Timer,TF_Tekniker,V$4,TF_Dato,$A885))*2,0)/2)))</f>
        <v/>
      </c>
      <c r="W885">
        <f>IF(OR(W$4="",$A885&gt;TODAY()),0,IF(OR(INDEX($B885:$D885,W$5)="F",AND(W$6&gt;0,$A885&lt;W$6),AND(W$7&gt;0,$A885&gt;W$7)),0,MAX(0,ROUND((INDEX($E885:$G885,W$5)-SUMIFS(TF_Timer,TF_Tekniker,W$4,TF_Dato,$A885))*2,0)/2)))</f>
        <v/>
      </c>
      <c r="X885">
        <f>IF(OR(X$4="",$A885&gt;TODAY()),0,IF(OR(INDEX($B885:$D885,X$5)="F",AND(X$6&gt;0,$A885&lt;X$6),AND(X$7&gt;0,$A885&gt;X$7)),0,MAX(0,ROUND((INDEX($E885:$G885,X$5)-SUMIFS(TF_Timer,TF_Tekniker,X$4,TF_Dato,$A885))*2,0)/2)))</f>
        <v/>
      </c>
      <c r="Y885">
        <f>IF(OR(Y$4="",$A885&gt;TODAY()),0,IF(OR(INDEX($B885:$D885,Y$5)="F",AND(Y$6&gt;0,$A885&lt;Y$6),AND(Y$7&gt;0,$A885&gt;Y$7)),0,MAX(0,ROUND((INDEX($E885:$G885,Y$5)-SUMIFS(TF_Timer,TF_Tekniker,Y$4,TF_Dato,$A885))*2,0)/2)))</f>
        <v/>
      </c>
      <c r="Z885">
        <f>IF(OR(Z$4="",$A885&gt;TODAY()),0,IF(OR(INDEX($B885:$D885,Z$5)="F",AND(Z$6&gt;0,$A885&lt;Z$6),AND(Z$7&gt;0,$A885&gt;Z$7)),0,MAX(0,ROUND((INDEX($E885:$G885,Z$5)-SUMIFS(TF_Timer,TF_Tekniker,Z$4,TF_Dato,$A885))*2,0)/2)))</f>
        <v/>
      </c>
      <c r="AA885">
        <f>IF(OR(AA$4="",$A885&gt;TODAY()),0,IF(OR(INDEX($B885:$D885,AA$5)="F",AND(AA$6&gt;0,$A885&lt;AA$6),AND(AA$7&gt;0,$A885&gt;AA$7)),0,MAX(0,ROUND((INDEX($E885:$G885,AA$5)-SUMIFS(TF_Timer,TF_Tekniker,AA$4,TF_Dato,$A885))*2,0)/2)))</f>
        <v/>
      </c>
      <c r="AB885">
        <f>IF(OR(AB$4="",$A885&gt;TODAY()),0,IF(OR(INDEX($B885:$D885,AB$5)="F",AND(AB$6&gt;0,$A885&lt;AB$6),AND(AB$7&gt;0,$A885&gt;AB$7)),0,MAX(0,ROUND((INDEX($E885:$G885,AB$5)-SUMIFS(TF_Timer,TF_Tekniker,AB$4,TF_Dato,$A885))*2,0)/2)))</f>
        <v/>
      </c>
      <c r="AC885">
        <f>IF(OR(AC$4="",$A885&gt;TODAY()),0,IF(OR(INDEX($B885:$D885,AC$5)="F",AND(AC$6&gt;0,$A885&lt;AC$6),AND(AC$7&gt;0,$A885&gt;AC$7)),0,MAX(0,ROUND((INDEX($E885:$G885,AC$5)-SUMIFS(TF_Timer,TF_Tekniker,AC$4,TF_Dato,$A885))*2,0)/2)))</f>
        <v/>
      </c>
      <c r="AD885">
        <f>IF(OR(AD$4="",$A885&gt;TODAY()),0,IF(OR(INDEX($B885:$D885,AD$5)="F",AND(AD$6&gt;0,$A885&lt;AD$6),AND(AD$7&gt;0,$A885&gt;AD$7)),0,MAX(0,ROUND((INDEX($E885:$G885,AD$5)-SUMIFS(TF_Timer,TF_Tekniker,AD$4,TF_Dato,$A885))*2,0)/2)))</f>
        <v/>
      </c>
      <c r="AE885">
        <f>IF(OR(AE$4="",$A885&gt;TODAY()),0,IF(OR(INDEX($B885:$D885,AE$5)="F",AND(AE$6&gt;0,$A885&lt;AE$6),AND(AE$7&gt;0,$A885&gt;AE$7)),0,MAX(0,ROUND((INDEX($E885:$G885,AE$5)-SUMIFS(TF_Timer,TF_Tekniker,AE$4,TF_Dato,$A885))*2,0)/2)))</f>
        <v/>
      </c>
      <c r="AF885">
        <f>IF(OR(AF$4="",$A885&gt;TODAY()),0,IF(OR(INDEX($B885:$D885,AF$5)="F",AND(AF$6&gt;0,$A885&lt;AF$6),AND(AF$7&gt;0,$A885&gt;AF$7)),0,MAX(0,ROUND((INDEX($E885:$G885,AF$5)-SUMIFS(TF_Timer,TF_Tekniker,AF$4,TF_Dato,$A885))*2,0)/2)))</f>
        <v/>
      </c>
      <c r="AG885">
        <f>IF(OR(AG$4="",$A885&gt;TODAY()),0,IF(OR(INDEX($B885:$D885,AG$5)="F",AND(AG$6&gt;0,$A885&lt;AG$6),AND(AG$7&gt;0,$A885&gt;AG$7)),0,MAX(0,ROUND((INDEX($E885:$G885,AG$5)-SUMIFS(TF_Timer,TF_Tekniker,AG$4,TF_Dato,$A885))*2,0)/2)))</f>
        <v/>
      </c>
      <c r="AH885">
        <f>IF(OR(AH$4="",$A885&gt;TODAY()),0,IF(OR(INDEX($B885:$D885,AH$5)="F",AND(AH$6&gt;0,$A885&lt;AH$6),AND(AH$7&gt;0,$A885&gt;AH$7)),0,MAX(0,ROUND((INDEX($E885:$G885,AH$5)-SUMIFS(TF_Timer,TF_Tekniker,AH$4,TF_Dato,$A885))*2,0)/2)))</f>
        <v/>
      </c>
      <c r="AI885">
        <f>IF(OR(AI$4="",$A885&gt;TODAY()),0,IF(OR(INDEX($B885:$D885,AI$5)="F",AND(AI$6&gt;0,$A885&lt;AI$6),AND(AI$7&gt;0,$A885&gt;AI$7)),0,MAX(0,ROUND((INDEX($E885:$G885,AI$5)-SUMIFS(TF_Timer,TF_Tekniker,AI$4,TF_Dato,$A885))*2,0)/2)))</f>
        <v/>
      </c>
      <c r="AJ885">
        <f>IF(OR(AJ$4="",$A885&gt;TODAY()),0,IF(OR(INDEX($B885:$D885,AJ$5)="F",AND(AJ$6&gt;0,$A885&lt;AJ$6),AND(AJ$7&gt;0,$A885&gt;AJ$7)),0,MAX(0,ROUND((INDEX($E885:$G885,AJ$5)-SUMIFS(TF_Timer,TF_Tekniker,AJ$4,TF_Dato,$A885))*2,0)/2)))</f>
        <v/>
      </c>
      <c r="AK885">
        <f>IF(OR(AK$4="",$A885&gt;TODAY()),0,IF(OR(INDEX($B885:$D885,AK$5)="F",AND(AK$6&gt;0,$A885&lt;AK$6),AND(AK$7&gt;0,$A885&gt;AK$7)),0,MAX(0,ROUND((INDEX($E885:$G885,AK$5)-SUMIFS(TF_Timer,TF_Tekniker,AK$4,TF_Dato,$A885))*2,0)/2)))</f>
        <v/>
      </c>
      <c r="AL885">
        <f>IF(OR(AL$4="",$A885&gt;TODAY()),0,IF(OR(INDEX($B885:$D885,AL$5)="F",AND(AL$6&gt;0,$A885&lt;AL$6),AND(AL$7&gt;0,$A885&gt;AL$7)),0,MAX(0,ROUND((INDEX($E885:$G885,AL$5)-SUMIFS(TF_Timer,TF_Tekniker,AL$4,TF_Dato,$A885))*2,0)/2)))</f>
        <v/>
      </c>
      <c r="AM885">
        <f>IF(OR(AM$4="",$A885&gt;TODAY()),0,IF(OR(INDEX($B885:$D885,AM$5)="F",AND(AM$6&gt;0,$A885&lt;AM$6),AND(AM$7&gt;0,$A885&gt;AM$7)),0,MAX(0,ROUND((INDEX($E885:$G885,AM$5)-SUMIFS(TF_Timer,TF_Tekniker,AM$4,TF_Dato,$A885))*2,0)/2)))</f>
        <v/>
      </c>
      <c r="AN885">
        <f>IF(OR(AN$4="",$A885&gt;TODAY()),0,IF(OR(INDEX($B885:$D885,AN$5)="F",AND(AN$6&gt;0,$A885&lt;AN$6),AND(AN$7&gt;0,$A885&gt;AN$7)),0,MAX(0,ROUND((INDEX($E885:$G885,AN$5)-SUMIFS(TF_Timer,TF_Tekniker,AN$4,TF_Dato,$A885))*2,0)/2)))</f>
        <v/>
      </c>
      <c r="AO885">
        <f>IF(OR(AO$4="",$A885&gt;TODAY()),0,IF(OR(INDEX($B885:$D885,AO$5)="F",AND(AO$6&gt;0,$A885&lt;AO$6),AND(AO$7&gt;0,$A885&gt;AO$7)),0,MAX(0,ROUND((INDEX($E885:$G885,AO$5)-SUMIFS(TF_Timer,TF_Tekniker,AO$4,TF_Dato,$A885))*2,0)/2)))</f>
        <v/>
      </c>
      <c r="AP885">
        <f>IF(OR(AP$4="",$A885&gt;TODAY()),0,IF(OR(INDEX($B885:$D885,AP$5)="F",AND(AP$6&gt;0,$A885&lt;AP$6),AND(AP$7&gt;0,$A885&gt;AP$7)),0,MAX(0,ROUND((INDEX($E885:$G885,AP$5)-SUMIFS(TF_Timer,TF_Tekniker,AP$4,TF_Dato,$A885))*2,0)/2)))</f>
        <v/>
      </c>
      <c r="AQ885">
        <f>IF(OR(AQ$4="",$A885&gt;TODAY()),0,IF(OR(INDEX($B885:$D885,AQ$5)="F",AND(AQ$6&gt;0,$A885&lt;AQ$6),AND(AQ$7&gt;0,$A885&gt;AQ$7)),0,MAX(0,ROUND((INDEX($E885:$G885,AQ$5)-SUMIFS(TF_Timer,TF_Tekniker,AQ$4,TF_Dato,$A885))*2,0)/2)))</f>
        <v/>
      </c>
      <c r="AR885">
        <f>IF(OR(AR$4="",$A885&gt;TODAY()),0,IF(OR(INDEX($B885:$D885,AR$5)="F",AND(AR$6&gt;0,$A885&lt;AR$6),AND(AR$7&gt;0,$A885&gt;AR$7)),0,MAX(0,ROUND((INDEX($E885:$G885,AR$5)-SUMIFS(TF_Timer,TF_Tekniker,AR$4,TF_Dato,$A885))*2,0)/2)))</f>
        <v/>
      </c>
      <c r="AS885">
        <f>IF(OR(AS$4="",$A885&gt;TODAY()),0,IF(OR(INDEX($B885:$D885,AS$5)="F",AND(AS$6&gt;0,$A885&lt;AS$6),AND(AS$7&gt;0,$A885&gt;AS$7)),0,MAX(0,ROUND((INDEX($E885:$G885,AS$5)-SUMIFS(TF_Timer,TF_Tekniker,AS$4,TF_Dato,$A885))*2,0)/2)))</f>
        <v/>
      </c>
      <c r="AT885">
        <f>IF(OR(AT$4="",$A885&gt;TODAY()),0,IF(OR(INDEX($B885:$D885,AT$5)="F",AND(AT$6&gt;0,$A885&lt;AT$6),AND(AT$7&gt;0,$A885&gt;AT$7)),0,MAX(0,ROUND((INDEX($E885:$G885,AT$5)-SUMIFS(TF_Timer,TF_Tekniker,AT$4,TF_Dato,$A885))*2,0)/2)))</f>
        <v/>
      </c>
      <c r="AU885">
        <f>IF(OR(AU$4="",$A885&gt;TODAY()),0,IF(OR(INDEX($B885:$D885,AU$5)="F",AND(AU$6&gt;0,$A885&lt;AU$6),AND(AU$7&gt;0,$A885&gt;AU$7)),0,MAX(0,ROUND((INDEX($E885:$G885,AU$5)-SUMIFS(TF_Timer,TF_Tekniker,AU$4,TF_Dato,$A885))*2,0)/2)))</f>
        <v/>
      </c>
      <c r="AV885">
        <f>IF(OR(AV$4="",$A885&gt;TODAY()),0,IF(OR(INDEX($B885:$D885,AV$5)="F",AND(AV$6&gt;0,$A885&lt;AV$6),AND(AV$7&gt;0,$A885&gt;AV$7)),0,MAX(0,ROUND((INDEX($E885:$G885,AV$5)-SUMIFS(TF_Timer,TF_Tekniker,AV$4,TF_Dato,$A885))*2,0)/2)))</f>
        <v/>
      </c>
      <c r="AW885">
        <f>IF(OR(AW$4="",$A885&gt;TODAY()),0,IF(OR(INDEX($B885:$D885,AW$5)="F",AND(AW$6&gt;0,$A885&lt;AW$6),AND(AW$7&gt;0,$A885&gt;AW$7)),0,MAX(0,ROUND((INDEX($E885:$G885,AW$5)-SUMIFS(TF_Timer,TF_Tekniker,AW$4,TF_Dato,$A885))*2,0)/2)))</f>
        <v/>
      </c>
      <c r="AX885">
        <f>IF(OR(AX$4="",$A885&gt;TODAY()),0,IF(OR(INDEX($B885:$D885,AX$5)="F",AND(AX$6&gt;0,$A885&lt;AX$6),AND(AX$7&gt;0,$A885&gt;AX$7)),0,MAX(0,ROUND((INDEX($E885:$G885,AX$5)-SUMIFS(TF_Timer,TF_Tekniker,AX$4,TF_Dato,$A885))*2,0)/2)))</f>
        <v/>
      </c>
      <c r="AY885">
        <f>IF(OR(AY$4="",$A885&gt;TODAY()),0,IF(OR(INDEX($B885:$D885,AY$5)="F",AND(AY$6&gt;0,$A885&lt;AY$6),AND(AY$7&gt;0,$A885&gt;AY$7)),0,MAX(0,ROUND((INDEX($E885:$G885,AY$5)-SUMIFS(TF_Timer,TF_Tekniker,AY$4,TF_Dato,$A885))*2,0)/2)))</f>
        <v/>
      </c>
      <c r="AZ885">
        <f>IF(OR(AZ$4="",$A885&gt;TODAY()),0,IF(OR(INDEX($B885:$D885,AZ$5)="F",AND(AZ$6&gt;0,$A885&lt;AZ$6),AND(AZ$7&gt;0,$A885&gt;AZ$7)),0,MAX(0,ROUND((INDEX($E885:$G885,AZ$5)-SUMIFS(TF_Timer,TF_Tekniker,AZ$4,TF_Dato,$A885))*2,0)/2)))</f>
        <v/>
      </c>
      <c r="BA885">
        <f>IF(OR(BA$4="",$A885&gt;TODAY()),0,IF(OR(INDEX($B885:$D885,BA$5)="F",AND(BA$6&gt;0,$A885&lt;BA$6),AND(BA$7&gt;0,$A885&gt;BA$7)),0,MAX(0,ROUND((INDEX($E885:$G885,BA$5)-SUMIFS(TF_Timer,TF_Tekniker,BA$4,TF_Dato,$A885))*2,0)/2)))</f>
        <v/>
      </c>
      <c r="BB885">
        <f>IF(OR(BB$4="",$A885&gt;TODAY()),0,IF(OR(INDEX($B885:$D885,BB$5)="F",AND(BB$6&gt;0,$A885&lt;BB$6),AND(BB$7&gt;0,$A885&gt;BB$7)),0,MAX(0,ROUND((INDEX($E885:$G885,BB$5)-SUMIFS(TF_Timer,TF_Tekniker,BB$4,TF_Dato,$A885))*2,0)/2)))</f>
        <v/>
      </c>
      <c r="BC885">
        <f>IF(OR(BC$4="",$A885&gt;TODAY()),0,IF(OR(INDEX($B885:$D885,BC$5)="F",AND(BC$6&gt;0,$A885&lt;BC$6),AND(BC$7&gt;0,$A885&gt;BC$7)),0,MAX(0,ROUND((INDEX($E885:$G885,BC$5)-SUMIFS(TF_Timer,TF_Tekniker,BC$4,TF_Dato,$A885))*2,0)/2)))</f>
        <v/>
      </c>
      <c r="BD885">
        <f>IF(OR(BD$4="",$A885&gt;TODAY()),0,IF(OR(INDEX($B885:$D885,BD$5)="F",AND(BD$6&gt;0,$A885&lt;BD$6),AND(BD$7&gt;0,$A885&gt;BD$7)),0,MAX(0,ROUND((INDEX($E885:$G885,BD$5)-SUMIFS(TF_Timer,TF_Tekniker,BD$4,TF_Dato,$A885))*2,0)/2)))</f>
        <v/>
      </c>
      <c r="BE885">
        <f>IF(OR(BE$4="",$A885&gt;TODAY()),0,IF(OR(INDEX($B885:$D885,BE$5)="F",AND(BE$6&gt;0,$A885&lt;BE$6),AND(BE$7&gt;0,$A885&gt;BE$7)),0,MAX(0,ROUND((INDEX($E885:$G885,BE$5)-SUMIFS(TF_Timer,TF_Tekniker,BE$4,TF_Dato,$A885))*2,0)/2)))</f>
        <v/>
      </c>
      <c r="BF885">
        <f>IF(OR(BF$4="",$A885&gt;TODAY()),0,IF(OR(INDEX($B885:$D885,BF$5)="F",AND(BF$6&gt;0,$A885&lt;BF$6),AND(BF$7&gt;0,$A885&gt;BF$7)),0,MAX(0,ROUND((INDEX($E885:$G885,BF$5)-SUMIFS(TF_Timer,TF_Tekniker,BF$4,TF_Dato,$A885))*2,0)/2)))</f>
        <v/>
      </c>
      <c r="BG885">
        <f>IF(OR(BG$4="",$A885&gt;TODAY()),0,IF(OR(INDEX($B885:$D885,BG$5)="F",AND(BG$6&gt;0,$A885&lt;BG$6),AND(BG$7&gt;0,$A885&gt;BG$7)),0,MAX(0,ROUND((INDEX($E885:$G885,BG$5)-SUMIFS(TF_Timer,TF_Tekniker,BG$4,TF_Dato,$A885))*2,0)/2)))</f>
        <v/>
      </c>
      <c r="BH885">
        <f>IF(OR(BH$4="",$A885&gt;TODAY()),0,IF(OR(INDEX($B885:$D885,BH$5)="F",AND(BH$6&gt;0,$A885&lt;BH$6),AND(BH$7&gt;0,$A885&gt;BH$7)),0,MAX(0,ROUND((INDEX($E885:$G885,BH$5)-SUMIFS(TF_Timer,TF_Tekniker,BH$4,TF_Dato,$A885))*2,0)/2)))</f>
        <v/>
      </c>
      <c r="BI885">
        <f>IF(OR(BI$4="",$A885&gt;TODAY()),0,IF(OR(INDEX($B885:$D885,BI$5)="F",AND(BI$6&gt;0,$A885&lt;BI$6),AND(BI$7&gt;0,$A885&gt;BI$7)),0,MAX(0,ROUND((INDEX($E885:$G885,BI$5)-SUMIFS(TF_Timer,TF_Tekniker,BI$4,TF_Dato,$A885))*2,0)/2)))</f>
        <v/>
      </c>
    </row>
    <row r="886">
      <c r="A886" s="64">
        <f>A885+1</f>
        <v/>
      </c>
      <c r="B886">
        <f>IF(MOD($A886-INDEX(SkiftStart,1),Syklus)&lt;DagK,"K",IF(MOD($A886-INDEX(SkiftStart,1),Syklus)&lt;DagK+DagH,"H",IF(MOD($A886-INDEX(SkiftStart,1),Syklus)&lt;DagK+DagH+DagD,"D","F")))</f>
        <v/>
      </c>
      <c r="C886">
        <f>IF(MOD($A886-INDEX(SkiftStart,2),Syklus)&lt;DagK,"K",IF(MOD($A886-INDEX(SkiftStart,2),Syklus)&lt;DagK+DagH,"H",IF(MOD($A886-INDEX(SkiftStart,2),Syklus)&lt;DagK+DagH+DagD,"D","F")))</f>
        <v/>
      </c>
      <c r="D886">
        <f>IF(MOD($A886-INDEX(SkiftStart,3),Syklus)&lt;DagK,"K",IF(MOD($A886-INDEX(SkiftStart,3),Syklus)&lt;DagK+DagH,"H",IF(MOD($A886-INDEX(SkiftStart,3),Syklus)&lt;DagK+DagH+DagD,"D","F")))</f>
        <v/>
      </c>
      <c r="E886">
        <f>IF(B886="F",0,IF(WEEKDAY($A886,2)=5,INDEX(TimerFr,MATCH(B886,FaseKode,0)),INDEX(TimerMT,MATCH(B886,FaseKode,0))))</f>
        <v/>
      </c>
      <c r="F886">
        <f>IF(C886="F",0,IF(WEEKDAY($A886,2)=5,INDEX(TimerFr,MATCH(C886,FaseKode,0)),INDEX(TimerMT,MATCH(C886,FaseKode,0))))</f>
        <v/>
      </c>
      <c r="G886">
        <f>IF(D886="F",0,IF(WEEKDAY($A886,2)=5,INDEX(TimerFr,MATCH(D886,FaseKode,0)),INDEX(TimerMT,MATCH(D886,FaseKode,0))))</f>
        <v/>
      </c>
      <c r="H886">
        <f>IF(OR(H$4="",$A886&gt;TODAY()),0,IF(OR(INDEX($B886:$D886,H$5)="F",AND(H$6&gt;0,$A886&lt;H$6),AND(H$7&gt;0,$A886&gt;H$7)),0,MAX(0,ROUND((INDEX($E886:$G886,H$5)-SUMIFS(TF_Timer,TF_Tekniker,H$4,TF_Dato,$A886))*2,0)/2)))</f>
        <v/>
      </c>
      <c r="I886">
        <f>IF(OR(I$4="",$A886&gt;TODAY()),0,IF(OR(INDEX($B886:$D886,I$5)="F",AND(I$6&gt;0,$A886&lt;I$6),AND(I$7&gt;0,$A886&gt;I$7)),0,MAX(0,ROUND((INDEX($E886:$G886,I$5)-SUMIFS(TF_Timer,TF_Tekniker,I$4,TF_Dato,$A886))*2,0)/2)))</f>
        <v/>
      </c>
      <c r="J886">
        <f>IF(OR(J$4="",$A886&gt;TODAY()),0,IF(OR(INDEX($B886:$D886,J$5)="F",AND(J$6&gt;0,$A886&lt;J$6),AND(J$7&gt;0,$A886&gt;J$7)),0,MAX(0,ROUND((INDEX($E886:$G886,J$5)-SUMIFS(TF_Timer,TF_Tekniker,J$4,TF_Dato,$A886))*2,0)/2)))</f>
        <v/>
      </c>
      <c r="K886">
        <f>IF(OR(K$4="",$A886&gt;TODAY()),0,IF(OR(INDEX($B886:$D886,K$5)="F",AND(K$6&gt;0,$A886&lt;K$6),AND(K$7&gt;0,$A886&gt;K$7)),0,MAX(0,ROUND((INDEX($E886:$G886,K$5)-SUMIFS(TF_Timer,TF_Tekniker,K$4,TF_Dato,$A886))*2,0)/2)))</f>
        <v/>
      </c>
      <c r="L886">
        <f>IF(OR(L$4="",$A886&gt;TODAY()),0,IF(OR(INDEX($B886:$D886,L$5)="F",AND(L$6&gt;0,$A886&lt;L$6),AND(L$7&gt;0,$A886&gt;L$7)),0,MAX(0,ROUND((INDEX($E886:$G886,L$5)-SUMIFS(TF_Timer,TF_Tekniker,L$4,TF_Dato,$A886))*2,0)/2)))</f>
        <v/>
      </c>
      <c r="M886">
        <f>IF(OR(M$4="",$A886&gt;TODAY()),0,IF(OR(INDEX($B886:$D886,M$5)="F",AND(M$6&gt;0,$A886&lt;M$6),AND(M$7&gt;0,$A886&gt;M$7)),0,MAX(0,ROUND((INDEX($E886:$G886,M$5)-SUMIFS(TF_Timer,TF_Tekniker,M$4,TF_Dato,$A886))*2,0)/2)))</f>
        <v/>
      </c>
      <c r="N886">
        <f>IF(OR(N$4="",$A886&gt;TODAY()),0,IF(OR(INDEX($B886:$D886,N$5)="F",AND(N$6&gt;0,$A886&lt;N$6),AND(N$7&gt;0,$A886&gt;N$7)),0,MAX(0,ROUND((INDEX($E886:$G886,N$5)-SUMIFS(TF_Timer,TF_Tekniker,N$4,TF_Dato,$A886))*2,0)/2)))</f>
        <v/>
      </c>
      <c r="O886">
        <f>IF(OR(O$4="",$A886&gt;TODAY()),0,IF(OR(INDEX($B886:$D886,O$5)="F",AND(O$6&gt;0,$A886&lt;O$6),AND(O$7&gt;0,$A886&gt;O$7)),0,MAX(0,ROUND((INDEX($E886:$G886,O$5)-SUMIFS(TF_Timer,TF_Tekniker,O$4,TF_Dato,$A886))*2,0)/2)))</f>
        <v/>
      </c>
      <c r="P886">
        <f>IF(OR(P$4="",$A886&gt;TODAY()),0,IF(OR(INDEX($B886:$D886,P$5)="F",AND(P$6&gt;0,$A886&lt;P$6),AND(P$7&gt;0,$A886&gt;P$7)),0,MAX(0,ROUND((INDEX($E886:$G886,P$5)-SUMIFS(TF_Timer,TF_Tekniker,P$4,TF_Dato,$A886))*2,0)/2)))</f>
        <v/>
      </c>
      <c r="Q886">
        <f>IF(OR(Q$4="",$A886&gt;TODAY()),0,IF(OR(INDEX($B886:$D886,Q$5)="F",AND(Q$6&gt;0,$A886&lt;Q$6),AND(Q$7&gt;0,$A886&gt;Q$7)),0,MAX(0,ROUND((INDEX($E886:$G886,Q$5)-SUMIFS(TF_Timer,TF_Tekniker,Q$4,TF_Dato,$A886))*2,0)/2)))</f>
        <v/>
      </c>
      <c r="R886">
        <f>IF(OR(R$4="",$A886&gt;TODAY()),0,IF(OR(INDEX($B886:$D886,R$5)="F",AND(R$6&gt;0,$A886&lt;R$6),AND(R$7&gt;0,$A886&gt;R$7)),0,MAX(0,ROUND((INDEX($E886:$G886,R$5)-SUMIFS(TF_Timer,TF_Tekniker,R$4,TF_Dato,$A886))*2,0)/2)))</f>
        <v/>
      </c>
      <c r="S886">
        <f>IF(OR(S$4="",$A886&gt;TODAY()),0,IF(OR(INDEX($B886:$D886,S$5)="F",AND(S$6&gt;0,$A886&lt;S$6),AND(S$7&gt;0,$A886&gt;S$7)),0,MAX(0,ROUND((INDEX($E886:$G886,S$5)-SUMIFS(TF_Timer,TF_Tekniker,S$4,TF_Dato,$A886))*2,0)/2)))</f>
        <v/>
      </c>
      <c r="T886">
        <f>IF(OR(T$4="",$A886&gt;TODAY()),0,IF(OR(INDEX($B886:$D886,T$5)="F",AND(T$6&gt;0,$A886&lt;T$6),AND(T$7&gt;0,$A886&gt;T$7)),0,MAX(0,ROUND((INDEX($E886:$G886,T$5)-SUMIFS(TF_Timer,TF_Tekniker,T$4,TF_Dato,$A886))*2,0)/2)))</f>
        <v/>
      </c>
      <c r="U886">
        <f>IF(OR(U$4="",$A886&gt;TODAY()),0,IF(OR(INDEX($B886:$D886,U$5)="F",AND(U$6&gt;0,$A886&lt;U$6),AND(U$7&gt;0,$A886&gt;U$7)),0,MAX(0,ROUND((INDEX($E886:$G886,U$5)-SUMIFS(TF_Timer,TF_Tekniker,U$4,TF_Dato,$A886))*2,0)/2)))</f>
        <v/>
      </c>
      <c r="V886">
        <f>IF(OR(V$4="",$A886&gt;TODAY()),0,IF(OR(INDEX($B886:$D886,V$5)="F",AND(V$6&gt;0,$A886&lt;V$6),AND(V$7&gt;0,$A886&gt;V$7)),0,MAX(0,ROUND((INDEX($E886:$G886,V$5)-SUMIFS(TF_Timer,TF_Tekniker,V$4,TF_Dato,$A886))*2,0)/2)))</f>
        <v/>
      </c>
      <c r="W886">
        <f>IF(OR(W$4="",$A886&gt;TODAY()),0,IF(OR(INDEX($B886:$D886,W$5)="F",AND(W$6&gt;0,$A886&lt;W$6),AND(W$7&gt;0,$A886&gt;W$7)),0,MAX(0,ROUND((INDEX($E886:$G886,W$5)-SUMIFS(TF_Timer,TF_Tekniker,W$4,TF_Dato,$A886))*2,0)/2)))</f>
        <v/>
      </c>
      <c r="X886">
        <f>IF(OR(X$4="",$A886&gt;TODAY()),0,IF(OR(INDEX($B886:$D886,X$5)="F",AND(X$6&gt;0,$A886&lt;X$6),AND(X$7&gt;0,$A886&gt;X$7)),0,MAX(0,ROUND((INDEX($E886:$G886,X$5)-SUMIFS(TF_Timer,TF_Tekniker,X$4,TF_Dato,$A886))*2,0)/2)))</f>
        <v/>
      </c>
      <c r="Y886">
        <f>IF(OR(Y$4="",$A886&gt;TODAY()),0,IF(OR(INDEX($B886:$D886,Y$5)="F",AND(Y$6&gt;0,$A886&lt;Y$6),AND(Y$7&gt;0,$A886&gt;Y$7)),0,MAX(0,ROUND((INDEX($E886:$G886,Y$5)-SUMIFS(TF_Timer,TF_Tekniker,Y$4,TF_Dato,$A886))*2,0)/2)))</f>
        <v/>
      </c>
      <c r="Z886">
        <f>IF(OR(Z$4="",$A886&gt;TODAY()),0,IF(OR(INDEX($B886:$D886,Z$5)="F",AND(Z$6&gt;0,$A886&lt;Z$6),AND(Z$7&gt;0,$A886&gt;Z$7)),0,MAX(0,ROUND((INDEX($E886:$G886,Z$5)-SUMIFS(TF_Timer,TF_Tekniker,Z$4,TF_Dato,$A886))*2,0)/2)))</f>
        <v/>
      </c>
      <c r="AA886">
        <f>IF(OR(AA$4="",$A886&gt;TODAY()),0,IF(OR(INDEX($B886:$D886,AA$5)="F",AND(AA$6&gt;0,$A886&lt;AA$6),AND(AA$7&gt;0,$A886&gt;AA$7)),0,MAX(0,ROUND((INDEX($E886:$G886,AA$5)-SUMIFS(TF_Timer,TF_Tekniker,AA$4,TF_Dato,$A886))*2,0)/2)))</f>
        <v/>
      </c>
      <c r="AB886">
        <f>IF(OR(AB$4="",$A886&gt;TODAY()),0,IF(OR(INDEX($B886:$D886,AB$5)="F",AND(AB$6&gt;0,$A886&lt;AB$6),AND(AB$7&gt;0,$A886&gt;AB$7)),0,MAX(0,ROUND((INDEX($E886:$G886,AB$5)-SUMIFS(TF_Timer,TF_Tekniker,AB$4,TF_Dato,$A886))*2,0)/2)))</f>
        <v/>
      </c>
      <c r="AC886">
        <f>IF(OR(AC$4="",$A886&gt;TODAY()),0,IF(OR(INDEX($B886:$D886,AC$5)="F",AND(AC$6&gt;0,$A886&lt;AC$6),AND(AC$7&gt;0,$A886&gt;AC$7)),0,MAX(0,ROUND((INDEX($E886:$G886,AC$5)-SUMIFS(TF_Timer,TF_Tekniker,AC$4,TF_Dato,$A886))*2,0)/2)))</f>
        <v/>
      </c>
      <c r="AD886">
        <f>IF(OR(AD$4="",$A886&gt;TODAY()),0,IF(OR(INDEX($B886:$D886,AD$5)="F",AND(AD$6&gt;0,$A886&lt;AD$6),AND(AD$7&gt;0,$A886&gt;AD$7)),0,MAX(0,ROUND((INDEX($E886:$G886,AD$5)-SUMIFS(TF_Timer,TF_Tekniker,AD$4,TF_Dato,$A886))*2,0)/2)))</f>
        <v/>
      </c>
      <c r="AE886">
        <f>IF(OR(AE$4="",$A886&gt;TODAY()),0,IF(OR(INDEX($B886:$D886,AE$5)="F",AND(AE$6&gt;0,$A886&lt;AE$6),AND(AE$7&gt;0,$A886&gt;AE$7)),0,MAX(0,ROUND((INDEX($E886:$G886,AE$5)-SUMIFS(TF_Timer,TF_Tekniker,AE$4,TF_Dato,$A886))*2,0)/2)))</f>
        <v/>
      </c>
      <c r="AF886">
        <f>IF(OR(AF$4="",$A886&gt;TODAY()),0,IF(OR(INDEX($B886:$D886,AF$5)="F",AND(AF$6&gt;0,$A886&lt;AF$6),AND(AF$7&gt;0,$A886&gt;AF$7)),0,MAX(0,ROUND((INDEX($E886:$G886,AF$5)-SUMIFS(TF_Timer,TF_Tekniker,AF$4,TF_Dato,$A886))*2,0)/2)))</f>
        <v/>
      </c>
      <c r="AG886">
        <f>IF(OR(AG$4="",$A886&gt;TODAY()),0,IF(OR(INDEX($B886:$D886,AG$5)="F",AND(AG$6&gt;0,$A886&lt;AG$6),AND(AG$7&gt;0,$A886&gt;AG$7)),0,MAX(0,ROUND((INDEX($E886:$G886,AG$5)-SUMIFS(TF_Timer,TF_Tekniker,AG$4,TF_Dato,$A886))*2,0)/2)))</f>
        <v/>
      </c>
      <c r="AH886">
        <f>IF(OR(AH$4="",$A886&gt;TODAY()),0,IF(OR(INDEX($B886:$D886,AH$5)="F",AND(AH$6&gt;0,$A886&lt;AH$6),AND(AH$7&gt;0,$A886&gt;AH$7)),0,MAX(0,ROUND((INDEX($E886:$G886,AH$5)-SUMIFS(TF_Timer,TF_Tekniker,AH$4,TF_Dato,$A886))*2,0)/2)))</f>
        <v/>
      </c>
      <c r="AI886">
        <f>IF(OR(AI$4="",$A886&gt;TODAY()),0,IF(OR(INDEX($B886:$D886,AI$5)="F",AND(AI$6&gt;0,$A886&lt;AI$6),AND(AI$7&gt;0,$A886&gt;AI$7)),0,MAX(0,ROUND((INDEX($E886:$G886,AI$5)-SUMIFS(TF_Timer,TF_Tekniker,AI$4,TF_Dato,$A886))*2,0)/2)))</f>
        <v/>
      </c>
      <c r="AJ886">
        <f>IF(OR(AJ$4="",$A886&gt;TODAY()),0,IF(OR(INDEX($B886:$D886,AJ$5)="F",AND(AJ$6&gt;0,$A886&lt;AJ$6),AND(AJ$7&gt;0,$A886&gt;AJ$7)),0,MAX(0,ROUND((INDEX($E886:$G886,AJ$5)-SUMIFS(TF_Timer,TF_Tekniker,AJ$4,TF_Dato,$A886))*2,0)/2)))</f>
        <v/>
      </c>
      <c r="AK886">
        <f>IF(OR(AK$4="",$A886&gt;TODAY()),0,IF(OR(INDEX($B886:$D886,AK$5)="F",AND(AK$6&gt;0,$A886&lt;AK$6),AND(AK$7&gt;0,$A886&gt;AK$7)),0,MAX(0,ROUND((INDEX($E886:$G886,AK$5)-SUMIFS(TF_Timer,TF_Tekniker,AK$4,TF_Dato,$A886))*2,0)/2)))</f>
        <v/>
      </c>
      <c r="AL886">
        <f>IF(OR(AL$4="",$A886&gt;TODAY()),0,IF(OR(INDEX($B886:$D886,AL$5)="F",AND(AL$6&gt;0,$A886&lt;AL$6),AND(AL$7&gt;0,$A886&gt;AL$7)),0,MAX(0,ROUND((INDEX($E886:$G886,AL$5)-SUMIFS(TF_Timer,TF_Tekniker,AL$4,TF_Dato,$A886))*2,0)/2)))</f>
        <v/>
      </c>
      <c r="AM886">
        <f>IF(OR(AM$4="",$A886&gt;TODAY()),0,IF(OR(INDEX($B886:$D886,AM$5)="F",AND(AM$6&gt;0,$A886&lt;AM$6),AND(AM$7&gt;0,$A886&gt;AM$7)),0,MAX(0,ROUND((INDEX($E886:$G886,AM$5)-SUMIFS(TF_Timer,TF_Tekniker,AM$4,TF_Dato,$A886))*2,0)/2)))</f>
        <v/>
      </c>
      <c r="AN886">
        <f>IF(OR(AN$4="",$A886&gt;TODAY()),0,IF(OR(INDEX($B886:$D886,AN$5)="F",AND(AN$6&gt;0,$A886&lt;AN$6),AND(AN$7&gt;0,$A886&gt;AN$7)),0,MAX(0,ROUND((INDEX($E886:$G886,AN$5)-SUMIFS(TF_Timer,TF_Tekniker,AN$4,TF_Dato,$A886))*2,0)/2)))</f>
        <v/>
      </c>
      <c r="AO886">
        <f>IF(OR(AO$4="",$A886&gt;TODAY()),0,IF(OR(INDEX($B886:$D886,AO$5)="F",AND(AO$6&gt;0,$A886&lt;AO$6),AND(AO$7&gt;0,$A886&gt;AO$7)),0,MAX(0,ROUND((INDEX($E886:$G886,AO$5)-SUMIFS(TF_Timer,TF_Tekniker,AO$4,TF_Dato,$A886))*2,0)/2)))</f>
        <v/>
      </c>
      <c r="AP886">
        <f>IF(OR(AP$4="",$A886&gt;TODAY()),0,IF(OR(INDEX($B886:$D886,AP$5)="F",AND(AP$6&gt;0,$A886&lt;AP$6),AND(AP$7&gt;0,$A886&gt;AP$7)),0,MAX(0,ROUND((INDEX($E886:$G886,AP$5)-SUMIFS(TF_Timer,TF_Tekniker,AP$4,TF_Dato,$A886))*2,0)/2)))</f>
        <v/>
      </c>
      <c r="AQ886">
        <f>IF(OR(AQ$4="",$A886&gt;TODAY()),0,IF(OR(INDEX($B886:$D886,AQ$5)="F",AND(AQ$6&gt;0,$A886&lt;AQ$6),AND(AQ$7&gt;0,$A886&gt;AQ$7)),0,MAX(0,ROUND((INDEX($E886:$G886,AQ$5)-SUMIFS(TF_Timer,TF_Tekniker,AQ$4,TF_Dato,$A886))*2,0)/2)))</f>
        <v/>
      </c>
      <c r="AR886">
        <f>IF(OR(AR$4="",$A886&gt;TODAY()),0,IF(OR(INDEX($B886:$D886,AR$5)="F",AND(AR$6&gt;0,$A886&lt;AR$6),AND(AR$7&gt;0,$A886&gt;AR$7)),0,MAX(0,ROUND((INDEX($E886:$G886,AR$5)-SUMIFS(TF_Timer,TF_Tekniker,AR$4,TF_Dato,$A886))*2,0)/2)))</f>
        <v/>
      </c>
      <c r="AS886">
        <f>IF(OR(AS$4="",$A886&gt;TODAY()),0,IF(OR(INDEX($B886:$D886,AS$5)="F",AND(AS$6&gt;0,$A886&lt;AS$6),AND(AS$7&gt;0,$A886&gt;AS$7)),0,MAX(0,ROUND((INDEX($E886:$G886,AS$5)-SUMIFS(TF_Timer,TF_Tekniker,AS$4,TF_Dato,$A886))*2,0)/2)))</f>
        <v/>
      </c>
      <c r="AT886">
        <f>IF(OR(AT$4="",$A886&gt;TODAY()),0,IF(OR(INDEX($B886:$D886,AT$5)="F",AND(AT$6&gt;0,$A886&lt;AT$6),AND(AT$7&gt;0,$A886&gt;AT$7)),0,MAX(0,ROUND((INDEX($E886:$G886,AT$5)-SUMIFS(TF_Timer,TF_Tekniker,AT$4,TF_Dato,$A886))*2,0)/2)))</f>
        <v/>
      </c>
      <c r="AU886">
        <f>IF(OR(AU$4="",$A886&gt;TODAY()),0,IF(OR(INDEX($B886:$D886,AU$5)="F",AND(AU$6&gt;0,$A886&lt;AU$6),AND(AU$7&gt;0,$A886&gt;AU$7)),0,MAX(0,ROUND((INDEX($E886:$G886,AU$5)-SUMIFS(TF_Timer,TF_Tekniker,AU$4,TF_Dato,$A886))*2,0)/2)))</f>
        <v/>
      </c>
      <c r="AV886">
        <f>IF(OR(AV$4="",$A886&gt;TODAY()),0,IF(OR(INDEX($B886:$D886,AV$5)="F",AND(AV$6&gt;0,$A886&lt;AV$6),AND(AV$7&gt;0,$A886&gt;AV$7)),0,MAX(0,ROUND((INDEX($E886:$G886,AV$5)-SUMIFS(TF_Timer,TF_Tekniker,AV$4,TF_Dato,$A886))*2,0)/2)))</f>
        <v/>
      </c>
      <c r="AW886">
        <f>IF(OR(AW$4="",$A886&gt;TODAY()),0,IF(OR(INDEX($B886:$D886,AW$5)="F",AND(AW$6&gt;0,$A886&lt;AW$6),AND(AW$7&gt;0,$A886&gt;AW$7)),0,MAX(0,ROUND((INDEX($E886:$G886,AW$5)-SUMIFS(TF_Timer,TF_Tekniker,AW$4,TF_Dato,$A886))*2,0)/2)))</f>
        <v/>
      </c>
      <c r="AX886">
        <f>IF(OR(AX$4="",$A886&gt;TODAY()),0,IF(OR(INDEX($B886:$D886,AX$5)="F",AND(AX$6&gt;0,$A886&lt;AX$6),AND(AX$7&gt;0,$A886&gt;AX$7)),0,MAX(0,ROUND((INDEX($E886:$G886,AX$5)-SUMIFS(TF_Timer,TF_Tekniker,AX$4,TF_Dato,$A886))*2,0)/2)))</f>
        <v/>
      </c>
      <c r="AY886">
        <f>IF(OR(AY$4="",$A886&gt;TODAY()),0,IF(OR(INDEX($B886:$D886,AY$5)="F",AND(AY$6&gt;0,$A886&lt;AY$6),AND(AY$7&gt;0,$A886&gt;AY$7)),0,MAX(0,ROUND((INDEX($E886:$G886,AY$5)-SUMIFS(TF_Timer,TF_Tekniker,AY$4,TF_Dato,$A886))*2,0)/2)))</f>
        <v/>
      </c>
      <c r="AZ886">
        <f>IF(OR(AZ$4="",$A886&gt;TODAY()),0,IF(OR(INDEX($B886:$D886,AZ$5)="F",AND(AZ$6&gt;0,$A886&lt;AZ$6),AND(AZ$7&gt;0,$A886&gt;AZ$7)),0,MAX(0,ROUND((INDEX($E886:$G886,AZ$5)-SUMIFS(TF_Timer,TF_Tekniker,AZ$4,TF_Dato,$A886))*2,0)/2)))</f>
        <v/>
      </c>
      <c r="BA886">
        <f>IF(OR(BA$4="",$A886&gt;TODAY()),0,IF(OR(INDEX($B886:$D886,BA$5)="F",AND(BA$6&gt;0,$A886&lt;BA$6),AND(BA$7&gt;0,$A886&gt;BA$7)),0,MAX(0,ROUND((INDEX($E886:$G886,BA$5)-SUMIFS(TF_Timer,TF_Tekniker,BA$4,TF_Dato,$A886))*2,0)/2)))</f>
        <v/>
      </c>
      <c r="BB886">
        <f>IF(OR(BB$4="",$A886&gt;TODAY()),0,IF(OR(INDEX($B886:$D886,BB$5)="F",AND(BB$6&gt;0,$A886&lt;BB$6),AND(BB$7&gt;0,$A886&gt;BB$7)),0,MAX(0,ROUND((INDEX($E886:$G886,BB$5)-SUMIFS(TF_Timer,TF_Tekniker,BB$4,TF_Dato,$A886))*2,0)/2)))</f>
        <v/>
      </c>
      <c r="BC886">
        <f>IF(OR(BC$4="",$A886&gt;TODAY()),0,IF(OR(INDEX($B886:$D886,BC$5)="F",AND(BC$6&gt;0,$A886&lt;BC$6),AND(BC$7&gt;0,$A886&gt;BC$7)),0,MAX(0,ROUND((INDEX($E886:$G886,BC$5)-SUMIFS(TF_Timer,TF_Tekniker,BC$4,TF_Dato,$A886))*2,0)/2)))</f>
        <v/>
      </c>
      <c r="BD886">
        <f>IF(OR(BD$4="",$A886&gt;TODAY()),0,IF(OR(INDEX($B886:$D886,BD$5)="F",AND(BD$6&gt;0,$A886&lt;BD$6),AND(BD$7&gt;0,$A886&gt;BD$7)),0,MAX(0,ROUND((INDEX($E886:$G886,BD$5)-SUMIFS(TF_Timer,TF_Tekniker,BD$4,TF_Dato,$A886))*2,0)/2)))</f>
        <v/>
      </c>
      <c r="BE886">
        <f>IF(OR(BE$4="",$A886&gt;TODAY()),0,IF(OR(INDEX($B886:$D886,BE$5)="F",AND(BE$6&gt;0,$A886&lt;BE$6),AND(BE$7&gt;0,$A886&gt;BE$7)),0,MAX(0,ROUND((INDEX($E886:$G886,BE$5)-SUMIFS(TF_Timer,TF_Tekniker,BE$4,TF_Dato,$A886))*2,0)/2)))</f>
        <v/>
      </c>
      <c r="BF886">
        <f>IF(OR(BF$4="",$A886&gt;TODAY()),0,IF(OR(INDEX($B886:$D886,BF$5)="F",AND(BF$6&gt;0,$A886&lt;BF$6),AND(BF$7&gt;0,$A886&gt;BF$7)),0,MAX(0,ROUND((INDEX($E886:$G886,BF$5)-SUMIFS(TF_Timer,TF_Tekniker,BF$4,TF_Dato,$A886))*2,0)/2)))</f>
        <v/>
      </c>
      <c r="BG886">
        <f>IF(OR(BG$4="",$A886&gt;TODAY()),0,IF(OR(INDEX($B886:$D886,BG$5)="F",AND(BG$6&gt;0,$A886&lt;BG$6),AND(BG$7&gt;0,$A886&gt;BG$7)),0,MAX(0,ROUND((INDEX($E886:$G886,BG$5)-SUMIFS(TF_Timer,TF_Tekniker,BG$4,TF_Dato,$A886))*2,0)/2)))</f>
        <v/>
      </c>
      <c r="BH886">
        <f>IF(OR(BH$4="",$A886&gt;TODAY()),0,IF(OR(INDEX($B886:$D886,BH$5)="F",AND(BH$6&gt;0,$A886&lt;BH$6),AND(BH$7&gt;0,$A886&gt;BH$7)),0,MAX(0,ROUND((INDEX($E886:$G886,BH$5)-SUMIFS(TF_Timer,TF_Tekniker,BH$4,TF_Dato,$A886))*2,0)/2)))</f>
        <v/>
      </c>
      <c r="BI886">
        <f>IF(OR(BI$4="",$A886&gt;TODAY()),0,IF(OR(INDEX($B886:$D886,BI$5)="F",AND(BI$6&gt;0,$A886&lt;BI$6),AND(BI$7&gt;0,$A886&gt;BI$7)),0,MAX(0,ROUND((INDEX($E886:$G886,BI$5)-SUMIFS(TF_Timer,TF_Tekniker,BI$4,TF_Dato,$A886))*2,0)/2)))</f>
        <v/>
      </c>
    </row>
    <row r="887">
      <c r="A887" s="64">
        <f>A886+1</f>
        <v/>
      </c>
      <c r="B887">
        <f>IF(MOD($A887-INDEX(SkiftStart,1),Syklus)&lt;DagK,"K",IF(MOD($A887-INDEX(SkiftStart,1),Syklus)&lt;DagK+DagH,"H",IF(MOD($A887-INDEX(SkiftStart,1),Syklus)&lt;DagK+DagH+DagD,"D","F")))</f>
        <v/>
      </c>
      <c r="C887">
        <f>IF(MOD($A887-INDEX(SkiftStart,2),Syklus)&lt;DagK,"K",IF(MOD($A887-INDEX(SkiftStart,2),Syklus)&lt;DagK+DagH,"H",IF(MOD($A887-INDEX(SkiftStart,2),Syklus)&lt;DagK+DagH+DagD,"D","F")))</f>
        <v/>
      </c>
      <c r="D887">
        <f>IF(MOD($A887-INDEX(SkiftStart,3),Syklus)&lt;DagK,"K",IF(MOD($A887-INDEX(SkiftStart,3),Syklus)&lt;DagK+DagH,"H",IF(MOD($A887-INDEX(SkiftStart,3),Syklus)&lt;DagK+DagH+DagD,"D","F")))</f>
        <v/>
      </c>
      <c r="E887">
        <f>IF(B887="F",0,IF(WEEKDAY($A887,2)=5,INDEX(TimerFr,MATCH(B887,FaseKode,0)),INDEX(TimerMT,MATCH(B887,FaseKode,0))))</f>
        <v/>
      </c>
      <c r="F887">
        <f>IF(C887="F",0,IF(WEEKDAY($A887,2)=5,INDEX(TimerFr,MATCH(C887,FaseKode,0)),INDEX(TimerMT,MATCH(C887,FaseKode,0))))</f>
        <v/>
      </c>
      <c r="G887">
        <f>IF(D887="F",0,IF(WEEKDAY($A887,2)=5,INDEX(TimerFr,MATCH(D887,FaseKode,0)),INDEX(TimerMT,MATCH(D887,FaseKode,0))))</f>
        <v/>
      </c>
      <c r="H887">
        <f>IF(OR(H$4="",$A887&gt;TODAY()),0,IF(OR(INDEX($B887:$D887,H$5)="F",AND(H$6&gt;0,$A887&lt;H$6),AND(H$7&gt;0,$A887&gt;H$7)),0,MAX(0,ROUND((INDEX($E887:$G887,H$5)-SUMIFS(TF_Timer,TF_Tekniker,H$4,TF_Dato,$A887))*2,0)/2)))</f>
        <v/>
      </c>
      <c r="I887">
        <f>IF(OR(I$4="",$A887&gt;TODAY()),0,IF(OR(INDEX($B887:$D887,I$5)="F",AND(I$6&gt;0,$A887&lt;I$6),AND(I$7&gt;0,$A887&gt;I$7)),0,MAX(0,ROUND((INDEX($E887:$G887,I$5)-SUMIFS(TF_Timer,TF_Tekniker,I$4,TF_Dato,$A887))*2,0)/2)))</f>
        <v/>
      </c>
      <c r="J887">
        <f>IF(OR(J$4="",$A887&gt;TODAY()),0,IF(OR(INDEX($B887:$D887,J$5)="F",AND(J$6&gt;0,$A887&lt;J$6),AND(J$7&gt;0,$A887&gt;J$7)),0,MAX(0,ROUND((INDEX($E887:$G887,J$5)-SUMIFS(TF_Timer,TF_Tekniker,J$4,TF_Dato,$A887))*2,0)/2)))</f>
        <v/>
      </c>
      <c r="K887">
        <f>IF(OR(K$4="",$A887&gt;TODAY()),0,IF(OR(INDEX($B887:$D887,K$5)="F",AND(K$6&gt;0,$A887&lt;K$6),AND(K$7&gt;0,$A887&gt;K$7)),0,MAX(0,ROUND((INDEX($E887:$G887,K$5)-SUMIFS(TF_Timer,TF_Tekniker,K$4,TF_Dato,$A887))*2,0)/2)))</f>
        <v/>
      </c>
      <c r="L887">
        <f>IF(OR(L$4="",$A887&gt;TODAY()),0,IF(OR(INDEX($B887:$D887,L$5)="F",AND(L$6&gt;0,$A887&lt;L$6),AND(L$7&gt;0,$A887&gt;L$7)),0,MAX(0,ROUND((INDEX($E887:$G887,L$5)-SUMIFS(TF_Timer,TF_Tekniker,L$4,TF_Dato,$A887))*2,0)/2)))</f>
        <v/>
      </c>
      <c r="M887">
        <f>IF(OR(M$4="",$A887&gt;TODAY()),0,IF(OR(INDEX($B887:$D887,M$5)="F",AND(M$6&gt;0,$A887&lt;M$6),AND(M$7&gt;0,$A887&gt;M$7)),0,MAX(0,ROUND((INDEX($E887:$G887,M$5)-SUMIFS(TF_Timer,TF_Tekniker,M$4,TF_Dato,$A887))*2,0)/2)))</f>
        <v/>
      </c>
      <c r="N887">
        <f>IF(OR(N$4="",$A887&gt;TODAY()),0,IF(OR(INDEX($B887:$D887,N$5)="F",AND(N$6&gt;0,$A887&lt;N$6),AND(N$7&gt;0,$A887&gt;N$7)),0,MAX(0,ROUND((INDEX($E887:$G887,N$5)-SUMIFS(TF_Timer,TF_Tekniker,N$4,TF_Dato,$A887))*2,0)/2)))</f>
        <v/>
      </c>
      <c r="O887">
        <f>IF(OR(O$4="",$A887&gt;TODAY()),0,IF(OR(INDEX($B887:$D887,O$5)="F",AND(O$6&gt;0,$A887&lt;O$6),AND(O$7&gt;0,$A887&gt;O$7)),0,MAX(0,ROUND((INDEX($E887:$G887,O$5)-SUMIFS(TF_Timer,TF_Tekniker,O$4,TF_Dato,$A887))*2,0)/2)))</f>
        <v/>
      </c>
      <c r="P887">
        <f>IF(OR(P$4="",$A887&gt;TODAY()),0,IF(OR(INDEX($B887:$D887,P$5)="F",AND(P$6&gt;0,$A887&lt;P$6),AND(P$7&gt;0,$A887&gt;P$7)),0,MAX(0,ROUND((INDEX($E887:$G887,P$5)-SUMIFS(TF_Timer,TF_Tekniker,P$4,TF_Dato,$A887))*2,0)/2)))</f>
        <v/>
      </c>
      <c r="Q887">
        <f>IF(OR(Q$4="",$A887&gt;TODAY()),0,IF(OR(INDEX($B887:$D887,Q$5)="F",AND(Q$6&gt;0,$A887&lt;Q$6),AND(Q$7&gt;0,$A887&gt;Q$7)),0,MAX(0,ROUND((INDEX($E887:$G887,Q$5)-SUMIFS(TF_Timer,TF_Tekniker,Q$4,TF_Dato,$A887))*2,0)/2)))</f>
        <v/>
      </c>
      <c r="R887">
        <f>IF(OR(R$4="",$A887&gt;TODAY()),0,IF(OR(INDEX($B887:$D887,R$5)="F",AND(R$6&gt;0,$A887&lt;R$6),AND(R$7&gt;0,$A887&gt;R$7)),0,MAX(0,ROUND((INDEX($E887:$G887,R$5)-SUMIFS(TF_Timer,TF_Tekniker,R$4,TF_Dato,$A887))*2,0)/2)))</f>
        <v/>
      </c>
      <c r="S887">
        <f>IF(OR(S$4="",$A887&gt;TODAY()),0,IF(OR(INDEX($B887:$D887,S$5)="F",AND(S$6&gt;0,$A887&lt;S$6),AND(S$7&gt;0,$A887&gt;S$7)),0,MAX(0,ROUND((INDEX($E887:$G887,S$5)-SUMIFS(TF_Timer,TF_Tekniker,S$4,TF_Dato,$A887))*2,0)/2)))</f>
        <v/>
      </c>
      <c r="T887">
        <f>IF(OR(T$4="",$A887&gt;TODAY()),0,IF(OR(INDEX($B887:$D887,T$5)="F",AND(T$6&gt;0,$A887&lt;T$6),AND(T$7&gt;0,$A887&gt;T$7)),0,MAX(0,ROUND((INDEX($E887:$G887,T$5)-SUMIFS(TF_Timer,TF_Tekniker,T$4,TF_Dato,$A887))*2,0)/2)))</f>
        <v/>
      </c>
      <c r="U887">
        <f>IF(OR(U$4="",$A887&gt;TODAY()),0,IF(OR(INDEX($B887:$D887,U$5)="F",AND(U$6&gt;0,$A887&lt;U$6),AND(U$7&gt;0,$A887&gt;U$7)),0,MAX(0,ROUND((INDEX($E887:$G887,U$5)-SUMIFS(TF_Timer,TF_Tekniker,U$4,TF_Dato,$A887))*2,0)/2)))</f>
        <v/>
      </c>
      <c r="V887">
        <f>IF(OR(V$4="",$A887&gt;TODAY()),0,IF(OR(INDEX($B887:$D887,V$5)="F",AND(V$6&gt;0,$A887&lt;V$6),AND(V$7&gt;0,$A887&gt;V$7)),0,MAX(0,ROUND((INDEX($E887:$G887,V$5)-SUMIFS(TF_Timer,TF_Tekniker,V$4,TF_Dato,$A887))*2,0)/2)))</f>
        <v/>
      </c>
      <c r="W887">
        <f>IF(OR(W$4="",$A887&gt;TODAY()),0,IF(OR(INDEX($B887:$D887,W$5)="F",AND(W$6&gt;0,$A887&lt;W$6),AND(W$7&gt;0,$A887&gt;W$7)),0,MAX(0,ROUND((INDEX($E887:$G887,W$5)-SUMIFS(TF_Timer,TF_Tekniker,W$4,TF_Dato,$A887))*2,0)/2)))</f>
        <v/>
      </c>
      <c r="X887">
        <f>IF(OR(X$4="",$A887&gt;TODAY()),0,IF(OR(INDEX($B887:$D887,X$5)="F",AND(X$6&gt;0,$A887&lt;X$6),AND(X$7&gt;0,$A887&gt;X$7)),0,MAX(0,ROUND((INDEX($E887:$G887,X$5)-SUMIFS(TF_Timer,TF_Tekniker,X$4,TF_Dato,$A887))*2,0)/2)))</f>
        <v/>
      </c>
      <c r="Y887">
        <f>IF(OR(Y$4="",$A887&gt;TODAY()),0,IF(OR(INDEX($B887:$D887,Y$5)="F",AND(Y$6&gt;0,$A887&lt;Y$6),AND(Y$7&gt;0,$A887&gt;Y$7)),0,MAX(0,ROUND((INDEX($E887:$G887,Y$5)-SUMIFS(TF_Timer,TF_Tekniker,Y$4,TF_Dato,$A887))*2,0)/2)))</f>
        <v/>
      </c>
      <c r="Z887">
        <f>IF(OR(Z$4="",$A887&gt;TODAY()),0,IF(OR(INDEX($B887:$D887,Z$5)="F",AND(Z$6&gt;0,$A887&lt;Z$6),AND(Z$7&gt;0,$A887&gt;Z$7)),0,MAX(0,ROUND((INDEX($E887:$G887,Z$5)-SUMIFS(TF_Timer,TF_Tekniker,Z$4,TF_Dato,$A887))*2,0)/2)))</f>
        <v/>
      </c>
      <c r="AA887">
        <f>IF(OR(AA$4="",$A887&gt;TODAY()),0,IF(OR(INDEX($B887:$D887,AA$5)="F",AND(AA$6&gt;0,$A887&lt;AA$6),AND(AA$7&gt;0,$A887&gt;AA$7)),0,MAX(0,ROUND((INDEX($E887:$G887,AA$5)-SUMIFS(TF_Timer,TF_Tekniker,AA$4,TF_Dato,$A887))*2,0)/2)))</f>
        <v/>
      </c>
      <c r="AB887">
        <f>IF(OR(AB$4="",$A887&gt;TODAY()),0,IF(OR(INDEX($B887:$D887,AB$5)="F",AND(AB$6&gt;0,$A887&lt;AB$6),AND(AB$7&gt;0,$A887&gt;AB$7)),0,MAX(0,ROUND((INDEX($E887:$G887,AB$5)-SUMIFS(TF_Timer,TF_Tekniker,AB$4,TF_Dato,$A887))*2,0)/2)))</f>
        <v/>
      </c>
      <c r="AC887">
        <f>IF(OR(AC$4="",$A887&gt;TODAY()),0,IF(OR(INDEX($B887:$D887,AC$5)="F",AND(AC$6&gt;0,$A887&lt;AC$6),AND(AC$7&gt;0,$A887&gt;AC$7)),0,MAX(0,ROUND((INDEX($E887:$G887,AC$5)-SUMIFS(TF_Timer,TF_Tekniker,AC$4,TF_Dato,$A887))*2,0)/2)))</f>
        <v/>
      </c>
      <c r="AD887">
        <f>IF(OR(AD$4="",$A887&gt;TODAY()),0,IF(OR(INDEX($B887:$D887,AD$5)="F",AND(AD$6&gt;0,$A887&lt;AD$6),AND(AD$7&gt;0,$A887&gt;AD$7)),0,MAX(0,ROUND((INDEX($E887:$G887,AD$5)-SUMIFS(TF_Timer,TF_Tekniker,AD$4,TF_Dato,$A887))*2,0)/2)))</f>
        <v/>
      </c>
      <c r="AE887">
        <f>IF(OR(AE$4="",$A887&gt;TODAY()),0,IF(OR(INDEX($B887:$D887,AE$5)="F",AND(AE$6&gt;0,$A887&lt;AE$6),AND(AE$7&gt;0,$A887&gt;AE$7)),0,MAX(0,ROUND((INDEX($E887:$G887,AE$5)-SUMIFS(TF_Timer,TF_Tekniker,AE$4,TF_Dato,$A887))*2,0)/2)))</f>
        <v/>
      </c>
      <c r="AF887">
        <f>IF(OR(AF$4="",$A887&gt;TODAY()),0,IF(OR(INDEX($B887:$D887,AF$5)="F",AND(AF$6&gt;0,$A887&lt;AF$6),AND(AF$7&gt;0,$A887&gt;AF$7)),0,MAX(0,ROUND((INDEX($E887:$G887,AF$5)-SUMIFS(TF_Timer,TF_Tekniker,AF$4,TF_Dato,$A887))*2,0)/2)))</f>
        <v/>
      </c>
      <c r="AG887">
        <f>IF(OR(AG$4="",$A887&gt;TODAY()),0,IF(OR(INDEX($B887:$D887,AG$5)="F",AND(AG$6&gt;0,$A887&lt;AG$6),AND(AG$7&gt;0,$A887&gt;AG$7)),0,MAX(0,ROUND((INDEX($E887:$G887,AG$5)-SUMIFS(TF_Timer,TF_Tekniker,AG$4,TF_Dato,$A887))*2,0)/2)))</f>
        <v/>
      </c>
      <c r="AH887">
        <f>IF(OR(AH$4="",$A887&gt;TODAY()),0,IF(OR(INDEX($B887:$D887,AH$5)="F",AND(AH$6&gt;0,$A887&lt;AH$6),AND(AH$7&gt;0,$A887&gt;AH$7)),0,MAX(0,ROUND((INDEX($E887:$G887,AH$5)-SUMIFS(TF_Timer,TF_Tekniker,AH$4,TF_Dato,$A887))*2,0)/2)))</f>
        <v/>
      </c>
      <c r="AI887">
        <f>IF(OR(AI$4="",$A887&gt;TODAY()),0,IF(OR(INDEX($B887:$D887,AI$5)="F",AND(AI$6&gt;0,$A887&lt;AI$6),AND(AI$7&gt;0,$A887&gt;AI$7)),0,MAX(0,ROUND((INDEX($E887:$G887,AI$5)-SUMIFS(TF_Timer,TF_Tekniker,AI$4,TF_Dato,$A887))*2,0)/2)))</f>
        <v/>
      </c>
      <c r="AJ887">
        <f>IF(OR(AJ$4="",$A887&gt;TODAY()),0,IF(OR(INDEX($B887:$D887,AJ$5)="F",AND(AJ$6&gt;0,$A887&lt;AJ$6),AND(AJ$7&gt;0,$A887&gt;AJ$7)),0,MAX(0,ROUND((INDEX($E887:$G887,AJ$5)-SUMIFS(TF_Timer,TF_Tekniker,AJ$4,TF_Dato,$A887))*2,0)/2)))</f>
        <v/>
      </c>
      <c r="AK887">
        <f>IF(OR(AK$4="",$A887&gt;TODAY()),0,IF(OR(INDEX($B887:$D887,AK$5)="F",AND(AK$6&gt;0,$A887&lt;AK$6),AND(AK$7&gt;0,$A887&gt;AK$7)),0,MAX(0,ROUND((INDEX($E887:$G887,AK$5)-SUMIFS(TF_Timer,TF_Tekniker,AK$4,TF_Dato,$A887))*2,0)/2)))</f>
        <v/>
      </c>
      <c r="AL887">
        <f>IF(OR(AL$4="",$A887&gt;TODAY()),0,IF(OR(INDEX($B887:$D887,AL$5)="F",AND(AL$6&gt;0,$A887&lt;AL$6),AND(AL$7&gt;0,$A887&gt;AL$7)),0,MAX(0,ROUND((INDEX($E887:$G887,AL$5)-SUMIFS(TF_Timer,TF_Tekniker,AL$4,TF_Dato,$A887))*2,0)/2)))</f>
        <v/>
      </c>
      <c r="AM887">
        <f>IF(OR(AM$4="",$A887&gt;TODAY()),0,IF(OR(INDEX($B887:$D887,AM$5)="F",AND(AM$6&gt;0,$A887&lt;AM$6),AND(AM$7&gt;0,$A887&gt;AM$7)),0,MAX(0,ROUND((INDEX($E887:$G887,AM$5)-SUMIFS(TF_Timer,TF_Tekniker,AM$4,TF_Dato,$A887))*2,0)/2)))</f>
        <v/>
      </c>
      <c r="AN887">
        <f>IF(OR(AN$4="",$A887&gt;TODAY()),0,IF(OR(INDEX($B887:$D887,AN$5)="F",AND(AN$6&gt;0,$A887&lt;AN$6),AND(AN$7&gt;0,$A887&gt;AN$7)),0,MAX(0,ROUND((INDEX($E887:$G887,AN$5)-SUMIFS(TF_Timer,TF_Tekniker,AN$4,TF_Dato,$A887))*2,0)/2)))</f>
        <v/>
      </c>
      <c r="AO887">
        <f>IF(OR(AO$4="",$A887&gt;TODAY()),0,IF(OR(INDEX($B887:$D887,AO$5)="F",AND(AO$6&gt;0,$A887&lt;AO$6),AND(AO$7&gt;0,$A887&gt;AO$7)),0,MAX(0,ROUND((INDEX($E887:$G887,AO$5)-SUMIFS(TF_Timer,TF_Tekniker,AO$4,TF_Dato,$A887))*2,0)/2)))</f>
        <v/>
      </c>
      <c r="AP887">
        <f>IF(OR(AP$4="",$A887&gt;TODAY()),0,IF(OR(INDEX($B887:$D887,AP$5)="F",AND(AP$6&gt;0,$A887&lt;AP$6),AND(AP$7&gt;0,$A887&gt;AP$7)),0,MAX(0,ROUND((INDEX($E887:$G887,AP$5)-SUMIFS(TF_Timer,TF_Tekniker,AP$4,TF_Dato,$A887))*2,0)/2)))</f>
        <v/>
      </c>
      <c r="AQ887">
        <f>IF(OR(AQ$4="",$A887&gt;TODAY()),0,IF(OR(INDEX($B887:$D887,AQ$5)="F",AND(AQ$6&gt;0,$A887&lt;AQ$6),AND(AQ$7&gt;0,$A887&gt;AQ$7)),0,MAX(0,ROUND((INDEX($E887:$G887,AQ$5)-SUMIFS(TF_Timer,TF_Tekniker,AQ$4,TF_Dato,$A887))*2,0)/2)))</f>
        <v/>
      </c>
      <c r="AR887">
        <f>IF(OR(AR$4="",$A887&gt;TODAY()),0,IF(OR(INDEX($B887:$D887,AR$5)="F",AND(AR$6&gt;0,$A887&lt;AR$6),AND(AR$7&gt;0,$A887&gt;AR$7)),0,MAX(0,ROUND((INDEX($E887:$G887,AR$5)-SUMIFS(TF_Timer,TF_Tekniker,AR$4,TF_Dato,$A887))*2,0)/2)))</f>
        <v/>
      </c>
      <c r="AS887">
        <f>IF(OR(AS$4="",$A887&gt;TODAY()),0,IF(OR(INDEX($B887:$D887,AS$5)="F",AND(AS$6&gt;0,$A887&lt;AS$6),AND(AS$7&gt;0,$A887&gt;AS$7)),0,MAX(0,ROUND((INDEX($E887:$G887,AS$5)-SUMIFS(TF_Timer,TF_Tekniker,AS$4,TF_Dato,$A887))*2,0)/2)))</f>
        <v/>
      </c>
      <c r="AT887">
        <f>IF(OR(AT$4="",$A887&gt;TODAY()),0,IF(OR(INDEX($B887:$D887,AT$5)="F",AND(AT$6&gt;0,$A887&lt;AT$6),AND(AT$7&gt;0,$A887&gt;AT$7)),0,MAX(0,ROUND((INDEX($E887:$G887,AT$5)-SUMIFS(TF_Timer,TF_Tekniker,AT$4,TF_Dato,$A887))*2,0)/2)))</f>
        <v/>
      </c>
      <c r="AU887">
        <f>IF(OR(AU$4="",$A887&gt;TODAY()),0,IF(OR(INDEX($B887:$D887,AU$5)="F",AND(AU$6&gt;0,$A887&lt;AU$6),AND(AU$7&gt;0,$A887&gt;AU$7)),0,MAX(0,ROUND((INDEX($E887:$G887,AU$5)-SUMIFS(TF_Timer,TF_Tekniker,AU$4,TF_Dato,$A887))*2,0)/2)))</f>
        <v/>
      </c>
      <c r="AV887">
        <f>IF(OR(AV$4="",$A887&gt;TODAY()),0,IF(OR(INDEX($B887:$D887,AV$5)="F",AND(AV$6&gt;0,$A887&lt;AV$6),AND(AV$7&gt;0,$A887&gt;AV$7)),0,MAX(0,ROUND((INDEX($E887:$G887,AV$5)-SUMIFS(TF_Timer,TF_Tekniker,AV$4,TF_Dato,$A887))*2,0)/2)))</f>
        <v/>
      </c>
      <c r="AW887">
        <f>IF(OR(AW$4="",$A887&gt;TODAY()),0,IF(OR(INDEX($B887:$D887,AW$5)="F",AND(AW$6&gt;0,$A887&lt;AW$6),AND(AW$7&gt;0,$A887&gt;AW$7)),0,MAX(0,ROUND((INDEX($E887:$G887,AW$5)-SUMIFS(TF_Timer,TF_Tekniker,AW$4,TF_Dato,$A887))*2,0)/2)))</f>
        <v/>
      </c>
      <c r="AX887">
        <f>IF(OR(AX$4="",$A887&gt;TODAY()),0,IF(OR(INDEX($B887:$D887,AX$5)="F",AND(AX$6&gt;0,$A887&lt;AX$6),AND(AX$7&gt;0,$A887&gt;AX$7)),0,MAX(0,ROUND((INDEX($E887:$G887,AX$5)-SUMIFS(TF_Timer,TF_Tekniker,AX$4,TF_Dato,$A887))*2,0)/2)))</f>
        <v/>
      </c>
      <c r="AY887">
        <f>IF(OR(AY$4="",$A887&gt;TODAY()),0,IF(OR(INDEX($B887:$D887,AY$5)="F",AND(AY$6&gt;0,$A887&lt;AY$6),AND(AY$7&gt;0,$A887&gt;AY$7)),0,MAX(0,ROUND((INDEX($E887:$G887,AY$5)-SUMIFS(TF_Timer,TF_Tekniker,AY$4,TF_Dato,$A887))*2,0)/2)))</f>
        <v/>
      </c>
      <c r="AZ887">
        <f>IF(OR(AZ$4="",$A887&gt;TODAY()),0,IF(OR(INDEX($B887:$D887,AZ$5)="F",AND(AZ$6&gt;0,$A887&lt;AZ$6),AND(AZ$7&gt;0,$A887&gt;AZ$7)),0,MAX(0,ROUND((INDEX($E887:$G887,AZ$5)-SUMIFS(TF_Timer,TF_Tekniker,AZ$4,TF_Dato,$A887))*2,0)/2)))</f>
        <v/>
      </c>
      <c r="BA887">
        <f>IF(OR(BA$4="",$A887&gt;TODAY()),0,IF(OR(INDEX($B887:$D887,BA$5)="F",AND(BA$6&gt;0,$A887&lt;BA$6),AND(BA$7&gt;0,$A887&gt;BA$7)),0,MAX(0,ROUND((INDEX($E887:$G887,BA$5)-SUMIFS(TF_Timer,TF_Tekniker,BA$4,TF_Dato,$A887))*2,0)/2)))</f>
        <v/>
      </c>
      <c r="BB887">
        <f>IF(OR(BB$4="",$A887&gt;TODAY()),0,IF(OR(INDEX($B887:$D887,BB$5)="F",AND(BB$6&gt;0,$A887&lt;BB$6),AND(BB$7&gt;0,$A887&gt;BB$7)),0,MAX(0,ROUND((INDEX($E887:$G887,BB$5)-SUMIFS(TF_Timer,TF_Tekniker,BB$4,TF_Dato,$A887))*2,0)/2)))</f>
        <v/>
      </c>
      <c r="BC887">
        <f>IF(OR(BC$4="",$A887&gt;TODAY()),0,IF(OR(INDEX($B887:$D887,BC$5)="F",AND(BC$6&gt;0,$A887&lt;BC$6),AND(BC$7&gt;0,$A887&gt;BC$7)),0,MAX(0,ROUND((INDEX($E887:$G887,BC$5)-SUMIFS(TF_Timer,TF_Tekniker,BC$4,TF_Dato,$A887))*2,0)/2)))</f>
        <v/>
      </c>
      <c r="BD887">
        <f>IF(OR(BD$4="",$A887&gt;TODAY()),0,IF(OR(INDEX($B887:$D887,BD$5)="F",AND(BD$6&gt;0,$A887&lt;BD$6),AND(BD$7&gt;0,$A887&gt;BD$7)),0,MAX(0,ROUND((INDEX($E887:$G887,BD$5)-SUMIFS(TF_Timer,TF_Tekniker,BD$4,TF_Dato,$A887))*2,0)/2)))</f>
        <v/>
      </c>
      <c r="BE887">
        <f>IF(OR(BE$4="",$A887&gt;TODAY()),0,IF(OR(INDEX($B887:$D887,BE$5)="F",AND(BE$6&gt;0,$A887&lt;BE$6),AND(BE$7&gt;0,$A887&gt;BE$7)),0,MAX(0,ROUND((INDEX($E887:$G887,BE$5)-SUMIFS(TF_Timer,TF_Tekniker,BE$4,TF_Dato,$A887))*2,0)/2)))</f>
        <v/>
      </c>
      <c r="BF887">
        <f>IF(OR(BF$4="",$A887&gt;TODAY()),0,IF(OR(INDEX($B887:$D887,BF$5)="F",AND(BF$6&gt;0,$A887&lt;BF$6),AND(BF$7&gt;0,$A887&gt;BF$7)),0,MAX(0,ROUND((INDEX($E887:$G887,BF$5)-SUMIFS(TF_Timer,TF_Tekniker,BF$4,TF_Dato,$A887))*2,0)/2)))</f>
        <v/>
      </c>
      <c r="BG887">
        <f>IF(OR(BG$4="",$A887&gt;TODAY()),0,IF(OR(INDEX($B887:$D887,BG$5)="F",AND(BG$6&gt;0,$A887&lt;BG$6),AND(BG$7&gt;0,$A887&gt;BG$7)),0,MAX(0,ROUND((INDEX($E887:$G887,BG$5)-SUMIFS(TF_Timer,TF_Tekniker,BG$4,TF_Dato,$A887))*2,0)/2)))</f>
        <v/>
      </c>
      <c r="BH887">
        <f>IF(OR(BH$4="",$A887&gt;TODAY()),0,IF(OR(INDEX($B887:$D887,BH$5)="F",AND(BH$6&gt;0,$A887&lt;BH$6),AND(BH$7&gt;0,$A887&gt;BH$7)),0,MAX(0,ROUND((INDEX($E887:$G887,BH$5)-SUMIFS(TF_Timer,TF_Tekniker,BH$4,TF_Dato,$A887))*2,0)/2)))</f>
        <v/>
      </c>
      <c r="BI887">
        <f>IF(OR(BI$4="",$A887&gt;TODAY()),0,IF(OR(INDEX($B887:$D887,BI$5)="F",AND(BI$6&gt;0,$A887&lt;BI$6),AND(BI$7&gt;0,$A887&gt;BI$7)),0,MAX(0,ROUND((INDEX($E887:$G887,BI$5)-SUMIFS(TF_Timer,TF_Tekniker,BI$4,TF_Dato,$A887))*2,0)/2)))</f>
        <v/>
      </c>
    </row>
    <row r="888">
      <c r="A888" s="64">
        <f>A887+1</f>
        <v/>
      </c>
      <c r="B888">
        <f>IF(MOD($A888-INDEX(SkiftStart,1),Syklus)&lt;DagK,"K",IF(MOD($A888-INDEX(SkiftStart,1),Syklus)&lt;DagK+DagH,"H",IF(MOD($A888-INDEX(SkiftStart,1),Syklus)&lt;DagK+DagH+DagD,"D","F")))</f>
        <v/>
      </c>
      <c r="C888">
        <f>IF(MOD($A888-INDEX(SkiftStart,2),Syklus)&lt;DagK,"K",IF(MOD($A888-INDEX(SkiftStart,2),Syklus)&lt;DagK+DagH,"H",IF(MOD($A888-INDEX(SkiftStart,2),Syklus)&lt;DagK+DagH+DagD,"D","F")))</f>
        <v/>
      </c>
      <c r="D888">
        <f>IF(MOD($A888-INDEX(SkiftStart,3),Syklus)&lt;DagK,"K",IF(MOD($A888-INDEX(SkiftStart,3),Syklus)&lt;DagK+DagH,"H",IF(MOD($A888-INDEX(SkiftStart,3),Syklus)&lt;DagK+DagH+DagD,"D","F")))</f>
        <v/>
      </c>
      <c r="E888">
        <f>IF(B888="F",0,IF(WEEKDAY($A888,2)=5,INDEX(TimerFr,MATCH(B888,FaseKode,0)),INDEX(TimerMT,MATCH(B888,FaseKode,0))))</f>
        <v/>
      </c>
      <c r="F888">
        <f>IF(C888="F",0,IF(WEEKDAY($A888,2)=5,INDEX(TimerFr,MATCH(C888,FaseKode,0)),INDEX(TimerMT,MATCH(C888,FaseKode,0))))</f>
        <v/>
      </c>
      <c r="G888">
        <f>IF(D888="F",0,IF(WEEKDAY($A888,2)=5,INDEX(TimerFr,MATCH(D888,FaseKode,0)),INDEX(TimerMT,MATCH(D888,FaseKode,0))))</f>
        <v/>
      </c>
      <c r="H888">
        <f>IF(OR(H$4="",$A888&gt;TODAY()),0,IF(OR(INDEX($B888:$D888,H$5)="F",AND(H$6&gt;0,$A888&lt;H$6),AND(H$7&gt;0,$A888&gt;H$7)),0,MAX(0,ROUND((INDEX($E888:$G888,H$5)-SUMIFS(TF_Timer,TF_Tekniker,H$4,TF_Dato,$A888))*2,0)/2)))</f>
        <v/>
      </c>
      <c r="I888">
        <f>IF(OR(I$4="",$A888&gt;TODAY()),0,IF(OR(INDEX($B888:$D888,I$5)="F",AND(I$6&gt;0,$A888&lt;I$6),AND(I$7&gt;0,$A888&gt;I$7)),0,MAX(0,ROUND((INDEX($E888:$G888,I$5)-SUMIFS(TF_Timer,TF_Tekniker,I$4,TF_Dato,$A888))*2,0)/2)))</f>
        <v/>
      </c>
      <c r="J888">
        <f>IF(OR(J$4="",$A888&gt;TODAY()),0,IF(OR(INDEX($B888:$D888,J$5)="F",AND(J$6&gt;0,$A888&lt;J$6),AND(J$7&gt;0,$A888&gt;J$7)),0,MAX(0,ROUND((INDEX($E888:$G888,J$5)-SUMIFS(TF_Timer,TF_Tekniker,J$4,TF_Dato,$A888))*2,0)/2)))</f>
        <v/>
      </c>
      <c r="K888">
        <f>IF(OR(K$4="",$A888&gt;TODAY()),0,IF(OR(INDEX($B888:$D888,K$5)="F",AND(K$6&gt;0,$A888&lt;K$6),AND(K$7&gt;0,$A888&gt;K$7)),0,MAX(0,ROUND((INDEX($E888:$G888,K$5)-SUMIFS(TF_Timer,TF_Tekniker,K$4,TF_Dato,$A888))*2,0)/2)))</f>
        <v/>
      </c>
      <c r="L888">
        <f>IF(OR(L$4="",$A888&gt;TODAY()),0,IF(OR(INDEX($B888:$D888,L$5)="F",AND(L$6&gt;0,$A888&lt;L$6),AND(L$7&gt;0,$A888&gt;L$7)),0,MAX(0,ROUND((INDEX($E888:$G888,L$5)-SUMIFS(TF_Timer,TF_Tekniker,L$4,TF_Dato,$A888))*2,0)/2)))</f>
        <v/>
      </c>
      <c r="M888">
        <f>IF(OR(M$4="",$A888&gt;TODAY()),0,IF(OR(INDEX($B888:$D888,M$5)="F",AND(M$6&gt;0,$A888&lt;M$6),AND(M$7&gt;0,$A888&gt;M$7)),0,MAX(0,ROUND((INDEX($E888:$G888,M$5)-SUMIFS(TF_Timer,TF_Tekniker,M$4,TF_Dato,$A888))*2,0)/2)))</f>
        <v/>
      </c>
      <c r="N888">
        <f>IF(OR(N$4="",$A888&gt;TODAY()),0,IF(OR(INDEX($B888:$D888,N$5)="F",AND(N$6&gt;0,$A888&lt;N$6),AND(N$7&gt;0,$A888&gt;N$7)),0,MAX(0,ROUND((INDEX($E888:$G888,N$5)-SUMIFS(TF_Timer,TF_Tekniker,N$4,TF_Dato,$A888))*2,0)/2)))</f>
        <v/>
      </c>
      <c r="O888">
        <f>IF(OR(O$4="",$A888&gt;TODAY()),0,IF(OR(INDEX($B888:$D888,O$5)="F",AND(O$6&gt;0,$A888&lt;O$6),AND(O$7&gt;0,$A888&gt;O$7)),0,MAX(0,ROUND((INDEX($E888:$G888,O$5)-SUMIFS(TF_Timer,TF_Tekniker,O$4,TF_Dato,$A888))*2,0)/2)))</f>
        <v/>
      </c>
      <c r="P888">
        <f>IF(OR(P$4="",$A888&gt;TODAY()),0,IF(OR(INDEX($B888:$D888,P$5)="F",AND(P$6&gt;0,$A888&lt;P$6),AND(P$7&gt;0,$A888&gt;P$7)),0,MAX(0,ROUND((INDEX($E888:$G888,P$5)-SUMIFS(TF_Timer,TF_Tekniker,P$4,TF_Dato,$A888))*2,0)/2)))</f>
        <v/>
      </c>
      <c r="Q888">
        <f>IF(OR(Q$4="",$A888&gt;TODAY()),0,IF(OR(INDEX($B888:$D888,Q$5)="F",AND(Q$6&gt;0,$A888&lt;Q$6),AND(Q$7&gt;0,$A888&gt;Q$7)),0,MAX(0,ROUND((INDEX($E888:$G888,Q$5)-SUMIFS(TF_Timer,TF_Tekniker,Q$4,TF_Dato,$A888))*2,0)/2)))</f>
        <v/>
      </c>
      <c r="R888">
        <f>IF(OR(R$4="",$A888&gt;TODAY()),0,IF(OR(INDEX($B888:$D888,R$5)="F",AND(R$6&gt;0,$A888&lt;R$6),AND(R$7&gt;0,$A888&gt;R$7)),0,MAX(0,ROUND((INDEX($E888:$G888,R$5)-SUMIFS(TF_Timer,TF_Tekniker,R$4,TF_Dato,$A888))*2,0)/2)))</f>
        <v/>
      </c>
      <c r="S888">
        <f>IF(OR(S$4="",$A888&gt;TODAY()),0,IF(OR(INDEX($B888:$D888,S$5)="F",AND(S$6&gt;0,$A888&lt;S$6),AND(S$7&gt;0,$A888&gt;S$7)),0,MAX(0,ROUND((INDEX($E888:$G888,S$5)-SUMIFS(TF_Timer,TF_Tekniker,S$4,TF_Dato,$A888))*2,0)/2)))</f>
        <v/>
      </c>
      <c r="T888">
        <f>IF(OR(T$4="",$A888&gt;TODAY()),0,IF(OR(INDEX($B888:$D888,T$5)="F",AND(T$6&gt;0,$A888&lt;T$6),AND(T$7&gt;0,$A888&gt;T$7)),0,MAX(0,ROUND((INDEX($E888:$G888,T$5)-SUMIFS(TF_Timer,TF_Tekniker,T$4,TF_Dato,$A888))*2,0)/2)))</f>
        <v/>
      </c>
      <c r="U888">
        <f>IF(OR(U$4="",$A888&gt;TODAY()),0,IF(OR(INDEX($B888:$D888,U$5)="F",AND(U$6&gt;0,$A888&lt;U$6),AND(U$7&gt;0,$A888&gt;U$7)),0,MAX(0,ROUND((INDEX($E888:$G888,U$5)-SUMIFS(TF_Timer,TF_Tekniker,U$4,TF_Dato,$A888))*2,0)/2)))</f>
        <v/>
      </c>
      <c r="V888">
        <f>IF(OR(V$4="",$A888&gt;TODAY()),0,IF(OR(INDEX($B888:$D888,V$5)="F",AND(V$6&gt;0,$A888&lt;V$6),AND(V$7&gt;0,$A888&gt;V$7)),0,MAX(0,ROUND((INDEX($E888:$G888,V$5)-SUMIFS(TF_Timer,TF_Tekniker,V$4,TF_Dato,$A888))*2,0)/2)))</f>
        <v/>
      </c>
      <c r="W888">
        <f>IF(OR(W$4="",$A888&gt;TODAY()),0,IF(OR(INDEX($B888:$D888,W$5)="F",AND(W$6&gt;0,$A888&lt;W$6),AND(W$7&gt;0,$A888&gt;W$7)),0,MAX(0,ROUND((INDEX($E888:$G888,W$5)-SUMIFS(TF_Timer,TF_Tekniker,W$4,TF_Dato,$A888))*2,0)/2)))</f>
        <v/>
      </c>
      <c r="X888">
        <f>IF(OR(X$4="",$A888&gt;TODAY()),0,IF(OR(INDEX($B888:$D888,X$5)="F",AND(X$6&gt;0,$A888&lt;X$6),AND(X$7&gt;0,$A888&gt;X$7)),0,MAX(0,ROUND((INDEX($E888:$G888,X$5)-SUMIFS(TF_Timer,TF_Tekniker,X$4,TF_Dato,$A888))*2,0)/2)))</f>
        <v/>
      </c>
      <c r="Y888">
        <f>IF(OR(Y$4="",$A888&gt;TODAY()),0,IF(OR(INDEX($B888:$D888,Y$5)="F",AND(Y$6&gt;0,$A888&lt;Y$6),AND(Y$7&gt;0,$A888&gt;Y$7)),0,MAX(0,ROUND((INDEX($E888:$G888,Y$5)-SUMIFS(TF_Timer,TF_Tekniker,Y$4,TF_Dato,$A888))*2,0)/2)))</f>
        <v/>
      </c>
      <c r="Z888">
        <f>IF(OR(Z$4="",$A888&gt;TODAY()),0,IF(OR(INDEX($B888:$D888,Z$5)="F",AND(Z$6&gt;0,$A888&lt;Z$6),AND(Z$7&gt;0,$A888&gt;Z$7)),0,MAX(0,ROUND((INDEX($E888:$G888,Z$5)-SUMIFS(TF_Timer,TF_Tekniker,Z$4,TF_Dato,$A888))*2,0)/2)))</f>
        <v/>
      </c>
      <c r="AA888">
        <f>IF(OR(AA$4="",$A888&gt;TODAY()),0,IF(OR(INDEX($B888:$D888,AA$5)="F",AND(AA$6&gt;0,$A888&lt;AA$6),AND(AA$7&gt;0,$A888&gt;AA$7)),0,MAX(0,ROUND((INDEX($E888:$G888,AA$5)-SUMIFS(TF_Timer,TF_Tekniker,AA$4,TF_Dato,$A888))*2,0)/2)))</f>
        <v/>
      </c>
      <c r="AB888">
        <f>IF(OR(AB$4="",$A888&gt;TODAY()),0,IF(OR(INDEX($B888:$D888,AB$5)="F",AND(AB$6&gt;0,$A888&lt;AB$6),AND(AB$7&gt;0,$A888&gt;AB$7)),0,MAX(0,ROUND((INDEX($E888:$G888,AB$5)-SUMIFS(TF_Timer,TF_Tekniker,AB$4,TF_Dato,$A888))*2,0)/2)))</f>
        <v/>
      </c>
      <c r="AC888">
        <f>IF(OR(AC$4="",$A888&gt;TODAY()),0,IF(OR(INDEX($B888:$D888,AC$5)="F",AND(AC$6&gt;0,$A888&lt;AC$6),AND(AC$7&gt;0,$A888&gt;AC$7)),0,MAX(0,ROUND((INDEX($E888:$G888,AC$5)-SUMIFS(TF_Timer,TF_Tekniker,AC$4,TF_Dato,$A888))*2,0)/2)))</f>
        <v/>
      </c>
      <c r="AD888">
        <f>IF(OR(AD$4="",$A888&gt;TODAY()),0,IF(OR(INDEX($B888:$D888,AD$5)="F",AND(AD$6&gt;0,$A888&lt;AD$6),AND(AD$7&gt;0,$A888&gt;AD$7)),0,MAX(0,ROUND((INDEX($E888:$G888,AD$5)-SUMIFS(TF_Timer,TF_Tekniker,AD$4,TF_Dato,$A888))*2,0)/2)))</f>
        <v/>
      </c>
      <c r="AE888">
        <f>IF(OR(AE$4="",$A888&gt;TODAY()),0,IF(OR(INDEX($B888:$D888,AE$5)="F",AND(AE$6&gt;0,$A888&lt;AE$6),AND(AE$7&gt;0,$A888&gt;AE$7)),0,MAX(0,ROUND((INDEX($E888:$G888,AE$5)-SUMIFS(TF_Timer,TF_Tekniker,AE$4,TF_Dato,$A888))*2,0)/2)))</f>
        <v/>
      </c>
      <c r="AF888">
        <f>IF(OR(AF$4="",$A888&gt;TODAY()),0,IF(OR(INDEX($B888:$D888,AF$5)="F",AND(AF$6&gt;0,$A888&lt;AF$6),AND(AF$7&gt;0,$A888&gt;AF$7)),0,MAX(0,ROUND((INDEX($E888:$G888,AF$5)-SUMIFS(TF_Timer,TF_Tekniker,AF$4,TF_Dato,$A888))*2,0)/2)))</f>
        <v/>
      </c>
      <c r="AG888">
        <f>IF(OR(AG$4="",$A888&gt;TODAY()),0,IF(OR(INDEX($B888:$D888,AG$5)="F",AND(AG$6&gt;0,$A888&lt;AG$6),AND(AG$7&gt;0,$A888&gt;AG$7)),0,MAX(0,ROUND((INDEX($E888:$G888,AG$5)-SUMIFS(TF_Timer,TF_Tekniker,AG$4,TF_Dato,$A888))*2,0)/2)))</f>
        <v/>
      </c>
      <c r="AH888">
        <f>IF(OR(AH$4="",$A888&gt;TODAY()),0,IF(OR(INDEX($B888:$D888,AH$5)="F",AND(AH$6&gt;0,$A888&lt;AH$6),AND(AH$7&gt;0,$A888&gt;AH$7)),0,MAX(0,ROUND((INDEX($E888:$G888,AH$5)-SUMIFS(TF_Timer,TF_Tekniker,AH$4,TF_Dato,$A888))*2,0)/2)))</f>
        <v/>
      </c>
      <c r="AI888">
        <f>IF(OR(AI$4="",$A888&gt;TODAY()),0,IF(OR(INDEX($B888:$D888,AI$5)="F",AND(AI$6&gt;0,$A888&lt;AI$6),AND(AI$7&gt;0,$A888&gt;AI$7)),0,MAX(0,ROUND((INDEX($E888:$G888,AI$5)-SUMIFS(TF_Timer,TF_Tekniker,AI$4,TF_Dato,$A888))*2,0)/2)))</f>
        <v/>
      </c>
      <c r="AJ888">
        <f>IF(OR(AJ$4="",$A888&gt;TODAY()),0,IF(OR(INDEX($B888:$D888,AJ$5)="F",AND(AJ$6&gt;0,$A888&lt;AJ$6),AND(AJ$7&gt;0,$A888&gt;AJ$7)),0,MAX(0,ROUND((INDEX($E888:$G888,AJ$5)-SUMIFS(TF_Timer,TF_Tekniker,AJ$4,TF_Dato,$A888))*2,0)/2)))</f>
        <v/>
      </c>
      <c r="AK888">
        <f>IF(OR(AK$4="",$A888&gt;TODAY()),0,IF(OR(INDEX($B888:$D888,AK$5)="F",AND(AK$6&gt;0,$A888&lt;AK$6),AND(AK$7&gt;0,$A888&gt;AK$7)),0,MAX(0,ROUND((INDEX($E888:$G888,AK$5)-SUMIFS(TF_Timer,TF_Tekniker,AK$4,TF_Dato,$A888))*2,0)/2)))</f>
        <v/>
      </c>
      <c r="AL888">
        <f>IF(OR(AL$4="",$A888&gt;TODAY()),0,IF(OR(INDEX($B888:$D888,AL$5)="F",AND(AL$6&gt;0,$A888&lt;AL$6),AND(AL$7&gt;0,$A888&gt;AL$7)),0,MAX(0,ROUND((INDEX($E888:$G888,AL$5)-SUMIFS(TF_Timer,TF_Tekniker,AL$4,TF_Dato,$A888))*2,0)/2)))</f>
        <v/>
      </c>
      <c r="AM888">
        <f>IF(OR(AM$4="",$A888&gt;TODAY()),0,IF(OR(INDEX($B888:$D888,AM$5)="F",AND(AM$6&gt;0,$A888&lt;AM$6),AND(AM$7&gt;0,$A888&gt;AM$7)),0,MAX(0,ROUND((INDEX($E888:$G888,AM$5)-SUMIFS(TF_Timer,TF_Tekniker,AM$4,TF_Dato,$A888))*2,0)/2)))</f>
        <v/>
      </c>
      <c r="AN888">
        <f>IF(OR(AN$4="",$A888&gt;TODAY()),0,IF(OR(INDEX($B888:$D888,AN$5)="F",AND(AN$6&gt;0,$A888&lt;AN$6),AND(AN$7&gt;0,$A888&gt;AN$7)),0,MAX(0,ROUND((INDEX($E888:$G888,AN$5)-SUMIFS(TF_Timer,TF_Tekniker,AN$4,TF_Dato,$A888))*2,0)/2)))</f>
        <v/>
      </c>
      <c r="AO888">
        <f>IF(OR(AO$4="",$A888&gt;TODAY()),0,IF(OR(INDEX($B888:$D888,AO$5)="F",AND(AO$6&gt;0,$A888&lt;AO$6),AND(AO$7&gt;0,$A888&gt;AO$7)),0,MAX(0,ROUND((INDEX($E888:$G888,AO$5)-SUMIFS(TF_Timer,TF_Tekniker,AO$4,TF_Dato,$A888))*2,0)/2)))</f>
        <v/>
      </c>
      <c r="AP888">
        <f>IF(OR(AP$4="",$A888&gt;TODAY()),0,IF(OR(INDEX($B888:$D888,AP$5)="F",AND(AP$6&gt;0,$A888&lt;AP$6),AND(AP$7&gt;0,$A888&gt;AP$7)),0,MAX(0,ROUND((INDEX($E888:$G888,AP$5)-SUMIFS(TF_Timer,TF_Tekniker,AP$4,TF_Dato,$A888))*2,0)/2)))</f>
        <v/>
      </c>
      <c r="AQ888">
        <f>IF(OR(AQ$4="",$A888&gt;TODAY()),0,IF(OR(INDEX($B888:$D888,AQ$5)="F",AND(AQ$6&gt;0,$A888&lt;AQ$6),AND(AQ$7&gt;0,$A888&gt;AQ$7)),0,MAX(0,ROUND((INDEX($E888:$G888,AQ$5)-SUMIFS(TF_Timer,TF_Tekniker,AQ$4,TF_Dato,$A888))*2,0)/2)))</f>
        <v/>
      </c>
      <c r="AR888">
        <f>IF(OR(AR$4="",$A888&gt;TODAY()),0,IF(OR(INDEX($B888:$D888,AR$5)="F",AND(AR$6&gt;0,$A888&lt;AR$6),AND(AR$7&gt;0,$A888&gt;AR$7)),0,MAX(0,ROUND((INDEX($E888:$G888,AR$5)-SUMIFS(TF_Timer,TF_Tekniker,AR$4,TF_Dato,$A888))*2,0)/2)))</f>
        <v/>
      </c>
      <c r="AS888">
        <f>IF(OR(AS$4="",$A888&gt;TODAY()),0,IF(OR(INDEX($B888:$D888,AS$5)="F",AND(AS$6&gt;0,$A888&lt;AS$6),AND(AS$7&gt;0,$A888&gt;AS$7)),0,MAX(0,ROUND((INDEX($E888:$G888,AS$5)-SUMIFS(TF_Timer,TF_Tekniker,AS$4,TF_Dato,$A888))*2,0)/2)))</f>
        <v/>
      </c>
      <c r="AT888">
        <f>IF(OR(AT$4="",$A888&gt;TODAY()),0,IF(OR(INDEX($B888:$D888,AT$5)="F",AND(AT$6&gt;0,$A888&lt;AT$6),AND(AT$7&gt;0,$A888&gt;AT$7)),0,MAX(0,ROUND((INDEX($E888:$G888,AT$5)-SUMIFS(TF_Timer,TF_Tekniker,AT$4,TF_Dato,$A888))*2,0)/2)))</f>
        <v/>
      </c>
      <c r="AU888">
        <f>IF(OR(AU$4="",$A888&gt;TODAY()),0,IF(OR(INDEX($B888:$D888,AU$5)="F",AND(AU$6&gt;0,$A888&lt;AU$6),AND(AU$7&gt;0,$A888&gt;AU$7)),0,MAX(0,ROUND((INDEX($E888:$G888,AU$5)-SUMIFS(TF_Timer,TF_Tekniker,AU$4,TF_Dato,$A888))*2,0)/2)))</f>
        <v/>
      </c>
      <c r="AV888">
        <f>IF(OR(AV$4="",$A888&gt;TODAY()),0,IF(OR(INDEX($B888:$D888,AV$5)="F",AND(AV$6&gt;0,$A888&lt;AV$6),AND(AV$7&gt;0,$A888&gt;AV$7)),0,MAX(0,ROUND((INDEX($E888:$G888,AV$5)-SUMIFS(TF_Timer,TF_Tekniker,AV$4,TF_Dato,$A888))*2,0)/2)))</f>
        <v/>
      </c>
      <c r="AW888">
        <f>IF(OR(AW$4="",$A888&gt;TODAY()),0,IF(OR(INDEX($B888:$D888,AW$5)="F",AND(AW$6&gt;0,$A888&lt;AW$6),AND(AW$7&gt;0,$A888&gt;AW$7)),0,MAX(0,ROUND((INDEX($E888:$G888,AW$5)-SUMIFS(TF_Timer,TF_Tekniker,AW$4,TF_Dato,$A888))*2,0)/2)))</f>
        <v/>
      </c>
      <c r="AX888">
        <f>IF(OR(AX$4="",$A888&gt;TODAY()),0,IF(OR(INDEX($B888:$D888,AX$5)="F",AND(AX$6&gt;0,$A888&lt;AX$6),AND(AX$7&gt;0,$A888&gt;AX$7)),0,MAX(0,ROUND((INDEX($E888:$G888,AX$5)-SUMIFS(TF_Timer,TF_Tekniker,AX$4,TF_Dato,$A888))*2,0)/2)))</f>
        <v/>
      </c>
      <c r="AY888">
        <f>IF(OR(AY$4="",$A888&gt;TODAY()),0,IF(OR(INDEX($B888:$D888,AY$5)="F",AND(AY$6&gt;0,$A888&lt;AY$6),AND(AY$7&gt;0,$A888&gt;AY$7)),0,MAX(0,ROUND((INDEX($E888:$G888,AY$5)-SUMIFS(TF_Timer,TF_Tekniker,AY$4,TF_Dato,$A888))*2,0)/2)))</f>
        <v/>
      </c>
      <c r="AZ888">
        <f>IF(OR(AZ$4="",$A888&gt;TODAY()),0,IF(OR(INDEX($B888:$D888,AZ$5)="F",AND(AZ$6&gt;0,$A888&lt;AZ$6),AND(AZ$7&gt;0,$A888&gt;AZ$7)),0,MAX(0,ROUND((INDEX($E888:$G888,AZ$5)-SUMIFS(TF_Timer,TF_Tekniker,AZ$4,TF_Dato,$A888))*2,0)/2)))</f>
        <v/>
      </c>
      <c r="BA888">
        <f>IF(OR(BA$4="",$A888&gt;TODAY()),0,IF(OR(INDEX($B888:$D888,BA$5)="F",AND(BA$6&gt;0,$A888&lt;BA$6),AND(BA$7&gt;0,$A888&gt;BA$7)),0,MAX(0,ROUND((INDEX($E888:$G888,BA$5)-SUMIFS(TF_Timer,TF_Tekniker,BA$4,TF_Dato,$A888))*2,0)/2)))</f>
        <v/>
      </c>
      <c r="BB888">
        <f>IF(OR(BB$4="",$A888&gt;TODAY()),0,IF(OR(INDEX($B888:$D888,BB$5)="F",AND(BB$6&gt;0,$A888&lt;BB$6),AND(BB$7&gt;0,$A888&gt;BB$7)),0,MAX(0,ROUND((INDEX($E888:$G888,BB$5)-SUMIFS(TF_Timer,TF_Tekniker,BB$4,TF_Dato,$A888))*2,0)/2)))</f>
        <v/>
      </c>
      <c r="BC888">
        <f>IF(OR(BC$4="",$A888&gt;TODAY()),0,IF(OR(INDEX($B888:$D888,BC$5)="F",AND(BC$6&gt;0,$A888&lt;BC$6),AND(BC$7&gt;0,$A888&gt;BC$7)),0,MAX(0,ROUND((INDEX($E888:$G888,BC$5)-SUMIFS(TF_Timer,TF_Tekniker,BC$4,TF_Dato,$A888))*2,0)/2)))</f>
        <v/>
      </c>
      <c r="BD888">
        <f>IF(OR(BD$4="",$A888&gt;TODAY()),0,IF(OR(INDEX($B888:$D888,BD$5)="F",AND(BD$6&gt;0,$A888&lt;BD$6),AND(BD$7&gt;0,$A888&gt;BD$7)),0,MAX(0,ROUND((INDEX($E888:$G888,BD$5)-SUMIFS(TF_Timer,TF_Tekniker,BD$4,TF_Dato,$A888))*2,0)/2)))</f>
        <v/>
      </c>
      <c r="BE888">
        <f>IF(OR(BE$4="",$A888&gt;TODAY()),0,IF(OR(INDEX($B888:$D888,BE$5)="F",AND(BE$6&gt;0,$A888&lt;BE$6),AND(BE$7&gt;0,$A888&gt;BE$7)),0,MAX(0,ROUND((INDEX($E888:$G888,BE$5)-SUMIFS(TF_Timer,TF_Tekniker,BE$4,TF_Dato,$A888))*2,0)/2)))</f>
        <v/>
      </c>
      <c r="BF888">
        <f>IF(OR(BF$4="",$A888&gt;TODAY()),0,IF(OR(INDEX($B888:$D888,BF$5)="F",AND(BF$6&gt;0,$A888&lt;BF$6),AND(BF$7&gt;0,$A888&gt;BF$7)),0,MAX(0,ROUND((INDEX($E888:$G888,BF$5)-SUMIFS(TF_Timer,TF_Tekniker,BF$4,TF_Dato,$A888))*2,0)/2)))</f>
        <v/>
      </c>
      <c r="BG888">
        <f>IF(OR(BG$4="",$A888&gt;TODAY()),0,IF(OR(INDEX($B888:$D888,BG$5)="F",AND(BG$6&gt;0,$A888&lt;BG$6),AND(BG$7&gt;0,$A888&gt;BG$7)),0,MAX(0,ROUND((INDEX($E888:$G888,BG$5)-SUMIFS(TF_Timer,TF_Tekniker,BG$4,TF_Dato,$A888))*2,0)/2)))</f>
        <v/>
      </c>
      <c r="BH888">
        <f>IF(OR(BH$4="",$A888&gt;TODAY()),0,IF(OR(INDEX($B888:$D888,BH$5)="F",AND(BH$6&gt;0,$A888&lt;BH$6),AND(BH$7&gt;0,$A888&gt;BH$7)),0,MAX(0,ROUND((INDEX($E888:$G888,BH$5)-SUMIFS(TF_Timer,TF_Tekniker,BH$4,TF_Dato,$A888))*2,0)/2)))</f>
        <v/>
      </c>
      <c r="BI888">
        <f>IF(OR(BI$4="",$A888&gt;TODAY()),0,IF(OR(INDEX($B888:$D888,BI$5)="F",AND(BI$6&gt;0,$A888&lt;BI$6),AND(BI$7&gt;0,$A888&gt;BI$7)),0,MAX(0,ROUND((INDEX($E888:$G888,BI$5)-SUMIFS(TF_Timer,TF_Tekniker,BI$4,TF_Dato,$A888))*2,0)/2)))</f>
        <v/>
      </c>
    </row>
    <row r="889">
      <c r="A889" s="64">
        <f>A888+1</f>
        <v/>
      </c>
      <c r="B889">
        <f>IF(MOD($A889-INDEX(SkiftStart,1),Syklus)&lt;DagK,"K",IF(MOD($A889-INDEX(SkiftStart,1),Syklus)&lt;DagK+DagH,"H",IF(MOD($A889-INDEX(SkiftStart,1),Syklus)&lt;DagK+DagH+DagD,"D","F")))</f>
        <v/>
      </c>
      <c r="C889">
        <f>IF(MOD($A889-INDEX(SkiftStart,2),Syklus)&lt;DagK,"K",IF(MOD($A889-INDEX(SkiftStart,2),Syklus)&lt;DagK+DagH,"H",IF(MOD($A889-INDEX(SkiftStart,2),Syklus)&lt;DagK+DagH+DagD,"D","F")))</f>
        <v/>
      </c>
      <c r="D889">
        <f>IF(MOD($A889-INDEX(SkiftStart,3),Syklus)&lt;DagK,"K",IF(MOD($A889-INDEX(SkiftStart,3),Syklus)&lt;DagK+DagH,"H",IF(MOD($A889-INDEX(SkiftStart,3),Syklus)&lt;DagK+DagH+DagD,"D","F")))</f>
        <v/>
      </c>
      <c r="E889">
        <f>IF(B889="F",0,IF(WEEKDAY($A889,2)=5,INDEX(TimerFr,MATCH(B889,FaseKode,0)),INDEX(TimerMT,MATCH(B889,FaseKode,0))))</f>
        <v/>
      </c>
      <c r="F889">
        <f>IF(C889="F",0,IF(WEEKDAY($A889,2)=5,INDEX(TimerFr,MATCH(C889,FaseKode,0)),INDEX(TimerMT,MATCH(C889,FaseKode,0))))</f>
        <v/>
      </c>
      <c r="G889">
        <f>IF(D889="F",0,IF(WEEKDAY($A889,2)=5,INDEX(TimerFr,MATCH(D889,FaseKode,0)),INDEX(TimerMT,MATCH(D889,FaseKode,0))))</f>
        <v/>
      </c>
      <c r="H889">
        <f>IF(OR(H$4="",$A889&gt;TODAY()),0,IF(OR(INDEX($B889:$D889,H$5)="F",AND(H$6&gt;0,$A889&lt;H$6),AND(H$7&gt;0,$A889&gt;H$7)),0,MAX(0,ROUND((INDEX($E889:$G889,H$5)-SUMIFS(TF_Timer,TF_Tekniker,H$4,TF_Dato,$A889))*2,0)/2)))</f>
        <v/>
      </c>
      <c r="I889">
        <f>IF(OR(I$4="",$A889&gt;TODAY()),0,IF(OR(INDEX($B889:$D889,I$5)="F",AND(I$6&gt;0,$A889&lt;I$6),AND(I$7&gt;0,$A889&gt;I$7)),0,MAX(0,ROUND((INDEX($E889:$G889,I$5)-SUMIFS(TF_Timer,TF_Tekniker,I$4,TF_Dato,$A889))*2,0)/2)))</f>
        <v/>
      </c>
      <c r="J889">
        <f>IF(OR(J$4="",$A889&gt;TODAY()),0,IF(OR(INDEX($B889:$D889,J$5)="F",AND(J$6&gt;0,$A889&lt;J$6),AND(J$7&gt;0,$A889&gt;J$7)),0,MAX(0,ROUND((INDEX($E889:$G889,J$5)-SUMIFS(TF_Timer,TF_Tekniker,J$4,TF_Dato,$A889))*2,0)/2)))</f>
        <v/>
      </c>
      <c r="K889">
        <f>IF(OR(K$4="",$A889&gt;TODAY()),0,IF(OR(INDEX($B889:$D889,K$5)="F",AND(K$6&gt;0,$A889&lt;K$6),AND(K$7&gt;0,$A889&gt;K$7)),0,MAX(0,ROUND((INDEX($E889:$G889,K$5)-SUMIFS(TF_Timer,TF_Tekniker,K$4,TF_Dato,$A889))*2,0)/2)))</f>
        <v/>
      </c>
      <c r="L889">
        <f>IF(OR(L$4="",$A889&gt;TODAY()),0,IF(OR(INDEX($B889:$D889,L$5)="F",AND(L$6&gt;0,$A889&lt;L$6),AND(L$7&gt;0,$A889&gt;L$7)),0,MAX(0,ROUND((INDEX($E889:$G889,L$5)-SUMIFS(TF_Timer,TF_Tekniker,L$4,TF_Dato,$A889))*2,0)/2)))</f>
        <v/>
      </c>
      <c r="M889">
        <f>IF(OR(M$4="",$A889&gt;TODAY()),0,IF(OR(INDEX($B889:$D889,M$5)="F",AND(M$6&gt;0,$A889&lt;M$6),AND(M$7&gt;0,$A889&gt;M$7)),0,MAX(0,ROUND((INDEX($E889:$G889,M$5)-SUMIFS(TF_Timer,TF_Tekniker,M$4,TF_Dato,$A889))*2,0)/2)))</f>
        <v/>
      </c>
      <c r="N889">
        <f>IF(OR(N$4="",$A889&gt;TODAY()),0,IF(OR(INDEX($B889:$D889,N$5)="F",AND(N$6&gt;0,$A889&lt;N$6),AND(N$7&gt;0,$A889&gt;N$7)),0,MAX(0,ROUND((INDEX($E889:$G889,N$5)-SUMIFS(TF_Timer,TF_Tekniker,N$4,TF_Dato,$A889))*2,0)/2)))</f>
        <v/>
      </c>
      <c r="O889">
        <f>IF(OR(O$4="",$A889&gt;TODAY()),0,IF(OR(INDEX($B889:$D889,O$5)="F",AND(O$6&gt;0,$A889&lt;O$6),AND(O$7&gt;0,$A889&gt;O$7)),0,MAX(0,ROUND((INDEX($E889:$G889,O$5)-SUMIFS(TF_Timer,TF_Tekniker,O$4,TF_Dato,$A889))*2,0)/2)))</f>
        <v/>
      </c>
      <c r="P889">
        <f>IF(OR(P$4="",$A889&gt;TODAY()),0,IF(OR(INDEX($B889:$D889,P$5)="F",AND(P$6&gt;0,$A889&lt;P$6),AND(P$7&gt;0,$A889&gt;P$7)),0,MAX(0,ROUND((INDEX($E889:$G889,P$5)-SUMIFS(TF_Timer,TF_Tekniker,P$4,TF_Dato,$A889))*2,0)/2)))</f>
        <v/>
      </c>
      <c r="Q889">
        <f>IF(OR(Q$4="",$A889&gt;TODAY()),0,IF(OR(INDEX($B889:$D889,Q$5)="F",AND(Q$6&gt;0,$A889&lt;Q$6),AND(Q$7&gt;0,$A889&gt;Q$7)),0,MAX(0,ROUND((INDEX($E889:$G889,Q$5)-SUMIFS(TF_Timer,TF_Tekniker,Q$4,TF_Dato,$A889))*2,0)/2)))</f>
        <v/>
      </c>
      <c r="R889">
        <f>IF(OR(R$4="",$A889&gt;TODAY()),0,IF(OR(INDEX($B889:$D889,R$5)="F",AND(R$6&gt;0,$A889&lt;R$6),AND(R$7&gt;0,$A889&gt;R$7)),0,MAX(0,ROUND((INDEX($E889:$G889,R$5)-SUMIFS(TF_Timer,TF_Tekniker,R$4,TF_Dato,$A889))*2,0)/2)))</f>
        <v/>
      </c>
      <c r="S889">
        <f>IF(OR(S$4="",$A889&gt;TODAY()),0,IF(OR(INDEX($B889:$D889,S$5)="F",AND(S$6&gt;0,$A889&lt;S$6),AND(S$7&gt;0,$A889&gt;S$7)),0,MAX(0,ROUND((INDEX($E889:$G889,S$5)-SUMIFS(TF_Timer,TF_Tekniker,S$4,TF_Dato,$A889))*2,0)/2)))</f>
        <v/>
      </c>
      <c r="T889">
        <f>IF(OR(T$4="",$A889&gt;TODAY()),0,IF(OR(INDEX($B889:$D889,T$5)="F",AND(T$6&gt;0,$A889&lt;T$6),AND(T$7&gt;0,$A889&gt;T$7)),0,MAX(0,ROUND((INDEX($E889:$G889,T$5)-SUMIFS(TF_Timer,TF_Tekniker,T$4,TF_Dato,$A889))*2,0)/2)))</f>
        <v/>
      </c>
      <c r="U889">
        <f>IF(OR(U$4="",$A889&gt;TODAY()),0,IF(OR(INDEX($B889:$D889,U$5)="F",AND(U$6&gt;0,$A889&lt;U$6),AND(U$7&gt;0,$A889&gt;U$7)),0,MAX(0,ROUND((INDEX($E889:$G889,U$5)-SUMIFS(TF_Timer,TF_Tekniker,U$4,TF_Dato,$A889))*2,0)/2)))</f>
        <v/>
      </c>
      <c r="V889">
        <f>IF(OR(V$4="",$A889&gt;TODAY()),0,IF(OR(INDEX($B889:$D889,V$5)="F",AND(V$6&gt;0,$A889&lt;V$6),AND(V$7&gt;0,$A889&gt;V$7)),0,MAX(0,ROUND((INDEX($E889:$G889,V$5)-SUMIFS(TF_Timer,TF_Tekniker,V$4,TF_Dato,$A889))*2,0)/2)))</f>
        <v/>
      </c>
      <c r="W889">
        <f>IF(OR(W$4="",$A889&gt;TODAY()),0,IF(OR(INDEX($B889:$D889,W$5)="F",AND(W$6&gt;0,$A889&lt;W$6),AND(W$7&gt;0,$A889&gt;W$7)),0,MAX(0,ROUND((INDEX($E889:$G889,W$5)-SUMIFS(TF_Timer,TF_Tekniker,W$4,TF_Dato,$A889))*2,0)/2)))</f>
        <v/>
      </c>
      <c r="X889">
        <f>IF(OR(X$4="",$A889&gt;TODAY()),0,IF(OR(INDEX($B889:$D889,X$5)="F",AND(X$6&gt;0,$A889&lt;X$6),AND(X$7&gt;0,$A889&gt;X$7)),0,MAX(0,ROUND((INDEX($E889:$G889,X$5)-SUMIFS(TF_Timer,TF_Tekniker,X$4,TF_Dato,$A889))*2,0)/2)))</f>
        <v/>
      </c>
      <c r="Y889">
        <f>IF(OR(Y$4="",$A889&gt;TODAY()),0,IF(OR(INDEX($B889:$D889,Y$5)="F",AND(Y$6&gt;0,$A889&lt;Y$6),AND(Y$7&gt;0,$A889&gt;Y$7)),0,MAX(0,ROUND((INDEX($E889:$G889,Y$5)-SUMIFS(TF_Timer,TF_Tekniker,Y$4,TF_Dato,$A889))*2,0)/2)))</f>
        <v/>
      </c>
      <c r="Z889">
        <f>IF(OR(Z$4="",$A889&gt;TODAY()),0,IF(OR(INDEX($B889:$D889,Z$5)="F",AND(Z$6&gt;0,$A889&lt;Z$6),AND(Z$7&gt;0,$A889&gt;Z$7)),0,MAX(0,ROUND((INDEX($E889:$G889,Z$5)-SUMIFS(TF_Timer,TF_Tekniker,Z$4,TF_Dato,$A889))*2,0)/2)))</f>
        <v/>
      </c>
      <c r="AA889">
        <f>IF(OR(AA$4="",$A889&gt;TODAY()),0,IF(OR(INDEX($B889:$D889,AA$5)="F",AND(AA$6&gt;0,$A889&lt;AA$6),AND(AA$7&gt;0,$A889&gt;AA$7)),0,MAX(0,ROUND((INDEX($E889:$G889,AA$5)-SUMIFS(TF_Timer,TF_Tekniker,AA$4,TF_Dato,$A889))*2,0)/2)))</f>
        <v/>
      </c>
      <c r="AB889">
        <f>IF(OR(AB$4="",$A889&gt;TODAY()),0,IF(OR(INDEX($B889:$D889,AB$5)="F",AND(AB$6&gt;0,$A889&lt;AB$6),AND(AB$7&gt;0,$A889&gt;AB$7)),0,MAX(0,ROUND((INDEX($E889:$G889,AB$5)-SUMIFS(TF_Timer,TF_Tekniker,AB$4,TF_Dato,$A889))*2,0)/2)))</f>
        <v/>
      </c>
      <c r="AC889">
        <f>IF(OR(AC$4="",$A889&gt;TODAY()),0,IF(OR(INDEX($B889:$D889,AC$5)="F",AND(AC$6&gt;0,$A889&lt;AC$6),AND(AC$7&gt;0,$A889&gt;AC$7)),0,MAX(0,ROUND((INDEX($E889:$G889,AC$5)-SUMIFS(TF_Timer,TF_Tekniker,AC$4,TF_Dato,$A889))*2,0)/2)))</f>
        <v/>
      </c>
      <c r="AD889">
        <f>IF(OR(AD$4="",$A889&gt;TODAY()),0,IF(OR(INDEX($B889:$D889,AD$5)="F",AND(AD$6&gt;0,$A889&lt;AD$6),AND(AD$7&gt;0,$A889&gt;AD$7)),0,MAX(0,ROUND((INDEX($E889:$G889,AD$5)-SUMIFS(TF_Timer,TF_Tekniker,AD$4,TF_Dato,$A889))*2,0)/2)))</f>
        <v/>
      </c>
      <c r="AE889">
        <f>IF(OR(AE$4="",$A889&gt;TODAY()),0,IF(OR(INDEX($B889:$D889,AE$5)="F",AND(AE$6&gt;0,$A889&lt;AE$6),AND(AE$7&gt;0,$A889&gt;AE$7)),0,MAX(0,ROUND((INDEX($E889:$G889,AE$5)-SUMIFS(TF_Timer,TF_Tekniker,AE$4,TF_Dato,$A889))*2,0)/2)))</f>
        <v/>
      </c>
      <c r="AF889">
        <f>IF(OR(AF$4="",$A889&gt;TODAY()),0,IF(OR(INDEX($B889:$D889,AF$5)="F",AND(AF$6&gt;0,$A889&lt;AF$6),AND(AF$7&gt;0,$A889&gt;AF$7)),0,MAX(0,ROUND((INDEX($E889:$G889,AF$5)-SUMIFS(TF_Timer,TF_Tekniker,AF$4,TF_Dato,$A889))*2,0)/2)))</f>
        <v/>
      </c>
      <c r="AG889">
        <f>IF(OR(AG$4="",$A889&gt;TODAY()),0,IF(OR(INDEX($B889:$D889,AG$5)="F",AND(AG$6&gt;0,$A889&lt;AG$6),AND(AG$7&gt;0,$A889&gt;AG$7)),0,MAX(0,ROUND((INDEX($E889:$G889,AG$5)-SUMIFS(TF_Timer,TF_Tekniker,AG$4,TF_Dato,$A889))*2,0)/2)))</f>
        <v/>
      </c>
      <c r="AH889">
        <f>IF(OR(AH$4="",$A889&gt;TODAY()),0,IF(OR(INDEX($B889:$D889,AH$5)="F",AND(AH$6&gt;0,$A889&lt;AH$6),AND(AH$7&gt;0,$A889&gt;AH$7)),0,MAX(0,ROUND((INDEX($E889:$G889,AH$5)-SUMIFS(TF_Timer,TF_Tekniker,AH$4,TF_Dato,$A889))*2,0)/2)))</f>
        <v/>
      </c>
      <c r="AI889">
        <f>IF(OR(AI$4="",$A889&gt;TODAY()),0,IF(OR(INDEX($B889:$D889,AI$5)="F",AND(AI$6&gt;0,$A889&lt;AI$6),AND(AI$7&gt;0,$A889&gt;AI$7)),0,MAX(0,ROUND((INDEX($E889:$G889,AI$5)-SUMIFS(TF_Timer,TF_Tekniker,AI$4,TF_Dato,$A889))*2,0)/2)))</f>
        <v/>
      </c>
      <c r="AJ889">
        <f>IF(OR(AJ$4="",$A889&gt;TODAY()),0,IF(OR(INDEX($B889:$D889,AJ$5)="F",AND(AJ$6&gt;0,$A889&lt;AJ$6),AND(AJ$7&gt;0,$A889&gt;AJ$7)),0,MAX(0,ROUND((INDEX($E889:$G889,AJ$5)-SUMIFS(TF_Timer,TF_Tekniker,AJ$4,TF_Dato,$A889))*2,0)/2)))</f>
        <v/>
      </c>
      <c r="AK889">
        <f>IF(OR(AK$4="",$A889&gt;TODAY()),0,IF(OR(INDEX($B889:$D889,AK$5)="F",AND(AK$6&gt;0,$A889&lt;AK$6),AND(AK$7&gt;0,$A889&gt;AK$7)),0,MAX(0,ROUND((INDEX($E889:$G889,AK$5)-SUMIFS(TF_Timer,TF_Tekniker,AK$4,TF_Dato,$A889))*2,0)/2)))</f>
        <v/>
      </c>
      <c r="AL889">
        <f>IF(OR(AL$4="",$A889&gt;TODAY()),0,IF(OR(INDEX($B889:$D889,AL$5)="F",AND(AL$6&gt;0,$A889&lt;AL$6),AND(AL$7&gt;0,$A889&gt;AL$7)),0,MAX(0,ROUND((INDEX($E889:$G889,AL$5)-SUMIFS(TF_Timer,TF_Tekniker,AL$4,TF_Dato,$A889))*2,0)/2)))</f>
        <v/>
      </c>
      <c r="AM889">
        <f>IF(OR(AM$4="",$A889&gt;TODAY()),0,IF(OR(INDEX($B889:$D889,AM$5)="F",AND(AM$6&gt;0,$A889&lt;AM$6),AND(AM$7&gt;0,$A889&gt;AM$7)),0,MAX(0,ROUND((INDEX($E889:$G889,AM$5)-SUMIFS(TF_Timer,TF_Tekniker,AM$4,TF_Dato,$A889))*2,0)/2)))</f>
        <v/>
      </c>
      <c r="AN889">
        <f>IF(OR(AN$4="",$A889&gt;TODAY()),0,IF(OR(INDEX($B889:$D889,AN$5)="F",AND(AN$6&gt;0,$A889&lt;AN$6),AND(AN$7&gt;0,$A889&gt;AN$7)),0,MAX(0,ROUND((INDEX($E889:$G889,AN$5)-SUMIFS(TF_Timer,TF_Tekniker,AN$4,TF_Dato,$A889))*2,0)/2)))</f>
        <v/>
      </c>
      <c r="AO889">
        <f>IF(OR(AO$4="",$A889&gt;TODAY()),0,IF(OR(INDEX($B889:$D889,AO$5)="F",AND(AO$6&gt;0,$A889&lt;AO$6),AND(AO$7&gt;0,$A889&gt;AO$7)),0,MAX(0,ROUND((INDEX($E889:$G889,AO$5)-SUMIFS(TF_Timer,TF_Tekniker,AO$4,TF_Dato,$A889))*2,0)/2)))</f>
        <v/>
      </c>
      <c r="AP889">
        <f>IF(OR(AP$4="",$A889&gt;TODAY()),0,IF(OR(INDEX($B889:$D889,AP$5)="F",AND(AP$6&gt;0,$A889&lt;AP$6),AND(AP$7&gt;0,$A889&gt;AP$7)),0,MAX(0,ROUND((INDEX($E889:$G889,AP$5)-SUMIFS(TF_Timer,TF_Tekniker,AP$4,TF_Dato,$A889))*2,0)/2)))</f>
        <v/>
      </c>
      <c r="AQ889">
        <f>IF(OR(AQ$4="",$A889&gt;TODAY()),0,IF(OR(INDEX($B889:$D889,AQ$5)="F",AND(AQ$6&gt;0,$A889&lt;AQ$6),AND(AQ$7&gt;0,$A889&gt;AQ$7)),0,MAX(0,ROUND((INDEX($E889:$G889,AQ$5)-SUMIFS(TF_Timer,TF_Tekniker,AQ$4,TF_Dato,$A889))*2,0)/2)))</f>
        <v/>
      </c>
      <c r="AR889">
        <f>IF(OR(AR$4="",$A889&gt;TODAY()),0,IF(OR(INDEX($B889:$D889,AR$5)="F",AND(AR$6&gt;0,$A889&lt;AR$6),AND(AR$7&gt;0,$A889&gt;AR$7)),0,MAX(0,ROUND((INDEX($E889:$G889,AR$5)-SUMIFS(TF_Timer,TF_Tekniker,AR$4,TF_Dato,$A889))*2,0)/2)))</f>
        <v/>
      </c>
      <c r="AS889">
        <f>IF(OR(AS$4="",$A889&gt;TODAY()),0,IF(OR(INDEX($B889:$D889,AS$5)="F",AND(AS$6&gt;0,$A889&lt;AS$6),AND(AS$7&gt;0,$A889&gt;AS$7)),0,MAX(0,ROUND((INDEX($E889:$G889,AS$5)-SUMIFS(TF_Timer,TF_Tekniker,AS$4,TF_Dato,$A889))*2,0)/2)))</f>
        <v/>
      </c>
      <c r="AT889">
        <f>IF(OR(AT$4="",$A889&gt;TODAY()),0,IF(OR(INDEX($B889:$D889,AT$5)="F",AND(AT$6&gt;0,$A889&lt;AT$6),AND(AT$7&gt;0,$A889&gt;AT$7)),0,MAX(0,ROUND((INDEX($E889:$G889,AT$5)-SUMIFS(TF_Timer,TF_Tekniker,AT$4,TF_Dato,$A889))*2,0)/2)))</f>
        <v/>
      </c>
      <c r="AU889">
        <f>IF(OR(AU$4="",$A889&gt;TODAY()),0,IF(OR(INDEX($B889:$D889,AU$5)="F",AND(AU$6&gt;0,$A889&lt;AU$6),AND(AU$7&gt;0,$A889&gt;AU$7)),0,MAX(0,ROUND((INDEX($E889:$G889,AU$5)-SUMIFS(TF_Timer,TF_Tekniker,AU$4,TF_Dato,$A889))*2,0)/2)))</f>
        <v/>
      </c>
      <c r="AV889">
        <f>IF(OR(AV$4="",$A889&gt;TODAY()),0,IF(OR(INDEX($B889:$D889,AV$5)="F",AND(AV$6&gt;0,$A889&lt;AV$6),AND(AV$7&gt;0,$A889&gt;AV$7)),0,MAX(0,ROUND((INDEX($E889:$G889,AV$5)-SUMIFS(TF_Timer,TF_Tekniker,AV$4,TF_Dato,$A889))*2,0)/2)))</f>
        <v/>
      </c>
      <c r="AW889">
        <f>IF(OR(AW$4="",$A889&gt;TODAY()),0,IF(OR(INDEX($B889:$D889,AW$5)="F",AND(AW$6&gt;0,$A889&lt;AW$6),AND(AW$7&gt;0,$A889&gt;AW$7)),0,MAX(0,ROUND((INDEX($E889:$G889,AW$5)-SUMIFS(TF_Timer,TF_Tekniker,AW$4,TF_Dato,$A889))*2,0)/2)))</f>
        <v/>
      </c>
      <c r="AX889">
        <f>IF(OR(AX$4="",$A889&gt;TODAY()),0,IF(OR(INDEX($B889:$D889,AX$5)="F",AND(AX$6&gt;0,$A889&lt;AX$6),AND(AX$7&gt;0,$A889&gt;AX$7)),0,MAX(0,ROUND((INDEX($E889:$G889,AX$5)-SUMIFS(TF_Timer,TF_Tekniker,AX$4,TF_Dato,$A889))*2,0)/2)))</f>
        <v/>
      </c>
      <c r="AY889">
        <f>IF(OR(AY$4="",$A889&gt;TODAY()),0,IF(OR(INDEX($B889:$D889,AY$5)="F",AND(AY$6&gt;0,$A889&lt;AY$6),AND(AY$7&gt;0,$A889&gt;AY$7)),0,MAX(0,ROUND((INDEX($E889:$G889,AY$5)-SUMIFS(TF_Timer,TF_Tekniker,AY$4,TF_Dato,$A889))*2,0)/2)))</f>
        <v/>
      </c>
      <c r="AZ889">
        <f>IF(OR(AZ$4="",$A889&gt;TODAY()),0,IF(OR(INDEX($B889:$D889,AZ$5)="F",AND(AZ$6&gt;0,$A889&lt;AZ$6),AND(AZ$7&gt;0,$A889&gt;AZ$7)),0,MAX(0,ROUND((INDEX($E889:$G889,AZ$5)-SUMIFS(TF_Timer,TF_Tekniker,AZ$4,TF_Dato,$A889))*2,0)/2)))</f>
        <v/>
      </c>
      <c r="BA889">
        <f>IF(OR(BA$4="",$A889&gt;TODAY()),0,IF(OR(INDEX($B889:$D889,BA$5)="F",AND(BA$6&gt;0,$A889&lt;BA$6),AND(BA$7&gt;0,$A889&gt;BA$7)),0,MAX(0,ROUND((INDEX($E889:$G889,BA$5)-SUMIFS(TF_Timer,TF_Tekniker,BA$4,TF_Dato,$A889))*2,0)/2)))</f>
        <v/>
      </c>
      <c r="BB889">
        <f>IF(OR(BB$4="",$A889&gt;TODAY()),0,IF(OR(INDEX($B889:$D889,BB$5)="F",AND(BB$6&gt;0,$A889&lt;BB$6),AND(BB$7&gt;0,$A889&gt;BB$7)),0,MAX(0,ROUND((INDEX($E889:$G889,BB$5)-SUMIFS(TF_Timer,TF_Tekniker,BB$4,TF_Dato,$A889))*2,0)/2)))</f>
        <v/>
      </c>
      <c r="BC889">
        <f>IF(OR(BC$4="",$A889&gt;TODAY()),0,IF(OR(INDEX($B889:$D889,BC$5)="F",AND(BC$6&gt;0,$A889&lt;BC$6),AND(BC$7&gt;0,$A889&gt;BC$7)),0,MAX(0,ROUND((INDEX($E889:$G889,BC$5)-SUMIFS(TF_Timer,TF_Tekniker,BC$4,TF_Dato,$A889))*2,0)/2)))</f>
        <v/>
      </c>
      <c r="BD889">
        <f>IF(OR(BD$4="",$A889&gt;TODAY()),0,IF(OR(INDEX($B889:$D889,BD$5)="F",AND(BD$6&gt;0,$A889&lt;BD$6),AND(BD$7&gt;0,$A889&gt;BD$7)),0,MAX(0,ROUND((INDEX($E889:$G889,BD$5)-SUMIFS(TF_Timer,TF_Tekniker,BD$4,TF_Dato,$A889))*2,0)/2)))</f>
        <v/>
      </c>
      <c r="BE889">
        <f>IF(OR(BE$4="",$A889&gt;TODAY()),0,IF(OR(INDEX($B889:$D889,BE$5)="F",AND(BE$6&gt;0,$A889&lt;BE$6),AND(BE$7&gt;0,$A889&gt;BE$7)),0,MAX(0,ROUND((INDEX($E889:$G889,BE$5)-SUMIFS(TF_Timer,TF_Tekniker,BE$4,TF_Dato,$A889))*2,0)/2)))</f>
        <v/>
      </c>
      <c r="BF889">
        <f>IF(OR(BF$4="",$A889&gt;TODAY()),0,IF(OR(INDEX($B889:$D889,BF$5)="F",AND(BF$6&gt;0,$A889&lt;BF$6),AND(BF$7&gt;0,$A889&gt;BF$7)),0,MAX(0,ROUND((INDEX($E889:$G889,BF$5)-SUMIFS(TF_Timer,TF_Tekniker,BF$4,TF_Dato,$A889))*2,0)/2)))</f>
        <v/>
      </c>
      <c r="BG889">
        <f>IF(OR(BG$4="",$A889&gt;TODAY()),0,IF(OR(INDEX($B889:$D889,BG$5)="F",AND(BG$6&gt;0,$A889&lt;BG$6),AND(BG$7&gt;0,$A889&gt;BG$7)),0,MAX(0,ROUND((INDEX($E889:$G889,BG$5)-SUMIFS(TF_Timer,TF_Tekniker,BG$4,TF_Dato,$A889))*2,0)/2)))</f>
        <v/>
      </c>
      <c r="BH889">
        <f>IF(OR(BH$4="",$A889&gt;TODAY()),0,IF(OR(INDEX($B889:$D889,BH$5)="F",AND(BH$6&gt;0,$A889&lt;BH$6),AND(BH$7&gt;0,$A889&gt;BH$7)),0,MAX(0,ROUND((INDEX($E889:$G889,BH$5)-SUMIFS(TF_Timer,TF_Tekniker,BH$4,TF_Dato,$A889))*2,0)/2)))</f>
        <v/>
      </c>
      <c r="BI889">
        <f>IF(OR(BI$4="",$A889&gt;TODAY()),0,IF(OR(INDEX($B889:$D889,BI$5)="F",AND(BI$6&gt;0,$A889&lt;BI$6),AND(BI$7&gt;0,$A889&gt;BI$7)),0,MAX(0,ROUND((INDEX($E889:$G889,BI$5)-SUMIFS(TF_Timer,TF_Tekniker,BI$4,TF_Dato,$A889))*2,0)/2)))</f>
        <v/>
      </c>
    </row>
    <row r="890">
      <c r="A890" s="64">
        <f>A889+1</f>
        <v/>
      </c>
      <c r="B890">
        <f>IF(MOD($A890-INDEX(SkiftStart,1),Syklus)&lt;DagK,"K",IF(MOD($A890-INDEX(SkiftStart,1),Syklus)&lt;DagK+DagH,"H",IF(MOD($A890-INDEX(SkiftStart,1),Syklus)&lt;DagK+DagH+DagD,"D","F")))</f>
        <v/>
      </c>
      <c r="C890">
        <f>IF(MOD($A890-INDEX(SkiftStart,2),Syklus)&lt;DagK,"K",IF(MOD($A890-INDEX(SkiftStart,2),Syklus)&lt;DagK+DagH,"H",IF(MOD($A890-INDEX(SkiftStart,2),Syklus)&lt;DagK+DagH+DagD,"D","F")))</f>
        <v/>
      </c>
      <c r="D890">
        <f>IF(MOD($A890-INDEX(SkiftStart,3),Syklus)&lt;DagK,"K",IF(MOD($A890-INDEX(SkiftStart,3),Syklus)&lt;DagK+DagH,"H",IF(MOD($A890-INDEX(SkiftStart,3),Syklus)&lt;DagK+DagH+DagD,"D","F")))</f>
        <v/>
      </c>
      <c r="E890">
        <f>IF(B890="F",0,IF(WEEKDAY($A890,2)=5,INDEX(TimerFr,MATCH(B890,FaseKode,0)),INDEX(TimerMT,MATCH(B890,FaseKode,0))))</f>
        <v/>
      </c>
      <c r="F890">
        <f>IF(C890="F",0,IF(WEEKDAY($A890,2)=5,INDEX(TimerFr,MATCH(C890,FaseKode,0)),INDEX(TimerMT,MATCH(C890,FaseKode,0))))</f>
        <v/>
      </c>
      <c r="G890">
        <f>IF(D890="F",0,IF(WEEKDAY($A890,2)=5,INDEX(TimerFr,MATCH(D890,FaseKode,0)),INDEX(TimerMT,MATCH(D890,FaseKode,0))))</f>
        <v/>
      </c>
      <c r="H890">
        <f>IF(OR(H$4="",$A890&gt;TODAY()),0,IF(OR(INDEX($B890:$D890,H$5)="F",AND(H$6&gt;0,$A890&lt;H$6),AND(H$7&gt;0,$A890&gt;H$7)),0,MAX(0,ROUND((INDEX($E890:$G890,H$5)-SUMIFS(TF_Timer,TF_Tekniker,H$4,TF_Dato,$A890))*2,0)/2)))</f>
        <v/>
      </c>
      <c r="I890">
        <f>IF(OR(I$4="",$A890&gt;TODAY()),0,IF(OR(INDEX($B890:$D890,I$5)="F",AND(I$6&gt;0,$A890&lt;I$6),AND(I$7&gt;0,$A890&gt;I$7)),0,MAX(0,ROUND((INDEX($E890:$G890,I$5)-SUMIFS(TF_Timer,TF_Tekniker,I$4,TF_Dato,$A890))*2,0)/2)))</f>
        <v/>
      </c>
      <c r="J890">
        <f>IF(OR(J$4="",$A890&gt;TODAY()),0,IF(OR(INDEX($B890:$D890,J$5)="F",AND(J$6&gt;0,$A890&lt;J$6),AND(J$7&gt;0,$A890&gt;J$7)),0,MAX(0,ROUND((INDEX($E890:$G890,J$5)-SUMIFS(TF_Timer,TF_Tekniker,J$4,TF_Dato,$A890))*2,0)/2)))</f>
        <v/>
      </c>
      <c r="K890">
        <f>IF(OR(K$4="",$A890&gt;TODAY()),0,IF(OR(INDEX($B890:$D890,K$5)="F",AND(K$6&gt;0,$A890&lt;K$6),AND(K$7&gt;0,$A890&gt;K$7)),0,MAX(0,ROUND((INDEX($E890:$G890,K$5)-SUMIFS(TF_Timer,TF_Tekniker,K$4,TF_Dato,$A890))*2,0)/2)))</f>
        <v/>
      </c>
      <c r="L890">
        <f>IF(OR(L$4="",$A890&gt;TODAY()),0,IF(OR(INDEX($B890:$D890,L$5)="F",AND(L$6&gt;0,$A890&lt;L$6),AND(L$7&gt;0,$A890&gt;L$7)),0,MAX(0,ROUND((INDEX($E890:$G890,L$5)-SUMIFS(TF_Timer,TF_Tekniker,L$4,TF_Dato,$A890))*2,0)/2)))</f>
        <v/>
      </c>
      <c r="M890">
        <f>IF(OR(M$4="",$A890&gt;TODAY()),0,IF(OR(INDEX($B890:$D890,M$5)="F",AND(M$6&gt;0,$A890&lt;M$6),AND(M$7&gt;0,$A890&gt;M$7)),0,MAX(0,ROUND((INDEX($E890:$G890,M$5)-SUMIFS(TF_Timer,TF_Tekniker,M$4,TF_Dato,$A890))*2,0)/2)))</f>
        <v/>
      </c>
      <c r="N890">
        <f>IF(OR(N$4="",$A890&gt;TODAY()),0,IF(OR(INDEX($B890:$D890,N$5)="F",AND(N$6&gt;0,$A890&lt;N$6),AND(N$7&gt;0,$A890&gt;N$7)),0,MAX(0,ROUND((INDEX($E890:$G890,N$5)-SUMIFS(TF_Timer,TF_Tekniker,N$4,TF_Dato,$A890))*2,0)/2)))</f>
        <v/>
      </c>
      <c r="O890">
        <f>IF(OR(O$4="",$A890&gt;TODAY()),0,IF(OR(INDEX($B890:$D890,O$5)="F",AND(O$6&gt;0,$A890&lt;O$6),AND(O$7&gt;0,$A890&gt;O$7)),0,MAX(0,ROUND((INDEX($E890:$G890,O$5)-SUMIFS(TF_Timer,TF_Tekniker,O$4,TF_Dato,$A890))*2,0)/2)))</f>
        <v/>
      </c>
      <c r="P890">
        <f>IF(OR(P$4="",$A890&gt;TODAY()),0,IF(OR(INDEX($B890:$D890,P$5)="F",AND(P$6&gt;0,$A890&lt;P$6),AND(P$7&gt;0,$A890&gt;P$7)),0,MAX(0,ROUND((INDEX($E890:$G890,P$5)-SUMIFS(TF_Timer,TF_Tekniker,P$4,TF_Dato,$A890))*2,0)/2)))</f>
        <v/>
      </c>
      <c r="Q890">
        <f>IF(OR(Q$4="",$A890&gt;TODAY()),0,IF(OR(INDEX($B890:$D890,Q$5)="F",AND(Q$6&gt;0,$A890&lt;Q$6),AND(Q$7&gt;0,$A890&gt;Q$7)),0,MAX(0,ROUND((INDEX($E890:$G890,Q$5)-SUMIFS(TF_Timer,TF_Tekniker,Q$4,TF_Dato,$A890))*2,0)/2)))</f>
        <v/>
      </c>
      <c r="R890">
        <f>IF(OR(R$4="",$A890&gt;TODAY()),0,IF(OR(INDEX($B890:$D890,R$5)="F",AND(R$6&gt;0,$A890&lt;R$6),AND(R$7&gt;0,$A890&gt;R$7)),0,MAX(0,ROUND((INDEX($E890:$G890,R$5)-SUMIFS(TF_Timer,TF_Tekniker,R$4,TF_Dato,$A890))*2,0)/2)))</f>
        <v/>
      </c>
      <c r="S890">
        <f>IF(OR(S$4="",$A890&gt;TODAY()),0,IF(OR(INDEX($B890:$D890,S$5)="F",AND(S$6&gt;0,$A890&lt;S$6),AND(S$7&gt;0,$A890&gt;S$7)),0,MAX(0,ROUND((INDEX($E890:$G890,S$5)-SUMIFS(TF_Timer,TF_Tekniker,S$4,TF_Dato,$A890))*2,0)/2)))</f>
        <v/>
      </c>
      <c r="T890">
        <f>IF(OR(T$4="",$A890&gt;TODAY()),0,IF(OR(INDEX($B890:$D890,T$5)="F",AND(T$6&gt;0,$A890&lt;T$6),AND(T$7&gt;0,$A890&gt;T$7)),0,MAX(0,ROUND((INDEX($E890:$G890,T$5)-SUMIFS(TF_Timer,TF_Tekniker,T$4,TF_Dato,$A890))*2,0)/2)))</f>
        <v/>
      </c>
      <c r="U890">
        <f>IF(OR(U$4="",$A890&gt;TODAY()),0,IF(OR(INDEX($B890:$D890,U$5)="F",AND(U$6&gt;0,$A890&lt;U$6),AND(U$7&gt;0,$A890&gt;U$7)),0,MAX(0,ROUND((INDEX($E890:$G890,U$5)-SUMIFS(TF_Timer,TF_Tekniker,U$4,TF_Dato,$A890))*2,0)/2)))</f>
        <v/>
      </c>
      <c r="V890">
        <f>IF(OR(V$4="",$A890&gt;TODAY()),0,IF(OR(INDEX($B890:$D890,V$5)="F",AND(V$6&gt;0,$A890&lt;V$6),AND(V$7&gt;0,$A890&gt;V$7)),0,MAX(0,ROUND((INDEX($E890:$G890,V$5)-SUMIFS(TF_Timer,TF_Tekniker,V$4,TF_Dato,$A890))*2,0)/2)))</f>
        <v/>
      </c>
      <c r="W890">
        <f>IF(OR(W$4="",$A890&gt;TODAY()),0,IF(OR(INDEX($B890:$D890,W$5)="F",AND(W$6&gt;0,$A890&lt;W$6),AND(W$7&gt;0,$A890&gt;W$7)),0,MAX(0,ROUND((INDEX($E890:$G890,W$5)-SUMIFS(TF_Timer,TF_Tekniker,W$4,TF_Dato,$A890))*2,0)/2)))</f>
        <v/>
      </c>
      <c r="X890">
        <f>IF(OR(X$4="",$A890&gt;TODAY()),0,IF(OR(INDEX($B890:$D890,X$5)="F",AND(X$6&gt;0,$A890&lt;X$6),AND(X$7&gt;0,$A890&gt;X$7)),0,MAX(0,ROUND((INDEX($E890:$G890,X$5)-SUMIFS(TF_Timer,TF_Tekniker,X$4,TF_Dato,$A890))*2,0)/2)))</f>
        <v/>
      </c>
      <c r="Y890">
        <f>IF(OR(Y$4="",$A890&gt;TODAY()),0,IF(OR(INDEX($B890:$D890,Y$5)="F",AND(Y$6&gt;0,$A890&lt;Y$6),AND(Y$7&gt;0,$A890&gt;Y$7)),0,MAX(0,ROUND((INDEX($E890:$G890,Y$5)-SUMIFS(TF_Timer,TF_Tekniker,Y$4,TF_Dato,$A890))*2,0)/2)))</f>
        <v/>
      </c>
      <c r="Z890">
        <f>IF(OR(Z$4="",$A890&gt;TODAY()),0,IF(OR(INDEX($B890:$D890,Z$5)="F",AND(Z$6&gt;0,$A890&lt;Z$6),AND(Z$7&gt;0,$A890&gt;Z$7)),0,MAX(0,ROUND((INDEX($E890:$G890,Z$5)-SUMIFS(TF_Timer,TF_Tekniker,Z$4,TF_Dato,$A890))*2,0)/2)))</f>
        <v/>
      </c>
      <c r="AA890">
        <f>IF(OR(AA$4="",$A890&gt;TODAY()),0,IF(OR(INDEX($B890:$D890,AA$5)="F",AND(AA$6&gt;0,$A890&lt;AA$6),AND(AA$7&gt;0,$A890&gt;AA$7)),0,MAX(0,ROUND((INDEX($E890:$G890,AA$5)-SUMIFS(TF_Timer,TF_Tekniker,AA$4,TF_Dato,$A890))*2,0)/2)))</f>
        <v/>
      </c>
      <c r="AB890">
        <f>IF(OR(AB$4="",$A890&gt;TODAY()),0,IF(OR(INDEX($B890:$D890,AB$5)="F",AND(AB$6&gt;0,$A890&lt;AB$6),AND(AB$7&gt;0,$A890&gt;AB$7)),0,MAX(0,ROUND((INDEX($E890:$G890,AB$5)-SUMIFS(TF_Timer,TF_Tekniker,AB$4,TF_Dato,$A890))*2,0)/2)))</f>
        <v/>
      </c>
      <c r="AC890">
        <f>IF(OR(AC$4="",$A890&gt;TODAY()),0,IF(OR(INDEX($B890:$D890,AC$5)="F",AND(AC$6&gt;0,$A890&lt;AC$6),AND(AC$7&gt;0,$A890&gt;AC$7)),0,MAX(0,ROUND((INDEX($E890:$G890,AC$5)-SUMIFS(TF_Timer,TF_Tekniker,AC$4,TF_Dato,$A890))*2,0)/2)))</f>
        <v/>
      </c>
      <c r="AD890">
        <f>IF(OR(AD$4="",$A890&gt;TODAY()),0,IF(OR(INDEX($B890:$D890,AD$5)="F",AND(AD$6&gt;0,$A890&lt;AD$6),AND(AD$7&gt;0,$A890&gt;AD$7)),0,MAX(0,ROUND((INDEX($E890:$G890,AD$5)-SUMIFS(TF_Timer,TF_Tekniker,AD$4,TF_Dato,$A890))*2,0)/2)))</f>
        <v/>
      </c>
      <c r="AE890">
        <f>IF(OR(AE$4="",$A890&gt;TODAY()),0,IF(OR(INDEX($B890:$D890,AE$5)="F",AND(AE$6&gt;0,$A890&lt;AE$6),AND(AE$7&gt;0,$A890&gt;AE$7)),0,MAX(0,ROUND((INDEX($E890:$G890,AE$5)-SUMIFS(TF_Timer,TF_Tekniker,AE$4,TF_Dato,$A890))*2,0)/2)))</f>
        <v/>
      </c>
      <c r="AF890">
        <f>IF(OR(AF$4="",$A890&gt;TODAY()),0,IF(OR(INDEX($B890:$D890,AF$5)="F",AND(AF$6&gt;0,$A890&lt;AF$6),AND(AF$7&gt;0,$A890&gt;AF$7)),0,MAX(0,ROUND((INDEX($E890:$G890,AF$5)-SUMIFS(TF_Timer,TF_Tekniker,AF$4,TF_Dato,$A890))*2,0)/2)))</f>
        <v/>
      </c>
      <c r="AG890">
        <f>IF(OR(AG$4="",$A890&gt;TODAY()),0,IF(OR(INDEX($B890:$D890,AG$5)="F",AND(AG$6&gt;0,$A890&lt;AG$6),AND(AG$7&gt;0,$A890&gt;AG$7)),0,MAX(0,ROUND((INDEX($E890:$G890,AG$5)-SUMIFS(TF_Timer,TF_Tekniker,AG$4,TF_Dato,$A890))*2,0)/2)))</f>
        <v/>
      </c>
      <c r="AH890">
        <f>IF(OR(AH$4="",$A890&gt;TODAY()),0,IF(OR(INDEX($B890:$D890,AH$5)="F",AND(AH$6&gt;0,$A890&lt;AH$6),AND(AH$7&gt;0,$A890&gt;AH$7)),0,MAX(0,ROUND((INDEX($E890:$G890,AH$5)-SUMIFS(TF_Timer,TF_Tekniker,AH$4,TF_Dato,$A890))*2,0)/2)))</f>
        <v/>
      </c>
      <c r="AI890">
        <f>IF(OR(AI$4="",$A890&gt;TODAY()),0,IF(OR(INDEX($B890:$D890,AI$5)="F",AND(AI$6&gt;0,$A890&lt;AI$6),AND(AI$7&gt;0,$A890&gt;AI$7)),0,MAX(0,ROUND((INDEX($E890:$G890,AI$5)-SUMIFS(TF_Timer,TF_Tekniker,AI$4,TF_Dato,$A890))*2,0)/2)))</f>
        <v/>
      </c>
      <c r="AJ890">
        <f>IF(OR(AJ$4="",$A890&gt;TODAY()),0,IF(OR(INDEX($B890:$D890,AJ$5)="F",AND(AJ$6&gt;0,$A890&lt;AJ$6),AND(AJ$7&gt;0,$A890&gt;AJ$7)),0,MAX(0,ROUND((INDEX($E890:$G890,AJ$5)-SUMIFS(TF_Timer,TF_Tekniker,AJ$4,TF_Dato,$A890))*2,0)/2)))</f>
        <v/>
      </c>
      <c r="AK890">
        <f>IF(OR(AK$4="",$A890&gt;TODAY()),0,IF(OR(INDEX($B890:$D890,AK$5)="F",AND(AK$6&gt;0,$A890&lt;AK$6),AND(AK$7&gt;0,$A890&gt;AK$7)),0,MAX(0,ROUND((INDEX($E890:$G890,AK$5)-SUMIFS(TF_Timer,TF_Tekniker,AK$4,TF_Dato,$A890))*2,0)/2)))</f>
        <v/>
      </c>
      <c r="AL890">
        <f>IF(OR(AL$4="",$A890&gt;TODAY()),0,IF(OR(INDEX($B890:$D890,AL$5)="F",AND(AL$6&gt;0,$A890&lt;AL$6),AND(AL$7&gt;0,$A890&gt;AL$7)),0,MAX(0,ROUND((INDEX($E890:$G890,AL$5)-SUMIFS(TF_Timer,TF_Tekniker,AL$4,TF_Dato,$A890))*2,0)/2)))</f>
        <v/>
      </c>
      <c r="AM890">
        <f>IF(OR(AM$4="",$A890&gt;TODAY()),0,IF(OR(INDEX($B890:$D890,AM$5)="F",AND(AM$6&gt;0,$A890&lt;AM$6),AND(AM$7&gt;0,$A890&gt;AM$7)),0,MAX(0,ROUND((INDEX($E890:$G890,AM$5)-SUMIFS(TF_Timer,TF_Tekniker,AM$4,TF_Dato,$A890))*2,0)/2)))</f>
        <v/>
      </c>
      <c r="AN890">
        <f>IF(OR(AN$4="",$A890&gt;TODAY()),0,IF(OR(INDEX($B890:$D890,AN$5)="F",AND(AN$6&gt;0,$A890&lt;AN$6),AND(AN$7&gt;0,$A890&gt;AN$7)),0,MAX(0,ROUND((INDEX($E890:$G890,AN$5)-SUMIFS(TF_Timer,TF_Tekniker,AN$4,TF_Dato,$A890))*2,0)/2)))</f>
        <v/>
      </c>
      <c r="AO890">
        <f>IF(OR(AO$4="",$A890&gt;TODAY()),0,IF(OR(INDEX($B890:$D890,AO$5)="F",AND(AO$6&gt;0,$A890&lt;AO$6),AND(AO$7&gt;0,$A890&gt;AO$7)),0,MAX(0,ROUND((INDEX($E890:$G890,AO$5)-SUMIFS(TF_Timer,TF_Tekniker,AO$4,TF_Dato,$A890))*2,0)/2)))</f>
        <v/>
      </c>
      <c r="AP890">
        <f>IF(OR(AP$4="",$A890&gt;TODAY()),0,IF(OR(INDEX($B890:$D890,AP$5)="F",AND(AP$6&gt;0,$A890&lt;AP$6),AND(AP$7&gt;0,$A890&gt;AP$7)),0,MAX(0,ROUND((INDEX($E890:$G890,AP$5)-SUMIFS(TF_Timer,TF_Tekniker,AP$4,TF_Dato,$A890))*2,0)/2)))</f>
        <v/>
      </c>
      <c r="AQ890">
        <f>IF(OR(AQ$4="",$A890&gt;TODAY()),0,IF(OR(INDEX($B890:$D890,AQ$5)="F",AND(AQ$6&gt;0,$A890&lt;AQ$6),AND(AQ$7&gt;0,$A890&gt;AQ$7)),0,MAX(0,ROUND((INDEX($E890:$G890,AQ$5)-SUMIFS(TF_Timer,TF_Tekniker,AQ$4,TF_Dato,$A890))*2,0)/2)))</f>
        <v/>
      </c>
      <c r="AR890">
        <f>IF(OR(AR$4="",$A890&gt;TODAY()),0,IF(OR(INDEX($B890:$D890,AR$5)="F",AND(AR$6&gt;0,$A890&lt;AR$6),AND(AR$7&gt;0,$A890&gt;AR$7)),0,MAX(0,ROUND((INDEX($E890:$G890,AR$5)-SUMIFS(TF_Timer,TF_Tekniker,AR$4,TF_Dato,$A890))*2,0)/2)))</f>
        <v/>
      </c>
      <c r="AS890">
        <f>IF(OR(AS$4="",$A890&gt;TODAY()),0,IF(OR(INDEX($B890:$D890,AS$5)="F",AND(AS$6&gt;0,$A890&lt;AS$6),AND(AS$7&gt;0,$A890&gt;AS$7)),0,MAX(0,ROUND((INDEX($E890:$G890,AS$5)-SUMIFS(TF_Timer,TF_Tekniker,AS$4,TF_Dato,$A890))*2,0)/2)))</f>
        <v/>
      </c>
      <c r="AT890">
        <f>IF(OR(AT$4="",$A890&gt;TODAY()),0,IF(OR(INDEX($B890:$D890,AT$5)="F",AND(AT$6&gt;0,$A890&lt;AT$6),AND(AT$7&gt;0,$A890&gt;AT$7)),0,MAX(0,ROUND((INDEX($E890:$G890,AT$5)-SUMIFS(TF_Timer,TF_Tekniker,AT$4,TF_Dato,$A890))*2,0)/2)))</f>
        <v/>
      </c>
      <c r="AU890">
        <f>IF(OR(AU$4="",$A890&gt;TODAY()),0,IF(OR(INDEX($B890:$D890,AU$5)="F",AND(AU$6&gt;0,$A890&lt;AU$6),AND(AU$7&gt;0,$A890&gt;AU$7)),0,MAX(0,ROUND((INDEX($E890:$G890,AU$5)-SUMIFS(TF_Timer,TF_Tekniker,AU$4,TF_Dato,$A890))*2,0)/2)))</f>
        <v/>
      </c>
      <c r="AV890">
        <f>IF(OR(AV$4="",$A890&gt;TODAY()),0,IF(OR(INDEX($B890:$D890,AV$5)="F",AND(AV$6&gt;0,$A890&lt;AV$6),AND(AV$7&gt;0,$A890&gt;AV$7)),0,MAX(0,ROUND((INDEX($E890:$G890,AV$5)-SUMIFS(TF_Timer,TF_Tekniker,AV$4,TF_Dato,$A890))*2,0)/2)))</f>
        <v/>
      </c>
      <c r="AW890">
        <f>IF(OR(AW$4="",$A890&gt;TODAY()),0,IF(OR(INDEX($B890:$D890,AW$5)="F",AND(AW$6&gt;0,$A890&lt;AW$6),AND(AW$7&gt;0,$A890&gt;AW$7)),0,MAX(0,ROUND((INDEX($E890:$G890,AW$5)-SUMIFS(TF_Timer,TF_Tekniker,AW$4,TF_Dato,$A890))*2,0)/2)))</f>
        <v/>
      </c>
      <c r="AX890">
        <f>IF(OR(AX$4="",$A890&gt;TODAY()),0,IF(OR(INDEX($B890:$D890,AX$5)="F",AND(AX$6&gt;0,$A890&lt;AX$6),AND(AX$7&gt;0,$A890&gt;AX$7)),0,MAX(0,ROUND((INDEX($E890:$G890,AX$5)-SUMIFS(TF_Timer,TF_Tekniker,AX$4,TF_Dato,$A890))*2,0)/2)))</f>
        <v/>
      </c>
      <c r="AY890">
        <f>IF(OR(AY$4="",$A890&gt;TODAY()),0,IF(OR(INDEX($B890:$D890,AY$5)="F",AND(AY$6&gt;0,$A890&lt;AY$6),AND(AY$7&gt;0,$A890&gt;AY$7)),0,MAX(0,ROUND((INDEX($E890:$G890,AY$5)-SUMIFS(TF_Timer,TF_Tekniker,AY$4,TF_Dato,$A890))*2,0)/2)))</f>
        <v/>
      </c>
      <c r="AZ890">
        <f>IF(OR(AZ$4="",$A890&gt;TODAY()),0,IF(OR(INDEX($B890:$D890,AZ$5)="F",AND(AZ$6&gt;0,$A890&lt;AZ$6),AND(AZ$7&gt;0,$A890&gt;AZ$7)),0,MAX(0,ROUND((INDEX($E890:$G890,AZ$5)-SUMIFS(TF_Timer,TF_Tekniker,AZ$4,TF_Dato,$A890))*2,0)/2)))</f>
        <v/>
      </c>
      <c r="BA890">
        <f>IF(OR(BA$4="",$A890&gt;TODAY()),0,IF(OR(INDEX($B890:$D890,BA$5)="F",AND(BA$6&gt;0,$A890&lt;BA$6),AND(BA$7&gt;0,$A890&gt;BA$7)),0,MAX(0,ROUND((INDEX($E890:$G890,BA$5)-SUMIFS(TF_Timer,TF_Tekniker,BA$4,TF_Dato,$A890))*2,0)/2)))</f>
        <v/>
      </c>
      <c r="BB890">
        <f>IF(OR(BB$4="",$A890&gt;TODAY()),0,IF(OR(INDEX($B890:$D890,BB$5)="F",AND(BB$6&gt;0,$A890&lt;BB$6),AND(BB$7&gt;0,$A890&gt;BB$7)),0,MAX(0,ROUND((INDEX($E890:$G890,BB$5)-SUMIFS(TF_Timer,TF_Tekniker,BB$4,TF_Dato,$A890))*2,0)/2)))</f>
        <v/>
      </c>
      <c r="BC890">
        <f>IF(OR(BC$4="",$A890&gt;TODAY()),0,IF(OR(INDEX($B890:$D890,BC$5)="F",AND(BC$6&gt;0,$A890&lt;BC$6),AND(BC$7&gt;0,$A890&gt;BC$7)),0,MAX(0,ROUND((INDEX($E890:$G890,BC$5)-SUMIFS(TF_Timer,TF_Tekniker,BC$4,TF_Dato,$A890))*2,0)/2)))</f>
        <v/>
      </c>
      <c r="BD890">
        <f>IF(OR(BD$4="",$A890&gt;TODAY()),0,IF(OR(INDEX($B890:$D890,BD$5)="F",AND(BD$6&gt;0,$A890&lt;BD$6),AND(BD$7&gt;0,$A890&gt;BD$7)),0,MAX(0,ROUND((INDEX($E890:$G890,BD$5)-SUMIFS(TF_Timer,TF_Tekniker,BD$4,TF_Dato,$A890))*2,0)/2)))</f>
        <v/>
      </c>
      <c r="BE890">
        <f>IF(OR(BE$4="",$A890&gt;TODAY()),0,IF(OR(INDEX($B890:$D890,BE$5)="F",AND(BE$6&gt;0,$A890&lt;BE$6),AND(BE$7&gt;0,$A890&gt;BE$7)),0,MAX(0,ROUND((INDEX($E890:$G890,BE$5)-SUMIFS(TF_Timer,TF_Tekniker,BE$4,TF_Dato,$A890))*2,0)/2)))</f>
        <v/>
      </c>
      <c r="BF890">
        <f>IF(OR(BF$4="",$A890&gt;TODAY()),0,IF(OR(INDEX($B890:$D890,BF$5)="F",AND(BF$6&gt;0,$A890&lt;BF$6),AND(BF$7&gt;0,$A890&gt;BF$7)),0,MAX(0,ROUND((INDEX($E890:$G890,BF$5)-SUMIFS(TF_Timer,TF_Tekniker,BF$4,TF_Dato,$A890))*2,0)/2)))</f>
        <v/>
      </c>
      <c r="BG890">
        <f>IF(OR(BG$4="",$A890&gt;TODAY()),0,IF(OR(INDEX($B890:$D890,BG$5)="F",AND(BG$6&gt;0,$A890&lt;BG$6),AND(BG$7&gt;0,$A890&gt;BG$7)),0,MAX(0,ROUND((INDEX($E890:$G890,BG$5)-SUMIFS(TF_Timer,TF_Tekniker,BG$4,TF_Dato,$A890))*2,0)/2)))</f>
        <v/>
      </c>
      <c r="BH890">
        <f>IF(OR(BH$4="",$A890&gt;TODAY()),0,IF(OR(INDEX($B890:$D890,BH$5)="F",AND(BH$6&gt;0,$A890&lt;BH$6),AND(BH$7&gt;0,$A890&gt;BH$7)),0,MAX(0,ROUND((INDEX($E890:$G890,BH$5)-SUMIFS(TF_Timer,TF_Tekniker,BH$4,TF_Dato,$A890))*2,0)/2)))</f>
        <v/>
      </c>
      <c r="BI890">
        <f>IF(OR(BI$4="",$A890&gt;TODAY()),0,IF(OR(INDEX($B890:$D890,BI$5)="F",AND(BI$6&gt;0,$A890&lt;BI$6),AND(BI$7&gt;0,$A890&gt;BI$7)),0,MAX(0,ROUND((INDEX($E890:$G890,BI$5)-SUMIFS(TF_Timer,TF_Tekniker,BI$4,TF_Dato,$A890))*2,0)/2)))</f>
        <v/>
      </c>
    </row>
    <row r="891">
      <c r="A891" s="64">
        <f>A890+1</f>
        <v/>
      </c>
      <c r="B891">
        <f>IF(MOD($A891-INDEX(SkiftStart,1),Syklus)&lt;DagK,"K",IF(MOD($A891-INDEX(SkiftStart,1),Syklus)&lt;DagK+DagH,"H",IF(MOD($A891-INDEX(SkiftStart,1),Syklus)&lt;DagK+DagH+DagD,"D","F")))</f>
        <v/>
      </c>
      <c r="C891">
        <f>IF(MOD($A891-INDEX(SkiftStart,2),Syklus)&lt;DagK,"K",IF(MOD($A891-INDEX(SkiftStart,2),Syklus)&lt;DagK+DagH,"H",IF(MOD($A891-INDEX(SkiftStart,2),Syklus)&lt;DagK+DagH+DagD,"D","F")))</f>
        <v/>
      </c>
      <c r="D891">
        <f>IF(MOD($A891-INDEX(SkiftStart,3),Syklus)&lt;DagK,"K",IF(MOD($A891-INDEX(SkiftStart,3),Syklus)&lt;DagK+DagH,"H",IF(MOD($A891-INDEX(SkiftStart,3),Syklus)&lt;DagK+DagH+DagD,"D","F")))</f>
        <v/>
      </c>
      <c r="E891">
        <f>IF(B891="F",0,IF(WEEKDAY($A891,2)=5,INDEX(TimerFr,MATCH(B891,FaseKode,0)),INDEX(TimerMT,MATCH(B891,FaseKode,0))))</f>
        <v/>
      </c>
      <c r="F891">
        <f>IF(C891="F",0,IF(WEEKDAY($A891,2)=5,INDEX(TimerFr,MATCH(C891,FaseKode,0)),INDEX(TimerMT,MATCH(C891,FaseKode,0))))</f>
        <v/>
      </c>
      <c r="G891">
        <f>IF(D891="F",0,IF(WEEKDAY($A891,2)=5,INDEX(TimerFr,MATCH(D891,FaseKode,0)),INDEX(TimerMT,MATCH(D891,FaseKode,0))))</f>
        <v/>
      </c>
      <c r="H891">
        <f>IF(OR(H$4="",$A891&gt;TODAY()),0,IF(OR(INDEX($B891:$D891,H$5)="F",AND(H$6&gt;0,$A891&lt;H$6),AND(H$7&gt;0,$A891&gt;H$7)),0,MAX(0,ROUND((INDEX($E891:$G891,H$5)-SUMIFS(TF_Timer,TF_Tekniker,H$4,TF_Dato,$A891))*2,0)/2)))</f>
        <v/>
      </c>
      <c r="I891">
        <f>IF(OR(I$4="",$A891&gt;TODAY()),0,IF(OR(INDEX($B891:$D891,I$5)="F",AND(I$6&gt;0,$A891&lt;I$6),AND(I$7&gt;0,$A891&gt;I$7)),0,MAX(0,ROUND((INDEX($E891:$G891,I$5)-SUMIFS(TF_Timer,TF_Tekniker,I$4,TF_Dato,$A891))*2,0)/2)))</f>
        <v/>
      </c>
      <c r="J891">
        <f>IF(OR(J$4="",$A891&gt;TODAY()),0,IF(OR(INDEX($B891:$D891,J$5)="F",AND(J$6&gt;0,$A891&lt;J$6),AND(J$7&gt;0,$A891&gt;J$7)),0,MAX(0,ROUND((INDEX($E891:$G891,J$5)-SUMIFS(TF_Timer,TF_Tekniker,J$4,TF_Dato,$A891))*2,0)/2)))</f>
        <v/>
      </c>
      <c r="K891">
        <f>IF(OR(K$4="",$A891&gt;TODAY()),0,IF(OR(INDEX($B891:$D891,K$5)="F",AND(K$6&gt;0,$A891&lt;K$6),AND(K$7&gt;0,$A891&gt;K$7)),0,MAX(0,ROUND((INDEX($E891:$G891,K$5)-SUMIFS(TF_Timer,TF_Tekniker,K$4,TF_Dato,$A891))*2,0)/2)))</f>
        <v/>
      </c>
      <c r="L891">
        <f>IF(OR(L$4="",$A891&gt;TODAY()),0,IF(OR(INDEX($B891:$D891,L$5)="F",AND(L$6&gt;0,$A891&lt;L$6),AND(L$7&gt;0,$A891&gt;L$7)),0,MAX(0,ROUND((INDEX($E891:$G891,L$5)-SUMIFS(TF_Timer,TF_Tekniker,L$4,TF_Dato,$A891))*2,0)/2)))</f>
        <v/>
      </c>
      <c r="M891">
        <f>IF(OR(M$4="",$A891&gt;TODAY()),0,IF(OR(INDEX($B891:$D891,M$5)="F",AND(M$6&gt;0,$A891&lt;M$6),AND(M$7&gt;0,$A891&gt;M$7)),0,MAX(0,ROUND((INDEX($E891:$G891,M$5)-SUMIFS(TF_Timer,TF_Tekniker,M$4,TF_Dato,$A891))*2,0)/2)))</f>
        <v/>
      </c>
      <c r="N891">
        <f>IF(OR(N$4="",$A891&gt;TODAY()),0,IF(OR(INDEX($B891:$D891,N$5)="F",AND(N$6&gt;0,$A891&lt;N$6),AND(N$7&gt;0,$A891&gt;N$7)),0,MAX(0,ROUND((INDEX($E891:$G891,N$5)-SUMIFS(TF_Timer,TF_Tekniker,N$4,TF_Dato,$A891))*2,0)/2)))</f>
        <v/>
      </c>
      <c r="O891">
        <f>IF(OR(O$4="",$A891&gt;TODAY()),0,IF(OR(INDEX($B891:$D891,O$5)="F",AND(O$6&gt;0,$A891&lt;O$6),AND(O$7&gt;0,$A891&gt;O$7)),0,MAX(0,ROUND((INDEX($E891:$G891,O$5)-SUMIFS(TF_Timer,TF_Tekniker,O$4,TF_Dato,$A891))*2,0)/2)))</f>
        <v/>
      </c>
      <c r="P891">
        <f>IF(OR(P$4="",$A891&gt;TODAY()),0,IF(OR(INDEX($B891:$D891,P$5)="F",AND(P$6&gt;0,$A891&lt;P$6),AND(P$7&gt;0,$A891&gt;P$7)),0,MAX(0,ROUND((INDEX($E891:$G891,P$5)-SUMIFS(TF_Timer,TF_Tekniker,P$4,TF_Dato,$A891))*2,0)/2)))</f>
        <v/>
      </c>
      <c r="Q891">
        <f>IF(OR(Q$4="",$A891&gt;TODAY()),0,IF(OR(INDEX($B891:$D891,Q$5)="F",AND(Q$6&gt;0,$A891&lt;Q$6),AND(Q$7&gt;0,$A891&gt;Q$7)),0,MAX(0,ROUND((INDEX($E891:$G891,Q$5)-SUMIFS(TF_Timer,TF_Tekniker,Q$4,TF_Dato,$A891))*2,0)/2)))</f>
        <v/>
      </c>
      <c r="R891">
        <f>IF(OR(R$4="",$A891&gt;TODAY()),0,IF(OR(INDEX($B891:$D891,R$5)="F",AND(R$6&gt;0,$A891&lt;R$6),AND(R$7&gt;0,$A891&gt;R$7)),0,MAX(0,ROUND((INDEX($E891:$G891,R$5)-SUMIFS(TF_Timer,TF_Tekniker,R$4,TF_Dato,$A891))*2,0)/2)))</f>
        <v/>
      </c>
      <c r="S891">
        <f>IF(OR(S$4="",$A891&gt;TODAY()),0,IF(OR(INDEX($B891:$D891,S$5)="F",AND(S$6&gt;0,$A891&lt;S$6),AND(S$7&gt;0,$A891&gt;S$7)),0,MAX(0,ROUND((INDEX($E891:$G891,S$5)-SUMIFS(TF_Timer,TF_Tekniker,S$4,TF_Dato,$A891))*2,0)/2)))</f>
        <v/>
      </c>
      <c r="T891">
        <f>IF(OR(T$4="",$A891&gt;TODAY()),0,IF(OR(INDEX($B891:$D891,T$5)="F",AND(T$6&gt;0,$A891&lt;T$6),AND(T$7&gt;0,$A891&gt;T$7)),0,MAX(0,ROUND((INDEX($E891:$G891,T$5)-SUMIFS(TF_Timer,TF_Tekniker,T$4,TF_Dato,$A891))*2,0)/2)))</f>
        <v/>
      </c>
      <c r="U891">
        <f>IF(OR(U$4="",$A891&gt;TODAY()),0,IF(OR(INDEX($B891:$D891,U$5)="F",AND(U$6&gt;0,$A891&lt;U$6),AND(U$7&gt;0,$A891&gt;U$7)),0,MAX(0,ROUND((INDEX($E891:$G891,U$5)-SUMIFS(TF_Timer,TF_Tekniker,U$4,TF_Dato,$A891))*2,0)/2)))</f>
        <v/>
      </c>
      <c r="V891">
        <f>IF(OR(V$4="",$A891&gt;TODAY()),0,IF(OR(INDEX($B891:$D891,V$5)="F",AND(V$6&gt;0,$A891&lt;V$6),AND(V$7&gt;0,$A891&gt;V$7)),0,MAX(0,ROUND((INDEX($E891:$G891,V$5)-SUMIFS(TF_Timer,TF_Tekniker,V$4,TF_Dato,$A891))*2,0)/2)))</f>
        <v/>
      </c>
      <c r="W891">
        <f>IF(OR(W$4="",$A891&gt;TODAY()),0,IF(OR(INDEX($B891:$D891,W$5)="F",AND(W$6&gt;0,$A891&lt;W$6),AND(W$7&gt;0,$A891&gt;W$7)),0,MAX(0,ROUND((INDEX($E891:$G891,W$5)-SUMIFS(TF_Timer,TF_Tekniker,W$4,TF_Dato,$A891))*2,0)/2)))</f>
        <v/>
      </c>
      <c r="X891">
        <f>IF(OR(X$4="",$A891&gt;TODAY()),0,IF(OR(INDEX($B891:$D891,X$5)="F",AND(X$6&gt;0,$A891&lt;X$6),AND(X$7&gt;0,$A891&gt;X$7)),0,MAX(0,ROUND((INDEX($E891:$G891,X$5)-SUMIFS(TF_Timer,TF_Tekniker,X$4,TF_Dato,$A891))*2,0)/2)))</f>
        <v/>
      </c>
      <c r="Y891">
        <f>IF(OR(Y$4="",$A891&gt;TODAY()),0,IF(OR(INDEX($B891:$D891,Y$5)="F",AND(Y$6&gt;0,$A891&lt;Y$6),AND(Y$7&gt;0,$A891&gt;Y$7)),0,MAX(0,ROUND((INDEX($E891:$G891,Y$5)-SUMIFS(TF_Timer,TF_Tekniker,Y$4,TF_Dato,$A891))*2,0)/2)))</f>
        <v/>
      </c>
      <c r="Z891">
        <f>IF(OR(Z$4="",$A891&gt;TODAY()),0,IF(OR(INDEX($B891:$D891,Z$5)="F",AND(Z$6&gt;0,$A891&lt;Z$6),AND(Z$7&gt;0,$A891&gt;Z$7)),0,MAX(0,ROUND((INDEX($E891:$G891,Z$5)-SUMIFS(TF_Timer,TF_Tekniker,Z$4,TF_Dato,$A891))*2,0)/2)))</f>
        <v/>
      </c>
      <c r="AA891">
        <f>IF(OR(AA$4="",$A891&gt;TODAY()),0,IF(OR(INDEX($B891:$D891,AA$5)="F",AND(AA$6&gt;0,$A891&lt;AA$6),AND(AA$7&gt;0,$A891&gt;AA$7)),0,MAX(0,ROUND((INDEX($E891:$G891,AA$5)-SUMIFS(TF_Timer,TF_Tekniker,AA$4,TF_Dato,$A891))*2,0)/2)))</f>
        <v/>
      </c>
      <c r="AB891">
        <f>IF(OR(AB$4="",$A891&gt;TODAY()),0,IF(OR(INDEX($B891:$D891,AB$5)="F",AND(AB$6&gt;0,$A891&lt;AB$6),AND(AB$7&gt;0,$A891&gt;AB$7)),0,MAX(0,ROUND((INDEX($E891:$G891,AB$5)-SUMIFS(TF_Timer,TF_Tekniker,AB$4,TF_Dato,$A891))*2,0)/2)))</f>
        <v/>
      </c>
      <c r="AC891">
        <f>IF(OR(AC$4="",$A891&gt;TODAY()),0,IF(OR(INDEX($B891:$D891,AC$5)="F",AND(AC$6&gt;0,$A891&lt;AC$6),AND(AC$7&gt;0,$A891&gt;AC$7)),0,MAX(0,ROUND((INDEX($E891:$G891,AC$5)-SUMIFS(TF_Timer,TF_Tekniker,AC$4,TF_Dato,$A891))*2,0)/2)))</f>
        <v/>
      </c>
      <c r="AD891">
        <f>IF(OR(AD$4="",$A891&gt;TODAY()),0,IF(OR(INDEX($B891:$D891,AD$5)="F",AND(AD$6&gt;0,$A891&lt;AD$6),AND(AD$7&gt;0,$A891&gt;AD$7)),0,MAX(0,ROUND((INDEX($E891:$G891,AD$5)-SUMIFS(TF_Timer,TF_Tekniker,AD$4,TF_Dato,$A891))*2,0)/2)))</f>
        <v/>
      </c>
      <c r="AE891">
        <f>IF(OR(AE$4="",$A891&gt;TODAY()),0,IF(OR(INDEX($B891:$D891,AE$5)="F",AND(AE$6&gt;0,$A891&lt;AE$6),AND(AE$7&gt;0,$A891&gt;AE$7)),0,MAX(0,ROUND((INDEX($E891:$G891,AE$5)-SUMIFS(TF_Timer,TF_Tekniker,AE$4,TF_Dato,$A891))*2,0)/2)))</f>
        <v/>
      </c>
      <c r="AF891">
        <f>IF(OR(AF$4="",$A891&gt;TODAY()),0,IF(OR(INDEX($B891:$D891,AF$5)="F",AND(AF$6&gt;0,$A891&lt;AF$6),AND(AF$7&gt;0,$A891&gt;AF$7)),0,MAX(0,ROUND((INDEX($E891:$G891,AF$5)-SUMIFS(TF_Timer,TF_Tekniker,AF$4,TF_Dato,$A891))*2,0)/2)))</f>
        <v/>
      </c>
      <c r="AG891">
        <f>IF(OR(AG$4="",$A891&gt;TODAY()),0,IF(OR(INDEX($B891:$D891,AG$5)="F",AND(AG$6&gt;0,$A891&lt;AG$6),AND(AG$7&gt;0,$A891&gt;AG$7)),0,MAX(0,ROUND((INDEX($E891:$G891,AG$5)-SUMIFS(TF_Timer,TF_Tekniker,AG$4,TF_Dato,$A891))*2,0)/2)))</f>
        <v/>
      </c>
      <c r="AH891">
        <f>IF(OR(AH$4="",$A891&gt;TODAY()),0,IF(OR(INDEX($B891:$D891,AH$5)="F",AND(AH$6&gt;0,$A891&lt;AH$6),AND(AH$7&gt;0,$A891&gt;AH$7)),0,MAX(0,ROUND((INDEX($E891:$G891,AH$5)-SUMIFS(TF_Timer,TF_Tekniker,AH$4,TF_Dato,$A891))*2,0)/2)))</f>
        <v/>
      </c>
      <c r="AI891">
        <f>IF(OR(AI$4="",$A891&gt;TODAY()),0,IF(OR(INDEX($B891:$D891,AI$5)="F",AND(AI$6&gt;0,$A891&lt;AI$6),AND(AI$7&gt;0,$A891&gt;AI$7)),0,MAX(0,ROUND((INDEX($E891:$G891,AI$5)-SUMIFS(TF_Timer,TF_Tekniker,AI$4,TF_Dato,$A891))*2,0)/2)))</f>
        <v/>
      </c>
      <c r="AJ891">
        <f>IF(OR(AJ$4="",$A891&gt;TODAY()),0,IF(OR(INDEX($B891:$D891,AJ$5)="F",AND(AJ$6&gt;0,$A891&lt;AJ$6),AND(AJ$7&gt;0,$A891&gt;AJ$7)),0,MAX(0,ROUND((INDEX($E891:$G891,AJ$5)-SUMIFS(TF_Timer,TF_Tekniker,AJ$4,TF_Dato,$A891))*2,0)/2)))</f>
        <v/>
      </c>
      <c r="AK891">
        <f>IF(OR(AK$4="",$A891&gt;TODAY()),0,IF(OR(INDEX($B891:$D891,AK$5)="F",AND(AK$6&gt;0,$A891&lt;AK$6),AND(AK$7&gt;0,$A891&gt;AK$7)),0,MAX(0,ROUND((INDEX($E891:$G891,AK$5)-SUMIFS(TF_Timer,TF_Tekniker,AK$4,TF_Dato,$A891))*2,0)/2)))</f>
        <v/>
      </c>
      <c r="AL891">
        <f>IF(OR(AL$4="",$A891&gt;TODAY()),0,IF(OR(INDEX($B891:$D891,AL$5)="F",AND(AL$6&gt;0,$A891&lt;AL$6),AND(AL$7&gt;0,$A891&gt;AL$7)),0,MAX(0,ROUND((INDEX($E891:$G891,AL$5)-SUMIFS(TF_Timer,TF_Tekniker,AL$4,TF_Dato,$A891))*2,0)/2)))</f>
        <v/>
      </c>
      <c r="AM891">
        <f>IF(OR(AM$4="",$A891&gt;TODAY()),0,IF(OR(INDEX($B891:$D891,AM$5)="F",AND(AM$6&gt;0,$A891&lt;AM$6),AND(AM$7&gt;0,$A891&gt;AM$7)),0,MAX(0,ROUND((INDEX($E891:$G891,AM$5)-SUMIFS(TF_Timer,TF_Tekniker,AM$4,TF_Dato,$A891))*2,0)/2)))</f>
        <v/>
      </c>
      <c r="AN891">
        <f>IF(OR(AN$4="",$A891&gt;TODAY()),0,IF(OR(INDEX($B891:$D891,AN$5)="F",AND(AN$6&gt;0,$A891&lt;AN$6),AND(AN$7&gt;0,$A891&gt;AN$7)),0,MAX(0,ROUND((INDEX($E891:$G891,AN$5)-SUMIFS(TF_Timer,TF_Tekniker,AN$4,TF_Dato,$A891))*2,0)/2)))</f>
        <v/>
      </c>
      <c r="AO891">
        <f>IF(OR(AO$4="",$A891&gt;TODAY()),0,IF(OR(INDEX($B891:$D891,AO$5)="F",AND(AO$6&gt;0,$A891&lt;AO$6),AND(AO$7&gt;0,$A891&gt;AO$7)),0,MAX(0,ROUND((INDEX($E891:$G891,AO$5)-SUMIFS(TF_Timer,TF_Tekniker,AO$4,TF_Dato,$A891))*2,0)/2)))</f>
        <v/>
      </c>
      <c r="AP891">
        <f>IF(OR(AP$4="",$A891&gt;TODAY()),0,IF(OR(INDEX($B891:$D891,AP$5)="F",AND(AP$6&gt;0,$A891&lt;AP$6),AND(AP$7&gt;0,$A891&gt;AP$7)),0,MAX(0,ROUND((INDEX($E891:$G891,AP$5)-SUMIFS(TF_Timer,TF_Tekniker,AP$4,TF_Dato,$A891))*2,0)/2)))</f>
        <v/>
      </c>
      <c r="AQ891">
        <f>IF(OR(AQ$4="",$A891&gt;TODAY()),0,IF(OR(INDEX($B891:$D891,AQ$5)="F",AND(AQ$6&gt;0,$A891&lt;AQ$6),AND(AQ$7&gt;0,$A891&gt;AQ$7)),0,MAX(0,ROUND((INDEX($E891:$G891,AQ$5)-SUMIFS(TF_Timer,TF_Tekniker,AQ$4,TF_Dato,$A891))*2,0)/2)))</f>
        <v/>
      </c>
      <c r="AR891">
        <f>IF(OR(AR$4="",$A891&gt;TODAY()),0,IF(OR(INDEX($B891:$D891,AR$5)="F",AND(AR$6&gt;0,$A891&lt;AR$6),AND(AR$7&gt;0,$A891&gt;AR$7)),0,MAX(0,ROUND((INDEX($E891:$G891,AR$5)-SUMIFS(TF_Timer,TF_Tekniker,AR$4,TF_Dato,$A891))*2,0)/2)))</f>
        <v/>
      </c>
      <c r="AS891">
        <f>IF(OR(AS$4="",$A891&gt;TODAY()),0,IF(OR(INDEX($B891:$D891,AS$5)="F",AND(AS$6&gt;0,$A891&lt;AS$6),AND(AS$7&gt;0,$A891&gt;AS$7)),0,MAX(0,ROUND((INDEX($E891:$G891,AS$5)-SUMIFS(TF_Timer,TF_Tekniker,AS$4,TF_Dato,$A891))*2,0)/2)))</f>
        <v/>
      </c>
      <c r="AT891">
        <f>IF(OR(AT$4="",$A891&gt;TODAY()),0,IF(OR(INDEX($B891:$D891,AT$5)="F",AND(AT$6&gt;0,$A891&lt;AT$6),AND(AT$7&gt;0,$A891&gt;AT$7)),0,MAX(0,ROUND((INDEX($E891:$G891,AT$5)-SUMIFS(TF_Timer,TF_Tekniker,AT$4,TF_Dato,$A891))*2,0)/2)))</f>
        <v/>
      </c>
      <c r="AU891">
        <f>IF(OR(AU$4="",$A891&gt;TODAY()),0,IF(OR(INDEX($B891:$D891,AU$5)="F",AND(AU$6&gt;0,$A891&lt;AU$6),AND(AU$7&gt;0,$A891&gt;AU$7)),0,MAX(0,ROUND((INDEX($E891:$G891,AU$5)-SUMIFS(TF_Timer,TF_Tekniker,AU$4,TF_Dato,$A891))*2,0)/2)))</f>
        <v/>
      </c>
      <c r="AV891">
        <f>IF(OR(AV$4="",$A891&gt;TODAY()),0,IF(OR(INDEX($B891:$D891,AV$5)="F",AND(AV$6&gt;0,$A891&lt;AV$6),AND(AV$7&gt;0,$A891&gt;AV$7)),0,MAX(0,ROUND((INDEX($E891:$G891,AV$5)-SUMIFS(TF_Timer,TF_Tekniker,AV$4,TF_Dato,$A891))*2,0)/2)))</f>
        <v/>
      </c>
      <c r="AW891">
        <f>IF(OR(AW$4="",$A891&gt;TODAY()),0,IF(OR(INDEX($B891:$D891,AW$5)="F",AND(AW$6&gt;0,$A891&lt;AW$6),AND(AW$7&gt;0,$A891&gt;AW$7)),0,MAX(0,ROUND((INDEX($E891:$G891,AW$5)-SUMIFS(TF_Timer,TF_Tekniker,AW$4,TF_Dato,$A891))*2,0)/2)))</f>
        <v/>
      </c>
      <c r="AX891">
        <f>IF(OR(AX$4="",$A891&gt;TODAY()),0,IF(OR(INDEX($B891:$D891,AX$5)="F",AND(AX$6&gt;0,$A891&lt;AX$6),AND(AX$7&gt;0,$A891&gt;AX$7)),0,MAX(0,ROUND((INDEX($E891:$G891,AX$5)-SUMIFS(TF_Timer,TF_Tekniker,AX$4,TF_Dato,$A891))*2,0)/2)))</f>
        <v/>
      </c>
      <c r="AY891">
        <f>IF(OR(AY$4="",$A891&gt;TODAY()),0,IF(OR(INDEX($B891:$D891,AY$5)="F",AND(AY$6&gt;0,$A891&lt;AY$6),AND(AY$7&gt;0,$A891&gt;AY$7)),0,MAX(0,ROUND((INDEX($E891:$G891,AY$5)-SUMIFS(TF_Timer,TF_Tekniker,AY$4,TF_Dato,$A891))*2,0)/2)))</f>
        <v/>
      </c>
      <c r="AZ891">
        <f>IF(OR(AZ$4="",$A891&gt;TODAY()),0,IF(OR(INDEX($B891:$D891,AZ$5)="F",AND(AZ$6&gt;0,$A891&lt;AZ$6),AND(AZ$7&gt;0,$A891&gt;AZ$7)),0,MAX(0,ROUND((INDEX($E891:$G891,AZ$5)-SUMIFS(TF_Timer,TF_Tekniker,AZ$4,TF_Dato,$A891))*2,0)/2)))</f>
        <v/>
      </c>
      <c r="BA891">
        <f>IF(OR(BA$4="",$A891&gt;TODAY()),0,IF(OR(INDEX($B891:$D891,BA$5)="F",AND(BA$6&gt;0,$A891&lt;BA$6),AND(BA$7&gt;0,$A891&gt;BA$7)),0,MAX(0,ROUND((INDEX($E891:$G891,BA$5)-SUMIFS(TF_Timer,TF_Tekniker,BA$4,TF_Dato,$A891))*2,0)/2)))</f>
        <v/>
      </c>
      <c r="BB891">
        <f>IF(OR(BB$4="",$A891&gt;TODAY()),0,IF(OR(INDEX($B891:$D891,BB$5)="F",AND(BB$6&gt;0,$A891&lt;BB$6),AND(BB$7&gt;0,$A891&gt;BB$7)),0,MAX(0,ROUND((INDEX($E891:$G891,BB$5)-SUMIFS(TF_Timer,TF_Tekniker,BB$4,TF_Dato,$A891))*2,0)/2)))</f>
        <v/>
      </c>
      <c r="BC891">
        <f>IF(OR(BC$4="",$A891&gt;TODAY()),0,IF(OR(INDEX($B891:$D891,BC$5)="F",AND(BC$6&gt;0,$A891&lt;BC$6),AND(BC$7&gt;0,$A891&gt;BC$7)),0,MAX(0,ROUND((INDEX($E891:$G891,BC$5)-SUMIFS(TF_Timer,TF_Tekniker,BC$4,TF_Dato,$A891))*2,0)/2)))</f>
        <v/>
      </c>
      <c r="BD891">
        <f>IF(OR(BD$4="",$A891&gt;TODAY()),0,IF(OR(INDEX($B891:$D891,BD$5)="F",AND(BD$6&gt;0,$A891&lt;BD$6),AND(BD$7&gt;0,$A891&gt;BD$7)),0,MAX(0,ROUND((INDEX($E891:$G891,BD$5)-SUMIFS(TF_Timer,TF_Tekniker,BD$4,TF_Dato,$A891))*2,0)/2)))</f>
        <v/>
      </c>
      <c r="BE891">
        <f>IF(OR(BE$4="",$A891&gt;TODAY()),0,IF(OR(INDEX($B891:$D891,BE$5)="F",AND(BE$6&gt;0,$A891&lt;BE$6),AND(BE$7&gt;0,$A891&gt;BE$7)),0,MAX(0,ROUND((INDEX($E891:$G891,BE$5)-SUMIFS(TF_Timer,TF_Tekniker,BE$4,TF_Dato,$A891))*2,0)/2)))</f>
        <v/>
      </c>
      <c r="BF891">
        <f>IF(OR(BF$4="",$A891&gt;TODAY()),0,IF(OR(INDEX($B891:$D891,BF$5)="F",AND(BF$6&gt;0,$A891&lt;BF$6),AND(BF$7&gt;0,$A891&gt;BF$7)),0,MAX(0,ROUND((INDEX($E891:$G891,BF$5)-SUMIFS(TF_Timer,TF_Tekniker,BF$4,TF_Dato,$A891))*2,0)/2)))</f>
        <v/>
      </c>
      <c r="BG891">
        <f>IF(OR(BG$4="",$A891&gt;TODAY()),0,IF(OR(INDEX($B891:$D891,BG$5)="F",AND(BG$6&gt;0,$A891&lt;BG$6),AND(BG$7&gt;0,$A891&gt;BG$7)),0,MAX(0,ROUND((INDEX($E891:$G891,BG$5)-SUMIFS(TF_Timer,TF_Tekniker,BG$4,TF_Dato,$A891))*2,0)/2)))</f>
        <v/>
      </c>
      <c r="BH891">
        <f>IF(OR(BH$4="",$A891&gt;TODAY()),0,IF(OR(INDEX($B891:$D891,BH$5)="F",AND(BH$6&gt;0,$A891&lt;BH$6),AND(BH$7&gt;0,$A891&gt;BH$7)),0,MAX(0,ROUND((INDEX($E891:$G891,BH$5)-SUMIFS(TF_Timer,TF_Tekniker,BH$4,TF_Dato,$A891))*2,0)/2)))</f>
        <v/>
      </c>
      <c r="BI891">
        <f>IF(OR(BI$4="",$A891&gt;TODAY()),0,IF(OR(INDEX($B891:$D891,BI$5)="F",AND(BI$6&gt;0,$A891&lt;BI$6),AND(BI$7&gt;0,$A891&gt;BI$7)),0,MAX(0,ROUND((INDEX($E891:$G891,BI$5)-SUMIFS(TF_Timer,TF_Tekniker,BI$4,TF_Dato,$A891))*2,0)/2)))</f>
        <v/>
      </c>
    </row>
    <row r="892">
      <c r="A892" s="64">
        <f>A891+1</f>
        <v/>
      </c>
      <c r="B892">
        <f>IF(MOD($A892-INDEX(SkiftStart,1),Syklus)&lt;DagK,"K",IF(MOD($A892-INDEX(SkiftStart,1),Syklus)&lt;DagK+DagH,"H",IF(MOD($A892-INDEX(SkiftStart,1),Syklus)&lt;DagK+DagH+DagD,"D","F")))</f>
        <v/>
      </c>
      <c r="C892">
        <f>IF(MOD($A892-INDEX(SkiftStart,2),Syklus)&lt;DagK,"K",IF(MOD($A892-INDEX(SkiftStart,2),Syklus)&lt;DagK+DagH,"H",IF(MOD($A892-INDEX(SkiftStart,2),Syklus)&lt;DagK+DagH+DagD,"D","F")))</f>
        <v/>
      </c>
      <c r="D892">
        <f>IF(MOD($A892-INDEX(SkiftStart,3),Syklus)&lt;DagK,"K",IF(MOD($A892-INDEX(SkiftStart,3),Syklus)&lt;DagK+DagH,"H",IF(MOD($A892-INDEX(SkiftStart,3),Syklus)&lt;DagK+DagH+DagD,"D","F")))</f>
        <v/>
      </c>
      <c r="E892">
        <f>IF(B892="F",0,IF(WEEKDAY($A892,2)=5,INDEX(TimerFr,MATCH(B892,FaseKode,0)),INDEX(TimerMT,MATCH(B892,FaseKode,0))))</f>
        <v/>
      </c>
      <c r="F892">
        <f>IF(C892="F",0,IF(WEEKDAY($A892,2)=5,INDEX(TimerFr,MATCH(C892,FaseKode,0)),INDEX(TimerMT,MATCH(C892,FaseKode,0))))</f>
        <v/>
      </c>
      <c r="G892">
        <f>IF(D892="F",0,IF(WEEKDAY($A892,2)=5,INDEX(TimerFr,MATCH(D892,FaseKode,0)),INDEX(TimerMT,MATCH(D892,FaseKode,0))))</f>
        <v/>
      </c>
      <c r="H892">
        <f>IF(OR(H$4="",$A892&gt;TODAY()),0,IF(OR(INDEX($B892:$D892,H$5)="F",AND(H$6&gt;0,$A892&lt;H$6),AND(H$7&gt;0,$A892&gt;H$7)),0,MAX(0,ROUND((INDEX($E892:$G892,H$5)-SUMIFS(TF_Timer,TF_Tekniker,H$4,TF_Dato,$A892))*2,0)/2)))</f>
        <v/>
      </c>
      <c r="I892">
        <f>IF(OR(I$4="",$A892&gt;TODAY()),0,IF(OR(INDEX($B892:$D892,I$5)="F",AND(I$6&gt;0,$A892&lt;I$6),AND(I$7&gt;0,$A892&gt;I$7)),0,MAX(0,ROUND((INDEX($E892:$G892,I$5)-SUMIFS(TF_Timer,TF_Tekniker,I$4,TF_Dato,$A892))*2,0)/2)))</f>
        <v/>
      </c>
      <c r="J892">
        <f>IF(OR(J$4="",$A892&gt;TODAY()),0,IF(OR(INDEX($B892:$D892,J$5)="F",AND(J$6&gt;0,$A892&lt;J$6),AND(J$7&gt;0,$A892&gt;J$7)),0,MAX(0,ROUND((INDEX($E892:$G892,J$5)-SUMIFS(TF_Timer,TF_Tekniker,J$4,TF_Dato,$A892))*2,0)/2)))</f>
        <v/>
      </c>
      <c r="K892">
        <f>IF(OR(K$4="",$A892&gt;TODAY()),0,IF(OR(INDEX($B892:$D892,K$5)="F",AND(K$6&gt;0,$A892&lt;K$6),AND(K$7&gt;0,$A892&gt;K$7)),0,MAX(0,ROUND((INDEX($E892:$G892,K$5)-SUMIFS(TF_Timer,TF_Tekniker,K$4,TF_Dato,$A892))*2,0)/2)))</f>
        <v/>
      </c>
      <c r="L892">
        <f>IF(OR(L$4="",$A892&gt;TODAY()),0,IF(OR(INDEX($B892:$D892,L$5)="F",AND(L$6&gt;0,$A892&lt;L$6),AND(L$7&gt;0,$A892&gt;L$7)),0,MAX(0,ROUND((INDEX($E892:$G892,L$5)-SUMIFS(TF_Timer,TF_Tekniker,L$4,TF_Dato,$A892))*2,0)/2)))</f>
        <v/>
      </c>
      <c r="M892">
        <f>IF(OR(M$4="",$A892&gt;TODAY()),0,IF(OR(INDEX($B892:$D892,M$5)="F",AND(M$6&gt;0,$A892&lt;M$6),AND(M$7&gt;0,$A892&gt;M$7)),0,MAX(0,ROUND((INDEX($E892:$G892,M$5)-SUMIFS(TF_Timer,TF_Tekniker,M$4,TF_Dato,$A892))*2,0)/2)))</f>
        <v/>
      </c>
      <c r="N892">
        <f>IF(OR(N$4="",$A892&gt;TODAY()),0,IF(OR(INDEX($B892:$D892,N$5)="F",AND(N$6&gt;0,$A892&lt;N$6),AND(N$7&gt;0,$A892&gt;N$7)),0,MAX(0,ROUND((INDEX($E892:$G892,N$5)-SUMIFS(TF_Timer,TF_Tekniker,N$4,TF_Dato,$A892))*2,0)/2)))</f>
        <v/>
      </c>
      <c r="O892">
        <f>IF(OR(O$4="",$A892&gt;TODAY()),0,IF(OR(INDEX($B892:$D892,O$5)="F",AND(O$6&gt;0,$A892&lt;O$6),AND(O$7&gt;0,$A892&gt;O$7)),0,MAX(0,ROUND((INDEX($E892:$G892,O$5)-SUMIFS(TF_Timer,TF_Tekniker,O$4,TF_Dato,$A892))*2,0)/2)))</f>
        <v/>
      </c>
      <c r="P892">
        <f>IF(OR(P$4="",$A892&gt;TODAY()),0,IF(OR(INDEX($B892:$D892,P$5)="F",AND(P$6&gt;0,$A892&lt;P$6),AND(P$7&gt;0,$A892&gt;P$7)),0,MAX(0,ROUND((INDEX($E892:$G892,P$5)-SUMIFS(TF_Timer,TF_Tekniker,P$4,TF_Dato,$A892))*2,0)/2)))</f>
        <v/>
      </c>
      <c r="Q892">
        <f>IF(OR(Q$4="",$A892&gt;TODAY()),0,IF(OR(INDEX($B892:$D892,Q$5)="F",AND(Q$6&gt;0,$A892&lt;Q$6),AND(Q$7&gt;0,$A892&gt;Q$7)),0,MAX(0,ROUND((INDEX($E892:$G892,Q$5)-SUMIFS(TF_Timer,TF_Tekniker,Q$4,TF_Dato,$A892))*2,0)/2)))</f>
        <v/>
      </c>
      <c r="R892">
        <f>IF(OR(R$4="",$A892&gt;TODAY()),0,IF(OR(INDEX($B892:$D892,R$5)="F",AND(R$6&gt;0,$A892&lt;R$6),AND(R$7&gt;0,$A892&gt;R$7)),0,MAX(0,ROUND((INDEX($E892:$G892,R$5)-SUMIFS(TF_Timer,TF_Tekniker,R$4,TF_Dato,$A892))*2,0)/2)))</f>
        <v/>
      </c>
      <c r="S892">
        <f>IF(OR(S$4="",$A892&gt;TODAY()),0,IF(OR(INDEX($B892:$D892,S$5)="F",AND(S$6&gt;0,$A892&lt;S$6),AND(S$7&gt;0,$A892&gt;S$7)),0,MAX(0,ROUND((INDEX($E892:$G892,S$5)-SUMIFS(TF_Timer,TF_Tekniker,S$4,TF_Dato,$A892))*2,0)/2)))</f>
        <v/>
      </c>
      <c r="T892">
        <f>IF(OR(T$4="",$A892&gt;TODAY()),0,IF(OR(INDEX($B892:$D892,T$5)="F",AND(T$6&gt;0,$A892&lt;T$6),AND(T$7&gt;0,$A892&gt;T$7)),0,MAX(0,ROUND((INDEX($E892:$G892,T$5)-SUMIFS(TF_Timer,TF_Tekniker,T$4,TF_Dato,$A892))*2,0)/2)))</f>
        <v/>
      </c>
      <c r="U892">
        <f>IF(OR(U$4="",$A892&gt;TODAY()),0,IF(OR(INDEX($B892:$D892,U$5)="F",AND(U$6&gt;0,$A892&lt;U$6),AND(U$7&gt;0,$A892&gt;U$7)),0,MAX(0,ROUND((INDEX($E892:$G892,U$5)-SUMIFS(TF_Timer,TF_Tekniker,U$4,TF_Dato,$A892))*2,0)/2)))</f>
        <v/>
      </c>
      <c r="V892">
        <f>IF(OR(V$4="",$A892&gt;TODAY()),0,IF(OR(INDEX($B892:$D892,V$5)="F",AND(V$6&gt;0,$A892&lt;V$6),AND(V$7&gt;0,$A892&gt;V$7)),0,MAX(0,ROUND((INDEX($E892:$G892,V$5)-SUMIFS(TF_Timer,TF_Tekniker,V$4,TF_Dato,$A892))*2,0)/2)))</f>
        <v/>
      </c>
      <c r="W892">
        <f>IF(OR(W$4="",$A892&gt;TODAY()),0,IF(OR(INDEX($B892:$D892,W$5)="F",AND(W$6&gt;0,$A892&lt;W$6),AND(W$7&gt;0,$A892&gt;W$7)),0,MAX(0,ROUND((INDEX($E892:$G892,W$5)-SUMIFS(TF_Timer,TF_Tekniker,W$4,TF_Dato,$A892))*2,0)/2)))</f>
        <v/>
      </c>
      <c r="X892">
        <f>IF(OR(X$4="",$A892&gt;TODAY()),0,IF(OR(INDEX($B892:$D892,X$5)="F",AND(X$6&gt;0,$A892&lt;X$6),AND(X$7&gt;0,$A892&gt;X$7)),0,MAX(0,ROUND((INDEX($E892:$G892,X$5)-SUMIFS(TF_Timer,TF_Tekniker,X$4,TF_Dato,$A892))*2,0)/2)))</f>
        <v/>
      </c>
      <c r="Y892">
        <f>IF(OR(Y$4="",$A892&gt;TODAY()),0,IF(OR(INDEX($B892:$D892,Y$5)="F",AND(Y$6&gt;0,$A892&lt;Y$6),AND(Y$7&gt;0,$A892&gt;Y$7)),0,MAX(0,ROUND((INDEX($E892:$G892,Y$5)-SUMIFS(TF_Timer,TF_Tekniker,Y$4,TF_Dato,$A892))*2,0)/2)))</f>
        <v/>
      </c>
      <c r="Z892">
        <f>IF(OR(Z$4="",$A892&gt;TODAY()),0,IF(OR(INDEX($B892:$D892,Z$5)="F",AND(Z$6&gt;0,$A892&lt;Z$6),AND(Z$7&gt;0,$A892&gt;Z$7)),0,MAX(0,ROUND((INDEX($E892:$G892,Z$5)-SUMIFS(TF_Timer,TF_Tekniker,Z$4,TF_Dato,$A892))*2,0)/2)))</f>
        <v/>
      </c>
      <c r="AA892">
        <f>IF(OR(AA$4="",$A892&gt;TODAY()),0,IF(OR(INDEX($B892:$D892,AA$5)="F",AND(AA$6&gt;0,$A892&lt;AA$6),AND(AA$7&gt;0,$A892&gt;AA$7)),0,MAX(0,ROUND((INDEX($E892:$G892,AA$5)-SUMIFS(TF_Timer,TF_Tekniker,AA$4,TF_Dato,$A892))*2,0)/2)))</f>
        <v/>
      </c>
      <c r="AB892">
        <f>IF(OR(AB$4="",$A892&gt;TODAY()),0,IF(OR(INDEX($B892:$D892,AB$5)="F",AND(AB$6&gt;0,$A892&lt;AB$6),AND(AB$7&gt;0,$A892&gt;AB$7)),0,MAX(0,ROUND((INDEX($E892:$G892,AB$5)-SUMIFS(TF_Timer,TF_Tekniker,AB$4,TF_Dato,$A892))*2,0)/2)))</f>
        <v/>
      </c>
      <c r="AC892">
        <f>IF(OR(AC$4="",$A892&gt;TODAY()),0,IF(OR(INDEX($B892:$D892,AC$5)="F",AND(AC$6&gt;0,$A892&lt;AC$6),AND(AC$7&gt;0,$A892&gt;AC$7)),0,MAX(0,ROUND((INDEX($E892:$G892,AC$5)-SUMIFS(TF_Timer,TF_Tekniker,AC$4,TF_Dato,$A892))*2,0)/2)))</f>
        <v/>
      </c>
      <c r="AD892">
        <f>IF(OR(AD$4="",$A892&gt;TODAY()),0,IF(OR(INDEX($B892:$D892,AD$5)="F",AND(AD$6&gt;0,$A892&lt;AD$6),AND(AD$7&gt;0,$A892&gt;AD$7)),0,MAX(0,ROUND((INDEX($E892:$G892,AD$5)-SUMIFS(TF_Timer,TF_Tekniker,AD$4,TF_Dato,$A892))*2,0)/2)))</f>
        <v/>
      </c>
      <c r="AE892">
        <f>IF(OR(AE$4="",$A892&gt;TODAY()),0,IF(OR(INDEX($B892:$D892,AE$5)="F",AND(AE$6&gt;0,$A892&lt;AE$6),AND(AE$7&gt;0,$A892&gt;AE$7)),0,MAX(0,ROUND((INDEX($E892:$G892,AE$5)-SUMIFS(TF_Timer,TF_Tekniker,AE$4,TF_Dato,$A892))*2,0)/2)))</f>
        <v/>
      </c>
      <c r="AF892">
        <f>IF(OR(AF$4="",$A892&gt;TODAY()),0,IF(OR(INDEX($B892:$D892,AF$5)="F",AND(AF$6&gt;0,$A892&lt;AF$6),AND(AF$7&gt;0,$A892&gt;AF$7)),0,MAX(0,ROUND((INDEX($E892:$G892,AF$5)-SUMIFS(TF_Timer,TF_Tekniker,AF$4,TF_Dato,$A892))*2,0)/2)))</f>
        <v/>
      </c>
      <c r="AG892">
        <f>IF(OR(AG$4="",$A892&gt;TODAY()),0,IF(OR(INDEX($B892:$D892,AG$5)="F",AND(AG$6&gt;0,$A892&lt;AG$6),AND(AG$7&gt;0,$A892&gt;AG$7)),0,MAX(0,ROUND((INDEX($E892:$G892,AG$5)-SUMIFS(TF_Timer,TF_Tekniker,AG$4,TF_Dato,$A892))*2,0)/2)))</f>
        <v/>
      </c>
      <c r="AH892">
        <f>IF(OR(AH$4="",$A892&gt;TODAY()),0,IF(OR(INDEX($B892:$D892,AH$5)="F",AND(AH$6&gt;0,$A892&lt;AH$6),AND(AH$7&gt;0,$A892&gt;AH$7)),0,MAX(0,ROUND((INDEX($E892:$G892,AH$5)-SUMIFS(TF_Timer,TF_Tekniker,AH$4,TF_Dato,$A892))*2,0)/2)))</f>
        <v/>
      </c>
      <c r="AI892">
        <f>IF(OR(AI$4="",$A892&gt;TODAY()),0,IF(OR(INDEX($B892:$D892,AI$5)="F",AND(AI$6&gt;0,$A892&lt;AI$6),AND(AI$7&gt;0,$A892&gt;AI$7)),0,MAX(0,ROUND((INDEX($E892:$G892,AI$5)-SUMIFS(TF_Timer,TF_Tekniker,AI$4,TF_Dato,$A892))*2,0)/2)))</f>
        <v/>
      </c>
      <c r="AJ892">
        <f>IF(OR(AJ$4="",$A892&gt;TODAY()),0,IF(OR(INDEX($B892:$D892,AJ$5)="F",AND(AJ$6&gt;0,$A892&lt;AJ$6),AND(AJ$7&gt;0,$A892&gt;AJ$7)),0,MAX(0,ROUND((INDEX($E892:$G892,AJ$5)-SUMIFS(TF_Timer,TF_Tekniker,AJ$4,TF_Dato,$A892))*2,0)/2)))</f>
        <v/>
      </c>
      <c r="AK892">
        <f>IF(OR(AK$4="",$A892&gt;TODAY()),0,IF(OR(INDEX($B892:$D892,AK$5)="F",AND(AK$6&gt;0,$A892&lt;AK$6),AND(AK$7&gt;0,$A892&gt;AK$7)),0,MAX(0,ROUND((INDEX($E892:$G892,AK$5)-SUMIFS(TF_Timer,TF_Tekniker,AK$4,TF_Dato,$A892))*2,0)/2)))</f>
        <v/>
      </c>
      <c r="AL892">
        <f>IF(OR(AL$4="",$A892&gt;TODAY()),0,IF(OR(INDEX($B892:$D892,AL$5)="F",AND(AL$6&gt;0,$A892&lt;AL$6),AND(AL$7&gt;0,$A892&gt;AL$7)),0,MAX(0,ROUND((INDEX($E892:$G892,AL$5)-SUMIFS(TF_Timer,TF_Tekniker,AL$4,TF_Dato,$A892))*2,0)/2)))</f>
        <v/>
      </c>
      <c r="AM892">
        <f>IF(OR(AM$4="",$A892&gt;TODAY()),0,IF(OR(INDEX($B892:$D892,AM$5)="F",AND(AM$6&gt;0,$A892&lt;AM$6),AND(AM$7&gt;0,$A892&gt;AM$7)),0,MAX(0,ROUND((INDEX($E892:$G892,AM$5)-SUMIFS(TF_Timer,TF_Tekniker,AM$4,TF_Dato,$A892))*2,0)/2)))</f>
        <v/>
      </c>
      <c r="AN892">
        <f>IF(OR(AN$4="",$A892&gt;TODAY()),0,IF(OR(INDEX($B892:$D892,AN$5)="F",AND(AN$6&gt;0,$A892&lt;AN$6),AND(AN$7&gt;0,$A892&gt;AN$7)),0,MAX(0,ROUND((INDEX($E892:$G892,AN$5)-SUMIFS(TF_Timer,TF_Tekniker,AN$4,TF_Dato,$A892))*2,0)/2)))</f>
        <v/>
      </c>
      <c r="AO892">
        <f>IF(OR(AO$4="",$A892&gt;TODAY()),0,IF(OR(INDEX($B892:$D892,AO$5)="F",AND(AO$6&gt;0,$A892&lt;AO$6),AND(AO$7&gt;0,$A892&gt;AO$7)),0,MAX(0,ROUND((INDEX($E892:$G892,AO$5)-SUMIFS(TF_Timer,TF_Tekniker,AO$4,TF_Dato,$A892))*2,0)/2)))</f>
        <v/>
      </c>
      <c r="AP892">
        <f>IF(OR(AP$4="",$A892&gt;TODAY()),0,IF(OR(INDEX($B892:$D892,AP$5)="F",AND(AP$6&gt;0,$A892&lt;AP$6),AND(AP$7&gt;0,$A892&gt;AP$7)),0,MAX(0,ROUND((INDEX($E892:$G892,AP$5)-SUMIFS(TF_Timer,TF_Tekniker,AP$4,TF_Dato,$A892))*2,0)/2)))</f>
        <v/>
      </c>
      <c r="AQ892">
        <f>IF(OR(AQ$4="",$A892&gt;TODAY()),0,IF(OR(INDEX($B892:$D892,AQ$5)="F",AND(AQ$6&gt;0,$A892&lt;AQ$6),AND(AQ$7&gt;0,$A892&gt;AQ$7)),0,MAX(0,ROUND((INDEX($E892:$G892,AQ$5)-SUMIFS(TF_Timer,TF_Tekniker,AQ$4,TF_Dato,$A892))*2,0)/2)))</f>
        <v/>
      </c>
      <c r="AR892">
        <f>IF(OR(AR$4="",$A892&gt;TODAY()),0,IF(OR(INDEX($B892:$D892,AR$5)="F",AND(AR$6&gt;0,$A892&lt;AR$6),AND(AR$7&gt;0,$A892&gt;AR$7)),0,MAX(0,ROUND((INDEX($E892:$G892,AR$5)-SUMIFS(TF_Timer,TF_Tekniker,AR$4,TF_Dato,$A892))*2,0)/2)))</f>
        <v/>
      </c>
      <c r="AS892">
        <f>IF(OR(AS$4="",$A892&gt;TODAY()),0,IF(OR(INDEX($B892:$D892,AS$5)="F",AND(AS$6&gt;0,$A892&lt;AS$6),AND(AS$7&gt;0,$A892&gt;AS$7)),0,MAX(0,ROUND((INDEX($E892:$G892,AS$5)-SUMIFS(TF_Timer,TF_Tekniker,AS$4,TF_Dato,$A892))*2,0)/2)))</f>
        <v/>
      </c>
      <c r="AT892">
        <f>IF(OR(AT$4="",$A892&gt;TODAY()),0,IF(OR(INDEX($B892:$D892,AT$5)="F",AND(AT$6&gt;0,$A892&lt;AT$6),AND(AT$7&gt;0,$A892&gt;AT$7)),0,MAX(0,ROUND((INDEX($E892:$G892,AT$5)-SUMIFS(TF_Timer,TF_Tekniker,AT$4,TF_Dato,$A892))*2,0)/2)))</f>
        <v/>
      </c>
      <c r="AU892">
        <f>IF(OR(AU$4="",$A892&gt;TODAY()),0,IF(OR(INDEX($B892:$D892,AU$5)="F",AND(AU$6&gt;0,$A892&lt;AU$6),AND(AU$7&gt;0,$A892&gt;AU$7)),0,MAX(0,ROUND((INDEX($E892:$G892,AU$5)-SUMIFS(TF_Timer,TF_Tekniker,AU$4,TF_Dato,$A892))*2,0)/2)))</f>
        <v/>
      </c>
      <c r="AV892">
        <f>IF(OR(AV$4="",$A892&gt;TODAY()),0,IF(OR(INDEX($B892:$D892,AV$5)="F",AND(AV$6&gt;0,$A892&lt;AV$6),AND(AV$7&gt;0,$A892&gt;AV$7)),0,MAX(0,ROUND((INDEX($E892:$G892,AV$5)-SUMIFS(TF_Timer,TF_Tekniker,AV$4,TF_Dato,$A892))*2,0)/2)))</f>
        <v/>
      </c>
      <c r="AW892">
        <f>IF(OR(AW$4="",$A892&gt;TODAY()),0,IF(OR(INDEX($B892:$D892,AW$5)="F",AND(AW$6&gt;0,$A892&lt;AW$6),AND(AW$7&gt;0,$A892&gt;AW$7)),0,MAX(0,ROUND((INDEX($E892:$G892,AW$5)-SUMIFS(TF_Timer,TF_Tekniker,AW$4,TF_Dato,$A892))*2,0)/2)))</f>
        <v/>
      </c>
      <c r="AX892">
        <f>IF(OR(AX$4="",$A892&gt;TODAY()),0,IF(OR(INDEX($B892:$D892,AX$5)="F",AND(AX$6&gt;0,$A892&lt;AX$6),AND(AX$7&gt;0,$A892&gt;AX$7)),0,MAX(0,ROUND((INDEX($E892:$G892,AX$5)-SUMIFS(TF_Timer,TF_Tekniker,AX$4,TF_Dato,$A892))*2,0)/2)))</f>
        <v/>
      </c>
      <c r="AY892">
        <f>IF(OR(AY$4="",$A892&gt;TODAY()),0,IF(OR(INDEX($B892:$D892,AY$5)="F",AND(AY$6&gt;0,$A892&lt;AY$6),AND(AY$7&gt;0,$A892&gt;AY$7)),0,MAX(0,ROUND((INDEX($E892:$G892,AY$5)-SUMIFS(TF_Timer,TF_Tekniker,AY$4,TF_Dato,$A892))*2,0)/2)))</f>
        <v/>
      </c>
      <c r="AZ892">
        <f>IF(OR(AZ$4="",$A892&gt;TODAY()),0,IF(OR(INDEX($B892:$D892,AZ$5)="F",AND(AZ$6&gt;0,$A892&lt;AZ$6),AND(AZ$7&gt;0,$A892&gt;AZ$7)),0,MAX(0,ROUND((INDEX($E892:$G892,AZ$5)-SUMIFS(TF_Timer,TF_Tekniker,AZ$4,TF_Dato,$A892))*2,0)/2)))</f>
        <v/>
      </c>
      <c r="BA892">
        <f>IF(OR(BA$4="",$A892&gt;TODAY()),0,IF(OR(INDEX($B892:$D892,BA$5)="F",AND(BA$6&gt;0,$A892&lt;BA$6),AND(BA$7&gt;0,$A892&gt;BA$7)),0,MAX(0,ROUND((INDEX($E892:$G892,BA$5)-SUMIFS(TF_Timer,TF_Tekniker,BA$4,TF_Dato,$A892))*2,0)/2)))</f>
        <v/>
      </c>
      <c r="BB892">
        <f>IF(OR(BB$4="",$A892&gt;TODAY()),0,IF(OR(INDEX($B892:$D892,BB$5)="F",AND(BB$6&gt;0,$A892&lt;BB$6),AND(BB$7&gt;0,$A892&gt;BB$7)),0,MAX(0,ROUND((INDEX($E892:$G892,BB$5)-SUMIFS(TF_Timer,TF_Tekniker,BB$4,TF_Dato,$A892))*2,0)/2)))</f>
        <v/>
      </c>
      <c r="BC892">
        <f>IF(OR(BC$4="",$A892&gt;TODAY()),0,IF(OR(INDEX($B892:$D892,BC$5)="F",AND(BC$6&gt;0,$A892&lt;BC$6),AND(BC$7&gt;0,$A892&gt;BC$7)),0,MAX(0,ROUND((INDEX($E892:$G892,BC$5)-SUMIFS(TF_Timer,TF_Tekniker,BC$4,TF_Dato,$A892))*2,0)/2)))</f>
        <v/>
      </c>
      <c r="BD892">
        <f>IF(OR(BD$4="",$A892&gt;TODAY()),0,IF(OR(INDEX($B892:$D892,BD$5)="F",AND(BD$6&gt;0,$A892&lt;BD$6),AND(BD$7&gt;0,$A892&gt;BD$7)),0,MAX(0,ROUND((INDEX($E892:$G892,BD$5)-SUMIFS(TF_Timer,TF_Tekniker,BD$4,TF_Dato,$A892))*2,0)/2)))</f>
        <v/>
      </c>
      <c r="BE892">
        <f>IF(OR(BE$4="",$A892&gt;TODAY()),0,IF(OR(INDEX($B892:$D892,BE$5)="F",AND(BE$6&gt;0,$A892&lt;BE$6),AND(BE$7&gt;0,$A892&gt;BE$7)),0,MAX(0,ROUND((INDEX($E892:$G892,BE$5)-SUMIFS(TF_Timer,TF_Tekniker,BE$4,TF_Dato,$A892))*2,0)/2)))</f>
        <v/>
      </c>
      <c r="BF892">
        <f>IF(OR(BF$4="",$A892&gt;TODAY()),0,IF(OR(INDEX($B892:$D892,BF$5)="F",AND(BF$6&gt;0,$A892&lt;BF$6),AND(BF$7&gt;0,$A892&gt;BF$7)),0,MAX(0,ROUND((INDEX($E892:$G892,BF$5)-SUMIFS(TF_Timer,TF_Tekniker,BF$4,TF_Dato,$A892))*2,0)/2)))</f>
        <v/>
      </c>
      <c r="BG892">
        <f>IF(OR(BG$4="",$A892&gt;TODAY()),0,IF(OR(INDEX($B892:$D892,BG$5)="F",AND(BG$6&gt;0,$A892&lt;BG$6),AND(BG$7&gt;0,$A892&gt;BG$7)),0,MAX(0,ROUND((INDEX($E892:$G892,BG$5)-SUMIFS(TF_Timer,TF_Tekniker,BG$4,TF_Dato,$A892))*2,0)/2)))</f>
        <v/>
      </c>
      <c r="BH892">
        <f>IF(OR(BH$4="",$A892&gt;TODAY()),0,IF(OR(INDEX($B892:$D892,BH$5)="F",AND(BH$6&gt;0,$A892&lt;BH$6),AND(BH$7&gt;0,$A892&gt;BH$7)),0,MAX(0,ROUND((INDEX($E892:$G892,BH$5)-SUMIFS(TF_Timer,TF_Tekniker,BH$4,TF_Dato,$A892))*2,0)/2)))</f>
        <v/>
      </c>
      <c r="BI892">
        <f>IF(OR(BI$4="",$A892&gt;TODAY()),0,IF(OR(INDEX($B892:$D892,BI$5)="F",AND(BI$6&gt;0,$A892&lt;BI$6),AND(BI$7&gt;0,$A892&gt;BI$7)),0,MAX(0,ROUND((INDEX($E892:$G892,BI$5)-SUMIFS(TF_Timer,TF_Tekniker,BI$4,TF_Dato,$A892))*2,0)/2)))</f>
        <v/>
      </c>
    </row>
    <row r="893">
      <c r="A893" s="64">
        <f>A892+1</f>
        <v/>
      </c>
      <c r="B893">
        <f>IF(MOD($A893-INDEX(SkiftStart,1),Syklus)&lt;DagK,"K",IF(MOD($A893-INDEX(SkiftStart,1),Syklus)&lt;DagK+DagH,"H",IF(MOD($A893-INDEX(SkiftStart,1),Syklus)&lt;DagK+DagH+DagD,"D","F")))</f>
        <v/>
      </c>
      <c r="C893">
        <f>IF(MOD($A893-INDEX(SkiftStart,2),Syklus)&lt;DagK,"K",IF(MOD($A893-INDEX(SkiftStart,2),Syklus)&lt;DagK+DagH,"H",IF(MOD($A893-INDEX(SkiftStart,2),Syklus)&lt;DagK+DagH+DagD,"D","F")))</f>
        <v/>
      </c>
      <c r="D893">
        <f>IF(MOD($A893-INDEX(SkiftStart,3),Syklus)&lt;DagK,"K",IF(MOD($A893-INDEX(SkiftStart,3),Syklus)&lt;DagK+DagH,"H",IF(MOD($A893-INDEX(SkiftStart,3),Syklus)&lt;DagK+DagH+DagD,"D","F")))</f>
        <v/>
      </c>
      <c r="E893">
        <f>IF(B893="F",0,IF(WEEKDAY($A893,2)=5,INDEX(TimerFr,MATCH(B893,FaseKode,0)),INDEX(TimerMT,MATCH(B893,FaseKode,0))))</f>
        <v/>
      </c>
      <c r="F893">
        <f>IF(C893="F",0,IF(WEEKDAY($A893,2)=5,INDEX(TimerFr,MATCH(C893,FaseKode,0)),INDEX(TimerMT,MATCH(C893,FaseKode,0))))</f>
        <v/>
      </c>
      <c r="G893">
        <f>IF(D893="F",0,IF(WEEKDAY($A893,2)=5,INDEX(TimerFr,MATCH(D893,FaseKode,0)),INDEX(TimerMT,MATCH(D893,FaseKode,0))))</f>
        <v/>
      </c>
      <c r="H893">
        <f>IF(OR(H$4="",$A893&gt;TODAY()),0,IF(OR(INDEX($B893:$D893,H$5)="F",AND(H$6&gt;0,$A893&lt;H$6),AND(H$7&gt;0,$A893&gt;H$7)),0,MAX(0,ROUND((INDEX($E893:$G893,H$5)-SUMIFS(TF_Timer,TF_Tekniker,H$4,TF_Dato,$A893))*2,0)/2)))</f>
        <v/>
      </c>
      <c r="I893">
        <f>IF(OR(I$4="",$A893&gt;TODAY()),0,IF(OR(INDEX($B893:$D893,I$5)="F",AND(I$6&gt;0,$A893&lt;I$6),AND(I$7&gt;0,$A893&gt;I$7)),0,MAX(0,ROUND((INDEX($E893:$G893,I$5)-SUMIFS(TF_Timer,TF_Tekniker,I$4,TF_Dato,$A893))*2,0)/2)))</f>
        <v/>
      </c>
      <c r="J893">
        <f>IF(OR(J$4="",$A893&gt;TODAY()),0,IF(OR(INDEX($B893:$D893,J$5)="F",AND(J$6&gt;0,$A893&lt;J$6),AND(J$7&gt;0,$A893&gt;J$7)),0,MAX(0,ROUND((INDEX($E893:$G893,J$5)-SUMIFS(TF_Timer,TF_Tekniker,J$4,TF_Dato,$A893))*2,0)/2)))</f>
        <v/>
      </c>
      <c r="K893">
        <f>IF(OR(K$4="",$A893&gt;TODAY()),0,IF(OR(INDEX($B893:$D893,K$5)="F",AND(K$6&gt;0,$A893&lt;K$6),AND(K$7&gt;0,$A893&gt;K$7)),0,MAX(0,ROUND((INDEX($E893:$G893,K$5)-SUMIFS(TF_Timer,TF_Tekniker,K$4,TF_Dato,$A893))*2,0)/2)))</f>
        <v/>
      </c>
      <c r="L893">
        <f>IF(OR(L$4="",$A893&gt;TODAY()),0,IF(OR(INDEX($B893:$D893,L$5)="F",AND(L$6&gt;0,$A893&lt;L$6),AND(L$7&gt;0,$A893&gt;L$7)),0,MAX(0,ROUND((INDEX($E893:$G893,L$5)-SUMIFS(TF_Timer,TF_Tekniker,L$4,TF_Dato,$A893))*2,0)/2)))</f>
        <v/>
      </c>
      <c r="M893">
        <f>IF(OR(M$4="",$A893&gt;TODAY()),0,IF(OR(INDEX($B893:$D893,M$5)="F",AND(M$6&gt;0,$A893&lt;M$6),AND(M$7&gt;0,$A893&gt;M$7)),0,MAX(0,ROUND((INDEX($E893:$G893,M$5)-SUMIFS(TF_Timer,TF_Tekniker,M$4,TF_Dato,$A893))*2,0)/2)))</f>
        <v/>
      </c>
      <c r="N893">
        <f>IF(OR(N$4="",$A893&gt;TODAY()),0,IF(OR(INDEX($B893:$D893,N$5)="F",AND(N$6&gt;0,$A893&lt;N$6),AND(N$7&gt;0,$A893&gt;N$7)),0,MAX(0,ROUND((INDEX($E893:$G893,N$5)-SUMIFS(TF_Timer,TF_Tekniker,N$4,TF_Dato,$A893))*2,0)/2)))</f>
        <v/>
      </c>
      <c r="O893">
        <f>IF(OR(O$4="",$A893&gt;TODAY()),0,IF(OR(INDEX($B893:$D893,O$5)="F",AND(O$6&gt;0,$A893&lt;O$6),AND(O$7&gt;0,$A893&gt;O$7)),0,MAX(0,ROUND((INDEX($E893:$G893,O$5)-SUMIFS(TF_Timer,TF_Tekniker,O$4,TF_Dato,$A893))*2,0)/2)))</f>
        <v/>
      </c>
      <c r="P893">
        <f>IF(OR(P$4="",$A893&gt;TODAY()),0,IF(OR(INDEX($B893:$D893,P$5)="F",AND(P$6&gt;0,$A893&lt;P$6),AND(P$7&gt;0,$A893&gt;P$7)),0,MAX(0,ROUND((INDEX($E893:$G893,P$5)-SUMIFS(TF_Timer,TF_Tekniker,P$4,TF_Dato,$A893))*2,0)/2)))</f>
        <v/>
      </c>
      <c r="Q893">
        <f>IF(OR(Q$4="",$A893&gt;TODAY()),0,IF(OR(INDEX($B893:$D893,Q$5)="F",AND(Q$6&gt;0,$A893&lt;Q$6),AND(Q$7&gt;0,$A893&gt;Q$7)),0,MAX(0,ROUND((INDEX($E893:$G893,Q$5)-SUMIFS(TF_Timer,TF_Tekniker,Q$4,TF_Dato,$A893))*2,0)/2)))</f>
        <v/>
      </c>
      <c r="R893">
        <f>IF(OR(R$4="",$A893&gt;TODAY()),0,IF(OR(INDEX($B893:$D893,R$5)="F",AND(R$6&gt;0,$A893&lt;R$6),AND(R$7&gt;0,$A893&gt;R$7)),0,MAX(0,ROUND((INDEX($E893:$G893,R$5)-SUMIFS(TF_Timer,TF_Tekniker,R$4,TF_Dato,$A893))*2,0)/2)))</f>
        <v/>
      </c>
      <c r="S893">
        <f>IF(OR(S$4="",$A893&gt;TODAY()),0,IF(OR(INDEX($B893:$D893,S$5)="F",AND(S$6&gt;0,$A893&lt;S$6),AND(S$7&gt;0,$A893&gt;S$7)),0,MAX(0,ROUND((INDEX($E893:$G893,S$5)-SUMIFS(TF_Timer,TF_Tekniker,S$4,TF_Dato,$A893))*2,0)/2)))</f>
        <v/>
      </c>
      <c r="T893">
        <f>IF(OR(T$4="",$A893&gt;TODAY()),0,IF(OR(INDEX($B893:$D893,T$5)="F",AND(T$6&gt;0,$A893&lt;T$6),AND(T$7&gt;0,$A893&gt;T$7)),0,MAX(0,ROUND((INDEX($E893:$G893,T$5)-SUMIFS(TF_Timer,TF_Tekniker,T$4,TF_Dato,$A893))*2,0)/2)))</f>
        <v/>
      </c>
      <c r="U893">
        <f>IF(OR(U$4="",$A893&gt;TODAY()),0,IF(OR(INDEX($B893:$D893,U$5)="F",AND(U$6&gt;0,$A893&lt;U$6),AND(U$7&gt;0,$A893&gt;U$7)),0,MAX(0,ROUND((INDEX($E893:$G893,U$5)-SUMIFS(TF_Timer,TF_Tekniker,U$4,TF_Dato,$A893))*2,0)/2)))</f>
        <v/>
      </c>
      <c r="V893">
        <f>IF(OR(V$4="",$A893&gt;TODAY()),0,IF(OR(INDEX($B893:$D893,V$5)="F",AND(V$6&gt;0,$A893&lt;V$6),AND(V$7&gt;0,$A893&gt;V$7)),0,MAX(0,ROUND((INDEX($E893:$G893,V$5)-SUMIFS(TF_Timer,TF_Tekniker,V$4,TF_Dato,$A893))*2,0)/2)))</f>
        <v/>
      </c>
      <c r="W893">
        <f>IF(OR(W$4="",$A893&gt;TODAY()),0,IF(OR(INDEX($B893:$D893,W$5)="F",AND(W$6&gt;0,$A893&lt;W$6),AND(W$7&gt;0,$A893&gt;W$7)),0,MAX(0,ROUND((INDEX($E893:$G893,W$5)-SUMIFS(TF_Timer,TF_Tekniker,W$4,TF_Dato,$A893))*2,0)/2)))</f>
        <v/>
      </c>
      <c r="X893">
        <f>IF(OR(X$4="",$A893&gt;TODAY()),0,IF(OR(INDEX($B893:$D893,X$5)="F",AND(X$6&gt;0,$A893&lt;X$6),AND(X$7&gt;0,$A893&gt;X$7)),0,MAX(0,ROUND((INDEX($E893:$G893,X$5)-SUMIFS(TF_Timer,TF_Tekniker,X$4,TF_Dato,$A893))*2,0)/2)))</f>
        <v/>
      </c>
      <c r="Y893">
        <f>IF(OR(Y$4="",$A893&gt;TODAY()),0,IF(OR(INDEX($B893:$D893,Y$5)="F",AND(Y$6&gt;0,$A893&lt;Y$6),AND(Y$7&gt;0,$A893&gt;Y$7)),0,MAX(0,ROUND((INDEX($E893:$G893,Y$5)-SUMIFS(TF_Timer,TF_Tekniker,Y$4,TF_Dato,$A893))*2,0)/2)))</f>
        <v/>
      </c>
      <c r="Z893">
        <f>IF(OR(Z$4="",$A893&gt;TODAY()),0,IF(OR(INDEX($B893:$D893,Z$5)="F",AND(Z$6&gt;0,$A893&lt;Z$6),AND(Z$7&gt;0,$A893&gt;Z$7)),0,MAX(0,ROUND((INDEX($E893:$G893,Z$5)-SUMIFS(TF_Timer,TF_Tekniker,Z$4,TF_Dato,$A893))*2,0)/2)))</f>
        <v/>
      </c>
      <c r="AA893">
        <f>IF(OR(AA$4="",$A893&gt;TODAY()),0,IF(OR(INDEX($B893:$D893,AA$5)="F",AND(AA$6&gt;0,$A893&lt;AA$6),AND(AA$7&gt;0,$A893&gt;AA$7)),0,MAX(0,ROUND((INDEX($E893:$G893,AA$5)-SUMIFS(TF_Timer,TF_Tekniker,AA$4,TF_Dato,$A893))*2,0)/2)))</f>
        <v/>
      </c>
      <c r="AB893">
        <f>IF(OR(AB$4="",$A893&gt;TODAY()),0,IF(OR(INDEX($B893:$D893,AB$5)="F",AND(AB$6&gt;0,$A893&lt;AB$6),AND(AB$7&gt;0,$A893&gt;AB$7)),0,MAX(0,ROUND((INDEX($E893:$G893,AB$5)-SUMIFS(TF_Timer,TF_Tekniker,AB$4,TF_Dato,$A893))*2,0)/2)))</f>
        <v/>
      </c>
      <c r="AC893">
        <f>IF(OR(AC$4="",$A893&gt;TODAY()),0,IF(OR(INDEX($B893:$D893,AC$5)="F",AND(AC$6&gt;0,$A893&lt;AC$6),AND(AC$7&gt;0,$A893&gt;AC$7)),0,MAX(0,ROUND((INDEX($E893:$G893,AC$5)-SUMIFS(TF_Timer,TF_Tekniker,AC$4,TF_Dato,$A893))*2,0)/2)))</f>
        <v/>
      </c>
      <c r="AD893">
        <f>IF(OR(AD$4="",$A893&gt;TODAY()),0,IF(OR(INDEX($B893:$D893,AD$5)="F",AND(AD$6&gt;0,$A893&lt;AD$6),AND(AD$7&gt;0,$A893&gt;AD$7)),0,MAX(0,ROUND((INDEX($E893:$G893,AD$5)-SUMIFS(TF_Timer,TF_Tekniker,AD$4,TF_Dato,$A893))*2,0)/2)))</f>
        <v/>
      </c>
      <c r="AE893">
        <f>IF(OR(AE$4="",$A893&gt;TODAY()),0,IF(OR(INDEX($B893:$D893,AE$5)="F",AND(AE$6&gt;0,$A893&lt;AE$6),AND(AE$7&gt;0,$A893&gt;AE$7)),0,MAX(0,ROUND((INDEX($E893:$G893,AE$5)-SUMIFS(TF_Timer,TF_Tekniker,AE$4,TF_Dato,$A893))*2,0)/2)))</f>
        <v/>
      </c>
      <c r="AF893">
        <f>IF(OR(AF$4="",$A893&gt;TODAY()),0,IF(OR(INDEX($B893:$D893,AF$5)="F",AND(AF$6&gt;0,$A893&lt;AF$6),AND(AF$7&gt;0,$A893&gt;AF$7)),0,MAX(0,ROUND((INDEX($E893:$G893,AF$5)-SUMIFS(TF_Timer,TF_Tekniker,AF$4,TF_Dato,$A893))*2,0)/2)))</f>
        <v/>
      </c>
      <c r="AG893">
        <f>IF(OR(AG$4="",$A893&gt;TODAY()),0,IF(OR(INDEX($B893:$D893,AG$5)="F",AND(AG$6&gt;0,$A893&lt;AG$6),AND(AG$7&gt;0,$A893&gt;AG$7)),0,MAX(0,ROUND((INDEX($E893:$G893,AG$5)-SUMIFS(TF_Timer,TF_Tekniker,AG$4,TF_Dato,$A893))*2,0)/2)))</f>
        <v/>
      </c>
      <c r="AH893">
        <f>IF(OR(AH$4="",$A893&gt;TODAY()),0,IF(OR(INDEX($B893:$D893,AH$5)="F",AND(AH$6&gt;0,$A893&lt;AH$6),AND(AH$7&gt;0,$A893&gt;AH$7)),0,MAX(0,ROUND((INDEX($E893:$G893,AH$5)-SUMIFS(TF_Timer,TF_Tekniker,AH$4,TF_Dato,$A893))*2,0)/2)))</f>
        <v/>
      </c>
      <c r="AI893">
        <f>IF(OR(AI$4="",$A893&gt;TODAY()),0,IF(OR(INDEX($B893:$D893,AI$5)="F",AND(AI$6&gt;0,$A893&lt;AI$6),AND(AI$7&gt;0,$A893&gt;AI$7)),0,MAX(0,ROUND((INDEX($E893:$G893,AI$5)-SUMIFS(TF_Timer,TF_Tekniker,AI$4,TF_Dato,$A893))*2,0)/2)))</f>
        <v/>
      </c>
      <c r="AJ893">
        <f>IF(OR(AJ$4="",$A893&gt;TODAY()),0,IF(OR(INDEX($B893:$D893,AJ$5)="F",AND(AJ$6&gt;0,$A893&lt;AJ$6),AND(AJ$7&gt;0,$A893&gt;AJ$7)),0,MAX(0,ROUND((INDEX($E893:$G893,AJ$5)-SUMIFS(TF_Timer,TF_Tekniker,AJ$4,TF_Dato,$A893))*2,0)/2)))</f>
        <v/>
      </c>
      <c r="AK893">
        <f>IF(OR(AK$4="",$A893&gt;TODAY()),0,IF(OR(INDEX($B893:$D893,AK$5)="F",AND(AK$6&gt;0,$A893&lt;AK$6),AND(AK$7&gt;0,$A893&gt;AK$7)),0,MAX(0,ROUND((INDEX($E893:$G893,AK$5)-SUMIFS(TF_Timer,TF_Tekniker,AK$4,TF_Dato,$A893))*2,0)/2)))</f>
        <v/>
      </c>
      <c r="AL893">
        <f>IF(OR(AL$4="",$A893&gt;TODAY()),0,IF(OR(INDEX($B893:$D893,AL$5)="F",AND(AL$6&gt;0,$A893&lt;AL$6),AND(AL$7&gt;0,$A893&gt;AL$7)),0,MAX(0,ROUND((INDEX($E893:$G893,AL$5)-SUMIFS(TF_Timer,TF_Tekniker,AL$4,TF_Dato,$A893))*2,0)/2)))</f>
        <v/>
      </c>
      <c r="AM893">
        <f>IF(OR(AM$4="",$A893&gt;TODAY()),0,IF(OR(INDEX($B893:$D893,AM$5)="F",AND(AM$6&gt;0,$A893&lt;AM$6),AND(AM$7&gt;0,$A893&gt;AM$7)),0,MAX(0,ROUND((INDEX($E893:$G893,AM$5)-SUMIFS(TF_Timer,TF_Tekniker,AM$4,TF_Dato,$A893))*2,0)/2)))</f>
        <v/>
      </c>
      <c r="AN893">
        <f>IF(OR(AN$4="",$A893&gt;TODAY()),0,IF(OR(INDEX($B893:$D893,AN$5)="F",AND(AN$6&gt;0,$A893&lt;AN$6),AND(AN$7&gt;0,$A893&gt;AN$7)),0,MAX(0,ROUND((INDEX($E893:$G893,AN$5)-SUMIFS(TF_Timer,TF_Tekniker,AN$4,TF_Dato,$A893))*2,0)/2)))</f>
        <v/>
      </c>
      <c r="AO893">
        <f>IF(OR(AO$4="",$A893&gt;TODAY()),0,IF(OR(INDEX($B893:$D893,AO$5)="F",AND(AO$6&gt;0,$A893&lt;AO$6),AND(AO$7&gt;0,$A893&gt;AO$7)),0,MAX(0,ROUND((INDEX($E893:$G893,AO$5)-SUMIFS(TF_Timer,TF_Tekniker,AO$4,TF_Dato,$A893))*2,0)/2)))</f>
        <v/>
      </c>
      <c r="AP893">
        <f>IF(OR(AP$4="",$A893&gt;TODAY()),0,IF(OR(INDEX($B893:$D893,AP$5)="F",AND(AP$6&gt;0,$A893&lt;AP$6),AND(AP$7&gt;0,$A893&gt;AP$7)),0,MAX(0,ROUND((INDEX($E893:$G893,AP$5)-SUMIFS(TF_Timer,TF_Tekniker,AP$4,TF_Dato,$A893))*2,0)/2)))</f>
        <v/>
      </c>
      <c r="AQ893">
        <f>IF(OR(AQ$4="",$A893&gt;TODAY()),0,IF(OR(INDEX($B893:$D893,AQ$5)="F",AND(AQ$6&gt;0,$A893&lt;AQ$6),AND(AQ$7&gt;0,$A893&gt;AQ$7)),0,MAX(0,ROUND((INDEX($E893:$G893,AQ$5)-SUMIFS(TF_Timer,TF_Tekniker,AQ$4,TF_Dato,$A893))*2,0)/2)))</f>
        <v/>
      </c>
      <c r="AR893">
        <f>IF(OR(AR$4="",$A893&gt;TODAY()),0,IF(OR(INDEX($B893:$D893,AR$5)="F",AND(AR$6&gt;0,$A893&lt;AR$6),AND(AR$7&gt;0,$A893&gt;AR$7)),0,MAX(0,ROUND((INDEX($E893:$G893,AR$5)-SUMIFS(TF_Timer,TF_Tekniker,AR$4,TF_Dato,$A893))*2,0)/2)))</f>
        <v/>
      </c>
      <c r="AS893">
        <f>IF(OR(AS$4="",$A893&gt;TODAY()),0,IF(OR(INDEX($B893:$D893,AS$5)="F",AND(AS$6&gt;0,$A893&lt;AS$6),AND(AS$7&gt;0,$A893&gt;AS$7)),0,MAX(0,ROUND((INDEX($E893:$G893,AS$5)-SUMIFS(TF_Timer,TF_Tekniker,AS$4,TF_Dato,$A893))*2,0)/2)))</f>
        <v/>
      </c>
      <c r="AT893">
        <f>IF(OR(AT$4="",$A893&gt;TODAY()),0,IF(OR(INDEX($B893:$D893,AT$5)="F",AND(AT$6&gt;0,$A893&lt;AT$6),AND(AT$7&gt;0,$A893&gt;AT$7)),0,MAX(0,ROUND((INDEX($E893:$G893,AT$5)-SUMIFS(TF_Timer,TF_Tekniker,AT$4,TF_Dato,$A893))*2,0)/2)))</f>
        <v/>
      </c>
      <c r="AU893">
        <f>IF(OR(AU$4="",$A893&gt;TODAY()),0,IF(OR(INDEX($B893:$D893,AU$5)="F",AND(AU$6&gt;0,$A893&lt;AU$6),AND(AU$7&gt;0,$A893&gt;AU$7)),0,MAX(0,ROUND((INDEX($E893:$G893,AU$5)-SUMIFS(TF_Timer,TF_Tekniker,AU$4,TF_Dato,$A893))*2,0)/2)))</f>
        <v/>
      </c>
      <c r="AV893">
        <f>IF(OR(AV$4="",$A893&gt;TODAY()),0,IF(OR(INDEX($B893:$D893,AV$5)="F",AND(AV$6&gt;0,$A893&lt;AV$6),AND(AV$7&gt;0,$A893&gt;AV$7)),0,MAX(0,ROUND((INDEX($E893:$G893,AV$5)-SUMIFS(TF_Timer,TF_Tekniker,AV$4,TF_Dato,$A893))*2,0)/2)))</f>
        <v/>
      </c>
      <c r="AW893">
        <f>IF(OR(AW$4="",$A893&gt;TODAY()),0,IF(OR(INDEX($B893:$D893,AW$5)="F",AND(AW$6&gt;0,$A893&lt;AW$6),AND(AW$7&gt;0,$A893&gt;AW$7)),0,MAX(0,ROUND((INDEX($E893:$G893,AW$5)-SUMIFS(TF_Timer,TF_Tekniker,AW$4,TF_Dato,$A893))*2,0)/2)))</f>
        <v/>
      </c>
      <c r="AX893">
        <f>IF(OR(AX$4="",$A893&gt;TODAY()),0,IF(OR(INDEX($B893:$D893,AX$5)="F",AND(AX$6&gt;0,$A893&lt;AX$6),AND(AX$7&gt;0,$A893&gt;AX$7)),0,MAX(0,ROUND((INDEX($E893:$G893,AX$5)-SUMIFS(TF_Timer,TF_Tekniker,AX$4,TF_Dato,$A893))*2,0)/2)))</f>
        <v/>
      </c>
      <c r="AY893">
        <f>IF(OR(AY$4="",$A893&gt;TODAY()),0,IF(OR(INDEX($B893:$D893,AY$5)="F",AND(AY$6&gt;0,$A893&lt;AY$6),AND(AY$7&gt;0,$A893&gt;AY$7)),0,MAX(0,ROUND((INDEX($E893:$G893,AY$5)-SUMIFS(TF_Timer,TF_Tekniker,AY$4,TF_Dato,$A893))*2,0)/2)))</f>
        <v/>
      </c>
      <c r="AZ893">
        <f>IF(OR(AZ$4="",$A893&gt;TODAY()),0,IF(OR(INDEX($B893:$D893,AZ$5)="F",AND(AZ$6&gt;0,$A893&lt;AZ$6),AND(AZ$7&gt;0,$A893&gt;AZ$7)),0,MAX(0,ROUND((INDEX($E893:$G893,AZ$5)-SUMIFS(TF_Timer,TF_Tekniker,AZ$4,TF_Dato,$A893))*2,0)/2)))</f>
        <v/>
      </c>
      <c r="BA893">
        <f>IF(OR(BA$4="",$A893&gt;TODAY()),0,IF(OR(INDEX($B893:$D893,BA$5)="F",AND(BA$6&gt;0,$A893&lt;BA$6),AND(BA$7&gt;0,$A893&gt;BA$7)),0,MAX(0,ROUND((INDEX($E893:$G893,BA$5)-SUMIFS(TF_Timer,TF_Tekniker,BA$4,TF_Dato,$A893))*2,0)/2)))</f>
        <v/>
      </c>
      <c r="BB893">
        <f>IF(OR(BB$4="",$A893&gt;TODAY()),0,IF(OR(INDEX($B893:$D893,BB$5)="F",AND(BB$6&gt;0,$A893&lt;BB$6),AND(BB$7&gt;0,$A893&gt;BB$7)),0,MAX(0,ROUND((INDEX($E893:$G893,BB$5)-SUMIFS(TF_Timer,TF_Tekniker,BB$4,TF_Dato,$A893))*2,0)/2)))</f>
        <v/>
      </c>
      <c r="BC893">
        <f>IF(OR(BC$4="",$A893&gt;TODAY()),0,IF(OR(INDEX($B893:$D893,BC$5)="F",AND(BC$6&gt;0,$A893&lt;BC$6),AND(BC$7&gt;0,$A893&gt;BC$7)),0,MAX(0,ROUND((INDEX($E893:$G893,BC$5)-SUMIFS(TF_Timer,TF_Tekniker,BC$4,TF_Dato,$A893))*2,0)/2)))</f>
        <v/>
      </c>
      <c r="BD893">
        <f>IF(OR(BD$4="",$A893&gt;TODAY()),0,IF(OR(INDEX($B893:$D893,BD$5)="F",AND(BD$6&gt;0,$A893&lt;BD$6),AND(BD$7&gt;0,$A893&gt;BD$7)),0,MAX(0,ROUND((INDEX($E893:$G893,BD$5)-SUMIFS(TF_Timer,TF_Tekniker,BD$4,TF_Dato,$A893))*2,0)/2)))</f>
        <v/>
      </c>
      <c r="BE893">
        <f>IF(OR(BE$4="",$A893&gt;TODAY()),0,IF(OR(INDEX($B893:$D893,BE$5)="F",AND(BE$6&gt;0,$A893&lt;BE$6),AND(BE$7&gt;0,$A893&gt;BE$7)),0,MAX(0,ROUND((INDEX($E893:$G893,BE$5)-SUMIFS(TF_Timer,TF_Tekniker,BE$4,TF_Dato,$A893))*2,0)/2)))</f>
        <v/>
      </c>
      <c r="BF893">
        <f>IF(OR(BF$4="",$A893&gt;TODAY()),0,IF(OR(INDEX($B893:$D893,BF$5)="F",AND(BF$6&gt;0,$A893&lt;BF$6),AND(BF$7&gt;0,$A893&gt;BF$7)),0,MAX(0,ROUND((INDEX($E893:$G893,BF$5)-SUMIFS(TF_Timer,TF_Tekniker,BF$4,TF_Dato,$A893))*2,0)/2)))</f>
        <v/>
      </c>
      <c r="BG893">
        <f>IF(OR(BG$4="",$A893&gt;TODAY()),0,IF(OR(INDEX($B893:$D893,BG$5)="F",AND(BG$6&gt;0,$A893&lt;BG$6),AND(BG$7&gt;0,$A893&gt;BG$7)),0,MAX(0,ROUND((INDEX($E893:$G893,BG$5)-SUMIFS(TF_Timer,TF_Tekniker,BG$4,TF_Dato,$A893))*2,0)/2)))</f>
        <v/>
      </c>
      <c r="BH893">
        <f>IF(OR(BH$4="",$A893&gt;TODAY()),0,IF(OR(INDEX($B893:$D893,BH$5)="F",AND(BH$6&gt;0,$A893&lt;BH$6),AND(BH$7&gt;0,$A893&gt;BH$7)),0,MAX(0,ROUND((INDEX($E893:$G893,BH$5)-SUMIFS(TF_Timer,TF_Tekniker,BH$4,TF_Dato,$A893))*2,0)/2)))</f>
        <v/>
      </c>
      <c r="BI893">
        <f>IF(OR(BI$4="",$A893&gt;TODAY()),0,IF(OR(INDEX($B893:$D893,BI$5)="F",AND(BI$6&gt;0,$A893&lt;BI$6),AND(BI$7&gt;0,$A893&gt;BI$7)),0,MAX(0,ROUND((INDEX($E893:$G893,BI$5)-SUMIFS(TF_Timer,TF_Tekniker,BI$4,TF_Dato,$A893))*2,0)/2)))</f>
        <v/>
      </c>
    </row>
    <row r="894">
      <c r="A894" s="64">
        <f>A893+1</f>
        <v/>
      </c>
      <c r="B894">
        <f>IF(MOD($A894-INDEX(SkiftStart,1),Syklus)&lt;DagK,"K",IF(MOD($A894-INDEX(SkiftStart,1),Syklus)&lt;DagK+DagH,"H",IF(MOD($A894-INDEX(SkiftStart,1),Syklus)&lt;DagK+DagH+DagD,"D","F")))</f>
        <v/>
      </c>
      <c r="C894">
        <f>IF(MOD($A894-INDEX(SkiftStart,2),Syklus)&lt;DagK,"K",IF(MOD($A894-INDEX(SkiftStart,2),Syklus)&lt;DagK+DagH,"H",IF(MOD($A894-INDEX(SkiftStart,2),Syklus)&lt;DagK+DagH+DagD,"D","F")))</f>
        <v/>
      </c>
      <c r="D894">
        <f>IF(MOD($A894-INDEX(SkiftStart,3),Syklus)&lt;DagK,"K",IF(MOD($A894-INDEX(SkiftStart,3),Syklus)&lt;DagK+DagH,"H",IF(MOD($A894-INDEX(SkiftStart,3),Syklus)&lt;DagK+DagH+DagD,"D","F")))</f>
        <v/>
      </c>
      <c r="E894">
        <f>IF(B894="F",0,IF(WEEKDAY($A894,2)=5,INDEX(TimerFr,MATCH(B894,FaseKode,0)),INDEX(TimerMT,MATCH(B894,FaseKode,0))))</f>
        <v/>
      </c>
      <c r="F894">
        <f>IF(C894="F",0,IF(WEEKDAY($A894,2)=5,INDEX(TimerFr,MATCH(C894,FaseKode,0)),INDEX(TimerMT,MATCH(C894,FaseKode,0))))</f>
        <v/>
      </c>
      <c r="G894">
        <f>IF(D894="F",0,IF(WEEKDAY($A894,2)=5,INDEX(TimerFr,MATCH(D894,FaseKode,0)),INDEX(TimerMT,MATCH(D894,FaseKode,0))))</f>
        <v/>
      </c>
      <c r="H894">
        <f>IF(OR(H$4="",$A894&gt;TODAY()),0,IF(OR(INDEX($B894:$D894,H$5)="F",AND(H$6&gt;0,$A894&lt;H$6),AND(H$7&gt;0,$A894&gt;H$7)),0,MAX(0,ROUND((INDEX($E894:$G894,H$5)-SUMIFS(TF_Timer,TF_Tekniker,H$4,TF_Dato,$A894))*2,0)/2)))</f>
        <v/>
      </c>
      <c r="I894">
        <f>IF(OR(I$4="",$A894&gt;TODAY()),0,IF(OR(INDEX($B894:$D894,I$5)="F",AND(I$6&gt;0,$A894&lt;I$6),AND(I$7&gt;0,$A894&gt;I$7)),0,MAX(0,ROUND((INDEX($E894:$G894,I$5)-SUMIFS(TF_Timer,TF_Tekniker,I$4,TF_Dato,$A894))*2,0)/2)))</f>
        <v/>
      </c>
      <c r="J894">
        <f>IF(OR(J$4="",$A894&gt;TODAY()),0,IF(OR(INDEX($B894:$D894,J$5)="F",AND(J$6&gt;0,$A894&lt;J$6),AND(J$7&gt;0,$A894&gt;J$7)),0,MAX(0,ROUND((INDEX($E894:$G894,J$5)-SUMIFS(TF_Timer,TF_Tekniker,J$4,TF_Dato,$A894))*2,0)/2)))</f>
        <v/>
      </c>
      <c r="K894">
        <f>IF(OR(K$4="",$A894&gt;TODAY()),0,IF(OR(INDEX($B894:$D894,K$5)="F",AND(K$6&gt;0,$A894&lt;K$6),AND(K$7&gt;0,$A894&gt;K$7)),0,MAX(0,ROUND((INDEX($E894:$G894,K$5)-SUMIFS(TF_Timer,TF_Tekniker,K$4,TF_Dato,$A894))*2,0)/2)))</f>
        <v/>
      </c>
      <c r="L894">
        <f>IF(OR(L$4="",$A894&gt;TODAY()),0,IF(OR(INDEX($B894:$D894,L$5)="F",AND(L$6&gt;0,$A894&lt;L$6),AND(L$7&gt;0,$A894&gt;L$7)),0,MAX(0,ROUND((INDEX($E894:$G894,L$5)-SUMIFS(TF_Timer,TF_Tekniker,L$4,TF_Dato,$A894))*2,0)/2)))</f>
        <v/>
      </c>
      <c r="M894">
        <f>IF(OR(M$4="",$A894&gt;TODAY()),0,IF(OR(INDEX($B894:$D894,M$5)="F",AND(M$6&gt;0,$A894&lt;M$6),AND(M$7&gt;0,$A894&gt;M$7)),0,MAX(0,ROUND((INDEX($E894:$G894,M$5)-SUMIFS(TF_Timer,TF_Tekniker,M$4,TF_Dato,$A894))*2,0)/2)))</f>
        <v/>
      </c>
      <c r="N894">
        <f>IF(OR(N$4="",$A894&gt;TODAY()),0,IF(OR(INDEX($B894:$D894,N$5)="F",AND(N$6&gt;0,$A894&lt;N$6),AND(N$7&gt;0,$A894&gt;N$7)),0,MAX(0,ROUND((INDEX($E894:$G894,N$5)-SUMIFS(TF_Timer,TF_Tekniker,N$4,TF_Dato,$A894))*2,0)/2)))</f>
        <v/>
      </c>
      <c r="O894">
        <f>IF(OR(O$4="",$A894&gt;TODAY()),0,IF(OR(INDEX($B894:$D894,O$5)="F",AND(O$6&gt;0,$A894&lt;O$6),AND(O$7&gt;0,$A894&gt;O$7)),0,MAX(0,ROUND((INDEX($E894:$G894,O$5)-SUMIFS(TF_Timer,TF_Tekniker,O$4,TF_Dato,$A894))*2,0)/2)))</f>
        <v/>
      </c>
      <c r="P894">
        <f>IF(OR(P$4="",$A894&gt;TODAY()),0,IF(OR(INDEX($B894:$D894,P$5)="F",AND(P$6&gt;0,$A894&lt;P$6),AND(P$7&gt;0,$A894&gt;P$7)),0,MAX(0,ROUND((INDEX($E894:$G894,P$5)-SUMIFS(TF_Timer,TF_Tekniker,P$4,TF_Dato,$A894))*2,0)/2)))</f>
        <v/>
      </c>
      <c r="Q894">
        <f>IF(OR(Q$4="",$A894&gt;TODAY()),0,IF(OR(INDEX($B894:$D894,Q$5)="F",AND(Q$6&gt;0,$A894&lt;Q$6),AND(Q$7&gt;0,$A894&gt;Q$7)),0,MAX(0,ROUND((INDEX($E894:$G894,Q$5)-SUMIFS(TF_Timer,TF_Tekniker,Q$4,TF_Dato,$A894))*2,0)/2)))</f>
        <v/>
      </c>
      <c r="R894">
        <f>IF(OR(R$4="",$A894&gt;TODAY()),0,IF(OR(INDEX($B894:$D894,R$5)="F",AND(R$6&gt;0,$A894&lt;R$6),AND(R$7&gt;0,$A894&gt;R$7)),0,MAX(0,ROUND((INDEX($E894:$G894,R$5)-SUMIFS(TF_Timer,TF_Tekniker,R$4,TF_Dato,$A894))*2,0)/2)))</f>
        <v/>
      </c>
      <c r="S894">
        <f>IF(OR(S$4="",$A894&gt;TODAY()),0,IF(OR(INDEX($B894:$D894,S$5)="F",AND(S$6&gt;0,$A894&lt;S$6),AND(S$7&gt;0,$A894&gt;S$7)),0,MAX(0,ROUND((INDEX($E894:$G894,S$5)-SUMIFS(TF_Timer,TF_Tekniker,S$4,TF_Dato,$A894))*2,0)/2)))</f>
        <v/>
      </c>
      <c r="T894">
        <f>IF(OR(T$4="",$A894&gt;TODAY()),0,IF(OR(INDEX($B894:$D894,T$5)="F",AND(T$6&gt;0,$A894&lt;T$6),AND(T$7&gt;0,$A894&gt;T$7)),0,MAX(0,ROUND((INDEX($E894:$G894,T$5)-SUMIFS(TF_Timer,TF_Tekniker,T$4,TF_Dato,$A894))*2,0)/2)))</f>
        <v/>
      </c>
      <c r="U894">
        <f>IF(OR(U$4="",$A894&gt;TODAY()),0,IF(OR(INDEX($B894:$D894,U$5)="F",AND(U$6&gt;0,$A894&lt;U$6),AND(U$7&gt;0,$A894&gt;U$7)),0,MAX(0,ROUND((INDEX($E894:$G894,U$5)-SUMIFS(TF_Timer,TF_Tekniker,U$4,TF_Dato,$A894))*2,0)/2)))</f>
        <v/>
      </c>
      <c r="V894">
        <f>IF(OR(V$4="",$A894&gt;TODAY()),0,IF(OR(INDEX($B894:$D894,V$5)="F",AND(V$6&gt;0,$A894&lt;V$6),AND(V$7&gt;0,$A894&gt;V$7)),0,MAX(0,ROUND((INDEX($E894:$G894,V$5)-SUMIFS(TF_Timer,TF_Tekniker,V$4,TF_Dato,$A894))*2,0)/2)))</f>
        <v/>
      </c>
      <c r="W894">
        <f>IF(OR(W$4="",$A894&gt;TODAY()),0,IF(OR(INDEX($B894:$D894,W$5)="F",AND(W$6&gt;0,$A894&lt;W$6),AND(W$7&gt;0,$A894&gt;W$7)),0,MAX(0,ROUND((INDEX($E894:$G894,W$5)-SUMIFS(TF_Timer,TF_Tekniker,W$4,TF_Dato,$A894))*2,0)/2)))</f>
        <v/>
      </c>
      <c r="X894">
        <f>IF(OR(X$4="",$A894&gt;TODAY()),0,IF(OR(INDEX($B894:$D894,X$5)="F",AND(X$6&gt;0,$A894&lt;X$6),AND(X$7&gt;0,$A894&gt;X$7)),0,MAX(0,ROUND((INDEX($E894:$G894,X$5)-SUMIFS(TF_Timer,TF_Tekniker,X$4,TF_Dato,$A894))*2,0)/2)))</f>
        <v/>
      </c>
      <c r="Y894">
        <f>IF(OR(Y$4="",$A894&gt;TODAY()),0,IF(OR(INDEX($B894:$D894,Y$5)="F",AND(Y$6&gt;0,$A894&lt;Y$6),AND(Y$7&gt;0,$A894&gt;Y$7)),0,MAX(0,ROUND((INDEX($E894:$G894,Y$5)-SUMIFS(TF_Timer,TF_Tekniker,Y$4,TF_Dato,$A894))*2,0)/2)))</f>
        <v/>
      </c>
      <c r="Z894">
        <f>IF(OR(Z$4="",$A894&gt;TODAY()),0,IF(OR(INDEX($B894:$D894,Z$5)="F",AND(Z$6&gt;0,$A894&lt;Z$6),AND(Z$7&gt;0,$A894&gt;Z$7)),0,MAX(0,ROUND((INDEX($E894:$G894,Z$5)-SUMIFS(TF_Timer,TF_Tekniker,Z$4,TF_Dato,$A894))*2,0)/2)))</f>
        <v/>
      </c>
      <c r="AA894">
        <f>IF(OR(AA$4="",$A894&gt;TODAY()),0,IF(OR(INDEX($B894:$D894,AA$5)="F",AND(AA$6&gt;0,$A894&lt;AA$6),AND(AA$7&gt;0,$A894&gt;AA$7)),0,MAX(0,ROUND((INDEX($E894:$G894,AA$5)-SUMIFS(TF_Timer,TF_Tekniker,AA$4,TF_Dato,$A894))*2,0)/2)))</f>
        <v/>
      </c>
      <c r="AB894">
        <f>IF(OR(AB$4="",$A894&gt;TODAY()),0,IF(OR(INDEX($B894:$D894,AB$5)="F",AND(AB$6&gt;0,$A894&lt;AB$6),AND(AB$7&gt;0,$A894&gt;AB$7)),0,MAX(0,ROUND((INDEX($E894:$G894,AB$5)-SUMIFS(TF_Timer,TF_Tekniker,AB$4,TF_Dato,$A894))*2,0)/2)))</f>
        <v/>
      </c>
      <c r="AC894">
        <f>IF(OR(AC$4="",$A894&gt;TODAY()),0,IF(OR(INDEX($B894:$D894,AC$5)="F",AND(AC$6&gt;0,$A894&lt;AC$6),AND(AC$7&gt;0,$A894&gt;AC$7)),0,MAX(0,ROUND((INDEX($E894:$G894,AC$5)-SUMIFS(TF_Timer,TF_Tekniker,AC$4,TF_Dato,$A894))*2,0)/2)))</f>
        <v/>
      </c>
      <c r="AD894">
        <f>IF(OR(AD$4="",$A894&gt;TODAY()),0,IF(OR(INDEX($B894:$D894,AD$5)="F",AND(AD$6&gt;0,$A894&lt;AD$6),AND(AD$7&gt;0,$A894&gt;AD$7)),0,MAX(0,ROUND((INDEX($E894:$G894,AD$5)-SUMIFS(TF_Timer,TF_Tekniker,AD$4,TF_Dato,$A894))*2,0)/2)))</f>
        <v/>
      </c>
      <c r="AE894">
        <f>IF(OR(AE$4="",$A894&gt;TODAY()),0,IF(OR(INDEX($B894:$D894,AE$5)="F",AND(AE$6&gt;0,$A894&lt;AE$6),AND(AE$7&gt;0,$A894&gt;AE$7)),0,MAX(0,ROUND((INDEX($E894:$G894,AE$5)-SUMIFS(TF_Timer,TF_Tekniker,AE$4,TF_Dato,$A894))*2,0)/2)))</f>
        <v/>
      </c>
      <c r="AF894">
        <f>IF(OR(AF$4="",$A894&gt;TODAY()),0,IF(OR(INDEX($B894:$D894,AF$5)="F",AND(AF$6&gt;0,$A894&lt;AF$6),AND(AF$7&gt;0,$A894&gt;AF$7)),0,MAX(0,ROUND((INDEX($E894:$G894,AF$5)-SUMIFS(TF_Timer,TF_Tekniker,AF$4,TF_Dato,$A894))*2,0)/2)))</f>
        <v/>
      </c>
      <c r="AG894">
        <f>IF(OR(AG$4="",$A894&gt;TODAY()),0,IF(OR(INDEX($B894:$D894,AG$5)="F",AND(AG$6&gt;0,$A894&lt;AG$6),AND(AG$7&gt;0,$A894&gt;AG$7)),0,MAX(0,ROUND((INDEX($E894:$G894,AG$5)-SUMIFS(TF_Timer,TF_Tekniker,AG$4,TF_Dato,$A894))*2,0)/2)))</f>
        <v/>
      </c>
      <c r="AH894">
        <f>IF(OR(AH$4="",$A894&gt;TODAY()),0,IF(OR(INDEX($B894:$D894,AH$5)="F",AND(AH$6&gt;0,$A894&lt;AH$6),AND(AH$7&gt;0,$A894&gt;AH$7)),0,MAX(0,ROUND((INDEX($E894:$G894,AH$5)-SUMIFS(TF_Timer,TF_Tekniker,AH$4,TF_Dato,$A894))*2,0)/2)))</f>
        <v/>
      </c>
      <c r="AI894">
        <f>IF(OR(AI$4="",$A894&gt;TODAY()),0,IF(OR(INDEX($B894:$D894,AI$5)="F",AND(AI$6&gt;0,$A894&lt;AI$6),AND(AI$7&gt;0,$A894&gt;AI$7)),0,MAX(0,ROUND((INDEX($E894:$G894,AI$5)-SUMIFS(TF_Timer,TF_Tekniker,AI$4,TF_Dato,$A894))*2,0)/2)))</f>
        <v/>
      </c>
      <c r="AJ894">
        <f>IF(OR(AJ$4="",$A894&gt;TODAY()),0,IF(OR(INDEX($B894:$D894,AJ$5)="F",AND(AJ$6&gt;0,$A894&lt;AJ$6),AND(AJ$7&gt;0,$A894&gt;AJ$7)),0,MAX(0,ROUND((INDEX($E894:$G894,AJ$5)-SUMIFS(TF_Timer,TF_Tekniker,AJ$4,TF_Dato,$A894))*2,0)/2)))</f>
        <v/>
      </c>
      <c r="AK894">
        <f>IF(OR(AK$4="",$A894&gt;TODAY()),0,IF(OR(INDEX($B894:$D894,AK$5)="F",AND(AK$6&gt;0,$A894&lt;AK$6),AND(AK$7&gt;0,$A894&gt;AK$7)),0,MAX(0,ROUND((INDEX($E894:$G894,AK$5)-SUMIFS(TF_Timer,TF_Tekniker,AK$4,TF_Dato,$A894))*2,0)/2)))</f>
        <v/>
      </c>
      <c r="AL894">
        <f>IF(OR(AL$4="",$A894&gt;TODAY()),0,IF(OR(INDEX($B894:$D894,AL$5)="F",AND(AL$6&gt;0,$A894&lt;AL$6),AND(AL$7&gt;0,$A894&gt;AL$7)),0,MAX(0,ROUND((INDEX($E894:$G894,AL$5)-SUMIFS(TF_Timer,TF_Tekniker,AL$4,TF_Dato,$A894))*2,0)/2)))</f>
        <v/>
      </c>
      <c r="AM894">
        <f>IF(OR(AM$4="",$A894&gt;TODAY()),0,IF(OR(INDEX($B894:$D894,AM$5)="F",AND(AM$6&gt;0,$A894&lt;AM$6),AND(AM$7&gt;0,$A894&gt;AM$7)),0,MAX(0,ROUND((INDEX($E894:$G894,AM$5)-SUMIFS(TF_Timer,TF_Tekniker,AM$4,TF_Dato,$A894))*2,0)/2)))</f>
        <v/>
      </c>
      <c r="AN894">
        <f>IF(OR(AN$4="",$A894&gt;TODAY()),0,IF(OR(INDEX($B894:$D894,AN$5)="F",AND(AN$6&gt;0,$A894&lt;AN$6),AND(AN$7&gt;0,$A894&gt;AN$7)),0,MAX(0,ROUND((INDEX($E894:$G894,AN$5)-SUMIFS(TF_Timer,TF_Tekniker,AN$4,TF_Dato,$A894))*2,0)/2)))</f>
        <v/>
      </c>
      <c r="AO894">
        <f>IF(OR(AO$4="",$A894&gt;TODAY()),0,IF(OR(INDEX($B894:$D894,AO$5)="F",AND(AO$6&gt;0,$A894&lt;AO$6),AND(AO$7&gt;0,$A894&gt;AO$7)),0,MAX(0,ROUND((INDEX($E894:$G894,AO$5)-SUMIFS(TF_Timer,TF_Tekniker,AO$4,TF_Dato,$A894))*2,0)/2)))</f>
        <v/>
      </c>
      <c r="AP894">
        <f>IF(OR(AP$4="",$A894&gt;TODAY()),0,IF(OR(INDEX($B894:$D894,AP$5)="F",AND(AP$6&gt;0,$A894&lt;AP$6),AND(AP$7&gt;0,$A894&gt;AP$7)),0,MAX(0,ROUND((INDEX($E894:$G894,AP$5)-SUMIFS(TF_Timer,TF_Tekniker,AP$4,TF_Dato,$A894))*2,0)/2)))</f>
        <v/>
      </c>
      <c r="AQ894">
        <f>IF(OR(AQ$4="",$A894&gt;TODAY()),0,IF(OR(INDEX($B894:$D894,AQ$5)="F",AND(AQ$6&gt;0,$A894&lt;AQ$6),AND(AQ$7&gt;0,$A894&gt;AQ$7)),0,MAX(0,ROUND((INDEX($E894:$G894,AQ$5)-SUMIFS(TF_Timer,TF_Tekniker,AQ$4,TF_Dato,$A894))*2,0)/2)))</f>
        <v/>
      </c>
      <c r="AR894">
        <f>IF(OR(AR$4="",$A894&gt;TODAY()),0,IF(OR(INDEX($B894:$D894,AR$5)="F",AND(AR$6&gt;0,$A894&lt;AR$6),AND(AR$7&gt;0,$A894&gt;AR$7)),0,MAX(0,ROUND((INDEX($E894:$G894,AR$5)-SUMIFS(TF_Timer,TF_Tekniker,AR$4,TF_Dato,$A894))*2,0)/2)))</f>
        <v/>
      </c>
      <c r="AS894">
        <f>IF(OR(AS$4="",$A894&gt;TODAY()),0,IF(OR(INDEX($B894:$D894,AS$5)="F",AND(AS$6&gt;0,$A894&lt;AS$6),AND(AS$7&gt;0,$A894&gt;AS$7)),0,MAX(0,ROUND((INDEX($E894:$G894,AS$5)-SUMIFS(TF_Timer,TF_Tekniker,AS$4,TF_Dato,$A894))*2,0)/2)))</f>
        <v/>
      </c>
      <c r="AT894">
        <f>IF(OR(AT$4="",$A894&gt;TODAY()),0,IF(OR(INDEX($B894:$D894,AT$5)="F",AND(AT$6&gt;0,$A894&lt;AT$6),AND(AT$7&gt;0,$A894&gt;AT$7)),0,MAX(0,ROUND((INDEX($E894:$G894,AT$5)-SUMIFS(TF_Timer,TF_Tekniker,AT$4,TF_Dato,$A894))*2,0)/2)))</f>
        <v/>
      </c>
      <c r="AU894">
        <f>IF(OR(AU$4="",$A894&gt;TODAY()),0,IF(OR(INDEX($B894:$D894,AU$5)="F",AND(AU$6&gt;0,$A894&lt;AU$6),AND(AU$7&gt;0,$A894&gt;AU$7)),0,MAX(0,ROUND((INDEX($E894:$G894,AU$5)-SUMIFS(TF_Timer,TF_Tekniker,AU$4,TF_Dato,$A894))*2,0)/2)))</f>
        <v/>
      </c>
      <c r="AV894">
        <f>IF(OR(AV$4="",$A894&gt;TODAY()),0,IF(OR(INDEX($B894:$D894,AV$5)="F",AND(AV$6&gt;0,$A894&lt;AV$6),AND(AV$7&gt;0,$A894&gt;AV$7)),0,MAX(0,ROUND((INDEX($E894:$G894,AV$5)-SUMIFS(TF_Timer,TF_Tekniker,AV$4,TF_Dato,$A894))*2,0)/2)))</f>
        <v/>
      </c>
      <c r="AW894">
        <f>IF(OR(AW$4="",$A894&gt;TODAY()),0,IF(OR(INDEX($B894:$D894,AW$5)="F",AND(AW$6&gt;0,$A894&lt;AW$6),AND(AW$7&gt;0,$A894&gt;AW$7)),0,MAX(0,ROUND((INDEX($E894:$G894,AW$5)-SUMIFS(TF_Timer,TF_Tekniker,AW$4,TF_Dato,$A894))*2,0)/2)))</f>
        <v/>
      </c>
      <c r="AX894">
        <f>IF(OR(AX$4="",$A894&gt;TODAY()),0,IF(OR(INDEX($B894:$D894,AX$5)="F",AND(AX$6&gt;0,$A894&lt;AX$6),AND(AX$7&gt;0,$A894&gt;AX$7)),0,MAX(0,ROUND((INDEX($E894:$G894,AX$5)-SUMIFS(TF_Timer,TF_Tekniker,AX$4,TF_Dato,$A894))*2,0)/2)))</f>
        <v/>
      </c>
      <c r="AY894">
        <f>IF(OR(AY$4="",$A894&gt;TODAY()),0,IF(OR(INDEX($B894:$D894,AY$5)="F",AND(AY$6&gt;0,$A894&lt;AY$6),AND(AY$7&gt;0,$A894&gt;AY$7)),0,MAX(0,ROUND((INDEX($E894:$G894,AY$5)-SUMIFS(TF_Timer,TF_Tekniker,AY$4,TF_Dato,$A894))*2,0)/2)))</f>
        <v/>
      </c>
      <c r="AZ894">
        <f>IF(OR(AZ$4="",$A894&gt;TODAY()),0,IF(OR(INDEX($B894:$D894,AZ$5)="F",AND(AZ$6&gt;0,$A894&lt;AZ$6),AND(AZ$7&gt;0,$A894&gt;AZ$7)),0,MAX(0,ROUND((INDEX($E894:$G894,AZ$5)-SUMIFS(TF_Timer,TF_Tekniker,AZ$4,TF_Dato,$A894))*2,0)/2)))</f>
        <v/>
      </c>
      <c r="BA894">
        <f>IF(OR(BA$4="",$A894&gt;TODAY()),0,IF(OR(INDEX($B894:$D894,BA$5)="F",AND(BA$6&gt;0,$A894&lt;BA$6),AND(BA$7&gt;0,$A894&gt;BA$7)),0,MAX(0,ROUND((INDEX($E894:$G894,BA$5)-SUMIFS(TF_Timer,TF_Tekniker,BA$4,TF_Dato,$A894))*2,0)/2)))</f>
        <v/>
      </c>
      <c r="BB894">
        <f>IF(OR(BB$4="",$A894&gt;TODAY()),0,IF(OR(INDEX($B894:$D894,BB$5)="F",AND(BB$6&gt;0,$A894&lt;BB$6),AND(BB$7&gt;0,$A894&gt;BB$7)),0,MAX(0,ROUND((INDEX($E894:$G894,BB$5)-SUMIFS(TF_Timer,TF_Tekniker,BB$4,TF_Dato,$A894))*2,0)/2)))</f>
        <v/>
      </c>
      <c r="BC894">
        <f>IF(OR(BC$4="",$A894&gt;TODAY()),0,IF(OR(INDEX($B894:$D894,BC$5)="F",AND(BC$6&gt;0,$A894&lt;BC$6),AND(BC$7&gt;0,$A894&gt;BC$7)),0,MAX(0,ROUND((INDEX($E894:$G894,BC$5)-SUMIFS(TF_Timer,TF_Tekniker,BC$4,TF_Dato,$A894))*2,0)/2)))</f>
        <v/>
      </c>
      <c r="BD894">
        <f>IF(OR(BD$4="",$A894&gt;TODAY()),0,IF(OR(INDEX($B894:$D894,BD$5)="F",AND(BD$6&gt;0,$A894&lt;BD$6),AND(BD$7&gt;0,$A894&gt;BD$7)),0,MAX(0,ROUND((INDEX($E894:$G894,BD$5)-SUMIFS(TF_Timer,TF_Tekniker,BD$4,TF_Dato,$A894))*2,0)/2)))</f>
        <v/>
      </c>
      <c r="BE894">
        <f>IF(OR(BE$4="",$A894&gt;TODAY()),0,IF(OR(INDEX($B894:$D894,BE$5)="F",AND(BE$6&gt;0,$A894&lt;BE$6),AND(BE$7&gt;0,$A894&gt;BE$7)),0,MAX(0,ROUND((INDEX($E894:$G894,BE$5)-SUMIFS(TF_Timer,TF_Tekniker,BE$4,TF_Dato,$A894))*2,0)/2)))</f>
        <v/>
      </c>
      <c r="BF894">
        <f>IF(OR(BF$4="",$A894&gt;TODAY()),0,IF(OR(INDEX($B894:$D894,BF$5)="F",AND(BF$6&gt;0,$A894&lt;BF$6),AND(BF$7&gt;0,$A894&gt;BF$7)),0,MAX(0,ROUND((INDEX($E894:$G894,BF$5)-SUMIFS(TF_Timer,TF_Tekniker,BF$4,TF_Dato,$A894))*2,0)/2)))</f>
        <v/>
      </c>
      <c r="BG894">
        <f>IF(OR(BG$4="",$A894&gt;TODAY()),0,IF(OR(INDEX($B894:$D894,BG$5)="F",AND(BG$6&gt;0,$A894&lt;BG$6),AND(BG$7&gt;0,$A894&gt;BG$7)),0,MAX(0,ROUND((INDEX($E894:$G894,BG$5)-SUMIFS(TF_Timer,TF_Tekniker,BG$4,TF_Dato,$A894))*2,0)/2)))</f>
        <v/>
      </c>
      <c r="BH894">
        <f>IF(OR(BH$4="",$A894&gt;TODAY()),0,IF(OR(INDEX($B894:$D894,BH$5)="F",AND(BH$6&gt;0,$A894&lt;BH$6),AND(BH$7&gt;0,$A894&gt;BH$7)),0,MAX(0,ROUND((INDEX($E894:$G894,BH$5)-SUMIFS(TF_Timer,TF_Tekniker,BH$4,TF_Dato,$A894))*2,0)/2)))</f>
        <v/>
      </c>
      <c r="BI894">
        <f>IF(OR(BI$4="",$A894&gt;TODAY()),0,IF(OR(INDEX($B894:$D894,BI$5)="F",AND(BI$6&gt;0,$A894&lt;BI$6),AND(BI$7&gt;0,$A894&gt;BI$7)),0,MAX(0,ROUND((INDEX($E894:$G894,BI$5)-SUMIFS(TF_Timer,TF_Tekniker,BI$4,TF_Dato,$A894))*2,0)/2)))</f>
        <v/>
      </c>
    </row>
    <row r="895">
      <c r="A895" s="64">
        <f>A894+1</f>
        <v/>
      </c>
      <c r="B895">
        <f>IF(MOD($A895-INDEX(SkiftStart,1),Syklus)&lt;DagK,"K",IF(MOD($A895-INDEX(SkiftStart,1),Syklus)&lt;DagK+DagH,"H",IF(MOD($A895-INDEX(SkiftStart,1),Syklus)&lt;DagK+DagH+DagD,"D","F")))</f>
        <v/>
      </c>
      <c r="C895">
        <f>IF(MOD($A895-INDEX(SkiftStart,2),Syklus)&lt;DagK,"K",IF(MOD($A895-INDEX(SkiftStart,2),Syklus)&lt;DagK+DagH,"H",IF(MOD($A895-INDEX(SkiftStart,2),Syklus)&lt;DagK+DagH+DagD,"D","F")))</f>
        <v/>
      </c>
      <c r="D895">
        <f>IF(MOD($A895-INDEX(SkiftStart,3),Syklus)&lt;DagK,"K",IF(MOD($A895-INDEX(SkiftStart,3),Syklus)&lt;DagK+DagH,"H",IF(MOD($A895-INDEX(SkiftStart,3),Syklus)&lt;DagK+DagH+DagD,"D","F")))</f>
        <v/>
      </c>
      <c r="E895">
        <f>IF(B895="F",0,IF(WEEKDAY($A895,2)=5,INDEX(TimerFr,MATCH(B895,FaseKode,0)),INDEX(TimerMT,MATCH(B895,FaseKode,0))))</f>
        <v/>
      </c>
      <c r="F895">
        <f>IF(C895="F",0,IF(WEEKDAY($A895,2)=5,INDEX(TimerFr,MATCH(C895,FaseKode,0)),INDEX(TimerMT,MATCH(C895,FaseKode,0))))</f>
        <v/>
      </c>
      <c r="G895">
        <f>IF(D895="F",0,IF(WEEKDAY($A895,2)=5,INDEX(TimerFr,MATCH(D895,FaseKode,0)),INDEX(TimerMT,MATCH(D895,FaseKode,0))))</f>
        <v/>
      </c>
      <c r="H895">
        <f>IF(OR(H$4="",$A895&gt;TODAY()),0,IF(OR(INDEX($B895:$D895,H$5)="F",AND(H$6&gt;0,$A895&lt;H$6),AND(H$7&gt;0,$A895&gt;H$7)),0,MAX(0,ROUND((INDEX($E895:$G895,H$5)-SUMIFS(TF_Timer,TF_Tekniker,H$4,TF_Dato,$A895))*2,0)/2)))</f>
        <v/>
      </c>
      <c r="I895">
        <f>IF(OR(I$4="",$A895&gt;TODAY()),0,IF(OR(INDEX($B895:$D895,I$5)="F",AND(I$6&gt;0,$A895&lt;I$6),AND(I$7&gt;0,$A895&gt;I$7)),0,MAX(0,ROUND((INDEX($E895:$G895,I$5)-SUMIFS(TF_Timer,TF_Tekniker,I$4,TF_Dato,$A895))*2,0)/2)))</f>
        <v/>
      </c>
      <c r="J895">
        <f>IF(OR(J$4="",$A895&gt;TODAY()),0,IF(OR(INDEX($B895:$D895,J$5)="F",AND(J$6&gt;0,$A895&lt;J$6),AND(J$7&gt;0,$A895&gt;J$7)),0,MAX(0,ROUND((INDEX($E895:$G895,J$5)-SUMIFS(TF_Timer,TF_Tekniker,J$4,TF_Dato,$A895))*2,0)/2)))</f>
        <v/>
      </c>
      <c r="K895">
        <f>IF(OR(K$4="",$A895&gt;TODAY()),0,IF(OR(INDEX($B895:$D895,K$5)="F",AND(K$6&gt;0,$A895&lt;K$6),AND(K$7&gt;0,$A895&gt;K$7)),0,MAX(0,ROUND((INDEX($E895:$G895,K$5)-SUMIFS(TF_Timer,TF_Tekniker,K$4,TF_Dato,$A895))*2,0)/2)))</f>
        <v/>
      </c>
      <c r="L895">
        <f>IF(OR(L$4="",$A895&gt;TODAY()),0,IF(OR(INDEX($B895:$D895,L$5)="F",AND(L$6&gt;0,$A895&lt;L$6),AND(L$7&gt;0,$A895&gt;L$7)),0,MAX(0,ROUND((INDEX($E895:$G895,L$5)-SUMIFS(TF_Timer,TF_Tekniker,L$4,TF_Dato,$A895))*2,0)/2)))</f>
        <v/>
      </c>
      <c r="M895">
        <f>IF(OR(M$4="",$A895&gt;TODAY()),0,IF(OR(INDEX($B895:$D895,M$5)="F",AND(M$6&gt;0,$A895&lt;M$6),AND(M$7&gt;0,$A895&gt;M$7)),0,MAX(0,ROUND((INDEX($E895:$G895,M$5)-SUMIFS(TF_Timer,TF_Tekniker,M$4,TF_Dato,$A895))*2,0)/2)))</f>
        <v/>
      </c>
      <c r="N895">
        <f>IF(OR(N$4="",$A895&gt;TODAY()),0,IF(OR(INDEX($B895:$D895,N$5)="F",AND(N$6&gt;0,$A895&lt;N$6),AND(N$7&gt;0,$A895&gt;N$7)),0,MAX(0,ROUND((INDEX($E895:$G895,N$5)-SUMIFS(TF_Timer,TF_Tekniker,N$4,TF_Dato,$A895))*2,0)/2)))</f>
        <v/>
      </c>
      <c r="O895">
        <f>IF(OR(O$4="",$A895&gt;TODAY()),0,IF(OR(INDEX($B895:$D895,O$5)="F",AND(O$6&gt;0,$A895&lt;O$6),AND(O$7&gt;0,$A895&gt;O$7)),0,MAX(0,ROUND((INDEX($E895:$G895,O$5)-SUMIFS(TF_Timer,TF_Tekniker,O$4,TF_Dato,$A895))*2,0)/2)))</f>
        <v/>
      </c>
      <c r="P895">
        <f>IF(OR(P$4="",$A895&gt;TODAY()),0,IF(OR(INDEX($B895:$D895,P$5)="F",AND(P$6&gt;0,$A895&lt;P$6),AND(P$7&gt;0,$A895&gt;P$7)),0,MAX(0,ROUND((INDEX($E895:$G895,P$5)-SUMIFS(TF_Timer,TF_Tekniker,P$4,TF_Dato,$A895))*2,0)/2)))</f>
        <v/>
      </c>
      <c r="Q895">
        <f>IF(OR(Q$4="",$A895&gt;TODAY()),0,IF(OR(INDEX($B895:$D895,Q$5)="F",AND(Q$6&gt;0,$A895&lt;Q$6),AND(Q$7&gt;0,$A895&gt;Q$7)),0,MAX(0,ROUND((INDEX($E895:$G895,Q$5)-SUMIFS(TF_Timer,TF_Tekniker,Q$4,TF_Dato,$A895))*2,0)/2)))</f>
        <v/>
      </c>
      <c r="R895">
        <f>IF(OR(R$4="",$A895&gt;TODAY()),0,IF(OR(INDEX($B895:$D895,R$5)="F",AND(R$6&gt;0,$A895&lt;R$6),AND(R$7&gt;0,$A895&gt;R$7)),0,MAX(0,ROUND((INDEX($E895:$G895,R$5)-SUMIFS(TF_Timer,TF_Tekniker,R$4,TF_Dato,$A895))*2,0)/2)))</f>
        <v/>
      </c>
      <c r="S895">
        <f>IF(OR(S$4="",$A895&gt;TODAY()),0,IF(OR(INDEX($B895:$D895,S$5)="F",AND(S$6&gt;0,$A895&lt;S$6),AND(S$7&gt;0,$A895&gt;S$7)),0,MAX(0,ROUND((INDEX($E895:$G895,S$5)-SUMIFS(TF_Timer,TF_Tekniker,S$4,TF_Dato,$A895))*2,0)/2)))</f>
        <v/>
      </c>
      <c r="T895">
        <f>IF(OR(T$4="",$A895&gt;TODAY()),0,IF(OR(INDEX($B895:$D895,T$5)="F",AND(T$6&gt;0,$A895&lt;T$6),AND(T$7&gt;0,$A895&gt;T$7)),0,MAX(0,ROUND((INDEX($E895:$G895,T$5)-SUMIFS(TF_Timer,TF_Tekniker,T$4,TF_Dato,$A895))*2,0)/2)))</f>
        <v/>
      </c>
      <c r="U895">
        <f>IF(OR(U$4="",$A895&gt;TODAY()),0,IF(OR(INDEX($B895:$D895,U$5)="F",AND(U$6&gt;0,$A895&lt;U$6),AND(U$7&gt;0,$A895&gt;U$7)),0,MAX(0,ROUND((INDEX($E895:$G895,U$5)-SUMIFS(TF_Timer,TF_Tekniker,U$4,TF_Dato,$A895))*2,0)/2)))</f>
        <v/>
      </c>
      <c r="V895">
        <f>IF(OR(V$4="",$A895&gt;TODAY()),0,IF(OR(INDEX($B895:$D895,V$5)="F",AND(V$6&gt;0,$A895&lt;V$6),AND(V$7&gt;0,$A895&gt;V$7)),0,MAX(0,ROUND((INDEX($E895:$G895,V$5)-SUMIFS(TF_Timer,TF_Tekniker,V$4,TF_Dato,$A895))*2,0)/2)))</f>
        <v/>
      </c>
      <c r="W895">
        <f>IF(OR(W$4="",$A895&gt;TODAY()),0,IF(OR(INDEX($B895:$D895,W$5)="F",AND(W$6&gt;0,$A895&lt;W$6),AND(W$7&gt;0,$A895&gt;W$7)),0,MAX(0,ROUND((INDEX($E895:$G895,W$5)-SUMIFS(TF_Timer,TF_Tekniker,W$4,TF_Dato,$A895))*2,0)/2)))</f>
        <v/>
      </c>
      <c r="X895">
        <f>IF(OR(X$4="",$A895&gt;TODAY()),0,IF(OR(INDEX($B895:$D895,X$5)="F",AND(X$6&gt;0,$A895&lt;X$6),AND(X$7&gt;0,$A895&gt;X$7)),0,MAX(0,ROUND((INDEX($E895:$G895,X$5)-SUMIFS(TF_Timer,TF_Tekniker,X$4,TF_Dato,$A895))*2,0)/2)))</f>
        <v/>
      </c>
      <c r="Y895">
        <f>IF(OR(Y$4="",$A895&gt;TODAY()),0,IF(OR(INDEX($B895:$D895,Y$5)="F",AND(Y$6&gt;0,$A895&lt;Y$6),AND(Y$7&gt;0,$A895&gt;Y$7)),0,MAX(0,ROUND((INDEX($E895:$G895,Y$5)-SUMIFS(TF_Timer,TF_Tekniker,Y$4,TF_Dato,$A895))*2,0)/2)))</f>
        <v/>
      </c>
      <c r="Z895">
        <f>IF(OR(Z$4="",$A895&gt;TODAY()),0,IF(OR(INDEX($B895:$D895,Z$5)="F",AND(Z$6&gt;0,$A895&lt;Z$6),AND(Z$7&gt;0,$A895&gt;Z$7)),0,MAX(0,ROUND((INDEX($E895:$G895,Z$5)-SUMIFS(TF_Timer,TF_Tekniker,Z$4,TF_Dato,$A895))*2,0)/2)))</f>
        <v/>
      </c>
      <c r="AA895">
        <f>IF(OR(AA$4="",$A895&gt;TODAY()),0,IF(OR(INDEX($B895:$D895,AA$5)="F",AND(AA$6&gt;0,$A895&lt;AA$6),AND(AA$7&gt;0,$A895&gt;AA$7)),0,MAX(0,ROUND((INDEX($E895:$G895,AA$5)-SUMIFS(TF_Timer,TF_Tekniker,AA$4,TF_Dato,$A895))*2,0)/2)))</f>
        <v/>
      </c>
      <c r="AB895">
        <f>IF(OR(AB$4="",$A895&gt;TODAY()),0,IF(OR(INDEX($B895:$D895,AB$5)="F",AND(AB$6&gt;0,$A895&lt;AB$6),AND(AB$7&gt;0,$A895&gt;AB$7)),0,MAX(0,ROUND((INDEX($E895:$G895,AB$5)-SUMIFS(TF_Timer,TF_Tekniker,AB$4,TF_Dato,$A895))*2,0)/2)))</f>
        <v/>
      </c>
      <c r="AC895">
        <f>IF(OR(AC$4="",$A895&gt;TODAY()),0,IF(OR(INDEX($B895:$D895,AC$5)="F",AND(AC$6&gt;0,$A895&lt;AC$6),AND(AC$7&gt;0,$A895&gt;AC$7)),0,MAX(0,ROUND((INDEX($E895:$G895,AC$5)-SUMIFS(TF_Timer,TF_Tekniker,AC$4,TF_Dato,$A895))*2,0)/2)))</f>
        <v/>
      </c>
      <c r="AD895">
        <f>IF(OR(AD$4="",$A895&gt;TODAY()),0,IF(OR(INDEX($B895:$D895,AD$5)="F",AND(AD$6&gt;0,$A895&lt;AD$6),AND(AD$7&gt;0,$A895&gt;AD$7)),0,MAX(0,ROUND((INDEX($E895:$G895,AD$5)-SUMIFS(TF_Timer,TF_Tekniker,AD$4,TF_Dato,$A895))*2,0)/2)))</f>
        <v/>
      </c>
      <c r="AE895">
        <f>IF(OR(AE$4="",$A895&gt;TODAY()),0,IF(OR(INDEX($B895:$D895,AE$5)="F",AND(AE$6&gt;0,$A895&lt;AE$6),AND(AE$7&gt;0,$A895&gt;AE$7)),0,MAX(0,ROUND((INDEX($E895:$G895,AE$5)-SUMIFS(TF_Timer,TF_Tekniker,AE$4,TF_Dato,$A895))*2,0)/2)))</f>
        <v/>
      </c>
      <c r="AF895">
        <f>IF(OR(AF$4="",$A895&gt;TODAY()),0,IF(OR(INDEX($B895:$D895,AF$5)="F",AND(AF$6&gt;0,$A895&lt;AF$6),AND(AF$7&gt;0,$A895&gt;AF$7)),0,MAX(0,ROUND((INDEX($E895:$G895,AF$5)-SUMIFS(TF_Timer,TF_Tekniker,AF$4,TF_Dato,$A895))*2,0)/2)))</f>
        <v/>
      </c>
      <c r="AG895">
        <f>IF(OR(AG$4="",$A895&gt;TODAY()),0,IF(OR(INDEX($B895:$D895,AG$5)="F",AND(AG$6&gt;0,$A895&lt;AG$6),AND(AG$7&gt;0,$A895&gt;AG$7)),0,MAX(0,ROUND((INDEX($E895:$G895,AG$5)-SUMIFS(TF_Timer,TF_Tekniker,AG$4,TF_Dato,$A895))*2,0)/2)))</f>
        <v/>
      </c>
      <c r="AH895">
        <f>IF(OR(AH$4="",$A895&gt;TODAY()),0,IF(OR(INDEX($B895:$D895,AH$5)="F",AND(AH$6&gt;0,$A895&lt;AH$6),AND(AH$7&gt;0,$A895&gt;AH$7)),0,MAX(0,ROUND((INDEX($E895:$G895,AH$5)-SUMIFS(TF_Timer,TF_Tekniker,AH$4,TF_Dato,$A895))*2,0)/2)))</f>
        <v/>
      </c>
      <c r="AI895">
        <f>IF(OR(AI$4="",$A895&gt;TODAY()),0,IF(OR(INDEX($B895:$D895,AI$5)="F",AND(AI$6&gt;0,$A895&lt;AI$6),AND(AI$7&gt;0,$A895&gt;AI$7)),0,MAX(0,ROUND((INDEX($E895:$G895,AI$5)-SUMIFS(TF_Timer,TF_Tekniker,AI$4,TF_Dato,$A895))*2,0)/2)))</f>
        <v/>
      </c>
      <c r="AJ895">
        <f>IF(OR(AJ$4="",$A895&gt;TODAY()),0,IF(OR(INDEX($B895:$D895,AJ$5)="F",AND(AJ$6&gt;0,$A895&lt;AJ$6),AND(AJ$7&gt;0,$A895&gt;AJ$7)),0,MAX(0,ROUND((INDEX($E895:$G895,AJ$5)-SUMIFS(TF_Timer,TF_Tekniker,AJ$4,TF_Dato,$A895))*2,0)/2)))</f>
        <v/>
      </c>
      <c r="AK895">
        <f>IF(OR(AK$4="",$A895&gt;TODAY()),0,IF(OR(INDEX($B895:$D895,AK$5)="F",AND(AK$6&gt;0,$A895&lt;AK$6),AND(AK$7&gt;0,$A895&gt;AK$7)),0,MAX(0,ROUND((INDEX($E895:$G895,AK$5)-SUMIFS(TF_Timer,TF_Tekniker,AK$4,TF_Dato,$A895))*2,0)/2)))</f>
        <v/>
      </c>
      <c r="AL895">
        <f>IF(OR(AL$4="",$A895&gt;TODAY()),0,IF(OR(INDEX($B895:$D895,AL$5)="F",AND(AL$6&gt;0,$A895&lt;AL$6),AND(AL$7&gt;0,$A895&gt;AL$7)),0,MAX(0,ROUND((INDEX($E895:$G895,AL$5)-SUMIFS(TF_Timer,TF_Tekniker,AL$4,TF_Dato,$A895))*2,0)/2)))</f>
        <v/>
      </c>
      <c r="AM895">
        <f>IF(OR(AM$4="",$A895&gt;TODAY()),0,IF(OR(INDEX($B895:$D895,AM$5)="F",AND(AM$6&gt;0,$A895&lt;AM$6),AND(AM$7&gt;0,$A895&gt;AM$7)),0,MAX(0,ROUND((INDEX($E895:$G895,AM$5)-SUMIFS(TF_Timer,TF_Tekniker,AM$4,TF_Dato,$A895))*2,0)/2)))</f>
        <v/>
      </c>
      <c r="AN895">
        <f>IF(OR(AN$4="",$A895&gt;TODAY()),0,IF(OR(INDEX($B895:$D895,AN$5)="F",AND(AN$6&gt;0,$A895&lt;AN$6),AND(AN$7&gt;0,$A895&gt;AN$7)),0,MAX(0,ROUND((INDEX($E895:$G895,AN$5)-SUMIFS(TF_Timer,TF_Tekniker,AN$4,TF_Dato,$A895))*2,0)/2)))</f>
        <v/>
      </c>
      <c r="AO895">
        <f>IF(OR(AO$4="",$A895&gt;TODAY()),0,IF(OR(INDEX($B895:$D895,AO$5)="F",AND(AO$6&gt;0,$A895&lt;AO$6),AND(AO$7&gt;0,$A895&gt;AO$7)),0,MAX(0,ROUND((INDEX($E895:$G895,AO$5)-SUMIFS(TF_Timer,TF_Tekniker,AO$4,TF_Dato,$A895))*2,0)/2)))</f>
        <v/>
      </c>
      <c r="AP895">
        <f>IF(OR(AP$4="",$A895&gt;TODAY()),0,IF(OR(INDEX($B895:$D895,AP$5)="F",AND(AP$6&gt;0,$A895&lt;AP$6),AND(AP$7&gt;0,$A895&gt;AP$7)),0,MAX(0,ROUND((INDEX($E895:$G895,AP$5)-SUMIFS(TF_Timer,TF_Tekniker,AP$4,TF_Dato,$A895))*2,0)/2)))</f>
        <v/>
      </c>
      <c r="AQ895">
        <f>IF(OR(AQ$4="",$A895&gt;TODAY()),0,IF(OR(INDEX($B895:$D895,AQ$5)="F",AND(AQ$6&gt;0,$A895&lt;AQ$6),AND(AQ$7&gt;0,$A895&gt;AQ$7)),0,MAX(0,ROUND((INDEX($E895:$G895,AQ$5)-SUMIFS(TF_Timer,TF_Tekniker,AQ$4,TF_Dato,$A895))*2,0)/2)))</f>
        <v/>
      </c>
      <c r="AR895">
        <f>IF(OR(AR$4="",$A895&gt;TODAY()),0,IF(OR(INDEX($B895:$D895,AR$5)="F",AND(AR$6&gt;0,$A895&lt;AR$6),AND(AR$7&gt;0,$A895&gt;AR$7)),0,MAX(0,ROUND((INDEX($E895:$G895,AR$5)-SUMIFS(TF_Timer,TF_Tekniker,AR$4,TF_Dato,$A895))*2,0)/2)))</f>
        <v/>
      </c>
      <c r="AS895">
        <f>IF(OR(AS$4="",$A895&gt;TODAY()),0,IF(OR(INDEX($B895:$D895,AS$5)="F",AND(AS$6&gt;0,$A895&lt;AS$6),AND(AS$7&gt;0,$A895&gt;AS$7)),0,MAX(0,ROUND((INDEX($E895:$G895,AS$5)-SUMIFS(TF_Timer,TF_Tekniker,AS$4,TF_Dato,$A895))*2,0)/2)))</f>
        <v/>
      </c>
      <c r="AT895">
        <f>IF(OR(AT$4="",$A895&gt;TODAY()),0,IF(OR(INDEX($B895:$D895,AT$5)="F",AND(AT$6&gt;0,$A895&lt;AT$6),AND(AT$7&gt;0,$A895&gt;AT$7)),0,MAX(0,ROUND((INDEX($E895:$G895,AT$5)-SUMIFS(TF_Timer,TF_Tekniker,AT$4,TF_Dato,$A895))*2,0)/2)))</f>
        <v/>
      </c>
      <c r="AU895">
        <f>IF(OR(AU$4="",$A895&gt;TODAY()),0,IF(OR(INDEX($B895:$D895,AU$5)="F",AND(AU$6&gt;0,$A895&lt;AU$6),AND(AU$7&gt;0,$A895&gt;AU$7)),0,MAX(0,ROUND((INDEX($E895:$G895,AU$5)-SUMIFS(TF_Timer,TF_Tekniker,AU$4,TF_Dato,$A895))*2,0)/2)))</f>
        <v/>
      </c>
      <c r="AV895">
        <f>IF(OR(AV$4="",$A895&gt;TODAY()),0,IF(OR(INDEX($B895:$D895,AV$5)="F",AND(AV$6&gt;0,$A895&lt;AV$6),AND(AV$7&gt;0,$A895&gt;AV$7)),0,MAX(0,ROUND((INDEX($E895:$G895,AV$5)-SUMIFS(TF_Timer,TF_Tekniker,AV$4,TF_Dato,$A895))*2,0)/2)))</f>
        <v/>
      </c>
      <c r="AW895">
        <f>IF(OR(AW$4="",$A895&gt;TODAY()),0,IF(OR(INDEX($B895:$D895,AW$5)="F",AND(AW$6&gt;0,$A895&lt;AW$6),AND(AW$7&gt;0,$A895&gt;AW$7)),0,MAX(0,ROUND((INDEX($E895:$G895,AW$5)-SUMIFS(TF_Timer,TF_Tekniker,AW$4,TF_Dato,$A895))*2,0)/2)))</f>
        <v/>
      </c>
      <c r="AX895">
        <f>IF(OR(AX$4="",$A895&gt;TODAY()),0,IF(OR(INDEX($B895:$D895,AX$5)="F",AND(AX$6&gt;0,$A895&lt;AX$6),AND(AX$7&gt;0,$A895&gt;AX$7)),0,MAX(0,ROUND((INDEX($E895:$G895,AX$5)-SUMIFS(TF_Timer,TF_Tekniker,AX$4,TF_Dato,$A895))*2,0)/2)))</f>
        <v/>
      </c>
      <c r="AY895">
        <f>IF(OR(AY$4="",$A895&gt;TODAY()),0,IF(OR(INDEX($B895:$D895,AY$5)="F",AND(AY$6&gt;0,$A895&lt;AY$6),AND(AY$7&gt;0,$A895&gt;AY$7)),0,MAX(0,ROUND((INDEX($E895:$G895,AY$5)-SUMIFS(TF_Timer,TF_Tekniker,AY$4,TF_Dato,$A895))*2,0)/2)))</f>
        <v/>
      </c>
      <c r="AZ895">
        <f>IF(OR(AZ$4="",$A895&gt;TODAY()),0,IF(OR(INDEX($B895:$D895,AZ$5)="F",AND(AZ$6&gt;0,$A895&lt;AZ$6),AND(AZ$7&gt;0,$A895&gt;AZ$7)),0,MAX(0,ROUND((INDEX($E895:$G895,AZ$5)-SUMIFS(TF_Timer,TF_Tekniker,AZ$4,TF_Dato,$A895))*2,0)/2)))</f>
        <v/>
      </c>
      <c r="BA895">
        <f>IF(OR(BA$4="",$A895&gt;TODAY()),0,IF(OR(INDEX($B895:$D895,BA$5)="F",AND(BA$6&gt;0,$A895&lt;BA$6),AND(BA$7&gt;0,$A895&gt;BA$7)),0,MAX(0,ROUND((INDEX($E895:$G895,BA$5)-SUMIFS(TF_Timer,TF_Tekniker,BA$4,TF_Dato,$A895))*2,0)/2)))</f>
        <v/>
      </c>
      <c r="BB895">
        <f>IF(OR(BB$4="",$A895&gt;TODAY()),0,IF(OR(INDEX($B895:$D895,BB$5)="F",AND(BB$6&gt;0,$A895&lt;BB$6),AND(BB$7&gt;0,$A895&gt;BB$7)),0,MAX(0,ROUND((INDEX($E895:$G895,BB$5)-SUMIFS(TF_Timer,TF_Tekniker,BB$4,TF_Dato,$A895))*2,0)/2)))</f>
        <v/>
      </c>
      <c r="BC895">
        <f>IF(OR(BC$4="",$A895&gt;TODAY()),0,IF(OR(INDEX($B895:$D895,BC$5)="F",AND(BC$6&gt;0,$A895&lt;BC$6),AND(BC$7&gt;0,$A895&gt;BC$7)),0,MAX(0,ROUND((INDEX($E895:$G895,BC$5)-SUMIFS(TF_Timer,TF_Tekniker,BC$4,TF_Dato,$A895))*2,0)/2)))</f>
        <v/>
      </c>
      <c r="BD895">
        <f>IF(OR(BD$4="",$A895&gt;TODAY()),0,IF(OR(INDEX($B895:$D895,BD$5)="F",AND(BD$6&gt;0,$A895&lt;BD$6),AND(BD$7&gt;0,$A895&gt;BD$7)),0,MAX(0,ROUND((INDEX($E895:$G895,BD$5)-SUMIFS(TF_Timer,TF_Tekniker,BD$4,TF_Dato,$A895))*2,0)/2)))</f>
        <v/>
      </c>
      <c r="BE895">
        <f>IF(OR(BE$4="",$A895&gt;TODAY()),0,IF(OR(INDEX($B895:$D895,BE$5)="F",AND(BE$6&gt;0,$A895&lt;BE$6),AND(BE$7&gt;0,$A895&gt;BE$7)),0,MAX(0,ROUND((INDEX($E895:$G895,BE$5)-SUMIFS(TF_Timer,TF_Tekniker,BE$4,TF_Dato,$A895))*2,0)/2)))</f>
        <v/>
      </c>
      <c r="BF895">
        <f>IF(OR(BF$4="",$A895&gt;TODAY()),0,IF(OR(INDEX($B895:$D895,BF$5)="F",AND(BF$6&gt;0,$A895&lt;BF$6),AND(BF$7&gt;0,$A895&gt;BF$7)),0,MAX(0,ROUND((INDEX($E895:$G895,BF$5)-SUMIFS(TF_Timer,TF_Tekniker,BF$4,TF_Dato,$A895))*2,0)/2)))</f>
        <v/>
      </c>
      <c r="BG895">
        <f>IF(OR(BG$4="",$A895&gt;TODAY()),0,IF(OR(INDEX($B895:$D895,BG$5)="F",AND(BG$6&gt;0,$A895&lt;BG$6),AND(BG$7&gt;0,$A895&gt;BG$7)),0,MAX(0,ROUND((INDEX($E895:$G895,BG$5)-SUMIFS(TF_Timer,TF_Tekniker,BG$4,TF_Dato,$A895))*2,0)/2)))</f>
        <v/>
      </c>
      <c r="BH895">
        <f>IF(OR(BH$4="",$A895&gt;TODAY()),0,IF(OR(INDEX($B895:$D895,BH$5)="F",AND(BH$6&gt;0,$A895&lt;BH$6),AND(BH$7&gt;0,$A895&gt;BH$7)),0,MAX(0,ROUND((INDEX($E895:$G895,BH$5)-SUMIFS(TF_Timer,TF_Tekniker,BH$4,TF_Dato,$A895))*2,0)/2)))</f>
        <v/>
      </c>
      <c r="BI895">
        <f>IF(OR(BI$4="",$A895&gt;TODAY()),0,IF(OR(INDEX($B895:$D895,BI$5)="F",AND(BI$6&gt;0,$A895&lt;BI$6),AND(BI$7&gt;0,$A895&gt;BI$7)),0,MAX(0,ROUND((INDEX($E895:$G895,BI$5)-SUMIFS(TF_Timer,TF_Tekniker,BI$4,TF_Dato,$A895))*2,0)/2)))</f>
        <v/>
      </c>
    </row>
    <row r="896">
      <c r="A896" s="64">
        <f>A895+1</f>
        <v/>
      </c>
      <c r="B896">
        <f>IF(MOD($A896-INDEX(SkiftStart,1),Syklus)&lt;DagK,"K",IF(MOD($A896-INDEX(SkiftStart,1),Syklus)&lt;DagK+DagH,"H",IF(MOD($A896-INDEX(SkiftStart,1),Syklus)&lt;DagK+DagH+DagD,"D","F")))</f>
        <v/>
      </c>
      <c r="C896">
        <f>IF(MOD($A896-INDEX(SkiftStart,2),Syklus)&lt;DagK,"K",IF(MOD($A896-INDEX(SkiftStart,2),Syklus)&lt;DagK+DagH,"H",IF(MOD($A896-INDEX(SkiftStart,2),Syklus)&lt;DagK+DagH+DagD,"D","F")))</f>
        <v/>
      </c>
      <c r="D896">
        <f>IF(MOD($A896-INDEX(SkiftStart,3),Syklus)&lt;DagK,"K",IF(MOD($A896-INDEX(SkiftStart,3),Syklus)&lt;DagK+DagH,"H",IF(MOD($A896-INDEX(SkiftStart,3),Syklus)&lt;DagK+DagH+DagD,"D","F")))</f>
        <v/>
      </c>
      <c r="E896">
        <f>IF(B896="F",0,IF(WEEKDAY($A896,2)=5,INDEX(TimerFr,MATCH(B896,FaseKode,0)),INDEX(TimerMT,MATCH(B896,FaseKode,0))))</f>
        <v/>
      </c>
      <c r="F896">
        <f>IF(C896="F",0,IF(WEEKDAY($A896,2)=5,INDEX(TimerFr,MATCH(C896,FaseKode,0)),INDEX(TimerMT,MATCH(C896,FaseKode,0))))</f>
        <v/>
      </c>
      <c r="G896">
        <f>IF(D896="F",0,IF(WEEKDAY($A896,2)=5,INDEX(TimerFr,MATCH(D896,FaseKode,0)),INDEX(TimerMT,MATCH(D896,FaseKode,0))))</f>
        <v/>
      </c>
      <c r="H896">
        <f>IF(OR(H$4="",$A896&gt;TODAY()),0,IF(OR(INDEX($B896:$D896,H$5)="F",AND(H$6&gt;0,$A896&lt;H$6),AND(H$7&gt;0,$A896&gt;H$7)),0,MAX(0,ROUND((INDEX($E896:$G896,H$5)-SUMIFS(TF_Timer,TF_Tekniker,H$4,TF_Dato,$A896))*2,0)/2)))</f>
        <v/>
      </c>
      <c r="I896">
        <f>IF(OR(I$4="",$A896&gt;TODAY()),0,IF(OR(INDEX($B896:$D896,I$5)="F",AND(I$6&gt;0,$A896&lt;I$6),AND(I$7&gt;0,$A896&gt;I$7)),0,MAX(0,ROUND((INDEX($E896:$G896,I$5)-SUMIFS(TF_Timer,TF_Tekniker,I$4,TF_Dato,$A896))*2,0)/2)))</f>
        <v/>
      </c>
      <c r="J896">
        <f>IF(OR(J$4="",$A896&gt;TODAY()),0,IF(OR(INDEX($B896:$D896,J$5)="F",AND(J$6&gt;0,$A896&lt;J$6),AND(J$7&gt;0,$A896&gt;J$7)),0,MAX(0,ROUND((INDEX($E896:$G896,J$5)-SUMIFS(TF_Timer,TF_Tekniker,J$4,TF_Dato,$A896))*2,0)/2)))</f>
        <v/>
      </c>
      <c r="K896">
        <f>IF(OR(K$4="",$A896&gt;TODAY()),0,IF(OR(INDEX($B896:$D896,K$5)="F",AND(K$6&gt;0,$A896&lt;K$6),AND(K$7&gt;0,$A896&gt;K$7)),0,MAX(0,ROUND((INDEX($E896:$G896,K$5)-SUMIFS(TF_Timer,TF_Tekniker,K$4,TF_Dato,$A896))*2,0)/2)))</f>
        <v/>
      </c>
      <c r="L896">
        <f>IF(OR(L$4="",$A896&gt;TODAY()),0,IF(OR(INDEX($B896:$D896,L$5)="F",AND(L$6&gt;0,$A896&lt;L$6),AND(L$7&gt;0,$A896&gt;L$7)),0,MAX(0,ROUND((INDEX($E896:$G896,L$5)-SUMIFS(TF_Timer,TF_Tekniker,L$4,TF_Dato,$A896))*2,0)/2)))</f>
        <v/>
      </c>
      <c r="M896">
        <f>IF(OR(M$4="",$A896&gt;TODAY()),0,IF(OR(INDEX($B896:$D896,M$5)="F",AND(M$6&gt;0,$A896&lt;M$6),AND(M$7&gt;0,$A896&gt;M$7)),0,MAX(0,ROUND((INDEX($E896:$G896,M$5)-SUMIFS(TF_Timer,TF_Tekniker,M$4,TF_Dato,$A896))*2,0)/2)))</f>
        <v/>
      </c>
      <c r="N896">
        <f>IF(OR(N$4="",$A896&gt;TODAY()),0,IF(OR(INDEX($B896:$D896,N$5)="F",AND(N$6&gt;0,$A896&lt;N$6),AND(N$7&gt;0,$A896&gt;N$7)),0,MAX(0,ROUND((INDEX($E896:$G896,N$5)-SUMIFS(TF_Timer,TF_Tekniker,N$4,TF_Dato,$A896))*2,0)/2)))</f>
        <v/>
      </c>
      <c r="O896">
        <f>IF(OR(O$4="",$A896&gt;TODAY()),0,IF(OR(INDEX($B896:$D896,O$5)="F",AND(O$6&gt;0,$A896&lt;O$6),AND(O$7&gt;0,$A896&gt;O$7)),0,MAX(0,ROUND((INDEX($E896:$G896,O$5)-SUMIFS(TF_Timer,TF_Tekniker,O$4,TF_Dato,$A896))*2,0)/2)))</f>
        <v/>
      </c>
      <c r="P896">
        <f>IF(OR(P$4="",$A896&gt;TODAY()),0,IF(OR(INDEX($B896:$D896,P$5)="F",AND(P$6&gt;0,$A896&lt;P$6),AND(P$7&gt;0,$A896&gt;P$7)),0,MAX(0,ROUND((INDEX($E896:$G896,P$5)-SUMIFS(TF_Timer,TF_Tekniker,P$4,TF_Dato,$A896))*2,0)/2)))</f>
        <v/>
      </c>
      <c r="Q896">
        <f>IF(OR(Q$4="",$A896&gt;TODAY()),0,IF(OR(INDEX($B896:$D896,Q$5)="F",AND(Q$6&gt;0,$A896&lt;Q$6),AND(Q$7&gt;0,$A896&gt;Q$7)),0,MAX(0,ROUND((INDEX($E896:$G896,Q$5)-SUMIFS(TF_Timer,TF_Tekniker,Q$4,TF_Dato,$A896))*2,0)/2)))</f>
        <v/>
      </c>
      <c r="R896">
        <f>IF(OR(R$4="",$A896&gt;TODAY()),0,IF(OR(INDEX($B896:$D896,R$5)="F",AND(R$6&gt;0,$A896&lt;R$6),AND(R$7&gt;0,$A896&gt;R$7)),0,MAX(0,ROUND((INDEX($E896:$G896,R$5)-SUMIFS(TF_Timer,TF_Tekniker,R$4,TF_Dato,$A896))*2,0)/2)))</f>
        <v/>
      </c>
      <c r="S896">
        <f>IF(OR(S$4="",$A896&gt;TODAY()),0,IF(OR(INDEX($B896:$D896,S$5)="F",AND(S$6&gt;0,$A896&lt;S$6),AND(S$7&gt;0,$A896&gt;S$7)),0,MAX(0,ROUND((INDEX($E896:$G896,S$5)-SUMIFS(TF_Timer,TF_Tekniker,S$4,TF_Dato,$A896))*2,0)/2)))</f>
        <v/>
      </c>
      <c r="T896">
        <f>IF(OR(T$4="",$A896&gt;TODAY()),0,IF(OR(INDEX($B896:$D896,T$5)="F",AND(T$6&gt;0,$A896&lt;T$6),AND(T$7&gt;0,$A896&gt;T$7)),0,MAX(0,ROUND((INDEX($E896:$G896,T$5)-SUMIFS(TF_Timer,TF_Tekniker,T$4,TF_Dato,$A896))*2,0)/2)))</f>
        <v/>
      </c>
      <c r="U896">
        <f>IF(OR(U$4="",$A896&gt;TODAY()),0,IF(OR(INDEX($B896:$D896,U$5)="F",AND(U$6&gt;0,$A896&lt;U$6),AND(U$7&gt;0,$A896&gt;U$7)),0,MAX(0,ROUND((INDEX($E896:$G896,U$5)-SUMIFS(TF_Timer,TF_Tekniker,U$4,TF_Dato,$A896))*2,0)/2)))</f>
        <v/>
      </c>
      <c r="V896">
        <f>IF(OR(V$4="",$A896&gt;TODAY()),0,IF(OR(INDEX($B896:$D896,V$5)="F",AND(V$6&gt;0,$A896&lt;V$6),AND(V$7&gt;0,$A896&gt;V$7)),0,MAX(0,ROUND((INDEX($E896:$G896,V$5)-SUMIFS(TF_Timer,TF_Tekniker,V$4,TF_Dato,$A896))*2,0)/2)))</f>
        <v/>
      </c>
      <c r="W896">
        <f>IF(OR(W$4="",$A896&gt;TODAY()),0,IF(OR(INDEX($B896:$D896,W$5)="F",AND(W$6&gt;0,$A896&lt;W$6),AND(W$7&gt;0,$A896&gt;W$7)),0,MAX(0,ROUND((INDEX($E896:$G896,W$5)-SUMIFS(TF_Timer,TF_Tekniker,W$4,TF_Dato,$A896))*2,0)/2)))</f>
        <v/>
      </c>
      <c r="X896">
        <f>IF(OR(X$4="",$A896&gt;TODAY()),0,IF(OR(INDEX($B896:$D896,X$5)="F",AND(X$6&gt;0,$A896&lt;X$6),AND(X$7&gt;0,$A896&gt;X$7)),0,MAX(0,ROUND((INDEX($E896:$G896,X$5)-SUMIFS(TF_Timer,TF_Tekniker,X$4,TF_Dato,$A896))*2,0)/2)))</f>
        <v/>
      </c>
      <c r="Y896">
        <f>IF(OR(Y$4="",$A896&gt;TODAY()),0,IF(OR(INDEX($B896:$D896,Y$5)="F",AND(Y$6&gt;0,$A896&lt;Y$6),AND(Y$7&gt;0,$A896&gt;Y$7)),0,MAX(0,ROUND((INDEX($E896:$G896,Y$5)-SUMIFS(TF_Timer,TF_Tekniker,Y$4,TF_Dato,$A896))*2,0)/2)))</f>
        <v/>
      </c>
      <c r="Z896">
        <f>IF(OR(Z$4="",$A896&gt;TODAY()),0,IF(OR(INDEX($B896:$D896,Z$5)="F",AND(Z$6&gt;0,$A896&lt;Z$6),AND(Z$7&gt;0,$A896&gt;Z$7)),0,MAX(0,ROUND((INDEX($E896:$G896,Z$5)-SUMIFS(TF_Timer,TF_Tekniker,Z$4,TF_Dato,$A896))*2,0)/2)))</f>
        <v/>
      </c>
      <c r="AA896">
        <f>IF(OR(AA$4="",$A896&gt;TODAY()),0,IF(OR(INDEX($B896:$D896,AA$5)="F",AND(AA$6&gt;0,$A896&lt;AA$6),AND(AA$7&gt;0,$A896&gt;AA$7)),0,MAX(0,ROUND((INDEX($E896:$G896,AA$5)-SUMIFS(TF_Timer,TF_Tekniker,AA$4,TF_Dato,$A896))*2,0)/2)))</f>
        <v/>
      </c>
      <c r="AB896">
        <f>IF(OR(AB$4="",$A896&gt;TODAY()),0,IF(OR(INDEX($B896:$D896,AB$5)="F",AND(AB$6&gt;0,$A896&lt;AB$6),AND(AB$7&gt;0,$A896&gt;AB$7)),0,MAX(0,ROUND((INDEX($E896:$G896,AB$5)-SUMIFS(TF_Timer,TF_Tekniker,AB$4,TF_Dato,$A896))*2,0)/2)))</f>
        <v/>
      </c>
      <c r="AC896">
        <f>IF(OR(AC$4="",$A896&gt;TODAY()),0,IF(OR(INDEX($B896:$D896,AC$5)="F",AND(AC$6&gt;0,$A896&lt;AC$6),AND(AC$7&gt;0,$A896&gt;AC$7)),0,MAX(0,ROUND((INDEX($E896:$G896,AC$5)-SUMIFS(TF_Timer,TF_Tekniker,AC$4,TF_Dato,$A896))*2,0)/2)))</f>
        <v/>
      </c>
      <c r="AD896">
        <f>IF(OR(AD$4="",$A896&gt;TODAY()),0,IF(OR(INDEX($B896:$D896,AD$5)="F",AND(AD$6&gt;0,$A896&lt;AD$6),AND(AD$7&gt;0,$A896&gt;AD$7)),0,MAX(0,ROUND((INDEX($E896:$G896,AD$5)-SUMIFS(TF_Timer,TF_Tekniker,AD$4,TF_Dato,$A896))*2,0)/2)))</f>
        <v/>
      </c>
      <c r="AE896">
        <f>IF(OR(AE$4="",$A896&gt;TODAY()),0,IF(OR(INDEX($B896:$D896,AE$5)="F",AND(AE$6&gt;0,$A896&lt;AE$6),AND(AE$7&gt;0,$A896&gt;AE$7)),0,MAX(0,ROUND((INDEX($E896:$G896,AE$5)-SUMIFS(TF_Timer,TF_Tekniker,AE$4,TF_Dato,$A896))*2,0)/2)))</f>
        <v/>
      </c>
      <c r="AF896">
        <f>IF(OR(AF$4="",$A896&gt;TODAY()),0,IF(OR(INDEX($B896:$D896,AF$5)="F",AND(AF$6&gt;0,$A896&lt;AF$6),AND(AF$7&gt;0,$A896&gt;AF$7)),0,MAX(0,ROUND((INDEX($E896:$G896,AF$5)-SUMIFS(TF_Timer,TF_Tekniker,AF$4,TF_Dato,$A896))*2,0)/2)))</f>
        <v/>
      </c>
      <c r="AG896">
        <f>IF(OR(AG$4="",$A896&gt;TODAY()),0,IF(OR(INDEX($B896:$D896,AG$5)="F",AND(AG$6&gt;0,$A896&lt;AG$6),AND(AG$7&gt;0,$A896&gt;AG$7)),0,MAX(0,ROUND((INDEX($E896:$G896,AG$5)-SUMIFS(TF_Timer,TF_Tekniker,AG$4,TF_Dato,$A896))*2,0)/2)))</f>
        <v/>
      </c>
      <c r="AH896">
        <f>IF(OR(AH$4="",$A896&gt;TODAY()),0,IF(OR(INDEX($B896:$D896,AH$5)="F",AND(AH$6&gt;0,$A896&lt;AH$6),AND(AH$7&gt;0,$A896&gt;AH$7)),0,MAX(0,ROUND((INDEX($E896:$G896,AH$5)-SUMIFS(TF_Timer,TF_Tekniker,AH$4,TF_Dato,$A896))*2,0)/2)))</f>
        <v/>
      </c>
      <c r="AI896">
        <f>IF(OR(AI$4="",$A896&gt;TODAY()),0,IF(OR(INDEX($B896:$D896,AI$5)="F",AND(AI$6&gt;0,$A896&lt;AI$6),AND(AI$7&gt;0,$A896&gt;AI$7)),0,MAX(0,ROUND((INDEX($E896:$G896,AI$5)-SUMIFS(TF_Timer,TF_Tekniker,AI$4,TF_Dato,$A896))*2,0)/2)))</f>
        <v/>
      </c>
      <c r="AJ896">
        <f>IF(OR(AJ$4="",$A896&gt;TODAY()),0,IF(OR(INDEX($B896:$D896,AJ$5)="F",AND(AJ$6&gt;0,$A896&lt;AJ$6),AND(AJ$7&gt;0,$A896&gt;AJ$7)),0,MAX(0,ROUND((INDEX($E896:$G896,AJ$5)-SUMIFS(TF_Timer,TF_Tekniker,AJ$4,TF_Dato,$A896))*2,0)/2)))</f>
        <v/>
      </c>
      <c r="AK896">
        <f>IF(OR(AK$4="",$A896&gt;TODAY()),0,IF(OR(INDEX($B896:$D896,AK$5)="F",AND(AK$6&gt;0,$A896&lt;AK$6),AND(AK$7&gt;0,$A896&gt;AK$7)),0,MAX(0,ROUND((INDEX($E896:$G896,AK$5)-SUMIFS(TF_Timer,TF_Tekniker,AK$4,TF_Dato,$A896))*2,0)/2)))</f>
        <v/>
      </c>
      <c r="AL896">
        <f>IF(OR(AL$4="",$A896&gt;TODAY()),0,IF(OR(INDEX($B896:$D896,AL$5)="F",AND(AL$6&gt;0,$A896&lt;AL$6),AND(AL$7&gt;0,$A896&gt;AL$7)),0,MAX(0,ROUND((INDEX($E896:$G896,AL$5)-SUMIFS(TF_Timer,TF_Tekniker,AL$4,TF_Dato,$A896))*2,0)/2)))</f>
        <v/>
      </c>
      <c r="AM896">
        <f>IF(OR(AM$4="",$A896&gt;TODAY()),0,IF(OR(INDEX($B896:$D896,AM$5)="F",AND(AM$6&gt;0,$A896&lt;AM$6),AND(AM$7&gt;0,$A896&gt;AM$7)),0,MAX(0,ROUND((INDEX($E896:$G896,AM$5)-SUMIFS(TF_Timer,TF_Tekniker,AM$4,TF_Dato,$A896))*2,0)/2)))</f>
        <v/>
      </c>
      <c r="AN896">
        <f>IF(OR(AN$4="",$A896&gt;TODAY()),0,IF(OR(INDEX($B896:$D896,AN$5)="F",AND(AN$6&gt;0,$A896&lt;AN$6),AND(AN$7&gt;0,$A896&gt;AN$7)),0,MAX(0,ROUND((INDEX($E896:$G896,AN$5)-SUMIFS(TF_Timer,TF_Tekniker,AN$4,TF_Dato,$A896))*2,0)/2)))</f>
        <v/>
      </c>
      <c r="AO896">
        <f>IF(OR(AO$4="",$A896&gt;TODAY()),0,IF(OR(INDEX($B896:$D896,AO$5)="F",AND(AO$6&gt;0,$A896&lt;AO$6),AND(AO$7&gt;0,$A896&gt;AO$7)),0,MAX(0,ROUND((INDEX($E896:$G896,AO$5)-SUMIFS(TF_Timer,TF_Tekniker,AO$4,TF_Dato,$A896))*2,0)/2)))</f>
        <v/>
      </c>
      <c r="AP896">
        <f>IF(OR(AP$4="",$A896&gt;TODAY()),0,IF(OR(INDEX($B896:$D896,AP$5)="F",AND(AP$6&gt;0,$A896&lt;AP$6),AND(AP$7&gt;0,$A896&gt;AP$7)),0,MAX(0,ROUND((INDEX($E896:$G896,AP$5)-SUMIFS(TF_Timer,TF_Tekniker,AP$4,TF_Dato,$A896))*2,0)/2)))</f>
        <v/>
      </c>
      <c r="AQ896">
        <f>IF(OR(AQ$4="",$A896&gt;TODAY()),0,IF(OR(INDEX($B896:$D896,AQ$5)="F",AND(AQ$6&gt;0,$A896&lt;AQ$6),AND(AQ$7&gt;0,$A896&gt;AQ$7)),0,MAX(0,ROUND((INDEX($E896:$G896,AQ$5)-SUMIFS(TF_Timer,TF_Tekniker,AQ$4,TF_Dato,$A896))*2,0)/2)))</f>
        <v/>
      </c>
      <c r="AR896">
        <f>IF(OR(AR$4="",$A896&gt;TODAY()),0,IF(OR(INDEX($B896:$D896,AR$5)="F",AND(AR$6&gt;0,$A896&lt;AR$6),AND(AR$7&gt;0,$A896&gt;AR$7)),0,MAX(0,ROUND((INDEX($E896:$G896,AR$5)-SUMIFS(TF_Timer,TF_Tekniker,AR$4,TF_Dato,$A896))*2,0)/2)))</f>
        <v/>
      </c>
      <c r="AS896">
        <f>IF(OR(AS$4="",$A896&gt;TODAY()),0,IF(OR(INDEX($B896:$D896,AS$5)="F",AND(AS$6&gt;0,$A896&lt;AS$6),AND(AS$7&gt;0,$A896&gt;AS$7)),0,MAX(0,ROUND((INDEX($E896:$G896,AS$5)-SUMIFS(TF_Timer,TF_Tekniker,AS$4,TF_Dato,$A896))*2,0)/2)))</f>
        <v/>
      </c>
      <c r="AT896">
        <f>IF(OR(AT$4="",$A896&gt;TODAY()),0,IF(OR(INDEX($B896:$D896,AT$5)="F",AND(AT$6&gt;0,$A896&lt;AT$6),AND(AT$7&gt;0,$A896&gt;AT$7)),0,MAX(0,ROUND((INDEX($E896:$G896,AT$5)-SUMIFS(TF_Timer,TF_Tekniker,AT$4,TF_Dato,$A896))*2,0)/2)))</f>
        <v/>
      </c>
      <c r="AU896">
        <f>IF(OR(AU$4="",$A896&gt;TODAY()),0,IF(OR(INDEX($B896:$D896,AU$5)="F",AND(AU$6&gt;0,$A896&lt;AU$6),AND(AU$7&gt;0,$A896&gt;AU$7)),0,MAX(0,ROUND((INDEX($E896:$G896,AU$5)-SUMIFS(TF_Timer,TF_Tekniker,AU$4,TF_Dato,$A896))*2,0)/2)))</f>
        <v/>
      </c>
      <c r="AV896">
        <f>IF(OR(AV$4="",$A896&gt;TODAY()),0,IF(OR(INDEX($B896:$D896,AV$5)="F",AND(AV$6&gt;0,$A896&lt;AV$6),AND(AV$7&gt;0,$A896&gt;AV$7)),0,MAX(0,ROUND((INDEX($E896:$G896,AV$5)-SUMIFS(TF_Timer,TF_Tekniker,AV$4,TF_Dato,$A896))*2,0)/2)))</f>
        <v/>
      </c>
      <c r="AW896">
        <f>IF(OR(AW$4="",$A896&gt;TODAY()),0,IF(OR(INDEX($B896:$D896,AW$5)="F",AND(AW$6&gt;0,$A896&lt;AW$6),AND(AW$7&gt;0,$A896&gt;AW$7)),0,MAX(0,ROUND((INDEX($E896:$G896,AW$5)-SUMIFS(TF_Timer,TF_Tekniker,AW$4,TF_Dato,$A896))*2,0)/2)))</f>
        <v/>
      </c>
      <c r="AX896">
        <f>IF(OR(AX$4="",$A896&gt;TODAY()),0,IF(OR(INDEX($B896:$D896,AX$5)="F",AND(AX$6&gt;0,$A896&lt;AX$6),AND(AX$7&gt;0,$A896&gt;AX$7)),0,MAX(0,ROUND((INDEX($E896:$G896,AX$5)-SUMIFS(TF_Timer,TF_Tekniker,AX$4,TF_Dato,$A896))*2,0)/2)))</f>
        <v/>
      </c>
      <c r="AY896">
        <f>IF(OR(AY$4="",$A896&gt;TODAY()),0,IF(OR(INDEX($B896:$D896,AY$5)="F",AND(AY$6&gt;0,$A896&lt;AY$6),AND(AY$7&gt;0,$A896&gt;AY$7)),0,MAX(0,ROUND((INDEX($E896:$G896,AY$5)-SUMIFS(TF_Timer,TF_Tekniker,AY$4,TF_Dato,$A896))*2,0)/2)))</f>
        <v/>
      </c>
      <c r="AZ896">
        <f>IF(OR(AZ$4="",$A896&gt;TODAY()),0,IF(OR(INDEX($B896:$D896,AZ$5)="F",AND(AZ$6&gt;0,$A896&lt;AZ$6),AND(AZ$7&gt;0,$A896&gt;AZ$7)),0,MAX(0,ROUND((INDEX($E896:$G896,AZ$5)-SUMIFS(TF_Timer,TF_Tekniker,AZ$4,TF_Dato,$A896))*2,0)/2)))</f>
        <v/>
      </c>
      <c r="BA896">
        <f>IF(OR(BA$4="",$A896&gt;TODAY()),0,IF(OR(INDEX($B896:$D896,BA$5)="F",AND(BA$6&gt;0,$A896&lt;BA$6),AND(BA$7&gt;0,$A896&gt;BA$7)),0,MAX(0,ROUND((INDEX($E896:$G896,BA$5)-SUMIFS(TF_Timer,TF_Tekniker,BA$4,TF_Dato,$A896))*2,0)/2)))</f>
        <v/>
      </c>
      <c r="BB896">
        <f>IF(OR(BB$4="",$A896&gt;TODAY()),0,IF(OR(INDEX($B896:$D896,BB$5)="F",AND(BB$6&gt;0,$A896&lt;BB$6),AND(BB$7&gt;0,$A896&gt;BB$7)),0,MAX(0,ROUND((INDEX($E896:$G896,BB$5)-SUMIFS(TF_Timer,TF_Tekniker,BB$4,TF_Dato,$A896))*2,0)/2)))</f>
        <v/>
      </c>
      <c r="BC896">
        <f>IF(OR(BC$4="",$A896&gt;TODAY()),0,IF(OR(INDEX($B896:$D896,BC$5)="F",AND(BC$6&gt;0,$A896&lt;BC$6),AND(BC$7&gt;0,$A896&gt;BC$7)),0,MAX(0,ROUND((INDEX($E896:$G896,BC$5)-SUMIFS(TF_Timer,TF_Tekniker,BC$4,TF_Dato,$A896))*2,0)/2)))</f>
        <v/>
      </c>
      <c r="BD896">
        <f>IF(OR(BD$4="",$A896&gt;TODAY()),0,IF(OR(INDEX($B896:$D896,BD$5)="F",AND(BD$6&gt;0,$A896&lt;BD$6),AND(BD$7&gt;0,$A896&gt;BD$7)),0,MAX(0,ROUND((INDEX($E896:$G896,BD$5)-SUMIFS(TF_Timer,TF_Tekniker,BD$4,TF_Dato,$A896))*2,0)/2)))</f>
        <v/>
      </c>
      <c r="BE896">
        <f>IF(OR(BE$4="",$A896&gt;TODAY()),0,IF(OR(INDEX($B896:$D896,BE$5)="F",AND(BE$6&gt;0,$A896&lt;BE$6),AND(BE$7&gt;0,$A896&gt;BE$7)),0,MAX(0,ROUND((INDEX($E896:$G896,BE$5)-SUMIFS(TF_Timer,TF_Tekniker,BE$4,TF_Dato,$A896))*2,0)/2)))</f>
        <v/>
      </c>
      <c r="BF896">
        <f>IF(OR(BF$4="",$A896&gt;TODAY()),0,IF(OR(INDEX($B896:$D896,BF$5)="F",AND(BF$6&gt;0,$A896&lt;BF$6),AND(BF$7&gt;0,$A896&gt;BF$7)),0,MAX(0,ROUND((INDEX($E896:$G896,BF$5)-SUMIFS(TF_Timer,TF_Tekniker,BF$4,TF_Dato,$A896))*2,0)/2)))</f>
        <v/>
      </c>
      <c r="BG896">
        <f>IF(OR(BG$4="",$A896&gt;TODAY()),0,IF(OR(INDEX($B896:$D896,BG$5)="F",AND(BG$6&gt;0,$A896&lt;BG$6),AND(BG$7&gt;0,$A896&gt;BG$7)),0,MAX(0,ROUND((INDEX($E896:$G896,BG$5)-SUMIFS(TF_Timer,TF_Tekniker,BG$4,TF_Dato,$A896))*2,0)/2)))</f>
        <v/>
      </c>
      <c r="BH896">
        <f>IF(OR(BH$4="",$A896&gt;TODAY()),0,IF(OR(INDEX($B896:$D896,BH$5)="F",AND(BH$6&gt;0,$A896&lt;BH$6),AND(BH$7&gt;0,$A896&gt;BH$7)),0,MAX(0,ROUND((INDEX($E896:$G896,BH$5)-SUMIFS(TF_Timer,TF_Tekniker,BH$4,TF_Dato,$A896))*2,0)/2)))</f>
        <v/>
      </c>
      <c r="BI896">
        <f>IF(OR(BI$4="",$A896&gt;TODAY()),0,IF(OR(INDEX($B896:$D896,BI$5)="F",AND(BI$6&gt;0,$A896&lt;BI$6),AND(BI$7&gt;0,$A896&gt;BI$7)),0,MAX(0,ROUND((INDEX($E896:$G896,BI$5)-SUMIFS(TF_Timer,TF_Tekniker,BI$4,TF_Dato,$A896))*2,0)/2)))</f>
        <v/>
      </c>
    </row>
    <row r="897">
      <c r="A897" s="64">
        <f>A896+1</f>
        <v/>
      </c>
      <c r="B897">
        <f>IF(MOD($A897-INDEX(SkiftStart,1),Syklus)&lt;DagK,"K",IF(MOD($A897-INDEX(SkiftStart,1),Syklus)&lt;DagK+DagH,"H",IF(MOD($A897-INDEX(SkiftStart,1),Syklus)&lt;DagK+DagH+DagD,"D","F")))</f>
        <v/>
      </c>
      <c r="C897">
        <f>IF(MOD($A897-INDEX(SkiftStart,2),Syklus)&lt;DagK,"K",IF(MOD($A897-INDEX(SkiftStart,2),Syklus)&lt;DagK+DagH,"H",IF(MOD($A897-INDEX(SkiftStart,2),Syklus)&lt;DagK+DagH+DagD,"D","F")))</f>
        <v/>
      </c>
      <c r="D897">
        <f>IF(MOD($A897-INDEX(SkiftStart,3),Syklus)&lt;DagK,"K",IF(MOD($A897-INDEX(SkiftStart,3),Syklus)&lt;DagK+DagH,"H",IF(MOD($A897-INDEX(SkiftStart,3),Syklus)&lt;DagK+DagH+DagD,"D","F")))</f>
        <v/>
      </c>
      <c r="E897">
        <f>IF(B897="F",0,IF(WEEKDAY($A897,2)=5,INDEX(TimerFr,MATCH(B897,FaseKode,0)),INDEX(TimerMT,MATCH(B897,FaseKode,0))))</f>
        <v/>
      </c>
      <c r="F897">
        <f>IF(C897="F",0,IF(WEEKDAY($A897,2)=5,INDEX(TimerFr,MATCH(C897,FaseKode,0)),INDEX(TimerMT,MATCH(C897,FaseKode,0))))</f>
        <v/>
      </c>
      <c r="G897">
        <f>IF(D897="F",0,IF(WEEKDAY($A897,2)=5,INDEX(TimerFr,MATCH(D897,FaseKode,0)),INDEX(TimerMT,MATCH(D897,FaseKode,0))))</f>
        <v/>
      </c>
      <c r="H897">
        <f>IF(OR(H$4="",$A897&gt;TODAY()),0,IF(OR(INDEX($B897:$D897,H$5)="F",AND(H$6&gt;0,$A897&lt;H$6),AND(H$7&gt;0,$A897&gt;H$7)),0,MAX(0,ROUND((INDEX($E897:$G897,H$5)-SUMIFS(TF_Timer,TF_Tekniker,H$4,TF_Dato,$A897))*2,0)/2)))</f>
        <v/>
      </c>
      <c r="I897">
        <f>IF(OR(I$4="",$A897&gt;TODAY()),0,IF(OR(INDEX($B897:$D897,I$5)="F",AND(I$6&gt;0,$A897&lt;I$6),AND(I$7&gt;0,$A897&gt;I$7)),0,MAX(0,ROUND((INDEX($E897:$G897,I$5)-SUMIFS(TF_Timer,TF_Tekniker,I$4,TF_Dato,$A897))*2,0)/2)))</f>
        <v/>
      </c>
      <c r="J897">
        <f>IF(OR(J$4="",$A897&gt;TODAY()),0,IF(OR(INDEX($B897:$D897,J$5)="F",AND(J$6&gt;0,$A897&lt;J$6),AND(J$7&gt;0,$A897&gt;J$7)),0,MAX(0,ROUND((INDEX($E897:$G897,J$5)-SUMIFS(TF_Timer,TF_Tekniker,J$4,TF_Dato,$A897))*2,0)/2)))</f>
        <v/>
      </c>
      <c r="K897">
        <f>IF(OR(K$4="",$A897&gt;TODAY()),0,IF(OR(INDEX($B897:$D897,K$5)="F",AND(K$6&gt;0,$A897&lt;K$6),AND(K$7&gt;0,$A897&gt;K$7)),0,MAX(0,ROUND((INDEX($E897:$G897,K$5)-SUMIFS(TF_Timer,TF_Tekniker,K$4,TF_Dato,$A897))*2,0)/2)))</f>
        <v/>
      </c>
      <c r="L897">
        <f>IF(OR(L$4="",$A897&gt;TODAY()),0,IF(OR(INDEX($B897:$D897,L$5)="F",AND(L$6&gt;0,$A897&lt;L$6),AND(L$7&gt;0,$A897&gt;L$7)),0,MAX(0,ROUND((INDEX($E897:$G897,L$5)-SUMIFS(TF_Timer,TF_Tekniker,L$4,TF_Dato,$A897))*2,0)/2)))</f>
        <v/>
      </c>
      <c r="M897">
        <f>IF(OR(M$4="",$A897&gt;TODAY()),0,IF(OR(INDEX($B897:$D897,M$5)="F",AND(M$6&gt;0,$A897&lt;M$6),AND(M$7&gt;0,$A897&gt;M$7)),0,MAX(0,ROUND((INDEX($E897:$G897,M$5)-SUMIFS(TF_Timer,TF_Tekniker,M$4,TF_Dato,$A897))*2,0)/2)))</f>
        <v/>
      </c>
      <c r="N897">
        <f>IF(OR(N$4="",$A897&gt;TODAY()),0,IF(OR(INDEX($B897:$D897,N$5)="F",AND(N$6&gt;0,$A897&lt;N$6),AND(N$7&gt;0,$A897&gt;N$7)),0,MAX(0,ROUND((INDEX($E897:$G897,N$5)-SUMIFS(TF_Timer,TF_Tekniker,N$4,TF_Dato,$A897))*2,0)/2)))</f>
        <v/>
      </c>
      <c r="O897">
        <f>IF(OR(O$4="",$A897&gt;TODAY()),0,IF(OR(INDEX($B897:$D897,O$5)="F",AND(O$6&gt;0,$A897&lt;O$6),AND(O$7&gt;0,$A897&gt;O$7)),0,MAX(0,ROUND((INDEX($E897:$G897,O$5)-SUMIFS(TF_Timer,TF_Tekniker,O$4,TF_Dato,$A897))*2,0)/2)))</f>
        <v/>
      </c>
      <c r="P897">
        <f>IF(OR(P$4="",$A897&gt;TODAY()),0,IF(OR(INDEX($B897:$D897,P$5)="F",AND(P$6&gt;0,$A897&lt;P$6),AND(P$7&gt;0,$A897&gt;P$7)),0,MAX(0,ROUND((INDEX($E897:$G897,P$5)-SUMIFS(TF_Timer,TF_Tekniker,P$4,TF_Dato,$A897))*2,0)/2)))</f>
        <v/>
      </c>
      <c r="Q897">
        <f>IF(OR(Q$4="",$A897&gt;TODAY()),0,IF(OR(INDEX($B897:$D897,Q$5)="F",AND(Q$6&gt;0,$A897&lt;Q$6),AND(Q$7&gt;0,$A897&gt;Q$7)),0,MAX(0,ROUND((INDEX($E897:$G897,Q$5)-SUMIFS(TF_Timer,TF_Tekniker,Q$4,TF_Dato,$A897))*2,0)/2)))</f>
        <v/>
      </c>
      <c r="R897">
        <f>IF(OR(R$4="",$A897&gt;TODAY()),0,IF(OR(INDEX($B897:$D897,R$5)="F",AND(R$6&gt;0,$A897&lt;R$6),AND(R$7&gt;0,$A897&gt;R$7)),0,MAX(0,ROUND((INDEX($E897:$G897,R$5)-SUMIFS(TF_Timer,TF_Tekniker,R$4,TF_Dato,$A897))*2,0)/2)))</f>
        <v/>
      </c>
      <c r="S897">
        <f>IF(OR(S$4="",$A897&gt;TODAY()),0,IF(OR(INDEX($B897:$D897,S$5)="F",AND(S$6&gt;0,$A897&lt;S$6),AND(S$7&gt;0,$A897&gt;S$7)),0,MAX(0,ROUND((INDEX($E897:$G897,S$5)-SUMIFS(TF_Timer,TF_Tekniker,S$4,TF_Dato,$A897))*2,0)/2)))</f>
        <v/>
      </c>
      <c r="T897">
        <f>IF(OR(T$4="",$A897&gt;TODAY()),0,IF(OR(INDEX($B897:$D897,T$5)="F",AND(T$6&gt;0,$A897&lt;T$6),AND(T$7&gt;0,$A897&gt;T$7)),0,MAX(0,ROUND((INDEX($E897:$G897,T$5)-SUMIFS(TF_Timer,TF_Tekniker,T$4,TF_Dato,$A897))*2,0)/2)))</f>
        <v/>
      </c>
      <c r="U897">
        <f>IF(OR(U$4="",$A897&gt;TODAY()),0,IF(OR(INDEX($B897:$D897,U$5)="F",AND(U$6&gt;0,$A897&lt;U$6),AND(U$7&gt;0,$A897&gt;U$7)),0,MAX(0,ROUND((INDEX($E897:$G897,U$5)-SUMIFS(TF_Timer,TF_Tekniker,U$4,TF_Dato,$A897))*2,0)/2)))</f>
        <v/>
      </c>
      <c r="V897">
        <f>IF(OR(V$4="",$A897&gt;TODAY()),0,IF(OR(INDEX($B897:$D897,V$5)="F",AND(V$6&gt;0,$A897&lt;V$6),AND(V$7&gt;0,$A897&gt;V$7)),0,MAX(0,ROUND((INDEX($E897:$G897,V$5)-SUMIFS(TF_Timer,TF_Tekniker,V$4,TF_Dato,$A897))*2,0)/2)))</f>
        <v/>
      </c>
      <c r="W897">
        <f>IF(OR(W$4="",$A897&gt;TODAY()),0,IF(OR(INDEX($B897:$D897,W$5)="F",AND(W$6&gt;0,$A897&lt;W$6),AND(W$7&gt;0,$A897&gt;W$7)),0,MAX(0,ROUND((INDEX($E897:$G897,W$5)-SUMIFS(TF_Timer,TF_Tekniker,W$4,TF_Dato,$A897))*2,0)/2)))</f>
        <v/>
      </c>
      <c r="X897">
        <f>IF(OR(X$4="",$A897&gt;TODAY()),0,IF(OR(INDEX($B897:$D897,X$5)="F",AND(X$6&gt;0,$A897&lt;X$6),AND(X$7&gt;0,$A897&gt;X$7)),0,MAX(0,ROUND((INDEX($E897:$G897,X$5)-SUMIFS(TF_Timer,TF_Tekniker,X$4,TF_Dato,$A897))*2,0)/2)))</f>
        <v/>
      </c>
      <c r="Y897">
        <f>IF(OR(Y$4="",$A897&gt;TODAY()),0,IF(OR(INDEX($B897:$D897,Y$5)="F",AND(Y$6&gt;0,$A897&lt;Y$6),AND(Y$7&gt;0,$A897&gt;Y$7)),0,MAX(0,ROUND((INDEX($E897:$G897,Y$5)-SUMIFS(TF_Timer,TF_Tekniker,Y$4,TF_Dato,$A897))*2,0)/2)))</f>
        <v/>
      </c>
      <c r="Z897">
        <f>IF(OR(Z$4="",$A897&gt;TODAY()),0,IF(OR(INDEX($B897:$D897,Z$5)="F",AND(Z$6&gt;0,$A897&lt;Z$6),AND(Z$7&gt;0,$A897&gt;Z$7)),0,MAX(0,ROUND((INDEX($E897:$G897,Z$5)-SUMIFS(TF_Timer,TF_Tekniker,Z$4,TF_Dato,$A897))*2,0)/2)))</f>
        <v/>
      </c>
      <c r="AA897">
        <f>IF(OR(AA$4="",$A897&gt;TODAY()),0,IF(OR(INDEX($B897:$D897,AA$5)="F",AND(AA$6&gt;0,$A897&lt;AA$6),AND(AA$7&gt;0,$A897&gt;AA$7)),0,MAX(0,ROUND((INDEX($E897:$G897,AA$5)-SUMIFS(TF_Timer,TF_Tekniker,AA$4,TF_Dato,$A897))*2,0)/2)))</f>
        <v/>
      </c>
      <c r="AB897">
        <f>IF(OR(AB$4="",$A897&gt;TODAY()),0,IF(OR(INDEX($B897:$D897,AB$5)="F",AND(AB$6&gt;0,$A897&lt;AB$6),AND(AB$7&gt;0,$A897&gt;AB$7)),0,MAX(0,ROUND((INDEX($E897:$G897,AB$5)-SUMIFS(TF_Timer,TF_Tekniker,AB$4,TF_Dato,$A897))*2,0)/2)))</f>
        <v/>
      </c>
      <c r="AC897">
        <f>IF(OR(AC$4="",$A897&gt;TODAY()),0,IF(OR(INDEX($B897:$D897,AC$5)="F",AND(AC$6&gt;0,$A897&lt;AC$6),AND(AC$7&gt;0,$A897&gt;AC$7)),0,MAX(0,ROUND((INDEX($E897:$G897,AC$5)-SUMIFS(TF_Timer,TF_Tekniker,AC$4,TF_Dato,$A897))*2,0)/2)))</f>
        <v/>
      </c>
      <c r="AD897">
        <f>IF(OR(AD$4="",$A897&gt;TODAY()),0,IF(OR(INDEX($B897:$D897,AD$5)="F",AND(AD$6&gt;0,$A897&lt;AD$6),AND(AD$7&gt;0,$A897&gt;AD$7)),0,MAX(0,ROUND((INDEX($E897:$G897,AD$5)-SUMIFS(TF_Timer,TF_Tekniker,AD$4,TF_Dato,$A897))*2,0)/2)))</f>
        <v/>
      </c>
      <c r="AE897">
        <f>IF(OR(AE$4="",$A897&gt;TODAY()),0,IF(OR(INDEX($B897:$D897,AE$5)="F",AND(AE$6&gt;0,$A897&lt;AE$6),AND(AE$7&gt;0,$A897&gt;AE$7)),0,MAX(0,ROUND((INDEX($E897:$G897,AE$5)-SUMIFS(TF_Timer,TF_Tekniker,AE$4,TF_Dato,$A897))*2,0)/2)))</f>
        <v/>
      </c>
      <c r="AF897">
        <f>IF(OR(AF$4="",$A897&gt;TODAY()),0,IF(OR(INDEX($B897:$D897,AF$5)="F",AND(AF$6&gt;0,$A897&lt;AF$6),AND(AF$7&gt;0,$A897&gt;AF$7)),0,MAX(0,ROUND((INDEX($E897:$G897,AF$5)-SUMIFS(TF_Timer,TF_Tekniker,AF$4,TF_Dato,$A897))*2,0)/2)))</f>
        <v/>
      </c>
      <c r="AG897">
        <f>IF(OR(AG$4="",$A897&gt;TODAY()),0,IF(OR(INDEX($B897:$D897,AG$5)="F",AND(AG$6&gt;0,$A897&lt;AG$6),AND(AG$7&gt;0,$A897&gt;AG$7)),0,MAX(0,ROUND((INDEX($E897:$G897,AG$5)-SUMIFS(TF_Timer,TF_Tekniker,AG$4,TF_Dato,$A897))*2,0)/2)))</f>
        <v/>
      </c>
      <c r="AH897">
        <f>IF(OR(AH$4="",$A897&gt;TODAY()),0,IF(OR(INDEX($B897:$D897,AH$5)="F",AND(AH$6&gt;0,$A897&lt;AH$6),AND(AH$7&gt;0,$A897&gt;AH$7)),0,MAX(0,ROUND((INDEX($E897:$G897,AH$5)-SUMIFS(TF_Timer,TF_Tekniker,AH$4,TF_Dato,$A897))*2,0)/2)))</f>
        <v/>
      </c>
      <c r="AI897">
        <f>IF(OR(AI$4="",$A897&gt;TODAY()),0,IF(OR(INDEX($B897:$D897,AI$5)="F",AND(AI$6&gt;0,$A897&lt;AI$6),AND(AI$7&gt;0,$A897&gt;AI$7)),0,MAX(0,ROUND((INDEX($E897:$G897,AI$5)-SUMIFS(TF_Timer,TF_Tekniker,AI$4,TF_Dato,$A897))*2,0)/2)))</f>
        <v/>
      </c>
      <c r="AJ897">
        <f>IF(OR(AJ$4="",$A897&gt;TODAY()),0,IF(OR(INDEX($B897:$D897,AJ$5)="F",AND(AJ$6&gt;0,$A897&lt;AJ$6),AND(AJ$7&gt;0,$A897&gt;AJ$7)),0,MAX(0,ROUND((INDEX($E897:$G897,AJ$5)-SUMIFS(TF_Timer,TF_Tekniker,AJ$4,TF_Dato,$A897))*2,0)/2)))</f>
        <v/>
      </c>
      <c r="AK897">
        <f>IF(OR(AK$4="",$A897&gt;TODAY()),0,IF(OR(INDEX($B897:$D897,AK$5)="F",AND(AK$6&gt;0,$A897&lt;AK$6),AND(AK$7&gt;0,$A897&gt;AK$7)),0,MAX(0,ROUND((INDEX($E897:$G897,AK$5)-SUMIFS(TF_Timer,TF_Tekniker,AK$4,TF_Dato,$A897))*2,0)/2)))</f>
        <v/>
      </c>
      <c r="AL897">
        <f>IF(OR(AL$4="",$A897&gt;TODAY()),0,IF(OR(INDEX($B897:$D897,AL$5)="F",AND(AL$6&gt;0,$A897&lt;AL$6),AND(AL$7&gt;0,$A897&gt;AL$7)),0,MAX(0,ROUND((INDEX($E897:$G897,AL$5)-SUMIFS(TF_Timer,TF_Tekniker,AL$4,TF_Dato,$A897))*2,0)/2)))</f>
        <v/>
      </c>
      <c r="AM897">
        <f>IF(OR(AM$4="",$A897&gt;TODAY()),0,IF(OR(INDEX($B897:$D897,AM$5)="F",AND(AM$6&gt;0,$A897&lt;AM$6),AND(AM$7&gt;0,$A897&gt;AM$7)),0,MAX(0,ROUND((INDEX($E897:$G897,AM$5)-SUMIFS(TF_Timer,TF_Tekniker,AM$4,TF_Dato,$A897))*2,0)/2)))</f>
        <v/>
      </c>
      <c r="AN897">
        <f>IF(OR(AN$4="",$A897&gt;TODAY()),0,IF(OR(INDEX($B897:$D897,AN$5)="F",AND(AN$6&gt;0,$A897&lt;AN$6),AND(AN$7&gt;0,$A897&gt;AN$7)),0,MAX(0,ROUND((INDEX($E897:$G897,AN$5)-SUMIFS(TF_Timer,TF_Tekniker,AN$4,TF_Dato,$A897))*2,0)/2)))</f>
        <v/>
      </c>
      <c r="AO897">
        <f>IF(OR(AO$4="",$A897&gt;TODAY()),0,IF(OR(INDEX($B897:$D897,AO$5)="F",AND(AO$6&gt;0,$A897&lt;AO$6),AND(AO$7&gt;0,$A897&gt;AO$7)),0,MAX(0,ROUND((INDEX($E897:$G897,AO$5)-SUMIFS(TF_Timer,TF_Tekniker,AO$4,TF_Dato,$A897))*2,0)/2)))</f>
        <v/>
      </c>
      <c r="AP897">
        <f>IF(OR(AP$4="",$A897&gt;TODAY()),0,IF(OR(INDEX($B897:$D897,AP$5)="F",AND(AP$6&gt;0,$A897&lt;AP$6),AND(AP$7&gt;0,$A897&gt;AP$7)),0,MAX(0,ROUND((INDEX($E897:$G897,AP$5)-SUMIFS(TF_Timer,TF_Tekniker,AP$4,TF_Dato,$A897))*2,0)/2)))</f>
        <v/>
      </c>
      <c r="AQ897">
        <f>IF(OR(AQ$4="",$A897&gt;TODAY()),0,IF(OR(INDEX($B897:$D897,AQ$5)="F",AND(AQ$6&gt;0,$A897&lt;AQ$6),AND(AQ$7&gt;0,$A897&gt;AQ$7)),0,MAX(0,ROUND((INDEX($E897:$G897,AQ$5)-SUMIFS(TF_Timer,TF_Tekniker,AQ$4,TF_Dato,$A897))*2,0)/2)))</f>
        <v/>
      </c>
      <c r="AR897">
        <f>IF(OR(AR$4="",$A897&gt;TODAY()),0,IF(OR(INDEX($B897:$D897,AR$5)="F",AND(AR$6&gt;0,$A897&lt;AR$6),AND(AR$7&gt;0,$A897&gt;AR$7)),0,MAX(0,ROUND((INDEX($E897:$G897,AR$5)-SUMIFS(TF_Timer,TF_Tekniker,AR$4,TF_Dato,$A897))*2,0)/2)))</f>
        <v/>
      </c>
      <c r="AS897">
        <f>IF(OR(AS$4="",$A897&gt;TODAY()),0,IF(OR(INDEX($B897:$D897,AS$5)="F",AND(AS$6&gt;0,$A897&lt;AS$6),AND(AS$7&gt;0,$A897&gt;AS$7)),0,MAX(0,ROUND((INDEX($E897:$G897,AS$5)-SUMIFS(TF_Timer,TF_Tekniker,AS$4,TF_Dato,$A897))*2,0)/2)))</f>
        <v/>
      </c>
      <c r="AT897">
        <f>IF(OR(AT$4="",$A897&gt;TODAY()),0,IF(OR(INDEX($B897:$D897,AT$5)="F",AND(AT$6&gt;0,$A897&lt;AT$6),AND(AT$7&gt;0,$A897&gt;AT$7)),0,MAX(0,ROUND((INDEX($E897:$G897,AT$5)-SUMIFS(TF_Timer,TF_Tekniker,AT$4,TF_Dato,$A897))*2,0)/2)))</f>
        <v/>
      </c>
      <c r="AU897">
        <f>IF(OR(AU$4="",$A897&gt;TODAY()),0,IF(OR(INDEX($B897:$D897,AU$5)="F",AND(AU$6&gt;0,$A897&lt;AU$6),AND(AU$7&gt;0,$A897&gt;AU$7)),0,MAX(0,ROUND((INDEX($E897:$G897,AU$5)-SUMIFS(TF_Timer,TF_Tekniker,AU$4,TF_Dato,$A897))*2,0)/2)))</f>
        <v/>
      </c>
      <c r="AV897">
        <f>IF(OR(AV$4="",$A897&gt;TODAY()),0,IF(OR(INDEX($B897:$D897,AV$5)="F",AND(AV$6&gt;0,$A897&lt;AV$6),AND(AV$7&gt;0,$A897&gt;AV$7)),0,MAX(0,ROUND((INDEX($E897:$G897,AV$5)-SUMIFS(TF_Timer,TF_Tekniker,AV$4,TF_Dato,$A897))*2,0)/2)))</f>
        <v/>
      </c>
      <c r="AW897">
        <f>IF(OR(AW$4="",$A897&gt;TODAY()),0,IF(OR(INDEX($B897:$D897,AW$5)="F",AND(AW$6&gt;0,$A897&lt;AW$6),AND(AW$7&gt;0,$A897&gt;AW$7)),0,MAX(0,ROUND((INDEX($E897:$G897,AW$5)-SUMIFS(TF_Timer,TF_Tekniker,AW$4,TF_Dato,$A897))*2,0)/2)))</f>
        <v/>
      </c>
      <c r="AX897">
        <f>IF(OR(AX$4="",$A897&gt;TODAY()),0,IF(OR(INDEX($B897:$D897,AX$5)="F",AND(AX$6&gt;0,$A897&lt;AX$6),AND(AX$7&gt;0,$A897&gt;AX$7)),0,MAX(0,ROUND((INDEX($E897:$G897,AX$5)-SUMIFS(TF_Timer,TF_Tekniker,AX$4,TF_Dato,$A897))*2,0)/2)))</f>
        <v/>
      </c>
      <c r="AY897">
        <f>IF(OR(AY$4="",$A897&gt;TODAY()),0,IF(OR(INDEX($B897:$D897,AY$5)="F",AND(AY$6&gt;0,$A897&lt;AY$6),AND(AY$7&gt;0,$A897&gt;AY$7)),0,MAX(0,ROUND((INDEX($E897:$G897,AY$5)-SUMIFS(TF_Timer,TF_Tekniker,AY$4,TF_Dato,$A897))*2,0)/2)))</f>
        <v/>
      </c>
      <c r="AZ897">
        <f>IF(OR(AZ$4="",$A897&gt;TODAY()),0,IF(OR(INDEX($B897:$D897,AZ$5)="F",AND(AZ$6&gt;0,$A897&lt;AZ$6),AND(AZ$7&gt;0,$A897&gt;AZ$7)),0,MAX(0,ROUND((INDEX($E897:$G897,AZ$5)-SUMIFS(TF_Timer,TF_Tekniker,AZ$4,TF_Dato,$A897))*2,0)/2)))</f>
        <v/>
      </c>
      <c r="BA897">
        <f>IF(OR(BA$4="",$A897&gt;TODAY()),0,IF(OR(INDEX($B897:$D897,BA$5)="F",AND(BA$6&gt;0,$A897&lt;BA$6),AND(BA$7&gt;0,$A897&gt;BA$7)),0,MAX(0,ROUND((INDEX($E897:$G897,BA$5)-SUMIFS(TF_Timer,TF_Tekniker,BA$4,TF_Dato,$A897))*2,0)/2)))</f>
        <v/>
      </c>
      <c r="BB897">
        <f>IF(OR(BB$4="",$A897&gt;TODAY()),0,IF(OR(INDEX($B897:$D897,BB$5)="F",AND(BB$6&gt;0,$A897&lt;BB$6),AND(BB$7&gt;0,$A897&gt;BB$7)),0,MAX(0,ROUND((INDEX($E897:$G897,BB$5)-SUMIFS(TF_Timer,TF_Tekniker,BB$4,TF_Dato,$A897))*2,0)/2)))</f>
        <v/>
      </c>
      <c r="BC897">
        <f>IF(OR(BC$4="",$A897&gt;TODAY()),0,IF(OR(INDEX($B897:$D897,BC$5)="F",AND(BC$6&gt;0,$A897&lt;BC$6),AND(BC$7&gt;0,$A897&gt;BC$7)),0,MAX(0,ROUND((INDEX($E897:$G897,BC$5)-SUMIFS(TF_Timer,TF_Tekniker,BC$4,TF_Dato,$A897))*2,0)/2)))</f>
        <v/>
      </c>
      <c r="BD897">
        <f>IF(OR(BD$4="",$A897&gt;TODAY()),0,IF(OR(INDEX($B897:$D897,BD$5)="F",AND(BD$6&gt;0,$A897&lt;BD$6),AND(BD$7&gt;0,$A897&gt;BD$7)),0,MAX(0,ROUND((INDEX($E897:$G897,BD$5)-SUMIFS(TF_Timer,TF_Tekniker,BD$4,TF_Dato,$A897))*2,0)/2)))</f>
        <v/>
      </c>
      <c r="BE897">
        <f>IF(OR(BE$4="",$A897&gt;TODAY()),0,IF(OR(INDEX($B897:$D897,BE$5)="F",AND(BE$6&gt;0,$A897&lt;BE$6),AND(BE$7&gt;0,$A897&gt;BE$7)),0,MAX(0,ROUND((INDEX($E897:$G897,BE$5)-SUMIFS(TF_Timer,TF_Tekniker,BE$4,TF_Dato,$A897))*2,0)/2)))</f>
        <v/>
      </c>
      <c r="BF897">
        <f>IF(OR(BF$4="",$A897&gt;TODAY()),0,IF(OR(INDEX($B897:$D897,BF$5)="F",AND(BF$6&gt;0,$A897&lt;BF$6),AND(BF$7&gt;0,$A897&gt;BF$7)),0,MAX(0,ROUND((INDEX($E897:$G897,BF$5)-SUMIFS(TF_Timer,TF_Tekniker,BF$4,TF_Dato,$A897))*2,0)/2)))</f>
        <v/>
      </c>
      <c r="BG897">
        <f>IF(OR(BG$4="",$A897&gt;TODAY()),0,IF(OR(INDEX($B897:$D897,BG$5)="F",AND(BG$6&gt;0,$A897&lt;BG$6),AND(BG$7&gt;0,$A897&gt;BG$7)),0,MAX(0,ROUND((INDEX($E897:$G897,BG$5)-SUMIFS(TF_Timer,TF_Tekniker,BG$4,TF_Dato,$A897))*2,0)/2)))</f>
        <v/>
      </c>
      <c r="BH897">
        <f>IF(OR(BH$4="",$A897&gt;TODAY()),0,IF(OR(INDEX($B897:$D897,BH$5)="F",AND(BH$6&gt;0,$A897&lt;BH$6),AND(BH$7&gt;0,$A897&gt;BH$7)),0,MAX(0,ROUND((INDEX($E897:$G897,BH$5)-SUMIFS(TF_Timer,TF_Tekniker,BH$4,TF_Dato,$A897))*2,0)/2)))</f>
        <v/>
      </c>
      <c r="BI897">
        <f>IF(OR(BI$4="",$A897&gt;TODAY()),0,IF(OR(INDEX($B897:$D897,BI$5)="F",AND(BI$6&gt;0,$A897&lt;BI$6),AND(BI$7&gt;0,$A897&gt;BI$7)),0,MAX(0,ROUND((INDEX($E897:$G897,BI$5)-SUMIFS(TF_Timer,TF_Tekniker,BI$4,TF_Dato,$A897))*2,0)/2)))</f>
        <v/>
      </c>
    </row>
    <row r="898">
      <c r="A898" s="64">
        <f>A897+1</f>
        <v/>
      </c>
      <c r="B898">
        <f>IF(MOD($A898-INDEX(SkiftStart,1),Syklus)&lt;DagK,"K",IF(MOD($A898-INDEX(SkiftStart,1),Syklus)&lt;DagK+DagH,"H",IF(MOD($A898-INDEX(SkiftStart,1),Syklus)&lt;DagK+DagH+DagD,"D","F")))</f>
        <v/>
      </c>
      <c r="C898">
        <f>IF(MOD($A898-INDEX(SkiftStart,2),Syklus)&lt;DagK,"K",IF(MOD($A898-INDEX(SkiftStart,2),Syklus)&lt;DagK+DagH,"H",IF(MOD($A898-INDEX(SkiftStart,2),Syklus)&lt;DagK+DagH+DagD,"D","F")))</f>
        <v/>
      </c>
      <c r="D898">
        <f>IF(MOD($A898-INDEX(SkiftStart,3),Syklus)&lt;DagK,"K",IF(MOD($A898-INDEX(SkiftStart,3),Syklus)&lt;DagK+DagH,"H",IF(MOD($A898-INDEX(SkiftStart,3),Syklus)&lt;DagK+DagH+DagD,"D","F")))</f>
        <v/>
      </c>
      <c r="E898">
        <f>IF(B898="F",0,IF(WEEKDAY($A898,2)=5,INDEX(TimerFr,MATCH(B898,FaseKode,0)),INDEX(TimerMT,MATCH(B898,FaseKode,0))))</f>
        <v/>
      </c>
      <c r="F898">
        <f>IF(C898="F",0,IF(WEEKDAY($A898,2)=5,INDEX(TimerFr,MATCH(C898,FaseKode,0)),INDEX(TimerMT,MATCH(C898,FaseKode,0))))</f>
        <v/>
      </c>
      <c r="G898">
        <f>IF(D898="F",0,IF(WEEKDAY($A898,2)=5,INDEX(TimerFr,MATCH(D898,FaseKode,0)),INDEX(TimerMT,MATCH(D898,FaseKode,0))))</f>
        <v/>
      </c>
      <c r="H898">
        <f>IF(OR(H$4="",$A898&gt;TODAY()),0,IF(OR(INDEX($B898:$D898,H$5)="F",AND(H$6&gt;0,$A898&lt;H$6),AND(H$7&gt;0,$A898&gt;H$7)),0,MAX(0,ROUND((INDEX($E898:$G898,H$5)-SUMIFS(TF_Timer,TF_Tekniker,H$4,TF_Dato,$A898))*2,0)/2)))</f>
        <v/>
      </c>
      <c r="I898">
        <f>IF(OR(I$4="",$A898&gt;TODAY()),0,IF(OR(INDEX($B898:$D898,I$5)="F",AND(I$6&gt;0,$A898&lt;I$6),AND(I$7&gt;0,$A898&gt;I$7)),0,MAX(0,ROUND((INDEX($E898:$G898,I$5)-SUMIFS(TF_Timer,TF_Tekniker,I$4,TF_Dato,$A898))*2,0)/2)))</f>
        <v/>
      </c>
      <c r="J898">
        <f>IF(OR(J$4="",$A898&gt;TODAY()),0,IF(OR(INDEX($B898:$D898,J$5)="F",AND(J$6&gt;0,$A898&lt;J$6),AND(J$7&gt;0,$A898&gt;J$7)),0,MAX(0,ROUND((INDEX($E898:$G898,J$5)-SUMIFS(TF_Timer,TF_Tekniker,J$4,TF_Dato,$A898))*2,0)/2)))</f>
        <v/>
      </c>
      <c r="K898">
        <f>IF(OR(K$4="",$A898&gt;TODAY()),0,IF(OR(INDEX($B898:$D898,K$5)="F",AND(K$6&gt;0,$A898&lt;K$6),AND(K$7&gt;0,$A898&gt;K$7)),0,MAX(0,ROUND((INDEX($E898:$G898,K$5)-SUMIFS(TF_Timer,TF_Tekniker,K$4,TF_Dato,$A898))*2,0)/2)))</f>
        <v/>
      </c>
      <c r="L898">
        <f>IF(OR(L$4="",$A898&gt;TODAY()),0,IF(OR(INDEX($B898:$D898,L$5)="F",AND(L$6&gt;0,$A898&lt;L$6),AND(L$7&gt;0,$A898&gt;L$7)),0,MAX(0,ROUND((INDEX($E898:$G898,L$5)-SUMIFS(TF_Timer,TF_Tekniker,L$4,TF_Dato,$A898))*2,0)/2)))</f>
        <v/>
      </c>
      <c r="M898">
        <f>IF(OR(M$4="",$A898&gt;TODAY()),0,IF(OR(INDEX($B898:$D898,M$5)="F",AND(M$6&gt;0,$A898&lt;M$6),AND(M$7&gt;0,$A898&gt;M$7)),0,MAX(0,ROUND((INDEX($E898:$G898,M$5)-SUMIFS(TF_Timer,TF_Tekniker,M$4,TF_Dato,$A898))*2,0)/2)))</f>
        <v/>
      </c>
      <c r="N898">
        <f>IF(OR(N$4="",$A898&gt;TODAY()),0,IF(OR(INDEX($B898:$D898,N$5)="F",AND(N$6&gt;0,$A898&lt;N$6),AND(N$7&gt;0,$A898&gt;N$7)),0,MAX(0,ROUND((INDEX($E898:$G898,N$5)-SUMIFS(TF_Timer,TF_Tekniker,N$4,TF_Dato,$A898))*2,0)/2)))</f>
        <v/>
      </c>
      <c r="O898">
        <f>IF(OR(O$4="",$A898&gt;TODAY()),0,IF(OR(INDEX($B898:$D898,O$5)="F",AND(O$6&gt;0,$A898&lt;O$6),AND(O$7&gt;0,$A898&gt;O$7)),0,MAX(0,ROUND((INDEX($E898:$G898,O$5)-SUMIFS(TF_Timer,TF_Tekniker,O$4,TF_Dato,$A898))*2,0)/2)))</f>
        <v/>
      </c>
      <c r="P898">
        <f>IF(OR(P$4="",$A898&gt;TODAY()),0,IF(OR(INDEX($B898:$D898,P$5)="F",AND(P$6&gt;0,$A898&lt;P$6),AND(P$7&gt;0,$A898&gt;P$7)),0,MAX(0,ROUND((INDEX($E898:$G898,P$5)-SUMIFS(TF_Timer,TF_Tekniker,P$4,TF_Dato,$A898))*2,0)/2)))</f>
        <v/>
      </c>
      <c r="Q898">
        <f>IF(OR(Q$4="",$A898&gt;TODAY()),0,IF(OR(INDEX($B898:$D898,Q$5)="F",AND(Q$6&gt;0,$A898&lt;Q$6),AND(Q$7&gt;0,$A898&gt;Q$7)),0,MAX(0,ROUND((INDEX($E898:$G898,Q$5)-SUMIFS(TF_Timer,TF_Tekniker,Q$4,TF_Dato,$A898))*2,0)/2)))</f>
        <v/>
      </c>
      <c r="R898">
        <f>IF(OR(R$4="",$A898&gt;TODAY()),0,IF(OR(INDEX($B898:$D898,R$5)="F",AND(R$6&gt;0,$A898&lt;R$6),AND(R$7&gt;0,$A898&gt;R$7)),0,MAX(0,ROUND((INDEX($E898:$G898,R$5)-SUMIFS(TF_Timer,TF_Tekniker,R$4,TF_Dato,$A898))*2,0)/2)))</f>
        <v/>
      </c>
      <c r="S898">
        <f>IF(OR(S$4="",$A898&gt;TODAY()),0,IF(OR(INDEX($B898:$D898,S$5)="F",AND(S$6&gt;0,$A898&lt;S$6),AND(S$7&gt;0,$A898&gt;S$7)),0,MAX(0,ROUND((INDEX($E898:$G898,S$5)-SUMIFS(TF_Timer,TF_Tekniker,S$4,TF_Dato,$A898))*2,0)/2)))</f>
        <v/>
      </c>
      <c r="T898">
        <f>IF(OR(T$4="",$A898&gt;TODAY()),0,IF(OR(INDEX($B898:$D898,T$5)="F",AND(T$6&gt;0,$A898&lt;T$6),AND(T$7&gt;0,$A898&gt;T$7)),0,MAX(0,ROUND((INDEX($E898:$G898,T$5)-SUMIFS(TF_Timer,TF_Tekniker,T$4,TF_Dato,$A898))*2,0)/2)))</f>
        <v/>
      </c>
      <c r="U898">
        <f>IF(OR(U$4="",$A898&gt;TODAY()),0,IF(OR(INDEX($B898:$D898,U$5)="F",AND(U$6&gt;0,$A898&lt;U$6),AND(U$7&gt;0,$A898&gt;U$7)),0,MAX(0,ROUND((INDEX($E898:$G898,U$5)-SUMIFS(TF_Timer,TF_Tekniker,U$4,TF_Dato,$A898))*2,0)/2)))</f>
        <v/>
      </c>
      <c r="V898">
        <f>IF(OR(V$4="",$A898&gt;TODAY()),0,IF(OR(INDEX($B898:$D898,V$5)="F",AND(V$6&gt;0,$A898&lt;V$6),AND(V$7&gt;0,$A898&gt;V$7)),0,MAX(0,ROUND((INDEX($E898:$G898,V$5)-SUMIFS(TF_Timer,TF_Tekniker,V$4,TF_Dato,$A898))*2,0)/2)))</f>
        <v/>
      </c>
      <c r="W898">
        <f>IF(OR(W$4="",$A898&gt;TODAY()),0,IF(OR(INDEX($B898:$D898,W$5)="F",AND(W$6&gt;0,$A898&lt;W$6),AND(W$7&gt;0,$A898&gt;W$7)),0,MAX(0,ROUND((INDEX($E898:$G898,W$5)-SUMIFS(TF_Timer,TF_Tekniker,W$4,TF_Dato,$A898))*2,0)/2)))</f>
        <v/>
      </c>
      <c r="X898">
        <f>IF(OR(X$4="",$A898&gt;TODAY()),0,IF(OR(INDEX($B898:$D898,X$5)="F",AND(X$6&gt;0,$A898&lt;X$6),AND(X$7&gt;0,$A898&gt;X$7)),0,MAX(0,ROUND((INDEX($E898:$G898,X$5)-SUMIFS(TF_Timer,TF_Tekniker,X$4,TF_Dato,$A898))*2,0)/2)))</f>
        <v/>
      </c>
      <c r="Y898">
        <f>IF(OR(Y$4="",$A898&gt;TODAY()),0,IF(OR(INDEX($B898:$D898,Y$5)="F",AND(Y$6&gt;0,$A898&lt;Y$6),AND(Y$7&gt;0,$A898&gt;Y$7)),0,MAX(0,ROUND((INDEX($E898:$G898,Y$5)-SUMIFS(TF_Timer,TF_Tekniker,Y$4,TF_Dato,$A898))*2,0)/2)))</f>
        <v/>
      </c>
      <c r="Z898">
        <f>IF(OR(Z$4="",$A898&gt;TODAY()),0,IF(OR(INDEX($B898:$D898,Z$5)="F",AND(Z$6&gt;0,$A898&lt;Z$6),AND(Z$7&gt;0,$A898&gt;Z$7)),0,MAX(0,ROUND((INDEX($E898:$G898,Z$5)-SUMIFS(TF_Timer,TF_Tekniker,Z$4,TF_Dato,$A898))*2,0)/2)))</f>
        <v/>
      </c>
      <c r="AA898">
        <f>IF(OR(AA$4="",$A898&gt;TODAY()),0,IF(OR(INDEX($B898:$D898,AA$5)="F",AND(AA$6&gt;0,$A898&lt;AA$6),AND(AA$7&gt;0,$A898&gt;AA$7)),0,MAX(0,ROUND((INDEX($E898:$G898,AA$5)-SUMIFS(TF_Timer,TF_Tekniker,AA$4,TF_Dato,$A898))*2,0)/2)))</f>
        <v/>
      </c>
      <c r="AB898">
        <f>IF(OR(AB$4="",$A898&gt;TODAY()),0,IF(OR(INDEX($B898:$D898,AB$5)="F",AND(AB$6&gt;0,$A898&lt;AB$6),AND(AB$7&gt;0,$A898&gt;AB$7)),0,MAX(0,ROUND((INDEX($E898:$G898,AB$5)-SUMIFS(TF_Timer,TF_Tekniker,AB$4,TF_Dato,$A898))*2,0)/2)))</f>
        <v/>
      </c>
      <c r="AC898">
        <f>IF(OR(AC$4="",$A898&gt;TODAY()),0,IF(OR(INDEX($B898:$D898,AC$5)="F",AND(AC$6&gt;0,$A898&lt;AC$6),AND(AC$7&gt;0,$A898&gt;AC$7)),0,MAX(0,ROUND((INDEX($E898:$G898,AC$5)-SUMIFS(TF_Timer,TF_Tekniker,AC$4,TF_Dato,$A898))*2,0)/2)))</f>
        <v/>
      </c>
      <c r="AD898">
        <f>IF(OR(AD$4="",$A898&gt;TODAY()),0,IF(OR(INDEX($B898:$D898,AD$5)="F",AND(AD$6&gt;0,$A898&lt;AD$6),AND(AD$7&gt;0,$A898&gt;AD$7)),0,MAX(0,ROUND((INDEX($E898:$G898,AD$5)-SUMIFS(TF_Timer,TF_Tekniker,AD$4,TF_Dato,$A898))*2,0)/2)))</f>
        <v/>
      </c>
      <c r="AE898">
        <f>IF(OR(AE$4="",$A898&gt;TODAY()),0,IF(OR(INDEX($B898:$D898,AE$5)="F",AND(AE$6&gt;0,$A898&lt;AE$6),AND(AE$7&gt;0,$A898&gt;AE$7)),0,MAX(0,ROUND((INDEX($E898:$G898,AE$5)-SUMIFS(TF_Timer,TF_Tekniker,AE$4,TF_Dato,$A898))*2,0)/2)))</f>
        <v/>
      </c>
      <c r="AF898">
        <f>IF(OR(AF$4="",$A898&gt;TODAY()),0,IF(OR(INDEX($B898:$D898,AF$5)="F",AND(AF$6&gt;0,$A898&lt;AF$6),AND(AF$7&gt;0,$A898&gt;AF$7)),0,MAX(0,ROUND((INDEX($E898:$G898,AF$5)-SUMIFS(TF_Timer,TF_Tekniker,AF$4,TF_Dato,$A898))*2,0)/2)))</f>
        <v/>
      </c>
      <c r="AG898">
        <f>IF(OR(AG$4="",$A898&gt;TODAY()),0,IF(OR(INDEX($B898:$D898,AG$5)="F",AND(AG$6&gt;0,$A898&lt;AG$6),AND(AG$7&gt;0,$A898&gt;AG$7)),0,MAX(0,ROUND((INDEX($E898:$G898,AG$5)-SUMIFS(TF_Timer,TF_Tekniker,AG$4,TF_Dato,$A898))*2,0)/2)))</f>
        <v/>
      </c>
      <c r="AH898">
        <f>IF(OR(AH$4="",$A898&gt;TODAY()),0,IF(OR(INDEX($B898:$D898,AH$5)="F",AND(AH$6&gt;0,$A898&lt;AH$6),AND(AH$7&gt;0,$A898&gt;AH$7)),0,MAX(0,ROUND((INDEX($E898:$G898,AH$5)-SUMIFS(TF_Timer,TF_Tekniker,AH$4,TF_Dato,$A898))*2,0)/2)))</f>
        <v/>
      </c>
      <c r="AI898">
        <f>IF(OR(AI$4="",$A898&gt;TODAY()),0,IF(OR(INDEX($B898:$D898,AI$5)="F",AND(AI$6&gt;0,$A898&lt;AI$6),AND(AI$7&gt;0,$A898&gt;AI$7)),0,MAX(0,ROUND((INDEX($E898:$G898,AI$5)-SUMIFS(TF_Timer,TF_Tekniker,AI$4,TF_Dato,$A898))*2,0)/2)))</f>
        <v/>
      </c>
      <c r="AJ898">
        <f>IF(OR(AJ$4="",$A898&gt;TODAY()),0,IF(OR(INDEX($B898:$D898,AJ$5)="F",AND(AJ$6&gt;0,$A898&lt;AJ$6),AND(AJ$7&gt;0,$A898&gt;AJ$7)),0,MAX(0,ROUND((INDEX($E898:$G898,AJ$5)-SUMIFS(TF_Timer,TF_Tekniker,AJ$4,TF_Dato,$A898))*2,0)/2)))</f>
        <v/>
      </c>
      <c r="AK898">
        <f>IF(OR(AK$4="",$A898&gt;TODAY()),0,IF(OR(INDEX($B898:$D898,AK$5)="F",AND(AK$6&gt;0,$A898&lt;AK$6),AND(AK$7&gt;0,$A898&gt;AK$7)),0,MAX(0,ROUND((INDEX($E898:$G898,AK$5)-SUMIFS(TF_Timer,TF_Tekniker,AK$4,TF_Dato,$A898))*2,0)/2)))</f>
        <v/>
      </c>
      <c r="AL898">
        <f>IF(OR(AL$4="",$A898&gt;TODAY()),0,IF(OR(INDEX($B898:$D898,AL$5)="F",AND(AL$6&gt;0,$A898&lt;AL$6),AND(AL$7&gt;0,$A898&gt;AL$7)),0,MAX(0,ROUND((INDEX($E898:$G898,AL$5)-SUMIFS(TF_Timer,TF_Tekniker,AL$4,TF_Dato,$A898))*2,0)/2)))</f>
        <v/>
      </c>
      <c r="AM898">
        <f>IF(OR(AM$4="",$A898&gt;TODAY()),0,IF(OR(INDEX($B898:$D898,AM$5)="F",AND(AM$6&gt;0,$A898&lt;AM$6),AND(AM$7&gt;0,$A898&gt;AM$7)),0,MAX(0,ROUND((INDEX($E898:$G898,AM$5)-SUMIFS(TF_Timer,TF_Tekniker,AM$4,TF_Dato,$A898))*2,0)/2)))</f>
        <v/>
      </c>
      <c r="AN898">
        <f>IF(OR(AN$4="",$A898&gt;TODAY()),0,IF(OR(INDEX($B898:$D898,AN$5)="F",AND(AN$6&gt;0,$A898&lt;AN$6),AND(AN$7&gt;0,$A898&gt;AN$7)),0,MAX(0,ROUND((INDEX($E898:$G898,AN$5)-SUMIFS(TF_Timer,TF_Tekniker,AN$4,TF_Dato,$A898))*2,0)/2)))</f>
        <v/>
      </c>
      <c r="AO898">
        <f>IF(OR(AO$4="",$A898&gt;TODAY()),0,IF(OR(INDEX($B898:$D898,AO$5)="F",AND(AO$6&gt;0,$A898&lt;AO$6),AND(AO$7&gt;0,$A898&gt;AO$7)),0,MAX(0,ROUND((INDEX($E898:$G898,AO$5)-SUMIFS(TF_Timer,TF_Tekniker,AO$4,TF_Dato,$A898))*2,0)/2)))</f>
        <v/>
      </c>
      <c r="AP898">
        <f>IF(OR(AP$4="",$A898&gt;TODAY()),0,IF(OR(INDEX($B898:$D898,AP$5)="F",AND(AP$6&gt;0,$A898&lt;AP$6),AND(AP$7&gt;0,$A898&gt;AP$7)),0,MAX(0,ROUND((INDEX($E898:$G898,AP$5)-SUMIFS(TF_Timer,TF_Tekniker,AP$4,TF_Dato,$A898))*2,0)/2)))</f>
        <v/>
      </c>
      <c r="AQ898">
        <f>IF(OR(AQ$4="",$A898&gt;TODAY()),0,IF(OR(INDEX($B898:$D898,AQ$5)="F",AND(AQ$6&gt;0,$A898&lt;AQ$6),AND(AQ$7&gt;0,$A898&gt;AQ$7)),0,MAX(0,ROUND((INDEX($E898:$G898,AQ$5)-SUMIFS(TF_Timer,TF_Tekniker,AQ$4,TF_Dato,$A898))*2,0)/2)))</f>
        <v/>
      </c>
      <c r="AR898">
        <f>IF(OR(AR$4="",$A898&gt;TODAY()),0,IF(OR(INDEX($B898:$D898,AR$5)="F",AND(AR$6&gt;0,$A898&lt;AR$6),AND(AR$7&gt;0,$A898&gt;AR$7)),0,MAX(0,ROUND((INDEX($E898:$G898,AR$5)-SUMIFS(TF_Timer,TF_Tekniker,AR$4,TF_Dato,$A898))*2,0)/2)))</f>
        <v/>
      </c>
      <c r="AS898">
        <f>IF(OR(AS$4="",$A898&gt;TODAY()),0,IF(OR(INDEX($B898:$D898,AS$5)="F",AND(AS$6&gt;0,$A898&lt;AS$6),AND(AS$7&gt;0,$A898&gt;AS$7)),0,MAX(0,ROUND((INDEX($E898:$G898,AS$5)-SUMIFS(TF_Timer,TF_Tekniker,AS$4,TF_Dato,$A898))*2,0)/2)))</f>
        <v/>
      </c>
      <c r="AT898">
        <f>IF(OR(AT$4="",$A898&gt;TODAY()),0,IF(OR(INDEX($B898:$D898,AT$5)="F",AND(AT$6&gt;0,$A898&lt;AT$6),AND(AT$7&gt;0,$A898&gt;AT$7)),0,MAX(0,ROUND((INDEX($E898:$G898,AT$5)-SUMIFS(TF_Timer,TF_Tekniker,AT$4,TF_Dato,$A898))*2,0)/2)))</f>
        <v/>
      </c>
      <c r="AU898">
        <f>IF(OR(AU$4="",$A898&gt;TODAY()),0,IF(OR(INDEX($B898:$D898,AU$5)="F",AND(AU$6&gt;0,$A898&lt;AU$6),AND(AU$7&gt;0,$A898&gt;AU$7)),0,MAX(0,ROUND((INDEX($E898:$G898,AU$5)-SUMIFS(TF_Timer,TF_Tekniker,AU$4,TF_Dato,$A898))*2,0)/2)))</f>
        <v/>
      </c>
      <c r="AV898">
        <f>IF(OR(AV$4="",$A898&gt;TODAY()),0,IF(OR(INDEX($B898:$D898,AV$5)="F",AND(AV$6&gt;0,$A898&lt;AV$6),AND(AV$7&gt;0,$A898&gt;AV$7)),0,MAX(0,ROUND((INDEX($E898:$G898,AV$5)-SUMIFS(TF_Timer,TF_Tekniker,AV$4,TF_Dato,$A898))*2,0)/2)))</f>
        <v/>
      </c>
      <c r="AW898">
        <f>IF(OR(AW$4="",$A898&gt;TODAY()),0,IF(OR(INDEX($B898:$D898,AW$5)="F",AND(AW$6&gt;0,$A898&lt;AW$6),AND(AW$7&gt;0,$A898&gt;AW$7)),0,MAX(0,ROUND((INDEX($E898:$G898,AW$5)-SUMIFS(TF_Timer,TF_Tekniker,AW$4,TF_Dato,$A898))*2,0)/2)))</f>
        <v/>
      </c>
      <c r="AX898">
        <f>IF(OR(AX$4="",$A898&gt;TODAY()),0,IF(OR(INDEX($B898:$D898,AX$5)="F",AND(AX$6&gt;0,$A898&lt;AX$6),AND(AX$7&gt;0,$A898&gt;AX$7)),0,MAX(0,ROUND((INDEX($E898:$G898,AX$5)-SUMIFS(TF_Timer,TF_Tekniker,AX$4,TF_Dato,$A898))*2,0)/2)))</f>
        <v/>
      </c>
      <c r="AY898">
        <f>IF(OR(AY$4="",$A898&gt;TODAY()),0,IF(OR(INDEX($B898:$D898,AY$5)="F",AND(AY$6&gt;0,$A898&lt;AY$6),AND(AY$7&gt;0,$A898&gt;AY$7)),0,MAX(0,ROUND((INDEX($E898:$G898,AY$5)-SUMIFS(TF_Timer,TF_Tekniker,AY$4,TF_Dato,$A898))*2,0)/2)))</f>
        <v/>
      </c>
      <c r="AZ898">
        <f>IF(OR(AZ$4="",$A898&gt;TODAY()),0,IF(OR(INDEX($B898:$D898,AZ$5)="F",AND(AZ$6&gt;0,$A898&lt;AZ$6),AND(AZ$7&gt;0,$A898&gt;AZ$7)),0,MAX(0,ROUND((INDEX($E898:$G898,AZ$5)-SUMIFS(TF_Timer,TF_Tekniker,AZ$4,TF_Dato,$A898))*2,0)/2)))</f>
        <v/>
      </c>
      <c r="BA898">
        <f>IF(OR(BA$4="",$A898&gt;TODAY()),0,IF(OR(INDEX($B898:$D898,BA$5)="F",AND(BA$6&gt;0,$A898&lt;BA$6),AND(BA$7&gt;0,$A898&gt;BA$7)),0,MAX(0,ROUND((INDEX($E898:$G898,BA$5)-SUMIFS(TF_Timer,TF_Tekniker,BA$4,TF_Dato,$A898))*2,0)/2)))</f>
        <v/>
      </c>
      <c r="BB898">
        <f>IF(OR(BB$4="",$A898&gt;TODAY()),0,IF(OR(INDEX($B898:$D898,BB$5)="F",AND(BB$6&gt;0,$A898&lt;BB$6),AND(BB$7&gt;0,$A898&gt;BB$7)),0,MAX(0,ROUND((INDEX($E898:$G898,BB$5)-SUMIFS(TF_Timer,TF_Tekniker,BB$4,TF_Dato,$A898))*2,0)/2)))</f>
        <v/>
      </c>
      <c r="BC898">
        <f>IF(OR(BC$4="",$A898&gt;TODAY()),0,IF(OR(INDEX($B898:$D898,BC$5)="F",AND(BC$6&gt;0,$A898&lt;BC$6),AND(BC$7&gt;0,$A898&gt;BC$7)),0,MAX(0,ROUND((INDEX($E898:$G898,BC$5)-SUMIFS(TF_Timer,TF_Tekniker,BC$4,TF_Dato,$A898))*2,0)/2)))</f>
        <v/>
      </c>
      <c r="BD898">
        <f>IF(OR(BD$4="",$A898&gt;TODAY()),0,IF(OR(INDEX($B898:$D898,BD$5)="F",AND(BD$6&gt;0,$A898&lt;BD$6),AND(BD$7&gt;0,$A898&gt;BD$7)),0,MAX(0,ROUND((INDEX($E898:$G898,BD$5)-SUMIFS(TF_Timer,TF_Tekniker,BD$4,TF_Dato,$A898))*2,0)/2)))</f>
        <v/>
      </c>
      <c r="BE898">
        <f>IF(OR(BE$4="",$A898&gt;TODAY()),0,IF(OR(INDEX($B898:$D898,BE$5)="F",AND(BE$6&gt;0,$A898&lt;BE$6),AND(BE$7&gt;0,$A898&gt;BE$7)),0,MAX(0,ROUND((INDEX($E898:$G898,BE$5)-SUMIFS(TF_Timer,TF_Tekniker,BE$4,TF_Dato,$A898))*2,0)/2)))</f>
        <v/>
      </c>
      <c r="BF898">
        <f>IF(OR(BF$4="",$A898&gt;TODAY()),0,IF(OR(INDEX($B898:$D898,BF$5)="F",AND(BF$6&gt;0,$A898&lt;BF$6),AND(BF$7&gt;0,$A898&gt;BF$7)),0,MAX(0,ROUND((INDEX($E898:$G898,BF$5)-SUMIFS(TF_Timer,TF_Tekniker,BF$4,TF_Dato,$A898))*2,0)/2)))</f>
        <v/>
      </c>
      <c r="BG898">
        <f>IF(OR(BG$4="",$A898&gt;TODAY()),0,IF(OR(INDEX($B898:$D898,BG$5)="F",AND(BG$6&gt;0,$A898&lt;BG$6),AND(BG$7&gt;0,$A898&gt;BG$7)),0,MAX(0,ROUND((INDEX($E898:$G898,BG$5)-SUMIFS(TF_Timer,TF_Tekniker,BG$4,TF_Dato,$A898))*2,0)/2)))</f>
        <v/>
      </c>
      <c r="BH898">
        <f>IF(OR(BH$4="",$A898&gt;TODAY()),0,IF(OR(INDEX($B898:$D898,BH$5)="F",AND(BH$6&gt;0,$A898&lt;BH$6),AND(BH$7&gt;0,$A898&gt;BH$7)),0,MAX(0,ROUND((INDEX($E898:$G898,BH$5)-SUMIFS(TF_Timer,TF_Tekniker,BH$4,TF_Dato,$A898))*2,0)/2)))</f>
        <v/>
      </c>
      <c r="BI898">
        <f>IF(OR(BI$4="",$A898&gt;TODAY()),0,IF(OR(INDEX($B898:$D898,BI$5)="F",AND(BI$6&gt;0,$A898&lt;BI$6),AND(BI$7&gt;0,$A898&gt;BI$7)),0,MAX(0,ROUND((INDEX($E898:$G898,BI$5)-SUMIFS(TF_Timer,TF_Tekniker,BI$4,TF_Dato,$A898))*2,0)/2)))</f>
        <v/>
      </c>
    </row>
    <row r="899">
      <c r="A899" s="64">
        <f>A898+1</f>
        <v/>
      </c>
      <c r="B899">
        <f>IF(MOD($A899-INDEX(SkiftStart,1),Syklus)&lt;DagK,"K",IF(MOD($A899-INDEX(SkiftStart,1),Syklus)&lt;DagK+DagH,"H",IF(MOD($A899-INDEX(SkiftStart,1),Syklus)&lt;DagK+DagH+DagD,"D","F")))</f>
        <v/>
      </c>
      <c r="C899">
        <f>IF(MOD($A899-INDEX(SkiftStart,2),Syklus)&lt;DagK,"K",IF(MOD($A899-INDEX(SkiftStart,2),Syklus)&lt;DagK+DagH,"H",IF(MOD($A899-INDEX(SkiftStart,2),Syklus)&lt;DagK+DagH+DagD,"D","F")))</f>
        <v/>
      </c>
      <c r="D899">
        <f>IF(MOD($A899-INDEX(SkiftStart,3),Syklus)&lt;DagK,"K",IF(MOD($A899-INDEX(SkiftStart,3),Syklus)&lt;DagK+DagH,"H",IF(MOD($A899-INDEX(SkiftStart,3),Syklus)&lt;DagK+DagH+DagD,"D","F")))</f>
        <v/>
      </c>
      <c r="E899">
        <f>IF(B899="F",0,IF(WEEKDAY($A899,2)=5,INDEX(TimerFr,MATCH(B899,FaseKode,0)),INDEX(TimerMT,MATCH(B899,FaseKode,0))))</f>
        <v/>
      </c>
      <c r="F899">
        <f>IF(C899="F",0,IF(WEEKDAY($A899,2)=5,INDEX(TimerFr,MATCH(C899,FaseKode,0)),INDEX(TimerMT,MATCH(C899,FaseKode,0))))</f>
        <v/>
      </c>
      <c r="G899">
        <f>IF(D899="F",0,IF(WEEKDAY($A899,2)=5,INDEX(TimerFr,MATCH(D899,FaseKode,0)),INDEX(TimerMT,MATCH(D899,FaseKode,0))))</f>
        <v/>
      </c>
      <c r="H899">
        <f>IF(OR(H$4="",$A899&gt;TODAY()),0,IF(OR(INDEX($B899:$D899,H$5)="F",AND(H$6&gt;0,$A899&lt;H$6),AND(H$7&gt;0,$A899&gt;H$7)),0,MAX(0,ROUND((INDEX($E899:$G899,H$5)-SUMIFS(TF_Timer,TF_Tekniker,H$4,TF_Dato,$A899))*2,0)/2)))</f>
        <v/>
      </c>
      <c r="I899">
        <f>IF(OR(I$4="",$A899&gt;TODAY()),0,IF(OR(INDEX($B899:$D899,I$5)="F",AND(I$6&gt;0,$A899&lt;I$6),AND(I$7&gt;0,$A899&gt;I$7)),0,MAX(0,ROUND((INDEX($E899:$G899,I$5)-SUMIFS(TF_Timer,TF_Tekniker,I$4,TF_Dato,$A899))*2,0)/2)))</f>
        <v/>
      </c>
      <c r="J899">
        <f>IF(OR(J$4="",$A899&gt;TODAY()),0,IF(OR(INDEX($B899:$D899,J$5)="F",AND(J$6&gt;0,$A899&lt;J$6),AND(J$7&gt;0,$A899&gt;J$7)),0,MAX(0,ROUND((INDEX($E899:$G899,J$5)-SUMIFS(TF_Timer,TF_Tekniker,J$4,TF_Dato,$A899))*2,0)/2)))</f>
        <v/>
      </c>
      <c r="K899">
        <f>IF(OR(K$4="",$A899&gt;TODAY()),0,IF(OR(INDEX($B899:$D899,K$5)="F",AND(K$6&gt;0,$A899&lt;K$6),AND(K$7&gt;0,$A899&gt;K$7)),0,MAX(0,ROUND((INDEX($E899:$G899,K$5)-SUMIFS(TF_Timer,TF_Tekniker,K$4,TF_Dato,$A899))*2,0)/2)))</f>
        <v/>
      </c>
      <c r="L899">
        <f>IF(OR(L$4="",$A899&gt;TODAY()),0,IF(OR(INDEX($B899:$D899,L$5)="F",AND(L$6&gt;0,$A899&lt;L$6),AND(L$7&gt;0,$A899&gt;L$7)),0,MAX(0,ROUND((INDEX($E899:$G899,L$5)-SUMIFS(TF_Timer,TF_Tekniker,L$4,TF_Dato,$A899))*2,0)/2)))</f>
        <v/>
      </c>
      <c r="M899">
        <f>IF(OR(M$4="",$A899&gt;TODAY()),0,IF(OR(INDEX($B899:$D899,M$5)="F",AND(M$6&gt;0,$A899&lt;M$6),AND(M$7&gt;0,$A899&gt;M$7)),0,MAX(0,ROUND((INDEX($E899:$G899,M$5)-SUMIFS(TF_Timer,TF_Tekniker,M$4,TF_Dato,$A899))*2,0)/2)))</f>
        <v/>
      </c>
      <c r="N899">
        <f>IF(OR(N$4="",$A899&gt;TODAY()),0,IF(OR(INDEX($B899:$D899,N$5)="F",AND(N$6&gt;0,$A899&lt;N$6),AND(N$7&gt;0,$A899&gt;N$7)),0,MAX(0,ROUND((INDEX($E899:$G899,N$5)-SUMIFS(TF_Timer,TF_Tekniker,N$4,TF_Dato,$A899))*2,0)/2)))</f>
        <v/>
      </c>
      <c r="O899">
        <f>IF(OR(O$4="",$A899&gt;TODAY()),0,IF(OR(INDEX($B899:$D899,O$5)="F",AND(O$6&gt;0,$A899&lt;O$6),AND(O$7&gt;0,$A899&gt;O$7)),0,MAX(0,ROUND((INDEX($E899:$G899,O$5)-SUMIFS(TF_Timer,TF_Tekniker,O$4,TF_Dato,$A899))*2,0)/2)))</f>
        <v/>
      </c>
      <c r="P899">
        <f>IF(OR(P$4="",$A899&gt;TODAY()),0,IF(OR(INDEX($B899:$D899,P$5)="F",AND(P$6&gt;0,$A899&lt;P$6),AND(P$7&gt;0,$A899&gt;P$7)),0,MAX(0,ROUND((INDEX($E899:$G899,P$5)-SUMIFS(TF_Timer,TF_Tekniker,P$4,TF_Dato,$A899))*2,0)/2)))</f>
        <v/>
      </c>
      <c r="Q899">
        <f>IF(OR(Q$4="",$A899&gt;TODAY()),0,IF(OR(INDEX($B899:$D899,Q$5)="F",AND(Q$6&gt;0,$A899&lt;Q$6),AND(Q$7&gt;0,$A899&gt;Q$7)),0,MAX(0,ROUND((INDEX($E899:$G899,Q$5)-SUMIFS(TF_Timer,TF_Tekniker,Q$4,TF_Dato,$A899))*2,0)/2)))</f>
        <v/>
      </c>
      <c r="R899">
        <f>IF(OR(R$4="",$A899&gt;TODAY()),0,IF(OR(INDEX($B899:$D899,R$5)="F",AND(R$6&gt;0,$A899&lt;R$6),AND(R$7&gt;0,$A899&gt;R$7)),0,MAX(0,ROUND((INDEX($E899:$G899,R$5)-SUMIFS(TF_Timer,TF_Tekniker,R$4,TF_Dato,$A899))*2,0)/2)))</f>
        <v/>
      </c>
      <c r="S899">
        <f>IF(OR(S$4="",$A899&gt;TODAY()),0,IF(OR(INDEX($B899:$D899,S$5)="F",AND(S$6&gt;0,$A899&lt;S$6),AND(S$7&gt;0,$A899&gt;S$7)),0,MAX(0,ROUND((INDEX($E899:$G899,S$5)-SUMIFS(TF_Timer,TF_Tekniker,S$4,TF_Dato,$A899))*2,0)/2)))</f>
        <v/>
      </c>
      <c r="T899">
        <f>IF(OR(T$4="",$A899&gt;TODAY()),0,IF(OR(INDEX($B899:$D899,T$5)="F",AND(T$6&gt;0,$A899&lt;T$6),AND(T$7&gt;0,$A899&gt;T$7)),0,MAX(0,ROUND((INDEX($E899:$G899,T$5)-SUMIFS(TF_Timer,TF_Tekniker,T$4,TF_Dato,$A899))*2,0)/2)))</f>
        <v/>
      </c>
      <c r="U899">
        <f>IF(OR(U$4="",$A899&gt;TODAY()),0,IF(OR(INDEX($B899:$D899,U$5)="F",AND(U$6&gt;0,$A899&lt;U$6),AND(U$7&gt;0,$A899&gt;U$7)),0,MAX(0,ROUND((INDEX($E899:$G899,U$5)-SUMIFS(TF_Timer,TF_Tekniker,U$4,TF_Dato,$A899))*2,0)/2)))</f>
        <v/>
      </c>
      <c r="V899">
        <f>IF(OR(V$4="",$A899&gt;TODAY()),0,IF(OR(INDEX($B899:$D899,V$5)="F",AND(V$6&gt;0,$A899&lt;V$6),AND(V$7&gt;0,$A899&gt;V$7)),0,MAX(0,ROUND((INDEX($E899:$G899,V$5)-SUMIFS(TF_Timer,TF_Tekniker,V$4,TF_Dato,$A899))*2,0)/2)))</f>
        <v/>
      </c>
      <c r="W899">
        <f>IF(OR(W$4="",$A899&gt;TODAY()),0,IF(OR(INDEX($B899:$D899,W$5)="F",AND(W$6&gt;0,$A899&lt;W$6),AND(W$7&gt;0,$A899&gt;W$7)),0,MAX(0,ROUND((INDEX($E899:$G899,W$5)-SUMIFS(TF_Timer,TF_Tekniker,W$4,TF_Dato,$A899))*2,0)/2)))</f>
        <v/>
      </c>
      <c r="X899">
        <f>IF(OR(X$4="",$A899&gt;TODAY()),0,IF(OR(INDEX($B899:$D899,X$5)="F",AND(X$6&gt;0,$A899&lt;X$6),AND(X$7&gt;0,$A899&gt;X$7)),0,MAX(0,ROUND((INDEX($E899:$G899,X$5)-SUMIFS(TF_Timer,TF_Tekniker,X$4,TF_Dato,$A899))*2,0)/2)))</f>
        <v/>
      </c>
      <c r="Y899">
        <f>IF(OR(Y$4="",$A899&gt;TODAY()),0,IF(OR(INDEX($B899:$D899,Y$5)="F",AND(Y$6&gt;0,$A899&lt;Y$6),AND(Y$7&gt;0,$A899&gt;Y$7)),0,MAX(0,ROUND((INDEX($E899:$G899,Y$5)-SUMIFS(TF_Timer,TF_Tekniker,Y$4,TF_Dato,$A899))*2,0)/2)))</f>
        <v/>
      </c>
      <c r="Z899">
        <f>IF(OR(Z$4="",$A899&gt;TODAY()),0,IF(OR(INDEX($B899:$D899,Z$5)="F",AND(Z$6&gt;0,$A899&lt;Z$6),AND(Z$7&gt;0,$A899&gt;Z$7)),0,MAX(0,ROUND((INDEX($E899:$G899,Z$5)-SUMIFS(TF_Timer,TF_Tekniker,Z$4,TF_Dato,$A899))*2,0)/2)))</f>
        <v/>
      </c>
      <c r="AA899">
        <f>IF(OR(AA$4="",$A899&gt;TODAY()),0,IF(OR(INDEX($B899:$D899,AA$5)="F",AND(AA$6&gt;0,$A899&lt;AA$6),AND(AA$7&gt;0,$A899&gt;AA$7)),0,MAX(0,ROUND((INDEX($E899:$G899,AA$5)-SUMIFS(TF_Timer,TF_Tekniker,AA$4,TF_Dato,$A899))*2,0)/2)))</f>
        <v/>
      </c>
      <c r="AB899">
        <f>IF(OR(AB$4="",$A899&gt;TODAY()),0,IF(OR(INDEX($B899:$D899,AB$5)="F",AND(AB$6&gt;0,$A899&lt;AB$6),AND(AB$7&gt;0,$A899&gt;AB$7)),0,MAX(0,ROUND((INDEX($E899:$G899,AB$5)-SUMIFS(TF_Timer,TF_Tekniker,AB$4,TF_Dato,$A899))*2,0)/2)))</f>
        <v/>
      </c>
      <c r="AC899">
        <f>IF(OR(AC$4="",$A899&gt;TODAY()),0,IF(OR(INDEX($B899:$D899,AC$5)="F",AND(AC$6&gt;0,$A899&lt;AC$6),AND(AC$7&gt;0,$A899&gt;AC$7)),0,MAX(0,ROUND((INDEX($E899:$G899,AC$5)-SUMIFS(TF_Timer,TF_Tekniker,AC$4,TF_Dato,$A899))*2,0)/2)))</f>
        <v/>
      </c>
      <c r="AD899">
        <f>IF(OR(AD$4="",$A899&gt;TODAY()),0,IF(OR(INDEX($B899:$D899,AD$5)="F",AND(AD$6&gt;0,$A899&lt;AD$6),AND(AD$7&gt;0,$A899&gt;AD$7)),0,MAX(0,ROUND((INDEX($E899:$G899,AD$5)-SUMIFS(TF_Timer,TF_Tekniker,AD$4,TF_Dato,$A899))*2,0)/2)))</f>
        <v/>
      </c>
      <c r="AE899">
        <f>IF(OR(AE$4="",$A899&gt;TODAY()),0,IF(OR(INDEX($B899:$D899,AE$5)="F",AND(AE$6&gt;0,$A899&lt;AE$6),AND(AE$7&gt;0,$A899&gt;AE$7)),0,MAX(0,ROUND((INDEX($E899:$G899,AE$5)-SUMIFS(TF_Timer,TF_Tekniker,AE$4,TF_Dato,$A899))*2,0)/2)))</f>
        <v/>
      </c>
      <c r="AF899">
        <f>IF(OR(AF$4="",$A899&gt;TODAY()),0,IF(OR(INDEX($B899:$D899,AF$5)="F",AND(AF$6&gt;0,$A899&lt;AF$6),AND(AF$7&gt;0,$A899&gt;AF$7)),0,MAX(0,ROUND((INDEX($E899:$G899,AF$5)-SUMIFS(TF_Timer,TF_Tekniker,AF$4,TF_Dato,$A899))*2,0)/2)))</f>
        <v/>
      </c>
      <c r="AG899">
        <f>IF(OR(AG$4="",$A899&gt;TODAY()),0,IF(OR(INDEX($B899:$D899,AG$5)="F",AND(AG$6&gt;0,$A899&lt;AG$6),AND(AG$7&gt;0,$A899&gt;AG$7)),0,MAX(0,ROUND((INDEX($E899:$G899,AG$5)-SUMIFS(TF_Timer,TF_Tekniker,AG$4,TF_Dato,$A899))*2,0)/2)))</f>
        <v/>
      </c>
      <c r="AH899">
        <f>IF(OR(AH$4="",$A899&gt;TODAY()),0,IF(OR(INDEX($B899:$D899,AH$5)="F",AND(AH$6&gt;0,$A899&lt;AH$6),AND(AH$7&gt;0,$A899&gt;AH$7)),0,MAX(0,ROUND((INDEX($E899:$G899,AH$5)-SUMIFS(TF_Timer,TF_Tekniker,AH$4,TF_Dato,$A899))*2,0)/2)))</f>
        <v/>
      </c>
      <c r="AI899">
        <f>IF(OR(AI$4="",$A899&gt;TODAY()),0,IF(OR(INDEX($B899:$D899,AI$5)="F",AND(AI$6&gt;0,$A899&lt;AI$6),AND(AI$7&gt;0,$A899&gt;AI$7)),0,MAX(0,ROUND((INDEX($E899:$G899,AI$5)-SUMIFS(TF_Timer,TF_Tekniker,AI$4,TF_Dato,$A899))*2,0)/2)))</f>
        <v/>
      </c>
      <c r="AJ899">
        <f>IF(OR(AJ$4="",$A899&gt;TODAY()),0,IF(OR(INDEX($B899:$D899,AJ$5)="F",AND(AJ$6&gt;0,$A899&lt;AJ$6),AND(AJ$7&gt;0,$A899&gt;AJ$7)),0,MAX(0,ROUND((INDEX($E899:$G899,AJ$5)-SUMIFS(TF_Timer,TF_Tekniker,AJ$4,TF_Dato,$A899))*2,0)/2)))</f>
        <v/>
      </c>
      <c r="AK899">
        <f>IF(OR(AK$4="",$A899&gt;TODAY()),0,IF(OR(INDEX($B899:$D899,AK$5)="F",AND(AK$6&gt;0,$A899&lt;AK$6),AND(AK$7&gt;0,$A899&gt;AK$7)),0,MAX(0,ROUND((INDEX($E899:$G899,AK$5)-SUMIFS(TF_Timer,TF_Tekniker,AK$4,TF_Dato,$A899))*2,0)/2)))</f>
        <v/>
      </c>
      <c r="AL899">
        <f>IF(OR(AL$4="",$A899&gt;TODAY()),0,IF(OR(INDEX($B899:$D899,AL$5)="F",AND(AL$6&gt;0,$A899&lt;AL$6),AND(AL$7&gt;0,$A899&gt;AL$7)),0,MAX(0,ROUND((INDEX($E899:$G899,AL$5)-SUMIFS(TF_Timer,TF_Tekniker,AL$4,TF_Dato,$A899))*2,0)/2)))</f>
        <v/>
      </c>
      <c r="AM899">
        <f>IF(OR(AM$4="",$A899&gt;TODAY()),0,IF(OR(INDEX($B899:$D899,AM$5)="F",AND(AM$6&gt;0,$A899&lt;AM$6),AND(AM$7&gt;0,$A899&gt;AM$7)),0,MAX(0,ROUND((INDEX($E899:$G899,AM$5)-SUMIFS(TF_Timer,TF_Tekniker,AM$4,TF_Dato,$A899))*2,0)/2)))</f>
        <v/>
      </c>
      <c r="AN899">
        <f>IF(OR(AN$4="",$A899&gt;TODAY()),0,IF(OR(INDEX($B899:$D899,AN$5)="F",AND(AN$6&gt;0,$A899&lt;AN$6),AND(AN$7&gt;0,$A899&gt;AN$7)),0,MAX(0,ROUND((INDEX($E899:$G899,AN$5)-SUMIFS(TF_Timer,TF_Tekniker,AN$4,TF_Dato,$A899))*2,0)/2)))</f>
        <v/>
      </c>
      <c r="AO899">
        <f>IF(OR(AO$4="",$A899&gt;TODAY()),0,IF(OR(INDEX($B899:$D899,AO$5)="F",AND(AO$6&gt;0,$A899&lt;AO$6),AND(AO$7&gt;0,$A899&gt;AO$7)),0,MAX(0,ROUND((INDEX($E899:$G899,AO$5)-SUMIFS(TF_Timer,TF_Tekniker,AO$4,TF_Dato,$A899))*2,0)/2)))</f>
        <v/>
      </c>
      <c r="AP899">
        <f>IF(OR(AP$4="",$A899&gt;TODAY()),0,IF(OR(INDEX($B899:$D899,AP$5)="F",AND(AP$6&gt;0,$A899&lt;AP$6),AND(AP$7&gt;0,$A899&gt;AP$7)),0,MAX(0,ROUND((INDEX($E899:$G899,AP$5)-SUMIFS(TF_Timer,TF_Tekniker,AP$4,TF_Dato,$A899))*2,0)/2)))</f>
        <v/>
      </c>
      <c r="AQ899">
        <f>IF(OR(AQ$4="",$A899&gt;TODAY()),0,IF(OR(INDEX($B899:$D899,AQ$5)="F",AND(AQ$6&gt;0,$A899&lt;AQ$6),AND(AQ$7&gt;0,$A899&gt;AQ$7)),0,MAX(0,ROUND((INDEX($E899:$G899,AQ$5)-SUMIFS(TF_Timer,TF_Tekniker,AQ$4,TF_Dato,$A899))*2,0)/2)))</f>
        <v/>
      </c>
      <c r="AR899">
        <f>IF(OR(AR$4="",$A899&gt;TODAY()),0,IF(OR(INDEX($B899:$D899,AR$5)="F",AND(AR$6&gt;0,$A899&lt;AR$6),AND(AR$7&gt;0,$A899&gt;AR$7)),0,MAX(0,ROUND((INDEX($E899:$G899,AR$5)-SUMIFS(TF_Timer,TF_Tekniker,AR$4,TF_Dato,$A899))*2,0)/2)))</f>
        <v/>
      </c>
      <c r="AS899">
        <f>IF(OR(AS$4="",$A899&gt;TODAY()),0,IF(OR(INDEX($B899:$D899,AS$5)="F",AND(AS$6&gt;0,$A899&lt;AS$6),AND(AS$7&gt;0,$A899&gt;AS$7)),0,MAX(0,ROUND((INDEX($E899:$G899,AS$5)-SUMIFS(TF_Timer,TF_Tekniker,AS$4,TF_Dato,$A899))*2,0)/2)))</f>
        <v/>
      </c>
      <c r="AT899">
        <f>IF(OR(AT$4="",$A899&gt;TODAY()),0,IF(OR(INDEX($B899:$D899,AT$5)="F",AND(AT$6&gt;0,$A899&lt;AT$6),AND(AT$7&gt;0,$A899&gt;AT$7)),0,MAX(0,ROUND((INDEX($E899:$G899,AT$5)-SUMIFS(TF_Timer,TF_Tekniker,AT$4,TF_Dato,$A899))*2,0)/2)))</f>
        <v/>
      </c>
      <c r="AU899">
        <f>IF(OR(AU$4="",$A899&gt;TODAY()),0,IF(OR(INDEX($B899:$D899,AU$5)="F",AND(AU$6&gt;0,$A899&lt;AU$6),AND(AU$7&gt;0,$A899&gt;AU$7)),0,MAX(0,ROUND((INDEX($E899:$G899,AU$5)-SUMIFS(TF_Timer,TF_Tekniker,AU$4,TF_Dato,$A899))*2,0)/2)))</f>
        <v/>
      </c>
      <c r="AV899">
        <f>IF(OR(AV$4="",$A899&gt;TODAY()),0,IF(OR(INDEX($B899:$D899,AV$5)="F",AND(AV$6&gt;0,$A899&lt;AV$6),AND(AV$7&gt;0,$A899&gt;AV$7)),0,MAX(0,ROUND((INDEX($E899:$G899,AV$5)-SUMIFS(TF_Timer,TF_Tekniker,AV$4,TF_Dato,$A899))*2,0)/2)))</f>
        <v/>
      </c>
      <c r="AW899">
        <f>IF(OR(AW$4="",$A899&gt;TODAY()),0,IF(OR(INDEX($B899:$D899,AW$5)="F",AND(AW$6&gt;0,$A899&lt;AW$6),AND(AW$7&gt;0,$A899&gt;AW$7)),0,MAX(0,ROUND((INDEX($E899:$G899,AW$5)-SUMIFS(TF_Timer,TF_Tekniker,AW$4,TF_Dato,$A899))*2,0)/2)))</f>
        <v/>
      </c>
      <c r="AX899">
        <f>IF(OR(AX$4="",$A899&gt;TODAY()),0,IF(OR(INDEX($B899:$D899,AX$5)="F",AND(AX$6&gt;0,$A899&lt;AX$6),AND(AX$7&gt;0,$A899&gt;AX$7)),0,MAX(0,ROUND((INDEX($E899:$G899,AX$5)-SUMIFS(TF_Timer,TF_Tekniker,AX$4,TF_Dato,$A899))*2,0)/2)))</f>
        <v/>
      </c>
      <c r="AY899">
        <f>IF(OR(AY$4="",$A899&gt;TODAY()),0,IF(OR(INDEX($B899:$D899,AY$5)="F",AND(AY$6&gt;0,$A899&lt;AY$6),AND(AY$7&gt;0,$A899&gt;AY$7)),0,MAX(0,ROUND((INDEX($E899:$G899,AY$5)-SUMIFS(TF_Timer,TF_Tekniker,AY$4,TF_Dato,$A899))*2,0)/2)))</f>
        <v/>
      </c>
      <c r="AZ899">
        <f>IF(OR(AZ$4="",$A899&gt;TODAY()),0,IF(OR(INDEX($B899:$D899,AZ$5)="F",AND(AZ$6&gt;0,$A899&lt;AZ$6),AND(AZ$7&gt;0,$A899&gt;AZ$7)),0,MAX(0,ROUND((INDEX($E899:$G899,AZ$5)-SUMIFS(TF_Timer,TF_Tekniker,AZ$4,TF_Dato,$A899))*2,0)/2)))</f>
        <v/>
      </c>
      <c r="BA899">
        <f>IF(OR(BA$4="",$A899&gt;TODAY()),0,IF(OR(INDEX($B899:$D899,BA$5)="F",AND(BA$6&gt;0,$A899&lt;BA$6),AND(BA$7&gt;0,$A899&gt;BA$7)),0,MAX(0,ROUND((INDEX($E899:$G899,BA$5)-SUMIFS(TF_Timer,TF_Tekniker,BA$4,TF_Dato,$A899))*2,0)/2)))</f>
        <v/>
      </c>
      <c r="BB899">
        <f>IF(OR(BB$4="",$A899&gt;TODAY()),0,IF(OR(INDEX($B899:$D899,BB$5)="F",AND(BB$6&gt;0,$A899&lt;BB$6),AND(BB$7&gt;0,$A899&gt;BB$7)),0,MAX(0,ROUND((INDEX($E899:$G899,BB$5)-SUMIFS(TF_Timer,TF_Tekniker,BB$4,TF_Dato,$A899))*2,0)/2)))</f>
        <v/>
      </c>
      <c r="BC899">
        <f>IF(OR(BC$4="",$A899&gt;TODAY()),0,IF(OR(INDEX($B899:$D899,BC$5)="F",AND(BC$6&gt;0,$A899&lt;BC$6),AND(BC$7&gt;0,$A899&gt;BC$7)),0,MAX(0,ROUND((INDEX($E899:$G899,BC$5)-SUMIFS(TF_Timer,TF_Tekniker,BC$4,TF_Dato,$A899))*2,0)/2)))</f>
        <v/>
      </c>
      <c r="BD899">
        <f>IF(OR(BD$4="",$A899&gt;TODAY()),0,IF(OR(INDEX($B899:$D899,BD$5)="F",AND(BD$6&gt;0,$A899&lt;BD$6),AND(BD$7&gt;0,$A899&gt;BD$7)),0,MAX(0,ROUND((INDEX($E899:$G899,BD$5)-SUMIFS(TF_Timer,TF_Tekniker,BD$4,TF_Dato,$A899))*2,0)/2)))</f>
        <v/>
      </c>
      <c r="BE899">
        <f>IF(OR(BE$4="",$A899&gt;TODAY()),0,IF(OR(INDEX($B899:$D899,BE$5)="F",AND(BE$6&gt;0,$A899&lt;BE$6),AND(BE$7&gt;0,$A899&gt;BE$7)),0,MAX(0,ROUND((INDEX($E899:$G899,BE$5)-SUMIFS(TF_Timer,TF_Tekniker,BE$4,TF_Dato,$A899))*2,0)/2)))</f>
        <v/>
      </c>
      <c r="BF899">
        <f>IF(OR(BF$4="",$A899&gt;TODAY()),0,IF(OR(INDEX($B899:$D899,BF$5)="F",AND(BF$6&gt;0,$A899&lt;BF$6),AND(BF$7&gt;0,$A899&gt;BF$7)),0,MAX(0,ROUND((INDEX($E899:$G899,BF$5)-SUMIFS(TF_Timer,TF_Tekniker,BF$4,TF_Dato,$A899))*2,0)/2)))</f>
        <v/>
      </c>
      <c r="BG899">
        <f>IF(OR(BG$4="",$A899&gt;TODAY()),0,IF(OR(INDEX($B899:$D899,BG$5)="F",AND(BG$6&gt;0,$A899&lt;BG$6),AND(BG$7&gt;0,$A899&gt;BG$7)),0,MAX(0,ROUND((INDEX($E899:$G899,BG$5)-SUMIFS(TF_Timer,TF_Tekniker,BG$4,TF_Dato,$A899))*2,0)/2)))</f>
        <v/>
      </c>
      <c r="BH899">
        <f>IF(OR(BH$4="",$A899&gt;TODAY()),0,IF(OR(INDEX($B899:$D899,BH$5)="F",AND(BH$6&gt;0,$A899&lt;BH$6),AND(BH$7&gt;0,$A899&gt;BH$7)),0,MAX(0,ROUND((INDEX($E899:$G899,BH$5)-SUMIFS(TF_Timer,TF_Tekniker,BH$4,TF_Dato,$A899))*2,0)/2)))</f>
        <v/>
      </c>
      <c r="BI899">
        <f>IF(OR(BI$4="",$A899&gt;TODAY()),0,IF(OR(INDEX($B899:$D899,BI$5)="F",AND(BI$6&gt;0,$A899&lt;BI$6),AND(BI$7&gt;0,$A899&gt;BI$7)),0,MAX(0,ROUND((INDEX($E899:$G899,BI$5)-SUMIFS(TF_Timer,TF_Tekniker,BI$4,TF_Dato,$A899))*2,0)/2)))</f>
        <v/>
      </c>
    </row>
    <row r="900">
      <c r="A900" s="64">
        <f>A899+1</f>
        <v/>
      </c>
      <c r="B900">
        <f>IF(MOD($A900-INDEX(SkiftStart,1),Syklus)&lt;DagK,"K",IF(MOD($A900-INDEX(SkiftStart,1),Syklus)&lt;DagK+DagH,"H",IF(MOD($A900-INDEX(SkiftStart,1),Syklus)&lt;DagK+DagH+DagD,"D","F")))</f>
        <v/>
      </c>
      <c r="C900">
        <f>IF(MOD($A900-INDEX(SkiftStart,2),Syklus)&lt;DagK,"K",IF(MOD($A900-INDEX(SkiftStart,2),Syklus)&lt;DagK+DagH,"H",IF(MOD($A900-INDEX(SkiftStart,2),Syklus)&lt;DagK+DagH+DagD,"D","F")))</f>
        <v/>
      </c>
      <c r="D900">
        <f>IF(MOD($A900-INDEX(SkiftStart,3),Syklus)&lt;DagK,"K",IF(MOD($A900-INDEX(SkiftStart,3),Syklus)&lt;DagK+DagH,"H",IF(MOD($A900-INDEX(SkiftStart,3),Syklus)&lt;DagK+DagH+DagD,"D","F")))</f>
        <v/>
      </c>
      <c r="E900">
        <f>IF(B900="F",0,IF(WEEKDAY($A900,2)=5,INDEX(TimerFr,MATCH(B900,FaseKode,0)),INDEX(TimerMT,MATCH(B900,FaseKode,0))))</f>
        <v/>
      </c>
      <c r="F900">
        <f>IF(C900="F",0,IF(WEEKDAY($A900,2)=5,INDEX(TimerFr,MATCH(C900,FaseKode,0)),INDEX(TimerMT,MATCH(C900,FaseKode,0))))</f>
        <v/>
      </c>
      <c r="G900">
        <f>IF(D900="F",0,IF(WEEKDAY($A900,2)=5,INDEX(TimerFr,MATCH(D900,FaseKode,0)),INDEX(TimerMT,MATCH(D900,FaseKode,0))))</f>
        <v/>
      </c>
      <c r="H900">
        <f>IF(OR(H$4="",$A900&gt;TODAY()),0,IF(OR(INDEX($B900:$D900,H$5)="F",AND(H$6&gt;0,$A900&lt;H$6),AND(H$7&gt;0,$A900&gt;H$7)),0,MAX(0,ROUND((INDEX($E900:$G900,H$5)-SUMIFS(TF_Timer,TF_Tekniker,H$4,TF_Dato,$A900))*2,0)/2)))</f>
        <v/>
      </c>
      <c r="I900">
        <f>IF(OR(I$4="",$A900&gt;TODAY()),0,IF(OR(INDEX($B900:$D900,I$5)="F",AND(I$6&gt;0,$A900&lt;I$6),AND(I$7&gt;0,$A900&gt;I$7)),0,MAX(0,ROUND((INDEX($E900:$G900,I$5)-SUMIFS(TF_Timer,TF_Tekniker,I$4,TF_Dato,$A900))*2,0)/2)))</f>
        <v/>
      </c>
      <c r="J900">
        <f>IF(OR(J$4="",$A900&gt;TODAY()),0,IF(OR(INDEX($B900:$D900,J$5)="F",AND(J$6&gt;0,$A900&lt;J$6),AND(J$7&gt;0,$A900&gt;J$7)),0,MAX(0,ROUND((INDEX($E900:$G900,J$5)-SUMIFS(TF_Timer,TF_Tekniker,J$4,TF_Dato,$A900))*2,0)/2)))</f>
        <v/>
      </c>
      <c r="K900">
        <f>IF(OR(K$4="",$A900&gt;TODAY()),0,IF(OR(INDEX($B900:$D900,K$5)="F",AND(K$6&gt;0,$A900&lt;K$6),AND(K$7&gt;0,$A900&gt;K$7)),0,MAX(0,ROUND((INDEX($E900:$G900,K$5)-SUMIFS(TF_Timer,TF_Tekniker,K$4,TF_Dato,$A900))*2,0)/2)))</f>
        <v/>
      </c>
      <c r="L900">
        <f>IF(OR(L$4="",$A900&gt;TODAY()),0,IF(OR(INDEX($B900:$D900,L$5)="F",AND(L$6&gt;0,$A900&lt;L$6),AND(L$7&gt;0,$A900&gt;L$7)),0,MAX(0,ROUND((INDEX($E900:$G900,L$5)-SUMIFS(TF_Timer,TF_Tekniker,L$4,TF_Dato,$A900))*2,0)/2)))</f>
        <v/>
      </c>
      <c r="M900">
        <f>IF(OR(M$4="",$A900&gt;TODAY()),0,IF(OR(INDEX($B900:$D900,M$5)="F",AND(M$6&gt;0,$A900&lt;M$6),AND(M$7&gt;0,$A900&gt;M$7)),0,MAX(0,ROUND((INDEX($E900:$G900,M$5)-SUMIFS(TF_Timer,TF_Tekniker,M$4,TF_Dato,$A900))*2,0)/2)))</f>
        <v/>
      </c>
      <c r="N900">
        <f>IF(OR(N$4="",$A900&gt;TODAY()),0,IF(OR(INDEX($B900:$D900,N$5)="F",AND(N$6&gt;0,$A900&lt;N$6),AND(N$7&gt;0,$A900&gt;N$7)),0,MAX(0,ROUND((INDEX($E900:$G900,N$5)-SUMIFS(TF_Timer,TF_Tekniker,N$4,TF_Dato,$A900))*2,0)/2)))</f>
        <v/>
      </c>
      <c r="O900">
        <f>IF(OR(O$4="",$A900&gt;TODAY()),0,IF(OR(INDEX($B900:$D900,O$5)="F",AND(O$6&gt;0,$A900&lt;O$6),AND(O$7&gt;0,$A900&gt;O$7)),0,MAX(0,ROUND((INDEX($E900:$G900,O$5)-SUMIFS(TF_Timer,TF_Tekniker,O$4,TF_Dato,$A900))*2,0)/2)))</f>
        <v/>
      </c>
      <c r="P900">
        <f>IF(OR(P$4="",$A900&gt;TODAY()),0,IF(OR(INDEX($B900:$D900,P$5)="F",AND(P$6&gt;0,$A900&lt;P$6),AND(P$7&gt;0,$A900&gt;P$7)),0,MAX(0,ROUND((INDEX($E900:$G900,P$5)-SUMIFS(TF_Timer,TF_Tekniker,P$4,TF_Dato,$A900))*2,0)/2)))</f>
        <v/>
      </c>
      <c r="Q900">
        <f>IF(OR(Q$4="",$A900&gt;TODAY()),0,IF(OR(INDEX($B900:$D900,Q$5)="F",AND(Q$6&gt;0,$A900&lt;Q$6),AND(Q$7&gt;0,$A900&gt;Q$7)),0,MAX(0,ROUND((INDEX($E900:$G900,Q$5)-SUMIFS(TF_Timer,TF_Tekniker,Q$4,TF_Dato,$A900))*2,0)/2)))</f>
        <v/>
      </c>
      <c r="R900">
        <f>IF(OR(R$4="",$A900&gt;TODAY()),0,IF(OR(INDEX($B900:$D900,R$5)="F",AND(R$6&gt;0,$A900&lt;R$6),AND(R$7&gt;0,$A900&gt;R$7)),0,MAX(0,ROUND((INDEX($E900:$G900,R$5)-SUMIFS(TF_Timer,TF_Tekniker,R$4,TF_Dato,$A900))*2,0)/2)))</f>
        <v/>
      </c>
      <c r="S900">
        <f>IF(OR(S$4="",$A900&gt;TODAY()),0,IF(OR(INDEX($B900:$D900,S$5)="F",AND(S$6&gt;0,$A900&lt;S$6),AND(S$7&gt;0,$A900&gt;S$7)),0,MAX(0,ROUND((INDEX($E900:$G900,S$5)-SUMIFS(TF_Timer,TF_Tekniker,S$4,TF_Dato,$A900))*2,0)/2)))</f>
        <v/>
      </c>
      <c r="T900">
        <f>IF(OR(T$4="",$A900&gt;TODAY()),0,IF(OR(INDEX($B900:$D900,T$5)="F",AND(T$6&gt;0,$A900&lt;T$6),AND(T$7&gt;0,$A900&gt;T$7)),0,MAX(0,ROUND((INDEX($E900:$G900,T$5)-SUMIFS(TF_Timer,TF_Tekniker,T$4,TF_Dato,$A900))*2,0)/2)))</f>
        <v/>
      </c>
      <c r="U900">
        <f>IF(OR(U$4="",$A900&gt;TODAY()),0,IF(OR(INDEX($B900:$D900,U$5)="F",AND(U$6&gt;0,$A900&lt;U$6),AND(U$7&gt;0,$A900&gt;U$7)),0,MAX(0,ROUND((INDEX($E900:$G900,U$5)-SUMIFS(TF_Timer,TF_Tekniker,U$4,TF_Dato,$A900))*2,0)/2)))</f>
        <v/>
      </c>
      <c r="V900">
        <f>IF(OR(V$4="",$A900&gt;TODAY()),0,IF(OR(INDEX($B900:$D900,V$5)="F",AND(V$6&gt;0,$A900&lt;V$6),AND(V$7&gt;0,$A900&gt;V$7)),0,MAX(0,ROUND((INDEX($E900:$G900,V$5)-SUMIFS(TF_Timer,TF_Tekniker,V$4,TF_Dato,$A900))*2,0)/2)))</f>
        <v/>
      </c>
      <c r="W900">
        <f>IF(OR(W$4="",$A900&gt;TODAY()),0,IF(OR(INDEX($B900:$D900,W$5)="F",AND(W$6&gt;0,$A900&lt;W$6),AND(W$7&gt;0,$A900&gt;W$7)),0,MAX(0,ROUND((INDEX($E900:$G900,W$5)-SUMIFS(TF_Timer,TF_Tekniker,W$4,TF_Dato,$A900))*2,0)/2)))</f>
        <v/>
      </c>
      <c r="X900">
        <f>IF(OR(X$4="",$A900&gt;TODAY()),0,IF(OR(INDEX($B900:$D900,X$5)="F",AND(X$6&gt;0,$A900&lt;X$6),AND(X$7&gt;0,$A900&gt;X$7)),0,MAX(0,ROUND((INDEX($E900:$G900,X$5)-SUMIFS(TF_Timer,TF_Tekniker,X$4,TF_Dato,$A900))*2,0)/2)))</f>
        <v/>
      </c>
      <c r="Y900">
        <f>IF(OR(Y$4="",$A900&gt;TODAY()),0,IF(OR(INDEX($B900:$D900,Y$5)="F",AND(Y$6&gt;0,$A900&lt;Y$6),AND(Y$7&gt;0,$A900&gt;Y$7)),0,MAX(0,ROUND((INDEX($E900:$G900,Y$5)-SUMIFS(TF_Timer,TF_Tekniker,Y$4,TF_Dato,$A900))*2,0)/2)))</f>
        <v/>
      </c>
      <c r="Z900">
        <f>IF(OR(Z$4="",$A900&gt;TODAY()),0,IF(OR(INDEX($B900:$D900,Z$5)="F",AND(Z$6&gt;0,$A900&lt;Z$6),AND(Z$7&gt;0,$A900&gt;Z$7)),0,MAX(0,ROUND((INDEX($E900:$G900,Z$5)-SUMIFS(TF_Timer,TF_Tekniker,Z$4,TF_Dato,$A900))*2,0)/2)))</f>
        <v/>
      </c>
      <c r="AA900">
        <f>IF(OR(AA$4="",$A900&gt;TODAY()),0,IF(OR(INDEX($B900:$D900,AA$5)="F",AND(AA$6&gt;0,$A900&lt;AA$6),AND(AA$7&gt;0,$A900&gt;AA$7)),0,MAX(0,ROUND((INDEX($E900:$G900,AA$5)-SUMIFS(TF_Timer,TF_Tekniker,AA$4,TF_Dato,$A900))*2,0)/2)))</f>
        <v/>
      </c>
      <c r="AB900">
        <f>IF(OR(AB$4="",$A900&gt;TODAY()),0,IF(OR(INDEX($B900:$D900,AB$5)="F",AND(AB$6&gt;0,$A900&lt;AB$6),AND(AB$7&gt;0,$A900&gt;AB$7)),0,MAX(0,ROUND((INDEX($E900:$G900,AB$5)-SUMIFS(TF_Timer,TF_Tekniker,AB$4,TF_Dato,$A900))*2,0)/2)))</f>
        <v/>
      </c>
      <c r="AC900">
        <f>IF(OR(AC$4="",$A900&gt;TODAY()),0,IF(OR(INDEX($B900:$D900,AC$5)="F",AND(AC$6&gt;0,$A900&lt;AC$6),AND(AC$7&gt;0,$A900&gt;AC$7)),0,MAX(0,ROUND((INDEX($E900:$G900,AC$5)-SUMIFS(TF_Timer,TF_Tekniker,AC$4,TF_Dato,$A900))*2,0)/2)))</f>
        <v/>
      </c>
      <c r="AD900">
        <f>IF(OR(AD$4="",$A900&gt;TODAY()),0,IF(OR(INDEX($B900:$D900,AD$5)="F",AND(AD$6&gt;0,$A900&lt;AD$6),AND(AD$7&gt;0,$A900&gt;AD$7)),0,MAX(0,ROUND((INDEX($E900:$G900,AD$5)-SUMIFS(TF_Timer,TF_Tekniker,AD$4,TF_Dato,$A900))*2,0)/2)))</f>
        <v/>
      </c>
      <c r="AE900">
        <f>IF(OR(AE$4="",$A900&gt;TODAY()),0,IF(OR(INDEX($B900:$D900,AE$5)="F",AND(AE$6&gt;0,$A900&lt;AE$6),AND(AE$7&gt;0,$A900&gt;AE$7)),0,MAX(0,ROUND((INDEX($E900:$G900,AE$5)-SUMIFS(TF_Timer,TF_Tekniker,AE$4,TF_Dato,$A900))*2,0)/2)))</f>
        <v/>
      </c>
      <c r="AF900">
        <f>IF(OR(AF$4="",$A900&gt;TODAY()),0,IF(OR(INDEX($B900:$D900,AF$5)="F",AND(AF$6&gt;0,$A900&lt;AF$6),AND(AF$7&gt;0,$A900&gt;AF$7)),0,MAX(0,ROUND((INDEX($E900:$G900,AF$5)-SUMIFS(TF_Timer,TF_Tekniker,AF$4,TF_Dato,$A900))*2,0)/2)))</f>
        <v/>
      </c>
      <c r="AG900">
        <f>IF(OR(AG$4="",$A900&gt;TODAY()),0,IF(OR(INDEX($B900:$D900,AG$5)="F",AND(AG$6&gt;0,$A900&lt;AG$6),AND(AG$7&gt;0,$A900&gt;AG$7)),0,MAX(0,ROUND((INDEX($E900:$G900,AG$5)-SUMIFS(TF_Timer,TF_Tekniker,AG$4,TF_Dato,$A900))*2,0)/2)))</f>
        <v/>
      </c>
      <c r="AH900">
        <f>IF(OR(AH$4="",$A900&gt;TODAY()),0,IF(OR(INDEX($B900:$D900,AH$5)="F",AND(AH$6&gt;0,$A900&lt;AH$6),AND(AH$7&gt;0,$A900&gt;AH$7)),0,MAX(0,ROUND((INDEX($E900:$G900,AH$5)-SUMIFS(TF_Timer,TF_Tekniker,AH$4,TF_Dato,$A900))*2,0)/2)))</f>
        <v/>
      </c>
      <c r="AI900">
        <f>IF(OR(AI$4="",$A900&gt;TODAY()),0,IF(OR(INDEX($B900:$D900,AI$5)="F",AND(AI$6&gt;0,$A900&lt;AI$6),AND(AI$7&gt;0,$A900&gt;AI$7)),0,MAX(0,ROUND((INDEX($E900:$G900,AI$5)-SUMIFS(TF_Timer,TF_Tekniker,AI$4,TF_Dato,$A900))*2,0)/2)))</f>
        <v/>
      </c>
      <c r="AJ900">
        <f>IF(OR(AJ$4="",$A900&gt;TODAY()),0,IF(OR(INDEX($B900:$D900,AJ$5)="F",AND(AJ$6&gt;0,$A900&lt;AJ$6),AND(AJ$7&gt;0,$A900&gt;AJ$7)),0,MAX(0,ROUND((INDEX($E900:$G900,AJ$5)-SUMIFS(TF_Timer,TF_Tekniker,AJ$4,TF_Dato,$A900))*2,0)/2)))</f>
        <v/>
      </c>
      <c r="AK900">
        <f>IF(OR(AK$4="",$A900&gt;TODAY()),0,IF(OR(INDEX($B900:$D900,AK$5)="F",AND(AK$6&gt;0,$A900&lt;AK$6),AND(AK$7&gt;0,$A900&gt;AK$7)),0,MAX(0,ROUND((INDEX($E900:$G900,AK$5)-SUMIFS(TF_Timer,TF_Tekniker,AK$4,TF_Dato,$A900))*2,0)/2)))</f>
        <v/>
      </c>
      <c r="AL900">
        <f>IF(OR(AL$4="",$A900&gt;TODAY()),0,IF(OR(INDEX($B900:$D900,AL$5)="F",AND(AL$6&gt;0,$A900&lt;AL$6),AND(AL$7&gt;0,$A900&gt;AL$7)),0,MAX(0,ROUND((INDEX($E900:$G900,AL$5)-SUMIFS(TF_Timer,TF_Tekniker,AL$4,TF_Dato,$A900))*2,0)/2)))</f>
        <v/>
      </c>
      <c r="AM900">
        <f>IF(OR(AM$4="",$A900&gt;TODAY()),0,IF(OR(INDEX($B900:$D900,AM$5)="F",AND(AM$6&gt;0,$A900&lt;AM$6),AND(AM$7&gt;0,$A900&gt;AM$7)),0,MAX(0,ROUND((INDEX($E900:$G900,AM$5)-SUMIFS(TF_Timer,TF_Tekniker,AM$4,TF_Dato,$A900))*2,0)/2)))</f>
        <v/>
      </c>
      <c r="AN900">
        <f>IF(OR(AN$4="",$A900&gt;TODAY()),0,IF(OR(INDEX($B900:$D900,AN$5)="F",AND(AN$6&gt;0,$A900&lt;AN$6),AND(AN$7&gt;0,$A900&gt;AN$7)),0,MAX(0,ROUND((INDEX($E900:$G900,AN$5)-SUMIFS(TF_Timer,TF_Tekniker,AN$4,TF_Dato,$A900))*2,0)/2)))</f>
        <v/>
      </c>
      <c r="AO900">
        <f>IF(OR(AO$4="",$A900&gt;TODAY()),0,IF(OR(INDEX($B900:$D900,AO$5)="F",AND(AO$6&gt;0,$A900&lt;AO$6),AND(AO$7&gt;0,$A900&gt;AO$7)),0,MAX(0,ROUND((INDEX($E900:$G900,AO$5)-SUMIFS(TF_Timer,TF_Tekniker,AO$4,TF_Dato,$A900))*2,0)/2)))</f>
        <v/>
      </c>
      <c r="AP900">
        <f>IF(OR(AP$4="",$A900&gt;TODAY()),0,IF(OR(INDEX($B900:$D900,AP$5)="F",AND(AP$6&gt;0,$A900&lt;AP$6),AND(AP$7&gt;0,$A900&gt;AP$7)),0,MAX(0,ROUND((INDEX($E900:$G900,AP$5)-SUMIFS(TF_Timer,TF_Tekniker,AP$4,TF_Dato,$A900))*2,0)/2)))</f>
        <v/>
      </c>
      <c r="AQ900">
        <f>IF(OR(AQ$4="",$A900&gt;TODAY()),0,IF(OR(INDEX($B900:$D900,AQ$5)="F",AND(AQ$6&gt;0,$A900&lt;AQ$6),AND(AQ$7&gt;0,$A900&gt;AQ$7)),0,MAX(0,ROUND((INDEX($E900:$G900,AQ$5)-SUMIFS(TF_Timer,TF_Tekniker,AQ$4,TF_Dato,$A900))*2,0)/2)))</f>
        <v/>
      </c>
      <c r="AR900">
        <f>IF(OR(AR$4="",$A900&gt;TODAY()),0,IF(OR(INDEX($B900:$D900,AR$5)="F",AND(AR$6&gt;0,$A900&lt;AR$6),AND(AR$7&gt;0,$A900&gt;AR$7)),0,MAX(0,ROUND((INDEX($E900:$G900,AR$5)-SUMIFS(TF_Timer,TF_Tekniker,AR$4,TF_Dato,$A900))*2,0)/2)))</f>
        <v/>
      </c>
      <c r="AS900">
        <f>IF(OR(AS$4="",$A900&gt;TODAY()),0,IF(OR(INDEX($B900:$D900,AS$5)="F",AND(AS$6&gt;0,$A900&lt;AS$6),AND(AS$7&gt;0,$A900&gt;AS$7)),0,MAX(0,ROUND((INDEX($E900:$G900,AS$5)-SUMIFS(TF_Timer,TF_Tekniker,AS$4,TF_Dato,$A900))*2,0)/2)))</f>
        <v/>
      </c>
      <c r="AT900">
        <f>IF(OR(AT$4="",$A900&gt;TODAY()),0,IF(OR(INDEX($B900:$D900,AT$5)="F",AND(AT$6&gt;0,$A900&lt;AT$6),AND(AT$7&gt;0,$A900&gt;AT$7)),0,MAX(0,ROUND((INDEX($E900:$G900,AT$5)-SUMIFS(TF_Timer,TF_Tekniker,AT$4,TF_Dato,$A900))*2,0)/2)))</f>
        <v/>
      </c>
      <c r="AU900">
        <f>IF(OR(AU$4="",$A900&gt;TODAY()),0,IF(OR(INDEX($B900:$D900,AU$5)="F",AND(AU$6&gt;0,$A900&lt;AU$6),AND(AU$7&gt;0,$A900&gt;AU$7)),0,MAX(0,ROUND((INDEX($E900:$G900,AU$5)-SUMIFS(TF_Timer,TF_Tekniker,AU$4,TF_Dato,$A900))*2,0)/2)))</f>
        <v/>
      </c>
      <c r="AV900">
        <f>IF(OR(AV$4="",$A900&gt;TODAY()),0,IF(OR(INDEX($B900:$D900,AV$5)="F",AND(AV$6&gt;0,$A900&lt;AV$6),AND(AV$7&gt;0,$A900&gt;AV$7)),0,MAX(0,ROUND((INDEX($E900:$G900,AV$5)-SUMIFS(TF_Timer,TF_Tekniker,AV$4,TF_Dato,$A900))*2,0)/2)))</f>
        <v/>
      </c>
      <c r="AW900">
        <f>IF(OR(AW$4="",$A900&gt;TODAY()),0,IF(OR(INDEX($B900:$D900,AW$5)="F",AND(AW$6&gt;0,$A900&lt;AW$6),AND(AW$7&gt;0,$A900&gt;AW$7)),0,MAX(0,ROUND((INDEX($E900:$G900,AW$5)-SUMIFS(TF_Timer,TF_Tekniker,AW$4,TF_Dato,$A900))*2,0)/2)))</f>
        <v/>
      </c>
      <c r="AX900">
        <f>IF(OR(AX$4="",$A900&gt;TODAY()),0,IF(OR(INDEX($B900:$D900,AX$5)="F",AND(AX$6&gt;0,$A900&lt;AX$6),AND(AX$7&gt;0,$A900&gt;AX$7)),0,MAX(0,ROUND((INDEX($E900:$G900,AX$5)-SUMIFS(TF_Timer,TF_Tekniker,AX$4,TF_Dato,$A900))*2,0)/2)))</f>
        <v/>
      </c>
      <c r="AY900">
        <f>IF(OR(AY$4="",$A900&gt;TODAY()),0,IF(OR(INDEX($B900:$D900,AY$5)="F",AND(AY$6&gt;0,$A900&lt;AY$6),AND(AY$7&gt;0,$A900&gt;AY$7)),0,MAX(0,ROUND((INDEX($E900:$G900,AY$5)-SUMIFS(TF_Timer,TF_Tekniker,AY$4,TF_Dato,$A900))*2,0)/2)))</f>
        <v/>
      </c>
      <c r="AZ900">
        <f>IF(OR(AZ$4="",$A900&gt;TODAY()),0,IF(OR(INDEX($B900:$D900,AZ$5)="F",AND(AZ$6&gt;0,$A900&lt;AZ$6),AND(AZ$7&gt;0,$A900&gt;AZ$7)),0,MAX(0,ROUND((INDEX($E900:$G900,AZ$5)-SUMIFS(TF_Timer,TF_Tekniker,AZ$4,TF_Dato,$A900))*2,0)/2)))</f>
        <v/>
      </c>
      <c r="BA900">
        <f>IF(OR(BA$4="",$A900&gt;TODAY()),0,IF(OR(INDEX($B900:$D900,BA$5)="F",AND(BA$6&gt;0,$A900&lt;BA$6),AND(BA$7&gt;0,$A900&gt;BA$7)),0,MAX(0,ROUND((INDEX($E900:$G900,BA$5)-SUMIFS(TF_Timer,TF_Tekniker,BA$4,TF_Dato,$A900))*2,0)/2)))</f>
        <v/>
      </c>
      <c r="BB900">
        <f>IF(OR(BB$4="",$A900&gt;TODAY()),0,IF(OR(INDEX($B900:$D900,BB$5)="F",AND(BB$6&gt;0,$A900&lt;BB$6),AND(BB$7&gt;0,$A900&gt;BB$7)),0,MAX(0,ROUND((INDEX($E900:$G900,BB$5)-SUMIFS(TF_Timer,TF_Tekniker,BB$4,TF_Dato,$A900))*2,0)/2)))</f>
        <v/>
      </c>
      <c r="BC900">
        <f>IF(OR(BC$4="",$A900&gt;TODAY()),0,IF(OR(INDEX($B900:$D900,BC$5)="F",AND(BC$6&gt;0,$A900&lt;BC$6),AND(BC$7&gt;0,$A900&gt;BC$7)),0,MAX(0,ROUND((INDEX($E900:$G900,BC$5)-SUMIFS(TF_Timer,TF_Tekniker,BC$4,TF_Dato,$A900))*2,0)/2)))</f>
        <v/>
      </c>
      <c r="BD900">
        <f>IF(OR(BD$4="",$A900&gt;TODAY()),0,IF(OR(INDEX($B900:$D900,BD$5)="F",AND(BD$6&gt;0,$A900&lt;BD$6),AND(BD$7&gt;0,$A900&gt;BD$7)),0,MAX(0,ROUND((INDEX($E900:$G900,BD$5)-SUMIFS(TF_Timer,TF_Tekniker,BD$4,TF_Dato,$A900))*2,0)/2)))</f>
        <v/>
      </c>
      <c r="BE900">
        <f>IF(OR(BE$4="",$A900&gt;TODAY()),0,IF(OR(INDEX($B900:$D900,BE$5)="F",AND(BE$6&gt;0,$A900&lt;BE$6),AND(BE$7&gt;0,$A900&gt;BE$7)),0,MAX(0,ROUND((INDEX($E900:$G900,BE$5)-SUMIFS(TF_Timer,TF_Tekniker,BE$4,TF_Dato,$A900))*2,0)/2)))</f>
        <v/>
      </c>
      <c r="BF900">
        <f>IF(OR(BF$4="",$A900&gt;TODAY()),0,IF(OR(INDEX($B900:$D900,BF$5)="F",AND(BF$6&gt;0,$A900&lt;BF$6),AND(BF$7&gt;0,$A900&gt;BF$7)),0,MAX(0,ROUND((INDEX($E900:$G900,BF$5)-SUMIFS(TF_Timer,TF_Tekniker,BF$4,TF_Dato,$A900))*2,0)/2)))</f>
        <v/>
      </c>
      <c r="BG900">
        <f>IF(OR(BG$4="",$A900&gt;TODAY()),0,IF(OR(INDEX($B900:$D900,BG$5)="F",AND(BG$6&gt;0,$A900&lt;BG$6),AND(BG$7&gt;0,$A900&gt;BG$7)),0,MAX(0,ROUND((INDEX($E900:$G900,BG$5)-SUMIFS(TF_Timer,TF_Tekniker,BG$4,TF_Dato,$A900))*2,0)/2)))</f>
        <v/>
      </c>
      <c r="BH900">
        <f>IF(OR(BH$4="",$A900&gt;TODAY()),0,IF(OR(INDEX($B900:$D900,BH$5)="F",AND(BH$6&gt;0,$A900&lt;BH$6),AND(BH$7&gt;0,$A900&gt;BH$7)),0,MAX(0,ROUND((INDEX($E900:$G900,BH$5)-SUMIFS(TF_Timer,TF_Tekniker,BH$4,TF_Dato,$A900))*2,0)/2)))</f>
        <v/>
      </c>
      <c r="BI900">
        <f>IF(OR(BI$4="",$A900&gt;TODAY()),0,IF(OR(INDEX($B900:$D900,BI$5)="F",AND(BI$6&gt;0,$A900&lt;BI$6),AND(BI$7&gt;0,$A900&gt;BI$7)),0,MAX(0,ROUND((INDEX($E900:$G900,BI$5)-SUMIFS(TF_Timer,TF_Tekniker,BI$4,TF_Dato,$A900))*2,0)/2)))</f>
        <v/>
      </c>
    </row>
    <row r="901">
      <c r="A901" s="64">
        <f>A900+1</f>
        <v/>
      </c>
      <c r="B901">
        <f>IF(MOD($A901-INDEX(SkiftStart,1),Syklus)&lt;DagK,"K",IF(MOD($A901-INDEX(SkiftStart,1),Syklus)&lt;DagK+DagH,"H",IF(MOD($A901-INDEX(SkiftStart,1),Syklus)&lt;DagK+DagH+DagD,"D","F")))</f>
        <v/>
      </c>
      <c r="C901">
        <f>IF(MOD($A901-INDEX(SkiftStart,2),Syklus)&lt;DagK,"K",IF(MOD($A901-INDEX(SkiftStart,2),Syklus)&lt;DagK+DagH,"H",IF(MOD($A901-INDEX(SkiftStart,2),Syklus)&lt;DagK+DagH+DagD,"D","F")))</f>
        <v/>
      </c>
      <c r="D901">
        <f>IF(MOD($A901-INDEX(SkiftStart,3),Syklus)&lt;DagK,"K",IF(MOD($A901-INDEX(SkiftStart,3),Syklus)&lt;DagK+DagH,"H",IF(MOD($A901-INDEX(SkiftStart,3),Syklus)&lt;DagK+DagH+DagD,"D","F")))</f>
        <v/>
      </c>
      <c r="E901">
        <f>IF(B901="F",0,IF(WEEKDAY($A901,2)=5,INDEX(TimerFr,MATCH(B901,FaseKode,0)),INDEX(TimerMT,MATCH(B901,FaseKode,0))))</f>
        <v/>
      </c>
      <c r="F901">
        <f>IF(C901="F",0,IF(WEEKDAY($A901,2)=5,INDEX(TimerFr,MATCH(C901,FaseKode,0)),INDEX(TimerMT,MATCH(C901,FaseKode,0))))</f>
        <v/>
      </c>
      <c r="G901">
        <f>IF(D901="F",0,IF(WEEKDAY($A901,2)=5,INDEX(TimerFr,MATCH(D901,FaseKode,0)),INDEX(TimerMT,MATCH(D901,FaseKode,0))))</f>
        <v/>
      </c>
      <c r="H901">
        <f>IF(OR(H$4="",$A901&gt;TODAY()),0,IF(OR(INDEX($B901:$D901,H$5)="F",AND(H$6&gt;0,$A901&lt;H$6),AND(H$7&gt;0,$A901&gt;H$7)),0,MAX(0,ROUND((INDEX($E901:$G901,H$5)-SUMIFS(TF_Timer,TF_Tekniker,H$4,TF_Dato,$A901))*2,0)/2)))</f>
        <v/>
      </c>
      <c r="I901">
        <f>IF(OR(I$4="",$A901&gt;TODAY()),0,IF(OR(INDEX($B901:$D901,I$5)="F",AND(I$6&gt;0,$A901&lt;I$6),AND(I$7&gt;0,$A901&gt;I$7)),0,MAX(0,ROUND((INDEX($E901:$G901,I$5)-SUMIFS(TF_Timer,TF_Tekniker,I$4,TF_Dato,$A901))*2,0)/2)))</f>
        <v/>
      </c>
      <c r="J901">
        <f>IF(OR(J$4="",$A901&gt;TODAY()),0,IF(OR(INDEX($B901:$D901,J$5)="F",AND(J$6&gt;0,$A901&lt;J$6),AND(J$7&gt;0,$A901&gt;J$7)),0,MAX(0,ROUND((INDEX($E901:$G901,J$5)-SUMIFS(TF_Timer,TF_Tekniker,J$4,TF_Dato,$A901))*2,0)/2)))</f>
        <v/>
      </c>
      <c r="K901">
        <f>IF(OR(K$4="",$A901&gt;TODAY()),0,IF(OR(INDEX($B901:$D901,K$5)="F",AND(K$6&gt;0,$A901&lt;K$6),AND(K$7&gt;0,$A901&gt;K$7)),0,MAX(0,ROUND((INDEX($E901:$G901,K$5)-SUMIFS(TF_Timer,TF_Tekniker,K$4,TF_Dato,$A901))*2,0)/2)))</f>
        <v/>
      </c>
      <c r="L901">
        <f>IF(OR(L$4="",$A901&gt;TODAY()),0,IF(OR(INDEX($B901:$D901,L$5)="F",AND(L$6&gt;0,$A901&lt;L$6),AND(L$7&gt;0,$A901&gt;L$7)),0,MAX(0,ROUND((INDEX($E901:$G901,L$5)-SUMIFS(TF_Timer,TF_Tekniker,L$4,TF_Dato,$A901))*2,0)/2)))</f>
        <v/>
      </c>
      <c r="M901">
        <f>IF(OR(M$4="",$A901&gt;TODAY()),0,IF(OR(INDEX($B901:$D901,M$5)="F",AND(M$6&gt;0,$A901&lt;M$6),AND(M$7&gt;0,$A901&gt;M$7)),0,MAX(0,ROUND((INDEX($E901:$G901,M$5)-SUMIFS(TF_Timer,TF_Tekniker,M$4,TF_Dato,$A901))*2,0)/2)))</f>
        <v/>
      </c>
      <c r="N901">
        <f>IF(OR(N$4="",$A901&gt;TODAY()),0,IF(OR(INDEX($B901:$D901,N$5)="F",AND(N$6&gt;0,$A901&lt;N$6),AND(N$7&gt;0,$A901&gt;N$7)),0,MAX(0,ROUND((INDEX($E901:$G901,N$5)-SUMIFS(TF_Timer,TF_Tekniker,N$4,TF_Dato,$A901))*2,0)/2)))</f>
        <v/>
      </c>
      <c r="O901">
        <f>IF(OR(O$4="",$A901&gt;TODAY()),0,IF(OR(INDEX($B901:$D901,O$5)="F",AND(O$6&gt;0,$A901&lt;O$6),AND(O$7&gt;0,$A901&gt;O$7)),0,MAX(0,ROUND((INDEX($E901:$G901,O$5)-SUMIFS(TF_Timer,TF_Tekniker,O$4,TF_Dato,$A901))*2,0)/2)))</f>
        <v/>
      </c>
      <c r="P901">
        <f>IF(OR(P$4="",$A901&gt;TODAY()),0,IF(OR(INDEX($B901:$D901,P$5)="F",AND(P$6&gt;0,$A901&lt;P$6),AND(P$7&gt;0,$A901&gt;P$7)),0,MAX(0,ROUND((INDEX($E901:$G901,P$5)-SUMIFS(TF_Timer,TF_Tekniker,P$4,TF_Dato,$A901))*2,0)/2)))</f>
        <v/>
      </c>
      <c r="Q901">
        <f>IF(OR(Q$4="",$A901&gt;TODAY()),0,IF(OR(INDEX($B901:$D901,Q$5)="F",AND(Q$6&gt;0,$A901&lt;Q$6),AND(Q$7&gt;0,$A901&gt;Q$7)),0,MAX(0,ROUND((INDEX($E901:$G901,Q$5)-SUMIFS(TF_Timer,TF_Tekniker,Q$4,TF_Dato,$A901))*2,0)/2)))</f>
        <v/>
      </c>
      <c r="R901">
        <f>IF(OR(R$4="",$A901&gt;TODAY()),0,IF(OR(INDEX($B901:$D901,R$5)="F",AND(R$6&gt;0,$A901&lt;R$6),AND(R$7&gt;0,$A901&gt;R$7)),0,MAX(0,ROUND((INDEX($E901:$G901,R$5)-SUMIFS(TF_Timer,TF_Tekniker,R$4,TF_Dato,$A901))*2,0)/2)))</f>
        <v/>
      </c>
      <c r="S901">
        <f>IF(OR(S$4="",$A901&gt;TODAY()),0,IF(OR(INDEX($B901:$D901,S$5)="F",AND(S$6&gt;0,$A901&lt;S$6),AND(S$7&gt;0,$A901&gt;S$7)),0,MAX(0,ROUND((INDEX($E901:$G901,S$5)-SUMIFS(TF_Timer,TF_Tekniker,S$4,TF_Dato,$A901))*2,0)/2)))</f>
        <v/>
      </c>
      <c r="T901">
        <f>IF(OR(T$4="",$A901&gt;TODAY()),0,IF(OR(INDEX($B901:$D901,T$5)="F",AND(T$6&gt;0,$A901&lt;T$6),AND(T$7&gt;0,$A901&gt;T$7)),0,MAX(0,ROUND((INDEX($E901:$G901,T$5)-SUMIFS(TF_Timer,TF_Tekniker,T$4,TF_Dato,$A901))*2,0)/2)))</f>
        <v/>
      </c>
      <c r="U901">
        <f>IF(OR(U$4="",$A901&gt;TODAY()),0,IF(OR(INDEX($B901:$D901,U$5)="F",AND(U$6&gt;0,$A901&lt;U$6),AND(U$7&gt;0,$A901&gt;U$7)),0,MAX(0,ROUND((INDEX($E901:$G901,U$5)-SUMIFS(TF_Timer,TF_Tekniker,U$4,TF_Dato,$A901))*2,0)/2)))</f>
        <v/>
      </c>
      <c r="V901">
        <f>IF(OR(V$4="",$A901&gt;TODAY()),0,IF(OR(INDEX($B901:$D901,V$5)="F",AND(V$6&gt;0,$A901&lt;V$6),AND(V$7&gt;0,$A901&gt;V$7)),0,MAX(0,ROUND((INDEX($E901:$G901,V$5)-SUMIFS(TF_Timer,TF_Tekniker,V$4,TF_Dato,$A901))*2,0)/2)))</f>
        <v/>
      </c>
      <c r="W901">
        <f>IF(OR(W$4="",$A901&gt;TODAY()),0,IF(OR(INDEX($B901:$D901,W$5)="F",AND(W$6&gt;0,$A901&lt;W$6),AND(W$7&gt;0,$A901&gt;W$7)),0,MAX(0,ROUND((INDEX($E901:$G901,W$5)-SUMIFS(TF_Timer,TF_Tekniker,W$4,TF_Dato,$A901))*2,0)/2)))</f>
        <v/>
      </c>
      <c r="X901">
        <f>IF(OR(X$4="",$A901&gt;TODAY()),0,IF(OR(INDEX($B901:$D901,X$5)="F",AND(X$6&gt;0,$A901&lt;X$6),AND(X$7&gt;0,$A901&gt;X$7)),0,MAX(0,ROUND((INDEX($E901:$G901,X$5)-SUMIFS(TF_Timer,TF_Tekniker,X$4,TF_Dato,$A901))*2,0)/2)))</f>
        <v/>
      </c>
      <c r="Y901">
        <f>IF(OR(Y$4="",$A901&gt;TODAY()),0,IF(OR(INDEX($B901:$D901,Y$5)="F",AND(Y$6&gt;0,$A901&lt;Y$6),AND(Y$7&gt;0,$A901&gt;Y$7)),0,MAX(0,ROUND((INDEX($E901:$G901,Y$5)-SUMIFS(TF_Timer,TF_Tekniker,Y$4,TF_Dato,$A901))*2,0)/2)))</f>
        <v/>
      </c>
      <c r="Z901">
        <f>IF(OR(Z$4="",$A901&gt;TODAY()),0,IF(OR(INDEX($B901:$D901,Z$5)="F",AND(Z$6&gt;0,$A901&lt;Z$6),AND(Z$7&gt;0,$A901&gt;Z$7)),0,MAX(0,ROUND((INDEX($E901:$G901,Z$5)-SUMIFS(TF_Timer,TF_Tekniker,Z$4,TF_Dato,$A901))*2,0)/2)))</f>
        <v/>
      </c>
      <c r="AA901">
        <f>IF(OR(AA$4="",$A901&gt;TODAY()),0,IF(OR(INDEX($B901:$D901,AA$5)="F",AND(AA$6&gt;0,$A901&lt;AA$6),AND(AA$7&gt;0,$A901&gt;AA$7)),0,MAX(0,ROUND((INDEX($E901:$G901,AA$5)-SUMIFS(TF_Timer,TF_Tekniker,AA$4,TF_Dato,$A901))*2,0)/2)))</f>
        <v/>
      </c>
      <c r="AB901">
        <f>IF(OR(AB$4="",$A901&gt;TODAY()),0,IF(OR(INDEX($B901:$D901,AB$5)="F",AND(AB$6&gt;0,$A901&lt;AB$6),AND(AB$7&gt;0,$A901&gt;AB$7)),0,MAX(0,ROUND((INDEX($E901:$G901,AB$5)-SUMIFS(TF_Timer,TF_Tekniker,AB$4,TF_Dato,$A901))*2,0)/2)))</f>
        <v/>
      </c>
      <c r="AC901">
        <f>IF(OR(AC$4="",$A901&gt;TODAY()),0,IF(OR(INDEX($B901:$D901,AC$5)="F",AND(AC$6&gt;0,$A901&lt;AC$6),AND(AC$7&gt;0,$A901&gt;AC$7)),0,MAX(0,ROUND((INDEX($E901:$G901,AC$5)-SUMIFS(TF_Timer,TF_Tekniker,AC$4,TF_Dato,$A901))*2,0)/2)))</f>
        <v/>
      </c>
      <c r="AD901">
        <f>IF(OR(AD$4="",$A901&gt;TODAY()),0,IF(OR(INDEX($B901:$D901,AD$5)="F",AND(AD$6&gt;0,$A901&lt;AD$6),AND(AD$7&gt;0,$A901&gt;AD$7)),0,MAX(0,ROUND((INDEX($E901:$G901,AD$5)-SUMIFS(TF_Timer,TF_Tekniker,AD$4,TF_Dato,$A901))*2,0)/2)))</f>
        <v/>
      </c>
      <c r="AE901">
        <f>IF(OR(AE$4="",$A901&gt;TODAY()),0,IF(OR(INDEX($B901:$D901,AE$5)="F",AND(AE$6&gt;0,$A901&lt;AE$6),AND(AE$7&gt;0,$A901&gt;AE$7)),0,MAX(0,ROUND((INDEX($E901:$G901,AE$5)-SUMIFS(TF_Timer,TF_Tekniker,AE$4,TF_Dato,$A901))*2,0)/2)))</f>
        <v/>
      </c>
      <c r="AF901">
        <f>IF(OR(AF$4="",$A901&gt;TODAY()),0,IF(OR(INDEX($B901:$D901,AF$5)="F",AND(AF$6&gt;0,$A901&lt;AF$6),AND(AF$7&gt;0,$A901&gt;AF$7)),0,MAX(0,ROUND((INDEX($E901:$G901,AF$5)-SUMIFS(TF_Timer,TF_Tekniker,AF$4,TF_Dato,$A901))*2,0)/2)))</f>
        <v/>
      </c>
      <c r="AG901">
        <f>IF(OR(AG$4="",$A901&gt;TODAY()),0,IF(OR(INDEX($B901:$D901,AG$5)="F",AND(AG$6&gt;0,$A901&lt;AG$6),AND(AG$7&gt;0,$A901&gt;AG$7)),0,MAX(0,ROUND((INDEX($E901:$G901,AG$5)-SUMIFS(TF_Timer,TF_Tekniker,AG$4,TF_Dato,$A901))*2,0)/2)))</f>
        <v/>
      </c>
      <c r="AH901">
        <f>IF(OR(AH$4="",$A901&gt;TODAY()),0,IF(OR(INDEX($B901:$D901,AH$5)="F",AND(AH$6&gt;0,$A901&lt;AH$6),AND(AH$7&gt;0,$A901&gt;AH$7)),0,MAX(0,ROUND((INDEX($E901:$G901,AH$5)-SUMIFS(TF_Timer,TF_Tekniker,AH$4,TF_Dato,$A901))*2,0)/2)))</f>
        <v/>
      </c>
      <c r="AI901">
        <f>IF(OR(AI$4="",$A901&gt;TODAY()),0,IF(OR(INDEX($B901:$D901,AI$5)="F",AND(AI$6&gt;0,$A901&lt;AI$6),AND(AI$7&gt;0,$A901&gt;AI$7)),0,MAX(0,ROUND((INDEX($E901:$G901,AI$5)-SUMIFS(TF_Timer,TF_Tekniker,AI$4,TF_Dato,$A901))*2,0)/2)))</f>
        <v/>
      </c>
      <c r="AJ901">
        <f>IF(OR(AJ$4="",$A901&gt;TODAY()),0,IF(OR(INDEX($B901:$D901,AJ$5)="F",AND(AJ$6&gt;0,$A901&lt;AJ$6),AND(AJ$7&gt;0,$A901&gt;AJ$7)),0,MAX(0,ROUND((INDEX($E901:$G901,AJ$5)-SUMIFS(TF_Timer,TF_Tekniker,AJ$4,TF_Dato,$A901))*2,0)/2)))</f>
        <v/>
      </c>
      <c r="AK901">
        <f>IF(OR(AK$4="",$A901&gt;TODAY()),0,IF(OR(INDEX($B901:$D901,AK$5)="F",AND(AK$6&gt;0,$A901&lt;AK$6),AND(AK$7&gt;0,$A901&gt;AK$7)),0,MAX(0,ROUND((INDEX($E901:$G901,AK$5)-SUMIFS(TF_Timer,TF_Tekniker,AK$4,TF_Dato,$A901))*2,0)/2)))</f>
        <v/>
      </c>
      <c r="AL901">
        <f>IF(OR(AL$4="",$A901&gt;TODAY()),0,IF(OR(INDEX($B901:$D901,AL$5)="F",AND(AL$6&gt;0,$A901&lt;AL$6),AND(AL$7&gt;0,$A901&gt;AL$7)),0,MAX(0,ROUND((INDEX($E901:$G901,AL$5)-SUMIFS(TF_Timer,TF_Tekniker,AL$4,TF_Dato,$A901))*2,0)/2)))</f>
        <v/>
      </c>
      <c r="AM901">
        <f>IF(OR(AM$4="",$A901&gt;TODAY()),0,IF(OR(INDEX($B901:$D901,AM$5)="F",AND(AM$6&gt;0,$A901&lt;AM$6),AND(AM$7&gt;0,$A901&gt;AM$7)),0,MAX(0,ROUND((INDEX($E901:$G901,AM$5)-SUMIFS(TF_Timer,TF_Tekniker,AM$4,TF_Dato,$A901))*2,0)/2)))</f>
        <v/>
      </c>
      <c r="AN901">
        <f>IF(OR(AN$4="",$A901&gt;TODAY()),0,IF(OR(INDEX($B901:$D901,AN$5)="F",AND(AN$6&gt;0,$A901&lt;AN$6),AND(AN$7&gt;0,$A901&gt;AN$7)),0,MAX(0,ROUND((INDEX($E901:$G901,AN$5)-SUMIFS(TF_Timer,TF_Tekniker,AN$4,TF_Dato,$A901))*2,0)/2)))</f>
        <v/>
      </c>
      <c r="AO901">
        <f>IF(OR(AO$4="",$A901&gt;TODAY()),0,IF(OR(INDEX($B901:$D901,AO$5)="F",AND(AO$6&gt;0,$A901&lt;AO$6),AND(AO$7&gt;0,$A901&gt;AO$7)),0,MAX(0,ROUND((INDEX($E901:$G901,AO$5)-SUMIFS(TF_Timer,TF_Tekniker,AO$4,TF_Dato,$A901))*2,0)/2)))</f>
        <v/>
      </c>
      <c r="AP901">
        <f>IF(OR(AP$4="",$A901&gt;TODAY()),0,IF(OR(INDEX($B901:$D901,AP$5)="F",AND(AP$6&gt;0,$A901&lt;AP$6),AND(AP$7&gt;0,$A901&gt;AP$7)),0,MAX(0,ROUND((INDEX($E901:$G901,AP$5)-SUMIFS(TF_Timer,TF_Tekniker,AP$4,TF_Dato,$A901))*2,0)/2)))</f>
        <v/>
      </c>
      <c r="AQ901">
        <f>IF(OR(AQ$4="",$A901&gt;TODAY()),0,IF(OR(INDEX($B901:$D901,AQ$5)="F",AND(AQ$6&gt;0,$A901&lt;AQ$6),AND(AQ$7&gt;0,$A901&gt;AQ$7)),0,MAX(0,ROUND((INDEX($E901:$G901,AQ$5)-SUMIFS(TF_Timer,TF_Tekniker,AQ$4,TF_Dato,$A901))*2,0)/2)))</f>
        <v/>
      </c>
      <c r="AR901">
        <f>IF(OR(AR$4="",$A901&gt;TODAY()),0,IF(OR(INDEX($B901:$D901,AR$5)="F",AND(AR$6&gt;0,$A901&lt;AR$6),AND(AR$7&gt;0,$A901&gt;AR$7)),0,MAX(0,ROUND((INDEX($E901:$G901,AR$5)-SUMIFS(TF_Timer,TF_Tekniker,AR$4,TF_Dato,$A901))*2,0)/2)))</f>
        <v/>
      </c>
      <c r="AS901">
        <f>IF(OR(AS$4="",$A901&gt;TODAY()),0,IF(OR(INDEX($B901:$D901,AS$5)="F",AND(AS$6&gt;0,$A901&lt;AS$6),AND(AS$7&gt;0,$A901&gt;AS$7)),0,MAX(0,ROUND((INDEX($E901:$G901,AS$5)-SUMIFS(TF_Timer,TF_Tekniker,AS$4,TF_Dato,$A901))*2,0)/2)))</f>
        <v/>
      </c>
      <c r="AT901">
        <f>IF(OR(AT$4="",$A901&gt;TODAY()),0,IF(OR(INDEX($B901:$D901,AT$5)="F",AND(AT$6&gt;0,$A901&lt;AT$6),AND(AT$7&gt;0,$A901&gt;AT$7)),0,MAX(0,ROUND((INDEX($E901:$G901,AT$5)-SUMIFS(TF_Timer,TF_Tekniker,AT$4,TF_Dato,$A901))*2,0)/2)))</f>
        <v/>
      </c>
      <c r="AU901">
        <f>IF(OR(AU$4="",$A901&gt;TODAY()),0,IF(OR(INDEX($B901:$D901,AU$5)="F",AND(AU$6&gt;0,$A901&lt;AU$6),AND(AU$7&gt;0,$A901&gt;AU$7)),0,MAX(0,ROUND((INDEX($E901:$G901,AU$5)-SUMIFS(TF_Timer,TF_Tekniker,AU$4,TF_Dato,$A901))*2,0)/2)))</f>
        <v/>
      </c>
      <c r="AV901">
        <f>IF(OR(AV$4="",$A901&gt;TODAY()),0,IF(OR(INDEX($B901:$D901,AV$5)="F",AND(AV$6&gt;0,$A901&lt;AV$6),AND(AV$7&gt;0,$A901&gt;AV$7)),0,MAX(0,ROUND((INDEX($E901:$G901,AV$5)-SUMIFS(TF_Timer,TF_Tekniker,AV$4,TF_Dato,$A901))*2,0)/2)))</f>
        <v/>
      </c>
      <c r="AW901">
        <f>IF(OR(AW$4="",$A901&gt;TODAY()),0,IF(OR(INDEX($B901:$D901,AW$5)="F",AND(AW$6&gt;0,$A901&lt;AW$6),AND(AW$7&gt;0,$A901&gt;AW$7)),0,MAX(0,ROUND((INDEX($E901:$G901,AW$5)-SUMIFS(TF_Timer,TF_Tekniker,AW$4,TF_Dato,$A901))*2,0)/2)))</f>
        <v/>
      </c>
      <c r="AX901">
        <f>IF(OR(AX$4="",$A901&gt;TODAY()),0,IF(OR(INDEX($B901:$D901,AX$5)="F",AND(AX$6&gt;0,$A901&lt;AX$6),AND(AX$7&gt;0,$A901&gt;AX$7)),0,MAX(0,ROUND((INDEX($E901:$G901,AX$5)-SUMIFS(TF_Timer,TF_Tekniker,AX$4,TF_Dato,$A901))*2,0)/2)))</f>
        <v/>
      </c>
      <c r="AY901">
        <f>IF(OR(AY$4="",$A901&gt;TODAY()),0,IF(OR(INDEX($B901:$D901,AY$5)="F",AND(AY$6&gt;0,$A901&lt;AY$6),AND(AY$7&gt;0,$A901&gt;AY$7)),0,MAX(0,ROUND((INDEX($E901:$G901,AY$5)-SUMIFS(TF_Timer,TF_Tekniker,AY$4,TF_Dato,$A901))*2,0)/2)))</f>
        <v/>
      </c>
      <c r="AZ901">
        <f>IF(OR(AZ$4="",$A901&gt;TODAY()),0,IF(OR(INDEX($B901:$D901,AZ$5)="F",AND(AZ$6&gt;0,$A901&lt;AZ$6),AND(AZ$7&gt;0,$A901&gt;AZ$7)),0,MAX(0,ROUND((INDEX($E901:$G901,AZ$5)-SUMIFS(TF_Timer,TF_Tekniker,AZ$4,TF_Dato,$A901))*2,0)/2)))</f>
        <v/>
      </c>
      <c r="BA901">
        <f>IF(OR(BA$4="",$A901&gt;TODAY()),0,IF(OR(INDEX($B901:$D901,BA$5)="F",AND(BA$6&gt;0,$A901&lt;BA$6),AND(BA$7&gt;0,$A901&gt;BA$7)),0,MAX(0,ROUND((INDEX($E901:$G901,BA$5)-SUMIFS(TF_Timer,TF_Tekniker,BA$4,TF_Dato,$A901))*2,0)/2)))</f>
        <v/>
      </c>
      <c r="BB901">
        <f>IF(OR(BB$4="",$A901&gt;TODAY()),0,IF(OR(INDEX($B901:$D901,BB$5)="F",AND(BB$6&gt;0,$A901&lt;BB$6),AND(BB$7&gt;0,$A901&gt;BB$7)),0,MAX(0,ROUND((INDEX($E901:$G901,BB$5)-SUMIFS(TF_Timer,TF_Tekniker,BB$4,TF_Dato,$A901))*2,0)/2)))</f>
        <v/>
      </c>
      <c r="BC901">
        <f>IF(OR(BC$4="",$A901&gt;TODAY()),0,IF(OR(INDEX($B901:$D901,BC$5)="F",AND(BC$6&gt;0,$A901&lt;BC$6),AND(BC$7&gt;0,$A901&gt;BC$7)),0,MAX(0,ROUND((INDEX($E901:$G901,BC$5)-SUMIFS(TF_Timer,TF_Tekniker,BC$4,TF_Dato,$A901))*2,0)/2)))</f>
        <v/>
      </c>
      <c r="BD901">
        <f>IF(OR(BD$4="",$A901&gt;TODAY()),0,IF(OR(INDEX($B901:$D901,BD$5)="F",AND(BD$6&gt;0,$A901&lt;BD$6),AND(BD$7&gt;0,$A901&gt;BD$7)),0,MAX(0,ROUND((INDEX($E901:$G901,BD$5)-SUMIFS(TF_Timer,TF_Tekniker,BD$4,TF_Dato,$A901))*2,0)/2)))</f>
        <v/>
      </c>
      <c r="BE901">
        <f>IF(OR(BE$4="",$A901&gt;TODAY()),0,IF(OR(INDEX($B901:$D901,BE$5)="F",AND(BE$6&gt;0,$A901&lt;BE$6),AND(BE$7&gt;0,$A901&gt;BE$7)),0,MAX(0,ROUND((INDEX($E901:$G901,BE$5)-SUMIFS(TF_Timer,TF_Tekniker,BE$4,TF_Dato,$A901))*2,0)/2)))</f>
        <v/>
      </c>
      <c r="BF901">
        <f>IF(OR(BF$4="",$A901&gt;TODAY()),0,IF(OR(INDEX($B901:$D901,BF$5)="F",AND(BF$6&gt;0,$A901&lt;BF$6),AND(BF$7&gt;0,$A901&gt;BF$7)),0,MAX(0,ROUND((INDEX($E901:$G901,BF$5)-SUMIFS(TF_Timer,TF_Tekniker,BF$4,TF_Dato,$A901))*2,0)/2)))</f>
        <v/>
      </c>
      <c r="BG901">
        <f>IF(OR(BG$4="",$A901&gt;TODAY()),0,IF(OR(INDEX($B901:$D901,BG$5)="F",AND(BG$6&gt;0,$A901&lt;BG$6),AND(BG$7&gt;0,$A901&gt;BG$7)),0,MAX(0,ROUND((INDEX($E901:$G901,BG$5)-SUMIFS(TF_Timer,TF_Tekniker,BG$4,TF_Dato,$A901))*2,0)/2)))</f>
        <v/>
      </c>
      <c r="BH901">
        <f>IF(OR(BH$4="",$A901&gt;TODAY()),0,IF(OR(INDEX($B901:$D901,BH$5)="F",AND(BH$6&gt;0,$A901&lt;BH$6),AND(BH$7&gt;0,$A901&gt;BH$7)),0,MAX(0,ROUND((INDEX($E901:$G901,BH$5)-SUMIFS(TF_Timer,TF_Tekniker,BH$4,TF_Dato,$A901))*2,0)/2)))</f>
        <v/>
      </c>
      <c r="BI901">
        <f>IF(OR(BI$4="",$A901&gt;TODAY()),0,IF(OR(INDEX($B901:$D901,BI$5)="F",AND(BI$6&gt;0,$A901&lt;BI$6),AND(BI$7&gt;0,$A901&gt;BI$7)),0,MAX(0,ROUND((INDEX($E901:$G901,BI$5)-SUMIFS(TF_Timer,TF_Tekniker,BI$4,TF_Dato,$A901))*2,0)/2)))</f>
        <v/>
      </c>
    </row>
    <row r="902">
      <c r="A902" s="64">
        <f>A901+1</f>
        <v/>
      </c>
      <c r="B902">
        <f>IF(MOD($A902-INDEX(SkiftStart,1),Syklus)&lt;DagK,"K",IF(MOD($A902-INDEX(SkiftStart,1),Syklus)&lt;DagK+DagH,"H",IF(MOD($A902-INDEX(SkiftStart,1),Syklus)&lt;DagK+DagH+DagD,"D","F")))</f>
        <v/>
      </c>
      <c r="C902">
        <f>IF(MOD($A902-INDEX(SkiftStart,2),Syklus)&lt;DagK,"K",IF(MOD($A902-INDEX(SkiftStart,2),Syklus)&lt;DagK+DagH,"H",IF(MOD($A902-INDEX(SkiftStart,2),Syklus)&lt;DagK+DagH+DagD,"D","F")))</f>
        <v/>
      </c>
      <c r="D902">
        <f>IF(MOD($A902-INDEX(SkiftStart,3),Syklus)&lt;DagK,"K",IF(MOD($A902-INDEX(SkiftStart,3),Syklus)&lt;DagK+DagH,"H",IF(MOD($A902-INDEX(SkiftStart,3),Syklus)&lt;DagK+DagH+DagD,"D","F")))</f>
        <v/>
      </c>
      <c r="E902">
        <f>IF(B902="F",0,IF(WEEKDAY($A902,2)=5,INDEX(TimerFr,MATCH(B902,FaseKode,0)),INDEX(TimerMT,MATCH(B902,FaseKode,0))))</f>
        <v/>
      </c>
      <c r="F902">
        <f>IF(C902="F",0,IF(WEEKDAY($A902,2)=5,INDEX(TimerFr,MATCH(C902,FaseKode,0)),INDEX(TimerMT,MATCH(C902,FaseKode,0))))</f>
        <v/>
      </c>
      <c r="G902">
        <f>IF(D902="F",0,IF(WEEKDAY($A902,2)=5,INDEX(TimerFr,MATCH(D902,FaseKode,0)),INDEX(TimerMT,MATCH(D902,FaseKode,0))))</f>
        <v/>
      </c>
      <c r="H902">
        <f>IF(OR(H$4="",$A902&gt;TODAY()),0,IF(OR(INDEX($B902:$D902,H$5)="F",AND(H$6&gt;0,$A902&lt;H$6),AND(H$7&gt;0,$A902&gt;H$7)),0,MAX(0,ROUND((INDEX($E902:$G902,H$5)-SUMIFS(TF_Timer,TF_Tekniker,H$4,TF_Dato,$A902))*2,0)/2)))</f>
        <v/>
      </c>
      <c r="I902">
        <f>IF(OR(I$4="",$A902&gt;TODAY()),0,IF(OR(INDEX($B902:$D902,I$5)="F",AND(I$6&gt;0,$A902&lt;I$6),AND(I$7&gt;0,$A902&gt;I$7)),0,MAX(0,ROUND((INDEX($E902:$G902,I$5)-SUMIFS(TF_Timer,TF_Tekniker,I$4,TF_Dato,$A902))*2,0)/2)))</f>
        <v/>
      </c>
      <c r="J902">
        <f>IF(OR(J$4="",$A902&gt;TODAY()),0,IF(OR(INDEX($B902:$D902,J$5)="F",AND(J$6&gt;0,$A902&lt;J$6),AND(J$7&gt;0,$A902&gt;J$7)),0,MAX(0,ROUND((INDEX($E902:$G902,J$5)-SUMIFS(TF_Timer,TF_Tekniker,J$4,TF_Dato,$A902))*2,0)/2)))</f>
        <v/>
      </c>
      <c r="K902">
        <f>IF(OR(K$4="",$A902&gt;TODAY()),0,IF(OR(INDEX($B902:$D902,K$5)="F",AND(K$6&gt;0,$A902&lt;K$6),AND(K$7&gt;0,$A902&gt;K$7)),0,MAX(0,ROUND((INDEX($E902:$G902,K$5)-SUMIFS(TF_Timer,TF_Tekniker,K$4,TF_Dato,$A902))*2,0)/2)))</f>
        <v/>
      </c>
      <c r="L902">
        <f>IF(OR(L$4="",$A902&gt;TODAY()),0,IF(OR(INDEX($B902:$D902,L$5)="F",AND(L$6&gt;0,$A902&lt;L$6),AND(L$7&gt;0,$A902&gt;L$7)),0,MAX(0,ROUND((INDEX($E902:$G902,L$5)-SUMIFS(TF_Timer,TF_Tekniker,L$4,TF_Dato,$A902))*2,0)/2)))</f>
        <v/>
      </c>
      <c r="M902">
        <f>IF(OR(M$4="",$A902&gt;TODAY()),0,IF(OR(INDEX($B902:$D902,M$5)="F",AND(M$6&gt;0,$A902&lt;M$6),AND(M$7&gt;0,$A902&gt;M$7)),0,MAX(0,ROUND((INDEX($E902:$G902,M$5)-SUMIFS(TF_Timer,TF_Tekniker,M$4,TF_Dato,$A902))*2,0)/2)))</f>
        <v/>
      </c>
      <c r="N902">
        <f>IF(OR(N$4="",$A902&gt;TODAY()),0,IF(OR(INDEX($B902:$D902,N$5)="F",AND(N$6&gt;0,$A902&lt;N$6),AND(N$7&gt;0,$A902&gt;N$7)),0,MAX(0,ROUND((INDEX($E902:$G902,N$5)-SUMIFS(TF_Timer,TF_Tekniker,N$4,TF_Dato,$A902))*2,0)/2)))</f>
        <v/>
      </c>
      <c r="O902">
        <f>IF(OR(O$4="",$A902&gt;TODAY()),0,IF(OR(INDEX($B902:$D902,O$5)="F",AND(O$6&gt;0,$A902&lt;O$6),AND(O$7&gt;0,$A902&gt;O$7)),0,MAX(0,ROUND((INDEX($E902:$G902,O$5)-SUMIFS(TF_Timer,TF_Tekniker,O$4,TF_Dato,$A902))*2,0)/2)))</f>
        <v/>
      </c>
      <c r="P902">
        <f>IF(OR(P$4="",$A902&gt;TODAY()),0,IF(OR(INDEX($B902:$D902,P$5)="F",AND(P$6&gt;0,$A902&lt;P$6),AND(P$7&gt;0,$A902&gt;P$7)),0,MAX(0,ROUND((INDEX($E902:$G902,P$5)-SUMIFS(TF_Timer,TF_Tekniker,P$4,TF_Dato,$A902))*2,0)/2)))</f>
        <v/>
      </c>
      <c r="Q902">
        <f>IF(OR(Q$4="",$A902&gt;TODAY()),0,IF(OR(INDEX($B902:$D902,Q$5)="F",AND(Q$6&gt;0,$A902&lt;Q$6),AND(Q$7&gt;0,$A902&gt;Q$7)),0,MAX(0,ROUND((INDEX($E902:$G902,Q$5)-SUMIFS(TF_Timer,TF_Tekniker,Q$4,TF_Dato,$A902))*2,0)/2)))</f>
        <v/>
      </c>
      <c r="R902">
        <f>IF(OR(R$4="",$A902&gt;TODAY()),0,IF(OR(INDEX($B902:$D902,R$5)="F",AND(R$6&gt;0,$A902&lt;R$6),AND(R$7&gt;0,$A902&gt;R$7)),0,MAX(0,ROUND((INDEX($E902:$G902,R$5)-SUMIFS(TF_Timer,TF_Tekniker,R$4,TF_Dato,$A902))*2,0)/2)))</f>
        <v/>
      </c>
      <c r="S902">
        <f>IF(OR(S$4="",$A902&gt;TODAY()),0,IF(OR(INDEX($B902:$D902,S$5)="F",AND(S$6&gt;0,$A902&lt;S$6),AND(S$7&gt;0,$A902&gt;S$7)),0,MAX(0,ROUND((INDEX($E902:$G902,S$5)-SUMIFS(TF_Timer,TF_Tekniker,S$4,TF_Dato,$A902))*2,0)/2)))</f>
        <v/>
      </c>
      <c r="T902">
        <f>IF(OR(T$4="",$A902&gt;TODAY()),0,IF(OR(INDEX($B902:$D902,T$5)="F",AND(T$6&gt;0,$A902&lt;T$6),AND(T$7&gt;0,$A902&gt;T$7)),0,MAX(0,ROUND((INDEX($E902:$G902,T$5)-SUMIFS(TF_Timer,TF_Tekniker,T$4,TF_Dato,$A902))*2,0)/2)))</f>
        <v/>
      </c>
      <c r="U902">
        <f>IF(OR(U$4="",$A902&gt;TODAY()),0,IF(OR(INDEX($B902:$D902,U$5)="F",AND(U$6&gt;0,$A902&lt;U$6),AND(U$7&gt;0,$A902&gt;U$7)),0,MAX(0,ROUND((INDEX($E902:$G902,U$5)-SUMIFS(TF_Timer,TF_Tekniker,U$4,TF_Dato,$A902))*2,0)/2)))</f>
        <v/>
      </c>
      <c r="V902">
        <f>IF(OR(V$4="",$A902&gt;TODAY()),0,IF(OR(INDEX($B902:$D902,V$5)="F",AND(V$6&gt;0,$A902&lt;V$6),AND(V$7&gt;0,$A902&gt;V$7)),0,MAX(0,ROUND((INDEX($E902:$G902,V$5)-SUMIFS(TF_Timer,TF_Tekniker,V$4,TF_Dato,$A902))*2,0)/2)))</f>
        <v/>
      </c>
      <c r="W902">
        <f>IF(OR(W$4="",$A902&gt;TODAY()),0,IF(OR(INDEX($B902:$D902,W$5)="F",AND(W$6&gt;0,$A902&lt;W$6),AND(W$7&gt;0,$A902&gt;W$7)),0,MAX(0,ROUND((INDEX($E902:$G902,W$5)-SUMIFS(TF_Timer,TF_Tekniker,W$4,TF_Dato,$A902))*2,0)/2)))</f>
        <v/>
      </c>
      <c r="X902">
        <f>IF(OR(X$4="",$A902&gt;TODAY()),0,IF(OR(INDEX($B902:$D902,X$5)="F",AND(X$6&gt;0,$A902&lt;X$6),AND(X$7&gt;0,$A902&gt;X$7)),0,MAX(0,ROUND((INDEX($E902:$G902,X$5)-SUMIFS(TF_Timer,TF_Tekniker,X$4,TF_Dato,$A902))*2,0)/2)))</f>
        <v/>
      </c>
      <c r="Y902">
        <f>IF(OR(Y$4="",$A902&gt;TODAY()),0,IF(OR(INDEX($B902:$D902,Y$5)="F",AND(Y$6&gt;0,$A902&lt;Y$6),AND(Y$7&gt;0,$A902&gt;Y$7)),0,MAX(0,ROUND((INDEX($E902:$G902,Y$5)-SUMIFS(TF_Timer,TF_Tekniker,Y$4,TF_Dato,$A902))*2,0)/2)))</f>
        <v/>
      </c>
      <c r="Z902">
        <f>IF(OR(Z$4="",$A902&gt;TODAY()),0,IF(OR(INDEX($B902:$D902,Z$5)="F",AND(Z$6&gt;0,$A902&lt;Z$6),AND(Z$7&gt;0,$A902&gt;Z$7)),0,MAX(0,ROUND((INDEX($E902:$G902,Z$5)-SUMIFS(TF_Timer,TF_Tekniker,Z$4,TF_Dato,$A902))*2,0)/2)))</f>
        <v/>
      </c>
      <c r="AA902">
        <f>IF(OR(AA$4="",$A902&gt;TODAY()),0,IF(OR(INDEX($B902:$D902,AA$5)="F",AND(AA$6&gt;0,$A902&lt;AA$6),AND(AA$7&gt;0,$A902&gt;AA$7)),0,MAX(0,ROUND((INDEX($E902:$G902,AA$5)-SUMIFS(TF_Timer,TF_Tekniker,AA$4,TF_Dato,$A902))*2,0)/2)))</f>
        <v/>
      </c>
      <c r="AB902">
        <f>IF(OR(AB$4="",$A902&gt;TODAY()),0,IF(OR(INDEX($B902:$D902,AB$5)="F",AND(AB$6&gt;0,$A902&lt;AB$6),AND(AB$7&gt;0,$A902&gt;AB$7)),0,MAX(0,ROUND((INDEX($E902:$G902,AB$5)-SUMIFS(TF_Timer,TF_Tekniker,AB$4,TF_Dato,$A902))*2,0)/2)))</f>
        <v/>
      </c>
      <c r="AC902">
        <f>IF(OR(AC$4="",$A902&gt;TODAY()),0,IF(OR(INDEX($B902:$D902,AC$5)="F",AND(AC$6&gt;0,$A902&lt;AC$6),AND(AC$7&gt;0,$A902&gt;AC$7)),0,MAX(0,ROUND((INDEX($E902:$G902,AC$5)-SUMIFS(TF_Timer,TF_Tekniker,AC$4,TF_Dato,$A902))*2,0)/2)))</f>
        <v/>
      </c>
      <c r="AD902">
        <f>IF(OR(AD$4="",$A902&gt;TODAY()),0,IF(OR(INDEX($B902:$D902,AD$5)="F",AND(AD$6&gt;0,$A902&lt;AD$6),AND(AD$7&gt;0,$A902&gt;AD$7)),0,MAX(0,ROUND((INDEX($E902:$G902,AD$5)-SUMIFS(TF_Timer,TF_Tekniker,AD$4,TF_Dato,$A902))*2,0)/2)))</f>
        <v/>
      </c>
      <c r="AE902">
        <f>IF(OR(AE$4="",$A902&gt;TODAY()),0,IF(OR(INDEX($B902:$D902,AE$5)="F",AND(AE$6&gt;0,$A902&lt;AE$6),AND(AE$7&gt;0,$A902&gt;AE$7)),0,MAX(0,ROUND((INDEX($E902:$G902,AE$5)-SUMIFS(TF_Timer,TF_Tekniker,AE$4,TF_Dato,$A902))*2,0)/2)))</f>
        <v/>
      </c>
      <c r="AF902">
        <f>IF(OR(AF$4="",$A902&gt;TODAY()),0,IF(OR(INDEX($B902:$D902,AF$5)="F",AND(AF$6&gt;0,$A902&lt;AF$6),AND(AF$7&gt;0,$A902&gt;AF$7)),0,MAX(0,ROUND((INDEX($E902:$G902,AF$5)-SUMIFS(TF_Timer,TF_Tekniker,AF$4,TF_Dato,$A902))*2,0)/2)))</f>
        <v/>
      </c>
      <c r="AG902">
        <f>IF(OR(AG$4="",$A902&gt;TODAY()),0,IF(OR(INDEX($B902:$D902,AG$5)="F",AND(AG$6&gt;0,$A902&lt;AG$6),AND(AG$7&gt;0,$A902&gt;AG$7)),0,MAX(0,ROUND((INDEX($E902:$G902,AG$5)-SUMIFS(TF_Timer,TF_Tekniker,AG$4,TF_Dato,$A902))*2,0)/2)))</f>
        <v/>
      </c>
      <c r="AH902">
        <f>IF(OR(AH$4="",$A902&gt;TODAY()),0,IF(OR(INDEX($B902:$D902,AH$5)="F",AND(AH$6&gt;0,$A902&lt;AH$6),AND(AH$7&gt;0,$A902&gt;AH$7)),0,MAX(0,ROUND((INDEX($E902:$G902,AH$5)-SUMIFS(TF_Timer,TF_Tekniker,AH$4,TF_Dato,$A902))*2,0)/2)))</f>
        <v/>
      </c>
      <c r="AI902">
        <f>IF(OR(AI$4="",$A902&gt;TODAY()),0,IF(OR(INDEX($B902:$D902,AI$5)="F",AND(AI$6&gt;0,$A902&lt;AI$6),AND(AI$7&gt;0,$A902&gt;AI$7)),0,MAX(0,ROUND((INDEX($E902:$G902,AI$5)-SUMIFS(TF_Timer,TF_Tekniker,AI$4,TF_Dato,$A902))*2,0)/2)))</f>
        <v/>
      </c>
      <c r="AJ902">
        <f>IF(OR(AJ$4="",$A902&gt;TODAY()),0,IF(OR(INDEX($B902:$D902,AJ$5)="F",AND(AJ$6&gt;0,$A902&lt;AJ$6),AND(AJ$7&gt;0,$A902&gt;AJ$7)),0,MAX(0,ROUND((INDEX($E902:$G902,AJ$5)-SUMIFS(TF_Timer,TF_Tekniker,AJ$4,TF_Dato,$A902))*2,0)/2)))</f>
        <v/>
      </c>
      <c r="AK902">
        <f>IF(OR(AK$4="",$A902&gt;TODAY()),0,IF(OR(INDEX($B902:$D902,AK$5)="F",AND(AK$6&gt;0,$A902&lt;AK$6),AND(AK$7&gt;0,$A902&gt;AK$7)),0,MAX(0,ROUND((INDEX($E902:$G902,AK$5)-SUMIFS(TF_Timer,TF_Tekniker,AK$4,TF_Dato,$A902))*2,0)/2)))</f>
        <v/>
      </c>
      <c r="AL902">
        <f>IF(OR(AL$4="",$A902&gt;TODAY()),0,IF(OR(INDEX($B902:$D902,AL$5)="F",AND(AL$6&gt;0,$A902&lt;AL$6),AND(AL$7&gt;0,$A902&gt;AL$7)),0,MAX(0,ROUND((INDEX($E902:$G902,AL$5)-SUMIFS(TF_Timer,TF_Tekniker,AL$4,TF_Dato,$A902))*2,0)/2)))</f>
        <v/>
      </c>
      <c r="AM902">
        <f>IF(OR(AM$4="",$A902&gt;TODAY()),0,IF(OR(INDEX($B902:$D902,AM$5)="F",AND(AM$6&gt;0,$A902&lt;AM$6),AND(AM$7&gt;0,$A902&gt;AM$7)),0,MAX(0,ROUND((INDEX($E902:$G902,AM$5)-SUMIFS(TF_Timer,TF_Tekniker,AM$4,TF_Dato,$A902))*2,0)/2)))</f>
        <v/>
      </c>
      <c r="AN902">
        <f>IF(OR(AN$4="",$A902&gt;TODAY()),0,IF(OR(INDEX($B902:$D902,AN$5)="F",AND(AN$6&gt;0,$A902&lt;AN$6),AND(AN$7&gt;0,$A902&gt;AN$7)),0,MAX(0,ROUND((INDEX($E902:$G902,AN$5)-SUMIFS(TF_Timer,TF_Tekniker,AN$4,TF_Dato,$A902))*2,0)/2)))</f>
        <v/>
      </c>
      <c r="AO902">
        <f>IF(OR(AO$4="",$A902&gt;TODAY()),0,IF(OR(INDEX($B902:$D902,AO$5)="F",AND(AO$6&gt;0,$A902&lt;AO$6),AND(AO$7&gt;0,$A902&gt;AO$7)),0,MAX(0,ROUND((INDEX($E902:$G902,AO$5)-SUMIFS(TF_Timer,TF_Tekniker,AO$4,TF_Dato,$A902))*2,0)/2)))</f>
        <v/>
      </c>
      <c r="AP902">
        <f>IF(OR(AP$4="",$A902&gt;TODAY()),0,IF(OR(INDEX($B902:$D902,AP$5)="F",AND(AP$6&gt;0,$A902&lt;AP$6),AND(AP$7&gt;0,$A902&gt;AP$7)),0,MAX(0,ROUND((INDEX($E902:$G902,AP$5)-SUMIFS(TF_Timer,TF_Tekniker,AP$4,TF_Dato,$A902))*2,0)/2)))</f>
        <v/>
      </c>
      <c r="AQ902">
        <f>IF(OR(AQ$4="",$A902&gt;TODAY()),0,IF(OR(INDEX($B902:$D902,AQ$5)="F",AND(AQ$6&gt;0,$A902&lt;AQ$6),AND(AQ$7&gt;0,$A902&gt;AQ$7)),0,MAX(0,ROUND((INDEX($E902:$G902,AQ$5)-SUMIFS(TF_Timer,TF_Tekniker,AQ$4,TF_Dato,$A902))*2,0)/2)))</f>
        <v/>
      </c>
      <c r="AR902">
        <f>IF(OR(AR$4="",$A902&gt;TODAY()),0,IF(OR(INDEX($B902:$D902,AR$5)="F",AND(AR$6&gt;0,$A902&lt;AR$6),AND(AR$7&gt;0,$A902&gt;AR$7)),0,MAX(0,ROUND((INDEX($E902:$G902,AR$5)-SUMIFS(TF_Timer,TF_Tekniker,AR$4,TF_Dato,$A902))*2,0)/2)))</f>
        <v/>
      </c>
      <c r="AS902">
        <f>IF(OR(AS$4="",$A902&gt;TODAY()),0,IF(OR(INDEX($B902:$D902,AS$5)="F",AND(AS$6&gt;0,$A902&lt;AS$6),AND(AS$7&gt;0,$A902&gt;AS$7)),0,MAX(0,ROUND((INDEX($E902:$G902,AS$5)-SUMIFS(TF_Timer,TF_Tekniker,AS$4,TF_Dato,$A902))*2,0)/2)))</f>
        <v/>
      </c>
      <c r="AT902">
        <f>IF(OR(AT$4="",$A902&gt;TODAY()),0,IF(OR(INDEX($B902:$D902,AT$5)="F",AND(AT$6&gt;0,$A902&lt;AT$6),AND(AT$7&gt;0,$A902&gt;AT$7)),0,MAX(0,ROUND((INDEX($E902:$G902,AT$5)-SUMIFS(TF_Timer,TF_Tekniker,AT$4,TF_Dato,$A902))*2,0)/2)))</f>
        <v/>
      </c>
      <c r="AU902">
        <f>IF(OR(AU$4="",$A902&gt;TODAY()),0,IF(OR(INDEX($B902:$D902,AU$5)="F",AND(AU$6&gt;0,$A902&lt;AU$6),AND(AU$7&gt;0,$A902&gt;AU$7)),0,MAX(0,ROUND((INDEX($E902:$G902,AU$5)-SUMIFS(TF_Timer,TF_Tekniker,AU$4,TF_Dato,$A902))*2,0)/2)))</f>
        <v/>
      </c>
      <c r="AV902">
        <f>IF(OR(AV$4="",$A902&gt;TODAY()),0,IF(OR(INDEX($B902:$D902,AV$5)="F",AND(AV$6&gt;0,$A902&lt;AV$6),AND(AV$7&gt;0,$A902&gt;AV$7)),0,MAX(0,ROUND((INDEX($E902:$G902,AV$5)-SUMIFS(TF_Timer,TF_Tekniker,AV$4,TF_Dato,$A902))*2,0)/2)))</f>
        <v/>
      </c>
      <c r="AW902">
        <f>IF(OR(AW$4="",$A902&gt;TODAY()),0,IF(OR(INDEX($B902:$D902,AW$5)="F",AND(AW$6&gt;0,$A902&lt;AW$6),AND(AW$7&gt;0,$A902&gt;AW$7)),0,MAX(0,ROUND((INDEX($E902:$G902,AW$5)-SUMIFS(TF_Timer,TF_Tekniker,AW$4,TF_Dato,$A902))*2,0)/2)))</f>
        <v/>
      </c>
      <c r="AX902">
        <f>IF(OR(AX$4="",$A902&gt;TODAY()),0,IF(OR(INDEX($B902:$D902,AX$5)="F",AND(AX$6&gt;0,$A902&lt;AX$6),AND(AX$7&gt;0,$A902&gt;AX$7)),0,MAX(0,ROUND((INDEX($E902:$G902,AX$5)-SUMIFS(TF_Timer,TF_Tekniker,AX$4,TF_Dato,$A902))*2,0)/2)))</f>
        <v/>
      </c>
      <c r="AY902">
        <f>IF(OR(AY$4="",$A902&gt;TODAY()),0,IF(OR(INDEX($B902:$D902,AY$5)="F",AND(AY$6&gt;0,$A902&lt;AY$6),AND(AY$7&gt;0,$A902&gt;AY$7)),0,MAX(0,ROUND((INDEX($E902:$G902,AY$5)-SUMIFS(TF_Timer,TF_Tekniker,AY$4,TF_Dato,$A902))*2,0)/2)))</f>
        <v/>
      </c>
      <c r="AZ902">
        <f>IF(OR(AZ$4="",$A902&gt;TODAY()),0,IF(OR(INDEX($B902:$D902,AZ$5)="F",AND(AZ$6&gt;0,$A902&lt;AZ$6),AND(AZ$7&gt;0,$A902&gt;AZ$7)),0,MAX(0,ROUND((INDEX($E902:$G902,AZ$5)-SUMIFS(TF_Timer,TF_Tekniker,AZ$4,TF_Dato,$A902))*2,0)/2)))</f>
        <v/>
      </c>
      <c r="BA902">
        <f>IF(OR(BA$4="",$A902&gt;TODAY()),0,IF(OR(INDEX($B902:$D902,BA$5)="F",AND(BA$6&gt;0,$A902&lt;BA$6),AND(BA$7&gt;0,$A902&gt;BA$7)),0,MAX(0,ROUND((INDEX($E902:$G902,BA$5)-SUMIFS(TF_Timer,TF_Tekniker,BA$4,TF_Dato,$A902))*2,0)/2)))</f>
        <v/>
      </c>
      <c r="BB902">
        <f>IF(OR(BB$4="",$A902&gt;TODAY()),0,IF(OR(INDEX($B902:$D902,BB$5)="F",AND(BB$6&gt;0,$A902&lt;BB$6),AND(BB$7&gt;0,$A902&gt;BB$7)),0,MAX(0,ROUND((INDEX($E902:$G902,BB$5)-SUMIFS(TF_Timer,TF_Tekniker,BB$4,TF_Dato,$A902))*2,0)/2)))</f>
        <v/>
      </c>
      <c r="BC902">
        <f>IF(OR(BC$4="",$A902&gt;TODAY()),0,IF(OR(INDEX($B902:$D902,BC$5)="F",AND(BC$6&gt;0,$A902&lt;BC$6),AND(BC$7&gt;0,$A902&gt;BC$7)),0,MAX(0,ROUND((INDEX($E902:$G902,BC$5)-SUMIFS(TF_Timer,TF_Tekniker,BC$4,TF_Dato,$A902))*2,0)/2)))</f>
        <v/>
      </c>
      <c r="BD902">
        <f>IF(OR(BD$4="",$A902&gt;TODAY()),0,IF(OR(INDEX($B902:$D902,BD$5)="F",AND(BD$6&gt;0,$A902&lt;BD$6),AND(BD$7&gt;0,$A902&gt;BD$7)),0,MAX(0,ROUND((INDEX($E902:$G902,BD$5)-SUMIFS(TF_Timer,TF_Tekniker,BD$4,TF_Dato,$A902))*2,0)/2)))</f>
        <v/>
      </c>
      <c r="BE902">
        <f>IF(OR(BE$4="",$A902&gt;TODAY()),0,IF(OR(INDEX($B902:$D902,BE$5)="F",AND(BE$6&gt;0,$A902&lt;BE$6),AND(BE$7&gt;0,$A902&gt;BE$7)),0,MAX(0,ROUND((INDEX($E902:$G902,BE$5)-SUMIFS(TF_Timer,TF_Tekniker,BE$4,TF_Dato,$A902))*2,0)/2)))</f>
        <v/>
      </c>
      <c r="BF902">
        <f>IF(OR(BF$4="",$A902&gt;TODAY()),0,IF(OR(INDEX($B902:$D902,BF$5)="F",AND(BF$6&gt;0,$A902&lt;BF$6),AND(BF$7&gt;0,$A902&gt;BF$7)),0,MAX(0,ROUND((INDEX($E902:$G902,BF$5)-SUMIFS(TF_Timer,TF_Tekniker,BF$4,TF_Dato,$A902))*2,0)/2)))</f>
        <v/>
      </c>
      <c r="BG902">
        <f>IF(OR(BG$4="",$A902&gt;TODAY()),0,IF(OR(INDEX($B902:$D902,BG$5)="F",AND(BG$6&gt;0,$A902&lt;BG$6),AND(BG$7&gt;0,$A902&gt;BG$7)),0,MAX(0,ROUND((INDEX($E902:$G902,BG$5)-SUMIFS(TF_Timer,TF_Tekniker,BG$4,TF_Dato,$A902))*2,0)/2)))</f>
        <v/>
      </c>
      <c r="BH902">
        <f>IF(OR(BH$4="",$A902&gt;TODAY()),0,IF(OR(INDEX($B902:$D902,BH$5)="F",AND(BH$6&gt;0,$A902&lt;BH$6),AND(BH$7&gt;0,$A902&gt;BH$7)),0,MAX(0,ROUND((INDEX($E902:$G902,BH$5)-SUMIFS(TF_Timer,TF_Tekniker,BH$4,TF_Dato,$A902))*2,0)/2)))</f>
        <v/>
      </c>
      <c r="BI902">
        <f>IF(OR(BI$4="",$A902&gt;TODAY()),0,IF(OR(INDEX($B902:$D902,BI$5)="F",AND(BI$6&gt;0,$A902&lt;BI$6),AND(BI$7&gt;0,$A902&gt;BI$7)),0,MAX(0,ROUND((INDEX($E902:$G902,BI$5)-SUMIFS(TF_Timer,TF_Tekniker,BI$4,TF_Dato,$A902))*2,0)/2)))</f>
        <v/>
      </c>
    </row>
    <row r="903">
      <c r="A903" s="64">
        <f>A902+1</f>
        <v/>
      </c>
      <c r="B903">
        <f>IF(MOD($A903-INDEX(SkiftStart,1),Syklus)&lt;DagK,"K",IF(MOD($A903-INDEX(SkiftStart,1),Syklus)&lt;DagK+DagH,"H",IF(MOD($A903-INDEX(SkiftStart,1),Syklus)&lt;DagK+DagH+DagD,"D","F")))</f>
        <v/>
      </c>
      <c r="C903">
        <f>IF(MOD($A903-INDEX(SkiftStart,2),Syklus)&lt;DagK,"K",IF(MOD($A903-INDEX(SkiftStart,2),Syklus)&lt;DagK+DagH,"H",IF(MOD($A903-INDEX(SkiftStart,2),Syklus)&lt;DagK+DagH+DagD,"D","F")))</f>
        <v/>
      </c>
      <c r="D903">
        <f>IF(MOD($A903-INDEX(SkiftStart,3),Syklus)&lt;DagK,"K",IF(MOD($A903-INDEX(SkiftStart,3),Syklus)&lt;DagK+DagH,"H",IF(MOD($A903-INDEX(SkiftStart,3),Syklus)&lt;DagK+DagH+DagD,"D","F")))</f>
        <v/>
      </c>
      <c r="E903">
        <f>IF(B903="F",0,IF(WEEKDAY($A903,2)=5,INDEX(TimerFr,MATCH(B903,FaseKode,0)),INDEX(TimerMT,MATCH(B903,FaseKode,0))))</f>
        <v/>
      </c>
      <c r="F903">
        <f>IF(C903="F",0,IF(WEEKDAY($A903,2)=5,INDEX(TimerFr,MATCH(C903,FaseKode,0)),INDEX(TimerMT,MATCH(C903,FaseKode,0))))</f>
        <v/>
      </c>
      <c r="G903">
        <f>IF(D903="F",0,IF(WEEKDAY($A903,2)=5,INDEX(TimerFr,MATCH(D903,FaseKode,0)),INDEX(TimerMT,MATCH(D903,FaseKode,0))))</f>
        <v/>
      </c>
      <c r="H903">
        <f>IF(OR(H$4="",$A903&gt;TODAY()),0,IF(OR(INDEX($B903:$D903,H$5)="F",AND(H$6&gt;0,$A903&lt;H$6),AND(H$7&gt;0,$A903&gt;H$7)),0,MAX(0,ROUND((INDEX($E903:$G903,H$5)-SUMIFS(TF_Timer,TF_Tekniker,H$4,TF_Dato,$A903))*2,0)/2)))</f>
        <v/>
      </c>
      <c r="I903">
        <f>IF(OR(I$4="",$A903&gt;TODAY()),0,IF(OR(INDEX($B903:$D903,I$5)="F",AND(I$6&gt;0,$A903&lt;I$6),AND(I$7&gt;0,$A903&gt;I$7)),0,MAX(0,ROUND((INDEX($E903:$G903,I$5)-SUMIFS(TF_Timer,TF_Tekniker,I$4,TF_Dato,$A903))*2,0)/2)))</f>
        <v/>
      </c>
      <c r="J903">
        <f>IF(OR(J$4="",$A903&gt;TODAY()),0,IF(OR(INDEX($B903:$D903,J$5)="F",AND(J$6&gt;0,$A903&lt;J$6),AND(J$7&gt;0,$A903&gt;J$7)),0,MAX(0,ROUND((INDEX($E903:$G903,J$5)-SUMIFS(TF_Timer,TF_Tekniker,J$4,TF_Dato,$A903))*2,0)/2)))</f>
        <v/>
      </c>
      <c r="K903">
        <f>IF(OR(K$4="",$A903&gt;TODAY()),0,IF(OR(INDEX($B903:$D903,K$5)="F",AND(K$6&gt;0,$A903&lt;K$6),AND(K$7&gt;0,$A903&gt;K$7)),0,MAX(0,ROUND((INDEX($E903:$G903,K$5)-SUMIFS(TF_Timer,TF_Tekniker,K$4,TF_Dato,$A903))*2,0)/2)))</f>
        <v/>
      </c>
      <c r="L903">
        <f>IF(OR(L$4="",$A903&gt;TODAY()),0,IF(OR(INDEX($B903:$D903,L$5)="F",AND(L$6&gt;0,$A903&lt;L$6),AND(L$7&gt;0,$A903&gt;L$7)),0,MAX(0,ROUND((INDEX($E903:$G903,L$5)-SUMIFS(TF_Timer,TF_Tekniker,L$4,TF_Dato,$A903))*2,0)/2)))</f>
        <v/>
      </c>
      <c r="M903">
        <f>IF(OR(M$4="",$A903&gt;TODAY()),0,IF(OR(INDEX($B903:$D903,M$5)="F",AND(M$6&gt;0,$A903&lt;M$6),AND(M$7&gt;0,$A903&gt;M$7)),0,MAX(0,ROUND((INDEX($E903:$G903,M$5)-SUMIFS(TF_Timer,TF_Tekniker,M$4,TF_Dato,$A903))*2,0)/2)))</f>
        <v/>
      </c>
      <c r="N903">
        <f>IF(OR(N$4="",$A903&gt;TODAY()),0,IF(OR(INDEX($B903:$D903,N$5)="F",AND(N$6&gt;0,$A903&lt;N$6),AND(N$7&gt;0,$A903&gt;N$7)),0,MAX(0,ROUND((INDEX($E903:$G903,N$5)-SUMIFS(TF_Timer,TF_Tekniker,N$4,TF_Dato,$A903))*2,0)/2)))</f>
        <v/>
      </c>
      <c r="O903">
        <f>IF(OR(O$4="",$A903&gt;TODAY()),0,IF(OR(INDEX($B903:$D903,O$5)="F",AND(O$6&gt;0,$A903&lt;O$6),AND(O$7&gt;0,$A903&gt;O$7)),0,MAX(0,ROUND((INDEX($E903:$G903,O$5)-SUMIFS(TF_Timer,TF_Tekniker,O$4,TF_Dato,$A903))*2,0)/2)))</f>
        <v/>
      </c>
      <c r="P903">
        <f>IF(OR(P$4="",$A903&gt;TODAY()),0,IF(OR(INDEX($B903:$D903,P$5)="F",AND(P$6&gt;0,$A903&lt;P$6),AND(P$7&gt;0,$A903&gt;P$7)),0,MAX(0,ROUND((INDEX($E903:$G903,P$5)-SUMIFS(TF_Timer,TF_Tekniker,P$4,TF_Dato,$A903))*2,0)/2)))</f>
        <v/>
      </c>
      <c r="Q903">
        <f>IF(OR(Q$4="",$A903&gt;TODAY()),0,IF(OR(INDEX($B903:$D903,Q$5)="F",AND(Q$6&gt;0,$A903&lt;Q$6),AND(Q$7&gt;0,$A903&gt;Q$7)),0,MAX(0,ROUND((INDEX($E903:$G903,Q$5)-SUMIFS(TF_Timer,TF_Tekniker,Q$4,TF_Dato,$A903))*2,0)/2)))</f>
        <v/>
      </c>
      <c r="R903">
        <f>IF(OR(R$4="",$A903&gt;TODAY()),0,IF(OR(INDEX($B903:$D903,R$5)="F",AND(R$6&gt;0,$A903&lt;R$6),AND(R$7&gt;0,$A903&gt;R$7)),0,MAX(0,ROUND((INDEX($E903:$G903,R$5)-SUMIFS(TF_Timer,TF_Tekniker,R$4,TF_Dato,$A903))*2,0)/2)))</f>
        <v/>
      </c>
      <c r="S903">
        <f>IF(OR(S$4="",$A903&gt;TODAY()),0,IF(OR(INDEX($B903:$D903,S$5)="F",AND(S$6&gt;0,$A903&lt;S$6),AND(S$7&gt;0,$A903&gt;S$7)),0,MAX(0,ROUND((INDEX($E903:$G903,S$5)-SUMIFS(TF_Timer,TF_Tekniker,S$4,TF_Dato,$A903))*2,0)/2)))</f>
        <v/>
      </c>
      <c r="T903">
        <f>IF(OR(T$4="",$A903&gt;TODAY()),0,IF(OR(INDEX($B903:$D903,T$5)="F",AND(T$6&gt;0,$A903&lt;T$6),AND(T$7&gt;0,$A903&gt;T$7)),0,MAX(0,ROUND((INDEX($E903:$G903,T$5)-SUMIFS(TF_Timer,TF_Tekniker,T$4,TF_Dato,$A903))*2,0)/2)))</f>
        <v/>
      </c>
      <c r="U903">
        <f>IF(OR(U$4="",$A903&gt;TODAY()),0,IF(OR(INDEX($B903:$D903,U$5)="F",AND(U$6&gt;0,$A903&lt;U$6),AND(U$7&gt;0,$A903&gt;U$7)),0,MAX(0,ROUND((INDEX($E903:$G903,U$5)-SUMIFS(TF_Timer,TF_Tekniker,U$4,TF_Dato,$A903))*2,0)/2)))</f>
        <v/>
      </c>
      <c r="V903">
        <f>IF(OR(V$4="",$A903&gt;TODAY()),0,IF(OR(INDEX($B903:$D903,V$5)="F",AND(V$6&gt;0,$A903&lt;V$6),AND(V$7&gt;0,$A903&gt;V$7)),0,MAX(0,ROUND((INDEX($E903:$G903,V$5)-SUMIFS(TF_Timer,TF_Tekniker,V$4,TF_Dato,$A903))*2,0)/2)))</f>
        <v/>
      </c>
      <c r="W903">
        <f>IF(OR(W$4="",$A903&gt;TODAY()),0,IF(OR(INDEX($B903:$D903,W$5)="F",AND(W$6&gt;0,$A903&lt;W$6),AND(W$7&gt;0,$A903&gt;W$7)),0,MAX(0,ROUND((INDEX($E903:$G903,W$5)-SUMIFS(TF_Timer,TF_Tekniker,W$4,TF_Dato,$A903))*2,0)/2)))</f>
        <v/>
      </c>
      <c r="X903">
        <f>IF(OR(X$4="",$A903&gt;TODAY()),0,IF(OR(INDEX($B903:$D903,X$5)="F",AND(X$6&gt;0,$A903&lt;X$6),AND(X$7&gt;0,$A903&gt;X$7)),0,MAX(0,ROUND((INDEX($E903:$G903,X$5)-SUMIFS(TF_Timer,TF_Tekniker,X$4,TF_Dato,$A903))*2,0)/2)))</f>
        <v/>
      </c>
      <c r="Y903">
        <f>IF(OR(Y$4="",$A903&gt;TODAY()),0,IF(OR(INDEX($B903:$D903,Y$5)="F",AND(Y$6&gt;0,$A903&lt;Y$6),AND(Y$7&gt;0,$A903&gt;Y$7)),0,MAX(0,ROUND((INDEX($E903:$G903,Y$5)-SUMIFS(TF_Timer,TF_Tekniker,Y$4,TF_Dato,$A903))*2,0)/2)))</f>
        <v/>
      </c>
      <c r="Z903">
        <f>IF(OR(Z$4="",$A903&gt;TODAY()),0,IF(OR(INDEX($B903:$D903,Z$5)="F",AND(Z$6&gt;0,$A903&lt;Z$6),AND(Z$7&gt;0,$A903&gt;Z$7)),0,MAX(0,ROUND((INDEX($E903:$G903,Z$5)-SUMIFS(TF_Timer,TF_Tekniker,Z$4,TF_Dato,$A903))*2,0)/2)))</f>
        <v/>
      </c>
      <c r="AA903">
        <f>IF(OR(AA$4="",$A903&gt;TODAY()),0,IF(OR(INDEX($B903:$D903,AA$5)="F",AND(AA$6&gt;0,$A903&lt;AA$6),AND(AA$7&gt;0,$A903&gt;AA$7)),0,MAX(0,ROUND((INDEX($E903:$G903,AA$5)-SUMIFS(TF_Timer,TF_Tekniker,AA$4,TF_Dato,$A903))*2,0)/2)))</f>
        <v/>
      </c>
      <c r="AB903">
        <f>IF(OR(AB$4="",$A903&gt;TODAY()),0,IF(OR(INDEX($B903:$D903,AB$5)="F",AND(AB$6&gt;0,$A903&lt;AB$6),AND(AB$7&gt;0,$A903&gt;AB$7)),0,MAX(0,ROUND((INDEX($E903:$G903,AB$5)-SUMIFS(TF_Timer,TF_Tekniker,AB$4,TF_Dato,$A903))*2,0)/2)))</f>
        <v/>
      </c>
      <c r="AC903">
        <f>IF(OR(AC$4="",$A903&gt;TODAY()),0,IF(OR(INDEX($B903:$D903,AC$5)="F",AND(AC$6&gt;0,$A903&lt;AC$6),AND(AC$7&gt;0,$A903&gt;AC$7)),0,MAX(0,ROUND((INDEX($E903:$G903,AC$5)-SUMIFS(TF_Timer,TF_Tekniker,AC$4,TF_Dato,$A903))*2,0)/2)))</f>
        <v/>
      </c>
      <c r="AD903">
        <f>IF(OR(AD$4="",$A903&gt;TODAY()),0,IF(OR(INDEX($B903:$D903,AD$5)="F",AND(AD$6&gt;0,$A903&lt;AD$6),AND(AD$7&gt;0,$A903&gt;AD$7)),0,MAX(0,ROUND((INDEX($E903:$G903,AD$5)-SUMIFS(TF_Timer,TF_Tekniker,AD$4,TF_Dato,$A903))*2,0)/2)))</f>
        <v/>
      </c>
      <c r="AE903">
        <f>IF(OR(AE$4="",$A903&gt;TODAY()),0,IF(OR(INDEX($B903:$D903,AE$5)="F",AND(AE$6&gt;0,$A903&lt;AE$6),AND(AE$7&gt;0,$A903&gt;AE$7)),0,MAX(0,ROUND((INDEX($E903:$G903,AE$5)-SUMIFS(TF_Timer,TF_Tekniker,AE$4,TF_Dato,$A903))*2,0)/2)))</f>
        <v/>
      </c>
      <c r="AF903">
        <f>IF(OR(AF$4="",$A903&gt;TODAY()),0,IF(OR(INDEX($B903:$D903,AF$5)="F",AND(AF$6&gt;0,$A903&lt;AF$6),AND(AF$7&gt;0,$A903&gt;AF$7)),0,MAX(0,ROUND((INDEX($E903:$G903,AF$5)-SUMIFS(TF_Timer,TF_Tekniker,AF$4,TF_Dato,$A903))*2,0)/2)))</f>
        <v/>
      </c>
      <c r="AG903">
        <f>IF(OR(AG$4="",$A903&gt;TODAY()),0,IF(OR(INDEX($B903:$D903,AG$5)="F",AND(AG$6&gt;0,$A903&lt;AG$6),AND(AG$7&gt;0,$A903&gt;AG$7)),0,MAX(0,ROUND((INDEX($E903:$G903,AG$5)-SUMIFS(TF_Timer,TF_Tekniker,AG$4,TF_Dato,$A903))*2,0)/2)))</f>
        <v/>
      </c>
      <c r="AH903">
        <f>IF(OR(AH$4="",$A903&gt;TODAY()),0,IF(OR(INDEX($B903:$D903,AH$5)="F",AND(AH$6&gt;0,$A903&lt;AH$6),AND(AH$7&gt;0,$A903&gt;AH$7)),0,MAX(0,ROUND((INDEX($E903:$G903,AH$5)-SUMIFS(TF_Timer,TF_Tekniker,AH$4,TF_Dato,$A903))*2,0)/2)))</f>
        <v/>
      </c>
      <c r="AI903">
        <f>IF(OR(AI$4="",$A903&gt;TODAY()),0,IF(OR(INDEX($B903:$D903,AI$5)="F",AND(AI$6&gt;0,$A903&lt;AI$6),AND(AI$7&gt;0,$A903&gt;AI$7)),0,MAX(0,ROUND((INDEX($E903:$G903,AI$5)-SUMIFS(TF_Timer,TF_Tekniker,AI$4,TF_Dato,$A903))*2,0)/2)))</f>
        <v/>
      </c>
      <c r="AJ903">
        <f>IF(OR(AJ$4="",$A903&gt;TODAY()),0,IF(OR(INDEX($B903:$D903,AJ$5)="F",AND(AJ$6&gt;0,$A903&lt;AJ$6),AND(AJ$7&gt;0,$A903&gt;AJ$7)),0,MAX(0,ROUND((INDEX($E903:$G903,AJ$5)-SUMIFS(TF_Timer,TF_Tekniker,AJ$4,TF_Dato,$A903))*2,0)/2)))</f>
        <v/>
      </c>
      <c r="AK903">
        <f>IF(OR(AK$4="",$A903&gt;TODAY()),0,IF(OR(INDEX($B903:$D903,AK$5)="F",AND(AK$6&gt;0,$A903&lt;AK$6),AND(AK$7&gt;0,$A903&gt;AK$7)),0,MAX(0,ROUND((INDEX($E903:$G903,AK$5)-SUMIFS(TF_Timer,TF_Tekniker,AK$4,TF_Dato,$A903))*2,0)/2)))</f>
        <v/>
      </c>
      <c r="AL903">
        <f>IF(OR(AL$4="",$A903&gt;TODAY()),0,IF(OR(INDEX($B903:$D903,AL$5)="F",AND(AL$6&gt;0,$A903&lt;AL$6),AND(AL$7&gt;0,$A903&gt;AL$7)),0,MAX(0,ROUND((INDEX($E903:$G903,AL$5)-SUMIFS(TF_Timer,TF_Tekniker,AL$4,TF_Dato,$A903))*2,0)/2)))</f>
        <v/>
      </c>
      <c r="AM903">
        <f>IF(OR(AM$4="",$A903&gt;TODAY()),0,IF(OR(INDEX($B903:$D903,AM$5)="F",AND(AM$6&gt;0,$A903&lt;AM$6),AND(AM$7&gt;0,$A903&gt;AM$7)),0,MAX(0,ROUND((INDEX($E903:$G903,AM$5)-SUMIFS(TF_Timer,TF_Tekniker,AM$4,TF_Dato,$A903))*2,0)/2)))</f>
        <v/>
      </c>
      <c r="AN903">
        <f>IF(OR(AN$4="",$A903&gt;TODAY()),0,IF(OR(INDEX($B903:$D903,AN$5)="F",AND(AN$6&gt;0,$A903&lt;AN$6),AND(AN$7&gt;0,$A903&gt;AN$7)),0,MAX(0,ROUND((INDEX($E903:$G903,AN$5)-SUMIFS(TF_Timer,TF_Tekniker,AN$4,TF_Dato,$A903))*2,0)/2)))</f>
        <v/>
      </c>
      <c r="AO903">
        <f>IF(OR(AO$4="",$A903&gt;TODAY()),0,IF(OR(INDEX($B903:$D903,AO$5)="F",AND(AO$6&gt;0,$A903&lt;AO$6),AND(AO$7&gt;0,$A903&gt;AO$7)),0,MAX(0,ROUND((INDEX($E903:$G903,AO$5)-SUMIFS(TF_Timer,TF_Tekniker,AO$4,TF_Dato,$A903))*2,0)/2)))</f>
        <v/>
      </c>
      <c r="AP903">
        <f>IF(OR(AP$4="",$A903&gt;TODAY()),0,IF(OR(INDEX($B903:$D903,AP$5)="F",AND(AP$6&gt;0,$A903&lt;AP$6),AND(AP$7&gt;0,$A903&gt;AP$7)),0,MAX(0,ROUND((INDEX($E903:$G903,AP$5)-SUMIFS(TF_Timer,TF_Tekniker,AP$4,TF_Dato,$A903))*2,0)/2)))</f>
        <v/>
      </c>
      <c r="AQ903">
        <f>IF(OR(AQ$4="",$A903&gt;TODAY()),0,IF(OR(INDEX($B903:$D903,AQ$5)="F",AND(AQ$6&gt;0,$A903&lt;AQ$6),AND(AQ$7&gt;0,$A903&gt;AQ$7)),0,MAX(0,ROUND((INDEX($E903:$G903,AQ$5)-SUMIFS(TF_Timer,TF_Tekniker,AQ$4,TF_Dato,$A903))*2,0)/2)))</f>
        <v/>
      </c>
      <c r="AR903">
        <f>IF(OR(AR$4="",$A903&gt;TODAY()),0,IF(OR(INDEX($B903:$D903,AR$5)="F",AND(AR$6&gt;0,$A903&lt;AR$6),AND(AR$7&gt;0,$A903&gt;AR$7)),0,MAX(0,ROUND((INDEX($E903:$G903,AR$5)-SUMIFS(TF_Timer,TF_Tekniker,AR$4,TF_Dato,$A903))*2,0)/2)))</f>
        <v/>
      </c>
      <c r="AS903">
        <f>IF(OR(AS$4="",$A903&gt;TODAY()),0,IF(OR(INDEX($B903:$D903,AS$5)="F",AND(AS$6&gt;0,$A903&lt;AS$6),AND(AS$7&gt;0,$A903&gt;AS$7)),0,MAX(0,ROUND((INDEX($E903:$G903,AS$5)-SUMIFS(TF_Timer,TF_Tekniker,AS$4,TF_Dato,$A903))*2,0)/2)))</f>
        <v/>
      </c>
      <c r="AT903">
        <f>IF(OR(AT$4="",$A903&gt;TODAY()),0,IF(OR(INDEX($B903:$D903,AT$5)="F",AND(AT$6&gt;0,$A903&lt;AT$6),AND(AT$7&gt;0,$A903&gt;AT$7)),0,MAX(0,ROUND((INDEX($E903:$G903,AT$5)-SUMIFS(TF_Timer,TF_Tekniker,AT$4,TF_Dato,$A903))*2,0)/2)))</f>
        <v/>
      </c>
      <c r="AU903">
        <f>IF(OR(AU$4="",$A903&gt;TODAY()),0,IF(OR(INDEX($B903:$D903,AU$5)="F",AND(AU$6&gt;0,$A903&lt;AU$6),AND(AU$7&gt;0,$A903&gt;AU$7)),0,MAX(0,ROUND((INDEX($E903:$G903,AU$5)-SUMIFS(TF_Timer,TF_Tekniker,AU$4,TF_Dato,$A903))*2,0)/2)))</f>
        <v/>
      </c>
      <c r="AV903">
        <f>IF(OR(AV$4="",$A903&gt;TODAY()),0,IF(OR(INDEX($B903:$D903,AV$5)="F",AND(AV$6&gt;0,$A903&lt;AV$6),AND(AV$7&gt;0,$A903&gt;AV$7)),0,MAX(0,ROUND((INDEX($E903:$G903,AV$5)-SUMIFS(TF_Timer,TF_Tekniker,AV$4,TF_Dato,$A903))*2,0)/2)))</f>
        <v/>
      </c>
      <c r="AW903">
        <f>IF(OR(AW$4="",$A903&gt;TODAY()),0,IF(OR(INDEX($B903:$D903,AW$5)="F",AND(AW$6&gt;0,$A903&lt;AW$6),AND(AW$7&gt;0,$A903&gt;AW$7)),0,MAX(0,ROUND((INDEX($E903:$G903,AW$5)-SUMIFS(TF_Timer,TF_Tekniker,AW$4,TF_Dato,$A903))*2,0)/2)))</f>
        <v/>
      </c>
      <c r="AX903">
        <f>IF(OR(AX$4="",$A903&gt;TODAY()),0,IF(OR(INDEX($B903:$D903,AX$5)="F",AND(AX$6&gt;0,$A903&lt;AX$6),AND(AX$7&gt;0,$A903&gt;AX$7)),0,MAX(0,ROUND((INDEX($E903:$G903,AX$5)-SUMIFS(TF_Timer,TF_Tekniker,AX$4,TF_Dato,$A903))*2,0)/2)))</f>
        <v/>
      </c>
      <c r="AY903">
        <f>IF(OR(AY$4="",$A903&gt;TODAY()),0,IF(OR(INDEX($B903:$D903,AY$5)="F",AND(AY$6&gt;0,$A903&lt;AY$6),AND(AY$7&gt;0,$A903&gt;AY$7)),0,MAX(0,ROUND((INDEX($E903:$G903,AY$5)-SUMIFS(TF_Timer,TF_Tekniker,AY$4,TF_Dato,$A903))*2,0)/2)))</f>
        <v/>
      </c>
      <c r="AZ903">
        <f>IF(OR(AZ$4="",$A903&gt;TODAY()),0,IF(OR(INDEX($B903:$D903,AZ$5)="F",AND(AZ$6&gt;0,$A903&lt;AZ$6),AND(AZ$7&gt;0,$A903&gt;AZ$7)),0,MAX(0,ROUND((INDEX($E903:$G903,AZ$5)-SUMIFS(TF_Timer,TF_Tekniker,AZ$4,TF_Dato,$A903))*2,0)/2)))</f>
        <v/>
      </c>
      <c r="BA903">
        <f>IF(OR(BA$4="",$A903&gt;TODAY()),0,IF(OR(INDEX($B903:$D903,BA$5)="F",AND(BA$6&gt;0,$A903&lt;BA$6),AND(BA$7&gt;0,$A903&gt;BA$7)),0,MAX(0,ROUND((INDEX($E903:$G903,BA$5)-SUMIFS(TF_Timer,TF_Tekniker,BA$4,TF_Dato,$A903))*2,0)/2)))</f>
        <v/>
      </c>
      <c r="BB903">
        <f>IF(OR(BB$4="",$A903&gt;TODAY()),0,IF(OR(INDEX($B903:$D903,BB$5)="F",AND(BB$6&gt;0,$A903&lt;BB$6),AND(BB$7&gt;0,$A903&gt;BB$7)),0,MAX(0,ROUND((INDEX($E903:$G903,BB$5)-SUMIFS(TF_Timer,TF_Tekniker,BB$4,TF_Dato,$A903))*2,0)/2)))</f>
        <v/>
      </c>
      <c r="BC903">
        <f>IF(OR(BC$4="",$A903&gt;TODAY()),0,IF(OR(INDEX($B903:$D903,BC$5)="F",AND(BC$6&gt;0,$A903&lt;BC$6),AND(BC$7&gt;0,$A903&gt;BC$7)),0,MAX(0,ROUND((INDEX($E903:$G903,BC$5)-SUMIFS(TF_Timer,TF_Tekniker,BC$4,TF_Dato,$A903))*2,0)/2)))</f>
        <v/>
      </c>
      <c r="BD903">
        <f>IF(OR(BD$4="",$A903&gt;TODAY()),0,IF(OR(INDEX($B903:$D903,BD$5)="F",AND(BD$6&gt;0,$A903&lt;BD$6),AND(BD$7&gt;0,$A903&gt;BD$7)),0,MAX(0,ROUND((INDEX($E903:$G903,BD$5)-SUMIFS(TF_Timer,TF_Tekniker,BD$4,TF_Dato,$A903))*2,0)/2)))</f>
        <v/>
      </c>
      <c r="BE903">
        <f>IF(OR(BE$4="",$A903&gt;TODAY()),0,IF(OR(INDEX($B903:$D903,BE$5)="F",AND(BE$6&gt;0,$A903&lt;BE$6),AND(BE$7&gt;0,$A903&gt;BE$7)),0,MAX(0,ROUND((INDEX($E903:$G903,BE$5)-SUMIFS(TF_Timer,TF_Tekniker,BE$4,TF_Dato,$A903))*2,0)/2)))</f>
        <v/>
      </c>
      <c r="BF903">
        <f>IF(OR(BF$4="",$A903&gt;TODAY()),0,IF(OR(INDEX($B903:$D903,BF$5)="F",AND(BF$6&gt;0,$A903&lt;BF$6),AND(BF$7&gt;0,$A903&gt;BF$7)),0,MAX(0,ROUND((INDEX($E903:$G903,BF$5)-SUMIFS(TF_Timer,TF_Tekniker,BF$4,TF_Dato,$A903))*2,0)/2)))</f>
        <v/>
      </c>
      <c r="BG903">
        <f>IF(OR(BG$4="",$A903&gt;TODAY()),0,IF(OR(INDEX($B903:$D903,BG$5)="F",AND(BG$6&gt;0,$A903&lt;BG$6),AND(BG$7&gt;0,$A903&gt;BG$7)),0,MAX(0,ROUND((INDEX($E903:$G903,BG$5)-SUMIFS(TF_Timer,TF_Tekniker,BG$4,TF_Dato,$A903))*2,0)/2)))</f>
        <v/>
      </c>
      <c r="BH903">
        <f>IF(OR(BH$4="",$A903&gt;TODAY()),0,IF(OR(INDEX($B903:$D903,BH$5)="F",AND(BH$6&gt;0,$A903&lt;BH$6),AND(BH$7&gt;0,$A903&gt;BH$7)),0,MAX(0,ROUND((INDEX($E903:$G903,BH$5)-SUMIFS(TF_Timer,TF_Tekniker,BH$4,TF_Dato,$A903))*2,0)/2)))</f>
        <v/>
      </c>
      <c r="BI903">
        <f>IF(OR(BI$4="",$A903&gt;TODAY()),0,IF(OR(INDEX($B903:$D903,BI$5)="F",AND(BI$6&gt;0,$A903&lt;BI$6),AND(BI$7&gt;0,$A903&gt;BI$7)),0,MAX(0,ROUND((INDEX($E903:$G903,BI$5)-SUMIFS(TF_Timer,TF_Tekniker,BI$4,TF_Dato,$A903))*2,0)/2)))</f>
        <v/>
      </c>
    </row>
    <row r="904">
      <c r="A904" s="64">
        <f>A903+1</f>
        <v/>
      </c>
      <c r="B904">
        <f>IF(MOD($A904-INDEX(SkiftStart,1),Syklus)&lt;DagK,"K",IF(MOD($A904-INDEX(SkiftStart,1),Syklus)&lt;DagK+DagH,"H",IF(MOD($A904-INDEX(SkiftStart,1),Syklus)&lt;DagK+DagH+DagD,"D","F")))</f>
        <v/>
      </c>
      <c r="C904">
        <f>IF(MOD($A904-INDEX(SkiftStart,2),Syklus)&lt;DagK,"K",IF(MOD($A904-INDEX(SkiftStart,2),Syklus)&lt;DagK+DagH,"H",IF(MOD($A904-INDEX(SkiftStart,2),Syklus)&lt;DagK+DagH+DagD,"D","F")))</f>
        <v/>
      </c>
      <c r="D904">
        <f>IF(MOD($A904-INDEX(SkiftStart,3),Syklus)&lt;DagK,"K",IF(MOD($A904-INDEX(SkiftStart,3),Syklus)&lt;DagK+DagH,"H",IF(MOD($A904-INDEX(SkiftStart,3),Syklus)&lt;DagK+DagH+DagD,"D","F")))</f>
        <v/>
      </c>
      <c r="E904">
        <f>IF(B904="F",0,IF(WEEKDAY($A904,2)=5,INDEX(TimerFr,MATCH(B904,FaseKode,0)),INDEX(TimerMT,MATCH(B904,FaseKode,0))))</f>
        <v/>
      </c>
      <c r="F904">
        <f>IF(C904="F",0,IF(WEEKDAY($A904,2)=5,INDEX(TimerFr,MATCH(C904,FaseKode,0)),INDEX(TimerMT,MATCH(C904,FaseKode,0))))</f>
        <v/>
      </c>
      <c r="G904">
        <f>IF(D904="F",0,IF(WEEKDAY($A904,2)=5,INDEX(TimerFr,MATCH(D904,FaseKode,0)),INDEX(TimerMT,MATCH(D904,FaseKode,0))))</f>
        <v/>
      </c>
      <c r="H904">
        <f>IF(OR(H$4="",$A904&gt;TODAY()),0,IF(OR(INDEX($B904:$D904,H$5)="F",AND(H$6&gt;0,$A904&lt;H$6),AND(H$7&gt;0,$A904&gt;H$7)),0,MAX(0,ROUND((INDEX($E904:$G904,H$5)-SUMIFS(TF_Timer,TF_Tekniker,H$4,TF_Dato,$A904))*2,0)/2)))</f>
        <v/>
      </c>
      <c r="I904">
        <f>IF(OR(I$4="",$A904&gt;TODAY()),0,IF(OR(INDEX($B904:$D904,I$5)="F",AND(I$6&gt;0,$A904&lt;I$6),AND(I$7&gt;0,$A904&gt;I$7)),0,MAX(0,ROUND((INDEX($E904:$G904,I$5)-SUMIFS(TF_Timer,TF_Tekniker,I$4,TF_Dato,$A904))*2,0)/2)))</f>
        <v/>
      </c>
      <c r="J904">
        <f>IF(OR(J$4="",$A904&gt;TODAY()),0,IF(OR(INDEX($B904:$D904,J$5)="F",AND(J$6&gt;0,$A904&lt;J$6),AND(J$7&gt;0,$A904&gt;J$7)),0,MAX(0,ROUND((INDEX($E904:$G904,J$5)-SUMIFS(TF_Timer,TF_Tekniker,J$4,TF_Dato,$A904))*2,0)/2)))</f>
        <v/>
      </c>
      <c r="K904">
        <f>IF(OR(K$4="",$A904&gt;TODAY()),0,IF(OR(INDEX($B904:$D904,K$5)="F",AND(K$6&gt;0,$A904&lt;K$6),AND(K$7&gt;0,$A904&gt;K$7)),0,MAX(0,ROUND((INDEX($E904:$G904,K$5)-SUMIFS(TF_Timer,TF_Tekniker,K$4,TF_Dato,$A904))*2,0)/2)))</f>
        <v/>
      </c>
      <c r="L904">
        <f>IF(OR(L$4="",$A904&gt;TODAY()),0,IF(OR(INDEX($B904:$D904,L$5)="F",AND(L$6&gt;0,$A904&lt;L$6),AND(L$7&gt;0,$A904&gt;L$7)),0,MAX(0,ROUND((INDEX($E904:$G904,L$5)-SUMIFS(TF_Timer,TF_Tekniker,L$4,TF_Dato,$A904))*2,0)/2)))</f>
        <v/>
      </c>
      <c r="M904">
        <f>IF(OR(M$4="",$A904&gt;TODAY()),0,IF(OR(INDEX($B904:$D904,M$5)="F",AND(M$6&gt;0,$A904&lt;M$6),AND(M$7&gt;0,$A904&gt;M$7)),0,MAX(0,ROUND((INDEX($E904:$G904,M$5)-SUMIFS(TF_Timer,TF_Tekniker,M$4,TF_Dato,$A904))*2,0)/2)))</f>
        <v/>
      </c>
      <c r="N904">
        <f>IF(OR(N$4="",$A904&gt;TODAY()),0,IF(OR(INDEX($B904:$D904,N$5)="F",AND(N$6&gt;0,$A904&lt;N$6),AND(N$7&gt;0,$A904&gt;N$7)),0,MAX(0,ROUND((INDEX($E904:$G904,N$5)-SUMIFS(TF_Timer,TF_Tekniker,N$4,TF_Dato,$A904))*2,0)/2)))</f>
        <v/>
      </c>
      <c r="O904">
        <f>IF(OR(O$4="",$A904&gt;TODAY()),0,IF(OR(INDEX($B904:$D904,O$5)="F",AND(O$6&gt;0,$A904&lt;O$6),AND(O$7&gt;0,$A904&gt;O$7)),0,MAX(0,ROUND((INDEX($E904:$G904,O$5)-SUMIFS(TF_Timer,TF_Tekniker,O$4,TF_Dato,$A904))*2,0)/2)))</f>
        <v/>
      </c>
      <c r="P904">
        <f>IF(OR(P$4="",$A904&gt;TODAY()),0,IF(OR(INDEX($B904:$D904,P$5)="F",AND(P$6&gt;0,$A904&lt;P$6),AND(P$7&gt;0,$A904&gt;P$7)),0,MAX(0,ROUND((INDEX($E904:$G904,P$5)-SUMIFS(TF_Timer,TF_Tekniker,P$4,TF_Dato,$A904))*2,0)/2)))</f>
        <v/>
      </c>
      <c r="Q904">
        <f>IF(OR(Q$4="",$A904&gt;TODAY()),0,IF(OR(INDEX($B904:$D904,Q$5)="F",AND(Q$6&gt;0,$A904&lt;Q$6),AND(Q$7&gt;0,$A904&gt;Q$7)),0,MAX(0,ROUND((INDEX($E904:$G904,Q$5)-SUMIFS(TF_Timer,TF_Tekniker,Q$4,TF_Dato,$A904))*2,0)/2)))</f>
        <v/>
      </c>
      <c r="R904">
        <f>IF(OR(R$4="",$A904&gt;TODAY()),0,IF(OR(INDEX($B904:$D904,R$5)="F",AND(R$6&gt;0,$A904&lt;R$6),AND(R$7&gt;0,$A904&gt;R$7)),0,MAX(0,ROUND((INDEX($E904:$G904,R$5)-SUMIFS(TF_Timer,TF_Tekniker,R$4,TF_Dato,$A904))*2,0)/2)))</f>
        <v/>
      </c>
      <c r="S904">
        <f>IF(OR(S$4="",$A904&gt;TODAY()),0,IF(OR(INDEX($B904:$D904,S$5)="F",AND(S$6&gt;0,$A904&lt;S$6),AND(S$7&gt;0,$A904&gt;S$7)),0,MAX(0,ROUND((INDEX($E904:$G904,S$5)-SUMIFS(TF_Timer,TF_Tekniker,S$4,TF_Dato,$A904))*2,0)/2)))</f>
        <v/>
      </c>
      <c r="T904">
        <f>IF(OR(T$4="",$A904&gt;TODAY()),0,IF(OR(INDEX($B904:$D904,T$5)="F",AND(T$6&gt;0,$A904&lt;T$6),AND(T$7&gt;0,$A904&gt;T$7)),0,MAX(0,ROUND((INDEX($E904:$G904,T$5)-SUMIFS(TF_Timer,TF_Tekniker,T$4,TF_Dato,$A904))*2,0)/2)))</f>
        <v/>
      </c>
      <c r="U904">
        <f>IF(OR(U$4="",$A904&gt;TODAY()),0,IF(OR(INDEX($B904:$D904,U$5)="F",AND(U$6&gt;0,$A904&lt;U$6),AND(U$7&gt;0,$A904&gt;U$7)),0,MAX(0,ROUND((INDEX($E904:$G904,U$5)-SUMIFS(TF_Timer,TF_Tekniker,U$4,TF_Dato,$A904))*2,0)/2)))</f>
        <v/>
      </c>
      <c r="V904">
        <f>IF(OR(V$4="",$A904&gt;TODAY()),0,IF(OR(INDEX($B904:$D904,V$5)="F",AND(V$6&gt;0,$A904&lt;V$6),AND(V$7&gt;0,$A904&gt;V$7)),0,MAX(0,ROUND((INDEX($E904:$G904,V$5)-SUMIFS(TF_Timer,TF_Tekniker,V$4,TF_Dato,$A904))*2,0)/2)))</f>
        <v/>
      </c>
      <c r="W904">
        <f>IF(OR(W$4="",$A904&gt;TODAY()),0,IF(OR(INDEX($B904:$D904,W$5)="F",AND(W$6&gt;0,$A904&lt;W$6),AND(W$7&gt;0,$A904&gt;W$7)),0,MAX(0,ROUND((INDEX($E904:$G904,W$5)-SUMIFS(TF_Timer,TF_Tekniker,W$4,TF_Dato,$A904))*2,0)/2)))</f>
        <v/>
      </c>
      <c r="X904">
        <f>IF(OR(X$4="",$A904&gt;TODAY()),0,IF(OR(INDEX($B904:$D904,X$5)="F",AND(X$6&gt;0,$A904&lt;X$6),AND(X$7&gt;0,$A904&gt;X$7)),0,MAX(0,ROUND((INDEX($E904:$G904,X$5)-SUMIFS(TF_Timer,TF_Tekniker,X$4,TF_Dato,$A904))*2,0)/2)))</f>
        <v/>
      </c>
      <c r="Y904">
        <f>IF(OR(Y$4="",$A904&gt;TODAY()),0,IF(OR(INDEX($B904:$D904,Y$5)="F",AND(Y$6&gt;0,$A904&lt;Y$6),AND(Y$7&gt;0,$A904&gt;Y$7)),0,MAX(0,ROUND((INDEX($E904:$G904,Y$5)-SUMIFS(TF_Timer,TF_Tekniker,Y$4,TF_Dato,$A904))*2,0)/2)))</f>
        <v/>
      </c>
      <c r="Z904">
        <f>IF(OR(Z$4="",$A904&gt;TODAY()),0,IF(OR(INDEX($B904:$D904,Z$5)="F",AND(Z$6&gt;0,$A904&lt;Z$6),AND(Z$7&gt;0,$A904&gt;Z$7)),0,MAX(0,ROUND((INDEX($E904:$G904,Z$5)-SUMIFS(TF_Timer,TF_Tekniker,Z$4,TF_Dato,$A904))*2,0)/2)))</f>
        <v/>
      </c>
      <c r="AA904">
        <f>IF(OR(AA$4="",$A904&gt;TODAY()),0,IF(OR(INDEX($B904:$D904,AA$5)="F",AND(AA$6&gt;0,$A904&lt;AA$6),AND(AA$7&gt;0,$A904&gt;AA$7)),0,MAX(0,ROUND((INDEX($E904:$G904,AA$5)-SUMIFS(TF_Timer,TF_Tekniker,AA$4,TF_Dato,$A904))*2,0)/2)))</f>
        <v/>
      </c>
      <c r="AB904">
        <f>IF(OR(AB$4="",$A904&gt;TODAY()),0,IF(OR(INDEX($B904:$D904,AB$5)="F",AND(AB$6&gt;0,$A904&lt;AB$6),AND(AB$7&gt;0,$A904&gt;AB$7)),0,MAX(0,ROUND((INDEX($E904:$G904,AB$5)-SUMIFS(TF_Timer,TF_Tekniker,AB$4,TF_Dato,$A904))*2,0)/2)))</f>
        <v/>
      </c>
      <c r="AC904">
        <f>IF(OR(AC$4="",$A904&gt;TODAY()),0,IF(OR(INDEX($B904:$D904,AC$5)="F",AND(AC$6&gt;0,$A904&lt;AC$6),AND(AC$7&gt;0,$A904&gt;AC$7)),0,MAX(0,ROUND((INDEX($E904:$G904,AC$5)-SUMIFS(TF_Timer,TF_Tekniker,AC$4,TF_Dato,$A904))*2,0)/2)))</f>
        <v/>
      </c>
      <c r="AD904">
        <f>IF(OR(AD$4="",$A904&gt;TODAY()),0,IF(OR(INDEX($B904:$D904,AD$5)="F",AND(AD$6&gt;0,$A904&lt;AD$6),AND(AD$7&gt;0,$A904&gt;AD$7)),0,MAX(0,ROUND((INDEX($E904:$G904,AD$5)-SUMIFS(TF_Timer,TF_Tekniker,AD$4,TF_Dato,$A904))*2,0)/2)))</f>
        <v/>
      </c>
      <c r="AE904">
        <f>IF(OR(AE$4="",$A904&gt;TODAY()),0,IF(OR(INDEX($B904:$D904,AE$5)="F",AND(AE$6&gt;0,$A904&lt;AE$6),AND(AE$7&gt;0,$A904&gt;AE$7)),0,MAX(0,ROUND((INDEX($E904:$G904,AE$5)-SUMIFS(TF_Timer,TF_Tekniker,AE$4,TF_Dato,$A904))*2,0)/2)))</f>
        <v/>
      </c>
      <c r="AF904">
        <f>IF(OR(AF$4="",$A904&gt;TODAY()),0,IF(OR(INDEX($B904:$D904,AF$5)="F",AND(AF$6&gt;0,$A904&lt;AF$6),AND(AF$7&gt;0,$A904&gt;AF$7)),0,MAX(0,ROUND((INDEX($E904:$G904,AF$5)-SUMIFS(TF_Timer,TF_Tekniker,AF$4,TF_Dato,$A904))*2,0)/2)))</f>
        <v/>
      </c>
      <c r="AG904">
        <f>IF(OR(AG$4="",$A904&gt;TODAY()),0,IF(OR(INDEX($B904:$D904,AG$5)="F",AND(AG$6&gt;0,$A904&lt;AG$6),AND(AG$7&gt;0,$A904&gt;AG$7)),0,MAX(0,ROUND((INDEX($E904:$G904,AG$5)-SUMIFS(TF_Timer,TF_Tekniker,AG$4,TF_Dato,$A904))*2,0)/2)))</f>
        <v/>
      </c>
      <c r="AH904">
        <f>IF(OR(AH$4="",$A904&gt;TODAY()),0,IF(OR(INDEX($B904:$D904,AH$5)="F",AND(AH$6&gt;0,$A904&lt;AH$6),AND(AH$7&gt;0,$A904&gt;AH$7)),0,MAX(0,ROUND((INDEX($E904:$G904,AH$5)-SUMIFS(TF_Timer,TF_Tekniker,AH$4,TF_Dato,$A904))*2,0)/2)))</f>
        <v/>
      </c>
      <c r="AI904">
        <f>IF(OR(AI$4="",$A904&gt;TODAY()),0,IF(OR(INDEX($B904:$D904,AI$5)="F",AND(AI$6&gt;0,$A904&lt;AI$6),AND(AI$7&gt;0,$A904&gt;AI$7)),0,MAX(0,ROUND((INDEX($E904:$G904,AI$5)-SUMIFS(TF_Timer,TF_Tekniker,AI$4,TF_Dato,$A904))*2,0)/2)))</f>
        <v/>
      </c>
      <c r="AJ904">
        <f>IF(OR(AJ$4="",$A904&gt;TODAY()),0,IF(OR(INDEX($B904:$D904,AJ$5)="F",AND(AJ$6&gt;0,$A904&lt;AJ$6),AND(AJ$7&gt;0,$A904&gt;AJ$7)),0,MAX(0,ROUND((INDEX($E904:$G904,AJ$5)-SUMIFS(TF_Timer,TF_Tekniker,AJ$4,TF_Dato,$A904))*2,0)/2)))</f>
        <v/>
      </c>
      <c r="AK904">
        <f>IF(OR(AK$4="",$A904&gt;TODAY()),0,IF(OR(INDEX($B904:$D904,AK$5)="F",AND(AK$6&gt;0,$A904&lt;AK$6),AND(AK$7&gt;0,$A904&gt;AK$7)),0,MAX(0,ROUND((INDEX($E904:$G904,AK$5)-SUMIFS(TF_Timer,TF_Tekniker,AK$4,TF_Dato,$A904))*2,0)/2)))</f>
        <v/>
      </c>
      <c r="AL904">
        <f>IF(OR(AL$4="",$A904&gt;TODAY()),0,IF(OR(INDEX($B904:$D904,AL$5)="F",AND(AL$6&gt;0,$A904&lt;AL$6),AND(AL$7&gt;0,$A904&gt;AL$7)),0,MAX(0,ROUND((INDEX($E904:$G904,AL$5)-SUMIFS(TF_Timer,TF_Tekniker,AL$4,TF_Dato,$A904))*2,0)/2)))</f>
        <v/>
      </c>
      <c r="AM904">
        <f>IF(OR(AM$4="",$A904&gt;TODAY()),0,IF(OR(INDEX($B904:$D904,AM$5)="F",AND(AM$6&gt;0,$A904&lt;AM$6),AND(AM$7&gt;0,$A904&gt;AM$7)),0,MAX(0,ROUND((INDEX($E904:$G904,AM$5)-SUMIFS(TF_Timer,TF_Tekniker,AM$4,TF_Dato,$A904))*2,0)/2)))</f>
        <v/>
      </c>
      <c r="AN904">
        <f>IF(OR(AN$4="",$A904&gt;TODAY()),0,IF(OR(INDEX($B904:$D904,AN$5)="F",AND(AN$6&gt;0,$A904&lt;AN$6),AND(AN$7&gt;0,$A904&gt;AN$7)),0,MAX(0,ROUND((INDEX($E904:$G904,AN$5)-SUMIFS(TF_Timer,TF_Tekniker,AN$4,TF_Dato,$A904))*2,0)/2)))</f>
        <v/>
      </c>
      <c r="AO904">
        <f>IF(OR(AO$4="",$A904&gt;TODAY()),0,IF(OR(INDEX($B904:$D904,AO$5)="F",AND(AO$6&gt;0,$A904&lt;AO$6),AND(AO$7&gt;0,$A904&gt;AO$7)),0,MAX(0,ROUND((INDEX($E904:$G904,AO$5)-SUMIFS(TF_Timer,TF_Tekniker,AO$4,TF_Dato,$A904))*2,0)/2)))</f>
        <v/>
      </c>
      <c r="AP904">
        <f>IF(OR(AP$4="",$A904&gt;TODAY()),0,IF(OR(INDEX($B904:$D904,AP$5)="F",AND(AP$6&gt;0,$A904&lt;AP$6),AND(AP$7&gt;0,$A904&gt;AP$7)),0,MAX(0,ROUND((INDEX($E904:$G904,AP$5)-SUMIFS(TF_Timer,TF_Tekniker,AP$4,TF_Dato,$A904))*2,0)/2)))</f>
        <v/>
      </c>
      <c r="AQ904">
        <f>IF(OR(AQ$4="",$A904&gt;TODAY()),0,IF(OR(INDEX($B904:$D904,AQ$5)="F",AND(AQ$6&gt;0,$A904&lt;AQ$6),AND(AQ$7&gt;0,$A904&gt;AQ$7)),0,MAX(0,ROUND((INDEX($E904:$G904,AQ$5)-SUMIFS(TF_Timer,TF_Tekniker,AQ$4,TF_Dato,$A904))*2,0)/2)))</f>
        <v/>
      </c>
      <c r="AR904">
        <f>IF(OR(AR$4="",$A904&gt;TODAY()),0,IF(OR(INDEX($B904:$D904,AR$5)="F",AND(AR$6&gt;0,$A904&lt;AR$6),AND(AR$7&gt;0,$A904&gt;AR$7)),0,MAX(0,ROUND((INDEX($E904:$G904,AR$5)-SUMIFS(TF_Timer,TF_Tekniker,AR$4,TF_Dato,$A904))*2,0)/2)))</f>
        <v/>
      </c>
      <c r="AS904">
        <f>IF(OR(AS$4="",$A904&gt;TODAY()),0,IF(OR(INDEX($B904:$D904,AS$5)="F",AND(AS$6&gt;0,$A904&lt;AS$6),AND(AS$7&gt;0,$A904&gt;AS$7)),0,MAX(0,ROUND((INDEX($E904:$G904,AS$5)-SUMIFS(TF_Timer,TF_Tekniker,AS$4,TF_Dato,$A904))*2,0)/2)))</f>
        <v/>
      </c>
      <c r="AT904">
        <f>IF(OR(AT$4="",$A904&gt;TODAY()),0,IF(OR(INDEX($B904:$D904,AT$5)="F",AND(AT$6&gt;0,$A904&lt;AT$6),AND(AT$7&gt;0,$A904&gt;AT$7)),0,MAX(0,ROUND((INDEX($E904:$G904,AT$5)-SUMIFS(TF_Timer,TF_Tekniker,AT$4,TF_Dato,$A904))*2,0)/2)))</f>
        <v/>
      </c>
      <c r="AU904">
        <f>IF(OR(AU$4="",$A904&gt;TODAY()),0,IF(OR(INDEX($B904:$D904,AU$5)="F",AND(AU$6&gt;0,$A904&lt;AU$6),AND(AU$7&gt;0,$A904&gt;AU$7)),0,MAX(0,ROUND((INDEX($E904:$G904,AU$5)-SUMIFS(TF_Timer,TF_Tekniker,AU$4,TF_Dato,$A904))*2,0)/2)))</f>
        <v/>
      </c>
      <c r="AV904">
        <f>IF(OR(AV$4="",$A904&gt;TODAY()),0,IF(OR(INDEX($B904:$D904,AV$5)="F",AND(AV$6&gt;0,$A904&lt;AV$6),AND(AV$7&gt;0,$A904&gt;AV$7)),0,MAX(0,ROUND((INDEX($E904:$G904,AV$5)-SUMIFS(TF_Timer,TF_Tekniker,AV$4,TF_Dato,$A904))*2,0)/2)))</f>
        <v/>
      </c>
      <c r="AW904">
        <f>IF(OR(AW$4="",$A904&gt;TODAY()),0,IF(OR(INDEX($B904:$D904,AW$5)="F",AND(AW$6&gt;0,$A904&lt;AW$6),AND(AW$7&gt;0,$A904&gt;AW$7)),0,MAX(0,ROUND((INDEX($E904:$G904,AW$5)-SUMIFS(TF_Timer,TF_Tekniker,AW$4,TF_Dato,$A904))*2,0)/2)))</f>
        <v/>
      </c>
      <c r="AX904">
        <f>IF(OR(AX$4="",$A904&gt;TODAY()),0,IF(OR(INDEX($B904:$D904,AX$5)="F",AND(AX$6&gt;0,$A904&lt;AX$6),AND(AX$7&gt;0,$A904&gt;AX$7)),0,MAX(0,ROUND((INDEX($E904:$G904,AX$5)-SUMIFS(TF_Timer,TF_Tekniker,AX$4,TF_Dato,$A904))*2,0)/2)))</f>
        <v/>
      </c>
      <c r="AY904">
        <f>IF(OR(AY$4="",$A904&gt;TODAY()),0,IF(OR(INDEX($B904:$D904,AY$5)="F",AND(AY$6&gt;0,$A904&lt;AY$6),AND(AY$7&gt;0,$A904&gt;AY$7)),0,MAX(0,ROUND((INDEX($E904:$G904,AY$5)-SUMIFS(TF_Timer,TF_Tekniker,AY$4,TF_Dato,$A904))*2,0)/2)))</f>
        <v/>
      </c>
      <c r="AZ904">
        <f>IF(OR(AZ$4="",$A904&gt;TODAY()),0,IF(OR(INDEX($B904:$D904,AZ$5)="F",AND(AZ$6&gt;0,$A904&lt;AZ$6),AND(AZ$7&gt;0,$A904&gt;AZ$7)),0,MAX(0,ROUND((INDEX($E904:$G904,AZ$5)-SUMIFS(TF_Timer,TF_Tekniker,AZ$4,TF_Dato,$A904))*2,0)/2)))</f>
        <v/>
      </c>
      <c r="BA904">
        <f>IF(OR(BA$4="",$A904&gt;TODAY()),0,IF(OR(INDEX($B904:$D904,BA$5)="F",AND(BA$6&gt;0,$A904&lt;BA$6),AND(BA$7&gt;0,$A904&gt;BA$7)),0,MAX(0,ROUND((INDEX($E904:$G904,BA$5)-SUMIFS(TF_Timer,TF_Tekniker,BA$4,TF_Dato,$A904))*2,0)/2)))</f>
        <v/>
      </c>
      <c r="BB904">
        <f>IF(OR(BB$4="",$A904&gt;TODAY()),0,IF(OR(INDEX($B904:$D904,BB$5)="F",AND(BB$6&gt;0,$A904&lt;BB$6),AND(BB$7&gt;0,$A904&gt;BB$7)),0,MAX(0,ROUND((INDEX($E904:$G904,BB$5)-SUMIFS(TF_Timer,TF_Tekniker,BB$4,TF_Dato,$A904))*2,0)/2)))</f>
        <v/>
      </c>
      <c r="BC904">
        <f>IF(OR(BC$4="",$A904&gt;TODAY()),0,IF(OR(INDEX($B904:$D904,BC$5)="F",AND(BC$6&gt;0,$A904&lt;BC$6),AND(BC$7&gt;0,$A904&gt;BC$7)),0,MAX(0,ROUND((INDEX($E904:$G904,BC$5)-SUMIFS(TF_Timer,TF_Tekniker,BC$4,TF_Dato,$A904))*2,0)/2)))</f>
        <v/>
      </c>
      <c r="BD904">
        <f>IF(OR(BD$4="",$A904&gt;TODAY()),0,IF(OR(INDEX($B904:$D904,BD$5)="F",AND(BD$6&gt;0,$A904&lt;BD$6),AND(BD$7&gt;0,$A904&gt;BD$7)),0,MAX(0,ROUND((INDEX($E904:$G904,BD$5)-SUMIFS(TF_Timer,TF_Tekniker,BD$4,TF_Dato,$A904))*2,0)/2)))</f>
        <v/>
      </c>
      <c r="BE904">
        <f>IF(OR(BE$4="",$A904&gt;TODAY()),0,IF(OR(INDEX($B904:$D904,BE$5)="F",AND(BE$6&gt;0,$A904&lt;BE$6),AND(BE$7&gt;0,$A904&gt;BE$7)),0,MAX(0,ROUND((INDEX($E904:$G904,BE$5)-SUMIFS(TF_Timer,TF_Tekniker,BE$4,TF_Dato,$A904))*2,0)/2)))</f>
        <v/>
      </c>
      <c r="BF904">
        <f>IF(OR(BF$4="",$A904&gt;TODAY()),0,IF(OR(INDEX($B904:$D904,BF$5)="F",AND(BF$6&gt;0,$A904&lt;BF$6),AND(BF$7&gt;0,$A904&gt;BF$7)),0,MAX(0,ROUND((INDEX($E904:$G904,BF$5)-SUMIFS(TF_Timer,TF_Tekniker,BF$4,TF_Dato,$A904))*2,0)/2)))</f>
        <v/>
      </c>
      <c r="BG904">
        <f>IF(OR(BG$4="",$A904&gt;TODAY()),0,IF(OR(INDEX($B904:$D904,BG$5)="F",AND(BG$6&gt;0,$A904&lt;BG$6),AND(BG$7&gt;0,$A904&gt;BG$7)),0,MAX(0,ROUND((INDEX($E904:$G904,BG$5)-SUMIFS(TF_Timer,TF_Tekniker,BG$4,TF_Dato,$A904))*2,0)/2)))</f>
        <v/>
      </c>
      <c r="BH904">
        <f>IF(OR(BH$4="",$A904&gt;TODAY()),0,IF(OR(INDEX($B904:$D904,BH$5)="F",AND(BH$6&gt;0,$A904&lt;BH$6),AND(BH$7&gt;0,$A904&gt;BH$7)),0,MAX(0,ROUND((INDEX($E904:$G904,BH$5)-SUMIFS(TF_Timer,TF_Tekniker,BH$4,TF_Dato,$A904))*2,0)/2)))</f>
        <v/>
      </c>
      <c r="BI904">
        <f>IF(OR(BI$4="",$A904&gt;TODAY()),0,IF(OR(INDEX($B904:$D904,BI$5)="F",AND(BI$6&gt;0,$A904&lt;BI$6),AND(BI$7&gt;0,$A904&gt;BI$7)),0,MAX(0,ROUND((INDEX($E904:$G904,BI$5)-SUMIFS(TF_Timer,TF_Tekniker,BI$4,TF_Dato,$A904))*2,0)/2)))</f>
        <v/>
      </c>
    </row>
    <row r="905">
      <c r="A905" s="64">
        <f>A904+1</f>
        <v/>
      </c>
      <c r="B905">
        <f>IF(MOD($A905-INDEX(SkiftStart,1),Syklus)&lt;DagK,"K",IF(MOD($A905-INDEX(SkiftStart,1),Syklus)&lt;DagK+DagH,"H",IF(MOD($A905-INDEX(SkiftStart,1),Syklus)&lt;DagK+DagH+DagD,"D","F")))</f>
        <v/>
      </c>
      <c r="C905">
        <f>IF(MOD($A905-INDEX(SkiftStart,2),Syklus)&lt;DagK,"K",IF(MOD($A905-INDEX(SkiftStart,2),Syklus)&lt;DagK+DagH,"H",IF(MOD($A905-INDEX(SkiftStart,2),Syklus)&lt;DagK+DagH+DagD,"D","F")))</f>
        <v/>
      </c>
      <c r="D905">
        <f>IF(MOD($A905-INDEX(SkiftStart,3),Syklus)&lt;DagK,"K",IF(MOD($A905-INDEX(SkiftStart,3),Syklus)&lt;DagK+DagH,"H",IF(MOD($A905-INDEX(SkiftStart,3),Syklus)&lt;DagK+DagH+DagD,"D","F")))</f>
        <v/>
      </c>
      <c r="E905">
        <f>IF(B905="F",0,IF(WEEKDAY($A905,2)=5,INDEX(TimerFr,MATCH(B905,FaseKode,0)),INDEX(TimerMT,MATCH(B905,FaseKode,0))))</f>
        <v/>
      </c>
      <c r="F905">
        <f>IF(C905="F",0,IF(WEEKDAY($A905,2)=5,INDEX(TimerFr,MATCH(C905,FaseKode,0)),INDEX(TimerMT,MATCH(C905,FaseKode,0))))</f>
        <v/>
      </c>
      <c r="G905">
        <f>IF(D905="F",0,IF(WEEKDAY($A905,2)=5,INDEX(TimerFr,MATCH(D905,FaseKode,0)),INDEX(TimerMT,MATCH(D905,FaseKode,0))))</f>
        <v/>
      </c>
      <c r="H905">
        <f>IF(OR(H$4="",$A905&gt;TODAY()),0,IF(OR(INDEX($B905:$D905,H$5)="F",AND(H$6&gt;0,$A905&lt;H$6),AND(H$7&gt;0,$A905&gt;H$7)),0,MAX(0,ROUND((INDEX($E905:$G905,H$5)-SUMIFS(TF_Timer,TF_Tekniker,H$4,TF_Dato,$A905))*2,0)/2)))</f>
        <v/>
      </c>
      <c r="I905">
        <f>IF(OR(I$4="",$A905&gt;TODAY()),0,IF(OR(INDEX($B905:$D905,I$5)="F",AND(I$6&gt;0,$A905&lt;I$6),AND(I$7&gt;0,$A905&gt;I$7)),0,MAX(0,ROUND((INDEX($E905:$G905,I$5)-SUMIFS(TF_Timer,TF_Tekniker,I$4,TF_Dato,$A905))*2,0)/2)))</f>
        <v/>
      </c>
      <c r="J905">
        <f>IF(OR(J$4="",$A905&gt;TODAY()),0,IF(OR(INDEX($B905:$D905,J$5)="F",AND(J$6&gt;0,$A905&lt;J$6),AND(J$7&gt;0,$A905&gt;J$7)),0,MAX(0,ROUND((INDEX($E905:$G905,J$5)-SUMIFS(TF_Timer,TF_Tekniker,J$4,TF_Dato,$A905))*2,0)/2)))</f>
        <v/>
      </c>
      <c r="K905">
        <f>IF(OR(K$4="",$A905&gt;TODAY()),0,IF(OR(INDEX($B905:$D905,K$5)="F",AND(K$6&gt;0,$A905&lt;K$6),AND(K$7&gt;0,$A905&gt;K$7)),0,MAX(0,ROUND((INDEX($E905:$G905,K$5)-SUMIFS(TF_Timer,TF_Tekniker,K$4,TF_Dato,$A905))*2,0)/2)))</f>
        <v/>
      </c>
      <c r="L905">
        <f>IF(OR(L$4="",$A905&gt;TODAY()),0,IF(OR(INDEX($B905:$D905,L$5)="F",AND(L$6&gt;0,$A905&lt;L$6),AND(L$7&gt;0,$A905&gt;L$7)),0,MAX(0,ROUND((INDEX($E905:$G905,L$5)-SUMIFS(TF_Timer,TF_Tekniker,L$4,TF_Dato,$A905))*2,0)/2)))</f>
        <v/>
      </c>
      <c r="M905">
        <f>IF(OR(M$4="",$A905&gt;TODAY()),0,IF(OR(INDEX($B905:$D905,M$5)="F",AND(M$6&gt;0,$A905&lt;M$6),AND(M$7&gt;0,$A905&gt;M$7)),0,MAX(0,ROUND((INDEX($E905:$G905,M$5)-SUMIFS(TF_Timer,TF_Tekniker,M$4,TF_Dato,$A905))*2,0)/2)))</f>
        <v/>
      </c>
      <c r="N905">
        <f>IF(OR(N$4="",$A905&gt;TODAY()),0,IF(OR(INDEX($B905:$D905,N$5)="F",AND(N$6&gt;0,$A905&lt;N$6),AND(N$7&gt;0,$A905&gt;N$7)),0,MAX(0,ROUND((INDEX($E905:$G905,N$5)-SUMIFS(TF_Timer,TF_Tekniker,N$4,TF_Dato,$A905))*2,0)/2)))</f>
        <v/>
      </c>
      <c r="O905">
        <f>IF(OR(O$4="",$A905&gt;TODAY()),0,IF(OR(INDEX($B905:$D905,O$5)="F",AND(O$6&gt;0,$A905&lt;O$6),AND(O$7&gt;0,$A905&gt;O$7)),0,MAX(0,ROUND((INDEX($E905:$G905,O$5)-SUMIFS(TF_Timer,TF_Tekniker,O$4,TF_Dato,$A905))*2,0)/2)))</f>
        <v/>
      </c>
      <c r="P905">
        <f>IF(OR(P$4="",$A905&gt;TODAY()),0,IF(OR(INDEX($B905:$D905,P$5)="F",AND(P$6&gt;0,$A905&lt;P$6),AND(P$7&gt;0,$A905&gt;P$7)),0,MAX(0,ROUND((INDEX($E905:$G905,P$5)-SUMIFS(TF_Timer,TF_Tekniker,P$4,TF_Dato,$A905))*2,0)/2)))</f>
        <v/>
      </c>
      <c r="Q905">
        <f>IF(OR(Q$4="",$A905&gt;TODAY()),0,IF(OR(INDEX($B905:$D905,Q$5)="F",AND(Q$6&gt;0,$A905&lt;Q$6),AND(Q$7&gt;0,$A905&gt;Q$7)),0,MAX(0,ROUND((INDEX($E905:$G905,Q$5)-SUMIFS(TF_Timer,TF_Tekniker,Q$4,TF_Dato,$A905))*2,0)/2)))</f>
        <v/>
      </c>
      <c r="R905">
        <f>IF(OR(R$4="",$A905&gt;TODAY()),0,IF(OR(INDEX($B905:$D905,R$5)="F",AND(R$6&gt;0,$A905&lt;R$6),AND(R$7&gt;0,$A905&gt;R$7)),0,MAX(0,ROUND((INDEX($E905:$G905,R$5)-SUMIFS(TF_Timer,TF_Tekniker,R$4,TF_Dato,$A905))*2,0)/2)))</f>
        <v/>
      </c>
      <c r="S905">
        <f>IF(OR(S$4="",$A905&gt;TODAY()),0,IF(OR(INDEX($B905:$D905,S$5)="F",AND(S$6&gt;0,$A905&lt;S$6),AND(S$7&gt;0,$A905&gt;S$7)),0,MAX(0,ROUND((INDEX($E905:$G905,S$5)-SUMIFS(TF_Timer,TF_Tekniker,S$4,TF_Dato,$A905))*2,0)/2)))</f>
        <v/>
      </c>
      <c r="T905">
        <f>IF(OR(T$4="",$A905&gt;TODAY()),0,IF(OR(INDEX($B905:$D905,T$5)="F",AND(T$6&gt;0,$A905&lt;T$6),AND(T$7&gt;0,$A905&gt;T$7)),0,MAX(0,ROUND((INDEX($E905:$G905,T$5)-SUMIFS(TF_Timer,TF_Tekniker,T$4,TF_Dato,$A905))*2,0)/2)))</f>
        <v/>
      </c>
      <c r="U905">
        <f>IF(OR(U$4="",$A905&gt;TODAY()),0,IF(OR(INDEX($B905:$D905,U$5)="F",AND(U$6&gt;0,$A905&lt;U$6),AND(U$7&gt;0,$A905&gt;U$7)),0,MAX(0,ROUND((INDEX($E905:$G905,U$5)-SUMIFS(TF_Timer,TF_Tekniker,U$4,TF_Dato,$A905))*2,0)/2)))</f>
        <v/>
      </c>
      <c r="V905">
        <f>IF(OR(V$4="",$A905&gt;TODAY()),0,IF(OR(INDEX($B905:$D905,V$5)="F",AND(V$6&gt;0,$A905&lt;V$6),AND(V$7&gt;0,$A905&gt;V$7)),0,MAX(0,ROUND((INDEX($E905:$G905,V$5)-SUMIFS(TF_Timer,TF_Tekniker,V$4,TF_Dato,$A905))*2,0)/2)))</f>
        <v/>
      </c>
      <c r="W905">
        <f>IF(OR(W$4="",$A905&gt;TODAY()),0,IF(OR(INDEX($B905:$D905,W$5)="F",AND(W$6&gt;0,$A905&lt;W$6),AND(W$7&gt;0,$A905&gt;W$7)),0,MAX(0,ROUND((INDEX($E905:$G905,W$5)-SUMIFS(TF_Timer,TF_Tekniker,W$4,TF_Dato,$A905))*2,0)/2)))</f>
        <v/>
      </c>
      <c r="X905">
        <f>IF(OR(X$4="",$A905&gt;TODAY()),0,IF(OR(INDEX($B905:$D905,X$5)="F",AND(X$6&gt;0,$A905&lt;X$6),AND(X$7&gt;0,$A905&gt;X$7)),0,MAX(0,ROUND((INDEX($E905:$G905,X$5)-SUMIFS(TF_Timer,TF_Tekniker,X$4,TF_Dato,$A905))*2,0)/2)))</f>
        <v/>
      </c>
      <c r="Y905">
        <f>IF(OR(Y$4="",$A905&gt;TODAY()),0,IF(OR(INDEX($B905:$D905,Y$5)="F",AND(Y$6&gt;0,$A905&lt;Y$6),AND(Y$7&gt;0,$A905&gt;Y$7)),0,MAX(0,ROUND((INDEX($E905:$G905,Y$5)-SUMIFS(TF_Timer,TF_Tekniker,Y$4,TF_Dato,$A905))*2,0)/2)))</f>
        <v/>
      </c>
      <c r="Z905">
        <f>IF(OR(Z$4="",$A905&gt;TODAY()),0,IF(OR(INDEX($B905:$D905,Z$5)="F",AND(Z$6&gt;0,$A905&lt;Z$6),AND(Z$7&gt;0,$A905&gt;Z$7)),0,MAX(0,ROUND((INDEX($E905:$G905,Z$5)-SUMIFS(TF_Timer,TF_Tekniker,Z$4,TF_Dato,$A905))*2,0)/2)))</f>
        <v/>
      </c>
      <c r="AA905">
        <f>IF(OR(AA$4="",$A905&gt;TODAY()),0,IF(OR(INDEX($B905:$D905,AA$5)="F",AND(AA$6&gt;0,$A905&lt;AA$6),AND(AA$7&gt;0,$A905&gt;AA$7)),0,MAX(0,ROUND((INDEX($E905:$G905,AA$5)-SUMIFS(TF_Timer,TF_Tekniker,AA$4,TF_Dato,$A905))*2,0)/2)))</f>
        <v/>
      </c>
      <c r="AB905">
        <f>IF(OR(AB$4="",$A905&gt;TODAY()),0,IF(OR(INDEX($B905:$D905,AB$5)="F",AND(AB$6&gt;0,$A905&lt;AB$6),AND(AB$7&gt;0,$A905&gt;AB$7)),0,MAX(0,ROUND((INDEX($E905:$G905,AB$5)-SUMIFS(TF_Timer,TF_Tekniker,AB$4,TF_Dato,$A905))*2,0)/2)))</f>
        <v/>
      </c>
      <c r="AC905">
        <f>IF(OR(AC$4="",$A905&gt;TODAY()),0,IF(OR(INDEX($B905:$D905,AC$5)="F",AND(AC$6&gt;0,$A905&lt;AC$6),AND(AC$7&gt;0,$A905&gt;AC$7)),0,MAX(0,ROUND((INDEX($E905:$G905,AC$5)-SUMIFS(TF_Timer,TF_Tekniker,AC$4,TF_Dato,$A905))*2,0)/2)))</f>
        <v/>
      </c>
      <c r="AD905">
        <f>IF(OR(AD$4="",$A905&gt;TODAY()),0,IF(OR(INDEX($B905:$D905,AD$5)="F",AND(AD$6&gt;0,$A905&lt;AD$6),AND(AD$7&gt;0,$A905&gt;AD$7)),0,MAX(0,ROUND((INDEX($E905:$G905,AD$5)-SUMIFS(TF_Timer,TF_Tekniker,AD$4,TF_Dato,$A905))*2,0)/2)))</f>
        <v/>
      </c>
      <c r="AE905">
        <f>IF(OR(AE$4="",$A905&gt;TODAY()),0,IF(OR(INDEX($B905:$D905,AE$5)="F",AND(AE$6&gt;0,$A905&lt;AE$6),AND(AE$7&gt;0,$A905&gt;AE$7)),0,MAX(0,ROUND((INDEX($E905:$G905,AE$5)-SUMIFS(TF_Timer,TF_Tekniker,AE$4,TF_Dato,$A905))*2,0)/2)))</f>
        <v/>
      </c>
      <c r="AF905">
        <f>IF(OR(AF$4="",$A905&gt;TODAY()),0,IF(OR(INDEX($B905:$D905,AF$5)="F",AND(AF$6&gt;0,$A905&lt;AF$6),AND(AF$7&gt;0,$A905&gt;AF$7)),0,MAX(0,ROUND((INDEX($E905:$G905,AF$5)-SUMIFS(TF_Timer,TF_Tekniker,AF$4,TF_Dato,$A905))*2,0)/2)))</f>
        <v/>
      </c>
      <c r="AG905">
        <f>IF(OR(AG$4="",$A905&gt;TODAY()),0,IF(OR(INDEX($B905:$D905,AG$5)="F",AND(AG$6&gt;0,$A905&lt;AG$6),AND(AG$7&gt;0,$A905&gt;AG$7)),0,MAX(0,ROUND((INDEX($E905:$G905,AG$5)-SUMIFS(TF_Timer,TF_Tekniker,AG$4,TF_Dato,$A905))*2,0)/2)))</f>
        <v/>
      </c>
      <c r="AH905">
        <f>IF(OR(AH$4="",$A905&gt;TODAY()),0,IF(OR(INDEX($B905:$D905,AH$5)="F",AND(AH$6&gt;0,$A905&lt;AH$6),AND(AH$7&gt;0,$A905&gt;AH$7)),0,MAX(0,ROUND((INDEX($E905:$G905,AH$5)-SUMIFS(TF_Timer,TF_Tekniker,AH$4,TF_Dato,$A905))*2,0)/2)))</f>
        <v/>
      </c>
      <c r="AI905">
        <f>IF(OR(AI$4="",$A905&gt;TODAY()),0,IF(OR(INDEX($B905:$D905,AI$5)="F",AND(AI$6&gt;0,$A905&lt;AI$6),AND(AI$7&gt;0,$A905&gt;AI$7)),0,MAX(0,ROUND((INDEX($E905:$G905,AI$5)-SUMIFS(TF_Timer,TF_Tekniker,AI$4,TF_Dato,$A905))*2,0)/2)))</f>
        <v/>
      </c>
      <c r="AJ905">
        <f>IF(OR(AJ$4="",$A905&gt;TODAY()),0,IF(OR(INDEX($B905:$D905,AJ$5)="F",AND(AJ$6&gt;0,$A905&lt;AJ$6),AND(AJ$7&gt;0,$A905&gt;AJ$7)),0,MAX(0,ROUND((INDEX($E905:$G905,AJ$5)-SUMIFS(TF_Timer,TF_Tekniker,AJ$4,TF_Dato,$A905))*2,0)/2)))</f>
        <v/>
      </c>
      <c r="AK905">
        <f>IF(OR(AK$4="",$A905&gt;TODAY()),0,IF(OR(INDEX($B905:$D905,AK$5)="F",AND(AK$6&gt;0,$A905&lt;AK$6),AND(AK$7&gt;0,$A905&gt;AK$7)),0,MAX(0,ROUND((INDEX($E905:$G905,AK$5)-SUMIFS(TF_Timer,TF_Tekniker,AK$4,TF_Dato,$A905))*2,0)/2)))</f>
        <v/>
      </c>
      <c r="AL905">
        <f>IF(OR(AL$4="",$A905&gt;TODAY()),0,IF(OR(INDEX($B905:$D905,AL$5)="F",AND(AL$6&gt;0,$A905&lt;AL$6),AND(AL$7&gt;0,$A905&gt;AL$7)),0,MAX(0,ROUND((INDEX($E905:$G905,AL$5)-SUMIFS(TF_Timer,TF_Tekniker,AL$4,TF_Dato,$A905))*2,0)/2)))</f>
        <v/>
      </c>
      <c r="AM905">
        <f>IF(OR(AM$4="",$A905&gt;TODAY()),0,IF(OR(INDEX($B905:$D905,AM$5)="F",AND(AM$6&gt;0,$A905&lt;AM$6),AND(AM$7&gt;0,$A905&gt;AM$7)),0,MAX(0,ROUND((INDEX($E905:$G905,AM$5)-SUMIFS(TF_Timer,TF_Tekniker,AM$4,TF_Dato,$A905))*2,0)/2)))</f>
        <v/>
      </c>
      <c r="AN905">
        <f>IF(OR(AN$4="",$A905&gt;TODAY()),0,IF(OR(INDEX($B905:$D905,AN$5)="F",AND(AN$6&gt;0,$A905&lt;AN$6),AND(AN$7&gt;0,$A905&gt;AN$7)),0,MAX(0,ROUND((INDEX($E905:$G905,AN$5)-SUMIFS(TF_Timer,TF_Tekniker,AN$4,TF_Dato,$A905))*2,0)/2)))</f>
        <v/>
      </c>
      <c r="AO905">
        <f>IF(OR(AO$4="",$A905&gt;TODAY()),0,IF(OR(INDEX($B905:$D905,AO$5)="F",AND(AO$6&gt;0,$A905&lt;AO$6),AND(AO$7&gt;0,$A905&gt;AO$7)),0,MAX(0,ROUND((INDEX($E905:$G905,AO$5)-SUMIFS(TF_Timer,TF_Tekniker,AO$4,TF_Dato,$A905))*2,0)/2)))</f>
        <v/>
      </c>
      <c r="AP905">
        <f>IF(OR(AP$4="",$A905&gt;TODAY()),0,IF(OR(INDEX($B905:$D905,AP$5)="F",AND(AP$6&gt;0,$A905&lt;AP$6),AND(AP$7&gt;0,$A905&gt;AP$7)),0,MAX(0,ROUND((INDEX($E905:$G905,AP$5)-SUMIFS(TF_Timer,TF_Tekniker,AP$4,TF_Dato,$A905))*2,0)/2)))</f>
        <v/>
      </c>
      <c r="AQ905">
        <f>IF(OR(AQ$4="",$A905&gt;TODAY()),0,IF(OR(INDEX($B905:$D905,AQ$5)="F",AND(AQ$6&gt;0,$A905&lt;AQ$6),AND(AQ$7&gt;0,$A905&gt;AQ$7)),0,MAX(0,ROUND((INDEX($E905:$G905,AQ$5)-SUMIFS(TF_Timer,TF_Tekniker,AQ$4,TF_Dato,$A905))*2,0)/2)))</f>
        <v/>
      </c>
      <c r="AR905">
        <f>IF(OR(AR$4="",$A905&gt;TODAY()),0,IF(OR(INDEX($B905:$D905,AR$5)="F",AND(AR$6&gt;0,$A905&lt;AR$6),AND(AR$7&gt;0,$A905&gt;AR$7)),0,MAX(0,ROUND((INDEX($E905:$G905,AR$5)-SUMIFS(TF_Timer,TF_Tekniker,AR$4,TF_Dato,$A905))*2,0)/2)))</f>
        <v/>
      </c>
      <c r="AS905">
        <f>IF(OR(AS$4="",$A905&gt;TODAY()),0,IF(OR(INDEX($B905:$D905,AS$5)="F",AND(AS$6&gt;0,$A905&lt;AS$6),AND(AS$7&gt;0,$A905&gt;AS$7)),0,MAX(0,ROUND((INDEX($E905:$G905,AS$5)-SUMIFS(TF_Timer,TF_Tekniker,AS$4,TF_Dato,$A905))*2,0)/2)))</f>
        <v/>
      </c>
      <c r="AT905">
        <f>IF(OR(AT$4="",$A905&gt;TODAY()),0,IF(OR(INDEX($B905:$D905,AT$5)="F",AND(AT$6&gt;0,$A905&lt;AT$6),AND(AT$7&gt;0,$A905&gt;AT$7)),0,MAX(0,ROUND((INDEX($E905:$G905,AT$5)-SUMIFS(TF_Timer,TF_Tekniker,AT$4,TF_Dato,$A905))*2,0)/2)))</f>
        <v/>
      </c>
      <c r="AU905">
        <f>IF(OR(AU$4="",$A905&gt;TODAY()),0,IF(OR(INDEX($B905:$D905,AU$5)="F",AND(AU$6&gt;0,$A905&lt;AU$6),AND(AU$7&gt;0,$A905&gt;AU$7)),0,MAX(0,ROUND((INDEX($E905:$G905,AU$5)-SUMIFS(TF_Timer,TF_Tekniker,AU$4,TF_Dato,$A905))*2,0)/2)))</f>
        <v/>
      </c>
      <c r="AV905">
        <f>IF(OR(AV$4="",$A905&gt;TODAY()),0,IF(OR(INDEX($B905:$D905,AV$5)="F",AND(AV$6&gt;0,$A905&lt;AV$6),AND(AV$7&gt;0,$A905&gt;AV$7)),0,MAX(0,ROUND((INDEX($E905:$G905,AV$5)-SUMIFS(TF_Timer,TF_Tekniker,AV$4,TF_Dato,$A905))*2,0)/2)))</f>
        <v/>
      </c>
      <c r="AW905">
        <f>IF(OR(AW$4="",$A905&gt;TODAY()),0,IF(OR(INDEX($B905:$D905,AW$5)="F",AND(AW$6&gt;0,$A905&lt;AW$6),AND(AW$7&gt;0,$A905&gt;AW$7)),0,MAX(0,ROUND((INDEX($E905:$G905,AW$5)-SUMIFS(TF_Timer,TF_Tekniker,AW$4,TF_Dato,$A905))*2,0)/2)))</f>
        <v/>
      </c>
      <c r="AX905">
        <f>IF(OR(AX$4="",$A905&gt;TODAY()),0,IF(OR(INDEX($B905:$D905,AX$5)="F",AND(AX$6&gt;0,$A905&lt;AX$6),AND(AX$7&gt;0,$A905&gt;AX$7)),0,MAX(0,ROUND((INDEX($E905:$G905,AX$5)-SUMIFS(TF_Timer,TF_Tekniker,AX$4,TF_Dato,$A905))*2,0)/2)))</f>
        <v/>
      </c>
      <c r="AY905">
        <f>IF(OR(AY$4="",$A905&gt;TODAY()),0,IF(OR(INDEX($B905:$D905,AY$5)="F",AND(AY$6&gt;0,$A905&lt;AY$6),AND(AY$7&gt;0,$A905&gt;AY$7)),0,MAX(0,ROUND((INDEX($E905:$G905,AY$5)-SUMIFS(TF_Timer,TF_Tekniker,AY$4,TF_Dato,$A905))*2,0)/2)))</f>
        <v/>
      </c>
      <c r="AZ905">
        <f>IF(OR(AZ$4="",$A905&gt;TODAY()),0,IF(OR(INDEX($B905:$D905,AZ$5)="F",AND(AZ$6&gt;0,$A905&lt;AZ$6),AND(AZ$7&gt;0,$A905&gt;AZ$7)),0,MAX(0,ROUND((INDEX($E905:$G905,AZ$5)-SUMIFS(TF_Timer,TF_Tekniker,AZ$4,TF_Dato,$A905))*2,0)/2)))</f>
        <v/>
      </c>
      <c r="BA905">
        <f>IF(OR(BA$4="",$A905&gt;TODAY()),0,IF(OR(INDEX($B905:$D905,BA$5)="F",AND(BA$6&gt;0,$A905&lt;BA$6),AND(BA$7&gt;0,$A905&gt;BA$7)),0,MAX(0,ROUND((INDEX($E905:$G905,BA$5)-SUMIFS(TF_Timer,TF_Tekniker,BA$4,TF_Dato,$A905))*2,0)/2)))</f>
        <v/>
      </c>
      <c r="BB905">
        <f>IF(OR(BB$4="",$A905&gt;TODAY()),0,IF(OR(INDEX($B905:$D905,BB$5)="F",AND(BB$6&gt;0,$A905&lt;BB$6),AND(BB$7&gt;0,$A905&gt;BB$7)),0,MAX(0,ROUND((INDEX($E905:$G905,BB$5)-SUMIFS(TF_Timer,TF_Tekniker,BB$4,TF_Dato,$A905))*2,0)/2)))</f>
        <v/>
      </c>
      <c r="BC905">
        <f>IF(OR(BC$4="",$A905&gt;TODAY()),0,IF(OR(INDEX($B905:$D905,BC$5)="F",AND(BC$6&gt;0,$A905&lt;BC$6),AND(BC$7&gt;0,$A905&gt;BC$7)),0,MAX(0,ROUND((INDEX($E905:$G905,BC$5)-SUMIFS(TF_Timer,TF_Tekniker,BC$4,TF_Dato,$A905))*2,0)/2)))</f>
        <v/>
      </c>
      <c r="BD905">
        <f>IF(OR(BD$4="",$A905&gt;TODAY()),0,IF(OR(INDEX($B905:$D905,BD$5)="F",AND(BD$6&gt;0,$A905&lt;BD$6),AND(BD$7&gt;0,$A905&gt;BD$7)),0,MAX(0,ROUND((INDEX($E905:$G905,BD$5)-SUMIFS(TF_Timer,TF_Tekniker,BD$4,TF_Dato,$A905))*2,0)/2)))</f>
        <v/>
      </c>
      <c r="BE905">
        <f>IF(OR(BE$4="",$A905&gt;TODAY()),0,IF(OR(INDEX($B905:$D905,BE$5)="F",AND(BE$6&gt;0,$A905&lt;BE$6),AND(BE$7&gt;0,$A905&gt;BE$7)),0,MAX(0,ROUND((INDEX($E905:$G905,BE$5)-SUMIFS(TF_Timer,TF_Tekniker,BE$4,TF_Dato,$A905))*2,0)/2)))</f>
        <v/>
      </c>
      <c r="BF905">
        <f>IF(OR(BF$4="",$A905&gt;TODAY()),0,IF(OR(INDEX($B905:$D905,BF$5)="F",AND(BF$6&gt;0,$A905&lt;BF$6),AND(BF$7&gt;0,$A905&gt;BF$7)),0,MAX(0,ROUND((INDEX($E905:$G905,BF$5)-SUMIFS(TF_Timer,TF_Tekniker,BF$4,TF_Dato,$A905))*2,0)/2)))</f>
        <v/>
      </c>
      <c r="BG905">
        <f>IF(OR(BG$4="",$A905&gt;TODAY()),0,IF(OR(INDEX($B905:$D905,BG$5)="F",AND(BG$6&gt;0,$A905&lt;BG$6),AND(BG$7&gt;0,$A905&gt;BG$7)),0,MAX(0,ROUND((INDEX($E905:$G905,BG$5)-SUMIFS(TF_Timer,TF_Tekniker,BG$4,TF_Dato,$A905))*2,0)/2)))</f>
        <v/>
      </c>
      <c r="BH905">
        <f>IF(OR(BH$4="",$A905&gt;TODAY()),0,IF(OR(INDEX($B905:$D905,BH$5)="F",AND(BH$6&gt;0,$A905&lt;BH$6),AND(BH$7&gt;0,$A905&gt;BH$7)),0,MAX(0,ROUND((INDEX($E905:$G905,BH$5)-SUMIFS(TF_Timer,TF_Tekniker,BH$4,TF_Dato,$A905))*2,0)/2)))</f>
        <v/>
      </c>
      <c r="BI905">
        <f>IF(OR(BI$4="",$A905&gt;TODAY()),0,IF(OR(INDEX($B905:$D905,BI$5)="F",AND(BI$6&gt;0,$A905&lt;BI$6),AND(BI$7&gt;0,$A905&gt;BI$7)),0,MAX(0,ROUND((INDEX($E905:$G905,BI$5)-SUMIFS(TF_Timer,TF_Tekniker,BI$4,TF_Dato,$A905))*2,0)/2)))</f>
        <v/>
      </c>
    </row>
    <row r="906">
      <c r="A906" s="64">
        <f>A905+1</f>
        <v/>
      </c>
      <c r="B906">
        <f>IF(MOD($A906-INDEX(SkiftStart,1),Syklus)&lt;DagK,"K",IF(MOD($A906-INDEX(SkiftStart,1),Syklus)&lt;DagK+DagH,"H",IF(MOD($A906-INDEX(SkiftStart,1),Syklus)&lt;DagK+DagH+DagD,"D","F")))</f>
        <v/>
      </c>
      <c r="C906">
        <f>IF(MOD($A906-INDEX(SkiftStart,2),Syklus)&lt;DagK,"K",IF(MOD($A906-INDEX(SkiftStart,2),Syklus)&lt;DagK+DagH,"H",IF(MOD($A906-INDEX(SkiftStart,2),Syklus)&lt;DagK+DagH+DagD,"D","F")))</f>
        <v/>
      </c>
      <c r="D906">
        <f>IF(MOD($A906-INDEX(SkiftStart,3),Syklus)&lt;DagK,"K",IF(MOD($A906-INDEX(SkiftStart,3),Syklus)&lt;DagK+DagH,"H",IF(MOD($A906-INDEX(SkiftStart,3),Syklus)&lt;DagK+DagH+DagD,"D","F")))</f>
        <v/>
      </c>
      <c r="E906">
        <f>IF(B906="F",0,IF(WEEKDAY($A906,2)=5,INDEX(TimerFr,MATCH(B906,FaseKode,0)),INDEX(TimerMT,MATCH(B906,FaseKode,0))))</f>
        <v/>
      </c>
      <c r="F906">
        <f>IF(C906="F",0,IF(WEEKDAY($A906,2)=5,INDEX(TimerFr,MATCH(C906,FaseKode,0)),INDEX(TimerMT,MATCH(C906,FaseKode,0))))</f>
        <v/>
      </c>
      <c r="G906">
        <f>IF(D906="F",0,IF(WEEKDAY($A906,2)=5,INDEX(TimerFr,MATCH(D906,FaseKode,0)),INDEX(TimerMT,MATCH(D906,FaseKode,0))))</f>
        <v/>
      </c>
      <c r="H906">
        <f>IF(OR(H$4="",$A906&gt;TODAY()),0,IF(OR(INDEX($B906:$D906,H$5)="F",AND(H$6&gt;0,$A906&lt;H$6),AND(H$7&gt;0,$A906&gt;H$7)),0,MAX(0,ROUND((INDEX($E906:$G906,H$5)-SUMIFS(TF_Timer,TF_Tekniker,H$4,TF_Dato,$A906))*2,0)/2)))</f>
        <v/>
      </c>
      <c r="I906">
        <f>IF(OR(I$4="",$A906&gt;TODAY()),0,IF(OR(INDEX($B906:$D906,I$5)="F",AND(I$6&gt;0,$A906&lt;I$6),AND(I$7&gt;0,$A906&gt;I$7)),0,MAX(0,ROUND((INDEX($E906:$G906,I$5)-SUMIFS(TF_Timer,TF_Tekniker,I$4,TF_Dato,$A906))*2,0)/2)))</f>
        <v/>
      </c>
      <c r="J906">
        <f>IF(OR(J$4="",$A906&gt;TODAY()),0,IF(OR(INDEX($B906:$D906,J$5)="F",AND(J$6&gt;0,$A906&lt;J$6),AND(J$7&gt;0,$A906&gt;J$7)),0,MAX(0,ROUND((INDEX($E906:$G906,J$5)-SUMIFS(TF_Timer,TF_Tekniker,J$4,TF_Dato,$A906))*2,0)/2)))</f>
        <v/>
      </c>
      <c r="K906">
        <f>IF(OR(K$4="",$A906&gt;TODAY()),0,IF(OR(INDEX($B906:$D906,K$5)="F",AND(K$6&gt;0,$A906&lt;K$6),AND(K$7&gt;0,$A906&gt;K$7)),0,MAX(0,ROUND((INDEX($E906:$G906,K$5)-SUMIFS(TF_Timer,TF_Tekniker,K$4,TF_Dato,$A906))*2,0)/2)))</f>
        <v/>
      </c>
      <c r="L906">
        <f>IF(OR(L$4="",$A906&gt;TODAY()),0,IF(OR(INDEX($B906:$D906,L$5)="F",AND(L$6&gt;0,$A906&lt;L$6),AND(L$7&gt;0,$A906&gt;L$7)),0,MAX(0,ROUND((INDEX($E906:$G906,L$5)-SUMIFS(TF_Timer,TF_Tekniker,L$4,TF_Dato,$A906))*2,0)/2)))</f>
        <v/>
      </c>
      <c r="M906">
        <f>IF(OR(M$4="",$A906&gt;TODAY()),0,IF(OR(INDEX($B906:$D906,M$5)="F",AND(M$6&gt;0,$A906&lt;M$6),AND(M$7&gt;0,$A906&gt;M$7)),0,MAX(0,ROUND((INDEX($E906:$G906,M$5)-SUMIFS(TF_Timer,TF_Tekniker,M$4,TF_Dato,$A906))*2,0)/2)))</f>
        <v/>
      </c>
      <c r="N906">
        <f>IF(OR(N$4="",$A906&gt;TODAY()),0,IF(OR(INDEX($B906:$D906,N$5)="F",AND(N$6&gt;0,$A906&lt;N$6),AND(N$7&gt;0,$A906&gt;N$7)),0,MAX(0,ROUND((INDEX($E906:$G906,N$5)-SUMIFS(TF_Timer,TF_Tekniker,N$4,TF_Dato,$A906))*2,0)/2)))</f>
        <v/>
      </c>
      <c r="O906">
        <f>IF(OR(O$4="",$A906&gt;TODAY()),0,IF(OR(INDEX($B906:$D906,O$5)="F",AND(O$6&gt;0,$A906&lt;O$6),AND(O$7&gt;0,$A906&gt;O$7)),0,MAX(0,ROUND((INDEX($E906:$G906,O$5)-SUMIFS(TF_Timer,TF_Tekniker,O$4,TF_Dato,$A906))*2,0)/2)))</f>
        <v/>
      </c>
      <c r="P906">
        <f>IF(OR(P$4="",$A906&gt;TODAY()),0,IF(OR(INDEX($B906:$D906,P$5)="F",AND(P$6&gt;0,$A906&lt;P$6),AND(P$7&gt;0,$A906&gt;P$7)),0,MAX(0,ROUND((INDEX($E906:$G906,P$5)-SUMIFS(TF_Timer,TF_Tekniker,P$4,TF_Dato,$A906))*2,0)/2)))</f>
        <v/>
      </c>
      <c r="Q906">
        <f>IF(OR(Q$4="",$A906&gt;TODAY()),0,IF(OR(INDEX($B906:$D906,Q$5)="F",AND(Q$6&gt;0,$A906&lt;Q$6),AND(Q$7&gt;0,$A906&gt;Q$7)),0,MAX(0,ROUND((INDEX($E906:$G906,Q$5)-SUMIFS(TF_Timer,TF_Tekniker,Q$4,TF_Dato,$A906))*2,0)/2)))</f>
        <v/>
      </c>
      <c r="R906">
        <f>IF(OR(R$4="",$A906&gt;TODAY()),0,IF(OR(INDEX($B906:$D906,R$5)="F",AND(R$6&gt;0,$A906&lt;R$6),AND(R$7&gt;0,$A906&gt;R$7)),0,MAX(0,ROUND((INDEX($E906:$G906,R$5)-SUMIFS(TF_Timer,TF_Tekniker,R$4,TF_Dato,$A906))*2,0)/2)))</f>
        <v/>
      </c>
      <c r="S906">
        <f>IF(OR(S$4="",$A906&gt;TODAY()),0,IF(OR(INDEX($B906:$D906,S$5)="F",AND(S$6&gt;0,$A906&lt;S$6),AND(S$7&gt;0,$A906&gt;S$7)),0,MAX(0,ROUND((INDEX($E906:$G906,S$5)-SUMIFS(TF_Timer,TF_Tekniker,S$4,TF_Dato,$A906))*2,0)/2)))</f>
        <v/>
      </c>
      <c r="T906">
        <f>IF(OR(T$4="",$A906&gt;TODAY()),0,IF(OR(INDEX($B906:$D906,T$5)="F",AND(T$6&gt;0,$A906&lt;T$6),AND(T$7&gt;0,$A906&gt;T$7)),0,MAX(0,ROUND((INDEX($E906:$G906,T$5)-SUMIFS(TF_Timer,TF_Tekniker,T$4,TF_Dato,$A906))*2,0)/2)))</f>
        <v/>
      </c>
      <c r="U906">
        <f>IF(OR(U$4="",$A906&gt;TODAY()),0,IF(OR(INDEX($B906:$D906,U$5)="F",AND(U$6&gt;0,$A906&lt;U$6),AND(U$7&gt;0,$A906&gt;U$7)),0,MAX(0,ROUND((INDEX($E906:$G906,U$5)-SUMIFS(TF_Timer,TF_Tekniker,U$4,TF_Dato,$A906))*2,0)/2)))</f>
        <v/>
      </c>
      <c r="V906">
        <f>IF(OR(V$4="",$A906&gt;TODAY()),0,IF(OR(INDEX($B906:$D906,V$5)="F",AND(V$6&gt;0,$A906&lt;V$6),AND(V$7&gt;0,$A906&gt;V$7)),0,MAX(0,ROUND((INDEX($E906:$G906,V$5)-SUMIFS(TF_Timer,TF_Tekniker,V$4,TF_Dato,$A906))*2,0)/2)))</f>
        <v/>
      </c>
      <c r="W906">
        <f>IF(OR(W$4="",$A906&gt;TODAY()),0,IF(OR(INDEX($B906:$D906,W$5)="F",AND(W$6&gt;0,$A906&lt;W$6),AND(W$7&gt;0,$A906&gt;W$7)),0,MAX(0,ROUND((INDEX($E906:$G906,W$5)-SUMIFS(TF_Timer,TF_Tekniker,W$4,TF_Dato,$A906))*2,0)/2)))</f>
        <v/>
      </c>
      <c r="X906">
        <f>IF(OR(X$4="",$A906&gt;TODAY()),0,IF(OR(INDEX($B906:$D906,X$5)="F",AND(X$6&gt;0,$A906&lt;X$6),AND(X$7&gt;0,$A906&gt;X$7)),0,MAX(0,ROUND((INDEX($E906:$G906,X$5)-SUMIFS(TF_Timer,TF_Tekniker,X$4,TF_Dato,$A906))*2,0)/2)))</f>
        <v/>
      </c>
      <c r="Y906">
        <f>IF(OR(Y$4="",$A906&gt;TODAY()),0,IF(OR(INDEX($B906:$D906,Y$5)="F",AND(Y$6&gt;0,$A906&lt;Y$6),AND(Y$7&gt;0,$A906&gt;Y$7)),0,MAX(0,ROUND((INDEX($E906:$G906,Y$5)-SUMIFS(TF_Timer,TF_Tekniker,Y$4,TF_Dato,$A906))*2,0)/2)))</f>
        <v/>
      </c>
      <c r="Z906">
        <f>IF(OR(Z$4="",$A906&gt;TODAY()),0,IF(OR(INDEX($B906:$D906,Z$5)="F",AND(Z$6&gt;0,$A906&lt;Z$6),AND(Z$7&gt;0,$A906&gt;Z$7)),0,MAX(0,ROUND((INDEX($E906:$G906,Z$5)-SUMIFS(TF_Timer,TF_Tekniker,Z$4,TF_Dato,$A906))*2,0)/2)))</f>
        <v/>
      </c>
      <c r="AA906">
        <f>IF(OR(AA$4="",$A906&gt;TODAY()),0,IF(OR(INDEX($B906:$D906,AA$5)="F",AND(AA$6&gt;0,$A906&lt;AA$6),AND(AA$7&gt;0,$A906&gt;AA$7)),0,MAX(0,ROUND((INDEX($E906:$G906,AA$5)-SUMIFS(TF_Timer,TF_Tekniker,AA$4,TF_Dato,$A906))*2,0)/2)))</f>
        <v/>
      </c>
      <c r="AB906">
        <f>IF(OR(AB$4="",$A906&gt;TODAY()),0,IF(OR(INDEX($B906:$D906,AB$5)="F",AND(AB$6&gt;0,$A906&lt;AB$6),AND(AB$7&gt;0,$A906&gt;AB$7)),0,MAX(0,ROUND((INDEX($E906:$G906,AB$5)-SUMIFS(TF_Timer,TF_Tekniker,AB$4,TF_Dato,$A906))*2,0)/2)))</f>
        <v/>
      </c>
      <c r="AC906">
        <f>IF(OR(AC$4="",$A906&gt;TODAY()),0,IF(OR(INDEX($B906:$D906,AC$5)="F",AND(AC$6&gt;0,$A906&lt;AC$6),AND(AC$7&gt;0,$A906&gt;AC$7)),0,MAX(0,ROUND((INDEX($E906:$G906,AC$5)-SUMIFS(TF_Timer,TF_Tekniker,AC$4,TF_Dato,$A906))*2,0)/2)))</f>
        <v/>
      </c>
      <c r="AD906">
        <f>IF(OR(AD$4="",$A906&gt;TODAY()),0,IF(OR(INDEX($B906:$D906,AD$5)="F",AND(AD$6&gt;0,$A906&lt;AD$6),AND(AD$7&gt;0,$A906&gt;AD$7)),0,MAX(0,ROUND((INDEX($E906:$G906,AD$5)-SUMIFS(TF_Timer,TF_Tekniker,AD$4,TF_Dato,$A906))*2,0)/2)))</f>
        <v/>
      </c>
      <c r="AE906">
        <f>IF(OR(AE$4="",$A906&gt;TODAY()),0,IF(OR(INDEX($B906:$D906,AE$5)="F",AND(AE$6&gt;0,$A906&lt;AE$6),AND(AE$7&gt;0,$A906&gt;AE$7)),0,MAX(0,ROUND((INDEX($E906:$G906,AE$5)-SUMIFS(TF_Timer,TF_Tekniker,AE$4,TF_Dato,$A906))*2,0)/2)))</f>
        <v/>
      </c>
      <c r="AF906">
        <f>IF(OR(AF$4="",$A906&gt;TODAY()),0,IF(OR(INDEX($B906:$D906,AF$5)="F",AND(AF$6&gt;0,$A906&lt;AF$6),AND(AF$7&gt;0,$A906&gt;AF$7)),0,MAX(0,ROUND((INDEX($E906:$G906,AF$5)-SUMIFS(TF_Timer,TF_Tekniker,AF$4,TF_Dato,$A906))*2,0)/2)))</f>
        <v/>
      </c>
      <c r="AG906">
        <f>IF(OR(AG$4="",$A906&gt;TODAY()),0,IF(OR(INDEX($B906:$D906,AG$5)="F",AND(AG$6&gt;0,$A906&lt;AG$6),AND(AG$7&gt;0,$A906&gt;AG$7)),0,MAX(0,ROUND((INDEX($E906:$G906,AG$5)-SUMIFS(TF_Timer,TF_Tekniker,AG$4,TF_Dato,$A906))*2,0)/2)))</f>
        <v/>
      </c>
      <c r="AH906">
        <f>IF(OR(AH$4="",$A906&gt;TODAY()),0,IF(OR(INDEX($B906:$D906,AH$5)="F",AND(AH$6&gt;0,$A906&lt;AH$6),AND(AH$7&gt;0,$A906&gt;AH$7)),0,MAX(0,ROUND((INDEX($E906:$G906,AH$5)-SUMIFS(TF_Timer,TF_Tekniker,AH$4,TF_Dato,$A906))*2,0)/2)))</f>
        <v/>
      </c>
      <c r="AI906">
        <f>IF(OR(AI$4="",$A906&gt;TODAY()),0,IF(OR(INDEX($B906:$D906,AI$5)="F",AND(AI$6&gt;0,$A906&lt;AI$6),AND(AI$7&gt;0,$A906&gt;AI$7)),0,MAX(0,ROUND((INDEX($E906:$G906,AI$5)-SUMIFS(TF_Timer,TF_Tekniker,AI$4,TF_Dato,$A906))*2,0)/2)))</f>
        <v/>
      </c>
      <c r="AJ906">
        <f>IF(OR(AJ$4="",$A906&gt;TODAY()),0,IF(OR(INDEX($B906:$D906,AJ$5)="F",AND(AJ$6&gt;0,$A906&lt;AJ$6),AND(AJ$7&gt;0,$A906&gt;AJ$7)),0,MAX(0,ROUND((INDEX($E906:$G906,AJ$5)-SUMIFS(TF_Timer,TF_Tekniker,AJ$4,TF_Dato,$A906))*2,0)/2)))</f>
        <v/>
      </c>
      <c r="AK906">
        <f>IF(OR(AK$4="",$A906&gt;TODAY()),0,IF(OR(INDEX($B906:$D906,AK$5)="F",AND(AK$6&gt;0,$A906&lt;AK$6),AND(AK$7&gt;0,$A906&gt;AK$7)),0,MAX(0,ROUND((INDEX($E906:$G906,AK$5)-SUMIFS(TF_Timer,TF_Tekniker,AK$4,TF_Dato,$A906))*2,0)/2)))</f>
        <v/>
      </c>
      <c r="AL906">
        <f>IF(OR(AL$4="",$A906&gt;TODAY()),0,IF(OR(INDEX($B906:$D906,AL$5)="F",AND(AL$6&gt;0,$A906&lt;AL$6),AND(AL$7&gt;0,$A906&gt;AL$7)),0,MAX(0,ROUND((INDEX($E906:$G906,AL$5)-SUMIFS(TF_Timer,TF_Tekniker,AL$4,TF_Dato,$A906))*2,0)/2)))</f>
        <v/>
      </c>
      <c r="AM906">
        <f>IF(OR(AM$4="",$A906&gt;TODAY()),0,IF(OR(INDEX($B906:$D906,AM$5)="F",AND(AM$6&gt;0,$A906&lt;AM$6),AND(AM$7&gt;0,$A906&gt;AM$7)),0,MAX(0,ROUND((INDEX($E906:$G906,AM$5)-SUMIFS(TF_Timer,TF_Tekniker,AM$4,TF_Dato,$A906))*2,0)/2)))</f>
        <v/>
      </c>
      <c r="AN906">
        <f>IF(OR(AN$4="",$A906&gt;TODAY()),0,IF(OR(INDEX($B906:$D906,AN$5)="F",AND(AN$6&gt;0,$A906&lt;AN$6),AND(AN$7&gt;0,$A906&gt;AN$7)),0,MAX(0,ROUND((INDEX($E906:$G906,AN$5)-SUMIFS(TF_Timer,TF_Tekniker,AN$4,TF_Dato,$A906))*2,0)/2)))</f>
        <v/>
      </c>
      <c r="AO906">
        <f>IF(OR(AO$4="",$A906&gt;TODAY()),0,IF(OR(INDEX($B906:$D906,AO$5)="F",AND(AO$6&gt;0,$A906&lt;AO$6),AND(AO$7&gt;0,$A906&gt;AO$7)),0,MAX(0,ROUND((INDEX($E906:$G906,AO$5)-SUMIFS(TF_Timer,TF_Tekniker,AO$4,TF_Dato,$A906))*2,0)/2)))</f>
        <v/>
      </c>
      <c r="AP906">
        <f>IF(OR(AP$4="",$A906&gt;TODAY()),0,IF(OR(INDEX($B906:$D906,AP$5)="F",AND(AP$6&gt;0,$A906&lt;AP$6),AND(AP$7&gt;0,$A906&gt;AP$7)),0,MAX(0,ROUND((INDEX($E906:$G906,AP$5)-SUMIFS(TF_Timer,TF_Tekniker,AP$4,TF_Dato,$A906))*2,0)/2)))</f>
        <v/>
      </c>
      <c r="AQ906">
        <f>IF(OR(AQ$4="",$A906&gt;TODAY()),0,IF(OR(INDEX($B906:$D906,AQ$5)="F",AND(AQ$6&gt;0,$A906&lt;AQ$6),AND(AQ$7&gt;0,$A906&gt;AQ$7)),0,MAX(0,ROUND((INDEX($E906:$G906,AQ$5)-SUMIFS(TF_Timer,TF_Tekniker,AQ$4,TF_Dato,$A906))*2,0)/2)))</f>
        <v/>
      </c>
      <c r="AR906">
        <f>IF(OR(AR$4="",$A906&gt;TODAY()),0,IF(OR(INDEX($B906:$D906,AR$5)="F",AND(AR$6&gt;0,$A906&lt;AR$6),AND(AR$7&gt;0,$A906&gt;AR$7)),0,MAX(0,ROUND((INDEX($E906:$G906,AR$5)-SUMIFS(TF_Timer,TF_Tekniker,AR$4,TF_Dato,$A906))*2,0)/2)))</f>
        <v/>
      </c>
      <c r="AS906">
        <f>IF(OR(AS$4="",$A906&gt;TODAY()),0,IF(OR(INDEX($B906:$D906,AS$5)="F",AND(AS$6&gt;0,$A906&lt;AS$6),AND(AS$7&gt;0,$A906&gt;AS$7)),0,MAX(0,ROUND((INDEX($E906:$G906,AS$5)-SUMIFS(TF_Timer,TF_Tekniker,AS$4,TF_Dato,$A906))*2,0)/2)))</f>
        <v/>
      </c>
      <c r="AT906">
        <f>IF(OR(AT$4="",$A906&gt;TODAY()),0,IF(OR(INDEX($B906:$D906,AT$5)="F",AND(AT$6&gt;0,$A906&lt;AT$6),AND(AT$7&gt;0,$A906&gt;AT$7)),0,MAX(0,ROUND((INDEX($E906:$G906,AT$5)-SUMIFS(TF_Timer,TF_Tekniker,AT$4,TF_Dato,$A906))*2,0)/2)))</f>
        <v/>
      </c>
      <c r="AU906">
        <f>IF(OR(AU$4="",$A906&gt;TODAY()),0,IF(OR(INDEX($B906:$D906,AU$5)="F",AND(AU$6&gt;0,$A906&lt;AU$6),AND(AU$7&gt;0,$A906&gt;AU$7)),0,MAX(0,ROUND((INDEX($E906:$G906,AU$5)-SUMIFS(TF_Timer,TF_Tekniker,AU$4,TF_Dato,$A906))*2,0)/2)))</f>
        <v/>
      </c>
      <c r="AV906">
        <f>IF(OR(AV$4="",$A906&gt;TODAY()),0,IF(OR(INDEX($B906:$D906,AV$5)="F",AND(AV$6&gt;0,$A906&lt;AV$6),AND(AV$7&gt;0,$A906&gt;AV$7)),0,MAX(0,ROUND((INDEX($E906:$G906,AV$5)-SUMIFS(TF_Timer,TF_Tekniker,AV$4,TF_Dato,$A906))*2,0)/2)))</f>
        <v/>
      </c>
      <c r="AW906">
        <f>IF(OR(AW$4="",$A906&gt;TODAY()),0,IF(OR(INDEX($B906:$D906,AW$5)="F",AND(AW$6&gt;0,$A906&lt;AW$6),AND(AW$7&gt;0,$A906&gt;AW$7)),0,MAX(0,ROUND((INDEX($E906:$G906,AW$5)-SUMIFS(TF_Timer,TF_Tekniker,AW$4,TF_Dato,$A906))*2,0)/2)))</f>
        <v/>
      </c>
      <c r="AX906">
        <f>IF(OR(AX$4="",$A906&gt;TODAY()),0,IF(OR(INDEX($B906:$D906,AX$5)="F",AND(AX$6&gt;0,$A906&lt;AX$6),AND(AX$7&gt;0,$A906&gt;AX$7)),0,MAX(0,ROUND((INDEX($E906:$G906,AX$5)-SUMIFS(TF_Timer,TF_Tekniker,AX$4,TF_Dato,$A906))*2,0)/2)))</f>
        <v/>
      </c>
      <c r="AY906">
        <f>IF(OR(AY$4="",$A906&gt;TODAY()),0,IF(OR(INDEX($B906:$D906,AY$5)="F",AND(AY$6&gt;0,$A906&lt;AY$6),AND(AY$7&gt;0,$A906&gt;AY$7)),0,MAX(0,ROUND((INDEX($E906:$G906,AY$5)-SUMIFS(TF_Timer,TF_Tekniker,AY$4,TF_Dato,$A906))*2,0)/2)))</f>
        <v/>
      </c>
      <c r="AZ906">
        <f>IF(OR(AZ$4="",$A906&gt;TODAY()),0,IF(OR(INDEX($B906:$D906,AZ$5)="F",AND(AZ$6&gt;0,$A906&lt;AZ$6),AND(AZ$7&gt;0,$A906&gt;AZ$7)),0,MAX(0,ROUND((INDEX($E906:$G906,AZ$5)-SUMIFS(TF_Timer,TF_Tekniker,AZ$4,TF_Dato,$A906))*2,0)/2)))</f>
        <v/>
      </c>
      <c r="BA906">
        <f>IF(OR(BA$4="",$A906&gt;TODAY()),0,IF(OR(INDEX($B906:$D906,BA$5)="F",AND(BA$6&gt;0,$A906&lt;BA$6),AND(BA$7&gt;0,$A906&gt;BA$7)),0,MAX(0,ROUND((INDEX($E906:$G906,BA$5)-SUMIFS(TF_Timer,TF_Tekniker,BA$4,TF_Dato,$A906))*2,0)/2)))</f>
        <v/>
      </c>
      <c r="BB906">
        <f>IF(OR(BB$4="",$A906&gt;TODAY()),0,IF(OR(INDEX($B906:$D906,BB$5)="F",AND(BB$6&gt;0,$A906&lt;BB$6),AND(BB$7&gt;0,$A906&gt;BB$7)),0,MAX(0,ROUND((INDEX($E906:$G906,BB$5)-SUMIFS(TF_Timer,TF_Tekniker,BB$4,TF_Dato,$A906))*2,0)/2)))</f>
        <v/>
      </c>
      <c r="BC906">
        <f>IF(OR(BC$4="",$A906&gt;TODAY()),0,IF(OR(INDEX($B906:$D906,BC$5)="F",AND(BC$6&gt;0,$A906&lt;BC$6),AND(BC$7&gt;0,$A906&gt;BC$7)),0,MAX(0,ROUND((INDEX($E906:$G906,BC$5)-SUMIFS(TF_Timer,TF_Tekniker,BC$4,TF_Dato,$A906))*2,0)/2)))</f>
        <v/>
      </c>
      <c r="BD906">
        <f>IF(OR(BD$4="",$A906&gt;TODAY()),0,IF(OR(INDEX($B906:$D906,BD$5)="F",AND(BD$6&gt;0,$A906&lt;BD$6),AND(BD$7&gt;0,$A906&gt;BD$7)),0,MAX(0,ROUND((INDEX($E906:$G906,BD$5)-SUMIFS(TF_Timer,TF_Tekniker,BD$4,TF_Dato,$A906))*2,0)/2)))</f>
        <v/>
      </c>
      <c r="BE906">
        <f>IF(OR(BE$4="",$A906&gt;TODAY()),0,IF(OR(INDEX($B906:$D906,BE$5)="F",AND(BE$6&gt;0,$A906&lt;BE$6),AND(BE$7&gt;0,$A906&gt;BE$7)),0,MAX(0,ROUND((INDEX($E906:$G906,BE$5)-SUMIFS(TF_Timer,TF_Tekniker,BE$4,TF_Dato,$A906))*2,0)/2)))</f>
        <v/>
      </c>
      <c r="BF906">
        <f>IF(OR(BF$4="",$A906&gt;TODAY()),0,IF(OR(INDEX($B906:$D906,BF$5)="F",AND(BF$6&gt;0,$A906&lt;BF$6),AND(BF$7&gt;0,$A906&gt;BF$7)),0,MAX(0,ROUND((INDEX($E906:$G906,BF$5)-SUMIFS(TF_Timer,TF_Tekniker,BF$4,TF_Dato,$A906))*2,0)/2)))</f>
        <v/>
      </c>
      <c r="BG906">
        <f>IF(OR(BG$4="",$A906&gt;TODAY()),0,IF(OR(INDEX($B906:$D906,BG$5)="F",AND(BG$6&gt;0,$A906&lt;BG$6),AND(BG$7&gt;0,$A906&gt;BG$7)),0,MAX(0,ROUND((INDEX($E906:$G906,BG$5)-SUMIFS(TF_Timer,TF_Tekniker,BG$4,TF_Dato,$A906))*2,0)/2)))</f>
        <v/>
      </c>
      <c r="BH906">
        <f>IF(OR(BH$4="",$A906&gt;TODAY()),0,IF(OR(INDEX($B906:$D906,BH$5)="F",AND(BH$6&gt;0,$A906&lt;BH$6),AND(BH$7&gt;0,$A906&gt;BH$7)),0,MAX(0,ROUND((INDEX($E906:$G906,BH$5)-SUMIFS(TF_Timer,TF_Tekniker,BH$4,TF_Dato,$A906))*2,0)/2)))</f>
        <v/>
      </c>
      <c r="BI906">
        <f>IF(OR(BI$4="",$A906&gt;TODAY()),0,IF(OR(INDEX($B906:$D906,BI$5)="F",AND(BI$6&gt;0,$A906&lt;BI$6),AND(BI$7&gt;0,$A906&gt;BI$7)),0,MAX(0,ROUND((INDEX($E906:$G906,BI$5)-SUMIFS(TF_Timer,TF_Tekniker,BI$4,TF_Dato,$A906))*2,0)/2)))</f>
        <v/>
      </c>
    </row>
    <row r="907">
      <c r="A907" s="64">
        <f>A906+1</f>
        <v/>
      </c>
      <c r="B907">
        <f>IF(MOD($A907-INDEX(SkiftStart,1),Syklus)&lt;DagK,"K",IF(MOD($A907-INDEX(SkiftStart,1),Syklus)&lt;DagK+DagH,"H",IF(MOD($A907-INDEX(SkiftStart,1),Syklus)&lt;DagK+DagH+DagD,"D","F")))</f>
        <v/>
      </c>
      <c r="C907">
        <f>IF(MOD($A907-INDEX(SkiftStart,2),Syklus)&lt;DagK,"K",IF(MOD($A907-INDEX(SkiftStart,2),Syklus)&lt;DagK+DagH,"H",IF(MOD($A907-INDEX(SkiftStart,2),Syklus)&lt;DagK+DagH+DagD,"D","F")))</f>
        <v/>
      </c>
      <c r="D907">
        <f>IF(MOD($A907-INDEX(SkiftStart,3),Syklus)&lt;DagK,"K",IF(MOD($A907-INDEX(SkiftStart,3),Syklus)&lt;DagK+DagH,"H",IF(MOD($A907-INDEX(SkiftStart,3),Syklus)&lt;DagK+DagH+DagD,"D","F")))</f>
        <v/>
      </c>
      <c r="E907">
        <f>IF(B907="F",0,IF(WEEKDAY($A907,2)=5,INDEX(TimerFr,MATCH(B907,FaseKode,0)),INDEX(TimerMT,MATCH(B907,FaseKode,0))))</f>
        <v/>
      </c>
      <c r="F907">
        <f>IF(C907="F",0,IF(WEEKDAY($A907,2)=5,INDEX(TimerFr,MATCH(C907,FaseKode,0)),INDEX(TimerMT,MATCH(C907,FaseKode,0))))</f>
        <v/>
      </c>
      <c r="G907">
        <f>IF(D907="F",0,IF(WEEKDAY($A907,2)=5,INDEX(TimerFr,MATCH(D907,FaseKode,0)),INDEX(TimerMT,MATCH(D907,FaseKode,0))))</f>
        <v/>
      </c>
      <c r="H907">
        <f>IF(OR(H$4="",$A907&gt;TODAY()),0,IF(OR(INDEX($B907:$D907,H$5)="F",AND(H$6&gt;0,$A907&lt;H$6),AND(H$7&gt;0,$A907&gt;H$7)),0,MAX(0,ROUND((INDEX($E907:$G907,H$5)-SUMIFS(TF_Timer,TF_Tekniker,H$4,TF_Dato,$A907))*2,0)/2)))</f>
        <v/>
      </c>
      <c r="I907">
        <f>IF(OR(I$4="",$A907&gt;TODAY()),0,IF(OR(INDEX($B907:$D907,I$5)="F",AND(I$6&gt;0,$A907&lt;I$6),AND(I$7&gt;0,$A907&gt;I$7)),0,MAX(0,ROUND((INDEX($E907:$G907,I$5)-SUMIFS(TF_Timer,TF_Tekniker,I$4,TF_Dato,$A907))*2,0)/2)))</f>
        <v/>
      </c>
      <c r="J907">
        <f>IF(OR(J$4="",$A907&gt;TODAY()),0,IF(OR(INDEX($B907:$D907,J$5)="F",AND(J$6&gt;0,$A907&lt;J$6),AND(J$7&gt;0,$A907&gt;J$7)),0,MAX(0,ROUND((INDEX($E907:$G907,J$5)-SUMIFS(TF_Timer,TF_Tekniker,J$4,TF_Dato,$A907))*2,0)/2)))</f>
        <v/>
      </c>
      <c r="K907">
        <f>IF(OR(K$4="",$A907&gt;TODAY()),0,IF(OR(INDEX($B907:$D907,K$5)="F",AND(K$6&gt;0,$A907&lt;K$6),AND(K$7&gt;0,$A907&gt;K$7)),0,MAX(0,ROUND((INDEX($E907:$G907,K$5)-SUMIFS(TF_Timer,TF_Tekniker,K$4,TF_Dato,$A907))*2,0)/2)))</f>
        <v/>
      </c>
      <c r="L907">
        <f>IF(OR(L$4="",$A907&gt;TODAY()),0,IF(OR(INDEX($B907:$D907,L$5)="F",AND(L$6&gt;0,$A907&lt;L$6),AND(L$7&gt;0,$A907&gt;L$7)),0,MAX(0,ROUND((INDEX($E907:$G907,L$5)-SUMIFS(TF_Timer,TF_Tekniker,L$4,TF_Dato,$A907))*2,0)/2)))</f>
        <v/>
      </c>
      <c r="M907">
        <f>IF(OR(M$4="",$A907&gt;TODAY()),0,IF(OR(INDEX($B907:$D907,M$5)="F",AND(M$6&gt;0,$A907&lt;M$6),AND(M$7&gt;0,$A907&gt;M$7)),0,MAX(0,ROUND((INDEX($E907:$G907,M$5)-SUMIFS(TF_Timer,TF_Tekniker,M$4,TF_Dato,$A907))*2,0)/2)))</f>
        <v/>
      </c>
      <c r="N907">
        <f>IF(OR(N$4="",$A907&gt;TODAY()),0,IF(OR(INDEX($B907:$D907,N$5)="F",AND(N$6&gt;0,$A907&lt;N$6),AND(N$7&gt;0,$A907&gt;N$7)),0,MAX(0,ROUND((INDEX($E907:$G907,N$5)-SUMIFS(TF_Timer,TF_Tekniker,N$4,TF_Dato,$A907))*2,0)/2)))</f>
        <v/>
      </c>
      <c r="O907">
        <f>IF(OR(O$4="",$A907&gt;TODAY()),0,IF(OR(INDEX($B907:$D907,O$5)="F",AND(O$6&gt;0,$A907&lt;O$6),AND(O$7&gt;0,$A907&gt;O$7)),0,MAX(0,ROUND((INDEX($E907:$G907,O$5)-SUMIFS(TF_Timer,TF_Tekniker,O$4,TF_Dato,$A907))*2,0)/2)))</f>
        <v/>
      </c>
      <c r="P907">
        <f>IF(OR(P$4="",$A907&gt;TODAY()),0,IF(OR(INDEX($B907:$D907,P$5)="F",AND(P$6&gt;0,$A907&lt;P$6),AND(P$7&gt;0,$A907&gt;P$7)),0,MAX(0,ROUND((INDEX($E907:$G907,P$5)-SUMIFS(TF_Timer,TF_Tekniker,P$4,TF_Dato,$A907))*2,0)/2)))</f>
        <v/>
      </c>
      <c r="Q907">
        <f>IF(OR(Q$4="",$A907&gt;TODAY()),0,IF(OR(INDEX($B907:$D907,Q$5)="F",AND(Q$6&gt;0,$A907&lt;Q$6),AND(Q$7&gt;0,$A907&gt;Q$7)),0,MAX(0,ROUND((INDEX($E907:$G907,Q$5)-SUMIFS(TF_Timer,TF_Tekniker,Q$4,TF_Dato,$A907))*2,0)/2)))</f>
        <v/>
      </c>
      <c r="R907">
        <f>IF(OR(R$4="",$A907&gt;TODAY()),0,IF(OR(INDEX($B907:$D907,R$5)="F",AND(R$6&gt;0,$A907&lt;R$6),AND(R$7&gt;0,$A907&gt;R$7)),0,MAX(0,ROUND((INDEX($E907:$G907,R$5)-SUMIFS(TF_Timer,TF_Tekniker,R$4,TF_Dato,$A907))*2,0)/2)))</f>
        <v/>
      </c>
      <c r="S907">
        <f>IF(OR(S$4="",$A907&gt;TODAY()),0,IF(OR(INDEX($B907:$D907,S$5)="F",AND(S$6&gt;0,$A907&lt;S$6),AND(S$7&gt;0,$A907&gt;S$7)),0,MAX(0,ROUND((INDEX($E907:$G907,S$5)-SUMIFS(TF_Timer,TF_Tekniker,S$4,TF_Dato,$A907))*2,0)/2)))</f>
        <v/>
      </c>
      <c r="T907">
        <f>IF(OR(T$4="",$A907&gt;TODAY()),0,IF(OR(INDEX($B907:$D907,T$5)="F",AND(T$6&gt;0,$A907&lt;T$6),AND(T$7&gt;0,$A907&gt;T$7)),0,MAX(0,ROUND((INDEX($E907:$G907,T$5)-SUMIFS(TF_Timer,TF_Tekniker,T$4,TF_Dato,$A907))*2,0)/2)))</f>
        <v/>
      </c>
      <c r="U907">
        <f>IF(OR(U$4="",$A907&gt;TODAY()),0,IF(OR(INDEX($B907:$D907,U$5)="F",AND(U$6&gt;0,$A907&lt;U$6),AND(U$7&gt;0,$A907&gt;U$7)),0,MAX(0,ROUND((INDEX($E907:$G907,U$5)-SUMIFS(TF_Timer,TF_Tekniker,U$4,TF_Dato,$A907))*2,0)/2)))</f>
        <v/>
      </c>
      <c r="V907">
        <f>IF(OR(V$4="",$A907&gt;TODAY()),0,IF(OR(INDEX($B907:$D907,V$5)="F",AND(V$6&gt;0,$A907&lt;V$6),AND(V$7&gt;0,$A907&gt;V$7)),0,MAX(0,ROUND((INDEX($E907:$G907,V$5)-SUMIFS(TF_Timer,TF_Tekniker,V$4,TF_Dato,$A907))*2,0)/2)))</f>
        <v/>
      </c>
      <c r="W907">
        <f>IF(OR(W$4="",$A907&gt;TODAY()),0,IF(OR(INDEX($B907:$D907,W$5)="F",AND(W$6&gt;0,$A907&lt;W$6),AND(W$7&gt;0,$A907&gt;W$7)),0,MAX(0,ROUND((INDEX($E907:$G907,W$5)-SUMIFS(TF_Timer,TF_Tekniker,W$4,TF_Dato,$A907))*2,0)/2)))</f>
        <v/>
      </c>
      <c r="X907">
        <f>IF(OR(X$4="",$A907&gt;TODAY()),0,IF(OR(INDEX($B907:$D907,X$5)="F",AND(X$6&gt;0,$A907&lt;X$6),AND(X$7&gt;0,$A907&gt;X$7)),0,MAX(0,ROUND((INDEX($E907:$G907,X$5)-SUMIFS(TF_Timer,TF_Tekniker,X$4,TF_Dato,$A907))*2,0)/2)))</f>
        <v/>
      </c>
      <c r="Y907">
        <f>IF(OR(Y$4="",$A907&gt;TODAY()),0,IF(OR(INDEX($B907:$D907,Y$5)="F",AND(Y$6&gt;0,$A907&lt;Y$6),AND(Y$7&gt;0,$A907&gt;Y$7)),0,MAX(0,ROUND((INDEX($E907:$G907,Y$5)-SUMIFS(TF_Timer,TF_Tekniker,Y$4,TF_Dato,$A907))*2,0)/2)))</f>
        <v/>
      </c>
      <c r="Z907">
        <f>IF(OR(Z$4="",$A907&gt;TODAY()),0,IF(OR(INDEX($B907:$D907,Z$5)="F",AND(Z$6&gt;0,$A907&lt;Z$6),AND(Z$7&gt;0,$A907&gt;Z$7)),0,MAX(0,ROUND((INDEX($E907:$G907,Z$5)-SUMIFS(TF_Timer,TF_Tekniker,Z$4,TF_Dato,$A907))*2,0)/2)))</f>
        <v/>
      </c>
      <c r="AA907">
        <f>IF(OR(AA$4="",$A907&gt;TODAY()),0,IF(OR(INDEX($B907:$D907,AA$5)="F",AND(AA$6&gt;0,$A907&lt;AA$6),AND(AA$7&gt;0,$A907&gt;AA$7)),0,MAX(0,ROUND((INDEX($E907:$G907,AA$5)-SUMIFS(TF_Timer,TF_Tekniker,AA$4,TF_Dato,$A907))*2,0)/2)))</f>
        <v/>
      </c>
      <c r="AB907">
        <f>IF(OR(AB$4="",$A907&gt;TODAY()),0,IF(OR(INDEX($B907:$D907,AB$5)="F",AND(AB$6&gt;0,$A907&lt;AB$6),AND(AB$7&gt;0,$A907&gt;AB$7)),0,MAX(0,ROUND((INDEX($E907:$G907,AB$5)-SUMIFS(TF_Timer,TF_Tekniker,AB$4,TF_Dato,$A907))*2,0)/2)))</f>
        <v/>
      </c>
      <c r="AC907">
        <f>IF(OR(AC$4="",$A907&gt;TODAY()),0,IF(OR(INDEX($B907:$D907,AC$5)="F",AND(AC$6&gt;0,$A907&lt;AC$6),AND(AC$7&gt;0,$A907&gt;AC$7)),0,MAX(0,ROUND((INDEX($E907:$G907,AC$5)-SUMIFS(TF_Timer,TF_Tekniker,AC$4,TF_Dato,$A907))*2,0)/2)))</f>
        <v/>
      </c>
      <c r="AD907">
        <f>IF(OR(AD$4="",$A907&gt;TODAY()),0,IF(OR(INDEX($B907:$D907,AD$5)="F",AND(AD$6&gt;0,$A907&lt;AD$6),AND(AD$7&gt;0,$A907&gt;AD$7)),0,MAX(0,ROUND((INDEX($E907:$G907,AD$5)-SUMIFS(TF_Timer,TF_Tekniker,AD$4,TF_Dato,$A907))*2,0)/2)))</f>
        <v/>
      </c>
      <c r="AE907">
        <f>IF(OR(AE$4="",$A907&gt;TODAY()),0,IF(OR(INDEX($B907:$D907,AE$5)="F",AND(AE$6&gt;0,$A907&lt;AE$6),AND(AE$7&gt;0,$A907&gt;AE$7)),0,MAX(0,ROUND((INDEX($E907:$G907,AE$5)-SUMIFS(TF_Timer,TF_Tekniker,AE$4,TF_Dato,$A907))*2,0)/2)))</f>
        <v/>
      </c>
      <c r="AF907">
        <f>IF(OR(AF$4="",$A907&gt;TODAY()),0,IF(OR(INDEX($B907:$D907,AF$5)="F",AND(AF$6&gt;0,$A907&lt;AF$6),AND(AF$7&gt;0,$A907&gt;AF$7)),0,MAX(0,ROUND((INDEX($E907:$G907,AF$5)-SUMIFS(TF_Timer,TF_Tekniker,AF$4,TF_Dato,$A907))*2,0)/2)))</f>
        <v/>
      </c>
      <c r="AG907">
        <f>IF(OR(AG$4="",$A907&gt;TODAY()),0,IF(OR(INDEX($B907:$D907,AG$5)="F",AND(AG$6&gt;0,$A907&lt;AG$6),AND(AG$7&gt;0,$A907&gt;AG$7)),0,MAX(0,ROUND((INDEX($E907:$G907,AG$5)-SUMIFS(TF_Timer,TF_Tekniker,AG$4,TF_Dato,$A907))*2,0)/2)))</f>
        <v/>
      </c>
      <c r="AH907">
        <f>IF(OR(AH$4="",$A907&gt;TODAY()),0,IF(OR(INDEX($B907:$D907,AH$5)="F",AND(AH$6&gt;0,$A907&lt;AH$6),AND(AH$7&gt;0,$A907&gt;AH$7)),0,MAX(0,ROUND((INDEX($E907:$G907,AH$5)-SUMIFS(TF_Timer,TF_Tekniker,AH$4,TF_Dato,$A907))*2,0)/2)))</f>
        <v/>
      </c>
      <c r="AI907">
        <f>IF(OR(AI$4="",$A907&gt;TODAY()),0,IF(OR(INDEX($B907:$D907,AI$5)="F",AND(AI$6&gt;0,$A907&lt;AI$6),AND(AI$7&gt;0,$A907&gt;AI$7)),0,MAX(0,ROUND((INDEX($E907:$G907,AI$5)-SUMIFS(TF_Timer,TF_Tekniker,AI$4,TF_Dato,$A907))*2,0)/2)))</f>
        <v/>
      </c>
      <c r="AJ907">
        <f>IF(OR(AJ$4="",$A907&gt;TODAY()),0,IF(OR(INDEX($B907:$D907,AJ$5)="F",AND(AJ$6&gt;0,$A907&lt;AJ$6),AND(AJ$7&gt;0,$A907&gt;AJ$7)),0,MAX(0,ROUND((INDEX($E907:$G907,AJ$5)-SUMIFS(TF_Timer,TF_Tekniker,AJ$4,TF_Dato,$A907))*2,0)/2)))</f>
        <v/>
      </c>
      <c r="AK907">
        <f>IF(OR(AK$4="",$A907&gt;TODAY()),0,IF(OR(INDEX($B907:$D907,AK$5)="F",AND(AK$6&gt;0,$A907&lt;AK$6),AND(AK$7&gt;0,$A907&gt;AK$7)),0,MAX(0,ROUND((INDEX($E907:$G907,AK$5)-SUMIFS(TF_Timer,TF_Tekniker,AK$4,TF_Dato,$A907))*2,0)/2)))</f>
        <v/>
      </c>
      <c r="AL907">
        <f>IF(OR(AL$4="",$A907&gt;TODAY()),0,IF(OR(INDEX($B907:$D907,AL$5)="F",AND(AL$6&gt;0,$A907&lt;AL$6),AND(AL$7&gt;0,$A907&gt;AL$7)),0,MAX(0,ROUND((INDEX($E907:$G907,AL$5)-SUMIFS(TF_Timer,TF_Tekniker,AL$4,TF_Dato,$A907))*2,0)/2)))</f>
        <v/>
      </c>
      <c r="AM907">
        <f>IF(OR(AM$4="",$A907&gt;TODAY()),0,IF(OR(INDEX($B907:$D907,AM$5)="F",AND(AM$6&gt;0,$A907&lt;AM$6),AND(AM$7&gt;0,$A907&gt;AM$7)),0,MAX(0,ROUND((INDEX($E907:$G907,AM$5)-SUMIFS(TF_Timer,TF_Tekniker,AM$4,TF_Dato,$A907))*2,0)/2)))</f>
        <v/>
      </c>
      <c r="AN907">
        <f>IF(OR(AN$4="",$A907&gt;TODAY()),0,IF(OR(INDEX($B907:$D907,AN$5)="F",AND(AN$6&gt;0,$A907&lt;AN$6),AND(AN$7&gt;0,$A907&gt;AN$7)),0,MAX(0,ROUND((INDEX($E907:$G907,AN$5)-SUMIFS(TF_Timer,TF_Tekniker,AN$4,TF_Dato,$A907))*2,0)/2)))</f>
        <v/>
      </c>
      <c r="AO907">
        <f>IF(OR(AO$4="",$A907&gt;TODAY()),0,IF(OR(INDEX($B907:$D907,AO$5)="F",AND(AO$6&gt;0,$A907&lt;AO$6),AND(AO$7&gt;0,$A907&gt;AO$7)),0,MAX(0,ROUND((INDEX($E907:$G907,AO$5)-SUMIFS(TF_Timer,TF_Tekniker,AO$4,TF_Dato,$A907))*2,0)/2)))</f>
        <v/>
      </c>
      <c r="AP907">
        <f>IF(OR(AP$4="",$A907&gt;TODAY()),0,IF(OR(INDEX($B907:$D907,AP$5)="F",AND(AP$6&gt;0,$A907&lt;AP$6),AND(AP$7&gt;0,$A907&gt;AP$7)),0,MAX(0,ROUND((INDEX($E907:$G907,AP$5)-SUMIFS(TF_Timer,TF_Tekniker,AP$4,TF_Dato,$A907))*2,0)/2)))</f>
        <v/>
      </c>
      <c r="AQ907">
        <f>IF(OR(AQ$4="",$A907&gt;TODAY()),0,IF(OR(INDEX($B907:$D907,AQ$5)="F",AND(AQ$6&gt;0,$A907&lt;AQ$6),AND(AQ$7&gt;0,$A907&gt;AQ$7)),0,MAX(0,ROUND((INDEX($E907:$G907,AQ$5)-SUMIFS(TF_Timer,TF_Tekniker,AQ$4,TF_Dato,$A907))*2,0)/2)))</f>
        <v/>
      </c>
      <c r="AR907">
        <f>IF(OR(AR$4="",$A907&gt;TODAY()),0,IF(OR(INDEX($B907:$D907,AR$5)="F",AND(AR$6&gt;0,$A907&lt;AR$6),AND(AR$7&gt;0,$A907&gt;AR$7)),0,MAX(0,ROUND((INDEX($E907:$G907,AR$5)-SUMIFS(TF_Timer,TF_Tekniker,AR$4,TF_Dato,$A907))*2,0)/2)))</f>
        <v/>
      </c>
      <c r="AS907">
        <f>IF(OR(AS$4="",$A907&gt;TODAY()),0,IF(OR(INDEX($B907:$D907,AS$5)="F",AND(AS$6&gt;0,$A907&lt;AS$6),AND(AS$7&gt;0,$A907&gt;AS$7)),0,MAX(0,ROUND((INDEX($E907:$G907,AS$5)-SUMIFS(TF_Timer,TF_Tekniker,AS$4,TF_Dato,$A907))*2,0)/2)))</f>
        <v/>
      </c>
      <c r="AT907">
        <f>IF(OR(AT$4="",$A907&gt;TODAY()),0,IF(OR(INDEX($B907:$D907,AT$5)="F",AND(AT$6&gt;0,$A907&lt;AT$6),AND(AT$7&gt;0,$A907&gt;AT$7)),0,MAX(0,ROUND((INDEX($E907:$G907,AT$5)-SUMIFS(TF_Timer,TF_Tekniker,AT$4,TF_Dato,$A907))*2,0)/2)))</f>
        <v/>
      </c>
      <c r="AU907">
        <f>IF(OR(AU$4="",$A907&gt;TODAY()),0,IF(OR(INDEX($B907:$D907,AU$5)="F",AND(AU$6&gt;0,$A907&lt;AU$6),AND(AU$7&gt;0,$A907&gt;AU$7)),0,MAX(0,ROUND((INDEX($E907:$G907,AU$5)-SUMIFS(TF_Timer,TF_Tekniker,AU$4,TF_Dato,$A907))*2,0)/2)))</f>
        <v/>
      </c>
      <c r="AV907">
        <f>IF(OR(AV$4="",$A907&gt;TODAY()),0,IF(OR(INDEX($B907:$D907,AV$5)="F",AND(AV$6&gt;0,$A907&lt;AV$6),AND(AV$7&gt;0,$A907&gt;AV$7)),0,MAX(0,ROUND((INDEX($E907:$G907,AV$5)-SUMIFS(TF_Timer,TF_Tekniker,AV$4,TF_Dato,$A907))*2,0)/2)))</f>
        <v/>
      </c>
      <c r="AW907">
        <f>IF(OR(AW$4="",$A907&gt;TODAY()),0,IF(OR(INDEX($B907:$D907,AW$5)="F",AND(AW$6&gt;0,$A907&lt;AW$6),AND(AW$7&gt;0,$A907&gt;AW$7)),0,MAX(0,ROUND((INDEX($E907:$G907,AW$5)-SUMIFS(TF_Timer,TF_Tekniker,AW$4,TF_Dato,$A907))*2,0)/2)))</f>
        <v/>
      </c>
      <c r="AX907">
        <f>IF(OR(AX$4="",$A907&gt;TODAY()),0,IF(OR(INDEX($B907:$D907,AX$5)="F",AND(AX$6&gt;0,$A907&lt;AX$6),AND(AX$7&gt;0,$A907&gt;AX$7)),0,MAX(0,ROUND((INDEX($E907:$G907,AX$5)-SUMIFS(TF_Timer,TF_Tekniker,AX$4,TF_Dato,$A907))*2,0)/2)))</f>
        <v/>
      </c>
      <c r="AY907">
        <f>IF(OR(AY$4="",$A907&gt;TODAY()),0,IF(OR(INDEX($B907:$D907,AY$5)="F",AND(AY$6&gt;0,$A907&lt;AY$6),AND(AY$7&gt;0,$A907&gt;AY$7)),0,MAX(0,ROUND((INDEX($E907:$G907,AY$5)-SUMIFS(TF_Timer,TF_Tekniker,AY$4,TF_Dato,$A907))*2,0)/2)))</f>
        <v/>
      </c>
      <c r="AZ907">
        <f>IF(OR(AZ$4="",$A907&gt;TODAY()),0,IF(OR(INDEX($B907:$D907,AZ$5)="F",AND(AZ$6&gt;0,$A907&lt;AZ$6),AND(AZ$7&gt;0,$A907&gt;AZ$7)),0,MAX(0,ROUND((INDEX($E907:$G907,AZ$5)-SUMIFS(TF_Timer,TF_Tekniker,AZ$4,TF_Dato,$A907))*2,0)/2)))</f>
        <v/>
      </c>
      <c r="BA907">
        <f>IF(OR(BA$4="",$A907&gt;TODAY()),0,IF(OR(INDEX($B907:$D907,BA$5)="F",AND(BA$6&gt;0,$A907&lt;BA$6),AND(BA$7&gt;0,$A907&gt;BA$7)),0,MAX(0,ROUND((INDEX($E907:$G907,BA$5)-SUMIFS(TF_Timer,TF_Tekniker,BA$4,TF_Dato,$A907))*2,0)/2)))</f>
        <v/>
      </c>
      <c r="BB907">
        <f>IF(OR(BB$4="",$A907&gt;TODAY()),0,IF(OR(INDEX($B907:$D907,BB$5)="F",AND(BB$6&gt;0,$A907&lt;BB$6),AND(BB$7&gt;0,$A907&gt;BB$7)),0,MAX(0,ROUND((INDEX($E907:$G907,BB$5)-SUMIFS(TF_Timer,TF_Tekniker,BB$4,TF_Dato,$A907))*2,0)/2)))</f>
        <v/>
      </c>
      <c r="BC907">
        <f>IF(OR(BC$4="",$A907&gt;TODAY()),0,IF(OR(INDEX($B907:$D907,BC$5)="F",AND(BC$6&gt;0,$A907&lt;BC$6),AND(BC$7&gt;0,$A907&gt;BC$7)),0,MAX(0,ROUND((INDEX($E907:$G907,BC$5)-SUMIFS(TF_Timer,TF_Tekniker,BC$4,TF_Dato,$A907))*2,0)/2)))</f>
        <v/>
      </c>
      <c r="BD907">
        <f>IF(OR(BD$4="",$A907&gt;TODAY()),0,IF(OR(INDEX($B907:$D907,BD$5)="F",AND(BD$6&gt;0,$A907&lt;BD$6),AND(BD$7&gt;0,$A907&gt;BD$7)),0,MAX(0,ROUND((INDEX($E907:$G907,BD$5)-SUMIFS(TF_Timer,TF_Tekniker,BD$4,TF_Dato,$A907))*2,0)/2)))</f>
        <v/>
      </c>
      <c r="BE907">
        <f>IF(OR(BE$4="",$A907&gt;TODAY()),0,IF(OR(INDEX($B907:$D907,BE$5)="F",AND(BE$6&gt;0,$A907&lt;BE$6),AND(BE$7&gt;0,$A907&gt;BE$7)),0,MAX(0,ROUND((INDEX($E907:$G907,BE$5)-SUMIFS(TF_Timer,TF_Tekniker,BE$4,TF_Dato,$A907))*2,0)/2)))</f>
        <v/>
      </c>
      <c r="BF907">
        <f>IF(OR(BF$4="",$A907&gt;TODAY()),0,IF(OR(INDEX($B907:$D907,BF$5)="F",AND(BF$6&gt;0,$A907&lt;BF$6),AND(BF$7&gt;0,$A907&gt;BF$7)),0,MAX(0,ROUND((INDEX($E907:$G907,BF$5)-SUMIFS(TF_Timer,TF_Tekniker,BF$4,TF_Dato,$A907))*2,0)/2)))</f>
        <v/>
      </c>
      <c r="BG907">
        <f>IF(OR(BG$4="",$A907&gt;TODAY()),0,IF(OR(INDEX($B907:$D907,BG$5)="F",AND(BG$6&gt;0,$A907&lt;BG$6),AND(BG$7&gt;0,$A907&gt;BG$7)),0,MAX(0,ROUND((INDEX($E907:$G907,BG$5)-SUMIFS(TF_Timer,TF_Tekniker,BG$4,TF_Dato,$A907))*2,0)/2)))</f>
        <v/>
      </c>
      <c r="BH907">
        <f>IF(OR(BH$4="",$A907&gt;TODAY()),0,IF(OR(INDEX($B907:$D907,BH$5)="F",AND(BH$6&gt;0,$A907&lt;BH$6),AND(BH$7&gt;0,$A907&gt;BH$7)),0,MAX(0,ROUND((INDEX($E907:$G907,BH$5)-SUMIFS(TF_Timer,TF_Tekniker,BH$4,TF_Dato,$A907))*2,0)/2)))</f>
        <v/>
      </c>
      <c r="BI907">
        <f>IF(OR(BI$4="",$A907&gt;TODAY()),0,IF(OR(INDEX($B907:$D907,BI$5)="F",AND(BI$6&gt;0,$A907&lt;BI$6),AND(BI$7&gt;0,$A907&gt;BI$7)),0,MAX(0,ROUND((INDEX($E907:$G907,BI$5)-SUMIFS(TF_Timer,TF_Tekniker,BI$4,TF_Dato,$A907))*2,0)/2)))</f>
        <v/>
      </c>
    </row>
    <row r="908">
      <c r="A908" s="64">
        <f>A907+1</f>
        <v/>
      </c>
      <c r="B908">
        <f>IF(MOD($A908-INDEX(SkiftStart,1),Syklus)&lt;DagK,"K",IF(MOD($A908-INDEX(SkiftStart,1),Syklus)&lt;DagK+DagH,"H",IF(MOD($A908-INDEX(SkiftStart,1),Syklus)&lt;DagK+DagH+DagD,"D","F")))</f>
        <v/>
      </c>
      <c r="C908">
        <f>IF(MOD($A908-INDEX(SkiftStart,2),Syklus)&lt;DagK,"K",IF(MOD($A908-INDEX(SkiftStart,2),Syklus)&lt;DagK+DagH,"H",IF(MOD($A908-INDEX(SkiftStart,2),Syklus)&lt;DagK+DagH+DagD,"D","F")))</f>
        <v/>
      </c>
      <c r="D908">
        <f>IF(MOD($A908-INDEX(SkiftStart,3),Syklus)&lt;DagK,"K",IF(MOD($A908-INDEX(SkiftStart,3),Syklus)&lt;DagK+DagH,"H",IF(MOD($A908-INDEX(SkiftStart,3),Syklus)&lt;DagK+DagH+DagD,"D","F")))</f>
        <v/>
      </c>
      <c r="E908">
        <f>IF(B908="F",0,IF(WEEKDAY($A908,2)=5,INDEX(TimerFr,MATCH(B908,FaseKode,0)),INDEX(TimerMT,MATCH(B908,FaseKode,0))))</f>
        <v/>
      </c>
      <c r="F908">
        <f>IF(C908="F",0,IF(WEEKDAY($A908,2)=5,INDEX(TimerFr,MATCH(C908,FaseKode,0)),INDEX(TimerMT,MATCH(C908,FaseKode,0))))</f>
        <v/>
      </c>
      <c r="G908">
        <f>IF(D908="F",0,IF(WEEKDAY($A908,2)=5,INDEX(TimerFr,MATCH(D908,FaseKode,0)),INDEX(TimerMT,MATCH(D908,FaseKode,0))))</f>
        <v/>
      </c>
      <c r="H908">
        <f>IF(OR(H$4="",$A908&gt;TODAY()),0,IF(OR(INDEX($B908:$D908,H$5)="F",AND(H$6&gt;0,$A908&lt;H$6),AND(H$7&gt;0,$A908&gt;H$7)),0,MAX(0,ROUND((INDEX($E908:$G908,H$5)-SUMIFS(TF_Timer,TF_Tekniker,H$4,TF_Dato,$A908))*2,0)/2)))</f>
        <v/>
      </c>
      <c r="I908">
        <f>IF(OR(I$4="",$A908&gt;TODAY()),0,IF(OR(INDEX($B908:$D908,I$5)="F",AND(I$6&gt;0,$A908&lt;I$6),AND(I$7&gt;0,$A908&gt;I$7)),0,MAX(0,ROUND((INDEX($E908:$G908,I$5)-SUMIFS(TF_Timer,TF_Tekniker,I$4,TF_Dato,$A908))*2,0)/2)))</f>
        <v/>
      </c>
      <c r="J908">
        <f>IF(OR(J$4="",$A908&gt;TODAY()),0,IF(OR(INDEX($B908:$D908,J$5)="F",AND(J$6&gt;0,$A908&lt;J$6),AND(J$7&gt;0,$A908&gt;J$7)),0,MAX(0,ROUND((INDEX($E908:$G908,J$5)-SUMIFS(TF_Timer,TF_Tekniker,J$4,TF_Dato,$A908))*2,0)/2)))</f>
        <v/>
      </c>
      <c r="K908">
        <f>IF(OR(K$4="",$A908&gt;TODAY()),0,IF(OR(INDEX($B908:$D908,K$5)="F",AND(K$6&gt;0,$A908&lt;K$6),AND(K$7&gt;0,$A908&gt;K$7)),0,MAX(0,ROUND((INDEX($E908:$G908,K$5)-SUMIFS(TF_Timer,TF_Tekniker,K$4,TF_Dato,$A908))*2,0)/2)))</f>
        <v/>
      </c>
      <c r="L908">
        <f>IF(OR(L$4="",$A908&gt;TODAY()),0,IF(OR(INDEX($B908:$D908,L$5)="F",AND(L$6&gt;0,$A908&lt;L$6),AND(L$7&gt;0,$A908&gt;L$7)),0,MAX(0,ROUND((INDEX($E908:$G908,L$5)-SUMIFS(TF_Timer,TF_Tekniker,L$4,TF_Dato,$A908))*2,0)/2)))</f>
        <v/>
      </c>
      <c r="M908">
        <f>IF(OR(M$4="",$A908&gt;TODAY()),0,IF(OR(INDEX($B908:$D908,M$5)="F",AND(M$6&gt;0,$A908&lt;M$6),AND(M$7&gt;0,$A908&gt;M$7)),0,MAX(0,ROUND((INDEX($E908:$G908,M$5)-SUMIFS(TF_Timer,TF_Tekniker,M$4,TF_Dato,$A908))*2,0)/2)))</f>
        <v/>
      </c>
      <c r="N908">
        <f>IF(OR(N$4="",$A908&gt;TODAY()),0,IF(OR(INDEX($B908:$D908,N$5)="F",AND(N$6&gt;0,$A908&lt;N$6),AND(N$7&gt;0,$A908&gt;N$7)),0,MAX(0,ROUND((INDEX($E908:$G908,N$5)-SUMIFS(TF_Timer,TF_Tekniker,N$4,TF_Dato,$A908))*2,0)/2)))</f>
        <v/>
      </c>
      <c r="O908">
        <f>IF(OR(O$4="",$A908&gt;TODAY()),0,IF(OR(INDEX($B908:$D908,O$5)="F",AND(O$6&gt;0,$A908&lt;O$6),AND(O$7&gt;0,$A908&gt;O$7)),0,MAX(0,ROUND((INDEX($E908:$G908,O$5)-SUMIFS(TF_Timer,TF_Tekniker,O$4,TF_Dato,$A908))*2,0)/2)))</f>
        <v/>
      </c>
      <c r="P908">
        <f>IF(OR(P$4="",$A908&gt;TODAY()),0,IF(OR(INDEX($B908:$D908,P$5)="F",AND(P$6&gt;0,$A908&lt;P$6),AND(P$7&gt;0,$A908&gt;P$7)),0,MAX(0,ROUND((INDEX($E908:$G908,P$5)-SUMIFS(TF_Timer,TF_Tekniker,P$4,TF_Dato,$A908))*2,0)/2)))</f>
        <v/>
      </c>
      <c r="Q908">
        <f>IF(OR(Q$4="",$A908&gt;TODAY()),0,IF(OR(INDEX($B908:$D908,Q$5)="F",AND(Q$6&gt;0,$A908&lt;Q$6),AND(Q$7&gt;0,$A908&gt;Q$7)),0,MAX(0,ROUND((INDEX($E908:$G908,Q$5)-SUMIFS(TF_Timer,TF_Tekniker,Q$4,TF_Dato,$A908))*2,0)/2)))</f>
        <v/>
      </c>
      <c r="R908">
        <f>IF(OR(R$4="",$A908&gt;TODAY()),0,IF(OR(INDEX($B908:$D908,R$5)="F",AND(R$6&gt;0,$A908&lt;R$6),AND(R$7&gt;0,$A908&gt;R$7)),0,MAX(0,ROUND((INDEX($E908:$G908,R$5)-SUMIFS(TF_Timer,TF_Tekniker,R$4,TF_Dato,$A908))*2,0)/2)))</f>
        <v/>
      </c>
      <c r="S908">
        <f>IF(OR(S$4="",$A908&gt;TODAY()),0,IF(OR(INDEX($B908:$D908,S$5)="F",AND(S$6&gt;0,$A908&lt;S$6),AND(S$7&gt;0,$A908&gt;S$7)),0,MAX(0,ROUND((INDEX($E908:$G908,S$5)-SUMIFS(TF_Timer,TF_Tekniker,S$4,TF_Dato,$A908))*2,0)/2)))</f>
        <v/>
      </c>
      <c r="T908">
        <f>IF(OR(T$4="",$A908&gt;TODAY()),0,IF(OR(INDEX($B908:$D908,T$5)="F",AND(T$6&gt;0,$A908&lt;T$6),AND(T$7&gt;0,$A908&gt;T$7)),0,MAX(0,ROUND((INDEX($E908:$G908,T$5)-SUMIFS(TF_Timer,TF_Tekniker,T$4,TF_Dato,$A908))*2,0)/2)))</f>
        <v/>
      </c>
      <c r="U908">
        <f>IF(OR(U$4="",$A908&gt;TODAY()),0,IF(OR(INDEX($B908:$D908,U$5)="F",AND(U$6&gt;0,$A908&lt;U$6),AND(U$7&gt;0,$A908&gt;U$7)),0,MAX(0,ROUND((INDEX($E908:$G908,U$5)-SUMIFS(TF_Timer,TF_Tekniker,U$4,TF_Dato,$A908))*2,0)/2)))</f>
        <v/>
      </c>
      <c r="V908">
        <f>IF(OR(V$4="",$A908&gt;TODAY()),0,IF(OR(INDEX($B908:$D908,V$5)="F",AND(V$6&gt;0,$A908&lt;V$6),AND(V$7&gt;0,$A908&gt;V$7)),0,MAX(0,ROUND((INDEX($E908:$G908,V$5)-SUMIFS(TF_Timer,TF_Tekniker,V$4,TF_Dato,$A908))*2,0)/2)))</f>
        <v/>
      </c>
      <c r="W908">
        <f>IF(OR(W$4="",$A908&gt;TODAY()),0,IF(OR(INDEX($B908:$D908,W$5)="F",AND(W$6&gt;0,$A908&lt;W$6),AND(W$7&gt;0,$A908&gt;W$7)),0,MAX(0,ROUND((INDEX($E908:$G908,W$5)-SUMIFS(TF_Timer,TF_Tekniker,W$4,TF_Dato,$A908))*2,0)/2)))</f>
        <v/>
      </c>
      <c r="X908">
        <f>IF(OR(X$4="",$A908&gt;TODAY()),0,IF(OR(INDEX($B908:$D908,X$5)="F",AND(X$6&gt;0,$A908&lt;X$6),AND(X$7&gt;0,$A908&gt;X$7)),0,MAX(0,ROUND((INDEX($E908:$G908,X$5)-SUMIFS(TF_Timer,TF_Tekniker,X$4,TF_Dato,$A908))*2,0)/2)))</f>
        <v/>
      </c>
      <c r="Y908">
        <f>IF(OR(Y$4="",$A908&gt;TODAY()),0,IF(OR(INDEX($B908:$D908,Y$5)="F",AND(Y$6&gt;0,$A908&lt;Y$6),AND(Y$7&gt;0,$A908&gt;Y$7)),0,MAX(0,ROUND((INDEX($E908:$G908,Y$5)-SUMIFS(TF_Timer,TF_Tekniker,Y$4,TF_Dato,$A908))*2,0)/2)))</f>
        <v/>
      </c>
      <c r="Z908">
        <f>IF(OR(Z$4="",$A908&gt;TODAY()),0,IF(OR(INDEX($B908:$D908,Z$5)="F",AND(Z$6&gt;0,$A908&lt;Z$6),AND(Z$7&gt;0,$A908&gt;Z$7)),0,MAX(0,ROUND((INDEX($E908:$G908,Z$5)-SUMIFS(TF_Timer,TF_Tekniker,Z$4,TF_Dato,$A908))*2,0)/2)))</f>
        <v/>
      </c>
      <c r="AA908">
        <f>IF(OR(AA$4="",$A908&gt;TODAY()),0,IF(OR(INDEX($B908:$D908,AA$5)="F",AND(AA$6&gt;0,$A908&lt;AA$6),AND(AA$7&gt;0,$A908&gt;AA$7)),0,MAX(0,ROUND((INDEX($E908:$G908,AA$5)-SUMIFS(TF_Timer,TF_Tekniker,AA$4,TF_Dato,$A908))*2,0)/2)))</f>
        <v/>
      </c>
      <c r="AB908">
        <f>IF(OR(AB$4="",$A908&gt;TODAY()),0,IF(OR(INDEX($B908:$D908,AB$5)="F",AND(AB$6&gt;0,$A908&lt;AB$6),AND(AB$7&gt;0,$A908&gt;AB$7)),0,MAX(0,ROUND((INDEX($E908:$G908,AB$5)-SUMIFS(TF_Timer,TF_Tekniker,AB$4,TF_Dato,$A908))*2,0)/2)))</f>
        <v/>
      </c>
      <c r="AC908">
        <f>IF(OR(AC$4="",$A908&gt;TODAY()),0,IF(OR(INDEX($B908:$D908,AC$5)="F",AND(AC$6&gt;0,$A908&lt;AC$6),AND(AC$7&gt;0,$A908&gt;AC$7)),0,MAX(0,ROUND((INDEX($E908:$G908,AC$5)-SUMIFS(TF_Timer,TF_Tekniker,AC$4,TF_Dato,$A908))*2,0)/2)))</f>
        <v/>
      </c>
      <c r="AD908">
        <f>IF(OR(AD$4="",$A908&gt;TODAY()),0,IF(OR(INDEX($B908:$D908,AD$5)="F",AND(AD$6&gt;0,$A908&lt;AD$6),AND(AD$7&gt;0,$A908&gt;AD$7)),0,MAX(0,ROUND((INDEX($E908:$G908,AD$5)-SUMIFS(TF_Timer,TF_Tekniker,AD$4,TF_Dato,$A908))*2,0)/2)))</f>
        <v/>
      </c>
      <c r="AE908">
        <f>IF(OR(AE$4="",$A908&gt;TODAY()),0,IF(OR(INDEX($B908:$D908,AE$5)="F",AND(AE$6&gt;0,$A908&lt;AE$6),AND(AE$7&gt;0,$A908&gt;AE$7)),0,MAX(0,ROUND((INDEX($E908:$G908,AE$5)-SUMIFS(TF_Timer,TF_Tekniker,AE$4,TF_Dato,$A908))*2,0)/2)))</f>
        <v/>
      </c>
      <c r="AF908">
        <f>IF(OR(AF$4="",$A908&gt;TODAY()),0,IF(OR(INDEX($B908:$D908,AF$5)="F",AND(AF$6&gt;0,$A908&lt;AF$6),AND(AF$7&gt;0,$A908&gt;AF$7)),0,MAX(0,ROUND((INDEX($E908:$G908,AF$5)-SUMIFS(TF_Timer,TF_Tekniker,AF$4,TF_Dato,$A908))*2,0)/2)))</f>
        <v/>
      </c>
      <c r="AG908">
        <f>IF(OR(AG$4="",$A908&gt;TODAY()),0,IF(OR(INDEX($B908:$D908,AG$5)="F",AND(AG$6&gt;0,$A908&lt;AG$6),AND(AG$7&gt;0,$A908&gt;AG$7)),0,MAX(0,ROUND((INDEX($E908:$G908,AG$5)-SUMIFS(TF_Timer,TF_Tekniker,AG$4,TF_Dato,$A908))*2,0)/2)))</f>
        <v/>
      </c>
      <c r="AH908">
        <f>IF(OR(AH$4="",$A908&gt;TODAY()),0,IF(OR(INDEX($B908:$D908,AH$5)="F",AND(AH$6&gt;0,$A908&lt;AH$6),AND(AH$7&gt;0,$A908&gt;AH$7)),0,MAX(0,ROUND((INDEX($E908:$G908,AH$5)-SUMIFS(TF_Timer,TF_Tekniker,AH$4,TF_Dato,$A908))*2,0)/2)))</f>
        <v/>
      </c>
      <c r="AI908">
        <f>IF(OR(AI$4="",$A908&gt;TODAY()),0,IF(OR(INDEX($B908:$D908,AI$5)="F",AND(AI$6&gt;0,$A908&lt;AI$6),AND(AI$7&gt;0,$A908&gt;AI$7)),0,MAX(0,ROUND((INDEX($E908:$G908,AI$5)-SUMIFS(TF_Timer,TF_Tekniker,AI$4,TF_Dato,$A908))*2,0)/2)))</f>
        <v/>
      </c>
      <c r="AJ908">
        <f>IF(OR(AJ$4="",$A908&gt;TODAY()),0,IF(OR(INDEX($B908:$D908,AJ$5)="F",AND(AJ$6&gt;0,$A908&lt;AJ$6),AND(AJ$7&gt;0,$A908&gt;AJ$7)),0,MAX(0,ROUND((INDEX($E908:$G908,AJ$5)-SUMIFS(TF_Timer,TF_Tekniker,AJ$4,TF_Dato,$A908))*2,0)/2)))</f>
        <v/>
      </c>
      <c r="AK908">
        <f>IF(OR(AK$4="",$A908&gt;TODAY()),0,IF(OR(INDEX($B908:$D908,AK$5)="F",AND(AK$6&gt;0,$A908&lt;AK$6),AND(AK$7&gt;0,$A908&gt;AK$7)),0,MAX(0,ROUND((INDEX($E908:$G908,AK$5)-SUMIFS(TF_Timer,TF_Tekniker,AK$4,TF_Dato,$A908))*2,0)/2)))</f>
        <v/>
      </c>
      <c r="AL908">
        <f>IF(OR(AL$4="",$A908&gt;TODAY()),0,IF(OR(INDEX($B908:$D908,AL$5)="F",AND(AL$6&gt;0,$A908&lt;AL$6),AND(AL$7&gt;0,$A908&gt;AL$7)),0,MAX(0,ROUND((INDEX($E908:$G908,AL$5)-SUMIFS(TF_Timer,TF_Tekniker,AL$4,TF_Dato,$A908))*2,0)/2)))</f>
        <v/>
      </c>
      <c r="AM908">
        <f>IF(OR(AM$4="",$A908&gt;TODAY()),0,IF(OR(INDEX($B908:$D908,AM$5)="F",AND(AM$6&gt;0,$A908&lt;AM$6),AND(AM$7&gt;0,$A908&gt;AM$7)),0,MAX(0,ROUND((INDEX($E908:$G908,AM$5)-SUMIFS(TF_Timer,TF_Tekniker,AM$4,TF_Dato,$A908))*2,0)/2)))</f>
        <v/>
      </c>
      <c r="AN908">
        <f>IF(OR(AN$4="",$A908&gt;TODAY()),0,IF(OR(INDEX($B908:$D908,AN$5)="F",AND(AN$6&gt;0,$A908&lt;AN$6),AND(AN$7&gt;0,$A908&gt;AN$7)),0,MAX(0,ROUND((INDEX($E908:$G908,AN$5)-SUMIFS(TF_Timer,TF_Tekniker,AN$4,TF_Dato,$A908))*2,0)/2)))</f>
        <v/>
      </c>
      <c r="AO908">
        <f>IF(OR(AO$4="",$A908&gt;TODAY()),0,IF(OR(INDEX($B908:$D908,AO$5)="F",AND(AO$6&gt;0,$A908&lt;AO$6),AND(AO$7&gt;0,$A908&gt;AO$7)),0,MAX(0,ROUND((INDEX($E908:$G908,AO$5)-SUMIFS(TF_Timer,TF_Tekniker,AO$4,TF_Dato,$A908))*2,0)/2)))</f>
        <v/>
      </c>
      <c r="AP908">
        <f>IF(OR(AP$4="",$A908&gt;TODAY()),0,IF(OR(INDEX($B908:$D908,AP$5)="F",AND(AP$6&gt;0,$A908&lt;AP$6),AND(AP$7&gt;0,$A908&gt;AP$7)),0,MAX(0,ROUND((INDEX($E908:$G908,AP$5)-SUMIFS(TF_Timer,TF_Tekniker,AP$4,TF_Dato,$A908))*2,0)/2)))</f>
        <v/>
      </c>
      <c r="AQ908">
        <f>IF(OR(AQ$4="",$A908&gt;TODAY()),0,IF(OR(INDEX($B908:$D908,AQ$5)="F",AND(AQ$6&gt;0,$A908&lt;AQ$6),AND(AQ$7&gt;0,$A908&gt;AQ$7)),0,MAX(0,ROUND((INDEX($E908:$G908,AQ$5)-SUMIFS(TF_Timer,TF_Tekniker,AQ$4,TF_Dato,$A908))*2,0)/2)))</f>
        <v/>
      </c>
      <c r="AR908">
        <f>IF(OR(AR$4="",$A908&gt;TODAY()),0,IF(OR(INDEX($B908:$D908,AR$5)="F",AND(AR$6&gt;0,$A908&lt;AR$6),AND(AR$7&gt;0,$A908&gt;AR$7)),0,MAX(0,ROUND((INDEX($E908:$G908,AR$5)-SUMIFS(TF_Timer,TF_Tekniker,AR$4,TF_Dato,$A908))*2,0)/2)))</f>
        <v/>
      </c>
      <c r="AS908">
        <f>IF(OR(AS$4="",$A908&gt;TODAY()),0,IF(OR(INDEX($B908:$D908,AS$5)="F",AND(AS$6&gt;0,$A908&lt;AS$6),AND(AS$7&gt;0,$A908&gt;AS$7)),0,MAX(0,ROUND((INDEX($E908:$G908,AS$5)-SUMIFS(TF_Timer,TF_Tekniker,AS$4,TF_Dato,$A908))*2,0)/2)))</f>
        <v/>
      </c>
      <c r="AT908">
        <f>IF(OR(AT$4="",$A908&gt;TODAY()),0,IF(OR(INDEX($B908:$D908,AT$5)="F",AND(AT$6&gt;0,$A908&lt;AT$6),AND(AT$7&gt;0,$A908&gt;AT$7)),0,MAX(0,ROUND((INDEX($E908:$G908,AT$5)-SUMIFS(TF_Timer,TF_Tekniker,AT$4,TF_Dato,$A908))*2,0)/2)))</f>
        <v/>
      </c>
      <c r="AU908">
        <f>IF(OR(AU$4="",$A908&gt;TODAY()),0,IF(OR(INDEX($B908:$D908,AU$5)="F",AND(AU$6&gt;0,$A908&lt;AU$6),AND(AU$7&gt;0,$A908&gt;AU$7)),0,MAX(0,ROUND((INDEX($E908:$G908,AU$5)-SUMIFS(TF_Timer,TF_Tekniker,AU$4,TF_Dato,$A908))*2,0)/2)))</f>
        <v/>
      </c>
      <c r="AV908">
        <f>IF(OR(AV$4="",$A908&gt;TODAY()),0,IF(OR(INDEX($B908:$D908,AV$5)="F",AND(AV$6&gt;0,$A908&lt;AV$6),AND(AV$7&gt;0,$A908&gt;AV$7)),0,MAX(0,ROUND((INDEX($E908:$G908,AV$5)-SUMIFS(TF_Timer,TF_Tekniker,AV$4,TF_Dato,$A908))*2,0)/2)))</f>
        <v/>
      </c>
      <c r="AW908">
        <f>IF(OR(AW$4="",$A908&gt;TODAY()),0,IF(OR(INDEX($B908:$D908,AW$5)="F",AND(AW$6&gt;0,$A908&lt;AW$6),AND(AW$7&gt;0,$A908&gt;AW$7)),0,MAX(0,ROUND((INDEX($E908:$G908,AW$5)-SUMIFS(TF_Timer,TF_Tekniker,AW$4,TF_Dato,$A908))*2,0)/2)))</f>
        <v/>
      </c>
      <c r="AX908">
        <f>IF(OR(AX$4="",$A908&gt;TODAY()),0,IF(OR(INDEX($B908:$D908,AX$5)="F",AND(AX$6&gt;0,$A908&lt;AX$6),AND(AX$7&gt;0,$A908&gt;AX$7)),0,MAX(0,ROUND((INDEX($E908:$G908,AX$5)-SUMIFS(TF_Timer,TF_Tekniker,AX$4,TF_Dato,$A908))*2,0)/2)))</f>
        <v/>
      </c>
      <c r="AY908">
        <f>IF(OR(AY$4="",$A908&gt;TODAY()),0,IF(OR(INDEX($B908:$D908,AY$5)="F",AND(AY$6&gt;0,$A908&lt;AY$6),AND(AY$7&gt;0,$A908&gt;AY$7)),0,MAX(0,ROUND((INDEX($E908:$G908,AY$5)-SUMIFS(TF_Timer,TF_Tekniker,AY$4,TF_Dato,$A908))*2,0)/2)))</f>
        <v/>
      </c>
      <c r="AZ908">
        <f>IF(OR(AZ$4="",$A908&gt;TODAY()),0,IF(OR(INDEX($B908:$D908,AZ$5)="F",AND(AZ$6&gt;0,$A908&lt;AZ$6),AND(AZ$7&gt;0,$A908&gt;AZ$7)),0,MAX(0,ROUND((INDEX($E908:$G908,AZ$5)-SUMIFS(TF_Timer,TF_Tekniker,AZ$4,TF_Dato,$A908))*2,0)/2)))</f>
        <v/>
      </c>
      <c r="BA908">
        <f>IF(OR(BA$4="",$A908&gt;TODAY()),0,IF(OR(INDEX($B908:$D908,BA$5)="F",AND(BA$6&gt;0,$A908&lt;BA$6),AND(BA$7&gt;0,$A908&gt;BA$7)),0,MAX(0,ROUND((INDEX($E908:$G908,BA$5)-SUMIFS(TF_Timer,TF_Tekniker,BA$4,TF_Dato,$A908))*2,0)/2)))</f>
        <v/>
      </c>
      <c r="BB908">
        <f>IF(OR(BB$4="",$A908&gt;TODAY()),0,IF(OR(INDEX($B908:$D908,BB$5)="F",AND(BB$6&gt;0,$A908&lt;BB$6),AND(BB$7&gt;0,$A908&gt;BB$7)),0,MAX(0,ROUND((INDEX($E908:$G908,BB$5)-SUMIFS(TF_Timer,TF_Tekniker,BB$4,TF_Dato,$A908))*2,0)/2)))</f>
        <v/>
      </c>
      <c r="BC908">
        <f>IF(OR(BC$4="",$A908&gt;TODAY()),0,IF(OR(INDEX($B908:$D908,BC$5)="F",AND(BC$6&gt;0,$A908&lt;BC$6),AND(BC$7&gt;0,$A908&gt;BC$7)),0,MAX(0,ROUND((INDEX($E908:$G908,BC$5)-SUMIFS(TF_Timer,TF_Tekniker,BC$4,TF_Dato,$A908))*2,0)/2)))</f>
        <v/>
      </c>
      <c r="BD908">
        <f>IF(OR(BD$4="",$A908&gt;TODAY()),0,IF(OR(INDEX($B908:$D908,BD$5)="F",AND(BD$6&gt;0,$A908&lt;BD$6),AND(BD$7&gt;0,$A908&gt;BD$7)),0,MAX(0,ROUND((INDEX($E908:$G908,BD$5)-SUMIFS(TF_Timer,TF_Tekniker,BD$4,TF_Dato,$A908))*2,0)/2)))</f>
        <v/>
      </c>
      <c r="BE908">
        <f>IF(OR(BE$4="",$A908&gt;TODAY()),0,IF(OR(INDEX($B908:$D908,BE$5)="F",AND(BE$6&gt;0,$A908&lt;BE$6),AND(BE$7&gt;0,$A908&gt;BE$7)),0,MAX(0,ROUND((INDEX($E908:$G908,BE$5)-SUMIFS(TF_Timer,TF_Tekniker,BE$4,TF_Dato,$A908))*2,0)/2)))</f>
        <v/>
      </c>
      <c r="BF908">
        <f>IF(OR(BF$4="",$A908&gt;TODAY()),0,IF(OR(INDEX($B908:$D908,BF$5)="F",AND(BF$6&gt;0,$A908&lt;BF$6),AND(BF$7&gt;0,$A908&gt;BF$7)),0,MAX(0,ROUND((INDEX($E908:$G908,BF$5)-SUMIFS(TF_Timer,TF_Tekniker,BF$4,TF_Dato,$A908))*2,0)/2)))</f>
        <v/>
      </c>
      <c r="BG908">
        <f>IF(OR(BG$4="",$A908&gt;TODAY()),0,IF(OR(INDEX($B908:$D908,BG$5)="F",AND(BG$6&gt;0,$A908&lt;BG$6),AND(BG$7&gt;0,$A908&gt;BG$7)),0,MAX(0,ROUND((INDEX($E908:$G908,BG$5)-SUMIFS(TF_Timer,TF_Tekniker,BG$4,TF_Dato,$A908))*2,0)/2)))</f>
        <v/>
      </c>
      <c r="BH908">
        <f>IF(OR(BH$4="",$A908&gt;TODAY()),0,IF(OR(INDEX($B908:$D908,BH$5)="F",AND(BH$6&gt;0,$A908&lt;BH$6),AND(BH$7&gt;0,$A908&gt;BH$7)),0,MAX(0,ROUND((INDEX($E908:$G908,BH$5)-SUMIFS(TF_Timer,TF_Tekniker,BH$4,TF_Dato,$A908))*2,0)/2)))</f>
        <v/>
      </c>
      <c r="BI908">
        <f>IF(OR(BI$4="",$A908&gt;TODAY()),0,IF(OR(INDEX($B908:$D908,BI$5)="F",AND(BI$6&gt;0,$A908&lt;BI$6),AND(BI$7&gt;0,$A908&gt;BI$7)),0,MAX(0,ROUND((INDEX($E908:$G908,BI$5)-SUMIFS(TF_Timer,TF_Tekniker,BI$4,TF_Dato,$A908))*2,0)/2)))</f>
        <v/>
      </c>
    </row>
    <row r="909">
      <c r="A909" s="64">
        <f>A908+1</f>
        <v/>
      </c>
      <c r="B909">
        <f>IF(MOD($A909-INDEX(SkiftStart,1),Syklus)&lt;DagK,"K",IF(MOD($A909-INDEX(SkiftStart,1),Syklus)&lt;DagK+DagH,"H",IF(MOD($A909-INDEX(SkiftStart,1),Syklus)&lt;DagK+DagH+DagD,"D","F")))</f>
        <v/>
      </c>
      <c r="C909">
        <f>IF(MOD($A909-INDEX(SkiftStart,2),Syklus)&lt;DagK,"K",IF(MOD($A909-INDEX(SkiftStart,2),Syklus)&lt;DagK+DagH,"H",IF(MOD($A909-INDEX(SkiftStart,2),Syklus)&lt;DagK+DagH+DagD,"D","F")))</f>
        <v/>
      </c>
      <c r="D909">
        <f>IF(MOD($A909-INDEX(SkiftStart,3),Syklus)&lt;DagK,"K",IF(MOD($A909-INDEX(SkiftStart,3),Syklus)&lt;DagK+DagH,"H",IF(MOD($A909-INDEX(SkiftStart,3),Syklus)&lt;DagK+DagH+DagD,"D","F")))</f>
        <v/>
      </c>
      <c r="E909">
        <f>IF(B909="F",0,IF(WEEKDAY($A909,2)=5,INDEX(TimerFr,MATCH(B909,FaseKode,0)),INDEX(TimerMT,MATCH(B909,FaseKode,0))))</f>
        <v/>
      </c>
      <c r="F909">
        <f>IF(C909="F",0,IF(WEEKDAY($A909,2)=5,INDEX(TimerFr,MATCH(C909,FaseKode,0)),INDEX(TimerMT,MATCH(C909,FaseKode,0))))</f>
        <v/>
      </c>
      <c r="G909">
        <f>IF(D909="F",0,IF(WEEKDAY($A909,2)=5,INDEX(TimerFr,MATCH(D909,FaseKode,0)),INDEX(TimerMT,MATCH(D909,FaseKode,0))))</f>
        <v/>
      </c>
      <c r="H909">
        <f>IF(OR(H$4="",$A909&gt;TODAY()),0,IF(OR(INDEX($B909:$D909,H$5)="F",AND(H$6&gt;0,$A909&lt;H$6),AND(H$7&gt;0,$A909&gt;H$7)),0,MAX(0,ROUND((INDEX($E909:$G909,H$5)-SUMIFS(TF_Timer,TF_Tekniker,H$4,TF_Dato,$A909))*2,0)/2)))</f>
        <v/>
      </c>
      <c r="I909">
        <f>IF(OR(I$4="",$A909&gt;TODAY()),0,IF(OR(INDEX($B909:$D909,I$5)="F",AND(I$6&gt;0,$A909&lt;I$6),AND(I$7&gt;0,$A909&gt;I$7)),0,MAX(0,ROUND((INDEX($E909:$G909,I$5)-SUMIFS(TF_Timer,TF_Tekniker,I$4,TF_Dato,$A909))*2,0)/2)))</f>
        <v/>
      </c>
      <c r="J909">
        <f>IF(OR(J$4="",$A909&gt;TODAY()),0,IF(OR(INDEX($B909:$D909,J$5)="F",AND(J$6&gt;0,$A909&lt;J$6),AND(J$7&gt;0,$A909&gt;J$7)),0,MAX(0,ROUND((INDEX($E909:$G909,J$5)-SUMIFS(TF_Timer,TF_Tekniker,J$4,TF_Dato,$A909))*2,0)/2)))</f>
        <v/>
      </c>
      <c r="K909">
        <f>IF(OR(K$4="",$A909&gt;TODAY()),0,IF(OR(INDEX($B909:$D909,K$5)="F",AND(K$6&gt;0,$A909&lt;K$6),AND(K$7&gt;0,$A909&gt;K$7)),0,MAX(0,ROUND((INDEX($E909:$G909,K$5)-SUMIFS(TF_Timer,TF_Tekniker,K$4,TF_Dato,$A909))*2,0)/2)))</f>
        <v/>
      </c>
      <c r="L909">
        <f>IF(OR(L$4="",$A909&gt;TODAY()),0,IF(OR(INDEX($B909:$D909,L$5)="F",AND(L$6&gt;0,$A909&lt;L$6),AND(L$7&gt;0,$A909&gt;L$7)),0,MAX(0,ROUND((INDEX($E909:$G909,L$5)-SUMIFS(TF_Timer,TF_Tekniker,L$4,TF_Dato,$A909))*2,0)/2)))</f>
        <v/>
      </c>
      <c r="M909">
        <f>IF(OR(M$4="",$A909&gt;TODAY()),0,IF(OR(INDEX($B909:$D909,M$5)="F",AND(M$6&gt;0,$A909&lt;M$6),AND(M$7&gt;0,$A909&gt;M$7)),0,MAX(0,ROUND((INDEX($E909:$G909,M$5)-SUMIFS(TF_Timer,TF_Tekniker,M$4,TF_Dato,$A909))*2,0)/2)))</f>
        <v/>
      </c>
      <c r="N909">
        <f>IF(OR(N$4="",$A909&gt;TODAY()),0,IF(OR(INDEX($B909:$D909,N$5)="F",AND(N$6&gt;0,$A909&lt;N$6),AND(N$7&gt;0,$A909&gt;N$7)),0,MAX(0,ROUND((INDEX($E909:$G909,N$5)-SUMIFS(TF_Timer,TF_Tekniker,N$4,TF_Dato,$A909))*2,0)/2)))</f>
        <v/>
      </c>
      <c r="O909">
        <f>IF(OR(O$4="",$A909&gt;TODAY()),0,IF(OR(INDEX($B909:$D909,O$5)="F",AND(O$6&gt;0,$A909&lt;O$6),AND(O$7&gt;0,$A909&gt;O$7)),0,MAX(0,ROUND((INDEX($E909:$G909,O$5)-SUMIFS(TF_Timer,TF_Tekniker,O$4,TF_Dato,$A909))*2,0)/2)))</f>
        <v/>
      </c>
      <c r="P909">
        <f>IF(OR(P$4="",$A909&gt;TODAY()),0,IF(OR(INDEX($B909:$D909,P$5)="F",AND(P$6&gt;0,$A909&lt;P$6),AND(P$7&gt;0,$A909&gt;P$7)),0,MAX(0,ROUND((INDEX($E909:$G909,P$5)-SUMIFS(TF_Timer,TF_Tekniker,P$4,TF_Dato,$A909))*2,0)/2)))</f>
        <v/>
      </c>
      <c r="Q909">
        <f>IF(OR(Q$4="",$A909&gt;TODAY()),0,IF(OR(INDEX($B909:$D909,Q$5)="F",AND(Q$6&gt;0,$A909&lt;Q$6),AND(Q$7&gt;0,$A909&gt;Q$7)),0,MAX(0,ROUND((INDEX($E909:$G909,Q$5)-SUMIFS(TF_Timer,TF_Tekniker,Q$4,TF_Dato,$A909))*2,0)/2)))</f>
        <v/>
      </c>
      <c r="R909">
        <f>IF(OR(R$4="",$A909&gt;TODAY()),0,IF(OR(INDEX($B909:$D909,R$5)="F",AND(R$6&gt;0,$A909&lt;R$6),AND(R$7&gt;0,$A909&gt;R$7)),0,MAX(0,ROUND((INDEX($E909:$G909,R$5)-SUMIFS(TF_Timer,TF_Tekniker,R$4,TF_Dato,$A909))*2,0)/2)))</f>
        <v/>
      </c>
      <c r="S909">
        <f>IF(OR(S$4="",$A909&gt;TODAY()),0,IF(OR(INDEX($B909:$D909,S$5)="F",AND(S$6&gt;0,$A909&lt;S$6),AND(S$7&gt;0,$A909&gt;S$7)),0,MAX(0,ROUND((INDEX($E909:$G909,S$5)-SUMIFS(TF_Timer,TF_Tekniker,S$4,TF_Dato,$A909))*2,0)/2)))</f>
        <v/>
      </c>
      <c r="T909">
        <f>IF(OR(T$4="",$A909&gt;TODAY()),0,IF(OR(INDEX($B909:$D909,T$5)="F",AND(T$6&gt;0,$A909&lt;T$6),AND(T$7&gt;0,$A909&gt;T$7)),0,MAX(0,ROUND((INDEX($E909:$G909,T$5)-SUMIFS(TF_Timer,TF_Tekniker,T$4,TF_Dato,$A909))*2,0)/2)))</f>
        <v/>
      </c>
      <c r="U909">
        <f>IF(OR(U$4="",$A909&gt;TODAY()),0,IF(OR(INDEX($B909:$D909,U$5)="F",AND(U$6&gt;0,$A909&lt;U$6),AND(U$7&gt;0,$A909&gt;U$7)),0,MAX(0,ROUND((INDEX($E909:$G909,U$5)-SUMIFS(TF_Timer,TF_Tekniker,U$4,TF_Dato,$A909))*2,0)/2)))</f>
        <v/>
      </c>
      <c r="V909">
        <f>IF(OR(V$4="",$A909&gt;TODAY()),0,IF(OR(INDEX($B909:$D909,V$5)="F",AND(V$6&gt;0,$A909&lt;V$6),AND(V$7&gt;0,$A909&gt;V$7)),0,MAX(0,ROUND((INDEX($E909:$G909,V$5)-SUMIFS(TF_Timer,TF_Tekniker,V$4,TF_Dato,$A909))*2,0)/2)))</f>
        <v/>
      </c>
      <c r="W909">
        <f>IF(OR(W$4="",$A909&gt;TODAY()),0,IF(OR(INDEX($B909:$D909,W$5)="F",AND(W$6&gt;0,$A909&lt;W$6),AND(W$7&gt;0,$A909&gt;W$7)),0,MAX(0,ROUND((INDEX($E909:$G909,W$5)-SUMIFS(TF_Timer,TF_Tekniker,W$4,TF_Dato,$A909))*2,0)/2)))</f>
        <v/>
      </c>
      <c r="X909">
        <f>IF(OR(X$4="",$A909&gt;TODAY()),0,IF(OR(INDEX($B909:$D909,X$5)="F",AND(X$6&gt;0,$A909&lt;X$6),AND(X$7&gt;0,$A909&gt;X$7)),0,MAX(0,ROUND((INDEX($E909:$G909,X$5)-SUMIFS(TF_Timer,TF_Tekniker,X$4,TF_Dato,$A909))*2,0)/2)))</f>
        <v/>
      </c>
      <c r="Y909">
        <f>IF(OR(Y$4="",$A909&gt;TODAY()),0,IF(OR(INDEX($B909:$D909,Y$5)="F",AND(Y$6&gt;0,$A909&lt;Y$6),AND(Y$7&gt;0,$A909&gt;Y$7)),0,MAX(0,ROUND((INDEX($E909:$G909,Y$5)-SUMIFS(TF_Timer,TF_Tekniker,Y$4,TF_Dato,$A909))*2,0)/2)))</f>
        <v/>
      </c>
      <c r="Z909">
        <f>IF(OR(Z$4="",$A909&gt;TODAY()),0,IF(OR(INDEX($B909:$D909,Z$5)="F",AND(Z$6&gt;0,$A909&lt;Z$6),AND(Z$7&gt;0,$A909&gt;Z$7)),0,MAX(0,ROUND((INDEX($E909:$G909,Z$5)-SUMIFS(TF_Timer,TF_Tekniker,Z$4,TF_Dato,$A909))*2,0)/2)))</f>
        <v/>
      </c>
      <c r="AA909">
        <f>IF(OR(AA$4="",$A909&gt;TODAY()),0,IF(OR(INDEX($B909:$D909,AA$5)="F",AND(AA$6&gt;0,$A909&lt;AA$6),AND(AA$7&gt;0,$A909&gt;AA$7)),0,MAX(0,ROUND((INDEX($E909:$G909,AA$5)-SUMIFS(TF_Timer,TF_Tekniker,AA$4,TF_Dato,$A909))*2,0)/2)))</f>
        <v/>
      </c>
      <c r="AB909">
        <f>IF(OR(AB$4="",$A909&gt;TODAY()),0,IF(OR(INDEX($B909:$D909,AB$5)="F",AND(AB$6&gt;0,$A909&lt;AB$6),AND(AB$7&gt;0,$A909&gt;AB$7)),0,MAX(0,ROUND((INDEX($E909:$G909,AB$5)-SUMIFS(TF_Timer,TF_Tekniker,AB$4,TF_Dato,$A909))*2,0)/2)))</f>
        <v/>
      </c>
      <c r="AC909">
        <f>IF(OR(AC$4="",$A909&gt;TODAY()),0,IF(OR(INDEX($B909:$D909,AC$5)="F",AND(AC$6&gt;0,$A909&lt;AC$6),AND(AC$7&gt;0,$A909&gt;AC$7)),0,MAX(0,ROUND((INDEX($E909:$G909,AC$5)-SUMIFS(TF_Timer,TF_Tekniker,AC$4,TF_Dato,$A909))*2,0)/2)))</f>
        <v/>
      </c>
      <c r="AD909">
        <f>IF(OR(AD$4="",$A909&gt;TODAY()),0,IF(OR(INDEX($B909:$D909,AD$5)="F",AND(AD$6&gt;0,$A909&lt;AD$6),AND(AD$7&gt;0,$A909&gt;AD$7)),0,MAX(0,ROUND((INDEX($E909:$G909,AD$5)-SUMIFS(TF_Timer,TF_Tekniker,AD$4,TF_Dato,$A909))*2,0)/2)))</f>
        <v/>
      </c>
      <c r="AE909">
        <f>IF(OR(AE$4="",$A909&gt;TODAY()),0,IF(OR(INDEX($B909:$D909,AE$5)="F",AND(AE$6&gt;0,$A909&lt;AE$6),AND(AE$7&gt;0,$A909&gt;AE$7)),0,MAX(0,ROUND((INDEX($E909:$G909,AE$5)-SUMIFS(TF_Timer,TF_Tekniker,AE$4,TF_Dato,$A909))*2,0)/2)))</f>
        <v/>
      </c>
      <c r="AF909">
        <f>IF(OR(AF$4="",$A909&gt;TODAY()),0,IF(OR(INDEX($B909:$D909,AF$5)="F",AND(AF$6&gt;0,$A909&lt;AF$6),AND(AF$7&gt;0,$A909&gt;AF$7)),0,MAX(0,ROUND((INDEX($E909:$G909,AF$5)-SUMIFS(TF_Timer,TF_Tekniker,AF$4,TF_Dato,$A909))*2,0)/2)))</f>
        <v/>
      </c>
      <c r="AG909">
        <f>IF(OR(AG$4="",$A909&gt;TODAY()),0,IF(OR(INDEX($B909:$D909,AG$5)="F",AND(AG$6&gt;0,$A909&lt;AG$6),AND(AG$7&gt;0,$A909&gt;AG$7)),0,MAX(0,ROUND((INDEX($E909:$G909,AG$5)-SUMIFS(TF_Timer,TF_Tekniker,AG$4,TF_Dato,$A909))*2,0)/2)))</f>
        <v/>
      </c>
      <c r="AH909">
        <f>IF(OR(AH$4="",$A909&gt;TODAY()),0,IF(OR(INDEX($B909:$D909,AH$5)="F",AND(AH$6&gt;0,$A909&lt;AH$6),AND(AH$7&gt;0,$A909&gt;AH$7)),0,MAX(0,ROUND((INDEX($E909:$G909,AH$5)-SUMIFS(TF_Timer,TF_Tekniker,AH$4,TF_Dato,$A909))*2,0)/2)))</f>
        <v/>
      </c>
      <c r="AI909">
        <f>IF(OR(AI$4="",$A909&gt;TODAY()),0,IF(OR(INDEX($B909:$D909,AI$5)="F",AND(AI$6&gt;0,$A909&lt;AI$6),AND(AI$7&gt;0,$A909&gt;AI$7)),0,MAX(0,ROUND((INDEX($E909:$G909,AI$5)-SUMIFS(TF_Timer,TF_Tekniker,AI$4,TF_Dato,$A909))*2,0)/2)))</f>
        <v/>
      </c>
      <c r="AJ909">
        <f>IF(OR(AJ$4="",$A909&gt;TODAY()),0,IF(OR(INDEX($B909:$D909,AJ$5)="F",AND(AJ$6&gt;0,$A909&lt;AJ$6),AND(AJ$7&gt;0,$A909&gt;AJ$7)),0,MAX(0,ROUND((INDEX($E909:$G909,AJ$5)-SUMIFS(TF_Timer,TF_Tekniker,AJ$4,TF_Dato,$A909))*2,0)/2)))</f>
        <v/>
      </c>
      <c r="AK909">
        <f>IF(OR(AK$4="",$A909&gt;TODAY()),0,IF(OR(INDEX($B909:$D909,AK$5)="F",AND(AK$6&gt;0,$A909&lt;AK$6),AND(AK$7&gt;0,$A909&gt;AK$7)),0,MAX(0,ROUND((INDEX($E909:$G909,AK$5)-SUMIFS(TF_Timer,TF_Tekniker,AK$4,TF_Dato,$A909))*2,0)/2)))</f>
        <v/>
      </c>
      <c r="AL909">
        <f>IF(OR(AL$4="",$A909&gt;TODAY()),0,IF(OR(INDEX($B909:$D909,AL$5)="F",AND(AL$6&gt;0,$A909&lt;AL$6),AND(AL$7&gt;0,$A909&gt;AL$7)),0,MAX(0,ROUND((INDEX($E909:$G909,AL$5)-SUMIFS(TF_Timer,TF_Tekniker,AL$4,TF_Dato,$A909))*2,0)/2)))</f>
        <v/>
      </c>
      <c r="AM909">
        <f>IF(OR(AM$4="",$A909&gt;TODAY()),0,IF(OR(INDEX($B909:$D909,AM$5)="F",AND(AM$6&gt;0,$A909&lt;AM$6),AND(AM$7&gt;0,$A909&gt;AM$7)),0,MAX(0,ROUND((INDEX($E909:$G909,AM$5)-SUMIFS(TF_Timer,TF_Tekniker,AM$4,TF_Dato,$A909))*2,0)/2)))</f>
        <v/>
      </c>
      <c r="AN909">
        <f>IF(OR(AN$4="",$A909&gt;TODAY()),0,IF(OR(INDEX($B909:$D909,AN$5)="F",AND(AN$6&gt;0,$A909&lt;AN$6),AND(AN$7&gt;0,$A909&gt;AN$7)),0,MAX(0,ROUND((INDEX($E909:$G909,AN$5)-SUMIFS(TF_Timer,TF_Tekniker,AN$4,TF_Dato,$A909))*2,0)/2)))</f>
        <v/>
      </c>
      <c r="AO909">
        <f>IF(OR(AO$4="",$A909&gt;TODAY()),0,IF(OR(INDEX($B909:$D909,AO$5)="F",AND(AO$6&gt;0,$A909&lt;AO$6),AND(AO$7&gt;0,$A909&gt;AO$7)),0,MAX(0,ROUND((INDEX($E909:$G909,AO$5)-SUMIFS(TF_Timer,TF_Tekniker,AO$4,TF_Dato,$A909))*2,0)/2)))</f>
        <v/>
      </c>
      <c r="AP909">
        <f>IF(OR(AP$4="",$A909&gt;TODAY()),0,IF(OR(INDEX($B909:$D909,AP$5)="F",AND(AP$6&gt;0,$A909&lt;AP$6),AND(AP$7&gt;0,$A909&gt;AP$7)),0,MAX(0,ROUND((INDEX($E909:$G909,AP$5)-SUMIFS(TF_Timer,TF_Tekniker,AP$4,TF_Dato,$A909))*2,0)/2)))</f>
        <v/>
      </c>
      <c r="AQ909">
        <f>IF(OR(AQ$4="",$A909&gt;TODAY()),0,IF(OR(INDEX($B909:$D909,AQ$5)="F",AND(AQ$6&gt;0,$A909&lt;AQ$6),AND(AQ$7&gt;0,$A909&gt;AQ$7)),0,MAX(0,ROUND((INDEX($E909:$G909,AQ$5)-SUMIFS(TF_Timer,TF_Tekniker,AQ$4,TF_Dato,$A909))*2,0)/2)))</f>
        <v/>
      </c>
      <c r="AR909">
        <f>IF(OR(AR$4="",$A909&gt;TODAY()),0,IF(OR(INDEX($B909:$D909,AR$5)="F",AND(AR$6&gt;0,$A909&lt;AR$6),AND(AR$7&gt;0,$A909&gt;AR$7)),0,MAX(0,ROUND((INDEX($E909:$G909,AR$5)-SUMIFS(TF_Timer,TF_Tekniker,AR$4,TF_Dato,$A909))*2,0)/2)))</f>
        <v/>
      </c>
      <c r="AS909">
        <f>IF(OR(AS$4="",$A909&gt;TODAY()),0,IF(OR(INDEX($B909:$D909,AS$5)="F",AND(AS$6&gt;0,$A909&lt;AS$6),AND(AS$7&gt;0,$A909&gt;AS$7)),0,MAX(0,ROUND((INDEX($E909:$G909,AS$5)-SUMIFS(TF_Timer,TF_Tekniker,AS$4,TF_Dato,$A909))*2,0)/2)))</f>
        <v/>
      </c>
      <c r="AT909">
        <f>IF(OR(AT$4="",$A909&gt;TODAY()),0,IF(OR(INDEX($B909:$D909,AT$5)="F",AND(AT$6&gt;0,$A909&lt;AT$6),AND(AT$7&gt;0,$A909&gt;AT$7)),0,MAX(0,ROUND((INDEX($E909:$G909,AT$5)-SUMIFS(TF_Timer,TF_Tekniker,AT$4,TF_Dato,$A909))*2,0)/2)))</f>
        <v/>
      </c>
      <c r="AU909">
        <f>IF(OR(AU$4="",$A909&gt;TODAY()),0,IF(OR(INDEX($B909:$D909,AU$5)="F",AND(AU$6&gt;0,$A909&lt;AU$6),AND(AU$7&gt;0,$A909&gt;AU$7)),0,MAX(0,ROUND((INDEX($E909:$G909,AU$5)-SUMIFS(TF_Timer,TF_Tekniker,AU$4,TF_Dato,$A909))*2,0)/2)))</f>
        <v/>
      </c>
      <c r="AV909">
        <f>IF(OR(AV$4="",$A909&gt;TODAY()),0,IF(OR(INDEX($B909:$D909,AV$5)="F",AND(AV$6&gt;0,$A909&lt;AV$6),AND(AV$7&gt;0,$A909&gt;AV$7)),0,MAX(0,ROUND((INDEX($E909:$G909,AV$5)-SUMIFS(TF_Timer,TF_Tekniker,AV$4,TF_Dato,$A909))*2,0)/2)))</f>
        <v/>
      </c>
      <c r="AW909">
        <f>IF(OR(AW$4="",$A909&gt;TODAY()),0,IF(OR(INDEX($B909:$D909,AW$5)="F",AND(AW$6&gt;0,$A909&lt;AW$6),AND(AW$7&gt;0,$A909&gt;AW$7)),0,MAX(0,ROUND((INDEX($E909:$G909,AW$5)-SUMIFS(TF_Timer,TF_Tekniker,AW$4,TF_Dato,$A909))*2,0)/2)))</f>
        <v/>
      </c>
      <c r="AX909">
        <f>IF(OR(AX$4="",$A909&gt;TODAY()),0,IF(OR(INDEX($B909:$D909,AX$5)="F",AND(AX$6&gt;0,$A909&lt;AX$6),AND(AX$7&gt;0,$A909&gt;AX$7)),0,MAX(0,ROUND((INDEX($E909:$G909,AX$5)-SUMIFS(TF_Timer,TF_Tekniker,AX$4,TF_Dato,$A909))*2,0)/2)))</f>
        <v/>
      </c>
      <c r="AY909">
        <f>IF(OR(AY$4="",$A909&gt;TODAY()),0,IF(OR(INDEX($B909:$D909,AY$5)="F",AND(AY$6&gt;0,$A909&lt;AY$6),AND(AY$7&gt;0,$A909&gt;AY$7)),0,MAX(0,ROUND((INDEX($E909:$G909,AY$5)-SUMIFS(TF_Timer,TF_Tekniker,AY$4,TF_Dato,$A909))*2,0)/2)))</f>
        <v/>
      </c>
      <c r="AZ909">
        <f>IF(OR(AZ$4="",$A909&gt;TODAY()),0,IF(OR(INDEX($B909:$D909,AZ$5)="F",AND(AZ$6&gt;0,$A909&lt;AZ$6),AND(AZ$7&gt;0,$A909&gt;AZ$7)),0,MAX(0,ROUND((INDEX($E909:$G909,AZ$5)-SUMIFS(TF_Timer,TF_Tekniker,AZ$4,TF_Dato,$A909))*2,0)/2)))</f>
        <v/>
      </c>
      <c r="BA909">
        <f>IF(OR(BA$4="",$A909&gt;TODAY()),0,IF(OR(INDEX($B909:$D909,BA$5)="F",AND(BA$6&gt;0,$A909&lt;BA$6),AND(BA$7&gt;0,$A909&gt;BA$7)),0,MAX(0,ROUND((INDEX($E909:$G909,BA$5)-SUMIFS(TF_Timer,TF_Tekniker,BA$4,TF_Dato,$A909))*2,0)/2)))</f>
        <v/>
      </c>
      <c r="BB909">
        <f>IF(OR(BB$4="",$A909&gt;TODAY()),0,IF(OR(INDEX($B909:$D909,BB$5)="F",AND(BB$6&gt;0,$A909&lt;BB$6),AND(BB$7&gt;0,$A909&gt;BB$7)),0,MAX(0,ROUND((INDEX($E909:$G909,BB$5)-SUMIFS(TF_Timer,TF_Tekniker,BB$4,TF_Dato,$A909))*2,0)/2)))</f>
        <v/>
      </c>
      <c r="BC909">
        <f>IF(OR(BC$4="",$A909&gt;TODAY()),0,IF(OR(INDEX($B909:$D909,BC$5)="F",AND(BC$6&gt;0,$A909&lt;BC$6),AND(BC$7&gt;0,$A909&gt;BC$7)),0,MAX(0,ROUND((INDEX($E909:$G909,BC$5)-SUMIFS(TF_Timer,TF_Tekniker,BC$4,TF_Dato,$A909))*2,0)/2)))</f>
        <v/>
      </c>
      <c r="BD909">
        <f>IF(OR(BD$4="",$A909&gt;TODAY()),0,IF(OR(INDEX($B909:$D909,BD$5)="F",AND(BD$6&gt;0,$A909&lt;BD$6),AND(BD$7&gt;0,$A909&gt;BD$7)),0,MAX(0,ROUND((INDEX($E909:$G909,BD$5)-SUMIFS(TF_Timer,TF_Tekniker,BD$4,TF_Dato,$A909))*2,0)/2)))</f>
        <v/>
      </c>
      <c r="BE909">
        <f>IF(OR(BE$4="",$A909&gt;TODAY()),0,IF(OR(INDEX($B909:$D909,BE$5)="F",AND(BE$6&gt;0,$A909&lt;BE$6),AND(BE$7&gt;0,$A909&gt;BE$7)),0,MAX(0,ROUND((INDEX($E909:$G909,BE$5)-SUMIFS(TF_Timer,TF_Tekniker,BE$4,TF_Dato,$A909))*2,0)/2)))</f>
        <v/>
      </c>
      <c r="BF909">
        <f>IF(OR(BF$4="",$A909&gt;TODAY()),0,IF(OR(INDEX($B909:$D909,BF$5)="F",AND(BF$6&gt;0,$A909&lt;BF$6),AND(BF$7&gt;0,$A909&gt;BF$7)),0,MAX(0,ROUND((INDEX($E909:$G909,BF$5)-SUMIFS(TF_Timer,TF_Tekniker,BF$4,TF_Dato,$A909))*2,0)/2)))</f>
        <v/>
      </c>
      <c r="BG909">
        <f>IF(OR(BG$4="",$A909&gt;TODAY()),0,IF(OR(INDEX($B909:$D909,BG$5)="F",AND(BG$6&gt;0,$A909&lt;BG$6),AND(BG$7&gt;0,$A909&gt;BG$7)),0,MAX(0,ROUND((INDEX($E909:$G909,BG$5)-SUMIFS(TF_Timer,TF_Tekniker,BG$4,TF_Dato,$A909))*2,0)/2)))</f>
        <v/>
      </c>
      <c r="BH909">
        <f>IF(OR(BH$4="",$A909&gt;TODAY()),0,IF(OR(INDEX($B909:$D909,BH$5)="F",AND(BH$6&gt;0,$A909&lt;BH$6),AND(BH$7&gt;0,$A909&gt;BH$7)),0,MAX(0,ROUND((INDEX($E909:$G909,BH$5)-SUMIFS(TF_Timer,TF_Tekniker,BH$4,TF_Dato,$A909))*2,0)/2)))</f>
        <v/>
      </c>
      <c r="BI909">
        <f>IF(OR(BI$4="",$A909&gt;TODAY()),0,IF(OR(INDEX($B909:$D909,BI$5)="F",AND(BI$6&gt;0,$A909&lt;BI$6),AND(BI$7&gt;0,$A909&gt;BI$7)),0,MAX(0,ROUND((INDEX($E909:$G909,BI$5)-SUMIFS(TF_Timer,TF_Tekniker,BI$4,TF_Dato,$A909))*2,0)/2)))</f>
        <v/>
      </c>
    </row>
    <row r="910">
      <c r="A910" s="64">
        <f>A909+1</f>
        <v/>
      </c>
      <c r="B910">
        <f>IF(MOD($A910-INDEX(SkiftStart,1),Syklus)&lt;DagK,"K",IF(MOD($A910-INDEX(SkiftStart,1),Syklus)&lt;DagK+DagH,"H",IF(MOD($A910-INDEX(SkiftStart,1),Syklus)&lt;DagK+DagH+DagD,"D","F")))</f>
        <v/>
      </c>
      <c r="C910">
        <f>IF(MOD($A910-INDEX(SkiftStart,2),Syklus)&lt;DagK,"K",IF(MOD($A910-INDEX(SkiftStart,2),Syklus)&lt;DagK+DagH,"H",IF(MOD($A910-INDEX(SkiftStart,2),Syklus)&lt;DagK+DagH+DagD,"D","F")))</f>
        <v/>
      </c>
      <c r="D910">
        <f>IF(MOD($A910-INDEX(SkiftStart,3),Syklus)&lt;DagK,"K",IF(MOD($A910-INDEX(SkiftStart,3),Syklus)&lt;DagK+DagH,"H",IF(MOD($A910-INDEX(SkiftStart,3),Syklus)&lt;DagK+DagH+DagD,"D","F")))</f>
        <v/>
      </c>
      <c r="E910">
        <f>IF(B910="F",0,IF(WEEKDAY($A910,2)=5,INDEX(TimerFr,MATCH(B910,FaseKode,0)),INDEX(TimerMT,MATCH(B910,FaseKode,0))))</f>
        <v/>
      </c>
      <c r="F910">
        <f>IF(C910="F",0,IF(WEEKDAY($A910,2)=5,INDEX(TimerFr,MATCH(C910,FaseKode,0)),INDEX(TimerMT,MATCH(C910,FaseKode,0))))</f>
        <v/>
      </c>
      <c r="G910">
        <f>IF(D910="F",0,IF(WEEKDAY($A910,2)=5,INDEX(TimerFr,MATCH(D910,FaseKode,0)),INDEX(TimerMT,MATCH(D910,FaseKode,0))))</f>
        <v/>
      </c>
      <c r="H910">
        <f>IF(OR(H$4="",$A910&gt;TODAY()),0,IF(OR(INDEX($B910:$D910,H$5)="F",AND(H$6&gt;0,$A910&lt;H$6),AND(H$7&gt;0,$A910&gt;H$7)),0,MAX(0,ROUND((INDEX($E910:$G910,H$5)-SUMIFS(TF_Timer,TF_Tekniker,H$4,TF_Dato,$A910))*2,0)/2)))</f>
        <v/>
      </c>
      <c r="I910">
        <f>IF(OR(I$4="",$A910&gt;TODAY()),0,IF(OR(INDEX($B910:$D910,I$5)="F",AND(I$6&gt;0,$A910&lt;I$6),AND(I$7&gt;0,$A910&gt;I$7)),0,MAX(0,ROUND((INDEX($E910:$G910,I$5)-SUMIFS(TF_Timer,TF_Tekniker,I$4,TF_Dato,$A910))*2,0)/2)))</f>
        <v/>
      </c>
      <c r="J910">
        <f>IF(OR(J$4="",$A910&gt;TODAY()),0,IF(OR(INDEX($B910:$D910,J$5)="F",AND(J$6&gt;0,$A910&lt;J$6),AND(J$7&gt;0,$A910&gt;J$7)),0,MAX(0,ROUND((INDEX($E910:$G910,J$5)-SUMIFS(TF_Timer,TF_Tekniker,J$4,TF_Dato,$A910))*2,0)/2)))</f>
        <v/>
      </c>
      <c r="K910">
        <f>IF(OR(K$4="",$A910&gt;TODAY()),0,IF(OR(INDEX($B910:$D910,K$5)="F",AND(K$6&gt;0,$A910&lt;K$6),AND(K$7&gt;0,$A910&gt;K$7)),0,MAX(0,ROUND((INDEX($E910:$G910,K$5)-SUMIFS(TF_Timer,TF_Tekniker,K$4,TF_Dato,$A910))*2,0)/2)))</f>
        <v/>
      </c>
      <c r="L910">
        <f>IF(OR(L$4="",$A910&gt;TODAY()),0,IF(OR(INDEX($B910:$D910,L$5)="F",AND(L$6&gt;0,$A910&lt;L$6),AND(L$7&gt;0,$A910&gt;L$7)),0,MAX(0,ROUND((INDEX($E910:$G910,L$5)-SUMIFS(TF_Timer,TF_Tekniker,L$4,TF_Dato,$A910))*2,0)/2)))</f>
        <v/>
      </c>
      <c r="M910">
        <f>IF(OR(M$4="",$A910&gt;TODAY()),0,IF(OR(INDEX($B910:$D910,M$5)="F",AND(M$6&gt;0,$A910&lt;M$6),AND(M$7&gt;0,$A910&gt;M$7)),0,MAX(0,ROUND((INDEX($E910:$G910,M$5)-SUMIFS(TF_Timer,TF_Tekniker,M$4,TF_Dato,$A910))*2,0)/2)))</f>
        <v/>
      </c>
      <c r="N910">
        <f>IF(OR(N$4="",$A910&gt;TODAY()),0,IF(OR(INDEX($B910:$D910,N$5)="F",AND(N$6&gt;0,$A910&lt;N$6),AND(N$7&gt;0,$A910&gt;N$7)),0,MAX(0,ROUND((INDEX($E910:$G910,N$5)-SUMIFS(TF_Timer,TF_Tekniker,N$4,TF_Dato,$A910))*2,0)/2)))</f>
        <v/>
      </c>
      <c r="O910">
        <f>IF(OR(O$4="",$A910&gt;TODAY()),0,IF(OR(INDEX($B910:$D910,O$5)="F",AND(O$6&gt;0,$A910&lt;O$6),AND(O$7&gt;0,$A910&gt;O$7)),0,MAX(0,ROUND((INDEX($E910:$G910,O$5)-SUMIFS(TF_Timer,TF_Tekniker,O$4,TF_Dato,$A910))*2,0)/2)))</f>
        <v/>
      </c>
      <c r="P910">
        <f>IF(OR(P$4="",$A910&gt;TODAY()),0,IF(OR(INDEX($B910:$D910,P$5)="F",AND(P$6&gt;0,$A910&lt;P$6),AND(P$7&gt;0,$A910&gt;P$7)),0,MAX(0,ROUND((INDEX($E910:$G910,P$5)-SUMIFS(TF_Timer,TF_Tekniker,P$4,TF_Dato,$A910))*2,0)/2)))</f>
        <v/>
      </c>
      <c r="Q910">
        <f>IF(OR(Q$4="",$A910&gt;TODAY()),0,IF(OR(INDEX($B910:$D910,Q$5)="F",AND(Q$6&gt;0,$A910&lt;Q$6),AND(Q$7&gt;0,$A910&gt;Q$7)),0,MAX(0,ROUND((INDEX($E910:$G910,Q$5)-SUMIFS(TF_Timer,TF_Tekniker,Q$4,TF_Dato,$A910))*2,0)/2)))</f>
        <v/>
      </c>
      <c r="R910">
        <f>IF(OR(R$4="",$A910&gt;TODAY()),0,IF(OR(INDEX($B910:$D910,R$5)="F",AND(R$6&gt;0,$A910&lt;R$6),AND(R$7&gt;0,$A910&gt;R$7)),0,MAX(0,ROUND((INDEX($E910:$G910,R$5)-SUMIFS(TF_Timer,TF_Tekniker,R$4,TF_Dato,$A910))*2,0)/2)))</f>
        <v/>
      </c>
      <c r="S910">
        <f>IF(OR(S$4="",$A910&gt;TODAY()),0,IF(OR(INDEX($B910:$D910,S$5)="F",AND(S$6&gt;0,$A910&lt;S$6),AND(S$7&gt;0,$A910&gt;S$7)),0,MAX(0,ROUND((INDEX($E910:$G910,S$5)-SUMIFS(TF_Timer,TF_Tekniker,S$4,TF_Dato,$A910))*2,0)/2)))</f>
        <v/>
      </c>
      <c r="T910">
        <f>IF(OR(T$4="",$A910&gt;TODAY()),0,IF(OR(INDEX($B910:$D910,T$5)="F",AND(T$6&gt;0,$A910&lt;T$6),AND(T$7&gt;0,$A910&gt;T$7)),0,MAX(0,ROUND((INDEX($E910:$G910,T$5)-SUMIFS(TF_Timer,TF_Tekniker,T$4,TF_Dato,$A910))*2,0)/2)))</f>
        <v/>
      </c>
      <c r="U910">
        <f>IF(OR(U$4="",$A910&gt;TODAY()),0,IF(OR(INDEX($B910:$D910,U$5)="F",AND(U$6&gt;0,$A910&lt;U$6),AND(U$7&gt;0,$A910&gt;U$7)),0,MAX(0,ROUND((INDEX($E910:$G910,U$5)-SUMIFS(TF_Timer,TF_Tekniker,U$4,TF_Dato,$A910))*2,0)/2)))</f>
        <v/>
      </c>
      <c r="V910">
        <f>IF(OR(V$4="",$A910&gt;TODAY()),0,IF(OR(INDEX($B910:$D910,V$5)="F",AND(V$6&gt;0,$A910&lt;V$6),AND(V$7&gt;0,$A910&gt;V$7)),0,MAX(0,ROUND((INDEX($E910:$G910,V$5)-SUMIFS(TF_Timer,TF_Tekniker,V$4,TF_Dato,$A910))*2,0)/2)))</f>
        <v/>
      </c>
      <c r="W910">
        <f>IF(OR(W$4="",$A910&gt;TODAY()),0,IF(OR(INDEX($B910:$D910,W$5)="F",AND(W$6&gt;0,$A910&lt;W$6),AND(W$7&gt;0,$A910&gt;W$7)),0,MAX(0,ROUND((INDEX($E910:$G910,W$5)-SUMIFS(TF_Timer,TF_Tekniker,W$4,TF_Dato,$A910))*2,0)/2)))</f>
        <v/>
      </c>
      <c r="X910">
        <f>IF(OR(X$4="",$A910&gt;TODAY()),0,IF(OR(INDEX($B910:$D910,X$5)="F",AND(X$6&gt;0,$A910&lt;X$6),AND(X$7&gt;0,$A910&gt;X$7)),0,MAX(0,ROUND((INDEX($E910:$G910,X$5)-SUMIFS(TF_Timer,TF_Tekniker,X$4,TF_Dato,$A910))*2,0)/2)))</f>
        <v/>
      </c>
      <c r="Y910">
        <f>IF(OR(Y$4="",$A910&gt;TODAY()),0,IF(OR(INDEX($B910:$D910,Y$5)="F",AND(Y$6&gt;0,$A910&lt;Y$6),AND(Y$7&gt;0,$A910&gt;Y$7)),0,MAX(0,ROUND((INDEX($E910:$G910,Y$5)-SUMIFS(TF_Timer,TF_Tekniker,Y$4,TF_Dato,$A910))*2,0)/2)))</f>
        <v/>
      </c>
      <c r="Z910">
        <f>IF(OR(Z$4="",$A910&gt;TODAY()),0,IF(OR(INDEX($B910:$D910,Z$5)="F",AND(Z$6&gt;0,$A910&lt;Z$6),AND(Z$7&gt;0,$A910&gt;Z$7)),0,MAX(0,ROUND((INDEX($E910:$G910,Z$5)-SUMIFS(TF_Timer,TF_Tekniker,Z$4,TF_Dato,$A910))*2,0)/2)))</f>
        <v/>
      </c>
      <c r="AA910">
        <f>IF(OR(AA$4="",$A910&gt;TODAY()),0,IF(OR(INDEX($B910:$D910,AA$5)="F",AND(AA$6&gt;0,$A910&lt;AA$6),AND(AA$7&gt;0,$A910&gt;AA$7)),0,MAX(0,ROUND((INDEX($E910:$G910,AA$5)-SUMIFS(TF_Timer,TF_Tekniker,AA$4,TF_Dato,$A910))*2,0)/2)))</f>
        <v/>
      </c>
      <c r="AB910">
        <f>IF(OR(AB$4="",$A910&gt;TODAY()),0,IF(OR(INDEX($B910:$D910,AB$5)="F",AND(AB$6&gt;0,$A910&lt;AB$6),AND(AB$7&gt;0,$A910&gt;AB$7)),0,MAX(0,ROUND((INDEX($E910:$G910,AB$5)-SUMIFS(TF_Timer,TF_Tekniker,AB$4,TF_Dato,$A910))*2,0)/2)))</f>
        <v/>
      </c>
      <c r="AC910">
        <f>IF(OR(AC$4="",$A910&gt;TODAY()),0,IF(OR(INDEX($B910:$D910,AC$5)="F",AND(AC$6&gt;0,$A910&lt;AC$6),AND(AC$7&gt;0,$A910&gt;AC$7)),0,MAX(0,ROUND((INDEX($E910:$G910,AC$5)-SUMIFS(TF_Timer,TF_Tekniker,AC$4,TF_Dato,$A910))*2,0)/2)))</f>
        <v/>
      </c>
      <c r="AD910">
        <f>IF(OR(AD$4="",$A910&gt;TODAY()),0,IF(OR(INDEX($B910:$D910,AD$5)="F",AND(AD$6&gt;0,$A910&lt;AD$6),AND(AD$7&gt;0,$A910&gt;AD$7)),0,MAX(0,ROUND((INDEX($E910:$G910,AD$5)-SUMIFS(TF_Timer,TF_Tekniker,AD$4,TF_Dato,$A910))*2,0)/2)))</f>
        <v/>
      </c>
      <c r="AE910">
        <f>IF(OR(AE$4="",$A910&gt;TODAY()),0,IF(OR(INDEX($B910:$D910,AE$5)="F",AND(AE$6&gt;0,$A910&lt;AE$6),AND(AE$7&gt;0,$A910&gt;AE$7)),0,MAX(0,ROUND((INDEX($E910:$G910,AE$5)-SUMIFS(TF_Timer,TF_Tekniker,AE$4,TF_Dato,$A910))*2,0)/2)))</f>
        <v/>
      </c>
      <c r="AF910">
        <f>IF(OR(AF$4="",$A910&gt;TODAY()),0,IF(OR(INDEX($B910:$D910,AF$5)="F",AND(AF$6&gt;0,$A910&lt;AF$6),AND(AF$7&gt;0,$A910&gt;AF$7)),0,MAX(0,ROUND((INDEX($E910:$G910,AF$5)-SUMIFS(TF_Timer,TF_Tekniker,AF$4,TF_Dato,$A910))*2,0)/2)))</f>
        <v/>
      </c>
      <c r="AG910">
        <f>IF(OR(AG$4="",$A910&gt;TODAY()),0,IF(OR(INDEX($B910:$D910,AG$5)="F",AND(AG$6&gt;0,$A910&lt;AG$6),AND(AG$7&gt;0,$A910&gt;AG$7)),0,MAX(0,ROUND((INDEX($E910:$G910,AG$5)-SUMIFS(TF_Timer,TF_Tekniker,AG$4,TF_Dato,$A910))*2,0)/2)))</f>
        <v/>
      </c>
      <c r="AH910">
        <f>IF(OR(AH$4="",$A910&gt;TODAY()),0,IF(OR(INDEX($B910:$D910,AH$5)="F",AND(AH$6&gt;0,$A910&lt;AH$6),AND(AH$7&gt;0,$A910&gt;AH$7)),0,MAX(0,ROUND((INDEX($E910:$G910,AH$5)-SUMIFS(TF_Timer,TF_Tekniker,AH$4,TF_Dato,$A910))*2,0)/2)))</f>
        <v/>
      </c>
      <c r="AI910">
        <f>IF(OR(AI$4="",$A910&gt;TODAY()),0,IF(OR(INDEX($B910:$D910,AI$5)="F",AND(AI$6&gt;0,$A910&lt;AI$6),AND(AI$7&gt;0,$A910&gt;AI$7)),0,MAX(0,ROUND((INDEX($E910:$G910,AI$5)-SUMIFS(TF_Timer,TF_Tekniker,AI$4,TF_Dato,$A910))*2,0)/2)))</f>
        <v/>
      </c>
      <c r="AJ910">
        <f>IF(OR(AJ$4="",$A910&gt;TODAY()),0,IF(OR(INDEX($B910:$D910,AJ$5)="F",AND(AJ$6&gt;0,$A910&lt;AJ$6),AND(AJ$7&gt;0,$A910&gt;AJ$7)),0,MAX(0,ROUND((INDEX($E910:$G910,AJ$5)-SUMIFS(TF_Timer,TF_Tekniker,AJ$4,TF_Dato,$A910))*2,0)/2)))</f>
        <v/>
      </c>
      <c r="AK910">
        <f>IF(OR(AK$4="",$A910&gt;TODAY()),0,IF(OR(INDEX($B910:$D910,AK$5)="F",AND(AK$6&gt;0,$A910&lt;AK$6),AND(AK$7&gt;0,$A910&gt;AK$7)),0,MAX(0,ROUND((INDEX($E910:$G910,AK$5)-SUMIFS(TF_Timer,TF_Tekniker,AK$4,TF_Dato,$A910))*2,0)/2)))</f>
        <v/>
      </c>
      <c r="AL910">
        <f>IF(OR(AL$4="",$A910&gt;TODAY()),0,IF(OR(INDEX($B910:$D910,AL$5)="F",AND(AL$6&gt;0,$A910&lt;AL$6),AND(AL$7&gt;0,$A910&gt;AL$7)),0,MAX(0,ROUND((INDEX($E910:$G910,AL$5)-SUMIFS(TF_Timer,TF_Tekniker,AL$4,TF_Dato,$A910))*2,0)/2)))</f>
        <v/>
      </c>
      <c r="AM910">
        <f>IF(OR(AM$4="",$A910&gt;TODAY()),0,IF(OR(INDEX($B910:$D910,AM$5)="F",AND(AM$6&gt;0,$A910&lt;AM$6),AND(AM$7&gt;0,$A910&gt;AM$7)),0,MAX(0,ROUND((INDEX($E910:$G910,AM$5)-SUMIFS(TF_Timer,TF_Tekniker,AM$4,TF_Dato,$A910))*2,0)/2)))</f>
        <v/>
      </c>
      <c r="AN910">
        <f>IF(OR(AN$4="",$A910&gt;TODAY()),0,IF(OR(INDEX($B910:$D910,AN$5)="F",AND(AN$6&gt;0,$A910&lt;AN$6),AND(AN$7&gt;0,$A910&gt;AN$7)),0,MAX(0,ROUND((INDEX($E910:$G910,AN$5)-SUMIFS(TF_Timer,TF_Tekniker,AN$4,TF_Dato,$A910))*2,0)/2)))</f>
        <v/>
      </c>
      <c r="AO910">
        <f>IF(OR(AO$4="",$A910&gt;TODAY()),0,IF(OR(INDEX($B910:$D910,AO$5)="F",AND(AO$6&gt;0,$A910&lt;AO$6),AND(AO$7&gt;0,$A910&gt;AO$7)),0,MAX(0,ROUND((INDEX($E910:$G910,AO$5)-SUMIFS(TF_Timer,TF_Tekniker,AO$4,TF_Dato,$A910))*2,0)/2)))</f>
        <v/>
      </c>
      <c r="AP910">
        <f>IF(OR(AP$4="",$A910&gt;TODAY()),0,IF(OR(INDEX($B910:$D910,AP$5)="F",AND(AP$6&gt;0,$A910&lt;AP$6),AND(AP$7&gt;0,$A910&gt;AP$7)),0,MAX(0,ROUND((INDEX($E910:$G910,AP$5)-SUMIFS(TF_Timer,TF_Tekniker,AP$4,TF_Dato,$A910))*2,0)/2)))</f>
        <v/>
      </c>
      <c r="AQ910">
        <f>IF(OR(AQ$4="",$A910&gt;TODAY()),0,IF(OR(INDEX($B910:$D910,AQ$5)="F",AND(AQ$6&gt;0,$A910&lt;AQ$6),AND(AQ$7&gt;0,$A910&gt;AQ$7)),0,MAX(0,ROUND((INDEX($E910:$G910,AQ$5)-SUMIFS(TF_Timer,TF_Tekniker,AQ$4,TF_Dato,$A910))*2,0)/2)))</f>
        <v/>
      </c>
      <c r="AR910">
        <f>IF(OR(AR$4="",$A910&gt;TODAY()),0,IF(OR(INDEX($B910:$D910,AR$5)="F",AND(AR$6&gt;0,$A910&lt;AR$6),AND(AR$7&gt;0,$A910&gt;AR$7)),0,MAX(0,ROUND((INDEX($E910:$G910,AR$5)-SUMIFS(TF_Timer,TF_Tekniker,AR$4,TF_Dato,$A910))*2,0)/2)))</f>
        <v/>
      </c>
      <c r="AS910">
        <f>IF(OR(AS$4="",$A910&gt;TODAY()),0,IF(OR(INDEX($B910:$D910,AS$5)="F",AND(AS$6&gt;0,$A910&lt;AS$6),AND(AS$7&gt;0,$A910&gt;AS$7)),0,MAX(0,ROUND((INDEX($E910:$G910,AS$5)-SUMIFS(TF_Timer,TF_Tekniker,AS$4,TF_Dato,$A910))*2,0)/2)))</f>
        <v/>
      </c>
      <c r="AT910">
        <f>IF(OR(AT$4="",$A910&gt;TODAY()),0,IF(OR(INDEX($B910:$D910,AT$5)="F",AND(AT$6&gt;0,$A910&lt;AT$6),AND(AT$7&gt;0,$A910&gt;AT$7)),0,MAX(0,ROUND((INDEX($E910:$G910,AT$5)-SUMIFS(TF_Timer,TF_Tekniker,AT$4,TF_Dato,$A910))*2,0)/2)))</f>
        <v/>
      </c>
      <c r="AU910">
        <f>IF(OR(AU$4="",$A910&gt;TODAY()),0,IF(OR(INDEX($B910:$D910,AU$5)="F",AND(AU$6&gt;0,$A910&lt;AU$6),AND(AU$7&gt;0,$A910&gt;AU$7)),0,MAX(0,ROUND((INDEX($E910:$G910,AU$5)-SUMIFS(TF_Timer,TF_Tekniker,AU$4,TF_Dato,$A910))*2,0)/2)))</f>
        <v/>
      </c>
      <c r="AV910">
        <f>IF(OR(AV$4="",$A910&gt;TODAY()),0,IF(OR(INDEX($B910:$D910,AV$5)="F",AND(AV$6&gt;0,$A910&lt;AV$6),AND(AV$7&gt;0,$A910&gt;AV$7)),0,MAX(0,ROUND((INDEX($E910:$G910,AV$5)-SUMIFS(TF_Timer,TF_Tekniker,AV$4,TF_Dato,$A910))*2,0)/2)))</f>
        <v/>
      </c>
      <c r="AW910">
        <f>IF(OR(AW$4="",$A910&gt;TODAY()),0,IF(OR(INDEX($B910:$D910,AW$5)="F",AND(AW$6&gt;0,$A910&lt;AW$6),AND(AW$7&gt;0,$A910&gt;AW$7)),0,MAX(0,ROUND((INDEX($E910:$G910,AW$5)-SUMIFS(TF_Timer,TF_Tekniker,AW$4,TF_Dato,$A910))*2,0)/2)))</f>
        <v/>
      </c>
      <c r="AX910">
        <f>IF(OR(AX$4="",$A910&gt;TODAY()),0,IF(OR(INDEX($B910:$D910,AX$5)="F",AND(AX$6&gt;0,$A910&lt;AX$6),AND(AX$7&gt;0,$A910&gt;AX$7)),0,MAX(0,ROUND((INDEX($E910:$G910,AX$5)-SUMIFS(TF_Timer,TF_Tekniker,AX$4,TF_Dato,$A910))*2,0)/2)))</f>
        <v/>
      </c>
      <c r="AY910">
        <f>IF(OR(AY$4="",$A910&gt;TODAY()),0,IF(OR(INDEX($B910:$D910,AY$5)="F",AND(AY$6&gt;0,$A910&lt;AY$6),AND(AY$7&gt;0,$A910&gt;AY$7)),0,MAX(0,ROUND((INDEX($E910:$G910,AY$5)-SUMIFS(TF_Timer,TF_Tekniker,AY$4,TF_Dato,$A910))*2,0)/2)))</f>
        <v/>
      </c>
      <c r="AZ910">
        <f>IF(OR(AZ$4="",$A910&gt;TODAY()),0,IF(OR(INDEX($B910:$D910,AZ$5)="F",AND(AZ$6&gt;0,$A910&lt;AZ$6),AND(AZ$7&gt;0,$A910&gt;AZ$7)),0,MAX(0,ROUND((INDEX($E910:$G910,AZ$5)-SUMIFS(TF_Timer,TF_Tekniker,AZ$4,TF_Dato,$A910))*2,0)/2)))</f>
        <v/>
      </c>
      <c r="BA910">
        <f>IF(OR(BA$4="",$A910&gt;TODAY()),0,IF(OR(INDEX($B910:$D910,BA$5)="F",AND(BA$6&gt;0,$A910&lt;BA$6),AND(BA$7&gt;0,$A910&gt;BA$7)),0,MAX(0,ROUND((INDEX($E910:$G910,BA$5)-SUMIFS(TF_Timer,TF_Tekniker,BA$4,TF_Dato,$A910))*2,0)/2)))</f>
        <v/>
      </c>
      <c r="BB910">
        <f>IF(OR(BB$4="",$A910&gt;TODAY()),0,IF(OR(INDEX($B910:$D910,BB$5)="F",AND(BB$6&gt;0,$A910&lt;BB$6),AND(BB$7&gt;0,$A910&gt;BB$7)),0,MAX(0,ROUND((INDEX($E910:$G910,BB$5)-SUMIFS(TF_Timer,TF_Tekniker,BB$4,TF_Dato,$A910))*2,0)/2)))</f>
        <v/>
      </c>
      <c r="BC910">
        <f>IF(OR(BC$4="",$A910&gt;TODAY()),0,IF(OR(INDEX($B910:$D910,BC$5)="F",AND(BC$6&gt;0,$A910&lt;BC$6),AND(BC$7&gt;0,$A910&gt;BC$7)),0,MAX(0,ROUND((INDEX($E910:$G910,BC$5)-SUMIFS(TF_Timer,TF_Tekniker,BC$4,TF_Dato,$A910))*2,0)/2)))</f>
        <v/>
      </c>
      <c r="BD910">
        <f>IF(OR(BD$4="",$A910&gt;TODAY()),0,IF(OR(INDEX($B910:$D910,BD$5)="F",AND(BD$6&gt;0,$A910&lt;BD$6),AND(BD$7&gt;0,$A910&gt;BD$7)),0,MAX(0,ROUND((INDEX($E910:$G910,BD$5)-SUMIFS(TF_Timer,TF_Tekniker,BD$4,TF_Dato,$A910))*2,0)/2)))</f>
        <v/>
      </c>
      <c r="BE910">
        <f>IF(OR(BE$4="",$A910&gt;TODAY()),0,IF(OR(INDEX($B910:$D910,BE$5)="F",AND(BE$6&gt;0,$A910&lt;BE$6),AND(BE$7&gt;0,$A910&gt;BE$7)),0,MAX(0,ROUND((INDEX($E910:$G910,BE$5)-SUMIFS(TF_Timer,TF_Tekniker,BE$4,TF_Dato,$A910))*2,0)/2)))</f>
        <v/>
      </c>
      <c r="BF910">
        <f>IF(OR(BF$4="",$A910&gt;TODAY()),0,IF(OR(INDEX($B910:$D910,BF$5)="F",AND(BF$6&gt;0,$A910&lt;BF$6),AND(BF$7&gt;0,$A910&gt;BF$7)),0,MAX(0,ROUND((INDEX($E910:$G910,BF$5)-SUMIFS(TF_Timer,TF_Tekniker,BF$4,TF_Dato,$A910))*2,0)/2)))</f>
        <v/>
      </c>
      <c r="BG910">
        <f>IF(OR(BG$4="",$A910&gt;TODAY()),0,IF(OR(INDEX($B910:$D910,BG$5)="F",AND(BG$6&gt;0,$A910&lt;BG$6),AND(BG$7&gt;0,$A910&gt;BG$7)),0,MAX(0,ROUND((INDEX($E910:$G910,BG$5)-SUMIFS(TF_Timer,TF_Tekniker,BG$4,TF_Dato,$A910))*2,0)/2)))</f>
        <v/>
      </c>
      <c r="BH910">
        <f>IF(OR(BH$4="",$A910&gt;TODAY()),0,IF(OR(INDEX($B910:$D910,BH$5)="F",AND(BH$6&gt;0,$A910&lt;BH$6),AND(BH$7&gt;0,$A910&gt;BH$7)),0,MAX(0,ROUND((INDEX($E910:$G910,BH$5)-SUMIFS(TF_Timer,TF_Tekniker,BH$4,TF_Dato,$A910))*2,0)/2)))</f>
        <v/>
      </c>
      <c r="BI910">
        <f>IF(OR(BI$4="",$A910&gt;TODAY()),0,IF(OR(INDEX($B910:$D910,BI$5)="F",AND(BI$6&gt;0,$A910&lt;BI$6),AND(BI$7&gt;0,$A910&gt;BI$7)),0,MAX(0,ROUND((INDEX($E910:$G910,BI$5)-SUMIFS(TF_Timer,TF_Tekniker,BI$4,TF_Dato,$A910))*2,0)/2)))</f>
        <v/>
      </c>
    </row>
    <row r="911">
      <c r="A911" s="64">
        <f>A910+1</f>
        <v/>
      </c>
      <c r="B911">
        <f>IF(MOD($A911-INDEX(SkiftStart,1),Syklus)&lt;DagK,"K",IF(MOD($A911-INDEX(SkiftStart,1),Syklus)&lt;DagK+DagH,"H",IF(MOD($A911-INDEX(SkiftStart,1),Syklus)&lt;DagK+DagH+DagD,"D","F")))</f>
        <v/>
      </c>
      <c r="C911">
        <f>IF(MOD($A911-INDEX(SkiftStart,2),Syklus)&lt;DagK,"K",IF(MOD($A911-INDEX(SkiftStart,2),Syklus)&lt;DagK+DagH,"H",IF(MOD($A911-INDEX(SkiftStart,2),Syklus)&lt;DagK+DagH+DagD,"D","F")))</f>
        <v/>
      </c>
      <c r="D911">
        <f>IF(MOD($A911-INDEX(SkiftStart,3),Syklus)&lt;DagK,"K",IF(MOD($A911-INDEX(SkiftStart,3),Syklus)&lt;DagK+DagH,"H",IF(MOD($A911-INDEX(SkiftStart,3),Syklus)&lt;DagK+DagH+DagD,"D","F")))</f>
        <v/>
      </c>
      <c r="E911">
        <f>IF(B911="F",0,IF(WEEKDAY($A911,2)=5,INDEX(TimerFr,MATCH(B911,FaseKode,0)),INDEX(TimerMT,MATCH(B911,FaseKode,0))))</f>
        <v/>
      </c>
      <c r="F911">
        <f>IF(C911="F",0,IF(WEEKDAY($A911,2)=5,INDEX(TimerFr,MATCH(C911,FaseKode,0)),INDEX(TimerMT,MATCH(C911,FaseKode,0))))</f>
        <v/>
      </c>
      <c r="G911">
        <f>IF(D911="F",0,IF(WEEKDAY($A911,2)=5,INDEX(TimerFr,MATCH(D911,FaseKode,0)),INDEX(TimerMT,MATCH(D911,FaseKode,0))))</f>
        <v/>
      </c>
      <c r="H911">
        <f>IF(OR(H$4="",$A911&gt;TODAY()),0,IF(OR(INDEX($B911:$D911,H$5)="F",AND(H$6&gt;0,$A911&lt;H$6),AND(H$7&gt;0,$A911&gt;H$7)),0,MAX(0,ROUND((INDEX($E911:$G911,H$5)-SUMIFS(TF_Timer,TF_Tekniker,H$4,TF_Dato,$A911))*2,0)/2)))</f>
        <v/>
      </c>
      <c r="I911">
        <f>IF(OR(I$4="",$A911&gt;TODAY()),0,IF(OR(INDEX($B911:$D911,I$5)="F",AND(I$6&gt;0,$A911&lt;I$6),AND(I$7&gt;0,$A911&gt;I$7)),0,MAX(0,ROUND((INDEX($E911:$G911,I$5)-SUMIFS(TF_Timer,TF_Tekniker,I$4,TF_Dato,$A911))*2,0)/2)))</f>
        <v/>
      </c>
      <c r="J911">
        <f>IF(OR(J$4="",$A911&gt;TODAY()),0,IF(OR(INDEX($B911:$D911,J$5)="F",AND(J$6&gt;0,$A911&lt;J$6),AND(J$7&gt;0,$A911&gt;J$7)),0,MAX(0,ROUND((INDEX($E911:$G911,J$5)-SUMIFS(TF_Timer,TF_Tekniker,J$4,TF_Dato,$A911))*2,0)/2)))</f>
        <v/>
      </c>
      <c r="K911">
        <f>IF(OR(K$4="",$A911&gt;TODAY()),0,IF(OR(INDEX($B911:$D911,K$5)="F",AND(K$6&gt;0,$A911&lt;K$6),AND(K$7&gt;0,$A911&gt;K$7)),0,MAX(0,ROUND((INDEX($E911:$G911,K$5)-SUMIFS(TF_Timer,TF_Tekniker,K$4,TF_Dato,$A911))*2,0)/2)))</f>
        <v/>
      </c>
      <c r="L911">
        <f>IF(OR(L$4="",$A911&gt;TODAY()),0,IF(OR(INDEX($B911:$D911,L$5)="F",AND(L$6&gt;0,$A911&lt;L$6),AND(L$7&gt;0,$A911&gt;L$7)),0,MAX(0,ROUND((INDEX($E911:$G911,L$5)-SUMIFS(TF_Timer,TF_Tekniker,L$4,TF_Dato,$A911))*2,0)/2)))</f>
        <v/>
      </c>
      <c r="M911">
        <f>IF(OR(M$4="",$A911&gt;TODAY()),0,IF(OR(INDEX($B911:$D911,M$5)="F",AND(M$6&gt;0,$A911&lt;M$6),AND(M$7&gt;0,$A911&gt;M$7)),0,MAX(0,ROUND((INDEX($E911:$G911,M$5)-SUMIFS(TF_Timer,TF_Tekniker,M$4,TF_Dato,$A911))*2,0)/2)))</f>
        <v/>
      </c>
      <c r="N911">
        <f>IF(OR(N$4="",$A911&gt;TODAY()),0,IF(OR(INDEX($B911:$D911,N$5)="F",AND(N$6&gt;0,$A911&lt;N$6),AND(N$7&gt;0,$A911&gt;N$7)),0,MAX(0,ROUND((INDEX($E911:$G911,N$5)-SUMIFS(TF_Timer,TF_Tekniker,N$4,TF_Dato,$A911))*2,0)/2)))</f>
        <v/>
      </c>
      <c r="O911">
        <f>IF(OR(O$4="",$A911&gt;TODAY()),0,IF(OR(INDEX($B911:$D911,O$5)="F",AND(O$6&gt;0,$A911&lt;O$6),AND(O$7&gt;0,$A911&gt;O$7)),0,MAX(0,ROUND((INDEX($E911:$G911,O$5)-SUMIFS(TF_Timer,TF_Tekniker,O$4,TF_Dato,$A911))*2,0)/2)))</f>
        <v/>
      </c>
      <c r="P911">
        <f>IF(OR(P$4="",$A911&gt;TODAY()),0,IF(OR(INDEX($B911:$D911,P$5)="F",AND(P$6&gt;0,$A911&lt;P$6),AND(P$7&gt;0,$A911&gt;P$7)),0,MAX(0,ROUND((INDEX($E911:$G911,P$5)-SUMIFS(TF_Timer,TF_Tekniker,P$4,TF_Dato,$A911))*2,0)/2)))</f>
        <v/>
      </c>
      <c r="Q911">
        <f>IF(OR(Q$4="",$A911&gt;TODAY()),0,IF(OR(INDEX($B911:$D911,Q$5)="F",AND(Q$6&gt;0,$A911&lt;Q$6),AND(Q$7&gt;0,$A911&gt;Q$7)),0,MAX(0,ROUND((INDEX($E911:$G911,Q$5)-SUMIFS(TF_Timer,TF_Tekniker,Q$4,TF_Dato,$A911))*2,0)/2)))</f>
        <v/>
      </c>
      <c r="R911">
        <f>IF(OR(R$4="",$A911&gt;TODAY()),0,IF(OR(INDEX($B911:$D911,R$5)="F",AND(R$6&gt;0,$A911&lt;R$6),AND(R$7&gt;0,$A911&gt;R$7)),0,MAX(0,ROUND((INDEX($E911:$G911,R$5)-SUMIFS(TF_Timer,TF_Tekniker,R$4,TF_Dato,$A911))*2,0)/2)))</f>
        <v/>
      </c>
      <c r="S911">
        <f>IF(OR(S$4="",$A911&gt;TODAY()),0,IF(OR(INDEX($B911:$D911,S$5)="F",AND(S$6&gt;0,$A911&lt;S$6),AND(S$7&gt;0,$A911&gt;S$7)),0,MAX(0,ROUND((INDEX($E911:$G911,S$5)-SUMIFS(TF_Timer,TF_Tekniker,S$4,TF_Dato,$A911))*2,0)/2)))</f>
        <v/>
      </c>
      <c r="T911">
        <f>IF(OR(T$4="",$A911&gt;TODAY()),0,IF(OR(INDEX($B911:$D911,T$5)="F",AND(T$6&gt;0,$A911&lt;T$6),AND(T$7&gt;0,$A911&gt;T$7)),0,MAX(0,ROUND((INDEX($E911:$G911,T$5)-SUMIFS(TF_Timer,TF_Tekniker,T$4,TF_Dato,$A911))*2,0)/2)))</f>
        <v/>
      </c>
      <c r="U911">
        <f>IF(OR(U$4="",$A911&gt;TODAY()),0,IF(OR(INDEX($B911:$D911,U$5)="F",AND(U$6&gt;0,$A911&lt;U$6),AND(U$7&gt;0,$A911&gt;U$7)),0,MAX(0,ROUND((INDEX($E911:$G911,U$5)-SUMIFS(TF_Timer,TF_Tekniker,U$4,TF_Dato,$A911))*2,0)/2)))</f>
        <v/>
      </c>
      <c r="V911">
        <f>IF(OR(V$4="",$A911&gt;TODAY()),0,IF(OR(INDEX($B911:$D911,V$5)="F",AND(V$6&gt;0,$A911&lt;V$6),AND(V$7&gt;0,$A911&gt;V$7)),0,MAX(0,ROUND((INDEX($E911:$G911,V$5)-SUMIFS(TF_Timer,TF_Tekniker,V$4,TF_Dato,$A911))*2,0)/2)))</f>
        <v/>
      </c>
      <c r="W911">
        <f>IF(OR(W$4="",$A911&gt;TODAY()),0,IF(OR(INDEX($B911:$D911,W$5)="F",AND(W$6&gt;0,$A911&lt;W$6),AND(W$7&gt;0,$A911&gt;W$7)),0,MAX(0,ROUND((INDEX($E911:$G911,W$5)-SUMIFS(TF_Timer,TF_Tekniker,W$4,TF_Dato,$A911))*2,0)/2)))</f>
        <v/>
      </c>
      <c r="X911">
        <f>IF(OR(X$4="",$A911&gt;TODAY()),0,IF(OR(INDEX($B911:$D911,X$5)="F",AND(X$6&gt;0,$A911&lt;X$6),AND(X$7&gt;0,$A911&gt;X$7)),0,MAX(0,ROUND((INDEX($E911:$G911,X$5)-SUMIFS(TF_Timer,TF_Tekniker,X$4,TF_Dato,$A911))*2,0)/2)))</f>
        <v/>
      </c>
      <c r="Y911">
        <f>IF(OR(Y$4="",$A911&gt;TODAY()),0,IF(OR(INDEX($B911:$D911,Y$5)="F",AND(Y$6&gt;0,$A911&lt;Y$6),AND(Y$7&gt;0,$A911&gt;Y$7)),0,MAX(0,ROUND((INDEX($E911:$G911,Y$5)-SUMIFS(TF_Timer,TF_Tekniker,Y$4,TF_Dato,$A911))*2,0)/2)))</f>
        <v/>
      </c>
      <c r="Z911">
        <f>IF(OR(Z$4="",$A911&gt;TODAY()),0,IF(OR(INDEX($B911:$D911,Z$5)="F",AND(Z$6&gt;0,$A911&lt;Z$6),AND(Z$7&gt;0,$A911&gt;Z$7)),0,MAX(0,ROUND((INDEX($E911:$G911,Z$5)-SUMIFS(TF_Timer,TF_Tekniker,Z$4,TF_Dato,$A911))*2,0)/2)))</f>
        <v/>
      </c>
      <c r="AA911">
        <f>IF(OR(AA$4="",$A911&gt;TODAY()),0,IF(OR(INDEX($B911:$D911,AA$5)="F",AND(AA$6&gt;0,$A911&lt;AA$6),AND(AA$7&gt;0,$A911&gt;AA$7)),0,MAX(0,ROUND((INDEX($E911:$G911,AA$5)-SUMIFS(TF_Timer,TF_Tekniker,AA$4,TF_Dato,$A911))*2,0)/2)))</f>
        <v/>
      </c>
      <c r="AB911">
        <f>IF(OR(AB$4="",$A911&gt;TODAY()),0,IF(OR(INDEX($B911:$D911,AB$5)="F",AND(AB$6&gt;0,$A911&lt;AB$6),AND(AB$7&gt;0,$A911&gt;AB$7)),0,MAX(0,ROUND((INDEX($E911:$G911,AB$5)-SUMIFS(TF_Timer,TF_Tekniker,AB$4,TF_Dato,$A911))*2,0)/2)))</f>
        <v/>
      </c>
      <c r="AC911">
        <f>IF(OR(AC$4="",$A911&gt;TODAY()),0,IF(OR(INDEX($B911:$D911,AC$5)="F",AND(AC$6&gt;0,$A911&lt;AC$6),AND(AC$7&gt;0,$A911&gt;AC$7)),0,MAX(0,ROUND((INDEX($E911:$G911,AC$5)-SUMIFS(TF_Timer,TF_Tekniker,AC$4,TF_Dato,$A911))*2,0)/2)))</f>
        <v/>
      </c>
      <c r="AD911">
        <f>IF(OR(AD$4="",$A911&gt;TODAY()),0,IF(OR(INDEX($B911:$D911,AD$5)="F",AND(AD$6&gt;0,$A911&lt;AD$6),AND(AD$7&gt;0,$A911&gt;AD$7)),0,MAX(0,ROUND((INDEX($E911:$G911,AD$5)-SUMIFS(TF_Timer,TF_Tekniker,AD$4,TF_Dato,$A911))*2,0)/2)))</f>
        <v/>
      </c>
      <c r="AE911">
        <f>IF(OR(AE$4="",$A911&gt;TODAY()),0,IF(OR(INDEX($B911:$D911,AE$5)="F",AND(AE$6&gt;0,$A911&lt;AE$6),AND(AE$7&gt;0,$A911&gt;AE$7)),0,MAX(0,ROUND((INDEX($E911:$G911,AE$5)-SUMIFS(TF_Timer,TF_Tekniker,AE$4,TF_Dato,$A911))*2,0)/2)))</f>
        <v/>
      </c>
      <c r="AF911">
        <f>IF(OR(AF$4="",$A911&gt;TODAY()),0,IF(OR(INDEX($B911:$D911,AF$5)="F",AND(AF$6&gt;0,$A911&lt;AF$6),AND(AF$7&gt;0,$A911&gt;AF$7)),0,MAX(0,ROUND((INDEX($E911:$G911,AF$5)-SUMIFS(TF_Timer,TF_Tekniker,AF$4,TF_Dato,$A911))*2,0)/2)))</f>
        <v/>
      </c>
      <c r="AG911">
        <f>IF(OR(AG$4="",$A911&gt;TODAY()),0,IF(OR(INDEX($B911:$D911,AG$5)="F",AND(AG$6&gt;0,$A911&lt;AG$6),AND(AG$7&gt;0,$A911&gt;AG$7)),0,MAX(0,ROUND((INDEX($E911:$G911,AG$5)-SUMIFS(TF_Timer,TF_Tekniker,AG$4,TF_Dato,$A911))*2,0)/2)))</f>
        <v/>
      </c>
      <c r="AH911">
        <f>IF(OR(AH$4="",$A911&gt;TODAY()),0,IF(OR(INDEX($B911:$D911,AH$5)="F",AND(AH$6&gt;0,$A911&lt;AH$6),AND(AH$7&gt;0,$A911&gt;AH$7)),0,MAX(0,ROUND((INDEX($E911:$G911,AH$5)-SUMIFS(TF_Timer,TF_Tekniker,AH$4,TF_Dato,$A911))*2,0)/2)))</f>
        <v/>
      </c>
      <c r="AI911">
        <f>IF(OR(AI$4="",$A911&gt;TODAY()),0,IF(OR(INDEX($B911:$D911,AI$5)="F",AND(AI$6&gt;0,$A911&lt;AI$6),AND(AI$7&gt;0,$A911&gt;AI$7)),0,MAX(0,ROUND((INDEX($E911:$G911,AI$5)-SUMIFS(TF_Timer,TF_Tekniker,AI$4,TF_Dato,$A911))*2,0)/2)))</f>
        <v/>
      </c>
      <c r="AJ911">
        <f>IF(OR(AJ$4="",$A911&gt;TODAY()),0,IF(OR(INDEX($B911:$D911,AJ$5)="F",AND(AJ$6&gt;0,$A911&lt;AJ$6),AND(AJ$7&gt;0,$A911&gt;AJ$7)),0,MAX(0,ROUND((INDEX($E911:$G911,AJ$5)-SUMIFS(TF_Timer,TF_Tekniker,AJ$4,TF_Dato,$A911))*2,0)/2)))</f>
        <v/>
      </c>
      <c r="AK911">
        <f>IF(OR(AK$4="",$A911&gt;TODAY()),0,IF(OR(INDEX($B911:$D911,AK$5)="F",AND(AK$6&gt;0,$A911&lt;AK$6),AND(AK$7&gt;0,$A911&gt;AK$7)),0,MAX(0,ROUND((INDEX($E911:$G911,AK$5)-SUMIFS(TF_Timer,TF_Tekniker,AK$4,TF_Dato,$A911))*2,0)/2)))</f>
        <v/>
      </c>
      <c r="AL911">
        <f>IF(OR(AL$4="",$A911&gt;TODAY()),0,IF(OR(INDEX($B911:$D911,AL$5)="F",AND(AL$6&gt;0,$A911&lt;AL$6),AND(AL$7&gt;0,$A911&gt;AL$7)),0,MAX(0,ROUND((INDEX($E911:$G911,AL$5)-SUMIFS(TF_Timer,TF_Tekniker,AL$4,TF_Dato,$A911))*2,0)/2)))</f>
        <v/>
      </c>
      <c r="AM911">
        <f>IF(OR(AM$4="",$A911&gt;TODAY()),0,IF(OR(INDEX($B911:$D911,AM$5)="F",AND(AM$6&gt;0,$A911&lt;AM$6),AND(AM$7&gt;0,$A911&gt;AM$7)),0,MAX(0,ROUND((INDEX($E911:$G911,AM$5)-SUMIFS(TF_Timer,TF_Tekniker,AM$4,TF_Dato,$A911))*2,0)/2)))</f>
        <v/>
      </c>
      <c r="AN911">
        <f>IF(OR(AN$4="",$A911&gt;TODAY()),0,IF(OR(INDEX($B911:$D911,AN$5)="F",AND(AN$6&gt;0,$A911&lt;AN$6),AND(AN$7&gt;0,$A911&gt;AN$7)),0,MAX(0,ROUND((INDEX($E911:$G911,AN$5)-SUMIFS(TF_Timer,TF_Tekniker,AN$4,TF_Dato,$A911))*2,0)/2)))</f>
        <v/>
      </c>
      <c r="AO911">
        <f>IF(OR(AO$4="",$A911&gt;TODAY()),0,IF(OR(INDEX($B911:$D911,AO$5)="F",AND(AO$6&gt;0,$A911&lt;AO$6),AND(AO$7&gt;0,$A911&gt;AO$7)),0,MAX(0,ROUND((INDEX($E911:$G911,AO$5)-SUMIFS(TF_Timer,TF_Tekniker,AO$4,TF_Dato,$A911))*2,0)/2)))</f>
        <v/>
      </c>
      <c r="AP911">
        <f>IF(OR(AP$4="",$A911&gt;TODAY()),0,IF(OR(INDEX($B911:$D911,AP$5)="F",AND(AP$6&gt;0,$A911&lt;AP$6),AND(AP$7&gt;0,$A911&gt;AP$7)),0,MAX(0,ROUND((INDEX($E911:$G911,AP$5)-SUMIFS(TF_Timer,TF_Tekniker,AP$4,TF_Dato,$A911))*2,0)/2)))</f>
        <v/>
      </c>
      <c r="AQ911">
        <f>IF(OR(AQ$4="",$A911&gt;TODAY()),0,IF(OR(INDEX($B911:$D911,AQ$5)="F",AND(AQ$6&gt;0,$A911&lt;AQ$6),AND(AQ$7&gt;0,$A911&gt;AQ$7)),0,MAX(0,ROUND((INDEX($E911:$G911,AQ$5)-SUMIFS(TF_Timer,TF_Tekniker,AQ$4,TF_Dato,$A911))*2,0)/2)))</f>
        <v/>
      </c>
      <c r="AR911">
        <f>IF(OR(AR$4="",$A911&gt;TODAY()),0,IF(OR(INDEX($B911:$D911,AR$5)="F",AND(AR$6&gt;0,$A911&lt;AR$6),AND(AR$7&gt;0,$A911&gt;AR$7)),0,MAX(0,ROUND((INDEX($E911:$G911,AR$5)-SUMIFS(TF_Timer,TF_Tekniker,AR$4,TF_Dato,$A911))*2,0)/2)))</f>
        <v/>
      </c>
      <c r="AS911">
        <f>IF(OR(AS$4="",$A911&gt;TODAY()),0,IF(OR(INDEX($B911:$D911,AS$5)="F",AND(AS$6&gt;0,$A911&lt;AS$6),AND(AS$7&gt;0,$A911&gt;AS$7)),0,MAX(0,ROUND((INDEX($E911:$G911,AS$5)-SUMIFS(TF_Timer,TF_Tekniker,AS$4,TF_Dato,$A911))*2,0)/2)))</f>
        <v/>
      </c>
      <c r="AT911">
        <f>IF(OR(AT$4="",$A911&gt;TODAY()),0,IF(OR(INDEX($B911:$D911,AT$5)="F",AND(AT$6&gt;0,$A911&lt;AT$6),AND(AT$7&gt;0,$A911&gt;AT$7)),0,MAX(0,ROUND((INDEX($E911:$G911,AT$5)-SUMIFS(TF_Timer,TF_Tekniker,AT$4,TF_Dato,$A911))*2,0)/2)))</f>
        <v/>
      </c>
      <c r="AU911">
        <f>IF(OR(AU$4="",$A911&gt;TODAY()),0,IF(OR(INDEX($B911:$D911,AU$5)="F",AND(AU$6&gt;0,$A911&lt;AU$6),AND(AU$7&gt;0,$A911&gt;AU$7)),0,MAX(0,ROUND((INDEX($E911:$G911,AU$5)-SUMIFS(TF_Timer,TF_Tekniker,AU$4,TF_Dato,$A911))*2,0)/2)))</f>
        <v/>
      </c>
      <c r="AV911">
        <f>IF(OR(AV$4="",$A911&gt;TODAY()),0,IF(OR(INDEX($B911:$D911,AV$5)="F",AND(AV$6&gt;0,$A911&lt;AV$6),AND(AV$7&gt;0,$A911&gt;AV$7)),0,MAX(0,ROUND((INDEX($E911:$G911,AV$5)-SUMIFS(TF_Timer,TF_Tekniker,AV$4,TF_Dato,$A911))*2,0)/2)))</f>
        <v/>
      </c>
      <c r="AW911">
        <f>IF(OR(AW$4="",$A911&gt;TODAY()),0,IF(OR(INDEX($B911:$D911,AW$5)="F",AND(AW$6&gt;0,$A911&lt;AW$6),AND(AW$7&gt;0,$A911&gt;AW$7)),0,MAX(0,ROUND((INDEX($E911:$G911,AW$5)-SUMIFS(TF_Timer,TF_Tekniker,AW$4,TF_Dato,$A911))*2,0)/2)))</f>
        <v/>
      </c>
      <c r="AX911">
        <f>IF(OR(AX$4="",$A911&gt;TODAY()),0,IF(OR(INDEX($B911:$D911,AX$5)="F",AND(AX$6&gt;0,$A911&lt;AX$6),AND(AX$7&gt;0,$A911&gt;AX$7)),0,MAX(0,ROUND((INDEX($E911:$G911,AX$5)-SUMIFS(TF_Timer,TF_Tekniker,AX$4,TF_Dato,$A911))*2,0)/2)))</f>
        <v/>
      </c>
      <c r="AY911">
        <f>IF(OR(AY$4="",$A911&gt;TODAY()),0,IF(OR(INDEX($B911:$D911,AY$5)="F",AND(AY$6&gt;0,$A911&lt;AY$6),AND(AY$7&gt;0,$A911&gt;AY$7)),0,MAX(0,ROUND((INDEX($E911:$G911,AY$5)-SUMIFS(TF_Timer,TF_Tekniker,AY$4,TF_Dato,$A911))*2,0)/2)))</f>
        <v/>
      </c>
      <c r="AZ911">
        <f>IF(OR(AZ$4="",$A911&gt;TODAY()),0,IF(OR(INDEX($B911:$D911,AZ$5)="F",AND(AZ$6&gt;0,$A911&lt;AZ$6),AND(AZ$7&gt;0,$A911&gt;AZ$7)),0,MAX(0,ROUND((INDEX($E911:$G911,AZ$5)-SUMIFS(TF_Timer,TF_Tekniker,AZ$4,TF_Dato,$A911))*2,0)/2)))</f>
        <v/>
      </c>
      <c r="BA911">
        <f>IF(OR(BA$4="",$A911&gt;TODAY()),0,IF(OR(INDEX($B911:$D911,BA$5)="F",AND(BA$6&gt;0,$A911&lt;BA$6),AND(BA$7&gt;0,$A911&gt;BA$7)),0,MAX(0,ROUND((INDEX($E911:$G911,BA$5)-SUMIFS(TF_Timer,TF_Tekniker,BA$4,TF_Dato,$A911))*2,0)/2)))</f>
        <v/>
      </c>
      <c r="BB911">
        <f>IF(OR(BB$4="",$A911&gt;TODAY()),0,IF(OR(INDEX($B911:$D911,BB$5)="F",AND(BB$6&gt;0,$A911&lt;BB$6),AND(BB$7&gt;0,$A911&gt;BB$7)),0,MAX(0,ROUND((INDEX($E911:$G911,BB$5)-SUMIFS(TF_Timer,TF_Tekniker,BB$4,TF_Dato,$A911))*2,0)/2)))</f>
        <v/>
      </c>
      <c r="BC911">
        <f>IF(OR(BC$4="",$A911&gt;TODAY()),0,IF(OR(INDEX($B911:$D911,BC$5)="F",AND(BC$6&gt;0,$A911&lt;BC$6),AND(BC$7&gt;0,$A911&gt;BC$7)),0,MAX(0,ROUND((INDEX($E911:$G911,BC$5)-SUMIFS(TF_Timer,TF_Tekniker,BC$4,TF_Dato,$A911))*2,0)/2)))</f>
        <v/>
      </c>
      <c r="BD911">
        <f>IF(OR(BD$4="",$A911&gt;TODAY()),0,IF(OR(INDEX($B911:$D911,BD$5)="F",AND(BD$6&gt;0,$A911&lt;BD$6),AND(BD$7&gt;0,$A911&gt;BD$7)),0,MAX(0,ROUND((INDEX($E911:$G911,BD$5)-SUMIFS(TF_Timer,TF_Tekniker,BD$4,TF_Dato,$A911))*2,0)/2)))</f>
        <v/>
      </c>
      <c r="BE911">
        <f>IF(OR(BE$4="",$A911&gt;TODAY()),0,IF(OR(INDEX($B911:$D911,BE$5)="F",AND(BE$6&gt;0,$A911&lt;BE$6),AND(BE$7&gt;0,$A911&gt;BE$7)),0,MAX(0,ROUND((INDEX($E911:$G911,BE$5)-SUMIFS(TF_Timer,TF_Tekniker,BE$4,TF_Dato,$A911))*2,0)/2)))</f>
        <v/>
      </c>
      <c r="BF911">
        <f>IF(OR(BF$4="",$A911&gt;TODAY()),0,IF(OR(INDEX($B911:$D911,BF$5)="F",AND(BF$6&gt;0,$A911&lt;BF$6),AND(BF$7&gt;0,$A911&gt;BF$7)),0,MAX(0,ROUND((INDEX($E911:$G911,BF$5)-SUMIFS(TF_Timer,TF_Tekniker,BF$4,TF_Dato,$A911))*2,0)/2)))</f>
        <v/>
      </c>
      <c r="BG911">
        <f>IF(OR(BG$4="",$A911&gt;TODAY()),0,IF(OR(INDEX($B911:$D911,BG$5)="F",AND(BG$6&gt;0,$A911&lt;BG$6),AND(BG$7&gt;0,$A911&gt;BG$7)),0,MAX(0,ROUND((INDEX($E911:$G911,BG$5)-SUMIFS(TF_Timer,TF_Tekniker,BG$4,TF_Dato,$A911))*2,0)/2)))</f>
        <v/>
      </c>
      <c r="BH911">
        <f>IF(OR(BH$4="",$A911&gt;TODAY()),0,IF(OR(INDEX($B911:$D911,BH$5)="F",AND(BH$6&gt;0,$A911&lt;BH$6),AND(BH$7&gt;0,$A911&gt;BH$7)),0,MAX(0,ROUND((INDEX($E911:$G911,BH$5)-SUMIFS(TF_Timer,TF_Tekniker,BH$4,TF_Dato,$A911))*2,0)/2)))</f>
        <v/>
      </c>
      <c r="BI911">
        <f>IF(OR(BI$4="",$A911&gt;TODAY()),0,IF(OR(INDEX($B911:$D911,BI$5)="F",AND(BI$6&gt;0,$A911&lt;BI$6),AND(BI$7&gt;0,$A911&gt;BI$7)),0,MAX(0,ROUND((INDEX($E911:$G911,BI$5)-SUMIFS(TF_Timer,TF_Tekniker,BI$4,TF_Dato,$A911))*2,0)/2)))</f>
        <v/>
      </c>
    </row>
    <row r="912">
      <c r="A912" s="64">
        <f>A911+1</f>
        <v/>
      </c>
      <c r="B912">
        <f>IF(MOD($A912-INDEX(SkiftStart,1),Syklus)&lt;DagK,"K",IF(MOD($A912-INDEX(SkiftStart,1),Syklus)&lt;DagK+DagH,"H",IF(MOD($A912-INDEX(SkiftStart,1),Syklus)&lt;DagK+DagH+DagD,"D","F")))</f>
        <v/>
      </c>
      <c r="C912">
        <f>IF(MOD($A912-INDEX(SkiftStart,2),Syklus)&lt;DagK,"K",IF(MOD($A912-INDEX(SkiftStart,2),Syklus)&lt;DagK+DagH,"H",IF(MOD($A912-INDEX(SkiftStart,2),Syklus)&lt;DagK+DagH+DagD,"D","F")))</f>
        <v/>
      </c>
      <c r="D912">
        <f>IF(MOD($A912-INDEX(SkiftStart,3),Syklus)&lt;DagK,"K",IF(MOD($A912-INDEX(SkiftStart,3),Syklus)&lt;DagK+DagH,"H",IF(MOD($A912-INDEX(SkiftStart,3),Syklus)&lt;DagK+DagH+DagD,"D","F")))</f>
        <v/>
      </c>
      <c r="E912">
        <f>IF(B912="F",0,IF(WEEKDAY($A912,2)=5,INDEX(TimerFr,MATCH(B912,FaseKode,0)),INDEX(TimerMT,MATCH(B912,FaseKode,0))))</f>
        <v/>
      </c>
      <c r="F912">
        <f>IF(C912="F",0,IF(WEEKDAY($A912,2)=5,INDEX(TimerFr,MATCH(C912,FaseKode,0)),INDEX(TimerMT,MATCH(C912,FaseKode,0))))</f>
        <v/>
      </c>
      <c r="G912">
        <f>IF(D912="F",0,IF(WEEKDAY($A912,2)=5,INDEX(TimerFr,MATCH(D912,FaseKode,0)),INDEX(TimerMT,MATCH(D912,FaseKode,0))))</f>
        <v/>
      </c>
      <c r="H912">
        <f>IF(OR(H$4="",$A912&gt;TODAY()),0,IF(OR(INDEX($B912:$D912,H$5)="F",AND(H$6&gt;0,$A912&lt;H$6),AND(H$7&gt;0,$A912&gt;H$7)),0,MAX(0,ROUND((INDEX($E912:$G912,H$5)-SUMIFS(TF_Timer,TF_Tekniker,H$4,TF_Dato,$A912))*2,0)/2)))</f>
        <v/>
      </c>
      <c r="I912">
        <f>IF(OR(I$4="",$A912&gt;TODAY()),0,IF(OR(INDEX($B912:$D912,I$5)="F",AND(I$6&gt;0,$A912&lt;I$6),AND(I$7&gt;0,$A912&gt;I$7)),0,MAX(0,ROUND((INDEX($E912:$G912,I$5)-SUMIFS(TF_Timer,TF_Tekniker,I$4,TF_Dato,$A912))*2,0)/2)))</f>
        <v/>
      </c>
      <c r="J912">
        <f>IF(OR(J$4="",$A912&gt;TODAY()),0,IF(OR(INDEX($B912:$D912,J$5)="F",AND(J$6&gt;0,$A912&lt;J$6),AND(J$7&gt;0,$A912&gt;J$7)),0,MAX(0,ROUND((INDEX($E912:$G912,J$5)-SUMIFS(TF_Timer,TF_Tekniker,J$4,TF_Dato,$A912))*2,0)/2)))</f>
        <v/>
      </c>
      <c r="K912">
        <f>IF(OR(K$4="",$A912&gt;TODAY()),0,IF(OR(INDEX($B912:$D912,K$5)="F",AND(K$6&gt;0,$A912&lt;K$6),AND(K$7&gt;0,$A912&gt;K$7)),0,MAX(0,ROUND((INDEX($E912:$G912,K$5)-SUMIFS(TF_Timer,TF_Tekniker,K$4,TF_Dato,$A912))*2,0)/2)))</f>
        <v/>
      </c>
      <c r="L912">
        <f>IF(OR(L$4="",$A912&gt;TODAY()),0,IF(OR(INDEX($B912:$D912,L$5)="F",AND(L$6&gt;0,$A912&lt;L$6),AND(L$7&gt;0,$A912&gt;L$7)),0,MAX(0,ROUND((INDEX($E912:$G912,L$5)-SUMIFS(TF_Timer,TF_Tekniker,L$4,TF_Dato,$A912))*2,0)/2)))</f>
        <v/>
      </c>
      <c r="M912">
        <f>IF(OR(M$4="",$A912&gt;TODAY()),0,IF(OR(INDEX($B912:$D912,M$5)="F",AND(M$6&gt;0,$A912&lt;M$6),AND(M$7&gt;0,$A912&gt;M$7)),0,MAX(0,ROUND((INDEX($E912:$G912,M$5)-SUMIFS(TF_Timer,TF_Tekniker,M$4,TF_Dato,$A912))*2,0)/2)))</f>
        <v/>
      </c>
      <c r="N912">
        <f>IF(OR(N$4="",$A912&gt;TODAY()),0,IF(OR(INDEX($B912:$D912,N$5)="F",AND(N$6&gt;0,$A912&lt;N$6),AND(N$7&gt;0,$A912&gt;N$7)),0,MAX(0,ROUND((INDEX($E912:$G912,N$5)-SUMIFS(TF_Timer,TF_Tekniker,N$4,TF_Dato,$A912))*2,0)/2)))</f>
        <v/>
      </c>
      <c r="O912">
        <f>IF(OR(O$4="",$A912&gt;TODAY()),0,IF(OR(INDEX($B912:$D912,O$5)="F",AND(O$6&gt;0,$A912&lt;O$6),AND(O$7&gt;0,$A912&gt;O$7)),0,MAX(0,ROUND((INDEX($E912:$G912,O$5)-SUMIFS(TF_Timer,TF_Tekniker,O$4,TF_Dato,$A912))*2,0)/2)))</f>
        <v/>
      </c>
      <c r="P912">
        <f>IF(OR(P$4="",$A912&gt;TODAY()),0,IF(OR(INDEX($B912:$D912,P$5)="F",AND(P$6&gt;0,$A912&lt;P$6),AND(P$7&gt;0,$A912&gt;P$7)),0,MAX(0,ROUND((INDEX($E912:$G912,P$5)-SUMIFS(TF_Timer,TF_Tekniker,P$4,TF_Dato,$A912))*2,0)/2)))</f>
        <v/>
      </c>
      <c r="Q912">
        <f>IF(OR(Q$4="",$A912&gt;TODAY()),0,IF(OR(INDEX($B912:$D912,Q$5)="F",AND(Q$6&gt;0,$A912&lt;Q$6),AND(Q$7&gt;0,$A912&gt;Q$7)),0,MAX(0,ROUND((INDEX($E912:$G912,Q$5)-SUMIFS(TF_Timer,TF_Tekniker,Q$4,TF_Dato,$A912))*2,0)/2)))</f>
        <v/>
      </c>
      <c r="R912">
        <f>IF(OR(R$4="",$A912&gt;TODAY()),0,IF(OR(INDEX($B912:$D912,R$5)="F",AND(R$6&gt;0,$A912&lt;R$6),AND(R$7&gt;0,$A912&gt;R$7)),0,MAX(0,ROUND((INDEX($E912:$G912,R$5)-SUMIFS(TF_Timer,TF_Tekniker,R$4,TF_Dato,$A912))*2,0)/2)))</f>
        <v/>
      </c>
      <c r="S912">
        <f>IF(OR(S$4="",$A912&gt;TODAY()),0,IF(OR(INDEX($B912:$D912,S$5)="F",AND(S$6&gt;0,$A912&lt;S$6),AND(S$7&gt;0,$A912&gt;S$7)),0,MAX(0,ROUND((INDEX($E912:$G912,S$5)-SUMIFS(TF_Timer,TF_Tekniker,S$4,TF_Dato,$A912))*2,0)/2)))</f>
        <v/>
      </c>
      <c r="T912">
        <f>IF(OR(T$4="",$A912&gt;TODAY()),0,IF(OR(INDEX($B912:$D912,T$5)="F",AND(T$6&gt;0,$A912&lt;T$6),AND(T$7&gt;0,$A912&gt;T$7)),0,MAX(0,ROUND((INDEX($E912:$G912,T$5)-SUMIFS(TF_Timer,TF_Tekniker,T$4,TF_Dato,$A912))*2,0)/2)))</f>
        <v/>
      </c>
      <c r="U912">
        <f>IF(OR(U$4="",$A912&gt;TODAY()),0,IF(OR(INDEX($B912:$D912,U$5)="F",AND(U$6&gt;0,$A912&lt;U$6),AND(U$7&gt;0,$A912&gt;U$7)),0,MAX(0,ROUND((INDEX($E912:$G912,U$5)-SUMIFS(TF_Timer,TF_Tekniker,U$4,TF_Dato,$A912))*2,0)/2)))</f>
        <v/>
      </c>
      <c r="V912">
        <f>IF(OR(V$4="",$A912&gt;TODAY()),0,IF(OR(INDEX($B912:$D912,V$5)="F",AND(V$6&gt;0,$A912&lt;V$6),AND(V$7&gt;0,$A912&gt;V$7)),0,MAX(0,ROUND((INDEX($E912:$G912,V$5)-SUMIFS(TF_Timer,TF_Tekniker,V$4,TF_Dato,$A912))*2,0)/2)))</f>
        <v/>
      </c>
      <c r="W912">
        <f>IF(OR(W$4="",$A912&gt;TODAY()),0,IF(OR(INDEX($B912:$D912,W$5)="F",AND(W$6&gt;0,$A912&lt;W$6),AND(W$7&gt;0,$A912&gt;W$7)),0,MAX(0,ROUND((INDEX($E912:$G912,W$5)-SUMIFS(TF_Timer,TF_Tekniker,W$4,TF_Dato,$A912))*2,0)/2)))</f>
        <v/>
      </c>
      <c r="X912">
        <f>IF(OR(X$4="",$A912&gt;TODAY()),0,IF(OR(INDEX($B912:$D912,X$5)="F",AND(X$6&gt;0,$A912&lt;X$6),AND(X$7&gt;0,$A912&gt;X$7)),0,MAX(0,ROUND((INDEX($E912:$G912,X$5)-SUMIFS(TF_Timer,TF_Tekniker,X$4,TF_Dato,$A912))*2,0)/2)))</f>
        <v/>
      </c>
      <c r="Y912">
        <f>IF(OR(Y$4="",$A912&gt;TODAY()),0,IF(OR(INDEX($B912:$D912,Y$5)="F",AND(Y$6&gt;0,$A912&lt;Y$6),AND(Y$7&gt;0,$A912&gt;Y$7)),0,MAX(0,ROUND((INDEX($E912:$G912,Y$5)-SUMIFS(TF_Timer,TF_Tekniker,Y$4,TF_Dato,$A912))*2,0)/2)))</f>
        <v/>
      </c>
      <c r="Z912">
        <f>IF(OR(Z$4="",$A912&gt;TODAY()),0,IF(OR(INDEX($B912:$D912,Z$5)="F",AND(Z$6&gt;0,$A912&lt;Z$6),AND(Z$7&gt;0,$A912&gt;Z$7)),0,MAX(0,ROUND((INDEX($E912:$G912,Z$5)-SUMIFS(TF_Timer,TF_Tekniker,Z$4,TF_Dato,$A912))*2,0)/2)))</f>
        <v/>
      </c>
      <c r="AA912">
        <f>IF(OR(AA$4="",$A912&gt;TODAY()),0,IF(OR(INDEX($B912:$D912,AA$5)="F",AND(AA$6&gt;0,$A912&lt;AA$6),AND(AA$7&gt;0,$A912&gt;AA$7)),0,MAX(0,ROUND((INDEX($E912:$G912,AA$5)-SUMIFS(TF_Timer,TF_Tekniker,AA$4,TF_Dato,$A912))*2,0)/2)))</f>
        <v/>
      </c>
      <c r="AB912">
        <f>IF(OR(AB$4="",$A912&gt;TODAY()),0,IF(OR(INDEX($B912:$D912,AB$5)="F",AND(AB$6&gt;0,$A912&lt;AB$6),AND(AB$7&gt;0,$A912&gt;AB$7)),0,MAX(0,ROUND((INDEX($E912:$G912,AB$5)-SUMIFS(TF_Timer,TF_Tekniker,AB$4,TF_Dato,$A912))*2,0)/2)))</f>
        <v/>
      </c>
      <c r="AC912">
        <f>IF(OR(AC$4="",$A912&gt;TODAY()),0,IF(OR(INDEX($B912:$D912,AC$5)="F",AND(AC$6&gt;0,$A912&lt;AC$6),AND(AC$7&gt;0,$A912&gt;AC$7)),0,MAX(0,ROUND((INDEX($E912:$G912,AC$5)-SUMIFS(TF_Timer,TF_Tekniker,AC$4,TF_Dato,$A912))*2,0)/2)))</f>
        <v/>
      </c>
      <c r="AD912">
        <f>IF(OR(AD$4="",$A912&gt;TODAY()),0,IF(OR(INDEX($B912:$D912,AD$5)="F",AND(AD$6&gt;0,$A912&lt;AD$6),AND(AD$7&gt;0,$A912&gt;AD$7)),0,MAX(0,ROUND((INDEX($E912:$G912,AD$5)-SUMIFS(TF_Timer,TF_Tekniker,AD$4,TF_Dato,$A912))*2,0)/2)))</f>
        <v/>
      </c>
      <c r="AE912">
        <f>IF(OR(AE$4="",$A912&gt;TODAY()),0,IF(OR(INDEX($B912:$D912,AE$5)="F",AND(AE$6&gt;0,$A912&lt;AE$6),AND(AE$7&gt;0,$A912&gt;AE$7)),0,MAX(0,ROUND((INDEX($E912:$G912,AE$5)-SUMIFS(TF_Timer,TF_Tekniker,AE$4,TF_Dato,$A912))*2,0)/2)))</f>
        <v/>
      </c>
      <c r="AF912">
        <f>IF(OR(AF$4="",$A912&gt;TODAY()),0,IF(OR(INDEX($B912:$D912,AF$5)="F",AND(AF$6&gt;0,$A912&lt;AF$6),AND(AF$7&gt;0,$A912&gt;AF$7)),0,MAX(0,ROUND((INDEX($E912:$G912,AF$5)-SUMIFS(TF_Timer,TF_Tekniker,AF$4,TF_Dato,$A912))*2,0)/2)))</f>
        <v/>
      </c>
      <c r="AG912">
        <f>IF(OR(AG$4="",$A912&gt;TODAY()),0,IF(OR(INDEX($B912:$D912,AG$5)="F",AND(AG$6&gt;0,$A912&lt;AG$6),AND(AG$7&gt;0,$A912&gt;AG$7)),0,MAX(0,ROUND((INDEX($E912:$G912,AG$5)-SUMIFS(TF_Timer,TF_Tekniker,AG$4,TF_Dato,$A912))*2,0)/2)))</f>
        <v/>
      </c>
      <c r="AH912">
        <f>IF(OR(AH$4="",$A912&gt;TODAY()),0,IF(OR(INDEX($B912:$D912,AH$5)="F",AND(AH$6&gt;0,$A912&lt;AH$6),AND(AH$7&gt;0,$A912&gt;AH$7)),0,MAX(0,ROUND((INDEX($E912:$G912,AH$5)-SUMIFS(TF_Timer,TF_Tekniker,AH$4,TF_Dato,$A912))*2,0)/2)))</f>
        <v/>
      </c>
      <c r="AI912">
        <f>IF(OR(AI$4="",$A912&gt;TODAY()),0,IF(OR(INDEX($B912:$D912,AI$5)="F",AND(AI$6&gt;0,$A912&lt;AI$6),AND(AI$7&gt;0,$A912&gt;AI$7)),0,MAX(0,ROUND((INDEX($E912:$G912,AI$5)-SUMIFS(TF_Timer,TF_Tekniker,AI$4,TF_Dato,$A912))*2,0)/2)))</f>
        <v/>
      </c>
      <c r="AJ912">
        <f>IF(OR(AJ$4="",$A912&gt;TODAY()),0,IF(OR(INDEX($B912:$D912,AJ$5)="F",AND(AJ$6&gt;0,$A912&lt;AJ$6),AND(AJ$7&gt;0,$A912&gt;AJ$7)),0,MAX(0,ROUND((INDEX($E912:$G912,AJ$5)-SUMIFS(TF_Timer,TF_Tekniker,AJ$4,TF_Dato,$A912))*2,0)/2)))</f>
        <v/>
      </c>
      <c r="AK912">
        <f>IF(OR(AK$4="",$A912&gt;TODAY()),0,IF(OR(INDEX($B912:$D912,AK$5)="F",AND(AK$6&gt;0,$A912&lt;AK$6),AND(AK$7&gt;0,$A912&gt;AK$7)),0,MAX(0,ROUND((INDEX($E912:$G912,AK$5)-SUMIFS(TF_Timer,TF_Tekniker,AK$4,TF_Dato,$A912))*2,0)/2)))</f>
        <v/>
      </c>
      <c r="AL912">
        <f>IF(OR(AL$4="",$A912&gt;TODAY()),0,IF(OR(INDEX($B912:$D912,AL$5)="F",AND(AL$6&gt;0,$A912&lt;AL$6),AND(AL$7&gt;0,$A912&gt;AL$7)),0,MAX(0,ROUND((INDEX($E912:$G912,AL$5)-SUMIFS(TF_Timer,TF_Tekniker,AL$4,TF_Dato,$A912))*2,0)/2)))</f>
        <v/>
      </c>
      <c r="AM912">
        <f>IF(OR(AM$4="",$A912&gt;TODAY()),0,IF(OR(INDEX($B912:$D912,AM$5)="F",AND(AM$6&gt;0,$A912&lt;AM$6),AND(AM$7&gt;0,$A912&gt;AM$7)),0,MAX(0,ROUND((INDEX($E912:$G912,AM$5)-SUMIFS(TF_Timer,TF_Tekniker,AM$4,TF_Dato,$A912))*2,0)/2)))</f>
        <v/>
      </c>
      <c r="AN912">
        <f>IF(OR(AN$4="",$A912&gt;TODAY()),0,IF(OR(INDEX($B912:$D912,AN$5)="F",AND(AN$6&gt;0,$A912&lt;AN$6),AND(AN$7&gt;0,$A912&gt;AN$7)),0,MAX(0,ROUND((INDEX($E912:$G912,AN$5)-SUMIFS(TF_Timer,TF_Tekniker,AN$4,TF_Dato,$A912))*2,0)/2)))</f>
        <v/>
      </c>
      <c r="AO912">
        <f>IF(OR(AO$4="",$A912&gt;TODAY()),0,IF(OR(INDEX($B912:$D912,AO$5)="F",AND(AO$6&gt;0,$A912&lt;AO$6),AND(AO$7&gt;0,$A912&gt;AO$7)),0,MAX(0,ROUND((INDEX($E912:$G912,AO$5)-SUMIFS(TF_Timer,TF_Tekniker,AO$4,TF_Dato,$A912))*2,0)/2)))</f>
        <v/>
      </c>
      <c r="AP912">
        <f>IF(OR(AP$4="",$A912&gt;TODAY()),0,IF(OR(INDEX($B912:$D912,AP$5)="F",AND(AP$6&gt;0,$A912&lt;AP$6),AND(AP$7&gt;0,$A912&gt;AP$7)),0,MAX(0,ROUND((INDEX($E912:$G912,AP$5)-SUMIFS(TF_Timer,TF_Tekniker,AP$4,TF_Dato,$A912))*2,0)/2)))</f>
        <v/>
      </c>
      <c r="AQ912">
        <f>IF(OR(AQ$4="",$A912&gt;TODAY()),0,IF(OR(INDEX($B912:$D912,AQ$5)="F",AND(AQ$6&gt;0,$A912&lt;AQ$6),AND(AQ$7&gt;0,$A912&gt;AQ$7)),0,MAX(0,ROUND((INDEX($E912:$G912,AQ$5)-SUMIFS(TF_Timer,TF_Tekniker,AQ$4,TF_Dato,$A912))*2,0)/2)))</f>
        <v/>
      </c>
      <c r="AR912">
        <f>IF(OR(AR$4="",$A912&gt;TODAY()),0,IF(OR(INDEX($B912:$D912,AR$5)="F",AND(AR$6&gt;0,$A912&lt;AR$6),AND(AR$7&gt;0,$A912&gt;AR$7)),0,MAX(0,ROUND((INDEX($E912:$G912,AR$5)-SUMIFS(TF_Timer,TF_Tekniker,AR$4,TF_Dato,$A912))*2,0)/2)))</f>
        <v/>
      </c>
      <c r="AS912">
        <f>IF(OR(AS$4="",$A912&gt;TODAY()),0,IF(OR(INDEX($B912:$D912,AS$5)="F",AND(AS$6&gt;0,$A912&lt;AS$6),AND(AS$7&gt;0,$A912&gt;AS$7)),0,MAX(0,ROUND((INDEX($E912:$G912,AS$5)-SUMIFS(TF_Timer,TF_Tekniker,AS$4,TF_Dato,$A912))*2,0)/2)))</f>
        <v/>
      </c>
      <c r="AT912">
        <f>IF(OR(AT$4="",$A912&gt;TODAY()),0,IF(OR(INDEX($B912:$D912,AT$5)="F",AND(AT$6&gt;0,$A912&lt;AT$6),AND(AT$7&gt;0,$A912&gt;AT$7)),0,MAX(0,ROUND((INDEX($E912:$G912,AT$5)-SUMIFS(TF_Timer,TF_Tekniker,AT$4,TF_Dato,$A912))*2,0)/2)))</f>
        <v/>
      </c>
      <c r="AU912">
        <f>IF(OR(AU$4="",$A912&gt;TODAY()),0,IF(OR(INDEX($B912:$D912,AU$5)="F",AND(AU$6&gt;0,$A912&lt;AU$6),AND(AU$7&gt;0,$A912&gt;AU$7)),0,MAX(0,ROUND((INDEX($E912:$G912,AU$5)-SUMIFS(TF_Timer,TF_Tekniker,AU$4,TF_Dato,$A912))*2,0)/2)))</f>
        <v/>
      </c>
      <c r="AV912">
        <f>IF(OR(AV$4="",$A912&gt;TODAY()),0,IF(OR(INDEX($B912:$D912,AV$5)="F",AND(AV$6&gt;0,$A912&lt;AV$6),AND(AV$7&gt;0,$A912&gt;AV$7)),0,MAX(0,ROUND((INDEX($E912:$G912,AV$5)-SUMIFS(TF_Timer,TF_Tekniker,AV$4,TF_Dato,$A912))*2,0)/2)))</f>
        <v/>
      </c>
      <c r="AW912">
        <f>IF(OR(AW$4="",$A912&gt;TODAY()),0,IF(OR(INDEX($B912:$D912,AW$5)="F",AND(AW$6&gt;0,$A912&lt;AW$6),AND(AW$7&gt;0,$A912&gt;AW$7)),0,MAX(0,ROUND((INDEX($E912:$G912,AW$5)-SUMIFS(TF_Timer,TF_Tekniker,AW$4,TF_Dato,$A912))*2,0)/2)))</f>
        <v/>
      </c>
      <c r="AX912">
        <f>IF(OR(AX$4="",$A912&gt;TODAY()),0,IF(OR(INDEX($B912:$D912,AX$5)="F",AND(AX$6&gt;0,$A912&lt;AX$6),AND(AX$7&gt;0,$A912&gt;AX$7)),0,MAX(0,ROUND((INDEX($E912:$G912,AX$5)-SUMIFS(TF_Timer,TF_Tekniker,AX$4,TF_Dato,$A912))*2,0)/2)))</f>
        <v/>
      </c>
      <c r="AY912">
        <f>IF(OR(AY$4="",$A912&gt;TODAY()),0,IF(OR(INDEX($B912:$D912,AY$5)="F",AND(AY$6&gt;0,$A912&lt;AY$6),AND(AY$7&gt;0,$A912&gt;AY$7)),0,MAX(0,ROUND((INDEX($E912:$G912,AY$5)-SUMIFS(TF_Timer,TF_Tekniker,AY$4,TF_Dato,$A912))*2,0)/2)))</f>
        <v/>
      </c>
      <c r="AZ912">
        <f>IF(OR(AZ$4="",$A912&gt;TODAY()),0,IF(OR(INDEX($B912:$D912,AZ$5)="F",AND(AZ$6&gt;0,$A912&lt;AZ$6),AND(AZ$7&gt;0,$A912&gt;AZ$7)),0,MAX(0,ROUND((INDEX($E912:$G912,AZ$5)-SUMIFS(TF_Timer,TF_Tekniker,AZ$4,TF_Dato,$A912))*2,0)/2)))</f>
        <v/>
      </c>
      <c r="BA912">
        <f>IF(OR(BA$4="",$A912&gt;TODAY()),0,IF(OR(INDEX($B912:$D912,BA$5)="F",AND(BA$6&gt;0,$A912&lt;BA$6),AND(BA$7&gt;0,$A912&gt;BA$7)),0,MAX(0,ROUND((INDEX($E912:$G912,BA$5)-SUMIFS(TF_Timer,TF_Tekniker,BA$4,TF_Dato,$A912))*2,0)/2)))</f>
        <v/>
      </c>
      <c r="BB912">
        <f>IF(OR(BB$4="",$A912&gt;TODAY()),0,IF(OR(INDEX($B912:$D912,BB$5)="F",AND(BB$6&gt;0,$A912&lt;BB$6),AND(BB$7&gt;0,$A912&gt;BB$7)),0,MAX(0,ROUND((INDEX($E912:$G912,BB$5)-SUMIFS(TF_Timer,TF_Tekniker,BB$4,TF_Dato,$A912))*2,0)/2)))</f>
        <v/>
      </c>
      <c r="BC912">
        <f>IF(OR(BC$4="",$A912&gt;TODAY()),0,IF(OR(INDEX($B912:$D912,BC$5)="F",AND(BC$6&gt;0,$A912&lt;BC$6),AND(BC$7&gt;0,$A912&gt;BC$7)),0,MAX(0,ROUND((INDEX($E912:$G912,BC$5)-SUMIFS(TF_Timer,TF_Tekniker,BC$4,TF_Dato,$A912))*2,0)/2)))</f>
        <v/>
      </c>
      <c r="BD912">
        <f>IF(OR(BD$4="",$A912&gt;TODAY()),0,IF(OR(INDEX($B912:$D912,BD$5)="F",AND(BD$6&gt;0,$A912&lt;BD$6),AND(BD$7&gt;0,$A912&gt;BD$7)),0,MAX(0,ROUND((INDEX($E912:$G912,BD$5)-SUMIFS(TF_Timer,TF_Tekniker,BD$4,TF_Dato,$A912))*2,0)/2)))</f>
        <v/>
      </c>
      <c r="BE912">
        <f>IF(OR(BE$4="",$A912&gt;TODAY()),0,IF(OR(INDEX($B912:$D912,BE$5)="F",AND(BE$6&gt;0,$A912&lt;BE$6),AND(BE$7&gt;0,$A912&gt;BE$7)),0,MAX(0,ROUND((INDEX($E912:$G912,BE$5)-SUMIFS(TF_Timer,TF_Tekniker,BE$4,TF_Dato,$A912))*2,0)/2)))</f>
        <v/>
      </c>
      <c r="BF912">
        <f>IF(OR(BF$4="",$A912&gt;TODAY()),0,IF(OR(INDEX($B912:$D912,BF$5)="F",AND(BF$6&gt;0,$A912&lt;BF$6),AND(BF$7&gt;0,$A912&gt;BF$7)),0,MAX(0,ROUND((INDEX($E912:$G912,BF$5)-SUMIFS(TF_Timer,TF_Tekniker,BF$4,TF_Dato,$A912))*2,0)/2)))</f>
        <v/>
      </c>
      <c r="BG912">
        <f>IF(OR(BG$4="",$A912&gt;TODAY()),0,IF(OR(INDEX($B912:$D912,BG$5)="F",AND(BG$6&gt;0,$A912&lt;BG$6),AND(BG$7&gt;0,$A912&gt;BG$7)),0,MAX(0,ROUND((INDEX($E912:$G912,BG$5)-SUMIFS(TF_Timer,TF_Tekniker,BG$4,TF_Dato,$A912))*2,0)/2)))</f>
        <v/>
      </c>
      <c r="BH912">
        <f>IF(OR(BH$4="",$A912&gt;TODAY()),0,IF(OR(INDEX($B912:$D912,BH$5)="F",AND(BH$6&gt;0,$A912&lt;BH$6),AND(BH$7&gt;0,$A912&gt;BH$7)),0,MAX(0,ROUND((INDEX($E912:$G912,BH$5)-SUMIFS(TF_Timer,TF_Tekniker,BH$4,TF_Dato,$A912))*2,0)/2)))</f>
        <v/>
      </c>
      <c r="BI912">
        <f>IF(OR(BI$4="",$A912&gt;TODAY()),0,IF(OR(INDEX($B912:$D912,BI$5)="F",AND(BI$6&gt;0,$A912&lt;BI$6),AND(BI$7&gt;0,$A912&gt;BI$7)),0,MAX(0,ROUND((INDEX($E912:$G912,BI$5)-SUMIFS(TF_Timer,TF_Tekniker,BI$4,TF_Dato,$A912))*2,0)/2)))</f>
        <v/>
      </c>
    </row>
    <row r="913">
      <c r="A913" s="64">
        <f>A912+1</f>
        <v/>
      </c>
      <c r="B913">
        <f>IF(MOD($A913-INDEX(SkiftStart,1),Syklus)&lt;DagK,"K",IF(MOD($A913-INDEX(SkiftStart,1),Syklus)&lt;DagK+DagH,"H",IF(MOD($A913-INDEX(SkiftStart,1),Syklus)&lt;DagK+DagH+DagD,"D","F")))</f>
        <v/>
      </c>
      <c r="C913">
        <f>IF(MOD($A913-INDEX(SkiftStart,2),Syklus)&lt;DagK,"K",IF(MOD($A913-INDEX(SkiftStart,2),Syklus)&lt;DagK+DagH,"H",IF(MOD($A913-INDEX(SkiftStart,2),Syklus)&lt;DagK+DagH+DagD,"D","F")))</f>
        <v/>
      </c>
      <c r="D913">
        <f>IF(MOD($A913-INDEX(SkiftStart,3),Syklus)&lt;DagK,"K",IF(MOD($A913-INDEX(SkiftStart,3),Syklus)&lt;DagK+DagH,"H",IF(MOD($A913-INDEX(SkiftStart,3),Syklus)&lt;DagK+DagH+DagD,"D","F")))</f>
        <v/>
      </c>
      <c r="E913">
        <f>IF(B913="F",0,IF(WEEKDAY($A913,2)=5,INDEX(TimerFr,MATCH(B913,FaseKode,0)),INDEX(TimerMT,MATCH(B913,FaseKode,0))))</f>
        <v/>
      </c>
      <c r="F913">
        <f>IF(C913="F",0,IF(WEEKDAY($A913,2)=5,INDEX(TimerFr,MATCH(C913,FaseKode,0)),INDEX(TimerMT,MATCH(C913,FaseKode,0))))</f>
        <v/>
      </c>
      <c r="G913">
        <f>IF(D913="F",0,IF(WEEKDAY($A913,2)=5,INDEX(TimerFr,MATCH(D913,FaseKode,0)),INDEX(TimerMT,MATCH(D913,FaseKode,0))))</f>
        <v/>
      </c>
      <c r="H913">
        <f>IF(OR(H$4="",$A913&gt;TODAY()),0,IF(OR(INDEX($B913:$D913,H$5)="F",AND(H$6&gt;0,$A913&lt;H$6),AND(H$7&gt;0,$A913&gt;H$7)),0,MAX(0,ROUND((INDEX($E913:$G913,H$5)-SUMIFS(TF_Timer,TF_Tekniker,H$4,TF_Dato,$A913))*2,0)/2)))</f>
        <v/>
      </c>
      <c r="I913">
        <f>IF(OR(I$4="",$A913&gt;TODAY()),0,IF(OR(INDEX($B913:$D913,I$5)="F",AND(I$6&gt;0,$A913&lt;I$6),AND(I$7&gt;0,$A913&gt;I$7)),0,MAX(0,ROUND((INDEX($E913:$G913,I$5)-SUMIFS(TF_Timer,TF_Tekniker,I$4,TF_Dato,$A913))*2,0)/2)))</f>
        <v/>
      </c>
      <c r="J913">
        <f>IF(OR(J$4="",$A913&gt;TODAY()),0,IF(OR(INDEX($B913:$D913,J$5)="F",AND(J$6&gt;0,$A913&lt;J$6),AND(J$7&gt;0,$A913&gt;J$7)),0,MAX(0,ROUND((INDEX($E913:$G913,J$5)-SUMIFS(TF_Timer,TF_Tekniker,J$4,TF_Dato,$A913))*2,0)/2)))</f>
        <v/>
      </c>
      <c r="K913">
        <f>IF(OR(K$4="",$A913&gt;TODAY()),0,IF(OR(INDEX($B913:$D913,K$5)="F",AND(K$6&gt;0,$A913&lt;K$6),AND(K$7&gt;0,$A913&gt;K$7)),0,MAX(0,ROUND((INDEX($E913:$G913,K$5)-SUMIFS(TF_Timer,TF_Tekniker,K$4,TF_Dato,$A913))*2,0)/2)))</f>
        <v/>
      </c>
      <c r="L913">
        <f>IF(OR(L$4="",$A913&gt;TODAY()),0,IF(OR(INDEX($B913:$D913,L$5)="F",AND(L$6&gt;0,$A913&lt;L$6),AND(L$7&gt;0,$A913&gt;L$7)),0,MAX(0,ROUND((INDEX($E913:$G913,L$5)-SUMIFS(TF_Timer,TF_Tekniker,L$4,TF_Dato,$A913))*2,0)/2)))</f>
        <v/>
      </c>
      <c r="M913">
        <f>IF(OR(M$4="",$A913&gt;TODAY()),0,IF(OR(INDEX($B913:$D913,M$5)="F",AND(M$6&gt;0,$A913&lt;M$6),AND(M$7&gt;0,$A913&gt;M$7)),0,MAX(0,ROUND((INDEX($E913:$G913,M$5)-SUMIFS(TF_Timer,TF_Tekniker,M$4,TF_Dato,$A913))*2,0)/2)))</f>
        <v/>
      </c>
      <c r="N913">
        <f>IF(OR(N$4="",$A913&gt;TODAY()),0,IF(OR(INDEX($B913:$D913,N$5)="F",AND(N$6&gt;0,$A913&lt;N$6),AND(N$7&gt;0,$A913&gt;N$7)),0,MAX(0,ROUND((INDEX($E913:$G913,N$5)-SUMIFS(TF_Timer,TF_Tekniker,N$4,TF_Dato,$A913))*2,0)/2)))</f>
        <v/>
      </c>
      <c r="O913">
        <f>IF(OR(O$4="",$A913&gt;TODAY()),0,IF(OR(INDEX($B913:$D913,O$5)="F",AND(O$6&gt;0,$A913&lt;O$6),AND(O$7&gt;0,$A913&gt;O$7)),0,MAX(0,ROUND((INDEX($E913:$G913,O$5)-SUMIFS(TF_Timer,TF_Tekniker,O$4,TF_Dato,$A913))*2,0)/2)))</f>
        <v/>
      </c>
      <c r="P913">
        <f>IF(OR(P$4="",$A913&gt;TODAY()),0,IF(OR(INDEX($B913:$D913,P$5)="F",AND(P$6&gt;0,$A913&lt;P$6),AND(P$7&gt;0,$A913&gt;P$7)),0,MAX(0,ROUND((INDEX($E913:$G913,P$5)-SUMIFS(TF_Timer,TF_Tekniker,P$4,TF_Dato,$A913))*2,0)/2)))</f>
        <v/>
      </c>
      <c r="Q913">
        <f>IF(OR(Q$4="",$A913&gt;TODAY()),0,IF(OR(INDEX($B913:$D913,Q$5)="F",AND(Q$6&gt;0,$A913&lt;Q$6),AND(Q$7&gt;0,$A913&gt;Q$7)),0,MAX(0,ROUND((INDEX($E913:$G913,Q$5)-SUMIFS(TF_Timer,TF_Tekniker,Q$4,TF_Dato,$A913))*2,0)/2)))</f>
        <v/>
      </c>
      <c r="R913">
        <f>IF(OR(R$4="",$A913&gt;TODAY()),0,IF(OR(INDEX($B913:$D913,R$5)="F",AND(R$6&gt;0,$A913&lt;R$6),AND(R$7&gt;0,$A913&gt;R$7)),0,MAX(0,ROUND((INDEX($E913:$G913,R$5)-SUMIFS(TF_Timer,TF_Tekniker,R$4,TF_Dato,$A913))*2,0)/2)))</f>
        <v/>
      </c>
      <c r="S913">
        <f>IF(OR(S$4="",$A913&gt;TODAY()),0,IF(OR(INDEX($B913:$D913,S$5)="F",AND(S$6&gt;0,$A913&lt;S$6),AND(S$7&gt;0,$A913&gt;S$7)),0,MAX(0,ROUND((INDEX($E913:$G913,S$5)-SUMIFS(TF_Timer,TF_Tekniker,S$4,TF_Dato,$A913))*2,0)/2)))</f>
        <v/>
      </c>
      <c r="T913">
        <f>IF(OR(T$4="",$A913&gt;TODAY()),0,IF(OR(INDEX($B913:$D913,T$5)="F",AND(T$6&gt;0,$A913&lt;T$6),AND(T$7&gt;0,$A913&gt;T$7)),0,MAX(0,ROUND((INDEX($E913:$G913,T$5)-SUMIFS(TF_Timer,TF_Tekniker,T$4,TF_Dato,$A913))*2,0)/2)))</f>
        <v/>
      </c>
      <c r="U913">
        <f>IF(OR(U$4="",$A913&gt;TODAY()),0,IF(OR(INDEX($B913:$D913,U$5)="F",AND(U$6&gt;0,$A913&lt;U$6),AND(U$7&gt;0,$A913&gt;U$7)),0,MAX(0,ROUND((INDEX($E913:$G913,U$5)-SUMIFS(TF_Timer,TF_Tekniker,U$4,TF_Dato,$A913))*2,0)/2)))</f>
        <v/>
      </c>
      <c r="V913">
        <f>IF(OR(V$4="",$A913&gt;TODAY()),0,IF(OR(INDEX($B913:$D913,V$5)="F",AND(V$6&gt;0,$A913&lt;V$6),AND(V$7&gt;0,$A913&gt;V$7)),0,MAX(0,ROUND((INDEX($E913:$G913,V$5)-SUMIFS(TF_Timer,TF_Tekniker,V$4,TF_Dato,$A913))*2,0)/2)))</f>
        <v/>
      </c>
      <c r="W913">
        <f>IF(OR(W$4="",$A913&gt;TODAY()),0,IF(OR(INDEX($B913:$D913,W$5)="F",AND(W$6&gt;0,$A913&lt;W$6),AND(W$7&gt;0,$A913&gt;W$7)),0,MAX(0,ROUND((INDEX($E913:$G913,W$5)-SUMIFS(TF_Timer,TF_Tekniker,W$4,TF_Dato,$A913))*2,0)/2)))</f>
        <v/>
      </c>
      <c r="X913">
        <f>IF(OR(X$4="",$A913&gt;TODAY()),0,IF(OR(INDEX($B913:$D913,X$5)="F",AND(X$6&gt;0,$A913&lt;X$6),AND(X$7&gt;0,$A913&gt;X$7)),0,MAX(0,ROUND((INDEX($E913:$G913,X$5)-SUMIFS(TF_Timer,TF_Tekniker,X$4,TF_Dato,$A913))*2,0)/2)))</f>
        <v/>
      </c>
      <c r="Y913">
        <f>IF(OR(Y$4="",$A913&gt;TODAY()),0,IF(OR(INDEX($B913:$D913,Y$5)="F",AND(Y$6&gt;0,$A913&lt;Y$6),AND(Y$7&gt;0,$A913&gt;Y$7)),0,MAX(0,ROUND((INDEX($E913:$G913,Y$5)-SUMIFS(TF_Timer,TF_Tekniker,Y$4,TF_Dato,$A913))*2,0)/2)))</f>
        <v/>
      </c>
      <c r="Z913">
        <f>IF(OR(Z$4="",$A913&gt;TODAY()),0,IF(OR(INDEX($B913:$D913,Z$5)="F",AND(Z$6&gt;0,$A913&lt;Z$6),AND(Z$7&gt;0,$A913&gt;Z$7)),0,MAX(0,ROUND((INDEX($E913:$G913,Z$5)-SUMIFS(TF_Timer,TF_Tekniker,Z$4,TF_Dato,$A913))*2,0)/2)))</f>
        <v/>
      </c>
      <c r="AA913">
        <f>IF(OR(AA$4="",$A913&gt;TODAY()),0,IF(OR(INDEX($B913:$D913,AA$5)="F",AND(AA$6&gt;0,$A913&lt;AA$6),AND(AA$7&gt;0,$A913&gt;AA$7)),0,MAX(0,ROUND((INDEX($E913:$G913,AA$5)-SUMIFS(TF_Timer,TF_Tekniker,AA$4,TF_Dato,$A913))*2,0)/2)))</f>
        <v/>
      </c>
      <c r="AB913">
        <f>IF(OR(AB$4="",$A913&gt;TODAY()),0,IF(OR(INDEX($B913:$D913,AB$5)="F",AND(AB$6&gt;0,$A913&lt;AB$6),AND(AB$7&gt;0,$A913&gt;AB$7)),0,MAX(0,ROUND((INDEX($E913:$G913,AB$5)-SUMIFS(TF_Timer,TF_Tekniker,AB$4,TF_Dato,$A913))*2,0)/2)))</f>
        <v/>
      </c>
      <c r="AC913">
        <f>IF(OR(AC$4="",$A913&gt;TODAY()),0,IF(OR(INDEX($B913:$D913,AC$5)="F",AND(AC$6&gt;0,$A913&lt;AC$6),AND(AC$7&gt;0,$A913&gt;AC$7)),0,MAX(0,ROUND((INDEX($E913:$G913,AC$5)-SUMIFS(TF_Timer,TF_Tekniker,AC$4,TF_Dato,$A913))*2,0)/2)))</f>
        <v/>
      </c>
      <c r="AD913">
        <f>IF(OR(AD$4="",$A913&gt;TODAY()),0,IF(OR(INDEX($B913:$D913,AD$5)="F",AND(AD$6&gt;0,$A913&lt;AD$6),AND(AD$7&gt;0,$A913&gt;AD$7)),0,MAX(0,ROUND((INDEX($E913:$G913,AD$5)-SUMIFS(TF_Timer,TF_Tekniker,AD$4,TF_Dato,$A913))*2,0)/2)))</f>
        <v/>
      </c>
      <c r="AE913">
        <f>IF(OR(AE$4="",$A913&gt;TODAY()),0,IF(OR(INDEX($B913:$D913,AE$5)="F",AND(AE$6&gt;0,$A913&lt;AE$6),AND(AE$7&gt;0,$A913&gt;AE$7)),0,MAX(0,ROUND((INDEX($E913:$G913,AE$5)-SUMIFS(TF_Timer,TF_Tekniker,AE$4,TF_Dato,$A913))*2,0)/2)))</f>
        <v/>
      </c>
      <c r="AF913">
        <f>IF(OR(AF$4="",$A913&gt;TODAY()),0,IF(OR(INDEX($B913:$D913,AF$5)="F",AND(AF$6&gt;0,$A913&lt;AF$6),AND(AF$7&gt;0,$A913&gt;AF$7)),0,MAX(0,ROUND((INDEX($E913:$G913,AF$5)-SUMIFS(TF_Timer,TF_Tekniker,AF$4,TF_Dato,$A913))*2,0)/2)))</f>
        <v/>
      </c>
      <c r="AG913">
        <f>IF(OR(AG$4="",$A913&gt;TODAY()),0,IF(OR(INDEX($B913:$D913,AG$5)="F",AND(AG$6&gt;0,$A913&lt;AG$6),AND(AG$7&gt;0,$A913&gt;AG$7)),0,MAX(0,ROUND((INDEX($E913:$G913,AG$5)-SUMIFS(TF_Timer,TF_Tekniker,AG$4,TF_Dato,$A913))*2,0)/2)))</f>
        <v/>
      </c>
      <c r="AH913">
        <f>IF(OR(AH$4="",$A913&gt;TODAY()),0,IF(OR(INDEX($B913:$D913,AH$5)="F",AND(AH$6&gt;0,$A913&lt;AH$6),AND(AH$7&gt;0,$A913&gt;AH$7)),0,MAX(0,ROUND((INDEX($E913:$G913,AH$5)-SUMIFS(TF_Timer,TF_Tekniker,AH$4,TF_Dato,$A913))*2,0)/2)))</f>
        <v/>
      </c>
      <c r="AI913">
        <f>IF(OR(AI$4="",$A913&gt;TODAY()),0,IF(OR(INDEX($B913:$D913,AI$5)="F",AND(AI$6&gt;0,$A913&lt;AI$6),AND(AI$7&gt;0,$A913&gt;AI$7)),0,MAX(0,ROUND((INDEX($E913:$G913,AI$5)-SUMIFS(TF_Timer,TF_Tekniker,AI$4,TF_Dato,$A913))*2,0)/2)))</f>
        <v/>
      </c>
      <c r="AJ913">
        <f>IF(OR(AJ$4="",$A913&gt;TODAY()),0,IF(OR(INDEX($B913:$D913,AJ$5)="F",AND(AJ$6&gt;0,$A913&lt;AJ$6),AND(AJ$7&gt;0,$A913&gt;AJ$7)),0,MAX(0,ROUND((INDEX($E913:$G913,AJ$5)-SUMIFS(TF_Timer,TF_Tekniker,AJ$4,TF_Dato,$A913))*2,0)/2)))</f>
        <v/>
      </c>
      <c r="AK913">
        <f>IF(OR(AK$4="",$A913&gt;TODAY()),0,IF(OR(INDEX($B913:$D913,AK$5)="F",AND(AK$6&gt;0,$A913&lt;AK$6),AND(AK$7&gt;0,$A913&gt;AK$7)),0,MAX(0,ROUND((INDEX($E913:$G913,AK$5)-SUMIFS(TF_Timer,TF_Tekniker,AK$4,TF_Dato,$A913))*2,0)/2)))</f>
        <v/>
      </c>
      <c r="AL913">
        <f>IF(OR(AL$4="",$A913&gt;TODAY()),0,IF(OR(INDEX($B913:$D913,AL$5)="F",AND(AL$6&gt;0,$A913&lt;AL$6),AND(AL$7&gt;0,$A913&gt;AL$7)),0,MAX(0,ROUND((INDEX($E913:$G913,AL$5)-SUMIFS(TF_Timer,TF_Tekniker,AL$4,TF_Dato,$A913))*2,0)/2)))</f>
        <v/>
      </c>
      <c r="AM913">
        <f>IF(OR(AM$4="",$A913&gt;TODAY()),0,IF(OR(INDEX($B913:$D913,AM$5)="F",AND(AM$6&gt;0,$A913&lt;AM$6),AND(AM$7&gt;0,$A913&gt;AM$7)),0,MAX(0,ROUND((INDEX($E913:$G913,AM$5)-SUMIFS(TF_Timer,TF_Tekniker,AM$4,TF_Dato,$A913))*2,0)/2)))</f>
        <v/>
      </c>
      <c r="AN913">
        <f>IF(OR(AN$4="",$A913&gt;TODAY()),0,IF(OR(INDEX($B913:$D913,AN$5)="F",AND(AN$6&gt;0,$A913&lt;AN$6),AND(AN$7&gt;0,$A913&gt;AN$7)),0,MAX(0,ROUND((INDEX($E913:$G913,AN$5)-SUMIFS(TF_Timer,TF_Tekniker,AN$4,TF_Dato,$A913))*2,0)/2)))</f>
        <v/>
      </c>
      <c r="AO913">
        <f>IF(OR(AO$4="",$A913&gt;TODAY()),0,IF(OR(INDEX($B913:$D913,AO$5)="F",AND(AO$6&gt;0,$A913&lt;AO$6),AND(AO$7&gt;0,$A913&gt;AO$7)),0,MAX(0,ROUND((INDEX($E913:$G913,AO$5)-SUMIFS(TF_Timer,TF_Tekniker,AO$4,TF_Dato,$A913))*2,0)/2)))</f>
        <v/>
      </c>
      <c r="AP913">
        <f>IF(OR(AP$4="",$A913&gt;TODAY()),0,IF(OR(INDEX($B913:$D913,AP$5)="F",AND(AP$6&gt;0,$A913&lt;AP$6),AND(AP$7&gt;0,$A913&gt;AP$7)),0,MAX(0,ROUND((INDEX($E913:$G913,AP$5)-SUMIFS(TF_Timer,TF_Tekniker,AP$4,TF_Dato,$A913))*2,0)/2)))</f>
        <v/>
      </c>
      <c r="AQ913">
        <f>IF(OR(AQ$4="",$A913&gt;TODAY()),0,IF(OR(INDEX($B913:$D913,AQ$5)="F",AND(AQ$6&gt;0,$A913&lt;AQ$6),AND(AQ$7&gt;0,$A913&gt;AQ$7)),0,MAX(0,ROUND((INDEX($E913:$G913,AQ$5)-SUMIFS(TF_Timer,TF_Tekniker,AQ$4,TF_Dato,$A913))*2,0)/2)))</f>
        <v/>
      </c>
      <c r="AR913">
        <f>IF(OR(AR$4="",$A913&gt;TODAY()),0,IF(OR(INDEX($B913:$D913,AR$5)="F",AND(AR$6&gt;0,$A913&lt;AR$6),AND(AR$7&gt;0,$A913&gt;AR$7)),0,MAX(0,ROUND((INDEX($E913:$G913,AR$5)-SUMIFS(TF_Timer,TF_Tekniker,AR$4,TF_Dato,$A913))*2,0)/2)))</f>
        <v/>
      </c>
      <c r="AS913">
        <f>IF(OR(AS$4="",$A913&gt;TODAY()),0,IF(OR(INDEX($B913:$D913,AS$5)="F",AND(AS$6&gt;0,$A913&lt;AS$6),AND(AS$7&gt;0,$A913&gt;AS$7)),0,MAX(0,ROUND((INDEX($E913:$G913,AS$5)-SUMIFS(TF_Timer,TF_Tekniker,AS$4,TF_Dato,$A913))*2,0)/2)))</f>
        <v/>
      </c>
      <c r="AT913">
        <f>IF(OR(AT$4="",$A913&gt;TODAY()),0,IF(OR(INDEX($B913:$D913,AT$5)="F",AND(AT$6&gt;0,$A913&lt;AT$6),AND(AT$7&gt;0,$A913&gt;AT$7)),0,MAX(0,ROUND((INDEX($E913:$G913,AT$5)-SUMIFS(TF_Timer,TF_Tekniker,AT$4,TF_Dato,$A913))*2,0)/2)))</f>
        <v/>
      </c>
      <c r="AU913">
        <f>IF(OR(AU$4="",$A913&gt;TODAY()),0,IF(OR(INDEX($B913:$D913,AU$5)="F",AND(AU$6&gt;0,$A913&lt;AU$6),AND(AU$7&gt;0,$A913&gt;AU$7)),0,MAX(0,ROUND((INDEX($E913:$G913,AU$5)-SUMIFS(TF_Timer,TF_Tekniker,AU$4,TF_Dato,$A913))*2,0)/2)))</f>
        <v/>
      </c>
      <c r="AV913">
        <f>IF(OR(AV$4="",$A913&gt;TODAY()),0,IF(OR(INDEX($B913:$D913,AV$5)="F",AND(AV$6&gt;0,$A913&lt;AV$6),AND(AV$7&gt;0,$A913&gt;AV$7)),0,MAX(0,ROUND((INDEX($E913:$G913,AV$5)-SUMIFS(TF_Timer,TF_Tekniker,AV$4,TF_Dato,$A913))*2,0)/2)))</f>
        <v/>
      </c>
      <c r="AW913">
        <f>IF(OR(AW$4="",$A913&gt;TODAY()),0,IF(OR(INDEX($B913:$D913,AW$5)="F",AND(AW$6&gt;0,$A913&lt;AW$6),AND(AW$7&gt;0,$A913&gt;AW$7)),0,MAX(0,ROUND((INDEX($E913:$G913,AW$5)-SUMIFS(TF_Timer,TF_Tekniker,AW$4,TF_Dato,$A913))*2,0)/2)))</f>
        <v/>
      </c>
      <c r="AX913">
        <f>IF(OR(AX$4="",$A913&gt;TODAY()),0,IF(OR(INDEX($B913:$D913,AX$5)="F",AND(AX$6&gt;0,$A913&lt;AX$6),AND(AX$7&gt;0,$A913&gt;AX$7)),0,MAX(0,ROUND((INDEX($E913:$G913,AX$5)-SUMIFS(TF_Timer,TF_Tekniker,AX$4,TF_Dato,$A913))*2,0)/2)))</f>
        <v/>
      </c>
      <c r="AY913">
        <f>IF(OR(AY$4="",$A913&gt;TODAY()),0,IF(OR(INDEX($B913:$D913,AY$5)="F",AND(AY$6&gt;0,$A913&lt;AY$6),AND(AY$7&gt;0,$A913&gt;AY$7)),0,MAX(0,ROUND((INDEX($E913:$G913,AY$5)-SUMIFS(TF_Timer,TF_Tekniker,AY$4,TF_Dato,$A913))*2,0)/2)))</f>
        <v/>
      </c>
      <c r="AZ913">
        <f>IF(OR(AZ$4="",$A913&gt;TODAY()),0,IF(OR(INDEX($B913:$D913,AZ$5)="F",AND(AZ$6&gt;0,$A913&lt;AZ$6),AND(AZ$7&gt;0,$A913&gt;AZ$7)),0,MAX(0,ROUND((INDEX($E913:$G913,AZ$5)-SUMIFS(TF_Timer,TF_Tekniker,AZ$4,TF_Dato,$A913))*2,0)/2)))</f>
        <v/>
      </c>
      <c r="BA913">
        <f>IF(OR(BA$4="",$A913&gt;TODAY()),0,IF(OR(INDEX($B913:$D913,BA$5)="F",AND(BA$6&gt;0,$A913&lt;BA$6),AND(BA$7&gt;0,$A913&gt;BA$7)),0,MAX(0,ROUND((INDEX($E913:$G913,BA$5)-SUMIFS(TF_Timer,TF_Tekniker,BA$4,TF_Dato,$A913))*2,0)/2)))</f>
        <v/>
      </c>
      <c r="BB913">
        <f>IF(OR(BB$4="",$A913&gt;TODAY()),0,IF(OR(INDEX($B913:$D913,BB$5)="F",AND(BB$6&gt;0,$A913&lt;BB$6),AND(BB$7&gt;0,$A913&gt;BB$7)),0,MAX(0,ROUND((INDEX($E913:$G913,BB$5)-SUMIFS(TF_Timer,TF_Tekniker,BB$4,TF_Dato,$A913))*2,0)/2)))</f>
        <v/>
      </c>
      <c r="BC913">
        <f>IF(OR(BC$4="",$A913&gt;TODAY()),0,IF(OR(INDEX($B913:$D913,BC$5)="F",AND(BC$6&gt;0,$A913&lt;BC$6),AND(BC$7&gt;0,$A913&gt;BC$7)),0,MAX(0,ROUND((INDEX($E913:$G913,BC$5)-SUMIFS(TF_Timer,TF_Tekniker,BC$4,TF_Dato,$A913))*2,0)/2)))</f>
        <v/>
      </c>
      <c r="BD913">
        <f>IF(OR(BD$4="",$A913&gt;TODAY()),0,IF(OR(INDEX($B913:$D913,BD$5)="F",AND(BD$6&gt;0,$A913&lt;BD$6),AND(BD$7&gt;0,$A913&gt;BD$7)),0,MAX(0,ROUND((INDEX($E913:$G913,BD$5)-SUMIFS(TF_Timer,TF_Tekniker,BD$4,TF_Dato,$A913))*2,0)/2)))</f>
        <v/>
      </c>
      <c r="BE913">
        <f>IF(OR(BE$4="",$A913&gt;TODAY()),0,IF(OR(INDEX($B913:$D913,BE$5)="F",AND(BE$6&gt;0,$A913&lt;BE$6),AND(BE$7&gt;0,$A913&gt;BE$7)),0,MAX(0,ROUND((INDEX($E913:$G913,BE$5)-SUMIFS(TF_Timer,TF_Tekniker,BE$4,TF_Dato,$A913))*2,0)/2)))</f>
        <v/>
      </c>
      <c r="BF913">
        <f>IF(OR(BF$4="",$A913&gt;TODAY()),0,IF(OR(INDEX($B913:$D913,BF$5)="F",AND(BF$6&gt;0,$A913&lt;BF$6),AND(BF$7&gt;0,$A913&gt;BF$7)),0,MAX(0,ROUND((INDEX($E913:$G913,BF$5)-SUMIFS(TF_Timer,TF_Tekniker,BF$4,TF_Dato,$A913))*2,0)/2)))</f>
        <v/>
      </c>
      <c r="BG913">
        <f>IF(OR(BG$4="",$A913&gt;TODAY()),0,IF(OR(INDEX($B913:$D913,BG$5)="F",AND(BG$6&gt;0,$A913&lt;BG$6),AND(BG$7&gt;0,$A913&gt;BG$7)),0,MAX(0,ROUND((INDEX($E913:$G913,BG$5)-SUMIFS(TF_Timer,TF_Tekniker,BG$4,TF_Dato,$A913))*2,0)/2)))</f>
        <v/>
      </c>
      <c r="BH913">
        <f>IF(OR(BH$4="",$A913&gt;TODAY()),0,IF(OR(INDEX($B913:$D913,BH$5)="F",AND(BH$6&gt;0,$A913&lt;BH$6),AND(BH$7&gt;0,$A913&gt;BH$7)),0,MAX(0,ROUND((INDEX($E913:$G913,BH$5)-SUMIFS(TF_Timer,TF_Tekniker,BH$4,TF_Dato,$A913))*2,0)/2)))</f>
        <v/>
      </c>
      <c r="BI913">
        <f>IF(OR(BI$4="",$A913&gt;TODAY()),0,IF(OR(INDEX($B913:$D913,BI$5)="F",AND(BI$6&gt;0,$A913&lt;BI$6),AND(BI$7&gt;0,$A913&gt;BI$7)),0,MAX(0,ROUND((INDEX($E913:$G913,BI$5)-SUMIFS(TF_Timer,TF_Tekniker,BI$4,TF_Dato,$A913))*2,0)/2)))</f>
        <v/>
      </c>
    </row>
    <row r="914">
      <c r="A914" s="64">
        <f>A913+1</f>
        <v/>
      </c>
      <c r="B914">
        <f>IF(MOD($A914-INDEX(SkiftStart,1),Syklus)&lt;DagK,"K",IF(MOD($A914-INDEX(SkiftStart,1),Syklus)&lt;DagK+DagH,"H",IF(MOD($A914-INDEX(SkiftStart,1),Syklus)&lt;DagK+DagH+DagD,"D","F")))</f>
        <v/>
      </c>
      <c r="C914">
        <f>IF(MOD($A914-INDEX(SkiftStart,2),Syklus)&lt;DagK,"K",IF(MOD($A914-INDEX(SkiftStart,2),Syklus)&lt;DagK+DagH,"H",IF(MOD($A914-INDEX(SkiftStart,2),Syklus)&lt;DagK+DagH+DagD,"D","F")))</f>
        <v/>
      </c>
      <c r="D914">
        <f>IF(MOD($A914-INDEX(SkiftStart,3),Syklus)&lt;DagK,"K",IF(MOD($A914-INDEX(SkiftStart,3),Syklus)&lt;DagK+DagH,"H",IF(MOD($A914-INDEX(SkiftStart,3),Syklus)&lt;DagK+DagH+DagD,"D","F")))</f>
        <v/>
      </c>
      <c r="E914">
        <f>IF(B914="F",0,IF(WEEKDAY($A914,2)=5,INDEX(TimerFr,MATCH(B914,FaseKode,0)),INDEX(TimerMT,MATCH(B914,FaseKode,0))))</f>
        <v/>
      </c>
      <c r="F914">
        <f>IF(C914="F",0,IF(WEEKDAY($A914,2)=5,INDEX(TimerFr,MATCH(C914,FaseKode,0)),INDEX(TimerMT,MATCH(C914,FaseKode,0))))</f>
        <v/>
      </c>
      <c r="G914">
        <f>IF(D914="F",0,IF(WEEKDAY($A914,2)=5,INDEX(TimerFr,MATCH(D914,FaseKode,0)),INDEX(TimerMT,MATCH(D914,FaseKode,0))))</f>
        <v/>
      </c>
      <c r="H914">
        <f>IF(OR(H$4="",$A914&gt;TODAY()),0,IF(OR(INDEX($B914:$D914,H$5)="F",AND(H$6&gt;0,$A914&lt;H$6),AND(H$7&gt;0,$A914&gt;H$7)),0,MAX(0,ROUND((INDEX($E914:$G914,H$5)-SUMIFS(TF_Timer,TF_Tekniker,H$4,TF_Dato,$A914))*2,0)/2)))</f>
        <v/>
      </c>
      <c r="I914">
        <f>IF(OR(I$4="",$A914&gt;TODAY()),0,IF(OR(INDEX($B914:$D914,I$5)="F",AND(I$6&gt;0,$A914&lt;I$6),AND(I$7&gt;0,$A914&gt;I$7)),0,MAX(0,ROUND((INDEX($E914:$G914,I$5)-SUMIFS(TF_Timer,TF_Tekniker,I$4,TF_Dato,$A914))*2,0)/2)))</f>
        <v/>
      </c>
      <c r="J914">
        <f>IF(OR(J$4="",$A914&gt;TODAY()),0,IF(OR(INDEX($B914:$D914,J$5)="F",AND(J$6&gt;0,$A914&lt;J$6),AND(J$7&gt;0,$A914&gt;J$7)),0,MAX(0,ROUND((INDEX($E914:$G914,J$5)-SUMIFS(TF_Timer,TF_Tekniker,J$4,TF_Dato,$A914))*2,0)/2)))</f>
        <v/>
      </c>
      <c r="K914">
        <f>IF(OR(K$4="",$A914&gt;TODAY()),0,IF(OR(INDEX($B914:$D914,K$5)="F",AND(K$6&gt;0,$A914&lt;K$6),AND(K$7&gt;0,$A914&gt;K$7)),0,MAX(0,ROUND((INDEX($E914:$G914,K$5)-SUMIFS(TF_Timer,TF_Tekniker,K$4,TF_Dato,$A914))*2,0)/2)))</f>
        <v/>
      </c>
      <c r="L914">
        <f>IF(OR(L$4="",$A914&gt;TODAY()),0,IF(OR(INDEX($B914:$D914,L$5)="F",AND(L$6&gt;0,$A914&lt;L$6),AND(L$7&gt;0,$A914&gt;L$7)),0,MAX(0,ROUND((INDEX($E914:$G914,L$5)-SUMIFS(TF_Timer,TF_Tekniker,L$4,TF_Dato,$A914))*2,0)/2)))</f>
        <v/>
      </c>
      <c r="M914">
        <f>IF(OR(M$4="",$A914&gt;TODAY()),0,IF(OR(INDEX($B914:$D914,M$5)="F",AND(M$6&gt;0,$A914&lt;M$6),AND(M$7&gt;0,$A914&gt;M$7)),0,MAX(0,ROUND((INDEX($E914:$G914,M$5)-SUMIFS(TF_Timer,TF_Tekniker,M$4,TF_Dato,$A914))*2,0)/2)))</f>
        <v/>
      </c>
      <c r="N914">
        <f>IF(OR(N$4="",$A914&gt;TODAY()),0,IF(OR(INDEX($B914:$D914,N$5)="F",AND(N$6&gt;0,$A914&lt;N$6),AND(N$7&gt;0,$A914&gt;N$7)),0,MAX(0,ROUND((INDEX($E914:$G914,N$5)-SUMIFS(TF_Timer,TF_Tekniker,N$4,TF_Dato,$A914))*2,0)/2)))</f>
        <v/>
      </c>
      <c r="O914">
        <f>IF(OR(O$4="",$A914&gt;TODAY()),0,IF(OR(INDEX($B914:$D914,O$5)="F",AND(O$6&gt;0,$A914&lt;O$6),AND(O$7&gt;0,$A914&gt;O$7)),0,MAX(0,ROUND((INDEX($E914:$G914,O$5)-SUMIFS(TF_Timer,TF_Tekniker,O$4,TF_Dato,$A914))*2,0)/2)))</f>
        <v/>
      </c>
      <c r="P914">
        <f>IF(OR(P$4="",$A914&gt;TODAY()),0,IF(OR(INDEX($B914:$D914,P$5)="F",AND(P$6&gt;0,$A914&lt;P$6),AND(P$7&gt;0,$A914&gt;P$7)),0,MAX(0,ROUND((INDEX($E914:$G914,P$5)-SUMIFS(TF_Timer,TF_Tekniker,P$4,TF_Dato,$A914))*2,0)/2)))</f>
        <v/>
      </c>
      <c r="Q914">
        <f>IF(OR(Q$4="",$A914&gt;TODAY()),0,IF(OR(INDEX($B914:$D914,Q$5)="F",AND(Q$6&gt;0,$A914&lt;Q$6),AND(Q$7&gt;0,$A914&gt;Q$7)),0,MAX(0,ROUND((INDEX($E914:$G914,Q$5)-SUMIFS(TF_Timer,TF_Tekniker,Q$4,TF_Dato,$A914))*2,0)/2)))</f>
        <v/>
      </c>
      <c r="R914">
        <f>IF(OR(R$4="",$A914&gt;TODAY()),0,IF(OR(INDEX($B914:$D914,R$5)="F",AND(R$6&gt;0,$A914&lt;R$6),AND(R$7&gt;0,$A914&gt;R$7)),0,MAX(0,ROUND((INDEX($E914:$G914,R$5)-SUMIFS(TF_Timer,TF_Tekniker,R$4,TF_Dato,$A914))*2,0)/2)))</f>
        <v/>
      </c>
      <c r="S914">
        <f>IF(OR(S$4="",$A914&gt;TODAY()),0,IF(OR(INDEX($B914:$D914,S$5)="F",AND(S$6&gt;0,$A914&lt;S$6),AND(S$7&gt;0,$A914&gt;S$7)),0,MAX(0,ROUND((INDEX($E914:$G914,S$5)-SUMIFS(TF_Timer,TF_Tekniker,S$4,TF_Dato,$A914))*2,0)/2)))</f>
        <v/>
      </c>
      <c r="T914">
        <f>IF(OR(T$4="",$A914&gt;TODAY()),0,IF(OR(INDEX($B914:$D914,T$5)="F",AND(T$6&gt;0,$A914&lt;T$6),AND(T$7&gt;0,$A914&gt;T$7)),0,MAX(0,ROUND((INDEX($E914:$G914,T$5)-SUMIFS(TF_Timer,TF_Tekniker,T$4,TF_Dato,$A914))*2,0)/2)))</f>
        <v/>
      </c>
      <c r="U914">
        <f>IF(OR(U$4="",$A914&gt;TODAY()),0,IF(OR(INDEX($B914:$D914,U$5)="F",AND(U$6&gt;0,$A914&lt;U$6),AND(U$7&gt;0,$A914&gt;U$7)),0,MAX(0,ROUND((INDEX($E914:$G914,U$5)-SUMIFS(TF_Timer,TF_Tekniker,U$4,TF_Dato,$A914))*2,0)/2)))</f>
        <v/>
      </c>
      <c r="V914">
        <f>IF(OR(V$4="",$A914&gt;TODAY()),0,IF(OR(INDEX($B914:$D914,V$5)="F",AND(V$6&gt;0,$A914&lt;V$6),AND(V$7&gt;0,$A914&gt;V$7)),0,MAX(0,ROUND((INDEX($E914:$G914,V$5)-SUMIFS(TF_Timer,TF_Tekniker,V$4,TF_Dato,$A914))*2,0)/2)))</f>
        <v/>
      </c>
      <c r="W914">
        <f>IF(OR(W$4="",$A914&gt;TODAY()),0,IF(OR(INDEX($B914:$D914,W$5)="F",AND(W$6&gt;0,$A914&lt;W$6),AND(W$7&gt;0,$A914&gt;W$7)),0,MAX(0,ROUND((INDEX($E914:$G914,W$5)-SUMIFS(TF_Timer,TF_Tekniker,W$4,TF_Dato,$A914))*2,0)/2)))</f>
        <v/>
      </c>
      <c r="X914">
        <f>IF(OR(X$4="",$A914&gt;TODAY()),0,IF(OR(INDEX($B914:$D914,X$5)="F",AND(X$6&gt;0,$A914&lt;X$6),AND(X$7&gt;0,$A914&gt;X$7)),0,MAX(0,ROUND((INDEX($E914:$G914,X$5)-SUMIFS(TF_Timer,TF_Tekniker,X$4,TF_Dato,$A914))*2,0)/2)))</f>
        <v/>
      </c>
      <c r="Y914">
        <f>IF(OR(Y$4="",$A914&gt;TODAY()),0,IF(OR(INDEX($B914:$D914,Y$5)="F",AND(Y$6&gt;0,$A914&lt;Y$6),AND(Y$7&gt;0,$A914&gt;Y$7)),0,MAX(0,ROUND((INDEX($E914:$G914,Y$5)-SUMIFS(TF_Timer,TF_Tekniker,Y$4,TF_Dato,$A914))*2,0)/2)))</f>
        <v/>
      </c>
      <c r="Z914">
        <f>IF(OR(Z$4="",$A914&gt;TODAY()),0,IF(OR(INDEX($B914:$D914,Z$5)="F",AND(Z$6&gt;0,$A914&lt;Z$6),AND(Z$7&gt;0,$A914&gt;Z$7)),0,MAX(0,ROUND((INDEX($E914:$G914,Z$5)-SUMIFS(TF_Timer,TF_Tekniker,Z$4,TF_Dato,$A914))*2,0)/2)))</f>
        <v/>
      </c>
      <c r="AA914">
        <f>IF(OR(AA$4="",$A914&gt;TODAY()),0,IF(OR(INDEX($B914:$D914,AA$5)="F",AND(AA$6&gt;0,$A914&lt;AA$6),AND(AA$7&gt;0,$A914&gt;AA$7)),0,MAX(0,ROUND((INDEX($E914:$G914,AA$5)-SUMIFS(TF_Timer,TF_Tekniker,AA$4,TF_Dato,$A914))*2,0)/2)))</f>
        <v/>
      </c>
      <c r="AB914">
        <f>IF(OR(AB$4="",$A914&gt;TODAY()),0,IF(OR(INDEX($B914:$D914,AB$5)="F",AND(AB$6&gt;0,$A914&lt;AB$6),AND(AB$7&gt;0,$A914&gt;AB$7)),0,MAX(0,ROUND((INDEX($E914:$G914,AB$5)-SUMIFS(TF_Timer,TF_Tekniker,AB$4,TF_Dato,$A914))*2,0)/2)))</f>
        <v/>
      </c>
      <c r="AC914">
        <f>IF(OR(AC$4="",$A914&gt;TODAY()),0,IF(OR(INDEX($B914:$D914,AC$5)="F",AND(AC$6&gt;0,$A914&lt;AC$6),AND(AC$7&gt;0,$A914&gt;AC$7)),0,MAX(0,ROUND((INDEX($E914:$G914,AC$5)-SUMIFS(TF_Timer,TF_Tekniker,AC$4,TF_Dato,$A914))*2,0)/2)))</f>
        <v/>
      </c>
      <c r="AD914">
        <f>IF(OR(AD$4="",$A914&gt;TODAY()),0,IF(OR(INDEX($B914:$D914,AD$5)="F",AND(AD$6&gt;0,$A914&lt;AD$6),AND(AD$7&gt;0,$A914&gt;AD$7)),0,MAX(0,ROUND((INDEX($E914:$G914,AD$5)-SUMIFS(TF_Timer,TF_Tekniker,AD$4,TF_Dato,$A914))*2,0)/2)))</f>
        <v/>
      </c>
      <c r="AE914">
        <f>IF(OR(AE$4="",$A914&gt;TODAY()),0,IF(OR(INDEX($B914:$D914,AE$5)="F",AND(AE$6&gt;0,$A914&lt;AE$6),AND(AE$7&gt;0,$A914&gt;AE$7)),0,MAX(0,ROUND((INDEX($E914:$G914,AE$5)-SUMIFS(TF_Timer,TF_Tekniker,AE$4,TF_Dato,$A914))*2,0)/2)))</f>
        <v/>
      </c>
      <c r="AF914">
        <f>IF(OR(AF$4="",$A914&gt;TODAY()),0,IF(OR(INDEX($B914:$D914,AF$5)="F",AND(AF$6&gt;0,$A914&lt;AF$6),AND(AF$7&gt;0,$A914&gt;AF$7)),0,MAX(0,ROUND((INDEX($E914:$G914,AF$5)-SUMIFS(TF_Timer,TF_Tekniker,AF$4,TF_Dato,$A914))*2,0)/2)))</f>
        <v/>
      </c>
      <c r="AG914">
        <f>IF(OR(AG$4="",$A914&gt;TODAY()),0,IF(OR(INDEX($B914:$D914,AG$5)="F",AND(AG$6&gt;0,$A914&lt;AG$6),AND(AG$7&gt;0,$A914&gt;AG$7)),0,MAX(0,ROUND((INDEX($E914:$G914,AG$5)-SUMIFS(TF_Timer,TF_Tekniker,AG$4,TF_Dato,$A914))*2,0)/2)))</f>
        <v/>
      </c>
      <c r="AH914">
        <f>IF(OR(AH$4="",$A914&gt;TODAY()),0,IF(OR(INDEX($B914:$D914,AH$5)="F",AND(AH$6&gt;0,$A914&lt;AH$6),AND(AH$7&gt;0,$A914&gt;AH$7)),0,MAX(0,ROUND((INDEX($E914:$G914,AH$5)-SUMIFS(TF_Timer,TF_Tekniker,AH$4,TF_Dato,$A914))*2,0)/2)))</f>
        <v/>
      </c>
      <c r="AI914">
        <f>IF(OR(AI$4="",$A914&gt;TODAY()),0,IF(OR(INDEX($B914:$D914,AI$5)="F",AND(AI$6&gt;0,$A914&lt;AI$6),AND(AI$7&gt;0,$A914&gt;AI$7)),0,MAX(0,ROUND((INDEX($E914:$G914,AI$5)-SUMIFS(TF_Timer,TF_Tekniker,AI$4,TF_Dato,$A914))*2,0)/2)))</f>
        <v/>
      </c>
      <c r="AJ914">
        <f>IF(OR(AJ$4="",$A914&gt;TODAY()),0,IF(OR(INDEX($B914:$D914,AJ$5)="F",AND(AJ$6&gt;0,$A914&lt;AJ$6),AND(AJ$7&gt;0,$A914&gt;AJ$7)),0,MAX(0,ROUND((INDEX($E914:$G914,AJ$5)-SUMIFS(TF_Timer,TF_Tekniker,AJ$4,TF_Dato,$A914))*2,0)/2)))</f>
        <v/>
      </c>
      <c r="AK914">
        <f>IF(OR(AK$4="",$A914&gt;TODAY()),0,IF(OR(INDEX($B914:$D914,AK$5)="F",AND(AK$6&gt;0,$A914&lt;AK$6),AND(AK$7&gt;0,$A914&gt;AK$7)),0,MAX(0,ROUND((INDEX($E914:$G914,AK$5)-SUMIFS(TF_Timer,TF_Tekniker,AK$4,TF_Dato,$A914))*2,0)/2)))</f>
        <v/>
      </c>
      <c r="AL914">
        <f>IF(OR(AL$4="",$A914&gt;TODAY()),0,IF(OR(INDEX($B914:$D914,AL$5)="F",AND(AL$6&gt;0,$A914&lt;AL$6),AND(AL$7&gt;0,$A914&gt;AL$7)),0,MAX(0,ROUND((INDEX($E914:$G914,AL$5)-SUMIFS(TF_Timer,TF_Tekniker,AL$4,TF_Dato,$A914))*2,0)/2)))</f>
        <v/>
      </c>
      <c r="AM914">
        <f>IF(OR(AM$4="",$A914&gt;TODAY()),0,IF(OR(INDEX($B914:$D914,AM$5)="F",AND(AM$6&gt;0,$A914&lt;AM$6),AND(AM$7&gt;0,$A914&gt;AM$7)),0,MAX(0,ROUND((INDEX($E914:$G914,AM$5)-SUMIFS(TF_Timer,TF_Tekniker,AM$4,TF_Dato,$A914))*2,0)/2)))</f>
        <v/>
      </c>
      <c r="AN914">
        <f>IF(OR(AN$4="",$A914&gt;TODAY()),0,IF(OR(INDEX($B914:$D914,AN$5)="F",AND(AN$6&gt;0,$A914&lt;AN$6),AND(AN$7&gt;0,$A914&gt;AN$7)),0,MAX(0,ROUND((INDEX($E914:$G914,AN$5)-SUMIFS(TF_Timer,TF_Tekniker,AN$4,TF_Dato,$A914))*2,0)/2)))</f>
        <v/>
      </c>
      <c r="AO914">
        <f>IF(OR(AO$4="",$A914&gt;TODAY()),0,IF(OR(INDEX($B914:$D914,AO$5)="F",AND(AO$6&gt;0,$A914&lt;AO$6),AND(AO$7&gt;0,$A914&gt;AO$7)),0,MAX(0,ROUND((INDEX($E914:$G914,AO$5)-SUMIFS(TF_Timer,TF_Tekniker,AO$4,TF_Dato,$A914))*2,0)/2)))</f>
        <v/>
      </c>
      <c r="AP914">
        <f>IF(OR(AP$4="",$A914&gt;TODAY()),0,IF(OR(INDEX($B914:$D914,AP$5)="F",AND(AP$6&gt;0,$A914&lt;AP$6),AND(AP$7&gt;0,$A914&gt;AP$7)),0,MAX(0,ROUND((INDEX($E914:$G914,AP$5)-SUMIFS(TF_Timer,TF_Tekniker,AP$4,TF_Dato,$A914))*2,0)/2)))</f>
        <v/>
      </c>
      <c r="AQ914">
        <f>IF(OR(AQ$4="",$A914&gt;TODAY()),0,IF(OR(INDEX($B914:$D914,AQ$5)="F",AND(AQ$6&gt;0,$A914&lt;AQ$6),AND(AQ$7&gt;0,$A914&gt;AQ$7)),0,MAX(0,ROUND((INDEX($E914:$G914,AQ$5)-SUMIFS(TF_Timer,TF_Tekniker,AQ$4,TF_Dato,$A914))*2,0)/2)))</f>
        <v/>
      </c>
      <c r="AR914">
        <f>IF(OR(AR$4="",$A914&gt;TODAY()),0,IF(OR(INDEX($B914:$D914,AR$5)="F",AND(AR$6&gt;0,$A914&lt;AR$6),AND(AR$7&gt;0,$A914&gt;AR$7)),0,MAX(0,ROUND((INDEX($E914:$G914,AR$5)-SUMIFS(TF_Timer,TF_Tekniker,AR$4,TF_Dato,$A914))*2,0)/2)))</f>
        <v/>
      </c>
      <c r="AS914">
        <f>IF(OR(AS$4="",$A914&gt;TODAY()),0,IF(OR(INDEX($B914:$D914,AS$5)="F",AND(AS$6&gt;0,$A914&lt;AS$6),AND(AS$7&gt;0,$A914&gt;AS$7)),0,MAX(0,ROUND((INDEX($E914:$G914,AS$5)-SUMIFS(TF_Timer,TF_Tekniker,AS$4,TF_Dato,$A914))*2,0)/2)))</f>
        <v/>
      </c>
      <c r="AT914">
        <f>IF(OR(AT$4="",$A914&gt;TODAY()),0,IF(OR(INDEX($B914:$D914,AT$5)="F",AND(AT$6&gt;0,$A914&lt;AT$6),AND(AT$7&gt;0,$A914&gt;AT$7)),0,MAX(0,ROUND((INDEX($E914:$G914,AT$5)-SUMIFS(TF_Timer,TF_Tekniker,AT$4,TF_Dato,$A914))*2,0)/2)))</f>
        <v/>
      </c>
      <c r="AU914">
        <f>IF(OR(AU$4="",$A914&gt;TODAY()),0,IF(OR(INDEX($B914:$D914,AU$5)="F",AND(AU$6&gt;0,$A914&lt;AU$6),AND(AU$7&gt;0,$A914&gt;AU$7)),0,MAX(0,ROUND((INDEX($E914:$G914,AU$5)-SUMIFS(TF_Timer,TF_Tekniker,AU$4,TF_Dato,$A914))*2,0)/2)))</f>
        <v/>
      </c>
      <c r="AV914">
        <f>IF(OR(AV$4="",$A914&gt;TODAY()),0,IF(OR(INDEX($B914:$D914,AV$5)="F",AND(AV$6&gt;0,$A914&lt;AV$6),AND(AV$7&gt;0,$A914&gt;AV$7)),0,MAX(0,ROUND((INDEX($E914:$G914,AV$5)-SUMIFS(TF_Timer,TF_Tekniker,AV$4,TF_Dato,$A914))*2,0)/2)))</f>
        <v/>
      </c>
      <c r="AW914">
        <f>IF(OR(AW$4="",$A914&gt;TODAY()),0,IF(OR(INDEX($B914:$D914,AW$5)="F",AND(AW$6&gt;0,$A914&lt;AW$6),AND(AW$7&gt;0,$A914&gt;AW$7)),0,MAX(0,ROUND((INDEX($E914:$G914,AW$5)-SUMIFS(TF_Timer,TF_Tekniker,AW$4,TF_Dato,$A914))*2,0)/2)))</f>
        <v/>
      </c>
      <c r="AX914">
        <f>IF(OR(AX$4="",$A914&gt;TODAY()),0,IF(OR(INDEX($B914:$D914,AX$5)="F",AND(AX$6&gt;0,$A914&lt;AX$6),AND(AX$7&gt;0,$A914&gt;AX$7)),0,MAX(0,ROUND((INDEX($E914:$G914,AX$5)-SUMIFS(TF_Timer,TF_Tekniker,AX$4,TF_Dato,$A914))*2,0)/2)))</f>
        <v/>
      </c>
      <c r="AY914">
        <f>IF(OR(AY$4="",$A914&gt;TODAY()),0,IF(OR(INDEX($B914:$D914,AY$5)="F",AND(AY$6&gt;0,$A914&lt;AY$6),AND(AY$7&gt;0,$A914&gt;AY$7)),0,MAX(0,ROUND((INDEX($E914:$G914,AY$5)-SUMIFS(TF_Timer,TF_Tekniker,AY$4,TF_Dato,$A914))*2,0)/2)))</f>
        <v/>
      </c>
      <c r="AZ914">
        <f>IF(OR(AZ$4="",$A914&gt;TODAY()),0,IF(OR(INDEX($B914:$D914,AZ$5)="F",AND(AZ$6&gt;0,$A914&lt;AZ$6),AND(AZ$7&gt;0,$A914&gt;AZ$7)),0,MAX(0,ROUND((INDEX($E914:$G914,AZ$5)-SUMIFS(TF_Timer,TF_Tekniker,AZ$4,TF_Dato,$A914))*2,0)/2)))</f>
        <v/>
      </c>
      <c r="BA914">
        <f>IF(OR(BA$4="",$A914&gt;TODAY()),0,IF(OR(INDEX($B914:$D914,BA$5)="F",AND(BA$6&gt;0,$A914&lt;BA$6),AND(BA$7&gt;0,$A914&gt;BA$7)),0,MAX(0,ROUND((INDEX($E914:$G914,BA$5)-SUMIFS(TF_Timer,TF_Tekniker,BA$4,TF_Dato,$A914))*2,0)/2)))</f>
        <v/>
      </c>
      <c r="BB914">
        <f>IF(OR(BB$4="",$A914&gt;TODAY()),0,IF(OR(INDEX($B914:$D914,BB$5)="F",AND(BB$6&gt;0,$A914&lt;BB$6),AND(BB$7&gt;0,$A914&gt;BB$7)),0,MAX(0,ROUND((INDEX($E914:$G914,BB$5)-SUMIFS(TF_Timer,TF_Tekniker,BB$4,TF_Dato,$A914))*2,0)/2)))</f>
        <v/>
      </c>
      <c r="BC914">
        <f>IF(OR(BC$4="",$A914&gt;TODAY()),0,IF(OR(INDEX($B914:$D914,BC$5)="F",AND(BC$6&gt;0,$A914&lt;BC$6),AND(BC$7&gt;0,$A914&gt;BC$7)),0,MAX(0,ROUND((INDEX($E914:$G914,BC$5)-SUMIFS(TF_Timer,TF_Tekniker,BC$4,TF_Dato,$A914))*2,0)/2)))</f>
        <v/>
      </c>
      <c r="BD914">
        <f>IF(OR(BD$4="",$A914&gt;TODAY()),0,IF(OR(INDEX($B914:$D914,BD$5)="F",AND(BD$6&gt;0,$A914&lt;BD$6),AND(BD$7&gt;0,$A914&gt;BD$7)),0,MAX(0,ROUND((INDEX($E914:$G914,BD$5)-SUMIFS(TF_Timer,TF_Tekniker,BD$4,TF_Dato,$A914))*2,0)/2)))</f>
        <v/>
      </c>
      <c r="BE914">
        <f>IF(OR(BE$4="",$A914&gt;TODAY()),0,IF(OR(INDEX($B914:$D914,BE$5)="F",AND(BE$6&gt;0,$A914&lt;BE$6),AND(BE$7&gt;0,$A914&gt;BE$7)),0,MAX(0,ROUND((INDEX($E914:$G914,BE$5)-SUMIFS(TF_Timer,TF_Tekniker,BE$4,TF_Dato,$A914))*2,0)/2)))</f>
        <v/>
      </c>
      <c r="BF914">
        <f>IF(OR(BF$4="",$A914&gt;TODAY()),0,IF(OR(INDEX($B914:$D914,BF$5)="F",AND(BF$6&gt;0,$A914&lt;BF$6),AND(BF$7&gt;0,$A914&gt;BF$7)),0,MAX(0,ROUND((INDEX($E914:$G914,BF$5)-SUMIFS(TF_Timer,TF_Tekniker,BF$4,TF_Dato,$A914))*2,0)/2)))</f>
        <v/>
      </c>
      <c r="BG914">
        <f>IF(OR(BG$4="",$A914&gt;TODAY()),0,IF(OR(INDEX($B914:$D914,BG$5)="F",AND(BG$6&gt;0,$A914&lt;BG$6),AND(BG$7&gt;0,$A914&gt;BG$7)),0,MAX(0,ROUND((INDEX($E914:$G914,BG$5)-SUMIFS(TF_Timer,TF_Tekniker,BG$4,TF_Dato,$A914))*2,0)/2)))</f>
        <v/>
      </c>
      <c r="BH914">
        <f>IF(OR(BH$4="",$A914&gt;TODAY()),0,IF(OR(INDEX($B914:$D914,BH$5)="F",AND(BH$6&gt;0,$A914&lt;BH$6),AND(BH$7&gt;0,$A914&gt;BH$7)),0,MAX(0,ROUND((INDEX($E914:$G914,BH$5)-SUMIFS(TF_Timer,TF_Tekniker,BH$4,TF_Dato,$A914))*2,0)/2)))</f>
        <v/>
      </c>
      <c r="BI914">
        <f>IF(OR(BI$4="",$A914&gt;TODAY()),0,IF(OR(INDEX($B914:$D914,BI$5)="F",AND(BI$6&gt;0,$A914&lt;BI$6),AND(BI$7&gt;0,$A914&gt;BI$7)),0,MAX(0,ROUND((INDEX($E914:$G914,BI$5)-SUMIFS(TF_Timer,TF_Tekniker,BI$4,TF_Dato,$A914))*2,0)/2)))</f>
        <v/>
      </c>
    </row>
    <row r="915">
      <c r="A915" s="64">
        <f>A914+1</f>
        <v/>
      </c>
      <c r="B915">
        <f>IF(MOD($A915-INDEX(SkiftStart,1),Syklus)&lt;DagK,"K",IF(MOD($A915-INDEX(SkiftStart,1),Syklus)&lt;DagK+DagH,"H",IF(MOD($A915-INDEX(SkiftStart,1),Syklus)&lt;DagK+DagH+DagD,"D","F")))</f>
        <v/>
      </c>
      <c r="C915">
        <f>IF(MOD($A915-INDEX(SkiftStart,2),Syklus)&lt;DagK,"K",IF(MOD($A915-INDEX(SkiftStart,2),Syklus)&lt;DagK+DagH,"H",IF(MOD($A915-INDEX(SkiftStart,2),Syklus)&lt;DagK+DagH+DagD,"D","F")))</f>
        <v/>
      </c>
      <c r="D915">
        <f>IF(MOD($A915-INDEX(SkiftStart,3),Syklus)&lt;DagK,"K",IF(MOD($A915-INDEX(SkiftStart,3),Syklus)&lt;DagK+DagH,"H",IF(MOD($A915-INDEX(SkiftStart,3),Syklus)&lt;DagK+DagH+DagD,"D","F")))</f>
        <v/>
      </c>
      <c r="E915">
        <f>IF(B915="F",0,IF(WEEKDAY($A915,2)=5,INDEX(TimerFr,MATCH(B915,FaseKode,0)),INDEX(TimerMT,MATCH(B915,FaseKode,0))))</f>
        <v/>
      </c>
      <c r="F915">
        <f>IF(C915="F",0,IF(WEEKDAY($A915,2)=5,INDEX(TimerFr,MATCH(C915,FaseKode,0)),INDEX(TimerMT,MATCH(C915,FaseKode,0))))</f>
        <v/>
      </c>
      <c r="G915">
        <f>IF(D915="F",0,IF(WEEKDAY($A915,2)=5,INDEX(TimerFr,MATCH(D915,FaseKode,0)),INDEX(TimerMT,MATCH(D915,FaseKode,0))))</f>
        <v/>
      </c>
      <c r="H915">
        <f>IF(OR(H$4="",$A915&gt;TODAY()),0,IF(OR(INDEX($B915:$D915,H$5)="F",AND(H$6&gt;0,$A915&lt;H$6),AND(H$7&gt;0,$A915&gt;H$7)),0,MAX(0,ROUND((INDEX($E915:$G915,H$5)-SUMIFS(TF_Timer,TF_Tekniker,H$4,TF_Dato,$A915))*2,0)/2)))</f>
        <v/>
      </c>
      <c r="I915">
        <f>IF(OR(I$4="",$A915&gt;TODAY()),0,IF(OR(INDEX($B915:$D915,I$5)="F",AND(I$6&gt;0,$A915&lt;I$6),AND(I$7&gt;0,$A915&gt;I$7)),0,MAX(0,ROUND((INDEX($E915:$G915,I$5)-SUMIFS(TF_Timer,TF_Tekniker,I$4,TF_Dato,$A915))*2,0)/2)))</f>
        <v/>
      </c>
      <c r="J915">
        <f>IF(OR(J$4="",$A915&gt;TODAY()),0,IF(OR(INDEX($B915:$D915,J$5)="F",AND(J$6&gt;0,$A915&lt;J$6),AND(J$7&gt;0,$A915&gt;J$7)),0,MAX(0,ROUND((INDEX($E915:$G915,J$5)-SUMIFS(TF_Timer,TF_Tekniker,J$4,TF_Dato,$A915))*2,0)/2)))</f>
        <v/>
      </c>
      <c r="K915">
        <f>IF(OR(K$4="",$A915&gt;TODAY()),0,IF(OR(INDEX($B915:$D915,K$5)="F",AND(K$6&gt;0,$A915&lt;K$6),AND(K$7&gt;0,$A915&gt;K$7)),0,MAX(0,ROUND((INDEX($E915:$G915,K$5)-SUMIFS(TF_Timer,TF_Tekniker,K$4,TF_Dato,$A915))*2,0)/2)))</f>
        <v/>
      </c>
      <c r="L915">
        <f>IF(OR(L$4="",$A915&gt;TODAY()),0,IF(OR(INDEX($B915:$D915,L$5)="F",AND(L$6&gt;0,$A915&lt;L$6),AND(L$7&gt;0,$A915&gt;L$7)),0,MAX(0,ROUND((INDEX($E915:$G915,L$5)-SUMIFS(TF_Timer,TF_Tekniker,L$4,TF_Dato,$A915))*2,0)/2)))</f>
        <v/>
      </c>
      <c r="M915">
        <f>IF(OR(M$4="",$A915&gt;TODAY()),0,IF(OR(INDEX($B915:$D915,M$5)="F",AND(M$6&gt;0,$A915&lt;M$6),AND(M$7&gt;0,$A915&gt;M$7)),0,MAX(0,ROUND((INDEX($E915:$G915,M$5)-SUMIFS(TF_Timer,TF_Tekniker,M$4,TF_Dato,$A915))*2,0)/2)))</f>
        <v/>
      </c>
      <c r="N915">
        <f>IF(OR(N$4="",$A915&gt;TODAY()),0,IF(OR(INDEX($B915:$D915,N$5)="F",AND(N$6&gt;0,$A915&lt;N$6),AND(N$7&gt;0,$A915&gt;N$7)),0,MAX(0,ROUND((INDEX($E915:$G915,N$5)-SUMIFS(TF_Timer,TF_Tekniker,N$4,TF_Dato,$A915))*2,0)/2)))</f>
        <v/>
      </c>
      <c r="O915">
        <f>IF(OR(O$4="",$A915&gt;TODAY()),0,IF(OR(INDEX($B915:$D915,O$5)="F",AND(O$6&gt;0,$A915&lt;O$6),AND(O$7&gt;0,$A915&gt;O$7)),0,MAX(0,ROUND((INDEX($E915:$G915,O$5)-SUMIFS(TF_Timer,TF_Tekniker,O$4,TF_Dato,$A915))*2,0)/2)))</f>
        <v/>
      </c>
      <c r="P915">
        <f>IF(OR(P$4="",$A915&gt;TODAY()),0,IF(OR(INDEX($B915:$D915,P$5)="F",AND(P$6&gt;0,$A915&lt;P$6),AND(P$7&gt;0,$A915&gt;P$7)),0,MAX(0,ROUND((INDEX($E915:$G915,P$5)-SUMIFS(TF_Timer,TF_Tekniker,P$4,TF_Dato,$A915))*2,0)/2)))</f>
        <v/>
      </c>
      <c r="Q915">
        <f>IF(OR(Q$4="",$A915&gt;TODAY()),0,IF(OR(INDEX($B915:$D915,Q$5)="F",AND(Q$6&gt;0,$A915&lt;Q$6),AND(Q$7&gt;0,$A915&gt;Q$7)),0,MAX(0,ROUND((INDEX($E915:$G915,Q$5)-SUMIFS(TF_Timer,TF_Tekniker,Q$4,TF_Dato,$A915))*2,0)/2)))</f>
        <v/>
      </c>
      <c r="R915">
        <f>IF(OR(R$4="",$A915&gt;TODAY()),0,IF(OR(INDEX($B915:$D915,R$5)="F",AND(R$6&gt;0,$A915&lt;R$6),AND(R$7&gt;0,$A915&gt;R$7)),0,MAX(0,ROUND((INDEX($E915:$G915,R$5)-SUMIFS(TF_Timer,TF_Tekniker,R$4,TF_Dato,$A915))*2,0)/2)))</f>
        <v/>
      </c>
      <c r="S915">
        <f>IF(OR(S$4="",$A915&gt;TODAY()),0,IF(OR(INDEX($B915:$D915,S$5)="F",AND(S$6&gt;0,$A915&lt;S$6),AND(S$7&gt;0,$A915&gt;S$7)),0,MAX(0,ROUND((INDEX($E915:$G915,S$5)-SUMIFS(TF_Timer,TF_Tekniker,S$4,TF_Dato,$A915))*2,0)/2)))</f>
        <v/>
      </c>
      <c r="T915">
        <f>IF(OR(T$4="",$A915&gt;TODAY()),0,IF(OR(INDEX($B915:$D915,T$5)="F",AND(T$6&gt;0,$A915&lt;T$6),AND(T$7&gt;0,$A915&gt;T$7)),0,MAX(0,ROUND((INDEX($E915:$G915,T$5)-SUMIFS(TF_Timer,TF_Tekniker,T$4,TF_Dato,$A915))*2,0)/2)))</f>
        <v/>
      </c>
      <c r="U915">
        <f>IF(OR(U$4="",$A915&gt;TODAY()),0,IF(OR(INDEX($B915:$D915,U$5)="F",AND(U$6&gt;0,$A915&lt;U$6),AND(U$7&gt;0,$A915&gt;U$7)),0,MAX(0,ROUND((INDEX($E915:$G915,U$5)-SUMIFS(TF_Timer,TF_Tekniker,U$4,TF_Dato,$A915))*2,0)/2)))</f>
        <v/>
      </c>
      <c r="V915">
        <f>IF(OR(V$4="",$A915&gt;TODAY()),0,IF(OR(INDEX($B915:$D915,V$5)="F",AND(V$6&gt;0,$A915&lt;V$6),AND(V$7&gt;0,$A915&gt;V$7)),0,MAX(0,ROUND((INDEX($E915:$G915,V$5)-SUMIFS(TF_Timer,TF_Tekniker,V$4,TF_Dato,$A915))*2,0)/2)))</f>
        <v/>
      </c>
      <c r="W915">
        <f>IF(OR(W$4="",$A915&gt;TODAY()),0,IF(OR(INDEX($B915:$D915,W$5)="F",AND(W$6&gt;0,$A915&lt;W$6),AND(W$7&gt;0,$A915&gt;W$7)),0,MAX(0,ROUND((INDEX($E915:$G915,W$5)-SUMIFS(TF_Timer,TF_Tekniker,W$4,TF_Dato,$A915))*2,0)/2)))</f>
        <v/>
      </c>
      <c r="X915">
        <f>IF(OR(X$4="",$A915&gt;TODAY()),0,IF(OR(INDEX($B915:$D915,X$5)="F",AND(X$6&gt;0,$A915&lt;X$6),AND(X$7&gt;0,$A915&gt;X$7)),0,MAX(0,ROUND((INDEX($E915:$G915,X$5)-SUMIFS(TF_Timer,TF_Tekniker,X$4,TF_Dato,$A915))*2,0)/2)))</f>
        <v/>
      </c>
      <c r="Y915">
        <f>IF(OR(Y$4="",$A915&gt;TODAY()),0,IF(OR(INDEX($B915:$D915,Y$5)="F",AND(Y$6&gt;0,$A915&lt;Y$6),AND(Y$7&gt;0,$A915&gt;Y$7)),0,MAX(0,ROUND((INDEX($E915:$G915,Y$5)-SUMIFS(TF_Timer,TF_Tekniker,Y$4,TF_Dato,$A915))*2,0)/2)))</f>
        <v/>
      </c>
      <c r="Z915">
        <f>IF(OR(Z$4="",$A915&gt;TODAY()),0,IF(OR(INDEX($B915:$D915,Z$5)="F",AND(Z$6&gt;0,$A915&lt;Z$6),AND(Z$7&gt;0,$A915&gt;Z$7)),0,MAX(0,ROUND((INDEX($E915:$G915,Z$5)-SUMIFS(TF_Timer,TF_Tekniker,Z$4,TF_Dato,$A915))*2,0)/2)))</f>
        <v/>
      </c>
      <c r="AA915">
        <f>IF(OR(AA$4="",$A915&gt;TODAY()),0,IF(OR(INDEX($B915:$D915,AA$5)="F",AND(AA$6&gt;0,$A915&lt;AA$6),AND(AA$7&gt;0,$A915&gt;AA$7)),0,MAX(0,ROUND((INDEX($E915:$G915,AA$5)-SUMIFS(TF_Timer,TF_Tekniker,AA$4,TF_Dato,$A915))*2,0)/2)))</f>
        <v/>
      </c>
      <c r="AB915">
        <f>IF(OR(AB$4="",$A915&gt;TODAY()),0,IF(OR(INDEX($B915:$D915,AB$5)="F",AND(AB$6&gt;0,$A915&lt;AB$6),AND(AB$7&gt;0,$A915&gt;AB$7)),0,MAX(0,ROUND((INDEX($E915:$G915,AB$5)-SUMIFS(TF_Timer,TF_Tekniker,AB$4,TF_Dato,$A915))*2,0)/2)))</f>
        <v/>
      </c>
      <c r="AC915">
        <f>IF(OR(AC$4="",$A915&gt;TODAY()),0,IF(OR(INDEX($B915:$D915,AC$5)="F",AND(AC$6&gt;0,$A915&lt;AC$6),AND(AC$7&gt;0,$A915&gt;AC$7)),0,MAX(0,ROUND((INDEX($E915:$G915,AC$5)-SUMIFS(TF_Timer,TF_Tekniker,AC$4,TF_Dato,$A915))*2,0)/2)))</f>
        <v/>
      </c>
      <c r="AD915">
        <f>IF(OR(AD$4="",$A915&gt;TODAY()),0,IF(OR(INDEX($B915:$D915,AD$5)="F",AND(AD$6&gt;0,$A915&lt;AD$6),AND(AD$7&gt;0,$A915&gt;AD$7)),0,MAX(0,ROUND((INDEX($E915:$G915,AD$5)-SUMIFS(TF_Timer,TF_Tekniker,AD$4,TF_Dato,$A915))*2,0)/2)))</f>
        <v/>
      </c>
      <c r="AE915">
        <f>IF(OR(AE$4="",$A915&gt;TODAY()),0,IF(OR(INDEX($B915:$D915,AE$5)="F",AND(AE$6&gt;0,$A915&lt;AE$6),AND(AE$7&gt;0,$A915&gt;AE$7)),0,MAX(0,ROUND((INDEX($E915:$G915,AE$5)-SUMIFS(TF_Timer,TF_Tekniker,AE$4,TF_Dato,$A915))*2,0)/2)))</f>
        <v/>
      </c>
      <c r="AF915">
        <f>IF(OR(AF$4="",$A915&gt;TODAY()),0,IF(OR(INDEX($B915:$D915,AF$5)="F",AND(AF$6&gt;0,$A915&lt;AF$6),AND(AF$7&gt;0,$A915&gt;AF$7)),0,MAX(0,ROUND((INDEX($E915:$G915,AF$5)-SUMIFS(TF_Timer,TF_Tekniker,AF$4,TF_Dato,$A915))*2,0)/2)))</f>
        <v/>
      </c>
      <c r="AG915">
        <f>IF(OR(AG$4="",$A915&gt;TODAY()),0,IF(OR(INDEX($B915:$D915,AG$5)="F",AND(AG$6&gt;0,$A915&lt;AG$6),AND(AG$7&gt;0,$A915&gt;AG$7)),0,MAX(0,ROUND((INDEX($E915:$G915,AG$5)-SUMIFS(TF_Timer,TF_Tekniker,AG$4,TF_Dato,$A915))*2,0)/2)))</f>
        <v/>
      </c>
      <c r="AH915">
        <f>IF(OR(AH$4="",$A915&gt;TODAY()),0,IF(OR(INDEX($B915:$D915,AH$5)="F",AND(AH$6&gt;0,$A915&lt;AH$6),AND(AH$7&gt;0,$A915&gt;AH$7)),0,MAX(0,ROUND((INDEX($E915:$G915,AH$5)-SUMIFS(TF_Timer,TF_Tekniker,AH$4,TF_Dato,$A915))*2,0)/2)))</f>
        <v/>
      </c>
      <c r="AI915">
        <f>IF(OR(AI$4="",$A915&gt;TODAY()),0,IF(OR(INDEX($B915:$D915,AI$5)="F",AND(AI$6&gt;0,$A915&lt;AI$6),AND(AI$7&gt;0,$A915&gt;AI$7)),0,MAX(0,ROUND((INDEX($E915:$G915,AI$5)-SUMIFS(TF_Timer,TF_Tekniker,AI$4,TF_Dato,$A915))*2,0)/2)))</f>
        <v/>
      </c>
      <c r="AJ915">
        <f>IF(OR(AJ$4="",$A915&gt;TODAY()),0,IF(OR(INDEX($B915:$D915,AJ$5)="F",AND(AJ$6&gt;0,$A915&lt;AJ$6),AND(AJ$7&gt;0,$A915&gt;AJ$7)),0,MAX(0,ROUND((INDEX($E915:$G915,AJ$5)-SUMIFS(TF_Timer,TF_Tekniker,AJ$4,TF_Dato,$A915))*2,0)/2)))</f>
        <v/>
      </c>
      <c r="AK915">
        <f>IF(OR(AK$4="",$A915&gt;TODAY()),0,IF(OR(INDEX($B915:$D915,AK$5)="F",AND(AK$6&gt;0,$A915&lt;AK$6),AND(AK$7&gt;0,$A915&gt;AK$7)),0,MAX(0,ROUND((INDEX($E915:$G915,AK$5)-SUMIFS(TF_Timer,TF_Tekniker,AK$4,TF_Dato,$A915))*2,0)/2)))</f>
        <v/>
      </c>
      <c r="AL915">
        <f>IF(OR(AL$4="",$A915&gt;TODAY()),0,IF(OR(INDEX($B915:$D915,AL$5)="F",AND(AL$6&gt;0,$A915&lt;AL$6),AND(AL$7&gt;0,$A915&gt;AL$7)),0,MAX(0,ROUND((INDEX($E915:$G915,AL$5)-SUMIFS(TF_Timer,TF_Tekniker,AL$4,TF_Dato,$A915))*2,0)/2)))</f>
        <v/>
      </c>
      <c r="AM915">
        <f>IF(OR(AM$4="",$A915&gt;TODAY()),0,IF(OR(INDEX($B915:$D915,AM$5)="F",AND(AM$6&gt;0,$A915&lt;AM$6),AND(AM$7&gt;0,$A915&gt;AM$7)),0,MAX(0,ROUND((INDEX($E915:$G915,AM$5)-SUMIFS(TF_Timer,TF_Tekniker,AM$4,TF_Dato,$A915))*2,0)/2)))</f>
        <v/>
      </c>
      <c r="AN915">
        <f>IF(OR(AN$4="",$A915&gt;TODAY()),0,IF(OR(INDEX($B915:$D915,AN$5)="F",AND(AN$6&gt;0,$A915&lt;AN$6),AND(AN$7&gt;0,$A915&gt;AN$7)),0,MAX(0,ROUND((INDEX($E915:$G915,AN$5)-SUMIFS(TF_Timer,TF_Tekniker,AN$4,TF_Dato,$A915))*2,0)/2)))</f>
        <v/>
      </c>
      <c r="AO915">
        <f>IF(OR(AO$4="",$A915&gt;TODAY()),0,IF(OR(INDEX($B915:$D915,AO$5)="F",AND(AO$6&gt;0,$A915&lt;AO$6),AND(AO$7&gt;0,$A915&gt;AO$7)),0,MAX(0,ROUND((INDEX($E915:$G915,AO$5)-SUMIFS(TF_Timer,TF_Tekniker,AO$4,TF_Dato,$A915))*2,0)/2)))</f>
        <v/>
      </c>
      <c r="AP915">
        <f>IF(OR(AP$4="",$A915&gt;TODAY()),0,IF(OR(INDEX($B915:$D915,AP$5)="F",AND(AP$6&gt;0,$A915&lt;AP$6),AND(AP$7&gt;0,$A915&gt;AP$7)),0,MAX(0,ROUND((INDEX($E915:$G915,AP$5)-SUMIFS(TF_Timer,TF_Tekniker,AP$4,TF_Dato,$A915))*2,0)/2)))</f>
        <v/>
      </c>
      <c r="AQ915">
        <f>IF(OR(AQ$4="",$A915&gt;TODAY()),0,IF(OR(INDEX($B915:$D915,AQ$5)="F",AND(AQ$6&gt;0,$A915&lt;AQ$6),AND(AQ$7&gt;0,$A915&gt;AQ$7)),0,MAX(0,ROUND((INDEX($E915:$G915,AQ$5)-SUMIFS(TF_Timer,TF_Tekniker,AQ$4,TF_Dato,$A915))*2,0)/2)))</f>
        <v/>
      </c>
      <c r="AR915">
        <f>IF(OR(AR$4="",$A915&gt;TODAY()),0,IF(OR(INDEX($B915:$D915,AR$5)="F",AND(AR$6&gt;0,$A915&lt;AR$6),AND(AR$7&gt;0,$A915&gt;AR$7)),0,MAX(0,ROUND((INDEX($E915:$G915,AR$5)-SUMIFS(TF_Timer,TF_Tekniker,AR$4,TF_Dato,$A915))*2,0)/2)))</f>
        <v/>
      </c>
      <c r="AS915">
        <f>IF(OR(AS$4="",$A915&gt;TODAY()),0,IF(OR(INDEX($B915:$D915,AS$5)="F",AND(AS$6&gt;0,$A915&lt;AS$6),AND(AS$7&gt;0,$A915&gt;AS$7)),0,MAX(0,ROUND((INDEX($E915:$G915,AS$5)-SUMIFS(TF_Timer,TF_Tekniker,AS$4,TF_Dato,$A915))*2,0)/2)))</f>
        <v/>
      </c>
      <c r="AT915">
        <f>IF(OR(AT$4="",$A915&gt;TODAY()),0,IF(OR(INDEX($B915:$D915,AT$5)="F",AND(AT$6&gt;0,$A915&lt;AT$6),AND(AT$7&gt;0,$A915&gt;AT$7)),0,MAX(0,ROUND((INDEX($E915:$G915,AT$5)-SUMIFS(TF_Timer,TF_Tekniker,AT$4,TF_Dato,$A915))*2,0)/2)))</f>
        <v/>
      </c>
      <c r="AU915">
        <f>IF(OR(AU$4="",$A915&gt;TODAY()),0,IF(OR(INDEX($B915:$D915,AU$5)="F",AND(AU$6&gt;0,$A915&lt;AU$6),AND(AU$7&gt;0,$A915&gt;AU$7)),0,MAX(0,ROUND((INDEX($E915:$G915,AU$5)-SUMIFS(TF_Timer,TF_Tekniker,AU$4,TF_Dato,$A915))*2,0)/2)))</f>
        <v/>
      </c>
      <c r="AV915">
        <f>IF(OR(AV$4="",$A915&gt;TODAY()),0,IF(OR(INDEX($B915:$D915,AV$5)="F",AND(AV$6&gt;0,$A915&lt;AV$6),AND(AV$7&gt;0,$A915&gt;AV$7)),0,MAX(0,ROUND((INDEX($E915:$G915,AV$5)-SUMIFS(TF_Timer,TF_Tekniker,AV$4,TF_Dato,$A915))*2,0)/2)))</f>
        <v/>
      </c>
      <c r="AW915">
        <f>IF(OR(AW$4="",$A915&gt;TODAY()),0,IF(OR(INDEX($B915:$D915,AW$5)="F",AND(AW$6&gt;0,$A915&lt;AW$6),AND(AW$7&gt;0,$A915&gt;AW$7)),0,MAX(0,ROUND((INDEX($E915:$G915,AW$5)-SUMIFS(TF_Timer,TF_Tekniker,AW$4,TF_Dato,$A915))*2,0)/2)))</f>
        <v/>
      </c>
      <c r="AX915">
        <f>IF(OR(AX$4="",$A915&gt;TODAY()),0,IF(OR(INDEX($B915:$D915,AX$5)="F",AND(AX$6&gt;0,$A915&lt;AX$6),AND(AX$7&gt;0,$A915&gt;AX$7)),0,MAX(0,ROUND((INDEX($E915:$G915,AX$5)-SUMIFS(TF_Timer,TF_Tekniker,AX$4,TF_Dato,$A915))*2,0)/2)))</f>
        <v/>
      </c>
      <c r="AY915">
        <f>IF(OR(AY$4="",$A915&gt;TODAY()),0,IF(OR(INDEX($B915:$D915,AY$5)="F",AND(AY$6&gt;0,$A915&lt;AY$6),AND(AY$7&gt;0,$A915&gt;AY$7)),0,MAX(0,ROUND((INDEX($E915:$G915,AY$5)-SUMIFS(TF_Timer,TF_Tekniker,AY$4,TF_Dato,$A915))*2,0)/2)))</f>
        <v/>
      </c>
      <c r="AZ915">
        <f>IF(OR(AZ$4="",$A915&gt;TODAY()),0,IF(OR(INDEX($B915:$D915,AZ$5)="F",AND(AZ$6&gt;0,$A915&lt;AZ$6),AND(AZ$7&gt;0,$A915&gt;AZ$7)),0,MAX(0,ROUND((INDEX($E915:$G915,AZ$5)-SUMIFS(TF_Timer,TF_Tekniker,AZ$4,TF_Dato,$A915))*2,0)/2)))</f>
        <v/>
      </c>
      <c r="BA915">
        <f>IF(OR(BA$4="",$A915&gt;TODAY()),0,IF(OR(INDEX($B915:$D915,BA$5)="F",AND(BA$6&gt;0,$A915&lt;BA$6),AND(BA$7&gt;0,$A915&gt;BA$7)),0,MAX(0,ROUND((INDEX($E915:$G915,BA$5)-SUMIFS(TF_Timer,TF_Tekniker,BA$4,TF_Dato,$A915))*2,0)/2)))</f>
        <v/>
      </c>
      <c r="BB915">
        <f>IF(OR(BB$4="",$A915&gt;TODAY()),0,IF(OR(INDEX($B915:$D915,BB$5)="F",AND(BB$6&gt;0,$A915&lt;BB$6),AND(BB$7&gt;0,$A915&gt;BB$7)),0,MAX(0,ROUND((INDEX($E915:$G915,BB$5)-SUMIFS(TF_Timer,TF_Tekniker,BB$4,TF_Dato,$A915))*2,0)/2)))</f>
        <v/>
      </c>
      <c r="BC915">
        <f>IF(OR(BC$4="",$A915&gt;TODAY()),0,IF(OR(INDEX($B915:$D915,BC$5)="F",AND(BC$6&gt;0,$A915&lt;BC$6),AND(BC$7&gt;0,$A915&gt;BC$7)),0,MAX(0,ROUND((INDEX($E915:$G915,BC$5)-SUMIFS(TF_Timer,TF_Tekniker,BC$4,TF_Dato,$A915))*2,0)/2)))</f>
        <v/>
      </c>
      <c r="BD915">
        <f>IF(OR(BD$4="",$A915&gt;TODAY()),0,IF(OR(INDEX($B915:$D915,BD$5)="F",AND(BD$6&gt;0,$A915&lt;BD$6),AND(BD$7&gt;0,$A915&gt;BD$7)),0,MAX(0,ROUND((INDEX($E915:$G915,BD$5)-SUMIFS(TF_Timer,TF_Tekniker,BD$4,TF_Dato,$A915))*2,0)/2)))</f>
        <v/>
      </c>
      <c r="BE915">
        <f>IF(OR(BE$4="",$A915&gt;TODAY()),0,IF(OR(INDEX($B915:$D915,BE$5)="F",AND(BE$6&gt;0,$A915&lt;BE$6),AND(BE$7&gt;0,$A915&gt;BE$7)),0,MAX(0,ROUND((INDEX($E915:$G915,BE$5)-SUMIFS(TF_Timer,TF_Tekniker,BE$4,TF_Dato,$A915))*2,0)/2)))</f>
        <v/>
      </c>
      <c r="BF915">
        <f>IF(OR(BF$4="",$A915&gt;TODAY()),0,IF(OR(INDEX($B915:$D915,BF$5)="F",AND(BF$6&gt;0,$A915&lt;BF$6),AND(BF$7&gt;0,$A915&gt;BF$7)),0,MAX(0,ROUND((INDEX($E915:$G915,BF$5)-SUMIFS(TF_Timer,TF_Tekniker,BF$4,TF_Dato,$A915))*2,0)/2)))</f>
        <v/>
      </c>
      <c r="BG915">
        <f>IF(OR(BG$4="",$A915&gt;TODAY()),0,IF(OR(INDEX($B915:$D915,BG$5)="F",AND(BG$6&gt;0,$A915&lt;BG$6),AND(BG$7&gt;0,$A915&gt;BG$7)),0,MAX(0,ROUND((INDEX($E915:$G915,BG$5)-SUMIFS(TF_Timer,TF_Tekniker,BG$4,TF_Dato,$A915))*2,0)/2)))</f>
        <v/>
      </c>
      <c r="BH915">
        <f>IF(OR(BH$4="",$A915&gt;TODAY()),0,IF(OR(INDEX($B915:$D915,BH$5)="F",AND(BH$6&gt;0,$A915&lt;BH$6),AND(BH$7&gt;0,$A915&gt;BH$7)),0,MAX(0,ROUND((INDEX($E915:$G915,BH$5)-SUMIFS(TF_Timer,TF_Tekniker,BH$4,TF_Dato,$A915))*2,0)/2)))</f>
        <v/>
      </c>
      <c r="BI915">
        <f>IF(OR(BI$4="",$A915&gt;TODAY()),0,IF(OR(INDEX($B915:$D915,BI$5)="F",AND(BI$6&gt;0,$A915&lt;BI$6),AND(BI$7&gt;0,$A915&gt;BI$7)),0,MAX(0,ROUND((INDEX($E915:$G915,BI$5)-SUMIFS(TF_Timer,TF_Tekniker,BI$4,TF_Dato,$A915))*2,0)/2)))</f>
        <v/>
      </c>
    </row>
    <row r="916">
      <c r="A916" s="64">
        <f>A915+1</f>
        <v/>
      </c>
      <c r="B916">
        <f>IF(MOD($A916-INDEX(SkiftStart,1),Syklus)&lt;DagK,"K",IF(MOD($A916-INDEX(SkiftStart,1),Syklus)&lt;DagK+DagH,"H",IF(MOD($A916-INDEX(SkiftStart,1),Syklus)&lt;DagK+DagH+DagD,"D","F")))</f>
        <v/>
      </c>
      <c r="C916">
        <f>IF(MOD($A916-INDEX(SkiftStart,2),Syklus)&lt;DagK,"K",IF(MOD($A916-INDEX(SkiftStart,2),Syklus)&lt;DagK+DagH,"H",IF(MOD($A916-INDEX(SkiftStart,2),Syklus)&lt;DagK+DagH+DagD,"D","F")))</f>
        <v/>
      </c>
      <c r="D916">
        <f>IF(MOD($A916-INDEX(SkiftStart,3),Syklus)&lt;DagK,"K",IF(MOD($A916-INDEX(SkiftStart,3),Syklus)&lt;DagK+DagH,"H",IF(MOD($A916-INDEX(SkiftStart,3),Syklus)&lt;DagK+DagH+DagD,"D","F")))</f>
        <v/>
      </c>
      <c r="E916">
        <f>IF(B916="F",0,IF(WEEKDAY($A916,2)=5,INDEX(TimerFr,MATCH(B916,FaseKode,0)),INDEX(TimerMT,MATCH(B916,FaseKode,0))))</f>
        <v/>
      </c>
      <c r="F916">
        <f>IF(C916="F",0,IF(WEEKDAY($A916,2)=5,INDEX(TimerFr,MATCH(C916,FaseKode,0)),INDEX(TimerMT,MATCH(C916,FaseKode,0))))</f>
        <v/>
      </c>
      <c r="G916">
        <f>IF(D916="F",0,IF(WEEKDAY($A916,2)=5,INDEX(TimerFr,MATCH(D916,FaseKode,0)),INDEX(TimerMT,MATCH(D916,FaseKode,0))))</f>
        <v/>
      </c>
      <c r="H916">
        <f>IF(OR(H$4="",$A916&gt;TODAY()),0,IF(OR(INDEX($B916:$D916,H$5)="F",AND(H$6&gt;0,$A916&lt;H$6),AND(H$7&gt;0,$A916&gt;H$7)),0,MAX(0,ROUND((INDEX($E916:$G916,H$5)-SUMIFS(TF_Timer,TF_Tekniker,H$4,TF_Dato,$A916))*2,0)/2)))</f>
        <v/>
      </c>
      <c r="I916">
        <f>IF(OR(I$4="",$A916&gt;TODAY()),0,IF(OR(INDEX($B916:$D916,I$5)="F",AND(I$6&gt;0,$A916&lt;I$6),AND(I$7&gt;0,$A916&gt;I$7)),0,MAX(0,ROUND((INDEX($E916:$G916,I$5)-SUMIFS(TF_Timer,TF_Tekniker,I$4,TF_Dato,$A916))*2,0)/2)))</f>
        <v/>
      </c>
      <c r="J916">
        <f>IF(OR(J$4="",$A916&gt;TODAY()),0,IF(OR(INDEX($B916:$D916,J$5)="F",AND(J$6&gt;0,$A916&lt;J$6),AND(J$7&gt;0,$A916&gt;J$7)),0,MAX(0,ROUND((INDEX($E916:$G916,J$5)-SUMIFS(TF_Timer,TF_Tekniker,J$4,TF_Dato,$A916))*2,0)/2)))</f>
        <v/>
      </c>
      <c r="K916">
        <f>IF(OR(K$4="",$A916&gt;TODAY()),0,IF(OR(INDEX($B916:$D916,K$5)="F",AND(K$6&gt;0,$A916&lt;K$6),AND(K$7&gt;0,$A916&gt;K$7)),0,MAX(0,ROUND((INDEX($E916:$G916,K$5)-SUMIFS(TF_Timer,TF_Tekniker,K$4,TF_Dato,$A916))*2,0)/2)))</f>
        <v/>
      </c>
      <c r="L916">
        <f>IF(OR(L$4="",$A916&gt;TODAY()),0,IF(OR(INDEX($B916:$D916,L$5)="F",AND(L$6&gt;0,$A916&lt;L$6),AND(L$7&gt;0,$A916&gt;L$7)),0,MAX(0,ROUND((INDEX($E916:$G916,L$5)-SUMIFS(TF_Timer,TF_Tekniker,L$4,TF_Dato,$A916))*2,0)/2)))</f>
        <v/>
      </c>
      <c r="M916">
        <f>IF(OR(M$4="",$A916&gt;TODAY()),0,IF(OR(INDEX($B916:$D916,M$5)="F",AND(M$6&gt;0,$A916&lt;M$6),AND(M$7&gt;0,$A916&gt;M$7)),0,MAX(0,ROUND((INDEX($E916:$G916,M$5)-SUMIFS(TF_Timer,TF_Tekniker,M$4,TF_Dato,$A916))*2,0)/2)))</f>
        <v/>
      </c>
      <c r="N916">
        <f>IF(OR(N$4="",$A916&gt;TODAY()),0,IF(OR(INDEX($B916:$D916,N$5)="F",AND(N$6&gt;0,$A916&lt;N$6),AND(N$7&gt;0,$A916&gt;N$7)),0,MAX(0,ROUND((INDEX($E916:$G916,N$5)-SUMIFS(TF_Timer,TF_Tekniker,N$4,TF_Dato,$A916))*2,0)/2)))</f>
        <v/>
      </c>
      <c r="O916">
        <f>IF(OR(O$4="",$A916&gt;TODAY()),0,IF(OR(INDEX($B916:$D916,O$5)="F",AND(O$6&gt;0,$A916&lt;O$6),AND(O$7&gt;0,$A916&gt;O$7)),0,MAX(0,ROUND((INDEX($E916:$G916,O$5)-SUMIFS(TF_Timer,TF_Tekniker,O$4,TF_Dato,$A916))*2,0)/2)))</f>
        <v/>
      </c>
      <c r="P916">
        <f>IF(OR(P$4="",$A916&gt;TODAY()),0,IF(OR(INDEX($B916:$D916,P$5)="F",AND(P$6&gt;0,$A916&lt;P$6),AND(P$7&gt;0,$A916&gt;P$7)),0,MAX(0,ROUND((INDEX($E916:$G916,P$5)-SUMIFS(TF_Timer,TF_Tekniker,P$4,TF_Dato,$A916))*2,0)/2)))</f>
        <v/>
      </c>
      <c r="Q916">
        <f>IF(OR(Q$4="",$A916&gt;TODAY()),0,IF(OR(INDEX($B916:$D916,Q$5)="F",AND(Q$6&gt;0,$A916&lt;Q$6),AND(Q$7&gt;0,$A916&gt;Q$7)),0,MAX(0,ROUND((INDEX($E916:$G916,Q$5)-SUMIFS(TF_Timer,TF_Tekniker,Q$4,TF_Dato,$A916))*2,0)/2)))</f>
        <v/>
      </c>
      <c r="R916">
        <f>IF(OR(R$4="",$A916&gt;TODAY()),0,IF(OR(INDEX($B916:$D916,R$5)="F",AND(R$6&gt;0,$A916&lt;R$6),AND(R$7&gt;0,$A916&gt;R$7)),0,MAX(0,ROUND((INDEX($E916:$G916,R$5)-SUMIFS(TF_Timer,TF_Tekniker,R$4,TF_Dato,$A916))*2,0)/2)))</f>
        <v/>
      </c>
      <c r="S916">
        <f>IF(OR(S$4="",$A916&gt;TODAY()),0,IF(OR(INDEX($B916:$D916,S$5)="F",AND(S$6&gt;0,$A916&lt;S$6),AND(S$7&gt;0,$A916&gt;S$7)),0,MAX(0,ROUND((INDEX($E916:$G916,S$5)-SUMIFS(TF_Timer,TF_Tekniker,S$4,TF_Dato,$A916))*2,0)/2)))</f>
        <v/>
      </c>
      <c r="T916">
        <f>IF(OR(T$4="",$A916&gt;TODAY()),0,IF(OR(INDEX($B916:$D916,T$5)="F",AND(T$6&gt;0,$A916&lt;T$6),AND(T$7&gt;0,$A916&gt;T$7)),0,MAX(0,ROUND((INDEX($E916:$G916,T$5)-SUMIFS(TF_Timer,TF_Tekniker,T$4,TF_Dato,$A916))*2,0)/2)))</f>
        <v/>
      </c>
      <c r="U916">
        <f>IF(OR(U$4="",$A916&gt;TODAY()),0,IF(OR(INDEX($B916:$D916,U$5)="F",AND(U$6&gt;0,$A916&lt;U$6),AND(U$7&gt;0,$A916&gt;U$7)),0,MAX(0,ROUND((INDEX($E916:$G916,U$5)-SUMIFS(TF_Timer,TF_Tekniker,U$4,TF_Dato,$A916))*2,0)/2)))</f>
        <v/>
      </c>
      <c r="V916">
        <f>IF(OR(V$4="",$A916&gt;TODAY()),0,IF(OR(INDEX($B916:$D916,V$5)="F",AND(V$6&gt;0,$A916&lt;V$6),AND(V$7&gt;0,$A916&gt;V$7)),0,MAX(0,ROUND((INDEX($E916:$G916,V$5)-SUMIFS(TF_Timer,TF_Tekniker,V$4,TF_Dato,$A916))*2,0)/2)))</f>
        <v/>
      </c>
      <c r="W916">
        <f>IF(OR(W$4="",$A916&gt;TODAY()),0,IF(OR(INDEX($B916:$D916,W$5)="F",AND(W$6&gt;0,$A916&lt;W$6),AND(W$7&gt;0,$A916&gt;W$7)),0,MAX(0,ROUND((INDEX($E916:$G916,W$5)-SUMIFS(TF_Timer,TF_Tekniker,W$4,TF_Dato,$A916))*2,0)/2)))</f>
        <v/>
      </c>
      <c r="X916">
        <f>IF(OR(X$4="",$A916&gt;TODAY()),0,IF(OR(INDEX($B916:$D916,X$5)="F",AND(X$6&gt;0,$A916&lt;X$6),AND(X$7&gt;0,$A916&gt;X$7)),0,MAX(0,ROUND((INDEX($E916:$G916,X$5)-SUMIFS(TF_Timer,TF_Tekniker,X$4,TF_Dato,$A916))*2,0)/2)))</f>
        <v/>
      </c>
      <c r="Y916">
        <f>IF(OR(Y$4="",$A916&gt;TODAY()),0,IF(OR(INDEX($B916:$D916,Y$5)="F",AND(Y$6&gt;0,$A916&lt;Y$6),AND(Y$7&gt;0,$A916&gt;Y$7)),0,MAX(0,ROUND((INDEX($E916:$G916,Y$5)-SUMIFS(TF_Timer,TF_Tekniker,Y$4,TF_Dato,$A916))*2,0)/2)))</f>
        <v/>
      </c>
      <c r="Z916">
        <f>IF(OR(Z$4="",$A916&gt;TODAY()),0,IF(OR(INDEX($B916:$D916,Z$5)="F",AND(Z$6&gt;0,$A916&lt;Z$6),AND(Z$7&gt;0,$A916&gt;Z$7)),0,MAX(0,ROUND((INDEX($E916:$G916,Z$5)-SUMIFS(TF_Timer,TF_Tekniker,Z$4,TF_Dato,$A916))*2,0)/2)))</f>
        <v/>
      </c>
      <c r="AA916">
        <f>IF(OR(AA$4="",$A916&gt;TODAY()),0,IF(OR(INDEX($B916:$D916,AA$5)="F",AND(AA$6&gt;0,$A916&lt;AA$6),AND(AA$7&gt;0,$A916&gt;AA$7)),0,MAX(0,ROUND((INDEX($E916:$G916,AA$5)-SUMIFS(TF_Timer,TF_Tekniker,AA$4,TF_Dato,$A916))*2,0)/2)))</f>
        <v/>
      </c>
      <c r="AB916">
        <f>IF(OR(AB$4="",$A916&gt;TODAY()),0,IF(OR(INDEX($B916:$D916,AB$5)="F",AND(AB$6&gt;0,$A916&lt;AB$6),AND(AB$7&gt;0,$A916&gt;AB$7)),0,MAX(0,ROUND((INDEX($E916:$G916,AB$5)-SUMIFS(TF_Timer,TF_Tekniker,AB$4,TF_Dato,$A916))*2,0)/2)))</f>
        <v/>
      </c>
      <c r="AC916">
        <f>IF(OR(AC$4="",$A916&gt;TODAY()),0,IF(OR(INDEX($B916:$D916,AC$5)="F",AND(AC$6&gt;0,$A916&lt;AC$6),AND(AC$7&gt;0,$A916&gt;AC$7)),0,MAX(0,ROUND((INDEX($E916:$G916,AC$5)-SUMIFS(TF_Timer,TF_Tekniker,AC$4,TF_Dato,$A916))*2,0)/2)))</f>
        <v/>
      </c>
      <c r="AD916">
        <f>IF(OR(AD$4="",$A916&gt;TODAY()),0,IF(OR(INDEX($B916:$D916,AD$5)="F",AND(AD$6&gt;0,$A916&lt;AD$6),AND(AD$7&gt;0,$A916&gt;AD$7)),0,MAX(0,ROUND((INDEX($E916:$G916,AD$5)-SUMIFS(TF_Timer,TF_Tekniker,AD$4,TF_Dato,$A916))*2,0)/2)))</f>
        <v/>
      </c>
      <c r="AE916">
        <f>IF(OR(AE$4="",$A916&gt;TODAY()),0,IF(OR(INDEX($B916:$D916,AE$5)="F",AND(AE$6&gt;0,$A916&lt;AE$6),AND(AE$7&gt;0,$A916&gt;AE$7)),0,MAX(0,ROUND((INDEX($E916:$G916,AE$5)-SUMIFS(TF_Timer,TF_Tekniker,AE$4,TF_Dato,$A916))*2,0)/2)))</f>
        <v/>
      </c>
      <c r="AF916">
        <f>IF(OR(AF$4="",$A916&gt;TODAY()),0,IF(OR(INDEX($B916:$D916,AF$5)="F",AND(AF$6&gt;0,$A916&lt;AF$6),AND(AF$7&gt;0,$A916&gt;AF$7)),0,MAX(0,ROUND((INDEX($E916:$G916,AF$5)-SUMIFS(TF_Timer,TF_Tekniker,AF$4,TF_Dato,$A916))*2,0)/2)))</f>
        <v/>
      </c>
      <c r="AG916">
        <f>IF(OR(AG$4="",$A916&gt;TODAY()),0,IF(OR(INDEX($B916:$D916,AG$5)="F",AND(AG$6&gt;0,$A916&lt;AG$6),AND(AG$7&gt;0,$A916&gt;AG$7)),0,MAX(0,ROUND((INDEX($E916:$G916,AG$5)-SUMIFS(TF_Timer,TF_Tekniker,AG$4,TF_Dato,$A916))*2,0)/2)))</f>
        <v/>
      </c>
      <c r="AH916">
        <f>IF(OR(AH$4="",$A916&gt;TODAY()),0,IF(OR(INDEX($B916:$D916,AH$5)="F",AND(AH$6&gt;0,$A916&lt;AH$6),AND(AH$7&gt;0,$A916&gt;AH$7)),0,MAX(0,ROUND((INDEX($E916:$G916,AH$5)-SUMIFS(TF_Timer,TF_Tekniker,AH$4,TF_Dato,$A916))*2,0)/2)))</f>
        <v/>
      </c>
      <c r="AI916">
        <f>IF(OR(AI$4="",$A916&gt;TODAY()),0,IF(OR(INDEX($B916:$D916,AI$5)="F",AND(AI$6&gt;0,$A916&lt;AI$6),AND(AI$7&gt;0,$A916&gt;AI$7)),0,MAX(0,ROUND((INDEX($E916:$G916,AI$5)-SUMIFS(TF_Timer,TF_Tekniker,AI$4,TF_Dato,$A916))*2,0)/2)))</f>
        <v/>
      </c>
      <c r="AJ916">
        <f>IF(OR(AJ$4="",$A916&gt;TODAY()),0,IF(OR(INDEX($B916:$D916,AJ$5)="F",AND(AJ$6&gt;0,$A916&lt;AJ$6),AND(AJ$7&gt;0,$A916&gt;AJ$7)),0,MAX(0,ROUND((INDEX($E916:$G916,AJ$5)-SUMIFS(TF_Timer,TF_Tekniker,AJ$4,TF_Dato,$A916))*2,0)/2)))</f>
        <v/>
      </c>
      <c r="AK916">
        <f>IF(OR(AK$4="",$A916&gt;TODAY()),0,IF(OR(INDEX($B916:$D916,AK$5)="F",AND(AK$6&gt;0,$A916&lt;AK$6),AND(AK$7&gt;0,$A916&gt;AK$7)),0,MAX(0,ROUND((INDEX($E916:$G916,AK$5)-SUMIFS(TF_Timer,TF_Tekniker,AK$4,TF_Dato,$A916))*2,0)/2)))</f>
        <v/>
      </c>
      <c r="AL916">
        <f>IF(OR(AL$4="",$A916&gt;TODAY()),0,IF(OR(INDEX($B916:$D916,AL$5)="F",AND(AL$6&gt;0,$A916&lt;AL$6),AND(AL$7&gt;0,$A916&gt;AL$7)),0,MAX(0,ROUND((INDEX($E916:$G916,AL$5)-SUMIFS(TF_Timer,TF_Tekniker,AL$4,TF_Dato,$A916))*2,0)/2)))</f>
        <v/>
      </c>
      <c r="AM916">
        <f>IF(OR(AM$4="",$A916&gt;TODAY()),0,IF(OR(INDEX($B916:$D916,AM$5)="F",AND(AM$6&gt;0,$A916&lt;AM$6),AND(AM$7&gt;0,$A916&gt;AM$7)),0,MAX(0,ROUND((INDEX($E916:$G916,AM$5)-SUMIFS(TF_Timer,TF_Tekniker,AM$4,TF_Dato,$A916))*2,0)/2)))</f>
        <v/>
      </c>
      <c r="AN916">
        <f>IF(OR(AN$4="",$A916&gt;TODAY()),0,IF(OR(INDEX($B916:$D916,AN$5)="F",AND(AN$6&gt;0,$A916&lt;AN$6),AND(AN$7&gt;0,$A916&gt;AN$7)),0,MAX(0,ROUND((INDEX($E916:$G916,AN$5)-SUMIFS(TF_Timer,TF_Tekniker,AN$4,TF_Dato,$A916))*2,0)/2)))</f>
        <v/>
      </c>
      <c r="AO916">
        <f>IF(OR(AO$4="",$A916&gt;TODAY()),0,IF(OR(INDEX($B916:$D916,AO$5)="F",AND(AO$6&gt;0,$A916&lt;AO$6),AND(AO$7&gt;0,$A916&gt;AO$7)),0,MAX(0,ROUND((INDEX($E916:$G916,AO$5)-SUMIFS(TF_Timer,TF_Tekniker,AO$4,TF_Dato,$A916))*2,0)/2)))</f>
        <v/>
      </c>
      <c r="AP916">
        <f>IF(OR(AP$4="",$A916&gt;TODAY()),0,IF(OR(INDEX($B916:$D916,AP$5)="F",AND(AP$6&gt;0,$A916&lt;AP$6),AND(AP$7&gt;0,$A916&gt;AP$7)),0,MAX(0,ROUND((INDEX($E916:$G916,AP$5)-SUMIFS(TF_Timer,TF_Tekniker,AP$4,TF_Dato,$A916))*2,0)/2)))</f>
        <v/>
      </c>
      <c r="AQ916">
        <f>IF(OR(AQ$4="",$A916&gt;TODAY()),0,IF(OR(INDEX($B916:$D916,AQ$5)="F",AND(AQ$6&gt;0,$A916&lt;AQ$6),AND(AQ$7&gt;0,$A916&gt;AQ$7)),0,MAX(0,ROUND((INDEX($E916:$G916,AQ$5)-SUMIFS(TF_Timer,TF_Tekniker,AQ$4,TF_Dato,$A916))*2,0)/2)))</f>
        <v/>
      </c>
      <c r="AR916">
        <f>IF(OR(AR$4="",$A916&gt;TODAY()),0,IF(OR(INDEX($B916:$D916,AR$5)="F",AND(AR$6&gt;0,$A916&lt;AR$6),AND(AR$7&gt;0,$A916&gt;AR$7)),0,MAX(0,ROUND((INDEX($E916:$G916,AR$5)-SUMIFS(TF_Timer,TF_Tekniker,AR$4,TF_Dato,$A916))*2,0)/2)))</f>
        <v/>
      </c>
      <c r="AS916">
        <f>IF(OR(AS$4="",$A916&gt;TODAY()),0,IF(OR(INDEX($B916:$D916,AS$5)="F",AND(AS$6&gt;0,$A916&lt;AS$6),AND(AS$7&gt;0,$A916&gt;AS$7)),0,MAX(0,ROUND((INDEX($E916:$G916,AS$5)-SUMIFS(TF_Timer,TF_Tekniker,AS$4,TF_Dato,$A916))*2,0)/2)))</f>
        <v/>
      </c>
      <c r="AT916">
        <f>IF(OR(AT$4="",$A916&gt;TODAY()),0,IF(OR(INDEX($B916:$D916,AT$5)="F",AND(AT$6&gt;0,$A916&lt;AT$6),AND(AT$7&gt;0,$A916&gt;AT$7)),0,MAX(0,ROUND((INDEX($E916:$G916,AT$5)-SUMIFS(TF_Timer,TF_Tekniker,AT$4,TF_Dato,$A916))*2,0)/2)))</f>
        <v/>
      </c>
      <c r="AU916">
        <f>IF(OR(AU$4="",$A916&gt;TODAY()),0,IF(OR(INDEX($B916:$D916,AU$5)="F",AND(AU$6&gt;0,$A916&lt;AU$6),AND(AU$7&gt;0,$A916&gt;AU$7)),0,MAX(0,ROUND((INDEX($E916:$G916,AU$5)-SUMIFS(TF_Timer,TF_Tekniker,AU$4,TF_Dato,$A916))*2,0)/2)))</f>
        <v/>
      </c>
      <c r="AV916">
        <f>IF(OR(AV$4="",$A916&gt;TODAY()),0,IF(OR(INDEX($B916:$D916,AV$5)="F",AND(AV$6&gt;0,$A916&lt;AV$6),AND(AV$7&gt;0,$A916&gt;AV$7)),0,MAX(0,ROUND((INDEX($E916:$G916,AV$5)-SUMIFS(TF_Timer,TF_Tekniker,AV$4,TF_Dato,$A916))*2,0)/2)))</f>
        <v/>
      </c>
      <c r="AW916">
        <f>IF(OR(AW$4="",$A916&gt;TODAY()),0,IF(OR(INDEX($B916:$D916,AW$5)="F",AND(AW$6&gt;0,$A916&lt;AW$6),AND(AW$7&gt;0,$A916&gt;AW$7)),0,MAX(0,ROUND((INDEX($E916:$G916,AW$5)-SUMIFS(TF_Timer,TF_Tekniker,AW$4,TF_Dato,$A916))*2,0)/2)))</f>
        <v/>
      </c>
      <c r="AX916">
        <f>IF(OR(AX$4="",$A916&gt;TODAY()),0,IF(OR(INDEX($B916:$D916,AX$5)="F",AND(AX$6&gt;0,$A916&lt;AX$6),AND(AX$7&gt;0,$A916&gt;AX$7)),0,MAX(0,ROUND((INDEX($E916:$G916,AX$5)-SUMIFS(TF_Timer,TF_Tekniker,AX$4,TF_Dato,$A916))*2,0)/2)))</f>
        <v/>
      </c>
      <c r="AY916">
        <f>IF(OR(AY$4="",$A916&gt;TODAY()),0,IF(OR(INDEX($B916:$D916,AY$5)="F",AND(AY$6&gt;0,$A916&lt;AY$6),AND(AY$7&gt;0,$A916&gt;AY$7)),0,MAX(0,ROUND((INDEX($E916:$G916,AY$5)-SUMIFS(TF_Timer,TF_Tekniker,AY$4,TF_Dato,$A916))*2,0)/2)))</f>
        <v/>
      </c>
      <c r="AZ916">
        <f>IF(OR(AZ$4="",$A916&gt;TODAY()),0,IF(OR(INDEX($B916:$D916,AZ$5)="F",AND(AZ$6&gt;0,$A916&lt;AZ$6),AND(AZ$7&gt;0,$A916&gt;AZ$7)),0,MAX(0,ROUND((INDEX($E916:$G916,AZ$5)-SUMIFS(TF_Timer,TF_Tekniker,AZ$4,TF_Dato,$A916))*2,0)/2)))</f>
        <v/>
      </c>
      <c r="BA916">
        <f>IF(OR(BA$4="",$A916&gt;TODAY()),0,IF(OR(INDEX($B916:$D916,BA$5)="F",AND(BA$6&gt;0,$A916&lt;BA$6),AND(BA$7&gt;0,$A916&gt;BA$7)),0,MAX(0,ROUND((INDEX($E916:$G916,BA$5)-SUMIFS(TF_Timer,TF_Tekniker,BA$4,TF_Dato,$A916))*2,0)/2)))</f>
        <v/>
      </c>
      <c r="BB916">
        <f>IF(OR(BB$4="",$A916&gt;TODAY()),0,IF(OR(INDEX($B916:$D916,BB$5)="F",AND(BB$6&gt;0,$A916&lt;BB$6),AND(BB$7&gt;0,$A916&gt;BB$7)),0,MAX(0,ROUND((INDEX($E916:$G916,BB$5)-SUMIFS(TF_Timer,TF_Tekniker,BB$4,TF_Dato,$A916))*2,0)/2)))</f>
        <v/>
      </c>
      <c r="BC916">
        <f>IF(OR(BC$4="",$A916&gt;TODAY()),0,IF(OR(INDEX($B916:$D916,BC$5)="F",AND(BC$6&gt;0,$A916&lt;BC$6),AND(BC$7&gt;0,$A916&gt;BC$7)),0,MAX(0,ROUND((INDEX($E916:$G916,BC$5)-SUMIFS(TF_Timer,TF_Tekniker,BC$4,TF_Dato,$A916))*2,0)/2)))</f>
        <v/>
      </c>
      <c r="BD916">
        <f>IF(OR(BD$4="",$A916&gt;TODAY()),0,IF(OR(INDEX($B916:$D916,BD$5)="F",AND(BD$6&gt;0,$A916&lt;BD$6),AND(BD$7&gt;0,$A916&gt;BD$7)),0,MAX(0,ROUND((INDEX($E916:$G916,BD$5)-SUMIFS(TF_Timer,TF_Tekniker,BD$4,TF_Dato,$A916))*2,0)/2)))</f>
        <v/>
      </c>
      <c r="BE916">
        <f>IF(OR(BE$4="",$A916&gt;TODAY()),0,IF(OR(INDEX($B916:$D916,BE$5)="F",AND(BE$6&gt;0,$A916&lt;BE$6),AND(BE$7&gt;0,$A916&gt;BE$7)),0,MAX(0,ROUND((INDEX($E916:$G916,BE$5)-SUMIFS(TF_Timer,TF_Tekniker,BE$4,TF_Dato,$A916))*2,0)/2)))</f>
        <v/>
      </c>
      <c r="BF916">
        <f>IF(OR(BF$4="",$A916&gt;TODAY()),0,IF(OR(INDEX($B916:$D916,BF$5)="F",AND(BF$6&gt;0,$A916&lt;BF$6),AND(BF$7&gt;0,$A916&gt;BF$7)),0,MAX(0,ROUND((INDEX($E916:$G916,BF$5)-SUMIFS(TF_Timer,TF_Tekniker,BF$4,TF_Dato,$A916))*2,0)/2)))</f>
        <v/>
      </c>
      <c r="BG916">
        <f>IF(OR(BG$4="",$A916&gt;TODAY()),0,IF(OR(INDEX($B916:$D916,BG$5)="F",AND(BG$6&gt;0,$A916&lt;BG$6),AND(BG$7&gt;0,$A916&gt;BG$7)),0,MAX(0,ROUND((INDEX($E916:$G916,BG$5)-SUMIFS(TF_Timer,TF_Tekniker,BG$4,TF_Dato,$A916))*2,0)/2)))</f>
        <v/>
      </c>
      <c r="BH916">
        <f>IF(OR(BH$4="",$A916&gt;TODAY()),0,IF(OR(INDEX($B916:$D916,BH$5)="F",AND(BH$6&gt;0,$A916&lt;BH$6),AND(BH$7&gt;0,$A916&gt;BH$7)),0,MAX(0,ROUND((INDEX($E916:$G916,BH$5)-SUMIFS(TF_Timer,TF_Tekniker,BH$4,TF_Dato,$A916))*2,0)/2)))</f>
        <v/>
      </c>
      <c r="BI916">
        <f>IF(OR(BI$4="",$A916&gt;TODAY()),0,IF(OR(INDEX($B916:$D916,BI$5)="F",AND(BI$6&gt;0,$A916&lt;BI$6),AND(BI$7&gt;0,$A916&gt;BI$7)),0,MAX(0,ROUND((INDEX($E916:$G916,BI$5)-SUMIFS(TF_Timer,TF_Tekniker,BI$4,TF_Dato,$A916))*2,0)/2)))</f>
        <v/>
      </c>
    </row>
    <row r="917">
      <c r="A917" s="64">
        <f>A916+1</f>
        <v/>
      </c>
      <c r="B917">
        <f>IF(MOD($A917-INDEX(SkiftStart,1),Syklus)&lt;DagK,"K",IF(MOD($A917-INDEX(SkiftStart,1),Syklus)&lt;DagK+DagH,"H",IF(MOD($A917-INDEX(SkiftStart,1),Syklus)&lt;DagK+DagH+DagD,"D","F")))</f>
        <v/>
      </c>
      <c r="C917">
        <f>IF(MOD($A917-INDEX(SkiftStart,2),Syklus)&lt;DagK,"K",IF(MOD($A917-INDEX(SkiftStart,2),Syklus)&lt;DagK+DagH,"H",IF(MOD($A917-INDEX(SkiftStart,2),Syklus)&lt;DagK+DagH+DagD,"D","F")))</f>
        <v/>
      </c>
      <c r="D917">
        <f>IF(MOD($A917-INDEX(SkiftStart,3),Syklus)&lt;DagK,"K",IF(MOD($A917-INDEX(SkiftStart,3),Syklus)&lt;DagK+DagH,"H",IF(MOD($A917-INDEX(SkiftStart,3),Syklus)&lt;DagK+DagH+DagD,"D","F")))</f>
        <v/>
      </c>
      <c r="E917">
        <f>IF(B917="F",0,IF(WEEKDAY($A917,2)=5,INDEX(TimerFr,MATCH(B917,FaseKode,0)),INDEX(TimerMT,MATCH(B917,FaseKode,0))))</f>
        <v/>
      </c>
      <c r="F917">
        <f>IF(C917="F",0,IF(WEEKDAY($A917,2)=5,INDEX(TimerFr,MATCH(C917,FaseKode,0)),INDEX(TimerMT,MATCH(C917,FaseKode,0))))</f>
        <v/>
      </c>
      <c r="G917">
        <f>IF(D917="F",0,IF(WEEKDAY($A917,2)=5,INDEX(TimerFr,MATCH(D917,FaseKode,0)),INDEX(TimerMT,MATCH(D917,FaseKode,0))))</f>
        <v/>
      </c>
      <c r="H917">
        <f>IF(OR(H$4="",$A917&gt;TODAY()),0,IF(OR(INDEX($B917:$D917,H$5)="F",AND(H$6&gt;0,$A917&lt;H$6),AND(H$7&gt;0,$A917&gt;H$7)),0,MAX(0,ROUND((INDEX($E917:$G917,H$5)-SUMIFS(TF_Timer,TF_Tekniker,H$4,TF_Dato,$A917))*2,0)/2)))</f>
        <v/>
      </c>
      <c r="I917">
        <f>IF(OR(I$4="",$A917&gt;TODAY()),0,IF(OR(INDEX($B917:$D917,I$5)="F",AND(I$6&gt;0,$A917&lt;I$6),AND(I$7&gt;0,$A917&gt;I$7)),0,MAX(0,ROUND((INDEX($E917:$G917,I$5)-SUMIFS(TF_Timer,TF_Tekniker,I$4,TF_Dato,$A917))*2,0)/2)))</f>
        <v/>
      </c>
      <c r="J917">
        <f>IF(OR(J$4="",$A917&gt;TODAY()),0,IF(OR(INDEX($B917:$D917,J$5)="F",AND(J$6&gt;0,$A917&lt;J$6),AND(J$7&gt;0,$A917&gt;J$7)),0,MAX(0,ROUND((INDEX($E917:$G917,J$5)-SUMIFS(TF_Timer,TF_Tekniker,J$4,TF_Dato,$A917))*2,0)/2)))</f>
        <v/>
      </c>
      <c r="K917">
        <f>IF(OR(K$4="",$A917&gt;TODAY()),0,IF(OR(INDEX($B917:$D917,K$5)="F",AND(K$6&gt;0,$A917&lt;K$6),AND(K$7&gt;0,$A917&gt;K$7)),0,MAX(0,ROUND((INDEX($E917:$G917,K$5)-SUMIFS(TF_Timer,TF_Tekniker,K$4,TF_Dato,$A917))*2,0)/2)))</f>
        <v/>
      </c>
      <c r="L917">
        <f>IF(OR(L$4="",$A917&gt;TODAY()),0,IF(OR(INDEX($B917:$D917,L$5)="F",AND(L$6&gt;0,$A917&lt;L$6),AND(L$7&gt;0,$A917&gt;L$7)),0,MAX(0,ROUND((INDEX($E917:$G917,L$5)-SUMIFS(TF_Timer,TF_Tekniker,L$4,TF_Dato,$A917))*2,0)/2)))</f>
        <v/>
      </c>
      <c r="M917">
        <f>IF(OR(M$4="",$A917&gt;TODAY()),0,IF(OR(INDEX($B917:$D917,M$5)="F",AND(M$6&gt;0,$A917&lt;M$6),AND(M$7&gt;0,$A917&gt;M$7)),0,MAX(0,ROUND((INDEX($E917:$G917,M$5)-SUMIFS(TF_Timer,TF_Tekniker,M$4,TF_Dato,$A917))*2,0)/2)))</f>
        <v/>
      </c>
      <c r="N917">
        <f>IF(OR(N$4="",$A917&gt;TODAY()),0,IF(OR(INDEX($B917:$D917,N$5)="F",AND(N$6&gt;0,$A917&lt;N$6),AND(N$7&gt;0,$A917&gt;N$7)),0,MAX(0,ROUND((INDEX($E917:$G917,N$5)-SUMIFS(TF_Timer,TF_Tekniker,N$4,TF_Dato,$A917))*2,0)/2)))</f>
        <v/>
      </c>
      <c r="O917">
        <f>IF(OR(O$4="",$A917&gt;TODAY()),0,IF(OR(INDEX($B917:$D917,O$5)="F",AND(O$6&gt;0,$A917&lt;O$6),AND(O$7&gt;0,$A917&gt;O$7)),0,MAX(0,ROUND((INDEX($E917:$G917,O$5)-SUMIFS(TF_Timer,TF_Tekniker,O$4,TF_Dato,$A917))*2,0)/2)))</f>
        <v/>
      </c>
      <c r="P917">
        <f>IF(OR(P$4="",$A917&gt;TODAY()),0,IF(OR(INDEX($B917:$D917,P$5)="F",AND(P$6&gt;0,$A917&lt;P$6),AND(P$7&gt;0,$A917&gt;P$7)),0,MAX(0,ROUND((INDEX($E917:$G917,P$5)-SUMIFS(TF_Timer,TF_Tekniker,P$4,TF_Dato,$A917))*2,0)/2)))</f>
        <v/>
      </c>
      <c r="Q917">
        <f>IF(OR(Q$4="",$A917&gt;TODAY()),0,IF(OR(INDEX($B917:$D917,Q$5)="F",AND(Q$6&gt;0,$A917&lt;Q$6),AND(Q$7&gt;0,$A917&gt;Q$7)),0,MAX(0,ROUND((INDEX($E917:$G917,Q$5)-SUMIFS(TF_Timer,TF_Tekniker,Q$4,TF_Dato,$A917))*2,0)/2)))</f>
        <v/>
      </c>
      <c r="R917">
        <f>IF(OR(R$4="",$A917&gt;TODAY()),0,IF(OR(INDEX($B917:$D917,R$5)="F",AND(R$6&gt;0,$A917&lt;R$6),AND(R$7&gt;0,$A917&gt;R$7)),0,MAX(0,ROUND((INDEX($E917:$G917,R$5)-SUMIFS(TF_Timer,TF_Tekniker,R$4,TF_Dato,$A917))*2,0)/2)))</f>
        <v/>
      </c>
      <c r="S917">
        <f>IF(OR(S$4="",$A917&gt;TODAY()),0,IF(OR(INDEX($B917:$D917,S$5)="F",AND(S$6&gt;0,$A917&lt;S$6),AND(S$7&gt;0,$A917&gt;S$7)),0,MAX(0,ROUND((INDEX($E917:$G917,S$5)-SUMIFS(TF_Timer,TF_Tekniker,S$4,TF_Dato,$A917))*2,0)/2)))</f>
        <v/>
      </c>
      <c r="T917">
        <f>IF(OR(T$4="",$A917&gt;TODAY()),0,IF(OR(INDEX($B917:$D917,T$5)="F",AND(T$6&gt;0,$A917&lt;T$6),AND(T$7&gt;0,$A917&gt;T$7)),0,MAX(0,ROUND((INDEX($E917:$G917,T$5)-SUMIFS(TF_Timer,TF_Tekniker,T$4,TF_Dato,$A917))*2,0)/2)))</f>
        <v/>
      </c>
      <c r="U917">
        <f>IF(OR(U$4="",$A917&gt;TODAY()),0,IF(OR(INDEX($B917:$D917,U$5)="F",AND(U$6&gt;0,$A917&lt;U$6),AND(U$7&gt;0,$A917&gt;U$7)),0,MAX(0,ROUND((INDEX($E917:$G917,U$5)-SUMIFS(TF_Timer,TF_Tekniker,U$4,TF_Dato,$A917))*2,0)/2)))</f>
        <v/>
      </c>
      <c r="V917">
        <f>IF(OR(V$4="",$A917&gt;TODAY()),0,IF(OR(INDEX($B917:$D917,V$5)="F",AND(V$6&gt;0,$A917&lt;V$6),AND(V$7&gt;0,$A917&gt;V$7)),0,MAX(0,ROUND((INDEX($E917:$G917,V$5)-SUMIFS(TF_Timer,TF_Tekniker,V$4,TF_Dato,$A917))*2,0)/2)))</f>
        <v/>
      </c>
      <c r="W917">
        <f>IF(OR(W$4="",$A917&gt;TODAY()),0,IF(OR(INDEX($B917:$D917,W$5)="F",AND(W$6&gt;0,$A917&lt;W$6),AND(W$7&gt;0,$A917&gt;W$7)),0,MAX(0,ROUND((INDEX($E917:$G917,W$5)-SUMIFS(TF_Timer,TF_Tekniker,W$4,TF_Dato,$A917))*2,0)/2)))</f>
        <v/>
      </c>
      <c r="X917">
        <f>IF(OR(X$4="",$A917&gt;TODAY()),0,IF(OR(INDEX($B917:$D917,X$5)="F",AND(X$6&gt;0,$A917&lt;X$6),AND(X$7&gt;0,$A917&gt;X$7)),0,MAX(0,ROUND((INDEX($E917:$G917,X$5)-SUMIFS(TF_Timer,TF_Tekniker,X$4,TF_Dato,$A917))*2,0)/2)))</f>
        <v/>
      </c>
      <c r="Y917">
        <f>IF(OR(Y$4="",$A917&gt;TODAY()),0,IF(OR(INDEX($B917:$D917,Y$5)="F",AND(Y$6&gt;0,$A917&lt;Y$6),AND(Y$7&gt;0,$A917&gt;Y$7)),0,MAX(0,ROUND((INDEX($E917:$G917,Y$5)-SUMIFS(TF_Timer,TF_Tekniker,Y$4,TF_Dato,$A917))*2,0)/2)))</f>
        <v/>
      </c>
      <c r="Z917">
        <f>IF(OR(Z$4="",$A917&gt;TODAY()),0,IF(OR(INDEX($B917:$D917,Z$5)="F",AND(Z$6&gt;0,$A917&lt;Z$6),AND(Z$7&gt;0,$A917&gt;Z$7)),0,MAX(0,ROUND((INDEX($E917:$G917,Z$5)-SUMIFS(TF_Timer,TF_Tekniker,Z$4,TF_Dato,$A917))*2,0)/2)))</f>
        <v/>
      </c>
      <c r="AA917">
        <f>IF(OR(AA$4="",$A917&gt;TODAY()),0,IF(OR(INDEX($B917:$D917,AA$5)="F",AND(AA$6&gt;0,$A917&lt;AA$6),AND(AA$7&gt;0,$A917&gt;AA$7)),0,MAX(0,ROUND((INDEX($E917:$G917,AA$5)-SUMIFS(TF_Timer,TF_Tekniker,AA$4,TF_Dato,$A917))*2,0)/2)))</f>
        <v/>
      </c>
      <c r="AB917">
        <f>IF(OR(AB$4="",$A917&gt;TODAY()),0,IF(OR(INDEX($B917:$D917,AB$5)="F",AND(AB$6&gt;0,$A917&lt;AB$6),AND(AB$7&gt;0,$A917&gt;AB$7)),0,MAX(0,ROUND((INDEX($E917:$G917,AB$5)-SUMIFS(TF_Timer,TF_Tekniker,AB$4,TF_Dato,$A917))*2,0)/2)))</f>
        <v/>
      </c>
      <c r="AC917">
        <f>IF(OR(AC$4="",$A917&gt;TODAY()),0,IF(OR(INDEX($B917:$D917,AC$5)="F",AND(AC$6&gt;0,$A917&lt;AC$6),AND(AC$7&gt;0,$A917&gt;AC$7)),0,MAX(0,ROUND((INDEX($E917:$G917,AC$5)-SUMIFS(TF_Timer,TF_Tekniker,AC$4,TF_Dato,$A917))*2,0)/2)))</f>
        <v/>
      </c>
      <c r="AD917">
        <f>IF(OR(AD$4="",$A917&gt;TODAY()),0,IF(OR(INDEX($B917:$D917,AD$5)="F",AND(AD$6&gt;0,$A917&lt;AD$6),AND(AD$7&gt;0,$A917&gt;AD$7)),0,MAX(0,ROUND((INDEX($E917:$G917,AD$5)-SUMIFS(TF_Timer,TF_Tekniker,AD$4,TF_Dato,$A917))*2,0)/2)))</f>
        <v/>
      </c>
      <c r="AE917">
        <f>IF(OR(AE$4="",$A917&gt;TODAY()),0,IF(OR(INDEX($B917:$D917,AE$5)="F",AND(AE$6&gt;0,$A917&lt;AE$6),AND(AE$7&gt;0,$A917&gt;AE$7)),0,MAX(0,ROUND((INDEX($E917:$G917,AE$5)-SUMIFS(TF_Timer,TF_Tekniker,AE$4,TF_Dato,$A917))*2,0)/2)))</f>
        <v/>
      </c>
      <c r="AF917">
        <f>IF(OR(AF$4="",$A917&gt;TODAY()),0,IF(OR(INDEX($B917:$D917,AF$5)="F",AND(AF$6&gt;0,$A917&lt;AF$6),AND(AF$7&gt;0,$A917&gt;AF$7)),0,MAX(0,ROUND((INDEX($E917:$G917,AF$5)-SUMIFS(TF_Timer,TF_Tekniker,AF$4,TF_Dato,$A917))*2,0)/2)))</f>
        <v/>
      </c>
      <c r="AG917">
        <f>IF(OR(AG$4="",$A917&gt;TODAY()),0,IF(OR(INDEX($B917:$D917,AG$5)="F",AND(AG$6&gt;0,$A917&lt;AG$6),AND(AG$7&gt;0,$A917&gt;AG$7)),0,MAX(0,ROUND((INDEX($E917:$G917,AG$5)-SUMIFS(TF_Timer,TF_Tekniker,AG$4,TF_Dato,$A917))*2,0)/2)))</f>
        <v/>
      </c>
      <c r="AH917">
        <f>IF(OR(AH$4="",$A917&gt;TODAY()),0,IF(OR(INDEX($B917:$D917,AH$5)="F",AND(AH$6&gt;0,$A917&lt;AH$6),AND(AH$7&gt;0,$A917&gt;AH$7)),0,MAX(0,ROUND((INDEX($E917:$G917,AH$5)-SUMIFS(TF_Timer,TF_Tekniker,AH$4,TF_Dato,$A917))*2,0)/2)))</f>
        <v/>
      </c>
      <c r="AI917">
        <f>IF(OR(AI$4="",$A917&gt;TODAY()),0,IF(OR(INDEX($B917:$D917,AI$5)="F",AND(AI$6&gt;0,$A917&lt;AI$6),AND(AI$7&gt;0,$A917&gt;AI$7)),0,MAX(0,ROUND((INDEX($E917:$G917,AI$5)-SUMIFS(TF_Timer,TF_Tekniker,AI$4,TF_Dato,$A917))*2,0)/2)))</f>
        <v/>
      </c>
      <c r="AJ917">
        <f>IF(OR(AJ$4="",$A917&gt;TODAY()),0,IF(OR(INDEX($B917:$D917,AJ$5)="F",AND(AJ$6&gt;0,$A917&lt;AJ$6),AND(AJ$7&gt;0,$A917&gt;AJ$7)),0,MAX(0,ROUND((INDEX($E917:$G917,AJ$5)-SUMIFS(TF_Timer,TF_Tekniker,AJ$4,TF_Dato,$A917))*2,0)/2)))</f>
        <v/>
      </c>
      <c r="AK917">
        <f>IF(OR(AK$4="",$A917&gt;TODAY()),0,IF(OR(INDEX($B917:$D917,AK$5)="F",AND(AK$6&gt;0,$A917&lt;AK$6),AND(AK$7&gt;0,$A917&gt;AK$7)),0,MAX(0,ROUND((INDEX($E917:$G917,AK$5)-SUMIFS(TF_Timer,TF_Tekniker,AK$4,TF_Dato,$A917))*2,0)/2)))</f>
        <v/>
      </c>
      <c r="AL917">
        <f>IF(OR(AL$4="",$A917&gt;TODAY()),0,IF(OR(INDEX($B917:$D917,AL$5)="F",AND(AL$6&gt;0,$A917&lt;AL$6),AND(AL$7&gt;0,$A917&gt;AL$7)),0,MAX(0,ROUND((INDEX($E917:$G917,AL$5)-SUMIFS(TF_Timer,TF_Tekniker,AL$4,TF_Dato,$A917))*2,0)/2)))</f>
        <v/>
      </c>
      <c r="AM917">
        <f>IF(OR(AM$4="",$A917&gt;TODAY()),0,IF(OR(INDEX($B917:$D917,AM$5)="F",AND(AM$6&gt;0,$A917&lt;AM$6),AND(AM$7&gt;0,$A917&gt;AM$7)),0,MAX(0,ROUND((INDEX($E917:$G917,AM$5)-SUMIFS(TF_Timer,TF_Tekniker,AM$4,TF_Dato,$A917))*2,0)/2)))</f>
        <v/>
      </c>
      <c r="AN917">
        <f>IF(OR(AN$4="",$A917&gt;TODAY()),0,IF(OR(INDEX($B917:$D917,AN$5)="F",AND(AN$6&gt;0,$A917&lt;AN$6),AND(AN$7&gt;0,$A917&gt;AN$7)),0,MAX(0,ROUND((INDEX($E917:$G917,AN$5)-SUMIFS(TF_Timer,TF_Tekniker,AN$4,TF_Dato,$A917))*2,0)/2)))</f>
        <v/>
      </c>
      <c r="AO917">
        <f>IF(OR(AO$4="",$A917&gt;TODAY()),0,IF(OR(INDEX($B917:$D917,AO$5)="F",AND(AO$6&gt;0,$A917&lt;AO$6),AND(AO$7&gt;0,$A917&gt;AO$7)),0,MAX(0,ROUND((INDEX($E917:$G917,AO$5)-SUMIFS(TF_Timer,TF_Tekniker,AO$4,TF_Dato,$A917))*2,0)/2)))</f>
        <v/>
      </c>
      <c r="AP917">
        <f>IF(OR(AP$4="",$A917&gt;TODAY()),0,IF(OR(INDEX($B917:$D917,AP$5)="F",AND(AP$6&gt;0,$A917&lt;AP$6),AND(AP$7&gt;0,$A917&gt;AP$7)),0,MAX(0,ROUND((INDEX($E917:$G917,AP$5)-SUMIFS(TF_Timer,TF_Tekniker,AP$4,TF_Dato,$A917))*2,0)/2)))</f>
        <v/>
      </c>
      <c r="AQ917">
        <f>IF(OR(AQ$4="",$A917&gt;TODAY()),0,IF(OR(INDEX($B917:$D917,AQ$5)="F",AND(AQ$6&gt;0,$A917&lt;AQ$6),AND(AQ$7&gt;0,$A917&gt;AQ$7)),0,MAX(0,ROUND((INDEX($E917:$G917,AQ$5)-SUMIFS(TF_Timer,TF_Tekniker,AQ$4,TF_Dato,$A917))*2,0)/2)))</f>
        <v/>
      </c>
      <c r="AR917">
        <f>IF(OR(AR$4="",$A917&gt;TODAY()),0,IF(OR(INDEX($B917:$D917,AR$5)="F",AND(AR$6&gt;0,$A917&lt;AR$6),AND(AR$7&gt;0,$A917&gt;AR$7)),0,MAX(0,ROUND((INDEX($E917:$G917,AR$5)-SUMIFS(TF_Timer,TF_Tekniker,AR$4,TF_Dato,$A917))*2,0)/2)))</f>
        <v/>
      </c>
      <c r="AS917">
        <f>IF(OR(AS$4="",$A917&gt;TODAY()),0,IF(OR(INDEX($B917:$D917,AS$5)="F",AND(AS$6&gt;0,$A917&lt;AS$6),AND(AS$7&gt;0,$A917&gt;AS$7)),0,MAX(0,ROUND((INDEX($E917:$G917,AS$5)-SUMIFS(TF_Timer,TF_Tekniker,AS$4,TF_Dato,$A917))*2,0)/2)))</f>
        <v/>
      </c>
      <c r="AT917">
        <f>IF(OR(AT$4="",$A917&gt;TODAY()),0,IF(OR(INDEX($B917:$D917,AT$5)="F",AND(AT$6&gt;0,$A917&lt;AT$6),AND(AT$7&gt;0,$A917&gt;AT$7)),0,MAX(0,ROUND((INDEX($E917:$G917,AT$5)-SUMIFS(TF_Timer,TF_Tekniker,AT$4,TF_Dato,$A917))*2,0)/2)))</f>
        <v/>
      </c>
      <c r="AU917">
        <f>IF(OR(AU$4="",$A917&gt;TODAY()),0,IF(OR(INDEX($B917:$D917,AU$5)="F",AND(AU$6&gt;0,$A917&lt;AU$6),AND(AU$7&gt;0,$A917&gt;AU$7)),0,MAX(0,ROUND((INDEX($E917:$G917,AU$5)-SUMIFS(TF_Timer,TF_Tekniker,AU$4,TF_Dato,$A917))*2,0)/2)))</f>
        <v/>
      </c>
      <c r="AV917">
        <f>IF(OR(AV$4="",$A917&gt;TODAY()),0,IF(OR(INDEX($B917:$D917,AV$5)="F",AND(AV$6&gt;0,$A917&lt;AV$6),AND(AV$7&gt;0,$A917&gt;AV$7)),0,MAX(0,ROUND((INDEX($E917:$G917,AV$5)-SUMIFS(TF_Timer,TF_Tekniker,AV$4,TF_Dato,$A917))*2,0)/2)))</f>
        <v/>
      </c>
      <c r="AW917">
        <f>IF(OR(AW$4="",$A917&gt;TODAY()),0,IF(OR(INDEX($B917:$D917,AW$5)="F",AND(AW$6&gt;0,$A917&lt;AW$6),AND(AW$7&gt;0,$A917&gt;AW$7)),0,MAX(0,ROUND((INDEX($E917:$G917,AW$5)-SUMIFS(TF_Timer,TF_Tekniker,AW$4,TF_Dato,$A917))*2,0)/2)))</f>
        <v/>
      </c>
      <c r="AX917">
        <f>IF(OR(AX$4="",$A917&gt;TODAY()),0,IF(OR(INDEX($B917:$D917,AX$5)="F",AND(AX$6&gt;0,$A917&lt;AX$6),AND(AX$7&gt;0,$A917&gt;AX$7)),0,MAX(0,ROUND((INDEX($E917:$G917,AX$5)-SUMIFS(TF_Timer,TF_Tekniker,AX$4,TF_Dato,$A917))*2,0)/2)))</f>
        <v/>
      </c>
      <c r="AY917">
        <f>IF(OR(AY$4="",$A917&gt;TODAY()),0,IF(OR(INDEX($B917:$D917,AY$5)="F",AND(AY$6&gt;0,$A917&lt;AY$6),AND(AY$7&gt;0,$A917&gt;AY$7)),0,MAX(0,ROUND((INDEX($E917:$G917,AY$5)-SUMIFS(TF_Timer,TF_Tekniker,AY$4,TF_Dato,$A917))*2,0)/2)))</f>
        <v/>
      </c>
      <c r="AZ917">
        <f>IF(OR(AZ$4="",$A917&gt;TODAY()),0,IF(OR(INDEX($B917:$D917,AZ$5)="F",AND(AZ$6&gt;0,$A917&lt;AZ$6),AND(AZ$7&gt;0,$A917&gt;AZ$7)),0,MAX(0,ROUND((INDEX($E917:$G917,AZ$5)-SUMIFS(TF_Timer,TF_Tekniker,AZ$4,TF_Dato,$A917))*2,0)/2)))</f>
        <v/>
      </c>
      <c r="BA917">
        <f>IF(OR(BA$4="",$A917&gt;TODAY()),0,IF(OR(INDEX($B917:$D917,BA$5)="F",AND(BA$6&gt;0,$A917&lt;BA$6),AND(BA$7&gt;0,$A917&gt;BA$7)),0,MAX(0,ROUND((INDEX($E917:$G917,BA$5)-SUMIFS(TF_Timer,TF_Tekniker,BA$4,TF_Dato,$A917))*2,0)/2)))</f>
        <v/>
      </c>
      <c r="BB917">
        <f>IF(OR(BB$4="",$A917&gt;TODAY()),0,IF(OR(INDEX($B917:$D917,BB$5)="F",AND(BB$6&gt;0,$A917&lt;BB$6),AND(BB$7&gt;0,$A917&gt;BB$7)),0,MAX(0,ROUND((INDEX($E917:$G917,BB$5)-SUMIFS(TF_Timer,TF_Tekniker,BB$4,TF_Dato,$A917))*2,0)/2)))</f>
        <v/>
      </c>
      <c r="BC917">
        <f>IF(OR(BC$4="",$A917&gt;TODAY()),0,IF(OR(INDEX($B917:$D917,BC$5)="F",AND(BC$6&gt;0,$A917&lt;BC$6),AND(BC$7&gt;0,$A917&gt;BC$7)),0,MAX(0,ROUND((INDEX($E917:$G917,BC$5)-SUMIFS(TF_Timer,TF_Tekniker,BC$4,TF_Dato,$A917))*2,0)/2)))</f>
        <v/>
      </c>
      <c r="BD917">
        <f>IF(OR(BD$4="",$A917&gt;TODAY()),0,IF(OR(INDEX($B917:$D917,BD$5)="F",AND(BD$6&gt;0,$A917&lt;BD$6),AND(BD$7&gt;0,$A917&gt;BD$7)),0,MAX(0,ROUND((INDEX($E917:$G917,BD$5)-SUMIFS(TF_Timer,TF_Tekniker,BD$4,TF_Dato,$A917))*2,0)/2)))</f>
        <v/>
      </c>
      <c r="BE917">
        <f>IF(OR(BE$4="",$A917&gt;TODAY()),0,IF(OR(INDEX($B917:$D917,BE$5)="F",AND(BE$6&gt;0,$A917&lt;BE$6),AND(BE$7&gt;0,$A917&gt;BE$7)),0,MAX(0,ROUND((INDEX($E917:$G917,BE$5)-SUMIFS(TF_Timer,TF_Tekniker,BE$4,TF_Dato,$A917))*2,0)/2)))</f>
        <v/>
      </c>
      <c r="BF917">
        <f>IF(OR(BF$4="",$A917&gt;TODAY()),0,IF(OR(INDEX($B917:$D917,BF$5)="F",AND(BF$6&gt;0,$A917&lt;BF$6),AND(BF$7&gt;0,$A917&gt;BF$7)),0,MAX(0,ROUND((INDEX($E917:$G917,BF$5)-SUMIFS(TF_Timer,TF_Tekniker,BF$4,TF_Dato,$A917))*2,0)/2)))</f>
        <v/>
      </c>
      <c r="BG917">
        <f>IF(OR(BG$4="",$A917&gt;TODAY()),0,IF(OR(INDEX($B917:$D917,BG$5)="F",AND(BG$6&gt;0,$A917&lt;BG$6),AND(BG$7&gt;0,$A917&gt;BG$7)),0,MAX(0,ROUND((INDEX($E917:$G917,BG$5)-SUMIFS(TF_Timer,TF_Tekniker,BG$4,TF_Dato,$A917))*2,0)/2)))</f>
        <v/>
      </c>
      <c r="BH917">
        <f>IF(OR(BH$4="",$A917&gt;TODAY()),0,IF(OR(INDEX($B917:$D917,BH$5)="F",AND(BH$6&gt;0,$A917&lt;BH$6),AND(BH$7&gt;0,$A917&gt;BH$7)),0,MAX(0,ROUND((INDEX($E917:$G917,BH$5)-SUMIFS(TF_Timer,TF_Tekniker,BH$4,TF_Dato,$A917))*2,0)/2)))</f>
        <v/>
      </c>
      <c r="BI917">
        <f>IF(OR(BI$4="",$A917&gt;TODAY()),0,IF(OR(INDEX($B917:$D917,BI$5)="F",AND(BI$6&gt;0,$A917&lt;BI$6),AND(BI$7&gt;0,$A917&gt;BI$7)),0,MAX(0,ROUND((INDEX($E917:$G917,BI$5)-SUMIFS(TF_Timer,TF_Tekniker,BI$4,TF_Dato,$A917))*2,0)/2)))</f>
        <v/>
      </c>
    </row>
    <row r="918">
      <c r="A918" s="64">
        <f>A917+1</f>
        <v/>
      </c>
      <c r="B918">
        <f>IF(MOD($A918-INDEX(SkiftStart,1),Syklus)&lt;DagK,"K",IF(MOD($A918-INDEX(SkiftStart,1),Syklus)&lt;DagK+DagH,"H",IF(MOD($A918-INDEX(SkiftStart,1),Syklus)&lt;DagK+DagH+DagD,"D","F")))</f>
        <v/>
      </c>
      <c r="C918">
        <f>IF(MOD($A918-INDEX(SkiftStart,2),Syklus)&lt;DagK,"K",IF(MOD($A918-INDEX(SkiftStart,2),Syklus)&lt;DagK+DagH,"H",IF(MOD($A918-INDEX(SkiftStart,2),Syklus)&lt;DagK+DagH+DagD,"D","F")))</f>
        <v/>
      </c>
      <c r="D918">
        <f>IF(MOD($A918-INDEX(SkiftStart,3),Syklus)&lt;DagK,"K",IF(MOD($A918-INDEX(SkiftStart,3),Syklus)&lt;DagK+DagH,"H",IF(MOD($A918-INDEX(SkiftStart,3),Syklus)&lt;DagK+DagH+DagD,"D","F")))</f>
        <v/>
      </c>
      <c r="E918">
        <f>IF(B918="F",0,IF(WEEKDAY($A918,2)=5,INDEX(TimerFr,MATCH(B918,FaseKode,0)),INDEX(TimerMT,MATCH(B918,FaseKode,0))))</f>
        <v/>
      </c>
      <c r="F918">
        <f>IF(C918="F",0,IF(WEEKDAY($A918,2)=5,INDEX(TimerFr,MATCH(C918,FaseKode,0)),INDEX(TimerMT,MATCH(C918,FaseKode,0))))</f>
        <v/>
      </c>
      <c r="G918">
        <f>IF(D918="F",0,IF(WEEKDAY($A918,2)=5,INDEX(TimerFr,MATCH(D918,FaseKode,0)),INDEX(TimerMT,MATCH(D918,FaseKode,0))))</f>
        <v/>
      </c>
      <c r="H918">
        <f>IF(OR(H$4="",$A918&gt;TODAY()),0,IF(OR(INDEX($B918:$D918,H$5)="F",AND(H$6&gt;0,$A918&lt;H$6),AND(H$7&gt;0,$A918&gt;H$7)),0,MAX(0,ROUND((INDEX($E918:$G918,H$5)-SUMIFS(TF_Timer,TF_Tekniker,H$4,TF_Dato,$A918))*2,0)/2)))</f>
        <v/>
      </c>
      <c r="I918">
        <f>IF(OR(I$4="",$A918&gt;TODAY()),0,IF(OR(INDEX($B918:$D918,I$5)="F",AND(I$6&gt;0,$A918&lt;I$6),AND(I$7&gt;0,$A918&gt;I$7)),0,MAX(0,ROUND((INDEX($E918:$G918,I$5)-SUMIFS(TF_Timer,TF_Tekniker,I$4,TF_Dato,$A918))*2,0)/2)))</f>
        <v/>
      </c>
      <c r="J918">
        <f>IF(OR(J$4="",$A918&gt;TODAY()),0,IF(OR(INDEX($B918:$D918,J$5)="F",AND(J$6&gt;0,$A918&lt;J$6),AND(J$7&gt;0,$A918&gt;J$7)),0,MAX(0,ROUND((INDEX($E918:$G918,J$5)-SUMIFS(TF_Timer,TF_Tekniker,J$4,TF_Dato,$A918))*2,0)/2)))</f>
        <v/>
      </c>
      <c r="K918">
        <f>IF(OR(K$4="",$A918&gt;TODAY()),0,IF(OR(INDEX($B918:$D918,K$5)="F",AND(K$6&gt;0,$A918&lt;K$6),AND(K$7&gt;0,$A918&gt;K$7)),0,MAX(0,ROUND((INDEX($E918:$G918,K$5)-SUMIFS(TF_Timer,TF_Tekniker,K$4,TF_Dato,$A918))*2,0)/2)))</f>
        <v/>
      </c>
      <c r="L918">
        <f>IF(OR(L$4="",$A918&gt;TODAY()),0,IF(OR(INDEX($B918:$D918,L$5)="F",AND(L$6&gt;0,$A918&lt;L$6),AND(L$7&gt;0,$A918&gt;L$7)),0,MAX(0,ROUND((INDEX($E918:$G918,L$5)-SUMIFS(TF_Timer,TF_Tekniker,L$4,TF_Dato,$A918))*2,0)/2)))</f>
        <v/>
      </c>
      <c r="M918">
        <f>IF(OR(M$4="",$A918&gt;TODAY()),0,IF(OR(INDEX($B918:$D918,M$5)="F",AND(M$6&gt;0,$A918&lt;M$6),AND(M$7&gt;0,$A918&gt;M$7)),0,MAX(0,ROUND((INDEX($E918:$G918,M$5)-SUMIFS(TF_Timer,TF_Tekniker,M$4,TF_Dato,$A918))*2,0)/2)))</f>
        <v/>
      </c>
      <c r="N918">
        <f>IF(OR(N$4="",$A918&gt;TODAY()),0,IF(OR(INDEX($B918:$D918,N$5)="F",AND(N$6&gt;0,$A918&lt;N$6),AND(N$7&gt;0,$A918&gt;N$7)),0,MAX(0,ROUND((INDEX($E918:$G918,N$5)-SUMIFS(TF_Timer,TF_Tekniker,N$4,TF_Dato,$A918))*2,0)/2)))</f>
        <v/>
      </c>
      <c r="O918">
        <f>IF(OR(O$4="",$A918&gt;TODAY()),0,IF(OR(INDEX($B918:$D918,O$5)="F",AND(O$6&gt;0,$A918&lt;O$6),AND(O$7&gt;0,$A918&gt;O$7)),0,MAX(0,ROUND((INDEX($E918:$G918,O$5)-SUMIFS(TF_Timer,TF_Tekniker,O$4,TF_Dato,$A918))*2,0)/2)))</f>
        <v/>
      </c>
      <c r="P918">
        <f>IF(OR(P$4="",$A918&gt;TODAY()),0,IF(OR(INDEX($B918:$D918,P$5)="F",AND(P$6&gt;0,$A918&lt;P$6),AND(P$7&gt;0,$A918&gt;P$7)),0,MAX(0,ROUND((INDEX($E918:$G918,P$5)-SUMIFS(TF_Timer,TF_Tekniker,P$4,TF_Dato,$A918))*2,0)/2)))</f>
        <v/>
      </c>
      <c r="Q918">
        <f>IF(OR(Q$4="",$A918&gt;TODAY()),0,IF(OR(INDEX($B918:$D918,Q$5)="F",AND(Q$6&gt;0,$A918&lt;Q$6),AND(Q$7&gt;0,$A918&gt;Q$7)),0,MAX(0,ROUND((INDEX($E918:$G918,Q$5)-SUMIFS(TF_Timer,TF_Tekniker,Q$4,TF_Dato,$A918))*2,0)/2)))</f>
        <v/>
      </c>
      <c r="R918">
        <f>IF(OR(R$4="",$A918&gt;TODAY()),0,IF(OR(INDEX($B918:$D918,R$5)="F",AND(R$6&gt;0,$A918&lt;R$6),AND(R$7&gt;0,$A918&gt;R$7)),0,MAX(0,ROUND((INDEX($E918:$G918,R$5)-SUMIFS(TF_Timer,TF_Tekniker,R$4,TF_Dato,$A918))*2,0)/2)))</f>
        <v/>
      </c>
      <c r="S918">
        <f>IF(OR(S$4="",$A918&gt;TODAY()),0,IF(OR(INDEX($B918:$D918,S$5)="F",AND(S$6&gt;0,$A918&lt;S$6),AND(S$7&gt;0,$A918&gt;S$7)),0,MAX(0,ROUND((INDEX($E918:$G918,S$5)-SUMIFS(TF_Timer,TF_Tekniker,S$4,TF_Dato,$A918))*2,0)/2)))</f>
        <v/>
      </c>
      <c r="T918">
        <f>IF(OR(T$4="",$A918&gt;TODAY()),0,IF(OR(INDEX($B918:$D918,T$5)="F",AND(T$6&gt;0,$A918&lt;T$6),AND(T$7&gt;0,$A918&gt;T$7)),0,MAX(0,ROUND((INDEX($E918:$G918,T$5)-SUMIFS(TF_Timer,TF_Tekniker,T$4,TF_Dato,$A918))*2,0)/2)))</f>
        <v/>
      </c>
      <c r="U918">
        <f>IF(OR(U$4="",$A918&gt;TODAY()),0,IF(OR(INDEX($B918:$D918,U$5)="F",AND(U$6&gt;0,$A918&lt;U$6),AND(U$7&gt;0,$A918&gt;U$7)),0,MAX(0,ROUND((INDEX($E918:$G918,U$5)-SUMIFS(TF_Timer,TF_Tekniker,U$4,TF_Dato,$A918))*2,0)/2)))</f>
        <v/>
      </c>
      <c r="V918">
        <f>IF(OR(V$4="",$A918&gt;TODAY()),0,IF(OR(INDEX($B918:$D918,V$5)="F",AND(V$6&gt;0,$A918&lt;V$6),AND(V$7&gt;0,$A918&gt;V$7)),0,MAX(0,ROUND((INDEX($E918:$G918,V$5)-SUMIFS(TF_Timer,TF_Tekniker,V$4,TF_Dato,$A918))*2,0)/2)))</f>
        <v/>
      </c>
      <c r="W918">
        <f>IF(OR(W$4="",$A918&gt;TODAY()),0,IF(OR(INDEX($B918:$D918,W$5)="F",AND(W$6&gt;0,$A918&lt;W$6),AND(W$7&gt;0,$A918&gt;W$7)),0,MAX(0,ROUND((INDEX($E918:$G918,W$5)-SUMIFS(TF_Timer,TF_Tekniker,W$4,TF_Dato,$A918))*2,0)/2)))</f>
        <v/>
      </c>
      <c r="X918">
        <f>IF(OR(X$4="",$A918&gt;TODAY()),0,IF(OR(INDEX($B918:$D918,X$5)="F",AND(X$6&gt;0,$A918&lt;X$6),AND(X$7&gt;0,$A918&gt;X$7)),0,MAX(0,ROUND((INDEX($E918:$G918,X$5)-SUMIFS(TF_Timer,TF_Tekniker,X$4,TF_Dato,$A918))*2,0)/2)))</f>
        <v/>
      </c>
      <c r="Y918">
        <f>IF(OR(Y$4="",$A918&gt;TODAY()),0,IF(OR(INDEX($B918:$D918,Y$5)="F",AND(Y$6&gt;0,$A918&lt;Y$6),AND(Y$7&gt;0,$A918&gt;Y$7)),0,MAX(0,ROUND((INDEX($E918:$G918,Y$5)-SUMIFS(TF_Timer,TF_Tekniker,Y$4,TF_Dato,$A918))*2,0)/2)))</f>
        <v/>
      </c>
      <c r="Z918">
        <f>IF(OR(Z$4="",$A918&gt;TODAY()),0,IF(OR(INDEX($B918:$D918,Z$5)="F",AND(Z$6&gt;0,$A918&lt;Z$6),AND(Z$7&gt;0,$A918&gt;Z$7)),0,MAX(0,ROUND((INDEX($E918:$G918,Z$5)-SUMIFS(TF_Timer,TF_Tekniker,Z$4,TF_Dato,$A918))*2,0)/2)))</f>
        <v/>
      </c>
      <c r="AA918">
        <f>IF(OR(AA$4="",$A918&gt;TODAY()),0,IF(OR(INDEX($B918:$D918,AA$5)="F",AND(AA$6&gt;0,$A918&lt;AA$6),AND(AA$7&gt;0,$A918&gt;AA$7)),0,MAX(0,ROUND((INDEX($E918:$G918,AA$5)-SUMIFS(TF_Timer,TF_Tekniker,AA$4,TF_Dato,$A918))*2,0)/2)))</f>
        <v/>
      </c>
      <c r="AB918">
        <f>IF(OR(AB$4="",$A918&gt;TODAY()),0,IF(OR(INDEX($B918:$D918,AB$5)="F",AND(AB$6&gt;0,$A918&lt;AB$6),AND(AB$7&gt;0,$A918&gt;AB$7)),0,MAX(0,ROUND((INDEX($E918:$G918,AB$5)-SUMIFS(TF_Timer,TF_Tekniker,AB$4,TF_Dato,$A918))*2,0)/2)))</f>
        <v/>
      </c>
      <c r="AC918">
        <f>IF(OR(AC$4="",$A918&gt;TODAY()),0,IF(OR(INDEX($B918:$D918,AC$5)="F",AND(AC$6&gt;0,$A918&lt;AC$6),AND(AC$7&gt;0,$A918&gt;AC$7)),0,MAX(0,ROUND((INDEX($E918:$G918,AC$5)-SUMIFS(TF_Timer,TF_Tekniker,AC$4,TF_Dato,$A918))*2,0)/2)))</f>
        <v/>
      </c>
      <c r="AD918">
        <f>IF(OR(AD$4="",$A918&gt;TODAY()),0,IF(OR(INDEX($B918:$D918,AD$5)="F",AND(AD$6&gt;0,$A918&lt;AD$6),AND(AD$7&gt;0,$A918&gt;AD$7)),0,MAX(0,ROUND((INDEX($E918:$G918,AD$5)-SUMIFS(TF_Timer,TF_Tekniker,AD$4,TF_Dato,$A918))*2,0)/2)))</f>
        <v/>
      </c>
      <c r="AE918">
        <f>IF(OR(AE$4="",$A918&gt;TODAY()),0,IF(OR(INDEX($B918:$D918,AE$5)="F",AND(AE$6&gt;0,$A918&lt;AE$6),AND(AE$7&gt;0,$A918&gt;AE$7)),0,MAX(0,ROUND((INDEX($E918:$G918,AE$5)-SUMIFS(TF_Timer,TF_Tekniker,AE$4,TF_Dato,$A918))*2,0)/2)))</f>
        <v/>
      </c>
      <c r="AF918">
        <f>IF(OR(AF$4="",$A918&gt;TODAY()),0,IF(OR(INDEX($B918:$D918,AF$5)="F",AND(AF$6&gt;0,$A918&lt;AF$6),AND(AF$7&gt;0,$A918&gt;AF$7)),0,MAX(0,ROUND((INDEX($E918:$G918,AF$5)-SUMIFS(TF_Timer,TF_Tekniker,AF$4,TF_Dato,$A918))*2,0)/2)))</f>
        <v/>
      </c>
      <c r="AG918">
        <f>IF(OR(AG$4="",$A918&gt;TODAY()),0,IF(OR(INDEX($B918:$D918,AG$5)="F",AND(AG$6&gt;0,$A918&lt;AG$6),AND(AG$7&gt;0,$A918&gt;AG$7)),0,MAX(0,ROUND((INDEX($E918:$G918,AG$5)-SUMIFS(TF_Timer,TF_Tekniker,AG$4,TF_Dato,$A918))*2,0)/2)))</f>
        <v/>
      </c>
      <c r="AH918">
        <f>IF(OR(AH$4="",$A918&gt;TODAY()),0,IF(OR(INDEX($B918:$D918,AH$5)="F",AND(AH$6&gt;0,$A918&lt;AH$6),AND(AH$7&gt;0,$A918&gt;AH$7)),0,MAX(0,ROUND((INDEX($E918:$G918,AH$5)-SUMIFS(TF_Timer,TF_Tekniker,AH$4,TF_Dato,$A918))*2,0)/2)))</f>
        <v/>
      </c>
      <c r="AI918">
        <f>IF(OR(AI$4="",$A918&gt;TODAY()),0,IF(OR(INDEX($B918:$D918,AI$5)="F",AND(AI$6&gt;0,$A918&lt;AI$6),AND(AI$7&gt;0,$A918&gt;AI$7)),0,MAX(0,ROUND((INDEX($E918:$G918,AI$5)-SUMIFS(TF_Timer,TF_Tekniker,AI$4,TF_Dato,$A918))*2,0)/2)))</f>
        <v/>
      </c>
      <c r="AJ918">
        <f>IF(OR(AJ$4="",$A918&gt;TODAY()),0,IF(OR(INDEX($B918:$D918,AJ$5)="F",AND(AJ$6&gt;0,$A918&lt;AJ$6),AND(AJ$7&gt;0,$A918&gt;AJ$7)),0,MAX(0,ROUND((INDEX($E918:$G918,AJ$5)-SUMIFS(TF_Timer,TF_Tekniker,AJ$4,TF_Dato,$A918))*2,0)/2)))</f>
        <v/>
      </c>
      <c r="AK918">
        <f>IF(OR(AK$4="",$A918&gt;TODAY()),0,IF(OR(INDEX($B918:$D918,AK$5)="F",AND(AK$6&gt;0,$A918&lt;AK$6),AND(AK$7&gt;0,$A918&gt;AK$7)),0,MAX(0,ROUND((INDEX($E918:$G918,AK$5)-SUMIFS(TF_Timer,TF_Tekniker,AK$4,TF_Dato,$A918))*2,0)/2)))</f>
        <v/>
      </c>
      <c r="AL918">
        <f>IF(OR(AL$4="",$A918&gt;TODAY()),0,IF(OR(INDEX($B918:$D918,AL$5)="F",AND(AL$6&gt;0,$A918&lt;AL$6),AND(AL$7&gt;0,$A918&gt;AL$7)),0,MAX(0,ROUND((INDEX($E918:$G918,AL$5)-SUMIFS(TF_Timer,TF_Tekniker,AL$4,TF_Dato,$A918))*2,0)/2)))</f>
        <v/>
      </c>
      <c r="AM918">
        <f>IF(OR(AM$4="",$A918&gt;TODAY()),0,IF(OR(INDEX($B918:$D918,AM$5)="F",AND(AM$6&gt;0,$A918&lt;AM$6),AND(AM$7&gt;0,$A918&gt;AM$7)),0,MAX(0,ROUND((INDEX($E918:$G918,AM$5)-SUMIFS(TF_Timer,TF_Tekniker,AM$4,TF_Dato,$A918))*2,0)/2)))</f>
        <v/>
      </c>
      <c r="AN918">
        <f>IF(OR(AN$4="",$A918&gt;TODAY()),0,IF(OR(INDEX($B918:$D918,AN$5)="F",AND(AN$6&gt;0,$A918&lt;AN$6),AND(AN$7&gt;0,$A918&gt;AN$7)),0,MAX(0,ROUND((INDEX($E918:$G918,AN$5)-SUMIFS(TF_Timer,TF_Tekniker,AN$4,TF_Dato,$A918))*2,0)/2)))</f>
        <v/>
      </c>
      <c r="AO918">
        <f>IF(OR(AO$4="",$A918&gt;TODAY()),0,IF(OR(INDEX($B918:$D918,AO$5)="F",AND(AO$6&gt;0,$A918&lt;AO$6),AND(AO$7&gt;0,$A918&gt;AO$7)),0,MAX(0,ROUND((INDEX($E918:$G918,AO$5)-SUMIFS(TF_Timer,TF_Tekniker,AO$4,TF_Dato,$A918))*2,0)/2)))</f>
        <v/>
      </c>
      <c r="AP918">
        <f>IF(OR(AP$4="",$A918&gt;TODAY()),0,IF(OR(INDEX($B918:$D918,AP$5)="F",AND(AP$6&gt;0,$A918&lt;AP$6),AND(AP$7&gt;0,$A918&gt;AP$7)),0,MAX(0,ROUND((INDEX($E918:$G918,AP$5)-SUMIFS(TF_Timer,TF_Tekniker,AP$4,TF_Dato,$A918))*2,0)/2)))</f>
        <v/>
      </c>
      <c r="AQ918">
        <f>IF(OR(AQ$4="",$A918&gt;TODAY()),0,IF(OR(INDEX($B918:$D918,AQ$5)="F",AND(AQ$6&gt;0,$A918&lt;AQ$6),AND(AQ$7&gt;0,$A918&gt;AQ$7)),0,MAX(0,ROUND((INDEX($E918:$G918,AQ$5)-SUMIFS(TF_Timer,TF_Tekniker,AQ$4,TF_Dato,$A918))*2,0)/2)))</f>
        <v/>
      </c>
      <c r="AR918">
        <f>IF(OR(AR$4="",$A918&gt;TODAY()),0,IF(OR(INDEX($B918:$D918,AR$5)="F",AND(AR$6&gt;0,$A918&lt;AR$6),AND(AR$7&gt;0,$A918&gt;AR$7)),0,MAX(0,ROUND((INDEX($E918:$G918,AR$5)-SUMIFS(TF_Timer,TF_Tekniker,AR$4,TF_Dato,$A918))*2,0)/2)))</f>
        <v/>
      </c>
      <c r="AS918">
        <f>IF(OR(AS$4="",$A918&gt;TODAY()),0,IF(OR(INDEX($B918:$D918,AS$5)="F",AND(AS$6&gt;0,$A918&lt;AS$6),AND(AS$7&gt;0,$A918&gt;AS$7)),0,MAX(0,ROUND((INDEX($E918:$G918,AS$5)-SUMIFS(TF_Timer,TF_Tekniker,AS$4,TF_Dato,$A918))*2,0)/2)))</f>
        <v/>
      </c>
      <c r="AT918">
        <f>IF(OR(AT$4="",$A918&gt;TODAY()),0,IF(OR(INDEX($B918:$D918,AT$5)="F",AND(AT$6&gt;0,$A918&lt;AT$6),AND(AT$7&gt;0,$A918&gt;AT$7)),0,MAX(0,ROUND((INDEX($E918:$G918,AT$5)-SUMIFS(TF_Timer,TF_Tekniker,AT$4,TF_Dato,$A918))*2,0)/2)))</f>
        <v/>
      </c>
      <c r="AU918">
        <f>IF(OR(AU$4="",$A918&gt;TODAY()),0,IF(OR(INDEX($B918:$D918,AU$5)="F",AND(AU$6&gt;0,$A918&lt;AU$6),AND(AU$7&gt;0,$A918&gt;AU$7)),0,MAX(0,ROUND((INDEX($E918:$G918,AU$5)-SUMIFS(TF_Timer,TF_Tekniker,AU$4,TF_Dato,$A918))*2,0)/2)))</f>
        <v/>
      </c>
      <c r="AV918">
        <f>IF(OR(AV$4="",$A918&gt;TODAY()),0,IF(OR(INDEX($B918:$D918,AV$5)="F",AND(AV$6&gt;0,$A918&lt;AV$6),AND(AV$7&gt;0,$A918&gt;AV$7)),0,MAX(0,ROUND((INDEX($E918:$G918,AV$5)-SUMIFS(TF_Timer,TF_Tekniker,AV$4,TF_Dato,$A918))*2,0)/2)))</f>
        <v/>
      </c>
      <c r="AW918">
        <f>IF(OR(AW$4="",$A918&gt;TODAY()),0,IF(OR(INDEX($B918:$D918,AW$5)="F",AND(AW$6&gt;0,$A918&lt;AW$6),AND(AW$7&gt;0,$A918&gt;AW$7)),0,MAX(0,ROUND((INDEX($E918:$G918,AW$5)-SUMIFS(TF_Timer,TF_Tekniker,AW$4,TF_Dato,$A918))*2,0)/2)))</f>
        <v/>
      </c>
      <c r="AX918">
        <f>IF(OR(AX$4="",$A918&gt;TODAY()),0,IF(OR(INDEX($B918:$D918,AX$5)="F",AND(AX$6&gt;0,$A918&lt;AX$6),AND(AX$7&gt;0,$A918&gt;AX$7)),0,MAX(0,ROUND((INDEX($E918:$G918,AX$5)-SUMIFS(TF_Timer,TF_Tekniker,AX$4,TF_Dato,$A918))*2,0)/2)))</f>
        <v/>
      </c>
      <c r="AY918">
        <f>IF(OR(AY$4="",$A918&gt;TODAY()),0,IF(OR(INDEX($B918:$D918,AY$5)="F",AND(AY$6&gt;0,$A918&lt;AY$6),AND(AY$7&gt;0,$A918&gt;AY$7)),0,MAX(0,ROUND((INDEX($E918:$G918,AY$5)-SUMIFS(TF_Timer,TF_Tekniker,AY$4,TF_Dato,$A918))*2,0)/2)))</f>
        <v/>
      </c>
      <c r="AZ918">
        <f>IF(OR(AZ$4="",$A918&gt;TODAY()),0,IF(OR(INDEX($B918:$D918,AZ$5)="F",AND(AZ$6&gt;0,$A918&lt;AZ$6),AND(AZ$7&gt;0,$A918&gt;AZ$7)),0,MAX(0,ROUND((INDEX($E918:$G918,AZ$5)-SUMIFS(TF_Timer,TF_Tekniker,AZ$4,TF_Dato,$A918))*2,0)/2)))</f>
        <v/>
      </c>
      <c r="BA918">
        <f>IF(OR(BA$4="",$A918&gt;TODAY()),0,IF(OR(INDEX($B918:$D918,BA$5)="F",AND(BA$6&gt;0,$A918&lt;BA$6),AND(BA$7&gt;0,$A918&gt;BA$7)),0,MAX(0,ROUND((INDEX($E918:$G918,BA$5)-SUMIFS(TF_Timer,TF_Tekniker,BA$4,TF_Dato,$A918))*2,0)/2)))</f>
        <v/>
      </c>
      <c r="BB918">
        <f>IF(OR(BB$4="",$A918&gt;TODAY()),0,IF(OR(INDEX($B918:$D918,BB$5)="F",AND(BB$6&gt;0,$A918&lt;BB$6),AND(BB$7&gt;0,$A918&gt;BB$7)),0,MAX(0,ROUND((INDEX($E918:$G918,BB$5)-SUMIFS(TF_Timer,TF_Tekniker,BB$4,TF_Dato,$A918))*2,0)/2)))</f>
        <v/>
      </c>
      <c r="BC918">
        <f>IF(OR(BC$4="",$A918&gt;TODAY()),0,IF(OR(INDEX($B918:$D918,BC$5)="F",AND(BC$6&gt;0,$A918&lt;BC$6),AND(BC$7&gt;0,$A918&gt;BC$7)),0,MAX(0,ROUND((INDEX($E918:$G918,BC$5)-SUMIFS(TF_Timer,TF_Tekniker,BC$4,TF_Dato,$A918))*2,0)/2)))</f>
        <v/>
      </c>
      <c r="BD918">
        <f>IF(OR(BD$4="",$A918&gt;TODAY()),0,IF(OR(INDEX($B918:$D918,BD$5)="F",AND(BD$6&gt;0,$A918&lt;BD$6),AND(BD$7&gt;0,$A918&gt;BD$7)),0,MAX(0,ROUND((INDEX($E918:$G918,BD$5)-SUMIFS(TF_Timer,TF_Tekniker,BD$4,TF_Dato,$A918))*2,0)/2)))</f>
        <v/>
      </c>
      <c r="BE918">
        <f>IF(OR(BE$4="",$A918&gt;TODAY()),0,IF(OR(INDEX($B918:$D918,BE$5)="F",AND(BE$6&gt;0,$A918&lt;BE$6),AND(BE$7&gt;0,$A918&gt;BE$7)),0,MAX(0,ROUND((INDEX($E918:$G918,BE$5)-SUMIFS(TF_Timer,TF_Tekniker,BE$4,TF_Dato,$A918))*2,0)/2)))</f>
        <v/>
      </c>
      <c r="BF918">
        <f>IF(OR(BF$4="",$A918&gt;TODAY()),0,IF(OR(INDEX($B918:$D918,BF$5)="F",AND(BF$6&gt;0,$A918&lt;BF$6),AND(BF$7&gt;0,$A918&gt;BF$7)),0,MAX(0,ROUND((INDEX($E918:$G918,BF$5)-SUMIFS(TF_Timer,TF_Tekniker,BF$4,TF_Dato,$A918))*2,0)/2)))</f>
        <v/>
      </c>
      <c r="BG918">
        <f>IF(OR(BG$4="",$A918&gt;TODAY()),0,IF(OR(INDEX($B918:$D918,BG$5)="F",AND(BG$6&gt;0,$A918&lt;BG$6),AND(BG$7&gt;0,$A918&gt;BG$7)),0,MAX(0,ROUND((INDEX($E918:$G918,BG$5)-SUMIFS(TF_Timer,TF_Tekniker,BG$4,TF_Dato,$A918))*2,0)/2)))</f>
        <v/>
      </c>
      <c r="BH918">
        <f>IF(OR(BH$4="",$A918&gt;TODAY()),0,IF(OR(INDEX($B918:$D918,BH$5)="F",AND(BH$6&gt;0,$A918&lt;BH$6),AND(BH$7&gt;0,$A918&gt;BH$7)),0,MAX(0,ROUND((INDEX($E918:$G918,BH$5)-SUMIFS(TF_Timer,TF_Tekniker,BH$4,TF_Dato,$A918))*2,0)/2)))</f>
        <v/>
      </c>
      <c r="BI918">
        <f>IF(OR(BI$4="",$A918&gt;TODAY()),0,IF(OR(INDEX($B918:$D918,BI$5)="F",AND(BI$6&gt;0,$A918&lt;BI$6),AND(BI$7&gt;0,$A918&gt;BI$7)),0,MAX(0,ROUND((INDEX($E918:$G918,BI$5)-SUMIFS(TF_Timer,TF_Tekniker,BI$4,TF_Dato,$A918))*2,0)/2)))</f>
        <v/>
      </c>
    </row>
    <row r="919">
      <c r="A919" s="64">
        <f>A918+1</f>
        <v/>
      </c>
      <c r="B919">
        <f>IF(MOD($A919-INDEX(SkiftStart,1),Syklus)&lt;DagK,"K",IF(MOD($A919-INDEX(SkiftStart,1),Syklus)&lt;DagK+DagH,"H",IF(MOD($A919-INDEX(SkiftStart,1),Syklus)&lt;DagK+DagH+DagD,"D","F")))</f>
        <v/>
      </c>
      <c r="C919">
        <f>IF(MOD($A919-INDEX(SkiftStart,2),Syklus)&lt;DagK,"K",IF(MOD($A919-INDEX(SkiftStart,2),Syklus)&lt;DagK+DagH,"H",IF(MOD($A919-INDEX(SkiftStart,2),Syklus)&lt;DagK+DagH+DagD,"D","F")))</f>
        <v/>
      </c>
      <c r="D919">
        <f>IF(MOD($A919-INDEX(SkiftStart,3),Syklus)&lt;DagK,"K",IF(MOD($A919-INDEX(SkiftStart,3),Syklus)&lt;DagK+DagH,"H",IF(MOD($A919-INDEX(SkiftStart,3),Syklus)&lt;DagK+DagH+DagD,"D","F")))</f>
        <v/>
      </c>
      <c r="E919">
        <f>IF(B919="F",0,IF(WEEKDAY($A919,2)=5,INDEX(TimerFr,MATCH(B919,FaseKode,0)),INDEX(TimerMT,MATCH(B919,FaseKode,0))))</f>
        <v/>
      </c>
      <c r="F919">
        <f>IF(C919="F",0,IF(WEEKDAY($A919,2)=5,INDEX(TimerFr,MATCH(C919,FaseKode,0)),INDEX(TimerMT,MATCH(C919,FaseKode,0))))</f>
        <v/>
      </c>
      <c r="G919">
        <f>IF(D919="F",0,IF(WEEKDAY($A919,2)=5,INDEX(TimerFr,MATCH(D919,FaseKode,0)),INDEX(TimerMT,MATCH(D919,FaseKode,0))))</f>
        <v/>
      </c>
      <c r="H919">
        <f>IF(OR(H$4="",$A919&gt;TODAY()),0,IF(OR(INDEX($B919:$D919,H$5)="F",AND(H$6&gt;0,$A919&lt;H$6),AND(H$7&gt;0,$A919&gt;H$7)),0,MAX(0,ROUND((INDEX($E919:$G919,H$5)-SUMIFS(TF_Timer,TF_Tekniker,H$4,TF_Dato,$A919))*2,0)/2)))</f>
        <v/>
      </c>
      <c r="I919">
        <f>IF(OR(I$4="",$A919&gt;TODAY()),0,IF(OR(INDEX($B919:$D919,I$5)="F",AND(I$6&gt;0,$A919&lt;I$6),AND(I$7&gt;0,$A919&gt;I$7)),0,MAX(0,ROUND((INDEX($E919:$G919,I$5)-SUMIFS(TF_Timer,TF_Tekniker,I$4,TF_Dato,$A919))*2,0)/2)))</f>
        <v/>
      </c>
      <c r="J919">
        <f>IF(OR(J$4="",$A919&gt;TODAY()),0,IF(OR(INDEX($B919:$D919,J$5)="F",AND(J$6&gt;0,$A919&lt;J$6),AND(J$7&gt;0,$A919&gt;J$7)),0,MAX(0,ROUND((INDEX($E919:$G919,J$5)-SUMIFS(TF_Timer,TF_Tekniker,J$4,TF_Dato,$A919))*2,0)/2)))</f>
        <v/>
      </c>
      <c r="K919">
        <f>IF(OR(K$4="",$A919&gt;TODAY()),0,IF(OR(INDEX($B919:$D919,K$5)="F",AND(K$6&gt;0,$A919&lt;K$6),AND(K$7&gt;0,$A919&gt;K$7)),0,MAX(0,ROUND((INDEX($E919:$G919,K$5)-SUMIFS(TF_Timer,TF_Tekniker,K$4,TF_Dato,$A919))*2,0)/2)))</f>
        <v/>
      </c>
      <c r="L919">
        <f>IF(OR(L$4="",$A919&gt;TODAY()),0,IF(OR(INDEX($B919:$D919,L$5)="F",AND(L$6&gt;0,$A919&lt;L$6),AND(L$7&gt;0,$A919&gt;L$7)),0,MAX(0,ROUND((INDEX($E919:$G919,L$5)-SUMIFS(TF_Timer,TF_Tekniker,L$4,TF_Dato,$A919))*2,0)/2)))</f>
        <v/>
      </c>
      <c r="M919">
        <f>IF(OR(M$4="",$A919&gt;TODAY()),0,IF(OR(INDEX($B919:$D919,M$5)="F",AND(M$6&gt;0,$A919&lt;M$6),AND(M$7&gt;0,$A919&gt;M$7)),0,MAX(0,ROUND((INDEX($E919:$G919,M$5)-SUMIFS(TF_Timer,TF_Tekniker,M$4,TF_Dato,$A919))*2,0)/2)))</f>
        <v/>
      </c>
      <c r="N919">
        <f>IF(OR(N$4="",$A919&gt;TODAY()),0,IF(OR(INDEX($B919:$D919,N$5)="F",AND(N$6&gt;0,$A919&lt;N$6),AND(N$7&gt;0,$A919&gt;N$7)),0,MAX(0,ROUND((INDEX($E919:$G919,N$5)-SUMIFS(TF_Timer,TF_Tekniker,N$4,TF_Dato,$A919))*2,0)/2)))</f>
        <v/>
      </c>
      <c r="O919">
        <f>IF(OR(O$4="",$A919&gt;TODAY()),0,IF(OR(INDEX($B919:$D919,O$5)="F",AND(O$6&gt;0,$A919&lt;O$6),AND(O$7&gt;0,$A919&gt;O$7)),0,MAX(0,ROUND((INDEX($E919:$G919,O$5)-SUMIFS(TF_Timer,TF_Tekniker,O$4,TF_Dato,$A919))*2,0)/2)))</f>
        <v/>
      </c>
      <c r="P919">
        <f>IF(OR(P$4="",$A919&gt;TODAY()),0,IF(OR(INDEX($B919:$D919,P$5)="F",AND(P$6&gt;0,$A919&lt;P$6),AND(P$7&gt;0,$A919&gt;P$7)),0,MAX(0,ROUND((INDEX($E919:$G919,P$5)-SUMIFS(TF_Timer,TF_Tekniker,P$4,TF_Dato,$A919))*2,0)/2)))</f>
        <v/>
      </c>
      <c r="Q919">
        <f>IF(OR(Q$4="",$A919&gt;TODAY()),0,IF(OR(INDEX($B919:$D919,Q$5)="F",AND(Q$6&gt;0,$A919&lt;Q$6),AND(Q$7&gt;0,$A919&gt;Q$7)),0,MAX(0,ROUND((INDEX($E919:$G919,Q$5)-SUMIFS(TF_Timer,TF_Tekniker,Q$4,TF_Dato,$A919))*2,0)/2)))</f>
        <v/>
      </c>
      <c r="R919">
        <f>IF(OR(R$4="",$A919&gt;TODAY()),0,IF(OR(INDEX($B919:$D919,R$5)="F",AND(R$6&gt;0,$A919&lt;R$6),AND(R$7&gt;0,$A919&gt;R$7)),0,MAX(0,ROUND((INDEX($E919:$G919,R$5)-SUMIFS(TF_Timer,TF_Tekniker,R$4,TF_Dato,$A919))*2,0)/2)))</f>
        <v/>
      </c>
      <c r="S919">
        <f>IF(OR(S$4="",$A919&gt;TODAY()),0,IF(OR(INDEX($B919:$D919,S$5)="F",AND(S$6&gt;0,$A919&lt;S$6),AND(S$7&gt;0,$A919&gt;S$7)),0,MAX(0,ROUND((INDEX($E919:$G919,S$5)-SUMIFS(TF_Timer,TF_Tekniker,S$4,TF_Dato,$A919))*2,0)/2)))</f>
        <v/>
      </c>
      <c r="T919">
        <f>IF(OR(T$4="",$A919&gt;TODAY()),0,IF(OR(INDEX($B919:$D919,T$5)="F",AND(T$6&gt;0,$A919&lt;T$6),AND(T$7&gt;0,$A919&gt;T$7)),0,MAX(0,ROUND((INDEX($E919:$G919,T$5)-SUMIFS(TF_Timer,TF_Tekniker,T$4,TF_Dato,$A919))*2,0)/2)))</f>
        <v/>
      </c>
      <c r="U919">
        <f>IF(OR(U$4="",$A919&gt;TODAY()),0,IF(OR(INDEX($B919:$D919,U$5)="F",AND(U$6&gt;0,$A919&lt;U$6),AND(U$7&gt;0,$A919&gt;U$7)),0,MAX(0,ROUND((INDEX($E919:$G919,U$5)-SUMIFS(TF_Timer,TF_Tekniker,U$4,TF_Dato,$A919))*2,0)/2)))</f>
        <v/>
      </c>
      <c r="V919">
        <f>IF(OR(V$4="",$A919&gt;TODAY()),0,IF(OR(INDEX($B919:$D919,V$5)="F",AND(V$6&gt;0,$A919&lt;V$6),AND(V$7&gt;0,$A919&gt;V$7)),0,MAX(0,ROUND((INDEX($E919:$G919,V$5)-SUMIFS(TF_Timer,TF_Tekniker,V$4,TF_Dato,$A919))*2,0)/2)))</f>
        <v/>
      </c>
      <c r="W919">
        <f>IF(OR(W$4="",$A919&gt;TODAY()),0,IF(OR(INDEX($B919:$D919,W$5)="F",AND(W$6&gt;0,$A919&lt;W$6),AND(W$7&gt;0,$A919&gt;W$7)),0,MAX(0,ROUND((INDEX($E919:$G919,W$5)-SUMIFS(TF_Timer,TF_Tekniker,W$4,TF_Dato,$A919))*2,0)/2)))</f>
        <v/>
      </c>
      <c r="X919">
        <f>IF(OR(X$4="",$A919&gt;TODAY()),0,IF(OR(INDEX($B919:$D919,X$5)="F",AND(X$6&gt;0,$A919&lt;X$6),AND(X$7&gt;0,$A919&gt;X$7)),0,MAX(0,ROUND((INDEX($E919:$G919,X$5)-SUMIFS(TF_Timer,TF_Tekniker,X$4,TF_Dato,$A919))*2,0)/2)))</f>
        <v/>
      </c>
      <c r="Y919">
        <f>IF(OR(Y$4="",$A919&gt;TODAY()),0,IF(OR(INDEX($B919:$D919,Y$5)="F",AND(Y$6&gt;0,$A919&lt;Y$6),AND(Y$7&gt;0,$A919&gt;Y$7)),0,MAX(0,ROUND((INDEX($E919:$G919,Y$5)-SUMIFS(TF_Timer,TF_Tekniker,Y$4,TF_Dato,$A919))*2,0)/2)))</f>
        <v/>
      </c>
      <c r="Z919">
        <f>IF(OR(Z$4="",$A919&gt;TODAY()),0,IF(OR(INDEX($B919:$D919,Z$5)="F",AND(Z$6&gt;0,$A919&lt;Z$6),AND(Z$7&gt;0,$A919&gt;Z$7)),0,MAX(0,ROUND((INDEX($E919:$G919,Z$5)-SUMIFS(TF_Timer,TF_Tekniker,Z$4,TF_Dato,$A919))*2,0)/2)))</f>
        <v/>
      </c>
      <c r="AA919">
        <f>IF(OR(AA$4="",$A919&gt;TODAY()),0,IF(OR(INDEX($B919:$D919,AA$5)="F",AND(AA$6&gt;0,$A919&lt;AA$6),AND(AA$7&gt;0,$A919&gt;AA$7)),0,MAX(0,ROUND((INDEX($E919:$G919,AA$5)-SUMIFS(TF_Timer,TF_Tekniker,AA$4,TF_Dato,$A919))*2,0)/2)))</f>
        <v/>
      </c>
      <c r="AB919">
        <f>IF(OR(AB$4="",$A919&gt;TODAY()),0,IF(OR(INDEX($B919:$D919,AB$5)="F",AND(AB$6&gt;0,$A919&lt;AB$6),AND(AB$7&gt;0,$A919&gt;AB$7)),0,MAX(0,ROUND((INDEX($E919:$G919,AB$5)-SUMIFS(TF_Timer,TF_Tekniker,AB$4,TF_Dato,$A919))*2,0)/2)))</f>
        <v/>
      </c>
      <c r="AC919">
        <f>IF(OR(AC$4="",$A919&gt;TODAY()),0,IF(OR(INDEX($B919:$D919,AC$5)="F",AND(AC$6&gt;0,$A919&lt;AC$6),AND(AC$7&gt;0,$A919&gt;AC$7)),0,MAX(0,ROUND((INDEX($E919:$G919,AC$5)-SUMIFS(TF_Timer,TF_Tekniker,AC$4,TF_Dato,$A919))*2,0)/2)))</f>
        <v/>
      </c>
      <c r="AD919">
        <f>IF(OR(AD$4="",$A919&gt;TODAY()),0,IF(OR(INDEX($B919:$D919,AD$5)="F",AND(AD$6&gt;0,$A919&lt;AD$6),AND(AD$7&gt;0,$A919&gt;AD$7)),0,MAX(0,ROUND((INDEX($E919:$G919,AD$5)-SUMIFS(TF_Timer,TF_Tekniker,AD$4,TF_Dato,$A919))*2,0)/2)))</f>
        <v/>
      </c>
      <c r="AE919">
        <f>IF(OR(AE$4="",$A919&gt;TODAY()),0,IF(OR(INDEX($B919:$D919,AE$5)="F",AND(AE$6&gt;0,$A919&lt;AE$6),AND(AE$7&gt;0,$A919&gt;AE$7)),0,MAX(0,ROUND((INDEX($E919:$G919,AE$5)-SUMIFS(TF_Timer,TF_Tekniker,AE$4,TF_Dato,$A919))*2,0)/2)))</f>
        <v/>
      </c>
      <c r="AF919">
        <f>IF(OR(AF$4="",$A919&gt;TODAY()),0,IF(OR(INDEX($B919:$D919,AF$5)="F",AND(AF$6&gt;0,$A919&lt;AF$6),AND(AF$7&gt;0,$A919&gt;AF$7)),0,MAX(0,ROUND((INDEX($E919:$G919,AF$5)-SUMIFS(TF_Timer,TF_Tekniker,AF$4,TF_Dato,$A919))*2,0)/2)))</f>
        <v/>
      </c>
      <c r="AG919">
        <f>IF(OR(AG$4="",$A919&gt;TODAY()),0,IF(OR(INDEX($B919:$D919,AG$5)="F",AND(AG$6&gt;0,$A919&lt;AG$6),AND(AG$7&gt;0,$A919&gt;AG$7)),0,MAX(0,ROUND((INDEX($E919:$G919,AG$5)-SUMIFS(TF_Timer,TF_Tekniker,AG$4,TF_Dato,$A919))*2,0)/2)))</f>
        <v/>
      </c>
      <c r="AH919">
        <f>IF(OR(AH$4="",$A919&gt;TODAY()),0,IF(OR(INDEX($B919:$D919,AH$5)="F",AND(AH$6&gt;0,$A919&lt;AH$6),AND(AH$7&gt;0,$A919&gt;AH$7)),0,MAX(0,ROUND((INDEX($E919:$G919,AH$5)-SUMIFS(TF_Timer,TF_Tekniker,AH$4,TF_Dato,$A919))*2,0)/2)))</f>
        <v/>
      </c>
      <c r="AI919">
        <f>IF(OR(AI$4="",$A919&gt;TODAY()),0,IF(OR(INDEX($B919:$D919,AI$5)="F",AND(AI$6&gt;0,$A919&lt;AI$6),AND(AI$7&gt;0,$A919&gt;AI$7)),0,MAX(0,ROUND((INDEX($E919:$G919,AI$5)-SUMIFS(TF_Timer,TF_Tekniker,AI$4,TF_Dato,$A919))*2,0)/2)))</f>
        <v/>
      </c>
      <c r="AJ919">
        <f>IF(OR(AJ$4="",$A919&gt;TODAY()),0,IF(OR(INDEX($B919:$D919,AJ$5)="F",AND(AJ$6&gt;0,$A919&lt;AJ$6),AND(AJ$7&gt;0,$A919&gt;AJ$7)),0,MAX(0,ROUND((INDEX($E919:$G919,AJ$5)-SUMIFS(TF_Timer,TF_Tekniker,AJ$4,TF_Dato,$A919))*2,0)/2)))</f>
        <v/>
      </c>
      <c r="AK919">
        <f>IF(OR(AK$4="",$A919&gt;TODAY()),0,IF(OR(INDEX($B919:$D919,AK$5)="F",AND(AK$6&gt;0,$A919&lt;AK$6),AND(AK$7&gt;0,$A919&gt;AK$7)),0,MAX(0,ROUND((INDEX($E919:$G919,AK$5)-SUMIFS(TF_Timer,TF_Tekniker,AK$4,TF_Dato,$A919))*2,0)/2)))</f>
        <v/>
      </c>
      <c r="AL919">
        <f>IF(OR(AL$4="",$A919&gt;TODAY()),0,IF(OR(INDEX($B919:$D919,AL$5)="F",AND(AL$6&gt;0,$A919&lt;AL$6),AND(AL$7&gt;0,$A919&gt;AL$7)),0,MAX(0,ROUND((INDEX($E919:$G919,AL$5)-SUMIFS(TF_Timer,TF_Tekniker,AL$4,TF_Dato,$A919))*2,0)/2)))</f>
        <v/>
      </c>
      <c r="AM919">
        <f>IF(OR(AM$4="",$A919&gt;TODAY()),0,IF(OR(INDEX($B919:$D919,AM$5)="F",AND(AM$6&gt;0,$A919&lt;AM$6),AND(AM$7&gt;0,$A919&gt;AM$7)),0,MAX(0,ROUND((INDEX($E919:$G919,AM$5)-SUMIFS(TF_Timer,TF_Tekniker,AM$4,TF_Dato,$A919))*2,0)/2)))</f>
        <v/>
      </c>
      <c r="AN919">
        <f>IF(OR(AN$4="",$A919&gt;TODAY()),0,IF(OR(INDEX($B919:$D919,AN$5)="F",AND(AN$6&gt;0,$A919&lt;AN$6),AND(AN$7&gt;0,$A919&gt;AN$7)),0,MAX(0,ROUND((INDEX($E919:$G919,AN$5)-SUMIFS(TF_Timer,TF_Tekniker,AN$4,TF_Dato,$A919))*2,0)/2)))</f>
        <v/>
      </c>
      <c r="AO919">
        <f>IF(OR(AO$4="",$A919&gt;TODAY()),0,IF(OR(INDEX($B919:$D919,AO$5)="F",AND(AO$6&gt;0,$A919&lt;AO$6),AND(AO$7&gt;0,$A919&gt;AO$7)),0,MAX(0,ROUND((INDEX($E919:$G919,AO$5)-SUMIFS(TF_Timer,TF_Tekniker,AO$4,TF_Dato,$A919))*2,0)/2)))</f>
        <v/>
      </c>
      <c r="AP919">
        <f>IF(OR(AP$4="",$A919&gt;TODAY()),0,IF(OR(INDEX($B919:$D919,AP$5)="F",AND(AP$6&gt;0,$A919&lt;AP$6),AND(AP$7&gt;0,$A919&gt;AP$7)),0,MAX(0,ROUND((INDEX($E919:$G919,AP$5)-SUMIFS(TF_Timer,TF_Tekniker,AP$4,TF_Dato,$A919))*2,0)/2)))</f>
        <v/>
      </c>
      <c r="AQ919">
        <f>IF(OR(AQ$4="",$A919&gt;TODAY()),0,IF(OR(INDEX($B919:$D919,AQ$5)="F",AND(AQ$6&gt;0,$A919&lt;AQ$6),AND(AQ$7&gt;0,$A919&gt;AQ$7)),0,MAX(0,ROUND((INDEX($E919:$G919,AQ$5)-SUMIFS(TF_Timer,TF_Tekniker,AQ$4,TF_Dato,$A919))*2,0)/2)))</f>
        <v/>
      </c>
      <c r="AR919">
        <f>IF(OR(AR$4="",$A919&gt;TODAY()),0,IF(OR(INDEX($B919:$D919,AR$5)="F",AND(AR$6&gt;0,$A919&lt;AR$6),AND(AR$7&gt;0,$A919&gt;AR$7)),0,MAX(0,ROUND((INDEX($E919:$G919,AR$5)-SUMIFS(TF_Timer,TF_Tekniker,AR$4,TF_Dato,$A919))*2,0)/2)))</f>
        <v/>
      </c>
      <c r="AS919">
        <f>IF(OR(AS$4="",$A919&gt;TODAY()),0,IF(OR(INDEX($B919:$D919,AS$5)="F",AND(AS$6&gt;0,$A919&lt;AS$6),AND(AS$7&gt;0,$A919&gt;AS$7)),0,MAX(0,ROUND((INDEX($E919:$G919,AS$5)-SUMIFS(TF_Timer,TF_Tekniker,AS$4,TF_Dato,$A919))*2,0)/2)))</f>
        <v/>
      </c>
      <c r="AT919">
        <f>IF(OR(AT$4="",$A919&gt;TODAY()),0,IF(OR(INDEX($B919:$D919,AT$5)="F",AND(AT$6&gt;0,$A919&lt;AT$6),AND(AT$7&gt;0,$A919&gt;AT$7)),0,MAX(0,ROUND((INDEX($E919:$G919,AT$5)-SUMIFS(TF_Timer,TF_Tekniker,AT$4,TF_Dato,$A919))*2,0)/2)))</f>
        <v/>
      </c>
      <c r="AU919">
        <f>IF(OR(AU$4="",$A919&gt;TODAY()),0,IF(OR(INDEX($B919:$D919,AU$5)="F",AND(AU$6&gt;0,$A919&lt;AU$6),AND(AU$7&gt;0,$A919&gt;AU$7)),0,MAX(0,ROUND((INDEX($E919:$G919,AU$5)-SUMIFS(TF_Timer,TF_Tekniker,AU$4,TF_Dato,$A919))*2,0)/2)))</f>
        <v/>
      </c>
      <c r="AV919">
        <f>IF(OR(AV$4="",$A919&gt;TODAY()),0,IF(OR(INDEX($B919:$D919,AV$5)="F",AND(AV$6&gt;0,$A919&lt;AV$6),AND(AV$7&gt;0,$A919&gt;AV$7)),0,MAX(0,ROUND((INDEX($E919:$G919,AV$5)-SUMIFS(TF_Timer,TF_Tekniker,AV$4,TF_Dato,$A919))*2,0)/2)))</f>
        <v/>
      </c>
      <c r="AW919">
        <f>IF(OR(AW$4="",$A919&gt;TODAY()),0,IF(OR(INDEX($B919:$D919,AW$5)="F",AND(AW$6&gt;0,$A919&lt;AW$6),AND(AW$7&gt;0,$A919&gt;AW$7)),0,MAX(0,ROUND((INDEX($E919:$G919,AW$5)-SUMIFS(TF_Timer,TF_Tekniker,AW$4,TF_Dato,$A919))*2,0)/2)))</f>
        <v/>
      </c>
      <c r="AX919">
        <f>IF(OR(AX$4="",$A919&gt;TODAY()),0,IF(OR(INDEX($B919:$D919,AX$5)="F",AND(AX$6&gt;0,$A919&lt;AX$6),AND(AX$7&gt;0,$A919&gt;AX$7)),0,MAX(0,ROUND((INDEX($E919:$G919,AX$5)-SUMIFS(TF_Timer,TF_Tekniker,AX$4,TF_Dato,$A919))*2,0)/2)))</f>
        <v/>
      </c>
      <c r="AY919">
        <f>IF(OR(AY$4="",$A919&gt;TODAY()),0,IF(OR(INDEX($B919:$D919,AY$5)="F",AND(AY$6&gt;0,$A919&lt;AY$6),AND(AY$7&gt;0,$A919&gt;AY$7)),0,MAX(0,ROUND((INDEX($E919:$G919,AY$5)-SUMIFS(TF_Timer,TF_Tekniker,AY$4,TF_Dato,$A919))*2,0)/2)))</f>
        <v/>
      </c>
      <c r="AZ919">
        <f>IF(OR(AZ$4="",$A919&gt;TODAY()),0,IF(OR(INDEX($B919:$D919,AZ$5)="F",AND(AZ$6&gt;0,$A919&lt;AZ$6),AND(AZ$7&gt;0,$A919&gt;AZ$7)),0,MAX(0,ROUND((INDEX($E919:$G919,AZ$5)-SUMIFS(TF_Timer,TF_Tekniker,AZ$4,TF_Dato,$A919))*2,0)/2)))</f>
        <v/>
      </c>
      <c r="BA919">
        <f>IF(OR(BA$4="",$A919&gt;TODAY()),0,IF(OR(INDEX($B919:$D919,BA$5)="F",AND(BA$6&gt;0,$A919&lt;BA$6),AND(BA$7&gt;0,$A919&gt;BA$7)),0,MAX(0,ROUND((INDEX($E919:$G919,BA$5)-SUMIFS(TF_Timer,TF_Tekniker,BA$4,TF_Dato,$A919))*2,0)/2)))</f>
        <v/>
      </c>
      <c r="BB919">
        <f>IF(OR(BB$4="",$A919&gt;TODAY()),0,IF(OR(INDEX($B919:$D919,BB$5)="F",AND(BB$6&gt;0,$A919&lt;BB$6),AND(BB$7&gt;0,$A919&gt;BB$7)),0,MAX(0,ROUND((INDEX($E919:$G919,BB$5)-SUMIFS(TF_Timer,TF_Tekniker,BB$4,TF_Dato,$A919))*2,0)/2)))</f>
        <v/>
      </c>
      <c r="BC919">
        <f>IF(OR(BC$4="",$A919&gt;TODAY()),0,IF(OR(INDEX($B919:$D919,BC$5)="F",AND(BC$6&gt;0,$A919&lt;BC$6),AND(BC$7&gt;0,$A919&gt;BC$7)),0,MAX(0,ROUND((INDEX($E919:$G919,BC$5)-SUMIFS(TF_Timer,TF_Tekniker,BC$4,TF_Dato,$A919))*2,0)/2)))</f>
        <v/>
      </c>
      <c r="BD919">
        <f>IF(OR(BD$4="",$A919&gt;TODAY()),0,IF(OR(INDEX($B919:$D919,BD$5)="F",AND(BD$6&gt;0,$A919&lt;BD$6),AND(BD$7&gt;0,$A919&gt;BD$7)),0,MAX(0,ROUND((INDEX($E919:$G919,BD$5)-SUMIFS(TF_Timer,TF_Tekniker,BD$4,TF_Dato,$A919))*2,0)/2)))</f>
        <v/>
      </c>
      <c r="BE919">
        <f>IF(OR(BE$4="",$A919&gt;TODAY()),0,IF(OR(INDEX($B919:$D919,BE$5)="F",AND(BE$6&gt;0,$A919&lt;BE$6),AND(BE$7&gt;0,$A919&gt;BE$7)),0,MAX(0,ROUND((INDEX($E919:$G919,BE$5)-SUMIFS(TF_Timer,TF_Tekniker,BE$4,TF_Dato,$A919))*2,0)/2)))</f>
        <v/>
      </c>
      <c r="BF919">
        <f>IF(OR(BF$4="",$A919&gt;TODAY()),0,IF(OR(INDEX($B919:$D919,BF$5)="F",AND(BF$6&gt;0,$A919&lt;BF$6),AND(BF$7&gt;0,$A919&gt;BF$7)),0,MAX(0,ROUND((INDEX($E919:$G919,BF$5)-SUMIFS(TF_Timer,TF_Tekniker,BF$4,TF_Dato,$A919))*2,0)/2)))</f>
        <v/>
      </c>
      <c r="BG919">
        <f>IF(OR(BG$4="",$A919&gt;TODAY()),0,IF(OR(INDEX($B919:$D919,BG$5)="F",AND(BG$6&gt;0,$A919&lt;BG$6),AND(BG$7&gt;0,$A919&gt;BG$7)),0,MAX(0,ROUND((INDEX($E919:$G919,BG$5)-SUMIFS(TF_Timer,TF_Tekniker,BG$4,TF_Dato,$A919))*2,0)/2)))</f>
        <v/>
      </c>
      <c r="BH919">
        <f>IF(OR(BH$4="",$A919&gt;TODAY()),0,IF(OR(INDEX($B919:$D919,BH$5)="F",AND(BH$6&gt;0,$A919&lt;BH$6),AND(BH$7&gt;0,$A919&gt;BH$7)),0,MAX(0,ROUND((INDEX($E919:$G919,BH$5)-SUMIFS(TF_Timer,TF_Tekniker,BH$4,TF_Dato,$A919))*2,0)/2)))</f>
        <v/>
      </c>
      <c r="BI919">
        <f>IF(OR(BI$4="",$A919&gt;TODAY()),0,IF(OR(INDEX($B919:$D919,BI$5)="F",AND(BI$6&gt;0,$A919&lt;BI$6),AND(BI$7&gt;0,$A919&gt;BI$7)),0,MAX(0,ROUND((INDEX($E919:$G919,BI$5)-SUMIFS(TF_Timer,TF_Tekniker,BI$4,TF_Dato,$A919))*2,0)/2)))</f>
        <v/>
      </c>
    </row>
    <row r="920">
      <c r="A920" s="64">
        <f>A919+1</f>
        <v/>
      </c>
      <c r="B920">
        <f>IF(MOD($A920-INDEX(SkiftStart,1),Syklus)&lt;DagK,"K",IF(MOD($A920-INDEX(SkiftStart,1),Syklus)&lt;DagK+DagH,"H",IF(MOD($A920-INDEX(SkiftStart,1),Syklus)&lt;DagK+DagH+DagD,"D","F")))</f>
        <v/>
      </c>
      <c r="C920">
        <f>IF(MOD($A920-INDEX(SkiftStart,2),Syklus)&lt;DagK,"K",IF(MOD($A920-INDEX(SkiftStart,2),Syklus)&lt;DagK+DagH,"H",IF(MOD($A920-INDEX(SkiftStart,2),Syklus)&lt;DagK+DagH+DagD,"D","F")))</f>
        <v/>
      </c>
      <c r="D920">
        <f>IF(MOD($A920-INDEX(SkiftStart,3),Syklus)&lt;DagK,"K",IF(MOD($A920-INDEX(SkiftStart,3),Syklus)&lt;DagK+DagH,"H",IF(MOD($A920-INDEX(SkiftStart,3),Syklus)&lt;DagK+DagH+DagD,"D","F")))</f>
        <v/>
      </c>
      <c r="E920">
        <f>IF(B920="F",0,IF(WEEKDAY($A920,2)=5,INDEX(TimerFr,MATCH(B920,FaseKode,0)),INDEX(TimerMT,MATCH(B920,FaseKode,0))))</f>
        <v/>
      </c>
      <c r="F920">
        <f>IF(C920="F",0,IF(WEEKDAY($A920,2)=5,INDEX(TimerFr,MATCH(C920,FaseKode,0)),INDEX(TimerMT,MATCH(C920,FaseKode,0))))</f>
        <v/>
      </c>
      <c r="G920">
        <f>IF(D920="F",0,IF(WEEKDAY($A920,2)=5,INDEX(TimerFr,MATCH(D920,FaseKode,0)),INDEX(TimerMT,MATCH(D920,FaseKode,0))))</f>
        <v/>
      </c>
      <c r="H920">
        <f>IF(OR(H$4="",$A920&gt;TODAY()),0,IF(OR(INDEX($B920:$D920,H$5)="F",AND(H$6&gt;0,$A920&lt;H$6),AND(H$7&gt;0,$A920&gt;H$7)),0,MAX(0,ROUND((INDEX($E920:$G920,H$5)-SUMIFS(TF_Timer,TF_Tekniker,H$4,TF_Dato,$A920))*2,0)/2)))</f>
        <v/>
      </c>
      <c r="I920">
        <f>IF(OR(I$4="",$A920&gt;TODAY()),0,IF(OR(INDEX($B920:$D920,I$5)="F",AND(I$6&gt;0,$A920&lt;I$6),AND(I$7&gt;0,$A920&gt;I$7)),0,MAX(0,ROUND((INDEX($E920:$G920,I$5)-SUMIFS(TF_Timer,TF_Tekniker,I$4,TF_Dato,$A920))*2,0)/2)))</f>
        <v/>
      </c>
      <c r="J920">
        <f>IF(OR(J$4="",$A920&gt;TODAY()),0,IF(OR(INDEX($B920:$D920,J$5)="F",AND(J$6&gt;0,$A920&lt;J$6),AND(J$7&gt;0,$A920&gt;J$7)),0,MAX(0,ROUND((INDEX($E920:$G920,J$5)-SUMIFS(TF_Timer,TF_Tekniker,J$4,TF_Dato,$A920))*2,0)/2)))</f>
        <v/>
      </c>
      <c r="K920">
        <f>IF(OR(K$4="",$A920&gt;TODAY()),0,IF(OR(INDEX($B920:$D920,K$5)="F",AND(K$6&gt;0,$A920&lt;K$6),AND(K$7&gt;0,$A920&gt;K$7)),0,MAX(0,ROUND((INDEX($E920:$G920,K$5)-SUMIFS(TF_Timer,TF_Tekniker,K$4,TF_Dato,$A920))*2,0)/2)))</f>
        <v/>
      </c>
      <c r="L920">
        <f>IF(OR(L$4="",$A920&gt;TODAY()),0,IF(OR(INDEX($B920:$D920,L$5)="F",AND(L$6&gt;0,$A920&lt;L$6),AND(L$7&gt;0,$A920&gt;L$7)),0,MAX(0,ROUND((INDEX($E920:$G920,L$5)-SUMIFS(TF_Timer,TF_Tekniker,L$4,TF_Dato,$A920))*2,0)/2)))</f>
        <v/>
      </c>
      <c r="M920">
        <f>IF(OR(M$4="",$A920&gt;TODAY()),0,IF(OR(INDEX($B920:$D920,M$5)="F",AND(M$6&gt;0,$A920&lt;M$6),AND(M$7&gt;0,$A920&gt;M$7)),0,MAX(0,ROUND((INDEX($E920:$G920,M$5)-SUMIFS(TF_Timer,TF_Tekniker,M$4,TF_Dato,$A920))*2,0)/2)))</f>
        <v/>
      </c>
      <c r="N920">
        <f>IF(OR(N$4="",$A920&gt;TODAY()),0,IF(OR(INDEX($B920:$D920,N$5)="F",AND(N$6&gt;0,$A920&lt;N$6),AND(N$7&gt;0,$A920&gt;N$7)),0,MAX(0,ROUND((INDEX($E920:$G920,N$5)-SUMIFS(TF_Timer,TF_Tekniker,N$4,TF_Dato,$A920))*2,0)/2)))</f>
        <v/>
      </c>
      <c r="O920">
        <f>IF(OR(O$4="",$A920&gt;TODAY()),0,IF(OR(INDEX($B920:$D920,O$5)="F",AND(O$6&gt;0,$A920&lt;O$6),AND(O$7&gt;0,$A920&gt;O$7)),0,MAX(0,ROUND((INDEX($E920:$G920,O$5)-SUMIFS(TF_Timer,TF_Tekniker,O$4,TF_Dato,$A920))*2,0)/2)))</f>
        <v/>
      </c>
      <c r="P920">
        <f>IF(OR(P$4="",$A920&gt;TODAY()),0,IF(OR(INDEX($B920:$D920,P$5)="F",AND(P$6&gt;0,$A920&lt;P$6),AND(P$7&gt;0,$A920&gt;P$7)),0,MAX(0,ROUND((INDEX($E920:$G920,P$5)-SUMIFS(TF_Timer,TF_Tekniker,P$4,TF_Dato,$A920))*2,0)/2)))</f>
        <v/>
      </c>
      <c r="Q920">
        <f>IF(OR(Q$4="",$A920&gt;TODAY()),0,IF(OR(INDEX($B920:$D920,Q$5)="F",AND(Q$6&gt;0,$A920&lt;Q$6),AND(Q$7&gt;0,$A920&gt;Q$7)),0,MAX(0,ROUND((INDEX($E920:$G920,Q$5)-SUMIFS(TF_Timer,TF_Tekniker,Q$4,TF_Dato,$A920))*2,0)/2)))</f>
        <v/>
      </c>
      <c r="R920">
        <f>IF(OR(R$4="",$A920&gt;TODAY()),0,IF(OR(INDEX($B920:$D920,R$5)="F",AND(R$6&gt;0,$A920&lt;R$6),AND(R$7&gt;0,$A920&gt;R$7)),0,MAX(0,ROUND((INDEX($E920:$G920,R$5)-SUMIFS(TF_Timer,TF_Tekniker,R$4,TF_Dato,$A920))*2,0)/2)))</f>
        <v/>
      </c>
      <c r="S920">
        <f>IF(OR(S$4="",$A920&gt;TODAY()),0,IF(OR(INDEX($B920:$D920,S$5)="F",AND(S$6&gt;0,$A920&lt;S$6),AND(S$7&gt;0,$A920&gt;S$7)),0,MAX(0,ROUND((INDEX($E920:$G920,S$5)-SUMIFS(TF_Timer,TF_Tekniker,S$4,TF_Dato,$A920))*2,0)/2)))</f>
        <v/>
      </c>
      <c r="T920">
        <f>IF(OR(T$4="",$A920&gt;TODAY()),0,IF(OR(INDEX($B920:$D920,T$5)="F",AND(T$6&gt;0,$A920&lt;T$6),AND(T$7&gt;0,$A920&gt;T$7)),0,MAX(0,ROUND((INDEX($E920:$G920,T$5)-SUMIFS(TF_Timer,TF_Tekniker,T$4,TF_Dato,$A920))*2,0)/2)))</f>
        <v/>
      </c>
      <c r="U920">
        <f>IF(OR(U$4="",$A920&gt;TODAY()),0,IF(OR(INDEX($B920:$D920,U$5)="F",AND(U$6&gt;0,$A920&lt;U$6),AND(U$7&gt;0,$A920&gt;U$7)),0,MAX(0,ROUND((INDEX($E920:$G920,U$5)-SUMIFS(TF_Timer,TF_Tekniker,U$4,TF_Dato,$A920))*2,0)/2)))</f>
        <v/>
      </c>
      <c r="V920">
        <f>IF(OR(V$4="",$A920&gt;TODAY()),0,IF(OR(INDEX($B920:$D920,V$5)="F",AND(V$6&gt;0,$A920&lt;V$6),AND(V$7&gt;0,$A920&gt;V$7)),0,MAX(0,ROUND((INDEX($E920:$G920,V$5)-SUMIFS(TF_Timer,TF_Tekniker,V$4,TF_Dato,$A920))*2,0)/2)))</f>
        <v/>
      </c>
      <c r="W920">
        <f>IF(OR(W$4="",$A920&gt;TODAY()),0,IF(OR(INDEX($B920:$D920,W$5)="F",AND(W$6&gt;0,$A920&lt;W$6),AND(W$7&gt;0,$A920&gt;W$7)),0,MAX(0,ROUND((INDEX($E920:$G920,W$5)-SUMIFS(TF_Timer,TF_Tekniker,W$4,TF_Dato,$A920))*2,0)/2)))</f>
        <v/>
      </c>
      <c r="X920">
        <f>IF(OR(X$4="",$A920&gt;TODAY()),0,IF(OR(INDEX($B920:$D920,X$5)="F",AND(X$6&gt;0,$A920&lt;X$6),AND(X$7&gt;0,$A920&gt;X$7)),0,MAX(0,ROUND((INDEX($E920:$G920,X$5)-SUMIFS(TF_Timer,TF_Tekniker,X$4,TF_Dato,$A920))*2,0)/2)))</f>
        <v/>
      </c>
      <c r="Y920">
        <f>IF(OR(Y$4="",$A920&gt;TODAY()),0,IF(OR(INDEX($B920:$D920,Y$5)="F",AND(Y$6&gt;0,$A920&lt;Y$6),AND(Y$7&gt;0,$A920&gt;Y$7)),0,MAX(0,ROUND((INDEX($E920:$G920,Y$5)-SUMIFS(TF_Timer,TF_Tekniker,Y$4,TF_Dato,$A920))*2,0)/2)))</f>
        <v/>
      </c>
      <c r="Z920">
        <f>IF(OR(Z$4="",$A920&gt;TODAY()),0,IF(OR(INDEX($B920:$D920,Z$5)="F",AND(Z$6&gt;0,$A920&lt;Z$6),AND(Z$7&gt;0,$A920&gt;Z$7)),0,MAX(0,ROUND((INDEX($E920:$G920,Z$5)-SUMIFS(TF_Timer,TF_Tekniker,Z$4,TF_Dato,$A920))*2,0)/2)))</f>
        <v/>
      </c>
      <c r="AA920">
        <f>IF(OR(AA$4="",$A920&gt;TODAY()),0,IF(OR(INDEX($B920:$D920,AA$5)="F",AND(AA$6&gt;0,$A920&lt;AA$6),AND(AA$7&gt;0,$A920&gt;AA$7)),0,MAX(0,ROUND((INDEX($E920:$G920,AA$5)-SUMIFS(TF_Timer,TF_Tekniker,AA$4,TF_Dato,$A920))*2,0)/2)))</f>
        <v/>
      </c>
      <c r="AB920">
        <f>IF(OR(AB$4="",$A920&gt;TODAY()),0,IF(OR(INDEX($B920:$D920,AB$5)="F",AND(AB$6&gt;0,$A920&lt;AB$6),AND(AB$7&gt;0,$A920&gt;AB$7)),0,MAX(0,ROUND((INDEX($E920:$G920,AB$5)-SUMIFS(TF_Timer,TF_Tekniker,AB$4,TF_Dato,$A920))*2,0)/2)))</f>
        <v/>
      </c>
      <c r="AC920">
        <f>IF(OR(AC$4="",$A920&gt;TODAY()),0,IF(OR(INDEX($B920:$D920,AC$5)="F",AND(AC$6&gt;0,$A920&lt;AC$6),AND(AC$7&gt;0,$A920&gt;AC$7)),0,MAX(0,ROUND((INDEX($E920:$G920,AC$5)-SUMIFS(TF_Timer,TF_Tekniker,AC$4,TF_Dato,$A920))*2,0)/2)))</f>
        <v/>
      </c>
      <c r="AD920">
        <f>IF(OR(AD$4="",$A920&gt;TODAY()),0,IF(OR(INDEX($B920:$D920,AD$5)="F",AND(AD$6&gt;0,$A920&lt;AD$6),AND(AD$7&gt;0,$A920&gt;AD$7)),0,MAX(0,ROUND((INDEX($E920:$G920,AD$5)-SUMIFS(TF_Timer,TF_Tekniker,AD$4,TF_Dato,$A920))*2,0)/2)))</f>
        <v/>
      </c>
      <c r="AE920">
        <f>IF(OR(AE$4="",$A920&gt;TODAY()),0,IF(OR(INDEX($B920:$D920,AE$5)="F",AND(AE$6&gt;0,$A920&lt;AE$6),AND(AE$7&gt;0,$A920&gt;AE$7)),0,MAX(0,ROUND((INDEX($E920:$G920,AE$5)-SUMIFS(TF_Timer,TF_Tekniker,AE$4,TF_Dato,$A920))*2,0)/2)))</f>
        <v/>
      </c>
      <c r="AF920">
        <f>IF(OR(AF$4="",$A920&gt;TODAY()),0,IF(OR(INDEX($B920:$D920,AF$5)="F",AND(AF$6&gt;0,$A920&lt;AF$6),AND(AF$7&gt;0,$A920&gt;AF$7)),0,MAX(0,ROUND((INDEX($E920:$G920,AF$5)-SUMIFS(TF_Timer,TF_Tekniker,AF$4,TF_Dato,$A920))*2,0)/2)))</f>
        <v/>
      </c>
      <c r="AG920">
        <f>IF(OR(AG$4="",$A920&gt;TODAY()),0,IF(OR(INDEX($B920:$D920,AG$5)="F",AND(AG$6&gt;0,$A920&lt;AG$6),AND(AG$7&gt;0,$A920&gt;AG$7)),0,MAX(0,ROUND((INDEX($E920:$G920,AG$5)-SUMIFS(TF_Timer,TF_Tekniker,AG$4,TF_Dato,$A920))*2,0)/2)))</f>
        <v/>
      </c>
      <c r="AH920">
        <f>IF(OR(AH$4="",$A920&gt;TODAY()),0,IF(OR(INDEX($B920:$D920,AH$5)="F",AND(AH$6&gt;0,$A920&lt;AH$6),AND(AH$7&gt;0,$A920&gt;AH$7)),0,MAX(0,ROUND((INDEX($E920:$G920,AH$5)-SUMIFS(TF_Timer,TF_Tekniker,AH$4,TF_Dato,$A920))*2,0)/2)))</f>
        <v/>
      </c>
      <c r="AI920">
        <f>IF(OR(AI$4="",$A920&gt;TODAY()),0,IF(OR(INDEX($B920:$D920,AI$5)="F",AND(AI$6&gt;0,$A920&lt;AI$6),AND(AI$7&gt;0,$A920&gt;AI$7)),0,MAX(0,ROUND((INDEX($E920:$G920,AI$5)-SUMIFS(TF_Timer,TF_Tekniker,AI$4,TF_Dato,$A920))*2,0)/2)))</f>
        <v/>
      </c>
      <c r="AJ920">
        <f>IF(OR(AJ$4="",$A920&gt;TODAY()),0,IF(OR(INDEX($B920:$D920,AJ$5)="F",AND(AJ$6&gt;0,$A920&lt;AJ$6),AND(AJ$7&gt;0,$A920&gt;AJ$7)),0,MAX(0,ROUND((INDEX($E920:$G920,AJ$5)-SUMIFS(TF_Timer,TF_Tekniker,AJ$4,TF_Dato,$A920))*2,0)/2)))</f>
        <v/>
      </c>
      <c r="AK920">
        <f>IF(OR(AK$4="",$A920&gt;TODAY()),0,IF(OR(INDEX($B920:$D920,AK$5)="F",AND(AK$6&gt;0,$A920&lt;AK$6),AND(AK$7&gt;0,$A920&gt;AK$7)),0,MAX(0,ROUND((INDEX($E920:$G920,AK$5)-SUMIFS(TF_Timer,TF_Tekniker,AK$4,TF_Dato,$A920))*2,0)/2)))</f>
        <v/>
      </c>
      <c r="AL920">
        <f>IF(OR(AL$4="",$A920&gt;TODAY()),0,IF(OR(INDEX($B920:$D920,AL$5)="F",AND(AL$6&gt;0,$A920&lt;AL$6),AND(AL$7&gt;0,$A920&gt;AL$7)),0,MAX(0,ROUND((INDEX($E920:$G920,AL$5)-SUMIFS(TF_Timer,TF_Tekniker,AL$4,TF_Dato,$A920))*2,0)/2)))</f>
        <v/>
      </c>
      <c r="AM920">
        <f>IF(OR(AM$4="",$A920&gt;TODAY()),0,IF(OR(INDEX($B920:$D920,AM$5)="F",AND(AM$6&gt;0,$A920&lt;AM$6),AND(AM$7&gt;0,$A920&gt;AM$7)),0,MAX(0,ROUND((INDEX($E920:$G920,AM$5)-SUMIFS(TF_Timer,TF_Tekniker,AM$4,TF_Dato,$A920))*2,0)/2)))</f>
        <v/>
      </c>
      <c r="AN920">
        <f>IF(OR(AN$4="",$A920&gt;TODAY()),0,IF(OR(INDEX($B920:$D920,AN$5)="F",AND(AN$6&gt;0,$A920&lt;AN$6),AND(AN$7&gt;0,$A920&gt;AN$7)),0,MAX(0,ROUND((INDEX($E920:$G920,AN$5)-SUMIFS(TF_Timer,TF_Tekniker,AN$4,TF_Dato,$A920))*2,0)/2)))</f>
        <v/>
      </c>
      <c r="AO920">
        <f>IF(OR(AO$4="",$A920&gt;TODAY()),0,IF(OR(INDEX($B920:$D920,AO$5)="F",AND(AO$6&gt;0,$A920&lt;AO$6),AND(AO$7&gt;0,$A920&gt;AO$7)),0,MAX(0,ROUND((INDEX($E920:$G920,AO$5)-SUMIFS(TF_Timer,TF_Tekniker,AO$4,TF_Dato,$A920))*2,0)/2)))</f>
        <v/>
      </c>
      <c r="AP920">
        <f>IF(OR(AP$4="",$A920&gt;TODAY()),0,IF(OR(INDEX($B920:$D920,AP$5)="F",AND(AP$6&gt;0,$A920&lt;AP$6),AND(AP$7&gt;0,$A920&gt;AP$7)),0,MAX(0,ROUND((INDEX($E920:$G920,AP$5)-SUMIFS(TF_Timer,TF_Tekniker,AP$4,TF_Dato,$A920))*2,0)/2)))</f>
        <v/>
      </c>
      <c r="AQ920">
        <f>IF(OR(AQ$4="",$A920&gt;TODAY()),0,IF(OR(INDEX($B920:$D920,AQ$5)="F",AND(AQ$6&gt;0,$A920&lt;AQ$6),AND(AQ$7&gt;0,$A920&gt;AQ$7)),0,MAX(0,ROUND((INDEX($E920:$G920,AQ$5)-SUMIFS(TF_Timer,TF_Tekniker,AQ$4,TF_Dato,$A920))*2,0)/2)))</f>
        <v/>
      </c>
      <c r="AR920">
        <f>IF(OR(AR$4="",$A920&gt;TODAY()),0,IF(OR(INDEX($B920:$D920,AR$5)="F",AND(AR$6&gt;0,$A920&lt;AR$6),AND(AR$7&gt;0,$A920&gt;AR$7)),0,MAX(0,ROUND((INDEX($E920:$G920,AR$5)-SUMIFS(TF_Timer,TF_Tekniker,AR$4,TF_Dato,$A920))*2,0)/2)))</f>
        <v/>
      </c>
      <c r="AS920">
        <f>IF(OR(AS$4="",$A920&gt;TODAY()),0,IF(OR(INDEX($B920:$D920,AS$5)="F",AND(AS$6&gt;0,$A920&lt;AS$6),AND(AS$7&gt;0,$A920&gt;AS$7)),0,MAX(0,ROUND((INDEX($E920:$G920,AS$5)-SUMIFS(TF_Timer,TF_Tekniker,AS$4,TF_Dato,$A920))*2,0)/2)))</f>
        <v/>
      </c>
      <c r="AT920">
        <f>IF(OR(AT$4="",$A920&gt;TODAY()),0,IF(OR(INDEX($B920:$D920,AT$5)="F",AND(AT$6&gt;0,$A920&lt;AT$6),AND(AT$7&gt;0,$A920&gt;AT$7)),0,MAX(0,ROUND((INDEX($E920:$G920,AT$5)-SUMIFS(TF_Timer,TF_Tekniker,AT$4,TF_Dato,$A920))*2,0)/2)))</f>
        <v/>
      </c>
      <c r="AU920">
        <f>IF(OR(AU$4="",$A920&gt;TODAY()),0,IF(OR(INDEX($B920:$D920,AU$5)="F",AND(AU$6&gt;0,$A920&lt;AU$6),AND(AU$7&gt;0,$A920&gt;AU$7)),0,MAX(0,ROUND((INDEX($E920:$G920,AU$5)-SUMIFS(TF_Timer,TF_Tekniker,AU$4,TF_Dato,$A920))*2,0)/2)))</f>
        <v/>
      </c>
      <c r="AV920">
        <f>IF(OR(AV$4="",$A920&gt;TODAY()),0,IF(OR(INDEX($B920:$D920,AV$5)="F",AND(AV$6&gt;0,$A920&lt;AV$6),AND(AV$7&gt;0,$A920&gt;AV$7)),0,MAX(0,ROUND((INDEX($E920:$G920,AV$5)-SUMIFS(TF_Timer,TF_Tekniker,AV$4,TF_Dato,$A920))*2,0)/2)))</f>
        <v/>
      </c>
      <c r="AW920">
        <f>IF(OR(AW$4="",$A920&gt;TODAY()),0,IF(OR(INDEX($B920:$D920,AW$5)="F",AND(AW$6&gt;0,$A920&lt;AW$6),AND(AW$7&gt;0,$A920&gt;AW$7)),0,MAX(0,ROUND((INDEX($E920:$G920,AW$5)-SUMIFS(TF_Timer,TF_Tekniker,AW$4,TF_Dato,$A920))*2,0)/2)))</f>
        <v/>
      </c>
      <c r="AX920">
        <f>IF(OR(AX$4="",$A920&gt;TODAY()),0,IF(OR(INDEX($B920:$D920,AX$5)="F",AND(AX$6&gt;0,$A920&lt;AX$6),AND(AX$7&gt;0,$A920&gt;AX$7)),0,MAX(0,ROUND((INDEX($E920:$G920,AX$5)-SUMIFS(TF_Timer,TF_Tekniker,AX$4,TF_Dato,$A920))*2,0)/2)))</f>
        <v/>
      </c>
      <c r="AY920">
        <f>IF(OR(AY$4="",$A920&gt;TODAY()),0,IF(OR(INDEX($B920:$D920,AY$5)="F",AND(AY$6&gt;0,$A920&lt;AY$6),AND(AY$7&gt;0,$A920&gt;AY$7)),0,MAX(0,ROUND((INDEX($E920:$G920,AY$5)-SUMIFS(TF_Timer,TF_Tekniker,AY$4,TF_Dato,$A920))*2,0)/2)))</f>
        <v/>
      </c>
      <c r="AZ920">
        <f>IF(OR(AZ$4="",$A920&gt;TODAY()),0,IF(OR(INDEX($B920:$D920,AZ$5)="F",AND(AZ$6&gt;0,$A920&lt;AZ$6),AND(AZ$7&gt;0,$A920&gt;AZ$7)),0,MAX(0,ROUND((INDEX($E920:$G920,AZ$5)-SUMIFS(TF_Timer,TF_Tekniker,AZ$4,TF_Dato,$A920))*2,0)/2)))</f>
        <v/>
      </c>
      <c r="BA920">
        <f>IF(OR(BA$4="",$A920&gt;TODAY()),0,IF(OR(INDEX($B920:$D920,BA$5)="F",AND(BA$6&gt;0,$A920&lt;BA$6),AND(BA$7&gt;0,$A920&gt;BA$7)),0,MAX(0,ROUND((INDEX($E920:$G920,BA$5)-SUMIFS(TF_Timer,TF_Tekniker,BA$4,TF_Dato,$A920))*2,0)/2)))</f>
        <v/>
      </c>
      <c r="BB920">
        <f>IF(OR(BB$4="",$A920&gt;TODAY()),0,IF(OR(INDEX($B920:$D920,BB$5)="F",AND(BB$6&gt;0,$A920&lt;BB$6),AND(BB$7&gt;0,$A920&gt;BB$7)),0,MAX(0,ROUND((INDEX($E920:$G920,BB$5)-SUMIFS(TF_Timer,TF_Tekniker,BB$4,TF_Dato,$A920))*2,0)/2)))</f>
        <v/>
      </c>
      <c r="BC920">
        <f>IF(OR(BC$4="",$A920&gt;TODAY()),0,IF(OR(INDEX($B920:$D920,BC$5)="F",AND(BC$6&gt;0,$A920&lt;BC$6),AND(BC$7&gt;0,$A920&gt;BC$7)),0,MAX(0,ROUND((INDEX($E920:$G920,BC$5)-SUMIFS(TF_Timer,TF_Tekniker,BC$4,TF_Dato,$A920))*2,0)/2)))</f>
        <v/>
      </c>
      <c r="BD920">
        <f>IF(OR(BD$4="",$A920&gt;TODAY()),0,IF(OR(INDEX($B920:$D920,BD$5)="F",AND(BD$6&gt;0,$A920&lt;BD$6),AND(BD$7&gt;0,$A920&gt;BD$7)),0,MAX(0,ROUND((INDEX($E920:$G920,BD$5)-SUMIFS(TF_Timer,TF_Tekniker,BD$4,TF_Dato,$A920))*2,0)/2)))</f>
        <v/>
      </c>
      <c r="BE920">
        <f>IF(OR(BE$4="",$A920&gt;TODAY()),0,IF(OR(INDEX($B920:$D920,BE$5)="F",AND(BE$6&gt;0,$A920&lt;BE$6),AND(BE$7&gt;0,$A920&gt;BE$7)),0,MAX(0,ROUND((INDEX($E920:$G920,BE$5)-SUMIFS(TF_Timer,TF_Tekniker,BE$4,TF_Dato,$A920))*2,0)/2)))</f>
        <v/>
      </c>
      <c r="BF920">
        <f>IF(OR(BF$4="",$A920&gt;TODAY()),0,IF(OR(INDEX($B920:$D920,BF$5)="F",AND(BF$6&gt;0,$A920&lt;BF$6),AND(BF$7&gt;0,$A920&gt;BF$7)),0,MAX(0,ROUND((INDEX($E920:$G920,BF$5)-SUMIFS(TF_Timer,TF_Tekniker,BF$4,TF_Dato,$A920))*2,0)/2)))</f>
        <v/>
      </c>
      <c r="BG920">
        <f>IF(OR(BG$4="",$A920&gt;TODAY()),0,IF(OR(INDEX($B920:$D920,BG$5)="F",AND(BG$6&gt;0,$A920&lt;BG$6),AND(BG$7&gt;0,$A920&gt;BG$7)),0,MAX(0,ROUND((INDEX($E920:$G920,BG$5)-SUMIFS(TF_Timer,TF_Tekniker,BG$4,TF_Dato,$A920))*2,0)/2)))</f>
        <v/>
      </c>
      <c r="BH920">
        <f>IF(OR(BH$4="",$A920&gt;TODAY()),0,IF(OR(INDEX($B920:$D920,BH$5)="F",AND(BH$6&gt;0,$A920&lt;BH$6),AND(BH$7&gt;0,$A920&gt;BH$7)),0,MAX(0,ROUND((INDEX($E920:$G920,BH$5)-SUMIFS(TF_Timer,TF_Tekniker,BH$4,TF_Dato,$A920))*2,0)/2)))</f>
        <v/>
      </c>
      <c r="BI920">
        <f>IF(OR(BI$4="",$A920&gt;TODAY()),0,IF(OR(INDEX($B920:$D920,BI$5)="F",AND(BI$6&gt;0,$A920&lt;BI$6),AND(BI$7&gt;0,$A920&gt;BI$7)),0,MAX(0,ROUND((INDEX($E920:$G920,BI$5)-SUMIFS(TF_Timer,TF_Tekniker,BI$4,TF_Dato,$A920))*2,0)/2)))</f>
        <v/>
      </c>
    </row>
    <row r="921">
      <c r="A921" s="64">
        <f>A920+1</f>
        <v/>
      </c>
      <c r="B921">
        <f>IF(MOD($A921-INDEX(SkiftStart,1),Syklus)&lt;DagK,"K",IF(MOD($A921-INDEX(SkiftStart,1),Syklus)&lt;DagK+DagH,"H",IF(MOD($A921-INDEX(SkiftStart,1),Syklus)&lt;DagK+DagH+DagD,"D","F")))</f>
        <v/>
      </c>
      <c r="C921">
        <f>IF(MOD($A921-INDEX(SkiftStart,2),Syklus)&lt;DagK,"K",IF(MOD($A921-INDEX(SkiftStart,2),Syklus)&lt;DagK+DagH,"H",IF(MOD($A921-INDEX(SkiftStart,2),Syklus)&lt;DagK+DagH+DagD,"D","F")))</f>
        <v/>
      </c>
      <c r="D921">
        <f>IF(MOD($A921-INDEX(SkiftStart,3),Syklus)&lt;DagK,"K",IF(MOD($A921-INDEX(SkiftStart,3),Syklus)&lt;DagK+DagH,"H",IF(MOD($A921-INDEX(SkiftStart,3),Syklus)&lt;DagK+DagH+DagD,"D","F")))</f>
        <v/>
      </c>
      <c r="E921">
        <f>IF(B921="F",0,IF(WEEKDAY($A921,2)=5,INDEX(TimerFr,MATCH(B921,FaseKode,0)),INDEX(TimerMT,MATCH(B921,FaseKode,0))))</f>
        <v/>
      </c>
      <c r="F921">
        <f>IF(C921="F",0,IF(WEEKDAY($A921,2)=5,INDEX(TimerFr,MATCH(C921,FaseKode,0)),INDEX(TimerMT,MATCH(C921,FaseKode,0))))</f>
        <v/>
      </c>
      <c r="G921">
        <f>IF(D921="F",0,IF(WEEKDAY($A921,2)=5,INDEX(TimerFr,MATCH(D921,FaseKode,0)),INDEX(TimerMT,MATCH(D921,FaseKode,0))))</f>
        <v/>
      </c>
      <c r="H921">
        <f>IF(OR(H$4="",$A921&gt;TODAY()),0,IF(OR(INDEX($B921:$D921,H$5)="F",AND(H$6&gt;0,$A921&lt;H$6),AND(H$7&gt;0,$A921&gt;H$7)),0,MAX(0,ROUND((INDEX($E921:$G921,H$5)-SUMIFS(TF_Timer,TF_Tekniker,H$4,TF_Dato,$A921))*2,0)/2)))</f>
        <v/>
      </c>
      <c r="I921">
        <f>IF(OR(I$4="",$A921&gt;TODAY()),0,IF(OR(INDEX($B921:$D921,I$5)="F",AND(I$6&gt;0,$A921&lt;I$6),AND(I$7&gt;0,$A921&gt;I$7)),0,MAX(0,ROUND((INDEX($E921:$G921,I$5)-SUMIFS(TF_Timer,TF_Tekniker,I$4,TF_Dato,$A921))*2,0)/2)))</f>
        <v/>
      </c>
      <c r="J921">
        <f>IF(OR(J$4="",$A921&gt;TODAY()),0,IF(OR(INDEX($B921:$D921,J$5)="F",AND(J$6&gt;0,$A921&lt;J$6),AND(J$7&gt;0,$A921&gt;J$7)),0,MAX(0,ROUND((INDEX($E921:$G921,J$5)-SUMIFS(TF_Timer,TF_Tekniker,J$4,TF_Dato,$A921))*2,0)/2)))</f>
        <v/>
      </c>
      <c r="K921">
        <f>IF(OR(K$4="",$A921&gt;TODAY()),0,IF(OR(INDEX($B921:$D921,K$5)="F",AND(K$6&gt;0,$A921&lt;K$6),AND(K$7&gt;0,$A921&gt;K$7)),0,MAX(0,ROUND((INDEX($E921:$G921,K$5)-SUMIFS(TF_Timer,TF_Tekniker,K$4,TF_Dato,$A921))*2,0)/2)))</f>
        <v/>
      </c>
      <c r="L921">
        <f>IF(OR(L$4="",$A921&gt;TODAY()),0,IF(OR(INDEX($B921:$D921,L$5)="F",AND(L$6&gt;0,$A921&lt;L$6),AND(L$7&gt;0,$A921&gt;L$7)),0,MAX(0,ROUND((INDEX($E921:$G921,L$5)-SUMIFS(TF_Timer,TF_Tekniker,L$4,TF_Dato,$A921))*2,0)/2)))</f>
        <v/>
      </c>
      <c r="M921">
        <f>IF(OR(M$4="",$A921&gt;TODAY()),0,IF(OR(INDEX($B921:$D921,M$5)="F",AND(M$6&gt;0,$A921&lt;M$6),AND(M$7&gt;0,$A921&gt;M$7)),0,MAX(0,ROUND((INDEX($E921:$G921,M$5)-SUMIFS(TF_Timer,TF_Tekniker,M$4,TF_Dato,$A921))*2,0)/2)))</f>
        <v/>
      </c>
      <c r="N921">
        <f>IF(OR(N$4="",$A921&gt;TODAY()),0,IF(OR(INDEX($B921:$D921,N$5)="F",AND(N$6&gt;0,$A921&lt;N$6),AND(N$7&gt;0,$A921&gt;N$7)),0,MAX(0,ROUND((INDEX($E921:$G921,N$5)-SUMIFS(TF_Timer,TF_Tekniker,N$4,TF_Dato,$A921))*2,0)/2)))</f>
        <v/>
      </c>
      <c r="O921">
        <f>IF(OR(O$4="",$A921&gt;TODAY()),0,IF(OR(INDEX($B921:$D921,O$5)="F",AND(O$6&gt;0,$A921&lt;O$6),AND(O$7&gt;0,$A921&gt;O$7)),0,MAX(0,ROUND((INDEX($E921:$G921,O$5)-SUMIFS(TF_Timer,TF_Tekniker,O$4,TF_Dato,$A921))*2,0)/2)))</f>
        <v/>
      </c>
      <c r="P921">
        <f>IF(OR(P$4="",$A921&gt;TODAY()),0,IF(OR(INDEX($B921:$D921,P$5)="F",AND(P$6&gt;0,$A921&lt;P$6),AND(P$7&gt;0,$A921&gt;P$7)),0,MAX(0,ROUND((INDEX($E921:$G921,P$5)-SUMIFS(TF_Timer,TF_Tekniker,P$4,TF_Dato,$A921))*2,0)/2)))</f>
        <v/>
      </c>
      <c r="Q921">
        <f>IF(OR(Q$4="",$A921&gt;TODAY()),0,IF(OR(INDEX($B921:$D921,Q$5)="F",AND(Q$6&gt;0,$A921&lt;Q$6),AND(Q$7&gt;0,$A921&gt;Q$7)),0,MAX(0,ROUND((INDEX($E921:$G921,Q$5)-SUMIFS(TF_Timer,TF_Tekniker,Q$4,TF_Dato,$A921))*2,0)/2)))</f>
        <v/>
      </c>
      <c r="R921">
        <f>IF(OR(R$4="",$A921&gt;TODAY()),0,IF(OR(INDEX($B921:$D921,R$5)="F",AND(R$6&gt;0,$A921&lt;R$6),AND(R$7&gt;0,$A921&gt;R$7)),0,MAX(0,ROUND((INDEX($E921:$G921,R$5)-SUMIFS(TF_Timer,TF_Tekniker,R$4,TF_Dato,$A921))*2,0)/2)))</f>
        <v/>
      </c>
      <c r="S921">
        <f>IF(OR(S$4="",$A921&gt;TODAY()),0,IF(OR(INDEX($B921:$D921,S$5)="F",AND(S$6&gt;0,$A921&lt;S$6),AND(S$7&gt;0,$A921&gt;S$7)),0,MAX(0,ROUND((INDEX($E921:$G921,S$5)-SUMIFS(TF_Timer,TF_Tekniker,S$4,TF_Dato,$A921))*2,0)/2)))</f>
        <v/>
      </c>
      <c r="T921">
        <f>IF(OR(T$4="",$A921&gt;TODAY()),0,IF(OR(INDEX($B921:$D921,T$5)="F",AND(T$6&gt;0,$A921&lt;T$6),AND(T$7&gt;0,$A921&gt;T$7)),0,MAX(0,ROUND((INDEX($E921:$G921,T$5)-SUMIFS(TF_Timer,TF_Tekniker,T$4,TF_Dato,$A921))*2,0)/2)))</f>
        <v/>
      </c>
      <c r="U921">
        <f>IF(OR(U$4="",$A921&gt;TODAY()),0,IF(OR(INDEX($B921:$D921,U$5)="F",AND(U$6&gt;0,$A921&lt;U$6),AND(U$7&gt;0,$A921&gt;U$7)),0,MAX(0,ROUND((INDEX($E921:$G921,U$5)-SUMIFS(TF_Timer,TF_Tekniker,U$4,TF_Dato,$A921))*2,0)/2)))</f>
        <v/>
      </c>
      <c r="V921">
        <f>IF(OR(V$4="",$A921&gt;TODAY()),0,IF(OR(INDEX($B921:$D921,V$5)="F",AND(V$6&gt;0,$A921&lt;V$6),AND(V$7&gt;0,$A921&gt;V$7)),0,MAX(0,ROUND((INDEX($E921:$G921,V$5)-SUMIFS(TF_Timer,TF_Tekniker,V$4,TF_Dato,$A921))*2,0)/2)))</f>
        <v/>
      </c>
      <c r="W921">
        <f>IF(OR(W$4="",$A921&gt;TODAY()),0,IF(OR(INDEX($B921:$D921,W$5)="F",AND(W$6&gt;0,$A921&lt;W$6),AND(W$7&gt;0,$A921&gt;W$7)),0,MAX(0,ROUND((INDEX($E921:$G921,W$5)-SUMIFS(TF_Timer,TF_Tekniker,W$4,TF_Dato,$A921))*2,0)/2)))</f>
        <v/>
      </c>
      <c r="X921">
        <f>IF(OR(X$4="",$A921&gt;TODAY()),0,IF(OR(INDEX($B921:$D921,X$5)="F",AND(X$6&gt;0,$A921&lt;X$6),AND(X$7&gt;0,$A921&gt;X$7)),0,MAX(0,ROUND((INDEX($E921:$G921,X$5)-SUMIFS(TF_Timer,TF_Tekniker,X$4,TF_Dato,$A921))*2,0)/2)))</f>
        <v/>
      </c>
      <c r="Y921">
        <f>IF(OR(Y$4="",$A921&gt;TODAY()),0,IF(OR(INDEX($B921:$D921,Y$5)="F",AND(Y$6&gt;0,$A921&lt;Y$6),AND(Y$7&gt;0,$A921&gt;Y$7)),0,MAX(0,ROUND((INDEX($E921:$G921,Y$5)-SUMIFS(TF_Timer,TF_Tekniker,Y$4,TF_Dato,$A921))*2,0)/2)))</f>
        <v/>
      </c>
      <c r="Z921">
        <f>IF(OR(Z$4="",$A921&gt;TODAY()),0,IF(OR(INDEX($B921:$D921,Z$5)="F",AND(Z$6&gt;0,$A921&lt;Z$6),AND(Z$7&gt;0,$A921&gt;Z$7)),0,MAX(0,ROUND((INDEX($E921:$G921,Z$5)-SUMIFS(TF_Timer,TF_Tekniker,Z$4,TF_Dato,$A921))*2,0)/2)))</f>
        <v/>
      </c>
      <c r="AA921">
        <f>IF(OR(AA$4="",$A921&gt;TODAY()),0,IF(OR(INDEX($B921:$D921,AA$5)="F",AND(AA$6&gt;0,$A921&lt;AA$6),AND(AA$7&gt;0,$A921&gt;AA$7)),0,MAX(0,ROUND((INDEX($E921:$G921,AA$5)-SUMIFS(TF_Timer,TF_Tekniker,AA$4,TF_Dato,$A921))*2,0)/2)))</f>
        <v/>
      </c>
      <c r="AB921">
        <f>IF(OR(AB$4="",$A921&gt;TODAY()),0,IF(OR(INDEX($B921:$D921,AB$5)="F",AND(AB$6&gt;0,$A921&lt;AB$6),AND(AB$7&gt;0,$A921&gt;AB$7)),0,MAX(0,ROUND((INDEX($E921:$G921,AB$5)-SUMIFS(TF_Timer,TF_Tekniker,AB$4,TF_Dato,$A921))*2,0)/2)))</f>
        <v/>
      </c>
      <c r="AC921">
        <f>IF(OR(AC$4="",$A921&gt;TODAY()),0,IF(OR(INDEX($B921:$D921,AC$5)="F",AND(AC$6&gt;0,$A921&lt;AC$6),AND(AC$7&gt;0,$A921&gt;AC$7)),0,MAX(0,ROUND((INDEX($E921:$G921,AC$5)-SUMIFS(TF_Timer,TF_Tekniker,AC$4,TF_Dato,$A921))*2,0)/2)))</f>
        <v/>
      </c>
      <c r="AD921">
        <f>IF(OR(AD$4="",$A921&gt;TODAY()),0,IF(OR(INDEX($B921:$D921,AD$5)="F",AND(AD$6&gt;0,$A921&lt;AD$6),AND(AD$7&gt;0,$A921&gt;AD$7)),0,MAX(0,ROUND((INDEX($E921:$G921,AD$5)-SUMIFS(TF_Timer,TF_Tekniker,AD$4,TF_Dato,$A921))*2,0)/2)))</f>
        <v/>
      </c>
      <c r="AE921">
        <f>IF(OR(AE$4="",$A921&gt;TODAY()),0,IF(OR(INDEX($B921:$D921,AE$5)="F",AND(AE$6&gt;0,$A921&lt;AE$6),AND(AE$7&gt;0,$A921&gt;AE$7)),0,MAX(0,ROUND((INDEX($E921:$G921,AE$5)-SUMIFS(TF_Timer,TF_Tekniker,AE$4,TF_Dato,$A921))*2,0)/2)))</f>
        <v/>
      </c>
      <c r="AF921">
        <f>IF(OR(AF$4="",$A921&gt;TODAY()),0,IF(OR(INDEX($B921:$D921,AF$5)="F",AND(AF$6&gt;0,$A921&lt;AF$6),AND(AF$7&gt;0,$A921&gt;AF$7)),0,MAX(0,ROUND((INDEX($E921:$G921,AF$5)-SUMIFS(TF_Timer,TF_Tekniker,AF$4,TF_Dato,$A921))*2,0)/2)))</f>
        <v/>
      </c>
      <c r="AG921">
        <f>IF(OR(AG$4="",$A921&gt;TODAY()),0,IF(OR(INDEX($B921:$D921,AG$5)="F",AND(AG$6&gt;0,$A921&lt;AG$6),AND(AG$7&gt;0,$A921&gt;AG$7)),0,MAX(0,ROUND((INDEX($E921:$G921,AG$5)-SUMIFS(TF_Timer,TF_Tekniker,AG$4,TF_Dato,$A921))*2,0)/2)))</f>
        <v/>
      </c>
      <c r="AH921">
        <f>IF(OR(AH$4="",$A921&gt;TODAY()),0,IF(OR(INDEX($B921:$D921,AH$5)="F",AND(AH$6&gt;0,$A921&lt;AH$6),AND(AH$7&gt;0,$A921&gt;AH$7)),0,MAX(0,ROUND((INDEX($E921:$G921,AH$5)-SUMIFS(TF_Timer,TF_Tekniker,AH$4,TF_Dato,$A921))*2,0)/2)))</f>
        <v/>
      </c>
      <c r="AI921">
        <f>IF(OR(AI$4="",$A921&gt;TODAY()),0,IF(OR(INDEX($B921:$D921,AI$5)="F",AND(AI$6&gt;0,$A921&lt;AI$6),AND(AI$7&gt;0,$A921&gt;AI$7)),0,MAX(0,ROUND((INDEX($E921:$G921,AI$5)-SUMIFS(TF_Timer,TF_Tekniker,AI$4,TF_Dato,$A921))*2,0)/2)))</f>
        <v/>
      </c>
      <c r="AJ921">
        <f>IF(OR(AJ$4="",$A921&gt;TODAY()),0,IF(OR(INDEX($B921:$D921,AJ$5)="F",AND(AJ$6&gt;0,$A921&lt;AJ$6),AND(AJ$7&gt;0,$A921&gt;AJ$7)),0,MAX(0,ROUND((INDEX($E921:$G921,AJ$5)-SUMIFS(TF_Timer,TF_Tekniker,AJ$4,TF_Dato,$A921))*2,0)/2)))</f>
        <v/>
      </c>
      <c r="AK921">
        <f>IF(OR(AK$4="",$A921&gt;TODAY()),0,IF(OR(INDEX($B921:$D921,AK$5)="F",AND(AK$6&gt;0,$A921&lt;AK$6),AND(AK$7&gt;0,$A921&gt;AK$7)),0,MAX(0,ROUND((INDEX($E921:$G921,AK$5)-SUMIFS(TF_Timer,TF_Tekniker,AK$4,TF_Dato,$A921))*2,0)/2)))</f>
        <v/>
      </c>
      <c r="AL921">
        <f>IF(OR(AL$4="",$A921&gt;TODAY()),0,IF(OR(INDEX($B921:$D921,AL$5)="F",AND(AL$6&gt;0,$A921&lt;AL$6),AND(AL$7&gt;0,$A921&gt;AL$7)),0,MAX(0,ROUND((INDEX($E921:$G921,AL$5)-SUMIFS(TF_Timer,TF_Tekniker,AL$4,TF_Dato,$A921))*2,0)/2)))</f>
        <v/>
      </c>
      <c r="AM921">
        <f>IF(OR(AM$4="",$A921&gt;TODAY()),0,IF(OR(INDEX($B921:$D921,AM$5)="F",AND(AM$6&gt;0,$A921&lt;AM$6),AND(AM$7&gt;0,$A921&gt;AM$7)),0,MAX(0,ROUND((INDEX($E921:$G921,AM$5)-SUMIFS(TF_Timer,TF_Tekniker,AM$4,TF_Dato,$A921))*2,0)/2)))</f>
        <v/>
      </c>
      <c r="AN921">
        <f>IF(OR(AN$4="",$A921&gt;TODAY()),0,IF(OR(INDEX($B921:$D921,AN$5)="F",AND(AN$6&gt;0,$A921&lt;AN$6),AND(AN$7&gt;0,$A921&gt;AN$7)),0,MAX(0,ROUND((INDEX($E921:$G921,AN$5)-SUMIFS(TF_Timer,TF_Tekniker,AN$4,TF_Dato,$A921))*2,0)/2)))</f>
        <v/>
      </c>
      <c r="AO921">
        <f>IF(OR(AO$4="",$A921&gt;TODAY()),0,IF(OR(INDEX($B921:$D921,AO$5)="F",AND(AO$6&gt;0,$A921&lt;AO$6),AND(AO$7&gt;0,$A921&gt;AO$7)),0,MAX(0,ROUND((INDEX($E921:$G921,AO$5)-SUMIFS(TF_Timer,TF_Tekniker,AO$4,TF_Dato,$A921))*2,0)/2)))</f>
        <v/>
      </c>
      <c r="AP921">
        <f>IF(OR(AP$4="",$A921&gt;TODAY()),0,IF(OR(INDEX($B921:$D921,AP$5)="F",AND(AP$6&gt;0,$A921&lt;AP$6),AND(AP$7&gt;0,$A921&gt;AP$7)),0,MAX(0,ROUND((INDEX($E921:$G921,AP$5)-SUMIFS(TF_Timer,TF_Tekniker,AP$4,TF_Dato,$A921))*2,0)/2)))</f>
        <v/>
      </c>
      <c r="AQ921">
        <f>IF(OR(AQ$4="",$A921&gt;TODAY()),0,IF(OR(INDEX($B921:$D921,AQ$5)="F",AND(AQ$6&gt;0,$A921&lt;AQ$6),AND(AQ$7&gt;0,$A921&gt;AQ$7)),0,MAX(0,ROUND((INDEX($E921:$G921,AQ$5)-SUMIFS(TF_Timer,TF_Tekniker,AQ$4,TF_Dato,$A921))*2,0)/2)))</f>
        <v/>
      </c>
      <c r="AR921">
        <f>IF(OR(AR$4="",$A921&gt;TODAY()),0,IF(OR(INDEX($B921:$D921,AR$5)="F",AND(AR$6&gt;0,$A921&lt;AR$6),AND(AR$7&gt;0,$A921&gt;AR$7)),0,MAX(0,ROUND((INDEX($E921:$G921,AR$5)-SUMIFS(TF_Timer,TF_Tekniker,AR$4,TF_Dato,$A921))*2,0)/2)))</f>
        <v/>
      </c>
      <c r="AS921">
        <f>IF(OR(AS$4="",$A921&gt;TODAY()),0,IF(OR(INDEX($B921:$D921,AS$5)="F",AND(AS$6&gt;0,$A921&lt;AS$6),AND(AS$7&gt;0,$A921&gt;AS$7)),0,MAX(0,ROUND((INDEX($E921:$G921,AS$5)-SUMIFS(TF_Timer,TF_Tekniker,AS$4,TF_Dato,$A921))*2,0)/2)))</f>
        <v/>
      </c>
      <c r="AT921">
        <f>IF(OR(AT$4="",$A921&gt;TODAY()),0,IF(OR(INDEX($B921:$D921,AT$5)="F",AND(AT$6&gt;0,$A921&lt;AT$6),AND(AT$7&gt;0,$A921&gt;AT$7)),0,MAX(0,ROUND((INDEX($E921:$G921,AT$5)-SUMIFS(TF_Timer,TF_Tekniker,AT$4,TF_Dato,$A921))*2,0)/2)))</f>
        <v/>
      </c>
      <c r="AU921">
        <f>IF(OR(AU$4="",$A921&gt;TODAY()),0,IF(OR(INDEX($B921:$D921,AU$5)="F",AND(AU$6&gt;0,$A921&lt;AU$6),AND(AU$7&gt;0,$A921&gt;AU$7)),0,MAX(0,ROUND((INDEX($E921:$G921,AU$5)-SUMIFS(TF_Timer,TF_Tekniker,AU$4,TF_Dato,$A921))*2,0)/2)))</f>
        <v/>
      </c>
      <c r="AV921">
        <f>IF(OR(AV$4="",$A921&gt;TODAY()),0,IF(OR(INDEX($B921:$D921,AV$5)="F",AND(AV$6&gt;0,$A921&lt;AV$6),AND(AV$7&gt;0,$A921&gt;AV$7)),0,MAX(0,ROUND((INDEX($E921:$G921,AV$5)-SUMIFS(TF_Timer,TF_Tekniker,AV$4,TF_Dato,$A921))*2,0)/2)))</f>
        <v/>
      </c>
      <c r="AW921">
        <f>IF(OR(AW$4="",$A921&gt;TODAY()),0,IF(OR(INDEX($B921:$D921,AW$5)="F",AND(AW$6&gt;0,$A921&lt;AW$6),AND(AW$7&gt;0,$A921&gt;AW$7)),0,MAX(0,ROUND((INDEX($E921:$G921,AW$5)-SUMIFS(TF_Timer,TF_Tekniker,AW$4,TF_Dato,$A921))*2,0)/2)))</f>
        <v/>
      </c>
      <c r="AX921">
        <f>IF(OR(AX$4="",$A921&gt;TODAY()),0,IF(OR(INDEX($B921:$D921,AX$5)="F",AND(AX$6&gt;0,$A921&lt;AX$6),AND(AX$7&gt;0,$A921&gt;AX$7)),0,MAX(0,ROUND((INDEX($E921:$G921,AX$5)-SUMIFS(TF_Timer,TF_Tekniker,AX$4,TF_Dato,$A921))*2,0)/2)))</f>
        <v/>
      </c>
      <c r="AY921">
        <f>IF(OR(AY$4="",$A921&gt;TODAY()),0,IF(OR(INDEX($B921:$D921,AY$5)="F",AND(AY$6&gt;0,$A921&lt;AY$6),AND(AY$7&gt;0,$A921&gt;AY$7)),0,MAX(0,ROUND((INDEX($E921:$G921,AY$5)-SUMIFS(TF_Timer,TF_Tekniker,AY$4,TF_Dato,$A921))*2,0)/2)))</f>
        <v/>
      </c>
      <c r="AZ921">
        <f>IF(OR(AZ$4="",$A921&gt;TODAY()),0,IF(OR(INDEX($B921:$D921,AZ$5)="F",AND(AZ$6&gt;0,$A921&lt;AZ$6),AND(AZ$7&gt;0,$A921&gt;AZ$7)),0,MAX(0,ROUND((INDEX($E921:$G921,AZ$5)-SUMIFS(TF_Timer,TF_Tekniker,AZ$4,TF_Dato,$A921))*2,0)/2)))</f>
        <v/>
      </c>
      <c r="BA921">
        <f>IF(OR(BA$4="",$A921&gt;TODAY()),0,IF(OR(INDEX($B921:$D921,BA$5)="F",AND(BA$6&gt;0,$A921&lt;BA$6),AND(BA$7&gt;0,$A921&gt;BA$7)),0,MAX(0,ROUND((INDEX($E921:$G921,BA$5)-SUMIFS(TF_Timer,TF_Tekniker,BA$4,TF_Dato,$A921))*2,0)/2)))</f>
        <v/>
      </c>
      <c r="BB921">
        <f>IF(OR(BB$4="",$A921&gt;TODAY()),0,IF(OR(INDEX($B921:$D921,BB$5)="F",AND(BB$6&gt;0,$A921&lt;BB$6),AND(BB$7&gt;0,$A921&gt;BB$7)),0,MAX(0,ROUND((INDEX($E921:$G921,BB$5)-SUMIFS(TF_Timer,TF_Tekniker,BB$4,TF_Dato,$A921))*2,0)/2)))</f>
        <v/>
      </c>
      <c r="BC921">
        <f>IF(OR(BC$4="",$A921&gt;TODAY()),0,IF(OR(INDEX($B921:$D921,BC$5)="F",AND(BC$6&gt;0,$A921&lt;BC$6),AND(BC$7&gt;0,$A921&gt;BC$7)),0,MAX(0,ROUND((INDEX($E921:$G921,BC$5)-SUMIFS(TF_Timer,TF_Tekniker,BC$4,TF_Dato,$A921))*2,0)/2)))</f>
        <v/>
      </c>
      <c r="BD921">
        <f>IF(OR(BD$4="",$A921&gt;TODAY()),0,IF(OR(INDEX($B921:$D921,BD$5)="F",AND(BD$6&gt;0,$A921&lt;BD$6),AND(BD$7&gt;0,$A921&gt;BD$7)),0,MAX(0,ROUND((INDEX($E921:$G921,BD$5)-SUMIFS(TF_Timer,TF_Tekniker,BD$4,TF_Dato,$A921))*2,0)/2)))</f>
        <v/>
      </c>
      <c r="BE921">
        <f>IF(OR(BE$4="",$A921&gt;TODAY()),0,IF(OR(INDEX($B921:$D921,BE$5)="F",AND(BE$6&gt;0,$A921&lt;BE$6),AND(BE$7&gt;0,$A921&gt;BE$7)),0,MAX(0,ROUND((INDEX($E921:$G921,BE$5)-SUMIFS(TF_Timer,TF_Tekniker,BE$4,TF_Dato,$A921))*2,0)/2)))</f>
        <v/>
      </c>
      <c r="BF921">
        <f>IF(OR(BF$4="",$A921&gt;TODAY()),0,IF(OR(INDEX($B921:$D921,BF$5)="F",AND(BF$6&gt;0,$A921&lt;BF$6),AND(BF$7&gt;0,$A921&gt;BF$7)),0,MAX(0,ROUND((INDEX($E921:$G921,BF$5)-SUMIFS(TF_Timer,TF_Tekniker,BF$4,TF_Dato,$A921))*2,0)/2)))</f>
        <v/>
      </c>
      <c r="BG921">
        <f>IF(OR(BG$4="",$A921&gt;TODAY()),0,IF(OR(INDEX($B921:$D921,BG$5)="F",AND(BG$6&gt;0,$A921&lt;BG$6),AND(BG$7&gt;0,$A921&gt;BG$7)),0,MAX(0,ROUND((INDEX($E921:$G921,BG$5)-SUMIFS(TF_Timer,TF_Tekniker,BG$4,TF_Dato,$A921))*2,0)/2)))</f>
        <v/>
      </c>
      <c r="BH921">
        <f>IF(OR(BH$4="",$A921&gt;TODAY()),0,IF(OR(INDEX($B921:$D921,BH$5)="F",AND(BH$6&gt;0,$A921&lt;BH$6),AND(BH$7&gt;0,$A921&gt;BH$7)),0,MAX(0,ROUND((INDEX($E921:$G921,BH$5)-SUMIFS(TF_Timer,TF_Tekniker,BH$4,TF_Dato,$A921))*2,0)/2)))</f>
        <v/>
      </c>
      <c r="BI921">
        <f>IF(OR(BI$4="",$A921&gt;TODAY()),0,IF(OR(INDEX($B921:$D921,BI$5)="F",AND(BI$6&gt;0,$A921&lt;BI$6),AND(BI$7&gt;0,$A921&gt;BI$7)),0,MAX(0,ROUND((INDEX($E921:$G921,BI$5)-SUMIFS(TF_Timer,TF_Tekniker,BI$4,TF_Dato,$A921))*2,0)/2)))</f>
        <v/>
      </c>
    </row>
    <row r="922">
      <c r="A922" s="64">
        <f>A921+1</f>
        <v/>
      </c>
      <c r="B922">
        <f>IF(MOD($A922-INDEX(SkiftStart,1),Syklus)&lt;DagK,"K",IF(MOD($A922-INDEX(SkiftStart,1),Syklus)&lt;DagK+DagH,"H",IF(MOD($A922-INDEX(SkiftStart,1),Syklus)&lt;DagK+DagH+DagD,"D","F")))</f>
        <v/>
      </c>
      <c r="C922">
        <f>IF(MOD($A922-INDEX(SkiftStart,2),Syklus)&lt;DagK,"K",IF(MOD($A922-INDEX(SkiftStart,2),Syklus)&lt;DagK+DagH,"H",IF(MOD($A922-INDEX(SkiftStart,2),Syklus)&lt;DagK+DagH+DagD,"D","F")))</f>
        <v/>
      </c>
      <c r="D922">
        <f>IF(MOD($A922-INDEX(SkiftStart,3),Syklus)&lt;DagK,"K",IF(MOD($A922-INDEX(SkiftStart,3),Syklus)&lt;DagK+DagH,"H",IF(MOD($A922-INDEX(SkiftStart,3),Syklus)&lt;DagK+DagH+DagD,"D","F")))</f>
        <v/>
      </c>
      <c r="E922">
        <f>IF(B922="F",0,IF(WEEKDAY($A922,2)=5,INDEX(TimerFr,MATCH(B922,FaseKode,0)),INDEX(TimerMT,MATCH(B922,FaseKode,0))))</f>
        <v/>
      </c>
      <c r="F922">
        <f>IF(C922="F",0,IF(WEEKDAY($A922,2)=5,INDEX(TimerFr,MATCH(C922,FaseKode,0)),INDEX(TimerMT,MATCH(C922,FaseKode,0))))</f>
        <v/>
      </c>
      <c r="G922">
        <f>IF(D922="F",0,IF(WEEKDAY($A922,2)=5,INDEX(TimerFr,MATCH(D922,FaseKode,0)),INDEX(TimerMT,MATCH(D922,FaseKode,0))))</f>
        <v/>
      </c>
      <c r="H922">
        <f>IF(OR(H$4="",$A922&gt;TODAY()),0,IF(OR(INDEX($B922:$D922,H$5)="F",AND(H$6&gt;0,$A922&lt;H$6),AND(H$7&gt;0,$A922&gt;H$7)),0,MAX(0,ROUND((INDEX($E922:$G922,H$5)-SUMIFS(TF_Timer,TF_Tekniker,H$4,TF_Dato,$A922))*2,0)/2)))</f>
        <v/>
      </c>
      <c r="I922">
        <f>IF(OR(I$4="",$A922&gt;TODAY()),0,IF(OR(INDEX($B922:$D922,I$5)="F",AND(I$6&gt;0,$A922&lt;I$6),AND(I$7&gt;0,$A922&gt;I$7)),0,MAX(0,ROUND((INDEX($E922:$G922,I$5)-SUMIFS(TF_Timer,TF_Tekniker,I$4,TF_Dato,$A922))*2,0)/2)))</f>
        <v/>
      </c>
      <c r="J922">
        <f>IF(OR(J$4="",$A922&gt;TODAY()),0,IF(OR(INDEX($B922:$D922,J$5)="F",AND(J$6&gt;0,$A922&lt;J$6),AND(J$7&gt;0,$A922&gt;J$7)),0,MAX(0,ROUND((INDEX($E922:$G922,J$5)-SUMIFS(TF_Timer,TF_Tekniker,J$4,TF_Dato,$A922))*2,0)/2)))</f>
        <v/>
      </c>
      <c r="K922">
        <f>IF(OR(K$4="",$A922&gt;TODAY()),0,IF(OR(INDEX($B922:$D922,K$5)="F",AND(K$6&gt;0,$A922&lt;K$6),AND(K$7&gt;0,$A922&gt;K$7)),0,MAX(0,ROUND((INDEX($E922:$G922,K$5)-SUMIFS(TF_Timer,TF_Tekniker,K$4,TF_Dato,$A922))*2,0)/2)))</f>
        <v/>
      </c>
      <c r="L922">
        <f>IF(OR(L$4="",$A922&gt;TODAY()),0,IF(OR(INDEX($B922:$D922,L$5)="F",AND(L$6&gt;0,$A922&lt;L$6),AND(L$7&gt;0,$A922&gt;L$7)),0,MAX(0,ROUND((INDEX($E922:$G922,L$5)-SUMIFS(TF_Timer,TF_Tekniker,L$4,TF_Dato,$A922))*2,0)/2)))</f>
        <v/>
      </c>
      <c r="M922">
        <f>IF(OR(M$4="",$A922&gt;TODAY()),0,IF(OR(INDEX($B922:$D922,M$5)="F",AND(M$6&gt;0,$A922&lt;M$6),AND(M$7&gt;0,$A922&gt;M$7)),0,MAX(0,ROUND((INDEX($E922:$G922,M$5)-SUMIFS(TF_Timer,TF_Tekniker,M$4,TF_Dato,$A922))*2,0)/2)))</f>
        <v/>
      </c>
      <c r="N922">
        <f>IF(OR(N$4="",$A922&gt;TODAY()),0,IF(OR(INDEX($B922:$D922,N$5)="F",AND(N$6&gt;0,$A922&lt;N$6),AND(N$7&gt;0,$A922&gt;N$7)),0,MAX(0,ROUND((INDEX($E922:$G922,N$5)-SUMIFS(TF_Timer,TF_Tekniker,N$4,TF_Dato,$A922))*2,0)/2)))</f>
        <v/>
      </c>
      <c r="O922">
        <f>IF(OR(O$4="",$A922&gt;TODAY()),0,IF(OR(INDEX($B922:$D922,O$5)="F",AND(O$6&gt;0,$A922&lt;O$6),AND(O$7&gt;0,$A922&gt;O$7)),0,MAX(0,ROUND((INDEX($E922:$G922,O$5)-SUMIFS(TF_Timer,TF_Tekniker,O$4,TF_Dato,$A922))*2,0)/2)))</f>
        <v/>
      </c>
      <c r="P922">
        <f>IF(OR(P$4="",$A922&gt;TODAY()),0,IF(OR(INDEX($B922:$D922,P$5)="F",AND(P$6&gt;0,$A922&lt;P$6),AND(P$7&gt;0,$A922&gt;P$7)),0,MAX(0,ROUND((INDEX($E922:$G922,P$5)-SUMIFS(TF_Timer,TF_Tekniker,P$4,TF_Dato,$A922))*2,0)/2)))</f>
        <v/>
      </c>
      <c r="Q922">
        <f>IF(OR(Q$4="",$A922&gt;TODAY()),0,IF(OR(INDEX($B922:$D922,Q$5)="F",AND(Q$6&gt;0,$A922&lt;Q$6),AND(Q$7&gt;0,$A922&gt;Q$7)),0,MAX(0,ROUND((INDEX($E922:$G922,Q$5)-SUMIFS(TF_Timer,TF_Tekniker,Q$4,TF_Dato,$A922))*2,0)/2)))</f>
        <v/>
      </c>
      <c r="R922">
        <f>IF(OR(R$4="",$A922&gt;TODAY()),0,IF(OR(INDEX($B922:$D922,R$5)="F",AND(R$6&gt;0,$A922&lt;R$6),AND(R$7&gt;0,$A922&gt;R$7)),0,MAX(0,ROUND((INDEX($E922:$G922,R$5)-SUMIFS(TF_Timer,TF_Tekniker,R$4,TF_Dato,$A922))*2,0)/2)))</f>
        <v/>
      </c>
      <c r="S922">
        <f>IF(OR(S$4="",$A922&gt;TODAY()),0,IF(OR(INDEX($B922:$D922,S$5)="F",AND(S$6&gt;0,$A922&lt;S$6),AND(S$7&gt;0,$A922&gt;S$7)),0,MAX(0,ROUND((INDEX($E922:$G922,S$5)-SUMIFS(TF_Timer,TF_Tekniker,S$4,TF_Dato,$A922))*2,0)/2)))</f>
        <v/>
      </c>
      <c r="T922">
        <f>IF(OR(T$4="",$A922&gt;TODAY()),0,IF(OR(INDEX($B922:$D922,T$5)="F",AND(T$6&gt;0,$A922&lt;T$6),AND(T$7&gt;0,$A922&gt;T$7)),0,MAX(0,ROUND((INDEX($E922:$G922,T$5)-SUMIFS(TF_Timer,TF_Tekniker,T$4,TF_Dato,$A922))*2,0)/2)))</f>
        <v/>
      </c>
      <c r="U922">
        <f>IF(OR(U$4="",$A922&gt;TODAY()),0,IF(OR(INDEX($B922:$D922,U$5)="F",AND(U$6&gt;0,$A922&lt;U$6),AND(U$7&gt;0,$A922&gt;U$7)),0,MAX(0,ROUND((INDEX($E922:$G922,U$5)-SUMIFS(TF_Timer,TF_Tekniker,U$4,TF_Dato,$A922))*2,0)/2)))</f>
        <v/>
      </c>
      <c r="V922">
        <f>IF(OR(V$4="",$A922&gt;TODAY()),0,IF(OR(INDEX($B922:$D922,V$5)="F",AND(V$6&gt;0,$A922&lt;V$6),AND(V$7&gt;0,$A922&gt;V$7)),0,MAX(0,ROUND((INDEX($E922:$G922,V$5)-SUMIFS(TF_Timer,TF_Tekniker,V$4,TF_Dato,$A922))*2,0)/2)))</f>
        <v/>
      </c>
      <c r="W922">
        <f>IF(OR(W$4="",$A922&gt;TODAY()),0,IF(OR(INDEX($B922:$D922,W$5)="F",AND(W$6&gt;0,$A922&lt;W$6),AND(W$7&gt;0,$A922&gt;W$7)),0,MAX(0,ROUND((INDEX($E922:$G922,W$5)-SUMIFS(TF_Timer,TF_Tekniker,W$4,TF_Dato,$A922))*2,0)/2)))</f>
        <v/>
      </c>
      <c r="X922">
        <f>IF(OR(X$4="",$A922&gt;TODAY()),0,IF(OR(INDEX($B922:$D922,X$5)="F",AND(X$6&gt;0,$A922&lt;X$6),AND(X$7&gt;0,$A922&gt;X$7)),0,MAX(0,ROUND((INDEX($E922:$G922,X$5)-SUMIFS(TF_Timer,TF_Tekniker,X$4,TF_Dato,$A922))*2,0)/2)))</f>
        <v/>
      </c>
      <c r="Y922">
        <f>IF(OR(Y$4="",$A922&gt;TODAY()),0,IF(OR(INDEX($B922:$D922,Y$5)="F",AND(Y$6&gt;0,$A922&lt;Y$6),AND(Y$7&gt;0,$A922&gt;Y$7)),0,MAX(0,ROUND((INDEX($E922:$G922,Y$5)-SUMIFS(TF_Timer,TF_Tekniker,Y$4,TF_Dato,$A922))*2,0)/2)))</f>
        <v/>
      </c>
      <c r="Z922">
        <f>IF(OR(Z$4="",$A922&gt;TODAY()),0,IF(OR(INDEX($B922:$D922,Z$5)="F",AND(Z$6&gt;0,$A922&lt;Z$6),AND(Z$7&gt;0,$A922&gt;Z$7)),0,MAX(0,ROUND((INDEX($E922:$G922,Z$5)-SUMIFS(TF_Timer,TF_Tekniker,Z$4,TF_Dato,$A922))*2,0)/2)))</f>
        <v/>
      </c>
      <c r="AA922">
        <f>IF(OR(AA$4="",$A922&gt;TODAY()),0,IF(OR(INDEX($B922:$D922,AA$5)="F",AND(AA$6&gt;0,$A922&lt;AA$6),AND(AA$7&gt;0,$A922&gt;AA$7)),0,MAX(0,ROUND((INDEX($E922:$G922,AA$5)-SUMIFS(TF_Timer,TF_Tekniker,AA$4,TF_Dato,$A922))*2,0)/2)))</f>
        <v/>
      </c>
      <c r="AB922">
        <f>IF(OR(AB$4="",$A922&gt;TODAY()),0,IF(OR(INDEX($B922:$D922,AB$5)="F",AND(AB$6&gt;0,$A922&lt;AB$6),AND(AB$7&gt;0,$A922&gt;AB$7)),0,MAX(0,ROUND((INDEX($E922:$G922,AB$5)-SUMIFS(TF_Timer,TF_Tekniker,AB$4,TF_Dato,$A922))*2,0)/2)))</f>
        <v/>
      </c>
      <c r="AC922">
        <f>IF(OR(AC$4="",$A922&gt;TODAY()),0,IF(OR(INDEX($B922:$D922,AC$5)="F",AND(AC$6&gt;0,$A922&lt;AC$6),AND(AC$7&gt;0,$A922&gt;AC$7)),0,MAX(0,ROUND((INDEX($E922:$G922,AC$5)-SUMIFS(TF_Timer,TF_Tekniker,AC$4,TF_Dato,$A922))*2,0)/2)))</f>
        <v/>
      </c>
      <c r="AD922">
        <f>IF(OR(AD$4="",$A922&gt;TODAY()),0,IF(OR(INDEX($B922:$D922,AD$5)="F",AND(AD$6&gt;0,$A922&lt;AD$6),AND(AD$7&gt;0,$A922&gt;AD$7)),0,MAX(0,ROUND((INDEX($E922:$G922,AD$5)-SUMIFS(TF_Timer,TF_Tekniker,AD$4,TF_Dato,$A922))*2,0)/2)))</f>
        <v/>
      </c>
      <c r="AE922">
        <f>IF(OR(AE$4="",$A922&gt;TODAY()),0,IF(OR(INDEX($B922:$D922,AE$5)="F",AND(AE$6&gt;0,$A922&lt;AE$6),AND(AE$7&gt;0,$A922&gt;AE$7)),0,MAX(0,ROUND((INDEX($E922:$G922,AE$5)-SUMIFS(TF_Timer,TF_Tekniker,AE$4,TF_Dato,$A922))*2,0)/2)))</f>
        <v/>
      </c>
      <c r="AF922">
        <f>IF(OR(AF$4="",$A922&gt;TODAY()),0,IF(OR(INDEX($B922:$D922,AF$5)="F",AND(AF$6&gt;0,$A922&lt;AF$6),AND(AF$7&gt;0,$A922&gt;AF$7)),0,MAX(0,ROUND((INDEX($E922:$G922,AF$5)-SUMIFS(TF_Timer,TF_Tekniker,AF$4,TF_Dato,$A922))*2,0)/2)))</f>
        <v/>
      </c>
      <c r="AG922">
        <f>IF(OR(AG$4="",$A922&gt;TODAY()),0,IF(OR(INDEX($B922:$D922,AG$5)="F",AND(AG$6&gt;0,$A922&lt;AG$6),AND(AG$7&gt;0,$A922&gt;AG$7)),0,MAX(0,ROUND((INDEX($E922:$G922,AG$5)-SUMIFS(TF_Timer,TF_Tekniker,AG$4,TF_Dato,$A922))*2,0)/2)))</f>
        <v/>
      </c>
      <c r="AH922">
        <f>IF(OR(AH$4="",$A922&gt;TODAY()),0,IF(OR(INDEX($B922:$D922,AH$5)="F",AND(AH$6&gt;0,$A922&lt;AH$6),AND(AH$7&gt;0,$A922&gt;AH$7)),0,MAX(0,ROUND((INDEX($E922:$G922,AH$5)-SUMIFS(TF_Timer,TF_Tekniker,AH$4,TF_Dato,$A922))*2,0)/2)))</f>
        <v/>
      </c>
      <c r="AI922">
        <f>IF(OR(AI$4="",$A922&gt;TODAY()),0,IF(OR(INDEX($B922:$D922,AI$5)="F",AND(AI$6&gt;0,$A922&lt;AI$6),AND(AI$7&gt;0,$A922&gt;AI$7)),0,MAX(0,ROUND((INDEX($E922:$G922,AI$5)-SUMIFS(TF_Timer,TF_Tekniker,AI$4,TF_Dato,$A922))*2,0)/2)))</f>
        <v/>
      </c>
      <c r="AJ922">
        <f>IF(OR(AJ$4="",$A922&gt;TODAY()),0,IF(OR(INDEX($B922:$D922,AJ$5)="F",AND(AJ$6&gt;0,$A922&lt;AJ$6),AND(AJ$7&gt;0,$A922&gt;AJ$7)),0,MAX(0,ROUND((INDEX($E922:$G922,AJ$5)-SUMIFS(TF_Timer,TF_Tekniker,AJ$4,TF_Dato,$A922))*2,0)/2)))</f>
        <v/>
      </c>
      <c r="AK922">
        <f>IF(OR(AK$4="",$A922&gt;TODAY()),0,IF(OR(INDEX($B922:$D922,AK$5)="F",AND(AK$6&gt;0,$A922&lt;AK$6),AND(AK$7&gt;0,$A922&gt;AK$7)),0,MAX(0,ROUND((INDEX($E922:$G922,AK$5)-SUMIFS(TF_Timer,TF_Tekniker,AK$4,TF_Dato,$A922))*2,0)/2)))</f>
        <v/>
      </c>
      <c r="AL922">
        <f>IF(OR(AL$4="",$A922&gt;TODAY()),0,IF(OR(INDEX($B922:$D922,AL$5)="F",AND(AL$6&gt;0,$A922&lt;AL$6),AND(AL$7&gt;0,$A922&gt;AL$7)),0,MAX(0,ROUND((INDEX($E922:$G922,AL$5)-SUMIFS(TF_Timer,TF_Tekniker,AL$4,TF_Dato,$A922))*2,0)/2)))</f>
        <v/>
      </c>
      <c r="AM922">
        <f>IF(OR(AM$4="",$A922&gt;TODAY()),0,IF(OR(INDEX($B922:$D922,AM$5)="F",AND(AM$6&gt;0,$A922&lt;AM$6),AND(AM$7&gt;0,$A922&gt;AM$7)),0,MAX(0,ROUND((INDEX($E922:$G922,AM$5)-SUMIFS(TF_Timer,TF_Tekniker,AM$4,TF_Dato,$A922))*2,0)/2)))</f>
        <v/>
      </c>
      <c r="AN922">
        <f>IF(OR(AN$4="",$A922&gt;TODAY()),0,IF(OR(INDEX($B922:$D922,AN$5)="F",AND(AN$6&gt;0,$A922&lt;AN$6),AND(AN$7&gt;0,$A922&gt;AN$7)),0,MAX(0,ROUND((INDEX($E922:$G922,AN$5)-SUMIFS(TF_Timer,TF_Tekniker,AN$4,TF_Dato,$A922))*2,0)/2)))</f>
        <v/>
      </c>
      <c r="AO922">
        <f>IF(OR(AO$4="",$A922&gt;TODAY()),0,IF(OR(INDEX($B922:$D922,AO$5)="F",AND(AO$6&gt;0,$A922&lt;AO$6),AND(AO$7&gt;0,$A922&gt;AO$7)),0,MAX(0,ROUND((INDEX($E922:$G922,AO$5)-SUMIFS(TF_Timer,TF_Tekniker,AO$4,TF_Dato,$A922))*2,0)/2)))</f>
        <v/>
      </c>
      <c r="AP922">
        <f>IF(OR(AP$4="",$A922&gt;TODAY()),0,IF(OR(INDEX($B922:$D922,AP$5)="F",AND(AP$6&gt;0,$A922&lt;AP$6),AND(AP$7&gt;0,$A922&gt;AP$7)),0,MAX(0,ROUND((INDEX($E922:$G922,AP$5)-SUMIFS(TF_Timer,TF_Tekniker,AP$4,TF_Dato,$A922))*2,0)/2)))</f>
        <v/>
      </c>
      <c r="AQ922">
        <f>IF(OR(AQ$4="",$A922&gt;TODAY()),0,IF(OR(INDEX($B922:$D922,AQ$5)="F",AND(AQ$6&gt;0,$A922&lt;AQ$6),AND(AQ$7&gt;0,$A922&gt;AQ$7)),0,MAX(0,ROUND((INDEX($E922:$G922,AQ$5)-SUMIFS(TF_Timer,TF_Tekniker,AQ$4,TF_Dato,$A922))*2,0)/2)))</f>
        <v/>
      </c>
      <c r="AR922">
        <f>IF(OR(AR$4="",$A922&gt;TODAY()),0,IF(OR(INDEX($B922:$D922,AR$5)="F",AND(AR$6&gt;0,$A922&lt;AR$6),AND(AR$7&gt;0,$A922&gt;AR$7)),0,MAX(0,ROUND((INDEX($E922:$G922,AR$5)-SUMIFS(TF_Timer,TF_Tekniker,AR$4,TF_Dato,$A922))*2,0)/2)))</f>
        <v/>
      </c>
      <c r="AS922">
        <f>IF(OR(AS$4="",$A922&gt;TODAY()),0,IF(OR(INDEX($B922:$D922,AS$5)="F",AND(AS$6&gt;0,$A922&lt;AS$6),AND(AS$7&gt;0,$A922&gt;AS$7)),0,MAX(0,ROUND((INDEX($E922:$G922,AS$5)-SUMIFS(TF_Timer,TF_Tekniker,AS$4,TF_Dato,$A922))*2,0)/2)))</f>
        <v/>
      </c>
      <c r="AT922">
        <f>IF(OR(AT$4="",$A922&gt;TODAY()),0,IF(OR(INDEX($B922:$D922,AT$5)="F",AND(AT$6&gt;0,$A922&lt;AT$6),AND(AT$7&gt;0,$A922&gt;AT$7)),0,MAX(0,ROUND((INDEX($E922:$G922,AT$5)-SUMIFS(TF_Timer,TF_Tekniker,AT$4,TF_Dato,$A922))*2,0)/2)))</f>
        <v/>
      </c>
      <c r="AU922">
        <f>IF(OR(AU$4="",$A922&gt;TODAY()),0,IF(OR(INDEX($B922:$D922,AU$5)="F",AND(AU$6&gt;0,$A922&lt;AU$6),AND(AU$7&gt;0,$A922&gt;AU$7)),0,MAX(0,ROUND((INDEX($E922:$G922,AU$5)-SUMIFS(TF_Timer,TF_Tekniker,AU$4,TF_Dato,$A922))*2,0)/2)))</f>
        <v/>
      </c>
      <c r="AV922">
        <f>IF(OR(AV$4="",$A922&gt;TODAY()),0,IF(OR(INDEX($B922:$D922,AV$5)="F",AND(AV$6&gt;0,$A922&lt;AV$6),AND(AV$7&gt;0,$A922&gt;AV$7)),0,MAX(0,ROUND((INDEX($E922:$G922,AV$5)-SUMIFS(TF_Timer,TF_Tekniker,AV$4,TF_Dato,$A922))*2,0)/2)))</f>
        <v/>
      </c>
      <c r="AW922">
        <f>IF(OR(AW$4="",$A922&gt;TODAY()),0,IF(OR(INDEX($B922:$D922,AW$5)="F",AND(AW$6&gt;0,$A922&lt;AW$6),AND(AW$7&gt;0,$A922&gt;AW$7)),0,MAX(0,ROUND((INDEX($E922:$G922,AW$5)-SUMIFS(TF_Timer,TF_Tekniker,AW$4,TF_Dato,$A922))*2,0)/2)))</f>
        <v/>
      </c>
      <c r="AX922">
        <f>IF(OR(AX$4="",$A922&gt;TODAY()),0,IF(OR(INDEX($B922:$D922,AX$5)="F",AND(AX$6&gt;0,$A922&lt;AX$6),AND(AX$7&gt;0,$A922&gt;AX$7)),0,MAX(0,ROUND((INDEX($E922:$G922,AX$5)-SUMIFS(TF_Timer,TF_Tekniker,AX$4,TF_Dato,$A922))*2,0)/2)))</f>
        <v/>
      </c>
      <c r="AY922">
        <f>IF(OR(AY$4="",$A922&gt;TODAY()),0,IF(OR(INDEX($B922:$D922,AY$5)="F",AND(AY$6&gt;0,$A922&lt;AY$6),AND(AY$7&gt;0,$A922&gt;AY$7)),0,MAX(0,ROUND((INDEX($E922:$G922,AY$5)-SUMIFS(TF_Timer,TF_Tekniker,AY$4,TF_Dato,$A922))*2,0)/2)))</f>
        <v/>
      </c>
      <c r="AZ922">
        <f>IF(OR(AZ$4="",$A922&gt;TODAY()),0,IF(OR(INDEX($B922:$D922,AZ$5)="F",AND(AZ$6&gt;0,$A922&lt;AZ$6),AND(AZ$7&gt;0,$A922&gt;AZ$7)),0,MAX(0,ROUND((INDEX($E922:$G922,AZ$5)-SUMIFS(TF_Timer,TF_Tekniker,AZ$4,TF_Dato,$A922))*2,0)/2)))</f>
        <v/>
      </c>
      <c r="BA922">
        <f>IF(OR(BA$4="",$A922&gt;TODAY()),0,IF(OR(INDEX($B922:$D922,BA$5)="F",AND(BA$6&gt;0,$A922&lt;BA$6),AND(BA$7&gt;0,$A922&gt;BA$7)),0,MAX(0,ROUND((INDEX($E922:$G922,BA$5)-SUMIFS(TF_Timer,TF_Tekniker,BA$4,TF_Dato,$A922))*2,0)/2)))</f>
        <v/>
      </c>
      <c r="BB922">
        <f>IF(OR(BB$4="",$A922&gt;TODAY()),0,IF(OR(INDEX($B922:$D922,BB$5)="F",AND(BB$6&gt;0,$A922&lt;BB$6),AND(BB$7&gt;0,$A922&gt;BB$7)),0,MAX(0,ROUND((INDEX($E922:$G922,BB$5)-SUMIFS(TF_Timer,TF_Tekniker,BB$4,TF_Dato,$A922))*2,0)/2)))</f>
        <v/>
      </c>
      <c r="BC922">
        <f>IF(OR(BC$4="",$A922&gt;TODAY()),0,IF(OR(INDEX($B922:$D922,BC$5)="F",AND(BC$6&gt;0,$A922&lt;BC$6),AND(BC$7&gt;0,$A922&gt;BC$7)),0,MAX(0,ROUND((INDEX($E922:$G922,BC$5)-SUMIFS(TF_Timer,TF_Tekniker,BC$4,TF_Dato,$A922))*2,0)/2)))</f>
        <v/>
      </c>
      <c r="BD922">
        <f>IF(OR(BD$4="",$A922&gt;TODAY()),0,IF(OR(INDEX($B922:$D922,BD$5)="F",AND(BD$6&gt;0,$A922&lt;BD$6),AND(BD$7&gt;0,$A922&gt;BD$7)),0,MAX(0,ROUND((INDEX($E922:$G922,BD$5)-SUMIFS(TF_Timer,TF_Tekniker,BD$4,TF_Dato,$A922))*2,0)/2)))</f>
        <v/>
      </c>
      <c r="BE922">
        <f>IF(OR(BE$4="",$A922&gt;TODAY()),0,IF(OR(INDEX($B922:$D922,BE$5)="F",AND(BE$6&gt;0,$A922&lt;BE$6),AND(BE$7&gt;0,$A922&gt;BE$7)),0,MAX(0,ROUND((INDEX($E922:$G922,BE$5)-SUMIFS(TF_Timer,TF_Tekniker,BE$4,TF_Dato,$A922))*2,0)/2)))</f>
        <v/>
      </c>
      <c r="BF922">
        <f>IF(OR(BF$4="",$A922&gt;TODAY()),0,IF(OR(INDEX($B922:$D922,BF$5)="F",AND(BF$6&gt;0,$A922&lt;BF$6),AND(BF$7&gt;0,$A922&gt;BF$7)),0,MAX(0,ROUND((INDEX($E922:$G922,BF$5)-SUMIFS(TF_Timer,TF_Tekniker,BF$4,TF_Dato,$A922))*2,0)/2)))</f>
        <v/>
      </c>
      <c r="BG922">
        <f>IF(OR(BG$4="",$A922&gt;TODAY()),0,IF(OR(INDEX($B922:$D922,BG$5)="F",AND(BG$6&gt;0,$A922&lt;BG$6),AND(BG$7&gt;0,$A922&gt;BG$7)),0,MAX(0,ROUND((INDEX($E922:$G922,BG$5)-SUMIFS(TF_Timer,TF_Tekniker,BG$4,TF_Dato,$A922))*2,0)/2)))</f>
        <v/>
      </c>
      <c r="BH922">
        <f>IF(OR(BH$4="",$A922&gt;TODAY()),0,IF(OR(INDEX($B922:$D922,BH$5)="F",AND(BH$6&gt;0,$A922&lt;BH$6),AND(BH$7&gt;0,$A922&gt;BH$7)),0,MAX(0,ROUND((INDEX($E922:$G922,BH$5)-SUMIFS(TF_Timer,TF_Tekniker,BH$4,TF_Dato,$A922))*2,0)/2)))</f>
        <v/>
      </c>
      <c r="BI922">
        <f>IF(OR(BI$4="",$A922&gt;TODAY()),0,IF(OR(INDEX($B922:$D922,BI$5)="F",AND(BI$6&gt;0,$A922&lt;BI$6),AND(BI$7&gt;0,$A922&gt;BI$7)),0,MAX(0,ROUND((INDEX($E922:$G922,BI$5)-SUMIFS(TF_Timer,TF_Tekniker,BI$4,TF_Dato,$A922))*2,0)/2)))</f>
        <v/>
      </c>
    </row>
    <row r="923">
      <c r="A923" s="64">
        <f>A922+1</f>
        <v/>
      </c>
      <c r="B923">
        <f>IF(MOD($A923-INDEX(SkiftStart,1),Syklus)&lt;DagK,"K",IF(MOD($A923-INDEX(SkiftStart,1),Syklus)&lt;DagK+DagH,"H",IF(MOD($A923-INDEX(SkiftStart,1),Syklus)&lt;DagK+DagH+DagD,"D","F")))</f>
        <v/>
      </c>
      <c r="C923">
        <f>IF(MOD($A923-INDEX(SkiftStart,2),Syklus)&lt;DagK,"K",IF(MOD($A923-INDEX(SkiftStart,2),Syklus)&lt;DagK+DagH,"H",IF(MOD($A923-INDEX(SkiftStart,2),Syklus)&lt;DagK+DagH+DagD,"D","F")))</f>
        <v/>
      </c>
      <c r="D923">
        <f>IF(MOD($A923-INDEX(SkiftStart,3),Syklus)&lt;DagK,"K",IF(MOD($A923-INDEX(SkiftStart,3),Syklus)&lt;DagK+DagH,"H",IF(MOD($A923-INDEX(SkiftStart,3),Syklus)&lt;DagK+DagH+DagD,"D","F")))</f>
        <v/>
      </c>
      <c r="E923">
        <f>IF(B923="F",0,IF(WEEKDAY($A923,2)=5,INDEX(TimerFr,MATCH(B923,FaseKode,0)),INDEX(TimerMT,MATCH(B923,FaseKode,0))))</f>
        <v/>
      </c>
      <c r="F923">
        <f>IF(C923="F",0,IF(WEEKDAY($A923,2)=5,INDEX(TimerFr,MATCH(C923,FaseKode,0)),INDEX(TimerMT,MATCH(C923,FaseKode,0))))</f>
        <v/>
      </c>
      <c r="G923">
        <f>IF(D923="F",0,IF(WEEKDAY($A923,2)=5,INDEX(TimerFr,MATCH(D923,FaseKode,0)),INDEX(TimerMT,MATCH(D923,FaseKode,0))))</f>
        <v/>
      </c>
      <c r="H923">
        <f>IF(OR(H$4="",$A923&gt;TODAY()),0,IF(OR(INDEX($B923:$D923,H$5)="F",AND(H$6&gt;0,$A923&lt;H$6),AND(H$7&gt;0,$A923&gt;H$7)),0,MAX(0,ROUND((INDEX($E923:$G923,H$5)-SUMIFS(TF_Timer,TF_Tekniker,H$4,TF_Dato,$A923))*2,0)/2)))</f>
        <v/>
      </c>
      <c r="I923">
        <f>IF(OR(I$4="",$A923&gt;TODAY()),0,IF(OR(INDEX($B923:$D923,I$5)="F",AND(I$6&gt;0,$A923&lt;I$6),AND(I$7&gt;0,$A923&gt;I$7)),0,MAX(0,ROUND((INDEX($E923:$G923,I$5)-SUMIFS(TF_Timer,TF_Tekniker,I$4,TF_Dato,$A923))*2,0)/2)))</f>
        <v/>
      </c>
      <c r="J923">
        <f>IF(OR(J$4="",$A923&gt;TODAY()),0,IF(OR(INDEX($B923:$D923,J$5)="F",AND(J$6&gt;0,$A923&lt;J$6),AND(J$7&gt;0,$A923&gt;J$7)),0,MAX(0,ROUND((INDEX($E923:$G923,J$5)-SUMIFS(TF_Timer,TF_Tekniker,J$4,TF_Dato,$A923))*2,0)/2)))</f>
        <v/>
      </c>
      <c r="K923">
        <f>IF(OR(K$4="",$A923&gt;TODAY()),0,IF(OR(INDEX($B923:$D923,K$5)="F",AND(K$6&gt;0,$A923&lt;K$6),AND(K$7&gt;0,$A923&gt;K$7)),0,MAX(0,ROUND((INDEX($E923:$G923,K$5)-SUMIFS(TF_Timer,TF_Tekniker,K$4,TF_Dato,$A923))*2,0)/2)))</f>
        <v/>
      </c>
      <c r="L923">
        <f>IF(OR(L$4="",$A923&gt;TODAY()),0,IF(OR(INDEX($B923:$D923,L$5)="F",AND(L$6&gt;0,$A923&lt;L$6),AND(L$7&gt;0,$A923&gt;L$7)),0,MAX(0,ROUND((INDEX($E923:$G923,L$5)-SUMIFS(TF_Timer,TF_Tekniker,L$4,TF_Dato,$A923))*2,0)/2)))</f>
        <v/>
      </c>
      <c r="M923">
        <f>IF(OR(M$4="",$A923&gt;TODAY()),0,IF(OR(INDEX($B923:$D923,M$5)="F",AND(M$6&gt;0,$A923&lt;M$6),AND(M$7&gt;0,$A923&gt;M$7)),0,MAX(0,ROUND((INDEX($E923:$G923,M$5)-SUMIFS(TF_Timer,TF_Tekniker,M$4,TF_Dato,$A923))*2,0)/2)))</f>
        <v/>
      </c>
      <c r="N923">
        <f>IF(OR(N$4="",$A923&gt;TODAY()),0,IF(OR(INDEX($B923:$D923,N$5)="F",AND(N$6&gt;0,$A923&lt;N$6),AND(N$7&gt;0,$A923&gt;N$7)),0,MAX(0,ROUND((INDEX($E923:$G923,N$5)-SUMIFS(TF_Timer,TF_Tekniker,N$4,TF_Dato,$A923))*2,0)/2)))</f>
        <v/>
      </c>
      <c r="O923">
        <f>IF(OR(O$4="",$A923&gt;TODAY()),0,IF(OR(INDEX($B923:$D923,O$5)="F",AND(O$6&gt;0,$A923&lt;O$6),AND(O$7&gt;0,$A923&gt;O$7)),0,MAX(0,ROUND((INDEX($E923:$G923,O$5)-SUMIFS(TF_Timer,TF_Tekniker,O$4,TF_Dato,$A923))*2,0)/2)))</f>
        <v/>
      </c>
      <c r="P923">
        <f>IF(OR(P$4="",$A923&gt;TODAY()),0,IF(OR(INDEX($B923:$D923,P$5)="F",AND(P$6&gt;0,$A923&lt;P$6),AND(P$7&gt;0,$A923&gt;P$7)),0,MAX(0,ROUND((INDEX($E923:$G923,P$5)-SUMIFS(TF_Timer,TF_Tekniker,P$4,TF_Dato,$A923))*2,0)/2)))</f>
        <v/>
      </c>
      <c r="Q923">
        <f>IF(OR(Q$4="",$A923&gt;TODAY()),0,IF(OR(INDEX($B923:$D923,Q$5)="F",AND(Q$6&gt;0,$A923&lt;Q$6),AND(Q$7&gt;0,$A923&gt;Q$7)),0,MAX(0,ROUND((INDEX($E923:$G923,Q$5)-SUMIFS(TF_Timer,TF_Tekniker,Q$4,TF_Dato,$A923))*2,0)/2)))</f>
        <v/>
      </c>
      <c r="R923">
        <f>IF(OR(R$4="",$A923&gt;TODAY()),0,IF(OR(INDEX($B923:$D923,R$5)="F",AND(R$6&gt;0,$A923&lt;R$6),AND(R$7&gt;0,$A923&gt;R$7)),0,MAX(0,ROUND((INDEX($E923:$G923,R$5)-SUMIFS(TF_Timer,TF_Tekniker,R$4,TF_Dato,$A923))*2,0)/2)))</f>
        <v/>
      </c>
      <c r="S923">
        <f>IF(OR(S$4="",$A923&gt;TODAY()),0,IF(OR(INDEX($B923:$D923,S$5)="F",AND(S$6&gt;0,$A923&lt;S$6),AND(S$7&gt;0,$A923&gt;S$7)),0,MAX(0,ROUND((INDEX($E923:$G923,S$5)-SUMIFS(TF_Timer,TF_Tekniker,S$4,TF_Dato,$A923))*2,0)/2)))</f>
        <v/>
      </c>
      <c r="T923">
        <f>IF(OR(T$4="",$A923&gt;TODAY()),0,IF(OR(INDEX($B923:$D923,T$5)="F",AND(T$6&gt;0,$A923&lt;T$6),AND(T$7&gt;0,$A923&gt;T$7)),0,MAX(0,ROUND((INDEX($E923:$G923,T$5)-SUMIFS(TF_Timer,TF_Tekniker,T$4,TF_Dato,$A923))*2,0)/2)))</f>
        <v/>
      </c>
      <c r="U923">
        <f>IF(OR(U$4="",$A923&gt;TODAY()),0,IF(OR(INDEX($B923:$D923,U$5)="F",AND(U$6&gt;0,$A923&lt;U$6),AND(U$7&gt;0,$A923&gt;U$7)),0,MAX(0,ROUND((INDEX($E923:$G923,U$5)-SUMIFS(TF_Timer,TF_Tekniker,U$4,TF_Dato,$A923))*2,0)/2)))</f>
        <v/>
      </c>
      <c r="V923">
        <f>IF(OR(V$4="",$A923&gt;TODAY()),0,IF(OR(INDEX($B923:$D923,V$5)="F",AND(V$6&gt;0,$A923&lt;V$6),AND(V$7&gt;0,$A923&gt;V$7)),0,MAX(0,ROUND((INDEX($E923:$G923,V$5)-SUMIFS(TF_Timer,TF_Tekniker,V$4,TF_Dato,$A923))*2,0)/2)))</f>
        <v/>
      </c>
      <c r="W923">
        <f>IF(OR(W$4="",$A923&gt;TODAY()),0,IF(OR(INDEX($B923:$D923,W$5)="F",AND(W$6&gt;0,$A923&lt;W$6),AND(W$7&gt;0,$A923&gt;W$7)),0,MAX(0,ROUND((INDEX($E923:$G923,W$5)-SUMIFS(TF_Timer,TF_Tekniker,W$4,TF_Dato,$A923))*2,0)/2)))</f>
        <v/>
      </c>
      <c r="X923">
        <f>IF(OR(X$4="",$A923&gt;TODAY()),0,IF(OR(INDEX($B923:$D923,X$5)="F",AND(X$6&gt;0,$A923&lt;X$6),AND(X$7&gt;0,$A923&gt;X$7)),0,MAX(0,ROUND((INDEX($E923:$G923,X$5)-SUMIFS(TF_Timer,TF_Tekniker,X$4,TF_Dato,$A923))*2,0)/2)))</f>
        <v/>
      </c>
      <c r="Y923">
        <f>IF(OR(Y$4="",$A923&gt;TODAY()),0,IF(OR(INDEX($B923:$D923,Y$5)="F",AND(Y$6&gt;0,$A923&lt;Y$6),AND(Y$7&gt;0,$A923&gt;Y$7)),0,MAX(0,ROUND((INDEX($E923:$G923,Y$5)-SUMIFS(TF_Timer,TF_Tekniker,Y$4,TF_Dato,$A923))*2,0)/2)))</f>
        <v/>
      </c>
      <c r="Z923">
        <f>IF(OR(Z$4="",$A923&gt;TODAY()),0,IF(OR(INDEX($B923:$D923,Z$5)="F",AND(Z$6&gt;0,$A923&lt;Z$6),AND(Z$7&gt;0,$A923&gt;Z$7)),0,MAX(0,ROUND((INDEX($E923:$G923,Z$5)-SUMIFS(TF_Timer,TF_Tekniker,Z$4,TF_Dato,$A923))*2,0)/2)))</f>
        <v/>
      </c>
      <c r="AA923">
        <f>IF(OR(AA$4="",$A923&gt;TODAY()),0,IF(OR(INDEX($B923:$D923,AA$5)="F",AND(AA$6&gt;0,$A923&lt;AA$6),AND(AA$7&gt;0,$A923&gt;AA$7)),0,MAX(0,ROUND((INDEX($E923:$G923,AA$5)-SUMIFS(TF_Timer,TF_Tekniker,AA$4,TF_Dato,$A923))*2,0)/2)))</f>
        <v/>
      </c>
      <c r="AB923">
        <f>IF(OR(AB$4="",$A923&gt;TODAY()),0,IF(OR(INDEX($B923:$D923,AB$5)="F",AND(AB$6&gt;0,$A923&lt;AB$6),AND(AB$7&gt;0,$A923&gt;AB$7)),0,MAX(0,ROUND((INDEX($E923:$G923,AB$5)-SUMIFS(TF_Timer,TF_Tekniker,AB$4,TF_Dato,$A923))*2,0)/2)))</f>
        <v/>
      </c>
      <c r="AC923">
        <f>IF(OR(AC$4="",$A923&gt;TODAY()),0,IF(OR(INDEX($B923:$D923,AC$5)="F",AND(AC$6&gt;0,$A923&lt;AC$6),AND(AC$7&gt;0,$A923&gt;AC$7)),0,MAX(0,ROUND((INDEX($E923:$G923,AC$5)-SUMIFS(TF_Timer,TF_Tekniker,AC$4,TF_Dato,$A923))*2,0)/2)))</f>
        <v/>
      </c>
      <c r="AD923">
        <f>IF(OR(AD$4="",$A923&gt;TODAY()),0,IF(OR(INDEX($B923:$D923,AD$5)="F",AND(AD$6&gt;0,$A923&lt;AD$6),AND(AD$7&gt;0,$A923&gt;AD$7)),0,MAX(0,ROUND((INDEX($E923:$G923,AD$5)-SUMIFS(TF_Timer,TF_Tekniker,AD$4,TF_Dato,$A923))*2,0)/2)))</f>
        <v/>
      </c>
      <c r="AE923">
        <f>IF(OR(AE$4="",$A923&gt;TODAY()),0,IF(OR(INDEX($B923:$D923,AE$5)="F",AND(AE$6&gt;0,$A923&lt;AE$6),AND(AE$7&gt;0,$A923&gt;AE$7)),0,MAX(0,ROUND((INDEX($E923:$G923,AE$5)-SUMIFS(TF_Timer,TF_Tekniker,AE$4,TF_Dato,$A923))*2,0)/2)))</f>
        <v/>
      </c>
      <c r="AF923">
        <f>IF(OR(AF$4="",$A923&gt;TODAY()),0,IF(OR(INDEX($B923:$D923,AF$5)="F",AND(AF$6&gt;0,$A923&lt;AF$6),AND(AF$7&gt;0,$A923&gt;AF$7)),0,MAX(0,ROUND((INDEX($E923:$G923,AF$5)-SUMIFS(TF_Timer,TF_Tekniker,AF$4,TF_Dato,$A923))*2,0)/2)))</f>
        <v/>
      </c>
      <c r="AG923">
        <f>IF(OR(AG$4="",$A923&gt;TODAY()),0,IF(OR(INDEX($B923:$D923,AG$5)="F",AND(AG$6&gt;0,$A923&lt;AG$6),AND(AG$7&gt;0,$A923&gt;AG$7)),0,MAX(0,ROUND((INDEX($E923:$G923,AG$5)-SUMIFS(TF_Timer,TF_Tekniker,AG$4,TF_Dato,$A923))*2,0)/2)))</f>
        <v/>
      </c>
      <c r="AH923">
        <f>IF(OR(AH$4="",$A923&gt;TODAY()),0,IF(OR(INDEX($B923:$D923,AH$5)="F",AND(AH$6&gt;0,$A923&lt;AH$6),AND(AH$7&gt;0,$A923&gt;AH$7)),0,MAX(0,ROUND((INDEX($E923:$G923,AH$5)-SUMIFS(TF_Timer,TF_Tekniker,AH$4,TF_Dato,$A923))*2,0)/2)))</f>
        <v/>
      </c>
      <c r="AI923">
        <f>IF(OR(AI$4="",$A923&gt;TODAY()),0,IF(OR(INDEX($B923:$D923,AI$5)="F",AND(AI$6&gt;0,$A923&lt;AI$6),AND(AI$7&gt;0,$A923&gt;AI$7)),0,MAX(0,ROUND((INDEX($E923:$G923,AI$5)-SUMIFS(TF_Timer,TF_Tekniker,AI$4,TF_Dato,$A923))*2,0)/2)))</f>
        <v/>
      </c>
      <c r="AJ923">
        <f>IF(OR(AJ$4="",$A923&gt;TODAY()),0,IF(OR(INDEX($B923:$D923,AJ$5)="F",AND(AJ$6&gt;0,$A923&lt;AJ$6),AND(AJ$7&gt;0,$A923&gt;AJ$7)),0,MAX(0,ROUND((INDEX($E923:$G923,AJ$5)-SUMIFS(TF_Timer,TF_Tekniker,AJ$4,TF_Dato,$A923))*2,0)/2)))</f>
        <v/>
      </c>
      <c r="AK923">
        <f>IF(OR(AK$4="",$A923&gt;TODAY()),0,IF(OR(INDEX($B923:$D923,AK$5)="F",AND(AK$6&gt;0,$A923&lt;AK$6),AND(AK$7&gt;0,$A923&gt;AK$7)),0,MAX(0,ROUND((INDEX($E923:$G923,AK$5)-SUMIFS(TF_Timer,TF_Tekniker,AK$4,TF_Dato,$A923))*2,0)/2)))</f>
        <v/>
      </c>
      <c r="AL923">
        <f>IF(OR(AL$4="",$A923&gt;TODAY()),0,IF(OR(INDEX($B923:$D923,AL$5)="F",AND(AL$6&gt;0,$A923&lt;AL$6),AND(AL$7&gt;0,$A923&gt;AL$7)),0,MAX(0,ROUND((INDEX($E923:$G923,AL$5)-SUMIFS(TF_Timer,TF_Tekniker,AL$4,TF_Dato,$A923))*2,0)/2)))</f>
        <v/>
      </c>
      <c r="AM923">
        <f>IF(OR(AM$4="",$A923&gt;TODAY()),0,IF(OR(INDEX($B923:$D923,AM$5)="F",AND(AM$6&gt;0,$A923&lt;AM$6),AND(AM$7&gt;0,$A923&gt;AM$7)),0,MAX(0,ROUND((INDEX($E923:$G923,AM$5)-SUMIFS(TF_Timer,TF_Tekniker,AM$4,TF_Dato,$A923))*2,0)/2)))</f>
        <v/>
      </c>
      <c r="AN923">
        <f>IF(OR(AN$4="",$A923&gt;TODAY()),0,IF(OR(INDEX($B923:$D923,AN$5)="F",AND(AN$6&gt;0,$A923&lt;AN$6),AND(AN$7&gt;0,$A923&gt;AN$7)),0,MAX(0,ROUND((INDEX($E923:$G923,AN$5)-SUMIFS(TF_Timer,TF_Tekniker,AN$4,TF_Dato,$A923))*2,0)/2)))</f>
        <v/>
      </c>
      <c r="AO923">
        <f>IF(OR(AO$4="",$A923&gt;TODAY()),0,IF(OR(INDEX($B923:$D923,AO$5)="F",AND(AO$6&gt;0,$A923&lt;AO$6),AND(AO$7&gt;0,$A923&gt;AO$7)),0,MAX(0,ROUND((INDEX($E923:$G923,AO$5)-SUMIFS(TF_Timer,TF_Tekniker,AO$4,TF_Dato,$A923))*2,0)/2)))</f>
        <v/>
      </c>
      <c r="AP923">
        <f>IF(OR(AP$4="",$A923&gt;TODAY()),0,IF(OR(INDEX($B923:$D923,AP$5)="F",AND(AP$6&gt;0,$A923&lt;AP$6),AND(AP$7&gt;0,$A923&gt;AP$7)),0,MAX(0,ROUND((INDEX($E923:$G923,AP$5)-SUMIFS(TF_Timer,TF_Tekniker,AP$4,TF_Dato,$A923))*2,0)/2)))</f>
        <v/>
      </c>
      <c r="AQ923">
        <f>IF(OR(AQ$4="",$A923&gt;TODAY()),0,IF(OR(INDEX($B923:$D923,AQ$5)="F",AND(AQ$6&gt;0,$A923&lt;AQ$6),AND(AQ$7&gt;0,$A923&gt;AQ$7)),0,MAX(0,ROUND((INDEX($E923:$G923,AQ$5)-SUMIFS(TF_Timer,TF_Tekniker,AQ$4,TF_Dato,$A923))*2,0)/2)))</f>
        <v/>
      </c>
      <c r="AR923">
        <f>IF(OR(AR$4="",$A923&gt;TODAY()),0,IF(OR(INDEX($B923:$D923,AR$5)="F",AND(AR$6&gt;0,$A923&lt;AR$6),AND(AR$7&gt;0,$A923&gt;AR$7)),0,MAX(0,ROUND((INDEX($E923:$G923,AR$5)-SUMIFS(TF_Timer,TF_Tekniker,AR$4,TF_Dato,$A923))*2,0)/2)))</f>
        <v/>
      </c>
      <c r="AS923">
        <f>IF(OR(AS$4="",$A923&gt;TODAY()),0,IF(OR(INDEX($B923:$D923,AS$5)="F",AND(AS$6&gt;0,$A923&lt;AS$6),AND(AS$7&gt;0,$A923&gt;AS$7)),0,MAX(0,ROUND((INDEX($E923:$G923,AS$5)-SUMIFS(TF_Timer,TF_Tekniker,AS$4,TF_Dato,$A923))*2,0)/2)))</f>
        <v/>
      </c>
      <c r="AT923">
        <f>IF(OR(AT$4="",$A923&gt;TODAY()),0,IF(OR(INDEX($B923:$D923,AT$5)="F",AND(AT$6&gt;0,$A923&lt;AT$6),AND(AT$7&gt;0,$A923&gt;AT$7)),0,MAX(0,ROUND((INDEX($E923:$G923,AT$5)-SUMIFS(TF_Timer,TF_Tekniker,AT$4,TF_Dato,$A923))*2,0)/2)))</f>
        <v/>
      </c>
      <c r="AU923">
        <f>IF(OR(AU$4="",$A923&gt;TODAY()),0,IF(OR(INDEX($B923:$D923,AU$5)="F",AND(AU$6&gt;0,$A923&lt;AU$6),AND(AU$7&gt;0,$A923&gt;AU$7)),0,MAX(0,ROUND((INDEX($E923:$G923,AU$5)-SUMIFS(TF_Timer,TF_Tekniker,AU$4,TF_Dato,$A923))*2,0)/2)))</f>
        <v/>
      </c>
      <c r="AV923">
        <f>IF(OR(AV$4="",$A923&gt;TODAY()),0,IF(OR(INDEX($B923:$D923,AV$5)="F",AND(AV$6&gt;0,$A923&lt;AV$6),AND(AV$7&gt;0,$A923&gt;AV$7)),0,MAX(0,ROUND((INDEX($E923:$G923,AV$5)-SUMIFS(TF_Timer,TF_Tekniker,AV$4,TF_Dato,$A923))*2,0)/2)))</f>
        <v/>
      </c>
      <c r="AW923">
        <f>IF(OR(AW$4="",$A923&gt;TODAY()),0,IF(OR(INDEX($B923:$D923,AW$5)="F",AND(AW$6&gt;0,$A923&lt;AW$6),AND(AW$7&gt;0,$A923&gt;AW$7)),0,MAX(0,ROUND((INDEX($E923:$G923,AW$5)-SUMIFS(TF_Timer,TF_Tekniker,AW$4,TF_Dato,$A923))*2,0)/2)))</f>
        <v/>
      </c>
      <c r="AX923">
        <f>IF(OR(AX$4="",$A923&gt;TODAY()),0,IF(OR(INDEX($B923:$D923,AX$5)="F",AND(AX$6&gt;0,$A923&lt;AX$6),AND(AX$7&gt;0,$A923&gt;AX$7)),0,MAX(0,ROUND((INDEX($E923:$G923,AX$5)-SUMIFS(TF_Timer,TF_Tekniker,AX$4,TF_Dato,$A923))*2,0)/2)))</f>
        <v/>
      </c>
      <c r="AY923">
        <f>IF(OR(AY$4="",$A923&gt;TODAY()),0,IF(OR(INDEX($B923:$D923,AY$5)="F",AND(AY$6&gt;0,$A923&lt;AY$6),AND(AY$7&gt;0,$A923&gt;AY$7)),0,MAX(0,ROUND((INDEX($E923:$G923,AY$5)-SUMIFS(TF_Timer,TF_Tekniker,AY$4,TF_Dato,$A923))*2,0)/2)))</f>
        <v/>
      </c>
      <c r="AZ923">
        <f>IF(OR(AZ$4="",$A923&gt;TODAY()),0,IF(OR(INDEX($B923:$D923,AZ$5)="F",AND(AZ$6&gt;0,$A923&lt;AZ$6),AND(AZ$7&gt;0,$A923&gt;AZ$7)),0,MAX(0,ROUND((INDEX($E923:$G923,AZ$5)-SUMIFS(TF_Timer,TF_Tekniker,AZ$4,TF_Dato,$A923))*2,0)/2)))</f>
        <v/>
      </c>
      <c r="BA923">
        <f>IF(OR(BA$4="",$A923&gt;TODAY()),0,IF(OR(INDEX($B923:$D923,BA$5)="F",AND(BA$6&gt;0,$A923&lt;BA$6),AND(BA$7&gt;0,$A923&gt;BA$7)),0,MAX(0,ROUND((INDEX($E923:$G923,BA$5)-SUMIFS(TF_Timer,TF_Tekniker,BA$4,TF_Dato,$A923))*2,0)/2)))</f>
        <v/>
      </c>
      <c r="BB923">
        <f>IF(OR(BB$4="",$A923&gt;TODAY()),0,IF(OR(INDEX($B923:$D923,BB$5)="F",AND(BB$6&gt;0,$A923&lt;BB$6),AND(BB$7&gt;0,$A923&gt;BB$7)),0,MAX(0,ROUND((INDEX($E923:$G923,BB$5)-SUMIFS(TF_Timer,TF_Tekniker,BB$4,TF_Dato,$A923))*2,0)/2)))</f>
        <v/>
      </c>
      <c r="BC923">
        <f>IF(OR(BC$4="",$A923&gt;TODAY()),0,IF(OR(INDEX($B923:$D923,BC$5)="F",AND(BC$6&gt;0,$A923&lt;BC$6),AND(BC$7&gt;0,$A923&gt;BC$7)),0,MAX(0,ROUND((INDEX($E923:$G923,BC$5)-SUMIFS(TF_Timer,TF_Tekniker,BC$4,TF_Dato,$A923))*2,0)/2)))</f>
        <v/>
      </c>
      <c r="BD923">
        <f>IF(OR(BD$4="",$A923&gt;TODAY()),0,IF(OR(INDEX($B923:$D923,BD$5)="F",AND(BD$6&gt;0,$A923&lt;BD$6),AND(BD$7&gt;0,$A923&gt;BD$7)),0,MAX(0,ROUND((INDEX($E923:$G923,BD$5)-SUMIFS(TF_Timer,TF_Tekniker,BD$4,TF_Dato,$A923))*2,0)/2)))</f>
        <v/>
      </c>
      <c r="BE923">
        <f>IF(OR(BE$4="",$A923&gt;TODAY()),0,IF(OR(INDEX($B923:$D923,BE$5)="F",AND(BE$6&gt;0,$A923&lt;BE$6),AND(BE$7&gt;0,$A923&gt;BE$7)),0,MAX(0,ROUND((INDEX($E923:$G923,BE$5)-SUMIFS(TF_Timer,TF_Tekniker,BE$4,TF_Dato,$A923))*2,0)/2)))</f>
        <v/>
      </c>
      <c r="BF923">
        <f>IF(OR(BF$4="",$A923&gt;TODAY()),0,IF(OR(INDEX($B923:$D923,BF$5)="F",AND(BF$6&gt;0,$A923&lt;BF$6),AND(BF$7&gt;0,$A923&gt;BF$7)),0,MAX(0,ROUND((INDEX($E923:$G923,BF$5)-SUMIFS(TF_Timer,TF_Tekniker,BF$4,TF_Dato,$A923))*2,0)/2)))</f>
        <v/>
      </c>
      <c r="BG923">
        <f>IF(OR(BG$4="",$A923&gt;TODAY()),0,IF(OR(INDEX($B923:$D923,BG$5)="F",AND(BG$6&gt;0,$A923&lt;BG$6),AND(BG$7&gt;0,$A923&gt;BG$7)),0,MAX(0,ROUND((INDEX($E923:$G923,BG$5)-SUMIFS(TF_Timer,TF_Tekniker,BG$4,TF_Dato,$A923))*2,0)/2)))</f>
        <v/>
      </c>
      <c r="BH923">
        <f>IF(OR(BH$4="",$A923&gt;TODAY()),0,IF(OR(INDEX($B923:$D923,BH$5)="F",AND(BH$6&gt;0,$A923&lt;BH$6),AND(BH$7&gt;0,$A923&gt;BH$7)),0,MAX(0,ROUND((INDEX($E923:$G923,BH$5)-SUMIFS(TF_Timer,TF_Tekniker,BH$4,TF_Dato,$A923))*2,0)/2)))</f>
        <v/>
      </c>
      <c r="BI923">
        <f>IF(OR(BI$4="",$A923&gt;TODAY()),0,IF(OR(INDEX($B923:$D923,BI$5)="F",AND(BI$6&gt;0,$A923&lt;BI$6),AND(BI$7&gt;0,$A923&gt;BI$7)),0,MAX(0,ROUND((INDEX($E923:$G923,BI$5)-SUMIFS(TF_Timer,TF_Tekniker,BI$4,TF_Dato,$A923))*2,0)/2)))</f>
        <v/>
      </c>
    </row>
    <row r="924">
      <c r="A924" s="64">
        <f>A923+1</f>
        <v/>
      </c>
      <c r="B924">
        <f>IF(MOD($A924-INDEX(SkiftStart,1),Syklus)&lt;DagK,"K",IF(MOD($A924-INDEX(SkiftStart,1),Syklus)&lt;DagK+DagH,"H",IF(MOD($A924-INDEX(SkiftStart,1),Syklus)&lt;DagK+DagH+DagD,"D","F")))</f>
        <v/>
      </c>
      <c r="C924">
        <f>IF(MOD($A924-INDEX(SkiftStart,2),Syklus)&lt;DagK,"K",IF(MOD($A924-INDEX(SkiftStart,2),Syklus)&lt;DagK+DagH,"H",IF(MOD($A924-INDEX(SkiftStart,2),Syklus)&lt;DagK+DagH+DagD,"D","F")))</f>
        <v/>
      </c>
      <c r="D924">
        <f>IF(MOD($A924-INDEX(SkiftStart,3),Syklus)&lt;DagK,"K",IF(MOD($A924-INDEX(SkiftStart,3),Syklus)&lt;DagK+DagH,"H",IF(MOD($A924-INDEX(SkiftStart,3),Syklus)&lt;DagK+DagH+DagD,"D","F")))</f>
        <v/>
      </c>
      <c r="E924">
        <f>IF(B924="F",0,IF(WEEKDAY($A924,2)=5,INDEX(TimerFr,MATCH(B924,FaseKode,0)),INDEX(TimerMT,MATCH(B924,FaseKode,0))))</f>
        <v/>
      </c>
      <c r="F924">
        <f>IF(C924="F",0,IF(WEEKDAY($A924,2)=5,INDEX(TimerFr,MATCH(C924,FaseKode,0)),INDEX(TimerMT,MATCH(C924,FaseKode,0))))</f>
        <v/>
      </c>
      <c r="G924">
        <f>IF(D924="F",0,IF(WEEKDAY($A924,2)=5,INDEX(TimerFr,MATCH(D924,FaseKode,0)),INDEX(TimerMT,MATCH(D924,FaseKode,0))))</f>
        <v/>
      </c>
      <c r="H924">
        <f>IF(OR(H$4="",$A924&gt;TODAY()),0,IF(OR(INDEX($B924:$D924,H$5)="F",AND(H$6&gt;0,$A924&lt;H$6),AND(H$7&gt;0,$A924&gt;H$7)),0,MAX(0,ROUND((INDEX($E924:$G924,H$5)-SUMIFS(TF_Timer,TF_Tekniker,H$4,TF_Dato,$A924))*2,0)/2)))</f>
        <v/>
      </c>
      <c r="I924">
        <f>IF(OR(I$4="",$A924&gt;TODAY()),0,IF(OR(INDEX($B924:$D924,I$5)="F",AND(I$6&gt;0,$A924&lt;I$6),AND(I$7&gt;0,$A924&gt;I$7)),0,MAX(0,ROUND((INDEX($E924:$G924,I$5)-SUMIFS(TF_Timer,TF_Tekniker,I$4,TF_Dato,$A924))*2,0)/2)))</f>
        <v/>
      </c>
      <c r="J924">
        <f>IF(OR(J$4="",$A924&gt;TODAY()),0,IF(OR(INDEX($B924:$D924,J$5)="F",AND(J$6&gt;0,$A924&lt;J$6),AND(J$7&gt;0,$A924&gt;J$7)),0,MAX(0,ROUND((INDEX($E924:$G924,J$5)-SUMIFS(TF_Timer,TF_Tekniker,J$4,TF_Dato,$A924))*2,0)/2)))</f>
        <v/>
      </c>
      <c r="K924">
        <f>IF(OR(K$4="",$A924&gt;TODAY()),0,IF(OR(INDEX($B924:$D924,K$5)="F",AND(K$6&gt;0,$A924&lt;K$6),AND(K$7&gt;0,$A924&gt;K$7)),0,MAX(0,ROUND((INDEX($E924:$G924,K$5)-SUMIFS(TF_Timer,TF_Tekniker,K$4,TF_Dato,$A924))*2,0)/2)))</f>
        <v/>
      </c>
      <c r="L924">
        <f>IF(OR(L$4="",$A924&gt;TODAY()),0,IF(OR(INDEX($B924:$D924,L$5)="F",AND(L$6&gt;0,$A924&lt;L$6),AND(L$7&gt;0,$A924&gt;L$7)),0,MAX(0,ROUND((INDEX($E924:$G924,L$5)-SUMIFS(TF_Timer,TF_Tekniker,L$4,TF_Dato,$A924))*2,0)/2)))</f>
        <v/>
      </c>
      <c r="M924">
        <f>IF(OR(M$4="",$A924&gt;TODAY()),0,IF(OR(INDEX($B924:$D924,M$5)="F",AND(M$6&gt;0,$A924&lt;M$6),AND(M$7&gt;0,$A924&gt;M$7)),0,MAX(0,ROUND((INDEX($E924:$G924,M$5)-SUMIFS(TF_Timer,TF_Tekniker,M$4,TF_Dato,$A924))*2,0)/2)))</f>
        <v/>
      </c>
      <c r="N924">
        <f>IF(OR(N$4="",$A924&gt;TODAY()),0,IF(OR(INDEX($B924:$D924,N$5)="F",AND(N$6&gt;0,$A924&lt;N$6),AND(N$7&gt;0,$A924&gt;N$7)),0,MAX(0,ROUND((INDEX($E924:$G924,N$5)-SUMIFS(TF_Timer,TF_Tekniker,N$4,TF_Dato,$A924))*2,0)/2)))</f>
        <v/>
      </c>
      <c r="O924">
        <f>IF(OR(O$4="",$A924&gt;TODAY()),0,IF(OR(INDEX($B924:$D924,O$5)="F",AND(O$6&gt;0,$A924&lt;O$6),AND(O$7&gt;0,$A924&gt;O$7)),0,MAX(0,ROUND((INDEX($E924:$G924,O$5)-SUMIFS(TF_Timer,TF_Tekniker,O$4,TF_Dato,$A924))*2,0)/2)))</f>
        <v/>
      </c>
      <c r="P924">
        <f>IF(OR(P$4="",$A924&gt;TODAY()),0,IF(OR(INDEX($B924:$D924,P$5)="F",AND(P$6&gt;0,$A924&lt;P$6),AND(P$7&gt;0,$A924&gt;P$7)),0,MAX(0,ROUND((INDEX($E924:$G924,P$5)-SUMIFS(TF_Timer,TF_Tekniker,P$4,TF_Dato,$A924))*2,0)/2)))</f>
        <v/>
      </c>
      <c r="Q924">
        <f>IF(OR(Q$4="",$A924&gt;TODAY()),0,IF(OR(INDEX($B924:$D924,Q$5)="F",AND(Q$6&gt;0,$A924&lt;Q$6),AND(Q$7&gt;0,$A924&gt;Q$7)),0,MAX(0,ROUND((INDEX($E924:$G924,Q$5)-SUMIFS(TF_Timer,TF_Tekniker,Q$4,TF_Dato,$A924))*2,0)/2)))</f>
        <v/>
      </c>
      <c r="R924">
        <f>IF(OR(R$4="",$A924&gt;TODAY()),0,IF(OR(INDEX($B924:$D924,R$5)="F",AND(R$6&gt;0,$A924&lt;R$6),AND(R$7&gt;0,$A924&gt;R$7)),0,MAX(0,ROUND((INDEX($E924:$G924,R$5)-SUMIFS(TF_Timer,TF_Tekniker,R$4,TF_Dato,$A924))*2,0)/2)))</f>
        <v/>
      </c>
      <c r="S924">
        <f>IF(OR(S$4="",$A924&gt;TODAY()),0,IF(OR(INDEX($B924:$D924,S$5)="F",AND(S$6&gt;0,$A924&lt;S$6),AND(S$7&gt;0,$A924&gt;S$7)),0,MAX(0,ROUND((INDEX($E924:$G924,S$5)-SUMIFS(TF_Timer,TF_Tekniker,S$4,TF_Dato,$A924))*2,0)/2)))</f>
        <v/>
      </c>
      <c r="T924">
        <f>IF(OR(T$4="",$A924&gt;TODAY()),0,IF(OR(INDEX($B924:$D924,T$5)="F",AND(T$6&gt;0,$A924&lt;T$6),AND(T$7&gt;0,$A924&gt;T$7)),0,MAX(0,ROUND((INDEX($E924:$G924,T$5)-SUMIFS(TF_Timer,TF_Tekniker,T$4,TF_Dato,$A924))*2,0)/2)))</f>
        <v/>
      </c>
      <c r="U924">
        <f>IF(OR(U$4="",$A924&gt;TODAY()),0,IF(OR(INDEX($B924:$D924,U$5)="F",AND(U$6&gt;0,$A924&lt;U$6),AND(U$7&gt;0,$A924&gt;U$7)),0,MAX(0,ROUND((INDEX($E924:$G924,U$5)-SUMIFS(TF_Timer,TF_Tekniker,U$4,TF_Dato,$A924))*2,0)/2)))</f>
        <v/>
      </c>
      <c r="V924">
        <f>IF(OR(V$4="",$A924&gt;TODAY()),0,IF(OR(INDEX($B924:$D924,V$5)="F",AND(V$6&gt;0,$A924&lt;V$6),AND(V$7&gt;0,$A924&gt;V$7)),0,MAX(0,ROUND((INDEX($E924:$G924,V$5)-SUMIFS(TF_Timer,TF_Tekniker,V$4,TF_Dato,$A924))*2,0)/2)))</f>
        <v/>
      </c>
      <c r="W924">
        <f>IF(OR(W$4="",$A924&gt;TODAY()),0,IF(OR(INDEX($B924:$D924,W$5)="F",AND(W$6&gt;0,$A924&lt;W$6),AND(W$7&gt;0,$A924&gt;W$7)),0,MAX(0,ROUND((INDEX($E924:$G924,W$5)-SUMIFS(TF_Timer,TF_Tekniker,W$4,TF_Dato,$A924))*2,0)/2)))</f>
        <v/>
      </c>
      <c r="X924">
        <f>IF(OR(X$4="",$A924&gt;TODAY()),0,IF(OR(INDEX($B924:$D924,X$5)="F",AND(X$6&gt;0,$A924&lt;X$6),AND(X$7&gt;0,$A924&gt;X$7)),0,MAX(0,ROUND((INDEX($E924:$G924,X$5)-SUMIFS(TF_Timer,TF_Tekniker,X$4,TF_Dato,$A924))*2,0)/2)))</f>
        <v/>
      </c>
      <c r="Y924">
        <f>IF(OR(Y$4="",$A924&gt;TODAY()),0,IF(OR(INDEX($B924:$D924,Y$5)="F",AND(Y$6&gt;0,$A924&lt;Y$6),AND(Y$7&gt;0,$A924&gt;Y$7)),0,MAX(0,ROUND((INDEX($E924:$G924,Y$5)-SUMIFS(TF_Timer,TF_Tekniker,Y$4,TF_Dato,$A924))*2,0)/2)))</f>
        <v/>
      </c>
      <c r="Z924">
        <f>IF(OR(Z$4="",$A924&gt;TODAY()),0,IF(OR(INDEX($B924:$D924,Z$5)="F",AND(Z$6&gt;0,$A924&lt;Z$6),AND(Z$7&gt;0,$A924&gt;Z$7)),0,MAX(0,ROUND((INDEX($E924:$G924,Z$5)-SUMIFS(TF_Timer,TF_Tekniker,Z$4,TF_Dato,$A924))*2,0)/2)))</f>
        <v/>
      </c>
      <c r="AA924">
        <f>IF(OR(AA$4="",$A924&gt;TODAY()),0,IF(OR(INDEX($B924:$D924,AA$5)="F",AND(AA$6&gt;0,$A924&lt;AA$6),AND(AA$7&gt;0,$A924&gt;AA$7)),0,MAX(0,ROUND((INDEX($E924:$G924,AA$5)-SUMIFS(TF_Timer,TF_Tekniker,AA$4,TF_Dato,$A924))*2,0)/2)))</f>
        <v/>
      </c>
      <c r="AB924">
        <f>IF(OR(AB$4="",$A924&gt;TODAY()),0,IF(OR(INDEX($B924:$D924,AB$5)="F",AND(AB$6&gt;0,$A924&lt;AB$6),AND(AB$7&gt;0,$A924&gt;AB$7)),0,MAX(0,ROUND((INDEX($E924:$G924,AB$5)-SUMIFS(TF_Timer,TF_Tekniker,AB$4,TF_Dato,$A924))*2,0)/2)))</f>
        <v/>
      </c>
      <c r="AC924">
        <f>IF(OR(AC$4="",$A924&gt;TODAY()),0,IF(OR(INDEX($B924:$D924,AC$5)="F",AND(AC$6&gt;0,$A924&lt;AC$6),AND(AC$7&gt;0,$A924&gt;AC$7)),0,MAX(0,ROUND((INDEX($E924:$G924,AC$5)-SUMIFS(TF_Timer,TF_Tekniker,AC$4,TF_Dato,$A924))*2,0)/2)))</f>
        <v/>
      </c>
      <c r="AD924">
        <f>IF(OR(AD$4="",$A924&gt;TODAY()),0,IF(OR(INDEX($B924:$D924,AD$5)="F",AND(AD$6&gt;0,$A924&lt;AD$6),AND(AD$7&gt;0,$A924&gt;AD$7)),0,MAX(0,ROUND((INDEX($E924:$G924,AD$5)-SUMIFS(TF_Timer,TF_Tekniker,AD$4,TF_Dato,$A924))*2,0)/2)))</f>
        <v/>
      </c>
      <c r="AE924">
        <f>IF(OR(AE$4="",$A924&gt;TODAY()),0,IF(OR(INDEX($B924:$D924,AE$5)="F",AND(AE$6&gt;0,$A924&lt;AE$6),AND(AE$7&gt;0,$A924&gt;AE$7)),0,MAX(0,ROUND((INDEX($E924:$G924,AE$5)-SUMIFS(TF_Timer,TF_Tekniker,AE$4,TF_Dato,$A924))*2,0)/2)))</f>
        <v/>
      </c>
      <c r="AF924">
        <f>IF(OR(AF$4="",$A924&gt;TODAY()),0,IF(OR(INDEX($B924:$D924,AF$5)="F",AND(AF$6&gt;0,$A924&lt;AF$6),AND(AF$7&gt;0,$A924&gt;AF$7)),0,MAX(0,ROUND((INDEX($E924:$G924,AF$5)-SUMIFS(TF_Timer,TF_Tekniker,AF$4,TF_Dato,$A924))*2,0)/2)))</f>
        <v/>
      </c>
      <c r="AG924">
        <f>IF(OR(AG$4="",$A924&gt;TODAY()),0,IF(OR(INDEX($B924:$D924,AG$5)="F",AND(AG$6&gt;0,$A924&lt;AG$6),AND(AG$7&gt;0,$A924&gt;AG$7)),0,MAX(0,ROUND((INDEX($E924:$G924,AG$5)-SUMIFS(TF_Timer,TF_Tekniker,AG$4,TF_Dato,$A924))*2,0)/2)))</f>
        <v/>
      </c>
      <c r="AH924">
        <f>IF(OR(AH$4="",$A924&gt;TODAY()),0,IF(OR(INDEX($B924:$D924,AH$5)="F",AND(AH$6&gt;0,$A924&lt;AH$6),AND(AH$7&gt;0,$A924&gt;AH$7)),0,MAX(0,ROUND((INDEX($E924:$G924,AH$5)-SUMIFS(TF_Timer,TF_Tekniker,AH$4,TF_Dato,$A924))*2,0)/2)))</f>
        <v/>
      </c>
      <c r="AI924">
        <f>IF(OR(AI$4="",$A924&gt;TODAY()),0,IF(OR(INDEX($B924:$D924,AI$5)="F",AND(AI$6&gt;0,$A924&lt;AI$6),AND(AI$7&gt;0,$A924&gt;AI$7)),0,MAX(0,ROUND((INDEX($E924:$G924,AI$5)-SUMIFS(TF_Timer,TF_Tekniker,AI$4,TF_Dato,$A924))*2,0)/2)))</f>
        <v/>
      </c>
      <c r="AJ924">
        <f>IF(OR(AJ$4="",$A924&gt;TODAY()),0,IF(OR(INDEX($B924:$D924,AJ$5)="F",AND(AJ$6&gt;0,$A924&lt;AJ$6),AND(AJ$7&gt;0,$A924&gt;AJ$7)),0,MAX(0,ROUND((INDEX($E924:$G924,AJ$5)-SUMIFS(TF_Timer,TF_Tekniker,AJ$4,TF_Dato,$A924))*2,0)/2)))</f>
        <v/>
      </c>
      <c r="AK924">
        <f>IF(OR(AK$4="",$A924&gt;TODAY()),0,IF(OR(INDEX($B924:$D924,AK$5)="F",AND(AK$6&gt;0,$A924&lt;AK$6),AND(AK$7&gt;0,$A924&gt;AK$7)),0,MAX(0,ROUND((INDEX($E924:$G924,AK$5)-SUMIFS(TF_Timer,TF_Tekniker,AK$4,TF_Dato,$A924))*2,0)/2)))</f>
        <v/>
      </c>
      <c r="AL924">
        <f>IF(OR(AL$4="",$A924&gt;TODAY()),0,IF(OR(INDEX($B924:$D924,AL$5)="F",AND(AL$6&gt;0,$A924&lt;AL$6),AND(AL$7&gt;0,$A924&gt;AL$7)),0,MAX(0,ROUND((INDEX($E924:$G924,AL$5)-SUMIFS(TF_Timer,TF_Tekniker,AL$4,TF_Dato,$A924))*2,0)/2)))</f>
        <v/>
      </c>
      <c r="AM924">
        <f>IF(OR(AM$4="",$A924&gt;TODAY()),0,IF(OR(INDEX($B924:$D924,AM$5)="F",AND(AM$6&gt;0,$A924&lt;AM$6),AND(AM$7&gt;0,$A924&gt;AM$7)),0,MAX(0,ROUND((INDEX($E924:$G924,AM$5)-SUMIFS(TF_Timer,TF_Tekniker,AM$4,TF_Dato,$A924))*2,0)/2)))</f>
        <v/>
      </c>
      <c r="AN924">
        <f>IF(OR(AN$4="",$A924&gt;TODAY()),0,IF(OR(INDEX($B924:$D924,AN$5)="F",AND(AN$6&gt;0,$A924&lt;AN$6),AND(AN$7&gt;0,$A924&gt;AN$7)),0,MAX(0,ROUND((INDEX($E924:$G924,AN$5)-SUMIFS(TF_Timer,TF_Tekniker,AN$4,TF_Dato,$A924))*2,0)/2)))</f>
        <v/>
      </c>
      <c r="AO924">
        <f>IF(OR(AO$4="",$A924&gt;TODAY()),0,IF(OR(INDEX($B924:$D924,AO$5)="F",AND(AO$6&gt;0,$A924&lt;AO$6),AND(AO$7&gt;0,$A924&gt;AO$7)),0,MAX(0,ROUND((INDEX($E924:$G924,AO$5)-SUMIFS(TF_Timer,TF_Tekniker,AO$4,TF_Dato,$A924))*2,0)/2)))</f>
        <v/>
      </c>
      <c r="AP924">
        <f>IF(OR(AP$4="",$A924&gt;TODAY()),0,IF(OR(INDEX($B924:$D924,AP$5)="F",AND(AP$6&gt;0,$A924&lt;AP$6),AND(AP$7&gt;0,$A924&gt;AP$7)),0,MAX(0,ROUND((INDEX($E924:$G924,AP$5)-SUMIFS(TF_Timer,TF_Tekniker,AP$4,TF_Dato,$A924))*2,0)/2)))</f>
        <v/>
      </c>
      <c r="AQ924">
        <f>IF(OR(AQ$4="",$A924&gt;TODAY()),0,IF(OR(INDEX($B924:$D924,AQ$5)="F",AND(AQ$6&gt;0,$A924&lt;AQ$6),AND(AQ$7&gt;0,$A924&gt;AQ$7)),0,MAX(0,ROUND((INDEX($E924:$G924,AQ$5)-SUMIFS(TF_Timer,TF_Tekniker,AQ$4,TF_Dato,$A924))*2,0)/2)))</f>
        <v/>
      </c>
      <c r="AR924">
        <f>IF(OR(AR$4="",$A924&gt;TODAY()),0,IF(OR(INDEX($B924:$D924,AR$5)="F",AND(AR$6&gt;0,$A924&lt;AR$6),AND(AR$7&gt;0,$A924&gt;AR$7)),0,MAX(0,ROUND((INDEX($E924:$G924,AR$5)-SUMIFS(TF_Timer,TF_Tekniker,AR$4,TF_Dato,$A924))*2,0)/2)))</f>
        <v/>
      </c>
      <c r="AS924">
        <f>IF(OR(AS$4="",$A924&gt;TODAY()),0,IF(OR(INDEX($B924:$D924,AS$5)="F",AND(AS$6&gt;0,$A924&lt;AS$6),AND(AS$7&gt;0,$A924&gt;AS$7)),0,MAX(0,ROUND((INDEX($E924:$G924,AS$5)-SUMIFS(TF_Timer,TF_Tekniker,AS$4,TF_Dato,$A924))*2,0)/2)))</f>
        <v/>
      </c>
      <c r="AT924">
        <f>IF(OR(AT$4="",$A924&gt;TODAY()),0,IF(OR(INDEX($B924:$D924,AT$5)="F",AND(AT$6&gt;0,$A924&lt;AT$6),AND(AT$7&gt;0,$A924&gt;AT$7)),0,MAX(0,ROUND((INDEX($E924:$G924,AT$5)-SUMIFS(TF_Timer,TF_Tekniker,AT$4,TF_Dato,$A924))*2,0)/2)))</f>
        <v/>
      </c>
      <c r="AU924">
        <f>IF(OR(AU$4="",$A924&gt;TODAY()),0,IF(OR(INDEX($B924:$D924,AU$5)="F",AND(AU$6&gt;0,$A924&lt;AU$6),AND(AU$7&gt;0,$A924&gt;AU$7)),0,MAX(0,ROUND((INDEX($E924:$G924,AU$5)-SUMIFS(TF_Timer,TF_Tekniker,AU$4,TF_Dato,$A924))*2,0)/2)))</f>
        <v/>
      </c>
      <c r="AV924">
        <f>IF(OR(AV$4="",$A924&gt;TODAY()),0,IF(OR(INDEX($B924:$D924,AV$5)="F",AND(AV$6&gt;0,$A924&lt;AV$6),AND(AV$7&gt;0,$A924&gt;AV$7)),0,MAX(0,ROUND((INDEX($E924:$G924,AV$5)-SUMIFS(TF_Timer,TF_Tekniker,AV$4,TF_Dato,$A924))*2,0)/2)))</f>
        <v/>
      </c>
      <c r="AW924">
        <f>IF(OR(AW$4="",$A924&gt;TODAY()),0,IF(OR(INDEX($B924:$D924,AW$5)="F",AND(AW$6&gt;0,$A924&lt;AW$6),AND(AW$7&gt;0,$A924&gt;AW$7)),0,MAX(0,ROUND((INDEX($E924:$G924,AW$5)-SUMIFS(TF_Timer,TF_Tekniker,AW$4,TF_Dato,$A924))*2,0)/2)))</f>
        <v/>
      </c>
      <c r="AX924">
        <f>IF(OR(AX$4="",$A924&gt;TODAY()),0,IF(OR(INDEX($B924:$D924,AX$5)="F",AND(AX$6&gt;0,$A924&lt;AX$6),AND(AX$7&gt;0,$A924&gt;AX$7)),0,MAX(0,ROUND((INDEX($E924:$G924,AX$5)-SUMIFS(TF_Timer,TF_Tekniker,AX$4,TF_Dato,$A924))*2,0)/2)))</f>
        <v/>
      </c>
      <c r="AY924">
        <f>IF(OR(AY$4="",$A924&gt;TODAY()),0,IF(OR(INDEX($B924:$D924,AY$5)="F",AND(AY$6&gt;0,$A924&lt;AY$6),AND(AY$7&gt;0,$A924&gt;AY$7)),0,MAX(0,ROUND((INDEX($E924:$G924,AY$5)-SUMIFS(TF_Timer,TF_Tekniker,AY$4,TF_Dato,$A924))*2,0)/2)))</f>
        <v/>
      </c>
      <c r="AZ924">
        <f>IF(OR(AZ$4="",$A924&gt;TODAY()),0,IF(OR(INDEX($B924:$D924,AZ$5)="F",AND(AZ$6&gt;0,$A924&lt;AZ$6),AND(AZ$7&gt;0,$A924&gt;AZ$7)),0,MAX(0,ROUND((INDEX($E924:$G924,AZ$5)-SUMIFS(TF_Timer,TF_Tekniker,AZ$4,TF_Dato,$A924))*2,0)/2)))</f>
        <v/>
      </c>
      <c r="BA924">
        <f>IF(OR(BA$4="",$A924&gt;TODAY()),0,IF(OR(INDEX($B924:$D924,BA$5)="F",AND(BA$6&gt;0,$A924&lt;BA$6),AND(BA$7&gt;0,$A924&gt;BA$7)),0,MAX(0,ROUND((INDEX($E924:$G924,BA$5)-SUMIFS(TF_Timer,TF_Tekniker,BA$4,TF_Dato,$A924))*2,0)/2)))</f>
        <v/>
      </c>
      <c r="BB924">
        <f>IF(OR(BB$4="",$A924&gt;TODAY()),0,IF(OR(INDEX($B924:$D924,BB$5)="F",AND(BB$6&gt;0,$A924&lt;BB$6),AND(BB$7&gt;0,$A924&gt;BB$7)),0,MAX(0,ROUND((INDEX($E924:$G924,BB$5)-SUMIFS(TF_Timer,TF_Tekniker,BB$4,TF_Dato,$A924))*2,0)/2)))</f>
        <v/>
      </c>
      <c r="BC924">
        <f>IF(OR(BC$4="",$A924&gt;TODAY()),0,IF(OR(INDEX($B924:$D924,BC$5)="F",AND(BC$6&gt;0,$A924&lt;BC$6),AND(BC$7&gt;0,$A924&gt;BC$7)),0,MAX(0,ROUND((INDEX($E924:$G924,BC$5)-SUMIFS(TF_Timer,TF_Tekniker,BC$4,TF_Dato,$A924))*2,0)/2)))</f>
        <v/>
      </c>
      <c r="BD924">
        <f>IF(OR(BD$4="",$A924&gt;TODAY()),0,IF(OR(INDEX($B924:$D924,BD$5)="F",AND(BD$6&gt;0,$A924&lt;BD$6),AND(BD$7&gt;0,$A924&gt;BD$7)),0,MAX(0,ROUND((INDEX($E924:$G924,BD$5)-SUMIFS(TF_Timer,TF_Tekniker,BD$4,TF_Dato,$A924))*2,0)/2)))</f>
        <v/>
      </c>
      <c r="BE924">
        <f>IF(OR(BE$4="",$A924&gt;TODAY()),0,IF(OR(INDEX($B924:$D924,BE$5)="F",AND(BE$6&gt;0,$A924&lt;BE$6),AND(BE$7&gt;0,$A924&gt;BE$7)),0,MAX(0,ROUND((INDEX($E924:$G924,BE$5)-SUMIFS(TF_Timer,TF_Tekniker,BE$4,TF_Dato,$A924))*2,0)/2)))</f>
        <v/>
      </c>
      <c r="BF924">
        <f>IF(OR(BF$4="",$A924&gt;TODAY()),0,IF(OR(INDEX($B924:$D924,BF$5)="F",AND(BF$6&gt;0,$A924&lt;BF$6),AND(BF$7&gt;0,$A924&gt;BF$7)),0,MAX(0,ROUND((INDEX($E924:$G924,BF$5)-SUMIFS(TF_Timer,TF_Tekniker,BF$4,TF_Dato,$A924))*2,0)/2)))</f>
        <v/>
      </c>
      <c r="BG924">
        <f>IF(OR(BG$4="",$A924&gt;TODAY()),0,IF(OR(INDEX($B924:$D924,BG$5)="F",AND(BG$6&gt;0,$A924&lt;BG$6),AND(BG$7&gt;0,$A924&gt;BG$7)),0,MAX(0,ROUND((INDEX($E924:$G924,BG$5)-SUMIFS(TF_Timer,TF_Tekniker,BG$4,TF_Dato,$A924))*2,0)/2)))</f>
        <v/>
      </c>
      <c r="BH924">
        <f>IF(OR(BH$4="",$A924&gt;TODAY()),0,IF(OR(INDEX($B924:$D924,BH$5)="F",AND(BH$6&gt;0,$A924&lt;BH$6),AND(BH$7&gt;0,$A924&gt;BH$7)),0,MAX(0,ROUND((INDEX($E924:$G924,BH$5)-SUMIFS(TF_Timer,TF_Tekniker,BH$4,TF_Dato,$A924))*2,0)/2)))</f>
        <v/>
      </c>
      <c r="BI924">
        <f>IF(OR(BI$4="",$A924&gt;TODAY()),0,IF(OR(INDEX($B924:$D924,BI$5)="F",AND(BI$6&gt;0,$A924&lt;BI$6),AND(BI$7&gt;0,$A924&gt;BI$7)),0,MAX(0,ROUND((INDEX($E924:$G924,BI$5)-SUMIFS(TF_Timer,TF_Tekniker,BI$4,TF_Dato,$A924))*2,0)/2)))</f>
        <v/>
      </c>
    </row>
    <row r="925">
      <c r="A925" s="64">
        <f>A924+1</f>
        <v/>
      </c>
      <c r="B925">
        <f>IF(MOD($A925-INDEX(SkiftStart,1),Syklus)&lt;DagK,"K",IF(MOD($A925-INDEX(SkiftStart,1),Syklus)&lt;DagK+DagH,"H",IF(MOD($A925-INDEX(SkiftStart,1),Syklus)&lt;DagK+DagH+DagD,"D","F")))</f>
        <v/>
      </c>
      <c r="C925">
        <f>IF(MOD($A925-INDEX(SkiftStart,2),Syklus)&lt;DagK,"K",IF(MOD($A925-INDEX(SkiftStart,2),Syklus)&lt;DagK+DagH,"H",IF(MOD($A925-INDEX(SkiftStart,2),Syklus)&lt;DagK+DagH+DagD,"D","F")))</f>
        <v/>
      </c>
      <c r="D925">
        <f>IF(MOD($A925-INDEX(SkiftStart,3),Syklus)&lt;DagK,"K",IF(MOD($A925-INDEX(SkiftStart,3),Syklus)&lt;DagK+DagH,"H",IF(MOD($A925-INDEX(SkiftStart,3),Syklus)&lt;DagK+DagH+DagD,"D","F")))</f>
        <v/>
      </c>
      <c r="E925">
        <f>IF(B925="F",0,IF(WEEKDAY($A925,2)=5,INDEX(TimerFr,MATCH(B925,FaseKode,0)),INDEX(TimerMT,MATCH(B925,FaseKode,0))))</f>
        <v/>
      </c>
      <c r="F925">
        <f>IF(C925="F",0,IF(WEEKDAY($A925,2)=5,INDEX(TimerFr,MATCH(C925,FaseKode,0)),INDEX(TimerMT,MATCH(C925,FaseKode,0))))</f>
        <v/>
      </c>
      <c r="G925">
        <f>IF(D925="F",0,IF(WEEKDAY($A925,2)=5,INDEX(TimerFr,MATCH(D925,FaseKode,0)),INDEX(TimerMT,MATCH(D925,FaseKode,0))))</f>
        <v/>
      </c>
      <c r="H925">
        <f>IF(OR(H$4="",$A925&gt;TODAY()),0,IF(OR(INDEX($B925:$D925,H$5)="F",AND(H$6&gt;0,$A925&lt;H$6),AND(H$7&gt;0,$A925&gt;H$7)),0,MAX(0,ROUND((INDEX($E925:$G925,H$5)-SUMIFS(TF_Timer,TF_Tekniker,H$4,TF_Dato,$A925))*2,0)/2)))</f>
        <v/>
      </c>
      <c r="I925">
        <f>IF(OR(I$4="",$A925&gt;TODAY()),0,IF(OR(INDEX($B925:$D925,I$5)="F",AND(I$6&gt;0,$A925&lt;I$6),AND(I$7&gt;0,$A925&gt;I$7)),0,MAX(0,ROUND((INDEX($E925:$G925,I$5)-SUMIFS(TF_Timer,TF_Tekniker,I$4,TF_Dato,$A925))*2,0)/2)))</f>
        <v/>
      </c>
      <c r="J925">
        <f>IF(OR(J$4="",$A925&gt;TODAY()),0,IF(OR(INDEX($B925:$D925,J$5)="F",AND(J$6&gt;0,$A925&lt;J$6),AND(J$7&gt;0,$A925&gt;J$7)),0,MAX(0,ROUND((INDEX($E925:$G925,J$5)-SUMIFS(TF_Timer,TF_Tekniker,J$4,TF_Dato,$A925))*2,0)/2)))</f>
        <v/>
      </c>
      <c r="K925">
        <f>IF(OR(K$4="",$A925&gt;TODAY()),0,IF(OR(INDEX($B925:$D925,K$5)="F",AND(K$6&gt;0,$A925&lt;K$6),AND(K$7&gt;0,$A925&gt;K$7)),0,MAX(0,ROUND((INDEX($E925:$G925,K$5)-SUMIFS(TF_Timer,TF_Tekniker,K$4,TF_Dato,$A925))*2,0)/2)))</f>
        <v/>
      </c>
      <c r="L925">
        <f>IF(OR(L$4="",$A925&gt;TODAY()),0,IF(OR(INDEX($B925:$D925,L$5)="F",AND(L$6&gt;0,$A925&lt;L$6),AND(L$7&gt;0,$A925&gt;L$7)),0,MAX(0,ROUND((INDEX($E925:$G925,L$5)-SUMIFS(TF_Timer,TF_Tekniker,L$4,TF_Dato,$A925))*2,0)/2)))</f>
        <v/>
      </c>
      <c r="M925">
        <f>IF(OR(M$4="",$A925&gt;TODAY()),0,IF(OR(INDEX($B925:$D925,M$5)="F",AND(M$6&gt;0,$A925&lt;M$6),AND(M$7&gt;0,$A925&gt;M$7)),0,MAX(0,ROUND((INDEX($E925:$G925,M$5)-SUMIFS(TF_Timer,TF_Tekniker,M$4,TF_Dato,$A925))*2,0)/2)))</f>
        <v/>
      </c>
      <c r="N925">
        <f>IF(OR(N$4="",$A925&gt;TODAY()),0,IF(OR(INDEX($B925:$D925,N$5)="F",AND(N$6&gt;0,$A925&lt;N$6),AND(N$7&gt;0,$A925&gt;N$7)),0,MAX(0,ROUND((INDEX($E925:$G925,N$5)-SUMIFS(TF_Timer,TF_Tekniker,N$4,TF_Dato,$A925))*2,0)/2)))</f>
        <v/>
      </c>
      <c r="O925">
        <f>IF(OR(O$4="",$A925&gt;TODAY()),0,IF(OR(INDEX($B925:$D925,O$5)="F",AND(O$6&gt;0,$A925&lt;O$6),AND(O$7&gt;0,$A925&gt;O$7)),0,MAX(0,ROUND((INDEX($E925:$G925,O$5)-SUMIFS(TF_Timer,TF_Tekniker,O$4,TF_Dato,$A925))*2,0)/2)))</f>
        <v/>
      </c>
      <c r="P925">
        <f>IF(OR(P$4="",$A925&gt;TODAY()),0,IF(OR(INDEX($B925:$D925,P$5)="F",AND(P$6&gt;0,$A925&lt;P$6),AND(P$7&gt;0,$A925&gt;P$7)),0,MAX(0,ROUND((INDEX($E925:$G925,P$5)-SUMIFS(TF_Timer,TF_Tekniker,P$4,TF_Dato,$A925))*2,0)/2)))</f>
        <v/>
      </c>
      <c r="Q925">
        <f>IF(OR(Q$4="",$A925&gt;TODAY()),0,IF(OR(INDEX($B925:$D925,Q$5)="F",AND(Q$6&gt;0,$A925&lt;Q$6),AND(Q$7&gt;0,$A925&gt;Q$7)),0,MAX(0,ROUND((INDEX($E925:$G925,Q$5)-SUMIFS(TF_Timer,TF_Tekniker,Q$4,TF_Dato,$A925))*2,0)/2)))</f>
        <v/>
      </c>
      <c r="R925">
        <f>IF(OR(R$4="",$A925&gt;TODAY()),0,IF(OR(INDEX($B925:$D925,R$5)="F",AND(R$6&gt;0,$A925&lt;R$6),AND(R$7&gt;0,$A925&gt;R$7)),0,MAX(0,ROUND((INDEX($E925:$G925,R$5)-SUMIFS(TF_Timer,TF_Tekniker,R$4,TF_Dato,$A925))*2,0)/2)))</f>
        <v/>
      </c>
      <c r="S925">
        <f>IF(OR(S$4="",$A925&gt;TODAY()),0,IF(OR(INDEX($B925:$D925,S$5)="F",AND(S$6&gt;0,$A925&lt;S$6),AND(S$7&gt;0,$A925&gt;S$7)),0,MAX(0,ROUND((INDEX($E925:$G925,S$5)-SUMIFS(TF_Timer,TF_Tekniker,S$4,TF_Dato,$A925))*2,0)/2)))</f>
        <v/>
      </c>
      <c r="T925">
        <f>IF(OR(T$4="",$A925&gt;TODAY()),0,IF(OR(INDEX($B925:$D925,T$5)="F",AND(T$6&gt;0,$A925&lt;T$6),AND(T$7&gt;0,$A925&gt;T$7)),0,MAX(0,ROUND((INDEX($E925:$G925,T$5)-SUMIFS(TF_Timer,TF_Tekniker,T$4,TF_Dato,$A925))*2,0)/2)))</f>
        <v/>
      </c>
      <c r="U925">
        <f>IF(OR(U$4="",$A925&gt;TODAY()),0,IF(OR(INDEX($B925:$D925,U$5)="F",AND(U$6&gt;0,$A925&lt;U$6),AND(U$7&gt;0,$A925&gt;U$7)),0,MAX(0,ROUND((INDEX($E925:$G925,U$5)-SUMIFS(TF_Timer,TF_Tekniker,U$4,TF_Dato,$A925))*2,0)/2)))</f>
        <v/>
      </c>
      <c r="V925">
        <f>IF(OR(V$4="",$A925&gt;TODAY()),0,IF(OR(INDEX($B925:$D925,V$5)="F",AND(V$6&gt;0,$A925&lt;V$6),AND(V$7&gt;0,$A925&gt;V$7)),0,MAX(0,ROUND((INDEX($E925:$G925,V$5)-SUMIFS(TF_Timer,TF_Tekniker,V$4,TF_Dato,$A925))*2,0)/2)))</f>
        <v/>
      </c>
      <c r="W925">
        <f>IF(OR(W$4="",$A925&gt;TODAY()),0,IF(OR(INDEX($B925:$D925,W$5)="F",AND(W$6&gt;0,$A925&lt;W$6),AND(W$7&gt;0,$A925&gt;W$7)),0,MAX(0,ROUND((INDEX($E925:$G925,W$5)-SUMIFS(TF_Timer,TF_Tekniker,W$4,TF_Dato,$A925))*2,0)/2)))</f>
        <v/>
      </c>
      <c r="X925">
        <f>IF(OR(X$4="",$A925&gt;TODAY()),0,IF(OR(INDEX($B925:$D925,X$5)="F",AND(X$6&gt;0,$A925&lt;X$6),AND(X$7&gt;0,$A925&gt;X$7)),0,MAX(0,ROUND((INDEX($E925:$G925,X$5)-SUMIFS(TF_Timer,TF_Tekniker,X$4,TF_Dato,$A925))*2,0)/2)))</f>
        <v/>
      </c>
      <c r="Y925">
        <f>IF(OR(Y$4="",$A925&gt;TODAY()),0,IF(OR(INDEX($B925:$D925,Y$5)="F",AND(Y$6&gt;0,$A925&lt;Y$6),AND(Y$7&gt;0,$A925&gt;Y$7)),0,MAX(0,ROUND((INDEX($E925:$G925,Y$5)-SUMIFS(TF_Timer,TF_Tekniker,Y$4,TF_Dato,$A925))*2,0)/2)))</f>
        <v/>
      </c>
      <c r="Z925">
        <f>IF(OR(Z$4="",$A925&gt;TODAY()),0,IF(OR(INDEX($B925:$D925,Z$5)="F",AND(Z$6&gt;0,$A925&lt;Z$6),AND(Z$7&gt;0,$A925&gt;Z$7)),0,MAX(0,ROUND((INDEX($E925:$G925,Z$5)-SUMIFS(TF_Timer,TF_Tekniker,Z$4,TF_Dato,$A925))*2,0)/2)))</f>
        <v/>
      </c>
      <c r="AA925">
        <f>IF(OR(AA$4="",$A925&gt;TODAY()),0,IF(OR(INDEX($B925:$D925,AA$5)="F",AND(AA$6&gt;0,$A925&lt;AA$6),AND(AA$7&gt;0,$A925&gt;AA$7)),0,MAX(0,ROUND((INDEX($E925:$G925,AA$5)-SUMIFS(TF_Timer,TF_Tekniker,AA$4,TF_Dato,$A925))*2,0)/2)))</f>
        <v/>
      </c>
      <c r="AB925">
        <f>IF(OR(AB$4="",$A925&gt;TODAY()),0,IF(OR(INDEX($B925:$D925,AB$5)="F",AND(AB$6&gt;0,$A925&lt;AB$6),AND(AB$7&gt;0,$A925&gt;AB$7)),0,MAX(0,ROUND((INDEX($E925:$G925,AB$5)-SUMIFS(TF_Timer,TF_Tekniker,AB$4,TF_Dato,$A925))*2,0)/2)))</f>
        <v/>
      </c>
      <c r="AC925">
        <f>IF(OR(AC$4="",$A925&gt;TODAY()),0,IF(OR(INDEX($B925:$D925,AC$5)="F",AND(AC$6&gt;0,$A925&lt;AC$6),AND(AC$7&gt;0,$A925&gt;AC$7)),0,MAX(0,ROUND((INDEX($E925:$G925,AC$5)-SUMIFS(TF_Timer,TF_Tekniker,AC$4,TF_Dato,$A925))*2,0)/2)))</f>
        <v/>
      </c>
      <c r="AD925">
        <f>IF(OR(AD$4="",$A925&gt;TODAY()),0,IF(OR(INDEX($B925:$D925,AD$5)="F",AND(AD$6&gt;0,$A925&lt;AD$6),AND(AD$7&gt;0,$A925&gt;AD$7)),0,MAX(0,ROUND((INDEX($E925:$G925,AD$5)-SUMIFS(TF_Timer,TF_Tekniker,AD$4,TF_Dato,$A925))*2,0)/2)))</f>
        <v/>
      </c>
      <c r="AE925">
        <f>IF(OR(AE$4="",$A925&gt;TODAY()),0,IF(OR(INDEX($B925:$D925,AE$5)="F",AND(AE$6&gt;0,$A925&lt;AE$6),AND(AE$7&gt;0,$A925&gt;AE$7)),0,MAX(0,ROUND((INDEX($E925:$G925,AE$5)-SUMIFS(TF_Timer,TF_Tekniker,AE$4,TF_Dato,$A925))*2,0)/2)))</f>
        <v/>
      </c>
      <c r="AF925">
        <f>IF(OR(AF$4="",$A925&gt;TODAY()),0,IF(OR(INDEX($B925:$D925,AF$5)="F",AND(AF$6&gt;0,$A925&lt;AF$6),AND(AF$7&gt;0,$A925&gt;AF$7)),0,MAX(0,ROUND((INDEX($E925:$G925,AF$5)-SUMIFS(TF_Timer,TF_Tekniker,AF$4,TF_Dato,$A925))*2,0)/2)))</f>
        <v/>
      </c>
      <c r="AG925">
        <f>IF(OR(AG$4="",$A925&gt;TODAY()),0,IF(OR(INDEX($B925:$D925,AG$5)="F",AND(AG$6&gt;0,$A925&lt;AG$6),AND(AG$7&gt;0,$A925&gt;AG$7)),0,MAX(0,ROUND((INDEX($E925:$G925,AG$5)-SUMIFS(TF_Timer,TF_Tekniker,AG$4,TF_Dato,$A925))*2,0)/2)))</f>
        <v/>
      </c>
      <c r="AH925">
        <f>IF(OR(AH$4="",$A925&gt;TODAY()),0,IF(OR(INDEX($B925:$D925,AH$5)="F",AND(AH$6&gt;0,$A925&lt;AH$6),AND(AH$7&gt;0,$A925&gt;AH$7)),0,MAX(0,ROUND((INDEX($E925:$G925,AH$5)-SUMIFS(TF_Timer,TF_Tekniker,AH$4,TF_Dato,$A925))*2,0)/2)))</f>
        <v/>
      </c>
      <c r="AI925">
        <f>IF(OR(AI$4="",$A925&gt;TODAY()),0,IF(OR(INDEX($B925:$D925,AI$5)="F",AND(AI$6&gt;0,$A925&lt;AI$6),AND(AI$7&gt;0,$A925&gt;AI$7)),0,MAX(0,ROUND((INDEX($E925:$G925,AI$5)-SUMIFS(TF_Timer,TF_Tekniker,AI$4,TF_Dato,$A925))*2,0)/2)))</f>
        <v/>
      </c>
      <c r="AJ925">
        <f>IF(OR(AJ$4="",$A925&gt;TODAY()),0,IF(OR(INDEX($B925:$D925,AJ$5)="F",AND(AJ$6&gt;0,$A925&lt;AJ$6),AND(AJ$7&gt;0,$A925&gt;AJ$7)),0,MAX(0,ROUND((INDEX($E925:$G925,AJ$5)-SUMIFS(TF_Timer,TF_Tekniker,AJ$4,TF_Dato,$A925))*2,0)/2)))</f>
        <v/>
      </c>
      <c r="AK925">
        <f>IF(OR(AK$4="",$A925&gt;TODAY()),0,IF(OR(INDEX($B925:$D925,AK$5)="F",AND(AK$6&gt;0,$A925&lt;AK$6),AND(AK$7&gt;0,$A925&gt;AK$7)),0,MAX(0,ROUND((INDEX($E925:$G925,AK$5)-SUMIFS(TF_Timer,TF_Tekniker,AK$4,TF_Dato,$A925))*2,0)/2)))</f>
        <v/>
      </c>
      <c r="AL925">
        <f>IF(OR(AL$4="",$A925&gt;TODAY()),0,IF(OR(INDEX($B925:$D925,AL$5)="F",AND(AL$6&gt;0,$A925&lt;AL$6),AND(AL$7&gt;0,$A925&gt;AL$7)),0,MAX(0,ROUND((INDEX($E925:$G925,AL$5)-SUMIFS(TF_Timer,TF_Tekniker,AL$4,TF_Dato,$A925))*2,0)/2)))</f>
        <v/>
      </c>
      <c r="AM925">
        <f>IF(OR(AM$4="",$A925&gt;TODAY()),0,IF(OR(INDEX($B925:$D925,AM$5)="F",AND(AM$6&gt;0,$A925&lt;AM$6),AND(AM$7&gt;0,$A925&gt;AM$7)),0,MAX(0,ROUND((INDEX($E925:$G925,AM$5)-SUMIFS(TF_Timer,TF_Tekniker,AM$4,TF_Dato,$A925))*2,0)/2)))</f>
        <v/>
      </c>
      <c r="AN925">
        <f>IF(OR(AN$4="",$A925&gt;TODAY()),0,IF(OR(INDEX($B925:$D925,AN$5)="F",AND(AN$6&gt;0,$A925&lt;AN$6),AND(AN$7&gt;0,$A925&gt;AN$7)),0,MAX(0,ROUND((INDEX($E925:$G925,AN$5)-SUMIFS(TF_Timer,TF_Tekniker,AN$4,TF_Dato,$A925))*2,0)/2)))</f>
        <v/>
      </c>
      <c r="AO925">
        <f>IF(OR(AO$4="",$A925&gt;TODAY()),0,IF(OR(INDEX($B925:$D925,AO$5)="F",AND(AO$6&gt;0,$A925&lt;AO$6),AND(AO$7&gt;0,$A925&gt;AO$7)),0,MAX(0,ROUND((INDEX($E925:$G925,AO$5)-SUMIFS(TF_Timer,TF_Tekniker,AO$4,TF_Dato,$A925))*2,0)/2)))</f>
        <v/>
      </c>
      <c r="AP925">
        <f>IF(OR(AP$4="",$A925&gt;TODAY()),0,IF(OR(INDEX($B925:$D925,AP$5)="F",AND(AP$6&gt;0,$A925&lt;AP$6),AND(AP$7&gt;0,$A925&gt;AP$7)),0,MAX(0,ROUND((INDEX($E925:$G925,AP$5)-SUMIFS(TF_Timer,TF_Tekniker,AP$4,TF_Dato,$A925))*2,0)/2)))</f>
        <v/>
      </c>
      <c r="AQ925">
        <f>IF(OR(AQ$4="",$A925&gt;TODAY()),0,IF(OR(INDEX($B925:$D925,AQ$5)="F",AND(AQ$6&gt;0,$A925&lt;AQ$6),AND(AQ$7&gt;0,$A925&gt;AQ$7)),0,MAX(0,ROUND((INDEX($E925:$G925,AQ$5)-SUMIFS(TF_Timer,TF_Tekniker,AQ$4,TF_Dato,$A925))*2,0)/2)))</f>
        <v/>
      </c>
      <c r="AR925">
        <f>IF(OR(AR$4="",$A925&gt;TODAY()),0,IF(OR(INDEX($B925:$D925,AR$5)="F",AND(AR$6&gt;0,$A925&lt;AR$6),AND(AR$7&gt;0,$A925&gt;AR$7)),0,MAX(0,ROUND((INDEX($E925:$G925,AR$5)-SUMIFS(TF_Timer,TF_Tekniker,AR$4,TF_Dato,$A925))*2,0)/2)))</f>
        <v/>
      </c>
      <c r="AS925">
        <f>IF(OR(AS$4="",$A925&gt;TODAY()),0,IF(OR(INDEX($B925:$D925,AS$5)="F",AND(AS$6&gt;0,$A925&lt;AS$6),AND(AS$7&gt;0,$A925&gt;AS$7)),0,MAX(0,ROUND((INDEX($E925:$G925,AS$5)-SUMIFS(TF_Timer,TF_Tekniker,AS$4,TF_Dato,$A925))*2,0)/2)))</f>
        <v/>
      </c>
      <c r="AT925">
        <f>IF(OR(AT$4="",$A925&gt;TODAY()),0,IF(OR(INDEX($B925:$D925,AT$5)="F",AND(AT$6&gt;0,$A925&lt;AT$6),AND(AT$7&gt;0,$A925&gt;AT$7)),0,MAX(0,ROUND((INDEX($E925:$G925,AT$5)-SUMIFS(TF_Timer,TF_Tekniker,AT$4,TF_Dato,$A925))*2,0)/2)))</f>
        <v/>
      </c>
      <c r="AU925">
        <f>IF(OR(AU$4="",$A925&gt;TODAY()),0,IF(OR(INDEX($B925:$D925,AU$5)="F",AND(AU$6&gt;0,$A925&lt;AU$6),AND(AU$7&gt;0,$A925&gt;AU$7)),0,MAX(0,ROUND((INDEX($E925:$G925,AU$5)-SUMIFS(TF_Timer,TF_Tekniker,AU$4,TF_Dato,$A925))*2,0)/2)))</f>
        <v/>
      </c>
      <c r="AV925">
        <f>IF(OR(AV$4="",$A925&gt;TODAY()),0,IF(OR(INDEX($B925:$D925,AV$5)="F",AND(AV$6&gt;0,$A925&lt;AV$6),AND(AV$7&gt;0,$A925&gt;AV$7)),0,MAX(0,ROUND((INDEX($E925:$G925,AV$5)-SUMIFS(TF_Timer,TF_Tekniker,AV$4,TF_Dato,$A925))*2,0)/2)))</f>
        <v/>
      </c>
      <c r="AW925">
        <f>IF(OR(AW$4="",$A925&gt;TODAY()),0,IF(OR(INDEX($B925:$D925,AW$5)="F",AND(AW$6&gt;0,$A925&lt;AW$6),AND(AW$7&gt;0,$A925&gt;AW$7)),0,MAX(0,ROUND((INDEX($E925:$G925,AW$5)-SUMIFS(TF_Timer,TF_Tekniker,AW$4,TF_Dato,$A925))*2,0)/2)))</f>
        <v/>
      </c>
      <c r="AX925">
        <f>IF(OR(AX$4="",$A925&gt;TODAY()),0,IF(OR(INDEX($B925:$D925,AX$5)="F",AND(AX$6&gt;0,$A925&lt;AX$6),AND(AX$7&gt;0,$A925&gt;AX$7)),0,MAX(0,ROUND((INDEX($E925:$G925,AX$5)-SUMIFS(TF_Timer,TF_Tekniker,AX$4,TF_Dato,$A925))*2,0)/2)))</f>
        <v/>
      </c>
      <c r="AY925">
        <f>IF(OR(AY$4="",$A925&gt;TODAY()),0,IF(OR(INDEX($B925:$D925,AY$5)="F",AND(AY$6&gt;0,$A925&lt;AY$6),AND(AY$7&gt;0,$A925&gt;AY$7)),0,MAX(0,ROUND((INDEX($E925:$G925,AY$5)-SUMIFS(TF_Timer,TF_Tekniker,AY$4,TF_Dato,$A925))*2,0)/2)))</f>
        <v/>
      </c>
      <c r="AZ925">
        <f>IF(OR(AZ$4="",$A925&gt;TODAY()),0,IF(OR(INDEX($B925:$D925,AZ$5)="F",AND(AZ$6&gt;0,$A925&lt;AZ$6),AND(AZ$7&gt;0,$A925&gt;AZ$7)),0,MAX(0,ROUND((INDEX($E925:$G925,AZ$5)-SUMIFS(TF_Timer,TF_Tekniker,AZ$4,TF_Dato,$A925))*2,0)/2)))</f>
        <v/>
      </c>
      <c r="BA925">
        <f>IF(OR(BA$4="",$A925&gt;TODAY()),0,IF(OR(INDEX($B925:$D925,BA$5)="F",AND(BA$6&gt;0,$A925&lt;BA$6),AND(BA$7&gt;0,$A925&gt;BA$7)),0,MAX(0,ROUND((INDEX($E925:$G925,BA$5)-SUMIFS(TF_Timer,TF_Tekniker,BA$4,TF_Dato,$A925))*2,0)/2)))</f>
        <v/>
      </c>
      <c r="BB925">
        <f>IF(OR(BB$4="",$A925&gt;TODAY()),0,IF(OR(INDEX($B925:$D925,BB$5)="F",AND(BB$6&gt;0,$A925&lt;BB$6),AND(BB$7&gt;0,$A925&gt;BB$7)),0,MAX(0,ROUND((INDEX($E925:$G925,BB$5)-SUMIFS(TF_Timer,TF_Tekniker,BB$4,TF_Dato,$A925))*2,0)/2)))</f>
        <v/>
      </c>
      <c r="BC925">
        <f>IF(OR(BC$4="",$A925&gt;TODAY()),0,IF(OR(INDEX($B925:$D925,BC$5)="F",AND(BC$6&gt;0,$A925&lt;BC$6),AND(BC$7&gt;0,$A925&gt;BC$7)),0,MAX(0,ROUND((INDEX($E925:$G925,BC$5)-SUMIFS(TF_Timer,TF_Tekniker,BC$4,TF_Dato,$A925))*2,0)/2)))</f>
        <v/>
      </c>
      <c r="BD925">
        <f>IF(OR(BD$4="",$A925&gt;TODAY()),0,IF(OR(INDEX($B925:$D925,BD$5)="F",AND(BD$6&gt;0,$A925&lt;BD$6),AND(BD$7&gt;0,$A925&gt;BD$7)),0,MAX(0,ROUND((INDEX($E925:$G925,BD$5)-SUMIFS(TF_Timer,TF_Tekniker,BD$4,TF_Dato,$A925))*2,0)/2)))</f>
        <v/>
      </c>
      <c r="BE925">
        <f>IF(OR(BE$4="",$A925&gt;TODAY()),0,IF(OR(INDEX($B925:$D925,BE$5)="F",AND(BE$6&gt;0,$A925&lt;BE$6),AND(BE$7&gt;0,$A925&gt;BE$7)),0,MAX(0,ROUND((INDEX($E925:$G925,BE$5)-SUMIFS(TF_Timer,TF_Tekniker,BE$4,TF_Dato,$A925))*2,0)/2)))</f>
        <v/>
      </c>
      <c r="BF925">
        <f>IF(OR(BF$4="",$A925&gt;TODAY()),0,IF(OR(INDEX($B925:$D925,BF$5)="F",AND(BF$6&gt;0,$A925&lt;BF$6),AND(BF$7&gt;0,$A925&gt;BF$7)),0,MAX(0,ROUND((INDEX($E925:$G925,BF$5)-SUMIFS(TF_Timer,TF_Tekniker,BF$4,TF_Dato,$A925))*2,0)/2)))</f>
        <v/>
      </c>
      <c r="BG925">
        <f>IF(OR(BG$4="",$A925&gt;TODAY()),0,IF(OR(INDEX($B925:$D925,BG$5)="F",AND(BG$6&gt;0,$A925&lt;BG$6),AND(BG$7&gt;0,$A925&gt;BG$7)),0,MAX(0,ROUND((INDEX($E925:$G925,BG$5)-SUMIFS(TF_Timer,TF_Tekniker,BG$4,TF_Dato,$A925))*2,0)/2)))</f>
        <v/>
      </c>
      <c r="BH925">
        <f>IF(OR(BH$4="",$A925&gt;TODAY()),0,IF(OR(INDEX($B925:$D925,BH$5)="F",AND(BH$6&gt;0,$A925&lt;BH$6),AND(BH$7&gt;0,$A925&gt;BH$7)),0,MAX(0,ROUND((INDEX($E925:$G925,BH$5)-SUMIFS(TF_Timer,TF_Tekniker,BH$4,TF_Dato,$A925))*2,0)/2)))</f>
        <v/>
      </c>
      <c r="BI925">
        <f>IF(OR(BI$4="",$A925&gt;TODAY()),0,IF(OR(INDEX($B925:$D925,BI$5)="F",AND(BI$6&gt;0,$A925&lt;BI$6),AND(BI$7&gt;0,$A925&gt;BI$7)),0,MAX(0,ROUND((INDEX($E925:$G925,BI$5)-SUMIFS(TF_Timer,TF_Tekniker,BI$4,TF_Dato,$A925))*2,0)/2)))</f>
        <v/>
      </c>
    </row>
    <row r="926">
      <c r="A926" s="64">
        <f>A925+1</f>
        <v/>
      </c>
      <c r="B926">
        <f>IF(MOD($A926-INDEX(SkiftStart,1),Syklus)&lt;DagK,"K",IF(MOD($A926-INDEX(SkiftStart,1),Syklus)&lt;DagK+DagH,"H",IF(MOD($A926-INDEX(SkiftStart,1),Syklus)&lt;DagK+DagH+DagD,"D","F")))</f>
        <v/>
      </c>
      <c r="C926">
        <f>IF(MOD($A926-INDEX(SkiftStart,2),Syklus)&lt;DagK,"K",IF(MOD($A926-INDEX(SkiftStart,2),Syklus)&lt;DagK+DagH,"H",IF(MOD($A926-INDEX(SkiftStart,2),Syklus)&lt;DagK+DagH+DagD,"D","F")))</f>
        <v/>
      </c>
      <c r="D926">
        <f>IF(MOD($A926-INDEX(SkiftStart,3),Syklus)&lt;DagK,"K",IF(MOD($A926-INDEX(SkiftStart,3),Syklus)&lt;DagK+DagH,"H",IF(MOD($A926-INDEX(SkiftStart,3),Syklus)&lt;DagK+DagH+DagD,"D","F")))</f>
        <v/>
      </c>
      <c r="E926">
        <f>IF(B926="F",0,IF(WEEKDAY($A926,2)=5,INDEX(TimerFr,MATCH(B926,FaseKode,0)),INDEX(TimerMT,MATCH(B926,FaseKode,0))))</f>
        <v/>
      </c>
      <c r="F926">
        <f>IF(C926="F",0,IF(WEEKDAY($A926,2)=5,INDEX(TimerFr,MATCH(C926,FaseKode,0)),INDEX(TimerMT,MATCH(C926,FaseKode,0))))</f>
        <v/>
      </c>
      <c r="G926">
        <f>IF(D926="F",0,IF(WEEKDAY($A926,2)=5,INDEX(TimerFr,MATCH(D926,FaseKode,0)),INDEX(TimerMT,MATCH(D926,FaseKode,0))))</f>
        <v/>
      </c>
      <c r="H926">
        <f>IF(OR(H$4="",$A926&gt;TODAY()),0,IF(OR(INDEX($B926:$D926,H$5)="F",AND(H$6&gt;0,$A926&lt;H$6),AND(H$7&gt;0,$A926&gt;H$7)),0,MAX(0,ROUND((INDEX($E926:$G926,H$5)-SUMIFS(TF_Timer,TF_Tekniker,H$4,TF_Dato,$A926))*2,0)/2)))</f>
        <v/>
      </c>
      <c r="I926">
        <f>IF(OR(I$4="",$A926&gt;TODAY()),0,IF(OR(INDEX($B926:$D926,I$5)="F",AND(I$6&gt;0,$A926&lt;I$6),AND(I$7&gt;0,$A926&gt;I$7)),0,MAX(0,ROUND((INDEX($E926:$G926,I$5)-SUMIFS(TF_Timer,TF_Tekniker,I$4,TF_Dato,$A926))*2,0)/2)))</f>
        <v/>
      </c>
      <c r="J926">
        <f>IF(OR(J$4="",$A926&gt;TODAY()),0,IF(OR(INDEX($B926:$D926,J$5)="F",AND(J$6&gt;0,$A926&lt;J$6),AND(J$7&gt;0,$A926&gt;J$7)),0,MAX(0,ROUND((INDEX($E926:$G926,J$5)-SUMIFS(TF_Timer,TF_Tekniker,J$4,TF_Dato,$A926))*2,0)/2)))</f>
        <v/>
      </c>
      <c r="K926">
        <f>IF(OR(K$4="",$A926&gt;TODAY()),0,IF(OR(INDEX($B926:$D926,K$5)="F",AND(K$6&gt;0,$A926&lt;K$6),AND(K$7&gt;0,$A926&gt;K$7)),0,MAX(0,ROUND((INDEX($E926:$G926,K$5)-SUMIFS(TF_Timer,TF_Tekniker,K$4,TF_Dato,$A926))*2,0)/2)))</f>
        <v/>
      </c>
      <c r="L926">
        <f>IF(OR(L$4="",$A926&gt;TODAY()),0,IF(OR(INDEX($B926:$D926,L$5)="F",AND(L$6&gt;0,$A926&lt;L$6),AND(L$7&gt;0,$A926&gt;L$7)),0,MAX(0,ROUND((INDEX($E926:$G926,L$5)-SUMIFS(TF_Timer,TF_Tekniker,L$4,TF_Dato,$A926))*2,0)/2)))</f>
        <v/>
      </c>
      <c r="M926">
        <f>IF(OR(M$4="",$A926&gt;TODAY()),0,IF(OR(INDEX($B926:$D926,M$5)="F",AND(M$6&gt;0,$A926&lt;M$6),AND(M$7&gt;0,$A926&gt;M$7)),0,MAX(0,ROUND((INDEX($E926:$G926,M$5)-SUMIFS(TF_Timer,TF_Tekniker,M$4,TF_Dato,$A926))*2,0)/2)))</f>
        <v/>
      </c>
      <c r="N926">
        <f>IF(OR(N$4="",$A926&gt;TODAY()),0,IF(OR(INDEX($B926:$D926,N$5)="F",AND(N$6&gt;0,$A926&lt;N$6),AND(N$7&gt;0,$A926&gt;N$7)),0,MAX(0,ROUND((INDEX($E926:$G926,N$5)-SUMIFS(TF_Timer,TF_Tekniker,N$4,TF_Dato,$A926))*2,0)/2)))</f>
        <v/>
      </c>
      <c r="O926">
        <f>IF(OR(O$4="",$A926&gt;TODAY()),0,IF(OR(INDEX($B926:$D926,O$5)="F",AND(O$6&gt;0,$A926&lt;O$6),AND(O$7&gt;0,$A926&gt;O$7)),0,MAX(0,ROUND((INDEX($E926:$G926,O$5)-SUMIFS(TF_Timer,TF_Tekniker,O$4,TF_Dato,$A926))*2,0)/2)))</f>
        <v/>
      </c>
      <c r="P926">
        <f>IF(OR(P$4="",$A926&gt;TODAY()),0,IF(OR(INDEX($B926:$D926,P$5)="F",AND(P$6&gt;0,$A926&lt;P$6),AND(P$7&gt;0,$A926&gt;P$7)),0,MAX(0,ROUND((INDEX($E926:$G926,P$5)-SUMIFS(TF_Timer,TF_Tekniker,P$4,TF_Dato,$A926))*2,0)/2)))</f>
        <v/>
      </c>
      <c r="Q926">
        <f>IF(OR(Q$4="",$A926&gt;TODAY()),0,IF(OR(INDEX($B926:$D926,Q$5)="F",AND(Q$6&gt;0,$A926&lt;Q$6),AND(Q$7&gt;0,$A926&gt;Q$7)),0,MAX(0,ROUND((INDEX($E926:$G926,Q$5)-SUMIFS(TF_Timer,TF_Tekniker,Q$4,TF_Dato,$A926))*2,0)/2)))</f>
        <v/>
      </c>
      <c r="R926">
        <f>IF(OR(R$4="",$A926&gt;TODAY()),0,IF(OR(INDEX($B926:$D926,R$5)="F",AND(R$6&gt;0,$A926&lt;R$6),AND(R$7&gt;0,$A926&gt;R$7)),0,MAX(0,ROUND((INDEX($E926:$G926,R$5)-SUMIFS(TF_Timer,TF_Tekniker,R$4,TF_Dato,$A926))*2,0)/2)))</f>
        <v/>
      </c>
      <c r="S926">
        <f>IF(OR(S$4="",$A926&gt;TODAY()),0,IF(OR(INDEX($B926:$D926,S$5)="F",AND(S$6&gt;0,$A926&lt;S$6),AND(S$7&gt;0,$A926&gt;S$7)),0,MAX(0,ROUND((INDEX($E926:$G926,S$5)-SUMIFS(TF_Timer,TF_Tekniker,S$4,TF_Dato,$A926))*2,0)/2)))</f>
        <v/>
      </c>
      <c r="T926">
        <f>IF(OR(T$4="",$A926&gt;TODAY()),0,IF(OR(INDEX($B926:$D926,T$5)="F",AND(T$6&gt;0,$A926&lt;T$6),AND(T$7&gt;0,$A926&gt;T$7)),0,MAX(0,ROUND((INDEX($E926:$G926,T$5)-SUMIFS(TF_Timer,TF_Tekniker,T$4,TF_Dato,$A926))*2,0)/2)))</f>
        <v/>
      </c>
      <c r="U926">
        <f>IF(OR(U$4="",$A926&gt;TODAY()),0,IF(OR(INDEX($B926:$D926,U$5)="F",AND(U$6&gt;0,$A926&lt;U$6),AND(U$7&gt;0,$A926&gt;U$7)),0,MAX(0,ROUND((INDEX($E926:$G926,U$5)-SUMIFS(TF_Timer,TF_Tekniker,U$4,TF_Dato,$A926))*2,0)/2)))</f>
        <v/>
      </c>
      <c r="V926">
        <f>IF(OR(V$4="",$A926&gt;TODAY()),0,IF(OR(INDEX($B926:$D926,V$5)="F",AND(V$6&gt;0,$A926&lt;V$6),AND(V$7&gt;0,$A926&gt;V$7)),0,MAX(0,ROUND((INDEX($E926:$G926,V$5)-SUMIFS(TF_Timer,TF_Tekniker,V$4,TF_Dato,$A926))*2,0)/2)))</f>
        <v/>
      </c>
      <c r="W926">
        <f>IF(OR(W$4="",$A926&gt;TODAY()),0,IF(OR(INDEX($B926:$D926,W$5)="F",AND(W$6&gt;0,$A926&lt;W$6),AND(W$7&gt;0,$A926&gt;W$7)),0,MAX(0,ROUND((INDEX($E926:$G926,W$5)-SUMIFS(TF_Timer,TF_Tekniker,W$4,TF_Dato,$A926))*2,0)/2)))</f>
        <v/>
      </c>
      <c r="X926">
        <f>IF(OR(X$4="",$A926&gt;TODAY()),0,IF(OR(INDEX($B926:$D926,X$5)="F",AND(X$6&gt;0,$A926&lt;X$6),AND(X$7&gt;0,$A926&gt;X$7)),0,MAX(0,ROUND((INDEX($E926:$G926,X$5)-SUMIFS(TF_Timer,TF_Tekniker,X$4,TF_Dato,$A926))*2,0)/2)))</f>
        <v/>
      </c>
      <c r="Y926">
        <f>IF(OR(Y$4="",$A926&gt;TODAY()),0,IF(OR(INDEX($B926:$D926,Y$5)="F",AND(Y$6&gt;0,$A926&lt;Y$6),AND(Y$7&gt;0,$A926&gt;Y$7)),0,MAX(0,ROUND((INDEX($E926:$G926,Y$5)-SUMIFS(TF_Timer,TF_Tekniker,Y$4,TF_Dato,$A926))*2,0)/2)))</f>
        <v/>
      </c>
      <c r="Z926">
        <f>IF(OR(Z$4="",$A926&gt;TODAY()),0,IF(OR(INDEX($B926:$D926,Z$5)="F",AND(Z$6&gt;0,$A926&lt;Z$6),AND(Z$7&gt;0,$A926&gt;Z$7)),0,MAX(0,ROUND((INDEX($E926:$G926,Z$5)-SUMIFS(TF_Timer,TF_Tekniker,Z$4,TF_Dato,$A926))*2,0)/2)))</f>
        <v/>
      </c>
      <c r="AA926">
        <f>IF(OR(AA$4="",$A926&gt;TODAY()),0,IF(OR(INDEX($B926:$D926,AA$5)="F",AND(AA$6&gt;0,$A926&lt;AA$6),AND(AA$7&gt;0,$A926&gt;AA$7)),0,MAX(0,ROUND((INDEX($E926:$G926,AA$5)-SUMIFS(TF_Timer,TF_Tekniker,AA$4,TF_Dato,$A926))*2,0)/2)))</f>
        <v/>
      </c>
      <c r="AB926">
        <f>IF(OR(AB$4="",$A926&gt;TODAY()),0,IF(OR(INDEX($B926:$D926,AB$5)="F",AND(AB$6&gt;0,$A926&lt;AB$6),AND(AB$7&gt;0,$A926&gt;AB$7)),0,MAX(0,ROUND((INDEX($E926:$G926,AB$5)-SUMIFS(TF_Timer,TF_Tekniker,AB$4,TF_Dato,$A926))*2,0)/2)))</f>
        <v/>
      </c>
      <c r="AC926">
        <f>IF(OR(AC$4="",$A926&gt;TODAY()),0,IF(OR(INDEX($B926:$D926,AC$5)="F",AND(AC$6&gt;0,$A926&lt;AC$6),AND(AC$7&gt;0,$A926&gt;AC$7)),0,MAX(0,ROUND((INDEX($E926:$G926,AC$5)-SUMIFS(TF_Timer,TF_Tekniker,AC$4,TF_Dato,$A926))*2,0)/2)))</f>
        <v/>
      </c>
      <c r="AD926">
        <f>IF(OR(AD$4="",$A926&gt;TODAY()),0,IF(OR(INDEX($B926:$D926,AD$5)="F",AND(AD$6&gt;0,$A926&lt;AD$6),AND(AD$7&gt;0,$A926&gt;AD$7)),0,MAX(0,ROUND((INDEX($E926:$G926,AD$5)-SUMIFS(TF_Timer,TF_Tekniker,AD$4,TF_Dato,$A926))*2,0)/2)))</f>
        <v/>
      </c>
      <c r="AE926">
        <f>IF(OR(AE$4="",$A926&gt;TODAY()),0,IF(OR(INDEX($B926:$D926,AE$5)="F",AND(AE$6&gt;0,$A926&lt;AE$6),AND(AE$7&gt;0,$A926&gt;AE$7)),0,MAX(0,ROUND((INDEX($E926:$G926,AE$5)-SUMIFS(TF_Timer,TF_Tekniker,AE$4,TF_Dato,$A926))*2,0)/2)))</f>
        <v/>
      </c>
      <c r="AF926">
        <f>IF(OR(AF$4="",$A926&gt;TODAY()),0,IF(OR(INDEX($B926:$D926,AF$5)="F",AND(AF$6&gt;0,$A926&lt;AF$6),AND(AF$7&gt;0,$A926&gt;AF$7)),0,MAX(0,ROUND((INDEX($E926:$G926,AF$5)-SUMIFS(TF_Timer,TF_Tekniker,AF$4,TF_Dato,$A926))*2,0)/2)))</f>
        <v/>
      </c>
      <c r="AG926">
        <f>IF(OR(AG$4="",$A926&gt;TODAY()),0,IF(OR(INDEX($B926:$D926,AG$5)="F",AND(AG$6&gt;0,$A926&lt;AG$6),AND(AG$7&gt;0,$A926&gt;AG$7)),0,MAX(0,ROUND((INDEX($E926:$G926,AG$5)-SUMIFS(TF_Timer,TF_Tekniker,AG$4,TF_Dato,$A926))*2,0)/2)))</f>
        <v/>
      </c>
      <c r="AH926">
        <f>IF(OR(AH$4="",$A926&gt;TODAY()),0,IF(OR(INDEX($B926:$D926,AH$5)="F",AND(AH$6&gt;0,$A926&lt;AH$6),AND(AH$7&gt;0,$A926&gt;AH$7)),0,MAX(0,ROUND((INDEX($E926:$G926,AH$5)-SUMIFS(TF_Timer,TF_Tekniker,AH$4,TF_Dato,$A926))*2,0)/2)))</f>
        <v/>
      </c>
      <c r="AI926">
        <f>IF(OR(AI$4="",$A926&gt;TODAY()),0,IF(OR(INDEX($B926:$D926,AI$5)="F",AND(AI$6&gt;0,$A926&lt;AI$6),AND(AI$7&gt;0,$A926&gt;AI$7)),0,MAX(0,ROUND((INDEX($E926:$G926,AI$5)-SUMIFS(TF_Timer,TF_Tekniker,AI$4,TF_Dato,$A926))*2,0)/2)))</f>
        <v/>
      </c>
      <c r="AJ926">
        <f>IF(OR(AJ$4="",$A926&gt;TODAY()),0,IF(OR(INDEX($B926:$D926,AJ$5)="F",AND(AJ$6&gt;0,$A926&lt;AJ$6),AND(AJ$7&gt;0,$A926&gt;AJ$7)),0,MAX(0,ROUND((INDEX($E926:$G926,AJ$5)-SUMIFS(TF_Timer,TF_Tekniker,AJ$4,TF_Dato,$A926))*2,0)/2)))</f>
        <v/>
      </c>
      <c r="AK926">
        <f>IF(OR(AK$4="",$A926&gt;TODAY()),0,IF(OR(INDEX($B926:$D926,AK$5)="F",AND(AK$6&gt;0,$A926&lt;AK$6),AND(AK$7&gt;0,$A926&gt;AK$7)),0,MAX(0,ROUND((INDEX($E926:$G926,AK$5)-SUMIFS(TF_Timer,TF_Tekniker,AK$4,TF_Dato,$A926))*2,0)/2)))</f>
        <v/>
      </c>
      <c r="AL926">
        <f>IF(OR(AL$4="",$A926&gt;TODAY()),0,IF(OR(INDEX($B926:$D926,AL$5)="F",AND(AL$6&gt;0,$A926&lt;AL$6),AND(AL$7&gt;0,$A926&gt;AL$7)),0,MAX(0,ROUND((INDEX($E926:$G926,AL$5)-SUMIFS(TF_Timer,TF_Tekniker,AL$4,TF_Dato,$A926))*2,0)/2)))</f>
        <v/>
      </c>
      <c r="AM926">
        <f>IF(OR(AM$4="",$A926&gt;TODAY()),0,IF(OR(INDEX($B926:$D926,AM$5)="F",AND(AM$6&gt;0,$A926&lt;AM$6),AND(AM$7&gt;0,$A926&gt;AM$7)),0,MAX(0,ROUND((INDEX($E926:$G926,AM$5)-SUMIFS(TF_Timer,TF_Tekniker,AM$4,TF_Dato,$A926))*2,0)/2)))</f>
        <v/>
      </c>
      <c r="AN926">
        <f>IF(OR(AN$4="",$A926&gt;TODAY()),0,IF(OR(INDEX($B926:$D926,AN$5)="F",AND(AN$6&gt;0,$A926&lt;AN$6),AND(AN$7&gt;0,$A926&gt;AN$7)),0,MAX(0,ROUND((INDEX($E926:$G926,AN$5)-SUMIFS(TF_Timer,TF_Tekniker,AN$4,TF_Dato,$A926))*2,0)/2)))</f>
        <v/>
      </c>
      <c r="AO926">
        <f>IF(OR(AO$4="",$A926&gt;TODAY()),0,IF(OR(INDEX($B926:$D926,AO$5)="F",AND(AO$6&gt;0,$A926&lt;AO$6),AND(AO$7&gt;0,$A926&gt;AO$7)),0,MAX(0,ROUND((INDEX($E926:$G926,AO$5)-SUMIFS(TF_Timer,TF_Tekniker,AO$4,TF_Dato,$A926))*2,0)/2)))</f>
        <v/>
      </c>
      <c r="AP926">
        <f>IF(OR(AP$4="",$A926&gt;TODAY()),0,IF(OR(INDEX($B926:$D926,AP$5)="F",AND(AP$6&gt;0,$A926&lt;AP$6),AND(AP$7&gt;0,$A926&gt;AP$7)),0,MAX(0,ROUND((INDEX($E926:$G926,AP$5)-SUMIFS(TF_Timer,TF_Tekniker,AP$4,TF_Dato,$A926))*2,0)/2)))</f>
        <v/>
      </c>
      <c r="AQ926">
        <f>IF(OR(AQ$4="",$A926&gt;TODAY()),0,IF(OR(INDEX($B926:$D926,AQ$5)="F",AND(AQ$6&gt;0,$A926&lt;AQ$6),AND(AQ$7&gt;0,$A926&gt;AQ$7)),0,MAX(0,ROUND((INDEX($E926:$G926,AQ$5)-SUMIFS(TF_Timer,TF_Tekniker,AQ$4,TF_Dato,$A926))*2,0)/2)))</f>
        <v/>
      </c>
      <c r="AR926">
        <f>IF(OR(AR$4="",$A926&gt;TODAY()),0,IF(OR(INDEX($B926:$D926,AR$5)="F",AND(AR$6&gt;0,$A926&lt;AR$6),AND(AR$7&gt;0,$A926&gt;AR$7)),0,MAX(0,ROUND((INDEX($E926:$G926,AR$5)-SUMIFS(TF_Timer,TF_Tekniker,AR$4,TF_Dato,$A926))*2,0)/2)))</f>
        <v/>
      </c>
      <c r="AS926">
        <f>IF(OR(AS$4="",$A926&gt;TODAY()),0,IF(OR(INDEX($B926:$D926,AS$5)="F",AND(AS$6&gt;0,$A926&lt;AS$6),AND(AS$7&gt;0,$A926&gt;AS$7)),0,MAX(0,ROUND((INDEX($E926:$G926,AS$5)-SUMIFS(TF_Timer,TF_Tekniker,AS$4,TF_Dato,$A926))*2,0)/2)))</f>
        <v/>
      </c>
      <c r="AT926">
        <f>IF(OR(AT$4="",$A926&gt;TODAY()),0,IF(OR(INDEX($B926:$D926,AT$5)="F",AND(AT$6&gt;0,$A926&lt;AT$6),AND(AT$7&gt;0,$A926&gt;AT$7)),0,MAX(0,ROUND((INDEX($E926:$G926,AT$5)-SUMIFS(TF_Timer,TF_Tekniker,AT$4,TF_Dato,$A926))*2,0)/2)))</f>
        <v/>
      </c>
      <c r="AU926">
        <f>IF(OR(AU$4="",$A926&gt;TODAY()),0,IF(OR(INDEX($B926:$D926,AU$5)="F",AND(AU$6&gt;0,$A926&lt;AU$6),AND(AU$7&gt;0,$A926&gt;AU$7)),0,MAX(0,ROUND((INDEX($E926:$G926,AU$5)-SUMIFS(TF_Timer,TF_Tekniker,AU$4,TF_Dato,$A926))*2,0)/2)))</f>
        <v/>
      </c>
      <c r="AV926">
        <f>IF(OR(AV$4="",$A926&gt;TODAY()),0,IF(OR(INDEX($B926:$D926,AV$5)="F",AND(AV$6&gt;0,$A926&lt;AV$6),AND(AV$7&gt;0,$A926&gt;AV$7)),0,MAX(0,ROUND((INDEX($E926:$G926,AV$5)-SUMIFS(TF_Timer,TF_Tekniker,AV$4,TF_Dato,$A926))*2,0)/2)))</f>
        <v/>
      </c>
      <c r="AW926">
        <f>IF(OR(AW$4="",$A926&gt;TODAY()),0,IF(OR(INDEX($B926:$D926,AW$5)="F",AND(AW$6&gt;0,$A926&lt;AW$6),AND(AW$7&gt;0,$A926&gt;AW$7)),0,MAX(0,ROUND((INDEX($E926:$G926,AW$5)-SUMIFS(TF_Timer,TF_Tekniker,AW$4,TF_Dato,$A926))*2,0)/2)))</f>
        <v/>
      </c>
      <c r="AX926">
        <f>IF(OR(AX$4="",$A926&gt;TODAY()),0,IF(OR(INDEX($B926:$D926,AX$5)="F",AND(AX$6&gt;0,$A926&lt;AX$6),AND(AX$7&gt;0,$A926&gt;AX$7)),0,MAX(0,ROUND((INDEX($E926:$G926,AX$5)-SUMIFS(TF_Timer,TF_Tekniker,AX$4,TF_Dato,$A926))*2,0)/2)))</f>
        <v/>
      </c>
      <c r="AY926">
        <f>IF(OR(AY$4="",$A926&gt;TODAY()),0,IF(OR(INDEX($B926:$D926,AY$5)="F",AND(AY$6&gt;0,$A926&lt;AY$6),AND(AY$7&gt;0,$A926&gt;AY$7)),0,MAX(0,ROUND((INDEX($E926:$G926,AY$5)-SUMIFS(TF_Timer,TF_Tekniker,AY$4,TF_Dato,$A926))*2,0)/2)))</f>
        <v/>
      </c>
      <c r="AZ926">
        <f>IF(OR(AZ$4="",$A926&gt;TODAY()),0,IF(OR(INDEX($B926:$D926,AZ$5)="F",AND(AZ$6&gt;0,$A926&lt;AZ$6),AND(AZ$7&gt;0,$A926&gt;AZ$7)),0,MAX(0,ROUND((INDEX($E926:$G926,AZ$5)-SUMIFS(TF_Timer,TF_Tekniker,AZ$4,TF_Dato,$A926))*2,0)/2)))</f>
        <v/>
      </c>
      <c r="BA926">
        <f>IF(OR(BA$4="",$A926&gt;TODAY()),0,IF(OR(INDEX($B926:$D926,BA$5)="F",AND(BA$6&gt;0,$A926&lt;BA$6),AND(BA$7&gt;0,$A926&gt;BA$7)),0,MAX(0,ROUND((INDEX($E926:$G926,BA$5)-SUMIFS(TF_Timer,TF_Tekniker,BA$4,TF_Dato,$A926))*2,0)/2)))</f>
        <v/>
      </c>
      <c r="BB926">
        <f>IF(OR(BB$4="",$A926&gt;TODAY()),0,IF(OR(INDEX($B926:$D926,BB$5)="F",AND(BB$6&gt;0,$A926&lt;BB$6),AND(BB$7&gt;0,$A926&gt;BB$7)),0,MAX(0,ROUND((INDEX($E926:$G926,BB$5)-SUMIFS(TF_Timer,TF_Tekniker,BB$4,TF_Dato,$A926))*2,0)/2)))</f>
        <v/>
      </c>
      <c r="BC926">
        <f>IF(OR(BC$4="",$A926&gt;TODAY()),0,IF(OR(INDEX($B926:$D926,BC$5)="F",AND(BC$6&gt;0,$A926&lt;BC$6),AND(BC$7&gt;0,$A926&gt;BC$7)),0,MAX(0,ROUND((INDEX($E926:$G926,BC$5)-SUMIFS(TF_Timer,TF_Tekniker,BC$4,TF_Dato,$A926))*2,0)/2)))</f>
        <v/>
      </c>
      <c r="BD926">
        <f>IF(OR(BD$4="",$A926&gt;TODAY()),0,IF(OR(INDEX($B926:$D926,BD$5)="F",AND(BD$6&gt;0,$A926&lt;BD$6),AND(BD$7&gt;0,$A926&gt;BD$7)),0,MAX(0,ROUND((INDEX($E926:$G926,BD$5)-SUMIFS(TF_Timer,TF_Tekniker,BD$4,TF_Dato,$A926))*2,0)/2)))</f>
        <v/>
      </c>
      <c r="BE926">
        <f>IF(OR(BE$4="",$A926&gt;TODAY()),0,IF(OR(INDEX($B926:$D926,BE$5)="F",AND(BE$6&gt;0,$A926&lt;BE$6),AND(BE$7&gt;0,$A926&gt;BE$7)),0,MAX(0,ROUND((INDEX($E926:$G926,BE$5)-SUMIFS(TF_Timer,TF_Tekniker,BE$4,TF_Dato,$A926))*2,0)/2)))</f>
        <v/>
      </c>
      <c r="BF926">
        <f>IF(OR(BF$4="",$A926&gt;TODAY()),0,IF(OR(INDEX($B926:$D926,BF$5)="F",AND(BF$6&gt;0,$A926&lt;BF$6),AND(BF$7&gt;0,$A926&gt;BF$7)),0,MAX(0,ROUND((INDEX($E926:$G926,BF$5)-SUMIFS(TF_Timer,TF_Tekniker,BF$4,TF_Dato,$A926))*2,0)/2)))</f>
        <v/>
      </c>
      <c r="BG926">
        <f>IF(OR(BG$4="",$A926&gt;TODAY()),0,IF(OR(INDEX($B926:$D926,BG$5)="F",AND(BG$6&gt;0,$A926&lt;BG$6),AND(BG$7&gt;0,$A926&gt;BG$7)),0,MAX(0,ROUND((INDEX($E926:$G926,BG$5)-SUMIFS(TF_Timer,TF_Tekniker,BG$4,TF_Dato,$A926))*2,0)/2)))</f>
        <v/>
      </c>
      <c r="BH926">
        <f>IF(OR(BH$4="",$A926&gt;TODAY()),0,IF(OR(INDEX($B926:$D926,BH$5)="F",AND(BH$6&gt;0,$A926&lt;BH$6),AND(BH$7&gt;0,$A926&gt;BH$7)),0,MAX(0,ROUND((INDEX($E926:$G926,BH$5)-SUMIFS(TF_Timer,TF_Tekniker,BH$4,TF_Dato,$A926))*2,0)/2)))</f>
        <v/>
      </c>
      <c r="BI926">
        <f>IF(OR(BI$4="",$A926&gt;TODAY()),0,IF(OR(INDEX($B926:$D926,BI$5)="F",AND(BI$6&gt;0,$A926&lt;BI$6),AND(BI$7&gt;0,$A926&gt;BI$7)),0,MAX(0,ROUND((INDEX($E926:$G926,BI$5)-SUMIFS(TF_Timer,TF_Tekniker,BI$4,TF_Dato,$A926))*2,0)/2)))</f>
        <v/>
      </c>
    </row>
    <row r="927">
      <c r="A927" s="64">
        <f>A926+1</f>
        <v/>
      </c>
      <c r="B927">
        <f>IF(MOD($A927-INDEX(SkiftStart,1),Syklus)&lt;DagK,"K",IF(MOD($A927-INDEX(SkiftStart,1),Syklus)&lt;DagK+DagH,"H",IF(MOD($A927-INDEX(SkiftStart,1),Syklus)&lt;DagK+DagH+DagD,"D","F")))</f>
        <v/>
      </c>
      <c r="C927">
        <f>IF(MOD($A927-INDEX(SkiftStart,2),Syklus)&lt;DagK,"K",IF(MOD($A927-INDEX(SkiftStart,2),Syklus)&lt;DagK+DagH,"H",IF(MOD($A927-INDEX(SkiftStart,2),Syklus)&lt;DagK+DagH+DagD,"D","F")))</f>
        <v/>
      </c>
      <c r="D927">
        <f>IF(MOD($A927-INDEX(SkiftStart,3),Syklus)&lt;DagK,"K",IF(MOD($A927-INDEX(SkiftStart,3),Syklus)&lt;DagK+DagH,"H",IF(MOD($A927-INDEX(SkiftStart,3),Syklus)&lt;DagK+DagH+DagD,"D","F")))</f>
        <v/>
      </c>
      <c r="E927">
        <f>IF(B927="F",0,IF(WEEKDAY($A927,2)=5,INDEX(TimerFr,MATCH(B927,FaseKode,0)),INDEX(TimerMT,MATCH(B927,FaseKode,0))))</f>
        <v/>
      </c>
      <c r="F927">
        <f>IF(C927="F",0,IF(WEEKDAY($A927,2)=5,INDEX(TimerFr,MATCH(C927,FaseKode,0)),INDEX(TimerMT,MATCH(C927,FaseKode,0))))</f>
        <v/>
      </c>
      <c r="G927">
        <f>IF(D927="F",0,IF(WEEKDAY($A927,2)=5,INDEX(TimerFr,MATCH(D927,FaseKode,0)),INDEX(TimerMT,MATCH(D927,FaseKode,0))))</f>
        <v/>
      </c>
      <c r="H927">
        <f>IF(OR(H$4="",$A927&gt;TODAY()),0,IF(OR(INDEX($B927:$D927,H$5)="F",AND(H$6&gt;0,$A927&lt;H$6),AND(H$7&gt;0,$A927&gt;H$7)),0,MAX(0,ROUND((INDEX($E927:$G927,H$5)-SUMIFS(TF_Timer,TF_Tekniker,H$4,TF_Dato,$A927))*2,0)/2)))</f>
        <v/>
      </c>
      <c r="I927">
        <f>IF(OR(I$4="",$A927&gt;TODAY()),0,IF(OR(INDEX($B927:$D927,I$5)="F",AND(I$6&gt;0,$A927&lt;I$6),AND(I$7&gt;0,$A927&gt;I$7)),0,MAX(0,ROUND((INDEX($E927:$G927,I$5)-SUMIFS(TF_Timer,TF_Tekniker,I$4,TF_Dato,$A927))*2,0)/2)))</f>
        <v/>
      </c>
      <c r="J927">
        <f>IF(OR(J$4="",$A927&gt;TODAY()),0,IF(OR(INDEX($B927:$D927,J$5)="F",AND(J$6&gt;0,$A927&lt;J$6),AND(J$7&gt;0,$A927&gt;J$7)),0,MAX(0,ROUND((INDEX($E927:$G927,J$5)-SUMIFS(TF_Timer,TF_Tekniker,J$4,TF_Dato,$A927))*2,0)/2)))</f>
        <v/>
      </c>
      <c r="K927">
        <f>IF(OR(K$4="",$A927&gt;TODAY()),0,IF(OR(INDEX($B927:$D927,K$5)="F",AND(K$6&gt;0,$A927&lt;K$6),AND(K$7&gt;0,$A927&gt;K$7)),0,MAX(0,ROUND((INDEX($E927:$G927,K$5)-SUMIFS(TF_Timer,TF_Tekniker,K$4,TF_Dato,$A927))*2,0)/2)))</f>
        <v/>
      </c>
      <c r="L927">
        <f>IF(OR(L$4="",$A927&gt;TODAY()),0,IF(OR(INDEX($B927:$D927,L$5)="F",AND(L$6&gt;0,$A927&lt;L$6),AND(L$7&gt;0,$A927&gt;L$7)),0,MAX(0,ROUND((INDEX($E927:$G927,L$5)-SUMIFS(TF_Timer,TF_Tekniker,L$4,TF_Dato,$A927))*2,0)/2)))</f>
        <v/>
      </c>
      <c r="M927">
        <f>IF(OR(M$4="",$A927&gt;TODAY()),0,IF(OR(INDEX($B927:$D927,M$5)="F",AND(M$6&gt;0,$A927&lt;M$6),AND(M$7&gt;0,$A927&gt;M$7)),0,MAX(0,ROUND((INDEX($E927:$G927,M$5)-SUMIFS(TF_Timer,TF_Tekniker,M$4,TF_Dato,$A927))*2,0)/2)))</f>
        <v/>
      </c>
      <c r="N927">
        <f>IF(OR(N$4="",$A927&gt;TODAY()),0,IF(OR(INDEX($B927:$D927,N$5)="F",AND(N$6&gt;0,$A927&lt;N$6),AND(N$7&gt;0,$A927&gt;N$7)),0,MAX(0,ROUND((INDEX($E927:$G927,N$5)-SUMIFS(TF_Timer,TF_Tekniker,N$4,TF_Dato,$A927))*2,0)/2)))</f>
        <v/>
      </c>
      <c r="O927">
        <f>IF(OR(O$4="",$A927&gt;TODAY()),0,IF(OR(INDEX($B927:$D927,O$5)="F",AND(O$6&gt;0,$A927&lt;O$6),AND(O$7&gt;0,$A927&gt;O$7)),0,MAX(0,ROUND((INDEX($E927:$G927,O$5)-SUMIFS(TF_Timer,TF_Tekniker,O$4,TF_Dato,$A927))*2,0)/2)))</f>
        <v/>
      </c>
      <c r="P927">
        <f>IF(OR(P$4="",$A927&gt;TODAY()),0,IF(OR(INDEX($B927:$D927,P$5)="F",AND(P$6&gt;0,$A927&lt;P$6),AND(P$7&gt;0,$A927&gt;P$7)),0,MAX(0,ROUND((INDEX($E927:$G927,P$5)-SUMIFS(TF_Timer,TF_Tekniker,P$4,TF_Dato,$A927))*2,0)/2)))</f>
        <v/>
      </c>
      <c r="Q927">
        <f>IF(OR(Q$4="",$A927&gt;TODAY()),0,IF(OR(INDEX($B927:$D927,Q$5)="F",AND(Q$6&gt;0,$A927&lt;Q$6),AND(Q$7&gt;0,$A927&gt;Q$7)),0,MAX(0,ROUND((INDEX($E927:$G927,Q$5)-SUMIFS(TF_Timer,TF_Tekniker,Q$4,TF_Dato,$A927))*2,0)/2)))</f>
        <v/>
      </c>
      <c r="R927">
        <f>IF(OR(R$4="",$A927&gt;TODAY()),0,IF(OR(INDEX($B927:$D927,R$5)="F",AND(R$6&gt;0,$A927&lt;R$6),AND(R$7&gt;0,$A927&gt;R$7)),0,MAX(0,ROUND((INDEX($E927:$G927,R$5)-SUMIFS(TF_Timer,TF_Tekniker,R$4,TF_Dato,$A927))*2,0)/2)))</f>
        <v/>
      </c>
      <c r="S927">
        <f>IF(OR(S$4="",$A927&gt;TODAY()),0,IF(OR(INDEX($B927:$D927,S$5)="F",AND(S$6&gt;0,$A927&lt;S$6),AND(S$7&gt;0,$A927&gt;S$7)),0,MAX(0,ROUND((INDEX($E927:$G927,S$5)-SUMIFS(TF_Timer,TF_Tekniker,S$4,TF_Dato,$A927))*2,0)/2)))</f>
        <v/>
      </c>
      <c r="T927">
        <f>IF(OR(T$4="",$A927&gt;TODAY()),0,IF(OR(INDEX($B927:$D927,T$5)="F",AND(T$6&gt;0,$A927&lt;T$6),AND(T$7&gt;0,$A927&gt;T$7)),0,MAX(0,ROUND((INDEX($E927:$G927,T$5)-SUMIFS(TF_Timer,TF_Tekniker,T$4,TF_Dato,$A927))*2,0)/2)))</f>
        <v/>
      </c>
      <c r="U927">
        <f>IF(OR(U$4="",$A927&gt;TODAY()),0,IF(OR(INDEX($B927:$D927,U$5)="F",AND(U$6&gt;0,$A927&lt;U$6),AND(U$7&gt;0,$A927&gt;U$7)),0,MAX(0,ROUND((INDEX($E927:$G927,U$5)-SUMIFS(TF_Timer,TF_Tekniker,U$4,TF_Dato,$A927))*2,0)/2)))</f>
        <v/>
      </c>
      <c r="V927">
        <f>IF(OR(V$4="",$A927&gt;TODAY()),0,IF(OR(INDEX($B927:$D927,V$5)="F",AND(V$6&gt;0,$A927&lt;V$6),AND(V$7&gt;0,$A927&gt;V$7)),0,MAX(0,ROUND((INDEX($E927:$G927,V$5)-SUMIFS(TF_Timer,TF_Tekniker,V$4,TF_Dato,$A927))*2,0)/2)))</f>
        <v/>
      </c>
      <c r="W927">
        <f>IF(OR(W$4="",$A927&gt;TODAY()),0,IF(OR(INDEX($B927:$D927,W$5)="F",AND(W$6&gt;0,$A927&lt;W$6),AND(W$7&gt;0,$A927&gt;W$7)),0,MAX(0,ROUND((INDEX($E927:$G927,W$5)-SUMIFS(TF_Timer,TF_Tekniker,W$4,TF_Dato,$A927))*2,0)/2)))</f>
        <v/>
      </c>
      <c r="X927">
        <f>IF(OR(X$4="",$A927&gt;TODAY()),0,IF(OR(INDEX($B927:$D927,X$5)="F",AND(X$6&gt;0,$A927&lt;X$6),AND(X$7&gt;0,$A927&gt;X$7)),0,MAX(0,ROUND((INDEX($E927:$G927,X$5)-SUMIFS(TF_Timer,TF_Tekniker,X$4,TF_Dato,$A927))*2,0)/2)))</f>
        <v/>
      </c>
      <c r="Y927">
        <f>IF(OR(Y$4="",$A927&gt;TODAY()),0,IF(OR(INDEX($B927:$D927,Y$5)="F",AND(Y$6&gt;0,$A927&lt;Y$6),AND(Y$7&gt;0,$A927&gt;Y$7)),0,MAX(0,ROUND((INDEX($E927:$G927,Y$5)-SUMIFS(TF_Timer,TF_Tekniker,Y$4,TF_Dato,$A927))*2,0)/2)))</f>
        <v/>
      </c>
      <c r="Z927">
        <f>IF(OR(Z$4="",$A927&gt;TODAY()),0,IF(OR(INDEX($B927:$D927,Z$5)="F",AND(Z$6&gt;0,$A927&lt;Z$6),AND(Z$7&gt;0,$A927&gt;Z$7)),0,MAX(0,ROUND((INDEX($E927:$G927,Z$5)-SUMIFS(TF_Timer,TF_Tekniker,Z$4,TF_Dato,$A927))*2,0)/2)))</f>
        <v/>
      </c>
      <c r="AA927">
        <f>IF(OR(AA$4="",$A927&gt;TODAY()),0,IF(OR(INDEX($B927:$D927,AA$5)="F",AND(AA$6&gt;0,$A927&lt;AA$6),AND(AA$7&gt;0,$A927&gt;AA$7)),0,MAX(0,ROUND((INDEX($E927:$G927,AA$5)-SUMIFS(TF_Timer,TF_Tekniker,AA$4,TF_Dato,$A927))*2,0)/2)))</f>
        <v/>
      </c>
      <c r="AB927">
        <f>IF(OR(AB$4="",$A927&gt;TODAY()),0,IF(OR(INDEX($B927:$D927,AB$5)="F",AND(AB$6&gt;0,$A927&lt;AB$6),AND(AB$7&gt;0,$A927&gt;AB$7)),0,MAX(0,ROUND((INDEX($E927:$G927,AB$5)-SUMIFS(TF_Timer,TF_Tekniker,AB$4,TF_Dato,$A927))*2,0)/2)))</f>
        <v/>
      </c>
      <c r="AC927">
        <f>IF(OR(AC$4="",$A927&gt;TODAY()),0,IF(OR(INDEX($B927:$D927,AC$5)="F",AND(AC$6&gt;0,$A927&lt;AC$6),AND(AC$7&gt;0,$A927&gt;AC$7)),0,MAX(0,ROUND((INDEX($E927:$G927,AC$5)-SUMIFS(TF_Timer,TF_Tekniker,AC$4,TF_Dato,$A927))*2,0)/2)))</f>
        <v/>
      </c>
      <c r="AD927">
        <f>IF(OR(AD$4="",$A927&gt;TODAY()),0,IF(OR(INDEX($B927:$D927,AD$5)="F",AND(AD$6&gt;0,$A927&lt;AD$6),AND(AD$7&gt;0,$A927&gt;AD$7)),0,MAX(0,ROUND((INDEX($E927:$G927,AD$5)-SUMIFS(TF_Timer,TF_Tekniker,AD$4,TF_Dato,$A927))*2,0)/2)))</f>
        <v/>
      </c>
      <c r="AE927">
        <f>IF(OR(AE$4="",$A927&gt;TODAY()),0,IF(OR(INDEX($B927:$D927,AE$5)="F",AND(AE$6&gt;0,$A927&lt;AE$6),AND(AE$7&gt;0,$A927&gt;AE$7)),0,MAX(0,ROUND((INDEX($E927:$G927,AE$5)-SUMIFS(TF_Timer,TF_Tekniker,AE$4,TF_Dato,$A927))*2,0)/2)))</f>
        <v/>
      </c>
      <c r="AF927">
        <f>IF(OR(AF$4="",$A927&gt;TODAY()),0,IF(OR(INDEX($B927:$D927,AF$5)="F",AND(AF$6&gt;0,$A927&lt;AF$6),AND(AF$7&gt;0,$A927&gt;AF$7)),0,MAX(0,ROUND((INDEX($E927:$G927,AF$5)-SUMIFS(TF_Timer,TF_Tekniker,AF$4,TF_Dato,$A927))*2,0)/2)))</f>
        <v/>
      </c>
      <c r="AG927">
        <f>IF(OR(AG$4="",$A927&gt;TODAY()),0,IF(OR(INDEX($B927:$D927,AG$5)="F",AND(AG$6&gt;0,$A927&lt;AG$6),AND(AG$7&gt;0,$A927&gt;AG$7)),0,MAX(0,ROUND((INDEX($E927:$G927,AG$5)-SUMIFS(TF_Timer,TF_Tekniker,AG$4,TF_Dato,$A927))*2,0)/2)))</f>
        <v/>
      </c>
      <c r="AH927">
        <f>IF(OR(AH$4="",$A927&gt;TODAY()),0,IF(OR(INDEX($B927:$D927,AH$5)="F",AND(AH$6&gt;0,$A927&lt;AH$6),AND(AH$7&gt;0,$A927&gt;AH$7)),0,MAX(0,ROUND((INDEX($E927:$G927,AH$5)-SUMIFS(TF_Timer,TF_Tekniker,AH$4,TF_Dato,$A927))*2,0)/2)))</f>
        <v/>
      </c>
      <c r="AI927">
        <f>IF(OR(AI$4="",$A927&gt;TODAY()),0,IF(OR(INDEX($B927:$D927,AI$5)="F",AND(AI$6&gt;0,$A927&lt;AI$6),AND(AI$7&gt;0,$A927&gt;AI$7)),0,MAX(0,ROUND((INDEX($E927:$G927,AI$5)-SUMIFS(TF_Timer,TF_Tekniker,AI$4,TF_Dato,$A927))*2,0)/2)))</f>
        <v/>
      </c>
      <c r="AJ927">
        <f>IF(OR(AJ$4="",$A927&gt;TODAY()),0,IF(OR(INDEX($B927:$D927,AJ$5)="F",AND(AJ$6&gt;0,$A927&lt;AJ$6),AND(AJ$7&gt;0,$A927&gt;AJ$7)),0,MAX(0,ROUND((INDEX($E927:$G927,AJ$5)-SUMIFS(TF_Timer,TF_Tekniker,AJ$4,TF_Dato,$A927))*2,0)/2)))</f>
        <v/>
      </c>
      <c r="AK927">
        <f>IF(OR(AK$4="",$A927&gt;TODAY()),0,IF(OR(INDEX($B927:$D927,AK$5)="F",AND(AK$6&gt;0,$A927&lt;AK$6),AND(AK$7&gt;0,$A927&gt;AK$7)),0,MAX(0,ROUND((INDEX($E927:$G927,AK$5)-SUMIFS(TF_Timer,TF_Tekniker,AK$4,TF_Dato,$A927))*2,0)/2)))</f>
        <v/>
      </c>
      <c r="AL927">
        <f>IF(OR(AL$4="",$A927&gt;TODAY()),0,IF(OR(INDEX($B927:$D927,AL$5)="F",AND(AL$6&gt;0,$A927&lt;AL$6),AND(AL$7&gt;0,$A927&gt;AL$7)),0,MAX(0,ROUND((INDEX($E927:$G927,AL$5)-SUMIFS(TF_Timer,TF_Tekniker,AL$4,TF_Dato,$A927))*2,0)/2)))</f>
        <v/>
      </c>
      <c r="AM927">
        <f>IF(OR(AM$4="",$A927&gt;TODAY()),0,IF(OR(INDEX($B927:$D927,AM$5)="F",AND(AM$6&gt;0,$A927&lt;AM$6),AND(AM$7&gt;0,$A927&gt;AM$7)),0,MAX(0,ROUND((INDEX($E927:$G927,AM$5)-SUMIFS(TF_Timer,TF_Tekniker,AM$4,TF_Dato,$A927))*2,0)/2)))</f>
        <v/>
      </c>
      <c r="AN927">
        <f>IF(OR(AN$4="",$A927&gt;TODAY()),0,IF(OR(INDEX($B927:$D927,AN$5)="F",AND(AN$6&gt;0,$A927&lt;AN$6),AND(AN$7&gt;0,$A927&gt;AN$7)),0,MAX(0,ROUND((INDEX($E927:$G927,AN$5)-SUMIFS(TF_Timer,TF_Tekniker,AN$4,TF_Dato,$A927))*2,0)/2)))</f>
        <v/>
      </c>
      <c r="AO927">
        <f>IF(OR(AO$4="",$A927&gt;TODAY()),0,IF(OR(INDEX($B927:$D927,AO$5)="F",AND(AO$6&gt;0,$A927&lt;AO$6),AND(AO$7&gt;0,$A927&gt;AO$7)),0,MAX(0,ROUND((INDEX($E927:$G927,AO$5)-SUMIFS(TF_Timer,TF_Tekniker,AO$4,TF_Dato,$A927))*2,0)/2)))</f>
        <v/>
      </c>
      <c r="AP927">
        <f>IF(OR(AP$4="",$A927&gt;TODAY()),0,IF(OR(INDEX($B927:$D927,AP$5)="F",AND(AP$6&gt;0,$A927&lt;AP$6),AND(AP$7&gt;0,$A927&gt;AP$7)),0,MAX(0,ROUND((INDEX($E927:$G927,AP$5)-SUMIFS(TF_Timer,TF_Tekniker,AP$4,TF_Dato,$A927))*2,0)/2)))</f>
        <v/>
      </c>
      <c r="AQ927">
        <f>IF(OR(AQ$4="",$A927&gt;TODAY()),0,IF(OR(INDEX($B927:$D927,AQ$5)="F",AND(AQ$6&gt;0,$A927&lt;AQ$6),AND(AQ$7&gt;0,$A927&gt;AQ$7)),0,MAX(0,ROUND((INDEX($E927:$G927,AQ$5)-SUMIFS(TF_Timer,TF_Tekniker,AQ$4,TF_Dato,$A927))*2,0)/2)))</f>
        <v/>
      </c>
      <c r="AR927">
        <f>IF(OR(AR$4="",$A927&gt;TODAY()),0,IF(OR(INDEX($B927:$D927,AR$5)="F",AND(AR$6&gt;0,$A927&lt;AR$6),AND(AR$7&gt;0,$A927&gt;AR$7)),0,MAX(0,ROUND((INDEX($E927:$G927,AR$5)-SUMIFS(TF_Timer,TF_Tekniker,AR$4,TF_Dato,$A927))*2,0)/2)))</f>
        <v/>
      </c>
      <c r="AS927">
        <f>IF(OR(AS$4="",$A927&gt;TODAY()),0,IF(OR(INDEX($B927:$D927,AS$5)="F",AND(AS$6&gt;0,$A927&lt;AS$6),AND(AS$7&gt;0,$A927&gt;AS$7)),0,MAX(0,ROUND((INDEX($E927:$G927,AS$5)-SUMIFS(TF_Timer,TF_Tekniker,AS$4,TF_Dato,$A927))*2,0)/2)))</f>
        <v/>
      </c>
      <c r="AT927">
        <f>IF(OR(AT$4="",$A927&gt;TODAY()),0,IF(OR(INDEX($B927:$D927,AT$5)="F",AND(AT$6&gt;0,$A927&lt;AT$6),AND(AT$7&gt;0,$A927&gt;AT$7)),0,MAX(0,ROUND((INDEX($E927:$G927,AT$5)-SUMIFS(TF_Timer,TF_Tekniker,AT$4,TF_Dato,$A927))*2,0)/2)))</f>
        <v/>
      </c>
      <c r="AU927">
        <f>IF(OR(AU$4="",$A927&gt;TODAY()),0,IF(OR(INDEX($B927:$D927,AU$5)="F",AND(AU$6&gt;0,$A927&lt;AU$6),AND(AU$7&gt;0,$A927&gt;AU$7)),0,MAX(0,ROUND((INDEX($E927:$G927,AU$5)-SUMIFS(TF_Timer,TF_Tekniker,AU$4,TF_Dato,$A927))*2,0)/2)))</f>
        <v/>
      </c>
      <c r="AV927">
        <f>IF(OR(AV$4="",$A927&gt;TODAY()),0,IF(OR(INDEX($B927:$D927,AV$5)="F",AND(AV$6&gt;0,$A927&lt;AV$6),AND(AV$7&gt;0,$A927&gt;AV$7)),0,MAX(0,ROUND((INDEX($E927:$G927,AV$5)-SUMIFS(TF_Timer,TF_Tekniker,AV$4,TF_Dato,$A927))*2,0)/2)))</f>
        <v/>
      </c>
      <c r="AW927">
        <f>IF(OR(AW$4="",$A927&gt;TODAY()),0,IF(OR(INDEX($B927:$D927,AW$5)="F",AND(AW$6&gt;0,$A927&lt;AW$6),AND(AW$7&gt;0,$A927&gt;AW$7)),0,MAX(0,ROUND((INDEX($E927:$G927,AW$5)-SUMIFS(TF_Timer,TF_Tekniker,AW$4,TF_Dato,$A927))*2,0)/2)))</f>
        <v/>
      </c>
      <c r="AX927">
        <f>IF(OR(AX$4="",$A927&gt;TODAY()),0,IF(OR(INDEX($B927:$D927,AX$5)="F",AND(AX$6&gt;0,$A927&lt;AX$6),AND(AX$7&gt;0,$A927&gt;AX$7)),0,MAX(0,ROUND((INDEX($E927:$G927,AX$5)-SUMIFS(TF_Timer,TF_Tekniker,AX$4,TF_Dato,$A927))*2,0)/2)))</f>
        <v/>
      </c>
      <c r="AY927">
        <f>IF(OR(AY$4="",$A927&gt;TODAY()),0,IF(OR(INDEX($B927:$D927,AY$5)="F",AND(AY$6&gt;0,$A927&lt;AY$6),AND(AY$7&gt;0,$A927&gt;AY$7)),0,MAX(0,ROUND((INDEX($E927:$G927,AY$5)-SUMIFS(TF_Timer,TF_Tekniker,AY$4,TF_Dato,$A927))*2,0)/2)))</f>
        <v/>
      </c>
      <c r="AZ927">
        <f>IF(OR(AZ$4="",$A927&gt;TODAY()),0,IF(OR(INDEX($B927:$D927,AZ$5)="F",AND(AZ$6&gt;0,$A927&lt;AZ$6),AND(AZ$7&gt;0,$A927&gt;AZ$7)),0,MAX(0,ROUND((INDEX($E927:$G927,AZ$5)-SUMIFS(TF_Timer,TF_Tekniker,AZ$4,TF_Dato,$A927))*2,0)/2)))</f>
        <v/>
      </c>
      <c r="BA927">
        <f>IF(OR(BA$4="",$A927&gt;TODAY()),0,IF(OR(INDEX($B927:$D927,BA$5)="F",AND(BA$6&gt;0,$A927&lt;BA$6),AND(BA$7&gt;0,$A927&gt;BA$7)),0,MAX(0,ROUND((INDEX($E927:$G927,BA$5)-SUMIFS(TF_Timer,TF_Tekniker,BA$4,TF_Dato,$A927))*2,0)/2)))</f>
        <v/>
      </c>
      <c r="BB927">
        <f>IF(OR(BB$4="",$A927&gt;TODAY()),0,IF(OR(INDEX($B927:$D927,BB$5)="F",AND(BB$6&gt;0,$A927&lt;BB$6),AND(BB$7&gt;0,$A927&gt;BB$7)),0,MAX(0,ROUND((INDEX($E927:$G927,BB$5)-SUMIFS(TF_Timer,TF_Tekniker,BB$4,TF_Dato,$A927))*2,0)/2)))</f>
        <v/>
      </c>
      <c r="BC927">
        <f>IF(OR(BC$4="",$A927&gt;TODAY()),0,IF(OR(INDEX($B927:$D927,BC$5)="F",AND(BC$6&gt;0,$A927&lt;BC$6),AND(BC$7&gt;0,$A927&gt;BC$7)),0,MAX(0,ROUND((INDEX($E927:$G927,BC$5)-SUMIFS(TF_Timer,TF_Tekniker,BC$4,TF_Dato,$A927))*2,0)/2)))</f>
        <v/>
      </c>
      <c r="BD927">
        <f>IF(OR(BD$4="",$A927&gt;TODAY()),0,IF(OR(INDEX($B927:$D927,BD$5)="F",AND(BD$6&gt;0,$A927&lt;BD$6),AND(BD$7&gt;0,$A927&gt;BD$7)),0,MAX(0,ROUND((INDEX($E927:$G927,BD$5)-SUMIFS(TF_Timer,TF_Tekniker,BD$4,TF_Dato,$A927))*2,0)/2)))</f>
        <v/>
      </c>
      <c r="BE927">
        <f>IF(OR(BE$4="",$A927&gt;TODAY()),0,IF(OR(INDEX($B927:$D927,BE$5)="F",AND(BE$6&gt;0,$A927&lt;BE$6),AND(BE$7&gt;0,$A927&gt;BE$7)),0,MAX(0,ROUND((INDEX($E927:$G927,BE$5)-SUMIFS(TF_Timer,TF_Tekniker,BE$4,TF_Dato,$A927))*2,0)/2)))</f>
        <v/>
      </c>
      <c r="BF927">
        <f>IF(OR(BF$4="",$A927&gt;TODAY()),0,IF(OR(INDEX($B927:$D927,BF$5)="F",AND(BF$6&gt;0,$A927&lt;BF$6),AND(BF$7&gt;0,$A927&gt;BF$7)),0,MAX(0,ROUND((INDEX($E927:$G927,BF$5)-SUMIFS(TF_Timer,TF_Tekniker,BF$4,TF_Dato,$A927))*2,0)/2)))</f>
        <v/>
      </c>
      <c r="BG927">
        <f>IF(OR(BG$4="",$A927&gt;TODAY()),0,IF(OR(INDEX($B927:$D927,BG$5)="F",AND(BG$6&gt;0,$A927&lt;BG$6),AND(BG$7&gt;0,$A927&gt;BG$7)),0,MAX(0,ROUND((INDEX($E927:$G927,BG$5)-SUMIFS(TF_Timer,TF_Tekniker,BG$4,TF_Dato,$A927))*2,0)/2)))</f>
        <v/>
      </c>
      <c r="BH927">
        <f>IF(OR(BH$4="",$A927&gt;TODAY()),0,IF(OR(INDEX($B927:$D927,BH$5)="F",AND(BH$6&gt;0,$A927&lt;BH$6),AND(BH$7&gt;0,$A927&gt;BH$7)),0,MAX(0,ROUND((INDEX($E927:$G927,BH$5)-SUMIFS(TF_Timer,TF_Tekniker,BH$4,TF_Dato,$A927))*2,0)/2)))</f>
        <v/>
      </c>
      <c r="BI927">
        <f>IF(OR(BI$4="",$A927&gt;TODAY()),0,IF(OR(INDEX($B927:$D927,BI$5)="F",AND(BI$6&gt;0,$A927&lt;BI$6),AND(BI$7&gt;0,$A927&gt;BI$7)),0,MAX(0,ROUND((INDEX($E927:$G927,BI$5)-SUMIFS(TF_Timer,TF_Tekniker,BI$4,TF_Dato,$A927))*2,0)/2)))</f>
        <v/>
      </c>
    </row>
    <row r="928">
      <c r="A928" s="64">
        <f>A927+1</f>
        <v/>
      </c>
      <c r="B928">
        <f>IF(MOD($A928-INDEX(SkiftStart,1),Syklus)&lt;DagK,"K",IF(MOD($A928-INDEX(SkiftStart,1),Syklus)&lt;DagK+DagH,"H",IF(MOD($A928-INDEX(SkiftStart,1),Syklus)&lt;DagK+DagH+DagD,"D","F")))</f>
        <v/>
      </c>
      <c r="C928">
        <f>IF(MOD($A928-INDEX(SkiftStart,2),Syklus)&lt;DagK,"K",IF(MOD($A928-INDEX(SkiftStart,2),Syklus)&lt;DagK+DagH,"H",IF(MOD($A928-INDEX(SkiftStart,2),Syklus)&lt;DagK+DagH+DagD,"D","F")))</f>
        <v/>
      </c>
      <c r="D928">
        <f>IF(MOD($A928-INDEX(SkiftStart,3),Syklus)&lt;DagK,"K",IF(MOD($A928-INDEX(SkiftStart,3),Syklus)&lt;DagK+DagH,"H",IF(MOD($A928-INDEX(SkiftStart,3),Syklus)&lt;DagK+DagH+DagD,"D","F")))</f>
        <v/>
      </c>
      <c r="E928">
        <f>IF(B928="F",0,IF(WEEKDAY($A928,2)=5,INDEX(TimerFr,MATCH(B928,FaseKode,0)),INDEX(TimerMT,MATCH(B928,FaseKode,0))))</f>
        <v/>
      </c>
      <c r="F928">
        <f>IF(C928="F",0,IF(WEEKDAY($A928,2)=5,INDEX(TimerFr,MATCH(C928,FaseKode,0)),INDEX(TimerMT,MATCH(C928,FaseKode,0))))</f>
        <v/>
      </c>
      <c r="G928">
        <f>IF(D928="F",0,IF(WEEKDAY($A928,2)=5,INDEX(TimerFr,MATCH(D928,FaseKode,0)),INDEX(TimerMT,MATCH(D928,FaseKode,0))))</f>
        <v/>
      </c>
      <c r="H928">
        <f>IF(OR(H$4="",$A928&gt;TODAY()),0,IF(OR(INDEX($B928:$D928,H$5)="F",AND(H$6&gt;0,$A928&lt;H$6),AND(H$7&gt;0,$A928&gt;H$7)),0,MAX(0,ROUND((INDEX($E928:$G928,H$5)-SUMIFS(TF_Timer,TF_Tekniker,H$4,TF_Dato,$A928))*2,0)/2)))</f>
        <v/>
      </c>
      <c r="I928">
        <f>IF(OR(I$4="",$A928&gt;TODAY()),0,IF(OR(INDEX($B928:$D928,I$5)="F",AND(I$6&gt;0,$A928&lt;I$6),AND(I$7&gt;0,$A928&gt;I$7)),0,MAX(0,ROUND((INDEX($E928:$G928,I$5)-SUMIFS(TF_Timer,TF_Tekniker,I$4,TF_Dato,$A928))*2,0)/2)))</f>
        <v/>
      </c>
      <c r="J928">
        <f>IF(OR(J$4="",$A928&gt;TODAY()),0,IF(OR(INDEX($B928:$D928,J$5)="F",AND(J$6&gt;0,$A928&lt;J$6),AND(J$7&gt;0,$A928&gt;J$7)),0,MAX(0,ROUND((INDEX($E928:$G928,J$5)-SUMIFS(TF_Timer,TF_Tekniker,J$4,TF_Dato,$A928))*2,0)/2)))</f>
        <v/>
      </c>
      <c r="K928">
        <f>IF(OR(K$4="",$A928&gt;TODAY()),0,IF(OR(INDEX($B928:$D928,K$5)="F",AND(K$6&gt;0,$A928&lt;K$6),AND(K$7&gt;0,$A928&gt;K$7)),0,MAX(0,ROUND((INDEX($E928:$G928,K$5)-SUMIFS(TF_Timer,TF_Tekniker,K$4,TF_Dato,$A928))*2,0)/2)))</f>
        <v/>
      </c>
      <c r="L928">
        <f>IF(OR(L$4="",$A928&gt;TODAY()),0,IF(OR(INDEX($B928:$D928,L$5)="F",AND(L$6&gt;0,$A928&lt;L$6),AND(L$7&gt;0,$A928&gt;L$7)),0,MAX(0,ROUND((INDEX($E928:$G928,L$5)-SUMIFS(TF_Timer,TF_Tekniker,L$4,TF_Dato,$A928))*2,0)/2)))</f>
        <v/>
      </c>
      <c r="M928">
        <f>IF(OR(M$4="",$A928&gt;TODAY()),0,IF(OR(INDEX($B928:$D928,M$5)="F",AND(M$6&gt;0,$A928&lt;M$6),AND(M$7&gt;0,$A928&gt;M$7)),0,MAX(0,ROUND((INDEX($E928:$G928,M$5)-SUMIFS(TF_Timer,TF_Tekniker,M$4,TF_Dato,$A928))*2,0)/2)))</f>
        <v/>
      </c>
      <c r="N928">
        <f>IF(OR(N$4="",$A928&gt;TODAY()),0,IF(OR(INDEX($B928:$D928,N$5)="F",AND(N$6&gt;0,$A928&lt;N$6),AND(N$7&gt;0,$A928&gt;N$7)),0,MAX(0,ROUND((INDEX($E928:$G928,N$5)-SUMIFS(TF_Timer,TF_Tekniker,N$4,TF_Dato,$A928))*2,0)/2)))</f>
        <v/>
      </c>
      <c r="O928">
        <f>IF(OR(O$4="",$A928&gt;TODAY()),0,IF(OR(INDEX($B928:$D928,O$5)="F",AND(O$6&gt;0,$A928&lt;O$6),AND(O$7&gt;0,$A928&gt;O$7)),0,MAX(0,ROUND((INDEX($E928:$G928,O$5)-SUMIFS(TF_Timer,TF_Tekniker,O$4,TF_Dato,$A928))*2,0)/2)))</f>
        <v/>
      </c>
      <c r="P928">
        <f>IF(OR(P$4="",$A928&gt;TODAY()),0,IF(OR(INDEX($B928:$D928,P$5)="F",AND(P$6&gt;0,$A928&lt;P$6),AND(P$7&gt;0,$A928&gt;P$7)),0,MAX(0,ROUND((INDEX($E928:$G928,P$5)-SUMIFS(TF_Timer,TF_Tekniker,P$4,TF_Dato,$A928))*2,0)/2)))</f>
        <v/>
      </c>
      <c r="Q928">
        <f>IF(OR(Q$4="",$A928&gt;TODAY()),0,IF(OR(INDEX($B928:$D928,Q$5)="F",AND(Q$6&gt;0,$A928&lt;Q$6),AND(Q$7&gt;0,$A928&gt;Q$7)),0,MAX(0,ROUND((INDEX($E928:$G928,Q$5)-SUMIFS(TF_Timer,TF_Tekniker,Q$4,TF_Dato,$A928))*2,0)/2)))</f>
        <v/>
      </c>
      <c r="R928">
        <f>IF(OR(R$4="",$A928&gt;TODAY()),0,IF(OR(INDEX($B928:$D928,R$5)="F",AND(R$6&gt;0,$A928&lt;R$6),AND(R$7&gt;0,$A928&gt;R$7)),0,MAX(0,ROUND((INDEX($E928:$G928,R$5)-SUMIFS(TF_Timer,TF_Tekniker,R$4,TF_Dato,$A928))*2,0)/2)))</f>
        <v/>
      </c>
      <c r="S928">
        <f>IF(OR(S$4="",$A928&gt;TODAY()),0,IF(OR(INDEX($B928:$D928,S$5)="F",AND(S$6&gt;0,$A928&lt;S$6),AND(S$7&gt;0,$A928&gt;S$7)),0,MAX(0,ROUND((INDEX($E928:$G928,S$5)-SUMIFS(TF_Timer,TF_Tekniker,S$4,TF_Dato,$A928))*2,0)/2)))</f>
        <v/>
      </c>
      <c r="T928">
        <f>IF(OR(T$4="",$A928&gt;TODAY()),0,IF(OR(INDEX($B928:$D928,T$5)="F",AND(T$6&gt;0,$A928&lt;T$6),AND(T$7&gt;0,$A928&gt;T$7)),0,MAX(0,ROUND((INDEX($E928:$G928,T$5)-SUMIFS(TF_Timer,TF_Tekniker,T$4,TF_Dato,$A928))*2,0)/2)))</f>
        <v/>
      </c>
      <c r="U928">
        <f>IF(OR(U$4="",$A928&gt;TODAY()),0,IF(OR(INDEX($B928:$D928,U$5)="F",AND(U$6&gt;0,$A928&lt;U$6),AND(U$7&gt;0,$A928&gt;U$7)),0,MAX(0,ROUND((INDEX($E928:$G928,U$5)-SUMIFS(TF_Timer,TF_Tekniker,U$4,TF_Dato,$A928))*2,0)/2)))</f>
        <v/>
      </c>
      <c r="V928">
        <f>IF(OR(V$4="",$A928&gt;TODAY()),0,IF(OR(INDEX($B928:$D928,V$5)="F",AND(V$6&gt;0,$A928&lt;V$6),AND(V$7&gt;0,$A928&gt;V$7)),0,MAX(0,ROUND((INDEX($E928:$G928,V$5)-SUMIFS(TF_Timer,TF_Tekniker,V$4,TF_Dato,$A928))*2,0)/2)))</f>
        <v/>
      </c>
      <c r="W928">
        <f>IF(OR(W$4="",$A928&gt;TODAY()),0,IF(OR(INDEX($B928:$D928,W$5)="F",AND(W$6&gt;0,$A928&lt;W$6),AND(W$7&gt;0,$A928&gt;W$7)),0,MAX(0,ROUND((INDEX($E928:$G928,W$5)-SUMIFS(TF_Timer,TF_Tekniker,W$4,TF_Dato,$A928))*2,0)/2)))</f>
        <v/>
      </c>
      <c r="X928">
        <f>IF(OR(X$4="",$A928&gt;TODAY()),0,IF(OR(INDEX($B928:$D928,X$5)="F",AND(X$6&gt;0,$A928&lt;X$6),AND(X$7&gt;0,$A928&gt;X$7)),0,MAX(0,ROUND((INDEX($E928:$G928,X$5)-SUMIFS(TF_Timer,TF_Tekniker,X$4,TF_Dato,$A928))*2,0)/2)))</f>
        <v/>
      </c>
      <c r="Y928">
        <f>IF(OR(Y$4="",$A928&gt;TODAY()),0,IF(OR(INDEX($B928:$D928,Y$5)="F",AND(Y$6&gt;0,$A928&lt;Y$6),AND(Y$7&gt;0,$A928&gt;Y$7)),0,MAX(0,ROUND((INDEX($E928:$G928,Y$5)-SUMIFS(TF_Timer,TF_Tekniker,Y$4,TF_Dato,$A928))*2,0)/2)))</f>
        <v/>
      </c>
      <c r="Z928">
        <f>IF(OR(Z$4="",$A928&gt;TODAY()),0,IF(OR(INDEX($B928:$D928,Z$5)="F",AND(Z$6&gt;0,$A928&lt;Z$6),AND(Z$7&gt;0,$A928&gt;Z$7)),0,MAX(0,ROUND((INDEX($E928:$G928,Z$5)-SUMIFS(TF_Timer,TF_Tekniker,Z$4,TF_Dato,$A928))*2,0)/2)))</f>
        <v/>
      </c>
      <c r="AA928">
        <f>IF(OR(AA$4="",$A928&gt;TODAY()),0,IF(OR(INDEX($B928:$D928,AA$5)="F",AND(AA$6&gt;0,$A928&lt;AA$6),AND(AA$7&gt;0,$A928&gt;AA$7)),0,MAX(0,ROUND((INDEX($E928:$G928,AA$5)-SUMIFS(TF_Timer,TF_Tekniker,AA$4,TF_Dato,$A928))*2,0)/2)))</f>
        <v/>
      </c>
      <c r="AB928">
        <f>IF(OR(AB$4="",$A928&gt;TODAY()),0,IF(OR(INDEX($B928:$D928,AB$5)="F",AND(AB$6&gt;0,$A928&lt;AB$6),AND(AB$7&gt;0,$A928&gt;AB$7)),0,MAX(0,ROUND((INDEX($E928:$G928,AB$5)-SUMIFS(TF_Timer,TF_Tekniker,AB$4,TF_Dato,$A928))*2,0)/2)))</f>
        <v/>
      </c>
      <c r="AC928">
        <f>IF(OR(AC$4="",$A928&gt;TODAY()),0,IF(OR(INDEX($B928:$D928,AC$5)="F",AND(AC$6&gt;0,$A928&lt;AC$6),AND(AC$7&gt;0,$A928&gt;AC$7)),0,MAX(0,ROUND((INDEX($E928:$G928,AC$5)-SUMIFS(TF_Timer,TF_Tekniker,AC$4,TF_Dato,$A928))*2,0)/2)))</f>
        <v/>
      </c>
      <c r="AD928">
        <f>IF(OR(AD$4="",$A928&gt;TODAY()),0,IF(OR(INDEX($B928:$D928,AD$5)="F",AND(AD$6&gt;0,$A928&lt;AD$6),AND(AD$7&gt;0,$A928&gt;AD$7)),0,MAX(0,ROUND((INDEX($E928:$G928,AD$5)-SUMIFS(TF_Timer,TF_Tekniker,AD$4,TF_Dato,$A928))*2,0)/2)))</f>
        <v/>
      </c>
      <c r="AE928">
        <f>IF(OR(AE$4="",$A928&gt;TODAY()),0,IF(OR(INDEX($B928:$D928,AE$5)="F",AND(AE$6&gt;0,$A928&lt;AE$6),AND(AE$7&gt;0,$A928&gt;AE$7)),0,MAX(0,ROUND((INDEX($E928:$G928,AE$5)-SUMIFS(TF_Timer,TF_Tekniker,AE$4,TF_Dato,$A928))*2,0)/2)))</f>
        <v/>
      </c>
      <c r="AF928">
        <f>IF(OR(AF$4="",$A928&gt;TODAY()),0,IF(OR(INDEX($B928:$D928,AF$5)="F",AND(AF$6&gt;0,$A928&lt;AF$6),AND(AF$7&gt;0,$A928&gt;AF$7)),0,MAX(0,ROUND((INDEX($E928:$G928,AF$5)-SUMIFS(TF_Timer,TF_Tekniker,AF$4,TF_Dato,$A928))*2,0)/2)))</f>
        <v/>
      </c>
      <c r="AG928">
        <f>IF(OR(AG$4="",$A928&gt;TODAY()),0,IF(OR(INDEX($B928:$D928,AG$5)="F",AND(AG$6&gt;0,$A928&lt;AG$6),AND(AG$7&gt;0,$A928&gt;AG$7)),0,MAX(0,ROUND((INDEX($E928:$G928,AG$5)-SUMIFS(TF_Timer,TF_Tekniker,AG$4,TF_Dato,$A928))*2,0)/2)))</f>
        <v/>
      </c>
      <c r="AH928">
        <f>IF(OR(AH$4="",$A928&gt;TODAY()),0,IF(OR(INDEX($B928:$D928,AH$5)="F",AND(AH$6&gt;0,$A928&lt;AH$6),AND(AH$7&gt;0,$A928&gt;AH$7)),0,MAX(0,ROUND((INDEX($E928:$G928,AH$5)-SUMIFS(TF_Timer,TF_Tekniker,AH$4,TF_Dato,$A928))*2,0)/2)))</f>
        <v/>
      </c>
      <c r="AI928">
        <f>IF(OR(AI$4="",$A928&gt;TODAY()),0,IF(OR(INDEX($B928:$D928,AI$5)="F",AND(AI$6&gt;0,$A928&lt;AI$6),AND(AI$7&gt;0,$A928&gt;AI$7)),0,MAX(0,ROUND((INDEX($E928:$G928,AI$5)-SUMIFS(TF_Timer,TF_Tekniker,AI$4,TF_Dato,$A928))*2,0)/2)))</f>
        <v/>
      </c>
      <c r="AJ928">
        <f>IF(OR(AJ$4="",$A928&gt;TODAY()),0,IF(OR(INDEX($B928:$D928,AJ$5)="F",AND(AJ$6&gt;0,$A928&lt;AJ$6),AND(AJ$7&gt;0,$A928&gt;AJ$7)),0,MAX(0,ROUND((INDEX($E928:$G928,AJ$5)-SUMIFS(TF_Timer,TF_Tekniker,AJ$4,TF_Dato,$A928))*2,0)/2)))</f>
        <v/>
      </c>
      <c r="AK928">
        <f>IF(OR(AK$4="",$A928&gt;TODAY()),0,IF(OR(INDEX($B928:$D928,AK$5)="F",AND(AK$6&gt;0,$A928&lt;AK$6),AND(AK$7&gt;0,$A928&gt;AK$7)),0,MAX(0,ROUND((INDEX($E928:$G928,AK$5)-SUMIFS(TF_Timer,TF_Tekniker,AK$4,TF_Dato,$A928))*2,0)/2)))</f>
        <v/>
      </c>
      <c r="AL928">
        <f>IF(OR(AL$4="",$A928&gt;TODAY()),0,IF(OR(INDEX($B928:$D928,AL$5)="F",AND(AL$6&gt;0,$A928&lt;AL$6),AND(AL$7&gt;0,$A928&gt;AL$7)),0,MAX(0,ROUND((INDEX($E928:$G928,AL$5)-SUMIFS(TF_Timer,TF_Tekniker,AL$4,TF_Dato,$A928))*2,0)/2)))</f>
        <v/>
      </c>
      <c r="AM928">
        <f>IF(OR(AM$4="",$A928&gt;TODAY()),0,IF(OR(INDEX($B928:$D928,AM$5)="F",AND(AM$6&gt;0,$A928&lt;AM$6),AND(AM$7&gt;0,$A928&gt;AM$7)),0,MAX(0,ROUND((INDEX($E928:$G928,AM$5)-SUMIFS(TF_Timer,TF_Tekniker,AM$4,TF_Dato,$A928))*2,0)/2)))</f>
        <v/>
      </c>
      <c r="AN928">
        <f>IF(OR(AN$4="",$A928&gt;TODAY()),0,IF(OR(INDEX($B928:$D928,AN$5)="F",AND(AN$6&gt;0,$A928&lt;AN$6),AND(AN$7&gt;0,$A928&gt;AN$7)),0,MAX(0,ROUND((INDEX($E928:$G928,AN$5)-SUMIFS(TF_Timer,TF_Tekniker,AN$4,TF_Dato,$A928))*2,0)/2)))</f>
        <v/>
      </c>
      <c r="AO928">
        <f>IF(OR(AO$4="",$A928&gt;TODAY()),0,IF(OR(INDEX($B928:$D928,AO$5)="F",AND(AO$6&gt;0,$A928&lt;AO$6),AND(AO$7&gt;0,$A928&gt;AO$7)),0,MAX(0,ROUND((INDEX($E928:$G928,AO$5)-SUMIFS(TF_Timer,TF_Tekniker,AO$4,TF_Dato,$A928))*2,0)/2)))</f>
        <v/>
      </c>
      <c r="AP928">
        <f>IF(OR(AP$4="",$A928&gt;TODAY()),0,IF(OR(INDEX($B928:$D928,AP$5)="F",AND(AP$6&gt;0,$A928&lt;AP$6),AND(AP$7&gt;0,$A928&gt;AP$7)),0,MAX(0,ROUND((INDEX($E928:$G928,AP$5)-SUMIFS(TF_Timer,TF_Tekniker,AP$4,TF_Dato,$A928))*2,0)/2)))</f>
        <v/>
      </c>
      <c r="AQ928">
        <f>IF(OR(AQ$4="",$A928&gt;TODAY()),0,IF(OR(INDEX($B928:$D928,AQ$5)="F",AND(AQ$6&gt;0,$A928&lt;AQ$6),AND(AQ$7&gt;0,$A928&gt;AQ$7)),0,MAX(0,ROUND((INDEX($E928:$G928,AQ$5)-SUMIFS(TF_Timer,TF_Tekniker,AQ$4,TF_Dato,$A928))*2,0)/2)))</f>
        <v/>
      </c>
      <c r="AR928">
        <f>IF(OR(AR$4="",$A928&gt;TODAY()),0,IF(OR(INDEX($B928:$D928,AR$5)="F",AND(AR$6&gt;0,$A928&lt;AR$6),AND(AR$7&gt;0,$A928&gt;AR$7)),0,MAX(0,ROUND((INDEX($E928:$G928,AR$5)-SUMIFS(TF_Timer,TF_Tekniker,AR$4,TF_Dato,$A928))*2,0)/2)))</f>
        <v/>
      </c>
      <c r="AS928">
        <f>IF(OR(AS$4="",$A928&gt;TODAY()),0,IF(OR(INDEX($B928:$D928,AS$5)="F",AND(AS$6&gt;0,$A928&lt;AS$6),AND(AS$7&gt;0,$A928&gt;AS$7)),0,MAX(0,ROUND((INDEX($E928:$G928,AS$5)-SUMIFS(TF_Timer,TF_Tekniker,AS$4,TF_Dato,$A928))*2,0)/2)))</f>
        <v/>
      </c>
      <c r="AT928">
        <f>IF(OR(AT$4="",$A928&gt;TODAY()),0,IF(OR(INDEX($B928:$D928,AT$5)="F",AND(AT$6&gt;0,$A928&lt;AT$6),AND(AT$7&gt;0,$A928&gt;AT$7)),0,MAX(0,ROUND((INDEX($E928:$G928,AT$5)-SUMIFS(TF_Timer,TF_Tekniker,AT$4,TF_Dato,$A928))*2,0)/2)))</f>
        <v/>
      </c>
      <c r="AU928">
        <f>IF(OR(AU$4="",$A928&gt;TODAY()),0,IF(OR(INDEX($B928:$D928,AU$5)="F",AND(AU$6&gt;0,$A928&lt;AU$6),AND(AU$7&gt;0,$A928&gt;AU$7)),0,MAX(0,ROUND((INDEX($E928:$G928,AU$5)-SUMIFS(TF_Timer,TF_Tekniker,AU$4,TF_Dato,$A928))*2,0)/2)))</f>
        <v/>
      </c>
      <c r="AV928">
        <f>IF(OR(AV$4="",$A928&gt;TODAY()),0,IF(OR(INDEX($B928:$D928,AV$5)="F",AND(AV$6&gt;0,$A928&lt;AV$6),AND(AV$7&gt;0,$A928&gt;AV$7)),0,MAX(0,ROUND((INDEX($E928:$G928,AV$5)-SUMIFS(TF_Timer,TF_Tekniker,AV$4,TF_Dato,$A928))*2,0)/2)))</f>
        <v/>
      </c>
      <c r="AW928">
        <f>IF(OR(AW$4="",$A928&gt;TODAY()),0,IF(OR(INDEX($B928:$D928,AW$5)="F",AND(AW$6&gt;0,$A928&lt;AW$6),AND(AW$7&gt;0,$A928&gt;AW$7)),0,MAX(0,ROUND((INDEX($E928:$G928,AW$5)-SUMIFS(TF_Timer,TF_Tekniker,AW$4,TF_Dato,$A928))*2,0)/2)))</f>
        <v/>
      </c>
      <c r="AX928">
        <f>IF(OR(AX$4="",$A928&gt;TODAY()),0,IF(OR(INDEX($B928:$D928,AX$5)="F",AND(AX$6&gt;0,$A928&lt;AX$6),AND(AX$7&gt;0,$A928&gt;AX$7)),0,MAX(0,ROUND((INDEX($E928:$G928,AX$5)-SUMIFS(TF_Timer,TF_Tekniker,AX$4,TF_Dato,$A928))*2,0)/2)))</f>
        <v/>
      </c>
      <c r="AY928">
        <f>IF(OR(AY$4="",$A928&gt;TODAY()),0,IF(OR(INDEX($B928:$D928,AY$5)="F",AND(AY$6&gt;0,$A928&lt;AY$6),AND(AY$7&gt;0,$A928&gt;AY$7)),0,MAX(0,ROUND((INDEX($E928:$G928,AY$5)-SUMIFS(TF_Timer,TF_Tekniker,AY$4,TF_Dato,$A928))*2,0)/2)))</f>
        <v/>
      </c>
      <c r="AZ928">
        <f>IF(OR(AZ$4="",$A928&gt;TODAY()),0,IF(OR(INDEX($B928:$D928,AZ$5)="F",AND(AZ$6&gt;0,$A928&lt;AZ$6),AND(AZ$7&gt;0,$A928&gt;AZ$7)),0,MAX(0,ROUND((INDEX($E928:$G928,AZ$5)-SUMIFS(TF_Timer,TF_Tekniker,AZ$4,TF_Dato,$A928))*2,0)/2)))</f>
        <v/>
      </c>
      <c r="BA928">
        <f>IF(OR(BA$4="",$A928&gt;TODAY()),0,IF(OR(INDEX($B928:$D928,BA$5)="F",AND(BA$6&gt;0,$A928&lt;BA$6),AND(BA$7&gt;0,$A928&gt;BA$7)),0,MAX(0,ROUND((INDEX($E928:$G928,BA$5)-SUMIFS(TF_Timer,TF_Tekniker,BA$4,TF_Dato,$A928))*2,0)/2)))</f>
        <v/>
      </c>
      <c r="BB928">
        <f>IF(OR(BB$4="",$A928&gt;TODAY()),0,IF(OR(INDEX($B928:$D928,BB$5)="F",AND(BB$6&gt;0,$A928&lt;BB$6),AND(BB$7&gt;0,$A928&gt;BB$7)),0,MAX(0,ROUND((INDEX($E928:$G928,BB$5)-SUMIFS(TF_Timer,TF_Tekniker,BB$4,TF_Dato,$A928))*2,0)/2)))</f>
        <v/>
      </c>
      <c r="BC928">
        <f>IF(OR(BC$4="",$A928&gt;TODAY()),0,IF(OR(INDEX($B928:$D928,BC$5)="F",AND(BC$6&gt;0,$A928&lt;BC$6),AND(BC$7&gt;0,$A928&gt;BC$7)),0,MAX(0,ROUND((INDEX($E928:$G928,BC$5)-SUMIFS(TF_Timer,TF_Tekniker,BC$4,TF_Dato,$A928))*2,0)/2)))</f>
        <v/>
      </c>
      <c r="BD928">
        <f>IF(OR(BD$4="",$A928&gt;TODAY()),0,IF(OR(INDEX($B928:$D928,BD$5)="F",AND(BD$6&gt;0,$A928&lt;BD$6),AND(BD$7&gt;0,$A928&gt;BD$7)),0,MAX(0,ROUND((INDEX($E928:$G928,BD$5)-SUMIFS(TF_Timer,TF_Tekniker,BD$4,TF_Dato,$A928))*2,0)/2)))</f>
        <v/>
      </c>
      <c r="BE928">
        <f>IF(OR(BE$4="",$A928&gt;TODAY()),0,IF(OR(INDEX($B928:$D928,BE$5)="F",AND(BE$6&gt;0,$A928&lt;BE$6),AND(BE$7&gt;0,$A928&gt;BE$7)),0,MAX(0,ROUND((INDEX($E928:$G928,BE$5)-SUMIFS(TF_Timer,TF_Tekniker,BE$4,TF_Dato,$A928))*2,0)/2)))</f>
        <v/>
      </c>
      <c r="BF928">
        <f>IF(OR(BF$4="",$A928&gt;TODAY()),0,IF(OR(INDEX($B928:$D928,BF$5)="F",AND(BF$6&gt;0,$A928&lt;BF$6),AND(BF$7&gt;0,$A928&gt;BF$7)),0,MAX(0,ROUND((INDEX($E928:$G928,BF$5)-SUMIFS(TF_Timer,TF_Tekniker,BF$4,TF_Dato,$A928))*2,0)/2)))</f>
        <v/>
      </c>
      <c r="BG928">
        <f>IF(OR(BG$4="",$A928&gt;TODAY()),0,IF(OR(INDEX($B928:$D928,BG$5)="F",AND(BG$6&gt;0,$A928&lt;BG$6),AND(BG$7&gt;0,$A928&gt;BG$7)),0,MAX(0,ROUND((INDEX($E928:$G928,BG$5)-SUMIFS(TF_Timer,TF_Tekniker,BG$4,TF_Dato,$A928))*2,0)/2)))</f>
        <v/>
      </c>
      <c r="BH928">
        <f>IF(OR(BH$4="",$A928&gt;TODAY()),0,IF(OR(INDEX($B928:$D928,BH$5)="F",AND(BH$6&gt;0,$A928&lt;BH$6),AND(BH$7&gt;0,$A928&gt;BH$7)),0,MAX(0,ROUND((INDEX($E928:$G928,BH$5)-SUMIFS(TF_Timer,TF_Tekniker,BH$4,TF_Dato,$A928))*2,0)/2)))</f>
        <v/>
      </c>
      <c r="BI928">
        <f>IF(OR(BI$4="",$A928&gt;TODAY()),0,IF(OR(INDEX($B928:$D928,BI$5)="F",AND(BI$6&gt;0,$A928&lt;BI$6),AND(BI$7&gt;0,$A928&gt;BI$7)),0,MAX(0,ROUND((INDEX($E928:$G928,BI$5)-SUMIFS(TF_Timer,TF_Tekniker,BI$4,TF_Dato,$A928))*2,0)/2)))</f>
        <v/>
      </c>
    </row>
    <row r="929">
      <c r="A929" s="64">
        <f>A928+1</f>
        <v/>
      </c>
      <c r="B929">
        <f>IF(MOD($A929-INDEX(SkiftStart,1),Syklus)&lt;DagK,"K",IF(MOD($A929-INDEX(SkiftStart,1),Syklus)&lt;DagK+DagH,"H",IF(MOD($A929-INDEX(SkiftStart,1),Syklus)&lt;DagK+DagH+DagD,"D","F")))</f>
        <v/>
      </c>
      <c r="C929">
        <f>IF(MOD($A929-INDEX(SkiftStart,2),Syklus)&lt;DagK,"K",IF(MOD($A929-INDEX(SkiftStart,2),Syklus)&lt;DagK+DagH,"H",IF(MOD($A929-INDEX(SkiftStart,2),Syklus)&lt;DagK+DagH+DagD,"D","F")))</f>
        <v/>
      </c>
      <c r="D929">
        <f>IF(MOD($A929-INDEX(SkiftStart,3),Syklus)&lt;DagK,"K",IF(MOD($A929-INDEX(SkiftStart,3),Syklus)&lt;DagK+DagH,"H",IF(MOD($A929-INDEX(SkiftStart,3),Syklus)&lt;DagK+DagH+DagD,"D","F")))</f>
        <v/>
      </c>
      <c r="E929">
        <f>IF(B929="F",0,IF(WEEKDAY($A929,2)=5,INDEX(TimerFr,MATCH(B929,FaseKode,0)),INDEX(TimerMT,MATCH(B929,FaseKode,0))))</f>
        <v/>
      </c>
      <c r="F929">
        <f>IF(C929="F",0,IF(WEEKDAY($A929,2)=5,INDEX(TimerFr,MATCH(C929,FaseKode,0)),INDEX(TimerMT,MATCH(C929,FaseKode,0))))</f>
        <v/>
      </c>
      <c r="G929">
        <f>IF(D929="F",0,IF(WEEKDAY($A929,2)=5,INDEX(TimerFr,MATCH(D929,FaseKode,0)),INDEX(TimerMT,MATCH(D929,FaseKode,0))))</f>
        <v/>
      </c>
      <c r="H929">
        <f>IF(OR(H$4="",$A929&gt;TODAY()),0,IF(OR(INDEX($B929:$D929,H$5)="F",AND(H$6&gt;0,$A929&lt;H$6),AND(H$7&gt;0,$A929&gt;H$7)),0,MAX(0,ROUND((INDEX($E929:$G929,H$5)-SUMIFS(TF_Timer,TF_Tekniker,H$4,TF_Dato,$A929))*2,0)/2)))</f>
        <v/>
      </c>
      <c r="I929">
        <f>IF(OR(I$4="",$A929&gt;TODAY()),0,IF(OR(INDEX($B929:$D929,I$5)="F",AND(I$6&gt;0,$A929&lt;I$6),AND(I$7&gt;0,$A929&gt;I$7)),0,MAX(0,ROUND((INDEX($E929:$G929,I$5)-SUMIFS(TF_Timer,TF_Tekniker,I$4,TF_Dato,$A929))*2,0)/2)))</f>
        <v/>
      </c>
      <c r="J929">
        <f>IF(OR(J$4="",$A929&gt;TODAY()),0,IF(OR(INDEX($B929:$D929,J$5)="F",AND(J$6&gt;0,$A929&lt;J$6),AND(J$7&gt;0,$A929&gt;J$7)),0,MAX(0,ROUND((INDEX($E929:$G929,J$5)-SUMIFS(TF_Timer,TF_Tekniker,J$4,TF_Dato,$A929))*2,0)/2)))</f>
        <v/>
      </c>
      <c r="K929">
        <f>IF(OR(K$4="",$A929&gt;TODAY()),0,IF(OR(INDEX($B929:$D929,K$5)="F",AND(K$6&gt;0,$A929&lt;K$6),AND(K$7&gt;0,$A929&gt;K$7)),0,MAX(0,ROUND((INDEX($E929:$G929,K$5)-SUMIFS(TF_Timer,TF_Tekniker,K$4,TF_Dato,$A929))*2,0)/2)))</f>
        <v/>
      </c>
      <c r="L929">
        <f>IF(OR(L$4="",$A929&gt;TODAY()),0,IF(OR(INDEX($B929:$D929,L$5)="F",AND(L$6&gt;0,$A929&lt;L$6),AND(L$7&gt;0,$A929&gt;L$7)),0,MAX(0,ROUND((INDEX($E929:$G929,L$5)-SUMIFS(TF_Timer,TF_Tekniker,L$4,TF_Dato,$A929))*2,0)/2)))</f>
        <v/>
      </c>
      <c r="M929">
        <f>IF(OR(M$4="",$A929&gt;TODAY()),0,IF(OR(INDEX($B929:$D929,M$5)="F",AND(M$6&gt;0,$A929&lt;M$6),AND(M$7&gt;0,$A929&gt;M$7)),0,MAX(0,ROUND((INDEX($E929:$G929,M$5)-SUMIFS(TF_Timer,TF_Tekniker,M$4,TF_Dato,$A929))*2,0)/2)))</f>
        <v/>
      </c>
      <c r="N929">
        <f>IF(OR(N$4="",$A929&gt;TODAY()),0,IF(OR(INDEX($B929:$D929,N$5)="F",AND(N$6&gt;0,$A929&lt;N$6),AND(N$7&gt;0,$A929&gt;N$7)),0,MAX(0,ROUND((INDEX($E929:$G929,N$5)-SUMIFS(TF_Timer,TF_Tekniker,N$4,TF_Dato,$A929))*2,0)/2)))</f>
        <v/>
      </c>
      <c r="O929">
        <f>IF(OR(O$4="",$A929&gt;TODAY()),0,IF(OR(INDEX($B929:$D929,O$5)="F",AND(O$6&gt;0,$A929&lt;O$6),AND(O$7&gt;0,$A929&gt;O$7)),0,MAX(0,ROUND((INDEX($E929:$G929,O$5)-SUMIFS(TF_Timer,TF_Tekniker,O$4,TF_Dato,$A929))*2,0)/2)))</f>
        <v/>
      </c>
      <c r="P929">
        <f>IF(OR(P$4="",$A929&gt;TODAY()),0,IF(OR(INDEX($B929:$D929,P$5)="F",AND(P$6&gt;0,$A929&lt;P$6),AND(P$7&gt;0,$A929&gt;P$7)),0,MAX(0,ROUND((INDEX($E929:$G929,P$5)-SUMIFS(TF_Timer,TF_Tekniker,P$4,TF_Dato,$A929))*2,0)/2)))</f>
        <v/>
      </c>
      <c r="Q929">
        <f>IF(OR(Q$4="",$A929&gt;TODAY()),0,IF(OR(INDEX($B929:$D929,Q$5)="F",AND(Q$6&gt;0,$A929&lt;Q$6),AND(Q$7&gt;0,$A929&gt;Q$7)),0,MAX(0,ROUND((INDEX($E929:$G929,Q$5)-SUMIFS(TF_Timer,TF_Tekniker,Q$4,TF_Dato,$A929))*2,0)/2)))</f>
        <v/>
      </c>
      <c r="R929">
        <f>IF(OR(R$4="",$A929&gt;TODAY()),0,IF(OR(INDEX($B929:$D929,R$5)="F",AND(R$6&gt;0,$A929&lt;R$6),AND(R$7&gt;0,$A929&gt;R$7)),0,MAX(0,ROUND((INDEX($E929:$G929,R$5)-SUMIFS(TF_Timer,TF_Tekniker,R$4,TF_Dato,$A929))*2,0)/2)))</f>
        <v/>
      </c>
      <c r="S929">
        <f>IF(OR(S$4="",$A929&gt;TODAY()),0,IF(OR(INDEX($B929:$D929,S$5)="F",AND(S$6&gt;0,$A929&lt;S$6),AND(S$7&gt;0,$A929&gt;S$7)),0,MAX(0,ROUND((INDEX($E929:$G929,S$5)-SUMIFS(TF_Timer,TF_Tekniker,S$4,TF_Dato,$A929))*2,0)/2)))</f>
        <v/>
      </c>
      <c r="T929">
        <f>IF(OR(T$4="",$A929&gt;TODAY()),0,IF(OR(INDEX($B929:$D929,T$5)="F",AND(T$6&gt;0,$A929&lt;T$6),AND(T$7&gt;0,$A929&gt;T$7)),0,MAX(0,ROUND((INDEX($E929:$G929,T$5)-SUMIFS(TF_Timer,TF_Tekniker,T$4,TF_Dato,$A929))*2,0)/2)))</f>
        <v/>
      </c>
      <c r="U929">
        <f>IF(OR(U$4="",$A929&gt;TODAY()),0,IF(OR(INDEX($B929:$D929,U$5)="F",AND(U$6&gt;0,$A929&lt;U$6),AND(U$7&gt;0,$A929&gt;U$7)),0,MAX(0,ROUND((INDEX($E929:$G929,U$5)-SUMIFS(TF_Timer,TF_Tekniker,U$4,TF_Dato,$A929))*2,0)/2)))</f>
        <v/>
      </c>
      <c r="V929">
        <f>IF(OR(V$4="",$A929&gt;TODAY()),0,IF(OR(INDEX($B929:$D929,V$5)="F",AND(V$6&gt;0,$A929&lt;V$6),AND(V$7&gt;0,$A929&gt;V$7)),0,MAX(0,ROUND((INDEX($E929:$G929,V$5)-SUMIFS(TF_Timer,TF_Tekniker,V$4,TF_Dato,$A929))*2,0)/2)))</f>
        <v/>
      </c>
      <c r="W929">
        <f>IF(OR(W$4="",$A929&gt;TODAY()),0,IF(OR(INDEX($B929:$D929,W$5)="F",AND(W$6&gt;0,$A929&lt;W$6),AND(W$7&gt;0,$A929&gt;W$7)),0,MAX(0,ROUND((INDEX($E929:$G929,W$5)-SUMIFS(TF_Timer,TF_Tekniker,W$4,TF_Dato,$A929))*2,0)/2)))</f>
        <v/>
      </c>
      <c r="X929">
        <f>IF(OR(X$4="",$A929&gt;TODAY()),0,IF(OR(INDEX($B929:$D929,X$5)="F",AND(X$6&gt;0,$A929&lt;X$6),AND(X$7&gt;0,$A929&gt;X$7)),0,MAX(0,ROUND((INDEX($E929:$G929,X$5)-SUMIFS(TF_Timer,TF_Tekniker,X$4,TF_Dato,$A929))*2,0)/2)))</f>
        <v/>
      </c>
      <c r="Y929">
        <f>IF(OR(Y$4="",$A929&gt;TODAY()),0,IF(OR(INDEX($B929:$D929,Y$5)="F",AND(Y$6&gt;0,$A929&lt;Y$6),AND(Y$7&gt;0,$A929&gt;Y$7)),0,MAX(0,ROUND((INDEX($E929:$G929,Y$5)-SUMIFS(TF_Timer,TF_Tekniker,Y$4,TF_Dato,$A929))*2,0)/2)))</f>
        <v/>
      </c>
      <c r="Z929">
        <f>IF(OR(Z$4="",$A929&gt;TODAY()),0,IF(OR(INDEX($B929:$D929,Z$5)="F",AND(Z$6&gt;0,$A929&lt;Z$6),AND(Z$7&gt;0,$A929&gt;Z$7)),0,MAX(0,ROUND((INDEX($E929:$G929,Z$5)-SUMIFS(TF_Timer,TF_Tekniker,Z$4,TF_Dato,$A929))*2,0)/2)))</f>
        <v/>
      </c>
      <c r="AA929">
        <f>IF(OR(AA$4="",$A929&gt;TODAY()),0,IF(OR(INDEX($B929:$D929,AA$5)="F",AND(AA$6&gt;0,$A929&lt;AA$6),AND(AA$7&gt;0,$A929&gt;AA$7)),0,MAX(0,ROUND((INDEX($E929:$G929,AA$5)-SUMIFS(TF_Timer,TF_Tekniker,AA$4,TF_Dato,$A929))*2,0)/2)))</f>
        <v/>
      </c>
      <c r="AB929">
        <f>IF(OR(AB$4="",$A929&gt;TODAY()),0,IF(OR(INDEX($B929:$D929,AB$5)="F",AND(AB$6&gt;0,$A929&lt;AB$6),AND(AB$7&gt;0,$A929&gt;AB$7)),0,MAX(0,ROUND((INDEX($E929:$G929,AB$5)-SUMIFS(TF_Timer,TF_Tekniker,AB$4,TF_Dato,$A929))*2,0)/2)))</f>
        <v/>
      </c>
      <c r="AC929">
        <f>IF(OR(AC$4="",$A929&gt;TODAY()),0,IF(OR(INDEX($B929:$D929,AC$5)="F",AND(AC$6&gt;0,$A929&lt;AC$6),AND(AC$7&gt;0,$A929&gt;AC$7)),0,MAX(0,ROUND((INDEX($E929:$G929,AC$5)-SUMIFS(TF_Timer,TF_Tekniker,AC$4,TF_Dato,$A929))*2,0)/2)))</f>
        <v/>
      </c>
      <c r="AD929">
        <f>IF(OR(AD$4="",$A929&gt;TODAY()),0,IF(OR(INDEX($B929:$D929,AD$5)="F",AND(AD$6&gt;0,$A929&lt;AD$6),AND(AD$7&gt;0,$A929&gt;AD$7)),0,MAX(0,ROUND((INDEX($E929:$G929,AD$5)-SUMIFS(TF_Timer,TF_Tekniker,AD$4,TF_Dato,$A929))*2,0)/2)))</f>
        <v/>
      </c>
      <c r="AE929">
        <f>IF(OR(AE$4="",$A929&gt;TODAY()),0,IF(OR(INDEX($B929:$D929,AE$5)="F",AND(AE$6&gt;0,$A929&lt;AE$6),AND(AE$7&gt;0,$A929&gt;AE$7)),0,MAX(0,ROUND((INDEX($E929:$G929,AE$5)-SUMIFS(TF_Timer,TF_Tekniker,AE$4,TF_Dato,$A929))*2,0)/2)))</f>
        <v/>
      </c>
      <c r="AF929">
        <f>IF(OR(AF$4="",$A929&gt;TODAY()),0,IF(OR(INDEX($B929:$D929,AF$5)="F",AND(AF$6&gt;0,$A929&lt;AF$6),AND(AF$7&gt;0,$A929&gt;AF$7)),0,MAX(0,ROUND((INDEX($E929:$G929,AF$5)-SUMIFS(TF_Timer,TF_Tekniker,AF$4,TF_Dato,$A929))*2,0)/2)))</f>
        <v/>
      </c>
      <c r="AG929">
        <f>IF(OR(AG$4="",$A929&gt;TODAY()),0,IF(OR(INDEX($B929:$D929,AG$5)="F",AND(AG$6&gt;0,$A929&lt;AG$6),AND(AG$7&gt;0,$A929&gt;AG$7)),0,MAX(0,ROUND((INDEX($E929:$G929,AG$5)-SUMIFS(TF_Timer,TF_Tekniker,AG$4,TF_Dato,$A929))*2,0)/2)))</f>
        <v/>
      </c>
      <c r="AH929">
        <f>IF(OR(AH$4="",$A929&gt;TODAY()),0,IF(OR(INDEX($B929:$D929,AH$5)="F",AND(AH$6&gt;0,$A929&lt;AH$6),AND(AH$7&gt;0,$A929&gt;AH$7)),0,MAX(0,ROUND((INDEX($E929:$G929,AH$5)-SUMIFS(TF_Timer,TF_Tekniker,AH$4,TF_Dato,$A929))*2,0)/2)))</f>
        <v/>
      </c>
      <c r="AI929">
        <f>IF(OR(AI$4="",$A929&gt;TODAY()),0,IF(OR(INDEX($B929:$D929,AI$5)="F",AND(AI$6&gt;0,$A929&lt;AI$6),AND(AI$7&gt;0,$A929&gt;AI$7)),0,MAX(0,ROUND((INDEX($E929:$G929,AI$5)-SUMIFS(TF_Timer,TF_Tekniker,AI$4,TF_Dato,$A929))*2,0)/2)))</f>
        <v/>
      </c>
      <c r="AJ929">
        <f>IF(OR(AJ$4="",$A929&gt;TODAY()),0,IF(OR(INDEX($B929:$D929,AJ$5)="F",AND(AJ$6&gt;0,$A929&lt;AJ$6),AND(AJ$7&gt;0,$A929&gt;AJ$7)),0,MAX(0,ROUND((INDEX($E929:$G929,AJ$5)-SUMIFS(TF_Timer,TF_Tekniker,AJ$4,TF_Dato,$A929))*2,0)/2)))</f>
        <v/>
      </c>
      <c r="AK929">
        <f>IF(OR(AK$4="",$A929&gt;TODAY()),0,IF(OR(INDEX($B929:$D929,AK$5)="F",AND(AK$6&gt;0,$A929&lt;AK$6),AND(AK$7&gt;0,$A929&gt;AK$7)),0,MAX(0,ROUND((INDEX($E929:$G929,AK$5)-SUMIFS(TF_Timer,TF_Tekniker,AK$4,TF_Dato,$A929))*2,0)/2)))</f>
        <v/>
      </c>
      <c r="AL929">
        <f>IF(OR(AL$4="",$A929&gt;TODAY()),0,IF(OR(INDEX($B929:$D929,AL$5)="F",AND(AL$6&gt;0,$A929&lt;AL$6),AND(AL$7&gt;0,$A929&gt;AL$7)),0,MAX(0,ROUND((INDEX($E929:$G929,AL$5)-SUMIFS(TF_Timer,TF_Tekniker,AL$4,TF_Dato,$A929))*2,0)/2)))</f>
        <v/>
      </c>
      <c r="AM929">
        <f>IF(OR(AM$4="",$A929&gt;TODAY()),0,IF(OR(INDEX($B929:$D929,AM$5)="F",AND(AM$6&gt;0,$A929&lt;AM$6),AND(AM$7&gt;0,$A929&gt;AM$7)),0,MAX(0,ROUND((INDEX($E929:$G929,AM$5)-SUMIFS(TF_Timer,TF_Tekniker,AM$4,TF_Dato,$A929))*2,0)/2)))</f>
        <v/>
      </c>
      <c r="AN929">
        <f>IF(OR(AN$4="",$A929&gt;TODAY()),0,IF(OR(INDEX($B929:$D929,AN$5)="F",AND(AN$6&gt;0,$A929&lt;AN$6),AND(AN$7&gt;0,$A929&gt;AN$7)),0,MAX(0,ROUND((INDEX($E929:$G929,AN$5)-SUMIFS(TF_Timer,TF_Tekniker,AN$4,TF_Dato,$A929))*2,0)/2)))</f>
        <v/>
      </c>
      <c r="AO929">
        <f>IF(OR(AO$4="",$A929&gt;TODAY()),0,IF(OR(INDEX($B929:$D929,AO$5)="F",AND(AO$6&gt;0,$A929&lt;AO$6),AND(AO$7&gt;0,$A929&gt;AO$7)),0,MAX(0,ROUND((INDEX($E929:$G929,AO$5)-SUMIFS(TF_Timer,TF_Tekniker,AO$4,TF_Dato,$A929))*2,0)/2)))</f>
        <v/>
      </c>
      <c r="AP929">
        <f>IF(OR(AP$4="",$A929&gt;TODAY()),0,IF(OR(INDEX($B929:$D929,AP$5)="F",AND(AP$6&gt;0,$A929&lt;AP$6),AND(AP$7&gt;0,$A929&gt;AP$7)),0,MAX(0,ROUND((INDEX($E929:$G929,AP$5)-SUMIFS(TF_Timer,TF_Tekniker,AP$4,TF_Dato,$A929))*2,0)/2)))</f>
        <v/>
      </c>
      <c r="AQ929">
        <f>IF(OR(AQ$4="",$A929&gt;TODAY()),0,IF(OR(INDEX($B929:$D929,AQ$5)="F",AND(AQ$6&gt;0,$A929&lt;AQ$6),AND(AQ$7&gt;0,$A929&gt;AQ$7)),0,MAX(0,ROUND((INDEX($E929:$G929,AQ$5)-SUMIFS(TF_Timer,TF_Tekniker,AQ$4,TF_Dato,$A929))*2,0)/2)))</f>
        <v/>
      </c>
      <c r="AR929">
        <f>IF(OR(AR$4="",$A929&gt;TODAY()),0,IF(OR(INDEX($B929:$D929,AR$5)="F",AND(AR$6&gt;0,$A929&lt;AR$6),AND(AR$7&gt;0,$A929&gt;AR$7)),0,MAX(0,ROUND((INDEX($E929:$G929,AR$5)-SUMIFS(TF_Timer,TF_Tekniker,AR$4,TF_Dato,$A929))*2,0)/2)))</f>
        <v/>
      </c>
      <c r="AS929">
        <f>IF(OR(AS$4="",$A929&gt;TODAY()),0,IF(OR(INDEX($B929:$D929,AS$5)="F",AND(AS$6&gt;0,$A929&lt;AS$6),AND(AS$7&gt;0,$A929&gt;AS$7)),0,MAX(0,ROUND((INDEX($E929:$G929,AS$5)-SUMIFS(TF_Timer,TF_Tekniker,AS$4,TF_Dato,$A929))*2,0)/2)))</f>
        <v/>
      </c>
      <c r="AT929">
        <f>IF(OR(AT$4="",$A929&gt;TODAY()),0,IF(OR(INDEX($B929:$D929,AT$5)="F",AND(AT$6&gt;0,$A929&lt;AT$6),AND(AT$7&gt;0,$A929&gt;AT$7)),0,MAX(0,ROUND((INDEX($E929:$G929,AT$5)-SUMIFS(TF_Timer,TF_Tekniker,AT$4,TF_Dato,$A929))*2,0)/2)))</f>
        <v/>
      </c>
      <c r="AU929">
        <f>IF(OR(AU$4="",$A929&gt;TODAY()),0,IF(OR(INDEX($B929:$D929,AU$5)="F",AND(AU$6&gt;0,$A929&lt;AU$6),AND(AU$7&gt;0,$A929&gt;AU$7)),0,MAX(0,ROUND((INDEX($E929:$G929,AU$5)-SUMIFS(TF_Timer,TF_Tekniker,AU$4,TF_Dato,$A929))*2,0)/2)))</f>
        <v/>
      </c>
      <c r="AV929">
        <f>IF(OR(AV$4="",$A929&gt;TODAY()),0,IF(OR(INDEX($B929:$D929,AV$5)="F",AND(AV$6&gt;0,$A929&lt;AV$6),AND(AV$7&gt;0,$A929&gt;AV$7)),0,MAX(0,ROUND((INDEX($E929:$G929,AV$5)-SUMIFS(TF_Timer,TF_Tekniker,AV$4,TF_Dato,$A929))*2,0)/2)))</f>
        <v/>
      </c>
      <c r="AW929">
        <f>IF(OR(AW$4="",$A929&gt;TODAY()),0,IF(OR(INDEX($B929:$D929,AW$5)="F",AND(AW$6&gt;0,$A929&lt;AW$6),AND(AW$7&gt;0,$A929&gt;AW$7)),0,MAX(0,ROUND((INDEX($E929:$G929,AW$5)-SUMIFS(TF_Timer,TF_Tekniker,AW$4,TF_Dato,$A929))*2,0)/2)))</f>
        <v/>
      </c>
      <c r="AX929">
        <f>IF(OR(AX$4="",$A929&gt;TODAY()),0,IF(OR(INDEX($B929:$D929,AX$5)="F",AND(AX$6&gt;0,$A929&lt;AX$6),AND(AX$7&gt;0,$A929&gt;AX$7)),0,MAX(0,ROUND((INDEX($E929:$G929,AX$5)-SUMIFS(TF_Timer,TF_Tekniker,AX$4,TF_Dato,$A929))*2,0)/2)))</f>
        <v/>
      </c>
      <c r="AY929">
        <f>IF(OR(AY$4="",$A929&gt;TODAY()),0,IF(OR(INDEX($B929:$D929,AY$5)="F",AND(AY$6&gt;0,$A929&lt;AY$6),AND(AY$7&gt;0,$A929&gt;AY$7)),0,MAX(0,ROUND((INDEX($E929:$G929,AY$5)-SUMIFS(TF_Timer,TF_Tekniker,AY$4,TF_Dato,$A929))*2,0)/2)))</f>
        <v/>
      </c>
      <c r="AZ929">
        <f>IF(OR(AZ$4="",$A929&gt;TODAY()),0,IF(OR(INDEX($B929:$D929,AZ$5)="F",AND(AZ$6&gt;0,$A929&lt;AZ$6),AND(AZ$7&gt;0,$A929&gt;AZ$7)),0,MAX(0,ROUND((INDEX($E929:$G929,AZ$5)-SUMIFS(TF_Timer,TF_Tekniker,AZ$4,TF_Dato,$A929))*2,0)/2)))</f>
        <v/>
      </c>
      <c r="BA929">
        <f>IF(OR(BA$4="",$A929&gt;TODAY()),0,IF(OR(INDEX($B929:$D929,BA$5)="F",AND(BA$6&gt;0,$A929&lt;BA$6),AND(BA$7&gt;0,$A929&gt;BA$7)),0,MAX(0,ROUND((INDEX($E929:$G929,BA$5)-SUMIFS(TF_Timer,TF_Tekniker,BA$4,TF_Dato,$A929))*2,0)/2)))</f>
        <v/>
      </c>
      <c r="BB929">
        <f>IF(OR(BB$4="",$A929&gt;TODAY()),0,IF(OR(INDEX($B929:$D929,BB$5)="F",AND(BB$6&gt;0,$A929&lt;BB$6),AND(BB$7&gt;0,$A929&gt;BB$7)),0,MAX(0,ROUND((INDEX($E929:$G929,BB$5)-SUMIFS(TF_Timer,TF_Tekniker,BB$4,TF_Dato,$A929))*2,0)/2)))</f>
        <v/>
      </c>
      <c r="BC929">
        <f>IF(OR(BC$4="",$A929&gt;TODAY()),0,IF(OR(INDEX($B929:$D929,BC$5)="F",AND(BC$6&gt;0,$A929&lt;BC$6),AND(BC$7&gt;0,$A929&gt;BC$7)),0,MAX(0,ROUND((INDEX($E929:$G929,BC$5)-SUMIFS(TF_Timer,TF_Tekniker,BC$4,TF_Dato,$A929))*2,0)/2)))</f>
        <v/>
      </c>
      <c r="BD929">
        <f>IF(OR(BD$4="",$A929&gt;TODAY()),0,IF(OR(INDEX($B929:$D929,BD$5)="F",AND(BD$6&gt;0,$A929&lt;BD$6),AND(BD$7&gt;0,$A929&gt;BD$7)),0,MAX(0,ROUND((INDEX($E929:$G929,BD$5)-SUMIFS(TF_Timer,TF_Tekniker,BD$4,TF_Dato,$A929))*2,0)/2)))</f>
        <v/>
      </c>
      <c r="BE929">
        <f>IF(OR(BE$4="",$A929&gt;TODAY()),0,IF(OR(INDEX($B929:$D929,BE$5)="F",AND(BE$6&gt;0,$A929&lt;BE$6),AND(BE$7&gt;0,$A929&gt;BE$7)),0,MAX(0,ROUND((INDEX($E929:$G929,BE$5)-SUMIFS(TF_Timer,TF_Tekniker,BE$4,TF_Dato,$A929))*2,0)/2)))</f>
        <v/>
      </c>
      <c r="BF929">
        <f>IF(OR(BF$4="",$A929&gt;TODAY()),0,IF(OR(INDEX($B929:$D929,BF$5)="F",AND(BF$6&gt;0,$A929&lt;BF$6),AND(BF$7&gt;0,$A929&gt;BF$7)),0,MAX(0,ROUND((INDEX($E929:$G929,BF$5)-SUMIFS(TF_Timer,TF_Tekniker,BF$4,TF_Dato,$A929))*2,0)/2)))</f>
        <v/>
      </c>
      <c r="BG929">
        <f>IF(OR(BG$4="",$A929&gt;TODAY()),0,IF(OR(INDEX($B929:$D929,BG$5)="F",AND(BG$6&gt;0,$A929&lt;BG$6),AND(BG$7&gt;0,$A929&gt;BG$7)),0,MAX(0,ROUND((INDEX($E929:$G929,BG$5)-SUMIFS(TF_Timer,TF_Tekniker,BG$4,TF_Dato,$A929))*2,0)/2)))</f>
        <v/>
      </c>
      <c r="BH929">
        <f>IF(OR(BH$4="",$A929&gt;TODAY()),0,IF(OR(INDEX($B929:$D929,BH$5)="F",AND(BH$6&gt;0,$A929&lt;BH$6),AND(BH$7&gt;0,$A929&gt;BH$7)),0,MAX(0,ROUND((INDEX($E929:$G929,BH$5)-SUMIFS(TF_Timer,TF_Tekniker,BH$4,TF_Dato,$A929))*2,0)/2)))</f>
        <v/>
      </c>
      <c r="BI929">
        <f>IF(OR(BI$4="",$A929&gt;TODAY()),0,IF(OR(INDEX($B929:$D929,BI$5)="F",AND(BI$6&gt;0,$A929&lt;BI$6),AND(BI$7&gt;0,$A929&gt;BI$7)),0,MAX(0,ROUND((INDEX($E929:$G929,BI$5)-SUMIFS(TF_Timer,TF_Tekniker,BI$4,TF_Dato,$A929))*2,0)/2)))</f>
        <v/>
      </c>
    </row>
    <row r="930">
      <c r="A930" s="64">
        <f>A929+1</f>
        <v/>
      </c>
      <c r="B930">
        <f>IF(MOD($A930-INDEX(SkiftStart,1),Syklus)&lt;DagK,"K",IF(MOD($A930-INDEX(SkiftStart,1),Syklus)&lt;DagK+DagH,"H",IF(MOD($A930-INDEX(SkiftStart,1),Syklus)&lt;DagK+DagH+DagD,"D","F")))</f>
        <v/>
      </c>
      <c r="C930">
        <f>IF(MOD($A930-INDEX(SkiftStart,2),Syklus)&lt;DagK,"K",IF(MOD($A930-INDEX(SkiftStart,2),Syklus)&lt;DagK+DagH,"H",IF(MOD($A930-INDEX(SkiftStart,2),Syklus)&lt;DagK+DagH+DagD,"D","F")))</f>
        <v/>
      </c>
      <c r="D930">
        <f>IF(MOD($A930-INDEX(SkiftStart,3),Syklus)&lt;DagK,"K",IF(MOD($A930-INDEX(SkiftStart,3),Syklus)&lt;DagK+DagH,"H",IF(MOD($A930-INDEX(SkiftStart,3),Syklus)&lt;DagK+DagH+DagD,"D","F")))</f>
        <v/>
      </c>
      <c r="E930">
        <f>IF(B930="F",0,IF(WEEKDAY($A930,2)=5,INDEX(TimerFr,MATCH(B930,FaseKode,0)),INDEX(TimerMT,MATCH(B930,FaseKode,0))))</f>
        <v/>
      </c>
      <c r="F930">
        <f>IF(C930="F",0,IF(WEEKDAY($A930,2)=5,INDEX(TimerFr,MATCH(C930,FaseKode,0)),INDEX(TimerMT,MATCH(C930,FaseKode,0))))</f>
        <v/>
      </c>
      <c r="G930">
        <f>IF(D930="F",0,IF(WEEKDAY($A930,2)=5,INDEX(TimerFr,MATCH(D930,FaseKode,0)),INDEX(TimerMT,MATCH(D930,FaseKode,0))))</f>
        <v/>
      </c>
      <c r="H930">
        <f>IF(OR(H$4="",$A930&gt;TODAY()),0,IF(OR(INDEX($B930:$D930,H$5)="F",AND(H$6&gt;0,$A930&lt;H$6),AND(H$7&gt;0,$A930&gt;H$7)),0,MAX(0,ROUND((INDEX($E930:$G930,H$5)-SUMIFS(TF_Timer,TF_Tekniker,H$4,TF_Dato,$A930))*2,0)/2)))</f>
        <v/>
      </c>
      <c r="I930">
        <f>IF(OR(I$4="",$A930&gt;TODAY()),0,IF(OR(INDEX($B930:$D930,I$5)="F",AND(I$6&gt;0,$A930&lt;I$6),AND(I$7&gt;0,$A930&gt;I$7)),0,MAX(0,ROUND((INDEX($E930:$G930,I$5)-SUMIFS(TF_Timer,TF_Tekniker,I$4,TF_Dato,$A930))*2,0)/2)))</f>
        <v/>
      </c>
      <c r="J930">
        <f>IF(OR(J$4="",$A930&gt;TODAY()),0,IF(OR(INDEX($B930:$D930,J$5)="F",AND(J$6&gt;0,$A930&lt;J$6),AND(J$7&gt;0,$A930&gt;J$7)),0,MAX(0,ROUND((INDEX($E930:$G930,J$5)-SUMIFS(TF_Timer,TF_Tekniker,J$4,TF_Dato,$A930))*2,0)/2)))</f>
        <v/>
      </c>
      <c r="K930">
        <f>IF(OR(K$4="",$A930&gt;TODAY()),0,IF(OR(INDEX($B930:$D930,K$5)="F",AND(K$6&gt;0,$A930&lt;K$6),AND(K$7&gt;0,$A930&gt;K$7)),0,MAX(0,ROUND((INDEX($E930:$G930,K$5)-SUMIFS(TF_Timer,TF_Tekniker,K$4,TF_Dato,$A930))*2,0)/2)))</f>
        <v/>
      </c>
      <c r="L930">
        <f>IF(OR(L$4="",$A930&gt;TODAY()),0,IF(OR(INDEX($B930:$D930,L$5)="F",AND(L$6&gt;0,$A930&lt;L$6),AND(L$7&gt;0,$A930&gt;L$7)),0,MAX(0,ROUND((INDEX($E930:$G930,L$5)-SUMIFS(TF_Timer,TF_Tekniker,L$4,TF_Dato,$A930))*2,0)/2)))</f>
        <v/>
      </c>
      <c r="M930">
        <f>IF(OR(M$4="",$A930&gt;TODAY()),0,IF(OR(INDEX($B930:$D930,M$5)="F",AND(M$6&gt;0,$A930&lt;M$6),AND(M$7&gt;0,$A930&gt;M$7)),0,MAX(0,ROUND((INDEX($E930:$G930,M$5)-SUMIFS(TF_Timer,TF_Tekniker,M$4,TF_Dato,$A930))*2,0)/2)))</f>
        <v/>
      </c>
      <c r="N930">
        <f>IF(OR(N$4="",$A930&gt;TODAY()),0,IF(OR(INDEX($B930:$D930,N$5)="F",AND(N$6&gt;0,$A930&lt;N$6),AND(N$7&gt;0,$A930&gt;N$7)),0,MAX(0,ROUND((INDEX($E930:$G930,N$5)-SUMIFS(TF_Timer,TF_Tekniker,N$4,TF_Dato,$A930))*2,0)/2)))</f>
        <v/>
      </c>
      <c r="O930">
        <f>IF(OR(O$4="",$A930&gt;TODAY()),0,IF(OR(INDEX($B930:$D930,O$5)="F",AND(O$6&gt;0,$A930&lt;O$6),AND(O$7&gt;0,$A930&gt;O$7)),0,MAX(0,ROUND((INDEX($E930:$G930,O$5)-SUMIFS(TF_Timer,TF_Tekniker,O$4,TF_Dato,$A930))*2,0)/2)))</f>
        <v/>
      </c>
      <c r="P930">
        <f>IF(OR(P$4="",$A930&gt;TODAY()),0,IF(OR(INDEX($B930:$D930,P$5)="F",AND(P$6&gt;0,$A930&lt;P$6),AND(P$7&gt;0,$A930&gt;P$7)),0,MAX(0,ROUND((INDEX($E930:$G930,P$5)-SUMIFS(TF_Timer,TF_Tekniker,P$4,TF_Dato,$A930))*2,0)/2)))</f>
        <v/>
      </c>
      <c r="Q930">
        <f>IF(OR(Q$4="",$A930&gt;TODAY()),0,IF(OR(INDEX($B930:$D930,Q$5)="F",AND(Q$6&gt;0,$A930&lt;Q$6),AND(Q$7&gt;0,$A930&gt;Q$7)),0,MAX(0,ROUND((INDEX($E930:$G930,Q$5)-SUMIFS(TF_Timer,TF_Tekniker,Q$4,TF_Dato,$A930))*2,0)/2)))</f>
        <v/>
      </c>
      <c r="R930">
        <f>IF(OR(R$4="",$A930&gt;TODAY()),0,IF(OR(INDEX($B930:$D930,R$5)="F",AND(R$6&gt;0,$A930&lt;R$6),AND(R$7&gt;0,$A930&gt;R$7)),0,MAX(0,ROUND((INDEX($E930:$G930,R$5)-SUMIFS(TF_Timer,TF_Tekniker,R$4,TF_Dato,$A930))*2,0)/2)))</f>
        <v/>
      </c>
      <c r="S930">
        <f>IF(OR(S$4="",$A930&gt;TODAY()),0,IF(OR(INDEX($B930:$D930,S$5)="F",AND(S$6&gt;0,$A930&lt;S$6),AND(S$7&gt;0,$A930&gt;S$7)),0,MAX(0,ROUND((INDEX($E930:$G930,S$5)-SUMIFS(TF_Timer,TF_Tekniker,S$4,TF_Dato,$A930))*2,0)/2)))</f>
        <v/>
      </c>
      <c r="T930">
        <f>IF(OR(T$4="",$A930&gt;TODAY()),0,IF(OR(INDEX($B930:$D930,T$5)="F",AND(T$6&gt;0,$A930&lt;T$6),AND(T$7&gt;0,$A930&gt;T$7)),0,MAX(0,ROUND((INDEX($E930:$G930,T$5)-SUMIFS(TF_Timer,TF_Tekniker,T$4,TF_Dato,$A930))*2,0)/2)))</f>
        <v/>
      </c>
      <c r="U930">
        <f>IF(OR(U$4="",$A930&gt;TODAY()),0,IF(OR(INDEX($B930:$D930,U$5)="F",AND(U$6&gt;0,$A930&lt;U$6),AND(U$7&gt;0,$A930&gt;U$7)),0,MAX(0,ROUND((INDEX($E930:$G930,U$5)-SUMIFS(TF_Timer,TF_Tekniker,U$4,TF_Dato,$A930))*2,0)/2)))</f>
        <v/>
      </c>
      <c r="V930">
        <f>IF(OR(V$4="",$A930&gt;TODAY()),0,IF(OR(INDEX($B930:$D930,V$5)="F",AND(V$6&gt;0,$A930&lt;V$6),AND(V$7&gt;0,$A930&gt;V$7)),0,MAX(0,ROUND((INDEX($E930:$G930,V$5)-SUMIFS(TF_Timer,TF_Tekniker,V$4,TF_Dato,$A930))*2,0)/2)))</f>
        <v/>
      </c>
      <c r="W930">
        <f>IF(OR(W$4="",$A930&gt;TODAY()),0,IF(OR(INDEX($B930:$D930,W$5)="F",AND(W$6&gt;0,$A930&lt;W$6),AND(W$7&gt;0,$A930&gt;W$7)),0,MAX(0,ROUND((INDEX($E930:$G930,W$5)-SUMIFS(TF_Timer,TF_Tekniker,W$4,TF_Dato,$A930))*2,0)/2)))</f>
        <v/>
      </c>
      <c r="X930">
        <f>IF(OR(X$4="",$A930&gt;TODAY()),0,IF(OR(INDEX($B930:$D930,X$5)="F",AND(X$6&gt;0,$A930&lt;X$6),AND(X$7&gt;0,$A930&gt;X$7)),0,MAX(0,ROUND((INDEX($E930:$G930,X$5)-SUMIFS(TF_Timer,TF_Tekniker,X$4,TF_Dato,$A930))*2,0)/2)))</f>
        <v/>
      </c>
      <c r="Y930">
        <f>IF(OR(Y$4="",$A930&gt;TODAY()),0,IF(OR(INDEX($B930:$D930,Y$5)="F",AND(Y$6&gt;0,$A930&lt;Y$6),AND(Y$7&gt;0,$A930&gt;Y$7)),0,MAX(0,ROUND((INDEX($E930:$G930,Y$5)-SUMIFS(TF_Timer,TF_Tekniker,Y$4,TF_Dato,$A930))*2,0)/2)))</f>
        <v/>
      </c>
      <c r="Z930">
        <f>IF(OR(Z$4="",$A930&gt;TODAY()),0,IF(OR(INDEX($B930:$D930,Z$5)="F",AND(Z$6&gt;0,$A930&lt;Z$6),AND(Z$7&gt;0,$A930&gt;Z$7)),0,MAX(0,ROUND((INDEX($E930:$G930,Z$5)-SUMIFS(TF_Timer,TF_Tekniker,Z$4,TF_Dato,$A930))*2,0)/2)))</f>
        <v/>
      </c>
      <c r="AA930">
        <f>IF(OR(AA$4="",$A930&gt;TODAY()),0,IF(OR(INDEX($B930:$D930,AA$5)="F",AND(AA$6&gt;0,$A930&lt;AA$6),AND(AA$7&gt;0,$A930&gt;AA$7)),0,MAX(0,ROUND((INDEX($E930:$G930,AA$5)-SUMIFS(TF_Timer,TF_Tekniker,AA$4,TF_Dato,$A930))*2,0)/2)))</f>
        <v/>
      </c>
      <c r="AB930">
        <f>IF(OR(AB$4="",$A930&gt;TODAY()),0,IF(OR(INDEX($B930:$D930,AB$5)="F",AND(AB$6&gt;0,$A930&lt;AB$6),AND(AB$7&gt;0,$A930&gt;AB$7)),0,MAX(0,ROUND((INDEX($E930:$G930,AB$5)-SUMIFS(TF_Timer,TF_Tekniker,AB$4,TF_Dato,$A930))*2,0)/2)))</f>
        <v/>
      </c>
      <c r="AC930">
        <f>IF(OR(AC$4="",$A930&gt;TODAY()),0,IF(OR(INDEX($B930:$D930,AC$5)="F",AND(AC$6&gt;0,$A930&lt;AC$6),AND(AC$7&gt;0,$A930&gt;AC$7)),0,MAX(0,ROUND((INDEX($E930:$G930,AC$5)-SUMIFS(TF_Timer,TF_Tekniker,AC$4,TF_Dato,$A930))*2,0)/2)))</f>
        <v/>
      </c>
      <c r="AD930">
        <f>IF(OR(AD$4="",$A930&gt;TODAY()),0,IF(OR(INDEX($B930:$D930,AD$5)="F",AND(AD$6&gt;0,$A930&lt;AD$6),AND(AD$7&gt;0,$A930&gt;AD$7)),0,MAX(0,ROUND((INDEX($E930:$G930,AD$5)-SUMIFS(TF_Timer,TF_Tekniker,AD$4,TF_Dato,$A930))*2,0)/2)))</f>
        <v/>
      </c>
      <c r="AE930">
        <f>IF(OR(AE$4="",$A930&gt;TODAY()),0,IF(OR(INDEX($B930:$D930,AE$5)="F",AND(AE$6&gt;0,$A930&lt;AE$6),AND(AE$7&gt;0,$A930&gt;AE$7)),0,MAX(0,ROUND((INDEX($E930:$G930,AE$5)-SUMIFS(TF_Timer,TF_Tekniker,AE$4,TF_Dato,$A930))*2,0)/2)))</f>
        <v/>
      </c>
      <c r="AF930">
        <f>IF(OR(AF$4="",$A930&gt;TODAY()),0,IF(OR(INDEX($B930:$D930,AF$5)="F",AND(AF$6&gt;0,$A930&lt;AF$6),AND(AF$7&gt;0,$A930&gt;AF$7)),0,MAX(0,ROUND((INDEX($E930:$G930,AF$5)-SUMIFS(TF_Timer,TF_Tekniker,AF$4,TF_Dato,$A930))*2,0)/2)))</f>
        <v/>
      </c>
      <c r="AG930">
        <f>IF(OR(AG$4="",$A930&gt;TODAY()),0,IF(OR(INDEX($B930:$D930,AG$5)="F",AND(AG$6&gt;0,$A930&lt;AG$6),AND(AG$7&gt;0,$A930&gt;AG$7)),0,MAX(0,ROUND((INDEX($E930:$G930,AG$5)-SUMIFS(TF_Timer,TF_Tekniker,AG$4,TF_Dato,$A930))*2,0)/2)))</f>
        <v/>
      </c>
      <c r="AH930">
        <f>IF(OR(AH$4="",$A930&gt;TODAY()),0,IF(OR(INDEX($B930:$D930,AH$5)="F",AND(AH$6&gt;0,$A930&lt;AH$6),AND(AH$7&gt;0,$A930&gt;AH$7)),0,MAX(0,ROUND((INDEX($E930:$G930,AH$5)-SUMIFS(TF_Timer,TF_Tekniker,AH$4,TF_Dato,$A930))*2,0)/2)))</f>
        <v/>
      </c>
      <c r="AI930">
        <f>IF(OR(AI$4="",$A930&gt;TODAY()),0,IF(OR(INDEX($B930:$D930,AI$5)="F",AND(AI$6&gt;0,$A930&lt;AI$6),AND(AI$7&gt;0,$A930&gt;AI$7)),0,MAX(0,ROUND((INDEX($E930:$G930,AI$5)-SUMIFS(TF_Timer,TF_Tekniker,AI$4,TF_Dato,$A930))*2,0)/2)))</f>
        <v/>
      </c>
      <c r="AJ930">
        <f>IF(OR(AJ$4="",$A930&gt;TODAY()),0,IF(OR(INDEX($B930:$D930,AJ$5)="F",AND(AJ$6&gt;0,$A930&lt;AJ$6),AND(AJ$7&gt;0,$A930&gt;AJ$7)),0,MAX(0,ROUND((INDEX($E930:$G930,AJ$5)-SUMIFS(TF_Timer,TF_Tekniker,AJ$4,TF_Dato,$A930))*2,0)/2)))</f>
        <v/>
      </c>
      <c r="AK930">
        <f>IF(OR(AK$4="",$A930&gt;TODAY()),0,IF(OR(INDEX($B930:$D930,AK$5)="F",AND(AK$6&gt;0,$A930&lt;AK$6),AND(AK$7&gt;0,$A930&gt;AK$7)),0,MAX(0,ROUND((INDEX($E930:$G930,AK$5)-SUMIFS(TF_Timer,TF_Tekniker,AK$4,TF_Dato,$A930))*2,0)/2)))</f>
        <v/>
      </c>
      <c r="AL930">
        <f>IF(OR(AL$4="",$A930&gt;TODAY()),0,IF(OR(INDEX($B930:$D930,AL$5)="F",AND(AL$6&gt;0,$A930&lt;AL$6),AND(AL$7&gt;0,$A930&gt;AL$7)),0,MAX(0,ROUND((INDEX($E930:$G930,AL$5)-SUMIFS(TF_Timer,TF_Tekniker,AL$4,TF_Dato,$A930))*2,0)/2)))</f>
        <v/>
      </c>
      <c r="AM930">
        <f>IF(OR(AM$4="",$A930&gt;TODAY()),0,IF(OR(INDEX($B930:$D930,AM$5)="F",AND(AM$6&gt;0,$A930&lt;AM$6),AND(AM$7&gt;0,$A930&gt;AM$7)),0,MAX(0,ROUND((INDEX($E930:$G930,AM$5)-SUMIFS(TF_Timer,TF_Tekniker,AM$4,TF_Dato,$A930))*2,0)/2)))</f>
        <v/>
      </c>
      <c r="AN930">
        <f>IF(OR(AN$4="",$A930&gt;TODAY()),0,IF(OR(INDEX($B930:$D930,AN$5)="F",AND(AN$6&gt;0,$A930&lt;AN$6),AND(AN$7&gt;0,$A930&gt;AN$7)),0,MAX(0,ROUND((INDEX($E930:$G930,AN$5)-SUMIFS(TF_Timer,TF_Tekniker,AN$4,TF_Dato,$A930))*2,0)/2)))</f>
        <v/>
      </c>
      <c r="AO930">
        <f>IF(OR(AO$4="",$A930&gt;TODAY()),0,IF(OR(INDEX($B930:$D930,AO$5)="F",AND(AO$6&gt;0,$A930&lt;AO$6),AND(AO$7&gt;0,$A930&gt;AO$7)),0,MAX(0,ROUND((INDEX($E930:$G930,AO$5)-SUMIFS(TF_Timer,TF_Tekniker,AO$4,TF_Dato,$A930))*2,0)/2)))</f>
        <v/>
      </c>
      <c r="AP930">
        <f>IF(OR(AP$4="",$A930&gt;TODAY()),0,IF(OR(INDEX($B930:$D930,AP$5)="F",AND(AP$6&gt;0,$A930&lt;AP$6),AND(AP$7&gt;0,$A930&gt;AP$7)),0,MAX(0,ROUND((INDEX($E930:$G930,AP$5)-SUMIFS(TF_Timer,TF_Tekniker,AP$4,TF_Dato,$A930))*2,0)/2)))</f>
        <v/>
      </c>
      <c r="AQ930">
        <f>IF(OR(AQ$4="",$A930&gt;TODAY()),0,IF(OR(INDEX($B930:$D930,AQ$5)="F",AND(AQ$6&gt;0,$A930&lt;AQ$6),AND(AQ$7&gt;0,$A930&gt;AQ$7)),0,MAX(0,ROUND((INDEX($E930:$G930,AQ$5)-SUMIFS(TF_Timer,TF_Tekniker,AQ$4,TF_Dato,$A930))*2,0)/2)))</f>
        <v/>
      </c>
      <c r="AR930">
        <f>IF(OR(AR$4="",$A930&gt;TODAY()),0,IF(OR(INDEX($B930:$D930,AR$5)="F",AND(AR$6&gt;0,$A930&lt;AR$6),AND(AR$7&gt;0,$A930&gt;AR$7)),0,MAX(0,ROUND((INDEX($E930:$G930,AR$5)-SUMIFS(TF_Timer,TF_Tekniker,AR$4,TF_Dato,$A930))*2,0)/2)))</f>
        <v/>
      </c>
      <c r="AS930">
        <f>IF(OR(AS$4="",$A930&gt;TODAY()),0,IF(OR(INDEX($B930:$D930,AS$5)="F",AND(AS$6&gt;0,$A930&lt;AS$6),AND(AS$7&gt;0,$A930&gt;AS$7)),0,MAX(0,ROUND((INDEX($E930:$G930,AS$5)-SUMIFS(TF_Timer,TF_Tekniker,AS$4,TF_Dato,$A930))*2,0)/2)))</f>
        <v/>
      </c>
      <c r="AT930">
        <f>IF(OR(AT$4="",$A930&gt;TODAY()),0,IF(OR(INDEX($B930:$D930,AT$5)="F",AND(AT$6&gt;0,$A930&lt;AT$6),AND(AT$7&gt;0,$A930&gt;AT$7)),0,MAX(0,ROUND((INDEX($E930:$G930,AT$5)-SUMIFS(TF_Timer,TF_Tekniker,AT$4,TF_Dato,$A930))*2,0)/2)))</f>
        <v/>
      </c>
      <c r="AU930">
        <f>IF(OR(AU$4="",$A930&gt;TODAY()),0,IF(OR(INDEX($B930:$D930,AU$5)="F",AND(AU$6&gt;0,$A930&lt;AU$6),AND(AU$7&gt;0,$A930&gt;AU$7)),0,MAX(0,ROUND((INDEX($E930:$G930,AU$5)-SUMIFS(TF_Timer,TF_Tekniker,AU$4,TF_Dato,$A930))*2,0)/2)))</f>
        <v/>
      </c>
      <c r="AV930">
        <f>IF(OR(AV$4="",$A930&gt;TODAY()),0,IF(OR(INDEX($B930:$D930,AV$5)="F",AND(AV$6&gt;0,$A930&lt;AV$6),AND(AV$7&gt;0,$A930&gt;AV$7)),0,MAX(0,ROUND((INDEX($E930:$G930,AV$5)-SUMIFS(TF_Timer,TF_Tekniker,AV$4,TF_Dato,$A930))*2,0)/2)))</f>
        <v/>
      </c>
      <c r="AW930">
        <f>IF(OR(AW$4="",$A930&gt;TODAY()),0,IF(OR(INDEX($B930:$D930,AW$5)="F",AND(AW$6&gt;0,$A930&lt;AW$6),AND(AW$7&gt;0,$A930&gt;AW$7)),0,MAX(0,ROUND((INDEX($E930:$G930,AW$5)-SUMIFS(TF_Timer,TF_Tekniker,AW$4,TF_Dato,$A930))*2,0)/2)))</f>
        <v/>
      </c>
      <c r="AX930">
        <f>IF(OR(AX$4="",$A930&gt;TODAY()),0,IF(OR(INDEX($B930:$D930,AX$5)="F",AND(AX$6&gt;0,$A930&lt;AX$6),AND(AX$7&gt;0,$A930&gt;AX$7)),0,MAX(0,ROUND((INDEX($E930:$G930,AX$5)-SUMIFS(TF_Timer,TF_Tekniker,AX$4,TF_Dato,$A930))*2,0)/2)))</f>
        <v/>
      </c>
      <c r="AY930">
        <f>IF(OR(AY$4="",$A930&gt;TODAY()),0,IF(OR(INDEX($B930:$D930,AY$5)="F",AND(AY$6&gt;0,$A930&lt;AY$6),AND(AY$7&gt;0,$A930&gt;AY$7)),0,MAX(0,ROUND((INDEX($E930:$G930,AY$5)-SUMIFS(TF_Timer,TF_Tekniker,AY$4,TF_Dato,$A930))*2,0)/2)))</f>
        <v/>
      </c>
      <c r="AZ930">
        <f>IF(OR(AZ$4="",$A930&gt;TODAY()),0,IF(OR(INDEX($B930:$D930,AZ$5)="F",AND(AZ$6&gt;0,$A930&lt;AZ$6),AND(AZ$7&gt;0,$A930&gt;AZ$7)),0,MAX(0,ROUND((INDEX($E930:$G930,AZ$5)-SUMIFS(TF_Timer,TF_Tekniker,AZ$4,TF_Dato,$A930))*2,0)/2)))</f>
        <v/>
      </c>
      <c r="BA930">
        <f>IF(OR(BA$4="",$A930&gt;TODAY()),0,IF(OR(INDEX($B930:$D930,BA$5)="F",AND(BA$6&gt;0,$A930&lt;BA$6),AND(BA$7&gt;0,$A930&gt;BA$7)),0,MAX(0,ROUND((INDEX($E930:$G930,BA$5)-SUMIFS(TF_Timer,TF_Tekniker,BA$4,TF_Dato,$A930))*2,0)/2)))</f>
        <v/>
      </c>
      <c r="BB930">
        <f>IF(OR(BB$4="",$A930&gt;TODAY()),0,IF(OR(INDEX($B930:$D930,BB$5)="F",AND(BB$6&gt;0,$A930&lt;BB$6),AND(BB$7&gt;0,$A930&gt;BB$7)),0,MAX(0,ROUND((INDEX($E930:$G930,BB$5)-SUMIFS(TF_Timer,TF_Tekniker,BB$4,TF_Dato,$A930))*2,0)/2)))</f>
        <v/>
      </c>
      <c r="BC930">
        <f>IF(OR(BC$4="",$A930&gt;TODAY()),0,IF(OR(INDEX($B930:$D930,BC$5)="F",AND(BC$6&gt;0,$A930&lt;BC$6),AND(BC$7&gt;0,$A930&gt;BC$7)),0,MAX(0,ROUND((INDEX($E930:$G930,BC$5)-SUMIFS(TF_Timer,TF_Tekniker,BC$4,TF_Dato,$A930))*2,0)/2)))</f>
        <v/>
      </c>
      <c r="BD930">
        <f>IF(OR(BD$4="",$A930&gt;TODAY()),0,IF(OR(INDEX($B930:$D930,BD$5)="F",AND(BD$6&gt;0,$A930&lt;BD$6),AND(BD$7&gt;0,$A930&gt;BD$7)),0,MAX(0,ROUND((INDEX($E930:$G930,BD$5)-SUMIFS(TF_Timer,TF_Tekniker,BD$4,TF_Dato,$A930))*2,0)/2)))</f>
        <v/>
      </c>
      <c r="BE930">
        <f>IF(OR(BE$4="",$A930&gt;TODAY()),0,IF(OR(INDEX($B930:$D930,BE$5)="F",AND(BE$6&gt;0,$A930&lt;BE$6),AND(BE$7&gt;0,$A930&gt;BE$7)),0,MAX(0,ROUND((INDEX($E930:$G930,BE$5)-SUMIFS(TF_Timer,TF_Tekniker,BE$4,TF_Dato,$A930))*2,0)/2)))</f>
        <v/>
      </c>
      <c r="BF930">
        <f>IF(OR(BF$4="",$A930&gt;TODAY()),0,IF(OR(INDEX($B930:$D930,BF$5)="F",AND(BF$6&gt;0,$A930&lt;BF$6),AND(BF$7&gt;0,$A930&gt;BF$7)),0,MAX(0,ROUND((INDEX($E930:$G930,BF$5)-SUMIFS(TF_Timer,TF_Tekniker,BF$4,TF_Dato,$A930))*2,0)/2)))</f>
        <v/>
      </c>
      <c r="BG930">
        <f>IF(OR(BG$4="",$A930&gt;TODAY()),0,IF(OR(INDEX($B930:$D930,BG$5)="F",AND(BG$6&gt;0,$A930&lt;BG$6),AND(BG$7&gt;0,$A930&gt;BG$7)),0,MAX(0,ROUND((INDEX($E930:$G930,BG$5)-SUMIFS(TF_Timer,TF_Tekniker,BG$4,TF_Dato,$A930))*2,0)/2)))</f>
        <v/>
      </c>
      <c r="BH930">
        <f>IF(OR(BH$4="",$A930&gt;TODAY()),0,IF(OR(INDEX($B930:$D930,BH$5)="F",AND(BH$6&gt;0,$A930&lt;BH$6),AND(BH$7&gt;0,$A930&gt;BH$7)),0,MAX(0,ROUND((INDEX($E930:$G930,BH$5)-SUMIFS(TF_Timer,TF_Tekniker,BH$4,TF_Dato,$A930))*2,0)/2)))</f>
        <v/>
      </c>
      <c r="BI930">
        <f>IF(OR(BI$4="",$A930&gt;TODAY()),0,IF(OR(INDEX($B930:$D930,BI$5)="F",AND(BI$6&gt;0,$A930&lt;BI$6),AND(BI$7&gt;0,$A930&gt;BI$7)),0,MAX(0,ROUND((INDEX($E930:$G930,BI$5)-SUMIFS(TF_Timer,TF_Tekniker,BI$4,TF_Dato,$A930))*2,0)/2)))</f>
        <v/>
      </c>
    </row>
    <row r="931">
      <c r="A931" s="64">
        <f>A930+1</f>
        <v/>
      </c>
      <c r="B931">
        <f>IF(MOD($A931-INDEX(SkiftStart,1),Syklus)&lt;DagK,"K",IF(MOD($A931-INDEX(SkiftStart,1),Syklus)&lt;DagK+DagH,"H",IF(MOD($A931-INDEX(SkiftStart,1),Syklus)&lt;DagK+DagH+DagD,"D","F")))</f>
        <v/>
      </c>
      <c r="C931">
        <f>IF(MOD($A931-INDEX(SkiftStart,2),Syklus)&lt;DagK,"K",IF(MOD($A931-INDEX(SkiftStart,2),Syklus)&lt;DagK+DagH,"H",IF(MOD($A931-INDEX(SkiftStart,2),Syklus)&lt;DagK+DagH+DagD,"D","F")))</f>
        <v/>
      </c>
      <c r="D931">
        <f>IF(MOD($A931-INDEX(SkiftStart,3),Syklus)&lt;DagK,"K",IF(MOD($A931-INDEX(SkiftStart,3),Syklus)&lt;DagK+DagH,"H",IF(MOD($A931-INDEX(SkiftStart,3),Syklus)&lt;DagK+DagH+DagD,"D","F")))</f>
        <v/>
      </c>
      <c r="E931">
        <f>IF(B931="F",0,IF(WEEKDAY($A931,2)=5,INDEX(TimerFr,MATCH(B931,FaseKode,0)),INDEX(TimerMT,MATCH(B931,FaseKode,0))))</f>
        <v/>
      </c>
      <c r="F931">
        <f>IF(C931="F",0,IF(WEEKDAY($A931,2)=5,INDEX(TimerFr,MATCH(C931,FaseKode,0)),INDEX(TimerMT,MATCH(C931,FaseKode,0))))</f>
        <v/>
      </c>
      <c r="G931">
        <f>IF(D931="F",0,IF(WEEKDAY($A931,2)=5,INDEX(TimerFr,MATCH(D931,FaseKode,0)),INDEX(TimerMT,MATCH(D931,FaseKode,0))))</f>
        <v/>
      </c>
      <c r="H931">
        <f>IF(OR(H$4="",$A931&gt;TODAY()),0,IF(OR(INDEX($B931:$D931,H$5)="F",AND(H$6&gt;0,$A931&lt;H$6),AND(H$7&gt;0,$A931&gt;H$7)),0,MAX(0,ROUND((INDEX($E931:$G931,H$5)-SUMIFS(TF_Timer,TF_Tekniker,H$4,TF_Dato,$A931))*2,0)/2)))</f>
        <v/>
      </c>
      <c r="I931">
        <f>IF(OR(I$4="",$A931&gt;TODAY()),0,IF(OR(INDEX($B931:$D931,I$5)="F",AND(I$6&gt;0,$A931&lt;I$6),AND(I$7&gt;0,$A931&gt;I$7)),0,MAX(0,ROUND((INDEX($E931:$G931,I$5)-SUMIFS(TF_Timer,TF_Tekniker,I$4,TF_Dato,$A931))*2,0)/2)))</f>
        <v/>
      </c>
      <c r="J931">
        <f>IF(OR(J$4="",$A931&gt;TODAY()),0,IF(OR(INDEX($B931:$D931,J$5)="F",AND(J$6&gt;0,$A931&lt;J$6),AND(J$7&gt;0,$A931&gt;J$7)),0,MAX(0,ROUND((INDEX($E931:$G931,J$5)-SUMIFS(TF_Timer,TF_Tekniker,J$4,TF_Dato,$A931))*2,0)/2)))</f>
        <v/>
      </c>
      <c r="K931">
        <f>IF(OR(K$4="",$A931&gt;TODAY()),0,IF(OR(INDEX($B931:$D931,K$5)="F",AND(K$6&gt;0,$A931&lt;K$6),AND(K$7&gt;0,$A931&gt;K$7)),0,MAX(0,ROUND((INDEX($E931:$G931,K$5)-SUMIFS(TF_Timer,TF_Tekniker,K$4,TF_Dato,$A931))*2,0)/2)))</f>
        <v/>
      </c>
      <c r="L931">
        <f>IF(OR(L$4="",$A931&gt;TODAY()),0,IF(OR(INDEX($B931:$D931,L$5)="F",AND(L$6&gt;0,$A931&lt;L$6),AND(L$7&gt;0,$A931&gt;L$7)),0,MAX(0,ROUND((INDEX($E931:$G931,L$5)-SUMIFS(TF_Timer,TF_Tekniker,L$4,TF_Dato,$A931))*2,0)/2)))</f>
        <v/>
      </c>
      <c r="M931">
        <f>IF(OR(M$4="",$A931&gt;TODAY()),0,IF(OR(INDEX($B931:$D931,M$5)="F",AND(M$6&gt;0,$A931&lt;M$6),AND(M$7&gt;0,$A931&gt;M$7)),0,MAX(0,ROUND((INDEX($E931:$G931,M$5)-SUMIFS(TF_Timer,TF_Tekniker,M$4,TF_Dato,$A931))*2,0)/2)))</f>
        <v/>
      </c>
      <c r="N931">
        <f>IF(OR(N$4="",$A931&gt;TODAY()),0,IF(OR(INDEX($B931:$D931,N$5)="F",AND(N$6&gt;0,$A931&lt;N$6),AND(N$7&gt;0,$A931&gt;N$7)),0,MAX(0,ROUND((INDEX($E931:$G931,N$5)-SUMIFS(TF_Timer,TF_Tekniker,N$4,TF_Dato,$A931))*2,0)/2)))</f>
        <v/>
      </c>
      <c r="O931">
        <f>IF(OR(O$4="",$A931&gt;TODAY()),0,IF(OR(INDEX($B931:$D931,O$5)="F",AND(O$6&gt;0,$A931&lt;O$6),AND(O$7&gt;0,$A931&gt;O$7)),0,MAX(0,ROUND((INDEX($E931:$G931,O$5)-SUMIFS(TF_Timer,TF_Tekniker,O$4,TF_Dato,$A931))*2,0)/2)))</f>
        <v/>
      </c>
      <c r="P931">
        <f>IF(OR(P$4="",$A931&gt;TODAY()),0,IF(OR(INDEX($B931:$D931,P$5)="F",AND(P$6&gt;0,$A931&lt;P$6),AND(P$7&gt;0,$A931&gt;P$7)),0,MAX(0,ROUND((INDEX($E931:$G931,P$5)-SUMIFS(TF_Timer,TF_Tekniker,P$4,TF_Dato,$A931))*2,0)/2)))</f>
        <v/>
      </c>
      <c r="Q931">
        <f>IF(OR(Q$4="",$A931&gt;TODAY()),0,IF(OR(INDEX($B931:$D931,Q$5)="F",AND(Q$6&gt;0,$A931&lt;Q$6),AND(Q$7&gt;0,$A931&gt;Q$7)),0,MAX(0,ROUND((INDEX($E931:$G931,Q$5)-SUMIFS(TF_Timer,TF_Tekniker,Q$4,TF_Dato,$A931))*2,0)/2)))</f>
        <v/>
      </c>
      <c r="R931">
        <f>IF(OR(R$4="",$A931&gt;TODAY()),0,IF(OR(INDEX($B931:$D931,R$5)="F",AND(R$6&gt;0,$A931&lt;R$6),AND(R$7&gt;0,$A931&gt;R$7)),0,MAX(0,ROUND((INDEX($E931:$G931,R$5)-SUMIFS(TF_Timer,TF_Tekniker,R$4,TF_Dato,$A931))*2,0)/2)))</f>
        <v/>
      </c>
      <c r="S931">
        <f>IF(OR(S$4="",$A931&gt;TODAY()),0,IF(OR(INDEX($B931:$D931,S$5)="F",AND(S$6&gt;0,$A931&lt;S$6),AND(S$7&gt;0,$A931&gt;S$7)),0,MAX(0,ROUND((INDEX($E931:$G931,S$5)-SUMIFS(TF_Timer,TF_Tekniker,S$4,TF_Dato,$A931))*2,0)/2)))</f>
        <v/>
      </c>
      <c r="T931">
        <f>IF(OR(T$4="",$A931&gt;TODAY()),0,IF(OR(INDEX($B931:$D931,T$5)="F",AND(T$6&gt;0,$A931&lt;T$6),AND(T$7&gt;0,$A931&gt;T$7)),0,MAX(0,ROUND((INDEX($E931:$G931,T$5)-SUMIFS(TF_Timer,TF_Tekniker,T$4,TF_Dato,$A931))*2,0)/2)))</f>
        <v/>
      </c>
      <c r="U931">
        <f>IF(OR(U$4="",$A931&gt;TODAY()),0,IF(OR(INDEX($B931:$D931,U$5)="F",AND(U$6&gt;0,$A931&lt;U$6),AND(U$7&gt;0,$A931&gt;U$7)),0,MAX(0,ROUND((INDEX($E931:$G931,U$5)-SUMIFS(TF_Timer,TF_Tekniker,U$4,TF_Dato,$A931))*2,0)/2)))</f>
        <v/>
      </c>
      <c r="V931">
        <f>IF(OR(V$4="",$A931&gt;TODAY()),0,IF(OR(INDEX($B931:$D931,V$5)="F",AND(V$6&gt;0,$A931&lt;V$6),AND(V$7&gt;0,$A931&gt;V$7)),0,MAX(0,ROUND((INDEX($E931:$G931,V$5)-SUMIFS(TF_Timer,TF_Tekniker,V$4,TF_Dato,$A931))*2,0)/2)))</f>
        <v/>
      </c>
      <c r="W931">
        <f>IF(OR(W$4="",$A931&gt;TODAY()),0,IF(OR(INDEX($B931:$D931,W$5)="F",AND(W$6&gt;0,$A931&lt;W$6),AND(W$7&gt;0,$A931&gt;W$7)),0,MAX(0,ROUND((INDEX($E931:$G931,W$5)-SUMIFS(TF_Timer,TF_Tekniker,W$4,TF_Dato,$A931))*2,0)/2)))</f>
        <v/>
      </c>
      <c r="X931">
        <f>IF(OR(X$4="",$A931&gt;TODAY()),0,IF(OR(INDEX($B931:$D931,X$5)="F",AND(X$6&gt;0,$A931&lt;X$6),AND(X$7&gt;0,$A931&gt;X$7)),0,MAX(0,ROUND((INDEX($E931:$G931,X$5)-SUMIFS(TF_Timer,TF_Tekniker,X$4,TF_Dato,$A931))*2,0)/2)))</f>
        <v/>
      </c>
      <c r="Y931">
        <f>IF(OR(Y$4="",$A931&gt;TODAY()),0,IF(OR(INDEX($B931:$D931,Y$5)="F",AND(Y$6&gt;0,$A931&lt;Y$6),AND(Y$7&gt;0,$A931&gt;Y$7)),0,MAX(0,ROUND((INDEX($E931:$G931,Y$5)-SUMIFS(TF_Timer,TF_Tekniker,Y$4,TF_Dato,$A931))*2,0)/2)))</f>
        <v/>
      </c>
      <c r="Z931">
        <f>IF(OR(Z$4="",$A931&gt;TODAY()),0,IF(OR(INDEX($B931:$D931,Z$5)="F",AND(Z$6&gt;0,$A931&lt;Z$6),AND(Z$7&gt;0,$A931&gt;Z$7)),0,MAX(0,ROUND((INDEX($E931:$G931,Z$5)-SUMIFS(TF_Timer,TF_Tekniker,Z$4,TF_Dato,$A931))*2,0)/2)))</f>
        <v/>
      </c>
      <c r="AA931">
        <f>IF(OR(AA$4="",$A931&gt;TODAY()),0,IF(OR(INDEX($B931:$D931,AA$5)="F",AND(AA$6&gt;0,$A931&lt;AA$6),AND(AA$7&gt;0,$A931&gt;AA$7)),0,MAX(0,ROUND((INDEX($E931:$G931,AA$5)-SUMIFS(TF_Timer,TF_Tekniker,AA$4,TF_Dato,$A931))*2,0)/2)))</f>
        <v/>
      </c>
      <c r="AB931">
        <f>IF(OR(AB$4="",$A931&gt;TODAY()),0,IF(OR(INDEX($B931:$D931,AB$5)="F",AND(AB$6&gt;0,$A931&lt;AB$6),AND(AB$7&gt;0,$A931&gt;AB$7)),0,MAX(0,ROUND((INDEX($E931:$G931,AB$5)-SUMIFS(TF_Timer,TF_Tekniker,AB$4,TF_Dato,$A931))*2,0)/2)))</f>
        <v/>
      </c>
      <c r="AC931">
        <f>IF(OR(AC$4="",$A931&gt;TODAY()),0,IF(OR(INDEX($B931:$D931,AC$5)="F",AND(AC$6&gt;0,$A931&lt;AC$6),AND(AC$7&gt;0,$A931&gt;AC$7)),0,MAX(0,ROUND((INDEX($E931:$G931,AC$5)-SUMIFS(TF_Timer,TF_Tekniker,AC$4,TF_Dato,$A931))*2,0)/2)))</f>
        <v/>
      </c>
      <c r="AD931">
        <f>IF(OR(AD$4="",$A931&gt;TODAY()),0,IF(OR(INDEX($B931:$D931,AD$5)="F",AND(AD$6&gt;0,$A931&lt;AD$6),AND(AD$7&gt;0,$A931&gt;AD$7)),0,MAX(0,ROUND((INDEX($E931:$G931,AD$5)-SUMIFS(TF_Timer,TF_Tekniker,AD$4,TF_Dato,$A931))*2,0)/2)))</f>
        <v/>
      </c>
      <c r="AE931">
        <f>IF(OR(AE$4="",$A931&gt;TODAY()),0,IF(OR(INDEX($B931:$D931,AE$5)="F",AND(AE$6&gt;0,$A931&lt;AE$6),AND(AE$7&gt;0,$A931&gt;AE$7)),0,MAX(0,ROUND((INDEX($E931:$G931,AE$5)-SUMIFS(TF_Timer,TF_Tekniker,AE$4,TF_Dato,$A931))*2,0)/2)))</f>
        <v/>
      </c>
      <c r="AF931">
        <f>IF(OR(AF$4="",$A931&gt;TODAY()),0,IF(OR(INDEX($B931:$D931,AF$5)="F",AND(AF$6&gt;0,$A931&lt;AF$6),AND(AF$7&gt;0,$A931&gt;AF$7)),0,MAX(0,ROUND((INDEX($E931:$G931,AF$5)-SUMIFS(TF_Timer,TF_Tekniker,AF$4,TF_Dato,$A931))*2,0)/2)))</f>
        <v/>
      </c>
      <c r="AG931">
        <f>IF(OR(AG$4="",$A931&gt;TODAY()),0,IF(OR(INDEX($B931:$D931,AG$5)="F",AND(AG$6&gt;0,$A931&lt;AG$6),AND(AG$7&gt;0,$A931&gt;AG$7)),0,MAX(0,ROUND((INDEX($E931:$G931,AG$5)-SUMIFS(TF_Timer,TF_Tekniker,AG$4,TF_Dato,$A931))*2,0)/2)))</f>
        <v/>
      </c>
      <c r="AH931">
        <f>IF(OR(AH$4="",$A931&gt;TODAY()),0,IF(OR(INDEX($B931:$D931,AH$5)="F",AND(AH$6&gt;0,$A931&lt;AH$6),AND(AH$7&gt;0,$A931&gt;AH$7)),0,MAX(0,ROUND((INDEX($E931:$G931,AH$5)-SUMIFS(TF_Timer,TF_Tekniker,AH$4,TF_Dato,$A931))*2,0)/2)))</f>
        <v/>
      </c>
      <c r="AI931">
        <f>IF(OR(AI$4="",$A931&gt;TODAY()),0,IF(OR(INDEX($B931:$D931,AI$5)="F",AND(AI$6&gt;0,$A931&lt;AI$6),AND(AI$7&gt;0,$A931&gt;AI$7)),0,MAX(0,ROUND((INDEX($E931:$G931,AI$5)-SUMIFS(TF_Timer,TF_Tekniker,AI$4,TF_Dato,$A931))*2,0)/2)))</f>
        <v/>
      </c>
      <c r="AJ931">
        <f>IF(OR(AJ$4="",$A931&gt;TODAY()),0,IF(OR(INDEX($B931:$D931,AJ$5)="F",AND(AJ$6&gt;0,$A931&lt;AJ$6),AND(AJ$7&gt;0,$A931&gt;AJ$7)),0,MAX(0,ROUND((INDEX($E931:$G931,AJ$5)-SUMIFS(TF_Timer,TF_Tekniker,AJ$4,TF_Dato,$A931))*2,0)/2)))</f>
        <v/>
      </c>
      <c r="AK931">
        <f>IF(OR(AK$4="",$A931&gt;TODAY()),0,IF(OR(INDEX($B931:$D931,AK$5)="F",AND(AK$6&gt;0,$A931&lt;AK$6),AND(AK$7&gt;0,$A931&gt;AK$7)),0,MAX(0,ROUND((INDEX($E931:$G931,AK$5)-SUMIFS(TF_Timer,TF_Tekniker,AK$4,TF_Dato,$A931))*2,0)/2)))</f>
        <v/>
      </c>
      <c r="AL931">
        <f>IF(OR(AL$4="",$A931&gt;TODAY()),0,IF(OR(INDEX($B931:$D931,AL$5)="F",AND(AL$6&gt;0,$A931&lt;AL$6),AND(AL$7&gt;0,$A931&gt;AL$7)),0,MAX(0,ROUND((INDEX($E931:$G931,AL$5)-SUMIFS(TF_Timer,TF_Tekniker,AL$4,TF_Dato,$A931))*2,0)/2)))</f>
        <v/>
      </c>
      <c r="AM931">
        <f>IF(OR(AM$4="",$A931&gt;TODAY()),0,IF(OR(INDEX($B931:$D931,AM$5)="F",AND(AM$6&gt;0,$A931&lt;AM$6),AND(AM$7&gt;0,$A931&gt;AM$7)),0,MAX(0,ROUND((INDEX($E931:$G931,AM$5)-SUMIFS(TF_Timer,TF_Tekniker,AM$4,TF_Dato,$A931))*2,0)/2)))</f>
        <v/>
      </c>
      <c r="AN931">
        <f>IF(OR(AN$4="",$A931&gt;TODAY()),0,IF(OR(INDEX($B931:$D931,AN$5)="F",AND(AN$6&gt;0,$A931&lt;AN$6),AND(AN$7&gt;0,$A931&gt;AN$7)),0,MAX(0,ROUND((INDEX($E931:$G931,AN$5)-SUMIFS(TF_Timer,TF_Tekniker,AN$4,TF_Dato,$A931))*2,0)/2)))</f>
        <v/>
      </c>
      <c r="AO931">
        <f>IF(OR(AO$4="",$A931&gt;TODAY()),0,IF(OR(INDEX($B931:$D931,AO$5)="F",AND(AO$6&gt;0,$A931&lt;AO$6),AND(AO$7&gt;0,$A931&gt;AO$7)),0,MAX(0,ROUND((INDEX($E931:$G931,AO$5)-SUMIFS(TF_Timer,TF_Tekniker,AO$4,TF_Dato,$A931))*2,0)/2)))</f>
        <v/>
      </c>
      <c r="AP931">
        <f>IF(OR(AP$4="",$A931&gt;TODAY()),0,IF(OR(INDEX($B931:$D931,AP$5)="F",AND(AP$6&gt;0,$A931&lt;AP$6),AND(AP$7&gt;0,$A931&gt;AP$7)),0,MAX(0,ROUND((INDEX($E931:$G931,AP$5)-SUMIFS(TF_Timer,TF_Tekniker,AP$4,TF_Dato,$A931))*2,0)/2)))</f>
        <v/>
      </c>
      <c r="AQ931">
        <f>IF(OR(AQ$4="",$A931&gt;TODAY()),0,IF(OR(INDEX($B931:$D931,AQ$5)="F",AND(AQ$6&gt;0,$A931&lt;AQ$6),AND(AQ$7&gt;0,$A931&gt;AQ$7)),0,MAX(0,ROUND((INDEX($E931:$G931,AQ$5)-SUMIFS(TF_Timer,TF_Tekniker,AQ$4,TF_Dato,$A931))*2,0)/2)))</f>
        <v/>
      </c>
      <c r="AR931">
        <f>IF(OR(AR$4="",$A931&gt;TODAY()),0,IF(OR(INDEX($B931:$D931,AR$5)="F",AND(AR$6&gt;0,$A931&lt;AR$6),AND(AR$7&gt;0,$A931&gt;AR$7)),0,MAX(0,ROUND((INDEX($E931:$G931,AR$5)-SUMIFS(TF_Timer,TF_Tekniker,AR$4,TF_Dato,$A931))*2,0)/2)))</f>
        <v/>
      </c>
      <c r="AS931">
        <f>IF(OR(AS$4="",$A931&gt;TODAY()),0,IF(OR(INDEX($B931:$D931,AS$5)="F",AND(AS$6&gt;0,$A931&lt;AS$6),AND(AS$7&gt;0,$A931&gt;AS$7)),0,MAX(0,ROUND((INDEX($E931:$G931,AS$5)-SUMIFS(TF_Timer,TF_Tekniker,AS$4,TF_Dato,$A931))*2,0)/2)))</f>
        <v/>
      </c>
      <c r="AT931">
        <f>IF(OR(AT$4="",$A931&gt;TODAY()),0,IF(OR(INDEX($B931:$D931,AT$5)="F",AND(AT$6&gt;0,$A931&lt;AT$6),AND(AT$7&gt;0,$A931&gt;AT$7)),0,MAX(0,ROUND((INDEX($E931:$G931,AT$5)-SUMIFS(TF_Timer,TF_Tekniker,AT$4,TF_Dato,$A931))*2,0)/2)))</f>
        <v/>
      </c>
      <c r="AU931">
        <f>IF(OR(AU$4="",$A931&gt;TODAY()),0,IF(OR(INDEX($B931:$D931,AU$5)="F",AND(AU$6&gt;0,$A931&lt;AU$6),AND(AU$7&gt;0,$A931&gt;AU$7)),0,MAX(0,ROUND((INDEX($E931:$G931,AU$5)-SUMIFS(TF_Timer,TF_Tekniker,AU$4,TF_Dato,$A931))*2,0)/2)))</f>
        <v/>
      </c>
      <c r="AV931">
        <f>IF(OR(AV$4="",$A931&gt;TODAY()),0,IF(OR(INDEX($B931:$D931,AV$5)="F",AND(AV$6&gt;0,$A931&lt;AV$6),AND(AV$7&gt;0,$A931&gt;AV$7)),0,MAX(0,ROUND((INDEX($E931:$G931,AV$5)-SUMIFS(TF_Timer,TF_Tekniker,AV$4,TF_Dato,$A931))*2,0)/2)))</f>
        <v/>
      </c>
      <c r="AW931">
        <f>IF(OR(AW$4="",$A931&gt;TODAY()),0,IF(OR(INDEX($B931:$D931,AW$5)="F",AND(AW$6&gt;0,$A931&lt;AW$6),AND(AW$7&gt;0,$A931&gt;AW$7)),0,MAX(0,ROUND((INDEX($E931:$G931,AW$5)-SUMIFS(TF_Timer,TF_Tekniker,AW$4,TF_Dato,$A931))*2,0)/2)))</f>
        <v/>
      </c>
      <c r="AX931">
        <f>IF(OR(AX$4="",$A931&gt;TODAY()),0,IF(OR(INDEX($B931:$D931,AX$5)="F",AND(AX$6&gt;0,$A931&lt;AX$6),AND(AX$7&gt;0,$A931&gt;AX$7)),0,MAX(0,ROUND((INDEX($E931:$G931,AX$5)-SUMIFS(TF_Timer,TF_Tekniker,AX$4,TF_Dato,$A931))*2,0)/2)))</f>
        <v/>
      </c>
      <c r="AY931">
        <f>IF(OR(AY$4="",$A931&gt;TODAY()),0,IF(OR(INDEX($B931:$D931,AY$5)="F",AND(AY$6&gt;0,$A931&lt;AY$6),AND(AY$7&gt;0,$A931&gt;AY$7)),0,MAX(0,ROUND((INDEX($E931:$G931,AY$5)-SUMIFS(TF_Timer,TF_Tekniker,AY$4,TF_Dato,$A931))*2,0)/2)))</f>
        <v/>
      </c>
      <c r="AZ931">
        <f>IF(OR(AZ$4="",$A931&gt;TODAY()),0,IF(OR(INDEX($B931:$D931,AZ$5)="F",AND(AZ$6&gt;0,$A931&lt;AZ$6),AND(AZ$7&gt;0,$A931&gt;AZ$7)),0,MAX(0,ROUND((INDEX($E931:$G931,AZ$5)-SUMIFS(TF_Timer,TF_Tekniker,AZ$4,TF_Dato,$A931))*2,0)/2)))</f>
        <v/>
      </c>
      <c r="BA931">
        <f>IF(OR(BA$4="",$A931&gt;TODAY()),0,IF(OR(INDEX($B931:$D931,BA$5)="F",AND(BA$6&gt;0,$A931&lt;BA$6),AND(BA$7&gt;0,$A931&gt;BA$7)),0,MAX(0,ROUND((INDEX($E931:$G931,BA$5)-SUMIFS(TF_Timer,TF_Tekniker,BA$4,TF_Dato,$A931))*2,0)/2)))</f>
        <v/>
      </c>
      <c r="BB931">
        <f>IF(OR(BB$4="",$A931&gt;TODAY()),0,IF(OR(INDEX($B931:$D931,BB$5)="F",AND(BB$6&gt;0,$A931&lt;BB$6),AND(BB$7&gt;0,$A931&gt;BB$7)),0,MAX(0,ROUND((INDEX($E931:$G931,BB$5)-SUMIFS(TF_Timer,TF_Tekniker,BB$4,TF_Dato,$A931))*2,0)/2)))</f>
        <v/>
      </c>
      <c r="BC931">
        <f>IF(OR(BC$4="",$A931&gt;TODAY()),0,IF(OR(INDEX($B931:$D931,BC$5)="F",AND(BC$6&gt;0,$A931&lt;BC$6),AND(BC$7&gt;0,$A931&gt;BC$7)),0,MAX(0,ROUND((INDEX($E931:$G931,BC$5)-SUMIFS(TF_Timer,TF_Tekniker,BC$4,TF_Dato,$A931))*2,0)/2)))</f>
        <v/>
      </c>
      <c r="BD931">
        <f>IF(OR(BD$4="",$A931&gt;TODAY()),0,IF(OR(INDEX($B931:$D931,BD$5)="F",AND(BD$6&gt;0,$A931&lt;BD$6),AND(BD$7&gt;0,$A931&gt;BD$7)),0,MAX(0,ROUND((INDEX($E931:$G931,BD$5)-SUMIFS(TF_Timer,TF_Tekniker,BD$4,TF_Dato,$A931))*2,0)/2)))</f>
        <v/>
      </c>
      <c r="BE931">
        <f>IF(OR(BE$4="",$A931&gt;TODAY()),0,IF(OR(INDEX($B931:$D931,BE$5)="F",AND(BE$6&gt;0,$A931&lt;BE$6),AND(BE$7&gt;0,$A931&gt;BE$7)),0,MAX(0,ROUND((INDEX($E931:$G931,BE$5)-SUMIFS(TF_Timer,TF_Tekniker,BE$4,TF_Dato,$A931))*2,0)/2)))</f>
        <v/>
      </c>
      <c r="BF931">
        <f>IF(OR(BF$4="",$A931&gt;TODAY()),0,IF(OR(INDEX($B931:$D931,BF$5)="F",AND(BF$6&gt;0,$A931&lt;BF$6),AND(BF$7&gt;0,$A931&gt;BF$7)),0,MAX(0,ROUND((INDEX($E931:$G931,BF$5)-SUMIFS(TF_Timer,TF_Tekniker,BF$4,TF_Dato,$A931))*2,0)/2)))</f>
        <v/>
      </c>
      <c r="BG931">
        <f>IF(OR(BG$4="",$A931&gt;TODAY()),0,IF(OR(INDEX($B931:$D931,BG$5)="F",AND(BG$6&gt;0,$A931&lt;BG$6),AND(BG$7&gt;0,$A931&gt;BG$7)),0,MAX(0,ROUND((INDEX($E931:$G931,BG$5)-SUMIFS(TF_Timer,TF_Tekniker,BG$4,TF_Dato,$A931))*2,0)/2)))</f>
        <v/>
      </c>
      <c r="BH931">
        <f>IF(OR(BH$4="",$A931&gt;TODAY()),0,IF(OR(INDEX($B931:$D931,BH$5)="F",AND(BH$6&gt;0,$A931&lt;BH$6),AND(BH$7&gt;0,$A931&gt;BH$7)),0,MAX(0,ROUND((INDEX($E931:$G931,BH$5)-SUMIFS(TF_Timer,TF_Tekniker,BH$4,TF_Dato,$A931))*2,0)/2)))</f>
        <v/>
      </c>
      <c r="BI931">
        <f>IF(OR(BI$4="",$A931&gt;TODAY()),0,IF(OR(INDEX($B931:$D931,BI$5)="F",AND(BI$6&gt;0,$A931&lt;BI$6),AND(BI$7&gt;0,$A931&gt;BI$7)),0,MAX(0,ROUND((INDEX($E931:$G931,BI$5)-SUMIFS(TF_Timer,TF_Tekniker,BI$4,TF_Dato,$A931))*2,0)/2)))</f>
        <v/>
      </c>
    </row>
    <row r="932">
      <c r="A932" s="64">
        <f>A931+1</f>
        <v/>
      </c>
      <c r="B932">
        <f>IF(MOD($A932-INDEX(SkiftStart,1),Syklus)&lt;DagK,"K",IF(MOD($A932-INDEX(SkiftStart,1),Syklus)&lt;DagK+DagH,"H",IF(MOD($A932-INDEX(SkiftStart,1),Syklus)&lt;DagK+DagH+DagD,"D","F")))</f>
        <v/>
      </c>
      <c r="C932">
        <f>IF(MOD($A932-INDEX(SkiftStart,2),Syklus)&lt;DagK,"K",IF(MOD($A932-INDEX(SkiftStart,2),Syklus)&lt;DagK+DagH,"H",IF(MOD($A932-INDEX(SkiftStart,2),Syklus)&lt;DagK+DagH+DagD,"D","F")))</f>
        <v/>
      </c>
      <c r="D932">
        <f>IF(MOD($A932-INDEX(SkiftStart,3),Syklus)&lt;DagK,"K",IF(MOD($A932-INDEX(SkiftStart,3),Syklus)&lt;DagK+DagH,"H",IF(MOD($A932-INDEX(SkiftStart,3),Syklus)&lt;DagK+DagH+DagD,"D","F")))</f>
        <v/>
      </c>
      <c r="E932">
        <f>IF(B932="F",0,IF(WEEKDAY($A932,2)=5,INDEX(TimerFr,MATCH(B932,FaseKode,0)),INDEX(TimerMT,MATCH(B932,FaseKode,0))))</f>
        <v/>
      </c>
      <c r="F932">
        <f>IF(C932="F",0,IF(WEEKDAY($A932,2)=5,INDEX(TimerFr,MATCH(C932,FaseKode,0)),INDEX(TimerMT,MATCH(C932,FaseKode,0))))</f>
        <v/>
      </c>
      <c r="G932">
        <f>IF(D932="F",0,IF(WEEKDAY($A932,2)=5,INDEX(TimerFr,MATCH(D932,FaseKode,0)),INDEX(TimerMT,MATCH(D932,FaseKode,0))))</f>
        <v/>
      </c>
      <c r="H932">
        <f>IF(OR(H$4="",$A932&gt;TODAY()),0,IF(OR(INDEX($B932:$D932,H$5)="F",AND(H$6&gt;0,$A932&lt;H$6),AND(H$7&gt;0,$A932&gt;H$7)),0,MAX(0,ROUND((INDEX($E932:$G932,H$5)-SUMIFS(TF_Timer,TF_Tekniker,H$4,TF_Dato,$A932))*2,0)/2)))</f>
        <v/>
      </c>
      <c r="I932">
        <f>IF(OR(I$4="",$A932&gt;TODAY()),0,IF(OR(INDEX($B932:$D932,I$5)="F",AND(I$6&gt;0,$A932&lt;I$6),AND(I$7&gt;0,$A932&gt;I$7)),0,MAX(0,ROUND((INDEX($E932:$G932,I$5)-SUMIFS(TF_Timer,TF_Tekniker,I$4,TF_Dato,$A932))*2,0)/2)))</f>
        <v/>
      </c>
      <c r="J932">
        <f>IF(OR(J$4="",$A932&gt;TODAY()),0,IF(OR(INDEX($B932:$D932,J$5)="F",AND(J$6&gt;0,$A932&lt;J$6),AND(J$7&gt;0,$A932&gt;J$7)),0,MAX(0,ROUND((INDEX($E932:$G932,J$5)-SUMIFS(TF_Timer,TF_Tekniker,J$4,TF_Dato,$A932))*2,0)/2)))</f>
        <v/>
      </c>
      <c r="K932">
        <f>IF(OR(K$4="",$A932&gt;TODAY()),0,IF(OR(INDEX($B932:$D932,K$5)="F",AND(K$6&gt;0,$A932&lt;K$6),AND(K$7&gt;0,$A932&gt;K$7)),0,MAX(0,ROUND((INDEX($E932:$G932,K$5)-SUMIFS(TF_Timer,TF_Tekniker,K$4,TF_Dato,$A932))*2,0)/2)))</f>
        <v/>
      </c>
      <c r="L932">
        <f>IF(OR(L$4="",$A932&gt;TODAY()),0,IF(OR(INDEX($B932:$D932,L$5)="F",AND(L$6&gt;0,$A932&lt;L$6),AND(L$7&gt;0,$A932&gt;L$7)),0,MAX(0,ROUND((INDEX($E932:$G932,L$5)-SUMIFS(TF_Timer,TF_Tekniker,L$4,TF_Dato,$A932))*2,0)/2)))</f>
        <v/>
      </c>
      <c r="M932">
        <f>IF(OR(M$4="",$A932&gt;TODAY()),0,IF(OR(INDEX($B932:$D932,M$5)="F",AND(M$6&gt;0,$A932&lt;M$6),AND(M$7&gt;0,$A932&gt;M$7)),0,MAX(0,ROUND((INDEX($E932:$G932,M$5)-SUMIFS(TF_Timer,TF_Tekniker,M$4,TF_Dato,$A932))*2,0)/2)))</f>
        <v/>
      </c>
      <c r="N932">
        <f>IF(OR(N$4="",$A932&gt;TODAY()),0,IF(OR(INDEX($B932:$D932,N$5)="F",AND(N$6&gt;0,$A932&lt;N$6),AND(N$7&gt;0,$A932&gt;N$7)),0,MAX(0,ROUND((INDEX($E932:$G932,N$5)-SUMIFS(TF_Timer,TF_Tekniker,N$4,TF_Dato,$A932))*2,0)/2)))</f>
        <v/>
      </c>
      <c r="O932">
        <f>IF(OR(O$4="",$A932&gt;TODAY()),0,IF(OR(INDEX($B932:$D932,O$5)="F",AND(O$6&gt;0,$A932&lt;O$6),AND(O$7&gt;0,$A932&gt;O$7)),0,MAX(0,ROUND((INDEX($E932:$G932,O$5)-SUMIFS(TF_Timer,TF_Tekniker,O$4,TF_Dato,$A932))*2,0)/2)))</f>
        <v/>
      </c>
      <c r="P932">
        <f>IF(OR(P$4="",$A932&gt;TODAY()),0,IF(OR(INDEX($B932:$D932,P$5)="F",AND(P$6&gt;0,$A932&lt;P$6),AND(P$7&gt;0,$A932&gt;P$7)),0,MAX(0,ROUND((INDEX($E932:$G932,P$5)-SUMIFS(TF_Timer,TF_Tekniker,P$4,TF_Dato,$A932))*2,0)/2)))</f>
        <v/>
      </c>
      <c r="Q932">
        <f>IF(OR(Q$4="",$A932&gt;TODAY()),0,IF(OR(INDEX($B932:$D932,Q$5)="F",AND(Q$6&gt;0,$A932&lt;Q$6),AND(Q$7&gt;0,$A932&gt;Q$7)),0,MAX(0,ROUND((INDEX($E932:$G932,Q$5)-SUMIFS(TF_Timer,TF_Tekniker,Q$4,TF_Dato,$A932))*2,0)/2)))</f>
        <v/>
      </c>
      <c r="R932">
        <f>IF(OR(R$4="",$A932&gt;TODAY()),0,IF(OR(INDEX($B932:$D932,R$5)="F",AND(R$6&gt;0,$A932&lt;R$6),AND(R$7&gt;0,$A932&gt;R$7)),0,MAX(0,ROUND((INDEX($E932:$G932,R$5)-SUMIFS(TF_Timer,TF_Tekniker,R$4,TF_Dato,$A932))*2,0)/2)))</f>
        <v/>
      </c>
      <c r="S932">
        <f>IF(OR(S$4="",$A932&gt;TODAY()),0,IF(OR(INDEX($B932:$D932,S$5)="F",AND(S$6&gt;0,$A932&lt;S$6),AND(S$7&gt;0,$A932&gt;S$7)),0,MAX(0,ROUND((INDEX($E932:$G932,S$5)-SUMIFS(TF_Timer,TF_Tekniker,S$4,TF_Dato,$A932))*2,0)/2)))</f>
        <v/>
      </c>
      <c r="T932">
        <f>IF(OR(T$4="",$A932&gt;TODAY()),0,IF(OR(INDEX($B932:$D932,T$5)="F",AND(T$6&gt;0,$A932&lt;T$6),AND(T$7&gt;0,$A932&gt;T$7)),0,MAX(0,ROUND((INDEX($E932:$G932,T$5)-SUMIFS(TF_Timer,TF_Tekniker,T$4,TF_Dato,$A932))*2,0)/2)))</f>
        <v/>
      </c>
      <c r="U932">
        <f>IF(OR(U$4="",$A932&gt;TODAY()),0,IF(OR(INDEX($B932:$D932,U$5)="F",AND(U$6&gt;0,$A932&lt;U$6),AND(U$7&gt;0,$A932&gt;U$7)),0,MAX(0,ROUND((INDEX($E932:$G932,U$5)-SUMIFS(TF_Timer,TF_Tekniker,U$4,TF_Dato,$A932))*2,0)/2)))</f>
        <v/>
      </c>
      <c r="V932">
        <f>IF(OR(V$4="",$A932&gt;TODAY()),0,IF(OR(INDEX($B932:$D932,V$5)="F",AND(V$6&gt;0,$A932&lt;V$6),AND(V$7&gt;0,$A932&gt;V$7)),0,MAX(0,ROUND((INDEX($E932:$G932,V$5)-SUMIFS(TF_Timer,TF_Tekniker,V$4,TF_Dato,$A932))*2,0)/2)))</f>
        <v/>
      </c>
      <c r="W932">
        <f>IF(OR(W$4="",$A932&gt;TODAY()),0,IF(OR(INDEX($B932:$D932,W$5)="F",AND(W$6&gt;0,$A932&lt;W$6),AND(W$7&gt;0,$A932&gt;W$7)),0,MAX(0,ROUND((INDEX($E932:$G932,W$5)-SUMIFS(TF_Timer,TF_Tekniker,W$4,TF_Dato,$A932))*2,0)/2)))</f>
        <v/>
      </c>
      <c r="X932">
        <f>IF(OR(X$4="",$A932&gt;TODAY()),0,IF(OR(INDEX($B932:$D932,X$5)="F",AND(X$6&gt;0,$A932&lt;X$6),AND(X$7&gt;0,$A932&gt;X$7)),0,MAX(0,ROUND((INDEX($E932:$G932,X$5)-SUMIFS(TF_Timer,TF_Tekniker,X$4,TF_Dato,$A932))*2,0)/2)))</f>
        <v/>
      </c>
      <c r="Y932">
        <f>IF(OR(Y$4="",$A932&gt;TODAY()),0,IF(OR(INDEX($B932:$D932,Y$5)="F",AND(Y$6&gt;0,$A932&lt;Y$6),AND(Y$7&gt;0,$A932&gt;Y$7)),0,MAX(0,ROUND((INDEX($E932:$G932,Y$5)-SUMIFS(TF_Timer,TF_Tekniker,Y$4,TF_Dato,$A932))*2,0)/2)))</f>
        <v/>
      </c>
      <c r="Z932">
        <f>IF(OR(Z$4="",$A932&gt;TODAY()),0,IF(OR(INDEX($B932:$D932,Z$5)="F",AND(Z$6&gt;0,$A932&lt;Z$6),AND(Z$7&gt;0,$A932&gt;Z$7)),0,MAX(0,ROUND((INDEX($E932:$G932,Z$5)-SUMIFS(TF_Timer,TF_Tekniker,Z$4,TF_Dato,$A932))*2,0)/2)))</f>
        <v/>
      </c>
      <c r="AA932">
        <f>IF(OR(AA$4="",$A932&gt;TODAY()),0,IF(OR(INDEX($B932:$D932,AA$5)="F",AND(AA$6&gt;0,$A932&lt;AA$6),AND(AA$7&gt;0,$A932&gt;AA$7)),0,MAX(0,ROUND((INDEX($E932:$G932,AA$5)-SUMIFS(TF_Timer,TF_Tekniker,AA$4,TF_Dato,$A932))*2,0)/2)))</f>
        <v/>
      </c>
      <c r="AB932">
        <f>IF(OR(AB$4="",$A932&gt;TODAY()),0,IF(OR(INDEX($B932:$D932,AB$5)="F",AND(AB$6&gt;0,$A932&lt;AB$6),AND(AB$7&gt;0,$A932&gt;AB$7)),0,MAX(0,ROUND((INDEX($E932:$G932,AB$5)-SUMIFS(TF_Timer,TF_Tekniker,AB$4,TF_Dato,$A932))*2,0)/2)))</f>
        <v/>
      </c>
      <c r="AC932">
        <f>IF(OR(AC$4="",$A932&gt;TODAY()),0,IF(OR(INDEX($B932:$D932,AC$5)="F",AND(AC$6&gt;0,$A932&lt;AC$6),AND(AC$7&gt;0,$A932&gt;AC$7)),0,MAX(0,ROUND((INDEX($E932:$G932,AC$5)-SUMIFS(TF_Timer,TF_Tekniker,AC$4,TF_Dato,$A932))*2,0)/2)))</f>
        <v/>
      </c>
      <c r="AD932">
        <f>IF(OR(AD$4="",$A932&gt;TODAY()),0,IF(OR(INDEX($B932:$D932,AD$5)="F",AND(AD$6&gt;0,$A932&lt;AD$6),AND(AD$7&gt;0,$A932&gt;AD$7)),0,MAX(0,ROUND((INDEX($E932:$G932,AD$5)-SUMIFS(TF_Timer,TF_Tekniker,AD$4,TF_Dato,$A932))*2,0)/2)))</f>
        <v/>
      </c>
      <c r="AE932">
        <f>IF(OR(AE$4="",$A932&gt;TODAY()),0,IF(OR(INDEX($B932:$D932,AE$5)="F",AND(AE$6&gt;0,$A932&lt;AE$6),AND(AE$7&gt;0,$A932&gt;AE$7)),0,MAX(0,ROUND((INDEX($E932:$G932,AE$5)-SUMIFS(TF_Timer,TF_Tekniker,AE$4,TF_Dato,$A932))*2,0)/2)))</f>
        <v/>
      </c>
      <c r="AF932">
        <f>IF(OR(AF$4="",$A932&gt;TODAY()),0,IF(OR(INDEX($B932:$D932,AF$5)="F",AND(AF$6&gt;0,$A932&lt;AF$6),AND(AF$7&gt;0,$A932&gt;AF$7)),0,MAX(0,ROUND((INDEX($E932:$G932,AF$5)-SUMIFS(TF_Timer,TF_Tekniker,AF$4,TF_Dato,$A932))*2,0)/2)))</f>
        <v/>
      </c>
      <c r="AG932">
        <f>IF(OR(AG$4="",$A932&gt;TODAY()),0,IF(OR(INDEX($B932:$D932,AG$5)="F",AND(AG$6&gt;0,$A932&lt;AG$6),AND(AG$7&gt;0,$A932&gt;AG$7)),0,MAX(0,ROUND((INDEX($E932:$G932,AG$5)-SUMIFS(TF_Timer,TF_Tekniker,AG$4,TF_Dato,$A932))*2,0)/2)))</f>
        <v/>
      </c>
      <c r="AH932">
        <f>IF(OR(AH$4="",$A932&gt;TODAY()),0,IF(OR(INDEX($B932:$D932,AH$5)="F",AND(AH$6&gt;0,$A932&lt;AH$6),AND(AH$7&gt;0,$A932&gt;AH$7)),0,MAX(0,ROUND((INDEX($E932:$G932,AH$5)-SUMIFS(TF_Timer,TF_Tekniker,AH$4,TF_Dato,$A932))*2,0)/2)))</f>
        <v/>
      </c>
      <c r="AI932">
        <f>IF(OR(AI$4="",$A932&gt;TODAY()),0,IF(OR(INDEX($B932:$D932,AI$5)="F",AND(AI$6&gt;0,$A932&lt;AI$6),AND(AI$7&gt;0,$A932&gt;AI$7)),0,MAX(0,ROUND((INDEX($E932:$G932,AI$5)-SUMIFS(TF_Timer,TF_Tekniker,AI$4,TF_Dato,$A932))*2,0)/2)))</f>
        <v/>
      </c>
      <c r="AJ932">
        <f>IF(OR(AJ$4="",$A932&gt;TODAY()),0,IF(OR(INDEX($B932:$D932,AJ$5)="F",AND(AJ$6&gt;0,$A932&lt;AJ$6),AND(AJ$7&gt;0,$A932&gt;AJ$7)),0,MAX(0,ROUND((INDEX($E932:$G932,AJ$5)-SUMIFS(TF_Timer,TF_Tekniker,AJ$4,TF_Dato,$A932))*2,0)/2)))</f>
        <v/>
      </c>
      <c r="AK932">
        <f>IF(OR(AK$4="",$A932&gt;TODAY()),0,IF(OR(INDEX($B932:$D932,AK$5)="F",AND(AK$6&gt;0,$A932&lt;AK$6),AND(AK$7&gt;0,$A932&gt;AK$7)),0,MAX(0,ROUND((INDEX($E932:$G932,AK$5)-SUMIFS(TF_Timer,TF_Tekniker,AK$4,TF_Dato,$A932))*2,0)/2)))</f>
        <v/>
      </c>
      <c r="AL932">
        <f>IF(OR(AL$4="",$A932&gt;TODAY()),0,IF(OR(INDEX($B932:$D932,AL$5)="F",AND(AL$6&gt;0,$A932&lt;AL$6),AND(AL$7&gt;0,$A932&gt;AL$7)),0,MAX(0,ROUND((INDEX($E932:$G932,AL$5)-SUMIFS(TF_Timer,TF_Tekniker,AL$4,TF_Dato,$A932))*2,0)/2)))</f>
        <v/>
      </c>
      <c r="AM932">
        <f>IF(OR(AM$4="",$A932&gt;TODAY()),0,IF(OR(INDEX($B932:$D932,AM$5)="F",AND(AM$6&gt;0,$A932&lt;AM$6),AND(AM$7&gt;0,$A932&gt;AM$7)),0,MAX(0,ROUND((INDEX($E932:$G932,AM$5)-SUMIFS(TF_Timer,TF_Tekniker,AM$4,TF_Dato,$A932))*2,0)/2)))</f>
        <v/>
      </c>
      <c r="AN932">
        <f>IF(OR(AN$4="",$A932&gt;TODAY()),0,IF(OR(INDEX($B932:$D932,AN$5)="F",AND(AN$6&gt;0,$A932&lt;AN$6),AND(AN$7&gt;0,$A932&gt;AN$7)),0,MAX(0,ROUND((INDEX($E932:$G932,AN$5)-SUMIFS(TF_Timer,TF_Tekniker,AN$4,TF_Dato,$A932))*2,0)/2)))</f>
        <v/>
      </c>
      <c r="AO932">
        <f>IF(OR(AO$4="",$A932&gt;TODAY()),0,IF(OR(INDEX($B932:$D932,AO$5)="F",AND(AO$6&gt;0,$A932&lt;AO$6),AND(AO$7&gt;0,$A932&gt;AO$7)),0,MAX(0,ROUND((INDEX($E932:$G932,AO$5)-SUMIFS(TF_Timer,TF_Tekniker,AO$4,TF_Dato,$A932))*2,0)/2)))</f>
        <v/>
      </c>
      <c r="AP932">
        <f>IF(OR(AP$4="",$A932&gt;TODAY()),0,IF(OR(INDEX($B932:$D932,AP$5)="F",AND(AP$6&gt;0,$A932&lt;AP$6),AND(AP$7&gt;0,$A932&gt;AP$7)),0,MAX(0,ROUND((INDEX($E932:$G932,AP$5)-SUMIFS(TF_Timer,TF_Tekniker,AP$4,TF_Dato,$A932))*2,0)/2)))</f>
        <v/>
      </c>
      <c r="AQ932">
        <f>IF(OR(AQ$4="",$A932&gt;TODAY()),0,IF(OR(INDEX($B932:$D932,AQ$5)="F",AND(AQ$6&gt;0,$A932&lt;AQ$6),AND(AQ$7&gt;0,$A932&gt;AQ$7)),0,MAX(0,ROUND((INDEX($E932:$G932,AQ$5)-SUMIFS(TF_Timer,TF_Tekniker,AQ$4,TF_Dato,$A932))*2,0)/2)))</f>
        <v/>
      </c>
      <c r="AR932">
        <f>IF(OR(AR$4="",$A932&gt;TODAY()),0,IF(OR(INDEX($B932:$D932,AR$5)="F",AND(AR$6&gt;0,$A932&lt;AR$6),AND(AR$7&gt;0,$A932&gt;AR$7)),0,MAX(0,ROUND((INDEX($E932:$G932,AR$5)-SUMIFS(TF_Timer,TF_Tekniker,AR$4,TF_Dato,$A932))*2,0)/2)))</f>
        <v/>
      </c>
      <c r="AS932">
        <f>IF(OR(AS$4="",$A932&gt;TODAY()),0,IF(OR(INDEX($B932:$D932,AS$5)="F",AND(AS$6&gt;0,$A932&lt;AS$6),AND(AS$7&gt;0,$A932&gt;AS$7)),0,MAX(0,ROUND((INDEX($E932:$G932,AS$5)-SUMIFS(TF_Timer,TF_Tekniker,AS$4,TF_Dato,$A932))*2,0)/2)))</f>
        <v/>
      </c>
      <c r="AT932">
        <f>IF(OR(AT$4="",$A932&gt;TODAY()),0,IF(OR(INDEX($B932:$D932,AT$5)="F",AND(AT$6&gt;0,$A932&lt;AT$6),AND(AT$7&gt;0,$A932&gt;AT$7)),0,MAX(0,ROUND((INDEX($E932:$G932,AT$5)-SUMIFS(TF_Timer,TF_Tekniker,AT$4,TF_Dato,$A932))*2,0)/2)))</f>
        <v/>
      </c>
      <c r="AU932">
        <f>IF(OR(AU$4="",$A932&gt;TODAY()),0,IF(OR(INDEX($B932:$D932,AU$5)="F",AND(AU$6&gt;0,$A932&lt;AU$6),AND(AU$7&gt;0,$A932&gt;AU$7)),0,MAX(0,ROUND((INDEX($E932:$G932,AU$5)-SUMIFS(TF_Timer,TF_Tekniker,AU$4,TF_Dato,$A932))*2,0)/2)))</f>
        <v/>
      </c>
      <c r="AV932">
        <f>IF(OR(AV$4="",$A932&gt;TODAY()),0,IF(OR(INDEX($B932:$D932,AV$5)="F",AND(AV$6&gt;0,$A932&lt;AV$6),AND(AV$7&gt;0,$A932&gt;AV$7)),0,MAX(0,ROUND((INDEX($E932:$G932,AV$5)-SUMIFS(TF_Timer,TF_Tekniker,AV$4,TF_Dato,$A932))*2,0)/2)))</f>
        <v/>
      </c>
      <c r="AW932">
        <f>IF(OR(AW$4="",$A932&gt;TODAY()),0,IF(OR(INDEX($B932:$D932,AW$5)="F",AND(AW$6&gt;0,$A932&lt;AW$6),AND(AW$7&gt;0,$A932&gt;AW$7)),0,MAX(0,ROUND((INDEX($E932:$G932,AW$5)-SUMIFS(TF_Timer,TF_Tekniker,AW$4,TF_Dato,$A932))*2,0)/2)))</f>
        <v/>
      </c>
      <c r="AX932">
        <f>IF(OR(AX$4="",$A932&gt;TODAY()),0,IF(OR(INDEX($B932:$D932,AX$5)="F",AND(AX$6&gt;0,$A932&lt;AX$6),AND(AX$7&gt;0,$A932&gt;AX$7)),0,MAX(0,ROUND((INDEX($E932:$G932,AX$5)-SUMIFS(TF_Timer,TF_Tekniker,AX$4,TF_Dato,$A932))*2,0)/2)))</f>
        <v/>
      </c>
      <c r="AY932">
        <f>IF(OR(AY$4="",$A932&gt;TODAY()),0,IF(OR(INDEX($B932:$D932,AY$5)="F",AND(AY$6&gt;0,$A932&lt;AY$6),AND(AY$7&gt;0,$A932&gt;AY$7)),0,MAX(0,ROUND((INDEX($E932:$G932,AY$5)-SUMIFS(TF_Timer,TF_Tekniker,AY$4,TF_Dato,$A932))*2,0)/2)))</f>
        <v/>
      </c>
      <c r="AZ932">
        <f>IF(OR(AZ$4="",$A932&gt;TODAY()),0,IF(OR(INDEX($B932:$D932,AZ$5)="F",AND(AZ$6&gt;0,$A932&lt;AZ$6),AND(AZ$7&gt;0,$A932&gt;AZ$7)),0,MAX(0,ROUND((INDEX($E932:$G932,AZ$5)-SUMIFS(TF_Timer,TF_Tekniker,AZ$4,TF_Dato,$A932))*2,0)/2)))</f>
        <v/>
      </c>
      <c r="BA932">
        <f>IF(OR(BA$4="",$A932&gt;TODAY()),0,IF(OR(INDEX($B932:$D932,BA$5)="F",AND(BA$6&gt;0,$A932&lt;BA$6),AND(BA$7&gt;0,$A932&gt;BA$7)),0,MAX(0,ROUND((INDEX($E932:$G932,BA$5)-SUMIFS(TF_Timer,TF_Tekniker,BA$4,TF_Dato,$A932))*2,0)/2)))</f>
        <v/>
      </c>
      <c r="BB932">
        <f>IF(OR(BB$4="",$A932&gt;TODAY()),0,IF(OR(INDEX($B932:$D932,BB$5)="F",AND(BB$6&gt;0,$A932&lt;BB$6),AND(BB$7&gt;0,$A932&gt;BB$7)),0,MAX(0,ROUND((INDEX($E932:$G932,BB$5)-SUMIFS(TF_Timer,TF_Tekniker,BB$4,TF_Dato,$A932))*2,0)/2)))</f>
        <v/>
      </c>
      <c r="BC932">
        <f>IF(OR(BC$4="",$A932&gt;TODAY()),0,IF(OR(INDEX($B932:$D932,BC$5)="F",AND(BC$6&gt;0,$A932&lt;BC$6),AND(BC$7&gt;0,$A932&gt;BC$7)),0,MAX(0,ROUND((INDEX($E932:$G932,BC$5)-SUMIFS(TF_Timer,TF_Tekniker,BC$4,TF_Dato,$A932))*2,0)/2)))</f>
        <v/>
      </c>
      <c r="BD932">
        <f>IF(OR(BD$4="",$A932&gt;TODAY()),0,IF(OR(INDEX($B932:$D932,BD$5)="F",AND(BD$6&gt;0,$A932&lt;BD$6),AND(BD$7&gt;0,$A932&gt;BD$7)),0,MAX(0,ROUND((INDEX($E932:$G932,BD$5)-SUMIFS(TF_Timer,TF_Tekniker,BD$4,TF_Dato,$A932))*2,0)/2)))</f>
        <v/>
      </c>
      <c r="BE932">
        <f>IF(OR(BE$4="",$A932&gt;TODAY()),0,IF(OR(INDEX($B932:$D932,BE$5)="F",AND(BE$6&gt;0,$A932&lt;BE$6),AND(BE$7&gt;0,$A932&gt;BE$7)),0,MAX(0,ROUND((INDEX($E932:$G932,BE$5)-SUMIFS(TF_Timer,TF_Tekniker,BE$4,TF_Dato,$A932))*2,0)/2)))</f>
        <v/>
      </c>
      <c r="BF932">
        <f>IF(OR(BF$4="",$A932&gt;TODAY()),0,IF(OR(INDEX($B932:$D932,BF$5)="F",AND(BF$6&gt;0,$A932&lt;BF$6),AND(BF$7&gt;0,$A932&gt;BF$7)),0,MAX(0,ROUND((INDEX($E932:$G932,BF$5)-SUMIFS(TF_Timer,TF_Tekniker,BF$4,TF_Dato,$A932))*2,0)/2)))</f>
        <v/>
      </c>
      <c r="BG932">
        <f>IF(OR(BG$4="",$A932&gt;TODAY()),0,IF(OR(INDEX($B932:$D932,BG$5)="F",AND(BG$6&gt;0,$A932&lt;BG$6),AND(BG$7&gt;0,$A932&gt;BG$7)),0,MAX(0,ROUND((INDEX($E932:$G932,BG$5)-SUMIFS(TF_Timer,TF_Tekniker,BG$4,TF_Dato,$A932))*2,0)/2)))</f>
        <v/>
      </c>
      <c r="BH932">
        <f>IF(OR(BH$4="",$A932&gt;TODAY()),0,IF(OR(INDEX($B932:$D932,BH$5)="F",AND(BH$6&gt;0,$A932&lt;BH$6),AND(BH$7&gt;0,$A932&gt;BH$7)),0,MAX(0,ROUND((INDEX($E932:$G932,BH$5)-SUMIFS(TF_Timer,TF_Tekniker,BH$4,TF_Dato,$A932))*2,0)/2)))</f>
        <v/>
      </c>
      <c r="BI932">
        <f>IF(OR(BI$4="",$A932&gt;TODAY()),0,IF(OR(INDEX($B932:$D932,BI$5)="F",AND(BI$6&gt;0,$A932&lt;BI$6),AND(BI$7&gt;0,$A932&gt;BI$7)),0,MAX(0,ROUND((INDEX($E932:$G932,BI$5)-SUMIFS(TF_Timer,TF_Tekniker,BI$4,TF_Dato,$A932))*2,0)/2)))</f>
        <v/>
      </c>
    </row>
    <row r="933">
      <c r="A933" s="64">
        <f>A932+1</f>
        <v/>
      </c>
      <c r="B933">
        <f>IF(MOD($A933-INDEX(SkiftStart,1),Syklus)&lt;DagK,"K",IF(MOD($A933-INDEX(SkiftStart,1),Syklus)&lt;DagK+DagH,"H",IF(MOD($A933-INDEX(SkiftStart,1),Syklus)&lt;DagK+DagH+DagD,"D","F")))</f>
        <v/>
      </c>
      <c r="C933">
        <f>IF(MOD($A933-INDEX(SkiftStart,2),Syklus)&lt;DagK,"K",IF(MOD($A933-INDEX(SkiftStart,2),Syklus)&lt;DagK+DagH,"H",IF(MOD($A933-INDEX(SkiftStart,2),Syklus)&lt;DagK+DagH+DagD,"D","F")))</f>
        <v/>
      </c>
      <c r="D933">
        <f>IF(MOD($A933-INDEX(SkiftStart,3),Syklus)&lt;DagK,"K",IF(MOD($A933-INDEX(SkiftStart,3),Syklus)&lt;DagK+DagH,"H",IF(MOD($A933-INDEX(SkiftStart,3),Syklus)&lt;DagK+DagH+DagD,"D","F")))</f>
        <v/>
      </c>
      <c r="E933">
        <f>IF(B933="F",0,IF(WEEKDAY($A933,2)=5,INDEX(TimerFr,MATCH(B933,FaseKode,0)),INDEX(TimerMT,MATCH(B933,FaseKode,0))))</f>
        <v/>
      </c>
      <c r="F933">
        <f>IF(C933="F",0,IF(WEEKDAY($A933,2)=5,INDEX(TimerFr,MATCH(C933,FaseKode,0)),INDEX(TimerMT,MATCH(C933,FaseKode,0))))</f>
        <v/>
      </c>
      <c r="G933">
        <f>IF(D933="F",0,IF(WEEKDAY($A933,2)=5,INDEX(TimerFr,MATCH(D933,FaseKode,0)),INDEX(TimerMT,MATCH(D933,FaseKode,0))))</f>
        <v/>
      </c>
      <c r="H933">
        <f>IF(OR(H$4="",$A933&gt;TODAY()),0,IF(OR(INDEX($B933:$D933,H$5)="F",AND(H$6&gt;0,$A933&lt;H$6),AND(H$7&gt;0,$A933&gt;H$7)),0,MAX(0,ROUND((INDEX($E933:$G933,H$5)-SUMIFS(TF_Timer,TF_Tekniker,H$4,TF_Dato,$A933))*2,0)/2)))</f>
        <v/>
      </c>
      <c r="I933">
        <f>IF(OR(I$4="",$A933&gt;TODAY()),0,IF(OR(INDEX($B933:$D933,I$5)="F",AND(I$6&gt;0,$A933&lt;I$6),AND(I$7&gt;0,$A933&gt;I$7)),0,MAX(0,ROUND((INDEX($E933:$G933,I$5)-SUMIFS(TF_Timer,TF_Tekniker,I$4,TF_Dato,$A933))*2,0)/2)))</f>
        <v/>
      </c>
      <c r="J933">
        <f>IF(OR(J$4="",$A933&gt;TODAY()),0,IF(OR(INDEX($B933:$D933,J$5)="F",AND(J$6&gt;0,$A933&lt;J$6),AND(J$7&gt;0,$A933&gt;J$7)),0,MAX(0,ROUND((INDEX($E933:$G933,J$5)-SUMIFS(TF_Timer,TF_Tekniker,J$4,TF_Dato,$A933))*2,0)/2)))</f>
        <v/>
      </c>
      <c r="K933">
        <f>IF(OR(K$4="",$A933&gt;TODAY()),0,IF(OR(INDEX($B933:$D933,K$5)="F",AND(K$6&gt;0,$A933&lt;K$6),AND(K$7&gt;0,$A933&gt;K$7)),0,MAX(0,ROUND((INDEX($E933:$G933,K$5)-SUMIFS(TF_Timer,TF_Tekniker,K$4,TF_Dato,$A933))*2,0)/2)))</f>
        <v/>
      </c>
      <c r="L933">
        <f>IF(OR(L$4="",$A933&gt;TODAY()),0,IF(OR(INDEX($B933:$D933,L$5)="F",AND(L$6&gt;0,$A933&lt;L$6),AND(L$7&gt;0,$A933&gt;L$7)),0,MAX(0,ROUND((INDEX($E933:$G933,L$5)-SUMIFS(TF_Timer,TF_Tekniker,L$4,TF_Dato,$A933))*2,0)/2)))</f>
        <v/>
      </c>
      <c r="M933">
        <f>IF(OR(M$4="",$A933&gt;TODAY()),0,IF(OR(INDEX($B933:$D933,M$5)="F",AND(M$6&gt;0,$A933&lt;M$6),AND(M$7&gt;0,$A933&gt;M$7)),0,MAX(0,ROUND((INDEX($E933:$G933,M$5)-SUMIFS(TF_Timer,TF_Tekniker,M$4,TF_Dato,$A933))*2,0)/2)))</f>
        <v/>
      </c>
      <c r="N933">
        <f>IF(OR(N$4="",$A933&gt;TODAY()),0,IF(OR(INDEX($B933:$D933,N$5)="F",AND(N$6&gt;0,$A933&lt;N$6),AND(N$7&gt;0,$A933&gt;N$7)),0,MAX(0,ROUND((INDEX($E933:$G933,N$5)-SUMIFS(TF_Timer,TF_Tekniker,N$4,TF_Dato,$A933))*2,0)/2)))</f>
        <v/>
      </c>
      <c r="O933">
        <f>IF(OR(O$4="",$A933&gt;TODAY()),0,IF(OR(INDEX($B933:$D933,O$5)="F",AND(O$6&gt;0,$A933&lt;O$6),AND(O$7&gt;0,$A933&gt;O$7)),0,MAX(0,ROUND((INDEX($E933:$G933,O$5)-SUMIFS(TF_Timer,TF_Tekniker,O$4,TF_Dato,$A933))*2,0)/2)))</f>
        <v/>
      </c>
      <c r="P933">
        <f>IF(OR(P$4="",$A933&gt;TODAY()),0,IF(OR(INDEX($B933:$D933,P$5)="F",AND(P$6&gt;0,$A933&lt;P$6),AND(P$7&gt;0,$A933&gt;P$7)),0,MAX(0,ROUND((INDEX($E933:$G933,P$5)-SUMIFS(TF_Timer,TF_Tekniker,P$4,TF_Dato,$A933))*2,0)/2)))</f>
        <v/>
      </c>
      <c r="Q933">
        <f>IF(OR(Q$4="",$A933&gt;TODAY()),0,IF(OR(INDEX($B933:$D933,Q$5)="F",AND(Q$6&gt;0,$A933&lt;Q$6),AND(Q$7&gt;0,$A933&gt;Q$7)),0,MAX(0,ROUND((INDEX($E933:$G933,Q$5)-SUMIFS(TF_Timer,TF_Tekniker,Q$4,TF_Dato,$A933))*2,0)/2)))</f>
        <v/>
      </c>
      <c r="R933">
        <f>IF(OR(R$4="",$A933&gt;TODAY()),0,IF(OR(INDEX($B933:$D933,R$5)="F",AND(R$6&gt;0,$A933&lt;R$6),AND(R$7&gt;0,$A933&gt;R$7)),0,MAX(0,ROUND((INDEX($E933:$G933,R$5)-SUMIFS(TF_Timer,TF_Tekniker,R$4,TF_Dato,$A933))*2,0)/2)))</f>
        <v/>
      </c>
      <c r="S933">
        <f>IF(OR(S$4="",$A933&gt;TODAY()),0,IF(OR(INDEX($B933:$D933,S$5)="F",AND(S$6&gt;0,$A933&lt;S$6),AND(S$7&gt;0,$A933&gt;S$7)),0,MAX(0,ROUND((INDEX($E933:$G933,S$5)-SUMIFS(TF_Timer,TF_Tekniker,S$4,TF_Dato,$A933))*2,0)/2)))</f>
        <v/>
      </c>
      <c r="T933">
        <f>IF(OR(T$4="",$A933&gt;TODAY()),0,IF(OR(INDEX($B933:$D933,T$5)="F",AND(T$6&gt;0,$A933&lt;T$6),AND(T$7&gt;0,$A933&gt;T$7)),0,MAX(0,ROUND((INDEX($E933:$G933,T$5)-SUMIFS(TF_Timer,TF_Tekniker,T$4,TF_Dato,$A933))*2,0)/2)))</f>
        <v/>
      </c>
      <c r="U933">
        <f>IF(OR(U$4="",$A933&gt;TODAY()),0,IF(OR(INDEX($B933:$D933,U$5)="F",AND(U$6&gt;0,$A933&lt;U$6),AND(U$7&gt;0,$A933&gt;U$7)),0,MAX(0,ROUND((INDEX($E933:$G933,U$5)-SUMIFS(TF_Timer,TF_Tekniker,U$4,TF_Dato,$A933))*2,0)/2)))</f>
        <v/>
      </c>
      <c r="V933">
        <f>IF(OR(V$4="",$A933&gt;TODAY()),0,IF(OR(INDEX($B933:$D933,V$5)="F",AND(V$6&gt;0,$A933&lt;V$6),AND(V$7&gt;0,$A933&gt;V$7)),0,MAX(0,ROUND((INDEX($E933:$G933,V$5)-SUMIFS(TF_Timer,TF_Tekniker,V$4,TF_Dato,$A933))*2,0)/2)))</f>
        <v/>
      </c>
      <c r="W933">
        <f>IF(OR(W$4="",$A933&gt;TODAY()),0,IF(OR(INDEX($B933:$D933,W$5)="F",AND(W$6&gt;0,$A933&lt;W$6),AND(W$7&gt;0,$A933&gt;W$7)),0,MAX(0,ROUND((INDEX($E933:$G933,W$5)-SUMIFS(TF_Timer,TF_Tekniker,W$4,TF_Dato,$A933))*2,0)/2)))</f>
        <v/>
      </c>
      <c r="X933">
        <f>IF(OR(X$4="",$A933&gt;TODAY()),0,IF(OR(INDEX($B933:$D933,X$5)="F",AND(X$6&gt;0,$A933&lt;X$6),AND(X$7&gt;0,$A933&gt;X$7)),0,MAX(0,ROUND((INDEX($E933:$G933,X$5)-SUMIFS(TF_Timer,TF_Tekniker,X$4,TF_Dato,$A933))*2,0)/2)))</f>
        <v/>
      </c>
      <c r="Y933">
        <f>IF(OR(Y$4="",$A933&gt;TODAY()),0,IF(OR(INDEX($B933:$D933,Y$5)="F",AND(Y$6&gt;0,$A933&lt;Y$6),AND(Y$7&gt;0,$A933&gt;Y$7)),0,MAX(0,ROUND((INDEX($E933:$G933,Y$5)-SUMIFS(TF_Timer,TF_Tekniker,Y$4,TF_Dato,$A933))*2,0)/2)))</f>
        <v/>
      </c>
      <c r="Z933">
        <f>IF(OR(Z$4="",$A933&gt;TODAY()),0,IF(OR(INDEX($B933:$D933,Z$5)="F",AND(Z$6&gt;0,$A933&lt;Z$6),AND(Z$7&gt;0,$A933&gt;Z$7)),0,MAX(0,ROUND((INDEX($E933:$G933,Z$5)-SUMIFS(TF_Timer,TF_Tekniker,Z$4,TF_Dato,$A933))*2,0)/2)))</f>
        <v/>
      </c>
      <c r="AA933">
        <f>IF(OR(AA$4="",$A933&gt;TODAY()),0,IF(OR(INDEX($B933:$D933,AA$5)="F",AND(AA$6&gt;0,$A933&lt;AA$6),AND(AA$7&gt;0,$A933&gt;AA$7)),0,MAX(0,ROUND((INDEX($E933:$G933,AA$5)-SUMIFS(TF_Timer,TF_Tekniker,AA$4,TF_Dato,$A933))*2,0)/2)))</f>
        <v/>
      </c>
      <c r="AB933">
        <f>IF(OR(AB$4="",$A933&gt;TODAY()),0,IF(OR(INDEX($B933:$D933,AB$5)="F",AND(AB$6&gt;0,$A933&lt;AB$6),AND(AB$7&gt;0,$A933&gt;AB$7)),0,MAX(0,ROUND((INDEX($E933:$G933,AB$5)-SUMIFS(TF_Timer,TF_Tekniker,AB$4,TF_Dato,$A933))*2,0)/2)))</f>
        <v/>
      </c>
      <c r="AC933">
        <f>IF(OR(AC$4="",$A933&gt;TODAY()),0,IF(OR(INDEX($B933:$D933,AC$5)="F",AND(AC$6&gt;0,$A933&lt;AC$6),AND(AC$7&gt;0,$A933&gt;AC$7)),0,MAX(0,ROUND((INDEX($E933:$G933,AC$5)-SUMIFS(TF_Timer,TF_Tekniker,AC$4,TF_Dato,$A933))*2,0)/2)))</f>
        <v/>
      </c>
      <c r="AD933">
        <f>IF(OR(AD$4="",$A933&gt;TODAY()),0,IF(OR(INDEX($B933:$D933,AD$5)="F",AND(AD$6&gt;0,$A933&lt;AD$6),AND(AD$7&gt;0,$A933&gt;AD$7)),0,MAX(0,ROUND((INDEX($E933:$G933,AD$5)-SUMIFS(TF_Timer,TF_Tekniker,AD$4,TF_Dato,$A933))*2,0)/2)))</f>
        <v/>
      </c>
      <c r="AE933">
        <f>IF(OR(AE$4="",$A933&gt;TODAY()),0,IF(OR(INDEX($B933:$D933,AE$5)="F",AND(AE$6&gt;0,$A933&lt;AE$6),AND(AE$7&gt;0,$A933&gt;AE$7)),0,MAX(0,ROUND((INDEX($E933:$G933,AE$5)-SUMIFS(TF_Timer,TF_Tekniker,AE$4,TF_Dato,$A933))*2,0)/2)))</f>
        <v/>
      </c>
      <c r="AF933">
        <f>IF(OR(AF$4="",$A933&gt;TODAY()),0,IF(OR(INDEX($B933:$D933,AF$5)="F",AND(AF$6&gt;0,$A933&lt;AF$6),AND(AF$7&gt;0,$A933&gt;AF$7)),0,MAX(0,ROUND((INDEX($E933:$G933,AF$5)-SUMIFS(TF_Timer,TF_Tekniker,AF$4,TF_Dato,$A933))*2,0)/2)))</f>
        <v/>
      </c>
      <c r="AG933">
        <f>IF(OR(AG$4="",$A933&gt;TODAY()),0,IF(OR(INDEX($B933:$D933,AG$5)="F",AND(AG$6&gt;0,$A933&lt;AG$6),AND(AG$7&gt;0,$A933&gt;AG$7)),0,MAX(0,ROUND((INDEX($E933:$G933,AG$5)-SUMIFS(TF_Timer,TF_Tekniker,AG$4,TF_Dato,$A933))*2,0)/2)))</f>
        <v/>
      </c>
      <c r="AH933">
        <f>IF(OR(AH$4="",$A933&gt;TODAY()),0,IF(OR(INDEX($B933:$D933,AH$5)="F",AND(AH$6&gt;0,$A933&lt;AH$6),AND(AH$7&gt;0,$A933&gt;AH$7)),0,MAX(0,ROUND((INDEX($E933:$G933,AH$5)-SUMIFS(TF_Timer,TF_Tekniker,AH$4,TF_Dato,$A933))*2,0)/2)))</f>
        <v/>
      </c>
      <c r="AI933">
        <f>IF(OR(AI$4="",$A933&gt;TODAY()),0,IF(OR(INDEX($B933:$D933,AI$5)="F",AND(AI$6&gt;0,$A933&lt;AI$6),AND(AI$7&gt;0,$A933&gt;AI$7)),0,MAX(0,ROUND((INDEX($E933:$G933,AI$5)-SUMIFS(TF_Timer,TF_Tekniker,AI$4,TF_Dato,$A933))*2,0)/2)))</f>
        <v/>
      </c>
      <c r="AJ933">
        <f>IF(OR(AJ$4="",$A933&gt;TODAY()),0,IF(OR(INDEX($B933:$D933,AJ$5)="F",AND(AJ$6&gt;0,$A933&lt;AJ$6),AND(AJ$7&gt;0,$A933&gt;AJ$7)),0,MAX(0,ROUND((INDEX($E933:$G933,AJ$5)-SUMIFS(TF_Timer,TF_Tekniker,AJ$4,TF_Dato,$A933))*2,0)/2)))</f>
        <v/>
      </c>
      <c r="AK933">
        <f>IF(OR(AK$4="",$A933&gt;TODAY()),0,IF(OR(INDEX($B933:$D933,AK$5)="F",AND(AK$6&gt;0,$A933&lt;AK$6),AND(AK$7&gt;0,$A933&gt;AK$7)),0,MAX(0,ROUND((INDEX($E933:$G933,AK$5)-SUMIFS(TF_Timer,TF_Tekniker,AK$4,TF_Dato,$A933))*2,0)/2)))</f>
        <v/>
      </c>
      <c r="AL933">
        <f>IF(OR(AL$4="",$A933&gt;TODAY()),0,IF(OR(INDEX($B933:$D933,AL$5)="F",AND(AL$6&gt;0,$A933&lt;AL$6),AND(AL$7&gt;0,$A933&gt;AL$7)),0,MAX(0,ROUND((INDEX($E933:$G933,AL$5)-SUMIFS(TF_Timer,TF_Tekniker,AL$4,TF_Dato,$A933))*2,0)/2)))</f>
        <v/>
      </c>
      <c r="AM933">
        <f>IF(OR(AM$4="",$A933&gt;TODAY()),0,IF(OR(INDEX($B933:$D933,AM$5)="F",AND(AM$6&gt;0,$A933&lt;AM$6),AND(AM$7&gt;0,$A933&gt;AM$7)),0,MAX(0,ROUND((INDEX($E933:$G933,AM$5)-SUMIFS(TF_Timer,TF_Tekniker,AM$4,TF_Dato,$A933))*2,0)/2)))</f>
        <v/>
      </c>
      <c r="AN933">
        <f>IF(OR(AN$4="",$A933&gt;TODAY()),0,IF(OR(INDEX($B933:$D933,AN$5)="F",AND(AN$6&gt;0,$A933&lt;AN$6),AND(AN$7&gt;0,$A933&gt;AN$7)),0,MAX(0,ROUND((INDEX($E933:$G933,AN$5)-SUMIFS(TF_Timer,TF_Tekniker,AN$4,TF_Dato,$A933))*2,0)/2)))</f>
        <v/>
      </c>
      <c r="AO933">
        <f>IF(OR(AO$4="",$A933&gt;TODAY()),0,IF(OR(INDEX($B933:$D933,AO$5)="F",AND(AO$6&gt;0,$A933&lt;AO$6),AND(AO$7&gt;0,$A933&gt;AO$7)),0,MAX(0,ROUND((INDEX($E933:$G933,AO$5)-SUMIFS(TF_Timer,TF_Tekniker,AO$4,TF_Dato,$A933))*2,0)/2)))</f>
        <v/>
      </c>
      <c r="AP933">
        <f>IF(OR(AP$4="",$A933&gt;TODAY()),0,IF(OR(INDEX($B933:$D933,AP$5)="F",AND(AP$6&gt;0,$A933&lt;AP$6),AND(AP$7&gt;0,$A933&gt;AP$7)),0,MAX(0,ROUND((INDEX($E933:$G933,AP$5)-SUMIFS(TF_Timer,TF_Tekniker,AP$4,TF_Dato,$A933))*2,0)/2)))</f>
        <v/>
      </c>
      <c r="AQ933">
        <f>IF(OR(AQ$4="",$A933&gt;TODAY()),0,IF(OR(INDEX($B933:$D933,AQ$5)="F",AND(AQ$6&gt;0,$A933&lt;AQ$6),AND(AQ$7&gt;0,$A933&gt;AQ$7)),0,MAX(0,ROUND((INDEX($E933:$G933,AQ$5)-SUMIFS(TF_Timer,TF_Tekniker,AQ$4,TF_Dato,$A933))*2,0)/2)))</f>
        <v/>
      </c>
      <c r="AR933">
        <f>IF(OR(AR$4="",$A933&gt;TODAY()),0,IF(OR(INDEX($B933:$D933,AR$5)="F",AND(AR$6&gt;0,$A933&lt;AR$6),AND(AR$7&gt;0,$A933&gt;AR$7)),0,MAX(0,ROUND((INDEX($E933:$G933,AR$5)-SUMIFS(TF_Timer,TF_Tekniker,AR$4,TF_Dato,$A933))*2,0)/2)))</f>
        <v/>
      </c>
      <c r="AS933">
        <f>IF(OR(AS$4="",$A933&gt;TODAY()),0,IF(OR(INDEX($B933:$D933,AS$5)="F",AND(AS$6&gt;0,$A933&lt;AS$6),AND(AS$7&gt;0,$A933&gt;AS$7)),0,MAX(0,ROUND((INDEX($E933:$G933,AS$5)-SUMIFS(TF_Timer,TF_Tekniker,AS$4,TF_Dato,$A933))*2,0)/2)))</f>
        <v/>
      </c>
      <c r="AT933">
        <f>IF(OR(AT$4="",$A933&gt;TODAY()),0,IF(OR(INDEX($B933:$D933,AT$5)="F",AND(AT$6&gt;0,$A933&lt;AT$6),AND(AT$7&gt;0,$A933&gt;AT$7)),0,MAX(0,ROUND((INDEX($E933:$G933,AT$5)-SUMIFS(TF_Timer,TF_Tekniker,AT$4,TF_Dato,$A933))*2,0)/2)))</f>
        <v/>
      </c>
      <c r="AU933">
        <f>IF(OR(AU$4="",$A933&gt;TODAY()),0,IF(OR(INDEX($B933:$D933,AU$5)="F",AND(AU$6&gt;0,$A933&lt;AU$6),AND(AU$7&gt;0,$A933&gt;AU$7)),0,MAX(0,ROUND((INDEX($E933:$G933,AU$5)-SUMIFS(TF_Timer,TF_Tekniker,AU$4,TF_Dato,$A933))*2,0)/2)))</f>
        <v/>
      </c>
      <c r="AV933">
        <f>IF(OR(AV$4="",$A933&gt;TODAY()),0,IF(OR(INDEX($B933:$D933,AV$5)="F",AND(AV$6&gt;0,$A933&lt;AV$6),AND(AV$7&gt;0,$A933&gt;AV$7)),0,MAX(0,ROUND((INDEX($E933:$G933,AV$5)-SUMIFS(TF_Timer,TF_Tekniker,AV$4,TF_Dato,$A933))*2,0)/2)))</f>
        <v/>
      </c>
      <c r="AW933">
        <f>IF(OR(AW$4="",$A933&gt;TODAY()),0,IF(OR(INDEX($B933:$D933,AW$5)="F",AND(AW$6&gt;0,$A933&lt;AW$6),AND(AW$7&gt;0,$A933&gt;AW$7)),0,MAX(0,ROUND((INDEX($E933:$G933,AW$5)-SUMIFS(TF_Timer,TF_Tekniker,AW$4,TF_Dato,$A933))*2,0)/2)))</f>
        <v/>
      </c>
      <c r="AX933">
        <f>IF(OR(AX$4="",$A933&gt;TODAY()),0,IF(OR(INDEX($B933:$D933,AX$5)="F",AND(AX$6&gt;0,$A933&lt;AX$6),AND(AX$7&gt;0,$A933&gt;AX$7)),0,MAX(0,ROUND((INDEX($E933:$G933,AX$5)-SUMIFS(TF_Timer,TF_Tekniker,AX$4,TF_Dato,$A933))*2,0)/2)))</f>
        <v/>
      </c>
      <c r="AY933">
        <f>IF(OR(AY$4="",$A933&gt;TODAY()),0,IF(OR(INDEX($B933:$D933,AY$5)="F",AND(AY$6&gt;0,$A933&lt;AY$6),AND(AY$7&gt;0,$A933&gt;AY$7)),0,MAX(0,ROUND((INDEX($E933:$G933,AY$5)-SUMIFS(TF_Timer,TF_Tekniker,AY$4,TF_Dato,$A933))*2,0)/2)))</f>
        <v/>
      </c>
      <c r="AZ933">
        <f>IF(OR(AZ$4="",$A933&gt;TODAY()),0,IF(OR(INDEX($B933:$D933,AZ$5)="F",AND(AZ$6&gt;0,$A933&lt;AZ$6),AND(AZ$7&gt;0,$A933&gt;AZ$7)),0,MAX(0,ROUND((INDEX($E933:$G933,AZ$5)-SUMIFS(TF_Timer,TF_Tekniker,AZ$4,TF_Dato,$A933))*2,0)/2)))</f>
        <v/>
      </c>
      <c r="BA933">
        <f>IF(OR(BA$4="",$A933&gt;TODAY()),0,IF(OR(INDEX($B933:$D933,BA$5)="F",AND(BA$6&gt;0,$A933&lt;BA$6),AND(BA$7&gt;0,$A933&gt;BA$7)),0,MAX(0,ROUND((INDEX($E933:$G933,BA$5)-SUMIFS(TF_Timer,TF_Tekniker,BA$4,TF_Dato,$A933))*2,0)/2)))</f>
        <v/>
      </c>
      <c r="BB933">
        <f>IF(OR(BB$4="",$A933&gt;TODAY()),0,IF(OR(INDEX($B933:$D933,BB$5)="F",AND(BB$6&gt;0,$A933&lt;BB$6),AND(BB$7&gt;0,$A933&gt;BB$7)),0,MAX(0,ROUND((INDEX($E933:$G933,BB$5)-SUMIFS(TF_Timer,TF_Tekniker,BB$4,TF_Dato,$A933))*2,0)/2)))</f>
        <v/>
      </c>
      <c r="BC933">
        <f>IF(OR(BC$4="",$A933&gt;TODAY()),0,IF(OR(INDEX($B933:$D933,BC$5)="F",AND(BC$6&gt;0,$A933&lt;BC$6),AND(BC$7&gt;0,$A933&gt;BC$7)),0,MAX(0,ROUND((INDEX($E933:$G933,BC$5)-SUMIFS(TF_Timer,TF_Tekniker,BC$4,TF_Dato,$A933))*2,0)/2)))</f>
        <v/>
      </c>
      <c r="BD933">
        <f>IF(OR(BD$4="",$A933&gt;TODAY()),0,IF(OR(INDEX($B933:$D933,BD$5)="F",AND(BD$6&gt;0,$A933&lt;BD$6),AND(BD$7&gt;0,$A933&gt;BD$7)),0,MAX(0,ROUND((INDEX($E933:$G933,BD$5)-SUMIFS(TF_Timer,TF_Tekniker,BD$4,TF_Dato,$A933))*2,0)/2)))</f>
        <v/>
      </c>
      <c r="BE933">
        <f>IF(OR(BE$4="",$A933&gt;TODAY()),0,IF(OR(INDEX($B933:$D933,BE$5)="F",AND(BE$6&gt;0,$A933&lt;BE$6),AND(BE$7&gt;0,$A933&gt;BE$7)),0,MAX(0,ROUND((INDEX($E933:$G933,BE$5)-SUMIFS(TF_Timer,TF_Tekniker,BE$4,TF_Dato,$A933))*2,0)/2)))</f>
        <v/>
      </c>
      <c r="BF933">
        <f>IF(OR(BF$4="",$A933&gt;TODAY()),0,IF(OR(INDEX($B933:$D933,BF$5)="F",AND(BF$6&gt;0,$A933&lt;BF$6),AND(BF$7&gt;0,$A933&gt;BF$7)),0,MAX(0,ROUND((INDEX($E933:$G933,BF$5)-SUMIFS(TF_Timer,TF_Tekniker,BF$4,TF_Dato,$A933))*2,0)/2)))</f>
        <v/>
      </c>
      <c r="BG933">
        <f>IF(OR(BG$4="",$A933&gt;TODAY()),0,IF(OR(INDEX($B933:$D933,BG$5)="F",AND(BG$6&gt;0,$A933&lt;BG$6),AND(BG$7&gt;0,$A933&gt;BG$7)),0,MAX(0,ROUND((INDEX($E933:$G933,BG$5)-SUMIFS(TF_Timer,TF_Tekniker,BG$4,TF_Dato,$A933))*2,0)/2)))</f>
        <v/>
      </c>
      <c r="BH933">
        <f>IF(OR(BH$4="",$A933&gt;TODAY()),0,IF(OR(INDEX($B933:$D933,BH$5)="F",AND(BH$6&gt;0,$A933&lt;BH$6),AND(BH$7&gt;0,$A933&gt;BH$7)),0,MAX(0,ROUND((INDEX($E933:$G933,BH$5)-SUMIFS(TF_Timer,TF_Tekniker,BH$4,TF_Dato,$A933))*2,0)/2)))</f>
        <v/>
      </c>
      <c r="BI933">
        <f>IF(OR(BI$4="",$A933&gt;TODAY()),0,IF(OR(INDEX($B933:$D933,BI$5)="F",AND(BI$6&gt;0,$A933&lt;BI$6),AND(BI$7&gt;0,$A933&gt;BI$7)),0,MAX(0,ROUND((INDEX($E933:$G933,BI$5)-SUMIFS(TF_Timer,TF_Tekniker,BI$4,TF_Dato,$A933))*2,0)/2)))</f>
        <v/>
      </c>
    </row>
    <row r="934">
      <c r="A934" s="64">
        <f>A933+1</f>
        <v/>
      </c>
      <c r="B934">
        <f>IF(MOD($A934-INDEX(SkiftStart,1),Syklus)&lt;DagK,"K",IF(MOD($A934-INDEX(SkiftStart,1),Syklus)&lt;DagK+DagH,"H",IF(MOD($A934-INDEX(SkiftStart,1),Syklus)&lt;DagK+DagH+DagD,"D","F")))</f>
        <v/>
      </c>
      <c r="C934">
        <f>IF(MOD($A934-INDEX(SkiftStart,2),Syklus)&lt;DagK,"K",IF(MOD($A934-INDEX(SkiftStart,2),Syklus)&lt;DagK+DagH,"H",IF(MOD($A934-INDEX(SkiftStart,2),Syklus)&lt;DagK+DagH+DagD,"D","F")))</f>
        <v/>
      </c>
      <c r="D934">
        <f>IF(MOD($A934-INDEX(SkiftStart,3),Syklus)&lt;DagK,"K",IF(MOD($A934-INDEX(SkiftStart,3),Syklus)&lt;DagK+DagH,"H",IF(MOD($A934-INDEX(SkiftStart,3),Syklus)&lt;DagK+DagH+DagD,"D","F")))</f>
        <v/>
      </c>
      <c r="E934">
        <f>IF(B934="F",0,IF(WEEKDAY($A934,2)=5,INDEX(TimerFr,MATCH(B934,FaseKode,0)),INDEX(TimerMT,MATCH(B934,FaseKode,0))))</f>
        <v/>
      </c>
      <c r="F934">
        <f>IF(C934="F",0,IF(WEEKDAY($A934,2)=5,INDEX(TimerFr,MATCH(C934,FaseKode,0)),INDEX(TimerMT,MATCH(C934,FaseKode,0))))</f>
        <v/>
      </c>
      <c r="G934">
        <f>IF(D934="F",0,IF(WEEKDAY($A934,2)=5,INDEX(TimerFr,MATCH(D934,FaseKode,0)),INDEX(TimerMT,MATCH(D934,FaseKode,0))))</f>
        <v/>
      </c>
      <c r="H934">
        <f>IF(OR(H$4="",$A934&gt;TODAY()),0,IF(OR(INDEX($B934:$D934,H$5)="F",AND(H$6&gt;0,$A934&lt;H$6),AND(H$7&gt;0,$A934&gt;H$7)),0,MAX(0,ROUND((INDEX($E934:$G934,H$5)-SUMIFS(TF_Timer,TF_Tekniker,H$4,TF_Dato,$A934))*2,0)/2)))</f>
        <v/>
      </c>
      <c r="I934">
        <f>IF(OR(I$4="",$A934&gt;TODAY()),0,IF(OR(INDEX($B934:$D934,I$5)="F",AND(I$6&gt;0,$A934&lt;I$6),AND(I$7&gt;0,$A934&gt;I$7)),0,MAX(0,ROUND((INDEX($E934:$G934,I$5)-SUMIFS(TF_Timer,TF_Tekniker,I$4,TF_Dato,$A934))*2,0)/2)))</f>
        <v/>
      </c>
      <c r="J934">
        <f>IF(OR(J$4="",$A934&gt;TODAY()),0,IF(OR(INDEX($B934:$D934,J$5)="F",AND(J$6&gt;0,$A934&lt;J$6),AND(J$7&gt;0,$A934&gt;J$7)),0,MAX(0,ROUND((INDEX($E934:$G934,J$5)-SUMIFS(TF_Timer,TF_Tekniker,J$4,TF_Dato,$A934))*2,0)/2)))</f>
        <v/>
      </c>
      <c r="K934">
        <f>IF(OR(K$4="",$A934&gt;TODAY()),0,IF(OR(INDEX($B934:$D934,K$5)="F",AND(K$6&gt;0,$A934&lt;K$6),AND(K$7&gt;0,$A934&gt;K$7)),0,MAX(0,ROUND((INDEX($E934:$G934,K$5)-SUMIFS(TF_Timer,TF_Tekniker,K$4,TF_Dato,$A934))*2,0)/2)))</f>
        <v/>
      </c>
      <c r="L934">
        <f>IF(OR(L$4="",$A934&gt;TODAY()),0,IF(OR(INDEX($B934:$D934,L$5)="F",AND(L$6&gt;0,$A934&lt;L$6),AND(L$7&gt;0,$A934&gt;L$7)),0,MAX(0,ROUND((INDEX($E934:$G934,L$5)-SUMIFS(TF_Timer,TF_Tekniker,L$4,TF_Dato,$A934))*2,0)/2)))</f>
        <v/>
      </c>
      <c r="M934">
        <f>IF(OR(M$4="",$A934&gt;TODAY()),0,IF(OR(INDEX($B934:$D934,M$5)="F",AND(M$6&gt;0,$A934&lt;M$6),AND(M$7&gt;0,$A934&gt;M$7)),0,MAX(0,ROUND((INDEX($E934:$G934,M$5)-SUMIFS(TF_Timer,TF_Tekniker,M$4,TF_Dato,$A934))*2,0)/2)))</f>
        <v/>
      </c>
      <c r="N934">
        <f>IF(OR(N$4="",$A934&gt;TODAY()),0,IF(OR(INDEX($B934:$D934,N$5)="F",AND(N$6&gt;0,$A934&lt;N$6),AND(N$7&gt;0,$A934&gt;N$7)),0,MAX(0,ROUND((INDEX($E934:$G934,N$5)-SUMIFS(TF_Timer,TF_Tekniker,N$4,TF_Dato,$A934))*2,0)/2)))</f>
        <v/>
      </c>
      <c r="O934">
        <f>IF(OR(O$4="",$A934&gt;TODAY()),0,IF(OR(INDEX($B934:$D934,O$5)="F",AND(O$6&gt;0,$A934&lt;O$6),AND(O$7&gt;0,$A934&gt;O$7)),0,MAX(0,ROUND((INDEX($E934:$G934,O$5)-SUMIFS(TF_Timer,TF_Tekniker,O$4,TF_Dato,$A934))*2,0)/2)))</f>
        <v/>
      </c>
      <c r="P934">
        <f>IF(OR(P$4="",$A934&gt;TODAY()),0,IF(OR(INDEX($B934:$D934,P$5)="F",AND(P$6&gt;0,$A934&lt;P$6),AND(P$7&gt;0,$A934&gt;P$7)),0,MAX(0,ROUND((INDEX($E934:$G934,P$5)-SUMIFS(TF_Timer,TF_Tekniker,P$4,TF_Dato,$A934))*2,0)/2)))</f>
        <v/>
      </c>
      <c r="Q934">
        <f>IF(OR(Q$4="",$A934&gt;TODAY()),0,IF(OR(INDEX($B934:$D934,Q$5)="F",AND(Q$6&gt;0,$A934&lt;Q$6),AND(Q$7&gt;0,$A934&gt;Q$7)),0,MAX(0,ROUND((INDEX($E934:$G934,Q$5)-SUMIFS(TF_Timer,TF_Tekniker,Q$4,TF_Dato,$A934))*2,0)/2)))</f>
        <v/>
      </c>
      <c r="R934">
        <f>IF(OR(R$4="",$A934&gt;TODAY()),0,IF(OR(INDEX($B934:$D934,R$5)="F",AND(R$6&gt;0,$A934&lt;R$6),AND(R$7&gt;0,$A934&gt;R$7)),0,MAX(0,ROUND((INDEX($E934:$G934,R$5)-SUMIFS(TF_Timer,TF_Tekniker,R$4,TF_Dato,$A934))*2,0)/2)))</f>
        <v/>
      </c>
      <c r="S934">
        <f>IF(OR(S$4="",$A934&gt;TODAY()),0,IF(OR(INDEX($B934:$D934,S$5)="F",AND(S$6&gt;0,$A934&lt;S$6),AND(S$7&gt;0,$A934&gt;S$7)),0,MAX(0,ROUND((INDEX($E934:$G934,S$5)-SUMIFS(TF_Timer,TF_Tekniker,S$4,TF_Dato,$A934))*2,0)/2)))</f>
        <v/>
      </c>
      <c r="T934">
        <f>IF(OR(T$4="",$A934&gt;TODAY()),0,IF(OR(INDEX($B934:$D934,T$5)="F",AND(T$6&gt;0,$A934&lt;T$6),AND(T$7&gt;0,$A934&gt;T$7)),0,MAX(0,ROUND((INDEX($E934:$G934,T$5)-SUMIFS(TF_Timer,TF_Tekniker,T$4,TF_Dato,$A934))*2,0)/2)))</f>
        <v/>
      </c>
      <c r="U934">
        <f>IF(OR(U$4="",$A934&gt;TODAY()),0,IF(OR(INDEX($B934:$D934,U$5)="F",AND(U$6&gt;0,$A934&lt;U$6),AND(U$7&gt;0,$A934&gt;U$7)),0,MAX(0,ROUND((INDEX($E934:$G934,U$5)-SUMIFS(TF_Timer,TF_Tekniker,U$4,TF_Dato,$A934))*2,0)/2)))</f>
        <v/>
      </c>
      <c r="V934">
        <f>IF(OR(V$4="",$A934&gt;TODAY()),0,IF(OR(INDEX($B934:$D934,V$5)="F",AND(V$6&gt;0,$A934&lt;V$6),AND(V$7&gt;0,$A934&gt;V$7)),0,MAX(0,ROUND((INDEX($E934:$G934,V$5)-SUMIFS(TF_Timer,TF_Tekniker,V$4,TF_Dato,$A934))*2,0)/2)))</f>
        <v/>
      </c>
      <c r="W934">
        <f>IF(OR(W$4="",$A934&gt;TODAY()),0,IF(OR(INDEX($B934:$D934,W$5)="F",AND(W$6&gt;0,$A934&lt;W$6),AND(W$7&gt;0,$A934&gt;W$7)),0,MAX(0,ROUND((INDEX($E934:$G934,W$5)-SUMIFS(TF_Timer,TF_Tekniker,W$4,TF_Dato,$A934))*2,0)/2)))</f>
        <v/>
      </c>
      <c r="X934">
        <f>IF(OR(X$4="",$A934&gt;TODAY()),0,IF(OR(INDEX($B934:$D934,X$5)="F",AND(X$6&gt;0,$A934&lt;X$6),AND(X$7&gt;0,$A934&gt;X$7)),0,MAX(0,ROUND((INDEX($E934:$G934,X$5)-SUMIFS(TF_Timer,TF_Tekniker,X$4,TF_Dato,$A934))*2,0)/2)))</f>
        <v/>
      </c>
      <c r="Y934">
        <f>IF(OR(Y$4="",$A934&gt;TODAY()),0,IF(OR(INDEX($B934:$D934,Y$5)="F",AND(Y$6&gt;0,$A934&lt;Y$6),AND(Y$7&gt;0,$A934&gt;Y$7)),0,MAX(0,ROUND((INDEX($E934:$G934,Y$5)-SUMIFS(TF_Timer,TF_Tekniker,Y$4,TF_Dato,$A934))*2,0)/2)))</f>
        <v/>
      </c>
      <c r="Z934">
        <f>IF(OR(Z$4="",$A934&gt;TODAY()),0,IF(OR(INDEX($B934:$D934,Z$5)="F",AND(Z$6&gt;0,$A934&lt;Z$6),AND(Z$7&gt;0,$A934&gt;Z$7)),0,MAX(0,ROUND((INDEX($E934:$G934,Z$5)-SUMIFS(TF_Timer,TF_Tekniker,Z$4,TF_Dato,$A934))*2,0)/2)))</f>
        <v/>
      </c>
      <c r="AA934">
        <f>IF(OR(AA$4="",$A934&gt;TODAY()),0,IF(OR(INDEX($B934:$D934,AA$5)="F",AND(AA$6&gt;0,$A934&lt;AA$6),AND(AA$7&gt;0,$A934&gt;AA$7)),0,MAX(0,ROUND((INDEX($E934:$G934,AA$5)-SUMIFS(TF_Timer,TF_Tekniker,AA$4,TF_Dato,$A934))*2,0)/2)))</f>
        <v/>
      </c>
      <c r="AB934">
        <f>IF(OR(AB$4="",$A934&gt;TODAY()),0,IF(OR(INDEX($B934:$D934,AB$5)="F",AND(AB$6&gt;0,$A934&lt;AB$6),AND(AB$7&gt;0,$A934&gt;AB$7)),0,MAX(0,ROUND((INDEX($E934:$G934,AB$5)-SUMIFS(TF_Timer,TF_Tekniker,AB$4,TF_Dato,$A934))*2,0)/2)))</f>
        <v/>
      </c>
      <c r="AC934">
        <f>IF(OR(AC$4="",$A934&gt;TODAY()),0,IF(OR(INDEX($B934:$D934,AC$5)="F",AND(AC$6&gt;0,$A934&lt;AC$6),AND(AC$7&gt;0,$A934&gt;AC$7)),0,MAX(0,ROUND((INDEX($E934:$G934,AC$5)-SUMIFS(TF_Timer,TF_Tekniker,AC$4,TF_Dato,$A934))*2,0)/2)))</f>
        <v/>
      </c>
      <c r="AD934">
        <f>IF(OR(AD$4="",$A934&gt;TODAY()),0,IF(OR(INDEX($B934:$D934,AD$5)="F",AND(AD$6&gt;0,$A934&lt;AD$6),AND(AD$7&gt;0,$A934&gt;AD$7)),0,MAX(0,ROUND((INDEX($E934:$G934,AD$5)-SUMIFS(TF_Timer,TF_Tekniker,AD$4,TF_Dato,$A934))*2,0)/2)))</f>
        <v/>
      </c>
      <c r="AE934">
        <f>IF(OR(AE$4="",$A934&gt;TODAY()),0,IF(OR(INDEX($B934:$D934,AE$5)="F",AND(AE$6&gt;0,$A934&lt;AE$6),AND(AE$7&gt;0,$A934&gt;AE$7)),0,MAX(0,ROUND((INDEX($E934:$G934,AE$5)-SUMIFS(TF_Timer,TF_Tekniker,AE$4,TF_Dato,$A934))*2,0)/2)))</f>
        <v/>
      </c>
      <c r="AF934">
        <f>IF(OR(AF$4="",$A934&gt;TODAY()),0,IF(OR(INDEX($B934:$D934,AF$5)="F",AND(AF$6&gt;0,$A934&lt;AF$6),AND(AF$7&gt;0,$A934&gt;AF$7)),0,MAX(0,ROUND((INDEX($E934:$G934,AF$5)-SUMIFS(TF_Timer,TF_Tekniker,AF$4,TF_Dato,$A934))*2,0)/2)))</f>
        <v/>
      </c>
      <c r="AG934">
        <f>IF(OR(AG$4="",$A934&gt;TODAY()),0,IF(OR(INDEX($B934:$D934,AG$5)="F",AND(AG$6&gt;0,$A934&lt;AG$6),AND(AG$7&gt;0,$A934&gt;AG$7)),0,MAX(0,ROUND((INDEX($E934:$G934,AG$5)-SUMIFS(TF_Timer,TF_Tekniker,AG$4,TF_Dato,$A934))*2,0)/2)))</f>
        <v/>
      </c>
      <c r="AH934">
        <f>IF(OR(AH$4="",$A934&gt;TODAY()),0,IF(OR(INDEX($B934:$D934,AH$5)="F",AND(AH$6&gt;0,$A934&lt;AH$6),AND(AH$7&gt;0,$A934&gt;AH$7)),0,MAX(0,ROUND((INDEX($E934:$G934,AH$5)-SUMIFS(TF_Timer,TF_Tekniker,AH$4,TF_Dato,$A934))*2,0)/2)))</f>
        <v/>
      </c>
      <c r="AI934">
        <f>IF(OR(AI$4="",$A934&gt;TODAY()),0,IF(OR(INDEX($B934:$D934,AI$5)="F",AND(AI$6&gt;0,$A934&lt;AI$6),AND(AI$7&gt;0,$A934&gt;AI$7)),0,MAX(0,ROUND((INDEX($E934:$G934,AI$5)-SUMIFS(TF_Timer,TF_Tekniker,AI$4,TF_Dato,$A934))*2,0)/2)))</f>
        <v/>
      </c>
      <c r="AJ934">
        <f>IF(OR(AJ$4="",$A934&gt;TODAY()),0,IF(OR(INDEX($B934:$D934,AJ$5)="F",AND(AJ$6&gt;0,$A934&lt;AJ$6),AND(AJ$7&gt;0,$A934&gt;AJ$7)),0,MAX(0,ROUND((INDEX($E934:$G934,AJ$5)-SUMIFS(TF_Timer,TF_Tekniker,AJ$4,TF_Dato,$A934))*2,0)/2)))</f>
        <v/>
      </c>
      <c r="AK934">
        <f>IF(OR(AK$4="",$A934&gt;TODAY()),0,IF(OR(INDEX($B934:$D934,AK$5)="F",AND(AK$6&gt;0,$A934&lt;AK$6),AND(AK$7&gt;0,$A934&gt;AK$7)),0,MAX(0,ROUND((INDEX($E934:$G934,AK$5)-SUMIFS(TF_Timer,TF_Tekniker,AK$4,TF_Dato,$A934))*2,0)/2)))</f>
        <v/>
      </c>
      <c r="AL934">
        <f>IF(OR(AL$4="",$A934&gt;TODAY()),0,IF(OR(INDEX($B934:$D934,AL$5)="F",AND(AL$6&gt;0,$A934&lt;AL$6),AND(AL$7&gt;0,$A934&gt;AL$7)),0,MAX(0,ROUND((INDEX($E934:$G934,AL$5)-SUMIFS(TF_Timer,TF_Tekniker,AL$4,TF_Dato,$A934))*2,0)/2)))</f>
        <v/>
      </c>
      <c r="AM934">
        <f>IF(OR(AM$4="",$A934&gt;TODAY()),0,IF(OR(INDEX($B934:$D934,AM$5)="F",AND(AM$6&gt;0,$A934&lt;AM$6),AND(AM$7&gt;0,$A934&gt;AM$7)),0,MAX(0,ROUND((INDEX($E934:$G934,AM$5)-SUMIFS(TF_Timer,TF_Tekniker,AM$4,TF_Dato,$A934))*2,0)/2)))</f>
        <v/>
      </c>
      <c r="AN934">
        <f>IF(OR(AN$4="",$A934&gt;TODAY()),0,IF(OR(INDEX($B934:$D934,AN$5)="F",AND(AN$6&gt;0,$A934&lt;AN$6),AND(AN$7&gt;0,$A934&gt;AN$7)),0,MAX(0,ROUND((INDEX($E934:$G934,AN$5)-SUMIFS(TF_Timer,TF_Tekniker,AN$4,TF_Dato,$A934))*2,0)/2)))</f>
        <v/>
      </c>
      <c r="AO934">
        <f>IF(OR(AO$4="",$A934&gt;TODAY()),0,IF(OR(INDEX($B934:$D934,AO$5)="F",AND(AO$6&gt;0,$A934&lt;AO$6),AND(AO$7&gt;0,$A934&gt;AO$7)),0,MAX(0,ROUND((INDEX($E934:$G934,AO$5)-SUMIFS(TF_Timer,TF_Tekniker,AO$4,TF_Dato,$A934))*2,0)/2)))</f>
        <v/>
      </c>
      <c r="AP934">
        <f>IF(OR(AP$4="",$A934&gt;TODAY()),0,IF(OR(INDEX($B934:$D934,AP$5)="F",AND(AP$6&gt;0,$A934&lt;AP$6),AND(AP$7&gt;0,$A934&gt;AP$7)),0,MAX(0,ROUND((INDEX($E934:$G934,AP$5)-SUMIFS(TF_Timer,TF_Tekniker,AP$4,TF_Dato,$A934))*2,0)/2)))</f>
        <v/>
      </c>
      <c r="AQ934">
        <f>IF(OR(AQ$4="",$A934&gt;TODAY()),0,IF(OR(INDEX($B934:$D934,AQ$5)="F",AND(AQ$6&gt;0,$A934&lt;AQ$6),AND(AQ$7&gt;0,$A934&gt;AQ$7)),0,MAX(0,ROUND((INDEX($E934:$G934,AQ$5)-SUMIFS(TF_Timer,TF_Tekniker,AQ$4,TF_Dato,$A934))*2,0)/2)))</f>
        <v/>
      </c>
      <c r="AR934">
        <f>IF(OR(AR$4="",$A934&gt;TODAY()),0,IF(OR(INDEX($B934:$D934,AR$5)="F",AND(AR$6&gt;0,$A934&lt;AR$6),AND(AR$7&gt;0,$A934&gt;AR$7)),0,MAX(0,ROUND((INDEX($E934:$G934,AR$5)-SUMIFS(TF_Timer,TF_Tekniker,AR$4,TF_Dato,$A934))*2,0)/2)))</f>
        <v/>
      </c>
      <c r="AS934">
        <f>IF(OR(AS$4="",$A934&gt;TODAY()),0,IF(OR(INDEX($B934:$D934,AS$5)="F",AND(AS$6&gt;0,$A934&lt;AS$6),AND(AS$7&gt;0,$A934&gt;AS$7)),0,MAX(0,ROUND((INDEX($E934:$G934,AS$5)-SUMIFS(TF_Timer,TF_Tekniker,AS$4,TF_Dato,$A934))*2,0)/2)))</f>
        <v/>
      </c>
      <c r="AT934">
        <f>IF(OR(AT$4="",$A934&gt;TODAY()),0,IF(OR(INDEX($B934:$D934,AT$5)="F",AND(AT$6&gt;0,$A934&lt;AT$6),AND(AT$7&gt;0,$A934&gt;AT$7)),0,MAX(0,ROUND((INDEX($E934:$G934,AT$5)-SUMIFS(TF_Timer,TF_Tekniker,AT$4,TF_Dato,$A934))*2,0)/2)))</f>
        <v/>
      </c>
      <c r="AU934">
        <f>IF(OR(AU$4="",$A934&gt;TODAY()),0,IF(OR(INDEX($B934:$D934,AU$5)="F",AND(AU$6&gt;0,$A934&lt;AU$6),AND(AU$7&gt;0,$A934&gt;AU$7)),0,MAX(0,ROUND((INDEX($E934:$G934,AU$5)-SUMIFS(TF_Timer,TF_Tekniker,AU$4,TF_Dato,$A934))*2,0)/2)))</f>
        <v/>
      </c>
      <c r="AV934">
        <f>IF(OR(AV$4="",$A934&gt;TODAY()),0,IF(OR(INDEX($B934:$D934,AV$5)="F",AND(AV$6&gt;0,$A934&lt;AV$6),AND(AV$7&gt;0,$A934&gt;AV$7)),0,MAX(0,ROUND((INDEX($E934:$G934,AV$5)-SUMIFS(TF_Timer,TF_Tekniker,AV$4,TF_Dato,$A934))*2,0)/2)))</f>
        <v/>
      </c>
      <c r="AW934">
        <f>IF(OR(AW$4="",$A934&gt;TODAY()),0,IF(OR(INDEX($B934:$D934,AW$5)="F",AND(AW$6&gt;0,$A934&lt;AW$6),AND(AW$7&gt;0,$A934&gt;AW$7)),0,MAX(0,ROUND((INDEX($E934:$G934,AW$5)-SUMIFS(TF_Timer,TF_Tekniker,AW$4,TF_Dato,$A934))*2,0)/2)))</f>
        <v/>
      </c>
      <c r="AX934">
        <f>IF(OR(AX$4="",$A934&gt;TODAY()),0,IF(OR(INDEX($B934:$D934,AX$5)="F",AND(AX$6&gt;0,$A934&lt;AX$6),AND(AX$7&gt;0,$A934&gt;AX$7)),0,MAX(0,ROUND((INDEX($E934:$G934,AX$5)-SUMIFS(TF_Timer,TF_Tekniker,AX$4,TF_Dato,$A934))*2,0)/2)))</f>
        <v/>
      </c>
      <c r="AY934">
        <f>IF(OR(AY$4="",$A934&gt;TODAY()),0,IF(OR(INDEX($B934:$D934,AY$5)="F",AND(AY$6&gt;0,$A934&lt;AY$6),AND(AY$7&gt;0,$A934&gt;AY$7)),0,MAX(0,ROUND((INDEX($E934:$G934,AY$5)-SUMIFS(TF_Timer,TF_Tekniker,AY$4,TF_Dato,$A934))*2,0)/2)))</f>
        <v/>
      </c>
      <c r="AZ934">
        <f>IF(OR(AZ$4="",$A934&gt;TODAY()),0,IF(OR(INDEX($B934:$D934,AZ$5)="F",AND(AZ$6&gt;0,$A934&lt;AZ$6),AND(AZ$7&gt;0,$A934&gt;AZ$7)),0,MAX(0,ROUND((INDEX($E934:$G934,AZ$5)-SUMIFS(TF_Timer,TF_Tekniker,AZ$4,TF_Dato,$A934))*2,0)/2)))</f>
        <v/>
      </c>
      <c r="BA934">
        <f>IF(OR(BA$4="",$A934&gt;TODAY()),0,IF(OR(INDEX($B934:$D934,BA$5)="F",AND(BA$6&gt;0,$A934&lt;BA$6),AND(BA$7&gt;0,$A934&gt;BA$7)),0,MAX(0,ROUND((INDEX($E934:$G934,BA$5)-SUMIFS(TF_Timer,TF_Tekniker,BA$4,TF_Dato,$A934))*2,0)/2)))</f>
        <v/>
      </c>
      <c r="BB934">
        <f>IF(OR(BB$4="",$A934&gt;TODAY()),0,IF(OR(INDEX($B934:$D934,BB$5)="F",AND(BB$6&gt;0,$A934&lt;BB$6),AND(BB$7&gt;0,$A934&gt;BB$7)),0,MAX(0,ROUND((INDEX($E934:$G934,BB$5)-SUMIFS(TF_Timer,TF_Tekniker,BB$4,TF_Dato,$A934))*2,0)/2)))</f>
        <v/>
      </c>
      <c r="BC934">
        <f>IF(OR(BC$4="",$A934&gt;TODAY()),0,IF(OR(INDEX($B934:$D934,BC$5)="F",AND(BC$6&gt;0,$A934&lt;BC$6),AND(BC$7&gt;0,$A934&gt;BC$7)),0,MAX(0,ROUND((INDEX($E934:$G934,BC$5)-SUMIFS(TF_Timer,TF_Tekniker,BC$4,TF_Dato,$A934))*2,0)/2)))</f>
        <v/>
      </c>
      <c r="BD934">
        <f>IF(OR(BD$4="",$A934&gt;TODAY()),0,IF(OR(INDEX($B934:$D934,BD$5)="F",AND(BD$6&gt;0,$A934&lt;BD$6),AND(BD$7&gt;0,$A934&gt;BD$7)),0,MAX(0,ROUND((INDEX($E934:$G934,BD$5)-SUMIFS(TF_Timer,TF_Tekniker,BD$4,TF_Dato,$A934))*2,0)/2)))</f>
        <v/>
      </c>
      <c r="BE934">
        <f>IF(OR(BE$4="",$A934&gt;TODAY()),0,IF(OR(INDEX($B934:$D934,BE$5)="F",AND(BE$6&gt;0,$A934&lt;BE$6),AND(BE$7&gt;0,$A934&gt;BE$7)),0,MAX(0,ROUND((INDEX($E934:$G934,BE$5)-SUMIFS(TF_Timer,TF_Tekniker,BE$4,TF_Dato,$A934))*2,0)/2)))</f>
        <v/>
      </c>
      <c r="BF934">
        <f>IF(OR(BF$4="",$A934&gt;TODAY()),0,IF(OR(INDEX($B934:$D934,BF$5)="F",AND(BF$6&gt;0,$A934&lt;BF$6),AND(BF$7&gt;0,$A934&gt;BF$7)),0,MAX(0,ROUND((INDEX($E934:$G934,BF$5)-SUMIFS(TF_Timer,TF_Tekniker,BF$4,TF_Dato,$A934))*2,0)/2)))</f>
        <v/>
      </c>
      <c r="BG934">
        <f>IF(OR(BG$4="",$A934&gt;TODAY()),0,IF(OR(INDEX($B934:$D934,BG$5)="F",AND(BG$6&gt;0,$A934&lt;BG$6),AND(BG$7&gt;0,$A934&gt;BG$7)),0,MAX(0,ROUND((INDEX($E934:$G934,BG$5)-SUMIFS(TF_Timer,TF_Tekniker,BG$4,TF_Dato,$A934))*2,0)/2)))</f>
        <v/>
      </c>
      <c r="BH934">
        <f>IF(OR(BH$4="",$A934&gt;TODAY()),0,IF(OR(INDEX($B934:$D934,BH$5)="F",AND(BH$6&gt;0,$A934&lt;BH$6),AND(BH$7&gt;0,$A934&gt;BH$7)),0,MAX(0,ROUND((INDEX($E934:$G934,BH$5)-SUMIFS(TF_Timer,TF_Tekniker,BH$4,TF_Dato,$A934))*2,0)/2)))</f>
        <v/>
      </c>
      <c r="BI934">
        <f>IF(OR(BI$4="",$A934&gt;TODAY()),0,IF(OR(INDEX($B934:$D934,BI$5)="F",AND(BI$6&gt;0,$A934&lt;BI$6),AND(BI$7&gt;0,$A934&gt;BI$7)),0,MAX(0,ROUND((INDEX($E934:$G934,BI$5)-SUMIFS(TF_Timer,TF_Tekniker,BI$4,TF_Dato,$A934))*2,0)/2)))</f>
        <v/>
      </c>
    </row>
    <row r="935">
      <c r="A935" s="64">
        <f>A934+1</f>
        <v/>
      </c>
      <c r="B935">
        <f>IF(MOD($A935-INDEX(SkiftStart,1),Syklus)&lt;DagK,"K",IF(MOD($A935-INDEX(SkiftStart,1),Syklus)&lt;DagK+DagH,"H",IF(MOD($A935-INDEX(SkiftStart,1),Syklus)&lt;DagK+DagH+DagD,"D","F")))</f>
        <v/>
      </c>
      <c r="C935">
        <f>IF(MOD($A935-INDEX(SkiftStart,2),Syklus)&lt;DagK,"K",IF(MOD($A935-INDEX(SkiftStart,2),Syklus)&lt;DagK+DagH,"H",IF(MOD($A935-INDEX(SkiftStart,2),Syklus)&lt;DagK+DagH+DagD,"D","F")))</f>
        <v/>
      </c>
      <c r="D935">
        <f>IF(MOD($A935-INDEX(SkiftStart,3),Syklus)&lt;DagK,"K",IF(MOD($A935-INDEX(SkiftStart,3),Syklus)&lt;DagK+DagH,"H",IF(MOD($A935-INDEX(SkiftStart,3),Syklus)&lt;DagK+DagH+DagD,"D","F")))</f>
        <v/>
      </c>
      <c r="E935">
        <f>IF(B935="F",0,IF(WEEKDAY($A935,2)=5,INDEX(TimerFr,MATCH(B935,FaseKode,0)),INDEX(TimerMT,MATCH(B935,FaseKode,0))))</f>
        <v/>
      </c>
      <c r="F935">
        <f>IF(C935="F",0,IF(WEEKDAY($A935,2)=5,INDEX(TimerFr,MATCH(C935,FaseKode,0)),INDEX(TimerMT,MATCH(C935,FaseKode,0))))</f>
        <v/>
      </c>
      <c r="G935">
        <f>IF(D935="F",0,IF(WEEKDAY($A935,2)=5,INDEX(TimerFr,MATCH(D935,FaseKode,0)),INDEX(TimerMT,MATCH(D935,FaseKode,0))))</f>
        <v/>
      </c>
      <c r="H935">
        <f>IF(OR(H$4="",$A935&gt;TODAY()),0,IF(OR(INDEX($B935:$D935,H$5)="F",AND(H$6&gt;0,$A935&lt;H$6),AND(H$7&gt;0,$A935&gt;H$7)),0,MAX(0,ROUND((INDEX($E935:$G935,H$5)-SUMIFS(TF_Timer,TF_Tekniker,H$4,TF_Dato,$A935))*2,0)/2)))</f>
        <v/>
      </c>
      <c r="I935">
        <f>IF(OR(I$4="",$A935&gt;TODAY()),0,IF(OR(INDEX($B935:$D935,I$5)="F",AND(I$6&gt;0,$A935&lt;I$6),AND(I$7&gt;0,$A935&gt;I$7)),0,MAX(0,ROUND((INDEX($E935:$G935,I$5)-SUMIFS(TF_Timer,TF_Tekniker,I$4,TF_Dato,$A935))*2,0)/2)))</f>
        <v/>
      </c>
      <c r="J935">
        <f>IF(OR(J$4="",$A935&gt;TODAY()),0,IF(OR(INDEX($B935:$D935,J$5)="F",AND(J$6&gt;0,$A935&lt;J$6),AND(J$7&gt;0,$A935&gt;J$7)),0,MAX(0,ROUND((INDEX($E935:$G935,J$5)-SUMIFS(TF_Timer,TF_Tekniker,J$4,TF_Dato,$A935))*2,0)/2)))</f>
        <v/>
      </c>
      <c r="K935">
        <f>IF(OR(K$4="",$A935&gt;TODAY()),0,IF(OR(INDEX($B935:$D935,K$5)="F",AND(K$6&gt;0,$A935&lt;K$6),AND(K$7&gt;0,$A935&gt;K$7)),0,MAX(0,ROUND((INDEX($E935:$G935,K$5)-SUMIFS(TF_Timer,TF_Tekniker,K$4,TF_Dato,$A935))*2,0)/2)))</f>
        <v/>
      </c>
      <c r="L935">
        <f>IF(OR(L$4="",$A935&gt;TODAY()),0,IF(OR(INDEX($B935:$D935,L$5)="F",AND(L$6&gt;0,$A935&lt;L$6),AND(L$7&gt;0,$A935&gt;L$7)),0,MAX(0,ROUND((INDEX($E935:$G935,L$5)-SUMIFS(TF_Timer,TF_Tekniker,L$4,TF_Dato,$A935))*2,0)/2)))</f>
        <v/>
      </c>
      <c r="M935">
        <f>IF(OR(M$4="",$A935&gt;TODAY()),0,IF(OR(INDEX($B935:$D935,M$5)="F",AND(M$6&gt;0,$A935&lt;M$6),AND(M$7&gt;0,$A935&gt;M$7)),0,MAX(0,ROUND((INDEX($E935:$G935,M$5)-SUMIFS(TF_Timer,TF_Tekniker,M$4,TF_Dato,$A935))*2,0)/2)))</f>
        <v/>
      </c>
      <c r="N935">
        <f>IF(OR(N$4="",$A935&gt;TODAY()),0,IF(OR(INDEX($B935:$D935,N$5)="F",AND(N$6&gt;0,$A935&lt;N$6),AND(N$7&gt;0,$A935&gt;N$7)),0,MAX(0,ROUND((INDEX($E935:$G935,N$5)-SUMIFS(TF_Timer,TF_Tekniker,N$4,TF_Dato,$A935))*2,0)/2)))</f>
        <v/>
      </c>
      <c r="O935">
        <f>IF(OR(O$4="",$A935&gt;TODAY()),0,IF(OR(INDEX($B935:$D935,O$5)="F",AND(O$6&gt;0,$A935&lt;O$6),AND(O$7&gt;0,$A935&gt;O$7)),0,MAX(0,ROUND((INDEX($E935:$G935,O$5)-SUMIFS(TF_Timer,TF_Tekniker,O$4,TF_Dato,$A935))*2,0)/2)))</f>
        <v/>
      </c>
      <c r="P935">
        <f>IF(OR(P$4="",$A935&gt;TODAY()),0,IF(OR(INDEX($B935:$D935,P$5)="F",AND(P$6&gt;0,$A935&lt;P$6),AND(P$7&gt;0,$A935&gt;P$7)),0,MAX(0,ROUND((INDEX($E935:$G935,P$5)-SUMIFS(TF_Timer,TF_Tekniker,P$4,TF_Dato,$A935))*2,0)/2)))</f>
        <v/>
      </c>
      <c r="Q935">
        <f>IF(OR(Q$4="",$A935&gt;TODAY()),0,IF(OR(INDEX($B935:$D935,Q$5)="F",AND(Q$6&gt;0,$A935&lt;Q$6),AND(Q$7&gt;0,$A935&gt;Q$7)),0,MAX(0,ROUND((INDEX($E935:$G935,Q$5)-SUMIFS(TF_Timer,TF_Tekniker,Q$4,TF_Dato,$A935))*2,0)/2)))</f>
        <v/>
      </c>
      <c r="R935">
        <f>IF(OR(R$4="",$A935&gt;TODAY()),0,IF(OR(INDEX($B935:$D935,R$5)="F",AND(R$6&gt;0,$A935&lt;R$6),AND(R$7&gt;0,$A935&gt;R$7)),0,MAX(0,ROUND((INDEX($E935:$G935,R$5)-SUMIFS(TF_Timer,TF_Tekniker,R$4,TF_Dato,$A935))*2,0)/2)))</f>
        <v/>
      </c>
      <c r="S935">
        <f>IF(OR(S$4="",$A935&gt;TODAY()),0,IF(OR(INDEX($B935:$D935,S$5)="F",AND(S$6&gt;0,$A935&lt;S$6),AND(S$7&gt;0,$A935&gt;S$7)),0,MAX(0,ROUND((INDEX($E935:$G935,S$5)-SUMIFS(TF_Timer,TF_Tekniker,S$4,TF_Dato,$A935))*2,0)/2)))</f>
        <v/>
      </c>
      <c r="T935">
        <f>IF(OR(T$4="",$A935&gt;TODAY()),0,IF(OR(INDEX($B935:$D935,T$5)="F",AND(T$6&gt;0,$A935&lt;T$6),AND(T$7&gt;0,$A935&gt;T$7)),0,MAX(0,ROUND((INDEX($E935:$G935,T$5)-SUMIFS(TF_Timer,TF_Tekniker,T$4,TF_Dato,$A935))*2,0)/2)))</f>
        <v/>
      </c>
      <c r="U935">
        <f>IF(OR(U$4="",$A935&gt;TODAY()),0,IF(OR(INDEX($B935:$D935,U$5)="F",AND(U$6&gt;0,$A935&lt;U$6),AND(U$7&gt;0,$A935&gt;U$7)),0,MAX(0,ROUND((INDEX($E935:$G935,U$5)-SUMIFS(TF_Timer,TF_Tekniker,U$4,TF_Dato,$A935))*2,0)/2)))</f>
        <v/>
      </c>
      <c r="V935">
        <f>IF(OR(V$4="",$A935&gt;TODAY()),0,IF(OR(INDEX($B935:$D935,V$5)="F",AND(V$6&gt;0,$A935&lt;V$6),AND(V$7&gt;0,$A935&gt;V$7)),0,MAX(0,ROUND((INDEX($E935:$G935,V$5)-SUMIFS(TF_Timer,TF_Tekniker,V$4,TF_Dato,$A935))*2,0)/2)))</f>
        <v/>
      </c>
      <c r="W935">
        <f>IF(OR(W$4="",$A935&gt;TODAY()),0,IF(OR(INDEX($B935:$D935,W$5)="F",AND(W$6&gt;0,$A935&lt;W$6),AND(W$7&gt;0,$A935&gt;W$7)),0,MAX(0,ROUND((INDEX($E935:$G935,W$5)-SUMIFS(TF_Timer,TF_Tekniker,W$4,TF_Dato,$A935))*2,0)/2)))</f>
        <v/>
      </c>
      <c r="X935">
        <f>IF(OR(X$4="",$A935&gt;TODAY()),0,IF(OR(INDEX($B935:$D935,X$5)="F",AND(X$6&gt;0,$A935&lt;X$6),AND(X$7&gt;0,$A935&gt;X$7)),0,MAX(0,ROUND((INDEX($E935:$G935,X$5)-SUMIFS(TF_Timer,TF_Tekniker,X$4,TF_Dato,$A935))*2,0)/2)))</f>
        <v/>
      </c>
      <c r="Y935">
        <f>IF(OR(Y$4="",$A935&gt;TODAY()),0,IF(OR(INDEX($B935:$D935,Y$5)="F",AND(Y$6&gt;0,$A935&lt;Y$6),AND(Y$7&gt;0,$A935&gt;Y$7)),0,MAX(0,ROUND((INDEX($E935:$G935,Y$5)-SUMIFS(TF_Timer,TF_Tekniker,Y$4,TF_Dato,$A935))*2,0)/2)))</f>
        <v/>
      </c>
      <c r="Z935">
        <f>IF(OR(Z$4="",$A935&gt;TODAY()),0,IF(OR(INDEX($B935:$D935,Z$5)="F",AND(Z$6&gt;0,$A935&lt;Z$6),AND(Z$7&gt;0,$A935&gt;Z$7)),0,MAX(0,ROUND((INDEX($E935:$G935,Z$5)-SUMIFS(TF_Timer,TF_Tekniker,Z$4,TF_Dato,$A935))*2,0)/2)))</f>
        <v/>
      </c>
      <c r="AA935">
        <f>IF(OR(AA$4="",$A935&gt;TODAY()),0,IF(OR(INDEX($B935:$D935,AA$5)="F",AND(AA$6&gt;0,$A935&lt;AA$6),AND(AA$7&gt;0,$A935&gt;AA$7)),0,MAX(0,ROUND((INDEX($E935:$G935,AA$5)-SUMIFS(TF_Timer,TF_Tekniker,AA$4,TF_Dato,$A935))*2,0)/2)))</f>
        <v/>
      </c>
      <c r="AB935">
        <f>IF(OR(AB$4="",$A935&gt;TODAY()),0,IF(OR(INDEX($B935:$D935,AB$5)="F",AND(AB$6&gt;0,$A935&lt;AB$6),AND(AB$7&gt;0,$A935&gt;AB$7)),0,MAX(0,ROUND((INDEX($E935:$G935,AB$5)-SUMIFS(TF_Timer,TF_Tekniker,AB$4,TF_Dato,$A935))*2,0)/2)))</f>
        <v/>
      </c>
      <c r="AC935">
        <f>IF(OR(AC$4="",$A935&gt;TODAY()),0,IF(OR(INDEX($B935:$D935,AC$5)="F",AND(AC$6&gt;0,$A935&lt;AC$6),AND(AC$7&gt;0,$A935&gt;AC$7)),0,MAX(0,ROUND((INDEX($E935:$G935,AC$5)-SUMIFS(TF_Timer,TF_Tekniker,AC$4,TF_Dato,$A935))*2,0)/2)))</f>
        <v/>
      </c>
      <c r="AD935">
        <f>IF(OR(AD$4="",$A935&gt;TODAY()),0,IF(OR(INDEX($B935:$D935,AD$5)="F",AND(AD$6&gt;0,$A935&lt;AD$6),AND(AD$7&gt;0,$A935&gt;AD$7)),0,MAX(0,ROUND((INDEX($E935:$G935,AD$5)-SUMIFS(TF_Timer,TF_Tekniker,AD$4,TF_Dato,$A935))*2,0)/2)))</f>
        <v/>
      </c>
      <c r="AE935">
        <f>IF(OR(AE$4="",$A935&gt;TODAY()),0,IF(OR(INDEX($B935:$D935,AE$5)="F",AND(AE$6&gt;0,$A935&lt;AE$6),AND(AE$7&gt;0,$A935&gt;AE$7)),0,MAX(0,ROUND((INDEX($E935:$G935,AE$5)-SUMIFS(TF_Timer,TF_Tekniker,AE$4,TF_Dato,$A935))*2,0)/2)))</f>
        <v/>
      </c>
      <c r="AF935">
        <f>IF(OR(AF$4="",$A935&gt;TODAY()),0,IF(OR(INDEX($B935:$D935,AF$5)="F",AND(AF$6&gt;0,$A935&lt;AF$6),AND(AF$7&gt;0,$A935&gt;AF$7)),0,MAX(0,ROUND((INDEX($E935:$G935,AF$5)-SUMIFS(TF_Timer,TF_Tekniker,AF$4,TF_Dato,$A935))*2,0)/2)))</f>
        <v/>
      </c>
      <c r="AG935">
        <f>IF(OR(AG$4="",$A935&gt;TODAY()),0,IF(OR(INDEX($B935:$D935,AG$5)="F",AND(AG$6&gt;0,$A935&lt;AG$6),AND(AG$7&gt;0,$A935&gt;AG$7)),0,MAX(0,ROUND((INDEX($E935:$G935,AG$5)-SUMIFS(TF_Timer,TF_Tekniker,AG$4,TF_Dato,$A935))*2,0)/2)))</f>
        <v/>
      </c>
      <c r="AH935">
        <f>IF(OR(AH$4="",$A935&gt;TODAY()),0,IF(OR(INDEX($B935:$D935,AH$5)="F",AND(AH$6&gt;0,$A935&lt;AH$6),AND(AH$7&gt;0,$A935&gt;AH$7)),0,MAX(0,ROUND((INDEX($E935:$G935,AH$5)-SUMIFS(TF_Timer,TF_Tekniker,AH$4,TF_Dato,$A935))*2,0)/2)))</f>
        <v/>
      </c>
      <c r="AI935">
        <f>IF(OR(AI$4="",$A935&gt;TODAY()),0,IF(OR(INDEX($B935:$D935,AI$5)="F",AND(AI$6&gt;0,$A935&lt;AI$6),AND(AI$7&gt;0,$A935&gt;AI$7)),0,MAX(0,ROUND((INDEX($E935:$G935,AI$5)-SUMIFS(TF_Timer,TF_Tekniker,AI$4,TF_Dato,$A935))*2,0)/2)))</f>
        <v/>
      </c>
      <c r="AJ935">
        <f>IF(OR(AJ$4="",$A935&gt;TODAY()),0,IF(OR(INDEX($B935:$D935,AJ$5)="F",AND(AJ$6&gt;0,$A935&lt;AJ$6),AND(AJ$7&gt;0,$A935&gt;AJ$7)),0,MAX(0,ROUND((INDEX($E935:$G935,AJ$5)-SUMIFS(TF_Timer,TF_Tekniker,AJ$4,TF_Dato,$A935))*2,0)/2)))</f>
        <v/>
      </c>
      <c r="AK935">
        <f>IF(OR(AK$4="",$A935&gt;TODAY()),0,IF(OR(INDEX($B935:$D935,AK$5)="F",AND(AK$6&gt;0,$A935&lt;AK$6),AND(AK$7&gt;0,$A935&gt;AK$7)),0,MAX(0,ROUND((INDEX($E935:$G935,AK$5)-SUMIFS(TF_Timer,TF_Tekniker,AK$4,TF_Dato,$A935))*2,0)/2)))</f>
        <v/>
      </c>
      <c r="AL935">
        <f>IF(OR(AL$4="",$A935&gt;TODAY()),0,IF(OR(INDEX($B935:$D935,AL$5)="F",AND(AL$6&gt;0,$A935&lt;AL$6),AND(AL$7&gt;0,$A935&gt;AL$7)),0,MAX(0,ROUND((INDEX($E935:$G935,AL$5)-SUMIFS(TF_Timer,TF_Tekniker,AL$4,TF_Dato,$A935))*2,0)/2)))</f>
        <v/>
      </c>
      <c r="AM935">
        <f>IF(OR(AM$4="",$A935&gt;TODAY()),0,IF(OR(INDEX($B935:$D935,AM$5)="F",AND(AM$6&gt;0,$A935&lt;AM$6),AND(AM$7&gt;0,$A935&gt;AM$7)),0,MAX(0,ROUND((INDEX($E935:$G935,AM$5)-SUMIFS(TF_Timer,TF_Tekniker,AM$4,TF_Dato,$A935))*2,0)/2)))</f>
        <v/>
      </c>
      <c r="AN935">
        <f>IF(OR(AN$4="",$A935&gt;TODAY()),0,IF(OR(INDEX($B935:$D935,AN$5)="F",AND(AN$6&gt;0,$A935&lt;AN$6),AND(AN$7&gt;0,$A935&gt;AN$7)),0,MAX(0,ROUND((INDEX($E935:$G935,AN$5)-SUMIFS(TF_Timer,TF_Tekniker,AN$4,TF_Dato,$A935))*2,0)/2)))</f>
        <v/>
      </c>
      <c r="AO935">
        <f>IF(OR(AO$4="",$A935&gt;TODAY()),0,IF(OR(INDEX($B935:$D935,AO$5)="F",AND(AO$6&gt;0,$A935&lt;AO$6),AND(AO$7&gt;0,$A935&gt;AO$7)),0,MAX(0,ROUND((INDEX($E935:$G935,AO$5)-SUMIFS(TF_Timer,TF_Tekniker,AO$4,TF_Dato,$A935))*2,0)/2)))</f>
        <v/>
      </c>
      <c r="AP935">
        <f>IF(OR(AP$4="",$A935&gt;TODAY()),0,IF(OR(INDEX($B935:$D935,AP$5)="F",AND(AP$6&gt;0,$A935&lt;AP$6),AND(AP$7&gt;0,$A935&gt;AP$7)),0,MAX(0,ROUND((INDEX($E935:$G935,AP$5)-SUMIFS(TF_Timer,TF_Tekniker,AP$4,TF_Dato,$A935))*2,0)/2)))</f>
        <v/>
      </c>
      <c r="AQ935">
        <f>IF(OR(AQ$4="",$A935&gt;TODAY()),0,IF(OR(INDEX($B935:$D935,AQ$5)="F",AND(AQ$6&gt;0,$A935&lt;AQ$6),AND(AQ$7&gt;0,$A935&gt;AQ$7)),0,MAX(0,ROUND((INDEX($E935:$G935,AQ$5)-SUMIFS(TF_Timer,TF_Tekniker,AQ$4,TF_Dato,$A935))*2,0)/2)))</f>
        <v/>
      </c>
      <c r="AR935">
        <f>IF(OR(AR$4="",$A935&gt;TODAY()),0,IF(OR(INDEX($B935:$D935,AR$5)="F",AND(AR$6&gt;0,$A935&lt;AR$6),AND(AR$7&gt;0,$A935&gt;AR$7)),0,MAX(0,ROUND((INDEX($E935:$G935,AR$5)-SUMIFS(TF_Timer,TF_Tekniker,AR$4,TF_Dato,$A935))*2,0)/2)))</f>
        <v/>
      </c>
      <c r="AS935">
        <f>IF(OR(AS$4="",$A935&gt;TODAY()),0,IF(OR(INDEX($B935:$D935,AS$5)="F",AND(AS$6&gt;0,$A935&lt;AS$6),AND(AS$7&gt;0,$A935&gt;AS$7)),0,MAX(0,ROUND((INDEX($E935:$G935,AS$5)-SUMIFS(TF_Timer,TF_Tekniker,AS$4,TF_Dato,$A935))*2,0)/2)))</f>
        <v/>
      </c>
      <c r="AT935">
        <f>IF(OR(AT$4="",$A935&gt;TODAY()),0,IF(OR(INDEX($B935:$D935,AT$5)="F",AND(AT$6&gt;0,$A935&lt;AT$6),AND(AT$7&gt;0,$A935&gt;AT$7)),0,MAX(0,ROUND((INDEX($E935:$G935,AT$5)-SUMIFS(TF_Timer,TF_Tekniker,AT$4,TF_Dato,$A935))*2,0)/2)))</f>
        <v/>
      </c>
      <c r="AU935">
        <f>IF(OR(AU$4="",$A935&gt;TODAY()),0,IF(OR(INDEX($B935:$D935,AU$5)="F",AND(AU$6&gt;0,$A935&lt;AU$6),AND(AU$7&gt;0,$A935&gt;AU$7)),0,MAX(0,ROUND((INDEX($E935:$G935,AU$5)-SUMIFS(TF_Timer,TF_Tekniker,AU$4,TF_Dato,$A935))*2,0)/2)))</f>
        <v/>
      </c>
      <c r="AV935">
        <f>IF(OR(AV$4="",$A935&gt;TODAY()),0,IF(OR(INDEX($B935:$D935,AV$5)="F",AND(AV$6&gt;0,$A935&lt;AV$6),AND(AV$7&gt;0,$A935&gt;AV$7)),0,MAX(0,ROUND((INDEX($E935:$G935,AV$5)-SUMIFS(TF_Timer,TF_Tekniker,AV$4,TF_Dato,$A935))*2,0)/2)))</f>
        <v/>
      </c>
      <c r="AW935">
        <f>IF(OR(AW$4="",$A935&gt;TODAY()),0,IF(OR(INDEX($B935:$D935,AW$5)="F",AND(AW$6&gt;0,$A935&lt;AW$6),AND(AW$7&gt;0,$A935&gt;AW$7)),0,MAX(0,ROUND((INDEX($E935:$G935,AW$5)-SUMIFS(TF_Timer,TF_Tekniker,AW$4,TF_Dato,$A935))*2,0)/2)))</f>
        <v/>
      </c>
      <c r="AX935">
        <f>IF(OR(AX$4="",$A935&gt;TODAY()),0,IF(OR(INDEX($B935:$D935,AX$5)="F",AND(AX$6&gt;0,$A935&lt;AX$6),AND(AX$7&gt;0,$A935&gt;AX$7)),0,MAX(0,ROUND((INDEX($E935:$G935,AX$5)-SUMIFS(TF_Timer,TF_Tekniker,AX$4,TF_Dato,$A935))*2,0)/2)))</f>
        <v/>
      </c>
      <c r="AY935">
        <f>IF(OR(AY$4="",$A935&gt;TODAY()),0,IF(OR(INDEX($B935:$D935,AY$5)="F",AND(AY$6&gt;0,$A935&lt;AY$6),AND(AY$7&gt;0,$A935&gt;AY$7)),0,MAX(0,ROUND((INDEX($E935:$G935,AY$5)-SUMIFS(TF_Timer,TF_Tekniker,AY$4,TF_Dato,$A935))*2,0)/2)))</f>
        <v/>
      </c>
      <c r="AZ935">
        <f>IF(OR(AZ$4="",$A935&gt;TODAY()),0,IF(OR(INDEX($B935:$D935,AZ$5)="F",AND(AZ$6&gt;0,$A935&lt;AZ$6),AND(AZ$7&gt;0,$A935&gt;AZ$7)),0,MAX(0,ROUND((INDEX($E935:$G935,AZ$5)-SUMIFS(TF_Timer,TF_Tekniker,AZ$4,TF_Dato,$A935))*2,0)/2)))</f>
        <v/>
      </c>
      <c r="BA935">
        <f>IF(OR(BA$4="",$A935&gt;TODAY()),0,IF(OR(INDEX($B935:$D935,BA$5)="F",AND(BA$6&gt;0,$A935&lt;BA$6),AND(BA$7&gt;0,$A935&gt;BA$7)),0,MAX(0,ROUND((INDEX($E935:$G935,BA$5)-SUMIFS(TF_Timer,TF_Tekniker,BA$4,TF_Dato,$A935))*2,0)/2)))</f>
        <v/>
      </c>
      <c r="BB935">
        <f>IF(OR(BB$4="",$A935&gt;TODAY()),0,IF(OR(INDEX($B935:$D935,BB$5)="F",AND(BB$6&gt;0,$A935&lt;BB$6),AND(BB$7&gt;0,$A935&gt;BB$7)),0,MAX(0,ROUND((INDEX($E935:$G935,BB$5)-SUMIFS(TF_Timer,TF_Tekniker,BB$4,TF_Dato,$A935))*2,0)/2)))</f>
        <v/>
      </c>
      <c r="BC935">
        <f>IF(OR(BC$4="",$A935&gt;TODAY()),0,IF(OR(INDEX($B935:$D935,BC$5)="F",AND(BC$6&gt;0,$A935&lt;BC$6),AND(BC$7&gt;0,$A935&gt;BC$7)),0,MAX(0,ROUND((INDEX($E935:$G935,BC$5)-SUMIFS(TF_Timer,TF_Tekniker,BC$4,TF_Dato,$A935))*2,0)/2)))</f>
        <v/>
      </c>
      <c r="BD935">
        <f>IF(OR(BD$4="",$A935&gt;TODAY()),0,IF(OR(INDEX($B935:$D935,BD$5)="F",AND(BD$6&gt;0,$A935&lt;BD$6),AND(BD$7&gt;0,$A935&gt;BD$7)),0,MAX(0,ROUND((INDEX($E935:$G935,BD$5)-SUMIFS(TF_Timer,TF_Tekniker,BD$4,TF_Dato,$A935))*2,0)/2)))</f>
        <v/>
      </c>
      <c r="BE935">
        <f>IF(OR(BE$4="",$A935&gt;TODAY()),0,IF(OR(INDEX($B935:$D935,BE$5)="F",AND(BE$6&gt;0,$A935&lt;BE$6),AND(BE$7&gt;0,$A935&gt;BE$7)),0,MAX(0,ROUND((INDEX($E935:$G935,BE$5)-SUMIFS(TF_Timer,TF_Tekniker,BE$4,TF_Dato,$A935))*2,0)/2)))</f>
        <v/>
      </c>
      <c r="BF935">
        <f>IF(OR(BF$4="",$A935&gt;TODAY()),0,IF(OR(INDEX($B935:$D935,BF$5)="F",AND(BF$6&gt;0,$A935&lt;BF$6),AND(BF$7&gt;0,$A935&gt;BF$7)),0,MAX(0,ROUND((INDEX($E935:$G935,BF$5)-SUMIFS(TF_Timer,TF_Tekniker,BF$4,TF_Dato,$A935))*2,0)/2)))</f>
        <v/>
      </c>
      <c r="BG935">
        <f>IF(OR(BG$4="",$A935&gt;TODAY()),0,IF(OR(INDEX($B935:$D935,BG$5)="F",AND(BG$6&gt;0,$A935&lt;BG$6),AND(BG$7&gt;0,$A935&gt;BG$7)),0,MAX(0,ROUND((INDEX($E935:$G935,BG$5)-SUMIFS(TF_Timer,TF_Tekniker,BG$4,TF_Dato,$A935))*2,0)/2)))</f>
        <v/>
      </c>
      <c r="BH935">
        <f>IF(OR(BH$4="",$A935&gt;TODAY()),0,IF(OR(INDEX($B935:$D935,BH$5)="F",AND(BH$6&gt;0,$A935&lt;BH$6),AND(BH$7&gt;0,$A935&gt;BH$7)),0,MAX(0,ROUND((INDEX($E935:$G935,BH$5)-SUMIFS(TF_Timer,TF_Tekniker,BH$4,TF_Dato,$A935))*2,0)/2)))</f>
        <v/>
      </c>
      <c r="BI935">
        <f>IF(OR(BI$4="",$A935&gt;TODAY()),0,IF(OR(INDEX($B935:$D935,BI$5)="F",AND(BI$6&gt;0,$A935&lt;BI$6),AND(BI$7&gt;0,$A935&gt;BI$7)),0,MAX(0,ROUND((INDEX($E935:$G935,BI$5)-SUMIFS(TF_Timer,TF_Tekniker,BI$4,TF_Dato,$A935))*2,0)/2)))</f>
        <v/>
      </c>
    </row>
    <row r="936">
      <c r="A936" s="64">
        <f>A935+1</f>
        <v/>
      </c>
      <c r="B936">
        <f>IF(MOD($A936-INDEX(SkiftStart,1),Syklus)&lt;DagK,"K",IF(MOD($A936-INDEX(SkiftStart,1),Syklus)&lt;DagK+DagH,"H",IF(MOD($A936-INDEX(SkiftStart,1),Syklus)&lt;DagK+DagH+DagD,"D","F")))</f>
        <v/>
      </c>
      <c r="C936">
        <f>IF(MOD($A936-INDEX(SkiftStart,2),Syklus)&lt;DagK,"K",IF(MOD($A936-INDEX(SkiftStart,2),Syklus)&lt;DagK+DagH,"H",IF(MOD($A936-INDEX(SkiftStart,2),Syklus)&lt;DagK+DagH+DagD,"D","F")))</f>
        <v/>
      </c>
      <c r="D936">
        <f>IF(MOD($A936-INDEX(SkiftStart,3),Syklus)&lt;DagK,"K",IF(MOD($A936-INDEX(SkiftStart,3),Syklus)&lt;DagK+DagH,"H",IF(MOD($A936-INDEX(SkiftStart,3),Syklus)&lt;DagK+DagH+DagD,"D","F")))</f>
        <v/>
      </c>
      <c r="E936">
        <f>IF(B936="F",0,IF(WEEKDAY($A936,2)=5,INDEX(TimerFr,MATCH(B936,FaseKode,0)),INDEX(TimerMT,MATCH(B936,FaseKode,0))))</f>
        <v/>
      </c>
      <c r="F936">
        <f>IF(C936="F",0,IF(WEEKDAY($A936,2)=5,INDEX(TimerFr,MATCH(C936,FaseKode,0)),INDEX(TimerMT,MATCH(C936,FaseKode,0))))</f>
        <v/>
      </c>
      <c r="G936">
        <f>IF(D936="F",0,IF(WEEKDAY($A936,2)=5,INDEX(TimerFr,MATCH(D936,FaseKode,0)),INDEX(TimerMT,MATCH(D936,FaseKode,0))))</f>
        <v/>
      </c>
      <c r="H936">
        <f>IF(OR(H$4="",$A936&gt;TODAY()),0,IF(OR(INDEX($B936:$D936,H$5)="F",AND(H$6&gt;0,$A936&lt;H$6),AND(H$7&gt;0,$A936&gt;H$7)),0,MAX(0,ROUND((INDEX($E936:$G936,H$5)-SUMIFS(TF_Timer,TF_Tekniker,H$4,TF_Dato,$A936))*2,0)/2)))</f>
        <v/>
      </c>
      <c r="I936">
        <f>IF(OR(I$4="",$A936&gt;TODAY()),0,IF(OR(INDEX($B936:$D936,I$5)="F",AND(I$6&gt;0,$A936&lt;I$6),AND(I$7&gt;0,$A936&gt;I$7)),0,MAX(0,ROUND((INDEX($E936:$G936,I$5)-SUMIFS(TF_Timer,TF_Tekniker,I$4,TF_Dato,$A936))*2,0)/2)))</f>
        <v/>
      </c>
      <c r="J936">
        <f>IF(OR(J$4="",$A936&gt;TODAY()),0,IF(OR(INDEX($B936:$D936,J$5)="F",AND(J$6&gt;0,$A936&lt;J$6),AND(J$7&gt;0,$A936&gt;J$7)),0,MAX(0,ROUND((INDEX($E936:$G936,J$5)-SUMIFS(TF_Timer,TF_Tekniker,J$4,TF_Dato,$A936))*2,0)/2)))</f>
        <v/>
      </c>
      <c r="K936">
        <f>IF(OR(K$4="",$A936&gt;TODAY()),0,IF(OR(INDEX($B936:$D936,K$5)="F",AND(K$6&gt;0,$A936&lt;K$6),AND(K$7&gt;0,$A936&gt;K$7)),0,MAX(0,ROUND((INDEX($E936:$G936,K$5)-SUMIFS(TF_Timer,TF_Tekniker,K$4,TF_Dato,$A936))*2,0)/2)))</f>
        <v/>
      </c>
      <c r="L936">
        <f>IF(OR(L$4="",$A936&gt;TODAY()),0,IF(OR(INDEX($B936:$D936,L$5)="F",AND(L$6&gt;0,$A936&lt;L$6),AND(L$7&gt;0,$A936&gt;L$7)),0,MAX(0,ROUND((INDEX($E936:$G936,L$5)-SUMIFS(TF_Timer,TF_Tekniker,L$4,TF_Dato,$A936))*2,0)/2)))</f>
        <v/>
      </c>
      <c r="M936">
        <f>IF(OR(M$4="",$A936&gt;TODAY()),0,IF(OR(INDEX($B936:$D936,M$5)="F",AND(M$6&gt;0,$A936&lt;M$6),AND(M$7&gt;0,$A936&gt;M$7)),0,MAX(0,ROUND((INDEX($E936:$G936,M$5)-SUMIFS(TF_Timer,TF_Tekniker,M$4,TF_Dato,$A936))*2,0)/2)))</f>
        <v/>
      </c>
      <c r="N936">
        <f>IF(OR(N$4="",$A936&gt;TODAY()),0,IF(OR(INDEX($B936:$D936,N$5)="F",AND(N$6&gt;0,$A936&lt;N$6),AND(N$7&gt;0,$A936&gt;N$7)),0,MAX(0,ROUND((INDEX($E936:$G936,N$5)-SUMIFS(TF_Timer,TF_Tekniker,N$4,TF_Dato,$A936))*2,0)/2)))</f>
        <v/>
      </c>
      <c r="O936">
        <f>IF(OR(O$4="",$A936&gt;TODAY()),0,IF(OR(INDEX($B936:$D936,O$5)="F",AND(O$6&gt;0,$A936&lt;O$6),AND(O$7&gt;0,$A936&gt;O$7)),0,MAX(0,ROUND((INDEX($E936:$G936,O$5)-SUMIFS(TF_Timer,TF_Tekniker,O$4,TF_Dato,$A936))*2,0)/2)))</f>
        <v/>
      </c>
      <c r="P936">
        <f>IF(OR(P$4="",$A936&gt;TODAY()),0,IF(OR(INDEX($B936:$D936,P$5)="F",AND(P$6&gt;0,$A936&lt;P$6),AND(P$7&gt;0,$A936&gt;P$7)),0,MAX(0,ROUND((INDEX($E936:$G936,P$5)-SUMIFS(TF_Timer,TF_Tekniker,P$4,TF_Dato,$A936))*2,0)/2)))</f>
        <v/>
      </c>
      <c r="Q936">
        <f>IF(OR(Q$4="",$A936&gt;TODAY()),0,IF(OR(INDEX($B936:$D936,Q$5)="F",AND(Q$6&gt;0,$A936&lt;Q$6),AND(Q$7&gt;0,$A936&gt;Q$7)),0,MAX(0,ROUND((INDEX($E936:$G936,Q$5)-SUMIFS(TF_Timer,TF_Tekniker,Q$4,TF_Dato,$A936))*2,0)/2)))</f>
        <v/>
      </c>
      <c r="R936">
        <f>IF(OR(R$4="",$A936&gt;TODAY()),0,IF(OR(INDEX($B936:$D936,R$5)="F",AND(R$6&gt;0,$A936&lt;R$6),AND(R$7&gt;0,$A936&gt;R$7)),0,MAX(0,ROUND((INDEX($E936:$G936,R$5)-SUMIFS(TF_Timer,TF_Tekniker,R$4,TF_Dato,$A936))*2,0)/2)))</f>
        <v/>
      </c>
      <c r="S936">
        <f>IF(OR(S$4="",$A936&gt;TODAY()),0,IF(OR(INDEX($B936:$D936,S$5)="F",AND(S$6&gt;0,$A936&lt;S$6),AND(S$7&gt;0,$A936&gt;S$7)),0,MAX(0,ROUND((INDEX($E936:$G936,S$5)-SUMIFS(TF_Timer,TF_Tekniker,S$4,TF_Dato,$A936))*2,0)/2)))</f>
        <v/>
      </c>
      <c r="T936">
        <f>IF(OR(T$4="",$A936&gt;TODAY()),0,IF(OR(INDEX($B936:$D936,T$5)="F",AND(T$6&gt;0,$A936&lt;T$6),AND(T$7&gt;0,$A936&gt;T$7)),0,MAX(0,ROUND((INDEX($E936:$G936,T$5)-SUMIFS(TF_Timer,TF_Tekniker,T$4,TF_Dato,$A936))*2,0)/2)))</f>
        <v/>
      </c>
      <c r="U936">
        <f>IF(OR(U$4="",$A936&gt;TODAY()),0,IF(OR(INDEX($B936:$D936,U$5)="F",AND(U$6&gt;0,$A936&lt;U$6),AND(U$7&gt;0,$A936&gt;U$7)),0,MAX(0,ROUND((INDEX($E936:$G936,U$5)-SUMIFS(TF_Timer,TF_Tekniker,U$4,TF_Dato,$A936))*2,0)/2)))</f>
        <v/>
      </c>
      <c r="V936">
        <f>IF(OR(V$4="",$A936&gt;TODAY()),0,IF(OR(INDEX($B936:$D936,V$5)="F",AND(V$6&gt;0,$A936&lt;V$6),AND(V$7&gt;0,$A936&gt;V$7)),0,MAX(0,ROUND((INDEX($E936:$G936,V$5)-SUMIFS(TF_Timer,TF_Tekniker,V$4,TF_Dato,$A936))*2,0)/2)))</f>
        <v/>
      </c>
      <c r="W936">
        <f>IF(OR(W$4="",$A936&gt;TODAY()),0,IF(OR(INDEX($B936:$D936,W$5)="F",AND(W$6&gt;0,$A936&lt;W$6),AND(W$7&gt;0,$A936&gt;W$7)),0,MAX(0,ROUND((INDEX($E936:$G936,W$5)-SUMIFS(TF_Timer,TF_Tekniker,W$4,TF_Dato,$A936))*2,0)/2)))</f>
        <v/>
      </c>
      <c r="X936">
        <f>IF(OR(X$4="",$A936&gt;TODAY()),0,IF(OR(INDEX($B936:$D936,X$5)="F",AND(X$6&gt;0,$A936&lt;X$6),AND(X$7&gt;0,$A936&gt;X$7)),0,MAX(0,ROUND((INDEX($E936:$G936,X$5)-SUMIFS(TF_Timer,TF_Tekniker,X$4,TF_Dato,$A936))*2,0)/2)))</f>
        <v/>
      </c>
      <c r="Y936">
        <f>IF(OR(Y$4="",$A936&gt;TODAY()),0,IF(OR(INDEX($B936:$D936,Y$5)="F",AND(Y$6&gt;0,$A936&lt;Y$6),AND(Y$7&gt;0,$A936&gt;Y$7)),0,MAX(0,ROUND((INDEX($E936:$G936,Y$5)-SUMIFS(TF_Timer,TF_Tekniker,Y$4,TF_Dato,$A936))*2,0)/2)))</f>
        <v/>
      </c>
      <c r="Z936">
        <f>IF(OR(Z$4="",$A936&gt;TODAY()),0,IF(OR(INDEX($B936:$D936,Z$5)="F",AND(Z$6&gt;0,$A936&lt;Z$6),AND(Z$7&gt;0,$A936&gt;Z$7)),0,MAX(0,ROUND((INDEX($E936:$G936,Z$5)-SUMIFS(TF_Timer,TF_Tekniker,Z$4,TF_Dato,$A936))*2,0)/2)))</f>
        <v/>
      </c>
      <c r="AA936">
        <f>IF(OR(AA$4="",$A936&gt;TODAY()),0,IF(OR(INDEX($B936:$D936,AA$5)="F",AND(AA$6&gt;0,$A936&lt;AA$6),AND(AA$7&gt;0,$A936&gt;AA$7)),0,MAX(0,ROUND((INDEX($E936:$G936,AA$5)-SUMIFS(TF_Timer,TF_Tekniker,AA$4,TF_Dato,$A936))*2,0)/2)))</f>
        <v/>
      </c>
      <c r="AB936">
        <f>IF(OR(AB$4="",$A936&gt;TODAY()),0,IF(OR(INDEX($B936:$D936,AB$5)="F",AND(AB$6&gt;0,$A936&lt;AB$6),AND(AB$7&gt;0,$A936&gt;AB$7)),0,MAX(0,ROUND((INDEX($E936:$G936,AB$5)-SUMIFS(TF_Timer,TF_Tekniker,AB$4,TF_Dato,$A936))*2,0)/2)))</f>
        <v/>
      </c>
      <c r="AC936">
        <f>IF(OR(AC$4="",$A936&gt;TODAY()),0,IF(OR(INDEX($B936:$D936,AC$5)="F",AND(AC$6&gt;0,$A936&lt;AC$6),AND(AC$7&gt;0,$A936&gt;AC$7)),0,MAX(0,ROUND((INDEX($E936:$G936,AC$5)-SUMIFS(TF_Timer,TF_Tekniker,AC$4,TF_Dato,$A936))*2,0)/2)))</f>
        <v/>
      </c>
      <c r="AD936">
        <f>IF(OR(AD$4="",$A936&gt;TODAY()),0,IF(OR(INDEX($B936:$D936,AD$5)="F",AND(AD$6&gt;0,$A936&lt;AD$6),AND(AD$7&gt;0,$A936&gt;AD$7)),0,MAX(0,ROUND((INDEX($E936:$G936,AD$5)-SUMIFS(TF_Timer,TF_Tekniker,AD$4,TF_Dato,$A936))*2,0)/2)))</f>
        <v/>
      </c>
      <c r="AE936">
        <f>IF(OR(AE$4="",$A936&gt;TODAY()),0,IF(OR(INDEX($B936:$D936,AE$5)="F",AND(AE$6&gt;0,$A936&lt;AE$6),AND(AE$7&gt;0,$A936&gt;AE$7)),0,MAX(0,ROUND((INDEX($E936:$G936,AE$5)-SUMIFS(TF_Timer,TF_Tekniker,AE$4,TF_Dato,$A936))*2,0)/2)))</f>
        <v/>
      </c>
      <c r="AF936">
        <f>IF(OR(AF$4="",$A936&gt;TODAY()),0,IF(OR(INDEX($B936:$D936,AF$5)="F",AND(AF$6&gt;0,$A936&lt;AF$6),AND(AF$7&gt;0,$A936&gt;AF$7)),0,MAX(0,ROUND((INDEX($E936:$G936,AF$5)-SUMIFS(TF_Timer,TF_Tekniker,AF$4,TF_Dato,$A936))*2,0)/2)))</f>
        <v/>
      </c>
      <c r="AG936">
        <f>IF(OR(AG$4="",$A936&gt;TODAY()),0,IF(OR(INDEX($B936:$D936,AG$5)="F",AND(AG$6&gt;0,$A936&lt;AG$6),AND(AG$7&gt;0,$A936&gt;AG$7)),0,MAX(0,ROUND((INDEX($E936:$G936,AG$5)-SUMIFS(TF_Timer,TF_Tekniker,AG$4,TF_Dato,$A936))*2,0)/2)))</f>
        <v/>
      </c>
      <c r="AH936">
        <f>IF(OR(AH$4="",$A936&gt;TODAY()),0,IF(OR(INDEX($B936:$D936,AH$5)="F",AND(AH$6&gt;0,$A936&lt;AH$6),AND(AH$7&gt;0,$A936&gt;AH$7)),0,MAX(0,ROUND((INDEX($E936:$G936,AH$5)-SUMIFS(TF_Timer,TF_Tekniker,AH$4,TF_Dato,$A936))*2,0)/2)))</f>
        <v/>
      </c>
      <c r="AI936">
        <f>IF(OR(AI$4="",$A936&gt;TODAY()),0,IF(OR(INDEX($B936:$D936,AI$5)="F",AND(AI$6&gt;0,$A936&lt;AI$6),AND(AI$7&gt;0,$A936&gt;AI$7)),0,MAX(0,ROUND((INDEX($E936:$G936,AI$5)-SUMIFS(TF_Timer,TF_Tekniker,AI$4,TF_Dato,$A936))*2,0)/2)))</f>
        <v/>
      </c>
      <c r="AJ936">
        <f>IF(OR(AJ$4="",$A936&gt;TODAY()),0,IF(OR(INDEX($B936:$D936,AJ$5)="F",AND(AJ$6&gt;0,$A936&lt;AJ$6),AND(AJ$7&gt;0,$A936&gt;AJ$7)),0,MAX(0,ROUND((INDEX($E936:$G936,AJ$5)-SUMIFS(TF_Timer,TF_Tekniker,AJ$4,TF_Dato,$A936))*2,0)/2)))</f>
        <v/>
      </c>
      <c r="AK936">
        <f>IF(OR(AK$4="",$A936&gt;TODAY()),0,IF(OR(INDEX($B936:$D936,AK$5)="F",AND(AK$6&gt;0,$A936&lt;AK$6),AND(AK$7&gt;0,$A936&gt;AK$7)),0,MAX(0,ROUND((INDEX($E936:$G936,AK$5)-SUMIFS(TF_Timer,TF_Tekniker,AK$4,TF_Dato,$A936))*2,0)/2)))</f>
        <v/>
      </c>
      <c r="AL936">
        <f>IF(OR(AL$4="",$A936&gt;TODAY()),0,IF(OR(INDEX($B936:$D936,AL$5)="F",AND(AL$6&gt;0,$A936&lt;AL$6),AND(AL$7&gt;0,$A936&gt;AL$7)),0,MAX(0,ROUND((INDEX($E936:$G936,AL$5)-SUMIFS(TF_Timer,TF_Tekniker,AL$4,TF_Dato,$A936))*2,0)/2)))</f>
        <v/>
      </c>
      <c r="AM936">
        <f>IF(OR(AM$4="",$A936&gt;TODAY()),0,IF(OR(INDEX($B936:$D936,AM$5)="F",AND(AM$6&gt;0,$A936&lt;AM$6),AND(AM$7&gt;0,$A936&gt;AM$7)),0,MAX(0,ROUND((INDEX($E936:$G936,AM$5)-SUMIFS(TF_Timer,TF_Tekniker,AM$4,TF_Dato,$A936))*2,0)/2)))</f>
        <v/>
      </c>
      <c r="AN936">
        <f>IF(OR(AN$4="",$A936&gt;TODAY()),0,IF(OR(INDEX($B936:$D936,AN$5)="F",AND(AN$6&gt;0,$A936&lt;AN$6),AND(AN$7&gt;0,$A936&gt;AN$7)),0,MAX(0,ROUND((INDEX($E936:$G936,AN$5)-SUMIFS(TF_Timer,TF_Tekniker,AN$4,TF_Dato,$A936))*2,0)/2)))</f>
        <v/>
      </c>
      <c r="AO936">
        <f>IF(OR(AO$4="",$A936&gt;TODAY()),0,IF(OR(INDEX($B936:$D936,AO$5)="F",AND(AO$6&gt;0,$A936&lt;AO$6),AND(AO$7&gt;0,$A936&gt;AO$7)),0,MAX(0,ROUND((INDEX($E936:$G936,AO$5)-SUMIFS(TF_Timer,TF_Tekniker,AO$4,TF_Dato,$A936))*2,0)/2)))</f>
        <v/>
      </c>
      <c r="AP936">
        <f>IF(OR(AP$4="",$A936&gt;TODAY()),0,IF(OR(INDEX($B936:$D936,AP$5)="F",AND(AP$6&gt;0,$A936&lt;AP$6),AND(AP$7&gt;0,$A936&gt;AP$7)),0,MAX(0,ROUND((INDEX($E936:$G936,AP$5)-SUMIFS(TF_Timer,TF_Tekniker,AP$4,TF_Dato,$A936))*2,0)/2)))</f>
        <v/>
      </c>
      <c r="AQ936">
        <f>IF(OR(AQ$4="",$A936&gt;TODAY()),0,IF(OR(INDEX($B936:$D936,AQ$5)="F",AND(AQ$6&gt;0,$A936&lt;AQ$6),AND(AQ$7&gt;0,$A936&gt;AQ$7)),0,MAX(0,ROUND((INDEX($E936:$G936,AQ$5)-SUMIFS(TF_Timer,TF_Tekniker,AQ$4,TF_Dato,$A936))*2,0)/2)))</f>
        <v/>
      </c>
      <c r="AR936">
        <f>IF(OR(AR$4="",$A936&gt;TODAY()),0,IF(OR(INDEX($B936:$D936,AR$5)="F",AND(AR$6&gt;0,$A936&lt;AR$6),AND(AR$7&gt;0,$A936&gt;AR$7)),0,MAX(0,ROUND((INDEX($E936:$G936,AR$5)-SUMIFS(TF_Timer,TF_Tekniker,AR$4,TF_Dato,$A936))*2,0)/2)))</f>
        <v/>
      </c>
      <c r="AS936">
        <f>IF(OR(AS$4="",$A936&gt;TODAY()),0,IF(OR(INDEX($B936:$D936,AS$5)="F",AND(AS$6&gt;0,$A936&lt;AS$6),AND(AS$7&gt;0,$A936&gt;AS$7)),0,MAX(0,ROUND((INDEX($E936:$G936,AS$5)-SUMIFS(TF_Timer,TF_Tekniker,AS$4,TF_Dato,$A936))*2,0)/2)))</f>
        <v/>
      </c>
      <c r="AT936">
        <f>IF(OR(AT$4="",$A936&gt;TODAY()),0,IF(OR(INDEX($B936:$D936,AT$5)="F",AND(AT$6&gt;0,$A936&lt;AT$6),AND(AT$7&gt;0,$A936&gt;AT$7)),0,MAX(0,ROUND((INDEX($E936:$G936,AT$5)-SUMIFS(TF_Timer,TF_Tekniker,AT$4,TF_Dato,$A936))*2,0)/2)))</f>
        <v/>
      </c>
      <c r="AU936">
        <f>IF(OR(AU$4="",$A936&gt;TODAY()),0,IF(OR(INDEX($B936:$D936,AU$5)="F",AND(AU$6&gt;0,$A936&lt;AU$6),AND(AU$7&gt;0,$A936&gt;AU$7)),0,MAX(0,ROUND((INDEX($E936:$G936,AU$5)-SUMIFS(TF_Timer,TF_Tekniker,AU$4,TF_Dato,$A936))*2,0)/2)))</f>
        <v/>
      </c>
      <c r="AV936">
        <f>IF(OR(AV$4="",$A936&gt;TODAY()),0,IF(OR(INDEX($B936:$D936,AV$5)="F",AND(AV$6&gt;0,$A936&lt;AV$6),AND(AV$7&gt;0,$A936&gt;AV$7)),0,MAX(0,ROUND((INDEX($E936:$G936,AV$5)-SUMIFS(TF_Timer,TF_Tekniker,AV$4,TF_Dato,$A936))*2,0)/2)))</f>
        <v/>
      </c>
      <c r="AW936">
        <f>IF(OR(AW$4="",$A936&gt;TODAY()),0,IF(OR(INDEX($B936:$D936,AW$5)="F",AND(AW$6&gt;0,$A936&lt;AW$6),AND(AW$7&gt;0,$A936&gt;AW$7)),0,MAX(0,ROUND((INDEX($E936:$G936,AW$5)-SUMIFS(TF_Timer,TF_Tekniker,AW$4,TF_Dato,$A936))*2,0)/2)))</f>
        <v/>
      </c>
      <c r="AX936">
        <f>IF(OR(AX$4="",$A936&gt;TODAY()),0,IF(OR(INDEX($B936:$D936,AX$5)="F",AND(AX$6&gt;0,$A936&lt;AX$6),AND(AX$7&gt;0,$A936&gt;AX$7)),0,MAX(0,ROUND((INDEX($E936:$G936,AX$5)-SUMIFS(TF_Timer,TF_Tekniker,AX$4,TF_Dato,$A936))*2,0)/2)))</f>
        <v/>
      </c>
      <c r="AY936">
        <f>IF(OR(AY$4="",$A936&gt;TODAY()),0,IF(OR(INDEX($B936:$D936,AY$5)="F",AND(AY$6&gt;0,$A936&lt;AY$6),AND(AY$7&gt;0,$A936&gt;AY$7)),0,MAX(0,ROUND((INDEX($E936:$G936,AY$5)-SUMIFS(TF_Timer,TF_Tekniker,AY$4,TF_Dato,$A936))*2,0)/2)))</f>
        <v/>
      </c>
      <c r="AZ936">
        <f>IF(OR(AZ$4="",$A936&gt;TODAY()),0,IF(OR(INDEX($B936:$D936,AZ$5)="F",AND(AZ$6&gt;0,$A936&lt;AZ$6),AND(AZ$7&gt;0,$A936&gt;AZ$7)),0,MAX(0,ROUND((INDEX($E936:$G936,AZ$5)-SUMIFS(TF_Timer,TF_Tekniker,AZ$4,TF_Dato,$A936))*2,0)/2)))</f>
        <v/>
      </c>
      <c r="BA936">
        <f>IF(OR(BA$4="",$A936&gt;TODAY()),0,IF(OR(INDEX($B936:$D936,BA$5)="F",AND(BA$6&gt;0,$A936&lt;BA$6),AND(BA$7&gt;0,$A936&gt;BA$7)),0,MAX(0,ROUND((INDEX($E936:$G936,BA$5)-SUMIFS(TF_Timer,TF_Tekniker,BA$4,TF_Dato,$A936))*2,0)/2)))</f>
        <v/>
      </c>
      <c r="BB936">
        <f>IF(OR(BB$4="",$A936&gt;TODAY()),0,IF(OR(INDEX($B936:$D936,BB$5)="F",AND(BB$6&gt;0,$A936&lt;BB$6),AND(BB$7&gt;0,$A936&gt;BB$7)),0,MAX(0,ROUND((INDEX($E936:$G936,BB$5)-SUMIFS(TF_Timer,TF_Tekniker,BB$4,TF_Dato,$A936))*2,0)/2)))</f>
        <v/>
      </c>
      <c r="BC936">
        <f>IF(OR(BC$4="",$A936&gt;TODAY()),0,IF(OR(INDEX($B936:$D936,BC$5)="F",AND(BC$6&gt;0,$A936&lt;BC$6),AND(BC$7&gt;0,$A936&gt;BC$7)),0,MAX(0,ROUND((INDEX($E936:$G936,BC$5)-SUMIFS(TF_Timer,TF_Tekniker,BC$4,TF_Dato,$A936))*2,0)/2)))</f>
        <v/>
      </c>
      <c r="BD936">
        <f>IF(OR(BD$4="",$A936&gt;TODAY()),0,IF(OR(INDEX($B936:$D936,BD$5)="F",AND(BD$6&gt;0,$A936&lt;BD$6),AND(BD$7&gt;0,$A936&gt;BD$7)),0,MAX(0,ROUND((INDEX($E936:$G936,BD$5)-SUMIFS(TF_Timer,TF_Tekniker,BD$4,TF_Dato,$A936))*2,0)/2)))</f>
        <v/>
      </c>
      <c r="BE936">
        <f>IF(OR(BE$4="",$A936&gt;TODAY()),0,IF(OR(INDEX($B936:$D936,BE$5)="F",AND(BE$6&gt;0,$A936&lt;BE$6),AND(BE$7&gt;0,$A936&gt;BE$7)),0,MAX(0,ROUND((INDEX($E936:$G936,BE$5)-SUMIFS(TF_Timer,TF_Tekniker,BE$4,TF_Dato,$A936))*2,0)/2)))</f>
        <v/>
      </c>
      <c r="BF936">
        <f>IF(OR(BF$4="",$A936&gt;TODAY()),0,IF(OR(INDEX($B936:$D936,BF$5)="F",AND(BF$6&gt;0,$A936&lt;BF$6),AND(BF$7&gt;0,$A936&gt;BF$7)),0,MAX(0,ROUND((INDEX($E936:$G936,BF$5)-SUMIFS(TF_Timer,TF_Tekniker,BF$4,TF_Dato,$A936))*2,0)/2)))</f>
        <v/>
      </c>
      <c r="BG936">
        <f>IF(OR(BG$4="",$A936&gt;TODAY()),0,IF(OR(INDEX($B936:$D936,BG$5)="F",AND(BG$6&gt;0,$A936&lt;BG$6),AND(BG$7&gt;0,$A936&gt;BG$7)),0,MAX(0,ROUND((INDEX($E936:$G936,BG$5)-SUMIFS(TF_Timer,TF_Tekniker,BG$4,TF_Dato,$A936))*2,0)/2)))</f>
        <v/>
      </c>
      <c r="BH936">
        <f>IF(OR(BH$4="",$A936&gt;TODAY()),0,IF(OR(INDEX($B936:$D936,BH$5)="F",AND(BH$6&gt;0,$A936&lt;BH$6),AND(BH$7&gt;0,$A936&gt;BH$7)),0,MAX(0,ROUND((INDEX($E936:$G936,BH$5)-SUMIFS(TF_Timer,TF_Tekniker,BH$4,TF_Dato,$A936))*2,0)/2)))</f>
        <v/>
      </c>
      <c r="BI936">
        <f>IF(OR(BI$4="",$A936&gt;TODAY()),0,IF(OR(INDEX($B936:$D936,BI$5)="F",AND(BI$6&gt;0,$A936&lt;BI$6),AND(BI$7&gt;0,$A936&gt;BI$7)),0,MAX(0,ROUND((INDEX($E936:$G936,BI$5)-SUMIFS(TF_Timer,TF_Tekniker,BI$4,TF_Dato,$A936))*2,0)/2)))</f>
        <v/>
      </c>
    </row>
    <row r="937">
      <c r="A937" s="64">
        <f>A936+1</f>
        <v/>
      </c>
      <c r="B937">
        <f>IF(MOD($A937-INDEX(SkiftStart,1),Syklus)&lt;DagK,"K",IF(MOD($A937-INDEX(SkiftStart,1),Syklus)&lt;DagK+DagH,"H",IF(MOD($A937-INDEX(SkiftStart,1),Syklus)&lt;DagK+DagH+DagD,"D","F")))</f>
        <v/>
      </c>
      <c r="C937">
        <f>IF(MOD($A937-INDEX(SkiftStart,2),Syklus)&lt;DagK,"K",IF(MOD($A937-INDEX(SkiftStart,2),Syklus)&lt;DagK+DagH,"H",IF(MOD($A937-INDEX(SkiftStart,2),Syklus)&lt;DagK+DagH+DagD,"D","F")))</f>
        <v/>
      </c>
      <c r="D937">
        <f>IF(MOD($A937-INDEX(SkiftStart,3),Syklus)&lt;DagK,"K",IF(MOD($A937-INDEX(SkiftStart,3),Syklus)&lt;DagK+DagH,"H",IF(MOD($A937-INDEX(SkiftStart,3),Syklus)&lt;DagK+DagH+DagD,"D","F")))</f>
        <v/>
      </c>
      <c r="E937">
        <f>IF(B937="F",0,IF(WEEKDAY($A937,2)=5,INDEX(TimerFr,MATCH(B937,FaseKode,0)),INDEX(TimerMT,MATCH(B937,FaseKode,0))))</f>
        <v/>
      </c>
      <c r="F937">
        <f>IF(C937="F",0,IF(WEEKDAY($A937,2)=5,INDEX(TimerFr,MATCH(C937,FaseKode,0)),INDEX(TimerMT,MATCH(C937,FaseKode,0))))</f>
        <v/>
      </c>
      <c r="G937">
        <f>IF(D937="F",0,IF(WEEKDAY($A937,2)=5,INDEX(TimerFr,MATCH(D937,FaseKode,0)),INDEX(TimerMT,MATCH(D937,FaseKode,0))))</f>
        <v/>
      </c>
      <c r="H937">
        <f>IF(OR(H$4="",$A937&gt;TODAY()),0,IF(OR(INDEX($B937:$D937,H$5)="F",AND(H$6&gt;0,$A937&lt;H$6),AND(H$7&gt;0,$A937&gt;H$7)),0,MAX(0,ROUND((INDEX($E937:$G937,H$5)-SUMIFS(TF_Timer,TF_Tekniker,H$4,TF_Dato,$A937))*2,0)/2)))</f>
        <v/>
      </c>
      <c r="I937">
        <f>IF(OR(I$4="",$A937&gt;TODAY()),0,IF(OR(INDEX($B937:$D937,I$5)="F",AND(I$6&gt;0,$A937&lt;I$6),AND(I$7&gt;0,$A937&gt;I$7)),0,MAX(0,ROUND((INDEX($E937:$G937,I$5)-SUMIFS(TF_Timer,TF_Tekniker,I$4,TF_Dato,$A937))*2,0)/2)))</f>
        <v/>
      </c>
      <c r="J937">
        <f>IF(OR(J$4="",$A937&gt;TODAY()),0,IF(OR(INDEX($B937:$D937,J$5)="F",AND(J$6&gt;0,$A937&lt;J$6),AND(J$7&gt;0,$A937&gt;J$7)),0,MAX(0,ROUND((INDEX($E937:$G937,J$5)-SUMIFS(TF_Timer,TF_Tekniker,J$4,TF_Dato,$A937))*2,0)/2)))</f>
        <v/>
      </c>
      <c r="K937">
        <f>IF(OR(K$4="",$A937&gt;TODAY()),0,IF(OR(INDEX($B937:$D937,K$5)="F",AND(K$6&gt;0,$A937&lt;K$6),AND(K$7&gt;0,$A937&gt;K$7)),0,MAX(0,ROUND((INDEX($E937:$G937,K$5)-SUMIFS(TF_Timer,TF_Tekniker,K$4,TF_Dato,$A937))*2,0)/2)))</f>
        <v/>
      </c>
      <c r="L937">
        <f>IF(OR(L$4="",$A937&gt;TODAY()),0,IF(OR(INDEX($B937:$D937,L$5)="F",AND(L$6&gt;0,$A937&lt;L$6),AND(L$7&gt;0,$A937&gt;L$7)),0,MAX(0,ROUND((INDEX($E937:$G937,L$5)-SUMIFS(TF_Timer,TF_Tekniker,L$4,TF_Dato,$A937))*2,0)/2)))</f>
        <v/>
      </c>
      <c r="M937">
        <f>IF(OR(M$4="",$A937&gt;TODAY()),0,IF(OR(INDEX($B937:$D937,M$5)="F",AND(M$6&gt;0,$A937&lt;M$6),AND(M$7&gt;0,$A937&gt;M$7)),0,MAX(0,ROUND((INDEX($E937:$G937,M$5)-SUMIFS(TF_Timer,TF_Tekniker,M$4,TF_Dato,$A937))*2,0)/2)))</f>
        <v/>
      </c>
      <c r="N937">
        <f>IF(OR(N$4="",$A937&gt;TODAY()),0,IF(OR(INDEX($B937:$D937,N$5)="F",AND(N$6&gt;0,$A937&lt;N$6),AND(N$7&gt;0,$A937&gt;N$7)),0,MAX(0,ROUND((INDEX($E937:$G937,N$5)-SUMIFS(TF_Timer,TF_Tekniker,N$4,TF_Dato,$A937))*2,0)/2)))</f>
        <v/>
      </c>
      <c r="O937">
        <f>IF(OR(O$4="",$A937&gt;TODAY()),0,IF(OR(INDEX($B937:$D937,O$5)="F",AND(O$6&gt;0,$A937&lt;O$6),AND(O$7&gt;0,$A937&gt;O$7)),0,MAX(0,ROUND((INDEX($E937:$G937,O$5)-SUMIFS(TF_Timer,TF_Tekniker,O$4,TF_Dato,$A937))*2,0)/2)))</f>
        <v/>
      </c>
      <c r="P937">
        <f>IF(OR(P$4="",$A937&gt;TODAY()),0,IF(OR(INDEX($B937:$D937,P$5)="F",AND(P$6&gt;0,$A937&lt;P$6),AND(P$7&gt;0,$A937&gt;P$7)),0,MAX(0,ROUND((INDEX($E937:$G937,P$5)-SUMIFS(TF_Timer,TF_Tekniker,P$4,TF_Dato,$A937))*2,0)/2)))</f>
        <v/>
      </c>
      <c r="Q937">
        <f>IF(OR(Q$4="",$A937&gt;TODAY()),0,IF(OR(INDEX($B937:$D937,Q$5)="F",AND(Q$6&gt;0,$A937&lt;Q$6),AND(Q$7&gt;0,$A937&gt;Q$7)),0,MAX(0,ROUND((INDEX($E937:$G937,Q$5)-SUMIFS(TF_Timer,TF_Tekniker,Q$4,TF_Dato,$A937))*2,0)/2)))</f>
        <v/>
      </c>
      <c r="R937">
        <f>IF(OR(R$4="",$A937&gt;TODAY()),0,IF(OR(INDEX($B937:$D937,R$5)="F",AND(R$6&gt;0,$A937&lt;R$6),AND(R$7&gt;0,$A937&gt;R$7)),0,MAX(0,ROUND((INDEX($E937:$G937,R$5)-SUMIFS(TF_Timer,TF_Tekniker,R$4,TF_Dato,$A937))*2,0)/2)))</f>
        <v/>
      </c>
      <c r="S937">
        <f>IF(OR(S$4="",$A937&gt;TODAY()),0,IF(OR(INDEX($B937:$D937,S$5)="F",AND(S$6&gt;0,$A937&lt;S$6),AND(S$7&gt;0,$A937&gt;S$7)),0,MAX(0,ROUND((INDEX($E937:$G937,S$5)-SUMIFS(TF_Timer,TF_Tekniker,S$4,TF_Dato,$A937))*2,0)/2)))</f>
        <v/>
      </c>
      <c r="T937">
        <f>IF(OR(T$4="",$A937&gt;TODAY()),0,IF(OR(INDEX($B937:$D937,T$5)="F",AND(T$6&gt;0,$A937&lt;T$6),AND(T$7&gt;0,$A937&gt;T$7)),0,MAX(0,ROUND((INDEX($E937:$G937,T$5)-SUMIFS(TF_Timer,TF_Tekniker,T$4,TF_Dato,$A937))*2,0)/2)))</f>
        <v/>
      </c>
      <c r="U937">
        <f>IF(OR(U$4="",$A937&gt;TODAY()),0,IF(OR(INDEX($B937:$D937,U$5)="F",AND(U$6&gt;0,$A937&lt;U$6),AND(U$7&gt;0,$A937&gt;U$7)),0,MAX(0,ROUND((INDEX($E937:$G937,U$5)-SUMIFS(TF_Timer,TF_Tekniker,U$4,TF_Dato,$A937))*2,0)/2)))</f>
        <v/>
      </c>
      <c r="V937">
        <f>IF(OR(V$4="",$A937&gt;TODAY()),0,IF(OR(INDEX($B937:$D937,V$5)="F",AND(V$6&gt;0,$A937&lt;V$6),AND(V$7&gt;0,$A937&gt;V$7)),0,MAX(0,ROUND((INDEX($E937:$G937,V$5)-SUMIFS(TF_Timer,TF_Tekniker,V$4,TF_Dato,$A937))*2,0)/2)))</f>
        <v/>
      </c>
      <c r="W937">
        <f>IF(OR(W$4="",$A937&gt;TODAY()),0,IF(OR(INDEX($B937:$D937,W$5)="F",AND(W$6&gt;0,$A937&lt;W$6),AND(W$7&gt;0,$A937&gt;W$7)),0,MAX(0,ROUND((INDEX($E937:$G937,W$5)-SUMIFS(TF_Timer,TF_Tekniker,W$4,TF_Dato,$A937))*2,0)/2)))</f>
        <v/>
      </c>
      <c r="X937">
        <f>IF(OR(X$4="",$A937&gt;TODAY()),0,IF(OR(INDEX($B937:$D937,X$5)="F",AND(X$6&gt;0,$A937&lt;X$6),AND(X$7&gt;0,$A937&gt;X$7)),0,MAX(0,ROUND((INDEX($E937:$G937,X$5)-SUMIFS(TF_Timer,TF_Tekniker,X$4,TF_Dato,$A937))*2,0)/2)))</f>
        <v/>
      </c>
      <c r="Y937">
        <f>IF(OR(Y$4="",$A937&gt;TODAY()),0,IF(OR(INDEX($B937:$D937,Y$5)="F",AND(Y$6&gt;0,$A937&lt;Y$6),AND(Y$7&gt;0,$A937&gt;Y$7)),0,MAX(0,ROUND((INDEX($E937:$G937,Y$5)-SUMIFS(TF_Timer,TF_Tekniker,Y$4,TF_Dato,$A937))*2,0)/2)))</f>
        <v/>
      </c>
      <c r="Z937">
        <f>IF(OR(Z$4="",$A937&gt;TODAY()),0,IF(OR(INDEX($B937:$D937,Z$5)="F",AND(Z$6&gt;0,$A937&lt;Z$6),AND(Z$7&gt;0,$A937&gt;Z$7)),0,MAX(0,ROUND((INDEX($E937:$G937,Z$5)-SUMIFS(TF_Timer,TF_Tekniker,Z$4,TF_Dato,$A937))*2,0)/2)))</f>
        <v/>
      </c>
      <c r="AA937">
        <f>IF(OR(AA$4="",$A937&gt;TODAY()),0,IF(OR(INDEX($B937:$D937,AA$5)="F",AND(AA$6&gt;0,$A937&lt;AA$6),AND(AA$7&gt;0,$A937&gt;AA$7)),0,MAX(0,ROUND((INDEX($E937:$G937,AA$5)-SUMIFS(TF_Timer,TF_Tekniker,AA$4,TF_Dato,$A937))*2,0)/2)))</f>
        <v/>
      </c>
      <c r="AB937">
        <f>IF(OR(AB$4="",$A937&gt;TODAY()),0,IF(OR(INDEX($B937:$D937,AB$5)="F",AND(AB$6&gt;0,$A937&lt;AB$6),AND(AB$7&gt;0,$A937&gt;AB$7)),0,MAX(0,ROUND((INDEX($E937:$G937,AB$5)-SUMIFS(TF_Timer,TF_Tekniker,AB$4,TF_Dato,$A937))*2,0)/2)))</f>
        <v/>
      </c>
      <c r="AC937">
        <f>IF(OR(AC$4="",$A937&gt;TODAY()),0,IF(OR(INDEX($B937:$D937,AC$5)="F",AND(AC$6&gt;0,$A937&lt;AC$6),AND(AC$7&gt;0,$A937&gt;AC$7)),0,MAX(0,ROUND((INDEX($E937:$G937,AC$5)-SUMIFS(TF_Timer,TF_Tekniker,AC$4,TF_Dato,$A937))*2,0)/2)))</f>
        <v/>
      </c>
      <c r="AD937">
        <f>IF(OR(AD$4="",$A937&gt;TODAY()),0,IF(OR(INDEX($B937:$D937,AD$5)="F",AND(AD$6&gt;0,$A937&lt;AD$6),AND(AD$7&gt;0,$A937&gt;AD$7)),0,MAX(0,ROUND((INDEX($E937:$G937,AD$5)-SUMIFS(TF_Timer,TF_Tekniker,AD$4,TF_Dato,$A937))*2,0)/2)))</f>
        <v/>
      </c>
      <c r="AE937">
        <f>IF(OR(AE$4="",$A937&gt;TODAY()),0,IF(OR(INDEX($B937:$D937,AE$5)="F",AND(AE$6&gt;0,$A937&lt;AE$6),AND(AE$7&gt;0,$A937&gt;AE$7)),0,MAX(0,ROUND((INDEX($E937:$G937,AE$5)-SUMIFS(TF_Timer,TF_Tekniker,AE$4,TF_Dato,$A937))*2,0)/2)))</f>
        <v/>
      </c>
      <c r="AF937">
        <f>IF(OR(AF$4="",$A937&gt;TODAY()),0,IF(OR(INDEX($B937:$D937,AF$5)="F",AND(AF$6&gt;0,$A937&lt;AF$6),AND(AF$7&gt;0,$A937&gt;AF$7)),0,MAX(0,ROUND((INDEX($E937:$G937,AF$5)-SUMIFS(TF_Timer,TF_Tekniker,AF$4,TF_Dato,$A937))*2,0)/2)))</f>
        <v/>
      </c>
      <c r="AG937">
        <f>IF(OR(AG$4="",$A937&gt;TODAY()),0,IF(OR(INDEX($B937:$D937,AG$5)="F",AND(AG$6&gt;0,$A937&lt;AG$6),AND(AG$7&gt;0,$A937&gt;AG$7)),0,MAX(0,ROUND((INDEX($E937:$G937,AG$5)-SUMIFS(TF_Timer,TF_Tekniker,AG$4,TF_Dato,$A937))*2,0)/2)))</f>
        <v/>
      </c>
      <c r="AH937">
        <f>IF(OR(AH$4="",$A937&gt;TODAY()),0,IF(OR(INDEX($B937:$D937,AH$5)="F",AND(AH$6&gt;0,$A937&lt;AH$6),AND(AH$7&gt;0,$A937&gt;AH$7)),0,MAX(0,ROUND((INDEX($E937:$G937,AH$5)-SUMIFS(TF_Timer,TF_Tekniker,AH$4,TF_Dato,$A937))*2,0)/2)))</f>
        <v/>
      </c>
      <c r="AI937">
        <f>IF(OR(AI$4="",$A937&gt;TODAY()),0,IF(OR(INDEX($B937:$D937,AI$5)="F",AND(AI$6&gt;0,$A937&lt;AI$6),AND(AI$7&gt;0,$A937&gt;AI$7)),0,MAX(0,ROUND((INDEX($E937:$G937,AI$5)-SUMIFS(TF_Timer,TF_Tekniker,AI$4,TF_Dato,$A937))*2,0)/2)))</f>
        <v/>
      </c>
      <c r="AJ937">
        <f>IF(OR(AJ$4="",$A937&gt;TODAY()),0,IF(OR(INDEX($B937:$D937,AJ$5)="F",AND(AJ$6&gt;0,$A937&lt;AJ$6),AND(AJ$7&gt;0,$A937&gt;AJ$7)),0,MAX(0,ROUND((INDEX($E937:$G937,AJ$5)-SUMIFS(TF_Timer,TF_Tekniker,AJ$4,TF_Dato,$A937))*2,0)/2)))</f>
        <v/>
      </c>
      <c r="AK937">
        <f>IF(OR(AK$4="",$A937&gt;TODAY()),0,IF(OR(INDEX($B937:$D937,AK$5)="F",AND(AK$6&gt;0,$A937&lt;AK$6),AND(AK$7&gt;0,$A937&gt;AK$7)),0,MAX(0,ROUND((INDEX($E937:$G937,AK$5)-SUMIFS(TF_Timer,TF_Tekniker,AK$4,TF_Dato,$A937))*2,0)/2)))</f>
        <v/>
      </c>
      <c r="AL937">
        <f>IF(OR(AL$4="",$A937&gt;TODAY()),0,IF(OR(INDEX($B937:$D937,AL$5)="F",AND(AL$6&gt;0,$A937&lt;AL$6),AND(AL$7&gt;0,$A937&gt;AL$7)),0,MAX(0,ROUND((INDEX($E937:$G937,AL$5)-SUMIFS(TF_Timer,TF_Tekniker,AL$4,TF_Dato,$A937))*2,0)/2)))</f>
        <v/>
      </c>
      <c r="AM937">
        <f>IF(OR(AM$4="",$A937&gt;TODAY()),0,IF(OR(INDEX($B937:$D937,AM$5)="F",AND(AM$6&gt;0,$A937&lt;AM$6),AND(AM$7&gt;0,$A937&gt;AM$7)),0,MAX(0,ROUND((INDEX($E937:$G937,AM$5)-SUMIFS(TF_Timer,TF_Tekniker,AM$4,TF_Dato,$A937))*2,0)/2)))</f>
        <v/>
      </c>
      <c r="AN937">
        <f>IF(OR(AN$4="",$A937&gt;TODAY()),0,IF(OR(INDEX($B937:$D937,AN$5)="F",AND(AN$6&gt;0,$A937&lt;AN$6),AND(AN$7&gt;0,$A937&gt;AN$7)),0,MAX(0,ROUND((INDEX($E937:$G937,AN$5)-SUMIFS(TF_Timer,TF_Tekniker,AN$4,TF_Dato,$A937))*2,0)/2)))</f>
        <v/>
      </c>
      <c r="AO937">
        <f>IF(OR(AO$4="",$A937&gt;TODAY()),0,IF(OR(INDEX($B937:$D937,AO$5)="F",AND(AO$6&gt;0,$A937&lt;AO$6),AND(AO$7&gt;0,$A937&gt;AO$7)),0,MAX(0,ROUND((INDEX($E937:$G937,AO$5)-SUMIFS(TF_Timer,TF_Tekniker,AO$4,TF_Dato,$A937))*2,0)/2)))</f>
        <v/>
      </c>
      <c r="AP937">
        <f>IF(OR(AP$4="",$A937&gt;TODAY()),0,IF(OR(INDEX($B937:$D937,AP$5)="F",AND(AP$6&gt;0,$A937&lt;AP$6),AND(AP$7&gt;0,$A937&gt;AP$7)),0,MAX(0,ROUND((INDEX($E937:$G937,AP$5)-SUMIFS(TF_Timer,TF_Tekniker,AP$4,TF_Dato,$A937))*2,0)/2)))</f>
        <v/>
      </c>
      <c r="AQ937">
        <f>IF(OR(AQ$4="",$A937&gt;TODAY()),0,IF(OR(INDEX($B937:$D937,AQ$5)="F",AND(AQ$6&gt;0,$A937&lt;AQ$6),AND(AQ$7&gt;0,$A937&gt;AQ$7)),0,MAX(0,ROUND((INDEX($E937:$G937,AQ$5)-SUMIFS(TF_Timer,TF_Tekniker,AQ$4,TF_Dato,$A937))*2,0)/2)))</f>
        <v/>
      </c>
      <c r="AR937">
        <f>IF(OR(AR$4="",$A937&gt;TODAY()),0,IF(OR(INDEX($B937:$D937,AR$5)="F",AND(AR$6&gt;0,$A937&lt;AR$6),AND(AR$7&gt;0,$A937&gt;AR$7)),0,MAX(0,ROUND((INDEX($E937:$G937,AR$5)-SUMIFS(TF_Timer,TF_Tekniker,AR$4,TF_Dato,$A937))*2,0)/2)))</f>
        <v/>
      </c>
      <c r="AS937">
        <f>IF(OR(AS$4="",$A937&gt;TODAY()),0,IF(OR(INDEX($B937:$D937,AS$5)="F",AND(AS$6&gt;0,$A937&lt;AS$6),AND(AS$7&gt;0,$A937&gt;AS$7)),0,MAX(0,ROUND((INDEX($E937:$G937,AS$5)-SUMIFS(TF_Timer,TF_Tekniker,AS$4,TF_Dato,$A937))*2,0)/2)))</f>
        <v/>
      </c>
      <c r="AT937">
        <f>IF(OR(AT$4="",$A937&gt;TODAY()),0,IF(OR(INDEX($B937:$D937,AT$5)="F",AND(AT$6&gt;0,$A937&lt;AT$6),AND(AT$7&gt;0,$A937&gt;AT$7)),0,MAX(0,ROUND((INDEX($E937:$G937,AT$5)-SUMIFS(TF_Timer,TF_Tekniker,AT$4,TF_Dato,$A937))*2,0)/2)))</f>
        <v/>
      </c>
      <c r="AU937">
        <f>IF(OR(AU$4="",$A937&gt;TODAY()),0,IF(OR(INDEX($B937:$D937,AU$5)="F",AND(AU$6&gt;0,$A937&lt;AU$6),AND(AU$7&gt;0,$A937&gt;AU$7)),0,MAX(0,ROUND((INDEX($E937:$G937,AU$5)-SUMIFS(TF_Timer,TF_Tekniker,AU$4,TF_Dato,$A937))*2,0)/2)))</f>
        <v/>
      </c>
      <c r="AV937">
        <f>IF(OR(AV$4="",$A937&gt;TODAY()),0,IF(OR(INDEX($B937:$D937,AV$5)="F",AND(AV$6&gt;0,$A937&lt;AV$6),AND(AV$7&gt;0,$A937&gt;AV$7)),0,MAX(0,ROUND((INDEX($E937:$G937,AV$5)-SUMIFS(TF_Timer,TF_Tekniker,AV$4,TF_Dato,$A937))*2,0)/2)))</f>
        <v/>
      </c>
      <c r="AW937">
        <f>IF(OR(AW$4="",$A937&gt;TODAY()),0,IF(OR(INDEX($B937:$D937,AW$5)="F",AND(AW$6&gt;0,$A937&lt;AW$6),AND(AW$7&gt;0,$A937&gt;AW$7)),0,MAX(0,ROUND((INDEX($E937:$G937,AW$5)-SUMIFS(TF_Timer,TF_Tekniker,AW$4,TF_Dato,$A937))*2,0)/2)))</f>
        <v/>
      </c>
      <c r="AX937">
        <f>IF(OR(AX$4="",$A937&gt;TODAY()),0,IF(OR(INDEX($B937:$D937,AX$5)="F",AND(AX$6&gt;0,$A937&lt;AX$6),AND(AX$7&gt;0,$A937&gt;AX$7)),0,MAX(0,ROUND((INDEX($E937:$G937,AX$5)-SUMIFS(TF_Timer,TF_Tekniker,AX$4,TF_Dato,$A937))*2,0)/2)))</f>
        <v/>
      </c>
      <c r="AY937">
        <f>IF(OR(AY$4="",$A937&gt;TODAY()),0,IF(OR(INDEX($B937:$D937,AY$5)="F",AND(AY$6&gt;0,$A937&lt;AY$6),AND(AY$7&gt;0,$A937&gt;AY$7)),0,MAX(0,ROUND((INDEX($E937:$G937,AY$5)-SUMIFS(TF_Timer,TF_Tekniker,AY$4,TF_Dato,$A937))*2,0)/2)))</f>
        <v/>
      </c>
      <c r="AZ937">
        <f>IF(OR(AZ$4="",$A937&gt;TODAY()),0,IF(OR(INDEX($B937:$D937,AZ$5)="F",AND(AZ$6&gt;0,$A937&lt;AZ$6),AND(AZ$7&gt;0,$A937&gt;AZ$7)),0,MAX(0,ROUND((INDEX($E937:$G937,AZ$5)-SUMIFS(TF_Timer,TF_Tekniker,AZ$4,TF_Dato,$A937))*2,0)/2)))</f>
        <v/>
      </c>
      <c r="BA937">
        <f>IF(OR(BA$4="",$A937&gt;TODAY()),0,IF(OR(INDEX($B937:$D937,BA$5)="F",AND(BA$6&gt;0,$A937&lt;BA$6),AND(BA$7&gt;0,$A937&gt;BA$7)),0,MAX(0,ROUND((INDEX($E937:$G937,BA$5)-SUMIFS(TF_Timer,TF_Tekniker,BA$4,TF_Dato,$A937))*2,0)/2)))</f>
        <v/>
      </c>
      <c r="BB937">
        <f>IF(OR(BB$4="",$A937&gt;TODAY()),0,IF(OR(INDEX($B937:$D937,BB$5)="F",AND(BB$6&gt;0,$A937&lt;BB$6),AND(BB$7&gt;0,$A937&gt;BB$7)),0,MAX(0,ROUND((INDEX($E937:$G937,BB$5)-SUMIFS(TF_Timer,TF_Tekniker,BB$4,TF_Dato,$A937))*2,0)/2)))</f>
        <v/>
      </c>
      <c r="BC937">
        <f>IF(OR(BC$4="",$A937&gt;TODAY()),0,IF(OR(INDEX($B937:$D937,BC$5)="F",AND(BC$6&gt;0,$A937&lt;BC$6),AND(BC$7&gt;0,$A937&gt;BC$7)),0,MAX(0,ROUND((INDEX($E937:$G937,BC$5)-SUMIFS(TF_Timer,TF_Tekniker,BC$4,TF_Dato,$A937))*2,0)/2)))</f>
        <v/>
      </c>
      <c r="BD937">
        <f>IF(OR(BD$4="",$A937&gt;TODAY()),0,IF(OR(INDEX($B937:$D937,BD$5)="F",AND(BD$6&gt;0,$A937&lt;BD$6),AND(BD$7&gt;0,$A937&gt;BD$7)),0,MAX(0,ROUND((INDEX($E937:$G937,BD$5)-SUMIFS(TF_Timer,TF_Tekniker,BD$4,TF_Dato,$A937))*2,0)/2)))</f>
        <v/>
      </c>
      <c r="BE937">
        <f>IF(OR(BE$4="",$A937&gt;TODAY()),0,IF(OR(INDEX($B937:$D937,BE$5)="F",AND(BE$6&gt;0,$A937&lt;BE$6),AND(BE$7&gt;0,$A937&gt;BE$7)),0,MAX(0,ROUND((INDEX($E937:$G937,BE$5)-SUMIFS(TF_Timer,TF_Tekniker,BE$4,TF_Dato,$A937))*2,0)/2)))</f>
        <v/>
      </c>
      <c r="BF937">
        <f>IF(OR(BF$4="",$A937&gt;TODAY()),0,IF(OR(INDEX($B937:$D937,BF$5)="F",AND(BF$6&gt;0,$A937&lt;BF$6),AND(BF$7&gt;0,$A937&gt;BF$7)),0,MAX(0,ROUND((INDEX($E937:$G937,BF$5)-SUMIFS(TF_Timer,TF_Tekniker,BF$4,TF_Dato,$A937))*2,0)/2)))</f>
        <v/>
      </c>
      <c r="BG937">
        <f>IF(OR(BG$4="",$A937&gt;TODAY()),0,IF(OR(INDEX($B937:$D937,BG$5)="F",AND(BG$6&gt;0,$A937&lt;BG$6),AND(BG$7&gt;0,$A937&gt;BG$7)),0,MAX(0,ROUND((INDEX($E937:$G937,BG$5)-SUMIFS(TF_Timer,TF_Tekniker,BG$4,TF_Dato,$A937))*2,0)/2)))</f>
        <v/>
      </c>
      <c r="BH937">
        <f>IF(OR(BH$4="",$A937&gt;TODAY()),0,IF(OR(INDEX($B937:$D937,BH$5)="F",AND(BH$6&gt;0,$A937&lt;BH$6),AND(BH$7&gt;0,$A937&gt;BH$7)),0,MAX(0,ROUND((INDEX($E937:$G937,BH$5)-SUMIFS(TF_Timer,TF_Tekniker,BH$4,TF_Dato,$A937))*2,0)/2)))</f>
        <v/>
      </c>
      <c r="BI937">
        <f>IF(OR(BI$4="",$A937&gt;TODAY()),0,IF(OR(INDEX($B937:$D937,BI$5)="F",AND(BI$6&gt;0,$A937&lt;BI$6),AND(BI$7&gt;0,$A937&gt;BI$7)),0,MAX(0,ROUND((INDEX($E937:$G937,BI$5)-SUMIFS(TF_Timer,TF_Tekniker,BI$4,TF_Dato,$A937))*2,0)/2)))</f>
        <v/>
      </c>
    </row>
    <row r="938">
      <c r="A938" s="64">
        <f>A937+1</f>
        <v/>
      </c>
      <c r="B938">
        <f>IF(MOD($A938-INDEX(SkiftStart,1),Syklus)&lt;DagK,"K",IF(MOD($A938-INDEX(SkiftStart,1),Syklus)&lt;DagK+DagH,"H",IF(MOD($A938-INDEX(SkiftStart,1),Syklus)&lt;DagK+DagH+DagD,"D","F")))</f>
        <v/>
      </c>
      <c r="C938">
        <f>IF(MOD($A938-INDEX(SkiftStart,2),Syklus)&lt;DagK,"K",IF(MOD($A938-INDEX(SkiftStart,2),Syklus)&lt;DagK+DagH,"H",IF(MOD($A938-INDEX(SkiftStart,2),Syklus)&lt;DagK+DagH+DagD,"D","F")))</f>
        <v/>
      </c>
      <c r="D938">
        <f>IF(MOD($A938-INDEX(SkiftStart,3),Syklus)&lt;DagK,"K",IF(MOD($A938-INDEX(SkiftStart,3),Syklus)&lt;DagK+DagH,"H",IF(MOD($A938-INDEX(SkiftStart,3),Syklus)&lt;DagK+DagH+DagD,"D","F")))</f>
        <v/>
      </c>
      <c r="E938">
        <f>IF(B938="F",0,IF(WEEKDAY($A938,2)=5,INDEX(TimerFr,MATCH(B938,FaseKode,0)),INDEX(TimerMT,MATCH(B938,FaseKode,0))))</f>
        <v/>
      </c>
      <c r="F938">
        <f>IF(C938="F",0,IF(WEEKDAY($A938,2)=5,INDEX(TimerFr,MATCH(C938,FaseKode,0)),INDEX(TimerMT,MATCH(C938,FaseKode,0))))</f>
        <v/>
      </c>
      <c r="G938">
        <f>IF(D938="F",0,IF(WEEKDAY($A938,2)=5,INDEX(TimerFr,MATCH(D938,FaseKode,0)),INDEX(TimerMT,MATCH(D938,FaseKode,0))))</f>
        <v/>
      </c>
      <c r="H938">
        <f>IF(OR(H$4="",$A938&gt;TODAY()),0,IF(OR(INDEX($B938:$D938,H$5)="F",AND(H$6&gt;0,$A938&lt;H$6),AND(H$7&gt;0,$A938&gt;H$7)),0,MAX(0,ROUND((INDEX($E938:$G938,H$5)-SUMIFS(TF_Timer,TF_Tekniker,H$4,TF_Dato,$A938))*2,0)/2)))</f>
        <v/>
      </c>
      <c r="I938">
        <f>IF(OR(I$4="",$A938&gt;TODAY()),0,IF(OR(INDEX($B938:$D938,I$5)="F",AND(I$6&gt;0,$A938&lt;I$6),AND(I$7&gt;0,$A938&gt;I$7)),0,MAX(0,ROUND((INDEX($E938:$G938,I$5)-SUMIFS(TF_Timer,TF_Tekniker,I$4,TF_Dato,$A938))*2,0)/2)))</f>
        <v/>
      </c>
      <c r="J938">
        <f>IF(OR(J$4="",$A938&gt;TODAY()),0,IF(OR(INDEX($B938:$D938,J$5)="F",AND(J$6&gt;0,$A938&lt;J$6),AND(J$7&gt;0,$A938&gt;J$7)),0,MAX(0,ROUND((INDEX($E938:$G938,J$5)-SUMIFS(TF_Timer,TF_Tekniker,J$4,TF_Dato,$A938))*2,0)/2)))</f>
        <v/>
      </c>
      <c r="K938">
        <f>IF(OR(K$4="",$A938&gt;TODAY()),0,IF(OR(INDEX($B938:$D938,K$5)="F",AND(K$6&gt;0,$A938&lt;K$6),AND(K$7&gt;0,$A938&gt;K$7)),0,MAX(0,ROUND((INDEX($E938:$G938,K$5)-SUMIFS(TF_Timer,TF_Tekniker,K$4,TF_Dato,$A938))*2,0)/2)))</f>
        <v/>
      </c>
      <c r="L938">
        <f>IF(OR(L$4="",$A938&gt;TODAY()),0,IF(OR(INDEX($B938:$D938,L$5)="F",AND(L$6&gt;0,$A938&lt;L$6),AND(L$7&gt;0,$A938&gt;L$7)),0,MAX(0,ROUND((INDEX($E938:$G938,L$5)-SUMIFS(TF_Timer,TF_Tekniker,L$4,TF_Dato,$A938))*2,0)/2)))</f>
        <v/>
      </c>
      <c r="M938">
        <f>IF(OR(M$4="",$A938&gt;TODAY()),0,IF(OR(INDEX($B938:$D938,M$5)="F",AND(M$6&gt;0,$A938&lt;M$6),AND(M$7&gt;0,$A938&gt;M$7)),0,MAX(0,ROUND((INDEX($E938:$G938,M$5)-SUMIFS(TF_Timer,TF_Tekniker,M$4,TF_Dato,$A938))*2,0)/2)))</f>
        <v/>
      </c>
      <c r="N938">
        <f>IF(OR(N$4="",$A938&gt;TODAY()),0,IF(OR(INDEX($B938:$D938,N$5)="F",AND(N$6&gt;0,$A938&lt;N$6),AND(N$7&gt;0,$A938&gt;N$7)),0,MAX(0,ROUND((INDEX($E938:$G938,N$5)-SUMIFS(TF_Timer,TF_Tekniker,N$4,TF_Dato,$A938))*2,0)/2)))</f>
        <v/>
      </c>
      <c r="O938">
        <f>IF(OR(O$4="",$A938&gt;TODAY()),0,IF(OR(INDEX($B938:$D938,O$5)="F",AND(O$6&gt;0,$A938&lt;O$6),AND(O$7&gt;0,$A938&gt;O$7)),0,MAX(0,ROUND((INDEX($E938:$G938,O$5)-SUMIFS(TF_Timer,TF_Tekniker,O$4,TF_Dato,$A938))*2,0)/2)))</f>
        <v/>
      </c>
      <c r="P938">
        <f>IF(OR(P$4="",$A938&gt;TODAY()),0,IF(OR(INDEX($B938:$D938,P$5)="F",AND(P$6&gt;0,$A938&lt;P$6),AND(P$7&gt;0,$A938&gt;P$7)),0,MAX(0,ROUND((INDEX($E938:$G938,P$5)-SUMIFS(TF_Timer,TF_Tekniker,P$4,TF_Dato,$A938))*2,0)/2)))</f>
        <v/>
      </c>
      <c r="Q938">
        <f>IF(OR(Q$4="",$A938&gt;TODAY()),0,IF(OR(INDEX($B938:$D938,Q$5)="F",AND(Q$6&gt;0,$A938&lt;Q$6),AND(Q$7&gt;0,$A938&gt;Q$7)),0,MAX(0,ROUND((INDEX($E938:$G938,Q$5)-SUMIFS(TF_Timer,TF_Tekniker,Q$4,TF_Dato,$A938))*2,0)/2)))</f>
        <v/>
      </c>
      <c r="R938">
        <f>IF(OR(R$4="",$A938&gt;TODAY()),0,IF(OR(INDEX($B938:$D938,R$5)="F",AND(R$6&gt;0,$A938&lt;R$6),AND(R$7&gt;0,$A938&gt;R$7)),0,MAX(0,ROUND((INDEX($E938:$G938,R$5)-SUMIFS(TF_Timer,TF_Tekniker,R$4,TF_Dato,$A938))*2,0)/2)))</f>
        <v/>
      </c>
      <c r="S938">
        <f>IF(OR(S$4="",$A938&gt;TODAY()),0,IF(OR(INDEX($B938:$D938,S$5)="F",AND(S$6&gt;0,$A938&lt;S$6),AND(S$7&gt;0,$A938&gt;S$7)),0,MAX(0,ROUND((INDEX($E938:$G938,S$5)-SUMIFS(TF_Timer,TF_Tekniker,S$4,TF_Dato,$A938))*2,0)/2)))</f>
        <v/>
      </c>
      <c r="T938">
        <f>IF(OR(T$4="",$A938&gt;TODAY()),0,IF(OR(INDEX($B938:$D938,T$5)="F",AND(T$6&gt;0,$A938&lt;T$6),AND(T$7&gt;0,$A938&gt;T$7)),0,MAX(0,ROUND((INDEX($E938:$G938,T$5)-SUMIFS(TF_Timer,TF_Tekniker,T$4,TF_Dato,$A938))*2,0)/2)))</f>
        <v/>
      </c>
      <c r="U938">
        <f>IF(OR(U$4="",$A938&gt;TODAY()),0,IF(OR(INDEX($B938:$D938,U$5)="F",AND(U$6&gt;0,$A938&lt;U$6),AND(U$7&gt;0,$A938&gt;U$7)),0,MAX(0,ROUND((INDEX($E938:$G938,U$5)-SUMIFS(TF_Timer,TF_Tekniker,U$4,TF_Dato,$A938))*2,0)/2)))</f>
        <v/>
      </c>
      <c r="V938">
        <f>IF(OR(V$4="",$A938&gt;TODAY()),0,IF(OR(INDEX($B938:$D938,V$5)="F",AND(V$6&gt;0,$A938&lt;V$6),AND(V$7&gt;0,$A938&gt;V$7)),0,MAX(0,ROUND((INDEX($E938:$G938,V$5)-SUMIFS(TF_Timer,TF_Tekniker,V$4,TF_Dato,$A938))*2,0)/2)))</f>
        <v/>
      </c>
      <c r="W938">
        <f>IF(OR(W$4="",$A938&gt;TODAY()),0,IF(OR(INDEX($B938:$D938,W$5)="F",AND(W$6&gt;0,$A938&lt;W$6),AND(W$7&gt;0,$A938&gt;W$7)),0,MAX(0,ROUND((INDEX($E938:$G938,W$5)-SUMIFS(TF_Timer,TF_Tekniker,W$4,TF_Dato,$A938))*2,0)/2)))</f>
        <v/>
      </c>
      <c r="X938">
        <f>IF(OR(X$4="",$A938&gt;TODAY()),0,IF(OR(INDEX($B938:$D938,X$5)="F",AND(X$6&gt;0,$A938&lt;X$6),AND(X$7&gt;0,$A938&gt;X$7)),0,MAX(0,ROUND((INDEX($E938:$G938,X$5)-SUMIFS(TF_Timer,TF_Tekniker,X$4,TF_Dato,$A938))*2,0)/2)))</f>
        <v/>
      </c>
      <c r="Y938">
        <f>IF(OR(Y$4="",$A938&gt;TODAY()),0,IF(OR(INDEX($B938:$D938,Y$5)="F",AND(Y$6&gt;0,$A938&lt;Y$6),AND(Y$7&gt;0,$A938&gt;Y$7)),0,MAX(0,ROUND((INDEX($E938:$G938,Y$5)-SUMIFS(TF_Timer,TF_Tekniker,Y$4,TF_Dato,$A938))*2,0)/2)))</f>
        <v/>
      </c>
      <c r="Z938">
        <f>IF(OR(Z$4="",$A938&gt;TODAY()),0,IF(OR(INDEX($B938:$D938,Z$5)="F",AND(Z$6&gt;0,$A938&lt;Z$6),AND(Z$7&gt;0,$A938&gt;Z$7)),0,MAX(0,ROUND((INDEX($E938:$G938,Z$5)-SUMIFS(TF_Timer,TF_Tekniker,Z$4,TF_Dato,$A938))*2,0)/2)))</f>
        <v/>
      </c>
      <c r="AA938">
        <f>IF(OR(AA$4="",$A938&gt;TODAY()),0,IF(OR(INDEX($B938:$D938,AA$5)="F",AND(AA$6&gt;0,$A938&lt;AA$6),AND(AA$7&gt;0,$A938&gt;AA$7)),0,MAX(0,ROUND((INDEX($E938:$G938,AA$5)-SUMIFS(TF_Timer,TF_Tekniker,AA$4,TF_Dato,$A938))*2,0)/2)))</f>
        <v/>
      </c>
      <c r="AB938">
        <f>IF(OR(AB$4="",$A938&gt;TODAY()),0,IF(OR(INDEX($B938:$D938,AB$5)="F",AND(AB$6&gt;0,$A938&lt;AB$6),AND(AB$7&gt;0,$A938&gt;AB$7)),0,MAX(0,ROUND((INDEX($E938:$G938,AB$5)-SUMIFS(TF_Timer,TF_Tekniker,AB$4,TF_Dato,$A938))*2,0)/2)))</f>
        <v/>
      </c>
      <c r="AC938">
        <f>IF(OR(AC$4="",$A938&gt;TODAY()),0,IF(OR(INDEX($B938:$D938,AC$5)="F",AND(AC$6&gt;0,$A938&lt;AC$6),AND(AC$7&gt;0,$A938&gt;AC$7)),0,MAX(0,ROUND((INDEX($E938:$G938,AC$5)-SUMIFS(TF_Timer,TF_Tekniker,AC$4,TF_Dato,$A938))*2,0)/2)))</f>
        <v/>
      </c>
      <c r="AD938">
        <f>IF(OR(AD$4="",$A938&gt;TODAY()),0,IF(OR(INDEX($B938:$D938,AD$5)="F",AND(AD$6&gt;0,$A938&lt;AD$6),AND(AD$7&gt;0,$A938&gt;AD$7)),0,MAX(0,ROUND((INDEX($E938:$G938,AD$5)-SUMIFS(TF_Timer,TF_Tekniker,AD$4,TF_Dato,$A938))*2,0)/2)))</f>
        <v/>
      </c>
      <c r="AE938">
        <f>IF(OR(AE$4="",$A938&gt;TODAY()),0,IF(OR(INDEX($B938:$D938,AE$5)="F",AND(AE$6&gt;0,$A938&lt;AE$6),AND(AE$7&gt;0,$A938&gt;AE$7)),0,MAX(0,ROUND((INDEX($E938:$G938,AE$5)-SUMIFS(TF_Timer,TF_Tekniker,AE$4,TF_Dato,$A938))*2,0)/2)))</f>
        <v/>
      </c>
      <c r="AF938">
        <f>IF(OR(AF$4="",$A938&gt;TODAY()),0,IF(OR(INDEX($B938:$D938,AF$5)="F",AND(AF$6&gt;0,$A938&lt;AF$6),AND(AF$7&gt;0,$A938&gt;AF$7)),0,MAX(0,ROUND((INDEX($E938:$G938,AF$5)-SUMIFS(TF_Timer,TF_Tekniker,AF$4,TF_Dato,$A938))*2,0)/2)))</f>
        <v/>
      </c>
      <c r="AG938">
        <f>IF(OR(AG$4="",$A938&gt;TODAY()),0,IF(OR(INDEX($B938:$D938,AG$5)="F",AND(AG$6&gt;0,$A938&lt;AG$6),AND(AG$7&gt;0,$A938&gt;AG$7)),0,MAX(0,ROUND((INDEX($E938:$G938,AG$5)-SUMIFS(TF_Timer,TF_Tekniker,AG$4,TF_Dato,$A938))*2,0)/2)))</f>
        <v/>
      </c>
      <c r="AH938">
        <f>IF(OR(AH$4="",$A938&gt;TODAY()),0,IF(OR(INDEX($B938:$D938,AH$5)="F",AND(AH$6&gt;0,$A938&lt;AH$6),AND(AH$7&gt;0,$A938&gt;AH$7)),0,MAX(0,ROUND((INDEX($E938:$G938,AH$5)-SUMIFS(TF_Timer,TF_Tekniker,AH$4,TF_Dato,$A938))*2,0)/2)))</f>
        <v/>
      </c>
      <c r="AI938">
        <f>IF(OR(AI$4="",$A938&gt;TODAY()),0,IF(OR(INDEX($B938:$D938,AI$5)="F",AND(AI$6&gt;0,$A938&lt;AI$6),AND(AI$7&gt;0,$A938&gt;AI$7)),0,MAX(0,ROUND((INDEX($E938:$G938,AI$5)-SUMIFS(TF_Timer,TF_Tekniker,AI$4,TF_Dato,$A938))*2,0)/2)))</f>
        <v/>
      </c>
      <c r="AJ938">
        <f>IF(OR(AJ$4="",$A938&gt;TODAY()),0,IF(OR(INDEX($B938:$D938,AJ$5)="F",AND(AJ$6&gt;0,$A938&lt;AJ$6),AND(AJ$7&gt;0,$A938&gt;AJ$7)),0,MAX(0,ROUND((INDEX($E938:$G938,AJ$5)-SUMIFS(TF_Timer,TF_Tekniker,AJ$4,TF_Dato,$A938))*2,0)/2)))</f>
        <v/>
      </c>
      <c r="AK938">
        <f>IF(OR(AK$4="",$A938&gt;TODAY()),0,IF(OR(INDEX($B938:$D938,AK$5)="F",AND(AK$6&gt;0,$A938&lt;AK$6),AND(AK$7&gt;0,$A938&gt;AK$7)),0,MAX(0,ROUND((INDEX($E938:$G938,AK$5)-SUMIFS(TF_Timer,TF_Tekniker,AK$4,TF_Dato,$A938))*2,0)/2)))</f>
        <v/>
      </c>
      <c r="AL938">
        <f>IF(OR(AL$4="",$A938&gt;TODAY()),0,IF(OR(INDEX($B938:$D938,AL$5)="F",AND(AL$6&gt;0,$A938&lt;AL$6),AND(AL$7&gt;0,$A938&gt;AL$7)),0,MAX(0,ROUND((INDEX($E938:$G938,AL$5)-SUMIFS(TF_Timer,TF_Tekniker,AL$4,TF_Dato,$A938))*2,0)/2)))</f>
        <v/>
      </c>
      <c r="AM938">
        <f>IF(OR(AM$4="",$A938&gt;TODAY()),0,IF(OR(INDEX($B938:$D938,AM$5)="F",AND(AM$6&gt;0,$A938&lt;AM$6),AND(AM$7&gt;0,$A938&gt;AM$7)),0,MAX(0,ROUND((INDEX($E938:$G938,AM$5)-SUMIFS(TF_Timer,TF_Tekniker,AM$4,TF_Dato,$A938))*2,0)/2)))</f>
        <v/>
      </c>
      <c r="AN938">
        <f>IF(OR(AN$4="",$A938&gt;TODAY()),0,IF(OR(INDEX($B938:$D938,AN$5)="F",AND(AN$6&gt;0,$A938&lt;AN$6),AND(AN$7&gt;0,$A938&gt;AN$7)),0,MAX(0,ROUND((INDEX($E938:$G938,AN$5)-SUMIFS(TF_Timer,TF_Tekniker,AN$4,TF_Dato,$A938))*2,0)/2)))</f>
        <v/>
      </c>
      <c r="AO938">
        <f>IF(OR(AO$4="",$A938&gt;TODAY()),0,IF(OR(INDEX($B938:$D938,AO$5)="F",AND(AO$6&gt;0,$A938&lt;AO$6),AND(AO$7&gt;0,$A938&gt;AO$7)),0,MAX(0,ROUND((INDEX($E938:$G938,AO$5)-SUMIFS(TF_Timer,TF_Tekniker,AO$4,TF_Dato,$A938))*2,0)/2)))</f>
        <v/>
      </c>
      <c r="AP938">
        <f>IF(OR(AP$4="",$A938&gt;TODAY()),0,IF(OR(INDEX($B938:$D938,AP$5)="F",AND(AP$6&gt;0,$A938&lt;AP$6),AND(AP$7&gt;0,$A938&gt;AP$7)),0,MAX(0,ROUND((INDEX($E938:$G938,AP$5)-SUMIFS(TF_Timer,TF_Tekniker,AP$4,TF_Dato,$A938))*2,0)/2)))</f>
        <v/>
      </c>
      <c r="AQ938">
        <f>IF(OR(AQ$4="",$A938&gt;TODAY()),0,IF(OR(INDEX($B938:$D938,AQ$5)="F",AND(AQ$6&gt;0,$A938&lt;AQ$6),AND(AQ$7&gt;0,$A938&gt;AQ$7)),0,MAX(0,ROUND((INDEX($E938:$G938,AQ$5)-SUMIFS(TF_Timer,TF_Tekniker,AQ$4,TF_Dato,$A938))*2,0)/2)))</f>
        <v/>
      </c>
      <c r="AR938">
        <f>IF(OR(AR$4="",$A938&gt;TODAY()),0,IF(OR(INDEX($B938:$D938,AR$5)="F",AND(AR$6&gt;0,$A938&lt;AR$6),AND(AR$7&gt;0,$A938&gt;AR$7)),0,MAX(0,ROUND((INDEX($E938:$G938,AR$5)-SUMIFS(TF_Timer,TF_Tekniker,AR$4,TF_Dato,$A938))*2,0)/2)))</f>
        <v/>
      </c>
      <c r="AS938">
        <f>IF(OR(AS$4="",$A938&gt;TODAY()),0,IF(OR(INDEX($B938:$D938,AS$5)="F",AND(AS$6&gt;0,$A938&lt;AS$6),AND(AS$7&gt;0,$A938&gt;AS$7)),0,MAX(0,ROUND((INDEX($E938:$G938,AS$5)-SUMIFS(TF_Timer,TF_Tekniker,AS$4,TF_Dato,$A938))*2,0)/2)))</f>
        <v/>
      </c>
      <c r="AT938">
        <f>IF(OR(AT$4="",$A938&gt;TODAY()),0,IF(OR(INDEX($B938:$D938,AT$5)="F",AND(AT$6&gt;0,$A938&lt;AT$6),AND(AT$7&gt;0,$A938&gt;AT$7)),0,MAX(0,ROUND((INDEX($E938:$G938,AT$5)-SUMIFS(TF_Timer,TF_Tekniker,AT$4,TF_Dato,$A938))*2,0)/2)))</f>
        <v/>
      </c>
      <c r="AU938">
        <f>IF(OR(AU$4="",$A938&gt;TODAY()),0,IF(OR(INDEX($B938:$D938,AU$5)="F",AND(AU$6&gt;0,$A938&lt;AU$6),AND(AU$7&gt;0,$A938&gt;AU$7)),0,MAX(0,ROUND((INDEX($E938:$G938,AU$5)-SUMIFS(TF_Timer,TF_Tekniker,AU$4,TF_Dato,$A938))*2,0)/2)))</f>
        <v/>
      </c>
      <c r="AV938">
        <f>IF(OR(AV$4="",$A938&gt;TODAY()),0,IF(OR(INDEX($B938:$D938,AV$5)="F",AND(AV$6&gt;0,$A938&lt;AV$6),AND(AV$7&gt;0,$A938&gt;AV$7)),0,MAX(0,ROUND((INDEX($E938:$G938,AV$5)-SUMIFS(TF_Timer,TF_Tekniker,AV$4,TF_Dato,$A938))*2,0)/2)))</f>
        <v/>
      </c>
      <c r="AW938">
        <f>IF(OR(AW$4="",$A938&gt;TODAY()),0,IF(OR(INDEX($B938:$D938,AW$5)="F",AND(AW$6&gt;0,$A938&lt;AW$6),AND(AW$7&gt;0,$A938&gt;AW$7)),0,MAX(0,ROUND((INDEX($E938:$G938,AW$5)-SUMIFS(TF_Timer,TF_Tekniker,AW$4,TF_Dato,$A938))*2,0)/2)))</f>
        <v/>
      </c>
      <c r="AX938">
        <f>IF(OR(AX$4="",$A938&gt;TODAY()),0,IF(OR(INDEX($B938:$D938,AX$5)="F",AND(AX$6&gt;0,$A938&lt;AX$6),AND(AX$7&gt;0,$A938&gt;AX$7)),0,MAX(0,ROUND((INDEX($E938:$G938,AX$5)-SUMIFS(TF_Timer,TF_Tekniker,AX$4,TF_Dato,$A938))*2,0)/2)))</f>
        <v/>
      </c>
      <c r="AY938">
        <f>IF(OR(AY$4="",$A938&gt;TODAY()),0,IF(OR(INDEX($B938:$D938,AY$5)="F",AND(AY$6&gt;0,$A938&lt;AY$6),AND(AY$7&gt;0,$A938&gt;AY$7)),0,MAX(0,ROUND((INDEX($E938:$G938,AY$5)-SUMIFS(TF_Timer,TF_Tekniker,AY$4,TF_Dato,$A938))*2,0)/2)))</f>
        <v/>
      </c>
      <c r="AZ938">
        <f>IF(OR(AZ$4="",$A938&gt;TODAY()),0,IF(OR(INDEX($B938:$D938,AZ$5)="F",AND(AZ$6&gt;0,$A938&lt;AZ$6),AND(AZ$7&gt;0,$A938&gt;AZ$7)),0,MAX(0,ROUND((INDEX($E938:$G938,AZ$5)-SUMIFS(TF_Timer,TF_Tekniker,AZ$4,TF_Dato,$A938))*2,0)/2)))</f>
        <v/>
      </c>
      <c r="BA938">
        <f>IF(OR(BA$4="",$A938&gt;TODAY()),0,IF(OR(INDEX($B938:$D938,BA$5)="F",AND(BA$6&gt;0,$A938&lt;BA$6),AND(BA$7&gt;0,$A938&gt;BA$7)),0,MAX(0,ROUND((INDEX($E938:$G938,BA$5)-SUMIFS(TF_Timer,TF_Tekniker,BA$4,TF_Dato,$A938))*2,0)/2)))</f>
        <v/>
      </c>
      <c r="BB938">
        <f>IF(OR(BB$4="",$A938&gt;TODAY()),0,IF(OR(INDEX($B938:$D938,BB$5)="F",AND(BB$6&gt;0,$A938&lt;BB$6),AND(BB$7&gt;0,$A938&gt;BB$7)),0,MAX(0,ROUND((INDEX($E938:$G938,BB$5)-SUMIFS(TF_Timer,TF_Tekniker,BB$4,TF_Dato,$A938))*2,0)/2)))</f>
        <v/>
      </c>
      <c r="BC938">
        <f>IF(OR(BC$4="",$A938&gt;TODAY()),0,IF(OR(INDEX($B938:$D938,BC$5)="F",AND(BC$6&gt;0,$A938&lt;BC$6),AND(BC$7&gt;0,$A938&gt;BC$7)),0,MAX(0,ROUND((INDEX($E938:$G938,BC$5)-SUMIFS(TF_Timer,TF_Tekniker,BC$4,TF_Dato,$A938))*2,0)/2)))</f>
        <v/>
      </c>
      <c r="BD938">
        <f>IF(OR(BD$4="",$A938&gt;TODAY()),0,IF(OR(INDEX($B938:$D938,BD$5)="F",AND(BD$6&gt;0,$A938&lt;BD$6),AND(BD$7&gt;0,$A938&gt;BD$7)),0,MAX(0,ROUND((INDEX($E938:$G938,BD$5)-SUMIFS(TF_Timer,TF_Tekniker,BD$4,TF_Dato,$A938))*2,0)/2)))</f>
        <v/>
      </c>
      <c r="BE938">
        <f>IF(OR(BE$4="",$A938&gt;TODAY()),0,IF(OR(INDEX($B938:$D938,BE$5)="F",AND(BE$6&gt;0,$A938&lt;BE$6),AND(BE$7&gt;0,$A938&gt;BE$7)),0,MAX(0,ROUND((INDEX($E938:$G938,BE$5)-SUMIFS(TF_Timer,TF_Tekniker,BE$4,TF_Dato,$A938))*2,0)/2)))</f>
        <v/>
      </c>
      <c r="BF938">
        <f>IF(OR(BF$4="",$A938&gt;TODAY()),0,IF(OR(INDEX($B938:$D938,BF$5)="F",AND(BF$6&gt;0,$A938&lt;BF$6),AND(BF$7&gt;0,$A938&gt;BF$7)),0,MAX(0,ROUND((INDEX($E938:$G938,BF$5)-SUMIFS(TF_Timer,TF_Tekniker,BF$4,TF_Dato,$A938))*2,0)/2)))</f>
        <v/>
      </c>
      <c r="BG938">
        <f>IF(OR(BG$4="",$A938&gt;TODAY()),0,IF(OR(INDEX($B938:$D938,BG$5)="F",AND(BG$6&gt;0,$A938&lt;BG$6),AND(BG$7&gt;0,$A938&gt;BG$7)),0,MAX(0,ROUND((INDEX($E938:$G938,BG$5)-SUMIFS(TF_Timer,TF_Tekniker,BG$4,TF_Dato,$A938))*2,0)/2)))</f>
        <v/>
      </c>
      <c r="BH938">
        <f>IF(OR(BH$4="",$A938&gt;TODAY()),0,IF(OR(INDEX($B938:$D938,BH$5)="F",AND(BH$6&gt;0,$A938&lt;BH$6),AND(BH$7&gt;0,$A938&gt;BH$7)),0,MAX(0,ROUND((INDEX($E938:$G938,BH$5)-SUMIFS(TF_Timer,TF_Tekniker,BH$4,TF_Dato,$A938))*2,0)/2)))</f>
        <v/>
      </c>
      <c r="BI938">
        <f>IF(OR(BI$4="",$A938&gt;TODAY()),0,IF(OR(INDEX($B938:$D938,BI$5)="F",AND(BI$6&gt;0,$A938&lt;BI$6),AND(BI$7&gt;0,$A938&gt;BI$7)),0,MAX(0,ROUND((INDEX($E938:$G938,BI$5)-SUMIFS(TF_Timer,TF_Tekniker,BI$4,TF_Dato,$A938))*2,0)/2)))</f>
        <v/>
      </c>
    </row>
    <row r="939">
      <c r="A939" s="64">
        <f>A938+1</f>
        <v/>
      </c>
      <c r="B939">
        <f>IF(MOD($A939-INDEX(SkiftStart,1),Syklus)&lt;DagK,"K",IF(MOD($A939-INDEX(SkiftStart,1),Syklus)&lt;DagK+DagH,"H",IF(MOD($A939-INDEX(SkiftStart,1),Syklus)&lt;DagK+DagH+DagD,"D","F")))</f>
        <v/>
      </c>
      <c r="C939">
        <f>IF(MOD($A939-INDEX(SkiftStart,2),Syklus)&lt;DagK,"K",IF(MOD($A939-INDEX(SkiftStart,2),Syklus)&lt;DagK+DagH,"H",IF(MOD($A939-INDEX(SkiftStart,2),Syklus)&lt;DagK+DagH+DagD,"D","F")))</f>
        <v/>
      </c>
      <c r="D939">
        <f>IF(MOD($A939-INDEX(SkiftStart,3),Syklus)&lt;DagK,"K",IF(MOD($A939-INDEX(SkiftStart,3),Syklus)&lt;DagK+DagH,"H",IF(MOD($A939-INDEX(SkiftStart,3),Syklus)&lt;DagK+DagH+DagD,"D","F")))</f>
        <v/>
      </c>
      <c r="E939">
        <f>IF(B939="F",0,IF(WEEKDAY($A939,2)=5,INDEX(TimerFr,MATCH(B939,FaseKode,0)),INDEX(TimerMT,MATCH(B939,FaseKode,0))))</f>
        <v/>
      </c>
      <c r="F939">
        <f>IF(C939="F",0,IF(WEEKDAY($A939,2)=5,INDEX(TimerFr,MATCH(C939,FaseKode,0)),INDEX(TimerMT,MATCH(C939,FaseKode,0))))</f>
        <v/>
      </c>
      <c r="G939">
        <f>IF(D939="F",0,IF(WEEKDAY($A939,2)=5,INDEX(TimerFr,MATCH(D939,FaseKode,0)),INDEX(TimerMT,MATCH(D939,FaseKode,0))))</f>
        <v/>
      </c>
      <c r="H939">
        <f>IF(OR(H$4="",$A939&gt;TODAY()),0,IF(OR(INDEX($B939:$D939,H$5)="F",AND(H$6&gt;0,$A939&lt;H$6),AND(H$7&gt;0,$A939&gt;H$7)),0,MAX(0,ROUND((INDEX($E939:$G939,H$5)-SUMIFS(TF_Timer,TF_Tekniker,H$4,TF_Dato,$A939))*2,0)/2)))</f>
        <v/>
      </c>
      <c r="I939">
        <f>IF(OR(I$4="",$A939&gt;TODAY()),0,IF(OR(INDEX($B939:$D939,I$5)="F",AND(I$6&gt;0,$A939&lt;I$6),AND(I$7&gt;0,$A939&gt;I$7)),0,MAX(0,ROUND((INDEX($E939:$G939,I$5)-SUMIFS(TF_Timer,TF_Tekniker,I$4,TF_Dato,$A939))*2,0)/2)))</f>
        <v/>
      </c>
      <c r="J939">
        <f>IF(OR(J$4="",$A939&gt;TODAY()),0,IF(OR(INDEX($B939:$D939,J$5)="F",AND(J$6&gt;0,$A939&lt;J$6),AND(J$7&gt;0,$A939&gt;J$7)),0,MAX(0,ROUND((INDEX($E939:$G939,J$5)-SUMIFS(TF_Timer,TF_Tekniker,J$4,TF_Dato,$A939))*2,0)/2)))</f>
        <v/>
      </c>
      <c r="K939">
        <f>IF(OR(K$4="",$A939&gt;TODAY()),0,IF(OR(INDEX($B939:$D939,K$5)="F",AND(K$6&gt;0,$A939&lt;K$6),AND(K$7&gt;0,$A939&gt;K$7)),0,MAX(0,ROUND((INDEX($E939:$G939,K$5)-SUMIFS(TF_Timer,TF_Tekniker,K$4,TF_Dato,$A939))*2,0)/2)))</f>
        <v/>
      </c>
      <c r="L939">
        <f>IF(OR(L$4="",$A939&gt;TODAY()),0,IF(OR(INDEX($B939:$D939,L$5)="F",AND(L$6&gt;0,$A939&lt;L$6),AND(L$7&gt;0,$A939&gt;L$7)),0,MAX(0,ROUND((INDEX($E939:$G939,L$5)-SUMIFS(TF_Timer,TF_Tekniker,L$4,TF_Dato,$A939))*2,0)/2)))</f>
        <v/>
      </c>
      <c r="M939">
        <f>IF(OR(M$4="",$A939&gt;TODAY()),0,IF(OR(INDEX($B939:$D939,M$5)="F",AND(M$6&gt;0,$A939&lt;M$6),AND(M$7&gt;0,$A939&gt;M$7)),0,MAX(0,ROUND((INDEX($E939:$G939,M$5)-SUMIFS(TF_Timer,TF_Tekniker,M$4,TF_Dato,$A939))*2,0)/2)))</f>
        <v/>
      </c>
      <c r="N939">
        <f>IF(OR(N$4="",$A939&gt;TODAY()),0,IF(OR(INDEX($B939:$D939,N$5)="F",AND(N$6&gt;0,$A939&lt;N$6),AND(N$7&gt;0,$A939&gt;N$7)),0,MAX(0,ROUND((INDEX($E939:$G939,N$5)-SUMIFS(TF_Timer,TF_Tekniker,N$4,TF_Dato,$A939))*2,0)/2)))</f>
        <v/>
      </c>
      <c r="O939">
        <f>IF(OR(O$4="",$A939&gt;TODAY()),0,IF(OR(INDEX($B939:$D939,O$5)="F",AND(O$6&gt;0,$A939&lt;O$6),AND(O$7&gt;0,$A939&gt;O$7)),0,MAX(0,ROUND((INDEX($E939:$G939,O$5)-SUMIFS(TF_Timer,TF_Tekniker,O$4,TF_Dato,$A939))*2,0)/2)))</f>
        <v/>
      </c>
      <c r="P939">
        <f>IF(OR(P$4="",$A939&gt;TODAY()),0,IF(OR(INDEX($B939:$D939,P$5)="F",AND(P$6&gt;0,$A939&lt;P$6),AND(P$7&gt;0,$A939&gt;P$7)),0,MAX(0,ROUND((INDEX($E939:$G939,P$5)-SUMIFS(TF_Timer,TF_Tekniker,P$4,TF_Dato,$A939))*2,0)/2)))</f>
        <v/>
      </c>
      <c r="Q939">
        <f>IF(OR(Q$4="",$A939&gt;TODAY()),0,IF(OR(INDEX($B939:$D939,Q$5)="F",AND(Q$6&gt;0,$A939&lt;Q$6),AND(Q$7&gt;0,$A939&gt;Q$7)),0,MAX(0,ROUND((INDEX($E939:$G939,Q$5)-SUMIFS(TF_Timer,TF_Tekniker,Q$4,TF_Dato,$A939))*2,0)/2)))</f>
        <v/>
      </c>
      <c r="R939">
        <f>IF(OR(R$4="",$A939&gt;TODAY()),0,IF(OR(INDEX($B939:$D939,R$5)="F",AND(R$6&gt;0,$A939&lt;R$6),AND(R$7&gt;0,$A939&gt;R$7)),0,MAX(0,ROUND((INDEX($E939:$G939,R$5)-SUMIFS(TF_Timer,TF_Tekniker,R$4,TF_Dato,$A939))*2,0)/2)))</f>
        <v/>
      </c>
      <c r="S939">
        <f>IF(OR(S$4="",$A939&gt;TODAY()),0,IF(OR(INDEX($B939:$D939,S$5)="F",AND(S$6&gt;0,$A939&lt;S$6),AND(S$7&gt;0,$A939&gt;S$7)),0,MAX(0,ROUND((INDEX($E939:$G939,S$5)-SUMIFS(TF_Timer,TF_Tekniker,S$4,TF_Dato,$A939))*2,0)/2)))</f>
        <v/>
      </c>
      <c r="T939">
        <f>IF(OR(T$4="",$A939&gt;TODAY()),0,IF(OR(INDEX($B939:$D939,T$5)="F",AND(T$6&gt;0,$A939&lt;T$6),AND(T$7&gt;0,$A939&gt;T$7)),0,MAX(0,ROUND((INDEX($E939:$G939,T$5)-SUMIFS(TF_Timer,TF_Tekniker,T$4,TF_Dato,$A939))*2,0)/2)))</f>
        <v/>
      </c>
      <c r="U939">
        <f>IF(OR(U$4="",$A939&gt;TODAY()),0,IF(OR(INDEX($B939:$D939,U$5)="F",AND(U$6&gt;0,$A939&lt;U$6),AND(U$7&gt;0,$A939&gt;U$7)),0,MAX(0,ROUND((INDEX($E939:$G939,U$5)-SUMIFS(TF_Timer,TF_Tekniker,U$4,TF_Dato,$A939))*2,0)/2)))</f>
        <v/>
      </c>
      <c r="V939">
        <f>IF(OR(V$4="",$A939&gt;TODAY()),0,IF(OR(INDEX($B939:$D939,V$5)="F",AND(V$6&gt;0,$A939&lt;V$6),AND(V$7&gt;0,$A939&gt;V$7)),0,MAX(0,ROUND((INDEX($E939:$G939,V$5)-SUMIFS(TF_Timer,TF_Tekniker,V$4,TF_Dato,$A939))*2,0)/2)))</f>
        <v/>
      </c>
      <c r="W939">
        <f>IF(OR(W$4="",$A939&gt;TODAY()),0,IF(OR(INDEX($B939:$D939,W$5)="F",AND(W$6&gt;0,$A939&lt;W$6),AND(W$7&gt;0,$A939&gt;W$7)),0,MAX(0,ROUND((INDEX($E939:$G939,W$5)-SUMIFS(TF_Timer,TF_Tekniker,W$4,TF_Dato,$A939))*2,0)/2)))</f>
        <v/>
      </c>
      <c r="X939">
        <f>IF(OR(X$4="",$A939&gt;TODAY()),0,IF(OR(INDEX($B939:$D939,X$5)="F",AND(X$6&gt;0,$A939&lt;X$6),AND(X$7&gt;0,$A939&gt;X$7)),0,MAX(0,ROUND((INDEX($E939:$G939,X$5)-SUMIFS(TF_Timer,TF_Tekniker,X$4,TF_Dato,$A939))*2,0)/2)))</f>
        <v/>
      </c>
      <c r="Y939">
        <f>IF(OR(Y$4="",$A939&gt;TODAY()),0,IF(OR(INDEX($B939:$D939,Y$5)="F",AND(Y$6&gt;0,$A939&lt;Y$6),AND(Y$7&gt;0,$A939&gt;Y$7)),0,MAX(0,ROUND((INDEX($E939:$G939,Y$5)-SUMIFS(TF_Timer,TF_Tekniker,Y$4,TF_Dato,$A939))*2,0)/2)))</f>
        <v/>
      </c>
      <c r="Z939">
        <f>IF(OR(Z$4="",$A939&gt;TODAY()),0,IF(OR(INDEX($B939:$D939,Z$5)="F",AND(Z$6&gt;0,$A939&lt;Z$6),AND(Z$7&gt;0,$A939&gt;Z$7)),0,MAX(0,ROUND((INDEX($E939:$G939,Z$5)-SUMIFS(TF_Timer,TF_Tekniker,Z$4,TF_Dato,$A939))*2,0)/2)))</f>
        <v/>
      </c>
      <c r="AA939">
        <f>IF(OR(AA$4="",$A939&gt;TODAY()),0,IF(OR(INDEX($B939:$D939,AA$5)="F",AND(AA$6&gt;0,$A939&lt;AA$6),AND(AA$7&gt;0,$A939&gt;AA$7)),0,MAX(0,ROUND((INDEX($E939:$G939,AA$5)-SUMIFS(TF_Timer,TF_Tekniker,AA$4,TF_Dato,$A939))*2,0)/2)))</f>
        <v/>
      </c>
      <c r="AB939">
        <f>IF(OR(AB$4="",$A939&gt;TODAY()),0,IF(OR(INDEX($B939:$D939,AB$5)="F",AND(AB$6&gt;0,$A939&lt;AB$6),AND(AB$7&gt;0,$A939&gt;AB$7)),0,MAX(0,ROUND((INDEX($E939:$G939,AB$5)-SUMIFS(TF_Timer,TF_Tekniker,AB$4,TF_Dato,$A939))*2,0)/2)))</f>
        <v/>
      </c>
      <c r="AC939">
        <f>IF(OR(AC$4="",$A939&gt;TODAY()),0,IF(OR(INDEX($B939:$D939,AC$5)="F",AND(AC$6&gt;0,$A939&lt;AC$6),AND(AC$7&gt;0,$A939&gt;AC$7)),0,MAX(0,ROUND((INDEX($E939:$G939,AC$5)-SUMIFS(TF_Timer,TF_Tekniker,AC$4,TF_Dato,$A939))*2,0)/2)))</f>
        <v/>
      </c>
      <c r="AD939">
        <f>IF(OR(AD$4="",$A939&gt;TODAY()),0,IF(OR(INDEX($B939:$D939,AD$5)="F",AND(AD$6&gt;0,$A939&lt;AD$6),AND(AD$7&gt;0,$A939&gt;AD$7)),0,MAX(0,ROUND((INDEX($E939:$G939,AD$5)-SUMIFS(TF_Timer,TF_Tekniker,AD$4,TF_Dato,$A939))*2,0)/2)))</f>
        <v/>
      </c>
      <c r="AE939">
        <f>IF(OR(AE$4="",$A939&gt;TODAY()),0,IF(OR(INDEX($B939:$D939,AE$5)="F",AND(AE$6&gt;0,$A939&lt;AE$6),AND(AE$7&gt;0,$A939&gt;AE$7)),0,MAX(0,ROUND((INDEX($E939:$G939,AE$5)-SUMIFS(TF_Timer,TF_Tekniker,AE$4,TF_Dato,$A939))*2,0)/2)))</f>
        <v/>
      </c>
      <c r="AF939">
        <f>IF(OR(AF$4="",$A939&gt;TODAY()),0,IF(OR(INDEX($B939:$D939,AF$5)="F",AND(AF$6&gt;0,$A939&lt;AF$6),AND(AF$7&gt;0,$A939&gt;AF$7)),0,MAX(0,ROUND((INDEX($E939:$G939,AF$5)-SUMIFS(TF_Timer,TF_Tekniker,AF$4,TF_Dato,$A939))*2,0)/2)))</f>
        <v/>
      </c>
      <c r="AG939">
        <f>IF(OR(AG$4="",$A939&gt;TODAY()),0,IF(OR(INDEX($B939:$D939,AG$5)="F",AND(AG$6&gt;0,$A939&lt;AG$6),AND(AG$7&gt;0,$A939&gt;AG$7)),0,MAX(0,ROUND((INDEX($E939:$G939,AG$5)-SUMIFS(TF_Timer,TF_Tekniker,AG$4,TF_Dato,$A939))*2,0)/2)))</f>
        <v/>
      </c>
      <c r="AH939">
        <f>IF(OR(AH$4="",$A939&gt;TODAY()),0,IF(OR(INDEX($B939:$D939,AH$5)="F",AND(AH$6&gt;0,$A939&lt;AH$6),AND(AH$7&gt;0,$A939&gt;AH$7)),0,MAX(0,ROUND((INDEX($E939:$G939,AH$5)-SUMIFS(TF_Timer,TF_Tekniker,AH$4,TF_Dato,$A939))*2,0)/2)))</f>
        <v/>
      </c>
      <c r="AI939">
        <f>IF(OR(AI$4="",$A939&gt;TODAY()),0,IF(OR(INDEX($B939:$D939,AI$5)="F",AND(AI$6&gt;0,$A939&lt;AI$6),AND(AI$7&gt;0,$A939&gt;AI$7)),0,MAX(0,ROUND((INDEX($E939:$G939,AI$5)-SUMIFS(TF_Timer,TF_Tekniker,AI$4,TF_Dato,$A939))*2,0)/2)))</f>
        <v/>
      </c>
      <c r="AJ939">
        <f>IF(OR(AJ$4="",$A939&gt;TODAY()),0,IF(OR(INDEX($B939:$D939,AJ$5)="F",AND(AJ$6&gt;0,$A939&lt;AJ$6),AND(AJ$7&gt;0,$A939&gt;AJ$7)),0,MAX(0,ROUND((INDEX($E939:$G939,AJ$5)-SUMIFS(TF_Timer,TF_Tekniker,AJ$4,TF_Dato,$A939))*2,0)/2)))</f>
        <v/>
      </c>
      <c r="AK939">
        <f>IF(OR(AK$4="",$A939&gt;TODAY()),0,IF(OR(INDEX($B939:$D939,AK$5)="F",AND(AK$6&gt;0,$A939&lt;AK$6),AND(AK$7&gt;0,$A939&gt;AK$7)),0,MAX(0,ROUND((INDEX($E939:$G939,AK$5)-SUMIFS(TF_Timer,TF_Tekniker,AK$4,TF_Dato,$A939))*2,0)/2)))</f>
        <v/>
      </c>
      <c r="AL939">
        <f>IF(OR(AL$4="",$A939&gt;TODAY()),0,IF(OR(INDEX($B939:$D939,AL$5)="F",AND(AL$6&gt;0,$A939&lt;AL$6),AND(AL$7&gt;0,$A939&gt;AL$7)),0,MAX(0,ROUND((INDEX($E939:$G939,AL$5)-SUMIFS(TF_Timer,TF_Tekniker,AL$4,TF_Dato,$A939))*2,0)/2)))</f>
        <v/>
      </c>
      <c r="AM939">
        <f>IF(OR(AM$4="",$A939&gt;TODAY()),0,IF(OR(INDEX($B939:$D939,AM$5)="F",AND(AM$6&gt;0,$A939&lt;AM$6),AND(AM$7&gt;0,$A939&gt;AM$7)),0,MAX(0,ROUND((INDEX($E939:$G939,AM$5)-SUMIFS(TF_Timer,TF_Tekniker,AM$4,TF_Dato,$A939))*2,0)/2)))</f>
        <v/>
      </c>
      <c r="AN939">
        <f>IF(OR(AN$4="",$A939&gt;TODAY()),0,IF(OR(INDEX($B939:$D939,AN$5)="F",AND(AN$6&gt;0,$A939&lt;AN$6),AND(AN$7&gt;0,$A939&gt;AN$7)),0,MAX(0,ROUND((INDEX($E939:$G939,AN$5)-SUMIFS(TF_Timer,TF_Tekniker,AN$4,TF_Dato,$A939))*2,0)/2)))</f>
        <v/>
      </c>
      <c r="AO939">
        <f>IF(OR(AO$4="",$A939&gt;TODAY()),0,IF(OR(INDEX($B939:$D939,AO$5)="F",AND(AO$6&gt;0,$A939&lt;AO$6),AND(AO$7&gt;0,$A939&gt;AO$7)),0,MAX(0,ROUND((INDEX($E939:$G939,AO$5)-SUMIFS(TF_Timer,TF_Tekniker,AO$4,TF_Dato,$A939))*2,0)/2)))</f>
        <v/>
      </c>
      <c r="AP939">
        <f>IF(OR(AP$4="",$A939&gt;TODAY()),0,IF(OR(INDEX($B939:$D939,AP$5)="F",AND(AP$6&gt;0,$A939&lt;AP$6),AND(AP$7&gt;0,$A939&gt;AP$7)),0,MAX(0,ROUND((INDEX($E939:$G939,AP$5)-SUMIFS(TF_Timer,TF_Tekniker,AP$4,TF_Dato,$A939))*2,0)/2)))</f>
        <v/>
      </c>
      <c r="AQ939">
        <f>IF(OR(AQ$4="",$A939&gt;TODAY()),0,IF(OR(INDEX($B939:$D939,AQ$5)="F",AND(AQ$6&gt;0,$A939&lt;AQ$6),AND(AQ$7&gt;0,$A939&gt;AQ$7)),0,MAX(0,ROUND((INDEX($E939:$G939,AQ$5)-SUMIFS(TF_Timer,TF_Tekniker,AQ$4,TF_Dato,$A939))*2,0)/2)))</f>
        <v/>
      </c>
      <c r="AR939">
        <f>IF(OR(AR$4="",$A939&gt;TODAY()),0,IF(OR(INDEX($B939:$D939,AR$5)="F",AND(AR$6&gt;0,$A939&lt;AR$6),AND(AR$7&gt;0,$A939&gt;AR$7)),0,MAX(0,ROUND((INDEX($E939:$G939,AR$5)-SUMIFS(TF_Timer,TF_Tekniker,AR$4,TF_Dato,$A939))*2,0)/2)))</f>
        <v/>
      </c>
      <c r="AS939">
        <f>IF(OR(AS$4="",$A939&gt;TODAY()),0,IF(OR(INDEX($B939:$D939,AS$5)="F",AND(AS$6&gt;0,$A939&lt;AS$6),AND(AS$7&gt;0,$A939&gt;AS$7)),0,MAX(0,ROUND((INDEX($E939:$G939,AS$5)-SUMIFS(TF_Timer,TF_Tekniker,AS$4,TF_Dato,$A939))*2,0)/2)))</f>
        <v/>
      </c>
      <c r="AT939">
        <f>IF(OR(AT$4="",$A939&gt;TODAY()),0,IF(OR(INDEX($B939:$D939,AT$5)="F",AND(AT$6&gt;0,$A939&lt;AT$6),AND(AT$7&gt;0,$A939&gt;AT$7)),0,MAX(0,ROUND((INDEX($E939:$G939,AT$5)-SUMIFS(TF_Timer,TF_Tekniker,AT$4,TF_Dato,$A939))*2,0)/2)))</f>
        <v/>
      </c>
      <c r="AU939">
        <f>IF(OR(AU$4="",$A939&gt;TODAY()),0,IF(OR(INDEX($B939:$D939,AU$5)="F",AND(AU$6&gt;0,$A939&lt;AU$6),AND(AU$7&gt;0,$A939&gt;AU$7)),0,MAX(0,ROUND((INDEX($E939:$G939,AU$5)-SUMIFS(TF_Timer,TF_Tekniker,AU$4,TF_Dato,$A939))*2,0)/2)))</f>
        <v/>
      </c>
      <c r="AV939">
        <f>IF(OR(AV$4="",$A939&gt;TODAY()),0,IF(OR(INDEX($B939:$D939,AV$5)="F",AND(AV$6&gt;0,$A939&lt;AV$6),AND(AV$7&gt;0,$A939&gt;AV$7)),0,MAX(0,ROUND((INDEX($E939:$G939,AV$5)-SUMIFS(TF_Timer,TF_Tekniker,AV$4,TF_Dato,$A939))*2,0)/2)))</f>
        <v/>
      </c>
      <c r="AW939">
        <f>IF(OR(AW$4="",$A939&gt;TODAY()),0,IF(OR(INDEX($B939:$D939,AW$5)="F",AND(AW$6&gt;0,$A939&lt;AW$6),AND(AW$7&gt;0,$A939&gt;AW$7)),0,MAX(0,ROUND((INDEX($E939:$G939,AW$5)-SUMIFS(TF_Timer,TF_Tekniker,AW$4,TF_Dato,$A939))*2,0)/2)))</f>
        <v/>
      </c>
      <c r="AX939">
        <f>IF(OR(AX$4="",$A939&gt;TODAY()),0,IF(OR(INDEX($B939:$D939,AX$5)="F",AND(AX$6&gt;0,$A939&lt;AX$6),AND(AX$7&gt;0,$A939&gt;AX$7)),0,MAX(0,ROUND((INDEX($E939:$G939,AX$5)-SUMIFS(TF_Timer,TF_Tekniker,AX$4,TF_Dato,$A939))*2,0)/2)))</f>
        <v/>
      </c>
      <c r="AY939">
        <f>IF(OR(AY$4="",$A939&gt;TODAY()),0,IF(OR(INDEX($B939:$D939,AY$5)="F",AND(AY$6&gt;0,$A939&lt;AY$6),AND(AY$7&gt;0,$A939&gt;AY$7)),0,MAX(0,ROUND((INDEX($E939:$G939,AY$5)-SUMIFS(TF_Timer,TF_Tekniker,AY$4,TF_Dato,$A939))*2,0)/2)))</f>
        <v/>
      </c>
      <c r="AZ939">
        <f>IF(OR(AZ$4="",$A939&gt;TODAY()),0,IF(OR(INDEX($B939:$D939,AZ$5)="F",AND(AZ$6&gt;0,$A939&lt;AZ$6),AND(AZ$7&gt;0,$A939&gt;AZ$7)),0,MAX(0,ROUND((INDEX($E939:$G939,AZ$5)-SUMIFS(TF_Timer,TF_Tekniker,AZ$4,TF_Dato,$A939))*2,0)/2)))</f>
        <v/>
      </c>
      <c r="BA939">
        <f>IF(OR(BA$4="",$A939&gt;TODAY()),0,IF(OR(INDEX($B939:$D939,BA$5)="F",AND(BA$6&gt;0,$A939&lt;BA$6),AND(BA$7&gt;0,$A939&gt;BA$7)),0,MAX(0,ROUND((INDEX($E939:$G939,BA$5)-SUMIFS(TF_Timer,TF_Tekniker,BA$4,TF_Dato,$A939))*2,0)/2)))</f>
        <v/>
      </c>
      <c r="BB939">
        <f>IF(OR(BB$4="",$A939&gt;TODAY()),0,IF(OR(INDEX($B939:$D939,BB$5)="F",AND(BB$6&gt;0,$A939&lt;BB$6),AND(BB$7&gt;0,$A939&gt;BB$7)),0,MAX(0,ROUND((INDEX($E939:$G939,BB$5)-SUMIFS(TF_Timer,TF_Tekniker,BB$4,TF_Dato,$A939))*2,0)/2)))</f>
        <v/>
      </c>
      <c r="BC939">
        <f>IF(OR(BC$4="",$A939&gt;TODAY()),0,IF(OR(INDEX($B939:$D939,BC$5)="F",AND(BC$6&gt;0,$A939&lt;BC$6),AND(BC$7&gt;0,$A939&gt;BC$7)),0,MAX(0,ROUND((INDEX($E939:$G939,BC$5)-SUMIFS(TF_Timer,TF_Tekniker,BC$4,TF_Dato,$A939))*2,0)/2)))</f>
        <v/>
      </c>
      <c r="BD939">
        <f>IF(OR(BD$4="",$A939&gt;TODAY()),0,IF(OR(INDEX($B939:$D939,BD$5)="F",AND(BD$6&gt;0,$A939&lt;BD$6),AND(BD$7&gt;0,$A939&gt;BD$7)),0,MAX(0,ROUND((INDEX($E939:$G939,BD$5)-SUMIFS(TF_Timer,TF_Tekniker,BD$4,TF_Dato,$A939))*2,0)/2)))</f>
        <v/>
      </c>
      <c r="BE939">
        <f>IF(OR(BE$4="",$A939&gt;TODAY()),0,IF(OR(INDEX($B939:$D939,BE$5)="F",AND(BE$6&gt;0,$A939&lt;BE$6),AND(BE$7&gt;0,$A939&gt;BE$7)),0,MAX(0,ROUND((INDEX($E939:$G939,BE$5)-SUMIFS(TF_Timer,TF_Tekniker,BE$4,TF_Dato,$A939))*2,0)/2)))</f>
        <v/>
      </c>
      <c r="BF939">
        <f>IF(OR(BF$4="",$A939&gt;TODAY()),0,IF(OR(INDEX($B939:$D939,BF$5)="F",AND(BF$6&gt;0,$A939&lt;BF$6),AND(BF$7&gt;0,$A939&gt;BF$7)),0,MAX(0,ROUND((INDEX($E939:$G939,BF$5)-SUMIFS(TF_Timer,TF_Tekniker,BF$4,TF_Dato,$A939))*2,0)/2)))</f>
        <v/>
      </c>
      <c r="BG939">
        <f>IF(OR(BG$4="",$A939&gt;TODAY()),0,IF(OR(INDEX($B939:$D939,BG$5)="F",AND(BG$6&gt;0,$A939&lt;BG$6),AND(BG$7&gt;0,$A939&gt;BG$7)),0,MAX(0,ROUND((INDEX($E939:$G939,BG$5)-SUMIFS(TF_Timer,TF_Tekniker,BG$4,TF_Dato,$A939))*2,0)/2)))</f>
        <v/>
      </c>
      <c r="BH939">
        <f>IF(OR(BH$4="",$A939&gt;TODAY()),0,IF(OR(INDEX($B939:$D939,BH$5)="F",AND(BH$6&gt;0,$A939&lt;BH$6),AND(BH$7&gt;0,$A939&gt;BH$7)),0,MAX(0,ROUND((INDEX($E939:$G939,BH$5)-SUMIFS(TF_Timer,TF_Tekniker,BH$4,TF_Dato,$A939))*2,0)/2)))</f>
        <v/>
      </c>
      <c r="BI939">
        <f>IF(OR(BI$4="",$A939&gt;TODAY()),0,IF(OR(INDEX($B939:$D939,BI$5)="F",AND(BI$6&gt;0,$A939&lt;BI$6),AND(BI$7&gt;0,$A939&gt;BI$7)),0,MAX(0,ROUND((INDEX($E939:$G939,BI$5)-SUMIFS(TF_Timer,TF_Tekniker,BI$4,TF_Dato,$A939))*2,0)/2)))</f>
        <v/>
      </c>
    </row>
    <row r="940">
      <c r="A940" s="64">
        <f>A939+1</f>
        <v/>
      </c>
      <c r="B940">
        <f>IF(MOD($A940-INDEX(SkiftStart,1),Syklus)&lt;DagK,"K",IF(MOD($A940-INDEX(SkiftStart,1),Syklus)&lt;DagK+DagH,"H",IF(MOD($A940-INDEX(SkiftStart,1),Syklus)&lt;DagK+DagH+DagD,"D","F")))</f>
        <v/>
      </c>
      <c r="C940">
        <f>IF(MOD($A940-INDEX(SkiftStart,2),Syklus)&lt;DagK,"K",IF(MOD($A940-INDEX(SkiftStart,2),Syklus)&lt;DagK+DagH,"H",IF(MOD($A940-INDEX(SkiftStart,2),Syklus)&lt;DagK+DagH+DagD,"D","F")))</f>
        <v/>
      </c>
      <c r="D940">
        <f>IF(MOD($A940-INDEX(SkiftStart,3),Syklus)&lt;DagK,"K",IF(MOD($A940-INDEX(SkiftStart,3),Syklus)&lt;DagK+DagH,"H",IF(MOD($A940-INDEX(SkiftStart,3),Syklus)&lt;DagK+DagH+DagD,"D","F")))</f>
        <v/>
      </c>
      <c r="E940">
        <f>IF(B940="F",0,IF(WEEKDAY($A940,2)=5,INDEX(TimerFr,MATCH(B940,FaseKode,0)),INDEX(TimerMT,MATCH(B940,FaseKode,0))))</f>
        <v/>
      </c>
      <c r="F940">
        <f>IF(C940="F",0,IF(WEEKDAY($A940,2)=5,INDEX(TimerFr,MATCH(C940,FaseKode,0)),INDEX(TimerMT,MATCH(C940,FaseKode,0))))</f>
        <v/>
      </c>
      <c r="G940">
        <f>IF(D940="F",0,IF(WEEKDAY($A940,2)=5,INDEX(TimerFr,MATCH(D940,FaseKode,0)),INDEX(TimerMT,MATCH(D940,FaseKode,0))))</f>
        <v/>
      </c>
      <c r="H940">
        <f>IF(OR(H$4="",$A940&gt;TODAY()),0,IF(OR(INDEX($B940:$D940,H$5)="F",AND(H$6&gt;0,$A940&lt;H$6),AND(H$7&gt;0,$A940&gt;H$7)),0,MAX(0,ROUND((INDEX($E940:$G940,H$5)-SUMIFS(TF_Timer,TF_Tekniker,H$4,TF_Dato,$A940))*2,0)/2)))</f>
        <v/>
      </c>
      <c r="I940">
        <f>IF(OR(I$4="",$A940&gt;TODAY()),0,IF(OR(INDEX($B940:$D940,I$5)="F",AND(I$6&gt;0,$A940&lt;I$6),AND(I$7&gt;0,$A940&gt;I$7)),0,MAX(0,ROUND((INDEX($E940:$G940,I$5)-SUMIFS(TF_Timer,TF_Tekniker,I$4,TF_Dato,$A940))*2,0)/2)))</f>
        <v/>
      </c>
      <c r="J940">
        <f>IF(OR(J$4="",$A940&gt;TODAY()),0,IF(OR(INDEX($B940:$D940,J$5)="F",AND(J$6&gt;0,$A940&lt;J$6),AND(J$7&gt;0,$A940&gt;J$7)),0,MAX(0,ROUND((INDEX($E940:$G940,J$5)-SUMIFS(TF_Timer,TF_Tekniker,J$4,TF_Dato,$A940))*2,0)/2)))</f>
        <v/>
      </c>
      <c r="K940">
        <f>IF(OR(K$4="",$A940&gt;TODAY()),0,IF(OR(INDEX($B940:$D940,K$5)="F",AND(K$6&gt;0,$A940&lt;K$6),AND(K$7&gt;0,$A940&gt;K$7)),0,MAX(0,ROUND((INDEX($E940:$G940,K$5)-SUMIFS(TF_Timer,TF_Tekniker,K$4,TF_Dato,$A940))*2,0)/2)))</f>
        <v/>
      </c>
      <c r="L940">
        <f>IF(OR(L$4="",$A940&gt;TODAY()),0,IF(OR(INDEX($B940:$D940,L$5)="F",AND(L$6&gt;0,$A940&lt;L$6),AND(L$7&gt;0,$A940&gt;L$7)),0,MAX(0,ROUND((INDEX($E940:$G940,L$5)-SUMIFS(TF_Timer,TF_Tekniker,L$4,TF_Dato,$A940))*2,0)/2)))</f>
        <v/>
      </c>
      <c r="M940">
        <f>IF(OR(M$4="",$A940&gt;TODAY()),0,IF(OR(INDEX($B940:$D940,M$5)="F",AND(M$6&gt;0,$A940&lt;M$6),AND(M$7&gt;0,$A940&gt;M$7)),0,MAX(0,ROUND((INDEX($E940:$G940,M$5)-SUMIFS(TF_Timer,TF_Tekniker,M$4,TF_Dato,$A940))*2,0)/2)))</f>
        <v/>
      </c>
      <c r="N940">
        <f>IF(OR(N$4="",$A940&gt;TODAY()),0,IF(OR(INDEX($B940:$D940,N$5)="F",AND(N$6&gt;0,$A940&lt;N$6),AND(N$7&gt;0,$A940&gt;N$7)),0,MAX(0,ROUND((INDEX($E940:$G940,N$5)-SUMIFS(TF_Timer,TF_Tekniker,N$4,TF_Dato,$A940))*2,0)/2)))</f>
        <v/>
      </c>
      <c r="O940">
        <f>IF(OR(O$4="",$A940&gt;TODAY()),0,IF(OR(INDEX($B940:$D940,O$5)="F",AND(O$6&gt;0,$A940&lt;O$6),AND(O$7&gt;0,$A940&gt;O$7)),0,MAX(0,ROUND((INDEX($E940:$G940,O$5)-SUMIFS(TF_Timer,TF_Tekniker,O$4,TF_Dato,$A940))*2,0)/2)))</f>
        <v/>
      </c>
      <c r="P940">
        <f>IF(OR(P$4="",$A940&gt;TODAY()),0,IF(OR(INDEX($B940:$D940,P$5)="F",AND(P$6&gt;0,$A940&lt;P$6),AND(P$7&gt;0,$A940&gt;P$7)),0,MAX(0,ROUND((INDEX($E940:$G940,P$5)-SUMIFS(TF_Timer,TF_Tekniker,P$4,TF_Dato,$A940))*2,0)/2)))</f>
        <v/>
      </c>
      <c r="Q940">
        <f>IF(OR(Q$4="",$A940&gt;TODAY()),0,IF(OR(INDEX($B940:$D940,Q$5)="F",AND(Q$6&gt;0,$A940&lt;Q$6),AND(Q$7&gt;0,$A940&gt;Q$7)),0,MAX(0,ROUND((INDEX($E940:$G940,Q$5)-SUMIFS(TF_Timer,TF_Tekniker,Q$4,TF_Dato,$A940))*2,0)/2)))</f>
        <v/>
      </c>
      <c r="R940">
        <f>IF(OR(R$4="",$A940&gt;TODAY()),0,IF(OR(INDEX($B940:$D940,R$5)="F",AND(R$6&gt;0,$A940&lt;R$6),AND(R$7&gt;0,$A940&gt;R$7)),0,MAX(0,ROUND((INDEX($E940:$G940,R$5)-SUMIFS(TF_Timer,TF_Tekniker,R$4,TF_Dato,$A940))*2,0)/2)))</f>
        <v/>
      </c>
      <c r="S940">
        <f>IF(OR(S$4="",$A940&gt;TODAY()),0,IF(OR(INDEX($B940:$D940,S$5)="F",AND(S$6&gt;0,$A940&lt;S$6),AND(S$7&gt;0,$A940&gt;S$7)),0,MAX(0,ROUND((INDEX($E940:$G940,S$5)-SUMIFS(TF_Timer,TF_Tekniker,S$4,TF_Dato,$A940))*2,0)/2)))</f>
        <v/>
      </c>
      <c r="T940">
        <f>IF(OR(T$4="",$A940&gt;TODAY()),0,IF(OR(INDEX($B940:$D940,T$5)="F",AND(T$6&gt;0,$A940&lt;T$6),AND(T$7&gt;0,$A940&gt;T$7)),0,MAX(0,ROUND((INDEX($E940:$G940,T$5)-SUMIFS(TF_Timer,TF_Tekniker,T$4,TF_Dato,$A940))*2,0)/2)))</f>
        <v/>
      </c>
      <c r="U940">
        <f>IF(OR(U$4="",$A940&gt;TODAY()),0,IF(OR(INDEX($B940:$D940,U$5)="F",AND(U$6&gt;0,$A940&lt;U$6),AND(U$7&gt;0,$A940&gt;U$7)),0,MAX(0,ROUND((INDEX($E940:$G940,U$5)-SUMIFS(TF_Timer,TF_Tekniker,U$4,TF_Dato,$A940))*2,0)/2)))</f>
        <v/>
      </c>
      <c r="V940">
        <f>IF(OR(V$4="",$A940&gt;TODAY()),0,IF(OR(INDEX($B940:$D940,V$5)="F",AND(V$6&gt;0,$A940&lt;V$6),AND(V$7&gt;0,$A940&gt;V$7)),0,MAX(0,ROUND((INDEX($E940:$G940,V$5)-SUMIFS(TF_Timer,TF_Tekniker,V$4,TF_Dato,$A940))*2,0)/2)))</f>
        <v/>
      </c>
      <c r="W940">
        <f>IF(OR(W$4="",$A940&gt;TODAY()),0,IF(OR(INDEX($B940:$D940,W$5)="F",AND(W$6&gt;0,$A940&lt;W$6),AND(W$7&gt;0,$A940&gt;W$7)),0,MAX(0,ROUND((INDEX($E940:$G940,W$5)-SUMIFS(TF_Timer,TF_Tekniker,W$4,TF_Dato,$A940))*2,0)/2)))</f>
        <v/>
      </c>
      <c r="X940">
        <f>IF(OR(X$4="",$A940&gt;TODAY()),0,IF(OR(INDEX($B940:$D940,X$5)="F",AND(X$6&gt;0,$A940&lt;X$6),AND(X$7&gt;0,$A940&gt;X$7)),0,MAX(0,ROUND((INDEX($E940:$G940,X$5)-SUMIFS(TF_Timer,TF_Tekniker,X$4,TF_Dato,$A940))*2,0)/2)))</f>
        <v/>
      </c>
      <c r="Y940">
        <f>IF(OR(Y$4="",$A940&gt;TODAY()),0,IF(OR(INDEX($B940:$D940,Y$5)="F",AND(Y$6&gt;0,$A940&lt;Y$6),AND(Y$7&gt;0,$A940&gt;Y$7)),0,MAX(0,ROUND((INDEX($E940:$G940,Y$5)-SUMIFS(TF_Timer,TF_Tekniker,Y$4,TF_Dato,$A940))*2,0)/2)))</f>
        <v/>
      </c>
      <c r="Z940">
        <f>IF(OR(Z$4="",$A940&gt;TODAY()),0,IF(OR(INDEX($B940:$D940,Z$5)="F",AND(Z$6&gt;0,$A940&lt;Z$6),AND(Z$7&gt;0,$A940&gt;Z$7)),0,MAX(0,ROUND((INDEX($E940:$G940,Z$5)-SUMIFS(TF_Timer,TF_Tekniker,Z$4,TF_Dato,$A940))*2,0)/2)))</f>
        <v/>
      </c>
      <c r="AA940">
        <f>IF(OR(AA$4="",$A940&gt;TODAY()),0,IF(OR(INDEX($B940:$D940,AA$5)="F",AND(AA$6&gt;0,$A940&lt;AA$6),AND(AA$7&gt;0,$A940&gt;AA$7)),0,MAX(0,ROUND((INDEX($E940:$G940,AA$5)-SUMIFS(TF_Timer,TF_Tekniker,AA$4,TF_Dato,$A940))*2,0)/2)))</f>
        <v/>
      </c>
      <c r="AB940">
        <f>IF(OR(AB$4="",$A940&gt;TODAY()),0,IF(OR(INDEX($B940:$D940,AB$5)="F",AND(AB$6&gt;0,$A940&lt;AB$6),AND(AB$7&gt;0,$A940&gt;AB$7)),0,MAX(0,ROUND((INDEX($E940:$G940,AB$5)-SUMIFS(TF_Timer,TF_Tekniker,AB$4,TF_Dato,$A940))*2,0)/2)))</f>
        <v/>
      </c>
      <c r="AC940">
        <f>IF(OR(AC$4="",$A940&gt;TODAY()),0,IF(OR(INDEX($B940:$D940,AC$5)="F",AND(AC$6&gt;0,$A940&lt;AC$6),AND(AC$7&gt;0,$A940&gt;AC$7)),0,MAX(0,ROUND((INDEX($E940:$G940,AC$5)-SUMIFS(TF_Timer,TF_Tekniker,AC$4,TF_Dato,$A940))*2,0)/2)))</f>
        <v/>
      </c>
      <c r="AD940">
        <f>IF(OR(AD$4="",$A940&gt;TODAY()),0,IF(OR(INDEX($B940:$D940,AD$5)="F",AND(AD$6&gt;0,$A940&lt;AD$6),AND(AD$7&gt;0,$A940&gt;AD$7)),0,MAX(0,ROUND((INDEX($E940:$G940,AD$5)-SUMIFS(TF_Timer,TF_Tekniker,AD$4,TF_Dato,$A940))*2,0)/2)))</f>
        <v/>
      </c>
      <c r="AE940">
        <f>IF(OR(AE$4="",$A940&gt;TODAY()),0,IF(OR(INDEX($B940:$D940,AE$5)="F",AND(AE$6&gt;0,$A940&lt;AE$6),AND(AE$7&gt;0,$A940&gt;AE$7)),0,MAX(0,ROUND((INDEX($E940:$G940,AE$5)-SUMIFS(TF_Timer,TF_Tekniker,AE$4,TF_Dato,$A940))*2,0)/2)))</f>
        <v/>
      </c>
      <c r="AF940">
        <f>IF(OR(AF$4="",$A940&gt;TODAY()),0,IF(OR(INDEX($B940:$D940,AF$5)="F",AND(AF$6&gt;0,$A940&lt;AF$6),AND(AF$7&gt;0,$A940&gt;AF$7)),0,MAX(0,ROUND((INDEX($E940:$G940,AF$5)-SUMIFS(TF_Timer,TF_Tekniker,AF$4,TF_Dato,$A940))*2,0)/2)))</f>
        <v/>
      </c>
      <c r="AG940">
        <f>IF(OR(AG$4="",$A940&gt;TODAY()),0,IF(OR(INDEX($B940:$D940,AG$5)="F",AND(AG$6&gt;0,$A940&lt;AG$6),AND(AG$7&gt;0,$A940&gt;AG$7)),0,MAX(0,ROUND((INDEX($E940:$G940,AG$5)-SUMIFS(TF_Timer,TF_Tekniker,AG$4,TF_Dato,$A940))*2,0)/2)))</f>
        <v/>
      </c>
      <c r="AH940">
        <f>IF(OR(AH$4="",$A940&gt;TODAY()),0,IF(OR(INDEX($B940:$D940,AH$5)="F",AND(AH$6&gt;0,$A940&lt;AH$6),AND(AH$7&gt;0,$A940&gt;AH$7)),0,MAX(0,ROUND((INDEX($E940:$G940,AH$5)-SUMIFS(TF_Timer,TF_Tekniker,AH$4,TF_Dato,$A940))*2,0)/2)))</f>
        <v/>
      </c>
      <c r="AI940">
        <f>IF(OR(AI$4="",$A940&gt;TODAY()),0,IF(OR(INDEX($B940:$D940,AI$5)="F",AND(AI$6&gt;0,$A940&lt;AI$6),AND(AI$7&gt;0,$A940&gt;AI$7)),0,MAX(0,ROUND((INDEX($E940:$G940,AI$5)-SUMIFS(TF_Timer,TF_Tekniker,AI$4,TF_Dato,$A940))*2,0)/2)))</f>
        <v/>
      </c>
      <c r="AJ940">
        <f>IF(OR(AJ$4="",$A940&gt;TODAY()),0,IF(OR(INDEX($B940:$D940,AJ$5)="F",AND(AJ$6&gt;0,$A940&lt;AJ$6),AND(AJ$7&gt;0,$A940&gt;AJ$7)),0,MAX(0,ROUND((INDEX($E940:$G940,AJ$5)-SUMIFS(TF_Timer,TF_Tekniker,AJ$4,TF_Dato,$A940))*2,0)/2)))</f>
        <v/>
      </c>
      <c r="AK940">
        <f>IF(OR(AK$4="",$A940&gt;TODAY()),0,IF(OR(INDEX($B940:$D940,AK$5)="F",AND(AK$6&gt;0,$A940&lt;AK$6),AND(AK$7&gt;0,$A940&gt;AK$7)),0,MAX(0,ROUND((INDEX($E940:$G940,AK$5)-SUMIFS(TF_Timer,TF_Tekniker,AK$4,TF_Dato,$A940))*2,0)/2)))</f>
        <v/>
      </c>
      <c r="AL940">
        <f>IF(OR(AL$4="",$A940&gt;TODAY()),0,IF(OR(INDEX($B940:$D940,AL$5)="F",AND(AL$6&gt;0,$A940&lt;AL$6),AND(AL$7&gt;0,$A940&gt;AL$7)),0,MAX(0,ROUND((INDEX($E940:$G940,AL$5)-SUMIFS(TF_Timer,TF_Tekniker,AL$4,TF_Dato,$A940))*2,0)/2)))</f>
        <v/>
      </c>
      <c r="AM940">
        <f>IF(OR(AM$4="",$A940&gt;TODAY()),0,IF(OR(INDEX($B940:$D940,AM$5)="F",AND(AM$6&gt;0,$A940&lt;AM$6),AND(AM$7&gt;0,$A940&gt;AM$7)),0,MAX(0,ROUND((INDEX($E940:$G940,AM$5)-SUMIFS(TF_Timer,TF_Tekniker,AM$4,TF_Dato,$A940))*2,0)/2)))</f>
        <v/>
      </c>
      <c r="AN940">
        <f>IF(OR(AN$4="",$A940&gt;TODAY()),0,IF(OR(INDEX($B940:$D940,AN$5)="F",AND(AN$6&gt;0,$A940&lt;AN$6),AND(AN$7&gt;0,$A940&gt;AN$7)),0,MAX(0,ROUND((INDEX($E940:$G940,AN$5)-SUMIFS(TF_Timer,TF_Tekniker,AN$4,TF_Dato,$A940))*2,0)/2)))</f>
        <v/>
      </c>
      <c r="AO940">
        <f>IF(OR(AO$4="",$A940&gt;TODAY()),0,IF(OR(INDEX($B940:$D940,AO$5)="F",AND(AO$6&gt;0,$A940&lt;AO$6),AND(AO$7&gt;0,$A940&gt;AO$7)),0,MAX(0,ROUND((INDEX($E940:$G940,AO$5)-SUMIFS(TF_Timer,TF_Tekniker,AO$4,TF_Dato,$A940))*2,0)/2)))</f>
        <v/>
      </c>
      <c r="AP940">
        <f>IF(OR(AP$4="",$A940&gt;TODAY()),0,IF(OR(INDEX($B940:$D940,AP$5)="F",AND(AP$6&gt;0,$A940&lt;AP$6),AND(AP$7&gt;0,$A940&gt;AP$7)),0,MAX(0,ROUND((INDEX($E940:$G940,AP$5)-SUMIFS(TF_Timer,TF_Tekniker,AP$4,TF_Dato,$A940))*2,0)/2)))</f>
        <v/>
      </c>
      <c r="AQ940">
        <f>IF(OR(AQ$4="",$A940&gt;TODAY()),0,IF(OR(INDEX($B940:$D940,AQ$5)="F",AND(AQ$6&gt;0,$A940&lt;AQ$6),AND(AQ$7&gt;0,$A940&gt;AQ$7)),0,MAX(0,ROUND((INDEX($E940:$G940,AQ$5)-SUMIFS(TF_Timer,TF_Tekniker,AQ$4,TF_Dato,$A940))*2,0)/2)))</f>
        <v/>
      </c>
      <c r="AR940">
        <f>IF(OR(AR$4="",$A940&gt;TODAY()),0,IF(OR(INDEX($B940:$D940,AR$5)="F",AND(AR$6&gt;0,$A940&lt;AR$6),AND(AR$7&gt;0,$A940&gt;AR$7)),0,MAX(0,ROUND((INDEX($E940:$G940,AR$5)-SUMIFS(TF_Timer,TF_Tekniker,AR$4,TF_Dato,$A940))*2,0)/2)))</f>
        <v/>
      </c>
      <c r="AS940">
        <f>IF(OR(AS$4="",$A940&gt;TODAY()),0,IF(OR(INDEX($B940:$D940,AS$5)="F",AND(AS$6&gt;0,$A940&lt;AS$6),AND(AS$7&gt;0,$A940&gt;AS$7)),0,MAX(0,ROUND((INDEX($E940:$G940,AS$5)-SUMIFS(TF_Timer,TF_Tekniker,AS$4,TF_Dato,$A940))*2,0)/2)))</f>
        <v/>
      </c>
      <c r="AT940">
        <f>IF(OR(AT$4="",$A940&gt;TODAY()),0,IF(OR(INDEX($B940:$D940,AT$5)="F",AND(AT$6&gt;0,$A940&lt;AT$6),AND(AT$7&gt;0,$A940&gt;AT$7)),0,MAX(0,ROUND((INDEX($E940:$G940,AT$5)-SUMIFS(TF_Timer,TF_Tekniker,AT$4,TF_Dato,$A940))*2,0)/2)))</f>
        <v/>
      </c>
      <c r="AU940">
        <f>IF(OR(AU$4="",$A940&gt;TODAY()),0,IF(OR(INDEX($B940:$D940,AU$5)="F",AND(AU$6&gt;0,$A940&lt;AU$6),AND(AU$7&gt;0,$A940&gt;AU$7)),0,MAX(0,ROUND((INDEX($E940:$G940,AU$5)-SUMIFS(TF_Timer,TF_Tekniker,AU$4,TF_Dato,$A940))*2,0)/2)))</f>
        <v/>
      </c>
      <c r="AV940">
        <f>IF(OR(AV$4="",$A940&gt;TODAY()),0,IF(OR(INDEX($B940:$D940,AV$5)="F",AND(AV$6&gt;0,$A940&lt;AV$6),AND(AV$7&gt;0,$A940&gt;AV$7)),0,MAX(0,ROUND((INDEX($E940:$G940,AV$5)-SUMIFS(TF_Timer,TF_Tekniker,AV$4,TF_Dato,$A940))*2,0)/2)))</f>
        <v/>
      </c>
      <c r="AW940">
        <f>IF(OR(AW$4="",$A940&gt;TODAY()),0,IF(OR(INDEX($B940:$D940,AW$5)="F",AND(AW$6&gt;0,$A940&lt;AW$6),AND(AW$7&gt;0,$A940&gt;AW$7)),0,MAX(0,ROUND((INDEX($E940:$G940,AW$5)-SUMIFS(TF_Timer,TF_Tekniker,AW$4,TF_Dato,$A940))*2,0)/2)))</f>
        <v/>
      </c>
      <c r="AX940">
        <f>IF(OR(AX$4="",$A940&gt;TODAY()),0,IF(OR(INDEX($B940:$D940,AX$5)="F",AND(AX$6&gt;0,$A940&lt;AX$6),AND(AX$7&gt;0,$A940&gt;AX$7)),0,MAX(0,ROUND((INDEX($E940:$G940,AX$5)-SUMIFS(TF_Timer,TF_Tekniker,AX$4,TF_Dato,$A940))*2,0)/2)))</f>
        <v/>
      </c>
      <c r="AY940">
        <f>IF(OR(AY$4="",$A940&gt;TODAY()),0,IF(OR(INDEX($B940:$D940,AY$5)="F",AND(AY$6&gt;0,$A940&lt;AY$6),AND(AY$7&gt;0,$A940&gt;AY$7)),0,MAX(0,ROUND((INDEX($E940:$G940,AY$5)-SUMIFS(TF_Timer,TF_Tekniker,AY$4,TF_Dato,$A940))*2,0)/2)))</f>
        <v/>
      </c>
      <c r="AZ940">
        <f>IF(OR(AZ$4="",$A940&gt;TODAY()),0,IF(OR(INDEX($B940:$D940,AZ$5)="F",AND(AZ$6&gt;0,$A940&lt;AZ$6),AND(AZ$7&gt;0,$A940&gt;AZ$7)),0,MAX(0,ROUND((INDEX($E940:$G940,AZ$5)-SUMIFS(TF_Timer,TF_Tekniker,AZ$4,TF_Dato,$A940))*2,0)/2)))</f>
        <v/>
      </c>
      <c r="BA940">
        <f>IF(OR(BA$4="",$A940&gt;TODAY()),0,IF(OR(INDEX($B940:$D940,BA$5)="F",AND(BA$6&gt;0,$A940&lt;BA$6),AND(BA$7&gt;0,$A940&gt;BA$7)),0,MAX(0,ROUND((INDEX($E940:$G940,BA$5)-SUMIFS(TF_Timer,TF_Tekniker,BA$4,TF_Dato,$A940))*2,0)/2)))</f>
        <v/>
      </c>
      <c r="BB940">
        <f>IF(OR(BB$4="",$A940&gt;TODAY()),0,IF(OR(INDEX($B940:$D940,BB$5)="F",AND(BB$6&gt;0,$A940&lt;BB$6),AND(BB$7&gt;0,$A940&gt;BB$7)),0,MAX(0,ROUND((INDEX($E940:$G940,BB$5)-SUMIFS(TF_Timer,TF_Tekniker,BB$4,TF_Dato,$A940))*2,0)/2)))</f>
        <v/>
      </c>
      <c r="BC940">
        <f>IF(OR(BC$4="",$A940&gt;TODAY()),0,IF(OR(INDEX($B940:$D940,BC$5)="F",AND(BC$6&gt;0,$A940&lt;BC$6),AND(BC$7&gt;0,$A940&gt;BC$7)),0,MAX(0,ROUND((INDEX($E940:$G940,BC$5)-SUMIFS(TF_Timer,TF_Tekniker,BC$4,TF_Dato,$A940))*2,0)/2)))</f>
        <v/>
      </c>
      <c r="BD940">
        <f>IF(OR(BD$4="",$A940&gt;TODAY()),0,IF(OR(INDEX($B940:$D940,BD$5)="F",AND(BD$6&gt;0,$A940&lt;BD$6),AND(BD$7&gt;0,$A940&gt;BD$7)),0,MAX(0,ROUND((INDEX($E940:$G940,BD$5)-SUMIFS(TF_Timer,TF_Tekniker,BD$4,TF_Dato,$A940))*2,0)/2)))</f>
        <v/>
      </c>
      <c r="BE940">
        <f>IF(OR(BE$4="",$A940&gt;TODAY()),0,IF(OR(INDEX($B940:$D940,BE$5)="F",AND(BE$6&gt;0,$A940&lt;BE$6),AND(BE$7&gt;0,$A940&gt;BE$7)),0,MAX(0,ROUND((INDEX($E940:$G940,BE$5)-SUMIFS(TF_Timer,TF_Tekniker,BE$4,TF_Dato,$A940))*2,0)/2)))</f>
        <v/>
      </c>
      <c r="BF940">
        <f>IF(OR(BF$4="",$A940&gt;TODAY()),0,IF(OR(INDEX($B940:$D940,BF$5)="F",AND(BF$6&gt;0,$A940&lt;BF$6),AND(BF$7&gt;0,$A940&gt;BF$7)),0,MAX(0,ROUND((INDEX($E940:$G940,BF$5)-SUMIFS(TF_Timer,TF_Tekniker,BF$4,TF_Dato,$A940))*2,0)/2)))</f>
        <v/>
      </c>
      <c r="BG940">
        <f>IF(OR(BG$4="",$A940&gt;TODAY()),0,IF(OR(INDEX($B940:$D940,BG$5)="F",AND(BG$6&gt;0,$A940&lt;BG$6),AND(BG$7&gt;0,$A940&gt;BG$7)),0,MAX(0,ROUND((INDEX($E940:$G940,BG$5)-SUMIFS(TF_Timer,TF_Tekniker,BG$4,TF_Dato,$A940))*2,0)/2)))</f>
        <v/>
      </c>
      <c r="BH940">
        <f>IF(OR(BH$4="",$A940&gt;TODAY()),0,IF(OR(INDEX($B940:$D940,BH$5)="F",AND(BH$6&gt;0,$A940&lt;BH$6),AND(BH$7&gt;0,$A940&gt;BH$7)),0,MAX(0,ROUND((INDEX($E940:$G940,BH$5)-SUMIFS(TF_Timer,TF_Tekniker,BH$4,TF_Dato,$A940))*2,0)/2)))</f>
        <v/>
      </c>
      <c r="BI940">
        <f>IF(OR(BI$4="",$A940&gt;TODAY()),0,IF(OR(INDEX($B940:$D940,BI$5)="F",AND(BI$6&gt;0,$A940&lt;BI$6),AND(BI$7&gt;0,$A940&gt;BI$7)),0,MAX(0,ROUND((INDEX($E940:$G940,BI$5)-SUMIFS(TF_Timer,TF_Tekniker,BI$4,TF_Dato,$A940))*2,0)/2)))</f>
        <v/>
      </c>
    </row>
    <row r="941">
      <c r="A941" s="64">
        <f>A940+1</f>
        <v/>
      </c>
      <c r="B941">
        <f>IF(MOD($A941-INDEX(SkiftStart,1),Syklus)&lt;DagK,"K",IF(MOD($A941-INDEX(SkiftStart,1),Syklus)&lt;DagK+DagH,"H",IF(MOD($A941-INDEX(SkiftStart,1),Syklus)&lt;DagK+DagH+DagD,"D","F")))</f>
        <v/>
      </c>
      <c r="C941">
        <f>IF(MOD($A941-INDEX(SkiftStart,2),Syklus)&lt;DagK,"K",IF(MOD($A941-INDEX(SkiftStart,2),Syklus)&lt;DagK+DagH,"H",IF(MOD($A941-INDEX(SkiftStart,2),Syklus)&lt;DagK+DagH+DagD,"D","F")))</f>
        <v/>
      </c>
      <c r="D941">
        <f>IF(MOD($A941-INDEX(SkiftStart,3),Syklus)&lt;DagK,"K",IF(MOD($A941-INDEX(SkiftStart,3),Syklus)&lt;DagK+DagH,"H",IF(MOD($A941-INDEX(SkiftStart,3),Syklus)&lt;DagK+DagH+DagD,"D","F")))</f>
        <v/>
      </c>
      <c r="E941">
        <f>IF(B941="F",0,IF(WEEKDAY($A941,2)=5,INDEX(TimerFr,MATCH(B941,FaseKode,0)),INDEX(TimerMT,MATCH(B941,FaseKode,0))))</f>
        <v/>
      </c>
      <c r="F941">
        <f>IF(C941="F",0,IF(WEEKDAY($A941,2)=5,INDEX(TimerFr,MATCH(C941,FaseKode,0)),INDEX(TimerMT,MATCH(C941,FaseKode,0))))</f>
        <v/>
      </c>
      <c r="G941">
        <f>IF(D941="F",0,IF(WEEKDAY($A941,2)=5,INDEX(TimerFr,MATCH(D941,FaseKode,0)),INDEX(TimerMT,MATCH(D941,FaseKode,0))))</f>
        <v/>
      </c>
      <c r="H941">
        <f>IF(OR(H$4="",$A941&gt;TODAY()),0,IF(OR(INDEX($B941:$D941,H$5)="F",AND(H$6&gt;0,$A941&lt;H$6),AND(H$7&gt;0,$A941&gt;H$7)),0,MAX(0,ROUND((INDEX($E941:$G941,H$5)-SUMIFS(TF_Timer,TF_Tekniker,H$4,TF_Dato,$A941))*2,0)/2)))</f>
        <v/>
      </c>
      <c r="I941">
        <f>IF(OR(I$4="",$A941&gt;TODAY()),0,IF(OR(INDEX($B941:$D941,I$5)="F",AND(I$6&gt;0,$A941&lt;I$6),AND(I$7&gt;0,$A941&gt;I$7)),0,MAX(0,ROUND((INDEX($E941:$G941,I$5)-SUMIFS(TF_Timer,TF_Tekniker,I$4,TF_Dato,$A941))*2,0)/2)))</f>
        <v/>
      </c>
      <c r="J941">
        <f>IF(OR(J$4="",$A941&gt;TODAY()),0,IF(OR(INDEX($B941:$D941,J$5)="F",AND(J$6&gt;0,$A941&lt;J$6),AND(J$7&gt;0,$A941&gt;J$7)),0,MAX(0,ROUND((INDEX($E941:$G941,J$5)-SUMIFS(TF_Timer,TF_Tekniker,J$4,TF_Dato,$A941))*2,0)/2)))</f>
        <v/>
      </c>
      <c r="K941">
        <f>IF(OR(K$4="",$A941&gt;TODAY()),0,IF(OR(INDEX($B941:$D941,K$5)="F",AND(K$6&gt;0,$A941&lt;K$6),AND(K$7&gt;0,$A941&gt;K$7)),0,MAX(0,ROUND((INDEX($E941:$G941,K$5)-SUMIFS(TF_Timer,TF_Tekniker,K$4,TF_Dato,$A941))*2,0)/2)))</f>
        <v/>
      </c>
      <c r="L941">
        <f>IF(OR(L$4="",$A941&gt;TODAY()),0,IF(OR(INDEX($B941:$D941,L$5)="F",AND(L$6&gt;0,$A941&lt;L$6),AND(L$7&gt;0,$A941&gt;L$7)),0,MAX(0,ROUND((INDEX($E941:$G941,L$5)-SUMIFS(TF_Timer,TF_Tekniker,L$4,TF_Dato,$A941))*2,0)/2)))</f>
        <v/>
      </c>
      <c r="M941">
        <f>IF(OR(M$4="",$A941&gt;TODAY()),0,IF(OR(INDEX($B941:$D941,M$5)="F",AND(M$6&gt;0,$A941&lt;M$6),AND(M$7&gt;0,$A941&gt;M$7)),0,MAX(0,ROUND((INDEX($E941:$G941,M$5)-SUMIFS(TF_Timer,TF_Tekniker,M$4,TF_Dato,$A941))*2,0)/2)))</f>
        <v/>
      </c>
      <c r="N941">
        <f>IF(OR(N$4="",$A941&gt;TODAY()),0,IF(OR(INDEX($B941:$D941,N$5)="F",AND(N$6&gt;0,$A941&lt;N$6),AND(N$7&gt;0,$A941&gt;N$7)),0,MAX(0,ROUND((INDEX($E941:$G941,N$5)-SUMIFS(TF_Timer,TF_Tekniker,N$4,TF_Dato,$A941))*2,0)/2)))</f>
        <v/>
      </c>
      <c r="O941">
        <f>IF(OR(O$4="",$A941&gt;TODAY()),0,IF(OR(INDEX($B941:$D941,O$5)="F",AND(O$6&gt;0,$A941&lt;O$6),AND(O$7&gt;0,$A941&gt;O$7)),0,MAX(0,ROUND((INDEX($E941:$G941,O$5)-SUMIFS(TF_Timer,TF_Tekniker,O$4,TF_Dato,$A941))*2,0)/2)))</f>
        <v/>
      </c>
      <c r="P941">
        <f>IF(OR(P$4="",$A941&gt;TODAY()),0,IF(OR(INDEX($B941:$D941,P$5)="F",AND(P$6&gt;0,$A941&lt;P$6),AND(P$7&gt;0,$A941&gt;P$7)),0,MAX(0,ROUND((INDEX($E941:$G941,P$5)-SUMIFS(TF_Timer,TF_Tekniker,P$4,TF_Dato,$A941))*2,0)/2)))</f>
        <v/>
      </c>
      <c r="Q941">
        <f>IF(OR(Q$4="",$A941&gt;TODAY()),0,IF(OR(INDEX($B941:$D941,Q$5)="F",AND(Q$6&gt;0,$A941&lt;Q$6),AND(Q$7&gt;0,$A941&gt;Q$7)),0,MAX(0,ROUND((INDEX($E941:$G941,Q$5)-SUMIFS(TF_Timer,TF_Tekniker,Q$4,TF_Dato,$A941))*2,0)/2)))</f>
        <v/>
      </c>
      <c r="R941">
        <f>IF(OR(R$4="",$A941&gt;TODAY()),0,IF(OR(INDEX($B941:$D941,R$5)="F",AND(R$6&gt;0,$A941&lt;R$6),AND(R$7&gt;0,$A941&gt;R$7)),0,MAX(0,ROUND((INDEX($E941:$G941,R$5)-SUMIFS(TF_Timer,TF_Tekniker,R$4,TF_Dato,$A941))*2,0)/2)))</f>
        <v/>
      </c>
      <c r="S941">
        <f>IF(OR(S$4="",$A941&gt;TODAY()),0,IF(OR(INDEX($B941:$D941,S$5)="F",AND(S$6&gt;0,$A941&lt;S$6),AND(S$7&gt;0,$A941&gt;S$7)),0,MAX(0,ROUND((INDEX($E941:$G941,S$5)-SUMIFS(TF_Timer,TF_Tekniker,S$4,TF_Dato,$A941))*2,0)/2)))</f>
        <v/>
      </c>
      <c r="T941">
        <f>IF(OR(T$4="",$A941&gt;TODAY()),0,IF(OR(INDEX($B941:$D941,T$5)="F",AND(T$6&gt;0,$A941&lt;T$6),AND(T$7&gt;0,$A941&gt;T$7)),0,MAX(0,ROUND((INDEX($E941:$G941,T$5)-SUMIFS(TF_Timer,TF_Tekniker,T$4,TF_Dato,$A941))*2,0)/2)))</f>
        <v/>
      </c>
      <c r="U941">
        <f>IF(OR(U$4="",$A941&gt;TODAY()),0,IF(OR(INDEX($B941:$D941,U$5)="F",AND(U$6&gt;0,$A941&lt;U$6),AND(U$7&gt;0,$A941&gt;U$7)),0,MAX(0,ROUND((INDEX($E941:$G941,U$5)-SUMIFS(TF_Timer,TF_Tekniker,U$4,TF_Dato,$A941))*2,0)/2)))</f>
        <v/>
      </c>
      <c r="V941">
        <f>IF(OR(V$4="",$A941&gt;TODAY()),0,IF(OR(INDEX($B941:$D941,V$5)="F",AND(V$6&gt;0,$A941&lt;V$6),AND(V$7&gt;0,$A941&gt;V$7)),0,MAX(0,ROUND((INDEX($E941:$G941,V$5)-SUMIFS(TF_Timer,TF_Tekniker,V$4,TF_Dato,$A941))*2,0)/2)))</f>
        <v/>
      </c>
      <c r="W941">
        <f>IF(OR(W$4="",$A941&gt;TODAY()),0,IF(OR(INDEX($B941:$D941,W$5)="F",AND(W$6&gt;0,$A941&lt;W$6),AND(W$7&gt;0,$A941&gt;W$7)),0,MAX(0,ROUND((INDEX($E941:$G941,W$5)-SUMIFS(TF_Timer,TF_Tekniker,W$4,TF_Dato,$A941))*2,0)/2)))</f>
        <v/>
      </c>
      <c r="X941">
        <f>IF(OR(X$4="",$A941&gt;TODAY()),0,IF(OR(INDEX($B941:$D941,X$5)="F",AND(X$6&gt;0,$A941&lt;X$6),AND(X$7&gt;0,$A941&gt;X$7)),0,MAX(0,ROUND((INDEX($E941:$G941,X$5)-SUMIFS(TF_Timer,TF_Tekniker,X$4,TF_Dato,$A941))*2,0)/2)))</f>
        <v/>
      </c>
      <c r="Y941">
        <f>IF(OR(Y$4="",$A941&gt;TODAY()),0,IF(OR(INDEX($B941:$D941,Y$5)="F",AND(Y$6&gt;0,$A941&lt;Y$6),AND(Y$7&gt;0,$A941&gt;Y$7)),0,MAX(0,ROUND((INDEX($E941:$G941,Y$5)-SUMIFS(TF_Timer,TF_Tekniker,Y$4,TF_Dato,$A941))*2,0)/2)))</f>
        <v/>
      </c>
      <c r="Z941">
        <f>IF(OR(Z$4="",$A941&gt;TODAY()),0,IF(OR(INDEX($B941:$D941,Z$5)="F",AND(Z$6&gt;0,$A941&lt;Z$6),AND(Z$7&gt;0,$A941&gt;Z$7)),0,MAX(0,ROUND((INDEX($E941:$G941,Z$5)-SUMIFS(TF_Timer,TF_Tekniker,Z$4,TF_Dato,$A941))*2,0)/2)))</f>
        <v/>
      </c>
      <c r="AA941">
        <f>IF(OR(AA$4="",$A941&gt;TODAY()),0,IF(OR(INDEX($B941:$D941,AA$5)="F",AND(AA$6&gt;0,$A941&lt;AA$6),AND(AA$7&gt;0,$A941&gt;AA$7)),0,MAX(0,ROUND((INDEX($E941:$G941,AA$5)-SUMIFS(TF_Timer,TF_Tekniker,AA$4,TF_Dato,$A941))*2,0)/2)))</f>
        <v/>
      </c>
      <c r="AB941">
        <f>IF(OR(AB$4="",$A941&gt;TODAY()),0,IF(OR(INDEX($B941:$D941,AB$5)="F",AND(AB$6&gt;0,$A941&lt;AB$6),AND(AB$7&gt;0,$A941&gt;AB$7)),0,MAX(0,ROUND((INDEX($E941:$G941,AB$5)-SUMIFS(TF_Timer,TF_Tekniker,AB$4,TF_Dato,$A941))*2,0)/2)))</f>
        <v/>
      </c>
      <c r="AC941">
        <f>IF(OR(AC$4="",$A941&gt;TODAY()),0,IF(OR(INDEX($B941:$D941,AC$5)="F",AND(AC$6&gt;0,$A941&lt;AC$6),AND(AC$7&gt;0,$A941&gt;AC$7)),0,MAX(0,ROUND((INDEX($E941:$G941,AC$5)-SUMIFS(TF_Timer,TF_Tekniker,AC$4,TF_Dato,$A941))*2,0)/2)))</f>
        <v/>
      </c>
      <c r="AD941">
        <f>IF(OR(AD$4="",$A941&gt;TODAY()),0,IF(OR(INDEX($B941:$D941,AD$5)="F",AND(AD$6&gt;0,$A941&lt;AD$6),AND(AD$7&gt;0,$A941&gt;AD$7)),0,MAX(0,ROUND((INDEX($E941:$G941,AD$5)-SUMIFS(TF_Timer,TF_Tekniker,AD$4,TF_Dato,$A941))*2,0)/2)))</f>
        <v/>
      </c>
      <c r="AE941">
        <f>IF(OR(AE$4="",$A941&gt;TODAY()),0,IF(OR(INDEX($B941:$D941,AE$5)="F",AND(AE$6&gt;0,$A941&lt;AE$6),AND(AE$7&gt;0,$A941&gt;AE$7)),0,MAX(0,ROUND((INDEX($E941:$G941,AE$5)-SUMIFS(TF_Timer,TF_Tekniker,AE$4,TF_Dato,$A941))*2,0)/2)))</f>
        <v/>
      </c>
      <c r="AF941">
        <f>IF(OR(AF$4="",$A941&gt;TODAY()),0,IF(OR(INDEX($B941:$D941,AF$5)="F",AND(AF$6&gt;0,$A941&lt;AF$6),AND(AF$7&gt;0,$A941&gt;AF$7)),0,MAX(0,ROUND((INDEX($E941:$G941,AF$5)-SUMIFS(TF_Timer,TF_Tekniker,AF$4,TF_Dato,$A941))*2,0)/2)))</f>
        <v/>
      </c>
      <c r="AG941">
        <f>IF(OR(AG$4="",$A941&gt;TODAY()),0,IF(OR(INDEX($B941:$D941,AG$5)="F",AND(AG$6&gt;0,$A941&lt;AG$6),AND(AG$7&gt;0,$A941&gt;AG$7)),0,MAX(0,ROUND((INDEX($E941:$G941,AG$5)-SUMIFS(TF_Timer,TF_Tekniker,AG$4,TF_Dato,$A941))*2,0)/2)))</f>
        <v/>
      </c>
      <c r="AH941">
        <f>IF(OR(AH$4="",$A941&gt;TODAY()),0,IF(OR(INDEX($B941:$D941,AH$5)="F",AND(AH$6&gt;0,$A941&lt;AH$6),AND(AH$7&gt;0,$A941&gt;AH$7)),0,MAX(0,ROUND((INDEX($E941:$G941,AH$5)-SUMIFS(TF_Timer,TF_Tekniker,AH$4,TF_Dato,$A941))*2,0)/2)))</f>
        <v/>
      </c>
      <c r="AI941">
        <f>IF(OR(AI$4="",$A941&gt;TODAY()),0,IF(OR(INDEX($B941:$D941,AI$5)="F",AND(AI$6&gt;0,$A941&lt;AI$6),AND(AI$7&gt;0,$A941&gt;AI$7)),0,MAX(0,ROUND((INDEX($E941:$G941,AI$5)-SUMIFS(TF_Timer,TF_Tekniker,AI$4,TF_Dato,$A941))*2,0)/2)))</f>
        <v/>
      </c>
      <c r="AJ941">
        <f>IF(OR(AJ$4="",$A941&gt;TODAY()),0,IF(OR(INDEX($B941:$D941,AJ$5)="F",AND(AJ$6&gt;0,$A941&lt;AJ$6),AND(AJ$7&gt;0,$A941&gt;AJ$7)),0,MAX(0,ROUND((INDEX($E941:$G941,AJ$5)-SUMIFS(TF_Timer,TF_Tekniker,AJ$4,TF_Dato,$A941))*2,0)/2)))</f>
        <v/>
      </c>
      <c r="AK941">
        <f>IF(OR(AK$4="",$A941&gt;TODAY()),0,IF(OR(INDEX($B941:$D941,AK$5)="F",AND(AK$6&gt;0,$A941&lt;AK$6),AND(AK$7&gt;0,$A941&gt;AK$7)),0,MAX(0,ROUND((INDEX($E941:$G941,AK$5)-SUMIFS(TF_Timer,TF_Tekniker,AK$4,TF_Dato,$A941))*2,0)/2)))</f>
        <v/>
      </c>
      <c r="AL941">
        <f>IF(OR(AL$4="",$A941&gt;TODAY()),0,IF(OR(INDEX($B941:$D941,AL$5)="F",AND(AL$6&gt;0,$A941&lt;AL$6),AND(AL$7&gt;0,$A941&gt;AL$7)),0,MAX(0,ROUND((INDEX($E941:$G941,AL$5)-SUMIFS(TF_Timer,TF_Tekniker,AL$4,TF_Dato,$A941))*2,0)/2)))</f>
        <v/>
      </c>
      <c r="AM941">
        <f>IF(OR(AM$4="",$A941&gt;TODAY()),0,IF(OR(INDEX($B941:$D941,AM$5)="F",AND(AM$6&gt;0,$A941&lt;AM$6),AND(AM$7&gt;0,$A941&gt;AM$7)),0,MAX(0,ROUND((INDEX($E941:$G941,AM$5)-SUMIFS(TF_Timer,TF_Tekniker,AM$4,TF_Dato,$A941))*2,0)/2)))</f>
        <v/>
      </c>
      <c r="AN941">
        <f>IF(OR(AN$4="",$A941&gt;TODAY()),0,IF(OR(INDEX($B941:$D941,AN$5)="F",AND(AN$6&gt;0,$A941&lt;AN$6),AND(AN$7&gt;0,$A941&gt;AN$7)),0,MAX(0,ROUND((INDEX($E941:$G941,AN$5)-SUMIFS(TF_Timer,TF_Tekniker,AN$4,TF_Dato,$A941))*2,0)/2)))</f>
        <v/>
      </c>
      <c r="AO941">
        <f>IF(OR(AO$4="",$A941&gt;TODAY()),0,IF(OR(INDEX($B941:$D941,AO$5)="F",AND(AO$6&gt;0,$A941&lt;AO$6),AND(AO$7&gt;0,$A941&gt;AO$7)),0,MAX(0,ROUND((INDEX($E941:$G941,AO$5)-SUMIFS(TF_Timer,TF_Tekniker,AO$4,TF_Dato,$A941))*2,0)/2)))</f>
        <v/>
      </c>
      <c r="AP941">
        <f>IF(OR(AP$4="",$A941&gt;TODAY()),0,IF(OR(INDEX($B941:$D941,AP$5)="F",AND(AP$6&gt;0,$A941&lt;AP$6),AND(AP$7&gt;0,$A941&gt;AP$7)),0,MAX(0,ROUND((INDEX($E941:$G941,AP$5)-SUMIFS(TF_Timer,TF_Tekniker,AP$4,TF_Dato,$A941))*2,0)/2)))</f>
        <v/>
      </c>
      <c r="AQ941">
        <f>IF(OR(AQ$4="",$A941&gt;TODAY()),0,IF(OR(INDEX($B941:$D941,AQ$5)="F",AND(AQ$6&gt;0,$A941&lt;AQ$6),AND(AQ$7&gt;0,$A941&gt;AQ$7)),0,MAX(0,ROUND((INDEX($E941:$G941,AQ$5)-SUMIFS(TF_Timer,TF_Tekniker,AQ$4,TF_Dato,$A941))*2,0)/2)))</f>
        <v/>
      </c>
      <c r="AR941">
        <f>IF(OR(AR$4="",$A941&gt;TODAY()),0,IF(OR(INDEX($B941:$D941,AR$5)="F",AND(AR$6&gt;0,$A941&lt;AR$6),AND(AR$7&gt;0,$A941&gt;AR$7)),0,MAX(0,ROUND((INDEX($E941:$G941,AR$5)-SUMIFS(TF_Timer,TF_Tekniker,AR$4,TF_Dato,$A941))*2,0)/2)))</f>
        <v/>
      </c>
      <c r="AS941">
        <f>IF(OR(AS$4="",$A941&gt;TODAY()),0,IF(OR(INDEX($B941:$D941,AS$5)="F",AND(AS$6&gt;0,$A941&lt;AS$6),AND(AS$7&gt;0,$A941&gt;AS$7)),0,MAX(0,ROUND((INDEX($E941:$G941,AS$5)-SUMIFS(TF_Timer,TF_Tekniker,AS$4,TF_Dato,$A941))*2,0)/2)))</f>
        <v/>
      </c>
      <c r="AT941">
        <f>IF(OR(AT$4="",$A941&gt;TODAY()),0,IF(OR(INDEX($B941:$D941,AT$5)="F",AND(AT$6&gt;0,$A941&lt;AT$6),AND(AT$7&gt;0,$A941&gt;AT$7)),0,MAX(0,ROUND((INDEX($E941:$G941,AT$5)-SUMIFS(TF_Timer,TF_Tekniker,AT$4,TF_Dato,$A941))*2,0)/2)))</f>
        <v/>
      </c>
      <c r="AU941">
        <f>IF(OR(AU$4="",$A941&gt;TODAY()),0,IF(OR(INDEX($B941:$D941,AU$5)="F",AND(AU$6&gt;0,$A941&lt;AU$6),AND(AU$7&gt;0,$A941&gt;AU$7)),0,MAX(0,ROUND((INDEX($E941:$G941,AU$5)-SUMIFS(TF_Timer,TF_Tekniker,AU$4,TF_Dato,$A941))*2,0)/2)))</f>
        <v/>
      </c>
      <c r="AV941">
        <f>IF(OR(AV$4="",$A941&gt;TODAY()),0,IF(OR(INDEX($B941:$D941,AV$5)="F",AND(AV$6&gt;0,$A941&lt;AV$6),AND(AV$7&gt;0,$A941&gt;AV$7)),0,MAX(0,ROUND((INDEX($E941:$G941,AV$5)-SUMIFS(TF_Timer,TF_Tekniker,AV$4,TF_Dato,$A941))*2,0)/2)))</f>
        <v/>
      </c>
      <c r="AW941">
        <f>IF(OR(AW$4="",$A941&gt;TODAY()),0,IF(OR(INDEX($B941:$D941,AW$5)="F",AND(AW$6&gt;0,$A941&lt;AW$6),AND(AW$7&gt;0,$A941&gt;AW$7)),0,MAX(0,ROUND((INDEX($E941:$G941,AW$5)-SUMIFS(TF_Timer,TF_Tekniker,AW$4,TF_Dato,$A941))*2,0)/2)))</f>
        <v/>
      </c>
      <c r="AX941">
        <f>IF(OR(AX$4="",$A941&gt;TODAY()),0,IF(OR(INDEX($B941:$D941,AX$5)="F",AND(AX$6&gt;0,$A941&lt;AX$6),AND(AX$7&gt;0,$A941&gt;AX$7)),0,MAX(0,ROUND((INDEX($E941:$G941,AX$5)-SUMIFS(TF_Timer,TF_Tekniker,AX$4,TF_Dato,$A941))*2,0)/2)))</f>
        <v/>
      </c>
      <c r="AY941">
        <f>IF(OR(AY$4="",$A941&gt;TODAY()),0,IF(OR(INDEX($B941:$D941,AY$5)="F",AND(AY$6&gt;0,$A941&lt;AY$6),AND(AY$7&gt;0,$A941&gt;AY$7)),0,MAX(0,ROUND((INDEX($E941:$G941,AY$5)-SUMIFS(TF_Timer,TF_Tekniker,AY$4,TF_Dato,$A941))*2,0)/2)))</f>
        <v/>
      </c>
      <c r="AZ941">
        <f>IF(OR(AZ$4="",$A941&gt;TODAY()),0,IF(OR(INDEX($B941:$D941,AZ$5)="F",AND(AZ$6&gt;0,$A941&lt;AZ$6),AND(AZ$7&gt;0,$A941&gt;AZ$7)),0,MAX(0,ROUND((INDEX($E941:$G941,AZ$5)-SUMIFS(TF_Timer,TF_Tekniker,AZ$4,TF_Dato,$A941))*2,0)/2)))</f>
        <v/>
      </c>
      <c r="BA941">
        <f>IF(OR(BA$4="",$A941&gt;TODAY()),0,IF(OR(INDEX($B941:$D941,BA$5)="F",AND(BA$6&gt;0,$A941&lt;BA$6),AND(BA$7&gt;0,$A941&gt;BA$7)),0,MAX(0,ROUND((INDEX($E941:$G941,BA$5)-SUMIFS(TF_Timer,TF_Tekniker,BA$4,TF_Dato,$A941))*2,0)/2)))</f>
        <v/>
      </c>
      <c r="BB941">
        <f>IF(OR(BB$4="",$A941&gt;TODAY()),0,IF(OR(INDEX($B941:$D941,BB$5)="F",AND(BB$6&gt;0,$A941&lt;BB$6),AND(BB$7&gt;0,$A941&gt;BB$7)),0,MAX(0,ROUND((INDEX($E941:$G941,BB$5)-SUMIFS(TF_Timer,TF_Tekniker,BB$4,TF_Dato,$A941))*2,0)/2)))</f>
        <v/>
      </c>
      <c r="BC941">
        <f>IF(OR(BC$4="",$A941&gt;TODAY()),0,IF(OR(INDEX($B941:$D941,BC$5)="F",AND(BC$6&gt;0,$A941&lt;BC$6),AND(BC$7&gt;0,$A941&gt;BC$7)),0,MAX(0,ROUND((INDEX($E941:$G941,BC$5)-SUMIFS(TF_Timer,TF_Tekniker,BC$4,TF_Dato,$A941))*2,0)/2)))</f>
        <v/>
      </c>
      <c r="BD941">
        <f>IF(OR(BD$4="",$A941&gt;TODAY()),0,IF(OR(INDEX($B941:$D941,BD$5)="F",AND(BD$6&gt;0,$A941&lt;BD$6),AND(BD$7&gt;0,$A941&gt;BD$7)),0,MAX(0,ROUND((INDEX($E941:$G941,BD$5)-SUMIFS(TF_Timer,TF_Tekniker,BD$4,TF_Dato,$A941))*2,0)/2)))</f>
        <v/>
      </c>
      <c r="BE941">
        <f>IF(OR(BE$4="",$A941&gt;TODAY()),0,IF(OR(INDEX($B941:$D941,BE$5)="F",AND(BE$6&gt;0,$A941&lt;BE$6),AND(BE$7&gt;0,$A941&gt;BE$7)),0,MAX(0,ROUND((INDEX($E941:$G941,BE$5)-SUMIFS(TF_Timer,TF_Tekniker,BE$4,TF_Dato,$A941))*2,0)/2)))</f>
        <v/>
      </c>
      <c r="BF941">
        <f>IF(OR(BF$4="",$A941&gt;TODAY()),0,IF(OR(INDEX($B941:$D941,BF$5)="F",AND(BF$6&gt;0,$A941&lt;BF$6),AND(BF$7&gt;0,$A941&gt;BF$7)),0,MAX(0,ROUND((INDEX($E941:$G941,BF$5)-SUMIFS(TF_Timer,TF_Tekniker,BF$4,TF_Dato,$A941))*2,0)/2)))</f>
        <v/>
      </c>
      <c r="BG941">
        <f>IF(OR(BG$4="",$A941&gt;TODAY()),0,IF(OR(INDEX($B941:$D941,BG$5)="F",AND(BG$6&gt;0,$A941&lt;BG$6),AND(BG$7&gt;0,$A941&gt;BG$7)),0,MAX(0,ROUND((INDEX($E941:$G941,BG$5)-SUMIFS(TF_Timer,TF_Tekniker,BG$4,TF_Dato,$A941))*2,0)/2)))</f>
        <v/>
      </c>
      <c r="BH941">
        <f>IF(OR(BH$4="",$A941&gt;TODAY()),0,IF(OR(INDEX($B941:$D941,BH$5)="F",AND(BH$6&gt;0,$A941&lt;BH$6),AND(BH$7&gt;0,$A941&gt;BH$7)),0,MAX(0,ROUND((INDEX($E941:$G941,BH$5)-SUMIFS(TF_Timer,TF_Tekniker,BH$4,TF_Dato,$A941))*2,0)/2)))</f>
        <v/>
      </c>
      <c r="BI941">
        <f>IF(OR(BI$4="",$A941&gt;TODAY()),0,IF(OR(INDEX($B941:$D941,BI$5)="F",AND(BI$6&gt;0,$A941&lt;BI$6),AND(BI$7&gt;0,$A941&gt;BI$7)),0,MAX(0,ROUND((INDEX($E941:$G941,BI$5)-SUMIFS(TF_Timer,TF_Tekniker,BI$4,TF_Dato,$A941))*2,0)/2)))</f>
        <v/>
      </c>
    </row>
    <row r="942">
      <c r="A942" s="64">
        <f>A941+1</f>
        <v/>
      </c>
      <c r="B942">
        <f>IF(MOD($A942-INDEX(SkiftStart,1),Syklus)&lt;DagK,"K",IF(MOD($A942-INDEX(SkiftStart,1),Syklus)&lt;DagK+DagH,"H",IF(MOD($A942-INDEX(SkiftStart,1),Syklus)&lt;DagK+DagH+DagD,"D","F")))</f>
        <v/>
      </c>
      <c r="C942">
        <f>IF(MOD($A942-INDEX(SkiftStart,2),Syklus)&lt;DagK,"K",IF(MOD($A942-INDEX(SkiftStart,2),Syklus)&lt;DagK+DagH,"H",IF(MOD($A942-INDEX(SkiftStart,2),Syklus)&lt;DagK+DagH+DagD,"D","F")))</f>
        <v/>
      </c>
      <c r="D942">
        <f>IF(MOD($A942-INDEX(SkiftStart,3),Syklus)&lt;DagK,"K",IF(MOD($A942-INDEX(SkiftStart,3),Syklus)&lt;DagK+DagH,"H",IF(MOD($A942-INDEX(SkiftStart,3),Syklus)&lt;DagK+DagH+DagD,"D","F")))</f>
        <v/>
      </c>
      <c r="E942">
        <f>IF(B942="F",0,IF(WEEKDAY($A942,2)=5,INDEX(TimerFr,MATCH(B942,FaseKode,0)),INDEX(TimerMT,MATCH(B942,FaseKode,0))))</f>
        <v/>
      </c>
      <c r="F942">
        <f>IF(C942="F",0,IF(WEEKDAY($A942,2)=5,INDEX(TimerFr,MATCH(C942,FaseKode,0)),INDEX(TimerMT,MATCH(C942,FaseKode,0))))</f>
        <v/>
      </c>
      <c r="G942">
        <f>IF(D942="F",0,IF(WEEKDAY($A942,2)=5,INDEX(TimerFr,MATCH(D942,FaseKode,0)),INDEX(TimerMT,MATCH(D942,FaseKode,0))))</f>
        <v/>
      </c>
      <c r="H942">
        <f>IF(OR(H$4="",$A942&gt;TODAY()),0,IF(OR(INDEX($B942:$D942,H$5)="F",AND(H$6&gt;0,$A942&lt;H$6),AND(H$7&gt;0,$A942&gt;H$7)),0,MAX(0,ROUND((INDEX($E942:$G942,H$5)-SUMIFS(TF_Timer,TF_Tekniker,H$4,TF_Dato,$A942))*2,0)/2)))</f>
        <v/>
      </c>
      <c r="I942">
        <f>IF(OR(I$4="",$A942&gt;TODAY()),0,IF(OR(INDEX($B942:$D942,I$5)="F",AND(I$6&gt;0,$A942&lt;I$6),AND(I$7&gt;0,$A942&gt;I$7)),0,MAX(0,ROUND((INDEX($E942:$G942,I$5)-SUMIFS(TF_Timer,TF_Tekniker,I$4,TF_Dato,$A942))*2,0)/2)))</f>
        <v/>
      </c>
      <c r="J942">
        <f>IF(OR(J$4="",$A942&gt;TODAY()),0,IF(OR(INDEX($B942:$D942,J$5)="F",AND(J$6&gt;0,$A942&lt;J$6),AND(J$7&gt;0,$A942&gt;J$7)),0,MAX(0,ROUND((INDEX($E942:$G942,J$5)-SUMIFS(TF_Timer,TF_Tekniker,J$4,TF_Dato,$A942))*2,0)/2)))</f>
        <v/>
      </c>
      <c r="K942">
        <f>IF(OR(K$4="",$A942&gt;TODAY()),0,IF(OR(INDEX($B942:$D942,K$5)="F",AND(K$6&gt;0,$A942&lt;K$6),AND(K$7&gt;0,$A942&gt;K$7)),0,MAX(0,ROUND((INDEX($E942:$G942,K$5)-SUMIFS(TF_Timer,TF_Tekniker,K$4,TF_Dato,$A942))*2,0)/2)))</f>
        <v/>
      </c>
      <c r="L942">
        <f>IF(OR(L$4="",$A942&gt;TODAY()),0,IF(OR(INDEX($B942:$D942,L$5)="F",AND(L$6&gt;0,$A942&lt;L$6),AND(L$7&gt;0,$A942&gt;L$7)),0,MAX(0,ROUND((INDEX($E942:$G942,L$5)-SUMIFS(TF_Timer,TF_Tekniker,L$4,TF_Dato,$A942))*2,0)/2)))</f>
        <v/>
      </c>
      <c r="M942">
        <f>IF(OR(M$4="",$A942&gt;TODAY()),0,IF(OR(INDEX($B942:$D942,M$5)="F",AND(M$6&gt;0,$A942&lt;M$6),AND(M$7&gt;0,$A942&gt;M$7)),0,MAX(0,ROUND((INDEX($E942:$G942,M$5)-SUMIFS(TF_Timer,TF_Tekniker,M$4,TF_Dato,$A942))*2,0)/2)))</f>
        <v/>
      </c>
      <c r="N942">
        <f>IF(OR(N$4="",$A942&gt;TODAY()),0,IF(OR(INDEX($B942:$D942,N$5)="F",AND(N$6&gt;0,$A942&lt;N$6),AND(N$7&gt;0,$A942&gt;N$7)),0,MAX(0,ROUND((INDEX($E942:$G942,N$5)-SUMIFS(TF_Timer,TF_Tekniker,N$4,TF_Dato,$A942))*2,0)/2)))</f>
        <v/>
      </c>
      <c r="O942">
        <f>IF(OR(O$4="",$A942&gt;TODAY()),0,IF(OR(INDEX($B942:$D942,O$5)="F",AND(O$6&gt;0,$A942&lt;O$6),AND(O$7&gt;0,$A942&gt;O$7)),0,MAX(0,ROUND((INDEX($E942:$G942,O$5)-SUMIFS(TF_Timer,TF_Tekniker,O$4,TF_Dato,$A942))*2,0)/2)))</f>
        <v/>
      </c>
      <c r="P942">
        <f>IF(OR(P$4="",$A942&gt;TODAY()),0,IF(OR(INDEX($B942:$D942,P$5)="F",AND(P$6&gt;0,$A942&lt;P$6),AND(P$7&gt;0,$A942&gt;P$7)),0,MAX(0,ROUND((INDEX($E942:$G942,P$5)-SUMIFS(TF_Timer,TF_Tekniker,P$4,TF_Dato,$A942))*2,0)/2)))</f>
        <v/>
      </c>
      <c r="Q942">
        <f>IF(OR(Q$4="",$A942&gt;TODAY()),0,IF(OR(INDEX($B942:$D942,Q$5)="F",AND(Q$6&gt;0,$A942&lt;Q$6),AND(Q$7&gt;0,$A942&gt;Q$7)),0,MAX(0,ROUND((INDEX($E942:$G942,Q$5)-SUMIFS(TF_Timer,TF_Tekniker,Q$4,TF_Dato,$A942))*2,0)/2)))</f>
        <v/>
      </c>
      <c r="R942">
        <f>IF(OR(R$4="",$A942&gt;TODAY()),0,IF(OR(INDEX($B942:$D942,R$5)="F",AND(R$6&gt;0,$A942&lt;R$6),AND(R$7&gt;0,$A942&gt;R$7)),0,MAX(0,ROUND((INDEX($E942:$G942,R$5)-SUMIFS(TF_Timer,TF_Tekniker,R$4,TF_Dato,$A942))*2,0)/2)))</f>
        <v/>
      </c>
      <c r="S942">
        <f>IF(OR(S$4="",$A942&gt;TODAY()),0,IF(OR(INDEX($B942:$D942,S$5)="F",AND(S$6&gt;0,$A942&lt;S$6),AND(S$7&gt;0,$A942&gt;S$7)),0,MAX(0,ROUND((INDEX($E942:$G942,S$5)-SUMIFS(TF_Timer,TF_Tekniker,S$4,TF_Dato,$A942))*2,0)/2)))</f>
        <v/>
      </c>
      <c r="T942">
        <f>IF(OR(T$4="",$A942&gt;TODAY()),0,IF(OR(INDEX($B942:$D942,T$5)="F",AND(T$6&gt;0,$A942&lt;T$6),AND(T$7&gt;0,$A942&gt;T$7)),0,MAX(0,ROUND((INDEX($E942:$G942,T$5)-SUMIFS(TF_Timer,TF_Tekniker,T$4,TF_Dato,$A942))*2,0)/2)))</f>
        <v/>
      </c>
      <c r="U942">
        <f>IF(OR(U$4="",$A942&gt;TODAY()),0,IF(OR(INDEX($B942:$D942,U$5)="F",AND(U$6&gt;0,$A942&lt;U$6),AND(U$7&gt;0,$A942&gt;U$7)),0,MAX(0,ROUND((INDEX($E942:$G942,U$5)-SUMIFS(TF_Timer,TF_Tekniker,U$4,TF_Dato,$A942))*2,0)/2)))</f>
        <v/>
      </c>
      <c r="V942">
        <f>IF(OR(V$4="",$A942&gt;TODAY()),0,IF(OR(INDEX($B942:$D942,V$5)="F",AND(V$6&gt;0,$A942&lt;V$6),AND(V$7&gt;0,$A942&gt;V$7)),0,MAX(0,ROUND((INDEX($E942:$G942,V$5)-SUMIFS(TF_Timer,TF_Tekniker,V$4,TF_Dato,$A942))*2,0)/2)))</f>
        <v/>
      </c>
      <c r="W942">
        <f>IF(OR(W$4="",$A942&gt;TODAY()),0,IF(OR(INDEX($B942:$D942,W$5)="F",AND(W$6&gt;0,$A942&lt;W$6),AND(W$7&gt;0,$A942&gt;W$7)),0,MAX(0,ROUND((INDEX($E942:$G942,W$5)-SUMIFS(TF_Timer,TF_Tekniker,W$4,TF_Dato,$A942))*2,0)/2)))</f>
        <v/>
      </c>
      <c r="X942">
        <f>IF(OR(X$4="",$A942&gt;TODAY()),0,IF(OR(INDEX($B942:$D942,X$5)="F",AND(X$6&gt;0,$A942&lt;X$6),AND(X$7&gt;0,$A942&gt;X$7)),0,MAX(0,ROUND((INDEX($E942:$G942,X$5)-SUMIFS(TF_Timer,TF_Tekniker,X$4,TF_Dato,$A942))*2,0)/2)))</f>
        <v/>
      </c>
      <c r="Y942">
        <f>IF(OR(Y$4="",$A942&gt;TODAY()),0,IF(OR(INDEX($B942:$D942,Y$5)="F",AND(Y$6&gt;0,$A942&lt;Y$6),AND(Y$7&gt;0,$A942&gt;Y$7)),0,MAX(0,ROUND((INDEX($E942:$G942,Y$5)-SUMIFS(TF_Timer,TF_Tekniker,Y$4,TF_Dato,$A942))*2,0)/2)))</f>
        <v/>
      </c>
      <c r="Z942">
        <f>IF(OR(Z$4="",$A942&gt;TODAY()),0,IF(OR(INDEX($B942:$D942,Z$5)="F",AND(Z$6&gt;0,$A942&lt;Z$6),AND(Z$7&gt;0,$A942&gt;Z$7)),0,MAX(0,ROUND((INDEX($E942:$G942,Z$5)-SUMIFS(TF_Timer,TF_Tekniker,Z$4,TF_Dato,$A942))*2,0)/2)))</f>
        <v/>
      </c>
      <c r="AA942">
        <f>IF(OR(AA$4="",$A942&gt;TODAY()),0,IF(OR(INDEX($B942:$D942,AA$5)="F",AND(AA$6&gt;0,$A942&lt;AA$6),AND(AA$7&gt;0,$A942&gt;AA$7)),0,MAX(0,ROUND((INDEX($E942:$G942,AA$5)-SUMIFS(TF_Timer,TF_Tekniker,AA$4,TF_Dato,$A942))*2,0)/2)))</f>
        <v/>
      </c>
      <c r="AB942">
        <f>IF(OR(AB$4="",$A942&gt;TODAY()),0,IF(OR(INDEX($B942:$D942,AB$5)="F",AND(AB$6&gt;0,$A942&lt;AB$6),AND(AB$7&gt;0,$A942&gt;AB$7)),0,MAX(0,ROUND((INDEX($E942:$G942,AB$5)-SUMIFS(TF_Timer,TF_Tekniker,AB$4,TF_Dato,$A942))*2,0)/2)))</f>
        <v/>
      </c>
      <c r="AC942">
        <f>IF(OR(AC$4="",$A942&gt;TODAY()),0,IF(OR(INDEX($B942:$D942,AC$5)="F",AND(AC$6&gt;0,$A942&lt;AC$6),AND(AC$7&gt;0,$A942&gt;AC$7)),0,MAX(0,ROUND((INDEX($E942:$G942,AC$5)-SUMIFS(TF_Timer,TF_Tekniker,AC$4,TF_Dato,$A942))*2,0)/2)))</f>
        <v/>
      </c>
      <c r="AD942">
        <f>IF(OR(AD$4="",$A942&gt;TODAY()),0,IF(OR(INDEX($B942:$D942,AD$5)="F",AND(AD$6&gt;0,$A942&lt;AD$6),AND(AD$7&gt;0,$A942&gt;AD$7)),0,MAX(0,ROUND((INDEX($E942:$G942,AD$5)-SUMIFS(TF_Timer,TF_Tekniker,AD$4,TF_Dato,$A942))*2,0)/2)))</f>
        <v/>
      </c>
      <c r="AE942">
        <f>IF(OR(AE$4="",$A942&gt;TODAY()),0,IF(OR(INDEX($B942:$D942,AE$5)="F",AND(AE$6&gt;0,$A942&lt;AE$6),AND(AE$7&gt;0,$A942&gt;AE$7)),0,MAX(0,ROUND((INDEX($E942:$G942,AE$5)-SUMIFS(TF_Timer,TF_Tekniker,AE$4,TF_Dato,$A942))*2,0)/2)))</f>
        <v/>
      </c>
      <c r="AF942">
        <f>IF(OR(AF$4="",$A942&gt;TODAY()),0,IF(OR(INDEX($B942:$D942,AF$5)="F",AND(AF$6&gt;0,$A942&lt;AF$6),AND(AF$7&gt;0,$A942&gt;AF$7)),0,MAX(0,ROUND((INDEX($E942:$G942,AF$5)-SUMIFS(TF_Timer,TF_Tekniker,AF$4,TF_Dato,$A942))*2,0)/2)))</f>
        <v/>
      </c>
      <c r="AG942">
        <f>IF(OR(AG$4="",$A942&gt;TODAY()),0,IF(OR(INDEX($B942:$D942,AG$5)="F",AND(AG$6&gt;0,$A942&lt;AG$6),AND(AG$7&gt;0,$A942&gt;AG$7)),0,MAX(0,ROUND((INDEX($E942:$G942,AG$5)-SUMIFS(TF_Timer,TF_Tekniker,AG$4,TF_Dato,$A942))*2,0)/2)))</f>
        <v/>
      </c>
      <c r="AH942">
        <f>IF(OR(AH$4="",$A942&gt;TODAY()),0,IF(OR(INDEX($B942:$D942,AH$5)="F",AND(AH$6&gt;0,$A942&lt;AH$6),AND(AH$7&gt;0,$A942&gt;AH$7)),0,MAX(0,ROUND((INDEX($E942:$G942,AH$5)-SUMIFS(TF_Timer,TF_Tekniker,AH$4,TF_Dato,$A942))*2,0)/2)))</f>
        <v/>
      </c>
      <c r="AI942">
        <f>IF(OR(AI$4="",$A942&gt;TODAY()),0,IF(OR(INDEX($B942:$D942,AI$5)="F",AND(AI$6&gt;0,$A942&lt;AI$6),AND(AI$7&gt;0,$A942&gt;AI$7)),0,MAX(0,ROUND((INDEX($E942:$G942,AI$5)-SUMIFS(TF_Timer,TF_Tekniker,AI$4,TF_Dato,$A942))*2,0)/2)))</f>
        <v/>
      </c>
      <c r="AJ942">
        <f>IF(OR(AJ$4="",$A942&gt;TODAY()),0,IF(OR(INDEX($B942:$D942,AJ$5)="F",AND(AJ$6&gt;0,$A942&lt;AJ$6),AND(AJ$7&gt;0,$A942&gt;AJ$7)),0,MAX(0,ROUND((INDEX($E942:$G942,AJ$5)-SUMIFS(TF_Timer,TF_Tekniker,AJ$4,TF_Dato,$A942))*2,0)/2)))</f>
        <v/>
      </c>
      <c r="AK942">
        <f>IF(OR(AK$4="",$A942&gt;TODAY()),0,IF(OR(INDEX($B942:$D942,AK$5)="F",AND(AK$6&gt;0,$A942&lt;AK$6),AND(AK$7&gt;0,$A942&gt;AK$7)),0,MAX(0,ROUND((INDEX($E942:$G942,AK$5)-SUMIFS(TF_Timer,TF_Tekniker,AK$4,TF_Dato,$A942))*2,0)/2)))</f>
        <v/>
      </c>
      <c r="AL942">
        <f>IF(OR(AL$4="",$A942&gt;TODAY()),0,IF(OR(INDEX($B942:$D942,AL$5)="F",AND(AL$6&gt;0,$A942&lt;AL$6),AND(AL$7&gt;0,$A942&gt;AL$7)),0,MAX(0,ROUND((INDEX($E942:$G942,AL$5)-SUMIFS(TF_Timer,TF_Tekniker,AL$4,TF_Dato,$A942))*2,0)/2)))</f>
        <v/>
      </c>
      <c r="AM942">
        <f>IF(OR(AM$4="",$A942&gt;TODAY()),0,IF(OR(INDEX($B942:$D942,AM$5)="F",AND(AM$6&gt;0,$A942&lt;AM$6),AND(AM$7&gt;0,$A942&gt;AM$7)),0,MAX(0,ROUND((INDEX($E942:$G942,AM$5)-SUMIFS(TF_Timer,TF_Tekniker,AM$4,TF_Dato,$A942))*2,0)/2)))</f>
        <v/>
      </c>
      <c r="AN942">
        <f>IF(OR(AN$4="",$A942&gt;TODAY()),0,IF(OR(INDEX($B942:$D942,AN$5)="F",AND(AN$6&gt;0,$A942&lt;AN$6),AND(AN$7&gt;0,$A942&gt;AN$7)),0,MAX(0,ROUND((INDEX($E942:$G942,AN$5)-SUMIFS(TF_Timer,TF_Tekniker,AN$4,TF_Dato,$A942))*2,0)/2)))</f>
        <v/>
      </c>
      <c r="AO942">
        <f>IF(OR(AO$4="",$A942&gt;TODAY()),0,IF(OR(INDEX($B942:$D942,AO$5)="F",AND(AO$6&gt;0,$A942&lt;AO$6),AND(AO$7&gt;0,$A942&gt;AO$7)),0,MAX(0,ROUND((INDEX($E942:$G942,AO$5)-SUMIFS(TF_Timer,TF_Tekniker,AO$4,TF_Dato,$A942))*2,0)/2)))</f>
        <v/>
      </c>
      <c r="AP942">
        <f>IF(OR(AP$4="",$A942&gt;TODAY()),0,IF(OR(INDEX($B942:$D942,AP$5)="F",AND(AP$6&gt;0,$A942&lt;AP$6),AND(AP$7&gt;0,$A942&gt;AP$7)),0,MAX(0,ROUND((INDEX($E942:$G942,AP$5)-SUMIFS(TF_Timer,TF_Tekniker,AP$4,TF_Dato,$A942))*2,0)/2)))</f>
        <v/>
      </c>
      <c r="AQ942">
        <f>IF(OR(AQ$4="",$A942&gt;TODAY()),0,IF(OR(INDEX($B942:$D942,AQ$5)="F",AND(AQ$6&gt;0,$A942&lt;AQ$6),AND(AQ$7&gt;0,$A942&gt;AQ$7)),0,MAX(0,ROUND((INDEX($E942:$G942,AQ$5)-SUMIFS(TF_Timer,TF_Tekniker,AQ$4,TF_Dato,$A942))*2,0)/2)))</f>
        <v/>
      </c>
      <c r="AR942">
        <f>IF(OR(AR$4="",$A942&gt;TODAY()),0,IF(OR(INDEX($B942:$D942,AR$5)="F",AND(AR$6&gt;0,$A942&lt;AR$6),AND(AR$7&gt;0,$A942&gt;AR$7)),0,MAX(0,ROUND((INDEX($E942:$G942,AR$5)-SUMIFS(TF_Timer,TF_Tekniker,AR$4,TF_Dato,$A942))*2,0)/2)))</f>
        <v/>
      </c>
      <c r="AS942">
        <f>IF(OR(AS$4="",$A942&gt;TODAY()),0,IF(OR(INDEX($B942:$D942,AS$5)="F",AND(AS$6&gt;0,$A942&lt;AS$6),AND(AS$7&gt;0,$A942&gt;AS$7)),0,MAX(0,ROUND((INDEX($E942:$G942,AS$5)-SUMIFS(TF_Timer,TF_Tekniker,AS$4,TF_Dato,$A942))*2,0)/2)))</f>
        <v/>
      </c>
      <c r="AT942">
        <f>IF(OR(AT$4="",$A942&gt;TODAY()),0,IF(OR(INDEX($B942:$D942,AT$5)="F",AND(AT$6&gt;0,$A942&lt;AT$6),AND(AT$7&gt;0,$A942&gt;AT$7)),0,MAX(0,ROUND((INDEX($E942:$G942,AT$5)-SUMIFS(TF_Timer,TF_Tekniker,AT$4,TF_Dato,$A942))*2,0)/2)))</f>
        <v/>
      </c>
      <c r="AU942">
        <f>IF(OR(AU$4="",$A942&gt;TODAY()),0,IF(OR(INDEX($B942:$D942,AU$5)="F",AND(AU$6&gt;0,$A942&lt;AU$6),AND(AU$7&gt;0,$A942&gt;AU$7)),0,MAX(0,ROUND((INDEX($E942:$G942,AU$5)-SUMIFS(TF_Timer,TF_Tekniker,AU$4,TF_Dato,$A942))*2,0)/2)))</f>
        <v/>
      </c>
      <c r="AV942">
        <f>IF(OR(AV$4="",$A942&gt;TODAY()),0,IF(OR(INDEX($B942:$D942,AV$5)="F",AND(AV$6&gt;0,$A942&lt;AV$6),AND(AV$7&gt;0,$A942&gt;AV$7)),0,MAX(0,ROUND((INDEX($E942:$G942,AV$5)-SUMIFS(TF_Timer,TF_Tekniker,AV$4,TF_Dato,$A942))*2,0)/2)))</f>
        <v/>
      </c>
      <c r="AW942">
        <f>IF(OR(AW$4="",$A942&gt;TODAY()),0,IF(OR(INDEX($B942:$D942,AW$5)="F",AND(AW$6&gt;0,$A942&lt;AW$6),AND(AW$7&gt;0,$A942&gt;AW$7)),0,MAX(0,ROUND((INDEX($E942:$G942,AW$5)-SUMIFS(TF_Timer,TF_Tekniker,AW$4,TF_Dato,$A942))*2,0)/2)))</f>
        <v/>
      </c>
      <c r="AX942">
        <f>IF(OR(AX$4="",$A942&gt;TODAY()),0,IF(OR(INDEX($B942:$D942,AX$5)="F",AND(AX$6&gt;0,$A942&lt;AX$6),AND(AX$7&gt;0,$A942&gt;AX$7)),0,MAX(0,ROUND((INDEX($E942:$G942,AX$5)-SUMIFS(TF_Timer,TF_Tekniker,AX$4,TF_Dato,$A942))*2,0)/2)))</f>
        <v/>
      </c>
      <c r="AY942">
        <f>IF(OR(AY$4="",$A942&gt;TODAY()),0,IF(OR(INDEX($B942:$D942,AY$5)="F",AND(AY$6&gt;0,$A942&lt;AY$6),AND(AY$7&gt;0,$A942&gt;AY$7)),0,MAX(0,ROUND((INDEX($E942:$G942,AY$5)-SUMIFS(TF_Timer,TF_Tekniker,AY$4,TF_Dato,$A942))*2,0)/2)))</f>
        <v/>
      </c>
      <c r="AZ942">
        <f>IF(OR(AZ$4="",$A942&gt;TODAY()),0,IF(OR(INDEX($B942:$D942,AZ$5)="F",AND(AZ$6&gt;0,$A942&lt;AZ$6),AND(AZ$7&gt;0,$A942&gt;AZ$7)),0,MAX(0,ROUND((INDEX($E942:$G942,AZ$5)-SUMIFS(TF_Timer,TF_Tekniker,AZ$4,TF_Dato,$A942))*2,0)/2)))</f>
        <v/>
      </c>
      <c r="BA942">
        <f>IF(OR(BA$4="",$A942&gt;TODAY()),0,IF(OR(INDEX($B942:$D942,BA$5)="F",AND(BA$6&gt;0,$A942&lt;BA$6),AND(BA$7&gt;0,$A942&gt;BA$7)),0,MAX(0,ROUND((INDEX($E942:$G942,BA$5)-SUMIFS(TF_Timer,TF_Tekniker,BA$4,TF_Dato,$A942))*2,0)/2)))</f>
        <v/>
      </c>
      <c r="BB942">
        <f>IF(OR(BB$4="",$A942&gt;TODAY()),0,IF(OR(INDEX($B942:$D942,BB$5)="F",AND(BB$6&gt;0,$A942&lt;BB$6),AND(BB$7&gt;0,$A942&gt;BB$7)),0,MAX(0,ROUND((INDEX($E942:$G942,BB$5)-SUMIFS(TF_Timer,TF_Tekniker,BB$4,TF_Dato,$A942))*2,0)/2)))</f>
        <v/>
      </c>
      <c r="BC942">
        <f>IF(OR(BC$4="",$A942&gt;TODAY()),0,IF(OR(INDEX($B942:$D942,BC$5)="F",AND(BC$6&gt;0,$A942&lt;BC$6),AND(BC$7&gt;0,$A942&gt;BC$7)),0,MAX(0,ROUND((INDEX($E942:$G942,BC$5)-SUMIFS(TF_Timer,TF_Tekniker,BC$4,TF_Dato,$A942))*2,0)/2)))</f>
        <v/>
      </c>
      <c r="BD942">
        <f>IF(OR(BD$4="",$A942&gt;TODAY()),0,IF(OR(INDEX($B942:$D942,BD$5)="F",AND(BD$6&gt;0,$A942&lt;BD$6),AND(BD$7&gt;0,$A942&gt;BD$7)),0,MAX(0,ROUND((INDEX($E942:$G942,BD$5)-SUMIFS(TF_Timer,TF_Tekniker,BD$4,TF_Dato,$A942))*2,0)/2)))</f>
        <v/>
      </c>
      <c r="BE942">
        <f>IF(OR(BE$4="",$A942&gt;TODAY()),0,IF(OR(INDEX($B942:$D942,BE$5)="F",AND(BE$6&gt;0,$A942&lt;BE$6),AND(BE$7&gt;0,$A942&gt;BE$7)),0,MAX(0,ROUND((INDEX($E942:$G942,BE$5)-SUMIFS(TF_Timer,TF_Tekniker,BE$4,TF_Dato,$A942))*2,0)/2)))</f>
        <v/>
      </c>
      <c r="BF942">
        <f>IF(OR(BF$4="",$A942&gt;TODAY()),0,IF(OR(INDEX($B942:$D942,BF$5)="F",AND(BF$6&gt;0,$A942&lt;BF$6),AND(BF$7&gt;0,$A942&gt;BF$7)),0,MAX(0,ROUND((INDEX($E942:$G942,BF$5)-SUMIFS(TF_Timer,TF_Tekniker,BF$4,TF_Dato,$A942))*2,0)/2)))</f>
        <v/>
      </c>
      <c r="BG942">
        <f>IF(OR(BG$4="",$A942&gt;TODAY()),0,IF(OR(INDEX($B942:$D942,BG$5)="F",AND(BG$6&gt;0,$A942&lt;BG$6),AND(BG$7&gt;0,$A942&gt;BG$7)),0,MAX(0,ROUND((INDEX($E942:$G942,BG$5)-SUMIFS(TF_Timer,TF_Tekniker,BG$4,TF_Dato,$A942))*2,0)/2)))</f>
        <v/>
      </c>
      <c r="BH942">
        <f>IF(OR(BH$4="",$A942&gt;TODAY()),0,IF(OR(INDEX($B942:$D942,BH$5)="F",AND(BH$6&gt;0,$A942&lt;BH$6),AND(BH$7&gt;0,$A942&gt;BH$7)),0,MAX(0,ROUND((INDEX($E942:$G942,BH$5)-SUMIFS(TF_Timer,TF_Tekniker,BH$4,TF_Dato,$A942))*2,0)/2)))</f>
        <v/>
      </c>
      <c r="BI942">
        <f>IF(OR(BI$4="",$A942&gt;TODAY()),0,IF(OR(INDEX($B942:$D942,BI$5)="F",AND(BI$6&gt;0,$A942&lt;BI$6),AND(BI$7&gt;0,$A942&gt;BI$7)),0,MAX(0,ROUND((INDEX($E942:$G942,BI$5)-SUMIFS(TF_Timer,TF_Tekniker,BI$4,TF_Dato,$A942))*2,0)/2)))</f>
        <v/>
      </c>
    </row>
    <row r="943">
      <c r="A943" s="64">
        <f>A942+1</f>
        <v/>
      </c>
      <c r="B943">
        <f>IF(MOD($A943-INDEX(SkiftStart,1),Syklus)&lt;DagK,"K",IF(MOD($A943-INDEX(SkiftStart,1),Syklus)&lt;DagK+DagH,"H",IF(MOD($A943-INDEX(SkiftStart,1),Syklus)&lt;DagK+DagH+DagD,"D","F")))</f>
        <v/>
      </c>
      <c r="C943">
        <f>IF(MOD($A943-INDEX(SkiftStart,2),Syklus)&lt;DagK,"K",IF(MOD($A943-INDEX(SkiftStart,2),Syklus)&lt;DagK+DagH,"H",IF(MOD($A943-INDEX(SkiftStart,2),Syklus)&lt;DagK+DagH+DagD,"D","F")))</f>
        <v/>
      </c>
      <c r="D943">
        <f>IF(MOD($A943-INDEX(SkiftStart,3),Syklus)&lt;DagK,"K",IF(MOD($A943-INDEX(SkiftStart,3),Syklus)&lt;DagK+DagH,"H",IF(MOD($A943-INDEX(SkiftStart,3),Syklus)&lt;DagK+DagH+DagD,"D","F")))</f>
        <v/>
      </c>
      <c r="E943">
        <f>IF(B943="F",0,IF(WEEKDAY($A943,2)=5,INDEX(TimerFr,MATCH(B943,FaseKode,0)),INDEX(TimerMT,MATCH(B943,FaseKode,0))))</f>
        <v/>
      </c>
      <c r="F943">
        <f>IF(C943="F",0,IF(WEEKDAY($A943,2)=5,INDEX(TimerFr,MATCH(C943,FaseKode,0)),INDEX(TimerMT,MATCH(C943,FaseKode,0))))</f>
        <v/>
      </c>
      <c r="G943">
        <f>IF(D943="F",0,IF(WEEKDAY($A943,2)=5,INDEX(TimerFr,MATCH(D943,FaseKode,0)),INDEX(TimerMT,MATCH(D943,FaseKode,0))))</f>
        <v/>
      </c>
      <c r="H943">
        <f>IF(OR(H$4="",$A943&gt;TODAY()),0,IF(OR(INDEX($B943:$D943,H$5)="F",AND(H$6&gt;0,$A943&lt;H$6),AND(H$7&gt;0,$A943&gt;H$7)),0,MAX(0,ROUND((INDEX($E943:$G943,H$5)-SUMIFS(TF_Timer,TF_Tekniker,H$4,TF_Dato,$A943))*2,0)/2)))</f>
        <v/>
      </c>
      <c r="I943">
        <f>IF(OR(I$4="",$A943&gt;TODAY()),0,IF(OR(INDEX($B943:$D943,I$5)="F",AND(I$6&gt;0,$A943&lt;I$6),AND(I$7&gt;0,$A943&gt;I$7)),0,MAX(0,ROUND((INDEX($E943:$G943,I$5)-SUMIFS(TF_Timer,TF_Tekniker,I$4,TF_Dato,$A943))*2,0)/2)))</f>
        <v/>
      </c>
      <c r="J943">
        <f>IF(OR(J$4="",$A943&gt;TODAY()),0,IF(OR(INDEX($B943:$D943,J$5)="F",AND(J$6&gt;0,$A943&lt;J$6),AND(J$7&gt;0,$A943&gt;J$7)),0,MAX(0,ROUND((INDEX($E943:$G943,J$5)-SUMIFS(TF_Timer,TF_Tekniker,J$4,TF_Dato,$A943))*2,0)/2)))</f>
        <v/>
      </c>
      <c r="K943">
        <f>IF(OR(K$4="",$A943&gt;TODAY()),0,IF(OR(INDEX($B943:$D943,K$5)="F",AND(K$6&gt;0,$A943&lt;K$6),AND(K$7&gt;0,$A943&gt;K$7)),0,MAX(0,ROUND((INDEX($E943:$G943,K$5)-SUMIFS(TF_Timer,TF_Tekniker,K$4,TF_Dato,$A943))*2,0)/2)))</f>
        <v/>
      </c>
      <c r="L943">
        <f>IF(OR(L$4="",$A943&gt;TODAY()),0,IF(OR(INDEX($B943:$D943,L$5)="F",AND(L$6&gt;0,$A943&lt;L$6),AND(L$7&gt;0,$A943&gt;L$7)),0,MAX(0,ROUND((INDEX($E943:$G943,L$5)-SUMIFS(TF_Timer,TF_Tekniker,L$4,TF_Dato,$A943))*2,0)/2)))</f>
        <v/>
      </c>
      <c r="M943">
        <f>IF(OR(M$4="",$A943&gt;TODAY()),0,IF(OR(INDEX($B943:$D943,M$5)="F",AND(M$6&gt;0,$A943&lt;M$6),AND(M$7&gt;0,$A943&gt;M$7)),0,MAX(0,ROUND((INDEX($E943:$G943,M$5)-SUMIFS(TF_Timer,TF_Tekniker,M$4,TF_Dato,$A943))*2,0)/2)))</f>
        <v/>
      </c>
      <c r="N943">
        <f>IF(OR(N$4="",$A943&gt;TODAY()),0,IF(OR(INDEX($B943:$D943,N$5)="F",AND(N$6&gt;0,$A943&lt;N$6),AND(N$7&gt;0,$A943&gt;N$7)),0,MAX(0,ROUND((INDEX($E943:$G943,N$5)-SUMIFS(TF_Timer,TF_Tekniker,N$4,TF_Dato,$A943))*2,0)/2)))</f>
        <v/>
      </c>
      <c r="O943">
        <f>IF(OR(O$4="",$A943&gt;TODAY()),0,IF(OR(INDEX($B943:$D943,O$5)="F",AND(O$6&gt;0,$A943&lt;O$6),AND(O$7&gt;0,$A943&gt;O$7)),0,MAX(0,ROUND((INDEX($E943:$G943,O$5)-SUMIFS(TF_Timer,TF_Tekniker,O$4,TF_Dato,$A943))*2,0)/2)))</f>
        <v/>
      </c>
      <c r="P943">
        <f>IF(OR(P$4="",$A943&gt;TODAY()),0,IF(OR(INDEX($B943:$D943,P$5)="F",AND(P$6&gt;0,$A943&lt;P$6),AND(P$7&gt;0,$A943&gt;P$7)),0,MAX(0,ROUND((INDEX($E943:$G943,P$5)-SUMIFS(TF_Timer,TF_Tekniker,P$4,TF_Dato,$A943))*2,0)/2)))</f>
        <v/>
      </c>
      <c r="Q943">
        <f>IF(OR(Q$4="",$A943&gt;TODAY()),0,IF(OR(INDEX($B943:$D943,Q$5)="F",AND(Q$6&gt;0,$A943&lt;Q$6),AND(Q$7&gt;0,$A943&gt;Q$7)),0,MAX(0,ROUND((INDEX($E943:$G943,Q$5)-SUMIFS(TF_Timer,TF_Tekniker,Q$4,TF_Dato,$A943))*2,0)/2)))</f>
        <v/>
      </c>
      <c r="R943">
        <f>IF(OR(R$4="",$A943&gt;TODAY()),0,IF(OR(INDEX($B943:$D943,R$5)="F",AND(R$6&gt;0,$A943&lt;R$6),AND(R$7&gt;0,$A943&gt;R$7)),0,MAX(0,ROUND((INDEX($E943:$G943,R$5)-SUMIFS(TF_Timer,TF_Tekniker,R$4,TF_Dato,$A943))*2,0)/2)))</f>
        <v/>
      </c>
      <c r="S943">
        <f>IF(OR(S$4="",$A943&gt;TODAY()),0,IF(OR(INDEX($B943:$D943,S$5)="F",AND(S$6&gt;0,$A943&lt;S$6),AND(S$7&gt;0,$A943&gt;S$7)),0,MAX(0,ROUND((INDEX($E943:$G943,S$5)-SUMIFS(TF_Timer,TF_Tekniker,S$4,TF_Dato,$A943))*2,0)/2)))</f>
        <v/>
      </c>
      <c r="T943">
        <f>IF(OR(T$4="",$A943&gt;TODAY()),0,IF(OR(INDEX($B943:$D943,T$5)="F",AND(T$6&gt;0,$A943&lt;T$6),AND(T$7&gt;0,$A943&gt;T$7)),0,MAX(0,ROUND((INDEX($E943:$G943,T$5)-SUMIFS(TF_Timer,TF_Tekniker,T$4,TF_Dato,$A943))*2,0)/2)))</f>
        <v/>
      </c>
      <c r="U943">
        <f>IF(OR(U$4="",$A943&gt;TODAY()),0,IF(OR(INDEX($B943:$D943,U$5)="F",AND(U$6&gt;0,$A943&lt;U$6),AND(U$7&gt;0,$A943&gt;U$7)),0,MAX(0,ROUND((INDEX($E943:$G943,U$5)-SUMIFS(TF_Timer,TF_Tekniker,U$4,TF_Dato,$A943))*2,0)/2)))</f>
        <v/>
      </c>
      <c r="V943">
        <f>IF(OR(V$4="",$A943&gt;TODAY()),0,IF(OR(INDEX($B943:$D943,V$5)="F",AND(V$6&gt;0,$A943&lt;V$6),AND(V$7&gt;0,$A943&gt;V$7)),0,MAX(0,ROUND((INDEX($E943:$G943,V$5)-SUMIFS(TF_Timer,TF_Tekniker,V$4,TF_Dato,$A943))*2,0)/2)))</f>
        <v/>
      </c>
      <c r="W943">
        <f>IF(OR(W$4="",$A943&gt;TODAY()),0,IF(OR(INDEX($B943:$D943,W$5)="F",AND(W$6&gt;0,$A943&lt;W$6),AND(W$7&gt;0,$A943&gt;W$7)),0,MAX(0,ROUND((INDEX($E943:$G943,W$5)-SUMIFS(TF_Timer,TF_Tekniker,W$4,TF_Dato,$A943))*2,0)/2)))</f>
        <v/>
      </c>
      <c r="X943">
        <f>IF(OR(X$4="",$A943&gt;TODAY()),0,IF(OR(INDEX($B943:$D943,X$5)="F",AND(X$6&gt;0,$A943&lt;X$6),AND(X$7&gt;0,$A943&gt;X$7)),0,MAX(0,ROUND((INDEX($E943:$G943,X$5)-SUMIFS(TF_Timer,TF_Tekniker,X$4,TF_Dato,$A943))*2,0)/2)))</f>
        <v/>
      </c>
      <c r="Y943">
        <f>IF(OR(Y$4="",$A943&gt;TODAY()),0,IF(OR(INDEX($B943:$D943,Y$5)="F",AND(Y$6&gt;0,$A943&lt;Y$6),AND(Y$7&gt;0,$A943&gt;Y$7)),0,MAX(0,ROUND((INDEX($E943:$G943,Y$5)-SUMIFS(TF_Timer,TF_Tekniker,Y$4,TF_Dato,$A943))*2,0)/2)))</f>
        <v/>
      </c>
      <c r="Z943">
        <f>IF(OR(Z$4="",$A943&gt;TODAY()),0,IF(OR(INDEX($B943:$D943,Z$5)="F",AND(Z$6&gt;0,$A943&lt;Z$6),AND(Z$7&gt;0,$A943&gt;Z$7)),0,MAX(0,ROUND((INDEX($E943:$G943,Z$5)-SUMIFS(TF_Timer,TF_Tekniker,Z$4,TF_Dato,$A943))*2,0)/2)))</f>
        <v/>
      </c>
      <c r="AA943">
        <f>IF(OR(AA$4="",$A943&gt;TODAY()),0,IF(OR(INDEX($B943:$D943,AA$5)="F",AND(AA$6&gt;0,$A943&lt;AA$6),AND(AA$7&gt;0,$A943&gt;AA$7)),0,MAX(0,ROUND((INDEX($E943:$G943,AA$5)-SUMIFS(TF_Timer,TF_Tekniker,AA$4,TF_Dato,$A943))*2,0)/2)))</f>
        <v/>
      </c>
      <c r="AB943">
        <f>IF(OR(AB$4="",$A943&gt;TODAY()),0,IF(OR(INDEX($B943:$D943,AB$5)="F",AND(AB$6&gt;0,$A943&lt;AB$6),AND(AB$7&gt;0,$A943&gt;AB$7)),0,MAX(0,ROUND((INDEX($E943:$G943,AB$5)-SUMIFS(TF_Timer,TF_Tekniker,AB$4,TF_Dato,$A943))*2,0)/2)))</f>
        <v/>
      </c>
      <c r="AC943">
        <f>IF(OR(AC$4="",$A943&gt;TODAY()),0,IF(OR(INDEX($B943:$D943,AC$5)="F",AND(AC$6&gt;0,$A943&lt;AC$6),AND(AC$7&gt;0,$A943&gt;AC$7)),0,MAX(0,ROUND((INDEX($E943:$G943,AC$5)-SUMIFS(TF_Timer,TF_Tekniker,AC$4,TF_Dato,$A943))*2,0)/2)))</f>
        <v/>
      </c>
      <c r="AD943">
        <f>IF(OR(AD$4="",$A943&gt;TODAY()),0,IF(OR(INDEX($B943:$D943,AD$5)="F",AND(AD$6&gt;0,$A943&lt;AD$6),AND(AD$7&gt;0,$A943&gt;AD$7)),0,MAX(0,ROUND((INDEX($E943:$G943,AD$5)-SUMIFS(TF_Timer,TF_Tekniker,AD$4,TF_Dato,$A943))*2,0)/2)))</f>
        <v/>
      </c>
      <c r="AE943">
        <f>IF(OR(AE$4="",$A943&gt;TODAY()),0,IF(OR(INDEX($B943:$D943,AE$5)="F",AND(AE$6&gt;0,$A943&lt;AE$6),AND(AE$7&gt;0,$A943&gt;AE$7)),0,MAX(0,ROUND((INDEX($E943:$G943,AE$5)-SUMIFS(TF_Timer,TF_Tekniker,AE$4,TF_Dato,$A943))*2,0)/2)))</f>
        <v/>
      </c>
      <c r="AF943">
        <f>IF(OR(AF$4="",$A943&gt;TODAY()),0,IF(OR(INDEX($B943:$D943,AF$5)="F",AND(AF$6&gt;0,$A943&lt;AF$6),AND(AF$7&gt;0,$A943&gt;AF$7)),0,MAX(0,ROUND((INDEX($E943:$G943,AF$5)-SUMIFS(TF_Timer,TF_Tekniker,AF$4,TF_Dato,$A943))*2,0)/2)))</f>
        <v/>
      </c>
      <c r="AG943">
        <f>IF(OR(AG$4="",$A943&gt;TODAY()),0,IF(OR(INDEX($B943:$D943,AG$5)="F",AND(AG$6&gt;0,$A943&lt;AG$6),AND(AG$7&gt;0,$A943&gt;AG$7)),0,MAX(0,ROUND((INDEX($E943:$G943,AG$5)-SUMIFS(TF_Timer,TF_Tekniker,AG$4,TF_Dato,$A943))*2,0)/2)))</f>
        <v/>
      </c>
      <c r="AH943">
        <f>IF(OR(AH$4="",$A943&gt;TODAY()),0,IF(OR(INDEX($B943:$D943,AH$5)="F",AND(AH$6&gt;0,$A943&lt;AH$6),AND(AH$7&gt;0,$A943&gt;AH$7)),0,MAX(0,ROUND((INDEX($E943:$G943,AH$5)-SUMIFS(TF_Timer,TF_Tekniker,AH$4,TF_Dato,$A943))*2,0)/2)))</f>
        <v/>
      </c>
      <c r="AI943">
        <f>IF(OR(AI$4="",$A943&gt;TODAY()),0,IF(OR(INDEX($B943:$D943,AI$5)="F",AND(AI$6&gt;0,$A943&lt;AI$6),AND(AI$7&gt;0,$A943&gt;AI$7)),0,MAX(0,ROUND((INDEX($E943:$G943,AI$5)-SUMIFS(TF_Timer,TF_Tekniker,AI$4,TF_Dato,$A943))*2,0)/2)))</f>
        <v/>
      </c>
      <c r="AJ943">
        <f>IF(OR(AJ$4="",$A943&gt;TODAY()),0,IF(OR(INDEX($B943:$D943,AJ$5)="F",AND(AJ$6&gt;0,$A943&lt;AJ$6),AND(AJ$7&gt;0,$A943&gt;AJ$7)),0,MAX(0,ROUND((INDEX($E943:$G943,AJ$5)-SUMIFS(TF_Timer,TF_Tekniker,AJ$4,TF_Dato,$A943))*2,0)/2)))</f>
        <v/>
      </c>
      <c r="AK943">
        <f>IF(OR(AK$4="",$A943&gt;TODAY()),0,IF(OR(INDEX($B943:$D943,AK$5)="F",AND(AK$6&gt;0,$A943&lt;AK$6),AND(AK$7&gt;0,$A943&gt;AK$7)),0,MAX(0,ROUND((INDEX($E943:$G943,AK$5)-SUMIFS(TF_Timer,TF_Tekniker,AK$4,TF_Dato,$A943))*2,0)/2)))</f>
        <v/>
      </c>
      <c r="AL943">
        <f>IF(OR(AL$4="",$A943&gt;TODAY()),0,IF(OR(INDEX($B943:$D943,AL$5)="F",AND(AL$6&gt;0,$A943&lt;AL$6),AND(AL$7&gt;0,$A943&gt;AL$7)),0,MAX(0,ROUND((INDEX($E943:$G943,AL$5)-SUMIFS(TF_Timer,TF_Tekniker,AL$4,TF_Dato,$A943))*2,0)/2)))</f>
        <v/>
      </c>
      <c r="AM943">
        <f>IF(OR(AM$4="",$A943&gt;TODAY()),0,IF(OR(INDEX($B943:$D943,AM$5)="F",AND(AM$6&gt;0,$A943&lt;AM$6),AND(AM$7&gt;0,$A943&gt;AM$7)),0,MAX(0,ROUND((INDEX($E943:$G943,AM$5)-SUMIFS(TF_Timer,TF_Tekniker,AM$4,TF_Dato,$A943))*2,0)/2)))</f>
        <v/>
      </c>
      <c r="AN943">
        <f>IF(OR(AN$4="",$A943&gt;TODAY()),0,IF(OR(INDEX($B943:$D943,AN$5)="F",AND(AN$6&gt;0,$A943&lt;AN$6),AND(AN$7&gt;0,$A943&gt;AN$7)),0,MAX(0,ROUND((INDEX($E943:$G943,AN$5)-SUMIFS(TF_Timer,TF_Tekniker,AN$4,TF_Dato,$A943))*2,0)/2)))</f>
        <v/>
      </c>
      <c r="AO943">
        <f>IF(OR(AO$4="",$A943&gt;TODAY()),0,IF(OR(INDEX($B943:$D943,AO$5)="F",AND(AO$6&gt;0,$A943&lt;AO$6),AND(AO$7&gt;0,$A943&gt;AO$7)),0,MAX(0,ROUND((INDEX($E943:$G943,AO$5)-SUMIFS(TF_Timer,TF_Tekniker,AO$4,TF_Dato,$A943))*2,0)/2)))</f>
        <v/>
      </c>
      <c r="AP943">
        <f>IF(OR(AP$4="",$A943&gt;TODAY()),0,IF(OR(INDEX($B943:$D943,AP$5)="F",AND(AP$6&gt;0,$A943&lt;AP$6),AND(AP$7&gt;0,$A943&gt;AP$7)),0,MAX(0,ROUND((INDEX($E943:$G943,AP$5)-SUMIFS(TF_Timer,TF_Tekniker,AP$4,TF_Dato,$A943))*2,0)/2)))</f>
        <v/>
      </c>
      <c r="AQ943">
        <f>IF(OR(AQ$4="",$A943&gt;TODAY()),0,IF(OR(INDEX($B943:$D943,AQ$5)="F",AND(AQ$6&gt;0,$A943&lt;AQ$6),AND(AQ$7&gt;0,$A943&gt;AQ$7)),0,MAX(0,ROUND((INDEX($E943:$G943,AQ$5)-SUMIFS(TF_Timer,TF_Tekniker,AQ$4,TF_Dato,$A943))*2,0)/2)))</f>
        <v/>
      </c>
      <c r="AR943">
        <f>IF(OR(AR$4="",$A943&gt;TODAY()),0,IF(OR(INDEX($B943:$D943,AR$5)="F",AND(AR$6&gt;0,$A943&lt;AR$6),AND(AR$7&gt;0,$A943&gt;AR$7)),0,MAX(0,ROUND((INDEX($E943:$G943,AR$5)-SUMIFS(TF_Timer,TF_Tekniker,AR$4,TF_Dato,$A943))*2,0)/2)))</f>
        <v/>
      </c>
      <c r="AS943">
        <f>IF(OR(AS$4="",$A943&gt;TODAY()),0,IF(OR(INDEX($B943:$D943,AS$5)="F",AND(AS$6&gt;0,$A943&lt;AS$6),AND(AS$7&gt;0,$A943&gt;AS$7)),0,MAX(0,ROUND((INDEX($E943:$G943,AS$5)-SUMIFS(TF_Timer,TF_Tekniker,AS$4,TF_Dato,$A943))*2,0)/2)))</f>
        <v/>
      </c>
      <c r="AT943">
        <f>IF(OR(AT$4="",$A943&gt;TODAY()),0,IF(OR(INDEX($B943:$D943,AT$5)="F",AND(AT$6&gt;0,$A943&lt;AT$6),AND(AT$7&gt;0,$A943&gt;AT$7)),0,MAX(0,ROUND((INDEX($E943:$G943,AT$5)-SUMIFS(TF_Timer,TF_Tekniker,AT$4,TF_Dato,$A943))*2,0)/2)))</f>
        <v/>
      </c>
      <c r="AU943">
        <f>IF(OR(AU$4="",$A943&gt;TODAY()),0,IF(OR(INDEX($B943:$D943,AU$5)="F",AND(AU$6&gt;0,$A943&lt;AU$6),AND(AU$7&gt;0,$A943&gt;AU$7)),0,MAX(0,ROUND((INDEX($E943:$G943,AU$5)-SUMIFS(TF_Timer,TF_Tekniker,AU$4,TF_Dato,$A943))*2,0)/2)))</f>
        <v/>
      </c>
      <c r="AV943">
        <f>IF(OR(AV$4="",$A943&gt;TODAY()),0,IF(OR(INDEX($B943:$D943,AV$5)="F",AND(AV$6&gt;0,$A943&lt;AV$6),AND(AV$7&gt;0,$A943&gt;AV$7)),0,MAX(0,ROUND((INDEX($E943:$G943,AV$5)-SUMIFS(TF_Timer,TF_Tekniker,AV$4,TF_Dato,$A943))*2,0)/2)))</f>
        <v/>
      </c>
      <c r="AW943">
        <f>IF(OR(AW$4="",$A943&gt;TODAY()),0,IF(OR(INDEX($B943:$D943,AW$5)="F",AND(AW$6&gt;0,$A943&lt;AW$6),AND(AW$7&gt;0,$A943&gt;AW$7)),0,MAX(0,ROUND((INDEX($E943:$G943,AW$5)-SUMIFS(TF_Timer,TF_Tekniker,AW$4,TF_Dato,$A943))*2,0)/2)))</f>
        <v/>
      </c>
      <c r="AX943">
        <f>IF(OR(AX$4="",$A943&gt;TODAY()),0,IF(OR(INDEX($B943:$D943,AX$5)="F",AND(AX$6&gt;0,$A943&lt;AX$6),AND(AX$7&gt;0,$A943&gt;AX$7)),0,MAX(0,ROUND((INDEX($E943:$G943,AX$5)-SUMIFS(TF_Timer,TF_Tekniker,AX$4,TF_Dato,$A943))*2,0)/2)))</f>
        <v/>
      </c>
      <c r="AY943">
        <f>IF(OR(AY$4="",$A943&gt;TODAY()),0,IF(OR(INDEX($B943:$D943,AY$5)="F",AND(AY$6&gt;0,$A943&lt;AY$6),AND(AY$7&gt;0,$A943&gt;AY$7)),0,MAX(0,ROUND((INDEX($E943:$G943,AY$5)-SUMIFS(TF_Timer,TF_Tekniker,AY$4,TF_Dato,$A943))*2,0)/2)))</f>
        <v/>
      </c>
      <c r="AZ943">
        <f>IF(OR(AZ$4="",$A943&gt;TODAY()),0,IF(OR(INDEX($B943:$D943,AZ$5)="F",AND(AZ$6&gt;0,$A943&lt;AZ$6),AND(AZ$7&gt;0,$A943&gt;AZ$7)),0,MAX(0,ROUND((INDEX($E943:$G943,AZ$5)-SUMIFS(TF_Timer,TF_Tekniker,AZ$4,TF_Dato,$A943))*2,0)/2)))</f>
        <v/>
      </c>
      <c r="BA943">
        <f>IF(OR(BA$4="",$A943&gt;TODAY()),0,IF(OR(INDEX($B943:$D943,BA$5)="F",AND(BA$6&gt;0,$A943&lt;BA$6),AND(BA$7&gt;0,$A943&gt;BA$7)),0,MAX(0,ROUND((INDEX($E943:$G943,BA$5)-SUMIFS(TF_Timer,TF_Tekniker,BA$4,TF_Dato,$A943))*2,0)/2)))</f>
        <v/>
      </c>
      <c r="BB943">
        <f>IF(OR(BB$4="",$A943&gt;TODAY()),0,IF(OR(INDEX($B943:$D943,BB$5)="F",AND(BB$6&gt;0,$A943&lt;BB$6),AND(BB$7&gt;0,$A943&gt;BB$7)),0,MAX(0,ROUND((INDEX($E943:$G943,BB$5)-SUMIFS(TF_Timer,TF_Tekniker,BB$4,TF_Dato,$A943))*2,0)/2)))</f>
        <v/>
      </c>
      <c r="BC943">
        <f>IF(OR(BC$4="",$A943&gt;TODAY()),0,IF(OR(INDEX($B943:$D943,BC$5)="F",AND(BC$6&gt;0,$A943&lt;BC$6),AND(BC$7&gt;0,$A943&gt;BC$7)),0,MAX(0,ROUND((INDEX($E943:$G943,BC$5)-SUMIFS(TF_Timer,TF_Tekniker,BC$4,TF_Dato,$A943))*2,0)/2)))</f>
        <v/>
      </c>
      <c r="BD943">
        <f>IF(OR(BD$4="",$A943&gt;TODAY()),0,IF(OR(INDEX($B943:$D943,BD$5)="F",AND(BD$6&gt;0,$A943&lt;BD$6),AND(BD$7&gt;0,$A943&gt;BD$7)),0,MAX(0,ROUND((INDEX($E943:$G943,BD$5)-SUMIFS(TF_Timer,TF_Tekniker,BD$4,TF_Dato,$A943))*2,0)/2)))</f>
        <v/>
      </c>
      <c r="BE943">
        <f>IF(OR(BE$4="",$A943&gt;TODAY()),0,IF(OR(INDEX($B943:$D943,BE$5)="F",AND(BE$6&gt;0,$A943&lt;BE$6),AND(BE$7&gt;0,$A943&gt;BE$7)),0,MAX(0,ROUND((INDEX($E943:$G943,BE$5)-SUMIFS(TF_Timer,TF_Tekniker,BE$4,TF_Dato,$A943))*2,0)/2)))</f>
        <v/>
      </c>
      <c r="BF943">
        <f>IF(OR(BF$4="",$A943&gt;TODAY()),0,IF(OR(INDEX($B943:$D943,BF$5)="F",AND(BF$6&gt;0,$A943&lt;BF$6),AND(BF$7&gt;0,$A943&gt;BF$7)),0,MAX(0,ROUND((INDEX($E943:$G943,BF$5)-SUMIFS(TF_Timer,TF_Tekniker,BF$4,TF_Dato,$A943))*2,0)/2)))</f>
        <v/>
      </c>
      <c r="BG943">
        <f>IF(OR(BG$4="",$A943&gt;TODAY()),0,IF(OR(INDEX($B943:$D943,BG$5)="F",AND(BG$6&gt;0,$A943&lt;BG$6),AND(BG$7&gt;0,$A943&gt;BG$7)),0,MAX(0,ROUND((INDEX($E943:$G943,BG$5)-SUMIFS(TF_Timer,TF_Tekniker,BG$4,TF_Dato,$A943))*2,0)/2)))</f>
        <v/>
      </c>
      <c r="BH943">
        <f>IF(OR(BH$4="",$A943&gt;TODAY()),0,IF(OR(INDEX($B943:$D943,BH$5)="F",AND(BH$6&gt;0,$A943&lt;BH$6),AND(BH$7&gt;0,$A943&gt;BH$7)),0,MAX(0,ROUND((INDEX($E943:$G943,BH$5)-SUMIFS(TF_Timer,TF_Tekniker,BH$4,TF_Dato,$A943))*2,0)/2)))</f>
        <v/>
      </c>
      <c r="BI943">
        <f>IF(OR(BI$4="",$A943&gt;TODAY()),0,IF(OR(INDEX($B943:$D943,BI$5)="F",AND(BI$6&gt;0,$A943&lt;BI$6),AND(BI$7&gt;0,$A943&gt;BI$7)),0,MAX(0,ROUND((INDEX($E943:$G943,BI$5)-SUMIFS(TF_Timer,TF_Tekniker,BI$4,TF_Dato,$A943))*2,0)/2)))</f>
        <v/>
      </c>
    </row>
    <row r="944">
      <c r="A944" s="64">
        <f>A943+1</f>
        <v/>
      </c>
      <c r="B944">
        <f>IF(MOD($A944-INDEX(SkiftStart,1),Syklus)&lt;DagK,"K",IF(MOD($A944-INDEX(SkiftStart,1),Syklus)&lt;DagK+DagH,"H",IF(MOD($A944-INDEX(SkiftStart,1),Syklus)&lt;DagK+DagH+DagD,"D","F")))</f>
        <v/>
      </c>
      <c r="C944">
        <f>IF(MOD($A944-INDEX(SkiftStart,2),Syklus)&lt;DagK,"K",IF(MOD($A944-INDEX(SkiftStart,2),Syklus)&lt;DagK+DagH,"H",IF(MOD($A944-INDEX(SkiftStart,2),Syklus)&lt;DagK+DagH+DagD,"D","F")))</f>
        <v/>
      </c>
      <c r="D944">
        <f>IF(MOD($A944-INDEX(SkiftStart,3),Syklus)&lt;DagK,"K",IF(MOD($A944-INDEX(SkiftStart,3),Syklus)&lt;DagK+DagH,"H",IF(MOD($A944-INDEX(SkiftStart,3),Syklus)&lt;DagK+DagH+DagD,"D","F")))</f>
        <v/>
      </c>
      <c r="E944">
        <f>IF(B944="F",0,IF(WEEKDAY($A944,2)=5,INDEX(TimerFr,MATCH(B944,FaseKode,0)),INDEX(TimerMT,MATCH(B944,FaseKode,0))))</f>
        <v/>
      </c>
      <c r="F944">
        <f>IF(C944="F",0,IF(WEEKDAY($A944,2)=5,INDEX(TimerFr,MATCH(C944,FaseKode,0)),INDEX(TimerMT,MATCH(C944,FaseKode,0))))</f>
        <v/>
      </c>
      <c r="G944">
        <f>IF(D944="F",0,IF(WEEKDAY($A944,2)=5,INDEX(TimerFr,MATCH(D944,FaseKode,0)),INDEX(TimerMT,MATCH(D944,FaseKode,0))))</f>
        <v/>
      </c>
      <c r="H944">
        <f>IF(OR(H$4="",$A944&gt;TODAY()),0,IF(OR(INDEX($B944:$D944,H$5)="F",AND(H$6&gt;0,$A944&lt;H$6),AND(H$7&gt;0,$A944&gt;H$7)),0,MAX(0,ROUND((INDEX($E944:$G944,H$5)-SUMIFS(TF_Timer,TF_Tekniker,H$4,TF_Dato,$A944))*2,0)/2)))</f>
        <v/>
      </c>
      <c r="I944">
        <f>IF(OR(I$4="",$A944&gt;TODAY()),0,IF(OR(INDEX($B944:$D944,I$5)="F",AND(I$6&gt;0,$A944&lt;I$6),AND(I$7&gt;0,$A944&gt;I$7)),0,MAX(0,ROUND((INDEX($E944:$G944,I$5)-SUMIFS(TF_Timer,TF_Tekniker,I$4,TF_Dato,$A944))*2,0)/2)))</f>
        <v/>
      </c>
      <c r="J944">
        <f>IF(OR(J$4="",$A944&gt;TODAY()),0,IF(OR(INDEX($B944:$D944,J$5)="F",AND(J$6&gt;0,$A944&lt;J$6),AND(J$7&gt;0,$A944&gt;J$7)),0,MAX(0,ROUND((INDEX($E944:$G944,J$5)-SUMIFS(TF_Timer,TF_Tekniker,J$4,TF_Dato,$A944))*2,0)/2)))</f>
        <v/>
      </c>
      <c r="K944">
        <f>IF(OR(K$4="",$A944&gt;TODAY()),0,IF(OR(INDEX($B944:$D944,K$5)="F",AND(K$6&gt;0,$A944&lt;K$6),AND(K$7&gt;0,$A944&gt;K$7)),0,MAX(0,ROUND((INDEX($E944:$G944,K$5)-SUMIFS(TF_Timer,TF_Tekniker,K$4,TF_Dato,$A944))*2,0)/2)))</f>
        <v/>
      </c>
      <c r="L944">
        <f>IF(OR(L$4="",$A944&gt;TODAY()),0,IF(OR(INDEX($B944:$D944,L$5)="F",AND(L$6&gt;0,$A944&lt;L$6),AND(L$7&gt;0,$A944&gt;L$7)),0,MAX(0,ROUND((INDEX($E944:$G944,L$5)-SUMIFS(TF_Timer,TF_Tekniker,L$4,TF_Dato,$A944))*2,0)/2)))</f>
        <v/>
      </c>
      <c r="M944">
        <f>IF(OR(M$4="",$A944&gt;TODAY()),0,IF(OR(INDEX($B944:$D944,M$5)="F",AND(M$6&gt;0,$A944&lt;M$6),AND(M$7&gt;0,$A944&gt;M$7)),0,MAX(0,ROUND((INDEX($E944:$G944,M$5)-SUMIFS(TF_Timer,TF_Tekniker,M$4,TF_Dato,$A944))*2,0)/2)))</f>
        <v/>
      </c>
      <c r="N944">
        <f>IF(OR(N$4="",$A944&gt;TODAY()),0,IF(OR(INDEX($B944:$D944,N$5)="F",AND(N$6&gt;0,$A944&lt;N$6),AND(N$7&gt;0,$A944&gt;N$7)),0,MAX(0,ROUND((INDEX($E944:$G944,N$5)-SUMIFS(TF_Timer,TF_Tekniker,N$4,TF_Dato,$A944))*2,0)/2)))</f>
        <v/>
      </c>
      <c r="O944">
        <f>IF(OR(O$4="",$A944&gt;TODAY()),0,IF(OR(INDEX($B944:$D944,O$5)="F",AND(O$6&gt;0,$A944&lt;O$6),AND(O$7&gt;0,$A944&gt;O$7)),0,MAX(0,ROUND((INDEX($E944:$G944,O$5)-SUMIFS(TF_Timer,TF_Tekniker,O$4,TF_Dato,$A944))*2,0)/2)))</f>
        <v/>
      </c>
      <c r="P944">
        <f>IF(OR(P$4="",$A944&gt;TODAY()),0,IF(OR(INDEX($B944:$D944,P$5)="F",AND(P$6&gt;0,$A944&lt;P$6),AND(P$7&gt;0,$A944&gt;P$7)),0,MAX(0,ROUND((INDEX($E944:$G944,P$5)-SUMIFS(TF_Timer,TF_Tekniker,P$4,TF_Dato,$A944))*2,0)/2)))</f>
        <v/>
      </c>
      <c r="Q944">
        <f>IF(OR(Q$4="",$A944&gt;TODAY()),0,IF(OR(INDEX($B944:$D944,Q$5)="F",AND(Q$6&gt;0,$A944&lt;Q$6),AND(Q$7&gt;0,$A944&gt;Q$7)),0,MAX(0,ROUND((INDEX($E944:$G944,Q$5)-SUMIFS(TF_Timer,TF_Tekniker,Q$4,TF_Dato,$A944))*2,0)/2)))</f>
        <v/>
      </c>
      <c r="R944">
        <f>IF(OR(R$4="",$A944&gt;TODAY()),0,IF(OR(INDEX($B944:$D944,R$5)="F",AND(R$6&gt;0,$A944&lt;R$6),AND(R$7&gt;0,$A944&gt;R$7)),0,MAX(0,ROUND((INDEX($E944:$G944,R$5)-SUMIFS(TF_Timer,TF_Tekniker,R$4,TF_Dato,$A944))*2,0)/2)))</f>
        <v/>
      </c>
      <c r="S944">
        <f>IF(OR(S$4="",$A944&gt;TODAY()),0,IF(OR(INDEX($B944:$D944,S$5)="F",AND(S$6&gt;0,$A944&lt;S$6),AND(S$7&gt;0,$A944&gt;S$7)),0,MAX(0,ROUND((INDEX($E944:$G944,S$5)-SUMIFS(TF_Timer,TF_Tekniker,S$4,TF_Dato,$A944))*2,0)/2)))</f>
        <v/>
      </c>
      <c r="T944">
        <f>IF(OR(T$4="",$A944&gt;TODAY()),0,IF(OR(INDEX($B944:$D944,T$5)="F",AND(T$6&gt;0,$A944&lt;T$6),AND(T$7&gt;0,$A944&gt;T$7)),0,MAX(0,ROUND((INDEX($E944:$G944,T$5)-SUMIFS(TF_Timer,TF_Tekniker,T$4,TF_Dato,$A944))*2,0)/2)))</f>
        <v/>
      </c>
      <c r="U944">
        <f>IF(OR(U$4="",$A944&gt;TODAY()),0,IF(OR(INDEX($B944:$D944,U$5)="F",AND(U$6&gt;0,$A944&lt;U$6),AND(U$7&gt;0,$A944&gt;U$7)),0,MAX(0,ROUND((INDEX($E944:$G944,U$5)-SUMIFS(TF_Timer,TF_Tekniker,U$4,TF_Dato,$A944))*2,0)/2)))</f>
        <v/>
      </c>
      <c r="V944">
        <f>IF(OR(V$4="",$A944&gt;TODAY()),0,IF(OR(INDEX($B944:$D944,V$5)="F",AND(V$6&gt;0,$A944&lt;V$6),AND(V$7&gt;0,$A944&gt;V$7)),0,MAX(0,ROUND((INDEX($E944:$G944,V$5)-SUMIFS(TF_Timer,TF_Tekniker,V$4,TF_Dato,$A944))*2,0)/2)))</f>
        <v/>
      </c>
      <c r="W944">
        <f>IF(OR(W$4="",$A944&gt;TODAY()),0,IF(OR(INDEX($B944:$D944,W$5)="F",AND(W$6&gt;0,$A944&lt;W$6),AND(W$7&gt;0,$A944&gt;W$7)),0,MAX(0,ROUND((INDEX($E944:$G944,W$5)-SUMIFS(TF_Timer,TF_Tekniker,W$4,TF_Dato,$A944))*2,0)/2)))</f>
        <v/>
      </c>
      <c r="X944">
        <f>IF(OR(X$4="",$A944&gt;TODAY()),0,IF(OR(INDEX($B944:$D944,X$5)="F",AND(X$6&gt;0,$A944&lt;X$6),AND(X$7&gt;0,$A944&gt;X$7)),0,MAX(0,ROUND((INDEX($E944:$G944,X$5)-SUMIFS(TF_Timer,TF_Tekniker,X$4,TF_Dato,$A944))*2,0)/2)))</f>
        <v/>
      </c>
      <c r="Y944">
        <f>IF(OR(Y$4="",$A944&gt;TODAY()),0,IF(OR(INDEX($B944:$D944,Y$5)="F",AND(Y$6&gt;0,$A944&lt;Y$6),AND(Y$7&gt;0,$A944&gt;Y$7)),0,MAX(0,ROUND((INDEX($E944:$G944,Y$5)-SUMIFS(TF_Timer,TF_Tekniker,Y$4,TF_Dato,$A944))*2,0)/2)))</f>
        <v/>
      </c>
      <c r="Z944">
        <f>IF(OR(Z$4="",$A944&gt;TODAY()),0,IF(OR(INDEX($B944:$D944,Z$5)="F",AND(Z$6&gt;0,$A944&lt;Z$6),AND(Z$7&gt;0,$A944&gt;Z$7)),0,MAX(0,ROUND((INDEX($E944:$G944,Z$5)-SUMIFS(TF_Timer,TF_Tekniker,Z$4,TF_Dato,$A944))*2,0)/2)))</f>
        <v/>
      </c>
      <c r="AA944">
        <f>IF(OR(AA$4="",$A944&gt;TODAY()),0,IF(OR(INDEX($B944:$D944,AA$5)="F",AND(AA$6&gt;0,$A944&lt;AA$6),AND(AA$7&gt;0,$A944&gt;AA$7)),0,MAX(0,ROUND((INDEX($E944:$G944,AA$5)-SUMIFS(TF_Timer,TF_Tekniker,AA$4,TF_Dato,$A944))*2,0)/2)))</f>
        <v/>
      </c>
      <c r="AB944">
        <f>IF(OR(AB$4="",$A944&gt;TODAY()),0,IF(OR(INDEX($B944:$D944,AB$5)="F",AND(AB$6&gt;0,$A944&lt;AB$6),AND(AB$7&gt;0,$A944&gt;AB$7)),0,MAX(0,ROUND((INDEX($E944:$G944,AB$5)-SUMIFS(TF_Timer,TF_Tekniker,AB$4,TF_Dato,$A944))*2,0)/2)))</f>
        <v/>
      </c>
      <c r="AC944">
        <f>IF(OR(AC$4="",$A944&gt;TODAY()),0,IF(OR(INDEX($B944:$D944,AC$5)="F",AND(AC$6&gt;0,$A944&lt;AC$6),AND(AC$7&gt;0,$A944&gt;AC$7)),0,MAX(0,ROUND((INDEX($E944:$G944,AC$5)-SUMIFS(TF_Timer,TF_Tekniker,AC$4,TF_Dato,$A944))*2,0)/2)))</f>
        <v/>
      </c>
      <c r="AD944">
        <f>IF(OR(AD$4="",$A944&gt;TODAY()),0,IF(OR(INDEX($B944:$D944,AD$5)="F",AND(AD$6&gt;0,$A944&lt;AD$6),AND(AD$7&gt;0,$A944&gt;AD$7)),0,MAX(0,ROUND((INDEX($E944:$G944,AD$5)-SUMIFS(TF_Timer,TF_Tekniker,AD$4,TF_Dato,$A944))*2,0)/2)))</f>
        <v/>
      </c>
      <c r="AE944">
        <f>IF(OR(AE$4="",$A944&gt;TODAY()),0,IF(OR(INDEX($B944:$D944,AE$5)="F",AND(AE$6&gt;0,$A944&lt;AE$6),AND(AE$7&gt;0,$A944&gt;AE$7)),0,MAX(0,ROUND((INDEX($E944:$G944,AE$5)-SUMIFS(TF_Timer,TF_Tekniker,AE$4,TF_Dato,$A944))*2,0)/2)))</f>
        <v/>
      </c>
      <c r="AF944">
        <f>IF(OR(AF$4="",$A944&gt;TODAY()),0,IF(OR(INDEX($B944:$D944,AF$5)="F",AND(AF$6&gt;0,$A944&lt;AF$6),AND(AF$7&gt;0,$A944&gt;AF$7)),0,MAX(0,ROUND((INDEX($E944:$G944,AF$5)-SUMIFS(TF_Timer,TF_Tekniker,AF$4,TF_Dato,$A944))*2,0)/2)))</f>
        <v/>
      </c>
      <c r="AG944">
        <f>IF(OR(AG$4="",$A944&gt;TODAY()),0,IF(OR(INDEX($B944:$D944,AG$5)="F",AND(AG$6&gt;0,$A944&lt;AG$6),AND(AG$7&gt;0,$A944&gt;AG$7)),0,MAX(0,ROUND((INDEX($E944:$G944,AG$5)-SUMIFS(TF_Timer,TF_Tekniker,AG$4,TF_Dato,$A944))*2,0)/2)))</f>
        <v/>
      </c>
      <c r="AH944">
        <f>IF(OR(AH$4="",$A944&gt;TODAY()),0,IF(OR(INDEX($B944:$D944,AH$5)="F",AND(AH$6&gt;0,$A944&lt;AH$6),AND(AH$7&gt;0,$A944&gt;AH$7)),0,MAX(0,ROUND((INDEX($E944:$G944,AH$5)-SUMIFS(TF_Timer,TF_Tekniker,AH$4,TF_Dato,$A944))*2,0)/2)))</f>
        <v/>
      </c>
      <c r="AI944">
        <f>IF(OR(AI$4="",$A944&gt;TODAY()),0,IF(OR(INDEX($B944:$D944,AI$5)="F",AND(AI$6&gt;0,$A944&lt;AI$6),AND(AI$7&gt;0,$A944&gt;AI$7)),0,MAX(0,ROUND((INDEX($E944:$G944,AI$5)-SUMIFS(TF_Timer,TF_Tekniker,AI$4,TF_Dato,$A944))*2,0)/2)))</f>
        <v/>
      </c>
      <c r="AJ944">
        <f>IF(OR(AJ$4="",$A944&gt;TODAY()),0,IF(OR(INDEX($B944:$D944,AJ$5)="F",AND(AJ$6&gt;0,$A944&lt;AJ$6),AND(AJ$7&gt;0,$A944&gt;AJ$7)),0,MAX(0,ROUND((INDEX($E944:$G944,AJ$5)-SUMIFS(TF_Timer,TF_Tekniker,AJ$4,TF_Dato,$A944))*2,0)/2)))</f>
        <v/>
      </c>
      <c r="AK944">
        <f>IF(OR(AK$4="",$A944&gt;TODAY()),0,IF(OR(INDEX($B944:$D944,AK$5)="F",AND(AK$6&gt;0,$A944&lt;AK$6),AND(AK$7&gt;0,$A944&gt;AK$7)),0,MAX(0,ROUND((INDEX($E944:$G944,AK$5)-SUMIFS(TF_Timer,TF_Tekniker,AK$4,TF_Dato,$A944))*2,0)/2)))</f>
        <v/>
      </c>
      <c r="AL944">
        <f>IF(OR(AL$4="",$A944&gt;TODAY()),0,IF(OR(INDEX($B944:$D944,AL$5)="F",AND(AL$6&gt;0,$A944&lt;AL$6),AND(AL$7&gt;0,$A944&gt;AL$7)),0,MAX(0,ROUND((INDEX($E944:$G944,AL$5)-SUMIFS(TF_Timer,TF_Tekniker,AL$4,TF_Dato,$A944))*2,0)/2)))</f>
        <v/>
      </c>
      <c r="AM944">
        <f>IF(OR(AM$4="",$A944&gt;TODAY()),0,IF(OR(INDEX($B944:$D944,AM$5)="F",AND(AM$6&gt;0,$A944&lt;AM$6),AND(AM$7&gt;0,$A944&gt;AM$7)),0,MAX(0,ROUND((INDEX($E944:$G944,AM$5)-SUMIFS(TF_Timer,TF_Tekniker,AM$4,TF_Dato,$A944))*2,0)/2)))</f>
        <v/>
      </c>
      <c r="AN944">
        <f>IF(OR(AN$4="",$A944&gt;TODAY()),0,IF(OR(INDEX($B944:$D944,AN$5)="F",AND(AN$6&gt;0,$A944&lt;AN$6),AND(AN$7&gt;0,$A944&gt;AN$7)),0,MAX(0,ROUND((INDEX($E944:$G944,AN$5)-SUMIFS(TF_Timer,TF_Tekniker,AN$4,TF_Dato,$A944))*2,0)/2)))</f>
        <v/>
      </c>
      <c r="AO944">
        <f>IF(OR(AO$4="",$A944&gt;TODAY()),0,IF(OR(INDEX($B944:$D944,AO$5)="F",AND(AO$6&gt;0,$A944&lt;AO$6),AND(AO$7&gt;0,$A944&gt;AO$7)),0,MAX(0,ROUND((INDEX($E944:$G944,AO$5)-SUMIFS(TF_Timer,TF_Tekniker,AO$4,TF_Dato,$A944))*2,0)/2)))</f>
        <v/>
      </c>
      <c r="AP944">
        <f>IF(OR(AP$4="",$A944&gt;TODAY()),0,IF(OR(INDEX($B944:$D944,AP$5)="F",AND(AP$6&gt;0,$A944&lt;AP$6),AND(AP$7&gt;0,$A944&gt;AP$7)),0,MAX(0,ROUND((INDEX($E944:$G944,AP$5)-SUMIFS(TF_Timer,TF_Tekniker,AP$4,TF_Dato,$A944))*2,0)/2)))</f>
        <v/>
      </c>
      <c r="AQ944">
        <f>IF(OR(AQ$4="",$A944&gt;TODAY()),0,IF(OR(INDEX($B944:$D944,AQ$5)="F",AND(AQ$6&gt;0,$A944&lt;AQ$6),AND(AQ$7&gt;0,$A944&gt;AQ$7)),0,MAX(0,ROUND((INDEX($E944:$G944,AQ$5)-SUMIFS(TF_Timer,TF_Tekniker,AQ$4,TF_Dato,$A944))*2,0)/2)))</f>
        <v/>
      </c>
      <c r="AR944">
        <f>IF(OR(AR$4="",$A944&gt;TODAY()),0,IF(OR(INDEX($B944:$D944,AR$5)="F",AND(AR$6&gt;0,$A944&lt;AR$6),AND(AR$7&gt;0,$A944&gt;AR$7)),0,MAX(0,ROUND((INDEX($E944:$G944,AR$5)-SUMIFS(TF_Timer,TF_Tekniker,AR$4,TF_Dato,$A944))*2,0)/2)))</f>
        <v/>
      </c>
      <c r="AS944">
        <f>IF(OR(AS$4="",$A944&gt;TODAY()),0,IF(OR(INDEX($B944:$D944,AS$5)="F",AND(AS$6&gt;0,$A944&lt;AS$6),AND(AS$7&gt;0,$A944&gt;AS$7)),0,MAX(0,ROUND((INDEX($E944:$G944,AS$5)-SUMIFS(TF_Timer,TF_Tekniker,AS$4,TF_Dato,$A944))*2,0)/2)))</f>
        <v/>
      </c>
      <c r="AT944">
        <f>IF(OR(AT$4="",$A944&gt;TODAY()),0,IF(OR(INDEX($B944:$D944,AT$5)="F",AND(AT$6&gt;0,$A944&lt;AT$6),AND(AT$7&gt;0,$A944&gt;AT$7)),0,MAX(0,ROUND((INDEX($E944:$G944,AT$5)-SUMIFS(TF_Timer,TF_Tekniker,AT$4,TF_Dato,$A944))*2,0)/2)))</f>
        <v/>
      </c>
      <c r="AU944">
        <f>IF(OR(AU$4="",$A944&gt;TODAY()),0,IF(OR(INDEX($B944:$D944,AU$5)="F",AND(AU$6&gt;0,$A944&lt;AU$6),AND(AU$7&gt;0,$A944&gt;AU$7)),0,MAX(0,ROUND((INDEX($E944:$G944,AU$5)-SUMIFS(TF_Timer,TF_Tekniker,AU$4,TF_Dato,$A944))*2,0)/2)))</f>
        <v/>
      </c>
      <c r="AV944">
        <f>IF(OR(AV$4="",$A944&gt;TODAY()),0,IF(OR(INDEX($B944:$D944,AV$5)="F",AND(AV$6&gt;0,$A944&lt;AV$6),AND(AV$7&gt;0,$A944&gt;AV$7)),0,MAX(0,ROUND((INDEX($E944:$G944,AV$5)-SUMIFS(TF_Timer,TF_Tekniker,AV$4,TF_Dato,$A944))*2,0)/2)))</f>
        <v/>
      </c>
      <c r="AW944">
        <f>IF(OR(AW$4="",$A944&gt;TODAY()),0,IF(OR(INDEX($B944:$D944,AW$5)="F",AND(AW$6&gt;0,$A944&lt;AW$6),AND(AW$7&gt;0,$A944&gt;AW$7)),0,MAX(0,ROUND((INDEX($E944:$G944,AW$5)-SUMIFS(TF_Timer,TF_Tekniker,AW$4,TF_Dato,$A944))*2,0)/2)))</f>
        <v/>
      </c>
      <c r="AX944">
        <f>IF(OR(AX$4="",$A944&gt;TODAY()),0,IF(OR(INDEX($B944:$D944,AX$5)="F",AND(AX$6&gt;0,$A944&lt;AX$6),AND(AX$7&gt;0,$A944&gt;AX$7)),0,MAX(0,ROUND((INDEX($E944:$G944,AX$5)-SUMIFS(TF_Timer,TF_Tekniker,AX$4,TF_Dato,$A944))*2,0)/2)))</f>
        <v/>
      </c>
      <c r="AY944">
        <f>IF(OR(AY$4="",$A944&gt;TODAY()),0,IF(OR(INDEX($B944:$D944,AY$5)="F",AND(AY$6&gt;0,$A944&lt;AY$6),AND(AY$7&gt;0,$A944&gt;AY$7)),0,MAX(0,ROUND((INDEX($E944:$G944,AY$5)-SUMIFS(TF_Timer,TF_Tekniker,AY$4,TF_Dato,$A944))*2,0)/2)))</f>
        <v/>
      </c>
      <c r="AZ944">
        <f>IF(OR(AZ$4="",$A944&gt;TODAY()),0,IF(OR(INDEX($B944:$D944,AZ$5)="F",AND(AZ$6&gt;0,$A944&lt;AZ$6),AND(AZ$7&gt;0,$A944&gt;AZ$7)),0,MAX(0,ROUND((INDEX($E944:$G944,AZ$5)-SUMIFS(TF_Timer,TF_Tekniker,AZ$4,TF_Dato,$A944))*2,0)/2)))</f>
        <v/>
      </c>
      <c r="BA944">
        <f>IF(OR(BA$4="",$A944&gt;TODAY()),0,IF(OR(INDEX($B944:$D944,BA$5)="F",AND(BA$6&gt;0,$A944&lt;BA$6),AND(BA$7&gt;0,$A944&gt;BA$7)),0,MAX(0,ROUND((INDEX($E944:$G944,BA$5)-SUMIFS(TF_Timer,TF_Tekniker,BA$4,TF_Dato,$A944))*2,0)/2)))</f>
        <v/>
      </c>
      <c r="BB944">
        <f>IF(OR(BB$4="",$A944&gt;TODAY()),0,IF(OR(INDEX($B944:$D944,BB$5)="F",AND(BB$6&gt;0,$A944&lt;BB$6),AND(BB$7&gt;0,$A944&gt;BB$7)),0,MAX(0,ROUND((INDEX($E944:$G944,BB$5)-SUMIFS(TF_Timer,TF_Tekniker,BB$4,TF_Dato,$A944))*2,0)/2)))</f>
        <v/>
      </c>
      <c r="BC944">
        <f>IF(OR(BC$4="",$A944&gt;TODAY()),0,IF(OR(INDEX($B944:$D944,BC$5)="F",AND(BC$6&gt;0,$A944&lt;BC$6),AND(BC$7&gt;0,$A944&gt;BC$7)),0,MAX(0,ROUND((INDEX($E944:$G944,BC$5)-SUMIFS(TF_Timer,TF_Tekniker,BC$4,TF_Dato,$A944))*2,0)/2)))</f>
        <v/>
      </c>
      <c r="BD944">
        <f>IF(OR(BD$4="",$A944&gt;TODAY()),0,IF(OR(INDEX($B944:$D944,BD$5)="F",AND(BD$6&gt;0,$A944&lt;BD$6),AND(BD$7&gt;0,$A944&gt;BD$7)),0,MAX(0,ROUND((INDEX($E944:$G944,BD$5)-SUMIFS(TF_Timer,TF_Tekniker,BD$4,TF_Dato,$A944))*2,0)/2)))</f>
        <v/>
      </c>
      <c r="BE944">
        <f>IF(OR(BE$4="",$A944&gt;TODAY()),0,IF(OR(INDEX($B944:$D944,BE$5)="F",AND(BE$6&gt;0,$A944&lt;BE$6),AND(BE$7&gt;0,$A944&gt;BE$7)),0,MAX(0,ROUND((INDEX($E944:$G944,BE$5)-SUMIFS(TF_Timer,TF_Tekniker,BE$4,TF_Dato,$A944))*2,0)/2)))</f>
        <v/>
      </c>
      <c r="BF944">
        <f>IF(OR(BF$4="",$A944&gt;TODAY()),0,IF(OR(INDEX($B944:$D944,BF$5)="F",AND(BF$6&gt;0,$A944&lt;BF$6),AND(BF$7&gt;0,$A944&gt;BF$7)),0,MAX(0,ROUND((INDEX($E944:$G944,BF$5)-SUMIFS(TF_Timer,TF_Tekniker,BF$4,TF_Dato,$A944))*2,0)/2)))</f>
        <v/>
      </c>
      <c r="BG944">
        <f>IF(OR(BG$4="",$A944&gt;TODAY()),0,IF(OR(INDEX($B944:$D944,BG$5)="F",AND(BG$6&gt;0,$A944&lt;BG$6),AND(BG$7&gt;0,$A944&gt;BG$7)),0,MAX(0,ROUND((INDEX($E944:$G944,BG$5)-SUMIFS(TF_Timer,TF_Tekniker,BG$4,TF_Dato,$A944))*2,0)/2)))</f>
        <v/>
      </c>
      <c r="BH944">
        <f>IF(OR(BH$4="",$A944&gt;TODAY()),0,IF(OR(INDEX($B944:$D944,BH$5)="F",AND(BH$6&gt;0,$A944&lt;BH$6),AND(BH$7&gt;0,$A944&gt;BH$7)),0,MAX(0,ROUND((INDEX($E944:$G944,BH$5)-SUMIFS(TF_Timer,TF_Tekniker,BH$4,TF_Dato,$A944))*2,0)/2)))</f>
        <v/>
      </c>
      <c r="BI944">
        <f>IF(OR(BI$4="",$A944&gt;TODAY()),0,IF(OR(INDEX($B944:$D944,BI$5)="F",AND(BI$6&gt;0,$A944&lt;BI$6),AND(BI$7&gt;0,$A944&gt;BI$7)),0,MAX(0,ROUND((INDEX($E944:$G944,BI$5)-SUMIFS(TF_Timer,TF_Tekniker,BI$4,TF_Dato,$A944))*2,0)/2)))</f>
        <v/>
      </c>
    </row>
    <row r="945">
      <c r="A945" s="64">
        <f>A944+1</f>
        <v/>
      </c>
      <c r="B945">
        <f>IF(MOD($A945-INDEX(SkiftStart,1),Syklus)&lt;DagK,"K",IF(MOD($A945-INDEX(SkiftStart,1),Syklus)&lt;DagK+DagH,"H",IF(MOD($A945-INDEX(SkiftStart,1),Syklus)&lt;DagK+DagH+DagD,"D","F")))</f>
        <v/>
      </c>
      <c r="C945">
        <f>IF(MOD($A945-INDEX(SkiftStart,2),Syklus)&lt;DagK,"K",IF(MOD($A945-INDEX(SkiftStart,2),Syklus)&lt;DagK+DagH,"H",IF(MOD($A945-INDEX(SkiftStart,2),Syklus)&lt;DagK+DagH+DagD,"D","F")))</f>
        <v/>
      </c>
      <c r="D945">
        <f>IF(MOD($A945-INDEX(SkiftStart,3),Syklus)&lt;DagK,"K",IF(MOD($A945-INDEX(SkiftStart,3),Syklus)&lt;DagK+DagH,"H",IF(MOD($A945-INDEX(SkiftStart,3),Syklus)&lt;DagK+DagH+DagD,"D","F")))</f>
        <v/>
      </c>
      <c r="E945">
        <f>IF(B945="F",0,IF(WEEKDAY($A945,2)=5,INDEX(TimerFr,MATCH(B945,FaseKode,0)),INDEX(TimerMT,MATCH(B945,FaseKode,0))))</f>
        <v/>
      </c>
      <c r="F945">
        <f>IF(C945="F",0,IF(WEEKDAY($A945,2)=5,INDEX(TimerFr,MATCH(C945,FaseKode,0)),INDEX(TimerMT,MATCH(C945,FaseKode,0))))</f>
        <v/>
      </c>
      <c r="G945">
        <f>IF(D945="F",0,IF(WEEKDAY($A945,2)=5,INDEX(TimerFr,MATCH(D945,FaseKode,0)),INDEX(TimerMT,MATCH(D945,FaseKode,0))))</f>
        <v/>
      </c>
      <c r="H945">
        <f>IF(OR(H$4="",$A945&gt;TODAY()),0,IF(OR(INDEX($B945:$D945,H$5)="F",AND(H$6&gt;0,$A945&lt;H$6),AND(H$7&gt;0,$A945&gt;H$7)),0,MAX(0,ROUND((INDEX($E945:$G945,H$5)-SUMIFS(TF_Timer,TF_Tekniker,H$4,TF_Dato,$A945))*2,0)/2)))</f>
        <v/>
      </c>
      <c r="I945">
        <f>IF(OR(I$4="",$A945&gt;TODAY()),0,IF(OR(INDEX($B945:$D945,I$5)="F",AND(I$6&gt;0,$A945&lt;I$6),AND(I$7&gt;0,$A945&gt;I$7)),0,MAX(0,ROUND((INDEX($E945:$G945,I$5)-SUMIFS(TF_Timer,TF_Tekniker,I$4,TF_Dato,$A945))*2,0)/2)))</f>
        <v/>
      </c>
      <c r="J945">
        <f>IF(OR(J$4="",$A945&gt;TODAY()),0,IF(OR(INDEX($B945:$D945,J$5)="F",AND(J$6&gt;0,$A945&lt;J$6),AND(J$7&gt;0,$A945&gt;J$7)),0,MAX(0,ROUND((INDEX($E945:$G945,J$5)-SUMIFS(TF_Timer,TF_Tekniker,J$4,TF_Dato,$A945))*2,0)/2)))</f>
        <v/>
      </c>
      <c r="K945">
        <f>IF(OR(K$4="",$A945&gt;TODAY()),0,IF(OR(INDEX($B945:$D945,K$5)="F",AND(K$6&gt;0,$A945&lt;K$6),AND(K$7&gt;0,$A945&gt;K$7)),0,MAX(0,ROUND((INDEX($E945:$G945,K$5)-SUMIFS(TF_Timer,TF_Tekniker,K$4,TF_Dato,$A945))*2,0)/2)))</f>
        <v/>
      </c>
      <c r="L945">
        <f>IF(OR(L$4="",$A945&gt;TODAY()),0,IF(OR(INDEX($B945:$D945,L$5)="F",AND(L$6&gt;0,$A945&lt;L$6),AND(L$7&gt;0,$A945&gt;L$7)),0,MAX(0,ROUND((INDEX($E945:$G945,L$5)-SUMIFS(TF_Timer,TF_Tekniker,L$4,TF_Dato,$A945))*2,0)/2)))</f>
        <v/>
      </c>
      <c r="M945">
        <f>IF(OR(M$4="",$A945&gt;TODAY()),0,IF(OR(INDEX($B945:$D945,M$5)="F",AND(M$6&gt;0,$A945&lt;M$6),AND(M$7&gt;0,$A945&gt;M$7)),0,MAX(0,ROUND((INDEX($E945:$G945,M$5)-SUMIFS(TF_Timer,TF_Tekniker,M$4,TF_Dato,$A945))*2,0)/2)))</f>
        <v/>
      </c>
      <c r="N945">
        <f>IF(OR(N$4="",$A945&gt;TODAY()),0,IF(OR(INDEX($B945:$D945,N$5)="F",AND(N$6&gt;0,$A945&lt;N$6),AND(N$7&gt;0,$A945&gt;N$7)),0,MAX(0,ROUND((INDEX($E945:$G945,N$5)-SUMIFS(TF_Timer,TF_Tekniker,N$4,TF_Dato,$A945))*2,0)/2)))</f>
        <v/>
      </c>
      <c r="O945">
        <f>IF(OR(O$4="",$A945&gt;TODAY()),0,IF(OR(INDEX($B945:$D945,O$5)="F",AND(O$6&gt;0,$A945&lt;O$6),AND(O$7&gt;0,$A945&gt;O$7)),0,MAX(0,ROUND((INDEX($E945:$G945,O$5)-SUMIFS(TF_Timer,TF_Tekniker,O$4,TF_Dato,$A945))*2,0)/2)))</f>
        <v/>
      </c>
      <c r="P945">
        <f>IF(OR(P$4="",$A945&gt;TODAY()),0,IF(OR(INDEX($B945:$D945,P$5)="F",AND(P$6&gt;0,$A945&lt;P$6),AND(P$7&gt;0,$A945&gt;P$7)),0,MAX(0,ROUND((INDEX($E945:$G945,P$5)-SUMIFS(TF_Timer,TF_Tekniker,P$4,TF_Dato,$A945))*2,0)/2)))</f>
        <v/>
      </c>
      <c r="Q945">
        <f>IF(OR(Q$4="",$A945&gt;TODAY()),0,IF(OR(INDEX($B945:$D945,Q$5)="F",AND(Q$6&gt;0,$A945&lt;Q$6),AND(Q$7&gt;0,$A945&gt;Q$7)),0,MAX(0,ROUND((INDEX($E945:$G945,Q$5)-SUMIFS(TF_Timer,TF_Tekniker,Q$4,TF_Dato,$A945))*2,0)/2)))</f>
        <v/>
      </c>
      <c r="R945">
        <f>IF(OR(R$4="",$A945&gt;TODAY()),0,IF(OR(INDEX($B945:$D945,R$5)="F",AND(R$6&gt;0,$A945&lt;R$6),AND(R$7&gt;0,$A945&gt;R$7)),0,MAX(0,ROUND((INDEX($E945:$G945,R$5)-SUMIFS(TF_Timer,TF_Tekniker,R$4,TF_Dato,$A945))*2,0)/2)))</f>
        <v/>
      </c>
      <c r="S945">
        <f>IF(OR(S$4="",$A945&gt;TODAY()),0,IF(OR(INDEX($B945:$D945,S$5)="F",AND(S$6&gt;0,$A945&lt;S$6),AND(S$7&gt;0,$A945&gt;S$7)),0,MAX(0,ROUND((INDEX($E945:$G945,S$5)-SUMIFS(TF_Timer,TF_Tekniker,S$4,TF_Dato,$A945))*2,0)/2)))</f>
        <v/>
      </c>
      <c r="T945">
        <f>IF(OR(T$4="",$A945&gt;TODAY()),0,IF(OR(INDEX($B945:$D945,T$5)="F",AND(T$6&gt;0,$A945&lt;T$6),AND(T$7&gt;0,$A945&gt;T$7)),0,MAX(0,ROUND((INDEX($E945:$G945,T$5)-SUMIFS(TF_Timer,TF_Tekniker,T$4,TF_Dato,$A945))*2,0)/2)))</f>
        <v/>
      </c>
      <c r="U945">
        <f>IF(OR(U$4="",$A945&gt;TODAY()),0,IF(OR(INDEX($B945:$D945,U$5)="F",AND(U$6&gt;0,$A945&lt;U$6),AND(U$7&gt;0,$A945&gt;U$7)),0,MAX(0,ROUND((INDEX($E945:$G945,U$5)-SUMIFS(TF_Timer,TF_Tekniker,U$4,TF_Dato,$A945))*2,0)/2)))</f>
        <v/>
      </c>
      <c r="V945">
        <f>IF(OR(V$4="",$A945&gt;TODAY()),0,IF(OR(INDEX($B945:$D945,V$5)="F",AND(V$6&gt;0,$A945&lt;V$6),AND(V$7&gt;0,$A945&gt;V$7)),0,MAX(0,ROUND((INDEX($E945:$G945,V$5)-SUMIFS(TF_Timer,TF_Tekniker,V$4,TF_Dato,$A945))*2,0)/2)))</f>
        <v/>
      </c>
      <c r="W945">
        <f>IF(OR(W$4="",$A945&gt;TODAY()),0,IF(OR(INDEX($B945:$D945,W$5)="F",AND(W$6&gt;0,$A945&lt;W$6),AND(W$7&gt;0,$A945&gt;W$7)),0,MAX(0,ROUND((INDEX($E945:$G945,W$5)-SUMIFS(TF_Timer,TF_Tekniker,W$4,TF_Dato,$A945))*2,0)/2)))</f>
        <v/>
      </c>
      <c r="X945">
        <f>IF(OR(X$4="",$A945&gt;TODAY()),0,IF(OR(INDEX($B945:$D945,X$5)="F",AND(X$6&gt;0,$A945&lt;X$6),AND(X$7&gt;0,$A945&gt;X$7)),0,MAX(0,ROUND((INDEX($E945:$G945,X$5)-SUMIFS(TF_Timer,TF_Tekniker,X$4,TF_Dato,$A945))*2,0)/2)))</f>
        <v/>
      </c>
      <c r="Y945">
        <f>IF(OR(Y$4="",$A945&gt;TODAY()),0,IF(OR(INDEX($B945:$D945,Y$5)="F",AND(Y$6&gt;0,$A945&lt;Y$6),AND(Y$7&gt;0,$A945&gt;Y$7)),0,MAX(0,ROUND((INDEX($E945:$G945,Y$5)-SUMIFS(TF_Timer,TF_Tekniker,Y$4,TF_Dato,$A945))*2,0)/2)))</f>
        <v/>
      </c>
      <c r="Z945">
        <f>IF(OR(Z$4="",$A945&gt;TODAY()),0,IF(OR(INDEX($B945:$D945,Z$5)="F",AND(Z$6&gt;0,$A945&lt;Z$6),AND(Z$7&gt;0,$A945&gt;Z$7)),0,MAX(0,ROUND((INDEX($E945:$G945,Z$5)-SUMIFS(TF_Timer,TF_Tekniker,Z$4,TF_Dato,$A945))*2,0)/2)))</f>
        <v/>
      </c>
      <c r="AA945">
        <f>IF(OR(AA$4="",$A945&gt;TODAY()),0,IF(OR(INDEX($B945:$D945,AA$5)="F",AND(AA$6&gt;0,$A945&lt;AA$6),AND(AA$7&gt;0,$A945&gt;AA$7)),0,MAX(0,ROUND((INDEX($E945:$G945,AA$5)-SUMIFS(TF_Timer,TF_Tekniker,AA$4,TF_Dato,$A945))*2,0)/2)))</f>
        <v/>
      </c>
      <c r="AB945">
        <f>IF(OR(AB$4="",$A945&gt;TODAY()),0,IF(OR(INDEX($B945:$D945,AB$5)="F",AND(AB$6&gt;0,$A945&lt;AB$6),AND(AB$7&gt;0,$A945&gt;AB$7)),0,MAX(0,ROUND((INDEX($E945:$G945,AB$5)-SUMIFS(TF_Timer,TF_Tekniker,AB$4,TF_Dato,$A945))*2,0)/2)))</f>
        <v/>
      </c>
      <c r="AC945">
        <f>IF(OR(AC$4="",$A945&gt;TODAY()),0,IF(OR(INDEX($B945:$D945,AC$5)="F",AND(AC$6&gt;0,$A945&lt;AC$6),AND(AC$7&gt;0,$A945&gt;AC$7)),0,MAX(0,ROUND((INDEX($E945:$G945,AC$5)-SUMIFS(TF_Timer,TF_Tekniker,AC$4,TF_Dato,$A945))*2,0)/2)))</f>
        <v/>
      </c>
      <c r="AD945">
        <f>IF(OR(AD$4="",$A945&gt;TODAY()),0,IF(OR(INDEX($B945:$D945,AD$5)="F",AND(AD$6&gt;0,$A945&lt;AD$6),AND(AD$7&gt;0,$A945&gt;AD$7)),0,MAX(0,ROUND((INDEX($E945:$G945,AD$5)-SUMIFS(TF_Timer,TF_Tekniker,AD$4,TF_Dato,$A945))*2,0)/2)))</f>
        <v/>
      </c>
      <c r="AE945">
        <f>IF(OR(AE$4="",$A945&gt;TODAY()),0,IF(OR(INDEX($B945:$D945,AE$5)="F",AND(AE$6&gt;0,$A945&lt;AE$6),AND(AE$7&gt;0,$A945&gt;AE$7)),0,MAX(0,ROUND((INDEX($E945:$G945,AE$5)-SUMIFS(TF_Timer,TF_Tekniker,AE$4,TF_Dato,$A945))*2,0)/2)))</f>
        <v/>
      </c>
      <c r="AF945">
        <f>IF(OR(AF$4="",$A945&gt;TODAY()),0,IF(OR(INDEX($B945:$D945,AF$5)="F",AND(AF$6&gt;0,$A945&lt;AF$6),AND(AF$7&gt;0,$A945&gt;AF$7)),0,MAX(0,ROUND((INDEX($E945:$G945,AF$5)-SUMIFS(TF_Timer,TF_Tekniker,AF$4,TF_Dato,$A945))*2,0)/2)))</f>
        <v/>
      </c>
      <c r="AG945">
        <f>IF(OR(AG$4="",$A945&gt;TODAY()),0,IF(OR(INDEX($B945:$D945,AG$5)="F",AND(AG$6&gt;0,$A945&lt;AG$6),AND(AG$7&gt;0,$A945&gt;AG$7)),0,MAX(0,ROUND((INDEX($E945:$G945,AG$5)-SUMIFS(TF_Timer,TF_Tekniker,AG$4,TF_Dato,$A945))*2,0)/2)))</f>
        <v/>
      </c>
      <c r="AH945">
        <f>IF(OR(AH$4="",$A945&gt;TODAY()),0,IF(OR(INDEX($B945:$D945,AH$5)="F",AND(AH$6&gt;0,$A945&lt;AH$6),AND(AH$7&gt;0,$A945&gt;AH$7)),0,MAX(0,ROUND((INDEX($E945:$G945,AH$5)-SUMIFS(TF_Timer,TF_Tekniker,AH$4,TF_Dato,$A945))*2,0)/2)))</f>
        <v/>
      </c>
      <c r="AI945">
        <f>IF(OR(AI$4="",$A945&gt;TODAY()),0,IF(OR(INDEX($B945:$D945,AI$5)="F",AND(AI$6&gt;0,$A945&lt;AI$6),AND(AI$7&gt;0,$A945&gt;AI$7)),0,MAX(0,ROUND((INDEX($E945:$G945,AI$5)-SUMIFS(TF_Timer,TF_Tekniker,AI$4,TF_Dato,$A945))*2,0)/2)))</f>
        <v/>
      </c>
      <c r="AJ945">
        <f>IF(OR(AJ$4="",$A945&gt;TODAY()),0,IF(OR(INDEX($B945:$D945,AJ$5)="F",AND(AJ$6&gt;0,$A945&lt;AJ$6),AND(AJ$7&gt;0,$A945&gt;AJ$7)),0,MAX(0,ROUND((INDEX($E945:$G945,AJ$5)-SUMIFS(TF_Timer,TF_Tekniker,AJ$4,TF_Dato,$A945))*2,0)/2)))</f>
        <v/>
      </c>
      <c r="AK945">
        <f>IF(OR(AK$4="",$A945&gt;TODAY()),0,IF(OR(INDEX($B945:$D945,AK$5)="F",AND(AK$6&gt;0,$A945&lt;AK$6),AND(AK$7&gt;0,$A945&gt;AK$7)),0,MAX(0,ROUND((INDEX($E945:$G945,AK$5)-SUMIFS(TF_Timer,TF_Tekniker,AK$4,TF_Dato,$A945))*2,0)/2)))</f>
        <v/>
      </c>
      <c r="AL945">
        <f>IF(OR(AL$4="",$A945&gt;TODAY()),0,IF(OR(INDEX($B945:$D945,AL$5)="F",AND(AL$6&gt;0,$A945&lt;AL$6),AND(AL$7&gt;0,$A945&gt;AL$7)),0,MAX(0,ROUND((INDEX($E945:$G945,AL$5)-SUMIFS(TF_Timer,TF_Tekniker,AL$4,TF_Dato,$A945))*2,0)/2)))</f>
        <v/>
      </c>
      <c r="AM945">
        <f>IF(OR(AM$4="",$A945&gt;TODAY()),0,IF(OR(INDEX($B945:$D945,AM$5)="F",AND(AM$6&gt;0,$A945&lt;AM$6),AND(AM$7&gt;0,$A945&gt;AM$7)),0,MAX(0,ROUND((INDEX($E945:$G945,AM$5)-SUMIFS(TF_Timer,TF_Tekniker,AM$4,TF_Dato,$A945))*2,0)/2)))</f>
        <v/>
      </c>
      <c r="AN945">
        <f>IF(OR(AN$4="",$A945&gt;TODAY()),0,IF(OR(INDEX($B945:$D945,AN$5)="F",AND(AN$6&gt;0,$A945&lt;AN$6),AND(AN$7&gt;0,$A945&gt;AN$7)),0,MAX(0,ROUND((INDEX($E945:$G945,AN$5)-SUMIFS(TF_Timer,TF_Tekniker,AN$4,TF_Dato,$A945))*2,0)/2)))</f>
        <v/>
      </c>
      <c r="AO945">
        <f>IF(OR(AO$4="",$A945&gt;TODAY()),0,IF(OR(INDEX($B945:$D945,AO$5)="F",AND(AO$6&gt;0,$A945&lt;AO$6),AND(AO$7&gt;0,$A945&gt;AO$7)),0,MAX(0,ROUND((INDEX($E945:$G945,AO$5)-SUMIFS(TF_Timer,TF_Tekniker,AO$4,TF_Dato,$A945))*2,0)/2)))</f>
        <v/>
      </c>
      <c r="AP945">
        <f>IF(OR(AP$4="",$A945&gt;TODAY()),0,IF(OR(INDEX($B945:$D945,AP$5)="F",AND(AP$6&gt;0,$A945&lt;AP$6),AND(AP$7&gt;0,$A945&gt;AP$7)),0,MAX(0,ROUND((INDEX($E945:$G945,AP$5)-SUMIFS(TF_Timer,TF_Tekniker,AP$4,TF_Dato,$A945))*2,0)/2)))</f>
        <v/>
      </c>
      <c r="AQ945">
        <f>IF(OR(AQ$4="",$A945&gt;TODAY()),0,IF(OR(INDEX($B945:$D945,AQ$5)="F",AND(AQ$6&gt;0,$A945&lt;AQ$6),AND(AQ$7&gt;0,$A945&gt;AQ$7)),0,MAX(0,ROUND((INDEX($E945:$G945,AQ$5)-SUMIFS(TF_Timer,TF_Tekniker,AQ$4,TF_Dato,$A945))*2,0)/2)))</f>
        <v/>
      </c>
      <c r="AR945">
        <f>IF(OR(AR$4="",$A945&gt;TODAY()),0,IF(OR(INDEX($B945:$D945,AR$5)="F",AND(AR$6&gt;0,$A945&lt;AR$6),AND(AR$7&gt;0,$A945&gt;AR$7)),0,MAX(0,ROUND((INDEX($E945:$G945,AR$5)-SUMIFS(TF_Timer,TF_Tekniker,AR$4,TF_Dato,$A945))*2,0)/2)))</f>
        <v/>
      </c>
      <c r="AS945">
        <f>IF(OR(AS$4="",$A945&gt;TODAY()),0,IF(OR(INDEX($B945:$D945,AS$5)="F",AND(AS$6&gt;0,$A945&lt;AS$6),AND(AS$7&gt;0,$A945&gt;AS$7)),0,MAX(0,ROUND((INDEX($E945:$G945,AS$5)-SUMIFS(TF_Timer,TF_Tekniker,AS$4,TF_Dato,$A945))*2,0)/2)))</f>
        <v/>
      </c>
      <c r="AT945">
        <f>IF(OR(AT$4="",$A945&gt;TODAY()),0,IF(OR(INDEX($B945:$D945,AT$5)="F",AND(AT$6&gt;0,$A945&lt;AT$6),AND(AT$7&gt;0,$A945&gt;AT$7)),0,MAX(0,ROUND((INDEX($E945:$G945,AT$5)-SUMIFS(TF_Timer,TF_Tekniker,AT$4,TF_Dato,$A945))*2,0)/2)))</f>
        <v/>
      </c>
      <c r="AU945">
        <f>IF(OR(AU$4="",$A945&gt;TODAY()),0,IF(OR(INDEX($B945:$D945,AU$5)="F",AND(AU$6&gt;0,$A945&lt;AU$6),AND(AU$7&gt;0,$A945&gt;AU$7)),0,MAX(0,ROUND((INDEX($E945:$G945,AU$5)-SUMIFS(TF_Timer,TF_Tekniker,AU$4,TF_Dato,$A945))*2,0)/2)))</f>
        <v/>
      </c>
      <c r="AV945">
        <f>IF(OR(AV$4="",$A945&gt;TODAY()),0,IF(OR(INDEX($B945:$D945,AV$5)="F",AND(AV$6&gt;0,$A945&lt;AV$6),AND(AV$7&gt;0,$A945&gt;AV$7)),0,MAX(0,ROUND((INDEX($E945:$G945,AV$5)-SUMIFS(TF_Timer,TF_Tekniker,AV$4,TF_Dato,$A945))*2,0)/2)))</f>
        <v/>
      </c>
      <c r="AW945">
        <f>IF(OR(AW$4="",$A945&gt;TODAY()),0,IF(OR(INDEX($B945:$D945,AW$5)="F",AND(AW$6&gt;0,$A945&lt;AW$6),AND(AW$7&gt;0,$A945&gt;AW$7)),0,MAX(0,ROUND((INDEX($E945:$G945,AW$5)-SUMIFS(TF_Timer,TF_Tekniker,AW$4,TF_Dato,$A945))*2,0)/2)))</f>
        <v/>
      </c>
      <c r="AX945">
        <f>IF(OR(AX$4="",$A945&gt;TODAY()),0,IF(OR(INDEX($B945:$D945,AX$5)="F",AND(AX$6&gt;0,$A945&lt;AX$6),AND(AX$7&gt;0,$A945&gt;AX$7)),0,MAX(0,ROUND((INDEX($E945:$G945,AX$5)-SUMIFS(TF_Timer,TF_Tekniker,AX$4,TF_Dato,$A945))*2,0)/2)))</f>
        <v/>
      </c>
      <c r="AY945">
        <f>IF(OR(AY$4="",$A945&gt;TODAY()),0,IF(OR(INDEX($B945:$D945,AY$5)="F",AND(AY$6&gt;0,$A945&lt;AY$6),AND(AY$7&gt;0,$A945&gt;AY$7)),0,MAX(0,ROUND((INDEX($E945:$G945,AY$5)-SUMIFS(TF_Timer,TF_Tekniker,AY$4,TF_Dato,$A945))*2,0)/2)))</f>
        <v/>
      </c>
      <c r="AZ945">
        <f>IF(OR(AZ$4="",$A945&gt;TODAY()),0,IF(OR(INDEX($B945:$D945,AZ$5)="F",AND(AZ$6&gt;0,$A945&lt;AZ$6),AND(AZ$7&gt;0,$A945&gt;AZ$7)),0,MAX(0,ROUND((INDEX($E945:$G945,AZ$5)-SUMIFS(TF_Timer,TF_Tekniker,AZ$4,TF_Dato,$A945))*2,0)/2)))</f>
        <v/>
      </c>
      <c r="BA945">
        <f>IF(OR(BA$4="",$A945&gt;TODAY()),0,IF(OR(INDEX($B945:$D945,BA$5)="F",AND(BA$6&gt;0,$A945&lt;BA$6),AND(BA$7&gt;0,$A945&gt;BA$7)),0,MAX(0,ROUND((INDEX($E945:$G945,BA$5)-SUMIFS(TF_Timer,TF_Tekniker,BA$4,TF_Dato,$A945))*2,0)/2)))</f>
        <v/>
      </c>
      <c r="BB945">
        <f>IF(OR(BB$4="",$A945&gt;TODAY()),0,IF(OR(INDEX($B945:$D945,BB$5)="F",AND(BB$6&gt;0,$A945&lt;BB$6),AND(BB$7&gt;0,$A945&gt;BB$7)),0,MAX(0,ROUND((INDEX($E945:$G945,BB$5)-SUMIFS(TF_Timer,TF_Tekniker,BB$4,TF_Dato,$A945))*2,0)/2)))</f>
        <v/>
      </c>
      <c r="BC945">
        <f>IF(OR(BC$4="",$A945&gt;TODAY()),0,IF(OR(INDEX($B945:$D945,BC$5)="F",AND(BC$6&gt;0,$A945&lt;BC$6),AND(BC$7&gt;0,$A945&gt;BC$7)),0,MAX(0,ROUND((INDEX($E945:$G945,BC$5)-SUMIFS(TF_Timer,TF_Tekniker,BC$4,TF_Dato,$A945))*2,0)/2)))</f>
        <v/>
      </c>
      <c r="BD945">
        <f>IF(OR(BD$4="",$A945&gt;TODAY()),0,IF(OR(INDEX($B945:$D945,BD$5)="F",AND(BD$6&gt;0,$A945&lt;BD$6),AND(BD$7&gt;0,$A945&gt;BD$7)),0,MAX(0,ROUND((INDEX($E945:$G945,BD$5)-SUMIFS(TF_Timer,TF_Tekniker,BD$4,TF_Dato,$A945))*2,0)/2)))</f>
        <v/>
      </c>
      <c r="BE945">
        <f>IF(OR(BE$4="",$A945&gt;TODAY()),0,IF(OR(INDEX($B945:$D945,BE$5)="F",AND(BE$6&gt;0,$A945&lt;BE$6),AND(BE$7&gt;0,$A945&gt;BE$7)),0,MAX(0,ROUND((INDEX($E945:$G945,BE$5)-SUMIFS(TF_Timer,TF_Tekniker,BE$4,TF_Dato,$A945))*2,0)/2)))</f>
        <v/>
      </c>
      <c r="BF945">
        <f>IF(OR(BF$4="",$A945&gt;TODAY()),0,IF(OR(INDEX($B945:$D945,BF$5)="F",AND(BF$6&gt;0,$A945&lt;BF$6),AND(BF$7&gt;0,$A945&gt;BF$7)),0,MAX(0,ROUND((INDEX($E945:$G945,BF$5)-SUMIFS(TF_Timer,TF_Tekniker,BF$4,TF_Dato,$A945))*2,0)/2)))</f>
        <v/>
      </c>
      <c r="BG945">
        <f>IF(OR(BG$4="",$A945&gt;TODAY()),0,IF(OR(INDEX($B945:$D945,BG$5)="F",AND(BG$6&gt;0,$A945&lt;BG$6),AND(BG$7&gt;0,$A945&gt;BG$7)),0,MAX(0,ROUND((INDEX($E945:$G945,BG$5)-SUMIFS(TF_Timer,TF_Tekniker,BG$4,TF_Dato,$A945))*2,0)/2)))</f>
        <v/>
      </c>
      <c r="BH945">
        <f>IF(OR(BH$4="",$A945&gt;TODAY()),0,IF(OR(INDEX($B945:$D945,BH$5)="F",AND(BH$6&gt;0,$A945&lt;BH$6),AND(BH$7&gt;0,$A945&gt;BH$7)),0,MAX(0,ROUND((INDEX($E945:$G945,BH$5)-SUMIFS(TF_Timer,TF_Tekniker,BH$4,TF_Dato,$A945))*2,0)/2)))</f>
        <v/>
      </c>
      <c r="BI945">
        <f>IF(OR(BI$4="",$A945&gt;TODAY()),0,IF(OR(INDEX($B945:$D945,BI$5)="F",AND(BI$6&gt;0,$A945&lt;BI$6),AND(BI$7&gt;0,$A945&gt;BI$7)),0,MAX(0,ROUND((INDEX($E945:$G945,BI$5)-SUMIFS(TF_Timer,TF_Tekniker,BI$4,TF_Dato,$A945))*2,0)/2)))</f>
        <v/>
      </c>
    </row>
    <row r="946">
      <c r="A946" s="64">
        <f>A945+1</f>
        <v/>
      </c>
      <c r="B946">
        <f>IF(MOD($A946-INDEX(SkiftStart,1),Syklus)&lt;DagK,"K",IF(MOD($A946-INDEX(SkiftStart,1),Syklus)&lt;DagK+DagH,"H",IF(MOD($A946-INDEX(SkiftStart,1),Syklus)&lt;DagK+DagH+DagD,"D","F")))</f>
        <v/>
      </c>
      <c r="C946">
        <f>IF(MOD($A946-INDEX(SkiftStart,2),Syklus)&lt;DagK,"K",IF(MOD($A946-INDEX(SkiftStart,2),Syklus)&lt;DagK+DagH,"H",IF(MOD($A946-INDEX(SkiftStart,2),Syklus)&lt;DagK+DagH+DagD,"D","F")))</f>
        <v/>
      </c>
      <c r="D946">
        <f>IF(MOD($A946-INDEX(SkiftStart,3),Syklus)&lt;DagK,"K",IF(MOD($A946-INDEX(SkiftStart,3),Syklus)&lt;DagK+DagH,"H",IF(MOD($A946-INDEX(SkiftStart,3),Syklus)&lt;DagK+DagH+DagD,"D","F")))</f>
        <v/>
      </c>
      <c r="E946">
        <f>IF(B946="F",0,IF(WEEKDAY($A946,2)=5,INDEX(TimerFr,MATCH(B946,FaseKode,0)),INDEX(TimerMT,MATCH(B946,FaseKode,0))))</f>
        <v/>
      </c>
      <c r="F946">
        <f>IF(C946="F",0,IF(WEEKDAY($A946,2)=5,INDEX(TimerFr,MATCH(C946,FaseKode,0)),INDEX(TimerMT,MATCH(C946,FaseKode,0))))</f>
        <v/>
      </c>
      <c r="G946">
        <f>IF(D946="F",0,IF(WEEKDAY($A946,2)=5,INDEX(TimerFr,MATCH(D946,FaseKode,0)),INDEX(TimerMT,MATCH(D946,FaseKode,0))))</f>
        <v/>
      </c>
      <c r="H946">
        <f>IF(OR(H$4="",$A946&gt;TODAY()),0,IF(OR(INDEX($B946:$D946,H$5)="F",AND(H$6&gt;0,$A946&lt;H$6),AND(H$7&gt;0,$A946&gt;H$7)),0,MAX(0,ROUND((INDEX($E946:$G946,H$5)-SUMIFS(TF_Timer,TF_Tekniker,H$4,TF_Dato,$A946))*2,0)/2)))</f>
        <v/>
      </c>
      <c r="I946">
        <f>IF(OR(I$4="",$A946&gt;TODAY()),0,IF(OR(INDEX($B946:$D946,I$5)="F",AND(I$6&gt;0,$A946&lt;I$6),AND(I$7&gt;0,$A946&gt;I$7)),0,MAX(0,ROUND((INDEX($E946:$G946,I$5)-SUMIFS(TF_Timer,TF_Tekniker,I$4,TF_Dato,$A946))*2,0)/2)))</f>
        <v/>
      </c>
      <c r="J946">
        <f>IF(OR(J$4="",$A946&gt;TODAY()),0,IF(OR(INDEX($B946:$D946,J$5)="F",AND(J$6&gt;0,$A946&lt;J$6),AND(J$7&gt;0,$A946&gt;J$7)),0,MAX(0,ROUND((INDEX($E946:$G946,J$5)-SUMIFS(TF_Timer,TF_Tekniker,J$4,TF_Dato,$A946))*2,0)/2)))</f>
        <v/>
      </c>
      <c r="K946">
        <f>IF(OR(K$4="",$A946&gt;TODAY()),0,IF(OR(INDEX($B946:$D946,K$5)="F",AND(K$6&gt;0,$A946&lt;K$6),AND(K$7&gt;0,$A946&gt;K$7)),0,MAX(0,ROUND((INDEX($E946:$G946,K$5)-SUMIFS(TF_Timer,TF_Tekniker,K$4,TF_Dato,$A946))*2,0)/2)))</f>
        <v/>
      </c>
      <c r="L946">
        <f>IF(OR(L$4="",$A946&gt;TODAY()),0,IF(OR(INDEX($B946:$D946,L$5)="F",AND(L$6&gt;0,$A946&lt;L$6),AND(L$7&gt;0,$A946&gt;L$7)),0,MAX(0,ROUND((INDEX($E946:$G946,L$5)-SUMIFS(TF_Timer,TF_Tekniker,L$4,TF_Dato,$A946))*2,0)/2)))</f>
        <v/>
      </c>
      <c r="M946">
        <f>IF(OR(M$4="",$A946&gt;TODAY()),0,IF(OR(INDEX($B946:$D946,M$5)="F",AND(M$6&gt;0,$A946&lt;M$6),AND(M$7&gt;0,$A946&gt;M$7)),0,MAX(0,ROUND((INDEX($E946:$G946,M$5)-SUMIFS(TF_Timer,TF_Tekniker,M$4,TF_Dato,$A946))*2,0)/2)))</f>
        <v/>
      </c>
      <c r="N946">
        <f>IF(OR(N$4="",$A946&gt;TODAY()),0,IF(OR(INDEX($B946:$D946,N$5)="F",AND(N$6&gt;0,$A946&lt;N$6),AND(N$7&gt;0,$A946&gt;N$7)),0,MAX(0,ROUND((INDEX($E946:$G946,N$5)-SUMIFS(TF_Timer,TF_Tekniker,N$4,TF_Dato,$A946))*2,0)/2)))</f>
        <v/>
      </c>
      <c r="O946">
        <f>IF(OR(O$4="",$A946&gt;TODAY()),0,IF(OR(INDEX($B946:$D946,O$5)="F",AND(O$6&gt;0,$A946&lt;O$6),AND(O$7&gt;0,$A946&gt;O$7)),0,MAX(0,ROUND((INDEX($E946:$G946,O$5)-SUMIFS(TF_Timer,TF_Tekniker,O$4,TF_Dato,$A946))*2,0)/2)))</f>
        <v/>
      </c>
      <c r="P946">
        <f>IF(OR(P$4="",$A946&gt;TODAY()),0,IF(OR(INDEX($B946:$D946,P$5)="F",AND(P$6&gt;0,$A946&lt;P$6),AND(P$7&gt;0,$A946&gt;P$7)),0,MAX(0,ROUND((INDEX($E946:$G946,P$5)-SUMIFS(TF_Timer,TF_Tekniker,P$4,TF_Dato,$A946))*2,0)/2)))</f>
        <v/>
      </c>
      <c r="Q946">
        <f>IF(OR(Q$4="",$A946&gt;TODAY()),0,IF(OR(INDEX($B946:$D946,Q$5)="F",AND(Q$6&gt;0,$A946&lt;Q$6),AND(Q$7&gt;0,$A946&gt;Q$7)),0,MAX(0,ROUND((INDEX($E946:$G946,Q$5)-SUMIFS(TF_Timer,TF_Tekniker,Q$4,TF_Dato,$A946))*2,0)/2)))</f>
        <v/>
      </c>
      <c r="R946">
        <f>IF(OR(R$4="",$A946&gt;TODAY()),0,IF(OR(INDEX($B946:$D946,R$5)="F",AND(R$6&gt;0,$A946&lt;R$6),AND(R$7&gt;0,$A946&gt;R$7)),0,MAX(0,ROUND((INDEX($E946:$G946,R$5)-SUMIFS(TF_Timer,TF_Tekniker,R$4,TF_Dato,$A946))*2,0)/2)))</f>
        <v/>
      </c>
      <c r="S946">
        <f>IF(OR(S$4="",$A946&gt;TODAY()),0,IF(OR(INDEX($B946:$D946,S$5)="F",AND(S$6&gt;0,$A946&lt;S$6),AND(S$7&gt;0,$A946&gt;S$7)),0,MAX(0,ROUND((INDEX($E946:$G946,S$5)-SUMIFS(TF_Timer,TF_Tekniker,S$4,TF_Dato,$A946))*2,0)/2)))</f>
        <v/>
      </c>
      <c r="T946">
        <f>IF(OR(T$4="",$A946&gt;TODAY()),0,IF(OR(INDEX($B946:$D946,T$5)="F",AND(T$6&gt;0,$A946&lt;T$6),AND(T$7&gt;0,$A946&gt;T$7)),0,MAX(0,ROUND((INDEX($E946:$G946,T$5)-SUMIFS(TF_Timer,TF_Tekniker,T$4,TF_Dato,$A946))*2,0)/2)))</f>
        <v/>
      </c>
      <c r="U946">
        <f>IF(OR(U$4="",$A946&gt;TODAY()),0,IF(OR(INDEX($B946:$D946,U$5)="F",AND(U$6&gt;0,$A946&lt;U$6),AND(U$7&gt;0,$A946&gt;U$7)),0,MAX(0,ROUND((INDEX($E946:$G946,U$5)-SUMIFS(TF_Timer,TF_Tekniker,U$4,TF_Dato,$A946))*2,0)/2)))</f>
        <v/>
      </c>
      <c r="V946">
        <f>IF(OR(V$4="",$A946&gt;TODAY()),0,IF(OR(INDEX($B946:$D946,V$5)="F",AND(V$6&gt;0,$A946&lt;V$6),AND(V$7&gt;0,$A946&gt;V$7)),0,MAX(0,ROUND((INDEX($E946:$G946,V$5)-SUMIFS(TF_Timer,TF_Tekniker,V$4,TF_Dato,$A946))*2,0)/2)))</f>
        <v/>
      </c>
      <c r="W946">
        <f>IF(OR(W$4="",$A946&gt;TODAY()),0,IF(OR(INDEX($B946:$D946,W$5)="F",AND(W$6&gt;0,$A946&lt;W$6),AND(W$7&gt;0,$A946&gt;W$7)),0,MAX(0,ROUND((INDEX($E946:$G946,W$5)-SUMIFS(TF_Timer,TF_Tekniker,W$4,TF_Dato,$A946))*2,0)/2)))</f>
        <v/>
      </c>
      <c r="X946">
        <f>IF(OR(X$4="",$A946&gt;TODAY()),0,IF(OR(INDEX($B946:$D946,X$5)="F",AND(X$6&gt;0,$A946&lt;X$6),AND(X$7&gt;0,$A946&gt;X$7)),0,MAX(0,ROUND((INDEX($E946:$G946,X$5)-SUMIFS(TF_Timer,TF_Tekniker,X$4,TF_Dato,$A946))*2,0)/2)))</f>
        <v/>
      </c>
      <c r="Y946">
        <f>IF(OR(Y$4="",$A946&gt;TODAY()),0,IF(OR(INDEX($B946:$D946,Y$5)="F",AND(Y$6&gt;0,$A946&lt;Y$6),AND(Y$7&gt;0,$A946&gt;Y$7)),0,MAX(0,ROUND((INDEX($E946:$G946,Y$5)-SUMIFS(TF_Timer,TF_Tekniker,Y$4,TF_Dato,$A946))*2,0)/2)))</f>
        <v/>
      </c>
      <c r="Z946">
        <f>IF(OR(Z$4="",$A946&gt;TODAY()),0,IF(OR(INDEX($B946:$D946,Z$5)="F",AND(Z$6&gt;0,$A946&lt;Z$6),AND(Z$7&gt;0,$A946&gt;Z$7)),0,MAX(0,ROUND((INDEX($E946:$G946,Z$5)-SUMIFS(TF_Timer,TF_Tekniker,Z$4,TF_Dato,$A946))*2,0)/2)))</f>
        <v/>
      </c>
      <c r="AA946">
        <f>IF(OR(AA$4="",$A946&gt;TODAY()),0,IF(OR(INDEX($B946:$D946,AA$5)="F",AND(AA$6&gt;0,$A946&lt;AA$6),AND(AA$7&gt;0,$A946&gt;AA$7)),0,MAX(0,ROUND((INDEX($E946:$G946,AA$5)-SUMIFS(TF_Timer,TF_Tekniker,AA$4,TF_Dato,$A946))*2,0)/2)))</f>
        <v/>
      </c>
      <c r="AB946">
        <f>IF(OR(AB$4="",$A946&gt;TODAY()),0,IF(OR(INDEX($B946:$D946,AB$5)="F",AND(AB$6&gt;0,$A946&lt;AB$6),AND(AB$7&gt;0,$A946&gt;AB$7)),0,MAX(0,ROUND((INDEX($E946:$G946,AB$5)-SUMIFS(TF_Timer,TF_Tekniker,AB$4,TF_Dato,$A946))*2,0)/2)))</f>
        <v/>
      </c>
      <c r="AC946">
        <f>IF(OR(AC$4="",$A946&gt;TODAY()),0,IF(OR(INDEX($B946:$D946,AC$5)="F",AND(AC$6&gt;0,$A946&lt;AC$6),AND(AC$7&gt;0,$A946&gt;AC$7)),0,MAX(0,ROUND((INDEX($E946:$G946,AC$5)-SUMIFS(TF_Timer,TF_Tekniker,AC$4,TF_Dato,$A946))*2,0)/2)))</f>
        <v/>
      </c>
      <c r="AD946">
        <f>IF(OR(AD$4="",$A946&gt;TODAY()),0,IF(OR(INDEX($B946:$D946,AD$5)="F",AND(AD$6&gt;0,$A946&lt;AD$6),AND(AD$7&gt;0,$A946&gt;AD$7)),0,MAX(0,ROUND((INDEX($E946:$G946,AD$5)-SUMIFS(TF_Timer,TF_Tekniker,AD$4,TF_Dato,$A946))*2,0)/2)))</f>
        <v/>
      </c>
      <c r="AE946">
        <f>IF(OR(AE$4="",$A946&gt;TODAY()),0,IF(OR(INDEX($B946:$D946,AE$5)="F",AND(AE$6&gt;0,$A946&lt;AE$6),AND(AE$7&gt;0,$A946&gt;AE$7)),0,MAX(0,ROUND((INDEX($E946:$G946,AE$5)-SUMIFS(TF_Timer,TF_Tekniker,AE$4,TF_Dato,$A946))*2,0)/2)))</f>
        <v/>
      </c>
      <c r="AF946">
        <f>IF(OR(AF$4="",$A946&gt;TODAY()),0,IF(OR(INDEX($B946:$D946,AF$5)="F",AND(AF$6&gt;0,$A946&lt;AF$6),AND(AF$7&gt;0,$A946&gt;AF$7)),0,MAX(0,ROUND((INDEX($E946:$G946,AF$5)-SUMIFS(TF_Timer,TF_Tekniker,AF$4,TF_Dato,$A946))*2,0)/2)))</f>
        <v/>
      </c>
      <c r="AG946">
        <f>IF(OR(AG$4="",$A946&gt;TODAY()),0,IF(OR(INDEX($B946:$D946,AG$5)="F",AND(AG$6&gt;0,$A946&lt;AG$6),AND(AG$7&gt;0,$A946&gt;AG$7)),0,MAX(0,ROUND((INDEX($E946:$G946,AG$5)-SUMIFS(TF_Timer,TF_Tekniker,AG$4,TF_Dato,$A946))*2,0)/2)))</f>
        <v/>
      </c>
      <c r="AH946">
        <f>IF(OR(AH$4="",$A946&gt;TODAY()),0,IF(OR(INDEX($B946:$D946,AH$5)="F",AND(AH$6&gt;0,$A946&lt;AH$6),AND(AH$7&gt;0,$A946&gt;AH$7)),0,MAX(0,ROUND((INDEX($E946:$G946,AH$5)-SUMIFS(TF_Timer,TF_Tekniker,AH$4,TF_Dato,$A946))*2,0)/2)))</f>
        <v/>
      </c>
      <c r="AI946">
        <f>IF(OR(AI$4="",$A946&gt;TODAY()),0,IF(OR(INDEX($B946:$D946,AI$5)="F",AND(AI$6&gt;0,$A946&lt;AI$6),AND(AI$7&gt;0,$A946&gt;AI$7)),0,MAX(0,ROUND((INDEX($E946:$G946,AI$5)-SUMIFS(TF_Timer,TF_Tekniker,AI$4,TF_Dato,$A946))*2,0)/2)))</f>
        <v/>
      </c>
      <c r="AJ946">
        <f>IF(OR(AJ$4="",$A946&gt;TODAY()),0,IF(OR(INDEX($B946:$D946,AJ$5)="F",AND(AJ$6&gt;0,$A946&lt;AJ$6),AND(AJ$7&gt;0,$A946&gt;AJ$7)),0,MAX(0,ROUND((INDEX($E946:$G946,AJ$5)-SUMIFS(TF_Timer,TF_Tekniker,AJ$4,TF_Dato,$A946))*2,0)/2)))</f>
        <v/>
      </c>
      <c r="AK946">
        <f>IF(OR(AK$4="",$A946&gt;TODAY()),0,IF(OR(INDEX($B946:$D946,AK$5)="F",AND(AK$6&gt;0,$A946&lt;AK$6),AND(AK$7&gt;0,$A946&gt;AK$7)),0,MAX(0,ROUND((INDEX($E946:$G946,AK$5)-SUMIFS(TF_Timer,TF_Tekniker,AK$4,TF_Dato,$A946))*2,0)/2)))</f>
        <v/>
      </c>
      <c r="AL946">
        <f>IF(OR(AL$4="",$A946&gt;TODAY()),0,IF(OR(INDEX($B946:$D946,AL$5)="F",AND(AL$6&gt;0,$A946&lt;AL$6),AND(AL$7&gt;0,$A946&gt;AL$7)),0,MAX(0,ROUND((INDEX($E946:$G946,AL$5)-SUMIFS(TF_Timer,TF_Tekniker,AL$4,TF_Dato,$A946))*2,0)/2)))</f>
        <v/>
      </c>
      <c r="AM946">
        <f>IF(OR(AM$4="",$A946&gt;TODAY()),0,IF(OR(INDEX($B946:$D946,AM$5)="F",AND(AM$6&gt;0,$A946&lt;AM$6),AND(AM$7&gt;0,$A946&gt;AM$7)),0,MAX(0,ROUND((INDEX($E946:$G946,AM$5)-SUMIFS(TF_Timer,TF_Tekniker,AM$4,TF_Dato,$A946))*2,0)/2)))</f>
        <v/>
      </c>
      <c r="AN946">
        <f>IF(OR(AN$4="",$A946&gt;TODAY()),0,IF(OR(INDEX($B946:$D946,AN$5)="F",AND(AN$6&gt;0,$A946&lt;AN$6),AND(AN$7&gt;0,$A946&gt;AN$7)),0,MAX(0,ROUND((INDEX($E946:$G946,AN$5)-SUMIFS(TF_Timer,TF_Tekniker,AN$4,TF_Dato,$A946))*2,0)/2)))</f>
        <v/>
      </c>
      <c r="AO946">
        <f>IF(OR(AO$4="",$A946&gt;TODAY()),0,IF(OR(INDEX($B946:$D946,AO$5)="F",AND(AO$6&gt;0,$A946&lt;AO$6),AND(AO$7&gt;0,$A946&gt;AO$7)),0,MAX(0,ROUND((INDEX($E946:$G946,AO$5)-SUMIFS(TF_Timer,TF_Tekniker,AO$4,TF_Dato,$A946))*2,0)/2)))</f>
        <v/>
      </c>
      <c r="AP946">
        <f>IF(OR(AP$4="",$A946&gt;TODAY()),0,IF(OR(INDEX($B946:$D946,AP$5)="F",AND(AP$6&gt;0,$A946&lt;AP$6),AND(AP$7&gt;0,$A946&gt;AP$7)),0,MAX(0,ROUND((INDEX($E946:$G946,AP$5)-SUMIFS(TF_Timer,TF_Tekniker,AP$4,TF_Dato,$A946))*2,0)/2)))</f>
        <v/>
      </c>
      <c r="AQ946">
        <f>IF(OR(AQ$4="",$A946&gt;TODAY()),0,IF(OR(INDEX($B946:$D946,AQ$5)="F",AND(AQ$6&gt;0,$A946&lt;AQ$6),AND(AQ$7&gt;0,$A946&gt;AQ$7)),0,MAX(0,ROUND((INDEX($E946:$G946,AQ$5)-SUMIFS(TF_Timer,TF_Tekniker,AQ$4,TF_Dato,$A946))*2,0)/2)))</f>
        <v/>
      </c>
      <c r="AR946">
        <f>IF(OR(AR$4="",$A946&gt;TODAY()),0,IF(OR(INDEX($B946:$D946,AR$5)="F",AND(AR$6&gt;0,$A946&lt;AR$6),AND(AR$7&gt;0,$A946&gt;AR$7)),0,MAX(0,ROUND((INDEX($E946:$G946,AR$5)-SUMIFS(TF_Timer,TF_Tekniker,AR$4,TF_Dato,$A946))*2,0)/2)))</f>
        <v/>
      </c>
      <c r="AS946">
        <f>IF(OR(AS$4="",$A946&gt;TODAY()),0,IF(OR(INDEX($B946:$D946,AS$5)="F",AND(AS$6&gt;0,$A946&lt;AS$6),AND(AS$7&gt;0,$A946&gt;AS$7)),0,MAX(0,ROUND((INDEX($E946:$G946,AS$5)-SUMIFS(TF_Timer,TF_Tekniker,AS$4,TF_Dato,$A946))*2,0)/2)))</f>
        <v/>
      </c>
      <c r="AT946">
        <f>IF(OR(AT$4="",$A946&gt;TODAY()),0,IF(OR(INDEX($B946:$D946,AT$5)="F",AND(AT$6&gt;0,$A946&lt;AT$6),AND(AT$7&gt;0,$A946&gt;AT$7)),0,MAX(0,ROUND((INDEX($E946:$G946,AT$5)-SUMIFS(TF_Timer,TF_Tekniker,AT$4,TF_Dato,$A946))*2,0)/2)))</f>
        <v/>
      </c>
      <c r="AU946">
        <f>IF(OR(AU$4="",$A946&gt;TODAY()),0,IF(OR(INDEX($B946:$D946,AU$5)="F",AND(AU$6&gt;0,$A946&lt;AU$6),AND(AU$7&gt;0,$A946&gt;AU$7)),0,MAX(0,ROUND((INDEX($E946:$G946,AU$5)-SUMIFS(TF_Timer,TF_Tekniker,AU$4,TF_Dato,$A946))*2,0)/2)))</f>
        <v/>
      </c>
      <c r="AV946">
        <f>IF(OR(AV$4="",$A946&gt;TODAY()),0,IF(OR(INDEX($B946:$D946,AV$5)="F",AND(AV$6&gt;0,$A946&lt;AV$6),AND(AV$7&gt;0,$A946&gt;AV$7)),0,MAX(0,ROUND((INDEX($E946:$G946,AV$5)-SUMIFS(TF_Timer,TF_Tekniker,AV$4,TF_Dato,$A946))*2,0)/2)))</f>
        <v/>
      </c>
      <c r="AW946">
        <f>IF(OR(AW$4="",$A946&gt;TODAY()),0,IF(OR(INDEX($B946:$D946,AW$5)="F",AND(AW$6&gt;0,$A946&lt;AW$6),AND(AW$7&gt;0,$A946&gt;AW$7)),0,MAX(0,ROUND((INDEX($E946:$G946,AW$5)-SUMIFS(TF_Timer,TF_Tekniker,AW$4,TF_Dato,$A946))*2,0)/2)))</f>
        <v/>
      </c>
      <c r="AX946">
        <f>IF(OR(AX$4="",$A946&gt;TODAY()),0,IF(OR(INDEX($B946:$D946,AX$5)="F",AND(AX$6&gt;0,$A946&lt;AX$6),AND(AX$7&gt;0,$A946&gt;AX$7)),0,MAX(0,ROUND((INDEX($E946:$G946,AX$5)-SUMIFS(TF_Timer,TF_Tekniker,AX$4,TF_Dato,$A946))*2,0)/2)))</f>
        <v/>
      </c>
      <c r="AY946">
        <f>IF(OR(AY$4="",$A946&gt;TODAY()),0,IF(OR(INDEX($B946:$D946,AY$5)="F",AND(AY$6&gt;0,$A946&lt;AY$6),AND(AY$7&gt;0,$A946&gt;AY$7)),0,MAX(0,ROUND((INDEX($E946:$G946,AY$5)-SUMIFS(TF_Timer,TF_Tekniker,AY$4,TF_Dato,$A946))*2,0)/2)))</f>
        <v/>
      </c>
      <c r="AZ946">
        <f>IF(OR(AZ$4="",$A946&gt;TODAY()),0,IF(OR(INDEX($B946:$D946,AZ$5)="F",AND(AZ$6&gt;0,$A946&lt;AZ$6),AND(AZ$7&gt;0,$A946&gt;AZ$7)),0,MAX(0,ROUND((INDEX($E946:$G946,AZ$5)-SUMIFS(TF_Timer,TF_Tekniker,AZ$4,TF_Dato,$A946))*2,0)/2)))</f>
        <v/>
      </c>
      <c r="BA946">
        <f>IF(OR(BA$4="",$A946&gt;TODAY()),0,IF(OR(INDEX($B946:$D946,BA$5)="F",AND(BA$6&gt;0,$A946&lt;BA$6),AND(BA$7&gt;0,$A946&gt;BA$7)),0,MAX(0,ROUND((INDEX($E946:$G946,BA$5)-SUMIFS(TF_Timer,TF_Tekniker,BA$4,TF_Dato,$A946))*2,0)/2)))</f>
        <v/>
      </c>
      <c r="BB946">
        <f>IF(OR(BB$4="",$A946&gt;TODAY()),0,IF(OR(INDEX($B946:$D946,BB$5)="F",AND(BB$6&gt;0,$A946&lt;BB$6),AND(BB$7&gt;0,$A946&gt;BB$7)),0,MAX(0,ROUND((INDEX($E946:$G946,BB$5)-SUMIFS(TF_Timer,TF_Tekniker,BB$4,TF_Dato,$A946))*2,0)/2)))</f>
        <v/>
      </c>
      <c r="BC946">
        <f>IF(OR(BC$4="",$A946&gt;TODAY()),0,IF(OR(INDEX($B946:$D946,BC$5)="F",AND(BC$6&gt;0,$A946&lt;BC$6),AND(BC$7&gt;0,$A946&gt;BC$7)),0,MAX(0,ROUND((INDEX($E946:$G946,BC$5)-SUMIFS(TF_Timer,TF_Tekniker,BC$4,TF_Dato,$A946))*2,0)/2)))</f>
        <v/>
      </c>
      <c r="BD946">
        <f>IF(OR(BD$4="",$A946&gt;TODAY()),0,IF(OR(INDEX($B946:$D946,BD$5)="F",AND(BD$6&gt;0,$A946&lt;BD$6),AND(BD$7&gt;0,$A946&gt;BD$7)),0,MAX(0,ROUND((INDEX($E946:$G946,BD$5)-SUMIFS(TF_Timer,TF_Tekniker,BD$4,TF_Dato,$A946))*2,0)/2)))</f>
        <v/>
      </c>
      <c r="BE946">
        <f>IF(OR(BE$4="",$A946&gt;TODAY()),0,IF(OR(INDEX($B946:$D946,BE$5)="F",AND(BE$6&gt;0,$A946&lt;BE$6),AND(BE$7&gt;0,$A946&gt;BE$7)),0,MAX(0,ROUND((INDEX($E946:$G946,BE$5)-SUMIFS(TF_Timer,TF_Tekniker,BE$4,TF_Dato,$A946))*2,0)/2)))</f>
        <v/>
      </c>
      <c r="BF946">
        <f>IF(OR(BF$4="",$A946&gt;TODAY()),0,IF(OR(INDEX($B946:$D946,BF$5)="F",AND(BF$6&gt;0,$A946&lt;BF$6),AND(BF$7&gt;0,$A946&gt;BF$7)),0,MAX(0,ROUND((INDEX($E946:$G946,BF$5)-SUMIFS(TF_Timer,TF_Tekniker,BF$4,TF_Dato,$A946))*2,0)/2)))</f>
        <v/>
      </c>
      <c r="BG946">
        <f>IF(OR(BG$4="",$A946&gt;TODAY()),0,IF(OR(INDEX($B946:$D946,BG$5)="F",AND(BG$6&gt;0,$A946&lt;BG$6),AND(BG$7&gt;0,$A946&gt;BG$7)),0,MAX(0,ROUND((INDEX($E946:$G946,BG$5)-SUMIFS(TF_Timer,TF_Tekniker,BG$4,TF_Dato,$A946))*2,0)/2)))</f>
        <v/>
      </c>
      <c r="BH946">
        <f>IF(OR(BH$4="",$A946&gt;TODAY()),0,IF(OR(INDEX($B946:$D946,BH$5)="F",AND(BH$6&gt;0,$A946&lt;BH$6),AND(BH$7&gt;0,$A946&gt;BH$7)),0,MAX(0,ROUND((INDEX($E946:$G946,BH$5)-SUMIFS(TF_Timer,TF_Tekniker,BH$4,TF_Dato,$A946))*2,0)/2)))</f>
        <v/>
      </c>
      <c r="BI946">
        <f>IF(OR(BI$4="",$A946&gt;TODAY()),0,IF(OR(INDEX($B946:$D946,BI$5)="F",AND(BI$6&gt;0,$A946&lt;BI$6),AND(BI$7&gt;0,$A946&gt;BI$7)),0,MAX(0,ROUND((INDEX($E946:$G946,BI$5)-SUMIFS(TF_Timer,TF_Tekniker,BI$4,TF_Dato,$A946))*2,0)/2)))</f>
        <v/>
      </c>
    </row>
    <row r="947">
      <c r="A947" s="64">
        <f>A946+1</f>
        <v/>
      </c>
      <c r="B947">
        <f>IF(MOD($A947-INDEX(SkiftStart,1),Syklus)&lt;DagK,"K",IF(MOD($A947-INDEX(SkiftStart,1),Syklus)&lt;DagK+DagH,"H",IF(MOD($A947-INDEX(SkiftStart,1),Syklus)&lt;DagK+DagH+DagD,"D","F")))</f>
        <v/>
      </c>
      <c r="C947">
        <f>IF(MOD($A947-INDEX(SkiftStart,2),Syklus)&lt;DagK,"K",IF(MOD($A947-INDEX(SkiftStart,2),Syklus)&lt;DagK+DagH,"H",IF(MOD($A947-INDEX(SkiftStart,2),Syklus)&lt;DagK+DagH+DagD,"D","F")))</f>
        <v/>
      </c>
      <c r="D947">
        <f>IF(MOD($A947-INDEX(SkiftStart,3),Syklus)&lt;DagK,"K",IF(MOD($A947-INDEX(SkiftStart,3),Syklus)&lt;DagK+DagH,"H",IF(MOD($A947-INDEX(SkiftStart,3),Syklus)&lt;DagK+DagH+DagD,"D","F")))</f>
        <v/>
      </c>
      <c r="E947">
        <f>IF(B947="F",0,IF(WEEKDAY($A947,2)=5,INDEX(TimerFr,MATCH(B947,FaseKode,0)),INDEX(TimerMT,MATCH(B947,FaseKode,0))))</f>
        <v/>
      </c>
      <c r="F947">
        <f>IF(C947="F",0,IF(WEEKDAY($A947,2)=5,INDEX(TimerFr,MATCH(C947,FaseKode,0)),INDEX(TimerMT,MATCH(C947,FaseKode,0))))</f>
        <v/>
      </c>
      <c r="G947">
        <f>IF(D947="F",0,IF(WEEKDAY($A947,2)=5,INDEX(TimerFr,MATCH(D947,FaseKode,0)),INDEX(TimerMT,MATCH(D947,FaseKode,0))))</f>
        <v/>
      </c>
      <c r="H947">
        <f>IF(OR(H$4="",$A947&gt;TODAY()),0,IF(OR(INDEX($B947:$D947,H$5)="F",AND(H$6&gt;0,$A947&lt;H$6),AND(H$7&gt;0,$A947&gt;H$7)),0,MAX(0,ROUND((INDEX($E947:$G947,H$5)-SUMIFS(TF_Timer,TF_Tekniker,H$4,TF_Dato,$A947))*2,0)/2)))</f>
        <v/>
      </c>
      <c r="I947">
        <f>IF(OR(I$4="",$A947&gt;TODAY()),0,IF(OR(INDEX($B947:$D947,I$5)="F",AND(I$6&gt;0,$A947&lt;I$6),AND(I$7&gt;0,$A947&gt;I$7)),0,MAX(0,ROUND((INDEX($E947:$G947,I$5)-SUMIFS(TF_Timer,TF_Tekniker,I$4,TF_Dato,$A947))*2,0)/2)))</f>
        <v/>
      </c>
      <c r="J947">
        <f>IF(OR(J$4="",$A947&gt;TODAY()),0,IF(OR(INDEX($B947:$D947,J$5)="F",AND(J$6&gt;0,$A947&lt;J$6),AND(J$7&gt;0,$A947&gt;J$7)),0,MAX(0,ROUND((INDEX($E947:$G947,J$5)-SUMIFS(TF_Timer,TF_Tekniker,J$4,TF_Dato,$A947))*2,0)/2)))</f>
        <v/>
      </c>
      <c r="K947">
        <f>IF(OR(K$4="",$A947&gt;TODAY()),0,IF(OR(INDEX($B947:$D947,K$5)="F",AND(K$6&gt;0,$A947&lt;K$6),AND(K$7&gt;0,$A947&gt;K$7)),0,MAX(0,ROUND((INDEX($E947:$G947,K$5)-SUMIFS(TF_Timer,TF_Tekniker,K$4,TF_Dato,$A947))*2,0)/2)))</f>
        <v/>
      </c>
      <c r="L947">
        <f>IF(OR(L$4="",$A947&gt;TODAY()),0,IF(OR(INDEX($B947:$D947,L$5)="F",AND(L$6&gt;0,$A947&lt;L$6),AND(L$7&gt;0,$A947&gt;L$7)),0,MAX(0,ROUND((INDEX($E947:$G947,L$5)-SUMIFS(TF_Timer,TF_Tekniker,L$4,TF_Dato,$A947))*2,0)/2)))</f>
        <v/>
      </c>
      <c r="M947">
        <f>IF(OR(M$4="",$A947&gt;TODAY()),0,IF(OR(INDEX($B947:$D947,M$5)="F",AND(M$6&gt;0,$A947&lt;M$6),AND(M$7&gt;0,$A947&gt;M$7)),0,MAX(0,ROUND((INDEX($E947:$G947,M$5)-SUMIFS(TF_Timer,TF_Tekniker,M$4,TF_Dato,$A947))*2,0)/2)))</f>
        <v/>
      </c>
      <c r="N947">
        <f>IF(OR(N$4="",$A947&gt;TODAY()),0,IF(OR(INDEX($B947:$D947,N$5)="F",AND(N$6&gt;0,$A947&lt;N$6),AND(N$7&gt;0,$A947&gt;N$7)),0,MAX(0,ROUND((INDEX($E947:$G947,N$5)-SUMIFS(TF_Timer,TF_Tekniker,N$4,TF_Dato,$A947))*2,0)/2)))</f>
        <v/>
      </c>
      <c r="O947">
        <f>IF(OR(O$4="",$A947&gt;TODAY()),0,IF(OR(INDEX($B947:$D947,O$5)="F",AND(O$6&gt;0,$A947&lt;O$6),AND(O$7&gt;0,$A947&gt;O$7)),0,MAX(0,ROUND((INDEX($E947:$G947,O$5)-SUMIFS(TF_Timer,TF_Tekniker,O$4,TF_Dato,$A947))*2,0)/2)))</f>
        <v/>
      </c>
      <c r="P947">
        <f>IF(OR(P$4="",$A947&gt;TODAY()),0,IF(OR(INDEX($B947:$D947,P$5)="F",AND(P$6&gt;0,$A947&lt;P$6),AND(P$7&gt;0,$A947&gt;P$7)),0,MAX(0,ROUND((INDEX($E947:$G947,P$5)-SUMIFS(TF_Timer,TF_Tekniker,P$4,TF_Dato,$A947))*2,0)/2)))</f>
        <v/>
      </c>
      <c r="Q947">
        <f>IF(OR(Q$4="",$A947&gt;TODAY()),0,IF(OR(INDEX($B947:$D947,Q$5)="F",AND(Q$6&gt;0,$A947&lt;Q$6),AND(Q$7&gt;0,$A947&gt;Q$7)),0,MAX(0,ROUND((INDEX($E947:$G947,Q$5)-SUMIFS(TF_Timer,TF_Tekniker,Q$4,TF_Dato,$A947))*2,0)/2)))</f>
        <v/>
      </c>
      <c r="R947">
        <f>IF(OR(R$4="",$A947&gt;TODAY()),0,IF(OR(INDEX($B947:$D947,R$5)="F",AND(R$6&gt;0,$A947&lt;R$6),AND(R$7&gt;0,$A947&gt;R$7)),0,MAX(0,ROUND((INDEX($E947:$G947,R$5)-SUMIFS(TF_Timer,TF_Tekniker,R$4,TF_Dato,$A947))*2,0)/2)))</f>
        <v/>
      </c>
      <c r="S947">
        <f>IF(OR(S$4="",$A947&gt;TODAY()),0,IF(OR(INDEX($B947:$D947,S$5)="F",AND(S$6&gt;0,$A947&lt;S$6),AND(S$7&gt;0,$A947&gt;S$7)),0,MAX(0,ROUND((INDEX($E947:$G947,S$5)-SUMIFS(TF_Timer,TF_Tekniker,S$4,TF_Dato,$A947))*2,0)/2)))</f>
        <v/>
      </c>
      <c r="T947">
        <f>IF(OR(T$4="",$A947&gt;TODAY()),0,IF(OR(INDEX($B947:$D947,T$5)="F",AND(T$6&gt;0,$A947&lt;T$6),AND(T$7&gt;0,$A947&gt;T$7)),0,MAX(0,ROUND((INDEX($E947:$G947,T$5)-SUMIFS(TF_Timer,TF_Tekniker,T$4,TF_Dato,$A947))*2,0)/2)))</f>
        <v/>
      </c>
      <c r="U947">
        <f>IF(OR(U$4="",$A947&gt;TODAY()),0,IF(OR(INDEX($B947:$D947,U$5)="F",AND(U$6&gt;0,$A947&lt;U$6),AND(U$7&gt;0,$A947&gt;U$7)),0,MAX(0,ROUND((INDEX($E947:$G947,U$5)-SUMIFS(TF_Timer,TF_Tekniker,U$4,TF_Dato,$A947))*2,0)/2)))</f>
        <v/>
      </c>
      <c r="V947">
        <f>IF(OR(V$4="",$A947&gt;TODAY()),0,IF(OR(INDEX($B947:$D947,V$5)="F",AND(V$6&gt;0,$A947&lt;V$6),AND(V$7&gt;0,$A947&gt;V$7)),0,MAX(0,ROUND((INDEX($E947:$G947,V$5)-SUMIFS(TF_Timer,TF_Tekniker,V$4,TF_Dato,$A947))*2,0)/2)))</f>
        <v/>
      </c>
      <c r="W947">
        <f>IF(OR(W$4="",$A947&gt;TODAY()),0,IF(OR(INDEX($B947:$D947,W$5)="F",AND(W$6&gt;0,$A947&lt;W$6),AND(W$7&gt;0,$A947&gt;W$7)),0,MAX(0,ROUND((INDEX($E947:$G947,W$5)-SUMIFS(TF_Timer,TF_Tekniker,W$4,TF_Dato,$A947))*2,0)/2)))</f>
        <v/>
      </c>
      <c r="X947">
        <f>IF(OR(X$4="",$A947&gt;TODAY()),0,IF(OR(INDEX($B947:$D947,X$5)="F",AND(X$6&gt;0,$A947&lt;X$6),AND(X$7&gt;0,$A947&gt;X$7)),0,MAX(0,ROUND((INDEX($E947:$G947,X$5)-SUMIFS(TF_Timer,TF_Tekniker,X$4,TF_Dato,$A947))*2,0)/2)))</f>
        <v/>
      </c>
      <c r="Y947">
        <f>IF(OR(Y$4="",$A947&gt;TODAY()),0,IF(OR(INDEX($B947:$D947,Y$5)="F",AND(Y$6&gt;0,$A947&lt;Y$6),AND(Y$7&gt;0,$A947&gt;Y$7)),0,MAX(0,ROUND((INDEX($E947:$G947,Y$5)-SUMIFS(TF_Timer,TF_Tekniker,Y$4,TF_Dato,$A947))*2,0)/2)))</f>
        <v/>
      </c>
      <c r="Z947">
        <f>IF(OR(Z$4="",$A947&gt;TODAY()),0,IF(OR(INDEX($B947:$D947,Z$5)="F",AND(Z$6&gt;0,$A947&lt;Z$6),AND(Z$7&gt;0,$A947&gt;Z$7)),0,MAX(0,ROUND((INDEX($E947:$G947,Z$5)-SUMIFS(TF_Timer,TF_Tekniker,Z$4,TF_Dato,$A947))*2,0)/2)))</f>
        <v/>
      </c>
      <c r="AA947">
        <f>IF(OR(AA$4="",$A947&gt;TODAY()),0,IF(OR(INDEX($B947:$D947,AA$5)="F",AND(AA$6&gt;0,$A947&lt;AA$6),AND(AA$7&gt;0,$A947&gt;AA$7)),0,MAX(0,ROUND((INDEX($E947:$G947,AA$5)-SUMIFS(TF_Timer,TF_Tekniker,AA$4,TF_Dato,$A947))*2,0)/2)))</f>
        <v/>
      </c>
      <c r="AB947">
        <f>IF(OR(AB$4="",$A947&gt;TODAY()),0,IF(OR(INDEX($B947:$D947,AB$5)="F",AND(AB$6&gt;0,$A947&lt;AB$6),AND(AB$7&gt;0,$A947&gt;AB$7)),0,MAX(0,ROUND((INDEX($E947:$G947,AB$5)-SUMIFS(TF_Timer,TF_Tekniker,AB$4,TF_Dato,$A947))*2,0)/2)))</f>
        <v/>
      </c>
      <c r="AC947">
        <f>IF(OR(AC$4="",$A947&gt;TODAY()),0,IF(OR(INDEX($B947:$D947,AC$5)="F",AND(AC$6&gt;0,$A947&lt;AC$6),AND(AC$7&gt;0,$A947&gt;AC$7)),0,MAX(0,ROUND((INDEX($E947:$G947,AC$5)-SUMIFS(TF_Timer,TF_Tekniker,AC$4,TF_Dato,$A947))*2,0)/2)))</f>
        <v/>
      </c>
      <c r="AD947">
        <f>IF(OR(AD$4="",$A947&gt;TODAY()),0,IF(OR(INDEX($B947:$D947,AD$5)="F",AND(AD$6&gt;0,$A947&lt;AD$6),AND(AD$7&gt;0,$A947&gt;AD$7)),0,MAX(0,ROUND((INDEX($E947:$G947,AD$5)-SUMIFS(TF_Timer,TF_Tekniker,AD$4,TF_Dato,$A947))*2,0)/2)))</f>
        <v/>
      </c>
      <c r="AE947">
        <f>IF(OR(AE$4="",$A947&gt;TODAY()),0,IF(OR(INDEX($B947:$D947,AE$5)="F",AND(AE$6&gt;0,$A947&lt;AE$6),AND(AE$7&gt;0,$A947&gt;AE$7)),0,MAX(0,ROUND((INDEX($E947:$G947,AE$5)-SUMIFS(TF_Timer,TF_Tekniker,AE$4,TF_Dato,$A947))*2,0)/2)))</f>
        <v/>
      </c>
      <c r="AF947">
        <f>IF(OR(AF$4="",$A947&gt;TODAY()),0,IF(OR(INDEX($B947:$D947,AF$5)="F",AND(AF$6&gt;0,$A947&lt;AF$6),AND(AF$7&gt;0,$A947&gt;AF$7)),0,MAX(0,ROUND((INDEX($E947:$G947,AF$5)-SUMIFS(TF_Timer,TF_Tekniker,AF$4,TF_Dato,$A947))*2,0)/2)))</f>
        <v/>
      </c>
      <c r="AG947">
        <f>IF(OR(AG$4="",$A947&gt;TODAY()),0,IF(OR(INDEX($B947:$D947,AG$5)="F",AND(AG$6&gt;0,$A947&lt;AG$6),AND(AG$7&gt;0,$A947&gt;AG$7)),0,MAX(0,ROUND((INDEX($E947:$G947,AG$5)-SUMIFS(TF_Timer,TF_Tekniker,AG$4,TF_Dato,$A947))*2,0)/2)))</f>
        <v/>
      </c>
      <c r="AH947">
        <f>IF(OR(AH$4="",$A947&gt;TODAY()),0,IF(OR(INDEX($B947:$D947,AH$5)="F",AND(AH$6&gt;0,$A947&lt;AH$6),AND(AH$7&gt;0,$A947&gt;AH$7)),0,MAX(0,ROUND((INDEX($E947:$G947,AH$5)-SUMIFS(TF_Timer,TF_Tekniker,AH$4,TF_Dato,$A947))*2,0)/2)))</f>
        <v/>
      </c>
      <c r="AI947">
        <f>IF(OR(AI$4="",$A947&gt;TODAY()),0,IF(OR(INDEX($B947:$D947,AI$5)="F",AND(AI$6&gt;0,$A947&lt;AI$6),AND(AI$7&gt;0,$A947&gt;AI$7)),0,MAX(0,ROUND((INDEX($E947:$G947,AI$5)-SUMIFS(TF_Timer,TF_Tekniker,AI$4,TF_Dato,$A947))*2,0)/2)))</f>
        <v/>
      </c>
      <c r="AJ947">
        <f>IF(OR(AJ$4="",$A947&gt;TODAY()),0,IF(OR(INDEX($B947:$D947,AJ$5)="F",AND(AJ$6&gt;0,$A947&lt;AJ$6),AND(AJ$7&gt;0,$A947&gt;AJ$7)),0,MAX(0,ROUND((INDEX($E947:$G947,AJ$5)-SUMIFS(TF_Timer,TF_Tekniker,AJ$4,TF_Dato,$A947))*2,0)/2)))</f>
        <v/>
      </c>
      <c r="AK947">
        <f>IF(OR(AK$4="",$A947&gt;TODAY()),0,IF(OR(INDEX($B947:$D947,AK$5)="F",AND(AK$6&gt;0,$A947&lt;AK$6),AND(AK$7&gt;0,$A947&gt;AK$7)),0,MAX(0,ROUND((INDEX($E947:$G947,AK$5)-SUMIFS(TF_Timer,TF_Tekniker,AK$4,TF_Dato,$A947))*2,0)/2)))</f>
        <v/>
      </c>
      <c r="AL947">
        <f>IF(OR(AL$4="",$A947&gt;TODAY()),0,IF(OR(INDEX($B947:$D947,AL$5)="F",AND(AL$6&gt;0,$A947&lt;AL$6),AND(AL$7&gt;0,$A947&gt;AL$7)),0,MAX(0,ROUND((INDEX($E947:$G947,AL$5)-SUMIFS(TF_Timer,TF_Tekniker,AL$4,TF_Dato,$A947))*2,0)/2)))</f>
        <v/>
      </c>
      <c r="AM947">
        <f>IF(OR(AM$4="",$A947&gt;TODAY()),0,IF(OR(INDEX($B947:$D947,AM$5)="F",AND(AM$6&gt;0,$A947&lt;AM$6),AND(AM$7&gt;0,$A947&gt;AM$7)),0,MAX(0,ROUND((INDEX($E947:$G947,AM$5)-SUMIFS(TF_Timer,TF_Tekniker,AM$4,TF_Dato,$A947))*2,0)/2)))</f>
        <v/>
      </c>
      <c r="AN947">
        <f>IF(OR(AN$4="",$A947&gt;TODAY()),0,IF(OR(INDEX($B947:$D947,AN$5)="F",AND(AN$6&gt;0,$A947&lt;AN$6),AND(AN$7&gt;0,$A947&gt;AN$7)),0,MAX(0,ROUND((INDEX($E947:$G947,AN$5)-SUMIFS(TF_Timer,TF_Tekniker,AN$4,TF_Dato,$A947))*2,0)/2)))</f>
        <v/>
      </c>
      <c r="AO947">
        <f>IF(OR(AO$4="",$A947&gt;TODAY()),0,IF(OR(INDEX($B947:$D947,AO$5)="F",AND(AO$6&gt;0,$A947&lt;AO$6),AND(AO$7&gt;0,$A947&gt;AO$7)),0,MAX(0,ROUND((INDEX($E947:$G947,AO$5)-SUMIFS(TF_Timer,TF_Tekniker,AO$4,TF_Dato,$A947))*2,0)/2)))</f>
        <v/>
      </c>
      <c r="AP947">
        <f>IF(OR(AP$4="",$A947&gt;TODAY()),0,IF(OR(INDEX($B947:$D947,AP$5)="F",AND(AP$6&gt;0,$A947&lt;AP$6),AND(AP$7&gt;0,$A947&gt;AP$7)),0,MAX(0,ROUND((INDEX($E947:$G947,AP$5)-SUMIFS(TF_Timer,TF_Tekniker,AP$4,TF_Dato,$A947))*2,0)/2)))</f>
        <v/>
      </c>
      <c r="AQ947">
        <f>IF(OR(AQ$4="",$A947&gt;TODAY()),0,IF(OR(INDEX($B947:$D947,AQ$5)="F",AND(AQ$6&gt;0,$A947&lt;AQ$6),AND(AQ$7&gt;0,$A947&gt;AQ$7)),0,MAX(0,ROUND((INDEX($E947:$G947,AQ$5)-SUMIFS(TF_Timer,TF_Tekniker,AQ$4,TF_Dato,$A947))*2,0)/2)))</f>
        <v/>
      </c>
      <c r="AR947">
        <f>IF(OR(AR$4="",$A947&gt;TODAY()),0,IF(OR(INDEX($B947:$D947,AR$5)="F",AND(AR$6&gt;0,$A947&lt;AR$6),AND(AR$7&gt;0,$A947&gt;AR$7)),0,MAX(0,ROUND((INDEX($E947:$G947,AR$5)-SUMIFS(TF_Timer,TF_Tekniker,AR$4,TF_Dato,$A947))*2,0)/2)))</f>
        <v/>
      </c>
      <c r="AS947">
        <f>IF(OR(AS$4="",$A947&gt;TODAY()),0,IF(OR(INDEX($B947:$D947,AS$5)="F",AND(AS$6&gt;0,$A947&lt;AS$6),AND(AS$7&gt;0,$A947&gt;AS$7)),0,MAX(0,ROUND((INDEX($E947:$G947,AS$5)-SUMIFS(TF_Timer,TF_Tekniker,AS$4,TF_Dato,$A947))*2,0)/2)))</f>
        <v/>
      </c>
      <c r="AT947">
        <f>IF(OR(AT$4="",$A947&gt;TODAY()),0,IF(OR(INDEX($B947:$D947,AT$5)="F",AND(AT$6&gt;0,$A947&lt;AT$6),AND(AT$7&gt;0,$A947&gt;AT$7)),0,MAX(0,ROUND((INDEX($E947:$G947,AT$5)-SUMIFS(TF_Timer,TF_Tekniker,AT$4,TF_Dato,$A947))*2,0)/2)))</f>
        <v/>
      </c>
      <c r="AU947">
        <f>IF(OR(AU$4="",$A947&gt;TODAY()),0,IF(OR(INDEX($B947:$D947,AU$5)="F",AND(AU$6&gt;0,$A947&lt;AU$6),AND(AU$7&gt;0,$A947&gt;AU$7)),0,MAX(0,ROUND((INDEX($E947:$G947,AU$5)-SUMIFS(TF_Timer,TF_Tekniker,AU$4,TF_Dato,$A947))*2,0)/2)))</f>
        <v/>
      </c>
      <c r="AV947">
        <f>IF(OR(AV$4="",$A947&gt;TODAY()),0,IF(OR(INDEX($B947:$D947,AV$5)="F",AND(AV$6&gt;0,$A947&lt;AV$6),AND(AV$7&gt;0,$A947&gt;AV$7)),0,MAX(0,ROUND((INDEX($E947:$G947,AV$5)-SUMIFS(TF_Timer,TF_Tekniker,AV$4,TF_Dato,$A947))*2,0)/2)))</f>
        <v/>
      </c>
      <c r="AW947">
        <f>IF(OR(AW$4="",$A947&gt;TODAY()),0,IF(OR(INDEX($B947:$D947,AW$5)="F",AND(AW$6&gt;0,$A947&lt;AW$6),AND(AW$7&gt;0,$A947&gt;AW$7)),0,MAX(0,ROUND((INDEX($E947:$G947,AW$5)-SUMIFS(TF_Timer,TF_Tekniker,AW$4,TF_Dato,$A947))*2,0)/2)))</f>
        <v/>
      </c>
      <c r="AX947">
        <f>IF(OR(AX$4="",$A947&gt;TODAY()),0,IF(OR(INDEX($B947:$D947,AX$5)="F",AND(AX$6&gt;0,$A947&lt;AX$6),AND(AX$7&gt;0,$A947&gt;AX$7)),0,MAX(0,ROUND((INDEX($E947:$G947,AX$5)-SUMIFS(TF_Timer,TF_Tekniker,AX$4,TF_Dato,$A947))*2,0)/2)))</f>
        <v/>
      </c>
      <c r="AY947">
        <f>IF(OR(AY$4="",$A947&gt;TODAY()),0,IF(OR(INDEX($B947:$D947,AY$5)="F",AND(AY$6&gt;0,$A947&lt;AY$6),AND(AY$7&gt;0,$A947&gt;AY$7)),0,MAX(0,ROUND((INDEX($E947:$G947,AY$5)-SUMIFS(TF_Timer,TF_Tekniker,AY$4,TF_Dato,$A947))*2,0)/2)))</f>
        <v/>
      </c>
      <c r="AZ947">
        <f>IF(OR(AZ$4="",$A947&gt;TODAY()),0,IF(OR(INDEX($B947:$D947,AZ$5)="F",AND(AZ$6&gt;0,$A947&lt;AZ$6),AND(AZ$7&gt;0,$A947&gt;AZ$7)),0,MAX(0,ROUND((INDEX($E947:$G947,AZ$5)-SUMIFS(TF_Timer,TF_Tekniker,AZ$4,TF_Dato,$A947))*2,0)/2)))</f>
        <v/>
      </c>
      <c r="BA947">
        <f>IF(OR(BA$4="",$A947&gt;TODAY()),0,IF(OR(INDEX($B947:$D947,BA$5)="F",AND(BA$6&gt;0,$A947&lt;BA$6),AND(BA$7&gt;0,$A947&gt;BA$7)),0,MAX(0,ROUND((INDEX($E947:$G947,BA$5)-SUMIFS(TF_Timer,TF_Tekniker,BA$4,TF_Dato,$A947))*2,0)/2)))</f>
        <v/>
      </c>
      <c r="BB947">
        <f>IF(OR(BB$4="",$A947&gt;TODAY()),0,IF(OR(INDEX($B947:$D947,BB$5)="F",AND(BB$6&gt;0,$A947&lt;BB$6),AND(BB$7&gt;0,$A947&gt;BB$7)),0,MAX(0,ROUND((INDEX($E947:$G947,BB$5)-SUMIFS(TF_Timer,TF_Tekniker,BB$4,TF_Dato,$A947))*2,0)/2)))</f>
        <v/>
      </c>
      <c r="BC947">
        <f>IF(OR(BC$4="",$A947&gt;TODAY()),0,IF(OR(INDEX($B947:$D947,BC$5)="F",AND(BC$6&gt;0,$A947&lt;BC$6),AND(BC$7&gt;0,$A947&gt;BC$7)),0,MAX(0,ROUND((INDEX($E947:$G947,BC$5)-SUMIFS(TF_Timer,TF_Tekniker,BC$4,TF_Dato,$A947))*2,0)/2)))</f>
        <v/>
      </c>
      <c r="BD947">
        <f>IF(OR(BD$4="",$A947&gt;TODAY()),0,IF(OR(INDEX($B947:$D947,BD$5)="F",AND(BD$6&gt;0,$A947&lt;BD$6),AND(BD$7&gt;0,$A947&gt;BD$7)),0,MAX(0,ROUND((INDEX($E947:$G947,BD$5)-SUMIFS(TF_Timer,TF_Tekniker,BD$4,TF_Dato,$A947))*2,0)/2)))</f>
        <v/>
      </c>
      <c r="BE947">
        <f>IF(OR(BE$4="",$A947&gt;TODAY()),0,IF(OR(INDEX($B947:$D947,BE$5)="F",AND(BE$6&gt;0,$A947&lt;BE$6),AND(BE$7&gt;0,$A947&gt;BE$7)),0,MAX(0,ROUND((INDEX($E947:$G947,BE$5)-SUMIFS(TF_Timer,TF_Tekniker,BE$4,TF_Dato,$A947))*2,0)/2)))</f>
        <v/>
      </c>
      <c r="BF947">
        <f>IF(OR(BF$4="",$A947&gt;TODAY()),0,IF(OR(INDEX($B947:$D947,BF$5)="F",AND(BF$6&gt;0,$A947&lt;BF$6),AND(BF$7&gt;0,$A947&gt;BF$7)),0,MAX(0,ROUND((INDEX($E947:$G947,BF$5)-SUMIFS(TF_Timer,TF_Tekniker,BF$4,TF_Dato,$A947))*2,0)/2)))</f>
        <v/>
      </c>
      <c r="BG947">
        <f>IF(OR(BG$4="",$A947&gt;TODAY()),0,IF(OR(INDEX($B947:$D947,BG$5)="F",AND(BG$6&gt;0,$A947&lt;BG$6),AND(BG$7&gt;0,$A947&gt;BG$7)),0,MAX(0,ROUND((INDEX($E947:$G947,BG$5)-SUMIFS(TF_Timer,TF_Tekniker,BG$4,TF_Dato,$A947))*2,0)/2)))</f>
        <v/>
      </c>
      <c r="BH947">
        <f>IF(OR(BH$4="",$A947&gt;TODAY()),0,IF(OR(INDEX($B947:$D947,BH$5)="F",AND(BH$6&gt;0,$A947&lt;BH$6),AND(BH$7&gt;0,$A947&gt;BH$7)),0,MAX(0,ROUND((INDEX($E947:$G947,BH$5)-SUMIFS(TF_Timer,TF_Tekniker,BH$4,TF_Dato,$A947))*2,0)/2)))</f>
        <v/>
      </c>
      <c r="BI947">
        <f>IF(OR(BI$4="",$A947&gt;TODAY()),0,IF(OR(INDEX($B947:$D947,BI$5)="F",AND(BI$6&gt;0,$A947&lt;BI$6),AND(BI$7&gt;0,$A947&gt;BI$7)),0,MAX(0,ROUND((INDEX($E947:$G947,BI$5)-SUMIFS(TF_Timer,TF_Tekniker,BI$4,TF_Dato,$A947))*2,0)/2)))</f>
        <v/>
      </c>
    </row>
    <row r="948">
      <c r="A948" s="64">
        <f>A947+1</f>
        <v/>
      </c>
      <c r="B948">
        <f>IF(MOD($A948-INDEX(SkiftStart,1),Syklus)&lt;DagK,"K",IF(MOD($A948-INDEX(SkiftStart,1),Syklus)&lt;DagK+DagH,"H",IF(MOD($A948-INDEX(SkiftStart,1),Syklus)&lt;DagK+DagH+DagD,"D","F")))</f>
        <v/>
      </c>
      <c r="C948">
        <f>IF(MOD($A948-INDEX(SkiftStart,2),Syklus)&lt;DagK,"K",IF(MOD($A948-INDEX(SkiftStart,2),Syklus)&lt;DagK+DagH,"H",IF(MOD($A948-INDEX(SkiftStart,2),Syklus)&lt;DagK+DagH+DagD,"D","F")))</f>
        <v/>
      </c>
      <c r="D948">
        <f>IF(MOD($A948-INDEX(SkiftStart,3),Syklus)&lt;DagK,"K",IF(MOD($A948-INDEX(SkiftStart,3),Syklus)&lt;DagK+DagH,"H",IF(MOD($A948-INDEX(SkiftStart,3),Syklus)&lt;DagK+DagH+DagD,"D","F")))</f>
        <v/>
      </c>
      <c r="E948">
        <f>IF(B948="F",0,IF(WEEKDAY($A948,2)=5,INDEX(TimerFr,MATCH(B948,FaseKode,0)),INDEX(TimerMT,MATCH(B948,FaseKode,0))))</f>
        <v/>
      </c>
      <c r="F948">
        <f>IF(C948="F",0,IF(WEEKDAY($A948,2)=5,INDEX(TimerFr,MATCH(C948,FaseKode,0)),INDEX(TimerMT,MATCH(C948,FaseKode,0))))</f>
        <v/>
      </c>
      <c r="G948">
        <f>IF(D948="F",0,IF(WEEKDAY($A948,2)=5,INDEX(TimerFr,MATCH(D948,FaseKode,0)),INDEX(TimerMT,MATCH(D948,FaseKode,0))))</f>
        <v/>
      </c>
      <c r="H948">
        <f>IF(OR(H$4="",$A948&gt;TODAY()),0,IF(OR(INDEX($B948:$D948,H$5)="F",AND(H$6&gt;0,$A948&lt;H$6),AND(H$7&gt;0,$A948&gt;H$7)),0,MAX(0,ROUND((INDEX($E948:$G948,H$5)-SUMIFS(TF_Timer,TF_Tekniker,H$4,TF_Dato,$A948))*2,0)/2)))</f>
        <v/>
      </c>
      <c r="I948">
        <f>IF(OR(I$4="",$A948&gt;TODAY()),0,IF(OR(INDEX($B948:$D948,I$5)="F",AND(I$6&gt;0,$A948&lt;I$6),AND(I$7&gt;0,$A948&gt;I$7)),0,MAX(0,ROUND((INDEX($E948:$G948,I$5)-SUMIFS(TF_Timer,TF_Tekniker,I$4,TF_Dato,$A948))*2,0)/2)))</f>
        <v/>
      </c>
      <c r="J948">
        <f>IF(OR(J$4="",$A948&gt;TODAY()),0,IF(OR(INDEX($B948:$D948,J$5)="F",AND(J$6&gt;0,$A948&lt;J$6),AND(J$7&gt;0,$A948&gt;J$7)),0,MAX(0,ROUND((INDEX($E948:$G948,J$5)-SUMIFS(TF_Timer,TF_Tekniker,J$4,TF_Dato,$A948))*2,0)/2)))</f>
        <v/>
      </c>
      <c r="K948">
        <f>IF(OR(K$4="",$A948&gt;TODAY()),0,IF(OR(INDEX($B948:$D948,K$5)="F",AND(K$6&gt;0,$A948&lt;K$6),AND(K$7&gt;0,$A948&gt;K$7)),0,MAX(0,ROUND((INDEX($E948:$G948,K$5)-SUMIFS(TF_Timer,TF_Tekniker,K$4,TF_Dato,$A948))*2,0)/2)))</f>
        <v/>
      </c>
      <c r="L948">
        <f>IF(OR(L$4="",$A948&gt;TODAY()),0,IF(OR(INDEX($B948:$D948,L$5)="F",AND(L$6&gt;0,$A948&lt;L$6),AND(L$7&gt;0,$A948&gt;L$7)),0,MAX(0,ROUND((INDEX($E948:$G948,L$5)-SUMIFS(TF_Timer,TF_Tekniker,L$4,TF_Dato,$A948))*2,0)/2)))</f>
        <v/>
      </c>
      <c r="M948">
        <f>IF(OR(M$4="",$A948&gt;TODAY()),0,IF(OR(INDEX($B948:$D948,M$5)="F",AND(M$6&gt;0,$A948&lt;M$6),AND(M$7&gt;0,$A948&gt;M$7)),0,MAX(0,ROUND((INDEX($E948:$G948,M$5)-SUMIFS(TF_Timer,TF_Tekniker,M$4,TF_Dato,$A948))*2,0)/2)))</f>
        <v/>
      </c>
      <c r="N948">
        <f>IF(OR(N$4="",$A948&gt;TODAY()),0,IF(OR(INDEX($B948:$D948,N$5)="F",AND(N$6&gt;0,$A948&lt;N$6),AND(N$7&gt;0,$A948&gt;N$7)),0,MAX(0,ROUND((INDEX($E948:$G948,N$5)-SUMIFS(TF_Timer,TF_Tekniker,N$4,TF_Dato,$A948))*2,0)/2)))</f>
        <v/>
      </c>
      <c r="O948">
        <f>IF(OR(O$4="",$A948&gt;TODAY()),0,IF(OR(INDEX($B948:$D948,O$5)="F",AND(O$6&gt;0,$A948&lt;O$6),AND(O$7&gt;0,$A948&gt;O$7)),0,MAX(0,ROUND((INDEX($E948:$G948,O$5)-SUMIFS(TF_Timer,TF_Tekniker,O$4,TF_Dato,$A948))*2,0)/2)))</f>
        <v/>
      </c>
      <c r="P948">
        <f>IF(OR(P$4="",$A948&gt;TODAY()),0,IF(OR(INDEX($B948:$D948,P$5)="F",AND(P$6&gt;0,$A948&lt;P$6),AND(P$7&gt;0,$A948&gt;P$7)),0,MAX(0,ROUND((INDEX($E948:$G948,P$5)-SUMIFS(TF_Timer,TF_Tekniker,P$4,TF_Dato,$A948))*2,0)/2)))</f>
        <v/>
      </c>
      <c r="Q948">
        <f>IF(OR(Q$4="",$A948&gt;TODAY()),0,IF(OR(INDEX($B948:$D948,Q$5)="F",AND(Q$6&gt;0,$A948&lt;Q$6),AND(Q$7&gt;0,$A948&gt;Q$7)),0,MAX(0,ROUND((INDEX($E948:$G948,Q$5)-SUMIFS(TF_Timer,TF_Tekniker,Q$4,TF_Dato,$A948))*2,0)/2)))</f>
        <v/>
      </c>
      <c r="R948">
        <f>IF(OR(R$4="",$A948&gt;TODAY()),0,IF(OR(INDEX($B948:$D948,R$5)="F",AND(R$6&gt;0,$A948&lt;R$6),AND(R$7&gt;0,$A948&gt;R$7)),0,MAX(0,ROUND((INDEX($E948:$G948,R$5)-SUMIFS(TF_Timer,TF_Tekniker,R$4,TF_Dato,$A948))*2,0)/2)))</f>
        <v/>
      </c>
      <c r="S948">
        <f>IF(OR(S$4="",$A948&gt;TODAY()),0,IF(OR(INDEX($B948:$D948,S$5)="F",AND(S$6&gt;0,$A948&lt;S$6),AND(S$7&gt;0,$A948&gt;S$7)),0,MAX(0,ROUND((INDEX($E948:$G948,S$5)-SUMIFS(TF_Timer,TF_Tekniker,S$4,TF_Dato,$A948))*2,0)/2)))</f>
        <v/>
      </c>
      <c r="T948">
        <f>IF(OR(T$4="",$A948&gt;TODAY()),0,IF(OR(INDEX($B948:$D948,T$5)="F",AND(T$6&gt;0,$A948&lt;T$6),AND(T$7&gt;0,$A948&gt;T$7)),0,MAX(0,ROUND((INDEX($E948:$G948,T$5)-SUMIFS(TF_Timer,TF_Tekniker,T$4,TF_Dato,$A948))*2,0)/2)))</f>
        <v/>
      </c>
      <c r="U948">
        <f>IF(OR(U$4="",$A948&gt;TODAY()),0,IF(OR(INDEX($B948:$D948,U$5)="F",AND(U$6&gt;0,$A948&lt;U$6),AND(U$7&gt;0,$A948&gt;U$7)),0,MAX(0,ROUND((INDEX($E948:$G948,U$5)-SUMIFS(TF_Timer,TF_Tekniker,U$4,TF_Dato,$A948))*2,0)/2)))</f>
        <v/>
      </c>
      <c r="V948">
        <f>IF(OR(V$4="",$A948&gt;TODAY()),0,IF(OR(INDEX($B948:$D948,V$5)="F",AND(V$6&gt;0,$A948&lt;V$6),AND(V$7&gt;0,$A948&gt;V$7)),0,MAX(0,ROUND((INDEX($E948:$G948,V$5)-SUMIFS(TF_Timer,TF_Tekniker,V$4,TF_Dato,$A948))*2,0)/2)))</f>
        <v/>
      </c>
      <c r="W948">
        <f>IF(OR(W$4="",$A948&gt;TODAY()),0,IF(OR(INDEX($B948:$D948,W$5)="F",AND(W$6&gt;0,$A948&lt;W$6),AND(W$7&gt;0,$A948&gt;W$7)),0,MAX(0,ROUND((INDEX($E948:$G948,W$5)-SUMIFS(TF_Timer,TF_Tekniker,W$4,TF_Dato,$A948))*2,0)/2)))</f>
        <v/>
      </c>
      <c r="X948">
        <f>IF(OR(X$4="",$A948&gt;TODAY()),0,IF(OR(INDEX($B948:$D948,X$5)="F",AND(X$6&gt;0,$A948&lt;X$6),AND(X$7&gt;0,$A948&gt;X$7)),0,MAX(0,ROUND((INDEX($E948:$G948,X$5)-SUMIFS(TF_Timer,TF_Tekniker,X$4,TF_Dato,$A948))*2,0)/2)))</f>
        <v/>
      </c>
      <c r="Y948">
        <f>IF(OR(Y$4="",$A948&gt;TODAY()),0,IF(OR(INDEX($B948:$D948,Y$5)="F",AND(Y$6&gt;0,$A948&lt;Y$6),AND(Y$7&gt;0,$A948&gt;Y$7)),0,MAX(0,ROUND((INDEX($E948:$G948,Y$5)-SUMIFS(TF_Timer,TF_Tekniker,Y$4,TF_Dato,$A948))*2,0)/2)))</f>
        <v/>
      </c>
      <c r="Z948">
        <f>IF(OR(Z$4="",$A948&gt;TODAY()),0,IF(OR(INDEX($B948:$D948,Z$5)="F",AND(Z$6&gt;0,$A948&lt;Z$6),AND(Z$7&gt;0,$A948&gt;Z$7)),0,MAX(0,ROUND((INDEX($E948:$G948,Z$5)-SUMIFS(TF_Timer,TF_Tekniker,Z$4,TF_Dato,$A948))*2,0)/2)))</f>
        <v/>
      </c>
      <c r="AA948">
        <f>IF(OR(AA$4="",$A948&gt;TODAY()),0,IF(OR(INDEX($B948:$D948,AA$5)="F",AND(AA$6&gt;0,$A948&lt;AA$6),AND(AA$7&gt;0,$A948&gt;AA$7)),0,MAX(0,ROUND((INDEX($E948:$G948,AA$5)-SUMIFS(TF_Timer,TF_Tekniker,AA$4,TF_Dato,$A948))*2,0)/2)))</f>
        <v/>
      </c>
      <c r="AB948">
        <f>IF(OR(AB$4="",$A948&gt;TODAY()),0,IF(OR(INDEX($B948:$D948,AB$5)="F",AND(AB$6&gt;0,$A948&lt;AB$6),AND(AB$7&gt;0,$A948&gt;AB$7)),0,MAX(0,ROUND((INDEX($E948:$G948,AB$5)-SUMIFS(TF_Timer,TF_Tekniker,AB$4,TF_Dato,$A948))*2,0)/2)))</f>
        <v/>
      </c>
      <c r="AC948">
        <f>IF(OR(AC$4="",$A948&gt;TODAY()),0,IF(OR(INDEX($B948:$D948,AC$5)="F",AND(AC$6&gt;0,$A948&lt;AC$6),AND(AC$7&gt;0,$A948&gt;AC$7)),0,MAX(0,ROUND((INDEX($E948:$G948,AC$5)-SUMIFS(TF_Timer,TF_Tekniker,AC$4,TF_Dato,$A948))*2,0)/2)))</f>
        <v/>
      </c>
      <c r="AD948">
        <f>IF(OR(AD$4="",$A948&gt;TODAY()),0,IF(OR(INDEX($B948:$D948,AD$5)="F",AND(AD$6&gt;0,$A948&lt;AD$6),AND(AD$7&gt;0,$A948&gt;AD$7)),0,MAX(0,ROUND((INDEX($E948:$G948,AD$5)-SUMIFS(TF_Timer,TF_Tekniker,AD$4,TF_Dato,$A948))*2,0)/2)))</f>
        <v/>
      </c>
      <c r="AE948">
        <f>IF(OR(AE$4="",$A948&gt;TODAY()),0,IF(OR(INDEX($B948:$D948,AE$5)="F",AND(AE$6&gt;0,$A948&lt;AE$6),AND(AE$7&gt;0,$A948&gt;AE$7)),0,MAX(0,ROUND((INDEX($E948:$G948,AE$5)-SUMIFS(TF_Timer,TF_Tekniker,AE$4,TF_Dato,$A948))*2,0)/2)))</f>
        <v/>
      </c>
      <c r="AF948">
        <f>IF(OR(AF$4="",$A948&gt;TODAY()),0,IF(OR(INDEX($B948:$D948,AF$5)="F",AND(AF$6&gt;0,$A948&lt;AF$6),AND(AF$7&gt;0,$A948&gt;AF$7)),0,MAX(0,ROUND((INDEX($E948:$G948,AF$5)-SUMIFS(TF_Timer,TF_Tekniker,AF$4,TF_Dato,$A948))*2,0)/2)))</f>
        <v/>
      </c>
      <c r="AG948">
        <f>IF(OR(AG$4="",$A948&gt;TODAY()),0,IF(OR(INDEX($B948:$D948,AG$5)="F",AND(AG$6&gt;0,$A948&lt;AG$6),AND(AG$7&gt;0,$A948&gt;AG$7)),0,MAX(0,ROUND((INDEX($E948:$G948,AG$5)-SUMIFS(TF_Timer,TF_Tekniker,AG$4,TF_Dato,$A948))*2,0)/2)))</f>
        <v/>
      </c>
      <c r="AH948">
        <f>IF(OR(AH$4="",$A948&gt;TODAY()),0,IF(OR(INDEX($B948:$D948,AH$5)="F",AND(AH$6&gt;0,$A948&lt;AH$6),AND(AH$7&gt;0,$A948&gt;AH$7)),0,MAX(0,ROUND((INDEX($E948:$G948,AH$5)-SUMIFS(TF_Timer,TF_Tekniker,AH$4,TF_Dato,$A948))*2,0)/2)))</f>
        <v/>
      </c>
      <c r="AI948">
        <f>IF(OR(AI$4="",$A948&gt;TODAY()),0,IF(OR(INDEX($B948:$D948,AI$5)="F",AND(AI$6&gt;0,$A948&lt;AI$6),AND(AI$7&gt;0,$A948&gt;AI$7)),0,MAX(0,ROUND((INDEX($E948:$G948,AI$5)-SUMIFS(TF_Timer,TF_Tekniker,AI$4,TF_Dato,$A948))*2,0)/2)))</f>
        <v/>
      </c>
      <c r="AJ948">
        <f>IF(OR(AJ$4="",$A948&gt;TODAY()),0,IF(OR(INDEX($B948:$D948,AJ$5)="F",AND(AJ$6&gt;0,$A948&lt;AJ$6),AND(AJ$7&gt;0,$A948&gt;AJ$7)),0,MAX(0,ROUND((INDEX($E948:$G948,AJ$5)-SUMIFS(TF_Timer,TF_Tekniker,AJ$4,TF_Dato,$A948))*2,0)/2)))</f>
        <v/>
      </c>
      <c r="AK948">
        <f>IF(OR(AK$4="",$A948&gt;TODAY()),0,IF(OR(INDEX($B948:$D948,AK$5)="F",AND(AK$6&gt;0,$A948&lt;AK$6),AND(AK$7&gt;0,$A948&gt;AK$7)),0,MAX(0,ROUND((INDEX($E948:$G948,AK$5)-SUMIFS(TF_Timer,TF_Tekniker,AK$4,TF_Dato,$A948))*2,0)/2)))</f>
        <v/>
      </c>
      <c r="AL948">
        <f>IF(OR(AL$4="",$A948&gt;TODAY()),0,IF(OR(INDEX($B948:$D948,AL$5)="F",AND(AL$6&gt;0,$A948&lt;AL$6),AND(AL$7&gt;0,$A948&gt;AL$7)),0,MAX(0,ROUND((INDEX($E948:$G948,AL$5)-SUMIFS(TF_Timer,TF_Tekniker,AL$4,TF_Dato,$A948))*2,0)/2)))</f>
        <v/>
      </c>
      <c r="AM948">
        <f>IF(OR(AM$4="",$A948&gt;TODAY()),0,IF(OR(INDEX($B948:$D948,AM$5)="F",AND(AM$6&gt;0,$A948&lt;AM$6),AND(AM$7&gt;0,$A948&gt;AM$7)),0,MAX(0,ROUND((INDEX($E948:$G948,AM$5)-SUMIFS(TF_Timer,TF_Tekniker,AM$4,TF_Dato,$A948))*2,0)/2)))</f>
        <v/>
      </c>
      <c r="AN948">
        <f>IF(OR(AN$4="",$A948&gt;TODAY()),0,IF(OR(INDEX($B948:$D948,AN$5)="F",AND(AN$6&gt;0,$A948&lt;AN$6),AND(AN$7&gt;0,$A948&gt;AN$7)),0,MAX(0,ROUND((INDEX($E948:$G948,AN$5)-SUMIFS(TF_Timer,TF_Tekniker,AN$4,TF_Dato,$A948))*2,0)/2)))</f>
        <v/>
      </c>
      <c r="AO948">
        <f>IF(OR(AO$4="",$A948&gt;TODAY()),0,IF(OR(INDEX($B948:$D948,AO$5)="F",AND(AO$6&gt;0,$A948&lt;AO$6),AND(AO$7&gt;0,$A948&gt;AO$7)),0,MAX(0,ROUND((INDEX($E948:$G948,AO$5)-SUMIFS(TF_Timer,TF_Tekniker,AO$4,TF_Dato,$A948))*2,0)/2)))</f>
        <v/>
      </c>
      <c r="AP948">
        <f>IF(OR(AP$4="",$A948&gt;TODAY()),0,IF(OR(INDEX($B948:$D948,AP$5)="F",AND(AP$6&gt;0,$A948&lt;AP$6),AND(AP$7&gt;0,$A948&gt;AP$7)),0,MAX(0,ROUND((INDEX($E948:$G948,AP$5)-SUMIFS(TF_Timer,TF_Tekniker,AP$4,TF_Dato,$A948))*2,0)/2)))</f>
        <v/>
      </c>
      <c r="AQ948">
        <f>IF(OR(AQ$4="",$A948&gt;TODAY()),0,IF(OR(INDEX($B948:$D948,AQ$5)="F",AND(AQ$6&gt;0,$A948&lt;AQ$6),AND(AQ$7&gt;0,$A948&gt;AQ$7)),0,MAX(0,ROUND((INDEX($E948:$G948,AQ$5)-SUMIFS(TF_Timer,TF_Tekniker,AQ$4,TF_Dato,$A948))*2,0)/2)))</f>
        <v/>
      </c>
      <c r="AR948">
        <f>IF(OR(AR$4="",$A948&gt;TODAY()),0,IF(OR(INDEX($B948:$D948,AR$5)="F",AND(AR$6&gt;0,$A948&lt;AR$6),AND(AR$7&gt;0,$A948&gt;AR$7)),0,MAX(0,ROUND((INDEX($E948:$G948,AR$5)-SUMIFS(TF_Timer,TF_Tekniker,AR$4,TF_Dato,$A948))*2,0)/2)))</f>
        <v/>
      </c>
      <c r="AS948">
        <f>IF(OR(AS$4="",$A948&gt;TODAY()),0,IF(OR(INDEX($B948:$D948,AS$5)="F",AND(AS$6&gt;0,$A948&lt;AS$6),AND(AS$7&gt;0,$A948&gt;AS$7)),0,MAX(0,ROUND((INDEX($E948:$G948,AS$5)-SUMIFS(TF_Timer,TF_Tekniker,AS$4,TF_Dato,$A948))*2,0)/2)))</f>
        <v/>
      </c>
      <c r="AT948">
        <f>IF(OR(AT$4="",$A948&gt;TODAY()),0,IF(OR(INDEX($B948:$D948,AT$5)="F",AND(AT$6&gt;0,$A948&lt;AT$6),AND(AT$7&gt;0,$A948&gt;AT$7)),0,MAX(0,ROUND((INDEX($E948:$G948,AT$5)-SUMIFS(TF_Timer,TF_Tekniker,AT$4,TF_Dato,$A948))*2,0)/2)))</f>
        <v/>
      </c>
      <c r="AU948">
        <f>IF(OR(AU$4="",$A948&gt;TODAY()),0,IF(OR(INDEX($B948:$D948,AU$5)="F",AND(AU$6&gt;0,$A948&lt;AU$6),AND(AU$7&gt;0,$A948&gt;AU$7)),0,MAX(0,ROUND((INDEX($E948:$G948,AU$5)-SUMIFS(TF_Timer,TF_Tekniker,AU$4,TF_Dato,$A948))*2,0)/2)))</f>
        <v/>
      </c>
      <c r="AV948">
        <f>IF(OR(AV$4="",$A948&gt;TODAY()),0,IF(OR(INDEX($B948:$D948,AV$5)="F",AND(AV$6&gt;0,$A948&lt;AV$6),AND(AV$7&gt;0,$A948&gt;AV$7)),0,MAX(0,ROUND((INDEX($E948:$G948,AV$5)-SUMIFS(TF_Timer,TF_Tekniker,AV$4,TF_Dato,$A948))*2,0)/2)))</f>
        <v/>
      </c>
      <c r="AW948">
        <f>IF(OR(AW$4="",$A948&gt;TODAY()),0,IF(OR(INDEX($B948:$D948,AW$5)="F",AND(AW$6&gt;0,$A948&lt;AW$6),AND(AW$7&gt;0,$A948&gt;AW$7)),0,MAX(0,ROUND((INDEX($E948:$G948,AW$5)-SUMIFS(TF_Timer,TF_Tekniker,AW$4,TF_Dato,$A948))*2,0)/2)))</f>
        <v/>
      </c>
      <c r="AX948">
        <f>IF(OR(AX$4="",$A948&gt;TODAY()),0,IF(OR(INDEX($B948:$D948,AX$5)="F",AND(AX$6&gt;0,$A948&lt;AX$6),AND(AX$7&gt;0,$A948&gt;AX$7)),0,MAX(0,ROUND((INDEX($E948:$G948,AX$5)-SUMIFS(TF_Timer,TF_Tekniker,AX$4,TF_Dato,$A948))*2,0)/2)))</f>
        <v/>
      </c>
      <c r="AY948">
        <f>IF(OR(AY$4="",$A948&gt;TODAY()),0,IF(OR(INDEX($B948:$D948,AY$5)="F",AND(AY$6&gt;0,$A948&lt;AY$6),AND(AY$7&gt;0,$A948&gt;AY$7)),0,MAX(0,ROUND((INDEX($E948:$G948,AY$5)-SUMIFS(TF_Timer,TF_Tekniker,AY$4,TF_Dato,$A948))*2,0)/2)))</f>
        <v/>
      </c>
      <c r="AZ948">
        <f>IF(OR(AZ$4="",$A948&gt;TODAY()),0,IF(OR(INDEX($B948:$D948,AZ$5)="F",AND(AZ$6&gt;0,$A948&lt;AZ$6),AND(AZ$7&gt;0,$A948&gt;AZ$7)),0,MAX(0,ROUND((INDEX($E948:$G948,AZ$5)-SUMIFS(TF_Timer,TF_Tekniker,AZ$4,TF_Dato,$A948))*2,0)/2)))</f>
        <v/>
      </c>
      <c r="BA948">
        <f>IF(OR(BA$4="",$A948&gt;TODAY()),0,IF(OR(INDEX($B948:$D948,BA$5)="F",AND(BA$6&gt;0,$A948&lt;BA$6),AND(BA$7&gt;0,$A948&gt;BA$7)),0,MAX(0,ROUND((INDEX($E948:$G948,BA$5)-SUMIFS(TF_Timer,TF_Tekniker,BA$4,TF_Dato,$A948))*2,0)/2)))</f>
        <v/>
      </c>
      <c r="BB948">
        <f>IF(OR(BB$4="",$A948&gt;TODAY()),0,IF(OR(INDEX($B948:$D948,BB$5)="F",AND(BB$6&gt;0,$A948&lt;BB$6),AND(BB$7&gt;0,$A948&gt;BB$7)),0,MAX(0,ROUND((INDEX($E948:$G948,BB$5)-SUMIFS(TF_Timer,TF_Tekniker,BB$4,TF_Dato,$A948))*2,0)/2)))</f>
        <v/>
      </c>
      <c r="BC948">
        <f>IF(OR(BC$4="",$A948&gt;TODAY()),0,IF(OR(INDEX($B948:$D948,BC$5)="F",AND(BC$6&gt;0,$A948&lt;BC$6),AND(BC$7&gt;0,$A948&gt;BC$7)),0,MAX(0,ROUND((INDEX($E948:$G948,BC$5)-SUMIFS(TF_Timer,TF_Tekniker,BC$4,TF_Dato,$A948))*2,0)/2)))</f>
        <v/>
      </c>
      <c r="BD948">
        <f>IF(OR(BD$4="",$A948&gt;TODAY()),0,IF(OR(INDEX($B948:$D948,BD$5)="F",AND(BD$6&gt;0,$A948&lt;BD$6),AND(BD$7&gt;0,$A948&gt;BD$7)),0,MAX(0,ROUND((INDEX($E948:$G948,BD$5)-SUMIFS(TF_Timer,TF_Tekniker,BD$4,TF_Dato,$A948))*2,0)/2)))</f>
        <v/>
      </c>
      <c r="BE948">
        <f>IF(OR(BE$4="",$A948&gt;TODAY()),0,IF(OR(INDEX($B948:$D948,BE$5)="F",AND(BE$6&gt;0,$A948&lt;BE$6),AND(BE$7&gt;0,$A948&gt;BE$7)),0,MAX(0,ROUND((INDEX($E948:$G948,BE$5)-SUMIFS(TF_Timer,TF_Tekniker,BE$4,TF_Dato,$A948))*2,0)/2)))</f>
        <v/>
      </c>
      <c r="BF948">
        <f>IF(OR(BF$4="",$A948&gt;TODAY()),0,IF(OR(INDEX($B948:$D948,BF$5)="F",AND(BF$6&gt;0,$A948&lt;BF$6),AND(BF$7&gt;0,$A948&gt;BF$7)),0,MAX(0,ROUND((INDEX($E948:$G948,BF$5)-SUMIFS(TF_Timer,TF_Tekniker,BF$4,TF_Dato,$A948))*2,0)/2)))</f>
        <v/>
      </c>
      <c r="BG948">
        <f>IF(OR(BG$4="",$A948&gt;TODAY()),0,IF(OR(INDEX($B948:$D948,BG$5)="F",AND(BG$6&gt;0,$A948&lt;BG$6),AND(BG$7&gt;0,$A948&gt;BG$7)),0,MAX(0,ROUND((INDEX($E948:$G948,BG$5)-SUMIFS(TF_Timer,TF_Tekniker,BG$4,TF_Dato,$A948))*2,0)/2)))</f>
        <v/>
      </c>
      <c r="BH948">
        <f>IF(OR(BH$4="",$A948&gt;TODAY()),0,IF(OR(INDEX($B948:$D948,BH$5)="F",AND(BH$6&gt;0,$A948&lt;BH$6),AND(BH$7&gt;0,$A948&gt;BH$7)),0,MAX(0,ROUND((INDEX($E948:$G948,BH$5)-SUMIFS(TF_Timer,TF_Tekniker,BH$4,TF_Dato,$A948))*2,0)/2)))</f>
        <v/>
      </c>
      <c r="BI948">
        <f>IF(OR(BI$4="",$A948&gt;TODAY()),0,IF(OR(INDEX($B948:$D948,BI$5)="F",AND(BI$6&gt;0,$A948&lt;BI$6),AND(BI$7&gt;0,$A948&gt;BI$7)),0,MAX(0,ROUND((INDEX($E948:$G948,BI$5)-SUMIFS(TF_Timer,TF_Tekniker,BI$4,TF_Dato,$A948))*2,0)/2)))</f>
        <v/>
      </c>
    </row>
    <row r="949">
      <c r="A949" s="64">
        <f>A948+1</f>
        <v/>
      </c>
      <c r="B949">
        <f>IF(MOD($A949-INDEX(SkiftStart,1),Syklus)&lt;DagK,"K",IF(MOD($A949-INDEX(SkiftStart,1),Syklus)&lt;DagK+DagH,"H",IF(MOD($A949-INDEX(SkiftStart,1),Syklus)&lt;DagK+DagH+DagD,"D","F")))</f>
        <v/>
      </c>
      <c r="C949">
        <f>IF(MOD($A949-INDEX(SkiftStart,2),Syklus)&lt;DagK,"K",IF(MOD($A949-INDEX(SkiftStart,2),Syklus)&lt;DagK+DagH,"H",IF(MOD($A949-INDEX(SkiftStart,2),Syklus)&lt;DagK+DagH+DagD,"D","F")))</f>
        <v/>
      </c>
      <c r="D949">
        <f>IF(MOD($A949-INDEX(SkiftStart,3),Syklus)&lt;DagK,"K",IF(MOD($A949-INDEX(SkiftStart,3),Syklus)&lt;DagK+DagH,"H",IF(MOD($A949-INDEX(SkiftStart,3),Syklus)&lt;DagK+DagH+DagD,"D","F")))</f>
        <v/>
      </c>
      <c r="E949">
        <f>IF(B949="F",0,IF(WEEKDAY($A949,2)=5,INDEX(TimerFr,MATCH(B949,FaseKode,0)),INDEX(TimerMT,MATCH(B949,FaseKode,0))))</f>
        <v/>
      </c>
      <c r="F949">
        <f>IF(C949="F",0,IF(WEEKDAY($A949,2)=5,INDEX(TimerFr,MATCH(C949,FaseKode,0)),INDEX(TimerMT,MATCH(C949,FaseKode,0))))</f>
        <v/>
      </c>
      <c r="G949">
        <f>IF(D949="F",0,IF(WEEKDAY($A949,2)=5,INDEX(TimerFr,MATCH(D949,FaseKode,0)),INDEX(TimerMT,MATCH(D949,FaseKode,0))))</f>
        <v/>
      </c>
      <c r="H949">
        <f>IF(OR(H$4="",$A949&gt;TODAY()),0,IF(OR(INDEX($B949:$D949,H$5)="F",AND(H$6&gt;0,$A949&lt;H$6),AND(H$7&gt;0,$A949&gt;H$7)),0,MAX(0,ROUND((INDEX($E949:$G949,H$5)-SUMIFS(TF_Timer,TF_Tekniker,H$4,TF_Dato,$A949))*2,0)/2)))</f>
        <v/>
      </c>
      <c r="I949">
        <f>IF(OR(I$4="",$A949&gt;TODAY()),0,IF(OR(INDEX($B949:$D949,I$5)="F",AND(I$6&gt;0,$A949&lt;I$6),AND(I$7&gt;0,$A949&gt;I$7)),0,MAX(0,ROUND((INDEX($E949:$G949,I$5)-SUMIFS(TF_Timer,TF_Tekniker,I$4,TF_Dato,$A949))*2,0)/2)))</f>
        <v/>
      </c>
      <c r="J949">
        <f>IF(OR(J$4="",$A949&gt;TODAY()),0,IF(OR(INDEX($B949:$D949,J$5)="F",AND(J$6&gt;0,$A949&lt;J$6),AND(J$7&gt;0,$A949&gt;J$7)),0,MAX(0,ROUND((INDEX($E949:$G949,J$5)-SUMIFS(TF_Timer,TF_Tekniker,J$4,TF_Dato,$A949))*2,0)/2)))</f>
        <v/>
      </c>
      <c r="K949">
        <f>IF(OR(K$4="",$A949&gt;TODAY()),0,IF(OR(INDEX($B949:$D949,K$5)="F",AND(K$6&gt;0,$A949&lt;K$6),AND(K$7&gt;0,$A949&gt;K$7)),0,MAX(0,ROUND((INDEX($E949:$G949,K$5)-SUMIFS(TF_Timer,TF_Tekniker,K$4,TF_Dato,$A949))*2,0)/2)))</f>
        <v/>
      </c>
      <c r="L949">
        <f>IF(OR(L$4="",$A949&gt;TODAY()),0,IF(OR(INDEX($B949:$D949,L$5)="F",AND(L$6&gt;0,$A949&lt;L$6),AND(L$7&gt;0,$A949&gt;L$7)),0,MAX(0,ROUND((INDEX($E949:$G949,L$5)-SUMIFS(TF_Timer,TF_Tekniker,L$4,TF_Dato,$A949))*2,0)/2)))</f>
        <v/>
      </c>
      <c r="M949">
        <f>IF(OR(M$4="",$A949&gt;TODAY()),0,IF(OR(INDEX($B949:$D949,M$5)="F",AND(M$6&gt;0,$A949&lt;M$6),AND(M$7&gt;0,$A949&gt;M$7)),0,MAX(0,ROUND((INDEX($E949:$G949,M$5)-SUMIFS(TF_Timer,TF_Tekniker,M$4,TF_Dato,$A949))*2,0)/2)))</f>
        <v/>
      </c>
      <c r="N949">
        <f>IF(OR(N$4="",$A949&gt;TODAY()),0,IF(OR(INDEX($B949:$D949,N$5)="F",AND(N$6&gt;0,$A949&lt;N$6),AND(N$7&gt;0,$A949&gt;N$7)),0,MAX(0,ROUND((INDEX($E949:$G949,N$5)-SUMIFS(TF_Timer,TF_Tekniker,N$4,TF_Dato,$A949))*2,0)/2)))</f>
        <v/>
      </c>
      <c r="O949">
        <f>IF(OR(O$4="",$A949&gt;TODAY()),0,IF(OR(INDEX($B949:$D949,O$5)="F",AND(O$6&gt;0,$A949&lt;O$6),AND(O$7&gt;0,$A949&gt;O$7)),0,MAX(0,ROUND((INDEX($E949:$G949,O$5)-SUMIFS(TF_Timer,TF_Tekniker,O$4,TF_Dato,$A949))*2,0)/2)))</f>
        <v/>
      </c>
      <c r="P949">
        <f>IF(OR(P$4="",$A949&gt;TODAY()),0,IF(OR(INDEX($B949:$D949,P$5)="F",AND(P$6&gt;0,$A949&lt;P$6),AND(P$7&gt;0,$A949&gt;P$7)),0,MAX(0,ROUND((INDEX($E949:$G949,P$5)-SUMIFS(TF_Timer,TF_Tekniker,P$4,TF_Dato,$A949))*2,0)/2)))</f>
        <v/>
      </c>
      <c r="Q949">
        <f>IF(OR(Q$4="",$A949&gt;TODAY()),0,IF(OR(INDEX($B949:$D949,Q$5)="F",AND(Q$6&gt;0,$A949&lt;Q$6),AND(Q$7&gt;0,$A949&gt;Q$7)),0,MAX(0,ROUND((INDEX($E949:$G949,Q$5)-SUMIFS(TF_Timer,TF_Tekniker,Q$4,TF_Dato,$A949))*2,0)/2)))</f>
        <v/>
      </c>
      <c r="R949">
        <f>IF(OR(R$4="",$A949&gt;TODAY()),0,IF(OR(INDEX($B949:$D949,R$5)="F",AND(R$6&gt;0,$A949&lt;R$6),AND(R$7&gt;0,$A949&gt;R$7)),0,MAX(0,ROUND((INDEX($E949:$G949,R$5)-SUMIFS(TF_Timer,TF_Tekniker,R$4,TF_Dato,$A949))*2,0)/2)))</f>
        <v/>
      </c>
      <c r="S949">
        <f>IF(OR(S$4="",$A949&gt;TODAY()),0,IF(OR(INDEX($B949:$D949,S$5)="F",AND(S$6&gt;0,$A949&lt;S$6),AND(S$7&gt;0,$A949&gt;S$7)),0,MAX(0,ROUND((INDEX($E949:$G949,S$5)-SUMIFS(TF_Timer,TF_Tekniker,S$4,TF_Dato,$A949))*2,0)/2)))</f>
        <v/>
      </c>
      <c r="T949">
        <f>IF(OR(T$4="",$A949&gt;TODAY()),0,IF(OR(INDEX($B949:$D949,T$5)="F",AND(T$6&gt;0,$A949&lt;T$6),AND(T$7&gt;0,$A949&gt;T$7)),0,MAX(0,ROUND((INDEX($E949:$G949,T$5)-SUMIFS(TF_Timer,TF_Tekniker,T$4,TF_Dato,$A949))*2,0)/2)))</f>
        <v/>
      </c>
      <c r="U949">
        <f>IF(OR(U$4="",$A949&gt;TODAY()),0,IF(OR(INDEX($B949:$D949,U$5)="F",AND(U$6&gt;0,$A949&lt;U$6),AND(U$7&gt;0,$A949&gt;U$7)),0,MAX(0,ROUND((INDEX($E949:$G949,U$5)-SUMIFS(TF_Timer,TF_Tekniker,U$4,TF_Dato,$A949))*2,0)/2)))</f>
        <v/>
      </c>
      <c r="V949">
        <f>IF(OR(V$4="",$A949&gt;TODAY()),0,IF(OR(INDEX($B949:$D949,V$5)="F",AND(V$6&gt;0,$A949&lt;V$6),AND(V$7&gt;0,$A949&gt;V$7)),0,MAX(0,ROUND((INDEX($E949:$G949,V$5)-SUMIFS(TF_Timer,TF_Tekniker,V$4,TF_Dato,$A949))*2,0)/2)))</f>
        <v/>
      </c>
      <c r="W949">
        <f>IF(OR(W$4="",$A949&gt;TODAY()),0,IF(OR(INDEX($B949:$D949,W$5)="F",AND(W$6&gt;0,$A949&lt;W$6),AND(W$7&gt;0,$A949&gt;W$7)),0,MAX(0,ROUND((INDEX($E949:$G949,W$5)-SUMIFS(TF_Timer,TF_Tekniker,W$4,TF_Dato,$A949))*2,0)/2)))</f>
        <v/>
      </c>
      <c r="X949">
        <f>IF(OR(X$4="",$A949&gt;TODAY()),0,IF(OR(INDEX($B949:$D949,X$5)="F",AND(X$6&gt;0,$A949&lt;X$6),AND(X$7&gt;0,$A949&gt;X$7)),0,MAX(0,ROUND((INDEX($E949:$G949,X$5)-SUMIFS(TF_Timer,TF_Tekniker,X$4,TF_Dato,$A949))*2,0)/2)))</f>
        <v/>
      </c>
      <c r="Y949">
        <f>IF(OR(Y$4="",$A949&gt;TODAY()),0,IF(OR(INDEX($B949:$D949,Y$5)="F",AND(Y$6&gt;0,$A949&lt;Y$6),AND(Y$7&gt;0,$A949&gt;Y$7)),0,MAX(0,ROUND((INDEX($E949:$G949,Y$5)-SUMIFS(TF_Timer,TF_Tekniker,Y$4,TF_Dato,$A949))*2,0)/2)))</f>
        <v/>
      </c>
      <c r="Z949">
        <f>IF(OR(Z$4="",$A949&gt;TODAY()),0,IF(OR(INDEX($B949:$D949,Z$5)="F",AND(Z$6&gt;0,$A949&lt;Z$6),AND(Z$7&gt;0,$A949&gt;Z$7)),0,MAX(0,ROUND((INDEX($E949:$G949,Z$5)-SUMIFS(TF_Timer,TF_Tekniker,Z$4,TF_Dato,$A949))*2,0)/2)))</f>
        <v/>
      </c>
      <c r="AA949">
        <f>IF(OR(AA$4="",$A949&gt;TODAY()),0,IF(OR(INDEX($B949:$D949,AA$5)="F",AND(AA$6&gt;0,$A949&lt;AA$6),AND(AA$7&gt;0,$A949&gt;AA$7)),0,MAX(0,ROUND((INDEX($E949:$G949,AA$5)-SUMIFS(TF_Timer,TF_Tekniker,AA$4,TF_Dato,$A949))*2,0)/2)))</f>
        <v/>
      </c>
      <c r="AB949">
        <f>IF(OR(AB$4="",$A949&gt;TODAY()),0,IF(OR(INDEX($B949:$D949,AB$5)="F",AND(AB$6&gt;0,$A949&lt;AB$6),AND(AB$7&gt;0,$A949&gt;AB$7)),0,MAX(0,ROUND((INDEX($E949:$G949,AB$5)-SUMIFS(TF_Timer,TF_Tekniker,AB$4,TF_Dato,$A949))*2,0)/2)))</f>
        <v/>
      </c>
      <c r="AC949">
        <f>IF(OR(AC$4="",$A949&gt;TODAY()),0,IF(OR(INDEX($B949:$D949,AC$5)="F",AND(AC$6&gt;0,$A949&lt;AC$6),AND(AC$7&gt;0,$A949&gt;AC$7)),0,MAX(0,ROUND((INDEX($E949:$G949,AC$5)-SUMIFS(TF_Timer,TF_Tekniker,AC$4,TF_Dato,$A949))*2,0)/2)))</f>
        <v/>
      </c>
      <c r="AD949">
        <f>IF(OR(AD$4="",$A949&gt;TODAY()),0,IF(OR(INDEX($B949:$D949,AD$5)="F",AND(AD$6&gt;0,$A949&lt;AD$6),AND(AD$7&gt;0,$A949&gt;AD$7)),0,MAX(0,ROUND((INDEX($E949:$G949,AD$5)-SUMIFS(TF_Timer,TF_Tekniker,AD$4,TF_Dato,$A949))*2,0)/2)))</f>
        <v/>
      </c>
      <c r="AE949">
        <f>IF(OR(AE$4="",$A949&gt;TODAY()),0,IF(OR(INDEX($B949:$D949,AE$5)="F",AND(AE$6&gt;0,$A949&lt;AE$6),AND(AE$7&gt;0,$A949&gt;AE$7)),0,MAX(0,ROUND((INDEX($E949:$G949,AE$5)-SUMIFS(TF_Timer,TF_Tekniker,AE$4,TF_Dato,$A949))*2,0)/2)))</f>
        <v/>
      </c>
      <c r="AF949">
        <f>IF(OR(AF$4="",$A949&gt;TODAY()),0,IF(OR(INDEX($B949:$D949,AF$5)="F",AND(AF$6&gt;0,$A949&lt;AF$6),AND(AF$7&gt;0,$A949&gt;AF$7)),0,MAX(0,ROUND((INDEX($E949:$G949,AF$5)-SUMIFS(TF_Timer,TF_Tekniker,AF$4,TF_Dato,$A949))*2,0)/2)))</f>
        <v/>
      </c>
      <c r="AG949">
        <f>IF(OR(AG$4="",$A949&gt;TODAY()),0,IF(OR(INDEX($B949:$D949,AG$5)="F",AND(AG$6&gt;0,$A949&lt;AG$6),AND(AG$7&gt;0,$A949&gt;AG$7)),0,MAX(0,ROUND((INDEX($E949:$G949,AG$5)-SUMIFS(TF_Timer,TF_Tekniker,AG$4,TF_Dato,$A949))*2,0)/2)))</f>
        <v/>
      </c>
      <c r="AH949">
        <f>IF(OR(AH$4="",$A949&gt;TODAY()),0,IF(OR(INDEX($B949:$D949,AH$5)="F",AND(AH$6&gt;0,$A949&lt;AH$6),AND(AH$7&gt;0,$A949&gt;AH$7)),0,MAX(0,ROUND((INDEX($E949:$G949,AH$5)-SUMIFS(TF_Timer,TF_Tekniker,AH$4,TF_Dato,$A949))*2,0)/2)))</f>
        <v/>
      </c>
      <c r="AI949">
        <f>IF(OR(AI$4="",$A949&gt;TODAY()),0,IF(OR(INDEX($B949:$D949,AI$5)="F",AND(AI$6&gt;0,$A949&lt;AI$6),AND(AI$7&gt;0,$A949&gt;AI$7)),0,MAX(0,ROUND((INDEX($E949:$G949,AI$5)-SUMIFS(TF_Timer,TF_Tekniker,AI$4,TF_Dato,$A949))*2,0)/2)))</f>
        <v/>
      </c>
      <c r="AJ949">
        <f>IF(OR(AJ$4="",$A949&gt;TODAY()),0,IF(OR(INDEX($B949:$D949,AJ$5)="F",AND(AJ$6&gt;0,$A949&lt;AJ$6),AND(AJ$7&gt;0,$A949&gt;AJ$7)),0,MAX(0,ROUND((INDEX($E949:$G949,AJ$5)-SUMIFS(TF_Timer,TF_Tekniker,AJ$4,TF_Dato,$A949))*2,0)/2)))</f>
        <v/>
      </c>
      <c r="AK949">
        <f>IF(OR(AK$4="",$A949&gt;TODAY()),0,IF(OR(INDEX($B949:$D949,AK$5)="F",AND(AK$6&gt;0,$A949&lt;AK$6),AND(AK$7&gt;0,$A949&gt;AK$7)),0,MAX(0,ROUND((INDEX($E949:$G949,AK$5)-SUMIFS(TF_Timer,TF_Tekniker,AK$4,TF_Dato,$A949))*2,0)/2)))</f>
        <v/>
      </c>
      <c r="AL949">
        <f>IF(OR(AL$4="",$A949&gt;TODAY()),0,IF(OR(INDEX($B949:$D949,AL$5)="F",AND(AL$6&gt;0,$A949&lt;AL$6),AND(AL$7&gt;0,$A949&gt;AL$7)),0,MAX(0,ROUND((INDEX($E949:$G949,AL$5)-SUMIFS(TF_Timer,TF_Tekniker,AL$4,TF_Dato,$A949))*2,0)/2)))</f>
        <v/>
      </c>
      <c r="AM949">
        <f>IF(OR(AM$4="",$A949&gt;TODAY()),0,IF(OR(INDEX($B949:$D949,AM$5)="F",AND(AM$6&gt;0,$A949&lt;AM$6),AND(AM$7&gt;0,$A949&gt;AM$7)),0,MAX(0,ROUND((INDEX($E949:$G949,AM$5)-SUMIFS(TF_Timer,TF_Tekniker,AM$4,TF_Dato,$A949))*2,0)/2)))</f>
        <v/>
      </c>
      <c r="AN949">
        <f>IF(OR(AN$4="",$A949&gt;TODAY()),0,IF(OR(INDEX($B949:$D949,AN$5)="F",AND(AN$6&gt;0,$A949&lt;AN$6),AND(AN$7&gt;0,$A949&gt;AN$7)),0,MAX(0,ROUND((INDEX($E949:$G949,AN$5)-SUMIFS(TF_Timer,TF_Tekniker,AN$4,TF_Dato,$A949))*2,0)/2)))</f>
        <v/>
      </c>
      <c r="AO949">
        <f>IF(OR(AO$4="",$A949&gt;TODAY()),0,IF(OR(INDEX($B949:$D949,AO$5)="F",AND(AO$6&gt;0,$A949&lt;AO$6),AND(AO$7&gt;0,$A949&gt;AO$7)),0,MAX(0,ROUND((INDEX($E949:$G949,AO$5)-SUMIFS(TF_Timer,TF_Tekniker,AO$4,TF_Dato,$A949))*2,0)/2)))</f>
        <v/>
      </c>
      <c r="AP949">
        <f>IF(OR(AP$4="",$A949&gt;TODAY()),0,IF(OR(INDEX($B949:$D949,AP$5)="F",AND(AP$6&gt;0,$A949&lt;AP$6),AND(AP$7&gt;0,$A949&gt;AP$7)),0,MAX(0,ROUND((INDEX($E949:$G949,AP$5)-SUMIFS(TF_Timer,TF_Tekniker,AP$4,TF_Dato,$A949))*2,0)/2)))</f>
        <v/>
      </c>
      <c r="AQ949">
        <f>IF(OR(AQ$4="",$A949&gt;TODAY()),0,IF(OR(INDEX($B949:$D949,AQ$5)="F",AND(AQ$6&gt;0,$A949&lt;AQ$6),AND(AQ$7&gt;0,$A949&gt;AQ$7)),0,MAX(0,ROUND((INDEX($E949:$G949,AQ$5)-SUMIFS(TF_Timer,TF_Tekniker,AQ$4,TF_Dato,$A949))*2,0)/2)))</f>
        <v/>
      </c>
      <c r="AR949">
        <f>IF(OR(AR$4="",$A949&gt;TODAY()),0,IF(OR(INDEX($B949:$D949,AR$5)="F",AND(AR$6&gt;0,$A949&lt;AR$6),AND(AR$7&gt;0,$A949&gt;AR$7)),0,MAX(0,ROUND((INDEX($E949:$G949,AR$5)-SUMIFS(TF_Timer,TF_Tekniker,AR$4,TF_Dato,$A949))*2,0)/2)))</f>
        <v/>
      </c>
      <c r="AS949">
        <f>IF(OR(AS$4="",$A949&gt;TODAY()),0,IF(OR(INDEX($B949:$D949,AS$5)="F",AND(AS$6&gt;0,$A949&lt;AS$6),AND(AS$7&gt;0,$A949&gt;AS$7)),0,MAX(0,ROUND((INDEX($E949:$G949,AS$5)-SUMIFS(TF_Timer,TF_Tekniker,AS$4,TF_Dato,$A949))*2,0)/2)))</f>
        <v/>
      </c>
      <c r="AT949">
        <f>IF(OR(AT$4="",$A949&gt;TODAY()),0,IF(OR(INDEX($B949:$D949,AT$5)="F",AND(AT$6&gt;0,$A949&lt;AT$6),AND(AT$7&gt;0,$A949&gt;AT$7)),0,MAX(0,ROUND((INDEX($E949:$G949,AT$5)-SUMIFS(TF_Timer,TF_Tekniker,AT$4,TF_Dato,$A949))*2,0)/2)))</f>
        <v/>
      </c>
      <c r="AU949">
        <f>IF(OR(AU$4="",$A949&gt;TODAY()),0,IF(OR(INDEX($B949:$D949,AU$5)="F",AND(AU$6&gt;0,$A949&lt;AU$6),AND(AU$7&gt;0,$A949&gt;AU$7)),0,MAX(0,ROUND((INDEX($E949:$G949,AU$5)-SUMIFS(TF_Timer,TF_Tekniker,AU$4,TF_Dato,$A949))*2,0)/2)))</f>
        <v/>
      </c>
      <c r="AV949">
        <f>IF(OR(AV$4="",$A949&gt;TODAY()),0,IF(OR(INDEX($B949:$D949,AV$5)="F",AND(AV$6&gt;0,$A949&lt;AV$6),AND(AV$7&gt;0,$A949&gt;AV$7)),0,MAX(0,ROUND((INDEX($E949:$G949,AV$5)-SUMIFS(TF_Timer,TF_Tekniker,AV$4,TF_Dato,$A949))*2,0)/2)))</f>
        <v/>
      </c>
      <c r="AW949">
        <f>IF(OR(AW$4="",$A949&gt;TODAY()),0,IF(OR(INDEX($B949:$D949,AW$5)="F",AND(AW$6&gt;0,$A949&lt;AW$6),AND(AW$7&gt;0,$A949&gt;AW$7)),0,MAX(0,ROUND((INDEX($E949:$G949,AW$5)-SUMIFS(TF_Timer,TF_Tekniker,AW$4,TF_Dato,$A949))*2,0)/2)))</f>
        <v/>
      </c>
      <c r="AX949">
        <f>IF(OR(AX$4="",$A949&gt;TODAY()),0,IF(OR(INDEX($B949:$D949,AX$5)="F",AND(AX$6&gt;0,$A949&lt;AX$6),AND(AX$7&gt;0,$A949&gt;AX$7)),0,MAX(0,ROUND((INDEX($E949:$G949,AX$5)-SUMIFS(TF_Timer,TF_Tekniker,AX$4,TF_Dato,$A949))*2,0)/2)))</f>
        <v/>
      </c>
      <c r="AY949">
        <f>IF(OR(AY$4="",$A949&gt;TODAY()),0,IF(OR(INDEX($B949:$D949,AY$5)="F",AND(AY$6&gt;0,$A949&lt;AY$6),AND(AY$7&gt;0,$A949&gt;AY$7)),0,MAX(0,ROUND((INDEX($E949:$G949,AY$5)-SUMIFS(TF_Timer,TF_Tekniker,AY$4,TF_Dato,$A949))*2,0)/2)))</f>
        <v/>
      </c>
      <c r="AZ949">
        <f>IF(OR(AZ$4="",$A949&gt;TODAY()),0,IF(OR(INDEX($B949:$D949,AZ$5)="F",AND(AZ$6&gt;0,$A949&lt;AZ$6),AND(AZ$7&gt;0,$A949&gt;AZ$7)),0,MAX(0,ROUND((INDEX($E949:$G949,AZ$5)-SUMIFS(TF_Timer,TF_Tekniker,AZ$4,TF_Dato,$A949))*2,0)/2)))</f>
        <v/>
      </c>
      <c r="BA949">
        <f>IF(OR(BA$4="",$A949&gt;TODAY()),0,IF(OR(INDEX($B949:$D949,BA$5)="F",AND(BA$6&gt;0,$A949&lt;BA$6),AND(BA$7&gt;0,$A949&gt;BA$7)),0,MAX(0,ROUND((INDEX($E949:$G949,BA$5)-SUMIFS(TF_Timer,TF_Tekniker,BA$4,TF_Dato,$A949))*2,0)/2)))</f>
        <v/>
      </c>
      <c r="BB949">
        <f>IF(OR(BB$4="",$A949&gt;TODAY()),0,IF(OR(INDEX($B949:$D949,BB$5)="F",AND(BB$6&gt;0,$A949&lt;BB$6),AND(BB$7&gt;0,$A949&gt;BB$7)),0,MAX(0,ROUND((INDEX($E949:$G949,BB$5)-SUMIFS(TF_Timer,TF_Tekniker,BB$4,TF_Dato,$A949))*2,0)/2)))</f>
        <v/>
      </c>
      <c r="BC949">
        <f>IF(OR(BC$4="",$A949&gt;TODAY()),0,IF(OR(INDEX($B949:$D949,BC$5)="F",AND(BC$6&gt;0,$A949&lt;BC$6),AND(BC$7&gt;0,$A949&gt;BC$7)),0,MAX(0,ROUND((INDEX($E949:$G949,BC$5)-SUMIFS(TF_Timer,TF_Tekniker,BC$4,TF_Dato,$A949))*2,0)/2)))</f>
        <v/>
      </c>
      <c r="BD949">
        <f>IF(OR(BD$4="",$A949&gt;TODAY()),0,IF(OR(INDEX($B949:$D949,BD$5)="F",AND(BD$6&gt;0,$A949&lt;BD$6),AND(BD$7&gt;0,$A949&gt;BD$7)),0,MAX(0,ROUND((INDEX($E949:$G949,BD$5)-SUMIFS(TF_Timer,TF_Tekniker,BD$4,TF_Dato,$A949))*2,0)/2)))</f>
        <v/>
      </c>
      <c r="BE949">
        <f>IF(OR(BE$4="",$A949&gt;TODAY()),0,IF(OR(INDEX($B949:$D949,BE$5)="F",AND(BE$6&gt;0,$A949&lt;BE$6),AND(BE$7&gt;0,$A949&gt;BE$7)),0,MAX(0,ROUND((INDEX($E949:$G949,BE$5)-SUMIFS(TF_Timer,TF_Tekniker,BE$4,TF_Dato,$A949))*2,0)/2)))</f>
        <v/>
      </c>
      <c r="BF949">
        <f>IF(OR(BF$4="",$A949&gt;TODAY()),0,IF(OR(INDEX($B949:$D949,BF$5)="F",AND(BF$6&gt;0,$A949&lt;BF$6),AND(BF$7&gt;0,$A949&gt;BF$7)),0,MAX(0,ROUND((INDEX($E949:$G949,BF$5)-SUMIFS(TF_Timer,TF_Tekniker,BF$4,TF_Dato,$A949))*2,0)/2)))</f>
        <v/>
      </c>
      <c r="BG949">
        <f>IF(OR(BG$4="",$A949&gt;TODAY()),0,IF(OR(INDEX($B949:$D949,BG$5)="F",AND(BG$6&gt;0,$A949&lt;BG$6),AND(BG$7&gt;0,$A949&gt;BG$7)),0,MAX(0,ROUND((INDEX($E949:$G949,BG$5)-SUMIFS(TF_Timer,TF_Tekniker,BG$4,TF_Dato,$A949))*2,0)/2)))</f>
        <v/>
      </c>
      <c r="BH949">
        <f>IF(OR(BH$4="",$A949&gt;TODAY()),0,IF(OR(INDEX($B949:$D949,BH$5)="F",AND(BH$6&gt;0,$A949&lt;BH$6),AND(BH$7&gt;0,$A949&gt;BH$7)),0,MAX(0,ROUND((INDEX($E949:$G949,BH$5)-SUMIFS(TF_Timer,TF_Tekniker,BH$4,TF_Dato,$A949))*2,0)/2)))</f>
        <v/>
      </c>
      <c r="BI949">
        <f>IF(OR(BI$4="",$A949&gt;TODAY()),0,IF(OR(INDEX($B949:$D949,BI$5)="F",AND(BI$6&gt;0,$A949&lt;BI$6),AND(BI$7&gt;0,$A949&gt;BI$7)),0,MAX(0,ROUND((INDEX($E949:$G949,BI$5)-SUMIFS(TF_Timer,TF_Tekniker,BI$4,TF_Dato,$A949))*2,0)/2)))</f>
        <v/>
      </c>
    </row>
    <row r="950">
      <c r="A950" s="64">
        <f>A949+1</f>
        <v/>
      </c>
      <c r="B950">
        <f>IF(MOD($A950-INDEX(SkiftStart,1),Syklus)&lt;DagK,"K",IF(MOD($A950-INDEX(SkiftStart,1),Syklus)&lt;DagK+DagH,"H",IF(MOD($A950-INDEX(SkiftStart,1),Syklus)&lt;DagK+DagH+DagD,"D","F")))</f>
        <v/>
      </c>
      <c r="C950">
        <f>IF(MOD($A950-INDEX(SkiftStart,2),Syklus)&lt;DagK,"K",IF(MOD($A950-INDEX(SkiftStart,2),Syklus)&lt;DagK+DagH,"H",IF(MOD($A950-INDEX(SkiftStart,2),Syklus)&lt;DagK+DagH+DagD,"D","F")))</f>
        <v/>
      </c>
      <c r="D950">
        <f>IF(MOD($A950-INDEX(SkiftStart,3),Syklus)&lt;DagK,"K",IF(MOD($A950-INDEX(SkiftStart,3),Syklus)&lt;DagK+DagH,"H",IF(MOD($A950-INDEX(SkiftStart,3),Syklus)&lt;DagK+DagH+DagD,"D","F")))</f>
        <v/>
      </c>
      <c r="E950">
        <f>IF(B950="F",0,IF(WEEKDAY($A950,2)=5,INDEX(TimerFr,MATCH(B950,FaseKode,0)),INDEX(TimerMT,MATCH(B950,FaseKode,0))))</f>
        <v/>
      </c>
      <c r="F950">
        <f>IF(C950="F",0,IF(WEEKDAY($A950,2)=5,INDEX(TimerFr,MATCH(C950,FaseKode,0)),INDEX(TimerMT,MATCH(C950,FaseKode,0))))</f>
        <v/>
      </c>
      <c r="G950">
        <f>IF(D950="F",0,IF(WEEKDAY($A950,2)=5,INDEX(TimerFr,MATCH(D950,FaseKode,0)),INDEX(TimerMT,MATCH(D950,FaseKode,0))))</f>
        <v/>
      </c>
      <c r="H950">
        <f>IF(OR(H$4="",$A950&gt;TODAY()),0,IF(OR(INDEX($B950:$D950,H$5)="F",AND(H$6&gt;0,$A950&lt;H$6),AND(H$7&gt;0,$A950&gt;H$7)),0,MAX(0,ROUND((INDEX($E950:$G950,H$5)-SUMIFS(TF_Timer,TF_Tekniker,H$4,TF_Dato,$A950))*2,0)/2)))</f>
        <v/>
      </c>
      <c r="I950">
        <f>IF(OR(I$4="",$A950&gt;TODAY()),0,IF(OR(INDEX($B950:$D950,I$5)="F",AND(I$6&gt;0,$A950&lt;I$6),AND(I$7&gt;0,$A950&gt;I$7)),0,MAX(0,ROUND((INDEX($E950:$G950,I$5)-SUMIFS(TF_Timer,TF_Tekniker,I$4,TF_Dato,$A950))*2,0)/2)))</f>
        <v/>
      </c>
      <c r="J950">
        <f>IF(OR(J$4="",$A950&gt;TODAY()),0,IF(OR(INDEX($B950:$D950,J$5)="F",AND(J$6&gt;0,$A950&lt;J$6),AND(J$7&gt;0,$A950&gt;J$7)),0,MAX(0,ROUND((INDEX($E950:$G950,J$5)-SUMIFS(TF_Timer,TF_Tekniker,J$4,TF_Dato,$A950))*2,0)/2)))</f>
        <v/>
      </c>
      <c r="K950">
        <f>IF(OR(K$4="",$A950&gt;TODAY()),0,IF(OR(INDEX($B950:$D950,K$5)="F",AND(K$6&gt;0,$A950&lt;K$6),AND(K$7&gt;0,$A950&gt;K$7)),0,MAX(0,ROUND((INDEX($E950:$G950,K$5)-SUMIFS(TF_Timer,TF_Tekniker,K$4,TF_Dato,$A950))*2,0)/2)))</f>
        <v/>
      </c>
      <c r="L950">
        <f>IF(OR(L$4="",$A950&gt;TODAY()),0,IF(OR(INDEX($B950:$D950,L$5)="F",AND(L$6&gt;0,$A950&lt;L$6),AND(L$7&gt;0,$A950&gt;L$7)),0,MAX(0,ROUND((INDEX($E950:$G950,L$5)-SUMIFS(TF_Timer,TF_Tekniker,L$4,TF_Dato,$A950))*2,0)/2)))</f>
        <v/>
      </c>
      <c r="M950">
        <f>IF(OR(M$4="",$A950&gt;TODAY()),0,IF(OR(INDEX($B950:$D950,M$5)="F",AND(M$6&gt;0,$A950&lt;M$6),AND(M$7&gt;0,$A950&gt;M$7)),0,MAX(0,ROUND((INDEX($E950:$G950,M$5)-SUMIFS(TF_Timer,TF_Tekniker,M$4,TF_Dato,$A950))*2,0)/2)))</f>
        <v/>
      </c>
      <c r="N950">
        <f>IF(OR(N$4="",$A950&gt;TODAY()),0,IF(OR(INDEX($B950:$D950,N$5)="F",AND(N$6&gt;0,$A950&lt;N$6),AND(N$7&gt;0,$A950&gt;N$7)),0,MAX(0,ROUND((INDEX($E950:$G950,N$5)-SUMIFS(TF_Timer,TF_Tekniker,N$4,TF_Dato,$A950))*2,0)/2)))</f>
        <v/>
      </c>
      <c r="O950">
        <f>IF(OR(O$4="",$A950&gt;TODAY()),0,IF(OR(INDEX($B950:$D950,O$5)="F",AND(O$6&gt;0,$A950&lt;O$6),AND(O$7&gt;0,$A950&gt;O$7)),0,MAX(0,ROUND((INDEX($E950:$G950,O$5)-SUMIFS(TF_Timer,TF_Tekniker,O$4,TF_Dato,$A950))*2,0)/2)))</f>
        <v/>
      </c>
      <c r="P950">
        <f>IF(OR(P$4="",$A950&gt;TODAY()),0,IF(OR(INDEX($B950:$D950,P$5)="F",AND(P$6&gt;0,$A950&lt;P$6),AND(P$7&gt;0,$A950&gt;P$7)),0,MAX(0,ROUND((INDEX($E950:$G950,P$5)-SUMIFS(TF_Timer,TF_Tekniker,P$4,TF_Dato,$A950))*2,0)/2)))</f>
        <v/>
      </c>
      <c r="Q950">
        <f>IF(OR(Q$4="",$A950&gt;TODAY()),0,IF(OR(INDEX($B950:$D950,Q$5)="F",AND(Q$6&gt;0,$A950&lt;Q$6),AND(Q$7&gt;0,$A950&gt;Q$7)),0,MAX(0,ROUND((INDEX($E950:$G950,Q$5)-SUMIFS(TF_Timer,TF_Tekniker,Q$4,TF_Dato,$A950))*2,0)/2)))</f>
        <v/>
      </c>
      <c r="R950">
        <f>IF(OR(R$4="",$A950&gt;TODAY()),0,IF(OR(INDEX($B950:$D950,R$5)="F",AND(R$6&gt;0,$A950&lt;R$6),AND(R$7&gt;0,$A950&gt;R$7)),0,MAX(0,ROUND((INDEX($E950:$G950,R$5)-SUMIFS(TF_Timer,TF_Tekniker,R$4,TF_Dato,$A950))*2,0)/2)))</f>
        <v/>
      </c>
      <c r="S950">
        <f>IF(OR(S$4="",$A950&gt;TODAY()),0,IF(OR(INDEX($B950:$D950,S$5)="F",AND(S$6&gt;0,$A950&lt;S$6),AND(S$7&gt;0,$A950&gt;S$7)),0,MAX(0,ROUND((INDEX($E950:$G950,S$5)-SUMIFS(TF_Timer,TF_Tekniker,S$4,TF_Dato,$A950))*2,0)/2)))</f>
        <v/>
      </c>
      <c r="T950">
        <f>IF(OR(T$4="",$A950&gt;TODAY()),0,IF(OR(INDEX($B950:$D950,T$5)="F",AND(T$6&gt;0,$A950&lt;T$6),AND(T$7&gt;0,$A950&gt;T$7)),0,MAX(0,ROUND((INDEX($E950:$G950,T$5)-SUMIFS(TF_Timer,TF_Tekniker,T$4,TF_Dato,$A950))*2,0)/2)))</f>
        <v/>
      </c>
      <c r="U950">
        <f>IF(OR(U$4="",$A950&gt;TODAY()),0,IF(OR(INDEX($B950:$D950,U$5)="F",AND(U$6&gt;0,$A950&lt;U$6),AND(U$7&gt;0,$A950&gt;U$7)),0,MAX(0,ROUND((INDEX($E950:$G950,U$5)-SUMIFS(TF_Timer,TF_Tekniker,U$4,TF_Dato,$A950))*2,0)/2)))</f>
        <v/>
      </c>
      <c r="V950">
        <f>IF(OR(V$4="",$A950&gt;TODAY()),0,IF(OR(INDEX($B950:$D950,V$5)="F",AND(V$6&gt;0,$A950&lt;V$6),AND(V$7&gt;0,$A950&gt;V$7)),0,MAX(0,ROUND((INDEX($E950:$G950,V$5)-SUMIFS(TF_Timer,TF_Tekniker,V$4,TF_Dato,$A950))*2,0)/2)))</f>
        <v/>
      </c>
      <c r="W950">
        <f>IF(OR(W$4="",$A950&gt;TODAY()),0,IF(OR(INDEX($B950:$D950,W$5)="F",AND(W$6&gt;0,$A950&lt;W$6),AND(W$7&gt;0,$A950&gt;W$7)),0,MAX(0,ROUND((INDEX($E950:$G950,W$5)-SUMIFS(TF_Timer,TF_Tekniker,W$4,TF_Dato,$A950))*2,0)/2)))</f>
        <v/>
      </c>
      <c r="X950">
        <f>IF(OR(X$4="",$A950&gt;TODAY()),0,IF(OR(INDEX($B950:$D950,X$5)="F",AND(X$6&gt;0,$A950&lt;X$6),AND(X$7&gt;0,$A950&gt;X$7)),0,MAX(0,ROUND((INDEX($E950:$G950,X$5)-SUMIFS(TF_Timer,TF_Tekniker,X$4,TF_Dato,$A950))*2,0)/2)))</f>
        <v/>
      </c>
      <c r="Y950">
        <f>IF(OR(Y$4="",$A950&gt;TODAY()),0,IF(OR(INDEX($B950:$D950,Y$5)="F",AND(Y$6&gt;0,$A950&lt;Y$6),AND(Y$7&gt;0,$A950&gt;Y$7)),0,MAX(0,ROUND((INDEX($E950:$G950,Y$5)-SUMIFS(TF_Timer,TF_Tekniker,Y$4,TF_Dato,$A950))*2,0)/2)))</f>
        <v/>
      </c>
      <c r="Z950">
        <f>IF(OR(Z$4="",$A950&gt;TODAY()),0,IF(OR(INDEX($B950:$D950,Z$5)="F",AND(Z$6&gt;0,$A950&lt;Z$6),AND(Z$7&gt;0,$A950&gt;Z$7)),0,MAX(0,ROUND((INDEX($E950:$G950,Z$5)-SUMIFS(TF_Timer,TF_Tekniker,Z$4,TF_Dato,$A950))*2,0)/2)))</f>
        <v/>
      </c>
      <c r="AA950">
        <f>IF(OR(AA$4="",$A950&gt;TODAY()),0,IF(OR(INDEX($B950:$D950,AA$5)="F",AND(AA$6&gt;0,$A950&lt;AA$6),AND(AA$7&gt;0,$A950&gt;AA$7)),0,MAX(0,ROUND((INDEX($E950:$G950,AA$5)-SUMIFS(TF_Timer,TF_Tekniker,AA$4,TF_Dato,$A950))*2,0)/2)))</f>
        <v/>
      </c>
      <c r="AB950">
        <f>IF(OR(AB$4="",$A950&gt;TODAY()),0,IF(OR(INDEX($B950:$D950,AB$5)="F",AND(AB$6&gt;0,$A950&lt;AB$6),AND(AB$7&gt;0,$A950&gt;AB$7)),0,MAX(0,ROUND((INDEX($E950:$G950,AB$5)-SUMIFS(TF_Timer,TF_Tekniker,AB$4,TF_Dato,$A950))*2,0)/2)))</f>
        <v/>
      </c>
      <c r="AC950">
        <f>IF(OR(AC$4="",$A950&gt;TODAY()),0,IF(OR(INDEX($B950:$D950,AC$5)="F",AND(AC$6&gt;0,$A950&lt;AC$6),AND(AC$7&gt;0,$A950&gt;AC$7)),0,MAX(0,ROUND((INDEX($E950:$G950,AC$5)-SUMIFS(TF_Timer,TF_Tekniker,AC$4,TF_Dato,$A950))*2,0)/2)))</f>
        <v/>
      </c>
      <c r="AD950">
        <f>IF(OR(AD$4="",$A950&gt;TODAY()),0,IF(OR(INDEX($B950:$D950,AD$5)="F",AND(AD$6&gt;0,$A950&lt;AD$6),AND(AD$7&gt;0,$A950&gt;AD$7)),0,MAX(0,ROUND((INDEX($E950:$G950,AD$5)-SUMIFS(TF_Timer,TF_Tekniker,AD$4,TF_Dato,$A950))*2,0)/2)))</f>
        <v/>
      </c>
      <c r="AE950">
        <f>IF(OR(AE$4="",$A950&gt;TODAY()),0,IF(OR(INDEX($B950:$D950,AE$5)="F",AND(AE$6&gt;0,$A950&lt;AE$6),AND(AE$7&gt;0,$A950&gt;AE$7)),0,MAX(0,ROUND((INDEX($E950:$G950,AE$5)-SUMIFS(TF_Timer,TF_Tekniker,AE$4,TF_Dato,$A950))*2,0)/2)))</f>
        <v/>
      </c>
      <c r="AF950">
        <f>IF(OR(AF$4="",$A950&gt;TODAY()),0,IF(OR(INDEX($B950:$D950,AF$5)="F",AND(AF$6&gt;0,$A950&lt;AF$6),AND(AF$7&gt;0,$A950&gt;AF$7)),0,MAX(0,ROUND((INDEX($E950:$G950,AF$5)-SUMIFS(TF_Timer,TF_Tekniker,AF$4,TF_Dato,$A950))*2,0)/2)))</f>
        <v/>
      </c>
      <c r="AG950">
        <f>IF(OR(AG$4="",$A950&gt;TODAY()),0,IF(OR(INDEX($B950:$D950,AG$5)="F",AND(AG$6&gt;0,$A950&lt;AG$6),AND(AG$7&gt;0,$A950&gt;AG$7)),0,MAX(0,ROUND((INDEX($E950:$G950,AG$5)-SUMIFS(TF_Timer,TF_Tekniker,AG$4,TF_Dato,$A950))*2,0)/2)))</f>
        <v/>
      </c>
      <c r="AH950">
        <f>IF(OR(AH$4="",$A950&gt;TODAY()),0,IF(OR(INDEX($B950:$D950,AH$5)="F",AND(AH$6&gt;0,$A950&lt;AH$6),AND(AH$7&gt;0,$A950&gt;AH$7)),0,MAX(0,ROUND((INDEX($E950:$G950,AH$5)-SUMIFS(TF_Timer,TF_Tekniker,AH$4,TF_Dato,$A950))*2,0)/2)))</f>
        <v/>
      </c>
      <c r="AI950">
        <f>IF(OR(AI$4="",$A950&gt;TODAY()),0,IF(OR(INDEX($B950:$D950,AI$5)="F",AND(AI$6&gt;0,$A950&lt;AI$6),AND(AI$7&gt;0,$A950&gt;AI$7)),0,MAX(0,ROUND((INDEX($E950:$G950,AI$5)-SUMIFS(TF_Timer,TF_Tekniker,AI$4,TF_Dato,$A950))*2,0)/2)))</f>
        <v/>
      </c>
      <c r="AJ950">
        <f>IF(OR(AJ$4="",$A950&gt;TODAY()),0,IF(OR(INDEX($B950:$D950,AJ$5)="F",AND(AJ$6&gt;0,$A950&lt;AJ$6),AND(AJ$7&gt;0,$A950&gt;AJ$7)),0,MAX(0,ROUND((INDEX($E950:$G950,AJ$5)-SUMIFS(TF_Timer,TF_Tekniker,AJ$4,TF_Dato,$A950))*2,0)/2)))</f>
        <v/>
      </c>
      <c r="AK950">
        <f>IF(OR(AK$4="",$A950&gt;TODAY()),0,IF(OR(INDEX($B950:$D950,AK$5)="F",AND(AK$6&gt;0,$A950&lt;AK$6),AND(AK$7&gt;0,$A950&gt;AK$7)),0,MAX(0,ROUND((INDEX($E950:$G950,AK$5)-SUMIFS(TF_Timer,TF_Tekniker,AK$4,TF_Dato,$A950))*2,0)/2)))</f>
        <v/>
      </c>
      <c r="AL950">
        <f>IF(OR(AL$4="",$A950&gt;TODAY()),0,IF(OR(INDEX($B950:$D950,AL$5)="F",AND(AL$6&gt;0,$A950&lt;AL$6),AND(AL$7&gt;0,$A950&gt;AL$7)),0,MAX(0,ROUND((INDEX($E950:$G950,AL$5)-SUMIFS(TF_Timer,TF_Tekniker,AL$4,TF_Dato,$A950))*2,0)/2)))</f>
        <v/>
      </c>
      <c r="AM950">
        <f>IF(OR(AM$4="",$A950&gt;TODAY()),0,IF(OR(INDEX($B950:$D950,AM$5)="F",AND(AM$6&gt;0,$A950&lt;AM$6),AND(AM$7&gt;0,$A950&gt;AM$7)),0,MAX(0,ROUND((INDEX($E950:$G950,AM$5)-SUMIFS(TF_Timer,TF_Tekniker,AM$4,TF_Dato,$A950))*2,0)/2)))</f>
        <v/>
      </c>
      <c r="AN950">
        <f>IF(OR(AN$4="",$A950&gt;TODAY()),0,IF(OR(INDEX($B950:$D950,AN$5)="F",AND(AN$6&gt;0,$A950&lt;AN$6),AND(AN$7&gt;0,$A950&gt;AN$7)),0,MAX(0,ROUND((INDEX($E950:$G950,AN$5)-SUMIFS(TF_Timer,TF_Tekniker,AN$4,TF_Dato,$A950))*2,0)/2)))</f>
        <v/>
      </c>
      <c r="AO950">
        <f>IF(OR(AO$4="",$A950&gt;TODAY()),0,IF(OR(INDEX($B950:$D950,AO$5)="F",AND(AO$6&gt;0,$A950&lt;AO$6),AND(AO$7&gt;0,$A950&gt;AO$7)),0,MAX(0,ROUND((INDEX($E950:$G950,AO$5)-SUMIFS(TF_Timer,TF_Tekniker,AO$4,TF_Dato,$A950))*2,0)/2)))</f>
        <v/>
      </c>
      <c r="AP950">
        <f>IF(OR(AP$4="",$A950&gt;TODAY()),0,IF(OR(INDEX($B950:$D950,AP$5)="F",AND(AP$6&gt;0,$A950&lt;AP$6),AND(AP$7&gt;0,$A950&gt;AP$7)),0,MAX(0,ROUND((INDEX($E950:$G950,AP$5)-SUMIFS(TF_Timer,TF_Tekniker,AP$4,TF_Dato,$A950))*2,0)/2)))</f>
        <v/>
      </c>
      <c r="AQ950">
        <f>IF(OR(AQ$4="",$A950&gt;TODAY()),0,IF(OR(INDEX($B950:$D950,AQ$5)="F",AND(AQ$6&gt;0,$A950&lt;AQ$6),AND(AQ$7&gt;0,$A950&gt;AQ$7)),0,MAX(0,ROUND((INDEX($E950:$G950,AQ$5)-SUMIFS(TF_Timer,TF_Tekniker,AQ$4,TF_Dato,$A950))*2,0)/2)))</f>
        <v/>
      </c>
      <c r="AR950">
        <f>IF(OR(AR$4="",$A950&gt;TODAY()),0,IF(OR(INDEX($B950:$D950,AR$5)="F",AND(AR$6&gt;0,$A950&lt;AR$6),AND(AR$7&gt;0,$A950&gt;AR$7)),0,MAX(0,ROUND((INDEX($E950:$G950,AR$5)-SUMIFS(TF_Timer,TF_Tekniker,AR$4,TF_Dato,$A950))*2,0)/2)))</f>
        <v/>
      </c>
      <c r="AS950">
        <f>IF(OR(AS$4="",$A950&gt;TODAY()),0,IF(OR(INDEX($B950:$D950,AS$5)="F",AND(AS$6&gt;0,$A950&lt;AS$6),AND(AS$7&gt;0,$A950&gt;AS$7)),0,MAX(0,ROUND((INDEX($E950:$G950,AS$5)-SUMIFS(TF_Timer,TF_Tekniker,AS$4,TF_Dato,$A950))*2,0)/2)))</f>
        <v/>
      </c>
      <c r="AT950">
        <f>IF(OR(AT$4="",$A950&gt;TODAY()),0,IF(OR(INDEX($B950:$D950,AT$5)="F",AND(AT$6&gt;0,$A950&lt;AT$6),AND(AT$7&gt;0,$A950&gt;AT$7)),0,MAX(0,ROUND((INDEX($E950:$G950,AT$5)-SUMIFS(TF_Timer,TF_Tekniker,AT$4,TF_Dato,$A950))*2,0)/2)))</f>
        <v/>
      </c>
      <c r="AU950">
        <f>IF(OR(AU$4="",$A950&gt;TODAY()),0,IF(OR(INDEX($B950:$D950,AU$5)="F",AND(AU$6&gt;0,$A950&lt;AU$6),AND(AU$7&gt;0,$A950&gt;AU$7)),0,MAX(0,ROUND((INDEX($E950:$G950,AU$5)-SUMIFS(TF_Timer,TF_Tekniker,AU$4,TF_Dato,$A950))*2,0)/2)))</f>
        <v/>
      </c>
      <c r="AV950">
        <f>IF(OR(AV$4="",$A950&gt;TODAY()),0,IF(OR(INDEX($B950:$D950,AV$5)="F",AND(AV$6&gt;0,$A950&lt;AV$6),AND(AV$7&gt;0,$A950&gt;AV$7)),0,MAX(0,ROUND((INDEX($E950:$G950,AV$5)-SUMIFS(TF_Timer,TF_Tekniker,AV$4,TF_Dato,$A950))*2,0)/2)))</f>
        <v/>
      </c>
      <c r="AW950">
        <f>IF(OR(AW$4="",$A950&gt;TODAY()),0,IF(OR(INDEX($B950:$D950,AW$5)="F",AND(AW$6&gt;0,$A950&lt;AW$6),AND(AW$7&gt;0,$A950&gt;AW$7)),0,MAX(0,ROUND((INDEX($E950:$G950,AW$5)-SUMIFS(TF_Timer,TF_Tekniker,AW$4,TF_Dato,$A950))*2,0)/2)))</f>
        <v/>
      </c>
      <c r="AX950">
        <f>IF(OR(AX$4="",$A950&gt;TODAY()),0,IF(OR(INDEX($B950:$D950,AX$5)="F",AND(AX$6&gt;0,$A950&lt;AX$6),AND(AX$7&gt;0,$A950&gt;AX$7)),0,MAX(0,ROUND((INDEX($E950:$G950,AX$5)-SUMIFS(TF_Timer,TF_Tekniker,AX$4,TF_Dato,$A950))*2,0)/2)))</f>
        <v/>
      </c>
      <c r="AY950">
        <f>IF(OR(AY$4="",$A950&gt;TODAY()),0,IF(OR(INDEX($B950:$D950,AY$5)="F",AND(AY$6&gt;0,$A950&lt;AY$6),AND(AY$7&gt;0,$A950&gt;AY$7)),0,MAX(0,ROUND((INDEX($E950:$G950,AY$5)-SUMIFS(TF_Timer,TF_Tekniker,AY$4,TF_Dato,$A950))*2,0)/2)))</f>
        <v/>
      </c>
      <c r="AZ950">
        <f>IF(OR(AZ$4="",$A950&gt;TODAY()),0,IF(OR(INDEX($B950:$D950,AZ$5)="F",AND(AZ$6&gt;0,$A950&lt;AZ$6),AND(AZ$7&gt;0,$A950&gt;AZ$7)),0,MAX(0,ROUND((INDEX($E950:$G950,AZ$5)-SUMIFS(TF_Timer,TF_Tekniker,AZ$4,TF_Dato,$A950))*2,0)/2)))</f>
        <v/>
      </c>
      <c r="BA950">
        <f>IF(OR(BA$4="",$A950&gt;TODAY()),0,IF(OR(INDEX($B950:$D950,BA$5)="F",AND(BA$6&gt;0,$A950&lt;BA$6),AND(BA$7&gt;0,$A950&gt;BA$7)),0,MAX(0,ROUND((INDEX($E950:$G950,BA$5)-SUMIFS(TF_Timer,TF_Tekniker,BA$4,TF_Dato,$A950))*2,0)/2)))</f>
        <v/>
      </c>
      <c r="BB950">
        <f>IF(OR(BB$4="",$A950&gt;TODAY()),0,IF(OR(INDEX($B950:$D950,BB$5)="F",AND(BB$6&gt;0,$A950&lt;BB$6),AND(BB$7&gt;0,$A950&gt;BB$7)),0,MAX(0,ROUND((INDEX($E950:$G950,BB$5)-SUMIFS(TF_Timer,TF_Tekniker,BB$4,TF_Dato,$A950))*2,0)/2)))</f>
        <v/>
      </c>
      <c r="BC950">
        <f>IF(OR(BC$4="",$A950&gt;TODAY()),0,IF(OR(INDEX($B950:$D950,BC$5)="F",AND(BC$6&gt;0,$A950&lt;BC$6),AND(BC$7&gt;0,$A950&gt;BC$7)),0,MAX(0,ROUND((INDEX($E950:$G950,BC$5)-SUMIFS(TF_Timer,TF_Tekniker,BC$4,TF_Dato,$A950))*2,0)/2)))</f>
        <v/>
      </c>
      <c r="BD950">
        <f>IF(OR(BD$4="",$A950&gt;TODAY()),0,IF(OR(INDEX($B950:$D950,BD$5)="F",AND(BD$6&gt;0,$A950&lt;BD$6),AND(BD$7&gt;0,$A950&gt;BD$7)),0,MAX(0,ROUND((INDEX($E950:$G950,BD$5)-SUMIFS(TF_Timer,TF_Tekniker,BD$4,TF_Dato,$A950))*2,0)/2)))</f>
        <v/>
      </c>
      <c r="BE950">
        <f>IF(OR(BE$4="",$A950&gt;TODAY()),0,IF(OR(INDEX($B950:$D950,BE$5)="F",AND(BE$6&gt;0,$A950&lt;BE$6),AND(BE$7&gt;0,$A950&gt;BE$7)),0,MAX(0,ROUND((INDEX($E950:$G950,BE$5)-SUMIFS(TF_Timer,TF_Tekniker,BE$4,TF_Dato,$A950))*2,0)/2)))</f>
        <v/>
      </c>
      <c r="BF950">
        <f>IF(OR(BF$4="",$A950&gt;TODAY()),0,IF(OR(INDEX($B950:$D950,BF$5)="F",AND(BF$6&gt;0,$A950&lt;BF$6),AND(BF$7&gt;0,$A950&gt;BF$7)),0,MAX(0,ROUND((INDEX($E950:$G950,BF$5)-SUMIFS(TF_Timer,TF_Tekniker,BF$4,TF_Dato,$A950))*2,0)/2)))</f>
        <v/>
      </c>
      <c r="BG950">
        <f>IF(OR(BG$4="",$A950&gt;TODAY()),0,IF(OR(INDEX($B950:$D950,BG$5)="F",AND(BG$6&gt;0,$A950&lt;BG$6),AND(BG$7&gt;0,$A950&gt;BG$7)),0,MAX(0,ROUND((INDEX($E950:$G950,BG$5)-SUMIFS(TF_Timer,TF_Tekniker,BG$4,TF_Dato,$A950))*2,0)/2)))</f>
        <v/>
      </c>
      <c r="BH950">
        <f>IF(OR(BH$4="",$A950&gt;TODAY()),0,IF(OR(INDEX($B950:$D950,BH$5)="F",AND(BH$6&gt;0,$A950&lt;BH$6),AND(BH$7&gt;0,$A950&gt;BH$7)),0,MAX(0,ROUND((INDEX($E950:$G950,BH$5)-SUMIFS(TF_Timer,TF_Tekniker,BH$4,TF_Dato,$A950))*2,0)/2)))</f>
        <v/>
      </c>
      <c r="BI950">
        <f>IF(OR(BI$4="",$A950&gt;TODAY()),0,IF(OR(INDEX($B950:$D950,BI$5)="F",AND(BI$6&gt;0,$A950&lt;BI$6),AND(BI$7&gt;0,$A950&gt;BI$7)),0,MAX(0,ROUND((INDEX($E950:$G950,BI$5)-SUMIFS(TF_Timer,TF_Tekniker,BI$4,TF_Dato,$A950))*2,0)/2)))</f>
        <v/>
      </c>
    </row>
    <row r="951">
      <c r="A951" s="64">
        <f>A950+1</f>
        <v/>
      </c>
      <c r="B951">
        <f>IF(MOD($A951-INDEX(SkiftStart,1),Syklus)&lt;DagK,"K",IF(MOD($A951-INDEX(SkiftStart,1),Syklus)&lt;DagK+DagH,"H",IF(MOD($A951-INDEX(SkiftStart,1),Syklus)&lt;DagK+DagH+DagD,"D","F")))</f>
        <v/>
      </c>
      <c r="C951">
        <f>IF(MOD($A951-INDEX(SkiftStart,2),Syklus)&lt;DagK,"K",IF(MOD($A951-INDEX(SkiftStart,2),Syklus)&lt;DagK+DagH,"H",IF(MOD($A951-INDEX(SkiftStart,2),Syklus)&lt;DagK+DagH+DagD,"D","F")))</f>
        <v/>
      </c>
      <c r="D951">
        <f>IF(MOD($A951-INDEX(SkiftStart,3),Syklus)&lt;DagK,"K",IF(MOD($A951-INDEX(SkiftStart,3),Syklus)&lt;DagK+DagH,"H",IF(MOD($A951-INDEX(SkiftStart,3),Syklus)&lt;DagK+DagH+DagD,"D","F")))</f>
        <v/>
      </c>
      <c r="E951">
        <f>IF(B951="F",0,IF(WEEKDAY($A951,2)=5,INDEX(TimerFr,MATCH(B951,FaseKode,0)),INDEX(TimerMT,MATCH(B951,FaseKode,0))))</f>
        <v/>
      </c>
      <c r="F951">
        <f>IF(C951="F",0,IF(WEEKDAY($A951,2)=5,INDEX(TimerFr,MATCH(C951,FaseKode,0)),INDEX(TimerMT,MATCH(C951,FaseKode,0))))</f>
        <v/>
      </c>
      <c r="G951">
        <f>IF(D951="F",0,IF(WEEKDAY($A951,2)=5,INDEX(TimerFr,MATCH(D951,FaseKode,0)),INDEX(TimerMT,MATCH(D951,FaseKode,0))))</f>
        <v/>
      </c>
      <c r="H951">
        <f>IF(OR(H$4="",$A951&gt;TODAY()),0,IF(OR(INDEX($B951:$D951,H$5)="F",AND(H$6&gt;0,$A951&lt;H$6),AND(H$7&gt;0,$A951&gt;H$7)),0,MAX(0,ROUND((INDEX($E951:$G951,H$5)-SUMIFS(TF_Timer,TF_Tekniker,H$4,TF_Dato,$A951))*2,0)/2)))</f>
        <v/>
      </c>
      <c r="I951">
        <f>IF(OR(I$4="",$A951&gt;TODAY()),0,IF(OR(INDEX($B951:$D951,I$5)="F",AND(I$6&gt;0,$A951&lt;I$6),AND(I$7&gt;0,$A951&gt;I$7)),0,MAX(0,ROUND((INDEX($E951:$G951,I$5)-SUMIFS(TF_Timer,TF_Tekniker,I$4,TF_Dato,$A951))*2,0)/2)))</f>
        <v/>
      </c>
      <c r="J951">
        <f>IF(OR(J$4="",$A951&gt;TODAY()),0,IF(OR(INDEX($B951:$D951,J$5)="F",AND(J$6&gt;0,$A951&lt;J$6),AND(J$7&gt;0,$A951&gt;J$7)),0,MAX(0,ROUND((INDEX($E951:$G951,J$5)-SUMIFS(TF_Timer,TF_Tekniker,J$4,TF_Dato,$A951))*2,0)/2)))</f>
        <v/>
      </c>
      <c r="K951">
        <f>IF(OR(K$4="",$A951&gt;TODAY()),0,IF(OR(INDEX($B951:$D951,K$5)="F",AND(K$6&gt;0,$A951&lt;K$6),AND(K$7&gt;0,$A951&gt;K$7)),0,MAX(0,ROUND((INDEX($E951:$G951,K$5)-SUMIFS(TF_Timer,TF_Tekniker,K$4,TF_Dato,$A951))*2,0)/2)))</f>
        <v/>
      </c>
      <c r="L951">
        <f>IF(OR(L$4="",$A951&gt;TODAY()),0,IF(OR(INDEX($B951:$D951,L$5)="F",AND(L$6&gt;0,$A951&lt;L$6),AND(L$7&gt;0,$A951&gt;L$7)),0,MAX(0,ROUND((INDEX($E951:$G951,L$5)-SUMIFS(TF_Timer,TF_Tekniker,L$4,TF_Dato,$A951))*2,0)/2)))</f>
        <v/>
      </c>
      <c r="M951">
        <f>IF(OR(M$4="",$A951&gt;TODAY()),0,IF(OR(INDEX($B951:$D951,M$5)="F",AND(M$6&gt;0,$A951&lt;M$6),AND(M$7&gt;0,$A951&gt;M$7)),0,MAX(0,ROUND((INDEX($E951:$G951,M$5)-SUMIFS(TF_Timer,TF_Tekniker,M$4,TF_Dato,$A951))*2,0)/2)))</f>
        <v/>
      </c>
      <c r="N951">
        <f>IF(OR(N$4="",$A951&gt;TODAY()),0,IF(OR(INDEX($B951:$D951,N$5)="F",AND(N$6&gt;0,$A951&lt;N$6),AND(N$7&gt;0,$A951&gt;N$7)),0,MAX(0,ROUND((INDEX($E951:$G951,N$5)-SUMIFS(TF_Timer,TF_Tekniker,N$4,TF_Dato,$A951))*2,0)/2)))</f>
        <v/>
      </c>
      <c r="O951">
        <f>IF(OR(O$4="",$A951&gt;TODAY()),0,IF(OR(INDEX($B951:$D951,O$5)="F",AND(O$6&gt;0,$A951&lt;O$6),AND(O$7&gt;0,$A951&gt;O$7)),0,MAX(0,ROUND((INDEX($E951:$G951,O$5)-SUMIFS(TF_Timer,TF_Tekniker,O$4,TF_Dato,$A951))*2,0)/2)))</f>
        <v/>
      </c>
      <c r="P951">
        <f>IF(OR(P$4="",$A951&gt;TODAY()),0,IF(OR(INDEX($B951:$D951,P$5)="F",AND(P$6&gt;0,$A951&lt;P$6),AND(P$7&gt;0,$A951&gt;P$7)),0,MAX(0,ROUND((INDEX($E951:$G951,P$5)-SUMIFS(TF_Timer,TF_Tekniker,P$4,TF_Dato,$A951))*2,0)/2)))</f>
        <v/>
      </c>
      <c r="Q951">
        <f>IF(OR(Q$4="",$A951&gt;TODAY()),0,IF(OR(INDEX($B951:$D951,Q$5)="F",AND(Q$6&gt;0,$A951&lt;Q$6),AND(Q$7&gt;0,$A951&gt;Q$7)),0,MAX(0,ROUND((INDEX($E951:$G951,Q$5)-SUMIFS(TF_Timer,TF_Tekniker,Q$4,TF_Dato,$A951))*2,0)/2)))</f>
        <v/>
      </c>
      <c r="R951">
        <f>IF(OR(R$4="",$A951&gt;TODAY()),0,IF(OR(INDEX($B951:$D951,R$5)="F",AND(R$6&gt;0,$A951&lt;R$6),AND(R$7&gt;0,$A951&gt;R$7)),0,MAX(0,ROUND((INDEX($E951:$G951,R$5)-SUMIFS(TF_Timer,TF_Tekniker,R$4,TF_Dato,$A951))*2,0)/2)))</f>
        <v/>
      </c>
      <c r="S951">
        <f>IF(OR(S$4="",$A951&gt;TODAY()),0,IF(OR(INDEX($B951:$D951,S$5)="F",AND(S$6&gt;0,$A951&lt;S$6),AND(S$7&gt;0,$A951&gt;S$7)),0,MAX(0,ROUND((INDEX($E951:$G951,S$5)-SUMIFS(TF_Timer,TF_Tekniker,S$4,TF_Dato,$A951))*2,0)/2)))</f>
        <v/>
      </c>
      <c r="T951">
        <f>IF(OR(T$4="",$A951&gt;TODAY()),0,IF(OR(INDEX($B951:$D951,T$5)="F",AND(T$6&gt;0,$A951&lt;T$6),AND(T$7&gt;0,$A951&gt;T$7)),0,MAX(0,ROUND((INDEX($E951:$G951,T$5)-SUMIFS(TF_Timer,TF_Tekniker,T$4,TF_Dato,$A951))*2,0)/2)))</f>
        <v/>
      </c>
      <c r="U951">
        <f>IF(OR(U$4="",$A951&gt;TODAY()),0,IF(OR(INDEX($B951:$D951,U$5)="F",AND(U$6&gt;0,$A951&lt;U$6),AND(U$7&gt;0,$A951&gt;U$7)),0,MAX(0,ROUND((INDEX($E951:$G951,U$5)-SUMIFS(TF_Timer,TF_Tekniker,U$4,TF_Dato,$A951))*2,0)/2)))</f>
        <v/>
      </c>
      <c r="V951">
        <f>IF(OR(V$4="",$A951&gt;TODAY()),0,IF(OR(INDEX($B951:$D951,V$5)="F",AND(V$6&gt;0,$A951&lt;V$6),AND(V$7&gt;0,$A951&gt;V$7)),0,MAX(0,ROUND((INDEX($E951:$G951,V$5)-SUMIFS(TF_Timer,TF_Tekniker,V$4,TF_Dato,$A951))*2,0)/2)))</f>
        <v/>
      </c>
      <c r="W951">
        <f>IF(OR(W$4="",$A951&gt;TODAY()),0,IF(OR(INDEX($B951:$D951,W$5)="F",AND(W$6&gt;0,$A951&lt;W$6),AND(W$7&gt;0,$A951&gt;W$7)),0,MAX(0,ROUND((INDEX($E951:$G951,W$5)-SUMIFS(TF_Timer,TF_Tekniker,W$4,TF_Dato,$A951))*2,0)/2)))</f>
        <v/>
      </c>
      <c r="X951">
        <f>IF(OR(X$4="",$A951&gt;TODAY()),0,IF(OR(INDEX($B951:$D951,X$5)="F",AND(X$6&gt;0,$A951&lt;X$6),AND(X$7&gt;0,$A951&gt;X$7)),0,MAX(0,ROUND((INDEX($E951:$G951,X$5)-SUMIFS(TF_Timer,TF_Tekniker,X$4,TF_Dato,$A951))*2,0)/2)))</f>
        <v/>
      </c>
      <c r="Y951">
        <f>IF(OR(Y$4="",$A951&gt;TODAY()),0,IF(OR(INDEX($B951:$D951,Y$5)="F",AND(Y$6&gt;0,$A951&lt;Y$6),AND(Y$7&gt;0,$A951&gt;Y$7)),0,MAX(0,ROUND((INDEX($E951:$G951,Y$5)-SUMIFS(TF_Timer,TF_Tekniker,Y$4,TF_Dato,$A951))*2,0)/2)))</f>
        <v/>
      </c>
      <c r="Z951">
        <f>IF(OR(Z$4="",$A951&gt;TODAY()),0,IF(OR(INDEX($B951:$D951,Z$5)="F",AND(Z$6&gt;0,$A951&lt;Z$6),AND(Z$7&gt;0,$A951&gt;Z$7)),0,MAX(0,ROUND((INDEX($E951:$G951,Z$5)-SUMIFS(TF_Timer,TF_Tekniker,Z$4,TF_Dato,$A951))*2,0)/2)))</f>
        <v/>
      </c>
      <c r="AA951">
        <f>IF(OR(AA$4="",$A951&gt;TODAY()),0,IF(OR(INDEX($B951:$D951,AA$5)="F",AND(AA$6&gt;0,$A951&lt;AA$6),AND(AA$7&gt;0,$A951&gt;AA$7)),0,MAX(0,ROUND((INDEX($E951:$G951,AA$5)-SUMIFS(TF_Timer,TF_Tekniker,AA$4,TF_Dato,$A951))*2,0)/2)))</f>
        <v/>
      </c>
      <c r="AB951">
        <f>IF(OR(AB$4="",$A951&gt;TODAY()),0,IF(OR(INDEX($B951:$D951,AB$5)="F",AND(AB$6&gt;0,$A951&lt;AB$6),AND(AB$7&gt;0,$A951&gt;AB$7)),0,MAX(0,ROUND((INDEX($E951:$G951,AB$5)-SUMIFS(TF_Timer,TF_Tekniker,AB$4,TF_Dato,$A951))*2,0)/2)))</f>
        <v/>
      </c>
      <c r="AC951">
        <f>IF(OR(AC$4="",$A951&gt;TODAY()),0,IF(OR(INDEX($B951:$D951,AC$5)="F",AND(AC$6&gt;0,$A951&lt;AC$6),AND(AC$7&gt;0,$A951&gt;AC$7)),0,MAX(0,ROUND((INDEX($E951:$G951,AC$5)-SUMIFS(TF_Timer,TF_Tekniker,AC$4,TF_Dato,$A951))*2,0)/2)))</f>
        <v/>
      </c>
      <c r="AD951">
        <f>IF(OR(AD$4="",$A951&gt;TODAY()),0,IF(OR(INDEX($B951:$D951,AD$5)="F",AND(AD$6&gt;0,$A951&lt;AD$6),AND(AD$7&gt;0,$A951&gt;AD$7)),0,MAX(0,ROUND((INDEX($E951:$G951,AD$5)-SUMIFS(TF_Timer,TF_Tekniker,AD$4,TF_Dato,$A951))*2,0)/2)))</f>
        <v/>
      </c>
      <c r="AE951">
        <f>IF(OR(AE$4="",$A951&gt;TODAY()),0,IF(OR(INDEX($B951:$D951,AE$5)="F",AND(AE$6&gt;0,$A951&lt;AE$6),AND(AE$7&gt;0,$A951&gt;AE$7)),0,MAX(0,ROUND((INDEX($E951:$G951,AE$5)-SUMIFS(TF_Timer,TF_Tekniker,AE$4,TF_Dato,$A951))*2,0)/2)))</f>
        <v/>
      </c>
      <c r="AF951">
        <f>IF(OR(AF$4="",$A951&gt;TODAY()),0,IF(OR(INDEX($B951:$D951,AF$5)="F",AND(AF$6&gt;0,$A951&lt;AF$6),AND(AF$7&gt;0,$A951&gt;AF$7)),0,MAX(0,ROUND((INDEX($E951:$G951,AF$5)-SUMIFS(TF_Timer,TF_Tekniker,AF$4,TF_Dato,$A951))*2,0)/2)))</f>
        <v/>
      </c>
      <c r="AG951">
        <f>IF(OR(AG$4="",$A951&gt;TODAY()),0,IF(OR(INDEX($B951:$D951,AG$5)="F",AND(AG$6&gt;0,$A951&lt;AG$6),AND(AG$7&gt;0,$A951&gt;AG$7)),0,MAX(0,ROUND((INDEX($E951:$G951,AG$5)-SUMIFS(TF_Timer,TF_Tekniker,AG$4,TF_Dato,$A951))*2,0)/2)))</f>
        <v/>
      </c>
      <c r="AH951">
        <f>IF(OR(AH$4="",$A951&gt;TODAY()),0,IF(OR(INDEX($B951:$D951,AH$5)="F",AND(AH$6&gt;0,$A951&lt;AH$6),AND(AH$7&gt;0,$A951&gt;AH$7)),0,MAX(0,ROUND((INDEX($E951:$G951,AH$5)-SUMIFS(TF_Timer,TF_Tekniker,AH$4,TF_Dato,$A951))*2,0)/2)))</f>
        <v/>
      </c>
      <c r="AI951">
        <f>IF(OR(AI$4="",$A951&gt;TODAY()),0,IF(OR(INDEX($B951:$D951,AI$5)="F",AND(AI$6&gt;0,$A951&lt;AI$6),AND(AI$7&gt;0,$A951&gt;AI$7)),0,MAX(0,ROUND((INDEX($E951:$G951,AI$5)-SUMIFS(TF_Timer,TF_Tekniker,AI$4,TF_Dato,$A951))*2,0)/2)))</f>
        <v/>
      </c>
      <c r="AJ951">
        <f>IF(OR(AJ$4="",$A951&gt;TODAY()),0,IF(OR(INDEX($B951:$D951,AJ$5)="F",AND(AJ$6&gt;0,$A951&lt;AJ$6),AND(AJ$7&gt;0,$A951&gt;AJ$7)),0,MAX(0,ROUND((INDEX($E951:$G951,AJ$5)-SUMIFS(TF_Timer,TF_Tekniker,AJ$4,TF_Dato,$A951))*2,0)/2)))</f>
        <v/>
      </c>
      <c r="AK951">
        <f>IF(OR(AK$4="",$A951&gt;TODAY()),0,IF(OR(INDEX($B951:$D951,AK$5)="F",AND(AK$6&gt;0,$A951&lt;AK$6),AND(AK$7&gt;0,$A951&gt;AK$7)),0,MAX(0,ROUND((INDEX($E951:$G951,AK$5)-SUMIFS(TF_Timer,TF_Tekniker,AK$4,TF_Dato,$A951))*2,0)/2)))</f>
        <v/>
      </c>
      <c r="AL951">
        <f>IF(OR(AL$4="",$A951&gt;TODAY()),0,IF(OR(INDEX($B951:$D951,AL$5)="F",AND(AL$6&gt;0,$A951&lt;AL$6),AND(AL$7&gt;0,$A951&gt;AL$7)),0,MAX(0,ROUND((INDEX($E951:$G951,AL$5)-SUMIFS(TF_Timer,TF_Tekniker,AL$4,TF_Dato,$A951))*2,0)/2)))</f>
        <v/>
      </c>
      <c r="AM951">
        <f>IF(OR(AM$4="",$A951&gt;TODAY()),0,IF(OR(INDEX($B951:$D951,AM$5)="F",AND(AM$6&gt;0,$A951&lt;AM$6),AND(AM$7&gt;0,$A951&gt;AM$7)),0,MAX(0,ROUND((INDEX($E951:$G951,AM$5)-SUMIFS(TF_Timer,TF_Tekniker,AM$4,TF_Dato,$A951))*2,0)/2)))</f>
        <v/>
      </c>
      <c r="AN951">
        <f>IF(OR(AN$4="",$A951&gt;TODAY()),0,IF(OR(INDEX($B951:$D951,AN$5)="F",AND(AN$6&gt;0,$A951&lt;AN$6),AND(AN$7&gt;0,$A951&gt;AN$7)),0,MAX(0,ROUND((INDEX($E951:$G951,AN$5)-SUMIFS(TF_Timer,TF_Tekniker,AN$4,TF_Dato,$A951))*2,0)/2)))</f>
        <v/>
      </c>
      <c r="AO951">
        <f>IF(OR(AO$4="",$A951&gt;TODAY()),0,IF(OR(INDEX($B951:$D951,AO$5)="F",AND(AO$6&gt;0,$A951&lt;AO$6),AND(AO$7&gt;0,$A951&gt;AO$7)),0,MAX(0,ROUND((INDEX($E951:$G951,AO$5)-SUMIFS(TF_Timer,TF_Tekniker,AO$4,TF_Dato,$A951))*2,0)/2)))</f>
        <v/>
      </c>
      <c r="AP951">
        <f>IF(OR(AP$4="",$A951&gt;TODAY()),0,IF(OR(INDEX($B951:$D951,AP$5)="F",AND(AP$6&gt;0,$A951&lt;AP$6),AND(AP$7&gt;0,$A951&gt;AP$7)),0,MAX(0,ROUND((INDEX($E951:$G951,AP$5)-SUMIFS(TF_Timer,TF_Tekniker,AP$4,TF_Dato,$A951))*2,0)/2)))</f>
        <v/>
      </c>
      <c r="AQ951">
        <f>IF(OR(AQ$4="",$A951&gt;TODAY()),0,IF(OR(INDEX($B951:$D951,AQ$5)="F",AND(AQ$6&gt;0,$A951&lt;AQ$6),AND(AQ$7&gt;0,$A951&gt;AQ$7)),0,MAX(0,ROUND((INDEX($E951:$G951,AQ$5)-SUMIFS(TF_Timer,TF_Tekniker,AQ$4,TF_Dato,$A951))*2,0)/2)))</f>
        <v/>
      </c>
      <c r="AR951">
        <f>IF(OR(AR$4="",$A951&gt;TODAY()),0,IF(OR(INDEX($B951:$D951,AR$5)="F",AND(AR$6&gt;0,$A951&lt;AR$6),AND(AR$7&gt;0,$A951&gt;AR$7)),0,MAX(0,ROUND((INDEX($E951:$G951,AR$5)-SUMIFS(TF_Timer,TF_Tekniker,AR$4,TF_Dato,$A951))*2,0)/2)))</f>
        <v/>
      </c>
      <c r="AS951">
        <f>IF(OR(AS$4="",$A951&gt;TODAY()),0,IF(OR(INDEX($B951:$D951,AS$5)="F",AND(AS$6&gt;0,$A951&lt;AS$6),AND(AS$7&gt;0,$A951&gt;AS$7)),0,MAX(0,ROUND((INDEX($E951:$G951,AS$5)-SUMIFS(TF_Timer,TF_Tekniker,AS$4,TF_Dato,$A951))*2,0)/2)))</f>
        <v/>
      </c>
      <c r="AT951">
        <f>IF(OR(AT$4="",$A951&gt;TODAY()),0,IF(OR(INDEX($B951:$D951,AT$5)="F",AND(AT$6&gt;0,$A951&lt;AT$6),AND(AT$7&gt;0,$A951&gt;AT$7)),0,MAX(0,ROUND((INDEX($E951:$G951,AT$5)-SUMIFS(TF_Timer,TF_Tekniker,AT$4,TF_Dato,$A951))*2,0)/2)))</f>
        <v/>
      </c>
      <c r="AU951">
        <f>IF(OR(AU$4="",$A951&gt;TODAY()),0,IF(OR(INDEX($B951:$D951,AU$5)="F",AND(AU$6&gt;0,$A951&lt;AU$6),AND(AU$7&gt;0,$A951&gt;AU$7)),0,MAX(0,ROUND((INDEX($E951:$G951,AU$5)-SUMIFS(TF_Timer,TF_Tekniker,AU$4,TF_Dato,$A951))*2,0)/2)))</f>
        <v/>
      </c>
      <c r="AV951">
        <f>IF(OR(AV$4="",$A951&gt;TODAY()),0,IF(OR(INDEX($B951:$D951,AV$5)="F",AND(AV$6&gt;0,$A951&lt;AV$6),AND(AV$7&gt;0,$A951&gt;AV$7)),0,MAX(0,ROUND((INDEX($E951:$G951,AV$5)-SUMIFS(TF_Timer,TF_Tekniker,AV$4,TF_Dato,$A951))*2,0)/2)))</f>
        <v/>
      </c>
      <c r="AW951">
        <f>IF(OR(AW$4="",$A951&gt;TODAY()),0,IF(OR(INDEX($B951:$D951,AW$5)="F",AND(AW$6&gt;0,$A951&lt;AW$6),AND(AW$7&gt;0,$A951&gt;AW$7)),0,MAX(0,ROUND((INDEX($E951:$G951,AW$5)-SUMIFS(TF_Timer,TF_Tekniker,AW$4,TF_Dato,$A951))*2,0)/2)))</f>
        <v/>
      </c>
      <c r="AX951">
        <f>IF(OR(AX$4="",$A951&gt;TODAY()),0,IF(OR(INDEX($B951:$D951,AX$5)="F",AND(AX$6&gt;0,$A951&lt;AX$6),AND(AX$7&gt;0,$A951&gt;AX$7)),0,MAX(0,ROUND((INDEX($E951:$G951,AX$5)-SUMIFS(TF_Timer,TF_Tekniker,AX$4,TF_Dato,$A951))*2,0)/2)))</f>
        <v/>
      </c>
      <c r="AY951">
        <f>IF(OR(AY$4="",$A951&gt;TODAY()),0,IF(OR(INDEX($B951:$D951,AY$5)="F",AND(AY$6&gt;0,$A951&lt;AY$6),AND(AY$7&gt;0,$A951&gt;AY$7)),0,MAX(0,ROUND((INDEX($E951:$G951,AY$5)-SUMIFS(TF_Timer,TF_Tekniker,AY$4,TF_Dato,$A951))*2,0)/2)))</f>
        <v/>
      </c>
      <c r="AZ951">
        <f>IF(OR(AZ$4="",$A951&gt;TODAY()),0,IF(OR(INDEX($B951:$D951,AZ$5)="F",AND(AZ$6&gt;0,$A951&lt;AZ$6),AND(AZ$7&gt;0,$A951&gt;AZ$7)),0,MAX(0,ROUND((INDEX($E951:$G951,AZ$5)-SUMIFS(TF_Timer,TF_Tekniker,AZ$4,TF_Dato,$A951))*2,0)/2)))</f>
        <v/>
      </c>
      <c r="BA951">
        <f>IF(OR(BA$4="",$A951&gt;TODAY()),0,IF(OR(INDEX($B951:$D951,BA$5)="F",AND(BA$6&gt;0,$A951&lt;BA$6),AND(BA$7&gt;0,$A951&gt;BA$7)),0,MAX(0,ROUND((INDEX($E951:$G951,BA$5)-SUMIFS(TF_Timer,TF_Tekniker,BA$4,TF_Dato,$A951))*2,0)/2)))</f>
        <v/>
      </c>
      <c r="BB951">
        <f>IF(OR(BB$4="",$A951&gt;TODAY()),0,IF(OR(INDEX($B951:$D951,BB$5)="F",AND(BB$6&gt;0,$A951&lt;BB$6),AND(BB$7&gt;0,$A951&gt;BB$7)),0,MAX(0,ROUND((INDEX($E951:$G951,BB$5)-SUMIFS(TF_Timer,TF_Tekniker,BB$4,TF_Dato,$A951))*2,0)/2)))</f>
        <v/>
      </c>
      <c r="BC951">
        <f>IF(OR(BC$4="",$A951&gt;TODAY()),0,IF(OR(INDEX($B951:$D951,BC$5)="F",AND(BC$6&gt;0,$A951&lt;BC$6),AND(BC$7&gt;0,$A951&gt;BC$7)),0,MAX(0,ROUND((INDEX($E951:$G951,BC$5)-SUMIFS(TF_Timer,TF_Tekniker,BC$4,TF_Dato,$A951))*2,0)/2)))</f>
        <v/>
      </c>
      <c r="BD951">
        <f>IF(OR(BD$4="",$A951&gt;TODAY()),0,IF(OR(INDEX($B951:$D951,BD$5)="F",AND(BD$6&gt;0,$A951&lt;BD$6),AND(BD$7&gt;0,$A951&gt;BD$7)),0,MAX(0,ROUND((INDEX($E951:$G951,BD$5)-SUMIFS(TF_Timer,TF_Tekniker,BD$4,TF_Dato,$A951))*2,0)/2)))</f>
        <v/>
      </c>
      <c r="BE951">
        <f>IF(OR(BE$4="",$A951&gt;TODAY()),0,IF(OR(INDEX($B951:$D951,BE$5)="F",AND(BE$6&gt;0,$A951&lt;BE$6),AND(BE$7&gt;0,$A951&gt;BE$7)),0,MAX(0,ROUND((INDEX($E951:$G951,BE$5)-SUMIFS(TF_Timer,TF_Tekniker,BE$4,TF_Dato,$A951))*2,0)/2)))</f>
        <v/>
      </c>
      <c r="BF951">
        <f>IF(OR(BF$4="",$A951&gt;TODAY()),0,IF(OR(INDEX($B951:$D951,BF$5)="F",AND(BF$6&gt;0,$A951&lt;BF$6),AND(BF$7&gt;0,$A951&gt;BF$7)),0,MAX(0,ROUND((INDEX($E951:$G951,BF$5)-SUMIFS(TF_Timer,TF_Tekniker,BF$4,TF_Dato,$A951))*2,0)/2)))</f>
        <v/>
      </c>
      <c r="BG951">
        <f>IF(OR(BG$4="",$A951&gt;TODAY()),0,IF(OR(INDEX($B951:$D951,BG$5)="F",AND(BG$6&gt;0,$A951&lt;BG$6),AND(BG$7&gt;0,$A951&gt;BG$7)),0,MAX(0,ROUND((INDEX($E951:$G951,BG$5)-SUMIFS(TF_Timer,TF_Tekniker,BG$4,TF_Dato,$A951))*2,0)/2)))</f>
        <v/>
      </c>
      <c r="BH951">
        <f>IF(OR(BH$4="",$A951&gt;TODAY()),0,IF(OR(INDEX($B951:$D951,BH$5)="F",AND(BH$6&gt;0,$A951&lt;BH$6),AND(BH$7&gt;0,$A951&gt;BH$7)),0,MAX(0,ROUND((INDEX($E951:$G951,BH$5)-SUMIFS(TF_Timer,TF_Tekniker,BH$4,TF_Dato,$A951))*2,0)/2)))</f>
        <v/>
      </c>
      <c r="BI951">
        <f>IF(OR(BI$4="",$A951&gt;TODAY()),0,IF(OR(INDEX($B951:$D951,BI$5)="F",AND(BI$6&gt;0,$A951&lt;BI$6),AND(BI$7&gt;0,$A951&gt;BI$7)),0,MAX(0,ROUND((INDEX($E951:$G951,BI$5)-SUMIFS(TF_Timer,TF_Tekniker,BI$4,TF_Dato,$A951))*2,0)/2)))</f>
        <v/>
      </c>
    </row>
    <row r="952">
      <c r="A952" s="64">
        <f>A951+1</f>
        <v/>
      </c>
      <c r="B952">
        <f>IF(MOD($A952-INDEX(SkiftStart,1),Syklus)&lt;DagK,"K",IF(MOD($A952-INDEX(SkiftStart,1),Syklus)&lt;DagK+DagH,"H",IF(MOD($A952-INDEX(SkiftStart,1),Syklus)&lt;DagK+DagH+DagD,"D","F")))</f>
        <v/>
      </c>
      <c r="C952">
        <f>IF(MOD($A952-INDEX(SkiftStart,2),Syklus)&lt;DagK,"K",IF(MOD($A952-INDEX(SkiftStart,2),Syklus)&lt;DagK+DagH,"H",IF(MOD($A952-INDEX(SkiftStart,2),Syklus)&lt;DagK+DagH+DagD,"D","F")))</f>
        <v/>
      </c>
      <c r="D952">
        <f>IF(MOD($A952-INDEX(SkiftStart,3),Syklus)&lt;DagK,"K",IF(MOD($A952-INDEX(SkiftStart,3),Syklus)&lt;DagK+DagH,"H",IF(MOD($A952-INDEX(SkiftStart,3),Syklus)&lt;DagK+DagH+DagD,"D","F")))</f>
        <v/>
      </c>
      <c r="E952">
        <f>IF(B952="F",0,IF(WEEKDAY($A952,2)=5,INDEX(TimerFr,MATCH(B952,FaseKode,0)),INDEX(TimerMT,MATCH(B952,FaseKode,0))))</f>
        <v/>
      </c>
      <c r="F952">
        <f>IF(C952="F",0,IF(WEEKDAY($A952,2)=5,INDEX(TimerFr,MATCH(C952,FaseKode,0)),INDEX(TimerMT,MATCH(C952,FaseKode,0))))</f>
        <v/>
      </c>
      <c r="G952">
        <f>IF(D952="F",0,IF(WEEKDAY($A952,2)=5,INDEX(TimerFr,MATCH(D952,FaseKode,0)),INDEX(TimerMT,MATCH(D952,FaseKode,0))))</f>
        <v/>
      </c>
      <c r="H952">
        <f>IF(OR(H$4="",$A952&gt;TODAY()),0,IF(OR(INDEX($B952:$D952,H$5)="F",AND(H$6&gt;0,$A952&lt;H$6),AND(H$7&gt;0,$A952&gt;H$7)),0,MAX(0,ROUND((INDEX($E952:$G952,H$5)-SUMIFS(TF_Timer,TF_Tekniker,H$4,TF_Dato,$A952))*2,0)/2)))</f>
        <v/>
      </c>
      <c r="I952">
        <f>IF(OR(I$4="",$A952&gt;TODAY()),0,IF(OR(INDEX($B952:$D952,I$5)="F",AND(I$6&gt;0,$A952&lt;I$6),AND(I$7&gt;0,$A952&gt;I$7)),0,MAX(0,ROUND((INDEX($E952:$G952,I$5)-SUMIFS(TF_Timer,TF_Tekniker,I$4,TF_Dato,$A952))*2,0)/2)))</f>
        <v/>
      </c>
      <c r="J952">
        <f>IF(OR(J$4="",$A952&gt;TODAY()),0,IF(OR(INDEX($B952:$D952,J$5)="F",AND(J$6&gt;0,$A952&lt;J$6),AND(J$7&gt;0,$A952&gt;J$7)),0,MAX(0,ROUND((INDEX($E952:$G952,J$5)-SUMIFS(TF_Timer,TF_Tekniker,J$4,TF_Dato,$A952))*2,0)/2)))</f>
        <v/>
      </c>
      <c r="K952">
        <f>IF(OR(K$4="",$A952&gt;TODAY()),0,IF(OR(INDEX($B952:$D952,K$5)="F",AND(K$6&gt;0,$A952&lt;K$6),AND(K$7&gt;0,$A952&gt;K$7)),0,MAX(0,ROUND((INDEX($E952:$G952,K$5)-SUMIFS(TF_Timer,TF_Tekniker,K$4,TF_Dato,$A952))*2,0)/2)))</f>
        <v/>
      </c>
      <c r="L952">
        <f>IF(OR(L$4="",$A952&gt;TODAY()),0,IF(OR(INDEX($B952:$D952,L$5)="F",AND(L$6&gt;0,$A952&lt;L$6),AND(L$7&gt;0,$A952&gt;L$7)),0,MAX(0,ROUND((INDEX($E952:$G952,L$5)-SUMIFS(TF_Timer,TF_Tekniker,L$4,TF_Dato,$A952))*2,0)/2)))</f>
        <v/>
      </c>
      <c r="M952">
        <f>IF(OR(M$4="",$A952&gt;TODAY()),0,IF(OR(INDEX($B952:$D952,M$5)="F",AND(M$6&gt;0,$A952&lt;M$6),AND(M$7&gt;0,$A952&gt;M$7)),0,MAX(0,ROUND((INDEX($E952:$G952,M$5)-SUMIFS(TF_Timer,TF_Tekniker,M$4,TF_Dato,$A952))*2,0)/2)))</f>
        <v/>
      </c>
      <c r="N952">
        <f>IF(OR(N$4="",$A952&gt;TODAY()),0,IF(OR(INDEX($B952:$D952,N$5)="F",AND(N$6&gt;0,$A952&lt;N$6),AND(N$7&gt;0,$A952&gt;N$7)),0,MAX(0,ROUND((INDEX($E952:$G952,N$5)-SUMIFS(TF_Timer,TF_Tekniker,N$4,TF_Dato,$A952))*2,0)/2)))</f>
        <v/>
      </c>
      <c r="O952">
        <f>IF(OR(O$4="",$A952&gt;TODAY()),0,IF(OR(INDEX($B952:$D952,O$5)="F",AND(O$6&gt;0,$A952&lt;O$6),AND(O$7&gt;0,$A952&gt;O$7)),0,MAX(0,ROUND((INDEX($E952:$G952,O$5)-SUMIFS(TF_Timer,TF_Tekniker,O$4,TF_Dato,$A952))*2,0)/2)))</f>
        <v/>
      </c>
      <c r="P952">
        <f>IF(OR(P$4="",$A952&gt;TODAY()),0,IF(OR(INDEX($B952:$D952,P$5)="F",AND(P$6&gt;0,$A952&lt;P$6),AND(P$7&gt;0,$A952&gt;P$7)),0,MAX(0,ROUND((INDEX($E952:$G952,P$5)-SUMIFS(TF_Timer,TF_Tekniker,P$4,TF_Dato,$A952))*2,0)/2)))</f>
        <v/>
      </c>
      <c r="Q952">
        <f>IF(OR(Q$4="",$A952&gt;TODAY()),0,IF(OR(INDEX($B952:$D952,Q$5)="F",AND(Q$6&gt;0,$A952&lt;Q$6),AND(Q$7&gt;0,$A952&gt;Q$7)),0,MAX(0,ROUND((INDEX($E952:$G952,Q$5)-SUMIFS(TF_Timer,TF_Tekniker,Q$4,TF_Dato,$A952))*2,0)/2)))</f>
        <v/>
      </c>
      <c r="R952">
        <f>IF(OR(R$4="",$A952&gt;TODAY()),0,IF(OR(INDEX($B952:$D952,R$5)="F",AND(R$6&gt;0,$A952&lt;R$6),AND(R$7&gt;0,$A952&gt;R$7)),0,MAX(0,ROUND((INDEX($E952:$G952,R$5)-SUMIFS(TF_Timer,TF_Tekniker,R$4,TF_Dato,$A952))*2,0)/2)))</f>
        <v/>
      </c>
      <c r="S952">
        <f>IF(OR(S$4="",$A952&gt;TODAY()),0,IF(OR(INDEX($B952:$D952,S$5)="F",AND(S$6&gt;0,$A952&lt;S$6),AND(S$7&gt;0,$A952&gt;S$7)),0,MAX(0,ROUND((INDEX($E952:$G952,S$5)-SUMIFS(TF_Timer,TF_Tekniker,S$4,TF_Dato,$A952))*2,0)/2)))</f>
        <v/>
      </c>
      <c r="T952">
        <f>IF(OR(T$4="",$A952&gt;TODAY()),0,IF(OR(INDEX($B952:$D952,T$5)="F",AND(T$6&gt;0,$A952&lt;T$6),AND(T$7&gt;0,$A952&gt;T$7)),0,MAX(0,ROUND((INDEX($E952:$G952,T$5)-SUMIFS(TF_Timer,TF_Tekniker,T$4,TF_Dato,$A952))*2,0)/2)))</f>
        <v/>
      </c>
      <c r="U952">
        <f>IF(OR(U$4="",$A952&gt;TODAY()),0,IF(OR(INDEX($B952:$D952,U$5)="F",AND(U$6&gt;0,$A952&lt;U$6),AND(U$7&gt;0,$A952&gt;U$7)),0,MAX(0,ROUND((INDEX($E952:$G952,U$5)-SUMIFS(TF_Timer,TF_Tekniker,U$4,TF_Dato,$A952))*2,0)/2)))</f>
        <v/>
      </c>
      <c r="V952">
        <f>IF(OR(V$4="",$A952&gt;TODAY()),0,IF(OR(INDEX($B952:$D952,V$5)="F",AND(V$6&gt;0,$A952&lt;V$6),AND(V$7&gt;0,$A952&gt;V$7)),0,MAX(0,ROUND((INDEX($E952:$G952,V$5)-SUMIFS(TF_Timer,TF_Tekniker,V$4,TF_Dato,$A952))*2,0)/2)))</f>
        <v/>
      </c>
      <c r="W952">
        <f>IF(OR(W$4="",$A952&gt;TODAY()),0,IF(OR(INDEX($B952:$D952,W$5)="F",AND(W$6&gt;0,$A952&lt;W$6),AND(W$7&gt;0,$A952&gt;W$7)),0,MAX(0,ROUND((INDEX($E952:$G952,W$5)-SUMIFS(TF_Timer,TF_Tekniker,W$4,TF_Dato,$A952))*2,0)/2)))</f>
        <v/>
      </c>
      <c r="X952">
        <f>IF(OR(X$4="",$A952&gt;TODAY()),0,IF(OR(INDEX($B952:$D952,X$5)="F",AND(X$6&gt;0,$A952&lt;X$6),AND(X$7&gt;0,$A952&gt;X$7)),0,MAX(0,ROUND((INDEX($E952:$G952,X$5)-SUMIFS(TF_Timer,TF_Tekniker,X$4,TF_Dato,$A952))*2,0)/2)))</f>
        <v/>
      </c>
      <c r="Y952">
        <f>IF(OR(Y$4="",$A952&gt;TODAY()),0,IF(OR(INDEX($B952:$D952,Y$5)="F",AND(Y$6&gt;0,$A952&lt;Y$6),AND(Y$7&gt;0,$A952&gt;Y$7)),0,MAX(0,ROUND((INDEX($E952:$G952,Y$5)-SUMIFS(TF_Timer,TF_Tekniker,Y$4,TF_Dato,$A952))*2,0)/2)))</f>
        <v/>
      </c>
      <c r="Z952">
        <f>IF(OR(Z$4="",$A952&gt;TODAY()),0,IF(OR(INDEX($B952:$D952,Z$5)="F",AND(Z$6&gt;0,$A952&lt;Z$6),AND(Z$7&gt;0,$A952&gt;Z$7)),0,MAX(0,ROUND((INDEX($E952:$G952,Z$5)-SUMIFS(TF_Timer,TF_Tekniker,Z$4,TF_Dato,$A952))*2,0)/2)))</f>
        <v/>
      </c>
      <c r="AA952">
        <f>IF(OR(AA$4="",$A952&gt;TODAY()),0,IF(OR(INDEX($B952:$D952,AA$5)="F",AND(AA$6&gt;0,$A952&lt;AA$6),AND(AA$7&gt;0,$A952&gt;AA$7)),0,MAX(0,ROUND((INDEX($E952:$G952,AA$5)-SUMIFS(TF_Timer,TF_Tekniker,AA$4,TF_Dato,$A952))*2,0)/2)))</f>
        <v/>
      </c>
      <c r="AB952">
        <f>IF(OR(AB$4="",$A952&gt;TODAY()),0,IF(OR(INDEX($B952:$D952,AB$5)="F",AND(AB$6&gt;0,$A952&lt;AB$6),AND(AB$7&gt;0,$A952&gt;AB$7)),0,MAX(0,ROUND((INDEX($E952:$G952,AB$5)-SUMIFS(TF_Timer,TF_Tekniker,AB$4,TF_Dato,$A952))*2,0)/2)))</f>
        <v/>
      </c>
      <c r="AC952">
        <f>IF(OR(AC$4="",$A952&gt;TODAY()),0,IF(OR(INDEX($B952:$D952,AC$5)="F",AND(AC$6&gt;0,$A952&lt;AC$6),AND(AC$7&gt;0,$A952&gt;AC$7)),0,MAX(0,ROUND((INDEX($E952:$G952,AC$5)-SUMIFS(TF_Timer,TF_Tekniker,AC$4,TF_Dato,$A952))*2,0)/2)))</f>
        <v/>
      </c>
      <c r="AD952">
        <f>IF(OR(AD$4="",$A952&gt;TODAY()),0,IF(OR(INDEX($B952:$D952,AD$5)="F",AND(AD$6&gt;0,$A952&lt;AD$6),AND(AD$7&gt;0,$A952&gt;AD$7)),0,MAX(0,ROUND((INDEX($E952:$G952,AD$5)-SUMIFS(TF_Timer,TF_Tekniker,AD$4,TF_Dato,$A952))*2,0)/2)))</f>
        <v/>
      </c>
      <c r="AE952">
        <f>IF(OR(AE$4="",$A952&gt;TODAY()),0,IF(OR(INDEX($B952:$D952,AE$5)="F",AND(AE$6&gt;0,$A952&lt;AE$6),AND(AE$7&gt;0,$A952&gt;AE$7)),0,MAX(0,ROUND((INDEX($E952:$G952,AE$5)-SUMIFS(TF_Timer,TF_Tekniker,AE$4,TF_Dato,$A952))*2,0)/2)))</f>
        <v/>
      </c>
      <c r="AF952">
        <f>IF(OR(AF$4="",$A952&gt;TODAY()),0,IF(OR(INDEX($B952:$D952,AF$5)="F",AND(AF$6&gt;0,$A952&lt;AF$6),AND(AF$7&gt;0,$A952&gt;AF$7)),0,MAX(0,ROUND((INDEX($E952:$G952,AF$5)-SUMIFS(TF_Timer,TF_Tekniker,AF$4,TF_Dato,$A952))*2,0)/2)))</f>
        <v/>
      </c>
      <c r="AG952">
        <f>IF(OR(AG$4="",$A952&gt;TODAY()),0,IF(OR(INDEX($B952:$D952,AG$5)="F",AND(AG$6&gt;0,$A952&lt;AG$6),AND(AG$7&gt;0,$A952&gt;AG$7)),0,MAX(0,ROUND((INDEX($E952:$G952,AG$5)-SUMIFS(TF_Timer,TF_Tekniker,AG$4,TF_Dato,$A952))*2,0)/2)))</f>
        <v/>
      </c>
      <c r="AH952">
        <f>IF(OR(AH$4="",$A952&gt;TODAY()),0,IF(OR(INDEX($B952:$D952,AH$5)="F",AND(AH$6&gt;0,$A952&lt;AH$6),AND(AH$7&gt;0,$A952&gt;AH$7)),0,MAX(0,ROUND((INDEX($E952:$G952,AH$5)-SUMIFS(TF_Timer,TF_Tekniker,AH$4,TF_Dato,$A952))*2,0)/2)))</f>
        <v/>
      </c>
      <c r="AI952">
        <f>IF(OR(AI$4="",$A952&gt;TODAY()),0,IF(OR(INDEX($B952:$D952,AI$5)="F",AND(AI$6&gt;0,$A952&lt;AI$6),AND(AI$7&gt;0,$A952&gt;AI$7)),0,MAX(0,ROUND((INDEX($E952:$G952,AI$5)-SUMIFS(TF_Timer,TF_Tekniker,AI$4,TF_Dato,$A952))*2,0)/2)))</f>
        <v/>
      </c>
      <c r="AJ952">
        <f>IF(OR(AJ$4="",$A952&gt;TODAY()),0,IF(OR(INDEX($B952:$D952,AJ$5)="F",AND(AJ$6&gt;0,$A952&lt;AJ$6),AND(AJ$7&gt;0,$A952&gt;AJ$7)),0,MAX(0,ROUND((INDEX($E952:$G952,AJ$5)-SUMIFS(TF_Timer,TF_Tekniker,AJ$4,TF_Dato,$A952))*2,0)/2)))</f>
        <v/>
      </c>
      <c r="AK952">
        <f>IF(OR(AK$4="",$A952&gt;TODAY()),0,IF(OR(INDEX($B952:$D952,AK$5)="F",AND(AK$6&gt;0,$A952&lt;AK$6),AND(AK$7&gt;0,$A952&gt;AK$7)),0,MAX(0,ROUND((INDEX($E952:$G952,AK$5)-SUMIFS(TF_Timer,TF_Tekniker,AK$4,TF_Dato,$A952))*2,0)/2)))</f>
        <v/>
      </c>
      <c r="AL952">
        <f>IF(OR(AL$4="",$A952&gt;TODAY()),0,IF(OR(INDEX($B952:$D952,AL$5)="F",AND(AL$6&gt;0,$A952&lt;AL$6),AND(AL$7&gt;0,$A952&gt;AL$7)),0,MAX(0,ROUND((INDEX($E952:$G952,AL$5)-SUMIFS(TF_Timer,TF_Tekniker,AL$4,TF_Dato,$A952))*2,0)/2)))</f>
        <v/>
      </c>
      <c r="AM952">
        <f>IF(OR(AM$4="",$A952&gt;TODAY()),0,IF(OR(INDEX($B952:$D952,AM$5)="F",AND(AM$6&gt;0,$A952&lt;AM$6),AND(AM$7&gt;0,$A952&gt;AM$7)),0,MAX(0,ROUND((INDEX($E952:$G952,AM$5)-SUMIFS(TF_Timer,TF_Tekniker,AM$4,TF_Dato,$A952))*2,0)/2)))</f>
        <v/>
      </c>
      <c r="AN952">
        <f>IF(OR(AN$4="",$A952&gt;TODAY()),0,IF(OR(INDEX($B952:$D952,AN$5)="F",AND(AN$6&gt;0,$A952&lt;AN$6),AND(AN$7&gt;0,$A952&gt;AN$7)),0,MAX(0,ROUND((INDEX($E952:$G952,AN$5)-SUMIFS(TF_Timer,TF_Tekniker,AN$4,TF_Dato,$A952))*2,0)/2)))</f>
        <v/>
      </c>
      <c r="AO952">
        <f>IF(OR(AO$4="",$A952&gt;TODAY()),0,IF(OR(INDEX($B952:$D952,AO$5)="F",AND(AO$6&gt;0,$A952&lt;AO$6),AND(AO$7&gt;0,$A952&gt;AO$7)),0,MAX(0,ROUND((INDEX($E952:$G952,AO$5)-SUMIFS(TF_Timer,TF_Tekniker,AO$4,TF_Dato,$A952))*2,0)/2)))</f>
        <v/>
      </c>
      <c r="AP952">
        <f>IF(OR(AP$4="",$A952&gt;TODAY()),0,IF(OR(INDEX($B952:$D952,AP$5)="F",AND(AP$6&gt;0,$A952&lt;AP$6),AND(AP$7&gt;0,$A952&gt;AP$7)),0,MAX(0,ROUND((INDEX($E952:$G952,AP$5)-SUMIFS(TF_Timer,TF_Tekniker,AP$4,TF_Dato,$A952))*2,0)/2)))</f>
        <v/>
      </c>
      <c r="AQ952">
        <f>IF(OR(AQ$4="",$A952&gt;TODAY()),0,IF(OR(INDEX($B952:$D952,AQ$5)="F",AND(AQ$6&gt;0,$A952&lt;AQ$6),AND(AQ$7&gt;0,$A952&gt;AQ$7)),0,MAX(0,ROUND((INDEX($E952:$G952,AQ$5)-SUMIFS(TF_Timer,TF_Tekniker,AQ$4,TF_Dato,$A952))*2,0)/2)))</f>
        <v/>
      </c>
      <c r="AR952">
        <f>IF(OR(AR$4="",$A952&gt;TODAY()),0,IF(OR(INDEX($B952:$D952,AR$5)="F",AND(AR$6&gt;0,$A952&lt;AR$6),AND(AR$7&gt;0,$A952&gt;AR$7)),0,MAX(0,ROUND((INDEX($E952:$G952,AR$5)-SUMIFS(TF_Timer,TF_Tekniker,AR$4,TF_Dato,$A952))*2,0)/2)))</f>
        <v/>
      </c>
      <c r="AS952">
        <f>IF(OR(AS$4="",$A952&gt;TODAY()),0,IF(OR(INDEX($B952:$D952,AS$5)="F",AND(AS$6&gt;0,$A952&lt;AS$6),AND(AS$7&gt;0,$A952&gt;AS$7)),0,MAX(0,ROUND((INDEX($E952:$G952,AS$5)-SUMIFS(TF_Timer,TF_Tekniker,AS$4,TF_Dato,$A952))*2,0)/2)))</f>
        <v/>
      </c>
      <c r="AT952">
        <f>IF(OR(AT$4="",$A952&gt;TODAY()),0,IF(OR(INDEX($B952:$D952,AT$5)="F",AND(AT$6&gt;0,$A952&lt;AT$6),AND(AT$7&gt;0,$A952&gt;AT$7)),0,MAX(0,ROUND((INDEX($E952:$G952,AT$5)-SUMIFS(TF_Timer,TF_Tekniker,AT$4,TF_Dato,$A952))*2,0)/2)))</f>
        <v/>
      </c>
      <c r="AU952">
        <f>IF(OR(AU$4="",$A952&gt;TODAY()),0,IF(OR(INDEX($B952:$D952,AU$5)="F",AND(AU$6&gt;0,$A952&lt;AU$6),AND(AU$7&gt;0,$A952&gt;AU$7)),0,MAX(0,ROUND((INDEX($E952:$G952,AU$5)-SUMIFS(TF_Timer,TF_Tekniker,AU$4,TF_Dato,$A952))*2,0)/2)))</f>
        <v/>
      </c>
      <c r="AV952">
        <f>IF(OR(AV$4="",$A952&gt;TODAY()),0,IF(OR(INDEX($B952:$D952,AV$5)="F",AND(AV$6&gt;0,$A952&lt;AV$6),AND(AV$7&gt;0,$A952&gt;AV$7)),0,MAX(0,ROUND((INDEX($E952:$G952,AV$5)-SUMIFS(TF_Timer,TF_Tekniker,AV$4,TF_Dato,$A952))*2,0)/2)))</f>
        <v/>
      </c>
      <c r="AW952">
        <f>IF(OR(AW$4="",$A952&gt;TODAY()),0,IF(OR(INDEX($B952:$D952,AW$5)="F",AND(AW$6&gt;0,$A952&lt;AW$6),AND(AW$7&gt;0,$A952&gt;AW$7)),0,MAX(0,ROUND((INDEX($E952:$G952,AW$5)-SUMIFS(TF_Timer,TF_Tekniker,AW$4,TF_Dato,$A952))*2,0)/2)))</f>
        <v/>
      </c>
      <c r="AX952">
        <f>IF(OR(AX$4="",$A952&gt;TODAY()),0,IF(OR(INDEX($B952:$D952,AX$5)="F",AND(AX$6&gt;0,$A952&lt;AX$6),AND(AX$7&gt;0,$A952&gt;AX$7)),0,MAX(0,ROUND((INDEX($E952:$G952,AX$5)-SUMIFS(TF_Timer,TF_Tekniker,AX$4,TF_Dato,$A952))*2,0)/2)))</f>
        <v/>
      </c>
      <c r="AY952">
        <f>IF(OR(AY$4="",$A952&gt;TODAY()),0,IF(OR(INDEX($B952:$D952,AY$5)="F",AND(AY$6&gt;0,$A952&lt;AY$6),AND(AY$7&gt;0,$A952&gt;AY$7)),0,MAX(0,ROUND((INDEX($E952:$G952,AY$5)-SUMIFS(TF_Timer,TF_Tekniker,AY$4,TF_Dato,$A952))*2,0)/2)))</f>
        <v/>
      </c>
      <c r="AZ952">
        <f>IF(OR(AZ$4="",$A952&gt;TODAY()),0,IF(OR(INDEX($B952:$D952,AZ$5)="F",AND(AZ$6&gt;0,$A952&lt;AZ$6),AND(AZ$7&gt;0,$A952&gt;AZ$7)),0,MAX(0,ROUND((INDEX($E952:$G952,AZ$5)-SUMIFS(TF_Timer,TF_Tekniker,AZ$4,TF_Dato,$A952))*2,0)/2)))</f>
        <v/>
      </c>
      <c r="BA952">
        <f>IF(OR(BA$4="",$A952&gt;TODAY()),0,IF(OR(INDEX($B952:$D952,BA$5)="F",AND(BA$6&gt;0,$A952&lt;BA$6),AND(BA$7&gt;0,$A952&gt;BA$7)),0,MAX(0,ROUND((INDEX($E952:$G952,BA$5)-SUMIFS(TF_Timer,TF_Tekniker,BA$4,TF_Dato,$A952))*2,0)/2)))</f>
        <v/>
      </c>
      <c r="BB952">
        <f>IF(OR(BB$4="",$A952&gt;TODAY()),0,IF(OR(INDEX($B952:$D952,BB$5)="F",AND(BB$6&gt;0,$A952&lt;BB$6),AND(BB$7&gt;0,$A952&gt;BB$7)),0,MAX(0,ROUND((INDEX($E952:$G952,BB$5)-SUMIFS(TF_Timer,TF_Tekniker,BB$4,TF_Dato,$A952))*2,0)/2)))</f>
        <v/>
      </c>
      <c r="BC952">
        <f>IF(OR(BC$4="",$A952&gt;TODAY()),0,IF(OR(INDEX($B952:$D952,BC$5)="F",AND(BC$6&gt;0,$A952&lt;BC$6),AND(BC$7&gt;0,$A952&gt;BC$7)),0,MAX(0,ROUND((INDEX($E952:$G952,BC$5)-SUMIFS(TF_Timer,TF_Tekniker,BC$4,TF_Dato,$A952))*2,0)/2)))</f>
        <v/>
      </c>
      <c r="BD952">
        <f>IF(OR(BD$4="",$A952&gt;TODAY()),0,IF(OR(INDEX($B952:$D952,BD$5)="F",AND(BD$6&gt;0,$A952&lt;BD$6),AND(BD$7&gt;0,$A952&gt;BD$7)),0,MAX(0,ROUND((INDEX($E952:$G952,BD$5)-SUMIFS(TF_Timer,TF_Tekniker,BD$4,TF_Dato,$A952))*2,0)/2)))</f>
        <v/>
      </c>
      <c r="BE952">
        <f>IF(OR(BE$4="",$A952&gt;TODAY()),0,IF(OR(INDEX($B952:$D952,BE$5)="F",AND(BE$6&gt;0,$A952&lt;BE$6),AND(BE$7&gt;0,$A952&gt;BE$7)),0,MAX(0,ROUND((INDEX($E952:$G952,BE$5)-SUMIFS(TF_Timer,TF_Tekniker,BE$4,TF_Dato,$A952))*2,0)/2)))</f>
        <v/>
      </c>
      <c r="BF952">
        <f>IF(OR(BF$4="",$A952&gt;TODAY()),0,IF(OR(INDEX($B952:$D952,BF$5)="F",AND(BF$6&gt;0,$A952&lt;BF$6),AND(BF$7&gt;0,$A952&gt;BF$7)),0,MAX(0,ROUND((INDEX($E952:$G952,BF$5)-SUMIFS(TF_Timer,TF_Tekniker,BF$4,TF_Dato,$A952))*2,0)/2)))</f>
        <v/>
      </c>
      <c r="BG952">
        <f>IF(OR(BG$4="",$A952&gt;TODAY()),0,IF(OR(INDEX($B952:$D952,BG$5)="F",AND(BG$6&gt;0,$A952&lt;BG$6),AND(BG$7&gt;0,$A952&gt;BG$7)),0,MAX(0,ROUND((INDEX($E952:$G952,BG$5)-SUMIFS(TF_Timer,TF_Tekniker,BG$4,TF_Dato,$A952))*2,0)/2)))</f>
        <v/>
      </c>
      <c r="BH952">
        <f>IF(OR(BH$4="",$A952&gt;TODAY()),0,IF(OR(INDEX($B952:$D952,BH$5)="F",AND(BH$6&gt;0,$A952&lt;BH$6),AND(BH$7&gt;0,$A952&gt;BH$7)),0,MAX(0,ROUND((INDEX($E952:$G952,BH$5)-SUMIFS(TF_Timer,TF_Tekniker,BH$4,TF_Dato,$A952))*2,0)/2)))</f>
        <v/>
      </c>
      <c r="BI952">
        <f>IF(OR(BI$4="",$A952&gt;TODAY()),0,IF(OR(INDEX($B952:$D952,BI$5)="F",AND(BI$6&gt;0,$A952&lt;BI$6),AND(BI$7&gt;0,$A952&gt;BI$7)),0,MAX(0,ROUND((INDEX($E952:$G952,BI$5)-SUMIFS(TF_Timer,TF_Tekniker,BI$4,TF_Dato,$A952))*2,0)/2)))</f>
        <v/>
      </c>
    </row>
    <row r="953">
      <c r="A953" s="64">
        <f>A952+1</f>
        <v/>
      </c>
      <c r="B953">
        <f>IF(MOD($A953-INDEX(SkiftStart,1),Syklus)&lt;DagK,"K",IF(MOD($A953-INDEX(SkiftStart,1),Syklus)&lt;DagK+DagH,"H",IF(MOD($A953-INDEX(SkiftStart,1),Syklus)&lt;DagK+DagH+DagD,"D","F")))</f>
        <v/>
      </c>
      <c r="C953">
        <f>IF(MOD($A953-INDEX(SkiftStart,2),Syklus)&lt;DagK,"K",IF(MOD($A953-INDEX(SkiftStart,2),Syklus)&lt;DagK+DagH,"H",IF(MOD($A953-INDEX(SkiftStart,2),Syklus)&lt;DagK+DagH+DagD,"D","F")))</f>
        <v/>
      </c>
      <c r="D953">
        <f>IF(MOD($A953-INDEX(SkiftStart,3),Syklus)&lt;DagK,"K",IF(MOD($A953-INDEX(SkiftStart,3),Syklus)&lt;DagK+DagH,"H",IF(MOD($A953-INDEX(SkiftStart,3),Syklus)&lt;DagK+DagH+DagD,"D","F")))</f>
        <v/>
      </c>
      <c r="E953">
        <f>IF(B953="F",0,IF(WEEKDAY($A953,2)=5,INDEX(TimerFr,MATCH(B953,FaseKode,0)),INDEX(TimerMT,MATCH(B953,FaseKode,0))))</f>
        <v/>
      </c>
      <c r="F953">
        <f>IF(C953="F",0,IF(WEEKDAY($A953,2)=5,INDEX(TimerFr,MATCH(C953,FaseKode,0)),INDEX(TimerMT,MATCH(C953,FaseKode,0))))</f>
        <v/>
      </c>
      <c r="G953">
        <f>IF(D953="F",0,IF(WEEKDAY($A953,2)=5,INDEX(TimerFr,MATCH(D953,FaseKode,0)),INDEX(TimerMT,MATCH(D953,FaseKode,0))))</f>
        <v/>
      </c>
      <c r="H953">
        <f>IF(OR(H$4="",$A953&gt;TODAY()),0,IF(OR(INDEX($B953:$D953,H$5)="F",AND(H$6&gt;0,$A953&lt;H$6),AND(H$7&gt;0,$A953&gt;H$7)),0,MAX(0,ROUND((INDEX($E953:$G953,H$5)-SUMIFS(TF_Timer,TF_Tekniker,H$4,TF_Dato,$A953))*2,0)/2)))</f>
        <v/>
      </c>
      <c r="I953">
        <f>IF(OR(I$4="",$A953&gt;TODAY()),0,IF(OR(INDEX($B953:$D953,I$5)="F",AND(I$6&gt;0,$A953&lt;I$6),AND(I$7&gt;0,$A953&gt;I$7)),0,MAX(0,ROUND((INDEX($E953:$G953,I$5)-SUMIFS(TF_Timer,TF_Tekniker,I$4,TF_Dato,$A953))*2,0)/2)))</f>
        <v/>
      </c>
      <c r="J953">
        <f>IF(OR(J$4="",$A953&gt;TODAY()),0,IF(OR(INDEX($B953:$D953,J$5)="F",AND(J$6&gt;0,$A953&lt;J$6),AND(J$7&gt;0,$A953&gt;J$7)),0,MAX(0,ROUND((INDEX($E953:$G953,J$5)-SUMIFS(TF_Timer,TF_Tekniker,J$4,TF_Dato,$A953))*2,0)/2)))</f>
        <v/>
      </c>
      <c r="K953">
        <f>IF(OR(K$4="",$A953&gt;TODAY()),0,IF(OR(INDEX($B953:$D953,K$5)="F",AND(K$6&gt;0,$A953&lt;K$6),AND(K$7&gt;0,$A953&gt;K$7)),0,MAX(0,ROUND((INDEX($E953:$G953,K$5)-SUMIFS(TF_Timer,TF_Tekniker,K$4,TF_Dato,$A953))*2,0)/2)))</f>
        <v/>
      </c>
      <c r="L953">
        <f>IF(OR(L$4="",$A953&gt;TODAY()),0,IF(OR(INDEX($B953:$D953,L$5)="F",AND(L$6&gt;0,$A953&lt;L$6),AND(L$7&gt;0,$A953&gt;L$7)),0,MAX(0,ROUND((INDEX($E953:$G953,L$5)-SUMIFS(TF_Timer,TF_Tekniker,L$4,TF_Dato,$A953))*2,0)/2)))</f>
        <v/>
      </c>
      <c r="M953">
        <f>IF(OR(M$4="",$A953&gt;TODAY()),0,IF(OR(INDEX($B953:$D953,M$5)="F",AND(M$6&gt;0,$A953&lt;M$6),AND(M$7&gt;0,$A953&gt;M$7)),0,MAX(0,ROUND((INDEX($E953:$G953,M$5)-SUMIFS(TF_Timer,TF_Tekniker,M$4,TF_Dato,$A953))*2,0)/2)))</f>
        <v/>
      </c>
      <c r="N953">
        <f>IF(OR(N$4="",$A953&gt;TODAY()),0,IF(OR(INDEX($B953:$D953,N$5)="F",AND(N$6&gt;0,$A953&lt;N$6),AND(N$7&gt;0,$A953&gt;N$7)),0,MAX(0,ROUND((INDEX($E953:$G953,N$5)-SUMIFS(TF_Timer,TF_Tekniker,N$4,TF_Dato,$A953))*2,0)/2)))</f>
        <v/>
      </c>
      <c r="O953">
        <f>IF(OR(O$4="",$A953&gt;TODAY()),0,IF(OR(INDEX($B953:$D953,O$5)="F",AND(O$6&gt;0,$A953&lt;O$6),AND(O$7&gt;0,$A953&gt;O$7)),0,MAX(0,ROUND((INDEX($E953:$G953,O$5)-SUMIFS(TF_Timer,TF_Tekniker,O$4,TF_Dato,$A953))*2,0)/2)))</f>
        <v/>
      </c>
      <c r="P953">
        <f>IF(OR(P$4="",$A953&gt;TODAY()),0,IF(OR(INDEX($B953:$D953,P$5)="F",AND(P$6&gt;0,$A953&lt;P$6),AND(P$7&gt;0,$A953&gt;P$7)),0,MAX(0,ROUND((INDEX($E953:$G953,P$5)-SUMIFS(TF_Timer,TF_Tekniker,P$4,TF_Dato,$A953))*2,0)/2)))</f>
        <v/>
      </c>
      <c r="Q953">
        <f>IF(OR(Q$4="",$A953&gt;TODAY()),0,IF(OR(INDEX($B953:$D953,Q$5)="F",AND(Q$6&gt;0,$A953&lt;Q$6),AND(Q$7&gt;0,$A953&gt;Q$7)),0,MAX(0,ROUND((INDEX($E953:$G953,Q$5)-SUMIFS(TF_Timer,TF_Tekniker,Q$4,TF_Dato,$A953))*2,0)/2)))</f>
        <v/>
      </c>
      <c r="R953">
        <f>IF(OR(R$4="",$A953&gt;TODAY()),0,IF(OR(INDEX($B953:$D953,R$5)="F",AND(R$6&gt;0,$A953&lt;R$6),AND(R$7&gt;0,$A953&gt;R$7)),0,MAX(0,ROUND((INDEX($E953:$G953,R$5)-SUMIFS(TF_Timer,TF_Tekniker,R$4,TF_Dato,$A953))*2,0)/2)))</f>
        <v/>
      </c>
      <c r="S953">
        <f>IF(OR(S$4="",$A953&gt;TODAY()),0,IF(OR(INDEX($B953:$D953,S$5)="F",AND(S$6&gt;0,$A953&lt;S$6),AND(S$7&gt;0,$A953&gt;S$7)),0,MAX(0,ROUND((INDEX($E953:$G953,S$5)-SUMIFS(TF_Timer,TF_Tekniker,S$4,TF_Dato,$A953))*2,0)/2)))</f>
        <v/>
      </c>
      <c r="T953">
        <f>IF(OR(T$4="",$A953&gt;TODAY()),0,IF(OR(INDEX($B953:$D953,T$5)="F",AND(T$6&gt;0,$A953&lt;T$6),AND(T$7&gt;0,$A953&gt;T$7)),0,MAX(0,ROUND((INDEX($E953:$G953,T$5)-SUMIFS(TF_Timer,TF_Tekniker,T$4,TF_Dato,$A953))*2,0)/2)))</f>
        <v/>
      </c>
      <c r="U953">
        <f>IF(OR(U$4="",$A953&gt;TODAY()),0,IF(OR(INDEX($B953:$D953,U$5)="F",AND(U$6&gt;0,$A953&lt;U$6),AND(U$7&gt;0,$A953&gt;U$7)),0,MAX(0,ROUND((INDEX($E953:$G953,U$5)-SUMIFS(TF_Timer,TF_Tekniker,U$4,TF_Dato,$A953))*2,0)/2)))</f>
        <v/>
      </c>
      <c r="V953">
        <f>IF(OR(V$4="",$A953&gt;TODAY()),0,IF(OR(INDEX($B953:$D953,V$5)="F",AND(V$6&gt;0,$A953&lt;V$6),AND(V$7&gt;0,$A953&gt;V$7)),0,MAX(0,ROUND((INDEX($E953:$G953,V$5)-SUMIFS(TF_Timer,TF_Tekniker,V$4,TF_Dato,$A953))*2,0)/2)))</f>
        <v/>
      </c>
      <c r="W953">
        <f>IF(OR(W$4="",$A953&gt;TODAY()),0,IF(OR(INDEX($B953:$D953,W$5)="F",AND(W$6&gt;0,$A953&lt;W$6),AND(W$7&gt;0,$A953&gt;W$7)),0,MAX(0,ROUND((INDEX($E953:$G953,W$5)-SUMIFS(TF_Timer,TF_Tekniker,W$4,TF_Dato,$A953))*2,0)/2)))</f>
        <v/>
      </c>
      <c r="X953">
        <f>IF(OR(X$4="",$A953&gt;TODAY()),0,IF(OR(INDEX($B953:$D953,X$5)="F",AND(X$6&gt;0,$A953&lt;X$6),AND(X$7&gt;0,$A953&gt;X$7)),0,MAX(0,ROUND((INDEX($E953:$G953,X$5)-SUMIFS(TF_Timer,TF_Tekniker,X$4,TF_Dato,$A953))*2,0)/2)))</f>
        <v/>
      </c>
      <c r="Y953">
        <f>IF(OR(Y$4="",$A953&gt;TODAY()),0,IF(OR(INDEX($B953:$D953,Y$5)="F",AND(Y$6&gt;0,$A953&lt;Y$6),AND(Y$7&gt;0,$A953&gt;Y$7)),0,MAX(0,ROUND((INDEX($E953:$G953,Y$5)-SUMIFS(TF_Timer,TF_Tekniker,Y$4,TF_Dato,$A953))*2,0)/2)))</f>
        <v/>
      </c>
      <c r="Z953">
        <f>IF(OR(Z$4="",$A953&gt;TODAY()),0,IF(OR(INDEX($B953:$D953,Z$5)="F",AND(Z$6&gt;0,$A953&lt;Z$6),AND(Z$7&gt;0,$A953&gt;Z$7)),0,MAX(0,ROUND((INDEX($E953:$G953,Z$5)-SUMIFS(TF_Timer,TF_Tekniker,Z$4,TF_Dato,$A953))*2,0)/2)))</f>
        <v/>
      </c>
      <c r="AA953">
        <f>IF(OR(AA$4="",$A953&gt;TODAY()),0,IF(OR(INDEX($B953:$D953,AA$5)="F",AND(AA$6&gt;0,$A953&lt;AA$6),AND(AA$7&gt;0,$A953&gt;AA$7)),0,MAX(0,ROUND((INDEX($E953:$G953,AA$5)-SUMIFS(TF_Timer,TF_Tekniker,AA$4,TF_Dato,$A953))*2,0)/2)))</f>
        <v/>
      </c>
      <c r="AB953">
        <f>IF(OR(AB$4="",$A953&gt;TODAY()),0,IF(OR(INDEX($B953:$D953,AB$5)="F",AND(AB$6&gt;0,$A953&lt;AB$6),AND(AB$7&gt;0,$A953&gt;AB$7)),0,MAX(0,ROUND((INDEX($E953:$G953,AB$5)-SUMIFS(TF_Timer,TF_Tekniker,AB$4,TF_Dato,$A953))*2,0)/2)))</f>
        <v/>
      </c>
      <c r="AC953">
        <f>IF(OR(AC$4="",$A953&gt;TODAY()),0,IF(OR(INDEX($B953:$D953,AC$5)="F",AND(AC$6&gt;0,$A953&lt;AC$6),AND(AC$7&gt;0,$A953&gt;AC$7)),0,MAX(0,ROUND((INDEX($E953:$G953,AC$5)-SUMIFS(TF_Timer,TF_Tekniker,AC$4,TF_Dato,$A953))*2,0)/2)))</f>
        <v/>
      </c>
      <c r="AD953">
        <f>IF(OR(AD$4="",$A953&gt;TODAY()),0,IF(OR(INDEX($B953:$D953,AD$5)="F",AND(AD$6&gt;0,$A953&lt;AD$6),AND(AD$7&gt;0,$A953&gt;AD$7)),0,MAX(0,ROUND((INDEX($E953:$G953,AD$5)-SUMIFS(TF_Timer,TF_Tekniker,AD$4,TF_Dato,$A953))*2,0)/2)))</f>
        <v/>
      </c>
      <c r="AE953">
        <f>IF(OR(AE$4="",$A953&gt;TODAY()),0,IF(OR(INDEX($B953:$D953,AE$5)="F",AND(AE$6&gt;0,$A953&lt;AE$6),AND(AE$7&gt;0,$A953&gt;AE$7)),0,MAX(0,ROUND((INDEX($E953:$G953,AE$5)-SUMIFS(TF_Timer,TF_Tekniker,AE$4,TF_Dato,$A953))*2,0)/2)))</f>
        <v/>
      </c>
      <c r="AF953">
        <f>IF(OR(AF$4="",$A953&gt;TODAY()),0,IF(OR(INDEX($B953:$D953,AF$5)="F",AND(AF$6&gt;0,$A953&lt;AF$6),AND(AF$7&gt;0,$A953&gt;AF$7)),0,MAX(0,ROUND((INDEX($E953:$G953,AF$5)-SUMIFS(TF_Timer,TF_Tekniker,AF$4,TF_Dato,$A953))*2,0)/2)))</f>
        <v/>
      </c>
      <c r="AG953">
        <f>IF(OR(AG$4="",$A953&gt;TODAY()),0,IF(OR(INDEX($B953:$D953,AG$5)="F",AND(AG$6&gt;0,$A953&lt;AG$6),AND(AG$7&gt;0,$A953&gt;AG$7)),0,MAX(0,ROUND((INDEX($E953:$G953,AG$5)-SUMIFS(TF_Timer,TF_Tekniker,AG$4,TF_Dato,$A953))*2,0)/2)))</f>
        <v/>
      </c>
      <c r="AH953">
        <f>IF(OR(AH$4="",$A953&gt;TODAY()),0,IF(OR(INDEX($B953:$D953,AH$5)="F",AND(AH$6&gt;0,$A953&lt;AH$6),AND(AH$7&gt;0,$A953&gt;AH$7)),0,MAX(0,ROUND((INDEX($E953:$G953,AH$5)-SUMIFS(TF_Timer,TF_Tekniker,AH$4,TF_Dato,$A953))*2,0)/2)))</f>
        <v/>
      </c>
      <c r="AI953">
        <f>IF(OR(AI$4="",$A953&gt;TODAY()),0,IF(OR(INDEX($B953:$D953,AI$5)="F",AND(AI$6&gt;0,$A953&lt;AI$6),AND(AI$7&gt;0,$A953&gt;AI$7)),0,MAX(0,ROUND((INDEX($E953:$G953,AI$5)-SUMIFS(TF_Timer,TF_Tekniker,AI$4,TF_Dato,$A953))*2,0)/2)))</f>
        <v/>
      </c>
      <c r="AJ953">
        <f>IF(OR(AJ$4="",$A953&gt;TODAY()),0,IF(OR(INDEX($B953:$D953,AJ$5)="F",AND(AJ$6&gt;0,$A953&lt;AJ$6),AND(AJ$7&gt;0,$A953&gt;AJ$7)),0,MAX(0,ROUND((INDEX($E953:$G953,AJ$5)-SUMIFS(TF_Timer,TF_Tekniker,AJ$4,TF_Dato,$A953))*2,0)/2)))</f>
        <v/>
      </c>
      <c r="AK953">
        <f>IF(OR(AK$4="",$A953&gt;TODAY()),0,IF(OR(INDEX($B953:$D953,AK$5)="F",AND(AK$6&gt;0,$A953&lt;AK$6),AND(AK$7&gt;0,$A953&gt;AK$7)),0,MAX(0,ROUND((INDEX($E953:$G953,AK$5)-SUMIFS(TF_Timer,TF_Tekniker,AK$4,TF_Dato,$A953))*2,0)/2)))</f>
        <v/>
      </c>
      <c r="AL953">
        <f>IF(OR(AL$4="",$A953&gt;TODAY()),0,IF(OR(INDEX($B953:$D953,AL$5)="F",AND(AL$6&gt;0,$A953&lt;AL$6),AND(AL$7&gt;0,$A953&gt;AL$7)),0,MAX(0,ROUND((INDEX($E953:$G953,AL$5)-SUMIFS(TF_Timer,TF_Tekniker,AL$4,TF_Dato,$A953))*2,0)/2)))</f>
        <v/>
      </c>
      <c r="AM953">
        <f>IF(OR(AM$4="",$A953&gt;TODAY()),0,IF(OR(INDEX($B953:$D953,AM$5)="F",AND(AM$6&gt;0,$A953&lt;AM$6),AND(AM$7&gt;0,$A953&gt;AM$7)),0,MAX(0,ROUND((INDEX($E953:$G953,AM$5)-SUMIFS(TF_Timer,TF_Tekniker,AM$4,TF_Dato,$A953))*2,0)/2)))</f>
        <v/>
      </c>
      <c r="AN953">
        <f>IF(OR(AN$4="",$A953&gt;TODAY()),0,IF(OR(INDEX($B953:$D953,AN$5)="F",AND(AN$6&gt;0,$A953&lt;AN$6),AND(AN$7&gt;0,$A953&gt;AN$7)),0,MAX(0,ROUND((INDEX($E953:$G953,AN$5)-SUMIFS(TF_Timer,TF_Tekniker,AN$4,TF_Dato,$A953))*2,0)/2)))</f>
        <v/>
      </c>
      <c r="AO953">
        <f>IF(OR(AO$4="",$A953&gt;TODAY()),0,IF(OR(INDEX($B953:$D953,AO$5)="F",AND(AO$6&gt;0,$A953&lt;AO$6),AND(AO$7&gt;0,$A953&gt;AO$7)),0,MAX(0,ROUND((INDEX($E953:$G953,AO$5)-SUMIFS(TF_Timer,TF_Tekniker,AO$4,TF_Dato,$A953))*2,0)/2)))</f>
        <v/>
      </c>
      <c r="AP953">
        <f>IF(OR(AP$4="",$A953&gt;TODAY()),0,IF(OR(INDEX($B953:$D953,AP$5)="F",AND(AP$6&gt;0,$A953&lt;AP$6),AND(AP$7&gt;0,$A953&gt;AP$7)),0,MAX(0,ROUND((INDEX($E953:$G953,AP$5)-SUMIFS(TF_Timer,TF_Tekniker,AP$4,TF_Dato,$A953))*2,0)/2)))</f>
        <v/>
      </c>
      <c r="AQ953">
        <f>IF(OR(AQ$4="",$A953&gt;TODAY()),0,IF(OR(INDEX($B953:$D953,AQ$5)="F",AND(AQ$6&gt;0,$A953&lt;AQ$6),AND(AQ$7&gt;0,$A953&gt;AQ$7)),0,MAX(0,ROUND((INDEX($E953:$G953,AQ$5)-SUMIFS(TF_Timer,TF_Tekniker,AQ$4,TF_Dato,$A953))*2,0)/2)))</f>
        <v/>
      </c>
      <c r="AR953">
        <f>IF(OR(AR$4="",$A953&gt;TODAY()),0,IF(OR(INDEX($B953:$D953,AR$5)="F",AND(AR$6&gt;0,$A953&lt;AR$6),AND(AR$7&gt;0,$A953&gt;AR$7)),0,MAX(0,ROUND((INDEX($E953:$G953,AR$5)-SUMIFS(TF_Timer,TF_Tekniker,AR$4,TF_Dato,$A953))*2,0)/2)))</f>
        <v/>
      </c>
      <c r="AS953">
        <f>IF(OR(AS$4="",$A953&gt;TODAY()),0,IF(OR(INDEX($B953:$D953,AS$5)="F",AND(AS$6&gt;0,$A953&lt;AS$6),AND(AS$7&gt;0,$A953&gt;AS$7)),0,MAX(0,ROUND((INDEX($E953:$G953,AS$5)-SUMIFS(TF_Timer,TF_Tekniker,AS$4,TF_Dato,$A953))*2,0)/2)))</f>
        <v/>
      </c>
      <c r="AT953">
        <f>IF(OR(AT$4="",$A953&gt;TODAY()),0,IF(OR(INDEX($B953:$D953,AT$5)="F",AND(AT$6&gt;0,$A953&lt;AT$6),AND(AT$7&gt;0,$A953&gt;AT$7)),0,MAX(0,ROUND((INDEX($E953:$G953,AT$5)-SUMIFS(TF_Timer,TF_Tekniker,AT$4,TF_Dato,$A953))*2,0)/2)))</f>
        <v/>
      </c>
      <c r="AU953">
        <f>IF(OR(AU$4="",$A953&gt;TODAY()),0,IF(OR(INDEX($B953:$D953,AU$5)="F",AND(AU$6&gt;0,$A953&lt;AU$6),AND(AU$7&gt;0,$A953&gt;AU$7)),0,MAX(0,ROUND((INDEX($E953:$G953,AU$5)-SUMIFS(TF_Timer,TF_Tekniker,AU$4,TF_Dato,$A953))*2,0)/2)))</f>
        <v/>
      </c>
      <c r="AV953">
        <f>IF(OR(AV$4="",$A953&gt;TODAY()),0,IF(OR(INDEX($B953:$D953,AV$5)="F",AND(AV$6&gt;0,$A953&lt;AV$6),AND(AV$7&gt;0,$A953&gt;AV$7)),0,MAX(0,ROUND((INDEX($E953:$G953,AV$5)-SUMIFS(TF_Timer,TF_Tekniker,AV$4,TF_Dato,$A953))*2,0)/2)))</f>
        <v/>
      </c>
      <c r="AW953">
        <f>IF(OR(AW$4="",$A953&gt;TODAY()),0,IF(OR(INDEX($B953:$D953,AW$5)="F",AND(AW$6&gt;0,$A953&lt;AW$6),AND(AW$7&gt;0,$A953&gt;AW$7)),0,MAX(0,ROUND((INDEX($E953:$G953,AW$5)-SUMIFS(TF_Timer,TF_Tekniker,AW$4,TF_Dato,$A953))*2,0)/2)))</f>
        <v/>
      </c>
      <c r="AX953">
        <f>IF(OR(AX$4="",$A953&gt;TODAY()),0,IF(OR(INDEX($B953:$D953,AX$5)="F",AND(AX$6&gt;0,$A953&lt;AX$6),AND(AX$7&gt;0,$A953&gt;AX$7)),0,MAX(0,ROUND((INDEX($E953:$G953,AX$5)-SUMIFS(TF_Timer,TF_Tekniker,AX$4,TF_Dato,$A953))*2,0)/2)))</f>
        <v/>
      </c>
      <c r="AY953">
        <f>IF(OR(AY$4="",$A953&gt;TODAY()),0,IF(OR(INDEX($B953:$D953,AY$5)="F",AND(AY$6&gt;0,$A953&lt;AY$6),AND(AY$7&gt;0,$A953&gt;AY$7)),0,MAX(0,ROUND((INDEX($E953:$G953,AY$5)-SUMIFS(TF_Timer,TF_Tekniker,AY$4,TF_Dato,$A953))*2,0)/2)))</f>
        <v/>
      </c>
      <c r="AZ953">
        <f>IF(OR(AZ$4="",$A953&gt;TODAY()),0,IF(OR(INDEX($B953:$D953,AZ$5)="F",AND(AZ$6&gt;0,$A953&lt;AZ$6),AND(AZ$7&gt;0,$A953&gt;AZ$7)),0,MAX(0,ROUND((INDEX($E953:$G953,AZ$5)-SUMIFS(TF_Timer,TF_Tekniker,AZ$4,TF_Dato,$A953))*2,0)/2)))</f>
        <v/>
      </c>
      <c r="BA953">
        <f>IF(OR(BA$4="",$A953&gt;TODAY()),0,IF(OR(INDEX($B953:$D953,BA$5)="F",AND(BA$6&gt;0,$A953&lt;BA$6),AND(BA$7&gt;0,$A953&gt;BA$7)),0,MAX(0,ROUND((INDEX($E953:$G953,BA$5)-SUMIFS(TF_Timer,TF_Tekniker,BA$4,TF_Dato,$A953))*2,0)/2)))</f>
        <v/>
      </c>
      <c r="BB953">
        <f>IF(OR(BB$4="",$A953&gt;TODAY()),0,IF(OR(INDEX($B953:$D953,BB$5)="F",AND(BB$6&gt;0,$A953&lt;BB$6),AND(BB$7&gt;0,$A953&gt;BB$7)),0,MAX(0,ROUND((INDEX($E953:$G953,BB$5)-SUMIFS(TF_Timer,TF_Tekniker,BB$4,TF_Dato,$A953))*2,0)/2)))</f>
        <v/>
      </c>
      <c r="BC953">
        <f>IF(OR(BC$4="",$A953&gt;TODAY()),0,IF(OR(INDEX($B953:$D953,BC$5)="F",AND(BC$6&gt;0,$A953&lt;BC$6),AND(BC$7&gt;0,$A953&gt;BC$7)),0,MAX(0,ROUND((INDEX($E953:$G953,BC$5)-SUMIFS(TF_Timer,TF_Tekniker,BC$4,TF_Dato,$A953))*2,0)/2)))</f>
        <v/>
      </c>
      <c r="BD953">
        <f>IF(OR(BD$4="",$A953&gt;TODAY()),0,IF(OR(INDEX($B953:$D953,BD$5)="F",AND(BD$6&gt;0,$A953&lt;BD$6),AND(BD$7&gt;0,$A953&gt;BD$7)),0,MAX(0,ROUND((INDEX($E953:$G953,BD$5)-SUMIFS(TF_Timer,TF_Tekniker,BD$4,TF_Dato,$A953))*2,0)/2)))</f>
        <v/>
      </c>
      <c r="BE953">
        <f>IF(OR(BE$4="",$A953&gt;TODAY()),0,IF(OR(INDEX($B953:$D953,BE$5)="F",AND(BE$6&gt;0,$A953&lt;BE$6),AND(BE$7&gt;0,$A953&gt;BE$7)),0,MAX(0,ROUND((INDEX($E953:$G953,BE$5)-SUMIFS(TF_Timer,TF_Tekniker,BE$4,TF_Dato,$A953))*2,0)/2)))</f>
        <v/>
      </c>
      <c r="BF953">
        <f>IF(OR(BF$4="",$A953&gt;TODAY()),0,IF(OR(INDEX($B953:$D953,BF$5)="F",AND(BF$6&gt;0,$A953&lt;BF$6),AND(BF$7&gt;0,$A953&gt;BF$7)),0,MAX(0,ROUND((INDEX($E953:$G953,BF$5)-SUMIFS(TF_Timer,TF_Tekniker,BF$4,TF_Dato,$A953))*2,0)/2)))</f>
        <v/>
      </c>
      <c r="BG953">
        <f>IF(OR(BG$4="",$A953&gt;TODAY()),0,IF(OR(INDEX($B953:$D953,BG$5)="F",AND(BG$6&gt;0,$A953&lt;BG$6),AND(BG$7&gt;0,$A953&gt;BG$7)),0,MAX(0,ROUND((INDEX($E953:$G953,BG$5)-SUMIFS(TF_Timer,TF_Tekniker,BG$4,TF_Dato,$A953))*2,0)/2)))</f>
        <v/>
      </c>
      <c r="BH953">
        <f>IF(OR(BH$4="",$A953&gt;TODAY()),0,IF(OR(INDEX($B953:$D953,BH$5)="F",AND(BH$6&gt;0,$A953&lt;BH$6),AND(BH$7&gt;0,$A953&gt;BH$7)),0,MAX(0,ROUND((INDEX($E953:$G953,BH$5)-SUMIFS(TF_Timer,TF_Tekniker,BH$4,TF_Dato,$A953))*2,0)/2)))</f>
        <v/>
      </c>
      <c r="BI953">
        <f>IF(OR(BI$4="",$A953&gt;TODAY()),0,IF(OR(INDEX($B953:$D953,BI$5)="F",AND(BI$6&gt;0,$A953&lt;BI$6),AND(BI$7&gt;0,$A953&gt;BI$7)),0,MAX(0,ROUND((INDEX($E953:$G953,BI$5)-SUMIFS(TF_Timer,TF_Tekniker,BI$4,TF_Dato,$A953))*2,0)/2)))</f>
        <v/>
      </c>
    </row>
    <row r="954">
      <c r="A954" s="64">
        <f>A953+1</f>
        <v/>
      </c>
      <c r="B954">
        <f>IF(MOD($A954-INDEX(SkiftStart,1),Syklus)&lt;DagK,"K",IF(MOD($A954-INDEX(SkiftStart,1),Syklus)&lt;DagK+DagH,"H",IF(MOD($A954-INDEX(SkiftStart,1),Syklus)&lt;DagK+DagH+DagD,"D","F")))</f>
        <v/>
      </c>
      <c r="C954">
        <f>IF(MOD($A954-INDEX(SkiftStart,2),Syklus)&lt;DagK,"K",IF(MOD($A954-INDEX(SkiftStart,2),Syklus)&lt;DagK+DagH,"H",IF(MOD($A954-INDEX(SkiftStart,2),Syklus)&lt;DagK+DagH+DagD,"D","F")))</f>
        <v/>
      </c>
      <c r="D954">
        <f>IF(MOD($A954-INDEX(SkiftStart,3),Syklus)&lt;DagK,"K",IF(MOD($A954-INDEX(SkiftStart,3),Syklus)&lt;DagK+DagH,"H",IF(MOD($A954-INDEX(SkiftStart,3),Syklus)&lt;DagK+DagH+DagD,"D","F")))</f>
        <v/>
      </c>
      <c r="E954">
        <f>IF(B954="F",0,IF(WEEKDAY($A954,2)=5,INDEX(TimerFr,MATCH(B954,FaseKode,0)),INDEX(TimerMT,MATCH(B954,FaseKode,0))))</f>
        <v/>
      </c>
      <c r="F954">
        <f>IF(C954="F",0,IF(WEEKDAY($A954,2)=5,INDEX(TimerFr,MATCH(C954,FaseKode,0)),INDEX(TimerMT,MATCH(C954,FaseKode,0))))</f>
        <v/>
      </c>
      <c r="G954">
        <f>IF(D954="F",0,IF(WEEKDAY($A954,2)=5,INDEX(TimerFr,MATCH(D954,FaseKode,0)),INDEX(TimerMT,MATCH(D954,FaseKode,0))))</f>
        <v/>
      </c>
      <c r="H954">
        <f>IF(OR(H$4="",$A954&gt;TODAY()),0,IF(OR(INDEX($B954:$D954,H$5)="F",AND(H$6&gt;0,$A954&lt;H$6),AND(H$7&gt;0,$A954&gt;H$7)),0,MAX(0,ROUND((INDEX($E954:$G954,H$5)-SUMIFS(TF_Timer,TF_Tekniker,H$4,TF_Dato,$A954))*2,0)/2)))</f>
        <v/>
      </c>
      <c r="I954">
        <f>IF(OR(I$4="",$A954&gt;TODAY()),0,IF(OR(INDEX($B954:$D954,I$5)="F",AND(I$6&gt;0,$A954&lt;I$6),AND(I$7&gt;0,$A954&gt;I$7)),0,MAX(0,ROUND((INDEX($E954:$G954,I$5)-SUMIFS(TF_Timer,TF_Tekniker,I$4,TF_Dato,$A954))*2,0)/2)))</f>
        <v/>
      </c>
      <c r="J954">
        <f>IF(OR(J$4="",$A954&gt;TODAY()),0,IF(OR(INDEX($B954:$D954,J$5)="F",AND(J$6&gt;0,$A954&lt;J$6),AND(J$7&gt;0,$A954&gt;J$7)),0,MAX(0,ROUND((INDEX($E954:$G954,J$5)-SUMIFS(TF_Timer,TF_Tekniker,J$4,TF_Dato,$A954))*2,0)/2)))</f>
        <v/>
      </c>
      <c r="K954">
        <f>IF(OR(K$4="",$A954&gt;TODAY()),0,IF(OR(INDEX($B954:$D954,K$5)="F",AND(K$6&gt;0,$A954&lt;K$6),AND(K$7&gt;0,$A954&gt;K$7)),0,MAX(0,ROUND((INDEX($E954:$G954,K$5)-SUMIFS(TF_Timer,TF_Tekniker,K$4,TF_Dato,$A954))*2,0)/2)))</f>
        <v/>
      </c>
      <c r="L954">
        <f>IF(OR(L$4="",$A954&gt;TODAY()),0,IF(OR(INDEX($B954:$D954,L$5)="F",AND(L$6&gt;0,$A954&lt;L$6),AND(L$7&gt;0,$A954&gt;L$7)),0,MAX(0,ROUND((INDEX($E954:$G954,L$5)-SUMIFS(TF_Timer,TF_Tekniker,L$4,TF_Dato,$A954))*2,0)/2)))</f>
        <v/>
      </c>
      <c r="M954">
        <f>IF(OR(M$4="",$A954&gt;TODAY()),0,IF(OR(INDEX($B954:$D954,M$5)="F",AND(M$6&gt;0,$A954&lt;M$6),AND(M$7&gt;0,$A954&gt;M$7)),0,MAX(0,ROUND((INDEX($E954:$G954,M$5)-SUMIFS(TF_Timer,TF_Tekniker,M$4,TF_Dato,$A954))*2,0)/2)))</f>
        <v/>
      </c>
      <c r="N954">
        <f>IF(OR(N$4="",$A954&gt;TODAY()),0,IF(OR(INDEX($B954:$D954,N$5)="F",AND(N$6&gt;0,$A954&lt;N$6),AND(N$7&gt;0,$A954&gt;N$7)),0,MAX(0,ROUND((INDEX($E954:$G954,N$5)-SUMIFS(TF_Timer,TF_Tekniker,N$4,TF_Dato,$A954))*2,0)/2)))</f>
        <v/>
      </c>
      <c r="O954">
        <f>IF(OR(O$4="",$A954&gt;TODAY()),0,IF(OR(INDEX($B954:$D954,O$5)="F",AND(O$6&gt;0,$A954&lt;O$6),AND(O$7&gt;0,$A954&gt;O$7)),0,MAX(0,ROUND((INDEX($E954:$G954,O$5)-SUMIFS(TF_Timer,TF_Tekniker,O$4,TF_Dato,$A954))*2,0)/2)))</f>
        <v/>
      </c>
      <c r="P954">
        <f>IF(OR(P$4="",$A954&gt;TODAY()),0,IF(OR(INDEX($B954:$D954,P$5)="F",AND(P$6&gt;0,$A954&lt;P$6),AND(P$7&gt;0,$A954&gt;P$7)),0,MAX(0,ROUND((INDEX($E954:$G954,P$5)-SUMIFS(TF_Timer,TF_Tekniker,P$4,TF_Dato,$A954))*2,0)/2)))</f>
        <v/>
      </c>
      <c r="Q954">
        <f>IF(OR(Q$4="",$A954&gt;TODAY()),0,IF(OR(INDEX($B954:$D954,Q$5)="F",AND(Q$6&gt;0,$A954&lt;Q$6),AND(Q$7&gt;0,$A954&gt;Q$7)),0,MAX(0,ROUND((INDEX($E954:$G954,Q$5)-SUMIFS(TF_Timer,TF_Tekniker,Q$4,TF_Dato,$A954))*2,0)/2)))</f>
        <v/>
      </c>
      <c r="R954">
        <f>IF(OR(R$4="",$A954&gt;TODAY()),0,IF(OR(INDEX($B954:$D954,R$5)="F",AND(R$6&gt;0,$A954&lt;R$6),AND(R$7&gt;0,$A954&gt;R$7)),0,MAX(0,ROUND((INDEX($E954:$G954,R$5)-SUMIFS(TF_Timer,TF_Tekniker,R$4,TF_Dato,$A954))*2,0)/2)))</f>
        <v/>
      </c>
      <c r="S954">
        <f>IF(OR(S$4="",$A954&gt;TODAY()),0,IF(OR(INDEX($B954:$D954,S$5)="F",AND(S$6&gt;0,$A954&lt;S$6),AND(S$7&gt;0,$A954&gt;S$7)),0,MAX(0,ROUND((INDEX($E954:$G954,S$5)-SUMIFS(TF_Timer,TF_Tekniker,S$4,TF_Dato,$A954))*2,0)/2)))</f>
        <v/>
      </c>
      <c r="T954">
        <f>IF(OR(T$4="",$A954&gt;TODAY()),0,IF(OR(INDEX($B954:$D954,T$5)="F",AND(T$6&gt;0,$A954&lt;T$6),AND(T$7&gt;0,$A954&gt;T$7)),0,MAX(0,ROUND((INDEX($E954:$G954,T$5)-SUMIFS(TF_Timer,TF_Tekniker,T$4,TF_Dato,$A954))*2,0)/2)))</f>
        <v/>
      </c>
      <c r="U954">
        <f>IF(OR(U$4="",$A954&gt;TODAY()),0,IF(OR(INDEX($B954:$D954,U$5)="F",AND(U$6&gt;0,$A954&lt;U$6),AND(U$7&gt;0,$A954&gt;U$7)),0,MAX(0,ROUND((INDEX($E954:$G954,U$5)-SUMIFS(TF_Timer,TF_Tekniker,U$4,TF_Dato,$A954))*2,0)/2)))</f>
        <v/>
      </c>
      <c r="V954">
        <f>IF(OR(V$4="",$A954&gt;TODAY()),0,IF(OR(INDEX($B954:$D954,V$5)="F",AND(V$6&gt;0,$A954&lt;V$6),AND(V$7&gt;0,$A954&gt;V$7)),0,MAX(0,ROUND((INDEX($E954:$G954,V$5)-SUMIFS(TF_Timer,TF_Tekniker,V$4,TF_Dato,$A954))*2,0)/2)))</f>
        <v/>
      </c>
      <c r="W954">
        <f>IF(OR(W$4="",$A954&gt;TODAY()),0,IF(OR(INDEX($B954:$D954,W$5)="F",AND(W$6&gt;0,$A954&lt;W$6),AND(W$7&gt;0,$A954&gt;W$7)),0,MAX(0,ROUND((INDEX($E954:$G954,W$5)-SUMIFS(TF_Timer,TF_Tekniker,W$4,TF_Dato,$A954))*2,0)/2)))</f>
        <v/>
      </c>
      <c r="X954">
        <f>IF(OR(X$4="",$A954&gt;TODAY()),0,IF(OR(INDEX($B954:$D954,X$5)="F",AND(X$6&gt;0,$A954&lt;X$6),AND(X$7&gt;0,$A954&gt;X$7)),0,MAX(0,ROUND((INDEX($E954:$G954,X$5)-SUMIFS(TF_Timer,TF_Tekniker,X$4,TF_Dato,$A954))*2,0)/2)))</f>
        <v/>
      </c>
      <c r="Y954">
        <f>IF(OR(Y$4="",$A954&gt;TODAY()),0,IF(OR(INDEX($B954:$D954,Y$5)="F",AND(Y$6&gt;0,$A954&lt;Y$6),AND(Y$7&gt;0,$A954&gt;Y$7)),0,MAX(0,ROUND((INDEX($E954:$G954,Y$5)-SUMIFS(TF_Timer,TF_Tekniker,Y$4,TF_Dato,$A954))*2,0)/2)))</f>
        <v/>
      </c>
      <c r="Z954">
        <f>IF(OR(Z$4="",$A954&gt;TODAY()),0,IF(OR(INDEX($B954:$D954,Z$5)="F",AND(Z$6&gt;0,$A954&lt;Z$6),AND(Z$7&gt;0,$A954&gt;Z$7)),0,MAX(0,ROUND((INDEX($E954:$G954,Z$5)-SUMIFS(TF_Timer,TF_Tekniker,Z$4,TF_Dato,$A954))*2,0)/2)))</f>
        <v/>
      </c>
      <c r="AA954">
        <f>IF(OR(AA$4="",$A954&gt;TODAY()),0,IF(OR(INDEX($B954:$D954,AA$5)="F",AND(AA$6&gt;0,$A954&lt;AA$6),AND(AA$7&gt;0,$A954&gt;AA$7)),0,MAX(0,ROUND((INDEX($E954:$G954,AA$5)-SUMIFS(TF_Timer,TF_Tekniker,AA$4,TF_Dato,$A954))*2,0)/2)))</f>
        <v/>
      </c>
      <c r="AB954">
        <f>IF(OR(AB$4="",$A954&gt;TODAY()),0,IF(OR(INDEX($B954:$D954,AB$5)="F",AND(AB$6&gt;0,$A954&lt;AB$6),AND(AB$7&gt;0,$A954&gt;AB$7)),0,MAX(0,ROUND((INDEX($E954:$G954,AB$5)-SUMIFS(TF_Timer,TF_Tekniker,AB$4,TF_Dato,$A954))*2,0)/2)))</f>
        <v/>
      </c>
      <c r="AC954">
        <f>IF(OR(AC$4="",$A954&gt;TODAY()),0,IF(OR(INDEX($B954:$D954,AC$5)="F",AND(AC$6&gt;0,$A954&lt;AC$6),AND(AC$7&gt;0,$A954&gt;AC$7)),0,MAX(0,ROUND((INDEX($E954:$G954,AC$5)-SUMIFS(TF_Timer,TF_Tekniker,AC$4,TF_Dato,$A954))*2,0)/2)))</f>
        <v/>
      </c>
      <c r="AD954">
        <f>IF(OR(AD$4="",$A954&gt;TODAY()),0,IF(OR(INDEX($B954:$D954,AD$5)="F",AND(AD$6&gt;0,$A954&lt;AD$6),AND(AD$7&gt;0,$A954&gt;AD$7)),0,MAX(0,ROUND((INDEX($E954:$G954,AD$5)-SUMIFS(TF_Timer,TF_Tekniker,AD$4,TF_Dato,$A954))*2,0)/2)))</f>
        <v/>
      </c>
      <c r="AE954">
        <f>IF(OR(AE$4="",$A954&gt;TODAY()),0,IF(OR(INDEX($B954:$D954,AE$5)="F",AND(AE$6&gt;0,$A954&lt;AE$6),AND(AE$7&gt;0,$A954&gt;AE$7)),0,MAX(0,ROUND((INDEX($E954:$G954,AE$5)-SUMIFS(TF_Timer,TF_Tekniker,AE$4,TF_Dato,$A954))*2,0)/2)))</f>
        <v/>
      </c>
      <c r="AF954">
        <f>IF(OR(AF$4="",$A954&gt;TODAY()),0,IF(OR(INDEX($B954:$D954,AF$5)="F",AND(AF$6&gt;0,$A954&lt;AF$6),AND(AF$7&gt;0,$A954&gt;AF$7)),0,MAX(0,ROUND((INDEX($E954:$G954,AF$5)-SUMIFS(TF_Timer,TF_Tekniker,AF$4,TF_Dato,$A954))*2,0)/2)))</f>
        <v/>
      </c>
      <c r="AG954">
        <f>IF(OR(AG$4="",$A954&gt;TODAY()),0,IF(OR(INDEX($B954:$D954,AG$5)="F",AND(AG$6&gt;0,$A954&lt;AG$6),AND(AG$7&gt;0,$A954&gt;AG$7)),0,MAX(0,ROUND((INDEX($E954:$G954,AG$5)-SUMIFS(TF_Timer,TF_Tekniker,AG$4,TF_Dato,$A954))*2,0)/2)))</f>
        <v/>
      </c>
      <c r="AH954">
        <f>IF(OR(AH$4="",$A954&gt;TODAY()),0,IF(OR(INDEX($B954:$D954,AH$5)="F",AND(AH$6&gt;0,$A954&lt;AH$6),AND(AH$7&gt;0,$A954&gt;AH$7)),0,MAX(0,ROUND((INDEX($E954:$G954,AH$5)-SUMIFS(TF_Timer,TF_Tekniker,AH$4,TF_Dato,$A954))*2,0)/2)))</f>
        <v/>
      </c>
      <c r="AI954">
        <f>IF(OR(AI$4="",$A954&gt;TODAY()),0,IF(OR(INDEX($B954:$D954,AI$5)="F",AND(AI$6&gt;0,$A954&lt;AI$6),AND(AI$7&gt;0,$A954&gt;AI$7)),0,MAX(0,ROUND((INDEX($E954:$G954,AI$5)-SUMIFS(TF_Timer,TF_Tekniker,AI$4,TF_Dato,$A954))*2,0)/2)))</f>
        <v/>
      </c>
      <c r="AJ954">
        <f>IF(OR(AJ$4="",$A954&gt;TODAY()),0,IF(OR(INDEX($B954:$D954,AJ$5)="F",AND(AJ$6&gt;0,$A954&lt;AJ$6),AND(AJ$7&gt;0,$A954&gt;AJ$7)),0,MAX(0,ROUND((INDEX($E954:$G954,AJ$5)-SUMIFS(TF_Timer,TF_Tekniker,AJ$4,TF_Dato,$A954))*2,0)/2)))</f>
        <v/>
      </c>
      <c r="AK954">
        <f>IF(OR(AK$4="",$A954&gt;TODAY()),0,IF(OR(INDEX($B954:$D954,AK$5)="F",AND(AK$6&gt;0,$A954&lt;AK$6),AND(AK$7&gt;0,$A954&gt;AK$7)),0,MAX(0,ROUND((INDEX($E954:$G954,AK$5)-SUMIFS(TF_Timer,TF_Tekniker,AK$4,TF_Dato,$A954))*2,0)/2)))</f>
        <v/>
      </c>
      <c r="AL954">
        <f>IF(OR(AL$4="",$A954&gt;TODAY()),0,IF(OR(INDEX($B954:$D954,AL$5)="F",AND(AL$6&gt;0,$A954&lt;AL$6),AND(AL$7&gt;0,$A954&gt;AL$7)),0,MAX(0,ROUND((INDEX($E954:$G954,AL$5)-SUMIFS(TF_Timer,TF_Tekniker,AL$4,TF_Dato,$A954))*2,0)/2)))</f>
        <v/>
      </c>
      <c r="AM954">
        <f>IF(OR(AM$4="",$A954&gt;TODAY()),0,IF(OR(INDEX($B954:$D954,AM$5)="F",AND(AM$6&gt;0,$A954&lt;AM$6),AND(AM$7&gt;0,$A954&gt;AM$7)),0,MAX(0,ROUND((INDEX($E954:$G954,AM$5)-SUMIFS(TF_Timer,TF_Tekniker,AM$4,TF_Dato,$A954))*2,0)/2)))</f>
        <v/>
      </c>
      <c r="AN954">
        <f>IF(OR(AN$4="",$A954&gt;TODAY()),0,IF(OR(INDEX($B954:$D954,AN$5)="F",AND(AN$6&gt;0,$A954&lt;AN$6),AND(AN$7&gt;0,$A954&gt;AN$7)),0,MAX(0,ROUND((INDEX($E954:$G954,AN$5)-SUMIFS(TF_Timer,TF_Tekniker,AN$4,TF_Dato,$A954))*2,0)/2)))</f>
        <v/>
      </c>
      <c r="AO954">
        <f>IF(OR(AO$4="",$A954&gt;TODAY()),0,IF(OR(INDEX($B954:$D954,AO$5)="F",AND(AO$6&gt;0,$A954&lt;AO$6),AND(AO$7&gt;0,$A954&gt;AO$7)),0,MAX(0,ROUND((INDEX($E954:$G954,AO$5)-SUMIFS(TF_Timer,TF_Tekniker,AO$4,TF_Dato,$A954))*2,0)/2)))</f>
        <v/>
      </c>
      <c r="AP954">
        <f>IF(OR(AP$4="",$A954&gt;TODAY()),0,IF(OR(INDEX($B954:$D954,AP$5)="F",AND(AP$6&gt;0,$A954&lt;AP$6),AND(AP$7&gt;0,$A954&gt;AP$7)),0,MAX(0,ROUND((INDEX($E954:$G954,AP$5)-SUMIFS(TF_Timer,TF_Tekniker,AP$4,TF_Dato,$A954))*2,0)/2)))</f>
        <v/>
      </c>
      <c r="AQ954">
        <f>IF(OR(AQ$4="",$A954&gt;TODAY()),0,IF(OR(INDEX($B954:$D954,AQ$5)="F",AND(AQ$6&gt;0,$A954&lt;AQ$6),AND(AQ$7&gt;0,$A954&gt;AQ$7)),0,MAX(0,ROUND((INDEX($E954:$G954,AQ$5)-SUMIFS(TF_Timer,TF_Tekniker,AQ$4,TF_Dato,$A954))*2,0)/2)))</f>
        <v/>
      </c>
      <c r="AR954">
        <f>IF(OR(AR$4="",$A954&gt;TODAY()),0,IF(OR(INDEX($B954:$D954,AR$5)="F",AND(AR$6&gt;0,$A954&lt;AR$6),AND(AR$7&gt;0,$A954&gt;AR$7)),0,MAX(0,ROUND((INDEX($E954:$G954,AR$5)-SUMIFS(TF_Timer,TF_Tekniker,AR$4,TF_Dato,$A954))*2,0)/2)))</f>
        <v/>
      </c>
      <c r="AS954">
        <f>IF(OR(AS$4="",$A954&gt;TODAY()),0,IF(OR(INDEX($B954:$D954,AS$5)="F",AND(AS$6&gt;0,$A954&lt;AS$6),AND(AS$7&gt;0,$A954&gt;AS$7)),0,MAX(0,ROUND((INDEX($E954:$G954,AS$5)-SUMIFS(TF_Timer,TF_Tekniker,AS$4,TF_Dato,$A954))*2,0)/2)))</f>
        <v/>
      </c>
      <c r="AT954">
        <f>IF(OR(AT$4="",$A954&gt;TODAY()),0,IF(OR(INDEX($B954:$D954,AT$5)="F",AND(AT$6&gt;0,$A954&lt;AT$6),AND(AT$7&gt;0,$A954&gt;AT$7)),0,MAX(0,ROUND((INDEX($E954:$G954,AT$5)-SUMIFS(TF_Timer,TF_Tekniker,AT$4,TF_Dato,$A954))*2,0)/2)))</f>
        <v/>
      </c>
      <c r="AU954">
        <f>IF(OR(AU$4="",$A954&gt;TODAY()),0,IF(OR(INDEX($B954:$D954,AU$5)="F",AND(AU$6&gt;0,$A954&lt;AU$6),AND(AU$7&gt;0,$A954&gt;AU$7)),0,MAX(0,ROUND((INDEX($E954:$G954,AU$5)-SUMIFS(TF_Timer,TF_Tekniker,AU$4,TF_Dato,$A954))*2,0)/2)))</f>
        <v/>
      </c>
      <c r="AV954">
        <f>IF(OR(AV$4="",$A954&gt;TODAY()),0,IF(OR(INDEX($B954:$D954,AV$5)="F",AND(AV$6&gt;0,$A954&lt;AV$6),AND(AV$7&gt;0,$A954&gt;AV$7)),0,MAX(0,ROUND((INDEX($E954:$G954,AV$5)-SUMIFS(TF_Timer,TF_Tekniker,AV$4,TF_Dato,$A954))*2,0)/2)))</f>
        <v/>
      </c>
      <c r="AW954">
        <f>IF(OR(AW$4="",$A954&gt;TODAY()),0,IF(OR(INDEX($B954:$D954,AW$5)="F",AND(AW$6&gt;0,$A954&lt;AW$6),AND(AW$7&gt;0,$A954&gt;AW$7)),0,MAX(0,ROUND((INDEX($E954:$G954,AW$5)-SUMIFS(TF_Timer,TF_Tekniker,AW$4,TF_Dato,$A954))*2,0)/2)))</f>
        <v/>
      </c>
      <c r="AX954">
        <f>IF(OR(AX$4="",$A954&gt;TODAY()),0,IF(OR(INDEX($B954:$D954,AX$5)="F",AND(AX$6&gt;0,$A954&lt;AX$6),AND(AX$7&gt;0,$A954&gt;AX$7)),0,MAX(0,ROUND((INDEX($E954:$G954,AX$5)-SUMIFS(TF_Timer,TF_Tekniker,AX$4,TF_Dato,$A954))*2,0)/2)))</f>
        <v/>
      </c>
      <c r="AY954">
        <f>IF(OR(AY$4="",$A954&gt;TODAY()),0,IF(OR(INDEX($B954:$D954,AY$5)="F",AND(AY$6&gt;0,$A954&lt;AY$6),AND(AY$7&gt;0,$A954&gt;AY$7)),0,MAX(0,ROUND((INDEX($E954:$G954,AY$5)-SUMIFS(TF_Timer,TF_Tekniker,AY$4,TF_Dato,$A954))*2,0)/2)))</f>
        <v/>
      </c>
      <c r="AZ954">
        <f>IF(OR(AZ$4="",$A954&gt;TODAY()),0,IF(OR(INDEX($B954:$D954,AZ$5)="F",AND(AZ$6&gt;0,$A954&lt;AZ$6),AND(AZ$7&gt;0,$A954&gt;AZ$7)),0,MAX(0,ROUND((INDEX($E954:$G954,AZ$5)-SUMIFS(TF_Timer,TF_Tekniker,AZ$4,TF_Dato,$A954))*2,0)/2)))</f>
        <v/>
      </c>
      <c r="BA954">
        <f>IF(OR(BA$4="",$A954&gt;TODAY()),0,IF(OR(INDEX($B954:$D954,BA$5)="F",AND(BA$6&gt;0,$A954&lt;BA$6),AND(BA$7&gt;0,$A954&gt;BA$7)),0,MAX(0,ROUND((INDEX($E954:$G954,BA$5)-SUMIFS(TF_Timer,TF_Tekniker,BA$4,TF_Dato,$A954))*2,0)/2)))</f>
        <v/>
      </c>
      <c r="BB954">
        <f>IF(OR(BB$4="",$A954&gt;TODAY()),0,IF(OR(INDEX($B954:$D954,BB$5)="F",AND(BB$6&gt;0,$A954&lt;BB$6),AND(BB$7&gt;0,$A954&gt;BB$7)),0,MAX(0,ROUND((INDEX($E954:$G954,BB$5)-SUMIFS(TF_Timer,TF_Tekniker,BB$4,TF_Dato,$A954))*2,0)/2)))</f>
        <v/>
      </c>
      <c r="BC954">
        <f>IF(OR(BC$4="",$A954&gt;TODAY()),0,IF(OR(INDEX($B954:$D954,BC$5)="F",AND(BC$6&gt;0,$A954&lt;BC$6),AND(BC$7&gt;0,$A954&gt;BC$7)),0,MAX(0,ROUND((INDEX($E954:$G954,BC$5)-SUMIFS(TF_Timer,TF_Tekniker,BC$4,TF_Dato,$A954))*2,0)/2)))</f>
        <v/>
      </c>
      <c r="BD954">
        <f>IF(OR(BD$4="",$A954&gt;TODAY()),0,IF(OR(INDEX($B954:$D954,BD$5)="F",AND(BD$6&gt;0,$A954&lt;BD$6),AND(BD$7&gt;0,$A954&gt;BD$7)),0,MAX(0,ROUND((INDEX($E954:$G954,BD$5)-SUMIFS(TF_Timer,TF_Tekniker,BD$4,TF_Dato,$A954))*2,0)/2)))</f>
        <v/>
      </c>
      <c r="BE954">
        <f>IF(OR(BE$4="",$A954&gt;TODAY()),0,IF(OR(INDEX($B954:$D954,BE$5)="F",AND(BE$6&gt;0,$A954&lt;BE$6),AND(BE$7&gt;0,$A954&gt;BE$7)),0,MAX(0,ROUND((INDEX($E954:$G954,BE$5)-SUMIFS(TF_Timer,TF_Tekniker,BE$4,TF_Dato,$A954))*2,0)/2)))</f>
        <v/>
      </c>
      <c r="BF954">
        <f>IF(OR(BF$4="",$A954&gt;TODAY()),0,IF(OR(INDEX($B954:$D954,BF$5)="F",AND(BF$6&gt;0,$A954&lt;BF$6),AND(BF$7&gt;0,$A954&gt;BF$7)),0,MAX(0,ROUND((INDEX($E954:$G954,BF$5)-SUMIFS(TF_Timer,TF_Tekniker,BF$4,TF_Dato,$A954))*2,0)/2)))</f>
        <v/>
      </c>
      <c r="BG954">
        <f>IF(OR(BG$4="",$A954&gt;TODAY()),0,IF(OR(INDEX($B954:$D954,BG$5)="F",AND(BG$6&gt;0,$A954&lt;BG$6),AND(BG$7&gt;0,$A954&gt;BG$7)),0,MAX(0,ROUND((INDEX($E954:$G954,BG$5)-SUMIFS(TF_Timer,TF_Tekniker,BG$4,TF_Dato,$A954))*2,0)/2)))</f>
        <v/>
      </c>
      <c r="BH954">
        <f>IF(OR(BH$4="",$A954&gt;TODAY()),0,IF(OR(INDEX($B954:$D954,BH$5)="F",AND(BH$6&gt;0,$A954&lt;BH$6),AND(BH$7&gt;0,$A954&gt;BH$7)),0,MAX(0,ROUND((INDEX($E954:$G954,BH$5)-SUMIFS(TF_Timer,TF_Tekniker,BH$4,TF_Dato,$A954))*2,0)/2)))</f>
        <v/>
      </c>
      <c r="BI954">
        <f>IF(OR(BI$4="",$A954&gt;TODAY()),0,IF(OR(INDEX($B954:$D954,BI$5)="F",AND(BI$6&gt;0,$A954&lt;BI$6),AND(BI$7&gt;0,$A954&gt;BI$7)),0,MAX(0,ROUND((INDEX($E954:$G954,BI$5)-SUMIFS(TF_Timer,TF_Tekniker,BI$4,TF_Dato,$A954))*2,0)/2)))</f>
        <v/>
      </c>
    </row>
    <row r="955">
      <c r="A955" s="64">
        <f>A954+1</f>
        <v/>
      </c>
      <c r="B955">
        <f>IF(MOD($A955-INDEX(SkiftStart,1),Syklus)&lt;DagK,"K",IF(MOD($A955-INDEX(SkiftStart,1),Syklus)&lt;DagK+DagH,"H",IF(MOD($A955-INDEX(SkiftStart,1),Syklus)&lt;DagK+DagH+DagD,"D","F")))</f>
        <v/>
      </c>
      <c r="C955">
        <f>IF(MOD($A955-INDEX(SkiftStart,2),Syklus)&lt;DagK,"K",IF(MOD($A955-INDEX(SkiftStart,2),Syklus)&lt;DagK+DagH,"H",IF(MOD($A955-INDEX(SkiftStart,2),Syklus)&lt;DagK+DagH+DagD,"D","F")))</f>
        <v/>
      </c>
      <c r="D955">
        <f>IF(MOD($A955-INDEX(SkiftStart,3),Syklus)&lt;DagK,"K",IF(MOD($A955-INDEX(SkiftStart,3),Syklus)&lt;DagK+DagH,"H",IF(MOD($A955-INDEX(SkiftStart,3),Syklus)&lt;DagK+DagH+DagD,"D","F")))</f>
        <v/>
      </c>
      <c r="E955">
        <f>IF(B955="F",0,IF(WEEKDAY($A955,2)=5,INDEX(TimerFr,MATCH(B955,FaseKode,0)),INDEX(TimerMT,MATCH(B955,FaseKode,0))))</f>
        <v/>
      </c>
      <c r="F955">
        <f>IF(C955="F",0,IF(WEEKDAY($A955,2)=5,INDEX(TimerFr,MATCH(C955,FaseKode,0)),INDEX(TimerMT,MATCH(C955,FaseKode,0))))</f>
        <v/>
      </c>
      <c r="G955">
        <f>IF(D955="F",0,IF(WEEKDAY($A955,2)=5,INDEX(TimerFr,MATCH(D955,FaseKode,0)),INDEX(TimerMT,MATCH(D955,FaseKode,0))))</f>
        <v/>
      </c>
      <c r="H955">
        <f>IF(OR(H$4="",$A955&gt;TODAY()),0,IF(OR(INDEX($B955:$D955,H$5)="F",AND(H$6&gt;0,$A955&lt;H$6),AND(H$7&gt;0,$A955&gt;H$7)),0,MAX(0,ROUND((INDEX($E955:$G955,H$5)-SUMIFS(TF_Timer,TF_Tekniker,H$4,TF_Dato,$A955))*2,0)/2)))</f>
        <v/>
      </c>
      <c r="I955">
        <f>IF(OR(I$4="",$A955&gt;TODAY()),0,IF(OR(INDEX($B955:$D955,I$5)="F",AND(I$6&gt;0,$A955&lt;I$6),AND(I$7&gt;0,$A955&gt;I$7)),0,MAX(0,ROUND((INDEX($E955:$G955,I$5)-SUMIFS(TF_Timer,TF_Tekniker,I$4,TF_Dato,$A955))*2,0)/2)))</f>
        <v/>
      </c>
      <c r="J955">
        <f>IF(OR(J$4="",$A955&gt;TODAY()),0,IF(OR(INDEX($B955:$D955,J$5)="F",AND(J$6&gt;0,$A955&lt;J$6),AND(J$7&gt;0,$A955&gt;J$7)),0,MAX(0,ROUND((INDEX($E955:$G955,J$5)-SUMIFS(TF_Timer,TF_Tekniker,J$4,TF_Dato,$A955))*2,0)/2)))</f>
        <v/>
      </c>
      <c r="K955">
        <f>IF(OR(K$4="",$A955&gt;TODAY()),0,IF(OR(INDEX($B955:$D955,K$5)="F",AND(K$6&gt;0,$A955&lt;K$6),AND(K$7&gt;0,$A955&gt;K$7)),0,MAX(0,ROUND((INDEX($E955:$G955,K$5)-SUMIFS(TF_Timer,TF_Tekniker,K$4,TF_Dato,$A955))*2,0)/2)))</f>
        <v/>
      </c>
      <c r="L955">
        <f>IF(OR(L$4="",$A955&gt;TODAY()),0,IF(OR(INDEX($B955:$D955,L$5)="F",AND(L$6&gt;0,$A955&lt;L$6),AND(L$7&gt;0,$A955&gt;L$7)),0,MAX(0,ROUND((INDEX($E955:$G955,L$5)-SUMIFS(TF_Timer,TF_Tekniker,L$4,TF_Dato,$A955))*2,0)/2)))</f>
        <v/>
      </c>
      <c r="M955">
        <f>IF(OR(M$4="",$A955&gt;TODAY()),0,IF(OR(INDEX($B955:$D955,M$5)="F",AND(M$6&gt;0,$A955&lt;M$6),AND(M$7&gt;0,$A955&gt;M$7)),0,MAX(0,ROUND((INDEX($E955:$G955,M$5)-SUMIFS(TF_Timer,TF_Tekniker,M$4,TF_Dato,$A955))*2,0)/2)))</f>
        <v/>
      </c>
      <c r="N955">
        <f>IF(OR(N$4="",$A955&gt;TODAY()),0,IF(OR(INDEX($B955:$D955,N$5)="F",AND(N$6&gt;0,$A955&lt;N$6),AND(N$7&gt;0,$A955&gt;N$7)),0,MAX(0,ROUND((INDEX($E955:$G955,N$5)-SUMIFS(TF_Timer,TF_Tekniker,N$4,TF_Dato,$A955))*2,0)/2)))</f>
        <v/>
      </c>
      <c r="O955">
        <f>IF(OR(O$4="",$A955&gt;TODAY()),0,IF(OR(INDEX($B955:$D955,O$5)="F",AND(O$6&gt;0,$A955&lt;O$6),AND(O$7&gt;0,$A955&gt;O$7)),0,MAX(0,ROUND((INDEX($E955:$G955,O$5)-SUMIFS(TF_Timer,TF_Tekniker,O$4,TF_Dato,$A955))*2,0)/2)))</f>
        <v/>
      </c>
      <c r="P955">
        <f>IF(OR(P$4="",$A955&gt;TODAY()),0,IF(OR(INDEX($B955:$D955,P$5)="F",AND(P$6&gt;0,$A955&lt;P$6),AND(P$7&gt;0,$A955&gt;P$7)),0,MAX(0,ROUND((INDEX($E955:$G955,P$5)-SUMIFS(TF_Timer,TF_Tekniker,P$4,TF_Dato,$A955))*2,0)/2)))</f>
        <v/>
      </c>
      <c r="Q955">
        <f>IF(OR(Q$4="",$A955&gt;TODAY()),0,IF(OR(INDEX($B955:$D955,Q$5)="F",AND(Q$6&gt;0,$A955&lt;Q$6),AND(Q$7&gt;0,$A955&gt;Q$7)),0,MAX(0,ROUND((INDEX($E955:$G955,Q$5)-SUMIFS(TF_Timer,TF_Tekniker,Q$4,TF_Dato,$A955))*2,0)/2)))</f>
        <v/>
      </c>
      <c r="R955">
        <f>IF(OR(R$4="",$A955&gt;TODAY()),0,IF(OR(INDEX($B955:$D955,R$5)="F",AND(R$6&gt;0,$A955&lt;R$6),AND(R$7&gt;0,$A955&gt;R$7)),0,MAX(0,ROUND((INDEX($E955:$G955,R$5)-SUMIFS(TF_Timer,TF_Tekniker,R$4,TF_Dato,$A955))*2,0)/2)))</f>
        <v/>
      </c>
      <c r="S955">
        <f>IF(OR(S$4="",$A955&gt;TODAY()),0,IF(OR(INDEX($B955:$D955,S$5)="F",AND(S$6&gt;0,$A955&lt;S$6),AND(S$7&gt;0,$A955&gt;S$7)),0,MAX(0,ROUND((INDEX($E955:$G955,S$5)-SUMIFS(TF_Timer,TF_Tekniker,S$4,TF_Dato,$A955))*2,0)/2)))</f>
        <v/>
      </c>
      <c r="T955">
        <f>IF(OR(T$4="",$A955&gt;TODAY()),0,IF(OR(INDEX($B955:$D955,T$5)="F",AND(T$6&gt;0,$A955&lt;T$6),AND(T$7&gt;0,$A955&gt;T$7)),0,MAX(0,ROUND((INDEX($E955:$G955,T$5)-SUMIFS(TF_Timer,TF_Tekniker,T$4,TF_Dato,$A955))*2,0)/2)))</f>
        <v/>
      </c>
      <c r="U955">
        <f>IF(OR(U$4="",$A955&gt;TODAY()),0,IF(OR(INDEX($B955:$D955,U$5)="F",AND(U$6&gt;0,$A955&lt;U$6),AND(U$7&gt;0,$A955&gt;U$7)),0,MAX(0,ROUND((INDEX($E955:$G955,U$5)-SUMIFS(TF_Timer,TF_Tekniker,U$4,TF_Dato,$A955))*2,0)/2)))</f>
        <v/>
      </c>
      <c r="V955">
        <f>IF(OR(V$4="",$A955&gt;TODAY()),0,IF(OR(INDEX($B955:$D955,V$5)="F",AND(V$6&gt;0,$A955&lt;V$6),AND(V$7&gt;0,$A955&gt;V$7)),0,MAX(0,ROUND((INDEX($E955:$G955,V$5)-SUMIFS(TF_Timer,TF_Tekniker,V$4,TF_Dato,$A955))*2,0)/2)))</f>
        <v/>
      </c>
      <c r="W955">
        <f>IF(OR(W$4="",$A955&gt;TODAY()),0,IF(OR(INDEX($B955:$D955,W$5)="F",AND(W$6&gt;0,$A955&lt;W$6),AND(W$7&gt;0,$A955&gt;W$7)),0,MAX(0,ROUND((INDEX($E955:$G955,W$5)-SUMIFS(TF_Timer,TF_Tekniker,W$4,TF_Dato,$A955))*2,0)/2)))</f>
        <v/>
      </c>
      <c r="X955">
        <f>IF(OR(X$4="",$A955&gt;TODAY()),0,IF(OR(INDEX($B955:$D955,X$5)="F",AND(X$6&gt;0,$A955&lt;X$6),AND(X$7&gt;0,$A955&gt;X$7)),0,MAX(0,ROUND((INDEX($E955:$G955,X$5)-SUMIFS(TF_Timer,TF_Tekniker,X$4,TF_Dato,$A955))*2,0)/2)))</f>
        <v/>
      </c>
      <c r="Y955">
        <f>IF(OR(Y$4="",$A955&gt;TODAY()),0,IF(OR(INDEX($B955:$D955,Y$5)="F",AND(Y$6&gt;0,$A955&lt;Y$6),AND(Y$7&gt;0,$A955&gt;Y$7)),0,MAX(0,ROUND((INDEX($E955:$G955,Y$5)-SUMIFS(TF_Timer,TF_Tekniker,Y$4,TF_Dato,$A955))*2,0)/2)))</f>
        <v/>
      </c>
      <c r="Z955">
        <f>IF(OR(Z$4="",$A955&gt;TODAY()),0,IF(OR(INDEX($B955:$D955,Z$5)="F",AND(Z$6&gt;0,$A955&lt;Z$6),AND(Z$7&gt;0,$A955&gt;Z$7)),0,MAX(0,ROUND((INDEX($E955:$G955,Z$5)-SUMIFS(TF_Timer,TF_Tekniker,Z$4,TF_Dato,$A955))*2,0)/2)))</f>
        <v/>
      </c>
      <c r="AA955">
        <f>IF(OR(AA$4="",$A955&gt;TODAY()),0,IF(OR(INDEX($B955:$D955,AA$5)="F",AND(AA$6&gt;0,$A955&lt;AA$6),AND(AA$7&gt;0,$A955&gt;AA$7)),0,MAX(0,ROUND((INDEX($E955:$G955,AA$5)-SUMIFS(TF_Timer,TF_Tekniker,AA$4,TF_Dato,$A955))*2,0)/2)))</f>
        <v/>
      </c>
      <c r="AB955">
        <f>IF(OR(AB$4="",$A955&gt;TODAY()),0,IF(OR(INDEX($B955:$D955,AB$5)="F",AND(AB$6&gt;0,$A955&lt;AB$6),AND(AB$7&gt;0,$A955&gt;AB$7)),0,MAX(0,ROUND((INDEX($E955:$G955,AB$5)-SUMIFS(TF_Timer,TF_Tekniker,AB$4,TF_Dato,$A955))*2,0)/2)))</f>
        <v/>
      </c>
      <c r="AC955">
        <f>IF(OR(AC$4="",$A955&gt;TODAY()),0,IF(OR(INDEX($B955:$D955,AC$5)="F",AND(AC$6&gt;0,$A955&lt;AC$6),AND(AC$7&gt;0,$A955&gt;AC$7)),0,MAX(0,ROUND((INDEX($E955:$G955,AC$5)-SUMIFS(TF_Timer,TF_Tekniker,AC$4,TF_Dato,$A955))*2,0)/2)))</f>
        <v/>
      </c>
      <c r="AD955">
        <f>IF(OR(AD$4="",$A955&gt;TODAY()),0,IF(OR(INDEX($B955:$D955,AD$5)="F",AND(AD$6&gt;0,$A955&lt;AD$6),AND(AD$7&gt;0,$A955&gt;AD$7)),0,MAX(0,ROUND((INDEX($E955:$G955,AD$5)-SUMIFS(TF_Timer,TF_Tekniker,AD$4,TF_Dato,$A955))*2,0)/2)))</f>
        <v/>
      </c>
      <c r="AE955">
        <f>IF(OR(AE$4="",$A955&gt;TODAY()),0,IF(OR(INDEX($B955:$D955,AE$5)="F",AND(AE$6&gt;0,$A955&lt;AE$6),AND(AE$7&gt;0,$A955&gt;AE$7)),0,MAX(0,ROUND((INDEX($E955:$G955,AE$5)-SUMIFS(TF_Timer,TF_Tekniker,AE$4,TF_Dato,$A955))*2,0)/2)))</f>
        <v/>
      </c>
      <c r="AF955">
        <f>IF(OR(AF$4="",$A955&gt;TODAY()),0,IF(OR(INDEX($B955:$D955,AF$5)="F",AND(AF$6&gt;0,$A955&lt;AF$6),AND(AF$7&gt;0,$A955&gt;AF$7)),0,MAX(0,ROUND((INDEX($E955:$G955,AF$5)-SUMIFS(TF_Timer,TF_Tekniker,AF$4,TF_Dato,$A955))*2,0)/2)))</f>
        <v/>
      </c>
      <c r="AG955">
        <f>IF(OR(AG$4="",$A955&gt;TODAY()),0,IF(OR(INDEX($B955:$D955,AG$5)="F",AND(AG$6&gt;0,$A955&lt;AG$6),AND(AG$7&gt;0,$A955&gt;AG$7)),0,MAX(0,ROUND((INDEX($E955:$G955,AG$5)-SUMIFS(TF_Timer,TF_Tekniker,AG$4,TF_Dato,$A955))*2,0)/2)))</f>
        <v/>
      </c>
      <c r="AH955">
        <f>IF(OR(AH$4="",$A955&gt;TODAY()),0,IF(OR(INDEX($B955:$D955,AH$5)="F",AND(AH$6&gt;0,$A955&lt;AH$6),AND(AH$7&gt;0,$A955&gt;AH$7)),0,MAX(0,ROUND((INDEX($E955:$G955,AH$5)-SUMIFS(TF_Timer,TF_Tekniker,AH$4,TF_Dato,$A955))*2,0)/2)))</f>
        <v/>
      </c>
      <c r="AI955">
        <f>IF(OR(AI$4="",$A955&gt;TODAY()),0,IF(OR(INDEX($B955:$D955,AI$5)="F",AND(AI$6&gt;0,$A955&lt;AI$6),AND(AI$7&gt;0,$A955&gt;AI$7)),0,MAX(0,ROUND((INDEX($E955:$G955,AI$5)-SUMIFS(TF_Timer,TF_Tekniker,AI$4,TF_Dato,$A955))*2,0)/2)))</f>
        <v/>
      </c>
      <c r="AJ955">
        <f>IF(OR(AJ$4="",$A955&gt;TODAY()),0,IF(OR(INDEX($B955:$D955,AJ$5)="F",AND(AJ$6&gt;0,$A955&lt;AJ$6),AND(AJ$7&gt;0,$A955&gt;AJ$7)),0,MAX(0,ROUND((INDEX($E955:$G955,AJ$5)-SUMIFS(TF_Timer,TF_Tekniker,AJ$4,TF_Dato,$A955))*2,0)/2)))</f>
        <v/>
      </c>
      <c r="AK955">
        <f>IF(OR(AK$4="",$A955&gt;TODAY()),0,IF(OR(INDEX($B955:$D955,AK$5)="F",AND(AK$6&gt;0,$A955&lt;AK$6),AND(AK$7&gt;0,$A955&gt;AK$7)),0,MAX(0,ROUND((INDEX($E955:$G955,AK$5)-SUMIFS(TF_Timer,TF_Tekniker,AK$4,TF_Dato,$A955))*2,0)/2)))</f>
        <v/>
      </c>
      <c r="AL955">
        <f>IF(OR(AL$4="",$A955&gt;TODAY()),0,IF(OR(INDEX($B955:$D955,AL$5)="F",AND(AL$6&gt;0,$A955&lt;AL$6),AND(AL$7&gt;0,$A955&gt;AL$7)),0,MAX(0,ROUND((INDEX($E955:$G955,AL$5)-SUMIFS(TF_Timer,TF_Tekniker,AL$4,TF_Dato,$A955))*2,0)/2)))</f>
        <v/>
      </c>
      <c r="AM955">
        <f>IF(OR(AM$4="",$A955&gt;TODAY()),0,IF(OR(INDEX($B955:$D955,AM$5)="F",AND(AM$6&gt;0,$A955&lt;AM$6),AND(AM$7&gt;0,$A955&gt;AM$7)),0,MAX(0,ROUND((INDEX($E955:$G955,AM$5)-SUMIFS(TF_Timer,TF_Tekniker,AM$4,TF_Dato,$A955))*2,0)/2)))</f>
        <v/>
      </c>
      <c r="AN955">
        <f>IF(OR(AN$4="",$A955&gt;TODAY()),0,IF(OR(INDEX($B955:$D955,AN$5)="F",AND(AN$6&gt;0,$A955&lt;AN$6),AND(AN$7&gt;0,$A955&gt;AN$7)),0,MAX(0,ROUND((INDEX($E955:$G955,AN$5)-SUMIFS(TF_Timer,TF_Tekniker,AN$4,TF_Dato,$A955))*2,0)/2)))</f>
        <v/>
      </c>
      <c r="AO955">
        <f>IF(OR(AO$4="",$A955&gt;TODAY()),0,IF(OR(INDEX($B955:$D955,AO$5)="F",AND(AO$6&gt;0,$A955&lt;AO$6),AND(AO$7&gt;0,$A955&gt;AO$7)),0,MAX(0,ROUND((INDEX($E955:$G955,AO$5)-SUMIFS(TF_Timer,TF_Tekniker,AO$4,TF_Dato,$A955))*2,0)/2)))</f>
        <v/>
      </c>
      <c r="AP955">
        <f>IF(OR(AP$4="",$A955&gt;TODAY()),0,IF(OR(INDEX($B955:$D955,AP$5)="F",AND(AP$6&gt;0,$A955&lt;AP$6),AND(AP$7&gt;0,$A955&gt;AP$7)),0,MAX(0,ROUND((INDEX($E955:$G955,AP$5)-SUMIFS(TF_Timer,TF_Tekniker,AP$4,TF_Dato,$A955))*2,0)/2)))</f>
        <v/>
      </c>
      <c r="AQ955">
        <f>IF(OR(AQ$4="",$A955&gt;TODAY()),0,IF(OR(INDEX($B955:$D955,AQ$5)="F",AND(AQ$6&gt;0,$A955&lt;AQ$6),AND(AQ$7&gt;0,$A955&gt;AQ$7)),0,MAX(0,ROUND((INDEX($E955:$G955,AQ$5)-SUMIFS(TF_Timer,TF_Tekniker,AQ$4,TF_Dato,$A955))*2,0)/2)))</f>
        <v/>
      </c>
      <c r="AR955">
        <f>IF(OR(AR$4="",$A955&gt;TODAY()),0,IF(OR(INDEX($B955:$D955,AR$5)="F",AND(AR$6&gt;0,$A955&lt;AR$6),AND(AR$7&gt;0,$A955&gt;AR$7)),0,MAX(0,ROUND((INDEX($E955:$G955,AR$5)-SUMIFS(TF_Timer,TF_Tekniker,AR$4,TF_Dato,$A955))*2,0)/2)))</f>
        <v/>
      </c>
      <c r="AS955">
        <f>IF(OR(AS$4="",$A955&gt;TODAY()),0,IF(OR(INDEX($B955:$D955,AS$5)="F",AND(AS$6&gt;0,$A955&lt;AS$6),AND(AS$7&gt;0,$A955&gt;AS$7)),0,MAX(0,ROUND((INDEX($E955:$G955,AS$5)-SUMIFS(TF_Timer,TF_Tekniker,AS$4,TF_Dato,$A955))*2,0)/2)))</f>
        <v/>
      </c>
      <c r="AT955">
        <f>IF(OR(AT$4="",$A955&gt;TODAY()),0,IF(OR(INDEX($B955:$D955,AT$5)="F",AND(AT$6&gt;0,$A955&lt;AT$6),AND(AT$7&gt;0,$A955&gt;AT$7)),0,MAX(0,ROUND((INDEX($E955:$G955,AT$5)-SUMIFS(TF_Timer,TF_Tekniker,AT$4,TF_Dato,$A955))*2,0)/2)))</f>
        <v/>
      </c>
      <c r="AU955">
        <f>IF(OR(AU$4="",$A955&gt;TODAY()),0,IF(OR(INDEX($B955:$D955,AU$5)="F",AND(AU$6&gt;0,$A955&lt;AU$6),AND(AU$7&gt;0,$A955&gt;AU$7)),0,MAX(0,ROUND((INDEX($E955:$G955,AU$5)-SUMIFS(TF_Timer,TF_Tekniker,AU$4,TF_Dato,$A955))*2,0)/2)))</f>
        <v/>
      </c>
      <c r="AV955">
        <f>IF(OR(AV$4="",$A955&gt;TODAY()),0,IF(OR(INDEX($B955:$D955,AV$5)="F",AND(AV$6&gt;0,$A955&lt;AV$6),AND(AV$7&gt;0,$A955&gt;AV$7)),0,MAX(0,ROUND((INDEX($E955:$G955,AV$5)-SUMIFS(TF_Timer,TF_Tekniker,AV$4,TF_Dato,$A955))*2,0)/2)))</f>
        <v/>
      </c>
      <c r="AW955">
        <f>IF(OR(AW$4="",$A955&gt;TODAY()),0,IF(OR(INDEX($B955:$D955,AW$5)="F",AND(AW$6&gt;0,$A955&lt;AW$6),AND(AW$7&gt;0,$A955&gt;AW$7)),0,MAX(0,ROUND((INDEX($E955:$G955,AW$5)-SUMIFS(TF_Timer,TF_Tekniker,AW$4,TF_Dato,$A955))*2,0)/2)))</f>
        <v/>
      </c>
      <c r="AX955">
        <f>IF(OR(AX$4="",$A955&gt;TODAY()),0,IF(OR(INDEX($B955:$D955,AX$5)="F",AND(AX$6&gt;0,$A955&lt;AX$6),AND(AX$7&gt;0,$A955&gt;AX$7)),0,MAX(0,ROUND((INDEX($E955:$G955,AX$5)-SUMIFS(TF_Timer,TF_Tekniker,AX$4,TF_Dato,$A955))*2,0)/2)))</f>
        <v/>
      </c>
      <c r="AY955">
        <f>IF(OR(AY$4="",$A955&gt;TODAY()),0,IF(OR(INDEX($B955:$D955,AY$5)="F",AND(AY$6&gt;0,$A955&lt;AY$6),AND(AY$7&gt;0,$A955&gt;AY$7)),0,MAX(0,ROUND((INDEX($E955:$G955,AY$5)-SUMIFS(TF_Timer,TF_Tekniker,AY$4,TF_Dato,$A955))*2,0)/2)))</f>
        <v/>
      </c>
      <c r="AZ955">
        <f>IF(OR(AZ$4="",$A955&gt;TODAY()),0,IF(OR(INDEX($B955:$D955,AZ$5)="F",AND(AZ$6&gt;0,$A955&lt;AZ$6),AND(AZ$7&gt;0,$A955&gt;AZ$7)),0,MAX(0,ROUND((INDEX($E955:$G955,AZ$5)-SUMIFS(TF_Timer,TF_Tekniker,AZ$4,TF_Dato,$A955))*2,0)/2)))</f>
        <v/>
      </c>
      <c r="BA955">
        <f>IF(OR(BA$4="",$A955&gt;TODAY()),0,IF(OR(INDEX($B955:$D955,BA$5)="F",AND(BA$6&gt;0,$A955&lt;BA$6),AND(BA$7&gt;0,$A955&gt;BA$7)),0,MAX(0,ROUND((INDEX($E955:$G955,BA$5)-SUMIFS(TF_Timer,TF_Tekniker,BA$4,TF_Dato,$A955))*2,0)/2)))</f>
        <v/>
      </c>
      <c r="BB955">
        <f>IF(OR(BB$4="",$A955&gt;TODAY()),0,IF(OR(INDEX($B955:$D955,BB$5)="F",AND(BB$6&gt;0,$A955&lt;BB$6),AND(BB$7&gt;0,$A955&gt;BB$7)),0,MAX(0,ROUND((INDEX($E955:$G955,BB$5)-SUMIFS(TF_Timer,TF_Tekniker,BB$4,TF_Dato,$A955))*2,0)/2)))</f>
        <v/>
      </c>
      <c r="BC955">
        <f>IF(OR(BC$4="",$A955&gt;TODAY()),0,IF(OR(INDEX($B955:$D955,BC$5)="F",AND(BC$6&gt;0,$A955&lt;BC$6),AND(BC$7&gt;0,$A955&gt;BC$7)),0,MAX(0,ROUND((INDEX($E955:$G955,BC$5)-SUMIFS(TF_Timer,TF_Tekniker,BC$4,TF_Dato,$A955))*2,0)/2)))</f>
        <v/>
      </c>
      <c r="BD955">
        <f>IF(OR(BD$4="",$A955&gt;TODAY()),0,IF(OR(INDEX($B955:$D955,BD$5)="F",AND(BD$6&gt;0,$A955&lt;BD$6),AND(BD$7&gt;0,$A955&gt;BD$7)),0,MAX(0,ROUND((INDEX($E955:$G955,BD$5)-SUMIFS(TF_Timer,TF_Tekniker,BD$4,TF_Dato,$A955))*2,0)/2)))</f>
        <v/>
      </c>
      <c r="BE955">
        <f>IF(OR(BE$4="",$A955&gt;TODAY()),0,IF(OR(INDEX($B955:$D955,BE$5)="F",AND(BE$6&gt;0,$A955&lt;BE$6),AND(BE$7&gt;0,$A955&gt;BE$7)),0,MAX(0,ROUND((INDEX($E955:$G955,BE$5)-SUMIFS(TF_Timer,TF_Tekniker,BE$4,TF_Dato,$A955))*2,0)/2)))</f>
        <v/>
      </c>
      <c r="BF955">
        <f>IF(OR(BF$4="",$A955&gt;TODAY()),0,IF(OR(INDEX($B955:$D955,BF$5)="F",AND(BF$6&gt;0,$A955&lt;BF$6),AND(BF$7&gt;0,$A955&gt;BF$7)),0,MAX(0,ROUND((INDEX($E955:$G955,BF$5)-SUMIFS(TF_Timer,TF_Tekniker,BF$4,TF_Dato,$A955))*2,0)/2)))</f>
        <v/>
      </c>
      <c r="BG955">
        <f>IF(OR(BG$4="",$A955&gt;TODAY()),0,IF(OR(INDEX($B955:$D955,BG$5)="F",AND(BG$6&gt;0,$A955&lt;BG$6),AND(BG$7&gt;0,$A955&gt;BG$7)),0,MAX(0,ROUND((INDEX($E955:$G955,BG$5)-SUMIFS(TF_Timer,TF_Tekniker,BG$4,TF_Dato,$A955))*2,0)/2)))</f>
        <v/>
      </c>
      <c r="BH955">
        <f>IF(OR(BH$4="",$A955&gt;TODAY()),0,IF(OR(INDEX($B955:$D955,BH$5)="F",AND(BH$6&gt;0,$A955&lt;BH$6),AND(BH$7&gt;0,$A955&gt;BH$7)),0,MAX(0,ROUND((INDEX($E955:$G955,BH$5)-SUMIFS(TF_Timer,TF_Tekniker,BH$4,TF_Dato,$A955))*2,0)/2)))</f>
        <v/>
      </c>
      <c r="BI955">
        <f>IF(OR(BI$4="",$A955&gt;TODAY()),0,IF(OR(INDEX($B955:$D955,BI$5)="F",AND(BI$6&gt;0,$A955&lt;BI$6),AND(BI$7&gt;0,$A955&gt;BI$7)),0,MAX(0,ROUND((INDEX($E955:$G955,BI$5)-SUMIFS(TF_Timer,TF_Tekniker,BI$4,TF_Dato,$A955))*2,0)/2)))</f>
        <v/>
      </c>
    </row>
    <row r="956">
      <c r="A956" s="64">
        <f>A955+1</f>
        <v/>
      </c>
      <c r="B956">
        <f>IF(MOD($A956-INDEX(SkiftStart,1),Syklus)&lt;DagK,"K",IF(MOD($A956-INDEX(SkiftStart,1),Syklus)&lt;DagK+DagH,"H",IF(MOD($A956-INDEX(SkiftStart,1),Syklus)&lt;DagK+DagH+DagD,"D","F")))</f>
        <v/>
      </c>
      <c r="C956">
        <f>IF(MOD($A956-INDEX(SkiftStart,2),Syklus)&lt;DagK,"K",IF(MOD($A956-INDEX(SkiftStart,2),Syklus)&lt;DagK+DagH,"H",IF(MOD($A956-INDEX(SkiftStart,2),Syklus)&lt;DagK+DagH+DagD,"D","F")))</f>
        <v/>
      </c>
      <c r="D956">
        <f>IF(MOD($A956-INDEX(SkiftStart,3),Syklus)&lt;DagK,"K",IF(MOD($A956-INDEX(SkiftStart,3),Syklus)&lt;DagK+DagH,"H",IF(MOD($A956-INDEX(SkiftStart,3),Syklus)&lt;DagK+DagH+DagD,"D","F")))</f>
        <v/>
      </c>
      <c r="E956">
        <f>IF(B956="F",0,IF(WEEKDAY($A956,2)=5,INDEX(TimerFr,MATCH(B956,FaseKode,0)),INDEX(TimerMT,MATCH(B956,FaseKode,0))))</f>
        <v/>
      </c>
      <c r="F956">
        <f>IF(C956="F",0,IF(WEEKDAY($A956,2)=5,INDEX(TimerFr,MATCH(C956,FaseKode,0)),INDEX(TimerMT,MATCH(C956,FaseKode,0))))</f>
        <v/>
      </c>
      <c r="G956">
        <f>IF(D956="F",0,IF(WEEKDAY($A956,2)=5,INDEX(TimerFr,MATCH(D956,FaseKode,0)),INDEX(TimerMT,MATCH(D956,FaseKode,0))))</f>
        <v/>
      </c>
      <c r="H956">
        <f>IF(OR(H$4="",$A956&gt;TODAY()),0,IF(OR(INDEX($B956:$D956,H$5)="F",AND(H$6&gt;0,$A956&lt;H$6),AND(H$7&gt;0,$A956&gt;H$7)),0,MAX(0,ROUND((INDEX($E956:$G956,H$5)-SUMIFS(TF_Timer,TF_Tekniker,H$4,TF_Dato,$A956))*2,0)/2)))</f>
        <v/>
      </c>
      <c r="I956">
        <f>IF(OR(I$4="",$A956&gt;TODAY()),0,IF(OR(INDEX($B956:$D956,I$5)="F",AND(I$6&gt;0,$A956&lt;I$6),AND(I$7&gt;0,$A956&gt;I$7)),0,MAX(0,ROUND((INDEX($E956:$G956,I$5)-SUMIFS(TF_Timer,TF_Tekniker,I$4,TF_Dato,$A956))*2,0)/2)))</f>
        <v/>
      </c>
      <c r="J956">
        <f>IF(OR(J$4="",$A956&gt;TODAY()),0,IF(OR(INDEX($B956:$D956,J$5)="F",AND(J$6&gt;0,$A956&lt;J$6),AND(J$7&gt;0,$A956&gt;J$7)),0,MAX(0,ROUND((INDEX($E956:$G956,J$5)-SUMIFS(TF_Timer,TF_Tekniker,J$4,TF_Dato,$A956))*2,0)/2)))</f>
        <v/>
      </c>
      <c r="K956">
        <f>IF(OR(K$4="",$A956&gt;TODAY()),0,IF(OR(INDEX($B956:$D956,K$5)="F",AND(K$6&gt;0,$A956&lt;K$6),AND(K$7&gt;0,$A956&gt;K$7)),0,MAX(0,ROUND((INDEX($E956:$G956,K$5)-SUMIFS(TF_Timer,TF_Tekniker,K$4,TF_Dato,$A956))*2,0)/2)))</f>
        <v/>
      </c>
      <c r="L956">
        <f>IF(OR(L$4="",$A956&gt;TODAY()),0,IF(OR(INDEX($B956:$D956,L$5)="F",AND(L$6&gt;0,$A956&lt;L$6),AND(L$7&gt;0,$A956&gt;L$7)),0,MAX(0,ROUND((INDEX($E956:$G956,L$5)-SUMIFS(TF_Timer,TF_Tekniker,L$4,TF_Dato,$A956))*2,0)/2)))</f>
        <v/>
      </c>
      <c r="M956">
        <f>IF(OR(M$4="",$A956&gt;TODAY()),0,IF(OR(INDEX($B956:$D956,M$5)="F",AND(M$6&gt;0,$A956&lt;M$6),AND(M$7&gt;0,$A956&gt;M$7)),0,MAX(0,ROUND((INDEX($E956:$G956,M$5)-SUMIFS(TF_Timer,TF_Tekniker,M$4,TF_Dato,$A956))*2,0)/2)))</f>
        <v/>
      </c>
      <c r="N956">
        <f>IF(OR(N$4="",$A956&gt;TODAY()),0,IF(OR(INDEX($B956:$D956,N$5)="F",AND(N$6&gt;0,$A956&lt;N$6),AND(N$7&gt;0,$A956&gt;N$7)),0,MAX(0,ROUND((INDEX($E956:$G956,N$5)-SUMIFS(TF_Timer,TF_Tekniker,N$4,TF_Dato,$A956))*2,0)/2)))</f>
        <v/>
      </c>
      <c r="O956">
        <f>IF(OR(O$4="",$A956&gt;TODAY()),0,IF(OR(INDEX($B956:$D956,O$5)="F",AND(O$6&gt;0,$A956&lt;O$6),AND(O$7&gt;0,$A956&gt;O$7)),0,MAX(0,ROUND((INDEX($E956:$G956,O$5)-SUMIFS(TF_Timer,TF_Tekniker,O$4,TF_Dato,$A956))*2,0)/2)))</f>
        <v/>
      </c>
      <c r="P956">
        <f>IF(OR(P$4="",$A956&gt;TODAY()),0,IF(OR(INDEX($B956:$D956,P$5)="F",AND(P$6&gt;0,$A956&lt;P$6),AND(P$7&gt;0,$A956&gt;P$7)),0,MAX(0,ROUND((INDEX($E956:$G956,P$5)-SUMIFS(TF_Timer,TF_Tekniker,P$4,TF_Dato,$A956))*2,0)/2)))</f>
        <v/>
      </c>
      <c r="Q956">
        <f>IF(OR(Q$4="",$A956&gt;TODAY()),0,IF(OR(INDEX($B956:$D956,Q$5)="F",AND(Q$6&gt;0,$A956&lt;Q$6),AND(Q$7&gt;0,$A956&gt;Q$7)),0,MAX(0,ROUND((INDEX($E956:$G956,Q$5)-SUMIFS(TF_Timer,TF_Tekniker,Q$4,TF_Dato,$A956))*2,0)/2)))</f>
        <v/>
      </c>
      <c r="R956">
        <f>IF(OR(R$4="",$A956&gt;TODAY()),0,IF(OR(INDEX($B956:$D956,R$5)="F",AND(R$6&gt;0,$A956&lt;R$6),AND(R$7&gt;0,$A956&gt;R$7)),0,MAX(0,ROUND((INDEX($E956:$G956,R$5)-SUMIFS(TF_Timer,TF_Tekniker,R$4,TF_Dato,$A956))*2,0)/2)))</f>
        <v/>
      </c>
      <c r="S956">
        <f>IF(OR(S$4="",$A956&gt;TODAY()),0,IF(OR(INDEX($B956:$D956,S$5)="F",AND(S$6&gt;0,$A956&lt;S$6),AND(S$7&gt;0,$A956&gt;S$7)),0,MAX(0,ROUND((INDEX($E956:$G956,S$5)-SUMIFS(TF_Timer,TF_Tekniker,S$4,TF_Dato,$A956))*2,0)/2)))</f>
        <v/>
      </c>
      <c r="T956">
        <f>IF(OR(T$4="",$A956&gt;TODAY()),0,IF(OR(INDEX($B956:$D956,T$5)="F",AND(T$6&gt;0,$A956&lt;T$6),AND(T$7&gt;0,$A956&gt;T$7)),0,MAX(0,ROUND((INDEX($E956:$G956,T$5)-SUMIFS(TF_Timer,TF_Tekniker,T$4,TF_Dato,$A956))*2,0)/2)))</f>
        <v/>
      </c>
      <c r="U956">
        <f>IF(OR(U$4="",$A956&gt;TODAY()),0,IF(OR(INDEX($B956:$D956,U$5)="F",AND(U$6&gt;0,$A956&lt;U$6),AND(U$7&gt;0,$A956&gt;U$7)),0,MAX(0,ROUND((INDEX($E956:$G956,U$5)-SUMIFS(TF_Timer,TF_Tekniker,U$4,TF_Dato,$A956))*2,0)/2)))</f>
        <v/>
      </c>
      <c r="V956">
        <f>IF(OR(V$4="",$A956&gt;TODAY()),0,IF(OR(INDEX($B956:$D956,V$5)="F",AND(V$6&gt;0,$A956&lt;V$6),AND(V$7&gt;0,$A956&gt;V$7)),0,MAX(0,ROUND((INDEX($E956:$G956,V$5)-SUMIFS(TF_Timer,TF_Tekniker,V$4,TF_Dato,$A956))*2,0)/2)))</f>
        <v/>
      </c>
      <c r="W956">
        <f>IF(OR(W$4="",$A956&gt;TODAY()),0,IF(OR(INDEX($B956:$D956,W$5)="F",AND(W$6&gt;0,$A956&lt;W$6),AND(W$7&gt;0,$A956&gt;W$7)),0,MAX(0,ROUND((INDEX($E956:$G956,W$5)-SUMIFS(TF_Timer,TF_Tekniker,W$4,TF_Dato,$A956))*2,0)/2)))</f>
        <v/>
      </c>
      <c r="X956">
        <f>IF(OR(X$4="",$A956&gt;TODAY()),0,IF(OR(INDEX($B956:$D956,X$5)="F",AND(X$6&gt;0,$A956&lt;X$6),AND(X$7&gt;0,$A956&gt;X$7)),0,MAX(0,ROUND((INDEX($E956:$G956,X$5)-SUMIFS(TF_Timer,TF_Tekniker,X$4,TF_Dato,$A956))*2,0)/2)))</f>
        <v/>
      </c>
      <c r="Y956">
        <f>IF(OR(Y$4="",$A956&gt;TODAY()),0,IF(OR(INDEX($B956:$D956,Y$5)="F",AND(Y$6&gt;0,$A956&lt;Y$6),AND(Y$7&gt;0,$A956&gt;Y$7)),0,MAX(0,ROUND((INDEX($E956:$G956,Y$5)-SUMIFS(TF_Timer,TF_Tekniker,Y$4,TF_Dato,$A956))*2,0)/2)))</f>
        <v/>
      </c>
      <c r="Z956">
        <f>IF(OR(Z$4="",$A956&gt;TODAY()),0,IF(OR(INDEX($B956:$D956,Z$5)="F",AND(Z$6&gt;0,$A956&lt;Z$6),AND(Z$7&gt;0,$A956&gt;Z$7)),0,MAX(0,ROUND((INDEX($E956:$G956,Z$5)-SUMIFS(TF_Timer,TF_Tekniker,Z$4,TF_Dato,$A956))*2,0)/2)))</f>
        <v/>
      </c>
      <c r="AA956">
        <f>IF(OR(AA$4="",$A956&gt;TODAY()),0,IF(OR(INDEX($B956:$D956,AA$5)="F",AND(AA$6&gt;0,$A956&lt;AA$6),AND(AA$7&gt;0,$A956&gt;AA$7)),0,MAX(0,ROUND((INDEX($E956:$G956,AA$5)-SUMIFS(TF_Timer,TF_Tekniker,AA$4,TF_Dato,$A956))*2,0)/2)))</f>
        <v/>
      </c>
      <c r="AB956">
        <f>IF(OR(AB$4="",$A956&gt;TODAY()),0,IF(OR(INDEX($B956:$D956,AB$5)="F",AND(AB$6&gt;0,$A956&lt;AB$6),AND(AB$7&gt;0,$A956&gt;AB$7)),0,MAX(0,ROUND((INDEX($E956:$G956,AB$5)-SUMIFS(TF_Timer,TF_Tekniker,AB$4,TF_Dato,$A956))*2,0)/2)))</f>
        <v/>
      </c>
      <c r="AC956">
        <f>IF(OR(AC$4="",$A956&gt;TODAY()),0,IF(OR(INDEX($B956:$D956,AC$5)="F",AND(AC$6&gt;0,$A956&lt;AC$6),AND(AC$7&gt;0,$A956&gt;AC$7)),0,MAX(0,ROUND((INDEX($E956:$G956,AC$5)-SUMIFS(TF_Timer,TF_Tekniker,AC$4,TF_Dato,$A956))*2,0)/2)))</f>
        <v/>
      </c>
      <c r="AD956">
        <f>IF(OR(AD$4="",$A956&gt;TODAY()),0,IF(OR(INDEX($B956:$D956,AD$5)="F",AND(AD$6&gt;0,$A956&lt;AD$6),AND(AD$7&gt;0,$A956&gt;AD$7)),0,MAX(0,ROUND((INDEX($E956:$G956,AD$5)-SUMIFS(TF_Timer,TF_Tekniker,AD$4,TF_Dato,$A956))*2,0)/2)))</f>
        <v/>
      </c>
      <c r="AE956">
        <f>IF(OR(AE$4="",$A956&gt;TODAY()),0,IF(OR(INDEX($B956:$D956,AE$5)="F",AND(AE$6&gt;0,$A956&lt;AE$6),AND(AE$7&gt;0,$A956&gt;AE$7)),0,MAX(0,ROUND((INDEX($E956:$G956,AE$5)-SUMIFS(TF_Timer,TF_Tekniker,AE$4,TF_Dato,$A956))*2,0)/2)))</f>
        <v/>
      </c>
      <c r="AF956">
        <f>IF(OR(AF$4="",$A956&gt;TODAY()),0,IF(OR(INDEX($B956:$D956,AF$5)="F",AND(AF$6&gt;0,$A956&lt;AF$6),AND(AF$7&gt;0,$A956&gt;AF$7)),0,MAX(0,ROUND((INDEX($E956:$G956,AF$5)-SUMIFS(TF_Timer,TF_Tekniker,AF$4,TF_Dato,$A956))*2,0)/2)))</f>
        <v/>
      </c>
      <c r="AG956">
        <f>IF(OR(AG$4="",$A956&gt;TODAY()),0,IF(OR(INDEX($B956:$D956,AG$5)="F",AND(AG$6&gt;0,$A956&lt;AG$6),AND(AG$7&gt;0,$A956&gt;AG$7)),0,MAX(0,ROUND((INDEX($E956:$G956,AG$5)-SUMIFS(TF_Timer,TF_Tekniker,AG$4,TF_Dato,$A956))*2,0)/2)))</f>
        <v/>
      </c>
      <c r="AH956">
        <f>IF(OR(AH$4="",$A956&gt;TODAY()),0,IF(OR(INDEX($B956:$D956,AH$5)="F",AND(AH$6&gt;0,$A956&lt;AH$6),AND(AH$7&gt;0,$A956&gt;AH$7)),0,MAX(0,ROUND((INDEX($E956:$G956,AH$5)-SUMIFS(TF_Timer,TF_Tekniker,AH$4,TF_Dato,$A956))*2,0)/2)))</f>
        <v/>
      </c>
      <c r="AI956">
        <f>IF(OR(AI$4="",$A956&gt;TODAY()),0,IF(OR(INDEX($B956:$D956,AI$5)="F",AND(AI$6&gt;0,$A956&lt;AI$6),AND(AI$7&gt;0,$A956&gt;AI$7)),0,MAX(0,ROUND((INDEX($E956:$G956,AI$5)-SUMIFS(TF_Timer,TF_Tekniker,AI$4,TF_Dato,$A956))*2,0)/2)))</f>
        <v/>
      </c>
      <c r="AJ956">
        <f>IF(OR(AJ$4="",$A956&gt;TODAY()),0,IF(OR(INDEX($B956:$D956,AJ$5)="F",AND(AJ$6&gt;0,$A956&lt;AJ$6),AND(AJ$7&gt;0,$A956&gt;AJ$7)),0,MAX(0,ROUND((INDEX($E956:$G956,AJ$5)-SUMIFS(TF_Timer,TF_Tekniker,AJ$4,TF_Dato,$A956))*2,0)/2)))</f>
        <v/>
      </c>
      <c r="AK956">
        <f>IF(OR(AK$4="",$A956&gt;TODAY()),0,IF(OR(INDEX($B956:$D956,AK$5)="F",AND(AK$6&gt;0,$A956&lt;AK$6),AND(AK$7&gt;0,$A956&gt;AK$7)),0,MAX(0,ROUND((INDEX($E956:$G956,AK$5)-SUMIFS(TF_Timer,TF_Tekniker,AK$4,TF_Dato,$A956))*2,0)/2)))</f>
        <v/>
      </c>
      <c r="AL956">
        <f>IF(OR(AL$4="",$A956&gt;TODAY()),0,IF(OR(INDEX($B956:$D956,AL$5)="F",AND(AL$6&gt;0,$A956&lt;AL$6),AND(AL$7&gt;0,$A956&gt;AL$7)),0,MAX(0,ROUND((INDEX($E956:$G956,AL$5)-SUMIFS(TF_Timer,TF_Tekniker,AL$4,TF_Dato,$A956))*2,0)/2)))</f>
        <v/>
      </c>
      <c r="AM956">
        <f>IF(OR(AM$4="",$A956&gt;TODAY()),0,IF(OR(INDEX($B956:$D956,AM$5)="F",AND(AM$6&gt;0,$A956&lt;AM$6),AND(AM$7&gt;0,$A956&gt;AM$7)),0,MAX(0,ROUND((INDEX($E956:$G956,AM$5)-SUMIFS(TF_Timer,TF_Tekniker,AM$4,TF_Dato,$A956))*2,0)/2)))</f>
        <v/>
      </c>
      <c r="AN956">
        <f>IF(OR(AN$4="",$A956&gt;TODAY()),0,IF(OR(INDEX($B956:$D956,AN$5)="F",AND(AN$6&gt;0,$A956&lt;AN$6),AND(AN$7&gt;0,$A956&gt;AN$7)),0,MAX(0,ROUND((INDEX($E956:$G956,AN$5)-SUMIFS(TF_Timer,TF_Tekniker,AN$4,TF_Dato,$A956))*2,0)/2)))</f>
        <v/>
      </c>
      <c r="AO956">
        <f>IF(OR(AO$4="",$A956&gt;TODAY()),0,IF(OR(INDEX($B956:$D956,AO$5)="F",AND(AO$6&gt;0,$A956&lt;AO$6),AND(AO$7&gt;0,$A956&gt;AO$7)),0,MAX(0,ROUND((INDEX($E956:$G956,AO$5)-SUMIFS(TF_Timer,TF_Tekniker,AO$4,TF_Dato,$A956))*2,0)/2)))</f>
        <v/>
      </c>
      <c r="AP956">
        <f>IF(OR(AP$4="",$A956&gt;TODAY()),0,IF(OR(INDEX($B956:$D956,AP$5)="F",AND(AP$6&gt;0,$A956&lt;AP$6),AND(AP$7&gt;0,$A956&gt;AP$7)),0,MAX(0,ROUND((INDEX($E956:$G956,AP$5)-SUMIFS(TF_Timer,TF_Tekniker,AP$4,TF_Dato,$A956))*2,0)/2)))</f>
        <v/>
      </c>
      <c r="AQ956">
        <f>IF(OR(AQ$4="",$A956&gt;TODAY()),0,IF(OR(INDEX($B956:$D956,AQ$5)="F",AND(AQ$6&gt;0,$A956&lt;AQ$6),AND(AQ$7&gt;0,$A956&gt;AQ$7)),0,MAX(0,ROUND((INDEX($E956:$G956,AQ$5)-SUMIFS(TF_Timer,TF_Tekniker,AQ$4,TF_Dato,$A956))*2,0)/2)))</f>
        <v/>
      </c>
      <c r="AR956">
        <f>IF(OR(AR$4="",$A956&gt;TODAY()),0,IF(OR(INDEX($B956:$D956,AR$5)="F",AND(AR$6&gt;0,$A956&lt;AR$6),AND(AR$7&gt;0,$A956&gt;AR$7)),0,MAX(0,ROUND((INDEX($E956:$G956,AR$5)-SUMIFS(TF_Timer,TF_Tekniker,AR$4,TF_Dato,$A956))*2,0)/2)))</f>
        <v/>
      </c>
      <c r="AS956">
        <f>IF(OR(AS$4="",$A956&gt;TODAY()),0,IF(OR(INDEX($B956:$D956,AS$5)="F",AND(AS$6&gt;0,$A956&lt;AS$6),AND(AS$7&gt;0,$A956&gt;AS$7)),0,MAX(0,ROUND((INDEX($E956:$G956,AS$5)-SUMIFS(TF_Timer,TF_Tekniker,AS$4,TF_Dato,$A956))*2,0)/2)))</f>
        <v/>
      </c>
      <c r="AT956">
        <f>IF(OR(AT$4="",$A956&gt;TODAY()),0,IF(OR(INDEX($B956:$D956,AT$5)="F",AND(AT$6&gt;0,$A956&lt;AT$6),AND(AT$7&gt;0,$A956&gt;AT$7)),0,MAX(0,ROUND((INDEX($E956:$G956,AT$5)-SUMIFS(TF_Timer,TF_Tekniker,AT$4,TF_Dato,$A956))*2,0)/2)))</f>
        <v/>
      </c>
      <c r="AU956">
        <f>IF(OR(AU$4="",$A956&gt;TODAY()),0,IF(OR(INDEX($B956:$D956,AU$5)="F",AND(AU$6&gt;0,$A956&lt;AU$6),AND(AU$7&gt;0,$A956&gt;AU$7)),0,MAX(0,ROUND((INDEX($E956:$G956,AU$5)-SUMIFS(TF_Timer,TF_Tekniker,AU$4,TF_Dato,$A956))*2,0)/2)))</f>
        <v/>
      </c>
      <c r="AV956">
        <f>IF(OR(AV$4="",$A956&gt;TODAY()),0,IF(OR(INDEX($B956:$D956,AV$5)="F",AND(AV$6&gt;0,$A956&lt;AV$6),AND(AV$7&gt;0,$A956&gt;AV$7)),0,MAX(0,ROUND((INDEX($E956:$G956,AV$5)-SUMIFS(TF_Timer,TF_Tekniker,AV$4,TF_Dato,$A956))*2,0)/2)))</f>
        <v/>
      </c>
      <c r="AW956">
        <f>IF(OR(AW$4="",$A956&gt;TODAY()),0,IF(OR(INDEX($B956:$D956,AW$5)="F",AND(AW$6&gt;0,$A956&lt;AW$6),AND(AW$7&gt;0,$A956&gt;AW$7)),0,MAX(0,ROUND((INDEX($E956:$G956,AW$5)-SUMIFS(TF_Timer,TF_Tekniker,AW$4,TF_Dato,$A956))*2,0)/2)))</f>
        <v/>
      </c>
      <c r="AX956">
        <f>IF(OR(AX$4="",$A956&gt;TODAY()),0,IF(OR(INDEX($B956:$D956,AX$5)="F",AND(AX$6&gt;0,$A956&lt;AX$6),AND(AX$7&gt;0,$A956&gt;AX$7)),0,MAX(0,ROUND((INDEX($E956:$G956,AX$5)-SUMIFS(TF_Timer,TF_Tekniker,AX$4,TF_Dato,$A956))*2,0)/2)))</f>
        <v/>
      </c>
      <c r="AY956">
        <f>IF(OR(AY$4="",$A956&gt;TODAY()),0,IF(OR(INDEX($B956:$D956,AY$5)="F",AND(AY$6&gt;0,$A956&lt;AY$6),AND(AY$7&gt;0,$A956&gt;AY$7)),0,MAX(0,ROUND((INDEX($E956:$G956,AY$5)-SUMIFS(TF_Timer,TF_Tekniker,AY$4,TF_Dato,$A956))*2,0)/2)))</f>
        <v/>
      </c>
      <c r="AZ956">
        <f>IF(OR(AZ$4="",$A956&gt;TODAY()),0,IF(OR(INDEX($B956:$D956,AZ$5)="F",AND(AZ$6&gt;0,$A956&lt;AZ$6),AND(AZ$7&gt;0,$A956&gt;AZ$7)),0,MAX(0,ROUND((INDEX($E956:$G956,AZ$5)-SUMIFS(TF_Timer,TF_Tekniker,AZ$4,TF_Dato,$A956))*2,0)/2)))</f>
        <v/>
      </c>
      <c r="BA956">
        <f>IF(OR(BA$4="",$A956&gt;TODAY()),0,IF(OR(INDEX($B956:$D956,BA$5)="F",AND(BA$6&gt;0,$A956&lt;BA$6),AND(BA$7&gt;0,$A956&gt;BA$7)),0,MAX(0,ROUND((INDEX($E956:$G956,BA$5)-SUMIFS(TF_Timer,TF_Tekniker,BA$4,TF_Dato,$A956))*2,0)/2)))</f>
        <v/>
      </c>
      <c r="BB956">
        <f>IF(OR(BB$4="",$A956&gt;TODAY()),0,IF(OR(INDEX($B956:$D956,BB$5)="F",AND(BB$6&gt;0,$A956&lt;BB$6),AND(BB$7&gt;0,$A956&gt;BB$7)),0,MAX(0,ROUND((INDEX($E956:$G956,BB$5)-SUMIFS(TF_Timer,TF_Tekniker,BB$4,TF_Dato,$A956))*2,0)/2)))</f>
        <v/>
      </c>
      <c r="BC956">
        <f>IF(OR(BC$4="",$A956&gt;TODAY()),0,IF(OR(INDEX($B956:$D956,BC$5)="F",AND(BC$6&gt;0,$A956&lt;BC$6),AND(BC$7&gt;0,$A956&gt;BC$7)),0,MAX(0,ROUND((INDEX($E956:$G956,BC$5)-SUMIFS(TF_Timer,TF_Tekniker,BC$4,TF_Dato,$A956))*2,0)/2)))</f>
        <v/>
      </c>
      <c r="BD956">
        <f>IF(OR(BD$4="",$A956&gt;TODAY()),0,IF(OR(INDEX($B956:$D956,BD$5)="F",AND(BD$6&gt;0,$A956&lt;BD$6),AND(BD$7&gt;0,$A956&gt;BD$7)),0,MAX(0,ROUND((INDEX($E956:$G956,BD$5)-SUMIFS(TF_Timer,TF_Tekniker,BD$4,TF_Dato,$A956))*2,0)/2)))</f>
        <v/>
      </c>
      <c r="BE956">
        <f>IF(OR(BE$4="",$A956&gt;TODAY()),0,IF(OR(INDEX($B956:$D956,BE$5)="F",AND(BE$6&gt;0,$A956&lt;BE$6),AND(BE$7&gt;0,$A956&gt;BE$7)),0,MAX(0,ROUND((INDEX($E956:$G956,BE$5)-SUMIFS(TF_Timer,TF_Tekniker,BE$4,TF_Dato,$A956))*2,0)/2)))</f>
        <v/>
      </c>
      <c r="BF956">
        <f>IF(OR(BF$4="",$A956&gt;TODAY()),0,IF(OR(INDEX($B956:$D956,BF$5)="F",AND(BF$6&gt;0,$A956&lt;BF$6),AND(BF$7&gt;0,$A956&gt;BF$7)),0,MAX(0,ROUND((INDEX($E956:$G956,BF$5)-SUMIFS(TF_Timer,TF_Tekniker,BF$4,TF_Dato,$A956))*2,0)/2)))</f>
        <v/>
      </c>
      <c r="BG956">
        <f>IF(OR(BG$4="",$A956&gt;TODAY()),0,IF(OR(INDEX($B956:$D956,BG$5)="F",AND(BG$6&gt;0,$A956&lt;BG$6),AND(BG$7&gt;0,$A956&gt;BG$7)),0,MAX(0,ROUND((INDEX($E956:$G956,BG$5)-SUMIFS(TF_Timer,TF_Tekniker,BG$4,TF_Dato,$A956))*2,0)/2)))</f>
        <v/>
      </c>
      <c r="BH956">
        <f>IF(OR(BH$4="",$A956&gt;TODAY()),0,IF(OR(INDEX($B956:$D956,BH$5)="F",AND(BH$6&gt;0,$A956&lt;BH$6),AND(BH$7&gt;0,$A956&gt;BH$7)),0,MAX(0,ROUND((INDEX($E956:$G956,BH$5)-SUMIFS(TF_Timer,TF_Tekniker,BH$4,TF_Dato,$A956))*2,0)/2)))</f>
        <v/>
      </c>
      <c r="BI956">
        <f>IF(OR(BI$4="",$A956&gt;TODAY()),0,IF(OR(INDEX($B956:$D956,BI$5)="F",AND(BI$6&gt;0,$A956&lt;BI$6),AND(BI$7&gt;0,$A956&gt;BI$7)),0,MAX(0,ROUND((INDEX($E956:$G956,BI$5)-SUMIFS(TF_Timer,TF_Tekniker,BI$4,TF_Dato,$A956))*2,0)/2)))</f>
        <v/>
      </c>
    </row>
    <row r="957">
      <c r="A957" s="64">
        <f>A956+1</f>
        <v/>
      </c>
      <c r="B957">
        <f>IF(MOD($A957-INDEX(SkiftStart,1),Syklus)&lt;DagK,"K",IF(MOD($A957-INDEX(SkiftStart,1),Syklus)&lt;DagK+DagH,"H",IF(MOD($A957-INDEX(SkiftStart,1),Syklus)&lt;DagK+DagH+DagD,"D","F")))</f>
        <v/>
      </c>
      <c r="C957">
        <f>IF(MOD($A957-INDEX(SkiftStart,2),Syklus)&lt;DagK,"K",IF(MOD($A957-INDEX(SkiftStart,2),Syklus)&lt;DagK+DagH,"H",IF(MOD($A957-INDEX(SkiftStart,2),Syklus)&lt;DagK+DagH+DagD,"D","F")))</f>
        <v/>
      </c>
      <c r="D957">
        <f>IF(MOD($A957-INDEX(SkiftStart,3),Syklus)&lt;DagK,"K",IF(MOD($A957-INDEX(SkiftStart,3),Syklus)&lt;DagK+DagH,"H",IF(MOD($A957-INDEX(SkiftStart,3),Syklus)&lt;DagK+DagH+DagD,"D","F")))</f>
        <v/>
      </c>
      <c r="E957">
        <f>IF(B957="F",0,IF(WEEKDAY($A957,2)=5,INDEX(TimerFr,MATCH(B957,FaseKode,0)),INDEX(TimerMT,MATCH(B957,FaseKode,0))))</f>
        <v/>
      </c>
      <c r="F957">
        <f>IF(C957="F",0,IF(WEEKDAY($A957,2)=5,INDEX(TimerFr,MATCH(C957,FaseKode,0)),INDEX(TimerMT,MATCH(C957,FaseKode,0))))</f>
        <v/>
      </c>
      <c r="G957">
        <f>IF(D957="F",0,IF(WEEKDAY($A957,2)=5,INDEX(TimerFr,MATCH(D957,FaseKode,0)),INDEX(TimerMT,MATCH(D957,FaseKode,0))))</f>
        <v/>
      </c>
      <c r="H957">
        <f>IF(OR(H$4="",$A957&gt;TODAY()),0,IF(OR(INDEX($B957:$D957,H$5)="F",AND(H$6&gt;0,$A957&lt;H$6),AND(H$7&gt;0,$A957&gt;H$7)),0,MAX(0,ROUND((INDEX($E957:$G957,H$5)-SUMIFS(TF_Timer,TF_Tekniker,H$4,TF_Dato,$A957))*2,0)/2)))</f>
        <v/>
      </c>
      <c r="I957">
        <f>IF(OR(I$4="",$A957&gt;TODAY()),0,IF(OR(INDEX($B957:$D957,I$5)="F",AND(I$6&gt;0,$A957&lt;I$6),AND(I$7&gt;0,$A957&gt;I$7)),0,MAX(0,ROUND((INDEX($E957:$G957,I$5)-SUMIFS(TF_Timer,TF_Tekniker,I$4,TF_Dato,$A957))*2,0)/2)))</f>
        <v/>
      </c>
      <c r="J957">
        <f>IF(OR(J$4="",$A957&gt;TODAY()),0,IF(OR(INDEX($B957:$D957,J$5)="F",AND(J$6&gt;0,$A957&lt;J$6),AND(J$7&gt;0,$A957&gt;J$7)),0,MAX(0,ROUND((INDEX($E957:$G957,J$5)-SUMIFS(TF_Timer,TF_Tekniker,J$4,TF_Dato,$A957))*2,0)/2)))</f>
        <v/>
      </c>
      <c r="K957">
        <f>IF(OR(K$4="",$A957&gt;TODAY()),0,IF(OR(INDEX($B957:$D957,K$5)="F",AND(K$6&gt;0,$A957&lt;K$6),AND(K$7&gt;0,$A957&gt;K$7)),0,MAX(0,ROUND((INDEX($E957:$G957,K$5)-SUMIFS(TF_Timer,TF_Tekniker,K$4,TF_Dato,$A957))*2,0)/2)))</f>
        <v/>
      </c>
      <c r="L957">
        <f>IF(OR(L$4="",$A957&gt;TODAY()),0,IF(OR(INDEX($B957:$D957,L$5)="F",AND(L$6&gt;0,$A957&lt;L$6),AND(L$7&gt;0,$A957&gt;L$7)),0,MAX(0,ROUND((INDEX($E957:$G957,L$5)-SUMIFS(TF_Timer,TF_Tekniker,L$4,TF_Dato,$A957))*2,0)/2)))</f>
        <v/>
      </c>
      <c r="M957">
        <f>IF(OR(M$4="",$A957&gt;TODAY()),0,IF(OR(INDEX($B957:$D957,M$5)="F",AND(M$6&gt;0,$A957&lt;M$6),AND(M$7&gt;0,$A957&gt;M$7)),0,MAX(0,ROUND((INDEX($E957:$G957,M$5)-SUMIFS(TF_Timer,TF_Tekniker,M$4,TF_Dato,$A957))*2,0)/2)))</f>
        <v/>
      </c>
      <c r="N957">
        <f>IF(OR(N$4="",$A957&gt;TODAY()),0,IF(OR(INDEX($B957:$D957,N$5)="F",AND(N$6&gt;0,$A957&lt;N$6),AND(N$7&gt;0,$A957&gt;N$7)),0,MAX(0,ROUND((INDEX($E957:$G957,N$5)-SUMIFS(TF_Timer,TF_Tekniker,N$4,TF_Dato,$A957))*2,0)/2)))</f>
        <v/>
      </c>
      <c r="O957">
        <f>IF(OR(O$4="",$A957&gt;TODAY()),0,IF(OR(INDEX($B957:$D957,O$5)="F",AND(O$6&gt;0,$A957&lt;O$6),AND(O$7&gt;0,$A957&gt;O$7)),0,MAX(0,ROUND((INDEX($E957:$G957,O$5)-SUMIFS(TF_Timer,TF_Tekniker,O$4,TF_Dato,$A957))*2,0)/2)))</f>
        <v/>
      </c>
      <c r="P957">
        <f>IF(OR(P$4="",$A957&gt;TODAY()),0,IF(OR(INDEX($B957:$D957,P$5)="F",AND(P$6&gt;0,$A957&lt;P$6),AND(P$7&gt;0,$A957&gt;P$7)),0,MAX(0,ROUND((INDEX($E957:$G957,P$5)-SUMIFS(TF_Timer,TF_Tekniker,P$4,TF_Dato,$A957))*2,0)/2)))</f>
        <v/>
      </c>
      <c r="Q957">
        <f>IF(OR(Q$4="",$A957&gt;TODAY()),0,IF(OR(INDEX($B957:$D957,Q$5)="F",AND(Q$6&gt;0,$A957&lt;Q$6),AND(Q$7&gt;0,$A957&gt;Q$7)),0,MAX(0,ROUND((INDEX($E957:$G957,Q$5)-SUMIFS(TF_Timer,TF_Tekniker,Q$4,TF_Dato,$A957))*2,0)/2)))</f>
        <v/>
      </c>
      <c r="R957">
        <f>IF(OR(R$4="",$A957&gt;TODAY()),0,IF(OR(INDEX($B957:$D957,R$5)="F",AND(R$6&gt;0,$A957&lt;R$6),AND(R$7&gt;0,$A957&gt;R$7)),0,MAX(0,ROUND((INDEX($E957:$G957,R$5)-SUMIFS(TF_Timer,TF_Tekniker,R$4,TF_Dato,$A957))*2,0)/2)))</f>
        <v/>
      </c>
      <c r="S957">
        <f>IF(OR(S$4="",$A957&gt;TODAY()),0,IF(OR(INDEX($B957:$D957,S$5)="F",AND(S$6&gt;0,$A957&lt;S$6),AND(S$7&gt;0,$A957&gt;S$7)),0,MAX(0,ROUND((INDEX($E957:$G957,S$5)-SUMIFS(TF_Timer,TF_Tekniker,S$4,TF_Dato,$A957))*2,0)/2)))</f>
        <v/>
      </c>
      <c r="T957">
        <f>IF(OR(T$4="",$A957&gt;TODAY()),0,IF(OR(INDEX($B957:$D957,T$5)="F",AND(T$6&gt;0,$A957&lt;T$6),AND(T$7&gt;0,$A957&gt;T$7)),0,MAX(0,ROUND((INDEX($E957:$G957,T$5)-SUMIFS(TF_Timer,TF_Tekniker,T$4,TF_Dato,$A957))*2,0)/2)))</f>
        <v/>
      </c>
      <c r="U957">
        <f>IF(OR(U$4="",$A957&gt;TODAY()),0,IF(OR(INDEX($B957:$D957,U$5)="F",AND(U$6&gt;0,$A957&lt;U$6),AND(U$7&gt;0,$A957&gt;U$7)),0,MAX(0,ROUND((INDEX($E957:$G957,U$5)-SUMIFS(TF_Timer,TF_Tekniker,U$4,TF_Dato,$A957))*2,0)/2)))</f>
        <v/>
      </c>
      <c r="V957">
        <f>IF(OR(V$4="",$A957&gt;TODAY()),0,IF(OR(INDEX($B957:$D957,V$5)="F",AND(V$6&gt;0,$A957&lt;V$6),AND(V$7&gt;0,$A957&gt;V$7)),0,MAX(0,ROUND((INDEX($E957:$G957,V$5)-SUMIFS(TF_Timer,TF_Tekniker,V$4,TF_Dato,$A957))*2,0)/2)))</f>
        <v/>
      </c>
      <c r="W957">
        <f>IF(OR(W$4="",$A957&gt;TODAY()),0,IF(OR(INDEX($B957:$D957,W$5)="F",AND(W$6&gt;0,$A957&lt;W$6),AND(W$7&gt;0,$A957&gt;W$7)),0,MAX(0,ROUND((INDEX($E957:$G957,W$5)-SUMIFS(TF_Timer,TF_Tekniker,W$4,TF_Dato,$A957))*2,0)/2)))</f>
        <v/>
      </c>
      <c r="X957">
        <f>IF(OR(X$4="",$A957&gt;TODAY()),0,IF(OR(INDEX($B957:$D957,X$5)="F",AND(X$6&gt;0,$A957&lt;X$6),AND(X$7&gt;0,$A957&gt;X$7)),0,MAX(0,ROUND((INDEX($E957:$G957,X$5)-SUMIFS(TF_Timer,TF_Tekniker,X$4,TF_Dato,$A957))*2,0)/2)))</f>
        <v/>
      </c>
      <c r="Y957">
        <f>IF(OR(Y$4="",$A957&gt;TODAY()),0,IF(OR(INDEX($B957:$D957,Y$5)="F",AND(Y$6&gt;0,$A957&lt;Y$6),AND(Y$7&gt;0,$A957&gt;Y$7)),0,MAX(0,ROUND((INDEX($E957:$G957,Y$5)-SUMIFS(TF_Timer,TF_Tekniker,Y$4,TF_Dato,$A957))*2,0)/2)))</f>
        <v/>
      </c>
      <c r="Z957">
        <f>IF(OR(Z$4="",$A957&gt;TODAY()),0,IF(OR(INDEX($B957:$D957,Z$5)="F",AND(Z$6&gt;0,$A957&lt;Z$6),AND(Z$7&gt;0,$A957&gt;Z$7)),0,MAX(0,ROUND((INDEX($E957:$G957,Z$5)-SUMIFS(TF_Timer,TF_Tekniker,Z$4,TF_Dato,$A957))*2,0)/2)))</f>
        <v/>
      </c>
      <c r="AA957">
        <f>IF(OR(AA$4="",$A957&gt;TODAY()),0,IF(OR(INDEX($B957:$D957,AA$5)="F",AND(AA$6&gt;0,$A957&lt;AA$6),AND(AA$7&gt;0,$A957&gt;AA$7)),0,MAX(0,ROUND((INDEX($E957:$G957,AA$5)-SUMIFS(TF_Timer,TF_Tekniker,AA$4,TF_Dato,$A957))*2,0)/2)))</f>
        <v/>
      </c>
      <c r="AB957">
        <f>IF(OR(AB$4="",$A957&gt;TODAY()),0,IF(OR(INDEX($B957:$D957,AB$5)="F",AND(AB$6&gt;0,$A957&lt;AB$6),AND(AB$7&gt;0,$A957&gt;AB$7)),0,MAX(0,ROUND((INDEX($E957:$G957,AB$5)-SUMIFS(TF_Timer,TF_Tekniker,AB$4,TF_Dato,$A957))*2,0)/2)))</f>
        <v/>
      </c>
      <c r="AC957">
        <f>IF(OR(AC$4="",$A957&gt;TODAY()),0,IF(OR(INDEX($B957:$D957,AC$5)="F",AND(AC$6&gt;0,$A957&lt;AC$6),AND(AC$7&gt;0,$A957&gt;AC$7)),0,MAX(0,ROUND((INDEX($E957:$G957,AC$5)-SUMIFS(TF_Timer,TF_Tekniker,AC$4,TF_Dato,$A957))*2,0)/2)))</f>
        <v/>
      </c>
      <c r="AD957">
        <f>IF(OR(AD$4="",$A957&gt;TODAY()),0,IF(OR(INDEX($B957:$D957,AD$5)="F",AND(AD$6&gt;0,$A957&lt;AD$6),AND(AD$7&gt;0,$A957&gt;AD$7)),0,MAX(0,ROUND((INDEX($E957:$G957,AD$5)-SUMIFS(TF_Timer,TF_Tekniker,AD$4,TF_Dato,$A957))*2,0)/2)))</f>
        <v/>
      </c>
      <c r="AE957">
        <f>IF(OR(AE$4="",$A957&gt;TODAY()),0,IF(OR(INDEX($B957:$D957,AE$5)="F",AND(AE$6&gt;0,$A957&lt;AE$6),AND(AE$7&gt;0,$A957&gt;AE$7)),0,MAX(0,ROUND((INDEX($E957:$G957,AE$5)-SUMIFS(TF_Timer,TF_Tekniker,AE$4,TF_Dato,$A957))*2,0)/2)))</f>
        <v/>
      </c>
      <c r="AF957">
        <f>IF(OR(AF$4="",$A957&gt;TODAY()),0,IF(OR(INDEX($B957:$D957,AF$5)="F",AND(AF$6&gt;0,$A957&lt;AF$6),AND(AF$7&gt;0,$A957&gt;AF$7)),0,MAX(0,ROUND((INDEX($E957:$G957,AF$5)-SUMIFS(TF_Timer,TF_Tekniker,AF$4,TF_Dato,$A957))*2,0)/2)))</f>
        <v/>
      </c>
      <c r="AG957">
        <f>IF(OR(AG$4="",$A957&gt;TODAY()),0,IF(OR(INDEX($B957:$D957,AG$5)="F",AND(AG$6&gt;0,$A957&lt;AG$6),AND(AG$7&gt;0,$A957&gt;AG$7)),0,MAX(0,ROUND((INDEX($E957:$G957,AG$5)-SUMIFS(TF_Timer,TF_Tekniker,AG$4,TF_Dato,$A957))*2,0)/2)))</f>
        <v/>
      </c>
      <c r="AH957">
        <f>IF(OR(AH$4="",$A957&gt;TODAY()),0,IF(OR(INDEX($B957:$D957,AH$5)="F",AND(AH$6&gt;0,$A957&lt;AH$6),AND(AH$7&gt;0,$A957&gt;AH$7)),0,MAX(0,ROUND((INDEX($E957:$G957,AH$5)-SUMIFS(TF_Timer,TF_Tekniker,AH$4,TF_Dato,$A957))*2,0)/2)))</f>
        <v/>
      </c>
      <c r="AI957">
        <f>IF(OR(AI$4="",$A957&gt;TODAY()),0,IF(OR(INDEX($B957:$D957,AI$5)="F",AND(AI$6&gt;0,$A957&lt;AI$6),AND(AI$7&gt;0,$A957&gt;AI$7)),0,MAX(0,ROUND((INDEX($E957:$G957,AI$5)-SUMIFS(TF_Timer,TF_Tekniker,AI$4,TF_Dato,$A957))*2,0)/2)))</f>
        <v/>
      </c>
      <c r="AJ957">
        <f>IF(OR(AJ$4="",$A957&gt;TODAY()),0,IF(OR(INDEX($B957:$D957,AJ$5)="F",AND(AJ$6&gt;0,$A957&lt;AJ$6),AND(AJ$7&gt;0,$A957&gt;AJ$7)),0,MAX(0,ROUND((INDEX($E957:$G957,AJ$5)-SUMIFS(TF_Timer,TF_Tekniker,AJ$4,TF_Dato,$A957))*2,0)/2)))</f>
        <v/>
      </c>
      <c r="AK957">
        <f>IF(OR(AK$4="",$A957&gt;TODAY()),0,IF(OR(INDEX($B957:$D957,AK$5)="F",AND(AK$6&gt;0,$A957&lt;AK$6),AND(AK$7&gt;0,$A957&gt;AK$7)),0,MAX(0,ROUND((INDEX($E957:$G957,AK$5)-SUMIFS(TF_Timer,TF_Tekniker,AK$4,TF_Dato,$A957))*2,0)/2)))</f>
        <v/>
      </c>
      <c r="AL957">
        <f>IF(OR(AL$4="",$A957&gt;TODAY()),0,IF(OR(INDEX($B957:$D957,AL$5)="F",AND(AL$6&gt;0,$A957&lt;AL$6),AND(AL$7&gt;0,$A957&gt;AL$7)),0,MAX(0,ROUND((INDEX($E957:$G957,AL$5)-SUMIFS(TF_Timer,TF_Tekniker,AL$4,TF_Dato,$A957))*2,0)/2)))</f>
        <v/>
      </c>
      <c r="AM957">
        <f>IF(OR(AM$4="",$A957&gt;TODAY()),0,IF(OR(INDEX($B957:$D957,AM$5)="F",AND(AM$6&gt;0,$A957&lt;AM$6),AND(AM$7&gt;0,$A957&gt;AM$7)),0,MAX(0,ROUND((INDEX($E957:$G957,AM$5)-SUMIFS(TF_Timer,TF_Tekniker,AM$4,TF_Dato,$A957))*2,0)/2)))</f>
        <v/>
      </c>
      <c r="AN957">
        <f>IF(OR(AN$4="",$A957&gt;TODAY()),0,IF(OR(INDEX($B957:$D957,AN$5)="F",AND(AN$6&gt;0,$A957&lt;AN$6),AND(AN$7&gt;0,$A957&gt;AN$7)),0,MAX(0,ROUND((INDEX($E957:$G957,AN$5)-SUMIFS(TF_Timer,TF_Tekniker,AN$4,TF_Dato,$A957))*2,0)/2)))</f>
        <v/>
      </c>
      <c r="AO957">
        <f>IF(OR(AO$4="",$A957&gt;TODAY()),0,IF(OR(INDEX($B957:$D957,AO$5)="F",AND(AO$6&gt;0,$A957&lt;AO$6),AND(AO$7&gt;0,$A957&gt;AO$7)),0,MAX(0,ROUND((INDEX($E957:$G957,AO$5)-SUMIFS(TF_Timer,TF_Tekniker,AO$4,TF_Dato,$A957))*2,0)/2)))</f>
        <v/>
      </c>
      <c r="AP957">
        <f>IF(OR(AP$4="",$A957&gt;TODAY()),0,IF(OR(INDEX($B957:$D957,AP$5)="F",AND(AP$6&gt;0,$A957&lt;AP$6),AND(AP$7&gt;0,$A957&gt;AP$7)),0,MAX(0,ROUND((INDEX($E957:$G957,AP$5)-SUMIFS(TF_Timer,TF_Tekniker,AP$4,TF_Dato,$A957))*2,0)/2)))</f>
        <v/>
      </c>
      <c r="AQ957">
        <f>IF(OR(AQ$4="",$A957&gt;TODAY()),0,IF(OR(INDEX($B957:$D957,AQ$5)="F",AND(AQ$6&gt;0,$A957&lt;AQ$6),AND(AQ$7&gt;0,$A957&gt;AQ$7)),0,MAX(0,ROUND((INDEX($E957:$G957,AQ$5)-SUMIFS(TF_Timer,TF_Tekniker,AQ$4,TF_Dato,$A957))*2,0)/2)))</f>
        <v/>
      </c>
      <c r="AR957">
        <f>IF(OR(AR$4="",$A957&gt;TODAY()),0,IF(OR(INDEX($B957:$D957,AR$5)="F",AND(AR$6&gt;0,$A957&lt;AR$6),AND(AR$7&gt;0,$A957&gt;AR$7)),0,MAX(0,ROUND((INDEX($E957:$G957,AR$5)-SUMIFS(TF_Timer,TF_Tekniker,AR$4,TF_Dato,$A957))*2,0)/2)))</f>
        <v/>
      </c>
      <c r="AS957">
        <f>IF(OR(AS$4="",$A957&gt;TODAY()),0,IF(OR(INDEX($B957:$D957,AS$5)="F",AND(AS$6&gt;0,$A957&lt;AS$6),AND(AS$7&gt;0,$A957&gt;AS$7)),0,MAX(0,ROUND((INDEX($E957:$G957,AS$5)-SUMIFS(TF_Timer,TF_Tekniker,AS$4,TF_Dato,$A957))*2,0)/2)))</f>
        <v/>
      </c>
      <c r="AT957">
        <f>IF(OR(AT$4="",$A957&gt;TODAY()),0,IF(OR(INDEX($B957:$D957,AT$5)="F",AND(AT$6&gt;0,$A957&lt;AT$6),AND(AT$7&gt;0,$A957&gt;AT$7)),0,MAX(0,ROUND((INDEX($E957:$G957,AT$5)-SUMIFS(TF_Timer,TF_Tekniker,AT$4,TF_Dato,$A957))*2,0)/2)))</f>
        <v/>
      </c>
      <c r="AU957">
        <f>IF(OR(AU$4="",$A957&gt;TODAY()),0,IF(OR(INDEX($B957:$D957,AU$5)="F",AND(AU$6&gt;0,$A957&lt;AU$6),AND(AU$7&gt;0,$A957&gt;AU$7)),0,MAX(0,ROUND((INDEX($E957:$G957,AU$5)-SUMIFS(TF_Timer,TF_Tekniker,AU$4,TF_Dato,$A957))*2,0)/2)))</f>
        <v/>
      </c>
      <c r="AV957">
        <f>IF(OR(AV$4="",$A957&gt;TODAY()),0,IF(OR(INDEX($B957:$D957,AV$5)="F",AND(AV$6&gt;0,$A957&lt;AV$6),AND(AV$7&gt;0,$A957&gt;AV$7)),0,MAX(0,ROUND((INDEX($E957:$G957,AV$5)-SUMIFS(TF_Timer,TF_Tekniker,AV$4,TF_Dato,$A957))*2,0)/2)))</f>
        <v/>
      </c>
      <c r="AW957">
        <f>IF(OR(AW$4="",$A957&gt;TODAY()),0,IF(OR(INDEX($B957:$D957,AW$5)="F",AND(AW$6&gt;0,$A957&lt;AW$6),AND(AW$7&gt;0,$A957&gt;AW$7)),0,MAX(0,ROUND((INDEX($E957:$G957,AW$5)-SUMIFS(TF_Timer,TF_Tekniker,AW$4,TF_Dato,$A957))*2,0)/2)))</f>
        <v/>
      </c>
      <c r="AX957">
        <f>IF(OR(AX$4="",$A957&gt;TODAY()),0,IF(OR(INDEX($B957:$D957,AX$5)="F",AND(AX$6&gt;0,$A957&lt;AX$6),AND(AX$7&gt;0,$A957&gt;AX$7)),0,MAX(0,ROUND((INDEX($E957:$G957,AX$5)-SUMIFS(TF_Timer,TF_Tekniker,AX$4,TF_Dato,$A957))*2,0)/2)))</f>
        <v/>
      </c>
      <c r="AY957">
        <f>IF(OR(AY$4="",$A957&gt;TODAY()),0,IF(OR(INDEX($B957:$D957,AY$5)="F",AND(AY$6&gt;0,$A957&lt;AY$6),AND(AY$7&gt;0,$A957&gt;AY$7)),0,MAX(0,ROUND((INDEX($E957:$G957,AY$5)-SUMIFS(TF_Timer,TF_Tekniker,AY$4,TF_Dato,$A957))*2,0)/2)))</f>
        <v/>
      </c>
      <c r="AZ957">
        <f>IF(OR(AZ$4="",$A957&gt;TODAY()),0,IF(OR(INDEX($B957:$D957,AZ$5)="F",AND(AZ$6&gt;0,$A957&lt;AZ$6),AND(AZ$7&gt;0,$A957&gt;AZ$7)),0,MAX(0,ROUND((INDEX($E957:$G957,AZ$5)-SUMIFS(TF_Timer,TF_Tekniker,AZ$4,TF_Dato,$A957))*2,0)/2)))</f>
        <v/>
      </c>
      <c r="BA957">
        <f>IF(OR(BA$4="",$A957&gt;TODAY()),0,IF(OR(INDEX($B957:$D957,BA$5)="F",AND(BA$6&gt;0,$A957&lt;BA$6),AND(BA$7&gt;0,$A957&gt;BA$7)),0,MAX(0,ROUND((INDEX($E957:$G957,BA$5)-SUMIFS(TF_Timer,TF_Tekniker,BA$4,TF_Dato,$A957))*2,0)/2)))</f>
        <v/>
      </c>
      <c r="BB957">
        <f>IF(OR(BB$4="",$A957&gt;TODAY()),0,IF(OR(INDEX($B957:$D957,BB$5)="F",AND(BB$6&gt;0,$A957&lt;BB$6),AND(BB$7&gt;0,$A957&gt;BB$7)),0,MAX(0,ROUND((INDEX($E957:$G957,BB$5)-SUMIFS(TF_Timer,TF_Tekniker,BB$4,TF_Dato,$A957))*2,0)/2)))</f>
        <v/>
      </c>
      <c r="BC957">
        <f>IF(OR(BC$4="",$A957&gt;TODAY()),0,IF(OR(INDEX($B957:$D957,BC$5)="F",AND(BC$6&gt;0,$A957&lt;BC$6),AND(BC$7&gt;0,$A957&gt;BC$7)),0,MAX(0,ROUND((INDEX($E957:$G957,BC$5)-SUMIFS(TF_Timer,TF_Tekniker,BC$4,TF_Dato,$A957))*2,0)/2)))</f>
        <v/>
      </c>
      <c r="BD957">
        <f>IF(OR(BD$4="",$A957&gt;TODAY()),0,IF(OR(INDEX($B957:$D957,BD$5)="F",AND(BD$6&gt;0,$A957&lt;BD$6),AND(BD$7&gt;0,$A957&gt;BD$7)),0,MAX(0,ROUND((INDEX($E957:$G957,BD$5)-SUMIFS(TF_Timer,TF_Tekniker,BD$4,TF_Dato,$A957))*2,0)/2)))</f>
        <v/>
      </c>
      <c r="BE957">
        <f>IF(OR(BE$4="",$A957&gt;TODAY()),0,IF(OR(INDEX($B957:$D957,BE$5)="F",AND(BE$6&gt;0,$A957&lt;BE$6),AND(BE$7&gt;0,$A957&gt;BE$7)),0,MAX(0,ROUND((INDEX($E957:$G957,BE$5)-SUMIFS(TF_Timer,TF_Tekniker,BE$4,TF_Dato,$A957))*2,0)/2)))</f>
        <v/>
      </c>
      <c r="BF957">
        <f>IF(OR(BF$4="",$A957&gt;TODAY()),0,IF(OR(INDEX($B957:$D957,BF$5)="F",AND(BF$6&gt;0,$A957&lt;BF$6),AND(BF$7&gt;0,$A957&gt;BF$7)),0,MAX(0,ROUND((INDEX($E957:$G957,BF$5)-SUMIFS(TF_Timer,TF_Tekniker,BF$4,TF_Dato,$A957))*2,0)/2)))</f>
        <v/>
      </c>
      <c r="BG957">
        <f>IF(OR(BG$4="",$A957&gt;TODAY()),0,IF(OR(INDEX($B957:$D957,BG$5)="F",AND(BG$6&gt;0,$A957&lt;BG$6),AND(BG$7&gt;0,$A957&gt;BG$7)),0,MAX(0,ROUND((INDEX($E957:$G957,BG$5)-SUMIFS(TF_Timer,TF_Tekniker,BG$4,TF_Dato,$A957))*2,0)/2)))</f>
        <v/>
      </c>
      <c r="BH957">
        <f>IF(OR(BH$4="",$A957&gt;TODAY()),0,IF(OR(INDEX($B957:$D957,BH$5)="F",AND(BH$6&gt;0,$A957&lt;BH$6),AND(BH$7&gt;0,$A957&gt;BH$7)),0,MAX(0,ROUND((INDEX($E957:$G957,BH$5)-SUMIFS(TF_Timer,TF_Tekniker,BH$4,TF_Dato,$A957))*2,0)/2)))</f>
        <v/>
      </c>
      <c r="BI957">
        <f>IF(OR(BI$4="",$A957&gt;TODAY()),0,IF(OR(INDEX($B957:$D957,BI$5)="F",AND(BI$6&gt;0,$A957&lt;BI$6),AND(BI$7&gt;0,$A957&gt;BI$7)),0,MAX(0,ROUND((INDEX($E957:$G957,BI$5)-SUMIFS(TF_Timer,TF_Tekniker,BI$4,TF_Dato,$A957))*2,0)/2)))</f>
        <v/>
      </c>
    </row>
    <row r="958">
      <c r="A958" s="64">
        <f>A957+1</f>
        <v/>
      </c>
      <c r="B958">
        <f>IF(MOD($A958-INDEX(SkiftStart,1),Syklus)&lt;DagK,"K",IF(MOD($A958-INDEX(SkiftStart,1),Syklus)&lt;DagK+DagH,"H",IF(MOD($A958-INDEX(SkiftStart,1),Syklus)&lt;DagK+DagH+DagD,"D","F")))</f>
        <v/>
      </c>
      <c r="C958">
        <f>IF(MOD($A958-INDEX(SkiftStart,2),Syklus)&lt;DagK,"K",IF(MOD($A958-INDEX(SkiftStart,2),Syklus)&lt;DagK+DagH,"H",IF(MOD($A958-INDEX(SkiftStart,2),Syklus)&lt;DagK+DagH+DagD,"D","F")))</f>
        <v/>
      </c>
      <c r="D958">
        <f>IF(MOD($A958-INDEX(SkiftStart,3),Syklus)&lt;DagK,"K",IF(MOD($A958-INDEX(SkiftStart,3),Syklus)&lt;DagK+DagH,"H",IF(MOD($A958-INDEX(SkiftStart,3),Syklus)&lt;DagK+DagH+DagD,"D","F")))</f>
        <v/>
      </c>
      <c r="E958">
        <f>IF(B958="F",0,IF(WEEKDAY($A958,2)=5,INDEX(TimerFr,MATCH(B958,FaseKode,0)),INDEX(TimerMT,MATCH(B958,FaseKode,0))))</f>
        <v/>
      </c>
      <c r="F958">
        <f>IF(C958="F",0,IF(WEEKDAY($A958,2)=5,INDEX(TimerFr,MATCH(C958,FaseKode,0)),INDEX(TimerMT,MATCH(C958,FaseKode,0))))</f>
        <v/>
      </c>
      <c r="G958">
        <f>IF(D958="F",0,IF(WEEKDAY($A958,2)=5,INDEX(TimerFr,MATCH(D958,FaseKode,0)),INDEX(TimerMT,MATCH(D958,FaseKode,0))))</f>
        <v/>
      </c>
      <c r="H958">
        <f>IF(OR(H$4="",$A958&gt;TODAY()),0,IF(OR(INDEX($B958:$D958,H$5)="F",AND(H$6&gt;0,$A958&lt;H$6),AND(H$7&gt;0,$A958&gt;H$7)),0,MAX(0,ROUND((INDEX($E958:$G958,H$5)-SUMIFS(TF_Timer,TF_Tekniker,H$4,TF_Dato,$A958))*2,0)/2)))</f>
        <v/>
      </c>
      <c r="I958">
        <f>IF(OR(I$4="",$A958&gt;TODAY()),0,IF(OR(INDEX($B958:$D958,I$5)="F",AND(I$6&gt;0,$A958&lt;I$6),AND(I$7&gt;0,$A958&gt;I$7)),0,MAX(0,ROUND((INDEX($E958:$G958,I$5)-SUMIFS(TF_Timer,TF_Tekniker,I$4,TF_Dato,$A958))*2,0)/2)))</f>
        <v/>
      </c>
      <c r="J958">
        <f>IF(OR(J$4="",$A958&gt;TODAY()),0,IF(OR(INDEX($B958:$D958,J$5)="F",AND(J$6&gt;0,$A958&lt;J$6),AND(J$7&gt;0,$A958&gt;J$7)),0,MAX(0,ROUND((INDEX($E958:$G958,J$5)-SUMIFS(TF_Timer,TF_Tekniker,J$4,TF_Dato,$A958))*2,0)/2)))</f>
        <v/>
      </c>
      <c r="K958">
        <f>IF(OR(K$4="",$A958&gt;TODAY()),0,IF(OR(INDEX($B958:$D958,K$5)="F",AND(K$6&gt;0,$A958&lt;K$6),AND(K$7&gt;0,$A958&gt;K$7)),0,MAX(0,ROUND((INDEX($E958:$G958,K$5)-SUMIFS(TF_Timer,TF_Tekniker,K$4,TF_Dato,$A958))*2,0)/2)))</f>
        <v/>
      </c>
      <c r="L958">
        <f>IF(OR(L$4="",$A958&gt;TODAY()),0,IF(OR(INDEX($B958:$D958,L$5)="F",AND(L$6&gt;0,$A958&lt;L$6),AND(L$7&gt;0,$A958&gt;L$7)),0,MAX(0,ROUND((INDEX($E958:$G958,L$5)-SUMIFS(TF_Timer,TF_Tekniker,L$4,TF_Dato,$A958))*2,0)/2)))</f>
        <v/>
      </c>
      <c r="M958">
        <f>IF(OR(M$4="",$A958&gt;TODAY()),0,IF(OR(INDEX($B958:$D958,M$5)="F",AND(M$6&gt;0,$A958&lt;M$6),AND(M$7&gt;0,$A958&gt;M$7)),0,MAX(0,ROUND((INDEX($E958:$G958,M$5)-SUMIFS(TF_Timer,TF_Tekniker,M$4,TF_Dato,$A958))*2,0)/2)))</f>
        <v/>
      </c>
      <c r="N958">
        <f>IF(OR(N$4="",$A958&gt;TODAY()),0,IF(OR(INDEX($B958:$D958,N$5)="F",AND(N$6&gt;0,$A958&lt;N$6),AND(N$7&gt;0,$A958&gt;N$7)),0,MAX(0,ROUND((INDEX($E958:$G958,N$5)-SUMIFS(TF_Timer,TF_Tekniker,N$4,TF_Dato,$A958))*2,0)/2)))</f>
        <v/>
      </c>
      <c r="O958">
        <f>IF(OR(O$4="",$A958&gt;TODAY()),0,IF(OR(INDEX($B958:$D958,O$5)="F",AND(O$6&gt;0,$A958&lt;O$6),AND(O$7&gt;0,$A958&gt;O$7)),0,MAX(0,ROUND((INDEX($E958:$G958,O$5)-SUMIFS(TF_Timer,TF_Tekniker,O$4,TF_Dato,$A958))*2,0)/2)))</f>
        <v/>
      </c>
      <c r="P958">
        <f>IF(OR(P$4="",$A958&gt;TODAY()),0,IF(OR(INDEX($B958:$D958,P$5)="F",AND(P$6&gt;0,$A958&lt;P$6),AND(P$7&gt;0,$A958&gt;P$7)),0,MAX(0,ROUND((INDEX($E958:$G958,P$5)-SUMIFS(TF_Timer,TF_Tekniker,P$4,TF_Dato,$A958))*2,0)/2)))</f>
        <v/>
      </c>
      <c r="Q958">
        <f>IF(OR(Q$4="",$A958&gt;TODAY()),0,IF(OR(INDEX($B958:$D958,Q$5)="F",AND(Q$6&gt;0,$A958&lt;Q$6),AND(Q$7&gt;0,$A958&gt;Q$7)),0,MAX(0,ROUND((INDEX($E958:$G958,Q$5)-SUMIFS(TF_Timer,TF_Tekniker,Q$4,TF_Dato,$A958))*2,0)/2)))</f>
        <v/>
      </c>
      <c r="R958">
        <f>IF(OR(R$4="",$A958&gt;TODAY()),0,IF(OR(INDEX($B958:$D958,R$5)="F",AND(R$6&gt;0,$A958&lt;R$6),AND(R$7&gt;0,$A958&gt;R$7)),0,MAX(0,ROUND((INDEX($E958:$G958,R$5)-SUMIFS(TF_Timer,TF_Tekniker,R$4,TF_Dato,$A958))*2,0)/2)))</f>
        <v/>
      </c>
      <c r="S958">
        <f>IF(OR(S$4="",$A958&gt;TODAY()),0,IF(OR(INDEX($B958:$D958,S$5)="F",AND(S$6&gt;0,$A958&lt;S$6),AND(S$7&gt;0,$A958&gt;S$7)),0,MAX(0,ROUND((INDEX($E958:$G958,S$5)-SUMIFS(TF_Timer,TF_Tekniker,S$4,TF_Dato,$A958))*2,0)/2)))</f>
        <v/>
      </c>
      <c r="T958">
        <f>IF(OR(T$4="",$A958&gt;TODAY()),0,IF(OR(INDEX($B958:$D958,T$5)="F",AND(T$6&gt;0,$A958&lt;T$6),AND(T$7&gt;0,$A958&gt;T$7)),0,MAX(0,ROUND((INDEX($E958:$G958,T$5)-SUMIFS(TF_Timer,TF_Tekniker,T$4,TF_Dato,$A958))*2,0)/2)))</f>
        <v/>
      </c>
      <c r="U958">
        <f>IF(OR(U$4="",$A958&gt;TODAY()),0,IF(OR(INDEX($B958:$D958,U$5)="F",AND(U$6&gt;0,$A958&lt;U$6),AND(U$7&gt;0,$A958&gt;U$7)),0,MAX(0,ROUND((INDEX($E958:$G958,U$5)-SUMIFS(TF_Timer,TF_Tekniker,U$4,TF_Dato,$A958))*2,0)/2)))</f>
        <v/>
      </c>
      <c r="V958">
        <f>IF(OR(V$4="",$A958&gt;TODAY()),0,IF(OR(INDEX($B958:$D958,V$5)="F",AND(V$6&gt;0,$A958&lt;V$6),AND(V$7&gt;0,$A958&gt;V$7)),0,MAX(0,ROUND((INDEX($E958:$G958,V$5)-SUMIFS(TF_Timer,TF_Tekniker,V$4,TF_Dato,$A958))*2,0)/2)))</f>
        <v/>
      </c>
      <c r="W958">
        <f>IF(OR(W$4="",$A958&gt;TODAY()),0,IF(OR(INDEX($B958:$D958,W$5)="F",AND(W$6&gt;0,$A958&lt;W$6),AND(W$7&gt;0,$A958&gt;W$7)),0,MAX(0,ROUND((INDEX($E958:$G958,W$5)-SUMIFS(TF_Timer,TF_Tekniker,W$4,TF_Dato,$A958))*2,0)/2)))</f>
        <v/>
      </c>
      <c r="X958">
        <f>IF(OR(X$4="",$A958&gt;TODAY()),0,IF(OR(INDEX($B958:$D958,X$5)="F",AND(X$6&gt;0,$A958&lt;X$6),AND(X$7&gt;0,$A958&gt;X$7)),0,MAX(0,ROUND((INDEX($E958:$G958,X$5)-SUMIFS(TF_Timer,TF_Tekniker,X$4,TF_Dato,$A958))*2,0)/2)))</f>
        <v/>
      </c>
      <c r="Y958">
        <f>IF(OR(Y$4="",$A958&gt;TODAY()),0,IF(OR(INDEX($B958:$D958,Y$5)="F",AND(Y$6&gt;0,$A958&lt;Y$6),AND(Y$7&gt;0,$A958&gt;Y$7)),0,MAX(0,ROUND((INDEX($E958:$G958,Y$5)-SUMIFS(TF_Timer,TF_Tekniker,Y$4,TF_Dato,$A958))*2,0)/2)))</f>
        <v/>
      </c>
      <c r="Z958">
        <f>IF(OR(Z$4="",$A958&gt;TODAY()),0,IF(OR(INDEX($B958:$D958,Z$5)="F",AND(Z$6&gt;0,$A958&lt;Z$6),AND(Z$7&gt;0,$A958&gt;Z$7)),0,MAX(0,ROUND((INDEX($E958:$G958,Z$5)-SUMIFS(TF_Timer,TF_Tekniker,Z$4,TF_Dato,$A958))*2,0)/2)))</f>
        <v/>
      </c>
      <c r="AA958">
        <f>IF(OR(AA$4="",$A958&gt;TODAY()),0,IF(OR(INDEX($B958:$D958,AA$5)="F",AND(AA$6&gt;0,$A958&lt;AA$6),AND(AA$7&gt;0,$A958&gt;AA$7)),0,MAX(0,ROUND((INDEX($E958:$G958,AA$5)-SUMIFS(TF_Timer,TF_Tekniker,AA$4,TF_Dato,$A958))*2,0)/2)))</f>
        <v/>
      </c>
      <c r="AB958">
        <f>IF(OR(AB$4="",$A958&gt;TODAY()),0,IF(OR(INDEX($B958:$D958,AB$5)="F",AND(AB$6&gt;0,$A958&lt;AB$6),AND(AB$7&gt;0,$A958&gt;AB$7)),0,MAX(0,ROUND((INDEX($E958:$G958,AB$5)-SUMIFS(TF_Timer,TF_Tekniker,AB$4,TF_Dato,$A958))*2,0)/2)))</f>
        <v/>
      </c>
      <c r="AC958">
        <f>IF(OR(AC$4="",$A958&gt;TODAY()),0,IF(OR(INDEX($B958:$D958,AC$5)="F",AND(AC$6&gt;0,$A958&lt;AC$6),AND(AC$7&gt;0,$A958&gt;AC$7)),0,MAX(0,ROUND((INDEX($E958:$G958,AC$5)-SUMIFS(TF_Timer,TF_Tekniker,AC$4,TF_Dato,$A958))*2,0)/2)))</f>
        <v/>
      </c>
      <c r="AD958">
        <f>IF(OR(AD$4="",$A958&gt;TODAY()),0,IF(OR(INDEX($B958:$D958,AD$5)="F",AND(AD$6&gt;0,$A958&lt;AD$6),AND(AD$7&gt;0,$A958&gt;AD$7)),0,MAX(0,ROUND((INDEX($E958:$G958,AD$5)-SUMIFS(TF_Timer,TF_Tekniker,AD$4,TF_Dato,$A958))*2,0)/2)))</f>
        <v/>
      </c>
      <c r="AE958">
        <f>IF(OR(AE$4="",$A958&gt;TODAY()),0,IF(OR(INDEX($B958:$D958,AE$5)="F",AND(AE$6&gt;0,$A958&lt;AE$6),AND(AE$7&gt;0,$A958&gt;AE$7)),0,MAX(0,ROUND((INDEX($E958:$G958,AE$5)-SUMIFS(TF_Timer,TF_Tekniker,AE$4,TF_Dato,$A958))*2,0)/2)))</f>
        <v/>
      </c>
      <c r="AF958">
        <f>IF(OR(AF$4="",$A958&gt;TODAY()),0,IF(OR(INDEX($B958:$D958,AF$5)="F",AND(AF$6&gt;0,$A958&lt;AF$6),AND(AF$7&gt;0,$A958&gt;AF$7)),0,MAX(0,ROUND((INDEX($E958:$G958,AF$5)-SUMIFS(TF_Timer,TF_Tekniker,AF$4,TF_Dato,$A958))*2,0)/2)))</f>
        <v/>
      </c>
      <c r="AG958">
        <f>IF(OR(AG$4="",$A958&gt;TODAY()),0,IF(OR(INDEX($B958:$D958,AG$5)="F",AND(AG$6&gt;0,$A958&lt;AG$6),AND(AG$7&gt;0,$A958&gt;AG$7)),0,MAX(0,ROUND((INDEX($E958:$G958,AG$5)-SUMIFS(TF_Timer,TF_Tekniker,AG$4,TF_Dato,$A958))*2,0)/2)))</f>
        <v/>
      </c>
      <c r="AH958">
        <f>IF(OR(AH$4="",$A958&gt;TODAY()),0,IF(OR(INDEX($B958:$D958,AH$5)="F",AND(AH$6&gt;0,$A958&lt;AH$6),AND(AH$7&gt;0,$A958&gt;AH$7)),0,MAX(0,ROUND((INDEX($E958:$G958,AH$5)-SUMIFS(TF_Timer,TF_Tekniker,AH$4,TF_Dato,$A958))*2,0)/2)))</f>
        <v/>
      </c>
      <c r="AI958">
        <f>IF(OR(AI$4="",$A958&gt;TODAY()),0,IF(OR(INDEX($B958:$D958,AI$5)="F",AND(AI$6&gt;0,$A958&lt;AI$6),AND(AI$7&gt;0,$A958&gt;AI$7)),0,MAX(0,ROUND((INDEX($E958:$G958,AI$5)-SUMIFS(TF_Timer,TF_Tekniker,AI$4,TF_Dato,$A958))*2,0)/2)))</f>
        <v/>
      </c>
      <c r="AJ958">
        <f>IF(OR(AJ$4="",$A958&gt;TODAY()),0,IF(OR(INDEX($B958:$D958,AJ$5)="F",AND(AJ$6&gt;0,$A958&lt;AJ$6),AND(AJ$7&gt;0,$A958&gt;AJ$7)),0,MAX(0,ROUND((INDEX($E958:$G958,AJ$5)-SUMIFS(TF_Timer,TF_Tekniker,AJ$4,TF_Dato,$A958))*2,0)/2)))</f>
        <v/>
      </c>
      <c r="AK958">
        <f>IF(OR(AK$4="",$A958&gt;TODAY()),0,IF(OR(INDEX($B958:$D958,AK$5)="F",AND(AK$6&gt;0,$A958&lt;AK$6),AND(AK$7&gt;0,$A958&gt;AK$7)),0,MAX(0,ROUND((INDEX($E958:$G958,AK$5)-SUMIFS(TF_Timer,TF_Tekniker,AK$4,TF_Dato,$A958))*2,0)/2)))</f>
        <v/>
      </c>
      <c r="AL958">
        <f>IF(OR(AL$4="",$A958&gt;TODAY()),0,IF(OR(INDEX($B958:$D958,AL$5)="F",AND(AL$6&gt;0,$A958&lt;AL$6),AND(AL$7&gt;0,$A958&gt;AL$7)),0,MAX(0,ROUND((INDEX($E958:$G958,AL$5)-SUMIFS(TF_Timer,TF_Tekniker,AL$4,TF_Dato,$A958))*2,0)/2)))</f>
        <v/>
      </c>
      <c r="AM958">
        <f>IF(OR(AM$4="",$A958&gt;TODAY()),0,IF(OR(INDEX($B958:$D958,AM$5)="F",AND(AM$6&gt;0,$A958&lt;AM$6),AND(AM$7&gt;0,$A958&gt;AM$7)),0,MAX(0,ROUND((INDEX($E958:$G958,AM$5)-SUMIFS(TF_Timer,TF_Tekniker,AM$4,TF_Dato,$A958))*2,0)/2)))</f>
        <v/>
      </c>
      <c r="AN958">
        <f>IF(OR(AN$4="",$A958&gt;TODAY()),0,IF(OR(INDEX($B958:$D958,AN$5)="F",AND(AN$6&gt;0,$A958&lt;AN$6),AND(AN$7&gt;0,$A958&gt;AN$7)),0,MAX(0,ROUND((INDEX($E958:$G958,AN$5)-SUMIFS(TF_Timer,TF_Tekniker,AN$4,TF_Dato,$A958))*2,0)/2)))</f>
        <v/>
      </c>
      <c r="AO958">
        <f>IF(OR(AO$4="",$A958&gt;TODAY()),0,IF(OR(INDEX($B958:$D958,AO$5)="F",AND(AO$6&gt;0,$A958&lt;AO$6),AND(AO$7&gt;0,$A958&gt;AO$7)),0,MAX(0,ROUND((INDEX($E958:$G958,AO$5)-SUMIFS(TF_Timer,TF_Tekniker,AO$4,TF_Dato,$A958))*2,0)/2)))</f>
        <v/>
      </c>
      <c r="AP958">
        <f>IF(OR(AP$4="",$A958&gt;TODAY()),0,IF(OR(INDEX($B958:$D958,AP$5)="F",AND(AP$6&gt;0,$A958&lt;AP$6),AND(AP$7&gt;0,$A958&gt;AP$7)),0,MAX(0,ROUND((INDEX($E958:$G958,AP$5)-SUMIFS(TF_Timer,TF_Tekniker,AP$4,TF_Dato,$A958))*2,0)/2)))</f>
        <v/>
      </c>
      <c r="AQ958">
        <f>IF(OR(AQ$4="",$A958&gt;TODAY()),0,IF(OR(INDEX($B958:$D958,AQ$5)="F",AND(AQ$6&gt;0,$A958&lt;AQ$6),AND(AQ$7&gt;0,$A958&gt;AQ$7)),0,MAX(0,ROUND((INDEX($E958:$G958,AQ$5)-SUMIFS(TF_Timer,TF_Tekniker,AQ$4,TF_Dato,$A958))*2,0)/2)))</f>
        <v/>
      </c>
      <c r="AR958">
        <f>IF(OR(AR$4="",$A958&gt;TODAY()),0,IF(OR(INDEX($B958:$D958,AR$5)="F",AND(AR$6&gt;0,$A958&lt;AR$6),AND(AR$7&gt;0,$A958&gt;AR$7)),0,MAX(0,ROUND((INDEX($E958:$G958,AR$5)-SUMIFS(TF_Timer,TF_Tekniker,AR$4,TF_Dato,$A958))*2,0)/2)))</f>
        <v/>
      </c>
      <c r="AS958">
        <f>IF(OR(AS$4="",$A958&gt;TODAY()),0,IF(OR(INDEX($B958:$D958,AS$5)="F",AND(AS$6&gt;0,$A958&lt;AS$6),AND(AS$7&gt;0,$A958&gt;AS$7)),0,MAX(0,ROUND((INDEX($E958:$G958,AS$5)-SUMIFS(TF_Timer,TF_Tekniker,AS$4,TF_Dato,$A958))*2,0)/2)))</f>
        <v/>
      </c>
      <c r="AT958">
        <f>IF(OR(AT$4="",$A958&gt;TODAY()),0,IF(OR(INDEX($B958:$D958,AT$5)="F",AND(AT$6&gt;0,$A958&lt;AT$6),AND(AT$7&gt;0,$A958&gt;AT$7)),0,MAX(0,ROUND((INDEX($E958:$G958,AT$5)-SUMIFS(TF_Timer,TF_Tekniker,AT$4,TF_Dato,$A958))*2,0)/2)))</f>
        <v/>
      </c>
      <c r="AU958">
        <f>IF(OR(AU$4="",$A958&gt;TODAY()),0,IF(OR(INDEX($B958:$D958,AU$5)="F",AND(AU$6&gt;0,$A958&lt;AU$6),AND(AU$7&gt;0,$A958&gt;AU$7)),0,MAX(0,ROUND((INDEX($E958:$G958,AU$5)-SUMIFS(TF_Timer,TF_Tekniker,AU$4,TF_Dato,$A958))*2,0)/2)))</f>
        <v/>
      </c>
      <c r="AV958">
        <f>IF(OR(AV$4="",$A958&gt;TODAY()),0,IF(OR(INDEX($B958:$D958,AV$5)="F",AND(AV$6&gt;0,$A958&lt;AV$6),AND(AV$7&gt;0,$A958&gt;AV$7)),0,MAX(0,ROUND((INDEX($E958:$G958,AV$5)-SUMIFS(TF_Timer,TF_Tekniker,AV$4,TF_Dato,$A958))*2,0)/2)))</f>
        <v/>
      </c>
      <c r="AW958">
        <f>IF(OR(AW$4="",$A958&gt;TODAY()),0,IF(OR(INDEX($B958:$D958,AW$5)="F",AND(AW$6&gt;0,$A958&lt;AW$6),AND(AW$7&gt;0,$A958&gt;AW$7)),0,MAX(0,ROUND((INDEX($E958:$G958,AW$5)-SUMIFS(TF_Timer,TF_Tekniker,AW$4,TF_Dato,$A958))*2,0)/2)))</f>
        <v/>
      </c>
      <c r="AX958">
        <f>IF(OR(AX$4="",$A958&gt;TODAY()),0,IF(OR(INDEX($B958:$D958,AX$5)="F",AND(AX$6&gt;0,$A958&lt;AX$6),AND(AX$7&gt;0,$A958&gt;AX$7)),0,MAX(0,ROUND((INDEX($E958:$G958,AX$5)-SUMIFS(TF_Timer,TF_Tekniker,AX$4,TF_Dato,$A958))*2,0)/2)))</f>
        <v/>
      </c>
      <c r="AY958">
        <f>IF(OR(AY$4="",$A958&gt;TODAY()),0,IF(OR(INDEX($B958:$D958,AY$5)="F",AND(AY$6&gt;0,$A958&lt;AY$6),AND(AY$7&gt;0,$A958&gt;AY$7)),0,MAX(0,ROUND((INDEX($E958:$G958,AY$5)-SUMIFS(TF_Timer,TF_Tekniker,AY$4,TF_Dato,$A958))*2,0)/2)))</f>
        <v/>
      </c>
      <c r="AZ958">
        <f>IF(OR(AZ$4="",$A958&gt;TODAY()),0,IF(OR(INDEX($B958:$D958,AZ$5)="F",AND(AZ$6&gt;0,$A958&lt;AZ$6),AND(AZ$7&gt;0,$A958&gt;AZ$7)),0,MAX(0,ROUND((INDEX($E958:$G958,AZ$5)-SUMIFS(TF_Timer,TF_Tekniker,AZ$4,TF_Dato,$A958))*2,0)/2)))</f>
        <v/>
      </c>
      <c r="BA958">
        <f>IF(OR(BA$4="",$A958&gt;TODAY()),0,IF(OR(INDEX($B958:$D958,BA$5)="F",AND(BA$6&gt;0,$A958&lt;BA$6),AND(BA$7&gt;0,$A958&gt;BA$7)),0,MAX(0,ROUND((INDEX($E958:$G958,BA$5)-SUMIFS(TF_Timer,TF_Tekniker,BA$4,TF_Dato,$A958))*2,0)/2)))</f>
        <v/>
      </c>
      <c r="BB958">
        <f>IF(OR(BB$4="",$A958&gt;TODAY()),0,IF(OR(INDEX($B958:$D958,BB$5)="F",AND(BB$6&gt;0,$A958&lt;BB$6),AND(BB$7&gt;0,$A958&gt;BB$7)),0,MAX(0,ROUND((INDEX($E958:$G958,BB$5)-SUMIFS(TF_Timer,TF_Tekniker,BB$4,TF_Dato,$A958))*2,0)/2)))</f>
        <v/>
      </c>
      <c r="BC958">
        <f>IF(OR(BC$4="",$A958&gt;TODAY()),0,IF(OR(INDEX($B958:$D958,BC$5)="F",AND(BC$6&gt;0,$A958&lt;BC$6),AND(BC$7&gt;0,$A958&gt;BC$7)),0,MAX(0,ROUND((INDEX($E958:$G958,BC$5)-SUMIFS(TF_Timer,TF_Tekniker,BC$4,TF_Dato,$A958))*2,0)/2)))</f>
        <v/>
      </c>
      <c r="BD958">
        <f>IF(OR(BD$4="",$A958&gt;TODAY()),0,IF(OR(INDEX($B958:$D958,BD$5)="F",AND(BD$6&gt;0,$A958&lt;BD$6),AND(BD$7&gt;0,$A958&gt;BD$7)),0,MAX(0,ROUND((INDEX($E958:$G958,BD$5)-SUMIFS(TF_Timer,TF_Tekniker,BD$4,TF_Dato,$A958))*2,0)/2)))</f>
        <v/>
      </c>
      <c r="BE958">
        <f>IF(OR(BE$4="",$A958&gt;TODAY()),0,IF(OR(INDEX($B958:$D958,BE$5)="F",AND(BE$6&gt;0,$A958&lt;BE$6),AND(BE$7&gt;0,$A958&gt;BE$7)),0,MAX(0,ROUND((INDEX($E958:$G958,BE$5)-SUMIFS(TF_Timer,TF_Tekniker,BE$4,TF_Dato,$A958))*2,0)/2)))</f>
        <v/>
      </c>
      <c r="BF958">
        <f>IF(OR(BF$4="",$A958&gt;TODAY()),0,IF(OR(INDEX($B958:$D958,BF$5)="F",AND(BF$6&gt;0,$A958&lt;BF$6),AND(BF$7&gt;0,$A958&gt;BF$7)),0,MAX(0,ROUND((INDEX($E958:$G958,BF$5)-SUMIFS(TF_Timer,TF_Tekniker,BF$4,TF_Dato,$A958))*2,0)/2)))</f>
        <v/>
      </c>
      <c r="BG958">
        <f>IF(OR(BG$4="",$A958&gt;TODAY()),0,IF(OR(INDEX($B958:$D958,BG$5)="F",AND(BG$6&gt;0,$A958&lt;BG$6),AND(BG$7&gt;0,$A958&gt;BG$7)),0,MAX(0,ROUND((INDEX($E958:$G958,BG$5)-SUMIFS(TF_Timer,TF_Tekniker,BG$4,TF_Dato,$A958))*2,0)/2)))</f>
        <v/>
      </c>
      <c r="BH958">
        <f>IF(OR(BH$4="",$A958&gt;TODAY()),0,IF(OR(INDEX($B958:$D958,BH$5)="F",AND(BH$6&gt;0,$A958&lt;BH$6),AND(BH$7&gt;0,$A958&gt;BH$7)),0,MAX(0,ROUND((INDEX($E958:$G958,BH$5)-SUMIFS(TF_Timer,TF_Tekniker,BH$4,TF_Dato,$A958))*2,0)/2)))</f>
        <v/>
      </c>
      <c r="BI958">
        <f>IF(OR(BI$4="",$A958&gt;TODAY()),0,IF(OR(INDEX($B958:$D958,BI$5)="F",AND(BI$6&gt;0,$A958&lt;BI$6),AND(BI$7&gt;0,$A958&gt;BI$7)),0,MAX(0,ROUND((INDEX($E958:$G958,BI$5)-SUMIFS(TF_Timer,TF_Tekniker,BI$4,TF_Dato,$A958))*2,0)/2)))</f>
        <v/>
      </c>
    </row>
    <row r="959">
      <c r="A959" s="64">
        <f>A958+1</f>
        <v/>
      </c>
      <c r="B959">
        <f>IF(MOD($A959-INDEX(SkiftStart,1),Syklus)&lt;DagK,"K",IF(MOD($A959-INDEX(SkiftStart,1),Syklus)&lt;DagK+DagH,"H",IF(MOD($A959-INDEX(SkiftStart,1),Syklus)&lt;DagK+DagH+DagD,"D","F")))</f>
        <v/>
      </c>
      <c r="C959">
        <f>IF(MOD($A959-INDEX(SkiftStart,2),Syklus)&lt;DagK,"K",IF(MOD($A959-INDEX(SkiftStart,2),Syklus)&lt;DagK+DagH,"H",IF(MOD($A959-INDEX(SkiftStart,2),Syklus)&lt;DagK+DagH+DagD,"D","F")))</f>
        <v/>
      </c>
      <c r="D959">
        <f>IF(MOD($A959-INDEX(SkiftStart,3),Syklus)&lt;DagK,"K",IF(MOD($A959-INDEX(SkiftStart,3),Syklus)&lt;DagK+DagH,"H",IF(MOD($A959-INDEX(SkiftStart,3),Syklus)&lt;DagK+DagH+DagD,"D","F")))</f>
        <v/>
      </c>
      <c r="E959">
        <f>IF(B959="F",0,IF(WEEKDAY($A959,2)=5,INDEX(TimerFr,MATCH(B959,FaseKode,0)),INDEX(TimerMT,MATCH(B959,FaseKode,0))))</f>
        <v/>
      </c>
      <c r="F959">
        <f>IF(C959="F",0,IF(WEEKDAY($A959,2)=5,INDEX(TimerFr,MATCH(C959,FaseKode,0)),INDEX(TimerMT,MATCH(C959,FaseKode,0))))</f>
        <v/>
      </c>
      <c r="G959">
        <f>IF(D959="F",0,IF(WEEKDAY($A959,2)=5,INDEX(TimerFr,MATCH(D959,FaseKode,0)),INDEX(TimerMT,MATCH(D959,FaseKode,0))))</f>
        <v/>
      </c>
      <c r="H959">
        <f>IF(OR(H$4="",$A959&gt;TODAY()),0,IF(OR(INDEX($B959:$D959,H$5)="F",AND(H$6&gt;0,$A959&lt;H$6),AND(H$7&gt;0,$A959&gt;H$7)),0,MAX(0,ROUND((INDEX($E959:$G959,H$5)-SUMIFS(TF_Timer,TF_Tekniker,H$4,TF_Dato,$A959))*2,0)/2)))</f>
        <v/>
      </c>
      <c r="I959">
        <f>IF(OR(I$4="",$A959&gt;TODAY()),0,IF(OR(INDEX($B959:$D959,I$5)="F",AND(I$6&gt;0,$A959&lt;I$6),AND(I$7&gt;0,$A959&gt;I$7)),0,MAX(0,ROUND((INDEX($E959:$G959,I$5)-SUMIFS(TF_Timer,TF_Tekniker,I$4,TF_Dato,$A959))*2,0)/2)))</f>
        <v/>
      </c>
      <c r="J959">
        <f>IF(OR(J$4="",$A959&gt;TODAY()),0,IF(OR(INDEX($B959:$D959,J$5)="F",AND(J$6&gt;0,$A959&lt;J$6),AND(J$7&gt;0,$A959&gt;J$7)),0,MAX(0,ROUND((INDEX($E959:$G959,J$5)-SUMIFS(TF_Timer,TF_Tekniker,J$4,TF_Dato,$A959))*2,0)/2)))</f>
        <v/>
      </c>
      <c r="K959">
        <f>IF(OR(K$4="",$A959&gt;TODAY()),0,IF(OR(INDEX($B959:$D959,K$5)="F",AND(K$6&gt;0,$A959&lt;K$6),AND(K$7&gt;0,$A959&gt;K$7)),0,MAX(0,ROUND((INDEX($E959:$G959,K$5)-SUMIFS(TF_Timer,TF_Tekniker,K$4,TF_Dato,$A959))*2,0)/2)))</f>
        <v/>
      </c>
      <c r="L959">
        <f>IF(OR(L$4="",$A959&gt;TODAY()),0,IF(OR(INDEX($B959:$D959,L$5)="F",AND(L$6&gt;0,$A959&lt;L$6),AND(L$7&gt;0,$A959&gt;L$7)),0,MAX(0,ROUND((INDEX($E959:$G959,L$5)-SUMIFS(TF_Timer,TF_Tekniker,L$4,TF_Dato,$A959))*2,0)/2)))</f>
        <v/>
      </c>
      <c r="M959">
        <f>IF(OR(M$4="",$A959&gt;TODAY()),0,IF(OR(INDEX($B959:$D959,M$5)="F",AND(M$6&gt;0,$A959&lt;M$6),AND(M$7&gt;0,$A959&gt;M$7)),0,MAX(0,ROUND((INDEX($E959:$G959,M$5)-SUMIFS(TF_Timer,TF_Tekniker,M$4,TF_Dato,$A959))*2,0)/2)))</f>
        <v/>
      </c>
      <c r="N959">
        <f>IF(OR(N$4="",$A959&gt;TODAY()),0,IF(OR(INDEX($B959:$D959,N$5)="F",AND(N$6&gt;0,$A959&lt;N$6),AND(N$7&gt;0,$A959&gt;N$7)),0,MAX(0,ROUND((INDEX($E959:$G959,N$5)-SUMIFS(TF_Timer,TF_Tekniker,N$4,TF_Dato,$A959))*2,0)/2)))</f>
        <v/>
      </c>
      <c r="O959">
        <f>IF(OR(O$4="",$A959&gt;TODAY()),0,IF(OR(INDEX($B959:$D959,O$5)="F",AND(O$6&gt;0,$A959&lt;O$6),AND(O$7&gt;0,$A959&gt;O$7)),0,MAX(0,ROUND((INDEX($E959:$G959,O$5)-SUMIFS(TF_Timer,TF_Tekniker,O$4,TF_Dato,$A959))*2,0)/2)))</f>
        <v/>
      </c>
      <c r="P959">
        <f>IF(OR(P$4="",$A959&gt;TODAY()),0,IF(OR(INDEX($B959:$D959,P$5)="F",AND(P$6&gt;0,$A959&lt;P$6),AND(P$7&gt;0,$A959&gt;P$7)),0,MAX(0,ROUND((INDEX($E959:$G959,P$5)-SUMIFS(TF_Timer,TF_Tekniker,P$4,TF_Dato,$A959))*2,0)/2)))</f>
        <v/>
      </c>
      <c r="Q959">
        <f>IF(OR(Q$4="",$A959&gt;TODAY()),0,IF(OR(INDEX($B959:$D959,Q$5)="F",AND(Q$6&gt;0,$A959&lt;Q$6),AND(Q$7&gt;0,$A959&gt;Q$7)),0,MAX(0,ROUND((INDEX($E959:$G959,Q$5)-SUMIFS(TF_Timer,TF_Tekniker,Q$4,TF_Dato,$A959))*2,0)/2)))</f>
        <v/>
      </c>
      <c r="R959">
        <f>IF(OR(R$4="",$A959&gt;TODAY()),0,IF(OR(INDEX($B959:$D959,R$5)="F",AND(R$6&gt;0,$A959&lt;R$6),AND(R$7&gt;0,$A959&gt;R$7)),0,MAX(0,ROUND((INDEX($E959:$G959,R$5)-SUMIFS(TF_Timer,TF_Tekniker,R$4,TF_Dato,$A959))*2,0)/2)))</f>
        <v/>
      </c>
      <c r="S959">
        <f>IF(OR(S$4="",$A959&gt;TODAY()),0,IF(OR(INDEX($B959:$D959,S$5)="F",AND(S$6&gt;0,$A959&lt;S$6),AND(S$7&gt;0,$A959&gt;S$7)),0,MAX(0,ROUND((INDEX($E959:$G959,S$5)-SUMIFS(TF_Timer,TF_Tekniker,S$4,TF_Dato,$A959))*2,0)/2)))</f>
        <v/>
      </c>
      <c r="T959">
        <f>IF(OR(T$4="",$A959&gt;TODAY()),0,IF(OR(INDEX($B959:$D959,T$5)="F",AND(T$6&gt;0,$A959&lt;T$6),AND(T$7&gt;0,$A959&gt;T$7)),0,MAX(0,ROUND((INDEX($E959:$G959,T$5)-SUMIFS(TF_Timer,TF_Tekniker,T$4,TF_Dato,$A959))*2,0)/2)))</f>
        <v/>
      </c>
      <c r="U959">
        <f>IF(OR(U$4="",$A959&gt;TODAY()),0,IF(OR(INDEX($B959:$D959,U$5)="F",AND(U$6&gt;0,$A959&lt;U$6),AND(U$7&gt;0,$A959&gt;U$7)),0,MAX(0,ROUND((INDEX($E959:$G959,U$5)-SUMIFS(TF_Timer,TF_Tekniker,U$4,TF_Dato,$A959))*2,0)/2)))</f>
        <v/>
      </c>
      <c r="V959">
        <f>IF(OR(V$4="",$A959&gt;TODAY()),0,IF(OR(INDEX($B959:$D959,V$5)="F",AND(V$6&gt;0,$A959&lt;V$6),AND(V$7&gt;0,$A959&gt;V$7)),0,MAX(0,ROUND((INDEX($E959:$G959,V$5)-SUMIFS(TF_Timer,TF_Tekniker,V$4,TF_Dato,$A959))*2,0)/2)))</f>
        <v/>
      </c>
      <c r="W959">
        <f>IF(OR(W$4="",$A959&gt;TODAY()),0,IF(OR(INDEX($B959:$D959,W$5)="F",AND(W$6&gt;0,$A959&lt;W$6),AND(W$7&gt;0,$A959&gt;W$7)),0,MAX(0,ROUND((INDEX($E959:$G959,W$5)-SUMIFS(TF_Timer,TF_Tekniker,W$4,TF_Dato,$A959))*2,0)/2)))</f>
        <v/>
      </c>
      <c r="X959">
        <f>IF(OR(X$4="",$A959&gt;TODAY()),0,IF(OR(INDEX($B959:$D959,X$5)="F",AND(X$6&gt;0,$A959&lt;X$6),AND(X$7&gt;0,$A959&gt;X$7)),0,MAX(0,ROUND((INDEX($E959:$G959,X$5)-SUMIFS(TF_Timer,TF_Tekniker,X$4,TF_Dato,$A959))*2,0)/2)))</f>
        <v/>
      </c>
      <c r="Y959">
        <f>IF(OR(Y$4="",$A959&gt;TODAY()),0,IF(OR(INDEX($B959:$D959,Y$5)="F",AND(Y$6&gt;0,$A959&lt;Y$6),AND(Y$7&gt;0,$A959&gt;Y$7)),0,MAX(0,ROUND((INDEX($E959:$G959,Y$5)-SUMIFS(TF_Timer,TF_Tekniker,Y$4,TF_Dato,$A959))*2,0)/2)))</f>
        <v/>
      </c>
      <c r="Z959">
        <f>IF(OR(Z$4="",$A959&gt;TODAY()),0,IF(OR(INDEX($B959:$D959,Z$5)="F",AND(Z$6&gt;0,$A959&lt;Z$6),AND(Z$7&gt;0,$A959&gt;Z$7)),0,MAX(0,ROUND((INDEX($E959:$G959,Z$5)-SUMIFS(TF_Timer,TF_Tekniker,Z$4,TF_Dato,$A959))*2,0)/2)))</f>
        <v/>
      </c>
      <c r="AA959">
        <f>IF(OR(AA$4="",$A959&gt;TODAY()),0,IF(OR(INDEX($B959:$D959,AA$5)="F",AND(AA$6&gt;0,$A959&lt;AA$6),AND(AA$7&gt;0,$A959&gt;AA$7)),0,MAX(0,ROUND((INDEX($E959:$G959,AA$5)-SUMIFS(TF_Timer,TF_Tekniker,AA$4,TF_Dato,$A959))*2,0)/2)))</f>
        <v/>
      </c>
      <c r="AB959">
        <f>IF(OR(AB$4="",$A959&gt;TODAY()),0,IF(OR(INDEX($B959:$D959,AB$5)="F",AND(AB$6&gt;0,$A959&lt;AB$6),AND(AB$7&gt;0,$A959&gt;AB$7)),0,MAX(0,ROUND((INDEX($E959:$G959,AB$5)-SUMIFS(TF_Timer,TF_Tekniker,AB$4,TF_Dato,$A959))*2,0)/2)))</f>
        <v/>
      </c>
      <c r="AC959">
        <f>IF(OR(AC$4="",$A959&gt;TODAY()),0,IF(OR(INDEX($B959:$D959,AC$5)="F",AND(AC$6&gt;0,$A959&lt;AC$6),AND(AC$7&gt;0,$A959&gt;AC$7)),0,MAX(0,ROUND((INDEX($E959:$G959,AC$5)-SUMIFS(TF_Timer,TF_Tekniker,AC$4,TF_Dato,$A959))*2,0)/2)))</f>
        <v/>
      </c>
      <c r="AD959">
        <f>IF(OR(AD$4="",$A959&gt;TODAY()),0,IF(OR(INDEX($B959:$D959,AD$5)="F",AND(AD$6&gt;0,$A959&lt;AD$6),AND(AD$7&gt;0,$A959&gt;AD$7)),0,MAX(0,ROUND((INDEX($E959:$G959,AD$5)-SUMIFS(TF_Timer,TF_Tekniker,AD$4,TF_Dato,$A959))*2,0)/2)))</f>
        <v/>
      </c>
      <c r="AE959">
        <f>IF(OR(AE$4="",$A959&gt;TODAY()),0,IF(OR(INDEX($B959:$D959,AE$5)="F",AND(AE$6&gt;0,$A959&lt;AE$6),AND(AE$7&gt;0,$A959&gt;AE$7)),0,MAX(0,ROUND((INDEX($E959:$G959,AE$5)-SUMIFS(TF_Timer,TF_Tekniker,AE$4,TF_Dato,$A959))*2,0)/2)))</f>
        <v/>
      </c>
      <c r="AF959">
        <f>IF(OR(AF$4="",$A959&gt;TODAY()),0,IF(OR(INDEX($B959:$D959,AF$5)="F",AND(AF$6&gt;0,$A959&lt;AF$6),AND(AF$7&gt;0,$A959&gt;AF$7)),0,MAX(0,ROUND((INDEX($E959:$G959,AF$5)-SUMIFS(TF_Timer,TF_Tekniker,AF$4,TF_Dato,$A959))*2,0)/2)))</f>
        <v/>
      </c>
      <c r="AG959">
        <f>IF(OR(AG$4="",$A959&gt;TODAY()),0,IF(OR(INDEX($B959:$D959,AG$5)="F",AND(AG$6&gt;0,$A959&lt;AG$6),AND(AG$7&gt;0,$A959&gt;AG$7)),0,MAX(0,ROUND((INDEX($E959:$G959,AG$5)-SUMIFS(TF_Timer,TF_Tekniker,AG$4,TF_Dato,$A959))*2,0)/2)))</f>
        <v/>
      </c>
      <c r="AH959">
        <f>IF(OR(AH$4="",$A959&gt;TODAY()),0,IF(OR(INDEX($B959:$D959,AH$5)="F",AND(AH$6&gt;0,$A959&lt;AH$6),AND(AH$7&gt;0,$A959&gt;AH$7)),0,MAX(0,ROUND((INDEX($E959:$G959,AH$5)-SUMIFS(TF_Timer,TF_Tekniker,AH$4,TF_Dato,$A959))*2,0)/2)))</f>
        <v/>
      </c>
      <c r="AI959">
        <f>IF(OR(AI$4="",$A959&gt;TODAY()),0,IF(OR(INDEX($B959:$D959,AI$5)="F",AND(AI$6&gt;0,$A959&lt;AI$6),AND(AI$7&gt;0,$A959&gt;AI$7)),0,MAX(0,ROUND((INDEX($E959:$G959,AI$5)-SUMIFS(TF_Timer,TF_Tekniker,AI$4,TF_Dato,$A959))*2,0)/2)))</f>
        <v/>
      </c>
      <c r="AJ959">
        <f>IF(OR(AJ$4="",$A959&gt;TODAY()),0,IF(OR(INDEX($B959:$D959,AJ$5)="F",AND(AJ$6&gt;0,$A959&lt;AJ$6),AND(AJ$7&gt;0,$A959&gt;AJ$7)),0,MAX(0,ROUND((INDEX($E959:$G959,AJ$5)-SUMIFS(TF_Timer,TF_Tekniker,AJ$4,TF_Dato,$A959))*2,0)/2)))</f>
        <v/>
      </c>
      <c r="AK959">
        <f>IF(OR(AK$4="",$A959&gt;TODAY()),0,IF(OR(INDEX($B959:$D959,AK$5)="F",AND(AK$6&gt;0,$A959&lt;AK$6),AND(AK$7&gt;0,$A959&gt;AK$7)),0,MAX(0,ROUND((INDEX($E959:$G959,AK$5)-SUMIFS(TF_Timer,TF_Tekniker,AK$4,TF_Dato,$A959))*2,0)/2)))</f>
        <v/>
      </c>
      <c r="AL959">
        <f>IF(OR(AL$4="",$A959&gt;TODAY()),0,IF(OR(INDEX($B959:$D959,AL$5)="F",AND(AL$6&gt;0,$A959&lt;AL$6),AND(AL$7&gt;0,$A959&gt;AL$7)),0,MAX(0,ROUND((INDEX($E959:$G959,AL$5)-SUMIFS(TF_Timer,TF_Tekniker,AL$4,TF_Dato,$A959))*2,0)/2)))</f>
        <v/>
      </c>
      <c r="AM959">
        <f>IF(OR(AM$4="",$A959&gt;TODAY()),0,IF(OR(INDEX($B959:$D959,AM$5)="F",AND(AM$6&gt;0,$A959&lt;AM$6),AND(AM$7&gt;0,$A959&gt;AM$7)),0,MAX(0,ROUND((INDEX($E959:$G959,AM$5)-SUMIFS(TF_Timer,TF_Tekniker,AM$4,TF_Dato,$A959))*2,0)/2)))</f>
        <v/>
      </c>
      <c r="AN959">
        <f>IF(OR(AN$4="",$A959&gt;TODAY()),0,IF(OR(INDEX($B959:$D959,AN$5)="F",AND(AN$6&gt;0,$A959&lt;AN$6),AND(AN$7&gt;0,$A959&gt;AN$7)),0,MAX(0,ROUND((INDEX($E959:$G959,AN$5)-SUMIFS(TF_Timer,TF_Tekniker,AN$4,TF_Dato,$A959))*2,0)/2)))</f>
        <v/>
      </c>
      <c r="AO959">
        <f>IF(OR(AO$4="",$A959&gt;TODAY()),0,IF(OR(INDEX($B959:$D959,AO$5)="F",AND(AO$6&gt;0,$A959&lt;AO$6),AND(AO$7&gt;0,$A959&gt;AO$7)),0,MAX(0,ROUND((INDEX($E959:$G959,AO$5)-SUMIFS(TF_Timer,TF_Tekniker,AO$4,TF_Dato,$A959))*2,0)/2)))</f>
        <v/>
      </c>
      <c r="AP959">
        <f>IF(OR(AP$4="",$A959&gt;TODAY()),0,IF(OR(INDEX($B959:$D959,AP$5)="F",AND(AP$6&gt;0,$A959&lt;AP$6),AND(AP$7&gt;0,$A959&gt;AP$7)),0,MAX(0,ROUND((INDEX($E959:$G959,AP$5)-SUMIFS(TF_Timer,TF_Tekniker,AP$4,TF_Dato,$A959))*2,0)/2)))</f>
        <v/>
      </c>
      <c r="AQ959">
        <f>IF(OR(AQ$4="",$A959&gt;TODAY()),0,IF(OR(INDEX($B959:$D959,AQ$5)="F",AND(AQ$6&gt;0,$A959&lt;AQ$6),AND(AQ$7&gt;0,$A959&gt;AQ$7)),0,MAX(0,ROUND((INDEX($E959:$G959,AQ$5)-SUMIFS(TF_Timer,TF_Tekniker,AQ$4,TF_Dato,$A959))*2,0)/2)))</f>
        <v/>
      </c>
      <c r="AR959">
        <f>IF(OR(AR$4="",$A959&gt;TODAY()),0,IF(OR(INDEX($B959:$D959,AR$5)="F",AND(AR$6&gt;0,$A959&lt;AR$6),AND(AR$7&gt;0,$A959&gt;AR$7)),0,MAX(0,ROUND((INDEX($E959:$G959,AR$5)-SUMIFS(TF_Timer,TF_Tekniker,AR$4,TF_Dato,$A959))*2,0)/2)))</f>
        <v/>
      </c>
      <c r="AS959">
        <f>IF(OR(AS$4="",$A959&gt;TODAY()),0,IF(OR(INDEX($B959:$D959,AS$5)="F",AND(AS$6&gt;0,$A959&lt;AS$6),AND(AS$7&gt;0,$A959&gt;AS$7)),0,MAX(0,ROUND((INDEX($E959:$G959,AS$5)-SUMIFS(TF_Timer,TF_Tekniker,AS$4,TF_Dato,$A959))*2,0)/2)))</f>
        <v/>
      </c>
      <c r="AT959">
        <f>IF(OR(AT$4="",$A959&gt;TODAY()),0,IF(OR(INDEX($B959:$D959,AT$5)="F",AND(AT$6&gt;0,$A959&lt;AT$6),AND(AT$7&gt;0,$A959&gt;AT$7)),0,MAX(0,ROUND((INDEX($E959:$G959,AT$5)-SUMIFS(TF_Timer,TF_Tekniker,AT$4,TF_Dato,$A959))*2,0)/2)))</f>
        <v/>
      </c>
      <c r="AU959">
        <f>IF(OR(AU$4="",$A959&gt;TODAY()),0,IF(OR(INDEX($B959:$D959,AU$5)="F",AND(AU$6&gt;0,$A959&lt;AU$6),AND(AU$7&gt;0,$A959&gt;AU$7)),0,MAX(0,ROUND((INDEX($E959:$G959,AU$5)-SUMIFS(TF_Timer,TF_Tekniker,AU$4,TF_Dato,$A959))*2,0)/2)))</f>
        <v/>
      </c>
      <c r="AV959">
        <f>IF(OR(AV$4="",$A959&gt;TODAY()),0,IF(OR(INDEX($B959:$D959,AV$5)="F",AND(AV$6&gt;0,$A959&lt;AV$6),AND(AV$7&gt;0,$A959&gt;AV$7)),0,MAX(0,ROUND((INDEX($E959:$G959,AV$5)-SUMIFS(TF_Timer,TF_Tekniker,AV$4,TF_Dato,$A959))*2,0)/2)))</f>
        <v/>
      </c>
      <c r="AW959">
        <f>IF(OR(AW$4="",$A959&gt;TODAY()),0,IF(OR(INDEX($B959:$D959,AW$5)="F",AND(AW$6&gt;0,$A959&lt;AW$6),AND(AW$7&gt;0,$A959&gt;AW$7)),0,MAX(0,ROUND((INDEX($E959:$G959,AW$5)-SUMIFS(TF_Timer,TF_Tekniker,AW$4,TF_Dato,$A959))*2,0)/2)))</f>
        <v/>
      </c>
      <c r="AX959">
        <f>IF(OR(AX$4="",$A959&gt;TODAY()),0,IF(OR(INDEX($B959:$D959,AX$5)="F",AND(AX$6&gt;0,$A959&lt;AX$6),AND(AX$7&gt;0,$A959&gt;AX$7)),0,MAX(0,ROUND((INDEX($E959:$G959,AX$5)-SUMIFS(TF_Timer,TF_Tekniker,AX$4,TF_Dato,$A959))*2,0)/2)))</f>
        <v/>
      </c>
      <c r="AY959">
        <f>IF(OR(AY$4="",$A959&gt;TODAY()),0,IF(OR(INDEX($B959:$D959,AY$5)="F",AND(AY$6&gt;0,$A959&lt;AY$6),AND(AY$7&gt;0,$A959&gt;AY$7)),0,MAX(0,ROUND((INDEX($E959:$G959,AY$5)-SUMIFS(TF_Timer,TF_Tekniker,AY$4,TF_Dato,$A959))*2,0)/2)))</f>
        <v/>
      </c>
      <c r="AZ959">
        <f>IF(OR(AZ$4="",$A959&gt;TODAY()),0,IF(OR(INDEX($B959:$D959,AZ$5)="F",AND(AZ$6&gt;0,$A959&lt;AZ$6),AND(AZ$7&gt;0,$A959&gt;AZ$7)),0,MAX(0,ROUND((INDEX($E959:$G959,AZ$5)-SUMIFS(TF_Timer,TF_Tekniker,AZ$4,TF_Dato,$A959))*2,0)/2)))</f>
        <v/>
      </c>
      <c r="BA959">
        <f>IF(OR(BA$4="",$A959&gt;TODAY()),0,IF(OR(INDEX($B959:$D959,BA$5)="F",AND(BA$6&gt;0,$A959&lt;BA$6),AND(BA$7&gt;0,$A959&gt;BA$7)),0,MAX(0,ROUND((INDEX($E959:$G959,BA$5)-SUMIFS(TF_Timer,TF_Tekniker,BA$4,TF_Dato,$A959))*2,0)/2)))</f>
        <v/>
      </c>
      <c r="BB959">
        <f>IF(OR(BB$4="",$A959&gt;TODAY()),0,IF(OR(INDEX($B959:$D959,BB$5)="F",AND(BB$6&gt;0,$A959&lt;BB$6),AND(BB$7&gt;0,$A959&gt;BB$7)),0,MAX(0,ROUND((INDEX($E959:$G959,BB$5)-SUMIFS(TF_Timer,TF_Tekniker,BB$4,TF_Dato,$A959))*2,0)/2)))</f>
        <v/>
      </c>
      <c r="BC959">
        <f>IF(OR(BC$4="",$A959&gt;TODAY()),0,IF(OR(INDEX($B959:$D959,BC$5)="F",AND(BC$6&gt;0,$A959&lt;BC$6),AND(BC$7&gt;0,$A959&gt;BC$7)),0,MAX(0,ROUND((INDEX($E959:$G959,BC$5)-SUMIFS(TF_Timer,TF_Tekniker,BC$4,TF_Dato,$A959))*2,0)/2)))</f>
        <v/>
      </c>
      <c r="BD959">
        <f>IF(OR(BD$4="",$A959&gt;TODAY()),0,IF(OR(INDEX($B959:$D959,BD$5)="F",AND(BD$6&gt;0,$A959&lt;BD$6),AND(BD$7&gt;0,$A959&gt;BD$7)),0,MAX(0,ROUND((INDEX($E959:$G959,BD$5)-SUMIFS(TF_Timer,TF_Tekniker,BD$4,TF_Dato,$A959))*2,0)/2)))</f>
        <v/>
      </c>
      <c r="BE959">
        <f>IF(OR(BE$4="",$A959&gt;TODAY()),0,IF(OR(INDEX($B959:$D959,BE$5)="F",AND(BE$6&gt;0,$A959&lt;BE$6),AND(BE$7&gt;0,$A959&gt;BE$7)),0,MAX(0,ROUND((INDEX($E959:$G959,BE$5)-SUMIFS(TF_Timer,TF_Tekniker,BE$4,TF_Dato,$A959))*2,0)/2)))</f>
        <v/>
      </c>
      <c r="BF959">
        <f>IF(OR(BF$4="",$A959&gt;TODAY()),0,IF(OR(INDEX($B959:$D959,BF$5)="F",AND(BF$6&gt;0,$A959&lt;BF$6),AND(BF$7&gt;0,$A959&gt;BF$7)),0,MAX(0,ROUND((INDEX($E959:$G959,BF$5)-SUMIFS(TF_Timer,TF_Tekniker,BF$4,TF_Dato,$A959))*2,0)/2)))</f>
        <v/>
      </c>
      <c r="BG959">
        <f>IF(OR(BG$4="",$A959&gt;TODAY()),0,IF(OR(INDEX($B959:$D959,BG$5)="F",AND(BG$6&gt;0,$A959&lt;BG$6),AND(BG$7&gt;0,$A959&gt;BG$7)),0,MAX(0,ROUND((INDEX($E959:$G959,BG$5)-SUMIFS(TF_Timer,TF_Tekniker,BG$4,TF_Dato,$A959))*2,0)/2)))</f>
        <v/>
      </c>
      <c r="BH959">
        <f>IF(OR(BH$4="",$A959&gt;TODAY()),0,IF(OR(INDEX($B959:$D959,BH$5)="F",AND(BH$6&gt;0,$A959&lt;BH$6),AND(BH$7&gt;0,$A959&gt;BH$7)),0,MAX(0,ROUND((INDEX($E959:$G959,BH$5)-SUMIFS(TF_Timer,TF_Tekniker,BH$4,TF_Dato,$A959))*2,0)/2)))</f>
        <v/>
      </c>
      <c r="BI959">
        <f>IF(OR(BI$4="",$A959&gt;TODAY()),0,IF(OR(INDEX($B959:$D959,BI$5)="F",AND(BI$6&gt;0,$A959&lt;BI$6),AND(BI$7&gt;0,$A959&gt;BI$7)),0,MAX(0,ROUND((INDEX($E959:$G959,BI$5)-SUMIFS(TF_Timer,TF_Tekniker,BI$4,TF_Dato,$A959))*2,0)/2)))</f>
        <v/>
      </c>
    </row>
    <row r="960">
      <c r="A960" s="64">
        <f>A959+1</f>
        <v/>
      </c>
      <c r="B960">
        <f>IF(MOD($A960-INDEX(SkiftStart,1),Syklus)&lt;DagK,"K",IF(MOD($A960-INDEX(SkiftStart,1),Syklus)&lt;DagK+DagH,"H",IF(MOD($A960-INDEX(SkiftStart,1),Syklus)&lt;DagK+DagH+DagD,"D","F")))</f>
        <v/>
      </c>
      <c r="C960">
        <f>IF(MOD($A960-INDEX(SkiftStart,2),Syklus)&lt;DagK,"K",IF(MOD($A960-INDEX(SkiftStart,2),Syklus)&lt;DagK+DagH,"H",IF(MOD($A960-INDEX(SkiftStart,2),Syklus)&lt;DagK+DagH+DagD,"D","F")))</f>
        <v/>
      </c>
      <c r="D960">
        <f>IF(MOD($A960-INDEX(SkiftStart,3),Syklus)&lt;DagK,"K",IF(MOD($A960-INDEX(SkiftStart,3),Syklus)&lt;DagK+DagH,"H",IF(MOD($A960-INDEX(SkiftStart,3),Syklus)&lt;DagK+DagH+DagD,"D","F")))</f>
        <v/>
      </c>
      <c r="E960">
        <f>IF(B960="F",0,IF(WEEKDAY($A960,2)=5,INDEX(TimerFr,MATCH(B960,FaseKode,0)),INDEX(TimerMT,MATCH(B960,FaseKode,0))))</f>
        <v/>
      </c>
      <c r="F960">
        <f>IF(C960="F",0,IF(WEEKDAY($A960,2)=5,INDEX(TimerFr,MATCH(C960,FaseKode,0)),INDEX(TimerMT,MATCH(C960,FaseKode,0))))</f>
        <v/>
      </c>
      <c r="G960">
        <f>IF(D960="F",0,IF(WEEKDAY($A960,2)=5,INDEX(TimerFr,MATCH(D960,FaseKode,0)),INDEX(TimerMT,MATCH(D960,FaseKode,0))))</f>
        <v/>
      </c>
      <c r="H960">
        <f>IF(OR(H$4="",$A960&gt;TODAY()),0,IF(OR(INDEX($B960:$D960,H$5)="F",AND(H$6&gt;0,$A960&lt;H$6),AND(H$7&gt;0,$A960&gt;H$7)),0,MAX(0,ROUND((INDEX($E960:$G960,H$5)-SUMIFS(TF_Timer,TF_Tekniker,H$4,TF_Dato,$A960))*2,0)/2)))</f>
        <v/>
      </c>
      <c r="I960">
        <f>IF(OR(I$4="",$A960&gt;TODAY()),0,IF(OR(INDEX($B960:$D960,I$5)="F",AND(I$6&gt;0,$A960&lt;I$6),AND(I$7&gt;0,$A960&gt;I$7)),0,MAX(0,ROUND((INDEX($E960:$G960,I$5)-SUMIFS(TF_Timer,TF_Tekniker,I$4,TF_Dato,$A960))*2,0)/2)))</f>
        <v/>
      </c>
      <c r="J960">
        <f>IF(OR(J$4="",$A960&gt;TODAY()),0,IF(OR(INDEX($B960:$D960,J$5)="F",AND(J$6&gt;0,$A960&lt;J$6),AND(J$7&gt;0,$A960&gt;J$7)),0,MAX(0,ROUND((INDEX($E960:$G960,J$5)-SUMIFS(TF_Timer,TF_Tekniker,J$4,TF_Dato,$A960))*2,0)/2)))</f>
        <v/>
      </c>
      <c r="K960">
        <f>IF(OR(K$4="",$A960&gt;TODAY()),0,IF(OR(INDEX($B960:$D960,K$5)="F",AND(K$6&gt;0,$A960&lt;K$6),AND(K$7&gt;0,$A960&gt;K$7)),0,MAX(0,ROUND((INDEX($E960:$G960,K$5)-SUMIFS(TF_Timer,TF_Tekniker,K$4,TF_Dato,$A960))*2,0)/2)))</f>
        <v/>
      </c>
      <c r="L960">
        <f>IF(OR(L$4="",$A960&gt;TODAY()),0,IF(OR(INDEX($B960:$D960,L$5)="F",AND(L$6&gt;0,$A960&lt;L$6),AND(L$7&gt;0,$A960&gt;L$7)),0,MAX(0,ROUND((INDEX($E960:$G960,L$5)-SUMIFS(TF_Timer,TF_Tekniker,L$4,TF_Dato,$A960))*2,0)/2)))</f>
        <v/>
      </c>
      <c r="M960">
        <f>IF(OR(M$4="",$A960&gt;TODAY()),0,IF(OR(INDEX($B960:$D960,M$5)="F",AND(M$6&gt;0,$A960&lt;M$6),AND(M$7&gt;0,$A960&gt;M$7)),0,MAX(0,ROUND((INDEX($E960:$G960,M$5)-SUMIFS(TF_Timer,TF_Tekniker,M$4,TF_Dato,$A960))*2,0)/2)))</f>
        <v/>
      </c>
      <c r="N960">
        <f>IF(OR(N$4="",$A960&gt;TODAY()),0,IF(OR(INDEX($B960:$D960,N$5)="F",AND(N$6&gt;0,$A960&lt;N$6),AND(N$7&gt;0,$A960&gt;N$7)),0,MAX(0,ROUND((INDEX($E960:$G960,N$5)-SUMIFS(TF_Timer,TF_Tekniker,N$4,TF_Dato,$A960))*2,0)/2)))</f>
        <v/>
      </c>
      <c r="O960">
        <f>IF(OR(O$4="",$A960&gt;TODAY()),0,IF(OR(INDEX($B960:$D960,O$5)="F",AND(O$6&gt;0,$A960&lt;O$6),AND(O$7&gt;0,$A960&gt;O$7)),0,MAX(0,ROUND((INDEX($E960:$G960,O$5)-SUMIFS(TF_Timer,TF_Tekniker,O$4,TF_Dato,$A960))*2,0)/2)))</f>
        <v/>
      </c>
      <c r="P960">
        <f>IF(OR(P$4="",$A960&gt;TODAY()),0,IF(OR(INDEX($B960:$D960,P$5)="F",AND(P$6&gt;0,$A960&lt;P$6),AND(P$7&gt;0,$A960&gt;P$7)),0,MAX(0,ROUND((INDEX($E960:$G960,P$5)-SUMIFS(TF_Timer,TF_Tekniker,P$4,TF_Dato,$A960))*2,0)/2)))</f>
        <v/>
      </c>
      <c r="Q960">
        <f>IF(OR(Q$4="",$A960&gt;TODAY()),0,IF(OR(INDEX($B960:$D960,Q$5)="F",AND(Q$6&gt;0,$A960&lt;Q$6),AND(Q$7&gt;0,$A960&gt;Q$7)),0,MAX(0,ROUND((INDEX($E960:$G960,Q$5)-SUMIFS(TF_Timer,TF_Tekniker,Q$4,TF_Dato,$A960))*2,0)/2)))</f>
        <v/>
      </c>
      <c r="R960">
        <f>IF(OR(R$4="",$A960&gt;TODAY()),0,IF(OR(INDEX($B960:$D960,R$5)="F",AND(R$6&gt;0,$A960&lt;R$6),AND(R$7&gt;0,$A960&gt;R$7)),0,MAX(0,ROUND((INDEX($E960:$G960,R$5)-SUMIFS(TF_Timer,TF_Tekniker,R$4,TF_Dato,$A960))*2,0)/2)))</f>
        <v/>
      </c>
      <c r="S960">
        <f>IF(OR(S$4="",$A960&gt;TODAY()),0,IF(OR(INDEX($B960:$D960,S$5)="F",AND(S$6&gt;0,$A960&lt;S$6),AND(S$7&gt;0,$A960&gt;S$7)),0,MAX(0,ROUND((INDEX($E960:$G960,S$5)-SUMIFS(TF_Timer,TF_Tekniker,S$4,TF_Dato,$A960))*2,0)/2)))</f>
        <v/>
      </c>
      <c r="T960">
        <f>IF(OR(T$4="",$A960&gt;TODAY()),0,IF(OR(INDEX($B960:$D960,T$5)="F",AND(T$6&gt;0,$A960&lt;T$6),AND(T$7&gt;0,$A960&gt;T$7)),0,MAX(0,ROUND((INDEX($E960:$G960,T$5)-SUMIFS(TF_Timer,TF_Tekniker,T$4,TF_Dato,$A960))*2,0)/2)))</f>
        <v/>
      </c>
      <c r="U960">
        <f>IF(OR(U$4="",$A960&gt;TODAY()),0,IF(OR(INDEX($B960:$D960,U$5)="F",AND(U$6&gt;0,$A960&lt;U$6),AND(U$7&gt;0,$A960&gt;U$7)),0,MAX(0,ROUND((INDEX($E960:$G960,U$5)-SUMIFS(TF_Timer,TF_Tekniker,U$4,TF_Dato,$A960))*2,0)/2)))</f>
        <v/>
      </c>
      <c r="V960">
        <f>IF(OR(V$4="",$A960&gt;TODAY()),0,IF(OR(INDEX($B960:$D960,V$5)="F",AND(V$6&gt;0,$A960&lt;V$6),AND(V$7&gt;0,$A960&gt;V$7)),0,MAX(0,ROUND((INDEX($E960:$G960,V$5)-SUMIFS(TF_Timer,TF_Tekniker,V$4,TF_Dato,$A960))*2,0)/2)))</f>
        <v/>
      </c>
      <c r="W960">
        <f>IF(OR(W$4="",$A960&gt;TODAY()),0,IF(OR(INDEX($B960:$D960,W$5)="F",AND(W$6&gt;0,$A960&lt;W$6),AND(W$7&gt;0,$A960&gt;W$7)),0,MAX(0,ROUND((INDEX($E960:$G960,W$5)-SUMIFS(TF_Timer,TF_Tekniker,W$4,TF_Dato,$A960))*2,0)/2)))</f>
        <v/>
      </c>
      <c r="X960">
        <f>IF(OR(X$4="",$A960&gt;TODAY()),0,IF(OR(INDEX($B960:$D960,X$5)="F",AND(X$6&gt;0,$A960&lt;X$6),AND(X$7&gt;0,$A960&gt;X$7)),0,MAX(0,ROUND((INDEX($E960:$G960,X$5)-SUMIFS(TF_Timer,TF_Tekniker,X$4,TF_Dato,$A960))*2,0)/2)))</f>
        <v/>
      </c>
      <c r="Y960">
        <f>IF(OR(Y$4="",$A960&gt;TODAY()),0,IF(OR(INDEX($B960:$D960,Y$5)="F",AND(Y$6&gt;0,$A960&lt;Y$6),AND(Y$7&gt;0,$A960&gt;Y$7)),0,MAX(0,ROUND((INDEX($E960:$G960,Y$5)-SUMIFS(TF_Timer,TF_Tekniker,Y$4,TF_Dato,$A960))*2,0)/2)))</f>
        <v/>
      </c>
      <c r="Z960">
        <f>IF(OR(Z$4="",$A960&gt;TODAY()),0,IF(OR(INDEX($B960:$D960,Z$5)="F",AND(Z$6&gt;0,$A960&lt;Z$6),AND(Z$7&gt;0,$A960&gt;Z$7)),0,MAX(0,ROUND((INDEX($E960:$G960,Z$5)-SUMIFS(TF_Timer,TF_Tekniker,Z$4,TF_Dato,$A960))*2,0)/2)))</f>
        <v/>
      </c>
      <c r="AA960">
        <f>IF(OR(AA$4="",$A960&gt;TODAY()),0,IF(OR(INDEX($B960:$D960,AA$5)="F",AND(AA$6&gt;0,$A960&lt;AA$6),AND(AA$7&gt;0,$A960&gt;AA$7)),0,MAX(0,ROUND((INDEX($E960:$G960,AA$5)-SUMIFS(TF_Timer,TF_Tekniker,AA$4,TF_Dato,$A960))*2,0)/2)))</f>
        <v/>
      </c>
      <c r="AB960">
        <f>IF(OR(AB$4="",$A960&gt;TODAY()),0,IF(OR(INDEX($B960:$D960,AB$5)="F",AND(AB$6&gt;0,$A960&lt;AB$6),AND(AB$7&gt;0,$A960&gt;AB$7)),0,MAX(0,ROUND((INDEX($E960:$G960,AB$5)-SUMIFS(TF_Timer,TF_Tekniker,AB$4,TF_Dato,$A960))*2,0)/2)))</f>
        <v/>
      </c>
      <c r="AC960">
        <f>IF(OR(AC$4="",$A960&gt;TODAY()),0,IF(OR(INDEX($B960:$D960,AC$5)="F",AND(AC$6&gt;0,$A960&lt;AC$6),AND(AC$7&gt;0,$A960&gt;AC$7)),0,MAX(0,ROUND((INDEX($E960:$G960,AC$5)-SUMIFS(TF_Timer,TF_Tekniker,AC$4,TF_Dato,$A960))*2,0)/2)))</f>
        <v/>
      </c>
      <c r="AD960">
        <f>IF(OR(AD$4="",$A960&gt;TODAY()),0,IF(OR(INDEX($B960:$D960,AD$5)="F",AND(AD$6&gt;0,$A960&lt;AD$6),AND(AD$7&gt;0,$A960&gt;AD$7)),0,MAX(0,ROUND((INDEX($E960:$G960,AD$5)-SUMIFS(TF_Timer,TF_Tekniker,AD$4,TF_Dato,$A960))*2,0)/2)))</f>
        <v/>
      </c>
      <c r="AE960">
        <f>IF(OR(AE$4="",$A960&gt;TODAY()),0,IF(OR(INDEX($B960:$D960,AE$5)="F",AND(AE$6&gt;0,$A960&lt;AE$6),AND(AE$7&gt;0,$A960&gt;AE$7)),0,MAX(0,ROUND((INDEX($E960:$G960,AE$5)-SUMIFS(TF_Timer,TF_Tekniker,AE$4,TF_Dato,$A960))*2,0)/2)))</f>
        <v/>
      </c>
      <c r="AF960">
        <f>IF(OR(AF$4="",$A960&gt;TODAY()),0,IF(OR(INDEX($B960:$D960,AF$5)="F",AND(AF$6&gt;0,$A960&lt;AF$6),AND(AF$7&gt;0,$A960&gt;AF$7)),0,MAX(0,ROUND((INDEX($E960:$G960,AF$5)-SUMIFS(TF_Timer,TF_Tekniker,AF$4,TF_Dato,$A960))*2,0)/2)))</f>
        <v/>
      </c>
      <c r="AG960">
        <f>IF(OR(AG$4="",$A960&gt;TODAY()),0,IF(OR(INDEX($B960:$D960,AG$5)="F",AND(AG$6&gt;0,$A960&lt;AG$6),AND(AG$7&gt;0,$A960&gt;AG$7)),0,MAX(0,ROUND((INDEX($E960:$G960,AG$5)-SUMIFS(TF_Timer,TF_Tekniker,AG$4,TF_Dato,$A960))*2,0)/2)))</f>
        <v/>
      </c>
      <c r="AH960">
        <f>IF(OR(AH$4="",$A960&gt;TODAY()),0,IF(OR(INDEX($B960:$D960,AH$5)="F",AND(AH$6&gt;0,$A960&lt;AH$6),AND(AH$7&gt;0,$A960&gt;AH$7)),0,MAX(0,ROUND((INDEX($E960:$G960,AH$5)-SUMIFS(TF_Timer,TF_Tekniker,AH$4,TF_Dato,$A960))*2,0)/2)))</f>
        <v/>
      </c>
      <c r="AI960">
        <f>IF(OR(AI$4="",$A960&gt;TODAY()),0,IF(OR(INDEX($B960:$D960,AI$5)="F",AND(AI$6&gt;0,$A960&lt;AI$6),AND(AI$7&gt;0,$A960&gt;AI$7)),0,MAX(0,ROUND((INDEX($E960:$G960,AI$5)-SUMIFS(TF_Timer,TF_Tekniker,AI$4,TF_Dato,$A960))*2,0)/2)))</f>
        <v/>
      </c>
      <c r="AJ960">
        <f>IF(OR(AJ$4="",$A960&gt;TODAY()),0,IF(OR(INDEX($B960:$D960,AJ$5)="F",AND(AJ$6&gt;0,$A960&lt;AJ$6),AND(AJ$7&gt;0,$A960&gt;AJ$7)),0,MAX(0,ROUND((INDEX($E960:$G960,AJ$5)-SUMIFS(TF_Timer,TF_Tekniker,AJ$4,TF_Dato,$A960))*2,0)/2)))</f>
        <v/>
      </c>
      <c r="AK960">
        <f>IF(OR(AK$4="",$A960&gt;TODAY()),0,IF(OR(INDEX($B960:$D960,AK$5)="F",AND(AK$6&gt;0,$A960&lt;AK$6),AND(AK$7&gt;0,$A960&gt;AK$7)),0,MAX(0,ROUND((INDEX($E960:$G960,AK$5)-SUMIFS(TF_Timer,TF_Tekniker,AK$4,TF_Dato,$A960))*2,0)/2)))</f>
        <v/>
      </c>
      <c r="AL960">
        <f>IF(OR(AL$4="",$A960&gt;TODAY()),0,IF(OR(INDEX($B960:$D960,AL$5)="F",AND(AL$6&gt;0,$A960&lt;AL$6),AND(AL$7&gt;0,$A960&gt;AL$7)),0,MAX(0,ROUND((INDEX($E960:$G960,AL$5)-SUMIFS(TF_Timer,TF_Tekniker,AL$4,TF_Dato,$A960))*2,0)/2)))</f>
        <v/>
      </c>
      <c r="AM960">
        <f>IF(OR(AM$4="",$A960&gt;TODAY()),0,IF(OR(INDEX($B960:$D960,AM$5)="F",AND(AM$6&gt;0,$A960&lt;AM$6),AND(AM$7&gt;0,$A960&gt;AM$7)),0,MAX(0,ROUND((INDEX($E960:$G960,AM$5)-SUMIFS(TF_Timer,TF_Tekniker,AM$4,TF_Dato,$A960))*2,0)/2)))</f>
        <v/>
      </c>
      <c r="AN960">
        <f>IF(OR(AN$4="",$A960&gt;TODAY()),0,IF(OR(INDEX($B960:$D960,AN$5)="F",AND(AN$6&gt;0,$A960&lt;AN$6),AND(AN$7&gt;0,$A960&gt;AN$7)),0,MAX(0,ROUND((INDEX($E960:$G960,AN$5)-SUMIFS(TF_Timer,TF_Tekniker,AN$4,TF_Dato,$A960))*2,0)/2)))</f>
        <v/>
      </c>
      <c r="AO960">
        <f>IF(OR(AO$4="",$A960&gt;TODAY()),0,IF(OR(INDEX($B960:$D960,AO$5)="F",AND(AO$6&gt;0,$A960&lt;AO$6),AND(AO$7&gt;0,$A960&gt;AO$7)),0,MAX(0,ROUND((INDEX($E960:$G960,AO$5)-SUMIFS(TF_Timer,TF_Tekniker,AO$4,TF_Dato,$A960))*2,0)/2)))</f>
        <v/>
      </c>
      <c r="AP960">
        <f>IF(OR(AP$4="",$A960&gt;TODAY()),0,IF(OR(INDEX($B960:$D960,AP$5)="F",AND(AP$6&gt;0,$A960&lt;AP$6),AND(AP$7&gt;0,$A960&gt;AP$7)),0,MAX(0,ROUND((INDEX($E960:$G960,AP$5)-SUMIFS(TF_Timer,TF_Tekniker,AP$4,TF_Dato,$A960))*2,0)/2)))</f>
        <v/>
      </c>
      <c r="AQ960">
        <f>IF(OR(AQ$4="",$A960&gt;TODAY()),0,IF(OR(INDEX($B960:$D960,AQ$5)="F",AND(AQ$6&gt;0,$A960&lt;AQ$6),AND(AQ$7&gt;0,$A960&gt;AQ$7)),0,MAX(0,ROUND((INDEX($E960:$G960,AQ$5)-SUMIFS(TF_Timer,TF_Tekniker,AQ$4,TF_Dato,$A960))*2,0)/2)))</f>
        <v/>
      </c>
      <c r="AR960">
        <f>IF(OR(AR$4="",$A960&gt;TODAY()),0,IF(OR(INDEX($B960:$D960,AR$5)="F",AND(AR$6&gt;0,$A960&lt;AR$6),AND(AR$7&gt;0,$A960&gt;AR$7)),0,MAX(0,ROUND((INDEX($E960:$G960,AR$5)-SUMIFS(TF_Timer,TF_Tekniker,AR$4,TF_Dato,$A960))*2,0)/2)))</f>
        <v/>
      </c>
      <c r="AS960">
        <f>IF(OR(AS$4="",$A960&gt;TODAY()),0,IF(OR(INDEX($B960:$D960,AS$5)="F",AND(AS$6&gt;0,$A960&lt;AS$6),AND(AS$7&gt;0,$A960&gt;AS$7)),0,MAX(0,ROUND((INDEX($E960:$G960,AS$5)-SUMIFS(TF_Timer,TF_Tekniker,AS$4,TF_Dato,$A960))*2,0)/2)))</f>
        <v/>
      </c>
      <c r="AT960">
        <f>IF(OR(AT$4="",$A960&gt;TODAY()),0,IF(OR(INDEX($B960:$D960,AT$5)="F",AND(AT$6&gt;0,$A960&lt;AT$6),AND(AT$7&gt;0,$A960&gt;AT$7)),0,MAX(0,ROUND((INDEX($E960:$G960,AT$5)-SUMIFS(TF_Timer,TF_Tekniker,AT$4,TF_Dato,$A960))*2,0)/2)))</f>
        <v/>
      </c>
      <c r="AU960">
        <f>IF(OR(AU$4="",$A960&gt;TODAY()),0,IF(OR(INDEX($B960:$D960,AU$5)="F",AND(AU$6&gt;0,$A960&lt;AU$6),AND(AU$7&gt;0,$A960&gt;AU$7)),0,MAX(0,ROUND((INDEX($E960:$G960,AU$5)-SUMIFS(TF_Timer,TF_Tekniker,AU$4,TF_Dato,$A960))*2,0)/2)))</f>
        <v/>
      </c>
      <c r="AV960">
        <f>IF(OR(AV$4="",$A960&gt;TODAY()),0,IF(OR(INDEX($B960:$D960,AV$5)="F",AND(AV$6&gt;0,$A960&lt;AV$6),AND(AV$7&gt;0,$A960&gt;AV$7)),0,MAX(0,ROUND((INDEX($E960:$G960,AV$5)-SUMIFS(TF_Timer,TF_Tekniker,AV$4,TF_Dato,$A960))*2,0)/2)))</f>
        <v/>
      </c>
      <c r="AW960">
        <f>IF(OR(AW$4="",$A960&gt;TODAY()),0,IF(OR(INDEX($B960:$D960,AW$5)="F",AND(AW$6&gt;0,$A960&lt;AW$6),AND(AW$7&gt;0,$A960&gt;AW$7)),0,MAX(0,ROUND((INDEX($E960:$G960,AW$5)-SUMIFS(TF_Timer,TF_Tekniker,AW$4,TF_Dato,$A960))*2,0)/2)))</f>
        <v/>
      </c>
      <c r="AX960">
        <f>IF(OR(AX$4="",$A960&gt;TODAY()),0,IF(OR(INDEX($B960:$D960,AX$5)="F",AND(AX$6&gt;0,$A960&lt;AX$6),AND(AX$7&gt;0,$A960&gt;AX$7)),0,MAX(0,ROUND((INDEX($E960:$G960,AX$5)-SUMIFS(TF_Timer,TF_Tekniker,AX$4,TF_Dato,$A960))*2,0)/2)))</f>
        <v/>
      </c>
      <c r="AY960">
        <f>IF(OR(AY$4="",$A960&gt;TODAY()),0,IF(OR(INDEX($B960:$D960,AY$5)="F",AND(AY$6&gt;0,$A960&lt;AY$6),AND(AY$7&gt;0,$A960&gt;AY$7)),0,MAX(0,ROUND((INDEX($E960:$G960,AY$5)-SUMIFS(TF_Timer,TF_Tekniker,AY$4,TF_Dato,$A960))*2,0)/2)))</f>
        <v/>
      </c>
      <c r="AZ960">
        <f>IF(OR(AZ$4="",$A960&gt;TODAY()),0,IF(OR(INDEX($B960:$D960,AZ$5)="F",AND(AZ$6&gt;0,$A960&lt;AZ$6),AND(AZ$7&gt;0,$A960&gt;AZ$7)),0,MAX(0,ROUND((INDEX($E960:$G960,AZ$5)-SUMIFS(TF_Timer,TF_Tekniker,AZ$4,TF_Dato,$A960))*2,0)/2)))</f>
        <v/>
      </c>
      <c r="BA960">
        <f>IF(OR(BA$4="",$A960&gt;TODAY()),0,IF(OR(INDEX($B960:$D960,BA$5)="F",AND(BA$6&gt;0,$A960&lt;BA$6),AND(BA$7&gt;0,$A960&gt;BA$7)),0,MAX(0,ROUND((INDEX($E960:$G960,BA$5)-SUMIFS(TF_Timer,TF_Tekniker,BA$4,TF_Dato,$A960))*2,0)/2)))</f>
        <v/>
      </c>
      <c r="BB960">
        <f>IF(OR(BB$4="",$A960&gt;TODAY()),0,IF(OR(INDEX($B960:$D960,BB$5)="F",AND(BB$6&gt;0,$A960&lt;BB$6),AND(BB$7&gt;0,$A960&gt;BB$7)),0,MAX(0,ROUND((INDEX($E960:$G960,BB$5)-SUMIFS(TF_Timer,TF_Tekniker,BB$4,TF_Dato,$A960))*2,0)/2)))</f>
        <v/>
      </c>
      <c r="BC960">
        <f>IF(OR(BC$4="",$A960&gt;TODAY()),0,IF(OR(INDEX($B960:$D960,BC$5)="F",AND(BC$6&gt;0,$A960&lt;BC$6),AND(BC$7&gt;0,$A960&gt;BC$7)),0,MAX(0,ROUND((INDEX($E960:$G960,BC$5)-SUMIFS(TF_Timer,TF_Tekniker,BC$4,TF_Dato,$A960))*2,0)/2)))</f>
        <v/>
      </c>
      <c r="BD960">
        <f>IF(OR(BD$4="",$A960&gt;TODAY()),0,IF(OR(INDEX($B960:$D960,BD$5)="F",AND(BD$6&gt;0,$A960&lt;BD$6),AND(BD$7&gt;0,$A960&gt;BD$7)),0,MAX(0,ROUND((INDEX($E960:$G960,BD$5)-SUMIFS(TF_Timer,TF_Tekniker,BD$4,TF_Dato,$A960))*2,0)/2)))</f>
        <v/>
      </c>
      <c r="BE960">
        <f>IF(OR(BE$4="",$A960&gt;TODAY()),0,IF(OR(INDEX($B960:$D960,BE$5)="F",AND(BE$6&gt;0,$A960&lt;BE$6),AND(BE$7&gt;0,$A960&gt;BE$7)),0,MAX(0,ROUND((INDEX($E960:$G960,BE$5)-SUMIFS(TF_Timer,TF_Tekniker,BE$4,TF_Dato,$A960))*2,0)/2)))</f>
        <v/>
      </c>
      <c r="BF960">
        <f>IF(OR(BF$4="",$A960&gt;TODAY()),0,IF(OR(INDEX($B960:$D960,BF$5)="F",AND(BF$6&gt;0,$A960&lt;BF$6),AND(BF$7&gt;0,$A960&gt;BF$7)),0,MAX(0,ROUND((INDEX($E960:$G960,BF$5)-SUMIFS(TF_Timer,TF_Tekniker,BF$4,TF_Dato,$A960))*2,0)/2)))</f>
        <v/>
      </c>
      <c r="BG960">
        <f>IF(OR(BG$4="",$A960&gt;TODAY()),0,IF(OR(INDEX($B960:$D960,BG$5)="F",AND(BG$6&gt;0,$A960&lt;BG$6),AND(BG$7&gt;0,$A960&gt;BG$7)),0,MAX(0,ROUND((INDEX($E960:$G960,BG$5)-SUMIFS(TF_Timer,TF_Tekniker,BG$4,TF_Dato,$A960))*2,0)/2)))</f>
        <v/>
      </c>
      <c r="BH960">
        <f>IF(OR(BH$4="",$A960&gt;TODAY()),0,IF(OR(INDEX($B960:$D960,BH$5)="F",AND(BH$6&gt;0,$A960&lt;BH$6),AND(BH$7&gt;0,$A960&gt;BH$7)),0,MAX(0,ROUND((INDEX($E960:$G960,BH$5)-SUMIFS(TF_Timer,TF_Tekniker,BH$4,TF_Dato,$A960))*2,0)/2)))</f>
        <v/>
      </c>
      <c r="BI960">
        <f>IF(OR(BI$4="",$A960&gt;TODAY()),0,IF(OR(INDEX($B960:$D960,BI$5)="F",AND(BI$6&gt;0,$A960&lt;BI$6),AND(BI$7&gt;0,$A960&gt;BI$7)),0,MAX(0,ROUND((INDEX($E960:$G960,BI$5)-SUMIFS(TF_Timer,TF_Tekniker,BI$4,TF_Dato,$A960))*2,0)/2)))</f>
        <v/>
      </c>
    </row>
    <row r="961">
      <c r="A961" s="64">
        <f>A960+1</f>
        <v/>
      </c>
      <c r="B961">
        <f>IF(MOD($A961-INDEX(SkiftStart,1),Syklus)&lt;DagK,"K",IF(MOD($A961-INDEX(SkiftStart,1),Syklus)&lt;DagK+DagH,"H",IF(MOD($A961-INDEX(SkiftStart,1),Syklus)&lt;DagK+DagH+DagD,"D","F")))</f>
        <v/>
      </c>
      <c r="C961">
        <f>IF(MOD($A961-INDEX(SkiftStart,2),Syklus)&lt;DagK,"K",IF(MOD($A961-INDEX(SkiftStart,2),Syklus)&lt;DagK+DagH,"H",IF(MOD($A961-INDEX(SkiftStart,2),Syklus)&lt;DagK+DagH+DagD,"D","F")))</f>
        <v/>
      </c>
      <c r="D961">
        <f>IF(MOD($A961-INDEX(SkiftStart,3),Syklus)&lt;DagK,"K",IF(MOD($A961-INDEX(SkiftStart,3),Syklus)&lt;DagK+DagH,"H",IF(MOD($A961-INDEX(SkiftStart,3),Syklus)&lt;DagK+DagH+DagD,"D","F")))</f>
        <v/>
      </c>
      <c r="E961">
        <f>IF(B961="F",0,IF(WEEKDAY($A961,2)=5,INDEX(TimerFr,MATCH(B961,FaseKode,0)),INDEX(TimerMT,MATCH(B961,FaseKode,0))))</f>
        <v/>
      </c>
      <c r="F961">
        <f>IF(C961="F",0,IF(WEEKDAY($A961,2)=5,INDEX(TimerFr,MATCH(C961,FaseKode,0)),INDEX(TimerMT,MATCH(C961,FaseKode,0))))</f>
        <v/>
      </c>
      <c r="G961">
        <f>IF(D961="F",0,IF(WEEKDAY($A961,2)=5,INDEX(TimerFr,MATCH(D961,FaseKode,0)),INDEX(TimerMT,MATCH(D961,FaseKode,0))))</f>
        <v/>
      </c>
      <c r="H961">
        <f>IF(OR(H$4="",$A961&gt;TODAY()),0,IF(OR(INDEX($B961:$D961,H$5)="F",AND(H$6&gt;0,$A961&lt;H$6),AND(H$7&gt;0,$A961&gt;H$7)),0,MAX(0,ROUND((INDEX($E961:$G961,H$5)-SUMIFS(TF_Timer,TF_Tekniker,H$4,TF_Dato,$A961))*2,0)/2)))</f>
        <v/>
      </c>
      <c r="I961">
        <f>IF(OR(I$4="",$A961&gt;TODAY()),0,IF(OR(INDEX($B961:$D961,I$5)="F",AND(I$6&gt;0,$A961&lt;I$6),AND(I$7&gt;0,$A961&gt;I$7)),0,MAX(0,ROUND((INDEX($E961:$G961,I$5)-SUMIFS(TF_Timer,TF_Tekniker,I$4,TF_Dato,$A961))*2,0)/2)))</f>
        <v/>
      </c>
      <c r="J961">
        <f>IF(OR(J$4="",$A961&gt;TODAY()),0,IF(OR(INDEX($B961:$D961,J$5)="F",AND(J$6&gt;0,$A961&lt;J$6),AND(J$7&gt;0,$A961&gt;J$7)),0,MAX(0,ROUND((INDEX($E961:$G961,J$5)-SUMIFS(TF_Timer,TF_Tekniker,J$4,TF_Dato,$A961))*2,0)/2)))</f>
        <v/>
      </c>
      <c r="K961">
        <f>IF(OR(K$4="",$A961&gt;TODAY()),0,IF(OR(INDEX($B961:$D961,K$5)="F",AND(K$6&gt;0,$A961&lt;K$6),AND(K$7&gt;0,$A961&gt;K$7)),0,MAX(0,ROUND((INDEX($E961:$G961,K$5)-SUMIFS(TF_Timer,TF_Tekniker,K$4,TF_Dato,$A961))*2,0)/2)))</f>
        <v/>
      </c>
      <c r="L961">
        <f>IF(OR(L$4="",$A961&gt;TODAY()),0,IF(OR(INDEX($B961:$D961,L$5)="F",AND(L$6&gt;0,$A961&lt;L$6),AND(L$7&gt;0,$A961&gt;L$7)),0,MAX(0,ROUND((INDEX($E961:$G961,L$5)-SUMIFS(TF_Timer,TF_Tekniker,L$4,TF_Dato,$A961))*2,0)/2)))</f>
        <v/>
      </c>
      <c r="M961">
        <f>IF(OR(M$4="",$A961&gt;TODAY()),0,IF(OR(INDEX($B961:$D961,M$5)="F",AND(M$6&gt;0,$A961&lt;M$6),AND(M$7&gt;0,$A961&gt;M$7)),0,MAX(0,ROUND((INDEX($E961:$G961,M$5)-SUMIFS(TF_Timer,TF_Tekniker,M$4,TF_Dato,$A961))*2,0)/2)))</f>
        <v/>
      </c>
      <c r="N961">
        <f>IF(OR(N$4="",$A961&gt;TODAY()),0,IF(OR(INDEX($B961:$D961,N$5)="F",AND(N$6&gt;0,$A961&lt;N$6),AND(N$7&gt;0,$A961&gt;N$7)),0,MAX(0,ROUND((INDEX($E961:$G961,N$5)-SUMIFS(TF_Timer,TF_Tekniker,N$4,TF_Dato,$A961))*2,0)/2)))</f>
        <v/>
      </c>
      <c r="O961">
        <f>IF(OR(O$4="",$A961&gt;TODAY()),0,IF(OR(INDEX($B961:$D961,O$5)="F",AND(O$6&gt;0,$A961&lt;O$6),AND(O$7&gt;0,$A961&gt;O$7)),0,MAX(0,ROUND((INDEX($E961:$G961,O$5)-SUMIFS(TF_Timer,TF_Tekniker,O$4,TF_Dato,$A961))*2,0)/2)))</f>
        <v/>
      </c>
      <c r="P961">
        <f>IF(OR(P$4="",$A961&gt;TODAY()),0,IF(OR(INDEX($B961:$D961,P$5)="F",AND(P$6&gt;0,$A961&lt;P$6),AND(P$7&gt;0,$A961&gt;P$7)),0,MAX(0,ROUND((INDEX($E961:$G961,P$5)-SUMIFS(TF_Timer,TF_Tekniker,P$4,TF_Dato,$A961))*2,0)/2)))</f>
        <v/>
      </c>
      <c r="Q961">
        <f>IF(OR(Q$4="",$A961&gt;TODAY()),0,IF(OR(INDEX($B961:$D961,Q$5)="F",AND(Q$6&gt;0,$A961&lt;Q$6),AND(Q$7&gt;0,$A961&gt;Q$7)),0,MAX(0,ROUND((INDEX($E961:$G961,Q$5)-SUMIFS(TF_Timer,TF_Tekniker,Q$4,TF_Dato,$A961))*2,0)/2)))</f>
        <v/>
      </c>
      <c r="R961">
        <f>IF(OR(R$4="",$A961&gt;TODAY()),0,IF(OR(INDEX($B961:$D961,R$5)="F",AND(R$6&gt;0,$A961&lt;R$6),AND(R$7&gt;0,$A961&gt;R$7)),0,MAX(0,ROUND((INDEX($E961:$G961,R$5)-SUMIFS(TF_Timer,TF_Tekniker,R$4,TF_Dato,$A961))*2,0)/2)))</f>
        <v/>
      </c>
      <c r="S961">
        <f>IF(OR(S$4="",$A961&gt;TODAY()),0,IF(OR(INDEX($B961:$D961,S$5)="F",AND(S$6&gt;0,$A961&lt;S$6),AND(S$7&gt;0,$A961&gt;S$7)),0,MAX(0,ROUND((INDEX($E961:$G961,S$5)-SUMIFS(TF_Timer,TF_Tekniker,S$4,TF_Dato,$A961))*2,0)/2)))</f>
        <v/>
      </c>
      <c r="T961">
        <f>IF(OR(T$4="",$A961&gt;TODAY()),0,IF(OR(INDEX($B961:$D961,T$5)="F",AND(T$6&gt;0,$A961&lt;T$6),AND(T$7&gt;0,$A961&gt;T$7)),0,MAX(0,ROUND((INDEX($E961:$G961,T$5)-SUMIFS(TF_Timer,TF_Tekniker,T$4,TF_Dato,$A961))*2,0)/2)))</f>
        <v/>
      </c>
      <c r="U961">
        <f>IF(OR(U$4="",$A961&gt;TODAY()),0,IF(OR(INDEX($B961:$D961,U$5)="F",AND(U$6&gt;0,$A961&lt;U$6),AND(U$7&gt;0,$A961&gt;U$7)),0,MAX(0,ROUND((INDEX($E961:$G961,U$5)-SUMIFS(TF_Timer,TF_Tekniker,U$4,TF_Dato,$A961))*2,0)/2)))</f>
        <v/>
      </c>
      <c r="V961">
        <f>IF(OR(V$4="",$A961&gt;TODAY()),0,IF(OR(INDEX($B961:$D961,V$5)="F",AND(V$6&gt;0,$A961&lt;V$6),AND(V$7&gt;0,$A961&gt;V$7)),0,MAX(0,ROUND((INDEX($E961:$G961,V$5)-SUMIFS(TF_Timer,TF_Tekniker,V$4,TF_Dato,$A961))*2,0)/2)))</f>
        <v/>
      </c>
      <c r="W961">
        <f>IF(OR(W$4="",$A961&gt;TODAY()),0,IF(OR(INDEX($B961:$D961,W$5)="F",AND(W$6&gt;0,$A961&lt;W$6),AND(W$7&gt;0,$A961&gt;W$7)),0,MAX(0,ROUND((INDEX($E961:$G961,W$5)-SUMIFS(TF_Timer,TF_Tekniker,W$4,TF_Dato,$A961))*2,0)/2)))</f>
        <v/>
      </c>
      <c r="X961">
        <f>IF(OR(X$4="",$A961&gt;TODAY()),0,IF(OR(INDEX($B961:$D961,X$5)="F",AND(X$6&gt;0,$A961&lt;X$6),AND(X$7&gt;0,$A961&gt;X$7)),0,MAX(0,ROUND((INDEX($E961:$G961,X$5)-SUMIFS(TF_Timer,TF_Tekniker,X$4,TF_Dato,$A961))*2,0)/2)))</f>
        <v/>
      </c>
      <c r="Y961">
        <f>IF(OR(Y$4="",$A961&gt;TODAY()),0,IF(OR(INDEX($B961:$D961,Y$5)="F",AND(Y$6&gt;0,$A961&lt;Y$6),AND(Y$7&gt;0,$A961&gt;Y$7)),0,MAX(0,ROUND((INDEX($E961:$G961,Y$5)-SUMIFS(TF_Timer,TF_Tekniker,Y$4,TF_Dato,$A961))*2,0)/2)))</f>
        <v/>
      </c>
      <c r="Z961">
        <f>IF(OR(Z$4="",$A961&gt;TODAY()),0,IF(OR(INDEX($B961:$D961,Z$5)="F",AND(Z$6&gt;0,$A961&lt;Z$6),AND(Z$7&gt;0,$A961&gt;Z$7)),0,MAX(0,ROUND((INDEX($E961:$G961,Z$5)-SUMIFS(TF_Timer,TF_Tekniker,Z$4,TF_Dato,$A961))*2,0)/2)))</f>
        <v/>
      </c>
      <c r="AA961">
        <f>IF(OR(AA$4="",$A961&gt;TODAY()),0,IF(OR(INDEX($B961:$D961,AA$5)="F",AND(AA$6&gt;0,$A961&lt;AA$6),AND(AA$7&gt;0,$A961&gt;AA$7)),0,MAX(0,ROUND((INDEX($E961:$G961,AA$5)-SUMIFS(TF_Timer,TF_Tekniker,AA$4,TF_Dato,$A961))*2,0)/2)))</f>
        <v/>
      </c>
      <c r="AB961">
        <f>IF(OR(AB$4="",$A961&gt;TODAY()),0,IF(OR(INDEX($B961:$D961,AB$5)="F",AND(AB$6&gt;0,$A961&lt;AB$6),AND(AB$7&gt;0,$A961&gt;AB$7)),0,MAX(0,ROUND((INDEX($E961:$G961,AB$5)-SUMIFS(TF_Timer,TF_Tekniker,AB$4,TF_Dato,$A961))*2,0)/2)))</f>
        <v/>
      </c>
      <c r="AC961">
        <f>IF(OR(AC$4="",$A961&gt;TODAY()),0,IF(OR(INDEX($B961:$D961,AC$5)="F",AND(AC$6&gt;0,$A961&lt;AC$6),AND(AC$7&gt;0,$A961&gt;AC$7)),0,MAX(0,ROUND((INDEX($E961:$G961,AC$5)-SUMIFS(TF_Timer,TF_Tekniker,AC$4,TF_Dato,$A961))*2,0)/2)))</f>
        <v/>
      </c>
      <c r="AD961">
        <f>IF(OR(AD$4="",$A961&gt;TODAY()),0,IF(OR(INDEX($B961:$D961,AD$5)="F",AND(AD$6&gt;0,$A961&lt;AD$6),AND(AD$7&gt;0,$A961&gt;AD$7)),0,MAX(0,ROUND((INDEX($E961:$G961,AD$5)-SUMIFS(TF_Timer,TF_Tekniker,AD$4,TF_Dato,$A961))*2,0)/2)))</f>
        <v/>
      </c>
      <c r="AE961">
        <f>IF(OR(AE$4="",$A961&gt;TODAY()),0,IF(OR(INDEX($B961:$D961,AE$5)="F",AND(AE$6&gt;0,$A961&lt;AE$6),AND(AE$7&gt;0,$A961&gt;AE$7)),0,MAX(0,ROUND((INDEX($E961:$G961,AE$5)-SUMIFS(TF_Timer,TF_Tekniker,AE$4,TF_Dato,$A961))*2,0)/2)))</f>
        <v/>
      </c>
      <c r="AF961">
        <f>IF(OR(AF$4="",$A961&gt;TODAY()),0,IF(OR(INDEX($B961:$D961,AF$5)="F",AND(AF$6&gt;0,$A961&lt;AF$6),AND(AF$7&gt;0,$A961&gt;AF$7)),0,MAX(0,ROUND((INDEX($E961:$G961,AF$5)-SUMIFS(TF_Timer,TF_Tekniker,AF$4,TF_Dato,$A961))*2,0)/2)))</f>
        <v/>
      </c>
      <c r="AG961">
        <f>IF(OR(AG$4="",$A961&gt;TODAY()),0,IF(OR(INDEX($B961:$D961,AG$5)="F",AND(AG$6&gt;0,$A961&lt;AG$6),AND(AG$7&gt;0,$A961&gt;AG$7)),0,MAX(0,ROUND((INDEX($E961:$G961,AG$5)-SUMIFS(TF_Timer,TF_Tekniker,AG$4,TF_Dato,$A961))*2,0)/2)))</f>
        <v/>
      </c>
      <c r="AH961">
        <f>IF(OR(AH$4="",$A961&gt;TODAY()),0,IF(OR(INDEX($B961:$D961,AH$5)="F",AND(AH$6&gt;0,$A961&lt;AH$6),AND(AH$7&gt;0,$A961&gt;AH$7)),0,MAX(0,ROUND((INDEX($E961:$G961,AH$5)-SUMIFS(TF_Timer,TF_Tekniker,AH$4,TF_Dato,$A961))*2,0)/2)))</f>
        <v/>
      </c>
      <c r="AI961">
        <f>IF(OR(AI$4="",$A961&gt;TODAY()),0,IF(OR(INDEX($B961:$D961,AI$5)="F",AND(AI$6&gt;0,$A961&lt;AI$6),AND(AI$7&gt;0,$A961&gt;AI$7)),0,MAX(0,ROUND((INDEX($E961:$G961,AI$5)-SUMIFS(TF_Timer,TF_Tekniker,AI$4,TF_Dato,$A961))*2,0)/2)))</f>
        <v/>
      </c>
      <c r="AJ961">
        <f>IF(OR(AJ$4="",$A961&gt;TODAY()),0,IF(OR(INDEX($B961:$D961,AJ$5)="F",AND(AJ$6&gt;0,$A961&lt;AJ$6),AND(AJ$7&gt;0,$A961&gt;AJ$7)),0,MAX(0,ROUND((INDEX($E961:$G961,AJ$5)-SUMIFS(TF_Timer,TF_Tekniker,AJ$4,TF_Dato,$A961))*2,0)/2)))</f>
        <v/>
      </c>
      <c r="AK961">
        <f>IF(OR(AK$4="",$A961&gt;TODAY()),0,IF(OR(INDEX($B961:$D961,AK$5)="F",AND(AK$6&gt;0,$A961&lt;AK$6),AND(AK$7&gt;0,$A961&gt;AK$7)),0,MAX(0,ROUND((INDEX($E961:$G961,AK$5)-SUMIFS(TF_Timer,TF_Tekniker,AK$4,TF_Dato,$A961))*2,0)/2)))</f>
        <v/>
      </c>
      <c r="AL961">
        <f>IF(OR(AL$4="",$A961&gt;TODAY()),0,IF(OR(INDEX($B961:$D961,AL$5)="F",AND(AL$6&gt;0,$A961&lt;AL$6),AND(AL$7&gt;0,$A961&gt;AL$7)),0,MAX(0,ROUND((INDEX($E961:$G961,AL$5)-SUMIFS(TF_Timer,TF_Tekniker,AL$4,TF_Dato,$A961))*2,0)/2)))</f>
        <v/>
      </c>
      <c r="AM961">
        <f>IF(OR(AM$4="",$A961&gt;TODAY()),0,IF(OR(INDEX($B961:$D961,AM$5)="F",AND(AM$6&gt;0,$A961&lt;AM$6),AND(AM$7&gt;0,$A961&gt;AM$7)),0,MAX(0,ROUND((INDEX($E961:$G961,AM$5)-SUMIFS(TF_Timer,TF_Tekniker,AM$4,TF_Dato,$A961))*2,0)/2)))</f>
        <v/>
      </c>
      <c r="AN961">
        <f>IF(OR(AN$4="",$A961&gt;TODAY()),0,IF(OR(INDEX($B961:$D961,AN$5)="F",AND(AN$6&gt;0,$A961&lt;AN$6),AND(AN$7&gt;0,$A961&gt;AN$7)),0,MAX(0,ROUND((INDEX($E961:$G961,AN$5)-SUMIFS(TF_Timer,TF_Tekniker,AN$4,TF_Dato,$A961))*2,0)/2)))</f>
        <v/>
      </c>
      <c r="AO961">
        <f>IF(OR(AO$4="",$A961&gt;TODAY()),0,IF(OR(INDEX($B961:$D961,AO$5)="F",AND(AO$6&gt;0,$A961&lt;AO$6),AND(AO$7&gt;0,$A961&gt;AO$7)),0,MAX(0,ROUND((INDEX($E961:$G961,AO$5)-SUMIFS(TF_Timer,TF_Tekniker,AO$4,TF_Dato,$A961))*2,0)/2)))</f>
        <v/>
      </c>
      <c r="AP961">
        <f>IF(OR(AP$4="",$A961&gt;TODAY()),0,IF(OR(INDEX($B961:$D961,AP$5)="F",AND(AP$6&gt;0,$A961&lt;AP$6),AND(AP$7&gt;0,$A961&gt;AP$7)),0,MAX(0,ROUND((INDEX($E961:$G961,AP$5)-SUMIFS(TF_Timer,TF_Tekniker,AP$4,TF_Dato,$A961))*2,0)/2)))</f>
        <v/>
      </c>
      <c r="AQ961">
        <f>IF(OR(AQ$4="",$A961&gt;TODAY()),0,IF(OR(INDEX($B961:$D961,AQ$5)="F",AND(AQ$6&gt;0,$A961&lt;AQ$6),AND(AQ$7&gt;0,$A961&gt;AQ$7)),0,MAX(0,ROUND((INDEX($E961:$G961,AQ$5)-SUMIFS(TF_Timer,TF_Tekniker,AQ$4,TF_Dato,$A961))*2,0)/2)))</f>
        <v/>
      </c>
      <c r="AR961">
        <f>IF(OR(AR$4="",$A961&gt;TODAY()),0,IF(OR(INDEX($B961:$D961,AR$5)="F",AND(AR$6&gt;0,$A961&lt;AR$6),AND(AR$7&gt;0,$A961&gt;AR$7)),0,MAX(0,ROUND((INDEX($E961:$G961,AR$5)-SUMIFS(TF_Timer,TF_Tekniker,AR$4,TF_Dato,$A961))*2,0)/2)))</f>
        <v/>
      </c>
      <c r="AS961">
        <f>IF(OR(AS$4="",$A961&gt;TODAY()),0,IF(OR(INDEX($B961:$D961,AS$5)="F",AND(AS$6&gt;0,$A961&lt;AS$6),AND(AS$7&gt;0,$A961&gt;AS$7)),0,MAX(0,ROUND((INDEX($E961:$G961,AS$5)-SUMIFS(TF_Timer,TF_Tekniker,AS$4,TF_Dato,$A961))*2,0)/2)))</f>
        <v/>
      </c>
      <c r="AT961">
        <f>IF(OR(AT$4="",$A961&gt;TODAY()),0,IF(OR(INDEX($B961:$D961,AT$5)="F",AND(AT$6&gt;0,$A961&lt;AT$6),AND(AT$7&gt;0,$A961&gt;AT$7)),0,MAX(0,ROUND((INDEX($E961:$G961,AT$5)-SUMIFS(TF_Timer,TF_Tekniker,AT$4,TF_Dato,$A961))*2,0)/2)))</f>
        <v/>
      </c>
      <c r="AU961">
        <f>IF(OR(AU$4="",$A961&gt;TODAY()),0,IF(OR(INDEX($B961:$D961,AU$5)="F",AND(AU$6&gt;0,$A961&lt;AU$6),AND(AU$7&gt;0,$A961&gt;AU$7)),0,MAX(0,ROUND((INDEX($E961:$G961,AU$5)-SUMIFS(TF_Timer,TF_Tekniker,AU$4,TF_Dato,$A961))*2,0)/2)))</f>
        <v/>
      </c>
      <c r="AV961">
        <f>IF(OR(AV$4="",$A961&gt;TODAY()),0,IF(OR(INDEX($B961:$D961,AV$5)="F",AND(AV$6&gt;0,$A961&lt;AV$6),AND(AV$7&gt;0,$A961&gt;AV$7)),0,MAX(0,ROUND((INDEX($E961:$G961,AV$5)-SUMIFS(TF_Timer,TF_Tekniker,AV$4,TF_Dato,$A961))*2,0)/2)))</f>
        <v/>
      </c>
      <c r="AW961">
        <f>IF(OR(AW$4="",$A961&gt;TODAY()),0,IF(OR(INDEX($B961:$D961,AW$5)="F",AND(AW$6&gt;0,$A961&lt;AW$6),AND(AW$7&gt;0,$A961&gt;AW$7)),0,MAX(0,ROUND((INDEX($E961:$G961,AW$5)-SUMIFS(TF_Timer,TF_Tekniker,AW$4,TF_Dato,$A961))*2,0)/2)))</f>
        <v/>
      </c>
      <c r="AX961">
        <f>IF(OR(AX$4="",$A961&gt;TODAY()),0,IF(OR(INDEX($B961:$D961,AX$5)="F",AND(AX$6&gt;0,$A961&lt;AX$6),AND(AX$7&gt;0,$A961&gt;AX$7)),0,MAX(0,ROUND((INDEX($E961:$G961,AX$5)-SUMIFS(TF_Timer,TF_Tekniker,AX$4,TF_Dato,$A961))*2,0)/2)))</f>
        <v/>
      </c>
      <c r="AY961">
        <f>IF(OR(AY$4="",$A961&gt;TODAY()),0,IF(OR(INDEX($B961:$D961,AY$5)="F",AND(AY$6&gt;0,$A961&lt;AY$6),AND(AY$7&gt;0,$A961&gt;AY$7)),0,MAX(0,ROUND((INDEX($E961:$G961,AY$5)-SUMIFS(TF_Timer,TF_Tekniker,AY$4,TF_Dato,$A961))*2,0)/2)))</f>
        <v/>
      </c>
      <c r="AZ961">
        <f>IF(OR(AZ$4="",$A961&gt;TODAY()),0,IF(OR(INDEX($B961:$D961,AZ$5)="F",AND(AZ$6&gt;0,$A961&lt;AZ$6),AND(AZ$7&gt;0,$A961&gt;AZ$7)),0,MAX(0,ROUND((INDEX($E961:$G961,AZ$5)-SUMIFS(TF_Timer,TF_Tekniker,AZ$4,TF_Dato,$A961))*2,0)/2)))</f>
        <v/>
      </c>
      <c r="BA961">
        <f>IF(OR(BA$4="",$A961&gt;TODAY()),0,IF(OR(INDEX($B961:$D961,BA$5)="F",AND(BA$6&gt;0,$A961&lt;BA$6),AND(BA$7&gt;0,$A961&gt;BA$7)),0,MAX(0,ROUND((INDEX($E961:$G961,BA$5)-SUMIFS(TF_Timer,TF_Tekniker,BA$4,TF_Dato,$A961))*2,0)/2)))</f>
        <v/>
      </c>
      <c r="BB961">
        <f>IF(OR(BB$4="",$A961&gt;TODAY()),0,IF(OR(INDEX($B961:$D961,BB$5)="F",AND(BB$6&gt;0,$A961&lt;BB$6),AND(BB$7&gt;0,$A961&gt;BB$7)),0,MAX(0,ROUND((INDEX($E961:$G961,BB$5)-SUMIFS(TF_Timer,TF_Tekniker,BB$4,TF_Dato,$A961))*2,0)/2)))</f>
        <v/>
      </c>
      <c r="BC961">
        <f>IF(OR(BC$4="",$A961&gt;TODAY()),0,IF(OR(INDEX($B961:$D961,BC$5)="F",AND(BC$6&gt;0,$A961&lt;BC$6),AND(BC$7&gt;0,$A961&gt;BC$7)),0,MAX(0,ROUND((INDEX($E961:$G961,BC$5)-SUMIFS(TF_Timer,TF_Tekniker,BC$4,TF_Dato,$A961))*2,0)/2)))</f>
        <v/>
      </c>
      <c r="BD961">
        <f>IF(OR(BD$4="",$A961&gt;TODAY()),0,IF(OR(INDEX($B961:$D961,BD$5)="F",AND(BD$6&gt;0,$A961&lt;BD$6),AND(BD$7&gt;0,$A961&gt;BD$7)),0,MAX(0,ROUND((INDEX($E961:$G961,BD$5)-SUMIFS(TF_Timer,TF_Tekniker,BD$4,TF_Dato,$A961))*2,0)/2)))</f>
        <v/>
      </c>
      <c r="BE961">
        <f>IF(OR(BE$4="",$A961&gt;TODAY()),0,IF(OR(INDEX($B961:$D961,BE$5)="F",AND(BE$6&gt;0,$A961&lt;BE$6),AND(BE$7&gt;0,$A961&gt;BE$7)),0,MAX(0,ROUND((INDEX($E961:$G961,BE$5)-SUMIFS(TF_Timer,TF_Tekniker,BE$4,TF_Dato,$A961))*2,0)/2)))</f>
        <v/>
      </c>
      <c r="BF961">
        <f>IF(OR(BF$4="",$A961&gt;TODAY()),0,IF(OR(INDEX($B961:$D961,BF$5)="F",AND(BF$6&gt;0,$A961&lt;BF$6),AND(BF$7&gt;0,$A961&gt;BF$7)),0,MAX(0,ROUND((INDEX($E961:$G961,BF$5)-SUMIFS(TF_Timer,TF_Tekniker,BF$4,TF_Dato,$A961))*2,0)/2)))</f>
        <v/>
      </c>
      <c r="BG961">
        <f>IF(OR(BG$4="",$A961&gt;TODAY()),0,IF(OR(INDEX($B961:$D961,BG$5)="F",AND(BG$6&gt;0,$A961&lt;BG$6),AND(BG$7&gt;0,$A961&gt;BG$7)),0,MAX(0,ROUND((INDEX($E961:$G961,BG$5)-SUMIFS(TF_Timer,TF_Tekniker,BG$4,TF_Dato,$A961))*2,0)/2)))</f>
        <v/>
      </c>
      <c r="BH961">
        <f>IF(OR(BH$4="",$A961&gt;TODAY()),0,IF(OR(INDEX($B961:$D961,BH$5)="F",AND(BH$6&gt;0,$A961&lt;BH$6),AND(BH$7&gt;0,$A961&gt;BH$7)),0,MAX(0,ROUND((INDEX($E961:$G961,BH$5)-SUMIFS(TF_Timer,TF_Tekniker,BH$4,TF_Dato,$A961))*2,0)/2)))</f>
        <v/>
      </c>
      <c r="BI961">
        <f>IF(OR(BI$4="",$A961&gt;TODAY()),0,IF(OR(INDEX($B961:$D961,BI$5)="F",AND(BI$6&gt;0,$A961&lt;BI$6),AND(BI$7&gt;0,$A961&gt;BI$7)),0,MAX(0,ROUND((INDEX($E961:$G961,BI$5)-SUMIFS(TF_Timer,TF_Tekniker,BI$4,TF_Dato,$A961))*2,0)/2)))</f>
        <v/>
      </c>
    </row>
    <row r="962">
      <c r="A962" s="64">
        <f>A961+1</f>
        <v/>
      </c>
      <c r="B962">
        <f>IF(MOD($A962-INDEX(SkiftStart,1),Syklus)&lt;DagK,"K",IF(MOD($A962-INDEX(SkiftStart,1),Syklus)&lt;DagK+DagH,"H",IF(MOD($A962-INDEX(SkiftStart,1),Syklus)&lt;DagK+DagH+DagD,"D","F")))</f>
        <v/>
      </c>
      <c r="C962">
        <f>IF(MOD($A962-INDEX(SkiftStart,2),Syklus)&lt;DagK,"K",IF(MOD($A962-INDEX(SkiftStart,2),Syklus)&lt;DagK+DagH,"H",IF(MOD($A962-INDEX(SkiftStart,2),Syklus)&lt;DagK+DagH+DagD,"D","F")))</f>
        <v/>
      </c>
      <c r="D962">
        <f>IF(MOD($A962-INDEX(SkiftStart,3),Syklus)&lt;DagK,"K",IF(MOD($A962-INDEX(SkiftStart,3),Syklus)&lt;DagK+DagH,"H",IF(MOD($A962-INDEX(SkiftStart,3),Syklus)&lt;DagK+DagH+DagD,"D","F")))</f>
        <v/>
      </c>
      <c r="E962">
        <f>IF(B962="F",0,IF(WEEKDAY($A962,2)=5,INDEX(TimerFr,MATCH(B962,FaseKode,0)),INDEX(TimerMT,MATCH(B962,FaseKode,0))))</f>
        <v/>
      </c>
      <c r="F962">
        <f>IF(C962="F",0,IF(WEEKDAY($A962,2)=5,INDEX(TimerFr,MATCH(C962,FaseKode,0)),INDEX(TimerMT,MATCH(C962,FaseKode,0))))</f>
        <v/>
      </c>
      <c r="G962">
        <f>IF(D962="F",0,IF(WEEKDAY($A962,2)=5,INDEX(TimerFr,MATCH(D962,FaseKode,0)),INDEX(TimerMT,MATCH(D962,FaseKode,0))))</f>
        <v/>
      </c>
      <c r="H962">
        <f>IF(OR(H$4="",$A962&gt;TODAY()),0,IF(OR(INDEX($B962:$D962,H$5)="F",AND(H$6&gt;0,$A962&lt;H$6),AND(H$7&gt;0,$A962&gt;H$7)),0,MAX(0,ROUND((INDEX($E962:$G962,H$5)-SUMIFS(TF_Timer,TF_Tekniker,H$4,TF_Dato,$A962))*2,0)/2)))</f>
        <v/>
      </c>
      <c r="I962">
        <f>IF(OR(I$4="",$A962&gt;TODAY()),0,IF(OR(INDEX($B962:$D962,I$5)="F",AND(I$6&gt;0,$A962&lt;I$6),AND(I$7&gt;0,$A962&gt;I$7)),0,MAX(0,ROUND((INDEX($E962:$G962,I$5)-SUMIFS(TF_Timer,TF_Tekniker,I$4,TF_Dato,$A962))*2,0)/2)))</f>
        <v/>
      </c>
      <c r="J962">
        <f>IF(OR(J$4="",$A962&gt;TODAY()),0,IF(OR(INDEX($B962:$D962,J$5)="F",AND(J$6&gt;0,$A962&lt;J$6),AND(J$7&gt;0,$A962&gt;J$7)),0,MAX(0,ROUND((INDEX($E962:$G962,J$5)-SUMIFS(TF_Timer,TF_Tekniker,J$4,TF_Dato,$A962))*2,0)/2)))</f>
        <v/>
      </c>
      <c r="K962">
        <f>IF(OR(K$4="",$A962&gt;TODAY()),0,IF(OR(INDEX($B962:$D962,K$5)="F",AND(K$6&gt;0,$A962&lt;K$6),AND(K$7&gt;0,$A962&gt;K$7)),0,MAX(0,ROUND((INDEX($E962:$G962,K$5)-SUMIFS(TF_Timer,TF_Tekniker,K$4,TF_Dato,$A962))*2,0)/2)))</f>
        <v/>
      </c>
      <c r="L962">
        <f>IF(OR(L$4="",$A962&gt;TODAY()),0,IF(OR(INDEX($B962:$D962,L$5)="F",AND(L$6&gt;0,$A962&lt;L$6),AND(L$7&gt;0,$A962&gt;L$7)),0,MAX(0,ROUND((INDEX($E962:$G962,L$5)-SUMIFS(TF_Timer,TF_Tekniker,L$4,TF_Dato,$A962))*2,0)/2)))</f>
        <v/>
      </c>
      <c r="M962">
        <f>IF(OR(M$4="",$A962&gt;TODAY()),0,IF(OR(INDEX($B962:$D962,M$5)="F",AND(M$6&gt;0,$A962&lt;M$6),AND(M$7&gt;0,$A962&gt;M$7)),0,MAX(0,ROUND((INDEX($E962:$G962,M$5)-SUMIFS(TF_Timer,TF_Tekniker,M$4,TF_Dato,$A962))*2,0)/2)))</f>
        <v/>
      </c>
      <c r="N962">
        <f>IF(OR(N$4="",$A962&gt;TODAY()),0,IF(OR(INDEX($B962:$D962,N$5)="F",AND(N$6&gt;0,$A962&lt;N$6),AND(N$7&gt;0,$A962&gt;N$7)),0,MAX(0,ROUND((INDEX($E962:$G962,N$5)-SUMIFS(TF_Timer,TF_Tekniker,N$4,TF_Dato,$A962))*2,0)/2)))</f>
        <v/>
      </c>
      <c r="O962">
        <f>IF(OR(O$4="",$A962&gt;TODAY()),0,IF(OR(INDEX($B962:$D962,O$5)="F",AND(O$6&gt;0,$A962&lt;O$6),AND(O$7&gt;0,$A962&gt;O$7)),0,MAX(0,ROUND((INDEX($E962:$G962,O$5)-SUMIFS(TF_Timer,TF_Tekniker,O$4,TF_Dato,$A962))*2,0)/2)))</f>
        <v/>
      </c>
      <c r="P962">
        <f>IF(OR(P$4="",$A962&gt;TODAY()),0,IF(OR(INDEX($B962:$D962,P$5)="F",AND(P$6&gt;0,$A962&lt;P$6),AND(P$7&gt;0,$A962&gt;P$7)),0,MAX(0,ROUND((INDEX($E962:$G962,P$5)-SUMIFS(TF_Timer,TF_Tekniker,P$4,TF_Dato,$A962))*2,0)/2)))</f>
        <v/>
      </c>
      <c r="Q962">
        <f>IF(OR(Q$4="",$A962&gt;TODAY()),0,IF(OR(INDEX($B962:$D962,Q$5)="F",AND(Q$6&gt;0,$A962&lt;Q$6),AND(Q$7&gt;0,$A962&gt;Q$7)),0,MAX(0,ROUND((INDEX($E962:$G962,Q$5)-SUMIFS(TF_Timer,TF_Tekniker,Q$4,TF_Dato,$A962))*2,0)/2)))</f>
        <v/>
      </c>
      <c r="R962">
        <f>IF(OR(R$4="",$A962&gt;TODAY()),0,IF(OR(INDEX($B962:$D962,R$5)="F",AND(R$6&gt;0,$A962&lt;R$6),AND(R$7&gt;0,$A962&gt;R$7)),0,MAX(0,ROUND((INDEX($E962:$G962,R$5)-SUMIFS(TF_Timer,TF_Tekniker,R$4,TF_Dato,$A962))*2,0)/2)))</f>
        <v/>
      </c>
      <c r="S962">
        <f>IF(OR(S$4="",$A962&gt;TODAY()),0,IF(OR(INDEX($B962:$D962,S$5)="F",AND(S$6&gt;0,$A962&lt;S$6),AND(S$7&gt;0,$A962&gt;S$7)),0,MAX(0,ROUND((INDEX($E962:$G962,S$5)-SUMIFS(TF_Timer,TF_Tekniker,S$4,TF_Dato,$A962))*2,0)/2)))</f>
        <v/>
      </c>
      <c r="T962">
        <f>IF(OR(T$4="",$A962&gt;TODAY()),0,IF(OR(INDEX($B962:$D962,T$5)="F",AND(T$6&gt;0,$A962&lt;T$6),AND(T$7&gt;0,$A962&gt;T$7)),0,MAX(0,ROUND((INDEX($E962:$G962,T$5)-SUMIFS(TF_Timer,TF_Tekniker,T$4,TF_Dato,$A962))*2,0)/2)))</f>
        <v/>
      </c>
      <c r="U962">
        <f>IF(OR(U$4="",$A962&gt;TODAY()),0,IF(OR(INDEX($B962:$D962,U$5)="F",AND(U$6&gt;0,$A962&lt;U$6),AND(U$7&gt;0,$A962&gt;U$7)),0,MAX(0,ROUND((INDEX($E962:$G962,U$5)-SUMIFS(TF_Timer,TF_Tekniker,U$4,TF_Dato,$A962))*2,0)/2)))</f>
        <v/>
      </c>
      <c r="V962">
        <f>IF(OR(V$4="",$A962&gt;TODAY()),0,IF(OR(INDEX($B962:$D962,V$5)="F",AND(V$6&gt;0,$A962&lt;V$6),AND(V$7&gt;0,$A962&gt;V$7)),0,MAX(0,ROUND((INDEX($E962:$G962,V$5)-SUMIFS(TF_Timer,TF_Tekniker,V$4,TF_Dato,$A962))*2,0)/2)))</f>
        <v/>
      </c>
      <c r="W962">
        <f>IF(OR(W$4="",$A962&gt;TODAY()),0,IF(OR(INDEX($B962:$D962,W$5)="F",AND(W$6&gt;0,$A962&lt;W$6),AND(W$7&gt;0,$A962&gt;W$7)),0,MAX(0,ROUND((INDEX($E962:$G962,W$5)-SUMIFS(TF_Timer,TF_Tekniker,W$4,TF_Dato,$A962))*2,0)/2)))</f>
        <v/>
      </c>
      <c r="X962">
        <f>IF(OR(X$4="",$A962&gt;TODAY()),0,IF(OR(INDEX($B962:$D962,X$5)="F",AND(X$6&gt;0,$A962&lt;X$6),AND(X$7&gt;0,$A962&gt;X$7)),0,MAX(0,ROUND((INDEX($E962:$G962,X$5)-SUMIFS(TF_Timer,TF_Tekniker,X$4,TF_Dato,$A962))*2,0)/2)))</f>
        <v/>
      </c>
      <c r="Y962">
        <f>IF(OR(Y$4="",$A962&gt;TODAY()),0,IF(OR(INDEX($B962:$D962,Y$5)="F",AND(Y$6&gt;0,$A962&lt;Y$6),AND(Y$7&gt;0,$A962&gt;Y$7)),0,MAX(0,ROUND((INDEX($E962:$G962,Y$5)-SUMIFS(TF_Timer,TF_Tekniker,Y$4,TF_Dato,$A962))*2,0)/2)))</f>
        <v/>
      </c>
      <c r="Z962">
        <f>IF(OR(Z$4="",$A962&gt;TODAY()),0,IF(OR(INDEX($B962:$D962,Z$5)="F",AND(Z$6&gt;0,$A962&lt;Z$6),AND(Z$7&gt;0,$A962&gt;Z$7)),0,MAX(0,ROUND((INDEX($E962:$G962,Z$5)-SUMIFS(TF_Timer,TF_Tekniker,Z$4,TF_Dato,$A962))*2,0)/2)))</f>
        <v/>
      </c>
      <c r="AA962">
        <f>IF(OR(AA$4="",$A962&gt;TODAY()),0,IF(OR(INDEX($B962:$D962,AA$5)="F",AND(AA$6&gt;0,$A962&lt;AA$6),AND(AA$7&gt;0,$A962&gt;AA$7)),0,MAX(0,ROUND((INDEX($E962:$G962,AA$5)-SUMIFS(TF_Timer,TF_Tekniker,AA$4,TF_Dato,$A962))*2,0)/2)))</f>
        <v/>
      </c>
      <c r="AB962">
        <f>IF(OR(AB$4="",$A962&gt;TODAY()),0,IF(OR(INDEX($B962:$D962,AB$5)="F",AND(AB$6&gt;0,$A962&lt;AB$6),AND(AB$7&gt;0,$A962&gt;AB$7)),0,MAX(0,ROUND((INDEX($E962:$G962,AB$5)-SUMIFS(TF_Timer,TF_Tekniker,AB$4,TF_Dato,$A962))*2,0)/2)))</f>
        <v/>
      </c>
      <c r="AC962">
        <f>IF(OR(AC$4="",$A962&gt;TODAY()),0,IF(OR(INDEX($B962:$D962,AC$5)="F",AND(AC$6&gt;0,$A962&lt;AC$6),AND(AC$7&gt;0,$A962&gt;AC$7)),0,MAX(0,ROUND((INDEX($E962:$G962,AC$5)-SUMIFS(TF_Timer,TF_Tekniker,AC$4,TF_Dato,$A962))*2,0)/2)))</f>
        <v/>
      </c>
      <c r="AD962">
        <f>IF(OR(AD$4="",$A962&gt;TODAY()),0,IF(OR(INDEX($B962:$D962,AD$5)="F",AND(AD$6&gt;0,$A962&lt;AD$6),AND(AD$7&gt;0,$A962&gt;AD$7)),0,MAX(0,ROUND((INDEX($E962:$G962,AD$5)-SUMIFS(TF_Timer,TF_Tekniker,AD$4,TF_Dato,$A962))*2,0)/2)))</f>
        <v/>
      </c>
      <c r="AE962">
        <f>IF(OR(AE$4="",$A962&gt;TODAY()),0,IF(OR(INDEX($B962:$D962,AE$5)="F",AND(AE$6&gt;0,$A962&lt;AE$6),AND(AE$7&gt;0,$A962&gt;AE$7)),0,MAX(0,ROUND((INDEX($E962:$G962,AE$5)-SUMIFS(TF_Timer,TF_Tekniker,AE$4,TF_Dato,$A962))*2,0)/2)))</f>
        <v/>
      </c>
      <c r="AF962">
        <f>IF(OR(AF$4="",$A962&gt;TODAY()),0,IF(OR(INDEX($B962:$D962,AF$5)="F",AND(AF$6&gt;0,$A962&lt;AF$6),AND(AF$7&gt;0,$A962&gt;AF$7)),0,MAX(0,ROUND((INDEX($E962:$G962,AF$5)-SUMIFS(TF_Timer,TF_Tekniker,AF$4,TF_Dato,$A962))*2,0)/2)))</f>
        <v/>
      </c>
      <c r="AG962">
        <f>IF(OR(AG$4="",$A962&gt;TODAY()),0,IF(OR(INDEX($B962:$D962,AG$5)="F",AND(AG$6&gt;0,$A962&lt;AG$6),AND(AG$7&gt;0,$A962&gt;AG$7)),0,MAX(0,ROUND((INDEX($E962:$G962,AG$5)-SUMIFS(TF_Timer,TF_Tekniker,AG$4,TF_Dato,$A962))*2,0)/2)))</f>
        <v/>
      </c>
      <c r="AH962">
        <f>IF(OR(AH$4="",$A962&gt;TODAY()),0,IF(OR(INDEX($B962:$D962,AH$5)="F",AND(AH$6&gt;0,$A962&lt;AH$6),AND(AH$7&gt;0,$A962&gt;AH$7)),0,MAX(0,ROUND((INDEX($E962:$G962,AH$5)-SUMIFS(TF_Timer,TF_Tekniker,AH$4,TF_Dato,$A962))*2,0)/2)))</f>
        <v/>
      </c>
      <c r="AI962">
        <f>IF(OR(AI$4="",$A962&gt;TODAY()),0,IF(OR(INDEX($B962:$D962,AI$5)="F",AND(AI$6&gt;0,$A962&lt;AI$6),AND(AI$7&gt;0,$A962&gt;AI$7)),0,MAX(0,ROUND((INDEX($E962:$G962,AI$5)-SUMIFS(TF_Timer,TF_Tekniker,AI$4,TF_Dato,$A962))*2,0)/2)))</f>
        <v/>
      </c>
      <c r="AJ962">
        <f>IF(OR(AJ$4="",$A962&gt;TODAY()),0,IF(OR(INDEX($B962:$D962,AJ$5)="F",AND(AJ$6&gt;0,$A962&lt;AJ$6),AND(AJ$7&gt;0,$A962&gt;AJ$7)),0,MAX(0,ROUND((INDEX($E962:$G962,AJ$5)-SUMIFS(TF_Timer,TF_Tekniker,AJ$4,TF_Dato,$A962))*2,0)/2)))</f>
        <v/>
      </c>
      <c r="AK962">
        <f>IF(OR(AK$4="",$A962&gt;TODAY()),0,IF(OR(INDEX($B962:$D962,AK$5)="F",AND(AK$6&gt;0,$A962&lt;AK$6),AND(AK$7&gt;0,$A962&gt;AK$7)),0,MAX(0,ROUND((INDEX($E962:$G962,AK$5)-SUMIFS(TF_Timer,TF_Tekniker,AK$4,TF_Dato,$A962))*2,0)/2)))</f>
        <v/>
      </c>
      <c r="AL962">
        <f>IF(OR(AL$4="",$A962&gt;TODAY()),0,IF(OR(INDEX($B962:$D962,AL$5)="F",AND(AL$6&gt;0,$A962&lt;AL$6),AND(AL$7&gt;0,$A962&gt;AL$7)),0,MAX(0,ROUND((INDEX($E962:$G962,AL$5)-SUMIFS(TF_Timer,TF_Tekniker,AL$4,TF_Dato,$A962))*2,0)/2)))</f>
        <v/>
      </c>
      <c r="AM962">
        <f>IF(OR(AM$4="",$A962&gt;TODAY()),0,IF(OR(INDEX($B962:$D962,AM$5)="F",AND(AM$6&gt;0,$A962&lt;AM$6),AND(AM$7&gt;0,$A962&gt;AM$7)),0,MAX(0,ROUND((INDEX($E962:$G962,AM$5)-SUMIFS(TF_Timer,TF_Tekniker,AM$4,TF_Dato,$A962))*2,0)/2)))</f>
        <v/>
      </c>
      <c r="AN962">
        <f>IF(OR(AN$4="",$A962&gt;TODAY()),0,IF(OR(INDEX($B962:$D962,AN$5)="F",AND(AN$6&gt;0,$A962&lt;AN$6),AND(AN$7&gt;0,$A962&gt;AN$7)),0,MAX(0,ROUND((INDEX($E962:$G962,AN$5)-SUMIFS(TF_Timer,TF_Tekniker,AN$4,TF_Dato,$A962))*2,0)/2)))</f>
        <v/>
      </c>
      <c r="AO962">
        <f>IF(OR(AO$4="",$A962&gt;TODAY()),0,IF(OR(INDEX($B962:$D962,AO$5)="F",AND(AO$6&gt;0,$A962&lt;AO$6),AND(AO$7&gt;0,$A962&gt;AO$7)),0,MAX(0,ROUND((INDEX($E962:$G962,AO$5)-SUMIFS(TF_Timer,TF_Tekniker,AO$4,TF_Dato,$A962))*2,0)/2)))</f>
        <v/>
      </c>
      <c r="AP962">
        <f>IF(OR(AP$4="",$A962&gt;TODAY()),0,IF(OR(INDEX($B962:$D962,AP$5)="F",AND(AP$6&gt;0,$A962&lt;AP$6),AND(AP$7&gt;0,$A962&gt;AP$7)),0,MAX(0,ROUND((INDEX($E962:$G962,AP$5)-SUMIFS(TF_Timer,TF_Tekniker,AP$4,TF_Dato,$A962))*2,0)/2)))</f>
        <v/>
      </c>
      <c r="AQ962">
        <f>IF(OR(AQ$4="",$A962&gt;TODAY()),0,IF(OR(INDEX($B962:$D962,AQ$5)="F",AND(AQ$6&gt;0,$A962&lt;AQ$6),AND(AQ$7&gt;0,$A962&gt;AQ$7)),0,MAX(0,ROUND((INDEX($E962:$G962,AQ$5)-SUMIFS(TF_Timer,TF_Tekniker,AQ$4,TF_Dato,$A962))*2,0)/2)))</f>
        <v/>
      </c>
      <c r="AR962">
        <f>IF(OR(AR$4="",$A962&gt;TODAY()),0,IF(OR(INDEX($B962:$D962,AR$5)="F",AND(AR$6&gt;0,$A962&lt;AR$6),AND(AR$7&gt;0,$A962&gt;AR$7)),0,MAX(0,ROUND((INDEX($E962:$G962,AR$5)-SUMIFS(TF_Timer,TF_Tekniker,AR$4,TF_Dato,$A962))*2,0)/2)))</f>
        <v/>
      </c>
      <c r="AS962">
        <f>IF(OR(AS$4="",$A962&gt;TODAY()),0,IF(OR(INDEX($B962:$D962,AS$5)="F",AND(AS$6&gt;0,$A962&lt;AS$6),AND(AS$7&gt;0,$A962&gt;AS$7)),0,MAX(0,ROUND((INDEX($E962:$G962,AS$5)-SUMIFS(TF_Timer,TF_Tekniker,AS$4,TF_Dato,$A962))*2,0)/2)))</f>
        <v/>
      </c>
      <c r="AT962">
        <f>IF(OR(AT$4="",$A962&gt;TODAY()),0,IF(OR(INDEX($B962:$D962,AT$5)="F",AND(AT$6&gt;0,$A962&lt;AT$6),AND(AT$7&gt;0,$A962&gt;AT$7)),0,MAX(0,ROUND((INDEX($E962:$G962,AT$5)-SUMIFS(TF_Timer,TF_Tekniker,AT$4,TF_Dato,$A962))*2,0)/2)))</f>
        <v/>
      </c>
      <c r="AU962">
        <f>IF(OR(AU$4="",$A962&gt;TODAY()),0,IF(OR(INDEX($B962:$D962,AU$5)="F",AND(AU$6&gt;0,$A962&lt;AU$6),AND(AU$7&gt;0,$A962&gt;AU$7)),0,MAX(0,ROUND((INDEX($E962:$G962,AU$5)-SUMIFS(TF_Timer,TF_Tekniker,AU$4,TF_Dato,$A962))*2,0)/2)))</f>
        <v/>
      </c>
      <c r="AV962">
        <f>IF(OR(AV$4="",$A962&gt;TODAY()),0,IF(OR(INDEX($B962:$D962,AV$5)="F",AND(AV$6&gt;0,$A962&lt;AV$6),AND(AV$7&gt;0,$A962&gt;AV$7)),0,MAX(0,ROUND((INDEX($E962:$G962,AV$5)-SUMIFS(TF_Timer,TF_Tekniker,AV$4,TF_Dato,$A962))*2,0)/2)))</f>
        <v/>
      </c>
      <c r="AW962">
        <f>IF(OR(AW$4="",$A962&gt;TODAY()),0,IF(OR(INDEX($B962:$D962,AW$5)="F",AND(AW$6&gt;0,$A962&lt;AW$6),AND(AW$7&gt;0,$A962&gt;AW$7)),0,MAX(0,ROUND((INDEX($E962:$G962,AW$5)-SUMIFS(TF_Timer,TF_Tekniker,AW$4,TF_Dato,$A962))*2,0)/2)))</f>
        <v/>
      </c>
      <c r="AX962">
        <f>IF(OR(AX$4="",$A962&gt;TODAY()),0,IF(OR(INDEX($B962:$D962,AX$5)="F",AND(AX$6&gt;0,$A962&lt;AX$6),AND(AX$7&gt;0,$A962&gt;AX$7)),0,MAX(0,ROUND((INDEX($E962:$G962,AX$5)-SUMIFS(TF_Timer,TF_Tekniker,AX$4,TF_Dato,$A962))*2,0)/2)))</f>
        <v/>
      </c>
      <c r="AY962">
        <f>IF(OR(AY$4="",$A962&gt;TODAY()),0,IF(OR(INDEX($B962:$D962,AY$5)="F",AND(AY$6&gt;0,$A962&lt;AY$6),AND(AY$7&gt;0,$A962&gt;AY$7)),0,MAX(0,ROUND((INDEX($E962:$G962,AY$5)-SUMIFS(TF_Timer,TF_Tekniker,AY$4,TF_Dato,$A962))*2,0)/2)))</f>
        <v/>
      </c>
      <c r="AZ962">
        <f>IF(OR(AZ$4="",$A962&gt;TODAY()),0,IF(OR(INDEX($B962:$D962,AZ$5)="F",AND(AZ$6&gt;0,$A962&lt;AZ$6),AND(AZ$7&gt;0,$A962&gt;AZ$7)),0,MAX(0,ROUND((INDEX($E962:$G962,AZ$5)-SUMIFS(TF_Timer,TF_Tekniker,AZ$4,TF_Dato,$A962))*2,0)/2)))</f>
        <v/>
      </c>
      <c r="BA962">
        <f>IF(OR(BA$4="",$A962&gt;TODAY()),0,IF(OR(INDEX($B962:$D962,BA$5)="F",AND(BA$6&gt;0,$A962&lt;BA$6),AND(BA$7&gt;0,$A962&gt;BA$7)),0,MAX(0,ROUND((INDEX($E962:$G962,BA$5)-SUMIFS(TF_Timer,TF_Tekniker,BA$4,TF_Dato,$A962))*2,0)/2)))</f>
        <v/>
      </c>
      <c r="BB962">
        <f>IF(OR(BB$4="",$A962&gt;TODAY()),0,IF(OR(INDEX($B962:$D962,BB$5)="F",AND(BB$6&gt;0,$A962&lt;BB$6),AND(BB$7&gt;0,$A962&gt;BB$7)),0,MAX(0,ROUND((INDEX($E962:$G962,BB$5)-SUMIFS(TF_Timer,TF_Tekniker,BB$4,TF_Dato,$A962))*2,0)/2)))</f>
        <v/>
      </c>
      <c r="BC962">
        <f>IF(OR(BC$4="",$A962&gt;TODAY()),0,IF(OR(INDEX($B962:$D962,BC$5)="F",AND(BC$6&gt;0,$A962&lt;BC$6),AND(BC$7&gt;0,$A962&gt;BC$7)),0,MAX(0,ROUND((INDEX($E962:$G962,BC$5)-SUMIFS(TF_Timer,TF_Tekniker,BC$4,TF_Dato,$A962))*2,0)/2)))</f>
        <v/>
      </c>
      <c r="BD962">
        <f>IF(OR(BD$4="",$A962&gt;TODAY()),0,IF(OR(INDEX($B962:$D962,BD$5)="F",AND(BD$6&gt;0,$A962&lt;BD$6),AND(BD$7&gt;0,$A962&gt;BD$7)),0,MAX(0,ROUND((INDEX($E962:$G962,BD$5)-SUMIFS(TF_Timer,TF_Tekniker,BD$4,TF_Dato,$A962))*2,0)/2)))</f>
        <v/>
      </c>
      <c r="BE962">
        <f>IF(OR(BE$4="",$A962&gt;TODAY()),0,IF(OR(INDEX($B962:$D962,BE$5)="F",AND(BE$6&gt;0,$A962&lt;BE$6),AND(BE$7&gt;0,$A962&gt;BE$7)),0,MAX(0,ROUND((INDEX($E962:$G962,BE$5)-SUMIFS(TF_Timer,TF_Tekniker,BE$4,TF_Dato,$A962))*2,0)/2)))</f>
        <v/>
      </c>
      <c r="BF962">
        <f>IF(OR(BF$4="",$A962&gt;TODAY()),0,IF(OR(INDEX($B962:$D962,BF$5)="F",AND(BF$6&gt;0,$A962&lt;BF$6),AND(BF$7&gt;0,$A962&gt;BF$7)),0,MAX(0,ROUND((INDEX($E962:$G962,BF$5)-SUMIFS(TF_Timer,TF_Tekniker,BF$4,TF_Dato,$A962))*2,0)/2)))</f>
        <v/>
      </c>
      <c r="BG962">
        <f>IF(OR(BG$4="",$A962&gt;TODAY()),0,IF(OR(INDEX($B962:$D962,BG$5)="F",AND(BG$6&gt;0,$A962&lt;BG$6),AND(BG$7&gt;0,$A962&gt;BG$7)),0,MAX(0,ROUND((INDEX($E962:$G962,BG$5)-SUMIFS(TF_Timer,TF_Tekniker,BG$4,TF_Dato,$A962))*2,0)/2)))</f>
        <v/>
      </c>
      <c r="BH962">
        <f>IF(OR(BH$4="",$A962&gt;TODAY()),0,IF(OR(INDEX($B962:$D962,BH$5)="F",AND(BH$6&gt;0,$A962&lt;BH$6),AND(BH$7&gt;0,$A962&gt;BH$7)),0,MAX(0,ROUND((INDEX($E962:$G962,BH$5)-SUMIFS(TF_Timer,TF_Tekniker,BH$4,TF_Dato,$A962))*2,0)/2)))</f>
        <v/>
      </c>
      <c r="BI962">
        <f>IF(OR(BI$4="",$A962&gt;TODAY()),0,IF(OR(INDEX($B962:$D962,BI$5)="F",AND(BI$6&gt;0,$A962&lt;BI$6),AND(BI$7&gt;0,$A962&gt;BI$7)),0,MAX(0,ROUND((INDEX($E962:$G962,BI$5)-SUMIFS(TF_Timer,TF_Tekniker,BI$4,TF_Dato,$A962))*2,0)/2)))</f>
        <v/>
      </c>
    </row>
    <row r="963">
      <c r="A963" s="64">
        <f>A962+1</f>
        <v/>
      </c>
      <c r="B963">
        <f>IF(MOD($A963-INDEX(SkiftStart,1),Syklus)&lt;DagK,"K",IF(MOD($A963-INDEX(SkiftStart,1),Syklus)&lt;DagK+DagH,"H",IF(MOD($A963-INDEX(SkiftStart,1),Syklus)&lt;DagK+DagH+DagD,"D","F")))</f>
        <v/>
      </c>
      <c r="C963">
        <f>IF(MOD($A963-INDEX(SkiftStart,2),Syklus)&lt;DagK,"K",IF(MOD($A963-INDEX(SkiftStart,2),Syklus)&lt;DagK+DagH,"H",IF(MOD($A963-INDEX(SkiftStart,2),Syklus)&lt;DagK+DagH+DagD,"D","F")))</f>
        <v/>
      </c>
      <c r="D963">
        <f>IF(MOD($A963-INDEX(SkiftStart,3),Syklus)&lt;DagK,"K",IF(MOD($A963-INDEX(SkiftStart,3),Syklus)&lt;DagK+DagH,"H",IF(MOD($A963-INDEX(SkiftStart,3),Syklus)&lt;DagK+DagH+DagD,"D","F")))</f>
        <v/>
      </c>
      <c r="E963">
        <f>IF(B963="F",0,IF(WEEKDAY($A963,2)=5,INDEX(TimerFr,MATCH(B963,FaseKode,0)),INDEX(TimerMT,MATCH(B963,FaseKode,0))))</f>
        <v/>
      </c>
      <c r="F963">
        <f>IF(C963="F",0,IF(WEEKDAY($A963,2)=5,INDEX(TimerFr,MATCH(C963,FaseKode,0)),INDEX(TimerMT,MATCH(C963,FaseKode,0))))</f>
        <v/>
      </c>
      <c r="G963">
        <f>IF(D963="F",0,IF(WEEKDAY($A963,2)=5,INDEX(TimerFr,MATCH(D963,FaseKode,0)),INDEX(TimerMT,MATCH(D963,FaseKode,0))))</f>
        <v/>
      </c>
      <c r="H963">
        <f>IF(OR(H$4="",$A963&gt;TODAY()),0,IF(OR(INDEX($B963:$D963,H$5)="F",AND(H$6&gt;0,$A963&lt;H$6),AND(H$7&gt;0,$A963&gt;H$7)),0,MAX(0,ROUND((INDEX($E963:$G963,H$5)-SUMIFS(TF_Timer,TF_Tekniker,H$4,TF_Dato,$A963))*2,0)/2)))</f>
        <v/>
      </c>
      <c r="I963">
        <f>IF(OR(I$4="",$A963&gt;TODAY()),0,IF(OR(INDEX($B963:$D963,I$5)="F",AND(I$6&gt;0,$A963&lt;I$6),AND(I$7&gt;0,$A963&gt;I$7)),0,MAX(0,ROUND((INDEX($E963:$G963,I$5)-SUMIFS(TF_Timer,TF_Tekniker,I$4,TF_Dato,$A963))*2,0)/2)))</f>
        <v/>
      </c>
      <c r="J963">
        <f>IF(OR(J$4="",$A963&gt;TODAY()),0,IF(OR(INDEX($B963:$D963,J$5)="F",AND(J$6&gt;0,$A963&lt;J$6),AND(J$7&gt;0,$A963&gt;J$7)),0,MAX(0,ROUND((INDEX($E963:$G963,J$5)-SUMIFS(TF_Timer,TF_Tekniker,J$4,TF_Dato,$A963))*2,0)/2)))</f>
        <v/>
      </c>
      <c r="K963">
        <f>IF(OR(K$4="",$A963&gt;TODAY()),0,IF(OR(INDEX($B963:$D963,K$5)="F",AND(K$6&gt;0,$A963&lt;K$6),AND(K$7&gt;0,$A963&gt;K$7)),0,MAX(0,ROUND((INDEX($E963:$G963,K$5)-SUMIFS(TF_Timer,TF_Tekniker,K$4,TF_Dato,$A963))*2,0)/2)))</f>
        <v/>
      </c>
      <c r="L963">
        <f>IF(OR(L$4="",$A963&gt;TODAY()),0,IF(OR(INDEX($B963:$D963,L$5)="F",AND(L$6&gt;0,$A963&lt;L$6),AND(L$7&gt;0,$A963&gt;L$7)),0,MAX(0,ROUND((INDEX($E963:$G963,L$5)-SUMIFS(TF_Timer,TF_Tekniker,L$4,TF_Dato,$A963))*2,0)/2)))</f>
        <v/>
      </c>
      <c r="M963">
        <f>IF(OR(M$4="",$A963&gt;TODAY()),0,IF(OR(INDEX($B963:$D963,M$5)="F",AND(M$6&gt;0,$A963&lt;M$6),AND(M$7&gt;0,$A963&gt;M$7)),0,MAX(0,ROUND((INDEX($E963:$G963,M$5)-SUMIFS(TF_Timer,TF_Tekniker,M$4,TF_Dato,$A963))*2,0)/2)))</f>
        <v/>
      </c>
      <c r="N963">
        <f>IF(OR(N$4="",$A963&gt;TODAY()),0,IF(OR(INDEX($B963:$D963,N$5)="F",AND(N$6&gt;0,$A963&lt;N$6),AND(N$7&gt;0,$A963&gt;N$7)),0,MAX(0,ROUND((INDEX($E963:$G963,N$5)-SUMIFS(TF_Timer,TF_Tekniker,N$4,TF_Dato,$A963))*2,0)/2)))</f>
        <v/>
      </c>
      <c r="O963">
        <f>IF(OR(O$4="",$A963&gt;TODAY()),0,IF(OR(INDEX($B963:$D963,O$5)="F",AND(O$6&gt;0,$A963&lt;O$6),AND(O$7&gt;0,$A963&gt;O$7)),0,MAX(0,ROUND((INDEX($E963:$G963,O$5)-SUMIFS(TF_Timer,TF_Tekniker,O$4,TF_Dato,$A963))*2,0)/2)))</f>
        <v/>
      </c>
      <c r="P963">
        <f>IF(OR(P$4="",$A963&gt;TODAY()),0,IF(OR(INDEX($B963:$D963,P$5)="F",AND(P$6&gt;0,$A963&lt;P$6),AND(P$7&gt;0,$A963&gt;P$7)),0,MAX(0,ROUND((INDEX($E963:$G963,P$5)-SUMIFS(TF_Timer,TF_Tekniker,P$4,TF_Dato,$A963))*2,0)/2)))</f>
        <v/>
      </c>
      <c r="Q963">
        <f>IF(OR(Q$4="",$A963&gt;TODAY()),0,IF(OR(INDEX($B963:$D963,Q$5)="F",AND(Q$6&gt;0,$A963&lt;Q$6),AND(Q$7&gt;0,$A963&gt;Q$7)),0,MAX(0,ROUND((INDEX($E963:$G963,Q$5)-SUMIFS(TF_Timer,TF_Tekniker,Q$4,TF_Dato,$A963))*2,0)/2)))</f>
        <v/>
      </c>
      <c r="R963">
        <f>IF(OR(R$4="",$A963&gt;TODAY()),0,IF(OR(INDEX($B963:$D963,R$5)="F",AND(R$6&gt;0,$A963&lt;R$6),AND(R$7&gt;0,$A963&gt;R$7)),0,MAX(0,ROUND((INDEX($E963:$G963,R$5)-SUMIFS(TF_Timer,TF_Tekniker,R$4,TF_Dato,$A963))*2,0)/2)))</f>
        <v/>
      </c>
      <c r="S963">
        <f>IF(OR(S$4="",$A963&gt;TODAY()),0,IF(OR(INDEX($B963:$D963,S$5)="F",AND(S$6&gt;0,$A963&lt;S$6),AND(S$7&gt;0,$A963&gt;S$7)),0,MAX(0,ROUND((INDEX($E963:$G963,S$5)-SUMIFS(TF_Timer,TF_Tekniker,S$4,TF_Dato,$A963))*2,0)/2)))</f>
        <v/>
      </c>
      <c r="T963">
        <f>IF(OR(T$4="",$A963&gt;TODAY()),0,IF(OR(INDEX($B963:$D963,T$5)="F",AND(T$6&gt;0,$A963&lt;T$6),AND(T$7&gt;0,$A963&gt;T$7)),0,MAX(0,ROUND((INDEX($E963:$G963,T$5)-SUMIFS(TF_Timer,TF_Tekniker,T$4,TF_Dato,$A963))*2,0)/2)))</f>
        <v/>
      </c>
      <c r="U963">
        <f>IF(OR(U$4="",$A963&gt;TODAY()),0,IF(OR(INDEX($B963:$D963,U$5)="F",AND(U$6&gt;0,$A963&lt;U$6),AND(U$7&gt;0,$A963&gt;U$7)),0,MAX(0,ROUND((INDEX($E963:$G963,U$5)-SUMIFS(TF_Timer,TF_Tekniker,U$4,TF_Dato,$A963))*2,0)/2)))</f>
        <v/>
      </c>
      <c r="V963">
        <f>IF(OR(V$4="",$A963&gt;TODAY()),0,IF(OR(INDEX($B963:$D963,V$5)="F",AND(V$6&gt;0,$A963&lt;V$6),AND(V$7&gt;0,$A963&gt;V$7)),0,MAX(0,ROUND((INDEX($E963:$G963,V$5)-SUMIFS(TF_Timer,TF_Tekniker,V$4,TF_Dato,$A963))*2,0)/2)))</f>
        <v/>
      </c>
      <c r="W963">
        <f>IF(OR(W$4="",$A963&gt;TODAY()),0,IF(OR(INDEX($B963:$D963,W$5)="F",AND(W$6&gt;0,$A963&lt;W$6),AND(W$7&gt;0,$A963&gt;W$7)),0,MAX(0,ROUND((INDEX($E963:$G963,W$5)-SUMIFS(TF_Timer,TF_Tekniker,W$4,TF_Dato,$A963))*2,0)/2)))</f>
        <v/>
      </c>
      <c r="X963">
        <f>IF(OR(X$4="",$A963&gt;TODAY()),0,IF(OR(INDEX($B963:$D963,X$5)="F",AND(X$6&gt;0,$A963&lt;X$6),AND(X$7&gt;0,$A963&gt;X$7)),0,MAX(0,ROUND((INDEX($E963:$G963,X$5)-SUMIFS(TF_Timer,TF_Tekniker,X$4,TF_Dato,$A963))*2,0)/2)))</f>
        <v/>
      </c>
      <c r="Y963">
        <f>IF(OR(Y$4="",$A963&gt;TODAY()),0,IF(OR(INDEX($B963:$D963,Y$5)="F",AND(Y$6&gt;0,$A963&lt;Y$6),AND(Y$7&gt;0,$A963&gt;Y$7)),0,MAX(0,ROUND((INDEX($E963:$G963,Y$5)-SUMIFS(TF_Timer,TF_Tekniker,Y$4,TF_Dato,$A963))*2,0)/2)))</f>
        <v/>
      </c>
      <c r="Z963">
        <f>IF(OR(Z$4="",$A963&gt;TODAY()),0,IF(OR(INDEX($B963:$D963,Z$5)="F",AND(Z$6&gt;0,$A963&lt;Z$6),AND(Z$7&gt;0,$A963&gt;Z$7)),0,MAX(0,ROUND((INDEX($E963:$G963,Z$5)-SUMIFS(TF_Timer,TF_Tekniker,Z$4,TF_Dato,$A963))*2,0)/2)))</f>
        <v/>
      </c>
      <c r="AA963">
        <f>IF(OR(AA$4="",$A963&gt;TODAY()),0,IF(OR(INDEX($B963:$D963,AA$5)="F",AND(AA$6&gt;0,$A963&lt;AA$6),AND(AA$7&gt;0,$A963&gt;AA$7)),0,MAX(0,ROUND((INDEX($E963:$G963,AA$5)-SUMIFS(TF_Timer,TF_Tekniker,AA$4,TF_Dato,$A963))*2,0)/2)))</f>
        <v/>
      </c>
      <c r="AB963">
        <f>IF(OR(AB$4="",$A963&gt;TODAY()),0,IF(OR(INDEX($B963:$D963,AB$5)="F",AND(AB$6&gt;0,$A963&lt;AB$6),AND(AB$7&gt;0,$A963&gt;AB$7)),0,MAX(0,ROUND((INDEX($E963:$G963,AB$5)-SUMIFS(TF_Timer,TF_Tekniker,AB$4,TF_Dato,$A963))*2,0)/2)))</f>
        <v/>
      </c>
      <c r="AC963">
        <f>IF(OR(AC$4="",$A963&gt;TODAY()),0,IF(OR(INDEX($B963:$D963,AC$5)="F",AND(AC$6&gt;0,$A963&lt;AC$6),AND(AC$7&gt;0,$A963&gt;AC$7)),0,MAX(0,ROUND((INDEX($E963:$G963,AC$5)-SUMIFS(TF_Timer,TF_Tekniker,AC$4,TF_Dato,$A963))*2,0)/2)))</f>
        <v/>
      </c>
      <c r="AD963">
        <f>IF(OR(AD$4="",$A963&gt;TODAY()),0,IF(OR(INDEX($B963:$D963,AD$5)="F",AND(AD$6&gt;0,$A963&lt;AD$6),AND(AD$7&gt;0,$A963&gt;AD$7)),0,MAX(0,ROUND((INDEX($E963:$G963,AD$5)-SUMIFS(TF_Timer,TF_Tekniker,AD$4,TF_Dato,$A963))*2,0)/2)))</f>
        <v/>
      </c>
      <c r="AE963">
        <f>IF(OR(AE$4="",$A963&gt;TODAY()),0,IF(OR(INDEX($B963:$D963,AE$5)="F",AND(AE$6&gt;0,$A963&lt;AE$6),AND(AE$7&gt;0,$A963&gt;AE$7)),0,MAX(0,ROUND((INDEX($E963:$G963,AE$5)-SUMIFS(TF_Timer,TF_Tekniker,AE$4,TF_Dato,$A963))*2,0)/2)))</f>
        <v/>
      </c>
      <c r="AF963">
        <f>IF(OR(AF$4="",$A963&gt;TODAY()),0,IF(OR(INDEX($B963:$D963,AF$5)="F",AND(AF$6&gt;0,$A963&lt;AF$6),AND(AF$7&gt;0,$A963&gt;AF$7)),0,MAX(0,ROUND((INDEX($E963:$G963,AF$5)-SUMIFS(TF_Timer,TF_Tekniker,AF$4,TF_Dato,$A963))*2,0)/2)))</f>
        <v/>
      </c>
      <c r="AG963">
        <f>IF(OR(AG$4="",$A963&gt;TODAY()),0,IF(OR(INDEX($B963:$D963,AG$5)="F",AND(AG$6&gt;0,$A963&lt;AG$6),AND(AG$7&gt;0,$A963&gt;AG$7)),0,MAX(0,ROUND((INDEX($E963:$G963,AG$5)-SUMIFS(TF_Timer,TF_Tekniker,AG$4,TF_Dato,$A963))*2,0)/2)))</f>
        <v/>
      </c>
      <c r="AH963">
        <f>IF(OR(AH$4="",$A963&gt;TODAY()),0,IF(OR(INDEX($B963:$D963,AH$5)="F",AND(AH$6&gt;0,$A963&lt;AH$6),AND(AH$7&gt;0,$A963&gt;AH$7)),0,MAX(0,ROUND((INDEX($E963:$G963,AH$5)-SUMIFS(TF_Timer,TF_Tekniker,AH$4,TF_Dato,$A963))*2,0)/2)))</f>
        <v/>
      </c>
      <c r="AI963">
        <f>IF(OR(AI$4="",$A963&gt;TODAY()),0,IF(OR(INDEX($B963:$D963,AI$5)="F",AND(AI$6&gt;0,$A963&lt;AI$6),AND(AI$7&gt;0,$A963&gt;AI$7)),0,MAX(0,ROUND((INDEX($E963:$G963,AI$5)-SUMIFS(TF_Timer,TF_Tekniker,AI$4,TF_Dato,$A963))*2,0)/2)))</f>
        <v/>
      </c>
      <c r="AJ963">
        <f>IF(OR(AJ$4="",$A963&gt;TODAY()),0,IF(OR(INDEX($B963:$D963,AJ$5)="F",AND(AJ$6&gt;0,$A963&lt;AJ$6),AND(AJ$7&gt;0,$A963&gt;AJ$7)),0,MAX(0,ROUND((INDEX($E963:$G963,AJ$5)-SUMIFS(TF_Timer,TF_Tekniker,AJ$4,TF_Dato,$A963))*2,0)/2)))</f>
        <v/>
      </c>
      <c r="AK963">
        <f>IF(OR(AK$4="",$A963&gt;TODAY()),0,IF(OR(INDEX($B963:$D963,AK$5)="F",AND(AK$6&gt;0,$A963&lt;AK$6),AND(AK$7&gt;0,$A963&gt;AK$7)),0,MAX(0,ROUND((INDEX($E963:$G963,AK$5)-SUMIFS(TF_Timer,TF_Tekniker,AK$4,TF_Dato,$A963))*2,0)/2)))</f>
        <v/>
      </c>
      <c r="AL963">
        <f>IF(OR(AL$4="",$A963&gt;TODAY()),0,IF(OR(INDEX($B963:$D963,AL$5)="F",AND(AL$6&gt;0,$A963&lt;AL$6),AND(AL$7&gt;0,$A963&gt;AL$7)),0,MAX(0,ROUND((INDEX($E963:$G963,AL$5)-SUMIFS(TF_Timer,TF_Tekniker,AL$4,TF_Dato,$A963))*2,0)/2)))</f>
        <v/>
      </c>
      <c r="AM963">
        <f>IF(OR(AM$4="",$A963&gt;TODAY()),0,IF(OR(INDEX($B963:$D963,AM$5)="F",AND(AM$6&gt;0,$A963&lt;AM$6),AND(AM$7&gt;0,$A963&gt;AM$7)),0,MAX(0,ROUND((INDEX($E963:$G963,AM$5)-SUMIFS(TF_Timer,TF_Tekniker,AM$4,TF_Dato,$A963))*2,0)/2)))</f>
        <v/>
      </c>
      <c r="AN963">
        <f>IF(OR(AN$4="",$A963&gt;TODAY()),0,IF(OR(INDEX($B963:$D963,AN$5)="F",AND(AN$6&gt;0,$A963&lt;AN$6),AND(AN$7&gt;0,$A963&gt;AN$7)),0,MAX(0,ROUND((INDEX($E963:$G963,AN$5)-SUMIFS(TF_Timer,TF_Tekniker,AN$4,TF_Dato,$A963))*2,0)/2)))</f>
        <v/>
      </c>
      <c r="AO963">
        <f>IF(OR(AO$4="",$A963&gt;TODAY()),0,IF(OR(INDEX($B963:$D963,AO$5)="F",AND(AO$6&gt;0,$A963&lt;AO$6),AND(AO$7&gt;0,$A963&gt;AO$7)),0,MAX(0,ROUND((INDEX($E963:$G963,AO$5)-SUMIFS(TF_Timer,TF_Tekniker,AO$4,TF_Dato,$A963))*2,0)/2)))</f>
        <v/>
      </c>
      <c r="AP963">
        <f>IF(OR(AP$4="",$A963&gt;TODAY()),0,IF(OR(INDEX($B963:$D963,AP$5)="F",AND(AP$6&gt;0,$A963&lt;AP$6),AND(AP$7&gt;0,$A963&gt;AP$7)),0,MAX(0,ROUND((INDEX($E963:$G963,AP$5)-SUMIFS(TF_Timer,TF_Tekniker,AP$4,TF_Dato,$A963))*2,0)/2)))</f>
        <v/>
      </c>
      <c r="AQ963">
        <f>IF(OR(AQ$4="",$A963&gt;TODAY()),0,IF(OR(INDEX($B963:$D963,AQ$5)="F",AND(AQ$6&gt;0,$A963&lt;AQ$6),AND(AQ$7&gt;0,$A963&gt;AQ$7)),0,MAX(0,ROUND((INDEX($E963:$G963,AQ$5)-SUMIFS(TF_Timer,TF_Tekniker,AQ$4,TF_Dato,$A963))*2,0)/2)))</f>
        <v/>
      </c>
      <c r="AR963">
        <f>IF(OR(AR$4="",$A963&gt;TODAY()),0,IF(OR(INDEX($B963:$D963,AR$5)="F",AND(AR$6&gt;0,$A963&lt;AR$6),AND(AR$7&gt;0,$A963&gt;AR$7)),0,MAX(0,ROUND((INDEX($E963:$G963,AR$5)-SUMIFS(TF_Timer,TF_Tekniker,AR$4,TF_Dato,$A963))*2,0)/2)))</f>
        <v/>
      </c>
      <c r="AS963">
        <f>IF(OR(AS$4="",$A963&gt;TODAY()),0,IF(OR(INDEX($B963:$D963,AS$5)="F",AND(AS$6&gt;0,$A963&lt;AS$6),AND(AS$7&gt;0,$A963&gt;AS$7)),0,MAX(0,ROUND((INDEX($E963:$G963,AS$5)-SUMIFS(TF_Timer,TF_Tekniker,AS$4,TF_Dato,$A963))*2,0)/2)))</f>
        <v/>
      </c>
      <c r="AT963">
        <f>IF(OR(AT$4="",$A963&gt;TODAY()),0,IF(OR(INDEX($B963:$D963,AT$5)="F",AND(AT$6&gt;0,$A963&lt;AT$6),AND(AT$7&gt;0,$A963&gt;AT$7)),0,MAX(0,ROUND((INDEX($E963:$G963,AT$5)-SUMIFS(TF_Timer,TF_Tekniker,AT$4,TF_Dato,$A963))*2,0)/2)))</f>
        <v/>
      </c>
      <c r="AU963">
        <f>IF(OR(AU$4="",$A963&gt;TODAY()),0,IF(OR(INDEX($B963:$D963,AU$5)="F",AND(AU$6&gt;0,$A963&lt;AU$6),AND(AU$7&gt;0,$A963&gt;AU$7)),0,MAX(0,ROUND((INDEX($E963:$G963,AU$5)-SUMIFS(TF_Timer,TF_Tekniker,AU$4,TF_Dato,$A963))*2,0)/2)))</f>
        <v/>
      </c>
      <c r="AV963">
        <f>IF(OR(AV$4="",$A963&gt;TODAY()),0,IF(OR(INDEX($B963:$D963,AV$5)="F",AND(AV$6&gt;0,$A963&lt;AV$6),AND(AV$7&gt;0,$A963&gt;AV$7)),0,MAX(0,ROUND((INDEX($E963:$G963,AV$5)-SUMIFS(TF_Timer,TF_Tekniker,AV$4,TF_Dato,$A963))*2,0)/2)))</f>
        <v/>
      </c>
      <c r="AW963">
        <f>IF(OR(AW$4="",$A963&gt;TODAY()),0,IF(OR(INDEX($B963:$D963,AW$5)="F",AND(AW$6&gt;0,$A963&lt;AW$6),AND(AW$7&gt;0,$A963&gt;AW$7)),0,MAX(0,ROUND((INDEX($E963:$G963,AW$5)-SUMIFS(TF_Timer,TF_Tekniker,AW$4,TF_Dato,$A963))*2,0)/2)))</f>
        <v/>
      </c>
      <c r="AX963">
        <f>IF(OR(AX$4="",$A963&gt;TODAY()),0,IF(OR(INDEX($B963:$D963,AX$5)="F",AND(AX$6&gt;0,$A963&lt;AX$6),AND(AX$7&gt;0,$A963&gt;AX$7)),0,MAX(0,ROUND((INDEX($E963:$G963,AX$5)-SUMIFS(TF_Timer,TF_Tekniker,AX$4,TF_Dato,$A963))*2,0)/2)))</f>
        <v/>
      </c>
      <c r="AY963">
        <f>IF(OR(AY$4="",$A963&gt;TODAY()),0,IF(OR(INDEX($B963:$D963,AY$5)="F",AND(AY$6&gt;0,$A963&lt;AY$6),AND(AY$7&gt;0,$A963&gt;AY$7)),0,MAX(0,ROUND((INDEX($E963:$G963,AY$5)-SUMIFS(TF_Timer,TF_Tekniker,AY$4,TF_Dato,$A963))*2,0)/2)))</f>
        <v/>
      </c>
      <c r="AZ963">
        <f>IF(OR(AZ$4="",$A963&gt;TODAY()),0,IF(OR(INDEX($B963:$D963,AZ$5)="F",AND(AZ$6&gt;0,$A963&lt;AZ$6),AND(AZ$7&gt;0,$A963&gt;AZ$7)),0,MAX(0,ROUND((INDEX($E963:$G963,AZ$5)-SUMIFS(TF_Timer,TF_Tekniker,AZ$4,TF_Dato,$A963))*2,0)/2)))</f>
        <v/>
      </c>
      <c r="BA963">
        <f>IF(OR(BA$4="",$A963&gt;TODAY()),0,IF(OR(INDEX($B963:$D963,BA$5)="F",AND(BA$6&gt;0,$A963&lt;BA$6),AND(BA$7&gt;0,$A963&gt;BA$7)),0,MAX(0,ROUND((INDEX($E963:$G963,BA$5)-SUMIFS(TF_Timer,TF_Tekniker,BA$4,TF_Dato,$A963))*2,0)/2)))</f>
        <v/>
      </c>
      <c r="BB963">
        <f>IF(OR(BB$4="",$A963&gt;TODAY()),0,IF(OR(INDEX($B963:$D963,BB$5)="F",AND(BB$6&gt;0,$A963&lt;BB$6),AND(BB$7&gt;0,$A963&gt;BB$7)),0,MAX(0,ROUND((INDEX($E963:$G963,BB$5)-SUMIFS(TF_Timer,TF_Tekniker,BB$4,TF_Dato,$A963))*2,0)/2)))</f>
        <v/>
      </c>
      <c r="BC963">
        <f>IF(OR(BC$4="",$A963&gt;TODAY()),0,IF(OR(INDEX($B963:$D963,BC$5)="F",AND(BC$6&gt;0,$A963&lt;BC$6),AND(BC$7&gt;0,$A963&gt;BC$7)),0,MAX(0,ROUND((INDEX($E963:$G963,BC$5)-SUMIFS(TF_Timer,TF_Tekniker,BC$4,TF_Dato,$A963))*2,0)/2)))</f>
        <v/>
      </c>
      <c r="BD963">
        <f>IF(OR(BD$4="",$A963&gt;TODAY()),0,IF(OR(INDEX($B963:$D963,BD$5)="F",AND(BD$6&gt;0,$A963&lt;BD$6),AND(BD$7&gt;0,$A963&gt;BD$7)),0,MAX(0,ROUND((INDEX($E963:$G963,BD$5)-SUMIFS(TF_Timer,TF_Tekniker,BD$4,TF_Dato,$A963))*2,0)/2)))</f>
        <v/>
      </c>
      <c r="BE963">
        <f>IF(OR(BE$4="",$A963&gt;TODAY()),0,IF(OR(INDEX($B963:$D963,BE$5)="F",AND(BE$6&gt;0,$A963&lt;BE$6),AND(BE$7&gt;0,$A963&gt;BE$7)),0,MAX(0,ROUND((INDEX($E963:$G963,BE$5)-SUMIFS(TF_Timer,TF_Tekniker,BE$4,TF_Dato,$A963))*2,0)/2)))</f>
        <v/>
      </c>
      <c r="BF963">
        <f>IF(OR(BF$4="",$A963&gt;TODAY()),0,IF(OR(INDEX($B963:$D963,BF$5)="F",AND(BF$6&gt;0,$A963&lt;BF$6),AND(BF$7&gt;0,$A963&gt;BF$7)),0,MAX(0,ROUND((INDEX($E963:$G963,BF$5)-SUMIFS(TF_Timer,TF_Tekniker,BF$4,TF_Dato,$A963))*2,0)/2)))</f>
        <v/>
      </c>
      <c r="BG963">
        <f>IF(OR(BG$4="",$A963&gt;TODAY()),0,IF(OR(INDEX($B963:$D963,BG$5)="F",AND(BG$6&gt;0,$A963&lt;BG$6),AND(BG$7&gt;0,$A963&gt;BG$7)),0,MAX(0,ROUND((INDEX($E963:$G963,BG$5)-SUMIFS(TF_Timer,TF_Tekniker,BG$4,TF_Dato,$A963))*2,0)/2)))</f>
        <v/>
      </c>
      <c r="BH963">
        <f>IF(OR(BH$4="",$A963&gt;TODAY()),0,IF(OR(INDEX($B963:$D963,BH$5)="F",AND(BH$6&gt;0,$A963&lt;BH$6),AND(BH$7&gt;0,$A963&gt;BH$7)),0,MAX(0,ROUND((INDEX($E963:$G963,BH$5)-SUMIFS(TF_Timer,TF_Tekniker,BH$4,TF_Dato,$A963))*2,0)/2)))</f>
        <v/>
      </c>
      <c r="BI963">
        <f>IF(OR(BI$4="",$A963&gt;TODAY()),0,IF(OR(INDEX($B963:$D963,BI$5)="F",AND(BI$6&gt;0,$A963&lt;BI$6),AND(BI$7&gt;0,$A963&gt;BI$7)),0,MAX(0,ROUND((INDEX($E963:$G963,BI$5)-SUMIFS(TF_Timer,TF_Tekniker,BI$4,TF_Dato,$A963))*2,0)/2)))</f>
        <v/>
      </c>
    </row>
    <row r="964">
      <c r="A964" s="64">
        <f>A963+1</f>
        <v/>
      </c>
      <c r="B964">
        <f>IF(MOD($A964-INDEX(SkiftStart,1),Syklus)&lt;DagK,"K",IF(MOD($A964-INDEX(SkiftStart,1),Syklus)&lt;DagK+DagH,"H",IF(MOD($A964-INDEX(SkiftStart,1),Syklus)&lt;DagK+DagH+DagD,"D","F")))</f>
        <v/>
      </c>
      <c r="C964">
        <f>IF(MOD($A964-INDEX(SkiftStart,2),Syklus)&lt;DagK,"K",IF(MOD($A964-INDEX(SkiftStart,2),Syklus)&lt;DagK+DagH,"H",IF(MOD($A964-INDEX(SkiftStart,2),Syklus)&lt;DagK+DagH+DagD,"D","F")))</f>
        <v/>
      </c>
      <c r="D964">
        <f>IF(MOD($A964-INDEX(SkiftStart,3),Syklus)&lt;DagK,"K",IF(MOD($A964-INDEX(SkiftStart,3),Syklus)&lt;DagK+DagH,"H",IF(MOD($A964-INDEX(SkiftStart,3),Syklus)&lt;DagK+DagH+DagD,"D","F")))</f>
        <v/>
      </c>
      <c r="E964">
        <f>IF(B964="F",0,IF(WEEKDAY($A964,2)=5,INDEX(TimerFr,MATCH(B964,FaseKode,0)),INDEX(TimerMT,MATCH(B964,FaseKode,0))))</f>
        <v/>
      </c>
      <c r="F964">
        <f>IF(C964="F",0,IF(WEEKDAY($A964,2)=5,INDEX(TimerFr,MATCH(C964,FaseKode,0)),INDEX(TimerMT,MATCH(C964,FaseKode,0))))</f>
        <v/>
      </c>
      <c r="G964">
        <f>IF(D964="F",0,IF(WEEKDAY($A964,2)=5,INDEX(TimerFr,MATCH(D964,FaseKode,0)),INDEX(TimerMT,MATCH(D964,FaseKode,0))))</f>
        <v/>
      </c>
      <c r="H964">
        <f>IF(OR(H$4="",$A964&gt;TODAY()),0,IF(OR(INDEX($B964:$D964,H$5)="F",AND(H$6&gt;0,$A964&lt;H$6),AND(H$7&gt;0,$A964&gt;H$7)),0,MAX(0,ROUND((INDEX($E964:$G964,H$5)-SUMIFS(TF_Timer,TF_Tekniker,H$4,TF_Dato,$A964))*2,0)/2)))</f>
        <v/>
      </c>
      <c r="I964">
        <f>IF(OR(I$4="",$A964&gt;TODAY()),0,IF(OR(INDEX($B964:$D964,I$5)="F",AND(I$6&gt;0,$A964&lt;I$6),AND(I$7&gt;0,$A964&gt;I$7)),0,MAX(0,ROUND((INDEX($E964:$G964,I$5)-SUMIFS(TF_Timer,TF_Tekniker,I$4,TF_Dato,$A964))*2,0)/2)))</f>
        <v/>
      </c>
      <c r="J964">
        <f>IF(OR(J$4="",$A964&gt;TODAY()),0,IF(OR(INDEX($B964:$D964,J$5)="F",AND(J$6&gt;0,$A964&lt;J$6),AND(J$7&gt;0,$A964&gt;J$7)),0,MAX(0,ROUND((INDEX($E964:$G964,J$5)-SUMIFS(TF_Timer,TF_Tekniker,J$4,TF_Dato,$A964))*2,0)/2)))</f>
        <v/>
      </c>
      <c r="K964">
        <f>IF(OR(K$4="",$A964&gt;TODAY()),0,IF(OR(INDEX($B964:$D964,K$5)="F",AND(K$6&gt;0,$A964&lt;K$6),AND(K$7&gt;0,$A964&gt;K$7)),0,MAX(0,ROUND((INDEX($E964:$G964,K$5)-SUMIFS(TF_Timer,TF_Tekniker,K$4,TF_Dato,$A964))*2,0)/2)))</f>
        <v/>
      </c>
      <c r="L964">
        <f>IF(OR(L$4="",$A964&gt;TODAY()),0,IF(OR(INDEX($B964:$D964,L$5)="F",AND(L$6&gt;0,$A964&lt;L$6),AND(L$7&gt;0,$A964&gt;L$7)),0,MAX(0,ROUND((INDEX($E964:$G964,L$5)-SUMIFS(TF_Timer,TF_Tekniker,L$4,TF_Dato,$A964))*2,0)/2)))</f>
        <v/>
      </c>
      <c r="M964">
        <f>IF(OR(M$4="",$A964&gt;TODAY()),0,IF(OR(INDEX($B964:$D964,M$5)="F",AND(M$6&gt;0,$A964&lt;M$6),AND(M$7&gt;0,$A964&gt;M$7)),0,MAX(0,ROUND((INDEX($E964:$G964,M$5)-SUMIFS(TF_Timer,TF_Tekniker,M$4,TF_Dato,$A964))*2,0)/2)))</f>
        <v/>
      </c>
      <c r="N964">
        <f>IF(OR(N$4="",$A964&gt;TODAY()),0,IF(OR(INDEX($B964:$D964,N$5)="F",AND(N$6&gt;0,$A964&lt;N$6),AND(N$7&gt;0,$A964&gt;N$7)),0,MAX(0,ROUND((INDEX($E964:$G964,N$5)-SUMIFS(TF_Timer,TF_Tekniker,N$4,TF_Dato,$A964))*2,0)/2)))</f>
        <v/>
      </c>
      <c r="O964">
        <f>IF(OR(O$4="",$A964&gt;TODAY()),0,IF(OR(INDEX($B964:$D964,O$5)="F",AND(O$6&gt;0,$A964&lt;O$6),AND(O$7&gt;0,$A964&gt;O$7)),0,MAX(0,ROUND((INDEX($E964:$G964,O$5)-SUMIFS(TF_Timer,TF_Tekniker,O$4,TF_Dato,$A964))*2,0)/2)))</f>
        <v/>
      </c>
      <c r="P964">
        <f>IF(OR(P$4="",$A964&gt;TODAY()),0,IF(OR(INDEX($B964:$D964,P$5)="F",AND(P$6&gt;0,$A964&lt;P$6),AND(P$7&gt;0,$A964&gt;P$7)),0,MAX(0,ROUND((INDEX($E964:$G964,P$5)-SUMIFS(TF_Timer,TF_Tekniker,P$4,TF_Dato,$A964))*2,0)/2)))</f>
        <v/>
      </c>
      <c r="Q964">
        <f>IF(OR(Q$4="",$A964&gt;TODAY()),0,IF(OR(INDEX($B964:$D964,Q$5)="F",AND(Q$6&gt;0,$A964&lt;Q$6),AND(Q$7&gt;0,$A964&gt;Q$7)),0,MAX(0,ROUND((INDEX($E964:$G964,Q$5)-SUMIFS(TF_Timer,TF_Tekniker,Q$4,TF_Dato,$A964))*2,0)/2)))</f>
        <v/>
      </c>
      <c r="R964">
        <f>IF(OR(R$4="",$A964&gt;TODAY()),0,IF(OR(INDEX($B964:$D964,R$5)="F",AND(R$6&gt;0,$A964&lt;R$6),AND(R$7&gt;0,$A964&gt;R$7)),0,MAX(0,ROUND((INDEX($E964:$G964,R$5)-SUMIFS(TF_Timer,TF_Tekniker,R$4,TF_Dato,$A964))*2,0)/2)))</f>
        <v/>
      </c>
      <c r="S964">
        <f>IF(OR(S$4="",$A964&gt;TODAY()),0,IF(OR(INDEX($B964:$D964,S$5)="F",AND(S$6&gt;0,$A964&lt;S$6),AND(S$7&gt;0,$A964&gt;S$7)),0,MAX(0,ROUND((INDEX($E964:$G964,S$5)-SUMIFS(TF_Timer,TF_Tekniker,S$4,TF_Dato,$A964))*2,0)/2)))</f>
        <v/>
      </c>
      <c r="T964">
        <f>IF(OR(T$4="",$A964&gt;TODAY()),0,IF(OR(INDEX($B964:$D964,T$5)="F",AND(T$6&gt;0,$A964&lt;T$6),AND(T$7&gt;0,$A964&gt;T$7)),0,MAX(0,ROUND((INDEX($E964:$G964,T$5)-SUMIFS(TF_Timer,TF_Tekniker,T$4,TF_Dato,$A964))*2,0)/2)))</f>
        <v/>
      </c>
      <c r="U964">
        <f>IF(OR(U$4="",$A964&gt;TODAY()),0,IF(OR(INDEX($B964:$D964,U$5)="F",AND(U$6&gt;0,$A964&lt;U$6),AND(U$7&gt;0,$A964&gt;U$7)),0,MAX(0,ROUND((INDEX($E964:$G964,U$5)-SUMIFS(TF_Timer,TF_Tekniker,U$4,TF_Dato,$A964))*2,0)/2)))</f>
        <v/>
      </c>
      <c r="V964">
        <f>IF(OR(V$4="",$A964&gt;TODAY()),0,IF(OR(INDEX($B964:$D964,V$5)="F",AND(V$6&gt;0,$A964&lt;V$6),AND(V$7&gt;0,$A964&gt;V$7)),0,MAX(0,ROUND((INDEX($E964:$G964,V$5)-SUMIFS(TF_Timer,TF_Tekniker,V$4,TF_Dato,$A964))*2,0)/2)))</f>
        <v/>
      </c>
      <c r="W964">
        <f>IF(OR(W$4="",$A964&gt;TODAY()),0,IF(OR(INDEX($B964:$D964,W$5)="F",AND(W$6&gt;0,$A964&lt;W$6),AND(W$7&gt;0,$A964&gt;W$7)),0,MAX(0,ROUND((INDEX($E964:$G964,W$5)-SUMIFS(TF_Timer,TF_Tekniker,W$4,TF_Dato,$A964))*2,0)/2)))</f>
        <v/>
      </c>
      <c r="X964">
        <f>IF(OR(X$4="",$A964&gt;TODAY()),0,IF(OR(INDEX($B964:$D964,X$5)="F",AND(X$6&gt;0,$A964&lt;X$6),AND(X$7&gt;0,$A964&gt;X$7)),0,MAX(0,ROUND((INDEX($E964:$G964,X$5)-SUMIFS(TF_Timer,TF_Tekniker,X$4,TF_Dato,$A964))*2,0)/2)))</f>
        <v/>
      </c>
      <c r="Y964">
        <f>IF(OR(Y$4="",$A964&gt;TODAY()),0,IF(OR(INDEX($B964:$D964,Y$5)="F",AND(Y$6&gt;0,$A964&lt;Y$6),AND(Y$7&gt;0,$A964&gt;Y$7)),0,MAX(0,ROUND((INDEX($E964:$G964,Y$5)-SUMIFS(TF_Timer,TF_Tekniker,Y$4,TF_Dato,$A964))*2,0)/2)))</f>
        <v/>
      </c>
      <c r="Z964">
        <f>IF(OR(Z$4="",$A964&gt;TODAY()),0,IF(OR(INDEX($B964:$D964,Z$5)="F",AND(Z$6&gt;0,$A964&lt;Z$6),AND(Z$7&gt;0,$A964&gt;Z$7)),0,MAX(0,ROUND((INDEX($E964:$G964,Z$5)-SUMIFS(TF_Timer,TF_Tekniker,Z$4,TF_Dato,$A964))*2,0)/2)))</f>
        <v/>
      </c>
      <c r="AA964">
        <f>IF(OR(AA$4="",$A964&gt;TODAY()),0,IF(OR(INDEX($B964:$D964,AA$5)="F",AND(AA$6&gt;0,$A964&lt;AA$6),AND(AA$7&gt;0,$A964&gt;AA$7)),0,MAX(0,ROUND((INDEX($E964:$G964,AA$5)-SUMIFS(TF_Timer,TF_Tekniker,AA$4,TF_Dato,$A964))*2,0)/2)))</f>
        <v/>
      </c>
      <c r="AB964">
        <f>IF(OR(AB$4="",$A964&gt;TODAY()),0,IF(OR(INDEX($B964:$D964,AB$5)="F",AND(AB$6&gt;0,$A964&lt;AB$6),AND(AB$7&gt;0,$A964&gt;AB$7)),0,MAX(0,ROUND((INDEX($E964:$G964,AB$5)-SUMIFS(TF_Timer,TF_Tekniker,AB$4,TF_Dato,$A964))*2,0)/2)))</f>
        <v/>
      </c>
      <c r="AC964">
        <f>IF(OR(AC$4="",$A964&gt;TODAY()),0,IF(OR(INDEX($B964:$D964,AC$5)="F",AND(AC$6&gt;0,$A964&lt;AC$6),AND(AC$7&gt;0,$A964&gt;AC$7)),0,MAX(0,ROUND((INDEX($E964:$G964,AC$5)-SUMIFS(TF_Timer,TF_Tekniker,AC$4,TF_Dato,$A964))*2,0)/2)))</f>
        <v/>
      </c>
      <c r="AD964">
        <f>IF(OR(AD$4="",$A964&gt;TODAY()),0,IF(OR(INDEX($B964:$D964,AD$5)="F",AND(AD$6&gt;0,$A964&lt;AD$6),AND(AD$7&gt;0,$A964&gt;AD$7)),0,MAX(0,ROUND((INDEX($E964:$G964,AD$5)-SUMIFS(TF_Timer,TF_Tekniker,AD$4,TF_Dato,$A964))*2,0)/2)))</f>
        <v/>
      </c>
      <c r="AE964">
        <f>IF(OR(AE$4="",$A964&gt;TODAY()),0,IF(OR(INDEX($B964:$D964,AE$5)="F",AND(AE$6&gt;0,$A964&lt;AE$6),AND(AE$7&gt;0,$A964&gt;AE$7)),0,MAX(0,ROUND((INDEX($E964:$G964,AE$5)-SUMIFS(TF_Timer,TF_Tekniker,AE$4,TF_Dato,$A964))*2,0)/2)))</f>
        <v/>
      </c>
      <c r="AF964">
        <f>IF(OR(AF$4="",$A964&gt;TODAY()),0,IF(OR(INDEX($B964:$D964,AF$5)="F",AND(AF$6&gt;0,$A964&lt;AF$6),AND(AF$7&gt;0,$A964&gt;AF$7)),0,MAX(0,ROUND((INDEX($E964:$G964,AF$5)-SUMIFS(TF_Timer,TF_Tekniker,AF$4,TF_Dato,$A964))*2,0)/2)))</f>
        <v/>
      </c>
      <c r="AG964">
        <f>IF(OR(AG$4="",$A964&gt;TODAY()),0,IF(OR(INDEX($B964:$D964,AG$5)="F",AND(AG$6&gt;0,$A964&lt;AG$6),AND(AG$7&gt;0,$A964&gt;AG$7)),0,MAX(0,ROUND((INDEX($E964:$G964,AG$5)-SUMIFS(TF_Timer,TF_Tekniker,AG$4,TF_Dato,$A964))*2,0)/2)))</f>
        <v/>
      </c>
      <c r="AH964">
        <f>IF(OR(AH$4="",$A964&gt;TODAY()),0,IF(OR(INDEX($B964:$D964,AH$5)="F",AND(AH$6&gt;0,$A964&lt;AH$6),AND(AH$7&gt;0,$A964&gt;AH$7)),0,MAX(0,ROUND((INDEX($E964:$G964,AH$5)-SUMIFS(TF_Timer,TF_Tekniker,AH$4,TF_Dato,$A964))*2,0)/2)))</f>
        <v/>
      </c>
      <c r="AI964">
        <f>IF(OR(AI$4="",$A964&gt;TODAY()),0,IF(OR(INDEX($B964:$D964,AI$5)="F",AND(AI$6&gt;0,$A964&lt;AI$6),AND(AI$7&gt;0,$A964&gt;AI$7)),0,MAX(0,ROUND((INDEX($E964:$G964,AI$5)-SUMIFS(TF_Timer,TF_Tekniker,AI$4,TF_Dato,$A964))*2,0)/2)))</f>
        <v/>
      </c>
      <c r="AJ964">
        <f>IF(OR(AJ$4="",$A964&gt;TODAY()),0,IF(OR(INDEX($B964:$D964,AJ$5)="F",AND(AJ$6&gt;0,$A964&lt;AJ$6),AND(AJ$7&gt;0,$A964&gt;AJ$7)),0,MAX(0,ROUND((INDEX($E964:$G964,AJ$5)-SUMIFS(TF_Timer,TF_Tekniker,AJ$4,TF_Dato,$A964))*2,0)/2)))</f>
        <v/>
      </c>
      <c r="AK964">
        <f>IF(OR(AK$4="",$A964&gt;TODAY()),0,IF(OR(INDEX($B964:$D964,AK$5)="F",AND(AK$6&gt;0,$A964&lt;AK$6),AND(AK$7&gt;0,$A964&gt;AK$7)),0,MAX(0,ROUND((INDEX($E964:$G964,AK$5)-SUMIFS(TF_Timer,TF_Tekniker,AK$4,TF_Dato,$A964))*2,0)/2)))</f>
        <v/>
      </c>
      <c r="AL964">
        <f>IF(OR(AL$4="",$A964&gt;TODAY()),0,IF(OR(INDEX($B964:$D964,AL$5)="F",AND(AL$6&gt;0,$A964&lt;AL$6),AND(AL$7&gt;0,$A964&gt;AL$7)),0,MAX(0,ROUND((INDEX($E964:$G964,AL$5)-SUMIFS(TF_Timer,TF_Tekniker,AL$4,TF_Dato,$A964))*2,0)/2)))</f>
        <v/>
      </c>
      <c r="AM964">
        <f>IF(OR(AM$4="",$A964&gt;TODAY()),0,IF(OR(INDEX($B964:$D964,AM$5)="F",AND(AM$6&gt;0,$A964&lt;AM$6),AND(AM$7&gt;0,$A964&gt;AM$7)),0,MAX(0,ROUND((INDEX($E964:$G964,AM$5)-SUMIFS(TF_Timer,TF_Tekniker,AM$4,TF_Dato,$A964))*2,0)/2)))</f>
        <v/>
      </c>
      <c r="AN964">
        <f>IF(OR(AN$4="",$A964&gt;TODAY()),0,IF(OR(INDEX($B964:$D964,AN$5)="F",AND(AN$6&gt;0,$A964&lt;AN$6),AND(AN$7&gt;0,$A964&gt;AN$7)),0,MAX(0,ROUND((INDEX($E964:$G964,AN$5)-SUMIFS(TF_Timer,TF_Tekniker,AN$4,TF_Dato,$A964))*2,0)/2)))</f>
        <v/>
      </c>
      <c r="AO964">
        <f>IF(OR(AO$4="",$A964&gt;TODAY()),0,IF(OR(INDEX($B964:$D964,AO$5)="F",AND(AO$6&gt;0,$A964&lt;AO$6),AND(AO$7&gt;0,$A964&gt;AO$7)),0,MAX(0,ROUND((INDEX($E964:$G964,AO$5)-SUMIFS(TF_Timer,TF_Tekniker,AO$4,TF_Dato,$A964))*2,0)/2)))</f>
        <v/>
      </c>
      <c r="AP964">
        <f>IF(OR(AP$4="",$A964&gt;TODAY()),0,IF(OR(INDEX($B964:$D964,AP$5)="F",AND(AP$6&gt;0,$A964&lt;AP$6),AND(AP$7&gt;0,$A964&gt;AP$7)),0,MAX(0,ROUND((INDEX($E964:$G964,AP$5)-SUMIFS(TF_Timer,TF_Tekniker,AP$4,TF_Dato,$A964))*2,0)/2)))</f>
        <v/>
      </c>
      <c r="AQ964">
        <f>IF(OR(AQ$4="",$A964&gt;TODAY()),0,IF(OR(INDEX($B964:$D964,AQ$5)="F",AND(AQ$6&gt;0,$A964&lt;AQ$6),AND(AQ$7&gt;0,$A964&gt;AQ$7)),0,MAX(0,ROUND((INDEX($E964:$G964,AQ$5)-SUMIFS(TF_Timer,TF_Tekniker,AQ$4,TF_Dato,$A964))*2,0)/2)))</f>
        <v/>
      </c>
      <c r="AR964">
        <f>IF(OR(AR$4="",$A964&gt;TODAY()),0,IF(OR(INDEX($B964:$D964,AR$5)="F",AND(AR$6&gt;0,$A964&lt;AR$6),AND(AR$7&gt;0,$A964&gt;AR$7)),0,MAX(0,ROUND((INDEX($E964:$G964,AR$5)-SUMIFS(TF_Timer,TF_Tekniker,AR$4,TF_Dato,$A964))*2,0)/2)))</f>
        <v/>
      </c>
      <c r="AS964">
        <f>IF(OR(AS$4="",$A964&gt;TODAY()),0,IF(OR(INDEX($B964:$D964,AS$5)="F",AND(AS$6&gt;0,$A964&lt;AS$6),AND(AS$7&gt;0,$A964&gt;AS$7)),0,MAX(0,ROUND((INDEX($E964:$G964,AS$5)-SUMIFS(TF_Timer,TF_Tekniker,AS$4,TF_Dato,$A964))*2,0)/2)))</f>
        <v/>
      </c>
      <c r="AT964">
        <f>IF(OR(AT$4="",$A964&gt;TODAY()),0,IF(OR(INDEX($B964:$D964,AT$5)="F",AND(AT$6&gt;0,$A964&lt;AT$6),AND(AT$7&gt;0,$A964&gt;AT$7)),0,MAX(0,ROUND((INDEX($E964:$G964,AT$5)-SUMIFS(TF_Timer,TF_Tekniker,AT$4,TF_Dato,$A964))*2,0)/2)))</f>
        <v/>
      </c>
      <c r="AU964">
        <f>IF(OR(AU$4="",$A964&gt;TODAY()),0,IF(OR(INDEX($B964:$D964,AU$5)="F",AND(AU$6&gt;0,$A964&lt;AU$6),AND(AU$7&gt;0,$A964&gt;AU$7)),0,MAX(0,ROUND((INDEX($E964:$G964,AU$5)-SUMIFS(TF_Timer,TF_Tekniker,AU$4,TF_Dato,$A964))*2,0)/2)))</f>
        <v/>
      </c>
      <c r="AV964">
        <f>IF(OR(AV$4="",$A964&gt;TODAY()),0,IF(OR(INDEX($B964:$D964,AV$5)="F",AND(AV$6&gt;0,$A964&lt;AV$6),AND(AV$7&gt;0,$A964&gt;AV$7)),0,MAX(0,ROUND((INDEX($E964:$G964,AV$5)-SUMIFS(TF_Timer,TF_Tekniker,AV$4,TF_Dato,$A964))*2,0)/2)))</f>
        <v/>
      </c>
      <c r="AW964">
        <f>IF(OR(AW$4="",$A964&gt;TODAY()),0,IF(OR(INDEX($B964:$D964,AW$5)="F",AND(AW$6&gt;0,$A964&lt;AW$6),AND(AW$7&gt;0,$A964&gt;AW$7)),0,MAX(0,ROUND((INDEX($E964:$G964,AW$5)-SUMIFS(TF_Timer,TF_Tekniker,AW$4,TF_Dato,$A964))*2,0)/2)))</f>
        <v/>
      </c>
      <c r="AX964">
        <f>IF(OR(AX$4="",$A964&gt;TODAY()),0,IF(OR(INDEX($B964:$D964,AX$5)="F",AND(AX$6&gt;0,$A964&lt;AX$6),AND(AX$7&gt;0,$A964&gt;AX$7)),0,MAX(0,ROUND((INDEX($E964:$G964,AX$5)-SUMIFS(TF_Timer,TF_Tekniker,AX$4,TF_Dato,$A964))*2,0)/2)))</f>
        <v/>
      </c>
      <c r="AY964">
        <f>IF(OR(AY$4="",$A964&gt;TODAY()),0,IF(OR(INDEX($B964:$D964,AY$5)="F",AND(AY$6&gt;0,$A964&lt;AY$6),AND(AY$7&gt;0,$A964&gt;AY$7)),0,MAX(0,ROUND((INDEX($E964:$G964,AY$5)-SUMIFS(TF_Timer,TF_Tekniker,AY$4,TF_Dato,$A964))*2,0)/2)))</f>
        <v/>
      </c>
      <c r="AZ964">
        <f>IF(OR(AZ$4="",$A964&gt;TODAY()),0,IF(OR(INDEX($B964:$D964,AZ$5)="F",AND(AZ$6&gt;0,$A964&lt;AZ$6),AND(AZ$7&gt;0,$A964&gt;AZ$7)),0,MAX(0,ROUND((INDEX($E964:$G964,AZ$5)-SUMIFS(TF_Timer,TF_Tekniker,AZ$4,TF_Dato,$A964))*2,0)/2)))</f>
        <v/>
      </c>
      <c r="BA964">
        <f>IF(OR(BA$4="",$A964&gt;TODAY()),0,IF(OR(INDEX($B964:$D964,BA$5)="F",AND(BA$6&gt;0,$A964&lt;BA$6),AND(BA$7&gt;0,$A964&gt;BA$7)),0,MAX(0,ROUND((INDEX($E964:$G964,BA$5)-SUMIFS(TF_Timer,TF_Tekniker,BA$4,TF_Dato,$A964))*2,0)/2)))</f>
        <v/>
      </c>
      <c r="BB964">
        <f>IF(OR(BB$4="",$A964&gt;TODAY()),0,IF(OR(INDEX($B964:$D964,BB$5)="F",AND(BB$6&gt;0,$A964&lt;BB$6),AND(BB$7&gt;0,$A964&gt;BB$7)),0,MAX(0,ROUND((INDEX($E964:$G964,BB$5)-SUMIFS(TF_Timer,TF_Tekniker,BB$4,TF_Dato,$A964))*2,0)/2)))</f>
        <v/>
      </c>
      <c r="BC964">
        <f>IF(OR(BC$4="",$A964&gt;TODAY()),0,IF(OR(INDEX($B964:$D964,BC$5)="F",AND(BC$6&gt;0,$A964&lt;BC$6),AND(BC$7&gt;0,$A964&gt;BC$7)),0,MAX(0,ROUND((INDEX($E964:$G964,BC$5)-SUMIFS(TF_Timer,TF_Tekniker,BC$4,TF_Dato,$A964))*2,0)/2)))</f>
        <v/>
      </c>
      <c r="BD964">
        <f>IF(OR(BD$4="",$A964&gt;TODAY()),0,IF(OR(INDEX($B964:$D964,BD$5)="F",AND(BD$6&gt;0,$A964&lt;BD$6),AND(BD$7&gt;0,$A964&gt;BD$7)),0,MAX(0,ROUND((INDEX($E964:$G964,BD$5)-SUMIFS(TF_Timer,TF_Tekniker,BD$4,TF_Dato,$A964))*2,0)/2)))</f>
        <v/>
      </c>
      <c r="BE964">
        <f>IF(OR(BE$4="",$A964&gt;TODAY()),0,IF(OR(INDEX($B964:$D964,BE$5)="F",AND(BE$6&gt;0,$A964&lt;BE$6),AND(BE$7&gt;0,$A964&gt;BE$7)),0,MAX(0,ROUND((INDEX($E964:$G964,BE$5)-SUMIFS(TF_Timer,TF_Tekniker,BE$4,TF_Dato,$A964))*2,0)/2)))</f>
        <v/>
      </c>
      <c r="BF964">
        <f>IF(OR(BF$4="",$A964&gt;TODAY()),0,IF(OR(INDEX($B964:$D964,BF$5)="F",AND(BF$6&gt;0,$A964&lt;BF$6),AND(BF$7&gt;0,$A964&gt;BF$7)),0,MAX(0,ROUND((INDEX($E964:$G964,BF$5)-SUMIFS(TF_Timer,TF_Tekniker,BF$4,TF_Dato,$A964))*2,0)/2)))</f>
        <v/>
      </c>
      <c r="BG964">
        <f>IF(OR(BG$4="",$A964&gt;TODAY()),0,IF(OR(INDEX($B964:$D964,BG$5)="F",AND(BG$6&gt;0,$A964&lt;BG$6),AND(BG$7&gt;0,$A964&gt;BG$7)),0,MAX(0,ROUND((INDEX($E964:$G964,BG$5)-SUMIFS(TF_Timer,TF_Tekniker,BG$4,TF_Dato,$A964))*2,0)/2)))</f>
        <v/>
      </c>
      <c r="BH964">
        <f>IF(OR(BH$4="",$A964&gt;TODAY()),0,IF(OR(INDEX($B964:$D964,BH$5)="F",AND(BH$6&gt;0,$A964&lt;BH$6),AND(BH$7&gt;0,$A964&gt;BH$7)),0,MAX(0,ROUND((INDEX($E964:$G964,BH$5)-SUMIFS(TF_Timer,TF_Tekniker,BH$4,TF_Dato,$A964))*2,0)/2)))</f>
        <v/>
      </c>
      <c r="BI964">
        <f>IF(OR(BI$4="",$A964&gt;TODAY()),0,IF(OR(INDEX($B964:$D964,BI$5)="F",AND(BI$6&gt;0,$A964&lt;BI$6),AND(BI$7&gt;0,$A964&gt;BI$7)),0,MAX(0,ROUND((INDEX($E964:$G964,BI$5)-SUMIFS(TF_Timer,TF_Tekniker,BI$4,TF_Dato,$A964))*2,0)/2)))</f>
        <v/>
      </c>
    </row>
    <row r="965">
      <c r="A965" s="64">
        <f>A964+1</f>
        <v/>
      </c>
      <c r="B965">
        <f>IF(MOD($A965-INDEX(SkiftStart,1),Syklus)&lt;DagK,"K",IF(MOD($A965-INDEX(SkiftStart,1),Syklus)&lt;DagK+DagH,"H",IF(MOD($A965-INDEX(SkiftStart,1),Syklus)&lt;DagK+DagH+DagD,"D","F")))</f>
        <v/>
      </c>
      <c r="C965">
        <f>IF(MOD($A965-INDEX(SkiftStart,2),Syklus)&lt;DagK,"K",IF(MOD($A965-INDEX(SkiftStart,2),Syklus)&lt;DagK+DagH,"H",IF(MOD($A965-INDEX(SkiftStart,2),Syklus)&lt;DagK+DagH+DagD,"D","F")))</f>
        <v/>
      </c>
      <c r="D965">
        <f>IF(MOD($A965-INDEX(SkiftStart,3),Syklus)&lt;DagK,"K",IF(MOD($A965-INDEX(SkiftStart,3),Syklus)&lt;DagK+DagH,"H",IF(MOD($A965-INDEX(SkiftStart,3),Syklus)&lt;DagK+DagH+DagD,"D","F")))</f>
        <v/>
      </c>
      <c r="E965">
        <f>IF(B965="F",0,IF(WEEKDAY($A965,2)=5,INDEX(TimerFr,MATCH(B965,FaseKode,0)),INDEX(TimerMT,MATCH(B965,FaseKode,0))))</f>
        <v/>
      </c>
      <c r="F965">
        <f>IF(C965="F",0,IF(WEEKDAY($A965,2)=5,INDEX(TimerFr,MATCH(C965,FaseKode,0)),INDEX(TimerMT,MATCH(C965,FaseKode,0))))</f>
        <v/>
      </c>
      <c r="G965">
        <f>IF(D965="F",0,IF(WEEKDAY($A965,2)=5,INDEX(TimerFr,MATCH(D965,FaseKode,0)),INDEX(TimerMT,MATCH(D965,FaseKode,0))))</f>
        <v/>
      </c>
      <c r="H965">
        <f>IF(OR(H$4="",$A965&gt;TODAY()),0,IF(OR(INDEX($B965:$D965,H$5)="F",AND(H$6&gt;0,$A965&lt;H$6),AND(H$7&gt;0,$A965&gt;H$7)),0,MAX(0,ROUND((INDEX($E965:$G965,H$5)-SUMIFS(TF_Timer,TF_Tekniker,H$4,TF_Dato,$A965))*2,0)/2)))</f>
        <v/>
      </c>
      <c r="I965">
        <f>IF(OR(I$4="",$A965&gt;TODAY()),0,IF(OR(INDEX($B965:$D965,I$5)="F",AND(I$6&gt;0,$A965&lt;I$6),AND(I$7&gt;0,$A965&gt;I$7)),0,MAX(0,ROUND((INDEX($E965:$G965,I$5)-SUMIFS(TF_Timer,TF_Tekniker,I$4,TF_Dato,$A965))*2,0)/2)))</f>
        <v/>
      </c>
      <c r="J965">
        <f>IF(OR(J$4="",$A965&gt;TODAY()),0,IF(OR(INDEX($B965:$D965,J$5)="F",AND(J$6&gt;0,$A965&lt;J$6),AND(J$7&gt;0,$A965&gt;J$7)),0,MAX(0,ROUND((INDEX($E965:$G965,J$5)-SUMIFS(TF_Timer,TF_Tekniker,J$4,TF_Dato,$A965))*2,0)/2)))</f>
        <v/>
      </c>
      <c r="K965">
        <f>IF(OR(K$4="",$A965&gt;TODAY()),0,IF(OR(INDEX($B965:$D965,K$5)="F",AND(K$6&gt;0,$A965&lt;K$6),AND(K$7&gt;0,$A965&gt;K$7)),0,MAX(0,ROUND((INDEX($E965:$G965,K$5)-SUMIFS(TF_Timer,TF_Tekniker,K$4,TF_Dato,$A965))*2,0)/2)))</f>
        <v/>
      </c>
      <c r="L965">
        <f>IF(OR(L$4="",$A965&gt;TODAY()),0,IF(OR(INDEX($B965:$D965,L$5)="F",AND(L$6&gt;0,$A965&lt;L$6),AND(L$7&gt;0,$A965&gt;L$7)),0,MAX(0,ROUND((INDEX($E965:$G965,L$5)-SUMIFS(TF_Timer,TF_Tekniker,L$4,TF_Dato,$A965))*2,0)/2)))</f>
        <v/>
      </c>
      <c r="M965">
        <f>IF(OR(M$4="",$A965&gt;TODAY()),0,IF(OR(INDEX($B965:$D965,M$5)="F",AND(M$6&gt;0,$A965&lt;M$6),AND(M$7&gt;0,$A965&gt;M$7)),0,MAX(0,ROUND((INDEX($E965:$G965,M$5)-SUMIFS(TF_Timer,TF_Tekniker,M$4,TF_Dato,$A965))*2,0)/2)))</f>
        <v/>
      </c>
      <c r="N965">
        <f>IF(OR(N$4="",$A965&gt;TODAY()),0,IF(OR(INDEX($B965:$D965,N$5)="F",AND(N$6&gt;0,$A965&lt;N$6),AND(N$7&gt;0,$A965&gt;N$7)),0,MAX(0,ROUND((INDEX($E965:$G965,N$5)-SUMIFS(TF_Timer,TF_Tekniker,N$4,TF_Dato,$A965))*2,0)/2)))</f>
        <v/>
      </c>
      <c r="O965">
        <f>IF(OR(O$4="",$A965&gt;TODAY()),0,IF(OR(INDEX($B965:$D965,O$5)="F",AND(O$6&gt;0,$A965&lt;O$6),AND(O$7&gt;0,$A965&gt;O$7)),0,MAX(0,ROUND((INDEX($E965:$G965,O$5)-SUMIFS(TF_Timer,TF_Tekniker,O$4,TF_Dato,$A965))*2,0)/2)))</f>
        <v/>
      </c>
      <c r="P965">
        <f>IF(OR(P$4="",$A965&gt;TODAY()),0,IF(OR(INDEX($B965:$D965,P$5)="F",AND(P$6&gt;0,$A965&lt;P$6),AND(P$7&gt;0,$A965&gt;P$7)),0,MAX(0,ROUND((INDEX($E965:$G965,P$5)-SUMIFS(TF_Timer,TF_Tekniker,P$4,TF_Dato,$A965))*2,0)/2)))</f>
        <v/>
      </c>
      <c r="Q965">
        <f>IF(OR(Q$4="",$A965&gt;TODAY()),0,IF(OR(INDEX($B965:$D965,Q$5)="F",AND(Q$6&gt;0,$A965&lt;Q$6),AND(Q$7&gt;0,$A965&gt;Q$7)),0,MAX(0,ROUND((INDEX($E965:$G965,Q$5)-SUMIFS(TF_Timer,TF_Tekniker,Q$4,TF_Dato,$A965))*2,0)/2)))</f>
        <v/>
      </c>
      <c r="R965">
        <f>IF(OR(R$4="",$A965&gt;TODAY()),0,IF(OR(INDEX($B965:$D965,R$5)="F",AND(R$6&gt;0,$A965&lt;R$6),AND(R$7&gt;0,$A965&gt;R$7)),0,MAX(0,ROUND((INDEX($E965:$G965,R$5)-SUMIFS(TF_Timer,TF_Tekniker,R$4,TF_Dato,$A965))*2,0)/2)))</f>
        <v/>
      </c>
      <c r="S965">
        <f>IF(OR(S$4="",$A965&gt;TODAY()),0,IF(OR(INDEX($B965:$D965,S$5)="F",AND(S$6&gt;0,$A965&lt;S$6),AND(S$7&gt;0,$A965&gt;S$7)),0,MAX(0,ROUND((INDEX($E965:$G965,S$5)-SUMIFS(TF_Timer,TF_Tekniker,S$4,TF_Dato,$A965))*2,0)/2)))</f>
        <v/>
      </c>
      <c r="T965">
        <f>IF(OR(T$4="",$A965&gt;TODAY()),0,IF(OR(INDEX($B965:$D965,T$5)="F",AND(T$6&gt;0,$A965&lt;T$6),AND(T$7&gt;0,$A965&gt;T$7)),0,MAX(0,ROUND((INDEX($E965:$G965,T$5)-SUMIFS(TF_Timer,TF_Tekniker,T$4,TF_Dato,$A965))*2,0)/2)))</f>
        <v/>
      </c>
      <c r="U965">
        <f>IF(OR(U$4="",$A965&gt;TODAY()),0,IF(OR(INDEX($B965:$D965,U$5)="F",AND(U$6&gt;0,$A965&lt;U$6),AND(U$7&gt;0,$A965&gt;U$7)),0,MAX(0,ROUND((INDEX($E965:$G965,U$5)-SUMIFS(TF_Timer,TF_Tekniker,U$4,TF_Dato,$A965))*2,0)/2)))</f>
        <v/>
      </c>
      <c r="V965">
        <f>IF(OR(V$4="",$A965&gt;TODAY()),0,IF(OR(INDEX($B965:$D965,V$5)="F",AND(V$6&gt;0,$A965&lt;V$6),AND(V$7&gt;0,$A965&gt;V$7)),0,MAX(0,ROUND((INDEX($E965:$G965,V$5)-SUMIFS(TF_Timer,TF_Tekniker,V$4,TF_Dato,$A965))*2,0)/2)))</f>
        <v/>
      </c>
      <c r="W965">
        <f>IF(OR(W$4="",$A965&gt;TODAY()),0,IF(OR(INDEX($B965:$D965,W$5)="F",AND(W$6&gt;0,$A965&lt;W$6),AND(W$7&gt;0,$A965&gt;W$7)),0,MAX(0,ROUND((INDEX($E965:$G965,W$5)-SUMIFS(TF_Timer,TF_Tekniker,W$4,TF_Dato,$A965))*2,0)/2)))</f>
        <v/>
      </c>
      <c r="X965">
        <f>IF(OR(X$4="",$A965&gt;TODAY()),0,IF(OR(INDEX($B965:$D965,X$5)="F",AND(X$6&gt;0,$A965&lt;X$6),AND(X$7&gt;0,$A965&gt;X$7)),0,MAX(0,ROUND((INDEX($E965:$G965,X$5)-SUMIFS(TF_Timer,TF_Tekniker,X$4,TF_Dato,$A965))*2,0)/2)))</f>
        <v/>
      </c>
      <c r="Y965">
        <f>IF(OR(Y$4="",$A965&gt;TODAY()),0,IF(OR(INDEX($B965:$D965,Y$5)="F",AND(Y$6&gt;0,$A965&lt;Y$6),AND(Y$7&gt;0,$A965&gt;Y$7)),0,MAX(0,ROUND((INDEX($E965:$G965,Y$5)-SUMIFS(TF_Timer,TF_Tekniker,Y$4,TF_Dato,$A965))*2,0)/2)))</f>
        <v/>
      </c>
      <c r="Z965">
        <f>IF(OR(Z$4="",$A965&gt;TODAY()),0,IF(OR(INDEX($B965:$D965,Z$5)="F",AND(Z$6&gt;0,$A965&lt;Z$6),AND(Z$7&gt;0,$A965&gt;Z$7)),0,MAX(0,ROUND((INDEX($E965:$G965,Z$5)-SUMIFS(TF_Timer,TF_Tekniker,Z$4,TF_Dato,$A965))*2,0)/2)))</f>
        <v/>
      </c>
      <c r="AA965">
        <f>IF(OR(AA$4="",$A965&gt;TODAY()),0,IF(OR(INDEX($B965:$D965,AA$5)="F",AND(AA$6&gt;0,$A965&lt;AA$6),AND(AA$7&gt;0,$A965&gt;AA$7)),0,MAX(0,ROUND((INDEX($E965:$G965,AA$5)-SUMIFS(TF_Timer,TF_Tekniker,AA$4,TF_Dato,$A965))*2,0)/2)))</f>
        <v/>
      </c>
      <c r="AB965">
        <f>IF(OR(AB$4="",$A965&gt;TODAY()),0,IF(OR(INDEX($B965:$D965,AB$5)="F",AND(AB$6&gt;0,$A965&lt;AB$6),AND(AB$7&gt;0,$A965&gt;AB$7)),0,MAX(0,ROUND((INDEX($E965:$G965,AB$5)-SUMIFS(TF_Timer,TF_Tekniker,AB$4,TF_Dato,$A965))*2,0)/2)))</f>
        <v/>
      </c>
      <c r="AC965">
        <f>IF(OR(AC$4="",$A965&gt;TODAY()),0,IF(OR(INDEX($B965:$D965,AC$5)="F",AND(AC$6&gt;0,$A965&lt;AC$6),AND(AC$7&gt;0,$A965&gt;AC$7)),0,MAX(0,ROUND((INDEX($E965:$G965,AC$5)-SUMIFS(TF_Timer,TF_Tekniker,AC$4,TF_Dato,$A965))*2,0)/2)))</f>
        <v/>
      </c>
      <c r="AD965">
        <f>IF(OR(AD$4="",$A965&gt;TODAY()),0,IF(OR(INDEX($B965:$D965,AD$5)="F",AND(AD$6&gt;0,$A965&lt;AD$6),AND(AD$7&gt;0,$A965&gt;AD$7)),0,MAX(0,ROUND((INDEX($E965:$G965,AD$5)-SUMIFS(TF_Timer,TF_Tekniker,AD$4,TF_Dato,$A965))*2,0)/2)))</f>
        <v/>
      </c>
      <c r="AE965">
        <f>IF(OR(AE$4="",$A965&gt;TODAY()),0,IF(OR(INDEX($B965:$D965,AE$5)="F",AND(AE$6&gt;0,$A965&lt;AE$6),AND(AE$7&gt;0,$A965&gt;AE$7)),0,MAX(0,ROUND((INDEX($E965:$G965,AE$5)-SUMIFS(TF_Timer,TF_Tekniker,AE$4,TF_Dato,$A965))*2,0)/2)))</f>
        <v/>
      </c>
      <c r="AF965">
        <f>IF(OR(AF$4="",$A965&gt;TODAY()),0,IF(OR(INDEX($B965:$D965,AF$5)="F",AND(AF$6&gt;0,$A965&lt;AF$6),AND(AF$7&gt;0,$A965&gt;AF$7)),0,MAX(0,ROUND((INDEX($E965:$G965,AF$5)-SUMIFS(TF_Timer,TF_Tekniker,AF$4,TF_Dato,$A965))*2,0)/2)))</f>
        <v/>
      </c>
      <c r="AG965">
        <f>IF(OR(AG$4="",$A965&gt;TODAY()),0,IF(OR(INDEX($B965:$D965,AG$5)="F",AND(AG$6&gt;0,$A965&lt;AG$6),AND(AG$7&gt;0,$A965&gt;AG$7)),0,MAX(0,ROUND((INDEX($E965:$G965,AG$5)-SUMIFS(TF_Timer,TF_Tekniker,AG$4,TF_Dato,$A965))*2,0)/2)))</f>
        <v/>
      </c>
      <c r="AH965">
        <f>IF(OR(AH$4="",$A965&gt;TODAY()),0,IF(OR(INDEX($B965:$D965,AH$5)="F",AND(AH$6&gt;0,$A965&lt;AH$6),AND(AH$7&gt;0,$A965&gt;AH$7)),0,MAX(0,ROUND((INDEX($E965:$G965,AH$5)-SUMIFS(TF_Timer,TF_Tekniker,AH$4,TF_Dato,$A965))*2,0)/2)))</f>
        <v/>
      </c>
      <c r="AI965">
        <f>IF(OR(AI$4="",$A965&gt;TODAY()),0,IF(OR(INDEX($B965:$D965,AI$5)="F",AND(AI$6&gt;0,$A965&lt;AI$6),AND(AI$7&gt;0,$A965&gt;AI$7)),0,MAX(0,ROUND((INDEX($E965:$G965,AI$5)-SUMIFS(TF_Timer,TF_Tekniker,AI$4,TF_Dato,$A965))*2,0)/2)))</f>
        <v/>
      </c>
      <c r="AJ965">
        <f>IF(OR(AJ$4="",$A965&gt;TODAY()),0,IF(OR(INDEX($B965:$D965,AJ$5)="F",AND(AJ$6&gt;0,$A965&lt;AJ$6),AND(AJ$7&gt;0,$A965&gt;AJ$7)),0,MAX(0,ROUND((INDEX($E965:$G965,AJ$5)-SUMIFS(TF_Timer,TF_Tekniker,AJ$4,TF_Dato,$A965))*2,0)/2)))</f>
        <v/>
      </c>
      <c r="AK965">
        <f>IF(OR(AK$4="",$A965&gt;TODAY()),0,IF(OR(INDEX($B965:$D965,AK$5)="F",AND(AK$6&gt;0,$A965&lt;AK$6),AND(AK$7&gt;0,$A965&gt;AK$7)),0,MAX(0,ROUND((INDEX($E965:$G965,AK$5)-SUMIFS(TF_Timer,TF_Tekniker,AK$4,TF_Dato,$A965))*2,0)/2)))</f>
        <v/>
      </c>
      <c r="AL965">
        <f>IF(OR(AL$4="",$A965&gt;TODAY()),0,IF(OR(INDEX($B965:$D965,AL$5)="F",AND(AL$6&gt;0,$A965&lt;AL$6),AND(AL$7&gt;0,$A965&gt;AL$7)),0,MAX(0,ROUND((INDEX($E965:$G965,AL$5)-SUMIFS(TF_Timer,TF_Tekniker,AL$4,TF_Dato,$A965))*2,0)/2)))</f>
        <v/>
      </c>
      <c r="AM965">
        <f>IF(OR(AM$4="",$A965&gt;TODAY()),0,IF(OR(INDEX($B965:$D965,AM$5)="F",AND(AM$6&gt;0,$A965&lt;AM$6),AND(AM$7&gt;0,$A965&gt;AM$7)),0,MAX(0,ROUND((INDEX($E965:$G965,AM$5)-SUMIFS(TF_Timer,TF_Tekniker,AM$4,TF_Dato,$A965))*2,0)/2)))</f>
        <v/>
      </c>
      <c r="AN965">
        <f>IF(OR(AN$4="",$A965&gt;TODAY()),0,IF(OR(INDEX($B965:$D965,AN$5)="F",AND(AN$6&gt;0,$A965&lt;AN$6),AND(AN$7&gt;0,$A965&gt;AN$7)),0,MAX(0,ROUND((INDEX($E965:$G965,AN$5)-SUMIFS(TF_Timer,TF_Tekniker,AN$4,TF_Dato,$A965))*2,0)/2)))</f>
        <v/>
      </c>
      <c r="AO965">
        <f>IF(OR(AO$4="",$A965&gt;TODAY()),0,IF(OR(INDEX($B965:$D965,AO$5)="F",AND(AO$6&gt;0,$A965&lt;AO$6),AND(AO$7&gt;0,$A965&gt;AO$7)),0,MAX(0,ROUND((INDEX($E965:$G965,AO$5)-SUMIFS(TF_Timer,TF_Tekniker,AO$4,TF_Dato,$A965))*2,0)/2)))</f>
        <v/>
      </c>
      <c r="AP965">
        <f>IF(OR(AP$4="",$A965&gt;TODAY()),0,IF(OR(INDEX($B965:$D965,AP$5)="F",AND(AP$6&gt;0,$A965&lt;AP$6),AND(AP$7&gt;0,$A965&gt;AP$7)),0,MAX(0,ROUND((INDEX($E965:$G965,AP$5)-SUMIFS(TF_Timer,TF_Tekniker,AP$4,TF_Dato,$A965))*2,0)/2)))</f>
        <v/>
      </c>
      <c r="AQ965">
        <f>IF(OR(AQ$4="",$A965&gt;TODAY()),0,IF(OR(INDEX($B965:$D965,AQ$5)="F",AND(AQ$6&gt;0,$A965&lt;AQ$6),AND(AQ$7&gt;0,$A965&gt;AQ$7)),0,MAX(0,ROUND((INDEX($E965:$G965,AQ$5)-SUMIFS(TF_Timer,TF_Tekniker,AQ$4,TF_Dato,$A965))*2,0)/2)))</f>
        <v/>
      </c>
      <c r="AR965">
        <f>IF(OR(AR$4="",$A965&gt;TODAY()),0,IF(OR(INDEX($B965:$D965,AR$5)="F",AND(AR$6&gt;0,$A965&lt;AR$6),AND(AR$7&gt;0,$A965&gt;AR$7)),0,MAX(0,ROUND((INDEX($E965:$G965,AR$5)-SUMIFS(TF_Timer,TF_Tekniker,AR$4,TF_Dato,$A965))*2,0)/2)))</f>
        <v/>
      </c>
      <c r="AS965">
        <f>IF(OR(AS$4="",$A965&gt;TODAY()),0,IF(OR(INDEX($B965:$D965,AS$5)="F",AND(AS$6&gt;0,$A965&lt;AS$6),AND(AS$7&gt;0,$A965&gt;AS$7)),0,MAX(0,ROUND((INDEX($E965:$G965,AS$5)-SUMIFS(TF_Timer,TF_Tekniker,AS$4,TF_Dato,$A965))*2,0)/2)))</f>
        <v/>
      </c>
      <c r="AT965">
        <f>IF(OR(AT$4="",$A965&gt;TODAY()),0,IF(OR(INDEX($B965:$D965,AT$5)="F",AND(AT$6&gt;0,$A965&lt;AT$6),AND(AT$7&gt;0,$A965&gt;AT$7)),0,MAX(0,ROUND((INDEX($E965:$G965,AT$5)-SUMIFS(TF_Timer,TF_Tekniker,AT$4,TF_Dato,$A965))*2,0)/2)))</f>
        <v/>
      </c>
      <c r="AU965">
        <f>IF(OR(AU$4="",$A965&gt;TODAY()),0,IF(OR(INDEX($B965:$D965,AU$5)="F",AND(AU$6&gt;0,$A965&lt;AU$6),AND(AU$7&gt;0,$A965&gt;AU$7)),0,MAX(0,ROUND((INDEX($E965:$G965,AU$5)-SUMIFS(TF_Timer,TF_Tekniker,AU$4,TF_Dato,$A965))*2,0)/2)))</f>
        <v/>
      </c>
      <c r="AV965">
        <f>IF(OR(AV$4="",$A965&gt;TODAY()),0,IF(OR(INDEX($B965:$D965,AV$5)="F",AND(AV$6&gt;0,$A965&lt;AV$6),AND(AV$7&gt;0,$A965&gt;AV$7)),0,MAX(0,ROUND((INDEX($E965:$G965,AV$5)-SUMIFS(TF_Timer,TF_Tekniker,AV$4,TF_Dato,$A965))*2,0)/2)))</f>
        <v/>
      </c>
      <c r="AW965">
        <f>IF(OR(AW$4="",$A965&gt;TODAY()),0,IF(OR(INDEX($B965:$D965,AW$5)="F",AND(AW$6&gt;0,$A965&lt;AW$6),AND(AW$7&gt;0,$A965&gt;AW$7)),0,MAX(0,ROUND((INDEX($E965:$G965,AW$5)-SUMIFS(TF_Timer,TF_Tekniker,AW$4,TF_Dato,$A965))*2,0)/2)))</f>
        <v/>
      </c>
      <c r="AX965">
        <f>IF(OR(AX$4="",$A965&gt;TODAY()),0,IF(OR(INDEX($B965:$D965,AX$5)="F",AND(AX$6&gt;0,$A965&lt;AX$6),AND(AX$7&gt;0,$A965&gt;AX$7)),0,MAX(0,ROUND((INDEX($E965:$G965,AX$5)-SUMIFS(TF_Timer,TF_Tekniker,AX$4,TF_Dato,$A965))*2,0)/2)))</f>
        <v/>
      </c>
      <c r="AY965">
        <f>IF(OR(AY$4="",$A965&gt;TODAY()),0,IF(OR(INDEX($B965:$D965,AY$5)="F",AND(AY$6&gt;0,$A965&lt;AY$6),AND(AY$7&gt;0,$A965&gt;AY$7)),0,MAX(0,ROUND((INDEX($E965:$G965,AY$5)-SUMIFS(TF_Timer,TF_Tekniker,AY$4,TF_Dato,$A965))*2,0)/2)))</f>
        <v/>
      </c>
      <c r="AZ965">
        <f>IF(OR(AZ$4="",$A965&gt;TODAY()),0,IF(OR(INDEX($B965:$D965,AZ$5)="F",AND(AZ$6&gt;0,$A965&lt;AZ$6),AND(AZ$7&gt;0,$A965&gt;AZ$7)),0,MAX(0,ROUND((INDEX($E965:$G965,AZ$5)-SUMIFS(TF_Timer,TF_Tekniker,AZ$4,TF_Dato,$A965))*2,0)/2)))</f>
        <v/>
      </c>
      <c r="BA965">
        <f>IF(OR(BA$4="",$A965&gt;TODAY()),0,IF(OR(INDEX($B965:$D965,BA$5)="F",AND(BA$6&gt;0,$A965&lt;BA$6),AND(BA$7&gt;0,$A965&gt;BA$7)),0,MAX(0,ROUND((INDEX($E965:$G965,BA$5)-SUMIFS(TF_Timer,TF_Tekniker,BA$4,TF_Dato,$A965))*2,0)/2)))</f>
        <v/>
      </c>
      <c r="BB965">
        <f>IF(OR(BB$4="",$A965&gt;TODAY()),0,IF(OR(INDEX($B965:$D965,BB$5)="F",AND(BB$6&gt;0,$A965&lt;BB$6),AND(BB$7&gt;0,$A965&gt;BB$7)),0,MAX(0,ROUND((INDEX($E965:$G965,BB$5)-SUMIFS(TF_Timer,TF_Tekniker,BB$4,TF_Dato,$A965))*2,0)/2)))</f>
        <v/>
      </c>
      <c r="BC965">
        <f>IF(OR(BC$4="",$A965&gt;TODAY()),0,IF(OR(INDEX($B965:$D965,BC$5)="F",AND(BC$6&gt;0,$A965&lt;BC$6),AND(BC$7&gt;0,$A965&gt;BC$7)),0,MAX(0,ROUND((INDEX($E965:$G965,BC$5)-SUMIFS(TF_Timer,TF_Tekniker,BC$4,TF_Dato,$A965))*2,0)/2)))</f>
        <v/>
      </c>
      <c r="BD965">
        <f>IF(OR(BD$4="",$A965&gt;TODAY()),0,IF(OR(INDEX($B965:$D965,BD$5)="F",AND(BD$6&gt;0,$A965&lt;BD$6),AND(BD$7&gt;0,$A965&gt;BD$7)),0,MAX(0,ROUND((INDEX($E965:$G965,BD$5)-SUMIFS(TF_Timer,TF_Tekniker,BD$4,TF_Dato,$A965))*2,0)/2)))</f>
        <v/>
      </c>
      <c r="BE965">
        <f>IF(OR(BE$4="",$A965&gt;TODAY()),0,IF(OR(INDEX($B965:$D965,BE$5)="F",AND(BE$6&gt;0,$A965&lt;BE$6),AND(BE$7&gt;0,$A965&gt;BE$7)),0,MAX(0,ROUND((INDEX($E965:$G965,BE$5)-SUMIFS(TF_Timer,TF_Tekniker,BE$4,TF_Dato,$A965))*2,0)/2)))</f>
        <v/>
      </c>
      <c r="BF965">
        <f>IF(OR(BF$4="",$A965&gt;TODAY()),0,IF(OR(INDEX($B965:$D965,BF$5)="F",AND(BF$6&gt;0,$A965&lt;BF$6),AND(BF$7&gt;0,$A965&gt;BF$7)),0,MAX(0,ROUND((INDEX($E965:$G965,BF$5)-SUMIFS(TF_Timer,TF_Tekniker,BF$4,TF_Dato,$A965))*2,0)/2)))</f>
        <v/>
      </c>
      <c r="BG965">
        <f>IF(OR(BG$4="",$A965&gt;TODAY()),0,IF(OR(INDEX($B965:$D965,BG$5)="F",AND(BG$6&gt;0,$A965&lt;BG$6),AND(BG$7&gt;0,$A965&gt;BG$7)),0,MAX(0,ROUND((INDEX($E965:$G965,BG$5)-SUMIFS(TF_Timer,TF_Tekniker,BG$4,TF_Dato,$A965))*2,0)/2)))</f>
        <v/>
      </c>
      <c r="BH965">
        <f>IF(OR(BH$4="",$A965&gt;TODAY()),0,IF(OR(INDEX($B965:$D965,BH$5)="F",AND(BH$6&gt;0,$A965&lt;BH$6),AND(BH$7&gt;0,$A965&gt;BH$7)),0,MAX(0,ROUND((INDEX($E965:$G965,BH$5)-SUMIFS(TF_Timer,TF_Tekniker,BH$4,TF_Dato,$A965))*2,0)/2)))</f>
        <v/>
      </c>
      <c r="BI965">
        <f>IF(OR(BI$4="",$A965&gt;TODAY()),0,IF(OR(INDEX($B965:$D965,BI$5)="F",AND(BI$6&gt;0,$A965&lt;BI$6),AND(BI$7&gt;0,$A965&gt;BI$7)),0,MAX(0,ROUND((INDEX($E965:$G965,BI$5)-SUMIFS(TF_Timer,TF_Tekniker,BI$4,TF_Dato,$A965))*2,0)/2)))</f>
        <v/>
      </c>
    </row>
    <row r="966">
      <c r="A966" s="64">
        <f>A965+1</f>
        <v/>
      </c>
      <c r="B966">
        <f>IF(MOD($A966-INDEX(SkiftStart,1),Syklus)&lt;DagK,"K",IF(MOD($A966-INDEX(SkiftStart,1),Syklus)&lt;DagK+DagH,"H",IF(MOD($A966-INDEX(SkiftStart,1),Syklus)&lt;DagK+DagH+DagD,"D","F")))</f>
        <v/>
      </c>
      <c r="C966">
        <f>IF(MOD($A966-INDEX(SkiftStart,2),Syklus)&lt;DagK,"K",IF(MOD($A966-INDEX(SkiftStart,2),Syklus)&lt;DagK+DagH,"H",IF(MOD($A966-INDEX(SkiftStart,2),Syklus)&lt;DagK+DagH+DagD,"D","F")))</f>
        <v/>
      </c>
      <c r="D966">
        <f>IF(MOD($A966-INDEX(SkiftStart,3),Syklus)&lt;DagK,"K",IF(MOD($A966-INDEX(SkiftStart,3),Syklus)&lt;DagK+DagH,"H",IF(MOD($A966-INDEX(SkiftStart,3),Syklus)&lt;DagK+DagH+DagD,"D","F")))</f>
        <v/>
      </c>
      <c r="E966">
        <f>IF(B966="F",0,IF(WEEKDAY($A966,2)=5,INDEX(TimerFr,MATCH(B966,FaseKode,0)),INDEX(TimerMT,MATCH(B966,FaseKode,0))))</f>
        <v/>
      </c>
      <c r="F966">
        <f>IF(C966="F",0,IF(WEEKDAY($A966,2)=5,INDEX(TimerFr,MATCH(C966,FaseKode,0)),INDEX(TimerMT,MATCH(C966,FaseKode,0))))</f>
        <v/>
      </c>
      <c r="G966">
        <f>IF(D966="F",0,IF(WEEKDAY($A966,2)=5,INDEX(TimerFr,MATCH(D966,FaseKode,0)),INDEX(TimerMT,MATCH(D966,FaseKode,0))))</f>
        <v/>
      </c>
      <c r="H966">
        <f>IF(OR(H$4="",$A966&gt;TODAY()),0,IF(OR(INDEX($B966:$D966,H$5)="F",AND(H$6&gt;0,$A966&lt;H$6),AND(H$7&gt;0,$A966&gt;H$7)),0,MAX(0,ROUND((INDEX($E966:$G966,H$5)-SUMIFS(TF_Timer,TF_Tekniker,H$4,TF_Dato,$A966))*2,0)/2)))</f>
        <v/>
      </c>
      <c r="I966">
        <f>IF(OR(I$4="",$A966&gt;TODAY()),0,IF(OR(INDEX($B966:$D966,I$5)="F",AND(I$6&gt;0,$A966&lt;I$6),AND(I$7&gt;0,$A966&gt;I$7)),0,MAX(0,ROUND((INDEX($E966:$G966,I$5)-SUMIFS(TF_Timer,TF_Tekniker,I$4,TF_Dato,$A966))*2,0)/2)))</f>
        <v/>
      </c>
      <c r="J966">
        <f>IF(OR(J$4="",$A966&gt;TODAY()),0,IF(OR(INDEX($B966:$D966,J$5)="F",AND(J$6&gt;0,$A966&lt;J$6),AND(J$7&gt;0,$A966&gt;J$7)),0,MAX(0,ROUND((INDEX($E966:$G966,J$5)-SUMIFS(TF_Timer,TF_Tekniker,J$4,TF_Dato,$A966))*2,0)/2)))</f>
        <v/>
      </c>
      <c r="K966">
        <f>IF(OR(K$4="",$A966&gt;TODAY()),0,IF(OR(INDEX($B966:$D966,K$5)="F",AND(K$6&gt;0,$A966&lt;K$6),AND(K$7&gt;0,$A966&gt;K$7)),0,MAX(0,ROUND((INDEX($E966:$G966,K$5)-SUMIFS(TF_Timer,TF_Tekniker,K$4,TF_Dato,$A966))*2,0)/2)))</f>
        <v/>
      </c>
      <c r="L966">
        <f>IF(OR(L$4="",$A966&gt;TODAY()),0,IF(OR(INDEX($B966:$D966,L$5)="F",AND(L$6&gt;0,$A966&lt;L$6),AND(L$7&gt;0,$A966&gt;L$7)),0,MAX(0,ROUND((INDEX($E966:$G966,L$5)-SUMIFS(TF_Timer,TF_Tekniker,L$4,TF_Dato,$A966))*2,0)/2)))</f>
        <v/>
      </c>
      <c r="M966">
        <f>IF(OR(M$4="",$A966&gt;TODAY()),0,IF(OR(INDEX($B966:$D966,M$5)="F",AND(M$6&gt;0,$A966&lt;M$6),AND(M$7&gt;0,$A966&gt;M$7)),0,MAX(0,ROUND((INDEX($E966:$G966,M$5)-SUMIFS(TF_Timer,TF_Tekniker,M$4,TF_Dato,$A966))*2,0)/2)))</f>
        <v/>
      </c>
      <c r="N966">
        <f>IF(OR(N$4="",$A966&gt;TODAY()),0,IF(OR(INDEX($B966:$D966,N$5)="F",AND(N$6&gt;0,$A966&lt;N$6),AND(N$7&gt;0,$A966&gt;N$7)),0,MAX(0,ROUND((INDEX($E966:$G966,N$5)-SUMIFS(TF_Timer,TF_Tekniker,N$4,TF_Dato,$A966))*2,0)/2)))</f>
        <v/>
      </c>
      <c r="O966">
        <f>IF(OR(O$4="",$A966&gt;TODAY()),0,IF(OR(INDEX($B966:$D966,O$5)="F",AND(O$6&gt;0,$A966&lt;O$6),AND(O$7&gt;0,$A966&gt;O$7)),0,MAX(0,ROUND((INDEX($E966:$G966,O$5)-SUMIFS(TF_Timer,TF_Tekniker,O$4,TF_Dato,$A966))*2,0)/2)))</f>
        <v/>
      </c>
      <c r="P966">
        <f>IF(OR(P$4="",$A966&gt;TODAY()),0,IF(OR(INDEX($B966:$D966,P$5)="F",AND(P$6&gt;0,$A966&lt;P$6),AND(P$7&gt;0,$A966&gt;P$7)),0,MAX(0,ROUND((INDEX($E966:$G966,P$5)-SUMIFS(TF_Timer,TF_Tekniker,P$4,TF_Dato,$A966))*2,0)/2)))</f>
        <v/>
      </c>
      <c r="Q966">
        <f>IF(OR(Q$4="",$A966&gt;TODAY()),0,IF(OR(INDEX($B966:$D966,Q$5)="F",AND(Q$6&gt;0,$A966&lt;Q$6),AND(Q$7&gt;0,$A966&gt;Q$7)),0,MAX(0,ROUND((INDEX($E966:$G966,Q$5)-SUMIFS(TF_Timer,TF_Tekniker,Q$4,TF_Dato,$A966))*2,0)/2)))</f>
        <v/>
      </c>
      <c r="R966">
        <f>IF(OR(R$4="",$A966&gt;TODAY()),0,IF(OR(INDEX($B966:$D966,R$5)="F",AND(R$6&gt;0,$A966&lt;R$6),AND(R$7&gt;0,$A966&gt;R$7)),0,MAX(0,ROUND((INDEX($E966:$G966,R$5)-SUMIFS(TF_Timer,TF_Tekniker,R$4,TF_Dato,$A966))*2,0)/2)))</f>
        <v/>
      </c>
      <c r="S966">
        <f>IF(OR(S$4="",$A966&gt;TODAY()),0,IF(OR(INDEX($B966:$D966,S$5)="F",AND(S$6&gt;0,$A966&lt;S$6),AND(S$7&gt;0,$A966&gt;S$7)),0,MAX(0,ROUND((INDEX($E966:$G966,S$5)-SUMIFS(TF_Timer,TF_Tekniker,S$4,TF_Dato,$A966))*2,0)/2)))</f>
        <v/>
      </c>
      <c r="T966">
        <f>IF(OR(T$4="",$A966&gt;TODAY()),0,IF(OR(INDEX($B966:$D966,T$5)="F",AND(T$6&gt;0,$A966&lt;T$6),AND(T$7&gt;0,$A966&gt;T$7)),0,MAX(0,ROUND((INDEX($E966:$G966,T$5)-SUMIFS(TF_Timer,TF_Tekniker,T$4,TF_Dato,$A966))*2,0)/2)))</f>
        <v/>
      </c>
      <c r="U966">
        <f>IF(OR(U$4="",$A966&gt;TODAY()),0,IF(OR(INDEX($B966:$D966,U$5)="F",AND(U$6&gt;0,$A966&lt;U$6),AND(U$7&gt;0,$A966&gt;U$7)),0,MAX(0,ROUND((INDEX($E966:$G966,U$5)-SUMIFS(TF_Timer,TF_Tekniker,U$4,TF_Dato,$A966))*2,0)/2)))</f>
        <v/>
      </c>
      <c r="V966">
        <f>IF(OR(V$4="",$A966&gt;TODAY()),0,IF(OR(INDEX($B966:$D966,V$5)="F",AND(V$6&gt;0,$A966&lt;V$6),AND(V$7&gt;0,$A966&gt;V$7)),0,MAX(0,ROUND((INDEX($E966:$G966,V$5)-SUMIFS(TF_Timer,TF_Tekniker,V$4,TF_Dato,$A966))*2,0)/2)))</f>
        <v/>
      </c>
      <c r="W966">
        <f>IF(OR(W$4="",$A966&gt;TODAY()),0,IF(OR(INDEX($B966:$D966,W$5)="F",AND(W$6&gt;0,$A966&lt;W$6),AND(W$7&gt;0,$A966&gt;W$7)),0,MAX(0,ROUND((INDEX($E966:$G966,W$5)-SUMIFS(TF_Timer,TF_Tekniker,W$4,TF_Dato,$A966))*2,0)/2)))</f>
        <v/>
      </c>
      <c r="X966">
        <f>IF(OR(X$4="",$A966&gt;TODAY()),0,IF(OR(INDEX($B966:$D966,X$5)="F",AND(X$6&gt;0,$A966&lt;X$6),AND(X$7&gt;0,$A966&gt;X$7)),0,MAX(0,ROUND((INDEX($E966:$G966,X$5)-SUMIFS(TF_Timer,TF_Tekniker,X$4,TF_Dato,$A966))*2,0)/2)))</f>
        <v/>
      </c>
      <c r="Y966">
        <f>IF(OR(Y$4="",$A966&gt;TODAY()),0,IF(OR(INDEX($B966:$D966,Y$5)="F",AND(Y$6&gt;0,$A966&lt;Y$6),AND(Y$7&gt;0,$A966&gt;Y$7)),0,MAX(0,ROUND((INDEX($E966:$G966,Y$5)-SUMIFS(TF_Timer,TF_Tekniker,Y$4,TF_Dato,$A966))*2,0)/2)))</f>
        <v/>
      </c>
      <c r="Z966">
        <f>IF(OR(Z$4="",$A966&gt;TODAY()),0,IF(OR(INDEX($B966:$D966,Z$5)="F",AND(Z$6&gt;0,$A966&lt;Z$6),AND(Z$7&gt;0,$A966&gt;Z$7)),0,MAX(0,ROUND((INDEX($E966:$G966,Z$5)-SUMIFS(TF_Timer,TF_Tekniker,Z$4,TF_Dato,$A966))*2,0)/2)))</f>
        <v/>
      </c>
      <c r="AA966">
        <f>IF(OR(AA$4="",$A966&gt;TODAY()),0,IF(OR(INDEX($B966:$D966,AA$5)="F",AND(AA$6&gt;0,$A966&lt;AA$6),AND(AA$7&gt;0,$A966&gt;AA$7)),0,MAX(0,ROUND((INDEX($E966:$G966,AA$5)-SUMIFS(TF_Timer,TF_Tekniker,AA$4,TF_Dato,$A966))*2,0)/2)))</f>
        <v/>
      </c>
      <c r="AB966">
        <f>IF(OR(AB$4="",$A966&gt;TODAY()),0,IF(OR(INDEX($B966:$D966,AB$5)="F",AND(AB$6&gt;0,$A966&lt;AB$6),AND(AB$7&gt;0,$A966&gt;AB$7)),0,MAX(0,ROUND((INDEX($E966:$G966,AB$5)-SUMIFS(TF_Timer,TF_Tekniker,AB$4,TF_Dato,$A966))*2,0)/2)))</f>
        <v/>
      </c>
      <c r="AC966">
        <f>IF(OR(AC$4="",$A966&gt;TODAY()),0,IF(OR(INDEX($B966:$D966,AC$5)="F",AND(AC$6&gt;0,$A966&lt;AC$6),AND(AC$7&gt;0,$A966&gt;AC$7)),0,MAX(0,ROUND((INDEX($E966:$G966,AC$5)-SUMIFS(TF_Timer,TF_Tekniker,AC$4,TF_Dato,$A966))*2,0)/2)))</f>
        <v/>
      </c>
      <c r="AD966">
        <f>IF(OR(AD$4="",$A966&gt;TODAY()),0,IF(OR(INDEX($B966:$D966,AD$5)="F",AND(AD$6&gt;0,$A966&lt;AD$6),AND(AD$7&gt;0,$A966&gt;AD$7)),0,MAX(0,ROUND((INDEX($E966:$G966,AD$5)-SUMIFS(TF_Timer,TF_Tekniker,AD$4,TF_Dato,$A966))*2,0)/2)))</f>
        <v/>
      </c>
      <c r="AE966">
        <f>IF(OR(AE$4="",$A966&gt;TODAY()),0,IF(OR(INDEX($B966:$D966,AE$5)="F",AND(AE$6&gt;0,$A966&lt;AE$6),AND(AE$7&gt;0,$A966&gt;AE$7)),0,MAX(0,ROUND((INDEX($E966:$G966,AE$5)-SUMIFS(TF_Timer,TF_Tekniker,AE$4,TF_Dato,$A966))*2,0)/2)))</f>
        <v/>
      </c>
      <c r="AF966">
        <f>IF(OR(AF$4="",$A966&gt;TODAY()),0,IF(OR(INDEX($B966:$D966,AF$5)="F",AND(AF$6&gt;0,$A966&lt;AF$6),AND(AF$7&gt;0,$A966&gt;AF$7)),0,MAX(0,ROUND((INDEX($E966:$G966,AF$5)-SUMIFS(TF_Timer,TF_Tekniker,AF$4,TF_Dato,$A966))*2,0)/2)))</f>
        <v/>
      </c>
      <c r="AG966">
        <f>IF(OR(AG$4="",$A966&gt;TODAY()),0,IF(OR(INDEX($B966:$D966,AG$5)="F",AND(AG$6&gt;0,$A966&lt;AG$6),AND(AG$7&gt;0,$A966&gt;AG$7)),0,MAX(0,ROUND((INDEX($E966:$G966,AG$5)-SUMIFS(TF_Timer,TF_Tekniker,AG$4,TF_Dato,$A966))*2,0)/2)))</f>
        <v/>
      </c>
      <c r="AH966">
        <f>IF(OR(AH$4="",$A966&gt;TODAY()),0,IF(OR(INDEX($B966:$D966,AH$5)="F",AND(AH$6&gt;0,$A966&lt;AH$6),AND(AH$7&gt;0,$A966&gt;AH$7)),0,MAX(0,ROUND((INDEX($E966:$G966,AH$5)-SUMIFS(TF_Timer,TF_Tekniker,AH$4,TF_Dato,$A966))*2,0)/2)))</f>
        <v/>
      </c>
      <c r="AI966">
        <f>IF(OR(AI$4="",$A966&gt;TODAY()),0,IF(OR(INDEX($B966:$D966,AI$5)="F",AND(AI$6&gt;0,$A966&lt;AI$6),AND(AI$7&gt;0,$A966&gt;AI$7)),0,MAX(0,ROUND((INDEX($E966:$G966,AI$5)-SUMIFS(TF_Timer,TF_Tekniker,AI$4,TF_Dato,$A966))*2,0)/2)))</f>
        <v/>
      </c>
      <c r="AJ966">
        <f>IF(OR(AJ$4="",$A966&gt;TODAY()),0,IF(OR(INDEX($B966:$D966,AJ$5)="F",AND(AJ$6&gt;0,$A966&lt;AJ$6),AND(AJ$7&gt;0,$A966&gt;AJ$7)),0,MAX(0,ROUND((INDEX($E966:$G966,AJ$5)-SUMIFS(TF_Timer,TF_Tekniker,AJ$4,TF_Dato,$A966))*2,0)/2)))</f>
        <v/>
      </c>
      <c r="AK966">
        <f>IF(OR(AK$4="",$A966&gt;TODAY()),0,IF(OR(INDEX($B966:$D966,AK$5)="F",AND(AK$6&gt;0,$A966&lt;AK$6),AND(AK$7&gt;0,$A966&gt;AK$7)),0,MAX(0,ROUND((INDEX($E966:$G966,AK$5)-SUMIFS(TF_Timer,TF_Tekniker,AK$4,TF_Dato,$A966))*2,0)/2)))</f>
        <v/>
      </c>
      <c r="AL966">
        <f>IF(OR(AL$4="",$A966&gt;TODAY()),0,IF(OR(INDEX($B966:$D966,AL$5)="F",AND(AL$6&gt;0,$A966&lt;AL$6),AND(AL$7&gt;0,$A966&gt;AL$7)),0,MAX(0,ROUND((INDEX($E966:$G966,AL$5)-SUMIFS(TF_Timer,TF_Tekniker,AL$4,TF_Dato,$A966))*2,0)/2)))</f>
        <v/>
      </c>
      <c r="AM966">
        <f>IF(OR(AM$4="",$A966&gt;TODAY()),0,IF(OR(INDEX($B966:$D966,AM$5)="F",AND(AM$6&gt;0,$A966&lt;AM$6),AND(AM$7&gt;0,$A966&gt;AM$7)),0,MAX(0,ROUND((INDEX($E966:$G966,AM$5)-SUMIFS(TF_Timer,TF_Tekniker,AM$4,TF_Dato,$A966))*2,0)/2)))</f>
        <v/>
      </c>
      <c r="AN966">
        <f>IF(OR(AN$4="",$A966&gt;TODAY()),0,IF(OR(INDEX($B966:$D966,AN$5)="F",AND(AN$6&gt;0,$A966&lt;AN$6),AND(AN$7&gt;0,$A966&gt;AN$7)),0,MAX(0,ROUND((INDEX($E966:$G966,AN$5)-SUMIFS(TF_Timer,TF_Tekniker,AN$4,TF_Dato,$A966))*2,0)/2)))</f>
        <v/>
      </c>
      <c r="AO966">
        <f>IF(OR(AO$4="",$A966&gt;TODAY()),0,IF(OR(INDEX($B966:$D966,AO$5)="F",AND(AO$6&gt;0,$A966&lt;AO$6),AND(AO$7&gt;0,$A966&gt;AO$7)),0,MAX(0,ROUND((INDEX($E966:$G966,AO$5)-SUMIFS(TF_Timer,TF_Tekniker,AO$4,TF_Dato,$A966))*2,0)/2)))</f>
        <v/>
      </c>
      <c r="AP966">
        <f>IF(OR(AP$4="",$A966&gt;TODAY()),0,IF(OR(INDEX($B966:$D966,AP$5)="F",AND(AP$6&gt;0,$A966&lt;AP$6),AND(AP$7&gt;0,$A966&gt;AP$7)),0,MAX(0,ROUND((INDEX($E966:$G966,AP$5)-SUMIFS(TF_Timer,TF_Tekniker,AP$4,TF_Dato,$A966))*2,0)/2)))</f>
        <v/>
      </c>
      <c r="AQ966">
        <f>IF(OR(AQ$4="",$A966&gt;TODAY()),0,IF(OR(INDEX($B966:$D966,AQ$5)="F",AND(AQ$6&gt;0,$A966&lt;AQ$6),AND(AQ$7&gt;0,$A966&gt;AQ$7)),0,MAX(0,ROUND((INDEX($E966:$G966,AQ$5)-SUMIFS(TF_Timer,TF_Tekniker,AQ$4,TF_Dato,$A966))*2,0)/2)))</f>
        <v/>
      </c>
      <c r="AR966">
        <f>IF(OR(AR$4="",$A966&gt;TODAY()),0,IF(OR(INDEX($B966:$D966,AR$5)="F",AND(AR$6&gt;0,$A966&lt;AR$6),AND(AR$7&gt;0,$A966&gt;AR$7)),0,MAX(0,ROUND((INDEX($E966:$G966,AR$5)-SUMIFS(TF_Timer,TF_Tekniker,AR$4,TF_Dato,$A966))*2,0)/2)))</f>
        <v/>
      </c>
      <c r="AS966">
        <f>IF(OR(AS$4="",$A966&gt;TODAY()),0,IF(OR(INDEX($B966:$D966,AS$5)="F",AND(AS$6&gt;0,$A966&lt;AS$6),AND(AS$7&gt;0,$A966&gt;AS$7)),0,MAX(0,ROUND((INDEX($E966:$G966,AS$5)-SUMIFS(TF_Timer,TF_Tekniker,AS$4,TF_Dato,$A966))*2,0)/2)))</f>
        <v/>
      </c>
      <c r="AT966">
        <f>IF(OR(AT$4="",$A966&gt;TODAY()),0,IF(OR(INDEX($B966:$D966,AT$5)="F",AND(AT$6&gt;0,$A966&lt;AT$6),AND(AT$7&gt;0,$A966&gt;AT$7)),0,MAX(0,ROUND((INDEX($E966:$G966,AT$5)-SUMIFS(TF_Timer,TF_Tekniker,AT$4,TF_Dato,$A966))*2,0)/2)))</f>
        <v/>
      </c>
      <c r="AU966">
        <f>IF(OR(AU$4="",$A966&gt;TODAY()),0,IF(OR(INDEX($B966:$D966,AU$5)="F",AND(AU$6&gt;0,$A966&lt;AU$6),AND(AU$7&gt;0,$A966&gt;AU$7)),0,MAX(0,ROUND((INDEX($E966:$G966,AU$5)-SUMIFS(TF_Timer,TF_Tekniker,AU$4,TF_Dato,$A966))*2,0)/2)))</f>
        <v/>
      </c>
      <c r="AV966">
        <f>IF(OR(AV$4="",$A966&gt;TODAY()),0,IF(OR(INDEX($B966:$D966,AV$5)="F",AND(AV$6&gt;0,$A966&lt;AV$6),AND(AV$7&gt;0,$A966&gt;AV$7)),0,MAX(0,ROUND((INDEX($E966:$G966,AV$5)-SUMIFS(TF_Timer,TF_Tekniker,AV$4,TF_Dato,$A966))*2,0)/2)))</f>
        <v/>
      </c>
      <c r="AW966">
        <f>IF(OR(AW$4="",$A966&gt;TODAY()),0,IF(OR(INDEX($B966:$D966,AW$5)="F",AND(AW$6&gt;0,$A966&lt;AW$6),AND(AW$7&gt;0,$A966&gt;AW$7)),0,MAX(0,ROUND((INDEX($E966:$G966,AW$5)-SUMIFS(TF_Timer,TF_Tekniker,AW$4,TF_Dato,$A966))*2,0)/2)))</f>
        <v/>
      </c>
      <c r="AX966">
        <f>IF(OR(AX$4="",$A966&gt;TODAY()),0,IF(OR(INDEX($B966:$D966,AX$5)="F",AND(AX$6&gt;0,$A966&lt;AX$6),AND(AX$7&gt;0,$A966&gt;AX$7)),0,MAX(0,ROUND((INDEX($E966:$G966,AX$5)-SUMIFS(TF_Timer,TF_Tekniker,AX$4,TF_Dato,$A966))*2,0)/2)))</f>
        <v/>
      </c>
      <c r="AY966">
        <f>IF(OR(AY$4="",$A966&gt;TODAY()),0,IF(OR(INDEX($B966:$D966,AY$5)="F",AND(AY$6&gt;0,$A966&lt;AY$6),AND(AY$7&gt;0,$A966&gt;AY$7)),0,MAX(0,ROUND((INDEX($E966:$G966,AY$5)-SUMIFS(TF_Timer,TF_Tekniker,AY$4,TF_Dato,$A966))*2,0)/2)))</f>
        <v/>
      </c>
      <c r="AZ966">
        <f>IF(OR(AZ$4="",$A966&gt;TODAY()),0,IF(OR(INDEX($B966:$D966,AZ$5)="F",AND(AZ$6&gt;0,$A966&lt;AZ$6),AND(AZ$7&gt;0,$A966&gt;AZ$7)),0,MAX(0,ROUND((INDEX($E966:$G966,AZ$5)-SUMIFS(TF_Timer,TF_Tekniker,AZ$4,TF_Dato,$A966))*2,0)/2)))</f>
        <v/>
      </c>
      <c r="BA966">
        <f>IF(OR(BA$4="",$A966&gt;TODAY()),0,IF(OR(INDEX($B966:$D966,BA$5)="F",AND(BA$6&gt;0,$A966&lt;BA$6),AND(BA$7&gt;0,$A966&gt;BA$7)),0,MAX(0,ROUND((INDEX($E966:$G966,BA$5)-SUMIFS(TF_Timer,TF_Tekniker,BA$4,TF_Dato,$A966))*2,0)/2)))</f>
        <v/>
      </c>
      <c r="BB966">
        <f>IF(OR(BB$4="",$A966&gt;TODAY()),0,IF(OR(INDEX($B966:$D966,BB$5)="F",AND(BB$6&gt;0,$A966&lt;BB$6),AND(BB$7&gt;0,$A966&gt;BB$7)),0,MAX(0,ROUND((INDEX($E966:$G966,BB$5)-SUMIFS(TF_Timer,TF_Tekniker,BB$4,TF_Dato,$A966))*2,0)/2)))</f>
        <v/>
      </c>
      <c r="BC966">
        <f>IF(OR(BC$4="",$A966&gt;TODAY()),0,IF(OR(INDEX($B966:$D966,BC$5)="F",AND(BC$6&gt;0,$A966&lt;BC$6),AND(BC$7&gt;0,$A966&gt;BC$7)),0,MAX(0,ROUND((INDEX($E966:$G966,BC$5)-SUMIFS(TF_Timer,TF_Tekniker,BC$4,TF_Dato,$A966))*2,0)/2)))</f>
        <v/>
      </c>
      <c r="BD966">
        <f>IF(OR(BD$4="",$A966&gt;TODAY()),0,IF(OR(INDEX($B966:$D966,BD$5)="F",AND(BD$6&gt;0,$A966&lt;BD$6),AND(BD$7&gt;0,$A966&gt;BD$7)),0,MAX(0,ROUND((INDEX($E966:$G966,BD$5)-SUMIFS(TF_Timer,TF_Tekniker,BD$4,TF_Dato,$A966))*2,0)/2)))</f>
        <v/>
      </c>
      <c r="BE966">
        <f>IF(OR(BE$4="",$A966&gt;TODAY()),0,IF(OR(INDEX($B966:$D966,BE$5)="F",AND(BE$6&gt;0,$A966&lt;BE$6),AND(BE$7&gt;0,$A966&gt;BE$7)),0,MAX(0,ROUND((INDEX($E966:$G966,BE$5)-SUMIFS(TF_Timer,TF_Tekniker,BE$4,TF_Dato,$A966))*2,0)/2)))</f>
        <v/>
      </c>
      <c r="BF966">
        <f>IF(OR(BF$4="",$A966&gt;TODAY()),0,IF(OR(INDEX($B966:$D966,BF$5)="F",AND(BF$6&gt;0,$A966&lt;BF$6),AND(BF$7&gt;0,$A966&gt;BF$7)),0,MAX(0,ROUND((INDEX($E966:$G966,BF$5)-SUMIFS(TF_Timer,TF_Tekniker,BF$4,TF_Dato,$A966))*2,0)/2)))</f>
        <v/>
      </c>
      <c r="BG966">
        <f>IF(OR(BG$4="",$A966&gt;TODAY()),0,IF(OR(INDEX($B966:$D966,BG$5)="F",AND(BG$6&gt;0,$A966&lt;BG$6),AND(BG$7&gt;0,$A966&gt;BG$7)),0,MAX(0,ROUND((INDEX($E966:$G966,BG$5)-SUMIFS(TF_Timer,TF_Tekniker,BG$4,TF_Dato,$A966))*2,0)/2)))</f>
        <v/>
      </c>
      <c r="BH966">
        <f>IF(OR(BH$4="",$A966&gt;TODAY()),0,IF(OR(INDEX($B966:$D966,BH$5)="F",AND(BH$6&gt;0,$A966&lt;BH$6),AND(BH$7&gt;0,$A966&gt;BH$7)),0,MAX(0,ROUND((INDEX($E966:$G966,BH$5)-SUMIFS(TF_Timer,TF_Tekniker,BH$4,TF_Dato,$A966))*2,0)/2)))</f>
        <v/>
      </c>
      <c r="BI966">
        <f>IF(OR(BI$4="",$A966&gt;TODAY()),0,IF(OR(INDEX($B966:$D966,BI$5)="F",AND(BI$6&gt;0,$A966&lt;BI$6),AND(BI$7&gt;0,$A966&gt;BI$7)),0,MAX(0,ROUND((INDEX($E966:$G966,BI$5)-SUMIFS(TF_Timer,TF_Tekniker,BI$4,TF_Dato,$A966))*2,0)/2)))</f>
        <v/>
      </c>
    </row>
    <row r="967">
      <c r="A967" s="64">
        <f>A966+1</f>
        <v/>
      </c>
      <c r="B967">
        <f>IF(MOD($A967-INDEX(SkiftStart,1),Syklus)&lt;DagK,"K",IF(MOD($A967-INDEX(SkiftStart,1),Syklus)&lt;DagK+DagH,"H",IF(MOD($A967-INDEX(SkiftStart,1),Syklus)&lt;DagK+DagH+DagD,"D","F")))</f>
        <v/>
      </c>
      <c r="C967">
        <f>IF(MOD($A967-INDEX(SkiftStart,2),Syklus)&lt;DagK,"K",IF(MOD($A967-INDEX(SkiftStart,2),Syklus)&lt;DagK+DagH,"H",IF(MOD($A967-INDEX(SkiftStart,2),Syklus)&lt;DagK+DagH+DagD,"D","F")))</f>
        <v/>
      </c>
      <c r="D967">
        <f>IF(MOD($A967-INDEX(SkiftStart,3),Syklus)&lt;DagK,"K",IF(MOD($A967-INDEX(SkiftStart,3),Syklus)&lt;DagK+DagH,"H",IF(MOD($A967-INDEX(SkiftStart,3),Syklus)&lt;DagK+DagH+DagD,"D","F")))</f>
        <v/>
      </c>
      <c r="E967">
        <f>IF(B967="F",0,IF(WEEKDAY($A967,2)=5,INDEX(TimerFr,MATCH(B967,FaseKode,0)),INDEX(TimerMT,MATCH(B967,FaseKode,0))))</f>
        <v/>
      </c>
      <c r="F967">
        <f>IF(C967="F",0,IF(WEEKDAY($A967,2)=5,INDEX(TimerFr,MATCH(C967,FaseKode,0)),INDEX(TimerMT,MATCH(C967,FaseKode,0))))</f>
        <v/>
      </c>
      <c r="G967">
        <f>IF(D967="F",0,IF(WEEKDAY($A967,2)=5,INDEX(TimerFr,MATCH(D967,FaseKode,0)),INDEX(TimerMT,MATCH(D967,FaseKode,0))))</f>
        <v/>
      </c>
      <c r="H967">
        <f>IF(OR(H$4="",$A967&gt;TODAY()),0,IF(OR(INDEX($B967:$D967,H$5)="F",AND(H$6&gt;0,$A967&lt;H$6),AND(H$7&gt;0,$A967&gt;H$7)),0,MAX(0,ROUND((INDEX($E967:$G967,H$5)-SUMIFS(TF_Timer,TF_Tekniker,H$4,TF_Dato,$A967))*2,0)/2)))</f>
        <v/>
      </c>
      <c r="I967">
        <f>IF(OR(I$4="",$A967&gt;TODAY()),0,IF(OR(INDEX($B967:$D967,I$5)="F",AND(I$6&gt;0,$A967&lt;I$6),AND(I$7&gt;0,$A967&gt;I$7)),0,MAX(0,ROUND((INDEX($E967:$G967,I$5)-SUMIFS(TF_Timer,TF_Tekniker,I$4,TF_Dato,$A967))*2,0)/2)))</f>
        <v/>
      </c>
      <c r="J967">
        <f>IF(OR(J$4="",$A967&gt;TODAY()),0,IF(OR(INDEX($B967:$D967,J$5)="F",AND(J$6&gt;0,$A967&lt;J$6),AND(J$7&gt;0,$A967&gt;J$7)),0,MAX(0,ROUND((INDEX($E967:$G967,J$5)-SUMIFS(TF_Timer,TF_Tekniker,J$4,TF_Dato,$A967))*2,0)/2)))</f>
        <v/>
      </c>
      <c r="K967">
        <f>IF(OR(K$4="",$A967&gt;TODAY()),0,IF(OR(INDEX($B967:$D967,K$5)="F",AND(K$6&gt;0,$A967&lt;K$6),AND(K$7&gt;0,$A967&gt;K$7)),0,MAX(0,ROUND((INDEX($E967:$G967,K$5)-SUMIFS(TF_Timer,TF_Tekniker,K$4,TF_Dato,$A967))*2,0)/2)))</f>
        <v/>
      </c>
      <c r="L967">
        <f>IF(OR(L$4="",$A967&gt;TODAY()),0,IF(OR(INDEX($B967:$D967,L$5)="F",AND(L$6&gt;0,$A967&lt;L$6),AND(L$7&gt;0,$A967&gt;L$7)),0,MAX(0,ROUND((INDEX($E967:$G967,L$5)-SUMIFS(TF_Timer,TF_Tekniker,L$4,TF_Dato,$A967))*2,0)/2)))</f>
        <v/>
      </c>
      <c r="M967">
        <f>IF(OR(M$4="",$A967&gt;TODAY()),0,IF(OR(INDEX($B967:$D967,M$5)="F",AND(M$6&gt;0,$A967&lt;M$6),AND(M$7&gt;0,$A967&gt;M$7)),0,MAX(0,ROUND((INDEX($E967:$G967,M$5)-SUMIFS(TF_Timer,TF_Tekniker,M$4,TF_Dato,$A967))*2,0)/2)))</f>
        <v/>
      </c>
      <c r="N967">
        <f>IF(OR(N$4="",$A967&gt;TODAY()),0,IF(OR(INDEX($B967:$D967,N$5)="F",AND(N$6&gt;0,$A967&lt;N$6),AND(N$7&gt;0,$A967&gt;N$7)),0,MAX(0,ROUND((INDEX($E967:$G967,N$5)-SUMIFS(TF_Timer,TF_Tekniker,N$4,TF_Dato,$A967))*2,0)/2)))</f>
        <v/>
      </c>
      <c r="O967">
        <f>IF(OR(O$4="",$A967&gt;TODAY()),0,IF(OR(INDEX($B967:$D967,O$5)="F",AND(O$6&gt;0,$A967&lt;O$6),AND(O$7&gt;0,$A967&gt;O$7)),0,MAX(0,ROUND((INDEX($E967:$G967,O$5)-SUMIFS(TF_Timer,TF_Tekniker,O$4,TF_Dato,$A967))*2,0)/2)))</f>
        <v/>
      </c>
      <c r="P967">
        <f>IF(OR(P$4="",$A967&gt;TODAY()),0,IF(OR(INDEX($B967:$D967,P$5)="F",AND(P$6&gt;0,$A967&lt;P$6),AND(P$7&gt;0,$A967&gt;P$7)),0,MAX(0,ROUND((INDEX($E967:$G967,P$5)-SUMIFS(TF_Timer,TF_Tekniker,P$4,TF_Dato,$A967))*2,0)/2)))</f>
        <v/>
      </c>
      <c r="Q967">
        <f>IF(OR(Q$4="",$A967&gt;TODAY()),0,IF(OR(INDEX($B967:$D967,Q$5)="F",AND(Q$6&gt;0,$A967&lt;Q$6),AND(Q$7&gt;0,$A967&gt;Q$7)),0,MAX(0,ROUND((INDEX($E967:$G967,Q$5)-SUMIFS(TF_Timer,TF_Tekniker,Q$4,TF_Dato,$A967))*2,0)/2)))</f>
        <v/>
      </c>
      <c r="R967">
        <f>IF(OR(R$4="",$A967&gt;TODAY()),0,IF(OR(INDEX($B967:$D967,R$5)="F",AND(R$6&gt;0,$A967&lt;R$6),AND(R$7&gt;0,$A967&gt;R$7)),0,MAX(0,ROUND((INDEX($E967:$G967,R$5)-SUMIFS(TF_Timer,TF_Tekniker,R$4,TF_Dato,$A967))*2,0)/2)))</f>
        <v/>
      </c>
      <c r="S967">
        <f>IF(OR(S$4="",$A967&gt;TODAY()),0,IF(OR(INDEX($B967:$D967,S$5)="F",AND(S$6&gt;0,$A967&lt;S$6),AND(S$7&gt;0,$A967&gt;S$7)),0,MAX(0,ROUND((INDEX($E967:$G967,S$5)-SUMIFS(TF_Timer,TF_Tekniker,S$4,TF_Dato,$A967))*2,0)/2)))</f>
        <v/>
      </c>
      <c r="T967">
        <f>IF(OR(T$4="",$A967&gt;TODAY()),0,IF(OR(INDEX($B967:$D967,T$5)="F",AND(T$6&gt;0,$A967&lt;T$6),AND(T$7&gt;0,$A967&gt;T$7)),0,MAX(0,ROUND((INDEX($E967:$G967,T$5)-SUMIFS(TF_Timer,TF_Tekniker,T$4,TF_Dato,$A967))*2,0)/2)))</f>
        <v/>
      </c>
      <c r="U967">
        <f>IF(OR(U$4="",$A967&gt;TODAY()),0,IF(OR(INDEX($B967:$D967,U$5)="F",AND(U$6&gt;0,$A967&lt;U$6),AND(U$7&gt;0,$A967&gt;U$7)),0,MAX(0,ROUND((INDEX($E967:$G967,U$5)-SUMIFS(TF_Timer,TF_Tekniker,U$4,TF_Dato,$A967))*2,0)/2)))</f>
        <v/>
      </c>
      <c r="V967">
        <f>IF(OR(V$4="",$A967&gt;TODAY()),0,IF(OR(INDEX($B967:$D967,V$5)="F",AND(V$6&gt;0,$A967&lt;V$6),AND(V$7&gt;0,$A967&gt;V$7)),0,MAX(0,ROUND((INDEX($E967:$G967,V$5)-SUMIFS(TF_Timer,TF_Tekniker,V$4,TF_Dato,$A967))*2,0)/2)))</f>
        <v/>
      </c>
      <c r="W967">
        <f>IF(OR(W$4="",$A967&gt;TODAY()),0,IF(OR(INDEX($B967:$D967,W$5)="F",AND(W$6&gt;0,$A967&lt;W$6),AND(W$7&gt;0,$A967&gt;W$7)),0,MAX(0,ROUND((INDEX($E967:$G967,W$5)-SUMIFS(TF_Timer,TF_Tekniker,W$4,TF_Dato,$A967))*2,0)/2)))</f>
        <v/>
      </c>
      <c r="X967">
        <f>IF(OR(X$4="",$A967&gt;TODAY()),0,IF(OR(INDEX($B967:$D967,X$5)="F",AND(X$6&gt;0,$A967&lt;X$6),AND(X$7&gt;0,$A967&gt;X$7)),0,MAX(0,ROUND((INDEX($E967:$G967,X$5)-SUMIFS(TF_Timer,TF_Tekniker,X$4,TF_Dato,$A967))*2,0)/2)))</f>
        <v/>
      </c>
      <c r="Y967">
        <f>IF(OR(Y$4="",$A967&gt;TODAY()),0,IF(OR(INDEX($B967:$D967,Y$5)="F",AND(Y$6&gt;0,$A967&lt;Y$6),AND(Y$7&gt;0,$A967&gt;Y$7)),0,MAX(0,ROUND((INDEX($E967:$G967,Y$5)-SUMIFS(TF_Timer,TF_Tekniker,Y$4,TF_Dato,$A967))*2,0)/2)))</f>
        <v/>
      </c>
      <c r="Z967">
        <f>IF(OR(Z$4="",$A967&gt;TODAY()),0,IF(OR(INDEX($B967:$D967,Z$5)="F",AND(Z$6&gt;0,$A967&lt;Z$6),AND(Z$7&gt;0,$A967&gt;Z$7)),0,MAX(0,ROUND((INDEX($E967:$G967,Z$5)-SUMIFS(TF_Timer,TF_Tekniker,Z$4,TF_Dato,$A967))*2,0)/2)))</f>
        <v/>
      </c>
      <c r="AA967">
        <f>IF(OR(AA$4="",$A967&gt;TODAY()),0,IF(OR(INDEX($B967:$D967,AA$5)="F",AND(AA$6&gt;0,$A967&lt;AA$6),AND(AA$7&gt;0,$A967&gt;AA$7)),0,MAX(0,ROUND((INDEX($E967:$G967,AA$5)-SUMIFS(TF_Timer,TF_Tekniker,AA$4,TF_Dato,$A967))*2,0)/2)))</f>
        <v/>
      </c>
      <c r="AB967">
        <f>IF(OR(AB$4="",$A967&gt;TODAY()),0,IF(OR(INDEX($B967:$D967,AB$5)="F",AND(AB$6&gt;0,$A967&lt;AB$6),AND(AB$7&gt;0,$A967&gt;AB$7)),0,MAX(0,ROUND((INDEX($E967:$G967,AB$5)-SUMIFS(TF_Timer,TF_Tekniker,AB$4,TF_Dato,$A967))*2,0)/2)))</f>
        <v/>
      </c>
      <c r="AC967">
        <f>IF(OR(AC$4="",$A967&gt;TODAY()),0,IF(OR(INDEX($B967:$D967,AC$5)="F",AND(AC$6&gt;0,$A967&lt;AC$6),AND(AC$7&gt;0,$A967&gt;AC$7)),0,MAX(0,ROUND((INDEX($E967:$G967,AC$5)-SUMIFS(TF_Timer,TF_Tekniker,AC$4,TF_Dato,$A967))*2,0)/2)))</f>
        <v/>
      </c>
      <c r="AD967">
        <f>IF(OR(AD$4="",$A967&gt;TODAY()),0,IF(OR(INDEX($B967:$D967,AD$5)="F",AND(AD$6&gt;0,$A967&lt;AD$6),AND(AD$7&gt;0,$A967&gt;AD$7)),0,MAX(0,ROUND((INDEX($E967:$G967,AD$5)-SUMIFS(TF_Timer,TF_Tekniker,AD$4,TF_Dato,$A967))*2,0)/2)))</f>
        <v/>
      </c>
      <c r="AE967">
        <f>IF(OR(AE$4="",$A967&gt;TODAY()),0,IF(OR(INDEX($B967:$D967,AE$5)="F",AND(AE$6&gt;0,$A967&lt;AE$6),AND(AE$7&gt;0,$A967&gt;AE$7)),0,MAX(0,ROUND((INDEX($E967:$G967,AE$5)-SUMIFS(TF_Timer,TF_Tekniker,AE$4,TF_Dato,$A967))*2,0)/2)))</f>
        <v/>
      </c>
      <c r="AF967">
        <f>IF(OR(AF$4="",$A967&gt;TODAY()),0,IF(OR(INDEX($B967:$D967,AF$5)="F",AND(AF$6&gt;0,$A967&lt;AF$6),AND(AF$7&gt;0,$A967&gt;AF$7)),0,MAX(0,ROUND((INDEX($E967:$G967,AF$5)-SUMIFS(TF_Timer,TF_Tekniker,AF$4,TF_Dato,$A967))*2,0)/2)))</f>
        <v/>
      </c>
      <c r="AG967">
        <f>IF(OR(AG$4="",$A967&gt;TODAY()),0,IF(OR(INDEX($B967:$D967,AG$5)="F",AND(AG$6&gt;0,$A967&lt;AG$6),AND(AG$7&gt;0,$A967&gt;AG$7)),0,MAX(0,ROUND((INDEX($E967:$G967,AG$5)-SUMIFS(TF_Timer,TF_Tekniker,AG$4,TF_Dato,$A967))*2,0)/2)))</f>
        <v/>
      </c>
      <c r="AH967">
        <f>IF(OR(AH$4="",$A967&gt;TODAY()),0,IF(OR(INDEX($B967:$D967,AH$5)="F",AND(AH$6&gt;0,$A967&lt;AH$6),AND(AH$7&gt;0,$A967&gt;AH$7)),0,MAX(0,ROUND((INDEX($E967:$G967,AH$5)-SUMIFS(TF_Timer,TF_Tekniker,AH$4,TF_Dato,$A967))*2,0)/2)))</f>
        <v/>
      </c>
      <c r="AI967">
        <f>IF(OR(AI$4="",$A967&gt;TODAY()),0,IF(OR(INDEX($B967:$D967,AI$5)="F",AND(AI$6&gt;0,$A967&lt;AI$6),AND(AI$7&gt;0,$A967&gt;AI$7)),0,MAX(0,ROUND((INDEX($E967:$G967,AI$5)-SUMIFS(TF_Timer,TF_Tekniker,AI$4,TF_Dato,$A967))*2,0)/2)))</f>
        <v/>
      </c>
      <c r="AJ967">
        <f>IF(OR(AJ$4="",$A967&gt;TODAY()),0,IF(OR(INDEX($B967:$D967,AJ$5)="F",AND(AJ$6&gt;0,$A967&lt;AJ$6),AND(AJ$7&gt;0,$A967&gt;AJ$7)),0,MAX(0,ROUND((INDEX($E967:$G967,AJ$5)-SUMIFS(TF_Timer,TF_Tekniker,AJ$4,TF_Dato,$A967))*2,0)/2)))</f>
        <v/>
      </c>
      <c r="AK967">
        <f>IF(OR(AK$4="",$A967&gt;TODAY()),0,IF(OR(INDEX($B967:$D967,AK$5)="F",AND(AK$6&gt;0,$A967&lt;AK$6),AND(AK$7&gt;0,$A967&gt;AK$7)),0,MAX(0,ROUND((INDEX($E967:$G967,AK$5)-SUMIFS(TF_Timer,TF_Tekniker,AK$4,TF_Dato,$A967))*2,0)/2)))</f>
        <v/>
      </c>
      <c r="AL967">
        <f>IF(OR(AL$4="",$A967&gt;TODAY()),0,IF(OR(INDEX($B967:$D967,AL$5)="F",AND(AL$6&gt;0,$A967&lt;AL$6),AND(AL$7&gt;0,$A967&gt;AL$7)),0,MAX(0,ROUND((INDEX($E967:$G967,AL$5)-SUMIFS(TF_Timer,TF_Tekniker,AL$4,TF_Dato,$A967))*2,0)/2)))</f>
        <v/>
      </c>
      <c r="AM967">
        <f>IF(OR(AM$4="",$A967&gt;TODAY()),0,IF(OR(INDEX($B967:$D967,AM$5)="F",AND(AM$6&gt;0,$A967&lt;AM$6),AND(AM$7&gt;0,$A967&gt;AM$7)),0,MAX(0,ROUND((INDEX($E967:$G967,AM$5)-SUMIFS(TF_Timer,TF_Tekniker,AM$4,TF_Dato,$A967))*2,0)/2)))</f>
        <v/>
      </c>
      <c r="AN967">
        <f>IF(OR(AN$4="",$A967&gt;TODAY()),0,IF(OR(INDEX($B967:$D967,AN$5)="F",AND(AN$6&gt;0,$A967&lt;AN$6),AND(AN$7&gt;0,$A967&gt;AN$7)),0,MAX(0,ROUND((INDEX($E967:$G967,AN$5)-SUMIFS(TF_Timer,TF_Tekniker,AN$4,TF_Dato,$A967))*2,0)/2)))</f>
        <v/>
      </c>
      <c r="AO967">
        <f>IF(OR(AO$4="",$A967&gt;TODAY()),0,IF(OR(INDEX($B967:$D967,AO$5)="F",AND(AO$6&gt;0,$A967&lt;AO$6),AND(AO$7&gt;0,$A967&gt;AO$7)),0,MAX(0,ROUND((INDEX($E967:$G967,AO$5)-SUMIFS(TF_Timer,TF_Tekniker,AO$4,TF_Dato,$A967))*2,0)/2)))</f>
        <v/>
      </c>
      <c r="AP967">
        <f>IF(OR(AP$4="",$A967&gt;TODAY()),0,IF(OR(INDEX($B967:$D967,AP$5)="F",AND(AP$6&gt;0,$A967&lt;AP$6),AND(AP$7&gt;0,$A967&gt;AP$7)),0,MAX(0,ROUND((INDEX($E967:$G967,AP$5)-SUMIFS(TF_Timer,TF_Tekniker,AP$4,TF_Dato,$A967))*2,0)/2)))</f>
        <v/>
      </c>
      <c r="AQ967">
        <f>IF(OR(AQ$4="",$A967&gt;TODAY()),0,IF(OR(INDEX($B967:$D967,AQ$5)="F",AND(AQ$6&gt;0,$A967&lt;AQ$6),AND(AQ$7&gt;0,$A967&gt;AQ$7)),0,MAX(0,ROUND((INDEX($E967:$G967,AQ$5)-SUMIFS(TF_Timer,TF_Tekniker,AQ$4,TF_Dato,$A967))*2,0)/2)))</f>
        <v/>
      </c>
      <c r="AR967">
        <f>IF(OR(AR$4="",$A967&gt;TODAY()),0,IF(OR(INDEX($B967:$D967,AR$5)="F",AND(AR$6&gt;0,$A967&lt;AR$6),AND(AR$7&gt;0,$A967&gt;AR$7)),0,MAX(0,ROUND((INDEX($E967:$G967,AR$5)-SUMIFS(TF_Timer,TF_Tekniker,AR$4,TF_Dato,$A967))*2,0)/2)))</f>
        <v/>
      </c>
      <c r="AS967">
        <f>IF(OR(AS$4="",$A967&gt;TODAY()),0,IF(OR(INDEX($B967:$D967,AS$5)="F",AND(AS$6&gt;0,$A967&lt;AS$6),AND(AS$7&gt;0,$A967&gt;AS$7)),0,MAX(0,ROUND((INDEX($E967:$G967,AS$5)-SUMIFS(TF_Timer,TF_Tekniker,AS$4,TF_Dato,$A967))*2,0)/2)))</f>
        <v/>
      </c>
      <c r="AT967">
        <f>IF(OR(AT$4="",$A967&gt;TODAY()),0,IF(OR(INDEX($B967:$D967,AT$5)="F",AND(AT$6&gt;0,$A967&lt;AT$6),AND(AT$7&gt;0,$A967&gt;AT$7)),0,MAX(0,ROUND((INDEX($E967:$G967,AT$5)-SUMIFS(TF_Timer,TF_Tekniker,AT$4,TF_Dato,$A967))*2,0)/2)))</f>
        <v/>
      </c>
      <c r="AU967">
        <f>IF(OR(AU$4="",$A967&gt;TODAY()),0,IF(OR(INDEX($B967:$D967,AU$5)="F",AND(AU$6&gt;0,$A967&lt;AU$6),AND(AU$7&gt;0,$A967&gt;AU$7)),0,MAX(0,ROUND((INDEX($E967:$G967,AU$5)-SUMIFS(TF_Timer,TF_Tekniker,AU$4,TF_Dato,$A967))*2,0)/2)))</f>
        <v/>
      </c>
      <c r="AV967">
        <f>IF(OR(AV$4="",$A967&gt;TODAY()),0,IF(OR(INDEX($B967:$D967,AV$5)="F",AND(AV$6&gt;0,$A967&lt;AV$6),AND(AV$7&gt;0,$A967&gt;AV$7)),0,MAX(0,ROUND((INDEX($E967:$G967,AV$5)-SUMIFS(TF_Timer,TF_Tekniker,AV$4,TF_Dato,$A967))*2,0)/2)))</f>
        <v/>
      </c>
      <c r="AW967">
        <f>IF(OR(AW$4="",$A967&gt;TODAY()),0,IF(OR(INDEX($B967:$D967,AW$5)="F",AND(AW$6&gt;0,$A967&lt;AW$6),AND(AW$7&gt;0,$A967&gt;AW$7)),0,MAX(0,ROUND((INDEX($E967:$G967,AW$5)-SUMIFS(TF_Timer,TF_Tekniker,AW$4,TF_Dato,$A967))*2,0)/2)))</f>
        <v/>
      </c>
      <c r="AX967">
        <f>IF(OR(AX$4="",$A967&gt;TODAY()),0,IF(OR(INDEX($B967:$D967,AX$5)="F",AND(AX$6&gt;0,$A967&lt;AX$6),AND(AX$7&gt;0,$A967&gt;AX$7)),0,MAX(0,ROUND((INDEX($E967:$G967,AX$5)-SUMIFS(TF_Timer,TF_Tekniker,AX$4,TF_Dato,$A967))*2,0)/2)))</f>
        <v/>
      </c>
      <c r="AY967">
        <f>IF(OR(AY$4="",$A967&gt;TODAY()),0,IF(OR(INDEX($B967:$D967,AY$5)="F",AND(AY$6&gt;0,$A967&lt;AY$6),AND(AY$7&gt;0,$A967&gt;AY$7)),0,MAX(0,ROUND((INDEX($E967:$G967,AY$5)-SUMIFS(TF_Timer,TF_Tekniker,AY$4,TF_Dato,$A967))*2,0)/2)))</f>
        <v/>
      </c>
      <c r="AZ967">
        <f>IF(OR(AZ$4="",$A967&gt;TODAY()),0,IF(OR(INDEX($B967:$D967,AZ$5)="F",AND(AZ$6&gt;0,$A967&lt;AZ$6),AND(AZ$7&gt;0,$A967&gt;AZ$7)),0,MAX(0,ROUND((INDEX($E967:$G967,AZ$5)-SUMIFS(TF_Timer,TF_Tekniker,AZ$4,TF_Dato,$A967))*2,0)/2)))</f>
        <v/>
      </c>
      <c r="BA967">
        <f>IF(OR(BA$4="",$A967&gt;TODAY()),0,IF(OR(INDEX($B967:$D967,BA$5)="F",AND(BA$6&gt;0,$A967&lt;BA$6),AND(BA$7&gt;0,$A967&gt;BA$7)),0,MAX(0,ROUND((INDEX($E967:$G967,BA$5)-SUMIFS(TF_Timer,TF_Tekniker,BA$4,TF_Dato,$A967))*2,0)/2)))</f>
        <v/>
      </c>
      <c r="BB967">
        <f>IF(OR(BB$4="",$A967&gt;TODAY()),0,IF(OR(INDEX($B967:$D967,BB$5)="F",AND(BB$6&gt;0,$A967&lt;BB$6),AND(BB$7&gt;0,$A967&gt;BB$7)),0,MAX(0,ROUND((INDEX($E967:$G967,BB$5)-SUMIFS(TF_Timer,TF_Tekniker,BB$4,TF_Dato,$A967))*2,0)/2)))</f>
        <v/>
      </c>
      <c r="BC967">
        <f>IF(OR(BC$4="",$A967&gt;TODAY()),0,IF(OR(INDEX($B967:$D967,BC$5)="F",AND(BC$6&gt;0,$A967&lt;BC$6),AND(BC$7&gt;0,$A967&gt;BC$7)),0,MAX(0,ROUND((INDEX($E967:$G967,BC$5)-SUMIFS(TF_Timer,TF_Tekniker,BC$4,TF_Dato,$A967))*2,0)/2)))</f>
        <v/>
      </c>
      <c r="BD967">
        <f>IF(OR(BD$4="",$A967&gt;TODAY()),0,IF(OR(INDEX($B967:$D967,BD$5)="F",AND(BD$6&gt;0,$A967&lt;BD$6),AND(BD$7&gt;0,$A967&gt;BD$7)),0,MAX(0,ROUND((INDEX($E967:$G967,BD$5)-SUMIFS(TF_Timer,TF_Tekniker,BD$4,TF_Dato,$A967))*2,0)/2)))</f>
        <v/>
      </c>
      <c r="BE967">
        <f>IF(OR(BE$4="",$A967&gt;TODAY()),0,IF(OR(INDEX($B967:$D967,BE$5)="F",AND(BE$6&gt;0,$A967&lt;BE$6),AND(BE$7&gt;0,$A967&gt;BE$7)),0,MAX(0,ROUND((INDEX($E967:$G967,BE$5)-SUMIFS(TF_Timer,TF_Tekniker,BE$4,TF_Dato,$A967))*2,0)/2)))</f>
        <v/>
      </c>
      <c r="BF967">
        <f>IF(OR(BF$4="",$A967&gt;TODAY()),0,IF(OR(INDEX($B967:$D967,BF$5)="F",AND(BF$6&gt;0,$A967&lt;BF$6),AND(BF$7&gt;0,$A967&gt;BF$7)),0,MAX(0,ROUND((INDEX($E967:$G967,BF$5)-SUMIFS(TF_Timer,TF_Tekniker,BF$4,TF_Dato,$A967))*2,0)/2)))</f>
        <v/>
      </c>
      <c r="BG967">
        <f>IF(OR(BG$4="",$A967&gt;TODAY()),0,IF(OR(INDEX($B967:$D967,BG$5)="F",AND(BG$6&gt;0,$A967&lt;BG$6),AND(BG$7&gt;0,$A967&gt;BG$7)),0,MAX(0,ROUND((INDEX($E967:$G967,BG$5)-SUMIFS(TF_Timer,TF_Tekniker,BG$4,TF_Dato,$A967))*2,0)/2)))</f>
        <v/>
      </c>
      <c r="BH967">
        <f>IF(OR(BH$4="",$A967&gt;TODAY()),0,IF(OR(INDEX($B967:$D967,BH$5)="F",AND(BH$6&gt;0,$A967&lt;BH$6),AND(BH$7&gt;0,$A967&gt;BH$7)),0,MAX(0,ROUND((INDEX($E967:$G967,BH$5)-SUMIFS(TF_Timer,TF_Tekniker,BH$4,TF_Dato,$A967))*2,0)/2)))</f>
        <v/>
      </c>
      <c r="BI967">
        <f>IF(OR(BI$4="",$A967&gt;TODAY()),0,IF(OR(INDEX($B967:$D967,BI$5)="F",AND(BI$6&gt;0,$A967&lt;BI$6),AND(BI$7&gt;0,$A967&gt;BI$7)),0,MAX(0,ROUND((INDEX($E967:$G967,BI$5)-SUMIFS(TF_Timer,TF_Tekniker,BI$4,TF_Dato,$A967))*2,0)/2)))</f>
        <v/>
      </c>
    </row>
    <row r="968">
      <c r="A968" s="64">
        <f>A967+1</f>
        <v/>
      </c>
      <c r="B968">
        <f>IF(MOD($A968-INDEX(SkiftStart,1),Syklus)&lt;DagK,"K",IF(MOD($A968-INDEX(SkiftStart,1),Syklus)&lt;DagK+DagH,"H",IF(MOD($A968-INDEX(SkiftStart,1),Syklus)&lt;DagK+DagH+DagD,"D","F")))</f>
        <v/>
      </c>
      <c r="C968">
        <f>IF(MOD($A968-INDEX(SkiftStart,2),Syklus)&lt;DagK,"K",IF(MOD($A968-INDEX(SkiftStart,2),Syklus)&lt;DagK+DagH,"H",IF(MOD($A968-INDEX(SkiftStart,2),Syklus)&lt;DagK+DagH+DagD,"D","F")))</f>
        <v/>
      </c>
      <c r="D968">
        <f>IF(MOD($A968-INDEX(SkiftStart,3),Syklus)&lt;DagK,"K",IF(MOD($A968-INDEX(SkiftStart,3),Syklus)&lt;DagK+DagH,"H",IF(MOD($A968-INDEX(SkiftStart,3),Syklus)&lt;DagK+DagH+DagD,"D","F")))</f>
        <v/>
      </c>
      <c r="E968">
        <f>IF(B968="F",0,IF(WEEKDAY($A968,2)=5,INDEX(TimerFr,MATCH(B968,FaseKode,0)),INDEX(TimerMT,MATCH(B968,FaseKode,0))))</f>
        <v/>
      </c>
      <c r="F968">
        <f>IF(C968="F",0,IF(WEEKDAY($A968,2)=5,INDEX(TimerFr,MATCH(C968,FaseKode,0)),INDEX(TimerMT,MATCH(C968,FaseKode,0))))</f>
        <v/>
      </c>
      <c r="G968">
        <f>IF(D968="F",0,IF(WEEKDAY($A968,2)=5,INDEX(TimerFr,MATCH(D968,FaseKode,0)),INDEX(TimerMT,MATCH(D968,FaseKode,0))))</f>
        <v/>
      </c>
      <c r="H968">
        <f>IF(OR(H$4="",$A968&gt;TODAY()),0,IF(OR(INDEX($B968:$D968,H$5)="F",AND(H$6&gt;0,$A968&lt;H$6),AND(H$7&gt;0,$A968&gt;H$7)),0,MAX(0,ROUND((INDEX($E968:$G968,H$5)-SUMIFS(TF_Timer,TF_Tekniker,H$4,TF_Dato,$A968))*2,0)/2)))</f>
        <v/>
      </c>
      <c r="I968">
        <f>IF(OR(I$4="",$A968&gt;TODAY()),0,IF(OR(INDEX($B968:$D968,I$5)="F",AND(I$6&gt;0,$A968&lt;I$6),AND(I$7&gt;0,$A968&gt;I$7)),0,MAX(0,ROUND((INDEX($E968:$G968,I$5)-SUMIFS(TF_Timer,TF_Tekniker,I$4,TF_Dato,$A968))*2,0)/2)))</f>
        <v/>
      </c>
      <c r="J968">
        <f>IF(OR(J$4="",$A968&gt;TODAY()),0,IF(OR(INDEX($B968:$D968,J$5)="F",AND(J$6&gt;0,$A968&lt;J$6),AND(J$7&gt;0,$A968&gt;J$7)),0,MAX(0,ROUND((INDEX($E968:$G968,J$5)-SUMIFS(TF_Timer,TF_Tekniker,J$4,TF_Dato,$A968))*2,0)/2)))</f>
        <v/>
      </c>
      <c r="K968">
        <f>IF(OR(K$4="",$A968&gt;TODAY()),0,IF(OR(INDEX($B968:$D968,K$5)="F",AND(K$6&gt;0,$A968&lt;K$6),AND(K$7&gt;0,$A968&gt;K$7)),0,MAX(0,ROUND((INDEX($E968:$G968,K$5)-SUMIFS(TF_Timer,TF_Tekniker,K$4,TF_Dato,$A968))*2,0)/2)))</f>
        <v/>
      </c>
      <c r="L968">
        <f>IF(OR(L$4="",$A968&gt;TODAY()),0,IF(OR(INDEX($B968:$D968,L$5)="F",AND(L$6&gt;0,$A968&lt;L$6),AND(L$7&gt;0,$A968&gt;L$7)),0,MAX(0,ROUND((INDEX($E968:$G968,L$5)-SUMIFS(TF_Timer,TF_Tekniker,L$4,TF_Dato,$A968))*2,0)/2)))</f>
        <v/>
      </c>
      <c r="M968">
        <f>IF(OR(M$4="",$A968&gt;TODAY()),0,IF(OR(INDEX($B968:$D968,M$5)="F",AND(M$6&gt;0,$A968&lt;M$6),AND(M$7&gt;0,$A968&gt;M$7)),0,MAX(0,ROUND((INDEX($E968:$G968,M$5)-SUMIFS(TF_Timer,TF_Tekniker,M$4,TF_Dato,$A968))*2,0)/2)))</f>
        <v/>
      </c>
      <c r="N968">
        <f>IF(OR(N$4="",$A968&gt;TODAY()),0,IF(OR(INDEX($B968:$D968,N$5)="F",AND(N$6&gt;0,$A968&lt;N$6),AND(N$7&gt;0,$A968&gt;N$7)),0,MAX(0,ROUND((INDEX($E968:$G968,N$5)-SUMIFS(TF_Timer,TF_Tekniker,N$4,TF_Dato,$A968))*2,0)/2)))</f>
        <v/>
      </c>
      <c r="O968">
        <f>IF(OR(O$4="",$A968&gt;TODAY()),0,IF(OR(INDEX($B968:$D968,O$5)="F",AND(O$6&gt;0,$A968&lt;O$6),AND(O$7&gt;0,$A968&gt;O$7)),0,MAX(0,ROUND((INDEX($E968:$G968,O$5)-SUMIFS(TF_Timer,TF_Tekniker,O$4,TF_Dato,$A968))*2,0)/2)))</f>
        <v/>
      </c>
      <c r="P968">
        <f>IF(OR(P$4="",$A968&gt;TODAY()),0,IF(OR(INDEX($B968:$D968,P$5)="F",AND(P$6&gt;0,$A968&lt;P$6),AND(P$7&gt;0,$A968&gt;P$7)),0,MAX(0,ROUND((INDEX($E968:$G968,P$5)-SUMIFS(TF_Timer,TF_Tekniker,P$4,TF_Dato,$A968))*2,0)/2)))</f>
        <v/>
      </c>
      <c r="Q968">
        <f>IF(OR(Q$4="",$A968&gt;TODAY()),0,IF(OR(INDEX($B968:$D968,Q$5)="F",AND(Q$6&gt;0,$A968&lt;Q$6),AND(Q$7&gt;0,$A968&gt;Q$7)),0,MAX(0,ROUND((INDEX($E968:$G968,Q$5)-SUMIFS(TF_Timer,TF_Tekniker,Q$4,TF_Dato,$A968))*2,0)/2)))</f>
        <v/>
      </c>
      <c r="R968">
        <f>IF(OR(R$4="",$A968&gt;TODAY()),0,IF(OR(INDEX($B968:$D968,R$5)="F",AND(R$6&gt;0,$A968&lt;R$6),AND(R$7&gt;0,$A968&gt;R$7)),0,MAX(0,ROUND((INDEX($E968:$G968,R$5)-SUMIFS(TF_Timer,TF_Tekniker,R$4,TF_Dato,$A968))*2,0)/2)))</f>
        <v/>
      </c>
      <c r="S968">
        <f>IF(OR(S$4="",$A968&gt;TODAY()),0,IF(OR(INDEX($B968:$D968,S$5)="F",AND(S$6&gt;0,$A968&lt;S$6),AND(S$7&gt;0,$A968&gt;S$7)),0,MAX(0,ROUND((INDEX($E968:$G968,S$5)-SUMIFS(TF_Timer,TF_Tekniker,S$4,TF_Dato,$A968))*2,0)/2)))</f>
        <v/>
      </c>
      <c r="T968">
        <f>IF(OR(T$4="",$A968&gt;TODAY()),0,IF(OR(INDEX($B968:$D968,T$5)="F",AND(T$6&gt;0,$A968&lt;T$6),AND(T$7&gt;0,$A968&gt;T$7)),0,MAX(0,ROUND((INDEX($E968:$G968,T$5)-SUMIFS(TF_Timer,TF_Tekniker,T$4,TF_Dato,$A968))*2,0)/2)))</f>
        <v/>
      </c>
      <c r="U968">
        <f>IF(OR(U$4="",$A968&gt;TODAY()),0,IF(OR(INDEX($B968:$D968,U$5)="F",AND(U$6&gt;0,$A968&lt;U$6),AND(U$7&gt;0,$A968&gt;U$7)),0,MAX(0,ROUND((INDEX($E968:$G968,U$5)-SUMIFS(TF_Timer,TF_Tekniker,U$4,TF_Dato,$A968))*2,0)/2)))</f>
        <v/>
      </c>
      <c r="V968">
        <f>IF(OR(V$4="",$A968&gt;TODAY()),0,IF(OR(INDEX($B968:$D968,V$5)="F",AND(V$6&gt;0,$A968&lt;V$6),AND(V$7&gt;0,$A968&gt;V$7)),0,MAX(0,ROUND((INDEX($E968:$G968,V$5)-SUMIFS(TF_Timer,TF_Tekniker,V$4,TF_Dato,$A968))*2,0)/2)))</f>
        <v/>
      </c>
      <c r="W968">
        <f>IF(OR(W$4="",$A968&gt;TODAY()),0,IF(OR(INDEX($B968:$D968,W$5)="F",AND(W$6&gt;0,$A968&lt;W$6),AND(W$7&gt;0,$A968&gt;W$7)),0,MAX(0,ROUND((INDEX($E968:$G968,W$5)-SUMIFS(TF_Timer,TF_Tekniker,W$4,TF_Dato,$A968))*2,0)/2)))</f>
        <v/>
      </c>
      <c r="X968">
        <f>IF(OR(X$4="",$A968&gt;TODAY()),0,IF(OR(INDEX($B968:$D968,X$5)="F",AND(X$6&gt;0,$A968&lt;X$6),AND(X$7&gt;0,$A968&gt;X$7)),0,MAX(0,ROUND((INDEX($E968:$G968,X$5)-SUMIFS(TF_Timer,TF_Tekniker,X$4,TF_Dato,$A968))*2,0)/2)))</f>
        <v/>
      </c>
      <c r="Y968">
        <f>IF(OR(Y$4="",$A968&gt;TODAY()),0,IF(OR(INDEX($B968:$D968,Y$5)="F",AND(Y$6&gt;0,$A968&lt;Y$6),AND(Y$7&gt;0,$A968&gt;Y$7)),0,MAX(0,ROUND((INDEX($E968:$G968,Y$5)-SUMIFS(TF_Timer,TF_Tekniker,Y$4,TF_Dato,$A968))*2,0)/2)))</f>
        <v/>
      </c>
      <c r="Z968">
        <f>IF(OR(Z$4="",$A968&gt;TODAY()),0,IF(OR(INDEX($B968:$D968,Z$5)="F",AND(Z$6&gt;0,$A968&lt;Z$6),AND(Z$7&gt;0,$A968&gt;Z$7)),0,MAX(0,ROUND((INDEX($E968:$G968,Z$5)-SUMIFS(TF_Timer,TF_Tekniker,Z$4,TF_Dato,$A968))*2,0)/2)))</f>
        <v/>
      </c>
      <c r="AA968">
        <f>IF(OR(AA$4="",$A968&gt;TODAY()),0,IF(OR(INDEX($B968:$D968,AA$5)="F",AND(AA$6&gt;0,$A968&lt;AA$6),AND(AA$7&gt;0,$A968&gt;AA$7)),0,MAX(0,ROUND((INDEX($E968:$G968,AA$5)-SUMIFS(TF_Timer,TF_Tekniker,AA$4,TF_Dato,$A968))*2,0)/2)))</f>
        <v/>
      </c>
      <c r="AB968">
        <f>IF(OR(AB$4="",$A968&gt;TODAY()),0,IF(OR(INDEX($B968:$D968,AB$5)="F",AND(AB$6&gt;0,$A968&lt;AB$6),AND(AB$7&gt;0,$A968&gt;AB$7)),0,MAX(0,ROUND((INDEX($E968:$G968,AB$5)-SUMIFS(TF_Timer,TF_Tekniker,AB$4,TF_Dato,$A968))*2,0)/2)))</f>
        <v/>
      </c>
      <c r="AC968">
        <f>IF(OR(AC$4="",$A968&gt;TODAY()),0,IF(OR(INDEX($B968:$D968,AC$5)="F",AND(AC$6&gt;0,$A968&lt;AC$6),AND(AC$7&gt;0,$A968&gt;AC$7)),0,MAX(0,ROUND((INDEX($E968:$G968,AC$5)-SUMIFS(TF_Timer,TF_Tekniker,AC$4,TF_Dato,$A968))*2,0)/2)))</f>
        <v/>
      </c>
      <c r="AD968">
        <f>IF(OR(AD$4="",$A968&gt;TODAY()),0,IF(OR(INDEX($B968:$D968,AD$5)="F",AND(AD$6&gt;0,$A968&lt;AD$6),AND(AD$7&gt;0,$A968&gt;AD$7)),0,MAX(0,ROUND((INDEX($E968:$G968,AD$5)-SUMIFS(TF_Timer,TF_Tekniker,AD$4,TF_Dato,$A968))*2,0)/2)))</f>
        <v/>
      </c>
      <c r="AE968">
        <f>IF(OR(AE$4="",$A968&gt;TODAY()),0,IF(OR(INDEX($B968:$D968,AE$5)="F",AND(AE$6&gt;0,$A968&lt;AE$6),AND(AE$7&gt;0,$A968&gt;AE$7)),0,MAX(0,ROUND((INDEX($E968:$G968,AE$5)-SUMIFS(TF_Timer,TF_Tekniker,AE$4,TF_Dato,$A968))*2,0)/2)))</f>
        <v/>
      </c>
      <c r="AF968">
        <f>IF(OR(AF$4="",$A968&gt;TODAY()),0,IF(OR(INDEX($B968:$D968,AF$5)="F",AND(AF$6&gt;0,$A968&lt;AF$6),AND(AF$7&gt;0,$A968&gt;AF$7)),0,MAX(0,ROUND((INDEX($E968:$G968,AF$5)-SUMIFS(TF_Timer,TF_Tekniker,AF$4,TF_Dato,$A968))*2,0)/2)))</f>
        <v/>
      </c>
      <c r="AG968">
        <f>IF(OR(AG$4="",$A968&gt;TODAY()),0,IF(OR(INDEX($B968:$D968,AG$5)="F",AND(AG$6&gt;0,$A968&lt;AG$6),AND(AG$7&gt;0,$A968&gt;AG$7)),0,MAX(0,ROUND((INDEX($E968:$G968,AG$5)-SUMIFS(TF_Timer,TF_Tekniker,AG$4,TF_Dato,$A968))*2,0)/2)))</f>
        <v/>
      </c>
      <c r="AH968">
        <f>IF(OR(AH$4="",$A968&gt;TODAY()),0,IF(OR(INDEX($B968:$D968,AH$5)="F",AND(AH$6&gt;0,$A968&lt;AH$6),AND(AH$7&gt;0,$A968&gt;AH$7)),0,MAX(0,ROUND((INDEX($E968:$G968,AH$5)-SUMIFS(TF_Timer,TF_Tekniker,AH$4,TF_Dato,$A968))*2,0)/2)))</f>
        <v/>
      </c>
      <c r="AI968">
        <f>IF(OR(AI$4="",$A968&gt;TODAY()),0,IF(OR(INDEX($B968:$D968,AI$5)="F",AND(AI$6&gt;0,$A968&lt;AI$6),AND(AI$7&gt;0,$A968&gt;AI$7)),0,MAX(0,ROUND((INDEX($E968:$G968,AI$5)-SUMIFS(TF_Timer,TF_Tekniker,AI$4,TF_Dato,$A968))*2,0)/2)))</f>
        <v/>
      </c>
      <c r="AJ968">
        <f>IF(OR(AJ$4="",$A968&gt;TODAY()),0,IF(OR(INDEX($B968:$D968,AJ$5)="F",AND(AJ$6&gt;0,$A968&lt;AJ$6),AND(AJ$7&gt;0,$A968&gt;AJ$7)),0,MAX(0,ROUND((INDEX($E968:$G968,AJ$5)-SUMIFS(TF_Timer,TF_Tekniker,AJ$4,TF_Dato,$A968))*2,0)/2)))</f>
        <v/>
      </c>
      <c r="AK968">
        <f>IF(OR(AK$4="",$A968&gt;TODAY()),0,IF(OR(INDEX($B968:$D968,AK$5)="F",AND(AK$6&gt;0,$A968&lt;AK$6),AND(AK$7&gt;0,$A968&gt;AK$7)),0,MAX(0,ROUND((INDEX($E968:$G968,AK$5)-SUMIFS(TF_Timer,TF_Tekniker,AK$4,TF_Dato,$A968))*2,0)/2)))</f>
        <v/>
      </c>
      <c r="AL968">
        <f>IF(OR(AL$4="",$A968&gt;TODAY()),0,IF(OR(INDEX($B968:$D968,AL$5)="F",AND(AL$6&gt;0,$A968&lt;AL$6),AND(AL$7&gt;0,$A968&gt;AL$7)),0,MAX(0,ROUND((INDEX($E968:$G968,AL$5)-SUMIFS(TF_Timer,TF_Tekniker,AL$4,TF_Dato,$A968))*2,0)/2)))</f>
        <v/>
      </c>
      <c r="AM968">
        <f>IF(OR(AM$4="",$A968&gt;TODAY()),0,IF(OR(INDEX($B968:$D968,AM$5)="F",AND(AM$6&gt;0,$A968&lt;AM$6),AND(AM$7&gt;0,$A968&gt;AM$7)),0,MAX(0,ROUND((INDEX($E968:$G968,AM$5)-SUMIFS(TF_Timer,TF_Tekniker,AM$4,TF_Dato,$A968))*2,0)/2)))</f>
        <v/>
      </c>
      <c r="AN968">
        <f>IF(OR(AN$4="",$A968&gt;TODAY()),0,IF(OR(INDEX($B968:$D968,AN$5)="F",AND(AN$6&gt;0,$A968&lt;AN$6),AND(AN$7&gt;0,$A968&gt;AN$7)),0,MAX(0,ROUND((INDEX($E968:$G968,AN$5)-SUMIFS(TF_Timer,TF_Tekniker,AN$4,TF_Dato,$A968))*2,0)/2)))</f>
        <v/>
      </c>
      <c r="AO968">
        <f>IF(OR(AO$4="",$A968&gt;TODAY()),0,IF(OR(INDEX($B968:$D968,AO$5)="F",AND(AO$6&gt;0,$A968&lt;AO$6),AND(AO$7&gt;0,$A968&gt;AO$7)),0,MAX(0,ROUND((INDEX($E968:$G968,AO$5)-SUMIFS(TF_Timer,TF_Tekniker,AO$4,TF_Dato,$A968))*2,0)/2)))</f>
        <v/>
      </c>
      <c r="AP968">
        <f>IF(OR(AP$4="",$A968&gt;TODAY()),0,IF(OR(INDEX($B968:$D968,AP$5)="F",AND(AP$6&gt;0,$A968&lt;AP$6),AND(AP$7&gt;0,$A968&gt;AP$7)),0,MAX(0,ROUND((INDEX($E968:$G968,AP$5)-SUMIFS(TF_Timer,TF_Tekniker,AP$4,TF_Dato,$A968))*2,0)/2)))</f>
        <v/>
      </c>
      <c r="AQ968">
        <f>IF(OR(AQ$4="",$A968&gt;TODAY()),0,IF(OR(INDEX($B968:$D968,AQ$5)="F",AND(AQ$6&gt;0,$A968&lt;AQ$6),AND(AQ$7&gt;0,$A968&gt;AQ$7)),0,MAX(0,ROUND((INDEX($E968:$G968,AQ$5)-SUMIFS(TF_Timer,TF_Tekniker,AQ$4,TF_Dato,$A968))*2,0)/2)))</f>
        <v/>
      </c>
      <c r="AR968">
        <f>IF(OR(AR$4="",$A968&gt;TODAY()),0,IF(OR(INDEX($B968:$D968,AR$5)="F",AND(AR$6&gt;0,$A968&lt;AR$6),AND(AR$7&gt;0,$A968&gt;AR$7)),0,MAX(0,ROUND((INDEX($E968:$G968,AR$5)-SUMIFS(TF_Timer,TF_Tekniker,AR$4,TF_Dato,$A968))*2,0)/2)))</f>
        <v/>
      </c>
      <c r="AS968">
        <f>IF(OR(AS$4="",$A968&gt;TODAY()),0,IF(OR(INDEX($B968:$D968,AS$5)="F",AND(AS$6&gt;0,$A968&lt;AS$6),AND(AS$7&gt;0,$A968&gt;AS$7)),0,MAX(0,ROUND((INDEX($E968:$G968,AS$5)-SUMIFS(TF_Timer,TF_Tekniker,AS$4,TF_Dato,$A968))*2,0)/2)))</f>
        <v/>
      </c>
      <c r="AT968">
        <f>IF(OR(AT$4="",$A968&gt;TODAY()),0,IF(OR(INDEX($B968:$D968,AT$5)="F",AND(AT$6&gt;0,$A968&lt;AT$6),AND(AT$7&gt;0,$A968&gt;AT$7)),0,MAX(0,ROUND((INDEX($E968:$G968,AT$5)-SUMIFS(TF_Timer,TF_Tekniker,AT$4,TF_Dato,$A968))*2,0)/2)))</f>
        <v/>
      </c>
      <c r="AU968">
        <f>IF(OR(AU$4="",$A968&gt;TODAY()),0,IF(OR(INDEX($B968:$D968,AU$5)="F",AND(AU$6&gt;0,$A968&lt;AU$6),AND(AU$7&gt;0,$A968&gt;AU$7)),0,MAX(0,ROUND((INDEX($E968:$G968,AU$5)-SUMIFS(TF_Timer,TF_Tekniker,AU$4,TF_Dato,$A968))*2,0)/2)))</f>
        <v/>
      </c>
      <c r="AV968">
        <f>IF(OR(AV$4="",$A968&gt;TODAY()),0,IF(OR(INDEX($B968:$D968,AV$5)="F",AND(AV$6&gt;0,$A968&lt;AV$6),AND(AV$7&gt;0,$A968&gt;AV$7)),0,MAX(0,ROUND((INDEX($E968:$G968,AV$5)-SUMIFS(TF_Timer,TF_Tekniker,AV$4,TF_Dato,$A968))*2,0)/2)))</f>
        <v/>
      </c>
      <c r="AW968">
        <f>IF(OR(AW$4="",$A968&gt;TODAY()),0,IF(OR(INDEX($B968:$D968,AW$5)="F",AND(AW$6&gt;0,$A968&lt;AW$6),AND(AW$7&gt;0,$A968&gt;AW$7)),0,MAX(0,ROUND((INDEX($E968:$G968,AW$5)-SUMIFS(TF_Timer,TF_Tekniker,AW$4,TF_Dato,$A968))*2,0)/2)))</f>
        <v/>
      </c>
      <c r="AX968">
        <f>IF(OR(AX$4="",$A968&gt;TODAY()),0,IF(OR(INDEX($B968:$D968,AX$5)="F",AND(AX$6&gt;0,$A968&lt;AX$6),AND(AX$7&gt;0,$A968&gt;AX$7)),0,MAX(0,ROUND((INDEX($E968:$G968,AX$5)-SUMIFS(TF_Timer,TF_Tekniker,AX$4,TF_Dato,$A968))*2,0)/2)))</f>
        <v/>
      </c>
      <c r="AY968">
        <f>IF(OR(AY$4="",$A968&gt;TODAY()),0,IF(OR(INDEX($B968:$D968,AY$5)="F",AND(AY$6&gt;0,$A968&lt;AY$6),AND(AY$7&gt;0,$A968&gt;AY$7)),0,MAX(0,ROUND((INDEX($E968:$G968,AY$5)-SUMIFS(TF_Timer,TF_Tekniker,AY$4,TF_Dato,$A968))*2,0)/2)))</f>
        <v/>
      </c>
      <c r="AZ968">
        <f>IF(OR(AZ$4="",$A968&gt;TODAY()),0,IF(OR(INDEX($B968:$D968,AZ$5)="F",AND(AZ$6&gt;0,$A968&lt;AZ$6),AND(AZ$7&gt;0,$A968&gt;AZ$7)),0,MAX(0,ROUND((INDEX($E968:$G968,AZ$5)-SUMIFS(TF_Timer,TF_Tekniker,AZ$4,TF_Dato,$A968))*2,0)/2)))</f>
        <v/>
      </c>
      <c r="BA968">
        <f>IF(OR(BA$4="",$A968&gt;TODAY()),0,IF(OR(INDEX($B968:$D968,BA$5)="F",AND(BA$6&gt;0,$A968&lt;BA$6),AND(BA$7&gt;0,$A968&gt;BA$7)),0,MAX(0,ROUND((INDEX($E968:$G968,BA$5)-SUMIFS(TF_Timer,TF_Tekniker,BA$4,TF_Dato,$A968))*2,0)/2)))</f>
        <v/>
      </c>
      <c r="BB968">
        <f>IF(OR(BB$4="",$A968&gt;TODAY()),0,IF(OR(INDEX($B968:$D968,BB$5)="F",AND(BB$6&gt;0,$A968&lt;BB$6),AND(BB$7&gt;0,$A968&gt;BB$7)),0,MAX(0,ROUND((INDEX($E968:$G968,BB$5)-SUMIFS(TF_Timer,TF_Tekniker,BB$4,TF_Dato,$A968))*2,0)/2)))</f>
        <v/>
      </c>
      <c r="BC968">
        <f>IF(OR(BC$4="",$A968&gt;TODAY()),0,IF(OR(INDEX($B968:$D968,BC$5)="F",AND(BC$6&gt;0,$A968&lt;BC$6),AND(BC$7&gt;0,$A968&gt;BC$7)),0,MAX(0,ROUND((INDEX($E968:$G968,BC$5)-SUMIFS(TF_Timer,TF_Tekniker,BC$4,TF_Dato,$A968))*2,0)/2)))</f>
        <v/>
      </c>
      <c r="BD968">
        <f>IF(OR(BD$4="",$A968&gt;TODAY()),0,IF(OR(INDEX($B968:$D968,BD$5)="F",AND(BD$6&gt;0,$A968&lt;BD$6),AND(BD$7&gt;0,$A968&gt;BD$7)),0,MAX(0,ROUND((INDEX($E968:$G968,BD$5)-SUMIFS(TF_Timer,TF_Tekniker,BD$4,TF_Dato,$A968))*2,0)/2)))</f>
        <v/>
      </c>
      <c r="BE968">
        <f>IF(OR(BE$4="",$A968&gt;TODAY()),0,IF(OR(INDEX($B968:$D968,BE$5)="F",AND(BE$6&gt;0,$A968&lt;BE$6),AND(BE$7&gt;0,$A968&gt;BE$7)),0,MAX(0,ROUND((INDEX($E968:$G968,BE$5)-SUMIFS(TF_Timer,TF_Tekniker,BE$4,TF_Dato,$A968))*2,0)/2)))</f>
        <v/>
      </c>
      <c r="BF968">
        <f>IF(OR(BF$4="",$A968&gt;TODAY()),0,IF(OR(INDEX($B968:$D968,BF$5)="F",AND(BF$6&gt;0,$A968&lt;BF$6),AND(BF$7&gt;0,$A968&gt;BF$7)),0,MAX(0,ROUND((INDEX($E968:$G968,BF$5)-SUMIFS(TF_Timer,TF_Tekniker,BF$4,TF_Dato,$A968))*2,0)/2)))</f>
        <v/>
      </c>
      <c r="BG968">
        <f>IF(OR(BG$4="",$A968&gt;TODAY()),0,IF(OR(INDEX($B968:$D968,BG$5)="F",AND(BG$6&gt;0,$A968&lt;BG$6),AND(BG$7&gt;0,$A968&gt;BG$7)),0,MAX(0,ROUND((INDEX($E968:$G968,BG$5)-SUMIFS(TF_Timer,TF_Tekniker,BG$4,TF_Dato,$A968))*2,0)/2)))</f>
        <v/>
      </c>
      <c r="BH968">
        <f>IF(OR(BH$4="",$A968&gt;TODAY()),0,IF(OR(INDEX($B968:$D968,BH$5)="F",AND(BH$6&gt;0,$A968&lt;BH$6),AND(BH$7&gt;0,$A968&gt;BH$7)),0,MAX(0,ROUND((INDEX($E968:$G968,BH$5)-SUMIFS(TF_Timer,TF_Tekniker,BH$4,TF_Dato,$A968))*2,0)/2)))</f>
        <v/>
      </c>
      <c r="BI968">
        <f>IF(OR(BI$4="",$A968&gt;TODAY()),0,IF(OR(INDEX($B968:$D968,BI$5)="F",AND(BI$6&gt;0,$A968&lt;BI$6),AND(BI$7&gt;0,$A968&gt;BI$7)),0,MAX(0,ROUND((INDEX($E968:$G968,BI$5)-SUMIFS(TF_Timer,TF_Tekniker,BI$4,TF_Dato,$A968))*2,0)/2)))</f>
        <v/>
      </c>
    </row>
    <row r="969">
      <c r="A969" s="64">
        <f>A968+1</f>
        <v/>
      </c>
      <c r="B969">
        <f>IF(MOD($A969-INDEX(SkiftStart,1),Syklus)&lt;DagK,"K",IF(MOD($A969-INDEX(SkiftStart,1),Syklus)&lt;DagK+DagH,"H",IF(MOD($A969-INDEX(SkiftStart,1),Syklus)&lt;DagK+DagH+DagD,"D","F")))</f>
        <v/>
      </c>
      <c r="C969">
        <f>IF(MOD($A969-INDEX(SkiftStart,2),Syklus)&lt;DagK,"K",IF(MOD($A969-INDEX(SkiftStart,2),Syklus)&lt;DagK+DagH,"H",IF(MOD($A969-INDEX(SkiftStart,2),Syklus)&lt;DagK+DagH+DagD,"D","F")))</f>
        <v/>
      </c>
      <c r="D969">
        <f>IF(MOD($A969-INDEX(SkiftStart,3),Syklus)&lt;DagK,"K",IF(MOD($A969-INDEX(SkiftStart,3),Syklus)&lt;DagK+DagH,"H",IF(MOD($A969-INDEX(SkiftStart,3),Syklus)&lt;DagK+DagH+DagD,"D","F")))</f>
        <v/>
      </c>
      <c r="E969">
        <f>IF(B969="F",0,IF(WEEKDAY($A969,2)=5,INDEX(TimerFr,MATCH(B969,FaseKode,0)),INDEX(TimerMT,MATCH(B969,FaseKode,0))))</f>
        <v/>
      </c>
      <c r="F969">
        <f>IF(C969="F",0,IF(WEEKDAY($A969,2)=5,INDEX(TimerFr,MATCH(C969,FaseKode,0)),INDEX(TimerMT,MATCH(C969,FaseKode,0))))</f>
        <v/>
      </c>
      <c r="G969">
        <f>IF(D969="F",0,IF(WEEKDAY($A969,2)=5,INDEX(TimerFr,MATCH(D969,FaseKode,0)),INDEX(TimerMT,MATCH(D969,FaseKode,0))))</f>
        <v/>
      </c>
      <c r="H969">
        <f>IF(OR(H$4="",$A969&gt;TODAY()),0,IF(OR(INDEX($B969:$D969,H$5)="F",AND(H$6&gt;0,$A969&lt;H$6),AND(H$7&gt;0,$A969&gt;H$7)),0,MAX(0,ROUND((INDEX($E969:$G969,H$5)-SUMIFS(TF_Timer,TF_Tekniker,H$4,TF_Dato,$A969))*2,0)/2)))</f>
        <v/>
      </c>
      <c r="I969">
        <f>IF(OR(I$4="",$A969&gt;TODAY()),0,IF(OR(INDEX($B969:$D969,I$5)="F",AND(I$6&gt;0,$A969&lt;I$6),AND(I$7&gt;0,$A969&gt;I$7)),0,MAX(0,ROUND((INDEX($E969:$G969,I$5)-SUMIFS(TF_Timer,TF_Tekniker,I$4,TF_Dato,$A969))*2,0)/2)))</f>
        <v/>
      </c>
      <c r="J969">
        <f>IF(OR(J$4="",$A969&gt;TODAY()),0,IF(OR(INDEX($B969:$D969,J$5)="F",AND(J$6&gt;0,$A969&lt;J$6),AND(J$7&gt;0,$A969&gt;J$7)),0,MAX(0,ROUND((INDEX($E969:$G969,J$5)-SUMIFS(TF_Timer,TF_Tekniker,J$4,TF_Dato,$A969))*2,0)/2)))</f>
        <v/>
      </c>
      <c r="K969">
        <f>IF(OR(K$4="",$A969&gt;TODAY()),0,IF(OR(INDEX($B969:$D969,K$5)="F",AND(K$6&gt;0,$A969&lt;K$6),AND(K$7&gt;0,$A969&gt;K$7)),0,MAX(0,ROUND((INDEX($E969:$G969,K$5)-SUMIFS(TF_Timer,TF_Tekniker,K$4,TF_Dato,$A969))*2,0)/2)))</f>
        <v/>
      </c>
      <c r="L969">
        <f>IF(OR(L$4="",$A969&gt;TODAY()),0,IF(OR(INDEX($B969:$D969,L$5)="F",AND(L$6&gt;0,$A969&lt;L$6),AND(L$7&gt;0,$A969&gt;L$7)),0,MAX(0,ROUND((INDEX($E969:$G969,L$5)-SUMIFS(TF_Timer,TF_Tekniker,L$4,TF_Dato,$A969))*2,0)/2)))</f>
        <v/>
      </c>
      <c r="M969">
        <f>IF(OR(M$4="",$A969&gt;TODAY()),0,IF(OR(INDEX($B969:$D969,M$5)="F",AND(M$6&gt;0,$A969&lt;M$6),AND(M$7&gt;0,$A969&gt;M$7)),0,MAX(0,ROUND((INDEX($E969:$G969,M$5)-SUMIFS(TF_Timer,TF_Tekniker,M$4,TF_Dato,$A969))*2,0)/2)))</f>
        <v/>
      </c>
      <c r="N969">
        <f>IF(OR(N$4="",$A969&gt;TODAY()),0,IF(OR(INDEX($B969:$D969,N$5)="F",AND(N$6&gt;0,$A969&lt;N$6),AND(N$7&gt;0,$A969&gt;N$7)),0,MAX(0,ROUND((INDEX($E969:$G969,N$5)-SUMIFS(TF_Timer,TF_Tekniker,N$4,TF_Dato,$A969))*2,0)/2)))</f>
        <v/>
      </c>
      <c r="O969">
        <f>IF(OR(O$4="",$A969&gt;TODAY()),0,IF(OR(INDEX($B969:$D969,O$5)="F",AND(O$6&gt;0,$A969&lt;O$6),AND(O$7&gt;0,$A969&gt;O$7)),0,MAX(0,ROUND((INDEX($E969:$G969,O$5)-SUMIFS(TF_Timer,TF_Tekniker,O$4,TF_Dato,$A969))*2,0)/2)))</f>
        <v/>
      </c>
      <c r="P969">
        <f>IF(OR(P$4="",$A969&gt;TODAY()),0,IF(OR(INDEX($B969:$D969,P$5)="F",AND(P$6&gt;0,$A969&lt;P$6),AND(P$7&gt;0,$A969&gt;P$7)),0,MAX(0,ROUND((INDEX($E969:$G969,P$5)-SUMIFS(TF_Timer,TF_Tekniker,P$4,TF_Dato,$A969))*2,0)/2)))</f>
        <v/>
      </c>
      <c r="Q969">
        <f>IF(OR(Q$4="",$A969&gt;TODAY()),0,IF(OR(INDEX($B969:$D969,Q$5)="F",AND(Q$6&gt;0,$A969&lt;Q$6),AND(Q$7&gt;0,$A969&gt;Q$7)),0,MAX(0,ROUND((INDEX($E969:$G969,Q$5)-SUMIFS(TF_Timer,TF_Tekniker,Q$4,TF_Dato,$A969))*2,0)/2)))</f>
        <v/>
      </c>
      <c r="R969">
        <f>IF(OR(R$4="",$A969&gt;TODAY()),0,IF(OR(INDEX($B969:$D969,R$5)="F",AND(R$6&gt;0,$A969&lt;R$6),AND(R$7&gt;0,$A969&gt;R$7)),0,MAX(0,ROUND((INDEX($E969:$G969,R$5)-SUMIFS(TF_Timer,TF_Tekniker,R$4,TF_Dato,$A969))*2,0)/2)))</f>
        <v/>
      </c>
      <c r="S969">
        <f>IF(OR(S$4="",$A969&gt;TODAY()),0,IF(OR(INDEX($B969:$D969,S$5)="F",AND(S$6&gt;0,$A969&lt;S$6),AND(S$7&gt;0,$A969&gt;S$7)),0,MAX(0,ROUND((INDEX($E969:$G969,S$5)-SUMIFS(TF_Timer,TF_Tekniker,S$4,TF_Dato,$A969))*2,0)/2)))</f>
        <v/>
      </c>
      <c r="T969">
        <f>IF(OR(T$4="",$A969&gt;TODAY()),0,IF(OR(INDEX($B969:$D969,T$5)="F",AND(T$6&gt;0,$A969&lt;T$6),AND(T$7&gt;0,$A969&gt;T$7)),0,MAX(0,ROUND((INDEX($E969:$G969,T$5)-SUMIFS(TF_Timer,TF_Tekniker,T$4,TF_Dato,$A969))*2,0)/2)))</f>
        <v/>
      </c>
      <c r="U969">
        <f>IF(OR(U$4="",$A969&gt;TODAY()),0,IF(OR(INDEX($B969:$D969,U$5)="F",AND(U$6&gt;0,$A969&lt;U$6),AND(U$7&gt;0,$A969&gt;U$7)),0,MAX(0,ROUND((INDEX($E969:$G969,U$5)-SUMIFS(TF_Timer,TF_Tekniker,U$4,TF_Dato,$A969))*2,0)/2)))</f>
        <v/>
      </c>
      <c r="V969">
        <f>IF(OR(V$4="",$A969&gt;TODAY()),0,IF(OR(INDEX($B969:$D969,V$5)="F",AND(V$6&gt;0,$A969&lt;V$6),AND(V$7&gt;0,$A969&gt;V$7)),0,MAX(0,ROUND((INDEX($E969:$G969,V$5)-SUMIFS(TF_Timer,TF_Tekniker,V$4,TF_Dato,$A969))*2,0)/2)))</f>
        <v/>
      </c>
      <c r="W969">
        <f>IF(OR(W$4="",$A969&gt;TODAY()),0,IF(OR(INDEX($B969:$D969,W$5)="F",AND(W$6&gt;0,$A969&lt;W$6),AND(W$7&gt;0,$A969&gt;W$7)),0,MAX(0,ROUND((INDEX($E969:$G969,W$5)-SUMIFS(TF_Timer,TF_Tekniker,W$4,TF_Dato,$A969))*2,0)/2)))</f>
        <v/>
      </c>
      <c r="X969">
        <f>IF(OR(X$4="",$A969&gt;TODAY()),0,IF(OR(INDEX($B969:$D969,X$5)="F",AND(X$6&gt;0,$A969&lt;X$6),AND(X$7&gt;0,$A969&gt;X$7)),0,MAX(0,ROUND((INDEX($E969:$G969,X$5)-SUMIFS(TF_Timer,TF_Tekniker,X$4,TF_Dato,$A969))*2,0)/2)))</f>
        <v/>
      </c>
      <c r="Y969">
        <f>IF(OR(Y$4="",$A969&gt;TODAY()),0,IF(OR(INDEX($B969:$D969,Y$5)="F",AND(Y$6&gt;0,$A969&lt;Y$6),AND(Y$7&gt;0,$A969&gt;Y$7)),0,MAX(0,ROUND((INDEX($E969:$G969,Y$5)-SUMIFS(TF_Timer,TF_Tekniker,Y$4,TF_Dato,$A969))*2,0)/2)))</f>
        <v/>
      </c>
      <c r="Z969">
        <f>IF(OR(Z$4="",$A969&gt;TODAY()),0,IF(OR(INDEX($B969:$D969,Z$5)="F",AND(Z$6&gt;0,$A969&lt;Z$6),AND(Z$7&gt;0,$A969&gt;Z$7)),0,MAX(0,ROUND((INDEX($E969:$G969,Z$5)-SUMIFS(TF_Timer,TF_Tekniker,Z$4,TF_Dato,$A969))*2,0)/2)))</f>
        <v/>
      </c>
      <c r="AA969">
        <f>IF(OR(AA$4="",$A969&gt;TODAY()),0,IF(OR(INDEX($B969:$D969,AA$5)="F",AND(AA$6&gt;0,$A969&lt;AA$6),AND(AA$7&gt;0,$A969&gt;AA$7)),0,MAX(0,ROUND((INDEX($E969:$G969,AA$5)-SUMIFS(TF_Timer,TF_Tekniker,AA$4,TF_Dato,$A969))*2,0)/2)))</f>
        <v/>
      </c>
      <c r="AB969">
        <f>IF(OR(AB$4="",$A969&gt;TODAY()),0,IF(OR(INDEX($B969:$D969,AB$5)="F",AND(AB$6&gt;0,$A969&lt;AB$6),AND(AB$7&gt;0,$A969&gt;AB$7)),0,MAX(0,ROUND((INDEX($E969:$G969,AB$5)-SUMIFS(TF_Timer,TF_Tekniker,AB$4,TF_Dato,$A969))*2,0)/2)))</f>
        <v/>
      </c>
      <c r="AC969">
        <f>IF(OR(AC$4="",$A969&gt;TODAY()),0,IF(OR(INDEX($B969:$D969,AC$5)="F",AND(AC$6&gt;0,$A969&lt;AC$6),AND(AC$7&gt;0,$A969&gt;AC$7)),0,MAX(0,ROUND((INDEX($E969:$G969,AC$5)-SUMIFS(TF_Timer,TF_Tekniker,AC$4,TF_Dato,$A969))*2,0)/2)))</f>
        <v/>
      </c>
      <c r="AD969">
        <f>IF(OR(AD$4="",$A969&gt;TODAY()),0,IF(OR(INDEX($B969:$D969,AD$5)="F",AND(AD$6&gt;0,$A969&lt;AD$6),AND(AD$7&gt;0,$A969&gt;AD$7)),0,MAX(0,ROUND((INDEX($E969:$G969,AD$5)-SUMIFS(TF_Timer,TF_Tekniker,AD$4,TF_Dato,$A969))*2,0)/2)))</f>
        <v/>
      </c>
      <c r="AE969">
        <f>IF(OR(AE$4="",$A969&gt;TODAY()),0,IF(OR(INDEX($B969:$D969,AE$5)="F",AND(AE$6&gt;0,$A969&lt;AE$6),AND(AE$7&gt;0,$A969&gt;AE$7)),0,MAX(0,ROUND((INDEX($E969:$G969,AE$5)-SUMIFS(TF_Timer,TF_Tekniker,AE$4,TF_Dato,$A969))*2,0)/2)))</f>
        <v/>
      </c>
      <c r="AF969">
        <f>IF(OR(AF$4="",$A969&gt;TODAY()),0,IF(OR(INDEX($B969:$D969,AF$5)="F",AND(AF$6&gt;0,$A969&lt;AF$6),AND(AF$7&gt;0,$A969&gt;AF$7)),0,MAX(0,ROUND((INDEX($E969:$G969,AF$5)-SUMIFS(TF_Timer,TF_Tekniker,AF$4,TF_Dato,$A969))*2,0)/2)))</f>
        <v/>
      </c>
      <c r="AG969">
        <f>IF(OR(AG$4="",$A969&gt;TODAY()),0,IF(OR(INDEX($B969:$D969,AG$5)="F",AND(AG$6&gt;0,$A969&lt;AG$6),AND(AG$7&gt;0,$A969&gt;AG$7)),0,MAX(0,ROUND((INDEX($E969:$G969,AG$5)-SUMIFS(TF_Timer,TF_Tekniker,AG$4,TF_Dato,$A969))*2,0)/2)))</f>
        <v/>
      </c>
      <c r="AH969">
        <f>IF(OR(AH$4="",$A969&gt;TODAY()),0,IF(OR(INDEX($B969:$D969,AH$5)="F",AND(AH$6&gt;0,$A969&lt;AH$6),AND(AH$7&gt;0,$A969&gt;AH$7)),0,MAX(0,ROUND((INDEX($E969:$G969,AH$5)-SUMIFS(TF_Timer,TF_Tekniker,AH$4,TF_Dato,$A969))*2,0)/2)))</f>
        <v/>
      </c>
      <c r="AI969">
        <f>IF(OR(AI$4="",$A969&gt;TODAY()),0,IF(OR(INDEX($B969:$D969,AI$5)="F",AND(AI$6&gt;0,$A969&lt;AI$6),AND(AI$7&gt;0,$A969&gt;AI$7)),0,MAX(0,ROUND((INDEX($E969:$G969,AI$5)-SUMIFS(TF_Timer,TF_Tekniker,AI$4,TF_Dato,$A969))*2,0)/2)))</f>
        <v/>
      </c>
      <c r="AJ969">
        <f>IF(OR(AJ$4="",$A969&gt;TODAY()),0,IF(OR(INDEX($B969:$D969,AJ$5)="F",AND(AJ$6&gt;0,$A969&lt;AJ$6),AND(AJ$7&gt;0,$A969&gt;AJ$7)),0,MAX(0,ROUND((INDEX($E969:$G969,AJ$5)-SUMIFS(TF_Timer,TF_Tekniker,AJ$4,TF_Dato,$A969))*2,0)/2)))</f>
        <v/>
      </c>
      <c r="AK969">
        <f>IF(OR(AK$4="",$A969&gt;TODAY()),0,IF(OR(INDEX($B969:$D969,AK$5)="F",AND(AK$6&gt;0,$A969&lt;AK$6),AND(AK$7&gt;0,$A969&gt;AK$7)),0,MAX(0,ROUND((INDEX($E969:$G969,AK$5)-SUMIFS(TF_Timer,TF_Tekniker,AK$4,TF_Dato,$A969))*2,0)/2)))</f>
        <v/>
      </c>
      <c r="AL969">
        <f>IF(OR(AL$4="",$A969&gt;TODAY()),0,IF(OR(INDEX($B969:$D969,AL$5)="F",AND(AL$6&gt;0,$A969&lt;AL$6),AND(AL$7&gt;0,$A969&gt;AL$7)),0,MAX(0,ROUND((INDEX($E969:$G969,AL$5)-SUMIFS(TF_Timer,TF_Tekniker,AL$4,TF_Dato,$A969))*2,0)/2)))</f>
        <v/>
      </c>
      <c r="AM969">
        <f>IF(OR(AM$4="",$A969&gt;TODAY()),0,IF(OR(INDEX($B969:$D969,AM$5)="F",AND(AM$6&gt;0,$A969&lt;AM$6),AND(AM$7&gt;0,$A969&gt;AM$7)),0,MAX(0,ROUND((INDEX($E969:$G969,AM$5)-SUMIFS(TF_Timer,TF_Tekniker,AM$4,TF_Dato,$A969))*2,0)/2)))</f>
        <v/>
      </c>
      <c r="AN969">
        <f>IF(OR(AN$4="",$A969&gt;TODAY()),0,IF(OR(INDEX($B969:$D969,AN$5)="F",AND(AN$6&gt;0,$A969&lt;AN$6),AND(AN$7&gt;0,$A969&gt;AN$7)),0,MAX(0,ROUND((INDEX($E969:$G969,AN$5)-SUMIFS(TF_Timer,TF_Tekniker,AN$4,TF_Dato,$A969))*2,0)/2)))</f>
        <v/>
      </c>
      <c r="AO969">
        <f>IF(OR(AO$4="",$A969&gt;TODAY()),0,IF(OR(INDEX($B969:$D969,AO$5)="F",AND(AO$6&gt;0,$A969&lt;AO$6),AND(AO$7&gt;0,$A969&gt;AO$7)),0,MAX(0,ROUND((INDEX($E969:$G969,AO$5)-SUMIFS(TF_Timer,TF_Tekniker,AO$4,TF_Dato,$A969))*2,0)/2)))</f>
        <v/>
      </c>
      <c r="AP969">
        <f>IF(OR(AP$4="",$A969&gt;TODAY()),0,IF(OR(INDEX($B969:$D969,AP$5)="F",AND(AP$6&gt;0,$A969&lt;AP$6),AND(AP$7&gt;0,$A969&gt;AP$7)),0,MAX(0,ROUND((INDEX($E969:$G969,AP$5)-SUMIFS(TF_Timer,TF_Tekniker,AP$4,TF_Dato,$A969))*2,0)/2)))</f>
        <v/>
      </c>
      <c r="AQ969">
        <f>IF(OR(AQ$4="",$A969&gt;TODAY()),0,IF(OR(INDEX($B969:$D969,AQ$5)="F",AND(AQ$6&gt;0,$A969&lt;AQ$6),AND(AQ$7&gt;0,$A969&gt;AQ$7)),0,MAX(0,ROUND((INDEX($E969:$G969,AQ$5)-SUMIFS(TF_Timer,TF_Tekniker,AQ$4,TF_Dato,$A969))*2,0)/2)))</f>
        <v/>
      </c>
      <c r="AR969">
        <f>IF(OR(AR$4="",$A969&gt;TODAY()),0,IF(OR(INDEX($B969:$D969,AR$5)="F",AND(AR$6&gt;0,$A969&lt;AR$6),AND(AR$7&gt;0,$A969&gt;AR$7)),0,MAX(0,ROUND((INDEX($E969:$G969,AR$5)-SUMIFS(TF_Timer,TF_Tekniker,AR$4,TF_Dato,$A969))*2,0)/2)))</f>
        <v/>
      </c>
      <c r="AS969">
        <f>IF(OR(AS$4="",$A969&gt;TODAY()),0,IF(OR(INDEX($B969:$D969,AS$5)="F",AND(AS$6&gt;0,$A969&lt;AS$6),AND(AS$7&gt;0,$A969&gt;AS$7)),0,MAX(0,ROUND((INDEX($E969:$G969,AS$5)-SUMIFS(TF_Timer,TF_Tekniker,AS$4,TF_Dato,$A969))*2,0)/2)))</f>
        <v/>
      </c>
      <c r="AT969">
        <f>IF(OR(AT$4="",$A969&gt;TODAY()),0,IF(OR(INDEX($B969:$D969,AT$5)="F",AND(AT$6&gt;0,$A969&lt;AT$6),AND(AT$7&gt;0,$A969&gt;AT$7)),0,MAX(0,ROUND((INDEX($E969:$G969,AT$5)-SUMIFS(TF_Timer,TF_Tekniker,AT$4,TF_Dato,$A969))*2,0)/2)))</f>
        <v/>
      </c>
      <c r="AU969">
        <f>IF(OR(AU$4="",$A969&gt;TODAY()),0,IF(OR(INDEX($B969:$D969,AU$5)="F",AND(AU$6&gt;0,$A969&lt;AU$6),AND(AU$7&gt;0,$A969&gt;AU$7)),0,MAX(0,ROUND((INDEX($E969:$G969,AU$5)-SUMIFS(TF_Timer,TF_Tekniker,AU$4,TF_Dato,$A969))*2,0)/2)))</f>
        <v/>
      </c>
      <c r="AV969">
        <f>IF(OR(AV$4="",$A969&gt;TODAY()),0,IF(OR(INDEX($B969:$D969,AV$5)="F",AND(AV$6&gt;0,$A969&lt;AV$6),AND(AV$7&gt;0,$A969&gt;AV$7)),0,MAX(0,ROUND((INDEX($E969:$G969,AV$5)-SUMIFS(TF_Timer,TF_Tekniker,AV$4,TF_Dato,$A969))*2,0)/2)))</f>
        <v/>
      </c>
      <c r="AW969">
        <f>IF(OR(AW$4="",$A969&gt;TODAY()),0,IF(OR(INDEX($B969:$D969,AW$5)="F",AND(AW$6&gt;0,$A969&lt;AW$6),AND(AW$7&gt;0,$A969&gt;AW$7)),0,MAX(0,ROUND((INDEX($E969:$G969,AW$5)-SUMIFS(TF_Timer,TF_Tekniker,AW$4,TF_Dato,$A969))*2,0)/2)))</f>
        <v/>
      </c>
      <c r="AX969">
        <f>IF(OR(AX$4="",$A969&gt;TODAY()),0,IF(OR(INDEX($B969:$D969,AX$5)="F",AND(AX$6&gt;0,$A969&lt;AX$6),AND(AX$7&gt;0,$A969&gt;AX$7)),0,MAX(0,ROUND((INDEX($E969:$G969,AX$5)-SUMIFS(TF_Timer,TF_Tekniker,AX$4,TF_Dato,$A969))*2,0)/2)))</f>
        <v/>
      </c>
      <c r="AY969">
        <f>IF(OR(AY$4="",$A969&gt;TODAY()),0,IF(OR(INDEX($B969:$D969,AY$5)="F",AND(AY$6&gt;0,$A969&lt;AY$6),AND(AY$7&gt;0,$A969&gt;AY$7)),0,MAX(0,ROUND((INDEX($E969:$G969,AY$5)-SUMIFS(TF_Timer,TF_Tekniker,AY$4,TF_Dato,$A969))*2,0)/2)))</f>
        <v/>
      </c>
      <c r="AZ969">
        <f>IF(OR(AZ$4="",$A969&gt;TODAY()),0,IF(OR(INDEX($B969:$D969,AZ$5)="F",AND(AZ$6&gt;0,$A969&lt;AZ$6),AND(AZ$7&gt;0,$A969&gt;AZ$7)),0,MAX(0,ROUND((INDEX($E969:$G969,AZ$5)-SUMIFS(TF_Timer,TF_Tekniker,AZ$4,TF_Dato,$A969))*2,0)/2)))</f>
        <v/>
      </c>
      <c r="BA969">
        <f>IF(OR(BA$4="",$A969&gt;TODAY()),0,IF(OR(INDEX($B969:$D969,BA$5)="F",AND(BA$6&gt;0,$A969&lt;BA$6),AND(BA$7&gt;0,$A969&gt;BA$7)),0,MAX(0,ROUND((INDEX($E969:$G969,BA$5)-SUMIFS(TF_Timer,TF_Tekniker,BA$4,TF_Dato,$A969))*2,0)/2)))</f>
        <v/>
      </c>
      <c r="BB969">
        <f>IF(OR(BB$4="",$A969&gt;TODAY()),0,IF(OR(INDEX($B969:$D969,BB$5)="F",AND(BB$6&gt;0,$A969&lt;BB$6),AND(BB$7&gt;0,$A969&gt;BB$7)),0,MAX(0,ROUND((INDEX($E969:$G969,BB$5)-SUMIFS(TF_Timer,TF_Tekniker,BB$4,TF_Dato,$A969))*2,0)/2)))</f>
        <v/>
      </c>
      <c r="BC969">
        <f>IF(OR(BC$4="",$A969&gt;TODAY()),0,IF(OR(INDEX($B969:$D969,BC$5)="F",AND(BC$6&gt;0,$A969&lt;BC$6),AND(BC$7&gt;0,$A969&gt;BC$7)),0,MAX(0,ROUND((INDEX($E969:$G969,BC$5)-SUMIFS(TF_Timer,TF_Tekniker,BC$4,TF_Dato,$A969))*2,0)/2)))</f>
        <v/>
      </c>
      <c r="BD969">
        <f>IF(OR(BD$4="",$A969&gt;TODAY()),0,IF(OR(INDEX($B969:$D969,BD$5)="F",AND(BD$6&gt;0,$A969&lt;BD$6),AND(BD$7&gt;0,$A969&gt;BD$7)),0,MAX(0,ROUND((INDEX($E969:$G969,BD$5)-SUMIFS(TF_Timer,TF_Tekniker,BD$4,TF_Dato,$A969))*2,0)/2)))</f>
        <v/>
      </c>
      <c r="BE969">
        <f>IF(OR(BE$4="",$A969&gt;TODAY()),0,IF(OR(INDEX($B969:$D969,BE$5)="F",AND(BE$6&gt;0,$A969&lt;BE$6),AND(BE$7&gt;0,$A969&gt;BE$7)),0,MAX(0,ROUND((INDEX($E969:$G969,BE$5)-SUMIFS(TF_Timer,TF_Tekniker,BE$4,TF_Dato,$A969))*2,0)/2)))</f>
        <v/>
      </c>
      <c r="BF969">
        <f>IF(OR(BF$4="",$A969&gt;TODAY()),0,IF(OR(INDEX($B969:$D969,BF$5)="F",AND(BF$6&gt;0,$A969&lt;BF$6),AND(BF$7&gt;0,$A969&gt;BF$7)),0,MAX(0,ROUND((INDEX($E969:$G969,BF$5)-SUMIFS(TF_Timer,TF_Tekniker,BF$4,TF_Dato,$A969))*2,0)/2)))</f>
        <v/>
      </c>
      <c r="BG969">
        <f>IF(OR(BG$4="",$A969&gt;TODAY()),0,IF(OR(INDEX($B969:$D969,BG$5)="F",AND(BG$6&gt;0,$A969&lt;BG$6),AND(BG$7&gt;0,$A969&gt;BG$7)),0,MAX(0,ROUND((INDEX($E969:$G969,BG$5)-SUMIFS(TF_Timer,TF_Tekniker,BG$4,TF_Dato,$A969))*2,0)/2)))</f>
        <v/>
      </c>
      <c r="BH969">
        <f>IF(OR(BH$4="",$A969&gt;TODAY()),0,IF(OR(INDEX($B969:$D969,BH$5)="F",AND(BH$6&gt;0,$A969&lt;BH$6),AND(BH$7&gt;0,$A969&gt;BH$7)),0,MAX(0,ROUND((INDEX($E969:$G969,BH$5)-SUMIFS(TF_Timer,TF_Tekniker,BH$4,TF_Dato,$A969))*2,0)/2)))</f>
        <v/>
      </c>
      <c r="BI969">
        <f>IF(OR(BI$4="",$A969&gt;TODAY()),0,IF(OR(INDEX($B969:$D969,BI$5)="F",AND(BI$6&gt;0,$A969&lt;BI$6),AND(BI$7&gt;0,$A969&gt;BI$7)),0,MAX(0,ROUND((INDEX($E969:$G969,BI$5)-SUMIFS(TF_Timer,TF_Tekniker,BI$4,TF_Dato,$A969))*2,0)/2)))</f>
        <v/>
      </c>
    </row>
    <row r="970">
      <c r="A970" s="64">
        <f>A969+1</f>
        <v/>
      </c>
      <c r="B970">
        <f>IF(MOD($A970-INDEX(SkiftStart,1),Syklus)&lt;DagK,"K",IF(MOD($A970-INDEX(SkiftStart,1),Syklus)&lt;DagK+DagH,"H",IF(MOD($A970-INDEX(SkiftStart,1),Syklus)&lt;DagK+DagH+DagD,"D","F")))</f>
        <v/>
      </c>
      <c r="C970">
        <f>IF(MOD($A970-INDEX(SkiftStart,2),Syklus)&lt;DagK,"K",IF(MOD($A970-INDEX(SkiftStart,2),Syklus)&lt;DagK+DagH,"H",IF(MOD($A970-INDEX(SkiftStart,2),Syklus)&lt;DagK+DagH+DagD,"D","F")))</f>
        <v/>
      </c>
      <c r="D970">
        <f>IF(MOD($A970-INDEX(SkiftStart,3),Syklus)&lt;DagK,"K",IF(MOD($A970-INDEX(SkiftStart,3),Syklus)&lt;DagK+DagH,"H",IF(MOD($A970-INDEX(SkiftStart,3),Syklus)&lt;DagK+DagH+DagD,"D","F")))</f>
        <v/>
      </c>
      <c r="E970">
        <f>IF(B970="F",0,IF(WEEKDAY($A970,2)=5,INDEX(TimerFr,MATCH(B970,FaseKode,0)),INDEX(TimerMT,MATCH(B970,FaseKode,0))))</f>
        <v/>
      </c>
      <c r="F970">
        <f>IF(C970="F",0,IF(WEEKDAY($A970,2)=5,INDEX(TimerFr,MATCH(C970,FaseKode,0)),INDEX(TimerMT,MATCH(C970,FaseKode,0))))</f>
        <v/>
      </c>
      <c r="G970">
        <f>IF(D970="F",0,IF(WEEKDAY($A970,2)=5,INDEX(TimerFr,MATCH(D970,FaseKode,0)),INDEX(TimerMT,MATCH(D970,FaseKode,0))))</f>
        <v/>
      </c>
      <c r="H970">
        <f>IF(OR(H$4="",$A970&gt;TODAY()),0,IF(OR(INDEX($B970:$D970,H$5)="F",AND(H$6&gt;0,$A970&lt;H$6),AND(H$7&gt;0,$A970&gt;H$7)),0,MAX(0,ROUND((INDEX($E970:$G970,H$5)-SUMIFS(TF_Timer,TF_Tekniker,H$4,TF_Dato,$A970))*2,0)/2)))</f>
        <v/>
      </c>
      <c r="I970">
        <f>IF(OR(I$4="",$A970&gt;TODAY()),0,IF(OR(INDEX($B970:$D970,I$5)="F",AND(I$6&gt;0,$A970&lt;I$6),AND(I$7&gt;0,$A970&gt;I$7)),0,MAX(0,ROUND((INDEX($E970:$G970,I$5)-SUMIFS(TF_Timer,TF_Tekniker,I$4,TF_Dato,$A970))*2,0)/2)))</f>
        <v/>
      </c>
      <c r="J970">
        <f>IF(OR(J$4="",$A970&gt;TODAY()),0,IF(OR(INDEX($B970:$D970,J$5)="F",AND(J$6&gt;0,$A970&lt;J$6),AND(J$7&gt;0,$A970&gt;J$7)),0,MAX(0,ROUND((INDEX($E970:$G970,J$5)-SUMIFS(TF_Timer,TF_Tekniker,J$4,TF_Dato,$A970))*2,0)/2)))</f>
        <v/>
      </c>
      <c r="K970">
        <f>IF(OR(K$4="",$A970&gt;TODAY()),0,IF(OR(INDEX($B970:$D970,K$5)="F",AND(K$6&gt;0,$A970&lt;K$6),AND(K$7&gt;0,$A970&gt;K$7)),0,MAX(0,ROUND((INDEX($E970:$G970,K$5)-SUMIFS(TF_Timer,TF_Tekniker,K$4,TF_Dato,$A970))*2,0)/2)))</f>
        <v/>
      </c>
      <c r="L970">
        <f>IF(OR(L$4="",$A970&gt;TODAY()),0,IF(OR(INDEX($B970:$D970,L$5)="F",AND(L$6&gt;0,$A970&lt;L$6),AND(L$7&gt;0,$A970&gt;L$7)),0,MAX(0,ROUND((INDEX($E970:$G970,L$5)-SUMIFS(TF_Timer,TF_Tekniker,L$4,TF_Dato,$A970))*2,0)/2)))</f>
        <v/>
      </c>
      <c r="M970">
        <f>IF(OR(M$4="",$A970&gt;TODAY()),0,IF(OR(INDEX($B970:$D970,M$5)="F",AND(M$6&gt;0,$A970&lt;M$6),AND(M$7&gt;0,$A970&gt;M$7)),0,MAX(0,ROUND((INDEX($E970:$G970,M$5)-SUMIFS(TF_Timer,TF_Tekniker,M$4,TF_Dato,$A970))*2,0)/2)))</f>
        <v/>
      </c>
      <c r="N970">
        <f>IF(OR(N$4="",$A970&gt;TODAY()),0,IF(OR(INDEX($B970:$D970,N$5)="F",AND(N$6&gt;0,$A970&lt;N$6),AND(N$7&gt;0,$A970&gt;N$7)),0,MAX(0,ROUND((INDEX($E970:$G970,N$5)-SUMIFS(TF_Timer,TF_Tekniker,N$4,TF_Dato,$A970))*2,0)/2)))</f>
        <v/>
      </c>
      <c r="O970">
        <f>IF(OR(O$4="",$A970&gt;TODAY()),0,IF(OR(INDEX($B970:$D970,O$5)="F",AND(O$6&gt;0,$A970&lt;O$6),AND(O$7&gt;0,$A970&gt;O$7)),0,MAX(0,ROUND((INDEX($E970:$G970,O$5)-SUMIFS(TF_Timer,TF_Tekniker,O$4,TF_Dato,$A970))*2,0)/2)))</f>
        <v/>
      </c>
      <c r="P970">
        <f>IF(OR(P$4="",$A970&gt;TODAY()),0,IF(OR(INDEX($B970:$D970,P$5)="F",AND(P$6&gt;0,$A970&lt;P$6),AND(P$7&gt;0,$A970&gt;P$7)),0,MAX(0,ROUND((INDEX($E970:$G970,P$5)-SUMIFS(TF_Timer,TF_Tekniker,P$4,TF_Dato,$A970))*2,0)/2)))</f>
        <v/>
      </c>
      <c r="Q970">
        <f>IF(OR(Q$4="",$A970&gt;TODAY()),0,IF(OR(INDEX($B970:$D970,Q$5)="F",AND(Q$6&gt;0,$A970&lt;Q$6),AND(Q$7&gt;0,$A970&gt;Q$7)),0,MAX(0,ROUND((INDEX($E970:$G970,Q$5)-SUMIFS(TF_Timer,TF_Tekniker,Q$4,TF_Dato,$A970))*2,0)/2)))</f>
        <v/>
      </c>
      <c r="R970">
        <f>IF(OR(R$4="",$A970&gt;TODAY()),0,IF(OR(INDEX($B970:$D970,R$5)="F",AND(R$6&gt;0,$A970&lt;R$6),AND(R$7&gt;0,$A970&gt;R$7)),0,MAX(0,ROUND((INDEX($E970:$G970,R$5)-SUMIFS(TF_Timer,TF_Tekniker,R$4,TF_Dato,$A970))*2,0)/2)))</f>
        <v/>
      </c>
      <c r="S970">
        <f>IF(OR(S$4="",$A970&gt;TODAY()),0,IF(OR(INDEX($B970:$D970,S$5)="F",AND(S$6&gt;0,$A970&lt;S$6),AND(S$7&gt;0,$A970&gt;S$7)),0,MAX(0,ROUND((INDEX($E970:$G970,S$5)-SUMIFS(TF_Timer,TF_Tekniker,S$4,TF_Dato,$A970))*2,0)/2)))</f>
        <v/>
      </c>
      <c r="T970">
        <f>IF(OR(T$4="",$A970&gt;TODAY()),0,IF(OR(INDEX($B970:$D970,T$5)="F",AND(T$6&gt;0,$A970&lt;T$6),AND(T$7&gt;0,$A970&gt;T$7)),0,MAX(0,ROUND((INDEX($E970:$G970,T$5)-SUMIFS(TF_Timer,TF_Tekniker,T$4,TF_Dato,$A970))*2,0)/2)))</f>
        <v/>
      </c>
      <c r="U970">
        <f>IF(OR(U$4="",$A970&gt;TODAY()),0,IF(OR(INDEX($B970:$D970,U$5)="F",AND(U$6&gt;0,$A970&lt;U$6),AND(U$7&gt;0,$A970&gt;U$7)),0,MAX(0,ROUND((INDEX($E970:$G970,U$5)-SUMIFS(TF_Timer,TF_Tekniker,U$4,TF_Dato,$A970))*2,0)/2)))</f>
        <v/>
      </c>
      <c r="V970">
        <f>IF(OR(V$4="",$A970&gt;TODAY()),0,IF(OR(INDEX($B970:$D970,V$5)="F",AND(V$6&gt;0,$A970&lt;V$6),AND(V$7&gt;0,$A970&gt;V$7)),0,MAX(0,ROUND((INDEX($E970:$G970,V$5)-SUMIFS(TF_Timer,TF_Tekniker,V$4,TF_Dato,$A970))*2,0)/2)))</f>
        <v/>
      </c>
      <c r="W970">
        <f>IF(OR(W$4="",$A970&gt;TODAY()),0,IF(OR(INDEX($B970:$D970,W$5)="F",AND(W$6&gt;0,$A970&lt;W$6),AND(W$7&gt;0,$A970&gt;W$7)),0,MAX(0,ROUND((INDEX($E970:$G970,W$5)-SUMIFS(TF_Timer,TF_Tekniker,W$4,TF_Dato,$A970))*2,0)/2)))</f>
        <v/>
      </c>
      <c r="X970">
        <f>IF(OR(X$4="",$A970&gt;TODAY()),0,IF(OR(INDEX($B970:$D970,X$5)="F",AND(X$6&gt;0,$A970&lt;X$6),AND(X$7&gt;0,$A970&gt;X$7)),0,MAX(0,ROUND((INDEX($E970:$G970,X$5)-SUMIFS(TF_Timer,TF_Tekniker,X$4,TF_Dato,$A970))*2,0)/2)))</f>
        <v/>
      </c>
      <c r="Y970">
        <f>IF(OR(Y$4="",$A970&gt;TODAY()),0,IF(OR(INDEX($B970:$D970,Y$5)="F",AND(Y$6&gt;0,$A970&lt;Y$6),AND(Y$7&gt;0,$A970&gt;Y$7)),0,MAX(0,ROUND((INDEX($E970:$G970,Y$5)-SUMIFS(TF_Timer,TF_Tekniker,Y$4,TF_Dato,$A970))*2,0)/2)))</f>
        <v/>
      </c>
      <c r="Z970">
        <f>IF(OR(Z$4="",$A970&gt;TODAY()),0,IF(OR(INDEX($B970:$D970,Z$5)="F",AND(Z$6&gt;0,$A970&lt;Z$6),AND(Z$7&gt;0,$A970&gt;Z$7)),0,MAX(0,ROUND((INDEX($E970:$G970,Z$5)-SUMIFS(TF_Timer,TF_Tekniker,Z$4,TF_Dato,$A970))*2,0)/2)))</f>
        <v/>
      </c>
      <c r="AA970">
        <f>IF(OR(AA$4="",$A970&gt;TODAY()),0,IF(OR(INDEX($B970:$D970,AA$5)="F",AND(AA$6&gt;0,$A970&lt;AA$6),AND(AA$7&gt;0,$A970&gt;AA$7)),0,MAX(0,ROUND((INDEX($E970:$G970,AA$5)-SUMIFS(TF_Timer,TF_Tekniker,AA$4,TF_Dato,$A970))*2,0)/2)))</f>
        <v/>
      </c>
      <c r="AB970">
        <f>IF(OR(AB$4="",$A970&gt;TODAY()),0,IF(OR(INDEX($B970:$D970,AB$5)="F",AND(AB$6&gt;0,$A970&lt;AB$6),AND(AB$7&gt;0,$A970&gt;AB$7)),0,MAX(0,ROUND((INDEX($E970:$G970,AB$5)-SUMIFS(TF_Timer,TF_Tekniker,AB$4,TF_Dato,$A970))*2,0)/2)))</f>
        <v/>
      </c>
      <c r="AC970">
        <f>IF(OR(AC$4="",$A970&gt;TODAY()),0,IF(OR(INDEX($B970:$D970,AC$5)="F",AND(AC$6&gt;0,$A970&lt;AC$6),AND(AC$7&gt;0,$A970&gt;AC$7)),0,MAX(0,ROUND((INDEX($E970:$G970,AC$5)-SUMIFS(TF_Timer,TF_Tekniker,AC$4,TF_Dato,$A970))*2,0)/2)))</f>
        <v/>
      </c>
      <c r="AD970">
        <f>IF(OR(AD$4="",$A970&gt;TODAY()),0,IF(OR(INDEX($B970:$D970,AD$5)="F",AND(AD$6&gt;0,$A970&lt;AD$6),AND(AD$7&gt;0,$A970&gt;AD$7)),0,MAX(0,ROUND((INDEX($E970:$G970,AD$5)-SUMIFS(TF_Timer,TF_Tekniker,AD$4,TF_Dato,$A970))*2,0)/2)))</f>
        <v/>
      </c>
      <c r="AE970">
        <f>IF(OR(AE$4="",$A970&gt;TODAY()),0,IF(OR(INDEX($B970:$D970,AE$5)="F",AND(AE$6&gt;0,$A970&lt;AE$6),AND(AE$7&gt;0,$A970&gt;AE$7)),0,MAX(0,ROUND((INDEX($E970:$G970,AE$5)-SUMIFS(TF_Timer,TF_Tekniker,AE$4,TF_Dato,$A970))*2,0)/2)))</f>
        <v/>
      </c>
      <c r="AF970">
        <f>IF(OR(AF$4="",$A970&gt;TODAY()),0,IF(OR(INDEX($B970:$D970,AF$5)="F",AND(AF$6&gt;0,$A970&lt;AF$6),AND(AF$7&gt;0,$A970&gt;AF$7)),0,MAX(0,ROUND((INDEX($E970:$G970,AF$5)-SUMIFS(TF_Timer,TF_Tekniker,AF$4,TF_Dato,$A970))*2,0)/2)))</f>
        <v/>
      </c>
      <c r="AG970">
        <f>IF(OR(AG$4="",$A970&gt;TODAY()),0,IF(OR(INDEX($B970:$D970,AG$5)="F",AND(AG$6&gt;0,$A970&lt;AG$6),AND(AG$7&gt;0,$A970&gt;AG$7)),0,MAX(0,ROUND((INDEX($E970:$G970,AG$5)-SUMIFS(TF_Timer,TF_Tekniker,AG$4,TF_Dato,$A970))*2,0)/2)))</f>
        <v/>
      </c>
      <c r="AH970">
        <f>IF(OR(AH$4="",$A970&gt;TODAY()),0,IF(OR(INDEX($B970:$D970,AH$5)="F",AND(AH$6&gt;0,$A970&lt;AH$6),AND(AH$7&gt;0,$A970&gt;AH$7)),0,MAX(0,ROUND((INDEX($E970:$G970,AH$5)-SUMIFS(TF_Timer,TF_Tekniker,AH$4,TF_Dato,$A970))*2,0)/2)))</f>
        <v/>
      </c>
      <c r="AI970">
        <f>IF(OR(AI$4="",$A970&gt;TODAY()),0,IF(OR(INDEX($B970:$D970,AI$5)="F",AND(AI$6&gt;0,$A970&lt;AI$6),AND(AI$7&gt;0,$A970&gt;AI$7)),0,MAX(0,ROUND((INDEX($E970:$G970,AI$5)-SUMIFS(TF_Timer,TF_Tekniker,AI$4,TF_Dato,$A970))*2,0)/2)))</f>
        <v/>
      </c>
      <c r="AJ970">
        <f>IF(OR(AJ$4="",$A970&gt;TODAY()),0,IF(OR(INDEX($B970:$D970,AJ$5)="F",AND(AJ$6&gt;0,$A970&lt;AJ$6),AND(AJ$7&gt;0,$A970&gt;AJ$7)),0,MAX(0,ROUND((INDEX($E970:$G970,AJ$5)-SUMIFS(TF_Timer,TF_Tekniker,AJ$4,TF_Dato,$A970))*2,0)/2)))</f>
        <v/>
      </c>
      <c r="AK970">
        <f>IF(OR(AK$4="",$A970&gt;TODAY()),0,IF(OR(INDEX($B970:$D970,AK$5)="F",AND(AK$6&gt;0,$A970&lt;AK$6),AND(AK$7&gt;0,$A970&gt;AK$7)),0,MAX(0,ROUND((INDEX($E970:$G970,AK$5)-SUMIFS(TF_Timer,TF_Tekniker,AK$4,TF_Dato,$A970))*2,0)/2)))</f>
        <v/>
      </c>
      <c r="AL970">
        <f>IF(OR(AL$4="",$A970&gt;TODAY()),0,IF(OR(INDEX($B970:$D970,AL$5)="F",AND(AL$6&gt;0,$A970&lt;AL$6),AND(AL$7&gt;0,$A970&gt;AL$7)),0,MAX(0,ROUND((INDEX($E970:$G970,AL$5)-SUMIFS(TF_Timer,TF_Tekniker,AL$4,TF_Dato,$A970))*2,0)/2)))</f>
        <v/>
      </c>
      <c r="AM970">
        <f>IF(OR(AM$4="",$A970&gt;TODAY()),0,IF(OR(INDEX($B970:$D970,AM$5)="F",AND(AM$6&gt;0,$A970&lt;AM$6),AND(AM$7&gt;0,$A970&gt;AM$7)),0,MAX(0,ROUND((INDEX($E970:$G970,AM$5)-SUMIFS(TF_Timer,TF_Tekniker,AM$4,TF_Dato,$A970))*2,0)/2)))</f>
        <v/>
      </c>
      <c r="AN970">
        <f>IF(OR(AN$4="",$A970&gt;TODAY()),0,IF(OR(INDEX($B970:$D970,AN$5)="F",AND(AN$6&gt;0,$A970&lt;AN$6),AND(AN$7&gt;0,$A970&gt;AN$7)),0,MAX(0,ROUND((INDEX($E970:$G970,AN$5)-SUMIFS(TF_Timer,TF_Tekniker,AN$4,TF_Dato,$A970))*2,0)/2)))</f>
        <v/>
      </c>
      <c r="AO970">
        <f>IF(OR(AO$4="",$A970&gt;TODAY()),0,IF(OR(INDEX($B970:$D970,AO$5)="F",AND(AO$6&gt;0,$A970&lt;AO$6),AND(AO$7&gt;0,$A970&gt;AO$7)),0,MAX(0,ROUND((INDEX($E970:$G970,AO$5)-SUMIFS(TF_Timer,TF_Tekniker,AO$4,TF_Dato,$A970))*2,0)/2)))</f>
        <v/>
      </c>
      <c r="AP970">
        <f>IF(OR(AP$4="",$A970&gt;TODAY()),0,IF(OR(INDEX($B970:$D970,AP$5)="F",AND(AP$6&gt;0,$A970&lt;AP$6),AND(AP$7&gt;0,$A970&gt;AP$7)),0,MAX(0,ROUND((INDEX($E970:$G970,AP$5)-SUMIFS(TF_Timer,TF_Tekniker,AP$4,TF_Dato,$A970))*2,0)/2)))</f>
        <v/>
      </c>
      <c r="AQ970">
        <f>IF(OR(AQ$4="",$A970&gt;TODAY()),0,IF(OR(INDEX($B970:$D970,AQ$5)="F",AND(AQ$6&gt;0,$A970&lt;AQ$6),AND(AQ$7&gt;0,$A970&gt;AQ$7)),0,MAX(0,ROUND((INDEX($E970:$G970,AQ$5)-SUMIFS(TF_Timer,TF_Tekniker,AQ$4,TF_Dato,$A970))*2,0)/2)))</f>
        <v/>
      </c>
      <c r="AR970">
        <f>IF(OR(AR$4="",$A970&gt;TODAY()),0,IF(OR(INDEX($B970:$D970,AR$5)="F",AND(AR$6&gt;0,$A970&lt;AR$6),AND(AR$7&gt;0,$A970&gt;AR$7)),0,MAX(0,ROUND((INDEX($E970:$G970,AR$5)-SUMIFS(TF_Timer,TF_Tekniker,AR$4,TF_Dato,$A970))*2,0)/2)))</f>
        <v/>
      </c>
      <c r="AS970">
        <f>IF(OR(AS$4="",$A970&gt;TODAY()),0,IF(OR(INDEX($B970:$D970,AS$5)="F",AND(AS$6&gt;0,$A970&lt;AS$6),AND(AS$7&gt;0,$A970&gt;AS$7)),0,MAX(0,ROUND((INDEX($E970:$G970,AS$5)-SUMIFS(TF_Timer,TF_Tekniker,AS$4,TF_Dato,$A970))*2,0)/2)))</f>
        <v/>
      </c>
      <c r="AT970">
        <f>IF(OR(AT$4="",$A970&gt;TODAY()),0,IF(OR(INDEX($B970:$D970,AT$5)="F",AND(AT$6&gt;0,$A970&lt;AT$6),AND(AT$7&gt;0,$A970&gt;AT$7)),0,MAX(0,ROUND((INDEX($E970:$G970,AT$5)-SUMIFS(TF_Timer,TF_Tekniker,AT$4,TF_Dato,$A970))*2,0)/2)))</f>
        <v/>
      </c>
      <c r="AU970">
        <f>IF(OR(AU$4="",$A970&gt;TODAY()),0,IF(OR(INDEX($B970:$D970,AU$5)="F",AND(AU$6&gt;0,$A970&lt;AU$6),AND(AU$7&gt;0,$A970&gt;AU$7)),0,MAX(0,ROUND((INDEX($E970:$G970,AU$5)-SUMIFS(TF_Timer,TF_Tekniker,AU$4,TF_Dato,$A970))*2,0)/2)))</f>
        <v/>
      </c>
      <c r="AV970">
        <f>IF(OR(AV$4="",$A970&gt;TODAY()),0,IF(OR(INDEX($B970:$D970,AV$5)="F",AND(AV$6&gt;0,$A970&lt;AV$6),AND(AV$7&gt;0,$A970&gt;AV$7)),0,MAX(0,ROUND((INDEX($E970:$G970,AV$5)-SUMIFS(TF_Timer,TF_Tekniker,AV$4,TF_Dato,$A970))*2,0)/2)))</f>
        <v/>
      </c>
      <c r="AW970">
        <f>IF(OR(AW$4="",$A970&gt;TODAY()),0,IF(OR(INDEX($B970:$D970,AW$5)="F",AND(AW$6&gt;0,$A970&lt;AW$6),AND(AW$7&gt;0,$A970&gt;AW$7)),0,MAX(0,ROUND((INDEX($E970:$G970,AW$5)-SUMIFS(TF_Timer,TF_Tekniker,AW$4,TF_Dato,$A970))*2,0)/2)))</f>
        <v/>
      </c>
      <c r="AX970">
        <f>IF(OR(AX$4="",$A970&gt;TODAY()),0,IF(OR(INDEX($B970:$D970,AX$5)="F",AND(AX$6&gt;0,$A970&lt;AX$6),AND(AX$7&gt;0,$A970&gt;AX$7)),0,MAX(0,ROUND((INDEX($E970:$G970,AX$5)-SUMIFS(TF_Timer,TF_Tekniker,AX$4,TF_Dato,$A970))*2,0)/2)))</f>
        <v/>
      </c>
      <c r="AY970">
        <f>IF(OR(AY$4="",$A970&gt;TODAY()),0,IF(OR(INDEX($B970:$D970,AY$5)="F",AND(AY$6&gt;0,$A970&lt;AY$6),AND(AY$7&gt;0,$A970&gt;AY$7)),0,MAX(0,ROUND((INDEX($E970:$G970,AY$5)-SUMIFS(TF_Timer,TF_Tekniker,AY$4,TF_Dato,$A970))*2,0)/2)))</f>
        <v/>
      </c>
      <c r="AZ970">
        <f>IF(OR(AZ$4="",$A970&gt;TODAY()),0,IF(OR(INDEX($B970:$D970,AZ$5)="F",AND(AZ$6&gt;0,$A970&lt;AZ$6),AND(AZ$7&gt;0,$A970&gt;AZ$7)),0,MAX(0,ROUND((INDEX($E970:$G970,AZ$5)-SUMIFS(TF_Timer,TF_Tekniker,AZ$4,TF_Dato,$A970))*2,0)/2)))</f>
        <v/>
      </c>
      <c r="BA970">
        <f>IF(OR(BA$4="",$A970&gt;TODAY()),0,IF(OR(INDEX($B970:$D970,BA$5)="F",AND(BA$6&gt;0,$A970&lt;BA$6),AND(BA$7&gt;0,$A970&gt;BA$7)),0,MAX(0,ROUND((INDEX($E970:$G970,BA$5)-SUMIFS(TF_Timer,TF_Tekniker,BA$4,TF_Dato,$A970))*2,0)/2)))</f>
        <v/>
      </c>
      <c r="BB970">
        <f>IF(OR(BB$4="",$A970&gt;TODAY()),0,IF(OR(INDEX($B970:$D970,BB$5)="F",AND(BB$6&gt;0,$A970&lt;BB$6),AND(BB$7&gt;0,$A970&gt;BB$7)),0,MAX(0,ROUND((INDEX($E970:$G970,BB$5)-SUMIFS(TF_Timer,TF_Tekniker,BB$4,TF_Dato,$A970))*2,0)/2)))</f>
        <v/>
      </c>
      <c r="BC970">
        <f>IF(OR(BC$4="",$A970&gt;TODAY()),0,IF(OR(INDEX($B970:$D970,BC$5)="F",AND(BC$6&gt;0,$A970&lt;BC$6),AND(BC$7&gt;0,$A970&gt;BC$7)),0,MAX(0,ROUND((INDEX($E970:$G970,BC$5)-SUMIFS(TF_Timer,TF_Tekniker,BC$4,TF_Dato,$A970))*2,0)/2)))</f>
        <v/>
      </c>
      <c r="BD970">
        <f>IF(OR(BD$4="",$A970&gt;TODAY()),0,IF(OR(INDEX($B970:$D970,BD$5)="F",AND(BD$6&gt;0,$A970&lt;BD$6),AND(BD$7&gt;0,$A970&gt;BD$7)),0,MAX(0,ROUND((INDEX($E970:$G970,BD$5)-SUMIFS(TF_Timer,TF_Tekniker,BD$4,TF_Dato,$A970))*2,0)/2)))</f>
        <v/>
      </c>
      <c r="BE970">
        <f>IF(OR(BE$4="",$A970&gt;TODAY()),0,IF(OR(INDEX($B970:$D970,BE$5)="F",AND(BE$6&gt;0,$A970&lt;BE$6),AND(BE$7&gt;0,$A970&gt;BE$7)),0,MAX(0,ROUND((INDEX($E970:$G970,BE$5)-SUMIFS(TF_Timer,TF_Tekniker,BE$4,TF_Dato,$A970))*2,0)/2)))</f>
        <v/>
      </c>
      <c r="BF970">
        <f>IF(OR(BF$4="",$A970&gt;TODAY()),0,IF(OR(INDEX($B970:$D970,BF$5)="F",AND(BF$6&gt;0,$A970&lt;BF$6),AND(BF$7&gt;0,$A970&gt;BF$7)),0,MAX(0,ROUND((INDEX($E970:$G970,BF$5)-SUMIFS(TF_Timer,TF_Tekniker,BF$4,TF_Dato,$A970))*2,0)/2)))</f>
        <v/>
      </c>
      <c r="BG970">
        <f>IF(OR(BG$4="",$A970&gt;TODAY()),0,IF(OR(INDEX($B970:$D970,BG$5)="F",AND(BG$6&gt;0,$A970&lt;BG$6),AND(BG$7&gt;0,$A970&gt;BG$7)),0,MAX(0,ROUND((INDEX($E970:$G970,BG$5)-SUMIFS(TF_Timer,TF_Tekniker,BG$4,TF_Dato,$A970))*2,0)/2)))</f>
        <v/>
      </c>
      <c r="BH970">
        <f>IF(OR(BH$4="",$A970&gt;TODAY()),0,IF(OR(INDEX($B970:$D970,BH$5)="F",AND(BH$6&gt;0,$A970&lt;BH$6),AND(BH$7&gt;0,$A970&gt;BH$7)),0,MAX(0,ROUND((INDEX($E970:$G970,BH$5)-SUMIFS(TF_Timer,TF_Tekniker,BH$4,TF_Dato,$A970))*2,0)/2)))</f>
        <v/>
      </c>
      <c r="BI970">
        <f>IF(OR(BI$4="",$A970&gt;TODAY()),0,IF(OR(INDEX($B970:$D970,BI$5)="F",AND(BI$6&gt;0,$A970&lt;BI$6),AND(BI$7&gt;0,$A970&gt;BI$7)),0,MAX(0,ROUND((INDEX($E970:$G970,BI$5)-SUMIFS(TF_Timer,TF_Tekniker,BI$4,TF_Dato,$A970))*2,0)/2)))</f>
        <v/>
      </c>
    </row>
    <row r="971">
      <c r="A971" s="64">
        <f>A970+1</f>
        <v/>
      </c>
      <c r="B971">
        <f>IF(MOD($A971-INDEX(SkiftStart,1),Syklus)&lt;DagK,"K",IF(MOD($A971-INDEX(SkiftStart,1),Syklus)&lt;DagK+DagH,"H",IF(MOD($A971-INDEX(SkiftStart,1),Syklus)&lt;DagK+DagH+DagD,"D","F")))</f>
        <v/>
      </c>
      <c r="C971">
        <f>IF(MOD($A971-INDEX(SkiftStart,2),Syklus)&lt;DagK,"K",IF(MOD($A971-INDEX(SkiftStart,2),Syklus)&lt;DagK+DagH,"H",IF(MOD($A971-INDEX(SkiftStart,2),Syklus)&lt;DagK+DagH+DagD,"D","F")))</f>
        <v/>
      </c>
      <c r="D971">
        <f>IF(MOD($A971-INDEX(SkiftStart,3),Syklus)&lt;DagK,"K",IF(MOD($A971-INDEX(SkiftStart,3),Syklus)&lt;DagK+DagH,"H",IF(MOD($A971-INDEX(SkiftStart,3),Syklus)&lt;DagK+DagH+DagD,"D","F")))</f>
        <v/>
      </c>
      <c r="E971">
        <f>IF(B971="F",0,IF(WEEKDAY($A971,2)=5,INDEX(TimerFr,MATCH(B971,FaseKode,0)),INDEX(TimerMT,MATCH(B971,FaseKode,0))))</f>
        <v/>
      </c>
      <c r="F971">
        <f>IF(C971="F",0,IF(WEEKDAY($A971,2)=5,INDEX(TimerFr,MATCH(C971,FaseKode,0)),INDEX(TimerMT,MATCH(C971,FaseKode,0))))</f>
        <v/>
      </c>
      <c r="G971">
        <f>IF(D971="F",0,IF(WEEKDAY($A971,2)=5,INDEX(TimerFr,MATCH(D971,FaseKode,0)),INDEX(TimerMT,MATCH(D971,FaseKode,0))))</f>
        <v/>
      </c>
      <c r="H971">
        <f>IF(OR(H$4="",$A971&gt;TODAY()),0,IF(OR(INDEX($B971:$D971,H$5)="F",AND(H$6&gt;0,$A971&lt;H$6),AND(H$7&gt;0,$A971&gt;H$7)),0,MAX(0,ROUND((INDEX($E971:$G971,H$5)-SUMIFS(TF_Timer,TF_Tekniker,H$4,TF_Dato,$A971))*2,0)/2)))</f>
        <v/>
      </c>
      <c r="I971">
        <f>IF(OR(I$4="",$A971&gt;TODAY()),0,IF(OR(INDEX($B971:$D971,I$5)="F",AND(I$6&gt;0,$A971&lt;I$6),AND(I$7&gt;0,$A971&gt;I$7)),0,MAX(0,ROUND((INDEX($E971:$G971,I$5)-SUMIFS(TF_Timer,TF_Tekniker,I$4,TF_Dato,$A971))*2,0)/2)))</f>
        <v/>
      </c>
      <c r="J971">
        <f>IF(OR(J$4="",$A971&gt;TODAY()),0,IF(OR(INDEX($B971:$D971,J$5)="F",AND(J$6&gt;0,$A971&lt;J$6),AND(J$7&gt;0,$A971&gt;J$7)),0,MAX(0,ROUND((INDEX($E971:$G971,J$5)-SUMIFS(TF_Timer,TF_Tekniker,J$4,TF_Dato,$A971))*2,0)/2)))</f>
        <v/>
      </c>
      <c r="K971">
        <f>IF(OR(K$4="",$A971&gt;TODAY()),0,IF(OR(INDEX($B971:$D971,K$5)="F",AND(K$6&gt;0,$A971&lt;K$6),AND(K$7&gt;0,$A971&gt;K$7)),0,MAX(0,ROUND((INDEX($E971:$G971,K$5)-SUMIFS(TF_Timer,TF_Tekniker,K$4,TF_Dato,$A971))*2,0)/2)))</f>
        <v/>
      </c>
      <c r="L971">
        <f>IF(OR(L$4="",$A971&gt;TODAY()),0,IF(OR(INDEX($B971:$D971,L$5)="F",AND(L$6&gt;0,$A971&lt;L$6),AND(L$7&gt;0,$A971&gt;L$7)),0,MAX(0,ROUND((INDEX($E971:$G971,L$5)-SUMIFS(TF_Timer,TF_Tekniker,L$4,TF_Dato,$A971))*2,0)/2)))</f>
        <v/>
      </c>
      <c r="M971">
        <f>IF(OR(M$4="",$A971&gt;TODAY()),0,IF(OR(INDEX($B971:$D971,M$5)="F",AND(M$6&gt;0,$A971&lt;M$6),AND(M$7&gt;0,$A971&gt;M$7)),0,MAX(0,ROUND((INDEX($E971:$G971,M$5)-SUMIFS(TF_Timer,TF_Tekniker,M$4,TF_Dato,$A971))*2,0)/2)))</f>
        <v/>
      </c>
      <c r="N971">
        <f>IF(OR(N$4="",$A971&gt;TODAY()),0,IF(OR(INDEX($B971:$D971,N$5)="F",AND(N$6&gt;0,$A971&lt;N$6),AND(N$7&gt;0,$A971&gt;N$7)),0,MAX(0,ROUND((INDEX($E971:$G971,N$5)-SUMIFS(TF_Timer,TF_Tekniker,N$4,TF_Dato,$A971))*2,0)/2)))</f>
        <v/>
      </c>
      <c r="O971">
        <f>IF(OR(O$4="",$A971&gt;TODAY()),0,IF(OR(INDEX($B971:$D971,O$5)="F",AND(O$6&gt;0,$A971&lt;O$6),AND(O$7&gt;0,$A971&gt;O$7)),0,MAX(0,ROUND((INDEX($E971:$G971,O$5)-SUMIFS(TF_Timer,TF_Tekniker,O$4,TF_Dato,$A971))*2,0)/2)))</f>
        <v/>
      </c>
      <c r="P971">
        <f>IF(OR(P$4="",$A971&gt;TODAY()),0,IF(OR(INDEX($B971:$D971,P$5)="F",AND(P$6&gt;0,$A971&lt;P$6),AND(P$7&gt;0,$A971&gt;P$7)),0,MAX(0,ROUND((INDEX($E971:$G971,P$5)-SUMIFS(TF_Timer,TF_Tekniker,P$4,TF_Dato,$A971))*2,0)/2)))</f>
        <v/>
      </c>
      <c r="Q971">
        <f>IF(OR(Q$4="",$A971&gt;TODAY()),0,IF(OR(INDEX($B971:$D971,Q$5)="F",AND(Q$6&gt;0,$A971&lt;Q$6),AND(Q$7&gt;0,$A971&gt;Q$7)),0,MAX(0,ROUND((INDEX($E971:$G971,Q$5)-SUMIFS(TF_Timer,TF_Tekniker,Q$4,TF_Dato,$A971))*2,0)/2)))</f>
        <v/>
      </c>
      <c r="R971">
        <f>IF(OR(R$4="",$A971&gt;TODAY()),0,IF(OR(INDEX($B971:$D971,R$5)="F",AND(R$6&gt;0,$A971&lt;R$6),AND(R$7&gt;0,$A971&gt;R$7)),0,MAX(0,ROUND((INDEX($E971:$G971,R$5)-SUMIFS(TF_Timer,TF_Tekniker,R$4,TF_Dato,$A971))*2,0)/2)))</f>
        <v/>
      </c>
      <c r="S971">
        <f>IF(OR(S$4="",$A971&gt;TODAY()),0,IF(OR(INDEX($B971:$D971,S$5)="F",AND(S$6&gt;0,$A971&lt;S$6),AND(S$7&gt;0,$A971&gt;S$7)),0,MAX(0,ROUND((INDEX($E971:$G971,S$5)-SUMIFS(TF_Timer,TF_Tekniker,S$4,TF_Dato,$A971))*2,0)/2)))</f>
        <v/>
      </c>
      <c r="T971">
        <f>IF(OR(T$4="",$A971&gt;TODAY()),0,IF(OR(INDEX($B971:$D971,T$5)="F",AND(T$6&gt;0,$A971&lt;T$6),AND(T$7&gt;0,$A971&gt;T$7)),0,MAX(0,ROUND((INDEX($E971:$G971,T$5)-SUMIFS(TF_Timer,TF_Tekniker,T$4,TF_Dato,$A971))*2,0)/2)))</f>
        <v/>
      </c>
      <c r="U971">
        <f>IF(OR(U$4="",$A971&gt;TODAY()),0,IF(OR(INDEX($B971:$D971,U$5)="F",AND(U$6&gt;0,$A971&lt;U$6),AND(U$7&gt;0,$A971&gt;U$7)),0,MAX(0,ROUND((INDEX($E971:$G971,U$5)-SUMIFS(TF_Timer,TF_Tekniker,U$4,TF_Dato,$A971))*2,0)/2)))</f>
        <v/>
      </c>
      <c r="V971">
        <f>IF(OR(V$4="",$A971&gt;TODAY()),0,IF(OR(INDEX($B971:$D971,V$5)="F",AND(V$6&gt;0,$A971&lt;V$6),AND(V$7&gt;0,$A971&gt;V$7)),0,MAX(0,ROUND((INDEX($E971:$G971,V$5)-SUMIFS(TF_Timer,TF_Tekniker,V$4,TF_Dato,$A971))*2,0)/2)))</f>
        <v/>
      </c>
      <c r="W971">
        <f>IF(OR(W$4="",$A971&gt;TODAY()),0,IF(OR(INDEX($B971:$D971,W$5)="F",AND(W$6&gt;0,$A971&lt;W$6),AND(W$7&gt;0,$A971&gt;W$7)),0,MAX(0,ROUND((INDEX($E971:$G971,W$5)-SUMIFS(TF_Timer,TF_Tekniker,W$4,TF_Dato,$A971))*2,0)/2)))</f>
        <v/>
      </c>
      <c r="X971">
        <f>IF(OR(X$4="",$A971&gt;TODAY()),0,IF(OR(INDEX($B971:$D971,X$5)="F",AND(X$6&gt;0,$A971&lt;X$6),AND(X$7&gt;0,$A971&gt;X$7)),0,MAX(0,ROUND((INDEX($E971:$G971,X$5)-SUMIFS(TF_Timer,TF_Tekniker,X$4,TF_Dato,$A971))*2,0)/2)))</f>
        <v/>
      </c>
      <c r="Y971">
        <f>IF(OR(Y$4="",$A971&gt;TODAY()),0,IF(OR(INDEX($B971:$D971,Y$5)="F",AND(Y$6&gt;0,$A971&lt;Y$6),AND(Y$7&gt;0,$A971&gt;Y$7)),0,MAX(0,ROUND((INDEX($E971:$G971,Y$5)-SUMIFS(TF_Timer,TF_Tekniker,Y$4,TF_Dato,$A971))*2,0)/2)))</f>
        <v/>
      </c>
      <c r="Z971">
        <f>IF(OR(Z$4="",$A971&gt;TODAY()),0,IF(OR(INDEX($B971:$D971,Z$5)="F",AND(Z$6&gt;0,$A971&lt;Z$6),AND(Z$7&gt;0,$A971&gt;Z$7)),0,MAX(0,ROUND((INDEX($E971:$G971,Z$5)-SUMIFS(TF_Timer,TF_Tekniker,Z$4,TF_Dato,$A971))*2,0)/2)))</f>
        <v/>
      </c>
      <c r="AA971">
        <f>IF(OR(AA$4="",$A971&gt;TODAY()),0,IF(OR(INDEX($B971:$D971,AA$5)="F",AND(AA$6&gt;0,$A971&lt;AA$6),AND(AA$7&gt;0,$A971&gt;AA$7)),0,MAX(0,ROUND((INDEX($E971:$G971,AA$5)-SUMIFS(TF_Timer,TF_Tekniker,AA$4,TF_Dato,$A971))*2,0)/2)))</f>
        <v/>
      </c>
      <c r="AB971">
        <f>IF(OR(AB$4="",$A971&gt;TODAY()),0,IF(OR(INDEX($B971:$D971,AB$5)="F",AND(AB$6&gt;0,$A971&lt;AB$6),AND(AB$7&gt;0,$A971&gt;AB$7)),0,MAX(0,ROUND((INDEX($E971:$G971,AB$5)-SUMIFS(TF_Timer,TF_Tekniker,AB$4,TF_Dato,$A971))*2,0)/2)))</f>
        <v/>
      </c>
      <c r="AC971">
        <f>IF(OR(AC$4="",$A971&gt;TODAY()),0,IF(OR(INDEX($B971:$D971,AC$5)="F",AND(AC$6&gt;0,$A971&lt;AC$6),AND(AC$7&gt;0,$A971&gt;AC$7)),0,MAX(0,ROUND((INDEX($E971:$G971,AC$5)-SUMIFS(TF_Timer,TF_Tekniker,AC$4,TF_Dato,$A971))*2,0)/2)))</f>
        <v/>
      </c>
      <c r="AD971">
        <f>IF(OR(AD$4="",$A971&gt;TODAY()),0,IF(OR(INDEX($B971:$D971,AD$5)="F",AND(AD$6&gt;0,$A971&lt;AD$6),AND(AD$7&gt;0,$A971&gt;AD$7)),0,MAX(0,ROUND((INDEX($E971:$G971,AD$5)-SUMIFS(TF_Timer,TF_Tekniker,AD$4,TF_Dato,$A971))*2,0)/2)))</f>
        <v/>
      </c>
      <c r="AE971">
        <f>IF(OR(AE$4="",$A971&gt;TODAY()),0,IF(OR(INDEX($B971:$D971,AE$5)="F",AND(AE$6&gt;0,$A971&lt;AE$6),AND(AE$7&gt;0,$A971&gt;AE$7)),0,MAX(0,ROUND((INDEX($E971:$G971,AE$5)-SUMIFS(TF_Timer,TF_Tekniker,AE$4,TF_Dato,$A971))*2,0)/2)))</f>
        <v/>
      </c>
      <c r="AF971">
        <f>IF(OR(AF$4="",$A971&gt;TODAY()),0,IF(OR(INDEX($B971:$D971,AF$5)="F",AND(AF$6&gt;0,$A971&lt;AF$6),AND(AF$7&gt;0,$A971&gt;AF$7)),0,MAX(0,ROUND((INDEX($E971:$G971,AF$5)-SUMIFS(TF_Timer,TF_Tekniker,AF$4,TF_Dato,$A971))*2,0)/2)))</f>
        <v/>
      </c>
      <c r="AG971">
        <f>IF(OR(AG$4="",$A971&gt;TODAY()),0,IF(OR(INDEX($B971:$D971,AG$5)="F",AND(AG$6&gt;0,$A971&lt;AG$6),AND(AG$7&gt;0,$A971&gt;AG$7)),0,MAX(0,ROUND((INDEX($E971:$G971,AG$5)-SUMIFS(TF_Timer,TF_Tekniker,AG$4,TF_Dato,$A971))*2,0)/2)))</f>
        <v/>
      </c>
      <c r="AH971">
        <f>IF(OR(AH$4="",$A971&gt;TODAY()),0,IF(OR(INDEX($B971:$D971,AH$5)="F",AND(AH$6&gt;0,$A971&lt;AH$6),AND(AH$7&gt;0,$A971&gt;AH$7)),0,MAX(0,ROUND((INDEX($E971:$G971,AH$5)-SUMIFS(TF_Timer,TF_Tekniker,AH$4,TF_Dato,$A971))*2,0)/2)))</f>
        <v/>
      </c>
      <c r="AI971">
        <f>IF(OR(AI$4="",$A971&gt;TODAY()),0,IF(OR(INDEX($B971:$D971,AI$5)="F",AND(AI$6&gt;0,$A971&lt;AI$6),AND(AI$7&gt;0,$A971&gt;AI$7)),0,MAX(0,ROUND((INDEX($E971:$G971,AI$5)-SUMIFS(TF_Timer,TF_Tekniker,AI$4,TF_Dato,$A971))*2,0)/2)))</f>
        <v/>
      </c>
      <c r="AJ971">
        <f>IF(OR(AJ$4="",$A971&gt;TODAY()),0,IF(OR(INDEX($B971:$D971,AJ$5)="F",AND(AJ$6&gt;0,$A971&lt;AJ$6),AND(AJ$7&gt;0,$A971&gt;AJ$7)),0,MAX(0,ROUND((INDEX($E971:$G971,AJ$5)-SUMIFS(TF_Timer,TF_Tekniker,AJ$4,TF_Dato,$A971))*2,0)/2)))</f>
        <v/>
      </c>
      <c r="AK971">
        <f>IF(OR(AK$4="",$A971&gt;TODAY()),0,IF(OR(INDEX($B971:$D971,AK$5)="F",AND(AK$6&gt;0,$A971&lt;AK$6),AND(AK$7&gt;0,$A971&gt;AK$7)),0,MAX(0,ROUND((INDEX($E971:$G971,AK$5)-SUMIFS(TF_Timer,TF_Tekniker,AK$4,TF_Dato,$A971))*2,0)/2)))</f>
        <v/>
      </c>
      <c r="AL971">
        <f>IF(OR(AL$4="",$A971&gt;TODAY()),0,IF(OR(INDEX($B971:$D971,AL$5)="F",AND(AL$6&gt;0,$A971&lt;AL$6),AND(AL$7&gt;0,$A971&gt;AL$7)),0,MAX(0,ROUND((INDEX($E971:$G971,AL$5)-SUMIFS(TF_Timer,TF_Tekniker,AL$4,TF_Dato,$A971))*2,0)/2)))</f>
        <v/>
      </c>
      <c r="AM971">
        <f>IF(OR(AM$4="",$A971&gt;TODAY()),0,IF(OR(INDEX($B971:$D971,AM$5)="F",AND(AM$6&gt;0,$A971&lt;AM$6),AND(AM$7&gt;0,$A971&gt;AM$7)),0,MAX(0,ROUND((INDEX($E971:$G971,AM$5)-SUMIFS(TF_Timer,TF_Tekniker,AM$4,TF_Dato,$A971))*2,0)/2)))</f>
        <v/>
      </c>
      <c r="AN971">
        <f>IF(OR(AN$4="",$A971&gt;TODAY()),0,IF(OR(INDEX($B971:$D971,AN$5)="F",AND(AN$6&gt;0,$A971&lt;AN$6),AND(AN$7&gt;0,$A971&gt;AN$7)),0,MAX(0,ROUND((INDEX($E971:$G971,AN$5)-SUMIFS(TF_Timer,TF_Tekniker,AN$4,TF_Dato,$A971))*2,0)/2)))</f>
        <v/>
      </c>
      <c r="AO971">
        <f>IF(OR(AO$4="",$A971&gt;TODAY()),0,IF(OR(INDEX($B971:$D971,AO$5)="F",AND(AO$6&gt;0,$A971&lt;AO$6),AND(AO$7&gt;0,$A971&gt;AO$7)),0,MAX(0,ROUND((INDEX($E971:$G971,AO$5)-SUMIFS(TF_Timer,TF_Tekniker,AO$4,TF_Dato,$A971))*2,0)/2)))</f>
        <v/>
      </c>
      <c r="AP971">
        <f>IF(OR(AP$4="",$A971&gt;TODAY()),0,IF(OR(INDEX($B971:$D971,AP$5)="F",AND(AP$6&gt;0,$A971&lt;AP$6),AND(AP$7&gt;0,$A971&gt;AP$7)),0,MAX(0,ROUND((INDEX($E971:$G971,AP$5)-SUMIFS(TF_Timer,TF_Tekniker,AP$4,TF_Dato,$A971))*2,0)/2)))</f>
        <v/>
      </c>
      <c r="AQ971">
        <f>IF(OR(AQ$4="",$A971&gt;TODAY()),0,IF(OR(INDEX($B971:$D971,AQ$5)="F",AND(AQ$6&gt;0,$A971&lt;AQ$6),AND(AQ$7&gt;0,$A971&gt;AQ$7)),0,MAX(0,ROUND((INDEX($E971:$G971,AQ$5)-SUMIFS(TF_Timer,TF_Tekniker,AQ$4,TF_Dato,$A971))*2,0)/2)))</f>
        <v/>
      </c>
      <c r="AR971">
        <f>IF(OR(AR$4="",$A971&gt;TODAY()),0,IF(OR(INDEX($B971:$D971,AR$5)="F",AND(AR$6&gt;0,$A971&lt;AR$6),AND(AR$7&gt;0,$A971&gt;AR$7)),0,MAX(0,ROUND((INDEX($E971:$G971,AR$5)-SUMIFS(TF_Timer,TF_Tekniker,AR$4,TF_Dato,$A971))*2,0)/2)))</f>
        <v/>
      </c>
      <c r="AS971">
        <f>IF(OR(AS$4="",$A971&gt;TODAY()),0,IF(OR(INDEX($B971:$D971,AS$5)="F",AND(AS$6&gt;0,$A971&lt;AS$6),AND(AS$7&gt;0,$A971&gt;AS$7)),0,MAX(0,ROUND((INDEX($E971:$G971,AS$5)-SUMIFS(TF_Timer,TF_Tekniker,AS$4,TF_Dato,$A971))*2,0)/2)))</f>
        <v/>
      </c>
      <c r="AT971">
        <f>IF(OR(AT$4="",$A971&gt;TODAY()),0,IF(OR(INDEX($B971:$D971,AT$5)="F",AND(AT$6&gt;0,$A971&lt;AT$6),AND(AT$7&gt;0,$A971&gt;AT$7)),0,MAX(0,ROUND((INDEX($E971:$G971,AT$5)-SUMIFS(TF_Timer,TF_Tekniker,AT$4,TF_Dato,$A971))*2,0)/2)))</f>
        <v/>
      </c>
      <c r="AU971">
        <f>IF(OR(AU$4="",$A971&gt;TODAY()),0,IF(OR(INDEX($B971:$D971,AU$5)="F",AND(AU$6&gt;0,$A971&lt;AU$6),AND(AU$7&gt;0,$A971&gt;AU$7)),0,MAX(0,ROUND((INDEX($E971:$G971,AU$5)-SUMIFS(TF_Timer,TF_Tekniker,AU$4,TF_Dato,$A971))*2,0)/2)))</f>
        <v/>
      </c>
      <c r="AV971">
        <f>IF(OR(AV$4="",$A971&gt;TODAY()),0,IF(OR(INDEX($B971:$D971,AV$5)="F",AND(AV$6&gt;0,$A971&lt;AV$6),AND(AV$7&gt;0,$A971&gt;AV$7)),0,MAX(0,ROUND((INDEX($E971:$G971,AV$5)-SUMIFS(TF_Timer,TF_Tekniker,AV$4,TF_Dato,$A971))*2,0)/2)))</f>
        <v/>
      </c>
      <c r="AW971">
        <f>IF(OR(AW$4="",$A971&gt;TODAY()),0,IF(OR(INDEX($B971:$D971,AW$5)="F",AND(AW$6&gt;0,$A971&lt;AW$6),AND(AW$7&gt;0,$A971&gt;AW$7)),0,MAX(0,ROUND((INDEX($E971:$G971,AW$5)-SUMIFS(TF_Timer,TF_Tekniker,AW$4,TF_Dato,$A971))*2,0)/2)))</f>
        <v/>
      </c>
      <c r="AX971">
        <f>IF(OR(AX$4="",$A971&gt;TODAY()),0,IF(OR(INDEX($B971:$D971,AX$5)="F",AND(AX$6&gt;0,$A971&lt;AX$6),AND(AX$7&gt;0,$A971&gt;AX$7)),0,MAX(0,ROUND((INDEX($E971:$G971,AX$5)-SUMIFS(TF_Timer,TF_Tekniker,AX$4,TF_Dato,$A971))*2,0)/2)))</f>
        <v/>
      </c>
      <c r="AY971">
        <f>IF(OR(AY$4="",$A971&gt;TODAY()),0,IF(OR(INDEX($B971:$D971,AY$5)="F",AND(AY$6&gt;0,$A971&lt;AY$6),AND(AY$7&gt;0,$A971&gt;AY$7)),0,MAX(0,ROUND((INDEX($E971:$G971,AY$5)-SUMIFS(TF_Timer,TF_Tekniker,AY$4,TF_Dato,$A971))*2,0)/2)))</f>
        <v/>
      </c>
      <c r="AZ971">
        <f>IF(OR(AZ$4="",$A971&gt;TODAY()),0,IF(OR(INDEX($B971:$D971,AZ$5)="F",AND(AZ$6&gt;0,$A971&lt;AZ$6),AND(AZ$7&gt;0,$A971&gt;AZ$7)),0,MAX(0,ROUND((INDEX($E971:$G971,AZ$5)-SUMIFS(TF_Timer,TF_Tekniker,AZ$4,TF_Dato,$A971))*2,0)/2)))</f>
        <v/>
      </c>
      <c r="BA971">
        <f>IF(OR(BA$4="",$A971&gt;TODAY()),0,IF(OR(INDEX($B971:$D971,BA$5)="F",AND(BA$6&gt;0,$A971&lt;BA$6),AND(BA$7&gt;0,$A971&gt;BA$7)),0,MAX(0,ROUND((INDEX($E971:$G971,BA$5)-SUMIFS(TF_Timer,TF_Tekniker,BA$4,TF_Dato,$A971))*2,0)/2)))</f>
        <v/>
      </c>
      <c r="BB971">
        <f>IF(OR(BB$4="",$A971&gt;TODAY()),0,IF(OR(INDEX($B971:$D971,BB$5)="F",AND(BB$6&gt;0,$A971&lt;BB$6),AND(BB$7&gt;0,$A971&gt;BB$7)),0,MAX(0,ROUND((INDEX($E971:$G971,BB$5)-SUMIFS(TF_Timer,TF_Tekniker,BB$4,TF_Dato,$A971))*2,0)/2)))</f>
        <v/>
      </c>
      <c r="BC971">
        <f>IF(OR(BC$4="",$A971&gt;TODAY()),0,IF(OR(INDEX($B971:$D971,BC$5)="F",AND(BC$6&gt;0,$A971&lt;BC$6),AND(BC$7&gt;0,$A971&gt;BC$7)),0,MAX(0,ROUND((INDEX($E971:$G971,BC$5)-SUMIFS(TF_Timer,TF_Tekniker,BC$4,TF_Dato,$A971))*2,0)/2)))</f>
        <v/>
      </c>
      <c r="BD971">
        <f>IF(OR(BD$4="",$A971&gt;TODAY()),0,IF(OR(INDEX($B971:$D971,BD$5)="F",AND(BD$6&gt;0,$A971&lt;BD$6),AND(BD$7&gt;0,$A971&gt;BD$7)),0,MAX(0,ROUND((INDEX($E971:$G971,BD$5)-SUMIFS(TF_Timer,TF_Tekniker,BD$4,TF_Dato,$A971))*2,0)/2)))</f>
        <v/>
      </c>
      <c r="BE971">
        <f>IF(OR(BE$4="",$A971&gt;TODAY()),0,IF(OR(INDEX($B971:$D971,BE$5)="F",AND(BE$6&gt;0,$A971&lt;BE$6),AND(BE$7&gt;0,$A971&gt;BE$7)),0,MAX(0,ROUND((INDEX($E971:$G971,BE$5)-SUMIFS(TF_Timer,TF_Tekniker,BE$4,TF_Dato,$A971))*2,0)/2)))</f>
        <v/>
      </c>
      <c r="BF971">
        <f>IF(OR(BF$4="",$A971&gt;TODAY()),0,IF(OR(INDEX($B971:$D971,BF$5)="F",AND(BF$6&gt;0,$A971&lt;BF$6),AND(BF$7&gt;0,$A971&gt;BF$7)),0,MAX(0,ROUND((INDEX($E971:$G971,BF$5)-SUMIFS(TF_Timer,TF_Tekniker,BF$4,TF_Dato,$A971))*2,0)/2)))</f>
        <v/>
      </c>
      <c r="BG971">
        <f>IF(OR(BG$4="",$A971&gt;TODAY()),0,IF(OR(INDEX($B971:$D971,BG$5)="F",AND(BG$6&gt;0,$A971&lt;BG$6),AND(BG$7&gt;0,$A971&gt;BG$7)),0,MAX(0,ROUND((INDEX($E971:$G971,BG$5)-SUMIFS(TF_Timer,TF_Tekniker,BG$4,TF_Dato,$A971))*2,0)/2)))</f>
        <v/>
      </c>
      <c r="BH971">
        <f>IF(OR(BH$4="",$A971&gt;TODAY()),0,IF(OR(INDEX($B971:$D971,BH$5)="F",AND(BH$6&gt;0,$A971&lt;BH$6),AND(BH$7&gt;0,$A971&gt;BH$7)),0,MAX(0,ROUND((INDEX($E971:$G971,BH$5)-SUMIFS(TF_Timer,TF_Tekniker,BH$4,TF_Dato,$A971))*2,0)/2)))</f>
        <v/>
      </c>
      <c r="BI971">
        <f>IF(OR(BI$4="",$A971&gt;TODAY()),0,IF(OR(INDEX($B971:$D971,BI$5)="F",AND(BI$6&gt;0,$A971&lt;BI$6),AND(BI$7&gt;0,$A971&gt;BI$7)),0,MAX(0,ROUND((INDEX($E971:$G971,BI$5)-SUMIFS(TF_Timer,TF_Tekniker,BI$4,TF_Dato,$A971))*2,0)/2)))</f>
        <v/>
      </c>
    </row>
    <row r="972">
      <c r="A972" s="64">
        <f>A971+1</f>
        <v/>
      </c>
      <c r="B972">
        <f>IF(MOD($A972-INDEX(SkiftStart,1),Syklus)&lt;DagK,"K",IF(MOD($A972-INDEX(SkiftStart,1),Syklus)&lt;DagK+DagH,"H",IF(MOD($A972-INDEX(SkiftStart,1),Syklus)&lt;DagK+DagH+DagD,"D","F")))</f>
        <v/>
      </c>
      <c r="C972">
        <f>IF(MOD($A972-INDEX(SkiftStart,2),Syklus)&lt;DagK,"K",IF(MOD($A972-INDEX(SkiftStart,2),Syklus)&lt;DagK+DagH,"H",IF(MOD($A972-INDEX(SkiftStart,2),Syklus)&lt;DagK+DagH+DagD,"D","F")))</f>
        <v/>
      </c>
      <c r="D972">
        <f>IF(MOD($A972-INDEX(SkiftStart,3),Syklus)&lt;DagK,"K",IF(MOD($A972-INDEX(SkiftStart,3),Syklus)&lt;DagK+DagH,"H",IF(MOD($A972-INDEX(SkiftStart,3),Syklus)&lt;DagK+DagH+DagD,"D","F")))</f>
        <v/>
      </c>
      <c r="E972">
        <f>IF(B972="F",0,IF(WEEKDAY($A972,2)=5,INDEX(TimerFr,MATCH(B972,FaseKode,0)),INDEX(TimerMT,MATCH(B972,FaseKode,0))))</f>
        <v/>
      </c>
      <c r="F972">
        <f>IF(C972="F",0,IF(WEEKDAY($A972,2)=5,INDEX(TimerFr,MATCH(C972,FaseKode,0)),INDEX(TimerMT,MATCH(C972,FaseKode,0))))</f>
        <v/>
      </c>
      <c r="G972">
        <f>IF(D972="F",0,IF(WEEKDAY($A972,2)=5,INDEX(TimerFr,MATCH(D972,FaseKode,0)),INDEX(TimerMT,MATCH(D972,FaseKode,0))))</f>
        <v/>
      </c>
      <c r="H972">
        <f>IF(OR(H$4="",$A972&gt;TODAY()),0,IF(OR(INDEX($B972:$D972,H$5)="F",AND(H$6&gt;0,$A972&lt;H$6),AND(H$7&gt;0,$A972&gt;H$7)),0,MAX(0,ROUND((INDEX($E972:$G972,H$5)-SUMIFS(TF_Timer,TF_Tekniker,H$4,TF_Dato,$A972))*2,0)/2)))</f>
        <v/>
      </c>
      <c r="I972">
        <f>IF(OR(I$4="",$A972&gt;TODAY()),0,IF(OR(INDEX($B972:$D972,I$5)="F",AND(I$6&gt;0,$A972&lt;I$6),AND(I$7&gt;0,$A972&gt;I$7)),0,MAX(0,ROUND((INDEX($E972:$G972,I$5)-SUMIFS(TF_Timer,TF_Tekniker,I$4,TF_Dato,$A972))*2,0)/2)))</f>
        <v/>
      </c>
      <c r="J972">
        <f>IF(OR(J$4="",$A972&gt;TODAY()),0,IF(OR(INDEX($B972:$D972,J$5)="F",AND(J$6&gt;0,$A972&lt;J$6),AND(J$7&gt;0,$A972&gt;J$7)),0,MAX(0,ROUND((INDEX($E972:$G972,J$5)-SUMIFS(TF_Timer,TF_Tekniker,J$4,TF_Dato,$A972))*2,0)/2)))</f>
        <v/>
      </c>
      <c r="K972">
        <f>IF(OR(K$4="",$A972&gt;TODAY()),0,IF(OR(INDEX($B972:$D972,K$5)="F",AND(K$6&gt;0,$A972&lt;K$6),AND(K$7&gt;0,$A972&gt;K$7)),0,MAX(0,ROUND((INDEX($E972:$G972,K$5)-SUMIFS(TF_Timer,TF_Tekniker,K$4,TF_Dato,$A972))*2,0)/2)))</f>
        <v/>
      </c>
      <c r="L972">
        <f>IF(OR(L$4="",$A972&gt;TODAY()),0,IF(OR(INDEX($B972:$D972,L$5)="F",AND(L$6&gt;0,$A972&lt;L$6),AND(L$7&gt;0,$A972&gt;L$7)),0,MAX(0,ROUND((INDEX($E972:$G972,L$5)-SUMIFS(TF_Timer,TF_Tekniker,L$4,TF_Dato,$A972))*2,0)/2)))</f>
        <v/>
      </c>
      <c r="M972">
        <f>IF(OR(M$4="",$A972&gt;TODAY()),0,IF(OR(INDEX($B972:$D972,M$5)="F",AND(M$6&gt;0,$A972&lt;M$6),AND(M$7&gt;0,$A972&gt;M$7)),0,MAX(0,ROUND((INDEX($E972:$G972,M$5)-SUMIFS(TF_Timer,TF_Tekniker,M$4,TF_Dato,$A972))*2,0)/2)))</f>
        <v/>
      </c>
      <c r="N972">
        <f>IF(OR(N$4="",$A972&gt;TODAY()),0,IF(OR(INDEX($B972:$D972,N$5)="F",AND(N$6&gt;0,$A972&lt;N$6),AND(N$7&gt;0,$A972&gt;N$7)),0,MAX(0,ROUND((INDEX($E972:$G972,N$5)-SUMIFS(TF_Timer,TF_Tekniker,N$4,TF_Dato,$A972))*2,0)/2)))</f>
        <v/>
      </c>
      <c r="O972">
        <f>IF(OR(O$4="",$A972&gt;TODAY()),0,IF(OR(INDEX($B972:$D972,O$5)="F",AND(O$6&gt;0,$A972&lt;O$6),AND(O$7&gt;0,$A972&gt;O$7)),0,MAX(0,ROUND((INDEX($E972:$G972,O$5)-SUMIFS(TF_Timer,TF_Tekniker,O$4,TF_Dato,$A972))*2,0)/2)))</f>
        <v/>
      </c>
      <c r="P972">
        <f>IF(OR(P$4="",$A972&gt;TODAY()),0,IF(OR(INDEX($B972:$D972,P$5)="F",AND(P$6&gt;0,$A972&lt;P$6),AND(P$7&gt;0,$A972&gt;P$7)),0,MAX(0,ROUND((INDEX($E972:$G972,P$5)-SUMIFS(TF_Timer,TF_Tekniker,P$4,TF_Dato,$A972))*2,0)/2)))</f>
        <v/>
      </c>
      <c r="Q972">
        <f>IF(OR(Q$4="",$A972&gt;TODAY()),0,IF(OR(INDEX($B972:$D972,Q$5)="F",AND(Q$6&gt;0,$A972&lt;Q$6),AND(Q$7&gt;0,$A972&gt;Q$7)),0,MAX(0,ROUND((INDEX($E972:$G972,Q$5)-SUMIFS(TF_Timer,TF_Tekniker,Q$4,TF_Dato,$A972))*2,0)/2)))</f>
        <v/>
      </c>
      <c r="R972">
        <f>IF(OR(R$4="",$A972&gt;TODAY()),0,IF(OR(INDEX($B972:$D972,R$5)="F",AND(R$6&gt;0,$A972&lt;R$6),AND(R$7&gt;0,$A972&gt;R$7)),0,MAX(0,ROUND((INDEX($E972:$G972,R$5)-SUMIFS(TF_Timer,TF_Tekniker,R$4,TF_Dato,$A972))*2,0)/2)))</f>
        <v/>
      </c>
      <c r="S972">
        <f>IF(OR(S$4="",$A972&gt;TODAY()),0,IF(OR(INDEX($B972:$D972,S$5)="F",AND(S$6&gt;0,$A972&lt;S$6),AND(S$7&gt;0,$A972&gt;S$7)),0,MAX(0,ROUND((INDEX($E972:$G972,S$5)-SUMIFS(TF_Timer,TF_Tekniker,S$4,TF_Dato,$A972))*2,0)/2)))</f>
        <v/>
      </c>
      <c r="T972">
        <f>IF(OR(T$4="",$A972&gt;TODAY()),0,IF(OR(INDEX($B972:$D972,T$5)="F",AND(T$6&gt;0,$A972&lt;T$6),AND(T$7&gt;0,$A972&gt;T$7)),0,MAX(0,ROUND((INDEX($E972:$G972,T$5)-SUMIFS(TF_Timer,TF_Tekniker,T$4,TF_Dato,$A972))*2,0)/2)))</f>
        <v/>
      </c>
      <c r="U972">
        <f>IF(OR(U$4="",$A972&gt;TODAY()),0,IF(OR(INDEX($B972:$D972,U$5)="F",AND(U$6&gt;0,$A972&lt;U$6),AND(U$7&gt;0,$A972&gt;U$7)),0,MAX(0,ROUND((INDEX($E972:$G972,U$5)-SUMIFS(TF_Timer,TF_Tekniker,U$4,TF_Dato,$A972))*2,0)/2)))</f>
        <v/>
      </c>
      <c r="V972">
        <f>IF(OR(V$4="",$A972&gt;TODAY()),0,IF(OR(INDEX($B972:$D972,V$5)="F",AND(V$6&gt;0,$A972&lt;V$6),AND(V$7&gt;0,$A972&gt;V$7)),0,MAX(0,ROUND((INDEX($E972:$G972,V$5)-SUMIFS(TF_Timer,TF_Tekniker,V$4,TF_Dato,$A972))*2,0)/2)))</f>
        <v/>
      </c>
      <c r="W972">
        <f>IF(OR(W$4="",$A972&gt;TODAY()),0,IF(OR(INDEX($B972:$D972,W$5)="F",AND(W$6&gt;0,$A972&lt;W$6),AND(W$7&gt;0,$A972&gt;W$7)),0,MAX(0,ROUND((INDEX($E972:$G972,W$5)-SUMIFS(TF_Timer,TF_Tekniker,W$4,TF_Dato,$A972))*2,0)/2)))</f>
        <v/>
      </c>
      <c r="X972">
        <f>IF(OR(X$4="",$A972&gt;TODAY()),0,IF(OR(INDEX($B972:$D972,X$5)="F",AND(X$6&gt;0,$A972&lt;X$6),AND(X$7&gt;0,$A972&gt;X$7)),0,MAX(0,ROUND((INDEX($E972:$G972,X$5)-SUMIFS(TF_Timer,TF_Tekniker,X$4,TF_Dato,$A972))*2,0)/2)))</f>
        <v/>
      </c>
      <c r="Y972">
        <f>IF(OR(Y$4="",$A972&gt;TODAY()),0,IF(OR(INDEX($B972:$D972,Y$5)="F",AND(Y$6&gt;0,$A972&lt;Y$6),AND(Y$7&gt;0,$A972&gt;Y$7)),0,MAX(0,ROUND((INDEX($E972:$G972,Y$5)-SUMIFS(TF_Timer,TF_Tekniker,Y$4,TF_Dato,$A972))*2,0)/2)))</f>
        <v/>
      </c>
      <c r="Z972">
        <f>IF(OR(Z$4="",$A972&gt;TODAY()),0,IF(OR(INDEX($B972:$D972,Z$5)="F",AND(Z$6&gt;0,$A972&lt;Z$6),AND(Z$7&gt;0,$A972&gt;Z$7)),0,MAX(0,ROUND((INDEX($E972:$G972,Z$5)-SUMIFS(TF_Timer,TF_Tekniker,Z$4,TF_Dato,$A972))*2,0)/2)))</f>
        <v/>
      </c>
      <c r="AA972">
        <f>IF(OR(AA$4="",$A972&gt;TODAY()),0,IF(OR(INDEX($B972:$D972,AA$5)="F",AND(AA$6&gt;0,$A972&lt;AA$6),AND(AA$7&gt;0,$A972&gt;AA$7)),0,MAX(0,ROUND((INDEX($E972:$G972,AA$5)-SUMIFS(TF_Timer,TF_Tekniker,AA$4,TF_Dato,$A972))*2,0)/2)))</f>
        <v/>
      </c>
      <c r="AB972">
        <f>IF(OR(AB$4="",$A972&gt;TODAY()),0,IF(OR(INDEX($B972:$D972,AB$5)="F",AND(AB$6&gt;0,$A972&lt;AB$6),AND(AB$7&gt;0,$A972&gt;AB$7)),0,MAX(0,ROUND((INDEX($E972:$G972,AB$5)-SUMIFS(TF_Timer,TF_Tekniker,AB$4,TF_Dato,$A972))*2,0)/2)))</f>
        <v/>
      </c>
      <c r="AC972">
        <f>IF(OR(AC$4="",$A972&gt;TODAY()),0,IF(OR(INDEX($B972:$D972,AC$5)="F",AND(AC$6&gt;0,$A972&lt;AC$6),AND(AC$7&gt;0,$A972&gt;AC$7)),0,MAX(0,ROUND((INDEX($E972:$G972,AC$5)-SUMIFS(TF_Timer,TF_Tekniker,AC$4,TF_Dato,$A972))*2,0)/2)))</f>
        <v/>
      </c>
      <c r="AD972">
        <f>IF(OR(AD$4="",$A972&gt;TODAY()),0,IF(OR(INDEX($B972:$D972,AD$5)="F",AND(AD$6&gt;0,$A972&lt;AD$6),AND(AD$7&gt;0,$A972&gt;AD$7)),0,MAX(0,ROUND((INDEX($E972:$G972,AD$5)-SUMIFS(TF_Timer,TF_Tekniker,AD$4,TF_Dato,$A972))*2,0)/2)))</f>
        <v/>
      </c>
      <c r="AE972">
        <f>IF(OR(AE$4="",$A972&gt;TODAY()),0,IF(OR(INDEX($B972:$D972,AE$5)="F",AND(AE$6&gt;0,$A972&lt;AE$6),AND(AE$7&gt;0,$A972&gt;AE$7)),0,MAX(0,ROUND((INDEX($E972:$G972,AE$5)-SUMIFS(TF_Timer,TF_Tekniker,AE$4,TF_Dato,$A972))*2,0)/2)))</f>
        <v/>
      </c>
      <c r="AF972">
        <f>IF(OR(AF$4="",$A972&gt;TODAY()),0,IF(OR(INDEX($B972:$D972,AF$5)="F",AND(AF$6&gt;0,$A972&lt;AF$6),AND(AF$7&gt;0,$A972&gt;AF$7)),0,MAX(0,ROUND((INDEX($E972:$G972,AF$5)-SUMIFS(TF_Timer,TF_Tekniker,AF$4,TF_Dato,$A972))*2,0)/2)))</f>
        <v/>
      </c>
      <c r="AG972">
        <f>IF(OR(AG$4="",$A972&gt;TODAY()),0,IF(OR(INDEX($B972:$D972,AG$5)="F",AND(AG$6&gt;0,$A972&lt;AG$6),AND(AG$7&gt;0,$A972&gt;AG$7)),0,MAX(0,ROUND((INDEX($E972:$G972,AG$5)-SUMIFS(TF_Timer,TF_Tekniker,AG$4,TF_Dato,$A972))*2,0)/2)))</f>
        <v/>
      </c>
      <c r="AH972">
        <f>IF(OR(AH$4="",$A972&gt;TODAY()),0,IF(OR(INDEX($B972:$D972,AH$5)="F",AND(AH$6&gt;0,$A972&lt;AH$6),AND(AH$7&gt;0,$A972&gt;AH$7)),0,MAX(0,ROUND((INDEX($E972:$G972,AH$5)-SUMIFS(TF_Timer,TF_Tekniker,AH$4,TF_Dato,$A972))*2,0)/2)))</f>
        <v/>
      </c>
      <c r="AI972">
        <f>IF(OR(AI$4="",$A972&gt;TODAY()),0,IF(OR(INDEX($B972:$D972,AI$5)="F",AND(AI$6&gt;0,$A972&lt;AI$6),AND(AI$7&gt;0,$A972&gt;AI$7)),0,MAX(0,ROUND((INDEX($E972:$G972,AI$5)-SUMIFS(TF_Timer,TF_Tekniker,AI$4,TF_Dato,$A972))*2,0)/2)))</f>
        <v/>
      </c>
      <c r="AJ972">
        <f>IF(OR(AJ$4="",$A972&gt;TODAY()),0,IF(OR(INDEX($B972:$D972,AJ$5)="F",AND(AJ$6&gt;0,$A972&lt;AJ$6),AND(AJ$7&gt;0,$A972&gt;AJ$7)),0,MAX(0,ROUND((INDEX($E972:$G972,AJ$5)-SUMIFS(TF_Timer,TF_Tekniker,AJ$4,TF_Dato,$A972))*2,0)/2)))</f>
        <v/>
      </c>
      <c r="AK972">
        <f>IF(OR(AK$4="",$A972&gt;TODAY()),0,IF(OR(INDEX($B972:$D972,AK$5)="F",AND(AK$6&gt;0,$A972&lt;AK$6),AND(AK$7&gt;0,$A972&gt;AK$7)),0,MAX(0,ROUND((INDEX($E972:$G972,AK$5)-SUMIFS(TF_Timer,TF_Tekniker,AK$4,TF_Dato,$A972))*2,0)/2)))</f>
        <v/>
      </c>
      <c r="AL972">
        <f>IF(OR(AL$4="",$A972&gt;TODAY()),0,IF(OR(INDEX($B972:$D972,AL$5)="F",AND(AL$6&gt;0,$A972&lt;AL$6),AND(AL$7&gt;0,$A972&gt;AL$7)),0,MAX(0,ROUND((INDEX($E972:$G972,AL$5)-SUMIFS(TF_Timer,TF_Tekniker,AL$4,TF_Dato,$A972))*2,0)/2)))</f>
        <v/>
      </c>
      <c r="AM972">
        <f>IF(OR(AM$4="",$A972&gt;TODAY()),0,IF(OR(INDEX($B972:$D972,AM$5)="F",AND(AM$6&gt;0,$A972&lt;AM$6),AND(AM$7&gt;0,$A972&gt;AM$7)),0,MAX(0,ROUND((INDEX($E972:$G972,AM$5)-SUMIFS(TF_Timer,TF_Tekniker,AM$4,TF_Dato,$A972))*2,0)/2)))</f>
        <v/>
      </c>
      <c r="AN972">
        <f>IF(OR(AN$4="",$A972&gt;TODAY()),0,IF(OR(INDEX($B972:$D972,AN$5)="F",AND(AN$6&gt;0,$A972&lt;AN$6),AND(AN$7&gt;0,$A972&gt;AN$7)),0,MAX(0,ROUND((INDEX($E972:$G972,AN$5)-SUMIFS(TF_Timer,TF_Tekniker,AN$4,TF_Dato,$A972))*2,0)/2)))</f>
        <v/>
      </c>
      <c r="AO972">
        <f>IF(OR(AO$4="",$A972&gt;TODAY()),0,IF(OR(INDEX($B972:$D972,AO$5)="F",AND(AO$6&gt;0,$A972&lt;AO$6),AND(AO$7&gt;0,$A972&gt;AO$7)),0,MAX(0,ROUND((INDEX($E972:$G972,AO$5)-SUMIFS(TF_Timer,TF_Tekniker,AO$4,TF_Dato,$A972))*2,0)/2)))</f>
        <v/>
      </c>
      <c r="AP972">
        <f>IF(OR(AP$4="",$A972&gt;TODAY()),0,IF(OR(INDEX($B972:$D972,AP$5)="F",AND(AP$6&gt;0,$A972&lt;AP$6),AND(AP$7&gt;0,$A972&gt;AP$7)),0,MAX(0,ROUND((INDEX($E972:$G972,AP$5)-SUMIFS(TF_Timer,TF_Tekniker,AP$4,TF_Dato,$A972))*2,0)/2)))</f>
        <v/>
      </c>
      <c r="AQ972">
        <f>IF(OR(AQ$4="",$A972&gt;TODAY()),0,IF(OR(INDEX($B972:$D972,AQ$5)="F",AND(AQ$6&gt;0,$A972&lt;AQ$6),AND(AQ$7&gt;0,$A972&gt;AQ$7)),0,MAX(0,ROUND((INDEX($E972:$G972,AQ$5)-SUMIFS(TF_Timer,TF_Tekniker,AQ$4,TF_Dato,$A972))*2,0)/2)))</f>
        <v/>
      </c>
      <c r="AR972">
        <f>IF(OR(AR$4="",$A972&gt;TODAY()),0,IF(OR(INDEX($B972:$D972,AR$5)="F",AND(AR$6&gt;0,$A972&lt;AR$6),AND(AR$7&gt;0,$A972&gt;AR$7)),0,MAX(0,ROUND((INDEX($E972:$G972,AR$5)-SUMIFS(TF_Timer,TF_Tekniker,AR$4,TF_Dato,$A972))*2,0)/2)))</f>
        <v/>
      </c>
      <c r="AS972">
        <f>IF(OR(AS$4="",$A972&gt;TODAY()),0,IF(OR(INDEX($B972:$D972,AS$5)="F",AND(AS$6&gt;0,$A972&lt;AS$6),AND(AS$7&gt;0,$A972&gt;AS$7)),0,MAX(0,ROUND((INDEX($E972:$G972,AS$5)-SUMIFS(TF_Timer,TF_Tekniker,AS$4,TF_Dato,$A972))*2,0)/2)))</f>
        <v/>
      </c>
      <c r="AT972">
        <f>IF(OR(AT$4="",$A972&gt;TODAY()),0,IF(OR(INDEX($B972:$D972,AT$5)="F",AND(AT$6&gt;0,$A972&lt;AT$6),AND(AT$7&gt;0,$A972&gt;AT$7)),0,MAX(0,ROUND((INDEX($E972:$G972,AT$5)-SUMIFS(TF_Timer,TF_Tekniker,AT$4,TF_Dato,$A972))*2,0)/2)))</f>
        <v/>
      </c>
      <c r="AU972">
        <f>IF(OR(AU$4="",$A972&gt;TODAY()),0,IF(OR(INDEX($B972:$D972,AU$5)="F",AND(AU$6&gt;0,$A972&lt;AU$6),AND(AU$7&gt;0,$A972&gt;AU$7)),0,MAX(0,ROUND((INDEX($E972:$G972,AU$5)-SUMIFS(TF_Timer,TF_Tekniker,AU$4,TF_Dato,$A972))*2,0)/2)))</f>
        <v/>
      </c>
      <c r="AV972">
        <f>IF(OR(AV$4="",$A972&gt;TODAY()),0,IF(OR(INDEX($B972:$D972,AV$5)="F",AND(AV$6&gt;0,$A972&lt;AV$6),AND(AV$7&gt;0,$A972&gt;AV$7)),0,MAX(0,ROUND((INDEX($E972:$G972,AV$5)-SUMIFS(TF_Timer,TF_Tekniker,AV$4,TF_Dato,$A972))*2,0)/2)))</f>
        <v/>
      </c>
      <c r="AW972">
        <f>IF(OR(AW$4="",$A972&gt;TODAY()),0,IF(OR(INDEX($B972:$D972,AW$5)="F",AND(AW$6&gt;0,$A972&lt;AW$6),AND(AW$7&gt;0,$A972&gt;AW$7)),0,MAX(0,ROUND((INDEX($E972:$G972,AW$5)-SUMIFS(TF_Timer,TF_Tekniker,AW$4,TF_Dato,$A972))*2,0)/2)))</f>
        <v/>
      </c>
      <c r="AX972">
        <f>IF(OR(AX$4="",$A972&gt;TODAY()),0,IF(OR(INDEX($B972:$D972,AX$5)="F",AND(AX$6&gt;0,$A972&lt;AX$6),AND(AX$7&gt;0,$A972&gt;AX$7)),0,MAX(0,ROUND((INDEX($E972:$G972,AX$5)-SUMIFS(TF_Timer,TF_Tekniker,AX$4,TF_Dato,$A972))*2,0)/2)))</f>
        <v/>
      </c>
      <c r="AY972">
        <f>IF(OR(AY$4="",$A972&gt;TODAY()),0,IF(OR(INDEX($B972:$D972,AY$5)="F",AND(AY$6&gt;0,$A972&lt;AY$6),AND(AY$7&gt;0,$A972&gt;AY$7)),0,MAX(0,ROUND((INDEX($E972:$G972,AY$5)-SUMIFS(TF_Timer,TF_Tekniker,AY$4,TF_Dato,$A972))*2,0)/2)))</f>
        <v/>
      </c>
      <c r="AZ972">
        <f>IF(OR(AZ$4="",$A972&gt;TODAY()),0,IF(OR(INDEX($B972:$D972,AZ$5)="F",AND(AZ$6&gt;0,$A972&lt;AZ$6),AND(AZ$7&gt;0,$A972&gt;AZ$7)),0,MAX(0,ROUND((INDEX($E972:$G972,AZ$5)-SUMIFS(TF_Timer,TF_Tekniker,AZ$4,TF_Dato,$A972))*2,0)/2)))</f>
        <v/>
      </c>
      <c r="BA972">
        <f>IF(OR(BA$4="",$A972&gt;TODAY()),0,IF(OR(INDEX($B972:$D972,BA$5)="F",AND(BA$6&gt;0,$A972&lt;BA$6),AND(BA$7&gt;0,$A972&gt;BA$7)),0,MAX(0,ROUND((INDEX($E972:$G972,BA$5)-SUMIFS(TF_Timer,TF_Tekniker,BA$4,TF_Dato,$A972))*2,0)/2)))</f>
        <v/>
      </c>
      <c r="BB972">
        <f>IF(OR(BB$4="",$A972&gt;TODAY()),0,IF(OR(INDEX($B972:$D972,BB$5)="F",AND(BB$6&gt;0,$A972&lt;BB$6),AND(BB$7&gt;0,$A972&gt;BB$7)),0,MAX(0,ROUND((INDEX($E972:$G972,BB$5)-SUMIFS(TF_Timer,TF_Tekniker,BB$4,TF_Dato,$A972))*2,0)/2)))</f>
        <v/>
      </c>
      <c r="BC972">
        <f>IF(OR(BC$4="",$A972&gt;TODAY()),0,IF(OR(INDEX($B972:$D972,BC$5)="F",AND(BC$6&gt;0,$A972&lt;BC$6),AND(BC$7&gt;0,$A972&gt;BC$7)),0,MAX(0,ROUND((INDEX($E972:$G972,BC$5)-SUMIFS(TF_Timer,TF_Tekniker,BC$4,TF_Dato,$A972))*2,0)/2)))</f>
        <v/>
      </c>
      <c r="BD972">
        <f>IF(OR(BD$4="",$A972&gt;TODAY()),0,IF(OR(INDEX($B972:$D972,BD$5)="F",AND(BD$6&gt;0,$A972&lt;BD$6),AND(BD$7&gt;0,$A972&gt;BD$7)),0,MAX(0,ROUND((INDEX($E972:$G972,BD$5)-SUMIFS(TF_Timer,TF_Tekniker,BD$4,TF_Dato,$A972))*2,0)/2)))</f>
        <v/>
      </c>
      <c r="BE972">
        <f>IF(OR(BE$4="",$A972&gt;TODAY()),0,IF(OR(INDEX($B972:$D972,BE$5)="F",AND(BE$6&gt;0,$A972&lt;BE$6),AND(BE$7&gt;0,$A972&gt;BE$7)),0,MAX(0,ROUND((INDEX($E972:$G972,BE$5)-SUMIFS(TF_Timer,TF_Tekniker,BE$4,TF_Dato,$A972))*2,0)/2)))</f>
        <v/>
      </c>
      <c r="BF972">
        <f>IF(OR(BF$4="",$A972&gt;TODAY()),0,IF(OR(INDEX($B972:$D972,BF$5)="F",AND(BF$6&gt;0,$A972&lt;BF$6),AND(BF$7&gt;0,$A972&gt;BF$7)),0,MAX(0,ROUND((INDEX($E972:$G972,BF$5)-SUMIFS(TF_Timer,TF_Tekniker,BF$4,TF_Dato,$A972))*2,0)/2)))</f>
        <v/>
      </c>
      <c r="BG972">
        <f>IF(OR(BG$4="",$A972&gt;TODAY()),0,IF(OR(INDEX($B972:$D972,BG$5)="F",AND(BG$6&gt;0,$A972&lt;BG$6),AND(BG$7&gt;0,$A972&gt;BG$7)),0,MAX(0,ROUND((INDEX($E972:$G972,BG$5)-SUMIFS(TF_Timer,TF_Tekniker,BG$4,TF_Dato,$A972))*2,0)/2)))</f>
        <v/>
      </c>
      <c r="BH972">
        <f>IF(OR(BH$4="",$A972&gt;TODAY()),0,IF(OR(INDEX($B972:$D972,BH$5)="F",AND(BH$6&gt;0,$A972&lt;BH$6),AND(BH$7&gt;0,$A972&gt;BH$7)),0,MAX(0,ROUND((INDEX($E972:$G972,BH$5)-SUMIFS(TF_Timer,TF_Tekniker,BH$4,TF_Dato,$A972))*2,0)/2)))</f>
        <v/>
      </c>
      <c r="BI972">
        <f>IF(OR(BI$4="",$A972&gt;TODAY()),0,IF(OR(INDEX($B972:$D972,BI$5)="F",AND(BI$6&gt;0,$A972&lt;BI$6),AND(BI$7&gt;0,$A972&gt;BI$7)),0,MAX(0,ROUND((INDEX($E972:$G972,BI$5)-SUMIFS(TF_Timer,TF_Tekniker,BI$4,TF_Dato,$A972))*2,0)/2)))</f>
        <v/>
      </c>
    </row>
    <row r="973">
      <c r="A973" s="64">
        <f>A972+1</f>
        <v/>
      </c>
      <c r="B973">
        <f>IF(MOD($A973-INDEX(SkiftStart,1),Syklus)&lt;DagK,"K",IF(MOD($A973-INDEX(SkiftStart,1),Syklus)&lt;DagK+DagH,"H",IF(MOD($A973-INDEX(SkiftStart,1),Syklus)&lt;DagK+DagH+DagD,"D","F")))</f>
        <v/>
      </c>
      <c r="C973">
        <f>IF(MOD($A973-INDEX(SkiftStart,2),Syklus)&lt;DagK,"K",IF(MOD($A973-INDEX(SkiftStart,2),Syklus)&lt;DagK+DagH,"H",IF(MOD($A973-INDEX(SkiftStart,2),Syklus)&lt;DagK+DagH+DagD,"D","F")))</f>
        <v/>
      </c>
      <c r="D973">
        <f>IF(MOD($A973-INDEX(SkiftStart,3),Syklus)&lt;DagK,"K",IF(MOD($A973-INDEX(SkiftStart,3),Syklus)&lt;DagK+DagH,"H",IF(MOD($A973-INDEX(SkiftStart,3),Syklus)&lt;DagK+DagH+DagD,"D","F")))</f>
        <v/>
      </c>
      <c r="E973">
        <f>IF(B973="F",0,IF(WEEKDAY($A973,2)=5,INDEX(TimerFr,MATCH(B973,FaseKode,0)),INDEX(TimerMT,MATCH(B973,FaseKode,0))))</f>
        <v/>
      </c>
      <c r="F973">
        <f>IF(C973="F",0,IF(WEEKDAY($A973,2)=5,INDEX(TimerFr,MATCH(C973,FaseKode,0)),INDEX(TimerMT,MATCH(C973,FaseKode,0))))</f>
        <v/>
      </c>
      <c r="G973">
        <f>IF(D973="F",0,IF(WEEKDAY($A973,2)=5,INDEX(TimerFr,MATCH(D973,FaseKode,0)),INDEX(TimerMT,MATCH(D973,FaseKode,0))))</f>
        <v/>
      </c>
      <c r="H973">
        <f>IF(OR(H$4="",$A973&gt;TODAY()),0,IF(OR(INDEX($B973:$D973,H$5)="F",AND(H$6&gt;0,$A973&lt;H$6),AND(H$7&gt;0,$A973&gt;H$7)),0,MAX(0,ROUND((INDEX($E973:$G973,H$5)-SUMIFS(TF_Timer,TF_Tekniker,H$4,TF_Dato,$A973))*2,0)/2)))</f>
        <v/>
      </c>
      <c r="I973">
        <f>IF(OR(I$4="",$A973&gt;TODAY()),0,IF(OR(INDEX($B973:$D973,I$5)="F",AND(I$6&gt;0,$A973&lt;I$6),AND(I$7&gt;0,$A973&gt;I$7)),0,MAX(0,ROUND((INDEX($E973:$G973,I$5)-SUMIFS(TF_Timer,TF_Tekniker,I$4,TF_Dato,$A973))*2,0)/2)))</f>
        <v/>
      </c>
      <c r="J973">
        <f>IF(OR(J$4="",$A973&gt;TODAY()),0,IF(OR(INDEX($B973:$D973,J$5)="F",AND(J$6&gt;0,$A973&lt;J$6),AND(J$7&gt;0,$A973&gt;J$7)),0,MAX(0,ROUND((INDEX($E973:$G973,J$5)-SUMIFS(TF_Timer,TF_Tekniker,J$4,TF_Dato,$A973))*2,0)/2)))</f>
        <v/>
      </c>
      <c r="K973">
        <f>IF(OR(K$4="",$A973&gt;TODAY()),0,IF(OR(INDEX($B973:$D973,K$5)="F",AND(K$6&gt;0,$A973&lt;K$6),AND(K$7&gt;0,$A973&gt;K$7)),0,MAX(0,ROUND((INDEX($E973:$G973,K$5)-SUMIFS(TF_Timer,TF_Tekniker,K$4,TF_Dato,$A973))*2,0)/2)))</f>
        <v/>
      </c>
      <c r="L973">
        <f>IF(OR(L$4="",$A973&gt;TODAY()),0,IF(OR(INDEX($B973:$D973,L$5)="F",AND(L$6&gt;0,$A973&lt;L$6),AND(L$7&gt;0,$A973&gt;L$7)),0,MAX(0,ROUND((INDEX($E973:$G973,L$5)-SUMIFS(TF_Timer,TF_Tekniker,L$4,TF_Dato,$A973))*2,0)/2)))</f>
        <v/>
      </c>
      <c r="M973">
        <f>IF(OR(M$4="",$A973&gt;TODAY()),0,IF(OR(INDEX($B973:$D973,M$5)="F",AND(M$6&gt;0,$A973&lt;M$6),AND(M$7&gt;0,$A973&gt;M$7)),0,MAX(0,ROUND((INDEX($E973:$G973,M$5)-SUMIFS(TF_Timer,TF_Tekniker,M$4,TF_Dato,$A973))*2,0)/2)))</f>
        <v/>
      </c>
      <c r="N973">
        <f>IF(OR(N$4="",$A973&gt;TODAY()),0,IF(OR(INDEX($B973:$D973,N$5)="F",AND(N$6&gt;0,$A973&lt;N$6),AND(N$7&gt;0,$A973&gt;N$7)),0,MAX(0,ROUND((INDEX($E973:$G973,N$5)-SUMIFS(TF_Timer,TF_Tekniker,N$4,TF_Dato,$A973))*2,0)/2)))</f>
        <v/>
      </c>
      <c r="O973">
        <f>IF(OR(O$4="",$A973&gt;TODAY()),0,IF(OR(INDEX($B973:$D973,O$5)="F",AND(O$6&gt;0,$A973&lt;O$6),AND(O$7&gt;0,$A973&gt;O$7)),0,MAX(0,ROUND((INDEX($E973:$G973,O$5)-SUMIFS(TF_Timer,TF_Tekniker,O$4,TF_Dato,$A973))*2,0)/2)))</f>
        <v/>
      </c>
      <c r="P973">
        <f>IF(OR(P$4="",$A973&gt;TODAY()),0,IF(OR(INDEX($B973:$D973,P$5)="F",AND(P$6&gt;0,$A973&lt;P$6),AND(P$7&gt;0,$A973&gt;P$7)),0,MAX(0,ROUND((INDEX($E973:$G973,P$5)-SUMIFS(TF_Timer,TF_Tekniker,P$4,TF_Dato,$A973))*2,0)/2)))</f>
        <v/>
      </c>
      <c r="Q973">
        <f>IF(OR(Q$4="",$A973&gt;TODAY()),0,IF(OR(INDEX($B973:$D973,Q$5)="F",AND(Q$6&gt;0,$A973&lt;Q$6),AND(Q$7&gt;0,$A973&gt;Q$7)),0,MAX(0,ROUND((INDEX($E973:$G973,Q$5)-SUMIFS(TF_Timer,TF_Tekniker,Q$4,TF_Dato,$A973))*2,0)/2)))</f>
        <v/>
      </c>
      <c r="R973">
        <f>IF(OR(R$4="",$A973&gt;TODAY()),0,IF(OR(INDEX($B973:$D973,R$5)="F",AND(R$6&gt;0,$A973&lt;R$6),AND(R$7&gt;0,$A973&gt;R$7)),0,MAX(0,ROUND((INDEX($E973:$G973,R$5)-SUMIFS(TF_Timer,TF_Tekniker,R$4,TF_Dato,$A973))*2,0)/2)))</f>
        <v/>
      </c>
      <c r="S973">
        <f>IF(OR(S$4="",$A973&gt;TODAY()),0,IF(OR(INDEX($B973:$D973,S$5)="F",AND(S$6&gt;0,$A973&lt;S$6),AND(S$7&gt;0,$A973&gt;S$7)),0,MAX(0,ROUND((INDEX($E973:$G973,S$5)-SUMIFS(TF_Timer,TF_Tekniker,S$4,TF_Dato,$A973))*2,0)/2)))</f>
        <v/>
      </c>
      <c r="T973">
        <f>IF(OR(T$4="",$A973&gt;TODAY()),0,IF(OR(INDEX($B973:$D973,T$5)="F",AND(T$6&gt;0,$A973&lt;T$6),AND(T$7&gt;0,$A973&gt;T$7)),0,MAX(0,ROUND((INDEX($E973:$G973,T$5)-SUMIFS(TF_Timer,TF_Tekniker,T$4,TF_Dato,$A973))*2,0)/2)))</f>
        <v/>
      </c>
      <c r="U973">
        <f>IF(OR(U$4="",$A973&gt;TODAY()),0,IF(OR(INDEX($B973:$D973,U$5)="F",AND(U$6&gt;0,$A973&lt;U$6),AND(U$7&gt;0,$A973&gt;U$7)),0,MAX(0,ROUND((INDEX($E973:$G973,U$5)-SUMIFS(TF_Timer,TF_Tekniker,U$4,TF_Dato,$A973))*2,0)/2)))</f>
        <v/>
      </c>
      <c r="V973">
        <f>IF(OR(V$4="",$A973&gt;TODAY()),0,IF(OR(INDEX($B973:$D973,V$5)="F",AND(V$6&gt;0,$A973&lt;V$6),AND(V$7&gt;0,$A973&gt;V$7)),0,MAX(0,ROUND((INDEX($E973:$G973,V$5)-SUMIFS(TF_Timer,TF_Tekniker,V$4,TF_Dato,$A973))*2,0)/2)))</f>
        <v/>
      </c>
      <c r="W973">
        <f>IF(OR(W$4="",$A973&gt;TODAY()),0,IF(OR(INDEX($B973:$D973,W$5)="F",AND(W$6&gt;0,$A973&lt;W$6),AND(W$7&gt;0,$A973&gt;W$7)),0,MAX(0,ROUND((INDEX($E973:$G973,W$5)-SUMIFS(TF_Timer,TF_Tekniker,W$4,TF_Dato,$A973))*2,0)/2)))</f>
        <v/>
      </c>
      <c r="X973">
        <f>IF(OR(X$4="",$A973&gt;TODAY()),0,IF(OR(INDEX($B973:$D973,X$5)="F",AND(X$6&gt;0,$A973&lt;X$6),AND(X$7&gt;0,$A973&gt;X$7)),0,MAX(0,ROUND((INDEX($E973:$G973,X$5)-SUMIFS(TF_Timer,TF_Tekniker,X$4,TF_Dato,$A973))*2,0)/2)))</f>
        <v/>
      </c>
      <c r="Y973">
        <f>IF(OR(Y$4="",$A973&gt;TODAY()),0,IF(OR(INDEX($B973:$D973,Y$5)="F",AND(Y$6&gt;0,$A973&lt;Y$6),AND(Y$7&gt;0,$A973&gt;Y$7)),0,MAX(0,ROUND((INDEX($E973:$G973,Y$5)-SUMIFS(TF_Timer,TF_Tekniker,Y$4,TF_Dato,$A973))*2,0)/2)))</f>
        <v/>
      </c>
      <c r="Z973">
        <f>IF(OR(Z$4="",$A973&gt;TODAY()),0,IF(OR(INDEX($B973:$D973,Z$5)="F",AND(Z$6&gt;0,$A973&lt;Z$6),AND(Z$7&gt;0,$A973&gt;Z$7)),0,MAX(0,ROUND((INDEX($E973:$G973,Z$5)-SUMIFS(TF_Timer,TF_Tekniker,Z$4,TF_Dato,$A973))*2,0)/2)))</f>
        <v/>
      </c>
      <c r="AA973">
        <f>IF(OR(AA$4="",$A973&gt;TODAY()),0,IF(OR(INDEX($B973:$D973,AA$5)="F",AND(AA$6&gt;0,$A973&lt;AA$6),AND(AA$7&gt;0,$A973&gt;AA$7)),0,MAX(0,ROUND((INDEX($E973:$G973,AA$5)-SUMIFS(TF_Timer,TF_Tekniker,AA$4,TF_Dato,$A973))*2,0)/2)))</f>
        <v/>
      </c>
      <c r="AB973">
        <f>IF(OR(AB$4="",$A973&gt;TODAY()),0,IF(OR(INDEX($B973:$D973,AB$5)="F",AND(AB$6&gt;0,$A973&lt;AB$6),AND(AB$7&gt;0,$A973&gt;AB$7)),0,MAX(0,ROUND((INDEX($E973:$G973,AB$5)-SUMIFS(TF_Timer,TF_Tekniker,AB$4,TF_Dato,$A973))*2,0)/2)))</f>
        <v/>
      </c>
      <c r="AC973">
        <f>IF(OR(AC$4="",$A973&gt;TODAY()),0,IF(OR(INDEX($B973:$D973,AC$5)="F",AND(AC$6&gt;0,$A973&lt;AC$6),AND(AC$7&gt;0,$A973&gt;AC$7)),0,MAX(0,ROUND((INDEX($E973:$G973,AC$5)-SUMIFS(TF_Timer,TF_Tekniker,AC$4,TF_Dato,$A973))*2,0)/2)))</f>
        <v/>
      </c>
      <c r="AD973">
        <f>IF(OR(AD$4="",$A973&gt;TODAY()),0,IF(OR(INDEX($B973:$D973,AD$5)="F",AND(AD$6&gt;0,$A973&lt;AD$6),AND(AD$7&gt;0,$A973&gt;AD$7)),0,MAX(0,ROUND((INDEX($E973:$G973,AD$5)-SUMIFS(TF_Timer,TF_Tekniker,AD$4,TF_Dato,$A973))*2,0)/2)))</f>
        <v/>
      </c>
      <c r="AE973">
        <f>IF(OR(AE$4="",$A973&gt;TODAY()),0,IF(OR(INDEX($B973:$D973,AE$5)="F",AND(AE$6&gt;0,$A973&lt;AE$6),AND(AE$7&gt;0,$A973&gt;AE$7)),0,MAX(0,ROUND((INDEX($E973:$G973,AE$5)-SUMIFS(TF_Timer,TF_Tekniker,AE$4,TF_Dato,$A973))*2,0)/2)))</f>
        <v/>
      </c>
      <c r="AF973">
        <f>IF(OR(AF$4="",$A973&gt;TODAY()),0,IF(OR(INDEX($B973:$D973,AF$5)="F",AND(AF$6&gt;0,$A973&lt;AF$6),AND(AF$7&gt;0,$A973&gt;AF$7)),0,MAX(0,ROUND((INDEX($E973:$G973,AF$5)-SUMIFS(TF_Timer,TF_Tekniker,AF$4,TF_Dato,$A973))*2,0)/2)))</f>
        <v/>
      </c>
      <c r="AG973">
        <f>IF(OR(AG$4="",$A973&gt;TODAY()),0,IF(OR(INDEX($B973:$D973,AG$5)="F",AND(AG$6&gt;0,$A973&lt;AG$6),AND(AG$7&gt;0,$A973&gt;AG$7)),0,MAX(0,ROUND((INDEX($E973:$G973,AG$5)-SUMIFS(TF_Timer,TF_Tekniker,AG$4,TF_Dato,$A973))*2,0)/2)))</f>
        <v/>
      </c>
      <c r="AH973">
        <f>IF(OR(AH$4="",$A973&gt;TODAY()),0,IF(OR(INDEX($B973:$D973,AH$5)="F",AND(AH$6&gt;0,$A973&lt;AH$6),AND(AH$7&gt;0,$A973&gt;AH$7)),0,MAX(0,ROUND((INDEX($E973:$G973,AH$5)-SUMIFS(TF_Timer,TF_Tekniker,AH$4,TF_Dato,$A973))*2,0)/2)))</f>
        <v/>
      </c>
      <c r="AI973">
        <f>IF(OR(AI$4="",$A973&gt;TODAY()),0,IF(OR(INDEX($B973:$D973,AI$5)="F",AND(AI$6&gt;0,$A973&lt;AI$6),AND(AI$7&gt;0,$A973&gt;AI$7)),0,MAX(0,ROUND((INDEX($E973:$G973,AI$5)-SUMIFS(TF_Timer,TF_Tekniker,AI$4,TF_Dato,$A973))*2,0)/2)))</f>
        <v/>
      </c>
      <c r="AJ973">
        <f>IF(OR(AJ$4="",$A973&gt;TODAY()),0,IF(OR(INDEX($B973:$D973,AJ$5)="F",AND(AJ$6&gt;0,$A973&lt;AJ$6),AND(AJ$7&gt;0,$A973&gt;AJ$7)),0,MAX(0,ROUND((INDEX($E973:$G973,AJ$5)-SUMIFS(TF_Timer,TF_Tekniker,AJ$4,TF_Dato,$A973))*2,0)/2)))</f>
        <v/>
      </c>
      <c r="AK973">
        <f>IF(OR(AK$4="",$A973&gt;TODAY()),0,IF(OR(INDEX($B973:$D973,AK$5)="F",AND(AK$6&gt;0,$A973&lt;AK$6),AND(AK$7&gt;0,$A973&gt;AK$7)),0,MAX(0,ROUND((INDEX($E973:$G973,AK$5)-SUMIFS(TF_Timer,TF_Tekniker,AK$4,TF_Dato,$A973))*2,0)/2)))</f>
        <v/>
      </c>
      <c r="AL973">
        <f>IF(OR(AL$4="",$A973&gt;TODAY()),0,IF(OR(INDEX($B973:$D973,AL$5)="F",AND(AL$6&gt;0,$A973&lt;AL$6),AND(AL$7&gt;0,$A973&gt;AL$7)),0,MAX(0,ROUND((INDEX($E973:$G973,AL$5)-SUMIFS(TF_Timer,TF_Tekniker,AL$4,TF_Dato,$A973))*2,0)/2)))</f>
        <v/>
      </c>
      <c r="AM973">
        <f>IF(OR(AM$4="",$A973&gt;TODAY()),0,IF(OR(INDEX($B973:$D973,AM$5)="F",AND(AM$6&gt;0,$A973&lt;AM$6),AND(AM$7&gt;0,$A973&gt;AM$7)),0,MAX(0,ROUND((INDEX($E973:$G973,AM$5)-SUMIFS(TF_Timer,TF_Tekniker,AM$4,TF_Dato,$A973))*2,0)/2)))</f>
        <v/>
      </c>
      <c r="AN973">
        <f>IF(OR(AN$4="",$A973&gt;TODAY()),0,IF(OR(INDEX($B973:$D973,AN$5)="F",AND(AN$6&gt;0,$A973&lt;AN$6),AND(AN$7&gt;0,$A973&gt;AN$7)),0,MAX(0,ROUND((INDEX($E973:$G973,AN$5)-SUMIFS(TF_Timer,TF_Tekniker,AN$4,TF_Dato,$A973))*2,0)/2)))</f>
        <v/>
      </c>
      <c r="AO973">
        <f>IF(OR(AO$4="",$A973&gt;TODAY()),0,IF(OR(INDEX($B973:$D973,AO$5)="F",AND(AO$6&gt;0,$A973&lt;AO$6),AND(AO$7&gt;0,$A973&gt;AO$7)),0,MAX(0,ROUND((INDEX($E973:$G973,AO$5)-SUMIFS(TF_Timer,TF_Tekniker,AO$4,TF_Dato,$A973))*2,0)/2)))</f>
        <v/>
      </c>
      <c r="AP973">
        <f>IF(OR(AP$4="",$A973&gt;TODAY()),0,IF(OR(INDEX($B973:$D973,AP$5)="F",AND(AP$6&gt;0,$A973&lt;AP$6),AND(AP$7&gt;0,$A973&gt;AP$7)),0,MAX(0,ROUND((INDEX($E973:$G973,AP$5)-SUMIFS(TF_Timer,TF_Tekniker,AP$4,TF_Dato,$A973))*2,0)/2)))</f>
        <v/>
      </c>
      <c r="AQ973">
        <f>IF(OR(AQ$4="",$A973&gt;TODAY()),0,IF(OR(INDEX($B973:$D973,AQ$5)="F",AND(AQ$6&gt;0,$A973&lt;AQ$6),AND(AQ$7&gt;0,$A973&gt;AQ$7)),0,MAX(0,ROUND((INDEX($E973:$G973,AQ$5)-SUMIFS(TF_Timer,TF_Tekniker,AQ$4,TF_Dato,$A973))*2,0)/2)))</f>
        <v/>
      </c>
      <c r="AR973">
        <f>IF(OR(AR$4="",$A973&gt;TODAY()),0,IF(OR(INDEX($B973:$D973,AR$5)="F",AND(AR$6&gt;0,$A973&lt;AR$6),AND(AR$7&gt;0,$A973&gt;AR$7)),0,MAX(0,ROUND((INDEX($E973:$G973,AR$5)-SUMIFS(TF_Timer,TF_Tekniker,AR$4,TF_Dato,$A973))*2,0)/2)))</f>
        <v/>
      </c>
      <c r="AS973">
        <f>IF(OR(AS$4="",$A973&gt;TODAY()),0,IF(OR(INDEX($B973:$D973,AS$5)="F",AND(AS$6&gt;0,$A973&lt;AS$6),AND(AS$7&gt;0,$A973&gt;AS$7)),0,MAX(0,ROUND((INDEX($E973:$G973,AS$5)-SUMIFS(TF_Timer,TF_Tekniker,AS$4,TF_Dato,$A973))*2,0)/2)))</f>
        <v/>
      </c>
      <c r="AT973">
        <f>IF(OR(AT$4="",$A973&gt;TODAY()),0,IF(OR(INDEX($B973:$D973,AT$5)="F",AND(AT$6&gt;0,$A973&lt;AT$6),AND(AT$7&gt;0,$A973&gt;AT$7)),0,MAX(0,ROUND((INDEX($E973:$G973,AT$5)-SUMIFS(TF_Timer,TF_Tekniker,AT$4,TF_Dato,$A973))*2,0)/2)))</f>
        <v/>
      </c>
      <c r="AU973">
        <f>IF(OR(AU$4="",$A973&gt;TODAY()),0,IF(OR(INDEX($B973:$D973,AU$5)="F",AND(AU$6&gt;0,$A973&lt;AU$6),AND(AU$7&gt;0,$A973&gt;AU$7)),0,MAX(0,ROUND((INDEX($E973:$G973,AU$5)-SUMIFS(TF_Timer,TF_Tekniker,AU$4,TF_Dato,$A973))*2,0)/2)))</f>
        <v/>
      </c>
      <c r="AV973">
        <f>IF(OR(AV$4="",$A973&gt;TODAY()),0,IF(OR(INDEX($B973:$D973,AV$5)="F",AND(AV$6&gt;0,$A973&lt;AV$6),AND(AV$7&gt;0,$A973&gt;AV$7)),0,MAX(0,ROUND((INDEX($E973:$G973,AV$5)-SUMIFS(TF_Timer,TF_Tekniker,AV$4,TF_Dato,$A973))*2,0)/2)))</f>
        <v/>
      </c>
      <c r="AW973">
        <f>IF(OR(AW$4="",$A973&gt;TODAY()),0,IF(OR(INDEX($B973:$D973,AW$5)="F",AND(AW$6&gt;0,$A973&lt;AW$6),AND(AW$7&gt;0,$A973&gt;AW$7)),0,MAX(0,ROUND((INDEX($E973:$G973,AW$5)-SUMIFS(TF_Timer,TF_Tekniker,AW$4,TF_Dato,$A973))*2,0)/2)))</f>
        <v/>
      </c>
      <c r="AX973">
        <f>IF(OR(AX$4="",$A973&gt;TODAY()),0,IF(OR(INDEX($B973:$D973,AX$5)="F",AND(AX$6&gt;0,$A973&lt;AX$6),AND(AX$7&gt;0,$A973&gt;AX$7)),0,MAX(0,ROUND((INDEX($E973:$G973,AX$5)-SUMIFS(TF_Timer,TF_Tekniker,AX$4,TF_Dato,$A973))*2,0)/2)))</f>
        <v/>
      </c>
      <c r="AY973">
        <f>IF(OR(AY$4="",$A973&gt;TODAY()),0,IF(OR(INDEX($B973:$D973,AY$5)="F",AND(AY$6&gt;0,$A973&lt;AY$6),AND(AY$7&gt;0,$A973&gt;AY$7)),0,MAX(0,ROUND((INDEX($E973:$G973,AY$5)-SUMIFS(TF_Timer,TF_Tekniker,AY$4,TF_Dato,$A973))*2,0)/2)))</f>
        <v/>
      </c>
      <c r="AZ973">
        <f>IF(OR(AZ$4="",$A973&gt;TODAY()),0,IF(OR(INDEX($B973:$D973,AZ$5)="F",AND(AZ$6&gt;0,$A973&lt;AZ$6),AND(AZ$7&gt;0,$A973&gt;AZ$7)),0,MAX(0,ROUND((INDEX($E973:$G973,AZ$5)-SUMIFS(TF_Timer,TF_Tekniker,AZ$4,TF_Dato,$A973))*2,0)/2)))</f>
        <v/>
      </c>
      <c r="BA973">
        <f>IF(OR(BA$4="",$A973&gt;TODAY()),0,IF(OR(INDEX($B973:$D973,BA$5)="F",AND(BA$6&gt;0,$A973&lt;BA$6),AND(BA$7&gt;0,$A973&gt;BA$7)),0,MAX(0,ROUND((INDEX($E973:$G973,BA$5)-SUMIFS(TF_Timer,TF_Tekniker,BA$4,TF_Dato,$A973))*2,0)/2)))</f>
        <v/>
      </c>
      <c r="BB973">
        <f>IF(OR(BB$4="",$A973&gt;TODAY()),0,IF(OR(INDEX($B973:$D973,BB$5)="F",AND(BB$6&gt;0,$A973&lt;BB$6),AND(BB$7&gt;0,$A973&gt;BB$7)),0,MAX(0,ROUND((INDEX($E973:$G973,BB$5)-SUMIFS(TF_Timer,TF_Tekniker,BB$4,TF_Dato,$A973))*2,0)/2)))</f>
        <v/>
      </c>
      <c r="BC973">
        <f>IF(OR(BC$4="",$A973&gt;TODAY()),0,IF(OR(INDEX($B973:$D973,BC$5)="F",AND(BC$6&gt;0,$A973&lt;BC$6),AND(BC$7&gt;0,$A973&gt;BC$7)),0,MAX(0,ROUND((INDEX($E973:$G973,BC$5)-SUMIFS(TF_Timer,TF_Tekniker,BC$4,TF_Dato,$A973))*2,0)/2)))</f>
        <v/>
      </c>
      <c r="BD973">
        <f>IF(OR(BD$4="",$A973&gt;TODAY()),0,IF(OR(INDEX($B973:$D973,BD$5)="F",AND(BD$6&gt;0,$A973&lt;BD$6),AND(BD$7&gt;0,$A973&gt;BD$7)),0,MAX(0,ROUND((INDEX($E973:$G973,BD$5)-SUMIFS(TF_Timer,TF_Tekniker,BD$4,TF_Dato,$A973))*2,0)/2)))</f>
        <v/>
      </c>
      <c r="BE973">
        <f>IF(OR(BE$4="",$A973&gt;TODAY()),0,IF(OR(INDEX($B973:$D973,BE$5)="F",AND(BE$6&gt;0,$A973&lt;BE$6),AND(BE$7&gt;0,$A973&gt;BE$7)),0,MAX(0,ROUND((INDEX($E973:$G973,BE$5)-SUMIFS(TF_Timer,TF_Tekniker,BE$4,TF_Dato,$A973))*2,0)/2)))</f>
        <v/>
      </c>
      <c r="BF973">
        <f>IF(OR(BF$4="",$A973&gt;TODAY()),0,IF(OR(INDEX($B973:$D973,BF$5)="F",AND(BF$6&gt;0,$A973&lt;BF$6),AND(BF$7&gt;0,$A973&gt;BF$7)),0,MAX(0,ROUND((INDEX($E973:$G973,BF$5)-SUMIFS(TF_Timer,TF_Tekniker,BF$4,TF_Dato,$A973))*2,0)/2)))</f>
        <v/>
      </c>
      <c r="BG973">
        <f>IF(OR(BG$4="",$A973&gt;TODAY()),0,IF(OR(INDEX($B973:$D973,BG$5)="F",AND(BG$6&gt;0,$A973&lt;BG$6),AND(BG$7&gt;0,$A973&gt;BG$7)),0,MAX(0,ROUND((INDEX($E973:$G973,BG$5)-SUMIFS(TF_Timer,TF_Tekniker,BG$4,TF_Dato,$A973))*2,0)/2)))</f>
        <v/>
      </c>
      <c r="BH973">
        <f>IF(OR(BH$4="",$A973&gt;TODAY()),0,IF(OR(INDEX($B973:$D973,BH$5)="F",AND(BH$6&gt;0,$A973&lt;BH$6),AND(BH$7&gt;0,$A973&gt;BH$7)),0,MAX(0,ROUND((INDEX($E973:$G973,BH$5)-SUMIFS(TF_Timer,TF_Tekniker,BH$4,TF_Dato,$A973))*2,0)/2)))</f>
        <v/>
      </c>
      <c r="BI973">
        <f>IF(OR(BI$4="",$A973&gt;TODAY()),0,IF(OR(INDEX($B973:$D973,BI$5)="F",AND(BI$6&gt;0,$A973&lt;BI$6),AND(BI$7&gt;0,$A973&gt;BI$7)),0,MAX(0,ROUND((INDEX($E973:$G973,BI$5)-SUMIFS(TF_Timer,TF_Tekniker,BI$4,TF_Dato,$A973))*2,0)/2)))</f>
        <v/>
      </c>
    </row>
    <row r="974">
      <c r="A974" s="64">
        <f>A973+1</f>
        <v/>
      </c>
      <c r="B974">
        <f>IF(MOD($A974-INDEX(SkiftStart,1),Syklus)&lt;DagK,"K",IF(MOD($A974-INDEX(SkiftStart,1),Syklus)&lt;DagK+DagH,"H",IF(MOD($A974-INDEX(SkiftStart,1),Syklus)&lt;DagK+DagH+DagD,"D","F")))</f>
        <v/>
      </c>
      <c r="C974">
        <f>IF(MOD($A974-INDEX(SkiftStart,2),Syklus)&lt;DagK,"K",IF(MOD($A974-INDEX(SkiftStart,2),Syklus)&lt;DagK+DagH,"H",IF(MOD($A974-INDEX(SkiftStart,2),Syklus)&lt;DagK+DagH+DagD,"D","F")))</f>
        <v/>
      </c>
      <c r="D974">
        <f>IF(MOD($A974-INDEX(SkiftStart,3),Syklus)&lt;DagK,"K",IF(MOD($A974-INDEX(SkiftStart,3),Syklus)&lt;DagK+DagH,"H",IF(MOD($A974-INDEX(SkiftStart,3),Syklus)&lt;DagK+DagH+DagD,"D","F")))</f>
        <v/>
      </c>
      <c r="E974">
        <f>IF(B974="F",0,IF(WEEKDAY($A974,2)=5,INDEX(TimerFr,MATCH(B974,FaseKode,0)),INDEX(TimerMT,MATCH(B974,FaseKode,0))))</f>
        <v/>
      </c>
      <c r="F974">
        <f>IF(C974="F",0,IF(WEEKDAY($A974,2)=5,INDEX(TimerFr,MATCH(C974,FaseKode,0)),INDEX(TimerMT,MATCH(C974,FaseKode,0))))</f>
        <v/>
      </c>
      <c r="G974">
        <f>IF(D974="F",0,IF(WEEKDAY($A974,2)=5,INDEX(TimerFr,MATCH(D974,FaseKode,0)),INDEX(TimerMT,MATCH(D974,FaseKode,0))))</f>
        <v/>
      </c>
      <c r="H974">
        <f>IF(OR(H$4="",$A974&gt;TODAY()),0,IF(OR(INDEX($B974:$D974,H$5)="F",AND(H$6&gt;0,$A974&lt;H$6),AND(H$7&gt;0,$A974&gt;H$7)),0,MAX(0,ROUND((INDEX($E974:$G974,H$5)-SUMIFS(TF_Timer,TF_Tekniker,H$4,TF_Dato,$A974))*2,0)/2)))</f>
        <v/>
      </c>
      <c r="I974">
        <f>IF(OR(I$4="",$A974&gt;TODAY()),0,IF(OR(INDEX($B974:$D974,I$5)="F",AND(I$6&gt;0,$A974&lt;I$6),AND(I$7&gt;0,$A974&gt;I$7)),0,MAX(0,ROUND((INDEX($E974:$G974,I$5)-SUMIFS(TF_Timer,TF_Tekniker,I$4,TF_Dato,$A974))*2,0)/2)))</f>
        <v/>
      </c>
      <c r="J974">
        <f>IF(OR(J$4="",$A974&gt;TODAY()),0,IF(OR(INDEX($B974:$D974,J$5)="F",AND(J$6&gt;0,$A974&lt;J$6),AND(J$7&gt;0,$A974&gt;J$7)),0,MAX(0,ROUND((INDEX($E974:$G974,J$5)-SUMIFS(TF_Timer,TF_Tekniker,J$4,TF_Dato,$A974))*2,0)/2)))</f>
        <v/>
      </c>
      <c r="K974">
        <f>IF(OR(K$4="",$A974&gt;TODAY()),0,IF(OR(INDEX($B974:$D974,K$5)="F",AND(K$6&gt;0,$A974&lt;K$6),AND(K$7&gt;0,$A974&gt;K$7)),0,MAX(0,ROUND((INDEX($E974:$G974,K$5)-SUMIFS(TF_Timer,TF_Tekniker,K$4,TF_Dato,$A974))*2,0)/2)))</f>
        <v/>
      </c>
      <c r="L974">
        <f>IF(OR(L$4="",$A974&gt;TODAY()),0,IF(OR(INDEX($B974:$D974,L$5)="F",AND(L$6&gt;0,$A974&lt;L$6),AND(L$7&gt;0,$A974&gt;L$7)),0,MAX(0,ROUND((INDEX($E974:$G974,L$5)-SUMIFS(TF_Timer,TF_Tekniker,L$4,TF_Dato,$A974))*2,0)/2)))</f>
        <v/>
      </c>
      <c r="M974">
        <f>IF(OR(M$4="",$A974&gt;TODAY()),0,IF(OR(INDEX($B974:$D974,M$5)="F",AND(M$6&gt;0,$A974&lt;M$6),AND(M$7&gt;0,$A974&gt;M$7)),0,MAX(0,ROUND((INDEX($E974:$G974,M$5)-SUMIFS(TF_Timer,TF_Tekniker,M$4,TF_Dato,$A974))*2,0)/2)))</f>
        <v/>
      </c>
      <c r="N974">
        <f>IF(OR(N$4="",$A974&gt;TODAY()),0,IF(OR(INDEX($B974:$D974,N$5)="F",AND(N$6&gt;0,$A974&lt;N$6),AND(N$7&gt;0,$A974&gt;N$7)),0,MAX(0,ROUND((INDEX($E974:$G974,N$5)-SUMIFS(TF_Timer,TF_Tekniker,N$4,TF_Dato,$A974))*2,0)/2)))</f>
        <v/>
      </c>
      <c r="O974">
        <f>IF(OR(O$4="",$A974&gt;TODAY()),0,IF(OR(INDEX($B974:$D974,O$5)="F",AND(O$6&gt;0,$A974&lt;O$6),AND(O$7&gt;0,$A974&gt;O$7)),0,MAX(0,ROUND((INDEX($E974:$G974,O$5)-SUMIFS(TF_Timer,TF_Tekniker,O$4,TF_Dato,$A974))*2,0)/2)))</f>
        <v/>
      </c>
      <c r="P974">
        <f>IF(OR(P$4="",$A974&gt;TODAY()),0,IF(OR(INDEX($B974:$D974,P$5)="F",AND(P$6&gt;0,$A974&lt;P$6),AND(P$7&gt;0,$A974&gt;P$7)),0,MAX(0,ROUND((INDEX($E974:$G974,P$5)-SUMIFS(TF_Timer,TF_Tekniker,P$4,TF_Dato,$A974))*2,0)/2)))</f>
        <v/>
      </c>
      <c r="Q974">
        <f>IF(OR(Q$4="",$A974&gt;TODAY()),0,IF(OR(INDEX($B974:$D974,Q$5)="F",AND(Q$6&gt;0,$A974&lt;Q$6),AND(Q$7&gt;0,$A974&gt;Q$7)),0,MAX(0,ROUND((INDEX($E974:$G974,Q$5)-SUMIFS(TF_Timer,TF_Tekniker,Q$4,TF_Dato,$A974))*2,0)/2)))</f>
        <v/>
      </c>
      <c r="R974">
        <f>IF(OR(R$4="",$A974&gt;TODAY()),0,IF(OR(INDEX($B974:$D974,R$5)="F",AND(R$6&gt;0,$A974&lt;R$6),AND(R$7&gt;0,$A974&gt;R$7)),0,MAX(0,ROUND((INDEX($E974:$G974,R$5)-SUMIFS(TF_Timer,TF_Tekniker,R$4,TF_Dato,$A974))*2,0)/2)))</f>
        <v/>
      </c>
      <c r="S974">
        <f>IF(OR(S$4="",$A974&gt;TODAY()),0,IF(OR(INDEX($B974:$D974,S$5)="F",AND(S$6&gt;0,$A974&lt;S$6),AND(S$7&gt;0,$A974&gt;S$7)),0,MAX(0,ROUND((INDEX($E974:$G974,S$5)-SUMIFS(TF_Timer,TF_Tekniker,S$4,TF_Dato,$A974))*2,0)/2)))</f>
        <v/>
      </c>
      <c r="T974">
        <f>IF(OR(T$4="",$A974&gt;TODAY()),0,IF(OR(INDEX($B974:$D974,T$5)="F",AND(T$6&gt;0,$A974&lt;T$6),AND(T$7&gt;0,$A974&gt;T$7)),0,MAX(0,ROUND((INDEX($E974:$G974,T$5)-SUMIFS(TF_Timer,TF_Tekniker,T$4,TF_Dato,$A974))*2,0)/2)))</f>
        <v/>
      </c>
      <c r="U974">
        <f>IF(OR(U$4="",$A974&gt;TODAY()),0,IF(OR(INDEX($B974:$D974,U$5)="F",AND(U$6&gt;0,$A974&lt;U$6),AND(U$7&gt;0,$A974&gt;U$7)),0,MAX(0,ROUND((INDEX($E974:$G974,U$5)-SUMIFS(TF_Timer,TF_Tekniker,U$4,TF_Dato,$A974))*2,0)/2)))</f>
        <v/>
      </c>
      <c r="V974">
        <f>IF(OR(V$4="",$A974&gt;TODAY()),0,IF(OR(INDEX($B974:$D974,V$5)="F",AND(V$6&gt;0,$A974&lt;V$6),AND(V$7&gt;0,$A974&gt;V$7)),0,MAX(0,ROUND((INDEX($E974:$G974,V$5)-SUMIFS(TF_Timer,TF_Tekniker,V$4,TF_Dato,$A974))*2,0)/2)))</f>
        <v/>
      </c>
      <c r="W974">
        <f>IF(OR(W$4="",$A974&gt;TODAY()),0,IF(OR(INDEX($B974:$D974,W$5)="F",AND(W$6&gt;0,$A974&lt;W$6),AND(W$7&gt;0,$A974&gt;W$7)),0,MAX(0,ROUND((INDEX($E974:$G974,W$5)-SUMIFS(TF_Timer,TF_Tekniker,W$4,TF_Dato,$A974))*2,0)/2)))</f>
        <v/>
      </c>
      <c r="X974">
        <f>IF(OR(X$4="",$A974&gt;TODAY()),0,IF(OR(INDEX($B974:$D974,X$5)="F",AND(X$6&gt;0,$A974&lt;X$6),AND(X$7&gt;0,$A974&gt;X$7)),0,MAX(0,ROUND((INDEX($E974:$G974,X$5)-SUMIFS(TF_Timer,TF_Tekniker,X$4,TF_Dato,$A974))*2,0)/2)))</f>
        <v/>
      </c>
      <c r="Y974">
        <f>IF(OR(Y$4="",$A974&gt;TODAY()),0,IF(OR(INDEX($B974:$D974,Y$5)="F",AND(Y$6&gt;0,$A974&lt;Y$6),AND(Y$7&gt;0,$A974&gt;Y$7)),0,MAX(0,ROUND((INDEX($E974:$G974,Y$5)-SUMIFS(TF_Timer,TF_Tekniker,Y$4,TF_Dato,$A974))*2,0)/2)))</f>
        <v/>
      </c>
      <c r="Z974">
        <f>IF(OR(Z$4="",$A974&gt;TODAY()),0,IF(OR(INDEX($B974:$D974,Z$5)="F",AND(Z$6&gt;0,$A974&lt;Z$6),AND(Z$7&gt;0,$A974&gt;Z$7)),0,MAX(0,ROUND((INDEX($E974:$G974,Z$5)-SUMIFS(TF_Timer,TF_Tekniker,Z$4,TF_Dato,$A974))*2,0)/2)))</f>
        <v/>
      </c>
      <c r="AA974">
        <f>IF(OR(AA$4="",$A974&gt;TODAY()),0,IF(OR(INDEX($B974:$D974,AA$5)="F",AND(AA$6&gt;0,$A974&lt;AA$6),AND(AA$7&gt;0,$A974&gt;AA$7)),0,MAX(0,ROUND((INDEX($E974:$G974,AA$5)-SUMIFS(TF_Timer,TF_Tekniker,AA$4,TF_Dato,$A974))*2,0)/2)))</f>
        <v/>
      </c>
      <c r="AB974">
        <f>IF(OR(AB$4="",$A974&gt;TODAY()),0,IF(OR(INDEX($B974:$D974,AB$5)="F",AND(AB$6&gt;0,$A974&lt;AB$6),AND(AB$7&gt;0,$A974&gt;AB$7)),0,MAX(0,ROUND((INDEX($E974:$G974,AB$5)-SUMIFS(TF_Timer,TF_Tekniker,AB$4,TF_Dato,$A974))*2,0)/2)))</f>
        <v/>
      </c>
      <c r="AC974">
        <f>IF(OR(AC$4="",$A974&gt;TODAY()),0,IF(OR(INDEX($B974:$D974,AC$5)="F",AND(AC$6&gt;0,$A974&lt;AC$6),AND(AC$7&gt;0,$A974&gt;AC$7)),0,MAX(0,ROUND((INDEX($E974:$G974,AC$5)-SUMIFS(TF_Timer,TF_Tekniker,AC$4,TF_Dato,$A974))*2,0)/2)))</f>
        <v/>
      </c>
      <c r="AD974">
        <f>IF(OR(AD$4="",$A974&gt;TODAY()),0,IF(OR(INDEX($B974:$D974,AD$5)="F",AND(AD$6&gt;0,$A974&lt;AD$6),AND(AD$7&gt;0,$A974&gt;AD$7)),0,MAX(0,ROUND((INDEX($E974:$G974,AD$5)-SUMIFS(TF_Timer,TF_Tekniker,AD$4,TF_Dato,$A974))*2,0)/2)))</f>
        <v/>
      </c>
      <c r="AE974">
        <f>IF(OR(AE$4="",$A974&gt;TODAY()),0,IF(OR(INDEX($B974:$D974,AE$5)="F",AND(AE$6&gt;0,$A974&lt;AE$6),AND(AE$7&gt;0,$A974&gt;AE$7)),0,MAX(0,ROUND((INDEX($E974:$G974,AE$5)-SUMIFS(TF_Timer,TF_Tekniker,AE$4,TF_Dato,$A974))*2,0)/2)))</f>
        <v/>
      </c>
      <c r="AF974">
        <f>IF(OR(AF$4="",$A974&gt;TODAY()),0,IF(OR(INDEX($B974:$D974,AF$5)="F",AND(AF$6&gt;0,$A974&lt;AF$6),AND(AF$7&gt;0,$A974&gt;AF$7)),0,MAX(0,ROUND((INDEX($E974:$G974,AF$5)-SUMIFS(TF_Timer,TF_Tekniker,AF$4,TF_Dato,$A974))*2,0)/2)))</f>
        <v/>
      </c>
      <c r="AG974">
        <f>IF(OR(AG$4="",$A974&gt;TODAY()),0,IF(OR(INDEX($B974:$D974,AG$5)="F",AND(AG$6&gt;0,$A974&lt;AG$6),AND(AG$7&gt;0,$A974&gt;AG$7)),0,MAX(0,ROUND((INDEX($E974:$G974,AG$5)-SUMIFS(TF_Timer,TF_Tekniker,AG$4,TF_Dato,$A974))*2,0)/2)))</f>
        <v/>
      </c>
      <c r="AH974">
        <f>IF(OR(AH$4="",$A974&gt;TODAY()),0,IF(OR(INDEX($B974:$D974,AH$5)="F",AND(AH$6&gt;0,$A974&lt;AH$6),AND(AH$7&gt;0,$A974&gt;AH$7)),0,MAX(0,ROUND((INDEX($E974:$G974,AH$5)-SUMIFS(TF_Timer,TF_Tekniker,AH$4,TF_Dato,$A974))*2,0)/2)))</f>
        <v/>
      </c>
      <c r="AI974">
        <f>IF(OR(AI$4="",$A974&gt;TODAY()),0,IF(OR(INDEX($B974:$D974,AI$5)="F",AND(AI$6&gt;0,$A974&lt;AI$6),AND(AI$7&gt;0,$A974&gt;AI$7)),0,MAX(0,ROUND((INDEX($E974:$G974,AI$5)-SUMIFS(TF_Timer,TF_Tekniker,AI$4,TF_Dato,$A974))*2,0)/2)))</f>
        <v/>
      </c>
      <c r="AJ974">
        <f>IF(OR(AJ$4="",$A974&gt;TODAY()),0,IF(OR(INDEX($B974:$D974,AJ$5)="F",AND(AJ$6&gt;0,$A974&lt;AJ$6),AND(AJ$7&gt;0,$A974&gt;AJ$7)),0,MAX(0,ROUND((INDEX($E974:$G974,AJ$5)-SUMIFS(TF_Timer,TF_Tekniker,AJ$4,TF_Dato,$A974))*2,0)/2)))</f>
        <v/>
      </c>
      <c r="AK974">
        <f>IF(OR(AK$4="",$A974&gt;TODAY()),0,IF(OR(INDEX($B974:$D974,AK$5)="F",AND(AK$6&gt;0,$A974&lt;AK$6),AND(AK$7&gt;0,$A974&gt;AK$7)),0,MAX(0,ROUND((INDEX($E974:$G974,AK$5)-SUMIFS(TF_Timer,TF_Tekniker,AK$4,TF_Dato,$A974))*2,0)/2)))</f>
        <v/>
      </c>
      <c r="AL974">
        <f>IF(OR(AL$4="",$A974&gt;TODAY()),0,IF(OR(INDEX($B974:$D974,AL$5)="F",AND(AL$6&gt;0,$A974&lt;AL$6),AND(AL$7&gt;0,$A974&gt;AL$7)),0,MAX(0,ROUND((INDEX($E974:$G974,AL$5)-SUMIFS(TF_Timer,TF_Tekniker,AL$4,TF_Dato,$A974))*2,0)/2)))</f>
        <v/>
      </c>
      <c r="AM974">
        <f>IF(OR(AM$4="",$A974&gt;TODAY()),0,IF(OR(INDEX($B974:$D974,AM$5)="F",AND(AM$6&gt;0,$A974&lt;AM$6),AND(AM$7&gt;0,$A974&gt;AM$7)),0,MAX(0,ROUND((INDEX($E974:$G974,AM$5)-SUMIFS(TF_Timer,TF_Tekniker,AM$4,TF_Dato,$A974))*2,0)/2)))</f>
        <v/>
      </c>
      <c r="AN974">
        <f>IF(OR(AN$4="",$A974&gt;TODAY()),0,IF(OR(INDEX($B974:$D974,AN$5)="F",AND(AN$6&gt;0,$A974&lt;AN$6),AND(AN$7&gt;0,$A974&gt;AN$7)),0,MAX(0,ROUND((INDEX($E974:$G974,AN$5)-SUMIFS(TF_Timer,TF_Tekniker,AN$4,TF_Dato,$A974))*2,0)/2)))</f>
        <v/>
      </c>
      <c r="AO974">
        <f>IF(OR(AO$4="",$A974&gt;TODAY()),0,IF(OR(INDEX($B974:$D974,AO$5)="F",AND(AO$6&gt;0,$A974&lt;AO$6),AND(AO$7&gt;0,$A974&gt;AO$7)),0,MAX(0,ROUND((INDEX($E974:$G974,AO$5)-SUMIFS(TF_Timer,TF_Tekniker,AO$4,TF_Dato,$A974))*2,0)/2)))</f>
        <v/>
      </c>
      <c r="AP974">
        <f>IF(OR(AP$4="",$A974&gt;TODAY()),0,IF(OR(INDEX($B974:$D974,AP$5)="F",AND(AP$6&gt;0,$A974&lt;AP$6),AND(AP$7&gt;0,$A974&gt;AP$7)),0,MAX(0,ROUND((INDEX($E974:$G974,AP$5)-SUMIFS(TF_Timer,TF_Tekniker,AP$4,TF_Dato,$A974))*2,0)/2)))</f>
        <v/>
      </c>
      <c r="AQ974">
        <f>IF(OR(AQ$4="",$A974&gt;TODAY()),0,IF(OR(INDEX($B974:$D974,AQ$5)="F",AND(AQ$6&gt;0,$A974&lt;AQ$6),AND(AQ$7&gt;0,$A974&gt;AQ$7)),0,MAX(0,ROUND((INDEX($E974:$G974,AQ$5)-SUMIFS(TF_Timer,TF_Tekniker,AQ$4,TF_Dato,$A974))*2,0)/2)))</f>
        <v/>
      </c>
      <c r="AR974">
        <f>IF(OR(AR$4="",$A974&gt;TODAY()),0,IF(OR(INDEX($B974:$D974,AR$5)="F",AND(AR$6&gt;0,$A974&lt;AR$6),AND(AR$7&gt;0,$A974&gt;AR$7)),0,MAX(0,ROUND((INDEX($E974:$G974,AR$5)-SUMIFS(TF_Timer,TF_Tekniker,AR$4,TF_Dato,$A974))*2,0)/2)))</f>
        <v/>
      </c>
      <c r="AS974">
        <f>IF(OR(AS$4="",$A974&gt;TODAY()),0,IF(OR(INDEX($B974:$D974,AS$5)="F",AND(AS$6&gt;0,$A974&lt;AS$6),AND(AS$7&gt;0,$A974&gt;AS$7)),0,MAX(0,ROUND((INDEX($E974:$G974,AS$5)-SUMIFS(TF_Timer,TF_Tekniker,AS$4,TF_Dato,$A974))*2,0)/2)))</f>
        <v/>
      </c>
      <c r="AT974">
        <f>IF(OR(AT$4="",$A974&gt;TODAY()),0,IF(OR(INDEX($B974:$D974,AT$5)="F",AND(AT$6&gt;0,$A974&lt;AT$6),AND(AT$7&gt;0,$A974&gt;AT$7)),0,MAX(0,ROUND((INDEX($E974:$G974,AT$5)-SUMIFS(TF_Timer,TF_Tekniker,AT$4,TF_Dato,$A974))*2,0)/2)))</f>
        <v/>
      </c>
      <c r="AU974">
        <f>IF(OR(AU$4="",$A974&gt;TODAY()),0,IF(OR(INDEX($B974:$D974,AU$5)="F",AND(AU$6&gt;0,$A974&lt;AU$6),AND(AU$7&gt;0,$A974&gt;AU$7)),0,MAX(0,ROUND((INDEX($E974:$G974,AU$5)-SUMIFS(TF_Timer,TF_Tekniker,AU$4,TF_Dato,$A974))*2,0)/2)))</f>
        <v/>
      </c>
      <c r="AV974">
        <f>IF(OR(AV$4="",$A974&gt;TODAY()),0,IF(OR(INDEX($B974:$D974,AV$5)="F",AND(AV$6&gt;0,$A974&lt;AV$6),AND(AV$7&gt;0,$A974&gt;AV$7)),0,MAX(0,ROUND((INDEX($E974:$G974,AV$5)-SUMIFS(TF_Timer,TF_Tekniker,AV$4,TF_Dato,$A974))*2,0)/2)))</f>
        <v/>
      </c>
      <c r="AW974">
        <f>IF(OR(AW$4="",$A974&gt;TODAY()),0,IF(OR(INDEX($B974:$D974,AW$5)="F",AND(AW$6&gt;0,$A974&lt;AW$6),AND(AW$7&gt;0,$A974&gt;AW$7)),0,MAX(0,ROUND((INDEX($E974:$G974,AW$5)-SUMIFS(TF_Timer,TF_Tekniker,AW$4,TF_Dato,$A974))*2,0)/2)))</f>
        <v/>
      </c>
      <c r="AX974">
        <f>IF(OR(AX$4="",$A974&gt;TODAY()),0,IF(OR(INDEX($B974:$D974,AX$5)="F",AND(AX$6&gt;0,$A974&lt;AX$6),AND(AX$7&gt;0,$A974&gt;AX$7)),0,MAX(0,ROUND((INDEX($E974:$G974,AX$5)-SUMIFS(TF_Timer,TF_Tekniker,AX$4,TF_Dato,$A974))*2,0)/2)))</f>
        <v/>
      </c>
      <c r="AY974">
        <f>IF(OR(AY$4="",$A974&gt;TODAY()),0,IF(OR(INDEX($B974:$D974,AY$5)="F",AND(AY$6&gt;0,$A974&lt;AY$6),AND(AY$7&gt;0,$A974&gt;AY$7)),0,MAX(0,ROUND((INDEX($E974:$G974,AY$5)-SUMIFS(TF_Timer,TF_Tekniker,AY$4,TF_Dato,$A974))*2,0)/2)))</f>
        <v/>
      </c>
      <c r="AZ974">
        <f>IF(OR(AZ$4="",$A974&gt;TODAY()),0,IF(OR(INDEX($B974:$D974,AZ$5)="F",AND(AZ$6&gt;0,$A974&lt;AZ$6),AND(AZ$7&gt;0,$A974&gt;AZ$7)),0,MAX(0,ROUND((INDEX($E974:$G974,AZ$5)-SUMIFS(TF_Timer,TF_Tekniker,AZ$4,TF_Dato,$A974))*2,0)/2)))</f>
        <v/>
      </c>
      <c r="BA974">
        <f>IF(OR(BA$4="",$A974&gt;TODAY()),0,IF(OR(INDEX($B974:$D974,BA$5)="F",AND(BA$6&gt;0,$A974&lt;BA$6),AND(BA$7&gt;0,$A974&gt;BA$7)),0,MAX(0,ROUND((INDEX($E974:$G974,BA$5)-SUMIFS(TF_Timer,TF_Tekniker,BA$4,TF_Dato,$A974))*2,0)/2)))</f>
        <v/>
      </c>
      <c r="BB974">
        <f>IF(OR(BB$4="",$A974&gt;TODAY()),0,IF(OR(INDEX($B974:$D974,BB$5)="F",AND(BB$6&gt;0,$A974&lt;BB$6),AND(BB$7&gt;0,$A974&gt;BB$7)),0,MAX(0,ROUND((INDEX($E974:$G974,BB$5)-SUMIFS(TF_Timer,TF_Tekniker,BB$4,TF_Dato,$A974))*2,0)/2)))</f>
        <v/>
      </c>
      <c r="BC974">
        <f>IF(OR(BC$4="",$A974&gt;TODAY()),0,IF(OR(INDEX($B974:$D974,BC$5)="F",AND(BC$6&gt;0,$A974&lt;BC$6),AND(BC$7&gt;0,$A974&gt;BC$7)),0,MAX(0,ROUND((INDEX($E974:$G974,BC$5)-SUMIFS(TF_Timer,TF_Tekniker,BC$4,TF_Dato,$A974))*2,0)/2)))</f>
        <v/>
      </c>
      <c r="BD974">
        <f>IF(OR(BD$4="",$A974&gt;TODAY()),0,IF(OR(INDEX($B974:$D974,BD$5)="F",AND(BD$6&gt;0,$A974&lt;BD$6),AND(BD$7&gt;0,$A974&gt;BD$7)),0,MAX(0,ROUND((INDEX($E974:$G974,BD$5)-SUMIFS(TF_Timer,TF_Tekniker,BD$4,TF_Dato,$A974))*2,0)/2)))</f>
        <v/>
      </c>
      <c r="BE974">
        <f>IF(OR(BE$4="",$A974&gt;TODAY()),0,IF(OR(INDEX($B974:$D974,BE$5)="F",AND(BE$6&gt;0,$A974&lt;BE$6),AND(BE$7&gt;0,$A974&gt;BE$7)),0,MAX(0,ROUND((INDEX($E974:$G974,BE$5)-SUMIFS(TF_Timer,TF_Tekniker,BE$4,TF_Dato,$A974))*2,0)/2)))</f>
        <v/>
      </c>
      <c r="BF974">
        <f>IF(OR(BF$4="",$A974&gt;TODAY()),0,IF(OR(INDEX($B974:$D974,BF$5)="F",AND(BF$6&gt;0,$A974&lt;BF$6),AND(BF$7&gt;0,$A974&gt;BF$7)),0,MAX(0,ROUND((INDEX($E974:$G974,BF$5)-SUMIFS(TF_Timer,TF_Tekniker,BF$4,TF_Dato,$A974))*2,0)/2)))</f>
        <v/>
      </c>
      <c r="BG974">
        <f>IF(OR(BG$4="",$A974&gt;TODAY()),0,IF(OR(INDEX($B974:$D974,BG$5)="F",AND(BG$6&gt;0,$A974&lt;BG$6),AND(BG$7&gt;0,$A974&gt;BG$7)),0,MAX(0,ROUND((INDEX($E974:$G974,BG$5)-SUMIFS(TF_Timer,TF_Tekniker,BG$4,TF_Dato,$A974))*2,0)/2)))</f>
        <v/>
      </c>
      <c r="BH974">
        <f>IF(OR(BH$4="",$A974&gt;TODAY()),0,IF(OR(INDEX($B974:$D974,BH$5)="F",AND(BH$6&gt;0,$A974&lt;BH$6),AND(BH$7&gt;0,$A974&gt;BH$7)),0,MAX(0,ROUND((INDEX($E974:$G974,BH$5)-SUMIFS(TF_Timer,TF_Tekniker,BH$4,TF_Dato,$A974))*2,0)/2)))</f>
        <v/>
      </c>
      <c r="BI974">
        <f>IF(OR(BI$4="",$A974&gt;TODAY()),0,IF(OR(INDEX($B974:$D974,BI$5)="F",AND(BI$6&gt;0,$A974&lt;BI$6),AND(BI$7&gt;0,$A974&gt;BI$7)),0,MAX(0,ROUND((INDEX($E974:$G974,BI$5)-SUMIFS(TF_Timer,TF_Tekniker,BI$4,TF_Dato,$A974))*2,0)/2)))</f>
        <v/>
      </c>
    </row>
    <row r="975">
      <c r="A975" s="64">
        <f>A974+1</f>
        <v/>
      </c>
      <c r="B975">
        <f>IF(MOD($A975-INDEX(SkiftStart,1),Syklus)&lt;DagK,"K",IF(MOD($A975-INDEX(SkiftStart,1),Syklus)&lt;DagK+DagH,"H",IF(MOD($A975-INDEX(SkiftStart,1),Syklus)&lt;DagK+DagH+DagD,"D","F")))</f>
        <v/>
      </c>
      <c r="C975">
        <f>IF(MOD($A975-INDEX(SkiftStart,2),Syklus)&lt;DagK,"K",IF(MOD($A975-INDEX(SkiftStart,2),Syklus)&lt;DagK+DagH,"H",IF(MOD($A975-INDEX(SkiftStart,2),Syklus)&lt;DagK+DagH+DagD,"D","F")))</f>
        <v/>
      </c>
      <c r="D975">
        <f>IF(MOD($A975-INDEX(SkiftStart,3),Syklus)&lt;DagK,"K",IF(MOD($A975-INDEX(SkiftStart,3),Syklus)&lt;DagK+DagH,"H",IF(MOD($A975-INDEX(SkiftStart,3),Syklus)&lt;DagK+DagH+DagD,"D","F")))</f>
        <v/>
      </c>
      <c r="E975">
        <f>IF(B975="F",0,IF(WEEKDAY($A975,2)=5,INDEX(TimerFr,MATCH(B975,FaseKode,0)),INDEX(TimerMT,MATCH(B975,FaseKode,0))))</f>
        <v/>
      </c>
      <c r="F975">
        <f>IF(C975="F",0,IF(WEEKDAY($A975,2)=5,INDEX(TimerFr,MATCH(C975,FaseKode,0)),INDEX(TimerMT,MATCH(C975,FaseKode,0))))</f>
        <v/>
      </c>
      <c r="G975">
        <f>IF(D975="F",0,IF(WEEKDAY($A975,2)=5,INDEX(TimerFr,MATCH(D975,FaseKode,0)),INDEX(TimerMT,MATCH(D975,FaseKode,0))))</f>
        <v/>
      </c>
      <c r="H975">
        <f>IF(OR(H$4="",$A975&gt;TODAY()),0,IF(OR(INDEX($B975:$D975,H$5)="F",AND(H$6&gt;0,$A975&lt;H$6),AND(H$7&gt;0,$A975&gt;H$7)),0,MAX(0,ROUND((INDEX($E975:$G975,H$5)-SUMIFS(TF_Timer,TF_Tekniker,H$4,TF_Dato,$A975))*2,0)/2)))</f>
        <v/>
      </c>
      <c r="I975">
        <f>IF(OR(I$4="",$A975&gt;TODAY()),0,IF(OR(INDEX($B975:$D975,I$5)="F",AND(I$6&gt;0,$A975&lt;I$6),AND(I$7&gt;0,$A975&gt;I$7)),0,MAX(0,ROUND((INDEX($E975:$G975,I$5)-SUMIFS(TF_Timer,TF_Tekniker,I$4,TF_Dato,$A975))*2,0)/2)))</f>
        <v/>
      </c>
      <c r="J975">
        <f>IF(OR(J$4="",$A975&gt;TODAY()),0,IF(OR(INDEX($B975:$D975,J$5)="F",AND(J$6&gt;0,$A975&lt;J$6),AND(J$7&gt;0,$A975&gt;J$7)),0,MAX(0,ROUND((INDEX($E975:$G975,J$5)-SUMIFS(TF_Timer,TF_Tekniker,J$4,TF_Dato,$A975))*2,0)/2)))</f>
        <v/>
      </c>
      <c r="K975">
        <f>IF(OR(K$4="",$A975&gt;TODAY()),0,IF(OR(INDEX($B975:$D975,K$5)="F",AND(K$6&gt;0,$A975&lt;K$6),AND(K$7&gt;0,$A975&gt;K$7)),0,MAX(0,ROUND((INDEX($E975:$G975,K$5)-SUMIFS(TF_Timer,TF_Tekniker,K$4,TF_Dato,$A975))*2,0)/2)))</f>
        <v/>
      </c>
      <c r="L975">
        <f>IF(OR(L$4="",$A975&gt;TODAY()),0,IF(OR(INDEX($B975:$D975,L$5)="F",AND(L$6&gt;0,$A975&lt;L$6),AND(L$7&gt;0,$A975&gt;L$7)),0,MAX(0,ROUND((INDEX($E975:$G975,L$5)-SUMIFS(TF_Timer,TF_Tekniker,L$4,TF_Dato,$A975))*2,0)/2)))</f>
        <v/>
      </c>
      <c r="M975">
        <f>IF(OR(M$4="",$A975&gt;TODAY()),0,IF(OR(INDEX($B975:$D975,M$5)="F",AND(M$6&gt;0,$A975&lt;M$6),AND(M$7&gt;0,$A975&gt;M$7)),0,MAX(0,ROUND((INDEX($E975:$G975,M$5)-SUMIFS(TF_Timer,TF_Tekniker,M$4,TF_Dato,$A975))*2,0)/2)))</f>
        <v/>
      </c>
      <c r="N975">
        <f>IF(OR(N$4="",$A975&gt;TODAY()),0,IF(OR(INDEX($B975:$D975,N$5)="F",AND(N$6&gt;0,$A975&lt;N$6),AND(N$7&gt;0,$A975&gt;N$7)),0,MAX(0,ROUND((INDEX($E975:$G975,N$5)-SUMIFS(TF_Timer,TF_Tekniker,N$4,TF_Dato,$A975))*2,0)/2)))</f>
        <v/>
      </c>
      <c r="O975">
        <f>IF(OR(O$4="",$A975&gt;TODAY()),0,IF(OR(INDEX($B975:$D975,O$5)="F",AND(O$6&gt;0,$A975&lt;O$6),AND(O$7&gt;0,$A975&gt;O$7)),0,MAX(0,ROUND((INDEX($E975:$G975,O$5)-SUMIFS(TF_Timer,TF_Tekniker,O$4,TF_Dato,$A975))*2,0)/2)))</f>
        <v/>
      </c>
      <c r="P975">
        <f>IF(OR(P$4="",$A975&gt;TODAY()),0,IF(OR(INDEX($B975:$D975,P$5)="F",AND(P$6&gt;0,$A975&lt;P$6),AND(P$7&gt;0,$A975&gt;P$7)),0,MAX(0,ROUND((INDEX($E975:$G975,P$5)-SUMIFS(TF_Timer,TF_Tekniker,P$4,TF_Dato,$A975))*2,0)/2)))</f>
        <v/>
      </c>
      <c r="Q975">
        <f>IF(OR(Q$4="",$A975&gt;TODAY()),0,IF(OR(INDEX($B975:$D975,Q$5)="F",AND(Q$6&gt;0,$A975&lt;Q$6),AND(Q$7&gt;0,$A975&gt;Q$7)),0,MAX(0,ROUND((INDEX($E975:$G975,Q$5)-SUMIFS(TF_Timer,TF_Tekniker,Q$4,TF_Dato,$A975))*2,0)/2)))</f>
        <v/>
      </c>
      <c r="R975">
        <f>IF(OR(R$4="",$A975&gt;TODAY()),0,IF(OR(INDEX($B975:$D975,R$5)="F",AND(R$6&gt;0,$A975&lt;R$6),AND(R$7&gt;0,$A975&gt;R$7)),0,MAX(0,ROUND((INDEX($E975:$G975,R$5)-SUMIFS(TF_Timer,TF_Tekniker,R$4,TF_Dato,$A975))*2,0)/2)))</f>
        <v/>
      </c>
      <c r="S975">
        <f>IF(OR(S$4="",$A975&gt;TODAY()),0,IF(OR(INDEX($B975:$D975,S$5)="F",AND(S$6&gt;0,$A975&lt;S$6),AND(S$7&gt;0,$A975&gt;S$7)),0,MAX(0,ROUND((INDEX($E975:$G975,S$5)-SUMIFS(TF_Timer,TF_Tekniker,S$4,TF_Dato,$A975))*2,0)/2)))</f>
        <v/>
      </c>
      <c r="T975">
        <f>IF(OR(T$4="",$A975&gt;TODAY()),0,IF(OR(INDEX($B975:$D975,T$5)="F",AND(T$6&gt;0,$A975&lt;T$6),AND(T$7&gt;0,$A975&gt;T$7)),0,MAX(0,ROUND((INDEX($E975:$G975,T$5)-SUMIFS(TF_Timer,TF_Tekniker,T$4,TF_Dato,$A975))*2,0)/2)))</f>
        <v/>
      </c>
      <c r="U975">
        <f>IF(OR(U$4="",$A975&gt;TODAY()),0,IF(OR(INDEX($B975:$D975,U$5)="F",AND(U$6&gt;0,$A975&lt;U$6),AND(U$7&gt;0,$A975&gt;U$7)),0,MAX(0,ROUND((INDEX($E975:$G975,U$5)-SUMIFS(TF_Timer,TF_Tekniker,U$4,TF_Dato,$A975))*2,0)/2)))</f>
        <v/>
      </c>
      <c r="V975">
        <f>IF(OR(V$4="",$A975&gt;TODAY()),0,IF(OR(INDEX($B975:$D975,V$5)="F",AND(V$6&gt;0,$A975&lt;V$6),AND(V$7&gt;0,$A975&gt;V$7)),0,MAX(0,ROUND((INDEX($E975:$G975,V$5)-SUMIFS(TF_Timer,TF_Tekniker,V$4,TF_Dato,$A975))*2,0)/2)))</f>
        <v/>
      </c>
      <c r="W975">
        <f>IF(OR(W$4="",$A975&gt;TODAY()),0,IF(OR(INDEX($B975:$D975,W$5)="F",AND(W$6&gt;0,$A975&lt;W$6),AND(W$7&gt;0,$A975&gt;W$7)),0,MAX(0,ROUND((INDEX($E975:$G975,W$5)-SUMIFS(TF_Timer,TF_Tekniker,W$4,TF_Dato,$A975))*2,0)/2)))</f>
        <v/>
      </c>
      <c r="X975">
        <f>IF(OR(X$4="",$A975&gt;TODAY()),0,IF(OR(INDEX($B975:$D975,X$5)="F",AND(X$6&gt;0,$A975&lt;X$6),AND(X$7&gt;0,$A975&gt;X$7)),0,MAX(0,ROUND((INDEX($E975:$G975,X$5)-SUMIFS(TF_Timer,TF_Tekniker,X$4,TF_Dato,$A975))*2,0)/2)))</f>
        <v/>
      </c>
      <c r="Y975">
        <f>IF(OR(Y$4="",$A975&gt;TODAY()),0,IF(OR(INDEX($B975:$D975,Y$5)="F",AND(Y$6&gt;0,$A975&lt;Y$6),AND(Y$7&gt;0,$A975&gt;Y$7)),0,MAX(0,ROUND((INDEX($E975:$G975,Y$5)-SUMIFS(TF_Timer,TF_Tekniker,Y$4,TF_Dato,$A975))*2,0)/2)))</f>
        <v/>
      </c>
      <c r="Z975">
        <f>IF(OR(Z$4="",$A975&gt;TODAY()),0,IF(OR(INDEX($B975:$D975,Z$5)="F",AND(Z$6&gt;0,$A975&lt;Z$6),AND(Z$7&gt;0,$A975&gt;Z$7)),0,MAX(0,ROUND((INDEX($E975:$G975,Z$5)-SUMIFS(TF_Timer,TF_Tekniker,Z$4,TF_Dato,$A975))*2,0)/2)))</f>
        <v/>
      </c>
      <c r="AA975">
        <f>IF(OR(AA$4="",$A975&gt;TODAY()),0,IF(OR(INDEX($B975:$D975,AA$5)="F",AND(AA$6&gt;0,$A975&lt;AA$6),AND(AA$7&gt;0,$A975&gt;AA$7)),0,MAX(0,ROUND((INDEX($E975:$G975,AA$5)-SUMIFS(TF_Timer,TF_Tekniker,AA$4,TF_Dato,$A975))*2,0)/2)))</f>
        <v/>
      </c>
      <c r="AB975">
        <f>IF(OR(AB$4="",$A975&gt;TODAY()),0,IF(OR(INDEX($B975:$D975,AB$5)="F",AND(AB$6&gt;0,$A975&lt;AB$6),AND(AB$7&gt;0,$A975&gt;AB$7)),0,MAX(0,ROUND((INDEX($E975:$G975,AB$5)-SUMIFS(TF_Timer,TF_Tekniker,AB$4,TF_Dato,$A975))*2,0)/2)))</f>
        <v/>
      </c>
      <c r="AC975">
        <f>IF(OR(AC$4="",$A975&gt;TODAY()),0,IF(OR(INDEX($B975:$D975,AC$5)="F",AND(AC$6&gt;0,$A975&lt;AC$6),AND(AC$7&gt;0,$A975&gt;AC$7)),0,MAX(0,ROUND((INDEX($E975:$G975,AC$5)-SUMIFS(TF_Timer,TF_Tekniker,AC$4,TF_Dato,$A975))*2,0)/2)))</f>
        <v/>
      </c>
      <c r="AD975">
        <f>IF(OR(AD$4="",$A975&gt;TODAY()),0,IF(OR(INDEX($B975:$D975,AD$5)="F",AND(AD$6&gt;0,$A975&lt;AD$6),AND(AD$7&gt;0,$A975&gt;AD$7)),0,MAX(0,ROUND((INDEX($E975:$G975,AD$5)-SUMIFS(TF_Timer,TF_Tekniker,AD$4,TF_Dato,$A975))*2,0)/2)))</f>
        <v/>
      </c>
      <c r="AE975">
        <f>IF(OR(AE$4="",$A975&gt;TODAY()),0,IF(OR(INDEX($B975:$D975,AE$5)="F",AND(AE$6&gt;0,$A975&lt;AE$6),AND(AE$7&gt;0,$A975&gt;AE$7)),0,MAX(0,ROUND((INDEX($E975:$G975,AE$5)-SUMIFS(TF_Timer,TF_Tekniker,AE$4,TF_Dato,$A975))*2,0)/2)))</f>
        <v/>
      </c>
      <c r="AF975">
        <f>IF(OR(AF$4="",$A975&gt;TODAY()),0,IF(OR(INDEX($B975:$D975,AF$5)="F",AND(AF$6&gt;0,$A975&lt;AF$6),AND(AF$7&gt;0,$A975&gt;AF$7)),0,MAX(0,ROUND((INDEX($E975:$G975,AF$5)-SUMIFS(TF_Timer,TF_Tekniker,AF$4,TF_Dato,$A975))*2,0)/2)))</f>
        <v/>
      </c>
      <c r="AG975">
        <f>IF(OR(AG$4="",$A975&gt;TODAY()),0,IF(OR(INDEX($B975:$D975,AG$5)="F",AND(AG$6&gt;0,$A975&lt;AG$6),AND(AG$7&gt;0,$A975&gt;AG$7)),0,MAX(0,ROUND((INDEX($E975:$G975,AG$5)-SUMIFS(TF_Timer,TF_Tekniker,AG$4,TF_Dato,$A975))*2,0)/2)))</f>
        <v/>
      </c>
      <c r="AH975">
        <f>IF(OR(AH$4="",$A975&gt;TODAY()),0,IF(OR(INDEX($B975:$D975,AH$5)="F",AND(AH$6&gt;0,$A975&lt;AH$6),AND(AH$7&gt;0,$A975&gt;AH$7)),0,MAX(0,ROUND((INDEX($E975:$G975,AH$5)-SUMIFS(TF_Timer,TF_Tekniker,AH$4,TF_Dato,$A975))*2,0)/2)))</f>
        <v/>
      </c>
      <c r="AI975">
        <f>IF(OR(AI$4="",$A975&gt;TODAY()),0,IF(OR(INDEX($B975:$D975,AI$5)="F",AND(AI$6&gt;0,$A975&lt;AI$6),AND(AI$7&gt;0,$A975&gt;AI$7)),0,MAX(0,ROUND((INDEX($E975:$G975,AI$5)-SUMIFS(TF_Timer,TF_Tekniker,AI$4,TF_Dato,$A975))*2,0)/2)))</f>
        <v/>
      </c>
      <c r="AJ975">
        <f>IF(OR(AJ$4="",$A975&gt;TODAY()),0,IF(OR(INDEX($B975:$D975,AJ$5)="F",AND(AJ$6&gt;0,$A975&lt;AJ$6),AND(AJ$7&gt;0,$A975&gt;AJ$7)),0,MAX(0,ROUND((INDEX($E975:$G975,AJ$5)-SUMIFS(TF_Timer,TF_Tekniker,AJ$4,TF_Dato,$A975))*2,0)/2)))</f>
        <v/>
      </c>
      <c r="AK975">
        <f>IF(OR(AK$4="",$A975&gt;TODAY()),0,IF(OR(INDEX($B975:$D975,AK$5)="F",AND(AK$6&gt;0,$A975&lt;AK$6),AND(AK$7&gt;0,$A975&gt;AK$7)),0,MAX(0,ROUND((INDEX($E975:$G975,AK$5)-SUMIFS(TF_Timer,TF_Tekniker,AK$4,TF_Dato,$A975))*2,0)/2)))</f>
        <v/>
      </c>
      <c r="AL975">
        <f>IF(OR(AL$4="",$A975&gt;TODAY()),0,IF(OR(INDEX($B975:$D975,AL$5)="F",AND(AL$6&gt;0,$A975&lt;AL$6),AND(AL$7&gt;0,$A975&gt;AL$7)),0,MAX(0,ROUND((INDEX($E975:$G975,AL$5)-SUMIFS(TF_Timer,TF_Tekniker,AL$4,TF_Dato,$A975))*2,0)/2)))</f>
        <v/>
      </c>
      <c r="AM975">
        <f>IF(OR(AM$4="",$A975&gt;TODAY()),0,IF(OR(INDEX($B975:$D975,AM$5)="F",AND(AM$6&gt;0,$A975&lt;AM$6),AND(AM$7&gt;0,$A975&gt;AM$7)),0,MAX(0,ROUND((INDEX($E975:$G975,AM$5)-SUMIFS(TF_Timer,TF_Tekniker,AM$4,TF_Dato,$A975))*2,0)/2)))</f>
        <v/>
      </c>
      <c r="AN975">
        <f>IF(OR(AN$4="",$A975&gt;TODAY()),0,IF(OR(INDEX($B975:$D975,AN$5)="F",AND(AN$6&gt;0,$A975&lt;AN$6),AND(AN$7&gt;0,$A975&gt;AN$7)),0,MAX(0,ROUND((INDEX($E975:$G975,AN$5)-SUMIFS(TF_Timer,TF_Tekniker,AN$4,TF_Dato,$A975))*2,0)/2)))</f>
        <v/>
      </c>
      <c r="AO975">
        <f>IF(OR(AO$4="",$A975&gt;TODAY()),0,IF(OR(INDEX($B975:$D975,AO$5)="F",AND(AO$6&gt;0,$A975&lt;AO$6),AND(AO$7&gt;0,$A975&gt;AO$7)),0,MAX(0,ROUND((INDEX($E975:$G975,AO$5)-SUMIFS(TF_Timer,TF_Tekniker,AO$4,TF_Dato,$A975))*2,0)/2)))</f>
        <v/>
      </c>
      <c r="AP975">
        <f>IF(OR(AP$4="",$A975&gt;TODAY()),0,IF(OR(INDEX($B975:$D975,AP$5)="F",AND(AP$6&gt;0,$A975&lt;AP$6),AND(AP$7&gt;0,$A975&gt;AP$7)),0,MAX(0,ROUND((INDEX($E975:$G975,AP$5)-SUMIFS(TF_Timer,TF_Tekniker,AP$4,TF_Dato,$A975))*2,0)/2)))</f>
        <v/>
      </c>
      <c r="AQ975">
        <f>IF(OR(AQ$4="",$A975&gt;TODAY()),0,IF(OR(INDEX($B975:$D975,AQ$5)="F",AND(AQ$6&gt;0,$A975&lt;AQ$6),AND(AQ$7&gt;0,$A975&gt;AQ$7)),0,MAX(0,ROUND((INDEX($E975:$G975,AQ$5)-SUMIFS(TF_Timer,TF_Tekniker,AQ$4,TF_Dato,$A975))*2,0)/2)))</f>
        <v/>
      </c>
      <c r="AR975">
        <f>IF(OR(AR$4="",$A975&gt;TODAY()),0,IF(OR(INDEX($B975:$D975,AR$5)="F",AND(AR$6&gt;0,$A975&lt;AR$6),AND(AR$7&gt;0,$A975&gt;AR$7)),0,MAX(0,ROUND((INDEX($E975:$G975,AR$5)-SUMIFS(TF_Timer,TF_Tekniker,AR$4,TF_Dato,$A975))*2,0)/2)))</f>
        <v/>
      </c>
      <c r="AS975">
        <f>IF(OR(AS$4="",$A975&gt;TODAY()),0,IF(OR(INDEX($B975:$D975,AS$5)="F",AND(AS$6&gt;0,$A975&lt;AS$6),AND(AS$7&gt;0,$A975&gt;AS$7)),0,MAX(0,ROUND((INDEX($E975:$G975,AS$5)-SUMIFS(TF_Timer,TF_Tekniker,AS$4,TF_Dato,$A975))*2,0)/2)))</f>
        <v/>
      </c>
      <c r="AT975">
        <f>IF(OR(AT$4="",$A975&gt;TODAY()),0,IF(OR(INDEX($B975:$D975,AT$5)="F",AND(AT$6&gt;0,$A975&lt;AT$6),AND(AT$7&gt;0,$A975&gt;AT$7)),0,MAX(0,ROUND((INDEX($E975:$G975,AT$5)-SUMIFS(TF_Timer,TF_Tekniker,AT$4,TF_Dato,$A975))*2,0)/2)))</f>
        <v/>
      </c>
      <c r="AU975">
        <f>IF(OR(AU$4="",$A975&gt;TODAY()),0,IF(OR(INDEX($B975:$D975,AU$5)="F",AND(AU$6&gt;0,$A975&lt;AU$6),AND(AU$7&gt;0,$A975&gt;AU$7)),0,MAX(0,ROUND((INDEX($E975:$G975,AU$5)-SUMIFS(TF_Timer,TF_Tekniker,AU$4,TF_Dato,$A975))*2,0)/2)))</f>
        <v/>
      </c>
      <c r="AV975">
        <f>IF(OR(AV$4="",$A975&gt;TODAY()),0,IF(OR(INDEX($B975:$D975,AV$5)="F",AND(AV$6&gt;0,$A975&lt;AV$6),AND(AV$7&gt;0,$A975&gt;AV$7)),0,MAX(0,ROUND((INDEX($E975:$G975,AV$5)-SUMIFS(TF_Timer,TF_Tekniker,AV$4,TF_Dato,$A975))*2,0)/2)))</f>
        <v/>
      </c>
      <c r="AW975">
        <f>IF(OR(AW$4="",$A975&gt;TODAY()),0,IF(OR(INDEX($B975:$D975,AW$5)="F",AND(AW$6&gt;0,$A975&lt;AW$6),AND(AW$7&gt;0,$A975&gt;AW$7)),0,MAX(0,ROUND((INDEX($E975:$G975,AW$5)-SUMIFS(TF_Timer,TF_Tekniker,AW$4,TF_Dato,$A975))*2,0)/2)))</f>
        <v/>
      </c>
      <c r="AX975">
        <f>IF(OR(AX$4="",$A975&gt;TODAY()),0,IF(OR(INDEX($B975:$D975,AX$5)="F",AND(AX$6&gt;0,$A975&lt;AX$6),AND(AX$7&gt;0,$A975&gt;AX$7)),0,MAX(0,ROUND((INDEX($E975:$G975,AX$5)-SUMIFS(TF_Timer,TF_Tekniker,AX$4,TF_Dato,$A975))*2,0)/2)))</f>
        <v/>
      </c>
      <c r="AY975">
        <f>IF(OR(AY$4="",$A975&gt;TODAY()),0,IF(OR(INDEX($B975:$D975,AY$5)="F",AND(AY$6&gt;0,$A975&lt;AY$6),AND(AY$7&gt;0,$A975&gt;AY$7)),0,MAX(0,ROUND((INDEX($E975:$G975,AY$5)-SUMIFS(TF_Timer,TF_Tekniker,AY$4,TF_Dato,$A975))*2,0)/2)))</f>
        <v/>
      </c>
      <c r="AZ975">
        <f>IF(OR(AZ$4="",$A975&gt;TODAY()),0,IF(OR(INDEX($B975:$D975,AZ$5)="F",AND(AZ$6&gt;0,$A975&lt;AZ$6),AND(AZ$7&gt;0,$A975&gt;AZ$7)),0,MAX(0,ROUND((INDEX($E975:$G975,AZ$5)-SUMIFS(TF_Timer,TF_Tekniker,AZ$4,TF_Dato,$A975))*2,0)/2)))</f>
        <v/>
      </c>
      <c r="BA975">
        <f>IF(OR(BA$4="",$A975&gt;TODAY()),0,IF(OR(INDEX($B975:$D975,BA$5)="F",AND(BA$6&gt;0,$A975&lt;BA$6),AND(BA$7&gt;0,$A975&gt;BA$7)),0,MAX(0,ROUND((INDEX($E975:$G975,BA$5)-SUMIFS(TF_Timer,TF_Tekniker,BA$4,TF_Dato,$A975))*2,0)/2)))</f>
        <v/>
      </c>
      <c r="BB975">
        <f>IF(OR(BB$4="",$A975&gt;TODAY()),0,IF(OR(INDEX($B975:$D975,BB$5)="F",AND(BB$6&gt;0,$A975&lt;BB$6),AND(BB$7&gt;0,$A975&gt;BB$7)),0,MAX(0,ROUND((INDEX($E975:$G975,BB$5)-SUMIFS(TF_Timer,TF_Tekniker,BB$4,TF_Dato,$A975))*2,0)/2)))</f>
        <v/>
      </c>
      <c r="BC975">
        <f>IF(OR(BC$4="",$A975&gt;TODAY()),0,IF(OR(INDEX($B975:$D975,BC$5)="F",AND(BC$6&gt;0,$A975&lt;BC$6),AND(BC$7&gt;0,$A975&gt;BC$7)),0,MAX(0,ROUND((INDEX($E975:$G975,BC$5)-SUMIFS(TF_Timer,TF_Tekniker,BC$4,TF_Dato,$A975))*2,0)/2)))</f>
        <v/>
      </c>
      <c r="BD975">
        <f>IF(OR(BD$4="",$A975&gt;TODAY()),0,IF(OR(INDEX($B975:$D975,BD$5)="F",AND(BD$6&gt;0,$A975&lt;BD$6),AND(BD$7&gt;0,$A975&gt;BD$7)),0,MAX(0,ROUND((INDEX($E975:$G975,BD$5)-SUMIFS(TF_Timer,TF_Tekniker,BD$4,TF_Dato,$A975))*2,0)/2)))</f>
        <v/>
      </c>
      <c r="BE975">
        <f>IF(OR(BE$4="",$A975&gt;TODAY()),0,IF(OR(INDEX($B975:$D975,BE$5)="F",AND(BE$6&gt;0,$A975&lt;BE$6),AND(BE$7&gt;0,$A975&gt;BE$7)),0,MAX(0,ROUND((INDEX($E975:$G975,BE$5)-SUMIFS(TF_Timer,TF_Tekniker,BE$4,TF_Dato,$A975))*2,0)/2)))</f>
        <v/>
      </c>
      <c r="BF975">
        <f>IF(OR(BF$4="",$A975&gt;TODAY()),0,IF(OR(INDEX($B975:$D975,BF$5)="F",AND(BF$6&gt;0,$A975&lt;BF$6),AND(BF$7&gt;0,$A975&gt;BF$7)),0,MAX(0,ROUND((INDEX($E975:$G975,BF$5)-SUMIFS(TF_Timer,TF_Tekniker,BF$4,TF_Dato,$A975))*2,0)/2)))</f>
        <v/>
      </c>
      <c r="BG975">
        <f>IF(OR(BG$4="",$A975&gt;TODAY()),0,IF(OR(INDEX($B975:$D975,BG$5)="F",AND(BG$6&gt;0,$A975&lt;BG$6),AND(BG$7&gt;0,$A975&gt;BG$7)),0,MAX(0,ROUND((INDEX($E975:$G975,BG$5)-SUMIFS(TF_Timer,TF_Tekniker,BG$4,TF_Dato,$A975))*2,0)/2)))</f>
        <v/>
      </c>
      <c r="BH975">
        <f>IF(OR(BH$4="",$A975&gt;TODAY()),0,IF(OR(INDEX($B975:$D975,BH$5)="F",AND(BH$6&gt;0,$A975&lt;BH$6),AND(BH$7&gt;0,$A975&gt;BH$7)),0,MAX(0,ROUND((INDEX($E975:$G975,BH$5)-SUMIFS(TF_Timer,TF_Tekniker,BH$4,TF_Dato,$A975))*2,0)/2)))</f>
        <v/>
      </c>
      <c r="BI975">
        <f>IF(OR(BI$4="",$A975&gt;TODAY()),0,IF(OR(INDEX($B975:$D975,BI$5)="F",AND(BI$6&gt;0,$A975&lt;BI$6),AND(BI$7&gt;0,$A975&gt;BI$7)),0,MAX(0,ROUND((INDEX($E975:$G975,BI$5)-SUMIFS(TF_Timer,TF_Tekniker,BI$4,TF_Dato,$A975))*2,0)/2)))</f>
        <v/>
      </c>
    </row>
    <row r="976">
      <c r="A976" s="64">
        <f>A975+1</f>
        <v/>
      </c>
      <c r="B976">
        <f>IF(MOD($A976-INDEX(SkiftStart,1),Syklus)&lt;DagK,"K",IF(MOD($A976-INDEX(SkiftStart,1),Syklus)&lt;DagK+DagH,"H",IF(MOD($A976-INDEX(SkiftStart,1),Syklus)&lt;DagK+DagH+DagD,"D","F")))</f>
        <v/>
      </c>
      <c r="C976">
        <f>IF(MOD($A976-INDEX(SkiftStart,2),Syklus)&lt;DagK,"K",IF(MOD($A976-INDEX(SkiftStart,2),Syklus)&lt;DagK+DagH,"H",IF(MOD($A976-INDEX(SkiftStart,2),Syklus)&lt;DagK+DagH+DagD,"D","F")))</f>
        <v/>
      </c>
      <c r="D976">
        <f>IF(MOD($A976-INDEX(SkiftStart,3),Syklus)&lt;DagK,"K",IF(MOD($A976-INDEX(SkiftStart,3),Syklus)&lt;DagK+DagH,"H",IF(MOD($A976-INDEX(SkiftStart,3),Syklus)&lt;DagK+DagH+DagD,"D","F")))</f>
        <v/>
      </c>
      <c r="E976">
        <f>IF(B976="F",0,IF(WEEKDAY($A976,2)=5,INDEX(TimerFr,MATCH(B976,FaseKode,0)),INDEX(TimerMT,MATCH(B976,FaseKode,0))))</f>
        <v/>
      </c>
      <c r="F976">
        <f>IF(C976="F",0,IF(WEEKDAY($A976,2)=5,INDEX(TimerFr,MATCH(C976,FaseKode,0)),INDEX(TimerMT,MATCH(C976,FaseKode,0))))</f>
        <v/>
      </c>
      <c r="G976">
        <f>IF(D976="F",0,IF(WEEKDAY($A976,2)=5,INDEX(TimerFr,MATCH(D976,FaseKode,0)),INDEX(TimerMT,MATCH(D976,FaseKode,0))))</f>
        <v/>
      </c>
      <c r="H976">
        <f>IF(OR(H$4="",$A976&gt;TODAY()),0,IF(OR(INDEX($B976:$D976,H$5)="F",AND(H$6&gt;0,$A976&lt;H$6),AND(H$7&gt;0,$A976&gt;H$7)),0,MAX(0,ROUND((INDEX($E976:$G976,H$5)-SUMIFS(TF_Timer,TF_Tekniker,H$4,TF_Dato,$A976))*2,0)/2)))</f>
        <v/>
      </c>
      <c r="I976">
        <f>IF(OR(I$4="",$A976&gt;TODAY()),0,IF(OR(INDEX($B976:$D976,I$5)="F",AND(I$6&gt;0,$A976&lt;I$6),AND(I$7&gt;0,$A976&gt;I$7)),0,MAX(0,ROUND((INDEX($E976:$G976,I$5)-SUMIFS(TF_Timer,TF_Tekniker,I$4,TF_Dato,$A976))*2,0)/2)))</f>
        <v/>
      </c>
      <c r="J976">
        <f>IF(OR(J$4="",$A976&gt;TODAY()),0,IF(OR(INDEX($B976:$D976,J$5)="F",AND(J$6&gt;0,$A976&lt;J$6),AND(J$7&gt;0,$A976&gt;J$7)),0,MAX(0,ROUND((INDEX($E976:$G976,J$5)-SUMIFS(TF_Timer,TF_Tekniker,J$4,TF_Dato,$A976))*2,0)/2)))</f>
        <v/>
      </c>
      <c r="K976">
        <f>IF(OR(K$4="",$A976&gt;TODAY()),0,IF(OR(INDEX($B976:$D976,K$5)="F",AND(K$6&gt;0,$A976&lt;K$6),AND(K$7&gt;0,$A976&gt;K$7)),0,MAX(0,ROUND((INDEX($E976:$G976,K$5)-SUMIFS(TF_Timer,TF_Tekniker,K$4,TF_Dato,$A976))*2,0)/2)))</f>
        <v/>
      </c>
      <c r="L976">
        <f>IF(OR(L$4="",$A976&gt;TODAY()),0,IF(OR(INDEX($B976:$D976,L$5)="F",AND(L$6&gt;0,$A976&lt;L$6),AND(L$7&gt;0,$A976&gt;L$7)),0,MAX(0,ROUND((INDEX($E976:$G976,L$5)-SUMIFS(TF_Timer,TF_Tekniker,L$4,TF_Dato,$A976))*2,0)/2)))</f>
        <v/>
      </c>
      <c r="M976">
        <f>IF(OR(M$4="",$A976&gt;TODAY()),0,IF(OR(INDEX($B976:$D976,M$5)="F",AND(M$6&gt;0,$A976&lt;M$6),AND(M$7&gt;0,$A976&gt;M$7)),0,MAX(0,ROUND((INDEX($E976:$G976,M$5)-SUMIFS(TF_Timer,TF_Tekniker,M$4,TF_Dato,$A976))*2,0)/2)))</f>
        <v/>
      </c>
      <c r="N976">
        <f>IF(OR(N$4="",$A976&gt;TODAY()),0,IF(OR(INDEX($B976:$D976,N$5)="F",AND(N$6&gt;0,$A976&lt;N$6),AND(N$7&gt;0,$A976&gt;N$7)),0,MAX(0,ROUND((INDEX($E976:$G976,N$5)-SUMIFS(TF_Timer,TF_Tekniker,N$4,TF_Dato,$A976))*2,0)/2)))</f>
        <v/>
      </c>
      <c r="O976">
        <f>IF(OR(O$4="",$A976&gt;TODAY()),0,IF(OR(INDEX($B976:$D976,O$5)="F",AND(O$6&gt;0,$A976&lt;O$6),AND(O$7&gt;0,$A976&gt;O$7)),0,MAX(0,ROUND((INDEX($E976:$G976,O$5)-SUMIFS(TF_Timer,TF_Tekniker,O$4,TF_Dato,$A976))*2,0)/2)))</f>
        <v/>
      </c>
      <c r="P976">
        <f>IF(OR(P$4="",$A976&gt;TODAY()),0,IF(OR(INDEX($B976:$D976,P$5)="F",AND(P$6&gt;0,$A976&lt;P$6),AND(P$7&gt;0,$A976&gt;P$7)),0,MAX(0,ROUND((INDEX($E976:$G976,P$5)-SUMIFS(TF_Timer,TF_Tekniker,P$4,TF_Dato,$A976))*2,0)/2)))</f>
        <v/>
      </c>
      <c r="Q976">
        <f>IF(OR(Q$4="",$A976&gt;TODAY()),0,IF(OR(INDEX($B976:$D976,Q$5)="F",AND(Q$6&gt;0,$A976&lt;Q$6),AND(Q$7&gt;0,$A976&gt;Q$7)),0,MAX(0,ROUND((INDEX($E976:$G976,Q$5)-SUMIFS(TF_Timer,TF_Tekniker,Q$4,TF_Dato,$A976))*2,0)/2)))</f>
        <v/>
      </c>
      <c r="R976">
        <f>IF(OR(R$4="",$A976&gt;TODAY()),0,IF(OR(INDEX($B976:$D976,R$5)="F",AND(R$6&gt;0,$A976&lt;R$6),AND(R$7&gt;0,$A976&gt;R$7)),0,MAX(0,ROUND((INDEX($E976:$G976,R$5)-SUMIFS(TF_Timer,TF_Tekniker,R$4,TF_Dato,$A976))*2,0)/2)))</f>
        <v/>
      </c>
      <c r="S976">
        <f>IF(OR(S$4="",$A976&gt;TODAY()),0,IF(OR(INDEX($B976:$D976,S$5)="F",AND(S$6&gt;0,$A976&lt;S$6),AND(S$7&gt;0,$A976&gt;S$7)),0,MAX(0,ROUND((INDEX($E976:$G976,S$5)-SUMIFS(TF_Timer,TF_Tekniker,S$4,TF_Dato,$A976))*2,0)/2)))</f>
        <v/>
      </c>
      <c r="T976">
        <f>IF(OR(T$4="",$A976&gt;TODAY()),0,IF(OR(INDEX($B976:$D976,T$5)="F",AND(T$6&gt;0,$A976&lt;T$6),AND(T$7&gt;0,$A976&gt;T$7)),0,MAX(0,ROUND((INDEX($E976:$G976,T$5)-SUMIFS(TF_Timer,TF_Tekniker,T$4,TF_Dato,$A976))*2,0)/2)))</f>
        <v/>
      </c>
      <c r="U976">
        <f>IF(OR(U$4="",$A976&gt;TODAY()),0,IF(OR(INDEX($B976:$D976,U$5)="F",AND(U$6&gt;0,$A976&lt;U$6),AND(U$7&gt;0,$A976&gt;U$7)),0,MAX(0,ROUND((INDEX($E976:$G976,U$5)-SUMIFS(TF_Timer,TF_Tekniker,U$4,TF_Dato,$A976))*2,0)/2)))</f>
        <v/>
      </c>
      <c r="V976">
        <f>IF(OR(V$4="",$A976&gt;TODAY()),0,IF(OR(INDEX($B976:$D976,V$5)="F",AND(V$6&gt;0,$A976&lt;V$6),AND(V$7&gt;0,$A976&gt;V$7)),0,MAX(0,ROUND((INDEX($E976:$G976,V$5)-SUMIFS(TF_Timer,TF_Tekniker,V$4,TF_Dato,$A976))*2,0)/2)))</f>
        <v/>
      </c>
      <c r="W976">
        <f>IF(OR(W$4="",$A976&gt;TODAY()),0,IF(OR(INDEX($B976:$D976,W$5)="F",AND(W$6&gt;0,$A976&lt;W$6),AND(W$7&gt;0,$A976&gt;W$7)),0,MAX(0,ROUND((INDEX($E976:$G976,W$5)-SUMIFS(TF_Timer,TF_Tekniker,W$4,TF_Dato,$A976))*2,0)/2)))</f>
        <v/>
      </c>
      <c r="X976">
        <f>IF(OR(X$4="",$A976&gt;TODAY()),0,IF(OR(INDEX($B976:$D976,X$5)="F",AND(X$6&gt;0,$A976&lt;X$6),AND(X$7&gt;0,$A976&gt;X$7)),0,MAX(0,ROUND((INDEX($E976:$G976,X$5)-SUMIFS(TF_Timer,TF_Tekniker,X$4,TF_Dato,$A976))*2,0)/2)))</f>
        <v/>
      </c>
      <c r="Y976">
        <f>IF(OR(Y$4="",$A976&gt;TODAY()),0,IF(OR(INDEX($B976:$D976,Y$5)="F",AND(Y$6&gt;0,$A976&lt;Y$6),AND(Y$7&gt;0,$A976&gt;Y$7)),0,MAX(0,ROUND((INDEX($E976:$G976,Y$5)-SUMIFS(TF_Timer,TF_Tekniker,Y$4,TF_Dato,$A976))*2,0)/2)))</f>
        <v/>
      </c>
      <c r="Z976">
        <f>IF(OR(Z$4="",$A976&gt;TODAY()),0,IF(OR(INDEX($B976:$D976,Z$5)="F",AND(Z$6&gt;0,$A976&lt;Z$6),AND(Z$7&gt;0,$A976&gt;Z$7)),0,MAX(0,ROUND((INDEX($E976:$G976,Z$5)-SUMIFS(TF_Timer,TF_Tekniker,Z$4,TF_Dato,$A976))*2,0)/2)))</f>
        <v/>
      </c>
      <c r="AA976">
        <f>IF(OR(AA$4="",$A976&gt;TODAY()),0,IF(OR(INDEX($B976:$D976,AA$5)="F",AND(AA$6&gt;0,$A976&lt;AA$6),AND(AA$7&gt;0,$A976&gt;AA$7)),0,MAX(0,ROUND((INDEX($E976:$G976,AA$5)-SUMIFS(TF_Timer,TF_Tekniker,AA$4,TF_Dato,$A976))*2,0)/2)))</f>
        <v/>
      </c>
      <c r="AB976">
        <f>IF(OR(AB$4="",$A976&gt;TODAY()),0,IF(OR(INDEX($B976:$D976,AB$5)="F",AND(AB$6&gt;0,$A976&lt;AB$6),AND(AB$7&gt;0,$A976&gt;AB$7)),0,MAX(0,ROUND((INDEX($E976:$G976,AB$5)-SUMIFS(TF_Timer,TF_Tekniker,AB$4,TF_Dato,$A976))*2,0)/2)))</f>
        <v/>
      </c>
      <c r="AC976">
        <f>IF(OR(AC$4="",$A976&gt;TODAY()),0,IF(OR(INDEX($B976:$D976,AC$5)="F",AND(AC$6&gt;0,$A976&lt;AC$6),AND(AC$7&gt;0,$A976&gt;AC$7)),0,MAX(0,ROUND((INDEX($E976:$G976,AC$5)-SUMIFS(TF_Timer,TF_Tekniker,AC$4,TF_Dato,$A976))*2,0)/2)))</f>
        <v/>
      </c>
      <c r="AD976">
        <f>IF(OR(AD$4="",$A976&gt;TODAY()),0,IF(OR(INDEX($B976:$D976,AD$5)="F",AND(AD$6&gt;0,$A976&lt;AD$6),AND(AD$7&gt;0,$A976&gt;AD$7)),0,MAX(0,ROUND((INDEX($E976:$G976,AD$5)-SUMIFS(TF_Timer,TF_Tekniker,AD$4,TF_Dato,$A976))*2,0)/2)))</f>
        <v/>
      </c>
      <c r="AE976">
        <f>IF(OR(AE$4="",$A976&gt;TODAY()),0,IF(OR(INDEX($B976:$D976,AE$5)="F",AND(AE$6&gt;0,$A976&lt;AE$6),AND(AE$7&gt;0,$A976&gt;AE$7)),0,MAX(0,ROUND((INDEX($E976:$G976,AE$5)-SUMIFS(TF_Timer,TF_Tekniker,AE$4,TF_Dato,$A976))*2,0)/2)))</f>
        <v/>
      </c>
      <c r="AF976">
        <f>IF(OR(AF$4="",$A976&gt;TODAY()),0,IF(OR(INDEX($B976:$D976,AF$5)="F",AND(AF$6&gt;0,$A976&lt;AF$6),AND(AF$7&gt;0,$A976&gt;AF$7)),0,MAX(0,ROUND((INDEX($E976:$G976,AF$5)-SUMIFS(TF_Timer,TF_Tekniker,AF$4,TF_Dato,$A976))*2,0)/2)))</f>
        <v/>
      </c>
      <c r="AG976">
        <f>IF(OR(AG$4="",$A976&gt;TODAY()),0,IF(OR(INDEX($B976:$D976,AG$5)="F",AND(AG$6&gt;0,$A976&lt;AG$6),AND(AG$7&gt;0,$A976&gt;AG$7)),0,MAX(0,ROUND((INDEX($E976:$G976,AG$5)-SUMIFS(TF_Timer,TF_Tekniker,AG$4,TF_Dato,$A976))*2,0)/2)))</f>
        <v/>
      </c>
      <c r="AH976">
        <f>IF(OR(AH$4="",$A976&gt;TODAY()),0,IF(OR(INDEX($B976:$D976,AH$5)="F",AND(AH$6&gt;0,$A976&lt;AH$6),AND(AH$7&gt;0,$A976&gt;AH$7)),0,MAX(0,ROUND((INDEX($E976:$G976,AH$5)-SUMIFS(TF_Timer,TF_Tekniker,AH$4,TF_Dato,$A976))*2,0)/2)))</f>
        <v/>
      </c>
      <c r="AI976">
        <f>IF(OR(AI$4="",$A976&gt;TODAY()),0,IF(OR(INDEX($B976:$D976,AI$5)="F",AND(AI$6&gt;0,$A976&lt;AI$6),AND(AI$7&gt;0,$A976&gt;AI$7)),0,MAX(0,ROUND((INDEX($E976:$G976,AI$5)-SUMIFS(TF_Timer,TF_Tekniker,AI$4,TF_Dato,$A976))*2,0)/2)))</f>
        <v/>
      </c>
      <c r="AJ976">
        <f>IF(OR(AJ$4="",$A976&gt;TODAY()),0,IF(OR(INDEX($B976:$D976,AJ$5)="F",AND(AJ$6&gt;0,$A976&lt;AJ$6),AND(AJ$7&gt;0,$A976&gt;AJ$7)),0,MAX(0,ROUND((INDEX($E976:$G976,AJ$5)-SUMIFS(TF_Timer,TF_Tekniker,AJ$4,TF_Dato,$A976))*2,0)/2)))</f>
        <v/>
      </c>
      <c r="AK976">
        <f>IF(OR(AK$4="",$A976&gt;TODAY()),0,IF(OR(INDEX($B976:$D976,AK$5)="F",AND(AK$6&gt;0,$A976&lt;AK$6),AND(AK$7&gt;0,$A976&gt;AK$7)),0,MAX(0,ROUND((INDEX($E976:$G976,AK$5)-SUMIFS(TF_Timer,TF_Tekniker,AK$4,TF_Dato,$A976))*2,0)/2)))</f>
        <v/>
      </c>
      <c r="AL976">
        <f>IF(OR(AL$4="",$A976&gt;TODAY()),0,IF(OR(INDEX($B976:$D976,AL$5)="F",AND(AL$6&gt;0,$A976&lt;AL$6),AND(AL$7&gt;0,$A976&gt;AL$7)),0,MAX(0,ROUND((INDEX($E976:$G976,AL$5)-SUMIFS(TF_Timer,TF_Tekniker,AL$4,TF_Dato,$A976))*2,0)/2)))</f>
        <v/>
      </c>
      <c r="AM976">
        <f>IF(OR(AM$4="",$A976&gt;TODAY()),0,IF(OR(INDEX($B976:$D976,AM$5)="F",AND(AM$6&gt;0,$A976&lt;AM$6),AND(AM$7&gt;0,$A976&gt;AM$7)),0,MAX(0,ROUND((INDEX($E976:$G976,AM$5)-SUMIFS(TF_Timer,TF_Tekniker,AM$4,TF_Dato,$A976))*2,0)/2)))</f>
        <v/>
      </c>
      <c r="AN976">
        <f>IF(OR(AN$4="",$A976&gt;TODAY()),0,IF(OR(INDEX($B976:$D976,AN$5)="F",AND(AN$6&gt;0,$A976&lt;AN$6),AND(AN$7&gt;0,$A976&gt;AN$7)),0,MAX(0,ROUND((INDEX($E976:$G976,AN$5)-SUMIFS(TF_Timer,TF_Tekniker,AN$4,TF_Dato,$A976))*2,0)/2)))</f>
        <v/>
      </c>
      <c r="AO976">
        <f>IF(OR(AO$4="",$A976&gt;TODAY()),0,IF(OR(INDEX($B976:$D976,AO$5)="F",AND(AO$6&gt;0,$A976&lt;AO$6),AND(AO$7&gt;0,$A976&gt;AO$7)),0,MAX(0,ROUND((INDEX($E976:$G976,AO$5)-SUMIFS(TF_Timer,TF_Tekniker,AO$4,TF_Dato,$A976))*2,0)/2)))</f>
        <v/>
      </c>
      <c r="AP976">
        <f>IF(OR(AP$4="",$A976&gt;TODAY()),0,IF(OR(INDEX($B976:$D976,AP$5)="F",AND(AP$6&gt;0,$A976&lt;AP$6),AND(AP$7&gt;0,$A976&gt;AP$7)),0,MAX(0,ROUND((INDEX($E976:$G976,AP$5)-SUMIFS(TF_Timer,TF_Tekniker,AP$4,TF_Dato,$A976))*2,0)/2)))</f>
        <v/>
      </c>
      <c r="AQ976">
        <f>IF(OR(AQ$4="",$A976&gt;TODAY()),0,IF(OR(INDEX($B976:$D976,AQ$5)="F",AND(AQ$6&gt;0,$A976&lt;AQ$6),AND(AQ$7&gt;0,$A976&gt;AQ$7)),0,MAX(0,ROUND((INDEX($E976:$G976,AQ$5)-SUMIFS(TF_Timer,TF_Tekniker,AQ$4,TF_Dato,$A976))*2,0)/2)))</f>
        <v/>
      </c>
      <c r="AR976">
        <f>IF(OR(AR$4="",$A976&gt;TODAY()),0,IF(OR(INDEX($B976:$D976,AR$5)="F",AND(AR$6&gt;0,$A976&lt;AR$6),AND(AR$7&gt;0,$A976&gt;AR$7)),0,MAX(0,ROUND((INDEX($E976:$G976,AR$5)-SUMIFS(TF_Timer,TF_Tekniker,AR$4,TF_Dato,$A976))*2,0)/2)))</f>
        <v/>
      </c>
      <c r="AS976">
        <f>IF(OR(AS$4="",$A976&gt;TODAY()),0,IF(OR(INDEX($B976:$D976,AS$5)="F",AND(AS$6&gt;0,$A976&lt;AS$6),AND(AS$7&gt;0,$A976&gt;AS$7)),0,MAX(0,ROUND((INDEX($E976:$G976,AS$5)-SUMIFS(TF_Timer,TF_Tekniker,AS$4,TF_Dato,$A976))*2,0)/2)))</f>
        <v/>
      </c>
      <c r="AT976">
        <f>IF(OR(AT$4="",$A976&gt;TODAY()),0,IF(OR(INDEX($B976:$D976,AT$5)="F",AND(AT$6&gt;0,$A976&lt;AT$6),AND(AT$7&gt;0,$A976&gt;AT$7)),0,MAX(0,ROUND((INDEX($E976:$G976,AT$5)-SUMIFS(TF_Timer,TF_Tekniker,AT$4,TF_Dato,$A976))*2,0)/2)))</f>
        <v/>
      </c>
      <c r="AU976">
        <f>IF(OR(AU$4="",$A976&gt;TODAY()),0,IF(OR(INDEX($B976:$D976,AU$5)="F",AND(AU$6&gt;0,$A976&lt;AU$6),AND(AU$7&gt;0,$A976&gt;AU$7)),0,MAX(0,ROUND((INDEX($E976:$G976,AU$5)-SUMIFS(TF_Timer,TF_Tekniker,AU$4,TF_Dato,$A976))*2,0)/2)))</f>
        <v/>
      </c>
      <c r="AV976">
        <f>IF(OR(AV$4="",$A976&gt;TODAY()),0,IF(OR(INDEX($B976:$D976,AV$5)="F",AND(AV$6&gt;0,$A976&lt;AV$6),AND(AV$7&gt;0,$A976&gt;AV$7)),0,MAX(0,ROUND((INDEX($E976:$G976,AV$5)-SUMIFS(TF_Timer,TF_Tekniker,AV$4,TF_Dato,$A976))*2,0)/2)))</f>
        <v/>
      </c>
      <c r="AW976">
        <f>IF(OR(AW$4="",$A976&gt;TODAY()),0,IF(OR(INDEX($B976:$D976,AW$5)="F",AND(AW$6&gt;0,$A976&lt;AW$6),AND(AW$7&gt;0,$A976&gt;AW$7)),0,MAX(0,ROUND((INDEX($E976:$G976,AW$5)-SUMIFS(TF_Timer,TF_Tekniker,AW$4,TF_Dato,$A976))*2,0)/2)))</f>
        <v/>
      </c>
      <c r="AX976">
        <f>IF(OR(AX$4="",$A976&gt;TODAY()),0,IF(OR(INDEX($B976:$D976,AX$5)="F",AND(AX$6&gt;0,$A976&lt;AX$6),AND(AX$7&gt;0,$A976&gt;AX$7)),0,MAX(0,ROUND((INDEX($E976:$G976,AX$5)-SUMIFS(TF_Timer,TF_Tekniker,AX$4,TF_Dato,$A976))*2,0)/2)))</f>
        <v/>
      </c>
      <c r="AY976">
        <f>IF(OR(AY$4="",$A976&gt;TODAY()),0,IF(OR(INDEX($B976:$D976,AY$5)="F",AND(AY$6&gt;0,$A976&lt;AY$6),AND(AY$7&gt;0,$A976&gt;AY$7)),0,MAX(0,ROUND((INDEX($E976:$G976,AY$5)-SUMIFS(TF_Timer,TF_Tekniker,AY$4,TF_Dato,$A976))*2,0)/2)))</f>
        <v/>
      </c>
      <c r="AZ976">
        <f>IF(OR(AZ$4="",$A976&gt;TODAY()),0,IF(OR(INDEX($B976:$D976,AZ$5)="F",AND(AZ$6&gt;0,$A976&lt;AZ$6),AND(AZ$7&gt;0,$A976&gt;AZ$7)),0,MAX(0,ROUND((INDEX($E976:$G976,AZ$5)-SUMIFS(TF_Timer,TF_Tekniker,AZ$4,TF_Dato,$A976))*2,0)/2)))</f>
        <v/>
      </c>
      <c r="BA976">
        <f>IF(OR(BA$4="",$A976&gt;TODAY()),0,IF(OR(INDEX($B976:$D976,BA$5)="F",AND(BA$6&gt;0,$A976&lt;BA$6),AND(BA$7&gt;0,$A976&gt;BA$7)),0,MAX(0,ROUND((INDEX($E976:$G976,BA$5)-SUMIFS(TF_Timer,TF_Tekniker,BA$4,TF_Dato,$A976))*2,0)/2)))</f>
        <v/>
      </c>
      <c r="BB976">
        <f>IF(OR(BB$4="",$A976&gt;TODAY()),0,IF(OR(INDEX($B976:$D976,BB$5)="F",AND(BB$6&gt;0,$A976&lt;BB$6),AND(BB$7&gt;0,$A976&gt;BB$7)),0,MAX(0,ROUND((INDEX($E976:$G976,BB$5)-SUMIFS(TF_Timer,TF_Tekniker,BB$4,TF_Dato,$A976))*2,0)/2)))</f>
        <v/>
      </c>
      <c r="BC976">
        <f>IF(OR(BC$4="",$A976&gt;TODAY()),0,IF(OR(INDEX($B976:$D976,BC$5)="F",AND(BC$6&gt;0,$A976&lt;BC$6),AND(BC$7&gt;0,$A976&gt;BC$7)),0,MAX(0,ROUND((INDEX($E976:$G976,BC$5)-SUMIFS(TF_Timer,TF_Tekniker,BC$4,TF_Dato,$A976))*2,0)/2)))</f>
        <v/>
      </c>
      <c r="BD976">
        <f>IF(OR(BD$4="",$A976&gt;TODAY()),0,IF(OR(INDEX($B976:$D976,BD$5)="F",AND(BD$6&gt;0,$A976&lt;BD$6),AND(BD$7&gt;0,$A976&gt;BD$7)),0,MAX(0,ROUND((INDEX($E976:$G976,BD$5)-SUMIFS(TF_Timer,TF_Tekniker,BD$4,TF_Dato,$A976))*2,0)/2)))</f>
        <v/>
      </c>
      <c r="BE976">
        <f>IF(OR(BE$4="",$A976&gt;TODAY()),0,IF(OR(INDEX($B976:$D976,BE$5)="F",AND(BE$6&gt;0,$A976&lt;BE$6),AND(BE$7&gt;0,$A976&gt;BE$7)),0,MAX(0,ROUND((INDEX($E976:$G976,BE$5)-SUMIFS(TF_Timer,TF_Tekniker,BE$4,TF_Dato,$A976))*2,0)/2)))</f>
        <v/>
      </c>
      <c r="BF976">
        <f>IF(OR(BF$4="",$A976&gt;TODAY()),0,IF(OR(INDEX($B976:$D976,BF$5)="F",AND(BF$6&gt;0,$A976&lt;BF$6),AND(BF$7&gt;0,$A976&gt;BF$7)),0,MAX(0,ROUND((INDEX($E976:$G976,BF$5)-SUMIFS(TF_Timer,TF_Tekniker,BF$4,TF_Dato,$A976))*2,0)/2)))</f>
        <v/>
      </c>
      <c r="BG976">
        <f>IF(OR(BG$4="",$A976&gt;TODAY()),0,IF(OR(INDEX($B976:$D976,BG$5)="F",AND(BG$6&gt;0,$A976&lt;BG$6),AND(BG$7&gt;0,$A976&gt;BG$7)),0,MAX(0,ROUND((INDEX($E976:$G976,BG$5)-SUMIFS(TF_Timer,TF_Tekniker,BG$4,TF_Dato,$A976))*2,0)/2)))</f>
        <v/>
      </c>
      <c r="BH976">
        <f>IF(OR(BH$4="",$A976&gt;TODAY()),0,IF(OR(INDEX($B976:$D976,BH$5)="F",AND(BH$6&gt;0,$A976&lt;BH$6),AND(BH$7&gt;0,$A976&gt;BH$7)),0,MAX(0,ROUND((INDEX($E976:$G976,BH$5)-SUMIFS(TF_Timer,TF_Tekniker,BH$4,TF_Dato,$A976))*2,0)/2)))</f>
        <v/>
      </c>
      <c r="BI976">
        <f>IF(OR(BI$4="",$A976&gt;TODAY()),0,IF(OR(INDEX($B976:$D976,BI$5)="F",AND(BI$6&gt;0,$A976&lt;BI$6),AND(BI$7&gt;0,$A976&gt;BI$7)),0,MAX(0,ROUND((INDEX($E976:$G976,BI$5)-SUMIFS(TF_Timer,TF_Tekniker,BI$4,TF_Dato,$A976))*2,0)/2)))</f>
        <v/>
      </c>
    </row>
    <row r="977">
      <c r="A977" s="64">
        <f>A976+1</f>
        <v/>
      </c>
      <c r="B977">
        <f>IF(MOD($A977-INDEX(SkiftStart,1),Syklus)&lt;DagK,"K",IF(MOD($A977-INDEX(SkiftStart,1),Syklus)&lt;DagK+DagH,"H",IF(MOD($A977-INDEX(SkiftStart,1),Syklus)&lt;DagK+DagH+DagD,"D","F")))</f>
        <v/>
      </c>
      <c r="C977">
        <f>IF(MOD($A977-INDEX(SkiftStart,2),Syklus)&lt;DagK,"K",IF(MOD($A977-INDEX(SkiftStart,2),Syklus)&lt;DagK+DagH,"H",IF(MOD($A977-INDEX(SkiftStart,2),Syklus)&lt;DagK+DagH+DagD,"D","F")))</f>
        <v/>
      </c>
      <c r="D977">
        <f>IF(MOD($A977-INDEX(SkiftStart,3),Syklus)&lt;DagK,"K",IF(MOD($A977-INDEX(SkiftStart,3),Syklus)&lt;DagK+DagH,"H",IF(MOD($A977-INDEX(SkiftStart,3),Syklus)&lt;DagK+DagH+DagD,"D","F")))</f>
        <v/>
      </c>
      <c r="E977">
        <f>IF(B977="F",0,IF(WEEKDAY($A977,2)=5,INDEX(TimerFr,MATCH(B977,FaseKode,0)),INDEX(TimerMT,MATCH(B977,FaseKode,0))))</f>
        <v/>
      </c>
      <c r="F977">
        <f>IF(C977="F",0,IF(WEEKDAY($A977,2)=5,INDEX(TimerFr,MATCH(C977,FaseKode,0)),INDEX(TimerMT,MATCH(C977,FaseKode,0))))</f>
        <v/>
      </c>
      <c r="G977">
        <f>IF(D977="F",0,IF(WEEKDAY($A977,2)=5,INDEX(TimerFr,MATCH(D977,FaseKode,0)),INDEX(TimerMT,MATCH(D977,FaseKode,0))))</f>
        <v/>
      </c>
      <c r="H977">
        <f>IF(OR(H$4="",$A977&gt;TODAY()),0,IF(OR(INDEX($B977:$D977,H$5)="F",AND(H$6&gt;0,$A977&lt;H$6),AND(H$7&gt;0,$A977&gt;H$7)),0,MAX(0,ROUND((INDEX($E977:$G977,H$5)-SUMIFS(TF_Timer,TF_Tekniker,H$4,TF_Dato,$A977))*2,0)/2)))</f>
        <v/>
      </c>
      <c r="I977">
        <f>IF(OR(I$4="",$A977&gt;TODAY()),0,IF(OR(INDEX($B977:$D977,I$5)="F",AND(I$6&gt;0,$A977&lt;I$6),AND(I$7&gt;0,$A977&gt;I$7)),0,MAX(0,ROUND((INDEX($E977:$G977,I$5)-SUMIFS(TF_Timer,TF_Tekniker,I$4,TF_Dato,$A977))*2,0)/2)))</f>
        <v/>
      </c>
      <c r="J977">
        <f>IF(OR(J$4="",$A977&gt;TODAY()),0,IF(OR(INDEX($B977:$D977,J$5)="F",AND(J$6&gt;0,$A977&lt;J$6),AND(J$7&gt;0,$A977&gt;J$7)),0,MAX(0,ROUND((INDEX($E977:$G977,J$5)-SUMIFS(TF_Timer,TF_Tekniker,J$4,TF_Dato,$A977))*2,0)/2)))</f>
        <v/>
      </c>
      <c r="K977">
        <f>IF(OR(K$4="",$A977&gt;TODAY()),0,IF(OR(INDEX($B977:$D977,K$5)="F",AND(K$6&gt;0,$A977&lt;K$6),AND(K$7&gt;0,$A977&gt;K$7)),0,MAX(0,ROUND((INDEX($E977:$G977,K$5)-SUMIFS(TF_Timer,TF_Tekniker,K$4,TF_Dato,$A977))*2,0)/2)))</f>
        <v/>
      </c>
      <c r="L977">
        <f>IF(OR(L$4="",$A977&gt;TODAY()),0,IF(OR(INDEX($B977:$D977,L$5)="F",AND(L$6&gt;0,$A977&lt;L$6),AND(L$7&gt;0,$A977&gt;L$7)),0,MAX(0,ROUND((INDEX($E977:$G977,L$5)-SUMIFS(TF_Timer,TF_Tekniker,L$4,TF_Dato,$A977))*2,0)/2)))</f>
        <v/>
      </c>
      <c r="M977">
        <f>IF(OR(M$4="",$A977&gt;TODAY()),0,IF(OR(INDEX($B977:$D977,M$5)="F",AND(M$6&gt;0,$A977&lt;M$6),AND(M$7&gt;0,$A977&gt;M$7)),0,MAX(0,ROUND((INDEX($E977:$G977,M$5)-SUMIFS(TF_Timer,TF_Tekniker,M$4,TF_Dato,$A977))*2,0)/2)))</f>
        <v/>
      </c>
      <c r="N977">
        <f>IF(OR(N$4="",$A977&gt;TODAY()),0,IF(OR(INDEX($B977:$D977,N$5)="F",AND(N$6&gt;0,$A977&lt;N$6),AND(N$7&gt;0,$A977&gt;N$7)),0,MAX(0,ROUND((INDEX($E977:$G977,N$5)-SUMIFS(TF_Timer,TF_Tekniker,N$4,TF_Dato,$A977))*2,0)/2)))</f>
        <v/>
      </c>
      <c r="O977">
        <f>IF(OR(O$4="",$A977&gt;TODAY()),0,IF(OR(INDEX($B977:$D977,O$5)="F",AND(O$6&gt;0,$A977&lt;O$6),AND(O$7&gt;0,$A977&gt;O$7)),0,MAX(0,ROUND((INDEX($E977:$G977,O$5)-SUMIFS(TF_Timer,TF_Tekniker,O$4,TF_Dato,$A977))*2,0)/2)))</f>
        <v/>
      </c>
      <c r="P977">
        <f>IF(OR(P$4="",$A977&gt;TODAY()),0,IF(OR(INDEX($B977:$D977,P$5)="F",AND(P$6&gt;0,$A977&lt;P$6),AND(P$7&gt;0,$A977&gt;P$7)),0,MAX(0,ROUND((INDEX($E977:$G977,P$5)-SUMIFS(TF_Timer,TF_Tekniker,P$4,TF_Dato,$A977))*2,0)/2)))</f>
        <v/>
      </c>
      <c r="Q977">
        <f>IF(OR(Q$4="",$A977&gt;TODAY()),0,IF(OR(INDEX($B977:$D977,Q$5)="F",AND(Q$6&gt;0,$A977&lt;Q$6),AND(Q$7&gt;0,$A977&gt;Q$7)),0,MAX(0,ROUND((INDEX($E977:$G977,Q$5)-SUMIFS(TF_Timer,TF_Tekniker,Q$4,TF_Dato,$A977))*2,0)/2)))</f>
        <v/>
      </c>
      <c r="R977">
        <f>IF(OR(R$4="",$A977&gt;TODAY()),0,IF(OR(INDEX($B977:$D977,R$5)="F",AND(R$6&gt;0,$A977&lt;R$6),AND(R$7&gt;0,$A977&gt;R$7)),0,MAX(0,ROUND((INDEX($E977:$G977,R$5)-SUMIFS(TF_Timer,TF_Tekniker,R$4,TF_Dato,$A977))*2,0)/2)))</f>
        <v/>
      </c>
      <c r="S977">
        <f>IF(OR(S$4="",$A977&gt;TODAY()),0,IF(OR(INDEX($B977:$D977,S$5)="F",AND(S$6&gt;0,$A977&lt;S$6),AND(S$7&gt;0,$A977&gt;S$7)),0,MAX(0,ROUND((INDEX($E977:$G977,S$5)-SUMIFS(TF_Timer,TF_Tekniker,S$4,TF_Dato,$A977))*2,0)/2)))</f>
        <v/>
      </c>
      <c r="T977">
        <f>IF(OR(T$4="",$A977&gt;TODAY()),0,IF(OR(INDEX($B977:$D977,T$5)="F",AND(T$6&gt;0,$A977&lt;T$6),AND(T$7&gt;0,$A977&gt;T$7)),0,MAX(0,ROUND((INDEX($E977:$G977,T$5)-SUMIFS(TF_Timer,TF_Tekniker,T$4,TF_Dato,$A977))*2,0)/2)))</f>
        <v/>
      </c>
      <c r="U977">
        <f>IF(OR(U$4="",$A977&gt;TODAY()),0,IF(OR(INDEX($B977:$D977,U$5)="F",AND(U$6&gt;0,$A977&lt;U$6),AND(U$7&gt;0,$A977&gt;U$7)),0,MAX(0,ROUND((INDEX($E977:$G977,U$5)-SUMIFS(TF_Timer,TF_Tekniker,U$4,TF_Dato,$A977))*2,0)/2)))</f>
        <v/>
      </c>
      <c r="V977">
        <f>IF(OR(V$4="",$A977&gt;TODAY()),0,IF(OR(INDEX($B977:$D977,V$5)="F",AND(V$6&gt;0,$A977&lt;V$6),AND(V$7&gt;0,$A977&gt;V$7)),0,MAX(0,ROUND((INDEX($E977:$G977,V$5)-SUMIFS(TF_Timer,TF_Tekniker,V$4,TF_Dato,$A977))*2,0)/2)))</f>
        <v/>
      </c>
      <c r="W977">
        <f>IF(OR(W$4="",$A977&gt;TODAY()),0,IF(OR(INDEX($B977:$D977,W$5)="F",AND(W$6&gt;0,$A977&lt;W$6),AND(W$7&gt;0,$A977&gt;W$7)),0,MAX(0,ROUND((INDEX($E977:$G977,W$5)-SUMIFS(TF_Timer,TF_Tekniker,W$4,TF_Dato,$A977))*2,0)/2)))</f>
        <v/>
      </c>
      <c r="X977">
        <f>IF(OR(X$4="",$A977&gt;TODAY()),0,IF(OR(INDEX($B977:$D977,X$5)="F",AND(X$6&gt;0,$A977&lt;X$6),AND(X$7&gt;0,$A977&gt;X$7)),0,MAX(0,ROUND((INDEX($E977:$G977,X$5)-SUMIFS(TF_Timer,TF_Tekniker,X$4,TF_Dato,$A977))*2,0)/2)))</f>
        <v/>
      </c>
      <c r="Y977">
        <f>IF(OR(Y$4="",$A977&gt;TODAY()),0,IF(OR(INDEX($B977:$D977,Y$5)="F",AND(Y$6&gt;0,$A977&lt;Y$6),AND(Y$7&gt;0,$A977&gt;Y$7)),0,MAX(0,ROUND((INDEX($E977:$G977,Y$5)-SUMIFS(TF_Timer,TF_Tekniker,Y$4,TF_Dato,$A977))*2,0)/2)))</f>
        <v/>
      </c>
      <c r="Z977">
        <f>IF(OR(Z$4="",$A977&gt;TODAY()),0,IF(OR(INDEX($B977:$D977,Z$5)="F",AND(Z$6&gt;0,$A977&lt;Z$6),AND(Z$7&gt;0,$A977&gt;Z$7)),0,MAX(0,ROUND((INDEX($E977:$G977,Z$5)-SUMIFS(TF_Timer,TF_Tekniker,Z$4,TF_Dato,$A977))*2,0)/2)))</f>
        <v/>
      </c>
      <c r="AA977">
        <f>IF(OR(AA$4="",$A977&gt;TODAY()),0,IF(OR(INDEX($B977:$D977,AA$5)="F",AND(AA$6&gt;0,$A977&lt;AA$6),AND(AA$7&gt;0,$A977&gt;AA$7)),0,MAX(0,ROUND((INDEX($E977:$G977,AA$5)-SUMIFS(TF_Timer,TF_Tekniker,AA$4,TF_Dato,$A977))*2,0)/2)))</f>
        <v/>
      </c>
      <c r="AB977">
        <f>IF(OR(AB$4="",$A977&gt;TODAY()),0,IF(OR(INDEX($B977:$D977,AB$5)="F",AND(AB$6&gt;0,$A977&lt;AB$6),AND(AB$7&gt;0,$A977&gt;AB$7)),0,MAX(0,ROUND((INDEX($E977:$G977,AB$5)-SUMIFS(TF_Timer,TF_Tekniker,AB$4,TF_Dato,$A977))*2,0)/2)))</f>
        <v/>
      </c>
      <c r="AC977">
        <f>IF(OR(AC$4="",$A977&gt;TODAY()),0,IF(OR(INDEX($B977:$D977,AC$5)="F",AND(AC$6&gt;0,$A977&lt;AC$6),AND(AC$7&gt;0,$A977&gt;AC$7)),0,MAX(0,ROUND((INDEX($E977:$G977,AC$5)-SUMIFS(TF_Timer,TF_Tekniker,AC$4,TF_Dato,$A977))*2,0)/2)))</f>
        <v/>
      </c>
      <c r="AD977">
        <f>IF(OR(AD$4="",$A977&gt;TODAY()),0,IF(OR(INDEX($B977:$D977,AD$5)="F",AND(AD$6&gt;0,$A977&lt;AD$6),AND(AD$7&gt;0,$A977&gt;AD$7)),0,MAX(0,ROUND((INDEX($E977:$G977,AD$5)-SUMIFS(TF_Timer,TF_Tekniker,AD$4,TF_Dato,$A977))*2,0)/2)))</f>
        <v/>
      </c>
      <c r="AE977">
        <f>IF(OR(AE$4="",$A977&gt;TODAY()),0,IF(OR(INDEX($B977:$D977,AE$5)="F",AND(AE$6&gt;0,$A977&lt;AE$6),AND(AE$7&gt;0,$A977&gt;AE$7)),0,MAX(0,ROUND((INDEX($E977:$G977,AE$5)-SUMIFS(TF_Timer,TF_Tekniker,AE$4,TF_Dato,$A977))*2,0)/2)))</f>
        <v/>
      </c>
      <c r="AF977">
        <f>IF(OR(AF$4="",$A977&gt;TODAY()),0,IF(OR(INDEX($B977:$D977,AF$5)="F",AND(AF$6&gt;0,$A977&lt;AF$6),AND(AF$7&gt;0,$A977&gt;AF$7)),0,MAX(0,ROUND((INDEX($E977:$G977,AF$5)-SUMIFS(TF_Timer,TF_Tekniker,AF$4,TF_Dato,$A977))*2,0)/2)))</f>
        <v/>
      </c>
      <c r="AG977">
        <f>IF(OR(AG$4="",$A977&gt;TODAY()),0,IF(OR(INDEX($B977:$D977,AG$5)="F",AND(AG$6&gt;0,$A977&lt;AG$6),AND(AG$7&gt;0,$A977&gt;AG$7)),0,MAX(0,ROUND((INDEX($E977:$G977,AG$5)-SUMIFS(TF_Timer,TF_Tekniker,AG$4,TF_Dato,$A977))*2,0)/2)))</f>
        <v/>
      </c>
      <c r="AH977">
        <f>IF(OR(AH$4="",$A977&gt;TODAY()),0,IF(OR(INDEX($B977:$D977,AH$5)="F",AND(AH$6&gt;0,$A977&lt;AH$6),AND(AH$7&gt;0,$A977&gt;AH$7)),0,MAX(0,ROUND((INDEX($E977:$G977,AH$5)-SUMIFS(TF_Timer,TF_Tekniker,AH$4,TF_Dato,$A977))*2,0)/2)))</f>
        <v/>
      </c>
      <c r="AI977">
        <f>IF(OR(AI$4="",$A977&gt;TODAY()),0,IF(OR(INDEX($B977:$D977,AI$5)="F",AND(AI$6&gt;0,$A977&lt;AI$6),AND(AI$7&gt;0,$A977&gt;AI$7)),0,MAX(0,ROUND((INDEX($E977:$G977,AI$5)-SUMIFS(TF_Timer,TF_Tekniker,AI$4,TF_Dato,$A977))*2,0)/2)))</f>
        <v/>
      </c>
      <c r="AJ977">
        <f>IF(OR(AJ$4="",$A977&gt;TODAY()),0,IF(OR(INDEX($B977:$D977,AJ$5)="F",AND(AJ$6&gt;0,$A977&lt;AJ$6),AND(AJ$7&gt;0,$A977&gt;AJ$7)),0,MAX(0,ROUND((INDEX($E977:$G977,AJ$5)-SUMIFS(TF_Timer,TF_Tekniker,AJ$4,TF_Dato,$A977))*2,0)/2)))</f>
        <v/>
      </c>
      <c r="AK977">
        <f>IF(OR(AK$4="",$A977&gt;TODAY()),0,IF(OR(INDEX($B977:$D977,AK$5)="F",AND(AK$6&gt;0,$A977&lt;AK$6),AND(AK$7&gt;0,$A977&gt;AK$7)),0,MAX(0,ROUND((INDEX($E977:$G977,AK$5)-SUMIFS(TF_Timer,TF_Tekniker,AK$4,TF_Dato,$A977))*2,0)/2)))</f>
        <v/>
      </c>
      <c r="AL977">
        <f>IF(OR(AL$4="",$A977&gt;TODAY()),0,IF(OR(INDEX($B977:$D977,AL$5)="F",AND(AL$6&gt;0,$A977&lt;AL$6),AND(AL$7&gt;0,$A977&gt;AL$7)),0,MAX(0,ROUND((INDEX($E977:$G977,AL$5)-SUMIFS(TF_Timer,TF_Tekniker,AL$4,TF_Dato,$A977))*2,0)/2)))</f>
        <v/>
      </c>
      <c r="AM977">
        <f>IF(OR(AM$4="",$A977&gt;TODAY()),0,IF(OR(INDEX($B977:$D977,AM$5)="F",AND(AM$6&gt;0,$A977&lt;AM$6),AND(AM$7&gt;0,$A977&gt;AM$7)),0,MAX(0,ROUND((INDEX($E977:$G977,AM$5)-SUMIFS(TF_Timer,TF_Tekniker,AM$4,TF_Dato,$A977))*2,0)/2)))</f>
        <v/>
      </c>
      <c r="AN977">
        <f>IF(OR(AN$4="",$A977&gt;TODAY()),0,IF(OR(INDEX($B977:$D977,AN$5)="F",AND(AN$6&gt;0,$A977&lt;AN$6),AND(AN$7&gt;0,$A977&gt;AN$7)),0,MAX(0,ROUND((INDEX($E977:$G977,AN$5)-SUMIFS(TF_Timer,TF_Tekniker,AN$4,TF_Dato,$A977))*2,0)/2)))</f>
        <v/>
      </c>
      <c r="AO977">
        <f>IF(OR(AO$4="",$A977&gt;TODAY()),0,IF(OR(INDEX($B977:$D977,AO$5)="F",AND(AO$6&gt;0,$A977&lt;AO$6),AND(AO$7&gt;0,$A977&gt;AO$7)),0,MAX(0,ROUND((INDEX($E977:$G977,AO$5)-SUMIFS(TF_Timer,TF_Tekniker,AO$4,TF_Dato,$A977))*2,0)/2)))</f>
        <v/>
      </c>
      <c r="AP977">
        <f>IF(OR(AP$4="",$A977&gt;TODAY()),0,IF(OR(INDEX($B977:$D977,AP$5)="F",AND(AP$6&gt;0,$A977&lt;AP$6),AND(AP$7&gt;0,$A977&gt;AP$7)),0,MAX(0,ROUND((INDEX($E977:$G977,AP$5)-SUMIFS(TF_Timer,TF_Tekniker,AP$4,TF_Dato,$A977))*2,0)/2)))</f>
        <v/>
      </c>
      <c r="AQ977">
        <f>IF(OR(AQ$4="",$A977&gt;TODAY()),0,IF(OR(INDEX($B977:$D977,AQ$5)="F",AND(AQ$6&gt;0,$A977&lt;AQ$6),AND(AQ$7&gt;0,$A977&gt;AQ$7)),0,MAX(0,ROUND((INDEX($E977:$G977,AQ$5)-SUMIFS(TF_Timer,TF_Tekniker,AQ$4,TF_Dato,$A977))*2,0)/2)))</f>
        <v/>
      </c>
      <c r="AR977">
        <f>IF(OR(AR$4="",$A977&gt;TODAY()),0,IF(OR(INDEX($B977:$D977,AR$5)="F",AND(AR$6&gt;0,$A977&lt;AR$6),AND(AR$7&gt;0,$A977&gt;AR$7)),0,MAX(0,ROUND((INDEX($E977:$G977,AR$5)-SUMIFS(TF_Timer,TF_Tekniker,AR$4,TF_Dato,$A977))*2,0)/2)))</f>
        <v/>
      </c>
      <c r="AS977">
        <f>IF(OR(AS$4="",$A977&gt;TODAY()),0,IF(OR(INDEX($B977:$D977,AS$5)="F",AND(AS$6&gt;0,$A977&lt;AS$6),AND(AS$7&gt;0,$A977&gt;AS$7)),0,MAX(0,ROUND((INDEX($E977:$G977,AS$5)-SUMIFS(TF_Timer,TF_Tekniker,AS$4,TF_Dato,$A977))*2,0)/2)))</f>
        <v/>
      </c>
      <c r="AT977">
        <f>IF(OR(AT$4="",$A977&gt;TODAY()),0,IF(OR(INDEX($B977:$D977,AT$5)="F",AND(AT$6&gt;0,$A977&lt;AT$6),AND(AT$7&gt;0,$A977&gt;AT$7)),0,MAX(0,ROUND((INDEX($E977:$G977,AT$5)-SUMIFS(TF_Timer,TF_Tekniker,AT$4,TF_Dato,$A977))*2,0)/2)))</f>
        <v/>
      </c>
      <c r="AU977">
        <f>IF(OR(AU$4="",$A977&gt;TODAY()),0,IF(OR(INDEX($B977:$D977,AU$5)="F",AND(AU$6&gt;0,$A977&lt;AU$6),AND(AU$7&gt;0,$A977&gt;AU$7)),0,MAX(0,ROUND((INDEX($E977:$G977,AU$5)-SUMIFS(TF_Timer,TF_Tekniker,AU$4,TF_Dato,$A977))*2,0)/2)))</f>
        <v/>
      </c>
      <c r="AV977">
        <f>IF(OR(AV$4="",$A977&gt;TODAY()),0,IF(OR(INDEX($B977:$D977,AV$5)="F",AND(AV$6&gt;0,$A977&lt;AV$6),AND(AV$7&gt;0,$A977&gt;AV$7)),0,MAX(0,ROUND((INDEX($E977:$G977,AV$5)-SUMIFS(TF_Timer,TF_Tekniker,AV$4,TF_Dato,$A977))*2,0)/2)))</f>
        <v/>
      </c>
      <c r="AW977">
        <f>IF(OR(AW$4="",$A977&gt;TODAY()),0,IF(OR(INDEX($B977:$D977,AW$5)="F",AND(AW$6&gt;0,$A977&lt;AW$6),AND(AW$7&gt;0,$A977&gt;AW$7)),0,MAX(0,ROUND((INDEX($E977:$G977,AW$5)-SUMIFS(TF_Timer,TF_Tekniker,AW$4,TF_Dato,$A977))*2,0)/2)))</f>
        <v/>
      </c>
      <c r="AX977">
        <f>IF(OR(AX$4="",$A977&gt;TODAY()),0,IF(OR(INDEX($B977:$D977,AX$5)="F",AND(AX$6&gt;0,$A977&lt;AX$6),AND(AX$7&gt;0,$A977&gt;AX$7)),0,MAX(0,ROUND((INDEX($E977:$G977,AX$5)-SUMIFS(TF_Timer,TF_Tekniker,AX$4,TF_Dato,$A977))*2,0)/2)))</f>
        <v/>
      </c>
      <c r="AY977">
        <f>IF(OR(AY$4="",$A977&gt;TODAY()),0,IF(OR(INDEX($B977:$D977,AY$5)="F",AND(AY$6&gt;0,$A977&lt;AY$6),AND(AY$7&gt;0,$A977&gt;AY$7)),0,MAX(0,ROUND((INDEX($E977:$G977,AY$5)-SUMIFS(TF_Timer,TF_Tekniker,AY$4,TF_Dato,$A977))*2,0)/2)))</f>
        <v/>
      </c>
      <c r="AZ977">
        <f>IF(OR(AZ$4="",$A977&gt;TODAY()),0,IF(OR(INDEX($B977:$D977,AZ$5)="F",AND(AZ$6&gt;0,$A977&lt;AZ$6),AND(AZ$7&gt;0,$A977&gt;AZ$7)),0,MAX(0,ROUND((INDEX($E977:$G977,AZ$5)-SUMIFS(TF_Timer,TF_Tekniker,AZ$4,TF_Dato,$A977))*2,0)/2)))</f>
        <v/>
      </c>
      <c r="BA977">
        <f>IF(OR(BA$4="",$A977&gt;TODAY()),0,IF(OR(INDEX($B977:$D977,BA$5)="F",AND(BA$6&gt;0,$A977&lt;BA$6),AND(BA$7&gt;0,$A977&gt;BA$7)),0,MAX(0,ROUND((INDEX($E977:$G977,BA$5)-SUMIFS(TF_Timer,TF_Tekniker,BA$4,TF_Dato,$A977))*2,0)/2)))</f>
        <v/>
      </c>
      <c r="BB977">
        <f>IF(OR(BB$4="",$A977&gt;TODAY()),0,IF(OR(INDEX($B977:$D977,BB$5)="F",AND(BB$6&gt;0,$A977&lt;BB$6),AND(BB$7&gt;0,$A977&gt;BB$7)),0,MAX(0,ROUND((INDEX($E977:$G977,BB$5)-SUMIFS(TF_Timer,TF_Tekniker,BB$4,TF_Dato,$A977))*2,0)/2)))</f>
        <v/>
      </c>
      <c r="BC977">
        <f>IF(OR(BC$4="",$A977&gt;TODAY()),0,IF(OR(INDEX($B977:$D977,BC$5)="F",AND(BC$6&gt;0,$A977&lt;BC$6),AND(BC$7&gt;0,$A977&gt;BC$7)),0,MAX(0,ROUND((INDEX($E977:$G977,BC$5)-SUMIFS(TF_Timer,TF_Tekniker,BC$4,TF_Dato,$A977))*2,0)/2)))</f>
        <v/>
      </c>
      <c r="BD977">
        <f>IF(OR(BD$4="",$A977&gt;TODAY()),0,IF(OR(INDEX($B977:$D977,BD$5)="F",AND(BD$6&gt;0,$A977&lt;BD$6),AND(BD$7&gt;0,$A977&gt;BD$7)),0,MAX(0,ROUND((INDEX($E977:$G977,BD$5)-SUMIFS(TF_Timer,TF_Tekniker,BD$4,TF_Dato,$A977))*2,0)/2)))</f>
        <v/>
      </c>
      <c r="BE977">
        <f>IF(OR(BE$4="",$A977&gt;TODAY()),0,IF(OR(INDEX($B977:$D977,BE$5)="F",AND(BE$6&gt;0,$A977&lt;BE$6),AND(BE$7&gt;0,$A977&gt;BE$7)),0,MAX(0,ROUND((INDEX($E977:$G977,BE$5)-SUMIFS(TF_Timer,TF_Tekniker,BE$4,TF_Dato,$A977))*2,0)/2)))</f>
        <v/>
      </c>
      <c r="BF977">
        <f>IF(OR(BF$4="",$A977&gt;TODAY()),0,IF(OR(INDEX($B977:$D977,BF$5)="F",AND(BF$6&gt;0,$A977&lt;BF$6),AND(BF$7&gt;0,$A977&gt;BF$7)),0,MAX(0,ROUND((INDEX($E977:$G977,BF$5)-SUMIFS(TF_Timer,TF_Tekniker,BF$4,TF_Dato,$A977))*2,0)/2)))</f>
        <v/>
      </c>
      <c r="BG977">
        <f>IF(OR(BG$4="",$A977&gt;TODAY()),0,IF(OR(INDEX($B977:$D977,BG$5)="F",AND(BG$6&gt;0,$A977&lt;BG$6),AND(BG$7&gt;0,$A977&gt;BG$7)),0,MAX(0,ROUND((INDEX($E977:$G977,BG$5)-SUMIFS(TF_Timer,TF_Tekniker,BG$4,TF_Dato,$A977))*2,0)/2)))</f>
        <v/>
      </c>
      <c r="BH977">
        <f>IF(OR(BH$4="",$A977&gt;TODAY()),0,IF(OR(INDEX($B977:$D977,BH$5)="F",AND(BH$6&gt;0,$A977&lt;BH$6),AND(BH$7&gt;0,$A977&gt;BH$7)),0,MAX(0,ROUND((INDEX($E977:$G977,BH$5)-SUMIFS(TF_Timer,TF_Tekniker,BH$4,TF_Dato,$A977))*2,0)/2)))</f>
        <v/>
      </c>
      <c r="BI977">
        <f>IF(OR(BI$4="",$A977&gt;TODAY()),0,IF(OR(INDEX($B977:$D977,BI$5)="F",AND(BI$6&gt;0,$A977&lt;BI$6),AND(BI$7&gt;0,$A977&gt;BI$7)),0,MAX(0,ROUND((INDEX($E977:$G977,BI$5)-SUMIFS(TF_Timer,TF_Tekniker,BI$4,TF_Dato,$A977))*2,0)/2)))</f>
        <v/>
      </c>
    </row>
    <row r="978">
      <c r="A978" s="64">
        <f>A977+1</f>
        <v/>
      </c>
      <c r="B978">
        <f>IF(MOD($A978-INDEX(SkiftStart,1),Syklus)&lt;DagK,"K",IF(MOD($A978-INDEX(SkiftStart,1),Syklus)&lt;DagK+DagH,"H",IF(MOD($A978-INDEX(SkiftStart,1),Syklus)&lt;DagK+DagH+DagD,"D","F")))</f>
        <v/>
      </c>
      <c r="C978">
        <f>IF(MOD($A978-INDEX(SkiftStart,2),Syklus)&lt;DagK,"K",IF(MOD($A978-INDEX(SkiftStart,2),Syklus)&lt;DagK+DagH,"H",IF(MOD($A978-INDEX(SkiftStart,2),Syklus)&lt;DagK+DagH+DagD,"D","F")))</f>
        <v/>
      </c>
      <c r="D978">
        <f>IF(MOD($A978-INDEX(SkiftStart,3),Syklus)&lt;DagK,"K",IF(MOD($A978-INDEX(SkiftStart,3),Syklus)&lt;DagK+DagH,"H",IF(MOD($A978-INDEX(SkiftStart,3),Syklus)&lt;DagK+DagH+DagD,"D","F")))</f>
        <v/>
      </c>
      <c r="E978">
        <f>IF(B978="F",0,IF(WEEKDAY($A978,2)=5,INDEX(TimerFr,MATCH(B978,FaseKode,0)),INDEX(TimerMT,MATCH(B978,FaseKode,0))))</f>
        <v/>
      </c>
      <c r="F978">
        <f>IF(C978="F",0,IF(WEEKDAY($A978,2)=5,INDEX(TimerFr,MATCH(C978,FaseKode,0)),INDEX(TimerMT,MATCH(C978,FaseKode,0))))</f>
        <v/>
      </c>
      <c r="G978">
        <f>IF(D978="F",0,IF(WEEKDAY($A978,2)=5,INDEX(TimerFr,MATCH(D978,FaseKode,0)),INDEX(TimerMT,MATCH(D978,FaseKode,0))))</f>
        <v/>
      </c>
      <c r="H978">
        <f>IF(OR(H$4="",$A978&gt;TODAY()),0,IF(OR(INDEX($B978:$D978,H$5)="F",AND(H$6&gt;0,$A978&lt;H$6),AND(H$7&gt;0,$A978&gt;H$7)),0,MAX(0,ROUND((INDEX($E978:$G978,H$5)-SUMIFS(TF_Timer,TF_Tekniker,H$4,TF_Dato,$A978))*2,0)/2)))</f>
        <v/>
      </c>
      <c r="I978">
        <f>IF(OR(I$4="",$A978&gt;TODAY()),0,IF(OR(INDEX($B978:$D978,I$5)="F",AND(I$6&gt;0,$A978&lt;I$6),AND(I$7&gt;0,$A978&gt;I$7)),0,MAX(0,ROUND((INDEX($E978:$G978,I$5)-SUMIFS(TF_Timer,TF_Tekniker,I$4,TF_Dato,$A978))*2,0)/2)))</f>
        <v/>
      </c>
      <c r="J978">
        <f>IF(OR(J$4="",$A978&gt;TODAY()),0,IF(OR(INDEX($B978:$D978,J$5)="F",AND(J$6&gt;0,$A978&lt;J$6),AND(J$7&gt;0,$A978&gt;J$7)),0,MAX(0,ROUND((INDEX($E978:$G978,J$5)-SUMIFS(TF_Timer,TF_Tekniker,J$4,TF_Dato,$A978))*2,0)/2)))</f>
        <v/>
      </c>
      <c r="K978">
        <f>IF(OR(K$4="",$A978&gt;TODAY()),0,IF(OR(INDEX($B978:$D978,K$5)="F",AND(K$6&gt;0,$A978&lt;K$6),AND(K$7&gt;0,$A978&gt;K$7)),0,MAX(0,ROUND((INDEX($E978:$G978,K$5)-SUMIFS(TF_Timer,TF_Tekniker,K$4,TF_Dato,$A978))*2,0)/2)))</f>
        <v/>
      </c>
      <c r="L978">
        <f>IF(OR(L$4="",$A978&gt;TODAY()),0,IF(OR(INDEX($B978:$D978,L$5)="F",AND(L$6&gt;0,$A978&lt;L$6),AND(L$7&gt;0,$A978&gt;L$7)),0,MAX(0,ROUND((INDEX($E978:$G978,L$5)-SUMIFS(TF_Timer,TF_Tekniker,L$4,TF_Dato,$A978))*2,0)/2)))</f>
        <v/>
      </c>
      <c r="M978">
        <f>IF(OR(M$4="",$A978&gt;TODAY()),0,IF(OR(INDEX($B978:$D978,M$5)="F",AND(M$6&gt;0,$A978&lt;M$6),AND(M$7&gt;0,$A978&gt;M$7)),0,MAX(0,ROUND((INDEX($E978:$G978,M$5)-SUMIFS(TF_Timer,TF_Tekniker,M$4,TF_Dato,$A978))*2,0)/2)))</f>
        <v/>
      </c>
      <c r="N978">
        <f>IF(OR(N$4="",$A978&gt;TODAY()),0,IF(OR(INDEX($B978:$D978,N$5)="F",AND(N$6&gt;0,$A978&lt;N$6),AND(N$7&gt;0,$A978&gt;N$7)),0,MAX(0,ROUND((INDEX($E978:$G978,N$5)-SUMIFS(TF_Timer,TF_Tekniker,N$4,TF_Dato,$A978))*2,0)/2)))</f>
        <v/>
      </c>
      <c r="O978">
        <f>IF(OR(O$4="",$A978&gt;TODAY()),0,IF(OR(INDEX($B978:$D978,O$5)="F",AND(O$6&gt;0,$A978&lt;O$6),AND(O$7&gt;0,$A978&gt;O$7)),0,MAX(0,ROUND((INDEX($E978:$G978,O$5)-SUMIFS(TF_Timer,TF_Tekniker,O$4,TF_Dato,$A978))*2,0)/2)))</f>
        <v/>
      </c>
      <c r="P978">
        <f>IF(OR(P$4="",$A978&gt;TODAY()),0,IF(OR(INDEX($B978:$D978,P$5)="F",AND(P$6&gt;0,$A978&lt;P$6),AND(P$7&gt;0,$A978&gt;P$7)),0,MAX(0,ROUND((INDEX($E978:$G978,P$5)-SUMIFS(TF_Timer,TF_Tekniker,P$4,TF_Dato,$A978))*2,0)/2)))</f>
        <v/>
      </c>
      <c r="Q978">
        <f>IF(OR(Q$4="",$A978&gt;TODAY()),0,IF(OR(INDEX($B978:$D978,Q$5)="F",AND(Q$6&gt;0,$A978&lt;Q$6),AND(Q$7&gt;0,$A978&gt;Q$7)),0,MAX(0,ROUND((INDEX($E978:$G978,Q$5)-SUMIFS(TF_Timer,TF_Tekniker,Q$4,TF_Dato,$A978))*2,0)/2)))</f>
        <v/>
      </c>
      <c r="R978">
        <f>IF(OR(R$4="",$A978&gt;TODAY()),0,IF(OR(INDEX($B978:$D978,R$5)="F",AND(R$6&gt;0,$A978&lt;R$6),AND(R$7&gt;0,$A978&gt;R$7)),0,MAX(0,ROUND((INDEX($E978:$G978,R$5)-SUMIFS(TF_Timer,TF_Tekniker,R$4,TF_Dato,$A978))*2,0)/2)))</f>
        <v/>
      </c>
      <c r="S978">
        <f>IF(OR(S$4="",$A978&gt;TODAY()),0,IF(OR(INDEX($B978:$D978,S$5)="F",AND(S$6&gt;0,$A978&lt;S$6),AND(S$7&gt;0,$A978&gt;S$7)),0,MAX(0,ROUND((INDEX($E978:$G978,S$5)-SUMIFS(TF_Timer,TF_Tekniker,S$4,TF_Dato,$A978))*2,0)/2)))</f>
        <v/>
      </c>
      <c r="T978">
        <f>IF(OR(T$4="",$A978&gt;TODAY()),0,IF(OR(INDEX($B978:$D978,T$5)="F",AND(T$6&gt;0,$A978&lt;T$6),AND(T$7&gt;0,$A978&gt;T$7)),0,MAX(0,ROUND((INDEX($E978:$G978,T$5)-SUMIFS(TF_Timer,TF_Tekniker,T$4,TF_Dato,$A978))*2,0)/2)))</f>
        <v/>
      </c>
      <c r="U978">
        <f>IF(OR(U$4="",$A978&gt;TODAY()),0,IF(OR(INDEX($B978:$D978,U$5)="F",AND(U$6&gt;0,$A978&lt;U$6),AND(U$7&gt;0,$A978&gt;U$7)),0,MAX(0,ROUND((INDEX($E978:$G978,U$5)-SUMIFS(TF_Timer,TF_Tekniker,U$4,TF_Dato,$A978))*2,0)/2)))</f>
        <v/>
      </c>
      <c r="V978">
        <f>IF(OR(V$4="",$A978&gt;TODAY()),0,IF(OR(INDEX($B978:$D978,V$5)="F",AND(V$6&gt;0,$A978&lt;V$6),AND(V$7&gt;0,$A978&gt;V$7)),0,MAX(0,ROUND((INDEX($E978:$G978,V$5)-SUMIFS(TF_Timer,TF_Tekniker,V$4,TF_Dato,$A978))*2,0)/2)))</f>
        <v/>
      </c>
      <c r="W978">
        <f>IF(OR(W$4="",$A978&gt;TODAY()),0,IF(OR(INDEX($B978:$D978,W$5)="F",AND(W$6&gt;0,$A978&lt;W$6),AND(W$7&gt;0,$A978&gt;W$7)),0,MAX(0,ROUND((INDEX($E978:$G978,W$5)-SUMIFS(TF_Timer,TF_Tekniker,W$4,TF_Dato,$A978))*2,0)/2)))</f>
        <v/>
      </c>
      <c r="X978">
        <f>IF(OR(X$4="",$A978&gt;TODAY()),0,IF(OR(INDEX($B978:$D978,X$5)="F",AND(X$6&gt;0,$A978&lt;X$6),AND(X$7&gt;0,$A978&gt;X$7)),0,MAX(0,ROUND((INDEX($E978:$G978,X$5)-SUMIFS(TF_Timer,TF_Tekniker,X$4,TF_Dato,$A978))*2,0)/2)))</f>
        <v/>
      </c>
      <c r="Y978">
        <f>IF(OR(Y$4="",$A978&gt;TODAY()),0,IF(OR(INDEX($B978:$D978,Y$5)="F",AND(Y$6&gt;0,$A978&lt;Y$6),AND(Y$7&gt;0,$A978&gt;Y$7)),0,MAX(0,ROUND((INDEX($E978:$G978,Y$5)-SUMIFS(TF_Timer,TF_Tekniker,Y$4,TF_Dato,$A978))*2,0)/2)))</f>
        <v/>
      </c>
      <c r="Z978">
        <f>IF(OR(Z$4="",$A978&gt;TODAY()),0,IF(OR(INDEX($B978:$D978,Z$5)="F",AND(Z$6&gt;0,$A978&lt;Z$6),AND(Z$7&gt;0,$A978&gt;Z$7)),0,MAX(0,ROUND((INDEX($E978:$G978,Z$5)-SUMIFS(TF_Timer,TF_Tekniker,Z$4,TF_Dato,$A978))*2,0)/2)))</f>
        <v/>
      </c>
      <c r="AA978">
        <f>IF(OR(AA$4="",$A978&gt;TODAY()),0,IF(OR(INDEX($B978:$D978,AA$5)="F",AND(AA$6&gt;0,$A978&lt;AA$6),AND(AA$7&gt;0,$A978&gt;AA$7)),0,MAX(0,ROUND((INDEX($E978:$G978,AA$5)-SUMIFS(TF_Timer,TF_Tekniker,AA$4,TF_Dato,$A978))*2,0)/2)))</f>
        <v/>
      </c>
      <c r="AB978">
        <f>IF(OR(AB$4="",$A978&gt;TODAY()),0,IF(OR(INDEX($B978:$D978,AB$5)="F",AND(AB$6&gt;0,$A978&lt;AB$6),AND(AB$7&gt;0,$A978&gt;AB$7)),0,MAX(0,ROUND((INDEX($E978:$G978,AB$5)-SUMIFS(TF_Timer,TF_Tekniker,AB$4,TF_Dato,$A978))*2,0)/2)))</f>
        <v/>
      </c>
      <c r="AC978">
        <f>IF(OR(AC$4="",$A978&gt;TODAY()),0,IF(OR(INDEX($B978:$D978,AC$5)="F",AND(AC$6&gt;0,$A978&lt;AC$6),AND(AC$7&gt;0,$A978&gt;AC$7)),0,MAX(0,ROUND((INDEX($E978:$G978,AC$5)-SUMIFS(TF_Timer,TF_Tekniker,AC$4,TF_Dato,$A978))*2,0)/2)))</f>
        <v/>
      </c>
      <c r="AD978">
        <f>IF(OR(AD$4="",$A978&gt;TODAY()),0,IF(OR(INDEX($B978:$D978,AD$5)="F",AND(AD$6&gt;0,$A978&lt;AD$6),AND(AD$7&gt;0,$A978&gt;AD$7)),0,MAX(0,ROUND((INDEX($E978:$G978,AD$5)-SUMIFS(TF_Timer,TF_Tekniker,AD$4,TF_Dato,$A978))*2,0)/2)))</f>
        <v/>
      </c>
      <c r="AE978">
        <f>IF(OR(AE$4="",$A978&gt;TODAY()),0,IF(OR(INDEX($B978:$D978,AE$5)="F",AND(AE$6&gt;0,$A978&lt;AE$6),AND(AE$7&gt;0,$A978&gt;AE$7)),0,MAX(0,ROUND((INDEX($E978:$G978,AE$5)-SUMIFS(TF_Timer,TF_Tekniker,AE$4,TF_Dato,$A978))*2,0)/2)))</f>
        <v/>
      </c>
      <c r="AF978">
        <f>IF(OR(AF$4="",$A978&gt;TODAY()),0,IF(OR(INDEX($B978:$D978,AF$5)="F",AND(AF$6&gt;0,$A978&lt;AF$6),AND(AF$7&gt;0,$A978&gt;AF$7)),0,MAX(0,ROUND((INDEX($E978:$G978,AF$5)-SUMIFS(TF_Timer,TF_Tekniker,AF$4,TF_Dato,$A978))*2,0)/2)))</f>
        <v/>
      </c>
      <c r="AG978">
        <f>IF(OR(AG$4="",$A978&gt;TODAY()),0,IF(OR(INDEX($B978:$D978,AG$5)="F",AND(AG$6&gt;0,$A978&lt;AG$6),AND(AG$7&gt;0,$A978&gt;AG$7)),0,MAX(0,ROUND((INDEX($E978:$G978,AG$5)-SUMIFS(TF_Timer,TF_Tekniker,AG$4,TF_Dato,$A978))*2,0)/2)))</f>
        <v/>
      </c>
      <c r="AH978">
        <f>IF(OR(AH$4="",$A978&gt;TODAY()),0,IF(OR(INDEX($B978:$D978,AH$5)="F",AND(AH$6&gt;0,$A978&lt;AH$6),AND(AH$7&gt;0,$A978&gt;AH$7)),0,MAX(0,ROUND((INDEX($E978:$G978,AH$5)-SUMIFS(TF_Timer,TF_Tekniker,AH$4,TF_Dato,$A978))*2,0)/2)))</f>
        <v/>
      </c>
      <c r="AI978">
        <f>IF(OR(AI$4="",$A978&gt;TODAY()),0,IF(OR(INDEX($B978:$D978,AI$5)="F",AND(AI$6&gt;0,$A978&lt;AI$6),AND(AI$7&gt;0,$A978&gt;AI$7)),0,MAX(0,ROUND((INDEX($E978:$G978,AI$5)-SUMIFS(TF_Timer,TF_Tekniker,AI$4,TF_Dato,$A978))*2,0)/2)))</f>
        <v/>
      </c>
      <c r="AJ978">
        <f>IF(OR(AJ$4="",$A978&gt;TODAY()),0,IF(OR(INDEX($B978:$D978,AJ$5)="F",AND(AJ$6&gt;0,$A978&lt;AJ$6),AND(AJ$7&gt;0,$A978&gt;AJ$7)),0,MAX(0,ROUND((INDEX($E978:$G978,AJ$5)-SUMIFS(TF_Timer,TF_Tekniker,AJ$4,TF_Dato,$A978))*2,0)/2)))</f>
        <v/>
      </c>
      <c r="AK978">
        <f>IF(OR(AK$4="",$A978&gt;TODAY()),0,IF(OR(INDEX($B978:$D978,AK$5)="F",AND(AK$6&gt;0,$A978&lt;AK$6),AND(AK$7&gt;0,$A978&gt;AK$7)),0,MAX(0,ROUND((INDEX($E978:$G978,AK$5)-SUMIFS(TF_Timer,TF_Tekniker,AK$4,TF_Dato,$A978))*2,0)/2)))</f>
        <v/>
      </c>
      <c r="AL978">
        <f>IF(OR(AL$4="",$A978&gt;TODAY()),0,IF(OR(INDEX($B978:$D978,AL$5)="F",AND(AL$6&gt;0,$A978&lt;AL$6),AND(AL$7&gt;0,$A978&gt;AL$7)),0,MAX(0,ROUND((INDEX($E978:$G978,AL$5)-SUMIFS(TF_Timer,TF_Tekniker,AL$4,TF_Dato,$A978))*2,0)/2)))</f>
        <v/>
      </c>
      <c r="AM978">
        <f>IF(OR(AM$4="",$A978&gt;TODAY()),0,IF(OR(INDEX($B978:$D978,AM$5)="F",AND(AM$6&gt;0,$A978&lt;AM$6),AND(AM$7&gt;0,$A978&gt;AM$7)),0,MAX(0,ROUND((INDEX($E978:$G978,AM$5)-SUMIFS(TF_Timer,TF_Tekniker,AM$4,TF_Dato,$A978))*2,0)/2)))</f>
        <v/>
      </c>
      <c r="AN978">
        <f>IF(OR(AN$4="",$A978&gt;TODAY()),0,IF(OR(INDEX($B978:$D978,AN$5)="F",AND(AN$6&gt;0,$A978&lt;AN$6),AND(AN$7&gt;0,$A978&gt;AN$7)),0,MAX(0,ROUND((INDEX($E978:$G978,AN$5)-SUMIFS(TF_Timer,TF_Tekniker,AN$4,TF_Dato,$A978))*2,0)/2)))</f>
        <v/>
      </c>
      <c r="AO978">
        <f>IF(OR(AO$4="",$A978&gt;TODAY()),0,IF(OR(INDEX($B978:$D978,AO$5)="F",AND(AO$6&gt;0,$A978&lt;AO$6),AND(AO$7&gt;0,$A978&gt;AO$7)),0,MAX(0,ROUND((INDEX($E978:$G978,AO$5)-SUMIFS(TF_Timer,TF_Tekniker,AO$4,TF_Dato,$A978))*2,0)/2)))</f>
        <v/>
      </c>
      <c r="AP978">
        <f>IF(OR(AP$4="",$A978&gt;TODAY()),0,IF(OR(INDEX($B978:$D978,AP$5)="F",AND(AP$6&gt;0,$A978&lt;AP$6),AND(AP$7&gt;0,$A978&gt;AP$7)),0,MAX(0,ROUND((INDEX($E978:$G978,AP$5)-SUMIFS(TF_Timer,TF_Tekniker,AP$4,TF_Dato,$A978))*2,0)/2)))</f>
        <v/>
      </c>
      <c r="AQ978">
        <f>IF(OR(AQ$4="",$A978&gt;TODAY()),0,IF(OR(INDEX($B978:$D978,AQ$5)="F",AND(AQ$6&gt;0,$A978&lt;AQ$6),AND(AQ$7&gt;0,$A978&gt;AQ$7)),0,MAX(0,ROUND((INDEX($E978:$G978,AQ$5)-SUMIFS(TF_Timer,TF_Tekniker,AQ$4,TF_Dato,$A978))*2,0)/2)))</f>
        <v/>
      </c>
      <c r="AR978">
        <f>IF(OR(AR$4="",$A978&gt;TODAY()),0,IF(OR(INDEX($B978:$D978,AR$5)="F",AND(AR$6&gt;0,$A978&lt;AR$6),AND(AR$7&gt;0,$A978&gt;AR$7)),0,MAX(0,ROUND((INDEX($E978:$G978,AR$5)-SUMIFS(TF_Timer,TF_Tekniker,AR$4,TF_Dato,$A978))*2,0)/2)))</f>
        <v/>
      </c>
      <c r="AS978">
        <f>IF(OR(AS$4="",$A978&gt;TODAY()),0,IF(OR(INDEX($B978:$D978,AS$5)="F",AND(AS$6&gt;0,$A978&lt;AS$6),AND(AS$7&gt;0,$A978&gt;AS$7)),0,MAX(0,ROUND((INDEX($E978:$G978,AS$5)-SUMIFS(TF_Timer,TF_Tekniker,AS$4,TF_Dato,$A978))*2,0)/2)))</f>
        <v/>
      </c>
      <c r="AT978">
        <f>IF(OR(AT$4="",$A978&gt;TODAY()),0,IF(OR(INDEX($B978:$D978,AT$5)="F",AND(AT$6&gt;0,$A978&lt;AT$6),AND(AT$7&gt;0,$A978&gt;AT$7)),0,MAX(0,ROUND((INDEX($E978:$G978,AT$5)-SUMIFS(TF_Timer,TF_Tekniker,AT$4,TF_Dato,$A978))*2,0)/2)))</f>
        <v/>
      </c>
      <c r="AU978">
        <f>IF(OR(AU$4="",$A978&gt;TODAY()),0,IF(OR(INDEX($B978:$D978,AU$5)="F",AND(AU$6&gt;0,$A978&lt;AU$6),AND(AU$7&gt;0,$A978&gt;AU$7)),0,MAX(0,ROUND((INDEX($E978:$G978,AU$5)-SUMIFS(TF_Timer,TF_Tekniker,AU$4,TF_Dato,$A978))*2,0)/2)))</f>
        <v/>
      </c>
      <c r="AV978">
        <f>IF(OR(AV$4="",$A978&gt;TODAY()),0,IF(OR(INDEX($B978:$D978,AV$5)="F",AND(AV$6&gt;0,$A978&lt;AV$6),AND(AV$7&gt;0,$A978&gt;AV$7)),0,MAX(0,ROUND((INDEX($E978:$G978,AV$5)-SUMIFS(TF_Timer,TF_Tekniker,AV$4,TF_Dato,$A978))*2,0)/2)))</f>
        <v/>
      </c>
      <c r="AW978">
        <f>IF(OR(AW$4="",$A978&gt;TODAY()),0,IF(OR(INDEX($B978:$D978,AW$5)="F",AND(AW$6&gt;0,$A978&lt;AW$6),AND(AW$7&gt;0,$A978&gt;AW$7)),0,MAX(0,ROUND((INDEX($E978:$G978,AW$5)-SUMIFS(TF_Timer,TF_Tekniker,AW$4,TF_Dato,$A978))*2,0)/2)))</f>
        <v/>
      </c>
      <c r="AX978">
        <f>IF(OR(AX$4="",$A978&gt;TODAY()),0,IF(OR(INDEX($B978:$D978,AX$5)="F",AND(AX$6&gt;0,$A978&lt;AX$6),AND(AX$7&gt;0,$A978&gt;AX$7)),0,MAX(0,ROUND((INDEX($E978:$G978,AX$5)-SUMIFS(TF_Timer,TF_Tekniker,AX$4,TF_Dato,$A978))*2,0)/2)))</f>
        <v/>
      </c>
      <c r="AY978">
        <f>IF(OR(AY$4="",$A978&gt;TODAY()),0,IF(OR(INDEX($B978:$D978,AY$5)="F",AND(AY$6&gt;0,$A978&lt;AY$6),AND(AY$7&gt;0,$A978&gt;AY$7)),0,MAX(0,ROUND((INDEX($E978:$G978,AY$5)-SUMIFS(TF_Timer,TF_Tekniker,AY$4,TF_Dato,$A978))*2,0)/2)))</f>
        <v/>
      </c>
      <c r="AZ978">
        <f>IF(OR(AZ$4="",$A978&gt;TODAY()),0,IF(OR(INDEX($B978:$D978,AZ$5)="F",AND(AZ$6&gt;0,$A978&lt;AZ$6),AND(AZ$7&gt;0,$A978&gt;AZ$7)),0,MAX(0,ROUND((INDEX($E978:$G978,AZ$5)-SUMIFS(TF_Timer,TF_Tekniker,AZ$4,TF_Dato,$A978))*2,0)/2)))</f>
        <v/>
      </c>
      <c r="BA978">
        <f>IF(OR(BA$4="",$A978&gt;TODAY()),0,IF(OR(INDEX($B978:$D978,BA$5)="F",AND(BA$6&gt;0,$A978&lt;BA$6),AND(BA$7&gt;0,$A978&gt;BA$7)),0,MAX(0,ROUND((INDEX($E978:$G978,BA$5)-SUMIFS(TF_Timer,TF_Tekniker,BA$4,TF_Dato,$A978))*2,0)/2)))</f>
        <v/>
      </c>
      <c r="BB978">
        <f>IF(OR(BB$4="",$A978&gt;TODAY()),0,IF(OR(INDEX($B978:$D978,BB$5)="F",AND(BB$6&gt;0,$A978&lt;BB$6),AND(BB$7&gt;0,$A978&gt;BB$7)),0,MAX(0,ROUND((INDEX($E978:$G978,BB$5)-SUMIFS(TF_Timer,TF_Tekniker,BB$4,TF_Dato,$A978))*2,0)/2)))</f>
        <v/>
      </c>
      <c r="BC978">
        <f>IF(OR(BC$4="",$A978&gt;TODAY()),0,IF(OR(INDEX($B978:$D978,BC$5)="F",AND(BC$6&gt;0,$A978&lt;BC$6),AND(BC$7&gt;0,$A978&gt;BC$7)),0,MAX(0,ROUND((INDEX($E978:$G978,BC$5)-SUMIFS(TF_Timer,TF_Tekniker,BC$4,TF_Dato,$A978))*2,0)/2)))</f>
        <v/>
      </c>
      <c r="BD978">
        <f>IF(OR(BD$4="",$A978&gt;TODAY()),0,IF(OR(INDEX($B978:$D978,BD$5)="F",AND(BD$6&gt;0,$A978&lt;BD$6),AND(BD$7&gt;0,$A978&gt;BD$7)),0,MAX(0,ROUND((INDEX($E978:$G978,BD$5)-SUMIFS(TF_Timer,TF_Tekniker,BD$4,TF_Dato,$A978))*2,0)/2)))</f>
        <v/>
      </c>
      <c r="BE978">
        <f>IF(OR(BE$4="",$A978&gt;TODAY()),0,IF(OR(INDEX($B978:$D978,BE$5)="F",AND(BE$6&gt;0,$A978&lt;BE$6),AND(BE$7&gt;0,$A978&gt;BE$7)),0,MAX(0,ROUND((INDEX($E978:$G978,BE$5)-SUMIFS(TF_Timer,TF_Tekniker,BE$4,TF_Dato,$A978))*2,0)/2)))</f>
        <v/>
      </c>
      <c r="BF978">
        <f>IF(OR(BF$4="",$A978&gt;TODAY()),0,IF(OR(INDEX($B978:$D978,BF$5)="F",AND(BF$6&gt;0,$A978&lt;BF$6),AND(BF$7&gt;0,$A978&gt;BF$7)),0,MAX(0,ROUND((INDEX($E978:$G978,BF$5)-SUMIFS(TF_Timer,TF_Tekniker,BF$4,TF_Dato,$A978))*2,0)/2)))</f>
        <v/>
      </c>
      <c r="BG978">
        <f>IF(OR(BG$4="",$A978&gt;TODAY()),0,IF(OR(INDEX($B978:$D978,BG$5)="F",AND(BG$6&gt;0,$A978&lt;BG$6),AND(BG$7&gt;0,$A978&gt;BG$7)),0,MAX(0,ROUND((INDEX($E978:$G978,BG$5)-SUMIFS(TF_Timer,TF_Tekniker,BG$4,TF_Dato,$A978))*2,0)/2)))</f>
        <v/>
      </c>
      <c r="BH978">
        <f>IF(OR(BH$4="",$A978&gt;TODAY()),0,IF(OR(INDEX($B978:$D978,BH$5)="F",AND(BH$6&gt;0,$A978&lt;BH$6),AND(BH$7&gt;0,$A978&gt;BH$7)),0,MAX(0,ROUND((INDEX($E978:$G978,BH$5)-SUMIFS(TF_Timer,TF_Tekniker,BH$4,TF_Dato,$A978))*2,0)/2)))</f>
        <v/>
      </c>
      <c r="BI978">
        <f>IF(OR(BI$4="",$A978&gt;TODAY()),0,IF(OR(INDEX($B978:$D978,BI$5)="F",AND(BI$6&gt;0,$A978&lt;BI$6),AND(BI$7&gt;0,$A978&gt;BI$7)),0,MAX(0,ROUND((INDEX($E978:$G978,BI$5)-SUMIFS(TF_Timer,TF_Tekniker,BI$4,TF_Dato,$A978))*2,0)/2)))</f>
        <v/>
      </c>
    </row>
    <row r="979">
      <c r="A979" s="64">
        <f>A978+1</f>
        <v/>
      </c>
      <c r="B979">
        <f>IF(MOD($A979-INDEX(SkiftStart,1),Syklus)&lt;DagK,"K",IF(MOD($A979-INDEX(SkiftStart,1),Syklus)&lt;DagK+DagH,"H",IF(MOD($A979-INDEX(SkiftStart,1),Syklus)&lt;DagK+DagH+DagD,"D","F")))</f>
        <v/>
      </c>
      <c r="C979">
        <f>IF(MOD($A979-INDEX(SkiftStart,2),Syklus)&lt;DagK,"K",IF(MOD($A979-INDEX(SkiftStart,2),Syklus)&lt;DagK+DagH,"H",IF(MOD($A979-INDEX(SkiftStart,2),Syklus)&lt;DagK+DagH+DagD,"D","F")))</f>
        <v/>
      </c>
      <c r="D979">
        <f>IF(MOD($A979-INDEX(SkiftStart,3),Syklus)&lt;DagK,"K",IF(MOD($A979-INDEX(SkiftStart,3),Syklus)&lt;DagK+DagH,"H",IF(MOD($A979-INDEX(SkiftStart,3),Syklus)&lt;DagK+DagH+DagD,"D","F")))</f>
        <v/>
      </c>
      <c r="E979">
        <f>IF(B979="F",0,IF(WEEKDAY($A979,2)=5,INDEX(TimerFr,MATCH(B979,FaseKode,0)),INDEX(TimerMT,MATCH(B979,FaseKode,0))))</f>
        <v/>
      </c>
      <c r="F979">
        <f>IF(C979="F",0,IF(WEEKDAY($A979,2)=5,INDEX(TimerFr,MATCH(C979,FaseKode,0)),INDEX(TimerMT,MATCH(C979,FaseKode,0))))</f>
        <v/>
      </c>
      <c r="G979">
        <f>IF(D979="F",0,IF(WEEKDAY($A979,2)=5,INDEX(TimerFr,MATCH(D979,FaseKode,0)),INDEX(TimerMT,MATCH(D979,FaseKode,0))))</f>
        <v/>
      </c>
      <c r="H979">
        <f>IF(OR(H$4="",$A979&gt;TODAY()),0,IF(OR(INDEX($B979:$D979,H$5)="F",AND(H$6&gt;0,$A979&lt;H$6),AND(H$7&gt;0,$A979&gt;H$7)),0,MAX(0,ROUND((INDEX($E979:$G979,H$5)-SUMIFS(TF_Timer,TF_Tekniker,H$4,TF_Dato,$A979))*2,0)/2)))</f>
        <v/>
      </c>
      <c r="I979">
        <f>IF(OR(I$4="",$A979&gt;TODAY()),0,IF(OR(INDEX($B979:$D979,I$5)="F",AND(I$6&gt;0,$A979&lt;I$6),AND(I$7&gt;0,$A979&gt;I$7)),0,MAX(0,ROUND((INDEX($E979:$G979,I$5)-SUMIFS(TF_Timer,TF_Tekniker,I$4,TF_Dato,$A979))*2,0)/2)))</f>
        <v/>
      </c>
      <c r="J979">
        <f>IF(OR(J$4="",$A979&gt;TODAY()),0,IF(OR(INDEX($B979:$D979,J$5)="F",AND(J$6&gt;0,$A979&lt;J$6),AND(J$7&gt;0,$A979&gt;J$7)),0,MAX(0,ROUND((INDEX($E979:$G979,J$5)-SUMIFS(TF_Timer,TF_Tekniker,J$4,TF_Dato,$A979))*2,0)/2)))</f>
        <v/>
      </c>
      <c r="K979">
        <f>IF(OR(K$4="",$A979&gt;TODAY()),0,IF(OR(INDEX($B979:$D979,K$5)="F",AND(K$6&gt;0,$A979&lt;K$6),AND(K$7&gt;0,$A979&gt;K$7)),0,MAX(0,ROUND((INDEX($E979:$G979,K$5)-SUMIFS(TF_Timer,TF_Tekniker,K$4,TF_Dato,$A979))*2,0)/2)))</f>
        <v/>
      </c>
      <c r="L979">
        <f>IF(OR(L$4="",$A979&gt;TODAY()),0,IF(OR(INDEX($B979:$D979,L$5)="F",AND(L$6&gt;0,$A979&lt;L$6),AND(L$7&gt;0,$A979&gt;L$7)),0,MAX(0,ROUND((INDEX($E979:$G979,L$5)-SUMIFS(TF_Timer,TF_Tekniker,L$4,TF_Dato,$A979))*2,0)/2)))</f>
        <v/>
      </c>
      <c r="M979">
        <f>IF(OR(M$4="",$A979&gt;TODAY()),0,IF(OR(INDEX($B979:$D979,M$5)="F",AND(M$6&gt;0,$A979&lt;M$6),AND(M$7&gt;0,$A979&gt;M$7)),0,MAX(0,ROUND((INDEX($E979:$G979,M$5)-SUMIFS(TF_Timer,TF_Tekniker,M$4,TF_Dato,$A979))*2,0)/2)))</f>
        <v/>
      </c>
      <c r="N979">
        <f>IF(OR(N$4="",$A979&gt;TODAY()),0,IF(OR(INDEX($B979:$D979,N$5)="F",AND(N$6&gt;0,$A979&lt;N$6),AND(N$7&gt;0,$A979&gt;N$7)),0,MAX(0,ROUND((INDEX($E979:$G979,N$5)-SUMIFS(TF_Timer,TF_Tekniker,N$4,TF_Dato,$A979))*2,0)/2)))</f>
        <v/>
      </c>
      <c r="O979">
        <f>IF(OR(O$4="",$A979&gt;TODAY()),0,IF(OR(INDEX($B979:$D979,O$5)="F",AND(O$6&gt;0,$A979&lt;O$6),AND(O$7&gt;0,$A979&gt;O$7)),0,MAX(0,ROUND((INDEX($E979:$G979,O$5)-SUMIFS(TF_Timer,TF_Tekniker,O$4,TF_Dato,$A979))*2,0)/2)))</f>
        <v/>
      </c>
      <c r="P979">
        <f>IF(OR(P$4="",$A979&gt;TODAY()),0,IF(OR(INDEX($B979:$D979,P$5)="F",AND(P$6&gt;0,$A979&lt;P$6),AND(P$7&gt;0,$A979&gt;P$7)),0,MAX(0,ROUND((INDEX($E979:$G979,P$5)-SUMIFS(TF_Timer,TF_Tekniker,P$4,TF_Dato,$A979))*2,0)/2)))</f>
        <v/>
      </c>
      <c r="Q979">
        <f>IF(OR(Q$4="",$A979&gt;TODAY()),0,IF(OR(INDEX($B979:$D979,Q$5)="F",AND(Q$6&gt;0,$A979&lt;Q$6),AND(Q$7&gt;0,$A979&gt;Q$7)),0,MAX(0,ROUND((INDEX($E979:$G979,Q$5)-SUMIFS(TF_Timer,TF_Tekniker,Q$4,TF_Dato,$A979))*2,0)/2)))</f>
        <v/>
      </c>
      <c r="R979">
        <f>IF(OR(R$4="",$A979&gt;TODAY()),0,IF(OR(INDEX($B979:$D979,R$5)="F",AND(R$6&gt;0,$A979&lt;R$6),AND(R$7&gt;0,$A979&gt;R$7)),0,MAX(0,ROUND((INDEX($E979:$G979,R$5)-SUMIFS(TF_Timer,TF_Tekniker,R$4,TF_Dato,$A979))*2,0)/2)))</f>
        <v/>
      </c>
      <c r="S979">
        <f>IF(OR(S$4="",$A979&gt;TODAY()),0,IF(OR(INDEX($B979:$D979,S$5)="F",AND(S$6&gt;0,$A979&lt;S$6),AND(S$7&gt;0,$A979&gt;S$7)),0,MAX(0,ROUND((INDEX($E979:$G979,S$5)-SUMIFS(TF_Timer,TF_Tekniker,S$4,TF_Dato,$A979))*2,0)/2)))</f>
        <v/>
      </c>
      <c r="T979">
        <f>IF(OR(T$4="",$A979&gt;TODAY()),0,IF(OR(INDEX($B979:$D979,T$5)="F",AND(T$6&gt;0,$A979&lt;T$6),AND(T$7&gt;0,$A979&gt;T$7)),0,MAX(0,ROUND((INDEX($E979:$G979,T$5)-SUMIFS(TF_Timer,TF_Tekniker,T$4,TF_Dato,$A979))*2,0)/2)))</f>
        <v/>
      </c>
      <c r="U979">
        <f>IF(OR(U$4="",$A979&gt;TODAY()),0,IF(OR(INDEX($B979:$D979,U$5)="F",AND(U$6&gt;0,$A979&lt;U$6),AND(U$7&gt;0,$A979&gt;U$7)),0,MAX(0,ROUND((INDEX($E979:$G979,U$5)-SUMIFS(TF_Timer,TF_Tekniker,U$4,TF_Dato,$A979))*2,0)/2)))</f>
        <v/>
      </c>
      <c r="V979">
        <f>IF(OR(V$4="",$A979&gt;TODAY()),0,IF(OR(INDEX($B979:$D979,V$5)="F",AND(V$6&gt;0,$A979&lt;V$6),AND(V$7&gt;0,$A979&gt;V$7)),0,MAX(0,ROUND((INDEX($E979:$G979,V$5)-SUMIFS(TF_Timer,TF_Tekniker,V$4,TF_Dato,$A979))*2,0)/2)))</f>
        <v/>
      </c>
      <c r="W979">
        <f>IF(OR(W$4="",$A979&gt;TODAY()),0,IF(OR(INDEX($B979:$D979,W$5)="F",AND(W$6&gt;0,$A979&lt;W$6),AND(W$7&gt;0,$A979&gt;W$7)),0,MAX(0,ROUND((INDEX($E979:$G979,W$5)-SUMIFS(TF_Timer,TF_Tekniker,W$4,TF_Dato,$A979))*2,0)/2)))</f>
        <v/>
      </c>
      <c r="X979">
        <f>IF(OR(X$4="",$A979&gt;TODAY()),0,IF(OR(INDEX($B979:$D979,X$5)="F",AND(X$6&gt;0,$A979&lt;X$6),AND(X$7&gt;0,$A979&gt;X$7)),0,MAX(0,ROUND((INDEX($E979:$G979,X$5)-SUMIFS(TF_Timer,TF_Tekniker,X$4,TF_Dato,$A979))*2,0)/2)))</f>
        <v/>
      </c>
      <c r="Y979">
        <f>IF(OR(Y$4="",$A979&gt;TODAY()),0,IF(OR(INDEX($B979:$D979,Y$5)="F",AND(Y$6&gt;0,$A979&lt;Y$6),AND(Y$7&gt;0,$A979&gt;Y$7)),0,MAX(0,ROUND((INDEX($E979:$G979,Y$5)-SUMIFS(TF_Timer,TF_Tekniker,Y$4,TF_Dato,$A979))*2,0)/2)))</f>
        <v/>
      </c>
      <c r="Z979">
        <f>IF(OR(Z$4="",$A979&gt;TODAY()),0,IF(OR(INDEX($B979:$D979,Z$5)="F",AND(Z$6&gt;0,$A979&lt;Z$6),AND(Z$7&gt;0,$A979&gt;Z$7)),0,MAX(0,ROUND((INDEX($E979:$G979,Z$5)-SUMIFS(TF_Timer,TF_Tekniker,Z$4,TF_Dato,$A979))*2,0)/2)))</f>
        <v/>
      </c>
      <c r="AA979">
        <f>IF(OR(AA$4="",$A979&gt;TODAY()),0,IF(OR(INDEX($B979:$D979,AA$5)="F",AND(AA$6&gt;0,$A979&lt;AA$6),AND(AA$7&gt;0,$A979&gt;AA$7)),0,MAX(0,ROUND((INDEX($E979:$G979,AA$5)-SUMIFS(TF_Timer,TF_Tekniker,AA$4,TF_Dato,$A979))*2,0)/2)))</f>
        <v/>
      </c>
      <c r="AB979">
        <f>IF(OR(AB$4="",$A979&gt;TODAY()),0,IF(OR(INDEX($B979:$D979,AB$5)="F",AND(AB$6&gt;0,$A979&lt;AB$6),AND(AB$7&gt;0,$A979&gt;AB$7)),0,MAX(0,ROUND((INDEX($E979:$G979,AB$5)-SUMIFS(TF_Timer,TF_Tekniker,AB$4,TF_Dato,$A979))*2,0)/2)))</f>
        <v/>
      </c>
      <c r="AC979">
        <f>IF(OR(AC$4="",$A979&gt;TODAY()),0,IF(OR(INDEX($B979:$D979,AC$5)="F",AND(AC$6&gt;0,$A979&lt;AC$6),AND(AC$7&gt;0,$A979&gt;AC$7)),0,MAX(0,ROUND((INDEX($E979:$G979,AC$5)-SUMIFS(TF_Timer,TF_Tekniker,AC$4,TF_Dato,$A979))*2,0)/2)))</f>
        <v/>
      </c>
      <c r="AD979">
        <f>IF(OR(AD$4="",$A979&gt;TODAY()),0,IF(OR(INDEX($B979:$D979,AD$5)="F",AND(AD$6&gt;0,$A979&lt;AD$6),AND(AD$7&gt;0,$A979&gt;AD$7)),0,MAX(0,ROUND((INDEX($E979:$G979,AD$5)-SUMIFS(TF_Timer,TF_Tekniker,AD$4,TF_Dato,$A979))*2,0)/2)))</f>
        <v/>
      </c>
      <c r="AE979">
        <f>IF(OR(AE$4="",$A979&gt;TODAY()),0,IF(OR(INDEX($B979:$D979,AE$5)="F",AND(AE$6&gt;0,$A979&lt;AE$6),AND(AE$7&gt;0,$A979&gt;AE$7)),0,MAX(0,ROUND((INDEX($E979:$G979,AE$5)-SUMIFS(TF_Timer,TF_Tekniker,AE$4,TF_Dato,$A979))*2,0)/2)))</f>
        <v/>
      </c>
      <c r="AF979">
        <f>IF(OR(AF$4="",$A979&gt;TODAY()),0,IF(OR(INDEX($B979:$D979,AF$5)="F",AND(AF$6&gt;0,$A979&lt;AF$6),AND(AF$7&gt;0,$A979&gt;AF$7)),0,MAX(0,ROUND((INDEX($E979:$G979,AF$5)-SUMIFS(TF_Timer,TF_Tekniker,AF$4,TF_Dato,$A979))*2,0)/2)))</f>
        <v/>
      </c>
      <c r="AG979">
        <f>IF(OR(AG$4="",$A979&gt;TODAY()),0,IF(OR(INDEX($B979:$D979,AG$5)="F",AND(AG$6&gt;0,$A979&lt;AG$6),AND(AG$7&gt;0,$A979&gt;AG$7)),0,MAX(0,ROUND((INDEX($E979:$G979,AG$5)-SUMIFS(TF_Timer,TF_Tekniker,AG$4,TF_Dato,$A979))*2,0)/2)))</f>
        <v/>
      </c>
      <c r="AH979">
        <f>IF(OR(AH$4="",$A979&gt;TODAY()),0,IF(OR(INDEX($B979:$D979,AH$5)="F",AND(AH$6&gt;0,$A979&lt;AH$6),AND(AH$7&gt;0,$A979&gt;AH$7)),0,MAX(0,ROUND((INDEX($E979:$G979,AH$5)-SUMIFS(TF_Timer,TF_Tekniker,AH$4,TF_Dato,$A979))*2,0)/2)))</f>
        <v/>
      </c>
      <c r="AI979">
        <f>IF(OR(AI$4="",$A979&gt;TODAY()),0,IF(OR(INDEX($B979:$D979,AI$5)="F",AND(AI$6&gt;0,$A979&lt;AI$6),AND(AI$7&gt;0,$A979&gt;AI$7)),0,MAX(0,ROUND((INDEX($E979:$G979,AI$5)-SUMIFS(TF_Timer,TF_Tekniker,AI$4,TF_Dato,$A979))*2,0)/2)))</f>
        <v/>
      </c>
      <c r="AJ979">
        <f>IF(OR(AJ$4="",$A979&gt;TODAY()),0,IF(OR(INDEX($B979:$D979,AJ$5)="F",AND(AJ$6&gt;0,$A979&lt;AJ$6),AND(AJ$7&gt;0,$A979&gt;AJ$7)),0,MAX(0,ROUND((INDEX($E979:$G979,AJ$5)-SUMIFS(TF_Timer,TF_Tekniker,AJ$4,TF_Dato,$A979))*2,0)/2)))</f>
        <v/>
      </c>
      <c r="AK979">
        <f>IF(OR(AK$4="",$A979&gt;TODAY()),0,IF(OR(INDEX($B979:$D979,AK$5)="F",AND(AK$6&gt;0,$A979&lt;AK$6),AND(AK$7&gt;0,$A979&gt;AK$7)),0,MAX(0,ROUND((INDEX($E979:$G979,AK$5)-SUMIFS(TF_Timer,TF_Tekniker,AK$4,TF_Dato,$A979))*2,0)/2)))</f>
        <v/>
      </c>
      <c r="AL979">
        <f>IF(OR(AL$4="",$A979&gt;TODAY()),0,IF(OR(INDEX($B979:$D979,AL$5)="F",AND(AL$6&gt;0,$A979&lt;AL$6),AND(AL$7&gt;0,$A979&gt;AL$7)),0,MAX(0,ROUND((INDEX($E979:$G979,AL$5)-SUMIFS(TF_Timer,TF_Tekniker,AL$4,TF_Dato,$A979))*2,0)/2)))</f>
        <v/>
      </c>
      <c r="AM979">
        <f>IF(OR(AM$4="",$A979&gt;TODAY()),0,IF(OR(INDEX($B979:$D979,AM$5)="F",AND(AM$6&gt;0,$A979&lt;AM$6),AND(AM$7&gt;0,$A979&gt;AM$7)),0,MAX(0,ROUND((INDEX($E979:$G979,AM$5)-SUMIFS(TF_Timer,TF_Tekniker,AM$4,TF_Dato,$A979))*2,0)/2)))</f>
        <v/>
      </c>
      <c r="AN979">
        <f>IF(OR(AN$4="",$A979&gt;TODAY()),0,IF(OR(INDEX($B979:$D979,AN$5)="F",AND(AN$6&gt;0,$A979&lt;AN$6),AND(AN$7&gt;0,$A979&gt;AN$7)),0,MAX(0,ROUND((INDEX($E979:$G979,AN$5)-SUMIFS(TF_Timer,TF_Tekniker,AN$4,TF_Dato,$A979))*2,0)/2)))</f>
        <v/>
      </c>
      <c r="AO979">
        <f>IF(OR(AO$4="",$A979&gt;TODAY()),0,IF(OR(INDEX($B979:$D979,AO$5)="F",AND(AO$6&gt;0,$A979&lt;AO$6),AND(AO$7&gt;0,$A979&gt;AO$7)),0,MAX(0,ROUND((INDEX($E979:$G979,AO$5)-SUMIFS(TF_Timer,TF_Tekniker,AO$4,TF_Dato,$A979))*2,0)/2)))</f>
        <v/>
      </c>
      <c r="AP979">
        <f>IF(OR(AP$4="",$A979&gt;TODAY()),0,IF(OR(INDEX($B979:$D979,AP$5)="F",AND(AP$6&gt;0,$A979&lt;AP$6),AND(AP$7&gt;0,$A979&gt;AP$7)),0,MAX(0,ROUND((INDEX($E979:$G979,AP$5)-SUMIFS(TF_Timer,TF_Tekniker,AP$4,TF_Dato,$A979))*2,0)/2)))</f>
        <v/>
      </c>
      <c r="AQ979">
        <f>IF(OR(AQ$4="",$A979&gt;TODAY()),0,IF(OR(INDEX($B979:$D979,AQ$5)="F",AND(AQ$6&gt;0,$A979&lt;AQ$6),AND(AQ$7&gt;0,$A979&gt;AQ$7)),0,MAX(0,ROUND((INDEX($E979:$G979,AQ$5)-SUMIFS(TF_Timer,TF_Tekniker,AQ$4,TF_Dato,$A979))*2,0)/2)))</f>
        <v/>
      </c>
      <c r="AR979">
        <f>IF(OR(AR$4="",$A979&gt;TODAY()),0,IF(OR(INDEX($B979:$D979,AR$5)="F",AND(AR$6&gt;0,$A979&lt;AR$6),AND(AR$7&gt;0,$A979&gt;AR$7)),0,MAX(0,ROUND((INDEX($E979:$G979,AR$5)-SUMIFS(TF_Timer,TF_Tekniker,AR$4,TF_Dato,$A979))*2,0)/2)))</f>
        <v/>
      </c>
      <c r="AS979">
        <f>IF(OR(AS$4="",$A979&gt;TODAY()),0,IF(OR(INDEX($B979:$D979,AS$5)="F",AND(AS$6&gt;0,$A979&lt;AS$6),AND(AS$7&gt;0,$A979&gt;AS$7)),0,MAX(0,ROUND((INDEX($E979:$G979,AS$5)-SUMIFS(TF_Timer,TF_Tekniker,AS$4,TF_Dato,$A979))*2,0)/2)))</f>
        <v/>
      </c>
      <c r="AT979">
        <f>IF(OR(AT$4="",$A979&gt;TODAY()),0,IF(OR(INDEX($B979:$D979,AT$5)="F",AND(AT$6&gt;0,$A979&lt;AT$6),AND(AT$7&gt;0,$A979&gt;AT$7)),0,MAX(0,ROUND((INDEX($E979:$G979,AT$5)-SUMIFS(TF_Timer,TF_Tekniker,AT$4,TF_Dato,$A979))*2,0)/2)))</f>
        <v/>
      </c>
      <c r="AU979">
        <f>IF(OR(AU$4="",$A979&gt;TODAY()),0,IF(OR(INDEX($B979:$D979,AU$5)="F",AND(AU$6&gt;0,$A979&lt;AU$6),AND(AU$7&gt;0,$A979&gt;AU$7)),0,MAX(0,ROUND((INDEX($E979:$G979,AU$5)-SUMIFS(TF_Timer,TF_Tekniker,AU$4,TF_Dato,$A979))*2,0)/2)))</f>
        <v/>
      </c>
      <c r="AV979">
        <f>IF(OR(AV$4="",$A979&gt;TODAY()),0,IF(OR(INDEX($B979:$D979,AV$5)="F",AND(AV$6&gt;0,$A979&lt;AV$6),AND(AV$7&gt;0,$A979&gt;AV$7)),0,MAX(0,ROUND((INDEX($E979:$G979,AV$5)-SUMIFS(TF_Timer,TF_Tekniker,AV$4,TF_Dato,$A979))*2,0)/2)))</f>
        <v/>
      </c>
      <c r="AW979">
        <f>IF(OR(AW$4="",$A979&gt;TODAY()),0,IF(OR(INDEX($B979:$D979,AW$5)="F",AND(AW$6&gt;0,$A979&lt;AW$6),AND(AW$7&gt;0,$A979&gt;AW$7)),0,MAX(0,ROUND((INDEX($E979:$G979,AW$5)-SUMIFS(TF_Timer,TF_Tekniker,AW$4,TF_Dato,$A979))*2,0)/2)))</f>
        <v/>
      </c>
      <c r="AX979">
        <f>IF(OR(AX$4="",$A979&gt;TODAY()),0,IF(OR(INDEX($B979:$D979,AX$5)="F",AND(AX$6&gt;0,$A979&lt;AX$6),AND(AX$7&gt;0,$A979&gt;AX$7)),0,MAX(0,ROUND((INDEX($E979:$G979,AX$5)-SUMIFS(TF_Timer,TF_Tekniker,AX$4,TF_Dato,$A979))*2,0)/2)))</f>
        <v/>
      </c>
      <c r="AY979">
        <f>IF(OR(AY$4="",$A979&gt;TODAY()),0,IF(OR(INDEX($B979:$D979,AY$5)="F",AND(AY$6&gt;0,$A979&lt;AY$6),AND(AY$7&gt;0,$A979&gt;AY$7)),0,MAX(0,ROUND((INDEX($E979:$G979,AY$5)-SUMIFS(TF_Timer,TF_Tekniker,AY$4,TF_Dato,$A979))*2,0)/2)))</f>
        <v/>
      </c>
      <c r="AZ979">
        <f>IF(OR(AZ$4="",$A979&gt;TODAY()),0,IF(OR(INDEX($B979:$D979,AZ$5)="F",AND(AZ$6&gt;0,$A979&lt;AZ$6),AND(AZ$7&gt;0,$A979&gt;AZ$7)),0,MAX(0,ROUND((INDEX($E979:$G979,AZ$5)-SUMIFS(TF_Timer,TF_Tekniker,AZ$4,TF_Dato,$A979))*2,0)/2)))</f>
        <v/>
      </c>
      <c r="BA979">
        <f>IF(OR(BA$4="",$A979&gt;TODAY()),0,IF(OR(INDEX($B979:$D979,BA$5)="F",AND(BA$6&gt;0,$A979&lt;BA$6),AND(BA$7&gt;0,$A979&gt;BA$7)),0,MAX(0,ROUND((INDEX($E979:$G979,BA$5)-SUMIFS(TF_Timer,TF_Tekniker,BA$4,TF_Dato,$A979))*2,0)/2)))</f>
        <v/>
      </c>
      <c r="BB979">
        <f>IF(OR(BB$4="",$A979&gt;TODAY()),0,IF(OR(INDEX($B979:$D979,BB$5)="F",AND(BB$6&gt;0,$A979&lt;BB$6),AND(BB$7&gt;0,$A979&gt;BB$7)),0,MAX(0,ROUND((INDEX($E979:$G979,BB$5)-SUMIFS(TF_Timer,TF_Tekniker,BB$4,TF_Dato,$A979))*2,0)/2)))</f>
        <v/>
      </c>
      <c r="BC979">
        <f>IF(OR(BC$4="",$A979&gt;TODAY()),0,IF(OR(INDEX($B979:$D979,BC$5)="F",AND(BC$6&gt;0,$A979&lt;BC$6),AND(BC$7&gt;0,$A979&gt;BC$7)),0,MAX(0,ROUND((INDEX($E979:$G979,BC$5)-SUMIFS(TF_Timer,TF_Tekniker,BC$4,TF_Dato,$A979))*2,0)/2)))</f>
        <v/>
      </c>
      <c r="BD979">
        <f>IF(OR(BD$4="",$A979&gt;TODAY()),0,IF(OR(INDEX($B979:$D979,BD$5)="F",AND(BD$6&gt;0,$A979&lt;BD$6),AND(BD$7&gt;0,$A979&gt;BD$7)),0,MAX(0,ROUND((INDEX($E979:$G979,BD$5)-SUMIFS(TF_Timer,TF_Tekniker,BD$4,TF_Dato,$A979))*2,0)/2)))</f>
        <v/>
      </c>
      <c r="BE979">
        <f>IF(OR(BE$4="",$A979&gt;TODAY()),0,IF(OR(INDEX($B979:$D979,BE$5)="F",AND(BE$6&gt;0,$A979&lt;BE$6),AND(BE$7&gt;0,$A979&gt;BE$7)),0,MAX(0,ROUND((INDEX($E979:$G979,BE$5)-SUMIFS(TF_Timer,TF_Tekniker,BE$4,TF_Dato,$A979))*2,0)/2)))</f>
        <v/>
      </c>
      <c r="BF979">
        <f>IF(OR(BF$4="",$A979&gt;TODAY()),0,IF(OR(INDEX($B979:$D979,BF$5)="F",AND(BF$6&gt;0,$A979&lt;BF$6),AND(BF$7&gt;0,$A979&gt;BF$7)),0,MAX(0,ROUND((INDEX($E979:$G979,BF$5)-SUMIFS(TF_Timer,TF_Tekniker,BF$4,TF_Dato,$A979))*2,0)/2)))</f>
        <v/>
      </c>
      <c r="BG979">
        <f>IF(OR(BG$4="",$A979&gt;TODAY()),0,IF(OR(INDEX($B979:$D979,BG$5)="F",AND(BG$6&gt;0,$A979&lt;BG$6),AND(BG$7&gt;0,$A979&gt;BG$7)),0,MAX(0,ROUND((INDEX($E979:$G979,BG$5)-SUMIFS(TF_Timer,TF_Tekniker,BG$4,TF_Dato,$A979))*2,0)/2)))</f>
        <v/>
      </c>
      <c r="BH979">
        <f>IF(OR(BH$4="",$A979&gt;TODAY()),0,IF(OR(INDEX($B979:$D979,BH$5)="F",AND(BH$6&gt;0,$A979&lt;BH$6),AND(BH$7&gt;0,$A979&gt;BH$7)),0,MAX(0,ROUND((INDEX($E979:$G979,BH$5)-SUMIFS(TF_Timer,TF_Tekniker,BH$4,TF_Dato,$A979))*2,0)/2)))</f>
        <v/>
      </c>
      <c r="BI979">
        <f>IF(OR(BI$4="",$A979&gt;TODAY()),0,IF(OR(INDEX($B979:$D979,BI$5)="F",AND(BI$6&gt;0,$A979&lt;BI$6),AND(BI$7&gt;0,$A979&gt;BI$7)),0,MAX(0,ROUND((INDEX($E979:$G979,BI$5)-SUMIFS(TF_Timer,TF_Tekniker,BI$4,TF_Dato,$A979))*2,0)/2)))</f>
        <v/>
      </c>
    </row>
    <row r="980">
      <c r="A980" s="64">
        <f>A979+1</f>
        <v/>
      </c>
      <c r="B980">
        <f>IF(MOD($A980-INDEX(SkiftStart,1),Syklus)&lt;DagK,"K",IF(MOD($A980-INDEX(SkiftStart,1),Syklus)&lt;DagK+DagH,"H",IF(MOD($A980-INDEX(SkiftStart,1),Syklus)&lt;DagK+DagH+DagD,"D","F")))</f>
        <v/>
      </c>
      <c r="C980">
        <f>IF(MOD($A980-INDEX(SkiftStart,2),Syklus)&lt;DagK,"K",IF(MOD($A980-INDEX(SkiftStart,2),Syklus)&lt;DagK+DagH,"H",IF(MOD($A980-INDEX(SkiftStart,2),Syklus)&lt;DagK+DagH+DagD,"D","F")))</f>
        <v/>
      </c>
      <c r="D980">
        <f>IF(MOD($A980-INDEX(SkiftStart,3),Syklus)&lt;DagK,"K",IF(MOD($A980-INDEX(SkiftStart,3),Syklus)&lt;DagK+DagH,"H",IF(MOD($A980-INDEX(SkiftStart,3),Syklus)&lt;DagK+DagH+DagD,"D","F")))</f>
        <v/>
      </c>
      <c r="E980">
        <f>IF(B980="F",0,IF(WEEKDAY($A980,2)=5,INDEX(TimerFr,MATCH(B980,FaseKode,0)),INDEX(TimerMT,MATCH(B980,FaseKode,0))))</f>
        <v/>
      </c>
      <c r="F980">
        <f>IF(C980="F",0,IF(WEEKDAY($A980,2)=5,INDEX(TimerFr,MATCH(C980,FaseKode,0)),INDEX(TimerMT,MATCH(C980,FaseKode,0))))</f>
        <v/>
      </c>
      <c r="G980">
        <f>IF(D980="F",0,IF(WEEKDAY($A980,2)=5,INDEX(TimerFr,MATCH(D980,FaseKode,0)),INDEX(TimerMT,MATCH(D980,FaseKode,0))))</f>
        <v/>
      </c>
      <c r="H980">
        <f>IF(OR(H$4="",$A980&gt;TODAY()),0,IF(OR(INDEX($B980:$D980,H$5)="F",AND(H$6&gt;0,$A980&lt;H$6),AND(H$7&gt;0,$A980&gt;H$7)),0,MAX(0,ROUND((INDEX($E980:$G980,H$5)-SUMIFS(TF_Timer,TF_Tekniker,H$4,TF_Dato,$A980))*2,0)/2)))</f>
        <v/>
      </c>
      <c r="I980">
        <f>IF(OR(I$4="",$A980&gt;TODAY()),0,IF(OR(INDEX($B980:$D980,I$5)="F",AND(I$6&gt;0,$A980&lt;I$6),AND(I$7&gt;0,$A980&gt;I$7)),0,MAX(0,ROUND((INDEX($E980:$G980,I$5)-SUMIFS(TF_Timer,TF_Tekniker,I$4,TF_Dato,$A980))*2,0)/2)))</f>
        <v/>
      </c>
      <c r="J980">
        <f>IF(OR(J$4="",$A980&gt;TODAY()),0,IF(OR(INDEX($B980:$D980,J$5)="F",AND(J$6&gt;0,$A980&lt;J$6),AND(J$7&gt;0,$A980&gt;J$7)),0,MAX(0,ROUND((INDEX($E980:$G980,J$5)-SUMIFS(TF_Timer,TF_Tekniker,J$4,TF_Dato,$A980))*2,0)/2)))</f>
        <v/>
      </c>
      <c r="K980">
        <f>IF(OR(K$4="",$A980&gt;TODAY()),0,IF(OR(INDEX($B980:$D980,K$5)="F",AND(K$6&gt;0,$A980&lt;K$6),AND(K$7&gt;0,$A980&gt;K$7)),0,MAX(0,ROUND((INDEX($E980:$G980,K$5)-SUMIFS(TF_Timer,TF_Tekniker,K$4,TF_Dato,$A980))*2,0)/2)))</f>
        <v/>
      </c>
      <c r="L980">
        <f>IF(OR(L$4="",$A980&gt;TODAY()),0,IF(OR(INDEX($B980:$D980,L$5)="F",AND(L$6&gt;0,$A980&lt;L$6),AND(L$7&gt;0,$A980&gt;L$7)),0,MAX(0,ROUND((INDEX($E980:$G980,L$5)-SUMIFS(TF_Timer,TF_Tekniker,L$4,TF_Dato,$A980))*2,0)/2)))</f>
        <v/>
      </c>
      <c r="M980">
        <f>IF(OR(M$4="",$A980&gt;TODAY()),0,IF(OR(INDEX($B980:$D980,M$5)="F",AND(M$6&gt;0,$A980&lt;M$6),AND(M$7&gt;0,$A980&gt;M$7)),0,MAX(0,ROUND((INDEX($E980:$G980,M$5)-SUMIFS(TF_Timer,TF_Tekniker,M$4,TF_Dato,$A980))*2,0)/2)))</f>
        <v/>
      </c>
      <c r="N980">
        <f>IF(OR(N$4="",$A980&gt;TODAY()),0,IF(OR(INDEX($B980:$D980,N$5)="F",AND(N$6&gt;0,$A980&lt;N$6),AND(N$7&gt;0,$A980&gt;N$7)),0,MAX(0,ROUND((INDEX($E980:$G980,N$5)-SUMIFS(TF_Timer,TF_Tekniker,N$4,TF_Dato,$A980))*2,0)/2)))</f>
        <v/>
      </c>
      <c r="O980">
        <f>IF(OR(O$4="",$A980&gt;TODAY()),0,IF(OR(INDEX($B980:$D980,O$5)="F",AND(O$6&gt;0,$A980&lt;O$6),AND(O$7&gt;0,$A980&gt;O$7)),0,MAX(0,ROUND((INDEX($E980:$G980,O$5)-SUMIFS(TF_Timer,TF_Tekniker,O$4,TF_Dato,$A980))*2,0)/2)))</f>
        <v/>
      </c>
      <c r="P980">
        <f>IF(OR(P$4="",$A980&gt;TODAY()),0,IF(OR(INDEX($B980:$D980,P$5)="F",AND(P$6&gt;0,$A980&lt;P$6),AND(P$7&gt;0,$A980&gt;P$7)),0,MAX(0,ROUND((INDEX($E980:$G980,P$5)-SUMIFS(TF_Timer,TF_Tekniker,P$4,TF_Dato,$A980))*2,0)/2)))</f>
        <v/>
      </c>
      <c r="Q980">
        <f>IF(OR(Q$4="",$A980&gt;TODAY()),0,IF(OR(INDEX($B980:$D980,Q$5)="F",AND(Q$6&gt;0,$A980&lt;Q$6),AND(Q$7&gt;0,$A980&gt;Q$7)),0,MAX(0,ROUND((INDEX($E980:$G980,Q$5)-SUMIFS(TF_Timer,TF_Tekniker,Q$4,TF_Dato,$A980))*2,0)/2)))</f>
        <v/>
      </c>
      <c r="R980">
        <f>IF(OR(R$4="",$A980&gt;TODAY()),0,IF(OR(INDEX($B980:$D980,R$5)="F",AND(R$6&gt;0,$A980&lt;R$6),AND(R$7&gt;0,$A980&gt;R$7)),0,MAX(0,ROUND((INDEX($E980:$G980,R$5)-SUMIFS(TF_Timer,TF_Tekniker,R$4,TF_Dato,$A980))*2,0)/2)))</f>
        <v/>
      </c>
      <c r="S980">
        <f>IF(OR(S$4="",$A980&gt;TODAY()),0,IF(OR(INDEX($B980:$D980,S$5)="F",AND(S$6&gt;0,$A980&lt;S$6),AND(S$7&gt;0,$A980&gt;S$7)),0,MAX(0,ROUND((INDEX($E980:$G980,S$5)-SUMIFS(TF_Timer,TF_Tekniker,S$4,TF_Dato,$A980))*2,0)/2)))</f>
        <v/>
      </c>
      <c r="T980">
        <f>IF(OR(T$4="",$A980&gt;TODAY()),0,IF(OR(INDEX($B980:$D980,T$5)="F",AND(T$6&gt;0,$A980&lt;T$6),AND(T$7&gt;0,$A980&gt;T$7)),0,MAX(0,ROUND((INDEX($E980:$G980,T$5)-SUMIFS(TF_Timer,TF_Tekniker,T$4,TF_Dato,$A980))*2,0)/2)))</f>
        <v/>
      </c>
      <c r="U980">
        <f>IF(OR(U$4="",$A980&gt;TODAY()),0,IF(OR(INDEX($B980:$D980,U$5)="F",AND(U$6&gt;0,$A980&lt;U$6),AND(U$7&gt;0,$A980&gt;U$7)),0,MAX(0,ROUND((INDEX($E980:$G980,U$5)-SUMIFS(TF_Timer,TF_Tekniker,U$4,TF_Dato,$A980))*2,0)/2)))</f>
        <v/>
      </c>
      <c r="V980">
        <f>IF(OR(V$4="",$A980&gt;TODAY()),0,IF(OR(INDEX($B980:$D980,V$5)="F",AND(V$6&gt;0,$A980&lt;V$6),AND(V$7&gt;0,$A980&gt;V$7)),0,MAX(0,ROUND((INDEX($E980:$G980,V$5)-SUMIFS(TF_Timer,TF_Tekniker,V$4,TF_Dato,$A980))*2,0)/2)))</f>
        <v/>
      </c>
      <c r="W980">
        <f>IF(OR(W$4="",$A980&gt;TODAY()),0,IF(OR(INDEX($B980:$D980,W$5)="F",AND(W$6&gt;0,$A980&lt;W$6),AND(W$7&gt;0,$A980&gt;W$7)),0,MAX(0,ROUND((INDEX($E980:$G980,W$5)-SUMIFS(TF_Timer,TF_Tekniker,W$4,TF_Dato,$A980))*2,0)/2)))</f>
        <v/>
      </c>
      <c r="X980">
        <f>IF(OR(X$4="",$A980&gt;TODAY()),0,IF(OR(INDEX($B980:$D980,X$5)="F",AND(X$6&gt;0,$A980&lt;X$6),AND(X$7&gt;0,$A980&gt;X$7)),0,MAX(0,ROUND((INDEX($E980:$G980,X$5)-SUMIFS(TF_Timer,TF_Tekniker,X$4,TF_Dato,$A980))*2,0)/2)))</f>
        <v/>
      </c>
      <c r="Y980">
        <f>IF(OR(Y$4="",$A980&gt;TODAY()),0,IF(OR(INDEX($B980:$D980,Y$5)="F",AND(Y$6&gt;0,$A980&lt;Y$6),AND(Y$7&gt;0,$A980&gt;Y$7)),0,MAX(0,ROUND((INDEX($E980:$G980,Y$5)-SUMIFS(TF_Timer,TF_Tekniker,Y$4,TF_Dato,$A980))*2,0)/2)))</f>
        <v/>
      </c>
      <c r="Z980">
        <f>IF(OR(Z$4="",$A980&gt;TODAY()),0,IF(OR(INDEX($B980:$D980,Z$5)="F",AND(Z$6&gt;0,$A980&lt;Z$6),AND(Z$7&gt;0,$A980&gt;Z$7)),0,MAX(0,ROUND((INDEX($E980:$G980,Z$5)-SUMIFS(TF_Timer,TF_Tekniker,Z$4,TF_Dato,$A980))*2,0)/2)))</f>
        <v/>
      </c>
      <c r="AA980">
        <f>IF(OR(AA$4="",$A980&gt;TODAY()),0,IF(OR(INDEX($B980:$D980,AA$5)="F",AND(AA$6&gt;0,$A980&lt;AA$6),AND(AA$7&gt;0,$A980&gt;AA$7)),0,MAX(0,ROUND((INDEX($E980:$G980,AA$5)-SUMIFS(TF_Timer,TF_Tekniker,AA$4,TF_Dato,$A980))*2,0)/2)))</f>
        <v/>
      </c>
      <c r="AB980">
        <f>IF(OR(AB$4="",$A980&gt;TODAY()),0,IF(OR(INDEX($B980:$D980,AB$5)="F",AND(AB$6&gt;0,$A980&lt;AB$6),AND(AB$7&gt;0,$A980&gt;AB$7)),0,MAX(0,ROUND((INDEX($E980:$G980,AB$5)-SUMIFS(TF_Timer,TF_Tekniker,AB$4,TF_Dato,$A980))*2,0)/2)))</f>
        <v/>
      </c>
      <c r="AC980">
        <f>IF(OR(AC$4="",$A980&gt;TODAY()),0,IF(OR(INDEX($B980:$D980,AC$5)="F",AND(AC$6&gt;0,$A980&lt;AC$6),AND(AC$7&gt;0,$A980&gt;AC$7)),0,MAX(0,ROUND((INDEX($E980:$G980,AC$5)-SUMIFS(TF_Timer,TF_Tekniker,AC$4,TF_Dato,$A980))*2,0)/2)))</f>
        <v/>
      </c>
      <c r="AD980">
        <f>IF(OR(AD$4="",$A980&gt;TODAY()),0,IF(OR(INDEX($B980:$D980,AD$5)="F",AND(AD$6&gt;0,$A980&lt;AD$6),AND(AD$7&gt;0,$A980&gt;AD$7)),0,MAX(0,ROUND((INDEX($E980:$G980,AD$5)-SUMIFS(TF_Timer,TF_Tekniker,AD$4,TF_Dato,$A980))*2,0)/2)))</f>
        <v/>
      </c>
      <c r="AE980">
        <f>IF(OR(AE$4="",$A980&gt;TODAY()),0,IF(OR(INDEX($B980:$D980,AE$5)="F",AND(AE$6&gt;0,$A980&lt;AE$6),AND(AE$7&gt;0,$A980&gt;AE$7)),0,MAX(0,ROUND((INDEX($E980:$G980,AE$5)-SUMIFS(TF_Timer,TF_Tekniker,AE$4,TF_Dato,$A980))*2,0)/2)))</f>
        <v/>
      </c>
      <c r="AF980">
        <f>IF(OR(AF$4="",$A980&gt;TODAY()),0,IF(OR(INDEX($B980:$D980,AF$5)="F",AND(AF$6&gt;0,$A980&lt;AF$6),AND(AF$7&gt;0,$A980&gt;AF$7)),0,MAX(0,ROUND((INDEX($E980:$G980,AF$5)-SUMIFS(TF_Timer,TF_Tekniker,AF$4,TF_Dato,$A980))*2,0)/2)))</f>
        <v/>
      </c>
      <c r="AG980">
        <f>IF(OR(AG$4="",$A980&gt;TODAY()),0,IF(OR(INDEX($B980:$D980,AG$5)="F",AND(AG$6&gt;0,$A980&lt;AG$6),AND(AG$7&gt;0,$A980&gt;AG$7)),0,MAX(0,ROUND((INDEX($E980:$G980,AG$5)-SUMIFS(TF_Timer,TF_Tekniker,AG$4,TF_Dato,$A980))*2,0)/2)))</f>
        <v/>
      </c>
      <c r="AH980">
        <f>IF(OR(AH$4="",$A980&gt;TODAY()),0,IF(OR(INDEX($B980:$D980,AH$5)="F",AND(AH$6&gt;0,$A980&lt;AH$6),AND(AH$7&gt;0,$A980&gt;AH$7)),0,MAX(0,ROUND((INDEX($E980:$G980,AH$5)-SUMIFS(TF_Timer,TF_Tekniker,AH$4,TF_Dato,$A980))*2,0)/2)))</f>
        <v/>
      </c>
      <c r="AI980">
        <f>IF(OR(AI$4="",$A980&gt;TODAY()),0,IF(OR(INDEX($B980:$D980,AI$5)="F",AND(AI$6&gt;0,$A980&lt;AI$6),AND(AI$7&gt;0,$A980&gt;AI$7)),0,MAX(0,ROUND((INDEX($E980:$G980,AI$5)-SUMIFS(TF_Timer,TF_Tekniker,AI$4,TF_Dato,$A980))*2,0)/2)))</f>
        <v/>
      </c>
      <c r="AJ980">
        <f>IF(OR(AJ$4="",$A980&gt;TODAY()),0,IF(OR(INDEX($B980:$D980,AJ$5)="F",AND(AJ$6&gt;0,$A980&lt;AJ$6),AND(AJ$7&gt;0,$A980&gt;AJ$7)),0,MAX(0,ROUND((INDEX($E980:$G980,AJ$5)-SUMIFS(TF_Timer,TF_Tekniker,AJ$4,TF_Dato,$A980))*2,0)/2)))</f>
        <v/>
      </c>
      <c r="AK980">
        <f>IF(OR(AK$4="",$A980&gt;TODAY()),0,IF(OR(INDEX($B980:$D980,AK$5)="F",AND(AK$6&gt;0,$A980&lt;AK$6),AND(AK$7&gt;0,$A980&gt;AK$7)),0,MAX(0,ROUND((INDEX($E980:$G980,AK$5)-SUMIFS(TF_Timer,TF_Tekniker,AK$4,TF_Dato,$A980))*2,0)/2)))</f>
        <v/>
      </c>
      <c r="AL980">
        <f>IF(OR(AL$4="",$A980&gt;TODAY()),0,IF(OR(INDEX($B980:$D980,AL$5)="F",AND(AL$6&gt;0,$A980&lt;AL$6),AND(AL$7&gt;0,$A980&gt;AL$7)),0,MAX(0,ROUND((INDEX($E980:$G980,AL$5)-SUMIFS(TF_Timer,TF_Tekniker,AL$4,TF_Dato,$A980))*2,0)/2)))</f>
        <v/>
      </c>
      <c r="AM980">
        <f>IF(OR(AM$4="",$A980&gt;TODAY()),0,IF(OR(INDEX($B980:$D980,AM$5)="F",AND(AM$6&gt;0,$A980&lt;AM$6),AND(AM$7&gt;0,$A980&gt;AM$7)),0,MAX(0,ROUND((INDEX($E980:$G980,AM$5)-SUMIFS(TF_Timer,TF_Tekniker,AM$4,TF_Dato,$A980))*2,0)/2)))</f>
        <v/>
      </c>
      <c r="AN980">
        <f>IF(OR(AN$4="",$A980&gt;TODAY()),0,IF(OR(INDEX($B980:$D980,AN$5)="F",AND(AN$6&gt;0,$A980&lt;AN$6),AND(AN$7&gt;0,$A980&gt;AN$7)),0,MAX(0,ROUND((INDEX($E980:$G980,AN$5)-SUMIFS(TF_Timer,TF_Tekniker,AN$4,TF_Dato,$A980))*2,0)/2)))</f>
        <v/>
      </c>
      <c r="AO980">
        <f>IF(OR(AO$4="",$A980&gt;TODAY()),0,IF(OR(INDEX($B980:$D980,AO$5)="F",AND(AO$6&gt;0,$A980&lt;AO$6),AND(AO$7&gt;0,$A980&gt;AO$7)),0,MAX(0,ROUND((INDEX($E980:$G980,AO$5)-SUMIFS(TF_Timer,TF_Tekniker,AO$4,TF_Dato,$A980))*2,0)/2)))</f>
        <v/>
      </c>
      <c r="AP980">
        <f>IF(OR(AP$4="",$A980&gt;TODAY()),0,IF(OR(INDEX($B980:$D980,AP$5)="F",AND(AP$6&gt;0,$A980&lt;AP$6),AND(AP$7&gt;0,$A980&gt;AP$7)),0,MAX(0,ROUND((INDEX($E980:$G980,AP$5)-SUMIFS(TF_Timer,TF_Tekniker,AP$4,TF_Dato,$A980))*2,0)/2)))</f>
        <v/>
      </c>
      <c r="AQ980">
        <f>IF(OR(AQ$4="",$A980&gt;TODAY()),0,IF(OR(INDEX($B980:$D980,AQ$5)="F",AND(AQ$6&gt;0,$A980&lt;AQ$6),AND(AQ$7&gt;0,$A980&gt;AQ$7)),0,MAX(0,ROUND((INDEX($E980:$G980,AQ$5)-SUMIFS(TF_Timer,TF_Tekniker,AQ$4,TF_Dato,$A980))*2,0)/2)))</f>
        <v/>
      </c>
      <c r="AR980">
        <f>IF(OR(AR$4="",$A980&gt;TODAY()),0,IF(OR(INDEX($B980:$D980,AR$5)="F",AND(AR$6&gt;0,$A980&lt;AR$6),AND(AR$7&gt;0,$A980&gt;AR$7)),0,MAX(0,ROUND((INDEX($E980:$G980,AR$5)-SUMIFS(TF_Timer,TF_Tekniker,AR$4,TF_Dato,$A980))*2,0)/2)))</f>
        <v/>
      </c>
      <c r="AS980">
        <f>IF(OR(AS$4="",$A980&gt;TODAY()),0,IF(OR(INDEX($B980:$D980,AS$5)="F",AND(AS$6&gt;0,$A980&lt;AS$6),AND(AS$7&gt;0,$A980&gt;AS$7)),0,MAX(0,ROUND((INDEX($E980:$G980,AS$5)-SUMIFS(TF_Timer,TF_Tekniker,AS$4,TF_Dato,$A980))*2,0)/2)))</f>
        <v/>
      </c>
      <c r="AT980">
        <f>IF(OR(AT$4="",$A980&gt;TODAY()),0,IF(OR(INDEX($B980:$D980,AT$5)="F",AND(AT$6&gt;0,$A980&lt;AT$6),AND(AT$7&gt;0,$A980&gt;AT$7)),0,MAX(0,ROUND((INDEX($E980:$G980,AT$5)-SUMIFS(TF_Timer,TF_Tekniker,AT$4,TF_Dato,$A980))*2,0)/2)))</f>
        <v/>
      </c>
      <c r="AU980">
        <f>IF(OR(AU$4="",$A980&gt;TODAY()),0,IF(OR(INDEX($B980:$D980,AU$5)="F",AND(AU$6&gt;0,$A980&lt;AU$6),AND(AU$7&gt;0,$A980&gt;AU$7)),0,MAX(0,ROUND((INDEX($E980:$G980,AU$5)-SUMIFS(TF_Timer,TF_Tekniker,AU$4,TF_Dato,$A980))*2,0)/2)))</f>
        <v/>
      </c>
      <c r="AV980">
        <f>IF(OR(AV$4="",$A980&gt;TODAY()),0,IF(OR(INDEX($B980:$D980,AV$5)="F",AND(AV$6&gt;0,$A980&lt;AV$6),AND(AV$7&gt;0,$A980&gt;AV$7)),0,MAX(0,ROUND((INDEX($E980:$G980,AV$5)-SUMIFS(TF_Timer,TF_Tekniker,AV$4,TF_Dato,$A980))*2,0)/2)))</f>
        <v/>
      </c>
      <c r="AW980">
        <f>IF(OR(AW$4="",$A980&gt;TODAY()),0,IF(OR(INDEX($B980:$D980,AW$5)="F",AND(AW$6&gt;0,$A980&lt;AW$6),AND(AW$7&gt;0,$A980&gt;AW$7)),0,MAX(0,ROUND((INDEX($E980:$G980,AW$5)-SUMIFS(TF_Timer,TF_Tekniker,AW$4,TF_Dato,$A980))*2,0)/2)))</f>
        <v/>
      </c>
      <c r="AX980">
        <f>IF(OR(AX$4="",$A980&gt;TODAY()),0,IF(OR(INDEX($B980:$D980,AX$5)="F",AND(AX$6&gt;0,$A980&lt;AX$6),AND(AX$7&gt;0,$A980&gt;AX$7)),0,MAX(0,ROUND((INDEX($E980:$G980,AX$5)-SUMIFS(TF_Timer,TF_Tekniker,AX$4,TF_Dato,$A980))*2,0)/2)))</f>
        <v/>
      </c>
      <c r="AY980">
        <f>IF(OR(AY$4="",$A980&gt;TODAY()),0,IF(OR(INDEX($B980:$D980,AY$5)="F",AND(AY$6&gt;0,$A980&lt;AY$6),AND(AY$7&gt;0,$A980&gt;AY$7)),0,MAX(0,ROUND((INDEX($E980:$G980,AY$5)-SUMIFS(TF_Timer,TF_Tekniker,AY$4,TF_Dato,$A980))*2,0)/2)))</f>
        <v/>
      </c>
      <c r="AZ980">
        <f>IF(OR(AZ$4="",$A980&gt;TODAY()),0,IF(OR(INDEX($B980:$D980,AZ$5)="F",AND(AZ$6&gt;0,$A980&lt;AZ$6),AND(AZ$7&gt;0,$A980&gt;AZ$7)),0,MAX(0,ROUND((INDEX($E980:$G980,AZ$5)-SUMIFS(TF_Timer,TF_Tekniker,AZ$4,TF_Dato,$A980))*2,0)/2)))</f>
        <v/>
      </c>
      <c r="BA980">
        <f>IF(OR(BA$4="",$A980&gt;TODAY()),0,IF(OR(INDEX($B980:$D980,BA$5)="F",AND(BA$6&gt;0,$A980&lt;BA$6),AND(BA$7&gt;0,$A980&gt;BA$7)),0,MAX(0,ROUND((INDEX($E980:$G980,BA$5)-SUMIFS(TF_Timer,TF_Tekniker,BA$4,TF_Dato,$A980))*2,0)/2)))</f>
        <v/>
      </c>
      <c r="BB980">
        <f>IF(OR(BB$4="",$A980&gt;TODAY()),0,IF(OR(INDEX($B980:$D980,BB$5)="F",AND(BB$6&gt;0,$A980&lt;BB$6),AND(BB$7&gt;0,$A980&gt;BB$7)),0,MAX(0,ROUND((INDEX($E980:$G980,BB$5)-SUMIFS(TF_Timer,TF_Tekniker,BB$4,TF_Dato,$A980))*2,0)/2)))</f>
        <v/>
      </c>
      <c r="BC980">
        <f>IF(OR(BC$4="",$A980&gt;TODAY()),0,IF(OR(INDEX($B980:$D980,BC$5)="F",AND(BC$6&gt;0,$A980&lt;BC$6),AND(BC$7&gt;0,$A980&gt;BC$7)),0,MAX(0,ROUND((INDEX($E980:$G980,BC$5)-SUMIFS(TF_Timer,TF_Tekniker,BC$4,TF_Dato,$A980))*2,0)/2)))</f>
        <v/>
      </c>
      <c r="BD980">
        <f>IF(OR(BD$4="",$A980&gt;TODAY()),0,IF(OR(INDEX($B980:$D980,BD$5)="F",AND(BD$6&gt;0,$A980&lt;BD$6),AND(BD$7&gt;0,$A980&gt;BD$7)),0,MAX(0,ROUND((INDEX($E980:$G980,BD$5)-SUMIFS(TF_Timer,TF_Tekniker,BD$4,TF_Dato,$A980))*2,0)/2)))</f>
        <v/>
      </c>
      <c r="BE980">
        <f>IF(OR(BE$4="",$A980&gt;TODAY()),0,IF(OR(INDEX($B980:$D980,BE$5)="F",AND(BE$6&gt;0,$A980&lt;BE$6),AND(BE$7&gt;0,$A980&gt;BE$7)),0,MAX(0,ROUND((INDEX($E980:$G980,BE$5)-SUMIFS(TF_Timer,TF_Tekniker,BE$4,TF_Dato,$A980))*2,0)/2)))</f>
        <v/>
      </c>
      <c r="BF980">
        <f>IF(OR(BF$4="",$A980&gt;TODAY()),0,IF(OR(INDEX($B980:$D980,BF$5)="F",AND(BF$6&gt;0,$A980&lt;BF$6),AND(BF$7&gt;0,$A980&gt;BF$7)),0,MAX(0,ROUND((INDEX($E980:$G980,BF$5)-SUMIFS(TF_Timer,TF_Tekniker,BF$4,TF_Dato,$A980))*2,0)/2)))</f>
        <v/>
      </c>
      <c r="BG980">
        <f>IF(OR(BG$4="",$A980&gt;TODAY()),0,IF(OR(INDEX($B980:$D980,BG$5)="F",AND(BG$6&gt;0,$A980&lt;BG$6),AND(BG$7&gt;0,$A980&gt;BG$7)),0,MAX(0,ROUND((INDEX($E980:$G980,BG$5)-SUMIFS(TF_Timer,TF_Tekniker,BG$4,TF_Dato,$A980))*2,0)/2)))</f>
        <v/>
      </c>
      <c r="BH980">
        <f>IF(OR(BH$4="",$A980&gt;TODAY()),0,IF(OR(INDEX($B980:$D980,BH$5)="F",AND(BH$6&gt;0,$A980&lt;BH$6),AND(BH$7&gt;0,$A980&gt;BH$7)),0,MAX(0,ROUND((INDEX($E980:$G980,BH$5)-SUMIFS(TF_Timer,TF_Tekniker,BH$4,TF_Dato,$A980))*2,0)/2)))</f>
        <v/>
      </c>
      <c r="BI980">
        <f>IF(OR(BI$4="",$A980&gt;TODAY()),0,IF(OR(INDEX($B980:$D980,BI$5)="F",AND(BI$6&gt;0,$A980&lt;BI$6),AND(BI$7&gt;0,$A980&gt;BI$7)),0,MAX(0,ROUND((INDEX($E980:$G980,BI$5)-SUMIFS(TF_Timer,TF_Tekniker,BI$4,TF_Dato,$A980))*2,0)/2)))</f>
        <v/>
      </c>
    </row>
    <row r="981">
      <c r="A981" s="64">
        <f>A980+1</f>
        <v/>
      </c>
      <c r="B981">
        <f>IF(MOD($A981-INDEX(SkiftStart,1),Syklus)&lt;DagK,"K",IF(MOD($A981-INDEX(SkiftStart,1),Syklus)&lt;DagK+DagH,"H",IF(MOD($A981-INDEX(SkiftStart,1),Syklus)&lt;DagK+DagH+DagD,"D","F")))</f>
        <v/>
      </c>
      <c r="C981">
        <f>IF(MOD($A981-INDEX(SkiftStart,2),Syklus)&lt;DagK,"K",IF(MOD($A981-INDEX(SkiftStart,2),Syklus)&lt;DagK+DagH,"H",IF(MOD($A981-INDEX(SkiftStart,2),Syklus)&lt;DagK+DagH+DagD,"D","F")))</f>
        <v/>
      </c>
      <c r="D981">
        <f>IF(MOD($A981-INDEX(SkiftStart,3),Syklus)&lt;DagK,"K",IF(MOD($A981-INDEX(SkiftStart,3),Syklus)&lt;DagK+DagH,"H",IF(MOD($A981-INDEX(SkiftStart,3),Syklus)&lt;DagK+DagH+DagD,"D","F")))</f>
        <v/>
      </c>
      <c r="E981">
        <f>IF(B981="F",0,IF(WEEKDAY($A981,2)=5,INDEX(TimerFr,MATCH(B981,FaseKode,0)),INDEX(TimerMT,MATCH(B981,FaseKode,0))))</f>
        <v/>
      </c>
      <c r="F981">
        <f>IF(C981="F",0,IF(WEEKDAY($A981,2)=5,INDEX(TimerFr,MATCH(C981,FaseKode,0)),INDEX(TimerMT,MATCH(C981,FaseKode,0))))</f>
        <v/>
      </c>
      <c r="G981">
        <f>IF(D981="F",0,IF(WEEKDAY($A981,2)=5,INDEX(TimerFr,MATCH(D981,FaseKode,0)),INDEX(TimerMT,MATCH(D981,FaseKode,0))))</f>
        <v/>
      </c>
      <c r="H981">
        <f>IF(OR(H$4="",$A981&gt;TODAY()),0,IF(OR(INDEX($B981:$D981,H$5)="F",AND(H$6&gt;0,$A981&lt;H$6),AND(H$7&gt;0,$A981&gt;H$7)),0,MAX(0,ROUND((INDEX($E981:$G981,H$5)-SUMIFS(TF_Timer,TF_Tekniker,H$4,TF_Dato,$A981))*2,0)/2)))</f>
        <v/>
      </c>
      <c r="I981">
        <f>IF(OR(I$4="",$A981&gt;TODAY()),0,IF(OR(INDEX($B981:$D981,I$5)="F",AND(I$6&gt;0,$A981&lt;I$6),AND(I$7&gt;0,$A981&gt;I$7)),0,MAX(0,ROUND((INDEX($E981:$G981,I$5)-SUMIFS(TF_Timer,TF_Tekniker,I$4,TF_Dato,$A981))*2,0)/2)))</f>
        <v/>
      </c>
      <c r="J981">
        <f>IF(OR(J$4="",$A981&gt;TODAY()),0,IF(OR(INDEX($B981:$D981,J$5)="F",AND(J$6&gt;0,$A981&lt;J$6),AND(J$7&gt;0,$A981&gt;J$7)),0,MAX(0,ROUND((INDEX($E981:$G981,J$5)-SUMIFS(TF_Timer,TF_Tekniker,J$4,TF_Dato,$A981))*2,0)/2)))</f>
        <v/>
      </c>
      <c r="K981">
        <f>IF(OR(K$4="",$A981&gt;TODAY()),0,IF(OR(INDEX($B981:$D981,K$5)="F",AND(K$6&gt;0,$A981&lt;K$6),AND(K$7&gt;0,$A981&gt;K$7)),0,MAX(0,ROUND((INDEX($E981:$G981,K$5)-SUMIFS(TF_Timer,TF_Tekniker,K$4,TF_Dato,$A981))*2,0)/2)))</f>
        <v/>
      </c>
      <c r="L981">
        <f>IF(OR(L$4="",$A981&gt;TODAY()),0,IF(OR(INDEX($B981:$D981,L$5)="F",AND(L$6&gt;0,$A981&lt;L$6),AND(L$7&gt;0,$A981&gt;L$7)),0,MAX(0,ROUND((INDEX($E981:$G981,L$5)-SUMIFS(TF_Timer,TF_Tekniker,L$4,TF_Dato,$A981))*2,0)/2)))</f>
        <v/>
      </c>
      <c r="M981">
        <f>IF(OR(M$4="",$A981&gt;TODAY()),0,IF(OR(INDEX($B981:$D981,M$5)="F",AND(M$6&gt;0,$A981&lt;M$6),AND(M$7&gt;0,$A981&gt;M$7)),0,MAX(0,ROUND((INDEX($E981:$G981,M$5)-SUMIFS(TF_Timer,TF_Tekniker,M$4,TF_Dato,$A981))*2,0)/2)))</f>
        <v/>
      </c>
      <c r="N981">
        <f>IF(OR(N$4="",$A981&gt;TODAY()),0,IF(OR(INDEX($B981:$D981,N$5)="F",AND(N$6&gt;0,$A981&lt;N$6),AND(N$7&gt;0,$A981&gt;N$7)),0,MAX(0,ROUND((INDEX($E981:$G981,N$5)-SUMIFS(TF_Timer,TF_Tekniker,N$4,TF_Dato,$A981))*2,0)/2)))</f>
        <v/>
      </c>
      <c r="O981">
        <f>IF(OR(O$4="",$A981&gt;TODAY()),0,IF(OR(INDEX($B981:$D981,O$5)="F",AND(O$6&gt;0,$A981&lt;O$6),AND(O$7&gt;0,$A981&gt;O$7)),0,MAX(0,ROUND((INDEX($E981:$G981,O$5)-SUMIFS(TF_Timer,TF_Tekniker,O$4,TF_Dato,$A981))*2,0)/2)))</f>
        <v/>
      </c>
      <c r="P981">
        <f>IF(OR(P$4="",$A981&gt;TODAY()),0,IF(OR(INDEX($B981:$D981,P$5)="F",AND(P$6&gt;0,$A981&lt;P$6),AND(P$7&gt;0,$A981&gt;P$7)),0,MAX(0,ROUND((INDEX($E981:$G981,P$5)-SUMIFS(TF_Timer,TF_Tekniker,P$4,TF_Dato,$A981))*2,0)/2)))</f>
        <v/>
      </c>
      <c r="Q981">
        <f>IF(OR(Q$4="",$A981&gt;TODAY()),0,IF(OR(INDEX($B981:$D981,Q$5)="F",AND(Q$6&gt;0,$A981&lt;Q$6),AND(Q$7&gt;0,$A981&gt;Q$7)),0,MAX(0,ROUND((INDEX($E981:$G981,Q$5)-SUMIFS(TF_Timer,TF_Tekniker,Q$4,TF_Dato,$A981))*2,0)/2)))</f>
        <v/>
      </c>
      <c r="R981">
        <f>IF(OR(R$4="",$A981&gt;TODAY()),0,IF(OR(INDEX($B981:$D981,R$5)="F",AND(R$6&gt;0,$A981&lt;R$6),AND(R$7&gt;0,$A981&gt;R$7)),0,MAX(0,ROUND((INDEX($E981:$G981,R$5)-SUMIFS(TF_Timer,TF_Tekniker,R$4,TF_Dato,$A981))*2,0)/2)))</f>
        <v/>
      </c>
      <c r="S981">
        <f>IF(OR(S$4="",$A981&gt;TODAY()),0,IF(OR(INDEX($B981:$D981,S$5)="F",AND(S$6&gt;0,$A981&lt;S$6),AND(S$7&gt;0,$A981&gt;S$7)),0,MAX(0,ROUND((INDEX($E981:$G981,S$5)-SUMIFS(TF_Timer,TF_Tekniker,S$4,TF_Dato,$A981))*2,0)/2)))</f>
        <v/>
      </c>
      <c r="T981">
        <f>IF(OR(T$4="",$A981&gt;TODAY()),0,IF(OR(INDEX($B981:$D981,T$5)="F",AND(T$6&gt;0,$A981&lt;T$6),AND(T$7&gt;0,$A981&gt;T$7)),0,MAX(0,ROUND((INDEX($E981:$G981,T$5)-SUMIFS(TF_Timer,TF_Tekniker,T$4,TF_Dato,$A981))*2,0)/2)))</f>
        <v/>
      </c>
      <c r="U981">
        <f>IF(OR(U$4="",$A981&gt;TODAY()),0,IF(OR(INDEX($B981:$D981,U$5)="F",AND(U$6&gt;0,$A981&lt;U$6),AND(U$7&gt;0,$A981&gt;U$7)),0,MAX(0,ROUND((INDEX($E981:$G981,U$5)-SUMIFS(TF_Timer,TF_Tekniker,U$4,TF_Dato,$A981))*2,0)/2)))</f>
        <v/>
      </c>
      <c r="V981">
        <f>IF(OR(V$4="",$A981&gt;TODAY()),0,IF(OR(INDEX($B981:$D981,V$5)="F",AND(V$6&gt;0,$A981&lt;V$6),AND(V$7&gt;0,$A981&gt;V$7)),0,MAX(0,ROUND((INDEX($E981:$G981,V$5)-SUMIFS(TF_Timer,TF_Tekniker,V$4,TF_Dato,$A981))*2,0)/2)))</f>
        <v/>
      </c>
      <c r="W981">
        <f>IF(OR(W$4="",$A981&gt;TODAY()),0,IF(OR(INDEX($B981:$D981,W$5)="F",AND(W$6&gt;0,$A981&lt;W$6),AND(W$7&gt;0,$A981&gt;W$7)),0,MAX(0,ROUND((INDEX($E981:$G981,W$5)-SUMIFS(TF_Timer,TF_Tekniker,W$4,TF_Dato,$A981))*2,0)/2)))</f>
        <v/>
      </c>
      <c r="X981">
        <f>IF(OR(X$4="",$A981&gt;TODAY()),0,IF(OR(INDEX($B981:$D981,X$5)="F",AND(X$6&gt;0,$A981&lt;X$6),AND(X$7&gt;0,$A981&gt;X$7)),0,MAX(0,ROUND((INDEX($E981:$G981,X$5)-SUMIFS(TF_Timer,TF_Tekniker,X$4,TF_Dato,$A981))*2,0)/2)))</f>
        <v/>
      </c>
      <c r="Y981">
        <f>IF(OR(Y$4="",$A981&gt;TODAY()),0,IF(OR(INDEX($B981:$D981,Y$5)="F",AND(Y$6&gt;0,$A981&lt;Y$6),AND(Y$7&gt;0,$A981&gt;Y$7)),0,MAX(0,ROUND((INDEX($E981:$G981,Y$5)-SUMIFS(TF_Timer,TF_Tekniker,Y$4,TF_Dato,$A981))*2,0)/2)))</f>
        <v/>
      </c>
      <c r="Z981">
        <f>IF(OR(Z$4="",$A981&gt;TODAY()),0,IF(OR(INDEX($B981:$D981,Z$5)="F",AND(Z$6&gt;0,$A981&lt;Z$6),AND(Z$7&gt;0,$A981&gt;Z$7)),0,MAX(0,ROUND((INDEX($E981:$G981,Z$5)-SUMIFS(TF_Timer,TF_Tekniker,Z$4,TF_Dato,$A981))*2,0)/2)))</f>
        <v/>
      </c>
      <c r="AA981">
        <f>IF(OR(AA$4="",$A981&gt;TODAY()),0,IF(OR(INDEX($B981:$D981,AA$5)="F",AND(AA$6&gt;0,$A981&lt;AA$6),AND(AA$7&gt;0,$A981&gt;AA$7)),0,MAX(0,ROUND((INDEX($E981:$G981,AA$5)-SUMIFS(TF_Timer,TF_Tekniker,AA$4,TF_Dato,$A981))*2,0)/2)))</f>
        <v/>
      </c>
      <c r="AB981">
        <f>IF(OR(AB$4="",$A981&gt;TODAY()),0,IF(OR(INDEX($B981:$D981,AB$5)="F",AND(AB$6&gt;0,$A981&lt;AB$6),AND(AB$7&gt;0,$A981&gt;AB$7)),0,MAX(0,ROUND((INDEX($E981:$G981,AB$5)-SUMIFS(TF_Timer,TF_Tekniker,AB$4,TF_Dato,$A981))*2,0)/2)))</f>
        <v/>
      </c>
      <c r="AC981">
        <f>IF(OR(AC$4="",$A981&gt;TODAY()),0,IF(OR(INDEX($B981:$D981,AC$5)="F",AND(AC$6&gt;0,$A981&lt;AC$6),AND(AC$7&gt;0,$A981&gt;AC$7)),0,MAX(0,ROUND((INDEX($E981:$G981,AC$5)-SUMIFS(TF_Timer,TF_Tekniker,AC$4,TF_Dato,$A981))*2,0)/2)))</f>
        <v/>
      </c>
      <c r="AD981">
        <f>IF(OR(AD$4="",$A981&gt;TODAY()),0,IF(OR(INDEX($B981:$D981,AD$5)="F",AND(AD$6&gt;0,$A981&lt;AD$6),AND(AD$7&gt;0,$A981&gt;AD$7)),0,MAX(0,ROUND((INDEX($E981:$G981,AD$5)-SUMIFS(TF_Timer,TF_Tekniker,AD$4,TF_Dato,$A981))*2,0)/2)))</f>
        <v/>
      </c>
      <c r="AE981">
        <f>IF(OR(AE$4="",$A981&gt;TODAY()),0,IF(OR(INDEX($B981:$D981,AE$5)="F",AND(AE$6&gt;0,$A981&lt;AE$6),AND(AE$7&gt;0,$A981&gt;AE$7)),0,MAX(0,ROUND((INDEX($E981:$G981,AE$5)-SUMIFS(TF_Timer,TF_Tekniker,AE$4,TF_Dato,$A981))*2,0)/2)))</f>
        <v/>
      </c>
      <c r="AF981">
        <f>IF(OR(AF$4="",$A981&gt;TODAY()),0,IF(OR(INDEX($B981:$D981,AF$5)="F",AND(AF$6&gt;0,$A981&lt;AF$6),AND(AF$7&gt;0,$A981&gt;AF$7)),0,MAX(0,ROUND((INDEX($E981:$G981,AF$5)-SUMIFS(TF_Timer,TF_Tekniker,AF$4,TF_Dato,$A981))*2,0)/2)))</f>
        <v/>
      </c>
      <c r="AG981">
        <f>IF(OR(AG$4="",$A981&gt;TODAY()),0,IF(OR(INDEX($B981:$D981,AG$5)="F",AND(AG$6&gt;0,$A981&lt;AG$6),AND(AG$7&gt;0,$A981&gt;AG$7)),0,MAX(0,ROUND((INDEX($E981:$G981,AG$5)-SUMIFS(TF_Timer,TF_Tekniker,AG$4,TF_Dato,$A981))*2,0)/2)))</f>
        <v/>
      </c>
      <c r="AH981">
        <f>IF(OR(AH$4="",$A981&gt;TODAY()),0,IF(OR(INDEX($B981:$D981,AH$5)="F",AND(AH$6&gt;0,$A981&lt;AH$6),AND(AH$7&gt;0,$A981&gt;AH$7)),0,MAX(0,ROUND((INDEX($E981:$G981,AH$5)-SUMIFS(TF_Timer,TF_Tekniker,AH$4,TF_Dato,$A981))*2,0)/2)))</f>
        <v/>
      </c>
      <c r="AI981">
        <f>IF(OR(AI$4="",$A981&gt;TODAY()),0,IF(OR(INDEX($B981:$D981,AI$5)="F",AND(AI$6&gt;0,$A981&lt;AI$6),AND(AI$7&gt;0,$A981&gt;AI$7)),0,MAX(0,ROUND((INDEX($E981:$G981,AI$5)-SUMIFS(TF_Timer,TF_Tekniker,AI$4,TF_Dato,$A981))*2,0)/2)))</f>
        <v/>
      </c>
      <c r="AJ981">
        <f>IF(OR(AJ$4="",$A981&gt;TODAY()),0,IF(OR(INDEX($B981:$D981,AJ$5)="F",AND(AJ$6&gt;0,$A981&lt;AJ$6),AND(AJ$7&gt;0,$A981&gt;AJ$7)),0,MAX(0,ROUND((INDEX($E981:$G981,AJ$5)-SUMIFS(TF_Timer,TF_Tekniker,AJ$4,TF_Dato,$A981))*2,0)/2)))</f>
        <v/>
      </c>
      <c r="AK981">
        <f>IF(OR(AK$4="",$A981&gt;TODAY()),0,IF(OR(INDEX($B981:$D981,AK$5)="F",AND(AK$6&gt;0,$A981&lt;AK$6),AND(AK$7&gt;0,$A981&gt;AK$7)),0,MAX(0,ROUND((INDEX($E981:$G981,AK$5)-SUMIFS(TF_Timer,TF_Tekniker,AK$4,TF_Dato,$A981))*2,0)/2)))</f>
        <v/>
      </c>
      <c r="AL981">
        <f>IF(OR(AL$4="",$A981&gt;TODAY()),0,IF(OR(INDEX($B981:$D981,AL$5)="F",AND(AL$6&gt;0,$A981&lt;AL$6),AND(AL$7&gt;0,$A981&gt;AL$7)),0,MAX(0,ROUND((INDEX($E981:$G981,AL$5)-SUMIFS(TF_Timer,TF_Tekniker,AL$4,TF_Dato,$A981))*2,0)/2)))</f>
        <v/>
      </c>
      <c r="AM981">
        <f>IF(OR(AM$4="",$A981&gt;TODAY()),0,IF(OR(INDEX($B981:$D981,AM$5)="F",AND(AM$6&gt;0,$A981&lt;AM$6),AND(AM$7&gt;0,$A981&gt;AM$7)),0,MAX(0,ROUND((INDEX($E981:$G981,AM$5)-SUMIFS(TF_Timer,TF_Tekniker,AM$4,TF_Dato,$A981))*2,0)/2)))</f>
        <v/>
      </c>
      <c r="AN981">
        <f>IF(OR(AN$4="",$A981&gt;TODAY()),0,IF(OR(INDEX($B981:$D981,AN$5)="F",AND(AN$6&gt;0,$A981&lt;AN$6),AND(AN$7&gt;0,$A981&gt;AN$7)),0,MAX(0,ROUND((INDEX($E981:$G981,AN$5)-SUMIFS(TF_Timer,TF_Tekniker,AN$4,TF_Dato,$A981))*2,0)/2)))</f>
        <v/>
      </c>
      <c r="AO981">
        <f>IF(OR(AO$4="",$A981&gt;TODAY()),0,IF(OR(INDEX($B981:$D981,AO$5)="F",AND(AO$6&gt;0,$A981&lt;AO$6),AND(AO$7&gt;0,$A981&gt;AO$7)),0,MAX(0,ROUND((INDEX($E981:$G981,AO$5)-SUMIFS(TF_Timer,TF_Tekniker,AO$4,TF_Dato,$A981))*2,0)/2)))</f>
        <v/>
      </c>
      <c r="AP981">
        <f>IF(OR(AP$4="",$A981&gt;TODAY()),0,IF(OR(INDEX($B981:$D981,AP$5)="F",AND(AP$6&gt;0,$A981&lt;AP$6),AND(AP$7&gt;0,$A981&gt;AP$7)),0,MAX(0,ROUND((INDEX($E981:$G981,AP$5)-SUMIFS(TF_Timer,TF_Tekniker,AP$4,TF_Dato,$A981))*2,0)/2)))</f>
        <v/>
      </c>
      <c r="AQ981">
        <f>IF(OR(AQ$4="",$A981&gt;TODAY()),0,IF(OR(INDEX($B981:$D981,AQ$5)="F",AND(AQ$6&gt;0,$A981&lt;AQ$6),AND(AQ$7&gt;0,$A981&gt;AQ$7)),0,MAX(0,ROUND((INDEX($E981:$G981,AQ$5)-SUMIFS(TF_Timer,TF_Tekniker,AQ$4,TF_Dato,$A981))*2,0)/2)))</f>
        <v/>
      </c>
      <c r="AR981">
        <f>IF(OR(AR$4="",$A981&gt;TODAY()),0,IF(OR(INDEX($B981:$D981,AR$5)="F",AND(AR$6&gt;0,$A981&lt;AR$6),AND(AR$7&gt;0,$A981&gt;AR$7)),0,MAX(0,ROUND((INDEX($E981:$G981,AR$5)-SUMIFS(TF_Timer,TF_Tekniker,AR$4,TF_Dato,$A981))*2,0)/2)))</f>
        <v/>
      </c>
      <c r="AS981">
        <f>IF(OR(AS$4="",$A981&gt;TODAY()),0,IF(OR(INDEX($B981:$D981,AS$5)="F",AND(AS$6&gt;0,$A981&lt;AS$6),AND(AS$7&gt;0,$A981&gt;AS$7)),0,MAX(0,ROUND((INDEX($E981:$G981,AS$5)-SUMIFS(TF_Timer,TF_Tekniker,AS$4,TF_Dato,$A981))*2,0)/2)))</f>
        <v/>
      </c>
      <c r="AT981">
        <f>IF(OR(AT$4="",$A981&gt;TODAY()),0,IF(OR(INDEX($B981:$D981,AT$5)="F",AND(AT$6&gt;0,$A981&lt;AT$6),AND(AT$7&gt;0,$A981&gt;AT$7)),0,MAX(0,ROUND((INDEX($E981:$G981,AT$5)-SUMIFS(TF_Timer,TF_Tekniker,AT$4,TF_Dato,$A981))*2,0)/2)))</f>
        <v/>
      </c>
      <c r="AU981">
        <f>IF(OR(AU$4="",$A981&gt;TODAY()),0,IF(OR(INDEX($B981:$D981,AU$5)="F",AND(AU$6&gt;0,$A981&lt;AU$6),AND(AU$7&gt;0,$A981&gt;AU$7)),0,MAX(0,ROUND((INDEX($E981:$G981,AU$5)-SUMIFS(TF_Timer,TF_Tekniker,AU$4,TF_Dato,$A981))*2,0)/2)))</f>
        <v/>
      </c>
      <c r="AV981">
        <f>IF(OR(AV$4="",$A981&gt;TODAY()),0,IF(OR(INDEX($B981:$D981,AV$5)="F",AND(AV$6&gt;0,$A981&lt;AV$6),AND(AV$7&gt;0,$A981&gt;AV$7)),0,MAX(0,ROUND((INDEX($E981:$G981,AV$5)-SUMIFS(TF_Timer,TF_Tekniker,AV$4,TF_Dato,$A981))*2,0)/2)))</f>
        <v/>
      </c>
      <c r="AW981">
        <f>IF(OR(AW$4="",$A981&gt;TODAY()),0,IF(OR(INDEX($B981:$D981,AW$5)="F",AND(AW$6&gt;0,$A981&lt;AW$6),AND(AW$7&gt;0,$A981&gt;AW$7)),0,MAX(0,ROUND((INDEX($E981:$G981,AW$5)-SUMIFS(TF_Timer,TF_Tekniker,AW$4,TF_Dato,$A981))*2,0)/2)))</f>
        <v/>
      </c>
      <c r="AX981">
        <f>IF(OR(AX$4="",$A981&gt;TODAY()),0,IF(OR(INDEX($B981:$D981,AX$5)="F",AND(AX$6&gt;0,$A981&lt;AX$6),AND(AX$7&gt;0,$A981&gt;AX$7)),0,MAX(0,ROUND((INDEX($E981:$G981,AX$5)-SUMIFS(TF_Timer,TF_Tekniker,AX$4,TF_Dato,$A981))*2,0)/2)))</f>
        <v/>
      </c>
      <c r="AY981">
        <f>IF(OR(AY$4="",$A981&gt;TODAY()),0,IF(OR(INDEX($B981:$D981,AY$5)="F",AND(AY$6&gt;0,$A981&lt;AY$6),AND(AY$7&gt;0,$A981&gt;AY$7)),0,MAX(0,ROUND((INDEX($E981:$G981,AY$5)-SUMIFS(TF_Timer,TF_Tekniker,AY$4,TF_Dato,$A981))*2,0)/2)))</f>
        <v/>
      </c>
      <c r="AZ981">
        <f>IF(OR(AZ$4="",$A981&gt;TODAY()),0,IF(OR(INDEX($B981:$D981,AZ$5)="F",AND(AZ$6&gt;0,$A981&lt;AZ$6),AND(AZ$7&gt;0,$A981&gt;AZ$7)),0,MAX(0,ROUND((INDEX($E981:$G981,AZ$5)-SUMIFS(TF_Timer,TF_Tekniker,AZ$4,TF_Dato,$A981))*2,0)/2)))</f>
        <v/>
      </c>
      <c r="BA981">
        <f>IF(OR(BA$4="",$A981&gt;TODAY()),0,IF(OR(INDEX($B981:$D981,BA$5)="F",AND(BA$6&gt;0,$A981&lt;BA$6),AND(BA$7&gt;0,$A981&gt;BA$7)),0,MAX(0,ROUND((INDEX($E981:$G981,BA$5)-SUMIFS(TF_Timer,TF_Tekniker,BA$4,TF_Dato,$A981))*2,0)/2)))</f>
        <v/>
      </c>
      <c r="BB981">
        <f>IF(OR(BB$4="",$A981&gt;TODAY()),0,IF(OR(INDEX($B981:$D981,BB$5)="F",AND(BB$6&gt;0,$A981&lt;BB$6),AND(BB$7&gt;0,$A981&gt;BB$7)),0,MAX(0,ROUND((INDEX($E981:$G981,BB$5)-SUMIFS(TF_Timer,TF_Tekniker,BB$4,TF_Dato,$A981))*2,0)/2)))</f>
        <v/>
      </c>
      <c r="BC981">
        <f>IF(OR(BC$4="",$A981&gt;TODAY()),0,IF(OR(INDEX($B981:$D981,BC$5)="F",AND(BC$6&gt;0,$A981&lt;BC$6),AND(BC$7&gt;0,$A981&gt;BC$7)),0,MAX(0,ROUND((INDEX($E981:$G981,BC$5)-SUMIFS(TF_Timer,TF_Tekniker,BC$4,TF_Dato,$A981))*2,0)/2)))</f>
        <v/>
      </c>
      <c r="BD981">
        <f>IF(OR(BD$4="",$A981&gt;TODAY()),0,IF(OR(INDEX($B981:$D981,BD$5)="F",AND(BD$6&gt;0,$A981&lt;BD$6),AND(BD$7&gt;0,$A981&gt;BD$7)),0,MAX(0,ROUND((INDEX($E981:$G981,BD$5)-SUMIFS(TF_Timer,TF_Tekniker,BD$4,TF_Dato,$A981))*2,0)/2)))</f>
        <v/>
      </c>
      <c r="BE981">
        <f>IF(OR(BE$4="",$A981&gt;TODAY()),0,IF(OR(INDEX($B981:$D981,BE$5)="F",AND(BE$6&gt;0,$A981&lt;BE$6),AND(BE$7&gt;0,$A981&gt;BE$7)),0,MAX(0,ROUND((INDEX($E981:$G981,BE$5)-SUMIFS(TF_Timer,TF_Tekniker,BE$4,TF_Dato,$A981))*2,0)/2)))</f>
        <v/>
      </c>
      <c r="BF981">
        <f>IF(OR(BF$4="",$A981&gt;TODAY()),0,IF(OR(INDEX($B981:$D981,BF$5)="F",AND(BF$6&gt;0,$A981&lt;BF$6),AND(BF$7&gt;0,$A981&gt;BF$7)),0,MAX(0,ROUND((INDEX($E981:$G981,BF$5)-SUMIFS(TF_Timer,TF_Tekniker,BF$4,TF_Dato,$A981))*2,0)/2)))</f>
        <v/>
      </c>
      <c r="BG981">
        <f>IF(OR(BG$4="",$A981&gt;TODAY()),0,IF(OR(INDEX($B981:$D981,BG$5)="F",AND(BG$6&gt;0,$A981&lt;BG$6),AND(BG$7&gt;0,$A981&gt;BG$7)),0,MAX(0,ROUND((INDEX($E981:$G981,BG$5)-SUMIFS(TF_Timer,TF_Tekniker,BG$4,TF_Dato,$A981))*2,0)/2)))</f>
        <v/>
      </c>
      <c r="BH981">
        <f>IF(OR(BH$4="",$A981&gt;TODAY()),0,IF(OR(INDEX($B981:$D981,BH$5)="F",AND(BH$6&gt;0,$A981&lt;BH$6),AND(BH$7&gt;0,$A981&gt;BH$7)),0,MAX(0,ROUND((INDEX($E981:$G981,BH$5)-SUMIFS(TF_Timer,TF_Tekniker,BH$4,TF_Dato,$A981))*2,0)/2)))</f>
        <v/>
      </c>
      <c r="BI981">
        <f>IF(OR(BI$4="",$A981&gt;TODAY()),0,IF(OR(INDEX($B981:$D981,BI$5)="F",AND(BI$6&gt;0,$A981&lt;BI$6),AND(BI$7&gt;0,$A981&gt;BI$7)),0,MAX(0,ROUND((INDEX($E981:$G981,BI$5)-SUMIFS(TF_Timer,TF_Tekniker,BI$4,TF_Dato,$A981))*2,0)/2)))</f>
        <v/>
      </c>
    </row>
    <row r="982">
      <c r="A982" s="64">
        <f>A981+1</f>
        <v/>
      </c>
      <c r="B982">
        <f>IF(MOD($A982-INDEX(SkiftStart,1),Syklus)&lt;DagK,"K",IF(MOD($A982-INDEX(SkiftStart,1),Syklus)&lt;DagK+DagH,"H",IF(MOD($A982-INDEX(SkiftStart,1),Syklus)&lt;DagK+DagH+DagD,"D","F")))</f>
        <v/>
      </c>
      <c r="C982">
        <f>IF(MOD($A982-INDEX(SkiftStart,2),Syklus)&lt;DagK,"K",IF(MOD($A982-INDEX(SkiftStart,2),Syklus)&lt;DagK+DagH,"H",IF(MOD($A982-INDEX(SkiftStart,2),Syklus)&lt;DagK+DagH+DagD,"D","F")))</f>
        <v/>
      </c>
      <c r="D982">
        <f>IF(MOD($A982-INDEX(SkiftStart,3),Syklus)&lt;DagK,"K",IF(MOD($A982-INDEX(SkiftStart,3),Syklus)&lt;DagK+DagH,"H",IF(MOD($A982-INDEX(SkiftStart,3),Syklus)&lt;DagK+DagH+DagD,"D","F")))</f>
        <v/>
      </c>
      <c r="E982">
        <f>IF(B982="F",0,IF(WEEKDAY($A982,2)=5,INDEX(TimerFr,MATCH(B982,FaseKode,0)),INDEX(TimerMT,MATCH(B982,FaseKode,0))))</f>
        <v/>
      </c>
      <c r="F982">
        <f>IF(C982="F",0,IF(WEEKDAY($A982,2)=5,INDEX(TimerFr,MATCH(C982,FaseKode,0)),INDEX(TimerMT,MATCH(C982,FaseKode,0))))</f>
        <v/>
      </c>
      <c r="G982">
        <f>IF(D982="F",0,IF(WEEKDAY($A982,2)=5,INDEX(TimerFr,MATCH(D982,FaseKode,0)),INDEX(TimerMT,MATCH(D982,FaseKode,0))))</f>
        <v/>
      </c>
      <c r="H982">
        <f>IF(OR(H$4="",$A982&gt;TODAY()),0,IF(OR(INDEX($B982:$D982,H$5)="F",AND(H$6&gt;0,$A982&lt;H$6),AND(H$7&gt;0,$A982&gt;H$7)),0,MAX(0,ROUND((INDEX($E982:$G982,H$5)-SUMIFS(TF_Timer,TF_Tekniker,H$4,TF_Dato,$A982))*2,0)/2)))</f>
        <v/>
      </c>
      <c r="I982">
        <f>IF(OR(I$4="",$A982&gt;TODAY()),0,IF(OR(INDEX($B982:$D982,I$5)="F",AND(I$6&gt;0,$A982&lt;I$6),AND(I$7&gt;0,$A982&gt;I$7)),0,MAX(0,ROUND((INDEX($E982:$G982,I$5)-SUMIFS(TF_Timer,TF_Tekniker,I$4,TF_Dato,$A982))*2,0)/2)))</f>
        <v/>
      </c>
      <c r="J982">
        <f>IF(OR(J$4="",$A982&gt;TODAY()),0,IF(OR(INDEX($B982:$D982,J$5)="F",AND(J$6&gt;0,$A982&lt;J$6),AND(J$7&gt;0,$A982&gt;J$7)),0,MAX(0,ROUND((INDEX($E982:$G982,J$5)-SUMIFS(TF_Timer,TF_Tekniker,J$4,TF_Dato,$A982))*2,0)/2)))</f>
        <v/>
      </c>
      <c r="K982">
        <f>IF(OR(K$4="",$A982&gt;TODAY()),0,IF(OR(INDEX($B982:$D982,K$5)="F",AND(K$6&gt;0,$A982&lt;K$6),AND(K$7&gt;0,$A982&gt;K$7)),0,MAX(0,ROUND((INDEX($E982:$G982,K$5)-SUMIFS(TF_Timer,TF_Tekniker,K$4,TF_Dato,$A982))*2,0)/2)))</f>
        <v/>
      </c>
      <c r="L982">
        <f>IF(OR(L$4="",$A982&gt;TODAY()),0,IF(OR(INDEX($B982:$D982,L$5)="F",AND(L$6&gt;0,$A982&lt;L$6),AND(L$7&gt;0,$A982&gt;L$7)),0,MAX(0,ROUND((INDEX($E982:$G982,L$5)-SUMIFS(TF_Timer,TF_Tekniker,L$4,TF_Dato,$A982))*2,0)/2)))</f>
        <v/>
      </c>
      <c r="M982">
        <f>IF(OR(M$4="",$A982&gt;TODAY()),0,IF(OR(INDEX($B982:$D982,M$5)="F",AND(M$6&gt;0,$A982&lt;M$6),AND(M$7&gt;0,$A982&gt;M$7)),0,MAX(0,ROUND((INDEX($E982:$G982,M$5)-SUMIFS(TF_Timer,TF_Tekniker,M$4,TF_Dato,$A982))*2,0)/2)))</f>
        <v/>
      </c>
      <c r="N982">
        <f>IF(OR(N$4="",$A982&gt;TODAY()),0,IF(OR(INDEX($B982:$D982,N$5)="F",AND(N$6&gt;0,$A982&lt;N$6),AND(N$7&gt;0,$A982&gt;N$7)),0,MAX(0,ROUND((INDEX($E982:$G982,N$5)-SUMIFS(TF_Timer,TF_Tekniker,N$4,TF_Dato,$A982))*2,0)/2)))</f>
        <v/>
      </c>
      <c r="O982">
        <f>IF(OR(O$4="",$A982&gt;TODAY()),0,IF(OR(INDEX($B982:$D982,O$5)="F",AND(O$6&gt;0,$A982&lt;O$6),AND(O$7&gt;0,$A982&gt;O$7)),0,MAX(0,ROUND((INDEX($E982:$G982,O$5)-SUMIFS(TF_Timer,TF_Tekniker,O$4,TF_Dato,$A982))*2,0)/2)))</f>
        <v/>
      </c>
      <c r="P982">
        <f>IF(OR(P$4="",$A982&gt;TODAY()),0,IF(OR(INDEX($B982:$D982,P$5)="F",AND(P$6&gt;0,$A982&lt;P$6),AND(P$7&gt;0,$A982&gt;P$7)),0,MAX(0,ROUND((INDEX($E982:$G982,P$5)-SUMIFS(TF_Timer,TF_Tekniker,P$4,TF_Dato,$A982))*2,0)/2)))</f>
        <v/>
      </c>
      <c r="Q982">
        <f>IF(OR(Q$4="",$A982&gt;TODAY()),0,IF(OR(INDEX($B982:$D982,Q$5)="F",AND(Q$6&gt;0,$A982&lt;Q$6),AND(Q$7&gt;0,$A982&gt;Q$7)),0,MAX(0,ROUND((INDEX($E982:$G982,Q$5)-SUMIFS(TF_Timer,TF_Tekniker,Q$4,TF_Dato,$A982))*2,0)/2)))</f>
        <v/>
      </c>
      <c r="R982">
        <f>IF(OR(R$4="",$A982&gt;TODAY()),0,IF(OR(INDEX($B982:$D982,R$5)="F",AND(R$6&gt;0,$A982&lt;R$6),AND(R$7&gt;0,$A982&gt;R$7)),0,MAX(0,ROUND((INDEX($E982:$G982,R$5)-SUMIFS(TF_Timer,TF_Tekniker,R$4,TF_Dato,$A982))*2,0)/2)))</f>
        <v/>
      </c>
      <c r="S982">
        <f>IF(OR(S$4="",$A982&gt;TODAY()),0,IF(OR(INDEX($B982:$D982,S$5)="F",AND(S$6&gt;0,$A982&lt;S$6),AND(S$7&gt;0,$A982&gt;S$7)),0,MAX(0,ROUND((INDEX($E982:$G982,S$5)-SUMIFS(TF_Timer,TF_Tekniker,S$4,TF_Dato,$A982))*2,0)/2)))</f>
        <v/>
      </c>
      <c r="T982">
        <f>IF(OR(T$4="",$A982&gt;TODAY()),0,IF(OR(INDEX($B982:$D982,T$5)="F",AND(T$6&gt;0,$A982&lt;T$6),AND(T$7&gt;0,$A982&gt;T$7)),0,MAX(0,ROUND((INDEX($E982:$G982,T$5)-SUMIFS(TF_Timer,TF_Tekniker,T$4,TF_Dato,$A982))*2,0)/2)))</f>
        <v/>
      </c>
      <c r="U982">
        <f>IF(OR(U$4="",$A982&gt;TODAY()),0,IF(OR(INDEX($B982:$D982,U$5)="F",AND(U$6&gt;0,$A982&lt;U$6),AND(U$7&gt;0,$A982&gt;U$7)),0,MAX(0,ROUND((INDEX($E982:$G982,U$5)-SUMIFS(TF_Timer,TF_Tekniker,U$4,TF_Dato,$A982))*2,0)/2)))</f>
        <v/>
      </c>
      <c r="V982">
        <f>IF(OR(V$4="",$A982&gt;TODAY()),0,IF(OR(INDEX($B982:$D982,V$5)="F",AND(V$6&gt;0,$A982&lt;V$6),AND(V$7&gt;0,$A982&gt;V$7)),0,MAX(0,ROUND((INDEX($E982:$G982,V$5)-SUMIFS(TF_Timer,TF_Tekniker,V$4,TF_Dato,$A982))*2,0)/2)))</f>
        <v/>
      </c>
      <c r="W982">
        <f>IF(OR(W$4="",$A982&gt;TODAY()),0,IF(OR(INDEX($B982:$D982,W$5)="F",AND(W$6&gt;0,$A982&lt;W$6),AND(W$7&gt;0,$A982&gt;W$7)),0,MAX(0,ROUND((INDEX($E982:$G982,W$5)-SUMIFS(TF_Timer,TF_Tekniker,W$4,TF_Dato,$A982))*2,0)/2)))</f>
        <v/>
      </c>
      <c r="X982">
        <f>IF(OR(X$4="",$A982&gt;TODAY()),0,IF(OR(INDEX($B982:$D982,X$5)="F",AND(X$6&gt;0,$A982&lt;X$6),AND(X$7&gt;0,$A982&gt;X$7)),0,MAX(0,ROUND((INDEX($E982:$G982,X$5)-SUMIFS(TF_Timer,TF_Tekniker,X$4,TF_Dato,$A982))*2,0)/2)))</f>
        <v/>
      </c>
      <c r="Y982">
        <f>IF(OR(Y$4="",$A982&gt;TODAY()),0,IF(OR(INDEX($B982:$D982,Y$5)="F",AND(Y$6&gt;0,$A982&lt;Y$6),AND(Y$7&gt;0,$A982&gt;Y$7)),0,MAX(0,ROUND((INDEX($E982:$G982,Y$5)-SUMIFS(TF_Timer,TF_Tekniker,Y$4,TF_Dato,$A982))*2,0)/2)))</f>
        <v/>
      </c>
      <c r="Z982">
        <f>IF(OR(Z$4="",$A982&gt;TODAY()),0,IF(OR(INDEX($B982:$D982,Z$5)="F",AND(Z$6&gt;0,$A982&lt;Z$6),AND(Z$7&gt;0,$A982&gt;Z$7)),0,MAX(0,ROUND((INDEX($E982:$G982,Z$5)-SUMIFS(TF_Timer,TF_Tekniker,Z$4,TF_Dato,$A982))*2,0)/2)))</f>
        <v/>
      </c>
      <c r="AA982">
        <f>IF(OR(AA$4="",$A982&gt;TODAY()),0,IF(OR(INDEX($B982:$D982,AA$5)="F",AND(AA$6&gt;0,$A982&lt;AA$6),AND(AA$7&gt;0,$A982&gt;AA$7)),0,MAX(0,ROUND((INDEX($E982:$G982,AA$5)-SUMIFS(TF_Timer,TF_Tekniker,AA$4,TF_Dato,$A982))*2,0)/2)))</f>
        <v/>
      </c>
      <c r="AB982">
        <f>IF(OR(AB$4="",$A982&gt;TODAY()),0,IF(OR(INDEX($B982:$D982,AB$5)="F",AND(AB$6&gt;0,$A982&lt;AB$6),AND(AB$7&gt;0,$A982&gt;AB$7)),0,MAX(0,ROUND((INDEX($E982:$G982,AB$5)-SUMIFS(TF_Timer,TF_Tekniker,AB$4,TF_Dato,$A982))*2,0)/2)))</f>
        <v/>
      </c>
      <c r="AC982">
        <f>IF(OR(AC$4="",$A982&gt;TODAY()),0,IF(OR(INDEX($B982:$D982,AC$5)="F",AND(AC$6&gt;0,$A982&lt;AC$6),AND(AC$7&gt;0,$A982&gt;AC$7)),0,MAX(0,ROUND((INDEX($E982:$G982,AC$5)-SUMIFS(TF_Timer,TF_Tekniker,AC$4,TF_Dato,$A982))*2,0)/2)))</f>
        <v/>
      </c>
      <c r="AD982">
        <f>IF(OR(AD$4="",$A982&gt;TODAY()),0,IF(OR(INDEX($B982:$D982,AD$5)="F",AND(AD$6&gt;0,$A982&lt;AD$6),AND(AD$7&gt;0,$A982&gt;AD$7)),0,MAX(0,ROUND((INDEX($E982:$G982,AD$5)-SUMIFS(TF_Timer,TF_Tekniker,AD$4,TF_Dato,$A982))*2,0)/2)))</f>
        <v/>
      </c>
      <c r="AE982">
        <f>IF(OR(AE$4="",$A982&gt;TODAY()),0,IF(OR(INDEX($B982:$D982,AE$5)="F",AND(AE$6&gt;0,$A982&lt;AE$6),AND(AE$7&gt;0,$A982&gt;AE$7)),0,MAX(0,ROUND((INDEX($E982:$G982,AE$5)-SUMIFS(TF_Timer,TF_Tekniker,AE$4,TF_Dato,$A982))*2,0)/2)))</f>
        <v/>
      </c>
      <c r="AF982">
        <f>IF(OR(AF$4="",$A982&gt;TODAY()),0,IF(OR(INDEX($B982:$D982,AF$5)="F",AND(AF$6&gt;0,$A982&lt;AF$6),AND(AF$7&gt;0,$A982&gt;AF$7)),0,MAX(0,ROUND((INDEX($E982:$G982,AF$5)-SUMIFS(TF_Timer,TF_Tekniker,AF$4,TF_Dato,$A982))*2,0)/2)))</f>
        <v/>
      </c>
      <c r="AG982">
        <f>IF(OR(AG$4="",$A982&gt;TODAY()),0,IF(OR(INDEX($B982:$D982,AG$5)="F",AND(AG$6&gt;0,$A982&lt;AG$6),AND(AG$7&gt;0,$A982&gt;AG$7)),0,MAX(0,ROUND((INDEX($E982:$G982,AG$5)-SUMIFS(TF_Timer,TF_Tekniker,AG$4,TF_Dato,$A982))*2,0)/2)))</f>
        <v/>
      </c>
      <c r="AH982">
        <f>IF(OR(AH$4="",$A982&gt;TODAY()),0,IF(OR(INDEX($B982:$D982,AH$5)="F",AND(AH$6&gt;0,$A982&lt;AH$6),AND(AH$7&gt;0,$A982&gt;AH$7)),0,MAX(0,ROUND((INDEX($E982:$G982,AH$5)-SUMIFS(TF_Timer,TF_Tekniker,AH$4,TF_Dato,$A982))*2,0)/2)))</f>
        <v/>
      </c>
      <c r="AI982">
        <f>IF(OR(AI$4="",$A982&gt;TODAY()),0,IF(OR(INDEX($B982:$D982,AI$5)="F",AND(AI$6&gt;0,$A982&lt;AI$6),AND(AI$7&gt;0,$A982&gt;AI$7)),0,MAX(0,ROUND((INDEX($E982:$G982,AI$5)-SUMIFS(TF_Timer,TF_Tekniker,AI$4,TF_Dato,$A982))*2,0)/2)))</f>
        <v/>
      </c>
      <c r="AJ982">
        <f>IF(OR(AJ$4="",$A982&gt;TODAY()),0,IF(OR(INDEX($B982:$D982,AJ$5)="F",AND(AJ$6&gt;0,$A982&lt;AJ$6),AND(AJ$7&gt;0,$A982&gt;AJ$7)),0,MAX(0,ROUND((INDEX($E982:$G982,AJ$5)-SUMIFS(TF_Timer,TF_Tekniker,AJ$4,TF_Dato,$A982))*2,0)/2)))</f>
        <v/>
      </c>
      <c r="AK982">
        <f>IF(OR(AK$4="",$A982&gt;TODAY()),0,IF(OR(INDEX($B982:$D982,AK$5)="F",AND(AK$6&gt;0,$A982&lt;AK$6),AND(AK$7&gt;0,$A982&gt;AK$7)),0,MAX(0,ROUND((INDEX($E982:$G982,AK$5)-SUMIFS(TF_Timer,TF_Tekniker,AK$4,TF_Dato,$A982))*2,0)/2)))</f>
        <v/>
      </c>
      <c r="AL982">
        <f>IF(OR(AL$4="",$A982&gt;TODAY()),0,IF(OR(INDEX($B982:$D982,AL$5)="F",AND(AL$6&gt;0,$A982&lt;AL$6),AND(AL$7&gt;0,$A982&gt;AL$7)),0,MAX(0,ROUND((INDEX($E982:$G982,AL$5)-SUMIFS(TF_Timer,TF_Tekniker,AL$4,TF_Dato,$A982))*2,0)/2)))</f>
        <v/>
      </c>
      <c r="AM982">
        <f>IF(OR(AM$4="",$A982&gt;TODAY()),0,IF(OR(INDEX($B982:$D982,AM$5)="F",AND(AM$6&gt;0,$A982&lt;AM$6),AND(AM$7&gt;0,$A982&gt;AM$7)),0,MAX(0,ROUND((INDEX($E982:$G982,AM$5)-SUMIFS(TF_Timer,TF_Tekniker,AM$4,TF_Dato,$A982))*2,0)/2)))</f>
        <v/>
      </c>
      <c r="AN982">
        <f>IF(OR(AN$4="",$A982&gt;TODAY()),0,IF(OR(INDEX($B982:$D982,AN$5)="F",AND(AN$6&gt;0,$A982&lt;AN$6),AND(AN$7&gt;0,$A982&gt;AN$7)),0,MAX(0,ROUND((INDEX($E982:$G982,AN$5)-SUMIFS(TF_Timer,TF_Tekniker,AN$4,TF_Dato,$A982))*2,0)/2)))</f>
        <v/>
      </c>
      <c r="AO982">
        <f>IF(OR(AO$4="",$A982&gt;TODAY()),0,IF(OR(INDEX($B982:$D982,AO$5)="F",AND(AO$6&gt;0,$A982&lt;AO$6),AND(AO$7&gt;0,$A982&gt;AO$7)),0,MAX(0,ROUND((INDEX($E982:$G982,AO$5)-SUMIFS(TF_Timer,TF_Tekniker,AO$4,TF_Dato,$A982))*2,0)/2)))</f>
        <v/>
      </c>
      <c r="AP982">
        <f>IF(OR(AP$4="",$A982&gt;TODAY()),0,IF(OR(INDEX($B982:$D982,AP$5)="F",AND(AP$6&gt;0,$A982&lt;AP$6),AND(AP$7&gt;0,$A982&gt;AP$7)),0,MAX(0,ROUND((INDEX($E982:$G982,AP$5)-SUMIFS(TF_Timer,TF_Tekniker,AP$4,TF_Dato,$A982))*2,0)/2)))</f>
        <v/>
      </c>
      <c r="AQ982">
        <f>IF(OR(AQ$4="",$A982&gt;TODAY()),0,IF(OR(INDEX($B982:$D982,AQ$5)="F",AND(AQ$6&gt;0,$A982&lt;AQ$6),AND(AQ$7&gt;0,$A982&gt;AQ$7)),0,MAX(0,ROUND((INDEX($E982:$G982,AQ$5)-SUMIFS(TF_Timer,TF_Tekniker,AQ$4,TF_Dato,$A982))*2,0)/2)))</f>
        <v/>
      </c>
      <c r="AR982">
        <f>IF(OR(AR$4="",$A982&gt;TODAY()),0,IF(OR(INDEX($B982:$D982,AR$5)="F",AND(AR$6&gt;0,$A982&lt;AR$6),AND(AR$7&gt;0,$A982&gt;AR$7)),0,MAX(0,ROUND((INDEX($E982:$G982,AR$5)-SUMIFS(TF_Timer,TF_Tekniker,AR$4,TF_Dato,$A982))*2,0)/2)))</f>
        <v/>
      </c>
      <c r="AS982">
        <f>IF(OR(AS$4="",$A982&gt;TODAY()),0,IF(OR(INDEX($B982:$D982,AS$5)="F",AND(AS$6&gt;0,$A982&lt;AS$6),AND(AS$7&gt;0,$A982&gt;AS$7)),0,MAX(0,ROUND((INDEX($E982:$G982,AS$5)-SUMIFS(TF_Timer,TF_Tekniker,AS$4,TF_Dato,$A982))*2,0)/2)))</f>
        <v/>
      </c>
      <c r="AT982">
        <f>IF(OR(AT$4="",$A982&gt;TODAY()),0,IF(OR(INDEX($B982:$D982,AT$5)="F",AND(AT$6&gt;0,$A982&lt;AT$6),AND(AT$7&gt;0,$A982&gt;AT$7)),0,MAX(0,ROUND((INDEX($E982:$G982,AT$5)-SUMIFS(TF_Timer,TF_Tekniker,AT$4,TF_Dato,$A982))*2,0)/2)))</f>
        <v/>
      </c>
      <c r="AU982">
        <f>IF(OR(AU$4="",$A982&gt;TODAY()),0,IF(OR(INDEX($B982:$D982,AU$5)="F",AND(AU$6&gt;0,$A982&lt;AU$6),AND(AU$7&gt;0,$A982&gt;AU$7)),0,MAX(0,ROUND((INDEX($E982:$G982,AU$5)-SUMIFS(TF_Timer,TF_Tekniker,AU$4,TF_Dato,$A982))*2,0)/2)))</f>
        <v/>
      </c>
      <c r="AV982">
        <f>IF(OR(AV$4="",$A982&gt;TODAY()),0,IF(OR(INDEX($B982:$D982,AV$5)="F",AND(AV$6&gt;0,$A982&lt;AV$6),AND(AV$7&gt;0,$A982&gt;AV$7)),0,MAX(0,ROUND((INDEX($E982:$G982,AV$5)-SUMIFS(TF_Timer,TF_Tekniker,AV$4,TF_Dato,$A982))*2,0)/2)))</f>
        <v/>
      </c>
      <c r="AW982">
        <f>IF(OR(AW$4="",$A982&gt;TODAY()),0,IF(OR(INDEX($B982:$D982,AW$5)="F",AND(AW$6&gt;0,$A982&lt;AW$6),AND(AW$7&gt;0,$A982&gt;AW$7)),0,MAX(0,ROUND((INDEX($E982:$G982,AW$5)-SUMIFS(TF_Timer,TF_Tekniker,AW$4,TF_Dato,$A982))*2,0)/2)))</f>
        <v/>
      </c>
      <c r="AX982">
        <f>IF(OR(AX$4="",$A982&gt;TODAY()),0,IF(OR(INDEX($B982:$D982,AX$5)="F",AND(AX$6&gt;0,$A982&lt;AX$6),AND(AX$7&gt;0,$A982&gt;AX$7)),0,MAX(0,ROUND((INDEX($E982:$G982,AX$5)-SUMIFS(TF_Timer,TF_Tekniker,AX$4,TF_Dato,$A982))*2,0)/2)))</f>
        <v/>
      </c>
      <c r="AY982">
        <f>IF(OR(AY$4="",$A982&gt;TODAY()),0,IF(OR(INDEX($B982:$D982,AY$5)="F",AND(AY$6&gt;0,$A982&lt;AY$6),AND(AY$7&gt;0,$A982&gt;AY$7)),0,MAX(0,ROUND((INDEX($E982:$G982,AY$5)-SUMIFS(TF_Timer,TF_Tekniker,AY$4,TF_Dato,$A982))*2,0)/2)))</f>
        <v/>
      </c>
      <c r="AZ982">
        <f>IF(OR(AZ$4="",$A982&gt;TODAY()),0,IF(OR(INDEX($B982:$D982,AZ$5)="F",AND(AZ$6&gt;0,$A982&lt;AZ$6),AND(AZ$7&gt;0,$A982&gt;AZ$7)),0,MAX(0,ROUND((INDEX($E982:$G982,AZ$5)-SUMIFS(TF_Timer,TF_Tekniker,AZ$4,TF_Dato,$A982))*2,0)/2)))</f>
        <v/>
      </c>
      <c r="BA982">
        <f>IF(OR(BA$4="",$A982&gt;TODAY()),0,IF(OR(INDEX($B982:$D982,BA$5)="F",AND(BA$6&gt;0,$A982&lt;BA$6),AND(BA$7&gt;0,$A982&gt;BA$7)),0,MAX(0,ROUND((INDEX($E982:$G982,BA$5)-SUMIFS(TF_Timer,TF_Tekniker,BA$4,TF_Dato,$A982))*2,0)/2)))</f>
        <v/>
      </c>
      <c r="BB982">
        <f>IF(OR(BB$4="",$A982&gt;TODAY()),0,IF(OR(INDEX($B982:$D982,BB$5)="F",AND(BB$6&gt;0,$A982&lt;BB$6),AND(BB$7&gt;0,$A982&gt;BB$7)),0,MAX(0,ROUND((INDEX($E982:$G982,BB$5)-SUMIFS(TF_Timer,TF_Tekniker,BB$4,TF_Dato,$A982))*2,0)/2)))</f>
        <v/>
      </c>
      <c r="BC982">
        <f>IF(OR(BC$4="",$A982&gt;TODAY()),0,IF(OR(INDEX($B982:$D982,BC$5)="F",AND(BC$6&gt;0,$A982&lt;BC$6),AND(BC$7&gt;0,$A982&gt;BC$7)),0,MAX(0,ROUND((INDEX($E982:$G982,BC$5)-SUMIFS(TF_Timer,TF_Tekniker,BC$4,TF_Dato,$A982))*2,0)/2)))</f>
        <v/>
      </c>
      <c r="BD982">
        <f>IF(OR(BD$4="",$A982&gt;TODAY()),0,IF(OR(INDEX($B982:$D982,BD$5)="F",AND(BD$6&gt;0,$A982&lt;BD$6),AND(BD$7&gt;0,$A982&gt;BD$7)),0,MAX(0,ROUND((INDEX($E982:$G982,BD$5)-SUMIFS(TF_Timer,TF_Tekniker,BD$4,TF_Dato,$A982))*2,0)/2)))</f>
        <v/>
      </c>
      <c r="BE982">
        <f>IF(OR(BE$4="",$A982&gt;TODAY()),0,IF(OR(INDEX($B982:$D982,BE$5)="F",AND(BE$6&gt;0,$A982&lt;BE$6),AND(BE$7&gt;0,$A982&gt;BE$7)),0,MAX(0,ROUND((INDEX($E982:$G982,BE$5)-SUMIFS(TF_Timer,TF_Tekniker,BE$4,TF_Dato,$A982))*2,0)/2)))</f>
        <v/>
      </c>
      <c r="BF982">
        <f>IF(OR(BF$4="",$A982&gt;TODAY()),0,IF(OR(INDEX($B982:$D982,BF$5)="F",AND(BF$6&gt;0,$A982&lt;BF$6),AND(BF$7&gt;0,$A982&gt;BF$7)),0,MAX(0,ROUND((INDEX($E982:$G982,BF$5)-SUMIFS(TF_Timer,TF_Tekniker,BF$4,TF_Dato,$A982))*2,0)/2)))</f>
        <v/>
      </c>
      <c r="BG982">
        <f>IF(OR(BG$4="",$A982&gt;TODAY()),0,IF(OR(INDEX($B982:$D982,BG$5)="F",AND(BG$6&gt;0,$A982&lt;BG$6),AND(BG$7&gt;0,$A982&gt;BG$7)),0,MAX(0,ROUND((INDEX($E982:$G982,BG$5)-SUMIFS(TF_Timer,TF_Tekniker,BG$4,TF_Dato,$A982))*2,0)/2)))</f>
        <v/>
      </c>
      <c r="BH982">
        <f>IF(OR(BH$4="",$A982&gt;TODAY()),0,IF(OR(INDEX($B982:$D982,BH$5)="F",AND(BH$6&gt;0,$A982&lt;BH$6),AND(BH$7&gt;0,$A982&gt;BH$7)),0,MAX(0,ROUND((INDEX($E982:$G982,BH$5)-SUMIFS(TF_Timer,TF_Tekniker,BH$4,TF_Dato,$A982))*2,0)/2)))</f>
        <v/>
      </c>
      <c r="BI982">
        <f>IF(OR(BI$4="",$A982&gt;TODAY()),0,IF(OR(INDEX($B982:$D982,BI$5)="F",AND(BI$6&gt;0,$A982&lt;BI$6),AND(BI$7&gt;0,$A982&gt;BI$7)),0,MAX(0,ROUND((INDEX($E982:$G982,BI$5)-SUMIFS(TF_Timer,TF_Tekniker,BI$4,TF_Dato,$A982))*2,0)/2)))</f>
        <v/>
      </c>
    </row>
    <row r="983">
      <c r="A983" s="64">
        <f>A982+1</f>
        <v/>
      </c>
      <c r="B983">
        <f>IF(MOD($A983-INDEX(SkiftStart,1),Syklus)&lt;DagK,"K",IF(MOD($A983-INDEX(SkiftStart,1),Syklus)&lt;DagK+DagH,"H",IF(MOD($A983-INDEX(SkiftStart,1),Syklus)&lt;DagK+DagH+DagD,"D","F")))</f>
        <v/>
      </c>
      <c r="C983">
        <f>IF(MOD($A983-INDEX(SkiftStart,2),Syklus)&lt;DagK,"K",IF(MOD($A983-INDEX(SkiftStart,2),Syklus)&lt;DagK+DagH,"H",IF(MOD($A983-INDEX(SkiftStart,2),Syklus)&lt;DagK+DagH+DagD,"D","F")))</f>
        <v/>
      </c>
      <c r="D983">
        <f>IF(MOD($A983-INDEX(SkiftStart,3),Syklus)&lt;DagK,"K",IF(MOD($A983-INDEX(SkiftStart,3),Syklus)&lt;DagK+DagH,"H",IF(MOD($A983-INDEX(SkiftStart,3),Syklus)&lt;DagK+DagH+DagD,"D","F")))</f>
        <v/>
      </c>
      <c r="E983">
        <f>IF(B983="F",0,IF(WEEKDAY($A983,2)=5,INDEX(TimerFr,MATCH(B983,FaseKode,0)),INDEX(TimerMT,MATCH(B983,FaseKode,0))))</f>
        <v/>
      </c>
      <c r="F983">
        <f>IF(C983="F",0,IF(WEEKDAY($A983,2)=5,INDEX(TimerFr,MATCH(C983,FaseKode,0)),INDEX(TimerMT,MATCH(C983,FaseKode,0))))</f>
        <v/>
      </c>
      <c r="G983">
        <f>IF(D983="F",0,IF(WEEKDAY($A983,2)=5,INDEX(TimerFr,MATCH(D983,FaseKode,0)),INDEX(TimerMT,MATCH(D983,FaseKode,0))))</f>
        <v/>
      </c>
      <c r="H983">
        <f>IF(OR(H$4="",$A983&gt;TODAY()),0,IF(OR(INDEX($B983:$D983,H$5)="F",AND(H$6&gt;0,$A983&lt;H$6),AND(H$7&gt;0,$A983&gt;H$7)),0,MAX(0,ROUND((INDEX($E983:$G983,H$5)-SUMIFS(TF_Timer,TF_Tekniker,H$4,TF_Dato,$A983))*2,0)/2)))</f>
        <v/>
      </c>
      <c r="I983">
        <f>IF(OR(I$4="",$A983&gt;TODAY()),0,IF(OR(INDEX($B983:$D983,I$5)="F",AND(I$6&gt;0,$A983&lt;I$6),AND(I$7&gt;0,$A983&gt;I$7)),0,MAX(0,ROUND((INDEX($E983:$G983,I$5)-SUMIFS(TF_Timer,TF_Tekniker,I$4,TF_Dato,$A983))*2,0)/2)))</f>
        <v/>
      </c>
      <c r="J983">
        <f>IF(OR(J$4="",$A983&gt;TODAY()),0,IF(OR(INDEX($B983:$D983,J$5)="F",AND(J$6&gt;0,$A983&lt;J$6),AND(J$7&gt;0,$A983&gt;J$7)),0,MAX(0,ROUND((INDEX($E983:$G983,J$5)-SUMIFS(TF_Timer,TF_Tekniker,J$4,TF_Dato,$A983))*2,0)/2)))</f>
        <v/>
      </c>
      <c r="K983">
        <f>IF(OR(K$4="",$A983&gt;TODAY()),0,IF(OR(INDEX($B983:$D983,K$5)="F",AND(K$6&gt;0,$A983&lt;K$6),AND(K$7&gt;0,$A983&gt;K$7)),0,MAX(0,ROUND((INDEX($E983:$G983,K$5)-SUMIFS(TF_Timer,TF_Tekniker,K$4,TF_Dato,$A983))*2,0)/2)))</f>
        <v/>
      </c>
      <c r="L983">
        <f>IF(OR(L$4="",$A983&gt;TODAY()),0,IF(OR(INDEX($B983:$D983,L$5)="F",AND(L$6&gt;0,$A983&lt;L$6),AND(L$7&gt;0,$A983&gt;L$7)),0,MAX(0,ROUND((INDEX($E983:$G983,L$5)-SUMIFS(TF_Timer,TF_Tekniker,L$4,TF_Dato,$A983))*2,0)/2)))</f>
        <v/>
      </c>
      <c r="M983">
        <f>IF(OR(M$4="",$A983&gt;TODAY()),0,IF(OR(INDEX($B983:$D983,M$5)="F",AND(M$6&gt;0,$A983&lt;M$6),AND(M$7&gt;0,$A983&gt;M$7)),0,MAX(0,ROUND((INDEX($E983:$G983,M$5)-SUMIFS(TF_Timer,TF_Tekniker,M$4,TF_Dato,$A983))*2,0)/2)))</f>
        <v/>
      </c>
      <c r="N983">
        <f>IF(OR(N$4="",$A983&gt;TODAY()),0,IF(OR(INDEX($B983:$D983,N$5)="F",AND(N$6&gt;0,$A983&lt;N$6),AND(N$7&gt;0,$A983&gt;N$7)),0,MAX(0,ROUND((INDEX($E983:$G983,N$5)-SUMIFS(TF_Timer,TF_Tekniker,N$4,TF_Dato,$A983))*2,0)/2)))</f>
        <v/>
      </c>
      <c r="O983">
        <f>IF(OR(O$4="",$A983&gt;TODAY()),0,IF(OR(INDEX($B983:$D983,O$5)="F",AND(O$6&gt;0,$A983&lt;O$6),AND(O$7&gt;0,$A983&gt;O$7)),0,MAX(0,ROUND((INDEX($E983:$G983,O$5)-SUMIFS(TF_Timer,TF_Tekniker,O$4,TF_Dato,$A983))*2,0)/2)))</f>
        <v/>
      </c>
      <c r="P983">
        <f>IF(OR(P$4="",$A983&gt;TODAY()),0,IF(OR(INDEX($B983:$D983,P$5)="F",AND(P$6&gt;0,$A983&lt;P$6),AND(P$7&gt;0,$A983&gt;P$7)),0,MAX(0,ROUND((INDEX($E983:$G983,P$5)-SUMIFS(TF_Timer,TF_Tekniker,P$4,TF_Dato,$A983))*2,0)/2)))</f>
        <v/>
      </c>
      <c r="Q983">
        <f>IF(OR(Q$4="",$A983&gt;TODAY()),0,IF(OR(INDEX($B983:$D983,Q$5)="F",AND(Q$6&gt;0,$A983&lt;Q$6),AND(Q$7&gt;0,$A983&gt;Q$7)),0,MAX(0,ROUND((INDEX($E983:$G983,Q$5)-SUMIFS(TF_Timer,TF_Tekniker,Q$4,TF_Dato,$A983))*2,0)/2)))</f>
        <v/>
      </c>
      <c r="R983">
        <f>IF(OR(R$4="",$A983&gt;TODAY()),0,IF(OR(INDEX($B983:$D983,R$5)="F",AND(R$6&gt;0,$A983&lt;R$6),AND(R$7&gt;0,$A983&gt;R$7)),0,MAX(0,ROUND((INDEX($E983:$G983,R$5)-SUMIFS(TF_Timer,TF_Tekniker,R$4,TF_Dato,$A983))*2,0)/2)))</f>
        <v/>
      </c>
      <c r="S983">
        <f>IF(OR(S$4="",$A983&gt;TODAY()),0,IF(OR(INDEX($B983:$D983,S$5)="F",AND(S$6&gt;0,$A983&lt;S$6),AND(S$7&gt;0,$A983&gt;S$7)),0,MAX(0,ROUND((INDEX($E983:$G983,S$5)-SUMIFS(TF_Timer,TF_Tekniker,S$4,TF_Dato,$A983))*2,0)/2)))</f>
        <v/>
      </c>
      <c r="T983">
        <f>IF(OR(T$4="",$A983&gt;TODAY()),0,IF(OR(INDEX($B983:$D983,T$5)="F",AND(T$6&gt;0,$A983&lt;T$6),AND(T$7&gt;0,$A983&gt;T$7)),0,MAX(0,ROUND((INDEX($E983:$G983,T$5)-SUMIFS(TF_Timer,TF_Tekniker,T$4,TF_Dato,$A983))*2,0)/2)))</f>
        <v/>
      </c>
      <c r="U983">
        <f>IF(OR(U$4="",$A983&gt;TODAY()),0,IF(OR(INDEX($B983:$D983,U$5)="F",AND(U$6&gt;0,$A983&lt;U$6),AND(U$7&gt;0,$A983&gt;U$7)),0,MAX(0,ROUND((INDEX($E983:$G983,U$5)-SUMIFS(TF_Timer,TF_Tekniker,U$4,TF_Dato,$A983))*2,0)/2)))</f>
        <v/>
      </c>
      <c r="V983">
        <f>IF(OR(V$4="",$A983&gt;TODAY()),0,IF(OR(INDEX($B983:$D983,V$5)="F",AND(V$6&gt;0,$A983&lt;V$6),AND(V$7&gt;0,$A983&gt;V$7)),0,MAX(0,ROUND((INDEX($E983:$G983,V$5)-SUMIFS(TF_Timer,TF_Tekniker,V$4,TF_Dato,$A983))*2,0)/2)))</f>
        <v/>
      </c>
      <c r="W983">
        <f>IF(OR(W$4="",$A983&gt;TODAY()),0,IF(OR(INDEX($B983:$D983,W$5)="F",AND(W$6&gt;0,$A983&lt;W$6),AND(W$7&gt;0,$A983&gt;W$7)),0,MAX(0,ROUND((INDEX($E983:$G983,W$5)-SUMIFS(TF_Timer,TF_Tekniker,W$4,TF_Dato,$A983))*2,0)/2)))</f>
        <v/>
      </c>
      <c r="X983">
        <f>IF(OR(X$4="",$A983&gt;TODAY()),0,IF(OR(INDEX($B983:$D983,X$5)="F",AND(X$6&gt;0,$A983&lt;X$6),AND(X$7&gt;0,$A983&gt;X$7)),0,MAX(0,ROUND((INDEX($E983:$G983,X$5)-SUMIFS(TF_Timer,TF_Tekniker,X$4,TF_Dato,$A983))*2,0)/2)))</f>
        <v/>
      </c>
      <c r="Y983">
        <f>IF(OR(Y$4="",$A983&gt;TODAY()),0,IF(OR(INDEX($B983:$D983,Y$5)="F",AND(Y$6&gt;0,$A983&lt;Y$6),AND(Y$7&gt;0,$A983&gt;Y$7)),0,MAX(0,ROUND((INDEX($E983:$G983,Y$5)-SUMIFS(TF_Timer,TF_Tekniker,Y$4,TF_Dato,$A983))*2,0)/2)))</f>
        <v/>
      </c>
      <c r="Z983">
        <f>IF(OR(Z$4="",$A983&gt;TODAY()),0,IF(OR(INDEX($B983:$D983,Z$5)="F",AND(Z$6&gt;0,$A983&lt;Z$6),AND(Z$7&gt;0,$A983&gt;Z$7)),0,MAX(0,ROUND((INDEX($E983:$G983,Z$5)-SUMIFS(TF_Timer,TF_Tekniker,Z$4,TF_Dato,$A983))*2,0)/2)))</f>
        <v/>
      </c>
      <c r="AA983">
        <f>IF(OR(AA$4="",$A983&gt;TODAY()),0,IF(OR(INDEX($B983:$D983,AA$5)="F",AND(AA$6&gt;0,$A983&lt;AA$6),AND(AA$7&gt;0,$A983&gt;AA$7)),0,MAX(0,ROUND((INDEX($E983:$G983,AA$5)-SUMIFS(TF_Timer,TF_Tekniker,AA$4,TF_Dato,$A983))*2,0)/2)))</f>
        <v/>
      </c>
      <c r="AB983">
        <f>IF(OR(AB$4="",$A983&gt;TODAY()),0,IF(OR(INDEX($B983:$D983,AB$5)="F",AND(AB$6&gt;0,$A983&lt;AB$6),AND(AB$7&gt;0,$A983&gt;AB$7)),0,MAX(0,ROUND((INDEX($E983:$G983,AB$5)-SUMIFS(TF_Timer,TF_Tekniker,AB$4,TF_Dato,$A983))*2,0)/2)))</f>
        <v/>
      </c>
      <c r="AC983">
        <f>IF(OR(AC$4="",$A983&gt;TODAY()),0,IF(OR(INDEX($B983:$D983,AC$5)="F",AND(AC$6&gt;0,$A983&lt;AC$6),AND(AC$7&gt;0,$A983&gt;AC$7)),0,MAX(0,ROUND((INDEX($E983:$G983,AC$5)-SUMIFS(TF_Timer,TF_Tekniker,AC$4,TF_Dato,$A983))*2,0)/2)))</f>
        <v/>
      </c>
      <c r="AD983">
        <f>IF(OR(AD$4="",$A983&gt;TODAY()),0,IF(OR(INDEX($B983:$D983,AD$5)="F",AND(AD$6&gt;0,$A983&lt;AD$6),AND(AD$7&gt;0,$A983&gt;AD$7)),0,MAX(0,ROUND((INDEX($E983:$G983,AD$5)-SUMIFS(TF_Timer,TF_Tekniker,AD$4,TF_Dato,$A983))*2,0)/2)))</f>
        <v/>
      </c>
      <c r="AE983">
        <f>IF(OR(AE$4="",$A983&gt;TODAY()),0,IF(OR(INDEX($B983:$D983,AE$5)="F",AND(AE$6&gt;0,$A983&lt;AE$6),AND(AE$7&gt;0,$A983&gt;AE$7)),0,MAX(0,ROUND((INDEX($E983:$G983,AE$5)-SUMIFS(TF_Timer,TF_Tekniker,AE$4,TF_Dato,$A983))*2,0)/2)))</f>
        <v/>
      </c>
      <c r="AF983">
        <f>IF(OR(AF$4="",$A983&gt;TODAY()),0,IF(OR(INDEX($B983:$D983,AF$5)="F",AND(AF$6&gt;0,$A983&lt;AF$6),AND(AF$7&gt;0,$A983&gt;AF$7)),0,MAX(0,ROUND((INDEX($E983:$G983,AF$5)-SUMIFS(TF_Timer,TF_Tekniker,AF$4,TF_Dato,$A983))*2,0)/2)))</f>
        <v/>
      </c>
      <c r="AG983">
        <f>IF(OR(AG$4="",$A983&gt;TODAY()),0,IF(OR(INDEX($B983:$D983,AG$5)="F",AND(AG$6&gt;0,$A983&lt;AG$6),AND(AG$7&gt;0,$A983&gt;AG$7)),0,MAX(0,ROUND((INDEX($E983:$G983,AG$5)-SUMIFS(TF_Timer,TF_Tekniker,AG$4,TF_Dato,$A983))*2,0)/2)))</f>
        <v/>
      </c>
      <c r="AH983">
        <f>IF(OR(AH$4="",$A983&gt;TODAY()),0,IF(OR(INDEX($B983:$D983,AH$5)="F",AND(AH$6&gt;0,$A983&lt;AH$6),AND(AH$7&gt;0,$A983&gt;AH$7)),0,MAX(0,ROUND((INDEX($E983:$G983,AH$5)-SUMIFS(TF_Timer,TF_Tekniker,AH$4,TF_Dato,$A983))*2,0)/2)))</f>
        <v/>
      </c>
      <c r="AI983">
        <f>IF(OR(AI$4="",$A983&gt;TODAY()),0,IF(OR(INDEX($B983:$D983,AI$5)="F",AND(AI$6&gt;0,$A983&lt;AI$6),AND(AI$7&gt;0,$A983&gt;AI$7)),0,MAX(0,ROUND((INDEX($E983:$G983,AI$5)-SUMIFS(TF_Timer,TF_Tekniker,AI$4,TF_Dato,$A983))*2,0)/2)))</f>
        <v/>
      </c>
      <c r="AJ983">
        <f>IF(OR(AJ$4="",$A983&gt;TODAY()),0,IF(OR(INDEX($B983:$D983,AJ$5)="F",AND(AJ$6&gt;0,$A983&lt;AJ$6),AND(AJ$7&gt;0,$A983&gt;AJ$7)),0,MAX(0,ROUND((INDEX($E983:$G983,AJ$5)-SUMIFS(TF_Timer,TF_Tekniker,AJ$4,TF_Dato,$A983))*2,0)/2)))</f>
        <v/>
      </c>
      <c r="AK983">
        <f>IF(OR(AK$4="",$A983&gt;TODAY()),0,IF(OR(INDEX($B983:$D983,AK$5)="F",AND(AK$6&gt;0,$A983&lt;AK$6),AND(AK$7&gt;0,$A983&gt;AK$7)),0,MAX(0,ROUND((INDEX($E983:$G983,AK$5)-SUMIFS(TF_Timer,TF_Tekniker,AK$4,TF_Dato,$A983))*2,0)/2)))</f>
        <v/>
      </c>
      <c r="AL983">
        <f>IF(OR(AL$4="",$A983&gt;TODAY()),0,IF(OR(INDEX($B983:$D983,AL$5)="F",AND(AL$6&gt;0,$A983&lt;AL$6),AND(AL$7&gt;0,$A983&gt;AL$7)),0,MAX(0,ROUND((INDEX($E983:$G983,AL$5)-SUMIFS(TF_Timer,TF_Tekniker,AL$4,TF_Dato,$A983))*2,0)/2)))</f>
        <v/>
      </c>
      <c r="AM983">
        <f>IF(OR(AM$4="",$A983&gt;TODAY()),0,IF(OR(INDEX($B983:$D983,AM$5)="F",AND(AM$6&gt;0,$A983&lt;AM$6),AND(AM$7&gt;0,$A983&gt;AM$7)),0,MAX(0,ROUND((INDEX($E983:$G983,AM$5)-SUMIFS(TF_Timer,TF_Tekniker,AM$4,TF_Dato,$A983))*2,0)/2)))</f>
        <v/>
      </c>
      <c r="AN983">
        <f>IF(OR(AN$4="",$A983&gt;TODAY()),0,IF(OR(INDEX($B983:$D983,AN$5)="F",AND(AN$6&gt;0,$A983&lt;AN$6),AND(AN$7&gt;0,$A983&gt;AN$7)),0,MAX(0,ROUND((INDEX($E983:$G983,AN$5)-SUMIFS(TF_Timer,TF_Tekniker,AN$4,TF_Dato,$A983))*2,0)/2)))</f>
        <v/>
      </c>
      <c r="AO983">
        <f>IF(OR(AO$4="",$A983&gt;TODAY()),0,IF(OR(INDEX($B983:$D983,AO$5)="F",AND(AO$6&gt;0,$A983&lt;AO$6),AND(AO$7&gt;0,$A983&gt;AO$7)),0,MAX(0,ROUND((INDEX($E983:$G983,AO$5)-SUMIFS(TF_Timer,TF_Tekniker,AO$4,TF_Dato,$A983))*2,0)/2)))</f>
        <v/>
      </c>
      <c r="AP983">
        <f>IF(OR(AP$4="",$A983&gt;TODAY()),0,IF(OR(INDEX($B983:$D983,AP$5)="F",AND(AP$6&gt;0,$A983&lt;AP$6),AND(AP$7&gt;0,$A983&gt;AP$7)),0,MAX(0,ROUND((INDEX($E983:$G983,AP$5)-SUMIFS(TF_Timer,TF_Tekniker,AP$4,TF_Dato,$A983))*2,0)/2)))</f>
        <v/>
      </c>
      <c r="AQ983">
        <f>IF(OR(AQ$4="",$A983&gt;TODAY()),0,IF(OR(INDEX($B983:$D983,AQ$5)="F",AND(AQ$6&gt;0,$A983&lt;AQ$6),AND(AQ$7&gt;0,$A983&gt;AQ$7)),0,MAX(0,ROUND((INDEX($E983:$G983,AQ$5)-SUMIFS(TF_Timer,TF_Tekniker,AQ$4,TF_Dato,$A983))*2,0)/2)))</f>
        <v/>
      </c>
      <c r="AR983">
        <f>IF(OR(AR$4="",$A983&gt;TODAY()),0,IF(OR(INDEX($B983:$D983,AR$5)="F",AND(AR$6&gt;0,$A983&lt;AR$6),AND(AR$7&gt;0,$A983&gt;AR$7)),0,MAX(0,ROUND((INDEX($E983:$G983,AR$5)-SUMIFS(TF_Timer,TF_Tekniker,AR$4,TF_Dato,$A983))*2,0)/2)))</f>
        <v/>
      </c>
      <c r="AS983">
        <f>IF(OR(AS$4="",$A983&gt;TODAY()),0,IF(OR(INDEX($B983:$D983,AS$5)="F",AND(AS$6&gt;0,$A983&lt;AS$6),AND(AS$7&gt;0,$A983&gt;AS$7)),0,MAX(0,ROUND((INDEX($E983:$G983,AS$5)-SUMIFS(TF_Timer,TF_Tekniker,AS$4,TF_Dato,$A983))*2,0)/2)))</f>
        <v/>
      </c>
      <c r="AT983">
        <f>IF(OR(AT$4="",$A983&gt;TODAY()),0,IF(OR(INDEX($B983:$D983,AT$5)="F",AND(AT$6&gt;0,$A983&lt;AT$6),AND(AT$7&gt;0,$A983&gt;AT$7)),0,MAX(0,ROUND((INDEX($E983:$G983,AT$5)-SUMIFS(TF_Timer,TF_Tekniker,AT$4,TF_Dato,$A983))*2,0)/2)))</f>
        <v/>
      </c>
      <c r="AU983">
        <f>IF(OR(AU$4="",$A983&gt;TODAY()),0,IF(OR(INDEX($B983:$D983,AU$5)="F",AND(AU$6&gt;0,$A983&lt;AU$6),AND(AU$7&gt;0,$A983&gt;AU$7)),0,MAX(0,ROUND((INDEX($E983:$G983,AU$5)-SUMIFS(TF_Timer,TF_Tekniker,AU$4,TF_Dato,$A983))*2,0)/2)))</f>
        <v/>
      </c>
      <c r="AV983">
        <f>IF(OR(AV$4="",$A983&gt;TODAY()),0,IF(OR(INDEX($B983:$D983,AV$5)="F",AND(AV$6&gt;0,$A983&lt;AV$6),AND(AV$7&gt;0,$A983&gt;AV$7)),0,MAX(0,ROUND((INDEX($E983:$G983,AV$5)-SUMIFS(TF_Timer,TF_Tekniker,AV$4,TF_Dato,$A983))*2,0)/2)))</f>
        <v/>
      </c>
      <c r="AW983">
        <f>IF(OR(AW$4="",$A983&gt;TODAY()),0,IF(OR(INDEX($B983:$D983,AW$5)="F",AND(AW$6&gt;0,$A983&lt;AW$6),AND(AW$7&gt;0,$A983&gt;AW$7)),0,MAX(0,ROUND((INDEX($E983:$G983,AW$5)-SUMIFS(TF_Timer,TF_Tekniker,AW$4,TF_Dato,$A983))*2,0)/2)))</f>
        <v/>
      </c>
      <c r="AX983">
        <f>IF(OR(AX$4="",$A983&gt;TODAY()),0,IF(OR(INDEX($B983:$D983,AX$5)="F",AND(AX$6&gt;0,$A983&lt;AX$6),AND(AX$7&gt;0,$A983&gt;AX$7)),0,MAX(0,ROUND((INDEX($E983:$G983,AX$5)-SUMIFS(TF_Timer,TF_Tekniker,AX$4,TF_Dato,$A983))*2,0)/2)))</f>
        <v/>
      </c>
      <c r="AY983">
        <f>IF(OR(AY$4="",$A983&gt;TODAY()),0,IF(OR(INDEX($B983:$D983,AY$5)="F",AND(AY$6&gt;0,$A983&lt;AY$6),AND(AY$7&gt;0,$A983&gt;AY$7)),0,MAX(0,ROUND((INDEX($E983:$G983,AY$5)-SUMIFS(TF_Timer,TF_Tekniker,AY$4,TF_Dato,$A983))*2,0)/2)))</f>
        <v/>
      </c>
      <c r="AZ983">
        <f>IF(OR(AZ$4="",$A983&gt;TODAY()),0,IF(OR(INDEX($B983:$D983,AZ$5)="F",AND(AZ$6&gt;0,$A983&lt;AZ$6),AND(AZ$7&gt;0,$A983&gt;AZ$7)),0,MAX(0,ROUND((INDEX($E983:$G983,AZ$5)-SUMIFS(TF_Timer,TF_Tekniker,AZ$4,TF_Dato,$A983))*2,0)/2)))</f>
        <v/>
      </c>
      <c r="BA983">
        <f>IF(OR(BA$4="",$A983&gt;TODAY()),0,IF(OR(INDEX($B983:$D983,BA$5)="F",AND(BA$6&gt;0,$A983&lt;BA$6),AND(BA$7&gt;0,$A983&gt;BA$7)),0,MAX(0,ROUND((INDEX($E983:$G983,BA$5)-SUMIFS(TF_Timer,TF_Tekniker,BA$4,TF_Dato,$A983))*2,0)/2)))</f>
        <v/>
      </c>
      <c r="BB983">
        <f>IF(OR(BB$4="",$A983&gt;TODAY()),0,IF(OR(INDEX($B983:$D983,BB$5)="F",AND(BB$6&gt;0,$A983&lt;BB$6),AND(BB$7&gt;0,$A983&gt;BB$7)),0,MAX(0,ROUND((INDEX($E983:$G983,BB$5)-SUMIFS(TF_Timer,TF_Tekniker,BB$4,TF_Dato,$A983))*2,0)/2)))</f>
        <v/>
      </c>
      <c r="BC983">
        <f>IF(OR(BC$4="",$A983&gt;TODAY()),0,IF(OR(INDEX($B983:$D983,BC$5)="F",AND(BC$6&gt;0,$A983&lt;BC$6),AND(BC$7&gt;0,$A983&gt;BC$7)),0,MAX(0,ROUND((INDEX($E983:$G983,BC$5)-SUMIFS(TF_Timer,TF_Tekniker,BC$4,TF_Dato,$A983))*2,0)/2)))</f>
        <v/>
      </c>
      <c r="BD983">
        <f>IF(OR(BD$4="",$A983&gt;TODAY()),0,IF(OR(INDEX($B983:$D983,BD$5)="F",AND(BD$6&gt;0,$A983&lt;BD$6),AND(BD$7&gt;0,$A983&gt;BD$7)),0,MAX(0,ROUND((INDEX($E983:$G983,BD$5)-SUMIFS(TF_Timer,TF_Tekniker,BD$4,TF_Dato,$A983))*2,0)/2)))</f>
        <v/>
      </c>
      <c r="BE983">
        <f>IF(OR(BE$4="",$A983&gt;TODAY()),0,IF(OR(INDEX($B983:$D983,BE$5)="F",AND(BE$6&gt;0,$A983&lt;BE$6),AND(BE$7&gt;0,$A983&gt;BE$7)),0,MAX(0,ROUND((INDEX($E983:$G983,BE$5)-SUMIFS(TF_Timer,TF_Tekniker,BE$4,TF_Dato,$A983))*2,0)/2)))</f>
        <v/>
      </c>
      <c r="BF983">
        <f>IF(OR(BF$4="",$A983&gt;TODAY()),0,IF(OR(INDEX($B983:$D983,BF$5)="F",AND(BF$6&gt;0,$A983&lt;BF$6),AND(BF$7&gt;0,$A983&gt;BF$7)),0,MAX(0,ROUND((INDEX($E983:$G983,BF$5)-SUMIFS(TF_Timer,TF_Tekniker,BF$4,TF_Dato,$A983))*2,0)/2)))</f>
        <v/>
      </c>
      <c r="BG983">
        <f>IF(OR(BG$4="",$A983&gt;TODAY()),0,IF(OR(INDEX($B983:$D983,BG$5)="F",AND(BG$6&gt;0,$A983&lt;BG$6),AND(BG$7&gt;0,$A983&gt;BG$7)),0,MAX(0,ROUND((INDEX($E983:$G983,BG$5)-SUMIFS(TF_Timer,TF_Tekniker,BG$4,TF_Dato,$A983))*2,0)/2)))</f>
        <v/>
      </c>
      <c r="BH983">
        <f>IF(OR(BH$4="",$A983&gt;TODAY()),0,IF(OR(INDEX($B983:$D983,BH$5)="F",AND(BH$6&gt;0,$A983&lt;BH$6),AND(BH$7&gt;0,$A983&gt;BH$7)),0,MAX(0,ROUND((INDEX($E983:$G983,BH$5)-SUMIFS(TF_Timer,TF_Tekniker,BH$4,TF_Dato,$A983))*2,0)/2)))</f>
        <v/>
      </c>
      <c r="BI983">
        <f>IF(OR(BI$4="",$A983&gt;TODAY()),0,IF(OR(INDEX($B983:$D983,BI$5)="F",AND(BI$6&gt;0,$A983&lt;BI$6),AND(BI$7&gt;0,$A983&gt;BI$7)),0,MAX(0,ROUND((INDEX($E983:$G983,BI$5)-SUMIFS(TF_Timer,TF_Tekniker,BI$4,TF_Dato,$A983))*2,0)/2)))</f>
        <v/>
      </c>
    </row>
    <row r="984">
      <c r="A984" s="64">
        <f>A983+1</f>
        <v/>
      </c>
      <c r="B984">
        <f>IF(MOD($A984-INDEX(SkiftStart,1),Syklus)&lt;DagK,"K",IF(MOD($A984-INDEX(SkiftStart,1),Syklus)&lt;DagK+DagH,"H",IF(MOD($A984-INDEX(SkiftStart,1),Syklus)&lt;DagK+DagH+DagD,"D","F")))</f>
        <v/>
      </c>
      <c r="C984">
        <f>IF(MOD($A984-INDEX(SkiftStart,2),Syklus)&lt;DagK,"K",IF(MOD($A984-INDEX(SkiftStart,2),Syklus)&lt;DagK+DagH,"H",IF(MOD($A984-INDEX(SkiftStart,2),Syklus)&lt;DagK+DagH+DagD,"D","F")))</f>
        <v/>
      </c>
      <c r="D984">
        <f>IF(MOD($A984-INDEX(SkiftStart,3),Syklus)&lt;DagK,"K",IF(MOD($A984-INDEX(SkiftStart,3),Syklus)&lt;DagK+DagH,"H",IF(MOD($A984-INDEX(SkiftStart,3),Syklus)&lt;DagK+DagH+DagD,"D","F")))</f>
        <v/>
      </c>
      <c r="E984">
        <f>IF(B984="F",0,IF(WEEKDAY($A984,2)=5,INDEX(TimerFr,MATCH(B984,FaseKode,0)),INDEX(TimerMT,MATCH(B984,FaseKode,0))))</f>
        <v/>
      </c>
      <c r="F984">
        <f>IF(C984="F",0,IF(WEEKDAY($A984,2)=5,INDEX(TimerFr,MATCH(C984,FaseKode,0)),INDEX(TimerMT,MATCH(C984,FaseKode,0))))</f>
        <v/>
      </c>
      <c r="G984">
        <f>IF(D984="F",0,IF(WEEKDAY($A984,2)=5,INDEX(TimerFr,MATCH(D984,FaseKode,0)),INDEX(TimerMT,MATCH(D984,FaseKode,0))))</f>
        <v/>
      </c>
      <c r="H984">
        <f>IF(OR(H$4="",$A984&gt;TODAY()),0,IF(OR(INDEX($B984:$D984,H$5)="F",AND(H$6&gt;0,$A984&lt;H$6),AND(H$7&gt;0,$A984&gt;H$7)),0,MAX(0,ROUND((INDEX($E984:$G984,H$5)-SUMIFS(TF_Timer,TF_Tekniker,H$4,TF_Dato,$A984))*2,0)/2)))</f>
        <v/>
      </c>
      <c r="I984">
        <f>IF(OR(I$4="",$A984&gt;TODAY()),0,IF(OR(INDEX($B984:$D984,I$5)="F",AND(I$6&gt;0,$A984&lt;I$6),AND(I$7&gt;0,$A984&gt;I$7)),0,MAX(0,ROUND((INDEX($E984:$G984,I$5)-SUMIFS(TF_Timer,TF_Tekniker,I$4,TF_Dato,$A984))*2,0)/2)))</f>
        <v/>
      </c>
      <c r="J984">
        <f>IF(OR(J$4="",$A984&gt;TODAY()),0,IF(OR(INDEX($B984:$D984,J$5)="F",AND(J$6&gt;0,$A984&lt;J$6),AND(J$7&gt;0,$A984&gt;J$7)),0,MAX(0,ROUND((INDEX($E984:$G984,J$5)-SUMIFS(TF_Timer,TF_Tekniker,J$4,TF_Dato,$A984))*2,0)/2)))</f>
        <v/>
      </c>
      <c r="K984">
        <f>IF(OR(K$4="",$A984&gt;TODAY()),0,IF(OR(INDEX($B984:$D984,K$5)="F",AND(K$6&gt;0,$A984&lt;K$6),AND(K$7&gt;0,$A984&gt;K$7)),0,MAX(0,ROUND((INDEX($E984:$G984,K$5)-SUMIFS(TF_Timer,TF_Tekniker,K$4,TF_Dato,$A984))*2,0)/2)))</f>
        <v/>
      </c>
      <c r="L984">
        <f>IF(OR(L$4="",$A984&gt;TODAY()),0,IF(OR(INDEX($B984:$D984,L$5)="F",AND(L$6&gt;0,$A984&lt;L$6),AND(L$7&gt;0,$A984&gt;L$7)),0,MAX(0,ROUND((INDEX($E984:$G984,L$5)-SUMIFS(TF_Timer,TF_Tekniker,L$4,TF_Dato,$A984))*2,0)/2)))</f>
        <v/>
      </c>
      <c r="M984">
        <f>IF(OR(M$4="",$A984&gt;TODAY()),0,IF(OR(INDEX($B984:$D984,M$5)="F",AND(M$6&gt;0,$A984&lt;M$6),AND(M$7&gt;0,$A984&gt;M$7)),0,MAX(0,ROUND((INDEX($E984:$G984,M$5)-SUMIFS(TF_Timer,TF_Tekniker,M$4,TF_Dato,$A984))*2,0)/2)))</f>
        <v/>
      </c>
      <c r="N984">
        <f>IF(OR(N$4="",$A984&gt;TODAY()),0,IF(OR(INDEX($B984:$D984,N$5)="F",AND(N$6&gt;0,$A984&lt;N$6),AND(N$7&gt;0,$A984&gt;N$7)),0,MAX(0,ROUND((INDEX($E984:$G984,N$5)-SUMIFS(TF_Timer,TF_Tekniker,N$4,TF_Dato,$A984))*2,0)/2)))</f>
        <v/>
      </c>
      <c r="O984">
        <f>IF(OR(O$4="",$A984&gt;TODAY()),0,IF(OR(INDEX($B984:$D984,O$5)="F",AND(O$6&gt;0,$A984&lt;O$6),AND(O$7&gt;0,$A984&gt;O$7)),0,MAX(0,ROUND((INDEX($E984:$G984,O$5)-SUMIFS(TF_Timer,TF_Tekniker,O$4,TF_Dato,$A984))*2,0)/2)))</f>
        <v/>
      </c>
      <c r="P984">
        <f>IF(OR(P$4="",$A984&gt;TODAY()),0,IF(OR(INDEX($B984:$D984,P$5)="F",AND(P$6&gt;0,$A984&lt;P$6),AND(P$7&gt;0,$A984&gt;P$7)),0,MAX(0,ROUND((INDEX($E984:$G984,P$5)-SUMIFS(TF_Timer,TF_Tekniker,P$4,TF_Dato,$A984))*2,0)/2)))</f>
        <v/>
      </c>
      <c r="Q984">
        <f>IF(OR(Q$4="",$A984&gt;TODAY()),0,IF(OR(INDEX($B984:$D984,Q$5)="F",AND(Q$6&gt;0,$A984&lt;Q$6),AND(Q$7&gt;0,$A984&gt;Q$7)),0,MAX(0,ROUND((INDEX($E984:$G984,Q$5)-SUMIFS(TF_Timer,TF_Tekniker,Q$4,TF_Dato,$A984))*2,0)/2)))</f>
        <v/>
      </c>
      <c r="R984">
        <f>IF(OR(R$4="",$A984&gt;TODAY()),0,IF(OR(INDEX($B984:$D984,R$5)="F",AND(R$6&gt;0,$A984&lt;R$6),AND(R$7&gt;0,$A984&gt;R$7)),0,MAX(0,ROUND((INDEX($E984:$G984,R$5)-SUMIFS(TF_Timer,TF_Tekniker,R$4,TF_Dato,$A984))*2,0)/2)))</f>
        <v/>
      </c>
      <c r="S984">
        <f>IF(OR(S$4="",$A984&gt;TODAY()),0,IF(OR(INDEX($B984:$D984,S$5)="F",AND(S$6&gt;0,$A984&lt;S$6),AND(S$7&gt;0,$A984&gt;S$7)),0,MAX(0,ROUND((INDEX($E984:$G984,S$5)-SUMIFS(TF_Timer,TF_Tekniker,S$4,TF_Dato,$A984))*2,0)/2)))</f>
        <v/>
      </c>
      <c r="T984">
        <f>IF(OR(T$4="",$A984&gt;TODAY()),0,IF(OR(INDEX($B984:$D984,T$5)="F",AND(T$6&gt;0,$A984&lt;T$6),AND(T$7&gt;0,$A984&gt;T$7)),0,MAX(0,ROUND((INDEX($E984:$G984,T$5)-SUMIFS(TF_Timer,TF_Tekniker,T$4,TF_Dato,$A984))*2,0)/2)))</f>
        <v/>
      </c>
      <c r="U984">
        <f>IF(OR(U$4="",$A984&gt;TODAY()),0,IF(OR(INDEX($B984:$D984,U$5)="F",AND(U$6&gt;0,$A984&lt;U$6),AND(U$7&gt;0,$A984&gt;U$7)),0,MAX(0,ROUND((INDEX($E984:$G984,U$5)-SUMIFS(TF_Timer,TF_Tekniker,U$4,TF_Dato,$A984))*2,0)/2)))</f>
        <v/>
      </c>
      <c r="V984">
        <f>IF(OR(V$4="",$A984&gt;TODAY()),0,IF(OR(INDEX($B984:$D984,V$5)="F",AND(V$6&gt;0,$A984&lt;V$6),AND(V$7&gt;0,$A984&gt;V$7)),0,MAX(0,ROUND((INDEX($E984:$G984,V$5)-SUMIFS(TF_Timer,TF_Tekniker,V$4,TF_Dato,$A984))*2,0)/2)))</f>
        <v/>
      </c>
      <c r="W984">
        <f>IF(OR(W$4="",$A984&gt;TODAY()),0,IF(OR(INDEX($B984:$D984,W$5)="F",AND(W$6&gt;0,$A984&lt;W$6),AND(W$7&gt;0,$A984&gt;W$7)),0,MAX(0,ROUND((INDEX($E984:$G984,W$5)-SUMIFS(TF_Timer,TF_Tekniker,W$4,TF_Dato,$A984))*2,0)/2)))</f>
        <v/>
      </c>
      <c r="X984">
        <f>IF(OR(X$4="",$A984&gt;TODAY()),0,IF(OR(INDEX($B984:$D984,X$5)="F",AND(X$6&gt;0,$A984&lt;X$6),AND(X$7&gt;0,$A984&gt;X$7)),0,MAX(0,ROUND((INDEX($E984:$G984,X$5)-SUMIFS(TF_Timer,TF_Tekniker,X$4,TF_Dato,$A984))*2,0)/2)))</f>
        <v/>
      </c>
      <c r="Y984">
        <f>IF(OR(Y$4="",$A984&gt;TODAY()),0,IF(OR(INDEX($B984:$D984,Y$5)="F",AND(Y$6&gt;0,$A984&lt;Y$6),AND(Y$7&gt;0,$A984&gt;Y$7)),0,MAX(0,ROUND((INDEX($E984:$G984,Y$5)-SUMIFS(TF_Timer,TF_Tekniker,Y$4,TF_Dato,$A984))*2,0)/2)))</f>
        <v/>
      </c>
      <c r="Z984">
        <f>IF(OR(Z$4="",$A984&gt;TODAY()),0,IF(OR(INDEX($B984:$D984,Z$5)="F",AND(Z$6&gt;0,$A984&lt;Z$6),AND(Z$7&gt;0,$A984&gt;Z$7)),0,MAX(0,ROUND((INDEX($E984:$G984,Z$5)-SUMIFS(TF_Timer,TF_Tekniker,Z$4,TF_Dato,$A984))*2,0)/2)))</f>
        <v/>
      </c>
      <c r="AA984">
        <f>IF(OR(AA$4="",$A984&gt;TODAY()),0,IF(OR(INDEX($B984:$D984,AA$5)="F",AND(AA$6&gt;0,$A984&lt;AA$6),AND(AA$7&gt;0,$A984&gt;AA$7)),0,MAX(0,ROUND((INDEX($E984:$G984,AA$5)-SUMIFS(TF_Timer,TF_Tekniker,AA$4,TF_Dato,$A984))*2,0)/2)))</f>
        <v/>
      </c>
      <c r="AB984">
        <f>IF(OR(AB$4="",$A984&gt;TODAY()),0,IF(OR(INDEX($B984:$D984,AB$5)="F",AND(AB$6&gt;0,$A984&lt;AB$6),AND(AB$7&gt;0,$A984&gt;AB$7)),0,MAX(0,ROUND((INDEX($E984:$G984,AB$5)-SUMIFS(TF_Timer,TF_Tekniker,AB$4,TF_Dato,$A984))*2,0)/2)))</f>
        <v/>
      </c>
      <c r="AC984">
        <f>IF(OR(AC$4="",$A984&gt;TODAY()),0,IF(OR(INDEX($B984:$D984,AC$5)="F",AND(AC$6&gt;0,$A984&lt;AC$6),AND(AC$7&gt;0,$A984&gt;AC$7)),0,MAX(0,ROUND((INDEX($E984:$G984,AC$5)-SUMIFS(TF_Timer,TF_Tekniker,AC$4,TF_Dato,$A984))*2,0)/2)))</f>
        <v/>
      </c>
      <c r="AD984">
        <f>IF(OR(AD$4="",$A984&gt;TODAY()),0,IF(OR(INDEX($B984:$D984,AD$5)="F",AND(AD$6&gt;0,$A984&lt;AD$6),AND(AD$7&gt;0,$A984&gt;AD$7)),0,MAX(0,ROUND((INDEX($E984:$G984,AD$5)-SUMIFS(TF_Timer,TF_Tekniker,AD$4,TF_Dato,$A984))*2,0)/2)))</f>
        <v/>
      </c>
      <c r="AE984">
        <f>IF(OR(AE$4="",$A984&gt;TODAY()),0,IF(OR(INDEX($B984:$D984,AE$5)="F",AND(AE$6&gt;0,$A984&lt;AE$6),AND(AE$7&gt;0,$A984&gt;AE$7)),0,MAX(0,ROUND((INDEX($E984:$G984,AE$5)-SUMIFS(TF_Timer,TF_Tekniker,AE$4,TF_Dato,$A984))*2,0)/2)))</f>
        <v/>
      </c>
      <c r="AF984">
        <f>IF(OR(AF$4="",$A984&gt;TODAY()),0,IF(OR(INDEX($B984:$D984,AF$5)="F",AND(AF$6&gt;0,$A984&lt;AF$6),AND(AF$7&gt;0,$A984&gt;AF$7)),0,MAX(0,ROUND((INDEX($E984:$G984,AF$5)-SUMIFS(TF_Timer,TF_Tekniker,AF$4,TF_Dato,$A984))*2,0)/2)))</f>
        <v/>
      </c>
      <c r="AG984">
        <f>IF(OR(AG$4="",$A984&gt;TODAY()),0,IF(OR(INDEX($B984:$D984,AG$5)="F",AND(AG$6&gt;0,$A984&lt;AG$6),AND(AG$7&gt;0,$A984&gt;AG$7)),0,MAX(0,ROUND((INDEX($E984:$G984,AG$5)-SUMIFS(TF_Timer,TF_Tekniker,AG$4,TF_Dato,$A984))*2,0)/2)))</f>
        <v/>
      </c>
      <c r="AH984">
        <f>IF(OR(AH$4="",$A984&gt;TODAY()),0,IF(OR(INDEX($B984:$D984,AH$5)="F",AND(AH$6&gt;0,$A984&lt;AH$6),AND(AH$7&gt;0,$A984&gt;AH$7)),0,MAX(0,ROUND((INDEX($E984:$G984,AH$5)-SUMIFS(TF_Timer,TF_Tekniker,AH$4,TF_Dato,$A984))*2,0)/2)))</f>
        <v/>
      </c>
      <c r="AI984">
        <f>IF(OR(AI$4="",$A984&gt;TODAY()),0,IF(OR(INDEX($B984:$D984,AI$5)="F",AND(AI$6&gt;0,$A984&lt;AI$6),AND(AI$7&gt;0,$A984&gt;AI$7)),0,MAX(0,ROUND((INDEX($E984:$G984,AI$5)-SUMIFS(TF_Timer,TF_Tekniker,AI$4,TF_Dato,$A984))*2,0)/2)))</f>
        <v/>
      </c>
      <c r="AJ984">
        <f>IF(OR(AJ$4="",$A984&gt;TODAY()),0,IF(OR(INDEX($B984:$D984,AJ$5)="F",AND(AJ$6&gt;0,$A984&lt;AJ$6),AND(AJ$7&gt;0,$A984&gt;AJ$7)),0,MAX(0,ROUND((INDEX($E984:$G984,AJ$5)-SUMIFS(TF_Timer,TF_Tekniker,AJ$4,TF_Dato,$A984))*2,0)/2)))</f>
        <v/>
      </c>
      <c r="AK984">
        <f>IF(OR(AK$4="",$A984&gt;TODAY()),0,IF(OR(INDEX($B984:$D984,AK$5)="F",AND(AK$6&gt;0,$A984&lt;AK$6),AND(AK$7&gt;0,$A984&gt;AK$7)),0,MAX(0,ROUND((INDEX($E984:$G984,AK$5)-SUMIFS(TF_Timer,TF_Tekniker,AK$4,TF_Dato,$A984))*2,0)/2)))</f>
        <v/>
      </c>
      <c r="AL984">
        <f>IF(OR(AL$4="",$A984&gt;TODAY()),0,IF(OR(INDEX($B984:$D984,AL$5)="F",AND(AL$6&gt;0,$A984&lt;AL$6),AND(AL$7&gt;0,$A984&gt;AL$7)),0,MAX(0,ROUND((INDEX($E984:$G984,AL$5)-SUMIFS(TF_Timer,TF_Tekniker,AL$4,TF_Dato,$A984))*2,0)/2)))</f>
        <v/>
      </c>
      <c r="AM984">
        <f>IF(OR(AM$4="",$A984&gt;TODAY()),0,IF(OR(INDEX($B984:$D984,AM$5)="F",AND(AM$6&gt;0,$A984&lt;AM$6),AND(AM$7&gt;0,$A984&gt;AM$7)),0,MAX(0,ROUND((INDEX($E984:$G984,AM$5)-SUMIFS(TF_Timer,TF_Tekniker,AM$4,TF_Dato,$A984))*2,0)/2)))</f>
        <v/>
      </c>
      <c r="AN984">
        <f>IF(OR(AN$4="",$A984&gt;TODAY()),0,IF(OR(INDEX($B984:$D984,AN$5)="F",AND(AN$6&gt;0,$A984&lt;AN$6),AND(AN$7&gt;0,$A984&gt;AN$7)),0,MAX(0,ROUND((INDEX($E984:$G984,AN$5)-SUMIFS(TF_Timer,TF_Tekniker,AN$4,TF_Dato,$A984))*2,0)/2)))</f>
        <v/>
      </c>
      <c r="AO984">
        <f>IF(OR(AO$4="",$A984&gt;TODAY()),0,IF(OR(INDEX($B984:$D984,AO$5)="F",AND(AO$6&gt;0,$A984&lt;AO$6),AND(AO$7&gt;0,$A984&gt;AO$7)),0,MAX(0,ROUND((INDEX($E984:$G984,AO$5)-SUMIFS(TF_Timer,TF_Tekniker,AO$4,TF_Dato,$A984))*2,0)/2)))</f>
        <v/>
      </c>
      <c r="AP984">
        <f>IF(OR(AP$4="",$A984&gt;TODAY()),0,IF(OR(INDEX($B984:$D984,AP$5)="F",AND(AP$6&gt;0,$A984&lt;AP$6),AND(AP$7&gt;0,$A984&gt;AP$7)),0,MAX(0,ROUND((INDEX($E984:$G984,AP$5)-SUMIFS(TF_Timer,TF_Tekniker,AP$4,TF_Dato,$A984))*2,0)/2)))</f>
        <v/>
      </c>
      <c r="AQ984">
        <f>IF(OR(AQ$4="",$A984&gt;TODAY()),0,IF(OR(INDEX($B984:$D984,AQ$5)="F",AND(AQ$6&gt;0,$A984&lt;AQ$6),AND(AQ$7&gt;0,$A984&gt;AQ$7)),0,MAX(0,ROUND((INDEX($E984:$G984,AQ$5)-SUMIFS(TF_Timer,TF_Tekniker,AQ$4,TF_Dato,$A984))*2,0)/2)))</f>
        <v/>
      </c>
      <c r="AR984">
        <f>IF(OR(AR$4="",$A984&gt;TODAY()),0,IF(OR(INDEX($B984:$D984,AR$5)="F",AND(AR$6&gt;0,$A984&lt;AR$6),AND(AR$7&gt;0,$A984&gt;AR$7)),0,MAX(0,ROUND((INDEX($E984:$G984,AR$5)-SUMIFS(TF_Timer,TF_Tekniker,AR$4,TF_Dato,$A984))*2,0)/2)))</f>
        <v/>
      </c>
      <c r="AS984">
        <f>IF(OR(AS$4="",$A984&gt;TODAY()),0,IF(OR(INDEX($B984:$D984,AS$5)="F",AND(AS$6&gt;0,$A984&lt;AS$6),AND(AS$7&gt;0,$A984&gt;AS$7)),0,MAX(0,ROUND((INDEX($E984:$G984,AS$5)-SUMIFS(TF_Timer,TF_Tekniker,AS$4,TF_Dato,$A984))*2,0)/2)))</f>
        <v/>
      </c>
      <c r="AT984">
        <f>IF(OR(AT$4="",$A984&gt;TODAY()),0,IF(OR(INDEX($B984:$D984,AT$5)="F",AND(AT$6&gt;0,$A984&lt;AT$6),AND(AT$7&gt;0,$A984&gt;AT$7)),0,MAX(0,ROUND((INDEX($E984:$G984,AT$5)-SUMIFS(TF_Timer,TF_Tekniker,AT$4,TF_Dato,$A984))*2,0)/2)))</f>
        <v/>
      </c>
      <c r="AU984">
        <f>IF(OR(AU$4="",$A984&gt;TODAY()),0,IF(OR(INDEX($B984:$D984,AU$5)="F",AND(AU$6&gt;0,$A984&lt;AU$6),AND(AU$7&gt;0,$A984&gt;AU$7)),0,MAX(0,ROUND((INDEX($E984:$G984,AU$5)-SUMIFS(TF_Timer,TF_Tekniker,AU$4,TF_Dato,$A984))*2,0)/2)))</f>
        <v/>
      </c>
      <c r="AV984">
        <f>IF(OR(AV$4="",$A984&gt;TODAY()),0,IF(OR(INDEX($B984:$D984,AV$5)="F",AND(AV$6&gt;0,$A984&lt;AV$6),AND(AV$7&gt;0,$A984&gt;AV$7)),0,MAX(0,ROUND((INDEX($E984:$G984,AV$5)-SUMIFS(TF_Timer,TF_Tekniker,AV$4,TF_Dato,$A984))*2,0)/2)))</f>
        <v/>
      </c>
      <c r="AW984">
        <f>IF(OR(AW$4="",$A984&gt;TODAY()),0,IF(OR(INDEX($B984:$D984,AW$5)="F",AND(AW$6&gt;0,$A984&lt;AW$6),AND(AW$7&gt;0,$A984&gt;AW$7)),0,MAX(0,ROUND((INDEX($E984:$G984,AW$5)-SUMIFS(TF_Timer,TF_Tekniker,AW$4,TF_Dato,$A984))*2,0)/2)))</f>
        <v/>
      </c>
      <c r="AX984">
        <f>IF(OR(AX$4="",$A984&gt;TODAY()),0,IF(OR(INDEX($B984:$D984,AX$5)="F",AND(AX$6&gt;0,$A984&lt;AX$6),AND(AX$7&gt;0,$A984&gt;AX$7)),0,MAX(0,ROUND((INDEX($E984:$G984,AX$5)-SUMIFS(TF_Timer,TF_Tekniker,AX$4,TF_Dato,$A984))*2,0)/2)))</f>
        <v/>
      </c>
      <c r="AY984">
        <f>IF(OR(AY$4="",$A984&gt;TODAY()),0,IF(OR(INDEX($B984:$D984,AY$5)="F",AND(AY$6&gt;0,$A984&lt;AY$6),AND(AY$7&gt;0,$A984&gt;AY$7)),0,MAX(0,ROUND((INDEX($E984:$G984,AY$5)-SUMIFS(TF_Timer,TF_Tekniker,AY$4,TF_Dato,$A984))*2,0)/2)))</f>
        <v/>
      </c>
      <c r="AZ984">
        <f>IF(OR(AZ$4="",$A984&gt;TODAY()),0,IF(OR(INDEX($B984:$D984,AZ$5)="F",AND(AZ$6&gt;0,$A984&lt;AZ$6),AND(AZ$7&gt;0,$A984&gt;AZ$7)),0,MAX(0,ROUND((INDEX($E984:$G984,AZ$5)-SUMIFS(TF_Timer,TF_Tekniker,AZ$4,TF_Dato,$A984))*2,0)/2)))</f>
        <v/>
      </c>
      <c r="BA984">
        <f>IF(OR(BA$4="",$A984&gt;TODAY()),0,IF(OR(INDEX($B984:$D984,BA$5)="F",AND(BA$6&gt;0,$A984&lt;BA$6),AND(BA$7&gt;0,$A984&gt;BA$7)),0,MAX(0,ROUND((INDEX($E984:$G984,BA$5)-SUMIFS(TF_Timer,TF_Tekniker,BA$4,TF_Dato,$A984))*2,0)/2)))</f>
        <v/>
      </c>
      <c r="BB984">
        <f>IF(OR(BB$4="",$A984&gt;TODAY()),0,IF(OR(INDEX($B984:$D984,BB$5)="F",AND(BB$6&gt;0,$A984&lt;BB$6),AND(BB$7&gt;0,$A984&gt;BB$7)),0,MAX(0,ROUND((INDEX($E984:$G984,BB$5)-SUMIFS(TF_Timer,TF_Tekniker,BB$4,TF_Dato,$A984))*2,0)/2)))</f>
        <v/>
      </c>
      <c r="BC984">
        <f>IF(OR(BC$4="",$A984&gt;TODAY()),0,IF(OR(INDEX($B984:$D984,BC$5)="F",AND(BC$6&gt;0,$A984&lt;BC$6),AND(BC$7&gt;0,$A984&gt;BC$7)),0,MAX(0,ROUND((INDEX($E984:$G984,BC$5)-SUMIFS(TF_Timer,TF_Tekniker,BC$4,TF_Dato,$A984))*2,0)/2)))</f>
        <v/>
      </c>
      <c r="BD984">
        <f>IF(OR(BD$4="",$A984&gt;TODAY()),0,IF(OR(INDEX($B984:$D984,BD$5)="F",AND(BD$6&gt;0,$A984&lt;BD$6),AND(BD$7&gt;0,$A984&gt;BD$7)),0,MAX(0,ROUND((INDEX($E984:$G984,BD$5)-SUMIFS(TF_Timer,TF_Tekniker,BD$4,TF_Dato,$A984))*2,0)/2)))</f>
        <v/>
      </c>
      <c r="BE984">
        <f>IF(OR(BE$4="",$A984&gt;TODAY()),0,IF(OR(INDEX($B984:$D984,BE$5)="F",AND(BE$6&gt;0,$A984&lt;BE$6),AND(BE$7&gt;0,$A984&gt;BE$7)),0,MAX(0,ROUND((INDEX($E984:$G984,BE$5)-SUMIFS(TF_Timer,TF_Tekniker,BE$4,TF_Dato,$A984))*2,0)/2)))</f>
        <v/>
      </c>
      <c r="BF984">
        <f>IF(OR(BF$4="",$A984&gt;TODAY()),0,IF(OR(INDEX($B984:$D984,BF$5)="F",AND(BF$6&gt;0,$A984&lt;BF$6),AND(BF$7&gt;0,$A984&gt;BF$7)),0,MAX(0,ROUND((INDEX($E984:$G984,BF$5)-SUMIFS(TF_Timer,TF_Tekniker,BF$4,TF_Dato,$A984))*2,0)/2)))</f>
        <v/>
      </c>
      <c r="BG984">
        <f>IF(OR(BG$4="",$A984&gt;TODAY()),0,IF(OR(INDEX($B984:$D984,BG$5)="F",AND(BG$6&gt;0,$A984&lt;BG$6),AND(BG$7&gt;0,$A984&gt;BG$7)),0,MAX(0,ROUND((INDEX($E984:$G984,BG$5)-SUMIFS(TF_Timer,TF_Tekniker,BG$4,TF_Dato,$A984))*2,0)/2)))</f>
        <v/>
      </c>
      <c r="BH984">
        <f>IF(OR(BH$4="",$A984&gt;TODAY()),0,IF(OR(INDEX($B984:$D984,BH$5)="F",AND(BH$6&gt;0,$A984&lt;BH$6),AND(BH$7&gt;0,$A984&gt;BH$7)),0,MAX(0,ROUND((INDEX($E984:$G984,BH$5)-SUMIFS(TF_Timer,TF_Tekniker,BH$4,TF_Dato,$A984))*2,0)/2)))</f>
        <v/>
      </c>
      <c r="BI984">
        <f>IF(OR(BI$4="",$A984&gt;TODAY()),0,IF(OR(INDEX($B984:$D984,BI$5)="F",AND(BI$6&gt;0,$A984&lt;BI$6),AND(BI$7&gt;0,$A984&gt;BI$7)),0,MAX(0,ROUND((INDEX($E984:$G984,BI$5)-SUMIFS(TF_Timer,TF_Tekniker,BI$4,TF_Dato,$A984))*2,0)/2)))</f>
        <v/>
      </c>
    </row>
    <row r="985">
      <c r="A985" s="64">
        <f>A984+1</f>
        <v/>
      </c>
      <c r="B985">
        <f>IF(MOD($A985-INDEX(SkiftStart,1),Syklus)&lt;DagK,"K",IF(MOD($A985-INDEX(SkiftStart,1),Syklus)&lt;DagK+DagH,"H",IF(MOD($A985-INDEX(SkiftStart,1),Syklus)&lt;DagK+DagH+DagD,"D","F")))</f>
        <v/>
      </c>
      <c r="C985">
        <f>IF(MOD($A985-INDEX(SkiftStart,2),Syklus)&lt;DagK,"K",IF(MOD($A985-INDEX(SkiftStart,2),Syklus)&lt;DagK+DagH,"H",IF(MOD($A985-INDEX(SkiftStart,2),Syklus)&lt;DagK+DagH+DagD,"D","F")))</f>
        <v/>
      </c>
      <c r="D985">
        <f>IF(MOD($A985-INDEX(SkiftStart,3),Syklus)&lt;DagK,"K",IF(MOD($A985-INDEX(SkiftStart,3),Syklus)&lt;DagK+DagH,"H",IF(MOD($A985-INDEX(SkiftStart,3),Syklus)&lt;DagK+DagH+DagD,"D","F")))</f>
        <v/>
      </c>
      <c r="E985">
        <f>IF(B985="F",0,IF(WEEKDAY($A985,2)=5,INDEX(TimerFr,MATCH(B985,FaseKode,0)),INDEX(TimerMT,MATCH(B985,FaseKode,0))))</f>
        <v/>
      </c>
      <c r="F985">
        <f>IF(C985="F",0,IF(WEEKDAY($A985,2)=5,INDEX(TimerFr,MATCH(C985,FaseKode,0)),INDEX(TimerMT,MATCH(C985,FaseKode,0))))</f>
        <v/>
      </c>
      <c r="G985">
        <f>IF(D985="F",0,IF(WEEKDAY($A985,2)=5,INDEX(TimerFr,MATCH(D985,FaseKode,0)),INDEX(TimerMT,MATCH(D985,FaseKode,0))))</f>
        <v/>
      </c>
      <c r="H985">
        <f>IF(OR(H$4="",$A985&gt;TODAY()),0,IF(OR(INDEX($B985:$D985,H$5)="F",AND(H$6&gt;0,$A985&lt;H$6),AND(H$7&gt;0,$A985&gt;H$7)),0,MAX(0,ROUND((INDEX($E985:$G985,H$5)-SUMIFS(TF_Timer,TF_Tekniker,H$4,TF_Dato,$A985))*2,0)/2)))</f>
        <v/>
      </c>
      <c r="I985">
        <f>IF(OR(I$4="",$A985&gt;TODAY()),0,IF(OR(INDEX($B985:$D985,I$5)="F",AND(I$6&gt;0,$A985&lt;I$6),AND(I$7&gt;0,$A985&gt;I$7)),0,MAX(0,ROUND((INDEX($E985:$G985,I$5)-SUMIFS(TF_Timer,TF_Tekniker,I$4,TF_Dato,$A985))*2,0)/2)))</f>
        <v/>
      </c>
      <c r="J985">
        <f>IF(OR(J$4="",$A985&gt;TODAY()),0,IF(OR(INDEX($B985:$D985,J$5)="F",AND(J$6&gt;0,$A985&lt;J$6),AND(J$7&gt;0,$A985&gt;J$7)),0,MAX(0,ROUND((INDEX($E985:$G985,J$5)-SUMIFS(TF_Timer,TF_Tekniker,J$4,TF_Dato,$A985))*2,0)/2)))</f>
        <v/>
      </c>
      <c r="K985">
        <f>IF(OR(K$4="",$A985&gt;TODAY()),0,IF(OR(INDEX($B985:$D985,K$5)="F",AND(K$6&gt;0,$A985&lt;K$6),AND(K$7&gt;0,$A985&gt;K$7)),0,MAX(0,ROUND((INDEX($E985:$G985,K$5)-SUMIFS(TF_Timer,TF_Tekniker,K$4,TF_Dato,$A985))*2,0)/2)))</f>
        <v/>
      </c>
      <c r="L985">
        <f>IF(OR(L$4="",$A985&gt;TODAY()),0,IF(OR(INDEX($B985:$D985,L$5)="F",AND(L$6&gt;0,$A985&lt;L$6),AND(L$7&gt;0,$A985&gt;L$7)),0,MAX(0,ROUND((INDEX($E985:$G985,L$5)-SUMIFS(TF_Timer,TF_Tekniker,L$4,TF_Dato,$A985))*2,0)/2)))</f>
        <v/>
      </c>
      <c r="M985">
        <f>IF(OR(M$4="",$A985&gt;TODAY()),0,IF(OR(INDEX($B985:$D985,M$5)="F",AND(M$6&gt;0,$A985&lt;M$6),AND(M$7&gt;0,$A985&gt;M$7)),0,MAX(0,ROUND((INDEX($E985:$G985,M$5)-SUMIFS(TF_Timer,TF_Tekniker,M$4,TF_Dato,$A985))*2,0)/2)))</f>
        <v/>
      </c>
      <c r="N985">
        <f>IF(OR(N$4="",$A985&gt;TODAY()),0,IF(OR(INDEX($B985:$D985,N$5)="F",AND(N$6&gt;0,$A985&lt;N$6),AND(N$7&gt;0,$A985&gt;N$7)),0,MAX(0,ROUND((INDEX($E985:$G985,N$5)-SUMIFS(TF_Timer,TF_Tekniker,N$4,TF_Dato,$A985))*2,0)/2)))</f>
        <v/>
      </c>
      <c r="O985">
        <f>IF(OR(O$4="",$A985&gt;TODAY()),0,IF(OR(INDEX($B985:$D985,O$5)="F",AND(O$6&gt;0,$A985&lt;O$6),AND(O$7&gt;0,$A985&gt;O$7)),0,MAX(0,ROUND((INDEX($E985:$G985,O$5)-SUMIFS(TF_Timer,TF_Tekniker,O$4,TF_Dato,$A985))*2,0)/2)))</f>
        <v/>
      </c>
      <c r="P985">
        <f>IF(OR(P$4="",$A985&gt;TODAY()),0,IF(OR(INDEX($B985:$D985,P$5)="F",AND(P$6&gt;0,$A985&lt;P$6),AND(P$7&gt;0,$A985&gt;P$7)),0,MAX(0,ROUND((INDEX($E985:$G985,P$5)-SUMIFS(TF_Timer,TF_Tekniker,P$4,TF_Dato,$A985))*2,0)/2)))</f>
        <v/>
      </c>
      <c r="Q985">
        <f>IF(OR(Q$4="",$A985&gt;TODAY()),0,IF(OR(INDEX($B985:$D985,Q$5)="F",AND(Q$6&gt;0,$A985&lt;Q$6),AND(Q$7&gt;0,$A985&gt;Q$7)),0,MAX(0,ROUND((INDEX($E985:$G985,Q$5)-SUMIFS(TF_Timer,TF_Tekniker,Q$4,TF_Dato,$A985))*2,0)/2)))</f>
        <v/>
      </c>
      <c r="R985">
        <f>IF(OR(R$4="",$A985&gt;TODAY()),0,IF(OR(INDEX($B985:$D985,R$5)="F",AND(R$6&gt;0,$A985&lt;R$6),AND(R$7&gt;0,$A985&gt;R$7)),0,MAX(0,ROUND((INDEX($E985:$G985,R$5)-SUMIFS(TF_Timer,TF_Tekniker,R$4,TF_Dato,$A985))*2,0)/2)))</f>
        <v/>
      </c>
      <c r="S985">
        <f>IF(OR(S$4="",$A985&gt;TODAY()),0,IF(OR(INDEX($B985:$D985,S$5)="F",AND(S$6&gt;0,$A985&lt;S$6),AND(S$7&gt;0,$A985&gt;S$7)),0,MAX(0,ROUND((INDEX($E985:$G985,S$5)-SUMIFS(TF_Timer,TF_Tekniker,S$4,TF_Dato,$A985))*2,0)/2)))</f>
        <v/>
      </c>
      <c r="T985">
        <f>IF(OR(T$4="",$A985&gt;TODAY()),0,IF(OR(INDEX($B985:$D985,T$5)="F",AND(T$6&gt;0,$A985&lt;T$6),AND(T$7&gt;0,$A985&gt;T$7)),0,MAX(0,ROUND((INDEX($E985:$G985,T$5)-SUMIFS(TF_Timer,TF_Tekniker,T$4,TF_Dato,$A985))*2,0)/2)))</f>
        <v/>
      </c>
      <c r="U985">
        <f>IF(OR(U$4="",$A985&gt;TODAY()),0,IF(OR(INDEX($B985:$D985,U$5)="F",AND(U$6&gt;0,$A985&lt;U$6),AND(U$7&gt;0,$A985&gt;U$7)),0,MAX(0,ROUND((INDEX($E985:$G985,U$5)-SUMIFS(TF_Timer,TF_Tekniker,U$4,TF_Dato,$A985))*2,0)/2)))</f>
        <v/>
      </c>
      <c r="V985">
        <f>IF(OR(V$4="",$A985&gt;TODAY()),0,IF(OR(INDEX($B985:$D985,V$5)="F",AND(V$6&gt;0,$A985&lt;V$6),AND(V$7&gt;0,$A985&gt;V$7)),0,MAX(0,ROUND((INDEX($E985:$G985,V$5)-SUMIFS(TF_Timer,TF_Tekniker,V$4,TF_Dato,$A985))*2,0)/2)))</f>
        <v/>
      </c>
      <c r="W985">
        <f>IF(OR(W$4="",$A985&gt;TODAY()),0,IF(OR(INDEX($B985:$D985,W$5)="F",AND(W$6&gt;0,$A985&lt;W$6),AND(W$7&gt;0,$A985&gt;W$7)),0,MAX(0,ROUND((INDEX($E985:$G985,W$5)-SUMIFS(TF_Timer,TF_Tekniker,W$4,TF_Dato,$A985))*2,0)/2)))</f>
        <v/>
      </c>
      <c r="X985">
        <f>IF(OR(X$4="",$A985&gt;TODAY()),0,IF(OR(INDEX($B985:$D985,X$5)="F",AND(X$6&gt;0,$A985&lt;X$6),AND(X$7&gt;0,$A985&gt;X$7)),0,MAX(0,ROUND((INDEX($E985:$G985,X$5)-SUMIFS(TF_Timer,TF_Tekniker,X$4,TF_Dato,$A985))*2,0)/2)))</f>
        <v/>
      </c>
      <c r="Y985">
        <f>IF(OR(Y$4="",$A985&gt;TODAY()),0,IF(OR(INDEX($B985:$D985,Y$5)="F",AND(Y$6&gt;0,$A985&lt;Y$6),AND(Y$7&gt;0,$A985&gt;Y$7)),0,MAX(0,ROUND((INDEX($E985:$G985,Y$5)-SUMIFS(TF_Timer,TF_Tekniker,Y$4,TF_Dato,$A985))*2,0)/2)))</f>
        <v/>
      </c>
      <c r="Z985">
        <f>IF(OR(Z$4="",$A985&gt;TODAY()),0,IF(OR(INDEX($B985:$D985,Z$5)="F",AND(Z$6&gt;0,$A985&lt;Z$6),AND(Z$7&gt;0,$A985&gt;Z$7)),0,MAX(0,ROUND((INDEX($E985:$G985,Z$5)-SUMIFS(TF_Timer,TF_Tekniker,Z$4,TF_Dato,$A985))*2,0)/2)))</f>
        <v/>
      </c>
      <c r="AA985">
        <f>IF(OR(AA$4="",$A985&gt;TODAY()),0,IF(OR(INDEX($B985:$D985,AA$5)="F",AND(AA$6&gt;0,$A985&lt;AA$6),AND(AA$7&gt;0,$A985&gt;AA$7)),0,MAX(0,ROUND((INDEX($E985:$G985,AA$5)-SUMIFS(TF_Timer,TF_Tekniker,AA$4,TF_Dato,$A985))*2,0)/2)))</f>
        <v/>
      </c>
      <c r="AB985">
        <f>IF(OR(AB$4="",$A985&gt;TODAY()),0,IF(OR(INDEX($B985:$D985,AB$5)="F",AND(AB$6&gt;0,$A985&lt;AB$6),AND(AB$7&gt;0,$A985&gt;AB$7)),0,MAX(0,ROUND((INDEX($E985:$G985,AB$5)-SUMIFS(TF_Timer,TF_Tekniker,AB$4,TF_Dato,$A985))*2,0)/2)))</f>
        <v/>
      </c>
      <c r="AC985">
        <f>IF(OR(AC$4="",$A985&gt;TODAY()),0,IF(OR(INDEX($B985:$D985,AC$5)="F",AND(AC$6&gt;0,$A985&lt;AC$6),AND(AC$7&gt;0,$A985&gt;AC$7)),0,MAX(0,ROUND((INDEX($E985:$G985,AC$5)-SUMIFS(TF_Timer,TF_Tekniker,AC$4,TF_Dato,$A985))*2,0)/2)))</f>
        <v/>
      </c>
      <c r="AD985">
        <f>IF(OR(AD$4="",$A985&gt;TODAY()),0,IF(OR(INDEX($B985:$D985,AD$5)="F",AND(AD$6&gt;0,$A985&lt;AD$6),AND(AD$7&gt;0,$A985&gt;AD$7)),0,MAX(0,ROUND((INDEX($E985:$G985,AD$5)-SUMIFS(TF_Timer,TF_Tekniker,AD$4,TF_Dato,$A985))*2,0)/2)))</f>
        <v/>
      </c>
      <c r="AE985">
        <f>IF(OR(AE$4="",$A985&gt;TODAY()),0,IF(OR(INDEX($B985:$D985,AE$5)="F",AND(AE$6&gt;0,$A985&lt;AE$6),AND(AE$7&gt;0,$A985&gt;AE$7)),0,MAX(0,ROUND((INDEX($E985:$G985,AE$5)-SUMIFS(TF_Timer,TF_Tekniker,AE$4,TF_Dato,$A985))*2,0)/2)))</f>
        <v/>
      </c>
      <c r="AF985">
        <f>IF(OR(AF$4="",$A985&gt;TODAY()),0,IF(OR(INDEX($B985:$D985,AF$5)="F",AND(AF$6&gt;0,$A985&lt;AF$6),AND(AF$7&gt;0,$A985&gt;AF$7)),0,MAX(0,ROUND((INDEX($E985:$G985,AF$5)-SUMIFS(TF_Timer,TF_Tekniker,AF$4,TF_Dato,$A985))*2,0)/2)))</f>
        <v/>
      </c>
      <c r="AG985">
        <f>IF(OR(AG$4="",$A985&gt;TODAY()),0,IF(OR(INDEX($B985:$D985,AG$5)="F",AND(AG$6&gt;0,$A985&lt;AG$6),AND(AG$7&gt;0,$A985&gt;AG$7)),0,MAX(0,ROUND((INDEX($E985:$G985,AG$5)-SUMIFS(TF_Timer,TF_Tekniker,AG$4,TF_Dato,$A985))*2,0)/2)))</f>
        <v/>
      </c>
      <c r="AH985">
        <f>IF(OR(AH$4="",$A985&gt;TODAY()),0,IF(OR(INDEX($B985:$D985,AH$5)="F",AND(AH$6&gt;0,$A985&lt;AH$6),AND(AH$7&gt;0,$A985&gt;AH$7)),0,MAX(0,ROUND((INDEX($E985:$G985,AH$5)-SUMIFS(TF_Timer,TF_Tekniker,AH$4,TF_Dato,$A985))*2,0)/2)))</f>
        <v/>
      </c>
      <c r="AI985">
        <f>IF(OR(AI$4="",$A985&gt;TODAY()),0,IF(OR(INDEX($B985:$D985,AI$5)="F",AND(AI$6&gt;0,$A985&lt;AI$6),AND(AI$7&gt;0,$A985&gt;AI$7)),0,MAX(0,ROUND((INDEX($E985:$G985,AI$5)-SUMIFS(TF_Timer,TF_Tekniker,AI$4,TF_Dato,$A985))*2,0)/2)))</f>
        <v/>
      </c>
      <c r="AJ985">
        <f>IF(OR(AJ$4="",$A985&gt;TODAY()),0,IF(OR(INDEX($B985:$D985,AJ$5)="F",AND(AJ$6&gt;0,$A985&lt;AJ$6),AND(AJ$7&gt;0,$A985&gt;AJ$7)),0,MAX(0,ROUND((INDEX($E985:$G985,AJ$5)-SUMIFS(TF_Timer,TF_Tekniker,AJ$4,TF_Dato,$A985))*2,0)/2)))</f>
        <v/>
      </c>
      <c r="AK985">
        <f>IF(OR(AK$4="",$A985&gt;TODAY()),0,IF(OR(INDEX($B985:$D985,AK$5)="F",AND(AK$6&gt;0,$A985&lt;AK$6),AND(AK$7&gt;0,$A985&gt;AK$7)),0,MAX(0,ROUND((INDEX($E985:$G985,AK$5)-SUMIFS(TF_Timer,TF_Tekniker,AK$4,TF_Dato,$A985))*2,0)/2)))</f>
        <v/>
      </c>
      <c r="AL985">
        <f>IF(OR(AL$4="",$A985&gt;TODAY()),0,IF(OR(INDEX($B985:$D985,AL$5)="F",AND(AL$6&gt;0,$A985&lt;AL$6),AND(AL$7&gt;0,$A985&gt;AL$7)),0,MAX(0,ROUND((INDEX($E985:$G985,AL$5)-SUMIFS(TF_Timer,TF_Tekniker,AL$4,TF_Dato,$A985))*2,0)/2)))</f>
        <v/>
      </c>
      <c r="AM985">
        <f>IF(OR(AM$4="",$A985&gt;TODAY()),0,IF(OR(INDEX($B985:$D985,AM$5)="F",AND(AM$6&gt;0,$A985&lt;AM$6),AND(AM$7&gt;0,$A985&gt;AM$7)),0,MAX(0,ROUND((INDEX($E985:$G985,AM$5)-SUMIFS(TF_Timer,TF_Tekniker,AM$4,TF_Dato,$A985))*2,0)/2)))</f>
        <v/>
      </c>
      <c r="AN985">
        <f>IF(OR(AN$4="",$A985&gt;TODAY()),0,IF(OR(INDEX($B985:$D985,AN$5)="F",AND(AN$6&gt;0,$A985&lt;AN$6),AND(AN$7&gt;0,$A985&gt;AN$7)),0,MAX(0,ROUND((INDEX($E985:$G985,AN$5)-SUMIFS(TF_Timer,TF_Tekniker,AN$4,TF_Dato,$A985))*2,0)/2)))</f>
        <v/>
      </c>
      <c r="AO985">
        <f>IF(OR(AO$4="",$A985&gt;TODAY()),0,IF(OR(INDEX($B985:$D985,AO$5)="F",AND(AO$6&gt;0,$A985&lt;AO$6),AND(AO$7&gt;0,$A985&gt;AO$7)),0,MAX(0,ROUND((INDEX($E985:$G985,AO$5)-SUMIFS(TF_Timer,TF_Tekniker,AO$4,TF_Dato,$A985))*2,0)/2)))</f>
        <v/>
      </c>
      <c r="AP985">
        <f>IF(OR(AP$4="",$A985&gt;TODAY()),0,IF(OR(INDEX($B985:$D985,AP$5)="F",AND(AP$6&gt;0,$A985&lt;AP$6),AND(AP$7&gt;0,$A985&gt;AP$7)),0,MAX(0,ROUND((INDEX($E985:$G985,AP$5)-SUMIFS(TF_Timer,TF_Tekniker,AP$4,TF_Dato,$A985))*2,0)/2)))</f>
        <v/>
      </c>
      <c r="AQ985">
        <f>IF(OR(AQ$4="",$A985&gt;TODAY()),0,IF(OR(INDEX($B985:$D985,AQ$5)="F",AND(AQ$6&gt;0,$A985&lt;AQ$6),AND(AQ$7&gt;0,$A985&gt;AQ$7)),0,MAX(0,ROUND((INDEX($E985:$G985,AQ$5)-SUMIFS(TF_Timer,TF_Tekniker,AQ$4,TF_Dato,$A985))*2,0)/2)))</f>
        <v/>
      </c>
      <c r="AR985">
        <f>IF(OR(AR$4="",$A985&gt;TODAY()),0,IF(OR(INDEX($B985:$D985,AR$5)="F",AND(AR$6&gt;0,$A985&lt;AR$6),AND(AR$7&gt;0,$A985&gt;AR$7)),0,MAX(0,ROUND((INDEX($E985:$G985,AR$5)-SUMIFS(TF_Timer,TF_Tekniker,AR$4,TF_Dato,$A985))*2,0)/2)))</f>
        <v/>
      </c>
      <c r="AS985">
        <f>IF(OR(AS$4="",$A985&gt;TODAY()),0,IF(OR(INDEX($B985:$D985,AS$5)="F",AND(AS$6&gt;0,$A985&lt;AS$6),AND(AS$7&gt;0,$A985&gt;AS$7)),0,MAX(0,ROUND((INDEX($E985:$G985,AS$5)-SUMIFS(TF_Timer,TF_Tekniker,AS$4,TF_Dato,$A985))*2,0)/2)))</f>
        <v/>
      </c>
      <c r="AT985">
        <f>IF(OR(AT$4="",$A985&gt;TODAY()),0,IF(OR(INDEX($B985:$D985,AT$5)="F",AND(AT$6&gt;0,$A985&lt;AT$6),AND(AT$7&gt;0,$A985&gt;AT$7)),0,MAX(0,ROUND((INDEX($E985:$G985,AT$5)-SUMIFS(TF_Timer,TF_Tekniker,AT$4,TF_Dato,$A985))*2,0)/2)))</f>
        <v/>
      </c>
      <c r="AU985">
        <f>IF(OR(AU$4="",$A985&gt;TODAY()),0,IF(OR(INDEX($B985:$D985,AU$5)="F",AND(AU$6&gt;0,$A985&lt;AU$6),AND(AU$7&gt;0,$A985&gt;AU$7)),0,MAX(0,ROUND((INDEX($E985:$G985,AU$5)-SUMIFS(TF_Timer,TF_Tekniker,AU$4,TF_Dato,$A985))*2,0)/2)))</f>
        <v/>
      </c>
      <c r="AV985">
        <f>IF(OR(AV$4="",$A985&gt;TODAY()),0,IF(OR(INDEX($B985:$D985,AV$5)="F",AND(AV$6&gt;0,$A985&lt;AV$6),AND(AV$7&gt;0,$A985&gt;AV$7)),0,MAX(0,ROUND((INDEX($E985:$G985,AV$5)-SUMIFS(TF_Timer,TF_Tekniker,AV$4,TF_Dato,$A985))*2,0)/2)))</f>
        <v/>
      </c>
      <c r="AW985">
        <f>IF(OR(AW$4="",$A985&gt;TODAY()),0,IF(OR(INDEX($B985:$D985,AW$5)="F",AND(AW$6&gt;0,$A985&lt;AW$6),AND(AW$7&gt;0,$A985&gt;AW$7)),0,MAX(0,ROUND((INDEX($E985:$G985,AW$5)-SUMIFS(TF_Timer,TF_Tekniker,AW$4,TF_Dato,$A985))*2,0)/2)))</f>
        <v/>
      </c>
      <c r="AX985">
        <f>IF(OR(AX$4="",$A985&gt;TODAY()),0,IF(OR(INDEX($B985:$D985,AX$5)="F",AND(AX$6&gt;0,$A985&lt;AX$6),AND(AX$7&gt;0,$A985&gt;AX$7)),0,MAX(0,ROUND((INDEX($E985:$G985,AX$5)-SUMIFS(TF_Timer,TF_Tekniker,AX$4,TF_Dato,$A985))*2,0)/2)))</f>
        <v/>
      </c>
      <c r="AY985">
        <f>IF(OR(AY$4="",$A985&gt;TODAY()),0,IF(OR(INDEX($B985:$D985,AY$5)="F",AND(AY$6&gt;0,$A985&lt;AY$6),AND(AY$7&gt;0,$A985&gt;AY$7)),0,MAX(0,ROUND((INDEX($E985:$G985,AY$5)-SUMIFS(TF_Timer,TF_Tekniker,AY$4,TF_Dato,$A985))*2,0)/2)))</f>
        <v/>
      </c>
      <c r="AZ985">
        <f>IF(OR(AZ$4="",$A985&gt;TODAY()),0,IF(OR(INDEX($B985:$D985,AZ$5)="F",AND(AZ$6&gt;0,$A985&lt;AZ$6),AND(AZ$7&gt;0,$A985&gt;AZ$7)),0,MAX(0,ROUND((INDEX($E985:$G985,AZ$5)-SUMIFS(TF_Timer,TF_Tekniker,AZ$4,TF_Dato,$A985))*2,0)/2)))</f>
        <v/>
      </c>
      <c r="BA985">
        <f>IF(OR(BA$4="",$A985&gt;TODAY()),0,IF(OR(INDEX($B985:$D985,BA$5)="F",AND(BA$6&gt;0,$A985&lt;BA$6),AND(BA$7&gt;0,$A985&gt;BA$7)),0,MAX(0,ROUND((INDEX($E985:$G985,BA$5)-SUMIFS(TF_Timer,TF_Tekniker,BA$4,TF_Dato,$A985))*2,0)/2)))</f>
        <v/>
      </c>
      <c r="BB985">
        <f>IF(OR(BB$4="",$A985&gt;TODAY()),0,IF(OR(INDEX($B985:$D985,BB$5)="F",AND(BB$6&gt;0,$A985&lt;BB$6),AND(BB$7&gt;0,$A985&gt;BB$7)),0,MAX(0,ROUND((INDEX($E985:$G985,BB$5)-SUMIFS(TF_Timer,TF_Tekniker,BB$4,TF_Dato,$A985))*2,0)/2)))</f>
        <v/>
      </c>
      <c r="BC985">
        <f>IF(OR(BC$4="",$A985&gt;TODAY()),0,IF(OR(INDEX($B985:$D985,BC$5)="F",AND(BC$6&gt;0,$A985&lt;BC$6),AND(BC$7&gt;0,$A985&gt;BC$7)),0,MAX(0,ROUND((INDEX($E985:$G985,BC$5)-SUMIFS(TF_Timer,TF_Tekniker,BC$4,TF_Dato,$A985))*2,0)/2)))</f>
        <v/>
      </c>
      <c r="BD985">
        <f>IF(OR(BD$4="",$A985&gt;TODAY()),0,IF(OR(INDEX($B985:$D985,BD$5)="F",AND(BD$6&gt;0,$A985&lt;BD$6),AND(BD$7&gt;0,$A985&gt;BD$7)),0,MAX(0,ROUND((INDEX($E985:$G985,BD$5)-SUMIFS(TF_Timer,TF_Tekniker,BD$4,TF_Dato,$A985))*2,0)/2)))</f>
        <v/>
      </c>
      <c r="BE985">
        <f>IF(OR(BE$4="",$A985&gt;TODAY()),0,IF(OR(INDEX($B985:$D985,BE$5)="F",AND(BE$6&gt;0,$A985&lt;BE$6),AND(BE$7&gt;0,$A985&gt;BE$7)),0,MAX(0,ROUND((INDEX($E985:$G985,BE$5)-SUMIFS(TF_Timer,TF_Tekniker,BE$4,TF_Dato,$A985))*2,0)/2)))</f>
        <v/>
      </c>
      <c r="BF985">
        <f>IF(OR(BF$4="",$A985&gt;TODAY()),0,IF(OR(INDEX($B985:$D985,BF$5)="F",AND(BF$6&gt;0,$A985&lt;BF$6),AND(BF$7&gt;0,$A985&gt;BF$7)),0,MAX(0,ROUND((INDEX($E985:$G985,BF$5)-SUMIFS(TF_Timer,TF_Tekniker,BF$4,TF_Dato,$A985))*2,0)/2)))</f>
        <v/>
      </c>
      <c r="BG985">
        <f>IF(OR(BG$4="",$A985&gt;TODAY()),0,IF(OR(INDEX($B985:$D985,BG$5)="F",AND(BG$6&gt;0,$A985&lt;BG$6),AND(BG$7&gt;0,$A985&gt;BG$7)),0,MAX(0,ROUND((INDEX($E985:$G985,BG$5)-SUMIFS(TF_Timer,TF_Tekniker,BG$4,TF_Dato,$A985))*2,0)/2)))</f>
        <v/>
      </c>
      <c r="BH985">
        <f>IF(OR(BH$4="",$A985&gt;TODAY()),0,IF(OR(INDEX($B985:$D985,BH$5)="F",AND(BH$6&gt;0,$A985&lt;BH$6),AND(BH$7&gt;0,$A985&gt;BH$7)),0,MAX(0,ROUND((INDEX($E985:$G985,BH$5)-SUMIFS(TF_Timer,TF_Tekniker,BH$4,TF_Dato,$A985))*2,0)/2)))</f>
        <v/>
      </c>
      <c r="BI985">
        <f>IF(OR(BI$4="",$A985&gt;TODAY()),0,IF(OR(INDEX($B985:$D985,BI$5)="F",AND(BI$6&gt;0,$A985&lt;BI$6),AND(BI$7&gt;0,$A985&gt;BI$7)),0,MAX(0,ROUND((INDEX($E985:$G985,BI$5)-SUMIFS(TF_Timer,TF_Tekniker,BI$4,TF_Dato,$A985))*2,0)/2)))</f>
        <v/>
      </c>
    </row>
    <row r="986">
      <c r="A986" s="64">
        <f>A985+1</f>
        <v/>
      </c>
      <c r="B986">
        <f>IF(MOD($A986-INDEX(SkiftStart,1),Syklus)&lt;DagK,"K",IF(MOD($A986-INDEX(SkiftStart,1),Syklus)&lt;DagK+DagH,"H",IF(MOD($A986-INDEX(SkiftStart,1),Syklus)&lt;DagK+DagH+DagD,"D","F")))</f>
        <v/>
      </c>
      <c r="C986">
        <f>IF(MOD($A986-INDEX(SkiftStart,2),Syklus)&lt;DagK,"K",IF(MOD($A986-INDEX(SkiftStart,2),Syklus)&lt;DagK+DagH,"H",IF(MOD($A986-INDEX(SkiftStart,2),Syklus)&lt;DagK+DagH+DagD,"D","F")))</f>
        <v/>
      </c>
      <c r="D986">
        <f>IF(MOD($A986-INDEX(SkiftStart,3),Syklus)&lt;DagK,"K",IF(MOD($A986-INDEX(SkiftStart,3),Syklus)&lt;DagK+DagH,"H",IF(MOD($A986-INDEX(SkiftStart,3),Syklus)&lt;DagK+DagH+DagD,"D","F")))</f>
        <v/>
      </c>
      <c r="E986">
        <f>IF(B986="F",0,IF(WEEKDAY($A986,2)=5,INDEX(TimerFr,MATCH(B986,FaseKode,0)),INDEX(TimerMT,MATCH(B986,FaseKode,0))))</f>
        <v/>
      </c>
      <c r="F986">
        <f>IF(C986="F",0,IF(WEEKDAY($A986,2)=5,INDEX(TimerFr,MATCH(C986,FaseKode,0)),INDEX(TimerMT,MATCH(C986,FaseKode,0))))</f>
        <v/>
      </c>
      <c r="G986">
        <f>IF(D986="F",0,IF(WEEKDAY($A986,2)=5,INDEX(TimerFr,MATCH(D986,FaseKode,0)),INDEX(TimerMT,MATCH(D986,FaseKode,0))))</f>
        <v/>
      </c>
      <c r="H986">
        <f>IF(OR(H$4="",$A986&gt;TODAY()),0,IF(OR(INDEX($B986:$D986,H$5)="F",AND(H$6&gt;0,$A986&lt;H$6),AND(H$7&gt;0,$A986&gt;H$7)),0,MAX(0,ROUND((INDEX($E986:$G986,H$5)-SUMIFS(TF_Timer,TF_Tekniker,H$4,TF_Dato,$A986))*2,0)/2)))</f>
        <v/>
      </c>
      <c r="I986">
        <f>IF(OR(I$4="",$A986&gt;TODAY()),0,IF(OR(INDEX($B986:$D986,I$5)="F",AND(I$6&gt;0,$A986&lt;I$6),AND(I$7&gt;0,$A986&gt;I$7)),0,MAX(0,ROUND((INDEX($E986:$G986,I$5)-SUMIFS(TF_Timer,TF_Tekniker,I$4,TF_Dato,$A986))*2,0)/2)))</f>
        <v/>
      </c>
      <c r="J986">
        <f>IF(OR(J$4="",$A986&gt;TODAY()),0,IF(OR(INDEX($B986:$D986,J$5)="F",AND(J$6&gt;0,$A986&lt;J$6),AND(J$7&gt;0,$A986&gt;J$7)),0,MAX(0,ROUND((INDEX($E986:$G986,J$5)-SUMIFS(TF_Timer,TF_Tekniker,J$4,TF_Dato,$A986))*2,0)/2)))</f>
        <v/>
      </c>
      <c r="K986">
        <f>IF(OR(K$4="",$A986&gt;TODAY()),0,IF(OR(INDEX($B986:$D986,K$5)="F",AND(K$6&gt;0,$A986&lt;K$6),AND(K$7&gt;0,$A986&gt;K$7)),0,MAX(0,ROUND((INDEX($E986:$G986,K$5)-SUMIFS(TF_Timer,TF_Tekniker,K$4,TF_Dato,$A986))*2,0)/2)))</f>
        <v/>
      </c>
      <c r="L986">
        <f>IF(OR(L$4="",$A986&gt;TODAY()),0,IF(OR(INDEX($B986:$D986,L$5)="F",AND(L$6&gt;0,$A986&lt;L$6),AND(L$7&gt;0,$A986&gt;L$7)),0,MAX(0,ROUND((INDEX($E986:$G986,L$5)-SUMIFS(TF_Timer,TF_Tekniker,L$4,TF_Dato,$A986))*2,0)/2)))</f>
        <v/>
      </c>
      <c r="M986">
        <f>IF(OR(M$4="",$A986&gt;TODAY()),0,IF(OR(INDEX($B986:$D986,M$5)="F",AND(M$6&gt;0,$A986&lt;M$6),AND(M$7&gt;0,$A986&gt;M$7)),0,MAX(0,ROUND((INDEX($E986:$G986,M$5)-SUMIFS(TF_Timer,TF_Tekniker,M$4,TF_Dato,$A986))*2,0)/2)))</f>
        <v/>
      </c>
      <c r="N986">
        <f>IF(OR(N$4="",$A986&gt;TODAY()),0,IF(OR(INDEX($B986:$D986,N$5)="F",AND(N$6&gt;0,$A986&lt;N$6),AND(N$7&gt;0,$A986&gt;N$7)),0,MAX(0,ROUND((INDEX($E986:$G986,N$5)-SUMIFS(TF_Timer,TF_Tekniker,N$4,TF_Dato,$A986))*2,0)/2)))</f>
        <v/>
      </c>
      <c r="O986">
        <f>IF(OR(O$4="",$A986&gt;TODAY()),0,IF(OR(INDEX($B986:$D986,O$5)="F",AND(O$6&gt;0,$A986&lt;O$6),AND(O$7&gt;0,$A986&gt;O$7)),0,MAX(0,ROUND((INDEX($E986:$G986,O$5)-SUMIFS(TF_Timer,TF_Tekniker,O$4,TF_Dato,$A986))*2,0)/2)))</f>
        <v/>
      </c>
      <c r="P986">
        <f>IF(OR(P$4="",$A986&gt;TODAY()),0,IF(OR(INDEX($B986:$D986,P$5)="F",AND(P$6&gt;0,$A986&lt;P$6),AND(P$7&gt;0,$A986&gt;P$7)),0,MAX(0,ROUND((INDEX($E986:$G986,P$5)-SUMIFS(TF_Timer,TF_Tekniker,P$4,TF_Dato,$A986))*2,0)/2)))</f>
        <v/>
      </c>
      <c r="Q986">
        <f>IF(OR(Q$4="",$A986&gt;TODAY()),0,IF(OR(INDEX($B986:$D986,Q$5)="F",AND(Q$6&gt;0,$A986&lt;Q$6),AND(Q$7&gt;0,$A986&gt;Q$7)),0,MAX(0,ROUND((INDEX($E986:$G986,Q$5)-SUMIFS(TF_Timer,TF_Tekniker,Q$4,TF_Dato,$A986))*2,0)/2)))</f>
        <v/>
      </c>
      <c r="R986">
        <f>IF(OR(R$4="",$A986&gt;TODAY()),0,IF(OR(INDEX($B986:$D986,R$5)="F",AND(R$6&gt;0,$A986&lt;R$6),AND(R$7&gt;0,$A986&gt;R$7)),0,MAX(0,ROUND((INDEX($E986:$G986,R$5)-SUMIFS(TF_Timer,TF_Tekniker,R$4,TF_Dato,$A986))*2,0)/2)))</f>
        <v/>
      </c>
      <c r="S986">
        <f>IF(OR(S$4="",$A986&gt;TODAY()),0,IF(OR(INDEX($B986:$D986,S$5)="F",AND(S$6&gt;0,$A986&lt;S$6),AND(S$7&gt;0,$A986&gt;S$7)),0,MAX(0,ROUND((INDEX($E986:$G986,S$5)-SUMIFS(TF_Timer,TF_Tekniker,S$4,TF_Dato,$A986))*2,0)/2)))</f>
        <v/>
      </c>
      <c r="T986">
        <f>IF(OR(T$4="",$A986&gt;TODAY()),0,IF(OR(INDEX($B986:$D986,T$5)="F",AND(T$6&gt;0,$A986&lt;T$6),AND(T$7&gt;0,$A986&gt;T$7)),0,MAX(0,ROUND((INDEX($E986:$G986,T$5)-SUMIFS(TF_Timer,TF_Tekniker,T$4,TF_Dato,$A986))*2,0)/2)))</f>
        <v/>
      </c>
      <c r="U986">
        <f>IF(OR(U$4="",$A986&gt;TODAY()),0,IF(OR(INDEX($B986:$D986,U$5)="F",AND(U$6&gt;0,$A986&lt;U$6),AND(U$7&gt;0,$A986&gt;U$7)),0,MAX(0,ROUND((INDEX($E986:$G986,U$5)-SUMIFS(TF_Timer,TF_Tekniker,U$4,TF_Dato,$A986))*2,0)/2)))</f>
        <v/>
      </c>
      <c r="V986">
        <f>IF(OR(V$4="",$A986&gt;TODAY()),0,IF(OR(INDEX($B986:$D986,V$5)="F",AND(V$6&gt;0,$A986&lt;V$6),AND(V$7&gt;0,$A986&gt;V$7)),0,MAX(0,ROUND((INDEX($E986:$G986,V$5)-SUMIFS(TF_Timer,TF_Tekniker,V$4,TF_Dato,$A986))*2,0)/2)))</f>
        <v/>
      </c>
      <c r="W986">
        <f>IF(OR(W$4="",$A986&gt;TODAY()),0,IF(OR(INDEX($B986:$D986,W$5)="F",AND(W$6&gt;0,$A986&lt;W$6),AND(W$7&gt;0,$A986&gt;W$7)),0,MAX(0,ROUND((INDEX($E986:$G986,W$5)-SUMIFS(TF_Timer,TF_Tekniker,W$4,TF_Dato,$A986))*2,0)/2)))</f>
        <v/>
      </c>
      <c r="X986">
        <f>IF(OR(X$4="",$A986&gt;TODAY()),0,IF(OR(INDEX($B986:$D986,X$5)="F",AND(X$6&gt;0,$A986&lt;X$6),AND(X$7&gt;0,$A986&gt;X$7)),0,MAX(0,ROUND((INDEX($E986:$G986,X$5)-SUMIFS(TF_Timer,TF_Tekniker,X$4,TF_Dato,$A986))*2,0)/2)))</f>
        <v/>
      </c>
      <c r="Y986">
        <f>IF(OR(Y$4="",$A986&gt;TODAY()),0,IF(OR(INDEX($B986:$D986,Y$5)="F",AND(Y$6&gt;0,$A986&lt;Y$6),AND(Y$7&gt;0,$A986&gt;Y$7)),0,MAX(0,ROUND((INDEX($E986:$G986,Y$5)-SUMIFS(TF_Timer,TF_Tekniker,Y$4,TF_Dato,$A986))*2,0)/2)))</f>
        <v/>
      </c>
      <c r="Z986">
        <f>IF(OR(Z$4="",$A986&gt;TODAY()),0,IF(OR(INDEX($B986:$D986,Z$5)="F",AND(Z$6&gt;0,$A986&lt;Z$6),AND(Z$7&gt;0,$A986&gt;Z$7)),0,MAX(0,ROUND((INDEX($E986:$G986,Z$5)-SUMIFS(TF_Timer,TF_Tekniker,Z$4,TF_Dato,$A986))*2,0)/2)))</f>
        <v/>
      </c>
      <c r="AA986">
        <f>IF(OR(AA$4="",$A986&gt;TODAY()),0,IF(OR(INDEX($B986:$D986,AA$5)="F",AND(AA$6&gt;0,$A986&lt;AA$6),AND(AA$7&gt;0,$A986&gt;AA$7)),0,MAX(0,ROUND((INDEX($E986:$G986,AA$5)-SUMIFS(TF_Timer,TF_Tekniker,AA$4,TF_Dato,$A986))*2,0)/2)))</f>
        <v/>
      </c>
      <c r="AB986">
        <f>IF(OR(AB$4="",$A986&gt;TODAY()),0,IF(OR(INDEX($B986:$D986,AB$5)="F",AND(AB$6&gt;0,$A986&lt;AB$6),AND(AB$7&gt;0,$A986&gt;AB$7)),0,MAX(0,ROUND((INDEX($E986:$G986,AB$5)-SUMIFS(TF_Timer,TF_Tekniker,AB$4,TF_Dato,$A986))*2,0)/2)))</f>
        <v/>
      </c>
      <c r="AC986">
        <f>IF(OR(AC$4="",$A986&gt;TODAY()),0,IF(OR(INDEX($B986:$D986,AC$5)="F",AND(AC$6&gt;0,$A986&lt;AC$6),AND(AC$7&gt;0,$A986&gt;AC$7)),0,MAX(0,ROUND((INDEX($E986:$G986,AC$5)-SUMIFS(TF_Timer,TF_Tekniker,AC$4,TF_Dato,$A986))*2,0)/2)))</f>
        <v/>
      </c>
      <c r="AD986">
        <f>IF(OR(AD$4="",$A986&gt;TODAY()),0,IF(OR(INDEX($B986:$D986,AD$5)="F",AND(AD$6&gt;0,$A986&lt;AD$6),AND(AD$7&gt;0,$A986&gt;AD$7)),0,MAX(0,ROUND((INDEX($E986:$G986,AD$5)-SUMIFS(TF_Timer,TF_Tekniker,AD$4,TF_Dato,$A986))*2,0)/2)))</f>
        <v/>
      </c>
      <c r="AE986">
        <f>IF(OR(AE$4="",$A986&gt;TODAY()),0,IF(OR(INDEX($B986:$D986,AE$5)="F",AND(AE$6&gt;0,$A986&lt;AE$6),AND(AE$7&gt;0,$A986&gt;AE$7)),0,MAX(0,ROUND((INDEX($E986:$G986,AE$5)-SUMIFS(TF_Timer,TF_Tekniker,AE$4,TF_Dato,$A986))*2,0)/2)))</f>
        <v/>
      </c>
      <c r="AF986">
        <f>IF(OR(AF$4="",$A986&gt;TODAY()),0,IF(OR(INDEX($B986:$D986,AF$5)="F",AND(AF$6&gt;0,$A986&lt;AF$6),AND(AF$7&gt;0,$A986&gt;AF$7)),0,MAX(0,ROUND((INDEX($E986:$G986,AF$5)-SUMIFS(TF_Timer,TF_Tekniker,AF$4,TF_Dato,$A986))*2,0)/2)))</f>
        <v/>
      </c>
      <c r="AG986">
        <f>IF(OR(AG$4="",$A986&gt;TODAY()),0,IF(OR(INDEX($B986:$D986,AG$5)="F",AND(AG$6&gt;0,$A986&lt;AG$6),AND(AG$7&gt;0,$A986&gt;AG$7)),0,MAX(0,ROUND((INDEX($E986:$G986,AG$5)-SUMIFS(TF_Timer,TF_Tekniker,AG$4,TF_Dato,$A986))*2,0)/2)))</f>
        <v/>
      </c>
      <c r="AH986">
        <f>IF(OR(AH$4="",$A986&gt;TODAY()),0,IF(OR(INDEX($B986:$D986,AH$5)="F",AND(AH$6&gt;0,$A986&lt;AH$6),AND(AH$7&gt;0,$A986&gt;AH$7)),0,MAX(0,ROUND((INDEX($E986:$G986,AH$5)-SUMIFS(TF_Timer,TF_Tekniker,AH$4,TF_Dato,$A986))*2,0)/2)))</f>
        <v/>
      </c>
      <c r="AI986">
        <f>IF(OR(AI$4="",$A986&gt;TODAY()),0,IF(OR(INDEX($B986:$D986,AI$5)="F",AND(AI$6&gt;0,$A986&lt;AI$6),AND(AI$7&gt;0,$A986&gt;AI$7)),0,MAX(0,ROUND((INDEX($E986:$G986,AI$5)-SUMIFS(TF_Timer,TF_Tekniker,AI$4,TF_Dato,$A986))*2,0)/2)))</f>
        <v/>
      </c>
      <c r="AJ986">
        <f>IF(OR(AJ$4="",$A986&gt;TODAY()),0,IF(OR(INDEX($B986:$D986,AJ$5)="F",AND(AJ$6&gt;0,$A986&lt;AJ$6),AND(AJ$7&gt;0,$A986&gt;AJ$7)),0,MAX(0,ROUND((INDEX($E986:$G986,AJ$5)-SUMIFS(TF_Timer,TF_Tekniker,AJ$4,TF_Dato,$A986))*2,0)/2)))</f>
        <v/>
      </c>
      <c r="AK986">
        <f>IF(OR(AK$4="",$A986&gt;TODAY()),0,IF(OR(INDEX($B986:$D986,AK$5)="F",AND(AK$6&gt;0,$A986&lt;AK$6),AND(AK$7&gt;0,$A986&gt;AK$7)),0,MAX(0,ROUND((INDEX($E986:$G986,AK$5)-SUMIFS(TF_Timer,TF_Tekniker,AK$4,TF_Dato,$A986))*2,0)/2)))</f>
        <v/>
      </c>
      <c r="AL986">
        <f>IF(OR(AL$4="",$A986&gt;TODAY()),0,IF(OR(INDEX($B986:$D986,AL$5)="F",AND(AL$6&gt;0,$A986&lt;AL$6),AND(AL$7&gt;0,$A986&gt;AL$7)),0,MAX(0,ROUND((INDEX($E986:$G986,AL$5)-SUMIFS(TF_Timer,TF_Tekniker,AL$4,TF_Dato,$A986))*2,0)/2)))</f>
        <v/>
      </c>
      <c r="AM986">
        <f>IF(OR(AM$4="",$A986&gt;TODAY()),0,IF(OR(INDEX($B986:$D986,AM$5)="F",AND(AM$6&gt;0,$A986&lt;AM$6),AND(AM$7&gt;0,$A986&gt;AM$7)),0,MAX(0,ROUND((INDEX($E986:$G986,AM$5)-SUMIFS(TF_Timer,TF_Tekniker,AM$4,TF_Dato,$A986))*2,0)/2)))</f>
        <v/>
      </c>
      <c r="AN986">
        <f>IF(OR(AN$4="",$A986&gt;TODAY()),0,IF(OR(INDEX($B986:$D986,AN$5)="F",AND(AN$6&gt;0,$A986&lt;AN$6),AND(AN$7&gt;0,$A986&gt;AN$7)),0,MAX(0,ROUND((INDEX($E986:$G986,AN$5)-SUMIFS(TF_Timer,TF_Tekniker,AN$4,TF_Dato,$A986))*2,0)/2)))</f>
        <v/>
      </c>
      <c r="AO986">
        <f>IF(OR(AO$4="",$A986&gt;TODAY()),0,IF(OR(INDEX($B986:$D986,AO$5)="F",AND(AO$6&gt;0,$A986&lt;AO$6),AND(AO$7&gt;0,$A986&gt;AO$7)),0,MAX(0,ROUND((INDEX($E986:$G986,AO$5)-SUMIFS(TF_Timer,TF_Tekniker,AO$4,TF_Dato,$A986))*2,0)/2)))</f>
        <v/>
      </c>
      <c r="AP986">
        <f>IF(OR(AP$4="",$A986&gt;TODAY()),0,IF(OR(INDEX($B986:$D986,AP$5)="F",AND(AP$6&gt;0,$A986&lt;AP$6),AND(AP$7&gt;0,$A986&gt;AP$7)),0,MAX(0,ROUND((INDEX($E986:$G986,AP$5)-SUMIFS(TF_Timer,TF_Tekniker,AP$4,TF_Dato,$A986))*2,0)/2)))</f>
        <v/>
      </c>
      <c r="AQ986">
        <f>IF(OR(AQ$4="",$A986&gt;TODAY()),0,IF(OR(INDEX($B986:$D986,AQ$5)="F",AND(AQ$6&gt;0,$A986&lt;AQ$6),AND(AQ$7&gt;0,$A986&gt;AQ$7)),0,MAX(0,ROUND((INDEX($E986:$G986,AQ$5)-SUMIFS(TF_Timer,TF_Tekniker,AQ$4,TF_Dato,$A986))*2,0)/2)))</f>
        <v/>
      </c>
      <c r="AR986">
        <f>IF(OR(AR$4="",$A986&gt;TODAY()),0,IF(OR(INDEX($B986:$D986,AR$5)="F",AND(AR$6&gt;0,$A986&lt;AR$6),AND(AR$7&gt;0,$A986&gt;AR$7)),0,MAX(0,ROUND((INDEX($E986:$G986,AR$5)-SUMIFS(TF_Timer,TF_Tekniker,AR$4,TF_Dato,$A986))*2,0)/2)))</f>
        <v/>
      </c>
      <c r="AS986">
        <f>IF(OR(AS$4="",$A986&gt;TODAY()),0,IF(OR(INDEX($B986:$D986,AS$5)="F",AND(AS$6&gt;0,$A986&lt;AS$6),AND(AS$7&gt;0,$A986&gt;AS$7)),0,MAX(0,ROUND((INDEX($E986:$G986,AS$5)-SUMIFS(TF_Timer,TF_Tekniker,AS$4,TF_Dato,$A986))*2,0)/2)))</f>
        <v/>
      </c>
      <c r="AT986">
        <f>IF(OR(AT$4="",$A986&gt;TODAY()),0,IF(OR(INDEX($B986:$D986,AT$5)="F",AND(AT$6&gt;0,$A986&lt;AT$6),AND(AT$7&gt;0,$A986&gt;AT$7)),0,MAX(0,ROUND((INDEX($E986:$G986,AT$5)-SUMIFS(TF_Timer,TF_Tekniker,AT$4,TF_Dato,$A986))*2,0)/2)))</f>
        <v/>
      </c>
      <c r="AU986">
        <f>IF(OR(AU$4="",$A986&gt;TODAY()),0,IF(OR(INDEX($B986:$D986,AU$5)="F",AND(AU$6&gt;0,$A986&lt;AU$6),AND(AU$7&gt;0,$A986&gt;AU$7)),0,MAX(0,ROUND((INDEX($E986:$G986,AU$5)-SUMIFS(TF_Timer,TF_Tekniker,AU$4,TF_Dato,$A986))*2,0)/2)))</f>
        <v/>
      </c>
      <c r="AV986">
        <f>IF(OR(AV$4="",$A986&gt;TODAY()),0,IF(OR(INDEX($B986:$D986,AV$5)="F",AND(AV$6&gt;0,$A986&lt;AV$6),AND(AV$7&gt;0,$A986&gt;AV$7)),0,MAX(0,ROUND((INDEX($E986:$G986,AV$5)-SUMIFS(TF_Timer,TF_Tekniker,AV$4,TF_Dato,$A986))*2,0)/2)))</f>
        <v/>
      </c>
      <c r="AW986">
        <f>IF(OR(AW$4="",$A986&gt;TODAY()),0,IF(OR(INDEX($B986:$D986,AW$5)="F",AND(AW$6&gt;0,$A986&lt;AW$6),AND(AW$7&gt;0,$A986&gt;AW$7)),0,MAX(0,ROUND((INDEX($E986:$G986,AW$5)-SUMIFS(TF_Timer,TF_Tekniker,AW$4,TF_Dato,$A986))*2,0)/2)))</f>
        <v/>
      </c>
      <c r="AX986">
        <f>IF(OR(AX$4="",$A986&gt;TODAY()),0,IF(OR(INDEX($B986:$D986,AX$5)="F",AND(AX$6&gt;0,$A986&lt;AX$6),AND(AX$7&gt;0,$A986&gt;AX$7)),0,MAX(0,ROUND((INDEX($E986:$G986,AX$5)-SUMIFS(TF_Timer,TF_Tekniker,AX$4,TF_Dato,$A986))*2,0)/2)))</f>
        <v/>
      </c>
      <c r="AY986">
        <f>IF(OR(AY$4="",$A986&gt;TODAY()),0,IF(OR(INDEX($B986:$D986,AY$5)="F",AND(AY$6&gt;0,$A986&lt;AY$6),AND(AY$7&gt;0,$A986&gt;AY$7)),0,MAX(0,ROUND((INDEX($E986:$G986,AY$5)-SUMIFS(TF_Timer,TF_Tekniker,AY$4,TF_Dato,$A986))*2,0)/2)))</f>
        <v/>
      </c>
      <c r="AZ986">
        <f>IF(OR(AZ$4="",$A986&gt;TODAY()),0,IF(OR(INDEX($B986:$D986,AZ$5)="F",AND(AZ$6&gt;0,$A986&lt;AZ$6),AND(AZ$7&gt;0,$A986&gt;AZ$7)),0,MAX(0,ROUND((INDEX($E986:$G986,AZ$5)-SUMIFS(TF_Timer,TF_Tekniker,AZ$4,TF_Dato,$A986))*2,0)/2)))</f>
        <v/>
      </c>
      <c r="BA986">
        <f>IF(OR(BA$4="",$A986&gt;TODAY()),0,IF(OR(INDEX($B986:$D986,BA$5)="F",AND(BA$6&gt;0,$A986&lt;BA$6),AND(BA$7&gt;0,$A986&gt;BA$7)),0,MAX(0,ROUND((INDEX($E986:$G986,BA$5)-SUMIFS(TF_Timer,TF_Tekniker,BA$4,TF_Dato,$A986))*2,0)/2)))</f>
        <v/>
      </c>
      <c r="BB986">
        <f>IF(OR(BB$4="",$A986&gt;TODAY()),0,IF(OR(INDEX($B986:$D986,BB$5)="F",AND(BB$6&gt;0,$A986&lt;BB$6),AND(BB$7&gt;0,$A986&gt;BB$7)),0,MAX(0,ROUND((INDEX($E986:$G986,BB$5)-SUMIFS(TF_Timer,TF_Tekniker,BB$4,TF_Dato,$A986))*2,0)/2)))</f>
        <v/>
      </c>
      <c r="BC986">
        <f>IF(OR(BC$4="",$A986&gt;TODAY()),0,IF(OR(INDEX($B986:$D986,BC$5)="F",AND(BC$6&gt;0,$A986&lt;BC$6),AND(BC$7&gt;0,$A986&gt;BC$7)),0,MAX(0,ROUND((INDEX($E986:$G986,BC$5)-SUMIFS(TF_Timer,TF_Tekniker,BC$4,TF_Dato,$A986))*2,0)/2)))</f>
        <v/>
      </c>
      <c r="BD986">
        <f>IF(OR(BD$4="",$A986&gt;TODAY()),0,IF(OR(INDEX($B986:$D986,BD$5)="F",AND(BD$6&gt;0,$A986&lt;BD$6),AND(BD$7&gt;0,$A986&gt;BD$7)),0,MAX(0,ROUND((INDEX($E986:$G986,BD$5)-SUMIFS(TF_Timer,TF_Tekniker,BD$4,TF_Dato,$A986))*2,0)/2)))</f>
        <v/>
      </c>
      <c r="BE986">
        <f>IF(OR(BE$4="",$A986&gt;TODAY()),0,IF(OR(INDEX($B986:$D986,BE$5)="F",AND(BE$6&gt;0,$A986&lt;BE$6),AND(BE$7&gt;0,$A986&gt;BE$7)),0,MAX(0,ROUND((INDEX($E986:$G986,BE$5)-SUMIFS(TF_Timer,TF_Tekniker,BE$4,TF_Dato,$A986))*2,0)/2)))</f>
        <v/>
      </c>
      <c r="BF986">
        <f>IF(OR(BF$4="",$A986&gt;TODAY()),0,IF(OR(INDEX($B986:$D986,BF$5)="F",AND(BF$6&gt;0,$A986&lt;BF$6),AND(BF$7&gt;0,$A986&gt;BF$7)),0,MAX(0,ROUND((INDEX($E986:$G986,BF$5)-SUMIFS(TF_Timer,TF_Tekniker,BF$4,TF_Dato,$A986))*2,0)/2)))</f>
        <v/>
      </c>
      <c r="BG986">
        <f>IF(OR(BG$4="",$A986&gt;TODAY()),0,IF(OR(INDEX($B986:$D986,BG$5)="F",AND(BG$6&gt;0,$A986&lt;BG$6),AND(BG$7&gt;0,$A986&gt;BG$7)),0,MAX(0,ROUND((INDEX($E986:$G986,BG$5)-SUMIFS(TF_Timer,TF_Tekniker,BG$4,TF_Dato,$A986))*2,0)/2)))</f>
        <v/>
      </c>
      <c r="BH986">
        <f>IF(OR(BH$4="",$A986&gt;TODAY()),0,IF(OR(INDEX($B986:$D986,BH$5)="F",AND(BH$6&gt;0,$A986&lt;BH$6),AND(BH$7&gt;0,$A986&gt;BH$7)),0,MAX(0,ROUND((INDEX($E986:$G986,BH$5)-SUMIFS(TF_Timer,TF_Tekniker,BH$4,TF_Dato,$A986))*2,0)/2)))</f>
        <v/>
      </c>
      <c r="BI986">
        <f>IF(OR(BI$4="",$A986&gt;TODAY()),0,IF(OR(INDEX($B986:$D986,BI$5)="F",AND(BI$6&gt;0,$A986&lt;BI$6),AND(BI$7&gt;0,$A986&gt;BI$7)),0,MAX(0,ROUND((INDEX($E986:$G986,BI$5)-SUMIFS(TF_Timer,TF_Tekniker,BI$4,TF_Dato,$A986))*2,0)/2)))</f>
        <v/>
      </c>
    </row>
    <row r="987">
      <c r="A987" s="64">
        <f>A986+1</f>
        <v/>
      </c>
      <c r="B987">
        <f>IF(MOD($A987-INDEX(SkiftStart,1),Syklus)&lt;DagK,"K",IF(MOD($A987-INDEX(SkiftStart,1),Syklus)&lt;DagK+DagH,"H",IF(MOD($A987-INDEX(SkiftStart,1),Syklus)&lt;DagK+DagH+DagD,"D","F")))</f>
        <v/>
      </c>
      <c r="C987">
        <f>IF(MOD($A987-INDEX(SkiftStart,2),Syklus)&lt;DagK,"K",IF(MOD($A987-INDEX(SkiftStart,2),Syklus)&lt;DagK+DagH,"H",IF(MOD($A987-INDEX(SkiftStart,2),Syklus)&lt;DagK+DagH+DagD,"D","F")))</f>
        <v/>
      </c>
      <c r="D987">
        <f>IF(MOD($A987-INDEX(SkiftStart,3),Syklus)&lt;DagK,"K",IF(MOD($A987-INDEX(SkiftStart,3),Syklus)&lt;DagK+DagH,"H",IF(MOD($A987-INDEX(SkiftStart,3),Syklus)&lt;DagK+DagH+DagD,"D","F")))</f>
        <v/>
      </c>
      <c r="E987">
        <f>IF(B987="F",0,IF(WEEKDAY($A987,2)=5,INDEX(TimerFr,MATCH(B987,FaseKode,0)),INDEX(TimerMT,MATCH(B987,FaseKode,0))))</f>
        <v/>
      </c>
      <c r="F987">
        <f>IF(C987="F",0,IF(WEEKDAY($A987,2)=5,INDEX(TimerFr,MATCH(C987,FaseKode,0)),INDEX(TimerMT,MATCH(C987,FaseKode,0))))</f>
        <v/>
      </c>
      <c r="G987">
        <f>IF(D987="F",0,IF(WEEKDAY($A987,2)=5,INDEX(TimerFr,MATCH(D987,FaseKode,0)),INDEX(TimerMT,MATCH(D987,FaseKode,0))))</f>
        <v/>
      </c>
      <c r="H987">
        <f>IF(OR(H$4="",$A987&gt;TODAY()),0,IF(OR(INDEX($B987:$D987,H$5)="F",AND(H$6&gt;0,$A987&lt;H$6),AND(H$7&gt;0,$A987&gt;H$7)),0,MAX(0,ROUND((INDEX($E987:$G987,H$5)-SUMIFS(TF_Timer,TF_Tekniker,H$4,TF_Dato,$A987))*2,0)/2)))</f>
        <v/>
      </c>
      <c r="I987">
        <f>IF(OR(I$4="",$A987&gt;TODAY()),0,IF(OR(INDEX($B987:$D987,I$5)="F",AND(I$6&gt;0,$A987&lt;I$6),AND(I$7&gt;0,$A987&gt;I$7)),0,MAX(0,ROUND((INDEX($E987:$G987,I$5)-SUMIFS(TF_Timer,TF_Tekniker,I$4,TF_Dato,$A987))*2,0)/2)))</f>
        <v/>
      </c>
      <c r="J987">
        <f>IF(OR(J$4="",$A987&gt;TODAY()),0,IF(OR(INDEX($B987:$D987,J$5)="F",AND(J$6&gt;0,$A987&lt;J$6),AND(J$7&gt;0,$A987&gt;J$7)),0,MAX(0,ROUND((INDEX($E987:$G987,J$5)-SUMIFS(TF_Timer,TF_Tekniker,J$4,TF_Dato,$A987))*2,0)/2)))</f>
        <v/>
      </c>
      <c r="K987">
        <f>IF(OR(K$4="",$A987&gt;TODAY()),0,IF(OR(INDEX($B987:$D987,K$5)="F",AND(K$6&gt;0,$A987&lt;K$6),AND(K$7&gt;0,$A987&gt;K$7)),0,MAX(0,ROUND((INDEX($E987:$G987,K$5)-SUMIFS(TF_Timer,TF_Tekniker,K$4,TF_Dato,$A987))*2,0)/2)))</f>
        <v/>
      </c>
      <c r="L987">
        <f>IF(OR(L$4="",$A987&gt;TODAY()),0,IF(OR(INDEX($B987:$D987,L$5)="F",AND(L$6&gt;0,$A987&lt;L$6),AND(L$7&gt;0,$A987&gt;L$7)),0,MAX(0,ROUND((INDEX($E987:$G987,L$5)-SUMIFS(TF_Timer,TF_Tekniker,L$4,TF_Dato,$A987))*2,0)/2)))</f>
        <v/>
      </c>
      <c r="M987">
        <f>IF(OR(M$4="",$A987&gt;TODAY()),0,IF(OR(INDEX($B987:$D987,M$5)="F",AND(M$6&gt;0,$A987&lt;M$6),AND(M$7&gt;0,$A987&gt;M$7)),0,MAX(0,ROUND((INDEX($E987:$G987,M$5)-SUMIFS(TF_Timer,TF_Tekniker,M$4,TF_Dato,$A987))*2,0)/2)))</f>
        <v/>
      </c>
      <c r="N987">
        <f>IF(OR(N$4="",$A987&gt;TODAY()),0,IF(OR(INDEX($B987:$D987,N$5)="F",AND(N$6&gt;0,$A987&lt;N$6),AND(N$7&gt;0,$A987&gt;N$7)),0,MAX(0,ROUND((INDEX($E987:$G987,N$5)-SUMIFS(TF_Timer,TF_Tekniker,N$4,TF_Dato,$A987))*2,0)/2)))</f>
        <v/>
      </c>
      <c r="O987">
        <f>IF(OR(O$4="",$A987&gt;TODAY()),0,IF(OR(INDEX($B987:$D987,O$5)="F",AND(O$6&gt;0,$A987&lt;O$6),AND(O$7&gt;0,$A987&gt;O$7)),0,MAX(0,ROUND((INDEX($E987:$G987,O$5)-SUMIFS(TF_Timer,TF_Tekniker,O$4,TF_Dato,$A987))*2,0)/2)))</f>
        <v/>
      </c>
      <c r="P987">
        <f>IF(OR(P$4="",$A987&gt;TODAY()),0,IF(OR(INDEX($B987:$D987,P$5)="F",AND(P$6&gt;0,$A987&lt;P$6),AND(P$7&gt;0,$A987&gt;P$7)),0,MAX(0,ROUND((INDEX($E987:$G987,P$5)-SUMIFS(TF_Timer,TF_Tekniker,P$4,TF_Dato,$A987))*2,0)/2)))</f>
        <v/>
      </c>
      <c r="Q987">
        <f>IF(OR(Q$4="",$A987&gt;TODAY()),0,IF(OR(INDEX($B987:$D987,Q$5)="F",AND(Q$6&gt;0,$A987&lt;Q$6),AND(Q$7&gt;0,$A987&gt;Q$7)),0,MAX(0,ROUND((INDEX($E987:$G987,Q$5)-SUMIFS(TF_Timer,TF_Tekniker,Q$4,TF_Dato,$A987))*2,0)/2)))</f>
        <v/>
      </c>
      <c r="R987">
        <f>IF(OR(R$4="",$A987&gt;TODAY()),0,IF(OR(INDEX($B987:$D987,R$5)="F",AND(R$6&gt;0,$A987&lt;R$6),AND(R$7&gt;0,$A987&gt;R$7)),0,MAX(0,ROUND((INDEX($E987:$G987,R$5)-SUMIFS(TF_Timer,TF_Tekniker,R$4,TF_Dato,$A987))*2,0)/2)))</f>
        <v/>
      </c>
      <c r="S987">
        <f>IF(OR(S$4="",$A987&gt;TODAY()),0,IF(OR(INDEX($B987:$D987,S$5)="F",AND(S$6&gt;0,$A987&lt;S$6),AND(S$7&gt;0,$A987&gt;S$7)),0,MAX(0,ROUND((INDEX($E987:$G987,S$5)-SUMIFS(TF_Timer,TF_Tekniker,S$4,TF_Dato,$A987))*2,0)/2)))</f>
        <v/>
      </c>
      <c r="T987">
        <f>IF(OR(T$4="",$A987&gt;TODAY()),0,IF(OR(INDEX($B987:$D987,T$5)="F",AND(T$6&gt;0,$A987&lt;T$6),AND(T$7&gt;0,$A987&gt;T$7)),0,MAX(0,ROUND((INDEX($E987:$G987,T$5)-SUMIFS(TF_Timer,TF_Tekniker,T$4,TF_Dato,$A987))*2,0)/2)))</f>
        <v/>
      </c>
      <c r="U987">
        <f>IF(OR(U$4="",$A987&gt;TODAY()),0,IF(OR(INDEX($B987:$D987,U$5)="F",AND(U$6&gt;0,$A987&lt;U$6),AND(U$7&gt;0,$A987&gt;U$7)),0,MAX(0,ROUND((INDEX($E987:$G987,U$5)-SUMIFS(TF_Timer,TF_Tekniker,U$4,TF_Dato,$A987))*2,0)/2)))</f>
        <v/>
      </c>
      <c r="V987">
        <f>IF(OR(V$4="",$A987&gt;TODAY()),0,IF(OR(INDEX($B987:$D987,V$5)="F",AND(V$6&gt;0,$A987&lt;V$6),AND(V$7&gt;0,$A987&gt;V$7)),0,MAX(0,ROUND((INDEX($E987:$G987,V$5)-SUMIFS(TF_Timer,TF_Tekniker,V$4,TF_Dato,$A987))*2,0)/2)))</f>
        <v/>
      </c>
      <c r="W987">
        <f>IF(OR(W$4="",$A987&gt;TODAY()),0,IF(OR(INDEX($B987:$D987,W$5)="F",AND(W$6&gt;0,$A987&lt;W$6),AND(W$7&gt;0,$A987&gt;W$7)),0,MAX(0,ROUND((INDEX($E987:$G987,W$5)-SUMIFS(TF_Timer,TF_Tekniker,W$4,TF_Dato,$A987))*2,0)/2)))</f>
        <v/>
      </c>
      <c r="X987">
        <f>IF(OR(X$4="",$A987&gt;TODAY()),0,IF(OR(INDEX($B987:$D987,X$5)="F",AND(X$6&gt;0,$A987&lt;X$6),AND(X$7&gt;0,$A987&gt;X$7)),0,MAX(0,ROUND((INDEX($E987:$G987,X$5)-SUMIFS(TF_Timer,TF_Tekniker,X$4,TF_Dato,$A987))*2,0)/2)))</f>
        <v/>
      </c>
      <c r="Y987">
        <f>IF(OR(Y$4="",$A987&gt;TODAY()),0,IF(OR(INDEX($B987:$D987,Y$5)="F",AND(Y$6&gt;0,$A987&lt;Y$6),AND(Y$7&gt;0,$A987&gt;Y$7)),0,MAX(0,ROUND((INDEX($E987:$G987,Y$5)-SUMIFS(TF_Timer,TF_Tekniker,Y$4,TF_Dato,$A987))*2,0)/2)))</f>
        <v/>
      </c>
      <c r="Z987">
        <f>IF(OR(Z$4="",$A987&gt;TODAY()),0,IF(OR(INDEX($B987:$D987,Z$5)="F",AND(Z$6&gt;0,$A987&lt;Z$6),AND(Z$7&gt;0,$A987&gt;Z$7)),0,MAX(0,ROUND((INDEX($E987:$G987,Z$5)-SUMIFS(TF_Timer,TF_Tekniker,Z$4,TF_Dato,$A987))*2,0)/2)))</f>
        <v/>
      </c>
      <c r="AA987">
        <f>IF(OR(AA$4="",$A987&gt;TODAY()),0,IF(OR(INDEX($B987:$D987,AA$5)="F",AND(AA$6&gt;0,$A987&lt;AA$6),AND(AA$7&gt;0,$A987&gt;AA$7)),0,MAX(0,ROUND((INDEX($E987:$G987,AA$5)-SUMIFS(TF_Timer,TF_Tekniker,AA$4,TF_Dato,$A987))*2,0)/2)))</f>
        <v/>
      </c>
      <c r="AB987">
        <f>IF(OR(AB$4="",$A987&gt;TODAY()),0,IF(OR(INDEX($B987:$D987,AB$5)="F",AND(AB$6&gt;0,$A987&lt;AB$6),AND(AB$7&gt;0,$A987&gt;AB$7)),0,MAX(0,ROUND((INDEX($E987:$G987,AB$5)-SUMIFS(TF_Timer,TF_Tekniker,AB$4,TF_Dato,$A987))*2,0)/2)))</f>
        <v/>
      </c>
      <c r="AC987">
        <f>IF(OR(AC$4="",$A987&gt;TODAY()),0,IF(OR(INDEX($B987:$D987,AC$5)="F",AND(AC$6&gt;0,$A987&lt;AC$6),AND(AC$7&gt;0,$A987&gt;AC$7)),0,MAX(0,ROUND((INDEX($E987:$G987,AC$5)-SUMIFS(TF_Timer,TF_Tekniker,AC$4,TF_Dato,$A987))*2,0)/2)))</f>
        <v/>
      </c>
      <c r="AD987">
        <f>IF(OR(AD$4="",$A987&gt;TODAY()),0,IF(OR(INDEX($B987:$D987,AD$5)="F",AND(AD$6&gt;0,$A987&lt;AD$6),AND(AD$7&gt;0,$A987&gt;AD$7)),0,MAX(0,ROUND((INDEX($E987:$G987,AD$5)-SUMIFS(TF_Timer,TF_Tekniker,AD$4,TF_Dato,$A987))*2,0)/2)))</f>
        <v/>
      </c>
      <c r="AE987">
        <f>IF(OR(AE$4="",$A987&gt;TODAY()),0,IF(OR(INDEX($B987:$D987,AE$5)="F",AND(AE$6&gt;0,$A987&lt;AE$6),AND(AE$7&gt;0,$A987&gt;AE$7)),0,MAX(0,ROUND((INDEX($E987:$G987,AE$5)-SUMIFS(TF_Timer,TF_Tekniker,AE$4,TF_Dato,$A987))*2,0)/2)))</f>
        <v/>
      </c>
      <c r="AF987">
        <f>IF(OR(AF$4="",$A987&gt;TODAY()),0,IF(OR(INDEX($B987:$D987,AF$5)="F",AND(AF$6&gt;0,$A987&lt;AF$6),AND(AF$7&gt;0,$A987&gt;AF$7)),0,MAX(0,ROUND((INDEX($E987:$G987,AF$5)-SUMIFS(TF_Timer,TF_Tekniker,AF$4,TF_Dato,$A987))*2,0)/2)))</f>
        <v/>
      </c>
      <c r="AG987">
        <f>IF(OR(AG$4="",$A987&gt;TODAY()),0,IF(OR(INDEX($B987:$D987,AG$5)="F",AND(AG$6&gt;0,$A987&lt;AG$6),AND(AG$7&gt;0,$A987&gt;AG$7)),0,MAX(0,ROUND((INDEX($E987:$G987,AG$5)-SUMIFS(TF_Timer,TF_Tekniker,AG$4,TF_Dato,$A987))*2,0)/2)))</f>
        <v/>
      </c>
      <c r="AH987">
        <f>IF(OR(AH$4="",$A987&gt;TODAY()),0,IF(OR(INDEX($B987:$D987,AH$5)="F",AND(AH$6&gt;0,$A987&lt;AH$6),AND(AH$7&gt;0,$A987&gt;AH$7)),0,MAX(0,ROUND((INDEX($E987:$G987,AH$5)-SUMIFS(TF_Timer,TF_Tekniker,AH$4,TF_Dato,$A987))*2,0)/2)))</f>
        <v/>
      </c>
      <c r="AI987">
        <f>IF(OR(AI$4="",$A987&gt;TODAY()),0,IF(OR(INDEX($B987:$D987,AI$5)="F",AND(AI$6&gt;0,$A987&lt;AI$6),AND(AI$7&gt;0,$A987&gt;AI$7)),0,MAX(0,ROUND((INDEX($E987:$G987,AI$5)-SUMIFS(TF_Timer,TF_Tekniker,AI$4,TF_Dato,$A987))*2,0)/2)))</f>
        <v/>
      </c>
      <c r="AJ987">
        <f>IF(OR(AJ$4="",$A987&gt;TODAY()),0,IF(OR(INDEX($B987:$D987,AJ$5)="F",AND(AJ$6&gt;0,$A987&lt;AJ$6),AND(AJ$7&gt;0,$A987&gt;AJ$7)),0,MAX(0,ROUND((INDEX($E987:$G987,AJ$5)-SUMIFS(TF_Timer,TF_Tekniker,AJ$4,TF_Dato,$A987))*2,0)/2)))</f>
        <v/>
      </c>
      <c r="AK987">
        <f>IF(OR(AK$4="",$A987&gt;TODAY()),0,IF(OR(INDEX($B987:$D987,AK$5)="F",AND(AK$6&gt;0,$A987&lt;AK$6),AND(AK$7&gt;0,$A987&gt;AK$7)),0,MAX(0,ROUND((INDEX($E987:$G987,AK$5)-SUMIFS(TF_Timer,TF_Tekniker,AK$4,TF_Dato,$A987))*2,0)/2)))</f>
        <v/>
      </c>
      <c r="AL987">
        <f>IF(OR(AL$4="",$A987&gt;TODAY()),0,IF(OR(INDEX($B987:$D987,AL$5)="F",AND(AL$6&gt;0,$A987&lt;AL$6),AND(AL$7&gt;0,$A987&gt;AL$7)),0,MAX(0,ROUND((INDEX($E987:$G987,AL$5)-SUMIFS(TF_Timer,TF_Tekniker,AL$4,TF_Dato,$A987))*2,0)/2)))</f>
        <v/>
      </c>
      <c r="AM987">
        <f>IF(OR(AM$4="",$A987&gt;TODAY()),0,IF(OR(INDEX($B987:$D987,AM$5)="F",AND(AM$6&gt;0,$A987&lt;AM$6),AND(AM$7&gt;0,$A987&gt;AM$7)),0,MAX(0,ROUND((INDEX($E987:$G987,AM$5)-SUMIFS(TF_Timer,TF_Tekniker,AM$4,TF_Dato,$A987))*2,0)/2)))</f>
        <v/>
      </c>
      <c r="AN987">
        <f>IF(OR(AN$4="",$A987&gt;TODAY()),0,IF(OR(INDEX($B987:$D987,AN$5)="F",AND(AN$6&gt;0,$A987&lt;AN$6),AND(AN$7&gt;0,$A987&gt;AN$7)),0,MAX(0,ROUND((INDEX($E987:$G987,AN$5)-SUMIFS(TF_Timer,TF_Tekniker,AN$4,TF_Dato,$A987))*2,0)/2)))</f>
        <v/>
      </c>
      <c r="AO987">
        <f>IF(OR(AO$4="",$A987&gt;TODAY()),0,IF(OR(INDEX($B987:$D987,AO$5)="F",AND(AO$6&gt;0,$A987&lt;AO$6),AND(AO$7&gt;0,$A987&gt;AO$7)),0,MAX(0,ROUND((INDEX($E987:$G987,AO$5)-SUMIFS(TF_Timer,TF_Tekniker,AO$4,TF_Dato,$A987))*2,0)/2)))</f>
        <v/>
      </c>
      <c r="AP987">
        <f>IF(OR(AP$4="",$A987&gt;TODAY()),0,IF(OR(INDEX($B987:$D987,AP$5)="F",AND(AP$6&gt;0,$A987&lt;AP$6),AND(AP$7&gt;0,$A987&gt;AP$7)),0,MAX(0,ROUND((INDEX($E987:$G987,AP$5)-SUMIFS(TF_Timer,TF_Tekniker,AP$4,TF_Dato,$A987))*2,0)/2)))</f>
        <v/>
      </c>
      <c r="AQ987">
        <f>IF(OR(AQ$4="",$A987&gt;TODAY()),0,IF(OR(INDEX($B987:$D987,AQ$5)="F",AND(AQ$6&gt;0,$A987&lt;AQ$6),AND(AQ$7&gt;0,$A987&gt;AQ$7)),0,MAX(0,ROUND((INDEX($E987:$G987,AQ$5)-SUMIFS(TF_Timer,TF_Tekniker,AQ$4,TF_Dato,$A987))*2,0)/2)))</f>
        <v/>
      </c>
      <c r="AR987">
        <f>IF(OR(AR$4="",$A987&gt;TODAY()),0,IF(OR(INDEX($B987:$D987,AR$5)="F",AND(AR$6&gt;0,$A987&lt;AR$6),AND(AR$7&gt;0,$A987&gt;AR$7)),0,MAX(0,ROUND((INDEX($E987:$G987,AR$5)-SUMIFS(TF_Timer,TF_Tekniker,AR$4,TF_Dato,$A987))*2,0)/2)))</f>
        <v/>
      </c>
      <c r="AS987">
        <f>IF(OR(AS$4="",$A987&gt;TODAY()),0,IF(OR(INDEX($B987:$D987,AS$5)="F",AND(AS$6&gt;0,$A987&lt;AS$6),AND(AS$7&gt;0,$A987&gt;AS$7)),0,MAX(0,ROUND((INDEX($E987:$G987,AS$5)-SUMIFS(TF_Timer,TF_Tekniker,AS$4,TF_Dato,$A987))*2,0)/2)))</f>
        <v/>
      </c>
      <c r="AT987">
        <f>IF(OR(AT$4="",$A987&gt;TODAY()),0,IF(OR(INDEX($B987:$D987,AT$5)="F",AND(AT$6&gt;0,$A987&lt;AT$6),AND(AT$7&gt;0,$A987&gt;AT$7)),0,MAX(0,ROUND((INDEX($E987:$G987,AT$5)-SUMIFS(TF_Timer,TF_Tekniker,AT$4,TF_Dato,$A987))*2,0)/2)))</f>
        <v/>
      </c>
      <c r="AU987">
        <f>IF(OR(AU$4="",$A987&gt;TODAY()),0,IF(OR(INDEX($B987:$D987,AU$5)="F",AND(AU$6&gt;0,$A987&lt;AU$6),AND(AU$7&gt;0,$A987&gt;AU$7)),0,MAX(0,ROUND((INDEX($E987:$G987,AU$5)-SUMIFS(TF_Timer,TF_Tekniker,AU$4,TF_Dato,$A987))*2,0)/2)))</f>
        <v/>
      </c>
      <c r="AV987">
        <f>IF(OR(AV$4="",$A987&gt;TODAY()),0,IF(OR(INDEX($B987:$D987,AV$5)="F",AND(AV$6&gt;0,$A987&lt;AV$6),AND(AV$7&gt;0,$A987&gt;AV$7)),0,MAX(0,ROUND((INDEX($E987:$G987,AV$5)-SUMIFS(TF_Timer,TF_Tekniker,AV$4,TF_Dato,$A987))*2,0)/2)))</f>
        <v/>
      </c>
      <c r="AW987">
        <f>IF(OR(AW$4="",$A987&gt;TODAY()),0,IF(OR(INDEX($B987:$D987,AW$5)="F",AND(AW$6&gt;0,$A987&lt;AW$6),AND(AW$7&gt;0,$A987&gt;AW$7)),0,MAX(0,ROUND((INDEX($E987:$G987,AW$5)-SUMIFS(TF_Timer,TF_Tekniker,AW$4,TF_Dato,$A987))*2,0)/2)))</f>
        <v/>
      </c>
      <c r="AX987">
        <f>IF(OR(AX$4="",$A987&gt;TODAY()),0,IF(OR(INDEX($B987:$D987,AX$5)="F",AND(AX$6&gt;0,$A987&lt;AX$6),AND(AX$7&gt;0,$A987&gt;AX$7)),0,MAX(0,ROUND((INDEX($E987:$G987,AX$5)-SUMIFS(TF_Timer,TF_Tekniker,AX$4,TF_Dato,$A987))*2,0)/2)))</f>
        <v/>
      </c>
      <c r="AY987">
        <f>IF(OR(AY$4="",$A987&gt;TODAY()),0,IF(OR(INDEX($B987:$D987,AY$5)="F",AND(AY$6&gt;0,$A987&lt;AY$6),AND(AY$7&gt;0,$A987&gt;AY$7)),0,MAX(0,ROUND((INDEX($E987:$G987,AY$5)-SUMIFS(TF_Timer,TF_Tekniker,AY$4,TF_Dato,$A987))*2,0)/2)))</f>
        <v/>
      </c>
      <c r="AZ987">
        <f>IF(OR(AZ$4="",$A987&gt;TODAY()),0,IF(OR(INDEX($B987:$D987,AZ$5)="F",AND(AZ$6&gt;0,$A987&lt;AZ$6),AND(AZ$7&gt;0,$A987&gt;AZ$7)),0,MAX(0,ROUND((INDEX($E987:$G987,AZ$5)-SUMIFS(TF_Timer,TF_Tekniker,AZ$4,TF_Dato,$A987))*2,0)/2)))</f>
        <v/>
      </c>
      <c r="BA987">
        <f>IF(OR(BA$4="",$A987&gt;TODAY()),0,IF(OR(INDEX($B987:$D987,BA$5)="F",AND(BA$6&gt;0,$A987&lt;BA$6),AND(BA$7&gt;0,$A987&gt;BA$7)),0,MAX(0,ROUND((INDEX($E987:$G987,BA$5)-SUMIFS(TF_Timer,TF_Tekniker,BA$4,TF_Dato,$A987))*2,0)/2)))</f>
        <v/>
      </c>
      <c r="BB987">
        <f>IF(OR(BB$4="",$A987&gt;TODAY()),0,IF(OR(INDEX($B987:$D987,BB$5)="F",AND(BB$6&gt;0,$A987&lt;BB$6),AND(BB$7&gt;0,$A987&gt;BB$7)),0,MAX(0,ROUND((INDEX($E987:$G987,BB$5)-SUMIFS(TF_Timer,TF_Tekniker,BB$4,TF_Dato,$A987))*2,0)/2)))</f>
        <v/>
      </c>
      <c r="BC987">
        <f>IF(OR(BC$4="",$A987&gt;TODAY()),0,IF(OR(INDEX($B987:$D987,BC$5)="F",AND(BC$6&gt;0,$A987&lt;BC$6),AND(BC$7&gt;0,$A987&gt;BC$7)),0,MAX(0,ROUND((INDEX($E987:$G987,BC$5)-SUMIFS(TF_Timer,TF_Tekniker,BC$4,TF_Dato,$A987))*2,0)/2)))</f>
        <v/>
      </c>
      <c r="BD987">
        <f>IF(OR(BD$4="",$A987&gt;TODAY()),0,IF(OR(INDEX($B987:$D987,BD$5)="F",AND(BD$6&gt;0,$A987&lt;BD$6),AND(BD$7&gt;0,$A987&gt;BD$7)),0,MAX(0,ROUND((INDEX($E987:$G987,BD$5)-SUMIFS(TF_Timer,TF_Tekniker,BD$4,TF_Dato,$A987))*2,0)/2)))</f>
        <v/>
      </c>
      <c r="BE987">
        <f>IF(OR(BE$4="",$A987&gt;TODAY()),0,IF(OR(INDEX($B987:$D987,BE$5)="F",AND(BE$6&gt;0,$A987&lt;BE$6),AND(BE$7&gt;0,$A987&gt;BE$7)),0,MAX(0,ROUND((INDEX($E987:$G987,BE$5)-SUMIFS(TF_Timer,TF_Tekniker,BE$4,TF_Dato,$A987))*2,0)/2)))</f>
        <v/>
      </c>
      <c r="BF987">
        <f>IF(OR(BF$4="",$A987&gt;TODAY()),0,IF(OR(INDEX($B987:$D987,BF$5)="F",AND(BF$6&gt;0,$A987&lt;BF$6),AND(BF$7&gt;0,$A987&gt;BF$7)),0,MAX(0,ROUND((INDEX($E987:$G987,BF$5)-SUMIFS(TF_Timer,TF_Tekniker,BF$4,TF_Dato,$A987))*2,0)/2)))</f>
        <v/>
      </c>
      <c r="BG987">
        <f>IF(OR(BG$4="",$A987&gt;TODAY()),0,IF(OR(INDEX($B987:$D987,BG$5)="F",AND(BG$6&gt;0,$A987&lt;BG$6),AND(BG$7&gt;0,$A987&gt;BG$7)),0,MAX(0,ROUND((INDEX($E987:$G987,BG$5)-SUMIFS(TF_Timer,TF_Tekniker,BG$4,TF_Dato,$A987))*2,0)/2)))</f>
        <v/>
      </c>
      <c r="BH987">
        <f>IF(OR(BH$4="",$A987&gt;TODAY()),0,IF(OR(INDEX($B987:$D987,BH$5)="F",AND(BH$6&gt;0,$A987&lt;BH$6),AND(BH$7&gt;0,$A987&gt;BH$7)),0,MAX(0,ROUND((INDEX($E987:$G987,BH$5)-SUMIFS(TF_Timer,TF_Tekniker,BH$4,TF_Dato,$A987))*2,0)/2)))</f>
        <v/>
      </c>
      <c r="BI987">
        <f>IF(OR(BI$4="",$A987&gt;TODAY()),0,IF(OR(INDEX($B987:$D987,BI$5)="F",AND(BI$6&gt;0,$A987&lt;BI$6),AND(BI$7&gt;0,$A987&gt;BI$7)),0,MAX(0,ROUND((INDEX($E987:$G987,BI$5)-SUMIFS(TF_Timer,TF_Tekniker,BI$4,TF_Dato,$A987))*2,0)/2)))</f>
        <v/>
      </c>
    </row>
    <row r="988">
      <c r="A988" s="64">
        <f>A987+1</f>
        <v/>
      </c>
      <c r="B988">
        <f>IF(MOD($A988-INDEX(SkiftStart,1),Syklus)&lt;DagK,"K",IF(MOD($A988-INDEX(SkiftStart,1),Syklus)&lt;DagK+DagH,"H",IF(MOD($A988-INDEX(SkiftStart,1),Syklus)&lt;DagK+DagH+DagD,"D","F")))</f>
        <v/>
      </c>
      <c r="C988">
        <f>IF(MOD($A988-INDEX(SkiftStart,2),Syklus)&lt;DagK,"K",IF(MOD($A988-INDEX(SkiftStart,2),Syklus)&lt;DagK+DagH,"H",IF(MOD($A988-INDEX(SkiftStart,2),Syklus)&lt;DagK+DagH+DagD,"D","F")))</f>
        <v/>
      </c>
      <c r="D988">
        <f>IF(MOD($A988-INDEX(SkiftStart,3),Syklus)&lt;DagK,"K",IF(MOD($A988-INDEX(SkiftStart,3),Syklus)&lt;DagK+DagH,"H",IF(MOD($A988-INDEX(SkiftStart,3),Syklus)&lt;DagK+DagH+DagD,"D","F")))</f>
        <v/>
      </c>
      <c r="E988">
        <f>IF(B988="F",0,IF(WEEKDAY($A988,2)=5,INDEX(TimerFr,MATCH(B988,FaseKode,0)),INDEX(TimerMT,MATCH(B988,FaseKode,0))))</f>
        <v/>
      </c>
      <c r="F988">
        <f>IF(C988="F",0,IF(WEEKDAY($A988,2)=5,INDEX(TimerFr,MATCH(C988,FaseKode,0)),INDEX(TimerMT,MATCH(C988,FaseKode,0))))</f>
        <v/>
      </c>
      <c r="G988">
        <f>IF(D988="F",0,IF(WEEKDAY($A988,2)=5,INDEX(TimerFr,MATCH(D988,FaseKode,0)),INDEX(TimerMT,MATCH(D988,FaseKode,0))))</f>
        <v/>
      </c>
      <c r="H988">
        <f>IF(OR(H$4="",$A988&gt;TODAY()),0,IF(OR(INDEX($B988:$D988,H$5)="F",AND(H$6&gt;0,$A988&lt;H$6),AND(H$7&gt;0,$A988&gt;H$7)),0,MAX(0,ROUND((INDEX($E988:$G988,H$5)-SUMIFS(TF_Timer,TF_Tekniker,H$4,TF_Dato,$A988))*2,0)/2)))</f>
        <v/>
      </c>
      <c r="I988">
        <f>IF(OR(I$4="",$A988&gt;TODAY()),0,IF(OR(INDEX($B988:$D988,I$5)="F",AND(I$6&gt;0,$A988&lt;I$6),AND(I$7&gt;0,$A988&gt;I$7)),0,MAX(0,ROUND((INDEX($E988:$G988,I$5)-SUMIFS(TF_Timer,TF_Tekniker,I$4,TF_Dato,$A988))*2,0)/2)))</f>
        <v/>
      </c>
      <c r="J988">
        <f>IF(OR(J$4="",$A988&gt;TODAY()),0,IF(OR(INDEX($B988:$D988,J$5)="F",AND(J$6&gt;0,$A988&lt;J$6),AND(J$7&gt;0,$A988&gt;J$7)),0,MAX(0,ROUND((INDEX($E988:$G988,J$5)-SUMIFS(TF_Timer,TF_Tekniker,J$4,TF_Dato,$A988))*2,0)/2)))</f>
        <v/>
      </c>
      <c r="K988">
        <f>IF(OR(K$4="",$A988&gt;TODAY()),0,IF(OR(INDEX($B988:$D988,K$5)="F",AND(K$6&gt;0,$A988&lt;K$6),AND(K$7&gt;0,$A988&gt;K$7)),0,MAX(0,ROUND((INDEX($E988:$G988,K$5)-SUMIFS(TF_Timer,TF_Tekniker,K$4,TF_Dato,$A988))*2,0)/2)))</f>
        <v/>
      </c>
      <c r="L988">
        <f>IF(OR(L$4="",$A988&gt;TODAY()),0,IF(OR(INDEX($B988:$D988,L$5)="F",AND(L$6&gt;0,$A988&lt;L$6),AND(L$7&gt;0,$A988&gt;L$7)),0,MAX(0,ROUND((INDEX($E988:$G988,L$5)-SUMIFS(TF_Timer,TF_Tekniker,L$4,TF_Dato,$A988))*2,0)/2)))</f>
        <v/>
      </c>
      <c r="M988">
        <f>IF(OR(M$4="",$A988&gt;TODAY()),0,IF(OR(INDEX($B988:$D988,M$5)="F",AND(M$6&gt;0,$A988&lt;M$6),AND(M$7&gt;0,$A988&gt;M$7)),0,MAX(0,ROUND((INDEX($E988:$G988,M$5)-SUMIFS(TF_Timer,TF_Tekniker,M$4,TF_Dato,$A988))*2,0)/2)))</f>
        <v/>
      </c>
      <c r="N988">
        <f>IF(OR(N$4="",$A988&gt;TODAY()),0,IF(OR(INDEX($B988:$D988,N$5)="F",AND(N$6&gt;0,$A988&lt;N$6),AND(N$7&gt;0,$A988&gt;N$7)),0,MAX(0,ROUND((INDEX($E988:$G988,N$5)-SUMIFS(TF_Timer,TF_Tekniker,N$4,TF_Dato,$A988))*2,0)/2)))</f>
        <v/>
      </c>
      <c r="O988">
        <f>IF(OR(O$4="",$A988&gt;TODAY()),0,IF(OR(INDEX($B988:$D988,O$5)="F",AND(O$6&gt;0,$A988&lt;O$6),AND(O$7&gt;0,$A988&gt;O$7)),0,MAX(0,ROUND((INDEX($E988:$G988,O$5)-SUMIFS(TF_Timer,TF_Tekniker,O$4,TF_Dato,$A988))*2,0)/2)))</f>
        <v/>
      </c>
      <c r="P988">
        <f>IF(OR(P$4="",$A988&gt;TODAY()),0,IF(OR(INDEX($B988:$D988,P$5)="F",AND(P$6&gt;0,$A988&lt;P$6),AND(P$7&gt;0,$A988&gt;P$7)),0,MAX(0,ROUND((INDEX($E988:$G988,P$5)-SUMIFS(TF_Timer,TF_Tekniker,P$4,TF_Dato,$A988))*2,0)/2)))</f>
        <v/>
      </c>
      <c r="Q988">
        <f>IF(OR(Q$4="",$A988&gt;TODAY()),0,IF(OR(INDEX($B988:$D988,Q$5)="F",AND(Q$6&gt;0,$A988&lt;Q$6),AND(Q$7&gt;0,$A988&gt;Q$7)),0,MAX(0,ROUND((INDEX($E988:$G988,Q$5)-SUMIFS(TF_Timer,TF_Tekniker,Q$4,TF_Dato,$A988))*2,0)/2)))</f>
        <v/>
      </c>
      <c r="R988">
        <f>IF(OR(R$4="",$A988&gt;TODAY()),0,IF(OR(INDEX($B988:$D988,R$5)="F",AND(R$6&gt;0,$A988&lt;R$6),AND(R$7&gt;0,$A988&gt;R$7)),0,MAX(0,ROUND((INDEX($E988:$G988,R$5)-SUMIFS(TF_Timer,TF_Tekniker,R$4,TF_Dato,$A988))*2,0)/2)))</f>
        <v/>
      </c>
      <c r="S988">
        <f>IF(OR(S$4="",$A988&gt;TODAY()),0,IF(OR(INDEX($B988:$D988,S$5)="F",AND(S$6&gt;0,$A988&lt;S$6),AND(S$7&gt;0,$A988&gt;S$7)),0,MAX(0,ROUND((INDEX($E988:$G988,S$5)-SUMIFS(TF_Timer,TF_Tekniker,S$4,TF_Dato,$A988))*2,0)/2)))</f>
        <v/>
      </c>
      <c r="T988">
        <f>IF(OR(T$4="",$A988&gt;TODAY()),0,IF(OR(INDEX($B988:$D988,T$5)="F",AND(T$6&gt;0,$A988&lt;T$6),AND(T$7&gt;0,$A988&gt;T$7)),0,MAX(0,ROUND((INDEX($E988:$G988,T$5)-SUMIFS(TF_Timer,TF_Tekniker,T$4,TF_Dato,$A988))*2,0)/2)))</f>
        <v/>
      </c>
      <c r="U988">
        <f>IF(OR(U$4="",$A988&gt;TODAY()),0,IF(OR(INDEX($B988:$D988,U$5)="F",AND(U$6&gt;0,$A988&lt;U$6),AND(U$7&gt;0,$A988&gt;U$7)),0,MAX(0,ROUND((INDEX($E988:$G988,U$5)-SUMIFS(TF_Timer,TF_Tekniker,U$4,TF_Dato,$A988))*2,0)/2)))</f>
        <v/>
      </c>
      <c r="V988">
        <f>IF(OR(V$4="",$A988&gt;TODAY()),0,IF(OR(INDEX($B988:$D988,V$5)="F",AND(V$6&gt;0,$A988&lt;V$6),AND(V$7&gt;0,$A988&gt;V$7)),0,MAX(0,ROUND((INDEX($E988:$G988,V$5)-SUMIFS(TF_Timer,TF_Tekniker,V$4,TF_Dato,$A988))*2,0)/2)))</f>
        <v/>
      </c>
      <c r="W988">
        <f>IF(OR(W$4="",$A988&gt;TODAY()),0,IF(OR(INDEX($B988:$D988,W$5)="F",AND(W$6&gt;0,$A988&lt;W$6),AND(W$7&gt;0,$A988&gt;W$7)),0,MAX(0,ROUND((INDEX($E988:$G988,W$5)-SUMIFS(TF_Timer,TF_Tekniker,W$4,TF_Dato,$A988))*2,0)/2)))</f>
        <v/>
      </c>
      <c r="X988">
        <f>IF(OR(X$4="",$A988&gt;TODAY()),0,IF(OR(INDEX($B988:$D988,X$5)="F",AND(X$6&gt;0,$A988&lt;X$6),AND(X$7&gt;0,$A988&gt;X$7)),0,MAX(0,ROUND((INDEX($E988:$G988,X$5)-SUMIFS(TF_Timer,TF_Tekniker,X$4,TF_Dato,$A988))*2,0)/2)))</f>
        <v/>
      </c>
      <c r="Y988">
        <f>IF(OR(Y$4="",$A988&gt;TODAY()),0,IF(OR(INDEX($B988:$D988,Y$5)="F",AND(Y$6&gt;0,$A988&lt;Y$6),AND(Y$7&gt;0,$A988&gt;Y$7)),0,MAX(0,ROUND((INDEX($E988:$G988,Y$5)-SUMIFS(TF_Timer,TF_Tekniker,Y$4,TF_Dato,$A988))*2,0)/2)))</f>
        <v/>
      </c>
      <c r="Z988">
        <f>IF(OR(Z$4="",$A988&gt;TODAY()),0,IF(OR(INDEX($B988:$D988,Z$5)="F",AND(Z$6&gt;0,$A988&lt;Z$6),AND(Z$7&gt;0,$A988&gt;Z$7)),0,MAX(0,ROUND((INDEX($E988:$G988,Z$5)-SUMIFS(TF_Timer,TF_Tekniker,Z$4,TF_Dato,$A988))*2,0)/2)))</f>
        <v/>
      </c>
      <c r="AA988">
        <f>IF(OR(AA$4="",$A988&gt;TODAY()),0,IF(OR(INDEX($B988:$D988,AA$5)="F",AND(AA$6&gt;0,$A988&lt;AA$6),AND(AA$7&gt;0,$A988&gt;AA$7)),0,MAX(0,ROUND((INDEX($E988:$G988,AA$5)-SUMIFS(TF_Timer,TF_Tekniker,AA$4,TF_Dato,$A988))*2,0)/2)))</f>
        <v/>
      </c>
      <c r="AB988">
        <f>IF(OR(AB$4="",$A988&gt;TODAY()),0,IF(OR(INDEX($B988:$D988,AB$5)="F",AND(AB$6&gt;0,$A988&lt;AB$6),AND(AB$7&gt;0,$A988&gt;AB$7)),0,MAX(0,ROUND((INDEX($E988:$G988,AB$5)-SUMIFS(TF_Timer,TF_Tekniker,AB$4,TF_Dato,$A988))*2,0)/2)))</f>
        <v/>
      </c>
      <c r="AC988">
        <f>IF(OR(AC$4="",$A988&gt;TODAY()),0,IF(OR(INDEX($B988:$D988,AC$5)="F",AND(AC$6&gt;0,$A988&lt;AC$6),AND(AC$7&gt;0,$A988&gt;AC$7)),0,MAX(0,ROUND((INDEX($E988:$G988,AC$5)-SUMIFS(TF_Timer,TF_Tekniker,AC$4,TF_Dato,$A988))*2,0)/2)))</f>
        <v/>
      </c>
      <c r="AD988">
        <f>IF(OR(AD$4="",$A988&gt;TODAY()),0,IF(OR(INDEX($B988:$D988,AD$5)="F",AND(AD$6&gt;0,$A988&lt;AD$6),AND(AD$7&gt;0,$A988&gt;AD$7)),0,MAX(0,ROUND((INDEX($E988:$G988,AD$5)-SUMIFS(TF_Timer,TF_Tekniker,AD$4,TF_Dato,$A988))*2,0)/2)))</f>
        <v/>
      </c>
      <c r="AE988">
        <f>IF(OR(AE$4="",$A988&gt;TODAY()),0,IF(OR(INDEX($B988:$D988,AE$5)="F",AND(AE$6&gt;0,$A988&lt;AE$6),AND(AE$7&gt;0,$A988&gt;AE$7)),0,MAX(0,ROUND((INDEX($E988:$G988,AE$5)-SUMIFS(TF_Timer,TF_Tekniker,AE$4,TF_Dato,$A988))*2,0)/2)))</f>
        <v/>
      </c>
      <c r="AF988">
        <f>IF(OR(AF$4="",$A988&gt;TODAY()),0,IF(OR(INDEX($B988:$D988,AF$5)="F",AND(AF$6&gt;0,$A988&lt;AF$6),AND(AF$7&gt;0,$A988&gt;AF$7)),0,MAX(0,ROUND((INDEX($E988:$G988,AF$5)-SUMIFS(TF_Timer,TF_Tekniker,AF$4,TF_Dato,$A988))*2,0)/2)))</f>
        <v/>
      </c>
      <c r="AG988">
        <f>IF(OR(AG$4="",$A988&gt;TODAY()),0,IF(OR(INDEX($B988:$D988,AG$5)="F",AND(AG$6&gt;0,$A988&lt;AG$6),AND(AG$7&gt;0,$A988&gt;AG$7)),0,MAX(0,ROUND((INDEX($E988:$G988,AG$5)-SUMIFS(TF_Timer,TF_Tekniker,AG$4,TF_Dato,$A988))*2,0)/2)))</f>
        <v/>
      </c>
      <c r="AH988">
        <f>IF(OR(AH$4="",$A988&gt;TODAY()),0,IF(OR(INDEX($B988:$D988,AH$5)="F",AND(AH$6&gt;0,$A988&lt;AH$6),AND(AH$7&gt;0,$A988&gt;AH$7)),0,MAX(0,ROUND((INDEX($E988:$G988,AH$5)-SUMIFS(TF_Timer,TF_Tekniker,AH$4,TF_Dato,$A988))*2,0)/2)))</f>
        <v/>
      </c>
      <c r="AI988">
        <f>IF(OR(AI$4="",$A988&gt;TODAY()),0,IF(OR(INDEX($B988:$D988,AI$5)="F",AND(AI$6&gt;0,$A988&lt;AI$6),AND(AI$7&gt;0,$A988&gt;AI$7)),0,MAX(0,ROUND((INDEX($E988:$G988,AI$5)-SUMIFS(TF_Timer,TF_Tekniker,AI$4,TF_Dato,$A988))*2,0)/2)))</f>
        <v/>
      </c>
      <c r="AJ988">
        <f>IF(OR(AJ$4="",$A988&gt;TODAY()),0,IF(OR(INDEX($B988:$D988,AJ$5)="F",AND(AJ$6&gt;0,$A988&lt;AJ$6),AND(AJ$7&gt;0,$A988&gt;AJ$7)),0,MAX(0,ROUND((INDEX($E988:$G988,AJ$5)-SUMIFS(TF_Timer,TF_Tekniker,AJ$4,TF_Dato,$A988))*2,0)/2)))</f>
        <v/>
      </c>
      <c r="AK988">
        <f>IF(OR(AK$4="",$A988&gt;TODAY()),0,IF(OR(INDEX($B988:$D988,AK$5)="F",AND(AK$6&gt;0,$A988&lt;AK$6),AND(AK$7&gt;0,$A988&gt;AK$7)),0,MAX(0,ROUND((INDEX($E988:$G988,AK$5)-SUMIFS(TF_Timer,TF_Tekniker,AK$4,TF_Dato,$A988))*2,0)/2)))</f>
        <v/>
      </c>
      <c r="AL988">
        <f>IF(OR(AL$4="",$A988&gt;TODAY()),0,IF(OR(INDEX($B988:$D988,AL$5)="F",AND(AL$6&gt;0,$A988&lt;AL$6),AND(AL$7&gt;0,$A988&gt;AL$7)),0,MAX(0,ROUND((INDEX($E988:$G988,AL$5)-SUMIFS(TF_Timer,TF_Tekniker,AL$4,TF_Dato,$A988))*2,0)/2)))</f>
        <v/>
      </c>
      <c r="AM988">
        <f>IF(OR(AM$4="",$A988&gt;TODAY()),0,IF(OR(INDEX($B988:$D988,AM$5)="F",AND(AM$6&gt;0,$A988&lt;AM$6),AND(AM$7&gt;0,$A988&gt;AM$7)),0,MAX(0,ROUND((INDEX($E988:$G988,AM$5)-SUMIFS(TF_Timer,TF_Tekniker,AM$4,TF_Dato,$A988))*2,0)/2)))</f>
        <v/>
      </c>
      <c r="AN988">
        <f>IF(OR(AN$4="",$A988&gt;TODAY()),0,IF(OR(INDEX($B988:$D988,AN$5)="F",AND(AN$6&gt;0,$A988&lt;AN$6),AND(AN$7&gt;0,$A988&gt;AN$7)),0,MAX(0,ROUND((INDEX($E988:$G988,AN$5)-SUMIFS(TF_Timer,TF_Tekniker,AN$4,TF_Dato,$A988))*2,0)/2)))</f>
        <v/>
      </c>
      <c r="AO988">
        <f>IF(OR(AO$4="",$A988&gt;TODAY()),0,IF(OR(INDEX($B988:$D988,AO$5)="F",AND(AO$6&gt;0,$A988&lt;AO$6),AND(AO$7&gt;0,$A988&gt;AO$7)),0,MAX(0,ROUND((INDEX($E988:$G988,AO$5)-SUMIFS(TF_Timer,TF_Tekniker,AO$4,TF_Dato,$A988))*2,0)/2)))</f>
        <v/>
      </c>
      <c r="AP988">
        <f>IF(OR(AP$4="",$A988&gt;TODAY()),0,IF(OR(INDEX($B988:$D988,AP$5)="F",AND(AP$6&gt;0,$A988&lt;AP$6),AND(AP$7&gt;0,$A988&gt;AP$7)),0,MAX(0,ROUND((INDEX($E988:$G988,AP$5)-SUMIFS(TF_Timer,TF_Tekniker,AP$4,TF_Dato,$A988))*2,0)/2)))</f>
        <v/>
      </c>
      <c r="AQ988">
        <f>IF(OR(AQ$4="",$A988&gt;TODAY()),0,IF(OR(INDEX($B988:$D988,AQ$5)="F",AND(AQ$6&gt;0,$A988&lt;AQ$6),AND(AQ$7&gt;0,$A988&gt;AQ$7)),0,MAX(0,ROUND((INDEX($E988:$G988,AQ$5)-SUMIFS(TF_Timer,TF_Tekniker,AQ$4,TF_Dato,$A988))*2,0)/2)))</f>
        <v/>
      </c>
      <c r="AR988">
        <f>IF(OR(AR$4="",$A988&gt;TODAY()),0,IF(OR(INDEX($B988:$D988,AR$5)="F",AND(AR$6&gt;0,$A988&lt;AR$6),AND(AR$7&gt;0,$A988&gt;AR$7)),0,MAX(0,ROUND((INDEX($E988:$G988,AR$5)-SUMIFS(TF_Timer,TF_Tekniker,AR$4,TF_Dato,$A988))*2,0)/2)))</f>
        <v/>
      </c>
      <c r="AS988">
        <f>IF(OR(AS$4="",$A988&gt;TODAY()),0,IF(OR(INDEX($B988:$D988,AS$5)="F",AND(AS$6&gt;0,$A988&lt;AS$6),AND(AS$7&gt;0,$A988&gt;AS$7)),0,MAX(0,ROUND((INDEX($E988:$G988,AS$5)-SUMIFS(TF_Timer,TF_Tekniker,AS$4,TF_Dato,$A988))*2,0)/2)))</f>
        <v/>
      </c>
      <c r="AT988">
        <f>IF(OR(AT$4="",$A988&gt;TODAY()),0,IF(OR(INDEX($B988:$D988,AT$5)="F",AND(AT$6&gt;0,$A988&lt;AT$6),AND(AT$7&gt;0,$A988&gt;AT$7)),0,MAX(0,ROUND((INDEX($E988:$G988,AT$5)-SUMIFS(TF_Timer,TF_Tekniker,AT$4,TF_Dato,$A988))*2,0)/2)))</f>
        <v/>
      </c>
      <c r="AU988">
        <f>IF(OR(AU$4="",$A988&gt;TODAY()),0,IF(OR(INDEX($B988:$D988,AU$5)="F",AND(AU$6&gt;0,$A988&lt;AU$6),AND(AU$7&gt;0,$A988&gt;AU$7)),0,MAX(0,ROUND((INDEX($E988:$G988,AU$5)-SUMIFS(TF_Timer,TF_Tekniker,AU$4,TF_Dato,$A988))*2,0)/2)))</f>
        <v/>
      </c>
      <c r="AV988">
        <f>IF(OR(AV$4="",$A988&gt;TODAY()),0,IF(OR(INDEX($B988:$D988,AV$5)="F",AND(AV$6&gt;0,$A988&lt;AV$6),AND(AV$7&gt;0,$A988&gt;AV$7)),0,MAX(0,ROUND((INDEX($E988:$G988,AV$5)-SUMIFS(TF_Timer,TF_Tekniker,AV$4,TF_Dato,$A988))*2,0)/2)))</f>
        <v/>
      </c>
      <c r="AW988">
        <f>IF(OR(AW$4="",$A988&gt;TODAY()),0,IF(OR(INDEX($B988:$D988,AW$5)="F",AND(AW$6&gt;0,$A988&lt;AW$6),AND(AW$7&gt;0,$A988&gt;AW$7)),0,MAX(0,ROUND((INDEX($E988:$G988,AW$5)-SUMIFS(TF_Timer,TF_Tekniker,AW$4,TF_Dato,$A988))*2,0)/2)))</f>
        <v/>
      </c>
      <c r="AX988">
        <f>IF(OR(AX$4="",$A988&gt;TODAY()),0,IF(OR(INDEX($B988:$D988,AX$5)="F",AND(AX$6&gt;0,$A988&lt;AX$6),AND(AX$7&gt;0,$A988&gt;AX$7)),0,MAX(0,ROUND((INDEX($E988:$G988,AX$5)-SUMIFS(TF_Timer,TF_Tekniker,AX$4,TF_Dato,$A988))*2,0)/2)))</f>
        <v/>
      </c>
      <c r="AY988">
        <f>IF(OR(AY$4="",$A988&gt;TODAY()),0,IF(OR(INDEX($B988:$D988,AY$5)="F",AND(AY$6&gt;0,$A988&lt;AY$6),AND(AY$7&gt;0,$A988&gt;AY$7)),0,MAX(0,ROUND((INDEX($E988:$G988,AY$5)-SUMIFS(TF_Timer,TF_Tekniker,AY$4,TF_Dato,$A988))*2,0)/2)))</f>
        <v/>
      </c>
      <c r="AZ988">
        <f>IF(OR(AZ$4="",$A988&gt;TODAY()),0,IF(OR(INDEX($B988:$D988,AZ$5)="F",AND(AZ$6&gt;0,$A988&lt;AZ$6),AND(AZ$7&gt;0,$A988&gt;AZ$7)),0,MAX(0,ROUND((INDEX($E988:$G988,AZ$5)-SUMIFS(TF_Timer,TF_Tekniker,AZ$4,TF_Dato,$A988))*2,0)/2)))</f>
        <v/>
      </c>
      <c r="BA988">
        <f>IF(OR(BA$4="",$A988&gt;TODAY()),0,IF(OR(INDEX($B988:$D988,BA$5)="F",AND(BA$6&gt;0,$A988&lt;BA$6),AND(BA$7&gt;0,$A988&gt;BA$7)),0,MAX(0,ROUND((INDEX($E988:$G988,BA$5)-SUMIFS(TF_Timer,TF_Tekniker,BA$4,TF_Dato,$A988))*2,0)/2)))</f>
        <v/>
      </c>
      <c r="BB988">
        <f>IF(OR(BB$4="",$A988&gt;TODAY()),0,IF(OR(INDEX($B988:$D988,BB$5)="F",AND(BB$6&gt;0,$A988&lt;BB$6),AND(BB$7&gt;0,$A988&gt;BB$7)),0,MAX(0,ROUND((INDEX($E988:$G988,BB$5)-SUMIFS(TF_Timer,TF_Tekniker,BB$4,TF_Dato,$A988))*2,0)/2)))</f>
        <v/>
      </c>
      <c r="BC988">
        <f>IF(OR(BC$4="",$A988&gt;TODAY()),0,IF(OR(INDEX($B988:$D988,BC$5)="F",AND(BC$6&gt;0,$A988&lt;BC$6),AND(BC$7&gt;0,$A988&gt;BC$7)),0,MAX(0,ROUND((INDEX($E988:$G988,BC$5)-SUMIFS(TF_Timer,TF_Tekniker,BC$4,TF_Dato,$A988))*2,0)/2)))</f>
        <v/>
      </c>
      <c r="BD988">
        <f>IF(OR(BD$4="",$A988&gt;TODAY()),0,IF(OR(INDEX($B988:$D988,BD$5)="F",AND(BD$6&gt;0,$A988&lt;BD$6),AND(BD$7&gt;0,$A988&gt;BD$7)),0,MAX(0,ROUND((INDEX($E988:$G988,BD$5)-SUMIFS(TF_Timer,TF_Tekniker,BD$4,TF_Dato,$A988))*2,0)/2)))</f>
        <v/>
      </c>
      <c r="BE988">
        <f>IF(OR(BE$4="",$A988&gt;TODAY()),0,IF(OR(INDEX($B988:$D988,BE$5)="F",AND(BE$6&gt;0,$A988&lt;BE$6),AND(BE$7&gt;0,$A988&gt;BE$7)),0,MAX(0,ROUND((INDEX($E988:$G988,BE$5)-SUMIFS(TF_Timer,TF_Tekniker,BE$4,TF_Dato,$A988))*2,0)/2)))</f>
        <v/>
      </c>
      <c r="BF988">
        <f>IF(OR(BF$4="",$A988&gt;TODAY()),0,IF(OR(INDEX($B988:$D988,BF$5)="F",AND(BF$6&gt;0,$A988&lt;BF$6),AND(BF$7&gt;0,$A988&gt;BF$7)),0,MAX(0,ROUND((INDEX($E988:$G988,BF$5)-SUMIFS(TF_Timer,TF_Tekniker,BF$4,TF_Dato,$A988))*2,0)/2)))</f>
        <v/>
      </c>
      <c r="BG988">
        <f>IF(OR(BG$4="",$A988&gt;TODAY()),0,IF(OR(INDEX($B988:$D988,BG$5)="F",AND(BG$6&gt;0,$A988&lt;BG$6),AND(BG$7&gt;0,$A988&gt;BG$7)),0,MAX(0,ROUND((INDEX($E988:$G988,BG$5)-SUMIFS(TF_Timer,TF_Tekniker,BG$4,TF_Dato,$A988))*2,0)/2)))</f>
        <v/>
      </c>
      <c r="BH988">
        <f>IF(OR(BH$4="",$A988&gt;TODAY()),0,IF(OR(INDEX($B988:$D988,BH$5)="F",AND(BH$6&gt;0,$A988&lt;BH$6),AND(BH$7&gt;0,$A988&gt;BH$7)),0,MAX(0,ROUND((INDEX($E988:$G988,BH$5)-SUMIFS(TF_Timer,TF_Tekniker,BH$4,TF_Dato,$A988))*2,0)/2)))</f>
        <v/>
      </c>
      <c r="BI988">
        <f>IF(OR(BI$4="",$A988&gt;TODAY()),0,IF(OR(INDEX($B988:$D988,BI$5)="F",AND(BI$6&gt;0,$A988&lt;BI$6),AND(BI$7&gt;0,$A988&gt;BI$7)),0,MAX(0,ROUND((INDEX($E988:$G988,BI$5)-SUMIFS(TF_Timer,TF_Tekniker,BI$4,TF_Dato,$A988))*2,0)/2)))</f>
        <v/>
      </c>
    </row>
    <row r="989">
      <c r="A989" s="64">
        <f>A988+1</f>
        <v/>
      </c>
      <c r="B989">
        <f>IF(MOD($A989-INDEX(SkiftStart,1),Syklus)&lt;DagK,"K",IF(MOD($A989-INDEX(SkiftStart,1),Syklus)&lt;DagK+DagH,"H",IF(MOD($A989-INDEX(SkiftStart,1),Syklus)&lt;DagK+DagH+DagD,"D","F")))</f>
        <v/>
      </c>
      <c r="C989">
        <f>IF(MOD($A989-INDEX(SkiftStart,2),Syklus)&lt;DagK,"K",IF(MOD($A989-INDEX(SkiftStart,2),Syklus)&lt;DagK+DagH,"H",IF(MOD($A989-INDEX(SkiftStart,2),Syklus)&lt;DagK+DagH+DagD,"D","F")))</f>
        <v/>
      </c>
      <c r="D989">
        <f>IF(MOD($A989-INDEX(SkiftStart,3),Syklus)&lt;DagK,"K",IF(MOD($A989-INDEX(SkiftStart,3),Syklus)&lt;DagK+DagH,"H",IF(MOD($A989-INDEX(SkiftStart,3),Syklus)&lt;DagK+DagH+DagD,"D","F")))</f>
        <v/>
      </c>
      <c r="E989">
        <f>IF(B989="F",0,IF(WEEKDAY($A989,2)=5,INDEX(TimerFr,MATCH(B989,FaseKode,0)),INDEX(TimerMT,MATCH(B989,FaseKode,0))))</f>
        <v/>
      </c>
      <c r="F989">
        <f>IF(C989="F",0,IF(WEEKDAY($A989,2)=5,INDEX(TimerFr,MATCH(C989,FaseKode,0)),INDEX(TimerMT,MATCH(C989,FaseKode,0))))</f>
        <v/>
      </c>
      <c r="G989">
        <f>IF(D989="F",0,IF(WEEKDAY($A989,2)=5,INDEX(TimerFr,MATCH(D989,FaseKode,0)),INDEX(TimerMT,MATCH(D989,FaseKode,0))))</f>
        <v/>
      </c>
      <c r="H989">
        <f>IF(OR(H$4="",$A989&gt;TODAY()),0,IF(OR(INDEX($B989:$D989,H$5)="F",AND(H$6&gt;0,$A989&lt;H$6),AND(H$7&gt;0,$A989&gt;H$7)),0,MAX(0,ROUND((INDEX($E989:$G989,H$5)-SUMIFS(TF_Timer,TF_Tekniker,H$4,TF_Dato,$A989))*2,0)/2)))</f>
        <v/>
      </c>
      <c r="I989">
        <f>IF(OR(I$4="",$A989&gt;TODAY()),0,IF(OR(INDEX($B989:$D989,I$5)="F",AND(I$6&gt;0,$A989&lt;I$6),AND(I$7&gt;0,$A989&gt;I$7)),0,MAX(0,ROUND((INDEX($E989:$G989,I$5)-SUMIFS(TF_Timer,TF_Tekniker,I$4,TF_Dato,$A989))*2,0)/2)))</f>
        <v/>
      </c>
      <c r="J989">
        <f>IF(OR(J$4="",$A989&gt;TODAY()),0,IF(OR(INDEX($B989:$D989,J$5)="F",AND(J$6&gt;0,$A989&lt;J$6),AND(J$7&gt;0,$A989&gt;J$7)),0,MAX(0,ROUND((INDEX($E989:$G989,J$5)-SUMIFS(TF_Timer,TF_Tekniker,J$4,TF_Dato,$A989))*2,0)/2)))</f>
        <v/>
      </c>
      <c r="K989">
        <f>IF(OR(K$4="",$A989&gt;TODAY()),0,IF(OR(INDEX($B989:$D989,K$5)="F",AND(K$6&gt;0,$A989&lt;K$6),AND(K$7&gt;0,$A989&gt;K$7)),0,MAX(0,ROUND((INDEX($E989:$G989,K$5)-SUMIFS(TF_Timer,TF_Tekniker,K$4,TF_Dato,$A989))*2,0)/2)))</f>
        <v/>
      </c>
      <c r="L989">
        <f>IF(OR(L$4="",$A989&gt;TODAY()),0,IF(OR(INDEX($B989:$D989,L$5)="F",AND(L$6&gt;0,$A989&lt;L$6),AND(L$7&gt;0,$A989&gt;L$7)),0,MAX(0,ROUND((INDEX($E989:$G989,L$5)-SUMIFS(TF_Timer,TF_Tekniker,L$4,TF_Dato,$A989))*2,0)/2)))</f>
        <v/>
      </c>
      <c r="M989">
        <f>IF(OR(M$4="",$A989&gt;TODAY()),0,IF(OR(INDEX($B989:$D989,M$5)="F",AND(M$6&gt;0,$A989&lt;M$6),AND(M$7&gt;0,$A989&gt;M$7)),0,MAX(0,ROUND((INDEX($E989:$G989,M$5)-SUMIFS(TF_Timer,TF_Tekniker,M$4,TF_Dato,$A989))*2,0)/2)))</f>
        <v/>
      </c>
      <c r="N989">
        <f>IF(OR(N$4="",$A989&gt;TODAY()),0,IF(OR(INDEX($B989:$D989,N$5)="F",AND(N$6&gt;0,$A989&lt;N$6),AND(N$7&gt;0,$A989&gt;N$7)),0,MAX(0,ROUND((INDEX($E989:$G989,N$5)-SUMIFS(TF_Timer,TF_Tekniker,N$4,TF_Dato,$A989))*2,0)/2)))</f>
        <v/>
      </c>
      <c r="O989">
        <f>IF(OR(O$4="",$A989&gt;TODAY()),0,IF(OR(INDEX($B989:$D989,O$5)="F",AND(O$6&gt;0,$A989&lt;O$6),AND(O$7&gt;0,$A989&gt;O$7)),0,MAX(0,ROUND((INDEX($E989:$G989,O$5)-SUMIFS(TF_Timer,TF_Tekniker,O$4,TF_Dato,$A989))*2,0)/2)))</f>
        <v/>
      </c>
      <c r="P989">
        <f>IF(OR(P$4="",$A989&gt;TODAY()),0,IF(OR(INDEX($B989:$D989,P$5)="F",AND(P$6&gt;0,$A989&lt;P$6),AND(P$7&gt;0,$A989&gt;P$7)),0,MAX(0,ROUND((INDEX($E989:$G989,P$5)-SUMIFS(TF_Timer,TF_Tekniker,P$4,TF_Dato,$A989))*2,0)/2)))</f>
        <v/>
      </c>
      <c r="Q989">
        <f>IF(OR(Q$4="",$A989&gt;TODAY()),0,IF(OR(INDEX($B989:$D989,Q$5)="F",AND(Q$6&gt;0,$A989&lt;Q$6),AND(Q$7&gt;0,$A989&gt;Q$7)),0,MAX(0,ROUND((INDEX($E989:$G989,Q$5)-SUMIFS(TF_Timer,TF_Tekniker,Q$4,TF_Dato,$A989))*2,0)/2)))</f>
        <v/>
      </c>
      <c r="R989">
        <f>IF(OR(R$4="",$A989&gt;TODAY()),0,IF(OR(INDEX($B989:$D989,R$5)="F",AND(R$6&gt;0,$A989&lt;R$6),AND(R$7&gt;0,$A989&gt;R$7)),0,MAX(0,ROUND((INDEX($E989:$G989,R$5)-SUMIFS(TF_Timer,TF_Tekniker,R$4,TF_Dato,$A989))*2,0)/2)))</f>
        <v/>
      </c>
      <c r="S989">
        <f>IF(OR(S$4="",$A989&gt;TODAY()),0,IF(OR(INDEX($B989:$D989,S$5)="F",AND(S$6&gt;0,$A989&lt;S$6),AND(S$7&gt;0,$A989&gt;S$7)),0,MAX(0,ROUND((INDEX($E989:$G989,S$5)-SUMIFS(TF_Timer,TF_Tekniker,S$4,TF_Dato,$A989))*2,0)/2)))</f>
        <v/>
      </c>
      <c r="T989">
        <f>IF(OR(T$4="",$A989&gt;TODAY()),0,IF(OR(INDEX($B989:$D989,T$5)="F",AND(T$6&gt;0,$A989&lt;T$6),AND(T$7&gt;0,$A989&gt;T$7)),0,MAX(0,ROUND((INDEX($E989:$G989,T$5)-SUMIFS(TF_Timer,TF_Tekniker,T$4,TF_Dato,$A989))*2,0)/2)))</f>
        <v/>
      </c>
      <c r="U989">
        <f>IF(OR(U$4="",$A989&gt;TODAY()),0,IF(OR(INDEX($B989:$D989,U$5)="F",AND(U$6&gt;0,$A989&lt;U$6),AND(U$7&gt;0,$A989&gt;U$7)),0,MAX(0,ROUND((INDEX($E989:$G989,U$5)-SUMIFS(TF_Timer,TF_Tekniker,U$4,TF_Dato,$A989))*2,0)/2)))</f>
        <v/>
      </c>
      <c r="V989">
        <f>IF(OR(V$4="",$A989&gt;TODAY()),0,IF(OR(INDEX($B989:$D989,V$5)="F",AND(V$6&gt;0,$A989&lt;V$6),AND(V$7&gt;0,$A989&gt;V$7)),0,MAX(0,ROUND((INDEX($E989:$G989,V$5)-SUMIFS(TF_Timer,TF_Tekniker,V$4,TF_Dato,$A989))*2,0)/2)))</f>
        <v/>
      </c>
      <c r="W989">
        <f>IF(OR(W$4="",$A989&gt;TODAY()),0,IF(OR(INDEX($B989:$D989,W$5)="F",AND(W$6&gt;0,$A989&lt;W$6),AND(W$7&gt;0,$A989&gt;W$7)),0,MAX(0,ROUND((INDEX($E989:$G989,W$5)-SUMIFS(TF_Timer,TF_Tekniker,W$4,TF_Dato,$A989))*2,0)/2)))</f>
        <v/>
      </c>
      <c r="X989">
        <f>IF(OR(X$4="",$A989&gt;TODAY()),0,IF(OR(INDEX($B989:$D989,X$5)="F",AND(X$6&gt;0,$A989&lt;X$6),AND(X$7&gt;0,$A989&gt;X$7)),0,MAX(0,ROUND((INDEX($E989:$G989,X$5)-SUMIFS(TF_Timer,TF_Tekniker,X$4,TF_Dato,$A989))*2,0)/2)))</f>
        <v/>
      </c>
      <c r="Y989">
        <f>IF(OR(Y$4="",$A989&gt;TODAY()),0,IF(OR(INDEX($B989:$D989,Y$5)="F",AND(Y$6&gt;0,$A989&lt;Y$6),AND(Y$7&gt;0,$A989&gt;Y$7)),0,MAX(0,ROUND((INDEX($E989:$G989,Y$5)-SUMIFS(TF_Timer,TF_Tekniker,Y$4,TF_Dato,$A989))*2,0)/2)))</f>
        <v/>
      </c>
      <c r="Z989">
        <f>IF(OR(Z$4="",$A989&gt;TODAY()),0,IF(OR(INDEX($B989:$D989,Z$5)="F",AND(Z$6&gt;0,$A989&lt;Z$6),AND(Z$7&gt;0,$A989&gt;Z$7)),0,MAX(0,ROUND((INDEX($E989:$G989,Z$5)-SUMIFS(TF_Timer,TF_Tekniker,Z$4,TF_Dato,$A989))*2,0)/2)))</f>
        <v/>
      </c>
      <c r="AA989">
        <f>IF(OR(AA$4="",$A989&gt;TODAY()),0,IF(OR(INDEX($B989:$D989,AA$5)="F",AND(AA$6&gt;0,$A989&lt;AA$6),AND(AA$7&gt;0,$A989&gt;AA$7)),0,MAX(0,ROUND((INDEX($E989:$G989,AA$5)-SUMIFS(TF_Timer,TF_Tekniker,AA$4,TF_Dato,$A989))*2,0)/2)))</f>
        <v/>
      </c>
      <c r="AB989">
        <f>IF(OR(AB$4="",$A989&gt;TODAY()),0,IF(OR(INDEX($B989:$D989,AB$5)="F",AND(AB$6&gt;0,$A989&lt;AB$6),AND(AB$7&gt;0,$A989&gt;AB$7)),0,MAX(0,ROUND((INDEX($E989:$G989,AB$5)-SUMIFS(TF_Timer,TF_Tekniker,AB$4,TF_Dato,$A989))*2,0)/2)))</f>
        <v/>
      </c>
      <c r="AC989">
        <f>IF(OR(AC$4="",$A989&gt;TODAY()),0,IF(OR(INDEX($B989:$D989,AC$5)="F",AND(AC$6&gt;0,$A989&lt;AC$6),AND(AC$7&gt;0,$A989&gt;AC$7)),0,MAX(0,ROUND((INDEX($E989:$G989,AC$5)-SUMIFS(TF_Timer,TF_Tekniker,AC$4,TF_Dato,$A989))*2,0)/2)))</f>
        <v/>
      </c>
      <c r="AD989">
        <f>IF(OR(AD$4="",$A989&gt;TODAY()),0,IF(OR(INDEX($B989:$D989,AD$5)="F",AND(AD$6&gt;0,$A989&lt;AD$6),AND(AD$7&gt;0,$A989&gt;AD$7)),0,MAX(0,ROUND((INDEX($E989:$G989,AD$5)-SUMIFS(TF_Timer,TF_Tekniker,AD$4,TF_Dato,$A989))*2,0)/2)))</f>
        <v/>
      </c>
      <c r="AE989">
        <f>IF(OR(AE$4="",$A989&gt;TODAY()),0,IF(OR(INDEX($B989:$D989,AE$5)="F",AND(AE$6&gt;0,$A989&lt;AE$6),AND(AE$7&gt;0,$A989&gt;AE$7)),0,MAX(0,ROUND((INDEX($E989:$G989,AE$5)-SUMIFS(TF_Timer,TF_Tekniker,AE$4,TF_Dato,$A989))*2,0)/2)))</f>
        <v/>
      </c>
      <c r="AF989">
        <f>IF(OR(AF$4="",$A989&gt;TODAY()),0,IF(OR(INDEX($B989:$D989,AF$5)="F",AND(AF$6&gt;0,$A989&lt;AF$6),AND(AF$7&gt;0,$A989&gt;AF$7)),0,MAX(0,ROUND((INDEX($E989:$G989,AF$5)-SUMIFS(TF_Timer,TF_Tekniker,AF$4,TF_Dato,$A989))*2,0)/2)))</f>
        <v/>
      </c>
      <c r="AG989">
        <f>IF(OR(AG$4="",$A989&gt;TODAY()),0,IF(OR(INDEX($B989:$D989,AG$5)="F",AND(AG$6&gt;0,$A989&lt;AG$6),AND(AG$7&gt;0,$A989&gt;AG$7)),0,MAX(0,ROUND((INDEX($E989:$G989,AG$5)-SUMIFS(TF_Timer,TF_Tekniker,AG$4,TF_Dato,$A989))*2,0)/2)))</f>
        <v/>
      </c>
      <c r="AH989">
        <f>IF(OR(AH$4="",$A989&gt;TODAY()),0,IF(OR(INDEX($B989:$D989,AH$5)="F",AND(AH$6&gt;0,$A989&lt;AH$6),AND(AH$7&gt;0,$A989&gt;AH$7)),0,MAX(0,ROUND((INDEX($E989:$G989,AH$5)-SUMIFS(TF_Timer,TF_Tekniker,AH$4,TF_Dato,$A989))*2,0)/2)))</f>
        <v/>
      </c>
      <c r="AI989">
        <f>IF(OR(AI$4="",$A989&gt;TODAY()),0,IF(OR(INDEX($B989:$D989,AI$5)="F",AND(AI$6&gt;0,$A989&lt;AI$6),AND(AI$7&gt;0,$A989&gt;AI$7)),0,MAX(0,ROUND((INDEX($E989:$G989,AI$5)-SUMIFS(TF_Timer,TF_Tekniker,AI$4,TF_Dato,$A989))*2,0)/2)))</f>
        <v/>
      </c>
      <c r="AJ989">
        <f>IF(OR(AJ$4="",$A989&gt;TODAY()),0,IF(OR(INDEX($B989:$D989,AJ$5)="F",AND(AJ$6&gt;0,$A989&lt;AJ$6),AND(AJ$7&gt;0,$A989&gt;AJ$7)),0,MAX(0,ROUND((INDEX($E989:$G989,AJ$5)-SUMIFS(TF_Timer,TF_Tekniker,AJ$4,TF_Dato,$A989))*2,0)/2)))</f>
        <v/>
      </c>
      <c r="AK989">
        <f>IF(OR(AK$4="",$A989&gt;TODAY()),0,IF(OR(INDEX($B989:$D989,AK$5)="F",AND(AK$6&gt;0,$A989&lt;AK$6),AND(AK$7&gt;0,$A989&gt;AK$7)),0,MAX(0,ROUND((INDEX($E989:$G989,AK$5)-SUMIFS(TF_Timer,TF_Tekniker,AK$4,TF_Dato,$A989))*2,0)/2)))</f>
        <v/>
      </c>
      <c r="AL989">
        <f>IF(OR(AL$4="",$A989&gt;TODAY()),0,IF(OR(INDEX($B989:$D989,AL$5)="F",AND(AL$6&gt;0,$A989&lt;AL$6),AND(AL$7&gt;0,$A989&gt;AL$7)),0,MAX(0,ROUND((INDEX($E989:$G989,AL$5)-SUMIFS(TF_Timer,TF_Tekniker,AL$4,TF_Dato,$A989))*2,0)/2)))</f>
        <v/>
      </c>
      <c r="AM989">
        <f>IF(OR(AM$4="",$A989&gt;TODAY()),0,IF(OR(INDEX($B989:$D989,AM$5)="F",AND(AM$6&gt;0,$A989&lt;AM$6),AND(AM$7&gt;0,$A989&gt;AM$7)),0,MAX(0,ROUND((INDEX($E989:$G989,AM$5)-SUMIFS(TF_Timer,TF_Tekniker,AM$4,TF_Dato,$A989))*2,0)/2)))</f>
        <v/>
      </c>
      <c r="AN989">
        <f>IF(OR(AN$4="",$A989&gt;TODAY()),0,IF(OR(INDEX($B989:$D989,AN$5)="F",AND(AN$6&gt;0,$A989&lt;AN$6),AND(AN$7&gt;0,$A989&gt;AN$7)),0,MAX(0,ROUND((INDEX($E989:$G989,AN$5)-SUMIFS(TF_Timer,TF_Tekniker,AN$4,TF_Dato,$A989))*2,0)/2)))</f>
        <v/>
      </c>
      <c r="AO989">
        <f>IF(OR(AO$4="",$A989&gt;TODAY()),0,IF(OR(INDEX($B989:$D989,AO$5)="F",AND(AO$6&gt;0,$A989&lt;AO$6),AND(AO$7&gt;0,$A989&gt;AO$7)),0,MAX(0,ROUND((INDEX($E989:$G989,AO$5)-SUMIFS(TF_Timer,TF_Tekniker,AO$4,TF_Dato,$A989))*2,0)/2)))</f>
        <v/>
      </c>
      <c r="AP989">
        <f>IF(OR(AP$4="",$A989&gt;TODAY()),0,IF(OR(INDEX($B989:$D989,AP$5)="F",AND(AP$6&gt;0,$A989&lt;AP$6),AND(AP$7&gt;0,$A989&gt;AP$7)),0,MAX(0,ROUND((INDEX($E989:$G989,AP$5)-SUMIFS(TF_Timer,TF_Tekniker,AP$4,TF_Dato,$A989))*2,0)/2)))</f>
        <v/>
      </c>
      <c r="AQ989">
        <f>IF(OR(AQ$4="",$A989&gt;TODAY()),0,IF(OR(INDEX($B989:$D989,AQ$5)="F",AND(AQ$6&gt;0,$A989&lt;AQ$6),AND(AQ$7&gt;0,$A989&gt;AQ$7)),0,MAX(0,ROUND((INDEX($E989:$G989,AQ$5)-SUMIFS(TF_Timer,TF_Tekniker,AQ$4,TF_Dato,$A989))*2,0)/2)))</f>
        <v/>
      </c>
      <c r="AR989">
        <f>IF(OR(AR$4="",$A989&gt;TODAY()),0,IF(OR(INDEX($B989:$D989,AR$5)="F",AND(AR$6&gt;0,$A989&lt;AR$6),AND(AR$7&gt;0,$A989&gt;AR$7)),0,MAX(0,ROUND((INDEX($E989:$G989,AR$5)-SUMIFS(TF_Timer,TF_Tekniker,AR$4,TF_Dato,$A989))*2,0)/2)))</f>
        <v/>
      </c>
      <c r="AS989">
        <f>IF(OR(AS$4="",$A989&gt;TODAY()),0,IF(OR(INDEX($B989:$D989,AS$5)="F",AND(AS$6&gt;0,$A989&lt;AS$6),AND(AS$7&gt;0,$A989&gt;AS$7)),0,MAX(0,ROUND((INDEX($E989:$G989,AS$5)-SUMIFS(TF_Timer,TF_Tekniker,AS$4,TF_Dato,$A989))*2,0)/2)))</f>
        <v/>
      </c>
      <c r="AT989">
        <f>IF(OR(AT$4="",$A989&gt;TODAY()),0,IF(OR(INDEX($B989:$D989,AT$5)="F",AND(AT$6&gt;0,$A989&lt;AT$6),AND(AT$7&gt;0,$A989&gt;AT$7)),0,MAX(0,ROUND((INDEX($E989:$G989,AT$5)-SUMIFS(TF_Timer,TF_Tekniker,AT$4,TF_Dato,$A989))*2,0)/2)))</f>
        <v/>
      </c>
      <c r="AU989">
        <f>IF(OR(AU$4="",$A989&gt;TODAY()),0,IF(OR(INDEX($B989:$D989,AU$5)="F",AND(AU$6&gt;0,$A989&lt;AU$6),AND(AU$7&gt;0,$A989&gt;AU$7)),0,MAX(0,ROUND((INDEX($E989:$G989,AU$5)-SUMIFS(TF_Timer,TF_Tekniker,AU$4,TF_Dato,$A989))*2,0)/2)))</f>
        <v/>
      </c>
      <c r="AV989">
        <f>IF(OR(AV$4="",$A989&gt;TODAY()),0,IF(OR(INDEX($B989:$D989,AV$5)="F",AND(AV$6&gt;0,$A989&lt;AV$6),AND(AV$7&gt;0,$A989&gt;AV$7)),0,MAX(0,ROUND((INDEX($E989:$G989,AV$5)-SUMIFS(TF_Timer,TF_Tekniker,AV$4,TF_Dato,$A989))*2,0)/2)))</f>
        <v/>
      </c>
      <c r="AW989">
        <f>IF(OR(AW$4="",$A989&gt;TODAY()),0,IF(OR(INDEX($B989:$D989,AW$5)="F",AND(AW$6&gt;0,$A989&lt;AW$6),AND(AW$7&gt;0,$A989&gt;AW$7)),0,MAX(0,ROUND((INDEX($E989:$G989,AW$5)-SUMIFS(TF_Timer,TF_Tekniker,AW$4,TF_Dato,$A989))*2,0)/2)))</f>
        <v/>
      </c>
      <c r="AX989">
        <f>IF(OR(AX$4="",$A989&gt;TODAY()),0,IF(OR(INDEX($B989:$D989,AX$5)="F",AND(AX$6&gt;0,$A989&lt;AX$6),AND(AX$7&gt;0,$A989&gt;AX$7)),0,MAX(0,ROUND((INDEX($E989:$G989,AX$5)-SUMIFS(TF_Timer,TF_Tekniker,AX$4,TF_Dato,$A989))*2,0)/2)))</f>
        <v/>
      </c>
      <c r="AY989">
        <f>IF(OR(AY$4="",$A989&gt;TODAY()),0,IF(OR(INDEX($B989:$D989,AY$5)="F",AND(AY$6&gt;0,$A989&lt;AY$6),AND(AY$7&gt;0,$A989&gt;AY$7)),0,MAX(0,ROUND((INDEX($E989:$G989,AY$5)-SUMIFS(TF_Timer,TF_Tekniker,AY$4,TF_Dato,$A989))*2,0)/2)))</f>
        <v/>
      </c>
      <c r="AZ989">
        <f>IF(OR(AZ$4="",$A989&gt;TODAY()),0,IF(OR(INDEX($B989:$D989,AZ$5)="F",AND(AZ$6&gt;0,$A989&lt;AZ$6),AND(AZ$7&gt;0,$A989&gt;AZ$7)),0,MAX(0,ROUND((INDEX($E989:$G989,AZ$5)-SUMIFS(TF_Timer,TF_Tekniker,AZ$4,TF_Dato,$A989))*2,0)/2)))</f>
        <v/>
      </c>
      <c r="BA989">
        <f>IF(OR(BA$4="",$A989&gt;TODAY()),0,IF(OR(INDEX($B989:$D989,BA$5)="F",AND(BA$6&gt;0,$A989&lt;BA$6),AND(BA$7&gt;0,$A989&gt;BA$7)),0,MAX(0,ROUND((INDEX($E989:$G989,BA$5)-SUMIFS(TF_Timer,TF_Tekniker,BA$4,TF_Dato,$A989))*2,0)/2)))</f>
        <v/>
      </c>
      <c r="BB989">
        <f>IF(OR(BB$4="",$A989&gt;TODAY()),0,IF(OR(INDEX($B989:$D989,BB$5)="F",AND(BB$6&gt;0,$A989&lt;BB$6),AND(BB$7&gt;0,$A989&gt;BB$7)),0,MAX(0,ROUND((INDEX($E989:$G989,BB$5)-SUMIFS(TF_Timer,TF_Tekniker,BB$4,TF_Dato,$A989))*2,0)/2)))</f>
        <v/>
      </c>
      <c r="BC989">
        <f>IF(OR(BC$4="",$A989&gt;TODAY()),0,IF(OR(INDEX($B989:$D989,BC$5)="F",AND(BC$6&gt;0,$A989&lt;BC$6),AND(BC$7&gt;0,$A989&gt;BC$7)),0,MAX(0,ROUND((INDEX($E989:$G989,BC$5)-SUMIFS(TF_Timer,TF_Tekniker,BC$4,TF_Dato,$A989))*2,0)/2)))</f>
        <v/>
      </c>
      <c r="BD989">
        <f>IF(OR(BD$4="",$A989&gt;TODAY()),0,IF(OR(INDEX($B989:$D989,BD$5)="F",AND(BD$6&gt;0,$A989&lt;BD$6),AND(BD$7&gt;0,$A989&gt;BD$7)),0,MAX(0,ROUND((INDEX($E989:$G989,BD$5)-SUMIFS(TF_Timer,TF_Tekniker,BD$4,TF_Dato,$A989))*2,0)/2)))</f>
        <v/>
      </c>
      <c r="BE989">
        <f>IF(OR(BE$4="",$A989&gt;TODAY()),0,IF(OR(INDEX($B989:$D989,BE$5)="F",AND(BE$6&gt;0,$A989&lt;BE$6),AND(BE$7&gt;0,$A989&gt;BE$7)),0,MAX(0,ROUND((INDEX($E989:$G989,BE$5)-SUMIFS(TF_Timer,TF_Tekniker,BE$4,TF_Dato,$A989))*2,0)/2)))</f>
        <v/>
      </c>
      <c r="BF989">
        <f>IF(OR(BF$4="",$A989&gt;TODAY()),0,IF(OR(INDEX($B989:$D989,BF$5)="F",AND(BF$6&gt;0,$A989&lt;BF$6),AND(BF$7&gt;0,$A989&gt;BF$7)),0,MAX(0,ROUND((INDEX($E989:$G989,BF$5)-SUMIFS(TF_Timer,TF_Tekniker,BF$4,TF_Dato,$A989))*2,0)/2)))</f>
        <v/>
      </c>
      <c r="BG989">
        <f>IF(OR(BG$4="",$A989&gt;TODAY()),0,IF(OR(INDEX($B989:$D989,BG$5)="F",AND(BG$6&gt;0,$A989&lt;BG$6),AND(BG$7&gt;0,$A989&gt;BG$7)),0,MAX(0,ROUND((INDEX($E989:$G989,BG$5)-SUMIFS(TF_Timer,TF_Tekniker,BG$4,TF_Dato,$A989))*2,0)/2)))</f>
        <v/>
      </c>
      <c r="BH989">
        <f>IF(OR(BH$4="",$A989&gt;TODAY()),0,IF(OR(INDEX($B989:$D989,BH$5)="F",AND(BH$6&gt;0,$A989&lt;BH$6),AND(BH$7&gt;0,$A989&gt;BH$7)),0,MAX(0,ROUND((INDEX($E989:$G989,BH$5)-SUMIFS(TF_Timer,TF_Tekniker,BH$4,TF_Dato,$A989))*2,0)/2)))</f>
        <v/>
      </c>
      <c r="BI989">
        <f>IF(OR(BI$4="",$A989&gt;TODAY()),0,IF(OR(INDEX($B989:$D989,BI$5)="F",AND(BI$6&gt;0,$A989&lt;BI$6),AND(BI$7&gt;0,$A989&gt;BI$7)),0,MAX(0,ROUND((INDEX($E989:$G989,BI$5)-SUMIFS(TF_Timer,TF_Tekniker,BI$4,TF_Dato,$A989))*2,0)/2)))</f>
        <v/>
      </c>
    </row>
    <row r="990">
      <c r="A990" s="64">
        <f>A989+1</f>
        <v/>
      </c>
      <c r="B990">
        <f>IF(MOD($A990-INDEX(SkiftStart,1),Syklus)&lt;DagK,"K",IF(MOD($A990-INDEX(SkiftStart,1),Syklus)&lt;DagK+DagH,"H",IF(MOD($A990-INDEX(SkiftStart,1),Syklus)&lt;DagK+DagH+DagD,"D","F")))</f>
        <v/>
      </c>
      <c r="C990">
        <f>IF(MOD($A990-INDEX(SkiftStart,2),Syklus)&lt;DagK,"K",IF(MOD($A990-INDEX(SkiftStart,2),Syklus)&lt;DagK+DagH,"H",IF(MOD($A990-INDEX(SkiftStart,2),Syklus)&lt;DagK+DagH+DagD,"D","F")))</f>
        <v/>
      </c>
      <c r="D990">
        <f>IF(MOD($A990-INDEX(SkiftStart,3),Syklus)&lt;DagK,"K",IF(MOD($A990-INDEX(SkiftStart,3),Syklus)&lt;DagK+DagH,"H",IF(MOD($A990-INDEX(SkiftStart,3),Syklus)&lt;DagK+DagH+DagD,"D","F")))</f>
        <v/>
      </c>
      <c r="E990">
        <f>IF(B990="F",0,IF(WEEKDAY($A990,2)=5,INDEX(TimerFr,MATCH(B990,FaseKode,0)),INDEX(TimerMT,MATCH(B990,FaseKode,0))))</f>
        <v/>
      </c>
      <c r="F990">
        <f>IF(C990="F",0,IF(WEEKDAY($A990,2)=5,INDEX(TimerFr,MATCH(C990,FaseKode,0)),INDEX(TimerMT,MATCH(C990,FaseKode,0))))</f>
        <v/>
      </c>
      <c r="G990">
        <f>IF(D990="F",0,IF(WEEKDAY($A990,2)=5,INDEX(TimerFr,MATCH(D990,FaseKode,0)),INDEX(TimerMT,MATCH(D990,FaseKode,0))))</f>
        <v/>
      </c>
      <c r="H990">
        <f>IF(OR(H$4="",$A990&gt;TODAY()),0,IF(OR(INDEX($B990:$D990,H$5)="F",AND(H$6&gt;0,$A990&lt;H$6),AND(H$7&gt;0,$A990&gt;H$7)),0,MAX(0,ROUND((INDEX($E990:$G990,H$5)-SUMIFS(TF_Timer,TF_Tekniker,H$4,TF_Dato,$A990))*2,0)/2)))</f>
        <v/>
      </c>
      <c r="I990">
        <f>IF(OR(I$4="",$A990&gt;TODAY()),0,IF(OR(INDEX($B990:$D990,I$5)="F",AND(I$6&gt;0,$A990&lt;I$6),AND(I$7&gt;0,$A990&gt;I$7)),0,MAX(0,ROUND((INDEX($E990:$G990,I$5)-SUMIFS(TF_Timer,TF_Tekniker,I$4,TF_Dato,$A990))*2,0)/2)))</f>
        <v/>
      </c>
      <c r="J990">
        <f>IF(OR(J$4="",$A990&gt;TODAY()),0,IF(OR(INDEX($B990:$D990,J$5)="F",AND(J$6&gt;0,$A990&lt;J$6),AND(J$7&gt;0,$A990&gt;J$7)),0,MAX(0,ROUND((INDEX($E990:$G990,J$5)-SUMIFS(TF_Timer,TF_Tekniker,J$4,TF_Dato,$A990))*2,0)/2)))</f>
        <v/>
      </c>
      <c r="K990">
        <f>IF(OR(K$4="",$A990&gt;TODAY()),0,IF(OR(INDEX($B990:$D990,K$5)="F",AND(K$6&gt;0,$A990&lt;K$6),AND(K$7&gt;0,$A990&gt;K$7)),0,MAX(0,ROUND((INDEX($E990:$G990,K$5)-SUMIFS(TF_Timer,TF_Tekniker,K$4,TF_Dato,$A990))*2,0)/2)))</f>
        <v/>
      </c>
      <c r="L990">
        <f>IF(OR(L$4="",$A990&gt;TODAY()),0,IF(OR(INDEX($B990:$D990,L$5)="F",AND(L$6&gt;0,$A990&lt;L$6),AND(L$7&gt;0,$A990&gt;L$7)),0,MAX(0,ROUND((INDEX($E990:$G990,L$5)-SUMIFS(TF_Timer,TF_Tekniker,L$4,TF_Dato,$A990))*2,0)/2)))</f>
        <v/>
      </c>
      <c r="M990">
        <f>IF(OR(M$4="",$A990&gt;TODAY()),0,IF(OR(INDEX($B990:$D990,M$5)="F",AND(M$6&gt;0,$A990&lt;M$6),AND(M$7&gt;0,$A990&gt;M$7)),0,MAX(0,ROUND((INDEX($E990:$G990,M$5)-SUMIFS(TF_Timer,TF_Tekniker,M$4,TF_Dato,$A990))*2,0)/2)))</f>
        <v/>
      </c>
      <c r="N990">
        <f>IF(OR(N$4="",$A990&gt;TODAY()),0,IF(OR(INDEX($B990:$D990,N$5)="F",AND(N$6&gt;0,$A990&lt;N$6),AND(N$7&gt;0,$A990&gt;N$7)),0,MAX(0,ROUND((INDEX($E990:$G990,N$5)-SUMIFS(TF_Timer,TF_Tekniker,N$4,TF_Dato,$A990))*2,0)/2)))</f>
        <v/>
      </c>
      <c r="O990">
        <f>IF(OR(O$4="",$A990&gt;TODAY()),0,IF(OR(INDEX($B990:$D990,O$5)="F",AND(O$6&gt;0,$A990&lt;O$6),AND(O$7&gt;0,$A990&gt;O$7)),0,MAX(0,ROUND((INDEX($E990:$G990,O$5)-SUMIFS(TF_Timer,TF_Tekniker,O$4,TF_Dato,$A990))*2,0)/2)))</f>
        <v/>
      </c>
      <c r="P990">
        <f>IF(OR(P$4="",$A990&gt;TODAY()),0,IF(OR(INDEX($B990:$D990,P$5)="F",AND(P$6&gt;0,$A990&lt;P$6),AND(P$7&gt;0,$A990&gt;P$7)),0,MAX(0,ROUND((INDEX($E990:$G990,P$5)-SUMIFS(TF_Timer,TF_Tekniker,P$4,TF_Dato,$A990))*2,0)/2)))</f>
        <v/>
      </c>
      <c r="Q990">
        <f>IF(OR(Q$4="",$A990&gt;TODAY()),0,IF(OR(INDEX($B990:$D990,Q$5)="F",AND(Q$6&gt;0,$A990&lt;Q$6),AND(Q$7&gt;0,$A990&gt;Q$7)),0,MAX(0,ROUND((INDEX($E990:$G990,Q$5)-SUMIFS(TF_Timer,TF_Tekniker,Q$4,TF_Dato,$A990))*2,0)/2)))</f>
        <v/>
      </c>
      <c r="R990">
        <f>IF(OR(R$4="",$A990&gt;TODAY()),0,IF(OR(INDEX($B990:$D990,R$5)="F",AND(R$6&gt;0,$A990&lt;R$6),AND(R$7&gt;0,$A990&gt;R$7)),0,MAX(0,ROUND((INDEX($E990:$G990,R$5)-SUMIFS(TF_Timer,TF_Tekniker,R$4,TF_Dato,$A990))*2,0)/2)))</f>
        <v/>
      </c>
      <c r="S990">
        <f>IF(OR(S$4="",$A990&gt;TODAY()),0,IF(OR(INDEX($B990:$D990,S$5)="F",AND(S$6&gt;0,$A990&lt;S$6),AND(S$7&gt;0,$A990&gt;S$7)),0,MAX(0,ROUND((INDEX($E990:$G990,S$5)-SUMIFS(TF_Timer,TF_Tekniker,S$4,TF_Dato,$A990))*2,0)/2)))</f>
        <v/>
      </c>
      <c r="T990">
        <f>IF(OR(T$4="",$A990&gt;TODAY()),0,IF(OR(INDEX($B990:$D990,T$5)="F",AND(T$6&gt;0,$A990&lt;T$6),AND(T$7&gt;0,$A990&gt;T$7)),0,MAX(0,ROUND((INDEX($E990:$G990,T$5)-SUMIFS(TF_Timer,TF_Tekniker,T$4,TF_Dato,$A990))*2,0)/2)))</f>
        <v/>
      </c>
      <c r="U990">
        <f>IF(OR(U$4="",$A990&gt;TODAY()),0,IF(OR(INDEX($B990:$D990,U$5)="F",AND(U$6&gt;0,$A990&lt;U$6),AND(U$7&gt;0,$A990&gt;U$7)),0,MAX(0,ROUND((INDEX($E990:$G990,U$5)-SUMIFS(TF_Timer,TF_Tekniker,U$4,TF_Dato,$A990))*2,0)/2)))</f>
        <v/>
      </c>
      <c r="V990">
        <f>IF(OR(V$4="",$A990&gt;TODAY()),0,IF(OR(INDEX($B990:$D990,V$5)="F",AND(V$6&gt;0,$A990&lt;V$6),AND(V$7&gt;0,$A990&gt;V$7)),0,MAX(0,ROUND((INDEX($E990:$G990,V$5)-SUMIFS(TF_Timer,TF_Tekniker,V$4,TF_Dato,$A990))*2,0)/2)))</f>
        <v/>
      </c>
      <c r="W990">
        <f>IF(OR(W$4="",$A990&gt;TODAY()),0,IF(OR(INDEX($B990:$D990,W$5)="F",AND(W$6&gt;0,$A990&lt;W$6),AND(W$7&gt;0,$A990&gt;W$7)),0,MAX(0,ROUND((INDEX($E990:$G990,W$5)-SUMIFS(TF_Timer,TF_Tekniker,W$4,TF_Dato,$A990))*2,0)/2)))</f>
        <v/>
      </c>
      <c r="X990">
        <f>IF(OR(X$4="",$A990&gt;TODAY()),0,IF(OR(INDEX($B990:$D990,X$5)="F",AND(X$6&gt;0,$A990&lt;X$6),AND(X$7&gt;0,$A990&gt;X$7)),0,MAX(0,ROUND((INDEX($E990:$G990,X$5)-SUMIFS(TF_Timer,TF_Tekniker,X$4,TF_Dato,$A990))*2,0)/2)))</f>
        <v/>
      </c>
      <c r="Y990">
        <f>IF(OR(Y$4="",$A990&gt;TODAY()),0,IF(OR(INDEX($B990:$D990,Y$5)="F",AND(Y$6&gt;0,$A990&lt;Y$6),AND(Y$7&gt;0,$A990&gt;Y$7)),0,MAX(0,ROUND((INDEX($E990:$G990,Y$5)-SUMIFS(TF_Timer,TF_Tekniker,Y$4,TF_Dato,$A990))*2,0)/2)))</f>
        <v/>
      </c>
      <c r="Z990">
        <f>IF(OR(Z$4="",$A990&gt;TODAY()),0,IF(OR(INDEX($B990:$D990,Z$5)="F",AND(Z$6&gt;0,$A990&lt;Z$6),AND(Z$7&gt;0,$A990&gt;Z$7)),0,MAX(0,ROUND((INDEX($E990:$G990,Z$5)-SUMIFS(TF_Timer,TF_Tekniker,Z$4,TF_Dato,$A990))*2,0)/2)))</f>
        <v/>
      </c>
      <c r="AA990">
        <f>IF(OR(AA$4="",$A990&gt;TODAY()),0,IF(OR(INDEX($B990:$D990,AA$5)="F",AND(AA$6&gt;0,$A990&lt;AA$6),AND(AA$7&gt;0,$A990&gt;AA$7)),0,MAX(0,ROUND((INDEX($E990:$G990,AA$5)-SUMIFS(TF_Timer,TF_Tekniker,AA$4,TF_Dato,$A990))*2,0)/2)))</f>
        <v/>
      </c>
      <c r="AB990">
        <f>IF(OR(AB$4="",$A990&gt;TODAY()),0,IF(OR(INDEX($B990:$D990,AB$5)="F",AND(AB$6&gt;0,$A990&lt;AB$6),AND(AB$7&gt;0,$A990&gt;AB$7)),0,MAX(0,ROUND((INDEX($E990:$G990,AB$5)-SUMIFS(TF_Timer,TF_Tekniker,AB$4,TF_Dato,$A990))*2,0)/2)))</f>
        <v/>
      </c>
      <c r="AC990">
        <f>IF(OR(AC$4="",$A990&gt;TODAY()),0,IF(OR(INDEX($B990:$D990,AC$5)="F",AND(AC$6&gt;0,$A990&lt;AC$6),AND(AC$7&gt;0,$A990&gt;AC$7)),0,MAX(0,ROUND((INDEX($E990:$G990,AC$5)-SUMIFS(TF_Timer,TF_Tekniker,AC$4,TF_Dato,$A990))*2,0)/2)))</f>
        <v/>
      </c>
      <c r="AD990">
        <f>IF(OR(AD$4="",$A990&gt;TODAY()),0,IF(OR(INDEX($B990:$D990,AD$5)="F",AND(AD$6&gt;0,$A990&lt;AD$6),AND(AD$7&gt;0,$A990&gt;AD$7)),0,MAX(0,ROUND((INDEX($E990:$G990,AD$5)-SUMIFS(TF_Timer,TF_Tekniker,AD$4,TF_Dato,$A990))*2,0)/2)))</f>
        <v/>
      </c>
      <c r="AE990">
        <f>IF(OR(AE$4="",$A990&gt;TODAY()),0,IF(OR(INDEX($B990:$D990,AE$5)="F",AND(AE$6&gt;0,$A990&lt;AE$6),AND(AE$7&gt;0,$A990&gt;AE$7)),0,MAX(0,ROUND((INDEX($E990:$G990,AE$5)-SUMIFS(TF_Timer,TF_Tekniker,AE$4,TF_Dato,$A990))*2,0)/2)))</f>
        <v/>
      </c>
      <c r="AF990">
        <f>IF(OR(AF$4="",$A990&gt;TODAY()),0,IF(OR(INDEX($B990:$D990,AF$5)="F",AND(AF$6&gt;0,$A990&lt;AF$6),AND(AF$7&gt;0,$A990&gt;AF$7)),0,MAX(0,ROUND((INDEX($E990:$G990,AF$5)-SUMIFS(TF_Timer,TF_Tekniker,AF$4,TF_Dato,$A990))*2,0)/2)))</f>
        <v/>
      </c>
      <c r="AG990">
        <f>IF(OR(AG$4="",$A990&gt;TODAY()),0,IF(OR(INDEX($B990:$D990,AG$5)="F",AND(AG$6&gt;0,$A990&lt;AG$6),AND(AG$7&gt;0,$A990&gt;AG$7)),0,MAX(0,ROUND((INDEX($E990:$G990,AG$5)-SUMIFS(TF_Timer,TF_Tekniker,AG$4,TF_Dato,$A990))*2,0)/2)))</f>
        <v/>
      </c>
      <c r="AH990">
        <f>IF(OR(AH$4="",$A990&gt;TODAY()),0,IF(OR(INDEX($B990:$D990,AH$5)="F",AND(AH$6&gt;0,$A990&lt;AH$6),AND(AH$7&gt;0,$A990&gt;AH$7)),0,MAX(0,ROUND((INDEX($E990:$G990,AH$5)-SUMIFS(TF_Timer,TF_Tekniker,AH$4,TF_Dato,$A990))*2,0)/2)))</f>
        <v/>
      </c>
      <c r="AI990">
        <f>IF(OR(AI$4="",$A990&gt;TODAY()),0,IF(OR(INDEX($B990:$D990,AI$5)="F",AND(AI$6&gt;0,$A990&lt;AI$6),AND(AI$7&gt;0,$A990&gt;AI$7)),0,MAX(0,ROUND((INDEX($E990:$G990,AI$5)-SUMIFS(TF_Timer,TF_Tekniker,AI$4,TF_Dato,$A990))*2,0)/2)))</f>
        <v/>
      </c>
      <c r="AJ990">
        <f>IF(OR(AJ$4="",$A990&gt;TODAY()),0,IF(OR(INDEX($B990:$D990,AJ$5)="F",AND(AJ$6&gt;0,$A990&lt;AJ$6),AND(AJ$7&gt;0,$A990&gt;AJ$7)),0,MAX(0,ROUND((INDEX($E990:$G990,AJ$5)-SUMIFS(TF_Timer,TF_Tekniker,AJ$4,TF_Dato,$A990))*2,0)/2)))</f>
        <v/>
      </c>
      <c r="AK990">
        <f>IF(OR(AK$4="",$A990&gt;TODAY()),0,IF(OR(INDEX($B990:$D990,AK$5)="F",AND(AK$6&gt;0,$A990&lt;AK$6),AND(AK$7&gt;0,$A990&gt;AK$7)),0,MAX(0,ROUND((INDEX($E990:$G990,AK$5)-SUMIFS(TF_Timer,TF_Tekniker,AK$4,TF_Dato,$A990))*2,0)/2)))</f>
        <v/>
      </c>
      <c r="AL990">
        <f>IF(OR(AL$4="",$A990&gt;TODAY()),0,IF(OR(INDEX($B990:$D990,AL$5)="F",AND(AL$6&gt;0,$A990&lt;AL$6),AND(AL$7&gt;0,$A990&gt;AL$7)),0,MAX(0,ROUND((INDEX($E990:$G990,AL$5)-SUMIFS(TF_Timer,TF_Tekniker,AL$4,TF_Dato,$A990))*2,0)/2)))</f>
        <v/>
      </c>
      <c r="AM990">
        <f>IF(OR(AM$4="",$A990&gt;TODAY()),0,IF(OR(INDEX($B990:$D990,AM$5)="F",AND(AM$6&gt;0,$A990&lt;AM$6),AND(AM$7&gt;0,$A990&gt;AM$7)),0,MAX(0,ROUND((INDEX($E990:$G990,AM$5)-SUMIFS(TF_Timer,TF_Tekniker,AM$4,TF_Dato,$A990))*2,0)/2)))</f>
        <v/>
      </c>
      <c r="AN990">
        <f>IF(OR(AN$4="",$A990&gt;TODAY()),0,IF(OR(INDEX($B990:$D990,AN$5)="F",AND(AN$6&gt;0,$A990&lt;AN$6),AND(AN$7&gt;0,$A990&gt;AN$7)),0,MAX(0,ROUND((INDEX($E990:$G990,AN$5)-SUMIFS(TF_Timer,TF_Tekniker,AN$4,TF_Dato,$A990))*2,0)/2)))</f>
        <v/>
      </c>
      <c r="AO990">
        <f>IF(OR(AO$4="",$A990&gt;TODAY()),0,IF(OR(INDEX($B990:$D990,AO$5)="F",AND(AO$6&gt;0,$A990&lt;AO$6),AND(AO$7&gt;0,$A990&gt;AO$7)),0,MAX(0,ROUND((INDEX($E990:$G990,AO$5)-SUMIFS(TF_Timer,TF_Tekniker,AO$4,TF_Dato,$A990))*2,0)/2)))</f>
        <v/>
      </c>
      <c r="AP990">
        <f>IF(OR(AP$4="",$A990&gt;TODAY()),0,IF(OR(INDEX($B990:$D990,AP$5)="F",AND(AP$6&gt;0,$A990&lt;AP$6),AND(AP$7&gt;0,$A990&gt;AP$7)),0,MAX(0,ROUND((INDEX($E990:$G990,AP$5)-SUMIFS(TF_Timer,TF_Tekniker,AP$4,TF_Dato,$A990))*2,0)/2)))</f>
        <v/>
      </c>
      <c r="AQ990">
        <f>IF(OR(AQ$4="",$A990&gt;TODAY()),0,IF(OR(INDEX($B990:$D990,AQ$5)="F",AND(AQ$6&gt;0,$A990&lt;AQ$6),AND(AQ$7&gt;0,$A990&gt;AQ$7)),0,MAX(0,ROUND((INDEX($E990:$G990,AQ$5)-SUMIFS(TF_Timer,TF_Tekniker,AQ$4,TF_Dato,$A990))*2,0)/2)))</f>
        <v/>
      </c>
      <c r="AR990">
        <f>IF(OR(AR$4="",$A990&gt;TODAY()),0,IF(OR(INDEX($B990:$D990,AR$5)="F",AND(AR$6&gt;0,$A990&lt;AR$6),AND(AR$7&gt;0,$A990&gt;AR$7)),0,MAX(0,ROUND((INDEX($E990:$G990,AR$5)-SUMIFS(TF_Timer,TF_Tekniker,AR$4,TF_Dato,$A990))*2,0)/2)))</f>
        <v/>
      </c>
      <c r="AS990">
        <f>IF(OR(AS$4="",$A990&gt;TODAY()),0,IF(OR(INDEX($B990:$D990,AS$5)="F",AND(AS$6&gt;0,$A990&lt;AS$6),AND(AS$7&gt;0,$A990&gt;AS$7)),0,MAX(0,ROUND((INDEX($E990:$G990,AS$5)-SUMIFS(TF_Timer,TF_Tekniker,AS$4,TF_Dato,$A990))*2,0)/2)))</f>
        <v/>
      </c>
      <c r="AT990">
        <f>IF(OR(AT$4="",$A990&gt;TODAY()),0,IF(OR(INDEX($B990:$D990,AT$5)="F",AND(AT$6&gt;0,$A990&lt;AT$6),AND(AT$7&gt;0,$A990&gt;AT$7)),0,MAX(0,ROUND((INDEX($E990:$G990,AT$5)-SUMIFS(TF_Timer,TF_Tekniker,AT$4,TF_Dato,$A990))*2,0)/2)))</f>
        <v/>
      </c>
      <c r="AU990">
        <f>IF(OR(AU$4="",$A990&gt;TODAY()),0,IF(OR(INDEX($B990:$D990,AU$5)="F",AND(AU$6&gt;0,$A990&lt;AU$6),AND(AU$7&gt;0,$A990&gt;AU$7)),0,MAX(0,ROUND((INDEX($E990:$G990,AU$5)-SUMIFS(TF_Timer,TF_Tekniker,AU$4,TF_Dato,$A990))*2,0)/2)))</f>
        <v/>
      </c>
      <c r="AV990">
        <f>IF(OR(AV$4="",$A990&gt;TODAY()),0,IF(OR(INDEX($B990:$D990,AV$5)="F",AND(AV$6&gt;0,$A990&lt;AV$6),AND(AV$7&gt;0,$A990&gt;AV$7)),0,MAX(0,ROUND((INDEX($E990:$G990,AV$5)-SUMIFS(TF_Timer,TF_Tekniker,AV$4,TF_Dato,$A990))*2,0)/2)))</f>
        <v/>
      </c>
      <c r="AW990">
        <f>IF(OR(AW$4="",$A990&gt;TODAY()),0,IF(OR(INDEX($B990:$D990,AW$5)="F",AND(AW$6&gt;0,$A990&lt;AW$6),AND(AW$7&gt;0,$A990&gt;AW$7)),0,MAX(0,ROUND((INDEX($E990:$G990,AW$5)-SUMIFS(TF_Timer,TF_Tekniker,AW$4,TF_Dato,$A990))*2,0)/2)))</f>
        <v/>
      </c>
      <c r="AX990">
        <f>IF(OR(AX$4="",$A990&gt;TODAY()),0,IF(OR(INDEX($B990:$D990,AX$5)="F",AND(AX$6&gt;0,$A990&lt;AX$6),AND(AX$7&gt;0,$A990&gt;AX$7)),0,MAX(0,ROUND((INDEX($E990:$G990,AX$5)-SUMIFS(TF_Timer,TF_Tekniker,AX$4,TF_Dato,$A990))*2,0)/2)))</f>
        <v/>
      </c>
      <c r="AY990">
        <f>IF(OR(AY$4="",$A990&gt;TODAY()),0,IF(OR(INDEX($B990:$D990,AY$5)="F",AND(AY$6&gt;0,$A990&lt;AY$6),AND(AY$7&gt;0,$A990&gt;AY$7)),0,MAX(0,ROUND((INDEX($E990:$G990,AY$5)-SUMIFS(TF_Timer,TF_Tekniker,AY$4,TF_Dato,$A990))*2,0)/2)))</f>
        <v/>
      </c>
      <c r="AZ990">
        <f>IF(OR(AZ$4="",$A990&gt;TODAY()),0,IF(OR(INDEX($B990:$D990,AZ$5)="F",AND(AZ$6&gt;0,$A990&lt;AZ$6),AND(AZ$7&gt;0,$A990&gt;AZ$7)),0,MAX(0,ROUND((INDEX($E990:$G990,AZ$5)-SUMIFS(TF_Timer,TF_Tekniker,AZ$4,TF_Dato,$A990))*2,0)/2)))</f>
        <v/>
      </c>
      <c r="BA990">
        <f>IF(OR(BA$4="",$A990&gt;TODAY()),0,IF(OR(INDEX($B990:$D990,BA$5)="F",AND(BA$6&gt;0,$A990&lt;BA$6),AND(BA$7&gt;0,$A990&gt;BA$7)),0,MAX(0,ROUND((INDEX($E990:$G990,BA$5)-SUMIFS(TF_Timer,TF_Tekniker,BA$4,TF_Dato,$A990))*2,0)/2)))</f>
        <v/>
      </c>
      <c r="BB990">
        <f>IF(OR(BB$4="",$A990&gt;TODAY()),0,IF(OR(INDEX($B990:$D990,BB$5)="F",AND(BB$6&gt;0,$A990&lt;BB$6),AND(BB$7&gt;0,$A990&gt;BB$7)),0,MAX(0,ROUND((INDEX($E990:$G990,BB$5)-SUMIFS(TF_Timer,TF_Tekniker,BB$4,TF_Dato,$A990))*2,0)/2)))</f>
        <v/>
      </c>
      <c r="BC990">
        <f>IF(OR(BC$4="",$A990&gt;TODAY()),0,IF(OR(INDEX($B990:$D990,BC$5)="F",AND(BC$6&gt;0,$A990&lt;BC$6),AND(BC$7&gt;0,$A990&gt;BC$7)),0,MAX(0,ROUND((INDEX($E990:$G990,BC$5)-SUMIFS(TF_Timer,TF_Tekniker,BC$4,TF_Dato,$A990))*2,0)/2)))</f>
        <v/>
      </c>
      <c r="BD990">
        <f>IF(OR(BD$4="",$A990&gt;TODAY()),0,IF(OR(INDEX($B990:$D990,BD$5)="F",AND(BD$6&gt;0,$A990&lt;BD$6),AND(BD$7&gt;0,$A990&gt;BD$7)),0,MAX(0,ROUND((INDEX($E990:$G990,BD$5)-SUMIFS(TF_Timer,TF_Tekniker,BD$4,TF_Dato,$A990))*2,0)/2)))</f>
        <v/>
      </c>
      <c r="BE990">
        <f>IF(OR(BE$4="",$A990&gt;TODAY()),0,IF(OR(INDEX($B990:$D990,BE$5)="F",AND(BE$6&gt;0,$A990&lt;BE$6),AND(BE$7&gt;0,$A990&gt;BE$7)),0,MAX(0,ROUND((INDEX($E990:$G990,BE$5)-SUMIFS(TF_Timer,TF_Tekniker,BE$4,TF_Dato,$A990))*2,0)/2)))</f>
        <v/>
      </c>
      <c r="BF990">
        <f>IF(OR(BF$4="",$A990&gt;TODAY()),0,IF(OR(INDEX($B990:$D990,BF$5)="F",AND(BF$6&gt;0,$A990&lt;BF$6),AND(BF$7&gt;0,$A990&gt;BF$7)),0,MAX(0,ROUND((INDEX($E990:$G990,BF$5)-SUMIFS(TF_Timer,TF_Tekniker,BF$4,TF_Dato,$A990))*2,0)/2)))</f>
        <v/>
      </c>
      <c r="BG990">
        <f>IF(OR(BG$4="",$A990&gt;TODAY()),0,IF(OR(INDEX($B990:$D990,BG$5)="F",AND(BG$6&gt;0,$A990&lt;BG$6),AND(BG$7&gt;0,$A990&gt;BG$7)),0,MAX(0,ROUND((INDEX($E990:$G990,BG$5)-SUMIFS(TF_Timer,TF_Tekniker,BG$4,TF_Dato,$A990))*2,0)/2)))</f>
        <v/>
      </c>
      <c r="BH990">
        <f>IF(OR(BH$4="",$A990&gt;TODAY()),0,IF(OR(INDEX($B990:$D990,BH$5)="F",AND(BH$6&gt;0,$A990&lt;BH$6),AND(BH$7&gt;0,$A990&gt;BH$7)),0,MAX(0,ROUND((INDEX($E990:$G990,BH$5)-SUMIFS(TF_Timer,TF_Tekniker,BH$4,TF_Dato,$A990))*2,0)/2)))</f>
        <v/>
      </c>
      <c r="BI990">
        <f>IF(OR(BI$4="",$A990&gt;TODAY()),0,IF(OR(INDEX($B990:$D990,BI$5)="F",AND(BI$6&gt;0,$A990&lt;BI$6),AND(BI$7&gt;0,$A990&gt;BI$7)),0,MAX(0,ROUND((INDEX($E990:$G990,BI$5)-SUMIFS(TF_Timer,TF_Tekniker,BI$4,TF_Dato,$A990))*2,0)/2)))</f>
        <v/>
      </c>
    </row>
    <row r="991">
      <c r="A991" s="64">
        <f>A990+1</f>
        <v/>
      </c>
      <c r="B991">
        <f>IF(MOD($A991-INDEX(SkiftStart,1),Syklus)&lt;DagK,"K",IF(MOD($A991-INDEX(SkiftStart,1),Syklus)&lt;DagK+DagH,"H",IF(MOD($A991-INDEX(SkiftStart,1),Syklus)&lt;DagK+DagH+DagD,"D","F")))</f>
        <v/>
      </c>
      <c r="C991">
        <f>IF(MOD($A991-INDEX(SkiftStart,2),Syklus)&lt;DagK,"K",IF(MOD($A991-INDEX(SkiftStart,2),Syklus)&lt;DagK+DagH,"H",IF(MOD($A991-INDEX(SkiftStart,2),Syklus)&lt;DagK+DagH+DagD,"D","F")))</f>
        <v/>
      </c>
      <c r="D991">
        <f>IF(MOD($A991-INDEX(SkiftStart,3),Syklus)&lt;DagK,"K",IF(MOD($A991-INDEX(SkiftStart,3),Syklus)&lt;DagK+DagH,"H",IF(MOD($A991-INDEX(SkiftStart,3),Syklus)&lt;DagK+DagH+DagD,"D","F")))</f>
        <v/>
      </c>
      <c r="E991">
        <f>IF(B991="F",0,IF(WEEKDAY($A991,2)=5,INDEX(TimerFr,MATCH(B991,FaseKode,0)),INDEX(TimerMT,MATCH(B991,FaseKode,0))))</f>
        <v/>
      </c>
      <c r="F991">
        <f>IF(C991="F",0,IF(WEEKDAY($A991,2)=5,INDEX(TimerFr,MATCH(C991,FaseKode,0)),INDEX(TimerMT,MATCH(C991,FaseKode,0))))</f>
        <v/>
      </c>
      <c r="G991">
        <f>IF(D991="F",0,IF(WEEKDAY($A991,2)=5,INDEX(TimerFr,MATCH(D991,FaseKode,0)),INDEX(TimerMT,MATCH(D991,FaseKode,0))))</f>
        <v/>
      </c>
      <c r="H991">
        <f>IF(OR(H$4="",$A991&gt;TODAY()),0,IF(OR(INDEX($B991:$D991,H$5)="F",AND(H$6&gt;0,$A991&lt;H$6),AND(H$7&gt;0,$A991&gt;H$7)),0,MAX(0,ROUND((INDEX($E991:$G991,H$5)-SUMIFS(TF_Timer,TF_Tekniker,H$4,TF_Dato,$A991))*2,0)/2)))</f>
        <v/>
      </c>
      <c r="I991">
        <f>IF(OR(I$4="",$A991&gt;TODAY()),0,IF(OR(INDEX($B991:$D991,I$5)="F",AND(I$6&gt;0,$A991&lt;I$6),AND(I$7&gt;0,$A991&gt;I$7)),0,MAX(0,ROUND((INDEX($E991:$G991,I$5)-SUMIFS(TF_Timer,TF_Tekniker,I$4,TF_Dato,$A991))*2,0)/2)))</f>
        <v/>
      </c>
      <c r="J991">
        <f>IF(OR(J$4="",$A991&gt;TODAY()),0,IF(OR(INDEX($B991:$D991,J$5)="F",AND(J$6&gt;0,$A991&lt;J$6),AND(J$7&gt;0,$A991&gt;J$7)),0,MAX(0,ROUND((INDEX($E991:$G991,J$5)-SUMIFS(TF_Timer,TF_Tekniker,J$4,TF_Dato,$A991))*2,0)/2)))</f>
        <v/>
      </c>
      <c r="K991">
        <f>IF(OR(K$4="",$A991&gt;TODAY()),0,IF(OR(INDEX($B991:$D991,K$5)="F",AND(K$6&gt;0,$A991&lt;K$6),AND(K$7&gt;0,$A991&gt;K$7)),0,MAX(0,ROUND((INDEX($E991:$G991,K$5)-SUMIFS(TF_Timer,TF_Tekniker,K$4,TF_Dato,$A991))*2,0)/2)))</f>
        <v/>
      </c>
      <c r="L991">
        <f>IF(OR(L$4="",$A991&gt;TODAY()),0,IF(OR(INDEX($B991:$D991,L$5)="F",AND(L$6&gt;0,$A991&lt;L$6),AND(L$7&gt;0,$A991&gt;L$7)),0,MAX(0,ROUND((INDEX($E991:$G991,L$5)-SUMIFS(TF_Timer,TF_Tekniker,L$4,TF_Dato,$A991))*2,0)/2)))</f>
        <v/>
      </c>
      <c r="M991">
        <f>IF(OR(M$4="",$A991&gt;TODAY()),0,IF(OR(INDEX($B991:$D991,M$5)="F",AND(M$6&gt;0,$A991&lt;M$6),AND(M$7&gt;0,$A991&gt;M$7)),0,MAX(0,ROUND((INDEX($E991:$G991,M$5)-SUMIFS(TF_Timer,TF_Tekniker,M$4,TF_Dato,$A991))*2,0)/2)))</f>
        <v/>
      </c>
      <c r="N991">
        <f>IF(OR(N$4="",$A991&gt;TODAY()),0,IF(OR(INDEX($B991:$D991,N$5)="F",AND(N$6&gt;0,$A991&lt;N$6),AND(N$7&gt;0,$A991&gt;N$7)),0,MAX(0,ROUND((INDEX($E991:$G991,N$5)-SUMIFS(TF_Timer,TF_Tekniker,N$4,TF_Dato,$A991))*2,0)/2)))</f>
        <v/>
      </c>
      <c r="O991">
        <f>IF(OR(O$4="",$A991&gt;TODAY()),0,IF(OR(INDEX($B991:$D991,O$5)="F",AND(O$6&gt;0,$A991&lt;O$6),AND(O$7&gt;0,$A991&gt;O$7)),0,MAX(0,ROUND((INDEX($E991:$G991,O$5)-SUMIFS(TF_Timer,TF_Tekniker,O$4,TF_Dato,$A991))*2,0)/2)))</f>
        <v/>
      </c>
      <c r="P991">
        <f>IF(OR(P$4="",$A991&gt;TODAY()),0,IF(OR(INDEX($B991:$D991,P$5)="F",AND(P$6&gt;0,$A991&lt;P$6),AND(P$7&gt;0,$A991&gt;P$7)),0,MAX(0,ROUND((INDEX($E991:$G991,P$5)-SUMIFS(TF_Timer,TF_Tekniker,P$4,TF_Dato,$A991))*2,0)/2)))</f>
        <v/>
      </c>
      <c r="Q991">
        <f>IF(OR(Q$4="",$A991&gt;TODAY()),0,IF(OR(INDEX($B991:$D991,Q$5)="F",AND(Q$6&gt;0,$A991&lt;Q$6),AND(Q$7&gt;0,$A991&gt;Q$7)),0,MAX(0,ROUND((INDEX($E991:$G991,Q$5)-SUMIFS(TF_Timer,TF_Tekniker,Q$4,TF_Dato,$A991))*2,0)/2)))</f>
        <v/>
      </c>
      <c r="R991">
        <f>IF(OR(R$4="",$A991&gt;TODAY()),0,IF(OR(INDEX($B991:$D991,R$5)="F",AND(R$6&gt;0,$A991&lt;R$6),AND(R$7&gt;0,$A991&gt;R$7)),0,MAX(0,ROUND((INDEX($E991:$G991,R$5)-SUMIFS(TF_Timer,TF_Tekniker,R$4,TF_Dato,$A991))*2,0)/2)))</f>
        <v/>
      </c>
      <c r="S991">
        <f>IF(OR(S$4="",$A991&gt;TODAY()),0,IF(OR(INDEX($B991:$D991,S$5)="F",AND(S$6&gt;0,$A991&lt;S$6),AND(S$7&gt;0,$A991&gt;S$7)),0,MAX(0,ROUND((INDEX($E991:$G991,S$5)-SUMIFS(TF_Timer,TF_Tekniker,S$4,TF_Dato,$A991))*2,0)/2)))</f>
        <v/>
      </c>
      <c r="T991">
        <f>IF(OR(T$4="",$A991&gt;TODAY()),0,IF(OR(INDEX($B991:$D991,T$5)="F",AND(T$6&gt;0,$A991&lt;T$6),AND(T$7&gt;0,$A991&gt;T$7)),0,MAX(0,ROUND((INDEX($E991:$G991,T$5)-SUMIFS(TF_Timer,TF_Tekniker,T$4,TF_Dato,$A991))*2,0)/2)))</f>
        <v/>
      </c>
      <c r="U991">
        <f>IF(OR(U$4="",$A991&gt;TODAY()),0,IF(OR(INDEX($B991:$D991,U$5)="F",AND(U$6&gt;0,$A991&lt;U$6),AND(U$7&gt;0,$A991&gt;U$7)),0,MAX(0,ROUND((INDEX($E991:$G991,U$5)-SUMIFS(TF_Timer,TF_Tekniker,U$4,TF_Dato,$A991))*2,0)/2)))</f>
        <v/>
      </c>
      <c r="V991">
        <f>IF(OR(V$4="",$A991&gt;TODAY()),0,IF(OR(INDEX($B991:$D991,V$5)="F",AND(V$6&gt;0,$A991&lt;V$6),AND(V$7&gt;0,$A991&gt;V$7)),0,MAX(0,ROUND((INDEX($E991:$G991,V$5)-SUMIFS(TF_Timer,TF_Tekniker,V$4,TF_Dato,$A991))*2,0)/2)))</f>
        <v/>
      </c>
      <c r="W991">
        <f>IF(OR(W$4="",$A991&gt;TODAY()),0,IF(OR(INDEX($B991:$D991,W$5)="F",AND(W$6&gt;0,$A991&lt;W$6),AND(W$7&gt;0,$A991&gt;W$7)),0,MAX(0,ROUND((INDEX($E991:$G991,W$5)-SUMIFS(TF_Timer,TF_Tekniker,W$4,TF_Dato,$A991))*2,0)/2)))</f>
        <v/>
      </c>
      <c r="X991">
        <f>IF(OR(X$4="",$A991&gt;TODAY()),0,IF(OR(INDEX($B991:$D991,X$5)="F",AND(X$6&gt;0,$A991&lt;X$6),AND(X$7&gt;0,$A991&gt;X$7)),0,MAX(0,ROUND((INDEX($E991:$G991,X$5)-SUMIFS(TF_Timer,TF_Tekniker,X$4,TF_Dato,$A991))*2,0)/2)))</f>
        <v/>
      </c>
      <c r="Y991">
        <f>IF(OR(Y$4="",$A991&gt;TODAY()),0,IF(OR(INDEX($B991:$D991,Y$5)="F",AND(Y$6&gt;0,$A991&lt;Y$6),AND(Y$7&gt;0,$A991&gt;Y$7)),0,MAX(0,ROUND((INDEX($E991:$G991,Y$5)-SUMIFS(TF_Timer,TF_Tekniker,Y$4,TF_Dato,$A991))*2,0)/2)))</f>
        <v/>
      </c>
      <c r="Z991">
        <f>IF(OR(Z$4="",$A991&gt;TODAY()),0,IF(OR(INDEX($B991:$D991,Z$5)="F",AND(Z$6&gt;0,$A991&lt;Z$6),AND(Z$7&gt;0,$A991&gt;Z$7)),0,MAX(0,ROUND((INDEX($E991:$G991,Z$5)-SUMIFS(TF_Timer,TF_Tekniker,Z$4,TF_Dato,$A991))*2,0)/2)))</f>
        <v/>
      </c>
      <c r="AA991">
        <f>IF(OR(AA$4="",$A991&gt;TODAY()),0,IF(OR(INDEX($B991:$D991,AA$5)="F",AND(AA$6&gt;0,$A991&lt;AA$6),AND(AA$7&gt;0,$A991&gt;AA$7)),0,MAX(0,ROUND((INDEX($E991:$G991,AA$5)-SUMIFS(TF_Timer,TF_Tekniker,AA$4,TF_Dato,$A991))*2,0)/2)))</f>
        <v/>
      </c>
      <c r="AB991">
        <f>IF(OR(AB$4="",$A991&gt;TODAY()),0,IF(OR(INDEX($B991:$D991,AB$5)="F",AND(AB$6&gt;0,$A991&lt;AB$6),AND(AB$7&gt;0,$A991&gt;AB$7)),0,MAX(0,ROUND((INDEX($E991:$G991,AB$5)-SUMIFS(TF_Timer,TF_Tekniker,AB$4,TF_Dato,$A991))*2,0)/2)))</f>
        <v/>
      </c>
      <c r="AC991">
        <f>IF(OR(AC$4="",$A991&gt;TODAY()),0,IF(OR(INDEX($B991:$D991,AC$5)="F",AND(AC$6&gt;0,$A991&lt;AC$6),AND(AC$7&gt;0,$A991&gt;AC$7)),0,MAX(0,ROUND((INDEX($E991:$G991,AC$5)-SUMIFS(TF_Timer,TF_Tekniker,AC$4,TF_Dato,$A991))*2,0)/2)))</f>
        <v/>
      </c>
      <c r="AD991">
        <f>IF(OR(AD$4="",$A991&gt;TODAY()),0,IF(OR(INDEX($B991:$D991,AD$5)="F",AND(AD$6&gt;0,$A991&lt;AD$6),AND(AD$7&gt;0,$A991&gt;AD$7)),0,MAX(0,ROUND((INDEX($E991:$G991,AD$5)-SUMIFS(TF_Timer,TF_Tekniker,AD$4,TF_Dato,$A991))*2,0)/2)))</f>
        <v/>
      </c>
      <c r="AE991">
        <f>IF(OR(AE$4="",$A991&gt;TODAY()),0,IF(OR(INDEX($B991:$D991,AE$5)="F",AND(AE$6&gt;0,$A991&lt;AE$6),AND(AE$7&gt;0,$A991&gt;AE$7)),0,MAX(0,ROUND((INDEX($E991:$G991,AE$5)-SUMIFS(TF_Timer,TF_Tekniker,AE$4,TF_Dato,$A991))*2,0)/2)))</f>
        <v/>
      </c>
      <c r="AF991">
        <f>IF(OR(AF$4="",$A991&gt;TODAY()),0,IF(OR(INDEX($B991:$D991,AF$5)="F",AND(AF$6&gt;0,$A991&lt;AF$6),AND(AF$7&gt;0,$A991&gt;AF$7)),0,MAX(0,ROUND((INDEX($E991:$G991,AF$5)-SUMIFS(TF_Timer,TF_Tekniker,AF$4,TF_Dato,$A991))*2,0)/2)))</f>
        <v/>
      </c>
      <c r="AG991">
        <f>IF(OR(AG$4="",$A991&gt;TODAY()),0,IF(OR(INDEX($B991:$D991,AG$5)="F",AND(AG$6&gt;0,$A991&lt;AG$6),AND(AG$7&gt;0,$A991&gt;AG$7)),0,MAX(0,ROUND((INDEX($E991:$G991,AG$5)-SUMIFS(TF_Timer,TF_Tekniker,AG$4,TF_Dato,$A991))*2,0)/2)))</f>
        <v/>
      </c>
      <c r="AH991">
        <f>IF(OR(AH$4="",$A991&gt;TODAY()),0,IF(OR(INDEX($B991:$D991,AH$5)="F",AND(AH$6&gt;0,$A991&lt;AH$6),AND(AH$7&gt;0,$A991&gt;AH$7)),0,MAX(0,ROUND((INDEX($E991:$G991,AH$5)-SUMIFS(TF_Timer,TF_Tekniker,AH$4,TF_Dato,$A991))*2,0)/2)))</f>
        <v/>
      </c>
      <c r="AI991">
        <f>IF(OR(AI$4="",$A991&gt;TODAY()),0,IF(OR(INDEX($B991:$D991,AI$5)="F",AND(AI$6&gt;0,$A991&lt;AI$6),AND(AI$7&gt;0,$A991&gt;AI$7)),0,MAX(0,ROUND((INDEX($E991:$G991,AI$5)-SUMIFS(TF_Timer,TF_Tekniker,AI$4,TF_Dato,$A991))*2,0)/2)))</f>
        <v/>
      </c>
      <c r="AJ991">
        <f>IF(OR(AJ$4="",$A991&gt;TODAY()),0,IF(OR(INDEX($B991:$D991,AJ$5)="F",AND(AJ$6&gt;0,$A991&lt;AJ$6),AND(AJ$7&gt;0,$A991&gt;AJ$7)),0,MAX(0,ROUND((INDEX($E991:$G991,AJ$5)-SUMIFS(TF_Timer,TF_Tekniker,AJ$4,TF_Dato,$A991))*2,0)/2)))</f>
        <v/>
      </c>
      <c r="AK991">
        <f>IF(OR(AK$4="",$A991&gt;TODAY()),0,IF(OR(INDEX($B991:$D991,AK$5)="F",AND(AK$6&gt;0,$A991&lt;AK$6),AND(AK$7&gt;0,$A991&gt;AK$7)),0,MAX(0,ROUND((INDEX($E991:$G991,AK$5)-SUMIFS(TF_Timer,TF_Tekniker,AK$4,TF_Dato,$A991))*2,0)/2)))</f>
        <v/>
      </c>
      <c r="AL991">
        <f>IF(OR(AL$4="",$A991&gt;TODAY()),0,IF(OR(INDEX($B991:$D991,AL$5)="F",AND(AL$6&gt;0,$A991&lt;AL$6),AND(AL$7&gt;0,$A991&gt;AL$7)),0,MAX(0,ROUND((INDEX($E991:$G991,AL$5)-SUMIFS(TF_Timer,TF_Tekniker,AL$4,TF_Dato,$A991))*2,0)/2)))</f>
        <v/>
      </c>
      <c r="AM991">
        <f>IF(OR(AM$4="",$A991&gt;TODAY()),0,IF(OR(INDEX($B991:$D991,AM$5)="F",AND(AM$6&gt;0,$A991&lt;AM$6),AND(AM$7&gt;0,$A991&gt;AM$7)),0,MAX(0,ROUND((INDEX($E991:$G991,AM$5)-SUMIFS(TF_Timer,TF_Tekniker,AM$4,TF_Dato,$A991))*2,0)/2)))</f>
        <v/>
      </c>
      <c r="AN991">
        <f>IF(OR(AN$4="",$A991&gt;TODAY()),0,IF(OR(INDEX($B991:$D991,AN$5)="F",AND(AN$6&gt;0,$A991&lt;AN$6),AND(AN$7&gt;0,$A991&gt;AN$7)),0,MAX(0,ROUND((INDEX($E991:$G991,AN$5)-SUMIFS(TF_Timer,TF_Tekniker,AN$4,TF_Dato,$A991))*2,0)/2)))</f>
        <v/>
      </c>
      <c r="AO991">
        <f>IF(OR(AO$4="",$A991&gt;TODAY()),0,IF(OR(INDEX($B991:$D991,AO$5)="F",AND(AO$6&gt;0,$A991&lt;AO$6),AND(AO$7&gt;0,$A991&gt;AO$7)),0,MAX(0,ROUND((INDEX($E991:$G991,AO$5)-SUMIFS(TF_Timer,TF_Tekniker,AO$4,TF_Dato,$A991))*2,0)/2)))</f>
        <v/>
      </c>
      <c r="AP991">
        <f>IF(OR(AP$4="",$A991&gt;TODAY()),0,IF(OR(INDEX($B991:$D991,AP$5)="F",AND(AP$6&gt;0,$A991&lt;AP$6),AND(AP$7&gt;0,$A991&gt;AP$7)),0,MAX(0,ROUND((INDEX($E991:$G991,AP$5)-SUMIFS(TF_Timer,TF_Tekniker,AP$4,TF_Dato,$A991))*2,0)/2)))</f>
        <v/>
      </c>
      <c r="AQ991">
        <f>IF(OR(AQ$4="",$A991&gt;TODAY()),0,IF(OR(INDEX($B991:$D991,AQ$5)="F",AND(AQ$6&gt;0,$A991&lt;AQ$6),AND(AQ$7&gt;0,$A991&gt;AQ$7)),0,MAX(0,ROUND((INDEX($E991:$G991,AQ$5)-SUMIFS(TF_Timer,TF_Tekniker,AQ$4,TF_Dato,$A991))*2,0)/2)))</f>
        <v/>
      </c>
      <c r="AR991">
        <f>IF(OR(AR$4="",$A991&gt;TODAY()),0,IF(OR(INDEX($B991:$D991,AR$5)="F",AND(AR$6&gt;0,$A991&lt;AR$6),AND(AR$7&gt;0,$A991&gt;AR$7)),0,MAX(0,ROUND((INDEX($E991:$G991,AR$5)-SUMIFS(TF_Timer,TF_Tekniker,AR$4,TF_Dato,$A991))*2,0)/2)))</f>
        <v/>
      </c>
      <c r="AS991">
        <f>IF(OR(AS$4="",$A991&gt;TODAY()),0,IF(OR(INDEX($B991:$D991,AS$5)="F",AND(AS$6&gt;0,$A991&lt;AS$6),AND(AS$7&gt;0,$A991&gt;AS$7)),0,MAX(0,ROUND((INDEX($E991:$G991,AS$5)-SUMIFS(TF_Timer,TF_Tekniker,AS$4,TF_Dato,$A991))*2,0)/2)))</f>
        <v/>
      </c>
      <c r="AT991">
        <f>IF(OR(AT$4="",$A991&gt;TODAY()),0,IF(OR(INDEX($B991:$D991,AT$5)="F",AND(AT$6&gt;0,$A991&lt;AT$6),AND(AT$7&gt;0,$A991&gt;AT$7)),0,MAX(0,ROUND((INDEX($E991:$G991,AT$5)-SUMIFS(TF_Timer,TF_Tekniker,AT$4,TF_Dato,$A991))*2,0)/2)))</f>
        <v/>
      </c>
      <c r="AU991">
        <f>IF(OR(AU$4="",$A991&gt;TODAY()),0,IF(OR(INDEX($B991:$D991,AU$5)="F",AND(AU$6&gt;0,$A991&lt;AU$6),AND(AU$7&gt;0,$A991&gt;AU$7)),0,MAX(0,ROUND((INDEX($E991:$G991,AU$5)-SUMIFS(TF_Timer,TF_Tekniker,AU$4,TF_Dato,$A991))*2,0)/2)))</f>
        <v/>
      </c>
      <c r="AV991">
        <f>IF(OR(AV$4="",$A991&gt;TODAY()),0,IF(OR(INDEX($B991:$D991,AV$5)="F",AND(AV$6&gt;0,$A991&lt;AV$6),AND(AV$7&gt;0,$A991&gt;AV$7)),0,MAX(0,ROUND((INDEX($E991:$G991,AV$5)-SUMIFS(TF_Timer,TF_Tekniker,AV$4,TF_Dato,$A991))*2,0)/2)))</f>
        <v/>
      </c>
      <c r="AW991">
        <f>IF(OR(AW$4="",$A991&gt;TODAY()),0,IF(OR(INDEX($B991:$D991,AW$5)="F",AND(AW$6&gt;0,$A991&lt;AW$6),AND(AW$7&gt;0,$A991&gt;AW$7)),0,MAX(0,ROUND((INDEX($E991:$G991,AW$5)-SUMIFS(TF_Timer,TF_Tekniker,AW$4,TF_Dato,$A991))*2,0)/2)))</f>
        <v/>
      </c>
      <c r="AX991">
        <f>IF(OR(AX$4="",$A991&gt;TODAY()),0,IF(OR(INDEX($B991:$D991,AX$5)="F",AND(AX$6&gt;0,$A991&lt;AX$6),AND(AX$7&gt;0,$A991&gt;AX$7)),0,MAX(0,ROUND((INDEX($E991:$G991,AX$5)-SUMIFS(TF_Timer,TF_Tekniker,AX$4,TF_Dato,$A991))*2,0)/2)))</f>
        <v/>
      </c>
      <c r="AY991">
        <f>IF(OR(AY$4="",$A991&gt;TODAY()),0,IF(OR(INDEX($B991:$D991,AY$5)="F",AND(AY$6&gt;0,$A991&lt;AY$6),AND(AY$7&gt;0,$A991&gt;AY$7)),0,MAX(0,ROUND((INDEX($E991:$G991,AY$5)-SUMIFS(TF_Timer,TF_Tekniker,AY$4,TF_Dato,$A991))*2,0)/2)))</f>
        <v/>
      </c>
      <c r="AZ991">
        <f>IF(OR(AZ$4="",$A991&gt;TODAY()),0,IF(OR(INDEX($B991:$D991,AZ$5)="F",AND(AZ$6&gt;0,$A991&lt;AZ$6),AND(AZ$7&gt;0,$A991&gt;AZ$7)),0,MAX(0,ROUND((INDEX($E991:$G991,AZ$5)-SUMIFS(TF_Timer,TF_Tekniker,AZ$4,TF_Dato,$A991))*2,0)/2)))</f>
        <v/>
      </c>
      <c r="BA991">
        <f>IF(OR(BA$4="",$A991&gt;TODAY()),0,IF(OR(INDEX($B991:$D991,BA$5)="F",AND(BA$6&gt;0,$A991&lt;BA$6),AND(BA$7&gt;0,$A991&gt;BA$7)),0,MAX(0,ROUND((INDEX($E991:$G991,BA$5)-SUMIFS(TF_Timer,TF_Tekniker,BA$4,TF_Dato,$A991))*2,0)/2)))</f>
        <v/>
      </c>
      <c r="BB991">
        <f>IF(OR(BB$4="",$A991&gt;TODAY()),0,IF(OR(INDEX($B991:$D991,BB$5)="F",AND(BB$6&gt;0,$A991&lt;BB$6),AND(BB$7&gt;0,$A991&gt;BB$7)),0,MAX(0,ROUND((INDEX($E991:$G991,BB$5)-SUMIFS(TF_Timer,TF_Tekniker,BB$4,TF_Dato,$A991))*2,0)/2)))</f>
        <v/>
      </c>
      <c r="BC991">
        <f>IF(OR(BC$4="",$A991&gt;TODAY()),0,IF(OR(INDEX($B991:$D991,BC$5)="F",AND(BC$6&gt;0,$A991&lt;BC$6),AND(BC$7&gt;0,$A991&gt;BC$7)),0,MAX(0,ROUND((INDEX($E991:$G991,BC$5)-SUMIFS(TF_Timer,TF_Tekniker,BC$4,TF_Dato,$A991))*2,0)/2)))</f>
        <v/>
      </c>
      <c r="BD991">
        <f>IF(OR(BD$4="",$A991&gt;TODAY()),0,IF(OR(INDEX($B991:$D991,BD$5)="F",AND(BD$6&gt;0,$A991&lt;BD$6),AND(BD$7&gt;0,$A991&gt;BD$7)),0,MAX(0,ROUND((INDEX($E991:$G991,BD$5)-SUMIFS(TF_Timer,TF_Tekniker,BD$4,TF_Dato,$A991))*2,0)/2)))</f>
        <v/>
      </c>
      <c r="BE991">
        <f>IF(OR(BE$4="",$A991&gt;TODAY()),0,IF(OR(INDEX($B991:$D991,BE$5)="F",AND(BE$6&gt;0,$A991&lt;BE$6),AND(BE$7&gt;0,$A991&gt;BE$7)),0,MAX(0,ROUND((INDEX($E991:$G991,BE$5)-SUMIFS(TF_Timer,TF_Tekniker,BE$4,TF_Dato,$A991))*2,0)/2)))</f>
        <v/>
      </c>
      <c r="BF991">
        <f>IF(OR(BF$4="",$A991&gt;TODAY()),0,IF(OR(INDEX($B991:$D991,BF$5)="F",AND(BF$6&gt;0,$A991&lt;BF$6),AND(BF$7&gt;0,$A991&gt;BF$7)),0,MAX(0,ROUND((INDEX($E991:$G991,BF$5)-SUMIFS(TF_Timer,TF_Tekniker,BF$4,TF_Dato,$A991))*2,0)/2)))</f>
        <v/>
      </c>
      <c r="BG991">
        <f>IF(OR(BG$4="",$A991&gt;TODAY()),0,IF(OR(INDEX($B991:$D991,BG$5)="F",AND(BG$6&gt;0,$A991&lt;BG$6),AND(BG$7&gt;0,$A991&gt;BG$7)),0,MAX(0,ROUND((INDEX($E991:$G991,BG$5)-SUMIFS(TF_Timer,TF_Tekniker,BG$4,TF_Dato,$A991))*2,0)/2)))</f>
        <v/>
      </c>
      <c r="BH991">
        <f>IF(OR(BH$4="",$A991&gt;TODAY()),0,IF(OR(INDEX($B991:$D991,BH$5)="F",AND(BH$6&gt;0,$A991&lt;BH$6),AND(BH$7&gt;0,$A991&gt;BH$7)),0,MAX(0,ROUND((INDEX($E991:$G991,BH$5)-SUMIFS(TF_Timer,TF_Tekniker,BH$4,TF_Dato,$A991))*2,0)/2)))</f>
        <v/>
      </c>
      <c r="BI991">
        <f>IF(OR(BI$4="",$A991&gt;TODAY()),0,IF(OR(INDEX($B991:$D991,BI$5)="F",AND(BI$6&gt;0,$A991&lt;BI$6),AND(BI$7&gt;0,$A991&gt;BI$7)),0,MAX(0,ROUND((INDEX($E991:$G991,BI$5)-SUMIFS(TF_Timer,TF_Tekniker,BI$4,TF_Dato,$A991))*2,0)/2)))</f>
        <v/>
      </c>
    </row>
    <row r="992">
      <c r="A992" s="64">
        <f>A991+1</f>
        <v/>
      </c>
      <c r="B992">
        <f>IF(MOD($A992-INDEX(SkiftStart,1),Syklus)&lt;DagK,"K",IF(MOD($A992-INDEX(SkiftStart,1),Syklus)&lt;DagK+DagH,"H",IF(MOD($A992-INDEX(SkiftStart,1),Syklus)&lt;DagK+DagH+DagD,"D","F")))</f>
        <v/>
      </c>
      <c r="C992">
        <f>IF(MOD($A992-INDEX(SkiftStart,2),Syklus)&lt;DagK,"K",IF(MOD($A992-INDEX(SkiftStart,2),Syklus)&lt;DagK+DagH,"H",IF(MOD($A992-INDEX(SkiftStart,2),Syklus)&lt;DagK+DagH+DagD,"D","F")))</f>
        <v/>
      </c>
      <c r="D992">
        <f>IF(MOD($A992-INDEX(SkiftStart,3),Syklus)&lt;DagK,"K",IF(MOD($A992-INDEX(SkiftStart,3),Syklus)&lt;DagK+DagH,"H",IF(MOD($A992-INDEX(SkiftStart,3),Syklus)&lt;DagK+DagH+DagD,"D","F")))</f>
        <v/>
      </c>
      <c r="E992">
        <f>IF(B992="F",0,IF(WEEKDAY($A992,2)=5,INDEX(TimerFr,MATCH(B992,FaseKode,0)),INDEX(TimerMT,MATCH(B992,FaseKode,0))))</f>
        <v/>
      </c>
      <c r="F992">
        <f>IF(C992="F",0,IF(WEEKDAY($A992,2)=5,INDEX(TimerFr,MATCH(C992,FaseKode,0)),INDEX(TimerMT,MATCH(C992,FaseKode,0))))</f>
        <v/>
      </c>
      <c r="G992">
        <f>IF(D992="F",0,IF(WEEKDAY($A992,2)=5,INDEX(TimerFr,MATCH(D992,FaseKode,0)),INDEX(TimerMT,MATCH(D992,FaseKode,0))))</f>
        <v/>
      </c>
      <c r="H992">
        <f>IF(OR(H$4="",$A992&gt;TODAY()),0,IF(OR(INDEX($B992:$D992,H$5)="F",AND(H$6&gt;0,$A992&lt;H$6),AND(H$7&gt;0,$A992&gt;H$7)),0,MAX(0,ROUND((INDEX($E992:$G992,H$5)-SUMIFS(TF_Timer,TF_Tekniker,H$4,TF_Dato,$A992))*2,0)/2)))</f>
        <v/>
      </c>
      <c r="I992">
        <f>IF(OR(I$4="",$A992&gt;TODAY()),0,IF(OR(INDEX($B992:$D992,I$5)="F",AND(I$6&gt;0,$A992&lt;I$6),AND(I$7&gt;0,$A992&gt;I$7)),0,MAX(0,ROUND((INDEX($E992:$G992,I$5)-SUMIFS(TF_Timer,TF_Tekniker,I$4,TF_Dato,$A992))*2,0)/2)))</f>
        <v/>
      </c>
      <c r="J992">
        <f>IF(OR(J$4="",$A992&gt;TODAY()),0,IF(OR(INDEX($B992:$D992,J$5)="F",AND(J$6&gt;0,$A992&lt;J$6),AND(J$7&gt;0,$A992&gt;J$7)),0,MAX(0,ROUND((INDEX($E992:$G992,J$5)-SUMIFS(TF_Timer,TF_Tekniker,J$4,TF_Dato,$A992))*2,0)/2)))</f>
        <v/>
      </c>
      <c r="K992">
        <f>IF(OR(K$4="",$A992&gt;TODAY()),0,IF(OR(INDEX($B992:$D992,K$5)="F",AND(K$6&gt;0,$A992&lt;K$6),AND(K$7&gt;0,$A992&gt;K$7)),0,MAX(0,ROUND((INDEX($E992:$G992,K$5)-SUMIFS(TF_Timer,TF_Tekniker,K$4,TF_Dato,$A992))*2,0)/2)))</f>
        <v/>
      </c>
      <c r="L992">
        <f>IF(OR(L$4="",$A992&gt;TODAY()),0,IF(OR(INDEX($B992:$D992,L$5)="F",AND(L$6&gt;0,$A992&lt;L$6),AND(L$7&gt;0,$A992&gt;L$7)),0,MAX(0,ROUND((INDEX($E992:$G992,L$5)-SUMIFS(TF_Timer,TF_Tekniker,L$4,TF_Dato,$A992))*2,0)/2)))</f>
        <v/>
      </c>
      <c r="M992">
        <f>IF(OR(M$4="",$A992&gt;TODAY()),0,IF(OR(INDEX($B992:$D992,M$5)="F",AND(M$6&gt;0,$A992&lt;M$6),AND(M$7&gt;0,$A992&gt;M$7)),0,MAX(0,ROUND((INDEX($E992:$G992,M$5)-SUMIFS(TF_Timer,TF_Tekniker,M$4,TF_Dato,$A992))*2,0)/2)))</f>
        <v/>
      </c>
      <c r="N992">
        <f>IF(OR(N$4="",$A992&gt;TODAY()),0,IF(OR(INDEX($B992:$D992,N$5)="F",AND(N$6&gt;0,$A992&lt;N$6),AND(N$7&gt;0,$A992&gt;N$7)),0,MAX(0,ROUND((INDEX($E992:$G992,N$5)-SUMIFS(TF_Timer,TF_Tekniker,N$4,TF_Dato,$A992))*2,0)/2)))</f>
        <v/>
      </c>
      <c r="O992">
        <f>IF(OR(O$4="",$A992&gt;TODAY()),0,IF(OR(INDEX($B992:$D992,O$5)="F",AND(O$6&gt;0,$A992&lt;O$6),AND(O$7&gt;0,$A992&gt;O$7)),0,MAX(0,ROUND((INDEX($E992:$G992,O$5)-SUMIFS(TF_Timer,TF_Tekniker,O$4,TF_Dato,$A992))*2,0)/2)))</f>
        <v/>
      </c>
      <c r="P992">
        <f>IF(OR(P$4="",$A992&gt;TODAY()),0,IF(OR(INDEX($B992:$D992,P$5)="F",AND(P$6&gt;0,$A992&lt;P$6),AND(P$7&gt;0,$A992&gt;P$7)),0,MAX(0,ROUND((INDEX($E992:$G992,P$5)-SUMIFS(TF_Timer,TF_Tekniker,P$4,TF_Dato,$A992))*2,0)/2)))</f>
        <v/>
      </c>
      <c r="Q992">
        <f>IF(OR(Q$4="",$A992&gt;TODAY()),0,IF(OR(INDEX($B992:$D992,Q$5)="F",AND(Q$6&gt;0,$A992&lt;Q$6),AND(Q$7&gt;0,$A992&gt;Q$7)),0,MAX(0,ROUND((INDEX($E992:$G992,Q$5)-SUMIFS(TF_Timer,TF_Tekniker,Q$4,TF_Dato,$A992))*2,0)/2)))</f>
        <v/>
      </c>
      <c r="R992">
        <f>IF(OR(R$4="",$A992&gt;TODAY()),0,IF(OR(INDEX($B992:$D992,R$5)="F",AND(R$6&gt;0,$A992&lt;R$6),AND(R$7&gt;0,$A992&gt;R$7)),0,MAX(0,ROUND((INDEX($E992:$G992,R$5)-SUMIFS(TF_Timer,TF_Tekniker,R$4,TF_Dato,$A992))*2,0)/2)))</f>
        <v/>
      </c>
      <c r="S992">
        <f>IF(OR(S$4="",$A992&gt;TODAY()),0,IF(OR(INDEX($B992:$D992,S$5)="F",AND(S$6&gt;0,$A992&lt;S$6),AND(S$7&gt;0,$A992&gt;S$7)),0,MAX(0,ROUND((INDEX($E992:$G992,S$5)-SUMIFS(TF_Timer,TF_Tekniker,S$4,TF_Dato,$A992))*2,0)/2)))</f>
        <v/>
      </c>
      <c r="T992">
        <f>IF(OR(T$4="",$A992&gt;TODAY()),0,IF(OR(INDEX($B992:$D992,T$5)="F",AND(T$6&gt;0,$A992&lt;T$6),AND(T$7&gt;0,$A992&gt;T$7)),0,MAX(0,ROUND((INDEX($E992:$G992,T$5)-SUMIFS(TF_Timer,TF_Tekniker,T$4,TF_Dato,$A992))*2,0)/2)))</f>
        <v/>
      </c>
      <c r="U992">
        <f>IF(OR(U$4="",$A992&gt;TODAY()),0,IF(OR(INDEX($B992:$D992,U$5)="F",AND(U$6&gt;0,$A992&lt;U$6),AND(U$7&gt;0,$A992&gt;U$7)),0,MAX(0,ROUND((INDEX($E992:$G992,U$5)-SUMIFS(TF_Timer,TF_Tekniker,U$4,TF_Dato,$A992))*2,0)/2)))</f>
        <v/>
      </c>
      <c r="V992">
        <f>IF(OR(V$4="",$A992&gt;TODAY()),0,IF(OR(INDEX($B992:$D992,V$5)="F",AND(V$6&gt;0,$A992&lt;V$6),AND(V$7&gt;0,$A992&gt;V$7)),0,MAX(0,ROUND((INDEX($E992:$G992,V$5)-SUMIFS(TF_Timer,TF_Tekniker,V$4,TF_Dato,$A992))*2,0)/2)))</f>
        <v/>
      </c>
      <c r="W992">
        <f>IF(OR(W$4="",$A992&gt;TODAY()),0,IF(OR(INDEX($B992:$D992,W$5)="F",AND(W$6&gt;0,$A992&lt;W$6),AND(W$7&gt;0,$A992&gt;W$7)),0,MAX(0,ROUND((INDEX($E992:$G992,W$5)-SUMIFS(TF_Timer,TF_Tekniker,W$4,TF_Dato,$A992))*2,0)/2)))</f>
        <v/>
      </c>
      <c r="X992">
        <f>IF(OR(X$4="",$A992&gt;TODAY()),0,IF(OR(INDEX($B992:$D992,X$5)="F",AND(X$6&gt;0,$A992&lt;X$6),AND(X$7&gt;0,$A992&gt;X$7)),0,MAX(0,ROUND((INDEX($E992:$G992,X$5)-SUMIFS(TF_Timer,TF_Tekniker,X$4,TF_Dato,$A992))*2,0)/2)))</f>
        <v/>
      </c>
      <c r="Y992">
        <f>IF(OR(Y$4="",$A992&gt;TODAY()),0,IF(OR(INDEX($B992:$D992,Y$5)="F",AND(Y$6&gt;0,$A992&lt;Y$6),AND(Y$7&gt;0,$A992&gt;Y$7)),0,MAX(0,ROUND((INDEX($E992:$G992,Y$5)-SUMIFS(TF_Timer,TF_Tekniker,Y$4,TF_Dato,$A992))*2,0)/2)))</f>
        <v/>
      </c>
      <c r="Z992">
        <f>IF(OR(Z$4="",$A992&gt;TODAY()),0,IF(OR(INDEX($B992:$D992,Z$5)="F",AND(Z$6&gt;0,$A992&lt;Z$6),AND(Z$7&gt;0,$A992&gt;Z$7)),0,MAX(0,ROUND((INDEX($E992:$G992,Z$5)-SUMIFS(TF_Timer,TF_Tekniker,Z$4,TF_Dato,$A992))*2,0)/2)))</f>
        <v/>
      </c>
      <c r="AA992">
        <f>IF(OR(AA$4="",$A992&gt;TODAY()),0,IF(OR(INDEX($B992:$D992,AA$5)="F",AND(AA$6&gt;0,$A992&lt;AA$6),AND(AA$7&gt;0,$A992&gt;AA$7)),0,MAX(0,ROUND((INDEX($E992:$G992,AA$5)-SUMIFS(TF_Timer,TF_Tekniker,AA$4,TF_Dato,$A992))*2,0)/2)))</f>
        <v/>
      </c>
      <c r="AB992">
        <f>IF(OR(AB$4="",$A992&gt;TODAY()),0,IF(OR(INDEX($B992:$D992,AB$5)="F",AND(AB$6&gt;0,$A992&lt;AB$6),AND(AB$7&gt;0,$A992&gt;AB$7)),0,MAX(0,ROUND((INDEX($E992:$G992,AB$5)-SUMIFS(TF_Timer,TF_Tekniker,AB$4,TF_Dato,$A992))*2,0)/2)))</f>
        <v/>
      </c>
      <c r="AC992">
        <f>IF(OR(AC$4="",$A992&gt;TODAY()),0,IF(OR(INDEX($B992:$D992,AC$5)="F",AND(AC$6&gt;0,$A992&lt;AC$6),AND(AC$7&gt;0,$A992&gt;AC$7)),0,MAX(0,ROUND((INDEX($E992:$G992,AC$5)-SUMIFS(TF_Timer,TF_Tekniker,AC$4,TF_Dato,$A992))*2,0)/2)))</f>
        <v/>
      </c>
      <c r="AD992">
        <f>IF(OR(AD$4="",$A992&gt;TODAY()),0,IF(OR(INDEX($B992:$D992,AD$5)="F",AND(AD$6&gt;0,$A992&lt;AD$6),AND(AD$7&gt;0,$A992&gt;AD$7)),0,MAX(0,ROUND((INDEX($E992:$G992,AD$5)-SUMIFS(TF_Timer,TF_Tekniker,AD$4,TF_Dato,$A992))*2,0)/2)))</f>
        <v/>
      </c>
      <c r="AE992">
        <f>IF(OR(AE$4="",$A992&gt;TODAY()),0,IF(OR(INDEX($B992:$D992,AE$5)="F",AND(AE$6&gt;0,$A992&lt;AE$6),AND(AE$7&gt;0,$A992&gt;AE$7)),0,MAX(0,ROUND((INDEX($E992:$G992,AE$5)-SUMIFS(TF_Timer,TF_Tekniker,AE$4,TF_Dato,$A992))*2,0)/2)))</f>
        <v/>
      </c>
      <c r="AF992">
        <f>IF(OR(AF$4="",$A992&gt;TODAY()),0,IF(OR(INDEX($B992:$D992,AF$5)="F",AND(AF$6&gt;0,$A992&lt;AF$6),AND(AF$7&gt;0,$A992&gt;AF$7)),0,MAX(0,ROUND((INDEX($E992:$G992,AF$5)-SUMIFS(TF_Timer,TF_Tekniker,AF$4,TF_Dato,$A992))*2,0)/2)))</f>
        <v/>
      </c>
      <c r="AG992">
        <f>IF(OR(AG$4="",$A992&gt;TODAY()),0,IF(OR(INDEX($B992:$D992,AG$5)="F",AND(AG$6&gt;0,$A992&lt;AG$6),AND(AG$7&gt;0,$A992&gt;AG$7)),0,MAX(0,ROUND((INDEX($E992:$G992,AG$5)-SUMIFS(TF_Timer,TF_Tekniker,AG$4,TF_Dato,$A992))*2,0)/2)))</f>
        <v/>
      </c>
      <c r="AH992">
        <f>IF(OR(AH$4="",$A992&gt;TODAY()),0,IF(OR(INDEX($B992:$D992,AH$5)="F",AND(AH$6&gt;0,$A992&lt;AH$6),AND(AH$7&gt;0,$A992&gt;AH$7)),0,MAX(0,ROUND((INDEX($E992:$G992,AH$5)-SUMIFS(TF_Timer,TF_Tekniker,AH$4,TF_Dato,$A992))*2,0)/2)))</f>
        <v/>
      </c>
      <c r="AI992">
        <f>IF(OR(AI$4="",$A992&gt;TODAY()),0,IF(OR(INDEX($B992:$D992,AI$5)="F",AND(AI$6&gt;0,$A992&lt;AI$6),AND(AI$7&gt;0,$A992&gt;AI$7)),0,MAX(0,ROUND((INDEX($E992:$G992,AI$5)-SUMIFS(TF_Timer,TF_Tekniker,AI$4,TF_Dato,$A992))*2,0)/2)))</f>
        <v/>
      </c>
      <c r="AJ992">
        <f>IF(OR(AJ$4="",$A992&gt;TODAY()),0,IF(OR(INDEX($B992:$D992,AJ$5)="F",AND(AJ$6&gt;0,$A992&lt;AJ$6),AND(AJ$7&gt;0,$A992&gt;AJ$7)),0,MAX(0,ROUND((INDEX($E992:$G992,AJ$5)-SUMIFS(TF_Timer,TF_Tekniker,AJ$4,TF_Dato,$A992))*2,0)/2)))</f>
        <v/>
      </c>
      <c r="AK992">
        <f>IF(OR(AK$4="",$A992&gt;TODAY()),0,IF(OR(INDEX($B992:$D992,AK$5)="F",AND(AK$6&gt;0,$A992&lt;AK$6),AND(AK$7&gt;0,$A992&gt;AK$7)),0,MAX(0,ROUND((INDEX($E992:$G992,AK$5)-SUMIFS(TF_Timer,TF_Tekniker,AK$4,TF_Dato,$A992))*2,0)/2)))</f>
        <v/>
      </c>
      <c r="AL992">
        <f>IF(OR(AL$4="",$A992&gt;TODAY()),0,IF(OR(INDEX($B992:$D992,AL$5)="F",AND(AL$6&gt;0,$A992&lt;AL$6),AND(AL$7&gt;0,$A992&gt;AL$7)),0,MAX(0,ROUND((INDEX($E992:$G992,AL$5)-SUMIFS(TF_Timer,TF_Tekniker,AL$4,TF_Dato,$A992))*2,0)/2)))</f>
        <v/>
      </c>
      <c r="AM992">
        <f>IF(OR(AM$4="",$A992&gt;TODAY()),0,IF(OR(INDEX($B992:$D992,AM$5)="F",AND(AM$6&gt;0,$A992&lt;AM$6),AND(AM$7&gt;0,$A992&gt;AM$7)),0,MAX(0,ROUND((INDEX($E992:$G992,AM$5)-SUMIFS(TF_Timer,TF_Tekniker,AM$4,TF_Dato,$A992))*2,0)/2)))</f>
        <v/>
      </c>
      <c r="AN992">
        <f>IF(OR(AN$4="",$A992&gt;TODAY()),0,IF(OR(INDEX($B992:$D992,AN$5)="F",AND(AN$6&gt;0,$A992&lt;AN$6),AND(AN$7&gt;0,$A992&gt;AN$7)),0,MAX(0,ROUND((INDEX($E992:$G992,AN$5)-SUMIFS(TF_Timer,TF_Tekniker,AN$4,TF_Dato,$A992))*2,0)/2)))</f>
        <v/>
      </c>
      <c r="AO992">
        <f>IF(OR(AO$4="",$A992&gt;TODAY()),0,IF(OR(INDEX($B992:$D992,AO$5)="F",AND(AO$6&gt;0,$A992&lt;AO$6),AND(AO$7&gt;0,$A992&gt;AO$7)),0,MAX(0,ROUND((INDEX($E992:$G992,AO$5)-SUMIFS(TF_Timer,TF_Tekniker,AO$4,TF_Dato,$A992))*2,0)/2)))</f>
        <v/>
      </c>
      <c r="AP992">
        <f>IF(OR(AP$4="",$A992&gt;TODAY()),0,IF(OR(INDEX($B992:$D992,AP$5)="F",AND(AP$6&gt;0,$A992&lt;AP$6),AND(AP$7&gt;0,$A992&gt;AP$7)),0,MAX(0,ROUND((INDEX($E992:$G992,AP$5)-SUMIFS(TF_Timer,TF_Tekniker,AP$4,TF_Dato,$A992))*2,0)/2)))</f>
        <v/>
      </c>
      <c r="AQ992">
        <f>IF(OR(AQ$4="",$A992&gt;TODAY()),0,IF(OR(INDEX($B992:$D992,AQ$5)="F",AND(AQ$6&gt;0,$A992&lt;AQ$6),AND(AQ$7&gt;0,$A992&gt;AQ$7)),0,MAX(0,ROUND((INDEX($E992:$G992,AQ$5)-SUMIFS(TF_Timer,TF_Tekniker,AQ$4,TF_Dato,$A992))*2,0)/2)))</f>
        <v/>
      </c>
      <c r="AR992">
        <f>IF(OR(AR$4="",$A992&gt;TODAY()),0,IF(OR(INDEX($B992:$D992,AR$5)="F",AND(AR$6&gt;0,$A992&lt;AR$6),AND(AR$7&gt;0,$A992&gt;AR$7)),0,MAX(0,ROUND((INDEX($E992:$G992,AR$5)-SUMIFS(TF_Timer,TF_Tekniker,AR$4,TF_Dato,$A992))*2,0)/2)))</f>
        <v/>
      </c>
      <c r="AS992">
        <f>IF(OR(AS$4="",$A992&gt;TODAY()),0,IF(OR(INDEX($B992:$D992,AS$5)="F",AND(AS$6&gt;0,$A992&lt;AS$6),AND(AS$7&gt;0,$A992&gt;AS$7)),0,MAX(0,ROUND((INDEX($E992:$G992,AS$5)-SUMIFS(TF_Timer,TF_Tekniker,AS$4,TF_Dato,$A992))*2,0)/2)))</f>
        <v/>
      </c>
      <c r="AT992">
        <f>IF(OR(AT$4="",$A992&gt;TODAY()),0,IF(OR(INDEX($B992:$D992,AT$5)="F",AND(AT$6&gt;0,$A992&lt;AT$6),AND(AT$7&gt;0,$A992&gt;AT$7)),0,MAX(0,ROUND((INDEX($E992:$G992,AT$5)-SUMIFS(TF_Timer,TF_Tekniker,AT$4,TF_Dato,$A992))*2,0)/2)))</f>
        <v/>
      </c>
      <c r="AU992">
        <f>IF(OR(AU$4="",$A992&gt;TODAY()),0,IF(OR(INDEX($B992:$D992,AU$5)="F",AND(AU$6&gt;0,$A992&lt;AU$6),AND(AU$7&gt;0,$A992&gt;AU$7)),0,MAX(0,ROUND((INDEX($E992:$G992,AU$5)-SUMIFS(TF_Timer,TF_Tekniker,AU$4,TF_Dato,$A992))*2,0)/2)))</f>
        <v/>
      </c>
      <c r="AV992">
        <f>IF(OR(AV$4="",$A992&gt;TODAY()),0,IF(OR(INDEX($B992:$D992,AV$5)="F",AND(AV$6&gt;0,$A992&lt;AV$6),AND(AV$7&gt;0,$A992&gt;AV$7)),0,MAX(0,ROUND((INDEX($E992:$G992,AV$5)-SUMIFS(TF_Timer,TF_Tekniker,AV$4,TF_Dato,$A992))*2,0)/2)))</f>
        <v/>
      </c>
      <c r="AW992">
        <f>IF(OR(AW$4="",$A992&gt;TODAY()),0,IF(OR(INDEX($B992:$D992,AW$5)="F",AND(AW$6&gt;0,$A992&lt;AW$6),AND(AW$7&gt;0,$A992&gt;AW$7)),0,MAX(0,ROUND((INDEX($E992:$G992,AW$5)-SUMIFS(TF_Timer,TF_Tekniker,AW$4,TF_Dato,$A992))*2,0)/2)))</f>
        <v/>
      </c>
      <c r="AX992">
        <f>IF(OR(AX$4="",$A992&gt;TODAY()),0,IF(OR(INDEX($B992:$D992,AX$5)="F",AND(AX$6&gt;0,$A992&lt;AX$6),AND(AX$7&gt;0,$A992&gt;AX$7)),0,MAX(0,ROUND((INDEX($E992:$G992,AX$5)-SUMIFS(TF_Timer,TF_Tekniker,AX$4,TF_Dato,$A992))*2,0)/2)))</f>
        <v/>
      </c>
      <c r="AY992">
        <f>IF(OR(AY$4="",$A992&gt;TODAY()),0,IF(OR(INDEX($B992:$D992,AY$5)="F",AND(AY$6&gt;0,$A992&lt;AY$6),AND(AY$7&gt;0,$A992&gt;AY$7)),0,MAX(0,ROUND((INDEX($E992:$G992,AY$5)-SUMIFS(TF_Timer,TF_Tekniker,AY$4,TF_Dato,$A992))*2,0)/2)))</f>
        <v/>
      </c>
      <c r="AZ992">
        <f>IF(OR(AZ$4="",$A992&gt;TODAY()),0,IF(OR(INDEX($B992:$D992,AZ$5)="F",AND(AZ$6&gt;0,$A992&lt;AZ$6),AND(AZ$7&gt;0,$A992&gt;AZ$7)),0,MAX(0,ROUND((INDEX($E992:$G992,AZ$5)-SUMIFS(TF_Timer,TF_Tekniker,AZ$4,TF_Dato,$A992))*2,0)/2)))</f>
        <v/>
      </c>
      <c r="BA992">
        <f>IF(OR(BA$4="",$A992&gt;TODAY()),0,IF(OR(INDEX($B992:$D992,BA$5)="F",AND(BA$6&gt;0,$A992&lt;BA$6),AND(BA$7&gt;0,$A992&gt;BA$7)),0,MAX(0,ROUND((INDEX($E992:$G992,BA$5)-SUMIFS(TF_Timer,TF_Tekniker,BA$4,TF_Dato,$A992))*2,0)/2)))</f>
        <v/>
      </c>
      <c r="BB992">
        <f>IF(OR(BB$4="",$A992&gt;TODAY()),0,IF(OR(INDEX($B992:$D992,BB$5)="F",AND(BB$6&gt;0,$A992&lt;BB$6),AND(BB$7&gt;0,$A992&gt;BB$7)),0,MAX(0,ROUND((INDEX($E992:$G992,BB$5)-SUMIFS(TF_Timer,TF_Tekniker,BB$4,TF_Dato,$A992))*2,0)/2)))</f>
        <v/>
      </c>
      <c r="BC992">
        <f>IF(OR(BC$4="",$A992&gt;TODAY()),0,IF(OR(INDEX($B992:$D992,BC$5)="F",AND(BC$6&gt;0,$A992&lt;BC$6),AND(BC$7&gt;0,$A992&gt;BC$7)),0,MAX(0,ROUND((INDEX($E992:$G992,BC$5)-SUMIFS(TF_Timer,TF_Tekniker,BC$4,TF_Dato,$A992))*2,0)/2)))</f>
        <v/>
      </c>
      <c r="BD992">
        <f>IF(OR(BD$4="",$A992&gt;TODAY()),0,IF(OR(INDEX($B992:$D992,BD$5)="F",AND(BD$6&gt;0,$A992&lt;BD$6),AND(BD$7&gt;0,$A992&gt;BD$7)),0,MAX(0,ROUND((INDEX($E992:$G992,BD$5)-SUMIFS(TF_Timer,TF_Tekniker,BD$4,TF_Dato,$A992))*2,0)/2)))</f>
        <v/>
      </c>
      <c r="BE992">
        <f>IF(OR(BE$4="",$A992&gt;TODAY()),0,IF(OR(INDEX($B992:$D992,BE$5)="F",AND(BE$6&gt;0,$A992&lt;BE$6),AND(BE$7&gt;0,$A992&gt;BE$7)),0,MAX(0,ROUND((INDEX($E992:$G992,BE$5)-SUMIFS(TF_Timer,TF_Tekniker,BE$4,TF_Dato,$A992))*2,0)/2)))</f>
        <v/>
      </c>
      <c r="BF992">
        <f>IF(OR(BF$4="",$A992&gt;TODAY()),0,IF(OR(INDEX($B992:$D992,BF$5)="F",AND(BF$6&gt;0,$A992&lt;BF$6),AND(BF$7&gt;0,$A992&gt;BF$7)),0,MAX(0,ROUND((INDEX($E992:$G992,BF$5)-SUMIFS(TF_Timer,TF_Tekniker,BF$4,TF_Dato,$A992))*2,0)/2)))</f>
        <v/>
      </c>
      <c r="BG992">
        <f>IF(OR(BG$4="",$A992&gt;TODAY()),0,IF(OR(INDEX($B992:$D992,BG$5)="F",AND(BG$6&gt;0,$A992&lt;BG$6),AND(BG$7&gt;0,$A992&gt;BG$7)),0,MAX(0,ROUND((INDEX($E992:$G992,BG$5)-SUMIFS(TF_Timer,TF_Tekniker,BG$4,TF_Dato,$A992))*2,0)/2)))</f>
        <v/>
      </c>
      <c r="BH992">
        <f>IF(OR(BH$4="",$A992&gt;TODAY()),0,IF(OR(INDEX($B992:$D992,BH$5)="F",AND(BH$6&gt;0,$A992&lt;BH$6),AND(BH$7&gt;0,$A992&gt;BH$7)),0,MAX(0,ROUND((INDEX($E992:$G992,BH$5)-SUMIFS(TF_Timer,TF_Tekniker,BH$4,TF_Dato,$A992))*2,0)/2)))</f>
        <v/>
      </c>
      <c r="BI992">
        <f>IF(OR(BI$4="",$A992&gt;TODAY()),0,IF(OR(INDEX($B992:$D992,BI$5)="F",AND(BI$6&gt;0,$A992&lt;BI$6),AND(BI$7&gt;0,$A992&gt;BI$7)),0,MAX(0,ROUND((INDEX($E992:$G992,BI$5)-SUMIFS(TF_Timer,TF_Tekniker,BI$4,TF_Dato,$A992))*2,0)/2)))</f>
        <v/>
      </c>
    </row>
    <row r="993">
      <c r="A993" s="64">
        <f>A992+1</f>
        <v/>
      </c>
      <c r="B993">
        <f>IF(MOD($A993-INDEX(SkiftStart,1),Syklus)&lt;DagK,"K",IF(MOD($A993-INDEX(SkiftStart,1),Syklus)&lt;DagK+DagH,"H",IF(MOD($A993-INDEX(SkiftStart,1),Syklus)&lt;DagK+DagH+DagD,"D","F")))</f>
        <v/>
      </c>
      <c r="C993">
        <f>IF(MOD($A993-INDEX(SkiftStart,2),Syklus)&lt;DagK,"K",IF(MOD($A993-INDEX(SkiftStart,2),Syklus)&lt;DagK+DagH,"H",IF(MOD($A993-INDEX(SkiftStart,2),Syklus)&lt;DagK+DagH+DagD,"D","F")))</f>
        <v/>
      </c>
      <c r="D993">
        <f>IF(MOD($A993-INDEX(SkiftStart,3),Syklus)&lt;DagK,"K",IF(MOD($A993-INDEX(SkiftStart,3),Syklus)&lt;DagK+DagH,"H",IF(MOD($A993-INDEX(SkiftStart,3),Syklus)&lt;DagK+DagH+DagD,"D","F")))</f>
        <v/>
      </c>
      <c r="E993">
        <f>IF(B993="F",0,IF(WEEKDAY($A993,2)=5,INDEX(TimerFr,MATCH(B993,FaseKode,0)),INDEX(TimerMT,MATCH(B993,FaseKode,0))))</f>
        <v/>
      </c>
      <c r="F993">
        <f>IF(C993="F",0,IF(WEEKDAY($A993,2)=5,INDEX(TimerFr,MATCH(C993,FaseKode,0)),INDEX(TimerMT,MATCH(C993,FaseKode,0))))</f>
        <v/>
      </c>
      <c r="G993">
        <f>IF(D993="F",0,IF(WEEKDAY($A993,2)=5,INDEX(TimerFr,MATCH(D993,FaseKode,0)),INDEX(TimerMT,MATCH(D993,FaseKode,0))))</f>
        <v/>
      </c>
      <c r="H993">
        <f>IF(OR(H$4="",$A993&gt;TODAY()),0,IF(OR(INDEX($B993:$D993,H$5)="F",AND(H$6&gt;0,$A993&lt;H$6),AND(H$7&gt;0,$A993&gt;H$7)),0,MAX(0,ROUND((INDEX($E993:$G993,H$5)-SUMIFS(TF_Timer,TF_Tekniker,H$4,TF_Dato,$A993))*2,0)/2)))</f>
        <v/>
      </c>
      <c r="I993">
        <f>IF(OR(I$4="",$A993&gt;TODAY()),0,IF(OR(INDEX($B993:$D993,I$5)="F",AND(I$6&gt;0,$A993&lt;I$6),AND(I$7&gt;0,$A993&gt;I$7)),0,MAX(0,ROUND((INDEX($E993:$G993,I$5)-SUMIFS(TF_Timer,TF_Tekniker,I$4,TF_Dato,$A993))*2,0)/2)))</f>
        <v/>
      </c>
      <c r="J993">
        <f>IF(OR(J$4="",$A993&gt;TODAY()),0,IF(OR(INDEX($B993:$D993,J$5)="F",AND(J$6&gt;0,$A993&lt;J$6),AND(J$7&gt;0,$A993&gt;J$7)),0,MAX(0,ROUND((INDEX($E993:$G993,J$5)-SUMIFS(TF_Timer,TF_Tekniker,J$4,TF_Dato,$A993))*2,0)/2)))</f>
        <v/>
      </c>
      <c r="K993">
        <f>IF(OR(K$4="",$A993&gt;TODAY()),0,IF(OR(INDEX($B993:$D993,K$5)="F",AND(K$6&gt;0,$A993&lt;K$6),AND(K$7&gt;0,$A993&gt;K$7)),0,MAX(0,ROUND((INDEX($E993:$G993,K$5)-SUMIFS(TF_Timer,TF_Tekniker,K$4,TF_Dato,$A993))*2,0)/2)))</f>
        <v/>
      </c>
      <c r="L993">
        <f>IF(OR(L$4="",$A993&gt;TODAY()),0,IF(OR(INDEX($B993:$D993,L$5)="F",AND(L$6&gt;0,$A993&lt;L$6),AND(L$7&gt;0,$A993&gt;L$7)),0,MAX(0,ROUND((INDEX($E993:$G993,L$5)-SUMIFS(TF_Timer,TF_Tekniker,L$4,TF_Dato,$A993))*2,0)/2)))</f>
        <v/>
      </c>
      <c r="M993">
        <f>IF(OR(M$4="",$A993&gt;TODAY()),0,IF(OR(INDEX($B993:$D993,M$5)="F",AND(M$6&gt;0,$A993&lt;M$6),AND(M$7&gt;0,$A993&gt;M$7)),0,MAX(0,ROUND((INDEX($E993:$G993,M$5)-SUMIFS(TF_Timer,TF_Tekniker,M$4,TF_Dato,$A993))*2,0)/2)))</f>
        <v/>
      </c>
      <c r="N993">
        <f>IF(OR(N$4="",$A993&gt;TODAY()),0,IF(OR(INDEX($B993:$D993,N$5)="F",AND(N$6&gt;0,$A993&lt;N$6),AND(N$7&gt;0,$A993&gt;N$7)),0,MAX(0,ROUND((INDEX($E993:$G993,N$5)-SUMIFS(TF_Timer,TF_Tekniker,N$4,TF_Dato,$A993))*2,0)/2)))</f>
        <v/>
      </c>
      <c r="O993">
        <f>IF(OR(O$4="",$A993&gt;TODAY()),0,IF(OR(INDEX($B993:$D993,O$5)="F",AND(O$6&gt;0,$A993&lt;O$6),AND(O$7&gt;0,$A993&gt;O$7)),0,MAX(0,ROUND((INDEX($E993:$G993,O$5)-SUMIFS(TF_Timer,TF_Tekniker,O$4,TF_Dato,$A993))*2,0)/2)))</f>
        <v/>
      </c>
      <c r="P993">
        <f>IF(OR(P$4="",$A993&gt;TODAY()),0,IF(OR(INDEX($B993:$D993,P$5)="F",AND(P$6&gt;0,$A993&lt;P$6),AND(P$7&gt;0,$A993&gt;P$7)),0,MAX(0,ROUND((INDEX($E993:$G993,P$5)-SUMIFS(TF_Timer,TF_Tekniker,P$4,TF_Dato,$A993))*2,0)/2)))</f>
        <v/>
      </c>
      <c r="Q993">
        <f>IF(OR(Q$4="",$A993&gt;TODAY()),0,IF(OR(INDEX($B993:$D993,Q$5)="F",AND(Q$6&gt;0,$A993&lt;Q$6),AND(Q$7&gt;0,$A993&gt;Q$7)),0,MAX(0,ROUND((INDEX($E993:$G993,Q$5)-SUMIFS(TF_Timer,TF_Tekniker,Q$4,TF_Dato,$A993))*2,0)/2)))</f>
        <v/>
      </c>
      <c r="R993">
        <f>IF(OR(R$4="",$A993&gt;TODAY()),0,IF(OR(INDEX($B993:$D993,R$5)="F",AND(R$6&gt;0,$A993&lt;R$6),AND(R$7&gt;0,$A993&gt;R$7)),0,MAX(0,ROUND((INDEX($E993:$G993,R$5)-SUMIFS(TF_Timer,TF_Tekniker,R$4,TF_Dato,$A993))*2,0)/2)))</f>
        <v/>
      </c>
      <c r="S993">
        <f>IF(OR(S$4="",$A993&gt;TODAY()),0,IF(OR(INDEX($B993:$D993,S$5)="F",AND(S$6&gt;0,$A993&lt;S$6),AND(S$7&gt;0,$A993&gt;S$7)),0,MAX(0,ROUND((INDEX($E993:$G993,S$5)-SUMIFS(TF_Timer,TF_Tekniker,S$4,TF_Dato,$A993))*2,0)/2)))</f>
        <v/>
      </c>
      <c r="T993">
        <f>IF(OR(T$4="",$A993&gt;TODAY()),0,IF(OR(INDEX($B993:$D993,T$5)="F",AND(T$6&gt;0,$A993&lt;T$6),AND(T$7&gt;0,$A993&gt;T$7)),0,MAX(0,ROUND((INDEX($E993:$G993,T$5)-SUMIFS(TF_Timer,TF_Tekniker,T$4,TF_Dato,$A993))*2,0)/2)))</f>
        <v/>
      </c>
      <c r="U993">
        <f>IF(OR(U$4="",$A993&gt;TODAY()),0,IF(OR(INDEX($B993:$D993,U$5)="F",AND(U$6&gt;0,$A993&lt;U$6),AND(U$7&gt;0,$A993&gt;U$7)),0,MAX(0,ROUND((INDEX($E993:$G993,U$5)-SUMIFS(TF_Timer,TF_Tekniker,U$4,TF_Dato,$A993))*2,0)/2)))</f>
        <v/>
      </c>
      <c r="V993">
        <f>IF(OR(V$4="",$A993&gt;TODAY()),0,IF(OR(INDEX($B993:$D993,V$5)="F",AND(V$6&gt;0,$A993&lt;V$6),AND(V$7&gt;0,$A993&gt;V$7)),0,MAX(0,ROUND((INDEX($E993:$G993,V$5)-SUMIFS(TF_Timer,TF_Tekniker,V$4,TF_Dato,$A993))*2,0)/2)))</f>
        <v/>
      </c>
      <c r="W993">
        <f>IF(OR(W$4="",$A993&gt;TODAY()),0,IF(OR(INDEX($B993:$D993,W$5)="F",AND(W$6&gt;0,$A993&lt;W$6),AND(W$7&gt;0,$A993&gt;W$7)),0,MAX(0,ROUND((INDEX($E993:$G993,W$5)-SUMIFS(TF_Timer,TF_Tekniker,W$4,TF_Dato,$A993))*2,0)/2)))</f>
        <v/>
      </c>
      <c r="X993">
        <f>IF(OR(X$4="",$A993&gt;TODAY()),0,IF(OR(INDEX($B993:$D993,X$5)="F",AND(X$6&gt;0,$A993&lt;X$6),AND(X$7&gt;0,$A993&gt;X$7)),0,MAX(0,ROUND((INDEX($E993:$G993,X$5)-SUMIFS(TF_Timer,TF_Tekniker,X$4,TF_Dato,$A993))*2,0)/2)))</f>
        <v/>
      </c>
      <c r="Y993">
        <f>IF(OR(Y$4="",$A993&gt;TODAY()),0,IF(OR(INDEX($B993:$D993,Y$5)="F",AND(Y$6&gt;0,$A993&lt;Y$6),AND(Y$7&gt;0,$A993&gt;Y$7)),0,MAX(0,ROUND((INDEX($E993:$G993,Y$5)-SUMIFS(TF_Timer,TF_Tekniker,Y$4,TF_Dato,$A993))*2,0)/2)))</f>
        <v/>
      </c>
      <c r="Z993">
        <f>IF(OR(Z$4="",$A993&gt;TODAY()),0,IF(OR(INDEX($B993:$D993,Z$5)="F",AND(Z$6&gt;0,$A993&lt;Z$6),AND(Z$7&gt;0,$A993&gt;Z$7)),0,MAX(0,ROUND((INDEX($E993:$G993,Z$5)-SUMIFS(TF_Timer,TF_Tekniker,Z$4,TF_Dato,$A993))*2,0)/2)))</f>
        <v/>
      </c>
      <c r="AA993">
        <f>IF(OR(AA$4="",$A993&gt;TODAY()),0,IF(OR(INDEX($B993:$D993,AA$5)="F",AND(AA$6&gt;0,$A993&lt;AA$6),AND(AA$7&gt;0,$A993&gt;AA$7)),0,MAX(0,ROUND((INDEX($E993:$G993,AA$5)-SUMIFS(TF_Timer,TF_Tekniker,AA$4,TF_Dato,$A993))*2,0)/2)))</f>
        <v/>
      </c>
      <c r="AB993">
        <f>IF(OR(AB$4="",$A993&gt;TODAY()),0,IF(OR(INDEX($B993:$D993,AB$5)="F",AND(AB$6&gt;0,$A993&lt;AB$6),AND(AB$7&gt;0,$A993&gt;AB$7)),0,MAX(0,ROUND((INDEX($E993:$G993,AB$5)-SUMIFS(TF_Timer,TF_Tekniker,AB$4,TF_Dato,$A993))*2,0)/2)))</f>
        <v/>
      </c>
      <c r="AC993">
        <f>IF(OR(AC$4="",$A993&gt;TODAY()),0,IF(OR(INDEX($B993:$D993,AC$5)="F",AND(AC$6&gt;0,$A993&lt;AC$6),AND(AC$7&gt;0,$A993&gt;AC$7)),0,MAX(0,ROUND((INDEX($E993:$G993,AC$5)-SUMIFS(TF_Timer,TF_Tekniker,AC$4,TF_Dato,$A993))*2,0)/2)))</f>
        <v/>
      </c>
      <c r="AD993">
        <f>IF(OR(AD$4="",$A993&gt;TODAY()),0,IF(OR(INDEX($B993:$D993,AD$5)="F",AND(AD$6&gt;0,$A993&lt;AD$6),AND(AD$7&gt;0,$A993&gt;AD$7)),0,MAX(0,ROUND((INDEX($E993:$G993,AD$5)-SUMIFS(TF_Timer,TF_Tekniker,AD$4,TF_Dato,$A993))*2,0)/2)))</f>
        <v/>
      </c>
      <c r="AE993">
        <f>IF(OR(AE$4="",$A993&gt;TODAY()),0,IF(OR(INDEX($B993:$D993,AE$5)="F",AND(AE$6&gt;0,$A993&lt;AE$6),AND(AE$7&gt;0,$A993&gt;AE$7)),0,MAX(0,ROUND((INDEX($E993:$G993,AE$5)-SUMIFS(TF_Timer,TF_Tekniker,AE$4,TF_Dato,$A993))*2,0)/2)))</f>
        <v/>
      </c>
      <c r="AF993">
        <f>IF(OR(AF$4="",$A993&gt;TODAY()),0,IF(OR(INDEX($B993:$D993,AF$5)="F",AND(AF$6&gt;0,$A993&lt;AF$6),AND(AF$7&gt;0,$A993&gt;AF$7)),0,MAX(0,ROUND((INDEX($E993:$G993,AF$5)-SUMIFS(TF_Timer,TF_Tekniker,AF$4,TF_Dato,$A993))*2,0)/2)))</f>
        <v/>
      </c>
      <c r="AG993">
        <f>IF(OR(AG$4="",$A993&gt;TODAY()),0,IF(OR(INDEX($B993:$D993,AG$5)="F",AND(AG$6&gt;0,$A993&lt;AG$6),AND(AG$7&gt;0,$A993&gt;AG$7)),0,MAX(0,ROUND((INDEX($E993:$G993,AG$5)-SUMIFS(TF_Timer,TF_Tekniker,AG$4,TF_Dato,$A993))*2,0)/2)))</f>
        <v/>
      </c>
      <c r="AH993">
        <f>IF(OR(AH$4="",$A993&gt;TODAY()),0,IF(OR(INDEX($B993:$D993,AH$5)="F",AND(AH$6&gt;0,$A993&lt;AH$6),AND(AH$7&gt;0,$A993&gt;AH$7)),0,MAX(0,ROUND((INDEX($E993:$G993,AH$5)-SUMIFS(TF_Timer,TF_Tekniker,AH$4,TF_Dato,$A993))*2,0)/2)))</f>
        <v/>
      </c>
      <c r="AI993">
        <f>IF(OR(AI$4="",$A993&gt;TODAY()),0,IF(OR(INDEX($B993:$D993,AI$5)="F",AND(AI$6&gt;0,$A993&lt;AI$6),AND(AI$7&gt;0,$A993&gt;AI$7)),0,MAX(0,ROUND((INDEX($E993:$G993,AI$5)-SUMIFS(TF_Timer,TF_Tekniker,AI$4,TF_Dato,$A993))*2,0)/2)))</f>
        <v/>
      </c>
      <c r="AJ993">
        <f>IF(OR(AJ$4="",$A993&gt;TODAY()),0,IF(OR(INDEX($B993:$D993,AJ$5)="F",AND(AJ$6&gt;0,$A993&lt;AJ$6),AND(AJ$7&gt;0,$A993&gt;AJ$7)),0,MAX(0,ROUND((INDEX($E993:$G993,AJ$5)-SUMIFS(TF_Timer,TF_Tekniker,AJ$4,TF_Dato,$A993))*2,0)/2)))</f>
        <v/>
      </c>
      <c r="AK993">
        <f>IF(OR(AK$4="",$A993&gt;TODAY()),0,IF(OR(INDEX($B993:$D993,AK$5)="F",AND(AK$6&gt;0,$A993&lt;AK$6),AND(AK$7&gt;0,$A993&gt;AK$7)),0,MAX(0,ROUND((INDEX($E993:$G993,AK$5)-SUMIFS(TF_Timer,TF_Tekniker,AK$4,TF_Dato,$A993))*2,0)/2)))</f>
        <v/>
      </c>
      <c r="AL993">
        <f>IF(OR(AL$4="",$A993&gt;TODAY()),0,IF(OR(INDEX($B993:$D993,AL$5)="F",AND(AL$6&gt;0,$A993&lt;AL$6),AND(AL$7&gt;0,$A993&gt;AL$7)),0,MAX(0,ROUND((INDEX($E993:$G993,AL$5)-SUMIFS(TF_Timer,TF_Tekniker,AL$4,TF_Dato,$A993))*2,0)/2)))</f>
        <v/>
      </c>
      <c r="AM993">
        <f>IF(OR(AM$4="",$A993&gt;TODAY()),0,IF(OR(INDEX($B993:$D993,AM$5)="F",AND(AM$6&gt;0,$A993&lt;AM$6),AND(AM$7&gt;0,$A993&gt;AM$7)),0,MAX(0,ROUND((INDEX($E993:$G993,AM$5)-SUMIFS(TF_Timer,TF_Tekniker,AM$4,TF_Dato,$A993))*2,0)/2)))</f>
        <v/>
      </c>
      <c r="AN993">
        <f>IF(OR(AN$4="",$A993&gt;TODAY()),0,IF(OR(INDEX($B993:$D993,AN$5)="F",AND(AN$6&gt;0,$A993&lt;AN$6),AND(AN$7&gt;0,$A993&gt;AN$7)),0,MAX(0,ROUND((INDEX($E993:$G993,AN$5)-SUMIFS(TF_Timer,TF_Tekniker,AN$4,TF_Dato,$A993))*2,0)/2)))</f>
        <v/>
      </c>
      <c r="AO993">
        <f>IF(OR(AO$4="",$A993&gt;TODAY()),0,IF(OR(INDEX($B993:$D993,AO$5)="F",AND(AO$6&gt;0,$A993&lt;AO$6),AND(AO$7&gt;0,$A993&gt;AO$7)),0,MAX(0,ROUND((INDEX($E993:$G993,AO$5)-SUMIFS(TF_Timer,TF_Tekniker,AO$4,TF_Dato,$A993))*2,0)/2)))</f>
        <v/>
      </c>
      <c r="AP993">
        <f>IF(OR(AP$4="",$A993&gt;TODAY()),0,IF(OR(INDEX($B993:$D993,AP$5)="F",AND(AP$6&gt;0,$A993&lt;AP$6),AND(AP$7&gt;0,$A993&gt;AP$7)),0,MAX(0,ROUND((INDEX($E993:$G993,AP$5)-SUMIFS(TF_Timer,TF_Tekniker,AP$4,TF_Dato,$A993))*2,0)/2)))</f>
        <v/>
      </c>
      <c r="AQ993">
        <f>IF(OR(AQ$4="",$A993&gt;TODAY()),0,IF(OR(INDEX($B993:$D993,AQ$5)="F",AND(AQ$6&gt;0,$A993&lt;AQ$6),AND(AQ$7&gt;0,$A993&gt;AQ$7)),0,MAX(0,ROUND((INDEX($E993:$G993,AQ$5)-SUMIFS(TF_Timer,TF_Tekniker,AQ$4,TF_Dato,$A993))*2,0)/2)))</f>
        <v/>
      </c>
      <c r="AR993">
        <f>IF(OR(AR$4="",$A993&gt;TODAY()),0,IF(OR(INDEX($B993:$D993,AR$5)="F",AND(AR$6&gt;0,$A993&lt;AR$6),AND(AR$7&gt;0,$A993&gt;AR$7)),0,MAX(0,ROUND((INDEX($E993:$G993,AR$5)-SUMIFS(TF_Timer,TF_Tekniker,AR$4,TF_Dato,$A993))*2,0)/2)))</f>
        <v/>
      </c>
      <c r="AS993">
        <f>IF(OR(AS$4="",$A993&gt;TODAY()),0,IF(OR(INDEX($B993:$D993,AS$5)="F",AND(AS$6&gt;0,$A993&lt;AS$6),AND(AS$7&gt;0,$A993&gt;AS$7)),0,MAX(0,ROUND((INDEX($E993:$G993,AS$5)-SUMIFS(TF_Timer,TF_Tekniker,AS$4,TF_Dato,$A993))*2,0)/2)))</f>
        <v/>
      </c>
      <c r="AT993">
        <f>IF(OR(AT$4="",$A993&gt;TODAY()),0,IF(OR(INDEX($B993:$D993,AT$5)="F",AND(AT$6&gt;0,$A993&lt;AT$6),AND(AT$7&gt;0,$A993&gt;AT$7)),0,MAX(0,ROUND((INDEX($E993:$G993,AT$5)-SUMIFS(TF_Timer,TF_Tekniker,AT$4,TF_Dato,$A993))*2,0)/2)))</f>
        <v/>
      </c>
      <c r="AU993">
        <f>IF(OR(AU$4="",$A993&gt;TODAY()),0,IF(OR(INDEX($B993:$D993,AU$5)="F",AND(AU$6&gt;0,$A993&lt;AU$6),AND(AU$7&gt;0,$A993&gt;AU$7)),0,MAX(0,ROUND((INDEX($E993:$G993,AU$5)-SUMIFS(TF_Timer,TF_Tekniker,AU$4,TF_Dato,$A993))*2,0)/2)))</f>
        <v/>
      </c>
      <c r="AV993">
        <f>IF(OR(AV$4="",$A993&gt;TODAY()),0,IF(OR(INDEX($B993:$D993,AV$5)="F",AND(AV$6&gt;0,$A993&lt;AV$6),AND(AV$7&gt;0,$A993&gt;AV$7)),0,MAX(0,ROUND((INDEX($E993:$G993,AV$5)-SUMIFS(TF_Timer,TF_Tekniker,AV$4,TF_Dato,$A993))*2,0)/2)))</f>
        <v/>
      </c>
      <c r="AW993">
        <f>IF(OR(AW$4="",$A993&gt;TODAY()),0,IF(OR(INDEX($B993:$D993,AW$5)="F",AND(AW$6&gt;0,$A993&lt;AW$6),AND(AW$7&gt;0,$A993&gt;AW$7)),0,MAX(0,ROUND((INDEX($E993:$G993,AW$5)-SUMIFS(TF_Timer,TF_Tekniker,AW$4,TF_Dato,$A993))*2,0)/2)))</f>
        <v/>
      </c>
      <c r="AX993">
        <f>IF(OR(AX$4="",$A993&gt;TODAY()),0,IF(OR(INDEX($B993:$D993,AX$5)="F",AND(AX$6&gt;0,$A993&lt;AX$6),AND(AX$7&gt;0,$A993&gt;AX$7)),0,MAX(0,ROUND((INDEX($E993:$G993,AX$5)-SUMIFS(TF_Timer,TF_Tekniker,AX$4,TF_Dato,$A993))*2,0)/2)))</f>
        <v/>
      </c>
      <c r="AY993">
        <f>IF(OR(AY$4="",$A993&gt;TODAY()),0,IF(OR(INDEX($B993:$D993,AY$5)="F",AND(AY$6&gt;0,$A993&lt;AY$6),AND(AY$7&gt;0,$A993&gt;AY$7)),0,MAX(0,ROUND((INDEX($E993:$G993,AY$5)-SUMIFS(TF_Timer,TF_Tekniker,AY$4,TF_Dato,$A993))*2,0)/2)))</f>
        <v/>
      </c>
      <c r="AZ993">
        <f>IF(OR(AZ$4="",$A993&gt;TODAY()),0,IF(OR(INDEX($B993:$D993,AZ$5)="F",AND(AZ$6&gt;0,$A993&lt;AZ$6),AND(AZ$7&gt;0,$A993&gt;AZ$7)),0,MAX(0,ROUND((INDEX($E993:$G993,AZ$5)-SUMIFS(TF_Timer,TF_Tekniker,AZ$4,TF_Dato,$A993))*2,0)/2)))</f>
        <v/>
      </c>
      <c r="BA993">
        <f>IF(OR(BA$4="",$A993&gt;TODAY()),0,IF(OR(INDEX($B993:$D993,BA$5)="F",AND(BA$6&gt;0,$A993&lt;BA$6),AND(BA$7&gt;0,$A993&gt;BA$7)),0,MAX(0,ROUND((INDEX($E993:$G993,BA$5)-SUMIFS(TF_Timer,TF_Tekniker,BA$4,TF_Dato,$A993))*2,0)/2)))</f>
        <v/>
      </c>
      <c r="BB993">
        <f>IF(OR(BB$4="",$A993&gt;TODAY()),0,IF(OR(INDEX($B993:$D993,BB$5)="F",AND(BB$6&gt;0,$A993&lt;BB$6),AND(BB$7&gt;0,$A993&gt;BB$7)),0,MAX(0,ROUND((INDEX($E993:$G993,BB$5)-SUMIFS(TF_Timer,TF_Tekniker,BB$4,TF_Dato,$A993))*2,0)/2)))</f>
        <v/>
      </c>
      <c r="BC993">
        <f>IF(OR(BC$4="",$A993&gt;TODAY()),0,IF(OR(INDEX($B993:$D993,BC$5)="F",AND(BC$6&gt;0,$A993&lt;BC$6),AND(BC$7&gt;0,$A993&gt;BC$7)),0,MAX(0,ROUND((INDEX($E993:$G993,BC$5)-SUMIFS(TF_Timer,TF_Tekniker,BC$4,TF_Dato,$A993))*2,0)/2)))</f>
        <v/>
      </c>
      <c r="BD993">
        <f>IF(OR(BD$4="",$A993&gt;TODAY()),0,IF(OR(INDEX($B993:$D993,BD$5)="F",AND(BD$6&gt;0,$A993&lt;BD$6),AND(BD$7&gt;0,$A993&gt;BD$7)),0,MAX(0,ROUND((INDEX($E993:$G993,BD$5)-SUMIFS(TF_Timer,TF_Tekniker,BD$4,TF_Dato,$A993))*2,0)/2)))</f>
        <v/>
      </c>
      <c r="BE993">
        <f>IF(OR(BE$4="",$A993&gt;TODAY()),0,IF(OR(INDEX($B993:$D993,BE$5)="F",AND(BE$6&gt;0,$A993&lt;BE$6),AND(BE$7&gt;0,$A993&gt;BE$7)),0,MAX(0,ROUND((INDEX($E993:$G993,BE$5)-SUMIFS(TF_Timer,TF_Tekniker,BE$4,TF_Dato,$A993))*2,0)/2)))</f>
        <v/>
      </c>
      <c r="BF993">
        <f>IF(OR(BF$4="",$A993&gt;TODAY()),0,IF(OR(INDEX($B993:$D993,BF$5)="F",AND(BF$6&gt;0,$A993&lt;BF$6),AND(BF$7&gt;0,$A993&gt;BF$7)),0,MAX(0,ROUND((INDEX($E993:$G993,BF$5)-SUMIFS(TF_Timer,TF_Tekniker,BF$4,TF_Dato,$A993))*2,0)/2)))</f>
        <v/>
      </c>
      <c r="BG993">
        <f>IF(OR(BG$4="",$A993&gt;TODAY()),0,IF(OR(INDEX($B993:$D993,BG$5)="F",AND(BG$6&gt;0,$A993&lt;BG$6),AND(BG$7&gt;0,$A993&gt;BG$7)),0,MAX(0,ROUND((INDEX($E993:$G993,BG$5)-SUMIFS(TF_Timer,TF_Tekniker,BG$4,TF_Dato,$A993))*2,0)/2)))</f>
        <v/>
      </c>
      <c r="BH993">
        <f>IF(OR(BH$4="",$A993&gt;TODAY()),0,IF(OR(INDEX($B993:$D993,BH$5)="F",AND(BH$6&gt;0,$A993&lt;BH$6),AND(BH$7&gt;0,$A993&gt;BH$7)),0,MAX(0,ROUND((INDEX($E993:$G993,BH$5)-SUMIFS(TF_Timer,TF_Tekniker,BH$4,TF_Dato,$A993))*2,0)/2)))</f>
        <v/>
      </c>
      <c r="BI993">
        <f>IF(OR(BI$4="",$A993&gt;TODAY()),0,IF(OR(INDEX($B993:$D993,BI$5)="F",AND(BI$6&gt;0,$A993&lt;BI$6),AND(BI$7&gt;0,$A993&gt;BI$7)),0,MAX(0,ROUND((INDEX($E993:$G993,BI$5)-SUMIFS(TF_Timer,TF_Tekniker,BI$4,TF_Dato,$A993))*2,0)/2)))</f>
        <v/>
      </c>
    </row>
    <row r="994">
      <c r="A994" s="64">
        <f>A993+1</f>
        <v/>
      </c>
      <c r="B994">
        <f>IF(MOD($A994-INDEX(SkiftStart,1),Syklus)&lt;DagK,"K",IF(MOD($A994-INDEX(SkiftStart,1),Syklus)&lt;DagK+DagH,"H",IF(MOD($A994-INDEX(SkiftStart,1),Syklus)&lt;DagK+DagH+DagD,"D","F")))</f>
        <v/>
      </c>
      <c r="C994">
        <f>IF(MOD($A994-INDEX(SkiftStart,2),Syklus)&lt;DagK,"K",IF(MOD($A994-INDEX(SkiftStart,2),Syklus)&lt;DagK+DagH,"H",IF(MOD($A994-INDEX(SkiftStart,2),Syklus)&lt;DagK+DagH+DagD,"D","F")))</f>
        <v/>
      </c>
      <c r="D994">
        <f>IF(MOD($A994-INDEX(SkiftStart,3),Syklus)&lt;DagK,"K",IF(MOD($A994-INDEX(SkiftStart,3),Syklus)&lt;DagK+DagH,"H",IF(MOD($A994-INDEX(SkiftStart,3),Syklus)&lt;DagK+DagH+DagD,"D","F")))</f>
        <v/>
      </c>
      <c r="E994">
        <f>IF(B994="F",0,IF(WEEKDAY($A994,2)=5,INDEX(TimerFr,MATCH(B994,FaseKode,0)),INDEX(TimerMT,MATCH(B994,FaseKode,0))))</f>
        <v/>
      </c>
      <c r="F994">
        <f>IF(C994="F",0,IF(WEEKDAY($A994,2)=5,INDEX(TimerFr,MATCH(C994,FaseKode,0)),INDEX(TimerMT,MATCH(C994,FaseKode,0))))</f>
        <v/>
      </c>
      <c r="G994">
        <f>IF(D994="F",0,IF(WEEKDAY($A994,2)=5,INDEX(TimerFr,MATCH(D994,FaseKode,0)),INDEX(TimerMT,MATCH(D994,FaseKode,0))))</f>
        <v/>
      </c>
      <c r="H994">
        <f>IF(OR(H$4="",$A994&gt;TODAY()),0,IF(OR(INDEX($B994:$D994,H$5)="F",AND(H$6&gt;0,$A994&lt;H$6),AND(H$7&gt;0,$A994&gt;H$7)),0,MAX(0,ROUND((INDEX($E994:$G994,H$5)-SUMIFS(TF_Timer,TF_Tekniker,H$4,TF_Dato,$A994))*2,0)/2)))</f>
        <v/>
      </c>
      <c r="I994">
        <f>IF(OR(I$4="",$A994&gt;TODAY()),0,IF(OR(INDEX($B994:$D994,I$5)="F",AND(I$6&gt;0,$A994&lt;I$6),AND(I$7&gt;0,$A994&gt;I$7)),0,MAX(0,ROUND((INDEX($E994:$G994,I$5)-SUMIFS(TF_Timer,TF_Tekniker,I$4,TF_Dato,$A994))*2,0)/2)))</f>
        <v/>
      </c>
      <c r="J994">
        <f>IF(OR(J$4="",$A994&gt;TODAY()),0,IF(OR(INDEX($B994:$D994,J$5)="F",AND(J$6&gt;0,$A994&lt;J$6),AND(J$7&gt;0,$A994&gt;J$7)),0,MAX(0,ROUND((INDEX($E994:$G994,J$5)-SUMIFS(TF_Timer,TF_Tekniker,J$4,TF_Dato,$A994))*2,0)/2)))</f>
        <v/>
      </c>
      <c r="K994">
        <f>IF(OR(K$4="",$A994&gt;TODAY()),0,IF(OR(INDEX($B994:$D994,K$5)="F",AND(K$6&gt;0,$A994&lt;K$6),AND(K$7&gt;0,$A994&gt;K$7)),0,MAX(0,ROUND((INDEX($E994:$G994,K$5)-SUMIFS(TF_Timer,TF_Tekniker,K$4,TF_Dato,$A994))*2,0)/2)))</f>
        <v/>
      </c>
      <c r="L994">
        <f>IF(OR(L$4="",$A994&gt;TODAY()),0,IF(OR(INDEX($B994:$D994,L$5)="F",AND(L$6&gt;0,$A994&lt;L$6),AND(L$7&gt;0,$A994&gt;L$7)),0,MAX(0,ROUND((INDEX($E994:$G994,L$5)-SUMIFS(TF_Timer,TF_Tekniker,L$4,TF_Dato,$A994))*2,0)/2)))</f>
        <v/>
      </c>
      <c r="M994">
        <f>IF(OR(M$4="",$A994&gt;TODAY()),0,IF(OR(INDEX($B994:$D994,M$5)="F",AND(M$6&gt;0,$A994&lt;M$6),AND(M$7&gt;0,$A994&gt;M$7)),0,MAX(0,ROUND((INDEX($E994:$G994,M$5)-SUMIFS(TF_Timer,TF_Tekniker,M$4,TF_Dato,$A994))*2,0)/2)))</f>
        <v/>
      </c>
      <c r="N994">
        <f>IF(OR(N$4="",$A994&gt;TODAY()),0,IF(OR(INDEX($B994:$D994,N$5)="F",AND(N$6&gt;0,$A994&lt;N$6),AND(N$7&gt;0,$A994&gt;N$7)),0,MAX(0,ROUND((INDEX($E994:$G994,N$5)-SUMIFS(TF_Timer,TF_Tekniker,N$4,TF_Dato,$A994))*2,0)/2)))</f>
        <v/>
      </c>
      <c r="O994">
        <f>IF(OR(O$4="",$A994&gt;TODAY()),0,IF(OR(INDEX($B994:$D994,O$5)="F",AND(O$6&gt;0,$A994&lt;O$6),AND(O$7&gt;0,$A994&gt;O$7)),0,MAX(0,ROUND((INDEX($E994:$G994,O$5)-SUMIFS(TF_Timer,TF_Tekniker,O$4,TF_Dato,$A994))*2,0)/2)))</f>
        <v/>
      </c>
      <c r="P994">
        <f>IF(OR(P$4="",$A994&gt;TODAY()),0,IF(OR(INDEX($B994:$D994,P$5)="F",AND(P$6&gt;0,$A994&lt;P$6),AND(P$7&gt;0,$A994&gt;P$7)),0,MAX(0,ROUND((INDEX($E994:$G994,P$5)-SUMIFS(TF_Timer,TF_Tekniker,P$4,TF_Dato,$A994))*2,0)/2)))</f>
        <v/>
      </c>
      <c r="Q994">
        <f>IF(OR(Q$4="",$A994&gt;TODAY()),0,IF(OR(INDEX($B994:$D994,Q$5)="F",AND(Q$6&gt;0,$A994&lt;Q$6),AND(Q$7&gt;0,$A994&gt;Q$7)),0,MAX(0,ROUND((INDEX($E994:$G994,Q$5)-SUMIFS(TF_Timer,TF_Tekniker,Q$4,TF_Dato,$A994))*2,0)/2)))</f>
        <v/>
      </c>
      <c r="R994">
        <f>IF(OR(R$4="",$A994&gt;TODAY()),0,IF(OR(INDEX($B994:$D994,R$5)="F",AND(R$6&gt;0,$A994&lt;R$6),AND(R$7&gt;0,$A994&gt;R$7)),0,MAX(0,ROUND((INDEX($E994:$G994,R$5)-SUMIFS(TF_Timer,TF_Tekniker,R$4,TF_Dato,$A994))*2,0)/2)))</f>
        <v/>
      </c>
      <c r="S994">
        <f>IF(OR(S$4="",$A994&gt;TODAY()),0,IF(OR(INDEX($B994:$D994,S$5)="F",AND(S$6&gt;0,$A994&lt;S$6),AND(S$7&gt;0,$A994&gt;S$7)),0,MAX(0,ROUND((INDEX($E994:$G994,S$5)-SUMIFS(TF_Timer,TF_Tekniker,S$4,TF_Dato,$A994))*2,0)/2)))</f>
        <v/>
      </c>
      <c r="T994">
        <f>IF(OR(T$4="",$A994&gt;TODAY()),0,IF(OR(INDEX($B994:$D994,T$5)="F",AND(T$6&gt;0,$A994&lt;T$6),AND(T$7&gt;0,$A994&gt;T$7)),0,MAX(0,ROUND((INDEX($E994:$G994,T$5)-SUMIFS(TF_Timer,TF_Tekniker,T$4,TF_Dato,$A994))*2,0)/2)))</f>
        <v/>
      </c>
      <c r="U994">
        <f>IF(OR(U$4="",$A994&gt;TODAY()),0,IF(OR(INDEX($B994:$D994,U$5)="F",AND(U$6&gt;0,$A994&lt;U$6),AND(U$7&gt;0,$A994&gt;U$7)),0,MAX(0,ROUND((INDEX($E994:$G994,U$5)-SUMIFS(TF_Timer,TF_Tekniker,U$4,TF_Dato,$A994))*2,0)/2)))</f>
        <v/>
      </c>
      <c r="V994">
        <f>IF(OR(V$4="",$A994&gt;TODAY()),0,IF(OR(INDEX($B994:$D994,V$5)="F",AND(V$6&gt;0,$A994&lt;V$6),AND(V$7&gt;0,$A994&gt;V$7)),0,MAX(0,ROUND((INDEX($E994:$G994,V$5)-SUMIFS(TF_Timer,TF_Tekniker,V$4,TF_Dato,$A994))*2,0)/2)))</f>
        <v/>
      </c>
      <c r="W994">
        <f>IF(OR(W$4="",$A994&gt;TODAY()),0,IF(OR(INDEX($B994:$D994,W$5)="F",AND(W$6&gt;0,$A994&lt;W$6),AND(W$7&gt;0,$A994&gt;W$7)),0,MAX(0,ROUND((INDEX($E994:$G994,W$5)-SUMIFS(TF_Timer,TF_Tekniker,W$4,TF_Dato,$A994))*2,0)/2)))</f>
        <v/>
      </c>
      <c r="X994">
        <f>IF(OR(X$4="",$A994&gt;TODAY()),0,IF(OR(INDEX($B994:$D994,X$5)="F",AND(X$6&gt;0,$A994&lt;X$6),AND(X$7&gt;0,$A994&gt;X$7)),0,MAX(0,ROUND((INDEX($E994:$G994,X$5)-SUMIFS(TF_Timer,TF_Tekniker,X$4,TF_Dato,$A994))*2,0)/2)))</f>
        <v/>
      </c>
      <c r="Y994">
        <f>IF(OR(Y$4="",$A994&gt;TODAY()),0,IF(OR(INDEX($B994:$D994,Y$5)="F",AND(Y$6&gt;0,$A994&lt;Y$6),AND(Y$7&gt;0,$A994&gt;Y$7)),0,MAX(0,ROUND((INDEX($E994:$G994,Y$5)-SUMIFS(TF_Timer,TF_Tekniker,Y$4,TF_Dato,$A994))*2,0)/2)))</f>
        <v/>
      </c>
      <c r="Z994">
        <f>IF(OR(Z$4="",$A994&gt;TODAY()),0,IF(OR(INDEX($B994:$D994,Z$5)="F",AND(Z$6&gt;0,$A994&lt;Z$6),AND(Z$7&gt;0,$A994&gt;Z$7)),0,MAX(0,ROUND((INDEX($E994:$G994,Z$5)-SUMIFS(TF_Timer,TF_Tekniker,Z$4,TF_Dato,$A994))*2,0)/2)))</f>
        <v/>
      </c>
      <c r="AA994">
        <f>IF(OR(AA$4="",$A994&gt;TODAY()),0,IF(OR(INDEX($B994:$D994,AA$5)="F",AND(AA$6&gt;0,$A994&lt;AA$6),AND(AA$7&gt;0,$A994&gt;AA$7)),0,MAX(0,ROUND((INDEX($E994:$G994,AA$5)-SUMIFS(TF_Timer,TF_Tekniker,AA$4,TF_Dato,$A994))*2,0)/2)))</f>
        <v/>
      </c>
      <c r="AB994">
        <f>IF(OR(AB$4="",$A994&gt;TODAY()),0,IF(OR(INDEX($B994:$D994,AB$5)="F",AND(AB$6&gt;0,$A994&lt;AB$6),AND(AB$7&gt;0,$A994&gt;AB$7)),0,MAX(0,ROUND((INDEX($E994:$G994,AB$5)-SUMIFS(TF_Timer,TF_Tekniker,AB$4,TF_Dato,$A994))*2,0)/2)))</f>
        <v/>
      </c>
      <c r="AC994">
        <f>IF(OR(AC$4="",$A994&gt;TODAY()),0,IF(OR(INDEX($B994:$D994,AC$5)="F",AND(AC$6&gt;0,$A994&lt;AC$6),AND(AC$7&gt;0,$A994&gt;AC$7)),0,MAX(0,ROUND((INDEX($E994:$G994,AC$5)-SUMIFS(TF_Timer,TF_Tekniker,AC$4,TF_Dato,$A994))*2,0)/2)))</f>
        <v/>
      </c>
      <c r="AD994">
        <f>IF(OR(AD$4="",$A994&gt;TODAY()),0,IF(OR(INDEX($B994:$D994,AD$5)="F",AND(AD$6&gt;0,$A994&lt;AD$6),AND(AD$7&gt;0,$A994&gt;AD$7)),0,MAX(0,ROUND((INDEX($E994:$G994,AD$5)-SUMIFS(TF_Timer,TF_Tekniker,AD$4,TF_Dato,$A994))*2,0)/2)))</f>
        <v/>
      </c>
      <c r="AE994">
        <f>IF(OR(AE$4="",$A994&gt;TODAY()),0,IF(OR(INDEX($B994:$D994,AE$5)="F",AND(AE$6&gt;0,$A994&lt;AE$6),AND(AE$7&gt;0,$A994&gt;AE$7)),0,MAX(0,ROUND((INDEX($E994:$G994,AE$5)-SUMIFS(TF_Timer,TF_Tekniker,AE$4,TF_Dato,$A994))*2,0)/2)))</f>
        <v/>
      </c>
      <c r="AF994">
        <f>IF(OR(AF$4="",$A994&gt;TODAY()),0,IF(OR(INDEX($B994:$D994,AF$5)="F",AND(AF$6&gt;0,$A994&lt;AF$6),AND(AF$7&gt;0,$A994&gt;AF$7)),0,MAX(0,ROUND((INDEX($E994:$G994,AF$5)-SUMIFS(TF_Timer,TF_Tekniker,AF$4,TF_Dato,$A994))*2,0)/2)))</f>
        <v/>
      </c>
      <c r="AG994">
        <f>IF(OR(AG$4="",$A994&gt;TODAY()),0,IF(OR(INDEX($B994:$D994,AG$5)="F",AND(AG$6&gt;0,$A994&lt;AG$6),AND(AG$7&gt;0,$A994&gt;AG$7)),0,MAX(0,ROUND((INDEX($E994:$G994,AG$5)-SUMIFS(TF_Timer,TF_Tekniker,AG$4,TF_Dato,$A994))*2,0)/2)))</f>
        <v/>
      </c>
      <c r="AH994">
        <f>IF(OR(AH$4="",$A994&gt;TODAY()),0,IF(OR(INDEX($B994:$D994,AH$5)="F",AND(AH$6&gt;0,$A994&lt;AH$6),AND(AH$7&gt;0,$A994&gt;AH$7)),0,MAX(0,ROUND((INDEX($E994:$G994,AH$5)-SUMIFS(TF_Timer,TF_Tekniker,AH$4,TF_Dato,$A994))*2,0)/2)))</f>
        <v/>
      </c>
      <c r="AI994">
        <f>IF(OR(AI$4="",$A994&gt;TODAY()),0,IF(OR(INDEX($B994:$D994,AI$5)="F",AND(AI$6&gt;0,$A994&lt;AI$6),AND(AI$7&gt;0,$A994&gt;AI$7)),0,MAX(0,ROUND((INDEX($E994:$G994,AI$5)-SUMIFS(TF_Timer,TF_Tekniker,AI$4,TF_Dato,$A994))*2,0)/2)))</f>
        <v/>
      </c>
      <c r="AJ994">
        <f>IF(OR(AJ$4="",$A994&gt;TODAY()),0,IF(OR(INDEX($B994:$D994,AJ$5)="F",AND(AJ$6&gt;0,$A994&lt;AJ$6),AND(AJ$7&gt;0,$A994&gt;AJ$7)),0,MAX(0,ROUND((INDEX($E994:$G994,AJ$5)-SUMIFS(TF_Timer,TF_Tekniker,AJ$4,TF_Dato,$A994))*2,0)/2)))</f>
        <v/>
      </c>
      <c r="AK994">
        <f>IF(OR(AK$4="",$A994&gt;TODAY()),0,IF(OR(INDEX($B994:$D994,AK$5)="F",AND(AK$6&gt;0,$A994&lt;AK$6),AND(AK$7&gt;0,$A994&gt;AK$7)),0,MAX(0,ROUND((INDEX($E994:$G994,AK$5)-SUMIFS(TF_Timer,TF_Tekniker,AK$4,TF_Dato,$A994))*2,0)/2)))</f>
        <v/>
      </c>
      <c r="AL994">
        <f>IF(OR(AL$4="",$A994&gt;TODAY()),0,IF(OR(INDEX($B994:$D994,AL$5)="F",AND(AL$6&gt;0,$A994&lt;AL$6),AND(AL$7&gt;0,$A994&gt;AL$7)),0,MAX(0,ROUND((INDEX($E994:$G994,AL$5)-SUMIFS(TF_Timer,TF_Tekniker,AL$4,TF_Dato,$A994))*2,0)/2)))</f>
        <v/>
      </c>
      <c r="AM994">
        <f>IF(OR(AM$4="",$A994&gt;TODAY()),0,IF(OR(INDEX($B994:$D994,AM$5)="F",AND(AM$6&gt;0,$A994&lt;AM$6),AND(AM$7&gt;0,$A994&gt;AM$7)),0,MAX(0,ROUND((INDEX($E994:$G994,AM$5)-SUMIFS(TF_Timer,TF_Tekniker,AM$4,TF_Dato,$A994))*2,0)/2)))</f>
        <v/>
      </c>
      <c r="AN994">
        <f>IF(OR(AN$4="",$A994&gt;TODAY()),0,IF(OR(INDEX($B994:$D994,AN$5)="F",AND(AN$6&gt;0,$A994&lt;AN$6),AND(AN$7&gt;0,$A994&gt;AN$7)),0,MAX(0,ROUND((INDEX($E994:$G994,AN$5)-SUMIFS(TF_Timer,TF_Tekniker,AN$4,TF_Dato,$A994))*2,0)/2)))</f>
        <v/>
      </c>
      <c r="AO994">
        <f>IF(OR(AO$4="",$A994&gt;TODAY()),0,IF(OR(INDEX($B994:$D994,AO$5)="F",AND(AO$6&gt;0,$A994&lt;AO$6),AND(AO$7&gt;0,$A994&gt;AO$7)),0,MAX(0,ROUND((INDEX($E994:$G994,AO$5)-SUMIFS(TF_Timer,TF_Tekniker,AO$4,TF_Dato,$A994))*2,0)/2)))</f>
        <v/>
      </c>
      <c r="AP994">
        <f>IF(OR(AP$4="",$A994&gt;TODAY()),0,IF(OR(INDEX($B994:$D994,AP$5)="F",AND(AP$6&gt;0,$A994&lt;AP$6),AND(AP$7&gt;0,$A994&gt;AP$7)),0,MAX(0,ROUND((INDEX($E994:$G994,AP$5)-SUMIFS(TF_Timer,TF_Tekniker,AP$4,TF_Dato,$A994))*2,0)/2)))</f>
        <v/>
      </c>
      <c r="AQ994">
        <f>IF(OR(AQ$4="",$A994&gt;TODAY()),0,IF(OR(INDEX($B994:$D994,AQ$5)="F",AND(AQ$6&gt;0,$A994&lt;AQ$6),AND(AQ$7&gt;0,$A994&gt;AQ$7)),0,MAX(0,ROUND((INDEX($E994:$G994,AQ$5)-SUMIFS(TF_Timer,TF_Tekniker,AQ$4,TF_Dato,$A994))*2,0)/2)))</f>
        <v/>
      </c>
      <c r="AR994">
        <f>IF(OR(AR$4="",$A994&gt;TODAY()),0,IF(OR(INDEX($B994:$D994,AR$5)="F",AND(AR$6&gt;0,$A994&lt;AR$6),AND(AR$7&gt;0,$A994&gt;AR$7)),0,MAX(0,ROUND((INDEX($E994:$G994,AR$5)-SUMIFS(TF_Timer,TF_Tekniker,AR$4,TF_Dato,$A994))*2,0)/2)))</f>
        <v/>
      </c>
      <c r="AS994">
        <f>IF(OR(AS$4="",$A994&gt;TODAY()),0,IF(OR(INDEX($B994:$D994,AS$5)="F",AND(AS$6&gt;0,$A994&lt;AS$6),AND(AS$7&gt;0,$A994&gt;AS$7)),0,MAX(0,ROUND((INDEX($E994:$G994,AS$5)-SUMIFS(TF_Timer,TF_Tekniker,AS$4,TF_Dato,$A994))*2,0)/2)))</f>
        <v/>
      </c>
      <c r="AT994">
        <f>IF(OR(AT$4="",$A994&gt;TODAY()),0,IF(OR(INDEX($B994:$D994,AT$5)="F",AND(AT$6&gt;0,$A994&lt;AT$6),AND(AT$7&gt;0,$A994&gt;AT$7)),0,MAX(0,ROUND((INDEX($E994:$G994,AT$5)-SUMIFS(TF_Timer,TF_Tekniker,AT$4,TF_Dato,$A994))*2,0)/2)))</f>
        <v/>
      </c>
      <c r="AU994">
        <f>IF(OR(AU$4="",$A994&gt;TODAY()),0,IF(OR(INDEX($B994:$D994,AU$5)="F",AND(AU$6&gt;0,$A994&lt;AU$6),AND(AU$7&gt;0,$A994&gt;AU$7)),0,MAX(0,ROUND((INDEX($E994:$G994,AU$5)-SUMIFS(TF_Timer,TF_Tekniker,AU$4,TF_Dato,$A994))*2,0)/2)))</f>
        <v/>
      </c>
      <c r="AV994">
        <f>IF(OR(AV$4="",$A994&gt;TODAY()),0,IF(OR(INDEX($B994:$D994,AV$5)="F",AND(AV$6&gt;0,$A994&lt;AV$6),AND(AV$7&gt;0,$A994&gt;AV$7)),0,MAX(0,ROUND((INDEX($E994:$G994,AV$5)-SUMIFS(TF_Timer,TF_Tekniker,AV$4,TF_Dato,$A994))*2,0)/2)))</f>
        <v/>
      </c>
      <c r="AW994">
        <f>IF(OR(AW$4="",$A994&gt;TODAY()),0,IF(OR(INDEX($B994:$D994,AW$5)="F",AND(AW$6&gt;0,$A994&lt;AW$6),AND(AW$7&gt;0,$A994&gt;AW$7)),0,MAX(0,ROUND((INDEX($E994:$G994,AW$5)-SUMIFS(TF_Timer,TF_Tekniker,AW$4,TF_Dato,$A994))*2,0)/2)))</f>
        <v/>
      </c>
      <c r="AX994">
        <f>IF(OR(AX$4="",$A994&gt;TODAY()),0,IF(OR(INDEX($B994:$D994,AX$5)="F",AND(AX$6&gt;0,$A994&lt;AX$6),AND(AX$7&gt;0,$A994&gt;AX$7)),0,MAX(0,ROUND((INDEX($E994:$G994,AX$5)-SUMIFS(TF_Timer,TF_Tekniker,AX$4,TF_Dato,$A994))*2,0)/2)))</f>
        <v/>
      </c>
      <c r="AY994">
        <f>IF(OR(AY$4="",$A994&gt;TODAY()),0,IF(OR(INDEX($B994:$D994,AY$5)="F",AND(AY$6&gt;0,$A994&lt;AY$6),AND(AY$7&gt;0,$A994&gt;AY$7)),0,MAX(0,ROUND((INDEX($E994:$G994,AY$5)-SUMIFS(TF_Timer,TF_Tekniker,AY$4,TF_Dato,$A994))*2,0)/2)))</f>
        <v/>
      </c>
      <c r="AZ994">
        <f>IF(OR(AZ$4="",$A994&gt;TODAY()),0,IF(OR(INDEX($B994:$D994,AZ$5)="F",AND(AZ$6&gt;0,$A994&lt;AZ$6),AND(AZ$7&gt;0,$A994&gt;AZ$7)),0,MAX(0,ROUND((INDEX($E994:$G994,AZ$5)-SUMIFS(TF_Timer,TF_Tekniker,AZ$4,TF_Dato,$A994))*2,0)/2)))</f>
        <v/>
      </c>
      <c r="BA994">
        <f>IF(OR(BA$4="",$A994&gt;TODAY()),0,IF(OR(INDEX($B994:$D994,BA$5)="F",AND(BA$6&gt;0,$A994&lt;BA$6),AND(BA$7&gt;0,$A994&gt;BA$7)),0,MAX(0,ROUND((INDEX($E994:$G994,BA$5)-SUMIFS(TF_Timer,TF_Tekniker,BA$4,TF_Dato,$A994))*2,0)/2)))</f>
        <v/>
      </c>
      <c r="BB994">
        <f>IF(OR(BB$4="",$A994&gt;TODAY()),0,IF(OR(INDEX($B994:$D994,BB$5)="F",AND(BB$6&gt;0,$A994&lt;BB$6),AND(BB$7&gt;0,$A994&gt;BB$7)),0,MAX(0,ROUND((INDEX($E994:$G994,BB$5)-SUMIFS(TF_Timer,TF_Tekniker,BB$4,TF_Dato,$A994))*2,0)/2)))</f>
        <v/>
      </c>
      <c r="BC994">
        <f>IF(OR(BC$4="",$A994&gt;TODAY()),0,IF(OR(INDEX($B994:$D994,BC$5)="F",AND(BC$6&gt;0,$A994&lt;BC$6),AND(BC$7&gt;0,$A994&gt;BC$7)),0,MAX(0,ROUND((INDEX($E994:$G994,BC$5)-SUMIFS(TF_Timer,TF_Tekniker,BC$4,TF_Dato,$A994))*2,0)/2)))</f>
        <v/>
      </c>
      <c r="BD994">
        <f>IF(OR(BD$4="",$A994&gt;TODAY()),0,IF(OR(INDEX($B994:$D994,BD$5)="F",AND(BD$6&gt;0,$A994&lt;BD$6),AND(BD$7&gt;0,$A994&gt;BD$7)),0,MAX(0,ROUND((INDEX($E994:$G994,BD$5)-SUMIFS(TF_Timer,TF_Tekniker,BD$4,TF_Dato,$A994))*2,0)/2)))</f>
        <v/>
      </c>
      <c r="BE994">
        <f>IF(OR(BE$4="",$A994&gt;TODAY()),0,IF(OR(INDEX($B994:$D994,BE$5)="F",AND(BE$6&gt;0,$A994&lt;BE$6),AND(BE$7&gt;0,$A994&gt;BE$7)),0,MAX(0,ROUND((INDEX($E994:$G994,BE$5)-SUMIFS(TF_Timer,TF_Tekniker,BE$4,TF_Dato,$A994))*2,0)/2)))</f>
        <v/>
      </c>
      <c r="BF994">
        <f>IF(OR(BF$4="",$A994&gt;TODAY()),0,IF(OR(INDEX($B994:$D994,BF$5)="F",AND(BF$6&gt;0,$A994&lt;BF$6),AND(BF$7&gt;0,$A994&gt;BF$7)),0,MAX(0,ROUND((INDEX($E994:$G994,BF$5)-SUMIFS(TF_Timer,TF_Tekniker,BF$4,TF_Dato,$A994))*2,0)/2)))</f>
        <v/>
      </c>
      <c r="BG994">
        <f>IF(OR(BG$4="",$A994&gt;TODAY()),0,IF(OR(INDEX($B994:$D994,BG$5)="F",AND(BG$6&gt;0,$A994&lt;BG$6),AND(BG$7&gt;0,$A994&gt;BG$7)),0,MAX(0,ROUND((INDEX($E994:$G994,BG$5)-SUMIFS(TF_Timer,TF_Tekniker,BG$4,TF_Dato,$A994))*2,0)/2)))</f>
        <v/>
      </c>
      <c r="BH994">
        <f>IF(OR(BH$4="",$A994&gt;TODAY()),0,IF(OR(INDEX($B994:$D994,BH$5)="F",AND(BH$6&gt;0,$A994&lt;BH$6),AND(BH$7&gt;0,$A994&gt;BH$7)),0,MAX(0,ROUND((INDEX($E994:$G994,BH$5)-SUMIFS(TF_Timer,TF_Tekniker,BH$4,TF_Dato,$A994))*2,0)/2)))</f>
        <v/>
      </c>
      <c r="BI994">
        <f>IF(OR(BI$4="",$A994&gt;TODAY()),0,IF(OR(INDEX($B994:$D994,BI$5)="F",AND(BI$6&gt;0,$A994&lt;BI$6),AND(BI$7&gt;0,$A994&gt;BI$7)),0,MAX(0,ROUND((INDEX($E994:$G994,BI$5)-SUMIFS(TF_Timer,TF_Tekniker,BI$4,TF_Dato,$A994))*2,0)/2)))</f>
        <v/>
      </c>
    </row>
    <row r="995">
      <c r="A995" s="64">
        <f>A994+1</f>
        <v/>
      </c>
      <c r="B995">
        <f>IF(MOD($A995-INDEX(SkiftStart,1),Syklus)&lt;DagK,"K",IF(MOD($A995-INDEX(SkiftStart,1),Syklus)&lt;DagK+DagH,"H",IF(MOD($A995-INDEX(SkiftStart,1),Syklus)&lt;DagK+DagH+DagD,"D","F")))</f>
        <v/>
      </c>
      <c r="C995">
        <f>IF(MOD($A995-INDEX(SkiftStart,2),Syklus)&lt;DagK,"K",IF(MOD($A995-INDEX(SkiftStart,2),Syklus)&lt;DagK+DagH,"H",IF(MOD($A995-INDEX(SkiftStart,2),Syklus)&lt;DagK+DagH+DagD,"D","F")))</f>
        <v/>
      </c>
      <c r="D995">
        <f>IF(MOD($A995-INDEX(SkiftStart,3),Syklus)&lt;DagK,"K",IF(MOD($A995-INDEX(SkiftStart,3),Syklus)&lt;DagK+DagH,"H",IF(MOD($A995-INDEX(SkiftStart,3),Syklus)&lt;DagK+DagH+DagD,"D","F")))</f>
        <v/>
      </c>
      <c r="E995">
        <f>IF(B995="F",0,IF(WEEKDAY($A995,2)=5,INDEX(TimerFr,MATCH(B995,FaseKode,0)),INDEX(TimerMT,MATCH(B995,FaseKode,0))))</f>
        <v/>
      </c>
      <c r="F995">
        <f>IF(C995="F",0,IF(WEEKDAY($A995,2)=5,INDEX(TimerFr,MATCH(C995,FaseKode,0)),INDEX(TimerMT,MATCH(C995,FaseKode,0))))</f>
        <v/>
      </c>
      <c r="G995">
        <f>IF(D995="F",0,IF(WEEKDAY($A995,2)=5,INDEX(TimerFr,MATCH(D995,FaseKode,0)),INDEX(TimerMT,MATCH(D995,FaseKode,0))))</f>
        <v/>
      </c>
      <c r="H995">
        <f>IF(OR(H$4="",$A995&gt;TODAY()),0,IF(OR(INDEX($B995:$D995,H$5)="F",AND(H$6&gt;0,$A995&lt;H$6),AND(H$7&gt;0,$A995&gt;H$7)),0,MAX(0,ROUND((INDEX($E995:$G995,H$5)-SUMIFS(TF_Timer,TF_Tekniker,H$4,TF_Dato,$A995))*2,0)/2)))</f>
        <v/>
      </c>
      <c r="I995">
        <f>IF(OR(I$4="",$A995&gt;TODAY()),0,IF(OR(INDEX($B995:$D995,I$5)="F",AND(I$6&gt;0,$A995&lt;I$6),AND(I$7&gt;0,$A995&gt;I$7)),0,MAX(0,ROUND((INDEX($E995:$G995,I$5)-SUMIFS(TF_Timer,TF_Tekniker,I$4,TF_Dato,$A995))*2,0)/2)))</f>
        <v/>
      </c>
      <c r="J995">
        <f>IF(OR(J$4="",$A995&gt;TODAY()),0,IF(OR(INDEX($B995:$D995,J$5)="F",AND(J$6&gt;0,$A995&lt;J$6),AND(J$7&gt;0,$A995&gt;J$7)),0,MAX(0,ROUND((INDEX($E995:$G995,J$5)-SUMIFS(TF_Timer,TF_Tekniker,J$4,TF_Dato,$A995))*2,0)/2)))</f>
        <v/>
      </c>
      <c r="K995">
        <f>IF(OR(K$4="",$A995&gt;TODAY()),0,IF(OR(INDEX($B995:$D995,K$5)="F",AND(K$6&gt;0,$A995&lt;K$6),AND(K$7&gt;0,$A995&gt;K$7)),0,MAX(0,ROUND((INDEX($E995:$G995,K$5)-SUMIFS(TF_Timer,TF_Tekniker,K$4,TF_Dato,$A995))*2,0)/2)))</f>
        <v/>
      </c>
      <c r="L995">
        <f>IF(OR(L$4="",$A995&gt;TODAY()),0,IF(OR(INDEX($B995:$D995,L$5)="F",AND(L$6&gt;0,$A995&lt;L$6),AND(L$7&gt;0,$A995&gt;L$7)),0,MAX(0,ROUND((INDEX($E995:$G995,L$5)-SUMIFS(TF_Timer,TF_Tekniker,L$4,TF_Dato,$A995))*2,0)/2)))</f>
        <v/>
      </c>
      <c r="M995">
        <f>IF(OR(M$4="",$A995&gt;TODAY()),0,IF(OR(INDEX($B995:$D995,M$5)="F",AND(M$6&gt;0,$A995&lt;M$6),AND(M$7&gt;0,$A995&gt;M$7)),0,MAX(0,ROUND((INDEX($E995:$G995,M$5)-SUMIFS(TF_Timer,TF_Tekniker,M$4,TF_Dato,$A995))*2,0)/2)))</f>
        <v/>
      </c>
      <c r="N995">
        <f>IF(OR(N$4="",$A995&gt;TODAY()),0,IF(OR(INDEX($B995:$D995,N$5)="F",AND(N$6&gt;0,$A995&lt;N$6),AND(N$7&gt;0,$A995&gt;N$7)),0,MAX(0,ROUND((INDEX($E995:$G995,N$5)-SUMIFS(TF_Timer,TF_Tekniker,N$4,TF_Dato,$A995))*2,0)/2)))</f>
        <v/>
      </c>
      <c r="O995">
        <f>IF(OR(O$4="",$A995&gt;TODAY()),0,IF(OR(INDEX($B995:$D995,O$5)="F",AND(O$6&gt;0,$A995&lt;O$6),AND(O$7&gt;0,$A995&gt;O$7)),0,MAX(0,ROUND((INDEX($E995:$G995,O$5)-SUMIFS(TF_Timer,TF_Tekniker,O$4,TF_Dato,$A995))*2,0)/2)))</f>
        <v/>
      </c>
      <c r="P995">
        <f>IF(OR(P$4="",$A995&gt;TODAY()),0,IF(OR(INDEX($B995:$D995,P$5)="F",AND(P$6&gt;0,$A995&lt;P$6),AND(P$7&gt;0,$A995&gt;P$7)),0,MAX(0,ROUND((INDEX($E995:$G995,P$5)-SUMIFS(TF_Timer,TF_Tekniker,P$4,TF_Dato,$A995))*2,0)/2)))</f>
        <v/>
      </c>
      <c r="Q995">
        <f>IF(OR(Q$4="",$A995&gt;TODAY()),0,IF(OR(INDEX($B995:$D995,Q$5)="F",AND(Q$6&gt;0,$A995&lt;Q$6),AND(Q$7&gt;0,$A995&gt;Q$7)),0,MAX(0,ROUND((INDEX($E995:$G995,Q$5)-SUMIFS(TF_Timer,TF_Tekniker,Q$4,TF_Dato,$A995))*2,0)/2)))</f>
        <v/>
      </c>
      <c r="R995">
        <f>IF(OR(R$4="",$A995&gt;TODAY()),0,IF(OR(INDEX($B995:$D995,R$5)="F",AND(R$6&gt;0,$A995&lt;R$6),AND(R$7&gt;0,$A995&gt;R$7)),0,MAX(0,ROUND((INDEX($E995:$G995,R$5)-SUMIFS(TF_Timer,TF_Tekniker,R$4,TF_Dato,$A995))*2,0)/2)))</f>
        <v/>
      </c>
      <c r="S995">
        <f>IF(OR(S$4="",$A995&gt;TODAY()),0,IF(OR(INDEX($B995:$D995,S$5)="F",AND(S$6&gt;0,$A995&lt;S$6),AND(S$7&gt;0,$A995&gt;S$7)),0,MAX(0,ROUND((INDEX($E995:$G995,S$5)-SUMIFS(TF_Timer,TF_Tekniker,S$4,TF_Dato,$A995))*2,0)/2)))</f>
        <v/>
      </c>
      <c r="T995">
        <f>IF(OR(T$4="",$A995&gt;TODAY()),0,IF(OR(INDEX($B995:$D995,T$5)="F",AND(T$6&gt;0,$A995&lt;T$6),AND(T$7&gt;0,$A995&gt;T$7)),0,MAX(0,ROUND((INDEX($E995:$G995,T$5)-SUMIFS(TF_Timer,TF_Tekniker,T$4,TF_Dato,$A995))*2,0)/2)))</f>
        <v/>
      </c>
      <c r="U995">
        <f>IF(OR(U$4="",$A995&gt;TODAY()),0,IF(OR(INDEX($B995:$D995,U$5)="F",AND(U$6&gt;0,$A995&lt;U$6),AND(U$7&gt;0,$A995&gt;U$7)),0,MAX(0,ROUND((INDEX($E995:$G995,U$5)-SUMIFS(TF_Timer,TF_Tekniker,U$4,TF_Dato,$A995))*2,0)/2)))</f>
        <v/>
      </c>
      <c r="V995">
        <f>IF(OR(V$4="",$A995&gt;TODAY()),0,IF(OR(INDEX($B995:$D995,V$5)="F",AND(V$6&gt;0,$A995&lt;V$6),AND(V$7&gt;0,$A995&gt;V$7)),0,MAX(0,ROUND((INDEX($E995:$G995,V$5)-SUMIFS(TF_Timer,TF_Tekniker,V$4,TF_Dato,$A995))*2,0)/2)))</f>
        <v/>
      </c>
      <c r="W995">
        <f>IF(OR(W$4="",$A995&gt;TODAY()),0,IF(OR(INDEX($B995:$D995,W$5)="F",AND(W$6&gt;0,$A995&lt;W$6),AND(W$7&gt;0,$A995&gt;W$7)),0,MAX(0,ROUND((INDEX($E995:$G995,W$5)-SUMIFS(TF_Timer,TF_Tekniker,W$4,TF_Dato,$A995))*2,0)/2)))</f>
        <v/>
      </c>
      <c r="X995">
        <f>IF(OR(X$4="",$A995&gt;TODAY()),0,IF(OR(INDEX($B995:$D995,X$5)="F",AND(X$6&gt;0,$A995&lt;X$6),AND(X$7&gt;0,$A995&gt;X$7)),0,MAX(0,ROUND((INDEX($E995:$G995,X$5)-SUMIFS(TF_Timer,TF_Tekniker,X$4,TF_Dato,$A995))*2,0)/2)))</f>
        <v/>
      </c>
      <c r="Y995">
        <f>IF(OR(Y$4="",$A995&gt;TODAY()),0,IF(OR(INDEX($B995:$D995,Y$5)="F",AND(Y$6&gt;0,$A995&lt;Y$6),AND(Y$7&gt;0,$A995&gt;Y$7)),0,MAX(0,ROUND((INDEX($E995:$G995,Y$5)-SUMIFS(TF_Timer,TF_Tekniker,Y$4,TF_Dato,$A995))*2,0)/2)))</f>
        <v/>
      </c>
      <c r="Z995">
        <f>IF(OR(Z$4="",$A995&gt;TODAY()),0,IF(OR(INDEX($B995:$D995,Z$5)="F",AND(Z$6&gt;0,$A995&lt;Z$6),AND(Z$7&gt;0,$A995&gt;Z$7)),0,MAX(0,ROUND((INDEX($E995:$G995,Z$5)-SUMIFS(TF_Timer,TF_Tekniker,Z$4,TF_Dato,$A995))*2,0)/2)))</f>
        <v/>
      </c>
      <c r="AA995">
        <f>IF(OR(AA$4="",$A995&gt;TODAY()),0,IF(OR(INDEX($B995:$D995,AA$5)="F",AND(AA$6&gt;0,$A995&lt;AA$6),AND(AA$7&gt;0,$A995&gt;AA$7)),0,MAX(0,ROUND((INDEX($E995:$G995,AA$5)-SUMIFS(TF_Timer,TF_Tekniker,AA$4,TF_Dato,$A995))*2,0)/2)))</f>
        <v/>
      </c>
      <c r="AB995">
        <f>IF(OR(AB$4="",$A995&gt;TODAY()),0,IF(OR(INDEX($B995:$D995,AB$5)="F",AND(AB$6&gt;0,$A995&lt;AB$6),AND(AB$7&gt;0,$A995&gt;AB$7)),0,MAX(0,ROUND((INDEX($E995:$G995,AB$5)-SUMIFS(TF_Timer,TF_Tekniker,AB$4,TF_Dato,$A995))*2,0)/2)))</f>
        <v/>
      </c>
      <c r="AC995">
        <f>IF(OR(AC$4="",$A995&gt;TODAY()),0,IF(OR(INDEX($B995:$D995,AC$5)="F",AND(AC$6&gt;0,$A995&lt;AC$6),AND(AC$7&gt;0,$A995&gt;AC$7)),0,MAX(0,ROUND((INDEX($E995:$G995,AC$5)-SUMIFS(TF_Timer,TF_Tekniker,AC$4,TF_Dato,$A995))*2,0)/2)))</f>
        <v/>
      </c>
      <c r="AD995">
        <f>IF(OR(AD$4="",$A995&gt;TODAY()),0,IF(OR(INDEX($B995:$D995,AD$5)="F",AND(AD$6&gt;0,$A995&lt;AD$6),AND(AD$7&gt;0,$A995&gt;AD$7)),0,MAX(0,ROUND((INDEX($E995:$G995,AD$5)-SUMIFS(TF_Timer,TF_Tekniker,AD$4,TF_Dato,$A995))*2,0)/2)))</f>
        <v/>
      </c>
      <c r="AE995">
        <f>IF(OR(AE$4="",$A995&gt;TODAY()),0,IF(OR(INDEX($B995:$D995,AE$5)="F",AND(AE$6&gt;0,$A995&lt;AE$6),AND(AE$7&gt;0,$A995&gt;AE$7)),0,MAX(0,ROUND((INDEX($E995:$G995,AE$5)-SUMIFS(TF_Timer,TF_Tekniker,AE$4,TF_Dato,$A995))*2,0)/2)))</f>
        <v/>
      </c>
      <c r="AF995">
        <f>IF(OR(AF$4="",$A995&gt;TODAY()),0,IF(OR(INDEX($B995:$D995,AF$5)="F",AND(AF$6&gt;0,$A995&lt;AF$6),AND(AF$7&gt;0,$A995&gt;AF$7)),0,MAX(0,ROUND((INDEX($E995:$G995,AF$5)-SUMIFS(TF_Timer,TF_Tekniker,AF$4,TF_Dato,$A995))*2,0)/2)))</f>
        <v/>
      </c>
      <c r="AG995">
        <f>IF(OR(AG$4="",$A995&gt;TODAY()),0,IF(OR(INDEX($B995:$D995,AG$5)="F",AND(AG$6&gt;0,$A995&lt;AG$6),AND(AG$7&gt;0,$A995&gt;AG$7)),0,MAX(0,ROUND((INDEX($E995:$G995,AG$5)-SUMIFS(TF_Timer,TF_Tekniker,AG$4,TF_Dato,$A995))*2,0)/2)))</f>
        <v/>
      </c>
      <c r="AH995">
        <f>IF(OR(AH$4="",$A995&gt;TODAY()),0,IF(OR(INDEX($B995:$D995,AH$5)="F",AND(AH$6&gt;0,$A995&lt;AH$6),AND(AH$7&gt;0,$A995&gt;AH$7)),0,MAX(0,ROUND((INDEX($E995:$G995,AH$5)-SUMIFS(TF_Timer,TF_Tekniker,AH$4,TF_Dato,$A995))*2,0)/2)))</f>
        <v/>
      </c>
      <c r="AI995">
        <f>IF(OR(AI$4="",$A995&gt;TODAY()),0,IF(OR(INDEX($B995:$D995,AI$5)="F",AND(AI$6&gt;0,$A995&lt;AI$6),AND(AI$7&gt;0,$A995&gt;AI$7)),0,MAX(0,ROUND((INDEX($E995:$G995,AI$5)-SUMIFS(TF_Timer,TF_Tekniker,AI$4,TF_Dato,$A995))*2,0)/2)))</f>
        <v/>
      </c>
      <c r="AJ995">
        <f>IF(OR(AJ$4="",$A995&gt;TODAY()),0,IF(OR(INDEX($B995:$D995,AJ$5)="F",AND(AJ$6&gt;0,$A995&lt;AJ$6),AND(AJ$7&gt;0,$A995&gt;AJ$7)),0,MAX(0,ROUND((INDEX($E995:$G995,AJ$5)-SUMIFS(TF_Timer,TF_Tekniker,AJ$4,TF_Dato,$A995))*2,0)/2)))</f>
        <v/>
      </c>
      <c r="AK995">
        <f>IF(OR(AK$4="",$A995&gt;TODAY()),0,IF(OR(INDEX($B995:$D995,AK$5)="F",AND(AK$6&gt;0,$A995&lt;AK$6),AND(AK$7&gt;0,$A995&gt;AK$7)),0,MAX(0,ROUND((INDEX($E995:$G995,AK$5)-SUMIFS(TF_Timer,TF_Tekniker,AK$4,TF_Dato,$A995))*2,0)/2)))</f>
        <v/>
      </c>
      <c r="AL995">
        <f>IF(OR(AL$4="",$A995&gt;TODAY()),0,IF(OR(INDEX($B995:$D995,AL$5)="F",AND(AL$6&gt;0,$A995&lt;AL$6),AND(AL$7&gt;0,$A995&gt;AL$7)),0,MAX(0,ROUND((INDEX($E995:$G995,AL$5)-SUMIFS(TF_Timer,TF_Tekniker,AL$4,TF_Dato,$A995))*2,0)/2)))</f>
        <v/>
      </c>
      <c r="AM995">
        <f>IF(OR(AM$4="",$A995&gt;TODAY()),0,IF(OR(INDEX($B995:$D995,AM$5)="F",AND(AM$6&gt;0,$A995&lt;AM$6),AND(AM$7&gt;0,$A995&gt;AM$7)),0,MAX(0,ROUND((INDEX($E995:$G995,AM$5)-SUMIFS(TF_Timer,TF_Tekniker,AM$4,TF_Dato,$A995))*2,0)/2)))</f>
        <v/>
      </c>
      <c r="AN995">
        <f>IF(OR(AN$4="",$A995&gt;TODAY()),0,IF(OR(INDEX($B995:$D995,AN$5)="F",AND(AN$6&gt;0,$A995&lt;AN$6),AND(AN$7&gt;0,$A995&gt;AN$7)),0,MAX(0,ROUND((INDEX($E995:$G995,AN$5)-SUMIFS(TF_Timer,TF_Tekniker,AN$4,TF_Dato,$A995))*2,0)/2)))</f>
        <v/>
      </c>
      <c r="AO995">
        <f>IF(OR(AO$4="",$A995&gt;TODAY()),0,IF(OR(INDEX($B995:$D995,AO$5)="F",AND(AO$6&gt;0,$A995&lt;AO$6),AND(AO$7&gt;0,$A995&gt;AO$7)),0,MAX(0,ROUND((INDEX($E995:$G995,AO$5)-SUMIFS(TF_Timer,TF_Tekniker,AO$4,TF_Dato,$A995))*2,0)/2)))</f>
        <v/>
      </c>
      <c r="AP995">
        <f>IF(OR(AP$4="",$A995&gt;TODAY()),0,IF(OR(INDEX($B995:$D995,AP$5)="F",AND(AP$6&gt;0,$A995&lt;AP$6),AND(AP$7&gt;0,$A995&gt;AP$7)),0,MAX(0,ROUND((INDEX($E995:$G995,AP$5)-SUMIFS(TF_Timer,TF_Tekniker,AP$4,TF_Dato,$A995))*2,0)/2)))</f>
        <v/>
      </c>
      <c r="AQ995">
        <f>IF(OR(AQ$4="",$A995&gt;TODAY()),0,IF(OR(INDEX($B995:$D995,AQ$5)="F",AND(AQ$6&gt;0,$A995&lt;AQ$6),AND(AQ$7&gt;0,$A995&gt;AQ$7)),0,MAX(0,ROUND((INDEX($E995:$G995,AQ$5)-SUMIFS(TF_Timer,TF_Tekniker,AQ$4,TF_Dato,$A995))*2,0)/2)))</f>
        <v/>
      </c>
      <c r="AR995">
        <f>IF(OR(AR$4="",$A995&gt;TODAY()),0,IF(OR(INDEX($B995:$D995,AR$5)="F",AND(AR$6&gt;0,$A995&lt;AR$6),AND(AR$7&gt;0,$A995&gt;AR$7)),0,MAX(0,ROUND((INDEX($E995:$G995,AR$5)-SUMIFS(TF_Timer,TF_Tekniker,AR$4,TF_Dato,$A995))*2,0)/2)))</f>
        <v/>
      </c>
      <c r="AS995">
        <f>IF(OR(AS$4="",$A995&gt;TODAY()),0,IF(OR(INDEX($B995:$D995,AS$5)="F",AND(AS$6&gt;0,$A995&lt;AS$6),AND(AS$7&gt;0,$A995&gt;AS$7)),0,MAX(0,ROUND((INDEX($E995:$G995,AS$5)-SUMIFS(TF_Timer,TF_Tekniker,AS$4,TF_Dato,$A995))*2,0)/2)))</f>
        <v/>
      </c>
      <c r="AT995">
        <f>IF(OR(AT$4="",$A995&gt;TODAY()),0,IF(OR(INDEX($B995:$D995,AT$5)="F",AND(AT$6&gt;0,$A995&lt;AT$6),AND(AT$7&gt;0,$A995&gt;AT$7)),0,MAX(0,ROUND((INDEX($E995:$G995,AT$5)-SUMIFS(TF_Timer,TF_Tekniker,AT$4,TF_Dato,$A995))*2,0)/2)))</f>
        <v/>
      </c>
      <c r="AU995">
        <f>IF(OR(AU$4="",$A995&gt;TODAY()),0,IF(OR(INDEX($B995:$D995,AU$5)="F",AND(AU$6&gt;0,$A995&lt;AU$6),AND(AU$7&gt;0,$A995&gt;AU$7)),0,MAX(0,ROUND((INDEX($E995:$G995,AU$5)-SUMIFS(TF_Timer,TF_Tekniker,AU$4,TF_Dato,$A995))*2,0)/2)))</f>
        <v/>
      </c>
      <c r="AV995">
        <f>IF(OR(AV$4="",$A995&gt;TODAY()),0,IF(OR(INDEX($B995:$D995,AV$5)="F",AND(AV$6&gt;0,$A995&lt;AV$6),AND(AV$7&gt;0,$A995&gt;AV$7)),0,MAX(0,ROUND((INDEX($E995:$G995,AV$5)-SUMIFS(TF_Timer,TF_Tekniker,AV$4,TF_Dato,$A995))*2,0)/2)))</f>
        <v/>
      </c>
      <c r="AW995">
        <f>IF(OR(AW$4="",$A995&gt;TODAY()),0,IF(OR(INDEX($B995:$D995,AW$5)="F",AND(AW$6&gt;0,$A995&lt;AW$6),AND(AW$7&gt;0,$A995&gt;AW$7)),0,MAX(0,ROUND((INDEX($E995:$G995,AW$5)-SUMIFS(TF_Timer,TF_Tekniker,AW$4,TF_Dato,$A995))*2,0)/2)))</f>
        <v/>
      </c>
      <c r="AX995">
        <f>IF(OR(AX$4="",$A995&gt;TODAY()),0,IF(OR(INDEX($B995:$D995,AX$5)="F",AND(AX$6&gt;0,$A995&lt;AX$6),AND(AX$7&gt;0,$A995&gt;AX$7)),0,MAX(0,ROUND((INDEX($E995:$G995,AX$5)-SUMIFS(TF_Timer,TF_Tekniker,AX$4,TF_Dato,$A995))*2,0)/2)))</f>
        <v/>
      </c>
      <c r="AY995">
        <f>IF(OR(AY$4="",$A995&gt;TODAY()),0,IF(OR(INDEX($B995:$D995,AY$5)="F",AND(AY$6&gt;0,$A995&lt;AY$6),AND(AY$7&gt;0,$A995&gt;AY$7)),0,MAX(0,ROUND((INDEX($E995:$G995,AY$5)-SUMIFS(TF_Timer,TF_Tekniker,AY$4,TF_Dato,$A995))*2,0)/2)))</f>
        <v/>
      </c>
      <c r="AZ995">
        <f>IF(OR(AZ$4="",$A995&gt;TODAY()),0,IF(OR(INDEX($B995:$D995,AZ$5)="F",AND(AZ$6&gt;0,$A995&lt;AZ$6),AND(AZ$7&gt;0,$A995&gt;AZ$7)),0,MAX(0,ROUND((INDEX($E995:$G995,AZ$5)-SUMIFS(TF_Timer,TF_Tekniker,AZ$4,TF_Dato,$A995))*2,0)/2)))</f>
        <v/>
      </c>
      <c r="BA995">
        <f>IF(OR(BA$4="",$A995&gt;TODAY()),0,IF(OR(INDEX($B995:$D995,BA$5)="F",AND(BA$6&gt;0,$A995&lt;BA$6),AND(BA$7&gt;0,$A995&gt;BA$7)),0,MAX(0,ROUND((INDEX($E995:$G995,BA$5)-SUMIFS(TF_Timer,TF_Tekniker,BA$4,TF_Dato,$A995))*2,0)/2)))</f>
        <v/>
      </c>
      <c r="BB995">
        <f>IF(OR(BB$4="",$A995&gt;TODAY()),0,IF(OR(INDEX($B995:$D995,BB$5)="F",AND(BB$6&gt;0,$A995&lt;BB$6),AND(BB$7&gt;0,$A995&gt;BB$7)),0,MAX(0,ROUND((INDEX($E995:$G995,BB$5)-SUMIFS(TF_Timer,TF_Tekniker,BB$4,TF_Dato,$A995))*2,0)/2)))</f>
        <v/>
      </c>
      <c r="BC995">
        <f>IF(OR(BC$4="",$A995&gt;TODAY()),0,IF(OR(INDEX($B995:$D995,BC$5)="F",AND(BC$6&gt;0,$A995&lt;BC$6),AND(BC$7&gt;0,$A995&gt;BC$7)),0,MAX(0,ROUND((INDEX($E995:$G995,BC$5)-SUMIFS(TF_Timer,TF_Tekniker,BC$4,TF_Dato,$A995))*2,0)/2)))</f>
        <v/>
      </c>
      <c r="BD995">
        <f>IF(OR(BD$4="",$A995&gt;TODAY()),0,IF(OR(INDEX($B995:$D995,BD$5)="F",AND(BD$6&gt;0,$A995&lt;BD$6),AND(BD$7&gt;0,$A995&gt;BD$7)),0,MAX(0,ROUND((INDEX($E995:$G995,BD$5)-SUMIFS(TF_Timer,TF_Tekniker,BD$4,TF_Dato,$A995))*2,0)/2)))</f>
        <v/>
      </c>
      <c r="BE995">
        <f>IF(OR(BE$4="",$A995&gt;TODAY()),0,IF(OR(INDEX($B995:$D995,BE$5)="F",AND(BE$6&gt;0,$A995&lt;BE$6),AND(BE$7&gt;0,$A995&gt;BE$7)),0,MAX(0,ROUND((INDEX($E995:$G995,BE$5)-SUMIFS(TF_Timer,TF_Tekniker,BE$4,TF_Dato,$A995))*2,0)/2)))</f>
        <v/>
      </c>
      <c r="BF995">
        <f>IF(OR(BF$4="",$A995&gt;TODAY()),0,IF(OR(INDEX($B995:$D995,BF$5)="F",AND(BF$6&gt;0,$A995&lt;BF$6),AND(BF$7&gt;0,$A995&gt;BF$7)),0,MAX(0,ROUND((INDEX($E995:$G995,BF$5)-SUMIFS(TF_Timer,TF_Tekniker,BF$4,TF_Dato,$A995))*2,0)/2)))</f>
        <v/>
      </c>
      <c r="BG995">
        <f>IF(OR(BG$4="",$A995&gt;TODAY()),0,IF(OR(INDEX($B995:$D995,BG$5)="F",AND(BG$6&gt;0,$A995&lt;BG$6),AND(BG$7&gt;0,$A995&gt;BG$7)),0,MAX(0,ROUND((INDEX($E995:$G995,BG$5)-SUMIFS(TF_Timer,TF_Tekniker,BG$4,TF_Dato,$A995))*2,0)/2)))</f>
        <v/>
      </c>
      <c r="BH995">
        <f>IF(OR(BH$4="",$A995&gt;TODAY()),0,IF(OR(INDEX($B995:$D995,BH$5)="F",AND(BH$6&gt;0,$A995&lt;BH$6),AND(BH$7&gt;0,$A995&gt;BH$7)),0,MAX(0,ROUND((INDEX($E995:$G995,BH$5)-SUMIFS(TF_Timer,TF_Tekniker,BH$4,TF_Dato,$A995))*2,0)/2)))</f>
        <v/>
      </c>
      <c r="BI995">
        <f>IF(OR(BI$4="",$A995&gt;TODAY()),0,IF(OR(INDEX($B995:$D995,BI$5)="F",AND(BI$6&gt;0,$A995&lt;BI$6),AND(BI$7&gt;0,$A995&gt;BI$7)),0,MAX(0,ROUND((INDEX($E995:$G995,BI$5)-SUMIFS(TF_Timer,TF_Tekniker,BI$4,TF_Dato,$A995))*2,0)/2)))</f>
        <v/>
      </c>
    </row>
    <row r="996">
      <c r="A996" s="64">
        <f>A995+1</f>
        <v/>
      </c>
      <c r="B996">
        <f>IF(MOD($A996-INDEX(SkiftStart,1),Syklus)&lt;DagK,"K",IF(MOD($A996-INDEX(SkiftStart,1),Syklus)&lt;DagK+DagH,"H",IF(MOD($A996-INDEX(SkiftStart,1),Syklus)&lt;DagK+DagH+DagD,"D","F")))</f>
        <v/>
      </c>
      <c r="C996">
        <f>IF(MOD($A996-INDEX(SkiftStart,2),Syklus)&lt;DagK,"K",IF(MOD($A996-INDEX(SkiftStart,2),Syklus)&lt;DagK+DagH,"H",IF(MOD($A996-INDEX(SkiftStart,2),Syklus)&lt;DagK+DagH+DagD,"D","F")))</f>
        <v/>
      </c>
      <c r="D996">
        <f>IF(MOD($A996-INDEX(SkiftStart,3),Syklus)&lt;DagK,"K",IF(MOD($A996-INDEX(SkiftStart,3),Syklus)&lt;DagK+DagH,"H",IF(MOD($A996-INDEX(SkiftStart,3),Syklus)&lt;DagK+DagH+DagD,"D","F")))</f>
        <v/>
      </c>
      <c r="E996">
        <f>IF(B996="F",0,IF(WEEKDAY($A996,2)=5,INDEX(TimerFr,MATCH(B996,FaseKode,0)),INDEX(TimerMT,MATCH(B996,FaseKode,0))))</f>
        <v/>
      </c>
      <c r="F996">
        <f>IF(C996="F",0,IF(WEEKDAY($A996,2)=5,INDEX(TimerFr,MATCH(C996,FaseKode,0)),INDEX(TimerMT,MATCH(C996,FaseKode,0))))</f>
        <v/>
      </c>
      <c r="G996">
        <f>IF(D996="F",0,IF(WEEKDAY($A996,2)=5,INDEX(TimerFr,MATCH(D996,FaseKode,0)),INDEX(TimerMT,MATCH(D996,FaseKode,0))))</f>
        <v/>
      </c>
      <c r="H996">
        <f>IF(OR(H$4="",$A996&gt;TODAY()),0,IF(OR(INDEX($B996:$D996,H$5)="F",AND(H$6&gt;0,$A996&lt;H$6),AND(H$7&gt;0,$A996&gt;H$7)),0,MAX(0,ROUND((INDEX($E996:$G996,H$5)-SUMIFS(TF_Timer,TF_Tekniker,H$4,TF_Dato,$A996))*2,0)/2)))</f>
        <v/>
      </c>
      <c r="I996">
        <f>IF(OR(I$4="",$A996&gt;TODAY()),0,IF(OR(INDEX($B996:$D996,I$5)="F",AND(I$6&gt;0,$A996&lt;I$6),AND(I$7&gt;0,$A996&gt;I$7)),0,MAX(0,ROUND((INDEX($E996:$G996,I$5)-SUMIFS(TF_Timer,TF_Tekniker,I$4,TF_Dato,$A996))*2,0)/2)))</f>
        <v/>
      </c>
      <c r="J996">
        <f>IF(OR(J$4="",$A996&gt;TODAY()),0,IF(OR(INDEX($B996:$D996,J$5)="F",AND(J$6&gt;0,$A996&lt;J$6),AND(J$7&gt;0,$A996&gt;J$7)),0,MAX(0,ROUND((INDEX($E996:$G996,J$5)-SUMIFS(TF_Timer,TF_Tekniker,J$4,TF_Dato,$A996))*2,0)/2)))</f>
        <v/>
      </c>
      <c r="K996">
        <f>IF(OR(K$4="",$A996&gt;TODAY()),0,IF(OR(INDEX($B996:$D996,K$5)="F",AND(K$6&gt;0,$A996&lt;K$6),AND(K$7&gt;0,$A996&gt;K$7)),0,MAX(0,ROUND((INDEX($E996:$G996,K$5)-SUMIFS(TF_Timer,TF_Tekniker,K$4,TF_Dato,$A996))*2,0)/2)))</f>
        <v/>
      </c>
      <c r="L996">
        <f>IF(OR(L$4="",$A996&gt;TODAY()),0,IF(OR(INDEX($B996:$D996,L$5)="F",AND(L$6&gt;0,$A996&lt;L$6),AND(L$7&gt;0,$A996&gt;L$7)),0,MAX(0,ROUND((INDEX($E996:$G996,L$5)-SUMIFS(TF_Timer,TF_Tekniker,L$4,TF_Dato,$A996))*2,0)/2)))</f>
        <v/>
      </c>
      <c r="M996">
        <f>IF(OR(M$4="",$A996&gt;TODAY()),0,IF(OR(INDEX($B996:$D996,M$5)="F",AND(M$6&gt;0,$A996&lt;M$6),AND(M$7&gt;0,$A996&gt;M$7)),0,MAX(0,ROUND((INDEX($E996:$G996,M$5)-SUMIFS(TF_Timer,TF_Tekniker,M$4,TF_Dato,$A996))*2,0)/2)))</f>
        <v/>
      </c>
      <c r="N996">
        <f>IF(OR(N$4="",$A996&gt;TODAY()),0,IF(OR(INDEX($B996:$D996,N$5)="F",AND(N$6&gt;0,$A996&lt;N$6),AND(N$7&gt;0,$A996&gt;N$7)),0,MAX(0,ROUND((INDEX($E996:$G996,N$5)-SUMIFS(TF_Timer,TF_Tekniker,N$4,TF_Dato,$A996))*2,0)/2)))</f>
        <v/>
      </c>
      <c r="O996">
        <f>IF(OR(O$4="",$A996&gt;TODAY()),0,IF(OR(INDEX($B996:$D996,O$5)="F",AND(O$6&gt;0,$A996&lt;O$6),AND(O$7&gt;0,$A996&gt;O$7)),0,MAX(0,ROUND((INDEX($E996:$G996,O$5)-SUMIFS(TF_Timer,TF_Tekniker,O$4,TF_Dato,$A996))*2,0)/2)))</f>
        <v/>
      </c>
      <c r="P996">
        <f>IF(OR(P$4="",$A996&gt;TODAY()),0,IF(OR(INDEX($B996:$D996,P$5)="F",AND(P$6&gt;0,$A996&lt;P$6),AND(P$7&gt;0,$A996&gt;P$7)),0,MAX(0,ROUND((INDEX($E996:$G996,P$5)-SUMIFS(TF_Timer,TF_Tekniker,P$4,TF_Dato,$A996))*2,0)/2)))</f>
        <v/>
      </c>
      <c r="Q996">
        <f>IF(OR(Q$4="",$A996&gt;TODAY()),0,IF(OR(INDEX($B996:$D996,Q$5)="F",AND(Q$6&gt;0,$A996&lt;Q$6),AND(Q$7&gt;0,$A996&gt;Q$7)),0,MAX(0,ROUND((INDEX($E996:$G996,Q$5)-SUMIFS(TF_Timer,TF_Tekniker,Q$4,TF_Dato,$A996))*2,0)/2)))</f>
        <v/>
      </c>
      <c r="R996">
        <f>IF(OR(R$4="",$A996&gt;TODAY()),0,IF(OR(INDEX($B996:$D996,R$5)="F",AND(R$6&gt;0,$A996&lt;R$6),AND(R$7&gt;0,$A996&gt;R$7)),0,MAX(0,ROUND((INDEX($E996:$G996,R$5)-SUMIFS(TF_Timer,TF_Tekniker,R$4,TF_Dato,$A996))*2,0)/2)))</f>
        <v/>
      </c>
      <c r="S996">
        <f>IF(OR(S$4="",$A996&gt;TODAY()),0,IF(OR(INDEX($B996:$D996,S$5)="F",AND(S$6&gt;0,$A996&lt;S$6),AND(S$7&gt;0,$A996&gt;S$7)),0,MAX(0,ROUND((INDEX($E996:$G996,S$5)-SUMIFS(TF_Timer,TF_Tekniker,S$4,TF_Dato,$A996))*2,0)/2)))</f>
        <v/>
      </c>
      <c r="T996">
        <f>IF(OR(T$4="",$A996&gt;TODAY()),0,IF(OR(INDEX($B996:$D996,T$5)="F",AND(T$6&gt;0,$A996&lt;T$6),AND(T$7&gt;0,$A996&gt;T$7)),0,MAX(0,ROUND((INDEX($E996:$G996,T$5)-SUMIFS(TF_Timer,TF_Tekniker,T$4,TF_Dato,$A996))*2,0)/2)))</f>
        <v/>
      </c>
      <c r="U996">
        <f>IF(OR(U$4="",$A996&gt;TODAY()),0,IF(OR(INDEX($B996:$D996,U$5)="F",AND(U$6&gt;0,$A996&lt;U$6),AND(U$7&gt;0,$A996&gt;U$7)),0,MAX(0,ROUND((INDEX($E996:$G996,U$5)-SUMIFS(TF_Timer,TF_Tekniker,U$4,TF_Dato,$A996))*2,0)/2)))</f>
        <v/>
      </c>
      <c r="V996">
        <f>IF(OR(V$4="",$A996&gt;TODAY()),0,IF(OR(INDEX($B996:$D996,V$5)="F",AND(V$6&gt;0,$A996&lt;V$6),AND(V$7&gt;0,$A996&gt;V$7)),0,MAX(0,ROUND((INDEX($E996:$G996,V$5)-SUMIFS(TF_Timer,TF_Tekniker,V$4,TF_Dato,$A996))*2,0)/2)))</f>
        <v/>
      </c>
      <c r="W996">
        <f>IF(OR(W$4="",$A996&gt;TODAY()),0,IF(OR(INDEX($B996:$D996,W$5)="F",AND(W$6&gt;0,$A996&lt;W$6),AND(W$7&gt;0,$A996&gt;W$7)),0,MAX(0,ROUND((INDEX($E996:$G996,W$5)-SUMIFS(TF_Timer,TF_Tekniker,W$4,TF_Dato,$A996))*2,0)/2)))</f>
        <v/>
      </c>
      <c r="X996">
        <f>IF(OR(X$4="",$A996&gt;TODAY()),0,IF(OR(INDEX($B996:$D996,X$5)="F",AND(X$6&gt;0,$A996&lt;X$6),AND(X$7&gt;0,$A996&gt;X$7)),0,MAX(0,ROUND((INDEX($E996:$G996,X$5)-SUMIFS(TF_Timer,TF_Tekniker,X$4,TF_Dato,$A996))*2,0)/2)))</f>
        <v/>
      </c>
      <c r="Y996">
        <f>IF(OR(Y$4="",$A996&gt;TODAY()),0,IF(OR(INDEX($B996:$D996,Y$5)="F",AND(Y$6&gt;0,$A996&lt;Y$6),AND(Y$7&gt;0,$A996&gt;Y$7)),0,MAX(0,ROUND((INDEX($E996:$G996,Y$5)-SUMIFS(TF_Timer,TF_Tekniker,Y$4,TF_Dato,$A996))*2,0)/2)))</f>
        <v/>
      </c>
      <c r="Z996">
        <f>IF(OR(Z$4="",$A996&gt;TODAY()),0,IF(OR(INDEX($B996:$D996,Z$5)="F",AND(Z$6&gt;0,$A996&lt;Z$6),AND(Z$7&gt;0,$A996&gt;Z$7)),0,MAX(0,ROUND((INDEX($E996:$G996,Z$5)-SUMIFS(TF_Timer,TF_Tekniker,Z$4,TF_Dato,$A996))*2,0)/2)))</f>
        <v/>
      </c>
      <c r="AA996">
        <f>IF(OR(AA$4="",$A996&gt;TODAY()),0,IF(OR(INDEX($B996:$D996,AA$5)="F",AND(AA$6&gt;0,$A996&lt;AA$6),AND(AA$7&gt;0,$A996&gt;AA$7)),0,MAX(0,ROUND((INDEX($E996:$G996,AA$5)-SUMIFS(TF_Timer,TF_Tekniker,AA$4,TF_Dato,$A996))*2,0)/2)))</f>
        <v/>
      </c>
      <c r="AB996">
        <f>IF(OR(AB$4="",$A996&gt;TODAY()),0,IF(OR(INDEX($B996:$D996,AB$5)="F",AND(AB$6&gt;0,$A996&lt;AB$6),AND(AB$7&gt;0,$A996&gt;AB$7)),0,MAX(0,ROUND((INDEX($E996:$G996,AB$5)-SUMIFS(TF_Timer,TF_Tekniker,AB$4,TF_Dato,$A996))*2,0)/2)))</f>
        <v/>
      </c>
      <c r="AC996">
        <f>IF(OR(AC$4="",$A996&gt;TODAY()),0,IF(OR(INDEX($B996:$D996,AC$5)="F",AND(AC$6&gt;0,$A996&lt;AC$6),AND(AC$7&gt;0,$A996&gt;AC$7)),0,MAX(0,ROUND((INDEX($E996:$G996,AC$5)-SUMIFS(TF_Timer,TF_Tekniker,AC$4,TF_Dato,$A996))*2,0)/2)))</f>
        <v/>
      </c>
      <c r="AD996">
        <f>IF(OR(AD$4="",$A996&gt;TODAY()),0,IF(OR(INDEX($B996:$D996,AD$5)="F",AND(AD$6&gt;0,$A996&lt;AD$6),AND(AD$7&gt;0,$A996&gt;AD$7)),0,MAX(0,ROUND((INDEX($E996:$G996,AD$5)-SUMIFS(TF_Timer,TF_Tekniker,AD$4,TF_Dato,$A996))*2,0)/2)))</f>
        <v/>
      </c>
      <c r="AE996">
        <f>IF(OR(AE$4="",$A996&gt;TODAY()),0,IF(OR(INDEX($B996:$D996,AE$5)="F",AND(AE$6&gt;0,$A996&lt;AE$6),AND(AE$7&gt;0,$A996&gt;AE$7)),0,MAX(0,ROUND((INDEX($E996:$G996,AE$5)-SUMIFS(TF_Timer,TF_Tekniker,AE$4,TF_Dato,$A996))*2,0)/2)))</f>
        <v/>
      </c>
      <c r="AF996">
        <f>IF(OR(AF$4="",$A996&gt;TODAY()),0,IF(OR(INDEX($B996:$D996,AF$5)="F",AND(AF$6&gt;0,$A996&lt;AF$6),AND(AF$7&gt;0,$A996&gt;AF$7)),0,MAX(0,ROUND((INDEX($E996:$G996,AF$5)-SUMIFS(TF_Timer,TF_Tekniker,AF$4,TF_Dato,$A996))*2,0)/2)))</f>
        <v/>
      </c>
      <c r="AG996">
        <f>IF(OR(AG$4="",$A996&gt;TODAY()),0,IF(OR(INDEX($B996:$D996,AG$5)="F",AND(AG$6&gt;0,$A996&lt;AG$6),AND(AG$7&gt;0,$A996&gt;AG$7)),0,MAX(0,ROUND((INDEX($E996:$G996,AG$5)-SUMIFS(TF_Timer,TF_Tekniker,AG$4,TF_Dato,$A996))*2,0)/2)))</f>
        <v/>
      </c>
      <c r="AH996">
        <f>IF(OR(AH$4="",$A996&gt;TODAY()),0,IF(OR(INDEX($B996:$D996,AH$5)="F",AND(AH$6&gt;0,$A996&lt;AH$6),AND(AH$7&gt;0,$A996&gt;AH$7)),0,MAX(0,ROUND((INDEX($E996:$G996,AH$5)-SUMIFS(TF_Timer,TF_Tekniker,AH$4,TF_Dato,$A996))*2,0)/2)))</f>
        <v/>
      </c>
      <c r="AI996">
        <f>IF(OR(AI$4="",$A996&gt;TODAY()),0,IF(OR(INDEX($B996:$D996,AI$5)="F",AND(AI$6&gt;0,$A996&lt;AI$6),AND(AI$7&gt;0,$A996&gt;AI$7)),0,MAX(0,ROUND((INDEX($E996:$G996,AI$5)-SUMIFS(TF_Timer,TF_Tekniker,AI$4,TF_Dato,$A996))*2,0)/2)))</f>
        <v/>
      </c>
      <c r="AJ996">
        <f>IF(OR(AJ$4="",$A996&gt;TODAY()),0,IF(OR(INDEX($B996:$D996,AJ$5)="F",AND(AJ$6&gt;0,$A996&lt;AJ$6),AND(AJ$7&gt;0,$A996&gt;AJ$7)),0,MAX(0,ROUND((INDEX($E996:$G996,AJ$5)-SUMIFS(TF_Timer,TF_Tekniker,AJ$4,TF_Dato,$A996))*2,0)/2)))</f>
        <v/>
      </c>
      <c r="AK996">
        <f>IF(OR(AK$4="",$A996&gt;TODAY()),0,IF(OR(INDEX($B996:$D996,AK$5)="F",AND(AK$6&gt;0,$A996&lt;AK$6),AND(AK$7&gt;0,$A996&gt;AK$7)),0,MAX(0,ROUND((INDEX($E996:$G996,AK$5)-SUMIFS(TF_Timer,TF_Tekniker,AK$4,TF_Dato,$A996))*2,0)/2)))</f>
        <v/>
      </c>
      <c r="AL996">
        <f>IF(OR(AL$4="",$A996&gt;TODAY()),0,IF(OR(INDEX($B996:$D996,AL$5)="F",AND(AL$6&gt;0,$A996&lt;AL$6),AND(AL$7&gt;0,$A996&gt;AL$7)),0,MAX(0,ROUND((INDEX($E996:$G996,AL$5)-SUMIFS(TF_Timer,TF_Tekniker,AL$4,TF_Dato,$A996))*2,0)/2)))</f>
        <v/>
      </c>
      <c r="AM996">
        <f>IF(OR(AM$4="",$A996&gt;TODAY()),0,IF(OR(INDEX($B996:$D996,AM$5)="F",AND(AM$6&gt;0,$A996&lt;AM$6),AND(AM$7&gt;0,$A996&gt;AM$7)),0,MAX(0,ROUND((INDEX($E996:$G996,AM$5)-SUMIFS(TF_Timer,TF_Tekniker,AM$4,TF_Dato,$A996))*2,0)/2)))</f>
        <v/>
      </c>
      <c r="AN996">
        <f>IF(OR(AN$4="",$A996&gt;TODAY()),0,IF(OR(INDEX($B996:$D996,AN$5)="F",AND(AN$6&gt;0,$A996&lt;AN$6),AND(AN$7&gt;0,$A996&gt;AN$7)),0,MAX(0,ROUND((INDEX($E996:$G996,AN$5)-SUMIFS(TF_Timer,TF_Tekniker,AN$4,TF_Dato,$A996))*2,0)/2)))</f>
        <v/>
      </c>
      <c r="AO996">
        <f>IF(OR(AO$4="",$A996&gt;TODAY()),0,IF(OR(INDEX($B996:$D996,AO$5)="F",AND(AO$6&gt;0,$A996&lt;AO$6),AND(AO$7&gt;0,$A996&gt;AO$7)),0,MAX(0,ROUND((INDEX($E996:$G996,AO$5)-SUMIFS(TF_Timer,TF_Tekniker,AO$4,TF_Dato,$A996))*2,0)/2)))</f>
        <v/>
      </c>
      <c r="AP996">
        <f>IF(OR(AP$4="",$A996&gt;TODAY()),0,IF(OR(INDEX($B996:$D996,AP$5)="F",AND(AP$6&gt;0,$A996&lt;AP$6),AND(AP$7&gt;0,$A996&gt;AP$7)),0,MAX(0,ROUND((INDEX($E996:$G996,AP$5)-SUMIFS(TF_Timer,TF_Tekniker,AP$4,TF_Dato,$A996))*2,0)/2)))</f>
        <v/>
      </c>
      <c r="AQ996">
        <f>IF(OR(AQ$4="",$A996&gt;TODAY()),0,IF(OR(INDEX($B996:$D996,AQ$5)="F",AND(AQ$6&gt;0,$A996&lt;AQ$6),AND(AQ$7&gt;0,$A996&gt;AQ$7)),0,MAX(0,ROUND((INDEX($E996:$G996,AQ$5)-SUMIFS(TF_Timer,TF_Tekniker,AQ$4,TF_Dato,$A996))*2,0)/2)))</f>
        <v/>
      </c>
      <c r="AR996">
        <f>IF(OR(AR$4="",$A996&gt;TODAY()),0,IF(OR(INDEX($B996:$D996,AR$5)="F",AND(AR$6&gt;0,$A996&lt;AR$6),AND(AR$7&gt;0,$A996&gt;AR$7)),0,MAX(0,ROUND((INDEX($E996:$G996,AR$5)-SUMIFS(TF_Timer,TF_Tekniker,AR$4,TF_Dato,$A996))*2,0)/2)))</f>
        <v/>
      </c>
      <c r="AS996">
        <f>IF(OR(AS$4="",$A996&gt;TODAY()),0,IF(OR(INDEX($B996:$D996,AS$5)="F",AND(AS$6&gt;0,$A996&lt;AS$6),AND(AS$7&gt;0,$A996&gt;AS$7)),0,MAX(0,ROUND((INDEX($E996:$G996,AS$5)-SUMIFS(TF_Timer,TF_Tekniker,AS$4,TF_Dato,$A996))*2,0)/2)))</f>
        <v/>
      </c>
      <c r="AT996">
        <f>IF(OR(AT$4="",$A996&gt;TODAY()),0,IF(OR(INDEX($B996:$D996,AT$5)="F",AND(AT$6&gt;0,$A996&lt;AT$6),AND(AT$7&gt;0,$A996&gt;AT$7)),0,MAX(0,ROUND((INDEX($E996:$G996,AT$5)-SUMIFS(TF_Timer,TF_Tekniker,AT$4,TF_Dato,$A996))*2,0)/2)))</f>
        <v/>
      </c>
      <c r="AU996">
        <f>IF(OR(AU$4="",$A996&gt;TODAY()),0,IF(OR(INDEX($B996:$D996,AU$5)="F",AND(AU$6&gt;0,$A996&lt;AU$6),AND(AU$7&gt;0,$A996&gt;AU$7)),0,MAX(0,ROUND((INDEX($E996:$G996,AU$5)-SUMIFS(TF_Timer,TF_Tekniker,AU$4,TF_Dato,$A996))*2,0)/2)))</f>
        <v/>
      </c>
      <c r="AV996">
        <f>IF(OR(AV$4="",$A996&gt;TODAY()),0,IF(OR(INDEX($B996:$D996,AV$5)="F",AND(AV$6&gt;0,$A996&lt;AV$6),AND(AV$7&gt;0,$A996&gt;AV$7)),0,MAX(0,ROUND((INDEX($E996:$G996,AV$5)-SUMIFS(TF_Timer,TF_Tekniker,AV$4,TF_Dato,$A996))*2,0)/2)))</f>
        <v/>
      </c>
      <c r="AW996">
        <f>IF(OR(AW$4="",$A996&gt;TODAY()),0,IF(OR(INDEX($B996:$D996,AW$5)="F",AND(AW$6&gt;0,$A996&lt;AW$6),AND(AW$7&gt;0,$A996&gt;AW$7)),0,MAX(0,ROUND((INDEX($E996:$G996,AW$5)-SUMIFS(TF_Timer,TF_Tekniker,AW$4,TF_Dato,$A996))*2,0)/2)))</f>
        <v/>
      </c>
      <c r="AX996">
        <f>IF(OR(AX$4="",$A996&gt;TODAY()),0,IF(OR(INDEX($B996:$D996,AX$5)="F",AND(AX$6&gt;0,$A996&lt;AX$6),AND(AX$7&gt;0,$A996&gt;AX$7)),0,MAX(0,ROUND((INDEX($E996:$G996,AX$5)-SUMIFS(TF_Timer,TF_Tekniker,AX$4,TF_Dato,$A996))*2,0)/2)))</f>
        <v/>
      </c>
      <c r="AY996">
        <f>IF(OR(AY$4="",$A996&gt;TODAY()),0,IF(OR(INDEX($B996:$D996,AY$5)="F",AND(AY$6&gt;0,$A996&lt;AY$6),AND(AY$7&gt;0,$A996&gt;AY$7)),0,MAX(0,ROUND((INDEX($E996:$G996,AY$5)-SUMIFS(TF_Timer,TF_Tekniker,AY$4,TF_Dato,$A996))*2,0)/2)))</f>
        <v/>
      </c>
      <c r="AZ996">
        <f>IF(OR(AZ$4="",$A996&gt;TODAY()),0,IF(OR(INDEX($B996:$D996,AZ$5)="F",AND(AZ$6&gt;0,$A996&lt;AZ$6),AND(AZ$7&gt;0,$A996&gt;AZ$7)),0,MAX(0,ROUND((INDEX($E996:$G996,AZ$5)-SUMIFS(TF_Timer,TF_Tekniker,AZ$4,TF_Dato,$A996))*2,0)/2)))</f>
        <v/>
      </c>
      <c r="BA996">
        <f>IF(OR(BA$4="",$A996&gt;TODAY()),0,IF(OR(INDEX($B996:$D996,BA$5)="F",AND(BA$6&gt;0,$A996&lt;BA$6),AND(BA$7&gt;0,$A996&gt;BA$7)),0,MAX(0,ROUND((INDEX($E996:$G996,BA$5)-SUMIFS(TF_Timer,TF_Tekniker,BA$4,TF_Dato,$A996))*2,0)/2)))</f>
        <v/>
      </c>
      <c r="BB996">
        <f>IF(OR(BB$4="",$A996&gt;TODAY()),0,IF(OR(INDEX($B996:$D996,BB$5)="F",AND(BB$6&gt;0,$A996&lt;BB$6),AND(BB$7&gt;0,$A996&gt;BB$7)),0,MAX(0,ROUND((INDEX($E996:$G996,BB$5)-SUMIFS(TF_Timer,TF_Tekniker,BB$4,TF_Dato,$A996))*2,0)/2)))</f>
        <v/>
      </c>
      <c r="BC996">
        <f>IF(OR(BC$4="",$A996&gt;TODAY()),0,IF(OR(INDEX($B996:$D996,BC$5)="F",AND(BC$6&gt;0,$A996&lt;BC$6),AND(BC$7&gt;0,$A996&gt;BC$7)),0,MAX(0,ROUND((INDEX($E996:$G996,BC$5)-SUMIFS(TF_Timer,TF_Tekniker,BC$4,TF_Dato,$A996))*2,0)/2)))</f>
        <v/>
      </c>
      <c r="BD996">
        <f>IF(OR(BD$4="",$A996&gt;TODAY()),0,IF(OR(INDEX($B996:$D996,BD$5)="F",AND(BD$6&gt;0,$A996&lt;BD$6),AND(BD$7&gt;0,$A996&gt;BD$7)),0,MAX(0,ROUND((INDEX($E996:$G996,BD$5)-SUMIFS(TF_Timer,TF_Tekniker,BD$4,TF_Dato,$A996))*2,0)/2)))</f>
        <v/>
      </c>
      <c r="BE996">
        <f>IF(OR(BE$4="",$A996&gt;TODAY()),0,IF(OR(INDEX($B996:$D996,BE$5)="F",AND(BE$6&gt;0,$A996&lt;BE$6),AND(BE$7&gt;0,$A996&gt;BE$7)),0,MAX(0,ROUND((INDEX($E996:$G996,BE$5)-SUMIFS(TF_Timer,TF_Tekniker,BE$4,TF_Dato,$A996))*2,0)/2)))</f>
        <v/>
      </c>
      <c r="BF996">
        <f>IF(OR(BF$4="",$A996&gt;TODAY()),0,IF(OR(INDEX($B996:$D996,BF$5)="F",AND(BF$6&gt;0,$A996&lt;BF$6),AND(BF$7&gt;0,$A996&gt;BF$7)),0,MAX(0,ROUND((INDEX($E996:$G996,BF$5)-SUMIFS(TF_Timer,TF_Tekniker,BF$4,TF_Dato,$A996))*2,0)/2)))</f>
        <v/>
      </c>
      <c r="BG996">
        <f>IF(OR(BG$4="",$A996&gt;TODAY()),0,IF(OR(INDEX($B996:$D996,BG$5)="F",AND(BG$6&gt;0,$A996&lt;BG$6),AND(BG$7&gt;0,$A996&gt;BG$7)),0,MAX(0,ROUND((INDEX($E996:$G996,BG$5)-SUMIFS(TF_Timer,TF_Tekniker,BG$4,TF_Dato,$A996))*2,0)/2)))</f>
        <v/>
      </c>
      <c r="BH996">
        <f>IF(OR(BH$4="",$A996&gt;TODAY()),0,IF(OR(INDEX($B996:$D996,BH$5)="F",AND(BH$6&gt;0,$A996&lt;BH$6),AND(BH$7&gt;0,$A996&gt;BH$7)),0,MAX(0,ROUND((INDEX($E996:$G996,BH$5)-SUMIFS(TF_Timer,TF_Tekniker,BH$4,TF_Dato,$A996))*2,0)/2)))</f>
        <v/>
      </c>
      <c r="BI996">
        <f>IF(OR(BI$4="",$A996&gt;TODAY()),0,IF(OR(INDEX($B996:$D996,BI$5)="F",AND(BI$6&gt;0,$A996&lt;BI$6),AND(BI$7&gt;0,$A996&gt;BI$7)),0,MAX(0,ROUND((INDEX($E996:$G996,BI$5)-SUMIFS(TF_Timer,TF_Tekniker,BI$4,TF_Dato,$A996))*2,0)/2)))</f>
        <v/>
      </c>
    </row>
    <row r="997">
      <c r="A997" s="64">
        <f>A996+1</f>
        <v/>
      </c>
      <c r="B997">
        <f>IF(MOD($A997-INDEX(SkiftStart,1),Syklus)&lt;DagK,"K",IF(MOD($A997-INDEX(SkiftStart,1),Syklus)&lt;DagK+DagH,"H",IF(MOD($A997-INDEX(SkiftStart,1),Syklus)&lt;DagK+DagH+DagD,"D","F")))</f>
        <v/>
      </c>
      <c r="C997">
        <f>IF(MOD($A997-INDEX(SkiftStart,2),Syklus)&lt;DagK,"K",IF(MOD($A997-INDEX(SkiftStart,2),Syklus)&lt;DagK+DagH,"H",IF(MOD($A997-INDEX(SkiftStart,2),Syklus)&lt;DagK+DagH+DagD,"D","F")))</f>
        <v/>
      </c>
      <c r="D997">
        <f>IF(MOD($A997-INDEX(SkiftStart,3),Syklus)&lt;DagK,"K",IF(MOD($A997-INDEX(SkiftStart,3),Syklus)&lt;DagK+DagH,"H",IF(MOD($A997-INDEX(SkiftStart,3),Syklus)&lt;DagK+DagH+DagD,"D","F")))</f>
        <v/>
      </c>
      <c r="E997">
        <f>IF(B997="F",0,IF(WEEKDAY($A997,2)=5,INDEX(TimerFr,MATCH(B997,FaseKode,0)),INDEX(TimerMT,MATCH(B997,FaseKode,0))))</f>
        <v/>
      </c>
      <c r="F997">
        <f>IF(C997="F",0,IF(WEEKDAY($A997,2)=5,INDEX(TimerFr,MATCH(C997,FaseKode,0)),INDEX(TimerMT,MATCH(C997,FaseKode,0))))</f>
        <v/>
      </c>
      <c r="G997">
        <f>IF(D997="F",0,IF(WEEKDAY($A997,2)=5,INDEX(TimerFr,MATCH(D997,FaseKode,0)),INDEX(TimerMT,MATCH(D997,FaseKode,0))))</f>
        <v/>
      </c>
      <c r="H997">
        <f>IF(OR(H$4="",$A997&gt;TODAY()),0,IF(OR(INDEX($B997:$D997,H$5)="F",AND(H$6&gt;0,$A997&lt;H$6),AND(H$7&gt;0,$A997&gt;H$7)),0,MAX(0,ROUND((INDEX($E997:$G997,H$5)-SUMIFS(TF_Timer,TF_Tekniker,H$4,TF_Dato,$A997))*2,0)/2)))</f>
        <v/>
      </c>
      <c r="I997">
        <f>IF(OR(I$4="",$A997&gt;TODAY()),0,IF(OR(INDEX($B997:$D997,I$5)="F",AND(I$6&gt;0,$A997&lt;I$6),AND(I$7&gt;0,$A997&gt;I$7)),0,MAX(0,ROUND((INDEX($E997:$G997,I$5)-SUMIFS(TF_Timer,TF_Tekniker,I$4,TF_Dato,$A997))*2,0)/2)))</f>
        <v/>
      </c>
      <c r="J997">
        <f>IF(OR(J$4="",$A997&gt;TODAY()),0,IF(OR(INDEX($B997:$D997,J$5)="F",AND(J$6&gt;0,$A997&lt;J$6),AND(J$7&gt;0,$A997&gt;J$7)),0,MAX(0,ROUND((INDEX($E997:$G997,J$5)-SUMIFS(TF_Timer,TF_Tekniker,J$4,TF_Dato,$A997))*2,0)/2)))</f>
        <v/>
      </c>
      <c r="K997">
        <f>IF(OR(K$4="",$A997&gt;TODAY()),0,IF(OR(INDEX($B997:$D997,K$5)="F",AND(K$6&gt;0,$A997&lt;K$6),AND(K$7&gt;0,$A997&gt;K$7)),0,MAX(0,ROUND((INDEX($E997:$G997,K$5)-SUMIFS(TF_Timer,TF_Tekniker,K$4,TF_Dato,$A997))*2,0)/2)))</f>
        <v/>
      </c>
      <c r="L997">
        <f>IF(OR(L$4="",$A997&gt;TODAY()),0,IF(OR(INDEX($B997:$D997,L$5)="F",AND(L$6&gt;0,$A997&lt;L$6),AND(L$7&gt;0,$A997&gt;L$7)),0,MAX(0,ROUND((INDEX($E997:$G997,L$5)-SUMIFS(TF_Timer,TF_Tekniker,L$4,TF_Dato,$A997))*2,0)/2)))</f>
        <v/>
      </c>
      <c r="M997">
        <f>IF(OR(M$4="",$A997&gt;TODAY()),0,IF(OR(INDEX($B997:$D997,M$5)="F",AND(M$6&gt;0,$A997&lt;M$6),AND(M$7&gt;0,$A997&gt;M$7)),0,MAX(0,ROUND((INDEX($E997:$G997,M$5)-SUMIFS(TF_Timer,TF_Tekniker,M$4,TF_Dato,$A997))*2,0)/2)))</f>
        <v/>
      </c>
      <c r="N997">
        <f>IF(OR(N$4="",$A997&gt;TODAY()),0,IF(OR(INDEX($B997:$D997,N$5)="F",AND(N$6&gt;0,$A997&lt;N$6),AND(N$7&gt;0,$A997&gt;N$7)),0,MAX(0,ROUND((INDEX($E997:$G997,N$5)-SUMIFS(TF_Timer,TF_Tekniker,N$4,TF_Dato,$A997))*2,0)/2)))</f>
        <v/>
      </c>
      <c r="O997">
        <f>IF(OR(O$4="",$A997&gt;TODAY()),0,IF(OR(INDEX($B997:$D997,O$5)="F",AND(O$6&gt;0,$A997&lt;O$6),AND(O$7&gt;0,$A997&gt;O$7)),0,MAX(0,ROUND((INDEX($E997:$G997,O$5)-SUMIFS(TF_Timer,TF_Tekniker,O$4,TF_Dato,$A997))*2,0)/2)))</f>
        <v/>
      </c>
      <c r="P997">
        <f>IF(OR(P$4="",$A997&gt;TODAY()),0,IF(OR(INDEX($B997:$D997,P$5)="F",AND(P$6&gt;0,$A997&lt;P$6),AND(P$7&gt;0,$A997&gt;P$7)),0,MAX(0,ROUND((INDEX($E997:$G997,P$5)-SUMIFS(TF_Timer,TF_Tekniker,P$4,TF_Dato,$A997))*2,0)/2)))</f>
        <v/>
      </c>
      <c r="Q997">
        <f>IF(OR(Q$4="",$A997&gt;TODAY()),0,IF(OR(INDEX($B997:$D997,Q$5)="F",AND(Q$6&gt;0,$A997&lt;Q$6),AND(Q$7&gt;0,$A997&gt;Q$7)),0,MAX(0,ROUND((INDEX($E997:$G997,Q$5)-SUMIFS(TF_Timer,TF_Tekniker,Q$4,TF_Dato,$A997))*2,0)/2)))</f>
        <v/>
      </c>
      <c r="R997">
        <f>IF(OR(R$4="",$A997&gt;TODAY()),0,IF(OR(INDEX($B997:$D997,R$5)="F",AND(R$6&gt;0,$A997&lt;R$6),AND(R$7&gt;0,$A997&gt;R$7)),0,MAX(0,ROUND((INDEX($E997:$G997,R$5)-SUMIFS(TF_Timer,TF_Tekniker,R$4,TF_Dato,$A997))*2,0)/2)))</f>
        <v/>
      </c>
      <c r="S997">
        <f>IF(OR(S$4="",$A997&gt;TODAY()),0,IF(OR(INDEX($B997:$D997,S$5)="F",AND(S$6&gt;0,$A997&lt;S$6),AND(S$7&gt;0,$A997&gt;S$7)),0,MAX(0,ROUND((INDEX($E997:$G997,S$5)-SUMIFS(TF_Timer,TF_Tekniker,S$4,TF_Dato,$A997))*2,0)/2)))</f>
        <v/>
      </c>
      <c r="T997">
        <f>IF(OR(T$4="",$A997&gt;TODAY()),0,IF(OR(INDEX($B997:$D997,T$5)="F",AND(T$6&gt;0,$A997&lt;T$6),AND(T$7&gt;0,$A997&gt;T$7)),0,MAX(0,ROUND((INDEX($E997:$G997,T$5)-SUMIFS(TF_Timer,TF_Tekniker,T$4,TF_Dato,$A997))*2,0)/2)))</f>
        <v/>
      </c>
      <c r="U997">
        <f>IF(OR(U$4="",$A997&gt;TODAY()),0,IF(OR(INDEX($B997:$D997,U$5)="F",AND(U$6&gt;0,$A997&lt;U$6),AND(U$7&gt;0,$A997&gt;U$7)),0,MAX(0,ROUND((INDEX($E997:$G997,U$5)-SUMIFS(TF_Timer,TF_Tekniker,U$4,TF_Dato,$A997))*2,0)/2)))</f>
        <v/>
      </c>
      <c r="V997">
        <f>IF(OR(V$4="",$A997&gt;TODAY()),0,IF(OR(INDEX($B997:$D997,V$5)="F",AND(V$6&gt;0,$A997&lt;V$6),AND(V$7&gt;0,$A997&gt;V$7)),0,MAX(0,ROUND((INDEX($E997:$G997,V$5)-SUMIFS(TF_Timer,TF_Tekniker,V$4,TF_Dato,$A997))*2,0)/2)))</f>
        <v/>
      </c>
      <c r="W997">
        <f>IF(OR(W$4="",$A997&gt;TODAY()),0,IF(OR(INDEX($B997:$D997,W$5)="F",AND(W$6&gt;0,$A997&lt;W$6),AND(W$7&gt;0,$A997&gt;W$7)),0,MAX(0,ROUND((INDEX($E997:$G997,W$5)-SUMIFS(TF_Timer,TF_Tekniker,W$4,TF_Dato,$A997))*2,0)/2)))</f>
        <v/>
      </c>
      <c r="X997">
        <f>IF(OR(X$4="",$A997&gt;TODAY()),0,IF(OR(INDEX($B997:$D997,X$5)="F",AND(X$6&gt;0,$A997&lt;X$6),AND(X$7&gt;0,$A997&gt;X$7)),0,MAX(0,ROUND((INDEX($E997:$G997,X$5)-SUMIFS(TF_Timer,TF_Tekniker,X$4,TF_Dato,$A997))*2,0)/2)))</f>
        <v/>
      </c>
      <c r="Y997">
        <f>IF(OR(Y$4="",$A997&gt;TODAY()),0,IF(OR(INDEX($B997:$D997,Y$5)="F",AND(Y$6&gt;0,$A997&lt;Y$6),AND(Y$7&gt;0,$A997&gt;Y$7)),0,MAX(0,ROUND((INDEX($E997:$G997,Y$5)-SUMIFS(TF_Timer,TF_Tekniker,Y$4,TF_Dato,$A997))*2,0)/2)))</f>
        <v/>
      </c>
      <c r="Z997">
        <f>IF(OR(Z$4="",$A997&gt;TODAY()),0,IF(OR(INDEX($B997:$D997,Z$5)="F",AND(Z$6&gt;0,$A997&lt;Z$6),AND(Z$7&gt;0,$A997&gt;Z$7)),0,MAX(0,ROUND((INDEX($E997:$G997,Z$5)-SUMIFS(TF_Timer,TF_Tekniker,Z$4,TF_Dato,$A997))*2,0)/2)))</f>
        <v/>
      </c>
      <c r="AA997">
        <f>IF(OR(AA$4="",$A997&gt;TODAY()),0,IF(OR(INDEX($B997:$D997,AA$5)="F",AND(AA$6&gt;0,$A997&lt;AA$6),AND(AA$7&gt;0,$A997&gt;AA$7)),0,MAX(0,ROUND((INDEX($E997:$G997,AA$5)-SUMIFS(TF_Timer,TF_Tekniker,AA$4,TF_Dato,$A997))*2,0)/2)))</f>
        <v/>
      </c>
      <c r="AB997">
        <f>IF(OR(AB$4="",$A997&gt;TODAY()),0,IF(OR(INDEX($B997:$D997,AB$5)="F",AND(AB$6&gt;0,$A997&lt;AB$6),AND(AB$7&gt;0,$A997&gt;AB$7)),0,MAX(0,ROUND((INDEX($E997:$G997,AB$5)-SUMIFS(TF_Timer,TF_Tekniker,AB$4,TF_Dato,$A997))*2,0)/2)))</f>
        <v/>
      </c>
      <c r="AC997">
        <f>IF(OR(AC$4="",$A997&gt;TODAY()),0,IF(OR(INDEX($B997:$D997,AC$5)="F",AND(AC$6&gt;0,$A997&lt;AC$6),AND(AC$7&gt;0,$A997&gt;AC$7)),0,MAX(0,ROUND((INDEX($E997:$G997,AC$5)-SUMIFS(TF_Timer,TF_Tekniker,AC$4,TF_Dato,$A997))*2,0)/2)))</f>
        <v/>
      </c>
      <c r="AD997">
        <f>IF(OR(AD$4="",$A997&gt;TODAY()),0,IF(OR(INDEX($B997:$D997,AD$5)="F",AND(AD$6&gt;0,$A997&lt;AD$6),AND(AD$7&gt;0,$A997&gt;AD$7)),0,MAX(0,ROUND((INDEX($E997:$G997,AD$5)-SUMIFS(TF_Timer,TF_Tekniker,AD$4,TF_Dato,$A997))*2,0)/2)))</f>
        <v/>
      </c>
      <c r="AE997">
        <f>IF(OR(AE$4="",$A997&gt;TODAY()),0,IF(OR(INDEX($B997:$D997,AE$5)="F",AND(AE$6&gt;0,$A997&lt;AE$6),AND(AE$7&gt;0,$A997&gt;AE$7)),0,MAX(0,ROUND((INDEX($E997:$G997,AE$5)-SUMIFS(TF_Timer,TF_Tekniker,AE$4,TF_Dato,$A997))*2,0)/2)))</f>
        <v/>
      </c>
      <c r="AF997">
        <f>IF(OR(AF$4="",$A997&gt;TODAY()),0,IF(OR(INDEX($B997:$D997,AF$5)="F",AND(AF$6&gt;0,$A997&lt;AF$6),AND(AF$7&gt;0,$A997&gt;AF$7)),0,MAX(0,ROUND((INDEX($E997:$G997,AF$5)-SUMIFS(TF_Timer,TF_Tekniker,AF$4,TF_Dato,$A997))*2,0)/2)))</f>
        <v/>
      </c>
      <c r="AG997">
        <f>IF(OR(AG$4="",$A997&gt;TODAY()),0,IF(OR(INDEX($B997:$D997,AG$5)="F",AND(AG$6&gt;0,$A997&lt;AG$6),AND(AG$7&gt;0,$A997&gt;AG$7)),0,MAX(0,ROUND((INDEX($E997:$G997,AG$5)-SUMIFS(TF_Timer,TF_Tekniker,AG$4,TF_Dato,$A997))*2,0)/2)))</f>
        <v/>
      </c>
      <c r="AH997">
        <f>IF(OR(AH$4="",$A997&gt;TODAY()),0,IF(OR(INDEX($B997:$D997,AH$5)="F",AND(AH$6&gt;0,$A997&lt;AH$6),AND(AH$7&gt;0,$A997&gt;AH$7)),0,MAX(0,ROUND((INDEX($E997:$G997,AH$5)-SUMIFS(TF_Timer,TF_Tekniker,AH$4,TF_Dato,$A997))*2,0)/2)))</f>
        <v/>
      </c>
      <c r="AI997">
        <f>IF(OR(AI$4="",$A997&gt;TODAY()),0,IF(OR(INDEX($B997:$D997,AI$5)="F",AND(AI$6&gt;0,$A997&lt;AI$6),AND(AI$7&gt;0,$A997&gt;AI$7)),0,MAX(0,ROUND((INDEX($E997:$G997,AI$5)-SUMIFS(TF_Timer,TF_Tekniker,AI$4,TF_Dato,$A997))*2,0)/2)))</f>
        <v/>
      </c>
      <c r="AJ997">
        <f>IF(OR(AJ$4="",$A997&gt;TODAY()),0,IF(OR(INDEX($B997:$D997,AJ$5)="F",AND(AJ$6&gt;0,$A997&lt;AJ$6),AND(AJ$7&gt;0,$A997&gt;AJ$7)),0,MAX(0,ROUND((INDEX($E997:$G997,AJ$5)-SUMIFS(TF_Timer,TF_Tekniker,AJ$4,TF_Dato,$A997))*2,0)/2)))</f>
        <v/>
      </c>
      <c r="AK997">
        <f>IF(OR(AK$4="",$A997&gt;TODAY()),0,IF(OR(INDEX($B997:$D997,AK$5)="F",AND(AK$6&gt;0,$A997&lt;AK$6),AND(AK$7&gt;0,$A997&gt;AK$7)),0,MAX(0,ROUND((INDEX($E997:$G997,AK$5)-SUMIFS(TF_Timer,TF_Tekniker,AK$4,TF_Dato,$A997))*2,0)/2)))</f>
        <v/>
      </c>
      <c r="AL997">
        <f>IF(OR(AL$4="",$A997&gt;TODAY()),0,IF(OR(INDEX($B997:$D997,AL$5)="F",AND(AL$6&gt;0,$A997&lt;AL$6),AND(AL$7&gt;0,$A997&gt;AL$7)),0,MAX(0,ROUND((INDEX($E997:$G997,AL$5)-SUMIFS(TF_Timer,TF_Tekniker,AL$4,TF_Dato,$A997))*2,0)/2)))</f>
        <v/>
      </c>
      <c r="AM997">
        <f>IF(OR(AM$4="",$A997&gt;TODAY()),0,IF(OR(INDEX($B997:$D997,AM$5)="F",AND(AM$6&gt;0,$A997&lt;AM$6),AND(AM$7&gt;0,$A997&gt;AM$7)),0,MAX(0,ROUND((INDEX($E997:$G997,AM$5)-SUMIFS(TF_Timer,TF_Tekniker,AM$4,TF_Dato,$A997))*2,0)/2)))</f>
        <v/>
      </c>
      <c r="AN997">
        <f>IF(OR(AN$4="",$A997&gt;TODAY()),0,IF(OR(INDEX($B997:$D997,AN$5)="F",AND(AN$6&gt;0,$A997&lt;AN$6),AND(AN$7&gt;0,$A997&gt;AN$7)),0,MAX(0,ROUND((INDEX($E997:$G997,AN$5)-SUMIFS(TF_Timer,TF_Tekniker,AN$4,TF_Dato,$A997))*2,0)/2)))</f>
        <v/>
      </c>
      <c r="AO997">
        <f>IF(OR(AO$4="",$A997&gt;TODAY()),0,IF(OR(INDEX($B997:$D997,AO$5)="F",AND(AO$6&gt;0,$A997&lt;AO$6),AND(AO$7&gt;0,$A997&gt;AO$7)),0,MAX(0,ROUND((INDEX($E997:$G997,AO$5)-SUMIFS(TF_Timer,TF_Tekniker,AO$4,TF_Dato,$A997))*2,0)/2)))</f>
        <v/>
      </c>
      <c r="AP997">
        <f>IF(OR(AP$4="",$A997&gt;TODAY()),0,IF(OR(INDEX($B997:$D997,AP$5)="F",AND(AP$6&gt;0,$A997&lt;AP$6),AND(AP$7&gt;0,$A997&gt;AP$7)),0,MAX(0,ROUND((INDEX($E997:$G997,AP$5)-SUMIFS(TF_Timer,TF_Tekniker,AP$4,TF_Dato,$A997))*2,0)/2)))</f>
        <v/>
      </c>
      <c r="AQ997">
        <f>IF(OR(AQ$4="",$A997&gt;TODAY()),0,IF(OR(INDEX($B997:$D997,AQ$5)="F",AND(AQ$6&gt;0,$A997&lt;AQ$6),AND(AQ$7&gt;0,$A997&gt;AQ$7)),0,MAX(0,ROUND((INDEX($E997:$G997,AQ$5)-SUMIFS(TF_Timer,TF_Tekniker,AQ$4,TF_Dato,$A997))*2,0)/2)))</f>
        <v/>
      </c>
      <c r="AR997">
        <f>IF(OR(AR$4="",$A997&gt;TODAY()),0,IF(OR(INDEX($B997:$D997,AR$5)="F",AND(AR$6&gt;0,$A997&lt;AR$6),AND(AR$7&gt;0,$A997&gt;AR$7)),0,MAX(0,ROUND((INDEX($E997:$G997,AR$5)-SUMIFS(TF_Timer,TF_Tekniker,AR$4,TF_Dato,$A997))*2,0)/2)))</f>
        <v/>
      </c>
      <c r="AS997">
        <f>IF(OR(AS$4="",$A997&gt;TODAY()),0,IF(OR(INDEX($B997:$D997,AS$5)="F",AND(AS$6&gt;0,$A997&lt;AS$6),AND(AS$7&gt;0,$A997&gt;AS$7)),0,MAX(0,ROUND((INDEX($E997:$G997,AS$5)-SUMIFS(TF_Timer,TF_Tekniker,AS$4,TF_Dato,$A997))*2,0)/2)))</f>
        <v/>
      </c>
      <c r="AT997">
        <f>IF(OR(AT$4="",$A997&gt;TODAY()),0,IF(OR(INDEX($B997:$D997,AT$5)="F",AND(AT$6&gt;0,$A997&lt;AT$6),AND(AT$7&gt;0,$A997&gt;AT$7)),0,MAX(0,ROUND((INDEX($E997:$G997,AT$5)-SUMIFS(TF_Timer,TF_Tekniker,AT$4,TF_Dato,$A997))*2,0)/2)))</f>
        <v/>
      </c>
      <c r="AU997">
        <f>IF(OR(AU$4="",$A997&gt;TODAY()),0,IF(OR(INDEX($B997:$D997,AU$5)="F",AND(AU$6&gt;0,$A997&lt;AU$6),AND(AU$7&gt;0,$A997&gt;AU$7)),0,MAX(0,ROUND((INDEX($E997:$G997,AU$5)-SUMIFS(TF_Timer,TF_Tekniker,AU$4,TF_Dato,$A997))*2,0)/2)))</f>
        <v/>
      </c>
      <c r="AV997">
        <f>IF(OR(AV$4="",$A997&gt;TODAY()),0,IF(OR(INDEX($B997:$D997,AV$5)="F",AND(AV$6&gt;0,$A997&lt;AV$6),AND(AV$7&gt;0,$A997&gt;AV$7)),0,MAX(0,ROUND((INDEX($E997:$G997,AV$5)-SUMIFS(TF_Timer,TF_Tekniker,AV$4,TF_Dato,$A997))*2,0)/2)))</f>
        <v/>
      </c>
      <c r="AW997">
        <f>IF(OR(AW$4="",$A997&gt;TODAY()),0,IF(OR(INDEX($B997:$D997,AW$5)="F",AND(AW$6&gt;0,$A997&lt;AW$6),AND(AW$7&gt;0,$A997&gt;AW$7)),0,MAX(0,ROUND((INDEX($E997:$G997,AW$5)-SUMIFS(TF_Timer,TF_Tekniker,AW$4,TF_Dato,$A997))*2,0)/2)))</f>
        <v/>
      </c>
      <c r="AX997">
        <f>IF(OR(AX$4="",$A997&gt;TODAY()),0,IF(OR(INDEX($B997:$D997,AX$5)="F",AND(AX$6&gt;0,$A997&lt;AX$6),AND(AX$7&gt;0,$A997&gt;AX$7)),0,MAX(0,ROUND((INDEX($E997:$G997,AX$5)-SUMIFS(TF_Timer,TF_Tekniker,AX$4,TF_Dato,$A997))*2,0)/2)))</f>
        <v/>
      </c>
      <c r="AY997">
        <f>IF(OR(AY$4="",$A997&gt;TODAY()),0,IF(OR(INDEX($B997:$D997,AY$5)="F",AND(AY$6&gt;0,$A997&lt;AY$6),AND(AY$7&gt;0,$A997&gt;AY$7)),0,MAX(0,ROUND((INDEX($E997:$G997,AY$5)-SUMIFS(TF_Timer,TF_Tekniker,AY$4,TF_Dato,$A997))*2,0)/2)))</f>
        <v/>
      </c>
      <c r="AZ997">
        <f>IF(OR(AZ$4="",$A997&gt;TODAY()),0,IF(OR(INDEX($B997:$D997,AZ$5)="F",AND(AZ$6&gt;0,$A997&lt;AZ$6),AND(AZ$7&gt;0,$A997&gt;AZ$7)),0,MAX(0,ROUND((INDEX($E997:$G997,AZ$5)-SUMIFS(TF_Timer,TF_Tekniker,AZ$4,TF_Dato,$A997))*2,0)/2)))</f>
        <v/>
      </c>
      <c r="BA997">
        <f>IF(OR(BA$4="",$A997&gt;TODAY()),0,IF(OR(INDEX($B997:$D997,BA$5)="F",AND(BA$6&gt;0,$A997&lt;BA$6),AND(BA$7&gt;0,$A997&gt;BA$7)),0,MAX(0,ROUND((INDEX($E997:$G997,BA$5)-SUMIFS(TF_Timer,TF_Tekniker,BA$4,TF_Dato,$A997))*2,0)/2)))</f>
        <v/>
      </c>
      <c r="BB997">
        <f>IF(OR(BB$4="",$A997&gt;TODAY()),0,IF(OR(INDEX($B997:$D997,BB$5)="F",AND(BB$6&gt;0,$A997&lt;BB$6),AND(BB$7&gt;0,$A997&gt;BB$7)),0,MAX(0,ROUND((INDEX($E997:$G997,BB$5)-SUMIFS(TF_Timer,TF_Tekniker,BB$4,TF_Dato,$A997))*2,0)/2)))</f>
        <v/>
      </c>
      <c r="BC997">
        <f>IF(OR(BC$4="",$A997&gt;TODAY()),0,IF(OR(INDEX($B997:$D997,BC$5)="F",AND(BC$6&gt;0,$A997&lt;BC$6),AND(BC$7&gt;0,$A997&gt;BC$7)),0,MAX(0,ROUND((INDEX($E997:$G997,BC$5)-SUMIFS(TF_Timer,TF_Tekniker,BC$4,TF_Dato,$A997))*2,0)/2)))</f>
        <v/>
      </c>
      <c r="BD997">
        <f>IF(OR(BD$4="",$A997&gt;TODAY()),0,IF(OR(INDEX($B997:$D997,BD$5)="F",AND(BD$6&gt;0,$A997&lt;BD$6),AND(BD$7&gt;0,$A997&gt;BD$7)),0,MAX(0,ROUND((INDEX($E997:$G997,BD$5)-SUMIFS(TF_Timer,TF_Tekniker,BD$4,TF_Dato,$A997))*2,0)/2)))</f>
        <v/>
      </c>
      <c r="BE997">
        <f>IF(OR(BE$4="",$A997&gt;TODAY()),0,IF(OR(INDEX($B997:$D997,BE$5)="F",AND(BE$6&gt;0,$A997&lt;BE$6),AND(BE$7&gt;0,$A997&gt;BE$7)),0,MAX(0,ROUND((INDEX($E997:$G997,BE$5)-SUMIFS(TF_Timer,TF_Tekniker,BE$4,TF_Dato,$A997))*2,0)/2)))</f>
        <v/>
      </c>
      <c r="BF997">
        <f>IF(OR(BF$4="",$A997&gt;TODAY()),0,IF(OR(INDEX($B997:$D997,BF$5)="F",AND(BF$6&gt;0,$A997&lt;BF$6),AND(BF$7&gt;0,$A997&gt;BF$7)),0,MAX(0,ROUND((INDEX($E997:$G997,BF$5)-SUMIFS(TF_Timer,TF_Tekniker,BF$4,TF_Dato,$A997))*2,0)/2)))</f>
        <v/>
      </c>
      <c r="BG997">
        <f>IF(OR(BG$4="",$A997&gt;TODAY()),0,IF(OR(INDEX($B997:$D997,BG$5)="F",AND(BG$6&gt;0,$A997&lt;BG$6),AND(BG$7&gt;0,$A997&gt;BG$7)),0,MAX(0,ROUND((INDEX($E997:$G997,BG$5)-SUMIFS(TF_Timer,TF_Tekniker,BG$4,TF_Dato,$A997))*2,0)/2)))</f>
        <v/>
      </c>
      <c r="BH997">
        <f>IF(OR(BH$4="",$A997&gt;TODAY()),0,IF(OR(INDEX($B997:$D997,BH$5)="F",AND(BH$6&gt;0,$A997&lt;BH$6),AND(BH$7&gt;0,$A997&gt;BH$7)),0,MAX(0,ROUND((INDEX($E997:$G997,BH$5)-SUMIFS(TF_Timer,TF_Tekniker,BH$4,TF_Dato,$A997))*2,0)/2)))</f>
        <v/>
      </c>
      <c r="BI997">
        <f>IF(OR(BI$4="",$A997&gt;TODAY()),0,IF(OR(INDEX($B997:$D997,BI$5)="F",AND(BI$6&gt;0,$A997&lt;BI$6),AND(BI$7&gt;0,$A997&gt;BI$7)),0,MAX(0,ROUND((INDEX($E997:$G997,BI$5)-SUMIFS(TF_Timer,TF_Tekniker,BI$4,TF_Dato,$A997))*2,0)/2)))</f>
        <v/>
      </c>
    </row>
    <row r="998">
      <c r="A998" s="64">
        <f>A997+1</f>
        <v/>
      </c>
      <c r="B998">
        <f>IF(MOD($A998-INDEX(SkiftStart,1),Syklus)&lt;DagK,"K",IF(MOD($A998-INDEX(SkiftStart,1),Syklus)&lt;DagK+DagH,"H",IF(MOD($A998-INDEX(SkiftStart,1),Syklus)&lt;DagK+DagH+DagD,"D","F")))</f>
        <v/>
      </c>
      <c r="C998">
        <f>IF(MOD($A998-INDEX(SkiftStart,2),Syklus)&lt;DagK,"K",IF(MOD($A998-INDEX(SkiftStart,2),Syklus)&lt;DagK+DagH,"H",IF(MOD($A998-INDEX(SkiftStart,2),Syklus)&lt;DagK+DagH+DagD,"D","F")))</f>
        <v/>
      </c>
      <c r="D998">
        <f>IF(MOD($A998-INDEX(SkiftStart,3),Syklus)&lt;DagK,"K",IF(MOD($A998-INDEX(SkiftStart,3),Syklus)&lt;DagK+DagH,"H",IF(MOD($A998-INDEX(SkiftStart,3),Syklus)&lt;DagK+DagH+DagD,"D","F")))</f>
        <v/>
      </c>
      <c r="E998">
        <f>IF(B998="F",0,IF(WEEKDAY($A998,2)=5,INDEX(TimerFr,MATCH(B998,FaseKode,0)),INDEX(TimerMT,MATCH(B998,FaseKode,0))))</f>
        <v/>
      </c>
      <c r="F998">
        <f>IF(C998="F",0,IF(WEEKDAY($A998,2)=5,INDEX(TimerFr,MATCH(C998,FaseKode,0)),INDEX(TimerMT,MATCH(C998,FaseKode,0))))</f>
        <v/>
      </c>
      <c r="G998">
        <f>IF(D998="F",0,IF(WEEKDAY($A998,2)=5,INDEX(TimerFr,MATCH(D998,FaseKode,0)),INDEX(TimerMT,MATCH(D998,FaseKode,0))))</f>
        <v/>
      </c>
      <c r="H998">
        <f>IF(OR(H$4="",$A998&gt;TODAY()),0,IF(OR(INDEX($B998:$D998,H$5)="F",AND(H$6&gt;0,$A998&lt;H$6),AND(H$7&gt;0,$A998&gt;H$7)),0,MAX(0,ROUND((INDEX($E998:$G998,H$5)-SUMIFS(TF_Timer,TF_Tekniker,H$4,TF_Dato,$A998))*2,0)/2)))</f>
        <v/>
      </c>
      <c r="I998">
        <f>IF(OR(I$4="",$A998&gt;TODAY()),0,IF(OR(INDEX($B998:$D998,I$5)="F",AND(I$6&gt;0,$A998&lt;I$6),AND(I$7&gt;0,$A998&gt;I$7)),0,MAX(0,ROUND((INDEX($E998:$G998,I$5)-SUMIFS(TF_Timer,TF_Tekniker,I$4,TF_Dato,$A998))*2,0)/2)))</f>
        <v/>
      </c>
      <c r="J998">
        <f>IF(OR(J$4="",$A998&gt;TODAY()),0,IF(OR(INDEX($B998:$D998,J$5)="F",AND(J$6&gt;0,$A998&lt;J$6),AND(J$7&gt;0,$A998&gt;J$7)),0,MAX(0,ROUND((INDEX($E998:$G998,J$5)-SUMIFS(TF_Timer,TF_Tekniker,J$4,TF_Dato,$A998))*2,0)/2)))</f>
        <v/>
      </c>
      <c r="K998">
        <f>IF(OR(K$4="",$A998&gt;TODAY()),0,IF(OR(INDEX($B998:$D998,K$5)="F",AND(K$6&gt;0,$A998&lt;K$6),AND(K$7&gt;0,$A998&gt;K$7)),0,MAX(0,ROUND((INDEX($E998:$G998,K$5)-SUMIFS(TF_Timer,TF_Tekniker,K$4,TF_Dato,$A998))*2,0)/2)))</f>
        <v/>
      </c>
      <c r="L998">
        <f>IF(OR(L$4="",$A998&gt;TODAY()),0,IF(OR(INDEX($B998:$D998,L$5)="F",AND(L$6&gt;0,$A998&lt;L$6),AND(L$7&gt;0,$A998&gt;L$7)),0,MAX(0,ROUND((INDEX($E998:$G998,L$5)-SUMIFS(TF_Timer,TF_Tekniker,L$4,TF_Dato,$A998))*2,0)/2)))</f>
        <v/>
      </c>
      <c r="M998">
        <f>IF(OR(M$4="",$A998&gt;TODAY()),0,IF(OR(INDEX($B998:$D998,M$5)="F",AND(M$6&gt;0,$A998&lt;M$6),AND(M$7&gt;0,$A998&gt;M$7)),0,MAX(0,ROUND((INDEX($E998:$G998,M$5)-SUMIFS(TF_Timer,TF_Tekniker,M$4,TF_Dato,$A998))*2,0)/2)))</f>
        <v/>
      </c>
      <c r="N998">
        <f>IF(OR(N$4="",$A998&gt;TODAY()),0,IF(OR(INDEX($B998:$D998,N$5)="F",AND(N$6&gt;0,$A998&lt;N$6),AND(N$7&gt;0,$A998&gt;N$7)),0,MAX(0,ROUND((INDEX($E998:$G998,N$5)-SUMIFS(TF_Timer,TF_Tekniker,N$4,TF_Dato,$A998))*2,0)/2)))</f>
        <v/>
      </c>
      <c r="O998">
        <f>IF(OR(O$4="",$A998&gt;TODAY()),0,IF(OR(INDEX($B998:$D998,O$5)="F",AND(O$6&gt;0,$A998&lt;O$6),AND(O$7&gt;0,$A998&gt;O$7)),0,MAX(0,ROUND((INDEX($E998:$G998,O$5)-SUMIFS(TF_Timer,TF_Tekniker,O$4,TF_Dato,$A998))*2,0)/2)))</f>
        <v/>
      </c>
      <c r="P998">
        <f>IF(OR(P$4="",$A998&gt;TODAY()),0,IF(OR(INDEX($B998:$D998,P$5)="F",AND(P$6&gt;0,$A998&lt;P$6),AND(P$7&gt;0,$A998&gt;P$7)),0,MAX(0,ROUND((INDEX($E998:$G998,P$5)-SUMIFS(TF_Timer,TF_Tekniker,P$4,TF_Dato,$A998))*2,0)/2)))</f>
        <v/>
      </c>
      <c r="Q998">
        <f>IF(OR(Q$4="",$A998&gt;TODAY()),0,IF(OR(INDEX($B998:$D998,Q$5)="F",AND(Q$6&gt;0,$A998&lt;Q$6),AND(Q$7&gt;0,$A998&gt;Q$7)),0,MAX(0,ROUND((INDEX($E998:$G998,Q$5)-SUMIFS(TF_Timer,TF_Tekniker,Q$4,TF_Dato,$A998))*2,0)/2)))</f>
        <v/>
      </c>
      <c r="R998">
        <f>IF(OR(R$4="",$A998&gt;TODAY()),0,IF(OR(INDEX($B998:$D998,R$5)="F",AND(R$6&gt;0,$A998&lt;R$6),AND(R$7&gt;0,$A998&gt;R$7)),0,MAX(0,ROUND((INDEX($E998:$G998,R$5)-SUMIFS(TF_Timer,TF_Tekniker,R$4,TF_Dato,$A998))*2,0)/2)))</f>
        <v/>
      </c>
      <c r="S998">
        <f>IF(OR(S$4="",$A998&gt;TODAY()),0,IF(OR(INDEX($B998:$D998,S$5)="F",AND(S$6&gt;0,$A998&lt;S$6),AND(S$7&gt;0,$A998&gt;S$7)),0,MAX(0,ROUND((INDEX($E998:$G998,S$5)-SUMIFS(TF_Timer,TF_Tekniker,S$4,TF_Dato,$A998))*2,0)/2)))</f>
        <v/>
      </c>
      <c r="T998">
        <f>IF(OR(T$4="",$A998&gt;TODAY()),0,IF(OR(INDEX($B998:$D998,T$5)="F",AND(T$6&gt;0,$A998&lt;T$6),AND(T$7&gt;0,$A998&gt;T$7)),0,MAX(0,ROUND((INDEX($E998:$G998,T$5)-SUMIFS(TF_Timer,TF_Tekniker,T$4,TF_Dato,$A998))*2,0)/2)))</f>
        <v/>
      </c>
      <c r="U998">
        <f>IF(OR(U$4="",$A998&gt;TODAY()),0,IF(OR(INDEX($B998:$D998,U$5)="F",AND(U$6&gt;0,$A998&lt;U$6),AND(U$7&gt;0,$A998&gt;U$7)),0,MAX(0,ROUND((INDEX($E998:$G998,U$5)-SUMIFS(TF_Timer,TF_Tekniker,U$4,TF_Dato,$A998))*2,0)/2)))</f>
        <v/>
      </c>
      <c r="V998">
        <f>IF(OR(V$4="",$A998&gt;TODAY()),0,IF(OR(INDEX($B998:$D998,V$5)="F",AND(V$6&gt;0,$A998&lt;V$6),AND(V$7&gt;0,$A998&gt;V$7)),0,MAX(0,ROUND((INDEX($E998:$G998,V$5)-SUMIFS(TF_Timer,TF_Tekniker,V$4,TF_Dato,$A998))*2,0)/2)))</f>
        <v/>
      </c>
      <c r="W998">
        <f>IF(OR(W$4="",$A998&gt;TODAY()),0,IF(OR(INDEX($B998:$D998,W$5)="F",AND(W$6&gt;0,$A998&lt;W$6),AND(W$7&gt;0,$A998&gt;W$7)),0,MAX(0,ROUND((INDEX($E998:$G998,W$5)-SUMIFS(TF_Timer,TF_Tekniker,W$4,TF_Dato,$A998))*2,0)/2)))</f>
        <v/>
      </c>
      <c r="X998">
        <f>IF(OR(X$4="",$A998&gt;TODAY()),0,IF(OR(INDEX($B998:$D998,X$5)="F",AND(X$6&gt;0,$A998&lt;X$6),AND(X$7&gt;0,$A998&gt;X$7)),0,MAX(0,ROUND((INDEX($E998:$G998,X$5)-SUMIFS(TF_Timer,TF_Tekniker,X$4,TF_Dato,$A998))*2,0)/2)))</f>
        <v/>
      </c>
      <c r="Y998">
        <f>IF(OR(Y$4="",$A998&gt;TODAY()),0,IF(OR(INDEX($B998:$D998,Y$5)="F",AND(Y$6&gt;0,$A998&lt;Y$6),AND(Y$7&gt;0,$A998&gt;Y$7)),0,MAX(0,ROUND((INDEX($E998:$G998,Y$5)-SUMIFS(TF_Timer,TF_Tekniker,Y$4,TF_Dato,$A998))*2,0)/2)))</f>
        <v/>
      </c>
      <c r="Z998">
        <f>IF(OR(Z$4="",$A998&gt;TODAY()),0,IF(OR(INDEX($B998:$D998,Z$5)="F",AND(Z$6&gt;0,$A998&lt;Z$6),AND(Z$7&gt;0,$A998&gt;Z$7)),0,MAX(0,ROUND((INDEX($E998:$G998,Z$5)-SUMIFS(TF_Timer,TF_Tekniker,Z$4,TF_Dato,$A998))*2,0)/2)))</f>
        <v/>
      </c>
      <c r="AA998">
        <f>IF(OR(AA$4="",$A998&gt;TODAY()),0,IF(OR(INDEX($B998:$D998,AA$5)="F",AND(AA$6&gt;0,$A998&lt;AA$6),AND(AA$7&gt;0,$A998&gt;AA$7)),0,MAX(0,ROUND((INDEX($E998:$G998,AA$5)-SUMIFS(TF_Timer,TF_Tekniker,AA$4,TF_Dato,$A998))*2,0)/2)))</f>
        <v/>
      </c>
      <c r="AB998">
        <f>IF(OR(AB$4="",$A998&gt;TODAY()),0,IF(OR(INDEX($B998:$D998,AB$5)="F",AND(AB$6&gt;0,$A998&lt;AB$6),AND(AB$7&gt;0,$A998&gt;AB$7)),0,MAX(0,ROUND((INDEX($E998:$G998,AB$5)-SUMIFS(TF_Timer,TF_Tekniker,AB$4,TF_Dato,$A998))*2,0)/2)))</f>
        <v/>
      </c>
      <c r="AC998">
        <f>IF(OR(AC$4="",$A998&gt;TODAY()),0,IF(OR(INDEX($B998:$D998,AC$5)="F",AND(AC$6&gt;0,$A998&lt;AC$6),AND(AC$7&gt;0,$A998&gt;AC$7)),0,MAX(0,ROUND((INDEX($E998:$G998,AC$5)-SUMIFS(TF_Timer,TF_Tekniker,AC$4,TF_Dato,$A998))*2,0)/2)))</f>
        <v/>
      </c>
      <c r="AD998">
        <f>IF(OR(AD$4="",$A998&gt;TODAY()),0,IF(OR(INDEX($B998:$D998,AD$5)="F",AND(AD$6&gt;0,$A998&lt;AD$6),AND(AD$7&gt;0,$A998&gt;AD$7)),0,MAX(0,ROUND((INDEX($E998:$G998,AD$5)-SUMIFS(TF_Timer,TF_Tekniker,AD$4,TF_Dato,$A998))*2,0)/2)))</f>
        <v/>
      </c>
      <c r="AE998">
        <f>IF(OR(AE$4="",$A998&gt;TODAY()),0,IF(OR(INDEX($B998:$D998,AE$5)="F",AND(AE$6&gt;0,$A998&lt;AE$6),AND(AE$7&gt;0,$A998&gt;AE$7)),0,MAX(0,ROUND((INDEX($E998:$G998,AE$5)-SUMIFS(TF_Timer,TF_Tekniker,AE$4,TF_Dato,$A998))*2,0)/2)))</f>
        <v/>
      </c>
      <c r="AF998">
        <f>IF(OR(AF$4="",$A998&gt;TODAY()),0,IF(OR(INDEX($B998:$D998,AF$5)="F",AND(AF$6&gt;0,$A998&lt;AF$6),AND(AF$7&gt;0,$A998&gt;AF$7)),0,MAX(0,ROUND((INDEX($E998:$G998,AF$5)-SUMIFS(TF_Timer,TF_Tekniker,AF$4,TF_Dato,$A998))*2,0)/2)))</f>
        <v/>
      </c>
      <c r="AG998">
        <f>IF(OR(AG$4="",$A998&gt;TODAY()),0,IF(OR(INDEX($B998:$D998,AG$5)="F",AND(AG$6&gt;0,$A998&lt;AG$6),AND(AG$7&gt;0,$A998&gt;AG$7)),0,MAX(0,ROUND((INDEX($E998:$G998,AG$5)-SUMIFS(TF_Timer,TF_Tekniker,AG$4,TF_Dato,$A998))*2,0)/2)))</f>
        <v/>
      </c>
      <c r="AH998">
        <f>IF(OR(AH$4="",$A998&gt;TODAY()),0,IF(OR(INDEX($B998:$D998,AH$5)="F",AND(AH$6&gt;0,$A998&lt;AH$6),AND(AH$7&gt;0,$A998&gt;AH$7)),0,MAX(0,ROUND((INDEX($E998:$G998,AH$5)-SUMIFS(TF_Timer,TF_Tekniker,AH$4,TF_Dato,$A998))*2,0)/2)))</f>
        <v/>
      </c>
      <c r="AI998">
        <f>IF(OR(AI$4="",$A998&gt;TODAY()),0,IF(OR(INDEX($B998:$D998,AI$5)="F",AND(AI$6&gt;0,$A998&lt;AI$6),AND(AI$7&gt;0,$A998&gt;AI$7)),0,MAX(0,ROUND((INDEX($E998:$G998,AI$5)-SUMIFS(TF_Timer,TF_Tekniker,AI$4,TF_Dato,$A998))*2,0)/2)))</f>
        <v/>
      </c>
      <c r="AJ998">
        <f>IF(OR(AJ$4="",$A998&gt;TODAY()),0,IF(OR(INDEX($B998:$D998,AJ$5)="F",AND(AJ$6&gt;0,$A998&lt;AJ$6),AND(AJ$7&gt;0,$A998&gt;AJ$7)),0,MAX(0,ROUND((INDEX($E998:$G998,AJ$5)-SUMIFS(TF_Timer,TF_Tekniker,AJ$4,TF_Dato,$A998))*2,0)/2)))</f>
        <v/>
      </c>
      <c r="AK998">
        <f>IF(OR(AK$4="",$A998&gt;TODAY()),0,IF(OR(INDEX($B998:$D998,AK$5)="F",AND(AK$6&gt;0,$A998&lt;AK$6),AND(AK$7&gt;0,$A998&gt;AK$7)),0,MAX(0,ROUND((INDEX($E998:$G998,AK$5)-SUMIFS(TF_Timer,TF_Tekniker,AK$4,TF_Dato,$A998))*2,0)/2)))</f>
        <v/>
      </c>
      <c r="AL998">
        <f>IF(OR(AL$4="",$A998&gt;TODAY()),0,IF(OR(INDEX($B998:$D998,AL$5)="F",AND(AL$6&gt;0,$A998&lt;AL$6),AND(AL$7&gt;0,$A998&gt;AL$7)),0,MAX(0,ROUND((INDEX($E998:$G998,AL$5)-SUMIFS(TF_Timer,TF_Tekniker,AL$4,TF_Dato,$A998))*2,0)/2)))</f>
        <v/>
      </c>
      <c r="AM998">
        <f>IF(OR(AM$4="",$A998&gt;TODAY()),0,IF(OR(INDEX($B998:$D998,AM$5)="F",AND(AM$6&gt;0,$A998&lt;AM$6),AND(AM$7&gt;0,$A998&gt;AM$7)),0,MAX(0,ROUND((INDEX($E998:$G998,AM$5)-SUMIFS(TF_Timer,TF_Tekniker,AM$4,TF_Dato,$A998))*2,0)/2)))</f>
        <v/>
      </c>
      <c r="AN998">
        <f>IF(OR(AN$4="",$A998&gt;TODAY()),0,IF(OR(INDEX($B998:$D998,AN$5)="F",AND(AN$6&gt;0,$A998&lt;AN$6),AND(AN$7&gt;0,$A998&gt;AN$7)),0,MAX(0,ROUND((INDEX($E998:$G998,AN$5)-SUMIFS(TF_Timer,TF_Tekniker,AN$4,TF_Dato,$A998))*2,0)/2)))</f>
        <v/>
      </c>
      <c r="AO998">
        <f>IF(OR(AO$4="",$A998&gt;TODAY()),0,IF(OR(INDEX($B998:$D998,AO$5)="F",AND(AO$6&gt;0,$A998&lt;AO$6),AND(AO$7&gt;0,$A998&gt;AO$7)),0,MAX(0,ROUND((INDEX($E998:$G998,AO$5)-SUMIFS(TF_Timer,TF_Tekniker,AO$4,TF_Dato,$A998))*2,0)/2)))</f>
        <v/>
      </c>
      <c r="AP998">
        <f>IF(OR(AP$4="",$A998&gt;TODAY()),0,IF(OR(INDEX($B998:$D998,AP$5)="F",AND(AP$6&gt;0,$A998&lt;AP$6),AND(AP$7&gt;0,$A998&gt;AP$7)),0,MAX(0,ROUND((INDEX($E998:$G998,AP$5)-SUMIFS(TF_Timer,TF_Tekniker,AP$4,TF_Dato,$A998))*2,0)/2)))</f>
        <v/>
      </c>
      <c r="AQ998">
        <f>IF(OR(AQ$4="",$A998&gt;TODAY()),0,IF(OR(INDEX($B998:$D998,AQ$5)="F",AND(AQ$6&gt;0,$A998&lt;AQ$6),AND(AQ$7&gt;0,$A998&gt;AQ$7)),0,MAX(0,ROUND((INDEX($E998:$G998,AQ$5)-SUMIFS(TF_Timer,TF_Tekniker,AQ$4,TF_Dato,$A998))*2,0)/2)))</f>
        <v/>
      </c>
      <c r="AR998">
        <f>IF(OR(AR$4="",$A998&gt;TODAY()),0,IF(OR(INDEX($B998:$D998,AR$5)="F",AND(AR$6&gt;0,$A998&lt;AR$6),AND(AR$7&gt;0,$A998&gt;AR$7)),0,MAX(0,ROUND((INDEX($E998:$G998,AR$5)-SUMIFS(TF_Timer,TF_Tekniker,AR$4,TF_Dato,$A998))*2,0)/2)))</f>
        <v/>
      </c>
      <c r="AS998">
        <f>IF(OR(AS$4="",$A998&gt;TODAY()),0,IF(OR(INDEX($B998:$D998,AS$5)="F",AND(AS$6&gt;0,$A998&lt;AS$6),AND(AS$7&gt;0,$A998&gt;AS$7)),0,MAX(0,ROUND((INDEX($E998:$G998,AS$5)-SUMIFS(TF_Timer,TF_Tekniker,AS$4,TF_Dato,$A998))*2,0)/2)))</f>
        <v/>
      </c>
      <c r="AT998">
        <f>IF(OR(AT$4="",$A998&gt;TODAY()),0,IF(OR(INDEX($B998:$D998,AT$5)="F",AND(AT$6&gt;0,$A998&lt;AT$6),AND(AT$7&gt;0,$A998&gt;AT$7)),0,MAX(0,ROUND((INDEX($E998:$G998,AT$5)-SUMIFS(TF_Timer,TF_Tekniker,AT$4,TF_Dato,$A998))*2,0)/2)))</f>
        <v/>
      </c>
      <c r="AU998">
        <f>IF(OR(AU$4="",$A998&gt;TODAY()),0,IF(OR(INDEX($B998:$D998,AU$5)="F",AND(AU$6&gt;0,$A998&lt;AU$6),AND(AU$7&gt;0,$A998&gt;AU$7)),0,MAX(0,ROUND((INDEX($E998:$G998,AU$5)-SUMIFS(TF_Timer,TF_Tekniker,AU$4,TF_Dato,$A998))*2,0)/2)))</f>
        <v/>
      </c>
      <c r="AV998">
        <f>IF(OR(AV$4="",$A998&gt;TODAY()),0,IF(OR(INDEX($B998:$D998,AV$5)="F",AND(AV$6&gt;0,$A998&lt;AV$6),AND(AV$7&gt;0,$A998&gt;AV$7)),0,MAX(0,ROUND((INDEX($E998:$G998,AV$5)-SUMIFS(TF_Timer,TF_Tekniker,AV$4,TF_Dato,$A998))*2,0)/2)))</f>
        <v/>
      </c>
      <c r="AW998">
        <f>IF(OR(AW$4="",$A998&gt;TODAY()),0,IF(OR(INDEX($B998:$D998,AW$5)="F",AND(AW$6&gt;0,$A998&lt;AW$6),AND(AW$7&gt;0,$A998&gt;AW$7)),0,MAX(0,ROUND((INDEX($E998:$G998,AW$5)-SUMIFS(TF_Timer,TF_Tekniker,AW$4,TF_Dato,$A998))*2,0)/2)))</f>
        <v/>
      </c>
      <c r="AX998">
        <f>IF(OR(AX$4="",$A998&gt;TODAY()),0,IF(OR(INDEX($B998:$D998,AX$5)="F",AND(AX$6&gt;0,$A998&lt;AX$6),AND(AX$7&gt;0,$A998&gt;AX$7)),0,MAX(0,ROUND((INDEX($E998:$G998,AX$5)-SUMIFS(TF_Timer,TF_Tekniker,AX$4,TF_Dato,$A998))*2,0)/2)))</f>
        <v/>
      </c>
      <c r="AY998">
        <f>IF(OR(AY$4="",$A998&gt;TODAY()),0,IF(OR(INDEX($B998:$D998,AY$5)="F",AND(AY$6&gt;0,$A998&lt;AY$6),AND(AY$7&gt;0,$A998&gt;AY$7)),0,MAX(0,ROUND((INDEX($E998:$G998,AY$5)-SUMIFS(TF_Timer,TF_Tekniker,AY$4,TF_Dato,$A998))*2,0)/2)))</f>
        <v/>
      </c>
      <c r="AZ998">
        <f>IF(OR(AZ$4="",$A998&gt;TODAY()),0,IF(OR(INDEX($B998:$D998,AZ$5)="F",AND(AZ$6&gt;0,$A998&lt;AZ$6),AND(AZ$7&gt;0,$A998&gt;AZ$7)),0,MAX(0,ROUND((INDEX($E998:$G998,AZ$5)-SUMIFS(TF_Timer,TF_Tekniker,AZ$4,TF_Dato,$A998))*2,0)/2)))</f>
        <v/>
      </c>
      <c r="BA998">
        <f>IF(OR(BA$4="",$A998&gt;TODAY()),0,IF(OR(INDEX($B998:$D998,BA$5)="F",AND(BA$6&gt;0,$A998&lt;BA$6),AND(BA$7&gt;0,$A998&gt;BA$7)),0,MAX(0,ROUND((INDEX($E998:$G998,BA$5)-SUMIFS(TF_Timer,TF_Tekniker,BA$4,TF_Dato,$A998))*2,0)/2)))</f>
        <v/>
      </c>
      <c r="BB998">
        <f>IF(OR(BB$4="",$A998&gt;TODAY()),0,IF(OR(INDEX($B998:$D998,BB$5)="F",AND(BB$6&gt;0,$A998&lt;BB$6),AND(BB$7&gt;0,$A998&gt;BB$7)),0,MAX(0,ROUND((INDEX($E998:$G998,BB$5)-SUMIFS(TF_Timer,TF_Tekniker,BB$4,TF_Dato,$A998))*2,0)/2)))</f>
        <v/>
      </c>
      <c r="BC998">
        <f>IF(OR(BC$4="",$A998&gt;TODAY()),0,IF(OR(INDEX($B998:$D998,BC$5)="F",AND(BC$6&gt;0,$A998&lt;BC$6),AND(BC$7&gt;0,$A998&gt;BC$7)),0,MAX(0,ROUND((INDEX($E998:$G998,BC$5)-SUMIFS(TF_Timer,TF_Tekniker,BC$4,TF_Dato,$A998))*2,0)/2)))</f>
        <v/>
      </c>
      <c r="BD998">
        <f>IF(OR(BD$4="",$A998&gt;TODAY()),0,IF(OR(INDEX($B998:$D998,BD$5)="F",AND(BD$6&gt;0,$A998&lt;BD$6),AND(BD$7&gt;0,$A998&gt;BD$7)),0,MAX(0,ROUND((INDEX($E998:$G998,BD$5)-SUMIFS(TF_Timer,TF_Tekniker,BD$4,TF_Dato,$A998))*2,0)/2)))</f>
        <v/>
      </c>
      <c r="BE998">
        <f>IF(OR(BE$4="",$A998&gt;TODAY()),0,IF(OR(INDEX($B998:$D998,BE$5)="F",AND(BE$6&gt;0,$A998&lt;BE$6),AND(BE$7&gt;0,$A998&gt;BE$7)),0,MAX(0,ROUND((INDEX($E998:$G998,BE$5)-SUMIFS(TF_Timer,TF_Tekniker,BE$4,TF_Dato,$A998))*2,0)/2)))</f>
        <v/>
      </c>
      <c r="BF998">
        <f>IF(OR(BF$4="",$A998&gt;TODAY()),0,IF(OR(INDEX($B998:$D998,BF$5)="F",AND(BF$6&gt;0,$A998&lt;BF$6),AND(BF$7&gt;0,$A998&gt;BF$7)),0,MAX(0,ROUND((INDEX($E998:$G998,BF$5)-SUMIFS(TF_Timer,TF_Tekniker,BF$4,TF_Dato,$A998))*2,0)/2)))</f>
        <v/>
      </c>
      <c r="BG998">
        <f>IF(OR(BG$4="",$A998&gt;TODAY()),0,IF(OR(INDEX($B998:$D998,BG$5)="F",AND(BG$6&gt;0,$A998&lt;BG$6),AND(BG$7&gt;0,$A998&gt;BG$7)),0,MAX(0,ROUND((INDEX($E998:$G998,BG$5)-SUMIFS(TF_Timer,TF_Tekniker,BG$4,TF_Dato,$A998))*2,0)/2)))</f>
        <v/>
      </c>
      <c r="BH998">
        <f>IF(OR(BH$4="",$A998&gt;TODAY()),0,IF(OR(INDEX($B998:$D998,BH$5)="F",AND(BH$6&gt;0,$A998&lt;BH$6),AND(BH$7&gt;0,$A998&gt;BH$7)),0,MAX(0,ROUND((INDEX($E998:$G998,BH$5)-SUMIFS(TF_Timer,TF_Tekniker,BH$4,TF_Dato,$A998))*2,0)/2)))</f>
        <v/>
      </c>
      <c r="BI998">
        <f>IF(OR(BI$4="",$A998&gt;TODAY()),0,IF(OR(INDEX($B998:$D998,BI$5)="F",AND(BI$6&gt;0,$A998&lt;BI$6),AND(BI$7&gt;0,$A998&gt;BI$7)),0,MAX(0,ROUND((INDEX($E998:$G998,BI$5)-SUMIFS(TF_Timer,TF_Tekniker,BI$4,TF_Dato,$A998))*2,0)/2)))</f>
        <v/>
      </c>
    </row>
    <row r="999">
      <c r="A999" s="64">
        <f>A998+1</f>
        <v/>
      </c>
      <c r="B999">
        <f>IF(MOD($A999-INDEX(SkiftStart,1),Syklus)&lt;DagK,"K",IF(MOD($A999-INDEX(SkiftStart,1),Syklus)&lt;DagK+DagH,"H",IF(MOD($A999-INDEX(SkiftStart,1),Syklus)&lt;DagK+DagH+DagD,"D","F")))</f>
        <v/>
      </c>
      <c r="C999">
        <f>IF(MOD($A999-INDEX(SkiftStart,2),Syklus)&lt;DagK,"K",IF(MOD($A999-INDEX(SkiftStart,2),Syklus)&lt;DagK+DagH,"H",IF(MOD($A999-INDEX(SkiftStart,2),Syklus)&lt;DagK+DagH+DagD,"D","F")))</f>
        <v/>
      </c>
      <c r="D999">
        <f>IF(MOD($A999-INDEX(SkiftStart,3),Syklus)&lt;DagK,"K",IF(MOD($A999-INDEX(SkiftStart,3),Syklus)&lt;DagK+DagH,"H",IF(MOD($A999-INDEX(SkiftStart,3),Syklus)&lt;DagK+DagH+DagD,"D","F")))</f>
        <v/>
      </c>
      <c r="E999">
        <f>IF(B999="F",0,IF(WEEKDAY($A999,2)=5,INDEX(TimerFr,MATCH(B999,FaseKode,0)),INDEX(TimerMT,MATCH(B999,FaseKode,0))))</f>
        <v/>
      </c>
      <c r="F999">
        <f>IF(C999="F",0,IF(WEEKDAY($A999,2)=5,INDEX(TimerFr,MATCH(C999,FaseKode,0)),INDEX(TimerMT,MATCH(C999,FaseKode,0))))</f>
        <v/>
      </c>
      <c r="G999">
        <f>IF(D999="F",0,IF(WEEKDAY($A999,2)=5,INDEX(TimerFr,MATCH(D999,FaseKode,0)),INDEX(TimerMT,MATCH(D999,FaseKode,0))))</f>
        <v/>
      </c>
      <c r="H999">
        <f>IF(OR(H$4="",$A999&gt;TODAY()),0,IF(OR(INDEX($B999:$D999,H$5)="F",AND(H$6&gt;0,$A999&lt;H$6),AND(H$7&gt;0,$A999&gt;H$7)),0,MAX(0,ROUND((INDEX($E999:$G999,H$5)-SUMIFS(TF_Timer,TF_Tekniker,H$4,TF_Dato,$A999))*2,0)/2)))</f>
        <v/>
      </c>
      <c r="I999">
        <f>IF(OR(I$4="",$A999&gt;TODAY()),0,IF(OR(INDEX($B999:$D999,I$5)="F",AND(I$6&gt;0,$A999&lt;I$6),AND(I$7&gt;0,$A999&gt;I$7)),0,MAX(0,ROUND((INDEX($E999:$G999,I$5)-SUMIFS(TF_Timer,TF_Tekniker,I$4,TF_Dato,$A999))*2,0)/2)))</f>
        <v/>
      </c>
      <c r="J999">
        <f>IF(OR(J$4="",$A999&gt;TODAY()),0,IF(OR(INDEX($B999:$D999,J$5)="F",AND(J$6&gt;0,$A999&lt;J$6),AND(J$7&gt;0,$A999&gt;J$7)),0,MAX(0,ROUND((INDEX($E999:$G999,J$5)-SUMIFS(TF_Timer,TF_Tekniker,J$4,TF_Dato,$A999))*2,0)/2)))</f>
        <v/>
      </c>
      <c r="K999">
        <f>IF(OR(K$4="",$A999&gt;TODAY()),0,IF(OR(INDEX($B999:$D999,K$5)="F",AND(K$6&gt;0,$A999&lt;K$6),AND(K$7&gt;0,$A999&gt;K$7)),0,MAX(0,ROUND((INDEX($E999:$G999,K$5)-SUMIFS(TF_Timer,TF_Tekniker,K$4,TF_Dato,$A999))*2,0)/2)))</f>
        <v/>
      </c>
      <c r="L999">
        <f>IF(OR(L$4="",$A999&gt;TODAY()),0,IF(OR(INDEX($B999:$D999,L$5)="F",AND(L$6&gt;0,$A999&lt;L$6),AND(L$7&gt;0,$A999&gt;L$7)),0,MAX(0,ROUND((INDEX($E999:$G999,L$5)-SUMIFS(TF_Timer,TF_Tekniker,L$4,TF_Dato,$A999))*2,0)/2)))</f>
        <v/>
      </c>
      <c r="M999">
        <f>IF(OR(M$4="",$A999&gt;TODAY()),0,IF(OR(INDEX($B999:$D999,M$5)="F",AND(M$6&gt;0,$A999&lt;M$6),AND(M$7&gt;0,$A999&gt;M$7)),0,MAX(0,ROUND((INDEX($E999:$G999,M$5)-SUMIFS(TF_Timer,TF_Tekniker,M$4,TF_Dato,$A999))*2,0)/2)))</f>
        <v/>
      </c>
      <c r="N999">
        <f>IF(OR(N$4="",$A999&gt;TODAY()),0,IF(OR(INDEX($B999:$D999,N$5)="F",AND(N$6&gt;0,$A999&lt;N$6),AND(N$7&gt;0,$A999&gt;N$7)),0,MAX(0,ROUND((INDEX($E999:$G999,N$5)-SUMIFS(TF_Timer,TF_Tekniker,N$4,TF_Dato,$A999))*2,0)/2)))</f>
        <v/>
      </c>
      <c r="O999">
        <f>IF(OR(O$4="",$A999&gt;TODAY()),0,IF(OR(INDEX($B999:$D999,O$5)="F",AND(O$6&gt;0,$A999&lt;O$6),AND(O$7&gt;0,$A999&gt;O$7)),0,MAX(0,ROUND((INDEX($E999:$G999,O$5)-SUMIFS(TF_Timer,TF_Tekniker,O$4,TF_Dato,$A999))*2,0)/2)))</f>
        <v/>
      </c>
      <c r="P999">
        <f>IF(OR(P$4="",$A999&gt;TODAY()),0,IF(OR(INDEX($B999:$D999,P$5)="F",AND(P$6&gt;0,$A999&lt;P$6),AND(P$7&gt;0,$A999&gt;P$7)),0,MAX(0,ROUND((INDEX($E999:$G999,P$5)-SUMIFS(TF_Timer,TF_Tekniker,P$4,TF_Dato,$A999))*2,0)/2)))</f>
        <v/>
      </c>
      <c r="Q999">
        <f>IF(OR(Q$4="",$A999&gt;TODAY()),0,IF(OR(INDEX($B999:$D999,Q$5)="F",AND(Q$6&gt;0,$A999&lt;Q$6),AND(Q$7&gt;0,$A999&gt;Q$7)),0,MAX(0,ROUND((INDEX($E999:$G999,Q$5)-SUMIFS(TF_Timer,TF_Tekniker,Q$4,TF_Dato,$A999))*2,0)/2)))</f>
        <v/>
      </c>
      <c r="R999">
        <f>IF(OR(R$4="",$A999&gt;TODAY()),0,IF(OR(INDEX($B999:$D999,R$5)="F",AND(R$6&gt;0,$A999&lt;R$6),AND(R$7&gt;0,$A999&gt;R$7)),0,MAX(0,ROUND((INDEX($E999:$G999,R$5)-SUMIFS(TF_Timer,TF_Tekniker,R$4,TF_Dato,$A999))*2,0)/2)))</f>
        <v/>
      </c>
      <c r="S999">
        <f>IF(OR(S$4="",$A999&gt;TODAY()),0,IF(OR(INDEX($B999:$D999,S$5)="F",AND(S$6&gt;0,$A999&lt;S$6),AND(S$7&gt;0,$A999&gt;S$7)),0,MAX(0,ROUND((INDEX($E999:$G999,S$5)-SUMIFS(TF_Timer,TF_Tekniker,S$4,TF_Dato,$A999))*2,0)/2)))</f>
        <v/>
      </c>
      <c r="T999">
        <f>IF(OR(T$4="",$A999&gt;TODAY()),0,IF(OR(INDEX($B999:$D999,T$5)="F",AND(T$6&gt;0,$A999&lt;T$6),AND(T$7&gt;0,$A999&gt;T$7)),0,MAX(0,ROUND((INDEX($E999:$G999,T$5)-SUMIFS(TF_Timer,TF_Tekniker,T$4,TF_Dato,$A999))*2,0)/2)))</f>
        <v/>
      </c>
      <c r="U999">
        <f>IF(OR(U$4="",$A999&gt;TODAY()),0,IF(OR(INDEX($B999:$D999,U$5)="F",AND(U$6&gt;0,$A999&lt;U$6),AND(U$7&gt;0,$A999&gt;U$7)),0,MAX(0,ROUND((INDEX($E999:$G999,U$5)-SUMIFS(TF_Timer,TF_Tekniker,U$4,TF_Dato,$A999))*2,0)/2)))</f>
        <v/>
      </c>
      <c r="V999">
        <f>IF(OR(V$4="",$A999&gt;TODAY()),0,IF(OR(INDEX($B999:$D999,V$5)="F",AND(V$6&gt;0,$A999&lt;V$6),AND(V$7&gt;0,$A999&gt;V$7)),0,MAX(0,ROUND((INDEX($E999:$G999,V$5)-SUMIFS(TF_Timer,TF_Tekniker,V$4,TF_Dato,$A999))*2,0)/2)))</f>
        <v/>
      </c>
      <c r="W999">
        <f>IF(OR(W$4="",$A999&gt;TODAY()),0,IF(OR(INDEX($B999:$D999,W$5)="F",AND(W$6&gt;0,$A999&lt;W$6),AND(W$7&gt;0,$A999&gt;W$7)),0,MAX(0,ROUND((INDEX($E999:$G999,W$5)-SUMIFS(TF_Timer,TF_Tekniker,W$4,TF_Dato,$A999))*2,0)/2)))</f>
        <v/>
      </c>
      <c r="X999">
        <f>IF(OR(X$4="",$A999&gt;TODAY()),0,IF(OR(INDEX($B999:$D999,X$5)="F",AND(X$6&gt;0,$A999&lt;X$6),AND(X$7&gt;0,$A999&gt;X$7)),0,MAX(0,ROUND((INDEX($E999:$G999,X$5)-SUMIFS(TF_Timer,TF_Tekniker,X$4,TF_Dato,$A999))*2,0)/2)))</f>
        <v/>
      </c>
      <c r="Y999">
        <f>IF(OR(Y$4="",$A999&gt;TODAY()),0,IF(OR(INDEX($B999:$D999,Y$5)="F",AND(Y$6&gt;0,$A999&lt;Y$6),AND(Y$7&gt;0,$A999&gt;Y$7)),0,MAX(0,ROUND((INDEX($E999:$G999,Y$5)-SUMIFS(TF_Timer,TF_Tekniker,Y$4,TF_Dato,$A999))*2,0)/2)))</f>
        <v/>
      </c>
      <c r="Z999">
        <f>IF(OR(Z$4="",$A999&gt;TODAY()),0,IF(OR(INDEX($B999:$D999,Z$5)="F",AND(Z$6&gt;0,$A999&lt;Z$6),AND(Z$7&gt;0,$A999&gt;Z$7)),0,MAX(0,ROUND((INDEX($E999:$G999,Z$5)-SUMIFS(TF_Timer,TF_Tekniker,Z$4,TF_Dato,$A999))*2,0)/2)))</f>
        <v/>
      </c>
      <c r="AA999">
        <f>IF(OR(AA$4="",$A999&gt;TODAY()),0,IF(OR(INDEX($B999:$D999,AA$5)="F",AND(AA$6&gt;0,$A999&lt;AA$6),AND(AA$7&gt;0,$A999&gt;AA$7)),0,MAX(0,ROUND((INDEX($E999:$G999,AA$5)-SUMIFS(TF_Timer,TF_Tekniker,AA$4,TF_Dato,$A999))*2,0)/2)))</f>
        <v/>
      </c>
      <c r="AB999">
        <f>IF(OR(AB$4="",$A999&gt;TODAY()),0,IF(OR(INDEX($B999:$D999,AB$5)="F",AND(AB$6&gt;0,$A999&lt;AB$6),AND(AB$7&gt;0,$A999&gt;AB$7)),0,MAX(0,ROUND((INDEX($E999:$G999,AB$5)-SUMIFS(TF_Timer,TF_Tekniker,AB$4,TF_Dato,$A999))*2,0)/2)))</f>
        <v/>
      </c>
      <c r="AC999">
        <f>IF(OR(AC$4="",$A999&gt;TODAY()),0,IF(OR(INDEX($B999:$D999,AC$5)="F",AND(AC$6&gt;0,$A999&lt;AC$6),AND(AC$7&gt;0,$A999&gt;AC$7)),0,MAX(0,ROUND((INDEX($E999:$G999,AC$5)-SUMIFS(TF_Timer,TF_Tekniker,AC$4,TF_Dato,$A999))*2,0)/2)))</f>
        <v/>
      </c>
      <c r="AD999">
        <f>IF(OR(AD$4="",$A999&gt;TODAY()),0,IF(OR(INDEX($B999:$D999,AD$5)="F",AND(AD$6&gt;0,$A999&lt;AD$6),AND(AD$7&gt;0,$A999&gt;AD$7)),0,MAX(0,ROUND((INDEX($E999:$G999,AD$5)-SUMIFS(TF_Timer,TF_Tekniker,AD$4,TF_Dato,$A999))*2,0)/2)))</f>
        <v/>
      </c>
      <c r="AE999">
        <f>IF(OR(AE$4="",$A999&gt;TODAY()),0,IF(OR(INDEX($B999:$D999,AE$5)="F",AND(AE$6&gt;0,$A999&lt;AE$6),AND(AE$7&gt;0,$A999&gt;AE$7)),0,MAX(0,ROUND((INDEX($E999:$G999,AE$5)-SUMIFS(TF_Timer,TF_Tekniker,AE$4,TF_Dato,$A999))*2,0)/2)))</f>
        <v/>
      </c>
      <c r="AF999">
        <f>IF(OR(AF$4="",$A999&gt;TODAY()),0,IF(OR(INDEX($B999:$D999,AF$5)="F",AND(AF$6&gt;0,$A999&lt;AF$6),AND(AF$7&gt;0,$A999&gt;AF$7)),0,MAX(0,ROUND((INDEX($E999:$G999,AF$5)-SUMIFS(TF_Timer,TF_Tekniker,AF$4,TF_Dato,$A999))*2,0)/2)))</f>
        <v/>
      </c>
      <c r="AG999">
        <f>IF(OR(AG$4="",$A999&gt;TODAY()),0,IF(OR(INDEX($B999:$D999,AG$5)="F",AND(AG$6&gt;0,$A999&lt;AG$6),AND(AG$7&gt;0,$A999&gt;AG$7)),0,MAX(0,ROUND((INDEX($E999:$G999,AG$5)-SUMIFS(TF_Timer,TF_Tekniker,AG$4,TF_Dato,$A999))*2,0)/2)))</f>
        <v/>
      </c>
      <c r="AH999">
        <f>IF(OR(AH$4="",$A999&gt;TODAY()),0,IF(OR(INDEX($B999:$D999,AH$5)="F",AND(AH$6&gt;0,$A999&lt;AH$6),AND(AH$7&gt;0,$A999&gt;AH$7)),0,MAX(0,ROUND((INDEX($E999:$G999,AH$5)-SUMIFS(TF_Timer,TF_Tekniker,AH$4,TF_Dato,$A999))*2,0)/2)))</f>
        <v/>
      </c>
      <c r="AI999">
        <f>IF(OR(AI$4="",$A999&gt;TODAY()),0,IF(OR(INDEX($B999:$D999,AI$5)="F",AND(AI$6&gt;0,$A999&lt;AI$6),AND(AI$7&gt;0,$A999&gt;AI$7)),0,MAX(0,ROUND((INDEX($E999:$G999,AI$5)-SUMIFS(TF_Timer,TF_Tekniker,AI$4,TF_Dato,$A999))*2,0)/2)))</f>
        <v/>
      </c>
      <c r="AJ999">
        <f>IF(OR(AJ$4="",$A999&gt;TODAY()),0,IF(OR(INDEX($B999:$D999,AJ$5)="F",AND(AJ$6&gt;0,$A999&lt;AJ$6),AND(AJ$7&gt;0,$A999&gt;AJ$7)),0,MAX(0,ROUND((INDEX($E999:$G999,AJ$5)-SUMIFS(TF_Timer,TF_Tekniker,AJ$4,TF_Dato,$A999))*2,0)/2)))</f>
        <v/>
      </c>
      <c r="AK999">
        <f>IF(OR(AK$4="",$A999&gt;TODAY()),0,IF(OR(INDEX($B999:$D999,AK$5)="F",AND(AK$6&gt;0,$A999&lt;AK$6),AND(AK$7&gt;0,$A999&gt;AK$7)),0,MAX(0,ROUND((INDEX($E999:$G999,AK$5)-SUMIFS(TF_Timer,TF_Tekniker,AK$4,TF_Dato,$A999))*2,0)/2)))</f>
        <v/>
      </c>
      <c r="AL999">
        <f>IF(OR(AL$4="",$A999&gt;TODAY()),0,IF(OR(INDEX($B999:$D999,AL$5)="F",AND(AL$6&gt;0,$A999&lt;AL$6),AND(AL$7&gt;0,$A999&gt;AL$7)),0,MAX(0,ROUND((INDEX($E999:$G999,AL$5)-SUMIFS(TF_Timer,TF_Tekniker,AL$4,TF_Dato,$A999))*2,0)/2)))</f>
        <v/>
      </c>
      <c r="AM999">
        <f>IF(OR(AM$4="",$A999&gt;TODAY()),0,IF(OR(INDEX($B999:$D999,AM$5)="F",AND(AM$6&gt;0,$A999&lt;AM$6),AND(AM$7&gt;0,$A999&gt;AM$7)),0,MAX(0,ROUND((INDEX($E999:$G999,AM$5)-SUMIFS(TF_Timer,TF_Tekniker,AM$4,TF_Dato,$A999))*2,0)/2)))</f>
        <v/>
      </c>
      <c r="AN999">
        <f>IF(OR(AN$4="",$A999&gt;TODAY()),0,IF(OR(INDEX($B999:$D999,AN$5)="F",AND(AN$6&gt;0,$A999&lt;AN$6),AND(AN$7&gt;0,$A999&gt;AN$7)),0,MAX(0,ROUND((INDEX($E999:$G999,AN$5)-SUMIFS(TF_Timer,TF_Tekniker,AN$4,TF_Dato,$A999))*2,0)/2)))</f>
        <v/>
      </c>
      <c r="AO999">
        <f>IF(OR(AO$4="",$A999&gt;TODAY()),0,IF(OR(INDEX($B999:$D999,AO$5)="F",AND(AO$6&gt;0,$A999&lt;AO$6),AND(AO$7&gt;0,$A999&gt;AO$7)),0,MAX(0,ROUND((INDEX($E999:$G999,AO$5)-SUMIFS(TF_Timer,TF_Tekniker,AO$4,TF_Dato,$A999))*2,0)/2)))</f>
        <v/>
      </c>
      <c r="AP999">
        <f>IF(OR(AP$4="",$A999&gt;TODAY()),0,IF(OR(INDEX($B999:$D999,AP$5)="F",AND(AP$6&gt;0,$A999&lt;AP$6),AND(AP$7&gt;0,$A999&gt;AP$7)),0,MAX(0,ROUND((INDEX($E999:$G999,AP$5)-SUMIFS(TF_Timer,TF_Tekniker,AP$4,TF_Dato,$A999))*2,0)/2)))</f>
        <v/>
      </c>
      <c r="AQ999">
        <f>IF(OR(AQ$4="",$A999&gt;TODAY()),0,IF(OR(INDEX($B999:$D999,AQ$5)="F",AND(AQ$6&gt;0,$A999&lt;AQ$6),AND(AQ$7&gt;0,$A999&gt;AQ$7)),0,MAX(0,ROUND((INDEX($E999:$G999,AQ$5)-SUMIFS(TF_Timer,TF_Tekniker,AQ$4,TF_Dato,$A999))*2,0)/2)))</f>
        <v/>
      </c>
      <c r="AR999">
        <f>IF(OR(AR$4="",$A999&gt;TODAY()),0,IF(OR(INDEX($B999:$D999,AR$5)="F",AND(AR$6&gt;0,$A999&lt;AR$6),AND(AR$7&gt;0,$A999&gt;AR$7)),0,MAX(0,ROUND((INDEX($E999:$G999,AR$5)-SUMIFS(TF_Timer,TF_Tekniker,AR$4,TF_Dato,$A999))*2,0)/2)))</f>
        <v/>
      </c>
      <c r="AS999">
        <f>IF(OR(AS$4="",$A999&gt;TODAY()),0,IF(OR(INDEX($B999:$D999,AS$5)="F",AND(AS$6&gt;0,$A999&lt;AS$6),AND(AS$7&gt;0,$A999&gt;AS$7)),0,MAX(0,ROUND((INDEX($E999:$G999,AS$5)-SUMIFS(TF_Timer,TF_Tekniker,AS$4,TF_Dato,$A999))*2,0)/2)))</f>
        <v/>
      </c>
      <c r="AT999">
        <f>IF(OR(AT$4="",$A999&gt;TODAY()),0,IF(OR(INDEX($B999:$D999,AT$5)="F",AND(AT$6&gt;0,$A999&lt;AT$6),AND(AT$7&gt;0,$A999&gt;AT$7)),0,MAX(0,ROUND((INDEX($E999:$G999,AT$5)-SUMIFS(TF_Timer,TF_Tekniker,AT$4,TF_Dato,$A999))*2,0)/2)))</f>
        <v/>
      </c>
      <c r="AU999">
        <f>IF(OR(AU$4="",$A999&gt;TODAY()),0,IF(OR(INDEX($B999:$D999,AU$5)="F",AND(AU$6&gt;0,$A999&lt;AU$6),AND(AU$7&gt;0,$A999&gt;AU$7)),0,MAX(0,ROUND((INDEX($E999:$G999,AU$5)-SUMIFS(TF_Timer,TF_Tekniker,AU$4,TF_Dato,$A999))*2,0)/2)))</f>
        <v/>
      </c>
      <c r="AV999">
        <f>IF(OR(AV$4="",$A999&gt;TODAY()),0,IF(OR(INDEX($B999:$D999,AV$5)="F",AND(AV$6&gt;0,$A999&lt;AV$6),AND(AV$7&gt;0,$A999&gt;AV$7)),0,MAX(0,ROUND((INDEX($E999:$G999,AV$5)-SUMIFS(TF_Timer,TF_Tekniker,AV$4,TF_Dato,$A999))*2,0)/2)))</f>
        <v/>
      </c>
      <c r="AW999">
        <f>IF(OR(AW$4="",$A999&gt;TODAY()),0,IF(OR(INDEX($B999:$D999,AW$5)="F",AND(AW$6&gt;0,$A999&lt;AW$6),AND(AW$7&gt;0,$A999&gt;AW$7)),0,MAX(0,ROUND((INDEX($E999:$G999,AW$5)-SUMIFS(TF_Timer,TF_Tekniker,AW$4,TF_Dato,$A999))*2,0)/2)))</f>
        <v/>
      </c>
      <c r="AX999">
        <f>IF(OR(AX$4="",$A999&gt;TODAY()),0,IF(OR(INDEX($B999:$D999,AX$5)="F",AND(AX$6&gt;0,$A999&lt;AX$6),AND(AX$7&gt;0,$A999&gt;AX$7)),0,MAX(0,ROUND((INDEX($E999:$G999,AX$5)-SUMIFS(TF_Timer,TF_Tekniker,AX$4,TF_Dato,$A999))*2,0)/2)))</f>
        <v/>
      </c>
      <c r="AY999">
        <f>IF(OR(AY$4="",$A999&gt;TODAY()),0,IF(OR(INDEX($B999:$D999,AY$5)="F",AND(AY$6&gt;0,$A999&lt;AY$6),AND(AY$7&gt;0,$A999&gt;AY$7)),0,MAX(0,ROUND((INDEX($E999:$G999,AY$5)-SUMIFS(TF_Timer,TF_Tekniker,AY$4,TF_Dato,$A999))*2,0)/2)))</f>
        <v/>
      </c>
      <c r="AZ999">
        <f>IF(OR(AZ$4="",$A999&gt;TODAY()),0,IF(OR(INDEX($B999:$D999,AZ$5)="F",AND(AZ$6&gt;0,$A999&lt;AZ$6),AND(AZ$7&gt;0,$A999&gt;AZ$7)),0,MAX(0,ROUND((INDEX($E999:$G999,AZ$5)-SUMIFS(TF_Timer,TF_Tekniker,AZ$4,TF_Dato,$A999))*2,0)/2)))</f>
        <v/>
      </c>
      <c r="BA999">
        <f>IF(OR(BA$4="",$A999&gt;TODAY()),0,IF(OR(INDEX($B999:$D999,BA$5)="F",AND(BA$6&gt;0,$A999&lt;BA$6),AND(BA$7&gt;0,$A999&gt;BA$7)),0,MAX(0,ROUND((INDEX($E999:$G999,BA$5)-SUMIFS(TF_Timer,TF_Tekniker,BA$4,TF_Dato,$A999))*2,0)/2)))</f>
        <v/>
      </c>
      <c r="BB999">
        <f>IF(OR(BB$4="",$A999&gt;TODAY()),0,IF(OR(INDEX($B999:$D999,BB$5)="F",AND(BB$6&gt;0,$A999&lt;BB$6),AND(BB$7&gt;0,$A999&gt;BB$7)),0,MAX(0,ROUND((INDEX($E999:$G999,BB$5)-SUMIFS(TF_Timer,TF_Tekniker,BB$4,TF_Dato,$A999))*2,0)/2)))</f>
        <v/>
      </c>
      <c r="BC999">
        <f>IF(OR(BC$4="",$A999&gt;TODAY()),0,IF(OR(INDEX($B999:$D999,BC$5)="F",AND(BC$6&gt;0,$A999&lt;BC$6),AND(BC$7&gt;0,$A999&gt;BC$7)),0,MAX(0,ROUND((INDEX($E999:$G999,BC$5)-SUMIFS(TF_Timer,TF_Tekniker,BC$4,TF_Dato,$A999))*2,0)/2)))</f>
        <v/>
      </c>
      <c r="BD999">
        <f>IF(OR(BD$4="",$A999&gt;TODAY()),0,IF(OR(INDEX($B999:$D999,BD$5)="F",AND(BD$6&gt;0,$A999&lt;BD$6),AND(BD$7&gt;0,$A999&gt;BD$7)),0,MAX(0,ROUND((INDEX($E999:$G999,BD$5)-SUMIFS(TF_Timer,TF_Tekniker,BD$4,TF_Dato,$A999))*2,0)/2)))</f>
        <v/>
      </c>
      <c r="BE999">
        <f>IF(OR(BE$4="",$A999&gt;TODAY()),0,IF(OR(INDEX($B999:$D999,BE$5)="F",AND(BE$6&gt;0,$A999&lt;BE$6),AND(BE$7&gt;0,$A999&gt;BE$7)),0,MAX(0,ROUND((INDEX($E999:$G999,BE$5)-SUMIFS(TF_Timer,TF_Tekniker,BE$4,TF_Dato,$A999))*2,0)/2)))</f>
        <v/>
      </c>
      <c r="BF999">
        <f>IF(OR(BF$4="",$A999&gt;TODAY()),0,IF(OR(INDEX($B999:$D999,BF$5)="F",AND(BF$6&gt;0,$A999&lt;BF$6),AND(BF$7&gt;0,$A999&gt;BF$7)),0,MAX(0,ROUND((INDEX($E999:$G999,BF$5)-SUMIFS(TF_Timer,TF_Tekniker,BF$4,TF_Dato,$A999))*2,0)/2)))</f>
        <v/>
      </c>
      <c r="BG999">
        <f>IF(OR(BG$4="",$A999&gt;TODAY()),0,IF(OR(INDEX($B999:$D999,BG$5)="F",AND(BG$6&gt;0,$A999&lt;BG$6),AND(BG$7&gt;0,$A999&gt;BG$7)),0,MAX(0,ROUND((INDEX($E999:$G999,BG$5)-SUMIFS(TF_Timer,TF_Tekniker,BG$4,TF_Dato,$A999))*2,0)/2)))</f>
        <v/>
      </c>
      <c r="BH999">
        <f>IF(OR(BH$4="",$A999&gt;TODAY()),0,IF(OR(INDEX($B999:$D999,BH$5)="F",AND(BH$6&gt;0,$A999&lt;BH$6),AND(BH$7&gt;0,$A999&gt;BH$7)),0,MAX(0,ROUND((INDEX($E999:$G999,BH$5)-SUMIFS(TF_Timer,TF_Tekniker,BH$4,TF_Dato,$A999))*2,0)/2)))</f>
        <v/>
      </c>
      <c r="BI999">
        <f>IF(OR(BI$4="",$A999&gt;TODAY()),0,IF(OR(INDEX($B999:$D999,BI$5)="F",AND(BI$6&gt;0,$A999&lt;BI$6),AND(BI$7&gt;0,$A999&gt;BI$7)),0,MAX(0,ROUND((INDEX($E999:$G999,BI$5)-SUMIFS(TF_Timer,TF_Tekniker,BI$4,TF_Dato,$A999))*2,0)/2)))</f>
        <v/>
      </c>
    </row>
    <row r="1000">
      <c r="A1000" s="64">
        <f>A999+1</f>
        <v/>
      </c>
      <c r="B1000">
        <f>IF(MOD($A1000-INDEX(SkiftStart,1),Syklus)&lt;DagK,"K",IF(MOD($A1000-INDEX(SkiftStart,1),Syklus)&lt;DagK+DagH,"H",IF(MOD($A1000-INDEX(SkiftStart,1),Syklus)&lt;DagK+DagH+DagD,"D","F")))</f>
        <v/>
      </c>
      <c r="C1000">
        <f>IF(MOD($A1000-INDEX(SkiftStart,2),Syklus)&lt;DagK,"K",IF(MOD($A1000-INDEX(SkiftStart,2),Syklus)&lt;DagK+DagH,"H",IF(MOD($A1000-INDEX(SkiftStart,2),Syklus)&lt;DagK+DagH+DagD,"D","F")))</f>
        <v/>
      </c>
      <c r="D1000">
        <f>IF(MOD($A1000-INDEX(SkiftStart,3),Syklus)&lt;DagK,"K",IF(MOD($A1000-INDEX(SkiftStart,3),Syklus)&lt;DagK+DagH,"H",IF(MOD($A1000-INDEX(SkiftStart,3),Syklus)&lt;DagK+DagH+DagD,"D","F")))</f>
        <v/>
      </c>
      <c r="E1000">
        <f>IF(B1000="F",0,IF(WEEKDAY($A1000,2)=5,INDEX(TimerFr,MATCH(B1000,FaseKode,0)),INDEX(TimerMT,MATCH(B1000,FaseKode,0))))</f>
        <v/>
      </c>
      <c r="F1000">
        <f>IF(C1000="F",0,IF(WEEKDAY($A1000,2)=5,INDEX(TimerFr,MATCH(C1000,FaseKode,0)),INDEX(TimerMT,MATCH(C1000,FaseKode,0))))</f>
        <v/>
      </c>
      <c r="G1000">
        <f>IF(D1000="F",0,IF(WEEKDAY($A1000,2)=5,INDEX(TimerFr,MATCH(D1000,FaseKode,0)),INDEX(TimerMT,MATCH(D1000,FaseKode,0))))</f>
        <v/>
      </c>
      <c r="H1000">
        <f>IF(OR(H$4="",$A1000&gt;TODAY()),0,IF(OR(INDEX($B1000:$D1000,H$5)="F",AND(H$6&gt;0,$A1000&lt;H$6),AND(H$7&gt;0,$A1000&gt;H$7)),0,MAX(0,ROUND((INDEX($E1000:$G1000,H$5)-SUMIFS(TF_Timer,TF_Tekniker,H$4,TF_Dato,$A1000))*2,0)/2)))</f>
        <v/>
      </c>
      <c r="I1000">
        <f>IF(OR(I$4="",$A1000&gt;TODAY()),0,IF(OR(INDEX($B1000:$D1000,I$5)="F",AND(I$6&gt;0,$A1000&lt;I$6),AND(I$7&gt;0,$A1000&gt;I$7)),0,MAX(0,ROUND((INDEX($E1000:$G1000,I$5)-SUMIFS(TF_Timer,TF_Tekniker,I$4,TF_Dato,$A1000))*2,0)/2)))</f>
        <v/>
      </c>
      <c r="J1000">
        <f>IF(OR(J$4="",$A1000&gt;TODAY()),0,IF(OR(INDEX($B1000:$D1000,J$5)="F",AND(J$6&gt;0,$A1000&lt;J$6),AND(J$7&gt;0,$A1000&gt;J$7)),0,MAX(0,ROUND((INDEX($E1000:$G1000,J$5)-SUMIFS(TF_Timer,TF_Tekniker,J$4,TF_Dato,$A1000))*2,0)/2)))</f>
        <v/>
      </c>
      <c r="K1000">
        <f>IF(OR(K$4="",$A1000&gt;TODAY()),0,IF(OR(INDEX($B1000:$D1000,K$5)="F",AND(K$6&gt;0,$A1000&lt;K$6),AND(K$7&gt;0,$A1000&gt;K$7)),0,MAX(0,ROUND((INDEX($E1000:$G1000,K$5)-SUMIFS(TF_Timer,TF_Tekniker,K$4,TF_Dato,$A1000))*2,0)/2)))</f>
        <v/>
      </c>
      <c r="L1000">
        <f>IF(OR(L$4="",$A1000&gt;TODAY()),0,IF(OR(INDEX($B1000:$D1000,L$5)="F",AND(L$6&gt;0,$A1000&lt;L$6),AND(L$7&gt;0,$A1000&gt;L$7)),0,MAX(0,ROUND((INDEX($E1000:$G1000,L$5)-SUMIFS(TF_Timer,TF_Tekniker,L$4,TF_Dato,$A1000))*2,0)/2)))</f>
        <v/>
      </c>
      <c r="M1000">
        <f>IF(OR(M$4="",$A1000&gt;TODAY()),0,IF(OR(INDEX($B1000:$D1000,M$5)="F",AND(M$6&gt;0,$A1000&lt;M$6),AND(M$7&gt;0,$A1000&gt;M$7)),0,MAX(0,ROUND((INDEX($E1000:$G1000,M$5)-SUMIFS(TF_Timer,TF_Tekniker,M$4,TF_Dato,$A1000))*2,0)/2)))</f>
        <v/>
      </c>
      <c r="N1000">
        <f>IF(OR(N$4="",$A1000&gt;TODAY()),0,IF(OR(INDEX($B1000:$D1000,N$5)="F",AND(N$6&gt;0,$A1000&lt;N$6),AND(N$7&gt;0,$A1000&gt;N$7)),0,MAX(0,ROUND((INDEX($E1000:$G1000,N$5)-SUMIFS(TF_Timer,TF_Tekniker,N$4,TF_Dato,$A1000))*2,0)/2)))</f>
        <v/>
      </c>
      <c r="O1000">
        <f>IF(OR(O$4="",$A1000&gt;TODAY()),0,IF(OR(INDEX($B1000:$D1000,O$5)="F",AND(O$6&gt;0,$A1000&lt;O$6),AND(O$7&gt;0,$A1000&gt;O$7)),0,MAX(0,ROUND((INDEX($E1000:$G1000,O$5)-SUMIFS(TF_Timer,TF_Tekniker,O$4,TF_Dato,$A1000))*2,0)/2)))</f>
        <v/>
      </c>
      <c r="P1000">
        <f>IF(OR(P$4="",$A1000&gt;TODAY()),0,IF(OR(INDEX($B1000:$D1000,P$5)="F",AND(P$6&gt;0,$A1000&lt;P$6),AND(P$7&gt;0,$A1000&gt;P$7)),0,MAX(0,ROUND((INDEX($E1000:$G1000,P$5)-SUMIFS(TF_Timer,TF_Tekniker,P$4,TF_Dato,$A1000))*2,0)/2)))</f>
        <v/>
      </c>
      <c r="Q1000">
        <f>IF(OR(Q$4="",$A1000&gt;TODAY()),0,IF(OR(INDEX($B1000:$D1000,Q$5)="F",AND(Q$6&gt;0,$A1000&lt;Q$6),AND(Q$7&gt;0,$A1000&gt;Q$7)),0,MAX(0,ROUND((INDEX($E1000:$G1000,Q$5)-SUMIFS(TF_Timer,TF_Tekniker,Q$4,TF_Dato,$A1000))*2,0)/2)))</f>
        <v/>
      </c>
      <c r="R1000">
        <f>IF(OR(R$4="",$A1000&gt;TODAY()),0,IF(OR(INDEX($B1000:$D1000,R$5)="F",AND(R$6&gt;0,$A1000&lt;R$6),AND(R$7&gt;0,$A1000&gt;R$7)),0,MAX(0,ROUND((INDEX($E1000:$G1000,R$5)-SUMIFS(TF_Timer,TF_Tekniker,R$4,TF_Dato,$A1000))*2,0)/2)))</f>
        <v/>
      </c>
      <c r="S1000">
        <f>IF(OR(S$4="",$A1000&gt;TODAY()),0,IF(OR(INDEX($B1000:$D1000,S$5)="F",AND(S$6&gt;0,$A1000&lt;S$6),AND(S$7&gt;0,$A1000&gt;S$7)),0,MAX(0,ROUND((INDEX($E1000:$G1000,S$5)-SUMIFS(TF_Timer,TF_Tekniker,S$4,TF_Dato,$A1000))*2,0)/2)))</f>
        <v/>
      </c>
      <c r="T1000">
        <f>IF(OR(T$4="",$A1000&gt;TODAY()),0,IF(OR(INDEX($B1000:$D1000,T$5)="F",AND(T$6&gt;0,$A1000&lt;T$6),AND(T$7&gt;0,$A1000&gt;T$7)),0,MAX(0,ROUND((INDEX($E1000:$G1000,T$5)-SUMIFS(TF_Timer,TF_Tekniker,T$4,TF_Dato,$A1000))*2,0)/2)))</f>
        <v/>
      </c>
      <c r="U1000">
        <f>IF(OR(U$4="",$A1000&gt;TODAY()),0,IF(OR(INDEX($B1000:$D1000,U$5)="F",AND(U$6&gt;0,$A1000&lt;U$6),AND(U$7&gt;0,$A1000&gt;U$7)),0,MAX(0,ROUND((INDEX($E1000:$G1000,U$5)-SUMIFS(TF_Timer,TF_Tekniker,U$4,TF_Dato,$A1000))*2,0)/2)))</f>
        <v/>
      </c>
      <c r="V1000">
        <f>IF(OR(V$4="",$A1000&gt;TODAY()),0,IF(OR(INDEX($B1000:$D1000,V$5)="F",AND(V$6&gt;0,$A1000&lt;V$6),AND(V$7&gt;0,$A1000&gt;V$7)),0,MAX(0,ROUND((INDEX($E1000:$G1000,V$5)-SUMIFS(TF_Timer,TF_Tekniker,V$4,TF_Dato,$A1000))*2,0)/2)))</f>
        <v/>
      </c>
      <c r="W1000">
        <f>IF(OR(W$4="",$A1000&gt;TODAY()),0,IF(OR(INDEX($B1000:$D1000,W$5)="F",AND(W$6&gt;0,$A1000&lt;W$6),AND(W$7&gt;0,$A1000&gt;W$7)),0,MAX(0,ROUND((INDEX($E1000:$G1000,W$5)-SUMIFS(TF_Timer,TF_Tekniker,W$4,TF_Dato,$A1000))*2,0)/2)))</f>
        <v/>
      </c>
      <c r="X1000">
        <f>IF(OR(X$4="",$A1000&gt;TODAY()),0,IF(OR(INDEX($B1000:$D1000,X$5)="F",AND(X$6&gt;0,$A1000&lt;X$6),AND(X$7&gt;0,$A1000&gt;X$7)),0,MAX(0,ROUND((INDEX($E1000:$G1000,X$5)-SUMIFS(TF_Timer,TF_Tekniker,X$4,TF_Dato,$A1000))*2,0)/2)))</f>
        <v/>
      </c>
      <c r="Y1000">
        <f>IF(OR(Y$4="",$A1000&gt;TODAY()),0,IF(OR(INDEX($B1000:$D1000,Y$5)="F",AND(Y$6&gt;0,$A1000&lt;Y$6),AND(Y$7&gt;0,$A1000&gt;Y$7)),0,MAX(0,ROUND((INDEX($E1000:$G1000,Y$5)-SUMIFS(TF_Timer,TF_Tekniker,Y$4,TF_Dato,$A1000))*2,0)/2)))</f>
        <v/>
      </c>
      <c r="Z1000">
        <f>IF(OR(Z$4="",$A1000&gt;TODAY()),0,IF(OR(INDEX($B1000:$D1000,Z$5)="F",AND(Z$6&gt;0,$A1000&lt;Z$6),AND(Z$7&gt;0,$A1000&gt;Z$7)),0,MAX(0,ROUND((INDEX($E1000:$G1000,Z$5)-SUMIFS(TF_Timer,TF_Tekniker,Z$4,TF_Dato,$A1000))*2,0)/2)))</f>
        <v/>
      </c>
      <c r="AA1000">
        <f>IF(OR(AA$4="",$A1000&gt;TODAY()),0,IF(OR(INDEX($B1000:$D1000,AA$5)="F",AND(AA$6&gt;0,$A1000&lt;AA$6),AND(AA$7&gt;0,$A1000&gt;AA$7)),0,MAX(0,ROUND((INDEX($E1000:$G1000,AA$5)-SUMIFS(TF_Timer,TF_Tekniker,AA$4,TF_Dato,$A1000))*2,0)/2)))</f>
        <v/>
      </c>
      <c r="AB1000">
        <f>IF(OR(AB$4="",$A1000&gt;TODAY()),0,IF(OR(INDEX($B1000:$D1000,AB$5)="F",AND(AB$6&gt;0,$A1000&lt;AB$6),AND(AB$7&gt;0,$A1000&gt;AB$7)),0,MAX(0,ROUND((INDEX($E1000:$G1000,AB$5)-SUMIFS(TF_Timer,TF_Tekniker,AB$4,TF_Dato,$A1000))*2,0)/2)))</f>
        <v/>
      </c>
      <c r="AC1000">
        <f>IF(OR(AC$4="",$A1000&gt;TODAY()),0,IF(OR(INDEX($B1000:$D1000,AC$5)="F",AND(AC$6&gt;0,$A1000&lt;AC$6),AND(AC$7&gt;0,$A1000&gt;AC$7)),0,MAX(0,ROUND((INDEX($E1000:$G1000,AC$5)-SUMIFS(TF_Timer,TF_Tekniker,AC$4,TF_Dato,$A1000))*2,0)/2)))</f>
        <v/>
      </c>
      <c r="AD1000">
        <f>IF(OR(AD$4="",$A1000&gt;TODAY()),0,IF(OR(INDEX($B1000:$D1000,AD$5)="F",AND(AD$6&gt;0,$A1000&lt;AD$6),AND(AD$7&gt;0,$A1000&gt;AD$7)),0,MAX(0,ROUND((INDEX($E1000:$G1000,AD$5)-SUMIFS(TF_Timer,TF_Tekniker,AD$4,TF_Dato,$A1000))*2,0)/2)))</f>
        <v/>
      </c>
      <c r="AE1000">
        <f>IF(OR(AE$4="",$A1000&gt;TODAY()),0,IF(OR(INDEX($B1000:$D1000,AE$5)="F",AND(AE$6&gt;0,$A1000&lt;AE$6),AND(AE$7&gt;0,$A1000&gt;AE$7)),0,MAX(0,ROUND((INDEX($E1000:$G1000,AE$5)-SUMIFS(TF_Timer,TF_Tekniker,AE$4,TF_Dato,$A1000))*2,0)/2)))</f>
        <v/>
      </c>
      <c r="AF1000">
        <f>IF(OR(AF$4="",$A1000&gt;TODAY()),0,IF(OR(INDEX($B1000:$D1000,AF$5)="F",AND(AF$6&gt;0,$A1000&lt;AF$6),AND(AF$7&gt;0,$A1000&gt;AF$7)),0,MAX(0,ROUND((INDEX($E1000:$G1000,AF$5)-SUMIFS(TF_Timer,TF_Tekniker,AF$4,TF_Dato,$A1000))*2,0)/2)))</f>
        <v/>
      </c>
      <c r="AG1000">
        <f>IF(OR(AG$4="",$A1000&gt;TODAY()),0,IF(OR(INDEX($B1000:$D1000,AG$5)="F",AND(AG$6&gt;0,$A1000&lt;AG$6),AND(AG$7&gt;0,$A1000&gt;AG$7)),0,MAX(0,ROUND((INDEX($E1000:$G1000,AG$5)-SUMIFS(TF_Timer,TF_Tekniker,AG$4,TF_Dato,$A1000))*2,0)/2)))</f>
        <v/>
      </c>
      <c r="AH1000">
        <f>IF(OR(AH$4="",$A1000&gt;TODAY()),0,IF(OR(INDEX($B1000:$D1000,AH$5)="F",AND(AH$6&gt;0,$A1000&lt;AH$6),AND(AH$7&gt;0,$A1000&gt;AH$7)),0,MAX(0,ROUND((INDEX($E1000:$G1000,AH$5)-SUMIFS(TF_Timer,TF_Tekniker,AH$4,TF_Dato,$A1000))*2,0)/2)))</f>
        <v/>
      </c>
      <c r="AI1000">
        <f>IF(OR(AI$4="",$A1000&gt;TODAY()),0,IF(OR(INDEX($B1000:$D1000,AI$5)="F",AND(AI$6&gt;0,$A1000&lt;AI$6),AND(AI$7&gt;0,$A1000&gt;AI$7)),0,MAX(0,ROUND((INDEX($E1000:$G1000,AI$5)-SUMIFS(TF_Timer,TF_Tekniker,AI$4,TF_Dato,$A1000))*2,0)/2)))</f>
        <v/>
      </c>
      <c r="AJ1000">
        <f>IF(OR(AJ$4="",$A1000&gt;TODAY()),0,IF(OR(INDEX($B1000:$D1000,AJ$5)="F",AND(AJ$6&gt;0,$A1000&lt;AJ$6),AND(AJ$7&gt;0,$A1000&gt;AJ$7)),0,MAX(0,ROUND((INDEX($E1000:$G1000,AJ$5)-SUMIFS(TF_Timer,TF_Tekniker,AJ$4,TF_Dato,$A1000))*2,0)/2)))</f>
        <v/>
      </c>
      <c r="AK1000">
        <f>IF(OR(AK$4="",$A1000&gt;TODAY()),0,IF(OR(INDEX($B1000:$D1000,AK$5)="F",AND(AK$6&gt;0,$A1000&lt;AK$6),AND(AK$7&gt;0,$A1000&gt;AK$7)),0,MAX(0,ROUND((INDEX($E1000:$G1000,AK$5)-SUMIFS(TF_Timer,TF_Tekniker,AK$4,TF_Dato,$A1000))*2,0)/2)))</f>
        <v/>
      </c>
      <c r="AL1000">
        <f>IF(OR(AL$4="",$A1000&gt;TODAY()),0,IF(OR(INDEX($B1000:$D1000,AL$5)="F",AND(AL$6&gt;0,$A1000&lt;AL$6),AND(AL$7&gt;0,$A1000&gt;AL$7)),0,MAX(0,ROUND((INDEX($E1000:$G1000,AL$5)-SUMIFS(TF_Timer,TF_Tekniker,AL$4,TF_Dato,$A1000))*2,0)/2)))</f>
        <v/>
      </c>
      <c r="AM1000">
        <f>IF(OR(AM$4="",$A1000&gt;TODAY()),0,IF(OR(INDEX($B1000:$D1000,AM$5)="F",AND(AM$6&gt;0,$A1000&lt;AM$6),AND(AM$7&gt;0,$A1000&gt;AM$7)),0,MAX(0,ROUND((INDEX($E1000:$G1000,AM$5)-SUMIFS(TF_Timer,TF_Tekniker,AM$4,TF_Dato,$A1000))*2,0)/2)))</f>
        <v/>
      </c>
      <c r="AN1000">
        <f>IF(OR(AN$4="",$A1000&gt;TODAY()),0,IF(OR(INDEX($B1000:$D1000,AN$5)="F",AND(AN$6&gt;0,$A1000&lt;AN$6),AND(AN$7&gt;0,$A1000&gt;AN$7)),0,MAX(0,ROUND((INDEX($E1000:$G1000,AN$5)-SUMIFS(TF_Timer,TF_Tekniker,AN$4,TF_Dato,$A1000))*2,0)/2)))</f>
        <v/>
      </c>
      <c r="AO1000">
        <f>IF(OR(AO$4="",$A1000&gt;TODAY()),0,IF(OR(INDEX($B1000:$D1000,AO$5)="F",AND(AO$6&gt;0,$A1000&lt;AO$6),AND(AO$7&gt;0,$A1000&gt;AO$7)),0,MAX(0,ROUND((INDEX($E1000:$G1000,AO$5)-SUMIFS(TF_Timer,TF_Tekniker,AO$4,TF_Dato,$A1000))*2,0)/2)))</f>
        <v/>
      </c>
      <c r="AP1000">
        <f>IF(OR(AP$4="",$A1000&gt;TODAY()),0,IF(OR(INDEX($B1000:$D1000,AP$5)="F",AND(AP$6&gt;0,$A1000&lt;AP$6),AND(AP$7&gt;0,$A1000&gt;AP$7)),0,MAX(0,ROUND((INDEX($E1000:$G1000,AP$5)-SUMIFS(TF_Timer,TF_Tekniker,AP$4,TF_Dato,$A1000))*2,0)/2)))</f>
        <v/>
      </c>
      <c r="AQ1000">
        <f>IF(OR(AQ$4="",$A1000&gt;TODAY()),0,IF(OR(INDEX($B1000:$D1000,AQ$5)="F",AND(AQ$6&gt;0,$A1000&lt;AQ$6),AND(AQ$7&gt;0,$A1000&gt;AQ$7)),0,MAX(0,ROUND((INDEX($E1000:$G1000,AQ$5)-SUMIFS(TF_Timer,TF_Tekniker,AQ$4,TF_Dato,$A1000))*2,0)/2)))</f>
        <v/>
      </c>
      <c r="AR1000">
        <f>IF(OR(AR$4="",$A1000&gt;TODAY()),0,IF(OR(INDEX($B1000:$D1000,AR$5)="F",AND(AR$6&gt;0,$A1000&lt;AR$6),AND(AR$7&gt;0,$A1000&gt;AR$7)),0,MAX(0,ROUND((INDEX($E1000:$G1000,AR$5)-SUMIFS(TF_Timer,TF_Tekniker,AR$4,TF_Dato,$A1000))*2,0)/2)))</f>
        <v/>
      </c>
      <c r="AS1000">
        <f>IF(OR(AS$4="",$A1000&gt;TODAY()),0,IF(OR(INDEX($B1000:$D1000,AS$5)="F",AND(AS$6&gt;0,$A1000&lt;AS$6),AND(AS$7&gt;0,$A1000&gt;AS$7)),0,MAX(0,ROUND((INDEX($E1000:$G1000,AS$5)-SUMIFS(TF_Timer,TF_Tekniker,AS$4,TF_Dato,$A1000))*2,0)/2)))</f>
        <v/>
      </c>
      <c r="AT1000">
        <f>IF(OR(AT$4="",$A1000&gt;TODAY()),0,IF(OR(INDEX($B1000:$D1000,AT$5)="F",AND(AT$6&gt;0,$A1000&lt;AT$6),AND(AT$7&gt;0,$A1000&gt;AT$7)),0,MAX(0,ROUND((INDEX($E1000:$G1000,AT$5)-SUMIFS(TF_Timer,TF_Tekniker,AT$4,TF_Dato,$A1000))*2,0)/2)))</f>
        <v/>
      </c>
      <c r="AU1000">
        <f>IF(OR(AU$4="",$A1000&gt;TODAY()),0,IF(OR(INDEX($B1000:$D1000,AU$5)="F",AND(AU$6&gt;0,$A1000&lt;AU$6),AND(AU$7&gt;0,$A1000&gt;AU$7)),0,MAX(0,ROUND((INDEX($E1000:$G1000,AU$5)-SUMIFS(TF_Timer,TF_Tekniker,AU$4,TF_Dato,$A1000))*2,0)/2)))</f>
        <v/>
      </c>
      <c r="AV1000">
        <f>IF(OR(AV$4="",$A1000&gt;TODAY()),0,IF(OR(INDEX($B1000:$D1000,AV$5)="F",AND(AV$6&gt;0,$A1000&lt;AV$6),AND(AV$7&gt;0,$A1000&gt;AV$7)),0,MAX(0,ROUND((INDEX($E1000:$G1000,AV$5)-SUMIFS(TF_Timer,TF_Tekniker,AV$4,TF_Dato,$A1000))*2,0)/2)))</f>
        <v/>
      </c>
      <c r="AW1000">
        <f>IF(OR(AW$4="",$A1000&gt;TODAY()),0,IF(OR(INDEX($B1000:$D1000,AW$5)="F",AND(AW$6&gt;0,$A1000&lt;AW$6),AND(AW$7&gt;0,$A1000&gt;AW$7)),0,MAX(0,ROUND((INDEX($E1000:$G1000,AW$5)-SUMIFS(TF_Timer,TF_Tekniker,AW$4,TF_Dato,$A1000))*2,0)/2)))</f>
        <v/>
      </c>
      <c r="AX1000">
        <f>IF(OR(AX$4="",$A1000&gt;TODAY()),0,IF(OR(INDEX($B1000:$D1000,AX$5)="F",AND(AX$6&gt;0,$A1000&lt;AX$6),AND(AX$7&gt;0,$A1000&gt;AX$7)),0,MAX(0,ROUND((INDEX($E1000:$G1000,AX$5)-SUMIFS(TF_Timer,TF_Tekniker,AX$4,TF_Dato,$A1000))*2,0)/2)))</f>
        <v/>
      </c>
      <c r="AY1000">
        <f>IF(OR(AY$4="",$A1000&gt;TODAY()),0,IF(OR(INDEX($B1000:$D1000,AY$5)="F",AND(AY$6&gt;0,$A1000&lt;AY$6),AND(AY$7&gt;0,$A1000&gt;AY$7)),0,MAX(0,ROUND((INDEX($E1000:$G1000,AY$5)-SUMIFS(TF_Timer,TF_Tekniker,AY$4,TF_Dato,$A1000))*2,0)/2)))</f>
        <v/>
      </c>
      <c r="AZ1000">
        <f>IF(OR(AZ$4="",$A1000&gt;TODAY()),0,IF(OR(INDEX($B1000:$D1000,AZ$5)="F",AND(AZ$6&gt;0,$A1000&lt;AZ$6),AND(AZ$7&gt;0,$A1000&gt;AZ$7)),0,MAX(0,ROUND((INDEX($E1000:$G1000,AZ$5)-SUMIFS(TF_Timer,TF_Tekniker,AZ$4,TF_Dato,$A1000))*2,0)/2)))</f>
        <v/>
      </c>
      <c r="BA1000">
        <f>IF(OR(BA$4="",$A1000&gt;TODAY()),0,IF(OR(INDEX($B1000:$D1000,BA$5)="F",AND(BA$6&gt;0,$A1000&lt;BA$6),AND(BA$7&gt;0,$A1000&gt;BA$7)),0,MAX(0,ROUND((INDEX($E1000:$G1000,BA$5)-SUMIFS(TF_Timer,TF_Tekniker,BA$4,TF_Dato,$A1000))*2,0)/2)))</f>
        <v/>
      </c>
      <c r="BB1000">
        <f>IF(OR(BB$4="",$A1000&gt;TODAY()),0,IF(OR(INDEX($B1000:$D1000,BB$5)="F",AND(BB$6&gt;0,$A1000&lt;BB$6),AND(BB$7&gt;0,$A1000&gt;BB$7)),0,MAX(0,ROUND((INDEX($E1000:$G1000,BB$5)-SUMIFS(TF_Timer,TF_Tekniker,BB$4,TF_Dato,$A1000))*2,0)/2)))</f>
        <v/>
      </c>
      <c r="BC1000">
        <f>IF(OR(BC$4="",$A1000&gt;TODAY()),0,IF(OR(INDEX($B1000:$D1000,BC$5)="F",AND(BC$6&gt;0,$A1000&lt;BC$6),AND(BC$7&gt;0,$A1000&gt;BC$7)),0,MAX(0,ROUND((INDEX($E1000:$G1000,BC$5)-SUMIFS(TF_Timer,TF_Tekniker,BC$4,TF_Dato,$A1000))*2,0)/2)))</f>
        <v/>
      </c>
      <c r="BD1000">
        <f>IF(OR(BD$4="",$A1000&gt;TODAY()),0,IF(OR(INDEX($B1000:$D1000,BD$5)="F",AND(BD$6&gt;0,$A1000&lt;BD$6),AND(BD$7&gt;0,$A1000&gt;BD$7)),0,MAX(0,ROUND((INDEX($E1000:$G1000,BD$5)-SUMIFS(TF_Timer,TF_Tekniker,BD$4,TF_Dato,$A1000))*2,0)/2)))</f>
        <v/>
      </c>
      <c r="BE1000">
        <f>IF(OR(BE$4="",$A1000&gt;TODAY()),0,IF(OR(INDEX($B1000:$D1000,BE$5)="F",AND(BE$6&gt;0,$A1000&lt;BE$6),AND(BE$7&gt;0,$A1000&gt;BE$7)),0,MAX(0,ROUND((INDEX($E1000:$G1000,BE$5)-SUMIFS(TF_Timer,TF_Tekniker,BE$4,TF_Dato,$A1000))*2,0)/2)))</f>
        <v/>
      </c>
      <c r="BF1000">
        <f>IF(OR(BF$4="",$A1000&gt;TODAY()),0,IF(OR(INDEX($B1000:$D1000,BF$5)="F",AND(BF$6&gt;0,$A1000&lt;BF$6),AND(BF$7&gt;0,$A1000&gt;BF$7)),0,MAX(0,ROUND((INDEX($E1000:$G1000,BF$5)-SUMIFS(TF_Timer,TF_Tekniker,BF$4,TF_Dato,$A1000))*2,0)/2)))</f>
        <v/>
      </c>
      <c r="BG1000">
        <f>IF(OR(BG$4="",$A1000&gt;TODAY()),0,IF(OR(INDEX($B1000:$D1000,BG$5)="F",AND(BG$6&gt;0,$A1000&lt;BG$6),AND(BG$7&gt;0,$A1000&gt;BG$7)),0,MAX(0,ROUND((INDEX($E1000:$G1000,BG$5)-SUMIFS(TF_Timer,TF_Tekniker,BG$4,TF_Dato,$A1000))*2,0)/2)))</f>
        <v/>
      </c>
      <c r="BH1000">
        <f>IF(OR(BH$4="",$A1000&gt;TODAY()),0,IF(OR(INDEX($B1000:$D1000,BH$5)="F",AND(BH$6&gt;0,$A1000&lt;BH$6),AND(BH$7&gt;0,$A1000&gt;BH$7)),0,MAX(0,ROUND((INDEX($E1000:$G1000,BH$5)-SUMIFS(TF_Timer,TF_Tekniker,BH$4,TF_Dato,$A1000))*2,0)/2)))</f>
        <v/>
      </c>
      <c r="BI1000">
        <f>IF(OR(BI$4="",$A1000&gt;TODAY()),0,IF(OR(INDEX($B1000:$D1000,BI$5)="F",AND(BI$6&gt;0,$A1000&lt;BI$6),AND(BI$7&gt;0,$A1000&gt;BI$7)),0,MAX(0,ROUND((INDEX($E1000:$G1000,BI$5)-SUMIFS(TF_Timer,TF_Tekniker,BI$4,TF_Dato,$A1000))*2,0)/2)))</f>
        <v/>
      </c>
    </row>
    <row r="1001">
      <c r="A1001" s="64">
        <f>A1000+1</f>
        <v/>
      </c>
      <c r="B1001">
        <f>IF(MOD($A1001-INDEX(SkiftStart,1),Syklus)&lt;DagK,"K",IF(MOD($A1001-INDEX(SkiftStart,1),Syklus)&lt;DagK+DagH,"H",IF(MOD($A1001-INDEX(SkiftStart,1),Syklus)&lt;DagK+DagH+DagD,"D","F")))</f>
        <v/>
      </c>
      <c r="C1001">
        <f>IF(MOD($A1001-INDEX(SkiftStart,2),Syklus)&lt;DagK,"K",IF(MOD($A1001-INDEX(SkiftStart,2),Syklus)&lt;DagK+DagH,"H",IF(MOD($A1001-INDEX(SkiftStart,2),Syklus)&lt;DagK+DagH+DagD,"D","F")))</f>
        <v/>
      </c>
      <c r="D1001">
        <f>IF(MOD($A1001-INDEX(SkiftStart,3),Syklus)&lt;DagK,"K",IF(MOD($A1001-INDEX(SkiftStart,3),Syklus)&lt;DagK+DagH,"H",IF(MOD($A1001-INDEX(SkiftStart,3),Syklus)&lt;DagK+DagH+DagD,"D","F")))</f>
        <v/>
      </c>
      <c r="E1001">
        <f>IF(B1001="F",0,IF(WEEKDAY($A1001,2)=5,INDEX(TimerFr,MATCH(B1001,FaseKode,0)),INDEX(TimerMT,MATCH(B1001,FaseKode,0))))</f>
        <v/>
      </c>
      <c r="F1001">
        <f>IF(C1001="F",0,IF(WEEKDAY($A1001,2)=5,INDEX(TimerFr,MATCH(C1001,FaseKode,0)),INDEX(TimerMT,MATCH(C1001,FaseKode,0))))</f>
        <v/>
      </c>
      <c r="G1001">
        <f>IF(D1001="F",0,IF(WEEKDAY($A1001,2)=5,INDEX(TimerFr,MATCH(D1001,FaseKode,0)),INDEX(TimerMT,MATCH(D1001,FaseKode,0))))</f>
        <v/>
      </c>
      <c r="H1001">
        <f>IF(OR(H$4="",$A1001&gt;TODAY()),0,IF(OR(INDEX($B1001:$D1001,H$5)="F",AND(H$6&gt;0,$A1001&lt;H$6),AND(H$7&gt;0,$A1001&gt;H$7)),0,MAX(0,ROUND((INDEX($E1001:$G1001,H$5)-SUMIFS(TF_Timer,TF_Tekniker,H$4,TF_Dato,$A1001))*2,0)/2)))</f>
        <v/>
      </c>
      <c r="I1001">
        <f>IF(OR(I$4="",$A1001&gt;TODAY()),0,IF(OR(INDEX($B1001:$D1001,I$5)="F",AND(I$6&gt;0,$A1001&lt;I$6),AND(I$7&gt;0,$A1001&gt;I$7)),0,MAX(0,ROUND((INDEX($E1001:$G1001,I$5)-SUMIFS(TF_Timer,TF_Tekniker,I$4,TF_Dato,$A1001))*2,0)/2)))</f>
        <v/>
      </c>
      <c r="J1001">
        <f>IF(OR(J$4="",$A1001&gt;TODAY()),0,IF(OR(INDEX($B1001:$D1001,J$5)="F",AND(J$6&gt;0,$A1001&lt;J$6),AND(J$7&gt;0,$A1001&gt;J$7)),0,MAX(0,ROUND((INDEX($E1001:$G1001,J$5)-SUMIFS(TF_Timer,TF_Tekniker,J$4,TF_Dato,$A1001))*2,0)/2)))</f>
        <v/>
      </c>
      <c r="K1001">
        <f>IF(OR(K$4="",$A1001&gt;TODAY()),0,IF(OR(INDEX($B1001:$D1001,K$5)="F",AND(K$6&gt;0,$A1001&lt;K$6),AND(K$7&gt;0,$A1001&gt;K$7)),0,MAX(0,ROUND((INDEX($E1001:$G1001,K$5)-SUMIFS(TF_Timer,TF_Tekniker,K$4,TF_Dato,$A1001))*2,0)/2)))</f>
        <v/>
      </c>
      <c r="L1001">
        <f>IF(OR(L$4="",$A1001&gt;TODAY()),0,IF(OR(INDEX($B1001:$D1001,L$5)="F",AND(L$6&gt;0,$A1001&lt;L$6),AND(L$7&gt;0,$A1001&gt;L$7)),0,MAX(0,ROUND((INDEX($E1001:$G1001,L$5)-SUMIFS(TF_Timer,TF_Tekniker,L$4,TF_Dato,$A1001))*2,0)/2)))</f>
        <v/>
      </c>
      <c r="M1001">
        <f>IF(OR(M$4="",$A1001&gt;TODAY()),0,IF(OR(INDEX($B1001:$D1001,M$5)="F",AND(M$6&gt;0,$A1001&lt;M$6),AND(M$7&gt;0,$A1001&gt;M$7)),0,MAX(0,ROUND((INDEX($E1001:$G1001,M$5)-SUMIFS(TF_Timer,TF_Tekniker,M$4,TF_Dato,$A1001))*2,0)/2)))</f>
        <v/>
      </c>
      <c r="N1001">
        <f>IF(OR(N$4="",$A1001&gt;TODAY()),0,IF(OR(INDEX($B1001:$D1001,N$5)="F",AND(N$6&gt;0,$A1001&lt;N$6),AND(N$7&gt;0,$A1001&gt;N$7)),0,MAX(0,ROUND((INDEX($E1001:$G1001,N$5)-SUMIFS(TF_Timer,TF_Tekniker,N$4,TF_Dato,$A1001))*2,0)/2)))</f>
        <v/>
      </c>
      <c r="O1001">
        <f>IF(OR(O$4="",$A1001&gt;TODAY()),0,IF(OR(INDEX($B1001:$D1001,O$5)="F",AND(O$6&gt;0,$A1001&lt;O$6),AND(O$7&gt;0,$A1001&gt;O$7)),0,MAX(0,ROUND((INDEX($E1001:$G1001,O$5)-SUMIFS(TF_Timer,TF_Tekniker,O$4,TF_Dato,$A1001))*2,0)/2)))</f>
        <v/>
      </c>
      <c r="P1001">
        <f>IF(OR(P$4="",$A1001&gt;TODAY()),0,IF(OR(INDEX($B1001:$D1001,P$5)="F",AND(P$6&gt;0,$A1001&lt;P$6),AND(P$7&gt;0,$A1001&gt;P$7)),0,MAX(0,ROUND((INDEX($E1001:$G1001,P$5)-SUMIFS(TF_Timer,TF_Tekniker,P$4,TF_Dato,$A1001))*2,0)/2)))</f>
        <v/>
      </c>
      <c r="Q1001">
        <f>IF(OR(Q$4="",$A1001&gt;TODAY()),0,IF(OR(INDEX($B1001:$D1001,Q$5)="F",AND(Q$6&gt;0,$A1001&lt;Q$6),AND(Q$7&gt;0,$A1001&gt;Q$7)),0,MAX(0,ROUND((INDEX($E1001:$G1001,Q$5)-SUMIFS(TF_Timer,TF_Tekniker,Q$4,TF_Dato,$A1001))*2,0)/2)))</f>
        <v/>
      </c>
      <c r="R1001">
        <f>IF(OR(R$4="",$A1001&gt;TODAY()),0,IF(OR(INDEX($B1001:$D1001,R$5)="F",AND(R$6&gt;0,$A1001&lt;R$6),AND(R$7&gt;0,$A1001&gt;R$7)),0,MAX(0,ROUND((INDEX($E1001:$G1001,R$5)-SUMIFS(TF_Timer,TF_Tekniker,R$4,TF_Dato,$A1001))*2,0)/2)))</f>
        <v/>
      </c>
      <c r="S1001">
        <f>IF(OR(S$4="",$A1001&gt;TODAY()),0,IF(OR(INDEX($B1001:$D1001,S$5)="F",AND(S$6&gt;0,$A1001&lt;S$6),AND(S$7&gt;0,$A1001&gt;S$7)),0,MAX(0,ROUND((INDEX($E1001:$G1001,S$5)-SUMIFS(TF_Timer,TF_Tekniker,S$4,TF_Dato,$A1001))*2,0)/2)))</f>
        <v/>
      </c>
      <c r="T1001">
        <f>IF(OR(T$4="",$A1001&gt;TODAY()),0,IF(OR(INDEX($B1001:$D1001,T$5)="F",AND(T$6&gt;0,$A1001&lt;T$6),AND(T$7&gt;0,$A1001&gt;T$7)),0,MAX(0,ROUND((INDEX($E1001:$G1001,T$5)-SUMIFS(TF_Timer,TF_Tekniker,T$4,TF_Dato,$A1001))*2,0)/2)))</f>
        <v/>
      </c>
      <c r="U1001">
        <f>IF(OR(U$4="",$A1001&gt;TODAY()),0,IF(OR(INDEX($B1001:$D1001,U$5)="F",AND(U$6&gt;0,$A1001&lt;U$6),AND(U$7&gt;0,$A1001&gt;U$7)),0,MAX(0,ROUND((INDEX($E1001:$G1001,U$5)-SUMIFS(TF_Timer,TF_Tekniker,U$4,TF_Dato,$A1001))*2,0)/2)))</f>
        <v/>
      </c>
      <c r="V1001">
        <f>IF(OR(V$4="",$A1001&gt;TODAY()),0,IF(OR(INDEX($B1001:$D1001,V$5)="F",AND(V$6&gt;0,$A1001&lt;V$6),AND(V$7&gt;0,$A1001&gt;V$7)),0,MAX(0,ROUND((INDEX($E1001:$G1001,V$5)-SUMIFS(TF_Timer,TF_Tekniker,V$4,TF_Dato,$A1001))*2,0)/2)))</f>
        <v/>
      </c>
      <c r="W1001">
        <f>IF(OR(W$4="",$A1001&gt;TODAY()),0,IF(OR(INDEX($B1001:$D1001,W$5)="F",AND(W$6&gt;0,$A1001&lt;W$6),AND(W$7&gt;0,$A1001&gt;W$7)),0,MAX(0,ROUND((INDEX($E1001:$G1001,W$5)-SUMIFS(TF_Timer,TF_Tekniker,W$4,TF_Dato,$A1001))*2,0)/2)))</f>
        <v/>
      </c>
      <c r="X1001">
        <f>IF(OR(X$4="",$A1001&gt;TODAY()),0,IF(OR(INDEX($B1001:$D1001,X$5)="F",AND(X$6&gt;0,$A1001&lt;X$6),AND(X$7&gt;0,$A1001&gt;X$7)),0,MAX(0,ROUND((INDEX($E1001:$G1001,X$5)-SUMIFS(TF_Timer,TF_Tekniker,X$4,TF_Dato,$A1001))*2,0)/2)))</f>
        <v/>
      </c>
      <c r="Y1001">
        <f>IF(OR(Y$4="",$A1001&gt;TODAY()),0,IF(OR(INDEX($B1001:$D1001,Y$5)="F",AND(Y$6&gt;0,$A1001&lt;Y$6),AND(Y$7&gt;0,$A1001&gt;Y$7)),0,MAX(0,ROUND((INDEX($E1001:$G1001,Y$5)-SUMIFS(TF_Timer,TF_Tekniker,Y$4,TF_Dato,$A1001))*2,0)/2)))</f>
        <v/>
      </c>
      <c r="Z1001">
        <f>IF(OR(Z$4="",$A1001&gt;TODAY()),0,IF(OR(INDEX($B1001:$D1001,Z$5)="F",AND(Z$6&gt;0,$A1001&lt;Z$6),AND(Z$7&gt;0,$A1001&gt;Z$7)),0,MAX(0,ROUND((INDEX($E1001:$G1001,Z$5)-SUMIFS(TF_Timer,TF_Tekniker,Z$4,TF_Dato,$A1001))*2,0)/2)))</f>
        <v/>
      </c>
      <c r="AA1001">
        <f>IF(OR(AA$4="",$A1001&gt;TODAY()),0,IF(OR(INDEX($B1001:$D1001,AA$5)="F",AND(AA$6&gt;0,$A1001&lt;AA$6),AND(AA$7&gt;0,$A1001&gt;AA$7)),0,MAX(0,ROUND((INDEX($E1001:$G1001,AA$5)-SUMIFS(TF_Timer,TF_Tekniker,AA$4,TF_Dato,$A1001))*2,0)/2)))</f>
        <v/>
      </c>
      <c r="AB1001">
        <f>IF(OR(AB$4="",$A1001&gt;TODAY()),0,IF(OR(INDEX($B1001:$D1001,AB$5)="F",AND(AB$6&gt;0,$A1001&lt;AB$6),AND(AB$7&gt;0,$A1001&gt;AB$7)),0,MAX(0,ROUND((INDEX($E1001:$G1001,AB$5)-SUMIFS(TF_Timer,TF_Tekniker,AB$4,TF_Dato,$A1001))*2,0)/2)))</f>
        <v/>
      </c>
      <c r="AC1001">
        <f>IF(OR(AC$4="",$A1001&gt;TODAY()),0,IF(OR(INDEX($B1001:$D1001,AC$5)="F",AND(AC$6&gt;0,$A1001&lt;AC$6),AND(AC$7&gt;0,$A1001&gt;AC$7)),0,MAX(0,ROUND((INDEX($E1001:$G1001,AC$5)-SUMIFS(TF_Timer,TF_Tekniker,AC$4,TF_Dato,$A1001))*2,0)/2)))</f>
        <v/>
      </c>
      <c r="AD1001">
        <f>IF(OR(AD$4="",$A1001&gt;TODAY()),0,IF(OR(INDEX($B1001:$D1001,AD$5)="F",AND(AD$6&gt;0,$A1001&lt;AD$6),AND(AD$7&gt;0,$A1001&gt;AD$7)),0,MAX(0,ROUND((INDEX($E1001:$G1001,AD$5)-SUMIFS(TF_Timer,TF_Tekniker,AD$4,TF_Dato,$A1001))*2,0)/2)))</f>
        <v/>
      </c>
      <c r="AE1001">
        <f>IF(OR(AE$4="",$A1001&gt;TODAY()),0,IF(OR(INDEX($B1001:$D1001,AE$5)="F",AND(AE$6&gt;0,$A1001&lt;AE$6),AND(AE$7&gt;0,$A1001&gt;AE$7)),0,MAX(0,ROUND((INDEX($E1001:$G1001,AE$5)-SUMIFS(TF_Timer,TF_Tekniker,AE$4,TF_Dato,$A1001))*2,0)/2)))</f>
        <v/>
      </c>
      <c r="AF1001">
        <f>IF(OR(AF$4="",$A1001&gt;TODAY()),0,IF(OR(INDEX($B1001:$D1001,AF$5)="F",AND(AF$6&gt;0,$A1001&lt;AF$6),AND(AF$7&gt;0,$A1001&gt;AF$7)),0,MAX(0,ROUND((INDEX($E1001:$G1001,AF$5)-SUMIFS(TF_Timer,TF_Tekniker,AF$4,TF_Dato,$A1001))*2,0)/2)))</f>
        <v/>
      </c>
      <c r="AG1001">
        <f>IF(OR(AG$4="",$A1001&gt;TODAY()),0,IF(OR(INDEX($B1001:$D1001,AG$5)="F",AND(AG$6&gt;0,$A1001&lt;AG$6),AND(AG$7&gt;0,$A1001&gt;AG$7)),0,MAX(0,ROUND((INDEX($E1001:$G1001,AG$5)-SUMIFS(TF_Timer,TF_Tekniker,AG$4,TF_Dato,$A1001))*2,0)/2)))</f>
        <v/>
      </c>
      <c r="AH1001">
        <f>IF(OR(AH$4="",$A1001&gt;TODAY()),0,IF(OR(INDEX($B1001:$D1001,AH$5)="F",AND(AH$6&gt;0,$A1001&lt;AH$6),AND(AH$7&gt;0,$A1001&gt;AH$7)),0,MAX(0,ROUND((INDEX($E1001:$G1001,AH$5)-SUMIFS(TF_Timer,TF_Tekniker,AH$4,TF_Dato,$A1001))*2,0)/2)))</f>
        <v/>
      </c>
      <c r="AI1001">
        <f>IF(OR(AI$4="",$A1001&gt;TODAY()),0,IF(OR(INDEX($B1001:$D1001,AI$5)="F",AND(AI$6&gt;0,$A1001&lt;AI$6),AND(AI$7&gt;0,$A1001&gt;AI$7)),0,MAX(0,ROUND((INDEX($E1001:$G1001,AI$5)-SUMIFS(TF_Timer,TF_Tekniker,AI$4,TF_Dato,$A1001))*2,0)/2)))</f>
        <v/>
      </c>
      <c r="AJ1001">
        <f>IF(OR(AJ$4="",$A1001&gt;TODAY()),0,IF(OR(INDEX($B1001:$D1001,AJ$5)="F",AND(AJ$6&gt;0,$A1001&lt;AJ$6),AND(AJ$7&gt;0,$A1001&gt;AJ$7)),0,MAX(0,ROUND((INDEX($E1001:$G1001,AJ$5)-SUMIFS(TF_Timer,TF_Tekniker,AJ$4,TF_Dato,$A1001))*2,0)/2)))</f>
        <v/>
      </c>
      <c r="AK1001">
        <f>IF(OR(AK$4="",$A1001&gt;TODAY()),0,IF(OR(INDEX($B1001:$D1001,AK$5)="F",AND(AK$6&gt;0,$A1001&lt;AK$6),AND(AK$7&gt;0,$A1001&gt;AK$7)),0,MAX(0,ROUND((INDEX($E1001:$G1001,AK$5)-SUMIFS(TF_Timer,TF_Tekniker,AK$4,TF_Dato,$A1001))*2,0)/2)))</f>
        <v/>
      </c>
      <c r="AL1001">
        <f>IF(OR(AL$4="",$A1001&gt;TODAY()),0,IF(OR(INDEX($B1001:$D1001,AL$5)="F",AND(AL$6&gt;0,$A1001&lt;AL$6),AND(AL$7&gt;0,$A1001&gt;AL$7)),0,MAX(0,ROUND((INDEX($E1001:$G1001,AL$5)-SUMIFS(TF_Timer,TF_Tekniker,AL$4,TF_Dato,$A1001))*2,0)/2)))</f>
        <v/>
      </c>
      <c r="AM1001">
        <f>IF(OR(AM$4="",$A1001&gt;TODAY()),0,IF(OR(INDEX($B1001:$D1001,AM$5)="F",AND(AM$6&gt;0,$A1001&lt;AM$6),AND(AM$7&gt;0,$A1001&gt;AM$7)),0,MAX(0,ROUND((INDEX($E1001:$G1001,AM$5)-SUMIFS(TF_Timer,TF_Tekniker,AM$4,TF_Dato,$A1001))*2,0)/2)))</f>
        <v/>
      </c>
      <c r="AN1001">
        <f>IF(OR(AN$4="",$A1001&gt;TODAY()),0,IF(OR(INDEX($B1001:$D1001,AN$5)="F",AND(AN$6&gt;0,$A1001&lt;AN$6),AND(AN$7&gt;0,$A1001&gt;AN$7)),0,MAX(0,ROUND((INDEX($E1001:$G1001,AN$5)-SUMIFS(TF_Timer,TF_Tekniker,AN$4,TF_Dato,$A1001))*2,0)/2)))</f>
        <v/>
      </c>
      <c r="AO1001">
        <f>IF(OR(AO$4="",$A1001&gt;TODAY()),0,IF(OR(INDEX($B1001:$D1001,AO$5)="F",AND(AO$6&gt;0,$A1001&lt;AO$6),AND(AO$7&gt;0,$A1001&gt;AO$7)),0,MAX(0,ROUND((INDEX($E1001:$G1001,AO$5)-SUMIFS(TF_Timer,TF_Tekniker,AO$4,TF_Dato,$A1001))*2,0)/2)))</f>
        <v/>
      </c>
      <c r="AP1001">
        <f>IF(OR(AP$4="",$A1001&gt;TODAY()),0,IF(OR(INDEX($B1001:$D1001,AP$5)="F",AND(AP$6&gt;0,$A1001&lt;AP$6),AND(AP$7&gt;0,$A1001&gt;AP$7)),0,MAX(0,ROUND((INDEX($E1001:$G1001,AP$5)-SUMIFS(TF_Timer,TF_Tekniker,AP$4,TF_Dato,$A1001))*2,0)/2)))</f>
        <v/>
      </c>
      <c r="AQ1001">
        <f>IF(OR(AQ$4="",$A1001&gt;TODAY()),0,IF(OR(INDEX($B1001:$D1001,AQ$5)="F",AND(AQ$6&gt;0,$A1001&lt;AQ$6),AND(AQ$7&gt;0,$A1001&gt;AQ$7)),0,MAX(0,ROUND((INDEX($E1001:$G1001,AQ$5)-SUMIFS(TF_Timer,TF_Tekniker,AQ$4,TF_Dato,$A1001))*2,0)/2)))</f>
        <v/>
      </c>
      <c r="AR1001">
        <f>IF(OR(AR$4="",$A1001&gt;TODAY()),0,IF(OR(INDEX($B1001:$D1001,AR$5)="F",AND(AR$6&gt;0,$A1001&lt;AR$6),AND(AR$7&gt;0,$A1001&gt;AR$7)),0,MAX(0,ROUND((INDEX($E1001:$G1001,AR$5)-SUMIFS(TF_Timer,TF_Tekniker,AR$4,TF_Dato,$A1001))*2,0)/2)))</f>
        <v/>
      </c>
      <c r="AS1001">
        <f>IF(OR(AS$4="",$A1001&gt;TODAY()),0,IF(OR(INDEX($B1001:$D1001,AS$5)="F",AND(AS$6&gt;0,$A1001&lt;AS$6),AND(AS$7&gt;0,$A1001&gt;AS$7)),0,MAX(0,ROUND((INDEX($E1001:$G1001,AS$5)-SUMIFS(TF_Timer,TF_Tekniker,AS$4,TF_Dato,$A1001))*2,0)/2)))</f>
        <v/>
      </c>
      <c r="AT1001">
        <f>IF(OR(AT$4="",$A1001&gt;TODAY()),0,IF(OR(INDEX($B1001:$D1001,AT$5)="F",AND(AT$6&gt;0,$A1001&lt;AT$6),AND(AT$7&gt;0,$A1001&gt;AT$7)),0,MAX(0,ROUND((INDEX($E1001:$G1001,AT$5)-SUMIFS(TF_Timer,TF_Tekniker,AT$4,TF_Dato,$A1001))*2,0)/2)))</f>
        <v/>
      </c>
      <c r="AU1001">
        <f>IF(OR(AU$4="",$A1001&gt;TODAY()),0,IF(OR(INDEX($B1001:$D1001,AU$5)="F",AND(AU$6&gt;0,$A1001&lt;AU$6),AND(AU$7&gt;0,$A1001&gt;AU$7)),0,MAX(0,ROUND((INDEX($E1001:$G1001,AU$5)-SUMIFS(TF_Timer,TF_Tekniker,AU$4,TF_Dato,$A1001))*2,0)/2)))</f>
        <v/>
      </c>
      <c r="AV1001">
        <f>IF(OR(AV$4="",$A1001&gt;TODAY()),0,IF(OR(INDEX($B1001:$D1001,AV$5)="F",AND(AV$6&gt;0,$A1001&lt;AV$6),AND(AV$7&gt;0,$A1001&gt;AV$7)),0,MAX(0,ROUND((INDEX($E1001:$G1001,AV$5)-SUMIFS(TF_Timer,TF_Tekniker,AV$4,TF_Dato,$A1001))*2,0)/2)))</f>
        <v/>
      </c>
      <c r="AW1001">
        <f>IF(OR(AW$4="",$A1001&gt;TODAY()),0,IF(OR(INDEX($B1001:$D1001,AW$5)="F",AND(AW$6&gt;0,$A1001&lt;AW$6),AND(AW$7&gt;0,$A1001&gt;AW$7)),0,MAX(0,ROUND((INDEX($E1001:$G1001,AW$5)-SUMIFS(TF_Timer,TF_Tekniker,AW$4,TF_Dato,$A1001))*2,0)/2)))</f>
        <v/>
      </c>
      <c r="AX1001">
        <f>IF(OR(AX$4="",$A1001&gt;TODAY()),0,IF(OR(INDEX($B1001:$D1001,AX$5)="F",AND(AX$6&gt;0,$A1001&lt;AX$6),AND(AX$7&gt;0,$A1001&gt;AX$7)),0,MAX(0,ROUND((INDEX($E1001:$G1001,AX$5)-SUMIFS(TF_Timer,TF_Tekniker,AX$4,TF_Dato,$A1001))*2,0)/2)))</f>
        <v/>
      </c>
      <c r="AY1001">
        <f>IF(OR(AY$4="",$A1001&gt;TODAY()),0,IF(OR(INDEX($B1001:$D1001,AY$5)="F",AND(AY$6&gt;0,$A1001&lt;AY$6),AND(AY$7&gt;0,$A1001&gt;AY$7)),0,MAX(0,ROUND((INDEX($E1001:$G1001,AY$5)-SUMIFS(TF_Timer,TF_Tekniker,AY$4,TF_Dato,$A1001))*2,0)/2)))</f>
        <v/>
      </c>
      <c r="AZ1001">
        <f>IF(OR(AZ$4="",$A1001&gt;TODAY()),0,IF(OR(INDEX($B1001:$D1001,AZ$5)="F",AND(AZ$6&gt;0,$A1001&lt;AZ$6),AND(AZ$7&gt;0,$A1001&gt;AZ$7)),0,MAX(0,ROUND((INDEX($E1001:$G1001,AZ$5)-SUMIFS(TF_Timer,TF_Tekniker,AZ$4,TF_Dato,$A1001))*2,0)/2)))</f>
        <v/>
      </c>
      <c r="BA1001">
        <f>IF(OR(BA$4="",$A1001&gt;TODAY()),0,IF(OR(INDEX($B1001:$D1001,BA$5)="F",AND(BA$6&gt;0,$A1001&lt;BA$6),AND(BA$7&gt;0,$A1001&gt;BA$7)),0,MAX(0,ROUND((INDEX($E1001:$G1001,BA$5)-SUMIFS(TF_Timer,TF_Tekniker,BA$4,TF_Dato,$A1001))*2,0)/2)))</f>
        <v/>
      </c>
      <c r="BB1001">
        <f>IF(OR(BB$4="",$A1001&gt;TODAY()),0,IF(OR(INDEX($B1001:$D1001,BB$5)="F",AND(BB$6&gt;0,$A1001&lt;BB$6),AND(BB$7&gt;0,$A1001&gt;BB$7)),0,MAX(0,ROUND((INDEX($E1001:$G1001,BB$5)-SUMIFS(TF_Timer,TF_Tekniker,BB$4,TF_Dato,$A1001))*2,0)/2)))</f>
        <v/>
      </c>
      <c r="BC1001">
        <f>IF(OR(BC$4="",$A1001&gt;TODAY()),0,IF(OR(INDEX($B1001:$D1001,BC$5)="F",AND(BC$6&gt;0,$A1001&lt;BC$6),AND(BC$7&gt;0,$A1001&gt;BC$7)),0,MAX(0,ROUND((INDEX($E1001:$G1001,BC$5)-SUMIFS(TF_Timer,TF_Tekniker,BC$4,TF_Dato,$A1001))*2,0)/2)))</f>
        <v/>
      </c>
      <c r="BD1001">
        <f>IF(OR(BD$4="",$A1001&gt;TODAY()),0,IF(OR(INDEX($B1001:$D1001,BD$5)="F",AND(BD$6&gt;0,$A1001&lt;BD$6),AND(BD$7&gt;0,$A1001&gt;BD$7)),0,MAX(0,ROUND((INDEX($E1001:$G1001,BD$5)-SUMIFS(TF_Timer,TF_Tekniker,BD$4,TF_Dato,$A1001))*2,0)/2)))</f>
        <v/>
      </c>
      <c r="BE1001">
        <f>IF(OR(BE$4="",$A1001&gt;TODAY()),0,IF(OR(INDEX($B1001:$D1001,BE$5)="F",AND(BE$6&gt;0,$A1001&lt;BE$6),AND(BE$7&gt;0,$A1001&gt;BE$7)),0,MAX(0,ROUND((INDEX($E1001:$G1001,BE$5)-SUMIFS(TF_Timer,TF_Tekniker,BE$4,TF_Dato,$A1001))*2,0)/2)))</f>
        <v/>
      </c>
      <c r="BF1001">
        <f>IF(OR(BF$4="",$A1001&gt;TODAY()),0,IF(OR(INDEX($B1001:$D1001,BF$5)="F",AND(BF$6&gt;0,$A1001&lt;BF$6),AND(BF$7&gt;0,$A1001&gt;BF$7)),0,MAX(0,ROUND((INDEX($E1001:$G1001,BF$5)-SUMIFS(TF_Timer,TF_Tekniker,BF$4,TF_Dato,$A1001))*2,0)/2)))</f>
        <v/>
      </c>
      <c r="BG1001">
        <f>IF(OR(BG$4="",$A1001&gt;TODAY()),0,IF(OR(INDEX($B1001:$D1001,BG$5)="F",AND(BG$6&gt;0,$A1001&lt;BG$6),AND(BG$7&gt;0,$A1001&gt;BG$7)),0,MAX(0,ROUND((INDEX($E1001:$G1001,BG$5)-SUMIFS(TF_Timer,TF_Tekniker,BG$4,TF_Dato,$A1001))*2,0)/2)))</f>
        <v/>
      </c>
      <c r="BH1001">
        <f>IF(OR(BH$4="",$A1001&gt;TODAY()),0,IF(OR(INDEX($B1001:$D1001,BH$5)="F",AND(BH$6&gt;0,$A1001&lt;BH$6),AND(BH$7&gt;0,$A1001&gt;BH$7)),0,MAX(0,ROUND((INDEX($E1001:$G1001,BH$5)-SUMIFS(TF_Timer,TF_Tekniker,BH$4,TF_Dato,$A1001))*2,0)/2)))</f>
        <v/>
      </c>
      <c r="BI1001">
        <f>IF(OR(BI$4="",$A1001&gt;TODAY()),0,IF(OR(INDEX($B1001:$D1001,BI$5)="F",AND(BI$6&gt;0,$A1001&lt;BI$6),AND(BI$7&gt;0,$A1001&gt;BI$7)),0,MAX(0,ROUND((INDEX($E1001:$G1001,BI$5)-SUMIFS(TF_Timer,TF_Tekniker,BI$4,TF_Dato,$A1001))*2,0)/2)))</f>
        <v/>
      </c>
    </row>
    <row r="1002">
      <c r="A1002" s="64">
        <f>A1001+1</f>
        <v/>
      </c>
      <c r="B1002">
        <f>IF(MOD($A1002-INDEX(SkiftStart,1),Syklus)&lt;DagK,"K",IF(MOD($A1002-INDEX(SkiftStart,1),Syklus)&lt;DagK+DagH,"H",IF(MOD($A1002-INDEX(SkiftStart,1),Syklus)&lt;DagK+DagH+DagD,"D","F")))</f>
        <v/>
      </c>
      <c r="C1002">
        <f>IF(MOD($A1002-INDEX(SkiftStart,2),Syklus)&lt;DagK,"K",IF(MOD($A1002-INDEX(SkiftStart,2),Syklus)&lt;DagK+DagH,"H",IF(MOD($A1002-INDEX(SkiftStart,2),Syklus)&lt;DagK+DagH+DagD,"D","F")))</f>
        <v/>
      </c>
      <c r="D1002">
        <f>IF(MOD($A1002-INDEX(SkiftStart,3),Syklus)&lt;DagK,"K",IF(MOD($A1002-INDEX(SkiftStart,3),Syklus)&lt;DagK+DagH,"H",IF(MOD($A1002-INDEX(SkiftStart,3),Syklus)&lt;DagK+DagH+DagD,"D","F")))</f>
        <v/>
      </c>
      <c r="E1002">
        <f>IF(B1002="F",0,IF(WEEKDAY($A1002,2)=5,INDEX(TimerFr,MATCH(B1002,FaseKode,0)),INDEX(TimerMT,MATCH(B1002,FaseKode,0))))</f>
        <v/>
      </c>
      <c r="F1002">
        <f>IF(C1002="F",0,IF(WEEKDAY($A1002,2)=5,INDEX(TimerFr,MATCH(C1002,FaseKode,0)),INDEX(TimerMT,MATCH(C1002,FaseKode,0))))</f>
        <v/>
      </c>
      <c r="G1002">
        <f>IF(D1002="F",0,IF(WEEKDAY($A1002,2)=5,INDEX(TimerFr,MATCH(D1002,FaseKode,0)),INDEX(TimerMT,MATCH(D1002,FaseKode,0))))</f>
        <v/>
      </c>
      <c r="H1002">
        <f>IF(OR(H$4="",$A1002&gt;TODAY()),0,IF(OR(INDEX($B1002:$D1002,H$5)="F",AND(H$6&gt;0,$A1002&lt;H$6),AND(H$7&gt;0,$A1002&gt;H$7)),0,MAX(0,ROUND((INDEX($E1002:$G1002,H$5)-SUMIFS(TF_Timer,TF_Tekniker,H$4,TF_Dato,$A1002))*2,0)/2)))</f>
        <v/>
      </c>
      <c r="I1002">
        <f>IF(OR(I$4="",$A1002&gt;TODAY()),0,IF(OR(INDEX($B1002:$D1002,I$5)="F",AND(I$6&gt;0,$A1002&lt;I$6),AND(I$7&gt;0,$A1002&gt;I$7)),0,MAX(0,ROUND((INDEX($E1002:$G1002,I$5)-SUMIFS(TF_Timer,TF_Tekniker,I$4,TF_Dato,$A1002))*2,0)/2)))</f>
        <v/>
      </c>
      <c r="J1002">
        <f>IF(OR(J$4="",$A1002&gt;TODAY()),0,IF(OR(INDEX($B1002:$D1002,J$5)="F",AND(J$6&gt;0,$A1002&lt;J$6),AND(J$7&gt;0,$A1002&gt;J$7)),0,MAX(0,ROUND((INDEX($E1002:$G1002,J$5)-SUMIFS(TF_Timer,TF_Tekniker,J$4,TF_Dato,$A1002))*2,0)/2)))</f>
        <v/>
      </c>
      <c r="K1002">
        <f>IF(OR(K$4="",$A1002&gt;TODAY()),0,IF(OR(INDEX($B1002:$D1002,K$5)="F",AND(K$6&gt;0,$A1002&lt;K$6),AND(K$7&gt;0,$A1002&gt;K$7)),0,MAX(0,ROUND((INDEX($E1002:$G1002,K$5)-SUMIFS(TF_Timer,TF_Tekniker,K$4,TF_Dato,$A1002))*2,0)/2)))</f>
        <v/>
      </c>
      <c r="L1002">
        <f>IF(OR(L$4="",$A1002&gt;TODAY()),0,IF(OR(INDEX($B1002:$D1002,L$5)="F",AND(L$6&gt;0,$A1002&lt;L$6),AND(L$7&gt;0,$A1002&gt;L$7)),0,MAX(0,ROUND((INDEX($E1002:$G1002,L$5)-SUMIFS(TF_Timer,TF_Tekniker,L$4,TF_Dato,$A1002))*2,0)/2)))</f>
        <v/>
      </c>
      <c r="M1002">
        <f>IF(OR(M$4="",$A1002&gt;TODAY()),0,IF(OR(INDEX($B1002:$D1002,M$5)="F",AND(M$6&gt;0,$A1002&lt;M$6),AND(M$7&gt;0,$A1002&gt;M$7)),0,MAX(0,ROUND((INDEX($E1002:$G1002,M$5)-SUMIFS(TF_Timer,TF_Tekniker,M$4,TF_Dato,$A1002))*2,0)/2)))</f>
        <v/>
      </c>
      <c r="N1002">
        <f>IF(OR(N$4="",$A1002&gt;TODAY()),0,IF(OR(INDEX($B1002:$D1002,N$5)="F",AND(N$6&gt;0,$A1002&lt;N$6),AND(N$7&gt;0,$A1002&gt;N$7)),0,MAX(0,ROUND((INDEX($E1002:$G1002,N$5)-SUMIFS(TF_Timer,TF_Tekniker,N$4,TF_Dato,$A1002))*2,0)/2)))</f>
        <v/>
      </c>
      <c r="O1002">
        <f>IF(OR(O$4="",$A1002&gt;TODAY()),0,IF(OR(INDEX($B1002:$D1002,O$5)="F",AND(O$6&gt;0,$A1002&lt;O$6),AND(O$7&gt;0,$A1002&gt;O$7)),0,MAX(0,ROUND((INDEX($E1002:$G1002,O$5)-SUMIFS(TF_Timer,TF_Tekniker,O$4,TF_Dato,$A1002))*2,0)/2)))</f>
        <v/>
      </c>
      <c r="P1002">
        <f>IF(OR(P$4="",$A1002&gt;TODAY()),0,IF(OR(INDEX($B1002:$D1002,P$5)="F",AND(P$6&gt;0,$A1002&lt;P$6),AND(P$7&gt;0,$A1002&gt;P$7)),0,MAX(0,ROUND((INDEX($E1002:$G1002,P$5)-SUMIFS(TF_Timer,TF_Tekniker,P$4,TF_Dato,$A1002))*2,0)/2)))</f>
        <v/>
      </c>
      <c r="Q1002">
        <f>IF(OR(Q$4="",$A1002&gt;TODAY()),0,IF(OR(INDEX($B1002:$D1002,Q$5)="F",AND(Q$6&gt;0,$A1002&lt;Q$6),AND(Q$7&gt;0,$A1002&gt;Q$7)),0,MAX(0,ROUND((INDEX($E1002:$G1002,Q$5)-SUMIFS(TF_Timer,TF_Tekniker,Q$4,TF_Dato,$A1002))*2,0)/2)))</f>
        <v/>
      </c>
      <c r="R1002">
        <f>IF(OR(R$4="",$A1002&gt;TODAY()),0,IF(OR(INDEX($B1002:$D1002,R$5)="F",AND(R$6&gt;0,$A1002&lt;R$6),AND(R$7&gt;0,$A1002&gt;R$7)),0,MAX(0,ROUND((INDEX($E1002:$G1002,R$5)-SUMIFS(TF_Timer,TF_Tekniker,R$4,TF_Dato,$A1002))*2,0)/2)))</f>
        <v/>
      </c>
      <c r="S1002">
        <f>IF(OR(S$4="",$A1002&gt;TODAY()),0,IF(OR(INDEX($B1002:$D1002,S$5)="F",AND(S$6&gt;0,$A1002&lt;S$6),AND(S$7&gt;0,$A1002&gt;S$7)),0,MAX(0,ROUND((INDEX($E1002:$G1002,S$5)-SUMIFS(TF_Timer,TF_Tekniker,S$4,TF_Dato,$A1002))*2,0)/2)))</f>
        <v/>
      </c>
      <c r="T1002">
        <f>IF(OR(T$4="",$A1002&gt;TODAY()),0,IF(OR(INDEX($B1002:$D1002,T$5)="F",AND(T$6&gt;0,$A1002&lt;T$6),AND(T$7&gt;0,$A1002&gt;T$7)),0,MAX(0,ROUND((INDEX($E1002:$G1002,T$5)-SUMIFS(TF_Timer,TF_Tekniker,T$4,TF_Dato,$A1002))*2,0)/2)))</f>
        <v/>
      </c>
      <c r="U1002">
        <f>IF(OR(U$4="",$A1002&gt;TODAY()),0,IF(OR(INDEX($B1002:$D1002,U$5)="F",AND(U$6&gt;0,$A1002&lt;U$6),AND(U$7&gt;0,$A1002&gt;U$7)),0,MAX(0,ROUND((INDEX($E1002:$G1002,U$5)-SUMIFS(TF_Timer,TF_Tekniker,U$4,TF_Dato,$A1002))*2,0)/2)))</f>
        <v/>
      </c>
      <c r="V1002">
        <f>IF(OR(V$4="",$A1002&gt;TODAY()),0,IF(OR(INDEX($B1002:$D1002,V$5)="F",AND(V$6&gt;0,$A1002&lt;V$6),AND(V$7&gt;0,$A1002&gt;V$7)),0,MAX(0,ROUND((INDEX($E1002:$G1002,V$5)-SUMIFS(TF_Timer,TF_Tekniker,V$4,TF_Dato,$A1002))*2,0)/2)))</f>
        <v/>
      </c>
      <c r="W1002">
        <f>IF(OR(W$4="",$A1002&gt;TODAY()),0,IF(OR(INDEX($B1002:$D1002,W$5)="F",AND(W$6&gt;0,$A1002&lt;W$6),AND(W$7&gt;0,$A1002&gt;W$7)),0,MAX(0,ROUND((INDEX($E1002:$G1002,W$5)-SUMIFS(TF_Timer,TF_Tekniker,W$4,TF_Dato,$A1002))*2,0)/2)))</f>
        <v/>
      </c>
      <c r="X1002">
        <f>IF(OR(X$4="",$A1002&gt;TODAY()),0,IF(OR(INDEX($B1002:$D1002,X$5)="F",AND(X$6&gt;0,$A1002&lt;X$6),AND(X$7&gt;0,$A1002&gt;X$7)),0,MAX(0,ROUND((INDEX($E1002:$G1002,X$5)-SUMIFS(TF_Timer,TF_Tekniker,X$4,TF_Dato,$A1002))*2,0)/2)))</f>
        <v/>
      </c>
      <c r="Y1002">
        <f>IF(OR(Y$4="",$A1002&gt;TODAY()),0,IF(OR(INDEX($B1002:$D1002,Y$5)="F",AND(Y$6&gt;0,$A1002&lt;Y$6),AND(Y$7&gt;0,$A1002&gt;Y$7)),0,MAX(0,ROUND((INDEX($E1002:$G1002,Y$5)-SUMIFS(TF_Timer,TF_Tekniker,Y$4,TF_Dato,$A1002))*2,0)/2)))</f>
        <v/>
      </c>
      <c r="Z1002">
        <f>IF(OR(Z$4="",$A1002&gt;TODAY()),0,IF(OR(INDEX($B1002:$D1002,Z$5)="F",AND(Z$6&gt;0,$A1002&lt;Z$6),AND(Z$7&gt;0,$A1002&gt;Z$7)),0,MAX(0,ROUND((INDEX($E1002:$G1002,Z$5)-SUMIFS(TF_Timer,TF_Tekniker,Z$4,TF_Dato,$A1002))*2,0)/2)))</f>
        <v/>
      </c>
      <c r="AA1002">
        <f>IF(OR(AA$4="",$A1002&gt;TODAY()),0,IF(OR(INDEX($B1002:$D1002,AA$5)="F",AND(AA$6&gt;0,$A1002&lt;AA$6),AND(AA$7&gt;0,$A1002&gt;AA$7)),0,MAX(0,ROUND((INDEX($E1002:$G1002,AA$5)-SUMIFS(TF_Timer,TF_Tekniker,AA$4,TF_Dato,$A1002))*2,0)/2)))</f>
        <v/>
      </c>
      <c r="AB1002">
        <f>IF(OR(AB$4="",$A1002&gt;TODAY()),0,IF(OR(INDEX($B1002:$D1002,AB$5)="F",AND(AB$6&gt;0,$A1002&lt;AB$6),AND(AB$7&gt;0,$A1002&gt;AB$7)),0,MAX(0,ROUND((INDEX($E1002:$G1002,AB$5)-SUMIFS(TF_Timer,TF_Tekniker,AB$4,TF_Dato,$A1002))*2,0)/2)))</f>
        <v/>
      </c>
      <c r="AC1002">
        <f>IF(OR(AC$4="",$A1002&gt;TODAY()),0,IF(OR(INDEX($B1002:$D1002,AC$5)="F",AND(AC$6&gt;0,$A1002&lt;AC$6),AND(AC$7&gt;0,$A1002&gt;AC$7)),0,MAX(0,ROUND((INDEX($E1002:$G1002,AC$5)-SUMIFS(TF_Timer,TF_Tekniker,AC$4,TF_Dato,$A1002))*2,0)/2)))</f>
        <v/>
      </c>
      <c r="AD1002">
        <f>IF(OR(AD$4="",$A1002&gt;TODAY()),0,IF(OR(INDEX($B1002:$D1002,AD$5)="F",AND(AD$6&gt;0,$A1002&lt;AD$6),AND(AD$7&gt;0,$A1002&gt;AD$7)),0,MAX(0,ROUND((INDEX($E1002:$G1002,AD$5)-SUMIFS(TF_Timer,TF_Tekniker,AD$4,TF_Dato,$A1002))*2,0)/2)))</f>
        <v/>
      </c>
      <c r="AE1002">
        <f>IF(OR(AE$4="",$A1002&gt;TODAY()),0,IF(OR(INDEX($B1002:$D1002,AE$5)="F",AND(AE$6&gt;0,$A1002&lt;AE$6),AND(AE$7&gt;0,$A1002&gt;AE$7)),0,MAX(0,ROUND((INDEX($E1002:$G1002,AE$5)-SUMIFS(TF_Timer,TF_Tekniker,AE$4,TF_Dato,$A1002))*2,0)/2)))</f>
        <v/>
      </c>
      <c r="AF1002">
        <f>IF(OR(AF$4="",$A1002&gt;TODAY()),0,IF(OR(INDEX($B1002:$D1002,AF$5)="F",AND(AF$6&gt;0,$A1002&lt;AF$6),AND(AF$7&gt;0,$A1002&gt;AF$7)),0,MAX(0,ROUND((INDEX($E1002:$G1002,AF$5)-SUMIFS(TF_Timer,TF_Tekniker,AF$4,TF_Dato,$A1002))*2,0)/2)))</f>
        <v/>
      </c>
      <c r="AG1002">
        <f>IF(OR(AG$4="",$A1002&gt;TODAY()),0,IF(OR(INDEX($B1002:$D1002,AG$5)="F",AND(AG$6&gt;0,$A1002&lt;AG$6),AND(AG$7&gt;0,$A1002&gt;AG$7)),0,MAX(0,ROUND((INDEX($E1002:$G1002,AG$5)-SUMIFS(TF_Timer,TF_Tekniker,AG$4,TF_Dato,$A1002))*2,0)/2)))</f>
        <v/>
      </c>
      <c r="AH1002">
        <f>IF(OR(AH$4="",$A1002&gt;TODAY()),0,IF(OR(INDEX($B1002:$D1002,AH$5)="F",AND(AH$6&gt;0,$A1002&lt;AH$6),AND(AH$7&gt;0,$A1002&gt;AH$7)),0,MAX(0,ROUND((INDEX($E1002:$G1002,AH$5)-SUMIFS(TF_Timer,TF_Tekniker,AH$4,TF_Dato,$A1002))*2,0)/2)))</f>
        <v/>
      </c>
      <c r="AI1002">
        <f>IF(OR(AI$4="",$A1002&gt;TODAY()),0,IF(OR(INDEX($B1002:$D1002,AI$5)="F",AND(AI$6&gt;0,$A1002&lt;AI$6),AND(AI$7&gt;0,$A1002&gt;AI$7)),0,MAX(0,ROUND((INDEX($E1002:$G1002,AI$5)-SUMIFS(TF_Timer,TF_Tekniker,AI$4,TF_Dato,$A1002))*2,0)/2)))</f>
        <v/>
      </c>
      <c r="AJ1002">
        <f>IF(OR(AJ$4="",$A1002&gt;TODAY()),0,IF(OR(INDEX($B1002:$D1002,AJ$5)="F",AND(AJ$6&gt;0,$A1002&lt;AJ$6),AND(AJ$7&gt;0,$A1002&gt;AJ$7)),0,MAX(0,ROUND((INDEX($E1002:$G1002,AJ$5)-SUMIFS(TF_Timer,TF_Tekniker,AJ$4,TF_Dato,$A1002))*2,0)/2)))</f>
        <v/>
      </c>
      <c r="AK1002">
        <f>IF(OR(AK$4="",$A1002&gt;TODAY()),0,IF(OR(INDEX($B1002:$D1002,AK$5)="F",AND(AK$6&gt;0,$A1002&lt;AK$6),AND(AK$7&gt;0,$A1002&gt;AK$7)),0,MAX(0,ROUND((INDEX($E1002:$G1002,AK$5)-SUMIFS(TF_Timer,TF_Tekniker,AK$4,TF_Dato,$A1002))*2,0)/2)))</f>
        <v/>
      </c>
      <c r="AL1002">
        <f>IF(OR(AL$4="",$A1002&gt;TODAY()),0,IF(OR(INDEX($B1002:$D1002,AL$5)="F",AND(AL$6&gt;0,$A1002&lt;AL$6),AND(AL$7&gt;0,$A1002&gt;AL$7)),0,MAX(0,ROUND((INDEX($E1002:$G1002,AL$5)-SUMIFS(TF_Timer,TF_Tekniker,AL$4,TF_Dato,$A1002))*2,0)/2)))</f>
        <v/>
      </c>
      <c r="AM1002">
        <f>IF(OR(AM$4="",$A1002&gt;TODAY()),0,IF(OR(INDEX($B1002:$D1002,AM$5)="F",AND(AM$6&gt;0,$A1002&lt;AM$6),AND(AM$7&gt;0,$A1002&gt;AM$7)),0,MAX(0,ROUND((INDEX($E1002:$G1002,AM$5)-SUMIFS(TF_Timer,TF_Tekniker,AM$4,TF_Dato,$A1002))*2,0)/2)))</f>
        <v/>
      </c>
      <c r="AN1002">
        <f>IF(OR(AN$4="",$A1002&gt;TODAY()),0,IF(OR(INDEX($B1002:$D1002,AN$5)="F",AND(AN$6&gt;0,$A1002&lt;AN$6),AND(AN$7&gt;0,$A1002&gt;AN$7)),0,MAX(0,ROUND((INDEX($E1002:$G1002,AN$5)-SUMIFS(TF_Timer,TF_Tekniker,AN$4,TF_Dato,$A1002))*2,0)/2)))</f>
        <v/>
      </c>
      <c r="AO1002">
        <f>IF(OR(AO$4="",$A1002&gt;TODAY()),0,IF(OR(INDEX($B1002:$D1002,AO$5)="F",AND(AO$6&gt;0,$A1002&lt;AO$6),AND(AO$7&gt;0,$A1002&gt;AO$7)),0,MAX(0,ROUND((INDEX($E1002:$G1002,AO$5)-SUMIFS(TF_Timer,TF_Tekniker,AO$4,TF_Dato,$A1002))*2,0)/2)))</f>
        <v/>
      </c>
      <c r="AP1002">
        <f>IF(OR(AP$4="",$A1002&gt;TODAY()),0,IF(OR(INDEX($B1002:$D1002,AP$5)="F",AND(AP$6&gt;0,$A1002&lt;AP$6),AND(AP$7&gt;0,$A1002&gt;AP$7)),0,MAX(0,ROUND((INDEX($E1002:$G1002,AP$5)-SUMIFS(TF_Timer,TF_Tekniker,AP$4,TF_Dato,$A1002))*2,0)/2)))</f>
        <v/>
      </c>
      <c r="AQ1002">
        <f>IF(OR(AQ$4="",$A1002&gt;TODAY()),0,IF(OR(INDEX($B1002:$D1002,AQ$5)="F",AND(AQ$6&gt;0,$A1002&lt;AQ$6),AND(AQ$7&gt;0,$A1002&gt;AQ$7)),0,MAX(0,ROUND((INDEX($E1002:$G1002,AQ$5)-SUMIFS(TF_Timer,TF_Tekniker,AQ$4,TF_Dato,$A1002))*2,0)/2)))</f>
        <v/>
      </c>
      <c r="AR1002">
        <f>IF(OR(AR$4="",$A1002&gt;TODAY()),0,IF(OR(INDEX($B1002:$D1002,AR$5)="F",AND(AR$6&gt;0,$A1002&lt;AR$6),AND(AR$7&gt;0,$A1002&gt;AR$7)),0,MAX(0,ROUND((INDEX($E1002:$G1002,AR$5)-SUMIFS(TF_Timer,TF_Tekniker,AR$4,TF_Dato,$A1002))*2,0)/2)))</f>
        <v/>
      </c>
      <c r="AS1002">
        <f>IF(OR(AS$4="",$A1002&gt;TODAY()),0,IF(OR(INDEX($B1002:$D1002,AS$5)="F",AND(AS$6&gt;0,$A1002&lt;AS$6),AND(AS$7&gt;0,$A1002&gt;AS$7)),0,MAX(0,ROUND((INDEX($E1002:$G1002,AS$5)-SUMIFS(TF_Timer,TF_Tekniker,AS$4,TF_Dato,$A1002))*2,0)/2)))</f>
        <v/>
      </c>
      <c r="AT1002">
        <f>IF(OR(AT$4="",$A1002&gt;TODAY()),0,IF(OR(INDEX($B1002:$D1002,AT$5)="F",AND(AT$6&gt;0,$A1002&lt;AT$6),AND(AT$7&gt;0,$A1002&gt;AT$7)),0,MAX(0,ROUND((INDEX($E1002:$G1002,AT$5)-SUMIFS(TF_Timer,TF_Tekniker,AT$4,TF_Dato,$A1002))*2,0)/2)))</f>
        <v/>
      </c>
      <c r="AU1002">
        <f>IF(OR(AU$4="",$A1002&gt;TODAY()),0,IF(OR(INDEX($B1002:$D1002,AU$5)="F",AND(AU$6&gt;0,$A1002&lt;AU$6),AND(AU$7&gt;0,$A1002&gt;AU$7)),0,MAX(0,ROUND((INDEX($E1002:$G1002,AU$5)-SUMIFS(TF_Timer,TF_Tekniker,AU$4,TF_Dato,$A1002))*2,0)/2)))</f>
        <v/>
      </c>
      <c r="AV1002">
        <f>IF(OR(AV$4="",$A1002&gt;TODAY()),0,IF(OR(INDEX($B1002:$D1002,AV$5)="F",AND(AV$6&gt;0,$A1002&lt;AV$6),AND(AV$7&gt;0,$A1002&gt;AV$7)),0,MAX(0,ROUND((INDEX($E1002:$G1002,AV$5)-SUMIFS(TF_Timer,TF_Tekniker,AV$4,TF_Dato,$A1002))*2,0)/2)))</f>
        <v/>
      </c>
      <c r="AW1002">
        <f>IF(OR(AW$4="",$A1002&gt;TODAY()),0,IF(OR(INDEX($B1002:$D1002,AW$5)="F",AND(AW$6&gt;0,$A1002&lt;AW$6),AND(AW$7&gt;0,$A1002&gt;AW$7)),0,MAX(0,ROUND((INDEX($E1002:$G1002,AW$5)-SUMIFS(TF_Timer,TF_Tekniker,AW$4,TF_Dato,$A1002))*2,0)/2)))</f>
        <v/>
      </c>
      <c r="AX1002">
        <f>IF(OR(AX$4="",$A1002&gt;TODAY()),0,IF(OR(INDEX($B1002:$D1002,AX$5)="F",AND(AX$6&gt;0,$A1002&lt;AX$6),AND(AX$7&gt;0,$A1002&gt;AX$7)),0,MAX(0,ROUND((INDEX($E1002:$G1002,AX$5)-SUMIFS(TF_Timer,TF_Tekniker,AX$4,TF_Dato,$A1002))*2,0)/2)))</f>
        <v/>
      </c>
      <c r="AY1002">
        <f>IF(OR(AY$4="",$A1002&gt;TODAY()),0,IF(OR(INDEX($B1002:$D1002,AY$5)="F",AND(AY$6&gt;0,$A1002&lt;AY$6),AND(AY$7&gt;0,$A1002&gt;AY$7)),0,MAX(0,ROUND((INDEX($E1002:$G1002,AY$5)-SUMIFS(TF_Timer,TF_Tekniker,AY$4,TF_Dato,$A1002))*2,0)/2)))</f>
        <v/>
      </c>
      <c r="AZ1002">
        <f>IF(OR(AZ$4="",$A1002&gt;TODAY()),0,IF(OR(INDEX($B1002:$D1002,AZ$5)="F",AND(AZ$6&gt;0,$A1002&lt;AZ$6),AND(AZ$7&gt;0,$A1002&gt;AZ$7)),0,MAX(0,ROUND((INDEX($E1002:$G1002,AZ$5)-SUMIFS(TF_Timer,TF_Tekniker,AZ$4,TF_Dato,$A1002))*2,0)/2)))</f>
        <v/>
      </c>
      <c r="BA1002">
        <f>IF(OR(BA$4="",$A1002&gt;TODAY()),0,IF(OR(INDEX($B1002:$D1002,BA$5)="F",AND(BA$6&gt;0,$A1002&lt;BA$6),AND(BA$7&gt;0,$A1002&gt;BA$7)),0,MAX(0,ROUND((INDEX($E1002:$G1002,BA$5)-SUMIFS(TF_Timer,TF_Tekniker,BA$4,TF_Dato,$A1002))*2,0)/2)))</f>
        <v/>
      </c>
      <c r="BB1002">
        <f>IF(OR(BB$4="",$A1002&gt;TODAY()),0,IF(OR(INDEX($B1002:$D1002,BB$5)="F",AND(BB$6&gt;0,$A1002&lt;BB$6),AND(BB$7&gt;0,$A1002&gt;BB$7)),0,MAX(0,ROUND((INDEX($E1002:$G1002,BB$5)-SUMIFS(TF_Timer,TF_Tekniker,BB$4,TF_Dato,$A1002))*2,0)/2)))</f>
        <v/>
      </c>
      <c r="BC1002">
        <f>IF(OR(BC$4="",$A1002&gt;TODAY()),0,IF(OR(INDEX($B1002:$D1002,BC$5)="F",AND(BC$6&gt;0,$A1002&lt;BC$6),AND(BC$7&gt;0,$A1002&gt;BC$7)),0,MAX(0,ROUND((INDEX($E1002:$G1002,BC$5)-SUMIFS(TF_Timer,TF_Tekniker,BC$4,TF_Dato,$A1002))*2,0)/2)))</f>
        <v/>
      </c>
      <c r="BD1002">
        <f>IF(OR(BD$4="",$A1002&gt;TODAY()),0,IF(OR(INDEX($B1002:$D1002,BD$5)="F",AND(BD$6&gt;0,$A1002&lt;BD$6),AND(BD$7&gt;0,$A1002&gt;BD$7)),0,MAX(0,ROUND((INDEX($E1002:$G1002,BD$5)-SUMIFS(TF_Timer,TF_Tekniker,BD$4,TF_Dato,$A1002))*2,0)/2)))</f>
        <v/>
      </c>
      <c r="BE1002">
        <f>IF(OR(BE$4="",$A1002&gt;TODAY()),0,IF(OR(INDEX($B1002:$D1002,BE$5)="F",AND(BE$6&gt;0,$A1002&lt;BE$6),AND(BE$7&gt;0,$A1002&gt;BE$7)),0,MAX(0,ROUND((INDEX($E1002:$G1002,BE$5)-SUMIFS(TF_Timer,TF_Tekniker,BE$4,TF_Dato,$A1002))*2,0)/2)))</f>
        <v/>
      </c>
      <c r="BF1002">
        <f>IF(OR(BF$4="",$A1002&gt;TODAY()),0,IF(OR(INDEX($B1002:$D1002,BF$5)="F",AND(BF$6&gt;0,$A1002&lt;BF$6),AND(BF$7&gt;0,$A1002&gt;BF$7)),0,MAX(0,ROUND((INDEX($E1002:$G1002,BF$5)-SUMIFS(TF_Timer,TF_Tekniker,BF$4,TF_Dato,$A1002))*2,0)/2)))</f>
        <v/>
      </c>
      <c r="BG1002">
        <f>IF(OR(BG$4="",$A1002&gt;TODAY()),0,IF(OR(INDEX($B1002:$D1002,BG$5)="F",AND(BG$6&gt;0,$A1002&lt;BG$6),AND(BG$7&gt;0,$A1002&gt;BG$7)),0,MAX(0,ROUND((INDEX($E1002:$G1002,BG$5)-SUMIFS(TF_Timer,TF_Tekniker,BG$4,TF_Dato,$A1002))*2,0)/2)))</f>
        <v/>
      </c>
      <c r="BH1002">
        <f>IF(OR(BH$4="",$A1002&gt;TODAY()),0,IF(OR(INDEX($B1002:$D1002,BH$5)="F",AND(BH$6&gt;0,$A1002&lt;BH$6),AND(BH$7&gt;0,$A1002&gt;BH$7)),0,MAX(0,ROUND((INDEX($E1002:$G1002,BH$5)-SUMIFS(TF_Timer,TF_Tekniker,BH$4,TF_Dato,$A1002))*2,0)/2)))</f>
        <v/>
      </c>
      <c r="BI1002">
        <f>IF(OR(BI$4="",$A1002&gt;TODAY()),0,IF(OR(INDEX($B1002:$D1002,BI$5)="F",AND(BI$6&gt;0,$A1002&lt;BI$6),AND(BI$7&gt;0,$A1002&gt;BI$7)),0,MAX(0,ROUND((INDEX($E1002:$G1002,BI$5)-SUMIFS(TF_Timer,TF_Tekniker,BI$4,TF_Dato,$A1002))*2,0)/2)))</f>
        <v/>
      </c>
    </row>
    <row r="1003">
      <c r="A1003" s="64">
        <f>A1002+1</f>
        <v/>
      </c>
      <c r="B1003">
        <f>IF(MOD($A1003-INDEX(SkiftStart,1),Syklus)&lt;DagK,"K",IF(MOD($A1003-INDEX(SkiftStart,1),Syklus)&lt;DagK+DagH,"H",IF(MOD($A1003-INDEX(SkiftStart,1),Syklus)&lt;DagK+DagH+DagD,"D","F")))</f>
        <v/>
      </c>
      <c r="C1003">
        <f>IF(MOD($A1003-INDEX(SkiftStart,2),Syklus)&lt;DagK,"K",IF(MOD($A1003-INDEX(SkiftStart,2),Syklus)&lt;DagK+DagH,"H",IF(MOD($A1003-INDEX(SkiftStart,2),Syklus)&lt;DagK+DagH+DagD,"D","F")))</f>
        <v/>
      </c>
      <c r="D1003">
        <f>IF(MOD($A1003-INDEX(SkiftStart,3),Syklus)&lt;DagK,"K",IF(MOD($A1003-INDEX(SkiftStart,3),Syklus)&lt;DagK+DagH,"H",IF(MOD($A1003-INDEX(SkiftStart,3),Syklus)&lt;DagK+DagH+DagD,"D","F")))</f>
        <v/>
      </c>
      <c r="E1003">
        <f>IF(B1003="F",0,IF(WEEKDAY($A1003,2)=5,INDEX(TimerFr,MATCH(B1003,FaseKode,0)),INDEX(TimerMT,MATCH(B1003,FaseKode,0))))</f>
        <v/>
      </c>
      <c r="F1003">
        <f>IF(C1003="F",0,IF(WEEKDAY($A1003,2)=5,INDEX(TimerFr,MATCH(C1003,FaseKode,0)),INDEX(TimerMT,MATCH(C1003,FaseKode,0))))</f>
        <v/>
      </c>
      <c r="G1003">
        <f>IF(D1003="F",0,IF(WEEKDAY($A1003,2)=5,INDEX(TimerFr,MATCH(D1003,FaseKode,0)),INDEX(TimerMT,MATCH(D1003,FaseKode,0))))</f>
        <v/>
      </c>
      <c r="H1003">
        <f>IF(OR(H$4="",$A1003&gt;TODAY()),0,IF(OR(INDEX($B1003:$D1003,H$5)="F",AND(H$6&gt;0,$A1003&lt;H$6),AND(H$7&gt;0,$A1003&gt;H$7)),0,MAX(0,ROUND((INDEX($E1003:$G1003,H$5)-SUMIFS(TF_Timer,TF_Tekniker,H$4,TF_Dato,$A1003))*2,0)/2)))</f>
        <v/>
      </c>
      <c r="I1003">
        <f>IF(OR(I$4="",$A1003&gt;TODAY()),0,IF(OR(INDEX($B1003:$D1003,I$5)="F",AND(I$6&gt;0,$A1003&lt;I$6),AND(I$7&gt;0,$A1003&gt;I$7)),0,MAX(0,ROUND((INDEX($E1003:$G1003,I$5)-SUMIFS(TF_Timer,TF_Tekniker,I$4,TF_Dato,$A1003))*2,0)/2)))</f>
        <v/>
      </c>
      <c r="J1003">
        <f>IF(OR(J$4="",$A1003&gt;TODAY()),0,IF(OR(INDEX($B1003:$D1003,J$5)="F",AND(J$6&gt;0,$A1003&lt;J$6),AND(J$7&gt;0,$A1003&gt;J$7)),0,MAX(0,ROUND((INDEX($E1003:$G1003,J$5)-SUMIFS(TF_Timer,TF_Tekniker,J$4,TF_Dato,$A1003))*2,0)/2)))</f>
        <v/>
      </c>
      <c r="K1003">
        <f>IF(OR(K$4="",$A1003&gt;TODAY()),0,IF(OR(INDEX($B1003:$D1003,K$5)="F",AND(K$6&gt;0,$A1003&lt;K$6),AND(K$7&gt;0,$A1003&gt;K$7)),0,MAX(0,ROUND((INDEX($E1003:$G1003,K$5)-SUMIFS(TF_Timer,TF_Tekniker,K$4,TF_Dato,$A1003))*2,0)/2)))</f>
        <v/>
      </c>
      <c r="L1003">
        <f>IF(OR(L$4="",$A1003&gt;TODAY()),0,IF(OR(INDEX($B1003:$D1003,L$5)="F",AND(L$6&gt;0,$A1003&lt;L$6),AND(L$7&gt;0,$A1003&gt;L$7)),0,MAX(0,ROUND((INDEX($E1003:$G1003,L$5)-SUMIFS(TF_Timer,TF_Tekniker,L$4,TF_Dato,$A1003))*2,0)/2)))</f>
        <v/>
      </c>
      <c r="M1003">
        <f>IF(OR(M$4="",$A1003&gt;TODAY()),0,IF(OR(INDEX($B1003:$D1003,M$5)="F",AND(M$6&gt;0,$A1003&lt;M$6),AND(M$7&gt;0,$A1003&gt;M$7)),0,MAX(0,ROUND((INDEX($E1003:$G1003,M$5)-SUMIFS(TF_Timer,TF_Tekniker,M$4,TF_Dato,$A1003))*2,0)/2)))</f>
        <v/>
      </c>
      <c r="N1003">
        <f>IF(OR(N$4="",$A1003&gt;TODAY()),0,IF(OR(INDEX($B1003:$D1003,N$5)="F",AND(N$6&gt;0,$A1003&lt;N$6),AND(N$7&gt;0,$A1003&gt;N$7)),0,MAX(0,ROUND((INDEX($E1003:$G1003,N$5)-SUMIFS(TF_Timer,TF_Tekniker,N$4,TF_Dato,$A1003))*2,0)/2)))</f>
        <v/>
      </c>
      <c r="O1003">
        <f>IF(OR(O$4="",$A1003&gt;TODAY()),0,IF(OR(INDEX($B1003:$D1003,O$5)="F",AND(O$6&gt;0,$A1003&lt;O$6),AND(O$7&gt;0,$A1003&gt;O$7)),0,MAX(0,ROUND((INDEX($E1003:$G1003,O$5)-SUMIFS(TF_Timer,TF_Tekniker,O$4,TF_Dato,$A1003))*2,0)/2)))</f>
        <v/>
      </c>
      <c r="P1003">
        <f>IF(OR(P$4="",$A1003&gt;TODAY()),0,IF(OR(INDEX($B1003:$D1003,P$5)="F",AND(P$6&gt;0,$A1003&lt;P$6),AND(P$7&gt;0,$A1003&gt;P$7)),0,MAX(0,ROUND((INDEX($E1003:$G1003,P$5)-SUMIFS(TF_Timer,TF_Tekniker,P$4,TF_Dato,$A1003))*2,0)/2)))</f>
        <v/>
      </c>
      <c r="Q1003">
        <f>IF(OR(Q$4="",$A1003&gt;TODAY()),0,IF(OR(INDEX($B1003:$D1003,Q$5)="F",AND(Q$6&gt;0,$A1003&lt;Q$6),AND(Q$7&gt;0,$A1003&gt;Q$7)),0,MAX(0,ROUND((INDEX($E1003:$G1003,Q$5)-SUMIFS(TF_Timer,TF_Tekniker,Q$4,TF_Dato,$A1003))*2,0)/2)))</f>
        <v/>
      </c>
      <c r="R1003">
        <f>IF(OR(R$4="",$A1003&gt;TODAY()),0,IF(OR(INDEX($B1003:$D1003,R$5)="F",AND(R$6&gt;0,$A1003&lt;R$6),AND(R$7&gt;0,$A1003&gt;R$7)),0,MAX(0,ROUND((INDEX($E1003:$G1003,R$5)-SUMIFS(TF_Timer,TF_Tekniker,R$4,TF_Dato,$A1003))*2,0)/2)))</f>
        <v/>
      </c>
      <c r="S1003">
        <f>IF(OR(S$4="",$A1003&gt;TODAY()),0,IF(OR(INDEX($B1003:$D1003,S$5)="F",AND(S$6&gt;0,$A1003&lt;S$6),AND(S$7&gt;0,$A1003&gt;S$7)),0,MAX(0,ROUND((INDEX($E1003:$G1003,S$5)-SUMIFS(TF_Timer,TF_Tekniker,S$4,TF_Dato,$A1003))*2,0)/2)))</f>
        <v/>
      </c>
      <c r="T1003">
        <f>IF(OR(T$4="",$A1003&gt;TODAY()),0,IF(OR(INDEX($B1003:$D1003,T$5)="F",AND(T$6&gt;0,$A1003&lt;T$6),AND(T$7&gt;0,$A1003&gt;T$7)),0,MAX(0,ROUND((INDEX($E1003:$G1003,T$5)-SUMIFS(TF_Timer,TF_Tekniker,T$4,TF_Dato,$A1003))*2,0)/2)))</f>
        <v/>
      </c>
      <c r="U1003">
        <f>IF(OR(U$4="",$A1003&gt;TODAY()),0,IF(OR(INDEX($B1003:$D1003,U$5)="F",AND(U$6&gt;0,$A1003&lt;U$6),AND(U$7&gt;0,$A1003&gt;U$7)),0,MAX(0,ROUND((INDEX($E1003:$G1003,U$5)-SUMIFS(TF_Timer,TF_Tekniker,U$4,TF_Dato,$A1003))*2,0)/2)))</f>
        <v/>
      </c>
      <c r="V1003">
        <f>IF(OR(V$4="",$A1003&gt;TODAY()),0,IF(OR(INDEX($B1003:$D1003,V$5)="F",AND(V$6&gt;0,$A1003&lt;V$6),AND(V$7&gt;0,$A1003&gt;V$7)),0,MAX(0,ROUND((INDEX($E1003:$G1003,V$5)-SUMIFS(TF_Timer,TF_Tekniker,V$4,TF_Dato,$A1003))*2,0)/2)))</f>
        <v/>
      </c>
      <c r="W1003">
        <f>IF(OR(W$4="",$A1003&gt;TODAY()),0,IF(OR(INDEX($B1003:$D1003,W$5)="F",AND(W$6&gt;0,$A1003&lt;W$6),AND(W$7&gt;0,$A1003&gt;W$7)),0,MAX(0,ROUND((INDEX($E1003:$G1003,W$5)-SUMIFS(TF_Timer,TF_Tekniker,W$4,TF_Dato,$A1003))*2,0)/2)))</f>
        <v/>
      </c>
      <c r="X1003">
        <f>IF(OR(X$4="",$A1003&gt;TODAY()),0,IF(OR(INDEX($B1003:$D1003,X$5)="F",AND(X$6&gt;0,$A1003&lt;X$6),AND(X$7&gt;0,$A1003&gt;X$7)),0,MAX(0,ROUND((INDEX($E1003:$G1003,X$5)-SUMIFS(TF_Timer,TF_Tekniker,X$4,TF_Dato,$A1003))*2,0)/2)))</f>
        <v/>
      </c>
      <c r="Y1003">
        <f>IF(OR(Y$4="",$A1003&gt;TODAY()),0,IF(OR(INDEX($B1003:$D1003,Y$5)="F",AND(Y$6&gt;0,$A1003&lt;Y$6),AND(Y$7&gt;0,$A1003&gt;Y$7)),0,MAX(0,ROUND((INDEX($E1003:$G1003,Y$5)-SUMIFS(TF_Timer,TF_Tekniker,Y$4,TF_Dato,$A1003))*2,0)/2)))</f>
        <v/>
      </c>
      <c r="Z1003">
        <f>IF(OR(Z$4="",$A1003&gt;TODAY()),0,IF(OR(INDEX($B1003:$D1003,Z$5)="F",AND(Z$6&gt;0,$A1003&lt;Z$6),AND(Z$7&gt;0,$A1003&gt;Z$7)),0,MAX(0,ROUND((INDEX($E1003:$G1003,Z$5)-SUMIFS(TF_Timer,TF_Tekniker,Z$4,TF_Dato,$A1003))*2,0)/2)))</f>
        <v/>
      </c>
      <c r="AA1003">
        <f>IF(OR(AA$4="",$A1003&gt;TODAY()),0,IF(OR(INDEX($B1003:$D1003,AA$5)="F",AND(AA$6&gt;0,$A1003&lt;AA$6),AND(AA$7&gt;0,$A1003&gt;AA$7)),0,MAX(0,ROUND((INDEX($E1003:$G1003,AA$5)-SUMIFS(TF_Timer,TF_Tekniker,AA$4,TF_Dato,$A1003))*2,0)/2)))</f>
        <v/>
      </c>
      <c r="AB1003">
        <f>IF(OR(AB$4="",$A1003&gt;TODAY()),0,IF(OR(INDEX($B1003:$D1003,AB$5)="F",AND(AB$6&gt;0,$A1003&lt;AB$6),AND(AB$7&gt;0,$A1003&gt;AB$7)),0,MAX(0,ROUND((INDEX($E1003:$G1003,AB$5)-SUMIFS(TF_Timer,TF_Tekniker,AB$4,TF_Dato,$A1003))*2,0)/2)))</f>
        <v/>
      </c>
      <c r="AC1003">
        <f>IF(OR(AC$4="",$A1003&gt;TODAY()),0,IF(OR(INDEX($B1003:$D1003,AC$5)="F",AND(AC$6&gt;0,$A1003&lt;AC$6),AND(AC$7&gt;0,$A1003&gt;AC$7)),0,MAX(0,ROUND((INDEX($E1003:$G1003,AC$5)-SUMIFS(TF_Timer,TF_Tekniker,AC$4,TF_Dato,$A1003))*2,0)/2)))</f>
        <v/>
      </c>
      <c r="AD1003">
        <f>IF(OR(AD$4="",$A1003&gt;TODAY()),0,IF(OR(INDEX($B1003:$D1003,AD$5)="F",AND(AD$6&gt;0,$A1003&lt;AD$6),AND(AD$7&gt;0,$A1003&gt;AD$7)),0,MAX(0,ROUND((INDEX($E1003:$G1003,AD$5)-SUMIFS(TF_Timer,TF_Tekniker,AD$4,TF_Dato,$A1003))*2,0)/2)))</f>
        <v/>
      </c>
      <c r="AE1003">
        <f>IF(OR(AE$4="",$A1003&gt;TODAY()),0,IF(OR(INDEX($B1003:$D1003,AE$5)="F",AND(AE$6&gt;0,$A1003&lt;AE$6),AND(AE$7&gt;0,$A1003&gt;AE$7)),0,MAX(0,ROUND((INDEX($E1003:$G1003,AE$5)-SUMIFS(TF_Timer,TF_Tekniker,AE$4,TF_Dato,$A1003))*2,0)/2)))</f>
        <v/>
      </c>
      <c r="AF1003">
        <f>IF(OR(AF$4="",$A1003&gt;TODAY()),0,IF(OR(INDEX($B1003:$D1003,AF$5)="F",AND(AF$6&gt;0,$A1003&lt;AF$6),AND(AF$7&gt;0,$A1003&gt;AF$7)),0,MAX(0,ROUND((INDEX($E1003:$G1003,AF$5)-SUMIFS(TF_Timer,TF_Tekniker,AF$4,TF_Dato,$A1003))*2,0)/2)))</f>
        <v/>
      </c>
      <c r="AG1003">
        <f>IF(OR(AG$4="",$A1003&gt;TODAY()),0,IF(OR(INDEX($B1003:$D1003,AG$5)="F",AND(AG$6&gt;0,$A1003&lt;AG$6),AND(AG$7&gt;0,$A1003&gt;AG$7)),0,MAX(0,ROUND((INDEX($E1003:$G1003,AG$5)-SUMIFS(TF_Timer,TF_Tekniker,AG$4,TF_Dato,$A1003))*2,0)/2)))</f>
        <v/>
      </c>
      <c r="AH1003">
        <f>IF(OR(AH$4="",$A1003&gt;TODAY()),0,IF(OR(INDEX($B1003:$D1003,AH$5)="F",AND(AH$6&gt;0,$A1003&lt;AH$6),AND(AH$7&gt;0,$A1003&gt;AH$7)),0,MAX(0,ROUND((INDEX($E1003:$G1003,AH$5)-SUMIFS(TF_Timer,TF_Tekniker,AH$4,TF_Dato,$A1003))*2,0)/2)))</f>
        <v/>
      </c>
      <c r="AI1003">
        <f>IF(OR(AI$4="",$A1003&gt;TODAY()),0,IF(OR(INDEX($B1003:$D1003,AI$5)="F",AND(AI$6&gt;0,$A1003&lt;AI$6),AND(AI$7&gt;0,$A1003&gt;AI$7)),0,MAX(0,ROUND((INDEX($E1003:$G1003,AI$5)-SUMIFS(TF_Timer,TF_Tekniker,AI$4,TF_Dato,$A1003))*2,0)/2)))</f>
        <v/>
      </c>
      <c r="AJ1003">
        <f>IF(OR(AJ$4="",$A1003&gt;TODAY()),0,IF(OR(INDEX($B1003:$D1003,AJ$5)="F",AND(AJ$6&gt;0,$A1003&lt;AJ$6),AND(AJ$7&gt;0,$A1003&gt;AJ$7)),0,MAX(0,ROUND((INDEX($E1003:$G1003,AJ$5)-SUMIFS(TF_Timer,TF_Tekniker,AJ$4,TF_Dato,$A1003))*2,0)/2)))</f>
        <v/>
      </c>
      <c r="AK1003">
        <f>IF(OR(AK$4="",$A1003&gt;TODAY()),0,IF(OR(INDEX($B1003:$D1003,AK$5)="F",AND(AK$6&gt;0,$A1003&lt;AK$6),AND(AK$7&gt;0,$A1003&gt;AK$7)),0,MAX(0,ROUND((INDEX($E1003:$G1003,AK$5)-SUMIFS(TF_Timer,TF_Tekniker,AK$4,TF_Dato,$A1003))*2,0)/2)))</f>
        <v/>
      </c>
      <c r="AL1003">
        <f>IF(OR(AL$4="",$A1003&gt;TODAY()),0,IF(OR(INDEX($B1003:$D1003,AL$5)="F",AND(AL$6&gt;0,$A1003&lt;AL$6),AND(AL$7&gt;0,$A1003&gt;AL$7)),0,MAX(0,ROUND((INDEX($E1003:$G1003,AL$5)-SUMIFS(TF_Timer,TF_Tekniker,AL$4,TF_Dato,$A1003))*2,0)/2)))</f>
        <v/>
      </c>
      <c r="AM1003">
        <f>IF(OR(AM$4="",$A1003&gt;TODAY()),0,IF(OR(INDEX($B1003:$D1003,AM$5)="F",AND(AM$6&gt;0,$A1003&lt;AM$6),AND(AM$7&gt;0,$A1003&gt;AM$7)),0,MAX(0,ROUND((INDEX($E1003:$G1003,AM$5)-SUMIFS(TF_Timer,TF_Tekniker,AM$4,TF_Dato,$A1003))*2,0)/2)))</f>
        <v/>
      </c>
      <c r="AN1003">
        <f>IF(OR(AN$4="",$A1003&gt;TODAY()),0,IF(OR(INDEX($B1003:$D1003,AN$5)="F",AND(AN$6&gt;0,$A1003&lt;AN$6),AND(AN$7&gt;0,$A1003&gt;AN$7)),0,MAX(0,ROUND((INDEX($E1003:$G1003,AN$5)-SUMIFS(TF_Timer,TF_Tekniker,AN$4,TF_Dato,$A1003))*2,0)/2)))</f>
        <v/>
      </c>
      <c r="AO1003">
        <f>IF(OR(AO$4="",$A1003&gt;TODAY()),0,IF(OR(INDEX($B1003:$D1003,AO$5)="F",AND(AO$6&gt;0,$A1003&lt;AO$6),AND(AO$7&gt;0,$A1003&gt;AO$7)),0,MAX(0,ROUND((INDEX($E1003:$G1003,AO$5)-SUMIFS(TF_Timer,TF_Tekniker,AO$4,TF_Dato,$A1003))*2,0)/2)))</f>
        <v/>
      </c>
      <c r="AP1003">
        <f>IF(OR(AP$4="",$A1003&gt;TODAY()),0,IF(OR(INDEX($B1003:$D1003,AP$5)="F",AND(AP$6&gt;0,$A1003&lt;AP$6),AND(AP$7&gt;0,$A1003&gt;AP$7)),0,MAX(0,ROUND((INDEX($E1003:$G1003,AP$5)-SUMIFS(TF_Timer,TF_Tekniker,AP$4,TF_Dato,$A1003))*2,0)/2)))</f>
        <v/>
      </c>
      <c r="AQ1003">
        <f>IF(OR(AQ$4="",$A1003&gt;TODAY()),0,IF(OR(INDEX($B1003:$D1003,AQ$5)="F",AND(AQ$6&gt;0,$A1003&lt;AQ$6),AND(AQ$7&gt;0,$A1003&gt;AQ$7)),0,MAX(0,ROUND((INDEX($E1003:$G1003,AQ$5)-SUMIFS(TF_Timer,TF_Tekniker,AQ$4,TF_Dato,$A1003))*2,0)/2)))</f>
        <v/>
      </c>
      <c r="AR1003">
        <f>IF(OR(AR$4="",$A1003&gt;TODAY()),0,IF(OR(INDEX($B1003:$D1003,AR$5)="F",AND(AR$6&gt;0,$A1003&lt;AR$6),AND(AR$7&gt;0,$A1003&gt;AR$7)),0,MAX(0,ROUND((INDEX($E1003:$G1003,AR$5)-SUMIFS(TF_Timer,TF_Tekniker,AR$4,TF_Dato,$A1003))*2,0)/2)))</f>
        <v/>
      </c>
      <c r="AS1003">
        <f>IF(OR(AS$4="",$A1003&gt;TODAY()),0,IF(OR(INDEX($B1003:$D1003,AS$5)="F",AND(AS$6&gt;0,$A1003&lt;AS$6),AND(AS$7&gt;0,$A1003&gt;AS$7)),0,MAX(0,ROUND((INDEX($E1003:$G1003,AS$5)-SUMIFS(TF_Timer,TF_Tekniker,AS$4,TF_Dato,$A1003))*2,0)/2)))</f>
        <v/>
      </c>
      <c r="AT1003">
        <f>IF(OR(AT$4="",$A1003&gt;TODAY()),0,IF(OR(INDEX($B1003:$D1003,AT$5)="F",AND(AT$6&gt;0,$A1003&lt;AT$6),AND(AT$7&gt;0,$A1003&gt;AT$7)),0,MAX(0,ROUND((INDEX($E1003:$G1003,AT$5)-SUMIFS(TF_Timer,TF_Tekniker,AT$4,TF_Dato,$A1003))*2,0)/2)))</f>
        <v/>
      </c>
      <c r="AU1003">
        <f>IF(OR(AU$4="",$A1003&gt;TODAY()),0,IF(OR(INDEX($B1003:$D1003,AU$5)="F",AND(AU$6&gt;0,$A1003&lt;AU$6),AND(AU$7&gt;0,$A1003&gt;AU$7)),0,MAX(0,ROUND((INDEX($E1003:$G1003,AU$5)-SUMIFS(TF_Timer,TF_Tekniker,AU$4,TF_Dato,$A1003))*2,0)/2)))</f>
        <v/>
      </c>
      <c r="AV1003">
        <f>IF(OR(AV$4="",$A1003&gt;TODAY()),0,IF(OR(INDEX($B1003:$D1003,AV$5)="F",AND(AV$6&gt;0,$A1003&lt;AV$6),AND(AV$7&gt;0,$A1003&gt;AV$7)),0,MAX(0,ROUND((INDEX($E1003:$G1003,AV$5)-SUMIFS(TF_Timer,TF_Tekniker,AV$4,TF_Dato,$A1003))*2,0)/2)))</f>
        <v/>
      </c>
      <c r="AW1003">
        <f>IF(OR(AW$4="",$A1003&gt;TODAY()),0,IF(OR(INDEX($B1003:$D1003,AW$5)="F",AND(AW$6&gt;0,$A1003&lt;AW$6),AND(AW$7&gt;0,$A1003&gt;AW$7)),0,MAX(0,ROUND((INDEX($E1003:$G1003,AW$5)-SUMIFS(TF_Timer,TF_Tekniker,AW$4,TF_Dato,$A1003))*2,0)/2)))</f>
        <v/>
      </c>
      <c r="AX1003">
        <f>IF(OR(AX$4="",$A1003&gt;TODAY()),0,IF(OR(INDEX($B1003:$D1003,AX$5)="F",AND(AX$6&gt;0,$A1003&lt;AX$6),AND(AX$7&gt;0,$A1003&gt;AX$7)),0,MAX(0,ROUND((INDEX($E1003:$G1003,AX$5)-SUMIFS(TF_Timer,TF_Tekniker,AX$4,TF_Dato,$A1003))*2,0)/2)))</f>
        <v/>
      </c>
      <c r="AY1003">
        <f>IF(OR(AY$4="",$A1003&gt;TODAY()),0,IF(OR(INDEX($B1003:$D1003,AY$5)="F",AND(AY$6&gt;0,$A1003&lt;AY$6),AND(AY$7&gt;0,$A1003&gt;AY$7)),0,MAX(0,ROUND((INDEX($E1003:$G1003,AY$5)-SUMIFS(TF_Timer,TF_Tekniker,AY$4,TF_Dato,$A1003))*2,0)/2)))</f>
        <v/>
      </c>
      <c r="AZ1003">
        <f>IF(OR(AZ$4="",$A1003&gt;TODAY()),0,IF(OR(INDEX($B1003:$D1003,AZ$5)="F",AND(AZ$6&gt;0,$A1003&lt;AZ$6),AND(AZ$7&gt;0,$A1003&gt;AZ$7)),0,MAX(0,ROUND((INDEX($E1003:$G1003,AZ$5)-SUMIFS(TF_Timer,TF_Tekniker,AZ$4,TF_Dato,$A1003))*2,0)/2)))</f>
        <v/>
      </c>
      <c r="BA1003">
        <f>IF(OR(BA$4="",$A1003&gt;TODAY()),0,IF(OR(INDEX($B1003:$D1003,BA$5)="F",AND(BA$6&gt;0,$A1003&lt;BA$6),AND(BA$7&gt;0,$A1003&gt;BA$7)),0,MAX(0,ROUND((INDEX($E1003:$G1003,BA$5)-SUMIFS(TF_Timer,TF_Tekniker,BA$4,TF_Dato,$A1003))*2,0)/2)))</f>
        <v/>
      </c>
      <c r="BB1003">
        <f>IF(OR(BB$4="",$A1003&gt;TODAY()),0,IF(OR(INDEX($B1003:$D1003,BB$5)="F",AND(BB$6&gt;0,$A1003&lt;BB$6),AND(BB$7&gt;0,$A1003&gt;BB$7)),0,MAX(0,ROUND((INDEX($E1003:$G1003,BB$5)-SUMIFS(TF_Timer,TF_Tekniker,BB$4,TF_Dato,$A1003))*2,0)/2)))</f>
        <v/>
      </c>
      <c r="BC1003">
        <f>IF(OR(BC$4="",$A1003&gt;TODAY()),0,IF(OR(INDEX($B1003:$D1003,BC$5)="F",AND(BC$6&gt;0,$A1003&lt;BC$6),AND(BC$7&gt;0,$A1003&gt;BC$7)),0,MAX(0,ROUND((INDEX($E1003:$G1003,BC$5)-SUMIFS(TF_Timer,TF_Tekniker,BC$4,TF_Dato,$A1003))*2,0)/2)))</f>
        <v/>
      </c>
      <c r="BD1003">
        <f>IF(OR(BD$4="",$A1003&gt;TODAY()),0,IF(OR(INDEX($B1003:$D1003,BD$5)="F",AND(BD$6&gt;0,$A1003&lt;BD$6),AND(BD$7&gt;0,$A1003&gt;BD$7)),0,MAX(0,ROUND((INDEX($E1003:$G1003,BD$5)-SUMIFS(TF_Timer,TF_Tekniker,BD$4,TF_Dato,$A1003))*2,0)/2)))</f>
        <v/>
      </c>
      <c r="BE1003">
        <f>IF(OR(BE$4="",$A1003&gt;TODAY()),0,IF(OR(INDEX($B1003:$D1003,BE$5)="F",AND(BE$6&gt;0,$A1003&lt;BE$6),AND(BE$7&gt;0,$A1003&gt;BE$7)),0,MAX(0,ROUND((INDEX($E1003:$G1003,BE$5)-SUMIFS(TF_Timer,TF_Tekniker,BE$4,TF_Dato,$A1003))*2,0)/2)))</f>
        <v/>
      </c>
      <c r="BF1003">
        <f>IF(OR(BF$4="",$A1003&gt;TODAY()),0,IF(OR(INDEX($B1003:$D1003,BF$5)="F",AND(BF$6&gt;0,$A1003&lt;BF$6),AND(BF$7&gt;0,$A1003&gt;BF$7)),0,MAX(0,ROUND((INDEX($E1003:$G1003,BF$5)-SUMIFS(TF_Timer,TF_Tekniker,BF$4,TF_Dato,$A1003))*2,0)/2)))</f>
        <v/>
      </c>
      <c r="BG1003">
        <f>IF(OR(BG$4="",$A1003&gt;TODAY()),0,IF(OR(INDEX($B1003:$D1003,BG$5)="F",AND(BG$6&gt;0,$A1003&lt;BG$6),AND(BG$7&gt;0,$A1003&gt;BG$7)),0,MAX(0,ROUND((INDEX($E1003:$G1003,BG$5)-SUMIFS(TF_Timer,TF_Tekniker,BG$4,TF_Dato,$A1003))*2,0)/2)))</f>
        <v/>
      </c>
      <c r="BH1003">
        <f>IF(OR(BH$4="",$A1003&gt;TODAY()),0,IF(OR(INDEX($B1003:$D1003,BH$5)="F",AND(BH$6&gt;0,$A1003&lt;BH$6),AND(BH$7&gt;0,$A1003&gt;BH$7)),0,MAX(0,ROUND((INDEX($E1003:$G1003,BH$5)-SUMIFS(TF_Timer,TF_Tekniker,BH$4,TF_Dato,$A1003))*2,0)/2)))</f>
        <v/>
      </c>
      <c r="BI1003">
        <f>IF(OR(BI$4="",$A1003&gt;TODAY()),0,IF(OR(INDEX($B1003:$D1003,BI$5)="F",AND(BI$6&gt;0,$A1003&lt;BI$6),AND(BI$7&gt;0,$A1003&gt;BI$7)),0,MAX(0,ROUND((INDEX($E1003:$G1003,BI$5)-SUMIFS(TF_Timer,TF_Tekniker,BI$4,TF_Dato,$A1003))*2,0)/2)))</f>
        <v/>
      </c>
    </row>
    <row r="1004">
      <c r="A1004" s="64">
        <f>A1003+1</f>
        <v/>
      </c>
      <c r="B1004">
        <f>IF(MOD($A1004-INDEX(SkiftStart,1),Syklus)&lt;DagK,"K",IF(MOD($A1004-INDEX(SkiftStart,1),Syklus)&lt;DagK+DagH,"H",IF(MOD($A1004-INDEX(SkiftStart,1),Syklus)&lt;DagK+DagH+DagD,"D","F")))</f>
        <v/>
      </c>
      <c r="C1004">
        <f>IF(MOD($A1004-INDEX(SkiftStart,2),Syklus)&lt;DagK,"K",IF(MOD($A1004-INDEX(SkiftStart,2),Syklus)&lt;DagK+DagH,"H",IF(MOD($A1004-INDEX(SkiftStart,2),Syklus)&lt;DagK+DagH+DagD,"D","F")))</f>
        <v/>
      </c>
      <c r="D1004">
        <f>IF(MOD($A1004-INDEX(SkiftStart,3),Syklus)&lt;DagK,"K",IF(MOD($A1004-INDEX(SkiftStart,3),Syklus)&lt;DagK+DagH,"H",IF(MOD($A1004-INDEX(SkiftStart,3),Syklus)&lt;DagK+DagH+DagD,"D","F")))</f>
        <v/>
      </c>
      <c r="E1004">
        <f>IF(B1004="F",0,IF(WEEKDAY($A1004,2)=5,INDEX(TimerFr,MATCH(B1004,FaseKode,0)),INDEX(TimerMT,MATCH(B1004,FaseKode,0))))</f>
        <v/>
      </c>
      <c r="F1004">
        <f>IF(C1004="F",0,IF(WEEKDAY($A1004,2)=5,INDEX(TimerFr,MATCH(C1004,FaseKode,0)),INDEX(TimerMT,MATCH(C1004,FaseKode,0))))</f>
        <v/>
      </c>
      <c r="G1004">
        <f>IF(D1004="F",0,IF(WEEKDAY($A1004,2)=5,INDEX(TimerFr,MATCH(D1004,FaseKode,0)),INDEX(TimerMT,MATCH(D1004,FaseKode,0))))</f>
        <v/>
      </c>
      <c r="H1004">
        <f>IF(OR(H$4="",$A1004&gt;TODAY()),0,IF(OR(INDEX($B1004:$D1004,H$5)="F",AND(H$6&gt;0,$A1004&lt;H$6),AND(H$7&gt;0,$A1004&gt;H$7)),0,MAX(0,ROUND((INDEX($E1004:$G1004,H$5)-SUMIFS(TF_Timer,TF_Tekniker,H$4,TF_Dato,$A1004))*2,0)/2)))</f>
        <v/>
      </c>
      <c r="I1004">
        <f>IF(OR(I$4="",$A1004&gt;TODAY()),0,IF(OR(INDEX($B1004:$D1004,I$5)="F",AND(I$6&gt;0,$A1004&lt;I$6),AND(I$7&gt;0,$A1004&gt;I$7)),0,MAX(0,ROUND((INDEX($E1004:$G1004,I$5)-SUMIFS(TF_Timer,TF_Tekniker,I$4,TF_Dato,$A1004))*2,0)/2)))</f>
        <v/>
      </c>
      <c r="J1004">
        <f>IF(OR(J$4="",$A1004&gt;TODAY()),0,IF(OR(INDEX($B1004:$D1004,J$5)="F",AND(J$6&gt;0,$A1004&lt;J$6),AND(J$7&gt;0,$A1004&gt;J$7)),0,MAX(0,ROUND((INDEX($E1004:$G1004,J$5)-SUMIFS(TF_Timer,TF_Tekniker,J$4,TF_Dato,$A1004))*2,0)/2)))</f>
        <v/>
      </c>
      <c r="K1004">
        <f>IF(OR(K$4="",$A1004&gt;TODAY()),0,IF(OR(INDEX($B1004:$D1004,K$5)="F",AND(K$6&gt;0,$A1004&lt;K$6),AND(K$7&gt;0,$A1004&gt;K$7)),0,MAX(0,ROUND((INDEX($E1004:$G1004,K$5)-SUMIFS(TF_Timer,TF_Tekniker,K$4,TF_Dato,$A1004))*2,0)/2)))</f>
        <v/>
      </c>
      <c r="L1004">
        <f>IF(OR(L$4="",$A1004&gt;TODAY()),0,IF(OR(INDEX($B1004:$D1004,L$5)="F",AND(L$6&gt;0,$A1004&lt;L$6),AND(L$7&gt;0,$A1004&gt;L$7)),0,MAX(0,ROUND((INDEX($E1004:$G1004,L$5)-SUMIFS(TF_Timer,TF_Tekniker,L$4,TF_Dato,$A1004))*2,0)/2)))</f>
        <v/>
      </c>
      <c r="M1004">
        <f>IF(OR(M$4="",$A1004&gt;TODAY()),0,IF(OR(INDEX($B1004:$D1004,M$5)="F",AND(M$6&gt;0,$A1004&lt;M$6),AND(M$7&gt;0,$A1004&gt;M$7)),0,MAX(0,ROUND((INDEX($E1004:$G1004,M$5)-SUMIFS(TF_Timer,TF_Tekniker,M$4,TF_Dato,$A1004))*2,0)/2)))</f>
        <v/>
      </c>
      <c r="N1004">
        <f>IF(OR(N$4="",$A1004&gt;TODAY()),0,IF(OR(INDEX($B1004:$D1004,N$5)="F",AND(N$6&gt;0,$A1004&lt;N$6),AND(N$7&gt;0,$A1004&gt;N$7)),0,MAX(0,ROUND((INDEX($E1004:$G1004,N$5)-SUMIFS(TF_Timer,TF_Tekniker,N$4,TF_Dato,$A1004))*2,0)/2)))</f>
        <v/>
      </c>
      <c r="O1004">
        <f>IF(OR(O$4="",$A1004&gt;TODAY()),0,IF(OR(INDEX($B1004:$D1004,O$5)="F",AND(O$6&gt;0,$A1004&lt;O$6),AND(O$7&gt;0,$A1004&gt;O$7)),0,MAX(0,ROUND((INDEX($E1004:$G1004,O$5)-SUMIFS(TF_Timer,TF_Tekniker,O$4,TF_Dato,$A1004))*2,0)/2)))</f>
        <v/>
      </c>
      <c r="P1004">
        <f>IF(OR(P$4="",$A1004&gt;TODAY()),0,IF(OR(INDEX($B1004:$D1004,P$5)="F",AND(P$6&gt;0,$A1004&lt;P$6),AND(P$7&gt;0,$A1004&gt;P$7)),0,MAX(0,ROUND((INDEX($E1004:$G1004,P$5)-SUMIFS(TF_Timer,TF_Tekniker,P$4,TF_Dato,$A1004))*2,0)/2)))</f>
        <v/>
      </c>
      <c r="Q1004">
        <f>IF(OR(Q$4="",$A1004&gt;TODAY()),0,IF(OR(INDEX($B1004:$D1004,Q$5)="F",AND(Q$6&gt;0,$A1004&lt;Q$6),AND(Q$7&gt;0,$A1004&gt;Q$7)),0,MAX(0,ROUND((INDEX($E1004:$G1004,Q$5)-SUMIFS(TF_Timer,TF_Tekniker,Q$4,TF_Dato,$A1004))*2,0)/2)))</f>
        <v/>
      </c>
      <c r="R1004">
        <f>IF(OR(R$4="",$A1004&gt;TODAY()),0,IF(OR(INDEX($B1004:$D1004,R$5)="F",AND(R$6&gt;0,$A1004&lt;R$6),AND(R$7&gt;0,$A1004&gt;R$7)),0,MAX(0,ROUND((INDEX($E1004:$G1004,R$5)-SUMIFS(TF_Timer,TF_Tekniker,R$4,TF_Dato,$A1004))*2,0)/2)))</f>
        <v/>
      </c>
      <c r="S1004">
        <f>IF(OR(S$4="",$A1004&gt;TODAY()),0,IF(OR(INDEX($B1004:$D1004,S$5)="F",AND(S$6&gt;0,$A1004&lt;S$6),AND(S$7&gt;0,$A1004&gt;S$7)),0,MAX(0,ROUND((INDEX($E1004:$G1004,S$5)-SUMIFS(TF_Timer,TF_Tekniker,S$4,TF_Dato,$A1004))*2,0)/2)))</f>
        <v/>
      </c>
      <c r="T1004">
        <f>IF(OR(T$4="",$A1004&gt;TODAY()),0,IF(OR(INDEX($B1004:$D1004,T$5)="F",AND(T$6&gt;0,$A1004&lt;T$6),AND(T$7&gt;0,$A1004&gt;T$7)),0,MAX(0,ROUND((INDEX($E1004:$G1004,T$5)-SUMIFS(TF_Timer,TF_Tekniker,T$4,TF_Dato,$A1004))*2,0)/2)))</f>
        <v/>
      </c>
      <c r="U1004">
        <f>IF(OR(U$4="",$A1004&gt;TODAY()),0,IF(OR(INDEX($B1004:$D1004,U$5)="F",AND(U$6&gt;0,$A1004&lt;U$6),AND(U$7&gt;0,$A1004&gt;U$7)),0,MAX(0,ROUND((INDEX($E1004:$G1004,U$5)-SUMIFS(TF_Timer,TF_Tekniker,U$4,TF_Dato,$A1004))*2,0)/2)))</f>
        <v/>
      </c>
      <c r="V1004">
        <f>IF(OR(V$4="",$A1004&gt;TODAY()),0,IF(OR(INDEX($B1004:$D1004,V$5)="F",AND(V$6&gt;0,$A1004&lt;V$6),AND(V$7&gt;0,$A1004&gt;V$7)),0,MAX(0,ROUND((INDEX($E1004:$G1004,V$5)-SUMIFS(TF_Timer,TF_Tekniker,V$4,TF_Dato,$A1004))*2,0)/2)))</f>
        <v/>
      </c>
      <c r="W1004">
        <f>IF(OR(W$4="",$A1004&gt;TODAY()),0,IF(OR(INDEX($B1004:$D1004,W$5)="F",AND(W$6&gt;0,$A1004&lt;W$6),AND(W$7&gt;0,$A1004&gt;W$7)),0,MAX(0,ROUND((INDEX($E1004:$G1004,W$5)-SUMIFS(TF_Timer,TF_Tekniker,W$4,TF_Dato,$A1004))*2,0)/2)))</f>
        <v/>
      </c>
      <c r="X1004">
        <f>IF(OR(X$4="",$A1004&gt;TODAY()),0,IF(OR(INDEX($B1004:$D1004,X$5)="F",AND(X$6&gt;0,$A1004&lt;X$6),AND(X$7&gt;0,$A1004&gt;X$7)),0,MAX(0,ROUND((INDEX($E1004:$G1004,X$5)-SUMIFS(TF_Timer,TF_Tekniker,X$4,TF_Dato,$A1004))*2,0)/2)))</f>
        <v/>
      </c>
      <c r="Y1004">
        <f>IF(OR(Y$4="",$A1004&gt;TODAY()),0,IF(OR(INDEX($B1004:$D1004,Y$5)="F",AND(Y$6&gt;0,$A1004&lt;Y$6),AND(Y$7&gt;0,$A1004&gt;Y$7)),0,MAX(0,ROUND((INDEX($E1004:$G1004,Y$5)-SUMIFS(TF_Timer,TF_Tekniker,Y$4,TF_Dato,$A1004))*2,0)/2)))</f>
        <v/>
      </c>
      <c r="Z1004">
        <f>IF(OR(Z$4="",$A1004&gt;TODAY()),0,IF(OR(INDEX($B1004:$D1004,Z$5)="F",AND(Z$6&gt;0,$A1004&lt;Z$6),AND(Z$7&gt;0,$A1004&gt;Z$7)),0,MAX(0,ROUND((INDEX($E1004:$G1004,Z$5)-SUMIFS(TF_Timer,TF_Tekniker,Z$4,TF_Dato,$A1004))*2,0)/2)))</f>
        <v/>
      </c>
      <c r="AA1004">
        <f>IF(OR(AA$4="",$A1004&gt;TODAY()),0,IF(OR(INDEX($B1004:$D1004,AA$5)="F",AND(AA$6&gt;0,$A1004&lt;AA$6),AND(AA$7&gt;0,$A1004&gt;AA$7)),0,MAX(0,ROUND((INDEX($E1004:$G1004,AA$5)-SUMIFS(TF_Timer,TF_Tekniker,AA$4,TF_Dato,$A1004))*2,0)/2)))</f>
        <v/>
      </c>
      <c r="AB1004">
        <f>IF(OR(AB$4="",$A1004&gt;TODAY()),0,IF(OR(INDEX($B1004:$D1004,AB$5)="F",AND(AB$6&gt;0,$A1004&lt;AB$6),AND(AB$7&gt;0,$A1004&gt;AB$7)),0,MAX(0,ROUND((INDEX($E1004:$G1004,AB$5)-SUMIFS(TF_Timer,TF_Tekniker,AB$4,TF_Dato,$A1004))*2,0)/2)))</f>
        <v/>
      </c>
      <c r="AC1004">
        <f>IF(OR(AC$4="",$A1004&gt;TODAY()),0,IF(OR(INDEX($B1004:$D1004,AC$5)="F",AND(AC$6&gt;0,$A1004&lt;AC$6),AND(AC$7&gt;0,$A1004&gt;AC$7)),0,MAX(0,ROUND((INDEX($E1004:$G1004,AC$5)-SUMIFS(TF_Timer,TF_Tekniker,AC$4,TF_Dato,$A1004))*2,0)/2)))</f>
        <v/>
      </c>
      <c r="AD1004">
        <f>IF(OR(AD$4="",$A1004&gt;TODAY()),0,IF(OR(INDEX($B1004:$D1004,AD$5)="F",AND(AD$6&gt;0,$A1004&lt;AD$6),AND(AD$7&gt;0,$A1004&gt;AD$7)),0,MAX(0,ROUND((INDEX($E1004:$G1004,AD$5)-SUMIFS(TF_Timer,TF_Tekniker,AD$4,TF_Dato,$A1004))*2,0)/2)))</f>
        <v/>
      </c>
      <c r="AE1004">
        <f>IF(OR(AE$4="",$A1004&gt;TODAY()),0,IF(OR(INDEX($B1004:$D1004,AE$5)="F",AND(AE$6&gt;0,$A1004&lt;AE$6),AND(AE$7&gt;0,$A1004&gt;AE$7)),0,MAX(0,ROUND((INDEX($E1004:$G1004,AE$5)-SUMIFS(TF_Timer,TF_Tekniker,AE$4,TF_Dato,$A1004))*2,0)/2)))</f>
        <v/>
      </c>
      <c r="AF1004">
        <f>IF(OR(AF$4="",$A1004&gt;TODAY()),0,IF(OR(INDEX($B1004:$D1004,AF$5)="F",AND(AF$6&gt;0,$A1004&lt;AF$6),AND(AF$7&gt;0,$A1004&gt;AF$7)),0,MAX(0,ROUND((INDEX($E1004:$G1004,AF$5)-SUMIFS(TF_Timer,TF_Tekniker,AF$4,TF_Dato,$A1004))*2,0)/2)))</f>
        <v/>
      </c>
      <c r="AG1004">
        <f>IF(OR(AG$4="",$A1004&gt;TODAY()),0,IF(OR(INDEX($B1004:$D1004,AG$5)="F",AND(AG$6&gt;0,$A1004&lt;AG$6),AND(AG$7&gt;0,$A1004&gt;AG$7)),0,MAX(0,ROUND((INDEX($E1004:$G1004,AG$5)-SUMIFS(TF_Timer,TF_Tekniker,AG$4,TF_Dato,$A1004))*2,0)/2)))</f>
        <v/>
      </c>
      <c r="AH1004">
        <f>IF(OR(AH$4="",$A1004&gt;TODAY()),0,IF(OR(INDEX($B1004:$D1004,AH$5)="F",AND(AH$6&gt;0,$A1004&lt;AH$6),AND(AH$7&gt;0,$A1004&gt;AH$7)),0,MAX(0,ROUND((INDEX($E1004:$G1004,AH$5)-SUMIFS(TF_Timer,TF_Tekniker,AH$4,TF_Dato,$A1004))*2,0)/2)))</f>
        <v/>
      </c>
      <c r="AI1004">
        <f>IF(OR(AI$4="",$A1004&gt;TODAY()),0,IF(OR(INDEX($B1004:$D1004,AI$5)="F",AND(AI$6&gt;0,$A1004&lt;AI$6),AND(AI$7&gt;0,$A1004&gt;AI$7)),0,MAX(0,ROUND((INDEX($E1004:$G1004,AI$5)-SUMIFS(TF_Timer,TF_Tekniker,AI$4,TF_Dato,$A1004))*2,0)/2)))</f>
        <v/>
      </c>
      <c r="AJ1004">
        <f>IF(OR(AJ$4="",$A1004&gt;TODAY()),0,IF(OR(INDEX($B1004:$D1004,AJ$5)="F",AND(AJ$6&gt;0,$A1004&lt;AJ$6),AND(AJ$7&gt;0,$A1004&gt;AJ$7)),0,MAX(0,ROUND((INDEX($E1004:$G1004,AJ$5)-SUMIFS(TF_Timer,TF_Tekniker,AJ$4,TF_Dato,$A1004))*2,0)/2)))</f>
        <v/>
      </c>
      <c r="AK1004">
        <f>IF(OR(AK$4="",$A1004&gt;TODAY()),0,IF(OR(INDEX($B1004:$D1004,AK$5)="F",AND(AK$6&gt;0,$A1004&lt;AK$6),AND(AK$7&gt;0,$A1004&gt;AK$7)),0,MAX(0,ROUND((INDEX($E1004:$G1004,AK$5)-SUMIFS(TF_Timer,TF_Tekniker,AK$4,TF_Dato,$A1004))*2,0)/2)))</f>
        <v/>
      </c>
      <c r="AL1004">
        <f>IF(OR(AL$4="",$A1004&gt;TODAY()),0,IF(OR(INDEX($B1004:$D1004,AL$5)="F",AND(AL$6&gt;0,$A1004&lt;AL$6),AND(AL$7&gt;0,$A1004&gt;AL$7)),0,MAX(0,ROUND((INDEX($E1004:$G1004,AL$5)-SUMIFS(TF_Timer,TF_Tekniker,AL$4,TF_Dato,$A1004))*2,0)/2)))</f>
        <v/>
      </c>
      <c r="AM1004">
        <f>IF(OR(AM$4="",$A1004&gt;TODAY()),0,IF(OR(INDEX($B1004:$D1004,AM$5)="F",AND(AM$6&gt;0,$A1004&lt;AM$6),AND(AM$7&gt;0,$A1004&gt;AM$7)),0,MAX(0,ROUND((INDEX($E1004:$G1004,AM$5)-SUMIFS(TF_Timer,TF_Tekniker,AM$4,TF_Dato,$A1004))*2,0)/2)))</f>
        <v/>
      </c>
      <c r="AN1004">
        <f>IF(OR(AN$4="",$A1004&gt;TODAY()),0,IF(OR(INDEX($B1004:$D1004,AN$5)="F",AND(AN$6&gt;0,$A1004&lt;AN$6),AND(AN$7&gt;0,$A1004&gt;AN$7)),0,MAX(0,ROUND((INDEX($E1004:$G1004,AN$5)-SUMIFS(TF_Timer,TF_Tekniker,AN$4,TF_Dato,$A1004))*2,0)/2)))</f>
        <v/>
      </c>
      <c r="AO1004">
        <f>IF(OR(AO$4="",$A1004&gt;TODAY()),0,IF(OR(INDEX($B1004:$D1004,AO$5)="F",AND(AO$6&gt;0,$A1004&lt;AO$6),AND(AO$7&gt;0,$A1004&gt;AO$7)),0,MAX(0,ROUND((INDEX($E1004:$G1004,AO$5)-SUMIFS(TF_Timer,TF_Tekniker,AO$4,TF_Dato,$A1004))*2,0)/2)))</f>
        <v/>
      </c>
      <c r="AP1004">
        <f>IF(OR(AP$4="",$A1004&gt;TODAY()),0,IF(OR(INDEX($B1004:$D1004,AP$5)="F",AND(AP$6&gt;0,$A1004&lt;AP$6),AND(AP$7&gt;0,$A1004&gt;AP$7)),0,MAX(0,ROUND((INDEX($E1004:$G1004,AP$5)-SUMIFS(TF_Timer,TF_Tekniker,AP$4,TF_Dato,$A1004))*2,0)/2)))</f>
        <v/>
      </c>
      <c r="AQ1004">
        <f>IF(OR(AQ$4="",$A1004&gt;TODAY()),0,IF(OR(INDEX($B1004:$D1004,AQ$5)="F",AND(AQ$6&gt;0,$A1004&lt;AQ$6),AND(AQ$7&gt;0,$A1004&gt;AQ$7)),0,MAX(0,ROUND((INDEX($E1004:$G1004,AQ$5)-SUMIFS(TF_Timer,TF_Tekniker,AQ$4,TF_Dato,$A1004))*2,0)/2)))</f>
        <v/>
      </c>
      <c r="AR1004">
        <f>IF(OR(AR$4="",$A1004&gt;TODAY()),0,IF(OR(INDEX($B1004:$D1004,AR$5)="F",AND(AR$6&gt;0,$A1004&lt;AR$6),AND(AR$7&gt;0,$A1004&gt;AR$7)),0,MAX(0,ROUND((INDEX($E1004:$G1004,AR$5)-SUMIFS(TF_Timer,TF_Tekniker,AR$4,TF_Dato,$A1004))*2,0)/2)))</f>
        <v/>
      </c>
      <c r="AS1004">
        <f>IF(OR(AS$4="",$A1004&gt;TODAY()),0,IF(OR(INDEX($B1004:$D1004,AS$5)="F",AND(AS$6&gt;0,$A1004&lt;AS$6),AND(AS$7&gt;0,$A1004&gt;AS$7)),0,MAX(0,ROUND((INDEX($E1004:$G1004,AS$5)-SUMIFS(TF_Timer,TF_Tekniker,AS$4,TF_Dato,$A1004))*2,0)/2)))</f>
        <v/>
      </c>
      <c r="AT1004">
        <f>IF(OR(AT$4="",$A1004&gt;TODAY()),0,IF(OR(INDEX($B1004:$D1004,AT$5)="F",AND(AT$6&gt;0,$A1004&lt;AT$6),AND(AT$7&gt;0,$A1004&gt;AT$7)),0,MAX(0,ROUND((INDEX($E1004:$G1004,AT$5)-SUMIFS(TF_Timer,TF_Tekniker,AT$4,TF_Dato,$A1004))*2,0)/2)))</f>
        <v/>
      </c>
      <c r="AU1004">
        <f>IF(OR(AU$4="",$A1004&gt;TODAY()),0,IF(OR(INDEX($B1004:$D1004,AU$5)="F",AND(AU$6&gt;0,$A1004&lt;AU$6),AND(AU$7&gt;0,$A1004&gt;AU$7)),0,MAX(0,ROUND((INDEX($E1004:$G1004,AU$5)-SUMIFS(TF_Timer,TF_Tekniker,AU$4,TF_Dato,$A1004))*2,0)/2)))</f>
        <v/>
      </c>
      <c r="AV1004">
        <f>IF(OR(AV$4="",$A1004&gt;TODAY()),0,IF(OR(INDEX($B1004:$D1004,AV$5)="F",AND(AV$6&gt;0,$A1004&lt;AV$6),AND(AV$7&gt;0,$A1004&gt;AV$7)),0,MAX(0,ROUND((INDEX($E1004:$G1004,AV$5)-SUMIFS(TF_Timer,TF_Tekniker,AV$4,TF_Dato,$A1004))*2,0)/2)))</f>
        <v/>
      </c>
      <c r="AW1004">
        <f>IF(OR(AW$4="",$A1004&gt;TODAY()),0,IF(OR(INDEX($B1004:$D1004,AW$5)="F",AND(AW$6&gt;0,$A1004&lt;AW$6),AND(AW$7&gt;0,$A1004&gt;AW$7)),0,MAX(0,ROUND((INDEX($E1004:$G1004,AW$5)-SUMIFS(TF_Timer,TF_Tekniker,AW$4,TF_Dato,$A1004))*2,0)/2)))</f>
        <v/>
      </c>
      <c r="AX1004">
        <f>IF(OR(AX$4="",$A1004&gt;TODAY()),0,IF(OR(INDEX($B1004:$D1004,AX$5)="F",AND(AX$6&gt;0,$A1004&lt;AX$6),AND(AX$7&gt;0,$A1004&gt;AX$7)),0,MAX(0,ROUND((INDEX($E1004:$G1004,AX$5)-SUMIFS(TF_Timer,TF_Tekniker,AX$4,TF_Dato,$A1004))*2,0)/2)))</f>
        <v/>
      </c>
      <c r="AY1004">
        <f>IF(OR(AY$4="",$A1004&gt;TODAY()),0,IF(OR(INDEX($B1004:$D1004,AY$5)="F",AND(AY$6&gt;0,$A1004&lt;AY$6),AND(AY$7&gt;0,$A1004&gt;AY$7)),0,MAX(0,ROUND((INDEX($E1004:$G1004,AY$5)-SUMIFS(TF_Timer,TF_Tekniker,AY$4,TF_Dato,$A1004))*2,0)/2)))</f>
        <v/>
      </c>
      <c r="AZ1004">
        <f>IF(OR(AZ$4="",$A1004&gt;TODAY()),0,IF(OR(INDEX($B1004:$D1004,AZ$5)="F",AND(AZ$6&gt;0,$A1004&lt;AZ$6),AND(AZ$7&gt;0,$A1004&gt;AZ$7)),0,MAX(0,ROUND((INDEX($E1004:$G1004,AZ$5)-SUMIFS(TF_Timer,TF_Tekniker,AZ$4,TF_Dato,$A1004))*2,0)/2)))</f>
        <v/>
      </c>
      <c r="BA1004">
        <f>IF(OR(BA$4="",$A1004&gt;TODAY()),0,IF(OR(INDEX($B1004:$D1004,BA$5)="F",AND(BA$6&gt;0,$A1004&lt;BA$6),AND(BA$7&gt;0,$A1004&gt;BA$7)),0,MAX(0,ROUND((INDEX($E1004:$G1004,BA$5)-SUMIFS(TF_Timer,TF_Tekniker,BA$4,TF_Dato,$A1004))*2,0)/2)))</f>
        <v/>
      </c>
      <c r="BB1004">
        <f>IF(OR(BB$4="",$A1004&gt;TODAY()),0,IF(OR(INDEX($B1004:$D1004,BB$5)="F",AND(BB$6&gt;0,$A1004&lt;BB$6),AND(BB$7&gt;0,$A1004&gt;BB$7)),0,MAX(0,ROUND((INDEX($E1004:$G1004,BB$5)-SUMIFS(TF_Timer,TF_Tekniker,BB$4,TF_Dato,$A1004))*2,0)/2)))</f>
        <v/>
      </c>
      <c r="BC1004">
        <f>IF(OR(BC$4="",$A1004&gt;TODAY()),0,IF(OR(INDEX($B1004:$D1004,BC$5)="F",AND(BC$6&gt;0,$A1004&lt;BC$6),AND(BC$7&gt;0,$A1004&gt;BC$7)),0,MAX(0,ROUND((INDEX($E1004:$G1004,BC$5)-SUMIFS(TF_Timer,TF_Tekniker,BC$4,TF_Dato,$A1004))*2,0)/2)))</f>
        <v/>
      </c>
      <c r="BD1004">
        <f>IF(OR(BD$4="",$A1004&gt;TODAY()),0,IF(OR(INDEX($B1004:$D1004,BD$5)="F",AND(BD$6&gt;0,$A1004&lt;BD$6),AND(BD$7&gt;0,$A1004&gt;BD$7)),0,MAX(0,ROUND((INDEX($E1004:$G1004,BD$5)-SUMIFS(TF_Timer,TF_Tekniker,BD$4,TF_Dato,$A1004))*2,0)/2)))</f>
        <v/>
      </c>
      <c r="BE1004">
        <f>IF(OR(BE$4="",$A1004&gt;TODAY()),0,IF(OR(INDEX($B1004:$D1004,BE$5)="F",AND(BE$6&gt;0,$A1004&lt;BE$6),AND(BE$7&gt;0,$A1004&gt;BE$7)),0,MAX(0,ROUND((INDEX($E1004:$G1004,BE$5)-SUMIFS(TF_Timer,TF_Tekniker,BE$4,TF_Dato,$A1004))*2,0)/2)))</f>
        <v/>
      </c>
      <c r="BF1004">
        <f>IF(OR(BF$4="",$A1004&gt;TODAY()),0,IF(OR(INDEX($B1004:$D1004,BF$5)="F",AND(BF$6&gt;0,$A1004&lt;BF$6),AND(BF$7&gt;0,$A1004&gt;BF$7)),0,MAX(0,ROUND((INDEX($E1004:$G1004,BF$5)-SUMIFS(TF_Timer,TF_Tekniker,BF$4,TF_Dato,$A1004))*2,0)/2)))</f>
        <v/>
      </c>
      <c r="BG1004">
        <f>IF(OR(BG$4="",$A1004&gt;TODAY()),0,IF(OR(INDEX($B1004:$D1004,BG$5)="F",AND(BG$6&gt;0,$A1004&lt;BG$6),AND(BG$7&gt;0,$A1004&gt;BG$7)),0,MAX(0,ROUND((INDEX($E1004:$G1004,BG$5)-SUMIFS(TF_Timer,TF_Tekniker,BG$4,TF_Dato,$A1004))*2,0)/2)))</f>
        <v/>
      </c>
      <c r="BH1004">
        <f>IF(OR(BH$4="",$A1004&gt;TODAY()),0,IF(OR(INDEX($B1004:$D1004,BH$5)="F",AND(BH$6&gt;0,$A1004&lt;BH$6),AND(BH$7&gt;0,$A1004&gt;BH$7)),0,MAX(0,ROUND((INDEX($E1004:$G1004,BH$5)-SUMIFS(TF_Timer,TF_Tekniker,BH$4,TF_Dato,$A1004))*2,0)/2)))</f>
        <v/>
      </c>
      <c r="BI1004">
        <f>IF(OR(BI$4="",$A1004&gt;TODAY()),0,IF(OR(INDEX($B1004:$D1004,BI$5)="F",AND(BI$6&gt;0,$A1004&lt;BI$6),AND(BI$7&gt;0,$A1004&gt;BI$7)),0,MAX(0,ROUND((INDEX($E1004:$G1004,BI$5)-SUMIFS(TF_Timer,TF_Tekniker,BI$4,TF_Dato,$A1004))*2,0)/2)))</f>
        <v/>
      </c>
    </row>
    <row r="1005">
      <c r="A1005" s="64">
        <f>A1004+1</f>
        <v/>
      </c>
      <c r="B1005">
        <f>IF(MOD($A1005-INDEX(SkiftStart,1),Syklus)&lt;DagK,"K",IF(MOD($A1005-INDEX(SkiftStart,1),Syklus)&lt;DagK+DagH,"H",IF(MOD($A1005-INDEX(SkiftStart,1),Syklus)&lt;DagK+DagH+DagD,"D","F")))</f>
        <v/>
      </c>
      <c r="C1005">
        <f>IF(MOD($A1005-INDEX(SkiftStart,2),Syklus)&lt;DagK,"K",IF(MOD($A1005-INDEX(SkiftStart,2),Syklus)&lt;DagK+DagH,"H",IF(MOD($A1005-INDEX(SkiftStart,2),Syklus)&lt;DagK+DagH+DagD,"D","F")))</f>
        <v/>
      </c>
      <c r="D1005">
        <f>IF(MOD($A1005-INDEX(SkiftStart,3),Syklus)&lt;DagK,"K",IF(MOD($A1005-INDEX(SkiftStart,3),Syklus)&lt;DagK+DagH,"H",IF(MOD($A1005-INDEX(SkiftStart,3),Syklus)&lt;DagK+DagH+DagD,"D","F")))</f>
        <v/>
      </c>
      <c r="E1005">
        <f>IF(B1005="F",0,IF(WEEKDAY($A1005,2)=5,INDEX(TimerFr,MATCH(B1005,FaseKode,0)),INDEX(TimerMT,MATCH(B1005,FaseKode,0))))</f>
        <v/>
      </c>
      <c r="F1005">
        <f>IF(C1005="F",0,IF(WEEKDAY($A1005,2)=5,INDEX(TimerFr,MATCH(C1005,FaseKode,0)),INDEX(TimerMT,MATCH(C1005,FaseKode,0))))</f>
        <v/>
      </c>
      <c r="G1005">
        <f>IF(D1005="F",0,IF(WEEKDAY($A1005,2)=5,INDEX(TimerFr,MATCH(D1005,FaseKode,0)),INDEX(TimerMT,MATCH(D1005,FaseKode,0))))</f>
        <v/>
      </c>
      <c r="H1005">
        <f>IF(OR(H$4="",$A1005&gt;TODAY()),0,IF(OR(INDEX($B1005:$D1005,H$5)="F",AND(H$6&gt;0,$A1005&lt;H$6),AND(H$7&gt;0,$A1005&gt;H$7)),0,MAX(0,ROUND((INDEX($E1005:$G1005,H$5)-SUMIFS(TF_Timer,TF_Tekniker,H$4,TF_Dato,$A1005))*2,0)/2)))</f>
        <v/>
      </c>
      <c r="I1005">
        <f>IF(OR(I$4="",$A1005&gt;TODAY()),0,IF(OR(INDEX($B1005:$D1005,I$5)="F",AND(I$6&gt;0,$A1005&lt;I$6),AND(I$7&gt;0,$A1005&gt;I$7)),0,MAX(0,ROUND((INDEX($E1005:$G1005,I$5)-SUMIFS(TF_Timer,TF_Tekniker,I$4,TF_Dato,$A1005))*2,0)/2)))</f>
        <v/>
      </c>
      <c r="J1005">
        <f>IF(OR(J$4="",$A1005&gt;TODAY()),0,IF(OR(INDEX($B1005:$D1005,J$5)="F",AND(J$6&gt;0,$A1005&lt;J$6),AND(J$7&gt;0,$A1005&gt;J$7)),0,MAX(0,ROUND((INDEX($E1005:$G1005,J$5)-SUMIFS(TF_Timer,TF_Tekniker,J$4,TF_Dato,$A1005))*2,0)/2)))</f>
        <v/>
      </c>
      <c r="K1005">
        <f>IF(OR(K$4="",$A1005&gt;TODAY()),0,IF(OR(INDEX($B1005:$D1005,K$5)="F",AND(K$6&gt;0,$A1005&lt;K$6),AND(K$7&gt;0,$A1005&gt;K$7)),0,MAX(0,ROUND((INDEX($E1005:$G1005,K$5)-SUMIFS(TF_Timer,TF_Tekniker,K$4,TF_Dato,$A1005))*2,0)/2)))</f>
        <v/>
      </c>
      <c r="L1005">
        <f>IF(OR(L$4="",$A1005&gt;TODAY()),0,IF(OR(INDEX($B1005:$D1005,L$5)="F",AND(L$6&gt;0,$A1005&lt;L$6),AND(L$7&gt;0,$A1005&gt;L$7)),0,MAX(0,ROUND((INDEX($E1005:$G1005,L$5)-SUMIFS(TF_Timer,TF_Tekniker,L$4,TF_Dato,$A1005))*2,0)/2)))</f>
        <v/>
      </c>
      <c r="M1005">
        <f>IF(OR(M$4="",$A1005&gt;TODAY()),0,IF(OR(INDEX($B1005:$D1005,M$5)="F",AND(M$6&gt;0,$A1005&lt;M$6),AND(M$7&gt;0,$A1005&gt;M$7)),0,MAX(0,ROUND((INDEX($E1005:$G1005,M$5)-SUMIFS(TF_Timer,TF_Tekniker,M$4,TF_Dato,$A1005))*2,0)/2)))</f>
        <v/>
      </c>
      <c r="N1005">
        <f>IF(OR(N$4="",$A1005&gt;TODAY()),0,IF(OR(INDEX($B1005:$D1005,N$5)="F",AND(N$6&gt;0,$A1005&lt;N$6),AND(N$7&gt;0,$A1005&gt;N$7)),0,MAX(0,ROUND((INDEX($E1005:$G1005,N$5)-SUMIFS(TF_Timer,TF_Tekniker,N$4,TF_Dato,$A1005))*2,0)/2)))</f>
        <v/>
      </c>
      <c r="O1005">
        <f>IF(OR(O$4="",$A1005&gt;TODAY()),0,IF(OR(INDEX($B1005:$D1005,O$5)="F",AND(O$6&gt;0,$A1005&lt;O$6),AND(O$7&gt;0,$A1005&gt;O$7)),0,MAX(0,ROUND((INDEX($E1005:$G1005,O$5)-SUMIFS(TF_Timer,TF_Tekniker,O$4,TF_Dato,$A1005))*2,0)/2)))</f>
        <v/>
      </c>
      <c r="P1005">
        <f>IF(OR(P$4="",$A1005&gt;TODAY()),0,IF(OR(INDEX($B1005:$D1005,P$5)="F",AND(P$6&gt;0,$A1005&lt;P$6),AND(P$7&gt;0,$A1005&gt;P$7)),0,MAX(0,ROUND((INDEX($E1005:$G1005,P$5)-SUMIFS(TF_Timer,TF_Tekniker,P$4,TF_Dato,$A1005))*2,0)/2)))</f>
        <v/>
      </c>
      <c r="Q1005">
        <f>IF(OR(Q$4="",$A1005&gt;TODAY()),0,IF(OR(INDEX($B1005:$D1005,Q$5)="F",AND(Q$6&gt;0,$A1005&lt;Q$6),AND(Q$7&gt;0,$A1005&gt;Q$7)),0,MAX(0,ROUND((INDEX($E1005:$G1005,Q$5)-SUMIFS(TF_Timer,TF_Tekniker,Q$4,TF_Dato,$A1005))*2,0)/2)))</f>
        <v/>
      </c>
      <c r="R1005">
        <f>IF(OR(R$4="",$A1005&gt;TODAY()),0,IF(OR(INDEX($B1005:$D1005,R$5)="F",AND(R$6&gt;0,$A1005&lt;R$6),AND(R$7&gt;0,$A1005&gt;R$7)),0,MAX(0,ROUND((INDEX($E1005:$G1005,R$5)-SUMIFS(TF_Timer,TF_Tekniker,R$4,TF_Dato,$A1005))*2,0)/2)))</f>
        <v/>
      </c>
      <c r="S1005">
        <f>IF(OR(S$4="",$A1005&gt;TODAY()),0,IF(OR(INDEX($B1005:$D1005,S$5)="F",AND(S$6&gt;0,$A1005&lt;S$6),AND(S$7&gt;0,$A1005&gt;S$7)),0,MAX(0,ROUND((INDEX($E1005:$G1005,S$5)-SUMIFS(TF_Timer,TF_Tekniker,S$4,TF_Dato,$A1005))*2,0)/2)))</f>
        <v/>
      </c>
      <c r="T1005">
        <f>IF(OR(T$4="",$A1005&gt;TODAY()),0,IF(OR(INDEX($B1005:$D1005,T$5)="F",AND(T$6&gt;0,$A1005&lt;T$6),AND(T$7&gt;0,$A1005&gt;T$7)),0,MAX(0,ROUND((INDEX($E1005:$G1005,T$5)-SUMIFS(TF_Timer,TF_Tekniker,T$4,TF_Dato,$A1005))*2,0)/2)))</f>
        <v/>
      </c>
      <c r="U1005">
        <f>IF(OR(U$4="",$A1005&gt;TODAY()),0,IF(OR(INDEX($B1005:$D1005,U$5)="F",AND(U$6&gt;0,$A1005&lt;U$6),AND(U$7&gt;0,$A1005&gt;U$7)),0,MAX(0,ROUND((INDEX($E1005:$G1005,U$5)-SUMIFS(TF_Timer,TF_Tekniker,U$4,TF_Dato,$A1005))*2,0)/2)))</f>
        <v/>
      </c>
      <c r="V1005">
        <f>IF(OR(V$4="",$A1005&gt;TODAY()),0,IF(OR(INDEX($B1005:$D1005,V$5)="F",AND(V$6&gt;0,$A1005&lt;V$6),AND(V$7&gt;0,$A1005&gt;V$7)),0,MAX(0,ROUND((INDEX($E1005:$G1005,V$5)-SUMIFS(TF_Timer,TF_Tekniker,V$4,TF_Dato,$A1005))*2,0)/2)))</f>
        <v/>
      </c>
      <c r="W1005">
        <f>IF(OR(W$4="",$A1005&gt;TODAY()),0,IF(OR(INDEX($B1005:$D1005,W$5)="F",AND(W$6&gt;0,$A1005&lt;W$6),AND(W$7&gt;0,$A1005&gt;W$7)),0,MAX(0,ROUND((INDEX($E1005:$G1005,W$5)-SUMIFS(TF_Timer,TF_Tekniker,W$4,TF_Dato,$A1005))*2,0)/2)))</f>
        <v/>
      </c>
      <c r="X1005">
        <f>IF(OR(X$4="",$A1005&gt;TODAY()),0,IF(OR(INDEX($B1005:$D1005,X$5)="F",AND(X$6&gt;0,$A1005&lt;X$6),AND(X$7&gt;0,$A1005&gt;X$7)),0,MAX(0,ROUND((INDEX($E1005:$G1005,X$5)-SUMIFS(TF_Timer,TF_Tekniker,X$4,TF_Dato,$A1005))*2,0)/2)))</f>
        <v/>
      </c>
      <c r="Y1005">
        <f>IF(OR(Y$4="",$A1005&gt;TODAY()),0,IF(OR(INDEX($B1005:$D1005,Y$5)="F",AND(Y$6&gt;0,$A1005&lt;Y$6),AND(Y$7&gt;0,$A1005&gt;Y$7)),0,MAX(0,ROUND((INDEX($E1005:$G1005,Y$5)-SUMIFS(TF_Timer,TF_Tekniker,Y$4,TF_Dato,$A1005))*2,0)/2)))</f>
        <v/>
      </c>
      <c r="Z1005">
        <f>IF(OR(Z$4="",$A1005&gt;TODAY()),0,IF(OR(INDEX($B1005:$D1005,Z$5)="F",AND(Z$6&gt;0,$A1005&lt;Z$6),AND(Z$7&gt;0,$A1005&gt;Z$7)),0,MAX(0,ROUND((INDEX($E1005:$G1005,Z$5)-SUMIFS(TF_Timer,TF_Tekniker,Z$4,TF_Dato,$A1005))*2,0)/2)))</f>
        <v/>
      </c>
      <c r="AA1005">
        <f>IF(OR(AA$4="",$A1005&gt;TODAY()),0,IF(OR(INDEX($B1005:$D1005,AA$5)="F",AND(AA$6&gt;0,$A1005&lt;AA$6),AND(AA$7&gt;0,$A1005&gt;AA$7)),0,MAX(0,ROUND((INDEX($E1005:$G1005,AA$5)-SUMIFS(TF_Timer,TF_Tekniker,AA$4,TF_Dato,$A1005))*2,0)/2)))</f>
        <v/>
      </c>
      <c r="AB1005">
        <f>IF(OR(AB$4="",$A1005&gt;TODAY()),0,IF(OR(INDEX($B1005:$D1005,AB$5)="F",AND(AB$6&gt;0,$A1005&lt;AB$6),AND(AB$7&gt;0,$A1005&gt;AB$7)),0,MAX(0,ROUND((INDEX($E1005:$G1005,AB$5)-SUMIFS(TF_Timer,TF_Tekniker,AB$4,TF_Dato,$A1005))*2,0)/2)))</f>
        <v/>
      </c>
      <c r="AC1005">
        <f>IF(OR(AC$4="",$A1005&gt;TODAY()),0,IF(OR(INDEX($B1005:$D1005,AC$5)="F",AND(AC$6&gt;0,$A1005&lt;AC$6),AND(AC$7&gt;0,$A1005&gt;AC$7)),0,MAX(0,ROUND((INDEX($E1005:$G1005,AC$5)-SUMIFS(TF_Timer,TF_Tekniker,AC$4,TF_Dato,$A1005))*2,0)/2)))</f>
        <v/>
      </c>
      <c r="AD1005">
        <f>IF(OR(AD$4="",$A1005&gt;TODAY()),0,IF(OR(INDEX($B1005:$D1005,AD$5)="F",AND(AD$6&gt;0,$A1005&lt;AD$6),AND(AD$7&gt;0,$A1005&gt;AD$7)),0,MAX(0,ROUND((INDEX($E1005:$G1005,AD$5)-SUMIFS(TF_Timer,TF_Tekniker,AD$4,TF_Dato,$A1005))*2,0)/2)))</f>
        <v/>
      </c>
      <c r="AE1005">
        <f>IF(OR(AE$4="",$A1005&gt;TODAY()),0,IF(OR(INDEX($B1005:$D1005,AE$5)="F",AND(AE$6&gt;0,$A1005&lt;AE$6),AND(AE$7&gt;0,$A1005&gt;AE$7)),0,MAX(0,ROUND((INDEX($E1005:$G1005,AE$5)-SUMIFS(TF_Timer,TF_Tekniker,AE$4,TF_Dato,$A1005))*2,0)/2)))</f>
        <v/>
      </c>
      <c r="AF1005">
        <f>IF(OR(AF$4="",$A1005&gt;TODAY()),0,IF(OR(INDEX($B1005:$D1005,AF$5)="F",AND(AF$6&gt;0,$A1005&lt;AF$6),AND(AF$7&gt;0,$A1005&gt;AF$7)),0,MAX(0,ROUND((INDEX($E1005:$G1005,AF$5)-SUMIFS(TF_Timer,TF_Tekniker,AF$4,TF_Dato,$A1005))*2,0)/2)))</f>
        <v/>
      </c>
      <c r="AG1005">
        <f>IF(OR(AG$4="",$A1005&gt;TODAY()),0,IF(OR(INDEX($B1005:$D1005,AG$5)="F",AND(AG$6&gt;0,$A1005&lt;AG$6),AND(AG$7&gt;0,$A1005&gt;AG$7)),0,MAX(0,ROUND((INDEX($E1005:$G1005,AG$5)-SUMIFS(TF_Timer,TF_Tekniker,AG$4,TF_Dato,$A1005))*2,0)/2)))</f>
        <v/>
      </c>
      <c r="AH1005">
        <f>IF(OR(AH$4="",$A1005&gt;TODAY()),0,IF(OR(INDEX($B1005:$D1005,AH$5)="F",AND(AH$6&gt;0,$A1005&lt;AH$6),AND(AH$7&gt;0,$A1005&gt;AH$7)),0,MAX(0,ROUND((INDEX($E1005:$G1005,AH$5)-SUMIFS(TF_Timer,TF_Tekniker,AH$4,TF_Dato,$A1005))*2,0)/2)))</f>
        <v/>
      </c>
      <c r="AI1005">
        <f>IF(OR(AI$4="",$A1005&gt;TODAY()),0,IF(OR(INDEX($B1005:$D1005,AI$5)="F",AND(AI$6&gt;0,$A1005&lt;AI$6),AND(AI$7&gt;0,$A1005&gt;AI$7)),0,MAX(0,ROUND((INDEX($E1005:$G1005,AI$5)-SUMIFS(TF_Timer,TF_Tekniker,AI$4,TF_Dato,$A1005))*2,0)/2)))</f>
        <v/>
      </c>
      <c r="AJ1005">
        <f>IF(OR(AJ$4="",$A1005&gt;TODAY()),0,IF(OR(INDEX($B1005:$D1005,AJ$5)="F",AND(AJ$6&gt;0,$A1005&lt;AJ$6),AND(AJ$7&gt;0,$A1005&gt;AJ$7)),0,MAX(0,ROUND((INDEX($E1005:$G1005,AJ$5)-SUMIFS(TF_Timer,TF_Tekniker,AJ$4,TF_Dato,$A1005))*2,0)/2)))</f>
        <v/>
      </c>
      <c r="AK1005">
        <f>IF(OR(AK$4="",$A1005&gt;TODAY()),0,IF(OR(INDEX($B1005:$D1005,AK$5)="F",AND(AK$6&gt;0,$A1005&lt;AK$6),AND(AK$7&gt;0,$A1005&gt;AK$7)),0,MAX(0,ROUND((INDEX($E1005:$G1005,AK$5)-SUMIFS(TF_Timer,TF_Tekniker,AK$4,TF_Dato,$A1005))*2,0)/2)))</f>
        <v/>
      </c>
      <c r="AL1005">
        <f>IF(OR(AL$4="",$A1005&gt;TODAY()),0,IF(OR(INDEX($B1005:$D1005,AL$5)="F",AND(AL$6&gt;0,$A1005&lt;AL$6),AND(AL$7&gt;0,$A1005&gt;AL$7)),0,MAX(0,ROUND((INDEX($E1005:$G1005,AL$5)-SUMIFS(TF_Timer,TF_Tekniker,AL$4,TF_Dato,$A1005))*2,0)/2)))</f>
        <v/>
      </c>
      <c r="AM1005">
        <f>IF(OR(AM$4="",$A1005&gt;TODAY()),0,IF(OR(INDEX($B1005:$D1005,AM$5)="F",AND(AM$6&gt;0,$A1005&lt;AM$6),AND(AM$7&gt;0,$A1005&gt;AM$7)),0,MAX(0,ROUND((INDEX($E1005:$G1005,AM$5)-SUMIFS(TF_Timer,TF_Tekniker,AM$4,TF_Dato,$A1005))*2,0)/2)))</f>
        <v/>
      </c>
      <c r="AN1005">
        <f>IF(OR(AN$4="",$A1005&gt;TODAY()),0,IF(OR(INDEX($B1005:$D1005,AN$5)="F",AND(AN$6&gt;0,$A1005&lt;AN$6),AND(AN$7&gt;0,$A1005&gt;AN$7)),0,MAX(0,ROUND((INDEX($E1005:$G1005,AN$5)-SUMIFS(TF_Timer,TF_Tekniker,AN$4,TF_Dato,$A1005))*2,0)/2)))</f>
        <v/>
      </c>
      <c r="AO1005">
        <f>IF(OR(AO$4="",$A1005&gt;TODAY()),0,IF(OR(INDEX($B1005:$D1005,AO$5)="F",AND(AO$6&gt;0,$A1005&lt;AO$6),AND(AO$7&gt;0,$A1005&gt;AO$7)),0,MAX(0,ROUND((INDEX($E1005:$G1005,AO$5)-SUMIFS(TF_Timer,TF_Tekniker,AO$4,TF_Dato,$A1005))*2,0)/2)))</f>
        <v/>
      </c>
      <c r="AP1005">
        <f>IF(OR(AP$4="",$A1005&gt;TODAY()),0,IF(OR(INDEX($B1005:$D1005,AP$5)="F",AND(AP$6&gt;0,$A1005&lt;AP$6),AND(AP$7&gt;0,$A1005&gt;AP$7)),0,MAX(0,ROUND((INDEX($E1005:$G1005,AP$5)-SUMIFS(TF_Timer,TF_Tekniker,AP$4,TF_Dato,$A1005))*2,0)/2)))</f>
        <v/>
      </c>
      <c r="AQ1005">
        <f>IF(OR(AQ$4="",$A1005&gt;TODAY()),0,IF(OR(INDEX($B1005:$D1005,AQ$5)="F",AND(AQ$6&gt;0,$A1005&lt;AQ$6),AND(AQ$7&gt;0,$A1005&gt;AQ$7)),0,MAX(0,ROUND((INDEX($E1005:$G1005,AQ$5)-SUMIFS(TF_Timer,TF_Tekniker,AQ$4,TF_Dato,$A1005))*2,0)/2)))</f>
        <v/>
      </c>
      <c r="AR1005">
        <f>IF(OR(AR$4="",$A1005&gt;TODAY()),0,IF(OR(INDEX($B1005:$D1005,AR$5)="F",AND(AR$6&gt;0,$A1005&lt;AR$6),AND(AR$7&gt;0,$A1005&gt;AR$7)),0,MAX(0,ROUND((INDEX($E1005:$G1005,AR$5)-SUMIFS(TF_Timer,TF_Tekniker,AR$4,TF_Dato,$A1005))*2,0)/2)))</f>
        <v/>
      </c>
      <c r="AS1005">
        <f>IF(OR(AS$4="",$A1005&gt;TODAY()),0,IF(OR(INDEX($B1005:$D1005,AS$5)="F",AND(AS$6&gt;0,$A1005&lt;AS$6),AND(AS$7&gt;0,$A1005&gt;AS$7)),0,MAX(0,ROUND((INDEX($E1005:$G1005,AS$5)-SUMIFS(TF_Timer,TF_Tekniker,AS$4,TF_Dato,$A1005))*2,0)/2)))</f>
        <v/>
      </c>
      <c r="AT1005">
        <f>IF(OR(AT$4="",$A1005&gt;TODAY()),0,IF(OR(INDEX($B1005:$D1005,AT$5)="F",AND(AT$6&gt;0,$A1005&lt;AT$6),AND(AT$7&gt;0,$A1005&gt;AT$7)),0,MAX(0,ROUND((INDEX($E1005:$G1005,AT$5)-SUMIFS(TF_Timer,TF_Tekniker,AT$4,TF_Dato,$A1005))*2,0)/2)))</f>
        <v/>
      </c>
      <c r="AU1005">
        <f>IF(OR(AU$4="",$A1005&gt;TODAY()),0,IF(OR(INDEX($B1005:$D1005,AU$5)="F",AND(AU$6&gt;0,$A1005&lt;AU$6),AND(AU$7&gt;0,$A1005&gt;AU$7)),0,MAX(0,ROUND((INDEX($E1005:$G1005,AU$5)-SUMIFS(TF_Timer,TF_Tekniker,AU$4,TF_Dato,$A1005))*2,0)/2)))</f>
        <v/>
      </c>
      <c r="AV1005">
        <f>IF(OR(AV$4="",$A1005&gt;TODAY()),0,IF(OR(INDEX($B1005:$D1005,AV$5)="F",AND(AV$6&gt;0,$A1005&lt;AV$6),AND(AV$7&gt;0,$A1005&gt;AV$7)),0,MAX(0,ROUND((INDEX($E1005:$G1005,AV$5)-SUMIFS(TF_Timer,TF_Tekniker,AV$4,TF_Dato,$A1005))*2,0)/2)))</f>
        <v/>
      </c>
      <c r="AW1005">
        <f>IF(OR(AW$4="",$A1005&gt;TODAY()),0,IF(OR(INDEX($B1005:$D1005,AW$5)="F",AND(AW$6&gt;0,$A1005&lt;AW$6),AND(AW$7&gt;0,$A1005&gt;AW$7)),0,MAX(0,ROUND((INDEX($E1005:$G1005,AW$5)-SUMIFS(TF_Timer,TF_Tekniker,AW$4,TF_Dato,$A1005))*2,0)/2)))</f>
        <v/>
      </c>
      <c r="AX1005">
        <f>IF(OR(AX$4="",$A1005&gt;TODAY()),0,IF(OR(INDEX($B1005:$D1005,AX$5)="F",AND(AX$6&gt;0,$A1005&lt;AX$6),AND(AX$7&gt;0,$A1005&gt;AX$7)),0,MAX(0,ROUND((INDEX($E1005:$G1005,AX$5)-SUMIFS(TF_Timer,TF_Tekniker,AX$4,TF_Dato,$A1005))*2,0)/2)))</f>
        <v/>
      </c>
      <c r="AY1005">
        <f>IF(OR(AY$4="",$A1005&gt;TODAY()),0,IF(OR(INDEX($B1005:$D1005,AY$5)="F",AND(AY$6&gt;0,$A1005&lt;AY$6),AND(AY$7&gt;0,$A1005&gt;AY$7)),0,MAX(0,ROUND((INDEX($E1005:$G1005,AY$5)-SUMIFS(TF_Timer,TF_Tekniker,AY$4,TF_Dato,$A1005))*2,0)/2)))</f>
        <v/>
      </c>
      <c r="AZ1005">
        <f>IF(OR(AZ$4="",$A1005&gt;TODAY()),0,IF(OR(INDEX($B1005:$D1005,AZ$5)="F",AND(AZ$6&gt;0,$A1005&lt;AZ$6),AND(AZ$7&gt;0,$A1005&gt;AZ$7)),0,MAX(0,ROUND((INDEX($E1005:$G1005,AZ$5)-SUMIFS(TF_Timer,TF_Tekniker,AZ$4,TF_Dato,$A1005))*2,0)/2)))</f>
        <v/>
      </c>
      <c r="BA1005">
        <f>IF(OR(BA$4="",$A1005&gt;TODAY()),0,IF(OR(INDEX($B1005:$D1005,BA$5)="F",AND(BA$6&gt;0,$A1005&lt;BA$6),AND(BA$7&gt;0,$A1005&gt;BA$7)),0,MAX(0,ROUND((INDEX($E1005:$G1005,BA$5)-SUMIFS(TF_Timer,TF_Tekniker,BA$4,TF_Dato,$A1005))*2,0)/2)))</f>
        <v/>
      </c>
      <c r="BB1005">
        <f>IF(OR(BB$4="",$A1005&gt;TODAY()),0,IF(OR(INDEX($B1005:$D1005,BB$5)="F",AND(BB$6&gt;0,$A1005&lt;BB$6),AND(BB$7&gt;0,$A1005&gt;BB$7)),0,MAX(0,ROUND((INDEX($E1005:$G1005,BB$5)-SUMIFS(TF_Timer,TF_Tekniker,BB$4,TF_Dato,$A1005))*2,0)/2)))</f>
        <v/>
      </c>
      <c r="BC1005">
        <f>IF(OR(BC$4="",$A1005&gt;TODAY()),0,IF(OR(INDEX($B1005:$D1005,BC$5)="F",AND(BC$6&gt;0,$A1005&lt;BC$6),AND(BC$7&gt;0,$A1005&gt;BC$7)),0,MAX(0,ROUND((INDEX($E1005:$G1005,BC$5)-SUMIFS(TF_Timer,TF_Tekniker,BC$4,TF_Dato,$A1005))*2,0)/2)))</f>
        <v/>
      </c>
      <c r="BD1005">
        <f>IF(OR(BD$4="",$A1005&gt;TODAY()),0,IF(OR(INDEX($B1005:$D1005,BD$5)="F",AND(BD$6&gt;0,$A1005&lt;BD$6),AND(BD$7&gt;0,$A1005&gt;BD$7)),0,MAX(0,ROUND((INDEX($E1005:$G1005,BD$5)-SUMIFS(TF_Timer,TF_Tekniker,BD$4,TF_Dato,$A1005))*2,0)/2)))</f>
        <v/>
      </c>
      <c r="BE1005">
        <f>IF(OR(BE$4="",$A1005&gt;TODAY()),0,IF(OR(INDEX($B1005:$D1005,BE$5)="F",AND(BE$6&gt;0,$A1005&lt;BE$6),AND(BE$7&gt;0,$A1005&gt;BE$7)),0,MAX(0,ROUND((INDEX($E1005:$G1005,BE$5)-SUMIFS(TF_Timer,TF_Tekniker,BE$4,TF_Dato,$A1005))*2,0)/2)))</f>
        <v/>
      </c>
      <c r="BF1005">
        <f>IF(OR(BF$4="",$A1005&gt;TODAY()),0,IF(OR(INDEX($B1005:$D1005,BF$5)="F",AND(BF$6&gt;0,$A1005&lt;BF$6),AND(BF$7&gt;0,$A1005&gt;BF$7)),0,MAX(0,ROUND((INDEX($E1005:$G1005,BF$5)-SUMIFS(TF_Timer,TF_Tekniker,BF$4,TF_Dato,$A1005))*2,0)/2)))</f>
        <v/>
      </c>
      <c r="BG1005">
        <f>IF(OR(BG$4="",$A1005&gt;TODAY()),0,IF(OR(INDEX($B1005:$D1005,BG$5)="F",AND(BG$6&gt;0,$A1005&lt;BG$6),AND(BG$7&gt;0,$A1005&gt;BG$7)),0,MAX(0,ROUND((INDEX($E1005:$G1005,BG$5)-SUMIFS(TF_Timer,TF_Tekniker,BG$4,TF_Dato,$A1005))*2,0)/2)))</f>
        <v/>
      </c>
      <c r="BH1005">
        <f>IF(OR(BH$4="",$A1005&gt;TODAY()),0,IF(OR(INDEX($B1005:$D1005,BH$5)="F",AND(BH$6&gt;0,$A1005&lt;BH$6),AND(BH$7&gt;0,$A1005&gt;BH$7)),0,MAX(0,ROUND((INDEX($E1005:$G1005,BH$5)-SUMIFS(TF_Timer,TF_Tekniker,BH$4,TF_Dato,$A1005))*2,0)/2)))</f>
        <v/>
      </c>
      <c r="BI1005">
        <f>IF(OR(BI$4="",$A1005&gt;TODAY()),0,IF(OR(INDEX($B1005:$D1005,BI$5)="F",AND(BI$6&gt;0,$A1005&lt;BI$6),AND(BI$7&gt;0,$A1005&gt;BI$7)),0,MAX(0,ROUND((INDEX($E1005:$G1005,BI$5)-SUMIFS(TF_Timer,TF_Tekniker,BI$4,TF_Dato,$A1005))*2,0)/2)))</f>
        <v/>
      </c>
    </row>
    <row r="1006">
      <c r="A1006" s="64">
        <f>A1005+1</f>
        <v/>
      </c>
      <c r="B1006">
        <f>IF(MOD($A1006-INDEX(SkiftStart,1),Syklus)&lt;DagK,"K",IF(MOD($A1006-INDEX(SkiftStart,1),Syklus)&lt;DagK+DagH,"H",IF(MOD($A1006-INDEX(SkiftStart,1),Syklus)&lt;DagK+DagH+DagD,"D","F")))</f>
        <v/>
      </c>
      <c r="C1006">
        <f>IF(MOD($A1006-INDEX(SkiftStart,2),Syklus)&lt;DagK,"K",IF(MOD($A1006-INDEX(SkiftStart,2),Syklus)&lt;DagK+DagH,"H",IF(MOD($A1006-INDEX(SkiftStart,2),Syklus)&lt;DagK+DagH+DagD,"D","F")))</f>
        <v/>
      </c>
      <c r="D1006">
        <f>IF(MOD($A1006-INDEX(SkiftStart,3),Syklus)&lt;DagK,"K",IF(MOD($A1006-INDEX(SkiftStart,3),Syklus)&lt;DagK+DagH,"H",IF(MOD($A1006-INDEX(SkiftStart,3),Syklus)&lt;DagK+DagH+DagD,"D","F")))</f>
        <v/>
      </c>
      <c r="E1006">
        <f>IF(B1006="F",0,IF(WEEKDAY($A1006,2)=5,INDEX(TimerFr,MATCH(B1006,FaseKode,0)),INDEX(TimerMT,MATCH(B1006,FaseKode,0))))</f>
        <v/>
      </c>
      <c r="F1006">
        <f>IF(C1006="F",0,IF(WEEKDAY($A1006,2)=5,INDEX(TimerFr,MATCH(C1006,FaseKode,0)),INDEX(TimerMT,MATCH(C1006,FaseKode,0))))</f>
        <v/>
      </c>
      <c r="G1006">
        <f>IF(D1006="F",0,IF(WEEKDAY($A1006,2)=5,INDEX(TimerFr,MATCH(D1006,FaseKode,0)),INDEX(TimerMT,MATCH(D1006,FaseKode,0))))</f>
        <v/>
      </c>
      <c r="H1006">
        <f>IF(OR(H$4="",$A1006&gt;TODAY()),0,IF(OR(INDEX($B1006:$D1006,H$5)="F",AND(H$6&gt;0,$A1006&lt;H$6),AND(H$7&gt;0,$A1006&gt;H$7)),0,MAX(0,ROUND((INDEX($E1006:$G1006,H$5)-SUMIFS(TF_Timer,TF_Tekniker,H$4,TF_Dato,$A1006))*2,0)/2)))</f>
        <v/>
      </c>
      <c r="I1006">
        <f>IF(OR(I$4="",$A1006&gt;TODAY()),0,IF(OR(INDEX($B1006:$D1006,I$5)="F",AND(I$6&gt;0,$A1006&lt;I$6),AND(I$7&gt;0,$A1006&gt;I$7)),0,MAX(0,ROUND((INDEX($E1006:$G1006,I$5)-SUMIFS(TF_Timer,TF_Tekniker,I$4,TF_Dato,$A1006))*2,0)/2)))</f>
        <v/>
      </c>
      <c r="J1006">
        <f>IF(OR(J$4="",$A1006&gt;TODAY()),0,IF(OR(INDEX($B1006:$D1006,J$5)="F",AND(J$6&gt;0,$A1006&lt;J$6),AND(J$7&gt;0,$A1006&gt;J$7)),0,MAX(0,ROUND((INDEX($E1006:$G1006,J$5)-SUMIFS(TF_Timer,TF_Tekniker,J$4,TF_Dato,$A1006))*2,0)/2)))</f>
        <v/>
      </c>
      <c r="K1006">
        <f>IF(OR(K$4="",$A1006&gt;TODAY()),0,IF(OR(INDEX($B1006:$D1006,K$5)="F",AND(K$6&gt;0,$A1006&lt;K$6),AND(K$7&gt;0,$A1006&gt;K$7)),0,MAX(0,ROUND((INDEX($E1006:$G1006,K$5)-SUMIFS(TF_Timer,TF_Tekniker,K$4,TF_Dato,$A1006))*2,0)/2)))</f>
        <v/>
      </c>
      <c r="L1006">
        <f>IF(OR(L$4="",$A1006&gt;TODAY()),0,IF(OR(INDEX($B1006:$D1006,L$5)="F",AND(L$6&gt;0,$A1006&lt;L$6),AND(L$7&gt;0,$A1006&gt;L$7)),0,MAX(0,ROUND((INDEX($E1006:$G1006,L$5)-SUMIFS(TF_Timer,TF_Tekniker,L$4,TF_Dato,$A1006))*2,0)/2)))</f>
        <v/>
      </c>
      <c r="M1006">
        <f>IF(OR(M$4="",$A1006&gt;TODAY()),0,IF(OR(INDEX($B1006:$D1006,M$5)="F",AND(M$6&gt;0,$A1006&lt;M$6),AND(M$7&gt;0,$A1006&gt;M$7)),0,MAX(0,ROUND((INDEX($E1006:$G1006,M$5)-SUMIFS(TF_Timer,TF_Tekniker,M$4,TF_Dato,$A1006))*2,0)/2)))</f>
        <v/>
      </c>
      <c r="N1006">
        <f>IF(OR(N$4="",$A1006&gt;TODAY()),0,IF(OR(INDEX($B1006:$D1006,N$5)="F",AND(N$6&gt;0,$A1006&lt;N$6),AND(N$7&gt;0,$A1006&gt;N$7)),0,MAX(0,ROUND((INDEX($E1006:$G1006,N$5)-SUMIFS(TF_Timer,TF_Tekniker,N$4,TF_Dato,$A1006))*2,0)/2)))</f>
        <v/>
      </c>
      <c r="O1006">
        <f>IF(OR(O$4="",$A1006&gt;TODAY()),0,IF(OR(INDEX($B1006:$D1006,O$5)="F",AND(O$6&gt;0,$A1006&lt;O$6),AND(O$7&gt;0,$A1006&gt;O$7)),0,MAX(0,ROUND((INDEX($E1006:$G1006,O$5)-SUMIFS(TF_Timer,TF_Tekniker,O$4,TF_Dato,$A1006))*2,0)/2)))</f>
        <v/>
      </c>
      <c r="P1006">
        <f>IF(OR(P$4="",$A1006&gt;TODAY()),0,IF(OR(INDEX($B1006:$D1006,P$5)="F",AND(P$6&gt;0,$A1006&lt;P$6),AND(P$7&gt;0,$A1006&gt;P$7)),0,MAX(0,ROUND((INDEX($E1006:$G1006,P$5)-SUMIFS(TF_Timer,TF_Tekniker,P$4,TF_Dato,$A1006))*2,0)/2)))</f>
        <v/>
      </c>
      <c r="Q1006">
        <f>IF(OR(Q$4="",$A1006&gt;TODAY()),0,IF(OR(INDEX($B1006:$D1006,Q$5)="F",AND(Q$6&gt;0,$A1006&lt;Q$6),AND(Q$7&gt;0,$A1006&gt;Q$7)),0,MAX(0,ROUND((INDEX($E1006:$G1006,Q$5)-SUMIFS(TF_Timer,TF_Tekniker,Q$4,TF_Dato,$A1006))*2,0)/2)))</f>
        <v/>
      </c>
      <c r="R1006">
        <f>IF(OR(R$4="",$A1006&gt;TODAY()),0,IF(OR(INDEX($B1006:$D1006,R$5)="F",AND(R$6&gt;0,$A1006&lt;R$6),AND(R$7&gt;0,$A1006&gt;R$7)),0,MAX(0,ROUND((INDEX($E1006:$G1006,R$5)-SUMIFS(TF_Timer,TF_Tekniker,R$4,TF_Dato,$A1006))*2,0)/2)))</f>
        <v/>
      </c>
      <c r="S1006">
        <f>IF(OR(S$4="",$A1006&gt;TODAY()),0,IF(OR(INDEX($B1006:$D1006,S$5)="F",AND(S$6&gt;0,$A1006&lt;S$6),AND(S$7&gt;0,$A1006&gt;S$7)),0,MAX(0,ROUND((INDEX($E1006:$G1006,S$5)-SUMIFS(TF_Timer,TF_Tekniker,S$4,TF_Dato,$A1006))*2,0)/2)))</f>
        <v/>
      </c>
      <c r="T1006">
        <f>IF(OR(T$4="",$A1006&gt;TODAY()),0,IF(OR(INDEX($B1006:$D1006,T$5)="F",AND(T$6&gt;0,$A1006&lt;T$6),AND(T$7&gt;0,$A1006&gt;T$7)),0,MAX(0,ROUND((INDEX($E1006:$G1006,T$5)-SUMIFS(TF_Timer,TF_Tekniker,T$4,TF_Dato,$A1006))*2,0)/2)))</f>
        <v/>
      </c>
      <c r="U1006">
        <f>IF(OR(U$4="",$A1006&gt;TODAY()),0,IF(OR(INDEX($B1006:$D1006,U$5)="F",AND(U$6&gt;0,$A1006&lt;U$6),AND(U$7&gt;0,$A1006&gt;U$7)),0,MAX(0,ROUND((INDEX($E1006:$G1006,U$5)-SUMIFS(TF_Timer,TF_Tekniker,U$4,TF_Dato,$A1006))*2,0)/2)))</f>
        <v/>
      </c>
      <c r="V1006">
        <f>IF(OR(V$4="",$A1006&gt;TODAY()),0,IF(OR(INDEX($B1006:$D1006,V$5)="F",AND(V$6&gt;0,$A1006&lt;V$6),AND(V$7&gt;0,$A1006&gt;V$7)),0,MAX(0,ROUND((INDEX($E1006:$G1006,V$5)-SUMIFS(TF_Timer,TF_Tekniker,V$4,TF_Dato,$A1006))*2,0)/2)))</f>
        <v/>
      </c>
      <c r="W1006">
        <f>IF(OR(W$4="",$A1006&gt;TODAY()),0,IF(OR(INDEX($B1006:$D1006,W$5)="F",AND(W$6&gt;0,$A1006&lt;W$6),AND(W$7&gt;0,$A1006&gt;W$7)),0,MAX(0,ROUND((INDEX($E1006:$G1006,W$5)-SUMIFS(TF_Timer,TF_Tekniker,W$4,TF_Dato,$A1006))*2,0)/2)))</f>
        <v/>
      </c>
      <c r="X1006">
        <f>IF(OR(X$4="",$A1006&gt;TODAY()),0,IF(OR(INDEX($B1006:$D1006,X$5)="F",AND(X$6&gt;0,$A1006&lt;X$6),AND(X$7&gt;0,$A1006&gt;X$7)),0,MAX(0,ROUND((INDEX($E1006:$G1006,X$5)-SUMIFS(TF_Timer,TF_Tekniker,X$4,TF_Dato,$A1006))*2,0)/2)))</f>
        <v/>
      </c>
      <c r="Y1006">
        <f>IF(OR(Y$4="",$A1006&gt;TODAY()),0,IF(OR(INDEX($B1006:$D1006,Y$5)="F",AND(Y$6&gt;0,$A1006&lt;Y$6),AND(Y$7&gt;0,$A1006&gt;Y$7)),0,MAX(0,ROUND((INDEX($E1006:$G1006,Y$5)-SUMIFS(TF_Timer,TF_Tekniker,Y$4,TF_Dato,$A1006))*2,0)/2)))</f>
        <v/>
      </c>
      <c r="Z1006">
        <f>IF(OR(Z$4="",$A1006&gt;TODAY()),0,IF(OR(INDEX($B1006:$D1006,Z$5)="F",AND(Z$6&gt;0,$A1006&lt;Z$6),AND(Z$7&gt;0,$A1006&gt;Z$7)),0,MAX(0,ROUND((INDEX($E1006:$G1006,Z$5)-SUMIFS(TF_Timer,TF_Tekniker,Z$4,TF_Dato,$A1006))*2,0)/2)))</f>
        <v/>
      </c>
      <c r="AA1006">
        <f>IF(OR(AA$4="",$A1006&gt;TODAY()),0,IF(OR(INDEX($B1006:$D1006,AA$5)="F",AND(AA$6&gt;0,$A1006&lt;AA$6),AND(AA$7&gt;0,$A1006&gt;AA$7)),0,MAX(0,ROUND((INDEX($E1006:$G1006,AA$5)-SUMIFS(TF_Timer,TF_Tekniker,AA$4,TF_Dato,$A1006))*2,0)/2)))</f>
        <v/>
      </c>
      <c r="AB1006">
        <f>IF(OR(AB$4="",$A1006&gt;TODAY()),0,IF(OR(INDEX($B1006:$D1006,AB$5)="F",AND(AB$6&gt;0,$A1006&lt;AB$6),AND(AB$7&gt;0,$A1006&gt;AB$7)),0,MAX(0,ROUND((INDEX($E1006:$G1006,AB$5)-SUMIFS(TF_Timer,TF_Tekniker,AB$4,TF_Dato,$A1006))*2,0)/2)))</f>
        <v/>
      </c>
      <c r="AC1006">
        <f>IF(OR(AC$4="",$A1006&gt;TODAY()),0,IF(OR(INDEX($B1006:$D1006,AC$5)="F",AND(AC$6&gt;0,$A1006&lt;AC$6),AND(AC$7&gt;0,$A1006&gt;AC$7)),0,MAX(0,ROUND((INDEX($E1006:$G1006,AC$5)-SUMIFS(TF_Timer,TF_Tekniker,AC$4,TF_Dato,$A1006))*2,0)/2)))</f>
        <v/>
      </c>
      <c r="AD1006">
        <f>IF(OR(AD$4="",$A1006&gt;TODAY()),0,IF(OR(INDEX($B1006:$D1006,AD$5)="F",AND(AD$6&gt;0,$A1006&lt;AD$6),AND(AD$7&gt;0,$A1006&gt;AD$7)),0,MAX(0,ROUND((INDEX($E1006:$G1006,AD$5)-SUMIFS(TF_Timer,TF_Tekniker,AD$4,TF_Dato,$A1006))*2,0)/2)))</f>
        <v/>
      </c>
      <c r="AE1006">
        <f>IF(OR(AE$4="",$A1006&gt;TODAY()),0,IF(OR(INDEX($B1006:$D1006,AE$5)="F",AND(AE$6&gt;0,$A1006&lt;AE$6),AND(AE$7&gt;0,$A1006&gt;AE$7)),0,MAX(0,ROUND((INDEX($E1006:$G1006,AE$5)-SUMIFS(TF_Timer,TF_Tekniker,AE$4,TF_Dato,$A1006))*2,0)/2)))</f>
        <v/>
      </c>
      <c r="AF1006">
        <f>IF(OR(AF$4="",$A1006&gt;TODAY()),0,IF(OR(INDEX($B1006:$D1006,AF$5)="F",AND(AF$6&gt;0,$A1006&lt;AF$6),AND(AF$7&gt;0,$A1006&gt;AF$7)),0,MAX(0,ROUND((INDEX($E1006:$G1006,AF$5)-SUMIFS(TF_Timer,TF_Tekniker,AF$4,TF_Dato,$A1006))*2,0)/2)))</f>
        <v/>
      </c>
      <c r="AG1006">
        <f>IF(OR(AG$4="",$A1006&gt;TODAY()),0,IF(OR(INDEX($B1006:$D1006,AG$5)="F",AND(AG$6&gt;0,$A1006&lt;AG$6),AND(AG$7&gt;0,$A1006&gt;AG$7)),0,MAX(0,ROUND((INDEX($E1006:$G1006,AG$5)-SUMIFS(TF_Timer,TF_Tekniker,AG$4,TF_Dato,$A1006))*2,0)/2)))</f>
        <v/>
      </c>
      <c r="AH1006">
        <f>IF(OR(AH$4="",$A1006&gt;TODAY()),0,IF(OR(INDEX($B1006:$D1006,AH$5)="F",AND(AH$6&gt;0,$A1006&lt;AH$6),AND(AH$7&gt;0,$A1006&gt;AH$7)),0,MAX(0,ROUND((INDEX($E1006:$G1006,AH$5)-SUMIFS(TF_Timer,TF_Tekniker,AH$4,TF_Dato,$A1006))*2,0)/2)))</f>
        <v/>
      </c>
      <c r="AI1006">
        <f>IF(OR(AI$4="",$A1006&gt;TODAY()),0,IF(OR(INDEX($B1006:$D1006,AI$5)="F",AND(AI$6&gt;0,$A1006&lt;AI$6),AND(AI$7&gt;0,$A1006&gt;AI$7)),0,MAX(0,ROUND((INDEX($E1006:$G1006,AI$5)-SUMIFS(TF_Timer,TF_Tekniker,AI$4,TF_Dato,$A1006))*2,0)/2)))</f>
        <v/>
      </c>
      <c r="AJ1006">
        <f>IF(OR(AJ$4="",$A1006&gt;TODAY()),0,IF(OR(INDEX($B1006:$D1006,AJ$5)="F",AND(AJ$6&gt;0,$A1006&lt;AJ$6),AND(AJ$7&gt;0,$A1006&gt;AJ$7)),0,MAX(0,ROUND((INDEX($E1006:$G1006,AJ$5)-SUMIFS(TF_Timer,TF_Tekniker,AJ$4,TF_Dato,$A1006))*2,0)/2)))</f>
        <v/>
      </c>
      <c r="AK1006">
        <f>IF(OR(AK$4="",$A1006&gt;TODAY()),0,IF(OR(INDEX($B1006:$D1006,AK$5)="F",AND(AK$6&gt;0,$A1006&lt;AK$6),AND(AK$7&gt;0,$A1006&gt;AK$7)),0,MAX(0,ROUND((INDEX($E1006:$G1006,AK$5)-SUMIFS(TF_Timer,TF_Tekniker,AK$4,TF_Dato,$A1006))*2,0)/2)))</f>
        <v/>
      </c>
      <c r="AL1006">
        <f>IF(OR(AL$4="",$A1006&gt;TODAY()),0,IF(OR(INDEX($B1006:$D1006,AL$5)="F",AND(AL$6&gt;0,$A1006&lt;AL$6),AND(AL$7&gt;0,$A1006&gt;AL$7)),0,MAX(0,ROUND((INDEX($E1006:$G1006,AL$5)-SUMIFS(TF_Timer,TF_Tekniker,AL$4,TF_Dato,$A1006))*2,0)/2)))</f>
        <v/>
      </c>
      <c r="AM1006">
        <f>IF(OR(AM$4="",$A1006&gt;TODAY()),0,IF(OR(INDEX($B1006:$D1006,AM$5)="F",AND(AM$6&gt;0,$A1006&lt;AM$6),AND(AM$7&gt;0,$A1006&gt;AM$7)),0,MAX(0,ROUND((INDEX($E1006:$G1006,AM$5)-SUMIFS(TF_Timer,TF_Tekniker,AM$4,TF_Dato,$A1006))*2,0)/2)))</f>
        <v/>
      </c>
      <c r="AN1006">
        <f>IF(OR(AN$4="",$A1006&gt;TODAY()),0,IF(OR(INDEX($B1006:$D1006,AN$5)="F",AND(AN$6&gt;0,$A1006&lt;AN$6),AND(AN$7&gt;0,$A1006&gt;AN$7)),0,MAX(0,ROUND((INDEX($E1006:$G1006,AN$5)-SUMIFS(TF_Timer,TF_Tekniker,AN$4,TF_Dato,$A1006))*2,0)/2)))</f>
        <v/>
      </c>
      <c r="AO1006">
        <f>IF(OR(AO$4="",$A1006&gt;TODAY()),0,IF(OR(INDEX($B1006:$D1006,AO$5)="F",AND(AO$6&gt;0,$A1006&lt;AO$6),AND(AO$7&gt;0,$A1006&gt;AO$7)),0,MAX(0,ROUND((INDEX($E1006:$G1006,AO$5)-SUMIFS(TF_Timer,TF_Tekniker,AO$4,TF_Dato,$A1006))*2,0)/2)))</f>
        <v/>
      </c>
      <c r="AP1006">
        <f>IF(OR(AP$4="",$A1006&gt;TODAY()),0,IF(OR(INDEX($B1006:$D1006,AP$5)="F",AND(AP$6&gt;0,$A1006&lt;AP$6),AND(AP$7&gt;0,$A1006&gt;AP$7)),0,MAX(0,ROUND((INDEX($E1006:$G1006,AP$5)-SUMIFS(TF_Timer,TF_Tekniker,AP$4,TF_Dato,$A1006))*2,0)/2)))</f>
        <v/>
      </c>
      <c r="AQ1006">
        <f>IF(OR(AQ$4="",$A1006&gt;TODAY()),0,IF(OR(INDEX($B1006:$D1006,AQ$5)="F",AND(AQ$6&gt;0,$A1006&lt;AQ$6),AND(AQ$7&gt;0,$A1006&gt;AQ$7)),0,MAX(0,ROUND((INDEX($E1006:$G1006,AQ$5)-SUMIFS(TF_Timer,TF_Tekniker,AQ$4,TF_Dato,$A1006))*2,0)/2)))</f>
        <v/>
      </c>
      <c r="AR1006">
        <f>IF(OR(AR$4="",$A1006&gt;TODAY()),0,IF(OR(INDEX($B1006:$D1006,AR$5)="F",AND(AR$6&gt;0,$A1006&lt;AR$6),AND(AR$7&gt;0,$A1006&gt;AR$7)),0,MAX(0,ROUND((INDEX($E1006:$G1006,AR$5)-SUMIFS(TF_Timer,TF_Tekniker,AR$4,TF_Dato,$A1006))*2,0)/2)))</f>
        <v/>
      </c>
      <c r="AS1006">
        <f>IF(OR(AS$4="",$A1006&gt;TODAY()),0,IF(OR(INDEX($B1006:$D1006,AS$5)="F",AND(AS$6&gt;0,$A1006&lt;AS$6),AND(AS$7&gt;0,$A1006&gt;AS$7)),0,MAX(0,ROUND((INDEX($E1006:$G1006,AS$5)-SUMIFS(TF_Timer,TF_Tekniker,AS$4,TF_Dato,$A1006))*2,0)/2)))</f>
        <v/>
      </c>
      <c r="AT1006">
        <f>IF(OR(AT$4="",$A1006&gt;TODAY()),0,IF(OR(INDEX($B1006:$D1006,AT$5)="F",AND(AT$6&gt;0,$A1006&lt;AT$6),AND(AT$7&gt;0,$A1006&gt;AT$7)),0,MAX(0,ROUND((INDEX($E1006:$G1006,AT$5)-SUMIFS(TF_Timer,TF_Tekniker,AT$4,TF_Dato,$A1006))*2,0)/2)))</f>
        <v/>
      </c>
      <c r="AU1006">
        <f>IF(OR(AU$4="",$A1006&gt;TODAY()),0,IF(OR(INDEX($B1006:$D1006,AU$5)="F",AND(AU$6&gt;0,$A1006&lt;AU$6),AND(AU$7&gt;0,$A1006&gt;AU$7)),0,MAX(0,ROUND((INDEX($E1006:$G1006,AU$5)-SUMIFS(TF_Timer,TF_Tekniker,AU$4,TF_Dato,$A1006))*2,0)/2)))</f>
        <v/>
      </c>
      <c r="AV1006">
        <f>IF(OR(AV$4="",$A1006&gt;TODAY()),0,IF(OR(INDEX($B1006:$D1006,AV$5)="F",AND(AV$6&gt;0,$A1006&lt;AV$6),AND(AV$7&gt;0,$A1006&gt;AV$7)),0,MAX(0,ROUND((INDEX($E1006:$G1006,AV$5)-SUMIFS(TF_Timer,TF_Tekniker,AV$4,TF_Dato,$A1006))*2,0)/2)))</f>
        <v/>
      </c>
      <c r="AW1006">
        <f>IF(OR(AW$4="",$A1006&gt;TODAY()),0,IF(OR(INDEX($B1006:$D1006,AW$5)="F",AND(AW$6&gt;0,$A1006&lt;AW$6),AND(AW$7&gt;0,$A1006&gt;AW$7)),0,MAX(0,ROUND((INDEX($E1006:$G1006,AW$5)-SUMIFS(TF_Timer,TF_Tekniker,AW$4,TF_Dato,$A1006))*2,0)/2)))</f>
        <v/>
      </c>
      <c r="AX1006">
        <f>IF(OR(AX$4="",$A1006&gt;TODAY()),0,IF(OR(INDEX($B1006:$D1006,AX$5)="F",AND(AX$6&gt;0,$A1006&lt;AX$6),AND(AX$7&gt;0,$A1006&gt;AX$7)),0,MAX(0,ROUND((INDEX($E1006:$G1006,AX$5)-SUMIFS(TF_Timer,TF_Tekniker,AX$4,TF_Dato,$A1006))*2,0)/2)))</f>
        <v/>
      </c>
      <c r="AY1006">
        <f>IF(OR(AY$4="",$A1006&gt;TODAY()),0,IF(OR(INDEX($B1006:$D1006,AY$5)="F",AND(AY$6&gt;0,$A1006&lt;AY$6),AND(AY$7&gt;0,$A1006&gt;AY$7)),0,MAX(0,ROUND((INDEX($E1006:$G1006,AY$5)-SUMIFS(TF_Timer,TF_Tekniker,AY$4,TF_Dato,$A1006))*2,0)/2)))</f>
        <v/>
      </c>
      <c r="AZ1006">
        <f>IF(OR(AZ$4="",$A1006&gt;TODAY()),0,IF(OR(INDEX($B1006:$D1006,AZ$5)="F",AND(AZ$6&gt;0,$A1006&lt;AZ$6),AND(AZ$7&gt;0,$A1006&gt;AZ$7)),0,MAX(0,ROUND((INDEX($E1006:$G1006,AZ$5)-SUMIFS(TF_Timer,TF_Tekniker,AZ$4,TF_Dato,$A1006))*2,0)/2)))</f>
        <v/>
      </c>
      <c r="BA1006">
        <f>IF(OR(BA$4="",$A1006&gt;TODAY()),0,IF(OR(INDEX($B1006:$D1006,BA$5)="F",AND(BA$6&gt;0,$A1006&lt;BA$6),AND(BA$7&gt;0,$A1006&gt;BA$7)),0,MAX(0,ROUND((INDEX($E1006:$G1006,BA$5)-SUMIFS(TF_Timer,TF_Tekniker,BA$4,TF_Dato,$A1006))*2,0)/2)))</f>
        <v/>
      </c>
      <c r="BB1006">
        <f>IF(OR(BB$4="",$A1006&gt;TODAY()),0,IF(OR(INDEX($B1006:$D1006,BB$5)="F",AND(BB$6&gt;0,$A1006&lt;BB$6),AND(BB$7&gt;0,$A1006&gt;BB$7)),0,MAX(0,ROUND((INDEX($E1006:$G1006,BB$5)-SUMIFS(TF_Timer,TF_Tekniker,BB$4,TF_Dato,$A1006))*2,0)/2)))</f>
        <v/>
      </c>
      <c r="BC1006">
        <f>IF(OR(BC$4="",$A1006&gt;TODAY()),0,IF(OR(INDEX($B1006:$D1006,BC$5)="F",AND(BC$6&gt;0,$A1006&lt;BC$6),AND(BC$7&gt;0,$A1006&gt;BC$7)),0,MAX(0,ROUND((INDEX($E1006:$G1006,BC$5)-SUMIFS(TF_Timer,TF_Tekniker,BC$4,TF_Dato,$A1006))*2,0)/2)))</f>
        <v/>
      </c>
      <c r="BD1006">
        <f>IF(OR(BD$4="",$A1006&gt;TODAY()),0,IF(OR(INDEX($B1006:$D1006,BD$5)="F",AND(BD$6&gt;0,$A1006&lt;BD$6),AND(BD$7&gt;0,$A1006&gt;BD$7)),0,MAX(0,ROUND((INDEX($E1006:$G1006,BD$5)-SUMIFS(TF_Timer,TF_Tekniker,BD$4,TF_Dato,$A1006))*2,0)/2)))</f>
        <v/>
      </c>
      <c r="BE1006">
        <f>IF(OR(BE$4="",$A1006&gt;TODAY()),0,IF(OR(INDEX($B1006:$D1006,BE$5)="F",AND(BE$6&gt;0,$A1006&lt;BE$6),AND(BE$7&gt;0,$A1006&gt;BE$7)),0,MAX(0,ROUND((INDEX($E1006:$G1006,BE$5)-SUMIFS(TF_Timer,TF_Tekniker,BE$4,TF_Dato,$A1006))*2,0)/2)))</f>
        <v/>
      </c>
      <c r="BF1006">
        <f>IF(OR(BF$4="",$A1006&gt;TODAY()),0,IF(OR(INDEX($B1006:$D1006,BF$5)="F",AND(BF$6&gt;0,$A1006&lt;BF$6),AND(BF$7&gt;0,$A1006&gt;BF$7)),0,MAX(0,ROUND((INDEX($E1006:$G1006,BF$5)-SUMIFS(TF_Timer,TF_Tekniker,BF$4,TF_Dato,$A1006))*2,0)/2)))</f>
        <v/>
      </c>
      <c r="BG1006">
        <f>IF(OR(BG$4="",$A1006&gt;TODAY()),0,IF(OR(INDEX($B1006:$D1006,BG$5)="F",AND(BG$6&gt;0,$A1006&lt;BG$6),AND(BG$7&gt;0,$A1006&gt;BG$7)),0,MAX(0,ROUND((INDEX($E1006:$G1006,BG$5)-SUMIFS(TF_Timer,TF_Tekniker,BG$4,TF_Dato,$A1006))*2,0)/2)))</f>
        <v/>
      </c>
      <c r="BH1006">
        <f>IF(OR(BH$4="",$A1006&gt;TODAY()),0,IF(OR(INDEX($B1006:$D1006,BH$5)="F",AND(BH$6&gt;0,$A1006&lt;BH$6),AND(BH$7&gt;0,$A1006&gt;BH$7)),0,MAX(0,ROUND((INDEX($E1006:$G1006,BH$5)-SUMIFS(TF_Timer,TF_Tekniker,BH$4,TF_Dato,$A1006))*2,0)/2)))</f>
        <v/>
      </c>
      <c r="BI1006">
        <f>IF(OR(BI$4="",$A1006&gt;TODAY()),0,IF(OR(INDEX($B1006:$D1006,BI$5)="F",AND(BI$6&gt;0,$A1006&lt;BI$6),AND(BI$7&gt;0,$A1006&gt;BI$7)),0,MAX(0,ROUND((INDEX($E1006:$G1006,BI$5)-SUMIFS(TF_Timer,TF_Tekniker,BI$4,TF_Dato,$A1006))*2,0)/2)))</f>
        <v/>
      </c>
    </row>
    <row r="1007">
      <c r="A1007" s="64">
        <f>A1006+1</f>
        <v/>
      </c>
      <c r="B1007">
        <f>IF(MOD($A1007-INDEX(SkiftStart,1),Syklus)&lt;DagK,"K",IF(MOD($A1007-INDEX(SkiftStart,1),Syklus)&lt;DagK+DagH,"H",IF(MOD($A1007-INDEX(SkiftStart,1),Syklus)&lt;DagK+DagH+DagD,"D","F")))</f>
        <v/>
      </c>
      <c r="C1007">
        <f>IF(MOD($A1007-INDEX(SkiftStart,2),Syklus)&lt;DagK,"K",IF(MOD($A1007-INDEX(SkiftStart,2),Syklus)&lt;DagK+DagH,"H",IF(MOD($A1007-INDEX(SkiftStart,2),Syklus)&lt;DagK+DagH+DagD,"D","F")))</f>
        <v/>
      </c>
      <c r="D1007">
        <f>IF(MOD($A1007-INDEX(SkiftStart,3),Syklus)&lt;DagK,"K",IF(MOD($A1007-INDEX(SkiftStart,3),Syklus)&lt;DagK+DagH,"H",IF(MOD($A1007-INDEX(SkiftStart,3),Syklus)&lt;DagK+DagH+DagD,"D","F")))</f>
        <v/>
      </c>
      <c r="E1007">
        <f>IF(B1007="F",0,IF(WEEKDAY($A1007,2)=5,INDEX(TimerFr,MATCH(B1007,FaseKode,0)),INDEX(TimerMT,MATCH(B1007,FaseKode,0))))</f>
        <v/>
      </c>
      <c r="F1007">
        <f>IF(C1007="F",0,IF(WEEKDAY($A1007,2)=5,INDEX(TimerFr,MATCH(C1007,FaseKode,0)),INDEX(TimerMT,MATCH(C1007,FaseKode,0))))</f>
        <v/>
      </c>
      <c r="G1007">
        <f>IF(D1007="F",0,IF(WEEKDAY($A1007,2)=5,INDEX(TimerFr,MATCH(D1007,FaseKode,0)),INDEX(TimerMT,MATCH(D1007,FaseKode,0))))</f>
        <v/>
      </c>
      <c r="H1007">
        <f>IF(OR(H$4="",$A1007&gt;TODAY()),0,IF(OR(INDEX($B1007:$D1007,H$5)="F",AND(H$6&gt;0,$A1007&lt;H$6),AND(H$7&gt;0,$A1007&gt;H$7)),0,MAX(0,ROUND((INDEX($E1007:$G1007,H$5)-SUMIFS(TF_Timer,TF_Tekniker,H$4,TF_Dato,$A1007))*2,0)/2)))</f>
        <v/>
      </c>
      <c r="I1007">
        <f>IF(OR(I$4="",$A1007&gt;TODAY()),0,IF(OR(INDEX($B1007:$D1007,I$5)="F",AND(I$6&gt;0,$A1007&lt;I$6),AND(I$7&gt;0,$A1007&gt;I$7)),0,MAX(0,ROUND((INDEX($E1007:$G1007,I$5)-SUMIFS(TF_Timer,TF_Tekniker,I$4,TF_Dato,$A1007))*2,0)/2)))</f>
        <v/>
      </c>
      <c r="J1007">
        <f>IF(OR(J$4="",$A1007&gt;TODAY()),0,IF(OR(INDEX($B1007:$D1007,J$5)="F",AND(J$6&gt;0,$A1007&lt;J$6),AND(J$7&gt;0,$A1007&gt;J$7)),0,MAX(0,ROUND((INDEX($E1007:$G1007,J$5)-SUMIFS(TF_Timer,TF_Tekniker,J$4,TF_Dato,$A1007))*2,0)/2)))</f>
        <v/>
      </c>
      <c r="K1007">
        <f>IF(OR(K$4="",$A1007&gt;TODAY()),0,IF(OR(INDEX($B1007:$D1007,K$5)="F",AND(K$6&gt;0,$A1007&lt;K$6),AND(K$7&gt;0,$A1007&gt;K$7)),0,MAX(0,ROUND((INDEX($E1007:$G1007,K$5)-SUMIFS(TF_Timer,TF_Tekniker,K$4,TF_Dato,$A1007))*2,0)/2)))</f>
        <v/>
      </c>
      <c r="L1007">
        <f>IF(OR(L$4="",$A1007&gt;TODAY()),0,IF(OR(INDEX($B1007:$D1007,L$5)="F",AND(L$6&gt;0,$A1007&lt;L$6),AND(L$7&gt;0,$A1007&gt;L$7)),0,MAX(0,ROUND((INDEX($E1007:$G1007,L$5)-SUMIFS(TF_Timer,TF_Tekniker,L$4,TF_Dato,$A1007))*2,0)/2)))</f>
        <v/>
      </c>
      <c r="M1007">
        <f>IF(OR(M$4="",$A1007&gt;TODAY()),0,IF(OR(INDEX($B1007:$D1007,M$5)="F",AND(M$6&gt;0,$A1007&lt;M$6),AND(M$7&gt;0,$A1007&gt;M$7)),0,MAX(0,ROUND((INDEX($E1007:$G1007,M$5)-SUMIFS(TF_Timer,TF_Tekniker,M$4,TF_Dato,$A1007))*2,0)/2)))</f>
        <v/>
      </c>
      <c r="N1007">
        <f>IF(OR(N$4="",$A1007&gt;TODAY()),0,IF(OR(INDEX($B1007:$D1007,N$5)="F",AND(N$6&gt;0,$A1007&lt;N$6),AND(N$7&gt;0,$A1007&gt;N$7)),0,MAX(0,ROUND((INDEX($E1007:$G1007,N$5)-SUMIFS(TF_Timer,TF_Tekniker,N$4,TF_Dato,$A1007))*2,0)/2)))</f>
        <v/>
      </c>
      <c r="O1007">
        <f>IF(OR(O$4="",$A1007&gt;TODAY()),0,IF(OR(INDEX($B1007:$D1007,O$5)="F",AND(O$6&gt;0,$A1007&lt;O$6),AND(O$7&gt;0,$A1007&gt;O$7)),0,MAX(0,ROUND((INDEX($E1007:$G1007,O$5)-SUMIFS(TF_Timer,TF_Tekniker,O$4,TF_Dato,$A1007))*2,0)/2)))</f>
        <v/>
      </c>
      <c r="P1007">
        <f>IF(OR(P$4="",$A1007&gt;TODAY()),0,IF(OR(INDEX($B1007:$D1007,P$5)="F",AND(P$6&gt;0,$A1007&lt;P$6),AND(P$7&gt;0,$A1007&gt;P$7)),0,MAX(0,ROUND((INDEX($E1007:$G1007,P$5)-SUMIFS(TF_Timer,TF_Tekniker,P$4,TF_Dato,$A1007))*2,0)/2)))</f>
        <v/>
      </c>
      <c r="Q1007">
        <f>IF(OR(Q$4="",$A1007&gt;TODAY()),0,IF(OR(INDEX($B1007:$D1007,Q$5)="F",AND(Q$6&gt;0,$A1007&lt;Q$6),AND(Q$7&gt;0,$A1007&gt;Q$7)),0,MAX(0,ROUND((INDEX($E1007:$G1007,Q$5)-SUMIFS(TF_Timer,TF_Tekniker,Q$4,TF_Dato,$A1007))*2,0)/2)))</f>
        <v/>
      </c>
      <c r="R1007">
        <f>IF(OR(R$4="",$A1007&gt;TODAY()),0,IF(OR(INDEX($B1007:$D1007,R$5)="F",AND(R$6&gt;0,$A1007&lt;R$6),AND(R$7&gt;0,$A1007&gt;R$7)),0,MAX(0,ROUND((INDEX($E1007:$G1007,R$5)-SUMIFS(TF_Timer,TF_Tekniker,R$4,TF_Dato,$A1007))*2,0)/2)))</f>
        <v/>
      </c>
      <c r="S1007">
        <f>IF(OR(S$4="",$A1007&gt;TODAY()),0,IF(OR(INDEX($B1007:$D1007,S$5)="F",AND(S$6&gt;0,$A1007&lt;S$6),AND(S$7&gt;0,$A1007&gt;S$7)),0,MAX(0,ROUND((INDEX($E1007:$G1007,S$5)-SUMIFS(TF_Timer,TF_Tekniker,S$4,TF_Dato,$A1007))*2,0)/2)))</f>
        <v/>
      </c>
      <c r="T1007">
        <f>IF(OR(T$4="",$A1007&gt;TODAY()),0,IF(OR(INDEX($B1007:$D1007,T$5)="F",AND(T$6&gt;0,$A1007&lt;T$6),AND(T$7&gt;0,$A1007&gt;T$7)),0,MAX(0,ROUND((INDEX($E1007:$G1007,T$5)-SUMIFS(TF_Timer,TF_Tekniker,T$4,TF_Dato,$A1007))*2,0)/2)))</f>
        <v/>
      </c>
      <c r="U1007">
        <f>IF(OR(U$4="",$A1007&gt;TODAY()),0,IF(OR(INDEX($B1007:$D1007,U$5)="F",AND(U$6&gt;0,$A1007&lt;U$6),AND(U$7&gt;0,$A1007&gt;U$7)),0,MAX(0,ROUND((INDEX($E1007:$G1007,U$5)-SUMIFS(TF_Timer,TF_Tekniker,U$4,TF_Dato,$A1007))*2,0)/2)))</f>
        <v/>
      </c>
      <c r="V1007">
        <f>IF(OR(V$4="",$A1007&gt;TODAY()),0,IF(OR(INDEX($B1007:$D1007,V$5)="F",AND(V$6&gt;0,$A1007&lt;V$6),AND(V$7&gt;0,$A1007&gt;V$7)),0,MAX(0,ROUND((INDEX($E1007:$G1007,V$5)-SUMIFS(TF_Timer,TF_Tekniker,V$4,TF_Dato,$A1007))*2,0)/2)))</f>
        <v/>
      </c>
      <c r="W1007">
        <f>IF(OR(W$4="",$A1007&gt;TODAY()),0,IF(OR(INDEX($B1007:$D1007,W$5)="F",AND(W$6&gt;0,$A1007&lt;W$6),AND(W$7&gt;0,$A1007&gt;W$7)),0,MAX(0,ROUND((INDEX($E1007:$G1007,W$5)-SUMIFS(TF_Timer,TF_Tekniker,W$4,TF_Dato,$A1007))*2,0)/2)))</f>
        <v/>
      </c>
      <c r="X1007">
        <f>IF(OR(X$4="",$A1007&gt;TODAY()),0,IF(OR(INDEX($B1007:$D1007,X$5)="F",AND(X$6&gt;0,$A1007&lt;X$6),AND(X$7&gt;0,$A1007&gt;X$7)),0,MAX(0,ROUND((INDEX($E1007:$G1007,X$5)-SUMIFS(TF_Timer,TF_Tekniker,X$4,TF_Dato,$A1007))*2,0)/2)))</f>
        <v/>
      </c>
      <c r="Y1007">
        <f>IF(OR(Y$4="",$A1007&gt;TODAY()),0,IF(OR(INDEX($B1007:$D1007,Y$5)="F",AND(Y$6&gt;0,$A1007&lt;Y$6),AND(Y$7&gt;0,$A1007&gt;Y$7)),0,MAX(0,ROUND((INDEX($E1007:$G1007,Y$5)-SUMIFS(TF_Timer,TF_Tekniker,Y$4,TF_Dato,$A1007))*2,0)/2)))</f>
        <v/>
      </c>
      <c r="Z1007">
        <f>IF(OR(Z$4="",$A1007&gt;TODAY()),0,IF(OR(INDEX($B1007:$D1007,Z$5)="F",AND(Z$6&gt;0,$A1007&lt;Z$6),AND(Z$7&gt;0,$A1007&gt;Z$7)),0,MAX(0,ROUND((INDEX($E1007:$G1007,Z$5)-SUMIFS(TF_Timer,TF_Tekniker,Z$4,TF_Dato,$A1007))*2,0)/2)))</f>
        <v/>
      </c>
      <c r="AA1007">
        <f>IF(OR(AA$4="",$A1007&gt;TODAY()),0,IF(OR(INDEX($B1007:$D1007,AA$5)="F",AND(AA$6&gt;0,$A1007&lt;AA$6),AND(AA$7&gt;0,$A1007&gt;AA$7)),0,MAX(0,ROUND((INDEX($E1007:$G1007,AA$5)-SUMIFS(TF_Timer,TF_Tekniker,AA$4,TF_Dato,$A1007))*2,0)/2)))</f>
        <v/>
      </c>
      <c r="AB1007">
        <f>IF(OR(AB$4="",$A1007&gt;TODAY()),0,IF(OR(INDEX($B1007:$D1007,AB$5)="F",AND(AB$6&gt;0,$A1007&lt;AB$6),AND(AB$7&gt;0,$A1007&gt;AB$7)),0,MAX(0,ROUND((INDEX($E1007:$G1007,AB$5)-SUMIFS(TF_Timer,TF_Tekniker,AB$4,TF_Dato,$A1007))*2,0)/2)))</f>
        <v/>
      </c>
      <c r="AC1007">
        <f>IF(OR(AC$4="",$A1007&gt;TODAY()),0,IF(OR(INDEX($B1007:$D1007,AC$5)="F",AND(AC$6&gt;0,$A1007&lt;AC$6),AND(AC$7&gt;0,$A1007&gt;AC$7)),0,MAX(0,ROUND((INDEX($E1007:$G1007,AC$5)-SUMIFS(TF_Timer,TF_Tekniker,AC$4,TF_Dato,$A1007))*2,0)/2)))</f>
        <v/>
      </c>
      <c r="AD1007">
        <f>IF(OR(AD$4="",$A1007&gt;TODAY()),0,IF(OR(INDEX($B1007:$D1007,AD$5)="F",AND(AD$6&gt;0,$A1007&lt;AD$6),AND(AD$7&gt;0,$A1007&gt;AD$7)),0,MAX(0,ROUND((INDEX($E1007:$G1007,AD$5)-SUMIFS(TF_Timer,TF_Tekniker,AD$4,TF_Dato,$A1007))*2,0)/2)))</f>
        <v/>
      </c>
      <c r="AE1007">
        <f>IF(OR(AE$4="",$A1007&gt;TODAY()),0,IF(OR(INDEX($B1007:$D1007,AE$5)="F",AND(AE$6&gt;0,$A1007&lt;AE$6),AND(AE$7&gt;0,$A1007&gt;AE$7)),0,MAX(0,ROUND((INDEX($E1007:$G1007,AE$5)-SUMIFS(TF_Timer,TF_Tekniker,AE$4,TF_Dato,$A1007))*2,0)/2)))</f>
        <v/>
      </c>
      <c r="AF1007">
        <f>IF(OR(AF$4="",$A1007&gt;TODAY()),0,IF(OR(INDEX($B1007:$D1007,AF$5)="F",AND(AF$6&gt;0,$A1007&lt;AF$6),AND(AF$7&gt;0,$A1007&gt;AF$7)),0,MAX(0,ROUND((INDEX($E1007:$G1007,AF$5)-SUMIFS(TF_Timer,TF_Tekniker,AF$4,TF_Dato,$A1007))*2,0)/2)))</f>
        <v/>
      </c>
      <c r="AG1007">
        <f>IF(OR(AG$4="",$A1007&gt;TODAY()),0,IF(OR(INDEX($B1007:$D1007,AG$5)="F",AND(AG$6&gt;0,$A1007&lt;AG$6),AND(AG$7&gt;0,$A1007&gt;AG$7)),0,MAX(0,ROUND((INDEX($E1007:$G1007,AG$5)-SUMIFS(TF_Timer,TF_Tekniker,AG$4,TF_Dato,$A1007))*2,0)/2)))</f>
        <v/>
      </c>
      <c r="AH1007">
        <f>IF(OR(AH$4="",$A1007&gt;TODAY()),0,IF(OR(INDEX($B1007:$D1007,AH$5)="F",AND(AH$6&gt;0,$A1007&lt;AH$6),AND(AH$7&gt;0,$A1007&gt;AH$7)),0,MAX(0,ROUND((INDEX($E1007:$G1007,AH$5)-SUMIFS(TF_Timer,TF_Tekniker,AH$4,TF_Dato,$A1007))*2,0)/2)))</f>
        <v/>
      </c>
      <c r="AI1007">
        <f>IF(OR(AI$4="",$A1007&gt;TODAY()),0,IF(OR(INDEX($B1007:$D1007,AI$5)="F",AND(AI$6&gt;0,$A1007&lt;AI$6),AND(AI$7&gt;0,$A1007&gt;AI$7)),0,MAX(0,ROUND((INDEX($E1007:$G1007,AI$5)-SUMIFS(TF_Timer,TF_Tekniker,AI$4,TF_Dato,$A1007))*2,0)/2)))</f>
        <v/>
      </c>
      <c r="AJ1007">
        <f>IF(OR(AJ$4="",$A1007&gt;TODAY()),0,IF(OR(INDEX($B1007:$D1007,AJ$5)="F",AND(AJ$6&gt;0,$A1007&lt;AJ$6),AND(AJ$7&gt;0,$A1007&gt;AJ$7)),0,MAX(0,ROUND((INDEX($E1007:$G1007,AJ$5)-SUMIFS(TF_Timer,TF_Tekniker,AJ$4,TF_Dato,$A1007))*2,0)/2)))</f>
        <v/>
      </c>
      <c r="AK1007">
        <f>IF(OR(AK$4="",$A1007&gt;TODAY()),0,IF(OR(INDEX($B1007:$D1007,AK$5)="F",AND(AK$6&gt;0,$A1007&lt;AK$6),AND(AK$7&gt;0,$A1007&gt;AK$7)),0,MAX(0,ROUND((INDEX($E1007:$G1007,AK$5)-SUMIFS(TF_Timer,TF_Tekniker,AK$4,TF_Dato,$A1007))*2,0)/2)))</f>
        <v/>
      </c>
      <c r="AL1007">
        <f>IF(OR(AL$4="",$A1007&gt;TODAY()),0,IF(OR(INDEX($B1007:$D1007,AL$5)="F",AND(AL$6&gt;0,$A1007&lt;AL$6),AND(AL$7&gt;0,$A1007&gt;AL$7)),0,MAX(0,ROUND((INDEX($E1007:$G1007,AL$5)-SUMIFS(TF_Timer,TF_Tekniker,AL$4,TF_Dato,$A1007))*2,0)/2)))</f>
        <v/>
      </c>
      <c r="AM1007">
        <f>IF(OR(AM$4="",$A1007&gt;TODAY()),0,IF(OR(INDEX($B1007:$D1007,AM$5)="F",AND(AM$6&gt;0,$A1007&lt;AM$6),AND(AM$7&gt;0,$A1007&gt;AM$7)),0,MAX(0,ROUND((INDEX($E1007:$G1007,AM$5)-SUMIFS(TF_Timer,TF_Tekniker,AM$4,TF_Dato,$A1007))*2,0)/2)))</f>
        <v/>
      </c>
      <c r="AN1007">
        <f>IF(OR(AN$4="",$A1007&gt;TODAY()),0,IF(OR(INDEX($B1007:$D1007,AN$5)="F",AND(AN$6&gt;0,$A1007&lt;AN$6),AND(AN$7&gt;0,$A1007&gt;AN$7)),0,MAX(0,ROUND((INDEX($E1007:$G1007,AN$5)-SUMIFS(TF_Timer,TF_Tekniker,AN$4,TF_Dato,$A1007))*2,0)/2)))</f>
        <v/>
      </c>
      <c r="AO1007">
        <f>IF(OR(AO$4="",$A1007&gt;TODAY()),0,IF(OR(INDEX($B1007:$D1007,AO$5)="F",AND(AO$6&gt;0,$A1007&lt;AO$6),AND(AO$7&gt;0,$A1007&gt;AO$7)),0,MAX(0,ROUND((INDEX($E1007:$G1007,AO$5)-SUMIFS(TF_Timer,TF_Tekniker,AO$4,TF_Dato,$A1007))*2,0)/2)))</f>
        <v/>
      </c>
      <c r="AP1007">
        <f>IF(OR(AP$4="",$A1007&gt;TODAY()),0,IF(OR(INDEX($B1007:$D1007,AP$5)="F",AND(AP$6&gt;0,$A1007&lt;AP$6),AND(AP$7&gt;0,$A1007&gt;AP$7)),0,MAX(0,ROUND((INDEX($E1007:$G1007,AP$5)-SUMIFS(TF_Timer,TF_Tekniker,AP$4,TF_Dato,$A1007))*2,0)/2)))</f>
        <v/>
      </c>
      <c r="AQ1007">
        <f>IF(OR(AQ$4="",$A1007&gt;TODAY()),0,IF(OR(INDEX($B1007:$D1007,AQ$5)="F",AND(AQ$6&gt;0,$A1007&lt;AQ$6),AND(AQ$7&gt;0,$A1007&gt;AQ$7)),0,MAX(0,ROUND((INDEX($E1007:$G1007,AQ$5)-SUMIFS(TF_Timer,TF_Tekniker,AQ$4,TF_Dato,$A1007))*2,0)/2)))</f>
        <v/>
      </c>
      <c r="AR1007">
        <f>IF(OR(AR$4="",$A1007&gt;TODAY()),0,IF(OR(INDEX($B1007:$D1007,AR$5)="F",AND(AR$6&gt;0,$A1007&lt;AR$6),AND(AR$7&gt;0,$A1007&gt;AR$7)),0,MAX(0,ROUND((INDEX($E1007:$G1007,AR$5)-SUMIFS(TF_Timer,TF_Tekniker,AR$4,TF_Dato,$A1007))*2,0)/2)))</f>
        <v/>
      </c>
      <c r="AS1007">
        <f>IF(OR(AS$4="",$A1007&gt;TODAY()),0,IF(OR(INDEX($B1007:$D1007,AS$5)="F",AND(AS$6&gt;0,$A1007&lt;AS$6),AND(AS$7&gt;0,$A1007&gt;AS$7)),0,MAX(0,ROUND((INDEX($E1007:$G1007,AS$5)-SUMIFS(TF_Timer,TF_Tekniker,AS$4,TF_Dato,$A1007))*2,0)/2)))</f>
        <v/>
      </c>
      <c r="AT1007">
        <f>IF(OR(AT$4="",$A1007&gt;TODAY()),0,IF(OR(INDEX($B1007:$D1007,AT$5)="F",AND(AT$6&gt;0,$A1007&lt;AT$6),AND(AT$7&gt;0,$A1007&gt;AT$7)),0,MAX(0,ROUND((INDEX($E1007:$G1007,AT$5)-SUMIFS(TF_Timer,TF_Tekniker,AT$4,TF_Dato,$A1007))*2,0)/2)))</f>
        <v/>
      </c>
      <c r="AU1007">
        <f>IF(OR(AU$4="",$A1007&gt;TODAY()),0,IF(OR(INDEX($B1007:$D1007,AU$5)="F",AND(AU$6&gt;0,$A1007&lt;AU$6),AND(AU$7&gt;0,$A1007&gt;AU$7)),0,MAX(0,ROUND((INDEX($E1007:$G1007,AU$5)-SUMIFS(TF_Timer,TF_Tekniker,AU$4,TF_Dato,$A1007))*2,0)/2)))</f>
        <v/>
      </c>
      <c r="AV1007">
        <f>IF(OR(AV$4="",$A1007&gt;TODAY()),0,IF(OR(INDEX($B1007:$D1007,AV$5)="F",AND(AV$6&gt;0,$A1007&lt;AV$6),AND(AV$7&gt;0,$A1007&gt;AV$7)),0,MAX(0,ROUND((INDEX($E1007:$G1007,AV$5)-SUMIFS(TF_Timer,TF_Tekniker,AV$4,TF_Dato,$A1007))*2,0)/2)))</f>
        <v/>
      </c>
      <c r="AW1007">
        <f>IF(OR(AW$4="",$A1007&gt;TODAY()),0,IF(OR(INDEX($B1007:$D1007,AW$5)="F",AND(AW$6&gt;0,$A1007&lt;AW$6),AND(AW$7&gt;0,$A1007&gt;AW$7)),0,MAX(0,ROUND((INDEX($E1007:$G1007,AW$5)-SUMIFS(TF_Timer,TF_Tekniker,AW$4,TF_Dato,$A1007))*2,0)/2)))</f>
        <v/>
      </c>
      <c r="AX1007">
        <f>IF(OR(AX$4="",$A1007&gt;TODAY()),0,IF(OR(INDEX($B1007:$D1007,AX$5)="F",AND(AX$6&gt;0,$A1007&lt;AX$6),AND(AX$7&gt;0,$A1007&gt;AX$7)),0,MAX(0,ROUND((INDEX($E1007:$G1007,AX$5)-SUMIFS(TF_Timer,TF_Tekniker,AX$4,TF_Dato,$A1007))*2,0)/2)))</f>
        <v/>
      </c>
      <c r="AY1007">
        <f>IF(OR(AY$4="",$A1007&gt;TODAY()),0,IF(OR(INDEX($B1007:$D1007,AY$5)="F",AND(AY$6&gt;0,$A1007&lt;AY$6),AND(AY$7&gt;0,$A1007&gt;AY$7)),0,MAX(0,ROUND((INDEX($E1007:$G1007,AY$5)-SUMIFS(TF_Timer,TF_Tekniker,AY$4,TF_Dato,$A1007))*2,0)/2)))</f>
        <v/>
      </c>
      <c r="AZ1007">
        <f>IF(OR(AZ$4="",$A1007&gt;TODAY()),0,IF(OR(INDEX($B1007:$D1007,AZ$5)="F",AND(AZ$6&gt;0,$A1007&lt;AZ$6),AND(AZ$7&gt;0,$A1007&gt;AZ$7)),0,MAX(0,ROUND((INDEX($E1007:$G1007,AZ$5)-SUMIFS(TF_Timer,TF_Tekniker,AZ$4,TF_Dato,$A1007))*2,0)/2)))</f>
        <v/>
      </c>
      <c r="BA1007">
        <f>IF(OR(BA$4="",$A1007&gt;TODAY()),0,IF(OR(INDEX($B1007:$D1007,BA$5)="F",AND(BA$6&gt;0,$A1007&lt;BA$6),AND(BA$7&gt;0,$A1007&gt;BA$7)),0,MAX(0,ROUND((INDEX($E1007:$G1007,BA$5)-SUMIFS(TF_Timer,TF_Tekniker,BA$4,TF_Dato,$A1007))*2,0)/2)))</f>
        <v/>
      </c>
      <c r="BB1007">
        <f>IF(OR(BB$4="",$A1007&gt;TODAY()),0,IF(OR(INDEX($B1007:$D1007,BB$5)="F",AND(BB$6&gt;0,$A1007&lt;BB$6),AND(BB$7&gt;0,$A1007&gt;BB$7)),0,MAX(0,ROUND((INDEX($E1007:$G1007,BB$5)-SUMIFS(TF_Timer,TF_Tekniker,BB$4,TF_Dato,$A1007))*2,0)/2)))</f>
        <v/>
      </c>
      <c r="BC1007">
        <f>IF(OR(BC$4="",$A1007&gt;TODAY()),0,IF(OR(INDEX($B1007:$D1007,BC$5)="F",AND(BC$6&gt;0,$A1007&lt;BC$6),AND(BC$7&gt;0,$A1007&gt;BC$7)),0,MAX(0,ROUND((INDEX($E1007:$G1007,BC$5)-SUMIFS(TF_Timer,TF_Tekniker,BC$4,TF_Dato,$A1007))*2,0)/2)))</f>
        <v/>
      </c>
      <c r="BD1007">
        <f>IF(OR(BD$4="",$A1007&gt;TODAY()),0,IF(OR(INDEX($B1007:$D1007,BD$5)="F",AND(BD$6&gt;0,$A1007&lt;BD$6),AND(BD$7&gt;0,$A1007&gt;BD$7)),0,MAX(0,ROUND((INDEX($E1007:$G1007,BD$5)-SUMIFS(TF_Timer,TF_Tekniker,BD$4,TF_Dato,$A1007))*2,0)/2)))</f>
        <v/>
      </c>
      <c r="BE1007">
        <f>IF(OR(BE$4="",$A1007&gt;TODAY()),0,IF(OR(INDEX($B1007:$D1007,BE$5)="F",AND(BE$6&gt;0,$A1007&lt;BE$6),AND(BE$7&gt;0,$A1007&gt;BE$7)),0,MAX(0,ROUND((INDEX($E1007:$G1007,BE$5)-SUMIFS(TF_Timer,TF_Tekniker,BE$4,TF_Dato,$A1007))*2,0)/2)))</f>
        <v/>
      </c>
      <c r="BF1007">
        <f>IF(OR(BF$4="",$A1007&gt;TODAY()),0,IF(OR(INDEX($B1007:$D1007,BF$5)="F",AND(BF$6&gt;0,$A1007&lt;BF$6),AND(BF$7&gt;0,$A1007&gt;BF$7)),0,MAX(0,ROUND((INDEX($E1007:$G1007,BF$5)-SUMIFS(TF_Timer,TF_Tekniker,BF$4,TF_Dato,$A1007))*2,0)/2)))</f>
        <v/>
      </c>
      <c r="BG1007">
        <f>IF(OR(BG$4="",$A1007&gt;TODAY()),0,IF(OR(INDEX($B1007:$D1007,BG$5)="F",AND(BG$6&gt;0,$A1007&lt;BG$6),AND(BG$7&gt;0,$A1007&gt;BG$7)),0,MAX(0,ROUND((INDEX($E1007:$G1007,BG$5)-SUMIFS(TF_Timer,TF_Tekniker,BG$4,TF_Dato,$A1007))*2,0)/2)))</f>
        <v/>
      </c>
      <c r="BH1007">
        <f>IF(OR(BH$4="",$A1007&gt;TODAY()),0,IF(OR(INDEX($B1007:$D1007,BH$5)="F",AND(BH$6&gt;0,$A1007&lt;BH$6),AND(BH$7&gt;0,$A1007&gt;BH$7)),0,MAX(0,ROUND((INDEX($E1007:$G1007,BH$5)-SUMIFS(TF_Timer,TF_Tekniker,BH$4,TF_Dato,$A1007))*2,0)/2)))</f>
        <v/>
      </c>
      <c r="BI1007">
        <f>IF(OR(BI$4="",$A1007&gt;TODAY()),0,IF(OR(INDEX($B1007:$D1007,BI$5)="F",AND(BI$6&gt;0,$A1007&lt;BI$6),AND(BI$7&gt;0,$A1007&gt;BI$7)),0,MAX(0,ROUND((INDEX($E1007:$G1007,BI$5)-SUMIFS(TF_Timer,TF_Tekniker,BI$4,TF_Dato,$A1007))*2,0)/2)))</f>
        <v/>
      </c>
    </row>
    <row r="1008">
      <c r="A1008" s="64">
        <f>A1007+1</f>
        <v/>
      </c>
      <c r="B1008">
        <f>IF(MOD($A1008-INDEX(SkiftStart,1),Syklus)&lt;DagK,"K",IF(MOD($A1008-INDEX(SkiftStart,1),Syklus)&lt;DagK+DagH,"H",IF(MOD($A1008-INDEX(SkiftStart,1),Syklus)&lt;DagK+DagH+DagD,"D","F")))</f>
        <v/>
      </c>
      <c r="C1008">
        <f>IF(MOD($A1008-INDEX(SkiftStart,2),Syklus)&lt;DagK,"K",IF(MOD($A1008-INDEX(SkiftStart,2),Syklus)&lt;DagK+DagH,"H",IF(MOD($A1008-INDEX(SkiftStart,2),Syklus)&lt;DagK+DagH+DagD,"D","F")))</f>
        <v/>
      </c>
      <c r="D1008">
        <f>IF(MOD($A1008-INDEX(SkiftStart,3),Syklus)&lt;DagK,"K",IF(MOD($A1008-INDEX(SkiftStart,3),Syklus)&lt;DagK+DagH,"H",IF(MOD($A1008-INDEX(SkiftStart,3),Syklus)&lt;DagK+DagH+DagD,"D","F")))</f>
        <v/>
      </c>
      <c r="E1008">
        <f>IF(B1008="F",0,IF(WEEKDAY($A1008,2)=5,INDEX(TimerFr,MATCH(B1008,FaseKode,0)),INDEX(TimerMT,MATCH(B1008,FaseKode,0))))</f>
        <v/>
      </c>
      <c r="F1008">
        <f>IF(C1008="F",0,IF(WEEKDAY($A1008,2)=5,INDEX(TimerFr,MATCH(C1008,FaseKode,0)),INDEX(TimerMT,MATCH(C1008,FaseKode,0))))</f>
        <v/>
      </c>
      <c r="G1008">
        <f>IF(D1008="F",0,IF(WEEKDAY($A1008,2)=5,INDEX(TimerFr,MATCH(D1008,FaseKode,0)),INDEX(TimerMT,MATCH(D1008,FaseKode,0))))</f>
        <v/>
      </c>
      <c r="H1008">
        <f>IF(OR(H$4="",$A1008&gt;TODAY()),0,IF(OR(INDEX($B1008:$D1008,H$5)="F",AND(H$6&gt;0,$A1008&lt;H$6),AND(H$7&gt;0,$A1008&gt;H$7)),0,MAX(0,ROUND((INDEX($E1008:$G1008,H$5)-SUMIFS(TF_Timer,TF_Tekniker,H$4,TF_Dato,$A1008))*2,0)/2)))</f>
        <v/>
      </c>
      <c r="I1008">
        <f>IF(OR(I$4="",$A1008&gt;TODAY()),0,IF(OR(INDEX($B1008:$D1008,I$5)="F",AND(I$6&gt;0,$A1008&lt;I$6),AND(I$7&gt;0,$A1008&gt;I$7)),0,MAX(0,ROUND((INDEX($E1008:$G1008,I$5)-SUMIFS(TF_Timer,TF_Tekniker,I$4,TF_Dato,$A1008))*2,0)/2)))</f>
        <v/>
      </c>
      <c r="J1008">
        <f>IF(OR(J$4="",$A1008&gt;TODAY()),0,IF(OR(INDEX($B1008:$D1008,J$5)="F",AND(J$6&gt;0,$A1008&lt;J$6),AND(J$7&gt;0,$A1008&gt;J$7)),0,MAX(0,ROUND((INDEX($E1008:$G1008,J$5)-SUMIFS(TF_Timer,TF_Tekniker,J$4,TF_Dato,$A1008))*2,0)/2)))</f>
        <v/>
      </c>
      <c r="K1008">
        <f>IF(OR(K$4="",$A1008&gt;TODAY()),0,IF(OR(INDEX($B1008:$D1008,K$5)="F",AND(K$6&gt;0,$A1008&lt;K$6),AND(K$7&gt;0,$A1008&gt;K$7)),0,MAX(0,ROUND((INDEX($E1008:$G1008,K$5)-SUMIFS(TF_Timer,TF_Tekniker,K$4,TF_Dato,$A1008))*2,0)/2)))</f>
        <v/>
      </c>
      <c r="L1008">
        <f>IF(OR(L$4="",$A1008&gt;TODAY()),0,IF(OR(INDEX($B1008:$D1008,L$5)="F",AND(L$6&gt;0,$A1008&lt;L$6),AND(L$7&gt;0,$A1008&gt;L$7)),0,MAX(0,ROUND((INDEX($E1008:$G1008,L$5)-SUMIFS(TF_Timer,TF_Tekniker,L$4,TF_Dato,$A1008))*2,0)/2)))</f>
        <v/>
      </c>
      <c r="M1008">
        <f>IF(OR(M$4="",$A1008&gt;TODAY()),0,IF(OR(INDEX($B1008:$D1008,M$5)="F",AND(M$6&gt;0,$A1008&lt;M$6),AND(M$7&gt;0,$A1008&gt;M$7)),0,MAX(0,ROUND((INDEX($E1008:$G1008,M$5)-SUMIFS(TF_Timer,TF_Tekniker,M$4,TF_Dato,$A1008))*2,0)/2)))</f>
        <v/>
      </c>
      <c r="N1008">
        <f>IF(OR(N$4="",$A1008&gt;TODAY()),0,IF(OR(INDEX($B1008:$D1008,N$5)="F",AND(N$6&gt;0,$A1008&lt;N$6),AND(N$7&gt;0,$A1008&gt;N$7)),0,MAX(0,ROUND((INDEX($E1008:$G1008,N$5)-SUMIFS(TF_Timer,TF_Tekniker,N$4,TF_Dato,$A1008))*2,0)/2)))</f>
        <v/>
      </c>
      <c r="O1008">
        <f>IF(OR(O$4="",$A1008&gt;TODAY()),0,IF(OR(INDEX($B1008:$D1008,O$5)="F",AND(O$6&gt;0,$A1008&lt;O$6),AND(O$7&gt;0,$A1008&gt;O$7)),0,MAX(0,ROUND((INDEX($E1008:$G1008,O$5)-SUMIFS(TF_Timer,TF_Tekniker,O$4,TF_Dato,$A1008))*2,0)/2)))</f>
        <v/>
      </c>
      <c r="P1008">
        <f>IF(OR(P$4="",$A1008&gt;TODAY()),0,IF(OR(INDEX($B1008:$D1008,P$5)="F",AND(P$6&gt;0,$A1008&lt;P$6),AND(P$7&gt;0,$A1008&gt;P$7)),0,MAX(0,ROUND((INDEX($E1008:$G1008,P$5)-SUMIFS(TF_Timer,TF_Tekniker,P$4,TF_Dato,$A1008))*2,0)/2)))</f>
        <v/>
      </c>
      <c r="Q1008">
        <f>IF(OR(Q$4="",$A1008&gt;TODAY()),0,IF(OR(INDEX($B1008:$D1008,Q$5)="F",AND(Q$6&gt;0,$A1008&lt;Q$6),AND(Q$7&gt;0,$A1008&gt;Q$7)),0,MAX(0,ROUND((INDEX($E1008:$G1008,Q$5)-SUMIFS(TF_Timer,TF_Tekniker,Q$4,TF_Dato,$A1008))*2,0)/2)))</f>
        <v/>
      </c>
      <c r="R1008">
        <f>IF(OR(R$4="",$A1008&gt;TODAY()),0,IF(OR(INDEX($B1008:$D1008,R$5)="F",AND(R$6&gt;0,$A1008&lt;R$6),AND(R$7&gt;0,$A1008&gt;R$7)),0,MAX(0,ROUND((INDEX($E1008:$G1008,R$5)-SUMIFS(TF_Timer,TF_Tekniker,R$4,TF_Dato,$A1008))*2,0)/2)))</f>
        <v/>
      </c>
      <c r="S1008">
        <f>IF(OR(S$4="",$A1008&gt;TODAY()),0,IF(OR(INDEX($B1008:$D1008,S$5)="F",AND(S$6&gt;0,$A1008&lt;S$6),AND(S$7&gt;0,$A1008&gt;S$7)),0,MAX(0,ROUND((INDEX($E1008:$G1008,S$5)-SUMIFS(TF_Timer,TF_Tekniker,S$4,TF_Dato,$A1008))*2,0)/2)))</f>
        <v/>
      </c>
      <c r="T1008">
        <f>IF(OR(T$4="",$A1008&gt;TODAY()),0,IF(OR(INDEX($B1008:$D1008,T$5)="F",AND(T$6&gt;0,$A1008&lt;T$6),AND(T$7&gt;0,$A1008&gt;T$7)),0,MAX(0,ROUND((INDEX($E1008:$G1008,T$5)-SUMIFS(TF_Timer,TF_Tekniker,T$4,TF_Dato,$A1008))*2,0)/2)))</f>
        <v/>
      </c>
      <c r="U1008">
        <f>IF(OR(U$4="",$A1008&gt;TODAY()),0,IF(OR(INDEX($B1008:$D1008,U$5)="F",AND(U$6&gt;0,$A1008&lt;U$6),AND(U$7&gt;0,$A1008&gt;U$7)),0,MAX(0,ROUND((INDEX($E1008:$G1008,U$5)-SUMIFS(TF_Timer,TF_Tekniker,U$4,TF_Dato,$A1008))*2,0)/2)))</f>
        <v/>
      </c>
      <c r="V1008">
        <f>IF(OR(V$4="",$A1008&gt;TODAY()),0,IF(OR(INDEX($B1008:$D1008,V$5)="F",AND(V$6&gt;0,$A1008&lt;V$6),AND(V$7&gt;0,$A1008&gt;V$7)),0,MAX(0,ROUND((INDEX($E1008:$G1008,V$5)-SUMIFS(TF_Timer,TF_Tekniker,V$4,TF_Dato,$A1008))*2,0)/2)))</f>
        <v/>
      </c>
      <c r="W1008">
        <f>IF(OR(W$4="",$A1008&gt;TODAY()),0,IF(OR(INDEX($B1008:$D1008,W$5)="F",AND(W$6&gt;0,$A1008&lt;W$6),AND(W$7&gt;0,$A1008&gt;W$7)),0,MAX(0,ROUND((INDEX($E1008:$G1008,W$5)-SUMIFS(TF_Timer,TF_Tekniker,W$4,TF_Dato,$A1008))*2,0)/2)))</f>
        <v/>
      </c>
      <c r="X1008">
        <f>IF(OR(X$4="",$A1008&gt;TODAY()),0,IF(OR(INDEX($B1008:$D1008,X$5)="F",AND(X$6&gt;0,$A1008&lt;X$6),AND(X$7&gt;0,$A1008&gt;X$7)),0,MAX(0,ROUND((INDEX($E1008:$G1008,X$5)-SUMIFS(TF_Timer,TF_Tekniker,X$4,TF_Dato,$A1008))*2,0)/2)))</f>
        <v/>
      </c>
      <c r="Y1008">
        <f>IF(OR(Y$4="",$A1008&gt;TODAY()),0,IF(OR(INDEX($B1008:$D1008,Y$5)="F",AND(Y$6&gt;0,$A1008&lt;Y$6),AND(Y$7&gt;0,$A1008&gt;Y$7)),0,MAX(0,ROUND((INDEX($E1008:$G1008,Y$5)-SUMIFS(TF_Timer,TF_Tekniker,Y$4,TF_Dato,$A1008))*2,0)/2)))</f>
        <v/>
      </c>
      <c r="Z1008">
        <f>IF(OR(Z$4="",$A1008&gt;TODAY()),0,IF(OR(INDEX($B1008:$D1008,Z$5)="F",AND(Z$6&gt;0,$A1008&lt;Z$6),AND(Z$7&gt;0,$A1008&gt;Z$7)),0,MAX(0,ROUND((INDEX($E1008:$G1008,Z$5)-SUMIFS(TF_Timer,TF_Tekniker,Z$4,TF_Dato,$A1008))*2,0)/2)))</f>
        <v/>
      </c>
      <c r="AA1008">
        <f>IF(OR(AA$4="",$A1008&gt;TODAY()),0,IF(OR(INDEX($B1008:$D1008,AA$5)="F",AND(AA$6&gt;0,$A1008&lt;AA$6),AND(AA$7&gt;0,$A1008&gt;AA$7)),0,MAX(0,ROUND((INDEX($E1008:$G1008,AA$5)-SUMIFS(TF_Timer,TF_Tekniker,AA$4,TF_Dato,$A1008))*2,0)/2)))</f>
        <v/>
      </c>
      <c r="AB1008">
        <f>IF(OR(AB$4="",$A1008&gt;TODAY()),0,IF(OR(INDEX($B1008:$D1008,AB$5)="F",AND(AB$6&gt;0,$A1008&lt;AB$6),AND(AB$7&gt;0,$A1008&gt;AB$7)),0,MAX(0,ROUND((INDEX($E1008:$G1008,AB$5)-SUMIFS(TF_Timer,TF_Tekniker,AB$4,TF_Dato,$A1008))*2,0)/2)))</f>
        <v/>
      </c>
      <c r="AC1008">
        <f>IF(OR(AC$4="",$A1008&gt;TODAY()),0,IF(OR(INDEX($B1008:$D1008,AC$5)="F",AND(AC$6&gt;0,$A1008&lt;AC$6),AND(AC$7&gt;0,$A1008&gt;AC$7)),0,MAX(0,ROUND((INDEX($E1008:$G1008,AC$5)-SUMIFS(TF_Timer,TF_Tekniker,AC$4,TF_Dato,$A1008))*2,0)/2)))</f>
        <v/>
      </c>
      <c r="AD1008">
        <f>IF(OR(AD$4="",$A1008&gt;TODAY()),0,IF(OR(INDEX($B1008:$D1008,AD$5)="F",AND(AD$6&gt;0,$A1008&lt;AD$6),AND(AD$7&gt;0,$A1008&gt;AD$7)),0,MAX(0,ROUND((INDEX($E1008:$G1008,AD$5)-SUMIFS(TF_Timer,TF_Tekniker,AD$4,TF_Dato,$A1008))*2,0)/2)))</f>
        <v/>
      </c>
      <c r="AE1008">
        <f>IF(OR(AE$4="",$A1008&gt;TODAY()),0,IF(OR(INDEX($B1008:$D1008,AE$5)="F",AND(AE$6&gt;0,$A1008&lt;AE$6),AND(AE$7&gt;0,$A1008&gt;AE$7)),0,MAX(0,ROUND((INDEX($E1008:$G1008,AE$5)-SUMIFS(TF_Timer,TF_Tekniker,AE$4,TF_Dato,$A1008))*2,0)/2)))</f>
        <v/>
      </c>
      <c r="AF1008">
        <f>IF(OR(AF$4="",$A1008&gt;TODAY()),0,IF(OR(INDEX($B1008:$D1008,AF$5)="F",AND(AF$6&gt;0,$A1008&lt;AF$6),AND(AF$7&gt;0,$A1008&gt;AF$7)),0,MAX(0,ROUND((INDEX($E1008:$G1008,AF$5)-SUMIFS(TF_Timer,TF_Tekniker,AF$4,TF_Dato,$A1008))*2,0)/2)))</f>
        <v/>
      </c>
      <c r="AG1008">
        <f>IF(OR(AG$4="",$A1008&gt;TODAY()),0,IF(OR(INDEX($B1008:$D1008,AG$5)="F",AND(AG$6&gt;0,$A1008&lt;AG$6),AND(AG$7&gt;0,$A1008&gt;AG$7)),0,MAX(0,ROUND((INDEX($E1008:$G1008,AG$5)-SUMIFS(TF_Timer,TF_Tekniker,AG$4,TF_Dato,$A1008))*2,0)/2)))</f>
        <v/>
      </c>
      <c r="AH1008">
        <f>IF(OR(AH$4="",$A1008&gt;TODAY()),0,IF(OR(INDEX($B1008:$D1008,AH$5)="F",AND(AH$6&gt;0,$A1008&lt;AH$6),AND(AH$7&gt;0,$A1008&gt;AH$7)),0,MAX(0,ROUND((INDEX($E1008:$G1008,AH$5)-SUMIFS(TF_Timer,TF_Tekniker,AH$4,TF_Dato,$A1008))*2,0)/2)))</f>
        <v/>
      </c>
      <c r="AI1008">
        <f>IF(OR(AI$4="",$A1008&gt;TODAY()),0,IF(OR(INDEX($B1008:$D1008,AI$5)="F",AND(AI$6&gt;0,$A1008&lt;AI$6),AND(AI$7&gt;0,$A1008&gt;AI$7)),0,MAX(0,ROUND((INDEX($E1008:$G1008,AI$5)-SUMIFS(TF_Timer,TF_Tekniker,AI$4,TF_Dato,$A1008))*2,0)/2)))</f>
        <v/>
      </c>
      <c r="AJ1008">
        <f>IF(OR(AJ$4="",$A1008&gt;TODAY()),0,IF(OR(INDEX($B1008:$D1008,AJ$5)="F",AND(AJ$6&gt;0,$A1008&lt;AJ$6),AND(AJ$7&gt;0,$A1008&gt;AJ$7)),0,MAX(0,ROUND((INDEX($E1008:$G1008,AJ$5)-SUMIFS(TF_Timer,TF_Tekniker,AJ$4,TF_Dato,$A1008))*2,0)/2)))</f>
        <v/>
      </c>
      <c r="AK1008">
        <f>IF(OR(AK$4="",$A1008&gt;TODAY()),0,IF(OR(INDEX($B1008:$D1008,AK$5)="F",AND(AK$6&gt;0,$A1008&lt;AK$6),AND(AK$7&gt;0,$A1008&gt;AK$7)),0,MAX(0,ROUND((INDEX($E1008:$G1008,AK$5)-SUMIFS(TF_Timer,TF_Tekniker,AK$4,TF_Dato,$A1008))*2,0)/2)))</f>
        <v/>
      </c>
      <c r="AL1008">
        <f>IF(OR(AL$4="",$A1008&gt;TODAY()),0,IF(OR(INDEX($B1008:$D1008,AL$5)="F",AND(AL$6&gt;0,$A1008&lt;AL$6),AND(AL$7&gt;0,$A1008&gt;AL$7)),0,MAX(0,ROUND((INDEX($E1008:$G1008,AL$5)-SUMIFS(TF_Timer,TF_Tekniker,AL$4,TF_Dato,$A1008))*2,0)/2)))</f>
        <v/>
      </c>
      <c r="AM1008">
        <f>IF(OR(AM$4="",$A1008&gt;TODAY()),0,IF(OR(INDEX($B1008:$D1008,AM$5)="F",AND(AM$6&gt;0,$A1008&lt;AM$6),AND(AM$7&gt;0,$A1008&gt;AM$7)),0,MAX(0,ROUND((INDEX($E1008:$G1008,AM$5)-SUMIFS(TF_Timer,TF_Tekniker,AM$4,TF_Dato,$A1008))*2,0)/2)))</f>
        <v/>
      </c>
      <c r="AN1008">
        <f>IF(OR(AN$4="",$A1008&gt;TODAY()),0,IF(OR(INDEX($B1008:$D1008,AN$5)="F",AND(AN$6&gt;0,$A1008&lt;AN$6),AND(AN$7&gt;0,$A1008&gt;AN$7)),0,MAX(0,ROUND((INDEX($E1008:$G1008,AN$5)-SUMIFS(TF_Timer,TF_Tekniker,AN$4,TF_Dato,$A1008))*2,0)/2)))</f>
        <v/>
      </c>
      <c r="AO1008">
        <f>IF(OR(AO$4="",$A1008&gt;TODAY()),0,IF(OR(INDEX($B1008:$D1008,AO$5)="F",AND(AO$6&gt;0,$A1008&lt;AO$6),AND(AO$7&gt;0,$A1008&gt;AO$7)),0,MAX(0,ROUND((INDEX($E1008:$G1008,AO$5)-SUMIFS(TF_Timer,TF_Tekniker,AO$4,TF_Dato,$A1008))*2,0)/2)))</f>
        <v/>
      </c>
      <c r="AP1008">
        <f>IF(OR(AP$4="",$A1008&gt;TODAY()),0,IF(OR(INDEX($B1008:$D1008,AP$5)="F",AND(AP$6&gt;0,$A1008&lt;AP$6),AND(AP$7&gt;0,$A1008&gt;AP$7)),0,MAX(0,ROUND((INDEX($E1008:$G1008,AP$5)-SUMIFS(TF_Timer,TF_Tekniker,AP$4,TF_Dato,$A1008))*2,0)/2)))</f>
        <v/>
      </c>
      <c r="AQ1008">
        <f>IF(OR(AQ$4="",$A1008&gt;TODAY()),0,IF(OR(INDEX($B1008:$D1008,AQ$5)="F",AND(AQ$6&gt;0,$A1008&lt;AQ$6),AND(AQ$7&gt;0,$A1008&gt;AQ$7)),0,MAX(0,ROUND((INDEX($E1008:$G1008,AQ$5)-SUMIFS(TF_Timer,TF_Tekniker,AQ$4,TF_Dato,$A1008))*2,0)/2)))</f>
        <v/>
      </c>
      <c r="AR1008">
        <f>IF(OR(AR$4="",$A1008&gt;TODAY()),0,IF(OR(INDEX($B1008:$D1008,AR$5)="F",AND(AR$6&gt;0,$A1008&lt;AR$6),AND(AR$7&gt;0,$A1008&gt;AR$7)),0,MAX(0,ROUND((INDEX($E1008:$G1008,AR$5)-SUMIFS(TF_Timer,TF_Tekniker,AR$4,TF_Dato,$A1008))*2,0)/2)))</f>
        <v/>
      </c>
      <c r="AS1008">
        <f>IF(OR(AS$4="",$A1008&gt;TODAY()),0,IF(OR(INDEX($B1008:$D1008,AS$5)="F",AND(AS$6&gt;0,$A1008&lt;AS$6),AND(AS$7&gt;0,$A1008&gt;AS$7)),0,MAX(0,ROUND((INDEX($E1008:$G1008,AS$5)-SUMIFS(TF_Timer,TF_Tekniker,AS$4,TF_Dato,$A1008))*2,0)/2)))</f>
        <v/>
      </c>
      <c r="AT1008">
        <f>IF(OR(AT$4="",$A1008&gt;TODAY()),0,IF(OR(INDEX($B1008:$D1008,AT$5)="F",AND(AT$6&gt;0,$A1008&lt;AT$6),AND(AT$7&gt;0,$A1008&gt;AT$7)),0,MAX(0,ROUND((INDEX($E1008:$G1008,AT$5)-SUMIFS(TF_Timer,TF_Tekniker,AT$4,TF_Dato,$A1008))*2,0)/2)))</f>
        <v/>
      </c>
      <c r="AU1008">
        <f>IF(OR(AU$4="",$A1008&gt;TODAY()),0,IF(OR(INDEX($B1008:$D1008,AU$5)="F",AND(AU$6&gt;0,$A1008&lt;AU$6),AND(AU$7&gt;0,$A1008&gt;AU$7)),0,MAX(0,ROUND((INDEX($E1008:$G1008,AU$5)-SUMIFS(TF_Timer,TF_Tekniker,AU$4,TF_Dato,$A1008))*2,0)/2)))</f>
        <v/>
      </c>
      <c r="AV1008">
        <f>IF(OR(AV$4="",$A1008&gt;TODAY()),0,IF(OR(INDEX($B1008:$D1008,AV$5)="F",AND(AV$6&gt;0,$A1008&lt;AV$6),AND(AV$7&gt;0,$A1008&gt;AV$7)),0,MAX(0,ROUND((INDEX($E1008:$G1008,AV$5)-SUMIFS(TF_Timer,TF_Tekniker,AV$4,TF_Dato,$A1008))*2,0)/2)))</f>
        <v/>
      </c>
      <c r="AW1008">
        <f>IF(OR(AW$4="",$A1008&gt;TODAY()),0,IF(OR(INDEX($B1008:$D1008,AW$5)="F",AND(AW$6&gt;0,$A1008&lt;AW$6),AND(AW$7&gt;0,$A1008&gt;AW$7)),0,MAX(0,ROUND((INDEX($E1008:$G1008,AW$5)-SUMIFS(TF_Timer,TF_Tekniker,AW$4,TF_Dato,$A1008))*2,0)/2)))</f>
        <v/>
      </c>
      <c r="AX1008">
        <f>IF(OR(AX$4="",$A1008&gt;TODAY()),0,IF(OR(INDEX($B1008:$D1008,AX$5)="F",AND(AX$6&gt;0,$A1008&lt;AX$6),AND(AX$7&gt;0,$A1008&gt;AX$7)),0,MAX(0,ROUND((INDEX($E1008:$G1008,AX$5)-SUMIFS(TF_Timer,TF_Tekniker,AX$4,TF_Dato,$A1008))*2,0)/2)))</f>
        <v/>
      </c>
      <c r="AY1008">
        <f>IF(OR(AY$4="",$A1008&gt;TODAY()),0,IF(OR(INDEX($B1008:$D1008,AY$5)="F",AND(AY$6&gt;0,$A1008&lt;AY$6),AND(AY$7&gt;0,$A1008&gt;AY$7)),0,MAX(0,ROUND((INDEX($E1008:$G1008,AY$5)-SUMIFS(TF_Timer,TF_Tekniker,AY$4,TF_Dato,$A1008))*2,0)/2)))</f>
        <v/>
      </c>
      <c r="AZ1008">
        <f>IF(OR(AZ$4="",$A1008&gt;TODAY()),0,IF(OR(INDEX($B1008:$D1008,AZ$5)="F",AND(AZ$6&gt;0,$A1008&lt;AZ$6),AND(AZ$7&gt;0,$A1008&gt;AZ$7)),0,MAX(0,ROUND((INDEX($E1008:$G1008,AZ$5)-SUMIFS(TF_Timer,TF_Tekniker,AZ$4,TF_Dato,$A1008))*2,0)/2)))</f>
        <v/>
      </c>
      <c r="BA1008">
        <f>IF(OR(BA$4="",$A1008&gt;TODAY()),0,IF(OR(INDEX($B1008:$D1008,BA$5)="F",AND(BA$6&gt;0,$A1008&lt;BA$6),AND(BA$7&gt;0,$A1008&gt;BA$7)),0,MAX(0,ROUND((INDEX($E1008:$G1008,BA$5)-SUMIFS(TF_Timer,TF_Tekniker,BA$4,TF_Dato,$A1008))*2,0)/2)))</f>
        <v/>
      </c>
      <c r="BB1008">
        <f>IF(OR(BB$4="",$A1008&gt;TODAY()),0,IF(OR(INDEX($B1008:$D1008,BB$5)="F",AND(BB$6&gt;0,$A1008&lt;BB$6),AND(BB$7&gt;0,$A1008&gt;BB$7)),0,MAX(0,ROUND((INDEX($E1008:$G1008,BB$5)-SUMIFS(TF_Timer,TF_Tekniker,BB$4,TF_Dato,$A1008))*2,0)/2)))</f>
        <v/>
      </c>
      <c r="BC1008">
        <f>IF(OR(BC$4="",$A1008&gt;TODAY()),0,IF(OR(INDEX($B1008:$D1008,BC$5)="F",AND(BC$6&gt;0,$A1008&lt;BC$6),AND(BC$7&gt;0,$A1008&gt;BC$7)),0,MAX(0,ROUND((INDEX($E1008:$G1008,BC$5)-SUMIFS(TF_Timer,TF_Tekniker,BC$4,TF_Dato,$A1008))*2,0)/2)))</f>
        <v/>
      </c>
      <c r="BD1008">
        <f>IF(OR(BD$4="",$A1008&gt;TODAY()),0,IF(OR(INDEX($B1008:$D1008,BD$5)="F",AND(BD$6&gt;0,$A1008&lt;BD$6),AND(BD$7&gt;0,$A1008&gt;BD$7)),0,MAX(0,ROUND((INDEX($E1008:$G1008,BD$5)-SUMIFS(TF_Timer,TF_Tekniker,BD$4,TF_Dato,$A1008))*2,0)/2)))</f>
        <v/>
      </c>
      <c r="BE1008">
        <f>IF(OR(BE$4="",$A1008&gt;TODAY()),0,IF(OR(INDEX($B1008:$D1008,BE$5)="F",AND(BE$6&gt;0,$A1008&lt;BE$6),AND(BE$7&gt;0,$A1008&gt;BE$7)),0,MAX(0,ROUND((INDEX($E1008:$G1008,BE$5)-SUMIFS(TF_Timer,TF_Tekniker,BE$4,TF_Dato,$A1008))*2,0)/2)))</f>
        <v/>
      </c>
      <c r="BF1008">
        <f>IF(OR(BF$4="",$A1008&gt;TODAY()),0,IF(OR(INDEX($B1008:$D1008,BF$5)="F",AND(BF$6&gt;0,$A1008&lt;BF$6),AND(BF$7&gt;0,$A1008&gt;BF$7)),0,MAX(0,ROUND((INDEX($E1008:$G1008,BF$5)-SUMIFS(TF_Timer,TF_Tekniker,BF$4,TF_Dato,$A1008))*2,0)/2)))</f>
        <v/>
      </c>
      <c r="BG1008">
        <f>IF(OR(BG$4="",$A1008&gt;TODAY()),0,IF(OR(INDEX($B1008:$D1008,BG$5)="F",AND(BG$6&gt;0,$A1008&lt;BG$6),AND(BG$7&gt;0,$A1008&gt;BG$7)),0,MAX(0,ROUND((INDEX($E1008:$G1008,BG$5)-SUMIFS(TF_Timer,TF_Tekniker,BG$4,TF_Dato,$A1008))*2,0)/2)))</f>
        <v/>
      </c>
      <c r="BH1008">
        <f>IF(OR(BH$4="",$A1008&gt;TODAY()),0,IF(OR(INDEX($B1008:$D1008,BH$5)="F",AND(BH$6&gt;0,$A1008&lt;BH$6),AND(BH$7&gt;0,$A1008&gt;BH$7)),0,MAX(0,ROUND((INDEX($E1008:$G1008,BH$5)-SUMIFS(TF_Timer,TF_Tekniker,BH$4,TF_Dato,$A1008))*2,0)/2)))</f>
        <v/>
      </c>
      <c r="BI1008">
        <f>IF(OR(BI$4="",$A1008&gt;TODAY()),0,IF(OR(INDEX($B1008:$D1008,BI$5)="F",AND(BI$6&gt;0,$A1008&lt;BI$6),AND(BI$7&gt;0,$A1008&gt;BI$7)),0,MAX(0,ROUND((INDEX($E1008:$G1008,BI$5)-SUMIFS(TF_Timer,TF_Tekniker,BI$4,TF_Dato,$A1008))*2,0)/2)))</f>
        <v/>
      </c>
    </row>
    <row r="1009">
      <c r="A1009" s="64">
        <f>A1008+1</f>
        <v/>
      </c>
      <c r="B1009">
        <f>IF(MOD($A1009-INDEX(SkiftStart,1),Syklus)&lt;DagK,"K",IF(MOD($A1009-INDEX(SkiftStart,1),Syklus)&lt;DagK+DagH,"H",IF(MOD($A1009-INDEX(SkiftStart,1),Syklus)&lt;DagK+DagH+DagD,"D","F")))</f>
        <v/>
      </c>
      <c r="C1009">
        <f>IF(MOD($A1009-INDEX(SkiftStart,2),Syklus)&lt;DagK,"K",IF(MOD($A1009-INDEX(SkiftStart,2),Syklus)&lt;DagK+DagH,"H",IF(MOD($A1009-INDEX(SkiftStart,2),Syklus)&lt;DagK+DagH+DagD,"D","F")))</f>
        <v/>
      </c>
      <c r="D1009">
        <f>IF(MOD($A1009-INDEX(SkiftStart,3),Syklus)&lt;DagK,"K",IF(MOD($A1009-INDEX(SkiftStart,3),Syklus)&lt;DagK+DagH,"H",IF(MOD($A1009-INDEX(SkiftStart,3),Syklus)&lt;DagK+DagH+DagD,"D","F")))</f>
        <v/>
      </c>
      <c r="E1009">
        <f>IF(B1009="F",0,IF(WEEKDAY($A1009,2)=5,INDEX(TimerFr,MATCH(B1009,FaseKode,0)),INDEX(TimerMT,MATCH(B1009,FaseKode,0))))</f>
        <v/>
      </c>
      <c r="F1009">
        <f>IF(C1009="F",0,IF(WEEKDAY($A1009,2)=5,INDEX(TimerFr,MATCH(C1009,FaseKode,0)),INDEX(TimerMT,MATCH(C1009,FaseKode,0))))</f>
        <v/>
      </c>
      <c r="G1009">
        <f>IF(D1009="F",0,IF(WEEKDAY($A1009,2)=5,INDEX(TimerFr,MATCH(D1009,FaseKode,0)),INDEX(TimerMT,MATCH(D1009,FaseKode,0))))</f>
        <v/>
      </c>
      <c r="H1009">
        <f>IF(OR(H$4="",$A1009&gt;TODAY()),0,IF(OR(INDEX($B1009:$D1009,H$5)="F",AND(H$6&gt;0,$A1009&lt;H$6),AND(H$7&gt;0,$A1009&gt;H$7)),0,MAX(0,ROUND((INDEX($E1009:$G1009,H$5)-SUMIFS(TF_Timer,TF_Tekniker,H$4,TF_Dato,$A1009))*2,0)/2)))</f>
        <v/>
      </c>
      <c r="I1009">
        <f>IF(OR(I$4="",$A1009&gt;TODAY()),0,IF(OR(INDEX($B1009:$D1009,I$5)="F",AND(I$6&gt;0,$A1009&lt;I$6),AND(I$7&gt;0,$A1009&gt;I$7)),0,MAX(0,ROUND((INDEX($E1009:$G1009,I$5)-SUMIFS(TF_Timer,TF_Tekniker,I$4,TF_Dato,$A1009))*2,0)/2)))</f>
        <v/>
      </c>
      <c r="J1009">
        <f>IF(OR(J$4="",$A1009&gt;TODAY()),0,IF(OR(INDEX($B1009:$D1009,J$5)="F",AND(J$6&gt;0,$A1009&lt;J$6),AND(J$7&gt;0,$A1009&gt;J$7)),0,MAX(0,ROUND((INDEX($E1009:$G1009,J$5)-SUMIFS(TF_Timer,TF_Tekniker,J$4,TF_Dato,$A1009))*2,0)/2)))</f>
        <v/>
      </c>
      <c r="K1009">
        <f>IF(OR(K$4="",$A1009&gt;TODAY()),0,IF(OR(INDEX($B1009:$D1009,K$5)="F",AND(K$6&gt;0,$A1009&lt;K$6),AND(K$7&gt;0,$A1009&gt;K$7)),0,MAX(0,ROUND((INDEX($E1009:$G1009,K$5)-SUMIFS(TF_Timer,TF_Tekniker,K$4,TF_Dato,$A1009))*2,0)/2)))</f>
        <v/>
      </c>
      <c r="L1009">
        <f>IF(OR(L$4="",$A1009&gt;TODAY()),0,IF(OR(INDEX($B1009:$D1009,L$5)="F",AND(L$6&gt;0,$A1009&lt;L$6),AND(L$7&gt;0,$A1009&gt;L$7)),0,MAX(0,ROUND((INDEX($E1009:$G1009,L$5)-SUMIFS(TF_Timer,TF_Tekniker,L$4,TF_Dato,$A1009))*2,0)/2)))</f>
        <v/>
      </c>
      <c r="M1009">
        <f>IF(OR(M$4="",$A1009&gt;TODAY()),0,IF(OR(INDEX($B1009:$D1009,M$5)="F",AND(M$6&gt;0,$A1009&lt;M$6),AND(M$7&gt;0,$A1009&gt;M$7)),0,MAX(0,ROUND((INDEX($E1009:$G1009,M$5)-SUMIFS(TF_Timer,TF_Tekniker,M$4,TF_Dato,$A1009))*2,0)/2)))</f>
        <v/>
      </c>
      <c r="N1009">
        <f>IF(OR(N$4="",$A1009&gt;TODAY()),0,IF(OR(INDEX($B1009:$D1009,N$5)="F",AND(N$6&gt;0,$A1009&lt;N$6),AND(N$7&gt;0,$A1009&gt;N$7)),0,MAX(0,ROUND((INDEX($E1009:$G1009,N$5)-SUMIFS(TF_Timer,TF_Tekniker,N$4,TF_Dato,$A1009))*2,0)/2)))</f>
        <v/>
      </c>
      <c r="O1009">
        <f>IF(OR(O$4="",$A1009&gt;TODAY()),0,IF(OR(INDEX($B1009:$D1009,O$5)="F",AND(O$6&gt;0,$A1009&lt;O$6),AND(O$7&gt;0,$A1009&gt;O$7)),0,MAX(0,ROUND((INDEX($E1009:$G1009,O$5)-SUMIFS(TF_Timer,TF_Tekniker,O$4,TF_Dato,$A1009))*2,0)/2)))</f>
        <v/>
      </c>
      <c r="P1009">
        <f>IF(OR(P$4="",$A1009&gt;TODAY()),0,IF(OR(INDEX($B1009:$D1009,P$5)="F",AND(P$6&gt;0,$A1009&lt;P$6),AND(P$7&gt;0,$A1009&gt;P$7)),0,MAX(0,ROUND((INDEX($E1009:$G1009,P$5)-SUMIFS(TF_Timer,TF_Tekniker,P$4,TF_Dato,$A1009))*2,0)/2)))</f>
        <v/>
      </c>
      <c r="Q1009">
        <f>IF(OR(Q$4="",$A1009&gt;TODAY()),0,IF(OR(INDEX($B1009:$D1009,Q$5)="F",AND(Q$6&gt;0,$A1009&lt;Q$6),AND(Q$7&gt;0,$A1009&gt;Q$7)),0,MAX(0,ROUND((INDEX($E1009:$G1009,Q$5)-SUMIFS(TF_Timer,TF_Tekniker,Q$4,TF_Dato,$A1009))*2,0)/2)))</f>
        <v/>
      </c>
      <c r="R1009">
        <f>IF(OR(R$4="",$A1009&gt;TODAY()),0,IF(OR(INDEX($B1009:$D1009,R$5)="F",AND(R$6&gt;0,$A1009&lt;R$6),AND(R$7&gt;0,$A1009&gt;R$7)),0,MAX(0,ROUND((INDEX($E1009:$G1009,R$5)-SUMIFS(TF_Timer,TF_Tekniker,R$4,TF_Dato,$A1009))*2,0)/2)))</f>
        <v/>
      </c>
      <c r="S1009">
        <f>IF(OR(S$4="",$A1009&gt;TODAY()),0,IF(OR(INDEX($B1009:$D1009,S$5)="F",AND(S$6&gt;0,$A1009&lt;S$6),AND(S$7&gt;0,$A1009&gt;S$7)),0,MAX(0,ROUND((INDEX($E1009:$G1009,S$5)-SUMIFS(TF_Timer,TF_Tekniker,S$4,TF_Dato,$A1009))*2,0)/2)))</f>
        <v/>
      </c>
      <c r="T1009">
        <f>IF(OR(T$4="",$A1009&gt;TODAY()),0,IF(OR(INDEX($B1009:$D1009,T$5)="F",AND(T$6&gt;0,$A1009&lt;T$6),AND(T$7&gt;0,$A1009&gt;T$7)),0,MAX(0,ROUND((INDEX($E1009:$G1009,T$5)-SUMIFS(TF_Timer,TF_Tekniker,T$4,TF_Dato,$A1009))*2,0)/2)))</f>
        <v/>
      </c>
      <c r="U1009">
        <f>IF(OR(U$4="",$A1009&gt;TODAY()),0,IF(OR(INDEX($B1009:$D1009,U$5)="F",AND(U$6&gt;0,$A1009&lt;U$6),AND(U$7&gt;0,$A1009&gt;U$7)),0,MAX(0,ROUND((INDEX($E1009:$G1009,U$5)-SUMIFS(TF_Timer,TF_Tekniker,U$4,TF_Dato,$A1009))*2,0)/2)))</f>
        <v/>
      </c>
      <c r="V1009">
        <f>IF(OR(V$4="",$A1009&gt;TODAY()),0,IF(OR(INDEX($B1009:$D1009,V$5)="F",AND(V$6&gt;0,$A1009&lt;V$6),AND(V$7&gt;0,$A1009&gt;V$7)),0,MAX(0,ROUND((INDEX($E1009:$G1009,V$5)-SUMIFS(TF_Timer,TF_Tekniker,V$4,TF_Dato,$A1009))*2,0)/2)))</f>
        <v/>
      </c>
      <c r="W1009">
        <f>IF(OR(W$4="",$A1009&gt;TODAY()),0,IF(OR(INDEX($B1009:$D1009,W$5)="F",AND(W$6&gt;0,$A1009&lt;W$6),AND(W$7&gt;0,$A1009&gt;W$7)),0,MAX(0,ROUND((INDEX($E1009:$G1009,W$5)-SUMIFS(TF_Timer,TF_Tekniker,W$4,TF_Dato,$A1009))*2,0)/2)))</f>
        <v/>
      </c>
      <c r="X1009">
        <f>IF(OR(X$4="",$A1009&gt;TODAY()),0,IF(OR(INDEX($B1009:$D1009,X$5)="F",AND(X$6&gt;0,$A1009&lt;X$6),AND(X$7&gt;0,$A1009&gt;X$7)),0,MAX(0,ROUND((INDEX($E1009:$G1009,X$5)-SUMIFS(TF_Timer,TF_Tekniker,X$4,TF_Dato,$A1009))*2,0)/2)))</f>
        <v/>
      </c>
      <c r="Y1009">
        <f>IF(OR(Y$4="",$A1009&gt;TODAY()),0,IF(OR(INDEX($B1009:$D1009,Y$5)="F",AND(Y$6&gt;0,$A1009&lt;Y$6),AND(Y$7&gt;0,$A1009&gt;Y$7)),0,MAX(0,ROUND((INDEX($E1009:$G1009,Y$5)-SUMIFS(TF_Timer,TF_Tekniker,Y$4,TF_Dato,$A1009))*2,0)/2)))</f>
        <v/>
      </c>
      <c r="Z1009">
        <f>IF(OR(Z$4="",$A1009&gt;TODAY()),0,IF(OR(INDEX($B1009:$D1009,Z$5)="F",AND(Z$6&gt;0,$A1009&lt;Z$6),AND(Z$7&gt;0,$A1009&gt;Z$7)),0,MAX(0,ROUND((INDEX($E1009:$G1009,Z$5)-SUMIFS(TF_Timer,TF_Tekniker,Z$4,TF_Dato,$A1009))*2,0)/2)))</f>
        <v/>
      </c>
      <c r="AA1009">
        <f>IF(OR(AA$4="",$A1009&gt;TODAY()),0,IF(OR(INDEX($B1009:$D1009,AA$5)="F",AND(AA$6&gt;0,$A1009&lt;AA$6),AND(AA$7&gt;0,$A1009&gt;AA$7)),0,MAX(0,ROUND((INDEX($E1009:$G1009,AA$5)-SUMIFS(TF_Timer,TF_Tekniker,AA$4,TF_Dato,$A1009))*2,0)/2)))</f>
        <v/>
      </c>
      <c r="AB1009">
        <f>IF(OR(AB$4="",$A1009&gt;TODAY()),0,IF(OR(INDEX($B1009:$D1009,AB$5)="F",AND(AB$6&gt;0,$A1009&lt;AB$6),AND(AB$7&gt;0,$A1009&gt;AB$7)),0,MAX(0,ROUND((INDEX($E1009:$G1009,AB$5)-SUMIFS(TF_Timer,TF_Tekniker,AB$4,TF_Dato,$A1009))*2,0)/2)))</f>
        <v/>
      </c>
      <c r="AC1009">
        <f>IF(OR(AC$4="",$A1009&gt;TODAY()),0,IF(OR(INDEX($B1009:$D1009,AC$5)="F",AND(AC$6&gt;0,$A1009&lt;AC$6),AND(AC$7&gt;0,$A1009&gt;AC$7)),0,MAX(0,ROUND((INDEX($E1009:$G1009,AC$5)-SUMIFS(TF_Timer,TF_Tekniker,AC$4,TF_Dato,$A1009))*2,0)/2)))</f>
        <v/>
      </c>
      <c r="AD1009">
        <f>IF(OR(AD$4="",$A1009&gt;TODAY()),0,IF(OR(INDEX($B1009:$D1009,AD$5)="F",AND(AD$6&gt;0,$A1009&lt;AD$6),AND(AD$7&gt;0,$A1009&gt;AD$7)),0,MAX(0,ROUND((INDEX($E1009:$G1009,AD$5)-SUMIFS(TF_Timer,TF_Tekniker,AD$4,TF_Dato,$A1009))*2,0)/2)))</f>
        <v/>
      </c>
      <c r="AE1009">
        <f>IF(OR(AE$4="",$A1009&gt;TODAY()),0,IF(OR(INDEX($B1009:$D1009,AE$5)="F",AND(AE$6&gt;0,$A1009&lt;AE$6),AND(AE$7&gt;0,$A1009&gt;AE$7)),0,MAX(0,ROUND((INDEX($E1009:$G1009,AE$5)-SUMIFS(TF_Timer,TF_Tekniker,AE$4,TF_Dato,$A1009))*2,0)/2)))</f>
        <v/>
      </c>
      <c r="AF1009">
        <f>IF(OR(AF$4="",$A1009&gt;TODAY()),0,IF(OR(INDEX($B1009:$D1009,AF$5)="F",AND(AF$6&gt;0,$A1009&lt;AF$6),AND(AF$7&gt;0,$A1009&gt;AF$7)),0,MAX(0,ROUND((INDEX($E1009:$G1009,AF$5)-SUMIFS(TF_Timer,TF_Tekniker,AF$4,TF_Dato,$A1009))*2,0)/2)))</f>
        <v/>
      </c>
      <c r="AG1009">
        <f>IF(OR(AG$4="",$A1009&gt;TODAY()),0,IF(OR(INDEX($B1009:$D1009,AG$5)="F",AND(AG$6&gt;0,$A1009&lt;AG$6),AND(AG$7&gt;0,$A1009&gt;AG$7)),0,MAX(0,ROUND((INDEX($E1009:$G1009,AG$5)-SUMIFS(TF_Timer,TF_Tekniker,AG$4,TF_Dato,$A1009))*2,0)/2)))</f>
        <v/>
      </c>
      <c r="AH1009">
        <f>IF(OR(AH$4="",$A1009&gt;TODAY()),0,IF(OR(INDEX($B1009:$D1009,AH$5)="F",AND(AH$6&gt;0,$A1009&lt;AH$6),AND(AH$7&gt;0,$A1009&gt;AH$7)),0,MAX(0,ROUND((INDEX($E1009:$G1009,AH$5)-SUMIFS(TF_Timer,TF_Tekniker,AH$4,TF_Dato,$A1009))*2,0)/2)))</f>
        <v/>
      </c>
      <c r="AI1009">
        <f>IF(OR(AI$4="",$A1009&gt;TODAY()),0,IF(OR(INDEX($B1009:$D1009,AI$5)="F",AND(AI$6&gt;0,$A1009&lt;AI$6),AND(AI$7&gt;0,$A1009&gt;AI$7)),0,MAX(0,ROUND((INDEX($E1009:$G1009,AI$5)-SUMIFS(TF_Timer,TF_Tekniker,AI$4,TF_Dato,$A1009))*2,0)/2)))</f>
        <v/>
      </c>
      <c r="AJ1009">
        <f>IF(OR(AJ$4="",$A1009&gt;TODAY()),0,IF(OR(INDEX($B1009:$D1009,AJ$5)="F",AND(AJ$6&gt;0,$A1009&lt;AJ$6),AND(AJ$7&gt;0,$A1009&gt;AJ$7)),0,MAX(0,ROUND((INDEX($E1009:$G1009,AJ$5)-SUMIFS(TF_Timer,TF_Tekniker,AJ$4,TF_Dato,$A1009))*2,0)/2)))</f>
        <v/>
      </c>
      <c r="AK1009">
        <f>IF(OR(AK$4="",$A1009&gt;TODAY()),0,IF(OR(INDEX($B1009:$D1009,AK$5)="F",AND(AK$6&gt;0,$A1009&lt;AK$6),AND(AK$7&gt;0,$A1009&gt;AK$7)),0,MAX(0,ROUND((INDEX($E1009:$G1009,AK$5)-SUMIFS(TF_Timer,TF_Tekniker,AK$4,TF_Dato,$A1009))*2,0)/2)))</f>
        <v/>
      </c>
      <c r="AL1009">
        <f>IF(OR(AL$4="",$A1009&gt;TODAY()),0,IF(OR(INDEX($B1009:$D1009,AL$5)="F",AND(AL$6&gt;0,$A1009&lt;AL$6),AND(AL$7&gt;0,$A1009&gt;AL$7)),0,MAX(0,ROUND((INDEX($E1009:$G1009,AL$5)-SUMIFS(TF_Timer,TF_Tekniker,AL$4,TF_Dato,$A1009))*2,0)/2)))</f>
        <v/>
      </c>
      <c r="AM1009">
        <f>IF(OR(AM$4="",$A1009&gt;TODAY()),0,IF(OR(INDEX($B1009:$D1009,AM$5)="F",AND(AM$6&gt;0,$A1009&lt;AM$6),AND(AM$7&gt;0,$A1009&gt;AM$7)),0,MAX(0,ROUND((INDEX($E1009:$G1009,AM$5)-SUMIFS(TF_Timer,TF_Tekniker,AM$4,TF_Dato,$A1009))*2,0)/2)))</f>
        <v/>
      </c>
      <c r="AN1009">
        <f>IF(OR(AN$4="",$A1009&gt;TODAY()),0,IF(OR(INDEX($B1009:$D1009,AN$5)="F",AND(AN$6&gt;0,$A1009&lt;AN$6),AND(AN$7&gt;0,$A1009&gt;AN$7)),0,MAX(0,ROUND((INDEX($E1009:$G1009,AN$5)-SUMIFS(TF_Timer,TF_Tekniker,AN$4,TF_Dato,$A1009))*2,0)/2)))</f>
        <v/>
      </c>
      <c r="AO1009">
        <f>IF(OR(AO$4="",$A1009&gt;TODAY()),0,IF(OR(INDEX($B1009:$D1009,AO$5)="F",AND(AO$6&gt;0,$A1009&lt;AO$6),AND(AO$7&gt;0,$A1009&gt;AO$7)),0,MAX(0,ROUND((INDEX($E1009:$G1009,AO$5)-SUMIFS(TF_Timer,TF_Tekniker,AO$4,TF_Dato,$A1009))*2,0)/2)))</f>
        <v/>
      </c>
      <c r="AP1009">
        <f>IF(OR(AP$4="",$A1009&gt;TODAY()),0,IF(OR(INDEX($B1009:$D1009,AP$5)="F",AND(AP$6&gt;0,$A1009&lt;AP$6),AND(AP$7&gt;0,$A1009&gt;AP$7)),0,MAX(0,ROUND((INDEX($E1009:$G1009,AP$5)-SUMIFS(TF_Timer,TF_Tekniker,AP$4,TF_Dato,$A1009))*2,0)/2)))</f>
        <v/>
      </c>
      <c r="AQ1009">
        <f>IF(OR(AQ$4="",$A1009&gt;TODAY()),0,IF(OR(INDEX($B1009:$D1009,AQ$5)="F",AND(AQ$6&gt;0,$A1009&lt;AQ$6),AND(AQ$7&gt;0,$A1009&gt;AQ$7)),0,MAX(0,ROUND((INDEX($E1009:$G1009,AQ$5)-SUMIFS(TF_Timer,TF_Tekniker,AQ$4,TF_Dato,$A1009))*2,0)/2)))</f>
        <v/>
      </c>
      <c r="AR1009">
        <f>IF(OR(AR$4="",$A1009&gt;TODAY()),0,IF(OR(INDEX($B1009:$D1009,AR$5)="F",AND(AR$6&gt;0,$A1009&lt;AR$6),AND(AR$7&gt;0,$A1009&gt;AR$7)),0,MAX(0,ROUND((INDEX($E1009:$G1009,AR$5)-SUMIFS(TF_Timer,TF_Tekniker,AR$4,TF_Dato,$A1009))*2,0)/2)))</f>
        <v/>
      </c>
      <c r="AS1009">
        <f>IF(OR(AS$4="",$A1009&gt;TODAY()),0,IF(OR(INDEX($B1009:$D1009,AS$5)="F",AND(AS$6&gt;0,$A1009&lt;AS$6),AND(AS$7&gt;0,$A1009&gt;AS$7)),0,MAX(0,ROUND((INDEX($E1009:$G1009,AS$5)-SUMIFS(TF_Timer,TF_Tekniker,AS$4,TF_Dato,$A1009))*2,0)/2)))</f>
        <v/>
      </c>
      <c r="AT1009">
        <f>IF(OR(AT$4="",$A1009&gt;TODAY()),0,IF(OR(INDEX($B1009:$D1009,AT$5)="F",AND(AT$6&gt;0,$A1009&lt;AT$6),AND(AT$7&gt;0,$A1009&gt;AT$7)),0,MAX(0,ROUND((INDEX($E1009:$G1009,AT$5)-SUMIFS(TF_Timer,TF_Tekniker,AT$4,TF_Dato,$A1009))*2,0)/2)))</f>
        <v/>
      </c>
      <c r="AU1009">
        <f>IF(OR(AU$4="",$A1009&gt;TODAY()),0,IF(OR(INDEX($B1009:$D1009,AU$5)="F",AND(AU$6&gt;0,$A1009&lt;AU$6),AND(AU$7&gt;0,$A1009&gt;AU$7)),0,MAX(0,ROUND((INDEX($E1009:$G1009,AU$5)-SUMIFS(TF_Timer,TF_Tekniker,AU$4,TF_Dato,$A1009))*2,0)/2)))</f>
        <v/>
      </c>
      <c r="AV1009">
        <f>IF(OR(AV$4="",$A1009&gt;TODAY()),0,IF(OR(INDEX($B1009:$D1009,AV$5)="F",AND(AV$6&gt;0,$A1009&lt;AV$6),AND(AV$7&gt;0,$A1009&gt;AV$7)),0,MAX(0,ROUND((INDEX($E1009:$G1009,AV$5)-SUMIFS(TF_Timer,TF_Tekniker,AV$4,TF_Dato,$A1009))*2,0)/2)))</f>
        <v/>
      </c>
      <c r="AW1009">
        <f>IF(OR(AW$4="",$A1009&gt;TODAY()),0,IF(OR(INDEX($B1009:$D1009,AW$5)="F",AND(AW$6&gt;0,$A1009&lt;AW$6),AND(AW$7&gt;0,$A1009&gt;AW$7)),0,MAX(0,ROUND((INDEX($E1009:$G1009,AW$5)-SUMIFS(TF_Timer,TF_Tekniker,AW$4,TF_Dato,$A1009))*2,0)/2)))</f>
        <v/>
      </c>
      <c r="AX1009">
        <f>IF(OR(AX$4="",$A1009&gt;TODAY()),0,IF(OR(INDEX($B1009:$D1009,AX$5)="F",AND(AX$6&gt;0,$A1009&lt;AX$6),AND(AX$7&gt;0,$A1009&gt;AX$7)),0,MAX(0,ROUND((INDEX($E1009:$G1009,AX$5)-SUMIFS(TF_Timer,TF_Tekniker,AX$4,TF_Dato,$A1009))*2,0)/2)))</f>
        <v/>
      </c>
      <c r="AY1009">
        <f>IF(OR(AY$4="",$A1009&gt;TODAY()),0,IF(OR(INDEX($B1009:$D1009,AY$5)="F",AND(AY$6&gt;0,$A1009&lt;AY$6),AND(AY$7&gt;0,$A1009&gt;AY$7)),0,MAX(0,ROUND((INDEX($E1009:$G1009,AY$5)-SUMIFS(TF_Timer,TF_Tekniker,AY$4,TF_Dato,$A1009))*2,0)/2)))</f>
        <v/>
      </c>
      <c r="AZ1009">
        <f>IF(OR(AZ$4="",$A1009&gt;TODAY()),0,IF(OR(INDEX($B1009:$D1009,AZ$5)="F",AND(AZ$6&gt;0,$A1009&lt;AZ$6),AND(AZ$7&gt;0,$A1009&gt;AZ$7)),0,MAX(0,ROUND((INDEX($E1009:$G1009,AZ$5)-SUMIFS(TF_Timer,TF_Tekniker,AZ$4,TF_Dato,$A1009))*2,0)/2)))</f>
        <v/>
      </c>
      <c r="BA1009">
        <f>IF(OR(BA$4="",$A1009&gt;TODAY()),0,IF(OR(INDEX($B1009:$D1009,BA$5)="F",AND(BA$6&gt;0,$A1009&lt;BA$6),AND(BA$7&gt;0,$A1009&gt;BA$7)),0,MAX(0,ROUND((INDEX($E1009:$G1009,BA$5)-SUMIFS(TF_Timer,TF_Tekniker,BA$4,TF_Dato,$A1009))*2,0)/2)))</f>
        <v/>
      </c>
      <c r="BB1009">
        <f>IF(OR(BB$4="",$A1009&gt;TODAY()),0,IF(OR(INDEX($B1009:$D1009,BB$5)="F",AND(BB$6&gt;0,$A1009&lt;BB$6),AND(BB$7&gt;0,$A1009&gt;BB$7)),0,MAX(0,ROUND((INDEX($E1009:$G1009,BB$5)-SUMIFS(TF_Timer,TF_Tekniker,BB$4,TF_Dato,$A1009))*2,0)/2)))</f>
        <v/>
      </c>
      <c r="BC1009">
        <f>IF(OR(BC$4="",$A1009&gt;TODAY()),0,IF(OR(INDEX($B1009:$D1009,BC$5)="F",AND(BC$6&gt;0,$A1009&lt;BC$6),AND(BC$7&gt;0,$A1009&gt;BC$7)),0,MAX(0,ROUND((INDEX($E1009:$G1009,BC$5)-SUMIFS(TF_Timer,TF_Tekniker,BC$4,TF_Dato,$A1009))*2,0)/2)))</f>
        <v/>
      </c>
      <c r="BD1009">
        <f>IF(OR(BD$4="",$A1009&gt;TODAY()),0,IF(OR(INDEX($B1009:$D1009,BD$5)="F",AND(BD$6&gt;0,$A1009&lt;BD$6),AND(BD$7&gt;0,$A1009&gt;BD$7)),0,MAX(0,ROUND((INDEX($E1009:$G1009,BD$5)-SUMIFS(TF_Timer,TF_Tekniker,BD$4,TF_Dato,$A1009))*2,0)/2)))</f>
        <v/>
      </c>
      <c r="BE1009">
        <f>IF(OR(BE$4="",$A1009&gt;TODAY()),0,IF(OR(INDEX($B1009:$D1009,BE$5)="F",AND(BE$6&gt;0,$A1009&lt;BE$6),AND(BE$7&gt;0,$A1009&gt;BE$7)),0,MAX(0,ROUND((INDEX($E1009:$G1009,BE$5)-SUMIFS(TF_Timer,TF_Tekniker,BE$4,TF_Dato,$A1009))*2,0)/2)))</f>
        <v/>
      </c>
      <c r="BF1009">
        <f>IF(OR(BF$4="",$A1009&gt;TODAY()),0,IF(OR(INDEX($B1009:$D1009,BF$5)="F",AND(BF$6&gt;0,$A1009&lt;BF$6),AND(BF$7&gt;0,$A1009&gt;BF$7)),0,MAX(0,ROUND((INDEX($E1009:$G1009,BF$5)-SUMIFS(TF_Timer,TF_Tekniker,BF$4,TF_Dato,$A1009))*2,0)/2)))</f>
        <v/>
      </c>
      <c r="BG1009">
        <f>IF(OR(BG$4="",$A1009&gt;TODAY()),0,IF(OR(INDEX($B1009:$D1009,BG$5)="F",AND(BG$6&gt;0,$A1009&lt;BG$6),AND(BG$7&gt;0,$A1009&gt;BG$7)),0,MAX(0,ROUND((INDEX($E1009:$G1009,BG$5)-SUMIFS(TF_Timer,TF_Tekniker,BG$4,TF_Dato,$A1009))*2,0)/2)))</f>
        <v/>
      </c>
      <c r="BH1009">
        <f>IF(OR(BH$4="",$A1009&gt;TODAY()),0,IF(OR(INDEX($B1009:$D1009,BH$5)="F",AND(BH$6&gt;0,$A1009&lt;BH$6),AND(BH$7&gt;0,$A1009&gt;BH$7)),0,MAX(0,ROUND((INDEX($E1009:$G1009,BH$5)-SUMIFS(TF_Timer,TF_Tekniker,BH$4,TF_Dato,$A1009))*2,0)/2)))</f>
        <v/>
      </c>
      <c r="BI1009">
        <f>IF(OR(BI$4="",$A1009&gt;TODAY()),0,IF(OR(INDEX($B1009:$D1009,BI$5)="F",AND(BI$6&gt;0,$A1009&lt;BI$6),AND(BI$7&gt;0,$A1009&gt;BI$7)),0,MAX(0,ROUND((INDEX($E1009:$G1009,BI$5)-SUMIFS(TF_Timer,TF_Tekniker,BI$4,TF_Dato,$A1009))*2,0)/2)))</f>
        <v/>
      </c>
    </row>
    <row r="1010">
      <c r="A1010" s="64">
        <f>A1009+1</f>
        <v/>
      </c>
      <c r="B1010">
        <f>IF(MOD($A1010-INDEX(SkiftStart,1),Syklus)&lt;DagK,"K",IF(MOD($A1010-INDEX(SkiftStart,1),Syklus)&lt;DagK+DagH,"H",IF(MOD($A1010-INDEX(SkiftStart,1),Syklus)&lt;DagK+DagH+DagD,"D","F")))</f>
        <v/>
      </c>
      <c r="C1010">
        <f>IF(MOD($A1010-INDEX(SkiftStart,2),Syklus)&lt;DagK,"K",IF(MOD($A1010-INDEX(SkiftStart,2),Syklus)&lt;DagK+DagH,"H",IF(MOD($A1010-INDEX(SkiftStart,2),Syklus)&lt;DagK+DagH+DagD,"D","F")))</f>
        <v/>
      </c>
      <c r="D1010">
        <f>IF(MOD($A1010-INDEX(SkiftStart,3),Syklus)&lt;DagK,"K",IF(MOD($A1010-INDEX(SkiftStart,3),Syklus)&lt;DagK+DagH,"H",IF(MOD($A1010-INDEX(SkiftStart,3),Syklus)&lt;DagK+DagH+DagD,"D","F")))</f>
        <v/>
      </c>
      <c r="E1010">
        <f>IF(B1010="F",0,IF(WEEKDAY($A1010,2)=5,INDEX(TimerFr,MATCH(B1010,FaseKode,0)),INDEX(TimerMT,MATCH(B1010,FaseKode,0))))</f>
        <v/>
      </c>
      <c r="F1010">
        <f>IF(C1010="F",0,IF(WEEKDAY($A1010,2)=5,INDEX(TimerFr,MATCH(C1010,FaseKode,0)),INDEX(TimerMT,MATCH(C1010,FaseKode,0))))</f>
        <v/>
      </c>
      <c r="G1010">
        <f>IF(D1010="F",0,IF(WEEKDAY($A1010,2)=5,INDEX(TimerFr,MATCH(D1010,FaseKode,0)),INDEX(TimerMT,MATCH(D1010,FaseKode,0))))</f>
        <v/>
      </c>
      <c r="H1010">
        <f>IF(OR(H$4="",$A1010&gt;TODAY()),0,IF(OR(INDEX($B1010:$D1010,H$5)="F",AND(H$6&gt;0,$A1010&lt;H$6),AND(H$7&gt;0,$A1010&gt;H$7)),0,MAX(0,ROUND((INDEX($E1010:$G1010,H$5)-SUMIFS(TF_Timer,TF_Tekniker,H$4,TF_Dato,$A1010))*2,0)/2)))</f>
        <v/>
      </c>
      <c r="I1010">
        <f>IF(OR(I$4="",$A1010&gt;TODAY()),0,IF(OR(INDEX($B1010:$D1010,I$5)="F",AND(I$6&gt;0,$A1010&lt;I$6),AND(I$7&gt;0,$A1010&gt;I$7)),0,MAX(0,ROUND((INDEX($E1010:$G1010,I$5)-SUMIFS(TF_Timer,TF_Tekniker,I$4,TF_Dato,$A1010))*2,0)/2)))</f>
        <v/>
      </c>
      <c r="J1010">
        <f>IF(OR(J$4="",$A1010&gt;TODAY()),0,IF(OR(INDEX($B1010:$D1010,J$5)="F",AND(J$6&gt;0,$A1010&lt;J$6),AND(J$7&gt;0,$A1010&gt;J$7)),0,MAX(0,ROUND((INDEX($E1010:$G1010,J$5)-SUMIFS(TF_Timer,TF_Tekniker,J$4,TF_Dato,$A1010))*2,0)/2)))</f>
        <v/>
      </c>
      <c r="K1010">
        <f>IF(OR(K$4="",$A1010&gt;TODAY()),0,IF(OR(INDEX($B1010:$D1010,K$5)="F",AND(K$6&gt;0,$A1010&lt;K$6),AND(K$7&gt;0,$A1010&gt;K$7)),0,MAX(0,ROUND((INDEX($E1010:$G1010,K$5)-SUMIFS(TF_Timer,TF_Tekniker,K$4,TF_Dato,$A1010))*2,0)/2)))</f>
        <v/>
      </c>
      <c r="L1010">
        <f>IF(OR(L$4="",$A1010&gt;TODAY()),0,IF(OR(INDEX($B1010:$D1010,L$5)="F",AND(L$6&gt;0,$A1010&lt;L$6),AND(L$7&gt;0,$A1010&gt;L$7)),0,MAX(0,ROUND((INDEX($E1010:$G1010,L$5)-SUMIFS(TF_Timer,TF_Tekniker,L$4,TF_Dato,$A1010))*2,0)/2)))</f>
        <v/>
      </c>
      <c r="M1010">
        <f>IF(OR(M$4="",$A1010&gt;TODAY()),0,IF(OR(INDEX($B1010:$D1010,M$5)="F",AND(M$6&gt;0,$A1010&lt;M$6),AND(M$7&gt;0,$A1010&gt;M$7)),0,MAX(0,ROUND((INDEX($E1010:$G1010,M$5)-SUMIFS(TF_Timer,TF_Tekniker,M$4,TF_Dato,$A1010))*2,0)/2)))</f>
        <v/>
      </c>
      <c r="N1010">
        <f>IF(OR(N$4="",$A1010&gt;TODAY()),0,IF(OR(INDEX($B1010:$D1010,N$5)="F",AND(N$6&gt;0,$A1010&lt;N$6),AND(N$7&gt;0,$A1010&gt;N$7)),0,MAX(0,ROUND((INDEX($E1010:$G1010,N$5)-SUMIFS(TF_Timer,TF_Tekniker,N$4,TF_Dato,$A1010))*2,0)/2)))</f>
        <v/>
      </c>
      <c r="O1010">
        <f>IF(OR(O$4="",$A1010&gt;TODAY()),0,IF(OR(INDEX($B1010:$D1010,O$5)="F",AND(O$6&gt;0,$A1010&lt;O$6),AND(O$7&gt;0,$A1010&gt;O$7)),0,MAX(0,ROUND((INDEX($E1010:$G1010,O$5)-SUMIFS(TF_Timer,TF_Tekniker,O$4,TF_Dato,$A1010))*2,0)/2)))</f>
        <v/>
      </c>
      <c r="P1010">
        <f>IF(OR(P$4="",$A1010&gt;TODAY()),0,IF(OR(INDEX($B1010:$D1010,P$5)="F",AND(P$6&gt;0,$A1010&lt;P$6),AND(P$7&gt;0,$A1010&gt;P$7)),0,MAX(0,ROUND((INDEX($E1010:$G1010,P$5)-SUMIFS(TF_Timer,TF_Tekniker,P$4,TF_Dato,$A1010))*2,0)/2)))</f>
        <v/>
      </c>
      <c r="Q1010">
        <f>IF(OR(Q$4="",$A1010&gt;TODAY()),0,IF(OR(INDEX($B1010:$D1010,Q$5)="F",AND(Q$6&gt;0,$A1010&lt;Q$6),AND(Q$7&gt;0,$A1010&gt;Q$7)),0,MAX(0,ROUND((INDEX($E1010:$G1010,Q$5)-SUMIFS(TF_Timer,TF_Tekniker,Q$4,TF_Dato,$A1010))*2,0)/2)))</f>
        <v/>
      </c>
      <c r="R1010">
        <f>IF(OR(R$4="",$A1010&gt;TODAY()),0,IF(OR(INDEX($B1010:$D1010,R$5)="F",AND(R$6&gt;0,$A1010&lt;R$6),AND(R$7&gt;0,$A1010&gt;R$7)),0,MAX(0,ROUND((INDEX($E1010:$G1010,R$5)-SUMIFS(TF_Timer,TF_Tekniker,R$4,TF_Dato,$A1010))*2,0)/2)))</f>
        <v/>
      </c>
      <c r="S1010">
        <f>IF(OR(S$4="",$A1010&gt;TODAY()),0,IF(OR(INDEX($B1010:$D1010,S$5)="F",AND(S$6&gt;0,$A1010&lt;S$6),AND(S$7&gt;0,$A1010&gt;S$7)),0,MAX(0,ROUND((INDEX($E1010:$G1010,S$5)-SUMIFS(TF_Timer,TF_Tekniker,S$4,TF_Dato,$A1010))*2,0)/2)))</f>
        <v/>
      </c>
      <c r="T1010">
        <f>IF(OR(T$4="",$A1010&gt;TODAY()),0,IF(OR(INDEX($B1010:$D1010,T$5)="F",AND(T$6&gt;0,$A1010&lt;T$6),AND(T$7&gt;0,$A1010&gt;T$7)),0,MAX(0,ROUND((INDEX($E1010:$G1010,T$5)-SUMIFS(TF_Timer,TF_Tekniker,T$4,TF_Dato,$A1010))*2,0)/2)))</f>
        <v/>
      </c>
      <c r="U1010">
        <f>IF(OR(U$4="",$A1010&gt;TODAY()),0,IF(OR(INDEX($B1010:$D1010,U$5)="F",AND(U$6&gt;0,$A1010&lt;U$6),AND(U$7&gt;0,$A1010&gt;U$7)),0,MAX(0,ROUND((INDEX($E1010:$G1010,U$5)-SUMIFS(TF_Timer,TF_Tekniker,U$4,TF_Dato,$A1010))*2,0)/2)))</f>
        <v/>
      </c>
      <c r="V1010">
        <f>IF(OR(V$4="",$A1010&gt;TODAY()),0,IF(OR(INDEX($B1010:$D1010,V$5)="F",AND(V$6&gt;0,$A1010&lt;V$6),AND(V$7&gt;0,$A1010&gt;V$7)),0,MAX(0,ROUND((INDEX($E1010:$G1010,V$5)-SUMIFS(TF_Timer,TF_Tekniker,V$4,TF_Dato,$A1010))*2,0)/2)))</f>
        <v/>
      </c>
      <c r="W1010">
        <f>IF(OR(W$4="",$A1010&gt;TODAY()),0,IF(OR(INDEX($B1010:$D1010,W$5)="F",AND(W$6&gt;0,$A1010&lt;W$6),AND(W$7&gt;0,$A1010&gt;W$7)),0,MAX(0,ROUND((INDEX($E1010:$G1010,W$5)-SUMIFS(TF_Timer,TF_Tekniker,W$4,TF_Dato,$A1010))*2,0)/2)))</f>
        <v/>
      </c>
      <c r="X1010">
        <f>IF(OR(X$4="",$A1010&gt;TODAY()),0,IF(OR(INDEX($B1010:$D1010,X$5)="F",AND(X$6&gt;0,$A1010&lt;X$6),AND(X$7&gt;0,$A1010&gt;X$7)),0,MAX(0,ROUND((INDEX($E1010:$G1010,X$5)-SUMIFS(TF_Timer,TF_Tekniker,X$4,TF_Dato,$A1010))*2,0)/2)))</f>
        <v/>
      </c>
      <c r="Y1010">
        <f>IF(OR(Y$4="",$A1010&gt;TODAY()),0,IF(OR(INDEX($B1010:$D1010,Y$5)="F",AND(Y$6&gt;0,$A1010&lt;Y$6),AND(Y$7&gt;0,$A1010&gt;Y$7)),0,MAX(0,ROUND((INDEX($E1010:$G1010,Y$5)-SUMIFS(TF_Timer,TF_Tekniker,Y$4,TF_Dato,$A1010))*2,0)/2)))</f>
        <v/>
      </c>
      <c r="Z1010">
        <f>IF(OR(Z$4="",$A1010&gt;TODAY()),0,IF(OR(INDEX($B1010:$D1010,Z$5)="F",AND(Z$6&gt;0,$A1010&lt;Z$6),AND(Z$7&gt;0,$A1010&gt;Z$7)),0,MAX(0,ROUND((INDEX($E1010:$G1010,Z$5)-SUMIFS(TF_Timer,TF_Tekniker,Z$4,TF_Dato,$A1010))*2,0)/2)))</f>
        <v/>
      </c>
      <c r="AA1010">
        <f>IF(OR(AA$4="",$A1010&gt;TODAY()),0,IF(OR(INDEX($B1010:$D1010,AA$5)="F",AND(AA$6&gt;0,$A1010&lt;AA$6),AND(AA$7&gt;0,$A1010&gt;AA$7)),0,MAX(0,ROUND((INDEX($E1010:$G1010,AA$5)-SUMIFS(TF_Timer,TF_Tekniker,AA$4,TF_Dato,$A1010))*2,0)/2)))</f>
        <v/>
      </c>
      <c r="AB1010">
        <f>IF(OR(AB$4="",$A1010&gt;TODAY()),0,IF(OR(INDEX($B1010:$D1010,AB$5)="F",AND(AB$6&gt;0,$A1010&lt;AB$6),AND(AB$7&gt;0,$A1010&gt;AB$7)),0,MAX(0,ROUND((INDEX($E1010:$G1010,AB$5)-SUMIFS(TF_Timer,TF_Tekniker,AB$4,TF_Dato,$A1010))*2,0)/2)))</f>
        <v/>
      </c>
      <c r="AC1010">
        <f>IF(OR(AC$4="",$A1010&gt;TODAY()),0,IF(OR(INDEX($B1010:$D1010,AC$5)="F",AND(AC$6&gt;0,$A1010&lt;AC$6),AND(AC$7&gt;0,$A1010&gt;AC$7)),0,MAX(0,ROUND((INDEX($E1010:$G1010,AC$5)-SUMIFS(TF_Timer,TF_Tekniker,AC$4,TF_Dato,$A1010))*2,0)/2)))</f>
        <v/>
      </c>
      <c r="AD1010">
        <f>IF(OR(AD$4="",$A1010&gt;TODAY()),0,IF(OR(INDEX($B1010:$D1010,AD$5)="F",AND(AD$6&gt;0,$A1010&lt;AD$6),AND(AD$7&gt;0,$A1010&gt;AD$7)),0,MAX(0,ROUND((INDEX($E1010:$G1010,AD$5)-SUMIFS(TF_Timer,TF_Tekniker,AD$4,TF_Dato,$A1010))*2,0)/2)))</f>
        <v/>
      </c>
      <c r="AE1010">
        <f>IF(OR(AE$4="",$A1010&gt;TODAY()),0,IF(OR(INDEX($B1010:$D1010,AE$5)="F",AND(AE$6&gt;0,$A1010&lt;AE$6),AND(AE$7&gt;0,$A1010&gt;AE$7)),0,MAX(0,ROUND((INDEX($E1010:$G1010,AE$5)-SUMIFS(TF_Timer,TF_Tekniker,AE$4,TF_Dato,$A1010))*2,0)/2)))</f>
        <v/>
      </c>
      <c r="AF1010">
        <f>IF(OR(AF$4="",$A1010&gt;TODAY()),0,IF(OR(INDEX($B1010:$D1010,AF$5)="F",AND(AF$6&gt;0,$A1010&lt;AF$6),AND(AF$7&gt;0,$A1010&gt;AF$7)),0,MAX(0,ROUND((INDEX($E1010:$G1010,AF$5)-SUMIFS(TF_Timer,TF_Tekniker,AF$4,TF_Dato,$A1010))*2,0)/2)))</f>
        <v/>
      </c>
      <c r="AG1010">
        <f>IF(OR(AG$4="",$A1010&gt;TODAY()),0,IF(OR(INDEX($B1010:$D1010,AG$5)="F",AND(AG$6&gt;0,$A1010&lt;AG$6),AND(AG$7&gt;0,$A1010&gt;AG$7)),0,MAX(0,ROUND((INDEX($E1010:$G1010,AG$5)-SUMIFS(TF_Timer,TF_Tekniker,AG$4,TF_Dato,$A1010))*2,0)/2)))</f>
        <v/>
      </c>
      <c r="AH1010">
        <f>IF(OR(AH$4="",$A1010&gt;TODAY()),0,IF(OR(INDEX($B1010:$D1010,AH$5)="F",AND(AH$6&gt;0,$A1010&lt;AH$6),AND(AH$7&gt;0,$A1010&gt;AH$7)),0,MAX(0,ROUND((INDEX($E1010:$G1010,AH$5)-SUMIFS(TF_Timer,TF_Tekniker,AH$4,TF_Dato,$A1010))*2,0)/2)))</f>
        <v/>
      </c>
      <c r="AI1010">
        <f>IF(OR(AI$4="",$A1010&gt;TODAY()),0,IF(OR(INDEX($B1010:$D1010,AI$5)="F",AND(AI$6&gt;0,$A1010&lt;AI$6),AND(AI$7&gt;0,$A1010&gt;AI$7)),0,MAX(0,ROUND((INDEX($E1010:$G1010,AI$5)-SUMIFS(TF_Timer,TF_Tekniker,AI$4,TF_Dato,$A1010))*2,0)/2)))</f>
        <v/>
      </c>
      <c r="AJ1010">
        <f>IF(OR(AJ$4="",$A1010&gt;TODAY()),0,IF(OR(INDEX($B1010:$D1010,AJ$5)="F",AND(AJ$6&gt;0,$A1010&lt;AJ$6),AND(AJ$7&gt;0,$A1010&gt;AJ$7)),0,MAX(0,ROUND((INDEX($E1010:$G1010,AJ$5)-SUMIFS(TF_Timer,TF_Tekniker,AJ$4,TF_Dato,$A1010))*2,0)/2)))</f>
        <v/>
      </c>
      <c r="AK1010">
        <f>IF(OR(AK$4="",$A1010&gt;TODAY()),0,IF(OR(INDEX($B1010:$D1010,AK$5)="F",AND(AK$6&gt;0,$A1010&lt;AK$6),AND(AK$7&gt;0,$A1010&gt;AK$7)),0,MAX(0,ROUND((INDEX($E1010:$G1010,AK$5)-SUMIFS(TF_Timer,TF_Tekniker,AK$4,TF_Dato,$A1010))*2,0)/2)))</f>
        <v/>
      </c>
      <c r="AL1010">
        <f>IF(OR(AL$4="",$A1010&gt;TODAY()),0,IF(OR(INDEX($B1010:$D1010,AL$5)="F",AND(AL$6&gt;0,$A1010&lt;AL$6),AND(AL$7&gt;0,$A1010&gt;AL$7)),0,MAX(0,ROUND((INDEX($E1010:$G1010,AL$5)-SUMIFS(TF_Timer,TF_Tekniker,AL$4,TF_Dato,$A1010))*2,0)/2)))</f>
        <v/>
      </c>
      <c r="AM1010">
        <f>IF(OR(AM$4="",$A1010&gt;TODAY()),0,IF(OR(INDEX($B1010:$D1010,AM$5)="F",AND(AM$6&gt;0,$A1010&lt;AM$6),AND(AM$7&gt;0,$A1010&gt;AM$7)),0,MAX(0,ROUND((INDEX($E1010:$G1010,AM$5)-SUMIFS(TF_Timer,TF_Tekniker,AM$4,TF_Dato,$A1010))*2,0)/2)))</f>
        <v/>
      </c>
      <c r="AN1010">
        <f>IF(OR(AN$4="",$A1010&gt;TODAY()),0,IF(OR(INDEX($B1010:$D1010,AN$5)="F",AND(AN$6&gt;0,$A1010&lt;AN$6),AND(AN$7&gt;0,$A1010&gt;AN$7)),0,MAX(0,ROUND((INDEX($E1010:$G1010,AN$5)-SUMIFS(TF_Timer,TF_Tekniker,AN$4,TF_Dato,$A1010))*2,0)/2)))</f>
        <v/>
      </c>
      <c r="AO1010">
        <f>IF(OR(AO$4="",$A1010&gt;TODAY()),0,IF(OR(INDEX($B1010:$D1010,AO$5)="F",AND(AO$6&gt;0,$A1010&lt;AO$6),AND(AO$7&gt;0,$A1010&gt;AO$7)),0,MAX(0,ROUND((INDEX($E1010:$G1010,AO$5)-SUMIFS(TF_Timer,TF_Tekniker,AO$4,TF_Dato,$A1010))*2,0)/2)))</f>
        <v/>
      </c>
      <c r="AP1010">
        <f>IF(OR(AP$4="",$A1010&gt;TODAY()),0,IF(OR(INDEX($B1010:$D1010,AP$5)="F",AND(AP$6&gt;0,$A1010&lt;AP$6),AND(AP$7&gt;0,$A1010&gt;AP$7)),0,MAX(0,ROUND((INDEX($E1010:$G1010,AP$5)-SUMIFS(TF_Timer,TF_Tekniker,AP$4,TF_Dato,$A1010))*2,0)/2)))</f>
        <v/>
      </c>
      <c r="AQ1010">
        <f>IF(OR(AQ$4="",$A1010&gt;TODAY()),0,IF(OR(INDEX($B1010:$D1010,AQ$5)="F",AND(AQ$6&gt;0,$A1010&lt;AQ$6),AND(AQ$7&gt;0,$A1010&gt;AQ$7)),0,MAX(0,ROUND((INDEX($E1010:$G1010,AQ$5)-SUMIFS(TF_Timer,TF_Tekniker,AQ$4,TF_Dato,$A1010))*2,0)/2)))</f>
        <v/>
      </c>
      <c r="AR1010">
        <f>IF(OR(AR$4="",$A1010&gt;TODAY()),0,IF(OR(INDEX($B1010:$D1010,AR$5)="F",AND(AR$6&gt;0,$A1010&lt;AR$6),AND(AR$7&gt;0,$A1010&gt;AR$7)),0,MAX(0,ROUND((INDEX($E1010:$G1010,AR$5)-SUMIFS(TF_Timer,TF_Tekniker,AR$4,TF_Dato,$A1010))*2,0)/2)))</f>
        <v/>
      </c>
      <c r="AS1010">
        <f>IF(OR(AS$4="",$A1010&gt;TODAY()),0,IF(OR(INDEX($B1010:$D1010,AS$5)="F",AND(AS$6&gt;0,$A1010&lt;AS$6),AND(AS$7&gt;0,$A1010&gt;AS$7)),0,MAX(0,ROUND((INDEX($E1010:$G1010,AS$5)-SUMIFS(TF_Timer,TF_Tekniker,AS$4,TF_Dato,$A1010))*2,0)/2)))</f>
        <v/>
      </c>
      <c r="AT1010">
        <f>IF(OR(AT$4="",$A1010&gt;TODAY()),0,IF(OR(INDEX($B1010:$D1010,AT$5)="F",AND(AT$6&gt;0,$A1010&lt;AT$6),AND(AT$7&gt;0,$A1010&gt;AT$7)),0,MAX(0,ROUND((INDEX($E1010:$G1010,AT$5)-SUMIFS(TF_Timer,TF_Tekniker,AT$4,TF_Dato,$A1010))*2,0)/2)))</f>
        <v/>
      </c>
      <c r="AU1010">
        <f>IF(OR(AU$4="",$A1010&gt;TODAY()),0,IF(OR(INDEX($B1010:$D1010,AU$5)="F",AND(AU$6&gt;0,$A1010&lt;AU$6),AND(AU$7&gt;0,$A1010&gt;AU$7)),0,MAX(0,ROUND((INDEX($E1010:$G1010,AU$5)-SUMIFS(TF_Timer,TF_Tekniker,AU$4,TF_Dato,$A1010))*2,0)/2)))</f>
        <v/>
      </c>
      <c r="AV1010">
        <f>IF(OR(AV$4="",$A1010&gt;TODAY()),0,IF(OR(INDEX($B1010:$D1010,AV$5)="F",AND(AV$6&gt;0,$A1010&lt;AV$6),AND(AV$7&gt;0,$A1010&gt;AV$7)),0,MAX(0,ROUND((INDEX($E1010:$G1010,AV$5)-SUMIFS(TF_Timer,TF_Tekniker,AV$4,TF_Dato,$A1010))*2,0)/2)))</f>
        <v/>
      </c>
      <c r="AW1010">
        <f>IF(OR(AW$4="",$A1010&gt;TODAY()),0,IF(OR(INDEX($B1010:$D1010,AW$5)="F",AND(AW$6&gt;0,$A1010&lt;AW$6),AND(AW$7&gt;0,$A1010&gt;AW$7)),0,MAX(0,ROUND((INDEX($E1010:$G1010,AW$5)-SUMIFS(TF_Timer,TF_Tekniker,AW$4,TF_Dato,$A1010))*2,0)/2)))</f>
        <v/>
      </c>
      <c r="AX1010">
        <f>IF(OR(AX$4="",$A1010&gt;TODAY()),0,IF(OR(INDEX($B1010:$D1010,AX$5)="F",AND(AX$6&gt;0,$A1010&lt;AX$6),AND(AX$7&gt;0,$A1010&gt;AX$7)),0,MAX(0,ROUND((INDEX($E1010:$G1010,AX$5)-SUMIFS(TF_Timer,TF_Tekniker,AX$4,TF_Dato,$A1010))*2,0)/2)))</f>
        <v/>
      </c>
      <c r="AY1010">
        <f>IF(OR(AY$4="",$A1010&gt;TODAY()),0,IF(OR(INDEX($B1010:$D1010,AY$5)="F",AND(AY$6&gt;0,$A1010&lt;AY$6),AND(AY$7&gt;0,$A1010&gt;AY$7)),0,MAX(0,ROUND((INDEX($E1010:$G1010,AY$5)-SUMIFS(TF_Timer,TF_Tekniker,AY$4,TF_Dato,$A1010))*2,0)/2)))</f>
        <v/>
      </c>
      <c r="AZ1010">
        <f>IF(OR(AZ$4="",$A1010&gt;TODAY()),0,IF(OR(INDEX($B1010:$D1010,AZ$5)="F",AND(AZ$6&gt;0,$A1010&lt;AZ$6),AND(AZ$7&gt;0,$A1010&gt;AZ$7)),0,MAX(0,ROUND((INDEX($E1010:$G1010,AZ$5)-SUMIFS(TF_Timer,TF_Tekniker,AZ$4,TF_Dato,$A1010))*2,0)/2)))</f>
        <v/>
      </c>
      <c r="BA1010">
        <f>IF(OR(BA$4="",$A1010&gt;TODAY()),0,IF(OR(INDEX($B1010:$D1010,BA$5)="F",AND(BA$6&gt;0,$A1010&lt;BA$6),AND(BA$7&gt;0,$A1010&gt;BA$7)),0,MAX(0,ROUND((INDEX($E1010:$G1010,BA$5)-SUMIFS(TF_Timer,TF_Tekniker,BA$4,TF_Dato,$A1010))*2,0)/2)))</f>
        <v/>
      </c>
      <c r="BB1010">
        <f>IF(OR(BB$4="",$A1010&gt;TODAY()),0,IF(OR(INDEX($B1010:$D1010,BB$5)="F",AND(BB$6&gt;0,$A1010&lt;BB$6),AND(BB$7&gt;0,$A1010&gt;BB$7)),0,MAX(0,ROUND((INDEX($E1010:$G1010,BB$5)-SUMIFS(TF_Timer,TF_Tekniker,BB$4,TF_Dato,$A1010))*2,0)/2)))</f>
        <v/>
      </c>
      <c r="BC1010">
        <f>IF(OR(BC$4="",$A1010&gt;TODAY()),0,IF(OR(INDEX($B1010:$D1010,BC$5)="F",AND(BC$6&gt;0,$A1010&lt;BC$6),AND(BC$7&gt;0,$A1010&gt;BC$7)),0,MAX(0,ROUND((INDEX($E1010:$G1010,BC$5)-SUMIFS(TF_Timer,TF_Tekniker,BC$4,TF_Dato,$A1010))*2,0)/2)))</f>
        <v/>
      </c>
      <c r="BD1010">
        <f>IF(OR(BD$4="",$A1010&gt;TODAY()),0,IF(OR(INDEX($B1010:$D1010,BD$5)="F",AND(BD$6&gt;0,$A1010&lt;BD$6),AND(BD$7&gt;0,$A1010&gt;BD$7)),0,MAX(0,ROUND((INDEX($E1010:$G1010,BD$5)-SUMIFS(TF_Timer,TF_Tekniker,BD$4,TF_Dato,$A1010))*2,0)/2)))</f>
        <v/>
      </c>
      <c r="BE1010">
        <f>IF(OR(BE$4="",$A1010&gt;TODAY()),0,IF(OR(INDEX($B1010:$D1010,BE$5)="F",AND(BE$6&gt;0,$A1010&lt;BE$6),AND(BE$7&gt;0,$A1010&gt;BE$7)),0,MAX(0,ROUND((INDEX($E1010:$G1010,BE$5)-SUMIFS(TF_Timer,TF_Tekniker,BE$4,TF_Dato,$A1010))*2,0)/2)))</f>
        <v/>
      </c>
      <c r="BF1010">
        <f>IF(OR(BF$4="",$A1010&gt;TODAY()),0,IF(OR(INDEX($B1010:$D1010,BF$5)="F",AND(BF$6&gt;0,$A1010&lt;BF$6),AND(BF$7&gt;0,$A1010&gt;BF$7)),0,MAX(0,ROUND((INDEX($E1010:$G1010,BF$5)-SUMIFS(TF_Timer,TF_Tekniker,BF$4,TF_Dato,$A1010))*2,0)/2)))</f>
        <v/>
      </c>
      <c r="BG1010">
        <f>IF(OR(BG$4="",$A1010&gt;TODAY()),0,IF(OR(INDEX($B1010:$D1010,BG$5)="F",AND(BG$6&gt;0,$A1010&lt;BG$6),AND(BG$7&gt;0,$A1010&gt;BG$7)),0,MAX(0,ROUND((INDEX($E1010:$G1010,BG$5)-SUMIFS(TF_Timer,TF_Tekniker,BG$4,TF_Dato,$A1010))*2,0)/2)))</f>
        <v/>
      </c>
      <c r="BH1010">
        <f>IF(OR(BH$4="",$A1010&gt;TODAY()),0,IF(OR(INDEX($B1010:$D1010,BH$5)="F",AND(BH$6&gt;0,$A1010&lt;BH$6),AND(BH$7&gt;0,$A1010&gt;BH$7)),0,MAX(0,ROUND((INDEX($E1010:$G1010,BH$5)-SUMIFS(TF_Timer,TF_Tekniker,BH$4,TF_Dato,$A1010))*2,0)/2)))</f>
        <v/>
      </c>
      <c r="BI1010">
        <f>IF(OR(BI$4="",$A1010&gt;TODAY()),0,IF(OR(INDEX($B1010:$D1010,BI$5)="F",AND(BI$6&gt;0,$A1010&lt;BI$6),AND(BI$7&gt;0,$A1010&gt;BI$7)),0,MAX(0,ROUND((INDEX($E1010:$G1010,BI$5)-SUMIFS(TF_Timer,TF_Tekniker,BI$4,TF_Dato,$A1010))*2,0)/2)))</f>
        <v/>
      </c>
    </row>
    <row r="1011">
      <c r="A1011" s="64">
        <f>A1010+1</f>
        <v/>
      </c>
      <c r="B1011">
        <f>IF(MOD($A1011-INDEX(SkiftStart,1),Syklus)&lt;DagK,"K",IF(MOD($A1011-INDEX(SkiftStart,1),Syklus)&lt;DagK+DagH,"H",IF(MOD($A1011-INDEX(SkiftStart,1),Syklus)&lt;DagK+DagH+DagD,"D","F")))</f>
        <v/>
      </c>
      <c r="C1011">
        <f>IF(MOD($A1011-INDEX(SkiftStart,2),Syklus)&lt;DagK,"K",IF(MOD($A1011-INDEX(SkiftStart,2),Syklus)&lt;DagK+DagH,"H",IF(MOD($A1011-INDEX(SkiftStart,2),Syklus)&lt;DagK+DagH+DagD,"D","F")))</f>
        <v/>
      </c>
      <c r="D1011">
        <f>IF(MOD($A1011-INDEX(SkiftStart,3),Syklus)&lt;DagK,"K",IF(MOD($A1011-INDEX(SkiftStart,3),Syklus)&lt;DagK+DagH,"H",IF(MOD($A1011-INDEX(SkiftStart,3),Syklus)&lt;DagK+DagH+DagD,"D","F")))</f>
        <v/>
      </c>
      <c r="E1011">
        <f>IF(B1011="F",0,IF(WEEKDAY($A1011,2)=5,INDEX(TimerFr,MATCH(B1011,FaseKode,0)),INDEX(TimerMT,MATCH(B1011,FaseKode,0))))</f>
        <v/>
      </c>
      <c r="F1011">
        <f>IF(C1011="F",0,IF(WEEKDAY($A1011,2)=5,INDEX(TimerFr,MATCH(C1011,FaseKode,0)),INDEX(TimerMT,MATCH(C1011,FaseKode,0))))</f>
        <v/>
      </c>
      <c r="G1011">
        <f>IF(D1011="F",0,IF(WEEKDAY($A1011,2)=5,INDEX(TimerFr,MATCH(D1011,FaseKode,0)),INDEX(TimerMT,MATCH(D1011,FaseKode,0))))</f>
        <v/>
      </c>
      <c r="H1011">
        <f>IF(OR(H$4="",$A1011&gt;TODAY()),0,IF(OR(INDEX($B1011:$D1011,H$5)="F",AND(H$6&gt;0,$A1011&lt;H$6),AND(H$7&gt;0,$A1011&gt;H$7)),0,MAX(0,ROUND((INDEX($E1011:$G1011,H$5)-SUMIFS(TF_Timer,TF_Tekniker,H$4,TF_Dato,$A1011))*2,0)/2)))</f>
        <v/>
      </c>
      <c r="I1011">
        <f>IF(OR(I$4="",$A1011&gt;TODAY()),0,IF(OR(INDEX($B1011:$D1011,I$5)="F",AND(I$6&gt;0,$A1011&lt;I$6),AND(I$7&gt;0,$A1011&gt;I$7)),0,MAX(0,ROUND((INDEX($E1011:$G1011,I$5)-SUMIFS(TF_Timer,TF_Tekniker,I$4,TF_Dato,$A1011))*2,0)/2)))</f>
        <v/>
      </c>
      <c r="J1011">
        <f>IF(OR(J$4="",$A1011&gt;TODAY()),0,IF(OR(INDEX($B1011:$D1011,J$5)="F",AND(J$6&gt;0,$A1011&lt;J$6),AND(J$7&gt;0,$A1011&gt;J$7)),0,MAX(0,ROUND((INDEX($E1011:$G1011,J$5)-SUMIFS(TF_Timer,TF_Tekniker,J$4,TF_Dato,$A1011))*2,0)/2)))</f>
        <v/>
      </c>
      <c r="K1011">
        <f>IF(OR(K$4="",$A1011&gt;TODAY()),0,IF(OR(INDEX($B1011:$D1011,K$5)="F",AND(K$6&gt;0,$A1011&lt;K$6),AND(K$7&gt;0,$A1011&gt;K$7)),0,MAX(0,ROUND((INDEX($E1011:$G1011,K$5)-SUMIFS(TF_Timer,TF_Tekniker,K$4,TF_Dato,$A1011))*2,0)/2)))</f>
        <v/>
      </c>
      <c r="L1011">
        <f>IF(OR(L$4="",$A1011&gt;TODAY()),0,IF(OR(INDEX($B1011:$D1011,L$5)="F",AND(L$6&gt;0,$A1011&lt;L$6),AND(L$7&gt;0,$A1011&gt;L$7)),0,MAX(0,ROUND((INDEX($E1011:$G1011,L$5)-SUMIFS(TF_Timer,TF_Tekniker,L$4,TF_Dato,$A1011))*2,0)/2)))</f>
        <v/>
      </c>
      <c r="M1011">
        <f>IF(OR(M$4="",$A1011&gt;TODAY()),0,IF(OR(INDEX($B1011:$D1011,M$5)="F",AND(M$6&gt;0,$A1011&lt;M$6),AND(M$7&gt;0,$A1011&gt;M$7)),0,MAX(0,ROUND((INDEX($E1011:$G1011,M$5)-SUMIFS(TF_Timer,TF_Tekniker,M$4,TF_Dato,$A1011))*2,0)/2)))</f>
        <v/>
      </c>
      <c r="N1011">
        <f>IF(OR(N$4="",$A1011&gt;TODAY()),0,IF(OR(INDEX($B1011:$D1011,N$5)="F",AND(N$6&gt;0,$A1011&lt;N$6),AND(N$7&gt;0,$A1011&gt;N$7)),0,MAX(0,ROUND((INDEX($E1011:$G1011,N$5)-SUMIFS(TF_Timer,TF_Tekniker,N$4,TF_Dato,$A1011))*2,0)/2)))</f>
        <v/>
      </c>
      <c r="O1011">
        <f>IF(OR(O$4="",$A1011&gt;TODAY()),0,IF(OR(INDEX($B1011:$D1011,O$5)="F",AND(O$6&gt;0,$A1011&lt;O$6),AND(O$7&gt;0,$A1011&gt;O$7)),0,MAX(0,ROUND((INDEX($E1011:$G1011,O$5)-SUMIFS(TF_Timer,TF_Tekniker,O$4,TF_Dato,$A1011))*2,0)/2)))</f>
        <v/>
      </c>
      <c r="P1011">
        <f>IF(OR(P$4="",$A1011&gt;TODAY()),0,IF(OR(INDEX($B1011:$D1011,P$5)="F",AND(P$6&gt;0,$A1011&lt;P$6),AND(P$7&gt;0,$A1011&gt;P$7)),0,MAX(0,ROUND((INDEX($E1011:$G1011,P$5)-SUMIFS(TF_Timer,TF_Tekniker,P$4,TF_Dato,$A1011))*2,0)/2)))</f>
        <v/>
      </c>
      <c r="Q1011">
        <f>IF(OR(Q$4="",$A1011&gt;TODAY()),0,IF(OR(INDEX($B1011:$D1011,Q$5)="F",AND(Q$6&gt;0,$A1011&lt;Q$6),AND(Q$7&gt;0,$A1011&gt;Q$7)),0,MAX(0,ROUND((INDEX($E1011:$G1011,Q$5)-SUMIFS(TF_Timer,TF_Tekniker,Q$4,TF_Dato,$A1011))*2,0)/2)))</f>
        <v/>
      </c>
      <c r="R1011">
        <f>IF(OR(R$4="",$A1011&gt;TODAY()),0,IF(OR(INDEX($B1011:$D1011,R$5)="F",AND(R$6&gt;0,$A1011&lt;R$6),AND(R$7&gt;0,$A1011&gt;R$7)),0,MAX(0,ROUND((INDEX($E1011:$G1011,R$5)-SUMIFS(TF_Timer,TF_Tekniker,R$4,TF_Dato,$A1011))*2,0)/2)))</f>
        <v/>
      </c>
      <c r="S1011">
        <f>IF(OR(S$4="",$A1011&gt;TODAY()),0,IF(OR(INDEX($B1011:$D1011,S$5)="F",AND(S$6&gt;0,$A1011&lt;S$6),AND(S$7&gt;0,$A1011&gt;S$7)),0,MAX(0,ROUND((INDEX($E1011:$G1011,S$5)-SUMIFS(TF_Timer,TF_Tekniker,S$4,TF_Dato,$A1011))*2,0)/2)))</f>
        <v/>
      </c>
      <c r="T1011">
        <f>IF(OR(T$4="",$A1011&gt;TODAY()),0,IF(OR(INDEX($B1011:$D1011,T$5)="F",AND(T$6&gt;0,$A1011&lt;T$6),AND(T$7&gt;0,$A1011&gt;T$7)),0,MAX(0,ROUND((INDEX($E1011:$G1011,T$5)-SUMIFS(TF_Timer,TF_Tekniker,T$4,TF_Dato,$A1011))*2,0)/2)))</f>
        <v/>
      </c>
      <c r="U1011">
        <f>IF(OR(U$4="",$A1011&gt;TODAY()),0,IF(OR(INDEX($B1011:$D1011,U$5)="F",AND(U$6&gt;0,$A1011&lt;U$6),AND(U$7&gt;0,$A1011&gt;U$7)),0,MAX(0,ROUND((INDEX($E1011:$G1011,U$5)-SUMIFS(TF_Timer,TF_Tekniker,U$4,TF_Dato,$A1011))*2,0)/2)))</f>
        <v/>
      </c>
      <c r="V1011">
        <f>IF(OR(V$4="",$A1011&gt;TODAY()),0,IF(OR(INDEX($B1011:$D1011,V$5)="F",AND(V$6&gt;0,$A1011&lt;V$6),AND(V$7&gt;0,$A1011&gt;V$7)),0,MAX(0,ROUND((INDEX($E1011:$G1011,V$5)-SUMIFS(TF_Timer,TF_Tekniker,V$4,TF_Dato,$A1011))*2,0)/2)))</f>
        <v/>
      </c>
      <c r="W1011">
        <f>IF(OR(W$4="",$A1011&gt;TODAY()),0,IF(OR(INDEX($B1011:$D1011,W$5)="F",AND(W$6&gt;0,$A1011&lt;W$6),AND(W$7&gt;0,$A1011&gt;W$7)),0,MAX(0,ROUND((INDEX($E1011:$G1011,W$5)-SUMIFS(TF_Timer,TF_Tekniker,W$4,TF_Dato,$A1011))*2,0)/2)))</f>
        <v/>
      </c>
      <c r="X1011">
        <f>IF(OR(X$4="",$A1011&gt;TODAY()),0,IF(OR(INDEX($B1011:$D1011,X$5)="F",AND(X$6&gt;0,$A1011&lt;X$6),AND(X$7&gt;0,$A1011&gt;X$7)),0,MAX(0,ROUND((INDEX($E1011:$G1011,X$5)-SUMIFS(TF_Timer,TF_Tekniker,X$4,TF_Dato,$A1011))*2,0)/2)))</f>
        <v/>
      </c>
      <c r="Y1011">
        <f>IF(OR(Y$4="",$A1011&gt;TODAY()),0,IF(OR(INDEX($B1011:$D1011,Y$5)="F",AND(Y$6&gt;0,$A1011&lt;Y$6),AND(Y$7&gt;0,$A1011&gt;Y$7)),0,MAX(0,ROUND((INDEX($E1011:$G1011,Y$5)-SUMIFS(TF_Timer,TF_Tekniker,Y$4,TF_Dato,$A1011))*2,0)/2)))</f>
        <v/>
      </c>
      <c r="Z1011">
        <f>IF(OR(Z$4="",$A1011&gt;TODAY()),0,IF(OR(INDEX($B1011:$D1011,Z$5)="F",AND(Z$6&gt;0,$A1011&lt;Z$6),AND(Z$7&gt;0,$A1011&gt;Z$7)),0,MAX(0,ROUND((INDEX($E1011:$G1011,Z$5)-SUMIFS(TF_Timer,TF_Tekniker,Z$4,TF_Dato,$A1011))*2,0)/2)))</f>
        <v/>
      </c>
      <c r="AA1011">
        <f>IF(OR(AA$4="",$A1011&gt;TODAY()),0,IF(OR(INDEX($B1011:$D1011,AA$5)="F",AND(AA$6&gt;0,$A1011&lt;AA$6),AND(AA$7&gt;0,$A1011&gt;AA$7)),0,MAX(0,ROUND((INDEX($E1011:$G1011,AA$5)-SUMIFS(TF_Timer,TF_Tekniker,AA$4,TF_Dato,$A1011))*2,0)/2)))</f>
        <v/>
      </c>
      <c r="AB1011">
        <f>IF(OR(AB$4="",$A1011&gt;TODAY()),0,IF(OR(INDEX($B1011:$D1011,AB$5)="F",AND(AB$6&gt;0,$A1011&lt;AB$6),AND(AB$7&gt;0,$A1011&gt;AB$7)),0,MAX(0,ROUND((INDEX($E1011:$G1011,AB$5)-SUMIFS(TF_Timer,TF_Tekniker,AB$4,TF_Dato,$A1011))*2,0)/2)))</f>
        <v/>
      </c>
      <c r="AC1011">
        <f>IF(OR(AC$4="",$A1011&gt;TODAY()),0,IF(OR(INDEX($B1011:$D1011,AC$5)="F",AND(AC$6&gt;0,$A1011&lt;AC$6),AND(AC$7&gt;0,$A1011&gt;AC$7)),0,MAX(0,ROUND((INDEX($E1011:$G1011,AC$5)-SUMIFS(TF_Timer,TF_Tekniker,AC$4,TF_Dato,$A1011))*2,0)/2)))</f>
        <v/>
      </c>
      <c r="AD1011">
        <f>IF(OR(AD$4="",$A1011&gt;TODAY()),0,IF(OR(INDEX($B1011:$D1011,AD$5)="F",AND(AD$6&gt;0,$A1011&lt;AD$6),AND(AD$7&gt;0,$A1011&gt;AD$7)),0,MAX(0,ROUND((INDEX($E1011:$G1011,AD$5)-SUMIFS(TF_Timer,TF_Tekniker,AD$4,TF_Dato,$A1011))*2,0)/2)))</f>
        <v/>
      </c>
      <c r="AE1011">
        <f>IF(OR(AE$4="",$A1011&gt;TODAY()),0,IF(OR(INDEX($B1011:$D1011,AE$5)="F",AND(AE$6&gt;0,$A1011&lt;AE$6),AND(AE$7&gt;0,$A1011&gt;AE$7)),0,MAX(0,ROUND((INDEX($E1011:$G1011,AE$5)-SUMIFS(TF_Timer,TF_Tekniker,AE$4,TF_Dato,$A1011))*2,0)/2)))</f>
        <v/>
      </c>
      <c r="AF1011">
        <f>IF(OR(AF$4="",$A1011&gt;TODAY()),0,IF(OR(INDEX($B1011:$D1011,AF$5)="F",AND(AF$6&gt;0,$A1011&lt;AF$6),AND(AF$7&gt;0,$A1011&gt;AF$7)),0,MAX(0,ROUND((INDEX($E1011:$G1011,AF$5)-SUMIFS(TF_Timer,TF_Tekniker,AF$4,TF_Dato,$A1011))*2,0)/2)))</f>
        <v/>
      </c>
      <c r="AG1011">
        <f>IF(OR(AG$4="",$A1011&gt;TODAY()),0,IF(OR(INDEX($B1011:$D1011,AG$5)="F",AND(AG$6&gt;0,$A1011&lt;AG$6),AND(AG$7&gt;0,$A1011&gt;AG$7)),0,MAX(0,ROUND((INDEX($E1011:$G1011,AG$5)-SUMIFS(TF_Timer,TF_Tekniker,AG$4,TF_Dato,$A1011))*2,0)/2)))</f>
        <v/>
      </c>
      <c r="AH1011">
        <f>IF(OR(AH$4="",$A1011&gt;TODAY()),0,IF(OR(INDEX($B1011:$D1011,AH$5)="F",AND(AH$6&gt;0,$A1011&lt;AH$6),AND(AH$7&gt;0,$A1011&gt;AH$7)),0,MAX(0,ROUND((INDEX($E1011:$G1011,AH$5)-SUMIFS(TF_Timer,TF_Tekniker,AH$4,TF_Dato,$A1011))*2,0)/2)))</f>
        <v/>
      </c>
      <c r="AI1011">
        <f>IF(OR(AI$4="",$A1011&gt;TODAY()),0,IF(OR(INDEX($B1011:$D1011,AI$5)="F",AND(AI$6&gt;0,$A1011&lt;AI$6),AND(AI$7&gt;0,$A1011&gt;AI$7)),0,MAX(0,ROUND((INDEX($E1011:$G1011,AI$5)-SUMIFS(TF_Timer,TF_Tekniker,AI$4,TF_Dato,$A1011))*2,0)/2)))</f>
        <v/>
      </c>
      <c r="AJ1011">
        <f>IF(OR(AJ$4="",$A1011&gt;TODAY()),0,IF(OR(INDEX($B1011:$D1011,AJ$5)="F",AND(AJ$6&gt;0,$A1011&lt;AJ$6),AND(AJ$7&gt;0,$A1011&gt;AJ$7)),0,MAX(0,ROUND((INDEX($E1011:$G1011,AJ$5)-SUMIFS(TF_Timer,TF_Tekniker,AJ$4,TF_Dato,$A1011))*2,0)/2)))</f>
        <v/>
      </c>
      <c r="AK1011">
        <f>IF(OR(AK$4="",$A1011&gt;TODAY()),0,IF(OR(INDEX($B1011:$D1011,AK$5)="F",AND(AK$6&gt;0,$A1011&lt;AK$6),AND(AK$7&gt;0,$A1011&gt;AK$7)),0,MAX(0,ROUND((INDEX($E1011:$G1011,AK$5)-SUMIFS(TF_Timer,TF_Tekniker,AK$4,TF_Dato,$A1011))*2,0)/2)))</f>
        <v/>
      </c>
      <c r="AL1011">
        <f>IF(OR(AL$4="",$A1011&gt;TODAY()),0,IF(OR(INDEX($B1011:$D1011,AL$5)="F",AND(AL$6&gt;0,$A1011&lt;AL$6),AND(AL$7&gt;0,$A1011&gt;AL$7)),0,MAX(0,ROUND((INDEX($E1011:$G1011,AL$5)-SUMIFS(TF_Timer,TF_Tekniker,AL$4,TF_Dato,$A1011))*2,0)/2)))</f>
        <v/>
      </c>
      <c r="AM1011">
        <f>IF(OR(AM$4="",$A1011&gt;TODAY()),0,IF(OR(INDEX($B1011:$D1011,AM$5)="F",AND(AM$6&gt;0,$A1011&lt;AM$6),AND(AM$7&gt;0,$A1011&gt;AM$7)),0,MAX(0,ROUND((INDEX($E1011:$G1011,AM$5)-SUMIFS(TF_Timer,TF_Tekniker,AM$4,TF_Dato,$A1011))*2,0)/2)))</f>
        <v/>
      </c>
      <c r="AN1011">
        <f>IF(OR(AN$4="",$A1011&gt;TODAY()),0,IF(OR(INDEX($B1011:$D1011,AN$5)="F",AND(AN$6&gt;0,$A1011&lt;AN$6),AND(AN$7&gt;0,$A1011&gt;AN$7)),0,MAX(0,ROUND((INDEX($E1011:$G1011,AN$5)-SUMIFS(TF_Timer,TF_Tekniker,AN$4,TF_Dato,$A1011))*2,0)/2)))</f>
        <v/>
      </c>
      <c r="AO1011">
        <f>IF(OR(AO$4="",$A1011&gt;TODAY()),0,IF(OR(INDEX($B1011:$D1011,AO$5)="F",AND(AO$6&gt;0,$A1011&lt;AO$6),AND(AO$7&gt;0,$A1011&gt;AO$7)),0,MAX(0,ROUND((INDEX($E1011:$G1011,AO$5)-SUMIFS(TF_Timer,TF_Tekniker,AO$4,TF_Dato,$A1011))*2,0)/2)))</f>
        <v/>
      </c>
      <c r="AP1011">
        <f>IF(OR(AP$4="",$A1011&gt;TODAY()),0,IF(OR(INDEX($B1011:$D1011,AP$5)="F",AND(AP$6&gt;0,$A1011&lt;AP$6),AND(AP$7&gt;0,$A1011&gt;AP$7)),0,MAX(0,ROUND((INDEX($E1011:$G1011,AP$5)-SUMIFS(TF_Timer,TF_Tekniker,AP$4,TF_Dato,$A1011))*2,0)/2)))</f>
        <v/>
      </c>
      <c r="AQ1011">
        <f>IF(OR(AQ$4="",$A1011&gt;TODAY()),0,IF(OR(INDEX($B1011:$D1011,AQ$5)="F",AND(AQ$6&gt;0,$A1011&lt;AQ$6),AND(AQ$7&gt;0,$A1011&gt;AQ$7)),0,MAX(0,ROUND((INDEX($E1011:$G1011,AQ$5)-SUMIFS(TF_Timer,TF_Tekniker,AQ$4,TF_Dato,$A1011))*2,0)/2)))</f>
        <v/>
      </c>
      <c r="AR1011">
        <f>IF(OR(AR$4="",$A1011&gt;TODAY()),0,IF(OR(INDEX($B1011:$D1011,AR$5)="F",AND(AR$6&gt;0,$A1011&lt;AR$6),AND(AR$7&gt;0,$A1011&gt;AR$7)),0,MAX(0,ROUND((INDEX($E1011:$G1011,AR$5)-SUMIFS(TF_Timer,TF_Tekniker,AR$4,TF_Dato,$A1011))*2,0)/2)))</f>
        <v/>
      </c>
      <c r="AS1011">
        <f>IF(OR(AS$4="",$A1011&gt;TODAY()),0,IF(OR(INDEX($B1011:$D1011,AS$5)="F",AND(AS$6&gt;0,$A1011&lt;AS$6),AND(AS$7&gt;0,$A1011&gt;AS$7)),0,MAX(0,ROUND((INDEX($E1011:$G1011,AS$5)-SUMIFS(TF_Timer,TF_Tekniker,AS$4,TF_Dato,$A1011))*2,0)/2)))</f>
        <v/>
      </c>
      <c r="AT1011">
        <f>IF(OR(AT$4="",$A1011&gt;TODAY()),0,IF(OR(INDEX($B1011:$D1011,AT$5)="F",AND(AT$6&gt;0,$A1011&lt;AT$6),AND(AT$7&gt;0,$A1011&gt;AT$7)),0,MAX(0,ROUND((INDEX($E1011:$G1011,AT$5)-SUMIFS(TF_Timer,TF_Tekniker,AT$4,TF_Dato,$A1011))*2,0)/2)))</f>
        <v/>
      </c>
      <c r="AU1011">
        <f>IF(OR(AU$4="",$A1011&gt;TODAY()),0,IF(OR(INDEX($B1011:$D1011,AU$5)="F",AND(AU$6&gt;0,$A1011&lt;AU$6),AND(AU$7&gt;0,$A1011&gt;AU$7)),0,MAX(0,ROUND((INDEX($E1011:$G1011,AU$5)-SUMIFS(TF_Timer,TF_Tekniker,AU$4,TF_Dato,$A1011))*2,0)/2)))</f>
        <v/>
      </c>
      <c r="AV1011">
        <f>IF(OR(AV$4="",$A1011&gt;TODAY()),0,IF(OR(INDEX($B1011:$D1011,AV$5)="F",AND(AV$6&gt;0,$A1011&lt;AV$6),AND(AV$7&gt;0,$A1011&gt;AV$7)),0,MAX(0,ROUND((INDEX($E1011:$G1011,AV$5)-SUMIFS(TF_Timer,TF_Tekniker,AV$4,TF_Dato,$A1011))*2,0)/2)))</f>
        <v/>
      </c>
      <c r="AW1011">
        <f>IF(OR(AW$4="",$A1011&gt;TODAY()),0,IF(OR(INDEX($B1011:$D1011,AW$5)="F",AND(AW$6&gt;0,$A1011&lt;AW$6),AND(AW$7&gt;0,$A1011&gt;AW$7)),0,MAX(0,ROUND((INDEX($E1011:$G1011,AW$5)-SUMIFS(TF_Timer,TF_Tekniker,AW$4,TF_Dato,$A1011))*2,0)/2)))</f>
        <v/>
      </c>
      <c r="AX1011">
        <f>IF(OR(AX$4="",$A1011&gt;TODAY()),0,IF(OR(INDEX($B1011:$D1011,AX$5)="F",AND(AX$6&gt;0,$A1011&lt;AX$6),AND(AX$7&gt;0,$A1011&gt;AX$7)),0,MAX(0,ROUND((INDEX($E1011:$G1011,AX$5)-SUMIFS(TF_Timer,TF_Tekniker,AX$4,TF_Dato,$A1011))*2,0)/2)))</f>
        <v/>
      </c>
      <c r="AY1011">
        <f>IF(OR(AY$4="",$A1011&gt;TODAY()),0,IF(OR(INDEX($B1011:$D1011,AY$5)="F",AND(AY$6&gt;0,$A1011&lt;AY$6),AND(AY$7&gt;0,$A1011&gt;AY$7)),0,MAX(0,ROUND((INDEX($E1011:$G1011,AY$5)-SUMIFS(TF_Timer,TF_Tekniker,AY$4,TF_Dato,$A1011))*2,0)/2)))</f>
        <v/>
      </c>
      <c r="AZ1011">
        <f>IF(OR(AZ$4="",$A1011&gt;TODAY()),0,IF(OR(INDEX($B1011:$D1011,AZ$5)="F",AND(AZ$6&gt;0,$A1011&lt;AZ$6),AND(AZ$7&gt;0,$A1011&gt;AZ$7)),0,MAX(0,ROUND((INDEX($E1011:$G1011,AZ$5)-SUMIFS(TF_Timer,TF_Tekniker,AZ$4,TF_Dato,$A1011))*2,0)/2)))</f>
        <v/>
      </c>
      <c r="BA1011">
        <f>IF(OR(BA$4="",$A1011&gt;TODAY()),0,IF(OR(INDEX($B1011:$D1011,BA$5)="F",AND(BA$6&gt;0,$A1011&lt;BA$6),AND(BA$7&gt;0,$A1011&gt;BA$7)),0,MAX(0,ROUND((INDEX($E1011:$G1011,BA$5)-SUMIFS(TF_Timer,TF_Tekniker,BA$4,TF_Dato,$A1011))*2,0)/2)))</f>
        <v/>
      </c>
      <c r="BB1011">
        <f>IF(OR(BB$4="",$A1011&gt;TODAY()),0,IF(OR(INDEX($B1011:$D1011,BB$5)="F",AND(BB$6&gt;0,$A1011&lt;BB$6),AND(BB$7&gt;0,$A1011&gt;BB$7)),0,MAX(0,ROUND((INDEX($E1011:$G1011,BB$5)-SUMIFS(TF_Timer,TF_Tekniker,BB$4,TF_Dato,$A1011))*2,0)/2)))</f>
        <v/>
      </c>
      <c r="BC1011">
        <f>IF(OR(BC$4="",$A1011&gt;TODAY()),0,IF(OR(INDEX($B1011:$D1011,BC$5)="F",AND(BC$6&gt;0,$A1011&lt;BC$6),AND(BC$7&gt;0,$A1011&gt;BC$7)),0,MAX(0,ROUND((INDEX($E1011:$G1011,BC$5)-SUMIFS(TF_Timer,TF_Tekniker,BC$4,TF_Dato,$A1011))*2,0)/2)))</f>
        <v/>
      </c>
      <c r="BD1011">
        <f>IF(OR(BD$4="",$A1011&gt;TODAY()),0,IF(OR(INDEX($B1011:$D1011,BD$5)="F",AND(BD$6&gt;0,$A1011&lt;BD$6),AND(BD$7&gt;0,$A1011&gt;BD$7)),0,MAX(0,ROUND((INDEX($E1011:$G1011,BD$5)-SUMIFS(TF_Timer,TF_Tekniker,BD$4,TF_Dato,$A1011))*2,0)/2)))</f>
        <v/>
      </c>
      <c r="BE1011">
        <f>IF(OR(BE$4="",$A1011&gt;TODAY()),0,IF(OR(INDEX($B1011:$D1011,BE$5)="F",AND(BE$6&gt;0,$A1011&lt;BE$6),AND(BE$7&gt;0,$A1011&gt;BE$7)),0,MAX(0,ROUND((INDEX($E1011:$G1011,BE$5)-SUMIFS(TF_Timer,TF_Tekniker,BE$4,TF_Dato,$A1011))*2,0)/2)))</f>
        <v/>
      </c>
      <c r="BF1011">
        <f>IF(OR(BF$4="",$A1011&gt;TODAY()),0,IF(OR(INDEX($B1011:$D1011,BF$5)="F",AND(BF$6&gt;0,$A1011&lt;BF$6),AND(BF$7&gt;0,$A1011&gt;BF$7)),0,MAX(0,ROUND((INDEX($E1011:$G1011,BF$5)-SUMIFS(TF_Timer,TF_Tekniker,BF$4,TF_Dato,$A1011))*2,0)/2)))</f>
        <v/>
      </c>
      <c r="BG1011">
        <f>IF(OR(BG$4="",$A1011&gt;TODAY()),0,IF(OR(INDEX($B1011:$D1011,BG$5)="F",AND(BG$6&gt;0,$A1011&lt;BG$6),AND(BG$7&gt;0,$A1011&gt;BG$7)),0,MAX(0,ROUND((INDEX($E1011:$G1011,BG$5)-SUMIFS(TF_Timer,TF_Tekniker,BG$4,TF_Dato,$A1011))*2,0)/2)))</f>
        <v/>
      </c>
      <c r="BH1011">
        <f>IF(OR(BH$4="",$A1011&gt;TODAY()),0,IF(OR(INDEX($B1011:$D1011,BH$5)="F",AND(BH$6&gt;0,$A1011&lt;BH$6),AND(BH$7&gt;0,$A1011&gt;BH$7)),0,MAX(0,ROUND((INDEX($E1011:$G1011,BH$5)-SUMIFS(TF_Timer,TF_Tekniker,BH$4,TF_Dato,$A1011))*2,0)/2)))</f>
        <v/>
      </c>
      <c r="BI1011">
        <f>IF(OR(BI$4="",$A1011&gt;TODAY()),0,IF(OR(INDEX($B1011:$D1011,BI$5)="F",AND(BI$6&gt;0,$A1011&lt;BI$6),AND(BI$7&gt;0,$A1011&gt;BI$7)),0,MAX(0,ROUND((INDEX($E1011:$G1011,BI$5)-SUMIFS(TF_Timer,TF_Tekniker,BI$4,TF_Dato,$A1011))*2,0)/2)))</f>
        <v/>
      </c>
    </row>
    <row r="1012">
      <c r="A1012" s="64">
        <f>A1011+1</f>
        <v/>
      </c>
      <c r="B1012">
        <f>IF(MOD($A1012-INDEX(SkiftStart,1),Syklus)&lt;DagK,"K",IF(MOD($A1012-INDEX(SkiftStart,1),Syklus)&lt;DagK+DagH,"H",IF(MOD($A1012-INDEX(SkiftStart,1),Syklus)&lt;DagK+DagH+DagD,"D","F")))</f>
        <v/>
      </c>
      <c r="C1012">
        <f>IF(MOD($A1012-INDEX(SkiftStart,2),Syklus)&lt;DagK,"K",IF(MOD($A1012-INDEX(SkiftStart,2),Syklus)&lt;DagK+DagH,"H",IF(MOD($A1012-INDEX(SkiftStart,2),Syklus)&lt;DagK+DagH+DagD,"D","F")))</f>
        <v/>
      </c>
      <c r="D1012">
        <f>IF(MOD($A1012-INDEX(SkiftStart,3),Syklus)&lt;DagK,"K",IF(MOD($A1012-INDEX(SkiftStart,3),Syklus)&lt;DagK+DagH,"H",IF(MOD($A1012-INDEX(SkiftStart,3),Syklus)&lt;DagK+DagH+DagD,"D","F")))</f>
        <v/>
      </c>
      <c r="E1012">
        <f>IF(B1012="F",0,IF(WEEKDAY($A1012,2)=5,INDEX(TimerFr,MATCH(B1012,FaseKode,0)),INDEX(TimerMT,MATCH(B1012,FaseKode,0))))</f>
        <v/>
      </c>
      <c r="F1012">
        <f>IF(C1012="F",0,IF(WEEKDAY($A1012,2)=5,INDEX(TimerFr,MATCH(C1012,FaseKode,0)),INDEX(TimerMT,MATCH(C1012,FaseKode,0))))</f>
        <v/>
      </c>
      <c r="G1012">
        <f>IF(D1012="F",0,IF(WEEKDAY($A1012,2)=5,INDEX(TimerFr,MATCH(D1012,FaseKode,0)),INDEX(TimerMT,MATCH(D1012,FaseKode,0))))</f>
        <v/>
      </c>
      <c r="H1012">
        <f>IF(OR(H$4="",$A1012&gt;TODAY()),0,IF(OR(INDEX($B1012:$D1012,H$5)="F",AND(H$6&gt;0,$A1012&lt;H$6),AND(H$7&gt;0,$A1012&gt;H$7)),0,MAX(0,ROUND((INDEX($E1012:$G1012,H$5)-SUMIFS(TF_Timer,TF_Tekniker,H$4,TF_Dato,$A1012))*2,0)/2)))</f>
        <v/>
      </c>
      <c r="I1012">
        <f>IF(OR(I$4="",$A1012&gt;TODAY()),0,IF(OR(INDEX($B1012:$D1012,I$5)="F",AND(I$6&gt;0,$A1012&lt;I$6),AND(I$7&gt;0,$A1012&gt;I$7)),0,MAX(0,ROUND((INDEX($E1012:$G1012,I$5)-SUMIFS(TF_Timer,TF_Tekniker,I$4,TF_Dato,$A1012))*2,0)/2)))</f>
        <v/>
      </c>
      <c r="J1012">
        <f>IF(OR(J$4="",$A1012&gt;TODAY()),0,IF(OR(INDEX($B1012:$D1012,J$5)="F",AND(J$6&gt;0,$A1012&lt;J$6),AND(J$7&gt;0,$A1012&gt;J$7)),0,MAX(0,ROUND((INDEX($E1012:$G1012,J$5)-SUMIFS(TF_Timer,TF_Tekniker,J$4,TF_Dato,$A1012))*2,0)/2)))</f>
        <v/>
      </c>
      <c r="K1012">
        <f>IF(OR(K$4="",$A1012&gt;TODAY()),0,IF(OR(INDEX($B1012:$D1012,K$5)="F",AND(K$6&gt;0,$A1012&lt;K$6),AND(K$7&gt;0,$A1012&gt;K$7)),0,MAX(0,ROUND((INDEX($E1012:$G1012,K$5)-SUMIFS(TF_Timer,TF_Tekniker,K$4,TF_Dato,$A1012))*2,0)/2)))</f>
        <v/>
      </c>
      <c r="L1012">
        <f>IF(OR(L$4="",$A1012&gt;TODAY()),0,IF(OR(INDEX($B1012:$D1012,L$5)="F",AND(L$6&gt;0,$A1012&lt;L$6),AND(L$7&gt;0,$A1012&gt;L$7)),0,MAX(0,ROUND((INDEX($E1012:$G1012,L$5)-SUMIFS(TF_Timer,TF_Tekniker,L$4,TF_Dato,$A1012))*2,0)/2)))</f>
        <v/>
      </c>
      <c r="M1012">
        <f>IF(OR(M$4="",$A1012&gt;TODAY()),0,IF(OR(INDEX($B1012:$D1012,M$5)="F",AND(M$6&gt;0,$A1012&lt;M$6),AND(M$7&gt;0,$A1012&gt;M$7)),0,MAX(0,ROUND((INDEX($E1012:$G1012,M$5)-SUMIFS(TF_Timer,TF_Tekniker,M$4,TF_Dato,$A1012))*2,0)/2)))</f>
        <v/>
      </c>
      <c r="N1012">
        <f>IF(OR(N$4="",$A1012&gt;TODAY()),0,IF(OR(INDEX($B1012:$D1012,N$5)="F",AND(N$6&gt;0,$A1012&lt;N$6),AND(N$7&gt;0,$A1012&gt;N$7)),0,MAX(0,ROUND((INDEX($E1012:$G1012,N$5)-SUMIFS(TF_Timer,TF_Tekniker,N$4,TF_Dato,$A1012))*2,0)/2)))</f>
        <v/>
      </c>
      <c r="O1012">
        <f>IF(OR(O$4="",$A1012&gt;TODAY()),0,IF(OR(INDEX($B1012:$D1012,O$5)="F",AND(O$6&gt;0,$A1012&lt;O$6),AND(O$7&gt;0,$A1012&gt;O$7)),0,MAX(0,ROUND((INDEX($E1012:$G1012,O$5)-SUMIFS(TF_Timer,TF_Tekniker,O$4,TF_Dato,$A1012))*2,0)/2)))</f>
        <v/>
      </c>
      <c r="P1012">
        <f>IF(OR(P$4="",$A1012&gt;TODAY()),0,IF(OR(INDEX($B1012:$D1012,P$5)="F",AND(P$6&gt;0,$A1012&lt;P$6),AND(P$7&gt;0,$A1012&gt;P$7)),0,MAX(0,ROUND((INDEX($E1012:$G1012,P$5)-SUMIFS(TF_Timer,TF_Tekniker,P$4,TF_Dato,$A1012))*2,0)/2)))</f>
        <v/>
      </c>
      <c r="Q1012">
        <f>IF(OR(Q$4="",$A1012&gt;TODAY()),0,IF(OR(INDEX($B1012:$D1012,Q$5)="F",AND(Q$6&gt;0,$A1012&lt;Q$6),AND(Q$7&gt;0,$A1012&gt;Q$7)),0,MAX(0,ROUND((INDEX($E1012:$G1012,Q$5)-SUMIFS(TF_Timer,TF_Tekniker,Q$4,TF_Dato,$A1012))*2,0)/2)))</f>
        <v/>
      </c>
      <c r="R1012">
        <f>IF(OR(R$4="",$A1012&gt;TODAY()),0,IF(OR(INDEX($B1012:$D1012,R$5)="F",AND(R$6&gt;0,$A1012&lt;R$6),AND(R$7&gt;0,$A1012&gt;R$7)),0,MAX(0,ROUND((INDEX($E1012:$G1012,R$5)-SUMIFS(TF_Timer,TF_Tekniker,R$4,TF_Dato,$A1012))*2,0)/2)))</f>
        <v/>
      </c>
      <c r="S1012">
        <f>IF(OR(S$4="",$A1012&gt;TODAY()),0,IF(OR(INDEX($B1012:$D1012,S$5)="F",AND(S$6&gt;0,$A1012&lt;S$6),AND(S$7&gt;0,$A1012&gt;S$7)),0,MAX(0,ROUND((INDEX($E1012:$G1012,S$5)-SUMIFS(TF_Timer,TF_Tekniker,S$4,TF_Dato,$A1012))*2,0)/2)))</f>
        <v/>
      </c>
      <c r="T1012">
        <f>IF(OR(T$4="",$A1012&gt;TODAY()),0,IF(OR(INDEX($B1012:$D1012,T$5)="F",AND(T$6&gt;0,$A1012&lt;T$6),AND(T$7&gt;0,$A1012&gt;T$7)),0,MAX(0,ROUND((INDEX($E1012:$G1012,T$5)-SUMIFS(TF_Timer,TF_Tekniker,T$4,TF_Dato,$A1012))*2,0)/2)))</f>
        <v/>
      </c>
      <c r="U1012">
        <f>IF(OR(U$4="",$A1012&gt;TODAY()),0,IF(OR(INDEX($B1012:$D1012,U$5)="F",AND(U$6&gt;0,$A1012&lt;U$6),AND(U$7&gt;0,$A1012&gt;U$7)),0,MAX(0,ROUND((INDEX($E1012:$G1012,U$5)-SUMIFS(TF_Timer,TF_Tekniker,U$4,TF_Dato,$A1012))*2,0)/2)))</f>
        <v/>
      </c>
      <c r="V1012">
        <f>IF(OR(V$4="",$A1012&gt;TODAY()),0,IF(OR(INDEX($B1012:$D1012,V$5)="F",AND(V$6&gt;0,$A1012&lt;V$6),AND(V$7&gt;0,$A1012&gt;V$7)),0,MAX(0,ROUND((INDEX($E1012:$G1012,V$5)-SUMIFS(TF_Timer,TF_Tekniker,V$4,TF_Dato,$A1012))*2,0)/2)))</f>
        <v/>
      </c>
      <c r="W1012">
        <f>IF(OR(W$4="",$A1012&gt;TODAY()),0,IF(OR(INDEX($B1012:$D1012,W$5)="F",AND(W$6&gt;0,$A1012&lt;W$6),AND(W$7&gt;0,$A1012&gt;W$7)),0,MAX(0,ROUND((INDEX($E1012:$G1012,W$5)-SUMIFS(TF_Timer,TF_Tekniker,W$4,TF_Dato,$A1012))*2,0)/2)))</f>
        <v/>
      </c>
      <c r="X1012">
        <f>IF(OR(X$4="",$A1012&gt;TODAY()),0,IF(OR(INDEX($B1012:$D1012,X$5)="F",AND(X$6&gt;0,$A1012&lt;X$6),AND(X$7&gt;0,$A1012&gt;X$7)),0,MAX(0,ROUND((INDEX($E1012:$G1012,X$5)-SUMIFS(TF_Timer,TF_Tekniker,X$4,TF_Dato,$A1012))*2,0)/2)))</f>
        <v/>
      </c>
      <c r="Y1012">
        <f>IF(OR(Y$4="",$A1012&gt;TODAY()),0,IF(OR(INDEX($B1012:$D1012,Y$5)="F",AND(Y$6&gt;0,$A1012&lt;Y$6),AND(Y$7&gt;0,$A1012&gt;Y$7)),0,MAX(0,ROUND((INDEX($E1012:$G1012,Y$5)-SUMIFS(TF_Timer,TF_Tekniker,Y$4,TF_Dato,$A1012))*2,0)/2)))</f>
        <v/>
      </c>
      <c r="Z1012">
        <f>IF(OR(Z$4="",$A1012&gt;TODAY()),0,IF(OR(INDEX($B1012:$D1012,Z$5)="F",AND(Z$6&gt;0,$A1012&lt;Z$6),AND(Z$7&gt;0,$A1012&gt;Z$7)),0,MAX(0,ROUND((INDEX($E1012:$G1012,Z$5)-SUMIFS(TF_Timer,TF_Tekniker,Z$4,TF_Dato,$A1012))*2,0)/2)))</f>
        <v/>
      </c>
      <c r="AA1012">
        <f>IF(OR(AA$4="",$A1012&gt;TODAY()),0,IF(OR(INDEX($B1012:$D1012,AA$5)="F",AND(AA$6&gt;0,$A1012&lt;AA$6),AND(AA$7&gt;0,$A1012&gt;AA$7)),0,MAX(0,ROUND((INDEX($E1012:$G1012,AA$5)-SUMIFS(TF_Timer,TF_Tekniker,AA$4,TF_Dato,$A1012))*2,0)/2)))</f>
        <v/>
      </c>
      <c r="AB1012">
        <f>IF(OR(AB$4="",$A1012&gt;TODAY()),0,IF(OR(INDEX($B1012:$D1012,AB$5)="F",AND(AB$6&gt;0,$A1012&lt;AB$6),AND(AB$7&gt;0,$A1012&gt;AB$7)),0,MAX(0,ROUND((INDEX($E1012:$G1012,AB$5)-SUMIFS(TF_Timer,TF_Tekniker,AB$4,TF_Dato,$A1012))*2,0)/2)))</f>
        <v/>
      </c>
      <c r="AC1012">
        <f>IF(OR(AC$4="",$A1012&gt;TODAY()),0,IF(OR(INDEX($B1012:$D1012,AC$5)="F",AND(AC$6&gt;0,$A1012&lt;AC$6),AND(AC$7&gt;0,$A1012&gt;AC$7)),0,MAX(0,ROUND((INDEX($E1012:$G1012,AC$5)-SUMIFS(TF_Timer,TF_Tekniker,AC$4,TF_Dato,$A1012))*2,0)/2)))</f>
        <v/>
      </c>
      <c r="AD1012">
        <f>IF(OR(AD$4="",$A1012&gt;TODAY()),0,IF(OR(INDEX($B1012:$D1012,AD$5)="F",AND(AD$6&gt;0,$A1012&lt;AD$6),AND(AD$7&gt;0,$A1012&gt;AD$7)),0,MAX(0,ROUND((INDEX($E1012:$G1012,AD$5)-SUMIFS(TF_Timer,TF_Tekniker,AD$4,TF_Dato,$A1012))*2,0)/2)))</f>
        <v/>
      </c>
      <c r="AE1012">
        <f>IF(OR(AE$4="",$A1012&gt;TODAY()),0,IF(OR(INDEX($B1012:$D1012,AE$5)="F",AND(AE$6&gt;0,$A1012&lt;AE$6),AND(AE$7&gt;0,$A1012&gt;AE$7)),0,MAX(0,ROUND((INDEX($E1012:$G1012,AE$5)-SUMIFS(TF_Timer,TF_Tekniker,AE$4,TF_Dato,$A1012))*2,0)/2)))</f>
        <v/>
      </c>
      <c r="AF1012">
        <f>IF(OR(AF$4="",$A1012&gt;TODAY()),0,IF(OR(INDEX($B1012:$D1012,AF$5)="F",AND(AF$6&gt;0,$A1012&lt;AF$6),AND(AF$7&gt;0,$A1012&gt;AF$7)),0,MAX(0,ROUND((INDEX($E1012:$G1012,AF$5)-SUMIFS(TF_Timer,TF_Tekniker,AF$4,TF_Dato,$A1012))*2,0)/2)))</f>
        <v/>
      </c>
      <c r="AG1012">
        <f>IF(OR(AG$4="",$A1012&gt;TODAY()),0,IF(OR(INDEX($B1012:$D1012,AG$5)="F",AND(AG$6&gt;0,$A1012&lt;AG$6),AND(AG$7&gt;0,$A1012&gt;AG$7)),0,MAX(0,ROUND((INDEX($E1012:$G1012,AG$5)-SUMIFS(TF_Timer,TF_Tekniker,AG$4,TF_Dato,$A1012))*2,0)/2)))</f>
        <v/>
      </c>
      <c r="AH1012">
        <f>IF(OR(AH$4="",$A1012&gt;TODAY()),0,IF(OR(INDEX($B1012:$D1012,AH$5)="F",AND(AH$6&gt;0,$A1012&lt;AH$6),AND(AH$7&gt;0,$A1012&gt;AH$7)),0,MAX(0,ROUND((INDEX($E1012:$G1012,AH$5)-SUMIFS(TF_Timer,TF_Tekniker,AH$4,TF_Dato,$A1012))*2,0)/2)))</f>
        <v/>
      </c>
      <c r="AI1012">
        <f>IF(OR(AI$4="",$A1012&gt;TODAY()),0,IF(OR(INDEX($B1012:$D1012,AI$5)="F",AND(AI$6&gt;0,$A1012&lt;AI$6),AND(AI$7&gt;0,$A1012&gt;AI$7)),0,MAX(0,ROUND((INDEX($E1012:$G1012,AI$5)-SUMIFS(TF_Timer,TF_Tekniker,AI$4,TF_Dato,$A1012))*2,0)/2)))</f>
        <v/>
      </c>
      <c r="AJ1012">
        <f>IF(OR(AJ$4="",$A1012&gt;TODAY()),0,IF(OR(INDEX($B1012:$D1012,AJ$5)="F",AND(AJ$6&gt;0,$A1012&lt;AJ$6),AND(AJ$7&gt;0,$A1012&gt;AJ$7)),0,MAX(0,ROUND((INDEX($E1012:$G1012,AJ$5)-SUMIFS(TF_Timer,TF_Tekniker,AJ$4,TF_Dato,$A1012))*2,0)/2)))</f>
        <v/>
      </c>
      <c r="AK1012">
        <f>IF(OR(AK$4="",$A1012&gt;TODAY()),0,IF(OR(INDEX($B1012:$D1012,AK$5)="F",AND(AK$6&gt;0,$A1012&lt;AK$6),AND(AK$7&gt;0,$A1012&gt;AK$7)),0,MAX(0,ROUND((INDEX($E1012:$G1012,AK$5)-SUMIFS(TF_Timer,TF_Tekniker,AK$4,TF_Dato,$A1012))*2,0)/2)))</f>
        <v/>
      </c>
      <c r="AL1012">
        <f>IF(OR(AL$4="",$A1012&gt;TODAY()),0,IF(OR(INDEX($B1012:$D1012,AL$5)="F",AND(AL$6&gt;0,$A1012&lt;AL$6),AND(AL$7&gt;0,$A1012&gt;AL$7)),0,MAX(0,ROUND((INDEX($E1012:$G1012,AL$5)-SUMIFS(TF_Timer,TF_Tekniker,AL$4,TF_Dato,$A1012))*2,0)/2)))</f>
        <v/>
      </c>
      <c r="AM1012">
        <f>IF(OR(AM$4="",$A1012&gt;TODAY()),0,IF(OR(INDEX($B1012:$D1012,AM$5)="F",AND(AM$6&gt;0,$A1012&lt;AM$6),AND(AM$7&gt;0,$A1012&gt;AM$7)),0,MAX(0,ROUND((INDEX($E1012:$G1012,AM$5)-SUMIFS(TF_Timer,TF_Tekniker,AM$4,TF_Dato,$A1012))*2,0)/2)))</f>
        <v/>
      </c>
      <c r="AN1012">
        <f>IF(OR(AN$4="",$A1012&gt;TODAY()),0,IF(OR(INDEX($B1012:$D1012,AN$5)="F",AND(AN$6&gt;0,$A1012&lt;AN$6),AND(AN$7&gt;0,$A1012&gt;AN$7)),0,MAX(0,ROUND((INDEX($E1012:$G1012,AN$5)-SUMIFS(TF_Timer,TF_Tekniker,AN$4,TF_Dato,$A1012))*2,0)/2)))</f>
        <v/>
      </c>
      <c r="AO1012">
        <f>IF(OR(AO$4="",$A1012&gt;TODAY()),0,IF(OR(INDEX($B1012:$D1012,AO$5)="F",AND(AO$6&gt;0,$A1012&lt;AO$6),AND(AO$7&gt;0,$A1012&gt;AO$7)),0,MAX(0,ROUND((INDEX($E1012:$G1012,AO$5)-SUMIFS(TF_Timer,TF_Tekniker,AO$4,TF_Dato,$A1012))*2,0)/2)))</f>
        <v/>
      </c>
      <c r="AP1012">
        <f>IF(OR(AP$4="",$A1012&gt;TODAY()),0,IF(OR(INDEX($B1012:$D1012,AP$5)="F",AND(AP$6&gt;0,$A1012&lt;AP$6),AND(AP$7&gt;0,$A1012&gt;AP$7)),0,MAX(0,ROUND((INDEX($E1012:$G1012,AP$5)-SUMIFS(TF_Timer,TF_Tekniker,AP$4,TF_Dato,$A1012))*2,0)/2)))</f>
        <v/>
      </c>
      <c r="AQ1012">
        <f>IF(OR(AQ$4="",$A1012&gt;TODAY()),0,IF(OR(INDEX($B1012:$D1012,AQ$5)="F",AND(AQ$6&gt;0,$A1012&lt;AQ$6),AND(AQ$7&gt;0,$A1012&gt;AQ$7)),0,MAX(0,ROUND((INDEX($E1012:$G1012,AQ$5)-SUMIFS(TF_Timer,TF_Tekniker,AQ$4,TF_Dato,$A1012))*2,0)/2)))</f>
        <v/>
      </c>
      <c r="AR1012">
        <f>IF(OR(AR$4="",$A1012&gt;TODAY()),0,IF(OR(INDEX($B1012:$D1012,AR$5)="F",AND(AR$6&gt;0,$A1012&lt;AR$6),AND(AR$7&gt;0,$A1012&gt;AR$7)),0,MAX(0,ROUND((INDEX($E1012:$G1012,AR$5)-SUMIFS(TF_Timer,TF_Tekniker,AR$4,TF_Dato,$A1012))*2,0)/2)))</f>
        <v/>
      </c>
      <c r="AS1012">
        <f>IF(OR(AS$4="",$A1012&gt;TODAY()),0,IF(OR(INDEX($B1012:$D1012,AS$5)="F",AND(AS$6&gt;0,$A1012&lt;AS$6),AND(AS$7&gt;0,$A1012&gt;AS$7)),0,MAX(0,ROUND((INDEX($E1012:$G1012,AS$5)-SUMIFS(TF_Timer,TF_Tekniker,AS$4,TF_Dato,$A1012))*2,0)/2)))</f>
        <v/>
      </c>
      <c r="AT1012">
        <f>IF(OR(AT$4="",$A1012&gt;TODAY()),0,IF(OR(INDEX($B1012:$D1012,AT$5)="F",AND(AT$6&gt;0,$A1012&lt;AT$6),AND(AT$7&gt;0,$A1012&gt;AT$7)),0,MAX(0,ROUND((INDEX($E1012:$G1012,AT$5)-SUMIFS(TF_Timer,TF_Tekniker,AT$4,TF_Dato,$A1012))*2,0)/2)))</f>
        <v/>
      </c>
      <c r="AU1012">
        <f>IF(OR(AU$4="",$A1012&gt;TODAY()),0,IF(OR(INDEX($B1012:$D1012,AU$5)="F",AND(AU$6&gt;0,$A1012&lt;AU$6),AND(AU$7&gt;0,$A1012&gt;AU$7)),0,MAX(0,ROUND((INDEX($E1012:$G1012,AU$5)-SUMIFS(TF_Timer,TF_Tekniker,AU$4,TF_Dato,$A1012))*2,0)/2)))</f>
        <v/>
      </c>
      <c r="AV1012">
        <f>IF(OR(AV$4="",$A1012&gt;TODAY()),0,IF(OR(INDEX($B1012:$D1012,AV$5)="F",AND(AV$6&gt;0,$A1012&lt;AV$6),AND(AV$7&gt;0,$A1012&gt;AV$7)),0,MAX(0,ROUND((INDEX($E1012:$G1012,AV$5)-SUMIFS(TF_Timer,TF_Tekniker,AV$4,TF_Dato,$A1012))*2,0)/2)))</f>
        <v/>
      </c>
      <c r="AW1012">
        <f>IF(OR(AW$4="",$A1012&gt;TODAY()),0,IF(OR(INDEX($B1012:$D1012,AW$5)="F",AND(AW$6&gt;0,$A1012&lt;AW$6),AND(AW$7&gt;0,$A1012&gt;AW$7)),0,MAX(0,ROUND((INDEX($E1012:$G1012,AW$5)-SUMIFS(TF_Timer,TF_Tekniker,AW$4,TF_Dato,$A1012))*2,0)/2)))</f>
        <v/>
      </c>
      <c r="AX1012">
        <f>IF(OR(AX$4="",$A1012&gt;TODAY()),0,IF(OR(INDEX($B1012:$D1012,AX$5)="F",AND(AX$6&gt;0,$A1012&lt;AX$6),AND(AX$7&gt;0,$A1012&gt;AX$7)),0,MAX(0,ROUND((INDEX($E1012:$G1012,AX$5)-SUMIFS(TF_Timer,TF_Tekniker,AX$4,TF_Dato,$A1012))*2,0)/2)))</f>
        <v/>
      </c>
      <c r="AY1012">
        <f>IF(OR(AY$4="",$A1012&gt;TODAY()),0,IF(OR(INDEX($B1012:$D1012,AY$5)="F",AND(AY$6&gt;0,$A1012&lt;AY$6),AND(AY$7&gt;0,$A1012&gt;AY$7)),0,MAX(0,ROUND((INDEX($E1012:$G1012,AY$5)-SUMIFS(TF_Timer,TF_Tekniker,AY$4,TF_Dato,$A1012))*2,0)/2)))</f>
        <v/>
      </c>
      <c r="AZ1012">
        <f>IF(OR(AZ$4="",$A1012&gt;TODAY()),0,IF(OR(INDEX($B1012:$D1012,AZ$5)="F",AND(AZ$6&gt;0,$A1012&lt;AZ$6),AND(AZ$7&gt;0,$A1012&gt;AZ$7)),0,MAX(0,ROUND((INDEX($E1012:$G1012,AZ$5)-SUMIFS(TF_Timer,TF_Tekniker,AZ$4,TF_Dato,$A1012))*2,0)/2)))</f>
        <v/>
      </c>
      <c r="BA1012">
        <f>IF(OR(BA$4="",$A1012&gt;TODAY()),0,IF(OR(INDEX($B1012:$D1012,BA$5)="F",AND(BA$6&gt;0,$A1012&lt;BA$6),AND(BA$7&gt;0,$A1012&gt;BA$7)),0,MAX(0,ROUND((INDEX($E1012:$G1012,BA$5)-SUMIFS(TF_Timer,TF_Tekniker,BA$4,TF_Dato,$A1012))*2,0)/2)))</f>
        <v/>
      </c>
      <c r="BB1012">
        <f>IF(OR(BB$4="",$A1012&gt;TODAY()),0,IF(OR(INDEX($B1012:$D1012,BB$5)="F",AND(BB$6&gt;0,$A1012&lt;BB$6),AND(BB$7&gt;0,$A1012&gt;BB$7)),0,MAX(0,ROUND((INDEX($E1012:$G1012,BB$5)-SUMIFS(TF_Timer,TF_Tekniker,BB$4,TF_Dato,$A1012))*2,0)/2)))</f>
        <v/>
      </c>
      <c r="BC1012">
        <f>IF(OR(BC$4="",$A1012&gt;TODAY()),0,IF(OR(INDEX($B1012:$D1012,BC$5)="F",AND(BC$6&gt;0,$A1012&lt;BC$6),AND(BC$7&gt;0,$A1012&gt;BC$7)),0,MAX(0,ROUND((INDEX($E1012:$G1012,BC$5)-SUMIFS(TF_Timer,TF_Tekniker,BC$4,TF_Dato,$A1012))*2,0)/2)))</f>
        <v/>
      </c>
      <c r="BD1012">
        <f>IF(OR(BD$4="",$A1012&gt;TODAY()),0,IF(OR(INDEX($B1012:$D1012,BD$5)="F",AND(BD$6&gt;0,$A1012&lt;BD$6),AND(BD$7&gt;0,$A1012&gt;BD$7)),0,MAX(0,ROUND((INDEX($E1012:$G1012,BD$5)-SUMIFS(TF_Timer,TF_Tekniker,BD$4,TF_Dato,$A1012))*2,0)/2)))</f>
        <v/>
      </c>
      <c r="BE1012">
        <f>IF(OR(BE$4="",$A1012&gt;TODAY()),0,IF(OR(INDEX($B1012:$D1012,BE$5)="F",AND(BE$6&gt;0,$A1012&lt;BE$6),AND(BE$7&gt;0,$A1012&gt;BE$7)),0,MAX(0,ROUND((INDEX($E1012:$G1012,BE$5)-SUMIFS(TF_Timer,TF_Tekniker,BE$4,TF_Dato,$A1012))*2,0)/2)))</f>
        <v/>
      </c>
      <c r="BF1012">
        <f>IF(OR(BF$4="",$A1012&gt;TODAY()),0,IF(OR(INDEX($B1012:$D1012,BF$5)="F",AND(BF$6&gt;0,$A1012&lt;BF$6),AND(BF$7&gt;0,$A1012&gt;BF$7)),0,MAX(0,ROUND((INDEX($E1012:$G1012,BF$5)-SUMIFS(TF_Timer,TF_Tekniker,BF$4,TF_Dato,$A1012))*2,0)/2)))</f>
        <v/>
      </c>
      <c r="BG1012">
        <f>IF(OR(BG$4="",$A1012&gt;TODAY()),0,IF(OR(INDEX($B1012:$D1012,BG$5)="F",AND(BG$6&gt;0,$A1012&lt;BG$6),AND(BG$7&gt;0,$A1012&gt;BG$7)),0,MAX(0,ROUND((INDEX($E1012:$G1012,BG$5)-SUMIFS(TF_Timer,TF_Tekniker,BG$4,TF_Dato,$A1012))*2,0)/2)))</f>
        <v/>
      </c>
      <c r="BH1012">
        <f>IF(OR(BH$4="",$A1012&gt;TODAY()),0,IF(OR(INDEX($B1012:$D1012,BH$5)="F",AND(BH$6&gt;0,$A1012&lt;BH$6),AND(BH$7&gt;0,$A1012&gt;BH$7)),0,MAX(0,ROUND((INDEX($E1012:$G1012,BH$5)-SUMIFS(TF_Timer,TF_Tekniker,BH$4,TF_Dato,$A1012))*2,0)/2)))</f>
        <v/>
      </c>
      <c r="BI1012">
        <f>IF(OR(BI$4="",$A1012&gt;TODAY()),0,IF(OR(INDEX($B1012:$D1012,BI$5)="F",AND(BI$6&gt;0,$A1012&lt;BI$6),AND(BI$7&gt;0,$A1012&gt;BI$7)),0,MAX(0,ROUND((INDEX($E1012:$G1012,BI$5)-SUMIFS(TF_Timer,TF_Tekniker,BI$4,TF_Dato,$A1012))*2,0)/2)))</f>
        <v/>
      </c>
    </row>
    <row r="1013">
      <c r="A1013" s="64">
        <f>A1012+1</f>
        <v/>
      </c>
      <c r="B1013">
        <f>IF(MOD($A1013-INDEX(SkiftStart,1),Syklus)&lt;DagK,"K",IF(MOD($A1013-INDEX(SkiftStart,1),Syklus)&lt;DagK+DagH,"H",IF(MOD($A1013-INDEX(SkiftStart,1),Syklus)&lt;DagK+DagH+DagD,"D","F")))</f>
        <v/>
      </c>
      <c r="C1013">
        <f>IF(MOD($A1013-INDEX(SkiftStart,2),Syklus)&lt;DagK,"K",IF(MOD($A1013-INDEX(SkiftStart,2),Syklus)&lt;DagK+DagH,"H",IF(MOD($A1013-INDEX(SkiftStart,2),Syklus)&lt;DagK+DagH+DagD,"D","F")))</f>
        <v/>
      </c>
      <c r="D1013">
        <f>IF(MOD($A1013-INDEX(SkiftStart,3),Syklus)&lt;DagK,"K",IF(MOD($A1013-INDEX(SkiftStart,3),Syklus)&lt;DagK+DagH,"H",IF(MOD($A1013-INDEX(SkiftStart,3),Syklus)&lt;DagK+DagH+DagD,"D","F")))</f>
        <v/>
      </c>
      <c r="E1013">
        <f>IF(B1013="F",0,IF(WEEKDAY($A1013,2)=5,INDEX(TimerFr,MATCH(B1013,FaseKode,0)),INDEX(TimerMT,MATCH(B1013,FaseKode,0))))</f>
        <v/>
      </c>
      <c r="F1013">
        <f>IF(C1013="F",0,IF(WEEKDAY($A1013,2)=5,INDEX(TimerFr,MATCH(C1013,FaseKode,0)),INDEX(TimerMT,MATCH(C1013,FaseKode,0))))</f>
        <v/>
      </c>
      <c r="G1013">
        <f>IF(D1013="F",0,IF(WEEKDAY($A1013,2)=5,INDEX(TimerFr,MATCH(D1013,FaseKode,0)),INDEX(TimerMT,MATCH(D1013,FaseKode,0))))</f>
        <v/>
      </c>
      <c r="H1013">
        <f>IF(OR(H$4="",$A1013&gt;TODAY()),0,IF(OR(INDEX($B1013:$D1013,H$5)="F",AND(H$6&gt;0,$A1013&lt;H$6),AND(H$7&gt;0,$A1013&gt;H$7)),0,MAX(0,ROUND((INDEX($E1013:$G1013,H$5)-SUMIFS(TF_Timer,TF_Tekniker,H$4,TF_Dato,$A1013))*2,0)/2)))</f>
        <v/>
      </c>
      <c r="I1013">
        <f>IF(OR(I$4="",$A1013&gt;TODAY()),0,IF(OR(INDEX($B1013:$D1013,I$5)="F",AND(I$6&gt;0,$A1013&lt;I$6),AND(I$7&gt;0,$A1013&gt;I$7)),0,MAX(0,ROUND((INDEX($E1013:$G1013,I$5)-SUMIFS(TF_Timer,TF_Tekniker,I$4,TF_Dato,$A1013))*2,0)/2)))</f>
        <v/>
      </c>
      <c r="J1013">
        <f>IF(OR(J$4="",$A1013&gt;TODAY()),0,IF(OR(INDEX($B1013:$D1013,J$5)="F",AND(J$6&gt;0,$A1013&lt;J$6),AND(J$7&gt;0,$A1013&gt;J$7)),0,MAX(0,ROUND((INDEX($E1013:$G1013,J$5)-SUMIFS(TF_Timer,TF_Tekniker,J$4,TF_Dato,$A1013))*2,0)/2)))</f>
        <v/>
      </c>
      <c r="K1013">
        <f>IF(OR(K$4="",$A1013&gt;TODAY()),0,IF(OR(INDEX($B1013:$D1013,K$5)="F",AND(K$6&gt;0,$A1013&lt;K$6),AND(K$7&gt;0,$A1013&gt;K$7)),0,MAX(0,ROUND((INDEX($E1013:$G1013,K$5)-SUMIFS(TF_Timer,TF_Tekniker,K$4,TF_Dato,$A1013))*2,0)/2)))</f>
        <v/>
      </c>
      <c r="L1013">
        <f>IF(OR(L$4="",$A1013&gt;TODAY()),0,IF(OR(INDEX($B1013:$D1013,L$5)="F",AND(L$6&gt;0,$A1013&lt;L$6),AND(L$7&gt;0,$A1013&gt;L$7)),0,MAX(0,ROUND((INDEX($E1013:$G1013,L$5)-SUMIFS(TF_Timer,TF_Tekniker,L$4,TF_Dato,$A1013))*2,0)/2)))</f>
        <v/>
      </c>
      <c r="M1013">
        <f>IF(OR(M$4="",$A1013&gt;TODAY()),0,IF(OR(INDEX($B1013:$D1013,M$5)="F",AND(M$6&gt;0,$A1013&lt;M$6),AND(M$7&gt;0,$A1013&gt;M$7)),0,MAX(0,ROUND((INDEX($E1013:$G1013,M$5)-SUMIFS(TF_Timer,TF_Tekniker,M$4,TF_Dato,$A1013))*2,0)/2)))</f>
        <v/>
      </c>
      <c r="N1013">
        <f>IF(OR(N$4="",$A1013&gt;TODAY()),0,IF(OR(INDEX($B1013:$D1013,N$5)="F",AND(N$6&gt;0,$A1013&lt;N$6),AND(N$7&gt;0,$A1013&gt;N$7)),0,MAX(0,ROUND((INDEX($E1013:$G1013,N$5)-SUMIFS(TF_Timer,TF_Tekniker,N$4,TF_Dato,$A1013))*2,0)/2)))</f>
        <v/>
      </c>
      <c r="O1013">
        <f>IF(OR(O$4="",$A1013&gt;TODAY()),0,IF(OR(INDEX($B1013:$D1013,O$5)="F",AND(O$6&gt;0,$A1013&lt;O$6),AND(O$7&gt;0,$A1013&gt;O$7)),0,MAX(0,ROUND((INDEX($E1013:$G1013,O$5)-SUMIFS(TF_Timer,TF_Tekniker,O$4,TF_Dato,$A1013))*2,0)/2)))</f>
        <v/>
      </c>
      <c r="P1013">
        <f>IF(OR(P$4="",$A1013&gt;TODAY()),0,IF(OR(INDEX($B1013:$D1013,P$5)="F",AND(P$6&gt;0,$A1013&lt;P$6),AND(P$7&gt;0,$A1013&gt;P$7)),0,MAX(0,ROUND((INDEX($E1013:$G1013,P$5)-SUMIFS(TF_Timer,TF_Tekniker,P$4,TF_Dato,$A1013))*2,0)/2)))</f>
        <v/>
      </c>
      <c r="Q1013">
        <f>IF(OR(Q$4="",$A1013&gt;TODAY()),0,IF(OR(INDEX($B1013:$D1013,Q$5)="F",AND(Q$6&gt;0,$A1013&lt;Q$6),AND(Q$7&gt;0,$A1013&gt;Q$7)),0,MAX(0,ROUND((INDEX($E1013:$G1013,Q$5)-SUMIFS(TF_Timer,TF_Tekniker,Q$4,TF_Dato,$A1013))*2,0)/2)))</f>
        <v/>
      </c>
      <c r="R1013">
        <f>IF(OR(R$4="",$A1013&gt;TODAY()),0,IF(OR(INDEX($B1013:$D1013,R$5)="F",AND(R$6&gt;0,$A1013&lt;R$6),AND(R$7&gt;0,$A1013&gt;R$7)),0,MAX(0,ROUND((INDEX($E1013:$G1013,R$5)-SUMIFS(TF_Timer,TF_Tekniker,R$4,TF_Dato,$A1013))*2,0)/2)))</f>
        <v/>
      </c>
      <c r="S1013">
        <f>IF(OR(S$4="",$A1013&gt;TODAY()),0,IF(OR(INDEX($B1013:$D1013,S$5)="F",AND(S$6&gt;0,$A1013&lt;S$6),AND(S$7&gt;0,$A1013&gt;S$7)),0,MAX(0,ROUND((INDEX($E1013:$G1013,S$5)-SUMIFS(TF_Timer,TF_Tekniker,S$4,TF_Dato,$A1013))*2,0)/2)))</f>
        <v/>
      </c>
      <c r="T1013">
        <f>IF(OR(T$4="",$A1013&gt;TODAY()),0,IF(OR(INDEX($B1013:$D1013,T$5)="F",AND(T$6&gt;0,$A1013&lt;T$6),AND(T$7&gt;0,$A1013&gt;T$7)),0,MAX(0,ROUND((INDEX($E1013:$G1013,T$5)-SUMIFS(TF_Timer,TF_Tekniker,T$4,TF_Dato,$A1013))*2,0)/2)))</f>
        <v/>
      </c>
      <c r="U1013">
        <f>IF(OR(U$4="",$A1013&gt;TODAY()),0,IF(OR(INDEX($B1013:$D1013,U$5)="F",AND(U$6&gt;0,$A1013&lt;U$6),AND(U$7&gt;0,$A1013&gt;U$7)),0,MAX(0,ROUND((INDEX($E1013:$G1013,U$5)-SUMIFS(TF_Timer,TF_Tekniker,U$4,TF_Dato,$A1013))*2,0)/2)))</f>
        <v/>
      </c>
      <c r="V1013">
        <f>IF(OR(V$4="",$A1013&gt;TODAY()),0,IF(OR(INDEX($B1013:$D1013,V$5)="F",AND(V$6&gt;0,$A1013&lt;V$6),AND(V$7&gt;0,$A1013&gt;V$7)),0,MAX(0,ROUND((INDEX($E1013:$G1013,V$5)-SUMIFS(TF_Timer,TF_Tekniker,V$4,TF_Dato,$A1013))*2,0)/2)))</f>
        <v/>
      </c>
      <c r="W1013">
        <f>IF(OR(W$4="",$A1013&gt;TODAY()),0,IF(OR(INDEX($B1013:$D1013,W$5)="F",AND(W$6&gt;0,$A1013&lt;W$6),AND(W$7&gt;0,$A1013&gt;W$7)),0,MAX(0,ROUND((INDEX($E1013:$G1013,W$5)-SUMIFS(TF_Timer,TF_Tekniker,W$4,TF_Dato,$A1013))*2,0)/2)))</f>
        <v/>
      </c>
      <c r="X1013">
        <f>IF(OR(X$4="",$A1013&gt;TODAY()),0,IF(OR(INDEX($B1013:$D1013,X$5)="F",AND(X$6&gt;0,$A1013&lt;X$6),AND(X$7&gt;0,$A1013&gt;X$7)),0,MAX(0,ROUND((INDEX($E1013:$G1013,X$5)-SUMIFS(TF_Timer,TF_Tekniker,X$4,TF_Dato,$A1013))*2,0)/2)))</f>
        <v/>
      </c>
      <c r="Y1013">
        <f>IF(OR(Y$4="",$A1013&gt;TODAY()),0,IF(OR(INDEX($B1013:$D1013,Y$5)="F",AND(Y$6&gt;0,$A1013&lt;Y$6),AND(Y$7&gt;0,$A1013&gt;Y$7)),0,MAX(0,ROUND((INDEX($E1013:$G1013,Y$5)-SUMIFS(TF_Timer,TF_Tekniker,Y$4,TF_Dato,$A1013))*2,0)/2)))</f>
        <v/>
      </c>
      <c r="Z1013">
        <f>IF(OR(Z$4="",$A1013&gt;TODAY()),0,IF(OR(INDEX($B1013:$D1013,Z$5)="F",AND(Z$6&gt;0,$A1013&lt;Z$6),AND(Z$7&gt;0,$A1013&gt;Z$7)),0,MAX(0,ROUND((INDEX($E1013:$G1013,Z$5)-SUMIFS(TF_Timer,TF_Tekniker,Z$4,TF_Dato,$A1013))*2,0)/2)))</f>
        <v/>
      </c>
      <c r="AA1013">
        <f>IF(OR(AA$4="",$A1013&gt;TODAY()),0,IF(OR(INDEX($B1013:$D1013,AA$5)="F",AND(AA$6&gt;0,$A1013&lt;AA$6),AND(AA$7&gt;0,$A1013&gt;AA$7)),0,MAX(0,ROUND((INDEX($E1013:$G1013,AA$5)-SUMIFS(TF_Timer,TF_Tekniker,AA$4,TF_Dato,$A1013))*2,0)/2)))</f>
        <v/>
      </c>
      <c r="AB1013">
        <f>IF(OR(AB$4="",$A1013&gt;TODAY()),0,IF(OR(INDEX($B1013:$D1013,AB$5)="F",AND(AB$6&gt;0,$A1013&lt;AB$6),AND(AB$7&gt;0,$A1013&gt;AB$7)),0,MAX(0,ROUND((INDEX($E1013:$G1013,AB$5)-SUMIFS(TF_Timer,TF_Tekniker,AB$4,TF_Dato,$A1013))*2,0)/2)))</f>
        <v/>
      </c>
      <c r="AC1013">
        <f>IF(OR(AC$4="",$A1013&gt;TODAY()),0,IF(OR(INDEX($B1013:$D1013,AC$5)="F",AND(AC$6&gt;0,$A1013&lt;AC$6),AND(AC$7&gt;0,$A1013&gt;AC$7)),0,MAX(0,ROUND((INDEX($E1013:$G1013,AC$5)-SUMIFS(TF_Timer,TF_Tekniker,AC$4,TF_Dato,$A1013))*2,0)/2)))</f>
        <v/>
      </c>
      <c r="AD1013">
        <f>IF(OR(AD$4="",$A1013&gt;TODAY()),0,IF(OR(INDEX($B1013:$D1013,AD$5)="F",AND(AD$6&gt;0,$A1013&lt;AD$6),AND(AD$7&gt;0,$A1013&gt;AD$7)),0,MAX(0,ROUND((INDEX($E1013:$G1013,AD$5)-SUMIFS(TF_Timer,TF_Tekniker,AD$4,TF_Dato,$A1013))*2,0)/2)))</f>
        <v/>
      </c>
      <c r="AE1013">
        <f>IF(OR(AE$4="",$A1013&gt;TODAY()),0,IF(OR(INDEX($B1013:$D1013,AE$5)="F",AND(AE$6&gt;0,$A1013&lt;AE$6),AND(AE$7&gt;0,$A1013&gt;AE$7)),0,MAX(0,ROUND((INDEX($E1013:$G1013,AE$5)-SUMIFS(TF_Timer,TF_Tekniker,AE$4,TF_Dato,$A1013))*2,0)/2)))</f>
        <v/>
      </c>
      <c r="AF1013">
        <f>IF(OR(AF$4="",$A1013&gt;TODAY()),0,IF(OR(INDEX($B1013:$D1013,AF$5)="F",AND(AF$6&gt;0,$A1013&lt;AF$6),AND(AF$7&gt;0,$A1013&gt;AF$7)),0,MAX(0,ROUND((INDEX($E1013:$G1013,AF$5)-SUMIFS(TF_Timer,TF_Tekniker,AF$4,TF_Dato,$A1013))*2,0)/2)))</f>
        <v/>
      </c>
      <c r="AG1013">
        <f>IF(OR(AG$4="",$A1013&gt;TODAY()),0,IF(OR(INDEX($B1013:$D1013,AG$5)="F",AND(AG$6&gt;0,$A1013&lt;AG$6),AND(AG$7&gt;0,$A1013&gt;AG$7)),0,MAX(0,ROUND((INDEX($E1013:$G1013,AG$5)-SUMIFS(TF_Timer,TF_Tekniker,AG$4,TF_Dato,$A1013))*2,0)/2)))</f>
        <v/>
      </c>
      <c r="AH1013">
        <f>IF(OR(AH$4="",$A1013&gt;TODAY()),0,IF(OR(INDEX($B1013:$D1013,AH$5)="F",AND(AH$6&gt;0,$A1013&lt;AH$6),AND(AH$7&gt;0,$A1013&gt;AH$7)),0,MAX(0,ROUND((INDEX($E1013:$G1013,AH$5)-SUMIFS(TF_Timer,TF_Tekniker,AH$4,TF_Dato,$A1013))*2,0)/2)))</f>
        <v/>
      </c>
      <c r="AI1013">
        <f>IF(OR(AI$4="",$A1013&gt;TODAY()),0,IF(OR(INDEX($B1013:$D1013,AI$5)="F",AND(AI$6&gt;0,$A1013&lt;AI$6),AND(AI$7&gt;0,$A1013&gt;AI$7)),0,MAX(0,ROUND((INDEX($E1013:$G1013,AI$5)-SUMIFS(TF_Timer,TF_Tekniker,AI$4,TF_Dato,$A1013))*2,0)/2)))</f>
        <v/>
      </c>
      <c r="AJ1013">
        <f>IF(OR(AJ$4="",$A1013&gt;TODAY()),0,IF(OR(INDEX($B1013:$D1013,AJ$5)="F",AND(AJ$6&gt;0,$A1013&lt;AJ$6),AND(AJ$7&gt;0,$A1013&gt;AJ$7)),0,MAX(0,ROUND((INDEX($E1013:$G1013,AJ$5)-SUMIFS(TF_Timer,TF_Tekniker,AJ$4,TF_Dato,$A1013))*2,0)/2)))</f>
        <v/>
      </c>
      <c r="AK1013">
        <f>IF(OR(AK$4="",$A1013&gt;TODAY()),0,IF(OR(INDEX($B1013:$D1013,AK$5)="F",AND(AK$6&gt;0,$A1013&lt;AK$6),AND(AK$7&gt;0,$A1013&gt;AK$7)),0,MAX(0,ROUND((INDEX($E1013:$G1013,AK$5)-SUMIFS(TF_Timer,TF_Tekniker,AK$4,TF_Dato,$A1013))*2,0)/2)))</f>
        <v/>
      </c>
      <c r="AL1013">
        <f>IF(OR(AL$4="",$A1013&gt;TODAY()),0,IF(OR(INDEX($B1013:$D1013,AL$5)="F",AND(AL$6&gt;0,$A1013&lt;AL$6),AND(AL$7&gt;0,$A1013&gt;AL$7)),0,MAX(0,ROUND((INDEX($E1013:$G1013,AL$5)-SUMIFS(TF_Timer,TF_Tekniker,AL$4,TF_Dato,$A1013))*2,0)/2)))</f>
        <v/>
      </c>
      <c r="AM1013">
        <f>IF(OR(AM$4="",$A1013&gt;TODAY()),0,IF(OR(INDEX($B1013:$D1013,AM$5)="F",AND(AM$6&gt;0,$A1013&lt;AM$6),AND(AM$7&gt;0,$A1013&gt;AM$7)),0,MAX(0,ROUND((INDEX($E1013:$G1013,AM$5)-SUMIFS(TF_Timer,TF_Tekniker,AM$4,TF_Dato,$A1013))*2,0)/2)))</f>
        <v/>
      </c>
      <c r="AN1013">
        <f>IF(OR(AN$4="",$A1013&gt;TODAY()),0,IF(OR(INDEX($B1013:$D1013,AN$5)="F",AND(AN$6&gt;0,$A1013&lt;AN$6),AND(AN$7&gt;0,$A1013&gt;AN$7)),0,MAX(0,ROUND((INDEX($E1013:$G1013,AN$5)-SUMIFS(TF_Timer,TF_Tekniker,AN$4,TF_Dato,$A1013))*2,0)/2)))</f>
        <v/>
      </c>
      <c r="AO1013">
        <f>IF(OR(AO$4="",$A1013&gt;TODAY()),0,IF(OR(INDEX($B1013:$D1013,AO$5)="F",AND(AO$6&gt;0,$A1013&lt;AO$6),AND(AO$7&gt;0,$A1013&gt;AO$7)),0,MAX(0,ROUND((INDEX($E1013:$G1013,AO$5)-SUMIFS(TF_Timer,TF_Tekniker,AO$4,TF_Dato,$A1013))*2,0)/2)))</f>
        <v/>
      </c>
      <c r="AP1013">
        <f>IF(OR(AP$4="",$A1013&gt;TODAY()),0,IF(OR(INDEX($B1013:$D1013,AP$5)="F",AND(AP$6&gt;0,$A1013&lt;AP$6),AND(AP$7&gt;0,$A1013&gt;AP$7)),0,MAX(0,ROUND((INDEX($E1013:$G1013,AP$5)-SUMIFS(TF_Timer,TF_Tekniker,AP$4,TF_Dato,$A1013))*2,0)/2)))</f>
        <v/>
      </c>
      <c r="AQ1013">
        <f>IF(OR(AQ$4="",$A1013&gt;TODAY()),0,IF(OR(INDEX($B1013:$D1013,AQ$5)="F",AND(AQ$6&gt;0,$A1013&lt;AQ$6),AND(AQ$7&gt;0,$A1013&gt;AQ$7)),0,MAX(0,ROUND((INDEX($E1013:$G1013,AQ$5)-SUMIFS(TF_Timer,TF_Tekniker,AQ$4,TF_Dato,$A1013))*2,0)/2)))</f>
        <v/>
      </c>
      <c r="AR1013">
        <f>IF(OR(AR$4="",$A1013&gt;TODAY()),0,IF(OR(INDEX($B1013:$D1013,AR$5)="F",AND(AR$6&gt;0,$A1013&lt;AR$6),AND(AR$7&gt;0,$A1013&gt;AR$7)),0,MAX(0,ROUND((INDEX($E1013:$G1013,AR$5)-SUMIFS(TF_Timer,TF_Tekniker,AR$4,TF_Dato,$A1013))*2,0)/2)))</f>
        <v/>
      </c>
      <c r="AS1013">
        <f>IF(OR(AS$4="",$A1013&gt;TODAY()),0,IF(OR(INDEX($B1013:$D1013,AS$5)="F",AND(AS$6&gt;0,$A1013&lt;AS$6),AND(AS$7&gt;0,$A1013&gt;AS$7)),0,MAX(0,ROUND((INDEX($E1013:$G1013,AS$5)-SUMIFS(TF_Timer,TF_Tekniker,AS$4,TF_Dato,$A1013))*2,0)/2)))</f>
        <v/>
      </c>
      <c r="AT1013">
        <f>IF(OR(AT$4="",$A1013&gt;TODAY()),0,IF(OR(INDEX($B1013:$D1013,AT$5)="F",AND(AT$6&gt;0,$A1013&lt;AT$6),AND(AT$7&gt;0,$A1013&gt;AT$7)),0,MAX(0,ROUND((INDEX($E1013:$G1013,AT$5)-SUMIFS(TF_Timer,TF_Tekniker,AT$4,TF_Dato,$A1013))*2,0)/2)))</f>
        <v/>
      </c>
      <c r="AU1013">
        <f>IF(OR(AU$4="",$A1013&gt;TODAY()),0,IF(OR(INDEX($B1013:$D1013,AU$5)="F",AND(AU$6&gt;0,$A1013&lt;AU$6),AND(AU$7&gt;0,$A1013&gt;AU$7)),0,MAX(0,ROUND((INDEX($E1013:$G1013,AU$5)-SUMIFS(TF_Timer,TF_Tekniker,AU$4,TF_Dato,$A1013))*2,0)/2)))</f>
        <v/>
      </c>
      <c r="AV1013">
        <f>IF(OR(AV$4="",$A1013&gt;TODAY()),0,IF(OR(INDEX($B1013:$D1013,AV$5)="F",AND(AV$6&gt;0,$A1013&lt;AV$6),AND(AV$7&gt;0,$A1013&gt;AV$7)),0,MAX(0,ROUND((INDEX($E1013:$G1013,AV$5)-SUMIFS(TF_Timer,TF_Tekniker,AV$4,TF_Dato,$A1013))*2,0)/2)))</f>
        <v/>
      </c>
      <c r="AW1013">
        <f>IF(OR(AW$4="",$A1013&gt;TODAY()),0,IF(OR(INDEX($B1013:$D1013,AW$5)="F",AND(AW$6&gt;0,$A1013&lt;AW$6),AND(AW$7&gt;0,$A1013&gt;AW$7)),0,MAX(0,ROUND((INDEX($E1013:$G1013,AW$5)-SUMIFS(TF_Timer,TF_Tekniker,AW$4,TF_Dato,$A1013))*2,0)/2)))</f>
        <v/>
      </c>
      <c r="AX1013">
        <f>IF(OR(AX$4="",$A1013&gt;TODAY()),0,IF(OR(INDEX($B1013:$D1013,AX$5)="F",AND(AX$6&gt;0,$A1013&lt;AX$6),AND(AX$7&gt;0,$A1013&gt;AX$7)),0,MAX(0,ROUND((INDEX($E1013:$G1013,AX$5)-SUMIFS(TF_Timer,TF_Tekniker,AX$4,TF_Dato,$A1013))*2,0)/2)))</f>
        <v/>
      </c>
      <c r="AY1013">
        <f>IF(OR(AY$4="",$A1013&gt;TODAY()),0,IF(OR(INDEX($B1013:$D1013,AY$5)="F",AND(AY$6&gt;0,$A1013&lt;AY$6),AND(AY$7&gt;0,$A1013&gt;AY$7)),0,MAX(0,ROUND((INDEX($E1013:$G1013,AY$5)-SUMIFS(TF_Timer,TF_Tekniker,AY$4,TF_Dato,$A1013))*2,0)/2)))</f>
        <v/>
      </c>
      <c r="AZ1013">
        <f>IF(OR(AZ$4="",$A1013&gt;TODAY()),0,IF(OR(INDEX($B1013:$D1013,AZ$5)="F",AND(AZ$6&gt;0,$A1013&lt;AZ$6),AND(AZ$7&gt;0,$A1013&gt;AZ$7)),0,MAX(0,ROUND((INDEX($E1013:$G1013,AZ$5)-SUMIFS(TF_Timer,TF_Tekniker,AZ$4,TF_Dato,$A1013))*2,0)/2)))</f>
        <v/>
      </c>
      <c r="BA1013">
        <f>IF(OR(BA$4="",$A1013&gt;TODAY()),0,IF(OR(INDEX($B1013:$D1013,BA$5)="F",AND(BA$6&gt;0,$A1013&lt;BA$6),AND(BA$7&gt;0,$A1013&gt;BA$7)),0,MAX(0,ROUND((INDEX($E1013:$G1013,BA$5)-SUMIFS(TF_Timer,TF_Tekniker,BA$4,TF_Dato,$A1013))*2,0)/2)))</f>
        <v/>
      </c>
      <c r="BB1013">
        <f>IF(OR(BB$4="",$A1013&gt;TODAY()),0,IF(OR(INDEX($B1013:$D1013,BB$5)="F",AND(BB$6&gt;0,$A1013&lt;BB$6),AND(BB$7&gt;0,$A1013&gt;BB$7)),0,MAX(0,ROUND((INDEX($E1013:$G1013,BB$5)-SUMIFS(TF_Timer,TF_Tekniker,BB$4,TF_Dato,$A1013))*2,0)/2)))</f>
        <v/>
      </c>
      <c r="BC1013">
        <f>IF(OR(BC$4="",$A1013&gt;TODAY()),0,IF(OR(INDEX($B1013:$D1013,BC$5)="F",AND(BC$6&gt;0,$A1013&lt;BC$6),AND(BC$7&gt;0,$A1013&gt;BC$7)),0,MAX(0,ROUND((INDEX($E1013:$G1013,BC$5)-SUMIFS(TF_Timer,TF_Tekniker,BC$4,TF_Dato,$A1013))*2,0)/2)))</f>
        <v/>
      </c>
      <c r="BD1013">
        <f>IF(OR(BD$4="",$A1013&gt;TODAY()),0,IF(OR(INDEX($B1013:$D1013,BD$5)="F",AND(BD$6&gt;0,$A1013&lt;BD$6),AND(BD$7&gt;0,$A1013&gt;BD$7)),0,MAX(0,ROUND((INDEX($E1013:$G1013,BD$5)-SUMIFS(TF_Timer,TF_Tekniker,BD$4,TF_Dato,$A1013))*2,0)/2)))</f>
        <v/>
      </c>
      <c r="BE1013">
        <f>IF(OR(BE$4="",$A1013&gt;TODAY()),0,IF(OR(INDEX($B1013:$D1013,BE$5)="F",AND(BE$6&gt;0,$A1013&lt;BE$6),AND(BE$7&gt;0,$A1013&gt;BE$7)),0,MAX(0,ROUND((INDEX($E1013:$G1013,BE$5)-SUMIFS(TF_Timer,TF_Tekniker,BE$4,TF_Dato,$A1013))*2,0)/2)))</f>
        <v/>
      </c>
      <c r="BF1013">
        <f>IF(OR(BF$4="",$A1013&gt;TODAY()),0,IF(OR(INDEX($B1013:$D1013,BF$5)="F",AND(BF$6&gt;0,$A1013&lt;BF$6),AND(BF$7&gt;0,$A1013&gt;BF$7)),0,MAX(0,ROUND((INDEX($E1013:$G1013,BF$5)-SUMIFS(TF_Timer,TF_Tekniker,BF$4,TF_Dato,$A1013))*2,0)/2)))</f>
        <v/>
      </c>
      <c r="BG1013">
        <f>IF(OR(BG$4="",$A1013&gt;TODAY()),0,IF(OR(INDEX($B1013:$D1013,BG$5)="F",AND(BG$6&gt;0,$A1013&lt;BG$6),AND(BG$7&gt;0,$A1013&gt;BG$7)),0,MAX(0,ROUND((INDEX($E1013:$G1013,BG$5)-SUMIFS(TF_Timer,TF_Tekniker,BG$4,TF_Dato,$A1013))*2,0)/2)))</f>
        <v/>
      </c>
      <c r="BH1013">
        <f>IF(OR(BH$4="",$A1013&gt;TODAY()),0,IF(OR(INDEX($B1013:$D1013,BH$5)="F",AND(BH$6&gt;0,$A1013&lt;BH$6),AND(BH$7&gt;0,$A1013&gt;BH$7)),0,MAX(0,ROUND((INDEX($E1013:$G1013,BH$5)-SUMIFS(TF_Timer,TF_Tekniker,BH$4,TF_Dato,$A1013))*2,0)/2)))</f>
        <v/>
      </c>
      <c r="BI1013">
        <f>IF(OR(BI$4="",$A1013&gt;TODAY()),0,IF(OR(INDEX($B1013:$D1013,BI$5)="F",AND(BI$6&gt;0,$A1013&lt;BI$6),AND(BI$7&gt;0,$A1013&gt;BI$7)),0,MAX(0,ROUND((INDEX($E1013:$G1013,BI$5)-SUMIFS(TF_Timer,TF_Tekniker,BI$4,TF_Dato,$A1013))*2,0)/2)))</f>
        <v/>
      </c>
    </row>
    <row r="1014">
      <c r="A1014" s="64">
        <f>A1013+1</f>
        <v/>
      </c>
      <c r="B1014">
        <f>IF(MOD($A1014-INDEX(SkiftStart,1),Syklus)&lt;DagK,"K",IF(MOD($A1014-INDEX(SkiftStart,1),Syklus)&lt;DagK+DagH,"H",IF(MOD($A1014-INDEX(SkiftStart,1),Syklus)&lt;DagK+DagH+DagD,"D","F")))</f>
        <v/>
      </c>
      <c r="C1014">
        <f>IF(MOD($A1014-INDEX(SkiftStart,2),Syklus)&lt;DagK,"K",IF(MOD($A1014-INDEX(SkiftStart,2),Syklus)&lt;DagK+DagH,"H",IF(MOD($A1014-INDEX(SkiftStart,2),Syklus)&lt;DagK+DagH+DagD,"D","F")))</f>
        <v/>
      </c>
      <c r="D1014">
        <f>IF(MOD($A1014-INDEX(SkiftStart,3),Syklus)&lt;DagK,"K",IF(MOD($A1014-INDEX(SkiftStart,3),Syklus)&lt;DagK+DagH,"H",IF(MOD($A1014-INDEX(SkiftStart,3),Syklus)&lt;DagK+DagH+DagD,"D","F")))</f>
        <v/>
      </c>
      <c r="E1014">
        <f>IF(B1014="F",0,IF(WEEKDAY($A1014,2)=5,INDEX(TimerFr,MATCH(B1014,FaseKode,0)),INDEX(TimerMT,MATCH(B1014,FaseKode,0))))</f>
        <v/>
      </c>
      <c r="F1014">
        <f>IF(C1014="F",0,IF(WEEKDAY($A1014,2)=5,INDEX(TimerFr,MATCH(C1014,FaseKode,0)),INDEX(TimerMT,MATCH(C1014,FaseKode,0))))</f>
        <v/>
      </c>
      <c r="G1014">
        <f>IF(D1014="F",0,IF(WEEKDAY($A1014,2)=5,INDEX(TimerFr,MATCH(D1014,FaseKode,0)),INDEX(TimerMT,MATCH(D1014,FaseKode,0))))</f>
        <v/>
      </c>
      <c r="H1014">
        <f>IF(OR(H$4="",$A1014&gt;TODAY()),0,IF(OR(INDEX($B1014:$D1014,H$5)="F",AND(H$6&gt;0,$A1014&lt;H$6),AND(H$7&gt;0,$A1014&gt;H$7)),0,MAX(0,ROUND((INDEX($E1014:$G1014,H$5)-SUMIFS(TF_Timer,TF_Tekniker,H$4,TF_Dato,$A1014))*2,0)/2)))</f>
        <v/>
      </c>
      <c r="I1014">
        <f>IF(OR(I$4="",$A1014&gt;TODAY()),0,IF(OR(INDEX($B1014:$D1014,I$5)="F",AND(I$6&gt;0,$A1014&lt;I$6),AND(I$7&gt;0,$A1014&gt;I$7)),0,MAX(0,ROUND((INDEX($E1014:$G1014,I$5)-SUMIFS(TF_Timer,TF_Tekniker,I$4,TF_Dato,$A1014))*2,0)/2)))</f>
        <v/>
      </c>
      <c r="J1014">
        <f>IF(OR(J$4="",$A1014&gt;TODAY()),0,IF(OR(INDEX($B1014:$D1014,J$5)="F",AND(J$6&gt;0,$A1014&lt;J$6),AND(J$7&gt;0,$A1014&gt;J$7)),0,MAX(0,ROUND((INDEX($E1014:$G1014,J$5)-SUMIFS(TF_Timer,TF_Tekniker,J$4,TF_Dato,$A1014))*2,0)/2)))</f>
        <v/>
      </c>
      <c r="K1014">
        <f>IF(OR(K$4="",$A1014&gt;TODAY()),0,IF(OR(INDEX($B1014:$D1014,K$5)="F",AND(K$6&gt;0,$A1014&lt;K$6),AND(K$7&gt;0,$A1014&gt;K$7)),0,MAX(0,ROUND((INDEX($E1014:$G1014,K$5)-SUMIFS(TF_Timer,TF_Tekniker,K$4,TF_Dato,$A1014))*2,0)/2)))</f>
        <v/>
      </c>
      <c r="L1014">
        <f>IF(OR(L$4="",$A1014&gt;TODAY()),0,IF(OR(INDEX($B1014:$D1014,L$5)="F",AND(L$6&gt;0,$A1014&lt;L$6),AND(L$7&gt;0,$A1014&gt;L$7)),0,MAX(0,ROUND((INDEX($E1014:$G1014,L$5)-SUMIFS(TF_Timer,TF_Tekniker,L$4,TF_Dato,$A1014))*2,0)/2)))</f>
        <v/>
      </c>
      <c r="M1014">
        <f>IF(OR(M$4="",$A1014&gt;TODAY()),0,IF(OR(INDEX($B1014:$D1014,M$5)="F",AND(M$6&gt;0,$A1014&lt;M$6),AND(M$7&gt;0,$A1014&gt;M$7)),0,MAX(0,ROUND((INDEX($E1014:$G1014,M$5)-SUMIFS(TF_Timer,TF_Tekniker,M$4,TF_Dato,$A1014))*2,0)/2)))</f>
        <v/>
      </c>
      <c r="N1014">
        <f>IF(OR(N$4="",$A1014&gt;TODAY()),0,IF(OR(INDEX($B1014:$D1014,N$5)="F",AND(N$6&gt;0,$A1014&lt;N$6),AND(N$7&gt;0,$A1014&gt;N$7)),0,MAX(0,ROUND((INDEX($E1014:$G1014,N$5)-SUMIFS(TF_Timer,TF_Tekniker,N$4,TF_Dato,$A1014))*2,0)/2)))</f>
        <v/>
      </c>
      <c r="O1014">
        <f>IF(OR(O$4="",$A1014&gt;TODAY()),0,IF(OR(INDEX($B1014:$D1014,O$5)="F",AND(O$6&gt;0,$A1014&lt;O$6),AND(O$7&gt;0,$A1014&gt;O$7)),0,MAX(0,ROUND((INDEX($E1014:$G1014,O$5)-SUMIFS(TF_Timer,TF_Tekniker,O$4,TF_Dato,$A1014))*2,0)/2)))</f>
        <v/>
      </c>
      <c r="P1014">
        <f>IF(OR(P$4="",$A1014&gt;TODAY()),0,IF(OR(INDEX($B1014:$D1014,P$5)="F",AND(P$6&gt;0,$A1014&lt;P$6),AND(P$7&gt;0,$A1014&gt;P$7)),0,MAX(0,ROUND((INDEX($E1014:$G1014,P$5)-SUMIFS(TF_Timer,TF_Tekniker,P$4,TF_Dato,$A1014))*2,0)/2)))</f>
        <v/>
      </c>
      <c r="Q1014">
        <f>IF(OR(Q$4="",$A1014&gt;TODAY()),0,IF(OR(INDEX($B1014:$D1014,Q$5)="F",AND(Q$6&gt;0,$A1014&lt;Q$6),AND(Q$7&gt;0,$A1014&gt;Q$7)),0,MAX(0,ROUND((INDEX($E1014:$G1014,Q$5)-SUMIFS(TF_Timer,TF_Tekniker,Q$4,TF_Dato,$A1014))*2,0)/2)))</f>
        <v/>
      </c>
      <c r="R1014">
        <f>IF(OR(R$4="",$A1014&gt;TODAY()),0,IF(OR(INDEX($B1014:$D1014,R$5)="F",AND(R$6&gt;0,$A1014&lt;R$6),AND(R$7&gt;0,$A1014&gt;R$7)),0,MAX(0,ROUND((INDEX($E1014:$G1014,R$5)-SUMIFS(TF_Timer,TF_Tekniker,R$4,TF_Dato,$A1014))*2,0)/2)))</f>
        <v/>
      </c>
      <c r="S1014">
        <f>IF(OR(S$4="",$A1014&gt;TODAY()),0,IF(OR(INDEX($B1014:$D1014,S$5)="F",AND(S$6&gt;0,$A1014&lt;S$6),AND(S$7&gt;0,$A1014&gt;S$7)),0,MAX(0,ROUND((INDEX($E1014:$G1014,S$5)-SUMIFS(TF_Timer,TF_Tekniker,S$4,TF_Dato,$A1014))*2,0)/2)))</f>
        <v/>
      </c>
      <c r="T1014">
        <f>IF(OR(T$4="",$A1014&gt;TODAY()),0,IF(OR(INDEX($B1014:$D1014,T$5)="F",AND(T$6&gt;0,$A1014&lt;T$6),AND(T$7&gt;0,$A1014&gt;T$7)),0,MAX(0,ROUND((INDEX($E1014:$G1014,T$5)-SUMIFS(TF_Timer,TF_Tekniker,T$4,TF_Dato,$A1014))*2,0)/2)))</f>
        <v/>
      </c>
      <c r="U1014">
        <f>IF(OR(U$4="",$A1014&gt;TODAY()),0,IF(OR(INDEX($B1014:$D1014,U$5)="F",AND(U$6&gt;0,$A1014&lt;U$6),AND(U$7&gt;0,$A1014&gt;U$7)),0,MAX(0,ROUND((INDEX($E1014:$G1014,U$5)-SUMIFS(TF_Timer,TF_Tekniker,U$4,TF_Dato,$A1014))*2,0)/2)))</f>
        <v/>
      </c>
      <c r="V1014">
        <f>IF(OR(V$4="",$A1014&gt;TODAY()),0,IF(OR(INDEX($B1014:$D1014,V$5)="F",AND(V$6&gt;0,$A1014&lt;V$6),AND(V$7&gt;0,$A1014&gt;V$7)),0,MAX(0,ROUND((INDEX($E1014:$G1014,V$5)-SUMIFS(TF_Timer,TF_Tekniker,V$4,TF_Dato,$A1014))*2,0)/2)))</f>
        <v/>
      </c>
      <c r="W1014">
        <f>IF(OR(W$4="",$A1014&gt;TODAY()),0,IF(OR(INDEX($B1014:$D1014,W$5)="F",AND(W$6&gt;0,$A1014&lt;W$6),AND(W$7&gt;0,$A1014&gt;W$7)),0,MAX(0,ROUND((INDEX($E1014:$G1014,W$5)-SUMIFS(TF_Timer,TF_Tekniker,W$4,TF_Dato,$A1014))*2,0)/2)))</f>
        <v/>
      </c>
      <c r="X1014">
        <f>IF(OR(X$4="",$A1014&gt;TODAY()),0,IF(OR(INDEX($B1014:$D1014,X$5)="F",AND(X$6&gt;0,$A1014&lt;X$6),AND(X$7&gt;0,$A1014&gt;X$7)),0,MAX(0,ROUND((INDEX($E1014:$G1014,X$5)-SUMIFS(TF_Timer,TF_Tekniker,X$4,TF_Dato,$A1014))*2,0)/2)))</f>
        <v/>
      </c>
      <c r="Y1014">
        <f>IF(OR(Y$4="",$A1014&gt;TODAY()),0,IF(OR(INDEX($B1014:$D1014,Y$5)="F",AND(Y$6&gt;0,$A1014&lt;Y$6),AND(Y$7&gt;0,$A1014&gt;Y$7)),0,MAX(0,ROUND((INDEX($E1014:$G1014,Y$5)-SUMIFS(TF_Timer,TF_Tekniker,Y$4,TF_Dato,$A1014))*2,0)/2)))</f>
        <v/>
      </c>
      <c r="Z1014">
        <f>IF(OR(Z$4="",$A1014&gt;TODAY()),0,IF(OR(INDEX($B1014:$D1014,Z$5)="F",AND(Z$6&gt;0,$A1014&lt;Z$6),AND(Z$7&gt;0,$A1014&gt;Z$7)),0,MAX(0,ROUND((INDEX($E1014:$G1014,Z$5)-SUMIFS(TF_Timer,TF_Tekniker,Z$4,TF_Dato,$A1014))*2,0)/2)))</f>
        <v/>
      </c>
      <c r="AA1014">
        <f>IF(OR(AA$4="",$A1014&gt;TODAY()),0,IF(OR(INDEX($B1014:$D1014,AA$5)="F",AND(AA$6&gt;0,$A1014&lt;AA$6),AND(AA$7&gt;0,$A1014&gt;AA$7)),0,MAX(0,ROUND((INDEX($E1014:$G1014,AA$5)-SUMIFS(TF_Timer,TF_Tekniker,AA$4,TF_Dato,$A1014))*2,0)/2)))</f>
        <v/>
      </c>
      <c r="AB1014">
        <f>IF(OR(AB$4="",$A1014&gt;TODAY()),0,IF(OR(INDEX($B1014:$D1014,AB$5)="F",AND(AB$6&gt;0,$A1014&lt;AB$6),AND(AB$7&gt;0,$A1014&gt;AB$7)),0,MAX(0,ROUND((INDEX($E1014:$G1014,AB$5)-SUMIFS(TF_Timer,TF_Tekniker,AB$4,TF_Dato,$A1014))*2,0)/2)))</f>
        <v/>
      </c>
      <c r="AC1014">
        <f>IF(OR(AC$4="",$A1014&gt;TODAY()),0,IF(OR(INDEX($B1014:$D1014,AC$5)="F",AND(AC$6&gt;0,$A1014&lt;AC$6),AND(AC$7&gt;0,$A1014&gt;AC$7)),0,MAX(0,ROUND((INDEX($E1014:$G1014,AC$5)-SUMIFS(TF_Timer,TF_Tekniker,AC$4,TF_Dato,$A1014))*2,0)/2)))</f>
        <v/>
      </c>
      <c r="AD1014">
        <f>IF(OR(AD$4="",$A1014&gt;TODAY()),0,IF(OR(INDEX($B1014:$D1014,AD$5)="F",AND(AD$6&gt;0,$A1014&lt;AD$6),AND(AD$7&gt;0,$A1014&gt;AD$7)),0,MAX(0,ROUND((INDEX($E1014:$G1014,AD$5)-SUMIFS(TF_Timer,TF_Tekniker,AD$4,TF_Dato,$A1014))*2,0)/2)))</f>
        <v/>
      </c>
      <c r="AE1014">
        <f>IF(OR(AE$4="",$A1014&gt;TODAY()),0,IF(OR(INDEX($B1014:$D1014,AE$5)="F",AND(AE$6&gt;0,$A1014&lt;AE$6),AND(AE$7&gt;0,$A1014&gt;AE$7)),0,MAX(0,ROUND((INDEX($E1014:$G1014,AE$5)-SUMIFS(TF_Timer,TF_Tekniker,AE$4,TF_Dato,$A1014))*2,0)/2)))</f>
        <v/>
      </c>
      <c r="AF1014">
        <f>IF(OR(AF$4="",$A1014&gt;TODAY()),0,IF(OR(INDEX($B1014:$D1014,AF$5)="F",AND(AF$6&gt;0,$A1014&lt;AF$6),AND(AF$7&gt;0,$A1014&gt;AF$7)),0,MAX(0,ROUND((INDEX($E1014:$G1014,AF$5)-SUMIFS(TF_Timer,TF_Tekniker,AF$4,TF_Dato,$A1014))*2,0)/2)))</f>
        <v/>
      </c>
      <c r="AG1014">
        <f>IF(OR(AG$4="",$A1014&gt;TODAY()),0,IF(OR(INDEX($B1014:$D1014,AG$5)="F",AND(AG$6&gt;0,$A1014&lt;AG$6),AND(AG$7&gt;0,$A1014&gt;AG$7)),0,MAX(0,ROUND((INDEX($E1014:$G1014,AG$5)-SUMIFS(TF_Timer,TF_Tekniker,AG$4,TF_Dato,$A1014))*2,0)/2)))</f>
        <v/>
      </c>
      <c r="AH1014">
        <f>IF(OR(AH$4="",$A1014&gt;TODAY()),0,IF(OR(INDEX($B1014:$D1014,AH$5)="F",AND(AH$6&gt;0,$A1014&lt;AH$6),AND(AH$7&gt;0,$A1014&gt;AH$7)),0,MAX(0,ROUND((INDEX($E1014:$G1014,AH$5)-SUMIFS(TF_Timer,TF_Tekniker,AH$4,TF_Dato,$A1014))*2,0)/2)))</f>
        <v/>
      </c>
      <c r="AI1014">
        <f>IF(OR(AI$4="",$A1014&gt;TODAY()),0,IF(OR(INDEX($B1014:$D1014,AI$5)="F",AND(AI$6&gt;0,$A1014&lt;AI$6),AND(AI$7&gt;0,$A1014&gt;AI$7)),0,MAX(0,ROUND((INDEX($E1014:$G1014,AI$5)-SUMIFS(TF_Timer,TF_Tekniker,AI$4,TF_Dato,$A1014))*2,0)/2)))</f>
        <v/>
      </c>
      <c r="AJ1014">
        <f>IF(OR(AJ$4="",$A1014&gt;TODAY()),0,IF(OR(INDEX($B1014:$D1014,AJ$5)="F",AND(AJ$6&gt;0,$A1014&lt;AJ$6),AND(AJ$7&gt;0,$A1014&gt;AJ$7)),0,MAX(0,ROUND((INDEX($E1014:$G1014,AJ$5)-SUMIFS(TF_Timer,TF_Tekniker,AJ$4,TF_Dato,$A1014))*2,0)/2)))</f>
        <v/>
      </c>
      <c r="AK1014">
        <f>IF(OR(AK$4="",$A1014&gt;TODAY()),0,IF(OR(INDEX($B1014:$D1014,AK$5)="F",AND(AK$6&gt;0,$A1014&lt;AK$6),AND(AK$7&gt;0,$A1014&gt;AK$7)),0,MAX(0,ROUND((INDEX($E1014:$G1014,AK$5)-SUMIFS(TF_Timer,TF_Tekniker,AK$4,TF_Dato,$A1014))*2,0)/2)))</f>
        <v/>
      </c>
      <c r="AL1014">
        <f>IF(OR(AL$4="",$A1014&gt;TODAY()),0,IF(OR(INDEX($B1014:$D1014,AL$5)="F",AND(AL$6&gt;0,$A1014&lt;AL$6),AND(AL$7&gt;0,$A1014&gt;AL$7)),0,MAX(0,ROUND((INDEX($E1014:$G1014,AL$5)-SUMIFS(TF_Timer,TF_Tekniker,AL$4,TF_Dato,$A1014))*2,0)/2)))</f>
        <v/>
      </c>
      <c r="AM1014">
        <f>IF(OR(AM$4="",$A1014&gt;TODAY()),0,IF(OR(INDEX($B1014:$D1014,AM$5)="F",AND(AM$6&gt;0,$A1014&lt;AM$6),AND(AM$7&gt;0,$A1014&gt;AM$7)),0,MAX(0,ROUND((INDEX($E1014:$G1014,AM$5)-SUMIFS(TF_Timer,TF_Tekniker,AM$4,TF_Dato,$A1014))*2,0)/2)))</f>
        <v/>
      </c>
      <c r="AN1014">
        <f>IF(OR(AN$4="",$A1014&gt;TODAY()),0,IF(OR(INDEX($B1014:$D1014,AN$5)="F",AND(AN$6&gt;0,$A1014&lt;AN$6),AND(AN$7&gt;0,$A1014&gt;AN$7)),0,MAX(0,ROUND((INDEX($E1014:$G1014,AN$5)-SUMIFS(TF_Timer,TF_Tekniker,AN$4,TF_Dato,$A1014))*2,0)/2)))</f>
        <v/>
      </c>
      <c r="AO1014">
        <f>IF(OR(AO$4="",$A1014&gt;TODAY()),0,IF(OR(INDEX($B1014:$D1014,AO$5)="F",AND(AO$6&gt;0,$A1014&lt;AO$6),AND(AO$7&gt;0,$A1014&gt;AO$7)),0,MAX(0,ROUND((INDEX($E1014:$G1014,AO$5)-SUMIFS(TF_Timer,TF_Tekniker,AO$4,TF_Dato,$A1014))*2,0)/2)))</f>
        <v/>
      </c>
      <c r="AP1014">
        <f>IF(OR(AP$4="",$A1014&gt;TODAY()),0,IF(OR(INDEX($B1014:$D1014,AP$5)="F",AND(AP$6&gt;0,$A1014&lt;AP$6),AND(AP$7&gt;0,$A1014&gt;AP$7)),0,MAX(0,ROUND((INDEX($E1014:$G1014,AP$5)-SUMIFS(TF_Timer,TF_Tekniker,AP$4,TF_Dato,$A1014))*2,0)/2)))</f>
        <v/>
      </c>
      <c r="AQ1014">
        <f>IF(OR(AQ$4="",$A1014&gt;TODAY()),0,IF(OR(INDEX($B1014:$D1014,AQ$5)="F",AND(AQ$6&gt;0,$A1014&lt;AQ$6),AND(AQ$7&gt;0,$A1014&gt;AQ$7)),0,MAX(0,ROUND((INDEX($E1014:$G1014,AQ$5)-SUMIFS(TF_Timer,TF_Tekniker,AQ$4,TF_Dato,$A1014))*2,0)/2)))</f>
        <v/>
      </c>
      <c r="AR1014">
        <f>IF(OR(AR$4="",$A1014&gt;TODAY()),0,IF(OR(INDEX($B1014:$D1014,AR$5)="F",AND(AR$6&gt;0,$A1014&lt;AR$6),AND(AR$7&gt;0,$A1014&gt;AR$7)),0,MAX(0,ROUND((INDEX($E1014:$G1014,AR$5)-SUMIFS(TF_Timer,TF_Tekniker,AR$4,TF_Dato,$A1014))*2,0)/2)))</f>
        <v/>
      </c>
      <c r="AS1014">
        <f>IF(OR(AS$4="",$A1014&gt;TODAY()),0,IF(OR(INDEX($B1014:$D1014,AS$5)="F",AND(AS$6&gt;0,$A1014&lt;AS$6),AND(AS$7&gt;0,$A1014&gt;AS$7)),0,MAX(0,ROUND((INDEX($E1014:$G1014,AS$5)-SUMIFS(TF_Timer,TF_Tekniker,AS$4,TF_Dato,$A1014))*2,0)/2)))</f>
        <v/>
      </c>
      <c r="AT1014">
        <f>IF(OR(AT$4="",$A1014&gt;TODAY()),0,IF(OR(INDEX($B1014:$D1014,AT$5)="F",AND(AT$6&gt;0,$A1014&lt;AT$6),AND(AT$7&gt;0,$A1014&gt;AT$7)),0,MAX(0,ROUND((INDEX($E1014:$G1014,AT$5)-SUMIFS(TF_Timer,TF_Tekniker,AT$4,TF_Dato,$A1014))*2,0)/2)))</f>
        <v/>
      </c>
      <c r="AU1014">
        <f>IF(OR(AU$4="",$A1014&gt;TODAY()),0,IF(OR(INDEX($B1014:$D1014,AU$5)="F",AND(AU$6&gt;0,$A1014&lt;AU$6),AND(AU$7&gt;0,$A1014&gt;AU$7)),0,MAX(0,ROUND((INDEX($E1014:$G1014,AU$5)-SUMIFS(TF_Timer,TF_Tekniker,AU$4,TF_Dato,$A1014))*2,0)/2)))</f>
        <v/>
      </c>
      <c r="AV1014">
        <f>IF(OR(AV$4="",$A1014&gt;TODAY()),0,IF(OR(INDEX($B1014:$D1014,AV$5)="F",AND(AV$6&gt;0,$A1014&lt;AV$6),AND(AV$7&gt;0,$A1014&gt;AV$7)),0,MAX(0,ROUND((INDEX($E1014:$G1014,AV$5)-SUMIFS(TF_Timer,TF_Tekniker,AV$4,TF_Dato,$A1014))*2,0)/2)))</f>
        <v/>
      </c>
      <c r="AW1014">
        <f>IF(OR(AW$4="",$A1014&gt;TODAY()),0,IF(OR(INDEX($B1014:$D1014,AW$5)="F",AND(AW$6&gt;0,$A1014&lt;AW$6),AND(AW$7&gt;0,$A1014&gt;AW$7)),0,MAX(0,ROUND((INDEX($E1014:$G1014,AW$5)-SUMIFS(TF_Timer,TF_Tekniker,AW$4,TF_Dato,$A1014))*2,0)/2)))</f>
        <v/>
      </c>
      <c r="AX1014">
        <f>IF(OR(AX$4="",$A1014&gt;TODAY()),0,IF(OR(INDEX($B1014:$D1014,AX$5)="F",AND(AX$6&gt;0,$A1014&lt;AX$6),AND(AX$7&gt;0,$A1014&gt;AX$7)),0,MAX(0,ROUND((INDEX($E1014:$G1014,AX$5)-SUMIFS(TF_Timer,TF_Tekniker,AX$4,TF_Dato,$A1014))*2,0)/2)))</f>
        <v/>
      </c>
      <c r="AY1014">
        <f>IF(OR(AY$4="",$A1014&gt;TODAY()),0,IF(OR(INDEX($B1014:$D1014,AY$5)="F",AND(AY$6&gt;0,$A1014&lt;AY$6),AND(AY$7&gt;0,$A1014&gt;AY$7)),0,MAX(0,ROUND((INDEX($E1014:$G1014,AY$5)-SUMIFS(TF_Timer,TF_Tekniker,AY$4,TF_Dato,$A1014))*2,0)/2)))</f>
        <v/>
      </c>
      <c r="AZ1014">
        <f>IF(OR(AZ$4="",$A1014&gt;TODAY()),0,IF(OR(INDEX($B1014:$D1014,AZ$5)="F",AND(AZ$6&gt;0,$A1014&lt;AZ$6),AND(AZ$7&gt;0,$A1014&gt;AZ$7)),0,MAX(0,ROUND((INDEX($E1014:$G1014,AZ$5)-SUMIFS(TF_Timer,TF_Tekniker,AZ$4,TF_Dato,$A1014))*2,0)/2)))</f>
        <v/>
      </c>
      <c r="BA1014">
        <f>IF(OR(BA$4="",$A1014&gt;TODAY()),0,IF(OR(INDEX($B1014:$D1014,BA$5)="F",AND(BA$6&gt;0,$A1014&lt;BA$6),AND(BA$7&gt;0,$A1014&gt;BA$7)),0,MAX(0,ROUND((INDEX($E1014:$G1014,BA$5)-SUMIFS(TF_Timer,TF_Tekniker,BA$4,TF_Dato,$A1014))*2,0)/2)))</f>
        <v/>
      </c>
      <c r="BB1014">
        <f>IF(OR(BB$4="",$A1014&gt;TODAY()),0,IF(OR(INDEX($B1014:$D1014,BB$5)="F",AND(BB$6&gt;0,$A1014&lt;BB$6),AND(BB$7&gt;0,$A1014&gt;BB$7)),0,MAX(0,ROUND((INDEX($E1014:$G1014,BB$5)-SUMIFS(TF_Timer,TF_Tekniker,BB$4,TF_Dato,$A1014))*2,0)/2)))</f>
        <v/>
      </c>
      <c r="BC1014">
        <f>IF(OR(BC$4="",$A1014&gt;TODAY()),0,IF(OR(INDEX($B1014:$D1014,BC$5)="F",AND(BC$6&gt;0,$A1014&lt;BC$6),AND(BC$7&gt;0,$A1014&gt;BC$7)),0,MAX(0,ROUND((INDEX($E1014:$G1014,BC$5)-SUMIFS(TF_Timer,TF_Tekniker,BC$4,TF_Dato,$A1014))*2,0)/2)))</f>
        <v/>
      </c>
      <c r="BD1014">
        <f>IF(OR(BD$4="",$A1014&gt;TODAY()),0,IF(OR(INDEX($B1014:$D1014,BD$5)="F",AND(BD$6&gt;0,$A1014&lt;BD$6),AND(BD$7&gt;0,$A1014&gt;BD$7)),0,MAX(0,ROUND((INDEX($E1014:$G1014,BD$5)-SUMIFS(TF_Timer,TF_Tekniker,BD$4,TF_Dato,$A1014))*2,0)/2)))</f>
        <v/>
      </c>
      <c r="BE1014">
        <f>IF(OR(BE$4="",$A1014&gt;TODAY()),0,IF(OR(INDEX($B1014:$D1014,BE$5)="F",AND(BE$6&gt;0,$A1014&lt;BE$6),AND(BE$7&gt;0,$A1014&gt;BE$7)),0,MAX(0,ROUND((INDEX($E1014:$G1014,BE$5)-SUMIFS(TF_Timer,TF_Tekniker,BE$4,TF_Dato,$A1014))*2,0)/2)))</f>
        <v/>
      </c>
      <c r="BF1014">
        <f>IF(OR(BF$4="",$A1014&gt;TODAY()),0,IF(OR(INDEX($B1014:$D1014,BF$5)="F",AND(BF$6&gt;0,$A1014&lt;BF$6),AND(BF$7&gt;0,$A1014&gt;BF$7)),0,MAX(0,ROUND((INDEX($E1014:$G1014,BF$5)-SUMIFS(TF_Timer,TF_Tekniker,BF$4,TF_Dato,$A1014))*2,0)/2)))</f>
        <v/>
      </c>
      <c r="BG1014">
        <f>IF(OR(BG$4="",$A1014&gt;TODAY()),0,IF(OR(INDEX($B1014:$D1014,BG$5)="F",AND(BG$6&gt;0,$A1014&lt;BG$6),AND(BG$7&gt;0,$A1014&gt;BG$7)),0,MAX(0,ROUND((INDEX($E1014:$G1014,BG$5)-SUMIFS(TF_Timer,TF_Tekniker,BG$4,TF_Dato,$A1014))*2,0)/2)))</f>
        <v/>
      </c>
      <c r="BH1014">
        <f>IF(OR(BH$4="",$A1014&gt;TODAY()),0,IF(OR(INDEX($B1014:$D1014,BH$5)="F",AND(BH$6&gt;0,$A1014&lt;BH$6),AND(BH$7&gt;0,$A1014&gt;BH$7)),0,MAX(0,ROUND((INDEX($E1014:$G1014,BH$5)-SUMIFS(TF_Timer,TF_Tekniker,BH$4,TF_Dato,$A1014))*2,0)/2)))</f>
        <v/>
      </c>
      <c r="BI1014">
        <f>IF(OR(BI$4="",$A1014&gt;TODAY()),0,IF(OR(INDEX($B1014:$D1014,BI$5)="F",AND(BI$6&gt;0,$A1014&lt;BI$6),AND(BI$7&gt;0,$A1014&gt;BI$7)),0,MAX(0,ROUND((INDEX($E1014:$G1014,BI$5)-SUMIFS(TF_Timer,TF_Tekniker,BI$4,TF_Dato,$A1014))*2,0)/2)))</f>
        <v/>
      </c>
    </row>
    <row r="1015">
      <c r="A1015" s="64">
        <f>A1014+1</f>
        <v/>
      </c>
      <c r="B1015">
        <f>IF(MOD($A1015-INDEX(SkiftStart,1),Syklus)&lt;DagK,"K",IF(MOD($A1015-INDEX(SkiftStart,1),Syklus)&lt;DagK+DagH,"H",IF(MOD($A1015-INDEX(SkiftStart,1),Syklus)&lt;DagK+DagH+DagD,"D","F")))</f>
        <v/>
      </c>
      <c r="C1015">
        <f>IF(MOD($A1015-INDEX(SkiftStart,2),Syklus)&lt;DagK,"K",IF(MOD($A1015-INDEX(SkiftStart,2),Syklus)&lt;DagK+DagH,"H",IF(MOD($A1015-INDEX(SkiftStart,2),Syklus)&lt;DagK+DagH+DagD,"D","F")))</f>
        <v/>
      </c>
      <c r="D1015">
        <f>IF(MOD($A1015-INDEX(SkiftStart,3),Syklus)&lt;DagK,"K",IF(MOD($A1015-INDEX(SkiftStart,3),Syklus)&lt;DagK+DagH,"H",IF(MOD($A1015-INDEX(SkiftStart,3),Syklus)&lt;DagK+DagH+DagD,"D","F")))</f>
        <v/>
      </c>
      <c r="E1015">
        <f>IF(B1015="F",0,IF(WEEKDAY($A1015,2)=5,INDEX(TimerFr,MATCH(B1015,FaseKode,0)),INDEX(TimerMT,MATCH(B1015,FaseKode,0))))</f>
        <v/>
      </c>
      <c r="F1015">
        <f>IF(C1015="F",0,IF(WEEKDAY($A1015,2)=5,INDEX(TimerFr,MATCH(C1015,FaseKode,0)),INDEX(TimerMT,MATCH(C1015,FaseKode,0))))</f>
        <v/>
      </c>
      <c r="G1015">
        <f>IF(D1015="F",0,IF(WEEKDAY($A1015,2)=5,INDEX(TimerFr,MATCH(D1015,FaseKode,0)),INDEX(TimerMT,MATCH(D1015,FaseKode,0))))</f>
        <v/>
      </c>
      <c r="H1015">
        <f>IF(OR(H$4="",$A1015&gt;TODAY()),0,IF(OR(INDEX($B1015:$D1015,H$5)="F",AND(H$6&gt;0,$A1015&lt;H$6),AND(H$7&gt;0,$A1015&gt;H$7)),0,MAX(0,ROUND((INDEX($E1015:$G1015,H$5)-SUMIFS(TF_Timer,TF_Tekniker,H$4,TF_Dato,$A1015))*2,0)/2)))</f>
        <v/>
      </c>
      <c r="I1015">
        <f>IF(OR(I$4="",$A1015&gt;TODAY()),0,IF(OR(INDEX($B1015:$D1015,I$5)="F",AND(I$6&gt;0,$A1015&lt;I$6),AND(I$7&gt;0,$A1015&gt;I$7)),0,MAX(0,ROUND((INDEX($E1015:$G1015,I$5)-SUMIFS(TF_Timer,TF_Tekniker,I$4,TF_Dato,$A1015))*2,0)/2)))</f>
        <v/>
      </c>
      <c r="J1015">
        <f>IF(OR(J$4="",$A1015&gt;TODAY()),0,IF(OR(INDEX($B1015:$D1015,J$5)="F",AND(J$6&gt;0,$A1015&lt;J$6),AND(J$7&gt;0,$A1015&gt;J$7)),0,MAX(0,ROUND((INDEX($E1015:$G1015,J$5)-SUMIFS(TF_Timer,TF_Tekniker,J$4,TF_Dato,$A1015))*2,0)/2)))</f>
        <v/>
      </c>
      <c r="K1015">
        <f>IF(OR(K$4="",$A1015&gt;TODAY()),0,IF(OR(INDEX($B1015:$D1015,K$5)="F",AND(K$6&gt;0,$A1015&lt;K$6),AND(K$7&gt;0,$A1015&gt;K$7)),0,MAX(0,ROUND((INDEX($E1015:$G1015,K$5)-SUMIFS(TF_Timer,TF_Tekniker,K$4,TF_Dato,$A1015))*2,0)/2)))</f>
        <v/>
      </c>
      <c r="L1015">
        <f>IF(OR(L$4="",$A1015&gt;TODAY()),0,IF(OR(INDEX($B1015:$D1015,L$5)="F",AND(L$6&gt;0,$A1015&lt;L$6),AND(L$7&gt;0,$A1015&gt;L$7)),0,MAX(0,ROUND((INDEX($E1015:$G1015,L$5)-SUMIFS(TF_Timer,TF_Tekniker,L$4,TF_Dato,$A1015))*2,0)/2)))</f>
        <v/>
      </c>
      <c r="M1015">
        <f>IF(OR(M$4="",$A1015&gt;TODAY()),0,IF(OR(INDEX($B1015:$D1015,M$5)="F",AND(M$6&gt;0,$A1015&lt;M$6),AND(M$7&gt;0,$A1015&gt;M$7)),0,MAX(0,ROUND((INDEX($E1015:$G1015,M$5)-SUMIFS(TF_Timer,TF_Tekniker,M$4,TF_Dato,$A1015))*2,0)/2)))</f>
        <v/>
      </c>
      <c r="N1015">
        <f>IF(OR(N$4="",$A1015&gt;TODAY()),0,IF(OR(INDEX($B1015:$D1015,N$5)="F",AND(N$6&gt;0,$A1015&lt;N$6),AND(N$7&gt;0,$A1015&gt;N$7)),0,MAX(0,ROUND((INDEX($E1015:$G1015,N$5)-SUMIFS(TF_Timer,TF_Tekniker,N$4,TF_Dato,$A1015))*2,0)/2)))</f>
        <v/>
      </c>
      <c r="O1015">
        <f>IF(OR(O$4="",$A1015&gt;TODAY()),0,IF(OR(INDEX($B1015:$D1015,O$5)="F",AND(O$6&gt;0,$A1015&lt;O$6),AND(O$7&gt;0,$A1015&gt;O$7)),0,MAX(0,ROUND((INDEX($E1015:$G1015,O$5)-SUMIFS(TF_Timer,TF_Tekniker,O$4,TF_Dato,$A1015))*2,0)/2)))</f>
        <v/>
      </c>
      <c r="P1015">
        <f>IF(OR(P$4="",$A1015&gt;TODAY()),0,IF(OR(INDEX($B1015:$D1015,P$5)="F",AND(P$6&gt;0,$A1015&lt;P$6),AND(P$7&gt;0,$A1015&gt;P$7)),0,MAX(0,ROUND((INDEX($E1015:$G1015,P$5)-SUMIFS(TF_Timer,TF_Tekniker,P$4,TF_Dato,$A1015))*2,0)/2)))</f>
        <v/>
      </c>
      <c r="Q1015">
        <f>IF(OR(Q$4="",$A1015&gt;TODAY()),0,IF(OR(INDEX($B1015:$D1015,Q$5)="F",AND(Q$6&gt;0,$A1015&lt;Q$6),AND(Q$7&gt;0,$A1015&gt;Q$7)),0,MAX(0,ROUND((INDEX($E1015:$G1015,Q$5)-SUMIFS(TF_Timer,TF_Tekniker,Q$4,TF_Dato,$A1015))*2,0)/2)))</f>
        <v/>
      </c>
      <c r="R1015">
        <f>IF(OR(R$4="",$A1015&gt;TODAY()),0,IF(OR(INDEX($B1015:$D1015,R$5)="F",AND(R$6&gt;0,$A1015&lt;R$6),AND(R$7&gt;0,$A1015&gt;R$7)),0,MAX(0,ROUND((INDEX($E1015:$G1015,R$5)-SUMIFS(TF_Timer,TF_Tekniker,R$4,TF_Dato,$A1015))*2,0)/2)))</f>
        <v/>
      </c>
      <c r="S1015">
        <f>IF(OR(S$4="",$A1015&gt;TODAY()),0,IF(OR(INDEX($B1015:$D1015,S$5)="F",AND(S$6&gt;0,$A1015&lt;S$6),AND(S$7&gt;0,$A1015&gt;S$7)),0,MAX(0,ROUND((INDEX($E1015:$G1015,S$5)-SUMIFS(TF_Timer,TF_Tekniker,S$4,TF_Dato,$A1015))*2,0)/2)))</f>
        <v/>
      </c>
      <c r="T1015">
        <f>IF(OR(T$4="",$A1015&gt;TODAY()),0,IF(OR(INDEX($B1015:$D1015,T$5)="F",AND(T$6&gt;0,$A1015&lt;T$6),AND(T$7&gt;0,$A1015&gt;T$7)),0,MAX(0,ROUND((INDEX($E1015:$G1015,T$5)-SUMIFS(TF_Timer,TF_Tekniker,T$4,TF_Dato,$A1015))*2,0)/2)))</f>
        <v/>
      </c>
      <c r="U1015">
        <f>IF(OR(U$4="",$A1015&gt;TODAY()),0,IF(OR(INDEX($B1015:$D1015,U$5)="F",AND(U$6&gt;0,$A1015&lt;U$6),AND(U$7&gt;0,$A1015&gt;U$7)),0,MAX(0,ROUND((INDEX($E1015:$G1015,U$5)-SUMIFS(TF_Timer,TF_Tekniker,U$4,TF_Dato,$A1015))*2,0)/2)))</f>
        <v/>
      </c>
      <c r="V1015">
        <f>IF(OR(V$4="",$A1015&gt;TODAY()),0,IF(OR(INDEX($B1015:$D1015,V$5)="F",AND(V$6&gt;0,$A1015&lt;V$6),AND(V$7&gt;0,$A1015&gt;V$7)),0,MAX(0,ROUND((INDEX($E1015:$G1015,V$5)-SUMIFS(TF_Timer,TF_Tekniker,V$4,TF_Dato,$A1015))*2,0)/2)))</f>
        <v/>
      </c>
      <c r="W1015">
        <f>IF(OR(W$4="",$A1015&gt;TODAY()),0,IF(OR(INDEX($B1015:$D1015,W$5)="F",AND(W$6&gt;0,$A1015&lt;W$6),AND(W$7&gt;0,$A1015&gt;W$7)),0,MAX(0,ROUND((INDEX($E1015:$G1015,W$5)-SUMIFS(TF_Timer,TF_Tekniker,W$4,TF_Dato,$A1015))*2,0)/2)))</f>
        <v/>
      </c>
      <c r="X1015">
        <f>IF(OR(X$4="",$A1015&gt;TODAY()),0,IF(OR(INDEX($B1015:$D1015,X$5)="F",AND(X$6&gt;0,$A1015&lt;X$6),AND(X$7&gt;0,$A1015&gt;X$7)),0,MAX(0,ROUND((INDEX($E1015:$G1015,X$5)-SUMIFS(TF_Timer,TF_Tekniker,X$4,TF_Dato,$A1015))*2,0)/2)))</f>
        <v/>
      </c>
      <c r="Y1015">
        <f>IF(OR(Y$4="",$A1015&gt;TODAY()),0,IF(OR(INDEX($B1015:$D1015,Y$5)="F",AND(Y$6&gt;0,$A1015&lt;Y$6),AND(Y$7&gt;0,$A1015&gt;Y$7)),0,MAX(0,ROUND((INDEX($E1015:$G1015,Y$5)-SUMIFS(TF_Timer,TF_Tekniker,Y$4,TF_Dato,$A1015))*2,0)/2)))</f>
        <v/>
      </c>
      <c r="Z1015">
        <f>IF(OR(Z$4="",$A1015&gt;TODAY()),0,IF(OR(INDEX($B1015:$D1015,Z$5)="F",AND(Z$6&gt;0,$A1015&lt;Z$6),AND(Z$7&gt;0,$A1015&gt;Z$7)),0,MAX(0,ROUND((INDEX($E1015:$G1015,Z$5)-SUMIFS(TF_Timer,TF_Tekniker,Z$4,TF_Dato,$A1015))*2,0)/2)))</f>
        <v/>
      </c>
      <c r="AA1015">
        <f>IF(OR(AA$4="",$A1015&gt;TODAY()),0,IF(OR(INDEX($B1015:$D1015,AA$5)="F",AND(AA$6&gt;0,$A1015&lt;AA$6),AND(AA$7&gt;0,$A1015&gt;AA$7)),0,MAX(0,ROUND((INDEX($E1015:$G1015,AA$5)-SUMIFS(TF_Timer,TF_Tekniker,AA$4,TF_Dato,$A1015))*2,0)/2)))</f>
        <v/>
      </c>
      <c r="AB1015">
        <f>IF(OR(AB$4="",$A1015&gt;TODAY()),0,IF(OR(INDEX($B1015:$D1015,AB$5)="F",AND(AB$6&gt;0,$A1015&lt;AB$6),AND(AB$7&gt;0,$A1015&gt;AB$7)),0,MAX(0,ROUND((INDEX($E1015:$G1015,AB$5)-SUMIFS(TF_Timer,TF_Tekniker,AB$4,TF_Dato,$A1015))*2,0)/2)))</f>
        <v/>
      </c>
      <c r="AC1015">
        <f>IF(OR(AC$4="",$A1015&gt;TODAY()),0,IF(OR(INDEX($B1015:$D1015,AC$5)="F",AND(AC$6&gt;0,$A1015&lt;AC$6),AND(AC$7&gt;0,$A1015&gt;AC$7)),0,MAX(0,ROUND((INDEX($E1015:$G1015,AC$5)-SUMIFS(TF_Timer,TF_Tekniker,AC$4,TF_Dato,$A1015))*2,0)/2)))</f>
        <v/>
      </c>
      <c r="AD1015">
        <f>IF(OR(AD$4="",$A1015&gt;TODAY()),0,IF(OR(INDEX($B1015:$D1015,AD$5)="F",AND(AD$6&gt;0,$A1015&lt;AD$6),AND(AD$7&gt;0,$A1015&gt;AD$7)),0,MAX(0,ROUND((INDEX($E1015:$G1015,AD$5)-SUMIFS(TF_Timer,TF_Tekniker,AD$4,TF_Dato,$A1015))*2,0)/2)))</f>
        <v/>
      </c>
      <c r="AE1015">
        <f>IF(OR(AE$4="",$A1015&gt;TODAY()),0,IF(OR(INDEX($B1015:$D1015,AE$5)="F",AND(AE$6&gt;0,$A1015&lt;AE$6),AND(AE$7&gt;0,$A1015&gt;AE$7)),0,MAX(0,ROUND((INDEX($E1015:$G1015,AE$5)-SUMIFS(TF_Timer,TF_Tekniker,AE$4,TF_Dato,$A1015))*2,0)/2)))</f>
        <v/>
      </c>
      <c r="AF1015">
        <f>IF(OR(AF$4="",$A1015&gt;TODAY()),0,IF(OR(INDEX($B1015:$D1015,AF$5)="F",AND(AF$6&gt;0,$A1015&lt;AF$6),AND(AF$7&gt;0,$A1015&gt;AF$7)),0,MAX(0,ROUND((INDEX($E1015:$G1015,AF$5)-SUMIFS(TF_Timer,TF_Tekniker,AF$4,TF_Dato,$A1015))*2,0)/2)))</f>
        <v/>
      </c>
      <c r="AG1015">
        <f>IF(OR(AG$4="",$A1015&gt;TODAY()),0,IF(OR(INDEX($B1015:$D1015,AG$5)="F",AND(AG$6&gt;0,$A1015&lt;AG$6),AND(AG$7&gt;0,$A1015&gt;AG$7)),0,MAX(0,ROUND((INDEX($E1015:$G1015,AG$5)-SUMIFS(TF_Timer,TF_Tekniker,AG$4,TF_Dato,$A1015))*2,0)/2)))</f>
        <v/>
      </c>
      <c r="AH1015">
        <f>IF(OR(AH$4="",$A1015&gt;TODAY()),0,IF(OR(INDEX($B1015:$D1015,AH$5)="F",AND(AH$6&gt;0,$A1015&lt;AH$6),AND(AH$7&gt;0,$A1015&gt;AH$7)),0,MAX(0,ROUND((INDEX($E1015:$G1015,AH$5)-SUMIFS(TF_Timer,TF_Tekniker,AH$4,TF_Dato,$A1015))*2,0)/2)))</f>
        <v/>
      </c>
      <c r="AI1015">
        <f>IF(OR(AI$4="",$A1015&gt;TODAY()),0,IF(OR(INDEX($B1015:$D1015,AI$5)="F",AND(AI$6&gt;0,$A1015&lt;AI$6),AND(AI$7&gt;0,$A1015&gt;AI$7)),0,MAX(0,ROUND((INDEX($E1015:$G1015,AI$5)-SUMIFS(TF_Timer,TF_Tekniker,AI$4,TF_Dato,$A1015))*2,0)/2)))</f>
        <v/>
      </c>
      <c r="AJ1015">
        <f>IF(OR(AJ$4="",$A1015&gt;TODAY()),0,IF(OR(INDEX($B1015:$D1015,AJ$5)="F",AND(AJ$6&gt;0,$A1015&lt;AJ$6),AND(AJ$7&gt;0,$A1015&gt;AJ$7)),0,MAX(0,ROUND((INDEX($E1015:$G1015,AJ$5)-SUMIFS(TF_Timer,TF_Tekniker,AJ$4,TF_Dato,$A1015))*2,0)/2)))</f>
        <v/>
      </c>
      <c r="AK1015">
        <f>IF(OR(AK$4="",$A1015&gt;TODAY()),0,IF(OR(INDEX($B1015:$D1015,AK$5)="F",AND(AK$6&gt;0,$A1015&lt;AK$6),AND(AK$7&gt;0,$A1015&gt;AK$7)),0,MAX(0,ROUND((INDEX($E1015:$G1015,AK$5)-SUMIFS(TF_Timer,TF_Tekniker,AK$4,TF_Dato,$A1015))*2,0)/2)))</f>
        <v/>
      </c>
      <c r="AL1015">
        <f>IF(OR(AL$4="",$A1015&gt;TODAY()),0,IF(OR(INDEX($B1015:$D1015,AL$5)="F",AND(AL$6&gt;0,$A1015&lt;AL$6),AND(AL$7&gt;0,$A1015&gt;AL$7)),0,MAX(0,ROUND((INDEX($E1015:$G1015,AL$5)-SUMIFS(TF_Timer,TF_Tekniker,AL$4,TF_Dato,$A1015))*2,0)/2)))</f>
        <v/>
      </c>
      <c r="AM1015">
        <f>IF(OR(AM$4="",$A1015&gt;TODAY()),0,IF(OR(INDEX($B1015:$D1015,AM$5)="F",AND(AM$6&gt;0,$A1015&lt;AM$6),AND(AM$7&gt;0,$A1015&gt;AM$7)),0,MAX(0,ROUND((INDEX($E1015:$G1015,AM$5)-SUMIFS(TF_Timer,TF_Tekniker,AM$4,TF_Dato,$A1015))*2,0)/2)))</f>
        <v/>
      </c>
      <c r="AN1015">
        <f>IF(OR(AN$4="",$A1015&gt;TODAY()),0,IF(OR(INDEX($B1015:$D1015,AN$5)="F",AND(AN$6&gt;0,$A1015&lt;AN$6),AND(AN$7&gt;0,$A1015&gt;AN$7)),0,MAX(0,ROUND((INDEX($E1015:$G1015,AN$5)-SUMIFS(TF_Timer,TF_Tekniker,AN$4,TF_Dato,$A1015))*2,0)/2)))</f>
        <v/>
      </c>
      <c r="AO1015">
        <f>IF(OR(AO$4="",$A1015&gt;TODAY()),0,IF(OR(INDEX($B1015:$D1015,AO$5)="F",AND(AO$6&gt;0,$A1015&lt;AO$6),AND(AO$7&gt;0,$A1015&gt;AO$7)),0,MAX(0,ROUND((INDEX($E1015:$G1015,AO$5)-SUMIFS(TF_Timer,TF_Tekniker,AO$4,TF_Dato,$A1015))*2,0)/2)))</f>
        <v/>
      </c>
      <c r="AP1015">
        <f>IF(OR(AP$4="",$A1015&gt;TODAY()),0,IF(OR(INDEX($B1015:$D1015,AP$5)="F",AND(AP$6&gt;0,$A1015&lt;AP$6),AND(AP$7&gt;0,$A1015&gt;AP$7)),0,MAX(0,ROUND((INDEX($E1015:$G1015,AP$5)-SUMIFS(TF_Timer,TF_Tekniker,AP$4,TF_Dato,$A1015))*2,0)/2)))</f>
        <v/>
      </c>
      <c r="AQ1015">
        <f>IF(OR(AQ$4="",$A1015&gt;TODAY()),0,IF(OR(INDEX($B1015:$D1015,AQ$5)="F",AND(AQ$6&gt;0,$A1015&lt;AQ$6),AND(AQ$7&gt;0,$A1015&gt;AQ$7)),0,MAX(0,ROUND((INDEX($E1015:$G1015,AQ$5)-SUMIFS(TF_Timer,TF_Tekniker,AQ$4,TF_Dato,$A1015))*2,0)/2)))</f>
        <v/>
      </c>
      <c r="AR1015">
        <f>IF(OR(AR$4="",$A1015&gt;TODAY()),0,IF(OR(INDEX($B1015:$D1015,AR$5)="F",AND(AR$6&gt;0,$A1015&lt;AR$6),AND(AR$7&gt;0,$A1015&gt;AR$7)),0,MAX(0,ROUND((INDEX($E1015:$G1015,AR$5)-SUMIFS(TF_Timer,TF_Tekniker,AR$4,TF_Dato,$A1015))*2,0)/2)))</f>
        <v/>
      </c>
      <c r="AS1015">
        <f>IF(OR(AS$4="",$A1015&gt;TODAY()),0,IF(OR(INDEX($B1015:$D1015,AS$5)="F",AND(AS$6&gt;0,$A1015&lt;AS$6),AND(AS$7&gt;0,$A1015&gt;AS$7)),0,MAX(0,ROUND((INDEX($E1015:$G1015,AS$5)-SUMIFS(TF_Timer,TF_Tekniker,AS$4,TF_Dato,$A1015))*2,0)/2)))</f>
        <v/>
      </c>
      <c r="AT1015">
        <f>IF(OR(AT$4="",$A1015&gt;TODAY()),0,IF(OR(INDEX($B1015:$D1015,AT$5)="F",AND(AT$6&gt;0,$A1015&lt;AT$6),AND(AT$7&gt;0,$A1015&gt;AT$7)),0,MAX(0,ROUND((INDEX($E1015:$G1015,AT$5)-SUMIFS(TF_Timer,TF_Tekniker,AT$4,TF_Dato,$A1015))*2,0)/2)))</f>
        <v/>
      </c>
      <c r="AU1015">
        <f>IF(OR(AU$4="",$A1015&gt;TODAY()),0,IF(OR(INDEX($B1015:$D1015,AU$5)="F",AND(AU$6&gt;0,$A1015&lt;AU$6),AND(AU$7&gt;0,$A1015&gt;AU$7)),0,MAX(0,ROUND((INDEX($E1015:$G1015,AU$5)-SUMIFS(TF_Timer,TF_Tekniker,AU$4,TF_Dato,$A1015))*2,0)/2)))</f>
        <v/>
      </c>
      <c r="AV1015">
        <f>IF(OR(AV$4="",$A1015&gt;TODAY()),0,IF(OR(INDEX($B1015:$D1015,AV$5)="F",AND(AV$6&gt;0,$A1015&lt;AV$6),AND(AV$7&gt;0,$A1015&gt;AV$7)),0,MAX(0,ROUND((INDEX($E1015:$G1015,AV$5)-SUMIFS(TF_Timer,TF_Tekniker,AV$4,TF_Dato,$A1015))*2,0)/2)))</f>
        <v/>
      </c>
      <c r="AW1015">
        <f>IF(OR(AW$4="",$A1015&gt;TODAY()),0,IF(OR(INDEX($B1015:$D1015,AW$5)="F",AND(AW$6&gt;0,$A1015&lt;AW$6),AND(AW$7&gt;0,$A1015&gt;AW$7)),0,MAX(0,ROUND((INDEX($E1015:$G1015,AW$5)-SUMIFS(TF_Timer,TF_Tekniker,AW$4,TF_Dato,$A1015))*2,0)/2)))</f>
        <v/>
      </c>
      <c r="AX1015">
        <f>IF(OR(AX$4="",$A1015&gt;TODAY()),0,IF(OR(INDEX($B1015:$D1015,AX$5)="F",AND(AX$6&gt;0,$A1015&lt;AX$6),AND(AX$7&gt;0,$A1015&gt;AX$7)),0,MAX(0,ROUND((INDEX($E1015:$G1015,AX$5)-SUMIFS(TF_Timer,TF_Tekniker,AX$4,TF_Dato,$A1015))*2,0)/2)))</f>
        <v/>
      </c>
      <c r="AY1015">
        <f>IF(OR(AY$4="",$A1015&gt;TODAY()),0,IF(OR(INDEX($B1015:$D1015,AY$5)="F",AND(AY$6&gt;0,$A1015&lt;AY$6),AND(AY$7&gt;0,$A1015&gt;AY$7)),0,MAX(0,ROUND((INDEX($E1015:$G1015,AY$5)-SUMIFS(TF_Timer,TF_Tekniker,AY$4,TF_Dato,$A1015))*2,0)/2)))</f>
        <v/>
      </c>
      <c r="AZ1015">
        <f>IF(OR(AZ$4="",$A1015&gt;TODAY()),0,IF(OR(INDEX($B1015:$D1015,AZ$5)="F",AND(AZ$6&gt;0,$A1015&lt;AZ$6),AND(AZ$7&gt;0,$A1015&gt;AZ$7)),0,MAX(0,ROUND((INDEX($E1015:$G1015,AZ$5)-SUMIFS(TF_Timer,TF_Tekniker,AZ$4,TF_Dato,$A1015))*2,0)/2)))</f>
        <v/>
      </c>
      <c r="BA1015">
        <f>IF(OR(BA$4="",$A1015&gt;TODAY()),0,IF(OR(INDEX($B1015:$D1015,BA$5)="F",AND(BA$6&gt;0,$A1015&lt;BA$6),AND(BA$7&gt;0,$A1015&gt;BA$7)),0,MAX(0,ROUND((INDEX($E1015:$G1015,BA$5)-SUMIFS(TF_Timer,TF_Tekniker,BA$4,TF_Dato,$A1015))*2,0)/2)))</f>
        <v/>
      </c>
      <c r="BB1015">
        <f>IF(OR(BB$4="",$A1015&gt;TODAY()),0,IF(OR(INDEX($B1015:$D1015,BB$5)="F",AND(BB$6&gt;0,$A1015&lt;BB$6),AND(BB$7&gt;0,$A1015&gt;BB$7)),0,MAX(0,ROUND((INDEX($E1015:$G1015,BB$5)-SUMIFS(TF_Timer,TF_Tekniker,BB$4,TF_Dato,$A1015))*2,0)/2)))</f>
        <v/>
      </c>
      <c r="BC1015">
        <f>IF(OR(BC$4="",$A1015&gt;TODAY()),0,IF(OR(INDEX($B1015:$D1015,BC$5)="F",AND(BC$6&gt;0,$A1015&lt;BC$6),AND(BC$7&gt;0,$A1015&gt;BC$7)),0,MAX(0,ROUND((INDEX($E1015:$G1015,BC$5)-SUMIFS(TF_Timer,TF_Tekniker,BC$4,TF_Dato,$A1015))*2,0)/2)))</f>
        <v/>
      </c>
      <c r="BD1015">
        <f>IF(OR(BD$4="",$A1015&gt;TODAY()),0,IF(OR(INDEX($B1015:$D1015,BD$5)="F",AND(BD$6&gt;0,$A1015&lt;BD$6),AND(BD$7&gt;0,$A1015&gt;BD$7)),0,MAX(0,ROUND((INDEX($E1015:$G1015,BD$5)-SUMIFS(TF_Timer,TF_Tekniker,BD$4,TF_Dato,$A1015))*2,0)/2)))</f>
        <v/>
      </c>
      <c r="BE1015">
        <f>IF(OR(BE$4="",$A1015&gt;TODAY()),0,IF(OR(INDEX($B1015:$D1015,BE$5)="F",AND(BE$6&gt;0,$A1015&lt;BE$6),AND(BE$7&gt;0,$A1015&gt;BE$7)),0,MAX(0,ROUND((INDEX($E1015:$G1015,BE$5)-SUMIFS(TF_Timer,TF_Tekniker,BE$4,TF_Dato,$A1015))*2,0)/2)))</f>
        <v/>
      </c>
      <c r="BF1015">
        <f>IF(OR(BF$4="",$A1015&gt;TODAY()),0,IF(OR(INDEX($B1015:$D1015,BF$5)="F",AND(BF$6&gt;0,$A1015&lt;BF$6),AND(BF$7&gt;0,$A1015&gt;BF$7)),0,MAX(0,ROUND((INDEX($E1015:$G1015,BF$5)-SUMIFS(TF_Timer,TF_Tekniker,BF$4,TF_Dato,$A1015))*2,0)/2)))</f>
        <v/>
      </c>
      <c r="BG1015">
        <f>IF(OR(BG$4="",$A1015&gt;TODAY()),0,IF(OR(INDEX($B1015:$D1015,BG$5)="F",AND(BG$6&gt;0,$A1015&lt;BG$6),AND(BG$7&gt;0,$A1015&gt;BG$7)),0,MAX(0,ROUND((INDEX($E1015:$G1015,BG$5)-SUMIFS(TF_Timer,TF_Tekniker,BG$4,TF_Dato,$A1015))*2,0)/2)))</f>
        <v/>
      </c>
      <c r="BH1015">
        <f>IF(OR(BH$4="",$A1015&gt;TODAY()),0,IF(OR(INDEX($B1015:$D1015,BH$5)="F",AND(BH$6&gt;0,$A1015&lt;BH$6),AND(BH$7&gt;0,$A1015&gt;BH$7)),0,MAX(0,ROUND((INDEX($E1015:$G1015,BH$5)-SUMIFS(TF_Timer,TF_Tekniker,BH$4,TF_Dato,$A1015))*2,0)/2)))</f>
        <v/>
      </c>
      <c r="BI1015">
        <f>IF(OR(BI$4="",$A1015&gt;TODAY()),0,IF(OR(INDEX($B1015:$D1015,BI$5)="F",AND(BI$6&gt;0,$A1015&lt;BI$6),AND(BI$7&gt;0,$A1015&gt;BI$7)),0,MAX(0,ROUND((INDEX($E1015:$G1015,BI$5)-SUMIFS(TF_Timer,TF_Tekniker,BI$4,TF_Dato,$A1015))*2,0)/2)))</f>
        <v/>
      </c>
    </row>
    <row r="1016">
      <c r="A1016" s="64">
        <f>A1015+1</f>
        <v/>
      </c>
      <c r="B1016">
        <f>IF(MOD($A1016-INDEX(SkiftStart,1),Syklus)&lt;DagK,"K",IF(MOD($A1016-INDEX(SkiftStart,1),Syklus)&lt;DagK+DagH,"H",IF(MOD($A1016-INDEX(SkiftStart,1),Syklus)&lt;DagK+DagH+DagD,"D","F")))</f>
        <v/>
      </c>
      <c r="C1016">
        <f>IF(MOD($A1016-INDEX(SkiftStart,2),Syklus)&lt;DagK,"K",IF(MOD($A1016-INDEX(SkiftStart,2),Syklus)&lt;DagK+DagH,"H",IF(MOD($A1016-INDEX(SkiftStart,2),Syklus)&lt;DagK+DagH+DagD,"D","F")))</f>
        <v/>
      </c>
      <c r="D1016">
        <f>IF(MOD($A1016-INDEX(SkiftStart,3),Syklus)&lt;DagK,"K",IF(MOD($A1016-INDEX(SkiftStart,3),Syklus)&lt;DagK+DagH,"H",IF(MOD($A1016-INDEX(SkiftStart,3),Syklus)&lt;DagK+DagH+DagD,"D","F")))</f>
        <v/>
      </c>
      <c r="E1016">
        <f>IF(B1016="F",0,IF(WEEKDAY($A1016,2)=5,INDEX(TimerFr,MATCH(B1016,FaseKode,0)),INDEX(TimerMT,MATCH(B1016,FaseKode,0))))</f>
        <v/>
      </c>
      <c r="F1016">
        <f>IF(C1016="F",0,IF(WEEKDAY($A1016,2)=5,INDEX(TimerFr,MATCH(C1016,FaseKode,0)),INDEX(TimerMT,MATCH(C1016,FaseKode,0))))</f>
        <v/>
      </c>
      <c r="G1016">
        <f>IF(D1016="F",0,IF(WEEKDAY($A1016,2)=5,INDEX(TimerFr,MATCH(D1016,FaseKode,0)),INDEX(TimerMT,MATCH(D1016,FaseKode,0))))</f>
        <v/>
      </c>
      <c r="H1016">
        <f>IF(OR(H$4="",$A1016&gt;TODAY()),0,IF(OR(INDEX($B1016:$D1016,H$5)="F",AND(H$6&gt;0,$A1016&lt;H$6),AND(H$7&gt;0,$A1016&gt;H$7)),0,MAX(0,ROUND((INDEX($E1016:$G1016,H$5)-SUMIFS(TF_Timer,TF_Tekniker,H$4,TF_Dato,$A1016))*2,0)/2)))</f>
        <v/>
      </c>
      <c r="I1016">
        <f>IF(OR(I$4="",$A1016&gt;TODAY()),0,IF(OR(INDEX($B1016:$D1016,I$5)="F",AND(I$6&gt;0,$A1016&lt;I$6),AND(I$7&gt;0,$A1016&gt;I$7)),0,MAX(0,ROUND((INDEX($E1016:$G1016,I$5)-SUMIFS(TF_Timer,TF_Tekniker,I$4,TF_Dato,$A1016))*2,0)/2)))</f>
        <v/>
      </c>
      <c r="J1016">
        <f>IF(OR(J$4="",$A1016&gt;TODAY()),0,IF(OR(INDEX($B1016:$D1016,J$5)="F",AND(J$6&gt;0,$A1016&lt;J$6),AND(J$7&gt;0,$A1016&gt;J$7)),0,MAX(0,ROUND((INDEX($E1016:$G1016,J$5)-SUMIFS(TF_Timer,TF_Tekniker,J$4,TF_Dato,$A1016))*2,0)/2)))</f>
        <v/>
      </c>
      <c r="K1016">
        <f>IF(OR(K$4="",$A1016&gt;TODAY()),0,IF(OR(INDEX($B1016:$D1016,K$5)="F",AND(K$6&gt;0,$A1016&lt;K$6),AND(K$7&gt;0,$A1016&gt;K$7)),0,MAX(0,ROUND((INDEX($E1016:$G1016,K$5)-SUMIFS(TF_Timer,TF_Tekniker,K$4,TF_Dato,$A1016))*2,0)/2)))</f>
        <v/>
      </c>
      <c r="L1016">
        <f>IF(OR(L$4="",$A1016&gt;TODAY()),0,IF(OR(INDEX($B1016:$D1016,L$5)="F",AND(L$6&gt;0,$A1016&lt;L$6),AND(L$7&gt;0,$A1016&gt;L$7)),0,MAX(0,ROUND((INDEX($E1016:$G1016,L$5)-SUMIFS(TF_Timer,TF_Tekniker,L$4,TF_Dato,$A1016))*2,0)/2)))</f>
        <v/>
      </c>
      <c r="M1016">
        <f>IF(OR(M$4="",$A1016&gt;TODAY()),0,IF(OR(INDEX($B1016:$D1016,M$5)="F",AND(M$6&gt;0,$A1016&lt;M$6),AND(M$7&gt;0,$A1016&gt;M$7)),0,MAX(0,ROUND((INDEX($E1016:$G1016,M$5)-SUMIFS(TF_Timer,TF_Tekniker,M$4,TF_Dato,$A1016))*2,0)/2)))</f>
        <v/>
      </c>
      <c r="N1016">
        <f>IF(OR(N$4="",$A1016&gt;TODAY()),0,IF(OR(INDEX($B1016:$D1016,N$5)="F",AND(N$6&gt;0,$A1016&lt;N$6),AND(N$7&gt;0,$A1016&gt;N$7)),0,MAX(0,ROUND((INDEX($E1016:$G1016,N$5)-SUMIFS(TF_Timer,TF_Tekniker,N$4,TF_Dato,$A1016))*2,0)/2)))</f>
        <v/>
      </c>
      <c r="O1016">
        <f>IF(OR(O$4="",$A1016&gt;TODAY()),0,IF(OR(INDEX($B1016:$D1016,O$5)="F",AND(O$6&gt;0,$A1016&lt;O$6),AND(O$7&gt;0,$A1016&gt;O$7)),0,MAX(0,ROUND((INDEX($E1016:$G1016,O$5)-SUMIFS(TF_Timer,TF_Tekniker,O$4,TF_Dato,$A1016))*2,0)/2)))</f>
        <v/>
      </c>
      <c r="P1016">
        <f>IF(OR(P$4="",$A1016&gt;TODAY()),0,IF(OR(INDEX($B1016:$D1016,P$5)="F",AND(P$6&gt;0,$A1016&lt;P$6),AND(P$7&gt;0,$A1016&gt;P$7)),0,MAX(0,ROUND((INDEX($E1016:$G1016,P$5)-SUMIFS(TF_Timer,TF_Tekniker,P$4,TF_Dato,$A1016))*2,0)/2)))</f>
        <v/>
      </c>
      <c r="Q1016">
        <f>IF(OR(Q$4="",$A1016&gt;TODAY()),0,IF(OR(INDEX($B1016:$D1016,Q$5)="F",AND(Q$6&gt;0,$A1016&lt;Q$6),AND(Q$7&gt;0,$A1016&gt;Q$7)),0,MAX(0,ROUND((INDEX($E1016:$G1016,Q$5)-SUMIFS(TF_Timer,TF_Tekniker,Q$4,TF_Dato,$A1016))*2,0)/2)))</f>
        <v/>
      </c>
      <c r="R1016">
        <f>IF(OR(R$4="",$A1016&gt;TODAY()),0,IF(OR(INDEX($B1016:$D1016,R$5)="F",AND(R$6&gt;0,$A1016&lt;R$6),AND(R$7&gt;0,$A1016&gt;R$7)),0,MAX(0,ROUND((INDEX($E1016:$G1016,R$5)-SUMIFS(TF_Timer,TF_Tekniker,R$4,TF_Dato,$A1016))*2,0)/2)))</f>
        <v/>
      </c>
      <c r="S1016">
        <f>IF(OR(S$4="",$A1016&gt;TODAY()),0,IF(OR(INDEX($B1016:$D1016,S$5)="F",AND(S$6&gt;0,$A1016&lt;S$6),AND(S$7&gt;0,$A1016&gt;S$7)),0,MAX(0,ROUND((INDEX($E1016:$G1016,S$5)-SUMIFS(TF_Timer,TF_Tekniker,S$4,TF_Dato,$A1016))*2,0)/2)))</f>
        <v/>
      </c>
      <c r="T1016">
        <f>IF(OR(T$4="",$A1016&gt;TODAY()),0,IF(OR(INDEX($B1016:$D1016,T$5)="F",AND(T$6&gt;0,$A1016&lt;T$6),AND(T$7&gt;0,$A1016&gt;T$7)),0,MAX(0,ROUND((INDEX($E1016:$G1016,T$5)-SUMIFS(TF_Timer,TF_Tekniker,T$4,TF_Dato,$A1016))*2,0)/2)))</f>
        <v/>
      </c>
      <c r="U1016">
        <f>IF(OR(U$4="",$A1016&gt;TODAY()),0,IF(OR(INDEX($B1016:$D1016,U$5)="F",AND(U$6&gt;0,$A1016&lt;U$6),AND(U$7&gt;0,$A1016&gt;U$7)),0,MAX(0,ROUND((INDEX($E1016:$G1016,U$5)-SUMIFS(TF_Timer,TF_Tekniker,U$4,TF_Dato,$A1016))*2,0)/2)))</f>
        <v/>
      </c>
      <c r="V1016">
        <f>IF(OR(V$4="",$A1016&gt;TODAY()),0,IF(OR(INDEX($B1016:$D1016,V$5)="F",AND(V$6&gt;0,$A1016&lt;V$6),AND(V$7&gt;0,$A1016&gt;V$7)),0,MAX(0,ROUND((INDEX($E1016:$G1016,V$5)-SUMIFS(TF_Timer,TF_Tekniker,V$4,TF_Dato,$A1016))*2,0)/2)))</f>
        <v/>
      </c>
      <c r="W1016">
        <f>IF(OR(W$4="",$A1016&gt;TODAY()),0,IF(OR(INDEX($B1016:$D1016,W$5)="F",AND(W$6&gt;0,$A1016&lt;W$6),AND(W$7&gt;0,$A1016&gt;W$7)),0,MAX(0,ROUND((INDEX($E1016:$G1016,W$5)-SUMIFS(TF_Timer,TF_Tekniker,W$4,TF_Dato,$A1016))*2,0)/2)))</f>
        <v/>
      </c>
      <c r="X1016">
        <f>IF(OR(X$4="",$A1016&gt;TODAY()),0,IF(OR(INDEX($B1016:$D1016,X$5)="F",AND(X$6&gt;0,$A1016&lt;X$6),AND(X$7&gt;0,$A1016&gt;X$7)),0,MAX(0,ROUND((INDEX($E1016:$G1016,X$5)-SUMIFS(TF_Timer,TF_Tekniker,X$4,TF_Dato,$A1016))*2,0)/2)))</f>
        <v/>
      </c>
      <c r="Y1016">
        <f>IF(OR(Y$4="",$A1016&gt;TODAY()),0,IF(OR(INDEX($B1016:$D1016,Y$5)="F",AND(Y$6&gt;0,$A1016&lt;Y$6),AND(Y$7&gt;0,$A1016&gt;Y$7)),0,MAX(0,ROUND((INDEX($E1016:$G1016,Y$5)-SUMIFS(TF_Timer,TF_Tekniker,Y$4,TF_Dato,$A1016))*2,0)/2)))</f>
        <v/>
      </c>
      <c r="Z1016">
        <f>IF(OR(Z$4="",$A1016&gt;TODAY()),0,IF(OR(INDEX($B1016:$D1016,Z$5)="F",AND(Z$6&gt;0,$A1016&lt;Z$6),AND(Z$7&gt;0,$A1016&gt;Z$7)),0,MAX(0,ROUND((INDEX($E1016:$G1016,Z$5)-SUMIFS(TF_Timer,TF_Tekniker,Z$4,TF_Dato,$A1016))*2,0)/2)))</f>
        <v/>
      </c>
      <c r="AA1016">
        <f>IF(OR(AA$4="",$A1016&gt;TODAY()),0,IF(OR(INDEX($B1016:$D1016,AA$5)="F",AND(AA$6&gt;0,$A1016&lt;AA$6),AND(AA$7&gt;0,$A1016&gt;AA$7)),0,MAX(0,ROUND((INDEX($E1016:$G1016,AA$5)-SUMIFS(TF_Timer,TF_Tekniker,AA$4,TF_Dato,$A1016))*2,0)/2)))</f>
        <v/>
      </c>
      <c r="AB1016">
        <f>IF(OR(AB$4="",$A1016&gt;TODAY()),0,IF(OR(INDEX($B1016:$D1016,AB$5)="F",AND(AB$6&gt;0,$A1016&lt;AB$6),AND(AB$7&gt;0,$A1016&gt;AB$7)),0,MAX(0,ROUND((INDEX($E1016:$G1016,AB$5)-SUMIFS(TF_Timer,TF_Tekniker,AB$4,TF_Dato,$A1016))*2,0)/2)))</f>
        <v/>
      </c>
      <c r="AC1016">
        <f>IF(OR(AC$4="",$A1016&gt;TODAY()),0,IF(OR(INDEX($B1016:$D1016,AC$5)="F",AND(AC$6&gt;0,$A1016&lt;AC$6),AND(AC$7&gt;0,$A1016&gt;AC$7)),0,MAX(0,ROUND((INDEX($E1016:$G1016,AC$5)-SUMIFS(TF_Timer,TF_Tekniker,AC$4,TF_Dato,$A1016))*2,0)/2)))</f>
        <v/>
      </c>
      <c r="AD1016">
        <f>IF(OR(AD$4="",$A1016&gt;TODAY()),0,IF(OR(INDEX($B1016:$D1016,AD$5)="F",AND(AD$6&gt;0,$A1016&lt;AD$6),AND(AD$7&gt;0,$A1016&gt;AD$7)),0,MAX(0,ROUND((INDEX($E1016:$G1016,AD$5)-SUMIFS(TF_Timer,TF_Tekniker,AD$4,TF_Dato,$A1016))*2,0)/2)))</f>
        <v/>
      </c>
      <c r="AE1016">
        <f>IF(OR(AE$4="",$A1016&gt;TODAY()),0,IF(OR(INDEX($B1016:$D1016,AE$5)="F",AND(AE$6&gt;0,$A1016&lt;AE$6),AND(AE$7&gt;0,$A1016&gt;AE$7)),0,MAX(0,ROUND((INDEX($E1016:$G1016,AE$5)-SUMIFS(TF_Timer,TF_Tekniker,AE$4,TF_Dato,$A1016))*2,0)/2)))</f>
        <v/>
      </c>
      <c r="AF1016">
        <f>IF(OR(AF$4="",$A1016&gt;TODAY()),0,IF(OR(INDEX($B1016:$D1016,AF$5)="F",AND(AF$6&gt;0,$A1016&lt;AF$6),AND(AF$7&gt;0,$A1016&gt;AF$7)),0,MAX(0,ROUND((INDEX($E1016:$G1016,AF$5)-SUMIFS(TF_Timer,TF_Tekniker,AF$4,TF_Dato,$A1016))*2,0)/2)))</f>
        <v/>
      </c>
      <c r="AG1016">
        <f>IF(OR(AG$4="",$A1016&gt;TODAY()),0,IF(OR(INDEX($B1016:$D1016,AG$5)="F",AND(AG$6&gt;0,$A1016&lt;AG$6),AND(AG$7&gt;0,$A1016&gt;AG$7)),0,MAX(0,ROUND((INDEX($E1016:$G1016,AG$5)-SUMIFS(TF_Timer,TF_Tekniker,AG$4,TF_Dato,$A1016))*2,0)/2)))</f>
        <v/>
      </c>
      <c r="AH1016">
        <f>IF(OR(AH$4="",$A1016&gt;TODAY()),0,IF(OR(INDEX($B1016:$D1016,AH$5)="F",AND(AH$6&gt;0,$A1016&lt;AH$6),AND(AH$7&gt;0,$A1016&gt;AH$7)),0,MAX(0,ROUND((INDEX($E1016:$G1016,AH$5)-SUMIFS(TF_Timer,TF_Tekniker,AH$4,TF_Dato,$A1016))*2,0)/2)))</f>
        <v/>
      </c>
      <c r="AI1016">
        <f>IF(OR(AI$4="",$A1016&gt;TODAY()),0,IF(OR(INDEX($B1016:$D1016,AI$5)="F",AND(AI$6&gt;0,$A1016&lt;AI$6),AND(AI$7&gt;0,$A1016&gt;AI$7)),0,MAX(0,ROUND((INDEX($E1016:$G1016,AI$5)-SUMIFS(TF_Timer,TF_Tekniker,AI$4,TF_Dato,$A1016))*2,0)/2)))</f>
        <v/>
      </c>
      <c r="AJ1016">
        <f>IF(OR(AJ$4="",$A1016&gt;TODAY()),0,IF(OR(INDEX($B1016:$D1016,AJ$5)="F",AND(AJ$6&gt;0,$A1016&lt;AJ$6),AND(AJ$7&gt;0,$A1016&gt;AJ$7)),0,MAX(0,ROUND((INDEX($E1016:$G1016,AJ$5)-SUMIFS(TF_Timer,TF_Tekniker,AJ$4,TF_Dato,$A1016))*2,0)/2)))</f>
        <v/>
      </c>
      <c r="AK1016">
        <f>IF(OR(AK$4="",$A1016&gt;TODAY()),0,IF(OR(INDEX($B1016:$D1016,AK$5)="F",AND(AK$6&gt;0,$A1016&lt;AK$6),AND(AK$7&gt;0,$A1016&gt;AK$7)),0,MAX(0,ROUND((INDEX($E1016:$G1016,AK$5)-SUMIFS(TF_Timer,TF_Tekniker,AK$4,TF_Dato,$A1016))*2,0)/2)))</f>
        <v/>
      </c>
      <c r="AL1016">
        <f>IF(OR(AL$4="",$A1016&gt;TODAY()),0,IF(OR(INDEX($B1016:$D1016,AL$5)="F",AND(AL$6&gt;0,$A1016&lt;AL$6),AND(AL$7&gt;0,$A1016&gt;AL$7)),0,MAX(0,ROUND((INDEX($E1016:$G1016,AL$5)-SUMIFS(TF_Timer,TF_Tekniker,AL$4,TF_Dato,$A1016))*2,0)/2)))</f>
        <v/>
      </c>
      <c r="AM1016">
        <f>IF(OR(AM$4="",$A1016&gt;TODAY()),0,IF(OR(INDEX($B1016:$D1016,AM$5)="F",AND(AM$6&gt;0,$A1016&lt;AM$6),AND(AM$7&gt;0,$A1016&gt;AM$7)),0,MAX(0,ROUND((INDEX($E1016:$G1016,AM$5)-SUMIFS(TF_Timer,TF_Tekniker,AM$4,TF_Dato,$A1016))*2,0)/2)))</f>
        <v/>
      </c>
      <c r="AN1016">
        <f>IF(OR(AN$4="",$A1016&gt;TODAY()),0,IF(OR(INDEX($B1016:$D1016,AN$5)="F",AND(AN$6&gt;0,$A1016&lt;AN$6),AND(AN$7&gt;0,$A1016&gt;AN$7)),0,MAX(0,ROUND((INDEX($E1016:$G1016,AN$5)-SUMIFS(TF_Timer,TF_Tekniker,AN$4,TF_Dato,$A1016))*2,0)/2)))</f>
        <v/>
      </c>
      <c r="AO1016">
        <f>IF(OR(AO$4="",$A1016&gt;TODAY()),0,IF(OR(INDEX($B1016:$D1016,AO$5)="F",AND(AO$6&gt;0,$A1016&lt;AO$6),AND(AO$7&gt;0,$A1016&gt;AO$7)),0,MAX(0,ROUND((INDEX($E1016:$G1016,AO$5)-SUMIFS(TF_Timer,TF_Tekniker,AO$4,TF_Dato,$A1016))*2,0)/2)))</f>
        <v/>
      </c>
      <c r="AP1016">
        <f>IF(OR(AP$4="",$A1016&gt;TODAY()),0,IF(OR(INDEX($B1016:$D1016,AP$5)="F",AND(AP$6&gt;0,$A1016&lt;AP$6),AND(AP$7&gt;0,$A1016&gt;AP$7)),0,MAX(0,ROUND((INDEX($E1016:$G1016,AP$5)-SUMIFS(TF_Timer,TF_Tekniker,AP$4,TF_Dato,$A1016))*2,0)/2)))</f>
        <v/>
      </c>
      <c r="AQ1016">
        <f>IF(OR(AQ$4="",$A1016&gt;TODAY()),0,IF(OR(INDEX($B1016:$D1016,AQ$5)="F",AND(AQ$6&gt;0,$A1016&lt;AQ$6),AND(AQ$7&gt;0,$A1016&gt;AQ$7)),0,MAX(0,ROUND((INDEX($E1016:$G1016,AQ$5)-SUMIFS(TF_Timer,TF_Tekniker,AQ$4,TF_Dato,$A1016))*2,0)/2)))</f>
        <v/>
      </c>
      <c r="AR1016">
        <f>IF(OR(AR$4="",$A1016&gt;TODAY()),0,IF(OR(INDEX($B1016:$D1016,AR$5)="F",AND(AR$6&gt;0,$A1016&lt;AR$6),AND(AR$7&gt;0,$A1016&gt;AR$7)),0,MAX(0,ROUND((INDEX($E1016:$G1016,AR$5)-SUMIFS(TF_Timer,TF_Tekniker,AR$4,TF_Dato,$A1016))*2,0)/2)))</f>
        <v/>
      </c>
      <c r="AS1016">
        <f>IF(OR(AS$4="",$A1016&gt;TODAY()),0,IF(OR(INDEX($B1016:$D1016,AS$5)="F",AND(AS$6&gt;0,$A1016&lt;AS$6),AND(AS$7&gt;0,$A1016&gt;AS$7)),0,MAX(0,ROUND((INDEX($E1016:$G1016,AS$5)-SUMIFS(TF_Timer,TF_Tekniker,AS$4,TF_Dato,$A1016))*2,0)/2)))</f>
        <v/>
      </c>
      <c r="AT1016">
        <f>IF(OR(AT$4="",$A1016&gt;TODAY()),0,IF(OR(INDEX($B1016:$D1016,AT$5)="F",AND(AT$6&gt;0,$A1016&lt;AT$6),AND(AT$7&gt;0,$A1016&gt;AT$7)),0,MAX(0,ROUND((INDEX($E1016:$G1016,AT$5)-SUMIFS(TF_Timer,TF_Tekniker,AT$4,TF_Dato,$A1016))*2,0)/2)))</f>
        <v/>
      </c>
      <c r="AU1016">
        <f>IF(OR(AU$4="",$A1016&gt;TODAY()),0,IF(OR(INDEX($B1016:$D1016,AU$5)="F",AND(AU$6&gt;0,$A1016&lt;AU$6),AND(AU$7&gt;0,$A1016&gt;AU$7)),0,MAX(0,ROUND((INDEX($E1016:$G1016,AU$5)-SUMIFS(TF_Timer,TF_Tekniker,AU$4,TF_Dato,$A1016))*2,0)/2)))</f>
        <v/>
      </c>
      <c r="AV1016">
        <f>IF(OR(AV$4="",$A1016&gt;TODAY()),0,IF(OR(INDEX($B1016:$D1016,AV$5)="F",AND(AV$6&gt;0,$A1016&lt;AV$6),AND(AV$7&gt;0,$A1016&gt;AV$7)),0,MAX(0,ROUND((INDEX($E1016:$G1016,AV$5)-SUMIFS(TF_Timer,TF_Tekniker,AV$4,TF_Dato,$A1016))*2,0)/2)))</f>
        <v/>
      </c>
      <c r="AW1016">
        <f>IF(OR(AW$4="",$A1016&gt;TODAY()),0,IF(OR(INDEX($B1016:$D1016,AW$5)="F",AND(AW$6&gt;0,$A1016&lt;AW$6),AND(AW$7&gt;0,$A1016&gt;AW$7)),0,MAX(0,ROUND((INDEX($E1016:$G1016,AW$5)-SUMIFS(TF_Timer,TF_Tekniker,AW$4,TF_Dato,$A1016))*2,0)/2)))</f>
        <v/>
      </c>
      <c r="AX1016">
        <f>IF(OR(AX$4="",$A1016&gt;TODAY()),0,IF(OR(INDEX($B1016:$D1016,AX$5)="F",AND(AX$6&gt;0,$A1016&lt;AX$6),AND(AX$7&gt;0,$A1016&gt;AX$7)),0,MAX(0,ROUND((INDEX($E1016:$G1016,AX$5)-SUMIFS(TF_Timer,TF_Tekniker,AX$4,TF_Dato,$A1016))*2,0)/2)))</f>
        <v/>
      </c>
      <c r="AY1016">
        <f>IF(OR(AY$4="",$A1016&gt;TODAY()),0,IF(OR(INDEX($B1016:$D1016,AY$5)="F",AND(AY$6&gt;0,$A1016&lt;AY$6),AND(AY$7&gt;0,$A1016&gt;AY$7)),0,MAX(0,ROUND((INDEX($E1016:$G1016,AY$5)-SUMIFS(TF_Timer,TF_Tekniker,AY$4,TF_Dato,$A1016))*2,0)/2)))</f>
        <v/>
      </c>
      <c r="AZ1016">
        <f>IF(OR(AZ$4="",$A1016&gt;TODAY()),0,IF(OR(INDEX($B1016:$D1016,AZ$5)="F",AND(AZ$6&gt;0,$A1016&lt;AZ$6),AND(AZ$7&gt;0,$A1016&gt;AZ$7)),0,MAX(0,ROUND((INDEX($E1016:$G1016,AZ$5)-SUMIFS(TF_Timer,TF_Tekniker,AZ$4,TF_Dato,$A1016))*2,0)/2)))</f>
        <v/>
      </c>
      <c r="BA1016">
        <f>IF(OR(BA$4="",$A1016&gt;TODAY()),0,IF(OR(INDEX($B1016:$D1016,BA$5)="F",AND(BA$6&gt;0,$A1016&lt;BA$6),AND(BA$7&gt;0,$A1016&gt;BA$7)),0,MAX(0,ROUND((INDEX($E1016:$G1016,BA$5)-SUMIFS(TF_Timer,TF_Tekniker,BA$4,TF_Dato,$A1016))*2,0)/2)))</f>
        <v/>
      </c>
      <c r="BB1016">
        <f>IF(OR(BB$4="",$A1016&gt;TODAY()),0,IF(OR(INDEX($B1016:$D1016,BB$5)="F",AND(BB$6&gt;0,$A1016&lt;BB$6),AND(BB$7&gt;0,$A1016&gt;BB$7)),0,MAX(0,ROUND((INDEX($E1016:$G1016,BB$5)-SUMIFS(TF_Timer,TF_Tekniker,BB$4,TF_Dato,$A1016))*2,0)/2)))</f>
        <v/>
      </c>
      <c r="BC1016">
        <f>IF(OR(BC$4="",$A1016&gt;TODAY()),0,IF(OR(INDEX($B1016:$D1016,BC$5)="F",AND(BC$6&gt;0,$A1016&lt;BC$6),AND(BC$7&gt;0,$A1016&gt;BC$7)),0,MAX(0,ROUND((INDEX($E1016:$G1016,BC$5)-SUMIFS(TF_Timer,TF_Tekniker,BC$4,TF_Dato,$A1016))*2,0)/2)))</f>
        <v/>
      </c>
      <c r="BD1016">
        <f>IF(OR(BD$4="",$A1016&gt;TODAY()),0,IF(OR(INDEX($B1016:$D1016,BD$5)="F",AND(BD$6&gt;0,$A1016&lt;BD$6),AND(BD$7&gt;0,$A1016&gt;BD$7)),0,MAX(0,ROUND((INDEX($E1016:$G1016,BD$5)-SUMIFS(TF_Timer,TF_Tekniker,BD$4,TF_Dato,$A1016))*2,0)/2)))</f>
        <v/>
      </c>
      <c r="BE1016">
        <f>IF(OR(BE$4="",$A1016&gt;TODAY()),0,IF(OR(INDEX($B1016:$D1016,BE$5)="F",AND(BE$6&gt;0,$A1016&lt;BE$6),AND(BE$7&gt;0,$A1016&gt;BE$7)),0,MAX(0,ROUND((INDEX($E1016:$G1016,BE$5)-SUMIFS(TF_Timer,TF_Tekniker,BE$4,TF_Dato,$A1016))*2,0)/2)))</f>
        <v/>
      </c>
      <c r="BF1016">
        <f>IF(OR(BF$4="",$A1016&gt;TODAY()),0,IF(OR(INDEX($B1016:$D1016,BF$5)="F",AND(BF$6&gt;0,$A1016&lt;BF$6),AND(BF$7&gt;0,$A1016&gt;BF$7)),0,MAX(0,ROUND((INDEX($E1016:$G1016,BF$5)-SUMIFS(TF_Timer,TF_Tekniker,BF$4,TF_Dato,$A1016))*2,0)/2)))</f>
        <v/>
      </c>
      <c r="BG1016">
        <f>IF(OR(BG$4="",$A1016&gt;TODAY()),0,IF(OR(INDEX($B1016:$D1016,BG$5)="F",AND(BG$6&gt;0,$A1016&lt;BG$6),AND(BG$7&gt;0,$A1016&gt;BG$7)),0,MAX(0,ROUND((INDEX($E1016:$G1016,BG$5)-SUMIFS(TF_Timer,TF_Tekniker,BG$4,TF_Dato,$A1016))*2,0)/2)))</f>
        <v/>
      </c>
      <c r="BH1016">
        <f>IF(OR(BH$4="",$A1016&gt;TODAY()),0,IF(OR(INDEX($B1016:$D1016,BH$5)="F",AND(BH$6&gt;0,$A1016&lt;BH$6),AND(BH$7&gt;0,$A1016&gt;BH$7)),0,MAX(0,ROUND((INDEX($E1016:$G1016,BH$5)-SUMIFS(TF_Timer,TF_Tekniker,BH$4,TF_Dato,$A1016))*2,0)/2)))</f>
        <v/>
      </c>
      <c r="BI1016">
        <f>IF(OR(BI$4="",$A1016&gt;TODAY()),0,IF(OR(INDEX($B1016:$D1016,BI$5)="F",AND(BI$6&gt;0,$A1016&lt;BI$6),AND(BI$7&gt;0,$A1016&gt;BI$7)),0,MAX(0,ROUND((INDEX($E1016:$G1016,BI$5)-SUMIFS(TF_Timer,TF_Tekniker,BI$4,TF_Dato,$A1016))*2,0)/2)))</f>
        <v/>
      </c>
    </row>
    <row r="1017">
      <c r="A1017" s="64">
        <f>A1016+1</f>
        <v/>
      </c>
      <c r="B1017">
        <f>IF(MOD($A1017-INDEX(SkiftStart,1),Syklus)&lt;DagK,"K",IF(MOD($A1017-INDEX(SkiftStart,1),Syklus)&lt;DagK+DagH,"H",IF(MOD($A1017-INDEX(SkiftStart,1),Syklus)&lt;DagK+DagH+DagD,"D","F")))</f>
        <v/>
      </c>
      <c r="C1017">
        <f>IF(MOD($A1017-INDEX(SkiftStart,2),Syklus)&lt;DagK,"K",IF(MOD($A1017-INDEX(SkiftStart,2),Syklus)&lt;DagK+DagH,"H",IF(MOD($A1017-INDEX(SkiftStart,2),Syklus)&lt;DagK+DagH+DagD,"D","F")))</f>
        <v/>
      </c>
      <c r="D1017">
        <f>IF(MOD($A1017-INDEX(SkiftStart,3),Syklus)&lt;DagK,"K",IF(MOD($A1017-INDEX(SkiftStart,3),Syklus)&lt;DagK+DagH,"H",IF(MOD($A1017-INDEX(SkiftStart,3),Syklus)&lt;DagK+DagH+DagD,"D","F")))</f>
        <v/>
      </c>
      <c r="E1017">
        <f>IF(B1017="F",0,IF(WEEKDAY($A1017,2)=5,INDEX(TimerFr,MATCH(B1017,FaseKode,0)),INDEX(TimerMT,MATCH(B1017,FaseKode,0))))</f>
        <v/>
      </c>
      <c r="F1017">
        <f>IF(C1017="F",0,IF(WEEKDAY($A1017,2)=5,INDEX(TimerFr,MATCH(C1017,FaseKode,0)),INDEX(TimerMT,MATCH(C1017,FaseKode,0))))</f>
        <v/>
      </c>
      <c r="G1017">
        <f>IF(D1017="F",0,IF(WEEKDAY($A1017,2)=5,INDEX(TimerFr,MATCH(D1017,FaseKode,0)),INDEX(TimerMT,MATCH(D1017,FaseKode,0))))</f>
        <v/>
      </c>
      <c r="H1017">
        <f>IF(OR(H$4="",$A1017&gt;TODAY()),0,IF(OR(INDEX($B1017:$D1017,H$5)="F",AND(H$6&gt;0,$A1017&lt;H$6),AND(H$7&gt;0,$A1017&gt;H$7)),0,MAX(0,ROUND((INDEX($E1017:$G1017,H$5)-SUMIFS(TF_Timer,TF_Tekniker,H$4,TF_Dato,$A1017))*2,0)/2)))</f>
        <v/>
      </c>
      <c r="I1017">
        <f>IF(OR(I$4="",$A1017&gt;TODAY()),0,IF(OR(INDEX($B1017:$D1017,I$5)="F",AND(I$6&gt;0,$A1017&lt;I$6),AND(I$7&gt;0,$A1017&gt;I$7)),0,MAX(0,ROUND((INDEX($E1017:$G1017,I$5)-SUMIFS(TF_Timer,TF_Tekniker,I$4,TF_Dato,$A1017))*2,0)/2)))</f>
        <v/>
      </c>
      <c r="J1017">
        <f>IF(OR(J$4="",$A1017&gt;TODAY()),0,IF(OR(INDEX($B1017:$D1017,J$5)="F",AND(J$6&gt;0,$A1017&lt;J$6),AND(J$7&gt;0,$A1017&gt;J$7)),0,MAX(0,ROUND((INDEX($E1017:$G1017,J$5)-SUMIFS(TF_Timer,TF_Tekniker,J$4,TF_Dato,$A1017))*2,0)/2)))</f>
        <v/>
      </c>
      <c r="K1017">
        <f>IF(OR(K$4="",$A1017&gt;TODAY()),0,IF(OR(INDEX($B1017:$D1017,K$5)="F",AND(K$6&gt;0,$A1017&lt;K$6),AND(K$7&gt;0,$A1017&gt;K$7)),0,MAX(0,ROUND((INDEX($E1017:$G1017,K$5)-SUMIFS(TF_Timer,TF_Tekniker,K$4,TF_Dato,$A1017))*2,0)/2)))</f>
        <v/>
      </c>
      <c r="L1017">
        <f>IF(OR(L$4="",$A1017&gt;TODAY()),0,IF(OR(INDEX($B1017:$D1017,L$5)="F",AND(L$6&gt;0,$A1017&lt;L$6),AND(L$7&gt;0,$A1017&gt;L$7)),0,MAX(0,ROUND((INDEX($E1017:$G1017,L$5)-SUMIFS(TF_Timer,TF_Tekniker,L$4,TF_Dato,$A1017))*2,0)/2)))</f>
        <v/>
      </c>
      <c r="M1017">
        <f>IF(OR(M$4="",$A1017&gt;TODAY()),0,IF(OR(INDEX($B1017:$D1017,M$5)="F",AND(M$6&gt;0,$A1017&lt;M$6),AND(M$7&gt;0,$A1017&gt;M$7)),0,MAX(0,ROUND((INDEX($E1017:$G1017,M$5)-SUMIFS(TF_Timer,TF_Tekniker,M$4,TF_Dato,$A1017))*2,0)/2)))</f>
        <v/>
      </c>
      <c r="N1017">
        <f>IF(OR(N$4="",$A1017&gt;TODAY()),0,IF(OR(INDEX($B1017:$D1017,N$5)="F",AND(N$6&gt;0,$A1017&lt;N$6),AND(N$7&gt;0,$A1017&gt;N$7)),0,MAX(0,ROUND((INDEX($E1017:$G1017,N$5)-SUMIFS(TF_Timer,TF_Tekniker,N$4,TF_Dato,$A1017))*2,0)/2)))</f>
        <v/>
      </c>
      <c r="O1017">
        <f>IF(OR(O$4="",$A1017&gt;TODAY()),0,IF(OR(INDEX($B1017:$D1017,O$5)="F",AND(O$6&gt;0,$A1017&lt;O$6),AND(O$7&gt;0,$A1017&gt;O$7)),0,MAX(0,ROUND((INDEX($E1017:$G1017,O$5)-SUMIFS(TF_Timer,TF_Tekniker,O$4,TF_Dato,$A1017))*2,0)/2)))</f>
        <v/>
      </c>
      <c r="P1017">
        <f>IF(OR(P$4="",$A1017&gt;TODAY()),0,IF(OR(INDEX($B1017:$D1017,P$5)="F",AND(P$6&gt;0,$A1017&lt;P$6),AND(P$7&gt;0,$A1017&gt;P$7)),0,MAX(0,ROUND((INDEX($E1017:$G1017,P$5)-SUMIFS(TF_Timer,TF_Tekniker,P$4,TF_Dato,$A1017))*2,0)/2)))</f>
        <v/>
      </c>
      <c r="Q1017">
        <f>IF(OR(Q$4="",$A1017&gt;TODAY()),0,IF(OR(INDEX($B1017:$D1017,Q$5)="F",AND(Q$6&gt;0,$A1017&lt;Q$6),AND(Q$7&gt;0,$A1017&gt;Q$7)),0,MAX(0,ROUND((INDEX($E1017:$G1017,Q$5)-SUMIFS(TF_Timer,TF_Tekniker,Q$4,TF_Dato,$A1017))*2,0)/2)))</f>
        <v/>
      </c>
      <c r="R1017">
        <f>IF(OR(R$4="",$A1017&gt;TODAY()),0,IF(OR(INDEX($B1017:$D1017,R$5)="F",AND(R$6&gt;0,$A1017&lt;R$6),AND(R$7&gt;0,$A1017&gt;R$7)),0,MAX(0,ROUND((INDEX($E1017:$G1017,R$5)-SUMIFS(TF_Timer,TF_Tekniker,R$4,TF_Dato,$A1017))*2,0)/2)))</f>
        <v/>
      </c>
      <c r="S1017">
        <f>IF(OR(S$4="",$A1017&gt;TODAY()),0,IF(OR(INDEX($B1017:$D1017,S$5)="F",AND(S$6&gt;0,$A1017&lt;S$6),AND(S$7&gt;0,$A1017&gt;S$7)),0,MAX(0,ROUND((INDEX($E1017:$G1017,S$5)-SUMIFS(TF_Timer,TF_Tekniker,S$4,TF_Dato,$A1017))*2,0)/2)))</f>
        <v/>
      </c>
      <c r="T1017">
        <f>IF(OR(T$4="",$A1017&gt;TODAY()),0,IF(OR(INDEX($B1017:$D1017,T$5)="F",AND(T$6&gt;0,$A1017&lt;T$6),AND(T$7&gt;0,$A1017&gt;T$7)),0,MAX(0,ROUND((INDEX($E1017:$G1017,T$5)-SUMIFS(TF_Timer,TF_Tekniker,T$4,TF_Dato,$A1017))*2,0)/2)))</f>
        <v/>
      </c>
      <c r="U1017">
        <f>IF(OR(U$4="",$A1017&gt;TODAY()),0,IF(OR(INDEX($B1017:$D1017,U$5)="F",AND(U$6&gt;0,$A1017&lt;U$6),AND(U$7&gt;0,$A1017&gt;U$7)),0,MAX(0,ROUND((INDEX($E1017:$G1017,U$5)-SUMIFS(TF_Timer,TF_Tekniker,U$4,TF_Dato,$A1017))*2,0)/2)))</f>
        <v/>
      </c>
      <c r="V1017">
        <f>IF(OR(V$4="",$A1017&gt;TODAY()),0,IF(OR(INDEX($B1017:$D1017,V$5)="F",AND(V$6&gt;0,$A1017&lt;V$6),AND(V$7&gt;0,$A1017&gt;V$7)),0,MAX(0,ROUND((INDEX($E1017:$G1017,V$5)-SUMIFS(TF_Timer,TF_Tekniker,V$4,TF_Dato,$A1017))*2,0)/2)))</f>
        <v/>
      </c>
      <c r="W1017">
        <f>IF(OR(W$4="",$A1017&gt;TODAY()),0,IF(OR(INDEX($B1017:$D1017,W$5)="F",AND(W$6&gt;0,$A1017&lt;W$6),AND(W$7&gt;0,$A1017&gt;W$7)),0,MAX(0,ROUND((INDEX($E1017:$G1017,W$5)-SUMIFS(TF_Timer,TF_Tekniker,W$4,TF_Dato,$A1017))*2,0)/2)))</f>
        <v/>
      </c>
      <c r="X1017">
        <f>IF(OR(X$4="",$A1017&gt;TODAY()),0,IF(OR(INDEX($B1017:$D1017,X$5)="F",AND(X$6&gt;0,$A1017&lt;X$6),AND(X$7&gt;0,$A1017&gt;X$7)),0,MAX(0,ROUND((INDEX($E1017:$G1017,X$5)-SUMIFS(TF_Timer,TF_Tekniker,X$4,TF_Dato,$A1017))*2,0)/2)))</f>
        <v/>
      </c>
      <c r="Y1017">
        <f>IF(OR(Y$4="",$A1017&gt;TODAY()),0,IF(OR(INDEX($B1017:$D1017,Y$5)="F",AND(Y$6&gt;0,$A1017&lt;Y$6),AND(Y$7&gt;0,$A1017&gt;Y$7)),0,MAX(0,ROUND((INDEX($E1017:$G1017,Y$5)-SUMIFS(TF_Timer,TF_Tekniker,Y$4,TF_Dato,$A1017))*2,0)/2)))</f>
        <v/>
      </c>
      <c r="Z1017">
        <f>IF(OR(Z$4="",$A1017&gt;TODAY()),0,IF(OR(INDEX($B1017:$D1017,Z$5)="F",AND(Z$6&gt;0,$A1017&lt;Z$6),AND(Z$7&gt;0,$A1017&gt;Z$7)),0,MAX(0,ROUND((INDEX($E1017:$G1017,Z$5)-SUMIFS(TF_Timer,TF_Tekniker,Z$4,TF_Dato,$A1017))*2,0)/2)))</f>
        <v/>
      </c>
      <c r="AA1017">
        <f>IF(OR(AA$4="",$A1017&gt;TODAY()),0,IF(OR(INDEX($B1017:$D1017,AA$5)="F",AND(AA$6&gt;0,$A1017&lt;AA$6),AND(AA$7&gt;0,$A1017&gt;AA$7)),0,MAX(0,ROUND((INDEX($E1017:$G1017,AA$5)-SUMIFS(TF_Timer,TF_Tekniker,AA$4,TF_Dato,$A1017))*2,0)/2)))</f>
        <v/>
      </c>
      <c r="AB1017">
        <f>IF(OR(AB$4="",$A1017&gt;TODAY()),0,IF(OR(INDEX($B1017:$D1017,AB$5)="F",AND(AB$6&gt;0,$A1017&lt;AB$6),AND(AB$7&gt;0,$A1017&gt;AB$7)),0,MAX(0,ROUND((INDEX($E1017:$G1017,AB$5)-SUMIFS(TF_Timer,TF_Tekniker,AB$4,TF_Dato,$A1017))*2,0)/2)))</f>
        <v/>
      </c>
      <c r="AC1017">
        <f>IF(OR(AC$4="",$A1017&gt;TODAY()),0,IF(OR(INDEX($B1017:$D1017,AC$5)="F",AND(AC$6&gt;0,$A1017&lt;AC$6),AND(AC$7&gt;0,$A1017&gt;AC$7)),0,MAX(0,ROUND((INDEX($E1017:$G1017,AC$5)-SUMIFS(TF_Timer,TF_Tekniker,AC$4,TF_Dato,$A1017))*2,0)/2)))</f>
        <v/>
      </c>
      <c r="AD1017">
        <f>IF(OR(AD$4="",$A1017&gt;TODAY()),0,IF(OR(INDEX($B1017:$D1017,AD$5)="F",AND(AD$6&gt;0,$A1017&lt;AD$6),AND(AD$7&gt;0,$A1017&gt;AD$7)),0,MAX(0,ROUND((INDEX($E1017:$G1017,AD$5)-SUMIFS(TF_Timer,TF_Tekniker,AD$4,TF_Dato,$A1017))*2,0)/2)))</f>
        <v/>
      </c>
      <c r="AE1017">
        <f>IF(OR(AE$4="",$A1017&gt;TODAY()),0,IF(OR(INDEX($B1017:$D1017,AE$5)="F",AND(AE$6&gt;0,$A1017&lt;AE$6),AND(AE$7&gt;0,$A1017&gt;AE$7)),0,MAX(0,ROUND((INDEX($E1017:$G1017,AE$5)-SUMIFS(TF_Timer,TF_Tekniker,AE$4,TF_Dato,$A1017))*2,0)/2)))</f>
        <v/>
      </c>
      <c r="AF1017">
        <f>IF(OR(AF$4="",$A1017&gt;TODAY()),0,IF(OR(INDEX($B1017:$D1017,AF$5)="F",AND(AF$6&gt;0,$A1017&lt;AF$6),AND(AF$7&gt;0,$A1017&gt;AF$7)),0,MAX(0,ROUND((INDEX($E1017:$G1017,AF$5)-SUMIFS(TF_Timer,TF_Tekniker,AF$4,TF_Dato,$A1017))*2,0)/2)))</f>
        <v/>
      </c>
      <c r="AG1017">
        <f>IF(OR(AG$4="",$A1017&gt;TODAY()),0,IF(OR(INDEX($B1017:$D1017,AG$5)="F",AND(AG$6&gt;0,$A1017&lt;AG$6),AND(AG$7&gt;0,$A1017&gt;AG$7)),0,MAX(0,ROUND((INDEX($E1017:$G1017,AG$5)-SUMIFS(TF_Timer,TF_Tekniker,AG$4,TF_Dato,$A1017))*2,0)/2)))</f>
        <v/>
      </c>
      <c r="AH1017">
        <f>IF(OR(AH$4="",$A1017&gt;TODAY()),0,IF(OR(INDEX($B1017:$D1017,AH$5)="F",AND(AH$6&gt;0,$A1017&lt;AH$6),AND(AH$7&gt;0,$A1017&gt;AH$7)),0,MAX(0,ROUND((INDEX($E1017:$G1017,AH$5)-SUMIFS(TF_Timer,TF_Tekniker,AH$4,TF_Dato,$A1017))*2,0)/2)))</f>
        <v/>
      </c>
      <c r="AI1017">
        <f>IF(OR(AI$4="",$A1017&gt;TODAY()),0,IF(OR(INDEX($B1017:$D1017,AI$5)="F",AND(AI$6&gt;0,$A1017&lt;AI$6),AND(AI$7&gt;0,$A1017&gt;AI$7)),0,MAX(0,ROUND((INDEX($E1017:$G1017,AI$5)-SUMIFS(TF_Timer,TF_Tekniker,AI$4,TF_Dato,$A1017))*2,0)/2)))</f>
        <v/>
      </c>
      <c r="AJ1017">
        <f>IF(OR(AJ$4="",$A1017&gt;TODAY()),0,IF(OR(INDEX($B1017:$D1017,AJ$5)="F",AND(AJ$6&gt;0,$A1017&lt;AJ$6),AND(AJ$7&gt;0,$A1017&gt;AJ$7)),0,MAX(0,ROUND((INDEX($E1017:$G1017,AJ$5)-SUMIFS(TF_Timer,TF_Tekniker,AJ$4,TF_Dato,$A1017))*2,0)/2)))</f>
        <v/>
      </c>
      <c r="AK1017">
        <f>IF(OR(AK$4="",$A1017&gt;TODAY()),0,IF(OR(INDEX($B1017:$D1017,AK$5)="F",AND(AK$6&gt;0,$A1017&lt;AK$6),AND(AK$7&gt;0,$A1017&gt;AK$7)),0,MAX(0,ROUND((INDEX($E1017:$G1017,AK$5)-SUMIFS(TF_Timer,TF_Tekniker,AK$4,TF_Dato,$A1017))*2,0)/2)))</f>
        <v/>
      </c>
      <c r="AL1017">
        <f>IF(OR(AL$4="",$A1017&gt;TODAY()),0,IF(OR(INDEX($B1017:$D1017,AL$5)="F",AND(AL$6&gt;0,$A1017&lt;AL$6),AND(AL$7&gt;0,$A1017&gt;AL$7)),0,MAX(0,ROUND((INDEX($E1017:$G1017,AL$5)-SUMIFS(TF_Timer,TF_Tekniker,AL$4,TF_Dato,$A1017))*2,0)/2)))</f>
        <v/>
      </c>
      <c r="AM1017">
        <f>IF(OR(AM$4="",$A1017&gt;TODAY()),0,IF(OR(INDEX($B1017:$D1017,AM$5)="F",AND(AM$6&gt;0,$A1017&lt;AM$6),AND(AM$7&gt;0,$A1017&gt;AM$7)),0,MAX(0,ROUND((INDEX($E1017:$G1017,AM$5)-SUMIFS(TF_Timer,TF_Tekniker,AM$4,TF_Dato,$A1017))*2,0)/2)))</f>
        <v/>
      </c>
      <c r="AN1017">
        <f>IF(OR(AN$4="",$A1017&gt;TODAY()),0,IF(OR(INDEX($B1017:$D1017,AN$5)="F",AND(AN$6&gt;0,$A1017&lt;AN$6),AND(AN$7&gt;0,$A1017&gt;AN$7)),0,MAX(0,ROUND((INDEX($E1017:$G1017,AN$5)-SUMIFS(TF_Timer,TF_Tekniker,AN$4,TF_Dato,$A1017))*2,0)/2)))</f>
        <v/>
      </c>
      <c r="AO1017">
        <f>IF(OR(AO$4="",$A1017&gt;TODAY()),0,IF(OR(INDEX($B1017:$D1017,AO$5)="F",AND(AO$6&gt;0,$A1017&lt;AO$6),AND(AO$7&gt;0,$A1017&gt;AO$7)),0,MAX(0,ROUND((INDEX($E1017:$G1017,AO$5)-SUMIFS(TF_Timer,TF_Tekniker,AO$4,TF_Dato,$A1017))*2,0)/2)))</f>
        <v/>
      </c>
      <c r="AP1017">
        <f>IF(OR(AP$4="",$A1017&gt;TODAY()),0,IF(OR(INDEX($B1017:$D1017,AP$5)="F",AND(AP$6&gt;0,$A1017&lt;AP$6),AND(AP$7&gt;0,$A1017&gt;AP$7)),0,MAX(0,ROUND((INDEX($E1017:$G1017,AP$5)-SUMIFS(TF_Timer,TF_Tekniker,AP$4,TF_Dato,$A1017))*2,0)/2)))</f>
        <v/>
      </c>
      <c r="AQ1017">
        <f>IF(OR(AQ$4="",$A1017&gt;TODAY()),0,IF(OR(INDEX($B1017:$D1017,AQ$5)="F",AND(AQ$6&gt;0,$A1017&lt;AQ$6),AND(AQ$7&gt;0,$A1017&gt;AQ$7)),0,MAX(0,ROUND((INDEX($E1017:$G1017,AQ$5)-SUMIFS(TF_Timer,TF_Tekniker,AQ$4,TF_Dato,$A1017))*2,0)/2)))</f>
        <v/>
      </c>
      <c r="AR1017">
        <f>IF(OR(AR$4="",$A1017&gt;TODAY()),0,IF(OR(INDEX($B1017:$D1017,AR$5)="F",AND(AR$6&gt;0,$A1017&lt;AR$6),AND(AR$7&gt;0,$A1017&gt;AR$7)),0,MAX(0,ROUND((INDEX($E1017:$G1017,AR$5)-SUMIFS(TF_Timer,TF_Tekniker,AR$4,TF_Dato,$A1017))*2,0)/2)))</f>
        <v/>
      </c>
      <c r="AS1017">
        <f>IF(OR(AS$4="",$A1017&gt;TODAY()),0,IF(OR(INDEX($B1017:$D1017,AS$5)="F",AND(AS$6&gt;0,$A1017&lt;AS$6),AND(AS$7&gt;0,$A1017&gt;AS$7)),0,MAX(0,ROUND((INDEX($E1017:$G1017,AS$5)-SUMIFS(TF_Timer,TF_Tekniker,AS$4,TF_Dato,$A1017))*2,0)/2)))</f>
        <v/>
      </c>
      <c r="AT1017">
        <f>IF(OR(AT$4="",$A1017&gt;TODAY()),0,IF(OR(INDEX($B1017:$D1017,AT$5)="F",AND(AT$6&gt;0,$A1017&lt;AT$6),AND(AT$7&gt;0,$A1017&gt;AT$7)),0,MAX(0,ROUND((INDEX($E1017:$G1017,AT$5)-SUMIFS(TF_Timer,TF_Tekniker,AT$4,TF_Dato,$A1017))*2,0)/2)))</f>
        <v/>
      </c>
      <c r="AU1017">
        <f>IF(OR(AU$4="",$A1017&gt;TODAY()),0,IF(OR(INDEX($B1017:$D1017,AU$5)="F",AND(AU$6&gt;0,$A1017&lt;AU$6),AND(AU$7&gt;0,$A1017&gt;AU$7)),0,MAX(0,ROUND((INDEX($E1017:$G1017,AU$5)-SUMIFS(TF_Timer,TF_Tekniker,AU$4,TF_Dato,$A1017))*2,0)/2)))</f>
        <v/>
      </c>
      <c r="AV1017">
        <f>IF(OR(AV$4="",$A1017&gt;TODAY()),0,IF(OR(INDEX($B1017:$D1017,AV$5)="F",AND(AV$6&gt;0,$A1017&lt;AV$6),AND(AV$7&gt;0,$A1017&gt;AV$7)),0,MAX(0,ROUND((INDEX($E1017:$G1017,AV$5)-SUMIFS(TF_Timer,TF_Tekniker,AV$4,TF_Dato,$A1017))*2,0)/2)))</f>
        <v/>
      </c>
      <c r="AW1017">
        <f>IF(OR(AW$4="",$A1017&gt;TODAY()),0,IF(OR(INDEX($B1017:$D1017,AW$5)="F",AND(AW$6&gt;0,$A1017&lt;AW$6),AND(AW$7&gt;0,$A1017&gt;AW$7)),0,MAX(0,ROUND((INDEX($E1017:$G1017,AW$5)-SUMIFS(TF_Timer,TF_Tekniker,AW$4,TF_Dato,$A1017))*2,0)/2)))</f>
        <v/>
      </c>
      <c r="AX1017">
        <f>IF(OR(AX$4="",$A1017&gt;TODAY()),0,IF(OR(INDEX($B1017:$D1017,AX$5)="F",AND(AX$6&gt;0,$A1017&lt;AX$6),AND(AX$7&gt;0,$A1017&gt;AX$7)),0,MAX(0,ROUND((INDEX($E1017:$G1017,AX$5)-SUMIFS(TF_Timer,TF_Tekniker,AX$4,TF_Dato,$A1017))*2,0)/2)))</f>
        <v/>
      </c>
      <c r="AY1017">
        <f>IF(OR(AY$4="",$A1017&gt;TODAY()),0,IF(OR(INDEX($B1017:$D1017,AY$5)="F",AND(AY$6&gt;0,$A1017&lt;AY$6),AND(AY$7&gt;0,$A1017&gt;AY$7)),0,MAX(0,ROUND((INDEX($E1017:$G1017,AY$5)-SUMIFS(TF_Timer,TF_Tekniker,AY$4,TF_Dato,$A1017))*2,0)/2)))</f>
        <v/>
      </c>
      <c r="AZ1017">
        <f>IF(OR(AZ$4="",$A1017&gt;TODAY()),0,IF(OR(INDEX($B1017:$D1017,AZ$5)="F",AND(AZ$6&gt;0,$A1017&lt;AZ$6),AND(AZ$7&gt;0,$A1017&gt;AZ$7)),0,MAX(0,ROUND((INDEX($E1017:$G1017,AZ$5)-SUMIFS(TF_Timer,TF_Tekniker,AZ$4,TF_Dato,$A1017))*2,0)/2)))</f>
        <v/>
      </c>
      <c r="BA1017">
        <f>IF(OR(BA$4="",$A1017&gt;TODAY()),0,IF(OR(INDEX($B1017:$D1017,BA$5)="F",AND(BA$6&gt;0,$A1017&lt;BA$6),AND(BA$7&gt;0,$A1017&gt;BA$7)),0,MAX(0,ROUND((INDEX($E1017:$G1017,BA$5)-SUMIFS(TF_Timer,TF_Tekniker,BA$4,TF_Dato,$A1017))*2,0)/2)))</f>
        <v/>
      </c>
      <c r="BB1017">
        <f>IF(OR(BB$4="",$A1017&gt;TODAY()),0,IF(OR(INDEX($B1017:$D1017,BB$5)="F",AND(BB$6&gt;0,$A1017&lt;BB$6),AND(BB$7&gt;0,$A1017&gt;BB$7)),0,MAX(0,ROUND((INDEX($E1017:$G1017,BB$5)-SUMIFS(TF_Timer,TF_Tekniker,BB$4,TF_Dato,$A1017))*2,0)/2)))</f>
        <v/>
      </c>
      <c r="BC1017">
        <f>IF(OR(BC$4="",$A1017&gt;TODAY()),0,IF(OR(INDEX($B1017:$D1017,BC$5)="F",AND(BC$6&gt;0,$A1017&lt;BC$6),AND(BC$7&gt;0,$A1017&gt;BC$7)),0,MAX(0,ROUND((INDEX($E1017:$G1017,BC$5)-SUMIFS(TF_Timer,TF_Tekniker,BC$4,TF_Dato,$A1017))*2,0)/2)))</f>
        <v/>
      </c>
      <c r="BD1017">
        <f>IF(OR(BD$4="",$A1017&gt;TODAY()),0,IF(OR(INDEX($B1017:$D1017,BD$5)="F",AND(BD$6&gt;0,$A1017&lt;BD$6),AND(BD$7&gt;0,$A1017&gt;BD$7)),0,MAX(0,ROUND((INDEX($E1017:$G1017,BD$5)-SUMIFS(TF_Timer,TF_Tekniker,BD$4,TF_Dato,$A1017))*2,0)/2)))</f>
        <v/>
      </c>
      <c r="BE1017">
        <f>IF(OR(BE$4="",$A1017&gt;TODAY()),0,IF(OR(INDEX($B1017:$D1017,BE$5)="F",AND(BE$6&gt;0,$A1017&lt;BE$6),AND(BE$7&gt;0,$A1017&gt;BE$7)),0,MAX(0,ROUND((INDEX($E1017:$G1017,BE$5)-SUMIFS(TF_Timer,TF_Tekniker,BE$4,TF_Dato,$A1017))*2,0)/2)))</f>
        <v/>
      </c>
      <c r="BF1017">
        <f>IF(OR(BF$4="",$A1017&gt;TODAY()),0,IF(OR(INDEX($B1017:$D1017,BF$5)="F",AND(BF$6&gt;0,$A1017&lt;BF$6),AND(BF$7&gt;0,$A1017&gt;BF$7)),0,MAX(0,ROUND((INDEX($E1017:$G1017,BF$5)-SUMIFS(TF_Timer,TF_Tekniker,BF$4,TF_Dato,$A1017))*2,0)/2)))</f>
        <v/>
      </c>
      <c r="BG1017">
        <f>IF(OR(BG$4="",$A1017&gt;TODAY()),0,IF(OR(INDEX($B1017:$D1017,BG$5)="F",AND(BG$6&gt;0,$A1017&lt;BG$6),AND(BG$7&gt;0,$A1017&gt;BG$7)),0,MAX(0,ROUND((INDEX($E1017:$G1017,BG$5)-SUMIFS(TF_Timer,TF_Tekniker,BG$4,TF_Dato,$A1017))*2,0)/2)))</f>
        <v/>
      </c>
      <c r="BH1017">
        <f>IF(OR(BH$4="",$A1017&gt;TODAY()),0,IF(OR(INDEX($B1017:$D1017,BH$5)="F",AND(BH$6&gt;0,$A1017&lt;BH$6),AND(BH$7&gt;0,$A1017&gt;BH$7)),0,MAX(0,ROUND((INDEX($E1017:$G1017,BH$5)-SUMIFS(TF_Timer,TF_Tekniker,BH$4,TF_Dato,$A1017))*2,0)/2)))</f>
        <v/>
      </c>
      <c r="BI1017">
        <f>IF(OR(BI$4="",$A1017&gt;TODAY()),0,IF(OR(INDEX($B1017:$D1017,BI$5)="F",AND(BI$6&gt;0,$A1017&lt;BI$6),AND(BI$7&gt;0,$A1017&gt;BI$7)),0,MAX(0,ROUND((INDEX($E1017:$G1017,BI$5)-SUMIFS(TF_Timer,TF_Tekniker,BI$4,TF_Dato,$A1017))*2,0)/2)))</f>
        <v/>
      </c>
    </row>
    <row r="1018">
      <c r="A1018" s="64">
        <f>A1017+1</f>
        <v/>
      </c>
      <c r="B1018">
        <f>IF(MOD($A1018-INDEX(SkiftStart,1),Syklus)&lt;DagK,"K",IF(MOD($A1018-INDEX(SkiftStart,1),Syklus)&lt;DagK+DagH,"H",IF(MOD($A1018-INDEX(SkiftStart,1),Syklus)&lt;DagK+DagH+DagD,"D","F")))</f>
        <v/>
      </c>
      <c r="C1018">
        <f>IF(MOD($A1018-INDEX(SkiftStart,2),Syklus)&lt;DagK,"K",IF(MOD($A1018-INDEX(SkiftStart,2),Syklus)&lt;DagK+DagH,"H",IF(MOD($A1018-INDEX(SkiftStart,2),Syklus)&lt;DagK+DagH+DagD,"D","F")))</f>
        <v/>
      </c>
      <c r="D1018">
        <f>IF(MOD($A1018-INDEX(SkiftStart,3),Syklus)&lt;DagK,"K",IF(MOD($A1018-INDEX(SkiftStart,3),Syklus)&lt;DagK+DagH,"H",IF(MOD($A1018-INDEX(SkiftStart,3),Syklus)&lt;DagK+DagH+DagD,"D","F")))</f>
        <v/>
      </c>
      <c r="E1018">
        <f>IF(B1018="F",0,IF(WEEKDAY($A1018,2)=5,INDEX(TimerFr,MATCH(B1018,FaseKode,0)),INDEX(TimerMT,MATCH(B1018,FaseKode,0))))</f>
        <v/>
      </c>
      <c r="F1018">
        <f>IF(C1018="F",0,IF(WEEKDAY($A1018,2)=5,INDEX(TimerFr,MATCH(C1018,FaseKode,0)),INDEX(TimerMT,MATCH(C1018,FaseKode,0))))</f>
        <v/>
      </c>
      <c r="G1018">
        <f>IF(D1018="F",0,IF(WEEKDAY($A1018,2)=5,INDEX(TimerFr,MATCH(D1018,FaseKode,0)),INDEX(TimerMT,MATCH(D1018,FaseKode,0))))</f>
        <v/>
      </c>
      <c r="H1018">
        <f>IF(OR(H$4="",$A1018&gt;TODAY()),0,IF(OR(INDEX($B1018:$D1018,H$5)="F",AND(H$6&gt;0,$A1018&lt;H$6),AND(H$7&gt;0,$A1018&gt;H$7)),0,MAX(0,ROUND((INDEX($E1018:$G1018,H$5)-SUMIFS(TF_Timer,TF_Tekniker,H$4,TF_Dato,$A1018))*2,0)/2)))</f>
        <v/>
      </c>
      <c r="I1018">
        <f>IF(OR(I$4="",$A1018&gt;TODAY()),0,IF(OR(INDEX($B1018:$D1018,I$5)="F",AND(I$6&gt;0,$A1018&lt;I$6),AND(I$7&gt;0,$A1018&gt;I$7)),0,MAX(0,ROUND((INDEX($E1018:$G1018,I$5)-SUMIFS(TF_Timer,TF_Tekniker,I$4,TF_Dato,$A1018))*2,0)/2)))</f>
        <v/>
      </c>
      <c r="J1018">
        <f>IF(OR(J$4="",$A1018&gt;TODAY()),0,IF(OR(INDEX($B1018:$D1018,J$5)="F",AND(J$6&gt;0,$A1018&lt;J$6),AND(J$7&gt;0,$A1018&gt;J$7)),0,MAX(0,ROUND((INDEX($E1018:$G1018,J$5)-SUMIFS(TF_Timer,TF_Tekniker,J$4,TF_Dato,$A1018))*2,0)/2)))</f>
        <v/>
      </c>
      <c r="K1018">
        <f>IF(OR(K$4="",$A1018&gt;TODAY()),0,IF(OR(INDEX($B1018:$D1018,K$5)="F",AND(K$6&gt;0,$A1018&lt;K$6),AND(K$7&gt;0,$A1018&gt;K$7)),0,MAX(0,ROUND((INDEX($E1018:$G1018,K$5)-SUMIFS(TF_Timer,TF_Tekniker,K$4,TF_Dato,$A1018))*2,0)/2)))</f>
        <v/>
      </c>
      <c r="L1018">
        <f>IF(OR(L$4="",$A1018&gt;TODAY()),0,IF(OR(INDEX($B1018:$D1018,L$5)="F",AND(L$6&gt;0,$A1018&lt;L$6),AND(L$7&gt;0,$A1018&gt;L$7)),0,MAX(0,ROUND((INDEX($E1018:$G1018,L$5)-SUMIFS(TF_Timer,TF_Tekniker,L$4,TF_Dato,$A1018))*2,0)/2)))</f>
        <v/>
      </c>
      <c r="M1018">
        <f>IF(OR(M$4="",$A1018&gt;TODAY()),0,IF(OR(INDEX($B1018:$D1018,M$5)="F",AND(M$6&gt;0,$A1018&lt;M$6),AND(M$7&gt;0,$A1018&gt;M$7)),0,MAX(0,ROUND((INDEX($E1018:$G1018,M$5)-SUMIFS(TF_Timer,TF_Tekniker,M$4,TF_Dato,$A1018))*2,0)/2)))</f>
        <v/>
      </c>
      <c r="N1018">
        <f>IF(OR(N$4="",$A1018&gt;TODAY()),0,IF(OR(INDEX($B1018:$D1018,N$5)="F",AND(N$6&gt;0,$A1018&lt;N$6),AND(N$7&gt;0,$A1018&gt;N$7)),0,MAX(0,ROUND((INDEX($E1018:$G1018,N$5)-SUMIFS(TF_Timer,TF_Tekniker,N$4,TF_Dato,$A1018))*2,0)/2)))</f>
        <v/>
      </c>
      <c r="O1018">
        <f>IF(OR(O$4="",$A1018&gt;TODAY()),0,IF(OR(INDEX($B1018:$D1018,O$5)="F",AND(O$6&gt;0,$A1018&lt;O$6),AND(O$7&gt;0,$A1018&gt;O$7)),0,MAX(0,ROUND((INDEX($E1018:$G1018,O$5)-SUMIFS(TF_Timer,TF_Tekniker,O$4,TF_Dato,$A1018))*2,0)/2)))</f>
        <v/>
      </c>
      <c r="P1018">
        <f>IF(OR(P$4="",$A1018&gt;TODAY()),0,IF(OR(INDEX($B1018:$D1018,P$5)="F",AND(P$6&gt;0,$A1018&lt;P$6),AND(P$7&gt;0,$A1018&gt;P$7)),0,MAX(0,ROUND((INDEX($E1018:$G1018,P$5)-SUMIFS(TF_Timer,TF_Tekniker,P$4,TF_Dato,$A1018))*2,0)/2)))</f>
        <v/>
      </c>
      <c r="Q1018">
        <f>IF(OR(Q$4="",$A1018&gt;TODAY()),0,IF(OR(INDEX($B1018:$D1018,Q$5)="F",AND(Q$6&gt;0,$A1018&lt;Q$6),AND(Q$7&gt;0,$A1018&gt;Q$7)),0,MAX(0,ROUND((INDEX($E1018:$G1018,Q$5)-SUMIFS(TF_Timer,TF_Tekniker,Q$4,TF_Dato,$A1018))*2,0)/2)))</f>
        <v/>
      </c>
      <c r="R1018">
        <f>IF(OR(R$4="",$A1018&gt;TODAY()),0,IF(OR(INDEX($B1018:$D1018,R$5)="F",AND(R$6&gt;0,$A1018&lt;R$6),AND(R$7&gt;0,$A1018&gt;R$7)),0,MAX(0,ROUND((INDEX($E1018:$G1018,R$5)-SUMIFS(TF_Timer,TF_Tekniker,R$4,TF_Dato,$A1018))*2,0)/2)))</f>
        <v/>
      </c>
      <c r="S1018">
        <f>IF(OR(S$4="",$A1018&gt;TODAY()),0,IF(OR(INDEX($B1018:$D1018,S$5)="F",AND(S$6&gt;0,$A1018&lt;S$6),AND(S$7&gt;0,$A1018&gt;S$7)),0,MAX(0,ROUND((INDEX($E1018:$G1018,S$5)-SUMIFS(TF_Timer,TF_Tekniker,S$4,TF_Dato,$A1018))*2,0)/2)))</f>
        <v/>
      </c>
      <c r="T1018">
        <f>IF(OR(T$4="",$A1018&gt;TODAY()),0,IF(OR(INDEX($B1018:$D1018,T$5)="F",AND(T$6&gt;0,$A1018&lt;T$6),AND(T$7&gt;0,$A1018&gt;T$7)),0,MAX(0,ROUND((INDEX($E1018:$G1018,T$5)-SUMIFS(TF_Timer,TF_Tekniker,T$4,TF_Dato,$A1018))*2,0)/2)))</f>
        <v/>
      </c>
      <c r="U1018">
        <f>IF(OR(U$4="",$A1018&gt;TODAY()),0,IF(OR(INDEX($B1018:$D1018,U$5)="F",AND(U$6&gt;0,$A1018&lt;U$6),AND(U$7&gt;0,$A1018&gt;U$7)),0,MAX(0,ROUND((INDEX($E1018:$G1018,U$5)-SUMIFS(TF_Timer,TF_Tekniker,U$4,TF_Dato,$A1018))*2,0)/2)))</f>
        <v/>
      </c>
      <c r="V1018">
        <f>IF(OR(V$4="",$A1018&gt;TODAY()),0,IF(OR(INDEX($B1018:$D1018,V$5)="F",AND(V$6&gt;0,$A1018&lt;V$6),AND(V$7&gt;0,$A1018&gt;V$7)),0,MAX(0,ROUND((INDEX($E1018:$G1018,V$5)-SUMIFS(TF_Timer,TF_Tekniker,V$4,TF_Dato,$A1018))*2,0)/2)))</f>
        <v/>
      </c>
      <c r="W1018">
        <f>IF(OR(W$4="",$A1018&gt;TODAY()),0,IF(OR(INDEX($B1018:$D1018,W$5)="F",AND(W$6&gt;0,$A1018&lt;W$6),AND(W$7&gt;0,$A1018&gt;W$7)),0,MAX(0,ROUND((INDEX($E1018:$G1018,W$5)-SUMIFS(TF_Timer,TF_Tekniker,W$4,TF_Dato,$A1018))*2,0)/2)))</f>
        <v/>
      </c>
      <c r="X1018">
        <f>IF(OR(X$4="",$A1018&gt;TODAY()),0,IF(OR(INDEX($B1018:$D1018,X$5)="F",AND(X$6&gt;0,$A1018&lt;X$6),AND(X$7&gt;0,$A1018&gt;X$7)),0,MAX(0,ROUND((INDEX($E1018:$G1018,X$5)-SUMIFS(TF_Timer,TF_Tekniker,X$4,TF_Dato,$A1018))*2,0)/2)))</f>
        <v/>
      </c>
      <c r="Y1018">
        <f>IF(OR(Y$4="",$A1018&gt;TODAY()),0,IF(OR(INDEX($B1018:$D1018,Y$5)="F",AND(Y$6&gt;0,$A1018&lt;Y$6),AND(Y$7&gt;0,$A1018&gt;Y$7)),0,MAX(0,ROUND((INDEX($E1018:$G1018,Y$5)-SUMIFS(TF_Timer,TF_Tekniker,Y$4,TF_Dato,$A1018))*2,0)/2)))</f>
        <v/>
      </c>
      <c r="Z1018">
        <f>IF(OR(Z$4="",$A1018&gt;TODAY()),0,IF(OR(INDEX($B1018:$D1018,Z$5)="F",AND(Z$6&gt;0,$A1018&lt;Z$6),AND(Z$7&gt;0,$A1018&gt;Z$7)),0,MAX(0,ROUND((INDEX($E1018:$G1018,Z$5)-SUMIFS(TF_Timer,TF_Tekniker,Z$4,TF_Dato,$A1018))*2,0)/2)))</f>
        <v/>
      </c>
      <c r="AA1018">
        <f>IF(OR(AA$4="",$A1018&gt;TODAY()),0,IF(OR(INDEX($B1018:$D1018,AA$5)="F",AND(AA$6&gt;0,$A1018&lt;AA$6),AND(AA$7&gt;0,$A1018&gt;AA$7)),0,MAX(0,ROUND((INDEX($E1018:$G1018,AA$5)-SUMIFS(TF_Timer,TF_Tekniker,AA$4,TF_Dato,$A1018))*2,0)/2)))</f>
        <v/>
      </c>
      <c r="AB1018">
        <f>IF(OR(AB$4="",$A1018&gt;TODAY()),0,IF(OR(INDEX($B1018:$D1018,AB$5)="F",AND(AB$6&gt;0,$A1018&lt;AB$6),AND(AB$7&gt;0,$A1018&gt;AB$7)),0,MAX(0,ROUND((INDEX($E1018:$G1018,AB$5)-SUMIFS(TF_Timer,TF_Tekniker,AB$4,TF_Dato,$A1018))*2,0)/2)))</f>
        <v/>
      </c>
      <c r="AC1018">
        <f>IF(OR(AC$4="",$A1018&gt;TODAY()),0,IF(OR(INDEX($B1018:$D1018,AC$5)="F",AND(AC$6&gt;0,$A1018&lt;AC$6),AND(AC$7&gt;0,$A1018&gt;AC$7)),0,MAX(0,ROUND((INDEX($E1018:$G1018,AC$5)-SUMIFS(TF_Timer,TF_Tekniker,AC$4,TF_Dato,$A1018))*2,0)/2)))</f>
        <v/>
      </c>
      <c r="AD1018">
        <f>IF(OR(AD$4="",$A1018&gt;TODAY()),0,IF(OR(INDEX($B1018:$D1018,AD$5)="F",AND(AD$6&gt;0,$A1018&lt;AD$6),AND(AD$7&gt;0,$A1018&gt;AD$7)),0,MAX(0,ROUND((INDEX($E1018:$G1018,AD$5)-SUMIFS(TF_Timer,TF_Tekniker,AD$4,TF_Dato,$A1018))*2,0)/2)))</f>
        <v/>
      </c>
      <c r="AE1018">
        <f>IF(OR(AE$4="",$A1018&gt;TODAY()),0,IF(OR(INDEX($B1018:$D1018,AE$5)="F",AND(AE$6&gt;0,$A1018&lt;AE$6),AND(AE$7&gt;0,$A1018&gt;AE$7)),0,MAX(0,ROUND((INDEX($E1018:$G1018,AE$5)-SUMIFS(TF_Timer,TF_Tekniker,AE$4,TF_Dato,$A1018))*2,0)/2)))</f>
        <v/>
      </c>
      <c r="AF1018">
        <f>IF(OR(AF$4="",$A1018&gt;TODAY()),0,IF(OR(INDEX($B1018:$D1018,AF$5)="F",AND(AF$6&gt;0,$A1018&lt;AF$6),AND(AF$7&gt;0,$A1018&gt;AF$7)),0,MAX(0,ROUND((INDEX($E1018:$G1018,AF$5)-SUMIFS(TF_Timer,TF_Tekniker,AF$4,TF_Dato,$A1018))*2,0)/2)))</f>
        <v/>
      </c>
      <c r="AG1018">
        <f>IF(OR(AG$4="",$A1018&gt;TODAY()),0,IF(OR(INDEX($B1018:$D1018,AG$5)="F",AND(AG$6&gt;0,$A1018&lt;AG$6),AND(AG$7&gt;0,$A1018&gt;AG$7)),0,MAX(0,ROUND((INDEX($E1018:$G1018,AG$5)-SUMIFS(TF_Timer,TF_Tekniker,AG$4,TF_Dato,$A1018))*2,0)/2)))</f>
        <v/>
      </c>
      <c r="AH1018">
        <f>IF(OR(AH$4="",$A1018&gt;TODAY()),0,IF(OR(INDEX($B1018:$D1018,AH$5)="F",AND(AH$6&gt;0,$A1018&lt;AH$6),AND(AH$7&gt;0,$A1018&gt;AH$7)),0,MAX(0,ROUND((INDEX($E1018:$G1018,AH$5)-SUMIFS(TF_Timer,TF_Tekniker,AH$4,TF_Dato,$A1018))*2,0)/2)))</f>
        <v/>
      </c>
      <c r="AI1018">
        <f>IF(OR(AI$4="",$A1018&gt;TODAY()),0,IF(OR(INDEX($B1018:$D1018,AI$5)="F",AND(AI$6&gt;0,$A1018&lt;AI$6),AND(AI$7&gt;0,$A1018&gt;AI$7)),0,MAX(0,ROUND((INDEX($E1018:$G1018,AI$5)-SUMIFS(TF_Timer,TF_Tekniker,AI$4,TF_Dato,$A1018))*2,0)/2)))</f>
        <v/>
      </c>
      <c r="AJ1018">
        <f>IF(OR(AJ$4="",$A1018&gt;TODAY()),0,IF(OR(INDEX($B1018:$D1018,AJ$5)="F",AND(AJ$6&gt;0,$A1018&lt;AJ$6),AND(AJ$7&gt;0,$A1018&gt;AJ$7)),0,MAX(0,ROUND((INDEX($E1018:$G1018,AJ$5)-SUMIFS(TF_Timer,TF_Tekniker,AJ$4,TF_Dato,$A1018))*2,0)/2)))</f>
        <v/>
      </c>
      <c r="AK1018">
        <f>IF(OR(AK$4="",$A1018&gt;TODAY()),0,IF(OR(INDEX($B1018:$D1018,AK$5)="F",AND(AK$6&gt;0,$A1018&lt;AK$6),AND(AK$7&gt;0,$A1018&gt;AK$7)),0,MAX(0,ROUND((INDEX($E1018:$G1018,AK$5)-SUMIFS(TF_Timer,TF_Tekniker,AK$4,TF_Dato,$A1018))*2,0)/2)))</f>
        <v/>
      </c>
      <c r="AL1018">
        <f>IF(OR(AL$4="",$A1018&gt;TODAY()),0,IF(OR(INDEX($B1018:$D1018,AL$5)="F",AND(AL$6&gt;0,$A1018&lt;AL$6),AND(AL$7&gt;0,$A1018&gt;AL$7)),0,MAX(0,ROUND((INDEX($E1018:$G1018,AL$5)-SUMIFS(TF_Timer,TF_Tekniker,AL$4,TF_Dato,$A1018))*2,0)/2)))</f>
        <v/>
      </c>
      <c r="AM1018">
        <f>IF(OR(AM$4="",$A1018&gt;TODAY()),0,IF(OR(INDEX($B1018:$D1018,AM$5)="F",AND(AM$6&gt;0,$A1018&lt;AM$6),AND(AM$7&gt;0,$A1018&gt;AM$7)),0,MAX(0,ROUND((INDEX($E1018:$G1018,AM$5)-SUMIFS(TF_Timer,TF_Tekniker,AM$4,TF_Dato,$A1018))*2,0)/2)))</f>
        <v/>
      </c>
      <c r="AN1018">
        <f>IF(OR(AN$4="",$A1018&gt;TODAY()),0,IF(OR(INDEX($B1018:$D1018,AN$5)="F",AND(AN$6&gt;0,$A1018&lt;AN$6),AND(AN$7&gt;0,$A1018&gt;AN$7)),0,MAX(0,ROUND((INDEX($E1018:$G1018,AN$5)-SUMIFS(TF_Timer,TF_Tekniker,AN$4,TF_Dato,$A1018))*2,0)/2)))</f>
        <v/>
      </c>
      <c r="AO1018">
        <f>IF(OR(AO$4="",$A1018&gt;TODAY()),0,IF(OR(INDEX($B1018:$D1018,AO$5)="F",AND(AO$6&gt;0,$A1018&lt;AO$6),AND(AO$7&gt;0,$A1018&gt;AO$7)),0,MAX(0,ROUND((INDEX($E1018:$G1018,AO$5)-SUMIFS(TF_Timer,TF_Tekniker,AO$4,TF_Dato,$A1018))*2,0)/2)))</f>
        <v/>
      </c>
      <c r="AP1018">
        <f>IF(OR(AP$4="",$A1018&gt;TODAY()),0,IF(OR(INDEX($B1018:$D1018,AP$5)="F",AND(AP$6&gt;0,$A1018&lt;AP$6),AND(AP$7&gt;0,$A1018&gt;AP$7)),0,MAX(0,ROUND((INDEX($E1018:$G1018,AP$5)-SUMIFS(TF_Timer,TF_Tekniker,AP$4,TF_Dato,$A1018))*2,0)/2)))</f>
        <v/>
      </c>
      <c r="AQ1018">
        <f>IF(OR(AQ$4="",$A1018&gt;TODAY()),0,IF(OR(INDEX($B1018:$D1018,AQ$5)="F",AND(AQ$6&gt;0,$A1018&lt;AQ$6),AND(AQ$7&gt;0,$A1018&gt;AQ$7)),0,MAX(0,ROUND((INDEX($E1018:$G1018,AQ$5)-SUMIFS(TF_Timer,TF_Tekniker,AQ$4,TF_Dato,$A1018))*2,0)/2)))</f>
        <v/>
      </c>
      <c r="AR1018">
        <f>IF(OR(AR$4="",$A1018&gt;TODAY()),0,IF(OR(INDEX($B1018:$D1018,AR$5)="F",AND(AR$6&gt;0,$A1018&lt;AR$6),AND(AR$7&gt;0,$A1018&gt;AR$7)),0,MAX(0,ROUND((INDEX($E1018:$G1018,AR$5)-SUMIFS(TF_Timer,TF_Tekniker,AR$4,TF_Dato,$A1018))*2,0)/2)))</f>
        <v/>
      </c>
      <c r="AS1018">
        <f>IF(OR(AS$4="",$A1018&gt;TODAY()),0,IF(OR(INDEX($B1018:$D1018,AS$5)="F",AND(AS$6&gt;0,$A1018&lt;AS$6),AND(AS$7&gt;0,$A1018&gt;AS$7)),0,MAX(0,ROUND((INDEX($E1018:$G1018,AS$5)-SUMIFS(TF_Timer,TF_Tekniker,AS$4,TF_Dato,$A1018))*2,0)/2)))</f>
        <v/>
      </c>
      <c r="AT1018">
        <f>IF(OR(AT$4="",$A1018&gt;TODAY()),0,IF(OR(INDEX($B1018:$D1018,AT$5)="F",AND(AT$6&gt;0,$A1018&lt;AT$6),AND(AT$7&gt;0,$A1018&gt;AT$7)),0,MAX(0,ROUND((INDEX($E1018:$G1018,AT$5)-SUMIFS(TF_Timer,TF_Tekniker,AT$4,TF_Dato,$A1018))*2,0)/2)))</f>
        <v/>
      </c>
      <c r="AU1018">
        <f>IF(OR(AU$4="",$A1018&gt;TODAY()),0,IF(OR(INDEX($B1018:$D1018,AU$5)="F",AND(AU$6&gt;0,$A1018&lt;AU$6),AND(AU$7&gt;0,$A1018&gt;AU$7)),0,MAX(0,ROUND((INDEX($E1018:$G1018,AU$5)-SUMIFS(TF_Timer,TF_Tekniker,AU$4,TF_Dato,$A1018))*2,0)/2)))</f>
        <v/>
      </c>
      <c r="AV1018">
        <f>IF(OR(AV$4="",$A1018&gt;TODAY()),0,IF(OR(INDEX($B1018:$D1018,AV$5)="F",AND(AV$6&gt;0,$A1018&lt;AV$6),AND(AV$7&gt;0,$A1018&gt;AV$7)),0,MAX(0,ROUND((INDEX($E1018:$G1018,AV$5)-SUMIFS(TF_Timer,TF_Tekniker,AV$4,TF_Dato,$A1018))*2,0)/2)))</f>
        <v/>
      </c>
      <c r="AW1018">
        <f>IF(OR(AW$4="",$A1018&gt;TODAY()),0,IF(OR(INDEX($B1018:$D1018,AW$5)="F",AND(AW$6&gt;0,$A1018&lt;AW$6),AND(AW$7&gt;0,$A1018&gt;AW$7)),0,MAX(0,ROUND((INDEX($E1018:$G1018,AW$5)-SUMIFS(TF_Timer,TF_Tekniker,AW$4,TF_Dato,$A1018))*2,0)/2)))</f>
        <v/>
      </c>
      <c r="AX1018">
        <f>IF(OR(AX$4="",$A1018&gt;TODAY()),0,IF(OR(INDEX($B1018:$D1018,AX$5)="F",AND(AX$6&gt;0,$A1018&lt;AX$6),AND(AX$7&gt;0,$A1018&gt;AX$7)),0,MAX(0,ROUND((INDEX($E1018:$G1018,AX$5)-SUMIFS(TF_Timer,TF_Tekniker,AX$4,TF_Dato,$A1018))*2,0)/2)))</f>
        <v/>
      </c>
      <c r="AY1018">
        <f>IF(OR(AY$4="",$A1018&gt;TODAY()),0,IF(OR(INDEX($B1018:$D1018,AY$5)="F",AND(AY$6&gt;0,$A1018&lt;AY$6),AND(AY$7&gt;0,$A1018&gt;AY$7)),0,MAX(0,ROUND((INDEX($E1018:$G1018,AY$5)-SUMIFS(TF_Timer,TF_Tekniker,AY$4,TF_Dato,$A1018))*2,0)/2)))</f>
        <v/>
      </c>
      <c r="AZ1018">
        <f>IF(OR(AZ$4="",$A1018&gt;TODAY()),0,IF(OR(INDEX($B1018:$D1018,AZ$5)="F",AND(AZ$6&gt;0,$A1018&lt;AZ$6),AND(AZ$7&gt;0,$A1018&gt;AZ$7)),0,MAX(0,ROUND((INDEX($E1018:$G1018,AZ$5)-SUMIFS(TF_Timer,TF_Tekniker,AZ$4,TF_Dato,$A1018))*2,0)/2)))</f>
        <v/>
      </c>
      <c r="BA1018">
        <f>IF(OR(BA$4="",$A1018&gt;TODAY()),0,IF(OR(INDEX($B1018:$D1018,BA$5)="F",AND(BA$6&gt;0,$A1018&lt;BA$6),AND(BA$7&gt;0,$A1018&gt;BA$7)),0,MAX(0,ROUND((INDEX($E1018:$G1018,BA$5)-SUMIFS(TF_Timer,TF_Tekniker,BA$4,TF_Dato,$A1018))*2,0)/2)))</f>
        <v/>
      </c>
      <c r="BB1018">
        <f>IF(OR(BB$4="",$A1018&gt;TODAY()),0,IF(OR(INDEX($B1018:$D1018,BB$5)="F",AND(BB$6&gt;0,$A1018&lt;BB$6),AND(BB$7&gt;0,$A1018&gt;BB$7)),0,MAX(0,ROUND((INDEX($E1018:$G1018,BB$5)-SUMIFS(TF_Timer,TF_Tekniker,BB$4,TF_Dato,$A1018))*2,0)/2)))</f>
        <v/>
      </c>
      <c r="BC1018">
        <f>IF(OR(BC$4="",$A1018&gt;TODAY()),0,IF(OR(INDEX($B1018:$D1018,BC$5)="F",AND(BC$6&gt;0,$A1018&lt;BC$6),AND(BC$7&gt;0,$A1018&gt;BC$7)),0,MAX(0,ROUND((INDEX($E1018:$G1018,BC$5)-SUMIFS(TF_Timer,TF_Tekniker,BC$4,TF_Dato,$A1018))*2,0)/2)))</f>
        <v/>
      </c>
      <c r="BD1018">
        <f>IF(OR(BD$4="",$A1018&gt;TODAY()),0,IF(OR(INDEX($B1018:$D1018,BD$5)="F",AND(BD$6&gt;0,$A1018&lt;BD$6),AND(BD$7&gt;0,$A1018&gt;BD$7)),0,MAX(0,ROUND((INDEX($E1018:$G1018,BD$5)-SUMIFS(TF_Timer,TF_Tekniker,BD$4,TF_Dato,$A1018))*2,0)/2)))</f>
        <v/>
      </c>
      <c r="BE1018">
        <f>IF(OR(BE$4="",$A1018&gt;TODAY()),0,IF(OR(INDEX($B1018:$D1018,BE$5)="F",AND(BE$6&gt;0,$A1018&lt;BE$6),AND(BE$7&gt;0,$A1018&gt;BE$7)),0,MAX(0,ROUND((INDEX($E1018:$G1018,BE$5)-SUMIFS(TF_Timer,TF_Tekniker,BE$4,TF_Dato,$A1018))*2,0)/2)))</f>
        <v/>
      </c>
      <c r="BF1018">
        <f>IF(OR(BF$4="",$A1018&gt;TODAY()),0,IF(OR(INDEX($B1018:$D1018,BF$5)="F",AND(BF$6&gt;0,$A1018&lt;BF$6),AND(BF$7&gt;0,$A1018&gt;BF$7)),0,MAX(0,ROUND((INDEX($E1018:$G1018,BF$5)-SUMIFS(TF_Timer,TF_Tekniker,BF$4,TF_Dato,$A1018))*2,0)/2)))</f>
        <v/>
      </c>
      <c r="BG1018">
        <f>IF(OR(BG$4="",$A1018&gt;TODAY()),0,IF(OR(INDEX($B1018:$D1018,BG$5)="F",AND(BG$6&gt;0,$A1018&lt;BG$6),AND(BG$7&gt;0,$A1018&gt;BG$7)),0,MAX(0,ROUND((INDEX($E1018:$G1018,BG$5)-SUMIFS(TF_Timer,TF_Tekniker,BG$4,TF_Dato,$A1018))*2,0)/2)))</f>
        <v/>
      </c>
      <c r="BH1018">
        <f>IF(OR(BH$4="",$A1018&gt;TODAY()),0,IF(OR(INDEX($B1018:$D1018,BH$5)="F",AND(BH$6&gt;0,$A1018&lt;BH$6),AND(BH$7&gt;0,$A1018&gt;BH$7)),0,MAX(0,ROUND((INDEX($E1018:$G1018,BH$5)-SUMIFS(TF_Timer,TF_Tekniker,BH$4,TF_Dato,$A1018))*2,0)/2)))</f>
        <v/>
      </c>
      <c r="BI1018">
        <f>IF(OR(BI$4="",$A1018&gt;TODAY()),0,IF(OR(INDEX($B1018:$D1018,BI$5)="F",AND(BI$6&gt;0,$A1018&lt;BI$6),AND(BI$7&gt;0,$A1018&gt;BI$7)),0,MAX(0,ROUND((INDEX($E1018:$G1018,BI$5)-SUMIFS(TF_Timer,TF_Tekniker,BI$4,TF_Dato,$A1018))*2,0)/2)))</f>
        <v/>
      </c>
    </row>
    <row r="1019">
      <c r="A1019" s="64">
        <f>A1018+1</f>
        <v/>
      </c>
      <c r="B1019">
        <f>IF(MOD($A1019-INDEX(SkiftStart,1),Syklus)&lt;DagK,"K",IF(MOD($A1019-INDEX(SkiftStart,1),Syklus)&lt;DagK+DagH,"H",IF(MOD($A1019-INDEX(SkiftStart,1),Syklus)&lt;DagK+DagH+DagD,"D","F")))</f>
        <v/>
      </c>
      <c r="C1019">
        <f>IF(MOD($A1019-INDEX(SkiftStart,2),Syklus)&lt;DagK,"K",IF(MOD($A1019-INDEX(SkiftStart,2),Syklus)&lt;DagK+DagH,"H",IF(MOD($A1019-INDEX(SkiftStart,2),Syklus)&lt;DagK+DagH+DagD,"D","F")))</f>
        <v/>
      </c>
      <c r="D1019">
        <f>IF(MOD($A1019-INDEX(SkiftStart,3),Syklus)&lt;DagK,"K",IF(MOD($A1019-INDEX(SkiftStart,3),Syklus)&lt;DagK+DagH,"H",IF(MOD($A1019-INDEX(SkiftStart,3),Syklus)&lt;DagK+DagH+DagD,"D","F")))</f>
        <v/>
      </c>
      <c r="E1019">
        <f>IF(B1019="F",0,IF(WEEKDAY($A1019,2)=5,INDEX(TimerFr,MATCH(B1019,FaseKode,0)),INDEX(TimerMT,MATCH(B1019,FaseKode,0))))</f>
        <v/>
      </c>
      <c r="F1019">
        <f>IF(C1019="F",0,IF(WEEKDAY($A1019,2)=5,INDEX(TimerFr,MATCH(C1019,FaseKode,0)),INDEX(TimerMT,MATCH(C1019,FaseKode,0))))</f>
        <v/>
      </c>
      <c r="G1019">
        <f>IF(D1019="F",0,IF(WEEKDAY($A1019,2)=5,INDEX(TimerFr,MATCH(D1019,FaseKode,0)),INDEX(TimerMT,MATCH(D1019,FaseKode,0))))</f>
        <v/>
      </c>
      <c r="H1019">
        <f>IF(OR(H$4="",$A1019&gt;TODAY()),0,IF(OR(INDEX($B1019:$D1019,H$5)="F",AND(H$6&gt;0,$A1019&lt;H$6),AND(H$7&gt;0,$A1019&gt;H$7)),0,MAX(0,ROUND((INDEX($E1019:$G1019,H$5)-SUMIFS(TF_Timer,TF_Tekniker,H$4,TF_Dato,$A1019))*2,0)/2)))</f>
        <v/>
      </c>
      <c r="I1019">
        <f>IF(OR(I$4="",$A1019&gt;TODAY()),0,IF(OR(INDEX($B1019:$D1019,I$5)="F",AND(I$6&gt;0,$A1019&lt;I$6),AND(I$7&gt;0,$A1019&gt;I$7)),0,MAX(0,ROUND((INDEX($E1019:$G1019,I$5)-SUMIFS(TF_Timer,TF_Tekniker,I$4,TF_Dato,$A1019))*2,0)/2)))</f>
        <v/>
      </c>
      <c r="J1019">
        <f>IF(OR(J$4="",$A1019&gt;TODAY()),0,IF(OR(INDEX($B1019:$D1019,J$5)="F",AND(J$6&gt;0,$A1019&lt;J$6),AND(J$7&gt;0,$A1019&gt;J$7)),0,MAX(0,ROUND((INDEX($E1019:$G1019,J$5)-SUMIFS(TF_Timer,TF_Tekniker,J$4,TF_Dato,$A1019))*2,0)/2)))</f>
        <v/>
      </c>
      <c r="K1019">
        <f>IF(OR(K$4="",$A1019&gt;TODAY()),0,IF(OR(INDEX($B1019:$D1019,K$5)="F",AND(K$6&gt;0,$A1019&lt;K$6),AND(K$7&gt;0,$A1019&gt;K$7)),0,MAX(0,ROUND((INDEX($E1019:$G1019,K$5)-SUMIFS(TF_Timer,TF_Tekniker,K$4,TF_Dato,$A1019))*2,0)/2)))</f>
        <v/>
      </c>
      <c r="L1019">
        <f>IF(OR(L$4="",$A1019&gt;TODAY()),0,IF(OR(INDEX($B1019:$D1019,L$5)="F",AND(L$6&gt;0,$A1019&lt;L$6),AND(L$7&gt;0,$A1019&gt;L$7)),0,MAX(0,ROUND((INDEX($E1019:$G1019,L$5)-SUMIFS(TF_Timer,TF_Tekniker,L$4,TF_Dato,$A1019))*2,0)/2)))</f>
        <v/>
      </c>
      <c r="M1019">
        <f>IF(OR(M$4="",$A1019&gt;TODAY()),0,IF(OR(INDEX($B1019:$D1019,M$5)="F",AND(M$6&gt;0,$A1019&lt;M$6),AND(M$7&gt;0,$A1019&gt;M$7)),0,MAX(0,ROUND((INDEX($E1019:$G1019,M$5)-SUMIFS(TF_Timer,TF_Tekniker,M$4,TF_Dato,$A1019))*2,0)/2)))</f>
        <v/>
      </c>
      <c r="N1019">
        <f>IF(OR(N$4="",$A1019&gt;TODAY()),0,IF(OR(INDEX($B1019:$D1019,N$5)="F",AND(N$6&gt;0,$A1019&lt;N$6),AND(N$7&gt;0,$A1019&gt;N$7)),0,MAX(0,ROUND((INDEX($E1019:$G1019,N$5)-SUMIFS(TF_Timer,TF_Tekniker,N$4,TF_Dato,$A1019))*2,0)/2)))</f>
        <v/>
      </c>
      <c r="O1019">
        <f>IF(OR(O$4="",$A1019&gt;TODAY()),0,IF(OR(INDEX($B1019:$D1019,O$5)="F",AND(O$6&gt;0,$A1019&lt;O$6),AND(O$7&gt;0,$A1019&gt;O$7)),0,MAX(0,ROUND((INDEX($E1019:$G1019,O$5)-SUMIFS(TF_Timer,TF_Tekniker,O$4,TF_Dato,$A1019))*2,0)/2)))</f>
        <v/>
      </c>
      <c r="P1019">
        <f>IF(OR(P$4="",$A1019&gt;TODAY()),0,IF(OR(INDEX($B1019:$D1019,P$5)="F",AND(P$6&gt;0,$A1019&lt;P$6),AND(P$7&gt;0,$A1019&gt;P$7)),0,MAX(0,ROUND((INDEX($E1019:$G1019,P$5)-SUMIFS(TF_Timer,TF_Tekniker,P$4,TF_Dato,$A1019))*2,0)/2)))</f>
        <v/>
      </c>
      <c r="Q1019">
        <f>IF(OR(Q$4="",$A1019&gt;TODAY()),0,IF(OR(INDEX($B1019:$D1019,Q$5)="F",AND(Q$6&gt;0,$A1019&lt;Q$6),AND(Q$7&gt;0,$A1019&gt;Q$7)),0,MAX(0,ROUND((INDEX($E1019:$G1019,Q$5)-SUMIFS(TF_Timer,TF_Tekniker,Q$4,TF_Dato,$A1019))*2,0)/2)))</f>
        <v/>
      </c>
      <c r="R1019">
        <f>IF(OR(R$4="",$A1019&gt;TODAY()),0,IF(OR(INDEX($B1019:$D1019,R$5)="F",AND(R$6&gt;0,$A1019&lt;R$6),AND(R$7&gt;0,$A1019&gt;R$7)),0,MAX(0,ROUND((INDEX($E1019:$G1019,R$5)-SUMIFS(TF_Timer,TF_Tekniker,R$4,TF_Dato,$A1019))*2,0)/2)))</f>
        <v/>
      </c>
      <c r="S1019">
        <f>IF(OR(S$4="",$A1019&gt;TODAY()),0,IF(OR(INDEX($B1019:$D1019,S$5)="F",AND(S$6&gt;0,$A1019&lt;S$6),AND(S$7&gt;0,$A1019&gt;S$7)),0,MAX(0,ROUND((INDEX($E1019:$G1019,S$5)-SUMIFS(TF_Timer,TF_Tekniker,S$4,TF_Dato,$A1019))*2,0)/2)))</f>
        <v/>
      </c>
      <c r="T1019">
        <f>IF(OR(T$4="",$A1019&gt;TODAY()),0,IF(OR(INDEX($B1019:$D1019,T$5)="F",AND(T$6&gt;0,$A1019&lt;T$6),AND(T$7&gt;0,$A1019&gt;T$7)),0,MAX(0,ROUND((INDEX($E1019:$G1019,T$5)-SUMIFS(TF_Timer,TF_Tekniker,T$4,TF_Dato,$A1019))*2,0)/2)))</f>
        <v/>
      </c>
      <c r="U1019">
        <f>IF(OR(U$4="",$A1019&gt;TODAY()),0,IF(OR(INDEX($B1019:$D1019,U$5)="F",AND(U$6&gt;0,$A1019&lt;U$6),AND(U$7&gt;0,$A1019&gt;U$7)),0,MAX(0,ROUND((INDEX($E1019:$G1019,U$5)-SUMIFS(TF_Timer,TF_Tekniker,U$4,TF_Dato,$A1019))*2,0)/2)))</f>
        <v/>
      </c>
      <c r="V1019">
        <f>IF(OR(V$4="",$A1019&gt;TODAY()),0,IF(OR(INDEX($B1019:$D1019,V$5)="F",AND(V$6&gt;0,$A1019&lt;V$6),AND(V$7&gt;0,$A1019&gt;V$7)),0,MAX(0,ROUND((INDEX($E1019:$G1019,V$5)-SUMIFS(TF_Timer,TF_Tekniker,V$4,TF_Dato,$A1019))*2,0)/2)))</f>
        <v/>
      </c>
      <c r="W1019">
        <f>IF(OR(W$4="",$A1019&gt;TODAY()),0,IF(OR(INDEX($B1019:$D1019,W$5)="F",AND(W$6&gt;0,$A1019&lt;W$6),AND(W$7&gt;0,$A1019&gt;W$7)),0,MAX(0,ROUND((INDEX($E1019:$G1019,W$5)-SUMIFS(TF_Timer,TF_Tekniker,W$4,TF_Dato,$A1019))*2,0)/2)))</f>
        <v/>
      </c>
      <c r="X1019">
        <f>IF(OR(X$4="",$A1019&gt;TODAY()),0,IF(OR(INDEX($B1019:$D1019,X$5)="F",AND(X$6&gt;0,$A1019&lt;X$6),AND(X$7&gt;0,$A1019&gt;X$7)),0,MAX(0,ROUND((INDEX($E1019:$G1019,X$5)-SUMIFS(TF_Timer,TF_Tekniker,X$4,TF_Dato,$A1019))*2,0)/2)))</f>
        <v/>
      </c>
      <c r="Y1019">
        <f>IF(OR(Y$4="",$A1019&gt;TODAY()),0,IF(OR(INDEX($B1019:$D1019,Y$5)="F",AND(Y$6&gt;0,$A1019&lt;Y$6),AND(Y$7&gt;0,$A1019&gt;Y$7)),0,MAX(0,ROUND((INDEX($E1019:$G1019,Y$5)-SUMIFS(TF_Timer,TF_Tekniker,Y$4,TF_Dato,$A1019))*2,0)/2)))</f>
        <v/>
      </c>
      <c r="Z1019">
        <f>IF(OR(Z$4="",$A1019&gt;TODAY()),0,IF(OR(INDEX($B1019:$D1019,Z$5)="F",AND(Z$6&gt;0,$A1019&lt;Z$6),AND(Z$7&gt;0,$A1019&gt;Z$7)),0,MAX(0,ROUND((INDEX($E1019:$G1019,Z$5)-SUMIFS(TF_Timer,TF_Tekniker,Z$4,TF_Dato,$A1019))*2,0)/2)))</f>
        <v/>
      </c>
      <c r="AA1019">
        <f>IF(OR(AA$4="",$A1019&gt;TODAY()),0,IF(OR(INDEX($B1019:$D1019,AA$5)="F",AND(AA$6&gt;0,$A1019&lt;AA$6),AND(AA$7&gt;0,$A1019&gt;AA$7)),0,MAX(0,ROUND((INDEX($E1019:$G1019,AA$5)-SUMIFS(TF_Timer,TF_Tekniker,AA$4,TF_Dato,$A1019))*2,0)/2)))</f>
        <v/>
      </c>
      <c r="AB1019">
        <f>IF(OR(AB$4="",$A1019&gt;TODAY()),0,IF(OR(INDEX($B1019:$D1019,AB$5)="F",AND(AB$6&gt;0,$A1019&lt;AB$6),AND(AB$7&gt;0,$A1019&gt;AB$7)),0,MAX(0,ROUND((INDEX($E1019:$G1019,AB$5)-SUMIFS(TF_Timer,TF_Tekniker,AB$4,TF_Dato,$A1019))*2,0)/2)))</f>
        <v/>
      </c>
      <c r="AC1019">
        <f>IF(OR(AC$4="",$A1019&gt;TODAY()),0,IF(OR(INDEX($B1019:$D1019,AC$5)="F",AND(AC$6&gt;0,$A1019&lt;AC$6),AND(AC$7&gt;0,$A1019&gt;AC$7)),0,MAX(0,ROUND((INDEX($E1019:$G1019,AC$5)-SUMIFS(TF_Timer,TF_Tekniker,AC$4,TF_Dato,$A1019))*2,0)/2)))</f>
        <v/>
      </c>
      <c r="AD1019">
        <f>IF(OR(AD$4="",$A1019&gt;TODAY()),0,IF(OR(INDEX($B1019:$D1019,AD$5)="F",AND(AD$6&gt;0,$A1019&lt;AD$6),AND(AD$7&gt;0,$A1019&gt;AD$7)),0,MAX(0,ROUND((INDEX($E1019:$G1019,AD$5)-SUMIFS(TF_Timer,TF_Tekniker,AD$4,TF_Dato,$A1019))*2,0)/2)))</f>
        <v/>
      </c>
      <c r="AE1019">
        <f>IF(OR(AE$4="",$A1019&gt;TODAY()),0,IF(OR(INDEX($B1019:$D1019,AE$5)="F",AND(AE$6&gt;0,$A1019&lt;AE$6),AND(AE$7&gt;0,$A1019&gt;AE$7)),0,MAX(0,ROUND((INDEX($E1019:$G1019,AE$5)-SUMIFS(TF_Timer,TF_Tekniker,AE$4,TF_Dato,$A1019))*2,0)/2)))</f>
        <v/>
      </c>
      <c r="AF1019">
        <f>IF(OR(AF$4="",$A1019&gt;TODAY()),0,IF(OR(INDEX($B1019:$D1019,AF$5)="F",AND(AF$6&gt;0,$A1019&lt;AF$6),AND(AF$7&gt;0,$A1019&gt;AF$7)),0,MAX(0,ROUND((INDEX($E1019:$G1019,AF$5)-SUMIFS(TF_Timer,TF_Tekniker,AF$4,TF_Dato,$A1019))*2,0)/2)))</f>
        <v/>
      </c>
      <c r="AG1019">
        <f>IF(OR(AG$4="",$A1019&gt;TODAY()),0,IF(OR(INDEX($B1019:$D1019,AG$5)="F",AND(AG$6&gt;0,$A1019&lt;AG$6),AND(AG$7&gt;0,$A1019&gt;AG$7)),0,MAX(0,ROUND((INDEX($E1019:$G1019,AG$5)-SUMIFS(TF_Timer,TF_Tekniker,AG$4,TF_Dato,$A1019))*2,0)/2)))</f>
        <v/>
      </c>
      <c r="AH1019">
        <f>IF(OR(AH$4="",$A1019&gt;TODAY()),0,IF(OR(INDEX($B1019:$D1019,AH$5)="F",AND(AH$6&gt;0,$A1019&lt;AH$6),AND(AH$7&gt;0,$A1019&gt;AH$7)),0,MAX(0,ROUND((INDEX($E1019:$G1019,AH$5)-SUMIFS(TF_Timer,TF_Tekniker,AH$4,TF_Dato,$A1019))*2,0)/2)))</f>
        <v/>
      </c>
      <c r="AI1019">
        <f>IF(OR(AI$4="",$A1019&gt;TODAY()),0,IF(OR(INDEX($B1019:$D1019,AI$5)="F",AND(AI$6&gt;0,$A1019&lt;AI$6),AND(AI$7&gt;0,$A1019&gt;AI$7)),0,MAX(0,ROUND((INDEX($E1019:$G1019,AI$5)-SUMIFS(TF_Timer,TF_Tekniker,AI$4,TF_Dato,$A1019))*2,0)/2)))</f>
        <v/>
      </c>
      <c r="AJ1019">
        <f>IF(OR(AJ$4="",$A1019&gt;TODAY()),0,IF(OR(INDEX($B1019:$D1019,AJ$5)="F",AND(AJ$6&gt;0,$A1019&lt;AJ$6),AND(AJ$7&gt;0,$A1019&gt;AJ$7)),0,MAX(0,ROUND((INDEX($E1019:$G1019,AJ$5)-SUMIFS(TF_Timer,TF_Tekniker,AJ$4,TF_Dato,$A1019))*2,0)/2)))</f>
        <v/>
      </c>
      <c r="AK1019">
        <f>IF(OR(AK$4="",$A1019&gt;TODAY()),0,IF(OR(INDEX($B1019:$D1019,AK$5)="F",AND(AK$6&gt;0,$A1019&lt;AK$6),AND(AK$7&gt;0,$A1019&gt;AK$7)),0,MAX(0,ROUND((INDEX($E1019:$G1019,AK$5)-SUMIFS(TF_Timer,TF_Tekniker,AK$4,TF_Dato,$A1019))*2,0)/2)))</f>
        <v/>
      </c>
      <c r="AL1019">
        <f>IF(OR(AL$4="",$A1019&gt;TODAY()),0,IF(OR(INDEX($B1019:$D1019,AL$5)="F",AND(AL$6&gt;0,$A1019&lt;AL$6),AND(AL$7&gt;0,$A1019&gt;AL$7)),0,MAX(0,ROUND((INDEX($E1019:$G1019,AL$5)-SUMIFS(TF_Timer,TF_Tekniker,AL$4,TF_Dato,$A1019))*2,0)/2)))</f>
        <v/>
      </c>
      <c r="AM1019">
        <f>IF(OR(AM$4="",$A1019&gt;TODAY()),0,IF(OR(INDEX($B1019:$D1019,AM$5)="F",AND(AM$6&gt;0,$A1019&lt;AM$6),AND(AM$7&gt;0,$A1019&gt;AM$7)),0,MAX(0,ROUND((INDEX($E1019:$G1019,AM$5)-SUMIFS(TF_Timer,TF_Tekniker,AM$4,TF_Dato,$A1019))*2,0)/2)))</f>
        <v/>
      </c>
      <c r="AN1019">
        <f>IF(OR(AN$4="",$A1019&gt;TODAY()),0,IF(OR(INDEX($B1019:$D1019,AN$5)="F",AND(AN$6&gt;0,$A1019&lt;AN$6),AND(AN$7&gt;0,$A1019&gt;AN$7)),0,MAX(0,ROUND((INDEX($E1019:$G1019,AN$5)-SUMIFS(TF_Timer,TF_Tekniker,AN$4,TF_Dato,$A1019))*2,0)/2)))</f>
        <v/>
      </c>
      <c r="AO1019">
        <f>IF(OR(AO$4="",$A1019&gt;TODAY()),0,IF(OR(INDEX($B1019:$D1019,AO$5)="F",AND(AO$6&gt;0,$A1019&lt;AO$6),AND(AO$7&gt;0,$A1019&gt;AO$7)),0,MAX(0,ROUND((INDEX($E1019:$G1019,AO$5)-SUMIFS(TF_Timer,TF_Tekniker,AO$4,TF_Dato,$A1019))*2,0)/2)))</f>
        <v/>
      </c>
      <c r="AP1019">
        <f>IF(OR(AP$4="",$A1019&gt;TODAY()),0,IF(OR(INDEX($B1019:$D1019,AP$5)="F",AND(AP$6&gt;0,$A1019&lt;AP$6),AND(AP$7&gt;0,$A1019&gt;AP$7)),0,MAX(0,ROUND((INDEX($E1019:$G1019,AP$5)-SUMIFS(TF_Timer,TF_Tekniker,AP$4,TF_Dato,$A1019))*2,0)/2)))</f>
        <v/>
      </c>
      <c r="AQ1019">
        <f>IF(OR(AQ$4="",$A1019&gt;TODAY()),0,IF(OR(INDEX($B1019:$D1019,AQ$5)="F",AND(AQ$6&gt;0,$A1019&lt;AQ$6),AND(AQ$7&gt;0,$A1019&gt;AQ$7)),0,MAX(0,ROUND((INDEX($E1019:$G1019,AQ$5)-SUMIFS(TF_Timer,TF_Tekniker,AQ$4,TF_Dato,$A1019))*2,0)/2)))</f>
        <v/>
      </c>
      <c r="AR1019">
        <f>IF(OR(AR$4="",$A1019&gt;TODAY()),0,IF(OR(INDEX($B1019:$D1019,AR$5)="F",AND(AR$6&gt;0,$A1019&lt;AR$6),AND(AR$7&gt;0,$A1019&gt;AR$7)),0,MAX(0,ROUND((INDEX($E1019:$G1019,AR$5)-SUMIFS(TF_Timer,TF_Tekniker,AR$4,TF_Dato,$A1019))*2,0)/2)))</f>
        <v/>
      </c>
      <c r="AS1019">
        <f>IF(OR(AS$4="",$A1019&gt;TODAY()),0,IF(OR(INDEX($B1019:$D1019,AS$5)="F",AND(AS$6&gt;0,$A1019&lt;AS$6),AND(AS$7&gt;0,$A1019&gt;AS$7)),0,MAX(0,ROUND((INDEX($E1019:$G1019,AS$5)-SUMIFS(TF_Timer,TF_Tekniker,AS$4,TF_Dato,$A1019))*2,0)/2)))</f>
        <v/>
      </c>
      <c r="AT1019">
        <f>IF(OR(AT$4="",$A1019&gt;TODAY()),0,IF(OR(INDEX($B1019:$D1019,AT$5)="F",AND(AT$6&gt;0,$A1019&lt;AT$6),AND(AT$7&gt;0,$A1019&gt;AT$7)),0,MAX(0,ROUND((INDEX($E1019:$G1019,AT$5)-SUMIFS(TF_Timer,TF_Tekniker,AT$4,TF_Dato,$A1019))*2,0)/2)))</f>
        <v/>
      </c>
      <c r="AU1019">
        <f>IF(OR(AU$4="",$A1019&gt;TODAY()),0,IF(OR(INDEX($B1019:$D1019,AU$5)="F",AND(AU$6&gt;0,$A1019&lt;AU$6),AND(AU$7&gt;0,$A1019&gt;AU$7)),0,MAX(0,ROUND((INDEX($E1019:$G1019,AU$5)-SUMIFS(TF_Timer,TF_Tekniker,AU$4,TF_Dato,$A1019))*2,0)/2)))</f>
        <v/>
      </c>
      <c r="AV1019">
        <f>IF(OR(AV$4="",$A1019&gt;TODAY()),0,IF(OR(INDEX($B1019:$D1019,AV$5)="F",AND(AV$6&gt;0,$A1019&lt;AV$6),AND(AV$7&gt;0,$A1019&gt;AV$7)),0,MAX(0,ROUND((INDEX($E1019:$G1019,AV$5)-SUMIFS(TF_Timer,TF_Tekniker,AV$4,TF_Dato,$A1019))*2,0)/2)))</f>
        <v/>
      </c>
      <c r="AW1019">
        <f>IF(OR(AW$4="",$A1019&gt;TODAY()),0,IF(OR(INDEX($B1019:$D1019,AW$5)="F",AND(AW$6&gt;0,$A1019&lt;AW$6),AND(AW$7&gt;0,$A1019&gt;AW$7)),0,MAX(0,ROUND((INDEX($E1019:$G1019,AW$5)-SUMIFS(TF_Timer,TF_Tekniker,AW$4,TF_Dato,$A1019))*2,0)/2)))</f>
        <v/>
      </c>
      <c r="AX1019">
        <f>IF(OR(AX$4="",$A1019&gt;TODAY()),0,IF(OR(INDEX($B1019:$D1019,AX$5)="F",AND(AX$6&gt;0,$A1019&lt;AX$6),AND(AX$7&gt;0,$A1019&gt;AX$7)),0,MAX(0,ROUND((INDEX($E1019:$G1019,AX$5)-SUMIFS(TF_Timer,TF_Tekniker,AX$4,TF_Dato,$A1019))*2,0)/2)))</f>
        <v/>
      </c>
      <c r="AY1019">
        <f>IF(OR(AY$4="",$A1019&gt;TODAY()),0,IF(OR(INDEX($B1019:$D1019,AY$5)="F",AND(AY$6&gt;0,$A1019&lt;AY$6),AND(AY$7&gt;0,$A1019&gt;AY$7)),0,MAX(0,ROUND((INDEX($E1019:$G1019,AY$5)-SUMIFS(TF_Timer,TF_Tekniker,AY$4,TF_Dato,$A1019))*2,0)/2)))</f>
        <v/>
      </c>
      <c r="AZ1019">
        <f>IF(OR(AZ$4="",$A1019&gt;TODAY()),0,IF(OR(INDEX($B1019:$D1019,AZ$5)="F",AND(AZ$6&gt;0,$A1019&lt;AZ$6),AND(AZ$7&gt;0,$A1019&gt;AZ$7)),0,MAX(0,ROUND((INDEX($E1019:$G1019,AZ$5)-SUMIFS(TF_Timer,TF_Tekniker,AZ$4,TF_Dato,$A1019))*2,0)/2)))</f>
        <v/>
      </c>
      <c r="BA1019">
        <f>IF(OR(BA$4="",$A1019&gt;TODAY()),0,IF(OR(INDEX($B1019:$D1019,BA$5)="F",AND(BA$6&gt;0,$A1019&lt;BA$6),AND(BA$7&gt;0,$A1019&gt;BA$7)),0,MAX(0,ROUND((INDEX($E1019:$G1019,BA$5)-SUMIFS(TF_Timer,TF_Tekniker,BA$4,TF_Dato,$A1019))*2,0)/2)))</f>
        <v/>
      </c>
      <c r="BB1019">
        <f>IF(OR(BB$4="",$A1019&gt;TODAY()),0,IF(OR(INDEX($B1019:$D1019,BB$5)="F",AND(BB$6&gt;0,$A1019&lt;BB$6),AND(BB$7&gt;0,$A1019&gt;BB$7)),0,MAX(0,ROUND((INDEX($E1019:$G1019,BB$5)-SUMIFS(TF_Timer,TF_Tekniker,BB$4,TF_Dato,$A1019))*2,0)/2)))</f>
        <v/>
      </c>
      <c r="BC1019">
        <f>IF(OR(BC$4="",$A1019&gt;TODAY()),0,IF(OR(INDEX($B1019:$D1019,BC$5)="F",AND(BC$6&gt;0,$A1019&lt;BC$6),AND(BC$7&gt;0,$A1019&gt;BC$7)),0,MAX(0,ROUND((INDEX($E1019:$G1019,BC$5)-SUMIFS(TF_Timer,TF_Tekniker,BC$4,TF_Dato,$A1019))*2,0)/2)))</f>
        <v/>
      </c>
      <c r="BD1019">
        <f>IF(OR(BD$4="",$A1019&gt;TODAY()),0,IF(OR(INDEX($B1019:$D1019,BD$5)="F",AND(BD$6&gt;0,$A1019&lt;BD$6),AND(BD$7&gt;0,$A1019&gt;BD$7)),0,MAX(0,ROUND((INDEX($E1019:$G1019,BD$5)-SUMIFS(TF_Timer,TF_Tekniker,BD$4,TF_Dato,$A1019))*2,0)/2)))</f>
        <v/>
      </c>
      <c r="BE1019">
        <f>IF(OR(BE$4="",$A1019&gt;TODAY()),0,IF(OR(INDEX($B1019:$D1019,BE$5)="F",AND(BE$6&gt;0,$A1019&lt;BE$6),AND(BE$7&gt;0,$A1019&gt;BE$7)),0,MAX(0,ROUND((INDEX($E1019:$G1019,BE$5)-SUMIFS(TF_Timer,TF_Tekniker,BE$4,TF_Dato,$A1019))*2,0)/2)))</f>
        <v/>
      </c>
      <c r="BF1019">
        <f>IF(OR(BF$4="",$A1019&gt;TODAY()),0,IF(OR(INDEX($B1019:$D1019,BF$5)="F",AND(BF$6&gt;0,$A1019&lt;BF$6),AND(BF$7&gt;0,$A1019&gt;BF$7)),0,MAX(0,ROUND((INDEX($E1019:$G1019,BF$5)-SUMIFS(TF_Timer,TF_Tekniker,BF$4,TF_Dato,$A1019))*2,0)/2)))</f>
        <v/>
      </c>
      <c r="BG1019">
        <f>IF(OR(BG$4="",$A1019&gt;TODAY()),0,IF(OR(INDEX($B1019:$D1019,BG$5)="F",AND(BG$6&gt;0,$A1019&lt;BG$6),AND(BG$7&gt;0,$A1019&gt;BG$7)),0,MAX(0,ROUND((INDEX($E1019:$G1019,BG$5)-SUMIFS(TF_Timer,TF_Tekniker,BG$4,TF_Dato,$A1019))*2,0)/2)))</f>
        <v/>
      </c>
      <c r="BH1019">
        <f>IF(OR(BH$4="",$A1019&gt;TODAY()),0,IF(OR(INDEX($B1019:$D1019,BH$5)="F",AND(BH$6&gt;0,$A1019&lt;BH$6),AND(BH$7&gt;0,$A1019&gt;BH$7)),0,MAX(0,ROUND((INDEX($E1019:$G1019,BH$5)-SUMIFS(TF_Timer,TF_Tekniker,BH$4,TF_Dato,$A1019))*2,0)/2)))</f>
        <v/>
      </c>
      <c r="BI1019">
        <f>IF(OR(BI$4="",$A1019&gt;TODAY()),0,IF(OR(INDEX($B1019:$D1019,BI$5)="F",AND(BI$6&gt;0,$A1019&lt;BI$6),AND(BI$7&gt;0,$A1019&gt;BI$7)),0,MAX(0,ROUND((INDEX($E1019:$G1019,BI$5)-SUMIFS(TF_Timer,TF_Tekniker,BI$4,TF_Dato,$A1019))*2,0)/2)))</f>
        <v/>
      </c>
    </row>
    <row r="1020">
      <c r="A1020" s="64">
        <f>A1019+1</f>
        <v/>
      </c>
      <c r="B1020">
        <f>IF(MOD($A1020-INDEX(SkiftStart,1),Syklus)&lt;DagK,"K",IF(MOD($A1020-INDEX(SkiftStart,1),Syklus)&lt;DagK+DagH,"H",IF(MOD($A1020-INDEX(SkiftStart,1),Syklus)&lt;DagK+DagH+DagD,"D","F")))</f>
        <v/>
      </c>
      <c r="C1020">
        <f>IF(MOD($A1020-INDEX(SkiftStart,2),Syklus)&lt;DagK,"K",IF(MOD($A1020-INDEX(SkiftStart,2),Syklus)&lt;DagK+DagH,"H",IF(MOD($A1020-INDEX(SkiftStart,2),Syklus)&lt;DagK+DagH+DagD,"D","F")))</f>
        <v/>
      </c>
      <c r="D1020">
        <f>IF(MOD($A1020-INDEX(SkiftStart,3),Syklus)&lt;DagK,"K",IF(MOD($A1020-INDEX(SkiftStart,3),Syklus)&lt;DagK+DagH,"H",IF(MOD($A1020-INDEX(SkiftStart,3),Syklus)&lt;DagK+DagH+DagD,"D","F")))</f>
        <v/>
      </c>
      <c r="E1020">
        <f>IF(B1020="F",0,IF(WEEKDAY($A1020,2)=5,INDEX(TimerFr,MATCH(B1020,FaseKode,0)),INDEX(TimerMT,MATCH(B1020,FaseKode,0))))</f>
        <v/>
      </c>
      <c r="F1020">
        <f>IF(C1020="F",0,IF(WEEKDAY($A1020,2)=5,INDEX(TimerFr,MATCH(C1020,FaseKode,0)),INDEX(TimerMT,MATCH(C1020,FaseKode,0))))</f>
        <v/>
      </c>
      <c r="G1020">
        <f>IF(D1020="F",0,IF(WEEKDAY($A1020,2)=5,INDEX(TimerFr,MATCH(D1020,FaseKode,0)),INDEX(TimerMT,MATCH(D1020,FaseKode,0))))</f>
        <v/>
      </c>
      <c r="H1020">
        <f>IF(OR(H$4="",$A1020&gt;TODAY()),0,IF(OR(INDEX($B1020:$D1020,H$5)="F",AND(H$6&gt;0,$A1020&lt;H$6),AND(H$7&gt;0,$A1020&gt;H$7)),0,MAX(0,ROUND((INDEX($E1020:$G1020,H$5)-SUMIFS(TF_Timer,TF_Tekniker,H$4,TF_Dato,$A1020))*2,0)/2)))</f>
        <v/>
      </c>
      <c r="I1020">
        <f>IF(OR(I$4="",$A1020&gt;TODAY()),0,IF(OR(INDEX($B1020:$D1020,I$5)="F",AND(I$6&gt;0,$A1020&lt;I$6),AND(I$7&gt;0,$A1020&gt;I$7)),0,MAX(0,ROUND((INDEX($E1020:$G1020,I$5)-SUMIFS(TF_Timer,TF_Tekniker,I$4,TF_Dato,$A1020))*2,0)/2)))</f>
        <v/>
      </c>
      <c r="J1020">
        <f>IF(OR(J$4="",$A1020&gt;TODAY()),0,IF(OR(INDEX($B1020:$D1020,J$5)="F",AND(J$6&gt;0,$A1020&lt;J$6),AND(J$7&gt;0,$A1020&gt;J$7)),0,MAX(0,ROUND((INDEX($E1020:$G1020,J$5)-SUMIFS(TF_Timer,TF_Tekniker,J$4,TF_Dato,$A1020))*2,0)/2)))</f>
        <v/>
      </c>
      <c r="K1020">
        <f>IF(OR(K$4="",$A1020&gt;TODAY()),0,IF(OR(INDEX($B1020:$D1020,K$5)="F",AND(K$6&gt;0,$A1020&lt;K$6),AND(K$7&gt;0,$A1020&gt;K$7)),0,MAX(0,ROUND((INDEX($E1020:$G1020,K$5)-SUMIFS(TF_Timer,TF_Tekniker,K$4,TF_Dato,$A1020))*2,0)/2)))</f>
        <v/>
      </c>
      <c r="L1020">
        <f>IF(OR(L$4="",$A1020&gt;TODAY()),0,IF(OR(INDEX($B1020:$D1020,L$5)="F",AND(L$6&gt;0,$A1020&lt;L$6),AND(L$7&gt;0,$A1020&gt;L$7)),0,MAX(0,ROUND((INDEX($E1020:$G1020,L$5)-SUMIFS(TF_Timer,TF_Tekniker,L$4,TF_Dato,$A1020))*2,0)/2)))</f>
        <v/>
      </c>
      <c r="M1020">
        <f>IF(OR(M$4="",$A1020&gt;TODAY()),0,IF(OR(INDEX($B1020:$D1020,M$5)="F",AND(M$6&gt;0,$A1020&lt;M$6),AND(M$7&gt;0,$A1020&gt;M$7)),0,MAX(0,ROUND((INDEX($E1020:$G1020,M$5)-SUMIFS(TF_Timer,TF_Tekniker,M$4,TF_Dato,$A1020))*2,0)/2)))</f>
        <v/>
      </c>
      <c r="N1020">
        <f>IF(OR(N$4="",$A1020&gt;TODAY()),0,IF(OR(INDEX($B1020:$D1020,N$5)="F",AND(N$6&gt;0,$A1020&lt;N$6),AND(N$7&gt;0,$A1020&gt;N$7)),0,MAX(0,ROUND((INDEX($E1020:$G1020,N$5)-SUMIFS(TF_Timer,TF_Tekniker,N$4,TF_Dato,$A1020))*2,0)/2)))</f>
        <v/>
      </c>
      <c r="O1020">
        <f>IF(OR(O$4="",$A1020&gt;TODAY()),0,IF(OR(INDEX($B1020:$D1020,O$5)="F",AND(O$6&gt;0,$A1020&lt;O$6),AND(O$7&gt;0,$A1020&gt;O$7)),0,MAX(0,ROUND((INDEX($E1020:$G1020,O$5)-SUMIFS(TF_Timer,TF_Tekniker,O$4,TF_Dato,$A1020))*2,0)/2)))</f>
        <v/>
      </c>
      <c r="P1020">
        <f>IF(OR(P$4="",$A1020&gt;TODAY()),0,IF(OR(INDEX($B1020:$D1020,P$5)="F",AND(P$6&gt;0,$A1020&lt;P$6),AND(P$7&gt;0,$A1020&gt;P$7)),0,MAX(0,ROUND((INDEX($E1020:$G1020,P$5)-SUMIFS(TF_Timer,TF_Tekniker,P$4,TF_Dato,$A1020))*2,0)/2)))</f>
        <v/>
      </c>
      <c r="Q1020">
        <f>IF(OR(Q$4="",$A1020&gt;TODAY()),0,IF(OR(INDEX($B1020:$D1020,Q$5)="F",AND(Q$6&gt;0,$A1020&lt;Q$6),AND(Q$7&gt;0,$A1020&gt;Q$7)),0,MAX(0,ROUND((INDEX($E1020:$G1020,Q$5)-SUMIFS(TF_Timer,TF_Tekniker,Q$4,TF_Dato,$A1020))*2,0)/2)))</f>
        <v/>
      </c>
      <c r="R1020">
        <f>IF(OR(R$4="",$A1020&gt;TODAY()),0,IF(OR(INDEX($B1020:$D1020,R$5)="F",AND(R$6&gt;0,$A1020&lt;R$6),AND(R$7&gt;0,$A1020&gt;R$7)),0,MAX(0,ROUND((INDEX($E1020:$G1020,R$5)-SUMIFS(TF_Timer,TF_Tekniker,R$4,TF_Dato,$A1020))*2,0)/2)))</f>
        <v/>
      </c>
      <c r="S1020">
        <f>IF(OR(S$4="",$A1020&gt;TODAY()),0,IF(OR(INDEX($B1020:$D1020,S$5)="F",AND(S$6&gt;0,$A1020&lt;S$6),AND(S$7&gt;0,$A1020&gt;S$7)),0,MAX(0,ROUND((INDEX($E1020:$G1020,S$5)-SUMIFS(TF_Timer,TF_Tekniker,S$4,TF_Dato,$A1020))*2,0)/2)))</f>
        <v/>
      </c>
      <c r="T1020">
        <f>IF(OR(T$4="",$A1020&gt;TODAY()),0,IF(OR(INDEX($B1020:$D1020,T$5)="F",AND(T$6&gt;0,$A1020&lt;T$6),AND(T$7&gt;0,$A1020&gt;T$7)),0,MAX(0,ROUND((INDEX($E1020:$G1020,T$5)-SUMIFS(TF_Timer,TF_Tekniker,T$4,TF_Dato,$A1020))*2,0)/2)))</f>
        <v/>
      </c>
      <c r="U1020">
        <f>IF(OR(U$4="",$A1020&gt;TODAY()),0,IF(OR(INDEX($B1020:$D1020,U$5)="F",AND(U$6&gt;0,$A1020&lt;U$6),AND(U$7&gt;0,$A1020&gt;U$7)),0,MAX(0,ROUND((INDEX($E1020:$G1020,U$5)-SUMIFS(TF_Timer,TF_Tekniker,U$4,TF_Dato,$A1020))*2,0)/2)))</f>
        <v/>
      </c>
      <c r="V1020">
        <f>IF(OR(V$4="",$A1020&gt;TODAY()),0,IF(OR(INDEX($B1020:$D1020,V$5)="F",AND(V$6&gt;0,$A1020&lt;V$6),AND(V$7&gt;0,$A1020&gt;V$7)),0,MAX(0,ROUND((INDEX($E1020:$G1020,V$5)-SUMIFS(TF_Timer,TF_Tekniker,V$4,TF_Dato,$A1020))*2,0)/2)))</f>
        <v/>
      </c>
      <c r="W1020">
        <f>IF(OR(W$4="",$A1020&gt;TODAY()),0,IF(OR(INDEX($B1020:$D1020,W$5)="F",AND(W$6&gt;0,$A1020&lt;W$6),AND(W$7&gt;0,$A1020&gt;W$7)),0,MAX(0,ROUND((INDEX($E1020:$G1020,W$5)-SUMIFS(TF_Timer,TF_Tekniker,W$4,TF_Dato,$A1020))*2,0)/2)))</f>
        <v/>
      </c>
      <c r="X1020">
        <f>IF(OR(X$4="",$A1020&gt;TODAY()),0,IF(OR(INDEX($B1020:$D1020,X$5)="F",AND(X$6&gt;0,$A1020&lt;X$6),AND(X$7&gt;0,$A1020&gt;X$7)),0,MAX(0,ROUND((INDEX($E1020:$G1020,X$5)-SUMIFS(TF_Timer,TF_Tekniker,X$4,TF_Dato,$A1020))*2,0)/2)))</f>
        <v/>
      </c>
      <c r="Y1020">
        <f>IF(OR(Y$4="",$A1020&gt;TODAY()),0,IF(OR(INDEX($B1020:$D1020,Y$5)="F",AND(Y$6&gt;0,$A1020&lt;Y$6),AND(Y$7&gt;0,$A1020&gt;Y$7)),0,MAX(0,ROUND((INDEX($E1020:$G1020,Y$5)-SUMIFS(TF_Timer,TF_Tekniker,Y$4,TF_Dato,$A1020))*2,0)/2)))</f>
        <v/>
      </c>
      <c r="Z1020">
        <f>IF(OR(Z$4="",$A1020&gt;TODAY()),0,IF(OR(INDEX($B1020:$D1020,Z$5)="F",AND(Z$6&gt;0,$A1020&lt;Z$6),AND(Z$7&gt;0,$A1020&gt;Z$7)),0,MAX(0,ROUND((INDEX($E1020:$G1020,Z$5)-SUMIFS(TF_Timer,TF_Tekniker,Z$4,TF_Dato,$A1020))*2,0)/2)))</f>
        <v/>
      </c>
      <c r="AA1020">
        <f>IF(OR(AA$4="",$A1020&gt;TODAY()),0,IF(OR(INDEX($B1020:$D1020,AA$5)="F",AND(AA$6&gt;0,$A1020&lt;AA$6),AND(AA$7&gt;0,$A1020&gt;AA$7)),0,MAX(0,ROUND((INDEX($E1020:$G1020,AA$5)-SUMIFS(TF_Timer,TF_Tekniker,AA$4,TF_Dato,$A1020))*2,0)/2)))</f>
        <v/>
      </c>
      <c r="AB1020">
        <f>IF(OR(AB$4="",$A1020&gt;TODAY()),0,IF(OR(INDEX($B1020:$D1020,AB$5)="F",AND(AB$6&gt;0,$A1020&lt;AB$6),AND(AB$7&gt;0,$A1020&gt;AB$7)),0,MAX(0,ROUND((INDEX($E1020:$G1020,AB$5)-SUMIFS(TF_Timer,TF_Tekniker,AB$4,TF_Dato,$A1020))*2,0)/2)))</f>
        <v/>
      </c>
      <c r="AC1020">
        <f>IF(OR(AC$4="",$A1020&gt;TODAY()),0,IF(OR(INDEX($B1020:$D1020,AC$5)="F",AND(AC$6&gt;0,$A1020&lt;AC$6),AND(AC$7&gt;0,$A1020&gt;AC$7)),0,MAX(0,ROUND((INDEX($E1020:$G1020,AC$5)-SUMIFS(TF_Timer,TF_Tekniker,AC$4,TF_Dato,$A1020))*2,0)/2)))</f>
        <v/>
      </c>
      <c r="AD1020">
        <f>IF(OR(AD$4="",$A1020&gt;TODAY()),0,IF(OR(INDEX($B1020:$D1020,AD$5)="F",AND(AD$6&gt;0,$A1020&lt;AD$6),AND(AD$7&gt;0,$A1020&gt;AD$7)),0,MAX(0,ROUND((INDEX($E1020:$G1020,AD$5)-SUMIFS(TF_Timer,TF_Tekniker,AD$4,TF_Dato,$A1020))*2,0)/2)))</f>
        <v/>
      </c>
      <c r="AE1020">
        <f>IF(OR(AE$4="",$A1020&gt;TODAY()),0,IF(OR(INDEX($B1020:$D1020,AE$5)="F",AND(AE$6&gt;0,$A1020&lt;AE$6),AND(AE$7&gt;0,$A1020&gt;AE$7)),0,MAX(0,ROUND((INDEX($E1020:$G1020,AE$5)-SUMIFS(TF_Timer,TF_Tekniker,AE$4,TF_Dato,$A1020))*2,0)/2)))</f>
        <v/>
      </c>
      <c r="AF1020">
        <f>IF(OR(AF$4="",$A1020&gt;TODAY()),0,IF(OR(INDEX($B1020:$D1020,AF$5)="F",AND(AF$6&gt;0,$A1020&lt;AF$6),AND(AF$7&gt;0,$A1020&gt;AF$7)),0,MAX(0,ROUND((INDEX($E1020:$G1020,AF$5)-SUMIFS(TF_Timer,TF_Tekniker,AF$4,TF_Dato,$A1020))*2,0)/2)))</f>
        <v/>
      </c>
      <c r="AG1020">
        <f>IF(OR(AG$4="",$A1020&gt;TODAY()),0,IF(OR(INDEX($B1020:$D1020,AG$5)="F",AND(AG$6&gt;0,$A1020&lt;AG$6),AND(AG$7&gt;0,$A1020&gt;AG$7)),0,MAX(0,ROUND((INDEX($E1020:$G1020,AG$5)-SUMIFS(TF_Timer,TF_Tekniker,AG$4,TF_Dato,$A1020))*2,0)/2)))</f>
        <v/>
      </c>
      <c r="AH1020">
        <f>IF(OR(AH$4="",$A1020&gt;TODAY()),0,IF(OR(INDEX($B1020:$D1020,AH$5)="F",AND(AH$6&gt;0,$A1020&lt;AH$6),AND(AH$7&gt;0,$A1020&gt;AH$7)),0,MAX(0,ROUND((INDEX($E1020:$G1020,AH$5)-SUMIFS(TF_Timer,TF_Tekniker,AH$4,TF_Dato,$A1020))*2,0)/2)))</f>
        <v/>
      </c>
      <c r="AI1020">
        <f>IF(OR(AI$4="",$A1020&gt;TODAY()),0,IF(OR(INDEX($B1020:$D1020,AI$5)="F",AND(AI$6&gt;0,$A1020&lt;AI$6),AND(AI$7&gt;0,$A1020&gt;AI$7)),0,MAX(0,ROUND((INDEX($E1020:$G1020,AI$5)-SUMIFS(TF_Timer,TF_Tekniker,AI$4,TF_Dato,$A1020))*2,0)/2)))</f>
        <v/>
      </c>
      <c r="AJ1020">
        <f>IF(OR(AJ$4="",$A1020&gt;TODAY()),0,IF(OR(INDEX($B1020:$D1020,AJ$5)="F",AND(AJ$6&gt;0,$A1020&lt;AJ$6),AND(AJ$7&gt;0,$A1020&gt;AJ$7)),0,MAX(0,ROUND((INDEX($E1020:$G1020,AJ$5)-SUMIFS(TF_Timer,TF_Tekniker,AJ$4,TF_Dato,$A1020))*2,0)/2)))</f>
        <v/>
      </c>
      <c r="AK1020">
        <f>IF(OR(AK$4="",$A1020&gt;TODAY()),0,IF(OR(INDEX($B1020:$D1020,AK$5)="F",AND(AK$6&gt;0,$A1020&lt;AK$6),AND(AK$7&gt;0,$A1020&gt;AK$7)),0,MAX(0,ROUND((INDEX($E1020:$G1020,AK$5)-SUMIFS(TF_Timer,TF_Tekniker,AK$4,TF_Dato,$A1020))*2,0)/2)))</f>
        <v/>
      </c>
      <c r="AL1020">
        <f>IF(OR(AL$4="",$A1020&gt;TODAY()),0,IF(OR(INDEX($B1020:$D1020,AL$5)="F",AND(AL$6&gt;0,$A1020&lt;AL$6),AND(AL$7&gt;0,$A1020&gt;AL$7)),0,MAX(0,ROUND((INDEX($E1020:$G1020,AL$5)-SUMIFS(TF_Timer,TF_Tekniker,AL$4,TF_Dato,$A1020))*2,0)/2)))</f>
        <v/>
      </c>
      <c r="AM1020">
        <f>IF(OR(AM$4="",$A1020&gt;TODAY()),0,IF(OR(INDEX($B1020:$D1020,AM$5)="F",AND(AM$6&gt;0,$A1020&lt;AM$6),AND(AM$7&gt;0,$A1020&gt;AM$7)),0,MAX(0,ROUND((INDEX($E1020:$G1020,AM$5)-SUMIFS(TF_Timer,TF_Tekniker,AM$4,TF_Dato,$A1020))*2,0)/2)))</f>
        <v/>
      </c>
      <c r="AN1020">
        <f>IF(OR(AN$4="",$A1020&gt;TODAY()),0,IF(OR(INDEX($B1020:$D1020,AN$5)="F",AND(AN$6&gt;0,$A1020&lt;AN$6),AND(AN$7&gt;0,$A1020&gt;AN$7)),0,MAX(0,ROUND((INDEX($E1020:$G1020,AN$5)-SUMIFS(TF_Timer,TF_Tekniker,AN$4,TF_Dato,$A1020))*2,0)/2)))</f>
        <v/>
      </c>
      <c r="AO1020">
        <f>IF(OR(AO$4="",$A1020&gt;TODAY()),0,IF(OR(INDEX($B1020:$D1020,AO$5)="F",AND(AO$6&gt;0,$A1020&lt;AO$6),AND(AO$7&gt;0,$A1020&gt;AO$7)),0,MAX(0,ROUND((INDEX($E1020:$G1020,AO$5)-SUMIFS(TF_Timer,TF_Tekniker,AO$4,TF_Dato,$A1020))*2,0)/2)))</f>
        <v/>
      </c>
      <c r="AP1020">
        <f>IF(OR(AP$4="",$A1020&gt;TODAY()),0,IF(OR(INDEX($B1020:$D1020,AP$5)="F",AND(AP$6&gt;0,$A1020&lt;AP$6),AND(AP$7&gt;0,$A1020&gt;AP$7)),0,MAX(0,ROUND((INDEX($E1020:$G1020,AP$5)-SUMIFS(TF_Timer,TF_Tekniker,AP$4,TF_Dato,$A1020))*2,0)/2)))</f>
        <v/>
      </c>
      <c r="AQ1020">
        <f>IF(OR(AQ$4="",$A1020&gt;TODAY()),0,IF(OR(INDEX($B1020:$D1020,AQ$5)="F",AND(AQ$6&gt;0,$A1020&lt;AQ$6),AND(AQ$7&gt;0,$A1020&gt;AQ$7)),0,MAX(0,ROUND((INDEX($E1020:$G1020,AQ$5)-SUMIFS(TF_Timer,TF_Tekniker,AQ$4,TF_Dato,$A1020))*2,0)/2)))</f>
        <v/>
      </c>
      <c r="AR1020">
        <f>IF(OR(AR$4="",$A1020&gt;TODAY()),0,IF(OR(INDEX($B1020:$D1020,AR$5)="F",AND(AR$6&gt;0,$A1020&lt;AR$6),AND(AR$7&gt;0,$A1020&gt;AR$7)),0,MAX(0,ROUND((INDEX($E1020:$G1020,AR$5)-SUMIFS(TF_Timer,TF_Tekniker,AR$4,TF_Dato,$A1020))*2,0)/2)))</f>
        <v/>
      </c>
      <c r="AS1020">
        <f>IF(OR(AS$4="",$A1020&gt;TODAY()),0,IF(OR(INDEX($B1020:$D1020,AS$5)="F",AND(AS$6&gt;0,$A1020&lt;AS$6),AND(AS$7&gt;0,$A1020&gt;AS$7)),0,MAX(0,ROUND((INDEX($E1020:$G1020,AS$5)-SUMIFS(TF_Timer,TF_Tekniker,AS$4,TF_Dato,$A1020))*2,0)/2)))</f>
        <v/>
      </c>
      <c r="AT1020">
        <f>IF(OR(AT$4="",$A1020&gt;TODAY()),0,IF(OR(INDEX($B1020:$D1020,AT$5)="F",AND(AT$6&gt;0,$A1020&lt;AT$6),AND(AT$7&gt;0,$A1020&gt;AT$7)),0,MAX(0,ROUND((INDEX($E1020:$G1020,AT$5)-SUMIFS(TF_Timer,TF_Tekniker,AT$4,TF_Dato,$A1020))*2,0)/2)))</f>
        <v/>
      </c>
      <c r="AU1020">
        <f>IF(OR(AU$4="",$A1020&gt;TODAY()),0,IF(OR(INDEX($B1020:$D1020,AU$5)="F",AND(AU$6&gt;0,$A1020&lt;AU$6),AND(AU$7&gt;0,$A1020&gt;AU$7)),0,MAX(0,ROUND((INDEX($E1020:$G1020,AU$5)-SUMIFS(TF_Timer,TF_Tekniker,AU$4,TF_Dato,$A1020))*2,0)/2)))</f>
        <v/>
      </c>
      <c r="AV1020">
        <f>IF(OR(AV$4="",$A1020&gt;TODAY()),0,IF(OR(INDEX($B1020:$D1020,AV$5)="F",AND(AV$6&gt;0,$A1020&lt;AV$6),AND(AV$7&gt;0,$A1020&gt;AV$7)),0,MAX(0,ROUND((INDEX($E1020:$G1020,AV$5)-SUMIFS(TF_Timer,TF_Tekniker,AV$4,TF_Dato,$A1020))*2,0)/2)))</f>
        <v/>
      </c>
      <c r="AW1020">
        <f>IF(OR(AW$4="",$A1020&gt;TODAY()),0,IF(OR(INDEX($B1020:$D1020,AW$5)="F",AND(AW$6&gt;0,$A1020&lt;AW$6),AND(AW$7&gt;0,$A1020&gt;AW$7)),0,MAX(0,ROUND((INDEX($E1020:$G1020,AW$5)-SUMIFS(TF_Timer,TF_Tekniker,AW$4,TF_Dato,$A1020))*2,0)/2)))</f>
        <v/>
      </c>
      <c r="AX1020">
        <f>IF(OR(AX$4="",$A1020&gt;TODAY()),0,IF(OR(INDEX($B1020:$D1020,AX$5)="F",AND(AX$6&gt;0,$A1020&lt;AX$6),AND(AX$7&gt;0,$A1020&gt;AX$7)),0,MAX(0,ROUND((INDEX($E1020:$G1020,AX$5)-SUMIFS(TF_Timer,TF_Tekniker,AX$4,TF_Dato,$A1020))*2,0)/2)))</f>
        <v/>
      </c>
      <c r="AY1020">
        <f>IF(OR(AY$4="",$A1020&gt;TODAY()),0,IF(OR(INDEX($B1020:$D1020,AY$5)="F",AND(AY$6&gt;0,$A1020&lt;AY$6),AND(AY$7&gt;0,$A1020&gt;AY$7)),0,MAX(0,ROUND((INDEX($E1020:$G1020,AY$5)-SUMIFS(TF_Timer,TF_Tekniker,AY$4,TF_Dato,$A1020))*2,0)/2)))</f>
        <v/>
      </c>
      <c r="AZ1020">
        <f>IF(OR(AZ$4="",$A1020&gt;TODAY()),0,IF(OR(INDEX($B1020:$D1020,AZ$5)="F",AND(AZ$6&gt;0,$A1020&lt;AZ$6),AND(AZ$7&gt;0,$A1020&gt;AZ$7)),0,MAX(0,ROUND((INDEX($E1020:$G1020,AZ$5)-SUMIFS(TF_Timer,TF_Tekniker,AZ$4,TF_Dato,$A1020))*2,0)/2)))</f>
        <v/>
      </c>
      <c r="BA1020">
        <f>IF(OR(BA$4="",$A1020&gt;TODAY()),0,IF(OR(INDEX($B1020:$D1020,BA$5)="F",AND(BA$6&gt;0,$A1020&lt;BA$6),AND(BA$7&gt;0,$A1020&gt;BA$7)),0,MAX(0,ROUND((INDEX($E1020:$G1020,BA$5)-SUMIFS(TF_Timer,TF_Tekniker,BA$4,TF_Dato,$A1020))*2,0)/2)))</f>
        <v/>
      </c>
      <c r="BB1020">
        <f>IF(OR(BB$4="",$A1020&gt;TODAY()),0,IF(OR(INDEX($B1020:$D1020,BB$5)="F",AND(BB$6&gt;0,$A1020&lt;BB$6),AND(BB$7&gt;0,$A1020&gt;BB$7)),0,MAX(0,ROUND((INDEX($E1020:$G1020,BB$5)-SUMIFS(TF_Timer,TF_Tekniker,BB$4,TF_Dato,$A1020))*2,0)/2)))</f>
        <v/>
      </c>
      <c r="BC1020">
        <f>IF(OR(BC$4="",$A1020&gt;TODAY()),0,IF(OR(INDEX($B1020:$D1020,BC$5)="F",AND(BC$6&gt;0,$A1020&lt;BC$6),AND(BC$7&gt;0,$A1020&gt;BC$7)),0,MAX(0,ROUND((INDEX($E1020:$G1020,BC$5)-SUMIFS(TF_Timer,TF_Tekniker,BC$4,TF_Dato,$A1020))*2,0)/2)))</f>
        <v/>
      </c>
      <c r="BD1020">
        <f>IF(OR(BD$4="",$A1020&gt;TODAY()),0,IF(OR(INDEX($B1020:$D1020,BD$5)="F",AND(BD$6&gt;0,$A1020&lt;BD$6),AND(BD$7&gt;0,$A1020&gt;BD$7)),0,MAX(0,ROUND((INDEX($E1020:$G1020,BD$5)-SUMIFS(TF_Timer,TF_Tekniker,BD$4,TF_Dato,$A1020))*2,0)/2)))</f>
        <v/>
      </c>
      <c r="BE1020">
        <f>IF(OR(BE$4="",$A1020&gt;TODAY()),0,IF(OR(INDEX($B1020:$D1020,BE$5)="F",AND(BE$6&gt;0,$A1020&lt;BE$6),AND(BE$7&gt;0,$A1020&gt;BE$7)),0,MAX(0,ROUND((INDEX($E1020:$G1020,BE$5)-SUMIFS(TF_Timer,TF_Tekniker,BE$4,TF_Dato,$A1020))*2,0)/2)))</f>
        <v/>
      </c>
      <c r="BF1020">
        <f>IF(OR(BF$4="",$A1020&gt;TODAY()),0,IF(OR(INDEX($B1020:$D1020,BF$5)="F",AND(BF$6&gt;0,$A1020&lt;BF$6),AND(BF$7&gt;0,$A1020&gt;BF$7)),0,MAX(0,ROUND((INDEX($E1020:$G1020,BF$5)-SUMIFS(TF_Timer,TF_Tekniker,BF$4,TF_Dato,$A1020))*2,0)/2)))</f>
        <v/>
      </c>
      <c r="BG1020">
        <f>IF(OR(BG$4="",$A1020&gt;TODAY()),0,IF(OR(INDEX($B1020:$D1020,BG$5)="F",AND(BG$6&gt;0,$A1020&lt;BG$6),AND(BG$7&gt;0,$A1020&gt;BG$7)),0,MAX(0,ROUND((INDEX($E1020:$G1020,BG$5)-SUMIFS(TF_Timer,TF_Tekniker,BG$4,TF_Dato,$A1020))*2,0)/2)))</f>
        <v/>
      </c>
      <c r="BH1020">
        <f>IF(OR(BH$4="",$A1020&gt;TODAY()),0,IF(OR(INDEX($B1020:$D1020,BH$5)="F",AND(BH$6&gt;0,$A1020&lt;BH$6),AND(BH$7&gt;0,$A1020&gt;BH$7)),0,MAX(0,ROUND((INDEX($E1020:$G1020,BH$5)-SUMIFS(TF_Timer,TF_Tekniker,BH$4,TF_Dato,$A1020))*2,0)/2)))</f>
        <v/>
      </c>
      <c r="BI1020">
        <f>IF(OR(BI$4="",$A1020&gt;TODAY()),0,IF(OR(INDEX($B1020:$D1020,BI$5)="F",AND(BI$6&gt;0,$A1020&lt;BI$6),AND(BI$7&gt;0,$A1020&gt;BI$7)),0,MAX(0,ROUND((INDEX($E1020:$G1020,BI$5)-SUMIFS(TF_Timer,TF_Tekniker,BI$4,TF_Dato,$A1020))*2,0)/2)))</f>
        <v/>
      </c>
    </row>
    <row r="1021">
      <c r="A1021" s="64">
        <f>A1020+1</f>
        <v/>
      </c>
      <c r="B1021">
        <f>IF(MOD($A1021-INDEX(SkiftStart,1),Syklus)&lt;DagK,"K",IF(MOD($A1021-INDEX(SkiftStart,1),Syklus)&lt;DagK+DagH,"H",IF(MOD($A1021-INDEX(SkiftStart,1),Syklus)&lt;DagK+DagH+DagD,"D","F")))</f>
        <v/>
      </c>
      <c r="C1021">
        <f>IF(MOD($A1021-INDEX(SkiftStart,2),Syklus)&lt;DagK,"K",IF(MOD($A1021-INDEX(SkiftStart,2),Syklus)&lt;DagK+DagH,"H",IF(MOD($A1021-INDEX(SkiftStart,2),Syklus)&lt;DagK+DagH+DagD,"D","F")))</f>
        <v/>
      </c>
      <c r="D1021">
        <f>IF(MOD($A1021-INDEX(SkiftStart,3),Syklus)&lt;DagK,"K",IF(MOD($A1021-INDEX(SkiftStart,3),Syklus)&lt;DagK+DagH,"H",IF(MOD($A1021-INDEX(SkiftStart,3),Syklus)&lt;DagK+DagH+DagD,"D","F")))</f>
        <v/>
      </c>
      <c r="E1021">
        <f>IF(B1021="F",0,IF(WEEKDAY($A1021,2)=5,INDEX(TimerFr,MATCH(B1021,FaseKode,0)),INDEX(TimerMT,MATCH(B1021,FaseKode,0))))</f>
        <v/>
      </c>
      <c r="F1021">
        <f>IF(C1021="F",0,IF(WEEKDAY($A1021,2)=5,INDEX(TimerFr,MATCH(C1021,FaseKode,0)),INDEX(TimerMT,MATCH(C1021,FaseKode,0))))</f>
        <v/>
      </c>
      <c r="G1021">
        <f>IF(D1021="F",0,IF(WEEKDAY($A1021,2)=5,INDEX(TimerFr,MATCH(D1021,FaseKode,0)),INDEX(TimerMT,MATCH(D1021,FaseKode,0))))</f>
        <v/>
      </c>
      <c r="H1021">
        <f>IF(OR(H$4="",$A1021&gt;TODAY()),0,IF(OR(INDEX($B1021:$D1021,H$5)="F",AND(H$6&gt;0,$A1021&lt;H$6),AND(H$7&gt;0,$A1021&gt;H$7)),0,MAX(0,ROUND((INDEX($E1021:$G1021,H$5)-SUMIFS(TF_Timer,TF_Tekniker,H$4,TF_Dato,$A1021))*2,0)/2)))</f>
        <v/>
      </c>
      <c r="I1021">
        <f>IF(OR(I$4="",$A1021&gt;TODAY()),0,IF(OR(INDEX($B1021:$D1021,I$5)="F",AND(I$6&gt;0,$A1021&lt;I$6),AND(I$7&gt;0,$A1021&gt;I$7)),0,MAX(0,ROUND((INDEX($E1021:$G1021,I$5)-SUMIFS(TF_Timer,TF_Tekniker,I$4,TF_Dato,$A1021))*2,0)/2)))</f>
        <v/>
      </c>
      <c r="J1021">
        <f>IF(OR(J$4="",$A1021&gt;TODAY()),0,IF(OR(INDEX($B1021:$D1021,J$5)="F",AND(J$6&gt;0,$A1021&lt;J$6),AND(J$7&gt;0,$A1021&gt;J$7)),0,MAX(0,ROUND((INDEX($E1021:$G1021,J$5)-SUMIFS(TF_Timer,TF_Tekniker,J$4,TF_Dato,$A1021))*2,0)/2)))</f>
        <v/>
      </c>
      <c r="K1021">
        <f>IF(OR(K$4="",$A1021&gt;TODAY()),0,IF(OR(INDEX($B1021:$D1021,K$5)="F",AND(K$6&gt;0,$A1021&lt;K$6),AND(K$7&gt;0,$A1021&gt;K$7)),0,MAX(0,ROUND((INDEX($E1021:$G1021,K$5)-SUMIFS(TF_Timer,TF_Tekniker,K$4,TF_Dato,$A1021))*2,0)/2)))</f>
        <v/>
      </c>
      <c r="L1021">
        <f>IF(OR(L$4="",$A1021&gt;TODAY()),0,IF(OR(INDEX($B1021:$D1021,L$5)="F",AND(L$6&gt;0,$A1021&lt;L$6),AND(L$7&gt;0,$A1021&gt;L$7)),0,MAX(0,ROUND((INDEX($E1021:$G1021,L$5)-SUMIFS(TF_Timer,TF_Tekniker,L$4,TF_Dato,$A1021))*2,0)/2)))</f>
        <v/>
      </c>
      <c r="M1021">
        <f>IF(OR(M$4="",$A1021&gt;TODAY()),0,IF(OR(INDEX($B1021:$D1021,M$5)="F",AND(M$6&gt;0,$A1021&lt;M$6),AND(M$7&gt;0,$A1021&gt;M$7)),0,MAX(0,ROUND((INDEX($E1021:$G1021,M$5)-SUMIFS(TF_Timer,TF_Tekniker,M$4,TF_Dato,$A1021))*2,0)/2)))</f>
        <v/>
      </c>
      <c r="N1021">
        <f>IF(OR(N$4="",$A1021&gt;TODAY()),0,IF(OR(INDEX($B1021:$D1021,N$5)="F",AND(N$6&gt;0,$A1021&lt;N$6),AND(N$7&gt;0,$A1021&gt;N$7)),0,MAX(0,ROUND((INDEX($E1021:$G1021,N$5)-SUMIFS(TF_Timer,TF_Tekniker,N$4,TF_Dato,$A1021))*2,0)/2)))</f>
        <v/>
      </c>
      <c r="O1021">
        <f>IF(OR(O$4="",$A1021&gt;TODAY()),0,IF(OR(INDEX($B1021:$D1021,O$5)="F",AND(O$6&gt;0,$A1021&lt;O$6),AND(O$7&gt;0,$A1021&gt;O$7)),0,MAX(0,ROUND((INDEX($E1021:$G1021,O$5)-SUMIFS(TF_Timer,TF_Tekniker,O$4,TF_Dato,$A1021))*2,0)/2)))</f>
        <v/>
      </c>
      <c r="P1021">
        <f>IF(OR(P$4="",$A1021&gt;TODAY()),0,IF(OR(INDEX($B1021:$D1021,P$5)="F",AND(P$6&gt;0,$A1021&lt;P$6),AND(P$7&gt;0,$A1021&gt;P$7)),0,MAX(0,ROUND((INDEX($E1021:$G1021,P$5)-SUMIFS(TF_Timer,TF_Tekniker,P$4,TF_Dato,$A1021))*2,0)/2)))</f>
        <v/>
      </c>
      <c r="Q1021">
        <f>IF(OR(Q$4="",$A1021&gt;TODAY()),0,IF(OR(INDEX($B1021:$D1021,Q$5)="F",AND(Q$6&gt;0,$A1021&lt;Q$6),AND(Q$7&gt;0,$A1021&gt;Q$7)),0,MAX(0,ROUND((INDEX($E1021:$G1021,Q$5)-SUMIFS(TF_Timer,TF_Tekniker,Q$4,TF_Dato,$A1021))*2,0)/2)))</f>
        <v/>
      </c>
      <c r="R1021">
        <f>IF(OR(R$4="",$A1021&gt;TODAY()),0,IF(OR(INDEX($B1021:$D1021,R$5)="F",AND(R$6&gt;0,$A1021&lt;R$6),AND(R$7&gt;0,$A1021&gt;R$7)),0,MAX(0,ROUND((INDEX($E1021:$G1021,R$5)-SUMIFS(TF_Timer,TF_Tekniker,R$4,TF_Dato,$A1021))*2,0)/2)))</f>
        <v/>
      </c>
      <c r="S1021">
        <f>IF(OR(S$4="",$A1021&gt;TODAY()),0,IF(OR(INDEX($B1021:$D1021,S$5)="F",AND(S$6&gt;0,$A1021&lt;S$6),AND(S$7&gt;0,$A1021&gt;S$7)),0,MAX(0,ROUND((INDEX($E1021:$G1021,S$5)-SUMIFS(TF_Timer,TF_Tekniker,S$4,TF_Dato,$A1021))*2,0)/2)))</f>
        <v/>
      </c>
      <c r="T1021">
        <f>IF(OR(T$4="",$A1021&gt;TODAY()),0,IF(OR(INDEX($B1021:$D1021,T$5)="F",AND(T$6&gt;0,$A1021&lt;T$6),AND(T$7&gt;0,$A1021&gt;T$7)),0,MAX(0,ROUND((INDEX($E1021:$G1021,T$5)-SUMIFS(TF_Timer,TF_Tekniker,T$4,TF_Dato,$A1021))*2,0)/2)))</f>
        <v/>
      </c>
      <c r="U1021">
        <f>IF(OR(U$4="",$A1021&gt;TODAY()),0,IF(OR(INDEX($B1021:$D1021,U$5)="F",AND(U$6&gt;0,$A1021&lt;U$6),AND(U$7&gt;0,$A1021&gt;U$7)),0,MAX(0,ROUND((INDEX($E1021:$G1021,U$5)-SUMIFS(TF_Timer,TF_Tekniker,U$4,TF_Dato,$A1021))*2,0)/2)))</f>
        <v/>
      </c>
      <c r="V1021">
        <f>IF(OR(V$4="",$A1021&gt;TODAY()),0,IF(OR(INDEX($B1021:$D1021,V$5)="F",AND(V$6&gt;0,$A1021&lt;V$6),AND(V$7&gt;0,$A1021&gt;V$7)),0,MAX(0,ROUND((INDEX($E1021:$G1021,V$5)-SUMIFS(TF_Timer,TF_Tekniker,V$4,TF_Dato,$A1021))*2,0)/2)))</f>
        <v/>
      </c>
      <c r="W1021">
        <f>IF(OR(W$4="",$A1021&gt;TODAY()),0,IF(OR(INDEX($B1021:$D1021,W$5)="F",AND(W$6&gt;0,$A1021&lt;W$6),AND(W$7&gt;0,$A1021&gt;W$7)),0,MAX(0,ROUND((INDEX($E1021:$G1021,W$5)-SUMIFS(TF_Timer,TF_Tekniker,W$4,TF_Dato,$A1021))*2,0)/2)))</f>
        <v/>
      </c>
      <c r="X1021">
        <f>IF(OR(X$4="",$A1021&gt;TODAY()),0,IF(OR(INDEX($B1021:$D1021,X$5)="F",AND(X$6&gt;0,$A1021&lt;X$6),AND(X$7&gt;0,$A1021&gt;X$7)),0,MAX(0,ROUND((INDEX($E1021:$G1021,X$5)-SUMIFS(TF_Timer,TF_Tekniker,X$4,TF_Dato,$A1021))*2,0)/2)))</f>
        <v/>
      </c>
      <c r="Y1021">
        <f>IF(OR(Y$4="",$A1021&gt;TODAY()),0,IF(OR(INDEX($B1021:$D1021,Y$5)="F",AND(Y$6&gt;0,$A1021&lt;Y$6),AND(Y$7&gt;0,$A1021&gt;Y$7)),0,MAX(0,ROUND((INDEX($E1021:$G1021,Y$5)-SUMIFS(TF_Timer,TF_Tekniker,Y$4,TF_Dato,$A1021))*2,0)/2)))</f>
        <v/>
      </c>
      <c r="Z1021">
        <f>IF(OR(Z$4="",$A1021&gt;TODAY()),0,IF(OR(INDEX($B1021:$D1021,Z$5)="F",AND(Z$6&gt;0,$A1021&lt;Z$6),AND(Z$7&gt;0,$A1021&gt;Z$7)),0,MAX(0,ROUND((INDEX($E1021:$G1021,Z$5)-SUMIFS(TF_Timer,TF_Tekniker,Z$4,TF_Dato,$A1021))*2,0)/2)))</f>
        <v/>
      </c>
      <c r="AA1021">
        <f>IF(OR(AA$4="",$A1021&gt;TODAY()),0,IF(OR(INDEX($B1021:$D1021,AA$5)="F",AND(AA$6&gt;0,$A1021&lt;AA$6),AND(AA$7&gt;0,$A1021&gt;AA$7)),0,MAX(0,ROUND((INDEX($E1021:$G1021,AA$5)-SUMIFS(TF_Timer,TF_Tekniker,AA$4,TF_Dato,$A1021))*2,0)/2)))</f>
        <v/>
      </c>
      <c r="AB1021">
        <f>IF(OR(AB$4="",$A1021&gt;TODAY()),0,IF(OR(INDEX($B1021:$D1021,AB$5)="F",AND(AB$6&gt;0,$A1021&lt;AB$6),AND(AB$7&gt;0,$A1021&gt;AB$7)),0,MAX(0,ROUND((INDEX($E1021:$G1021,AB$5)-SUMIFS(TF_Timer,TF_Tekniker,AB$4,TF_Dato,$A1021))*2,0)/2)))</f>
        <v/>
      </c>
      <c r="AC1021">
        <f>IF(OR(AC$4="",$A1021&gt;TODAY()),0,IF(OR(INDEX($B1021:$D1021,AC$5)="F",AND(AC$6&gt;0,$A1021&lt;AC$6),AND(AC$7&gt;0,$A1021&gt;AC$7)),0,MAX(0,ROUND((INDEX($E1021:$G1021,AC$5)-SUMIFS(TF_Timer,TF_Tekniker,AC$4,TF_Dato,$A1021))*2,0)/2)))</f>
        <v/>
      </c>
      <c r="AD1021">
        <f>IF(OR(AD$4="",$A1021&gt;TODAY()),0,IF(OR(INDEX($B1021:$D1021,AD$5)="F",AND(AD$6&gt;0,$A1021&lt;AD$6),AND(AD$7&gt;0,$A1021&gt;AD$7)),0,MAX(0,ROUND((INDEX($E1021:$G1021,AD$5)-SUMIFS(TF_Timer,TF_Tekniker,AD$4,TF_Dato,$A1021))*2,0)/2)))</f>
        <v/>
      </c>
      <c r="AE1021">
        <f>IF(OR(AE$4="",$A1021&gt;TODAY()),0,IF(OR(INDEX($B1021:$D1021,AE$5)="F",AND(AE$6&gt;0,$A1021&lt;AE$6),AND(AE$7&gt;0,$A1021&gt;AE$7)),0,MAX(0,ROUND((INDEX($E1021:$G1021,AE$5)-SUMIFS(TF_Timer,TF_Tekniker,AE$4,TF_Dato,$A1021))*2,0)/2)))</f>
        <v/>
      </c>
      <c r="AF1021">
        <f>IF(OR(AF$4="",$A1021&gt;TODAY()),0,IF(OR(INDEX($B1021:$D1021,AF$5)="F",AND(AF$6&gt;0,$A1021&lt;AF$6),AND(AF$7&gt;0,$A1021&gt;AF$7)),0,MAX(0,ROUND((INDEX($E1021:$G1021,AF$5)-SUMIFS(TF_Timer,TF_Tekniker,AF$4,TF_Dato,$A1021))*2,0)/2)))</f>
        <v/>
      </c>
      <c r="AG1021">
        <f>IF(OR(AG$4="",$A1021&gt;TODAY()),0,IF(OR(INDEX($B1021:$D1021,AG$5)="F",AND(AG$6&gt;0,$A1021&lt;AG$6),AND(AG$7&gt;0,$A1021&gt;AG$7)),0,MAX(0,ROUND((INDEX($E1021:$G1021,AG$5)-SUMIFS(TF_Timer,TF_Tekniker,AG$4,TF_Dato,$A1021))*2,0)/2)))</f>
        <v/>
      </c>
      <c r="AH1021">
        <f>IF(OR(AH$4="",$A1021&gt;TODAY()),0,IF(OR(INDEX($B1021:$D1021,AH$5)="F",AND(AH$6&gt;0,$A1021&lt;AH$6),AND(AH$7&gt;0,$A1021&gt;AH$7)),0,MAX(0,ROUND((INDEX($E1021:$G1021,AH$5)-SUMIFS(TF_Timer,TF_Tekniker,AH$4,TF_Dato,$A1021))*2,0)/2)))</f>
        <v/>
      </c>
      <c r="AI1021">
        <f>IF(OR(AI$4="",$A1021&gt;TODAY()),0,IF(OR(INDEX($B1021:$D1021,AI$5)="F",AND(AI$6&gt;0,$A1021&lt;AI$6),AND(AI$7&gt;0,$A1021&gt;AI$7)),0,MAX(0,ROUND((INDEX($E1021:$G1021,AI$5)-SUMIFS(TF_Timer,TF_Tekniker,AI$4,TF_Dato,$A1021))*2,0)/2)))</f>
        <v/>
      </c>
      <c r="AJ1021">
        <f>IF(OR(AJ$4="",$A1021&gt;TODAY()),0,IF(OR(INDEX($B1021:$D1021,AJ$5)="F",AND(AJ$6&gt;0,$A1021&lt;AJ$6),AND(AJ$7&gt;0,$A1021&gt;AJ$7)),0,MAX(0,ROUND((INDEX($E1021:$G1021,AJ$5)-SUMIFS(TF_Timer,TF_Tekniker,AJ$4,TF_Dato,$A1021))*2,0)/2)))</f>
        <v/>
      </c>
      <c r="AK1021">
        <f>IF(OR(AK$4="",$A1021&gt;TODAY()),0,IF(OR(INDEX($B1021:$D1021,AK$5)="F",AND(AK$6&gt;0,$A1021&lt;AK$6),AND(AK$7&gt;0,$A1021&gt;AK$7)),0,MAX(0,ROUND((INDEX($E1021:$G1021,AK$5)-SUMIFS(TF_Timer,TF_Tekniker,AK$4,TF_Dato,$A1021))*2,0)/2)))</f>
        <v/>
      </c>
      <c r="AL1021">
        <f>IF(OR(AL$4="",$A1021&gt;TODAY()),0,IF(OR(INDEX($B1021:$D1021,AL$5)="F",AND(AL$6&gt;0,$A1021&lt;AL$6),AND(AL$7&gt;0,$A1021&gt;AL$7)),0,MAX(0,ROUND((INDEX($E1021:$G1021,AL$5)-SUMIFS(TF_Timer,TF_Tekniker,AL$4,TF_Dato,$A1021))*2,0)/2)))</f>
        <v/>
      </c>
      <c r="AM1021">
        <f>IF(OR(AM$4="",$A1021&gt;TODAY()),0,IF(OR(INDEX($B1021:$D1021,AM$5)="F",AND(AM$6&gt;0,$A1021&lt;AM$6),AND(AM$7&gt;0,$A1021&gt;AM$7)),0,MAX(0,ROUND((INDEX($E1021:$G1021,AM$5)-SUMIFS(TF_Timer,TF_Tekniker,AM$4,TF_Dato,$A1021))*2,0)/2)))</f>
        <v/>
      </c>
      <c r="AN1021">
        <f>IF(OR(AN$4="",$A1021&gt;TODAY()),0,IF(OR(INDEX($B1021:$D1021,AN$5)="F",AND(AN$6&gt;0,$A1021&lt;AN$6),AND(AN$7&gt;0,$A1021&gt;AN$7)),0,MAX(0,ROUND((INDEX($E1021:$G1021,AN$5)-SUMIFS(TF_Timer,TF_Tekniker,AN$4,TF_Dato,$A1021))*2,0)/2)))</f>
        <v/>
      </c>
      <c r="AO1021">
        <f>IF(OR(AO$4="",$A1021&gt;TODAY()),0,IF(OR(INDEX($B1021:$D1021,AO$5)="F",AND(AO$6&gt;0,$A1021&lt;AO$6),AND(AO$7&gt;0,$A1021&gt;AO$7)),0,MAX(0,ROUND((INDEX($E1021:$G1021,AO$5)-SUMIFS(TF_Timer,TF_Tekniker,AO$4,TF_Dato,$A1021))*2,0)/2)))</f>
        <v/>
      </c>
      <c r="AP1021">
        <f>IF(OR(AP$4="",$A1021&gt;TODAY()),0,IF(OR(INDEX($B1021:$D1021,AP$5)="F",AND(AP$6&gt;0,$A1021&lt;AP$6),AND(AP$7&gt;0,$A1021&gt;AP$7)),0,MAX(0,ROUND((INDEX($E1021:$G1021,AP$5)-SUMIFS(TF_Timer,TF_Tekniker,AP$4,TF_Dato,$A1021))*2,0)/2)))</f>
        <v/>
      </c>
      <c r="AQ1021">
        <f>IF(OR(AQ$4="",$A1021&gt;TODAY()),0,IF(OR(INDEX($B1021:$D1021,AQ$5)="F",AND(AQ$6&gt;0,$A1021&lt;AQ$6),AND(AQ$7&gt;0,$A1021&gt;AQ$7)),0,MAX(0,ROUND((INDEX($E1021:$G1021,AQ$5)-SUMIFS(TF_Timer,TF_Tekniker,AQ$4,TF_Dato,$A1021))*2,0)/2)))</f>
        <v/>
      </c>
      <c r="AR1021">
        <f>IF(OR(AR$4="",$A1021&gt;TODAY()),0,IF(OR(INDEX($B1021:$D1021,AR$5)="F",AND(AR$6&gt;0,$A1021&lt;AR$6),AND(AR$7&gt;0,$A1021&gt;AR$7)),0,MAX(0,ROUND((INDEX($E1021:$G1021,AR$5)-SUMIFS(TF_Timer,TF_Tekniker,AR$4,TF_Dato,$A1021))*2,0)/2)))</f>
        <v/>
      </c>
      <c r="AS1021">
        <f>IF(OR(AS$4="",$A1021&gt;TODAY()),0,IF(OR(INDEX($B1021:$D1021,AS$5)="F",AND(AS$6&gt;0,$A1021&lt;AS$6),AND(AS$7&gt;0,$A1021&gt;AS$7)),0,MAX(0,ROUND((INDEX($E1021:$G1021,AS$5)-SUMIFS(TF_Timer,TF_Tekniker,AS$4,TF_Dato,$A1021))*2,0)/2)))</f>
        <v/>
      </c>
      <c r="AT1021">
        <f>IF(OR(AT$4="",$A1021&gt;TODAY()),0,IF(OR(INDEX($B1021:$D1021,AT$5)="F",AND(AT$6&gt;0,$A1021&lt;AT$6),AND(AT$7&gt;0,$A1021&gt;AT$7)),0,MAX(0,ROUND((INDEX($E1021:$G1021,AT$5)-SUMIFS(TF_Timer,TF_Tekniker,AT$4,TF_Dato,$A1021))*2,0)/2)))</f>
        <v/>
      </c>
      <c r="AU1021">
        <f>IF(OR(AU$4="",$A1021&gt;TODAY()),0,IF(OR(INDEX($B1021:$D1021,AU$5)="F",AND(AU$6&gt;0,$A1021&lt;AU$6),AND(AU$7&gt;0,$A1021&gt;AU$7)),0,MAX(0,ROUND((INDEX($E1021:$G1021,AU$5)-SUMIFS(TF_Timer,TF_Tekniker,AU$4,TF_Dato,$A1021))*2,0)/2)))</f>
        <v/>
      </c>
      <c r="AV1021">
        <f>IF(OR(AV$4="",$A1021&gt;TODAY()),0,IF(OR(INDEX($B1021:$D1021,AV$5)="F",AND(AV$6&gt;0,$A1021&lt;AV$6),AND(AV$7&gt;0,$A1021&gt;AV$7)),0,MAX(0,ROUND((INDEX($E1021:$G1021,AV$5)-SUMIFS(TF_Timer,TF_Tekniker,AV$4,TF_Dato,$A1021))*2,0)/2)))</f>
        <v/>
      </c>
      <c r="AW1021">
        <f>IF(OR(AW$4="",$A1021&gt;TODAY()),0,IF(OR(INDEX($B1021:$D1021,AW$5)="F",AND(AW$6&gt;0,$A1021&lt;AW$6),AND(AW$7&gt;0,$A1021&gt;AW$7)),0,MAX(0,ROUND((INDEX($E1021:$G1021,AW$5)-SUMIFS(TF_Timer,TF_Tekniker,AW$4,TF_Dato,$A1021))*2,0)/2)))</f>
        <v/>
      </c>
      <c r="AX1021">
        <f>IF(OR(AX$4="",$A1021&gt;TODAY()),0,IF(OR(INDEX($B1021:$D1021,AX$5)="F",AND(AX$6&gt;0,$A1021&lt;AX$6),AND(AX$7&gt;0,$A1021&gt;AX$7)),0,MAX(0,ROUND((INDEX($E1021:$G1021,AX$5)-SUMIFS(TF_Timer,TF_Tekniker,AX$4,TF_Dato,$A1021))*2,0)/2)))</f>
        <v/>
      </c>
      <c r="AY1021">
        <f>IF(OR(AY$4="",$A1021&gt;TODAY()),0,IF(OR(INDEX($B1021:$D1021,AY$5)="F",AND(AY$6&gt;0,$A1021&lt;AY$6),AND(AY$7&gt;0,$A1021&gt;AY$7)),0,MAX(0,ROUND((INDEX($E1021:$G1021,AY$5)-SUMIFS(TF_Timer,TF_Tekniker,AY$4,TF_Dato,$A1021))*2,0)/2)))</f>
        <v/>
      </c>
      <c r="AZ1021">
        <f>IF(OR(AZ$4="",$A1021&gt;TODAY()),0,IF(OR(INDEX($B1021:$D1021,AZ$5)="F",AND(AZ$6&gt;0,$A1021&lt;AZ$6),AND(AZ$7&gt;0,$A1021&gt;AZ$7)),0,MAX(0,ROUND((INDEX($E1021:$G1021,AZ$5)-SUMIFS(TF_Timer,TF_Tekniker,AZ$4,TF_Dato,$A1021))*2,0)/2)))</f>
        <v/>
      </c>
      <c r="BA1021">
        <f>IF(OR(BA$4="",$A1021&gt;TODAY()),0,IF(OR(INDEX($B1021:$D1021,BA$5)="F",AND(BA$6&gt;0,$A1021&lt;BA$6),AND(BA$7&gt;0,$A1021&gt;BA$7)),0,MAX(0,ROUND((INDEX($E1021:$G1021,BA$5)-SUMIFS(TF_Timer,TF_Tekniker,BA$4,TF_Dato,$A1021))*2,0)/2)))</f>
        <v/>
      </c>
      <c r="BB1021">
        <f>IF(OR(BB$4="",$A1021&gt;TODAY()),0,IF(OR(INDEX($B1021:$D1021,BB$5)="F",AND(BB$6&gt;0,$A1021&lt;BB$6),AND(BB$7&gt;0,$A1021&gt;BB$7)),0,MAX(0,ROUND((INDEX($E1021:$G1021,BB$5)-SUMIFS(TF_Timer,TF_Tekniker,BB$4,TF_Dato,$A1021))*2,0)/2)))</f>
        <v/>
      </c>
      <c r="BC1021">
        <f>IF(OR(BC$4="",$A1021&gt;TODAY()),0,IF(OR(INDEX($B1021:$D1021,BC$5)="F",AND(BC$6&gt;0,$A1021&lt;BC$6),AND(BC$7&gt;0,$A1021&gt;BC$7)),0,MAX(0,ROUND((INDEX($E1021:$G1021,BC$5)-SUMIFS(TF_Timer,TF_Tekniker,BC$4,TF_Dato,$A1021))*2,0)/2)))</f>
        <v/>
      </c>
      <c r="BD1021">
        <f>IF(OR(BD$4="",$A1021&gt;TODAY()),0,IF(OR(INDEX($B1021:$D1021,BD$5)="F",AND(BD$6&gt;0,$A1021&lt;BD$6),AND(BD$7&gt;0,$A1021&gt;BD$7)),0,MAX(0,ROUND((INDEX($E1021:$G1021,BD$5)-SUMIFS(TF_Timer,TF_Tekniker,BD$4,TF_Dato,$A1021))*2,0)/2)))</f>
        <v/>
      </c>
      <c r="BE1021">
        <f>IF(OR(BE$4="",$A1021&gt;TODAY()),0,IF(OR(INDEX($B1021:$D1021,BE$5)="F",AND(BE$6&gt;0,$A1021&lt;BE$6),AND(BE$7&gt;0,$A1021&gt;BE$7)),0,MAX(0,ROUND((INDEX($E1021:$G1021,BE$5)-SUMIFS(TF_Timer,TF_Tekniker,BE$4,TF_Dato,$A1021))*2,0)/2)))</f>
        <v/>
      </c>
      <c r="BF1021">
        <f>IF(OR(BF$4="",$A1021&gt;TODAY()),0,IF(OR(INDEX($B1021:$D1021,BF$5)="F",AND(BF$6&gt;0,$A1021&lt;BF$6),AND(BF$7&gt;0,$A1021&gt;BF$7)),0,MAX(0,ROUND((INDEX($E1021:$G1021,BF$5)-SUMIFS(TF_Timer,TF_Tekniker,BF$4,TF_Dato,$A1021))*2,0)/2)))</f>
        <v/>
      </c>
      <c r="BG1021">
        <f>IF(OR(BG$4="",$A1021&gt;TODAY()),0,IF(OR(INDEX($B1021:$D1021,BG$5)="F",AND(BG$6&gt;0,$A1021&lt;BG$6),AND(BG$7&gt;0,$A1021&gt;BG$7)),0,MAX(0,ROUND((INDEX($E1021:$G1021,BG$5)-SUMIFS(TF_Timer,TF_Tekniker,BG$4,TF_Dato,$A1021))*2,0)/2)))</f>
        <v/>
      </c>
      <c r="BH1021">
        <f>IF(OR(BH$4="",$A1021&gt;TODAY()),0,IF(OR(INDEX($B1021:$D1021,BH$5)="F",AND(BH$6&gt;0,$A1021&lt;BH$6),AND(BH$7&gt;0,$A1021&gt;BH$7)),0,MAX(0,ROUND((INDEX($E1021:$G1021,BH$5)-SUMIFS(TF_Timer,TF_Tekniker,BH$4,TF_Dato,$A1021))*2,0)/2)))</f>
        <v/>
      </c>
      <c r="BI1021">
        <f>IF(OR(BI$4="",$A1021&gt;TODAY()),0,IF(OR(INDEX($B1021:$D1021,BI$5)="F",AND(BI$6&gt;0,$A1021&lt;BI$6),AND(BI$7&gt;0,$A1021&gt;BI$7)),0,MAX(0,ROUND((INDEX($E1021:$G1021,BI$5)-SUMIFS(TF_Timer,TF_Tekniker,BI$4,TF_Dato,$A1021))*2,0)/2)))</f>
        <v/>
      </c>
    </row>
    <row r="1022">
      <c r="A1022" s="64">
        <f>A1021+1</f>
        <v/>
      </c>
      <c r="B1022">
        <f>IF(MOD($A1022-INDEX(SkiftStart,1),Syklus)&lt;DagK,"K",IF(MOD($A1022-INDEX(SkiftStart,1),Syklus)&lt;DagK+DagH,"H",IF(MOD($A1022-INDEX(SkiftStart,1),Syklus)&lt;DagK+DagH+DagD,"D","F")))</f>
        <v/>
      </c>
      <c r="C1022">
        <f>IF(MOD($A1022-INDEX(SkiftStart,2),Syklus)&lt;DagK,"K",IF(MOD($A1022-INDEX(SkiftStart,2),Syklus)&lt;DagK+DagH,"H",IF(MOD($A1022-INDEX(SkiftStart,2),Syklus)&lt;DagK+DagH+DagD,"D","F")))</f>
        <v/>
      </c>
      <c r="D1022">
        <f>IF(MOD($A1022-INDEX(SkiftStart,3),Syklus)&lt;DagK,"K",IF(MOD($A1022-INDEX(SkiftStart,3),Syklus)&lt;DagK+DagH,"H",IF(MOD($A1022-INDEX(SkiftStart,3),Syklus)&lt;DagK+DagH+DagD,"D","F")))</f>
        <v/>
      </c>
      <c r="E1022">
        <f>IF(B1022="F",0,IF(WEEKDAY($A1022,2)=5,INDEX(TimerFr,MATCH(B1022,FaseKode,0)),INDEX(TimerMT,MATCH(B1022,FaseKode,0))))</f>
        <v/>
      </c>
      <c r="F1022">
        <f>IF(C1022="F",0,IF(WEEKDAY($A1022,2)=5,INDEX(TimerFr,MATCH(C1022,FaseKode,0)),INDEX(TimerMT,MATCH(C1022,FaseKode,0))))</f>
        <v/>
      </c>
      <c r="G1022">
        <f>IF(D1022="F",0,IF(WEEKDAY($A1022,2)=5,INDEX(TimerFr,MATCH(D1022,FaseKode,0)),INDEX(TimerMT,MATCH(D1022,FaseKode,0))))</f>
        <v/>
      </c>
      <c r="H1022">
        <f>IF(OR(H$4="",$A1022&gt;TODAY()),0,IF(OR(INDEX($B1022:$D1022,H$5)="F",AND(H$6&gt;0,$A1022&lt;H$6),AND(H$7&gt;0,$A1022&gt;H$7)),0,MAX(0,ROUND((INDEX($E1022:$G1022,H$5)-SUMIFS(TF_Timer,TF_Tekniker,H$4,TF_Dato,$A1022))*2,0)/2)))</f>
        <v/>
      </c>
      <c r="I1022">
        <f>IF(OR(I$4="",$A1022&gt;TODAY()),0,IF(OR(INDEX($B1022:$D1022,I$5)="F",AND(I$6&gt;0,$A1022&lt;I$6),AND(I$7&gt;0,$A1022&gt;I$7)),0,MAX(0,ROUND((INDEX($E1022:$G1022,I$5)-SUMIFS(TF_Timer,TF_Tekniker,I$4,TF_Dato,$A1022))*2,0)/2)))</f>
        <v/>
      </c>
      <c r="J1022">
        <f>IF(OR(J$4="",$A1022&gt;TODAY()),0,IF(OR(INDEX($B1022:$D1022,J$5)="F",AND(J$6&gt;0,$A1022&lt;J$6),AND(J$7&gt;0,$A1022&gt;J$7)),0,MAX(0,ROUND((INDEX($E1022:$G1022,J$5)-SUMIFS(TF_Timer,TF_Tekniker,J$4,TF_Dato,$A1022))*2,0)/2)))</f>
        <v/>
      </c>
      <c r="K1022">
        <f>IF(OR(K$4="",$A1022&gt;TODAY()),0,IF(OR(INDEX($B1022:$D1022,K$5)="F",AND(K$6&gt;0,$A1022&lt;K$6),AND(K$7&gt;0,$A1022&gt;K$7)),0,MAX(0,ROUND((INDEX($E1022:$G1022,K$5)-SUMIFS(TF_Timer,TF_Tekniker,K$4,TF_Dato,$A1022))*2,0)/2)))</f>
        <v/>
      </c>
      <c r="L1022">
        <f>IF(OR(L$4="",$A1022&gt;TODAY()),0,IF(OR(INDEX($B1022:$D1022,L$5)="F",AND(L$6&gt;0,$A1022&lt;L$6),AND(L$7&gt;0,$A1022&gt;L$7)),0,MAX(0,ROUND((INDEX($E1022:$G1022,L$5)-SUMIFS(TF_Timer,TF_Tekniker,L$4,TF_Dato,$A1022))*2,0)/2)))</f>
        <v/>
      </c>
      <c r="M1022">
        <f>IF(OR(M$4="",$A1022&gt;TODAY()),0,IF(OR(INDEX($B1022:$D1022,M$5)="F",AND(M$6&gt;0,$A1022&lt;M$6),AND(M$7&gt;0,$A1022&gt;M$7)),0,MAX(0,ROUND((INDEX($E1022:$G1022,M$5)-SUMIFS(TF_Timer,TF_Tekniker,M$4,TF_Dato,$A1022))*2,0)/2)))</f>
        <v/>
      </c>
      <c r="N1022">
        <f>IF(OR(N$4="",$A1022&gt;TODAY()),0,IF(OR(INDEX($B1022:$D1022,N$5)="F",AND(N$6&gt;0,$A1022&lt;N$6),AND(N$7&gt;0,$A1022&gt;N$7)),0,MAX(0,ROUND((INDEX($E1022:$G1022,N$5)-SUMIFS(TF_Timer,TF_Tekniker,N$4,TF_Dato,$A1022))*2,0)/2)))</f>
        <v/>
      </c>
      <c r="O1022">
        <f>IF(OR(O$4="",$A1022&gt;TODAY()),0,IF(OR(INDEX($B1022:$D1022,O$5)="F",AND(O$6&gt;0,$A1022&lt;O$6),AND(O$7&gt;0,$A1022&gt;O$7)),0,MAX(0,ROUND((INDEX($E1022:$G1022,O$5)-SUMIFS(TF_Timer,TF_Tekniker,O$4,TF_Dato,$A1022))*2,0)/2)))</f>
        <v/>
      </c>
      <c r="P1022">
        <f>IF(OR(P$4="",$A1022&gt;TODAY()),0,IF(OR(INDEX($B1022:$D1022,P$5)="F",AND(P$6&gt;0,$A1022&lt;P$6),AND(P$7&gt;0,$A1022&gt;P$7)),0,MAX(0,ROUND((INDEX($E1022:$G1022,P$5)-SUMIFS(TF_Timer,TF_Tekniker,P$4,TF_Dato,$A1022))*2,0)/2)))</f>
        <v/>
      </c>
      <c r="Q1022">
        <f>IF(OR(Q$4="",$A1022&gt;TODAY()),0,IF(OR(INDEX($B1022:$D1022,Q$5)="F",AND(Q$6&gt;0,$A1022&lt;Q$6),AND(Q$7&gt;0,$A1022&gt;Q$7)),0,MAX(0,ROUND((INDEX($E1022:$G1022,Q$5)-SUMIFS(TF_Timer,TF_Tekniker,Q$4,TF_Dato,$A1022))*2,0)/2)))</f>
        <v/>
      </c>
      <c r="R1022">
        <f>IF(OR(R$4="",$A1022&gt;TODAY()),0,IF(OR(INDEX($B1022:$D1022,R$5)="F",AND(R$6&gt;0,$A1022&lt;R$6),AND(R$7&gt;0,$A1022&gt;R$7)),0,MAX(0,ROUND((INDEX($E1022:$G1022,R$5)-SUMIFS(TF_Timer,TF_Tekniker,R$4,TF_Dato,$A1022))*2,0)/2)))</f>
        <v/>
      </c>
      <c r="S1022">
        <f>IF(OR(S$4="",$A1022&gt;TODAY()),0,IF(OR(INDEX($B1022:$D1022,S$5)="F",AND(S$6&gt;0,$A1022&lt;S$6),AND(S$7&gt;0,$A1022&gt;S$7)),0,MAX(0,ROUND((INDEX($E1022:$G1022,S$5)-SUMIFS(TF_Timer,TF_Tekniker,S$4,TF_Dato,$A1022))*2,0)/2)))</f>
        <v/>
      </c>
      <c r="T1022">
        <f>IF(OR(T$4="",$A1022&gt;TODAY()),0,IF(OR(INDEX($B1022:$D1022,T$5)="F",AND(T$6&gt;0,$A1022&lt;T$6),AND(T$7&gt;0,$A1022&gt;T$7)),0,MAX(0,ROUND((INDEX($E1022:$G1022,T$5)-SUMIFS(TF_Timer,TF_Tekniker,T$4,TF_Dato,$A1022))*2,0)/2)))</f>
        <v/>
      </c>
      <c r="U1022">
        <f>IF(OR(U$4="",$A1022&gt;TODAY()),0,IF(OR(INDEX($B1022:$D1022,U$5)="F",AND(U$6&gt;0,$A1022&lt;U$6),AND(U$7&gt;0,$A1022&gt;U$7)),0,MAX(0,ROUND((INDEX($E1022:$G1022,U$5)-SUMIFS(TF_Timer,TF_Tekniker,U$4,TF_Dato,$A1022))*2,0)/2)))</f>
        <v/>
      </c>
      <c r="V1022">
        <f>IF(OR(V$4="",$A1022&gt;TODAY()),0,IF(OR(INDEX($B1022:$D1022,V$5)="F",AND(V$6&gt;0,$A1022&lt;V$6),AND(V$7&gt;0,$A1022&gt;V$7)),0,MAX(0,ROUND((INDEX($E1022:$G1022,V$5)-SUMIFS(TF_Timer,TF_Tekniker,V$4,TF_Dato,$A1022))*2,0)/2)))</f>
        <v/>
      </c>
      <c r="W1022">
        <f>IF(OR(W$4="",$A1022&gt;TODAY()),0,IF(OR(INDEX($B1022:$D1022,W$5)="F",AND(W$6&gt;0,$A1022&lt;W$6),AND(W$7&gt;0,$A1022&gt;W$7)),0,MAX(0,ROUND((INDEX($E1022:$G1022,W$5)-SUMIFS(TF_Timer,TF_Tekniker,W$4,TF_Dato,$A1022))*2,0)/2)))</f>
        <v/>
      </c>
      <c r="X1022">
        <f>IF(OR(X$4="",$A1022&gt;TODAY()),0,IF(OR(INDEX($B1022:$D1022,X$5)="F",AND(X$6&gt;0,$A1022&lt;X$6),AND(X$7&gt;0,$A1022&gt;X$7)),0,MAX(0,ROUND((INDEX($E1022:$G1022,X$5)-SUMIFS(TF_Timer,TF_Tekniker,X$4,TF_Dato,$A1022))*2,0)/2)))</f>
        <v/>
      </c>
      <c r="Y1022">
        <f>IF(OR(Y$4="",$A1022&gt;TODAY()),0,IF(OR(INDEX($B1022:$D1022,Y$5)="F",AND(Y$6&gt;0,$A1022&lt;Y$6),AND(Y$7&gt;0,$A1022&gt;Y$7)),0,MAX(0,ROUND((INDEX($E1022:$G1022,Y$5)-SUMIFS(TF_Timer,TF_Tekniker,Y$4,TF_Dato,$A1022))*2,0)/2)))</f>
        <v/>
      </c>
      <c r="Z1022">
        <f>IF(OR(Z$4="",$A1022&gt;TODAY()),0,IF(OR(INDEX($B1022:$D1022,Z$5)="F",AND(Z$6&gt;0,$A1022&lt;Z$6),AND(Z$7&gt;0,$A1022&gt;Z$7)),0,MAX(0,ROUND((INDEX($E1022:$G1022,Z$5)-SUMIFS(TF_Timer,TF_Tekniker,Z$4,TF_Dato,$A1022))*2,0)/2)))</f>
        <v/>
      </c>
      <c r="AA1022">
        <f>IF(OR(AA$4="",$A1022&gt;TODAY()),0,IF(OR(INDEX($B1022:$D1022,AA$5)="F",AND(AA$6&gt;0,$A1022&lt;AA$6),AND(AA$7&gt;0,$A1022&gt;AA$7)),0,MAX(0,ROUND((INDEX($E1022:$G1022,AA$5)-SUMIFS(TF_Timer,TF_Tekniker,AA$4,TF_Dato,$A1022))*2,0)/2)))</f>
        <v/>
      </c>
      <c r="AB1022">
        <f>IF(OR(AB$4="",$A1022&gt;TODAY()),0,IF(OR(INDEX($B1022:$D1022,AB$5)="F",AND(AB$6&gt;0,$A1022&lt;AB$6),AND(AB$7&gt;0,$A1022&gt;AB$7)),0,MAX(0,ROUND((INDEX($E1022:$G1022,AB$5)-SUMIFS(TF_Timer,TF_Tekniker,AB$4,TF_Dato,$A1022))*2,0)/2)))</f>
        <v/>
      </c>
      <c r="AC1022">
        <f>IF(OR(AC$4="",$A1022&gt;TODAY()),0,IF(OR(INDEX($B1022:$D1022,AC$5)="F",AND(AC$6&gt;0,$A1022&lt;AC$6),AND(AC$7&gt;0,$A1022&gt;AC$7)),0,MAX(0,ROUND((INDEX($E1022:$G1022,AC$5)-SUMIFS(TF_Timer,TF_Tekniker,AC$4,TF_Dato,$A1022))*2,0)/2)))</f>
        <v/>
      </c>
      <c r="AD1022">
        <f>IF(OR(AD$4="",$A1022&gt;TODAY()),0,IF(OR(INDEX($B1022:$D1022,AD$5)="F",AND(AD$6&gt;0,$A1022&lt;AD$6),AND(AD$7&gt;0,$A1022&gt;AD$7)),0,MAX(0,ROUND((INDEX($E1022:$G1022,AD$5)-SUMIFS(TF_Timer,TF_Tekniker,AD$4,TF_Dato,$A1022))*2,0)/2)))</f>
        <v/>
      </c>
      <c r="AE1022">
        <f>IF(OR(AE$4="",$A1022&gt;TODAY()),0,IF(OR(INDEX($B1022:$D1022,AE$5)="F",AND(AE$6&gt;0,$A1022&lt;AE$6),AND(AE$7&gt;0,$A1022&gt;AE$7)),0,MAX(0,ROUND((INDEX($E1022:$G1022,AE$5)-SUMIFS(TF_Timer,TF_Tekniker,AE$4,TF_Dato,$A1022))*2,0)/2)))</f>
        <v/>
      </c>
      <c r="AF1022">
        <f>IF(OR(AF$4="",$A1022&gt;TODAY()),0,IF(OR(INDEX($B1022:$D1022,AF$5)="F",AND(AF$6&gt;0,$A1022&lt;AF$6),AND(AF$7&gt;0,$A1022&gt;AF$7)),0,MAX(0,ROUND((INDEX($E1022:$G1022,AF$5)-SUMIFS(TF_Timer,TF_Tekniker,AF$4,TF_Dato,$A1022))*2,0)/2)))</f>
        <v/>
      </c>
      <c r="AG1022">
        <f>IF(OR(AG$4="",$A1022&gt;TODAY()),0,IF(OR(INDEX($B1022:$D1022,AG$5)="F",AND(AG$6&gt;0,$A1022&lt;AG$6),AND(AG$7&gt;0,$A1022&gt;AG$7)),0,MAX(0,ROUND((INDEX($E1022:$G1022,AG$5)-SUMIFS(TF_Timer,TF_Tekniker,AG$4,TF_Dato,$A1022))*2,0)/2)))</f>
        <v/>
      </c>
      <c r="AH1022">
        <f>IF(OR(AH$4="",$A1022&gt;TODAY()),0,IF(OR(INDEX($B1022:$D1022,AH$5)="F",AND(AH$6&gt;0,$A1022&lt;AH$6),AND(AH$7&gt;0,$A1022&gt;AH$7)),0,MAX(0,ROUND((INDEX($E1022:$G1022,AH$5)-SUMIFS(TF_Timer,TF_Tekniker,AH$4,TF_Dato,$A1022))*2,0)/2)))</f>
        <v/>
      </c>
      <c r="AI1022">
        <f>IF(OR(AI$4="",$A1022&gt;TODAY()),0,IF(OR(INDEX($B1022:$D1022,AI$5)="F",AND(AI$6&gt;0,$A1022&lt;AI$6),AND(AI$7&gt;0,$A1022&gt;AI$7)),0,MAX(0,ROUND((INDEX($E1022:$G1022,AI$5)-SUMIFS(TF_Timer,TF_Tekniker,AI$4,TF_Dato,$A1022))*2,0)/2)))</f>
        <v/>
      </c>
      <c r="AJ1022">
        <f>IF(OR(AJ$4="",$A1022&gt;TODAY()),0,IF(OR(INDEX($B1022:$D1022,AJ$5)="F",AND(AJ$6&gt;0,$A1022&lt;AJ$6),AND(AJ$7&gt;0,$A1022&gt;AJ$7)),0,MAX(0,ROUND((INDEX($E1022:$G1022,AJ$5)-SUMIFS(TF_Timer,TF_Tekniker,AJ$4,TF_Dato,$A1022))*2,0)/2)))</f>
        <v/>
      </c>
      <c r="AK1022">
        <f>IF(OR(AK$4="",$A1022&gt;TODAY()),0,IF(OR(INDEX($B1022:$D1022,AK$5)="F",AND(AK$6&gt;0,$A1022&lt;AK$6),AND(AK$7&gt;0,$A1022&gt;AK$7)),0,MAX(0,ROUND((INDEX($E1022:$G1022,AK$5)-SUMIFS(TF_Timer,TF_Tekniker,AK$4,TF_Dato,$A1022))*2,0)/2)))</f>
        <v/>
      </c>
      <c r="AL1022">
        <f>IF(OR(AL$4="",$A1022&gt;TODAY()),0,IF(OR(INDEX($B1022:$D1022,AL$5)="F",AND(AL$6&gt;0,$A1022&lt;AL$6),AND(AL$7&gt;0,$A1022&gt;AL$7)),0,MAX(0,ROUND((INDEX($E1022:$G1022,AL$5)-SUMIFS(TF_Timer,TF_Tekniker,AL$4,TF_Dato,$A1022))*2,0)/2)))</f>
        <v/>
      </c>
      <c r="AM1022">
        <f>IF(OR(AM$4="",$A1022&gt;TODAY()),0,IF(OR(INDEX($B1022:$D1022,AM$5)="F",AND(AM$6&gt;0,$A1022&lt;AM$6),AND(AM$7&gt;0,$A1022&gt;AM$7)),0,MAX(0,ROUND((INDEX($E1022:$G1022,AM$5)-SUMIFS(TF_Timer,TF_Tekniker,AM$4,TF_Dato,$A1022))*2,0)/2)))</f>
        <v/>
      </c>
      <c r="AN1022">
        <f>IF(OR(AN$4="",$A1022&gt;TODAY()),0,IF(OR(INDEX($B1022:$D1022,AN$5)="F",AND(AN$6&gt;0,$A1022&lt;AN$6),AND(AN$7&gt;0,$A1022&gt;AN$7)),0,MAX(0,ROUND((INDEX($E1022:$G1022,AN$5)-SUMIFS(TF_Timer,TF_Tekniker,AN$4,TF_Dato,$A1022))*2,0)/2)))</f>
        <v/>
      </c>
      <c r="AO1022">
        <f>IF(OR(AO$4="",$A1022&gt;TODAY()),0,IF(OR(INDEX($B1022:$D1022,AO$5)="F",AND(AO$6&gt;0,$A1022&lt;AO$6),AND(AO$7&gt;0,$A1022&gt;AO$7)),0,MAX(0,ROUND((INDEX($E1022:$G1022,AO$5)-SUMIFS(TF_Timer,TF_Tekniker,AO$4,TF_Dato,$A1022))*2,0)/2)))</f>
        <v/>
      </c>
      <c r="AP1022">
        <f>IF(OR(AP$4="",$A1022&gt;TODAY()),0,IF(OR(INDEX($B1022:$D1022,AP$5)="F",AND(AP$6&gt;0,$A1022&lt;AP$6),AND(AP$7&gt;0,$A1022&gt;AP$7)),0,MAX(0,ROUND((INDEX($E1022:$G1022,AP$5)-SUMIFS(TF_Timer,TF_Tekniker,AP$4,TF_Dato,$A1022))*2,0)/2)))</f>
        <v/>
      </c>
      <c r="AQ1022">
        <f>IF(OR(AQ$4="",$A1022&gt;TODAY()),0,IF(OR(INDEX($B1022:$D1022,AQ$5)="F",AND(AQ$6&gt;0,$A1022&lt;AQ$6),AND(AQ$7&gt;0,$A1022&gt;AQ$7)),0,MAX(0,ROUND((INDEX($E1022:$G1022,AQ$5)-SUMIFS(TF_Timer,TF_Tekniker,AQ$4,TF_Dato,$A1022))*2,0)/2)))</f>
        <v/>
      </c>
      <c r="AR1022">
        <f>IF(OR(AR$4="",$A1022&gt;TODAY()),0,IF(OR(INDEX($B1022:$D1022,AR$5)="F",AND(AR$6&gt;0,$A1022&lt;AR$6),AND(AR$7&gt;0,$A1022&gt;AR$7)),0,MAX(0,ROUND((INDEX($E1022:$G1022,AR$5)-SUMIFS(TF_Timer,TF_Tekniker,AR$4,TF_Dato,$A1022))*2,0)/2)))</f>
        <v/>
      </c>
      <c r="AS1022">
        <f>IF(OR(AS$4="",$A1022&gt;TODAY()),0,IF(OR(INDEX($B1022:$D1022,AS$5)="F",AND(AS$6&gt;0,$A1022&lt;AS$6),AND(AS$7&gt;0,$A1022&gt;AS$7)),0,MAX(0,ROUND((INDEX($E1022:$G1022,AS$5)-SUMIFS(TF_Timer,TF_Tekniker,AS$4,TF_Dato,$A1022))*2,0)/2)))</f>
        <v/>
      </c>
      <c r="AT1022">
        <f>IF(OR(AT$4="",$A1022&gt;TODAY()),0,IF(OR(INDEX($B1022:$D1022,AT$5)="F",AND(AT$6&gt;0,$A1022&lt;AT$6),AND(AT$7&gt;0,$A1022&gt;AT$7)),0,MAX(0,ROUND((INDEX($E1022:$G1022,AT$5)-SUMIFS(TF_Timer,TF_Tekniker,AT$4,TF_Dato,$A1022))*2,0)/2)))</f>
        <v/>
      </c>
      <c r="AU1022">
        <f>IF(OR(AU$4="",$A1022&gt;TODAY()),0,IF(OR(INDEX($B1022:$D1022,AU$5)="F",AND(AU$6&gt;0,$A1022&lt;AU$6),AND(AU$7&gt;0,$A1022&gt;AU$7)),0,MAX(0,ROUND((INDEX($E1022:$G1022,AU$5)-SUMIFS(TF_Timer,TF_Tekniker,AU$4,TF_Dato,$A1022))*2,0)/2)))</f>
        <v/>
      </c>
      <c r="AV1022">
        <f>IF(OR(AV$4="",$A1022&gt;TODAY()),0,IF(OR(INDEX($B1022:$D1022,AV$5)="F",AND(AV$6&gt;0,$A1022&lt;AV$6),AND(AV$7&gt;0,$A1022&gt;AV$7)),0,MAX(0,ROUND((INDEX($E1022:$G1022,AV$5)-SUMIFS(TF_Timer,TF_Tekniker,AV$4,TF_Dato,$A1022))*2,0)/2)))</f>
        <v/>
      </c>
      <c r="AW1022">
        <f>IF(OR(AW$4="",$A1022&gt;TODAY()),0,IF(OR(INDEX($B1022:$D1022,AW$5)="F",AND(AW$6&gt;0,$A1022&lt;AW$6),AND(AW$7&gt;0,$A1022&gt;AW$7)),0,MAX(0,ROUND((INDEX($E1022:$G1022,AW$5)-SUMIFS(TF_Timer,TF_Tekniker,AW$4,TF_Dato,$A1022))*2,0)/2)))</f>
        <v/>
      </c>
      <c r="AX1022">
        <f>IF(OR(AX$4="",$A1022&gt;TODAY()),0,IF(OR(INDEX($B1022:$D1022,AX$5)="F",AND(AX$6&gt;0,$A1022&lt;AX$6),AND(AX$7&gt;0,$A1022&gt;AX$7)),0,MAX(0,ROUND((INDEX($E1022:$G1022,AX$5)-SUMIFS(TF_Timer,TF_Tekniker,AX$4,TF_Dato,$A1022))*2,0)/2)))</f>
        <v/>
      </c>
      <c r="AY1022">
        <f>IF(OR(AY$4="",$A1022&gt;TODAY()),0,IF(OR(INDEX($B1022:$D1022,AY$5)="F",AND(AY$6&gt;0,$A1022&lt;AY$6),AND(AY$7&gt;0,$A1022&gt;AY$7)),0,MAX(0,ROUND((INDEX($E1022:$G1022,AY$5)-SUMIFS(TF_Timer,TF_Tekniker,AY$4,TF_Dato,$A1022))*2,0)/2)))</f>
        <v/>
      </c>
      <c r="AZ1022">
        <f>IF(OR(AZ$4="",$A1022&gt;TODAY()),0,IF(OR(INDEX($B1022:$D1022,AZ$5)="F",AND(AZ$6&gt;0,$A1022&lt;AZ$6),AND(AZ$7&gt;0,$A1022&gt;AZ$7)),0,MAX(0,ROUND((INDEX($E1022:$G1022,AZ$5)-SUMIFS(TF_Timer,TF_Tekniker,AZ$4,TF_Dato,$A1022))*2,0)/2)))</f>
        <v/>
      </c>
      <c r="BA1022">
        <f>IF(OR(BA$4="",$A1022&gt;TODAY()),0,IF(OR(INDEX($B1022:$D1022,BA$5)="F",AND(BA$6&gt;0,$A1022&lt;BA$6),AND(BA$7&gt;0,$A1022&gt;BA$7)),0,MAX(0,ROUND((INDEX($E1022:$G1022,BA$5)-SUMIFS(TF_Timer,TF_Tekniker,BA$4,TF_Dato,$A1022))*2,0)/2)))</f>
        <v/>
      </c>
      <c r="BB1022">
        <f>IF(OR(BB$4="",$A1022&gt;TODAY()),0,IF(OR(INDEX($B1022:$D1022,BB$5)="F",AND(BB$6&gt;0,$A1022&lt;BB$6),AND(BB$7&gt;0,$A1022&gt;BB$7)),0,MAX(0,ROUND((INDEX($E1022:$G1022,BB$5)-SUMIFS(TF_Timer,TF_Tekniker,BB$4,TF_Dato,$A1022))*2,0)/2)))</f>
        <v/>
      </c>
      <c r="BC1022">
        <f>IF(OR(BC$4="",$A1022&gt;TODAY()),0,IF(OR(INDEX($B1022:$D1022,BC$5)="F",AND(BC$6&gt;0,$A1022&lt;BC$6),AND(BC$7&gt;0,$A1022&gt;BC$7)),0,MAX(0,ROUND((INDEX($E1022:$G1022,BC$5)-SUMIFS(TF_Timer,TF_Tekniker,BC$4,TF_Dato,$A1022))*2,0)/2)))</f>
        <v/>
      </c>
      <c r="BD1022">
        <f>IF(OR(BD$4="",$A1022&gt;TODAY()),0,IF(OR(INDEX($B1022:$D1022,BD$5)="F",AND(BD$6&gt;0,$A1022&lt;BD$6),AND(BD$7&gt;0,$A1022&gt;BD$7)),0,MAX(0,ROUND((INDEX($E1022:$G1022,BD$5)-SUMIFS(TF_Timer,TF_Tekniker,BD$4,TF_Dato,$A1022))*2,0)/2)))</f>
        <v/>
      </c>
      <c r="BE1022">
        <f>IF(OR(BE$4="",$A1022&gt;TODAY()),0,IF(OR(INDEX($B1022:$D1022,BE$5)="F",AND(BE$6&gt;0,$A1022&lt;BE$6),AND(BE$7&gt;0,$A1022&gt;BE$7)),0,MAX(0,ROUND((INDEX($E1022:$G1022,BE$5)-SUMIFS(TF_Timer,TF_Tekniker,BE$4,TF_Dato,$A1022))*2,0)/2)))</f>
        <v/>
      </c>
      <c r="BF1022">
        <f>IF(OR(BF$4="",$A1022&gt;TODAY()),0,IF(OR(INDEX($B1022:$D1022,BF$5)="F",AND(BF$6&gt;0,$A1022&lt;BF$6),AND(BF$7&gt;0,$A1022&gt;BF$7)),0,MAX(0,ROUND((INDEX($E1022:$G1022,BF$5)-SUMIFS(TF_Timer,TF_Tekniker,BF$4,TF_Dato,$A1022))*2,0)/2)))</f>
        <v/>
      </c>
      <c r="BG1022">
        <f>IF(OR(BG$4="",$A1022&gt;TODAY()),0,IF(OR(INDEX($B1022:$D1022,BG$5)="F",AND(BG$6&gt;0,$A1022&lt;BG$6),AND(BG$7&gt;0,$A1022&gt;BG$7)),0,MAX(0,ROUND((INDEX($E1022:$G1022,BG$5)-SUMIFS(TF_Timer,TF_Tekniker,BG$4,TF_Dato,$A1022))*2,0)/2)))</f>
        <v/>
      </c>
      <c r="BH1022">
        <f>IF(OR(BH$4="",$A1022&gt;TODAY()),0,IF(OR(INDEX($B1022:$D1022,BH$5)="F",AND(BH$6&gt;0,$A1022&lt;BH$6),AND(BH$7&gt;0,$A1022&gt;BH$7)),0,MAX(0,ROUND((INDEX($E1022:$G1022,BH$5)-SUMIFS(TF_Timer,TF_Tekniker,BH$4,TF_Dato,$A1022))*2,0)/2)))</f>
        <v/>
      </c>
      <c r="BI1022">
        <f>IF(OR(BI$4="",$A1022&gt;TODAY()),0,IF(OR(INDEX($B1022:$D1022,BI$5)="F",AND(BI$6&gt;0,$A1022&lt;BI$6),AND(BI$7&gt;0,$A1022&gt;BI$7)),0,MAX(0,ROUND((INDEX($E1022:$G1022,BI$5)-SUMIFS(TF_Timer,TF_Tekniker,BI$4,TF_Dato,$A1022))*2,0)/2)))</f>
        <v/>
      </c>
    </row>
    <row r="1023">
      <c r="A1023" s="64">
        <f>A1022+1</f>
        <v/>
      </c>
      <c r="B1023">
        <f>IF(MOD($A1023-INDEX(SkiftStart,1),Syklus)&lt;DagK,"K",IF(MOD($A1023-INDEX(SkiftStart,1),Syklus)&lt;DagK+DagH,"H",IF(MOD($A1023-INDEX(SkiftStart,1),Syklus)&lt;DagK+DagH+DagD,"D","F")))</f>
        <v/>
      </c>
      <c r="C1023">
        <f>IF(MOD($A1023-INDEX(SkiftStart,2),Syklus)&lt;DagK,"K",IF(MOD($A1023-INDEX(SkiftStart,2),Syklus)&lt;DagK+DagH,"H",IF(MOD($A1023-INDEX(SkiftStart,2),Syklus)&lt;DagK+DagH+DagD,"D","F")))</f>
        <v/>
      </c>
      <c r="D1023">
        <f>IF(MOD($A1023-INDEX(SkiftStart,3),Syklus)&lt;DagK,"K",IF(MOD($A1023-INDEX(SkiftStart,3),Syklus)&lt;DagK+DagH,"H",IF(MOD($A1023-INDEX(SkiftStart,3),Syklus)&lt;DagK+DagH+DagD,"D","F")))</f>
        <v/>
      </c>
      <c r="E1023">
        <f>IF(B1023="F",0,IF(WEEKDAY($A1023,2)=5,INDEX(TimerFr,MATCH(B1023,FaseKode,0)),INDEX(TimerMT,MATCH(B1023,FaseKode,0))))</f>
        <v/>
      </c>
      <c r="F1023">
        <f>IF(C1023="F",0,IF(WEEKDAY($A1023,2)=5,INDEX(TimerFr,MATCH(C1023,FaseKode,0)),INDEX(TimerMT,MATCH(C1023,FaseKode,0))))</f>
        <v/>
      </c>
      <c r="G1023">
        <f>IF(D1023="F",0,IF(WEEKDAY($A1023,2)=5,INDEX(TimerFr,MATCH(D1023,FaseKode,0)),INDEX(TimerMT,MATCH(D1023,FaseKode,0))))</f>
        <v/>
      </c>
      <c r="H1023">
        <f>IF(OR(H$4="",$A1023&gt;TODAY()),0,IF(OR(INDEX($B1023:$D1023,H$5)="F",AND(H$6&gt;0,$A1023&lt;H$6),AND(H$7&gt;0,$A1023&gt;H$7)),0,MAX(0,ROUND((INDEX($E1023:$G1023,H$5)-SUMIFS(TF_Timer,TF_Tekniker,H$4,TF_Dato,$A1023))*2,0)/2)))</f>
        <v/>
      </c>
      <c r="I1023">
        <f>IF(OR(I$4="",$A1023&gt;TODAY()),0,IF(OR(INDEX($B1023:$D1023,I$5)="F",AND(I$6&gt;0,$A1023&lt;I$6),AND(I$7&gt;0,$A1023&gt;I$7)),0,MAX(0,ROUND((INDEX($E1023:$G1023,I$5)-SUMIFS(TF_Timer,TF_Tekniker,I$4,TF_Dato,$A1023))*2,0)/2)))</f>
        <v/>
      </c>
      <c r="J1023">
        <f>IF(OR(J$4="",$A1023&gt;TODAY()),0,IF(OR(INDEX($B1023:$D1023,J$5)="F",AND(J$6&gt;0,$A1023&lt;J$6),AND(J$7&gt;0,$A1023&gt;J$7)),0,MAX(0,ROUND((INDEX($E1023:$G1023,J$5)-SUMIFS(TF_Timer,TF_Tekniker,J$4,TF_Dato,$A1023))*2,0)/2)))</f>
        <v/>
      </c>
      <c r="K1023">
        <f>IF(OR(K$4="",$A1023&gt;TODAY()),0,IF(OR(INDEX($B1023:$D1023,K$5)="F",AND(K$6&gt;0,$A1023&lt;K$6),AND(K$7&gt;0,$A1023&gt;K$7)),0,MAX(0,ROUND((INDEX($E1023:$G1023,K$5)-SUMIFS(TF_Timer,TF_Tekniker,K$4,TF_Dato,$A1023))*2,0)/2)))</f>
        <v/>
      </c>
      <c r="L1023">
        <f>IF(OR(L$4="",$A1023&gt;TODAY()),0,IF(OR(INDEX($B1023:$D1023,L$5)="F",AND(L$6&gt;0,$A1023&lt;L$6),AND(L$7&gt;0,$A1023&gt;L$7)),0,MAX(0,ROUND((INDEX($E1023:$G1023,L$5)-SUMIFS(TF_Timer,TF_Tekniker,L$4,TF_Dato,$A1023))*2,0)/2)))</f>
        <v/>
      </c>
      <c r="M1023">
        <f>IF(OR(M$4="",$A1023&gt;TODAY()),0,IF(OR(INDEX($B1023:$D1023,M$5)="F",AND(M$6&gt;0,$A1023&lt;M$6),AND(M$7&gt;0,$A1023&gt;M$7)),0,MAX(0,ROUND((INDEX($E1023:$G1023,M$5)-SUMIFS(TF_Timer,TF_Tekniker,M$4,TF_Dato,$A1023))*2,0)/2)))</f>
        <v/>
      </c>
      <c r="N1023">
        <f>IF(OR(N$4="",$A1023&gt;TODAY()),0,IF(OR(INDEX($B1023:$D1023,N$5)="F",AND(N$6&gt;0,$A1023&lt;N$6),AND(N$7&gt;0,$A1023&gt;N$7)),0,MAX(0,ROUND((INDEX($E1023:$G1023,N$5)-SUMIFS(TF_Timer,TF_Tekniker,N$4,TF_Dato,$A1023))*2,0)/2)))</f>
        <v/>
      </c>
      <c r="O1023">
        <f>IF(OR(O$4="",$A1023&gt;TODAY()),0,IF(OR(INDEX($B1023:$D1023,O$5)="F",AND(O$6&gt;0,$A1023&lt;O$6),AND(O$7&gt;0,$A1023&gt;O$7)),0,MAX(0,ROUND((INDEX($E1023:$G1023,O$5)-SUMIFS(TF_Timer,TF_Tekniker,O$4,TF_Dato,$A1023))*2,0)/2)))</f>
        <v/>
      </c>
      <c r="P1023">
        <f>IF(OR(P$4="",$A1023&gt;TODAY()),0,IF(OR(INDEX($B1023:$D1023,P$5)="F",AND(P$6&gt;0,$A1023&lt;P$6),AND(P$7&gt;0,$A1023&gt;P$7)),0,MAX(0,ROUND((INDEX($E1023:$G1023,P$5)-SUMIFS(TF_Timer,TF_Tekniker,P$4,TF_Dato,$A1023))*2,0)/2)))</f>
        <v/>
      </c>
      <c r="Q1023">
        <f>IF(OR(Q$4="",$A1023&gt;TODAY()),0,IF(OR(INDEX($B1023:$D1023,Q$5)="F",AND(Q$6&gt;0,$A1023&lt;Q$6),AND(Q$7&gt;0,$A1023&gt;Q$7)),0,MAX(0,ROUND((INDEX($E1023:$G1023,Q$5)-SUMIFS(TF_Timer,TF_Tekniker,Q$4,TF_Dato,$A1023))*2,0)/2)))</f>
        <v/>
      </c>
      <c r="R1023">
        <f>IF(OR(R$4="",$A1023&gt;TODAY()),0,IF(OR(INDEX($B1023:$D1023,R$5)="F",AND(R$6&gt;0,$A1023&lt;R$6),AND(R$7&gt;0,$A1023&gt;R$7)),0,MAX(0,ROUND((INDEX($E1023:$G1023,R$5)-SUMIFS(TF_Timer,TF_Tekniker,R$4,TF_Dato,$A1023))*2,0)/2)))</f>
        <v/>
      </c>
      <c r="S1023">
        <f>IF(OR(S$4="",$A1023&gt;TODAY()),0,IF(OR(INDEX($B1023:$D1023,S$5)="F",AND(S$6&gt;0,$A1023&lt;S$6),AND(S$7&gt;0,$A1023&gt;S$7)),0,MAX(0,ROUND((INDEX($E1023:$G1023,S$5)-SUMIFS(TF_Timer,TF_Tekniker,S$4,TF_Dato,$A1023))*2,0)/2)))</f>
        <v/>
      </c>
      <c r="T1023">
        <f>IF(OR(T$4="",$A1023&gt;TODAY()),0,IF(OR(INDEX($B1023:$D1023,T$5)="F",AND(T$6&gt;0,$A1023&lt;T$6),AND(T$7&gt;0,$A1023&gt;T$7)),0,MAX(0,ROUND((INDEX($E1023:$G1023,T$5)-SUMIFS(TF_Timer,TF_Tekniker,T$4,TF_Dato,$A1023))*2,0)/2)))</f>
        <v/>
      </c>
      <c r="U1023">
        <f>IF(OR(U$4="",$A1023&gt;TODAY()),0,IF(OR(INDEX($B1023:$D1023,U$5)="F",AND(U$6&gt;0,$A1023&lt;U$6),AND(U$7&gt;0,$A1023&gt;U$7)),0,MAX(0,ROUND((INDEX($E1023:$G1023,U$5)-SUMIFS(TF_Timer,TF_Tekniker,U$4,TF_Dato,$A1023))*2,0)/2)))</f>
        <v/>
      </c>
      <c r="V1023">
        <f>IF(OR(V$4="",$A1023&gt;TODAY()),0,IF(OR(INDEX($B1023:$D1023,V$5)="F",AND(V$6&gt;0,$A1023&lt;V$6),AND(V$7&gt;0,$A1023&gt;V$7)),0,MAX(0,ROUND((INDEX($E1023:$G1023,V$5)-SUMIFS(TF_Timer,TF_Tekniker,V$4,TF_Dato,$A1023))*2,0)/2)))</f>
        <v/>
      </c>
      <c r="W1023">
        <f>IF(OR(W$4="",$A1023&gt;TODAY()),0,IF(OR(INDEX($B1023:$D1023,W$5)="F",AND(W$6&gt;0,$A1023&lt;W$6),AND(W$7&gt;0,$A1023&gt;W$7)),0,MAX(0,ROUND((INDEX($E1023:$G1023,W$5)-SUMIFS(TF_Timer,TF_Tekniker,W$4,TF_Dato,$A1023))*2,0)/2)))</f>
        <v/>
      </c>
      <c r="X1023">
        <f>IF(OR(X$4="",$A1023&gt;TODAY()),0,IF(OR(INDEX($B1023:$D1023,X$5)="F",AND(X$6&gt;0,$A1023&lt;X$6),AND(X$7&gt;0,$A1023&gt;X$7)),0,MAX(0,ROUND((INDEX($E1023:$G1023,X$5)-SUMIFS(TF_Timer,TF_Tekniker,X$4,TF_Dato,$A1023))*2,0)/2)))</f>
        <v/>
      </c>
      <c r="Y1023">
        <f>IF(OR(Y$4="",$A1023&gt;TODAY()),0,IF(OR(INDEX($B1023:$D1023,Y$5)="F",AND(Y$6&gt;0,$A1023&lt;Y$6),AND(Y$7&gt;0,$A1023&gt;Y$7)),0,MAX(0,ROUND((INDEX($E1023:$G1023,Y$5)-SUMIFS(TF_Timer,TF_Tekniker,Y$4,TF_Dato,$A1023))*2,0)/2)))</f>
        <v/>
      </c>
      <c r="Z1023">
        <f>IF(OR(Z$4="",$A1023&gt;TODAY()),0,IF(OR(INDEX($B1023:$D1023,Z$5)="F",AND(Z$6&gt;0,$A1023&lt;Z$6),AND(Z$7&gt;0,$A1023&gt;Z$7)),0,MAX(0,ROUND((INDEX($E1023:$G1023,Z$5)-SUMIFS(TF_Timer,TF_Tekniker,Z$4,TF_Dato,$A1023))*2,0)/2)))</f>
        <v/>
      </c>
      <c r="AA1023">
        <f>IF(OR(AA$4="",$A1023&gt;TODAY()),0,IF(OR(INDEX($B1023:$D1023,AA$5)="F",AND(AA$6&gt;0,$A1023&lt;AA$6),AND(AA$7&gt;0,$A1023&gt;AA$7)),0,MAX(0,ROUND((INDEX($E1023:$G1023,AA$5)-SUMIFS(TF_Timer,TF_Tekniker,AA$4,TF_Dato,$A1023))*2,0)/2)))</f>
        <v/>
      </c>
      <c r="AB1023">
        <f>IF(OR(AB$4="",$A1023&gt;TODAY()),0,IF(OR(INDEX($B1023:$D1023,AB$5)="F",AND(AB$6&gt;0,$A1023&lt;AB$6),AND(AB$7&gt;0,$A1023&gt;AB$7)),0,MAX(0,ROUND((INDEX($E1023:$G1023,AB$5)-SUMIFS(TF_Timer,TF_Tekniker,AB$4,TF_Dato,$A1023))*2,0)/2)))</f>
        <v/>
      </c>
      <c r="AC1023">
        <f>IF(OR(AC$4="",$A1023&gt;TODAY()),0,IF(OR(INDEX($B1023:$D1023,AC$5)="F",AND(AC$6&gt;0,$A1023&lt;AC$6),AND(AC$7&gt;0,$A1023&gt;AC$7)),0,MAX(0,ROUND((INDEX($E1023:$G1023,AC$5)-SUMIFS(TF_Timer,TF_Tekniker,AC$4,TF_Dato,$A1023))*2,0)/2)))</f>
        <v/>
      </c>
      <c r="AD1023">
        <f>IF(OR(AD$4="",$A1023&gt;TODAY()),0,IF(OR(INDEX($B1023:$D1023,AD$5)="F",AND(AD$6&gt;0,$A1023&lt;AD$6),AND(AD$7&gt;0,$A1023&gt;AD$7)),0,MAX(0,ROUND((INDEX($E1023:$G1023,AD$5)-SUMIFS(TF_Timer,TF_Tekniker,AD$4,TF_Dato,$A1023))*2,0)/2)))</f>
        <v/>
      </c>
      <c r="AE1023">
        <f>IF(OR(AE$4="",$A1023&gt;TODAY()),0,IF(OR(INDEX($B1023:$D1023,AE$5)="F",AND(AE$6&gt;0,$A1023&lt;AE$6),AND(AE$7&gt;0,$A1023&gt;AE$7)),0,MAX(0,ROUND((INDEX($E1023:$G1023,AE$5)-SUMIFS(TF_Timer,TF_Tekniker,AE$4,TF_Dato,$A1023))*2,0)/2)))</f>
        <v/>
      </c>
      <c r="AF1023">
        <f>IF(OR(AF$4="",$A1023&gt;TODAY()),0,IF(OR(INDEX($B1023:$D1023,AF$5)="F",AND(AF$6&gt;0,$A1023&lt;AF$6),AND(AF$7&gt;0,$A1023&gt;AF$7)),0,MAX(0,ROUND((INDEX($E1023:$G1023,AF$5)-SUMIFS(TF_Timer,TF_Tekniker,AF$4,TF_Dato,$A1023))*2,0)/2)))</f>
        <v/>
      </c>
      <c r="AG1023">
        <f>IF(OR(AG$4="",$A1023&gt;TODAY()),0,IF(OR(INDEX($B1023:$D1023,AG$5)="F",AND(AG$6&gt;0,$A1023&lt;AG$6),AND(AG$7&gt;0,$A1023&gt;AG$7)),0,MAX(0,ROUND((INDEX($E1023:$G1023,AG$5)-SUMIFS(TF_Timer,TF_Tekniker,AG$4,TF_Dato,$A1023))*2,0)/2)))</f>
        <v/>
      </c>
      <c r="AH1023">
        <f>IF(OR(AH$4="",$A1023&gt;TODAY()),0,IF(OR(INDEX($B1023:$D1023,AH$5)="F",AND(AH$6&gt;0,$A1023&lt;AH$6),AND(AH$7&gt;0,$A1023&gt;AH$7)),0,MAX(0,ROUND((INDEX($E1023:$G1023,AH$5)-SUMIFS(TF_Timer,TF_Tekniker,AH$4,TF_Dato,$A1023))*2,0)/2)))</f>
        <v/>
      </c>
      <c r="AI1023">
        <f>IF(OR(AI$4="",$A1023&gt;TODAY()),0,IF(OR(INDEX($B1023:$D1023,AI$5)="F",AND(AI$6&gt;0,$A1023&lt;AI$6),AND(AI$7&gt;0,$A1023&gt;AI$7)),0,MAX(0,ROUND((INDEX($E1023:$G1023,AI$5)-SUMIFS(TF_Timer,TF_Tekniker,AI$4,TF_Dato,$A1023))*2,0)/2)))</f>
        <v/>
      </c>
      <c r="AJ1023">
        <f>IF(OR(AJ$4="",$A1023&gt;TODAY()),0,IF(OR(INDEX($B1023:$D1023,AJ$5)="F",AND(AJ$6&gt;0,$A1023&lt;AJ$6),AND(AJ$7&gt;0,$A1023&gt;AJ$7)),0,MAX(0,ROUND((INDEX($E1023:$G1023,AJ$5)-SUMIFS(TF_Timer,TF_Tekniker,AJ$4,TF_Dato,$A1023))*2,0)/2)))</f>
        <v/>
      </c>
      <c r="AK1023">
        <f>IF(OR(AK$4="",$A1023&gt;TODAY()),0,IF(OR(INDEX($B1023:$D1023,AK$5)="F",AND(AK$6&gt;0,$A1023&lt;AK$6),AND(AK$7&gt;0,$A1023&gt;AK$7)),0,MAX(0,ROUND((INDEX($E1023:$G1023,AK$5)-SUMIFS(TF_Timer,TF_Tekniker,AK$4,TF_Dato,$A1023))*2,0)/2)))</f>
        <v/>
      </c>
      <c r="AL1023">
        <f>IF(OR(AL$4="",$A1023&gt;TODAY()),0,IF(OR(INDEX($B1023:$D1023,AL$5)="F",AND(AL$6&gt;0,$A1023&lt;AL$6),AND(AL$7&gt;0,$A1023&gt;AL$7)),0,MAX(0,ROUND((INDEX($E1023:$G1023,AL$5)-SUMIFS(TF_Timer,TF_Tekniker,AL$4,TF_Dato,$A1023))*2,0)/2)))</f>
        <v/>
      </c>
      <c r="AM1023">
        <f>IF(OR(AM$4="",$A1023&gt;TODAY()),0,IF(OR(INDEX($B1023:$D1023,AM$5)="F",AND(AM$6&gt;0,$A1023&lt;AM$6),AND(AM$7&gt;0,$A1023&gt;AM$7)),0,MAX(0,ROUND((INDEX($E1023:$G1023,AM$5)-SUMIFS(TF_Timer,TF_Tekniker,AM$4,TF_Dato,$A1023))*2,0)/2)))</f>
        <v/>
      </c>
      <c r="AN1023">
        <f>IF(OR(AN$4="",$A1023&gt;TODAY()),0,IF(OR(INDEX($B1023:$D1023,AN$5)="F",AND(AN$6&gt;0,$A1023&lt;AN$6),AND(AN$7&gt;0,$A1023&gt;AN$7)),0,MAX(0,ROUND((INDEX($E1023:$G1023,AN$5)-SUMIFS(TF_Timer,TF_Tekniker,AN$4,TF_Dato,$A1023))*2,0)/2)))</f>
        <v/>
      </c>
      <c r="AO1023">
        <f>IF(OR(AO$4="",$A1023&gt;TODAY()),0,IF(OR(INDEX($B1023:$D1023,AO$5)="F",AND(AO$6&gt;0,$A1023&lt;AO$6),AND(AO$7&gt;0,$A1023&gt;AO$7)),0,MAX(0,ROUND((INDEX($E1023:$G1023,AO$5)-SUMIFS(TF_Timer,TF_Tekniker,AO$4,TF_Dato,$A1023))*2,0)/2)))</f>
        <v/>
      </c>
      <c r="AP1023">
        <f>IF(OR(AP$4="",$A1023&gt;TODAY()),0,IF(OR(INDEX($B1023:$D1023,AP$5)="F",AND(AP$6&gt;0,$A1023&lt;AP$6),AND(AP$7&gt;0,$A1023&gt;AP$7)),0,MAX(0,ROUND((INDEX($E1023:$G1023,AP$5)-SUMIFS(TF_Timer,TF_Tekniker,AP$4,TF_Dato,$A1023))*2,0)/2)))</f>
        <v/>
      </c>
      <c r="AQ1023">
        <f>IF(OR(AQ$4="",$A1023&gt;TODAY()),0,IF(OR(INDEX($B1023:$D1023,AQ$5)="F",AND(AQ$6&gt;0,$A1023&lt;AQ$6),AND(AQ$7&gt;0,$A1023&gt;AQ$7)),0,MAX(0,ROUND((INDEX($E1023:$G1023,AQ$5)-SUMIFS(TF_Timer,TF_Tekniker,AQ$4,TF_Dato,$A1023))*2,0)/2)))</f>
        <v/>
      </c>
      <c r="AR1023">
        <f>IF(OR(AR$4="",$A1023&gt;TODAY()),0,IF(OR(INDEX($B1023:$D1023,AR$5)="F",AND(AR$6&gt;0,$A1023&lt;AR$6),AND(AR$7&gt;0,$A1023&gt;AR$7)),0,MAX(0,ROUND((INDEX($E1023:$G1023,AR$5)-SUMIFS(TF_Timer,TF_Tekniker,AR$4,TF_Dato,$A1023))*2,0)/2)))</f>
        <v/>
      </c>
      <c r="AS1023">
        <f>IF(OR(AS$4="",$A1023&gt;TODAY()),0,IF(OR(INDEX($B1023:$D1023,AS$5)="F",AND(AS$6&gt;0,$A1023&lt;AS$6),AND(AS$7&gt;0,$A1023&gt;AS$7)),0,MAX(0,ROUND((INDEX($E1023:$G1023,AS$5)-SUMIFS(TF_Timer,TF_Tekniker,AS$4,TF_Dato,$A1023))*2,0)/2)))</f>
        <v/>
      </c>
      <c r="AT1023">
        <f>IF(OR(AT$4="",$A1023&gt;TODAY()),0,IF(OR(INDEX($B1023:$D1023,AT$5)="F",AND(AT$6&gt;0,$A1023&lt;AT$6),AND(AT$7&gt;0,$A1023&gt;AT$7)),0,MAX(0,ROUND((INDEX($E1023:$G1023,AT$5)-SUMIFS(TF_Timer,TF_Tekniker,AT$4,TF_Dato,$A1023))*2,0)/2)))</f>
        <v/>
      </c>
      <c r="AU1023">
        <f>IF(OR(AU$4="",$A1023&gt;TODAY()),0,IF(OR(INDEX($B1023:$D1023,AU$5)="F",AND(AU$6&gt;0,$A1023&lt;AU$6),AND(AU$7&gt;0,$A1023&gt;AU$7)),0,MAX(0,ROUND((INDEX($E1023:$G1023,AU$5)-SUMIFS(TF_Timer,TF_Tekniker,AU$4,TF_Dato,$A1023))*2,0)/2)))</f>
        <v/>
      </c>
      <c r="AV1023">
        <f>IF(OR(AV$4="",$A1023&gt;TODAY()),0,IF(OR(INDEX($B1023:$D1023,AV$5)="F",AND(AV$6&gt;0,$A1023&lt;AV$6),AND(AV$7&gt;0,$A1023&gt;AV$7)),0,MAX(0,ROUND((INDEX($E1023:$G1023,AV$5)-SUMIFS(TF_Timer,TF_Tekniker,AV$4,TF_Dato,$A1023))*2,0)/2)))</f>
        <v/>
      </c>
      <c r="AW1023">
        <f>IF(OR(AW$4="",$A1023&gt;TODAY()),0,IF(OR(INDEX($B1023:$D1023,AW$5)="F",AND(AW$6&gt;0,$A1023&lt;AW$6),AND(AW$7&gt;0,$A1023&gt;AW$7)),0,MAX(0,ROUND((INDEX($E1023:$G1023,AW$5)-SUMIFS(TF_Timer,TF_Tekniker,AW$4,TF_Dato,$A1023))*2,0)/2)))</f>
        <v/>
      </c>
      <c r="AX1023">
        <f>IF(OR(AX$4="",$A1023&gt;TODAY()),0,IF(OR(INDEX($B1023:$D1023,AX$5)="F",AND(AX$6&gt;0,$A1023&lt;AX$6),AND(AX$7&gt;0,$A1023&gt;AX$7)),0,MAX(0,ROUND((INDEX($E1023:$G1023,AX$5)-SUMIFS(TF_Timer,TF_Tekniker,AX$4,TF_Dato,$A1023))*2,0)/2)))</f>
        <v/>
      </c>
      <c r="AY1023">
        <f>IF(OR(AY$4="",$A1023&gt;TODAY()),0,IF(OR(INDEX($B1023:$D1023,AY$5)="F",AND(AY$6&gt;0,$A1023&lt;AY$6),AND(AY$7&gt;0,$A1023&gt;AY$7)),0,MAX(0,ROUND((INDEX($E1023:$G1023,AY$5)-SUMIFS(TF_Timer,TF_Tekniker,AY$4,TF_Dato,$A1023))*2,0)/2)))</f>
        <v/>
      </c>
      <c r="AZ1023">
        <f>IF(OR(AZ$4="",$A1023&gt;TODAY()),0,IF(OR(INDEX($B1023:$D1023,AZ$5)="F",AND(AZ$6&gt;0,$A1023&lt;AZ$6),AND(AZ$7&gt;0,$A1023&gt;AZ$7)),0,MAX(0,ROUND((INDEX($E1023:$G1023,AZ$5)-SUMIFS(TF_Timer,TF_Tekniker,AZ$4,TF_Dato,$A1023))*2,0)/2)))</f>
        <v/>
      </c>
      <c r="BA1023">
        <f>IF(OR(BA$4="",$A1023&gt;TODAY()),0,IF(OR(INDEX($B1023:$D1023,BA$5)="F",AND(BA$6&gt;0,$A1023&lt;BA$6),AND(BA$7&gt;0,$A1023&gt;BA$7)),0,MAX(0,ROUND((INDEX($E1023:$G1023,BA$5)-SUMIFS(TF_Timer,TF_Tekniker,BA$4,TF_Dato,$A1023))*2,0)/2)))</f>
        <v/>
      </c>
      <c r="BB1023">
        <f>IF(OR(BB$4="",$A1023&gt;TODAY()),0,IF(OR(INDEX($B1023:$D1023,BB$5)="F",AND(BB$6&gt;0,$A1023&lt;BB$6),AND(BB$7&gt;0,$A1023&gt;BB$7)),0,MAX(0,ROUND((INDEX($E1023:$G1023,BB$5)-SUMIFS(TF_Timer,TF_Tekniker,BB$4,TF_Dato,$A1023))*2,0)/2)))</f>
        <v/>
      </c>
      <c r="BC1023">
        <f>IF(OR(BC$4="",$A1023&gt;TODAY()),0,IF(OR(INDEX($B1023:$D1023,BC$5)="F",AND(BC$6&gt;0,$A1023&lt;BC$6),AND(BC$7&gt;0,$A1023&gt;BC$7)),0,MAX(0,ROUND((INDEX($E1023:$G1023,BC$5)-SUMIFS(TF_Timer,TF_Tekniker,BC$4,TF_Dato,$A1023))*2,0)/2)))</f>
        <v/>
      </c>
      <c r="BD1023">
        <f>IF(OR(BD$4="",$A1023&gt;TODAY()),0,IF(OR(INDEX($B1023:$D1023,BD$5)="F",AND(BD$6&gt;0,$A1023&lt;BD$6),AND(BD$7&gt;0,$A1023&gt;BD$7)),0,MAX(0,ROUND((INDEX($E1023:$G1023,BD$5)-SUMIFS(TF_Timer,TF_Tekniker,BD$4,TF_Dato,$A1023))*2,0)/2)))</f>
        <v/>
      </c>
      <c r="BE1023">
        <f>IF(OR(BE$4="",$A1023&gt;TODAY()),0,IF(OR(INDEX($B1023:$D1023,BE$5)="F",AND(BE$6&gt;0,$A1023&lt;BE$6),AND(BE$7&gt;0,$A1023&gt;BE$7)),0,MAX(0,ROUND((INDEX($E1023:$G1023,BE$5)-SUMIFS(TF_Timer,TF_Tekniker,BE$4,TF_Dato,$A1023))*2,0)/2)))</f>
        <v/>
      </c>
      <c r="BF1023">
        <f>IF(OR(BF$4="",$A1023&gt;TODAY()),0,IF(OR(INDEX($B1023:$D1023,BF$5)="F",AND(BF$6&gt;0,$A1023&lt;BF$6),AND(BF$7&gt;0,$A1023&gt;BF$7)),0,MAX(0,ROUND((INDEX($E1023:$G1023,BF$5)-SUMIFS(TF_Timer,TF_Tekniker,BF$4,TF_Dato,$A1023))*2,0)/2)))</f>
        <v/>
      </c>
      <c r="BG1023">
        <f>IF(OR(BG$4="",$A1023&gt;TODAY()),0,IF(OR(INDEX($B1023:$D1023,BG$5)="F",AND(BG$6&gt;0,$A1023&lt;BG$6),AND(BG$7&gt;0,$A1023&gt;BG$7)),0,MAX(0,ROUND((INDEX($E1023:$G1023,BG$5)-SUMIFS(TF_Timer,TF_Tekniker,BG$4,TF_Dato,$A1023))*2,0)/2)))</f>
        <v/>
      </c>
      <c r="BH1023">
        <f>IF(OR(BH$4="",$A1023&gt;TODAY()),0,IF(OR(INDEX($B1023:$D1023,BH$5)="F",AND(BH$6&gt;0,$A1023&lt;BH$6),AND(BH$7&gt;0,$A1023&gt;BH$7)),0,MAX(0,ROUND((INDEX($E1023:$G1023,BH$5)-SUMIFS(TF_Timer,TF_Tekniker,BH$4,TF_Dato,$A1023))*2,0)/2)))</f>
        <v/>
      </c>
      <c r="BI1023">
        <f>IF(OR(BI$4="",$A1023&gt;TODAY()),0,IF(OR(INDEX($B1023:$D1023,BI$5)="F",AND(BI$6&gt;0,$A1023&lt;BI$6),AND(BI$7&gt;0,$A1023&gt;BI$7)),0,MAX(0,ROUND((INDEX($E1023:$G1023,BI$5)-SUMIFS(TF_Timer,TF_Tekniker,BI$4,TF_Dato,$A1023))*2,0)/2)))</f>
        <v/>
      </c>
    </row>
    <row r="1024">
      <c r="A1024" s="64">
        <f>A1023+1</f>
        <v/>
      </c>
      <c r="B1024">
        <f>IF(MOD($A1024-INDEX(SkiftStart,1),Syklus)&lt;DagK,"K",IF(MOD($A1024-INDEX(SkiftStart,1),Syklus)&lt;DagK+DagH,"H",IF(MOD($A1024-INDEX(SkiftStart,1),Syklus)&lt;DagK+DagH+DagD,"D","F")))</f>
        <v/>
      </c>
      <c r="C1024">
        <f>IF(MOD($A1024-INDEX(SkiftStart,2),Syklus)&lt;DagK,"K",IF(MOD($A1024-INDEX(SkiftStart,2),Syklus)&lt;DagK+DagH,"H",IF(MOD($A1024-INDEX(SkiftStart,2),Syklus)&lt;DagK+DagH+DagD,"D","F")))</f>
        <v/>
      </c>
      <c r="D1024">
        <f>IF(MOD($A1024-INDEX(SkiftStart,3),Syklus)&lt;DagK,"K",IF(MOD($A1024-INDEX(SkiftStart,3),Syklus)&lt;DagK+DagH,"H",IF(MOD($A1024-INDEX(SkiftStart,3),Syklus)&lt;DagK+DagH+DagD,"D","F")))</f>
        <v/>
      </c>
      <c r="E1024">
        <f>IF(B1024="F",0,IF(WEEKDAY($A1024,2)=5,INDEX(TimerFr,MATCH(B1024,FaseKode,0)),INDEX(TimerMT,MATCH(B1024,FaseKode,0))))</f>
        <v/>
      </c>
      <c r="F1024">
        <f>IF(C1024="F",0,IF(WEEKDAY($A1024,2)=5,INDEX(TimerFr,MATCH(C1024,FaseKode,0)),INDEX(TimerMT,MATCH(C1024,FaseKode,0))))</f>
        <v/>
      </c>
      <c r="G1024">
        <f>IF(D1024="F",0,IF(WEEKDAY($A1024,2)=5,INDEX(TimerFr,MATCH(D1024,FaseKode,0)),INDEX(TimerMT,MATCH(D1024,FaseKode,0))))</f>
        <v/>
      </c>
      <c r="H1024">
        <f>IF(OR(H$4="",$A1024&gt;TODAY()),0,IF(OR(INDEX($B1024:$D1024,H$5)="F",AND(H$6&gt;0,$A1024&lt;H$6),AND(H$7&gt;0,$A1024&gt;H$7)),0,MAX(0,ROUND((INDEX($E1024:$G1024,H$5)-SUMIFS(TF_Timer,TF_Tekniker,H$4,TF_Dato,$A1024))*2,0)/2)))</f>
        <v/>
      </c>
      <c r="I1024">
        <f>IF(OR(I$4="",$A1024&gt;TODAY()),0,IF(OR(INDEX($B1024:$D1024,I$5)="F",AND(I$6&gt;0,$A1024&lt;I$6),AND(I$7&gt;0,$A1024&gt;I$7)),0,MAX(0,ROUND((INDEX($E1024:$G1024,I$5)-SUMIFS(TF_Timer,TF_Tekniker,I$4,TF_Dato,$A1024))*2,0)/2)))</f>
        <v/>
      </c>
      <c r="J1024">
        <f>IF(OR(J$4="",$A1024&gt;TODAY()),0,IF(OR(INDEX($B1024:$D1024,J$5)="F",AND(J$6&gt;0,$A1024&lt;J$6),AND(J$7&gt;0,$A1024&gt;J$7)),0,MAX(0,ROUND((INDEX($E1024:$G1024,J$5)-SUMIFS(TF_Timer,TF_Tekniker,J$4,TF_Dato,$A1024))*2,0)/2)))</f>
        <v/>
      </c>
      <c r="K1024">
        <f>IF(OR(K$4="",$A1024&gt;TODAY()),0,IF(OR(INDEX($B1024:$D1024,K$5)="F",AND(K$6&gt;0,$A1024&lt;K$6),AND(K$7&gt;0,$A1024&gt;K$7)),0,MAX(0,ROUND((INDEX($E1024:$G1024,K$5)-SUMIFS(TF_Timer,TF_Tekniker,K$4,TF_Dato,$A1024))*2,0)/2)))</f>
        <v/>
      </c>
      <c r="L1024">
        <f>IF(OR(L$4="",$A1024&gt;TODAY()),0,IF(OR(INDEX($B1024:$D1024,L$5)="F",AND(L$6&gt;0,$A1024&lt;L$6),AND(L$7&gt;0,$A1024&gt;L$7)),0,MAX(0,ROUND((INDEX($E1024:$G1024,L$5)-SUMIFS(TF_Timer,TF_Tekniker,L$4,TF_Dato,$A1024))*2,0)/2)))</f>
        <v/>
      </c>
      <c r="M1024">
        <f>IF(OR(M$4="",$A1024&gt;TODAY()),0,IF(OR(INDEX($B1024:$D1024,M$5)="F",AND(M$6&gt;0,$A1024&lt;M$6),AND(M$7&gt;0,$A1024&gt;M$7)),0,MAX(0,ROUND((INDEX($E1024:$G1024,M$5)-SUMIFS(TF_Timer,TF_Tekniker,M$4,TF_Dato,$A1024))*2,0)/2)))</f>
        <v/>
      </c>
      <c r="N1024">
        <f>IF(OR(N$4="",$A1024&gt;TODAY()),0,IF(OR(INDEX($B1024:$D1024,N$5)="F",AND(N$6&gt;0,$A1024&lt;N$6),AND(N$7&gt;0,$A1024&gt;N$7)),0,MAX(0,ROUND((INDEX($E1024:$G1024,N$5)-SUMIFS(TF_Timer,TF_Tekniker,N$4,TF_Dato,$A1024))*2,0)/2)))</f>
        <v/>
      </c>
      <c r="O1024">
        <f>IF(OR(O$4="",$A1024&gt;TODAY()),0,IF(OR(INDEX($B1024:$D1024,O$5)="F",AND(O$6&gt;0,$A1024&lt;O$6),AND(O$7&gt;0,$A1024&gt;O$7)),0,MAX(0,ROUND((INDEX($E1024:$G1024,O$5)-SUMIFS(TF_Timer,TF_Tekniker,O$4,TF_Dato,$A1024))*2,0)/2)))</f>
        <v/>
      </c>
      <c r="P1024">
        <f>IF(OR(P$4="",$A1024&gt;TODAY()),0,IF(OR(INDEX($B1024:$D1024,P$5)="F",AND(P$6&gt;0,$A1024&lt;P$6),AND(P$7&gt;0,$A1024&gt;P$7)),0,MAX(0,ROUND((INDEX($E1024:$G1024,P$5)-SUMIFS(TF_Timer,TF_Tekniker,P$4,TF_Dato,$A1024))*2,0)/2)))</f>
        <v/>
      </c>
      <c r="Q1024">
        <f>IF(OR(Q$4="",$A1024&gt;TODAY()),0,IF(OR(INDEX($B1024:$D1024,Q$5)="F",AND(Q$6&gt;0,$A1024&lt;Q$6),AND(Q$7&gt;0,$A1024&gt;Q$7)),0,MAX(0,ROUND((INDEX($E1024:$G1024,Q$5)-SUMIFS(TF_Timer,TF_Tekniker,Q$4,TF_Dato,$A1024))*2,0)/2)))</f>
        <v/>
      </c>
      <c r="R1024">
        <f>IF(OR(R$4="",$A1024&gt;TODAY()),0,IF(OR(INDEX($B1024:$D1024,R$5)="F",AND(R$6&gt;0,$A1024&lt;R$6),AND(R$7&gt;0,$A1024&gt;R$7)),0,MAX(0,ROUND((INDEX($E1024:$G1024,R$5)-SUMIFS(TF_Timer,TF_Tekniker,R$4,TF_Dato,$A1024))*2,0)/2)))</f>
        <v/>
      </c>
      <c r="S1024">
        <f>IF(OR(S$4="",$A1024&gt;TODAY()),0,IF(OR(INDEX($B1024:$D1024,S$5)="F",AND(S$6&gt;0,$A1024&lt;S$6),AND(S$7&gt;0,$A1024&gt;S$7)),0,MAX(0,ROUND((INDEX($E1024:$G1024,S$5)-SUMIFS(TF_Timer,TF_Tekniker,S$4,TF_Dato,$A1024))*2,0)/2)))</f>
        <v/>
      </c>
      <c r="T1024">
        <f>IF(OR(T$4="",$A1024&gt;TODAY()),0,IF(OR(INDEX($B1024:$D1024,T$5)="F",AND(T$6&gt;0,$A1024&lt;T$6),AND(T$7&gt;0,$A1024&gt;T$7)),0,MAX(0,ROUND((INDEX($E1024:$G1024,T$5)-SUMIFS(TF_Timer,TF_Tekniker,T$4,TF_Dato,$A1024))*2,0)/2)))</f>
        <v/>
      </c>
      <c r="U1024">
        <f>IF(OR(U$4="",$A1024&gt;TODAY()),0,IF(OR(INDEX($B1024:$D1024,U$5)="F",AND(U$6&gt;0,$A1024&lt;U$6),AND(U$7&gt;0,$A1024&gt;U$7)),0,MAX(0,ROUND((INDEX($E1024:$G1024,U$5)-SUMIFS(TF_Timer,TF_Tekniker,U$4,TF_Dato,$A1024))*2,0)/2)))</f>
        <v/>
      </c>
      <c r="V1024">
        <f>IF(OR(V$4="",$A1024&gt;TODAY()),0,IF(OR(INDEX($B1024:$D1024,V$5)="F",AND(V$6&gt;0,$A1024&lt;V$6),AND(V$7&gt;0,$A1024&gt;V$7)),0,MAX(0,ROUND((INDEX($E1024:$G1024,V$5)-SUMIFS(TF_Timer,TF_Tekniker,V$4,TF_Dato,$A1024))*2,0)/2)))</f>
        <v/>
      </c>
      <c r="W1024">
        <f>IF(OR(W$4="",$A1024&gt;TODAY()),0,IF(OR(INDEX($B1024:$D1024,W$5)="F",AND(W$6&gt;0,$A1024&lt;W$6),AND(W$7&gt;0,$A1024&gt;W$7)),0,MAX(0,ROUND((INDEX($E1024:$G1024,W$5)-SUMIFS(TF_Timer,TF_Tekniker,W$4,TF_Dato,$A1024))*2,0)/2)))</f>
        <v/>
      </c>
      <c r="X1024">
        <f>IF(OR(X$4="",$A1024&gt;TODAY()),0,IF(OR(INDEX($B1024:$D1024,X$5)="F",AND(X$6&gt;0,$A1024&lt;X$6),AND(X$7&gt;0,$A1024&gt;X$7)),0,MAX(0,ROUND((INDEX($E1024:$G1024,X$5)-SUMIFS(TF_Timer,TF_Tekniker,X$4,TF_Dato,$A1024))*2,0)/2)))</f>
        <v/>
      </c>
      <c r="Y1024">
        <f>IF(OR(Y$4="",$A1024&gt;TODAY()),0,IF(OR(INDEX($B1024:$D1024,Y$5)="F",AND(Y$6&gt;0,$A1024&lt;Y$6),AND(Y$7&gt;0,$A1024&gt;Y$7)),0,MAX(0,ROUND((INDEX($E1024:$G1024,Y$5)-SUMIFS(TF_Timer,TF_Tekniker,Y$4,TF_Dato,$A1024))*2,0)/2)))</f>
        <v/>
      </c>
      <c r="Z1024">
        <f>IF(OR(Z$4="",$A1024&gt;TODAY()),0,IF(OR(INDEX($B1024:$D1024,Z$5)="F",AND(Z$6&gt;0,$A1024&lt;Z$6),AND(Z$7&gt;0,$A1024&gt;Z$7)),0,MAX(0,ROUND((INDEX($E1024:$G1024,Z$5)-SUMIFS(TF_Timer,TF_Tekniker,Z$4,TF_Dato,$A1024))*2,0)/2)))</f>
        <v/>
      </c>
      <c r="AA1024">
        <f>IF(OR(AA$4="",$A1024&gt;TODAY()),0,IF(OR(INDEX($B1024:$D1024,AA$5)="F",AND(AA$6&gt;0,$A1024&lt;AA$6),AND(AA$7&gt;0,$A1024&gt;AA$7)),0,MAX(0,ROUND((INDEX($E1024:$G1024,AA$5)-SUMIFS(TF_Timer,TF_Tekniker,AA$4,TF_Dato,$A1024))*2,0)/2)))</f>
        <v/>
      </c>
      <c r="AB1024">
        <f>IF(OR(AB$4="",$A1024&gt;TODAY()),0,IF(OR(INDEX($B1024:$D1024,AB$5)="F",AND(AB$6&gt;0,$A1024&lt;AB$6),AND(AB$7&gt;0,$A1024&gt;AB$7)),0,MAX(0,ROUND((INDEX($E1024:$G1024,AB$5)-SUMIFS(TF_Timer,TF_Tekniker,AB$4,TF_Dato,$A1024))*2,0)/2)))</f>
        <v/>
      </c>
      <c r="AC1024">
        <f>IF(OR(AC$4="",$A1024&gt;TODAY()),0,IF(OR(INDEX($B1024:$D1024,AC$5)="F",AND(AC$6&gt;0,$A1024&lt;AC$6),AND(AC$7&gt;0,$A1024&gt;AC$7)),0,MAX(0,ROUND((INDEX($E1024:$G1024,AC$5)-SUMIFS(TF_Timer,TF_Tekniker,AC$4,TF_Dato,$A1024))*2,0)/2)))</f>
        <v/>
      </c>
      <c r="AD1024">
        <f>IF(OR(AD$4="",$A1024&gt;TODAY()),0,IF(OR(INDEX($B1024:$D1024,AD$5)="F",AND(AD$6&gt;0,$A1024&lt;AD$6),AND(AD$7&gt;0,$A1024&gt;AD$7)),0,MAX(0,ROUND((INDEX($E1024:$G1024,AD$5)-SUMIFS(TF_Timer,TF_Tekniker,AD$4,TF_Dato,$A1024))*2,0)/2)))</f>
        <v/>
      </c>
      <c r="AE1024">
        <f>IF(OR(AE$4="",$A1024&gt;TODAY()),0,IF(OR(INDEX($B1024:$D1024,AE$5)="F",AND(AE$6&gt;0,$A1024&lt;AE$6),AND(AE$7&gt;0,$A1024&gt;AE$7)),0,MAX(0,ROUND((INDEX($E1024:$G1024,AE$5)-SUMIFS(TF_Timer,TF_Tekniker,AE$4,TF_Dato,$A1024))*2,0)/2)))</f>
        <v/>
      </c>
      <c r="AF1024">
        <f>IF(OR(AF$4="",$A1024&gt;TODAY()),0,IF(OR(INDEX($B1024:$D1024,AF$5)="F",AND(AF$6&gt;0,$A1024&lt;AF$6),AND(AF$7&gt;0,$A1024&gt;AF$7)),0,MAX(0,ROUND((INDEX($E1024:$G1024,AF$5)-SUMIFS(TF_Timer,TF_Tekniker,AF$4,TF_Dato,$A1024))*2,0)/2)))</f>
        <v/>
      </c>
      <c r="AG1024">
        <f>IF(OR(AG$4="",$A1024&gt;TODAY()),0,IF(OR(INDEX($B1024:$D1024,AG$5)="F",AND(AG$6&gt;0,$A1024&lt;AG$6),AND(AG$7&gt;0,$A1024&gt;AG$7)),0,MAX(0,ROUND((INDEX($E1024:$G1024,AG$5)-SUMIFS(TF_Timer,TF_Tekniker,AG$4,TF_Dato,$A1024))*2,0)/2)))</f>
        <v/>
      </c>
      <c r="AH1024">
        <f>IF(OR(AH$4="",$A1024&gt;TODAY()),0,IF(OR(INDEX($B1024:$D1024,AH$5)="F",AND(AH$6&gt;0,$A1024&lt;AH$6),AND(AH$7&gt;0,$A1024&gt;AH$7)),0,MAX(0,ROUND((INDEX($E1024:$G1024,AH$5)-SUMIFS(TF_Timer,TF_Tekniker,AH$4,TF_Dato,$A1024))*2,0)/2)))</f>
        <v/>
      </c>
      <c r="AI1024">
        <f>IF(OR(AI$4="",$A1024&gt;TODAY()),0,IF(OR(INDEX($B1024:$D1024,AI$5)="F",AND(AI$6&gt;0,$A1024&lt;AI$6),AND(AI$7&gt;0,$A1024&gt;AI$7)),0,MAX(0,ROUND((INDEX($E1024:$G1024,AI$5)-SUMIFS(TF_Timer,TF_Tekniker,AI$4,TF_Dato,$A1024))*2,0)/2)))</f>
        <v/>
      </c>
      <c r="AJ1024">
        <f>IF(OR(AJ$4="",$A1024&gt;TODAY()),0,IF(OR(INDEX($B1024:$D1024,AJ$5)="F",AND(AJ$6&gt;0,$A1024&lt;AJ$6),AND(AJ$7&gt;0,$A1024&gt;AJ$7)),0,MAX(0,ROUND((INDEX($E1024:$G1024,AJ$5)-SUMIFS(TF_Timer,TF_Tekniker,AJ$4,TF_Dato,$A1024))*2,0)/2)))</f>
        <v/>
      </c>
      <c r="AK1024">
        <f>IF(OR(AK$4="",$A1024&gt;TODAY()),0,IF(OR(INDEX($B1024:$D1024,AK$5)="F",AND(AK$6&gt;0,$A1024&lt;AK$6),AND(AK$7&gt;0,$A1024&gt;AK$7)),0,MAX(0,ROUND((INDEX($E1024:$G1024,AK$5)-SUMIFS(TF_Timer,TF_Tekniker,AK$4,TF_Dato,$A1024))*2,0)/2)))</f>
        <v/>
      </c>
      <c r="AL1024">
        <f>IF(OR(AL$4="",$A1024&gt;TODAY()),0,IF(OR(INDEX($B1024:$D1024,AL$5)="F",AND(AL$6&gt;0,$A1024&lt;AL$6),AND(AL$7&gt;0,$A1024&gt;AL$7)),0,MAX(0,ROUND((INDEX($E1024:$G1024,AL$5)-SUMIFS(TF_Timer,TF_Tekniker,AL$4,TF_Dato,$A1024))*2,0)/2)))</f>
        <v/>
      </c>
      <c r="AM1024">
        <f>IF(OR(AM$4="",$A1024&gt;TODAY()),0,IF(OR(INDEX($B1024:$D1024,AM$5)="F",AND(AM$6&gt;0,$A1024&lt;AM$6),AND(AM$7&gt;0,$A1024&gt;AM$7)),0,MAX(0,ROUND((INDEX($E1024:$G1024,AM$5)-SUMIFS(TF_Timer,TF_Tekniker,AM$4,TF_Dato,$A1024))*2,0)/2)))</f>
        <v/>
      </c>
      <c r="AN1024">
        <f>IF(OR(AN$4="",$A1024&gt;TODAY()),0,IF(OR(INDEX($B1024:$D1024,AN$5)="F",AND(AN$6&gt;0,$A1024&lt;AN$6),AND(AN$7&gt;0,$A1024&gt;AN$7)),0,MAX(0,ROUND((INDEX($E1024:$G1024,AN$5)-SUMIFS(TF_Timer,TF_Tekniker,AN$4,TF_Dato,$A1024))*2,0)/2)))</f>
        <v/>
      </c>
      <c r="AO1024">
        <f>IF(OR(AO$4="",$A1024&gt;TODAY()),0,IF(OR(INDEX($B1024:$D1024,AO$5)="F",AND(AO$6&gt;0,$A1024&lt;AO$6),AND(AO$7&gt;0,$A1024&gt;AO$7)),0,MAX(0,ROUND((INDEX($E1024:$G1024,AO$5)-SUMIFS(TF_Timer,TF_Tekniker,AO$4,TF_Dato,$A1024))*2,0)/2)))</f>
        <v/>
      </c>
      <c r="AP1024">
        <f>IF(OR(AP$4="",$A1024&gt;TODAY()),0,IF(OR(INDEX($B1024:$D1024,AP$5)="F",AND(AP$6&gt;0,$A1024&lt;AP$6),AND(AP$7&gt;0,$A1024&gt;AP$7)),0,MAX(0,ROUND((INDEX($E1024:$G1024,AP$5)-SUMIFS(TF_Timer,TF_Tekniker,AP$4,TF_Dato,$A1024))*2,0)/2)))</f>
        <v/>
      </c>
      <c r="AQ1024">
        <f>IF(OR(AQ$4="",$A1024&gt;TODAY()),0,IF(OR(INDEX($B1024:$D1024,AQ$5)="F",AND(AQ$6&gt;0,$A1024&lt;AQ$6),AND(AQ$7&gt;0,$A1024&gt;AQ$7)),0,MAX(0,ROUND((INDEX($E1024:$G1024,AQ$5)-SUMIFS(TF_Timer,TF_Tekniker,AQ$4,TF_Dato,$A1024))*2,0)/2)))</f>
        <v/>
      </c>
      <c r="AR1024">
        <f>IF(OR(AR$4="",$A1024&gt;TODAY()),0,IF(OR(INDEX($B1024:$D1024,AR$5)="F",AND(AR$6&gt;0,$A1024&lt;AR$6),AND(AR$7&gt;0,$A1024&gt;AR$7)),0,MAX(0,ROUND((INDEX($E1024:$G1024,AR$5)-SUMIFS(TF_Timer,TF_Tekniker,AR$4,TF_Dato,$A1024))*2,0)/2)))</f>
        <v/>
      </c>
      <c r="AS1024">
        <f>IF(OR(AS$4="",$A1024&gt;TODAY()),0,IF(OR(INDEX($B1024:$D1024,AS$5)="F",AND(AS$6&gt;0,$A1024&lt;AS$6),AND(AS$7&gt;0,$A1024&gt;AS$7)),0,MAX(0,ROUND((INDEX($E1024:$G1024,AS$5)-SUMIFS(TF_Timer,TF_Tekniker,AS$4,TF_Dato,$A1024))*2,0)/2)))</f>
        <v/>
      </c>
      <c r="AT1024">
        <f>IF(OR(AT$4="",$A1024&gt;TODAY()),0,IF(OR(INDEX($B1024:$D1024,AT$5)="F",AND(AT$6&gt;0,$A1024&lt;AT$6),AND(AT$7&gt;0,$A1024&gt;AT$7)),0,MAX(0,ROUND((INDEX($E1024:$G1024,AT$5)-SUMIFS(TF_Timer,TF_Tekniker,AT$4,TF_Dato,$A1024))*2,0)/2)))</f>
        <v/>
      </c>
      <c r="AU1024">
        <f>IF(OR(AU$4="",$A1024&gt;TODAY()),0,IF(OR(INDEX($B1024:$D1024,AU$5)="F",AND(AU$6&gt;0,$A1024&lt;AU$6),AND(AU$7&gt;0,$A1024&gt;AU$7)),0,MAX(0,ROUND((INDEX($E1024:$G1024,AU$5)-SUMIFS(TF_Timer,TF_Tekniker,AU$4,TF_Dato,$A1024))*2,0)/2)))</f>
        <v/>
      </c>
      <c r="AV1024">
        <f>IF(OR(AV$4="",$A1024&gt;TODAY()),0,IF(OR(INDEX($B1024:$D1024,AV$5)="F",AND(AV$6&gt;0,$A1024&lt;AV$6),AND(AV$7&gt;0,$A1024&gt;AV$7)),0,MAX(0,ROUND((INDEX($E1024:$G1024,AV$5)-SUMIFS(TF_Timer,TF_Tekniker,AV$4,TF_Dato,$A1024))*2,0)/2)))</f>
        <v/>
      </c>
      <c r="AW1024">
        <f>IF(OR(AW$4="",$A1024&gt;TODAY()),0,IF(OR(INDEX($B1024:$D1024,AW$5)="F",AND(AW$6&gt;0,$A1024&lt;AW$6),AND(AW$7&gt;0,$A1024&gt;AW$7)),0,MAX(0,ROUND((INDEX($E1024:$G1024,AW$5)-SUMIFS(TF_Timer,TF_Tekniker,AW$4,TF_Dato,$A1024))*2,0)/2)))</f>
        <v/>
      </c>
      <c r="AX1024">
        <f>IF(OR(AX$4="",$A1024&gt;TODAY()),0,IF(OR(INDEX($B1024:$D1024,AX$5)="F",AND(AX$6&gt;0,$A1024&lt;AX$6),AND(AX$7&gt;0,$A1024&gt;AX$7)),0,MAX(0,ROUND((INDEX($E1024:$G1024,AX$5)-SUMIFS(TF_Timer,TF_Tekniker,AX$4,TF_Dato,$A1024))*2,0)/2)))</f>
        <v/>
      </c>
      <c r="AY1024">
        <f>IF(OR(AY$4="",$A1024&gt;TODAY()),0,IF(OR(INDEX($B1024:$D1024,AY$5)="F",AND(AY$6&gt;0,$A1024&lt;AY$6),AND(AY$7&gt;0,$A1024&gt;AY$7)),0,MAX(0,ROUND((INDEX($E1024:$G1024,AY$5)-SUMIFS(TF_Timer,TF_Tekniker,AY$4,TF_Dato,$A1024))*2,0)/2)))</f>
        <v/>
      </c>
      <c r="AZ1024">
        <f>IF(OR(AZ$4="",$A1024&gt;TODAY()),0,IF(OR(INDEX($B1024:$D1024,AZ$5)="F",AND(AZ$6&gt;0,$A1024&lt;AZ$6),AND(AZ$7&gt;0,$A1024&gt;AZ$7)),0,MAX(0,ROUND((INDEX($E1024:$G1024,AZ$5)-SUMIFS(TF_Timer,TF_Tekniker,AZ$4,TF_Dato,$A1024))*2,0)/2)))</f>
        <v/>
      </c>
      <c r="BA1024">
        <f>IF(OR(BA$4="",$A1024&gt;TODAY()),0,IF(OR(INDEX($B1024:$D1024,BA$5)="F",AND(BA$6&gt;0,$A1024&lt;BA$6),AND(BA$7&gt;0,$A1024&gt;BA$7)),0,MAX(0,ROUND((INDEX($E1024:$G1024,BA$5)-SUMIFS(TF_Timer,TF_Tekniker,BA$4,TF_Dato,$A1024))*2,0)/2)))</f>
        <v/>
      </c>
      <c r="BB1024">
        <f>IF(OR(BB$4="",$A1024&gt;TODAY()),0,IF(OR(INDEX($B1024:$D1024,BB$5)="F",AND(BB$6&gt;0,$A1024&lt;BB$6),AND(BB$7&gt;0,$A1024&gt;BB$7)),0,MAX(0,ROUND((INDEX($E1024:$G1024,BB$5)-SUMIFS(TF_Timer,TF_Tekniker,BB$4,TF_Dato,$A1024))*2,0)/2)))</f>
        <v/>
      </c>
      <c r="BC1024">
        <f>IF(OR(BC$4="",$A1024&gt;TODAY()),0,IF(OR(INDEX($B1024:$D1024,BC$5)="F",AND(BC$6&gt;0,$A1024&lt;BC$6),AND(BC$7&gt;0,$A1024&gt;BC$7)),0,MAX(0,ROUND((INDEX($E1024:$G1024,BC$5)-SUMIFS(TF_Timer,TF_Tekniker,BC$4,TF_Dato,$A1024))*2,0)/2)))</f>
        <v/>
      </c>
      <c r="BD1024">
        <f>IF(OR(BD$4="",$A1024&gt;TODAY()),0,IF(OR(INDEX($B1024:$D1024,BD$5)="F",AND(BD$6&gt;0,$A1024&lt;BD$6),AND(BD$7&gt;0,$A1024&gt;BD$7)),0,MAX(0,ROUND((INDEX($E1024:$G1024,BD$5)-SUMIFS(TF_Timer,TF_Tekniker,BD$4,TF_Dato,$A1024))*2,0)/2)))</f>
        <v/>
      </c>
      <c r="BE1024">
        <f>IF(OR(BE$4="",$A1024&gt;TODAY()),0,IF(OR(INDEX($B1024:$D1024,BE$5)="F",AND(BE$6&gt;0,$A1024&lt;BE$6),AND(BE$7&gt;0,$A1024&gt;BE$7)),0,MAX(0,ROUND((INDEX($E1024:$G1024,BE$5)-SUMIFS(TF_Timer,TF_Tekniker,BE$4,TF_Dato,$A1024))*2,0)/2)))</f>
        <v/>
      </c>
      <c r="BF1024">
        <f>IF(OR(BF$4="",$A1024&gt;TODAY()),0,IF(OR(INDEX($B1024:$D1024,BF$5)="F",AND(BF$6&gt;0,$A1024&lt;BF$6),AND(BF$7&gt;0,$A1024&gt;BF$7)),0,MAX(0,ROUND((INDEX($E1024:$G1024,BF$5)-SUMIFS(TF_Timer,TF_Tekniker,BF$4,TF_Dato,$A1024))*2,0)/2)))</f>
        <v/>
      </c>
      <c r="BG1024">
        <f>IF(OR(BG$4="",$A1024&gt;TODAY()),0,IF(OR(INDEX($B1024:$D1024,BG$5)="F",AND(BG$6&gt;0,$A1024&lt;BG$6),AND(BG$7&gt;0,$A1024&gt;BG$7)),0,MAX(0,ROUND((INDEX($E1024:$G1024,BG$5)-SUMIFS(TF_Timer,TF_Tekniker,BG$4,TF_Dato,$A1024))*2,0)/2)))</f>
        <v/>
      </c>
      <c r="BH1024">
        <f>IF(OR(BH$4="",$A1024&gt;TODAY()),0,IF(OR(INDEX($B1024:$D1024,BH$5)="F",AND(BH$6&gt;0,$A1024&lt;BH$6),AND(BH$7&gt;0,$A1024&gt;BH$7)),0,MAX(0,ROUND((INDEX($E1024:$G1024,BH$5)-SUMIFS(TF_Timer,TF_Tekniker,BH$4,TF_Dato,$A1024))*2,0)/2)))</f>
        <v/>
      </c>
      <c r="BI1024">
        <f>IF(OR(BI$4="",$A1024&gt;TODAY()),0,IF(OR(INDEX($B1024:$D1024,BI$5)="F",AND(BI$6&gt;0,$A1024&lt;BI$6),AND(BI$7&gt;0,$A1024&gt;BI$7)),0,MAX(0,ROUND((INDEX($E1024:$G1024,BI$5)-SUMIFS(TF_Timer,TF_Tekniker,BI$4,TF_Dato,$A1024))*2,0)/2)))</f>
        <v/>
      </c>
    </row>
    <row r="1025">
      <c r="A1025" s="64">
        <f>A1024+1</f>
        <v/>
      </c>
      <c r="B1025">
        <f>IF(MOD($A1025-INDEX(SkiftStart,1),Syklus)&lt;DagK,"K",IF(MOD($A1025-INDEX(SkiftStart,1),Syklus)&lt;DagK+DagH,"H",IF(MOD($A1025-INDEX(SkiftStart,1),Syklus)&lt;DagK+DagH+DagD,"D","F")))</f>
        <v/>
      </c>
      <c r="C1025">
        <f>IF(MOD($A1025-INDEX(SkiftStart,2),Syklus)&lt;DagK,"K",IF(MOD($A1025-INDEX(SkiftStart,2),Syklus)&lt;DagK+DagH,"H",IF(MOD($A1025-INDEX(SkiftStart,2),Syklus)&lt;DagK+DagH+DagD,"D","F")))</f>
        <v/>
      </c>
      <c r="D1025">
        <f>IF(MOD($A1025-INDEX(SkiftStart,3),Syklus)&lt;DagK,"K",IF(MOD($A1025-INDEX(SkiftStart,3),Syklus)&lt;DagK+DagH,"H",IF(MOD($A1025-INDEX(SkiftStart,3),Syklus)&lt;DagK+DagH+DagD,"D","F")))</f>
        <v/>
      </c>
      <c r="E1025">
        <f>IF(B1025="F",0,IF(WEEKDAY($A1025,2)=5,INDEX(TimerFr,MATCH(B1025,FaseKode,0)),INDEX(TimerMT,MATCH(B1025,FaseKode,0))))</f>
        <v/>
      </c>
      <c r="F1025">
        <f>IF(C1025="F",0,IF(WEEKDAY($A1025,2)=5,INDEX(TimerFr,MATCH(C1025,FaseKode,0)),INDEX(TimerMT,MATCH(C1025,FaseKode,0))))</f>
        <v/>
      </c>
      <c r="G1025">
        <f>IF(D1025="F",0,IF(WEEKDAY($A1025,2)=5,INDEX(TimerFr,MATCH(D1025,FaseKode,0)),INDEX(TimerMT,MATCH(D1025,FaseKode,0))))</f>
        <v/>
      </c>
      <c r="H1025">
        <f>IF(OR(H$4="",$A1025&gt;TODAY()),0,IF(OR(INDEX($B1025:$D1025,H$5)="F",AND(H$6&gt;0,$A1025&lt;H$6),AND(H$7&gt;0,$A1025&gt;H$7)),0,MAX(0,ROUND((INDEX($E1025:$G1025,H$5)-SUMIFS(TF_Timer,TF_Tekniker,H$4,TF_Dato,$A1025))*2,0)/2)))</f>
        <v/>
      </c>
      <c r="I1025">
        <f>IF(OR(I$4="",$A1025&gt;TODAY()),0,IF(OR(INDEX($B1025:$D1025,I$5)="F",AND(I$6&gt;0,$A1025&lt;I$6),AND(I$7&gt;0,$A1025&gt;I$7)),0,MAX(0,ROUND((INDEX($E1025:$G1025,I$5)-SUMIFS(TF_Timer,TF_Tekniker,I$4,TF_Dato,$A1025))*2,0)/2)))</f>
        <v/>
      </c>
      <c r="J1025">
        <f>IF(OR(J$4="",$A1025&gt;TODAY()),0,IF(OR(INDEX($B1025:$D1025,J$5)="F",AND(J$6&gt;0,$A1025&lt;J$6),AND(J$7&gt;0,$A1025&gt;J$7)),0,MAX(0,ROUND((INDEX($E1025:$G1025,J$5)-SUMIFS(TF_Timer,TF_Tekniker,J$4,TF_Dato,$A1025))*2,0)/2)))</f>
        <v/>
      </c>
      <c r="K1025">
        <f>IF(OR(K$4="",$A1025&gt;TODAY()),0,IF(OR(INDEX($B1025:$D1025,K$5)="F",AND(K$6&gt;0,$A1025&lt;K$6),AND(K$7&gt;0,$A1025&gt;K$7)),0,MAX(0,ROUND((INDEX($E1025:$G1025,K$5)-SUMIFS(TF_Timer,TF_Tekniker,K$4,TF_Dato,$A1025))*2,0)/2)))</f>
        <v/>
      </c>
      <c r="L1025">
        <f>IF(OR(L$4="",$A1025&gt;TODAY()),0,IF(OR(INDEX($B1025:$D1025,L$5)="F",AND(L$6&gt;0,$A1025&lt;L$6),AND(L$7&gt;0,$A1025&gt;L$7)),0,MAX(0,ROUND((INDEX($E1025:$G1025,L$5)-SUMIFS(TF_Timer,TF_Tekniker,L$4,TF_Dato,$A1025))*2,0)/2)))</f>
        <v/>
      </c>
      <c r="M1025">
        <f>IF(OR(M$4="",$A1025&gt;TODAY()),0,IF(OR(INDEX($B1025:$D1025,M$5)="F",AND(M$6&gt;0,$A1025&lt;M$6),AND(M$7&gt;0,$A1025&gt;M$7)),0,MAX(0,ROUND((INDEX($E1025:$G1025,M$5)-SUMIFS(TF_Timer,TF_Tekniker,M$4,TF_Dato,$A1025))*2,0)/2)))</f>
        <v/>
      </c>
      <c r="N1025">
        <f>IF(OR(N$4="",$A1025&gt;TODAY()),0,IF(OR(INDEX($B1025:$D1025,N$5)="F",AND(N$6&gt;0,$A1025&lt;N$6),AND(N$7&gt;0,$A1025&gt;N$7)),0,MAX(0,ROUND((INDEX($E1025:$G1025,N$5)-SUMIFS(TF_Timer,TF_Tekniker,N$4,TF_Dato,$A1025))*2,0)/2)))</f>
        <v/>
      </c>
      <c r="O1025">
        <f>IF(OR(O$4="",$A1025&gt;TODAY()),0,IF(OR(INDEX($B1025:$D1025,O$5)="F",AND(O$6&gt;0,$A1025&lt;O$6),AND(O$7&gt;0,$A1025&gt;O$7)),0,MAX(0,ROUND((INDEX($E1025:$G1025,O$5)-SUMIFS(TF_Timer,TF_Tekniker,O$4,TF_Dato,$A1025))*2,0)/2)))</f>
        <v/>
      </c>
      <c r="P1025">
        <f>IF(OR(P$4="",$A1025&gt;TODAY()),0,IF(OR(INDEX($B1025:$D1025,P$5)="F",AND(P$6&gt;0,$A1025&lt;P$6),AND(P$7&gt;0,$A1025&gt;P$7)),0,MAX(0,ROUND((INDEX($E1025:$G1025,P$5)-SUMIFS(TF_Timer,TF_Tekniker,P$4,TF_Dato,$A1025))*2,0)/2)))</f>
        <v/>
      </c>
      <c r="Q1025">
        <f>IF(OR(Q$4="",$A1025&gt;TODAY()),0,IF(OR(INDEX($B1025:$D1025,Q$5)="F",AND(Q$6&gt;0,$A1025&lt;Q$6),AND(Q$7&gt;0,$A1025&gt;Q$7)),0,MAX(0,ROUND((INDEX($E1025:$G1025,Q$5)-SUMIFS(TF_Timer,TF_Tekniker,Q$4,TF_Dato,$A1025))*2,0)/2)))</f>
        <v/>
      </c>
      <c r="R1025">
        <f>IF(OR(R$4="",$A1025&gt;TODAY()),0,IF(OR(INDEX($B1025:$D1025,R$5)="F",AND(R$6&gt;0,$A1025&lt;R$6),AND(R$7&gt;0,$A1025&gt;R$7)),0,MAX(0,ROUND((INDEX($E1025:$G1025,R$5)-SUMIFS(TF_Timer,TF_Tekniker,R$4,TF_Dato,$A1025))*2,0)/2)))</f>
        <v/>
      </c>
      <c r="S1025">
        <f>IF(OR(S$4="",$A1025&gt;TODAY()),0,IF(OR(INDEX($B1025:$D1025,S$5)="F",AND(S$6&gt;0,$A1025&lt;S$6),AND(S$7&gt;0,$A1025&gt;S$7)),0,MAX(0,ROUND((INDEX($E1025:$G1025,S$5)-SUMIFS(TF_Timer,TF_Tekniker,S$4,TF_Dato,$A1025))*2,0)/2)))</f>
        <v/>
      </c>
      <c r="T1025">
        <f>IF(OR(T$4="",$A1025&gt;TODAY()),0,IF(OR(INDEX($B1025:$D1025,T$5)="F",AND(T$6&gt;0,$A1025&lt;T$6),AND(T$7&gt;0,$A1025&gt;T$7)),0,MAX(0,ROUND((INDEX($E1025:$G1025,T$5)-SUMIFS(TF_Timer,TF_Tekniker,T$4,TF_Dato,$A1025))*2,0)/2)))</f>
        <v/>
      </c>
      <c r="U1025">
        <f>IF(OR(U$4="",$A1025&gt;TODAY()),0,IF(OR(INDEX($B1025:$D1025,U$5)="F",AND(U$6&gt;0,$A1025&lt;U$6),AND(U$7&gt;0,$A1025&gt;U$7)),0,MAX(0,ROUND((INDEX($E1025:$G1025,U$5)-SUMIFS(TF_Timer,TF_Tekniker,U$4,TF_Dato,$A1025))*2,0)/2)))</f>
        <v/>
      </c>
      <c r="V1025">
        <f>IF(OR(V$4="",$A1025&gt;TODAY()),0,IF(OR(INDEX($B1025:$D1025,V$5)="F",AND(V$6&gt;0,$A1025&lt;V$6),AND(V$7&gt;0,$A1025&gt;V$7)),0,MAX(0,ROUND((INDEX($E1025:$G1025,V$5)-SUMIFS(TF_Timer,TF_Tekniker,V$4,TF_Dato,$A1025))*2,0)/2)))</f>
        <v/>
      </c>
      <c r="W1025">
        <f>IF(OR(W$4="",$A1025&gt;TODAY()),0,IF(OR(INDEX($B1025:$D1025,W$5)="F",AND(W$6&gt;0,$A1025&lt;W$6),AND(W$7&gt;0,$A1025&gt;W$7)),0,MAX(0,ROUND((INDEX($E1025:$G1025,W$5)-SUMIFS(TF_Timer,TF_Tekniker,W$4,TF_Dato,$A1025))*2,0)/2)))</f>
        <v/>
      </c>
      <c r="X1025">
        <f>IF(OR(X$4="",$A1025&gt;TODAY()),0,IF(OR(INDEX($B1025:$D1025,X$5)="F",AND(X$6&gt;0,$A1025&lt;X$6),AND(X$7&gt;0,$A1025&gt;X$7)),0,MAX(0,ROUND((INDEX($E1025:$G1025,X$5)-SUMIFS(TF_Timer,TF_Tekniker,X$4,TF_Dato,$A1025))*2,0)/2)))</f>
        <v/>
      </c>
      <c r="Y1025">
        <f>IF(OR(Y$4="",$A1025&gt;TODAY()),0,IF(OR(INDEX($B1025:$D1025,Y$5)="F",AND(Y$6&gt;0,$A1025&lt;Y$6),AND(Y$7&gt;0,$A1025&gt;Y$7)),0,MAX(0,ROUND((INDEX($E1025:$G1025,Y$5)-SUMIFS(TF_Timer,TF_Tekniker,Y$4,TF_Dato,$A1025))*2,0)/2)))</f>
        <v/>
      </c>
      <c r="Z1025">
        <f>IF(OR(Z$4="",$A1025&gt;TODAY()),0,IF(OR(INDEX($B1025:$D1025,Z$5)="F",AND(Z$6&gt;0,$A1025&lt;Z$6),AND(Z$7&gt;0,$A1025&gt;Z$7)),0,MAX(0,ROUND((INDEX($E1025:$G1025,Z$5)-SUMIFS(TF_Timer,TF_Tekniker,Z$4,TF_Dato,$A1025))*2,0)/2)))</f>
        <v/>
      </c>
      <c r="AA1025">
        <f>IF(OR(AA$4="",$A1025&gt;TODAY()),0,IF(OR(INDEX($B1025:$D1025,AA$5)="F",AND(AA$6&gt;0,$A1025&lt;AA$6),AND(AA$7&gt;0,$A1025&gt;AA$7)),0,MAX(0,ROUND((INDEX($E1025:$G1025,AA$5)-SUMIFS(TF_Timer,TF_Tekniker,AA$4,TF_Dato,$A1025))*2,0)/2)))</f>
        <v/>
      </c>
      <c r="AB1025">
        <f>IF(OR(AB$4="",$A1025&gt;TODAY()),0,IF(OR(INDEX($B1025:$D1025,AB$5)="F",AND(AB$6&gt;0,$A1025&lt;AB$6),AND(AB$7&gt;0,$A1025&gt;AB$7)),0,MAX(0,ROUND((INDEX($E1025:$G1025,AB$5)-SUMIFS(TF_Timer,TF_Tekniker,AB$4,TF_Dato,$A1025))*2,0)/2)))</f>
        <v/>
      </c>
      <c r="AC1025">
        <f>IF(OR(AC$4="",$A1025&gt;TODAY()),0,IF(OR(INDEX($B1025:$D1025,AC$5)="F",AND(AC$6&gt;0,$A1025&lt;AC$6),AND(AC$7&gt;0,$A1025&gt;AC$7)),0,MAX(0,ROUND((INDEX($E1025:$G1025,AC$5)-SUMIFS(TF_Timer,TF_Tekniker,AC$4,TF_Dato,$A1025))*2,0)/2)))</f>
        <v/>
      </c>
      <c r="AD1025">
        <f>IF(OR(AD$4="",$A1025&gt;TODAY()),0,IF(OR(INDEX($B1025:$D1025,AD$5)="F",AND(AD$6&gt;0,$A1025&lt;AD$6),AND(AD$7&gt;0,$A1025&gt;AD$7)),0,MAX(0,ROUND((INDEX($E1025:$G1025,AD$5)-SUMIFS(TF_Timer,TF_Tekniker,AD$4,TF_Dato,$A1025))*2,0)/2)))</f>
        <v/>
      </c>
      <c r="AE1025">
        <f>IF(OR(AE$4="",$A1025&gt;TODAY()),0,IF(OR(INDEX($B1025:$D1025,AE$5)="F",AND(AE$6&gt;0,$A1025&lt;AE$6),AND(AE$7&gt;0,$A1025&gt;AE$7)),0,MAX(0,ROUND((INDEX($E1025:$G1025,AE$5)-SUMIFS(TF_Timer,TF_Tekniker,AE$4,TF_Dato,$A1025))*2,0)/2)))</f>
        <v/>
      </c>
      <c r="AF1025">
        <f>IF(OR(AF$4="",$A1025&gt;TODAY()),0,IF(OR(INDEX($B1025:$D1025,AF$5)="F",AND(AF$6&gt;0,$A1025&lt;AF$6),AND(AF$7&gt;0,$A1025&gt;AF$7)),0,MAX(0,ROUND((INDEX($E1025:$G1025,AF$5)-SUMIFS(TF_Timer,TF_Tekniker,AF$4,TF_Dato,$A1025))*2,0)/2)))</f>
        <v/>
      </c>
      <c r="AG1025">
        <f>IF(OR(AG$4="",$A1025&gt;TODAY()),0,IF(OR(INDEX($B1025:$D1025,AG$5)="F",AND(AG$6&gt;0,$A1025&lt;AG$6),AND(AG$7&gt;0,$A1025&gt;AG$7)),0,MAX(0,ROUND((INDEX($E1025:$G1025,AG$5)-SUMIFS(TF_Timer,TF_Tekniker,AG$4,TF_Dato,$A1025))*2,0)/2)))</f>
        <v/>
      </c>
      <c r="AH1025">
        <f>IF(OR(AH$4="",$A1025&gt;TODAY()),0,IF(OR(INDEX($B1025:$D1025,AH$5)="F",AND(AH$6&gt;0,$A1025&lt;AH$6),AND(AH$7&gt;0,$A1025&gt;AH$7)),0,MAX(0,ROUND((INDEX($E1025:$G1025,AH$5)-SUMIFS(TF_Timer,TF_Tekniker,AH$4,TF_Dato,$A1025))*2,0)/2)))</f>
        <v/>
      </c>
      <c r="AI1025">
        <f>IF(OR(AI$4="",$A1025&gt;TODAY()),0,IF(OR(INDEX($B1025:$D1025,AI$5)="F",AND(AI$6&gt;0,$A1025&lt;AI$6),AND(AI$7&gt;0,$A1025&gt;AI$7)),0,MAX(0,ROUND((INDEX($E1025:$G1025,AI$5)-SUMIFS(TF_Timer,TF_Tekniker,AI$4,TF_Dato,$A1025))*2,0)/2)))</f>
        <v/>
      </c>
      <c r="AJ1025">
        <f>IF(OR(AJ$4="",$A1025&gt;TODAY()),0,IF(OR(INDEX($B1025:$D1025,AJ$5)="F",AND(AJ$6&gt;0,$A1025&lt;AJ$6),AND(AJ$7&gt;0,$A1025&gt;AJ$7)),0,MAX(0,ROUND((INDEX($E1025:$G1025,AJ$5)-SUMIFS(TF_Timer,TF_Tekniker,AJ$4,TF_Dato,$A1025))*2,0)/2)))</f>
        <v/>
      </c>
      <c r="AK1025">
        <f>IF(OR(AK$4="",$A1025&gt;TODAY()),0,IF(OR(INDEX($B1025:$D1025,AK$5)="F",AND(AK$6&gt;0,$A1025&lt;AK$6),AND(AK$7&gt;0,$A1025&gt;AK$7)),0,MAX(0,ROUND((INDEX($E1025:$G1025,AK$5)-SUMIFS(TF_Timer,TF_Tekniker,AK$4,TF_Dato,$A1025))*2,0)/2)))</f>
        <v/>
      </c>
      <c r="AL1025">
        <f>IF(OR(AL$4="",$A1025&gt;TODAY()),0,IF(OR(INDEX($B1025:$D1025,AL$5)="F",AND(AL$6&gt;0,$A1025&lt;AL$6),AND(AL$7&gt;0,$A1025&gt;AL$7)),0,MAX(0,ROUND((INDEX($E1025:$G1025,AL$5)-SUMIFS(TF_Timer,TF_Tekniker,AL$4,TF_Dato,$A1025))*2,0)/2)))</f>
        <v/>
      </c>
      <c r="AM1025">
        <f>IF(OR(AM$4="",$A1025&gt;TODAY()),0,IF(OR(INDEX($B1025:$D1025,AM$5)="F",AND(AM$6&gt;0,$A1025&lt;AM$6),AND(AM$7&gt;0,$A1025&gt;AM$7)),0,MAX(0,ROUND((INDEX($E1025:$G1025,AM$5)-SUMIFS(TF_Timer,TF_Tekniker,AM$4,TF_Dato,$A1025))*2,0)/2)))</f>
        <v/>
      </c>
      <c r="AN1025">
        <f>IF(OR(AN$4="",$A1025&gt;TODAY()),0,IF(OR(INDEX($B1025:$D1025,AN$5)="F",AND(AN$6&gt;0,$A1025&lt;AN$6),AND(AN$7&gt;0,$A1025&gt;AN$7)),0,MAX(0,ROUND((INDEX($E1025:$G1025,AN$5)-SUMIFS(TF_Timer,TF_Tekniker,AN$4,TF_Dato,$A1025))*2,0)/2)))</f>
        <v/>
      </c>
      <c r="AO1025">
        <f>IF(OR(AO$4="",$A1025&gt;TODAY()),0,IF(OR(INDEX($B1025:$D1025,AO$5)="F",AND(AO$6&gt;0,$A1025&lt;AO$6),AND(AO$7&gt;0,$A1025&gt;AO$7)),0,MAX(0,ROUND((INDEX($E1025:$G1025,AO$5)-SUMIFS(TF_Timer,TF_Tekniker,AO$4,TF_Dato,$A1025))*2,0)/2)))</f>
        <v/>
      </c>
      <c r="AP1025">
        <f>IF(OR(AP$4="",$A1025&gt;TODAY()),0,IF(OR(INDEX($B1025:$D1025,AP$5)="F",AND(AP$6&gt;0,$A1025&lt;AP$6),AND(AP$7&gt;0,$A1025&gt;AP$7)),0,MAX(0,ROUND((INDEX($E1025:$G1025,AP$5)-SUMIFS(TF_Timer,TF_Tekniker,AP$4,TF_Dato,$A1025))*2,0)/2)))</f>
        <v/>
      </c>
      <c r="AQ1025">
        <f>IF(OR(AQ$4="",$A1025&gt;TODAY()),0,IF(OR(INDEX($B1025:$D1025,AQ$5)="F",AND(AQ$6&gt;0,$A1025&lt;AQ$6),AND(AQ$7&gt;0,$A1025&gt;AQ$7)),0,MAX(0,ROUND((INDEX($E1025:$G1025,AQ$5)-SUMIFS(TF_Timer,TF_Tekniker,AQ$4,TF_Dato,$A1025))*2,0)/2)))</f>
        <v/>
      </c>
      <c r="AR1025">
        <f>IF(OR(AR$4="",$A1025&gt;TODAY()),0,IF(OR(INDEX($B1025:$D1025,AR$5)="F",AND(AR$6&gt;0,$A1025&lt;AR$6),AND(AR$7&gt;0,$A1025&gt;AR$7)),0,MAX(0,ROUND((INDEX($E1025:$G1025,AR$5)-SUMIFS(TF_Timer,TF_Tekniker,AR$4,TF_Dato,$A1025))*2,0)/2)))</f>
        <v/>
      </c>
      <c r="AS1025">
        <f>IF(OR(AS$4="",$A1025&gt;TODAY()),0,IF(OR(INDEX($B1025:$D1025,AS$5)="F",AND(AS$6&gt;0,$A1025&lt;AS$6),AND(AS$7&gt;0,$A1025&gt;AS$7)),0,MAX(0,ROUND((INDEX($E1025:$G1025,AS$5)-SUMIFS(TF_Timer,TF_Tekniker,AS$4,TF_Dato,$A1025))*2,0)/2)))</f>
        <v/>
      </c>
      <c r="AT1025">
        <f>IF(OR(AT$4="",$A1025&gt;TODAY()),0,IF(OR(INDEX($B1025:$D1025,AT$5)="F",AND(AT$6&gt;0,$A1025&lt;AT$6),AND(AT$7&gt;0,$A1025&gt;AT$7)),0,MAX(0,ROUND((INDEX($E1025:$G1025,AT$5)-SUMIFS(TF_Timer,TF_Tekniker,AT$4,TF_Dato,$A1025))*2,0)/2)))</f>
        <v/>
      </c>
      <c r="AU1025">
        <f>IF(OR(AU$4="",$A1025&gt;TODAY()),0,IF(OR(INDEX($B1025:$D1025,AU$5)="F",AND(AU$6&gt;0,$A1025&lt;AU$6),AND(AU$7&gt;0,$A1025&gt;AU$7)),0,MAX(0,ROUND((INDEX($E1025:$G1025,AU$5)-SUMIFS(TF_Timer,TF_Tekniker,AU$4,TF_Dato,$A1025))*2,0)/2)))</f>
        <v/>
      </c>
      <c r="AV1025">
        <f>IF(OR(AV$4="",$A1025&gt;TODAY()),0,IF(OR(INDEX($B1025:$D1025,AV$5)="F",AND(AV$6&gt;0,$A1025&lt;AV$6),AND(AV$7&gt;0,$A1025&gt;AV$7)),0,MAX(0,ROUND((INDEX($E1025:$G1025,AV$5)-SUMIFS(TF_Timer,TF_Tekniker,AV$4,TF_Dato,$A1025))*2,0)/2)))</f>
        <v/>
      </c>
      <c r="AW1025">
        <f>IF(OR(AW$4="",$A1025&gt;TODAY()),0,IF(OR(INDEX($B1025:$D1025,AW$5)="F",AND(AW$6&gt;0,$A1025&lt;AW$6),AND(AW$7&gt;0,$A1025&gt;AW$7)),0,MAX(0,ROUND((INDEX($E1025:$G1025,AW$5)-SUMIFS(TF_Timer,TF_Tekniker,AW$4,TF_Dato,$A1025))*2,0)/2)))</f>
        <v/>
      </c>
      <c r="AX1025">
        <f>IF(OR(AX$4="",$A1025&gt;TODAY()),0,IF(OR(INDEX($B1025:$D1025,AX$5)="F",AND(AX$6&gt;0,$A1025&lt;AX$6),AND(AX$7&gt;0,$A1025&gt;AX$7)),0,MAX(0,ROUND((INDEX($E1025:$G1025,AX$5)-SUMIFS(TF_Timer,TF_Tekniker,AX$4,TF_Dato,$A1025))*2,0)/2)))</f>
        <v/>
      </c>
      <c r="AY1025">
        <f>IF(OR(AY$4="",$A1025&gt;TODAY()),0,IF(OR(INDEX($B1025:$D1025,AY$5)="F",AND(AY$6&gt;0,$A1025&lt;AY$6),AND(AY$7&gt;0,$A1025&gt;AY$7)),0,MAX(0,ROUND((INDEX($E1025:$G1025,AY$5)-SUMIFS(TF_Timer,TF_Tekniker,AY$4,TF_Dato,$A1025))*2,0)/2)))</f>
        <v/>
      </c>
      <c r="AZ1025">
        <f>IF(OR(AZ$4="",$A1025&gt;TODAY()),0,IF(OR(INDEX($B1025:$D1025,AZ$5)="F",AND(AZ$6&gt;0,$A1025&lt;AZ$6),AND(AZ$7&gt;0,$A1025&gt;AZ$7)),0,MAX(0,ROUND((INDEX($E1025:$G1025,AZ$5)-SUMIFS(TF_Timer,TF_Tekniker,AZ$4,TF_Dato,$A1025))*2,0)/2)))</f>
        <v/>
      </c>
      <c r="BA1025">
        <f>IF(OR(BA$4="",$A1025&gt;TODAY()),0,IF(OR(INDEX($B1025:$D1025,BA$5)="F",AND(BA$6&gt;0,$A1025&lt;BA$6),AND(BA$7&gt;0,$A1025&gt;BA$7)),0,MAX(0,ROUND((INDEX($E1025:$G1025,BA$5)-SUMIFS(TF_Timer,TF_Tekniker,BA$4,TF_Dato,$A1025))*2,0)/2)))</f>
        <v/>
      </c>
      <c r="BB1025">
        <f>IF(OR(BB$4="",$A1025&gt;TODAY()),0,IF(OR(INDEX($B1025:$D1025,BB$5)="F",AND(BB$6&gt;0,$A1025&lt;BB$6),AND(BB$7&gt;0,$A1025&gt;BB$7)),0,MAX(0,ROUND((INDEX($E1025:$G1025,BB$5)-SUMIFS(TF_Timer,TF_Tekniker,BB$4,TF_Dato,$A1025))*2,0)/2)))</f>
        <v/>
      </c>
      <c r="BC1025">
        <f>IF(OR(BC$4="",$A1025&gt;TODAY()),0,IF(OR(INDEX($B1025:$D1025,BC$5)="F",AND(BC$6&gt;0,$A1025&lt;BC$6),AND(BC$7&gt;0,$A1025&gt;BC$7)),0,MAX(0,ROUND((INDEX($E1025:$G1025,BC$5)-SUMIFS(TF_Timer,TF_Tekniker,BC$4,TF_Dato,$A1025))*2,0)/2)))</f>
        <v/>
      </c>
      <c r="BD1025">
        <f>IF(OR(BD$4="",$A1025&gt;TODAY()),0,IF(OR(INDEX($B1025:$D1025,BD$5)="F",AND(BD$6&gt;0,$A1025&lt;BD$6),AND(BD$7&gt;0,$A1025&gt;BD$7)),0,MAX(0,ROUND((INDEX($E1025:$G1025,BD$5)-SUMIFS(TF_Timer,TF_Tekniker,BD$4,TF_Dato,$A1025))*2,0)/2)))</f>
        <v/>
      </c>
      <c r="BE1025">
        <f>IF(OR(BE$4="",$A1025&gt;TODAY()),0,IF(OR(INDEX($B1025:$D1025,BE$5)="F",AND(BE$6&gt;0,$A1025&lt;BE$6),AND(BE$7&gt;0,$A1025&gt;BE$7)),0,MAX(0,ROUND((INDEX($E1025:$G1025,BE$5)-SUMIFS(TF_Timer,TF_Tekniker,BE$4,TF_Dato,$A1025))*2,0)/2)))</f>
        <v/>
      </c>
      <c r="BF1025">
        <f>IF(OR(BF$4="",$A1025&gt;TODAY()),0,IF(OR(INDEX($B1025:$D1025,BF$5)="F",AND(BF$6&gt;0,$A1025&lt;BF$6),AND(BF$7&gt;0,$A1025&gt;BF$7)),0,MAX(0,ROUND((INDEX($E1025:$G1025,BF$5)-SUMIFS(TF_Timer,TF_Tekniker,BF$4,TF_Dato,$A1025))*2,0)/2)))</f>
        <v/>
      </c>
      <c r="BG1025">
        <f>IF(OR(BG$4="",$A1025&gt;TODAY()),0,IF(OR(INDEX($B1025:$D1025,BG$5)="F",AND(BG$6&gt;0,$A1025&lt;BG$6),AND(BG$7&gt;0,$A1025&gt;BG$7)),0,MAX(0,ROUND((INDEX($E1025:$G1025,BG$5)-SUMIFS(TF_Timer,TF_Tekniker,BG$4,TF_Dato,$A1025))*2,0)/2)))</f>
        <v/>
      </c>
      <c r="BH1025">
        <f>IF(OR(BH$4="",$A1025&gt;TODAY()),0,IF(OR(INDEX($B1025:$D1025,BH$5)="F",AND(BH$6&gt;0,$A1025&lt;BH$6),AND(BH$7&gt;0,$A1025&gt;BH$7)),0,MAX(0,ROUND((INDEX($E1025:$G1025,BH$5)-SUMIFS(TF_Timer,TF_Tekniker,BH$4,TF_Dato,$A1025))*2,0)/2)))</f>
        <v/>
      </c>
      <c r="BI1025">
        <f>IF(OR(BI$4="",$A1025&gt;TODAY()),0,IF(OR(INDEX($B1025:$D1025,BI$5)="F",AND(BI$6&gt;0,$A1025&lt;BI$6),AND(BI$7&gt;0,$A1025&gt;BI$7)),0,MAX(0,ROUND((INDEX($E1025:$G1025,BI$5)-SUMIFS(TF_Timer,TF_Tekniker,BI$4,TF_Dato,$A1025))*2,0)/2)))</f>
        <v/>
      </c>
    </row>
    <row r="1026">
      <c r="A1026" s="64">
        <f>A1025+1</f>
        <v/>
      </c>
      <c r="B1026">
        <f>IF(MOD($A1026-INDEX(SkiftStart,1),Syklus)&lt;DagK,"K",IF(MOD($A1026-INDEX(SkiftStart,1),Syklus)&lt;DagK+DagH,"H",IF(MOD($A1026-INDEX(SkiftStart,1),Syklus)&lt;DagK+DagH+DagD,"D","F")))</f>
        <v/>
      </c>
      <c r="C1026">
        <f>IF(MOD($A1026-INDEX(SkiftStart,2),Syklus)&lt;DagK,"K",IF(MOD($A1026-INDEX(SkiftStart,2),Syklus)&lt;DagK+DagH,"H",IF(MOD($A1026-INDEX(SkiftStart,2),Syklus)&lt;DagK+DagH+DagD,"D","F")))</f>
        <v/>
      </c>
      <c r="D1026">
        <f>IF(MOD($A1026-INDEX(SkiftStart,3),Syklus)&lt;DagK,"K",IF(MOD($A1026-INDEX(SkiftStart,3),Syklus)&lt;DagK+DagH,"H",IF(MOD($A1026-INDEX(SkiftStart,3),Syklus)&lt;DagK+DagH+DagD,"D","F")))</f>
        <v/>
      </c>
      <c r="E1026">
        <f>IF(B1026="F",0,IF(WEEKDAY($A1026,2)=5,INDEX(TimerFr,MATCH(B1026,FaseKode,0)),INDEX(TimerMT,MATCH(B1026,FaseKode,0))))</f>
        <v/>
      </c>
      <c r="F1026">
        <f>IF(C1026="F",0,IF(WEEKDAY($A1026,2)=5,INDEX(TimerFr,MATCH(C1026,FaseKode,0)),INDEX(TimerMT,MATCH(C1026,FaseKode,0))))</f>
        <v/>
      </c>
      <c r="G1026">
        <f>IF(D1026="F",0,IF(WEEKDAY($A1026,2)=5,INDEX(TimerFr,MATCH(D1026,FaseKode,0)),INDEX(TimerMT,MATCH(D1026,FaseKode,0))))</f>
        <v/>
      </c>
      <c r="H1026">
        <f>IF(OR(H$4="",$A1026&gt;TODAY()),0,IF(OR(INDEX($B1026:$D1026,H$5)="F",AND(H$6&gt;0,$A1026&lt;H$6),AND(H$7&gt;0,$A1026&gt;H$7)),0,MAX(0,ROUND((INDEX($E1026:$G1026,H$5)-SUMIFS(TF_Timer,TF_Tekniker,H$4,TF_Dato,$A1026))*2,0)/2)))</f>
        <v/>
      </c>
      <c r="I1026">
        <f>IF(OR(I$4="",$A1026&gt;TODAY()),0,IF(OR(INDEX($B1026:$D1026,I$5)="F",AND(I$6&gt;0,$A1026&lt;I$6),AND(I$7&gt;0,$A1026&gt;I$7)),0,MAX(0,ROUND((INDEX($E1026:$G1026,I$5)-SUMIFS(TF_Timer,TF_Tekniker,I$4,TF_Dato,$A1026))*2,0)/2)))</f>
        <v/>
      </c>
      <c r="J1026">
        <f>IF(OR(J$4="",$A1026&gt;TODAY()),0,IF(OR(INDEX($B1026:$D1026,J$5)="F",AND(J$6&gt;0,$A1026&lt;J$6),AND(J$7&gt;0,$A1026&gt;J$7)),0,MAX(0,ROUND((INDEX($E1026:$G1026,J$5)-SUMIFS(TF_Timer,TF_Tekniker,J$4,TF_Dato,$A1026))*2,0)/2)))</f>
        <v/>
      </c>
      <c r="K1026">
        <f>IF(OR(K$4="",$A1026&gt;TODAY()),0,IF(OR(INDEX($B1026:$D1026,K$5)="F",AND(K$6&gt;0,$A1026&lt;K$6),AND(K$7&gt;0,$A1026&gt;K$7)),0,MAX(0,ROUND((INDEX($E1026:$G1026,K$5)-SUMIFS(TF_Timer,TF_Tekniker,K$4,TF_Dato,$A1026))*2,0)/2)))</f>
        <v/>
      </c>
      <c r="L1026">
        <f>IF(OR(L$4="",$A1026&gt;TODAY()),0,IF(OR(INDEX($B1026:$D1026,L$5)="F",AND(L$6&gt;0,$A1026&lt;L$6),AND(L$7&gt;0,$A1026&gt;L$7)),0,MAX(0,ROUND((INDEX($E1026:$G1026,L$5)-SUMIFS(TF_Timer,TF_Tekniker,L$4,TF_Dato,$A1026))*2,0)/2)))</f>
        <v/>
      </c>
      <c r="M1026">
        <f>IF(OR(M$4="",$A1026&gt;TODAY()),0,IF(OR(INDEX($B1026:$D1026,M$5)="F",AND(M$6&gt;0,$A1026&lt;M$6),AND(M$7&gt;0,$A1026&gt;M$7)),0,MAX(0,ROUND((INDEX($E1026:$G1026,M$5)-SUMIFS(TF_Timer,TF_Tekniker,M$4,TF_Dato,$A1026))*2,0)/2)))</f>
        <v/>
      </c>
      <c r="N1026">
        <f>IF(OR(N$4="",$A1026&gt;TODAY()),0,IF(OR(INDEX($B1026:$D1026,N$5)="F",AND(N$6&gt;0,$A1026&lt;N$6),AND(N$7&gt;0,$A1026&gt;N$7)),0,MAX(0,ROUND((INDEX($E1026:$G1026,N$5)-SUMIFS(TF_Timer,TF_Tekniker,N$4,TF_Dato,$A1026))*2,0)/2)))</f>
        <v/>
      </c>
      <c r="O1026">
        <f>IF(OR(O$4="",$A1026&gt;TODAY()),0,IF(OR(INDEX($B1026:$D1026,O$5)="F",AND(O$6&gt;0,$A1026&lt;O$6),AND(O$7&gt;0,$A1026&gt;O$7)),0,MAX(0,ROUND((INDEX($E1026:$G1026,O$5)-SUMIFS(TF_Timer,TF_Tekniker,O$4,TF_Dato,$A1026))*2,0)/2)))</f>
        <v/>
      </c>
      <c r="P1026">
        <f>IF(OR(P$4="",$A1026&gt;TODAY()),0,IF(OR(INDEX($B1026:$D1026,P$5)="F",AND(P$6&gt;0,$A1026&lt;P$6),AND(P$7&gt;0,$A1026&gt;P$7)),0,MAX(0,ROUND((INDEX($E1026:$G1026,P$5)-SUMIFS(TF_Timer,TF_Tekniker,P$4,TF_Dato,$A1026))*2,0)/2)))</f>
        <v/>
      </c>
      <c r="Q1026">
        <f>IF(OR(Q$4="",$A1026&gt;TODAY()),0,IF(OR(INDEX($B1026:$D1026,Q$5)="F",AND(Q$6&gt;0,$A1026&lt;Q$6),AND(Q$7&gt;0,$A1026&gt;Q$7)),0,MAX(0,ROUND((INDEX($E1026:$G1026,Q$5)-SUMIFS(TF_Timer,TF_Tekniker,Q$4,TF_Dato,$A1026))*2,0)/2)))</f>
        <v/>
      </c>
      <c r="R1026">
        <f>IF(OR(R$4="",$A1026&gt;TODAY()),0,IF(OR(INDEX($B1026:$D1026,R$5)="F",AND(R$6&gt;0,$A1026&lt;R$6),AND(R$7&gt;0,$A1026&gt;R$7)),0,MAX(0,ROUND((INDEX($E1026:$G1026,R$5)-SUMIFS(TF_Timer,TF_Tekniker,R$4,TF_Dato,$A1026))*2,0)/2)))</f>
        <v/>
      </c>
      <c r="S1026">
        <f>IF(OR(S$4="",$A1026&gt;TODAY()),0,IF(OR(INDEX($B1026:$D1026,S$5)="F",AND(S$6&gt;0,$A1026&lt;S$6),AND(S$7&gt;0,$A1026&gt;S$7)),0,MAX(0,ROUND((INDEX($E1026:$G1026,S$5)-SUMIFS(TF_Timer,TF_Tekniker,S$4,TF_Dato,$A1026))*2,0)/2)))</f>
        <v/>
      </c>
      <c r="T1026">
        <f>IF(OR(T$4="",$A1026&gt;TODAY()),0,IF(OR(INDEX($B1026:$D1026,T$5)="F",AND(T$6&gt;0,$A1026&lt;T$6),AND(T$7&gt;0,$A1026&gt;T$7)),0,MAX(0,ROUND((INDEX($E1026:$G1026,T$5)-SUMIFS(TF_Timer,TF_Tekniker,T$4,TF_Dato,$A1026))*2,0)/2)))</f>
        <v/>
      </c>
      <c r="U1026">
        <f>IF(OR(U$4="",$A1026&gt;TODAY()),0,IF(OR(INDEX($B1026:$D1026,U$5)="F",AND(U$6&gt;0,$A1026&lt;U$6),AND(U$7&gt;0,$A1026&gt;U$7)),0,MAX(0,ROUND((INDEX($E1026:$G1026,U$5)-SUMIFS(TF_Timer,TF_Tekniker,U$4,TF_Dato,$A1026))*2,0)/2)))</f>
        <v/>
      </c>
      <c r="V1026">
        <f>IF(OR(V$4="",$A1026&gt;TODAY()),0,IF(OR(INDEX($B1026:$D1026,V$5)="F",AND(V$6&gt;0,$A1026&lt;V$6),AND(V$7&gt;0,$A1026&gt;V$7)),0,MAX(0,ROUND((INDEX($E1026:$G1026,V$5)-SUMIFS(TF_Timer,TF_Tekniker,V$4,TF_Dato,$A1026))*2,0)/2)))</f>
        <v/>
      </c>
      <c r="W1026">
        <f>IF(OR(W$4="",$A1026&gt;TODAY()),0,IF(OR(INDEX($B1026:$D1026,W$5)="F",AND(W$6&gt;0,$A1026&lt;W$6),AND(W$7&gt;0,$A1026&gt;W$7)),0,MAX(0,ROUND((INDEX($E1026:$G1026,W$5)-SUMIFS(TF_Timer,TF_Tekniker,W$4,TF_Dato,$A1026))*2,0)/2)))</f>
        <v/>
      </c>
      <c r="X1026">
        <f>IF(OR(X$4="",$A1026&gt;TODAY()),0,IF(OR(INDEX($B1026:$D1026,X$5)="F",AND(X$6&gt;0,$A1026&lt;X$6),AND(X$7&gt;0,$A1026&gt;X$7)),0,MAX(0,ROUND((INDEX($E1026:$G1026,X$5)-SUMIFS(TF_Timer,TF_Tekniker,X$4,TF_Dato,$A1026))*2,0)/2)))</f>
        <v/>
      </c>
      <c r="Y1026">
        <f>IF(OR(Y$4="",$A1026&gt;TODAY()),0,IF(OR(INDEX($B1026:$D1026,Y$5)="F",AND(Y$6&gt;0,$A1026&lt;Y$6),AND(Y$7&gt;0,$A1026&gt;Y$7)),0,MAX(0,ROUND((INDEX($E1026:$G1026,Y$5)-SUMIFS(TF_Timer,TF_Tekniker,Y$4,TF_Dato,$A1026))*2,0)/2)))</f>
        <v/>
      </c>
      <c r="Z1026">
        <f>IF(OR(Z$4="",$A1026&gt;TODAY()),0,IF(OR(INDEX($B1026:$D1026,Z$5)="F",AND(Z$6&gt;0,$A1026&lt;Z$6),AND(Z$7&gt;0,$A1026&gt;Z$7)),0,MAX(0,ROUND((INDEX($E1026:$G1026,Z$5)-SUMIFS(TF_Timer,TF_Tekniker,Z$4,TF_Dato,$A1026))*2,0)/2)))</f>
        <v/>
      </c>
      <c r="AA1026">
        <f>IF(OR(AA$4="",$A1026&gt;TODAY()),0,IF(OR(INDEX($B1026:$D1026,AA$5)="F",AND(AA$6&gt;0,$A1026&lt;AA$6),AND(AA$7&gt;0,$A1026&gt;AA$7)),0,MAX(0,ROUND((INDEX($E1026:$G1026,AA$5)-SUMIFS(TF_Timer,TF_Tekniker,AA$4,TF_Dato,$A1026))*2,0)/2)))</f>
        <v/>
      </c>
      <c r="AB1026">
        <f>IF(OR(AB$4="",$A1026&gt;TODAY()),0,IF(OR(INDEX($B1026:$D1026,AB$5)="F",AND(AB$6&gt;0,$A1026&lt;AB$6),AND(AB$7&gt;0,$A1026&gt;AB$7)),0,MAX(0,ROUND((INDEX($E1026:$G1026,AB$5)-SUMIFS(TF_Timer,TF_Tekniker,AB$4,TF_Dato,$A1026))*2,0)/2)))</f>
        <v/>
      </c>
      <c r="AC1026">
        <f>IF(OR(AC$4="",$A1026&gt;TODAY()),0,IF(OR(INDEX($B1026:$D1026,AC$5)="F",AND(AC$6&gt;0,$A1026&lt;AC$6),AND(AC$7&gt;0,$A1026&gt;AC$7)),0,MAX(0,ROUND((INDEX($E1026:$G1026,AC$5)-SUMIFS(TF_Timer,TF_Tekniker,AC$4,TF_Dato,$A1026))*2,0)/2)))</f>
        <v/>
      </c>
      <c r="AD1026">
        <f>IF(OR(AD$4="",$A1026&gt;TODAY()),0,IF(OR(INDEX($B1026:$D1026,AD$5)="F",AND(AD$6&gt;0,$A1026&lt;AD$6),AND(AD$7&gt;0,$A1026&gt;AD$7)),0,MAX(0,ROUND((INDEX($E1026:$G1026,AD$5)-SUMIFS(TF_Timer,TF_Tekniker,AD$4,TF_Dato,$A1026))*2,0)/2)))</f>
        <v/>
      </c>
      <c r="AE1026">
        <f>IF(OR(AE$4="",$A1026&gt;TODAY()),0,IF(OR(INDEX($B1026:$D1026,AE$5)="F",AND(AE$6&gt;0,$A1026&lt;AE$6),AND(AE$7&gt;0,$A1026&gt;AE$7)),0,MAX(0,ROUND((INDEX($E1026:$G1026,AE$5)-SUMIFS(TF_Timer,TF_Tekniker,AE$4,TF_Dato,$A1026))*2,0)/2)))</f>
        <v/>
      </c>
      <c r="AF1026">
        <f>IF(OR(AF$4="",$A1026&gt;TODAY()),0,IF(OR(INDEX($B1026:$D1026,AF$5)="F",AND(AF$6&gt;0,$A1026&lt;AF$6),AND(AF$7&gt;0,$A1026&gt;AF$7)),0,MAX(0,ROUND((INDEX($E1026:$G1026,AF$5)-SUMIFS(TF_Timer,TF_Tekniker,AF$4,TF_Dato,$A1026))*2,0)/2)))</f>
        <v/>
      </c>
      <c r="AG1026">
        <f>IF(OR(AG$4="",$A1026&gt;TODAY()),0,IF(OR(INDEX($B1026:$D1026,AG$5)="F",AND(AG$6&gt;0,$A1026&lt;AG$6),AND(AG$7&gt;0,$A1026&gt;AG$7)),0,MAX(0,ROUND((INDEX($E1026:$G1026,AG$5)-SUMIFS(TF_Timer,TF_Tekniker,AG$4,TF_Dato,$A1026))*2,0)/2)))</f>
        <v/>
      </c>
      <c r="AH1026">
        <f>IF(OR(AH$4="",$A1026&gt;TODAY()),0,IF(OR(INDEX($B1026:$D1026,AH$5)="F",AND(AH$6&gt;0,$A1026&lt;AH$6),AND(AH$7&gt;0,$A1026&gt;AH$7)),0,MAX(0,ROUND((INDEX($E1026:$G1026,AH$5)-SUMIFS(TF_Timer,TF_Tekniker,AH$4,TF_Dato,$A1026))*2,0)/2)))</f>
        <v/>
      </c>
      <c r="AI1026">
        <f>IF(OR(AI$4="",$A1026&gt;TODAY()),0,IF(OR(INDEX($B1026:$D1026,AI$5)="F",AND(AI$6&gt;0,$A1026&lt;AI$6),AND(AI$7&gt;0,$A1026&gt;AI$7)),0,MAX(0,ROUND((INDEX($E1026:$G1026,AI$5)-SUMIFS(TF_Timer,TF_Tekniker,AI$4,TF_Dato,$A1026))*2,0)/2)))</f>
        <v/>
      </c>
      <c r="AJ1026">
        <f>IF(OR(AJ$4="",$A1026&gt;TODAY()),0,IF(OR(INDEX($B1026:$D1026,AJ$5)="F",AND(AJ$6&gt;0,$A1026&lt;AJ$6),AND(AJ$7&gt;0,$A1026&gt;AJ$7)),0,MAX(0,ROUND((INDEX($E1026:$G1026,AJ$5)-SUMIFS(TF_Timer,TF_Tekniker,AJ$4,TF_Dato,$A1026))*2,0)/2)))</f>
        <v/>
      </c>
      <c r="AK1026">
        <f>IF(OR(AK$4="",$A1026&gt;TODAY()),0,IF(OR(INDEX($B1026:$D1026,AK$5)="F",AND(AK$6&gt;0,$A1026&lt;AK$6),AND(AK$7&gt;0,$A1026&gt;AK$7)),0,MAX(0,ROUND((INDEX($E1026:$G1026,AK$5)-SUMIFS(TF_Timer,TF_Tekniker,AK$4,TF_Dato,$A1026))*2,0)/2)))</f>
        <v/>
      </c>
      <c r="AL1026">
        <f>IF(OR(AL$4="",$A1026&gt;TODAY()),0,IF(OR(INDEX($B1026:$D1026,AL$5)="F",AND(AL$6&gt;0,$A1026&lt;AL$6),AND(AL$7&gt;0,$A1026&gt;AL$7)),0,MAX(0,ROUND((INDEX($E1026:$G1026,AL$5)-SUMIFS(TF_Timer,TF_Tekniker,AL$4,TF_Dato,$A1026))*2,0)/2)))</f>
        <v/>
      </c>
      <c r="AM1026">
        <f>IF(OR(AM$4="",$A1026&gt;TODAY()),0,IF(OR(INDEX($B1026:$D1026,AM$5)="F",AND(AM$6&gt;0,$A1026&lt;AM$6),AND(AM$7&gt;0,$A1026&gt;AM$7)),0,MAX(0,ROUND((INDEX($E1026:$G1026,AM$5)-SUMIFS(TF_Timer,TF_Tekniker,AM$4,TF_Dato,$A1026))*2,0)/2)))</f>
        <v/>
      </c>
      <c r="AN1026">
        <f>IF(OR(AN$4="",$A1026&gt;TODAY()),0,IF(OR(INDEX($B1026:$D1026,AN$5)="F",AND(AN$6&gt;0,$A1026&lt;AN$6),AND(AN$7&gt;0,$A1026&gt;AN$7)),0,MAX(0,ROUND((INDEX($E1026:$G1026,AN$5)-SUMIFS(TF_Timer,TF_Tekniker,AN$4,TF_Dato,$A1026))*2,0)/2)))</f>
        <v/>
      </c>
      <c r="AO1026">
        <f>IF(OR(AO$4="",$A1026&gt;TODAY()),0,IF(OR(INDEX($B1026:$D1026,AO$5)="F",AND(AO$6&gt;0,$A1026&lt;AO$6),AND(AO$7&gt;0,$A1026&gt;AO$7)),0,MAX(0,ROUND((INDEX($E1026:$G1026,AO$5)-SUMIFS(TF_Timer,TF_Tekniker,AO$4,TF_Dato,$A1026))*2,0)/2)))</f>
        <v/>
      </c>
      <c r="AP1026">
        <f>IF(OR(AP$4="",$A1026&gt;TODAY()),0,IF(OR(INDEX($B1026:$D1026,AP$5)="F",AND(AP$6&gt;0,$A1026&lt;AP$6),AND(AP$7&gt;0,$A1026&gt;AP$7)),0,MAX(0,ROUND((INDEX($E1026:$G1026,AP$5)-SUMIFS(TF_Timer,TF_Tekniker,AP$4,TF_Dato,$A1026))*2,0)/2)))</f>
        <v/>
      </c>
      <c r="AQ1026">
        <f>IF(OR(AQ$4="",$A1026&gt;TODAY()),0,IF(OR(INDEX($B1026:$D1026,AQ$5)="F",AND(AQ$6&gt;0,$A1026&lt;AQ$6),AND(AQ$7&gt;0,$A1026&gt;AQ$7)),0,MAX(0,ROUND((INDEX($E1026:$G1026,AQ$5)-SUMIFS(TF_Timer,TF_Tekniker,AQ$4,TF_Dato,$A1026))*2,0)/2)))</f>
        <v/>
      </c>
      <c r="AR1026">
        <f>IF(OR(AR$4="",$A1026&gt;TODAY()),0,IF(OR(INDEX($B1026:$D1026,AR$5)="F",AND(AR$6&gt;0,$A1026&lt;AR$6),AND(AR$7&gt;0,$A1026&gt;AR$7)),0,MAX(0,ROUND((INDEX($E1026:$G1026,AR$5)-SUMIFS(TF_Timer,TF_Tekniker,AR$4,TF_Dato,$A1026))*2,0)/2)))</f>
        <v/>
      </c>
      <c r="AS1026">
        <f>IF(OR(AS$4="",$A1026&gt;TODAY()),0,IF(OR(INDEX($B1026:$D1026,AS$5)="F",AND(AS$6&gt;0,$A1026&lt;AS$6),AND(AS$7&gt;0,$A1026&gt;AS$7)),0,MAX(0,ROUND((INDEX($E1026:$G1026,AS$5)-SUMIFS(TF_Timer,TF_Tekniker,AS$4,TF_Dato,$A1026))*2,0)/2)))</f>
        <v/>
      </c>
      <c r="AT1026">
        <f>IF(OR(AT$4="",$A1026&gt;TODAY()),0,IF(OR(INDEX($B1026:$D1026,AT$5)="F",AND(AT$6&gt;0,$A1026&lt;AT$6),AND(AT$7&gt;0,$A1026&gt;AT$7)),0,MAX(0,ROUND((INDEX($E1026:$G1026,AT$5)-SUMIFS(TF_Timer,TF_Tekniker,AT$4,TF_Dato,$A1026))*2,0)/2)))</f>
        <v/>
      </c>
      <c r="AU1026">
        <f>IF(OR(AU$4="",$A1026&gt;TODAY()),0,IF(OR(INDEX($B1026:$D1026,AU$5)="F",AND(AU$6&gt;0,$A1026&lt;AU$6),AND(AU$7&gt;0,$A1026&gt;AU$7)),0,MAX(0,ROUND((INDEX($E1026:$G1026,AU$5)-SUMIFS(TF_Timer,TF_Tekniker,AU$4,TF_Dato,$A1026))*2,0)/2)))</f>
        <v/>
      </c>
      <c r="AV1026">
        <f>IF(OR(AV$4="",$A1026&gt;TODAY()),0,IF(OR(INDEX($B1026:$D1026,AV$5)="F",AND(AV$6&gt;0,$A1026&lt;AV$6),AND(AV$7&gt;0,$A1026&gt;AV$7)),0,MAX(0,ROUND((INDEX($E1026:$G1026,AV$5)-SUMIFS(TF_Timer,TF_Tekniker,AV$4,TF_Dato,$A1026))*2,0)/2)))</f>
        <v/>
      </c>
      <c r="AW1026">
        <f>IF(OR(AW$4="",$A1026&gt;TODAY()),0,IF(OR(INDEX($B1026:$D1026,AW$5)="F",AND(AW$6&gt;0,$A1026&lt;AW$6),AND(AW$7&gt;0,$A1026&gt;AW$7)),0,MAX(0,ROUND((INDEX($E1026:$G1026,AW$5)-SUMIFS(TF_Timer,TF_Tekniker,AW$4,TF_Dato,$A1026))*2,0)/2)))</f>
        <v/>
      </c>
      <c r="AX1026">
        <f>IF(OR(AX$4="",$A1026&gt;TODAY()),0,IF(OR(INDEX($B1026:$D1026,AX$5)="F",AND(AX$6&gt;0,$A1026&lt;AX$6),AND(AX$7&gt;0,$A1026&gt;AX$7)),0,MAX(0,ROUND((INDEX($E1026:$G1026,AX$5)-SUMIFS(TF_Timer,TF_Tekniker,AX$4,TF_Dato,$A1026))*2,0)/2)))</f>
        <v/>
      </c>
      <c r="AY1026">
        <f>IF(OR(AY$4="",$A1026&gt;TODAY()),0,IF(OR(INDEX($B1026:$D1026,AY$5)="F",AND(AY$6&gt;0,$A1026&lt;AY$6),AND(AY$7&gt;0,$A1026&gt;AY$7)),0,MAX(0,ROUND((INDEX($E1026:$G1026,AY$5)-SUMIFS(TF_Timer,TF_Tekniker,AY$4,TF_Dato,$A1026))*2,0)/2)))</f>
        <v/>
      </c>
      <c r="AZ1026">
        <f>IF(OR(AZ$4="",$A1026&gt;TODAY()),0,IF(OR(INDEX($B1026:$D1026,AZ$5)="F",AND(AZ$6&gt;0,$A1026&lt;AZ$6),AND(AZ$7&gt;0,$A1026&gt;AZ$7)),0,MAX(0,ROUND((INDEX($E1026:$G1026,AZ$5)-SUMIFS(TF_Timer,TF_Tekniker,AZ$4,TF_Dato,$A1026))*2,0)/2)))</f>
        <v/>
      </c>
      <c r="BA1026">
        <f>IF(OR(BA$4="",$A1026&gt;TODAY()),0,IF(OR(INDEX($B1026:$D1026,BA$5)="F",AND(BA$6&gt;0,$A1026&lt;BA$6),AND(BA$7&gt;0,$A1026&gt;BA$7)),0,MAX(0,ROUND((INDEX($E1026:$G1026,BA$5)-SUMIFS(TF_Timer,TF_Tekniker,BA$4,TF_Dato,$A1026))*2,0)/2)))</f>
        <v/>
      </c>
      <c r="BB1026">
        <f>IF(OR(BB$4="",$A1026&gt;TODAY()),0,IF(OR(INDEX($B1026:$D1026,BB$5)="F",AND(BB$6&gt;0,$A1026&lt;BB$6),AND(BB$7&gt;0,$A1026&gt;BB$7)),0,MAX(0,ROUND((INDEX($E1026:$G1026,BB$5)-SUMIFS(TF_Timer,TF_Tekniker,BB$4,TF_Dato,$A1026))*2,0)/2)))</f>
        <v/>
      </c>
      <c r="BC1026">
        <f>IF(OR(BC$4="",$A1026&gt;TODAY()),0,IF(OR(INDEX($B1026:$D1026,BC$5)="F",AND(BC$6&gt;0,$A1026&lt;BC$6),AND(BC$7&gt;0,$A1026&gt;BC$7)),0,MAX(0,ROUND((INDEX($E1026:$G1026,BC$5)-SUMIFS(TF_Timer,TF_Tekniker,BC$4,TF_Dato,$A1026))*2,0)/2)))</f>
        <v/>
      </c>
      <c r="BD1026">
        <f>IF(OR(BD$4="",$A1026&gt;TODAY()),0,IF(OR(INDEX($B1026:$D1026,BD$5)="F",AND(BD$6&gt;0,$A1026&lt;BD$6),AND(BD$7&gt;0,$A1026&gt;BD$7)),0,MAX(0,ROUND((INDEX($E1026:$G1026,BD$5)-SUMIFS(TF_Timer,TF_Tekniker,BD$4,TF_Dato,$A1026))*2,0)/2)))</f>
        <v/>
      </c>
      <c r="BE1026">
        <f>IF(OR(BE$4="",$A1026&gt;TODAY()),0,IF(OR(INDEX($B1026:$D1026,BE$5)="F",AND(BE$6&gt;0,$A1026&lt;BE$6),AND(BE$7&gt;0,$A1026&gt;BE$7)),0,MAX(0,ROUND((INDEX($E1026:$G1026,BE$5)-SUMIFS(TF_Timer,TF_Tekniker,BE$4,TF_Dato,$A1026))*2,0)/2)))</f>
        <v/>
      </c>
      <c r="BF1026">
        <f>IF(OR(BF$4="",$A1026&gt;TODAY()),0,IF(OR(INDEX($B1026:$D1026,BF$5)="F",AND(BF$6&gt;0,$A1026&lt;BF$6),AND(BF$7&gt;0,$A1026&gt;BF$7)),0,MAX(0,ROUND((INDEX($E1026:$G1026,BF$5)-SUMIFS(TF_Timer,TF_Tekniker,BF$4,TF_Dato,$A1026))*2,0)/2)))</f>
        <v/>
      </c>
      <c r="BG1026">
        <f>IF(OR(BG$4="",$A1026&gt;TODAY()),0,IF(OR(INDEX($B1026:$D1026,BG$5)="F",AND(BG$6&gt;0,$A1026&lt;BG$6),AND(BG$7&gt;0,$A1026&gt;BG$7)),0,MAX(0,ROUND((INDEX($E1026:$G1026,BG$5)-SUMIFS(TF_Timer,TF_Tekniker,BG$4,TF_Dato,$A1026))*2,0)/2)))</f>
        <v/>
      </c>
      <c r="BH1026">
        <f>IF(OR(BH$4="",$A1026&gt;TODAY()),0,IF(OR(INDEX($B1026:$D1026,BH$5)="F",AND(BH$6&gt;0,$A1026&lt;BH$6),AND(BH$7&gt;0,$A1026&gt;BH$7)),0,MAX(0,ROUND((INDEX($E1026:$G1026,BH$5)-SUMIFS(TF_Timer,TF_Tekniker,BH$4,TF_Dato,$A1026))*2,0)/2)))</f>
        <v/>
      </c>
      <c r="BI1026">
        <f>IF(OR(BI$4="",$A1026&gt;TODAY()),0,IF(OR(INDEX($B1026:$D1026,BI$5)="F",AND(BI$6&gt;0,$A1026&lt;BI$6),AND(BI$7&gt;0,$A1026&gt;BI$7)),0,MAX(0,ROUND((INDEX($E1026:$G1026,BI$5)-SUMIFS(TF_Timer,TF_Tekniker,BI$4,TF_Dato,$A1026))*2,0)/2)))</f>
        <v/>
      </c>
    </row>
    <row r="1027">
      <c r="A1027" s="64">
        <f>A1026+1</f>
        <v/>
      </c>
      <c r="B1027">
        <f>IF(MOD($A1027-INDEX(SkiftStart,1),Syklus)&lt;DagK,"K",IF(MOD($A1027-INDEX(SkiftStart,1),Syklus)&lt;DagK+DagH,"H",IF(MOD($A1027-INDEX(SkiftStart,1),Syklus)&lt;DagK+DagH+DagD,"D","F")))</f>
        <v/>
      </c>
      <c r="C1027">
        <f>IF(MOD($A1027-INDEX(SkiftStart,2),Syklus)&lt;DagK,"K",IF(MOD($A1027-INDEX(SkiftStart,2),Syklus)&lt;DagK+DagH,"H",IF(MOD($A1027-INDEX(SkiftStart,2),Syklus)&lt;DagK+DagH+DagD,"D","F")))</f>
        <v/>
      </c>
      <c r="D1027">
        <f>IF(MOD($A1027-INDEX(SkiftStart,3),Syklus)&lt;DagK,"K",IF(MOD($A1027-INDEX(SkiftStart,3),Syklus)&lt;DagK+DagH,"H",IF(MOD($A1027-INDEX(SkiftStart,3),Syklus)&lt;DagK+DagH+DagD,"D","F")))</f>
        <v/>
      </c>
      <c r="E1027">
        <f>IF(B1027="F",0,IF(WEEKDAY($A1027,2)=5,INDEX(TimerFr,MATCH(B1027,FaseKode,0)),INDEX(TimerMT,MATCH(B1027,FaseKode,0))))</f>
        <v/>
      </c>
      <c r="F1027">
        <f>IF(C1027="F",0,IF(WEEKDAY($A1027,2)=5,INDEX(TimerFr,MATCH(C1027,FaseKode,0)),INDEX(TimerMT,MATCH(C1027,FaseKode,0))))</f>
        <v/>
      </c>
      <c r="G1027">
        <f>IF(D1027="F",0,IF(WEEKDAY($A1027,2)=5,INDEX(TimerFr,MATCH(D1027,FaseKode,0)),INDEX(TimerMT,MATCH(D1027,FaseKode,0))))</f>
        <v/>
      </c>
      <c r="H1027">
        <f>IF(OR(H$4="",$A1027&gt;TODAY()),0,IF(OR(INDEX($B1027:$D1027,H$5)="F",AND(H$6&gt;0,$A1027&lt;H$6),AND(H$7&gt;0,$A1027&gt;H$7)),0,MAX(0,ROUND((INDEX($E1027:$G1027,H$5)-SUMIFS(TF_Timer,TF_Tekniker,H$4,TF_Dato,$A1027))*2,0)/2)))</f>
        <v/>
      </c>
      <c r="I1027">
        <f>IF(OR(I$4="",$A1027&gt;TODAY()),0,IF(OR(INDEX($B1027:$D1027,I$5)="F",AND(I$6&gt;0,$A1027&lt;I$6),AND(I$7&gt;0,$A1027&gt;I$7)),0,MAX(0,ROUND((INDEX($E1027:$G1027,I$5)-SUMIFS(TF_Timer,TF_Tekniker,I$4,TF_Dato,$A1027))*2,0)/2)))</f>
        <v/>
      </c>
      <c r="J1027">
        <f>IF(OR(J$4="",$A1027&gt;TODAY()),0,IF(OR(INDEX($B1027:$D1027,J$5)="F",AND(J$6&gt;0,$A1027&lt;J$6),AND(J$7&gt;0,$A1027&gt;J$7)),0,MAX(0,ROUND((INDEX($E1027:$G1027,J$5)-SUMIFS(TF_Timer,TF_Tekniker,J$4,TF_Dato,$A1027))*2,0)/2)))</f>
        <v/>
      </c>
      <c r="K1027">
        <f>IF(OR(K$4="",$A1027&gt;TODAY()),0,IF(OR(INDEX($B1027:$D1027,K$5)="F",AND(K$6&gt;0,$A1027&lt;K$6),AND(K$7&gt;0,$A1027&gt;K$7)),0,MAX(0,ROUND((INDEX($E1027:$G1027,K$5)-SUMIFS(TF_Timer,TF_Tekniker,K$4,TF_Dato,$A1027))*2,0)/2)))</f>
        <v/>
      </c>
      <c r="L1027">
        <f>IF(OR(L$4="",$A1027&gt;TODAY()),0,IF(OR(INDEX($B1027:$D1027,L$5)="F",AND(L$6&gt;0,$A1027&lt;L$6),AND(L$7&gt;0,$A1027&gt;L$7)),0,MAX(0,ROUND((INDEX($E1027:$G1027,L$5)-SUMIFS(TF_Timer,TF_Tekniker,L$4,TF_Dato,$A1027))*2,0)/2)))</f>
        <v/>
      </c>
      <c r="M1027">
        <f>IF(OR(M$4="",$A1027&gt;TODAY()),0,IF(OR(INDEX($B1027:$D1027,M$5)="F",AND(M$6&gt;0,$A1027&lt;M$6),AND(M$7&gt;0,$A1027&gt;M$7)),0,MAX(0,ROUND((INDEX($E1027:$G1027,M$5)-SUMIFS(TF_Timer,TF_Tekniker,M$4,TF_Dato,$A1027))*2,0)/2)))</f>
        <v/>
      </c>
      <c r="N1027">
        <f>IF(OR(N$4="",$A1027&gt;TODAY()),0,IF(OR(INDEX($B1027:$D1027,N$5)="F",AND(N$6&gt;0,$A1027&lt;N$6),AND(N$7&gt;0,$A1027&gt;N$7)),0,MAX(0,ROUND((INDEX($E1027:$G1027,N$5)-SUMIFS(TF_Timer,TF_Tekniker,N$4,TF_Dato,$A1027))*2,0)/2)))</f>
        <v/>
      </c>
      <c r="O1027">
        <f>IF(OR(O$4="",$A1027&gt;TODAY()),0,IF(OR(INDEX($B1027:$D1027,O$5)="F",AND(O$6&gt;0,$A1027&lt;O$6),AND(O$7&gt;0,$A1027&gt;O$7)),0,MAX(0,ROUND((INDEX($E1027:$G1027,O$5)-SUMIFS(TF_Timer,TF_Tekniker,O$4,TF_Dato,$A1027))*2,0)/2)))</f>
        <v/>
      </c>
      <c r="P1027">
        <f>IF(OR(P$4="",$A1027&gt;TODAY()),0,IF(OR(INDEX($B1027:$D1027,P$5)="F",AND(P$6&gt;0,$A1027&lt;P$6),AND(P$7&gt;0,$A1027&gt;P$7)),0,MAX(0,ROUND((INDEX($E1027:$G1027,P$5)-SUMIFS(TF_Timer,TF_Tekniker,P$4,TF_Dato,$A1027))*2,0)/2)))</f>
        <v/>
      </c>
      <c r="Q1027">
        <f>IF(OR(Q$4="",$A1027&gt;TODAY()),0,IF(OR(INDEX($B1027:$D1027,Q$5)="F",AND(Q$6&gt;0,$A1027&lt;Q$6),AND(Q$7&gt;0,$A1027&gt;Q$7)),0,MAX(0,ROUND((INDEX($E1027:$G1027,Q$5)-SUMIFS(TF_Timer,TF_Tekniker,Q$4,TF_Dato,$A1027))*2,0)/2)))</f>
        <v/>
      </c>
      <c r="R1027">
        <f>IF(OR(R$4="",$A1027&gt;TODAY()),0,IF(OR(INDEX($B1027:$D1027,R$5)="F",AND(R$6&gt;0,$A1027&lt;R$6),AND(R$7&gt;0,$A1027&gt;R$7)),0,MAX(0,ROUND((INDEX($E1027:$G1027,R$5)-SUMIFS(TF_Timer,TF_Tekniker,R$4,TF_Dato,$A1027))*2,0)/2)))</f>
        <v/>
      </c>
      <c r="S1027">
        <f>IF(OR(S$4="",$A1027&gt;TODAY()),0,IF(OR(INDEX($B1027:$D1027,S$5)="F",AND(S$6&gt;0,$A1027&lt;S$6),AND(S$7&gt;0,$A1027&gt;S$7)),0,MAX(0,ROUND((INDEX($E1027:$G1027,S$5)-SUMIFS(TF_Timer,TF_Tekniker,S$4,TF_Dato,$A1027))*2,0)/2)))</f>
        <v/>
      </c>
      <c r="T1027">
        <f>IF(OR(T$4="",$A1027&gt;TODAY()),0,IF(OR(INDEX($B1027:$D1027,T$5)="F",AND(T$6&gt;0,$A1027&lt;T$6),AND(T$7&gt;0,$A1027&gt;T$7)),0,MAX(0,ROUND((INDEX($E1027:$G1027,T$5)-SUMIFS(TF_Timer,TF_Tekniker,T$4,TF_Dato,$A1027))*2,0)/2)))</f>
        <v/>
      </c>
      <c r="U1027">
        <f>IF(OR(U$4="",$A1027&gt;TODAY()),0,IF(OR(INDEX($B1027:$D1027,U$5)="F",AND(U$6&gt;0,$A1027&lt;U$6),AND(U$7&gt;0,$A1027&gt;U$7)),0,MAX(0,ROUND((INDEX($E1027:$G1027,U$5)-SUMIFS(TF_Timer,TF_Tekniker,U$4,TF_Dato,$A1027))*2,0)/2)))</f>
        <v/>
      </c>
      <c r="V1027">
        <f>IF(OR(V$4="",$A1027&gt;TODAY()),0,IF(OR(INDEX($B1027:$D1027,V$5)="F",AND(V$6&gt;0,$A1027&lt;V$6),AND(V$7&gt;0,$A1027&gt;V$7)),0,MAX(0,ROUND((INDEX($E1027:$G1027,V$5)-SUMIFS(TF_Timer,TF_Tekniker,V$4,TF_Dato,$A1027))*2,0)/2)))</f>
        <v/>
      </c>
      <c r="W1027">
        <f>IF(OR(W$4="",$A1027&gt;TODAY()),0,IF(OR(INDEX($B1027:$D1027,W$5)="F",AND(W$6&gt;0,$A1027&lt;W$6),AND(W$7&gt;0,$A1027&gt;W$7)),0,MAX(0,ROUND((INDEX($E1027:$G1027,W$5)-SUMIFS(TF_Timer,TF_Tekniker,W$4,TF_Dato,$A1027))*2,0)/2)))</f>
        <v/>
      </c>
      <c r="X1027">
        <f>IF(OR(X$4="",$A1027&gt;TODAY()),0,IF(OR(INDEX($B1027:$D1027,X$5)="F",AND(X$6&gt;0,$A1027&lt;X$6),AND(X$7&gt;0,$A1027&gt;X$7)),0,MAX(0,ROUND((INDEX($E1027:$G1027,X$5)-SUMIFS(TF_Timer,TF_Tekniker,X$4,TF_Dato,$A1027))*2,0)/2)))</f>
        <v/>
      </c>
      <c r="Y1027">
        <f>IF(OR(Y$4="",$A1027&gt;TODAY()),0,IF(OR(INDEX($B1027:$D1027,Y$5)="F",AND(Y$6&gt;0,$A1027&lt;Y$6),AND(Y$7&gt;0,$A1027&gt;Y$7)),0,MAX(0,ROUND((INDEX($E1027:$G1027,Y$5)-SUMIFS(TF_Timer,TF_Tekniker,Y$4,TF_Dato,$A1027))*2,0)/2)))</f>
        <v/>
      </c>
      <c r="Z1027">
        <f>IF(OR(Z$4="",$A1027&gt;TODAY()),0,IF(OR(INDEX($B1027:$D1027,Z$5)="F",AND(Z$6&gt;0,$A1027&lt;Z$6),AND(Z$7&gt;0,$A1027&gt;Z$7)),0,MAX(0,ROUND((INDEX($E1027:$G1027,Z$5)-SUMIFS(TF_Timer,TF_Tekniker,Z$4,TF_Dato,$A1027))*2,0)/2)))</f>
        <v/>
      </c>
      <c r="AA1027">
        <f>IF(OR(AA$4="",$A1027&gt;TODAY()),0,IF(OR(INDEX($B1027:$D1027,AA$5)="F",AND(AA$6&gt;0,$A1027&lt;AA$6),AND(AA$7&gt;0,$A1027&gt;AA$7)),0,MAX(0,ROUND((INDEX($E1027:$G1027,AA$5)-SUMIFS(TF_Timer,TF_Tekniker,AA$4,TF_Dato,$A1027))*2,0)/2)))</f>
        <v/>
      </c>
      <c r="AB1027">
        <f>IF(OR(AB$4="",$A1027&gt;TODAY()),0,IF(OR(INDEX($B1027:$D1027,AB$5)="F",AND(AB$6&gt;0,$A1027&lt;AB$6),AND(AB$7&gt;0,$A1027&gt;AB$7)),0,MAX(0,ROUND((INDEX($E1027:$G1027,AB$5)-SUMIFS(TF_Timer,TF_Tekniker,AB$4,TF_Dato,$A1027))*2,0)/2)))</f>
        <v/>
      </c>
      <c r="AC1027">
        <f>IF(OR(AC$4="",$A1027&gt;TODAY()),0,IF(OR(INDEX($B1027:$D1027,AC$5)="F",AND(AC$6&gt;0,$A1027&lt;AC$6),AND(AC$7&gt;0,$A1027&gt;AC$7)),0,MAX(0,ROUND((INDEX($E1027:$G1027,AC$5)-SUMIFS(TF_Timer,TF_Tekniker,AC$4,TF_Dato,$A1027))*2,0)/2)))</f>
        <v/>
      </c>
      <c r="AD1027">
        <f>IF(OR(AD$4="",$A1027&gt;TODAY()),0,IF(OR(INDEX($B1027:$D1027,AD$5)="F",AND(AD$6&gt;0,$A1027&lt;AD$6),AND(AD$7&gt;0,$A1027&gt;AD$7)),0,MAX(0,ROUND((INDEX($E1027:$G1027,AD$5)-SUMIFS(TF_Timer,TF_Tekniker,AD$4,TF_Dato,$A1027))*2,0)/2)))</f>
        <v/>
      </c>
      <c r="AE1027">
        <f>IF(OR(AE$4="",$A1027&gt;TODAY()),0,IF(OR(INDEX($B1027:$D1027,AE$5)="F",AND(AE$6&gt;0,$A1027&lt;AE$6),AND(AE$7&gt;0,$A1027&gt;AE$7)),0,MAX(0,ROUND((INDEX($E1027:$G1027,AE$5)-SUMIFS(TF_Timer,TF_Tekniker,AE$4,TF_Dato,$A1027))*2,0)/2)))</f>
        <v/>
      </c>
      <c r="AF1027">
        <f>IF(OR(AF$4="",$A1027&gt;TODAY()),0,IF(OR(INDEX($B1027:$D1027,AF$5)="F",AND(AF$6&gt;0,$A1027&lt;AF$6),AND(AF$7&gt;0,$A1027&gt;AF$7)),0,MAX(0,ROUND((INDEX($E1027:$G1027,AF$5)-SUMIFS(TF_Timer,TF_Tekniker,AF$4,TF_Dato,$A1027))*2,0)/2)))</f>
        <v/>
      </c>
      <c r="AG1027">
        <f>IF(OR(AG$4="",$A1027&gt;TODAY()),0,IF(OR(INDEX($B1027:$D1027,AG$5)="F",AND(AG$6&gt;0,$A1027&lt;AG$6),AND(AG$7&gt;0,$A1027&gt;AG$7)),0,MAX(0,ROUND((INDEX($E1027:$G1027,AG$5)-SUMIFS(TF_Timer,TF_Tekniker,AG$4,TF_Dato,$A1027))*2,0)/2)))</f>
        <v/>
      </c>
      <c r="AH1027">
        <f>IF(OR(AH$4="",$A1027&gt;TODAY()),0,IF(OR(INDEX($B1027:$D1027,AH$5)="F",AND(AH$6&gt;0,$A1027&lt;AH$6),AND(AH$7&gt;0,$A1027&gt;AH$7)),0,MAX(0,ROUND((INDEX($E1027:$G1027,AH$5)-SUMIFS(TF_Timer,TF_Tekniker,AH$4,TF_Dato,$A1027))*2,0)/2)))</f>
        <v/>
      </c>
      <c r="AI1027">
        <f>IF(OR(AI$4="",$A1027&gt;TODAY()),0,IF(OR(INDEX($B1027:$D1027,AI$5)="F",AND(AI$6&gt;0,$A1027&lt;AI$6),AND(AI$7&gt;0,$A1027&gt;AI$7)),0,MAX(0,ROUND((INDEX($E1027:$G1027,AI$5)-SUMIFS(TF_Timer,TF_Tekniker,AI$4,TF_Dato,$A1027))*2,0)/2)))</f>
        <v/>
      </c>
      <c r="AJ1027">
        <f>IF(OR(AJ$4="",$A1027&gt;TODAY()),0,IF(OR(INDEX($B1027:$D1027,AJ$5)="F",AND(AJ$6&gt;0,$A1027&lt;AJ$6),AND(AJ$7&gt;0,$A1027&gt;AJ$7)),0,MAX(0,ROUND((INDEX($E1027:$G1027,AJ$5)-SUMIFS(TF_Timer,TF_Tekniker,AJ$4,TF_Dato,$A1027))*2,0)/2)))</f>
        <v/>
      </c>
      <c r="AK1027">
        <f>IF(OR(AK$4="",$A1027&gt;TODAY()),0,IF(OR(INDEX($B1027:$D1027,AK$5)="F",AND(AK$6&gt;0,$A1027&lt;AK$6),AND(AK$7&gt;0,$A1027&gt;AK$7)),0,MAX(0,ROUND((INDEX($E1027:$G1027,AK$5)-SUMIFS(TF_Timer,TF_Tekniker,AK$4,TF_Dato,$A1027))*2,0)/2)))</f>
        <v/>
      </c>
      <c r="AL1027">
        <f>IF(OR(AL$4="",$A1027&gt;TODAY()),0,IF(OR(INDEX($B1027:$D1027,AL$5)="F",AND(AL$6&gt;0,$A1027&lt;AL$6),AND(AL$7&gt;0,$A1027&gt;AL$7)),0,MAX(0,ROUND((INDEX($E1027:$G1027,AL$5)-SUMIFS(TF_Timer,TF_Tekniker,AL$4,TF_Dato,$A1027))*2,0)/2)))</f>
        <v/>
      </c>
      <c r="AM1027">
        <f>IF(OR(AM$4="",$A1027&gt;TODAY()),0,IF(OR(INDEX($B1027:$D1027,AM$5)="F",AND(AM$6&gt;0,$A1027&lt;AM$6),AND(AM$7&gt;0,$A1027&gt;AM$7)),0,MAX(0,ROUND((INDEX($E1027:$G1027,AM$5)-SUMIFS(TF_Timer,TF_Tekniker,AM$4,TF_Dato,$A1027))*2,0)/2)))</f>
        <v/>
      </c>
      <c r="AN1027">
        <f>IF(OR(AN$4="",$A1027&gt;TODAY()),0,IF(OR(INDEX($B1027:$D1027,AN$5)="F",AND(AN$6&gt;0,$A1027&lt;AN$6),AND(AN$7&gt;0,$A1027&gt;AN$7)),0,MAX(0,ROUND((INDEX($E1027:$G1027,AN$5)-SUMIFS(TF_Timer,TF_Tekniker,AN$4,TF_Dato,$A1027))*2,0)/2)))</f>
        <v/>
      </c>
      <c r="AO1027">
        <f>IF(OR(AO$4="",$A1027&gt;TODAY()),0,IF(OR(INDEX($B1027:$D1027,AO$5)="F",AND(AO$6&gt;0,$A1027&lt;AO$6),AND(AO$7&gt;0,$A1027&gt;AO$7)),0,MAX(0,ROUND((INDEX($E1027:$G1027,AO$5)-SUMIFS(TF_Timer,TF_Tekniker,AO$4,TF_Dato,$A1027))*2,0)/2)))</f>
        <v/>
      </c>
      <c r="AP1027">
        <f>IF(OR(AP$4="",$A1027&gt;TODAY()),0,IF(OR(INDEX($B1027:$D1027,AP$5)="F",AND(AP$6&gt;0,$A1027&lt;AP$6),AND(AP$7&gt;0,$A1027&gt;AP$7)),0,MAX(0,ROUND((INDEX($E1027:$G1027,AP$5)-SUMIFS(TF_Timer,TF_Tekniker,AP$4,TF_Dato,$A1027))*2,0)/2)))</f>
        <v/>
      </c>
      <c r="AQ1027">
        <f>IF(OR(AQ$4="",$A1027&gt;TODAY()),0,IF(OR(INDEX($B1027:$D1027,AQ$5)="F",AND(AQ$6&gt;0,$A1027&lt;AQ$6),AND(AQ$7&gt;0,$A1027&gt;AQ$7)),0,MAX(0,ROUND((INDEX($E1027:$G1027,AQ$5)-SUMIFS(TF_Timer,TF_Tekniker,AQ$4,TF_Dato,$A1027))*2,0)/2)))</f>
        <v/>
      </c>
      <c r="AR1027">
        <f>IF(OR(AR$4="",$A1027&gt;TODAY()),0,IF(OR(INDEX($B1027:$D1027,AR$5)="F",AND(AR$6&gt;0,$A1027&lt;AR$6),AND(AR$7&gt;0,$A1027&gt;AR$7)),0,MAX(0,ROUND((INDEX($E1027:$G1027,AR$5)-SUMIFS(TF_Timer,TF_Tekniker,AR$4,TF_Dato,$A1027))*2,0)/2)))</f>
        <v/>
      </c>
      <c r="AS1027">
        <f>IF(OR(AS$4="",$A1027&gt;TODAY()),0,IF(OR(INDEX($B1027:$D1027,AS$5)="F",AND(AS$6&gt;0,$A1027&lt;AS$6),AND(AS$7&gt;0,$A1027&gt;AS$7)),0,MAX(0,ROUND((INDEX($E1027:$G1027,AS$5)-SUMIFS(TF_Timer,TF_Tekniker,AS$4,TF_Dato,$A1027))*2,0)/2)))</f>
        <v/>
      </c>
      <c r="AT1027">
        <f>IF(OR(AT$4="",$A1027&gt;TODAY()),0,IF(OR(INDEX($B1027:$D1027,AT$5)="F",AND(AT$6&gt;0,$A1027&lt;AT$6),AND(AT$7&gt;0,$A1027&gt;AT$7)),0,MAX(0,ROUND((INDEX($E1027:$G1027,AT$5)-SUMIFS(TF_Timer,TF_Tekniker,AT$4,TF_Dato,$A1027))*2,0)/2)))</f>
        <v/>
      </c>
      <c r="AU1027">
        <f>IF(OR(AU$4="",$A1027&gt;TODAY()),0,IF(OR(INDEX($B1027:$D1027,AU$5)="F",AND(AU$6&gt;0,$A1027&lt;AU$6),AND(AU$7&gt;0,$A1027&gt;AU$7)),0,MAX(0,ROUND((INDEX($E1027:$G1027,AU$5)-SUMIFS(TF_Timer,TF_Tekniker,AU$4,TF_Dato,$A1027))*2,0)/2)))</f>
        <v/>
      </c>
      <c r="AV1027">
        <f>IF(OR(AV$4="",$A1027&gt;TODAY()),0,IF(OR(INDEX($B1027:$D1027,AV$5)="F",AND(AV$6&gt;0,$A1027&lt;AV$6),AND(AV$7&gt;0,$A1027&gt;AV$7)),0,MAX(0,ROUND((INDEX($E1027:$G1027,AV$5)-SUMIFS(TF_Timer,TF_Tekniker,AV$4,TF_Dato,$A1027))*2,0)/2)))</f>
        <v/>
      </c>
      <c r="AW1027">
        <f>IF(OR(AW$4="",$A1027&gt;TODAY()),0,IF(OR(INDEX($B1027:$D1027,AW$5)="F",AND(AW$6&gt;0,$A1027&lt;AW$6),AND(AW$7&gt;0,$A1027&gt;AW$7)),0,MAX(0,ROUND((INDEX($E1027:$G1027,AW$5)-SUMIFS(TF_Timer,TF_Tekniker,AW$4,TF_Dato,$A1027))*2,0)/2)))</f>
        <v/>
      </c>
      <c r="AX1027">
        <f>IF(OR(AX$4="",$A1027&gt;TODAY()),0,IF(OR(INDEX($B1027:$D1027,AX$5)="F",AND(AX$6&gt;0,$A1027&lt;AX$6),AND(AX$7&gt;0,$A1027&gt;AX$7)),0,MAX(0,ROUND((INDEX($E1027:$G1027,AX$5)-SUMIFS(TF_Timer,TF_Tekniker,AX$4,TF_Dato,$A1027))*2,0)/2)))</f>
        <v/>
      </c>
      <c r="AY1027">
        <f>IF(OR(AY$4="",$A1027&gt;TODAY()),0,IF(OR(INDEX($B1027:$D1027,AY$5)="F",AND(AY$6&gt;0,$A1027&lt;AY$6),AND(AY$7&gt;0,$A1027&gt;AY$7)),0,MAX(0,ROUND((INDEX($E1027:$G1027,AY$5)-SUMIFS(TF_Timer,TF_Tekniker,AY$4,TF_Dato,$A1027))*2,0)/2)))</f>
        <v/>
      </c>
      <c r="AZ1027">
        <f>IF(OR(AZ$4="",$A1027&gt;TODAY()),0,IF(OR(INDEX($B1027:$D1027,AZ$5)="F",AND(AZ$6&gt;0,$A1027&lt;AZ$6),AND(AZ$7&gt;0,$A1027&gt;AZ$7)),0,MAX(0,ROUND((INDEX($E1027:$G1027,AZ$5)-SUMIFS(TF_Timer,TF_Tekniker,AZ$4,TF_Dato,$A1027))*2,0)/2)))</f>
        <v/>
      </c>
      <c r="BA1027">
        <f>IF(OR(BA$4="",$A1027&gt;TODAY()),0,IF(OR(INDEX($B1027:$D1027,BA$5)="F",AND(BA$6&gt;0,$A1027&lt;BA$6),AND(BA$7&gt;0,$A1027&gt;BA$7)),0,MAX(0,ROUND((INDEX($E1027:$G1027,BA$5)-SUMIFS(TF_Timer,TF_Tekniker,BA$4,TF_Dato,$A1027))*2,0)/2)))</f>
        <v/>
      </c>
      <c r="BB1027">
        <f>IF(OR(BB$4="",$A1027&gt;TODAY()),0,IF(OR(INDEX($B1027:$D1027,BB$5)="F",AND(BB$6&gt;0,$A1027&lt;BB$6),AND(BB$7&gt;0,$A1027&gt;BB$7)),0,MAX(0,ROUND((INDEX($E1027:$G1027,BB$5)-SUMIFS(TF_Timer,TF_Tekniker,BB$4,TF_Dato,$A1027))*2,0)/2)))</f>
        <v/>
      </c>
      <c r="BC1027">
        <f>IF(OR(BC$4="",$A1027&gt;TODAY()),0,IF(OR(INDEX($B1027:$D1027,BC$5)="F",AND(BC$6&gt;0,$A1027&lt;BC$6),AND(BC$7&gt;0,$A1027&gt;BC$7)),0,MAX(0,ROUND((INDEX($E1027:$G1027,BC$5)-SUMIFS(TF_Timer,TF_Tekniker,BC$4,TF_Dato,$A1027))*2,0)/2)))</f>
        <v/>
      </c>
      <c r="BD1027">
        <f>IF(OR(BD$4="",$A1027&gt;TODAY()),0,IF(OR(INDEX($B1027:$D1027,BD$5)="F",AND(BD$6&gt;0,$A1027&lt;BD$6),AND(BD$7&gt;0,$A1027&gt;BD$7)),0,MAX(0,ROUND((INDEX($E1027:$G1027,BD$5)-SUMIFS(TF_Timer,TF_Tekniker,BD$4,TF_Dato,$A1027))*2,0)/2)))</f>
        <v/>
      </c>
      <c r="BE1027">
        <f>IF(OR(BE$4="",$A1027&gt;TODAY()),0,IF(OR(INDEX($B1027:$D1027,BE$5)="F",AND(BE$6&gt;0,$A1027&lt;BE$6),AND(BE$7&gt;0,$A1027&gt;BE$7)),0,MAX(0,ROUND((INDEX($E1027:$G1027,BE$5)-SUMIFS(TF_Timer,TF_Tekniker,BE$4,TF_Dato,$A1027))*2,0)/2)))</f>
        <v/>
      </c>
      <c r="BF1027">
        <f>IF(OR(BF$4="",$A1027&gt;TODAY()),0,IF(OR(INDEX($B1027:$D1027,BF$5)="F",AND(BF$6&gt;0,$A1027&lt;BF$6),AND(BF$7&gt;0,$A1027&gt;BF$7)),0,MAX(0,ROUND((INDEX($E1027:$G1027,BF$5)-SUMIFS(TF_Timer,TF_Tekniker,BF$4,TF_Dato,$A1027))*2,0)/2)))</f>
        <v/>
      </c>
      <c r="BG1027">
        <f>IF(OR(BG$4="",$A1027&gt;TODAY()),0,IF(OR(INDEX($B1027:$D1027,BG$5)="F",AND(BG$6&gt;0,$A1027&lt;BG$6),AND(BG$7&gt;0,$A1027&gt;BG$7)),0,MAX(0,ROUND((INDEX($E1027:$G1027,BG$5)-SUMIFS(TF_Timer,TF_Tekniker,BG$4,TF_Dato,$A1027))*2,0)/2)))</f>
        <v/>
      </c>
      <c r="BH1027">
        <f>IF(OR(BH$4="",$A1027&gt;TODAY()),0,IF(OR(INDEX($B1027:$D1027,BH$5)="F",AND(BH$6&gt;0,$A1027&lt;BH$6),AND(BH$7&gt;0,$A1027&gt;BH$7)),0,MAX(0,ROUND((INDEX($E1027:$G1027,BH$5)-SUMIFS(TF_Timer,TF_Tekniker,BH$4,TF_Dato,$A1027))*2,0)/2)))</f>
        <v/>
      </c>
      <c r="BI1027">
        <f>IF(OR(BI$4="",$A1027&gt;TODAY()),0,IF(OR(INDEX($B1027:$D1027,BI$5)="F",AND(BI$6&gt;0,$A1027&lt;BI$6),AND(BI$7&gt;0,$A1027&gt;BI$7)),0,MAX(0,ROUND((INDEX($E1027:$G1027,BI$5)-SUMIFS(TF_Timer,TF_Tekniker,BI$4,TF_Dato,$A1027))*2,0)/2)))</f>
        <v/>
      </c>
    </row>
    <row r="1028">
      <c r="A1028" s="64">
        <f>A1027+1</f>
        <v/>
      </c>
      <c r="B1028">
        <f>IF(MOD($A1028-INDEX(SkiftStart,1),Syklus)&lt;DagK,"K",IF(MOD($A1028-INDEX(SkiftStart,1),Syklus)&lt;DagK+DagH,"H",IF(MOD($A1028-INDEX(SkiftStart,1),Syklus)&lt;DagK+DagH+DagD,"D","F")))</f>
        <v/>
      </c>
      <c r="C1028">
        <f>IF(MOD($A1028-INDEX(SkiftStart,2),Syklus)&lt;DagK,"K",IF(MOD($A1028-INDEX(SkiftStart,2),Syklus)&lt;DagK+DagH,"H",IF(MOD($A1028-INDEX(SkiftStart,2),Syklus)&lt;DagK+DagH+DagD,"D","F")))</f>
        <v/>
      </c>
      <c r="D1028">
        <f>IF(MOD($A1028-INDEX(SkiftStart,3),Syklus)&lt;DagK,"K",IF(MOD($A1028-INDEX(SkiftStart,3),Syklus)&lt;DagK+DagH,"H",IF(MOD($A1028-INDEX(SkiftStart,3),Syklus)&lt;DagK+DagH+DagD,"D","F")))</f>
        <v/>
      </c>
      <c r="E1028">
        <f>IF(B1028="F",0,IF(WEEKDAY($A1028,2)=5,INDEX(TimerFr,MATCH(B1028,FaseKode,0)),INDEX(TimerMT,MATCH(B1028,FaseKode,0))))</f>
        <v/>
      </c>
      <c r="F1028">
        <f>IF(C1028="F",0,IF(WEEKDAY($A1028,2)=5,INDEX(TimerFr,MATCH(C1028,FaseKode,0)),INDEX(TimerMT,MATCH(C1028,FaseKode,0))))</f>
        <v/>
      </c>
      <c r="G1028">
        <f>IF(D1028="F",0,IF(WEEKDAY($A1028,2)=5,INDEX(TimerFr,MATCH(D1028,FaseKode,0)),INDEX(TimerMT,MATCH(D1028,FaseKode,0))))</f>
        <v/>
      </c>
      <c r="H1028">
        <f>IF(OR(H$4="",$A1028&gt;TODAY()),0,IF(OR(INDEX($B1028:$D1028,H$5)="F",AND(H$6&gt;0,$A1028&lt;H$6),AND(H$7&gt;0,$A1028&gt;H$7)),0,MAX(0,ROUND((INDEX($E1028:$G1028,H$5)-SUMIFS(TF_Timer,TF_Tekniker,H$4,TF_Dato,$A1028))*2,0)/2)))</f>
        <v/>
      </c>
      <c r="I1028">
        <f>IF(OR(I$4="",$A1028&gt;TODAY()),0,IF(OR(INDEX($B1028:$D1028,I$5)="F",AND(I$6&gt;0,$A1028&lt;I$6),AND(I$7&gt;0,$A1028&gt;I$7)),0,MAX(0,ROUND((INDEX($E1028:$G1028,I$5)-SUMIFS(TF_Timer,TF_Tekniker,I$4,TF_Dato,$A1028))*2,0)/2)))</f>
        <v/>
      </c>
      <c r="J1028">
        <f>IF(OR(J$4="",$A1028&gt;TODAY()),0,IF(OR(INDEX($B1028:$D1028,J$5)="F",AND(J$6&gt;0,$A1028&lt;J$6),AND(J$7&gt;0,$A1028&gt;J$7)),0,MAX(0,ROUND((INDEX($E1028:$G1028,J$5)-SUMIFS(TF_Timer,TF_Tekniker,J$4,TF_Dato,$A1028))*2,0)/2)))</f>
        <v/>
      </c>
      <c r="K1028">
        <f>IF(OR(K$4="",$A1028&gt;TODAY()),0,IF(OR(INDEX($B1028:$D1028,K$5)="F",AND(K$6&gt;0,$A1028&lt;K$6),AND(K$7&gt;0,$A1028&gt;K$7)),0,MAX(0,ROUND((INDEX($E1028:$G1028,K$5)-SUMIFS(TF_Timer,TF_Tekniker,K$4,TF_Dato,$A1028))*2,0)/2)))</f>
        <v/>
      </c>
      <c r="L1028">
        <f>IF(OR(L$4="",$A1028&gt;TODAY()),0,IF(OR(INDEX($B1028:$D1028,L$5)="F",AND(L$6&gt;0,$A1028&lt;L$6),AND(L$7&gt;0,$A1028&gt;L$7)),0,MAX(0,ROUND((INDEX($E1028:$G1028,L$5)-SUMIFS(TF_Timer,TF_Tekniker,L$4,TF_Dato,$A1028))*2,0)/2)))</f>
        <v/>
      </c>
      <c r="M1028">
        <f>IF(OR(M$4="",$A1028&gt;TODAY()),0,IF(OR(INDEX($B1028:$D1028,M$5)="F",AND(M$6&gt;0,$A1028&lt;M$6),AND(M$7&gt;0,$A1028&gt;M$7)),0,MAX(0,ROUND((INDEX($E1028:$G1028,M$5)-SUMIFS(TF_Timer,TF_Tekniker,M$4,TF_Dato,$A1028))*2,0)/2)))</f>
        <v/>
      </c>
      <c r="N1028">
        <f>IF(OR(N$4="",$A1028&gt;TODAY()),0,IF(OR(INDEX($B1028:$D1028,N$5)="F",AND(N$6&gt;0,$A1028&lt;N$6),AND(N$7&gt;0,$A1028&gt;N$7)),0,MAX(0,ROUND((INDEX($E1028:$G1028,N$5)-SUMIFS(TF_Timer,TF_Tekniker,N$4,TF_Dato,$A1028))*2,0)/2)))</f>
        <v/>
      </c>
      <c r="O1028">
        <f>IF(OR(O$4="",$A1028&gt;TODAY()),0,IF(OR(INDEX($B1028:$D1028,O$5)="F",AND(O$6&gt;0,$A1028&lt;O$6),AND(O$7&gt;0,$A1028&gt;O$7)),0,MAX(0,ROUND((INDEX($E1028:$G1028,O$5)-SUMIFS(TF_Timer,TF_Tekniker,O$4,TF_Dato,$A1028))*2,0)/2)))</f>
        <v/>
      </c>
      <c r="P1028">
        <f>IF(OR(P$4="",$A1028&gt;TODAY()),0,IF(OR(INDEX($B1028:$D1028,P$5)="F",AND(P$6&gt;0,$A1028&lt;P$6),AND(P$7&gt;0,$A1028&gt;P$7)),0,MAX(0,ROUND((INDEX($E1028:$G1028,P$5)-SUMIFS(TF_Timer,TF_Tekniker,P$4,TF_Dato,$A1028))*2,0)/2)))</f>
        <v/>
      </c>
      <c r="Q1028">
        <f>IF(OR(Q$4="",$A1028&gt;TODAY()),0,IF(OR(INDEX($B1028:$D1028,Q$5)="F",AND(Q$6&gt;0,$A1028&lt;Q$6),AND(Q$7&gt;0,$A1028&gt;Q$7)),0,MAX(0,ROUND((INDEX($E1028:$G1028,Q$5)-SUMIFS(TF_Timer,TF_Tekniker,Q$4,TF_Dato,$A1028))*2,0)/2)))</f>
        <v/>
      </c>
      <c r="R1028">
        <f>IF(OR(R$4="",$A1028&gt;TODAY()),0,IF(OR(INDEX($B1028:$D1028,R$5)="F",AND(R$6&gt;0,$A1028&lt;R$6),AND(R$7&gt;0,$A1028&gt;R$7)),0,MAX(0,ROUND((INDEX($E1028:$G1028,R$5)-SUMIFS(TF_Timer,TF_Tekniker,R$4,TF_Dato,$A1028))*2,0)/2)))</f>
        <v/>
      </c>
      <c r="S1028">
        <f>IF(OR(S$4="",$A1028&gt;TODAY()),0,IF(OR(INDEX($B1028:$D1028,S$5)="F",AND(S$6&gt;0,$A1028&lt;S$6),AND(S$7&gt;0,$A1028&gt;S$7)),0,MAX(0,ROUND((INDEX($E1028:$G1028,S$5)-SUMIFS(TF_Timer,TF_Tekniker,S$4,TF_Dato,$A1028))*2,0)/2)))</f>
        <v/>
      </c>
      <c r="T1028">
        <f>IF(OR(T$4="",$A1028&gt;TODAY()),0,IF(OR(INDEX($B1028:$D1028,T$5)="F",AND(T$6&gt;0,$A1028&lt;T$6),AND(T$7&gt;0,$A1028&gt;T$7)),0,MAX(0,ROUND((INDEX($E1028:$G1028,T$5)-SUMIFS(TF_Timer,TF_Tekniker,T$4,TF_Dato,$A1028))*2,0)/2)))</f>
        <v/>
      </c>
      <c r="U1028">
        <f>IF(OR(U$4="",$A1028&gt;TODAY()),0,IF(OR(INDEX($B1028:$D1028,U$5)="F",AND(U$6&gt;0,$A1028&lt;U$6),AND(U$7&gt;0,$A1028&gt;U$7)),0,MAX(0,ROUND((INDEX($E1028:$G1028,U$5)-SUMIFS(TF_Timer,TF_Tekniker,U$4,TF_Dato,$A1028))*2,0)/2)))</f>
        <v/>
      </c>
      <c r="V1028">
        <f>IF(OR(V$4="",$A1028&gt;TODAY()),0,IF(OR(INDEX($B1028:$D1028,V$5)="F",AND(V$6&gt;0,$A1028&lt;V$6),AND(V$7&gt;0,$A1028&gt;V$7)),0,MAX(0,ROUND((INDEX($E1028:$G1028,V$5)-SUMIFS(TF_Timer,TF_Tekniker,V$4,TF_Dato,$A1028))*2,0)/2)))</f>
        <v/>
      </c>
      <c r="W1028">
        <f>IF(OR(W$4="",$A1028&gt;TODAY()),0,IF(OR(INDEX($B1028:$D1028,W$5)="F",AND(W$6&gt;0,$A1028&lt;W$6),AND(W$7&gt;0,$A1028&gt;W$7)),0,MAX(0,ROUND((INDEX($E1028:$G1028,W$5)-SUMIFS(TF_Timer,TF_Tekniker,W$4,TF_Dato,$A1028))*2,0)/2)))</f>
        <v/>
      </c>
      <c r="X1028">
        <f>IF(OR(X$4="",$A1028&gt;TODAY()),0,IF(OR(INDEX($B1028:$D1028,X$5)="F",AND(X$6&gt;0,$A1028&lt;X$6),AND(X$7&gt;0,$A1028&gt;X$7)),0,MAX(0,ROUND((INDEX($E1028:$G1028,X$5)-SUMIFS(TF_Timer,TF_Tekniker,X$4,TF_Dato,$A1028))*2,0)/2)))</f>
        <v/>
      </c>
      <c r="Y1028">
        <f>IF(OR(Y$4="",$A1028&gt;TODAY()),0,IF(OR(INDEX($B1028:$D1028,Y$5)="F",AND(Y$6&gt;0,$A1028&lt;Y$6),AND(Y$7&gt;0,$A1028&gt;Y$7)),0,MAX(0,ROUND((INDEX($E1028:$G1028,Y$5)-SUMIFS(TF_Timer,TF_Tekniker,Y$4,TF_Dato,$A1028))*2,0)/2)))</f>
        <v/>
      </c>
      <c r="Z1028">
        <f>IF(OR(Z$4="",$A1028&gt;TODAY()),0,IF(OR(INDEX($B1028:$D1028,Z$5)="F",AND(Z$6&gt;0,$A1028&lt;Z$6),AND(Z$7&gt;0,$A1028&gt;Z$7)),0,MAX(0,ROUND((INDEX($E1028:$G1028,Z$5)-SUMIFS(TF_Timer,TF_Tekniker,Z$4,TF_Dato,$A1028))*2,0)/2)))</f>
        <v/>
      </c>
      <c r="AA1028">
        <f>IF(OR(AA$4="",$A1028&gt;TODAY()),0,IF(OR(INDEX($B1028:$D1028,AA$5)="F",AND(AA$6&gt;0,$A1028&lt;AA$6),AND(AA$7&gt;0,$A1028&gt;AA$7)),0,MAX(0,ROUND((INDEX($E1028:$G1028,AA$5)-SUMIFS(TF_Timer,TF_Tekniker,AA$4,TF_Dato,$A1028))*2,0)/2)))</f>
        <v/>
      </c>
      <c r="AB1028">
        <f>IF(OR(AB$4="",$A1028&gt;TODAY()),0,IF(OR(INDEX($B1028:$D1028,AB$5)="F",AND(AB$6&gt;0,$A1028&lt;AB$6),AND(AB$7&gt;0,$A1028&gt;AB$7)),0,MAX(0,ROUND((INDEX($E1028:$G1028,AB$5)-SUMIFS(TF_Timer,TF_Tekniker,AB$4,TF_Dato,$A1028))*2,0)/2)))</f>
        <v/>
      </c>
      <c r="AC1028">
        <f>IF(OR(AC$4="",$A1028&gt;TODAY()),0,IF(OR(INDEX($B1028:$D1028,AC$5)="F",AND(AC$6&gt;0,$A1028&lt;AC$6),AND(AC$7&gt;0,$A1028&gt;AC$7)),0,MAX(0,ROUND((INDEX($E1028:$G1028,AC$5)-SUMIFS(TF_Timer,TF_Tekniker,AC$4,TF_Dato,$A1028))*2,0)/2)))</f>
        <v/>
      </c>
      <c r="AD1028">
        <f>IF(OR(AD$4="",$A1028&gt;TODAY()),0,IF(OR(INDEX($B1028:$D1028,AD$5)="F",AND(AD$6&gt;0,$A1028&lt;AD$6),AND(AD$7&gt;0,$A1028&gt;AD$7)),0,MAX(0,ROUND((INDEX($E1028:$G1028,AD$5)-SUMIFS(TF_Timer,TF_Tekniker,AD$4,TF_Dato,$A1028))*2,0)/2)))</f>
        <v/>
      </c>
      <c r="AE1028">
        <f>IF(OR(AE$4="",$A1028&gt;TODAY()),0,IF(OR(INDEX($B1028:$D1028,AE$5)="F",AND(AE$6&gt;0,$A1028&lt;AE$6),AND(AE$7&gt;0,$A1028&gt;AE$7)),0,MAX(0,ROUND((INDEX($E1028:$G1028,AE$5)-SUMIFS(TF_Timer,TF_Tekniker,AE$4,TF_Dato,$A1028))*2,0)/2)))</f>
        <v/>
      </c>
      <c r="AF1028">
        <f>IF(OR(AF$4="",$A1028&gt;TODAY()),0,IF(OR(INDEX($B1028:$D1028,AF$5)="F",AND(AF$6&gt;0,$A1028&lt;AF$6),AND(AF$7&gt;0,$A1028&gt;AF$7)),0,MAX(0,ROUND((INDEX($E1028:$G1028,AF$5)-SUMIFS(TF_Timer,TF_Tekniker,AF$4,TF_Dato,$A1028))*2,0)/2)))</f>
        <v/>
      </c>
      <c r="AG1028">
        <f>IF(OR(AG$4="",$A1028&gt;TODAY()),0,IF(OR(INDEX($B1028:$D1028,AG$5)="F",AND(AG$6&gt;0,$A1028&lt;AG$6),AND(AG$7&gt;0,$A1028&gt;AG$7)),0,MAX(0,ROUND((INDEX($E1028:$G1028,AG$5)-SUMIFS(TF_Timer,TF_Tekniker,AG$4,TF_Dato,$A1028))*2,0)/2)))</f>
        <v/>
      </c>
      <c r="AH1028">
        <f>IF(OR(AH$4="",$A1028&gt;TODAY()),0,IF(OR(INDEX($B1028:$D1028,AH$5)="F",AND(AH$6&gt;0,$A1028&lt;AH$6),AND(AH$7&gt;0,$A1028&gt;AH$7)),0,MAX(0,ROUND((INDEX($E1028:$G1028,AH$5)-SUMIFS(TF_Timer,TF_Tekniker,AH$4,TF_Dato,$A1028))*2,0)/2)))</f>
        <v/>
      </c>
      <c r="AI1028">
        <f>IF(OR(AI$4="",$A1028&gt;TODAY()),0,IF(OR(INDEX($B1028:$D1028,AI$5)="F",AND(AI$6&gt;0,$A1028&lt;AI$6),AND(AI$7&gt;0,$A1028&gt;AI$7)),0,MAX(0,ROUND((INDEX($E1028:$G1028,AI$5)-SUMIFS(TF_Timer,TF_Tekniker,AI$4,TF_Dato,$A1028))*2,0)/2)))</f>
        <v/>
      </c>
      <c r="AJ1028">
        <f>IF(OR(AJ$4="",$A1028&gt;TODAY()),0,IF(OR(INDEX($B1028:$D1028,AJ$5)="F",AND(AJ$6&gt;0,$A1028&lt;AJ$6),AND(AJ$7&gt;0,$A1028&gt;AJ$7)),0,MAX(0,ROUND((INDEX($E1028:$G1028,AJ$5)-SUMIFS(TF_Timer,TF_Tekniker,AJ$4,TF_Dato,$A1028))*2,0)/2)))</f>
        <v/>
      </c>
      <c r="AK1028">
        <f>IF(OR(AK$4="",$A1028&gt;TODAY()),0,IF(OR(INDEX($B1028:$D1028,AK$5)="F",AND(AK$6&gt;0,$A1028&lt;AK$6),AND(AK$7&gt;0,$A1028&gt;AK$7)),0,MAX(0,ROUND((INDEX($E1028:$G1028,AK$5)-SUMIFS(TF_Timer,TF_Tekniker,AK$4,TF_Dato,$A1028))*2,0)/2)))</f>
        <v/>
      </c>
      <c r="AL1028">
        <f>IF(OR(AL$4="",$A1028&gt;TODAY()),0,IF(OR(INDEX($B1028:$D1028,AL$5)="F",AND(AL$6&gt;0,$A1028&lt;AL$6),AND(AL$7&gt;0,$A1028&gt;AL$7)),0,MAX(0,ROUND((INDEX($E1028:$G1028,AL$5)-SUMIFS(TF_Timer,TF_Tekniker,AL$4,TF_Dato,$A1028))*2,0)/2)))</f>
        <v/>
      </c>
      <c r="AM1028">
        <f>IF(OR(AM$4="",$A1028&gt;TODAY()),0,IF(OR(INDEX($B1028:$D1028,AM$5)="F",AND(AM$6&gt;0,$A1028&lt;AM$6),AND(AM$7&gt;0,$A1028&gt;AM$7)),0,MAX(0,ROUND((INDEX($E1028:$G1028,AM$5)-SUMIFS(TF_Timer,TF_Tekniker,AM$4,TF_Dato,$A1028))*2,0)/2)))</f>
        <v/>
      </c>
      <c r="AN1028">
        <f>IF(OR(AN$4="",$A1028&gt;TODAY()),0,IF(OR(INDEX($B1028:$D1028,AN$5)="F",AND(AN$6&gt;0,$A1028&lt;AN$6),AND(AN$7&gt;0,$A1028&gt;AN$7)),0,MAX(0,ROUND((INDEX($E1028:$G1028,AN$5)-SUMIFS(TF_Timer,TF_Tekniker,AN$4,TF_Dato,$A1028))*2,0)/2)))</f>
        <v/>
      </c>
      <c r="AO1028">
        <f>IF(OR(AO$4="",$A1028&gt;TODAY()),0,IF(OR(INDEX($B1028:$D1028,AO$5)="F",AND(AO$6&gt;0,$A1028&lt;AO$6),AND(AO$7&gt;0,$A1028&gt;AO$7)),0,MAX(0,ROUND((INDEX($E1028:$G1028,AO$5)-SUMIFS(TF_Timer,TF_Tekniker,AO$4,TF_Dato,$A1028))*2,0)/2)))</f>
        <v/>
      </c>
      <c r="AP1028">
        <f>IF(OR(AP$4="",$A1028&gt;TODAY()),0,IF(OR(INDEX($B1028:$D1028,AP$5)="F",AND(AP$6&gt;0,$A1028&lt;AP$6),AND(AP$7&gt;0,$A1028&gt;AP$7)),0,MAX(0,ROUND((INDEX($E1028:$G1028,AP$5)-SUMIFS(TF_Timer,TF_Tekniker,AP$4,TF_Dato,$A1028))*2,0)/2)))</f>
        <v/>
      </c>
      <c r="AQ1028">
        <f>IF(OR(AQ$4="",$A1028&gt;TODAY()),0,IF(OR(INDEX($B1028:$D1028,AQ$5)="F",AND(AQ$6&gt;0,$A1028&lt;AQ$6),AND(AQ$7&gt;0,$A1028&gt;AQ$7)),0,MAX(0,ROUND((INDEX($E1028:$G1028,AQ$5)-SUMIFS(TF_Timer,TF_Tekniker,AQ$4,TF_Dato,$A1028))*2,0)/2)))</f>
        <v/>
      </c>
      <c r="AR1028">
        <f>IF(OR(AR$4="",$A1028&gt;TODAY()),0,IF(OR(INDEX($B1028:$D1028,AR$5)="F",AND(AR$6&gt;0,$A1028&lt;AR$6),AND(AR$7&gt;0,$A1028&gt;AR$7)),0,MAX(0,ROUND((INDEX($E1028:$G1028,AR$5)-SUMIFS(TF_Timer,TF_Tekniker,AR$4,TF_Dato,$A1028))*2,0)/2)))</f>
        <v/>
      </c>
      <c r="AS1028">
        <f>IF(OR(AS$4="",$A1028&gt;TODAY()),0,IF(OR(INDEX($B1028:$D1028,AS$5)="F",AND(AS$6&gt;0,$A1028&lt;AS$6),AND(AS$7&gt;0,$A1028&gt;AS$7)),0,MAX(0,ROUND((INDEX($E1028:$G1028,AS$5)-SUMIFS(TF_Timer,TF_Tekniker,AS$4,TF_Dato,$A1028))*2,0)/2)))</f>
        <v/>
      </c>
      <c r="AT1028">
        <f>IF(OR(AT$4="",$A1028&gt;TODAY()),0,IF(OR(INDEX($B1028:$D1028,AT$5)="F",AND(AT$6&gt;0,$A1028&lt;AT$6),AND(AT$7&gt;0,$A1028&gt;AT$7)),0,MAX(0,ROUND((INDEX($E1028:$G1028,AT$5)-SUMIFS(TF_Timer,TF_Tekniker,AT$4,TF_Dato,$A1028))*2,0)/2)))</f>
        <v/>
      </c>
      <c r="AU1028">
        <f>IF(OR(AU$4="",$A1028&gt;TODAY()),0,IF(OR(INDEX($B1028:$D1028,AU$5)="F",AND(AU$6&gt;0,$A1028&lt;AU$6),AND(AU$7&gt;0,$A1028&gt;AU$7)),0,MAX(0,ROUND((INDEX($E1028:$G1028,AU$5)-SUMIFS(TF_Timer,TF_Tekniker,AU$4,TF_Dato,$A1028))*2,0)/2)))</f>
        <v/>
      </c>
      <c r="AV1028">
        <f>IF(OR(AV$4="",$A1028&gt;TODAY()),0,IF(OR(INDEX($B1028:$D1028,AV$5)="F",AND(AV$6&gt;0,$A1028&lt;AV$6),AND(AV$7&gt;0,$A1028&gt;AV$7)),0,MAX(0,ROUND((INDEX($E1028:$G1028,AV$5)-SUMIFS(TF_Timer,TF_Tekniker,AV$4,TF_Dato,$A1028))*2,0)/2)))</f>
        <v/>
      </c>
      <c r="AW1028">
        <f>IF(OR(AW$4="",$A1028&gt;TODAY()),0,IF(OR(INDEX($B1028:$D1028,AW$5)="F",AND(AW$6&gt;0,$A1028&lt;AW$6),AND(AW$7&gt;0,$A1028&gt;AW$7)),0,MAX(0,ROUND((INDEX($E1028:$G1028,AW$5)-SUMIFS(TF_Timer,TF_Tekniker,AW$4,TF_Dato,$A1028))*2,0)/2)))</f>
        <v/>
      </c>
      <c r="AX1028">
        <f>IF(OR(AX$4="",$A1028&gt;TODAY()),0,IF(OR(INDEX($B1028:$D1028,AX$5)="F",AND(AX$6&gt;0,$A1028&lt;AX$6),AND(AX$7&gt;0,$A1028&gt;AX$7)),0,MAX(0,ROUND((INDEX($E1028:$G1028,AX$5)-SUMIFS(TF_Timer,TF_Tekniker,AX$4,TF_Dato,$A1028))*2,0)/2)))</f>
        <v/>
      </c>
      <c r="AY1028">
        <f>IF(OR(AY$4="",$A1028&gt;TODAY()),0,IF(OR(INDEX($B1028:$D1028,AY$5)="F",AND(AY$6&gt;0,$A1028&lt;AY$6),AND(AY$7&gt;0,$A1028&gt;AY$7)),0,MAX(0,ROUND((INDEX($E1028:$G1028,AY$5)-SUMIFS(TF_Timer,TF_Tekniker,AY$4,TF_Dato,$A1028))*2,0)/2)))</f>
        <v/>
      </c>
      <c r="AZ1028">
        <f>IF(OR(AZ$4="",$A1028&gt;TODAY()),0,IF(OR(INDEX($B1028:$D1028,AZ$5)="F",AND(AZ$6&gt;0,$A1028&lt;AZ$6),AND(AZ$7&gt;0,$A1028&gt;AZ$7)),0,MAX(0,ROUND((INDEX($E1028:$G1028,AZ$5)-SUMIFS(TF_Timer,TF_Tekniker,AZ$4,TF_Dato,$A1028))*2,0)/2)))</f>
        <v/>
      </c>
      <c r="BA1028">
        <f>IF(OR(BA$4="",$A1028&gt;TODAY()),0,IF(OR(INDEX($B1028:$D1028,BA$5)="F",AND(BA$6&gt;0,$A1028&lt;BA$6),AND(BA$7&gt;0,$A1028&gt;BA$7)),0,MAX(0,ROUND((INDEX($E1028:$G1028,BA$5)-SUMIFS(TF_Timer,TF_Tekniker,BA$4,TF_Dato,$A1028))*2,0)/2)))</f>
        <v/>
      </c>
      <c r="BB1028">
        <f>IF(OR(BB$4="",$A1028&gt;TODAY()),0,IF(OR(INDEX($B1028:$D1028,BB$5)="F",AND(BB$6&gt;0,$A1028&lt;BB$6),AND(BB$7&gt;0,$A1028&gt;BB$7)),0,MAX(0,ROUND((INDEX($E1028:$G1028,BB$5)-SUMIFS(TF_Timer,TF_Tekniker,BB$4,TF_Dato,$A1028))*2,0)/2)))</f>
        <v/>
      </c>
      <c r="BC1028">
        <f>IF(OR(BC$4="",$A1028&gt;TODAY()),0,IF(OR(INDEX($B1028:$D1028,BC$5)="F",AND(BC$6&gt;0,$A1028&lt;BC$6),AND(BC$7&gt;0,$A1028&gt;BC$7)),0,MAX(0,ROUND((INDEX($E1028:$G1028,BC$5)-SUMIFS(TF_Timer,TF_Tekniker,BC$4,TF_Dato,$A1028))*2,0)/2)))</f>
        <v/>
      </c>
      <c r="BD1028">
        <f>IF(OR(BD$4="",$A1028&gt;TODAY()),0,IF(OR(INDEX($B1028:$D1028,BD$5)="F",AND(BD$6&gt;0,$A1028&lt;BD$6),AND(BD$7&gt;0,$A1028&gt;BD$7)),0,MAX(0,ROUND((INDEX($E1028:$G1028,BD$5)-SUMIFS(TF_Timer,TF_Tekniker,BD$4,TF_Dato,$A1028))*2,0)/2)))</f>
        <v/>
      </c>
      <c r="BE1028">
        <f>IF(OR(BE$4="",$A1028&gt;TODAY()),0,IF(OR(INDEX($B1028:$D1028,BE$5)="F",AND(BE$6&gt;0,$A1028&lt;BE$6),AND(BE$7&gt;0,$A1028&gt;BE$7)),0,MAX(0,ROUND((INDEX($E1028:$G1028,BE$5)-SUMIFS(TF_Timer,TF_Tekniker,BE$4,TF_Dato,$A1028))*2,0)/2)))</f>
        <v/>
      </c>
      <c r="BF1028">
        <f>IF(OR(BF$4="",$A1028&gt;TODAY()),0,IF(OR(INDEX($B1028:$D1028,BF$5)="F",AND(BF$6&gt;0,$A1028&lt;BF$6),AND(BF$7&gt;0,$A1028&gt;BF$7)),0,MAX(0,ROUND((INDEX($E1028:$G1028,BF$5)-SUMIFS(TF_Timer,TF_Tekniker,BF$4,TF_Dato,$A1028))*2,0)/2)))</f>
        <v/>
      </c>
      <c r="BG1028">
        <f>IF(OR(BG$4="",$A1028&gt;TODAY()),0,IF(OR(INDEX($B1028:$D1028,BG$5)="F",AND(BG$6&gt;0,$A1028&lt;BG$6),AND(BG$7&gt;0,$A1028&gt;BG$7)),0,MAX(0,ROUND((INDEX($E1028:$G1028,BG$5)-SUMIFS(TF_Timer,TF_Tekniker,BG$4,TF_Dato,$A1028))*2,0)/2)))</f>
        <v/>
      </c>
      <c r="BH1028">
        <f>IF(OR(BH$4="",$A1028&gt;TODAY()),0,IF(OR(INDEX($B1028:$D1028,BH$5)="F",AND(BH$6&gt;0,$A1028&lt;BH$6),AND(BH$7&gt;0,$A1028&gt;BH$7)),0,MAX(0,ROUND((INDEX($E1028:$G1028,BH$5)-SUMIFS(TF_Timer,TF_Tekniker,BH$4,TF_Dato,$A1028))*2,0)/2)))</f>
        <v/>
      </c>
      <c r="BI1028">
        <f>IF(OR(BI$4="",$A1028&gt;TODAY()),0,IF(OR(INDEX($B1028:$D1028,BI$5)="F",AND(BI$6&gt;0,$A1028&lt;BI$6),AND(BI$7&gt;0,$A1028&gt;BI$7)),0,MAX(0,ROUND((INDEX($E1028:$G1028,BI$5)-SUMIFS(TF_Timer,TF_Tekniker,BI$4,TF_Dato,$A1028))*2,0)/2)))</f>
        <v/>
      </c>
    </row>
    <row r="1029">
      <c r="A1029" s="64">
        <f>A1028+1</f>
        <v/>
      </c>
      <c r="B1029">
        <f>IF(MOD($A1029-INDEX(SkiftStart,1),Syklus)&lt;DagK,"K",IF(MOD($A1029-INDEX(SkiftStart,1),Syklus)&lt;DagK+DagH,"H",IF(MOD($A1029-INDEX(SkiftStart,1),Syklus)&lt;DagK+DagH+DagD,"D","F")))</f>
        <v/>
      </c>
      <c r="C1029">
        <f>IF(MOD($A1029-INDEX(SkiftStart,2),Syklus)&lt;DagK,"K",IF(MOD($A1029-INDEX(SkiftStart,2),Syklus)&lt;DagK+DagH,"H",IF(MOD($A1029-INDEX(SkiftStart,2),Syklus)&lt;DagK+DagH+DagD,"D","F")))</f>
        <v/>
      </c>
      <c r="D1029">
        <f>IF(MOD($A1029-INDEX(SkiftStart,3),Syklus)&lt;DagK,"K",IF(MOD($A1029-INDEX(SkiftStart,3),Syklus)&lt;DagK+DagH,"H",IF(MOD($A1029-INDEX(SkiftStart,3),Syklus)&lt;DagK+DagH+DagD,"D","F")))</f>
        <v/>
      </c>
      <c r="E1029">
        <f>IF(B1029="F",0,IF(WEEKDAY($A1029,2)=5,INDEX(TimerFr,MATCH(B1029,FaseKode,0)),INDEX(TimerMT,MATCH(B1029,FaseKode,0))))</f>
        <v/>
      </c>
      <c r="F1029">
        <f>IF(C1029="F",0,IF(WEEKDAY($A1029,2)=5,INDEX(TimerFr,MATCH(C1029,FaseKode,0)),INDEX(TimerMT,MATCH(C1029,FaseKode,0))))</f>
        <v/>
      </c>
      <c r="G1029">
        <f>IF(D1029="F",0,IF(WEEKDAY($A1029,2)=5,INDEX(TimerFr,MATCH(D1029,FaseKode,0)),INDEX(TimerMT,MATCH(D1029,FaseKode,0))))</f>
        <v/>
      </c>
      <c r="H1029">
        <f>IF(OR(H$4="",$A1029&gt;TODAY()),0,IF(OR(INDEX($B1029:$D1029,H$5)="F",AND(H$6&gt;0,$A1029&lt;H$6),AND(H$7&gt;0,$A1029&gt;H$7)),0,MAX(0,ROUND((INDEX($E1029:$G1029,H$5)-SUMIFS(TF_Timer,TF_Tekniker,H$4,TF_Dato,$A1029))*2,0)/2)))</f>
        <v/>
      </c>
      <c r="I1029">
        <f>IF(OR(I$4="",$A1029&gt;TODAY()),0,IF(OR(INDEX($B1029:$D1029,I$5)="F",AND(I$6&gt;0,$A1029&lt;I$6),AND(I$7&gt;0,$A1029&gt;I$7)),0,MAX(0,ROUND((INDEX($E1029:$G1029,I$5)-SUMIFS(TF_Timer,TF_Tekniker,I$4,TF_Dato,$A1029))*2,0)/2)))</f>
        <v/>
      </c>
      <c r="J1029">
        <f>IF(OR(J$4="",$A1029&gt;TODAY()),0,IF(OR(INDEX($B1029:$D1029,J$5)="F",AND(J$6&gt;0,$A1029&lt;J$6),AND(J$7&gt;0,$A1029&gt;J$7)),0,MAX(0,ROUND((INDEX($E1029:$G1029,J$5)-SUMIFS(TF_Timer,TF_Tekniker,J$4,TF_Dato,$A1029))*2,0)/2)))</f>
        <v/>
      </c>
      <c r="K1029">
        <f>IF(OR(K$4="",$A1029&gt;TODAY()),0,IF(OR(INDEX($B1029:$D1029,K$5)="F",AND(K$6&gt;0,$A1029&lt;K$6),AND(K$7&gt;0,$A1029&gt;K$7)),0,MAX(0,ROUND((INDEX($E1029:$G1029,K$5)-SUMIFS(TF_Timer,TF_Tekniker,K$4,TF_Dato,$A1029))*2,0)/2)))</f>
        <v/>
      </c>
      <c r="L1029">
        <f>IF(OR(L$4="",$A1029&gt;TODAY()),0,IF(OR(INDEX($B1029:$D1029,L$5)="F",AND(L$6&gt;0,$A1029&lt;L$6),AND(L$7&gt;0,$A1029&gt;L$7)),0,MAX(0,ROUND((INDEX($E1029:$G1029,L$5)-SUMIFS(TF_Timer,TF_Tekniker,L$4,TF_Dato,$A1029))*2,0)/2)))</f>
        <v/>
      </c>
      <c r="M1029">
        <f>IF(OR(M$4="",$A1029&gt;TODAY()),0,IF(OR(INDEX($B1029:$D1029,M$5)="F",AND(M$6&gt;0,$A1029&lt;M$6),AND(M$7&gt;0,$A1029&gt;M$7)),0,MAX(0,ROUND((INDEX($E1029:$G1029,M$5)-SUMIFS(TF_Timer,TF_Tekniker,M$4,TF_Dato,$A1029))*2,0)/2)))</f>
        <v/>
      </c>
      <c r="N1029">
        <f>IF(OR(N$4="",$A1029&gt;TODAY()),0,IF(OR(INDEX($B1029:$D1029,N$5)="F",AND(N$6&gt;0,$A1029&lt;N$6),AND(N$7&gt;0,$A1029&gt;N$7)),0,MAX(0,ROUND((INDEX($E1029:$G1029,N$5)-SUMIFS(TF_Timer,TF_Tekniker,N$4,TF_Dato,$A1029))*2,0)/2)))</f>
        <v/>
      </c>
      <c r="O1029">
        <f>IF(OR(O$4="",$A1029&gt;TODAY()),0,IF(OR(INDEX($B1029:$D1029,O$5)="F",AND(O$6&gt;0,$A1029&lt;O$6),AND(O$7&gt;0,$A1029&gt;O$7)),0,MAX(0,ROUND((INDEX($E1029:$G1029,O$5)-SUMIFS(TF_Timer,TF_Tekniker,O$4,TF_Dato,$A1029))*2,0)/2)))</f>
        <v/>
      </c>
      <c r="P1029">
        <f>IF(OR(P$4="",$A1029&gt;TODAY()),0,IF(OR(INDEX($B1029:$D1029,P$5)="F",AND(P$6&gt;0,$A1029&lt;P$6),AND(P$7&gt;0,$A1029&gt;P$7)),0,MAX(0,ROUND((INDEX($E1029:$G1029,P$5)-SUMIFS(TF_Timer,TF_Tekniker,P$4,TF_Dato,$A1029))*2,0)/2)))</f>
        <v/>
      </c>
      <c r="Q1029">
        <f>IF(OR(Q$4="",$A1029&gt;TODAY()),0,IF(OR(INDEX($B1029:$D1029,Q$5)="F",AND(Q$6&gt;0,$A1029&lt;Q$6),AND(Q$7&gt;0,$A1029&gt;Q$7)),0,MAX(0,ROUND((INDEX($E1029:$G1029,Q$5)-SUMIFS(TF_Timer,TF_Tekniker,Q$4,TF_Dato,$A1029))*2,0)/2)))</f>
        <v/>
      </c>
      <c r="R1029">
        <f>IF(OR(R$4="",$A1029&gt;TODAY()),0,IF(OR(INDEX($B1029:$D1029,R$5)="F",AND(R$6&gt;0,$A1029&lt;R$6),AND(R$7&gt;0,$A1029&gt;R$7)),0,MAX(0,ROUND((INDEX($E1029:$G1029,R$5)-SUMIFS(TF_Timer,TF_Tekniker,R$4,TF_Dato,$A1029))*2,0)/2)))</f>
        <v/>
      </c>
      <c r="S1029">
        <f>IF(OR(S$4="",$A1029&gt;TODAY()),0,IF(OR(INDEX($B1029:$D1029,S$5)="F",AND(S$6&gt;0,$A1029&lt;S$6),AND(S$7&gt;0,$A1029&gt;S$7)),0,MAX(0,ROUND((INDEX($E1029:$G1029,S$5)-SUMIFS(TF_Timer,TF_Tekniker,S$4,TF_Dato,$A1029))*2,0)/2)))</f>
        <v/>
      </c>
      <c r="T1029">
        <f>IF(OR(T$4="",$A1029&gt;TODAY()),0,IF(OR(INDEX($B1029:$D1029,T$5)="F",AND(T$6&gt;0,$A1029&lt;T$6),AND(T$7&gt;0,$A1029&gt;T$7)),0,MAX(0,ROUND((INDEX($E1029:$G1029,T$5)-SUMIFS(TF_Timer,TF_Tekniker,T$4,TF_Dato,$A1029))*2,0)/2)))</f>
        <v/>
      </c>
      <c r="U1029">
        <f>IF(OR(U$4="",$A1029&gt;TODAY()),0,IF(OR(INDEX($B1029:$D1029,U$5)="F",AND(U$6&gt;0,$A1029&lt;U$6),AND(U$7&gt;0,$A1029&gt;U$7)),0,MAX(0,ROUND((INDEX($E1029:$G1029,U$5)-SUMIFS(TF_Timer,TF_Tekniker,U$4,TF_Dato,$A1029))*2,0)/2)))</f>
        <v/>
      </c>
      <c r="V1029">
        <f>IF(OR(V$4="",$A1029&gt;TODAY()),0,IF(OR(INDEX($B1029:$D1029,V$5)="F",AND(V$6&gt;0,$A1029&lt;V$6),AND(V$7&gt;0,$A1029&gt;V$7)),0,MAX(0,ROUND((INDEX($E1029:$G1029,V$5)-SUMIFS(TF_Timer,TF_Tekniker,V$4,TF_Dato,$A1029))*2,0)/2)))</f>
        <v/>
      </c>
      <c r="W1029">
        <f>IF(OR(W$4="",$A1029&gt;TODAY()),0,IF(OR(INDEX($B1029:$D1029,W$5)="F",AND(W$6&gt;0,$A1029&lt;W$6),AND(W$7&gt;0,$A1029&gt;W$7)),0,MAX(0,ROUND((INDEX($E1029:$G1029,W$5)-SUMIFS(TF_Timer,TF_Tekniker,W$4,TF_Dato,$A1029))*2,0)/2)))</f>
        <v/>
      </c>
      <c r="X1029">
        <f>IF(OR(X$4="",$A1029&gt;TODAY()),0,IF(OR(INDEX($B1029:$D1029,X$5)="F",AND(X$6&gt;0,$A1029&lt;X$6),AND(X$7&gt;0,$A1029&gt;X$7)),0,MAX(0,ROUND((INDEX($E1029:$G1029,X$5)-SUMIFS(TF_Timer,TF_Tekniker,X$4,TF_Dato,$A1029))*2,0)/2)))</f>
        <v/>
      </c>
      <c r="Y1029">
        <f>IF(OR(Y$4="",$A1029&gt;TODAY()),0,IF(OR(INDEX($B1029:$D1029,Y$5)="F",AND(Y$6&gt;0,$A1029&lt;Y$6),AND(Y$7&gt;0,$A1029&gt;Y$7)),0,MAX(0,ROUND((INDEX($E1029:$G1029,Y$5)-SUMIFS(TF_Timer,TF_Tekniker,Y$4,TF_Dato,$A1029))*2,0)/2)))</f>
        <v/>
      </c>
      <c r="Z1029">
        <f>IF(OR(Z$4="",$A1029&gt;TODAY()),0,IF(OR(INDEX($B1029:$D1029,Z$5)="F",AND(Z$6&gt;0,$A1029&lt;Z$6),AND(Z$7&gt;0,$A1029&gt;Z$7)),0,MAX(0,ROUND((INDEX($E1029:$G1029,Z$5)-SUMIFS(TF_Timer,TF_Tekniker,Z$4,TF_Dato,$A1029))*2,0)/2)))</f>
        <v/>
      </c>
      <c r="AA1029">
        <f>IF(OR(AA$4="",$A1029&gt;TODAY()),0,IF(OR(INDEX($B1029:$D1029,AA$5)="F",AND(AA$6&gt;0,$A1029&lt;AA$6),AND(AA$7&gt;0,$A1029&gt;AA$7)),0,MAX(0,ROUND((INDEX($E1029:$G1029,AA$5)-SUMIFS(TF_Timer,TF_Tekniker,AA$4,TF_Dato,$A1029))*2,0)/2)))</f>
        <v/>
      </c>
      <c r="AB1029">
        <f>IF(OR(AB$4="",$A1029&gt;TODAY()),0,IF(OR(INDEX($B1029:$D1029,AB$5)="F",AND(AB$6&gt;0,$A1029&lt;AB$6),AND(AB$7&gt;0,$A1029&gt;AB$7)),0,MAX(0,ROUND((INDEX($E1029:$G1029,AB$5)-SUMIFS(TF_Timer,TF_Tekniker,AB$4,TF_Dato,$A1029))*2,0)/2)))</f>
        <v/>
      </c>
      <c r="AC1029">
        <f>IF(OR(AC$4="",$A1029&gt;TODAY()),0,IF(OR(INDEX($B1029:$D1029,AC$5)="F",AND(AC$6&gt;0,$A1029&lt;AC$6),AND(AC$7&gt;0,$A1029&gt;AC$7)),0,MAX(0,ROUND((INDEX($E1029:$G1029,AC$5)-SUMIFS(TF_Timer,TF_Tekniker,AC$4,TF_Dato,$A1029))*2,0)/2)))</f>
        <v/>
      </c>
      <c r="AD1029">
        <f>IF(OR(AD$4="",$A1029&gt;TODAY()),0,IF(OR(INDEX($B1029:$D1029,AD$5)="F",AND(AD$6&gt;0,$A1029&lt;AD$6),AND(AD$7&gt;0,$A1029&gt;AD$7)),0,MAX(0,ROUND((INDEX($E1029:$G1029,AD$5)-SUMIFS(TF_Timer,TF_Tekniker,AD$4,TF_Dato,$A1029))*2,0)/2)))</f>
        <v/>
      </c>
      <c r="AE1029">
        <f>IF(OR(AE$4="",$A1029&gt;TODAY()),0,IF(OR(INDEX($B1029:$D1029,AE$5)="F",AND(AE$6&gt;0,$A1029&lt;AE$6),AND(AE$7&gt;0,$A1029&gt;AE$7)),0,MAX(0,ROUND((INDEX($E1029:$G1029,AE$5)-SUMIFS(TF_Timer,TF_Tekniker,AE$4,TF_Dato,$A1029))*2,0)/2)))</f>
        <v/>
      </c>
      <c r="AF1029">
        <f>IF(OR(AF$4="",$A1029&gt;TODAY()),0,IF(OR(INDEX($B1029:$D1029,AF$5)="F",AND(AF$6&gt;0,$A1029&lt;AF$6),AND(AF$7&gt;0,$A1029&gt;AF$7)),0,MAX(0,ROUND((INDEX($E1029:$G1029,AF$5)-SUMIFS(TF_Timer,TF_Tekniker,AF$4,TF_Dato,$A1029))*2,0)/2)))</f>
        <v/>
      </c>
      <c r="AG1029">
        <f>IF(OR(AG$4="",$A1029&gt;TODAY()),0,IF(OR(INDEX($B1029:$D1029,AG$5)="F",AND(AG$6&gt;0,$A1029&lt;AG$6),AND(AG$7&gt;0,$A1029&gt;AG$7)),0,MAX(0,ROUND((INDEX($E1029:$G1029,AG$5)-SUMIFS(TF_Timer,TF_Tekniker,AG$4,TF_Dato,$A1029))*2,0)/2)))</f>
        <v/>
      </c>
      <c r="AH1029">
        <f>IF(OR(AH$4="",$A1029&gt;TODAY()),0,IF(OR(INDEX($B1029:$D1029,AH$5)="F",AND(AH$6&gt;0,$A1029&lt;AH$6),AND(AH$7&gt;0,$A1029&gt;AH$7)),0,MAX(0,ROUND((INDEX($E1029:$G1029,AH$5)-SUMIFS(TF_Timer,TF_Tekniker,AH$4,TF_Dato,$A1029))*2,0)/2)))</f>
        <v/>
      </c>
      <c r="AI1029">
        <f>IF(OR(AI$4="",$A1029&gt;TODAY()),0,IF(OR(INDEX($B1029:$D1029,AI$5)="F",AND(AI$6&gt;0,$A1029&lt;AI$6),AND(AI$7&gt;0,$A1029&gt;AI$7)),0,MAX(0,ROUND((INDEX($E1029:$G1029,AI$5)-SUMIFS(TF_Timer,TF_Tekniker,AI$4,TF_Dato,$A1029))*2,0)/2)))</f>
        <v/>
      </c>
      <c r="AJ1029">
        <f>IF(OR(AJ$4="",$A1029&gt;TODAY()),0,IF(OR(INDEX($B1029:$D1029,AJ$5)="F",AND(AJ$6&gt;0,$A1029&lt;AJ$6),AND(AJ$7&gt;0,$A1029&gt;AJ$7)),0,MAX(0,ROUND((INDEX($E1029:$G1029,AJ$5)-SUMIFS(TF_Timer,TF_Tekniker,AJ$4,TF_Dato,$A1029))*2,0)/2)))</f>
        <v/>
      </c>
      <c r="AK1029">
        <f>IF(OR(AK$4="",$A1029&gt;TODAY()),0,IF(OR(INDEX($B1029:$D1029,AK$5)="F",AND(AK$6&gt;0,$A1029&lt;AK$6),AND(AK$7&gt;0,$A1029&gt;AK$7)),0,MAX(0,ROUND((INDEX($E1029:$G1029,AK$5)-SUMIFS(TF_Timer,TF_Tekniker,AK$4,TF_Dato,$A1029))*2,0)/2)))</f>
        <v/>
      </c>
      <c r="AL1029">
        <f>IF(OR(AL$4="",$A1029&gt;TODAY()),0,IF(OR(INDEX($B1029:$D1029,AL$5)="F",AND(AL$6&gt;0,$A1029&lt;AL$6),AND(AL$7&gt;0,$A1029&gt;AL$7)),0,MAX(0,ROUND((INDEX($E1029:$G1029,AL$5)-SUMIFS(TF_Timer,TF_Tekniker,AL$4,TF_Dato,$A1029))*2,0)/2)))</f>
        <v/>
      </c>
      <c r="AM1029">
        <f>IF(OR(AM$4="",$A1029&gt;TODAY()),0,IF(OR(INDEX($B1029:$D1029,AM$5)="F",AND(AM$6&gt;0,$A1029&lt;AM$6),AND(AM$7&gt;0,$A1029&gt;AM$7)),0,MAX(0,ROUND((INDEX($E1029:$G1029,AM$5)-SUMIFS(TF_Timer,TF_Tekniker,AM$4,TF_Dato,$A1029))*2,0)/2)))</f>
        <v/>
      </c>
      <c r="AN1029">
        <f>IF(OR(AN$4="",$A1029&gt;TODAY()),0,IF(OR(INDEX($B1029:$D1029,AN$5)="F",AND(AN$6&gt;0,$A1029&lt;AN$6),AND(AN$7&gt;0,$A1029&gt;AN$7)),0,MAX(0,ROUND((INDEX($E1029:$G1029,AN$5)-SUMIFS(TF_Timer,TF_Tekniker,AN$4,TF_Dato,$A1029))*2,0)/2)))</f>
        <v/>
      </c>
      <c r="AO1029">
        <f>IF(OR(AO$4="",$A1029&gt;TODAY()),0,IF(OR(INDEX($B1029:$D1029,AO$5)="F",AND(AO$6&gt;0,$A1029&lt;AO$6),AND(AO$7&gt;0,$A1029&gt;AO$7)),0,MAX(0,ROUND((INDEX($E1029:$G1029,AO$5)-SUMIFS(TF_Timer,TF_Tekniker,AO$4,TF_Dato,$A1029))*2,0)/2)))</f>
        <v/>
      </c>
      <c r="AP1029">
        <f>IF(OR(AP$4="",$A1029&gt;TODAY()),0,IF(OR(INDEX($B1029:$D1029,AP$5)="F",AND(AP$6&gt;0,$A1029&lt;AP$6),AND(AP$7&gt;0,$A1029&gt;AP$7)),0,MAX(0,ROUND((INDEX($E1029:$G1029,AP$5)-SUMIFS(TF_Timer,TF_Tekniker,AP$4,TF_Dato,$A1029))*2,0)/2)))</f>
        <v/>
      </c>
      <c r="AQ1029">
        <f>IF(OR(AQ$4="",$A1029&gt;TODAY()),0,IF(OR(INDEX($B1029:$D1029,AQ$5)="F",AND(AQ$6&gt;0,$A1029&lt;AQ$6),AND(AQ$7&gt;0,$A1029&gt;AQ$7)),0,MAX(0,ROUND((INDEX($E1029:$G1029,AQ$5)-SUMIFS(TF_Timer,TF_Tekniker,AQ$4,TF_Dato,$A1029))*2,0)/2)))</f>
        <v/>
      </c>
      <c r="AR1029">
        <f>IF(OR(AR$4="",$A1029&gt;TODAY()),0,IF(OR(INDEX($B1029:$D1029,AR$5)="F",AND(AR$6&gt;0,$A1029&lt;AR$6),AND(AR$7&gt;0,$A1029&gt;AR$7)),0,MAX(0,ROUND((INDEX($E1029:$G1029,AR$5)-SUMIFS(TF_Timer,TF_Tekniker,AR$4,TF_Dato,$A1029))*2,0)/2)))</f>
        <v/>
      </c>
      <c r="AS1029">
        <f>IF(OR(AS$4="",$A1029&gt;TODAY()),0,IF(OR(INDEX($B1029:$D1029,AS$5)="F",AND(AS$6&gt;0,$A1029&lt;AS$6),AND(AS$7&gt;0,$A1029&gt;AS$7)),0,MAX(0,ROUND((INDEX($E1029:$G1029,AS$5)-SUMIFS(TF_Timer,TF_Tekniker,AS$4,TF_Dato,$A1029))*2,0)/2)))</f>
        <v/>
      </c>
      <c r="AT1029">
        <f>IF(OR(AT$4="",$A1029&gt;TODAY()),0,IF(OR(INDEX($B1029:$D1029,AT$5)="F",AND(AT$6&gt;0,$A1029&lt;AT$6),AND(AT$7&gt;0,$A1029&gt;AT$7)),0,MAX(0,ROUND((INDEX($E1029:$G1029,AT$5)-SUMIFS(TF_Timer,TF_Tekniker,AT$4,TF_Dato,$A1029))*2,0)/2)))</f>
        <v/>
      </c>
      <c r="AU1029">
        <f>IF(OR(AU$4="",$A1029&gt;TODAY()),0,IF(OR(INDEX($B1029:$D1029,AU$5)="F",AND(AU$6&gt;0,$A1029&lt;AU$6),AND(AU$7&gt;0,$A1029&gt;AU$7)),0,MAX(0,ROUND((INDEX($E1029:$G1029,AU$5)-SUMIFS(TF_Timer,TF_Tekniker,AU$4,TF_Dato,$A1029))*2,0)/2)))</f>
        <v/>
      </c>
      <c r="AV1029">
        <f>IF(OR(AV$4="",$A1029&gt;TODAY()),0,IF(OR(INDEX($B1029:$D1029,AV$5)="F",AND(AV$6&gt;0,$A1029&lt;AV$6),AND(AV$7&gt;0,$A1029&gt;AV$7)),0,MAX(0,ROUND((INDEX($E1029:$G1029,AV$5)-SUMIFS(TF_Timer,TF_Tekniker,AV$4,TF_Dato,$A1029))*2,0)/2)))</f>
        <v/>
      </c>
      <c r="AW1029">
        <f>IF(OR(AW$4="",$A1029&gt;TODAY()),0,IF(OR(INDEX($B1029:$D1029,AW$5)="F",AND(AW$6&gt;0,$A1029&lt;AW$6),AND(AW$7&gt;0,$A1029&gt;AW$7)),0,MAX(0,ROUND((INDEX($E1029:$G1029,AW$5)-SUMIFS(TF_Timer,TF_Tekniker,AW$4,TF_Dato,$A1029))*2,0)/2)))</f>
        <v/>
      </c>
      <c r="AX1029">
        <f>IF(OR(AX$4="",$A1029&gt;TODAY()),0,IF(OR(INDEX($B1029:$D1029,AX$5)="F",AND(AX$6&gt;0,$A1029&lt;AX$6),AND(AX$7&gt;0,$A1029&gt;AX$7)),0,MAX(0,ROUND((INDEX($E1029:$G1029,AX$5)-SUMIFS(TF_Timer,TF_Tekniker,AX$4,TF_Dato,$A1029))*2,0)/2)))</f>
        <v/>
      </c>
      <c r="AY1029">
        <f>IF(OR(AY$4="",$A1029&gt;TODAY()),0,IF(OR(INDEX($B1029:$D1029,AY$5)="F",AND(AY$6&gt;0,$A1029&lt;AY$6),AND(AY$7&gt;0,$A1029&gt;AY$7)),0,MAX(0,ROUND((INDEX($E1029:$G1029,AY$5)-SUMIFS(TF_Timer,TF_Tekniker,AY$4,TF_Dato,$A1029))*2,0)/2)))</f>
        <v/>
      </c>
      <c r="AZ1029">
        <f>IF(OR(AZ$4="",$A1029&gt;TODAY()),0,IF(OR(INDEX($B1029:$D1029,AZ$5)="F",AND(AZ$6&gt;0,$A1029&lt;AZ$6),AND(AZ$7&gt;0,$A1029&gt;AZ$7)),0,MAX(0,ROUND((INDEX($E1029:$G1029,AZ$5)-SUMIFS(TF_Timer,TF_Tekniker,AZ$4,TF_Dato,$A1029))*2,0)/2)))</f>
        <v/>
      </c>
      <c r="BA1029">
        <f>IF(OR(BA$4="",$A1029&gt;TODAY()),0,IF(OR(INDEX($B1029:$D1029,BA$5)="F",AND(BA$6&gt;0,$A1029&lt;BA$6),AND(BA$7&gt;0,$A1029&gt;BA$7)),0,MAX(0,ROUND((INDEX($E1029:$G1029,BA$5)-SUMIFS(TF_Timer,TF_Tekniker,BA$4,TF_Dato,$A1029))*2,0)/2)))</f>
        <v/>
      </c>
      <c r="BB1029">
        <f>IF(OR(BB$4="",$A1029&gt;TODAY()),0,IF(OR(INDEX($B1029:$D1029,BB$5)="F",AND(BB$6&gt;0,$A1029&lt;BB$6),AND(BB$7&gt;0,$A1029&gt;BB$7)),0,MAX(0,ROUND((INDEX($E1029:$G1029,BB$5)-SUMIFS(TF_Timer,TF_Tekniker,BB$4,TF_Dato,$A1029))*2,0)/2)))</f>
        <v/>
      </c>
      <c r="BC1029">
        <f>IF(OR(BC$4="",$A1029&gt;TODAY()),0,IF(OR(INDEX($B1029:$D1029,BC$5)="F",AND(BC$6&gt;0,$A1029&lt;BC$6),AND(BC$7&gt;0,$A1029&gt;BC$7)),0,MAX(0,ROUND((INDEX($E1029:$G1029,BC$5)-SUMIFS(TF_Timer,TF_Tekniker,BC$4,TF_Dato,$A1029))*2,0)/2)))</f>
        <v/>
      </c>
      <c r="BD1029">
        <f>IF(OR(BD$4="",$A1029&gt;TODAY()),0,IF(OR(INDEX($B1029:$D1029,BD$5)="F",AND(BD$6&gt;0,$A1029&lt;BD$6),AND(BD$7&gt;0,$A1029&gt;BD$7)),0,MAX(0,ROUND((INDEX($E1029:$G1029,BD$5)-SUMIFS(TF_Timer,TF_Tekniker,BD$4,TF_Dato,$A1029))*2,0)/2)))</f>
        <v/>
      </c>
      <c r="BE1029">
        <f>IF(OR(BE$4="",$A1029&gt;TODAY()),0,IF(OR(INDEX($B1029:$D1029,BE$5)="F",AND(BE$6&gt;0,$A1029&lt;BE$6),AND(BE$7&gt;0,$A1029&gt;BE$7)),0,MAX(0,ROUND((INDEX($E1029:$G1029,BE$5)-SUMIFS(TF_Timer,TF_Tekniker,BE$4,TF_Dato,$A1029))*2,0)/2)))</f>
        <v/>
      </c>
      <c r="BF1029">
        <f>IF(OR(BF$4="",$A1029&gt;TODAY()),0,IF(OR(INDEX($B1029:$D1029,BF$5)="F",AND(BF$6&gt;0,$A1029&lt;BF$6),AND(BF$7&gt;0,$A1029&gt;BF$7)),0,MAX(0,ROUND((INDEX($E1029:$G1029,BF$5)-SUMIFS(TF_Timer,TF_Tekniker,BF$4,TF_Dato,$A1029))*2,0)/2)))</f>
        <v/>
      </c>
      <c r="BG1029">
        <f>IF(OR(BG$4="",$A1029&gt;TODAY()),0,IF(OR(INDEX($B1029:$D1029,BG$5)="F",AND(BG$6&gt;0,$A1029&lt;BG$6),AND(BG$7&gt;0,$A1029&gt;BG$7)),0,MAX(0,ROUND((INDEX($E1029:$G1029,BG$5)-SUMIFS(TF_Timer,TF_Tekniker,BG$4,TF_Dato,$A1029))*2,0)/2)))</f>
        <v/>
      </c>
      <c r="BH1029">
        <f>IF(OR(BH$4="",$A1029&gt;TODAY()),0,IF(OR(INDEX($B1029:$D1029,BH$5)="F",AND(BH$6&gt;0,$A1029&lt;BH$6),AND(BH$7&gt;0,$A1029&gt;BH$7)),0,MAX(0,ROUND((INDEX($E1029:$G1029,BH$5)-SUMIFS(TF_Timer,TF_Tekniker,BH$4,TF_Dato,$A1029))*2,0)/2)))</f>
        <v/>
      </c>
      <c r="BI1029">
        <f>IF(OR(BI$4="",$A1029&gt;TODAY()),0,IF(OR(INDEX($B1029:$D1029,BI$5)="F",AND(BI$6&gt;0,$A1029&lt;BI$6),AND(BI$7&gt;0,$A1029&gt;BI$7)),0,MAX(0,ROUND((INDEX($E1029:$G1029,BI$5)-SUMIFS(TF_Timer,TF_Tekniker,BI$4,TF_Dato,$A1029))*2,0)/2)))</f>
        <v/>
      </c>
    </row>
    <row r="1030">
      <c r="A1030" s="64">
        <f>A1029+1</f>
        <v/>
      </c>
      <c r="B1030">
        <f>IF(MOD($A1030-INDEX(SkiftStart,1),Syklus)&lt;DagK,"K",IF(MOD($A1030-INDEX(SkiftStart,1),Syklus)&lt;DagK+DagH,"H",IF(MOD($A1030-INDEX(SkiftStart,1),Syklus)&lt;DagK+DagH+DagD,"D","F")))</f>
        <v/>
      </c>
      <c r="C1030">
        <f>IF(MOD($A1030-INDEX(SkiftStart,2),Syklus)&lt;DagK,"K",IF(MOD($A1030-INDEX(SkiftStart,2),Syklus)&lt;DagK+DagH,"H",IF(MOD($A1030-INDEX(SkiftStart,2),Syklus)&lt;DagK+DagH+DagD,"D","F")))</f>
        <v/>
      </c>
      <c r="D1030">
        <f>IF(MOD($A1030-INDEX(SkiftStart,3),Syklus)&lt;DagK,"K",IF(MOD($A1030-INDEX(SkiftStart,3),Syklus)&lt;DagK+DagH,"H",IF(MOD($A1030-INDEX(SkiftStart,3),Syklus)&lt;DagK+DagH+DagD,"D","F")))</f>
        <v/>
      </c>
      <c r="E1030">
        <f>IF(B1030="F",0,IF(WEEKDAY($A1030,2)=5,INDEX(TimerFr,MATCH(B1030,FaseKode,0)),INDEX(TimerMT,MATCH(B1030,FaseKode,0))))</f>
        <v/>
      </c>
      <c r="F1030">
        <f>IF(C1030="F",0,IF(WEEKDAY($A1030,2)=5,INDEX(TimerFr,MATCH(C1030,FaseKode,0)),INDEX(TimerMT,MATCH(C1030,FaseKode,0))))</f>
        <v/>
      </c>
      <c r="G1030">
        <f>IF(D1030="F",0,IF(WEEKDAY($A1030,2)=5,INDEX(TimerFr,MATCH(D1030,FaseKode,0)),INDEX(TimerMT,MATCH(D1030,FaseKode,0))))</f>
        <v/>
      </c>
      <c r="H1030">
        <f>IF(OR(H$4="",$A1030&gt;TODAY()),0,IF(OR(INDEX($B1030:$D1030,H$5)="F",AND(H$6&gt;0,$A1030&lt;H$6),AND(H$7&gt;0,$A1030&gt;H$7)),0,MAX(0,ROUND((INDEX($E1030:$G1030,H$5)-SUMIFS(TF_Timer,TF_Tekniker,H$4,TF_Dato,$A1030))*2,0)/2)))</f>
        <v/>
      </c>
      <c r="I1030">
        <f>IF(OR(I$4="",$A1030&gt;TODAY()),0,IF(OR(INDEX($B1030:$D1030,I$5)="F",AND(I$6&gt;0,$A1030&lt;I$6),AND(I$7&gt;0,$A1030&gt;I$7)),0,MAX(0,ROUND((INDEX($E1030:$G1030,I$5)-SUMIFS(TF_Timer,TF_Tekniker,I$4,TF_Dato,$A1030))*2,0)/2)))</f>
        <v/>
      </c>
      <c r="J1030">
        <f>IF(OR(J$4="",$A1030&gt;TODAY()),0,IF(OR(INDEX($B1030:$D1030,J$5)="F",AND(J$6&gt;0,$A1030&lt;J$6),AND(J$7&gt;0,$A1030&gt;J$7)),0,MAX(0,ROUND((INDEX($E1030:$G1030,J$5)-SUMIFS(TF_Timer,TF_Tekniker,J$4,TF_Dato,$A1030))*2,0)/2)))</f>
        <v/>
      </c>
      <c r="K1030">
        <f>IF(OR(K$4="",$A1030&gt;TODAY()),0,IF(OR(INDEX($B1030:$D1030,K$5)="F",AND(K$6&gt;0,$A1030&lt;K$6),AND(K$7&gt;0,$A1030&gt;K$7)),0,MAX(0,ROUND((INDEX($E1030:$G1030,K$5)-SUMIFS(TF_Timer,TF_Tekniker,K$4,TF_Dato,$A1030))*2,0)/2)))</f>
        <v/>
      </c>
      <c r="L1030">
        <f>IF(OR(L$4="",$A1030&gt;TODAY()),0,IF(OR(INDEX($B1030:$D1030,L$5)="F",AND(L$6&gt;0,$A1030&lt;L$6),AND(L$7&gt;0,$A1030&gt;L$7)),0,MAX(0,ROUND((INDEX($E1030:$G1030,L$5)-SUMIFS(TF_Timer,TF_Tekniker,L$4,TF_Dato,$A1030))*2,0)/2)))</f>
        <v/>
      </c>
      <c r="M1030">
        <f>IF(OR(M$4="",$A1030&gt;TODAY()),0,IF(OR(INDEX($B1030:$D1030,M$5)="F",AND(M$6&gt;0,$A1030&lt;M$6),AND(M$7&gt;0,$A1030&gt;M$7)),0,MAX(0,ROUND((INDEX($E1030:$G1030,M$5)-SUMIFS(TF_Timer,TF_Tekniker,M$4,TF_Dato,$A1030))*2,0)/2)))</f>
        <v/>
      </c>
      <c r="N1030">
        <f>IF(OR(N$4="",$A1030&gt;TODAY()),0,IF(OR(INDEX($B1030:$D1030,N$5)="F",AND(N$6&gt;0,$A1030&lt;N$6),AND(N$7&gt;0,$A1030&gt;N$7)),0,MAX(0,ROUND((INDEX($E1030:$G1030,N$5)-SUMIFS(TF_Timer,TF_Tekniker,N$4,TF_Dato,$A1030))*2,0)/2)))</f>
        <v/>
      </c>
      <c r="O1030">
        <f>IF(OR(O$4="",$A1030&gt;TODAY()),0,IF(OR(INDEX($B1030:$D1030,O$5)="F",AND(O$6&gt;0,$A1030&lt;O$6),AND(O$7&gt;0,$A1030&gt;O$7)),0,MAX(0,ROUND((INDEX($E1030:$G1030,O$5)-SUMIFS(TF_Timer,TF_Tekniker,O$4,TF_Dato,$A1030))*2,0)/2)))</f>
        <v/>
      </c>
      <c r="P1030">
        <f>IF(OR(P$4="",$A1030&gt;TODAY()),0,IF(OR(INDEX($B1030:$D1030,P$5)="F",AND(P$6&gt;0,$A1030&lt;P$6),AND(P$7&gt;0,$A1030&gt;P$7)),0,MAX(0,ROUND((INDEX($E1030:$G1030,P$5)-SUMIFS(TF_Timer,TF_Tekniker,P$4,TF_Dato,$A1030))*2,0)/2)))</f>
        <v/>
      </c>
      <c r="Q1030">
        <f>IF(OR(Q$4="",$A1030&gt;TODAY()),0,IF(OR(INDEX($B1030:$D1030,Q$5)="F",AND(Q$6&gt;0,$A1030&lt;Q$6),AND(Q$7&gt;0,$A1030&gt;Q$7)),0,MAX(0,ROUND((INDEX($E1030:$G1030,Q$5)-SUMIFS(TF_Timer,TF_Tekniker,Q$4,TF_Dato,$A1030))*2,0)/2)))</f>
        <v/>
      </c>
      <c r="R1030">
        <f>IF(OR(R$4="",$A1030&gt;TODAY()),0,IF(OR(INDEX($B1030:$D1030,R$5)="F",AND(R$6&gt;0,$A1030&lt;R$6),AND(R$7&gt;0,$A1030&gt;R$7)),0,MAX(0,ROUND((INDEX($E1030:$G1030,R$5)-SUMIFS(TF_Timer,TF_Tekniker,R$4,TF_Dato,$A1030))*2,0)/2)))</f>
        <v/>
      </c>
      <c r="S1030">
        <f>IF(OR(S$4="",$A1030&gt;TODAY()),0,IF(OR(INDEX($B1030:$D1030,S$5)="F",AND(S$6&gt;0,$A1030&lt;S$6),AND(S$7&gt;0,$A1030&gt;S$7)),0,MAX(0,ROUND((INDEX($E1030:$G1030,S$5)-SUMIFS(TF_Timer,TF_Tekniker,S$4,TF_Dato,$A1030))*2,0)/2)))</f>
        <v/>
      </c>
      <c r="T1030">
        <f>IF(OR(T$4="",$A1030&gt;TODAY()),0,IF(OR(INDEX($B1030:$D1030,T$5)="F",AND(T$6&gt;0,$A1030&lt;T$6),AND(T$7&gt;0,$A1030&gt;T$7)),0,MAX(0,ROUND((INDEX($E1030:$G1030,T$5)-SUMIFS(TF_Timer,TF_Tekniker,T$4,TF_Dato,$A1030))*2,0)/2)))</f>
        <v/>
      </c>
      <c r="U1030">
        <f>IF(OR(U$4="",$A1030&gt;TODAY()),0,IF(OR(INDEX($B1030:$D1030,U$5)="F",AND(U$6&gt;0,$A1030&lt;U$6),AND(U$7&gt;0,$A1030&gt;U$7)),0,MAX(0,ROUND((INDEX($E1030:$G1030,U$5)-SUMIFS(TF_Timer,TF_Tekniker,U$4,TF_Dato,$A1030))*2,0)/2)))</f>
        <v/>
      </c>
      <c r="V1030">
        <f>IF(OR(V$4="",$A1030&gt;TODAY()),0,IF(OR(INDEX($B1030:$D1030,V$5)="F",AND(V$6&gt;0,$A1030&lt;V$6),AND(V$7&gt;0,$A1030&gt;V$7)),0,MAX(0,ROUND((INDEX($E1030:$G1030,V$5)-SUMIFS(TF_Timer,TF_Tekniker,V$4,TF_Dato,$A1030))*2,0)/2)))</f>
        <v/>
      </c>
      <c r="W1030">
        <f>IF(OR(W$4="",$A1030&gt;TODAY()),0,IF(OR(INDEX($B1030:$D1030,W$5)="F",AND(W$6&gt;0,$A1030&lt;W$6),AND(W$7&gt;0,$A1030&gt;W$7)),0,MAX(0,ROUND((INDEX($E1030:$G1030,W$5)-SUMIFS(TF_Timer,TF_Tekniker,W$4,TF_Dato,$A1030))*2,0)/2)))</f>
        <v/>
      </c>
      <c r="X1030">
        <f>IF(OR(X$4="",$A1030&gt;TODAY()),0,IF(OR(INDEX($B1030:$D1030,X$5)="F",AND(X$6&gt;0,$A1030&lt;X$6),AND(X$7&gt;0,$A1030&gt;X$7)),0,MAX(0,ROUND((INDEX($E1030:$G1030,X$5)-SUMIFS(TF_Timer,TF_Tekniker,X$4,TF_Dato,$A1030))*2,0)/2)))</f>
        <v/>
      </c>
      <c r="Y1030">
        <f>IF(OR(Y$4="",$A1030&gt;TODAY()),0,IF(OR(INDEX($B1030:$D1030,Y$5)="F",AND(Y$6&gt;0,$A1030&lt;Y$6),AND(Y$7&gt;0,$A1030&gt;Y$7)),0,MAX(0,ROUND((INDEX($E1030:$G1030,Y$5)-SUMIFS(TF_Timer,TF_Tekniker,Y$4,TF_Dato,$A1030))*2,0)/2)))</f>
        <v/>
      </c>
      <c r="Z1030">
        <f>IF(OR(Z$4="",$A1030&gt;TODAY()),0,IF(OR(INDEX($B1030:$D1030,Z$5)="F",AND(Z$6&gt;0,$A1030&lt;Z$6),AND(Z$7&gt;0,$A1030&gt;Z$7)),0,MAX(0,ROUND((INDEX($E1030:$G1030,Z$5)-SUMIFS(TF_Timer,TF_Tekniker,Z$4,TF_Dato,$A1030))*2,0)/2)))</f>
        <v/>
      </c>
      <c r="AA1030">
        <f>IF(OR(AA$4="",$A1030&gt;TODAY()),0,IF(OR(INDEX($B1030:$D1030,AA$5)="F",AND(AA$6&gt;0,$A1030&lt;AA$6),AND(AA$7&gt;0,$A1030&gt;AA$7)),0,MAX(0,ROUND((INDEX($E1030:$G1030,AA$5)-SUMIFS(TF_Timer,TF_Tekniker,AA$4,TF_Dato,$A1030))*2,0)/2)))</f>
        <v/>
      </c>
      <c r="AB1030">
        <f>IF(OR(AB$4="",$A1030&gt;TODAY()),0,IF(OR(INDEX($B1030:$D1030,AB$5)="F",AND(AB$6&gt;0,$A1030&lt;AB$6),AND(AB$7&gt;0,$A1030&gt;AB$7)),0,MAX(0,ROUND((INDEX($E1030:$G1030,AB$5)-SUMIFS(TF_Timer,TF_Tekniker,AB$4,TF_Dato,$A1030))*2,0)/2)))</f>
        <v/>
      </c>
      <c r="AC1030">
        <f>IF(OR(AC$4="",$A1030&gt;TODAY()),0,IF(OR(INDEX($B1030:$D1030,AC$5)="F",AND(AC$6&gt;0,$A1030&lt;AC$6),AND(AC$7&gt;0,$A1030&gt;AC$7)),0,MAX(0,ROUND((INDEX($E1030:$G1030,AC$5)-SUMIFS(TF_Timer,TF_Tekniker,AC$4,TF_Dato,$A1030))*2,0)/2)))</f>
        <v/>
      </c>
      <c r="AD1030">
        <f>IF(OR(AD$4="",$A1030&gt;TODAY()),0,IF(OR(INDEX($B1030:$D1030,AD$5)="F",AND(AD$6&gt;0,$A1030&lt;AD$6),AND(AD$7&gt;0,$A1030&gt;AD$7)),0,MAX(0,ROUND((INDEX($E1030:$G1030,AD$5)-SUMIFS(TF_Timer,TF_Tekniker,AD$4,TF_Dato,$A1030))*2,0)/2)))</f>
        <v/>
      </c>
      <c r="AE1030">
        <f>IF(OR(AE$4="",$A1030&gt;TODAY()),0,IF(OR(INDEX($B1030:$D1030,AE$5)="F",AND(AE$6&gt;0,$A1030&lt;AE$6),AND(AE$7&gt;0,$A1030&gt;AE$7)),0,MAX(0,ROUND((INDEX($E1030:$G1030,AE$5)-SUMIFS(TF_Timer,TF_Tekniker,AE$4,TF_Dato,$A1030))*2,0)/2)))</f>
        <v/>
      </c>
      <c r="AF1030">
        <f>IF(OR(AF$4="",$A1030&gt;TODAY()),0,IF(OR(INDEX($B1030:$D1030,AF$5)="F",AND(AF$6&gt;0,$A1030&lt;AF$6),AND(AF$7&gt;0,$A1030&gt;AF$7)),0,MAX(0,ROUND((INDEX($E1030:$G1030,AF$5)-SUMIFS(TF_Timer,TF_Tekniker,AF$4,TF_Dato,$A1030))*2,0)/2)))</f>
        <v/>
      </c>
      <c r="AG1030">
        <f>IF(OR(AG$4="",$A1030&gt;TODAY()),0,IF(OR(INDEX($B1030:$D1030,AG$5)="F",AND(AG$6&gt;0,$A1030&lt;AG$6),AND(AG$7&gt;0,$A1030&gt;AG$7)),0,MAX(0,ROUND((INDEX($E1030:$G1030,AG$5)-SUMIFS(TF_Timer,TF_Tekniker,AG$4,TF_Dato,$A1030))*2,0)/2)))</f>
        <v/>
      </c>
      <c r="AH1030">
        <f>IF(OR(AH$4="",$A1030&gt;TODAY()),0,IF(OR(INDEX($B1030:$D1030,AH$5)="F",AND(AH$6&gt;0,$A1030&lt;AH$6),AND(AH$7&gt;0,$A1030&gt;AH$7)),0,MAX(0,ROUND((INDEX($E1030:$G1030,AH$5)-SUMIFS(TF_Timer,TF_Tekniker,AH$4,TF_Dato,$A1030))*2,0)/2)))</f>
        <v/>
      </c>
      <c r="AI1030">
        <f>IF(OR(AI$4="",$A1030&gt;TODAY()),0,IF(OR(INDEX($B1030:$D1030,AI$5)="F",AND(AI$6&gt;0,$A1030&lt;AI$6),AND(AI$7&gt;0,$A1030&gt;AI$7)),0,MAX(0,ROUND((INDEX($E1030:$G1030,AI$5)-SUMIFS(TF_Timer,TF_Tekniker,AI$4,TF_Dato,$A1030))*2,0)/2)))</f>
        <v/>
      </c>
      <c r="AJ1030">
        <f>IF(OR(AJ$4="",$A1030&gt;TODAY()),0,IF(OR(INDEX($B1030:$D1030,AJ$5)="F",AND(AJ$6&gt;0,$A1030&lt;AJ$6),AND(AJ$7&gt;0,$A1030&gt;AJ$7)),0,MAX(0,ROUND((INDEX($E1030:$G1030,AJ$5)-SUMIFS(TF_Timer,TF_Tekniker,AJ$4,TF_Dato,$A1030))*2,0)/2)))</f>
        <v/>
      </c>
      <c r="AK1030">
        <f>IF(OR(AK$4="",$A1030&gt;TODAY()),0,IF(OR(INDEX($B1030:$D1030,AK$5)="F",AND(AK$6&gt;0,$A1030&lt;AK$6),AND(AK$7&gt;0,$A1030&gt;AK$7)),0,MAX(0,ROUND((INDEX($E1030:$G1030,AK$5)-SUMIFS(TF_Timer,TF_Tekniker,AK$4,TF_Dato,$A1030))*2,0)/2)))</f>
        <v/>
      </c>
      <c r="AL1030">
        <f>IF(OR(AL$4="",$A1030&gt;TODAY()),0,IF(OR(INDEX($B1030:$D1030,AL$5)="F",AND(AL$6&gt;0,$A1030&lt;AL$6),AND(AL$7&gt;0,$A1030&gt;AL$7)),0,MAX(0,ROUND((INDEX($E1030:$G1030,AL$5)-SUMIFS(TF_Timer,TF_Tekniker,AL$4,TF_Dato,$A1030))*2,0)/2)))</f>
        <v/>
      </c>
      <c r="AM1030">
        <f>IF(OR(AM$4="",$A1030&gt;TODAY()),0,IF(OR(INDEX($B1030:$D1030,AM$5)="F",AND(AM$6&gt;0,$A1030&lt;AM$6),AND(AM$7&gt;0,$A1030&gt;AM$7)),0,MAX(0,ROUND((INDEX($E1030:$G1030,AM$5)-SUMIFS(TF_Timer,TF_Tekniker,AM$4,TF_Dato,$A1030))*2,0)/2)))</f>
        <v/>
      </c>
      <c r="AN1030">
        <f>IF(OR(AN$4="",$A1030&gt;TODAY()),0,IF(OR(INDEX($B1030:$D1030,AN$5)="F",AND(AN$6&gt;0,$A1030&lt;AN$6),AND(AN$7&gt;0,$A1030&gt;AN$7)),0,MAX(0,ROUND((INDEX($E1030:$G1030,AN$5)-SUMIFS(TF_Timer,TF_Tekniker,AN$4,TF_Dato,$A1030))*2,0)/2)))</f>
        <v/>
      </c>
      <c r="AO1030">
        <f>IF(OR(AO$4="",$A1030&gt;TODAY()),0,IF(OR(INDEX($B1030:$D1030,AO$5)="F",AND(AO$6&gt;0,$A1030&lt;AO$6),AND(AO$7&gt;0,$A1030&gt;AO$7)),0,MAX(0,ROUND((INDEX($E1030:$G1030,AO$5)-SUMIFS(TF_Timer,TF_Tekniker,AO$4,TF_Dato,$A1030))*2,0)/2)))</f>
        <v/>
      </c>
      <c r="AP1030">
        <f>IF(OR(AP$4="",$A1030&gt;TODAY()),0,IF(OR(INDEX($B1030:$D1030,AP$5)="F",AND(AP$6&gt;0,$A1030&lt;AP$6),AND(AP$7&gt;0,$A1030&gt;AP$7)),0,MAX(0,ROUND((INDEX($E1030:$G1030,AP$5)-SUMIFS(TF_Timer,TF_Tekniker,AP$4,TF_Dato,$A1030))*2,0)/2)))</f>
        <v/>
      </c>
      <c r="AQ1030">
        <f>IF(OR(AQ$4="",$A1030&gt;TODAY()),0,IF(OR(INDEX($B1030:$D1030,AQ$5)="F",AND(AQ$6&gt;0,$A1030&lt;AQ$6),AND(AQ$7&gt;0,$A1030&gt;AQ$7)),0,MAX(0,ROUND((INDEX($E1030:$G1030,AQ$5)-SUMIFS(TF_Timer,TF_Tekniker,AQ$4,TF_Dato,$A1030))*2,0)/2)))</f>
        <v/>
      </c>
      <c r="AR1030">
        <f>IF(OR(AR$4="",$A1030&gt;TODAY()),0,IF(OR(INDEX($B1030:$D1030,AR$5)="F",AND(AR$6&gt;0,$A1030&lt;AR$6),AND(AR$7&gt;0,$A1030&gt;AR$7)),0,MAX(0,ROUND((INDEX($E1030:$G1030,AR$5)-SUMIFS(TF_Timer,TF_Tekniker,AR$4,TF_Dato,$A1030))*2,0)/2)))</f>
        <v/>
      </c>
      <c r="AS1030">
        <f>IF(OR(AS$4="",$A1030&gt;TODAY()),0,IF(OR(INDEX($B1030:$D1030,AS$5)="F",AND(AS$6&gt;0,$A1030&lt;AS$6),AND(AS$7&gt;0,$A1030&gt;AS$7)),0,MAX(0,ROUND((INDEX($E1030:$G1030,AS$5)-SUMIFS(TF_Timer,TF_Tekniker,AS$4,TF_Dato,$A1030))*2,0)/2)))</f>
        <v/>
      </c>
      <c r="AT1030">
        <f>IF(OR(AT$4="",$A1030&gt;TODAY()),0,IF(OR(INDEX($B1030:$D1030,AT$5)="F",AND(AT$6&gt;0,$A1030&lt;AT$6),AND(AT$7&gt;0,$A1030&gt;AT$7)),0,MAX(0,ROUND((INDEX($E1030:$G1030,AT$5)-SUMIFS(TF_Timer,TF_Tekniker,AT$4,TF_Dato,$A1030))*2,0)/2)))</f>
        <v/>
      </c>
      <c r="AU1030">
        <f>IF(OR(AU$4="",$A1030&gt;TODAY()),0,IF(OR(INDEX($B1030:$D1030,AU$5)="F",AND(AU$6&gt;0,$A1030&lt;AU$6),AND(AU$7&gt;0,$A1030&gt;AU$7)),0,MAX(0,ROUND((INDEX($E1030:$G1030,AU$5)-SUMIFS(TF_Timer,TF_Tekniker,AU$4,TF_Dato,$A1030))*2,0)/2)))</f>
        <v/>
      </c>
      <c r="AV1030">
        <f>IF(OR(AV$4="",$A1030&gt;TODAY()),0,IF(OR(INDEX($B1030:$D1030,AV$5)="F",AND(AV$6&gt;0,$A1030&lt;AV$6),AND(AV$7&gt;0,$A1030&gt;AV$7)),0,MAX(0,ROUND((INDEX($E1030:$G1030,AV$5)-SUMIFS(TF_Timer,TF_Tekniker,AV$4,TF_Dato,$A1030))*2,0)/2)))</f>
        <v/>
      </c>
      <c r="AW1030">
        <f>IF(OR(AW$4="",$A1030&gt;TODAY()),0,IF(OR(INDEX($B1030:$D1030,AW$5)="F",AND(AW$6&gt;0,$A1030&lt;AW$6),AND(AW$7&gt;0,$A1030&gt;AW$7)),0,MAX(0,ROUND((INDEX($E1030:$G1030,AW$5)-SUMIFS(TF_Timer,TF_Tekniker,AW$4,TF_Dato,$A1030))*2,0)/2)))</f>
        <v/>
      </c>
      <c r="AX1030">
        <f>IF(OR(AX$4="",$A1030&gt;TODAY()),0,IF(OR(INDEX($B1030:$D1030,AX$5)="F",AND(AX$6&gt;0,$A1030&lt;AX$6),AND(AX$7&gt;0,$A1030&gt;AX$7)),0,MAX(0,ROUND((INDEX($E1030:$G1030,AX$5)-SUMIFS(TF_Timer,TF_Tekniker,AX$4,TF_Dato,$A1030))*2,0)/2)))</f>
        <v/>
      </c>
      <c r="AY1030">
        <f>IF(OR(AY$4="",$A1030&gt;TODAY()),0,IF(OR(INDEX($B1030:$D1030,AY$5)="F",AND(AY$6&gt;0,$A1030&lt;AY$6),AND(AY$7&gt;0,$A1030&gt;AY$7)),0,MAX(0,ROUND((INDEX($E1030:$G1030,AY$5)-SUMIFS(TF_Timer,TF_Tekniker,AY$4,TF_Dato,$A1030))*2,0)/2)))</f>
        <v/>
      </c>
      <c r="AZ1030">
        <f>IF(OR(AZ$4="",$A1030&gt;TODAY()),0,IF(OR(INDEX($B1030:$D1030,AZ$5)="F",AND(AZ$6&gt;0,$A1030&lt;AZ$6),AND(AZ$7&gt;0,$A1030&gt;AZ$7)),0,MAX(0,ROUND((INDEX($E1030:$G1030,AZ$5)-SUMIFS(TF_Timer,TF_Tekniker,AZ$4,TF_Dato,$A1030))*2,0)/2)))</f>
        <v/>
      </c>
      <c r="BA1030">
        <f>IF(OR(BA$4="",$A1030&gt;TODAY()),0,IF(OR(INDEX($B1030:$D1030,BA$5)="F",AND(BA$6&gt;0,$A1030&lt;BA$6),AND(BA$7&gt;0,$A1030&gt;BA$7)),0,MAX(0,ROUND((INDEX($E1030:$G1030,BA$5)-SUMIFS(TF_Timer,TF_Tekniker,BA$4,TF_Dato,$A1030))*2,0)/2)))</f>
        <v/>
      </c>
      <c r="BB1030">
        <f>IF(OR(BB$4="",$A1030&gt;TODAY()),0,IF(OR(INDEX($B1030:$D1030,BB$5)="F",AND(BB$6&gt;0,$A1030&lt;BB$6),AND(BB$7&gt;0,$A1030&gt;BB$7)),0,MAX(0,ROUND((INDEX($E1030:$G1030,BB$5)-SUMIFS(TF_Timer,TF_Tekniker,BB$4,TF_Dato,$A1030))*2,0)/2)))</f>
        <v/>
      </c>
      <c r="BC1030">
        <f>IF(OR(BC$4="",$A1030&gt;TODAY()),0,IF(OR(INDEX($B1030:$D1030,BC$5)="F",AND(BC$6&gt;0,$A1030&lt;BC$6),AND(BC$7&gt;0,$A1030&gt;BC$7)),0,MAX(0,ROUND((INDEX($E1030:$G1030,BC$5)-SUMIFS(TF_Timer,TF_Tekniker,BC$4,TF_Dato,$A1030))*2,0)/2)))</f>
        <v/>
      </c>
      <c r="BD1030">
        <f>IF(OR(BD$4="",$A1030&gt;TODAY()),0,IF(OR(INDEX($B1030:$D1030,BD$5)="F",AND(BD$6&gt;0,$A1030&lt;BD$6),AND(BD$7&gt;0,$A1030&gt;BD$7)),0,MAX(0,ROUND((INDEX($E1030:$G1030,BD$5)-SUMIFS(TF_Timer,TF_Tekniker,BD$4,TF_Dato,$A1030))*2,0)/2)))</f>
        <v/>
      </c>
      <c r="BE1030">
        <f>IF(OR(BE$4="",$A1030&gt;TODAY()),0,IF(OR(INDEX($B1030:$D1030,BE$5)="F",AND(BE$6&gt;0,$A1030&lt;BE$6),AND(BE$7&gt;0,$A1030&gt;BE$7)),0,MAX(0,ROUND((INDEX($E1030:$G1030,BE$5)-SUMIFS(TF_Timer,TF_Tekniker,BE$4,TF_Dato,$A1030))*2,0)/2)))</f>
        <v/>
      </c>
      <c r="BF1030">
        <f>IF(OR(BF$4="",$A1030&gt;TODAY()),0,IF(OR(INDEX($B1030:$D1030,BF$5)="F",AND(BF$6&gt;0,$A1030&lt;BF$6),AND(BF$7&gt;0,$A1030&gt;BF$7)),0,MAX(0,ROUND((INDEX($E1030:$G1030,BF$5)-SUMIFS(TF_Timer,TF_Tekniker,BF$4,TF_Dato,$A1030))*2,0)/2)))</f>
        <v/>
      </c>
      <c r="BG1030">
        <f>IF(OR(BG$4="",$A1030&gt;TODAY()),0,IF(OR(INDEX($B1030:$D1030,BG$5)="F",AND(BG$6&gt;0,$A1030&lt;BG$6),AND(BG$7&gt;0,$A1030&gt;BG$7)),0,MAX(0,ROUND((INDEX($E1030:$G1030,BG$5)-SUMIFS(TF_Timer,TF_Tekniker,BG$4,TF_Dato,$A1030))*2,0)/2)))</f>
        <v/>
      </c>
      <c r="BH1030">
        <f>IF(OR(BH$4="",$A1030&gt;TODAY()),0,IF(OR(INDEX($B1030:$D1030,BH$5)="F",AND(BH$6&gt;0,$A1030&lt;BH$6),AND(BH$7&gt;0,$A1030&gt;BH$7)),0,MAX(0,ROUND((INDEX($E1030:$G1030,BH$5)-SUMIFS(TF_Timer,TF_Tekniker,BH$4,TF_Dato,$A1030))*2,0)/2)))</f>
        <v/>
      </c>
      <c r="BI1030">
        <f>IF(OR(BI$4="",$A1030&gt;TODAY()),0,IF(OR(INDEX($B1030:$D1030,BI$5)="F",AND(BI$6&gt;0,$A1030&lt;BI$6),AND(BI$7&gt;0,$A1030&gt;BI$7)),0,MAX(0,ROUND((INDEX($E1030:$G1030,BI$5)-SUMIFS(TF_Timer,TF_Tekniker,BI$4,TF_Dato,$A1030))*2,0)/2)))</f>
        <v/>
      </c>
    </row>
    <row r="1031">
      <c r="A1031" s="64">
        <f>A1030+1</f>
        <v/>
      </c>
      <c r="B1031">
        <f>IF(MOD($A1031-INDEX(SkiftStart,1),Syklus)&lt;DagK,"K",IF(MOD($A1031-INDEX(SkiftStart,1),Syklus)&lt;DagK+DagH,"H",IF(MOD($A1031-INDEX(SkiftStart,1),Syklus)&lt;DagK+DagH+DagD,"D","F")))</f>
        <v/>
      </c>
      <c r="C1031">
        <f>IF(MOD($A1031-INDEX(SkiftStart,2),Syklus)&lt;DagK,"K",IF(MOD($A1031-INDEX(SkiftStart,2),Syklus)&lt;DagK+DagH,"H",IF(MOD($A1031-INDEX(SkiftStart,2),Syklus)&lt;DagK+DagH+DagD,"D","F")))</f>
        <v/>
      </c>
      <c r="D1031">
        <f>IF(MOD($A1031-INDEX(SkiftStart,3),Syklus)&lt;DagK,"K",IF(MOD($A1031-INDEX(SkiftStart,3),Syklus)&lt;DagK+DagH,"H",IF(MOD($A1031-INDEX(SkiftStart,3),Syklus)&lt;DagK+DagH+DagD,"D","F")))</f>
        <v/>
      </c>
      <c r="E1031">
        <f>IF(B1031="F",0,IF(WEEKDAY($A1031,2)=5,INDEX(TimerFr,MATCH(B1031,FaseKode,0)),INDEX(TimerMT,MATCH(B1031,FaseKode,0))))</f>
        <v/>
      </c>
      <c r="F1031">
        <f>IF(C1031="F",0,IF(WEEKDAY($A1031,2)=5,INDEX(TimerFr,MATCH(C1031,FaseKode,0)),INDEX(TimerMT,MATCH(C1031,FaseKode,0))))</f>
        <v/>
      </c>
      <c r="G1031">
        <f>IF(D1031="F",0,IF(WEEKDAY($A1031,2)=5,INDEX(TimerFr,MATCH(D1031,FaseKode,0)),INDEX(TimerMT,MATCH(D1031,FaseKode,0))))</f>
        <v/>
      </c>
      <c r="H1031">
        <f>IF(OR(H$4="",$A1031&gt;TODAY()),0,IF(OR(INDEX($B1031:$D1031,H$5)="F",AND(H$6&gt;0,$A1031&lt;H$6),AND(H$7&gt;0,$A1031&gt;H$7)),0,MAX(0,ROUND((INDEX($E1031:$G1031,H$5)-SUMIFS(TF_Timer,TF_Tekniker,H$4,TF_Dato,$A1031))*2,0)/2)))</f>
        <v/>
      </c>
      <c r="I1031">
        <f>IF(OR(I$4="",$A1031&gt;TODAY()),0,IF(OR(INDEX($B1031:$D1031,I$5)="F",AND(I$6&gt;0,$A1031&lt;I$6),AND(I$7&gt;0,$A1031&gt;I$7)),0,MAX(0,ROUND((INDEX($E1031:$G1031,I$5)-SUMIFS(TF_Timer,TF_Tekniker,I$4,TF_Dato,$A1031))*2,0)/2)))</f>
        <v/>
      </c>
      <c r="J1031">
        <f>IF(OR(J$4="",$A1031&gt;TODAY()),0,IF(OR(INDEX($B1031:$D1031,J$5)="F",AND(J$6&gt;0,$A1031&lt;J$6),AND(J$7&gt;0,$A1031&gt;J$7)),0,MAX(0,ROUND((INDEX($E1031:$G1031,J$5)-SUMIFS(TF_Timer,TF_Tekniker,J$4,TF_Dato,$A1031))*2,0)/2)))</f>
        <v/>
      </c>
      <c r="K1031">
        <f>IF(OR(K$4="",$A1031&gt;TODAY()),0,IF(OR(INDEX($B1031:$D1031,K$5)="F",AND(K$6&gt;0,$A1031&lt;K$6),AND(K$7&gt;0,$A1031&gt;K$7)),0,MAX(0,ROUND((INDEX($E1031:$G1031,K$5)-SUMIFS(TF_Timer,TF_Tekniker,K$4,TF_Dato,$A1031))*2,0)/2)))</f>
        <v/>
      </c>
      <c r="L1031">
        <f>IF(OR(L$4="",$A1031&gt;TODAY()),0,IF(OR(INDEX($B1031:$D1031,L$5)="F",AND(L$6&gt;0,$A1031&lt;L$6),AND(L$7&gt;0,$A1031&gt;L$7)),0,MAX(0,ROUND((INDEX($E1031:$G1031,L$5)-SUMIFS(TF_Timer,TF_Tekniker,L$4,TF_Dato,$A1031))*2,0)/2)))</f>
        <v/>
      </c>
      <c r="M1031">
        <f>IF(OR(M$4="",$A1031&gt;TODAY()),0,IF(OR(INDEX($B1031:$D1031,M$5)="F",AND(M$6&gt;0,$A1031&lt;M$6),AND(M$7&gt;0,$A1031&gt;M$7)),0,MAX(0,ROUND((INDEX($E1031:$G1031,M$5)-SUMIFS(TF_Timer,TF_Tekniker,M$4,TF_Dato,$A1031))*2,0)/2)))</f>
        <v/>
      </c>
      <c r="N1031">
        <f>IF(OR(N$4="",$A1031&gt;TODAY()),0,IF(OR(INDEX($B1031:$D1031,N$5)="F",AND(N$6&gt;0,$A1031&lt;N$6),AND(N$7&gt;0,$A1031&gt;N$7)),0,MAX(0,ROUND((INDEX($E1031:$G1031,N$5)-SUMIFS(TF_Timer,TF_Tekniker,N$4,TF_Dato,$A1031))*2,0)/2)))</f>
        <v/>
      </c>
      <c r="O1031">
        <f>IF(OR(O$4="",$A1031&gt;TODAY()),0,IF(OR(INDEX($B1031:$D1031,O$5)="F",AND(O$6&gt;0,$A1031&lt;O$6),AND(O$7&gt;0,$A1031&gt;O$7)),0,MAX(0,ROUND((INDEX($E1031:$G1031,O$5)-SUMIFS(TF_Timer,TF_Tekniker,O$4,TF_Dato,$A1031))*2,0)/2)))</f>
        <v/>
      </c>
      <c r="P1031">
        <f>IF(OR(P$4="",$A1031&gt;TODAY()),0,IF(OR(INDEX($B1031:$D1031,P$5)="F",AND(P$6&gt;0,$A1031&lt;P$6),AND(P$7&gt;0,$A1031&gt;P$7)),0,MAX(0,ROUND((INDEX($E1031:$G1031,P$5)-SUMIFS(TF_Timer,TF_Tekniker,P$4,TF_Dato,$A1031))*2,0)/2)))</f>
        <v/>
      </c>
      <c r="Q1031">
        <f>IF(OR(Q$4="",$A1031&gt;TODAY()),0,IF(OR(INDEX($B1031:$D1031,Q$5)="F",AND(Q$6&gt;0,$A1031&lt;Q$6),AND(Q$7&gt;0,$A1031&gt;Q$7)),0,MAX(0,ROUND((INDEX($E1031:$G1031,Q$5)-SUMIFS(TF_Timer,TF_Tekniker,Q$4,TF_Dato,$A1031))*2,0)/2)))</f>
        <v/>
      </c>
      <c r="R1031">
        <f>IF(OR(R$4="",$A1031&gt;TODAY()),0,IF(OR(INDEX($B1031:$D1031,R$5)="F",AND(R$6&gt;0,$A1031&lt;R$6),AND(R$7&gt;0,$A1031&gt;R$7)),0,MAX(0,ROUND((INDEX($E1031:$G1031,R$5)-SUMIFS(TF_Timer,TF_Tekniker,R$4,TF_Dato,$A1031))*2,0)/2)))</f>
        <v/>
      </c>
      <c r="S1031">
        <f>IF(OR(S$4="",$A1031&gt;TODAY()),0,IF(OR(INDEX($B1031:$D1031,S$5)="F",AND(S$6&gt;0,$A1031&lt;S$6),AND(S$7&gt;0,$A1031&gt;S$7)),0,MAX(0,ROUND((INDEX($E1031:$G1031,S$5)-SUMIFS(TF_Timer,TF_Tekniker,S$4,TF_Dato,$A1031))*2,0)/2)))</f>
        <v/>
      </c>
      <c r="T1031">
        <f>IF(OR(T$4="",$A1031&gt;TODAY()),0,IF(OR(INDEX($B1031:$D1031,T$5)="F",AND(T$6&gt;0,$A1031&lt;T$6),AND(T$7&gt;0,$A1031&gt;T$7)),0,MAX(0,ROUND((INDEX($E1031:$G1031,T$5)-SUMIFS(TF_Timer,TF_Tekniker,T$4,TF_Dato,$A1031))*2,0)/2)))</f>
        <v/>
      </c>
      <c r="U1031">
        <f>IF(OR(U$4="",$A1031&gt;TODAY()),0,IF(OR(INDEX($B1031:$D1031,U$5)="F",AND(U$6&gt;0,$A1031&lt;U$6),AND(U$7&gt;0,$A1031&gt;U$7)),0,MAX(0,ROUND((INDEX($E1031:$G1031,U$5)-SUMIFS(TF_Timer,TF_Tekniker,U$4,TF_Dato,$A1031))*2,0)/2)))</f>
        <v/>
      </c>
      <c r="V1031">
        <f>IF(OR(V$4="",$A1031&gt;TODAY()),0,IF(OR(INDEX($B1031:$D1031,V$5)="F",AND(V$6&gt;0,$A1031&lt;V$6),AND(V$7&gt;0,$A1031&gt;V$7)),0,MAX(0,ROUND((INDEX($E1031:$G1031,V$5)-SUMIFS(TF_Timer,TF_Tekniker,V$4,TF_Dato,$A1031))*2,0)/2)))</f>
        <v/>
      </c>
      <c r="W1031">
        <f>IF(OR(W$4="",$A1031&gt;TODAY()),0,IF(OR(INDEX($B1031:$D1031,W$5)="F",AND(W$6&gt;0,$A1031&lt;W$6),AND(W$7&gt;0,$A1031&gt;W$7)),0,MAX(0,ROUND((INDEX($E1031:$G1031,W$5)-SUMIFS(TF_Timer,TF_Tekniker,W$4,TF_Dato,$A1031))*2,0)/2)))</f>
        <v/>
      </c>
      <c r="X1031">
        <f>IF(OR(X$4="",$A1031&gt;TODAY()),0,IF(OR(INDEX($B1031:$D1031,X$5)="F",AND(X$6&gt;0,$A1031&lt;X$6),AND(X$7&gt;0,$A1031&gt;X$7)),0,MAX(0,ROUND((INDEX($E1031:$G1031,X$5)-SUMIFS(TF_Timer,TF_Tekniker,X$4,TF_Dato,$A1031))*2,0)/2)))</f>
        <v/>
      </c>
      <c r="Y1031">
        <f>IF(OR(Y$4="",$A1031&gt;TODAY()),0,IF(OR(INDEX($B1031:$D1031,Y$5)="F",AND(Y$6&gt;0,$A1031&lt;Y$6),AND(Y$7&gt;0,$A1031&gt;Y$7)),0,MAX(0,ROUND((INDEX($E1031:$G1031,Y$5)-SUMIFS(TF_Timer,TF_Tekniker,Y$4,TF_Dato,$A1031))*2,0)/2)))</f>
        <v/>
      </c>
      <c r="Z1031">
        <f>IF(OR(Z$4="",$A1031&gt;TODAY()),0,IF(OR(INDEX($B1031:$D1031,Z$5)="F",AND(Z$6&gt;0,$A1031&lt;Z$6),AND(Z$7&gt;0,$A1031&gt;Z$7)),0,MAX(0,ROUND((INDEX($E1031:$G1031,Z$5)-SUMIFS(TF_Timer,TF_Tekniker,Z$4,TF_Dato,$A1031))*2,0)/2)))</f>
        <v/>
      </c>
      <c r="AA1031">
        <f>IF(OR(AA$4="",$A1031&gt;TODAY()),0,IF(OR(INDEX($B1031:$D1031,AA$5)="F",AND(AA$6&gt;0,$A1031&lt;AA$6),AND(AA$7&gt;0,$A1031&gt;AA$7)),0,MAX(0,ROUND((INDEX($E1031:$G1031,AA$5)-SUMIFS(TF_Timer,TF_Tekniker,AA$4,TF_Dato,$A1031))*2,0)/2)))</f>
        <v/>
      </c>
      <c r="AB1031">
        <f>IF(OR(AB$4="",$A1031&gt;TODAY()),0,IF(OR(INDEX($B1031:$D1031,AB$5)="F",AND(AB$6&gt;0,$A1031&lt;AB$6),AND(AB$7&gt;0,$A1031&gt;AB$7)),0,MAX(0,ROUND((INDEX($E1031:$G1031,AB$5)-SUMIFS(TF_Timer,TF_Tekniker,AB$4,TF_Dato,$A1031))*2,0)/2)))</f>
        <v/>
      </c>
      <c r="AC1031">
        <f>IF(OR(AC$4="",$A1031&gt;TODAY()),0,IF(OR(INDEX($B1031:$D1031,AC$5)="F",AND(AC$6&gt;0,$A1031&lt;AC$6),AND(AC$7&gt;0,$A1031&gt;AC$7)),0,MAX(0,ROUND((INDEX($E1031:$G1031,AC$5)-SUMIFS(TF_Timer,TF_Tekniker,AC$4,TF_Dato,$A1031))*2,0)/2)))</f>
        <v/>
      </c>
      <c r="AD1031">
        <f>IF(OR(AD$4="",$A1031&gt;TODAY()),0,IF(OR(INDEX($B1031:$D1031,AD$5)="F",AND(AD$6&gt;0,$A1031&lt;AD$6),AND(AD$7&gt;0,$A1031&gt;AD$7)),0,MAX(0,ROUND((INDEX($E1031:$G1031,AD$5)-SUMIFS(TF_Timer,TF_Tekniker,AD$4,TF_Dato,$A1031))*2,0)/2)))</f>
        <v/>
      </c>
      <c r="AE1031">
        <f>IF(OR(AE$4="",$A1031&gt;TODAY()),0,IF(OR(INDEX($B1031:$D1031,AE$5)="F",AND(AE$6&gt;0,$A1031&lt;AE$6),AND(AE$7&gt;0,$A1031&gt;AE$7)),0,MAX(0,ROUND((INDEX($E1031:$G1031,AE$5)-SUMIFS(TF_Timer,TF_Tekniker,AE$4,TF_Dato,$A1031))*2,0)/2)))</f>
        <v/>
      </c>
      <c r="AF1031">
        <f>IF(OR(AF$4="",$A1031&gt;TODAY()),0,IF(OR(INDEX($B1031:$D1031,AF$5)="F",AND(AF$6&gt;0,$A1031&lt;AF$6),AND(AF$7&gt;0,$A1031&gt;AF$7)),0,MAX(0,ROUND((INDEX($E1031:$G1031,AF$5)-SUMIFS(TF_Timer,TF_Tekniker,AF$4,TF_Dato,$A1031))*2,0)/2)))</f>
        <v/>
      </c>
      <c r="AG1031">
        <f>IF(OR(AG$4="",$A1031&gt;TODAY()),0,IF(OR(INDEX($B1031:$D1031,AG$5)="F",AND(AG$6&gt;0,$A1031&lt;AG$6),AND(AG$7&gt;0,$A1031&gt;AG$7)),0,MAX(0,ROUND((INDEX($E1031:$G1031,AG$5)-SUMIFS(TF_Timer,TF_Tekniker,AG$4,TF_Dato,$A1031))*2,0)/2)))</f>
        <v/>
      </c>
      <c r="AH1031">
        <f>IF(OR(AH$4="",$A1031&gt;TODAY()),0,IF(OR(INDEX($B1031:$D1031,AH$5)="F",AND(AH$6&gt;0,$A1031&lt;AH$6),AND(AH$7&gt;0,$A1031&gt;AH$7)),0,MAX(0,ROUND((INDEX($E1031:$G1031,AH$5)-SUMIFS(TF_Timer,TF_Tekniker,AH$4,TF_Dato,$A1031))*2,0)/2)))</f>
        <v/>
      </c>
      <c r="AI1031">
        <f>IF(OR(AI$4="",$A1031&gt;TODAY()),0,IF(OR(INDEX($B1031:$D1031,AI$5)="F",AND(AI$6&gt;0,$A1031&lt;AI$6),AND(AI$7&gt;0,$A1031&gt;AI$7)),0,MAX(0,ROUND((INDEX($E1031:$G1031,AI$5)-SUMIFS(TF_Timer,TF_Tekniker,AI$4,TF_Dato,$A1031))*2,0)/2)))</f>
        <v/>
      </c>
      <c r="AJ1031">
        <f>IF(OR(AJ$4="",$A1031&gt;TODAY()),0,IF(OR(INDEX($B1031:$D1031,AJ$5)="F",AND(AJ$6&gt;0,$A1031&lt;AJ$6),AND(AJ$7&gt;0,$A1031&gt;AJ$7)),0,MAX(0,ROUND((INDEX($E1031:$G1031,AJ$5)-SUMIFS(TF_Timer,TF_Tekniker,AJ$4,TF_Dato,$A1031))*2,0)/2)))</f>
        <v/>
      </c>
      <c r="AK1031">
        <f>IF(OR(AK$4="",$A1031&gt;TODAY()),0,IF(OR(INDEX($B1031:$D1031,AK$5)="F",AND(AK$6&gt;0,$A1031&lt;AK$6),AND(AK$7&gt;0,$A1031&gt;AK$7)),0,MAX(0,ROUND((INDEX($E1031:$G1031,AK$5)-SUMIFS(TF_Timer,TF_Tekniker,AK$4,TF_Dato,$A1031))*2,0)/2)))</f>
        <v/>
      </c>
      <c r="AL1031">
        <f>IF(OR(AL$4="",$A1031&gt;TODAY()),0,IF(OR(INDEX($B1031:$D1031,AL$5)="F",AND(AL$6&gt;0,$A1031&lt;AL$6),AND(AL$7&gt;0,$A1031&gt;AL$7)),0,MAX(0,ROUND((INDEX($E1031:$G1031,AL$5)-SUMIFS(TF_Timer,TF_Tekniker,AL$4,TF_Dato,$A1031))*2,0)/2)))</f>
        <v/>
      </c>
      <c r="AM1031">
        <f>IF(OR(AM$4="",$A1031&gt;TODAY()),0,IF(OR(INDEX($B1031:$D1031,AM$5)="F",AND(AM$6&gt;0,$A1031&lt;AM$6),AND(AM$7&gt;0,$A1031&gt;AM$7)),0,MAX(0,ROUND((INDEX($E1031:$G1031,AM$5)-SUMIFS(TF_Timer,TF_Tekniker,AM$4,TF_Dato,$A1031))*2,0)/2)))</f>
        <v/>
      </c>
      <c r="AN1031">
        <f>IF(OR(AN$4="",$A1031&gt;TODAY()),0,IF(OR(INDEX($B1031:$D1031,AN$5)="F",AND(AN$6&gt;0,$A1031&lt;AN$6),AND(AN$7&gt;0,$A1031&gt;AN$7)),0,MAX(0,ROUND((INDEX($E1031:$G1031,AN$5)-SUMIFS(TF_Timer,TF_Tekniker,AN$4,TF_Dato,$A1031))*2,0)/2)))</f>
        <v/>
      </c>
      <c r="AO1031">
        <f>IF(OR(AO$4="",$A1031&gt;TODAY()),0,IF(OR(INDEX($B1031:$D1031,AO$5)="F",AND(AO$6&gt;0,$A1031&lt;AO$6),AND(AO$7&gt;0,$A1031&gt;AO$7)),0,MAX(0,ROUND((INDEX($E1031:$G1031,AO$5)-SUMIFS(TF_Timer,TF_Tekniker,AO$4,TF_Dato,$A1031))*2,0)/2)))</f>
        <v/>
      </c>
      <c r="AP1031">
        <f>IF(OR(AP$4="",$A1031&gt;TODAY()),0,IF(OR(INDEX($B1031:$D1031,AP$5)="F",AND(AP$6&gt;0,$A1031&lt;AP$6),AND(AP$7&gt;0,$A1031&gt;AP$7)),0,MAX(0,ROUND((INDEX($E1031:$G1031,AP$5)-SUMIFS(TF_Timer,TF_Tekniker,AP$4,TF_Dato,$A1031))*2,0)/2)))</f>
        <v/>
      </c>
      <c r="AQ1031">
        <f>IF(OR(AQ$4="",$A1031&gt;TODAY()),0,IF(OR(INDEX($B1031:$D1031,AQ$5)="F",AND(AQ$6&gt;0,$A1031&lt;AQ$6),AND(AQ$7&gt;0,$A1031&gt;AQ$7)),0,MAX(0,ROUND((INDEX($E1031:$G1031,AQ$5)-SUMIFS(TF_Timer,TF_Tekniker,AQ$4,TF_Dato,$A1031))*2,0)/2)))</f>
        <v/>
      </c>
      <c r="AR1031">
        <f>IF(OR(AR$4="",$A1031&gt;TODAY()),0,IF(OR(INDEX($B1031:$D1031,AR$5)="F",AND(AR$6&gt;0,$A1031&lt;AR$6),AND(AR$7&gt;0,$A1031&gt;AR$7)),0,MAX(0,ROUND((INDEX($E1031:$G1031,AR$5)-SUMIFS(TF_Timer,TF_Tekniker,AR$4,TF_Dato,$A1031))*2,0)/2)))</f>
        <v/>
      </c>
      <c r="AS1031">
        <f>IF(OR(AS$4="",$A1031&gt;TODAY()),0,IF(OR(INDEX($B1031:$D1031,AS$5)="F",AND(AS$6&gt;0,$A1031&lt;AS$6),AND(AS$7&gt;0,$A1031&gt;AS$7)),0,MAX(0,ROUND((INDEX($E1031:$G1031,AS$5)-SUMIFS(TF_Timer,TF_Tekniker,AS$4,TF_Dato,$A1031))*2,0)/2)))</f>
        <v/>
      </c>
      <c r="AT1031">
        <f>IF(OR(AT$4="",$A1031&gt;TODAY()),0,IF(OR(INDEX($B1031:$D1031,AT$5)="F",AND(AT$6&gt;0,$A1031&lt;AT$6),AND(AT$7&gt;0,$A1031&gt;AT$7)),0,MAX(0,ROUND((INDEX($E1031:$G1031,AT$5)-SUMIFS(TF_Timer,TF_Tekniker,AT$4,TF_Dato,$A1031))*2,0)/2)))</f>
        <v/>
      </c>
      <c r="AU1031">
        <f>IF(OR(AU$4="",$A1031&gt;TODAY()),0,IF(OR(INDEX($B1031:$D1031,AU$5)="F",AND(AU$6&gt;0,$A1031&lt;AU$6),AND(AU$7&gt;0,$A1031&gt;AU$7)),0,MAX(0,ROUND((INDEX($E1031:$G1031,AU$5)-SUMIFS(TF_Timer,TF_Tekniker,AU$4,TF_Dato,$A1031))*2,0)/2)))</f>
        <v/>
      </c>
      <c r="AV1031">
        <f>IF(OR(AV$4="",$A1031&gt;TODAY()),0,IF(OR(INDEX($B1031:$D1031,AV$5)="F",AND(AV$6&gt;0,$A1031&lt;AV$6),AND(AV$7&gt;0,$A1031&gt;AV$7)),0,MAX(0,ROUND((INDEX($E1031:$G1031,AV$5)-SUMIFS(TF_Timer,TF_Tekniker,AV$4,TF_Dato,$A1031))*2,0)/2)))</f>
        <v/>
      </c>
      <c r="AW1031">
        <f>IF(OR(AW$4="",$A1031&gt;TODAY()),0,IF(OR(INDEX($B1031:$D1031,AW$5)="F",AND(AW$6&gt;0,$A1031&lt;AW$6),AND(AW$7&gt;0,$A1031&gt;AW$7)),0,MAX(0,ROUND((INDEX($E1031:$G1031,AW$5)-SUMIFS(TF_Timer,TF_Tekniker,AW$4,TF_Dato,$A1031))*2,0)/2)))</f>
        <v/>
      </c>
      <c r="AX1031">
        <f>IF(OR(AX$4="",$A1031&gt;TODAY()),0,IF(OR(INDEX($B1031:$D1031,AX$5)="F",AND(AX$6&gt;0,$A1031&lt;AX$6),AND(AX$7&gt;0,$A1031&gt;AX$7)),0,MAX(0,ROUND((INDEX($E1031:$G1031,AX$5)-SUMIFS(TF_Timer,TF_Tekniker,AX$4,TF_Dato,$A1031))*2,0)/2)))</f>
        <v/>
      </c>
      <c r="AY1031">
        <f>IF(OR(AY$4="",$A1031&gt;TODAY()),0,IF(OR(INDEX($B1031:$D1031,AY$5)="F",AND(AY$6&gt;0,$A1031&lt;AY$6),AND(AY$7&gt;0,$A1031&gt;AY$7)),0,MAX(0,ROUND((INDEX($E1031:$G1031,AY$5)-SUMIFS(TF_Timer,TF_Tekniker,AY$4,TF_Dato,$A1031))*2,0)/2)))</f>
        <v/>
      </c>
      <c r="AZ1031">
        <f>IF(OR(AZ$4="",$A1031&gt;TODAY()),0,IF(OR(INDEX($B1031:$D1031,AZ$5)="F",AND(AZ$6&gt;0,$A1031&lt;AZ$6),AND(AZ$7&gt;0,$A1031&gt;AZ$7)),0,MAX(0,ROUND((INDEX($E1031:$G1031,AZ$5)-SUMIFS(TF_Timer,TF_Tekniker,AZ$4,TF_Dato,$A1031))*2,0)/2)))</f>
        <v/>
      </c>
      <c r="BA1031">
        <f>IF(OR(BA$4="",$A1031&gt;TODAY()),0,IF(OR(INDEX($B1031:$D1031,BA$5)="F",AND(BA$6&gt;0,$A1031&lt;BA$6),AND(BA$7&gt;0,$A1031&gt;BA$7)),0,MAX(0,ROUND((INDEX($E1031:$G1031,BA$5)-SUMIFS(TF_Timer,TF_Tekniker,BA$4,TF_Dato,$A1031))*2,0)/2)))</f>
        <v/>
      </c>
      <c r="BB1031">
        <f>IF(OR(BB$4="",$A1031&gt;TODAY()),0,IF(OR(INDEX($B1031:$D1031,BB$5)="F",AND(BB$6&gt;0,$A1031&lt;BB$6),AND(BB$7&gt;0,$A1031&gt;BB$7)),0,MAX(0,ROUND((INDEX($E1031:$G1031,BB$5)-SUMIFS(TF_Timer,TF_Tekniker,BB$4,TF_Dato,$A1031))*2,0)/2)))</f>
        <v/>
      </c>
      <c r="BC1031">
        <f>IF(OR(BC$4="",$A1031&gt;TODAY()),0,IF(OR(INDEX($B1031:$D1031,BC$5)="F",AND(BC$6&gt;0,$A1031&lt;BC$6),AND(BC$7&gt;0,$A1031&gt;BC$7)),0,MAX(0,ROUND((INDEX($E1031:$G1031,BC$5)-SUMIFS(TF_Timer,TF_Tekniker,BC$4,TF_Dato,$A1031))*2,0)/2)))</f>
        <v/>
      </c>
      <c r="BD1031">
        <f>IF(OR(BD$4="",$A1031&gt;TODAY()),0,IF(OR(INDEX($B1031:$D1031,BD$5)="F",AND(BD$6&gt;0,$A1031&lt;BD$6),AND(BD$7&gt;0,$A1031&gt;BD$7)),0,MAX(0,ROUND((INDEX($E1031:$G1031,BD$5)-SUMIFS(TF_Timer,TF_Tekniker,BD$4,TF_Dato,$A1031))*2,0)/2)))</f>
        <v/>
      </c>
      <c r="BE1031">
        <f>IF(OR(BE$4="",$A1031&gt;TODAY()),0,IF(OR(INDEX($B1031:$D1031,BE$5)="F",AND(BE$6&gt;0,$A1031&lt;BE$6),AND(BE$7&gt;0,$A1031&gt;BE$7)),0,MAX(0,ROUND((INDEX($E1031:$G1031,BE$5)-SUMIFS(TF_Timer,TF_Tekniker,BE$4,TF_Dato,$A1031))*2,0)/2)))</f>
        <v/>
      </c>
      <c r="BF1031">
        <f>IF(OR(BF$4="",$A1031&gt;TODAY()),0,IF(OR(INDEX($B1031:$D1031,BF$5)="F",AND(BF$6&gt;0,$A1031&lt;BF$6),AND(BF$7&gt;0,$A1031&gt;BF$7)),0,MAX(0,ROUND((INDEX($E1031:$G1031,BF$5)-SUMIFS(TF_Timer,TF_Tekniker,BF$4,TF_Dato,$A1031))*2,0)/2)))</f>
        <v/>
      </c>
      <c r="BG1031">
        <f>IF(OR(BG$4="",$A1031&gt;TODAY()),0,IF(OR(INDEX($B1031:$D1031,BG$5)="F",AND(BG$6&gt;0,$A1031&lt;BG$6),AND(BG$7&gt;0,$A1031&gt;BG$7)),0,MAX(0,ROUND((INDEX($E1031:$G1031,BG$5)-SUMIFS(TF_Timer,TF_Tekniker,BG$4,TF_Dato,$A1031))*2,0)/2)))</f>
        <v/>
      </c>
      <c r="BH1031">
        <f>IF(OR(BH$4="",$A1031&gt;TODAY()),0,IF(OR(INDEX($B1031:$D1031,BH$5)="F",AND(BH$6&gt;0,$A1031&lt;BH$6),AND(BH$7&gt;0,$A1031&gt;BH$7)),0,MAX(0,ROUND((INDEX($E1031:$G1031,BH$5)-SUMIFS(TF_Timer,TF_Tekniker,BH$4,TF_Dato,$A1031))*2,0)/2)))</f>
        <v/>
      </c>
      <c r="BI1031">
        <f>IF(OR(BI$4="",$A1031&gt;TODAY()),0,IF(OR(INDEX($B1031:$D1031,BI$5)="F",AND(BI$6&gt;0,$A1031&lt;BI$6),AND(BI$7&gt;0,$A1031&gt;BI$7)),0,MAX(0,ROUND((INDEX($E1031:$G1031,BI$5)-SUMIFS(TF_Timer,TF_Tekniker,BI$4,TF_Dato,$A1031))*2,0)/2)))</f>
        <v/>
      </c>
    </row>
    <row r="1032">
      <c r="A1032" s="64">
        <f>A1031+1</f>
        <v/>
      </c>
      <c r="B1032">
        <f>IF(MOD($A1032-INDEX(SkiftStart,1),Syklus)&lt;DagK,"K",IF(MOD($A1032-INDEX(SkiftStart,1),Syklus)&lt;DagK+DagH,"H",IF(MOD($A1032-INDEX(SkiftStart,1),Syklus)&lt;DagK+DagH+DagD,"D","F")))</f>
        <v/>
      </c>
      <c r="C1032">
        <f>IF(MOD($A1032-INDEX(SkiftStart,2),Syklus)&lt;DagK,"K",IF(MOD($A1032-INDEX(SkiftStart,2),Syklus)&lt;DagK+DagH,"H",IF(MOD($A1032-INDEX(SkiftStart,2),Syklus)&lt;DagK+DagH+DagD,"D","F")))</f>
        <v/>
      </c>
      <c r="D1032">
        <f>IF(MOD($A1032-INDEX(SkiftStart,3),Syklus)&lt;DagK,"K",IF(MOD($A1032-INDEX(SkiftStart,3),Syklus)&lt;DagK+DagH,"H",IF(MOD($A1032-INDEX(SkiftStart,3),Syklus)&lt;DagK+DagH+DagD,"D","F")))</f>
        <v/>
      </c>
      <c r="E1032">
        <f>IF(B1032="F",0,IF(WEEKDAY($A1032,2)=5,INDEX(TimerFr,MATCH(B1032,FaseKode,0)),INDEX(TimerMT,MATCH(B1032,FaseKode,0))))</f>
        <v/>
      </c>
      <c r="F1032">
        <f>IF(C1032="F",0,IF(WEEKDAY($A1032,2)=5,INDEX(TimerFr,MATCH(C1032,FaseKode,0)),INDEX(TimerMT,MATCH(C1032,FaseKode,0))))</f>
        <v/>
      </c>
      <c r="G1032">
        <f>IF(D1032="F",0,IF(WEEKDAY($A1032,2)=5,INDEX(TimerFr,MATCH(D1032,FaseKode,0)),INDEX(TimerMT,MATCH(D1032,FaseKode,0))))</f>
        <v/>
      </c>
      <c r="H1032">
        <f>IF(OR(H$4="",$A1032&gt;TODAY()),0,IF(OR(INDEX($B1032:$D1032,H$5)="F",AND(H$6&gt;0,$A1032&lt;H$6),AND(H$7&gt;0,$A1032&gt;H$7)),0,MAX(0,ROUND((INDEX($E1032:$G1032,H$5)-SUMIFS(TF_Timer,TF_Tekniker,H$4,TF_Dato,$A1032))*2,0)/2)))</f>
        <v/>
      </c>
      <c r="I1032">
        <f>IF(OR(I$4="",$A1032&gt;TODAY()),0,IF(OR(INDEX($B1032:$D1032,I$5)="F",AND(I$6&gt;0,$A1032&lt;I$6),AND(I$7&gt;0,$A1032&gt;I$7)),0,MAX(0,ROUND((INDEX($E1032:$G1032,I$5)-SUMIFS(TF_Timer,TF_Tekniker,I$4,TF_Dato,$A1032))*2,0)/2)))</f>
        <v/>
      </c>
      <c r="J1032">
        <f>IF(OR(J$4="",$A1032&gt;TODAY()),0,IF(OR(INDEX($B1032:$D1032,J$5)="F",AND(J$6&gt;0,$A1032&lt;J$6),AND(J$7&gt;0,$A1032&gt;J$7)),0,MAX(0,ROUND((INDEX($E1032:$G1032,J$5)-SUMIFS(TF_Timer,TF_Tekniker,J$4,TF_Dato,$A1032))*2,0)/2)))</f>
        <v/>
      </c>
      <c r="K1032">
        <f>IF(OR(K$4="",$A1032&gt;TODAY()),0,IF(OR(INDEX($B1032:$D1032,K$5)="F",AND(K$6&gt;0,$A1032&lt;K$6),AND(K$7&gt;0,$A1032&gt;K$7)),0,MAX(0,ROUND((INDEX($E1032:$G1032,K$5)-SUMIFS(TF_Timer,TF_Tekniker,K$4,TF_Dato,$A1032))*2,0)/2)))</f>
        <v/>
      </c>
      <c r="L1032">
        <f>IF(OR(L$4="",$A1032&gt;TODAY()),0,IF(OR(INDEX($B1032:$D1032,L$5)="F",AND(L$6&gt;0,$A1032&lt;L$6),AND(L$7&gt;0,$A1032&gt;L$7)),0,MAX(0,ROUND((INDEX($E1032:$G1032,L$5)-SUMIFS(TF_Timer,TF_Tekniker,L$4,TF_Dato,$A1032))*2,0)/2)))</f>
        <v/>
      </c>
      <c r="M1032">
        <f>IF(OR(M$4="",$A1032&gt;TODAY()),0,IF(OR(INDEX($B1032:$D1032,M$5)="F",AND(M$6&gt;0,$A1032&lt;M$6),AND(M$7&gt;0,$A1032&gt;M$7)),0,MAX(0,ROUND((INDEX($E1032:$G1032,M$5)-SUMIFS(TF_Timer,TF_Tekniker,M$4,TF_Dato,$A1032))*2,0)/2)))</f>
        <v/>
      </c>
      <c r="N1032">
        <f>IF(OR(N$4="",$A1032&gt;TODAY()),0,IF(OR(INDEX($B1032:$D1032,N$5)="F",AND(N$6&gt;0,$A1032&lt;N$6),AND(N$7&gt;0,$A1032&gt;N$7)),0,MAX(0,ROUND((INDEX($E1032:$G1032,N$5)-SUMIFS(TF_Timer,TF_Tekniker,N$4,TF_Dato,$A1032))*2,0)/2)))</f>
        <v/>
      </c>
      <c r="O1032">
        <f>IF(OR(O$4="",$A1032&gt;TODAY()),0,IF(OR(INDEX($B1032:$D1032,O$5)="F",AND(O$6&gt;0,$A1032&lt;O$6),AND(O$7&gt;0,$A1032&gt;O$7)),0,MAX(0,ROUND((INDEX($E1032:$G1032,O$5)-SUMIFS(TF_Timer,TF_Tekniker,O$4,TF_Dato,$A1032))*2,0)/2)))</f>
        <v/>
      </c>
      <c r="P1032">
        <f>IF(OR(P$4="",$A1032&gt;TODAY()),0,IF(OR(INDEX($B1032:$D1032,P$5)="F",AND(P$6&gt;0,$A1032&lt;P$6),AND(P$7&gt;0,$A1032&gt;P$7)),0,MAX(0,ROUND((INDEX($E1032:$G1032,P$5)-SUMIFS(TF_Timer,TF_Tekniker,P$4,TF_Dato,$A1032))*2,0)/2)))</f>
        <v/>
      </c>
      <c r="Q1032">
        <f>IF(OR(Q$4="",$A1032&gt;TODAY()),0,IF(OR(INDEX($B1032:$D1032,Q$5)="F",AND(Q$6&gt;0,$A1032&lt;Q$6),AND(Q$7&gt;0,$A1032&gt;Q$7)),0,MAX(0,ROUND((INDEX($E1032:$G1032,Q$5)-SUMIFS(TF_Timer,TF_Tekniker,Q$4,TF_Dato,$A1032))*2,0)/2)))</f>
        <v/>
      </c>
      <c r="R1032">
        <f>IF(OR(R$4="",$A1032&gt;TODAY()),0,IF(OR(INDEX($B1032:$D1032,R$5)="F",AND(R$6&gt;0,$A1032&lt;R$6),AND(R$7&gt;0,$A1032&gt;R$7)),0,MAX(0,ROUND((INDEX($E1032:$G1032,R$5)-SUMIFS(TF_Timer,TF_Tekniker,R$4,TF_Dato,$A1032))*2,0)/2)))</f>
        <v/>
      </c>
      <c r="S1032">
        <f>IF(OR(S$4="",$A1032&gt;TODAY()),0,IF(OR(INDEX($B1032:$D1032,S$5)="F",AND(S$6&gt;0,$A1032&lt;S$6),AND(S$7&gt;0,$A1032&gt;S$7)),0,MAX(0,ROUND((INDEX($E1032:$G1032,S$5)-SUMIFS(TF_Timer,TF_Tekniker,S$4,TF_Dato,$A1032))*2,0)/2)))</f>
        <v/>
      </c>
      <c r="T1032">
        <f>IF(OR(T$4="",$A1032&gt;TODAY()),0,IF(OR(INDEX($B1032:$D1032,T$5)="F",AND(T$6&gt;0,$A1032&lt;T$6),AND(T$7&gt;0,$A1032&gt;T$7)),0,MAX(0,ROUND((INDEX($E1032:$G1032,T$5)-SUMIFS(TF_Timer,TF_Tekniker,T$4,TF_Dato,$A1032))*2,0)/2)))</f>
        <v/>
      </c>
      <c r="U1032">
        <f>IF(OR(U$4="",$A1032&gt;TODAY()),0,IF(OR(INDEX($B1032:$D1032,U$5)="F",AND(U$6&gt;0,$A1032&lt;U$6),AND(U$7&gt;0,$A1032&gt;U$7)),0,MAX(0,ROUND((INDEX($E1032:$G1032,U$5)-SUMIFS(TF_Timer,TF_Tekniker,U$4,TF_Dato,$A1032))*2,0)/2)))</f>
        <v/>
      </c>
      <c r="V1032">
        <f>IF(OR(V$4="",$A1032&gt;TODAY()),0,IF(OR(INDEX($B1032:$D1032,V$5)="F",AND(V$6&gt;0,$A1032&lt;V$6),AND(V$7&gt;0,$A1032&gt;V$7)),0,MAX(0,ROUND((INDEX($E1032:$G1032,V$5)-SUMIFS(TF_Timer,TF_Tekniker,V$4,TF_Dato,$A1032))*2,0)/2)))</f>
        <v/>
      </c>
      <c r="W1032">
        <f>IF(OR(W$4="",$A1032&gt;TODAY()),0,IF(OR(INDEX($B1032:$D1032,W$5)="F",AND(W$6&gt;0,$A1032&lt;W$6),AND(W$7&gt;0,$A1032&gt;W$7)),0,MAX(0,ROUND((INDEX($E1032:$G1032,W$5)-SUMIFS(TF_Timer,TF_Tekniker,W$4,TF_Dato,$A1032))*2,0)/2)))</f>
        <v/>
      </c>
      <c r="X1032">
        <f>IF(OR(X$4="",$A1032&gt;TODAY()),0,IF(OR(INDEX($B1032:$D1032,X$5)="F",AND(X$6&gt;0,$A1032&lt;X$6),AND(X$7&gt;0,$A1032&gt;X$7)),0,MAX(0,ROUND((INDEX($E1032:$G1032,X$5)-SUMIFS(TF_Timer,TF_Tekniker,X$4,TF_Dato,$A1032))*2,0)/2)))</f>
        <v/>
      </c>
      <c r="Y1032">
        <f>IF(OR(Y$4="",$A1032&gt;TODAY()),0,IF(OR(INDEX($B1032:$D1032,Y$5)="F",AND(Y$6&gt;0,$A1032&lt;Y$6),AND(Y$7&gt;0,$A1032&gt;Y$7)),0,MAX(0,ROUND((INDEX($E1032:$G1032,Y$5)-SUMIFS(TF_Timer,TF_Tekniker,Y$4,TF_Dato,$A1032))*2,0)/2)))</f>
        <v/>
      </c>
      <c r="Z1032">
        <f>IF(OR(Z$4="",$A1032&gt;TODAY()),0,IF(OR(INDEX($B1032:$D1032,Z$5)="F",AND(Z$6&gt;0,$A1032&lt;Z$6),AND(Z$7&gt;0,$A1032&gt;Z$7)),0,MAX(0,ROUND((INDEX($E1032:$G1032,Z$5)-SUMIFS(TF_Timer,TF_Tekniker,Z$4,TF_Dato,$A1032))*2,0)/2)))</f>
        <v/>
      </c>
      <c r="AA1032">
        <f>IF(OR(AA$4="",$A1032&gt;TODAY()),0,IF(OR(INDEX($B1032:$D1032,AA$5)="F",AND(AA$6&gt;0,$A1032&lt;AA$6),AND(AA$7&gt;0,$A1032&gt;AA$7)),0,MAX(0,ROUND((INDEX($E1032:$G1032,AA$5)-SUMIFS(TF_Timer,TF_Tekniker,AA$4,TF_Dato,$A1032))*2,0)/2)))</f>
        <v/>
      </c>
      <c r="AB1032">
        <f>IF(OR(AB$4="",$A1032&gt;TODAY()),0,IF(OR(INDEX($B1032:$D1032,AB$5)="F",AND(AB$6&gt;0,$A1032&lt;AB$6),AND(AB$7&gt;0,$A1032&gt;AB$7)),0,MAX(0,ROUND((INDEX($E1032:$G1032,AB$5)-SUMIFS(TF_Timer,TF_Tekniker,AB$4,TF_Dato,$A1032))*2,0)/2)))</f>
        <v/>
      </c>
      <c r="AC1032">
        <f>IF(OR(AC$4="",$A1032&gt;TODAY()),0,IF(OR(INDEX($B1032:$D1032,AC$5)="F",AND(AC$6&gt;0,$A1032&lt;AC$6),AND(AC$7&gt;0,$A1032&gt;AC$7)),0,MAX(0,ROUND((INDEX($E1032:$G1032,AC$5)-SUMIFS(TF_Timer,TF_Tekniker,AC$4,TF_Dato,$A1032))*2,0)/2)))</f>
        <v/>
      </c>
      <c r="AD1032">
        <f>IF(OR(AD$4="",$A1032&gt;TODAY()),0,IF(OR(INDEX($B1032:$D1032,AD$5)="F",AND(AD$6&gt;0,$A1032&lt;AD$6),AND(AD$7&gt;0,$A1032&gt;AD$7)),0,MAX(0,ROUND((INDEX($E1032:$G1032,AD$5)-SUMIFS(TF_Timer,TF_Tekniker,AD$4,TF_Dato,$A1032))*2,0)/2)))</f>
        <v/>
      </c>
      <c r="AE1032">
        <f>IF(OR(AE$4="",$A1032&gt;TODAY()),0,IF(OR(INDEX($B1032:$D1032,AE$5)="F",AND(AE$6&gt;0,$A1032&lt;AE$6),AND(AE$7&gt;0,$A1032&gt;AE$7)),0,MAX(0,ROUND((INDEX($E1032:$G1032,AE$5)-SUMIFS(TF_Timer,TF_Tekniker,AE$4,TF_Dato,$A1032))*2,0)/2)))</f>
        <v/>
      </c>
      <c r="AF1032">
        <f>IF(OR(AF$4="",$A1032&gt;TODAY()),0,IF(OR(INDEX($B1032:$D1032,AF$5)="F",AND(AF$6&gt;0,$A1032&lt;AF$6),AND(AF$7&gt;0,$A1032&gt;AF$7)),0,MAX(0,ROUND((INDEX($E1032:$G1032,AF$5)-SUMIFS(TF_Timer,TF_Tekniker,AF$4,TF_Dato,$A1032))*2,0)/2)))</f>
        <v/>
      </c>
      <c r="AG1032">
        <f>IF(OR(AG$4="",$A1032&gt;TODAY()),0,IF(OR(INDEX($B1032:$D1032,AG$5)="F",AND(AG$6&gt;0,$A1032&lt;AG$6),AND(AG$7&gt;0,$A1032&gt;AG$7)),0,MAX(0,ROUND((INDEX($E1032:$G1032,AG$5)-SUMIFS(TF_Timer,TF_Tekniker,AG$4,TF_Dato,$A1032))*2,0)/2)))</f>
        <v/>
      </c>
      <c r="AH1032">
        <f>IF(OR(AH$4="",$A1032&gt;TODAY()),0,IF(OR(INDEX($B1032:$D1032,AH$5)="F",AND(AH$6&gt;0,$A1032&lt;AH$6),AND(AH$7&gt;0,$A1032&gt;AH$7)),0,MAX(0,ROUND((INDEX($E1032:$G1032,AH$5)-SUMIFS(TF_Timer,TF_Tekniker,AH$4,TF_Dato,$A1032))*2,0)/2)))</f>
        <v/>
      </c>
      <c r="AI1032">
        <f>IF(OR(AI$4="",$A1032&gt;TODAY()),0,IF(OR(INDEX($B1032:$D1032,AI$5)="F",AND(AI$6&gt;0,$A1032&lt;AI$6),AND(AI$7&gt;0,$A1032&gt;AI$7)),0,MAX(0,ROUND((INDEX($E1032:$G1032,AI$5)-SUMIFS(TF_Timer,TF_Tekniker,AI$4,TF_Dato,$A1032))*2,0)/2)))</f>
        <v/>
      </c>
      <c r="AJ1032">
        <f>IF(OR(AJ$4="",$A1032&gt;TODAY()),0,IF(OR(INDEX($B1032:$D1032,AJ$5)="F",AND(AJ$6&gt;0,$A1032&lt;AJ$6),AND(AJ$7&gt;0,$A1032&gt;AJ$7)),0,MAX(0,ROUND((INDEX($E1032:$G1032,AJ$5)-SUMIFS(TF_Timer,TF_Tekniker,AJ$4,TF_Dato,$A1032))*2,0)/2)))</f>
        <v/>
      </c>
      <c r="AK1032">
        <f>IF(OR(AK$4="",$A1032&gt;TODAY()),0,IF(OR(INDEX($B1032:$D1032,AK$5)="F",AND(AK$6&gt;0,$A1032&lt;AK$6),AND(AK$7&gt;0,$A1032&gt;AK$7)),0,MAX(0,ROUND((INDEX($E1032:$G1032,AK$5)-SUMIFS(TF_Timer,TF_Tekniker,AK$4,TF_Dato,$A1032))*2,0)/2)))</f>
        <v/>
      </c>
      <c r="AL1032">
        <f>IF(OR(AL$4="",$A1032&gt;TODAY()),0,IF(OR(INDEX($B1032:$D1032,AL$5)="F",AND(AL$6&gt;0,$A1032&lt;AL$6),AND(AL$7&gt;0,$A1032&gt;AL$7)),0,MAX(0,ROUND((INDEX($E1032:$G1032,AL$5)-SUMIFS(TF_Timer,TF_Tekniker,AL$4,TF_Dato,$A1032))*2,0)/2)))</f>
        <v/>
      </c>
      <c r="AM1032">
        <f>IF(OR(AM$4="",$A1032&gt;TODAY()),0,IF(OR(INDEX($B1032:$D1032,AM$5)="F",AND(AM$6&gt;0,$A1032&lt;AM$6),AND(AM$7&gt;0,$A1032&gt;AM$7)),0,MAX(0,ROUND((INDEX($E1032:$G1032,AM$5)-SUMIFS(TF_Timer,TF_Tekniker,AM$4,TF_Dato,$A1032))*2,0)/2)))</f>
        <v/>
      </c>
      <c r="AN1032">
        <f>IF(OR(AN$4="",$A1032&gt;TODAY()),0,IF(OR(INDEX($B1032:$D1032,AN$5)="F",AND(AN$6&gt;0,$A1032&lt;AN$6),AND(AN$7&gt;0,$A1032&gt;AN$7)),0,MAX(0,ROUND((INDEX($E1032:$G1032,AN$5)-SUMIFS(TF_Timer,TF_Tekniker,AN$4,TF_Dato,$A1032))*2,0)/2)))</f>
        <v/>
      </c>
      <c r="AO1032">
        <f>IF(OR(AO$4="",$A1032&gt;TODAY()),0,IF(OR(INDEX($B1032:$D1032,AO$5)="F",AND(AO$6&gt;0,$A1032&lt;AO$6),AND(AO$7&gt;0,$A1032&gt;AO$7)),0,MAX(0,ROUND((INDEX($E1032:$G1032,AO$5)-SUMIFS(TF_Timer,TF_Tekniker,AO$4,TF_Dato,$A1032))*2,0)/2)))</f>
        <v/>
      </c>
      <c r="AP1032">
        <f>IF(OR(AP$4="",$A1032&gt;TODAY()),0,IF(OR(INDEX($B1032:$D1032,AP$5)="F",AND(AP$6&gt;0,$A1032&lt;AP$6),AND(AP$7&gt;0,$A1032&gt;AP$7)),0,MAX(0,ROUND((INDEX($E1032:$G1032,AP$5)-SUMIFS(TF_Timer,TF_Tekniker,AP$4,TF_Dato,$A1032))*2,0)/2)))</f>
        <v/>
      </c>
      <c r="AQ1032">
        <f>IF(OR(AQ$4="",$A1032&gt;TODAY()),0,IF(OR(INDEX($B1032:$D1032,AQ$5)="F",AND(AQ$6&gt;0,$A1032&lt;AQ$6),AND(AQ$7&gt;0,$A1032&gt;AQ$7)),0,MAX(0,ROUND((INDEX($E1032:$G1032,AQ$5)-SUMIFS(TF_Timer,TF_Tekniker,AQ$4,TF_Dato,$A1032))*2,0)/2)))</f>
        <v/>
      </c>
      <c r="AR1032">
        <f>IF(OR(AR$4="",$A1032&gt;TODAY()),0,IF(OR(INDEX($B1032:$D1032,AR$5)="F",AND(AR$6&gt;0,$A1032&lt;AR$6),AND(AR$7&gt;0,$A1032&gt;AR$7)),0,MAX(0,ROUND((INDEX($E1032:$G1032,AR$5)-SUMIFS(TF_Timer,TF_Tekniker,AR$4,TF_Dato,$A1032))*2,0)/2)))</f>
        <v/>
      </c>
      <c r="AS1032">
        <f>IF(OR(AS$4="",$A1032&gt;TODAY()),0,IF(OR(INDEX($B1032:$D1032,AS$5)="F",AND(AS$6&gt;0,$A1032&lt;AS$6),AND(AS$7&gt;0,$A1032&gt;AS$7)),0,MAX(0,ROUND((INDEX($E1032:$G1032,AS$5)-SUMIFS(TF_Timer,TF_Tekniker,AS$4,TF_Dato,$A1032))*2,0)/2)))</f>
        <v/>
      </c>
      <c r="AT1032">
        <f>IF(OR(AT$4="",$A1032&gt;TODAY()),0,IF(OR(INDEX($B1032:$D1032,AT$5)="F",AND(AT$6&gt;0,$A1032&lt;AT$6),AND(AT$7&gt;0,$A1032&gt;AT$7)),0,MAX(0,ROUND((INDEX($E1032:$G1032,AT$5)-SUMIFS(TF_Timer,TF_Tekniker,AT$4,TF_Dato,$A1032))*2,0)/2)))</f>
        <v/>
      </c>
      <c r="AU1032">
        <f>IF(OR(AU$4="",$A1032&gt;TODAY()),0,IF(OR(INDEX($B1032:$D1032,AU$5)="F",AND(AU$6&gt;0,$A1032&lt;AU$6),AND(AU$7&gt;0,$A1032&gt;AU$7)),0,MAX(0,ROUND((INDEX($E1032:$G1032,AU$5)-SUMIFS(TF_Timer,TF_Tekniker,AU$4,TF_Dato,$A1032))*2,0)/2)))</f>
        <v/>
      </c>
      <c r="AV1032">
        <f>IF(OR(AV$4="",$A1032&gt;TODAY()),0,IF(OR(INDEX($B1032:$D1032,AV$5)="F",AND(AV$6&gt;0,$A1032&lt;AV$6),AND(AV$7&gt;0,$A1032&gt;AV$7)),0,MAX(0,ROUND((INDEX($E1032:$G1032,AV$5)-SUMIFS(TF_Timer,TF_Tekniker,AV$4,TF_Dato,$A1032))*2,0)/2)))</f>
        <v/>
      </c>
      <c r="AW1032">
        <f>IF(OR(AW$4="",$A1032&gt;TODAY()),0,IF(OR(INDEX($B1032:$D1032,AW$5)="F",AND(AW$6&gt;0,$A1032&lt;AW$6),AND(AW$7&gt;0,$A1032&gt;AW$7)),0,MAX(0,ROUND((INDEX($E1032:$G1032,AW$5)-SUMIFS(TF_Timer,TF_Tekniker,AW$4,TF_Dato,$A1032))*2,0)/2)))</f>
        <v/>
      </c>
      <c r="AX1032">
        <f>IF(OR(AX$4="",$A1032&gt;TODAY()),0,IF(OR(INDEX($B1032:$D1032,AX$5)="F",AND(AX$6&gt;0,$A1032&lt;AX$6),AND(AX$7&gt;0,$A1032&gt;AX$7)),0,MAX(0,ROUND((INDEX($E1032:$G1032,AX$5)-SUMIFS(TF_Timer,TF_Tekniker,AX$4,TF_Dato,$A1032))*2,0)/2)))</f>
        <v/>
      </c>
      <c r="AY1032">
        <f>IF(OR(AY$4="",$A1032&gt;TODAY()),0,IF(OR(INDEX($B1032:$D1032,AY$5)="F",AND(AY$6&gt;0,$A1032&lt;AY$6),AND(AY$7&gt;0,$A1032&gt;AY$7)),0,MAX(0,ROUND((INDEX($E1032:$G1032,AY$5)-SUMIFS(TF_Timer,TF_Tekniker,AY$4,TF_Dato,$A1032))*2,0)/2)))</f>
        <v/>
      </c>
      <c r="AZ1032">
        <f>IF(OR(AZ$4="",$A1032&gt;TODAY()),0,IF(OR(INDEX($B1032:$D1032,AZ$5)="F",AND(AZ$6&gt;0,$A1032&lt;AZ$6),AND(AZ$7&gt;0,$A1032&gt;AZ$7)),0,MAX(0,ROUND((INDEX($E1032:$G1032,AZ$5)-SUMIFS(TF_Timer,TF_Tekniker,AZ$4,TF_Dato,$A1032))*2,0)/2)))</f>
        <v/>
      </c>
      <c r="BA1032">
        <f>IF(OR(BA$4="",$A1032&gt;TODAY()),0,IF(OR(INDEX($B1032:$D1032,BA$5)="F",AND(BA$6&gt;0,$A1032&lt;BA$6),AND(BA$7&gt;0,$A1032&gt;BA$7)),0,MAX(0,ROUND((INDEX($E1032:$G1032,BA$5)-SUMIFS(TF_Timer,TF_Tekniker,BA$4,TF_Dato,$A1032))*2,0)/2)))</f>
        <v/>
      </c>
      <c r="BB1032">
        <f>IF(OR(BB$4="",$A1032&gt;TODAY()),0,IF(OR(INDEX($B1032:$D1032,BB$5)="F",AND(BB$6&gt;0,$A1032&lt;BB$6),AND(BB$7&gt;0,$A1032&gt;BB$7)),0,MAX(0,ROUND((INDEX($E1032:$G1032,BB$5)-SUMIFS(TF_Timer,TF_Tekniker,BB$4,TF_Dato,$A1032))*2,0)/2)))</f>
        <v/>
      </c>
      <c r="BC1032">
        <f>IF(OR(BC$4="",$A1032&gt;TODAY()),0,IF(OR(INDEX($B1032:$D1032,BC$5)="F",AND(BC$6&gt;0,$A1032&lt;BC$6),AND(BC$7&gt;0,$A1032&gt;BC$7)),0,MAX(0,ROUND((INDEX($E1032:$G1032,BC$5)-SUMIFS(TF_Timer,TF_Tekniker,BC$4,TF_Dato,$A1032))*2,0)/2)))</f>
        <v/>
      </c>
      <c r="BD1032">
        <f>IF(OR(BD$4="",$A1032&gt;TODAY()),0,IF(OR(INDEX($B1032:$D1032,BD$5)="F",AND(BD$6&gt;0,$A1032&lt;BD$6),AND(BD$7&gt;0,$A1032&gt;BD$7)),0,MAX(0,ROUND((INDEX($E1032:$G1032,BD$5)-SUMIFS(TF_Timer,TF_Tekniker,BD$4,TF_Dato,$A1032))*2,0)/2)))</f>
        <v/>
      </c>
      <c r="BE1032">
        <f>IF(OR(BE$4="",$A1032&gt;TODAY()),0,IF(OR(INDEX($B1032:$D1032,BE$5)="F",AND(BE$6&gt;0,$A1032&lt;BE$6),AND(BE$7&gt;0,$A1032&gt;BE$7)),0,MAX(0,ROUND((INDEX($E1032:$G1032,BE$5)-SUMIFS(TF_Timer,TF_Tekniker,BE$4,TF_Dato,$A1032))*2,0)/2)))</f>
        <v/>
      </c>
      <c r="BF1032">
        <f>IF(OR(BF$4="",$A1032&gt;TODAY()),0,IF(OR(INDEX($B1032:$D1032,BF$5)="F",AND(BF$6&gt;0,$A1032&lt;BF$6),AND(BF$7&gt;0,$A1032&gt;BF$7)),0,MAX(0,ROUND((INDEX($E1032:$G1032,BF$5)-SUMIFS(TF_Timer,TF_Tekniker,BF$4,TF_Dato,$A1032))*2,0)/2)))</f>
        <v/>
      </c>
      <c r="BG1032">
        <f>IF(OR(BG$4="",$A1032&gt;TODAY()),0,IF(OR(INDEX($B1032:$D1032,BG$5)="F",AND(BG$6&gt;0,$A1032&lt;BG$6),AND(BG$7&gt;0,$A1032&gt;BG$7)),0,MAX(0,ROUND((INDEX($E1032:$G1032,BG$5)-SUMIFS(TF_Timer,TF_Tekniker,BG$4,TF_Dato,$A1032))*2,0)/2)))</f>
        <v/>
      </c>
      <c r="BH1032">
        <f>IF(OR(BH$4="",$A1032&gt;TODAY()),0,IF(OR(INDEX($B1032:$D1032,BH$5)="F",AND(BH$6&gt;0,$A1032&lt;BH$6),AND(BH$7&gt;0,$A1032&gt;BH$7)),0,MAX(0,ROUND((INDEX($E1032:$G1032,BH$5)-SUMIFS(TF_Timer,TF_Tekniker,BH$4,TF_Dato,$A1032))*2,0)/2)))</f>
        <v/>
      </c>
      <c r="BI1032">
        <f>IF(OR(BI$4="",$A1032&gt;TODAY()),0,IF(OR(INDEX($B1032:$D1032,BI$5)="F",AND(BI$6&gt;0,$A1032&lt;BI$6),AND(BI$7&gt;0,$A1032&gt;BI$7)),0,MAX(0,ROUND((INDEX($E1032:$G1032,BI$5)-SUMIFS(TF_Timer,TF_Tekniker,BI$4,TF_Dato,$A1032))*2,0)/2)))</f>
        <v/>
      </c>
    </row>
    <row r="1033">
      <c r="A1033" s="64">
        <f>A1032+1</f>
        <v/>
      </c>
      <c r="B1033">
        <f>IF(MOD($A1033-INDEX(SkiftStart,1),Syklus)&lt;DagK,"K",IF(MOD($A1033-INDEX(SkiftStart,1),Syklus)&lt;DagK+DagH,"H",IF(MOD($A1033-INDEX(SkiftStart,1),Syklus)&lt;DagK+DagH+DagD,"D","F")))</f>
        <v/>
      </c>
      <c r="C1033">
        <f>IF(MOD($A1033-INDEX(SkiftStart,2),Syklus)&lt;DagK,"K",IF(MOD($A1033-INDEX(SkiftStart,2),Syklus)&lt;DagK+DagH,"H",IF(MOD($A1033-INDEX(SkiftStart,2),Syklus)&lt;DagK+DagH+DagD,"D","F")))</f>
        <v/>
      </c>
      <c r="D1033">
        <f>IF(MOD($A1033-INDEX(SkiftStart,3),Syklus)&lt;DagK,"K",IF(MOD($A1033-INDEX(SkiftStart,3),Syklus)&lt;DagK+DagH,"H",IF(MOD($A1033-INDEX(SkiftStart,3),Syklus)&lt;DagK+DagH+DagD,"D","F")))</f>
        <v/>
      </c>
      <c r="E1033">
        <f>IF(B1033="F",0,IF(WEEKDAY($A1033,2)=5,INDEX(TimerFr,MATCH(B1033,FaseKode,0)),INDEX(TimerMT,MATCH(B1033,FaseKode,0))))</f>
        <v/>
      </c>
      <c r="F1033">
        <f>IF(C1033="F",0,IF(WEEKDAY($A1033,2)=5,INDEX(TimerFr,MATCH(C1033,FaseKode,0)),INDEX(TimerMT,MATCH(C1033,FaseKode,0))))</f>
        <v/>
      </c>
      <c r="G1033">
        <f>IF(D1033="F",0,IF(WEEKDAY($A1033,2)=5,INDEX(TimerFr,MATCH(D1033,FaseKode,0)),INDEX(TimerMT,MATCH(D1033,FaseKode,0))))</f>
        <v/>
      </c>
      <c r="H1033">
        <f>IF(OR(H$4="",$A1033&gt;TODAY()),0,IF(OR(INDEX($B1033:$D1033,H$5)="F",AND(H$6&gt;0,$A1033&lt;H$6),AND(H$7&gt;0,$A1033&gt;H$7)),0,MAX(0,ROUND((INDEX($E1033:$G1033,H$5)-SUMIFS(TF_Timer,TF_Tekniker,H$4,TF_Dato,$A1033))*2,0)/2)))</f>
        <v/>
      </c>
      <c r="I1033">
        <f>IF(OR(I$4="",$A1033&gt;TODAY()),0,IF(OR(INDEX($B1033:$D1033,I$5)="F",AND(I$6&gt;0,$A1033&lt;I$6),AND(I$7&gt;0,$A1033&gt;I$7)),0,MAX(0,ROUND((INDEX($E1033:$G1033,I$5)-SUMIFS(TF_Timer,TF_Tekniker,I$4,TF_Dato,$A1033))*2,0)/2)))</f>
        <v/>
      </c>
      <c r="J1033">
        <f>IF(OR(J$4="",$A1033&gt;TODAY()),0,IF(OR(INDEX($B1033:$D1033,J$5)="F",AND(J$6&gt;0,$A1033&lt;J$6),AND(J$7&gt;0,$A1033&gt;J$7)),0,MAX(0,ROUND((INDEX($E1033:$G1033,J$5)-SUMIFS(TF_Timer,TF_Tekniker,J$4,TF_Dato,$A1033))*2,0)/2)))</f>
        <v/>
      </c>
      <c r="K1033">
        <f>IF(OR(K$4="",$A1033&gt;TODAY()),0,IF(OR(INDEX($B1033:$D1033,K$5)="F",AND(K$6&gt;0,$A1033&lt;K$6),AND(K$7&gt;0,$A1033&gt;K$7)),0,MAX(0,ROUND((INDEX($E1033:$G1033,K$5)-SUMIFS(TF_Timer,TF_Tekniker,K$4,TF_Dato,$A1033))*2,0)/2)))</f>
        <v/>
      </c>
      <c r="L1033">
        <f>IF(OR(L$4="",$A1033&gt;TODAY()),0,IF(OR(INDEX($B1033:$D1033,L$5)="F",AND(L$6&gt;0,$A1033&lt;L$6),AND(L$7&gt;0,$A1033&gt;L$7)),0,MAX(0,ROUND((INDEX($E1033:$G1033,L$5)-SUMIFS(TF_Timer,TF_Tekniker,L$4,TF_Dato,$A1033))*2,0)/2)))</f>
        <v/>
      </c>
      <c r="M1033">
        <f>IF(OR(M$4="",$A1033&gt;TODAY()),0,IF(OR(INDEX($B1033:$D1033,M$5)="F",AND(M$6&gt;0,$A1033&lt;M$6),AND(M$7&gt;0,$A1033&gt;M$7)),0,MAX(0,ROUND((INDEX($E1033:$G1033,M$5)-SUMIFS(TF_Timer,TF_Tekniker,M$4,TF_Dato,$A1033))*2,0)/2)))</f>
        <v/>
      </c>
      <c r="N1033">
        <f>IF(OR(N$4="",$A1033&gt;TODAY()),0,IF(OR(INDEX($B1033:$D1033,N$5)="F",AND(N$6&gt;0,$A1033&lt;N$6),AND(N$7&gt;0,$A1033&gt;N$7)),0,MAX(0,ROUND((INDEX($E1033:$G1033,N$5)-SUMIFS(TF_Timer,TF_Tekniker,N$4,TF_Dato,$A1033))*2,0)/2)))</f>
        <v/>
      </c>
      <c r="O1033">
        <f>IF(OR(O$4="",$A1033&gt;TODAY()),0,IF(OR(INDEX($B1033:$D1033,O$5)="F",AND(O$6&gt;0,$A1033&lt;O$6),AND(O$7&gt;0,$A1033&gt;O$7)),0,MAX(0,ROUND((INDEX($E1033:$G1033,O$5)-SUMIFS(TF_Timer,TF_Tekniker,O$4,TF_Dato,$A1033))*2,0)/2)))</f>
        <v/>
      </c>
      <c r="P1033">
        <f>IF(OR(P$4="",$A1033&gt;TODAY()),0,IF(OR(INDEX($B1033:$D1033,P$5)="F",AND(P$6&gt;0,$A1033&lt;P$6),AND(P$7&gt;0,$A1033&gt;P$7)),0,MAX(0,ROUND((INDEX($E1033:$G1033,P$5)-SUMIFS(TF_Timer,TF_Tekniker,P$4,TF_Dato,$A1033))*2,0)/2)))</f>
        <v/>
      </c>
      <c r="Q1033">
        <f>IF(OR(Q$4="",$A1033&gt;TODAY()),0,IF(OR(INDEX($B1033:$D1033,Q$5)="F",AND(Q$6&gt;0,$A1033&lt;Q$6),AND(Q$7&gt;0,$A1033&gt;Q$7)),0,MAX(0,ROUND((INDEX($E1033:$G1033,Q$5)-SUMIFS(TF_Timer,TF_Tekniker,Q$4,TF_Dato,$A1033))*2,0)/2)))</f>
        <v/>
      </c>
      <c r="R1033">
        <f>IF(OR(R$4="",$A1033&gt;TODAY()),0,IF(OR(INDEX($B1033:$D1033,R$5)="F",AND(R$6&gt;0,$A1033&lt;R$6),AND(R$7&gt;0,$A1033&gt;R$7)),0,MAX(0,ROUND((INDEX($E1033:$G1033,R$5)-SUMIFS(TF_Timer,TF_Tekniker,R$4,TF_Dato,$A1033))*2,0)/2)))</f>
        <v/>
      </c>
      <c r="S1033">
        <f>IF(OR(S$4="",$A1033&gt;TODAY()),0,IF(OR(INDEX($B1033:$D1033,S$5)="F",AND(S$6&gt;0,$A1033&lt;S$6),AND(S$7&gt;0,$A1033&gt;S$7)),0,MAX(0,ROUND((INDEX($E1033:$G1033,S$5)-SUMIFS(TF_Timer,TF_Tekniker,S$4,TF_Dato,$A1033))*2,0)/2)))</f>
        <v/>
      </c>
      <c r="T1033">
        <f>IF(OR(T$4="",$A1033&gt;TODAY()),0,IF(OR(INDEX($B1033:$D1033,T$5)="F",AND(T$6&gt;0,$A1033&lt;T$6),AND(T$7&gt;0,$A1033&gt;T$7)),0,MAX(0,ROUND((INDEX($E1033:$G1033,T$5)-SUMIFS(TF_Timer,TF_Tekniker,T$4,TF_Dato,$A1033))*2,0)/2)))</f>
        <v/>
      </c>
      <c r="U1033">
        <f>IF(OR(U$4="",$A1033&gt;TODAY()),0,IF(OR(INDEX($B1033:$D1033,U$5)="F",AND(U$6&gt;0,$A1033&lt;U$6),AND(U$7&gt;0,$A1033&gt;U$7)),0,MAX(0,ROUND((INDEX($E1033:$G1033,U$5)-SUMIFS(TF_Timer,TF_Tekniker,U$4,TF_Dato,$A1033))*2,0)/2)))</f>
        <v/>
      </c>
      <c r="V1033">
        <f>IF(OR(V$4="",$A1033&gt;TODAY()),0,IF(OR(INDEX($B1033:$D1033,V$5)="F",AND(V$6&gt;0,$A1033&lt;V$6),AND(V$7&gt;0,$A1033&gt;V$7)),0,MAX(0,ROUND((INDEX($E1033:$G1033,V$5)-SUMIFS(TF_Timer,TF_Tekniker,V$4,TF_Dato,$A1033))*2,0)/2)))</f>
        <v/>
      </c>
      <c r="W1033">
        <f>IF(OR(W$4="",$A1033&gt;TODAY()),0,IF(OR(INDEX($B1033:$D1033,W$5)="F",AND(W$6&gt;0,$A1033&lt;W$6),AND(W$7&gt;0,$A1033&gt;W$7)),0,MAX(0,ROUND((INDEX($E1033:$G1033,W$5)-SUMIFS(TF_Timer,TF_Tekniker,W$4,TF_Dato,$A1033))*2,0)/2)))</f>
        <v/>
      </c>
      <c r="X1033">
        <f>IF(OR(X$4="",$A1033&gt;TODAY()),0,IF(OR(INDEX($B1033:$D1033,X$5)="F",AND(X$6&gt;0,$A1033&lt;X$6),AND(X$7&gt;0,$A1033&gt;X$7)),0,MAX(0,ROUND((INDEX($E1033:$G1033,X$5)-SUMIFS(TF_Timer,TF_Tekniker,X$4,TF_Dato,$A1033))*2,0)/2)))</f>
        <v/>
      </c>
      <c r="Y1033">
        <f>IF(OR(Y$4="",$A1033&gt;TODAY()),0,IF(OR(INDEX($B1033:$D1033,Y$5)="F",AND(Y$6&gt;0,$A1033&lt;Y$6),AND(Y$7&gt;0,$A1033&gt;Y$7)),0,MAX(0,ROUND((INDEX($E1033:$G1033,Y$5)-SUMIFS(TF_Timer,TF_Tekniker,Y$4,TF_Dato,$A1033))*2,0)/2)))</f>
        <v/>
      </c>
      <c r="Z1033">
        <f>IF(OR(Z$4="",$A1033&gt;TODAY()),0,IF(OR(INDEX($B1033:$D1033,Z$5)="F",AND(Z$6&gt;0,$A1033&lt;Z$6),AND(Z$7&gt;0,$A1033&gt;Z$7)),0,MAX(0,ROUND((INDEX($E1033:$G1033,Z$5)-SUMIFS(TF_Timer,TF_Tekniker,Z$4,TF_Dato,$A1033))*2,0)/2)))</f>
        <v/>
      </c>
      <c r="AA1033">
        <f>IF(OR(AA$4="",$A1033&gt;TODAY()),0,IF(OR(INDEX($B1033:$D1033,AA$5)="F",AND(AA$6&gt;0,$A1033&lt;AA$6),AND(AA$7&gt;0,$A1033&gt;AA$7)),0,MAX(0,ROUND((INDEX($E1033:$G1033,AA$5)-SUMIFS(TF_Timer,TF_Tekniker,AA$4,TF_Dato,$A1033))*2,0)/2)))</f>
        <v/>
      </c>
      <c r="AB1033">
        <f>IF(OR(AB$4="",$A1033&gt;TODAY()),0,IF(OR(INDEX($B1033:$D1033,AB$5)="F",AND(AB$6&gt;0,$A1033&lt;AB$6),AND(AB$7&gt;0,$A1033&gt;AB$7)),0,MAX(0,ROUND((INDEX($E1033:$G1033,AB$5)-SUMIFS(TF_Timer,TF_Tekniker,AB$4,TF_Dato,$A1033))*2,0)/2)))</f>
        <v/>
      </c>
      <c r="AC1033">
        <f>IF(OR(AC$4="",$A1033&gt;TODAY()),0,IF(OR(INDEX($B1033:$D1033,AC$5)="F",AND(AC$6&gt;0,$A1033&lt;AC$6),AND(AC$7&gt;0,$A1033&gt;AC$7)),0,MAX(0,ROUND((INDEX($E1033:$G1033,AC$5)-SUMIFS(TF_Timer,TF_Tekniker,AC$4,TF_Dato,$A1033))*2,0)/2)))</f>
        <v/>
      </c>
      <c r="AD1033">
        <f>IF(OR(AD$4="",$A1033&gt;TODAY()),0,IF(OR(INDEX($B1033:$D1033,AD$5)="F",AND(AD$6&gt;0,$A1033&lt;AD$6),AND(AD$7&gt;0,$A1033&gt;AD$7)),0,MAX(0,ROUND((INDEX($E1033:$G1033,AD$5)-SUMIFS(TF_Timer,TF_Tekniker,AD$4,TF_Dato,$A1033))*2,0)/2)))</f>
        <v/>
      </c>
      <c r="AE1033">
        <f>IF(OR(AE$4="",$A1033&gt;TODAY()),0,IF(OR(INDEX($B1033:$D1033,AE$5)="F",AND(AE$6&gt;0,$A1033&lt;AE$6),AND(AE$7&gt;0,$A1033&gt;AE$7)),0,MAX(0,ROUND((INDEX($E1033:$G1033,AE$5)-SUMIFS(TF_Timer,TF_Tekniker,AE$4,TF_Dato,$A1033))*2,0)/2)))</f>
        <v/>
      </c>
      <c r="AF1033">
        <f>IF(OR(AF$4="",$A1033&gt;TODAY()),0,IF(OR(INDEX($B1033:$D1033,AF$5)="F",AND(AF$6&gt;0,$A1033&lt;AF$6),AND(AF$7&gt;0,$A1033&gt;AF$7)),0,MAX(0,ROUND((INDEX($E1033:$G1033,AF$5)-SUMIFS(TF_Timer,TF_Tekniker,AF$4,TF_Dato,$A1033))*2,0)/2)))</f>
        <v/>
      </c>
      <c r="AG1033">
        <f>IF(OR(AG$4="",$A1033&gt;TODAY()),0,IF(OR(INDEX($B1033:$D1033,AG$5)="F",AND(AG$6&gt;0,$A1033&lt;AG$6),AND(AG$7&gt;0,$A1033&gt;AG$7)),0,MAX(0,ROUND((INDEX($E1033:$G1033,AG$5)-SUMIFS(TF_Timer,TF_Tekniker,AG$4,TF_Dato,$A1033))*2,0)/2)))</f>
        <v/>
      </c>
      <c r="AH1033">
        <f>IF(OR(AH$4="",$A1033&gt;TODAY()),0,IF(OR(INDEX($B1033:$D1033,AH$5)="F",AND(AH$6&gt;0,$A1033&lt;AH$6),AND(AH$7&gt;0,$A1033&gt;AH$7)),0,MAX(0,ROUND((INDEX($E1033:$G1033,AH$5)-SUMIFS(TF_Timer,TF_Tekniker,AH$4,TF_Dato,$A1033))*2,0)/2)))</f>
        <v/>
      </c>
      <c r="AI1033">
        <f>IF(OR(AI$4="",$A1033&gt;TODAY()),0,IF(OR(INDEX($B1033:$D1033,AI$5)="F",AND(AI$6&gt;0,$A1033&lt;AI$6),AND(AI$7&gt;0,$A1033&gt;AI$7)),0,MAX(0,ROUND((INDEX($E1033:$G1033,AI$5)-SUMIFS(TF_Timer,TF_Tekniker,AI$4,TF_Dato,$A1033))*2,0)/2)))</f>
        <v/>
      </c>
      <c r="AJ1033">
        <f>IF(OR(AJ$4="",$A1033&gt;TODAY()),0,IF(OR(INDEX($B1033:$D1033,AJ$5)="F",AND(AJ$6&gt;0,$A1033&lt;AJ$6),AND(AJ$7&gt;0,$A1033&gt;AJ$7)),0,MAX(0,ROUND((INDEX($E1033:$G1033,AJ$5)-SUMIFS(TF_Timer,TF_Tekniker,AJ$4,TF_Dato,$A1033))*2,0)/2)))</f>
        <v/>
      </c>
      <c r="AK1033">
        <f>IF(OR(AK$4="",$A1033&gt;TODAY()),0,IF(OR(INDEX($B1033:$D1033,AK$5)="F",AND(AK$6&gt;0,$A1033&lt;AK$6),AND(AK$7&gt;0,$A1033&gt;AK$7)),0,MAX(0,ROUND((INDEX($E1033:$G1033,AK$5)-SUMIFS(TF_Timer,TF_Tekniker,AK$4,TF_Dato,$A1033))*2,0)/2)))</f>
        <v/>
      </c>
      <c r="AL1033">
        <f>IF(OR(AL$4="",$A1033&gt;TODAY()),0,IF(OR(INDEX($B1033:$D1033,AL$5)="F",AND(AL$6&gt;0,$A1033&lt;AL$6),AND(AL$7&gt;0,$A1033&gt;AL$7)),0,MAX(0,ROUND((INDEX($E1033:$G1033,AL$5)-SUMIFS(TF_Timer,TF_Tekniker,AL$4,TF_Dato,$A1033))*2,0)/2)))</f>
        <v/>
      </c>
      <c r="AM1033">
        <f>IF(OR(AM$4="",$A1033&gt;TODAY()),0,IF(OR(INDEX($B1033:$D1033,AM$5)="F",AND(AM$6&gt;0,$A1033&lt;AM$6),AND(AM$7&gt;0,$A1033&gt;AM$7)),0,MAX(0,ROUND((INDEX($E1033:$G1033,AM$5)-SUMIFS(TF_Timer,TF_Tekniker,AM$4,TF_Dato,$A1033))*2,0)/2)))</f>
        <v/>
      </c>
      <c r="AN1033">
        <f>IF(OR(AN$4="",$A1033&gt;TODAY()),0,IF(OR(INDEX($B1033:$D1033,AN$5)="F",AND(AN$6&gt;0,$A1033&lt;AN$6),AND(AN$7&gt;0,$A1033&gt;AN$7)),0,MAX(0,ROUND((INDEX($E1033:$G1033,AN$5)-SUMIFS(TF_Timer,TF_Tekniker,AN$4,TF_Dato,$A1033))*2,0)/2)))</f>
        <v/>
      </c>
      <c r="AO1033">
        <f>IF(OR(AO$4="",$A1033&gt;TODAY()),0,IF(OR(INDEX($B1033:$D1033,AO$5)="F",AND(AO$6&gt;0,$A1033&lt;AO$6),AND(AO$7&gt;0,$A1033&gt;AO$7)),0,MAX(0,ROUND((INDEX($E1033:$G1033,AO$5)-SUMIFS(TF_Timer,TF_Tekniker,AO$4,TF_Dato,$A1033))*2,0)/2)))</f>
        <v/>
      </c>
      <c r="AP1033">
        <f>IF(OR(AP$4="",$A1033&gt;TODAY()),0,IF(OR(INDEX($B1033:$D1033,AP$5)="F",AND(AP$6&gt;0,$A1033&lt;AP$6),AND(AP$7&gt;0,$A1033&gt;AP$7)),0,MAX(0,ROUND((INDEX($E1033:$G1033,AP$5)-SUMIFS(TF_Timer,TF_Tekniker,AP$4,TF_Dato,$A1033))*2,0)/2)))</f>
        <v/>
      </c>
      <c r="AQ1033">
        <f>IF(OR(AQ$4="",$A1033&gt;TODAY()),0,IF(OR(INDEX($B1033:$D1033,AQ$5)="F",AND(AQ$6&gt;0,$A1033&lt;AQ$6),AND(AQ$7&gt;0,$A1033&gt;AQ$7)),0,MAX(0,ROUND((INDEX($E1033:$G1033,AQ$5)-SUMIFS(TF_Timer,TF_Tekniker,AQ$4,TF_Dato,$A1033))*2,0)/2)))</f>
        <v/>
      </c>
      <c r="AR1033">
        <f>IF(OR(AR$4="",$A1033&gt;TODAY()),0,IF(OR(INDEX($B1033:$D1033,AR$5)="F",AND(AR$6&gt;0,$A1033&lt;AR$6),AND(AR$7&gt;0,$A1033&gt;AR$7)),0,MAX(0,ROUND((INDEX($E1033:$G1033,AR$5)-SUMIFS(TF_Timer,TF_Tekniker,AR$4,TF_Dato,$A1033))*2,0)/2)))</f>
        <v/>
      </c>
      <c r="AS1033">
        <f>IF(OR(AS$4="",$A1033&gt;TODAY()),0,IF(OR(INDEX($B1033:$D1033,AS$5)="F",AND(AS$6&gt;0,$A1033&lt;AS$6),AND(AS$7&gt;0,$A1033&gt;AS$7)),0,MAX(0,ROUND((INDEX($E1033:$G1033,AS$5)-SUMIFS(TF_Timer,TF_Tekniker,AS$4,TF_Dato,$A1033))*2,0)/2)))</f>
        <v/>
      </c>
      <c r="AT1033">
        <f>IF(OR(AT$4="",$A1033&gt;TODAY()),0,IF(OR(INDEX($B1033:$D1033,AT$5)="F",AND(AT$6&gt;0,$A1033&lt;AT$6),AND(AT$7&gt;0,$A1033&gt;AT$7)),0,MAX(0,ROUND((INDEX($E1033:$G1033,AT$5)-SUMIFS(TF_Timer,TF_Tekniker,AT$4,TF_Dato,$A1033))*2,0)/2)))</f>
        <v/>
      </c>
      <c r="AU1033">
        <f>IF(OR(AU$4="",$A1033&gt;TODAY()),0,IF(OR(INDEX($B1033:$D1033,AU$5)="F",AND(AU$6&gt;0,$A1033&lt;AU$6),AND(AU$7&gt;0,$A1033&gt;AU$7)),0,MAX(0,ROUND((INDEX($E1033:$G1033,AU$5)-SUMIFS(TF_Timer,TF_Tekniker,AU$4,TF_Dato,$A1033))*2,0)/2)))</f>
        <v/>
      </c>
      <c r="AV1033">
        <f>IF(OR(AV$4="",$A1033&gt;TODAY()),0,IF(OR(INDEX($B1033:$D1033,AV$5)="F",AND(AV$6&gt;0,$A1033&lt;AV$6),AND(AV$7&gt;0,$A1033&gt;AV$7)),0,MAX(0,ROUND((INDEX($E1033:$G1033,AV$5)-SUMIFS(TF_Timer,TF_Tekniker,AV$4,TF_Dato,$A1033))*2,0)/2)))</f>
        <v/>
      </c>
      <c r="AW1033">
        <f>IF(OR(AW$4="",$A1033&gt;TODAY()),0,IF(OR(INDEX($B1033:$D1033,AW$5)="F",AND(AW$6&gt;0,$A1033&lt;AW$6),AND(AW$7&gt;0,$A1033&gt;AW$7)),0,MAX(0,ROUND((INDEX($E1033:$G1033,AW$5)-SUMIFS(TF_Timer,TF_Tekniker,AW$4,TF_Dato,$A1033))*2,0)/2)))</f>
        <v/>
      </c>
      <c r="AX1033">
        <f>IF(OR(AX$4="",$A1033&gt;TODAY()),0,IF(OR(INDEX($B1033:$D1033,AX$5)="F",AND(AX$6&gt;0,$A1033&lt;AX$6),AND(AX$7&gt;0,$A1033&gt;AX$7)),0,MAX(0,ROUND((INDEX($E1033:$G1033,AX$5)-SUMIFS(TF_Timer,TF_Tekniker,AX$4,TF_Dato,$A1033))*2,0)/2)))</f>
        <v/>
      </c>
      <c r="AY1033">
        <f>IF(OR(AY$4="",$A1033&gt;TODAY()),0,IF(OR(INDEX($B1033:$D1033,AY$5)="F",AND(AY$6&gt;0,$A1033&lt;AY$6),AND(AY$7&gt;0,$A1033&gt;AY$7)),0,MAX(0,ROUND((INDEX($E1033:$G1033,AY$5)-SUMIFS(TF_Timer,TF_Tekniker,AY$4,TF_Dato,$A1033))*2,0)/2)))</f>
        <v/>
      </c>
      <c r="AZ1033">
        <f>IF(OR(AZ$4="",$A1033&gt;TODAY()),0,IF(OR(INDEX($B1033:$D1033,AZ$5)="F",AND(AZ$6&gt;0,$A1033&lt;AZ$6),AND(AZ$7&gt;0,$A1033&gt;AZ$7)),0,MAX(0,ROUND((INDEX($E1033:$G1033,AZ$5)-SUMIFS(TF_Timer,TF_Tekniker,AZ$4,TF_Dato,$A1033))*2,0)/2)))</f>
        <v/>
      </c>
      <c r="BA1033">
        <f>IF(OR(BA$4="",$A1033&gt;TODAY()),0,IF(OR(INDEX($B1033:$D1033,BA$5)="F",AND(BA$6&gt;0,$A1033&lt;BA$6),AND(BA$7&gt;0,$A1033&gt;BA$7)),0,MAX(0,ROUND((INDEX($E1033:$G1033,BA$5)-SUMIFS(TF_Timer,TF_Tekniker,BA$4,TF_Dato,$A1033))*2,0)/2)))</f>
        <v/>
      </c>
      <c r="BB1033">
        <f>IF(OR(BB$4="",$A1033&gt;TODAY()),0,IF(OR(INDEX($B1033:$D1033,BB$5)="F",AND(BB$6&gt;0,$A1033&lt;BB$6),AND(BB$7&gt;0,$A1033&gt;BB$7)),0,MAX(0,ROUND((INDEX($E1033:$G1033,BB$5)-SUMIFS(TF_Timer,TF_Tekniker,BB$4,TF_Dato,$A1033))*2,0)/2)))</f>
        <v/>
      </c>
      <c r="BC1033">
        <f>IF(OR(BC$4="",$A1033&gt;TODAY()),0,IF(OR(INDEX($B1033:$D1033,BC$5)="F",AND(BC$6&gt;0,$A1033&lt;BC$6),AND(BC$7&gt;0,$A1033&gt;BC$7)),0,MAX(0,ROUND((INDEX($E1033:$G1033,BC$5)-SUMIFS(TF_Timer,TF_Tekniker,BC$4,TF_Dato,$A1033))*2,0)/2)))</f>
        <v/>
      </c>
      <c r="BD1033">
        <f>IF(OR(BD$4="",$A1033&gt;TODAY()),0,IF(OR(INDEX($B1033:$D1033,BD$5)="F",AND(BD$6&gt;0,$A1033&lt;BD$6),AND(BD$7&gt;0,$A1033&gt;BD$7)),0,MAX(0,ROUND((INDEX($E1033:$G1033,BD$5)-SUMIFS(TF_Timer,TF_Tekniker,BD$4,TF_Dato,$A1033))*2,0)/2)))</f>
        <v/>
      </c>
      <c r="BE1033">
        <f>IF(OR(BE$4="",$A1033&gt;TODAY()),0,IF(OR(INDEX($B1033:$D1033,BE$5)="F",AND(BE$6&gt;0,$A1033&lt;BE$6),AND(BE$7&gt;0,$A1033&gt;BE$7)),0,MAX(0,ROUND((INDEX($E1033:$G1033,BE$5)-SUMIFS(TF_Timer,TF_Tekniker,BE$4,TF_Dato,$A1033))*2,0)/2)))</f>
        <v/>
      </c>
      <c r="BF1033">
        <f>IF(OR(BF$4="",$A1033&gt;TODAY()),0,IF(OR(INDEX($B1033:$D1033,BF$5)="F",AND(BF$6&gt;0,$A1033&lt;BF$6),AND(BF$7&gt;0,$A1033&gt;BF$7)),0,MAX(0,ROUND((INDEX($E1033:$G1033,BF$5)-SUMIFS(TF_Timer,TF_Tekniker,BF$4,TF_Dato,$A1033))*2,0)/2)))</f>
        <v/>
      </c>
      <c r="BG1033">
        <f>IF(OR(BG$4="",$A1033&gt;TODAY()),0,IF(OR(INDEX($B1033:$D1033,BG$5)="F",AND(BG$6&gt;0,$A1033&lt;BG$6),AND(BG$7&gt;0,$A1033&gt;BG$7)),0,MAX(0,ROUND((INDEX($E1033:$G1033,BG$5)-SUMIFS(TF_Timer,TF_Tekniker,BG$4,TF_Dato,$A1033))*2,0)/2)))</f>
        <v/>
      </c>
      <c r="BH1033">
        <f>IF(OR(BH$4="",$A1033&gt;TODAY()),0,IF(OR(INDEX($B1033:$D1033,BH$5)="F",AND(BH$6&gt;0,$A1033&lt;BH$6),AND(BH$7&gt;0,$A1033&gt;BH$7)),0,MAX(0,ROUND((INDEX($E1033:$G1033,BH$5)-SUMIFS(TF_Timer,TF_Tekniker,BH$4,TF_Dato,$A1033))*2,0)/2)))</f>
        <v/>
      </c>
      <c r="BI1033">
        <f>IF(OR(BI$4="",$A1033&gt;TODAY()),0,IF(OR(INDEX($B1033:$D1033,BI$5)="F",AND(BI$6&gt;0,$A1033&lt;BI$6),AND(BI$7&gt;0,$A1033&gt;BI$7)),0,MAX(0,ROUND((INDEX($E1033:$G1033,BI$5)-SUMIFS(TF_Timer,TF_Tekniker,BI$4,TF_Dato,$A1033))*2,0)/2)))</f>
        <v/>
      </c>
    </row>
    <row r="1034">
      <c r="A1034" s="64">
        <f>A1033+1</f>
        <v/>
      </c>
      <c r="B1034">
        <f>IF(MOD($A1034-INDEX(SkiftStart,1),Syklus)&lt;DagK,"K",IF(MOD($A1034-INDEX(SkiftStart,1),Syklus)&lt;DagK+DagH,"H",IF(MOD($A1034-INDEX(SkiftStart,1),Syklus)&lt;DagK+DagH+DagD,"D","F")))</f>
        <v/>
      </c>
      <c r="C1034">
        <f>IF(MOD($A1034-INDEX(SkiftStart,2),Syklus)&lt;DagK,"K",IF(MOD($A1034-INDEX(SkiftStart,2),Syklus)&lt;DagK+DagH,"H",IF(MOD($A1034-INDEX(SkiftStart,2),Syklus)&lt;DagK+DagH+DagD,"D","F")))</f>
        <v/>
      </c>
      <c r="D1034">
        <f>IF(MOD($A1034-INDEX(SkiftStart,3),Syklus)&lt;DagK,"K",IF(MOD($A1034-INDEX(SkiftStart,3),Syklus)&lt;DagK+DagH,"H",IF(MOD($A1034-INDEX(SkiftStart,3),Syklus)&lt;DagK+DagH+DagD,"D","F")))</f>
        <v/>
      </c>
      <c r="E1034">
        <f>IF(B1034="F",0,IF(WEEKDAY($A1034,2)=5,INDEX(TimerFr,MATCH(B1034,FaseKode,0)),INDEX(TimerMT,MATCH(B1034,FaseKode,0))))</f>
        <v/>
      </c>
      <c r="F1034">
        <f>IF(C1034="F",0,IF(WEEKDAY($A1034,2)=5,INDEX(TimerFr,MATCH(C1034,FaseKode,0)),INDEX(TimerMT,MATCH(C1034,FaseKode,0))))</f>
        <v/>
      </c>
      <c r="G1034">
        <f>IF(D1034="F",0,IF(WEEKDAY($A1034,2)=5,INDEX(TimerFr,MATCH(D1034,FaseKode,0)),INDEX(TimerMT,MATCH(D1034,FaseKode,0))))</f>
        <v/>
      </c>
      <c r="H1034">
        <f>IF(OR(H$4="",$A1034&gt;TODAY()),0,IF(OR(INDEX($B1034:$D1034,H$5)="F",AND(H$6&gt;0,$A1034&lt;H$6),AND(H$7&gt;0,$A1034&gt;H$7)),0,MAX(0,ROUND((INDEX($E1034:$G1034,H$5)-SUMIFS(TF_Timer,TF_Tekniker,H$4,TF_Dato,$A1034))*2,0)/2)))</f>
        <v/>
      </c>
      <c r="I1034">
        <f>IF(OR(I$4="",$A1034&gt;TODAY()),0,IF(OR(INDEX($B1034:$D1034,I$5)="F",AND(I$6&gt;0,$A1034&lt;I$6),AND(I$7&gt;0,$A1034&gt;I$7)),0,MAX(0,ROUND((INDEX($E1034:$G1034,I$5)-SUMIFS(TF_Timer,TF_Tekniker,I$4,TF_Dato,$A1034))*2,0)/2)))</f>
        <v/>
      </c>
      <c r="J1034">
        <f>IF(OR(J$4="",$A1034&gt;TODAY()),0,IF(OR(INDEX($B1034:$D1034,J$5)="F",AND(J$6&gt;0,$A1034&lt;J$6),AND(J$7&gt;0,$A1034&gt;J$7)),0,MAX(0,ROUND((INDEX($E1034:$G1034,J$5)-SUMIFS(TF_Timer,TF_Tekniker,J$4,TF_Dato,$A1034))*2,0)/2)))</f>
        <v/>
      </c>
      <c r="K1034">
        <f>IF(OR(K$4="",$A1034&gt;TODAY()),0,IF(OR(INDEX($B1034:$D1034,K$5)="F",AND(K$6&gt;0,$A1034&lt;K$6),AND(K$7&gt;0,$A1034&gt;K$7)),0,MAX(0,ROUND((INDEX($E1034:$G1034,K$5)-SUMIFS(TF_Timer,TF_Tekniker,K$4,TF_Dato,$A1034))*2,0)/2)))</f>
        <v/>
      </c>
      <c r="L1034">
        <f>IF(OR(L$4="",$A1034&gt;TODAY()),0,IF(OR(INDEX($B1034:$D1034,L$5)="F",AND(L$6&gt;0,$A1034&lt;L$6),AND(L$7&gt;0,$A1034&gt;L$7)),0,MAX(0,ROUND((INDEX($E1034:$G1034,L$5)-SUMIFS(TF_Timer,TF_Tekniker,L$4,TF_Dato,$A1034))*2,0)/2)))</f>
        <v/>
      </c>
      <c r="M1034">
        <f>IF(OR(M$4="",$A1034&gt;TODAY()),0,IF(OR(INDEX($B1034:$D1034,M$5)="F",AND(M$6&gt;0,$A1034&lt;M$6),AND(M$7&gt;0,$A1034&gt;M$7)),0,MAX(0,ROUND((INDEX($E1034:$G1034,M$5)-SUMIFS(TF_Timer,TF_Tekniker,M$4,TF_Dato,$A1034))*2,0)/2)))</f>
        <v/>
      </c>
      <c r="N1034">
        <f>IF(OR(N$4="",$A1034&gt;TODAY()),0,IF(OR(INDEX($B1034:$D1034,N$5)="F",AND(N$6&gt;0,$A1034&lt;N$6),AND(N$7&gt;0,$A1034&gt;N$7)),0,MAX(0,ROUND((INDEX($E1034:$G1034,N$5)-SUMIFS(TF_Timer,TF_Tekniker,N$4,TF_Dato,$A1034))*2,0)/2)))</f>
        <v/>
      </c>
      <c r="O1034">
        <f>IF(OR(O$4="",$A1034&gt;TODAY()),0,IF(OR(INDEX($B1034:$D1034,O$5)="F",AND(O$6&gt;0,$A1034&lt;O$6),AND(O$7&gt;0,$A1034&gt;O$7)),0,MAX(0,ROUND((INDEX($E1034:$G1034,O$5)-SUMIFS(TF_Timer,TF_Tekniker,O$4,TF_Dato,$A1034))*2,0)/2)))</f>
        <v/>
      </c>
      <c r="P1034">
        <f>IF(OR(P$4="",$A1034&gt;TODAY()),0,IF(OR(INDEX($B1034:$D1034,P$5)="F",AND(P$6&gt;0,$A1034&lt;P$6),AND(P$7&gt;0,$A1034&gt;P$7)),0,MAX(0,ROUND((INDEX($E1034:$G1034,P$5)-SUMIFS(TF_Timer,TF_Tekniker,P$4,TF_Dato,$A1034))*2,0)/2)))</f>
        <v/>
      </c>
      <c r="Q1034">
        <f>IF(OR(Q$4="",$A1034&gt;TODAY()),0,IF(OR(INDEX($B1034:$D1034,Q$5)="F",AND(Q$6&gt;0,$A1034&lt;Q$6),AND(Q$7&gt;0,$A1034&gt;Q$7)),0,MAX(0,ROUND((INDEX($E1034:$G1034,Q$5)-SUMIFS(TF_Timer,TF_Tekniker,Q$4,TF_Dato,$A1034))*2,0)/2)))</f>
        <v/>
      </c>
      <c r="R1034">
        <f>IF(OR(R$4="",$A1034&gt;TODAY()),0,IF(OR(INDEX($B1034:$D1034,R$5)="F",AND(R$6&gt;0,$A1034&lt;R$6),AND(R$7&gt;0,$A1034&gt;R$7)),0,MAX(0,ROUND((INDEX($E1034:$G1034,R$5)-SUMIFS(TF_Timer,TF_Tekniker,R$4,TF_Dato,$A1034))*2,0)/2)))</f>
        <v/>
      </c>
      <c r="S1034">
        <f>IF(OR(S$4="",$A1034&gt;TODAY()),0,IF(OR(INDEX($B1034:$D1034,S$5)="F",AND(S$6&gt;0,$A1034&lt;S$6),AND(S$7&gt;0,$A1034&gt;S$7)),0,MAX(0,ROUND((INDEX($E1034:$G1034,S$5)-SUMIFS(TF_Timer,TF_Tekniker,S$4,TF_Dato,$A1034))*2,0)/2)))</f>
        <v/>
      </c>
      <c r="T1034">
        <f>IF(OR(T$4="",$A1034&gt;TODAY()),0,IF(OR(INDEX($B1034:$D1034,T$5)="F",AND(T$6&gt;0,$A1034&lt;T$6),AND(T$7&gt;0,$A1034&gt;T$7)),0,MAX(0,ROUND((INDEX($E1034:$G1034,T$5)-SUMIFS(TF_Timer,TF_Tekniker,T$4,TF_Dato,$A1034))*2,0)/2)))</f>
        <v/>
      </c>
      <c r="U1034">
        <f>IF(OR(U$4="",$A1034&gt;TODAY()),0,IF(OR(INDEX($B1034:$D1034,U$5)="F",AND(U$6&gt;0,$A1034&lt;U$6),AND(U$7&gt;0,$A1034&gt;U$7)),0,MAX(0,ROUND((INDEX($E1034:$G1034,U$5)-SUMIFS(TF_Timer,TF_Tekniker,U$4,TF_Dato,$A1034))*2,0)/2)))</f>
        <v/>
      </c>
      <c r="V1034">
        <f>IF(OR(V$4="",$A1034&gt;TODAY()),0,IF(OR(INDEX($B1034:$D1034,V$5)="F",AND(V$6&gt;0,$A1034&lt;V$6),AND(V$7&gt;0,$A1034&gt;V$7)),0,MAX(0,ROUND((INDEX($E1034:$G1034,V$5)-SUMIFS(TF_Timer,TF_Tekniker,V$4,TF_Dato,$A1034))*2,0)/2)))</f>
        <v/>
      </c>
      <c r="W1034">
        <f>IF(OR(W$4="",$A1034&gt;TODAY()),0,IF(OR(INDEX($B1034:$D1034,W$5)="F",AND(W$6&gt;0,$A1034&lt;W$6),AND(W$7&gt;0,$A1034&gt;W$7)),0,MAX(0,ROUND((INDEX($E1034:$G1034,W$5)-SUMIFS(TF_Timer,TF_Tekniker,W$4,TF_Dato,$A1034))*2,0)/2)))</f>
        <v/>
      </c>
      <c r="X1034">
        <f>IF(OR(X$4="",$A1034&gt;TODAY()),0,IF(OR(INDEX($B1034:$D1034,X$5)="F",AND(X$6&gt;0,$A1034&lt;X$6),AND(X$7&gt;0,$A1034&gt;X$7)),0,MAX(0,ROUND((INDEX($E1034:$G1034,X$5)-SUMIFS(TF_Timer,TF_Tekniker,X$4,TF_Dato,$A1034))*2,0)/2)))</f>
        <v/>
      </c>
      <c r="Y1034">
        <f>IF(OR(Y$4="",$A1034&gt;TODAY()),0,IF(OR(INDEX($B1034:$D1034,Y$5)="F",AND(Y$6&gt;0,$A1034&lt;Y$6),AND(Y$7&gt;0,$A1034&gt;Y$7)),0,MAX(0,ROUND((INDEX($E1034:$G1034,Y$5)-SUMIFS(TF_Timer,TF_Tekniker,Y$4,TF_Dato,$A1034))*2,0)/2)))</f>
        <v/>
      </c>
      <c r="Z1034">
        <f>IF(OR(Z$4="",$A1034&gt;TODAY()),0,IF(OR(INDEX($B1034:$D1034,Z$5)="F",AND(Z$6&gt;0,$A1034&lt;Z$6),AND(Z$7&gt;0,$A1034&gt;Z$7)),0,MAX(0,ROUND((INDEX($E1034:$G1034,Z$5)-SUMIFS(TF_Timer,TF_Tekniker,Z$4,TF_Dato,$A1034))*2,0)/2)))</f>
        <v/>
      </c>
      <c r="AA1034">
        <f>IF(OR(AA$4="",$A1034&gt;TODAY()),0,IF(OR(INDEX($B1034:$D1034,AA$5)="F",AND(AA$6&gt;0,$A1034&lt;AA$6),AND(AA$7&gt;0,$A1034&gt;AA$7)),0,MAX(0,ROUND((INDEX($E1034:$G1034,AA$5)-SUMIFS(TF_Timer,TF_Tekniker,AA$4,TF_Dato,$A1034))*2,0)/2)))</f>
        <v/>
      </c>
      <c r="AB1034">
        <f>IF(OR(AB$4="",$A1034&gt;TODAY()),0,IF(OR(INDEX($B1034:$D1034,AB$5)="F",AND(AB$6&gt;0,$A1034&lt;AB$6),AND(AB$7&gt;0,$A1034&gt;AB$7)),0,MAX(0,ROUND((INDEX($E1034:$G1034,AB$5)-SUMIFS(TF_Timer,TF_Tekniker,AB$4,TF_Dato,$A1034))*2,0)/2)))</f>
        <v/>
      </c>
      <c r="AC1034">
        <f>IF(OR(AC$4="",$A1034&gt;TODAY()),0,IF(OR(INDEX($B1034:$D1034,AC$5)="F",AND(AC$6&gt;0,$A1034&lt;AC$6),AND(AC$7&gt;0,$A1034&gt;AC$7)),0,MAX(0,ROUND((INDEX($E1034:$G1034,AC$5)-SUMIFS(TF_Timer,TF_Tekniker,AC$4,TF_Dato,$A1034))*2,0)/2)))</f>
        <v/>
      </c>
      <c r="AD1034">
        <f>IF(OR(AD$4="",$A1034&gt;TODAY()),0,IF(OR(INDEX($B1034:$D1034,AD$5)="F",AND(AD$6&gt;0,$A1034&lt;AD$6),AND(AD$7&gt;0,$A1034&gt;AD$7)),0,MAX(0,ROUND((INDEX($E1034:$G1034,AD$5)-SUMIFS(TF_Timer,TF_Tekniker,AD$4,TF_Dato,$A1034))*2,0)/2)))</f>
        <v/>
      </c>
      <c r="AE1034">
        <f>IF(OR(AE$4="",$A1034&gt;TODAY()),0,IF(OR(INDEX($B1034:$D1034,AE$5)="F",AND(AE$6&gt;0,$A1034&lt;AE$6),AND(AE$7&gt;0,$A1034&gt;AE$7)),0,MAX(0,ROUND((INDEX($E1034:$G1034,AE$5)-SUMIFS(TF_Timer,TF_Tekniker,AE$4,TF_Dato,$A1034))*2,0)/2)))</f>
        <v/>
      </c>
      <c r="AF1034">
        <f>IF(OR(AF$4="",$A1034&gt;TODAY()),0,IF(OR(INDEX($B1034:$D1034,AF$5)="F",AND(AF$6&gt;0,$A1034&lt;AF$6),AND(AF$7&gt;0,$A1034&gt;AF$7)),0,MAX(0,ROUND((INDEX($E1034:$G1034,AF$5)-SUMIFS(TF_Timer,TF_Tekniker,AF$4,TF_Dato,$A1034))*2,0)/2)))</f>
        <v/>
      </c>
      <c r="AG1034">
        <f>IF(OR(AG$4="",$A1034&gt;TODAY()),0,IF(OR(INDEX($B1034:$D1034,AG$5)="F",AND(AG$6&gt;0,$A1034&lt;AG$6),AND(AG$7&gt;0,$A1034&gt;AG$7)),0,MAX(0,ROUND((INDEX($E1034:$G1034,AG$5)-SUMIFS(TF_Timer,TF_Tekniker,AG$4,TF_Dato,$A1034))*2,0)/2)))</f>
        <v/>
      </c>
      <c r="AH1034">
        <f>IF(OR(AH$4="",$A1034&gt;TODAY()),0,IF(OR(INDEX($B1034:$D1034,AH$5)="F",AND(AH$6&gt;0,$A1034&lt;AH$6),AND(AH$7&gt;0,$A1034&gt;AH$7)),0,MAX(0,ROUND((INDEX($E1034:$G1034,AH$5)-SUMIFS(TF_Timer,TF_Tekniker,AH$4,TF_Dato,$A1034))*2,0)/2)))</f>
        <v/>
      </c>
      <c r="AI1034">
        <f>IF(OR(AI$4="",$A1034&gt;TODAY()),0,IF(OR(INDEX($B1034:$D1034,AI$5)="F",AND(AI$6&gt;0,$A1034&lt;AI$6),AND(AI$7&gt;0,$A1034&gt;AI$7)),0,MAX(0,ROUND((INDEX($E1034:$G1034,AI$5)-SUMIFS(TF_Timer,TF_Tekniker,AI$4,TF_Dato,$A1034))*2,0)/2)))</f>
        <v/>
      </c>
      <c r="AJ1034">
        <f>IF(OR(AJ$4="",$A1034&gt;TODAY()),0,IF(OR(INDEX($B1034:$D1034,AJ$5)="F",AND(AJ$6&gt;0,$A1034&lt;AJ$6),AND(AJ$7&gt;0,$A1034&gt;AJ$7)),0,MAX(0,ROUND((INDEX($E1034:$G1034,AJ$5)-SUMIFS(TF_Timer,TF_Tekniker,AJ$4,TF_Dato,$A1034))*2,0)/2)))</f>
        <v/>
      </c>
      <c r="AK1034">
        <f>IF(OR(AK$4="",$A1034&gt;TODAY()),0,IF(OR(INDEX($B1034:$D1034,AK$5)="F",AND(AK$6&gt;0,$A1034&lt;AK$6),AND(AK$7&gt;0,$A1034&gt;AK$7)),0,MAX(0,ROUND((INDEX($E1034:$G1034,AK$5)-SUMIFS(TF_Timer,TF_Tekniker,AK$4,TF_Dato,$A1034))*2,0)/2)))</f>
        <v/>
      </c>
      <c r="AL1034">
        <f>IF(OR(AL$4="",$A1034&gt;TODAY()),0,IF(OR(INDEX($B1034:$D1034,AL$5)="F",AND(AL$6&gt;0,$A1034&lt;AL$6),AND(AL$7&gt;0,$A1034&gt;AL$7)),0,MAX(0,ROUND((INDEX($E1034:$G1034,AL$5)-SUMIFS(TF_Timer,TF_Tekniker,AL$4,TF_Dato,$A1034))*2,0)/2)))</f>
        <v/>
      </c>
      <c r="AM1034">
        <f>IF(OR(AM$4="",$A1034&gt;TODAY()),0,IF(OR(INDEX($B1034:$D1034,AM$5)="F",AND(AM$6&gt;0,$A1034&lt;AM$6),AND(AM$7&gt;0,$A1034&gt;AM$7)),0,MAX(0,ROUND((INDEX($E1034:$G1034,AM$5)-SUMIFS(TF_Timer,TF_Tekniker,AM$4,TF_Dato,$A1034))*2,0)/2)))</f>
        <v/>
      </c>
      <c r="AN1034">
        <f>IF(OR(AN$4="",$A1034&gt;TODAY()),0,IF(OR(INDEX($B1034:$D1034,AN$5)="F",AND(AN$6&gt;0,$A1034&lt;AN$6),AND(AN$7&gt;0,$A1034&gt;AN$7)),0,MAX(0,ROUND((INDEX($E1034:$G1034,AN$5)-SUMIFS(TF_Timer,TF_Tekniker,AN$4,TF_Dato,$A1034))*2,0)/2)))</f>
        <v/>
      </c>
      <c r="AO1034">
        <f>IF(OR(AO$4="",$A1034&gt;TODAY()),0,IF(OR(INDEX($B1034:$D1034,AO$5)="F",AND(AO$6&gt;0,$A1034&lt;AO$6),AND(AO$7&gt;0,$A1034&gt;AO$7)),0,MAX(0,ROUND((INDEX($E1034:$G1034,AO$5)-SUMIFS(TF_Timer,TF_Tekniker,AO$4,TF_Dato,$A1034))*2,0)/2)))</f>
        <v/>
      </c>
      <c r="AP1034">
        <f>IF(OR(AP$4="",$A1034&gt;TODAY()),0,IF(OR(INDEX($B1034:$D1034,AP$5)="F",AND(AP$6&gt;0,$A1034&lt;AP$6),AND(AP$7&gt;0,$A1034&gt;AP$7)),0,MAX(0,ROUND((INDEX($E1034:$G1034,AP$5)-SUMIFS(TF_Timer,TF_Tekniker,AP$4,TF_Dato,$A1034))*2,0)/2)))</f>
        <v/>
      </c>
      <c r="AQ1034">
        <f>IF(OR(AQ$4="",$A1034&gt;TODAY()),0,IF(OR(INDEX($B1034:$D1034,AQ$5)="F",AND(AQ$6&gt;0,$A1034&lt;AQ$6),AND(AQ$7&gt;0,$A1034&gt;AQ$7)),0,MAX(0,ROUND((INDEX($E1034:$G1034,AQ$5)-SUMIFS(TF_Timer,TF_Tekniker,AQ$4,TF_Dato,$A1034))*2,0)/2)))</f>
        <v/>
      </c>
      <c r="AR1034">
        <f>IF(OR(AR$4="",$A1034&gt;TODAY()),0,IF(OR(INDEX($B1034:$D1034,AR$5)="F",AND(AR$6&gt;0,$A1034&lt;AR$6),AND(AR$7&gt;0,$A1034&gt;AR$7)),0,MAX(0,ROUND((INDEX($E1034:$G1034,AR$5)-SUMIFS(TF_Timer,TF_Tekniker,AR$4,TF_Dato,$A1034))*2,0)/2)))</f>
        <v/>
      </c>
      <c r="AS1034">
        <f>IF(OR(AS$4="",$A1034&gt;TODAY()),0,IF(OR(INDEX($B1034:$D1034,AS$5)="F",AND(AS$6&gt;0,$A1034&lt;AS$6),AND(AS$7&gt;0,$A1034&gt;AS$7)),0,MAX(0,ROUND((INDEX($E1034:$G1034,AS$5)-SUMIFS(TF_Timer,TF_Tekniker,AS$4,TF_Dato,$A1034))*2,0)/2)))</f>
        <v/>
      </c>
      <c r="AT1034">
        <f>IF(OR(AT$4="",$A1034&gt;TODAY()),0,IF(OR(INDEX($B1034:$D1034,AT$5)="F",AND(AT$6&gt;0,$A1034&lt;AT$6),AND(AT$7&gt;0,$A1034&gt;AT$7)),0,MAX(0,ROUND((INDEX($E1034:$G1034,AT$5)-SUMIFS(TF_Timer,TF_Tekniker,AT$4,TF_Dato,$A1034))*2,0)/2)))</f>
        <v/>
      </c>
      <c r="AU1034">
        <f>IF(OR(AU$4="",$A1034&gt;TODAY()),0,IF(OR(INDEX($B1034:$D1034,AU$5)="F",AND(AU$6&gt;0,$A1034&lt;AU$6),AND(AU$7&gt;0,$A1034&gt;AU$7)),0,MAX(0,ROUND((INDEX($E1034:$G1034,AU$5)-SUMIFS(TF_Timer,TF_Tekniker,AU$4,TF_Dato,$A1034))*2,0)/2)))</f>
        <v/>
      </c>
      <c r="AV1034">
        <f>IF(OR(AV$4="",$A1034&gt;TODAY()),0,IF(OR(INDEX($B1034:$D1034,AV$5)="F",AND(AV$6&gt;0,$A1034&lt;AV$6),AND(AV$7&gt;0,$A1034&gt;AV$7)),0,MAX(0,ROUND((INDEX($E1034:$G1034,AV$5)-SUMIFS(TF_Timer,TF_Tekniker,AV$4,TF_Dato,$A1034))*2,0)/2)))</f>
        <v/>
      </c>
      <c r="AW1034">
        <f>IF(OR(AW$4="",$A1034&gt;TODAY()),0,IF(OR(INDEX($B1034:$D1034,AW$5)="F",AND(AW$6&gt;0,$A1034&lt;AW$6),AND(AW$7&gt;0,$A1034&gt;AW$7)),0,MAX(0,ROUND((INDEX($E1034:$G1034,AW$5)-SUMIFS(TF_Timer,TF_Tekniker,AW$4,TF_Dato,$A1034))*2,0)/2)))</f>
        <v/>
      </c>
      <c r="AX1034">
        <f>IF(OR(AX$4="",$A1034&gt;TODAY()),0,IF(OR(INDEX($B1034:$D1034,AX$5)="F",AND(AX$6&gt;0,$A1034&lt;AX$6),AND(AX$7&gt;0,$A1034&gt;AX$7)),0,MAX(0,ROUND((INDEX($E1034:$G1034,AX$5)-SUMIFS(TF_Timer,TF_Tekniker,AX$4,TF_Dato,$A1034))*2,0)/2)))</f>
        <v/>
      </c>
      <c r="AY1034">
        <f>IF(OR(AY$4="",$A1034&gt;TODAY()),0,IF(OR(INDEX($B1034:$D1034,AY$5)="F",AND(AY$6&gt;0,$A1034&lt;AY$6),AND(AY$7&gt;0,$A1034&gt;AY$7)),0,MAX(0,ROUND((INDEX($E1034:$G1034,AY$5)-SUMIFS(TF_Timer,TF_Tekniker,AY$4,TF_Dato,$A1034))*2,0)/2)))</f>
        <v/>
      </c>
      <c r="AZ1034">
        <f>IF(OR(AZ$4="",$A1034&gt;TODAY()),0,IF(OR(INDEX($B1034:$D1034,AZ$5)="F",AND(AZ$6&gt;0,$A1034&lt;AZ$6),AND(AZ$7&gt;0,$A1034&gt;AZ$7)),0,MAX(0,ROUND((INDEX($E1034:$G1034,AZ$5)-SUMIFS(TF_Timer,TF_Tekniker,AZ$4,TF_Dato,$A1034))*2,0)/2)))</f>
        <v/>
      </c>
      <c r="BA1034">
        <f>IF(OR(BA$4="",$A1034&gt;TODAY()),0,IF(OR(INDEX($B1034:$D1034,BA$5)="F",AND(BA$6&gt;0,$A1034&lt;BA$6),AND(BA$7&gt;0,$A1034&gt;BA$7)),0,MAX(0,ROUND((INDEX($E1034:$G1034,BA$5)-SUMIFS(TF_Timer,TF_Tekniker,BA$4,TF_Dato,$A1034))*2,0)/2)))</f>
        <v/>
      </c>
      <c r="BB1034">
        <f>IF(OR(BB$4="",$A1034&gt;TODAY()),0,IF(OR(INDEX($B1034:$D1034,BB$5)="F",AND(BB$6&gt;0,$A1034&lt;BB$6),AND(BB$7&gt;0,$A1034&gt;BB$7)),0,MAX(0,ROUND((INDEX($E1034:$G1034,BB$5)-SUMIFS(TF_Timer,TF_Tekniker,BB$4,TF_Dato,$A1034))*2,0)/2)))</f>
        <v/>
      </c>
      <c r="BC1034">
        <f>IF(OR(BC$4="",$A1034&gt;TODAY()),0,IF(OR(INDEX($B1034:$D1034,BC$5)="F",AND(BC$6&gt;0,$A1034&lt;BC$6),AND(BC$7&gt;0,$A1034&gt;BC$7)),0,MAX(0,ROUND((INDEX($E1034:$G1034,BC$5)-SUMIFS(TF_Timer,TF_Tekniker,BC$4,TF_Dato,$A1034))*2,0)/2)))</f>
        <v/>
      </c>
      <c r="BD1034">
        <f>IF(OR(BD$4="",$A1034&gt;TODAY()),0,IF(OR(INDEX($B1034:$D1034,BD$5)="F",AND(BD$6&gt;0,$A1034&lt;BD$6),AND(BD$7&gt;0,$A1034&gt;BD$7)),0,MAX(0,ROUND((INDEX($E1034:$G1034,BD$5)-SUMIFS(TF_Timer,TF_Tekniker,BD$4,TF_Dato,$A1034))*2,0)/2)))</f>
        <v/>
      </c>
      <c r="BE1034">
        <f>IF(OR(BE$4="",$A1034&gt;TODAY()),0,IF(OR(INDEX($B1034:$D1034,BE$5)="F",AND(BE$6&gt;0,$A1034&lt;BE$6),AND(BE$7&gt;0,$A1034&gt;BE$7)),0,MAX(0,ROUND((INDEX($E1034:$G1034,BE$5)-SUMIFS(TF_Timer,TF_Tekniker,BE$4,TF_Dato,$A1034))*2,0)/2)))</f>
        <v/>
      </c>
      <c r="BF1034">
        <f>IF(OR(BF$4="",$A1034&gt;TODAY()),0,IF(OR(INDEX($B1034:$D1034,BF$5)="F",AND(BF$6&gt;0,$A1034&lt;BF$6),AND(BF$7&gt;0,$A1034&gt;BF$7)),0,MAX(0,ROUND((INDEX($E1034:$G1034,BF$5)-SUMIFS(TF_Timer,TF_Tekniker,BF$4,TF_Dato,$A1034))*2,0)/2)))</f>
        <v/>
      </c>
      <c r="BG1034">
        <f>IF(OR(BG$4="",$A1034&gt;TODAY()),0,IF(OR(INDEX($B1034:$D1034,BG$5)="F",AND(BG$6&gt;0,$A1034&lt;BG$6),AND(BG$7&gt;0,$A1034&gt;BG$7)),0,MAX(0,ROUND((INDEX($E1034:$G1034,BG$5)-SUMIFS(TF_Timer,TF_Tekniker,BG$4,TF_Dato,$A1034))*2,0)/2)))</f>
        <v/>
      </c>
      <c r="BH1034">
        <f>IF(OR(BH$4="",$A1034&gt;TODAY()),0,IF(OR(INDEX($B1034:$D1034,BH$5)="F",AND(BH$6&gt;0,$A1034&lt;BH$6),AND(BH$7&gt;0,$A1034&gt;BH$7)),0,MAX(0,ROUND((INDEX($E1034:$G1034,BH$5)-SUMIFS(TF_Timer,TF_Tekniker,BH$4,TF_Dato,$A1034))*2,0)/2)))</f>
        <v/>
      </c>
      <c r="BI1034">
        <f>IF(OR(BI$4="",$A1034&gt;TODAY()),0,IF(OR(INDEX($B1034:$D1034,BI$5)="F",AND(BI$6&gt;0,$A1034&lt;BI$6),AND(BI$7&gt;0,$A1034&gt;BI$7)),0,MAX(0,ROUND((INDEX($E1034:$G1034,BI$5)-SUMIFS(TF_Timer,TF_Tekniker,BI$4,TF_Dato,$A1034))*2,0)/2)))</f>
        <v/>
      </c>
    </row>
    <row r="1035">
      <c r="A1035" s="64">
        <f>A1034+1</f>
        <v/>
      </c>
      <c r="B1035">
        <f>IF(MOD($A1035-INDEX(SkiftStart,1),Syklus)&lt;DagK,"K",IF(MOD($A1035-INDEX(SkiftStart,1),Syklus)&lt;DagK+DagH,"H",IF(MOD($A1035-INDEX(SkiftStart,1),Syklus)&lt;DagK+DagH+DagD,"D","F")))</f>
        <v/>
      </c>
      <c r="C1035">
        <f>IF(MOD($A1035-INDEX(SkiftStart,2),Syklus)&lt;DagK,"K",IF(MOD($A1035-INDEX(SkiftStart,2),Syklus)&lt;DagK+DagH,"H",IF(MOD($A1035-INDEX(SkiftStart,2),Syklus)&lt;DagK+DagH+DagD,"D","F")))</f>
        <v/>
      </c>
      <c r="D1035">
        <f>IF(MOD($A1035-INDEX(SkiftStart,3),Syklus)&lt;DagK,"K",IF(MOD($A1035-INDEX(SkiftStart,3),Syklus)&lt;DagK+DagH,"H",IF(MOD($A1035-INDEX(SkiftStart,3),Syklus)&lt;DagK+DagH+DagD,"D","F")))</f>
        <v/>
      </c>
      <c r="E1035">
        <f>IF(B1035="F",0,IF(WEEKDAY($A1035,2)=5,INDEX(TimerFr,MATCH(B1035,FaseKode,0)),INDEX(TimerMT,MATCH(B1035,FaseKode,0))))</f>
        <v/>
      </c>
      <c r="F1035">
        <f>IF(C1035="F",0,IF(WEEKDAY($A1035,2)=5,INDEX(TimerFr,MATCH(C1035,FaseKode,0)),INDEX(TimerMT,MATCH(C1035,FaseKode,0))))</f>
        <v/>
      </c>
      <c r="G1035">
        <f>IF(D1035="F",0,IF(WEEKDAY($A1035,2)=5,INDEX(TimerFr,MATCH(D1035,FaseKode,0)),INDEX(TimerMT,MATCH(D1035,FaseKode,0))))</f>
        <v/>
      </c>
      <c r="H1035">
        <f>IF(OR(H$4="",$A1035&gt;TODAY()),0,IF(OR(INDEX($B1035:$D1035,H$5)="F",AND(H$6&gt;0,$A1035&lt;H$6),AND(H$7&gt;0,$A1035&gt;H$7)),0,MAX(0,ROUND((INDEX($E1035:$G1035,H$5)-SUMIFS(TF_Timer,TF_Tekniker,H$4,TF_Dato,$A1035))*2,0)/2)))</f>
        <v/>
      </c>
      <c r="I1035">
        <f>IF(OR(I$4="",$A1035&gt;TODAY()),0,IF(OR(INDEX($B1035:$D1035,I$5)="F",AND(I$6&gt;0,$A1035&lt;I$6),AND(I$7&gt;0,$A1035&gt;I$7)),0,MAX(0,ROUND((INDEX($E1035:$G1035,I$5)-SUMIFS(TF_Timer,TF_Tekniker,I$4,TF_Dato,$A1035))*2,0)/2)))</f>
        <v/>
      </c>
      <c r="J1035">
        <f>IF(OR(J$4="",$A1035&gt;TODAY()),0,IF(OR(INDEX($B1035:$D1035,J$5)="F",AND(J$6&gt;0,$A1035&lt;J$6),AND(J$7&gt;0,$A1035&gt;J$7)),0,MAX(0,ROUND((INDEX($E1035:$G1035,J$5)-SUMIFS(TF_Timer,TF_Tekniker,J$4,TF_Dato,$A1035))*2,0)/2)))</f>
        <v/>
      </c>
      <c r="K1035">
        <f>IF(OR(K$4="",$A1035&gt;TODAY()),0,IF(OR(INDEX($B1035:$D1035,K$5)="F",AND(K$6&gt;0,$A1035&lt;K$6),AND(K$7&gt;0,$A1035&gt;K$7)),0,MAX(0,ROUND((INDEX($E1035:$G1035,K$5)-SUMIFS(TF_Timer,TF_Tekniker,K$4,TF_Dato,$A1035))*2,0)/2)))</f>
        <v/>
      </c>
      <c r="L1035">
        <f>IF(OR(L$4="",$A1035&gt;TODAY()),0,IF(OR(INDEX($B1035:$D1035,L$5)="F",AND(L$6&gt;0,$A1035&lt;L$6),AND(L$7&gt;0,$A1035&gt;L$7)),0,MAX(0,ROUND((INDEX($E1035:$G1035,L$5)-SUMIFS(TF_Timer,TF_Tekniker,L$4,TF_Dato,$A1035))*2,0)/2)))</f>
        <v/>
      </c>
      <c r="M1035">
        <f>IF(OR(M$4="",$A1035&gt;TODAY()),0,IF(OR(INDEX($B1035:$D1035,M$5)="F",AND(M$6&gt;0,$A1035&lt;M$6),AND(M$7&gt;0,$A1035&gt;M$7)),0,MAX(0,ROUND((INDEX($E1035:$G1035,M$5)-SUMIFS(TF_Timer,TF_Tekniker,M$4,TF_Dato,$A1035))*2,0)/2)))</f>
        <v/>
      </c>
      <c r="N1035">
        <f>IF(OR(N$4="",$A1035&gt;TODAY()),0,IF(OR(INDEX($B1035:$D1035,N$5)="F",AND(N$6&gt;0,$A1035&lt;N$6),AND(N$7&gt;0,$A1035&gt;N$7)),0,MAX(0,ROUND((INDEX($E1035:$G1035,N$5)-SUMIFS(TF_Timer,TF_Tekniker,N$4,TF_Dato,$A1035))*2,0)/2)))</f>
        <v/>
      </c>
      <c r="O1035">
        <f>IF(OR(O$4="",$A1035&gt;TODAY()),0,IF(OR(INDEX($B1035:$D1035,O$5)="F",AND(O$6&gt;0,$A1035&lt;O$6),AND(O$7&gt;0,$A1035&gt;O$7)),0,MAX(0,ROUND((INDEX($E1035:$G1035,O$5)-SUMIFS(TF_Timer,TF_Tekniker,O$4,TF_Dato,$A1035))*2,0)/2)))</f>
        <v/>
      </c>
      <c r="P1035">
        <f>IF(OR(P$4="",$A1035&gt;TODAY()),0,IF(OR(INDEX($B1035:$D1035,P$5)="F",AND(P$6&gt;0,$A1035&lt;P$6),AND(P$7&gt;0,$A1035&gt;P$7)),0,MAX(0,ROUND((INDEX($E1035:$G1035,P$5)-SUMIFS(TF_Timer,TF_Tekniker,P$4,TF_Dato,$A1035))*2,0)/2)))</f>
        <v/>
      </c>
      <c r="Q1035">
        <f>IF(OR(Q$4="",$A1035&gt;TODAY()),0,IF(OR(INDEX($B1035:$D1035,Q$5)="F",AND(Q$6&gt;0,$A1035&lt;Q$6),AND(Q$7&gt;0,$A1035&gt;Q$7)),0,MAX(0,ROUND((INDEX($E1035:$G1035,Q$5)-SUMIFS(TF_Timer,TF_Tekniker,Q$4,TF_Dato,$A1035))*2,0)/2)))</f>
        <v/>
      </c>
      <c r="R1035">
        <f>IF(OR(R$4="",$A1035&gt;TODAY()),0,IF(OR(INDEX($B1035:$D1035,R$5)="F",AND(R$6&gt;0,$A1035&lt;R$6),AND(R$7&gt;0,$A1035&gt;R$7)),0,MAX(0,ROUND((INDEX($E1035:$G1035,R$5)-SUMIFS(TF_Timer,TF_Tekniker,R$4,TF_Dato,$A1035))*2,0)/2)))</f>
        <v/>
      </c>
      <c r="S1035">
        <f>IF(OR(S$4="",$A1035&gt;TODAY()),0,IF(OR(INDEX($B1035:$D1035,S$5)="F",AND(S$6&gt;0,$A1035&lt;S$6),AND(S$7&gt;0,$A1035&gt;S$7)),0,MAX(0,ROUND((INDEX($E1035:$G1035,S$5)-SUMIFS(TF_Timer,TF_Tekniker,S$4,TF_Dato,$A1035))*2,0)/2)))</f>
        <v/>
      </c>
      <c r="T1035">
        <f>IF(OR(T$4="",$A1035&gt;TODAY()),0,IF(OR(INDEX($B1035:$D1035,T$5)="F",AND(T$6&gt;0,$A1035&lt;T$6),AND(T$7&gt;0,$A1035&gt;T$7)),0,MAX(0,ROUND((INDEX($E1035:$G1035,T$5)-SUMIFS(TF_Timer,TF_Tekniker,T$4,TF_Dato,$A1035))*2,0)/2)))</f>
        <v/>
      </c>
      <c r="U1035">
        <f>IF(OR(U$4="",$A1035&gt;TODAY()),0,IF(OR(INDEX($B1035:$D1035,U$5)="F",AND(U$6&gt;0,$A1035&lt;U$6),AND(U$7&gt;0,$A1035&gt;U$7)),0,MAX(0,ROUND((INDEX($E1035:$G1035,U$5)-SUMIFS(TF_Timer,TF_Tekniker,U$4,TF_Dato,$A1035))*2,0)/2)))</f>
        <v/>
      </c>
      <c r="V1035">
        <f>IF(OR(V$4="",$A1035&gt;TODAY()),0,IF(OR(INDEX($B1035:$D1035,V$5)="F",AND(V$6&gt;0,$A1035&lt;V$6),AND(V$7&gt;0,$A1035&gt;V$7)),0,MAX(0,ROUND((INDEX($E1035:$G1035,V$5)-SUMIFS(TF_Timer,TF_Tekniker,V$4,TF_Dato,$A1035))*2,0)/2)))</f>
        <v/>
      </c>
      <c r="W1035">
        <f>IF(OR(W$4="",$A1035&gt;TODAY()),0,IF(OR(INDEX($B1035:$D1035,W$5)="F",AND(W$6&gt;0,$A1035&lt;W$6),AND(W$7&gt;0,$A1035&gt;W$7)),0,MAX(0,ROUND((INDEX($E1035:$G1035,W$5)-SUMIFS(TF_Timer,TF_Tekniker,W$4,TF_Dato,$A1035))*2,0)/2)))</f>
        <v/>
      </c>
      <c r="X1035">
        <f>IF(OR(X$4="",$A1035&gt;TODAY()),0,IF(OR(INDEX($B1035:$D1035,X$5)="F",AND(X$6&gt;0,$A1035&lt;X$6),AND(X$7&gt;0,$A1035&gt;X$7)),0,MAX(0,ROUND((INDEX($E1035:$G1035,X$5)-SUMIFS(TF_Timer,TF_Tekniker,X$4,TF_Dato,$A1035))*2,0)/2)))</f>
        <v/>
      </c>
      <c r="Y1035">
        <f>IF(OR(Y$4="",$A1035&gt;TODAY()),0,IF(OR(INDEX($B1035:$D1035,Y$5)="F",AND(Y$6&gt;0,$A1035&lt;Y$6),AND(Y$7&gt;0,$A1035&gt;Y$7)),0,MAX(0,ROUND((INDEX($E1035:$G1035,Y$5)-SUMIFS(TF_Timer,TF_Tekniker,Y$4,TF_Dato,$A1035))*2,0)/2)))</f>
        <v/>
      </c>
      <c r="Z1035">
        <f>IF(OR(Z$4="",$A1035&gt;TODAY()),0,IF(OR(INDEX($B1035:$D1035,Z$5)="F",AND(Z$6&gt;0,$A1035&lt;Z$6),AND(Z$7&gt;0,$A1035&gt;Z$7)),0,MAX(0,ROUND((INDEX($E1035:$G1035,Z$5)-SUMIFS(TF_Timer,TF_Tekniker,Z$4,TF_Dato,$A1035))*2,0)/2)))</f>
        <v/>
      </c>
      <c r="AA1035">
        <f>IF(OR(AA$4="",$A1035&gt;TODAY()),0,IF(OR(INDEX($B1035:$D1035,AA$5)="F",AND(AA$6&gt;0,$A1035&lt;AA$6),AND(AA$7&gt;0,$A1035&gt;AA$7)),0,MAX(0,ROUND((INDEX($E1035:$G1035,AA$5)-SUMIFS(TF_Timer,TF_Tekniker,AA$4,TF_Dato,$A1035))*2,0)/2)))</f>
        <v/>
      </c>
      <c r="AB1035">
        <f>IF(OR(AB$4="",$A1035&gt;TODAY()),0,IF(OR(INDEX($B1035:$D1035,AB$5)="F",AND(AB$6&gt;0,$A1035&lt;AB$6),AND(AB$7&gt;0,$A1035&gt;AB$7)),0,MAX(0,ROUND((INDEX($E1035:$G1035,AB$5)-SUMIFS(TF_Timer,TF_Tekniker,AB$4,TF_Dato,$A1035))*2,0)/2)))</f>
        <v/>
      </c>
      <c r="AC1035">
        <f>IF(OR(AC$4="",$A1035&gt;TODAY()),0,IF(OR(INDEX($B1035:$D1035,AC$5)="F",AND(AC$6&gt;0,$A1035&lt;AC$6),AND(AC$7&gt;0,$A1035&gt;AC$7)),0,MAX(0,ROUND((INDEX($E1035:$G1035,AC$5)-SUMIFS(TF_Timer,TF_Tekniker,AC$4,TF_Dato,$A1035))*2,0)/2)))</f>
        <v/>
      </c>
      <c r="AD1035">
        <f>IF(OR(AD$4="",$A1035&gt;TODAY()),0,IF(OR(INDEX($B1035:$D1035,AD$5)="F",AND(AD$6&gt;0,$A1035&lt;AD$6),AND(AD$7&gt;0,$A1035&gt;AD$7)),0,MAX(0,ROUND((INDEX($E1035:$G1035,AD$5)-SUMIFS(TF_Timer,TF_Tekniker,AD$4,TF_Dato,$A1035))*2,0)/2)))</f>
        <v/>
      </c>
      <c r="AE1035">
        <f>IF(OR(AE$4="",$A1035&gt;TODAY()),0,IF(OR(INDEX($B1035:$D1035,AE$5)="F",AND(AE$6&gt;0,$A1035&lt;AE$6),AND(AE$7&gt;0,$A1035&gt;AE$7)),0,MAX(0,ROUND((INDEX($E1035:$G1035,AE$5)-SUMIFS(TF_Timer,TF_Tekniker,AE$4,TF_Dato,$A1035))*2,0)/2)))</f>
        <v/>
      </c>
      <c r="AF1035">
        <f>IF(OR(AF$4="",$A1035&gt;TODAY()),0,IF(OR(INDEX($B1035:$D1035,AF$5)="F",AND(AF$6&gt;0,$A1035&lt;AF$6),AND(AF$7&gt;0,$A1035&gt;AF$7)),0,MAX(0,ROUND((INDEX($E1035:$G1035,AF$5)-SUMIFS(TF_Timer,TF_Tekniker,AF$4,TF_Dato,$A1035))*2,0)/2)))</f>
        <v/>
      </c>
      <c r="AG1035">
        <f>IF(OR(AG$4="",$A1035&gt;TODAY()),0,IF(OR(INDEX($B1035:$D1035,AG$5)="F",AND(AG$6&gt;0,$A1035&lt;AG$6),AND(AG$7&gt;0,$A1035&gt;AG$7)),0,MAX(0,ROUND((INDEX($E1035:$G1035,AG$5)-SUMIFS(TF_Timer,TF_Tekniker,AG$4,TF_Dato,$A1035))*2,0)/2)))</f>
        <v/>
      </c>
      <c r="AH1035">
        <f>IF(OR(AH$4="",$A1035&gt;TODAY()),0,IF(OR(INDEX($B1035:$D1035,AH$5)="F",AND(AH$6&gt;0,$A1035&lt;AH$6),AND(AH$7&gt;0,$A1035&gt;AH$7)),0,MAX(0,ROUND((INDEX($E1035:$G1035,AH$5)-SUMIFS(TF_Timer,TF_Tekniker,AH$4,TF_Dato,$A1035))*2,0)/2)))</f>
        <v/>
      </c>
      <c r="AI1035">
        <f>IF(OR(AI$4="",$A1035&gt;TODAY()),0,IF(OR(INDEX($B1035:$D1035,AI$5)="F",AND(AI$6&gt;0,$A1035&lt;AI$6),AND(AI$7&gt;0,$A1035&gt;AI$7)),0,MAX(0,ROUND((INDEX($E1035:$G1035,AI$5)-SUMIFS(TF_Timer,TF_Tekniker,AI$4,TF_Dato,$A1035))*2,0)/2)))</f>
        <v/>
      </c>
      <c r="AJ1035">
        <f>IF(OR(AJ$4="",$A1035&gt;TODAY()),0,IF(OR(INDEX($B1035:$D1035,AJ$5)="F",AND(AJ$6&gt;0,$A1035&lt;AJ$6),AND(AJ$7&gt;0,$A1035&gt;AJ$7)),0,MAX(0,ROUND((INDEX($E1035:$G1035,AJ$5)-SUMIFS(TF_Timer,TF_Tekniker,AJ$4,TF_Dato,$A1035))*2,0)/2)))</f>
        <v/>
      </c>
      <c r="AK1035">
        <f>IF(OR(AK$4="",$A1035&gt;TODAY()),0,IF(OR(INDEX($B1035:$D1035,AK$5)="F",AND(AK$6&gt;0,$A1035&lt;AK$6),AND(AK$7&gt;0,$A1035&gt;AK$7)),0,MAX(0,ROUND((INDEX($E1035:$G1035,AK$5)-SUMIFS(TF_Timer,TF_Tekniker,AK$4,TF_Dato,$A1035))*2,0)/2)))</f>
        <v/>
      </c>
      <c r="AL1035">
        <f>IF(OR(AL$4="",$A1035&gt;TODAY()),0,IF(OR(INDEX($B1035:$D1035,AL$5)="F",AND(AL$6&gt;0,$A1035&lt;AL$6),AND(AL$7&gt;0,$A1035&gt;AL$7)),0,MAX(0,ROUND((INDEX($E1035:$G1035,AL$5)-SUMIFS(TF_Timer,TF_Tekniker,AL$4,TF_Dato,$A1035))*2,0)/2)))</f>
        <v/>
      </c>
      <c r="AM1035">
        <f>IF(OR(AM$4="",$A1035&gt;TODAY()),0,IF(OR(INDEX($B1035:$D1035,AM$5)="F",AND(AM$6&gt;0,$A1035&lt;AM$6),AND(AM$7&gt;0,$A1035&gt;AM$7)),0,MAX(0,ROUND((INDEX($E1035:$G1035,AM$5)-SUMIFS(TF_Timer,TF_Tekniker,AM$4,TF_Dato,$A1035))*2,0)/2)))</f>
        <v/>
      </c>
      <c r="AN1035">
        <f>IF(OR(AN$4="",$A1035&gt;TODAY()),0,IF(OR(INDEX($B1035:$D1035,AN$5)="F",AND(AN$6&gt;0,$A1035&lt;AN$6),AND(AN$7&gt;0,$A1035&gt;AN$7)),0,MAX(0,ROUND((INDEX($E1035:$G1035,AN$5)-SUMIFS(TF_Timer,TF_Tekniker,AN$4,TF_Dato,$A1035))*2,0)/2)))</f>
        <v/>
      </c>
      <c r="AO1035">
        <f>IF(OR(AO$4="",$A1035&gt;TODAY()),0,IF(OR(INDEX($B1035:$D1035,AO$5)="F",AND(AO$6&gt;0,$A1035&lt;AO$6),AND(AO$7&gt;0,$A1035&gt;AO$7)),0,MAX(0,ROUND((INDEX($E1035:$G1035,AO$5)-SUMIFS(TF_Timer,TF_Tekniker,AO$4,TF_Dato,$A1035))*2,0)/2)))</f>
        <v/>
      </c>
      <c r="AP1035">
        <f>IF(OR(AP$4="",$A1035&gt;TODAY()),0,IF(OR(INDEX($B1035:$D1035,AP$5)="F",AND(AP$6&gt;0,$A1035&lt;AP$6),AND(AP$7&gt;0,$A1035&gt;AP$7)),0,MAX(0,ROUND((INDEX($E1035:$G1035,AP$5)-SUMIFS(TF_Timer,TF_Tekniker,AP$4,TF_Dato,$A1035))*2,0)/2)))</f>
        <v/>
      </c>
      <c r="AQ1035">
        <f>IF(OR(AQ$4="",$A1035&gt;TODAY()),0,IF(OR(INDEX($B1035:$D1035,AQ$5)="F",AND(AQ$6&gt;0,$A1035&lt;AQ$6),AND(AQ$7&gt;0,$A1035&gt;AQ$7)),0,MAX(0,ROUND((INDEX($E1035:$G1035,AQ$5)-SUMIFS(TF_Timer,TF_Tekniker,AQ$4,TF_Dato,$A1035))*2,0)/2)))</f>
        <v/>
      </c>
      <c r="AR1035">
        <f>IF(OR(AR$4="",$A1035&gt;TODAY()),0,IF(OR(INDEX($B1035:$D1035,AR$5)="F",AND(AR$6&gt;0,$A1035&lt;AR$6),AND(AR$7&gt;0,$A1035&gt;AR$7)),0,MAX(0,ROUND((INDEX($E1035:$G1035,AR$5)-SUMIFS(TF_Timer,TF_Tekniker,AR$4,TF_Dato,$A1035))*2,0)/2)))</f>
        <v/>
      </c>
      <c r="AS1035">
        <f>IF(OR(AS$4="",$A1035&gt;TODAY()),0,IF(OR(INDEX($B1035:$D1035,AS$5)="F",AND(AS$6&gt;0,$A1035&lt;AS$6),AND(AS$7&gt;0,$A1035&gt;AS$7)),0,MAX(0,ROUND((INDEX($E1035:$G1035,AS$5)-SUMIFS(TF_Timer,TF_Tekniker,AS$4,TF_Dato,$A1035))*2,0)/2)))</f>
        <v/>
      </c>
      <c r="AT1035">
        <f>IF(OR(AT$4="",$A1035&gt;TODAY()),0,IF(OR(INDEX($B1035:$D1035,AT$5)="F",AND(AT$6&gt;0,$A1035&lt;AT$6),AND(AT$7&gt;0,$A1035&gt;AT$7)),0,MAX(0,ROUND((INDEX($E1035:$G1035,AT$5)-SUMIFS(TF_Timer,TF_Tekniker,AT$4,TF_Dato,$A1035))*2,0)/2)))</f>
        <v/>
      </c>
      <c r="AU1035">
        <f>IF(OR(AU$4="",$A1035&gt;TODAY()),0,IF(OR(INDEX($B1035:$D1035,AU$5)="F",AND(AU$6&gt;0,$A1035&lt;AU$6),AND(AU$7&gt;0,$A1035&gt;AU$7)),0,MAX(0,ROUND((INDEX($E1035:$G1035,AU$5)-SUMIFS(TF_Timer,TF_Tekniker,AU$4,TF_Dato,$A1035))*2,0)/2)))</f>
        <v/>
      </c>
      <c r="AV1035">
        <f>IF(OR(AV$4="",$A1035&gt;TODAY()),0,IF(OR(INDEX($B1035:$D1035,AV$5)="F",AND(AV$6&gt;0,$A1035&lt;AV$6),AND(AV$7&gt;0,$A1035&gt;AV$7)),0,MAX(0,ROUND((INDEX($E1035:$G1035,AV$5)-SUMIFS(TF_Timer,TF_Tekniker,AV$4,TF_Dato,$A1035))*2,0)/2)))</f>
        <v/>
      </c>
      <c r="AW1035">
        <f>IF(OR(AW$4="",$A1035&gt;TODAY()),0,IF(OR(INDEX($B1035:$D1035,AW$5)="F",AND(AW$6&gt;0,$A1035&lt;AW$6),AND(AW$7&gt;0,$A1035&gt;AW$7)),0,MAX(0,ROUND((INDEX($E1035:$G1035,AW$5)-SUMIFS(TF_Timer,TF_Tekniker,AW$4,TF_Dato,$A1035))*2,0)/2)))</f>
        <v/>
      </c>
      <c r="AX1035">
        <f>IF(OR(AX$4="",$A1035&gt;TODAY()),0,IF(OR(INDEX($B1035:$D1035,AX$5)="F",AND(AX$6&gt;0,$A1035&lt;AX$6),AND(AX$7&gt;0,$A1035&gt;AX$7)),0,MAX(0,ROUND((INDEX($E1035:$G1035,AX$5)-SUMIFS(TF_Timer,TF_Tekniker,AX$4,TF_Dato,$A1035))*2,0)/2)))</f>
        <v/>
      </c>
      <c r="AY1035">
        <f>IF(OR(AY$4="",$A1035&gt;TODAY()),0,IF(OR(INDEX($B1035:$D1035,AY$5)="F",AND(AY$6&gt;0,$A1035&lt;AY$6),AND(AY$7&gt;0,$A1035&gt;AY$7)),0,MAX(0,ROUND((INDEX($E1035:$G1035,AY$5)-SUMIFS(TF_Timer,TF_Tekniker,AY$4,TF_Dato,$A1035))*2,0)/2)))</f>
        <v/>
      </c>
      <c r="AZ1035">
        <f>IF(OR(AZ$4="",$A1035&gt;TODAY()),0,IF(OR(INDEX($B1035:$D1035,AZ$5)="F",AND(AZ$6&gt;0,$A1035&lt;AZ$6),AND(AZ$7&gt;0,$A1035&gt;AZ$7)),0,MAX(0,ROUND((INDEX($E1035:$G1035,AZ$5)-SUMIFS(TF_Timer,TF_Tekniker,AZ$4,TF_Dato,$A1035))*2,0)/2)))</f>
        <v/>
      </c>
      <c r="BA1035">
        <f>IF(OR(BA$4="",$A1035&gt;TODAY()),0,IF(OR(INDEX($B1035:$D1035,BA$5)="F",AND(BA$6&gt;0,$A1035&lt;BA$6),AND(BA$7&gt;0,$A1035&gt;BA$7)),0,MAX(0,ROUND((INDEX($E1035:$G1035,BA$5)-SUMIFS(TF_Timer,TF_Tekniker,BA$4,TF_Dato,$A1035))*2,0)/2)))</f>
        <v/>
      </c>
      <c r="BB1035">
        <f>IF(OR(BB$4="",$A1035&gt;TODAY()),0,IF(OR(INDEX($B1035:$D1035,BB$5)="F",AND(BB$6&gt;0,$A1035&lt;BB$6),AND(BB$7&gt;0,$A1035&gt;BB$7)),0,MAX(0,ROUND((INDEX($E1035:$G1035,BB$5)-SUMIFS(TF_Timer,TF_Tekniker,BB$4,TF_Dato,$A1035))*2,0)/2)))</f>
        <v/>
      </c>
      <c r="BC1035">
        <f>IF(OR(BC$4="",$A1035&gt;TODAY()),0,IF(OR(INDEX($B1035:$D1035,BC$5)="F",AND(BC$6&gt;0,$A1035&lt;BC$6),AND(BC$7&gt;0,$A1035&gt;BC$7)),0,MAX(0,ROUND((INDEX($E1035:$G1035,BC$5)-SUMIFS(TF_Timer,TF_Tekniker,BC$4,TF_Dato,$A1035))*2,0)/2)))</f>
        <v/>
      </c>
      <c r="BD1035">
        <f>IF(OR(BD$4="",$A1035&gt;TODAY()),0,IF(OR(INDEX($B1035:$D1035,BD$5)="F",AND(BD$6&gt;0,$A1035&lt;BD$6),AND(BD$7&gt;0,$A1035&gt;BD$7)),0,MAX(0,ROUND((INDEX($E1035:$G1035,BD$5)-SUMIFS(TF_Timer,TF_Tekniker,BD$4,TF_Dato,$A1035))*2,0)/2)))</f>
        <v/>
      </c>
      <c r="BE1035">
        <f>IF(OR(BE$4="",$A1035&gt;TODAY()),0,IF(OR(INDEX($B1035:$D1035,BE$5)="F",AND(BE$6&gt;0,$A1035&lt;BE$6),AND(BE$7&gt;0,$A1035&gt;BE$7)),0,MAX(0,ROUND((INDEX($E1035:$G1035,BE$5)-SUMIFS(TF_Timer,TF_Tekniker,BE$4,TF_Dato,$A1035))*2,0)/2)))</f>
        <v/>
      </c>
      <c r="BF1035">
        <f>IF(OR(BF$4="",$A1035&gt;TODAY()),0,IF(OR(INDEX($B1035:$D1035,BF$5)="F",AND(BF$6&gt;0,$A1035&lt;BF$6),AND(BF$7&gt;0,$A1035&gt;BF$7)),0,MAX(0,ROUND((INDEX($E1035:$G1035,BF$5)-SUMIFS(TF_Timer,TF_Tekniker,BF$4,TF_Dato,$A1035))*2,0)/2)))</f>
        <v/>
      </c>
      <c r="BG1035">
        <f>IF(OR(BG$4="",$A1035&gt;TODAY()),0,IF(OR(INDEX($B1035:$D1035,BG$5)="F",AND(BG$6&gt;0,$A1035&lt;BG$6),AND(BG$7&gt;0,$A1035&gt;BG$7)),0,MAX(0,ROUND((INDEX($E1035:$G1035,BG$5)-SUMIFS(TF_Timer,TF_Tekniker,BG$4,TF_Dato,$A1035))*2,0)/2)))</f>
        <v/>
      </c>
      <c r="BH1035">
        <f>IF(OR(BH$4="",$A1035&gt;TODAY()),0,IF(OR(INDEX($B1035:$D1035,BH$5)="F",AND(BH$6&gt;0,$A1035&lt;BH$6),AND(BH$7&gt;0,$A1035&gt;BH$7)),0,MAX(0,ROUND((INDEX($E1035:$G1035,BH$5)-SUMIFS(TF_Timer,TF_Tekniker,BH$4,TF_Dato,$A1035))*2,0)/2)))</f>
        <v/>
      </c>
      <c r="BI1035">
        <f>IF(OR(BI$4="",$A1035&gt;TODAY()),0,IF(OR(INDEX($B1035:$D1035,BI$5)="F",AND(BI$6&gt;0,$A1035&lt;BI$6),AND(BI$7&gt;0,$A1035&gt;BI$7)),0,MAX(0,ROUND((INDEX($E1035:$G1035,BI$5)-SUMIFS(TF_Timer,TF_Tekniker,BI$4,TF_Dato,$A1035))*2,0)/2)))</f>
        <v/>
      </c>
    </row>
    <row r="1036">
      <c r="A1036" s="64">
        <f>A1035+1</f>
        <v/>
      </c>
      <c r="B1036">
        <f>IF(MOD($A1036-INDEX(SkiftStart,1),Syklus)&lt;DagK,"K",IF(MOD($A1036-INDEX(SkiftStart,1),Syklus)&lt;DagK+DagH,"H",IF(MOD($A1036-INDEX(SkiftStart,1),Syklus)&lt;DagK+DagH+DagD,"D","F")))</f>
        <v/>
      </c>
      <c r="C1036">
        <f>IF(MOD($A1036-INDEX(SkiftStart,2),Syklus)&lt;DagK,"K",IF(MOD($A1036-INDEX(SkiftStart,2),Syklus)&lt;DagK+DagH,"H",IF(MOD($A1036-INDEX(SkiftStart,2),Syklus)&lt;DagK+DagH+DagD,"D","F")))</f>
        <v/>
      </c>
      <c r="D1036">
        <f>IF(MOD($A1036-INDEX(SkiftStart,3),Syklus)&lt;DagK,"K",IF(MOD($A1036-INDEX(SkiftStart,3),Syklus)&lt;DagK+DagH,"H",IF(MOD($A1036-INDEX(SkiftStart,3),Syklus)&lt;DagK+DagH+DagD,"D","F")))</f>
        <v/>
      </c>
      <c r="E1036">
        <f>IF(B1036="F",0,IF(WEEKDAY($A1036,2)=5,INDEX(TimerFr,MATCH(B1036,FaseKode,0)),INDEX(TimerMT,MATCH(B1036,FaseKode,0))))</f>
        <v/>
      </c>
      <c r="F1036">
        <f>IF(C1036="F",0,IF(WEEKDAY($A1036,2)=5,INDEX(TimerFr,MATCH(C1036,FaseKode,0)),INDEX(TimerMT,MATCH(C1036,FaseKode,0))))</f>
        <v/>
      </c>
      <c r="G1036">
        <f>IF(D1036="F",0,IF(WEEKDAY($A1036,2)=5,INDEX(TimerFr,MATCH(D1036,FaseKode,0)),INDEX(TimerMT,MATCH(D1036,FaseKode,0))))</f>
        <v/>
      </c>
      <c r="H1036">
        <f>IF(OR(H$4="",$A1036&gt;TODAY()),0,IF(OR(INDEX($B1036:$D1036,H$5)="F",AND(H$6&gt;0,$A1036&lt;H$6),AND(H$7&gt;0,$A1036&gt;H$7)),0,MAX(0,ROUND((INDEX($E1036:$G1036,H$5)-SUMIFS(TF_Timer,TF_Tekniker,H$4,TF_Dato,$A1036))*2,0)/2)))</f>
        <v/>
      </c>
      <c r="I1036">
        <f>IF(OR(I$4="",$A1036&gt;TODAY()),0,IF(OR(INDEX($B1036:$D1036,I$5)="F",AND(I$6&gt;0,$A1036&lt;I$6),AND(I$7&gt;0,$A1036&gt;I$7)),0,MAX(0,ROUND((INDEX($E1036:$G1036,I$5)-SUMIFS(TF_Timer,TF_Tekniker,I$4,TF_Dato,$A1036))*2,0)/2)))</f>
        <v/>
      </c>
      <c r="J1036">
        <f>IF(OR(J$4="",$A1036&gt;TODAY()),0,IF(OR(INDEX($B1036:$D1036,J$5)="F",AND(J$6&gt;0,$A1036&lt;J$6),AND(J$7&gt;0,$A1036&gt;J$7)),0,MAX(0,ROUND((INDEX($E1036:$G1036,J$5)-SUMIFS(TF_Timer,TF_Tekniker,J$4,TF_Dato,$A1036))*2,0)/2)))</f>
        <v/>
      </c>
      <c r="K1036">
        <f>IF(OR(K$4="",$A1036&gt;TODAY()),0,IF(OR(INDEX($B1036:$D1036,K$5)="F",AND(K$6&gt;0,$A1036&lt;K$6),AND(K$7&gt;0,$A1036&gt;K$7)),0,MAX(0,ROUND((INDEX($E1036:$G1036,K$5)-SUMIFS(TF_Timer,TF_Tekniker,K$4,TF_Dato,$A1036))*2,0)/2)))</f>
        <v/>
      </c>
      <c r="L1036">
        <f>IF(OR(L$4="",$A1036&gt;TODAY()),0,IF(OR(INDEX($B1036:$D1036,L$5)="F",AND(L$6&gt;0,$A1036&lt;L$6),AND(L$7&gt;0,$A1036&gt;L$7)),0,MAX(0,ROUND((INDEX($E1036:$G1036,L$5)-SUMIFS(TF_Timer,TF_Tekniker,L$4,TF_Dato,$A1036))*2,0)/2)))</f>
        <v/>
      </c>
      <c r="M1036">
        <f>IF(OR(M$4="",$A1036&gt;TODAY()),0,IF(OR(INDEX($B1036:$D1036,M$5)="F",AND(M$6&gt;0,$A1036&lt;M$6),AND(M$7&gt;0,$A1036&gt;M$7)),0,MAX(0,ROUND((INDEX($E1036:$G1036,M$5)-SUMIFS(TF_Timer,TF_Tekniker,M$4,TF_Dato,$A1036))*2,0)/2)))</f>
        <v/>
      </c>
      <c r="N1036">
        <f>IF(OR(N$4="",$A1036&gt;TODAY()),0,IF(OR(INDEX($B1036:$D1036,N$5)="F",AND(N$6&gt;0,$A1036&lt;N$6),AND(N$7&gt;0,$A1036&gt;N$7)),0,MAX(0,ROUND((INDEX($E1036:$G1036,N$5)-SUMIFS(TF_Timer,TF_Tekniker,N$4,TF_Dato,$A1036))*2,0)/2)))</f>
        <v/>
      </c>
      <c r="O1036">
        <f>IF(OR(O$4="",$A1036&gt;TODAY()),0,IF(OR(INDEX($B1036:$D1036,O$5)="F",AND(O$6&gt;0,$A1036&lt;O$6),AND(O$7&gt;0,$A1036&gt;O$7)),0,MAX(0,ROUND((INDEX($E1036:$G1036,O$5)-SUMIFS(TF_Timer,TF_Tekniker,O$4,TF_Dato,$A1036))*2,0)/2)))</f>
        <v/>
      </c>
      <c r="P1036">
        <f>IF(OR(P$4="",$A1036&gt;TODAY()),0,IF(OR(INDEX($B1036:$D1036,P$5)="F",AND(P$6&gt;0,$A1036&lt;P$6),AND(P$7&gt;0,$A1036&gt;P$7)),0,MAX(0,ROUND((INDEX($E1036:$G1036,P$5)-SUMIFS(TF_Timer,TF_Tekniker,P$4,TF_Dato,$A1036))*2,0)/2)))</f>
        <v/>
      </c>
      <c r="Q1036">
        <f>IF(OR(Q$4="",$A1036&gt;TODAY()),0,IF(OR(INDEX($B1036:$D1036,Q$5)="F",AND(Q$6&gt;0,$A1036&lt;Q$6),AND(Q$7&gt;0,$A1036&gt;Q$7)),0,MAX(0,ROUND((INDEX($E1036:$G1036,Q$5)-SUMIFS(TF_Timer,TF_Tekniker,Q$4,TF_Dato,$A1036))*2,0)/2)))</f>
        <v/>
      </c>
      <c r="R1036">
        <f>IF(OR(R$4="",$A1036&gt;TODAY()),0,IF(OR(INDEX($B1036:$D1036,R$5)="F",AND(R$6&gt;0,$A1036&lt;R$6),AND(R$7&gt;0,$A1036&gt;R$7)),0,MAX(0,ROUND((INDEX($E1036:$G1036,R$5)-SUMIFS(TF_Timer,TF_Tekniker,R$4,TF_Dato,$A1036))*2,0)/2)))</f>
        <v/>
      </c>
      <c r="S1036">
        <f>IF(OR(S$4="",$A1036&gt;TODAY()),0,IF(OR(INDEX($B1036:$D1036,S$5)="F",AND(S$6&gt;0,$A1036&lt;S$6),AND(S$7&gt;0,$A1036&gt;S$7)),0,MAX(0,ROUND((INDEX($E1036:$G1036,S$5)-SUMIFS(TF_Timer,TF_Tekniker,S$4,TF_Dato,$A1036))*2,0)/2)))</f>
        <v/>
      </c>
      <c r="T1036">
        <f>IF(OR(T$4="",$A1036&gt;TODAY()),0,IF(OR(INDEX($B1036:$D1036,T$5)="F",AND(T$6&gt;0,$A1036&lt;T$6),AND(T$7&gt;0,$A1036&gt;T$7)),0,MAX(0,ROUND((INDEX($E1036:$G1036,T$5)-SUMIFS(TF_Timer,TF_Tekniker,T$4,TF_Dato,$A1036))*2,0)/2)))</f>
        <v/>
      </c>
      <c r="U1036">
        <f>IF(OR(U$4="",$A1036&gt;TODAY()),0,IF(OR(INDEX($B1036:$D1036,U$5)="F",AND(U$6&gt;0,$A1036&lt;U$6),AND(U$7&gt;0,$A1036&gt;U$7)),0,MAX(0,ROUND((INDEX($E1036:$G1036,U$5)-SUMIFS(TF_Timer,TF_Tekniker,U$4,TF_Dato,$A1036))*2,0)/2)))</f>
        <v/>
      </c>
      <c r="V1036">
        <f>IF(OR(V$4="",$A1036&gt;TODAY()),0,IF(OR(INDEX($B1036:$D1036,V$5)="F",AND(V$6&gt;0,$A1036&lt;V$6),AND(V$7&gt;0,$A1036&gt;V$7)),0,MAX(0,ROUND((INDEX($E1036:$G1036,V$5)-SUMIFS(TF_Timer,TF_Tekniker,V$4,TF_Dato,$A1036))*2,0)/2)))</f>
        <v/>
      </c>
      <c r="W1036">
        <f>IF(OR(W$4="",$A1036&gt;TODAY()),0,IF(OR(INDEX($B1036:$D1036,W$5)="F",AND(W$6&gt;0,$A1036&lt;W$6),AND(W$7&gt;0,$A1036&gt;W$7)),0,MAX(0,ROUND((INDEX($E1036:$G1036,W$5)-SUMIFS(TF_Timer,TF_Tekniker,W$4,TF_Dato,$A1036))*2,0)/2)))</f>
        <v/>
      </c>
      <c r="X1036">
        <f>IF(OR(X$4="",$A1036&gt;TODAY()),0,IF(OR(INDEX($B1036:$D1036,X$5)="F",AND(X$6&gt;0,$A1036&lt;X$6),AND(X$7&gt;0,$A1036&gt;X$7)),0,MAX(0,ROUND((INDEX($E1036:$G1036,X$5)-SUMIFS(TF_Timer,TF_Tekniker,X$4,TF_Dato,$A1036))*2,0)/2)))</f>
        <v/>
      </c>
      <c r="Y1036">
        <f>IF(OR(Y$4="",$A1036&gt;TODAY()),0,IF(OR(INDEX($B1036:$D1036,Y$5)="F",AND(Y$6&gt;0,$A1036&lt;Y$6),AND(Y$7&gt;0,$A1036&gt;Y$7)),0,MAX(0,ROUND((INDEX($E1036:$G1036,Y$5)-SUMIFS(TF_Timer,TF_Tekniker,Y$4,TF_Dato,$A1036))*2,0)/2)))</f>
        <v/>
      </c>
      <c r="Z1036">
        <f>IF(OR(Z$4="",$A1036&gt;TODAY()),0,IF(OR(INDEX($B1036:$D1036,Z$5)="F",AND(Z$6&gt;0,$A1036&lt;Z$6),AND(Z$7&gt;0,$A1036&gt;Z$7)),0,MAX(0,ROUND((INDEX($E1036:$G1036,Z$5)-SUMIFS(TF_Timer,TF_Tekniker,Z$4,TF_Dato,$A1036))*2,0)/2)))</f>
        <v/>
      </c>
      <c r="AA1036">
        <f>IF(OR(AA$4="",$A1036&gt;TODAY()),0,IF(OR(INDEX($B1036:$D1036,AA$5)="F",AND(AA$6&gt;0,$A1036&lt;AA$6),AND(AA$7&gt;0,$A1036&gt;AA$7)),0,MAX(0,ROUND((INDEX($E1036:$G1036,AA$5)-SUMIFS(TF_Timer,TF_Tekniker,AA$4,TF_Dato,$A1036))*2,0)/2)))</f>
        <v/>
      </c>
      <c r="AB1036">
        <f>IF(OR(AB$4="",$A1036&gt;TODAY()),0,IF(OR(INDEX($B1036:$D1036,AB$5)="F",AND(AB$6&gt;0,$A1036&lt;AB$6),AND(AB$7&gt;0,$A1036&gt;AB$7)),0,MAX(0,ROUND((INDEX($E1036:$G1036,AB$5)-SUMIFS(TF_Timer,TF_Tekniker,AB$4,TF_Dato,$A1036))*2,0)/2)))</f>
        <v/>
      </c>
      <c r="AC1036">
        <f>IF(OR(AC$4="",$A1036&gt;TODAY()),0,IF(OR(INDEX($B1036:$D1036,AC$5)="F",AND(AC$6&gt;0,$A1036&lt;AC$6),AND(AC$7&gt;0,$A1036&gt;AC$7)),0,MAX(0,ROUND((INDEX($E1036:$G1036,AC$5)-SUMIFS(TF_Timer,TF_Tekniker,AC$4,TF_Dato,$A1036))*2,0)/2)))</f>
        <v/>
      </c>
      <c r="AD1036">
        <f>IF(OR(AD$4="",$A1036&gt;TODAY()),0,IF(OR(INDEX($B1036:$D1036,AD$5)="F",AND(AD$6&gt;0,$A1036&lt;AD$6),AND(AD$7&gt;0,$A1036&gt;AD$7)),0,MAX(0,ROUND((INDEX($E1036:$G1036,AD$5)-SUMIFS(TF_Timer,TF_Tekniker,AD$4,TF_Dato,$A1036))*2,0)/2)))</f>
        <v/>
      </c>
      <c r="AE1036">
        <f>IF(OR(AE$4="",$A1036&gt;TODAY()),0,IF(OR(INDEX($B1036:$D1036,AE$5)="F",AND(AE$6&gt;0,$A1036&lt;AE$6),AND(AE$7&gt;0,$A1036&gt;AE$7)),0,MAX(0,ROUND((INDEX($E1036:$G1036,AE$5)-SUMIFS(TF_Timer,TF_Tekniker,AE$4,TF_Dato,$A1036))*2,0)/2)))</f>
        <v/>
      </c>
      <c r="AF1036">
        <f>IF(OR(AF$4="",$A1036&gt;TODAY()),0,IF(OR(INDEX($B1036:$D1036,AF$5)="F",AND(AF$6&gt;0,$A1036&lt;AF$6),AND(AF$7&gt;0,$A1036&gt;AF$7)),0,MAX(0,ROUND((INDEX($E1036:$G1036,AF$5)-SUMIFS(TF_Timer,TF_Tekniker,AF$4,TF_Dato,$A1036))*2,0)/2)))</f>
        <v/>
      </c>
      <c r="AG1036">
        <f>IF(OR(AG$4="",$A1036&gt;TODAY()),0,IF(OR(INDEX($B1036:$D1036,AG$5)="F",AND(AG$6&gt;0,$A1036&lt;AG$6),AND(AG$7&gt;0,$A1036&gt;AG$7)),0,MAX(0,ROUND((INDEX($E1036:$G1036,AG$5)-SUMIFS(TF_Timer,TF_Tekniker,AG$4,TF_Dato,$A1036))*2,0)/2)))</f>
        <v/>
      </c>
      <c r="AH1036">
        <f>IF(OR(AH$4="",$A1036&gt;TODAY()),0,IF(OR(INDEX($B1036:$D1036,AH$5)="F",AND(AH$6&gt;0,$A1036&lt;AH$6),AND(AH$7&gt;0,$A1036&gt;AH$7)),0,MAX(0,ROUND((INDEX($E1036:$G1036,AH$5)-SUMIFS(TF_Timer,TF_Tekniker,AH$4,TF_Dato,$A1036))*2,0)/2)))</f>
        <v/>
      </c>
      <c r="AI1036">
        <f>IF(OR(AI$4="",$A1036&gt;TODAY()),0,IF(OR(INDEX($B1036:$D1036,AI$5)="F",AND(AI$6&gt;0,$A1036&lt;AI$6),AND(AI$7&gt;0,$A1036&gt;AI$7)),0,MAX(0,ROUND((INDEX($E1036:$G1036,AI$5)-SUMIFS(TF_Timer,TF_Tekniker,AI$4,TF_Dato,$A1036))*2,0)/2)))</f>
        <v/>
      </c>
      <c r="AJ1036">
        <f>IF(OR(AJ$4="",$A1036&gt;TODAY()),0,IF(OR(INDEX($B1036:$D1036,AJ$5)="F",AND(AJ$6&gt;0,$A1036&lt;AJ$6),AND(AJ$7&gt;0,$A1036&gt;AJ$7)),0,MAX(0,ROUND((INDEX($E1036:$G1036,AJ$5)-SUMIFS(TF_Timer,TF_Tekniker,AJ$4,TF_Dato,$A1036))*2,0)/2)))</f>
        <v/>
      </c>
      <c r="AK1036">
        <f>IF(OR(AK$4="",$A1036&gt;TODAY()),0,IF(OR(INDEX($B1036:$D1036,AK$5)="F",AND(AK$6&gt;0,$A1036&lt;AK$6),AND(AK$7&gt;0,$A1036&gt;AK$7)),0,MAX(0,ROUND((INDEX($E1036:$G1036,AK$5)-SUMIFS(TF_Timer,TF_Tekniker,AK$4,TF_Dato,$A1036))*2,0)/2)))</f>
        <v/>
      </c>
      <c r="AL1036">
        <f>IF(OR(AL$4="",$A1036&gt;TODAY()),0,IF(OR(INDEX($B1036:$D1036,AL$5)="F",AND(AL$6&gt;0,$A1036&lt;AL$6),AND(AL$7&gt;0,$A1036&gt;AL$7)),0,MAX(0,ROUND((INDEX($E1036:$G1036,AL$5)-SUMIFS(TF_Timer,TF_Tekniker,AL$4,TF_Dato,$A1036))*2,0)/2)))</f>
        <v/>
      </c>
      <c r="AM1036">
        <f>IF(OR(AM$4="",$A1036&gt;TODAY()),0,IF(OR(INDEX($B1036:$D1036,AM$5)="F",AND(AM$6&gt;0,$A1036&lt;AM$6),AND(AM$7&gt;0,$A1036&gt;AM$7)),0,MAX(0,ROUND((INDEX($E1036:$G1036,AM$5)-SUMIFS(TF_Timer,TF_Tekniker,AM$4,TF_Dato,$A1036))*2,0)/2)))</f>
        <v/>
      </c>
      <c r="AN1036">
        <f>IF(OR(AN$4="",$A1036&gt;TODAY()),0,IF(OR(INDEX($B1036:$D1036,AN$5)="F",AND(AN$6&gt;0,$A1036&lt;AN$6),AND(AN$7&gt;0,$A1036&gt;AN$7)),0,MAX(0,ROUND((INDEX($E1036:$G1036,AN$5)-SUMIFS(TF_Timer,TF_Tekniker,AN$4,TF_Dato,$A1036))*2,0)/2)))</f>
        <v/>
      </c>
      <c r="AO1036">
        <f>IF(OR(AO$4="",$A1036&gt;TODAY()),0,IF(OR(INDEX($B1036:$D1036,AO$5)="F",AND(AO$6&gt;0,$A1036&lt;AO$6),AND(AO$7&gt;0,$A1036&gt;AO$7)),0,MAX(0,ROUND((INDEX($E1036:$G1036,AO$5)-SUMIFS(TF_Timer,TF_Tekniker,AO$4,TF_Dato,$A1036))*2,0)/2)))</f>
        <v/>
      </c>
      <c r="AP1036">
        <f>IF(OR(AP$4="",$A1036&gt;TODAY()),0,IF(OR(INDEX($B1036:$D1036,AP$5)="F",AND(AP$6&gt;0,$A1036&lt;AP$6),AND(AP$7&gt;0,$A1036&gt;AP$7)),0,MAX(0,ROUND((INDEX($E1036:$G1036,AP$5)-SUMIFS(TF_Timer,TF_Tekniker,AP$4,TF_Dato,$A1036))*2,0)/2)))</f>
        <v/>
      </c>
      <c r="AQ1036">
        <f>IF(OR(AQ$4="",$A1036&gt;TODAY()),0,IF(OR(INDEX($B1036:$D1036,AQ$5)="F",AND(AQ$6&gt;0,$A1036&lt;AQ$6),AND(AQ$7&gt;0,$A1036&gt;AQ$7)),0,MAX(0,ROUND((INDEX($E1036:$G1036,AQ$5)-SUMIFS(TF_Timer,TF_Tekniker,AQ$4,TF_Dato,$A1036))*2,0)/2)))</f>
        <v/>
      </c>
      <c r="AR1036">
        <f>IF(OR(AR$4="",$A1036&gt;TODAY()),0,IF(OR(INDEX($B1036:$D1036,AR$5)="F",AND(AR$6&gt;0,$A1036&lt;AR$6),AND(AR$7&gt;0,$A1036&gt;AR$7)),0,MAX(0,ROUND((INDEX($E1036:$G1036,AR$5)-SUMIFS(TF_Timer,TF_Tekniker,AR$4,TF_Dato,$A1036))*2,0)/2)))</f>
        <v/>
      </c>
      <c r="AS1036">
        <f>IF(OR(AS$4="",$A1036&gt;TODAY()),0,IF(OR(INDEX($B1036:$D1036,AS$5)="F",AND(AS$6&gt;0,$A1036&lt;AS$6),AND(AS$7&gt;0,$A1036&gt;AS$7)),0,MAX(0,ROUND((INDEX($E1036:$G1036,AS$5)-SUMIFS(TF_Timer,TF_Tekniker,AS$4,TF_Dato,$A1036))*2,0)/2)))</f>
        <v/>
      </c>
      <c r="AT1036">
        <f>IF(OR(AT$4="",$A1036&gt;TODAY()),0,IF(OR(INDEX($B1036:$D1036,AT$5)="F",AND(AT$6&gt;0,$A1036&lt;AT$6),AND(AT$7&gt;0,$A1036&gt;AT$7)),0,MAX(0,ROUND((INDEX($E1036:$G1036,AT$5)-SUMIFS(TF_Timer,TF_Tekniker,AT$4,TF_Dato,$A1036))*2,0)/2)))</f>
        <v/>
      </c>
      <c r="AU1036">
        <f>IF(OR(AU$4="",$A1036&gt;TODAY()),0,IF(OR(INDEX($B1036:$D1036,AU$5)="F",AND(AU$6&gt;0,$A1036&lt;AU$6),AND(AU$7&gt;0,$A1036&gt;AU$7)),0,MAX(0,ROUND((INDEX($E1036:$G1036,AU$5)-SUMIFS(TF_Timer,TF_Tekniker,AU$4,TF_Dato,$A1036))*2,0)/2)))</f>
        <v/>
      </c>
      <c r="AV1036">
        <f>IF(OR(AV$4="",$A1036&gt;TODAY()),0,IF(OR(INDEX($B1036:$D1036,AV$5)="F",AND(AV$6&gt;0,$A1036&lt;AV$6),AND(AV$7&gt;0,$A1036&gt;AV$7)),0,MAX(0,ROUND((INDEX($E1036:$G1036,AV$5)-SUMIFS(TF_Timer,TF_Tekniker,AV$4,TF_Dato,$A1036))*2,0)/2)))</f>
        <v/>
      </c>
      <c r="AW1036">
        <f>IF(OR(AW$4="",$A1036&gt;TODAY()),0,IF(OR(INDEX($B1036:$D1036,AW$5)="F",AND(AW$6&gt;0,$A1036&lt;AW$6),AND(AW$7&gt;0,$A1036&gt;AW$7)),0,MAX(0,ROUND((INDEX($E1036:$G1036,AW$5)-SUMIFS(TF_Timer,TF_Tekniker,AW$4,TF_Dato,$A1036))*2,0)/2)))</f>
        <v/>
      </c>
      <c r="AX1036">
        <f>IF(OR(AX$4="",$A1036&gt;TODAY()),0,IF(OR(INDEX($B1036:$D1036,AX$5)="F",AND(AX$6&gt;0,$A1036&lt;AX$6),AND(AX$7&gt;0,$A1036&gt;AX$7)),0,MAX(0,ROUND((INDEX($E1036:$G1036,AX$5)-SUMIFS(TF_Timer,TF_Tekniker,AX$4,TF_Dato,$A1036))*2,0)/2)))</f>
        <v/>
      </c>
      <c r="AY1036">
        <f>IF(OR(AY$4="",$A1036&gt;TODAY()),0,IF(OR(INDEX($B1036:$D1036,AY$5)="F",AND(AY$6&gt;0,$A1036&lt;AY$6),AND(AY$7&gt;0,$A1036&gt;AY$7)),0,MAX(0,ROUND((INDEX($E1036:$G1036,AY$5)-SUMIFS(TF_Timer,TF_Tekniker,AY$4,TF_Dato,$A1036))*2,0)/2)))</f>
        <v/>
      </c>
      <c r="AZ1036">
        <f>IF(OR(AZ$4="",$A1036&gt;TODAY()),0,IF(OR(INDEX($B1036:$D1036,AZ$5)="F",AND(AZ$6&gt;0,$A1036&lt;AZ$6),AND(AZ$7&gt;0,$A1036&gt;AZ$7)),0,MAX(0,ROUND((INDEX($E1036:$G1036,AZ$5)-SUMIFS(TF_Timer,TF_Tekniker,AZ$4,TF_Dato,$A1036))*2,0)/2)))</f>
        <v/>
      </c>
      <c r="BA1036">
        <f>IF(OR(BA$4="",$A1036&gt;TODAY()),0,IF(OR(INDEX($B1036:$D1036,BA$5)="F",AND(BA$6&gt;0,$A1036&lt;BA$6),AND(BA$7&gt;0,$A1036&gt;BA$7)),0,MAX(0,ROUND((INDEX($E1036:$G1036,BA$5)-SUMIFS(TF_Timer,TF_Tekniker,BA$4,TF_Dato,$A1036))*2,0)/2)))</f>
        <v/>
      </c>
      <c r="BB1036">
        <f>IF(OR(BB$4="",$A1036&gt;TODAY()),0,IF(OR(INDEX($B1036:$D1036,BB$5)="F",AND(BB$6&gt;0,$A1036&lt;BB$6),AND(BB$7&gt;0,$A1036&gt;BB$7)),0,MAX(0,ROUND((INDEX($E1036:$G1036,BB$5)-SUMIFS(TF_Timer,TF_Tekniker,BB$4,TF_Dato,$A1036))*2,0)/2)))</f>
        <v/>
      </c>
      <c r="BC1036">
        <f>IF(OR(BC$4="",$A1036&gt;TODAY()),0,IF(OR(INDEX($B1036:$D1036,BC$5)="F",AND(BC$6&gt;0,$A1036&lt;BC$6),AND(BC$7&gt;0,$A1036&gt;BC$7)),0,MAX(0,ROUND((INDEX($E1036:$G1036,BC$5)-SUMIFS(TF_Timer,TF_Tekniker,BC$4,TF_Dato,$A1036))*2,0)/2)))</f>
        <v/>
      </c>
      <c r="BD1036">
        <f>IF(OR(BD$4="",$A1036&gt;TODAY()),0,IF(OR(INDEX($B1036:$D1036,BD$5)="F",AND(BD$6&gt;0,$A1036&lt;BD$6),AND(BD$7&gt;0,$A1036&gt;BD$7)),0,MAX(0,ROUND((INDEX($E1036:$G1036,BD$5)-SUMIFS(TF_Timer,TF_Tekniker,BD$4,TF_Dato,$A1036))*2,0)/2)))</f>
        <v/>
      </c>
      <c r="BE1036">
        <f>IF(OR(BE$4="",$A1036&gt;TODAY()),0,IF(OR(INDEX($B1036:$D1036,BE$5)="F",AND(BE$6&gt;0,$A1036&lt;BE$6),AND(BE$7&gt;0,$A1036&gt;BE$7)),0,MAX(0,ROUND((INDEX($E1036:$G1036,BE$5)-SUMIFS(TF_Timer,TF_Tekniker,BE$4,TF_Dato,$A1036))*2,0)/2)))</f>
        <v/>
      </c>
      <c r="BF1036">
        <f>IF(OR(BF$4="",$A1036&gt;TODAY()),0,IF(OR(INDEX($B1036:$D1036,BF$5)="F",AND(BF$6&gt;0,$A1036&lt;BF$6),AND(BF$7&gt;0,$A1036&gt;BF$7)),0,MAX(0,ROUND((INDEX($E1036:$G1036,BF$5)-SUMIFS(TF_Timer,TF_Tekniker,BF$4,TF_Dato,$A1036))*2,0)/2)))</f>
        <v/>
      </c>
      <c r="BG1036">
        <f>IF(OR(BG$4="",$A1036&gt;TODAY()),0,IF(OR(INDEX($B1036:$D1036,BG$5)="F",AND(BG$6&gt;0,$A1036&lt;BG$6),AND(BG$7&gt;0,$A1036&gt;BG$7)),0,MAX(0,ROUND((INDEX($E1036:$G1036,BG$5)-SUMIFS(TF_Timer,TF_Tekniker,BG$4,TF_Dato,$A1036))*2,0)/2)))</f>
        <v/>
      </c>
      <c r="BH1036">
        <f>IF(OR(BH$4="",$A1036&gt;TODAY()),0,IF(OR(INDEX($B1036:$D1036,BH$5)="F",AND(BH$6&gt;0,$A1036&lt;BH$6),AND(BH$7&gt;0,$A1036&gt;BH$7)),0,MAX(0,ROUND((INDEX($E1036:$G1036,BH$5)-SUMIFS(TF_Timer,TF_Tekniker,BH$4,TF_Dato,$A1036))*2,0)/2)))</f>
        <v/>
      </c>
      <c r="BI1036">
        <f>IF(OR(BI$4="",$A1036&gt;TODAY()),0,IF(OR(INDEX($B1036:$D1036,BI$5)="F",AND(BI$6&gt;0,$A1036&lt;BI$6),AND(BI$7&gt;0,$A1036&gt;BI$7)),0,MAX(0,ROUND((INDEX($E1036:$G1036,BI$5)-SUMIFS(TF_Timer,TF_Tekniker,BI$4,TF_Dato,$A1036))*2,0)/2)))</f>
        <v/>
      </c>
    </row>
    <row r="1037">
      <c r="A1037" s="64">
        <f>A1036+1</f>
        <v/>
      </c>
      <c r="B1037">
        <f>IF(MOD($A1037-INDEX(SkiftStart,1),Syklus)&lt;DagK,"K",IF(MOD($A1037-INDEX(SkiftStart,1),Syklus)&lt;DagK+DagH,"H",IF(MOD($A1037-INDEX(SkiftStart,1),Syklus)&lt;DagK+DagH+DagD,"D","F")))</f>
        <v/>
      </c>
      <c r="C1037">
        <f>IF(MOD($A1037-INDEX(SkiftStart,2),Syklus)&lt;DagK,"K",IF(MOD($A1037-INDEX(SkiftStart,2),Syklus)&lt;DagK+DagH,"H",IF(MOD($A1037-INDEX(SkiftStart,2),Syklus)&lt;DagK+DagH+DagD,"D","F")))</f>
        <v/>
      </c>
      <c r="D1037">
        <f>IF(MOD($A1037-INDEX(SkiftStart,3),Syklus)&lt;DagK,"K",IF(MOD($A1037-INDEX(SkiftStart,3),Syklus)&lt;DagK+DagH,"H",IF(MOD($A1037-INDEX(SkiftStart,3),Syklus)&lt;DagK+DagH+DagD,"D","F")))</f>
        <v/>
      </c>
      <c r="E1037">
        <f>IF(B1037="F",0,IF(WEEKDAY($A1037,2)=5,INDEX(TimerFr,MATCH(B1037,FaseKode,0)),INDEX(TimerMT,MATCH(B1037,FaseKode,0))))</f>
        <v/>
      </c>
      <c r="F1037">
        <f>IF(C1037="F",0,IF(WEEKDAY($A1037,2)=5,INDEX(TimerFr,MATCH(C1037,FaseKode,0)),INDEX(TimerMT,MATCH(C1037,FaseKode,0))))</f>
        <v/>
      </c>
      <c r="G1037">
        <f>IF(D1037="F",0,IF(WEEKDAY($A1037,2)=5,INDEX(TimerFr,MATCH(D1037,FaseKode,0)),INDEX(TimerMT,MATCH(D1037,FaseKode,0))))</f>
        <v/>
      </c>
      <c r="H1037">
        <f>IF(OR(H$4="",$A1037&gt;TODAY()),0,IF(OR(INDEX($B1037:$D1037,H$5)="F",AND(H$6&gt;0,$A1037&lt;H$6),AND(H$7&gt;0,$A1037&gt;H$7)),0,MAX(0,ROUND((INDEX($E1037:$G1037,H$5)-SUMIFS(TF_Timer,TF_Tekniker,H$4,TF_Dato,$A1037))*2,0)/2)))</f>
        <v/>
      </c>
      <c r="I1037">
        <f>IF(OR(I$4="",$A1037&gt;TODAY()),0,IF(OR(INDEX($B1037:$D1037,I$5)="F",AND(I$6&gt;0,$A1037&lt;I$6),AND(I$7&gt;0,$A1037&gt;I$7)),0,MAX(0,ROUND((INDEX($E1037:$G1037,I$5)-SUMIFS(TF_Timer,TF_Tekniker,I$4,TF_Dato,$A1037))*2,0)/2)))</f>
        <v/>
      </c>
      <c r="J1037">
        <f>IF(OR(J$4="",$A1037&gt;TODAY()),0,IF(OR(INDEX($B1037:$D1037,J$5)="F",AND(J$6&gt;0,$A1037&lt;J$6),AND(J$7&gt;0,$A1037&gt;J$7)),0,MAX(0,ROUND((INDEX($E1037:$G1037,J$5)-SUMIFS(TF_Timer,TF_Tekniker,J$4,TF_Dato,$A1037))*2,0)/2)))</f>
        <v/>
      </c>
      <c r="K1037">
        <f>IF(OR(K$4="",$A1037&gt;TODAY()),0,IF(OR(INDEX($B1037:$D1037,K$5)="F",AND(K$6&gt;0,$A1037&lt;K$6),AND(K$7&gt;0,$A1037&gt;K$7)),0,MAX(0,ROUND((INDEX($E1037:$G1037,K$5)-SUMIFS(TF_Timer,TF_Tekniker,K$4,TF_Dato,$A1037))*2,0)/2)))</f>
        <v/>
      </c>
      <c r="L1037">
        <f>IF(OR(L$4="",$A1037&gt;TODAY()),0,IF(OR(INDEX($B1037:$D1037,L$5)="F",AND(L$6&gt;0,$A1037&lt;L$6),AND(L$7&gt;0,$A1037&gt;L$7)),0,MAX(0,ROUND((INDEX($E1037:$G1037,L$5)-SUMIFS(TF_Timer,TF_Tekniker,L$4,TF_Dato,$A1037))*2,0)/2)))</f>
        <v/>
      </c>
      <c r="M1037">
        <f>IF(OR(M$4="",$A1037&gt;TODAY()),0,IF(OR(INDEX($B1037:$D1037,M$5)="F",AND(M$6&gt;0,$A1037&lt;M$6),AND(M$7&gt;0,$A1037&gt;M$7)),0,MAX(0,ROUND((INDEX($E1037:$G1037,M$5)-SUMIFS(TF_Timer,TF_Tekniker,M$4,TF_Dato,$A1037))*2,0)/2)))</f>
        <v/>
      </c>
      <c r="N1037">
        <f>IF(OR(N$4="",$A1037&gt;TODAY()),0,IF(OR(INDEX($B1037:$D1037,N$5)="F",AND(N$6&gt;0,$A1037&lt;N$6),AND(N$7&gt;0,$A1037&gt;N$7)),0,MAX(0,ROUND((INDEX($E1037:$G1037,N$5)-SUMIFS(TF_Timer,TF_Tekniker,N$4,TF_Dato,$A1037))*2,0)/2)))</f>
        <v/>
      </c>
      <c r="O1037">
        <f>IF(OR(O$4="",$A1037&gt;TODAY()),0,IF(OR(INDEX($B1037:$D1037,O$5)="F",AND(O$6&gt;0,$A1037&lt;O$6),AND(O$7&gt;0,$A1037&gt;O$7)),0,MAX(0,ROUND((INDEX($E1037:$G1037,O$5)-SUMIFS(TF_Timer,TF_Tekniker,O$4,TF_Dato,$A1037))*2,0)/2)))</f>
        <v/>
      </c>
      <c r="P1037">
        <f>IF(OR(P$4="",$A1037&gt;TODAY()),0,IF(OR(INDEX($B1037:$D1037,P$5)="F",AND(P$6&gt;0,$A1037&lt;P$6),AND(P$7&gt;0,$A1037&gt;P$7)),0,MAX(0,ROUND((INDEX($E1037:$G1037,P$5)-SUMIFS(TF_Timer,TF_Tekniker,P$4,TF_Dato,$A1037))*2,0)/2)))</f>
        <v/>
      </c>
      <c r="Q1037">
        <f>IF(OR(Q$4="",$A1037&gt;TODAY()),0,IF(OR(INDEX($B1037:$D1037,Q$5)="F",AND(Q$6&gt;0,$A1037&lt;Q$6),AND(Q$7&gt;0,$A1037&gt;Q$7)),0,MAX(0,ROUND((INDEX($E1037:$G1037,Q$5)-SUMIFS(TF_Timer,TF_Tekniker,Q$4,TF_Dato,$A1037))*2,0)/2)))</f>
        <v/>
      </c>
      <c r="R1037">
        <f>IF(OR(R$4="",$A1037&gt;TODAY()),0,IF(OR(INDEX($B1037:$D1037,R$5)="F",AND(R$6&gt;0,$A1037&lt;R$6),AND(R$7&gt;0,$A1037&gt;R$7)),0,MAX(0,ROUND((INDEX($E1037:$G1037,R$5)-SUMIFS(TF_Timer,TF_Tekniker,R$4,TF_Dato,$A1037))*2,0)/2)))</f>
        <v/>
      </c>
      <c r="S1037">
        <f>IF(OR(S$4="",$A1037&gt;TODAY()),0,IF(OR(INDEX($B1037:$D1037,S$5)="F",AND(S$6&gt;0,$A1037&lt;S$6),AND(S$7&gt;0,$A1037&gt;S$7)),0,MAX(0,ROUND((INDEX($E1037:$G1037,S$5)-SUMIFS(TF_Timer,TF_Tekniker,S$4,TF_Dato,$A1037))*2,0)/2)))</f>
        <v/>
      </c>
      <c r="T1037">
        <f>IF(OR(T$4="",$A1037&gt;TODAY()),0,IF(OR(INDEX($B1037:$D1037,T$5)="F",AND(T$6&gt;0,$A1037&lt;T$6),AND(T$7&gt;0,$A1037&gt;T$7)),0,MAX(0,ROUND((INDEX($E1037:$G1037,T$5)-SUMIFS(TF_Timer,TF_Tekniker,T$4,TF_Dato,$A1037))*2,0)/2)))</f>
        <v/>
      </c>
      <c r="U1037">
        <f>IF(OR(U$4="",$A1037&gt;TODAY()),0,IF(OR(INDEX($B1037:$D1037,U$5)="F",AND(U$6&gt;0,$A1037&lt;U$6),AND(U$7&gt;0,$A1037&gt;U$7)),0,MAX(0,ROUND((INDEX($E1037:$G1037,U$5)-SUMIFS(TF_Timer,TF_Tekniker,U$4,TF_Dato,$A1037))*2,0)/2)))</f>
        <v/>
      </c>
      <c r="V1037">
        <f>IF(OR(V$4="",$A1037&gt;TODAY()),0,IF(OR(INDEX($B1037:$D1037,V$5)="F",AND(V$6&gt;0,$A1037&lt;V$6),AND(V$7&gt;0,$A1037&gt;V$7)),0,MAX(0,ROUND((INDEX($E1037:$G1037,V$5)-SUMIFS(TF_Timer,TF_Tekniker,V$4,TF_Dato,$A1037))*2,0)/2)))</f>
        <v/>
      </c>
      <c r="W1037">
        <f>IF(OR(W$4="",$A1037&gt;TODAY()),0,IF(OR(INDEX($B1037:$D1037,W$5)="F",AND(W$6&gt;0,$A1037&lt;W$6),AND(W$7&gt;0,$A1037&gt;W$7)),0,MAX(0,ROUND((INDEX($E1037:$G1037,W$5)-SUMIFS(TF_Timer,TF_Tekniker,W$4,TF_Dato,$A1037))*2,0)/2)))</f>
        <v/>
      </c>
      <c r="X1037">
        <f>IF(OR(X$4="",$A1037&gt;TODAY()),0,IF(OR(INDEX($B1037:$D1037,X$5)="F",AND(X$6&gt;0,$A1037&lt;X$6),AND(X$7&gt;0,$A1037&gt;X$7)),0,MAX(0,ROUND((INDEX($E1037:$G1037,X$5)-SUMIFS(TF_Timer,TF_Tekniker,X$4,TF_Dato,$A1037))*2,0)/2)))</f>
        <v/>
      </c>
      <c r="Y1037">
        <f>IF(OR(Y$4="",$A1037&gt;TODAY()),0,IF(OR(INDEX($B1037:$D1037,Y$5)="F",AND(Y$6&gt;0,$A1037&lt;Y$6),AND(Y$7&gt;0,$A1037&gt;Y$7)),0,MAX(0,ROUND((INDEX($E1037:$G1037,Y$5)-SUMIFS(TF_Timer,TF_Tekniker,Y$4,TF_Dato,$A1037))*2,0)/2)))</f>
        <v/>
      </c>
      <c r="Z1037">
        <f>IF(OR(Z$4="",$A1037&gt;TODAY()),0,IF(OR(INDEX($B1037:$D1037,Z$5)="F",AND(Z$6&gt;0,$A1037&lt;Z$6),AND(Z$7&gt;0,$A1037&gt;Z$7)),0,MAX(0,ROUND((INDEX($E1037:$G1037,Z$5)-SUMIFS(TF_Timer,TF_Tekniker,Z$4,TF_Dato,$A1037))*2,0)/2)))</f>
        <v/>
      </c>
      <c r="AA1037">
        <f>IF(OR(AA$4="",$A1037&gt;TODAY()),0,IF(OR(INDEX($B1037:$D1037,AA$5)="F",AND(AA$6&gt;0,$A1037&lt;AA$6),AND(AA$7&gt;0,$A1037&gt;AA$7)),0,MAX(0,ROUND((INDEX($E1037:$G1037,AA$5)-SUMIFS(TF_Timer,TF_Tekniker,AA$4,TF_Dato,$A1037))*2,0)/2)))</f>
        <v/>
      </c>
      <c r="AB1037">
        <f>IF(OR(AB$4="",$A1037&gt;TODAY()),0,IF(OR(INDEX($B1037:$D1037,AB$5)="F",AND(AB$6&gt;0,$A1037&lt;AB$6),AND(AB$7&gt;0,$A1037&gt;AB$7)),0,MAX(0,ROUND((INDEX($E1037:$G1037,AB$5)-SUMIFS(TF_Timer,TF_Tekniker,AB$4,TF_Dato,$A1037))*2,0)/2)))</f>
        <v/>
      </c>
      <c r="AC1037">
        <f>IF(OR(AC$4="",$A1037&gt;TODAY()),0,IF(OR(INDEX($B1037:$D1037,AC$5)="F",AND(AC$6&gt;0,$A1037&lt;AC$6),AND(AC$7&gt;0,$A1037&gt;AC$7)),0,MAX(0,ROUND((INDEX($E1037:$G1037,AC$5)-SUMIFS(TF_Timer,TF_Tekniker,AC$4,TF_Dato,$A1037))*2,0)/2)))</f>
        <v/>
      </c>
      <c r="AD1037">
        <f>IF(OR(AD$4="",$A1037&gt;TODAY()),0,IF(OR(INDEX($B1037:$D1037,AD$5)="F",AND(AD$6&gt;0,$A1037&lt;AD$6),AND(AD$7&gt;0,$A1037&gt;AD$7)),0,MAX(0,ROUND((INDEX($E1037:$G1037,AD$5)-SUMIFS(TF_Timer,TF_Tekniker,AD$4,TF_Dato,$A1037))*2,0)/2)))</f>
        <v/>
      </c>
      <c r="AE1037">
        <f>IF(OR(AE$4="",$A1037&gt;TODAY()),0,IF(OR(INDEX($B1037:$D1037,AE$5)="F",AND(AE$6&gt;0,$A1037&lt;AE$6),AND(AE$7&gt;0,$A1037&gt;AE$7)),0,MAX(0,ROUND((INDEX($E1037:$G1037,AE$5)-SUMIFS(TF_Timer,TF_Tekniker,AE$4,TF_Dato,$A1037))*2,0)/2)))</f>
        <v/>
      </c>
      <c r="AF1037">
        <f>IF(OR(AF$4="",$A1037&gt;TODAY()),0,IF(OR(INDEX($B1037:$D1037,AF$5)="F",AND(AF$6&gt;0,$A1037&lt;AF$6),AND(AF$7&gt;0,$A1037&gt;AF$7)),0,MAX(0,ROUND((INDEX($E1037:$G1037,AF$5)-SUMIFS(TF_Timer,TF_Tekniker,AF$4,TF_Dato,$A1037))*2,0)/2)))</f>
        <v/>
      </c>
      <c r="AG1037">
        <f>IF(OR(AG$4="",$A1037&gt;TODAY()),0,IF(OR(INDEX($B1037:$D1037,AG$5)="F",AND(AG$6&gt;0,$A1037&lt;AG$6),AND(AG$7&gt;0,$A1037&gt;AG$7)),0,MAX(0,ROUND((INDEX($E1037:$G1037,AG$5)-SUMIFS(TF_Timer,TF_Tekniker,AG$4,TF_Dato,$A1037))*2,0)/2)))</f>
        <v/>
      </c>
      <c r="AH1037">
        <f>IF(OR(AH$4="",$A1037&gt;TODAY()),0,IF(OR(INDEX($B1037:$D1037,AH$5)="F",AND(AH$6&gt;0,$A1037&lt;AH$6),AND(AH$7&gt;0,$A1037&gt;AH$7)),0,MAX(0,ROUND((INDEX($E1037:$G1037,AH$5)-SUMIFS(TF_Timer,TF_Tekniker,AH$4,TF_Dato,$A1037))*2,0)/2)))</f>
        <v/>
      </c>
      <c r="AI1037">
        <f>IF(OR(AI$4="",$A1037&gt;TODAY()),0,IF(OR(INDEX($B1037:$D1037,AI$5)="F",AND(AI$6&gt;0,$A1037&lt;AI$6),AND(AI$7&gt;0,$A1037&gt;AI$7)),0,MAX(0,ROUND((INDEX($E1037:$G1037,AI$5)-SUMIFS(TF_Timer,TF_Tekniker,AI$4,TF_Dato,$A1037))*2,0)/2)))</f>
        <v/>
      </c>
      <c r="AJ1037">
        <f>IF(OR(AJ$4="",$A1037&gt;TODAY()),0,IF(OR(INDEX($B1037:$D1037,AJ$5)="F",AND(AJ$6&gt;0,$A1037&lt;AJ$6),AND(AJ$7&gt;0,$A1037&gt;AJ$7)),0,MAX(0,ROUND((INDEX($E1037:$G1037,AJ$5)-SUMIFS(TF_Timer,TF_Tekniker,AJ$4,TF_Dato,$A1037))*2,0)/2)))</f>
        <v/>
      </c>
      <c r="AK1037">
        <f>IF(OR(AK$4="",$A1037&gt;TODAY()),0,IF(OR(INDEX($B1037:$D1037,AK$5)="F",AND(AK$6&gt;0,$A1037&lt;AK$6),AND(AK$7&gt;0,$A1037&gt;AK$7)),0,MAX(0,ROUND((INDEX($E1037:$G1037,AK$5)-SUMIFS(TF_Timer,TF_Tekniker,AK$4,TF_Dato,$A1037))*2,0)/2)))</f>
        <v/>
      </c>
      <c r="AL1037">
        <f>IF(OR(AL$4="",$A1037&gt;TODAY()),0,IF(OR(INDEX($B1037:$D1037,AL$5)="F",AND(AL$6&gt;0,$A1037&lt;AL$6),AND(AL$7&gt;0,$A1037&gt;AL$7)),0,MAX(0,ROUND((INDEX($E1037:$G1037,AL$5)-SUMIFS(TF_Timer,TF_Tekniker,AL$4,TF_Dato,$A1037))*2,0)/2)))</f>
        <v/>
      </c>
      <c r="AM1037">
        <f>IF(OR(AM$4="",$A1037&gt;TODAY()),0,IF(OR(INDEX($B1037:$D1037,AM$5)="F",AND(AM$6&gt;0,$A1037&lt;AM$6),AND(AM$7&gt;0,$A1037&gt;AM$7)),0,MAX(0,ROUND((INDEX($E1037:$G1037,AM$5)-SUMIFS(TF_Timer,TF_Tekniker,AM$4,TF_Dato,$A1037))*2,0)/2)))</f>
        <v/>
      </c>
      <c r="AN1037">
        <f>IF(OR(AN$4="",$A1037&gt;TODAY()),0,IF(OR(INDEX($B1037:$D1037,AN$5)="F",AND(AN$6&gt;0,$A1037&lt;AN$6),AND(AN$7&gt;0,$A1037&gt;AN$7)),0,MAX(0,ROUND((INDEX($E1037:$G1037,AN$5)-SUMIFS(TF_Timer,TF_Tekniker,AN$4,TF_Dato,$A1037))*2,0)/2)))</f>
        <v/>
      </c>
      <c r="AO1037">
        <f>IF(OR(AO$4="",$A1037&gt;TODAY()),0,IF(OR(INDEX($B1037:$D1037,AO$5)="F",AND(AO$6&gt;0,$A1037&lt;AO$6),AND(AO$7&gt;0,$A1037&gt;AO$7)),0,MAX(0,ROUND((INDEX($E1037:$G1037,AO$5)-SUMIFS(TF_Timer,TF_Tekniker,AO$4,TF_Dato,$A1037))*2,0)/2)))</f>
        <v/>
      </c>
      <c r="AP1037">
        <f>IF(OR(AP$4="",$A1037&gt;TODAY()),0,IF(OR(INDEX($B1037:$D1037,AP$5)="F",AND(AP$6&gt;0,$A1037&lt;AP$6),AND(AP$7&gt;0,$A1037&gt;AP$7)),0,MAX(0,ROUND((INDEX($E1037:$G1037,AP$5)-SUMIFS(TF_Timer,TF_Tekniker,AP$4,TF_Dato,$A1037))*2,0)/2)))</f>
        <v/>
      </c>
      <c r="AQ1037">
        <f>IF(OR(AQ$4="",$A1037&gt;TODAY()),0,IF(OR(INDEX($B1037:$D1037,AQ$5)="F",AND(AQ$6&gt;0,$A1037&lt;AQ$6),AND(AQ$7&gt;0,$A1037&gt;AQ$7)),0,MAX(0,ROUND((INDEX($E1037:$G1037,AQ$5)-SUMIFS(TF_Timer,TF_Tekniker,AQ$4,TF_Dato,$A1037))*2,0)/2)))</f>
        <v/>
      </c>
      <c r="AR1037">
        <f>IF(OR(AR$4="",$A1037&gt;TODAY()),0,IF(OR(INDEX($B1037:$D1037,AR$5)="F",AND(AR$6&gt;0,$A1037&lt;AR$6),AND(AR$7&gt;0,$A1037&gt;AR$7)),0,MAX(0,ROUND((INDEX($E1037:$G1037,AR$5)-SUMIFS(TF_Timer,TF_Tekniker,AR$4,TF_Dato,$A1037))*2,0)/2)))</f>
        <v/>
      </c>
      <c r="AS1037">
        <f>IF(OR(AS$4="",$A1037&gt;TODAY()),0,IF(OR(INDEX($B1037:$D1037,AS$5)="F",AND(AS$6&gt;0,$A1037&lt;AS$6),AND(AS$7&gt;0,$A1037&gt;AS$7)),0,MAX(0,ROUND((INDEX($E1037:$G1037,AS$5)-SUMIFS(TF_Timer,TF_Tekniker,AS$4,TF_Dato,$A1037))*2,0)/2)))</f>
        <v/>
      </c>
      <c r="AT1037">
        <f>IF(OR(AT$4="",$A1037&gt;TODAY()),0,IF(OR(INDEX($B1037:$D1037,AT$5)="F",AND(AT$6&gt;0,$A1037&lt;AT$6),AND(AT$7&gt;0,$A1037&gt;AT$7)),0,MAX(0,ROUND((INDEX($E1037:$G1037,AT$5)-SUMIFS(TF_Timer,TF_Tekniker,AT$4,TF_Dato,$A1037))*2,0)/2)))</f>
        <v/>
      </c>
      <c r="AU1037">
        <f>IF(OR(AU$4="",$A1037&gt;TODAY()),0,IF(OR(INDEX($B1037:$D1037,AU$5)="F",AND(AU$6&gt;0,$A1037&lt;AU$6),AND(AU$7&gt;0,$A1037&gt;AU$7)),0,MAX(0,ROUND((INDEX($E1037:$G1037,AU$5)-SUMIFS(TF_Timer,TF_Tekniker,AU$4,TF_Dato,$A1037))*2,0)/2)))</f>
        <v/>
      </c>
      <c r="AV1037">
        <f>IF(OR(AV$4="",$A1037&gt;TODAY()),0,IF(OR(INDEX($B1037:$D1037,AV$5)="F",AND(AV$6&gt;0,$A1037&lt;AV$6),AND(AV$7&gt;0,$A1037&gt;AV$7)),0,MAX(0,ROUND((INDEX($E1037:$G1037,AV$5)-SUMIFS(TF_Timer,TF_Tekniker,AV$4,TF_Dato,$A1037))*2,0)/2)))</f>
        <v/>
      </c>
      <c r="AW1037">
        <f>IF(OR(AW$4="",$A1037&gt;TODAY()),0,IF(OR(INDEX($B1037:$D1037,AW$5)="F",AND(AW$6&gt;0,$A1037&lt;AW$6),AND(AW$7&gt;0,$A1037&gt;AW$7)),0,MAX(0,ROUND((INDEX($E1037:$G1037,AW$5)-SUMIFS(TF_Timer,TF_Tekniker,AW$4,TF_Dato,$A1037))*2,0)/2)))</f>
        <v/>
      </c>
      <c r="AX1037">
        <f>IF(OR(AX$4="",$A1037&gt;TODAY()),0,IF(OR(INDEX($B1037:$D1037,AX$5)="F",AND(AX$6&gt;0,$A1037&lt;AX$6),AND(AX$7&gt;0,$A1037&gt;AX$7)),0,MAX(0,ROUND((INDEX($E1037:$G1037,AX$5)-SUMIFS(TF_Timer,TF_Tekniker,AX$4,TF_Dato,$A1037))*2,0)/2)))</f>
        <v/>
      </c>
      <c r="AY1037">
        <f>IF(OR(AY$4="",$A1037&gt;TODAY()),0,IF(OR(INDEX($B1037:$D1037,AY$5)="F",AND(AY$6&gt;0,$A1037&lt;AY$6),AND(AY$7&gt;0,$A1037&gt;AY$7)),0,MAX(0,ROUND((INDEX($E1037:$G1037,AY$5)-SUMIFS(TF_Timer,TF_Tekniker,AY$4,TF_Dato,$A1037))*2,0)/2)))</f>
        <v/>
      </c>
      <c r="AZ1037">
        <f>IF(OR(AZ$4="",$A1037&gt;TODAY()),0,IF(OR(INDEX($B1037:$D1037,AZ$5)="F",AND(AZ$6&gt;0,$A1037&lt;AZ$6),AND(AZ$7&gt;0,$A1037&gt;AZ$7)),0,MAX(0,ROUND((INDEX($E1037:$G1037,AZ$5)-SUMIFS(TF_Timer,TF_Tekniker,AZ$4,TF_Dato,$A1037))*2,0)/2)))</f>
        <v/>
      </c>
      <c r="BA1037">
        <f>IF(OR(BA$4="",$A1037&gt;TODAY()),0,IF(OR(INDEX($B1037:$D1037,BA$5)="F",AND(BA$6&gt;0,$A1037&lt;BA$6),AND(BA$7&gt;0,$A1037&gt;BA$7)),0,MAX(0,ROUND((INDEX($E1037:$G1037,BA$5)-SUMIFS(TF_Timer,TF_Tekniker,BA$4,TF_Dato,$A1037))*2,0)/2)))</f>
        <v/>
      </c>
      <c r="BB1037">
        <f>IF(OR(BB$4="",$A1037&gt;TODAY()),0,IF(OR(INDEX($B1037:$D1037,BB$5)="F",AND(BB$6&gt;0,$A1037&lt;BB$6),AND(BB$7&gt;0,$A1037&gt;BB$7)),0,MAX(0,ROUND((INDEX($E1037:$G1037,BB$5)-SUMIFS(TF_Timer,TF_Tekniker,BB$4,TF_Dato,$A1037))*2,0)/2)))</f>
        <v/>
      </c>
      <c r="BC1037">
        <f>IF(OR(BC$4="",$A1037&gt;TODAY()),0,IF(OR(INDEX($B1037:$D1037,BC$5)="F",AND(BC$6&gt;0,$A1037&lt;BC$6),AND(BC$7&gt;0,$A1037&gt;BC$7)),0,MAX(0,ROUND((INDEX($E1037:$G1037,BC$5)-SUMIFS(TF_Timer,TF_Tekniker,BC$4,TF_Dato,$A1037))*2,0)/2)))</f>
        <v/>
      </c>
      <c r="BD1037">
        <f>IF(OR(BD$4="",$A1037&gt;TODAY()),0,IF(OR(INDEX($B1037:$D1037,BD$5)="F",AND(BD$6&gt;0,$A1037&lt;BD$6),AND(BD$7&gt;0,$A1037&gt;BD$7)),0,MAX(0,ROUND((INDEX($E1037:$G1037,BD$5)-SUMIFS(TF_Timer,TF_Tekniker,BD$4,TF_Dato,$A1037))*2,0)/2)))</f>
        <v/>
      </c>
      <c r="BE1037">
        <f>IF(OR(BE$4="",$A1037&gt;TODAY()),0,IF(OR(INDEX($B1037:$D1037,BE$5)="F",AND(BE$6&gt;0,$A1037&lt;BE$6),AND(BE$7&gt;0,$A1037&gt;BE$7)),0,MAX(0,ROUND((INDEX($E1037:$G1037,BE$5)-SUMIFS(TF_Timer,TF_Tekniker,BE$4,TF_Dato,$A1037))*2,0)/2)))</f>
        <v/>
      </c>
      <c r="BF1037">
        <f>IF(OR(BF$4="",$A1037&gt;TODAY()),0,IF(OR(INDEX($B1037:$D1037,BF$5)="F",AND(BF$6&gt;0,$A1037&lt;BF$6),AND(BF$7&gt;0,$A1037&gt;BF$7)),0,MAX(0,ROUND((INDEX($E1037:$G1037,BF$5)-SUMIFS(TF_Timer,TF_Tekniker,BF$4,TF_Dato,$A1037))*2,0)/2)))</f>
        <v/>
      </c>
      <c r="BG1037">
        <f>IF(OR(BG$4="",$A1037&gt;TODAY()),0,IF(OR(INDEX($B1037:$D1037,BG$5)="F",AND(BG$6&gt;0,$A1037&lt;BG$6),AND(BG$7&gt;0,$A1037&gt;BG$7)),0,MAX(0,ROUND((INDEX($E1037:$G1037,BG$5)-SUMIFS(TF_Timer,TF_Tekniker,BG$4,TF_Dato,$A1037))*2,0)/2)))</f>
        <v/>
      </c>
      <c r="BH1037">
        <f>IF(OR(BH$4="",$A1037&gt;TODAY()),0,IF(OR(INDEX($B1037:$D1037,BH$5)="F",AND(BH$6&gt;0,$A1037&lt;BH$6),AND(BH$7&gt;0,$A1037&gt;BH$7)),0,MAX(0,ROUND((INDEX($E1037:$G1037,BH$5)-SUMIFS(TF_Timer,TF_Tekniker,BH$4,TF_Dato,$A1037))*2,0)/2)))</f>
        <v/>
      </c>
      <c r="BI1037">
        <f>IF(OR(BI$4="",$A1037&gt;TODAY()),0,IF(OR(INDEX($B1037:$D1037,BI$5)="F",AND(BI$6&gt;0,$A1037&lt;BI$6),AND(BI$7&gt;0,$A1037&gt;BI$7)),0,MAX(0,ROUND((INDEX($E1037:$G1037,BI$5)-SUMIFS(TF_Timer,TF_Tekniker,BI$4,TF_Dato,$A1037))*2,0)/2)))</f>
        <v/>
      </c>
    </row>
    <row r="1038">
      <c r="A1038" s="64">
        <f>A1037+1</f>
        <v/>
      </c>
      <c r="B1038">
        <f>IF(MOD($A1038-INDEX(SkiftStart,1),Syklus)&lt;DagK,"K",IF(MOD($A1038-INDEX(SkiftStart,1),Syklus)&lt;DagK+DagH,"H",IF(MOD($A1038-INDEX(SkiftStart,1),Syklus)&lt;DagK+DagH+DagD,"D","F")))</f>
        <v/>
      </c>
      <c r="C1038">
        <f>IF(MOD($A1038-INDEX(SkiftStart,2),Syklus)&lt;DagK,"K",IF(MOD($A1038-INDEX(SkiftStart,2),Syklus)&lt;DagK+DagH,"H",IF(MOD($A1038-INDEX(SkiftStart,2),Syklus)&lt;DagK+DagH+DagD,"D","F")))</f>
        <v/>
      </c>
      <c r="D1038">
        <f>IF(MOD($A1038-INDEX(SkiftStart,3),Syklus)&lt;DagK,"K",IF(MOD($A1038-INDEX(SkiftStart,3),Syklus)&lt;DagK+DagH,"H",IF(MOD($A1038-INDEX(SkiftStart,3),Syklus)&lt;DagK+DagH+DagD,"D","F")))</f>
        <v/>
      </c>
      <c r="E1038">
        <f>IF(B1038="F",0,IF(WEEKDAY($A1038,2)=5,INDEX(TimerFr,MATCH(B1038,FaseKode,0)),INDEX(TimerMT,MATCH(B1038,FaseKode,0))))</f>
        <v/>
      </c>
      <c r="F1038">
        <f>IF(C1038="F",0,IF(WEEKDAY($A1038,2)=5,INDEX(TimerFr,MATCH(C1038,FaseKode,0)),INDEX(TimerMT,MATCH(C1038,FaseKode,0))))</f>
        <v/>
      </c>
      <c r="G1038">
        <f>IF(D1038="F",0,IF(WEEKDAY($A1038,2)=5,INDEX(TimerFr,MATCH(D1038,FaseKode,0)),INDEX(TimerMT,MATCH(D1038,FaseKode,0))))</f>
        <v/>
      </c>
      <c r="H1038">
        <f>IF(OR(H$4="",$A1038&gt;TODAY()),0,IF(OR(INDEX($B1038:$D1038,H$5)="F",AND(H$6&gt;0,$A1038&lt;H$6),AND(H$7&gt;0,$A1038&gt;H$7)),0,MAX(0,ROUND((INDEX($E1038:$G1038,H$5)-SUMIFS(TF_Timer,TF_Tekniker,H$4,TF_Dato,$A1038))*2,0)/2)))</f>
        <v/>
      </c>
      <c r="I1038">
        <f>IF(OR(I$4="",$A1038&gt;TODAY()),0,IF(OR(INDEX($B1038:$D1038,I$5)="F",AND(I$6&gt;0,$A1038&lt;I$6),AND(I$7&gt;0,$A1038&gt;I$7)),0,MAX(0,ROUND((INDEX($E1038:$G1038,I$5)-SUMIFS(TF_Timer,TF_Tekniker,I$4,TF_Dato,$A1038))*2,0)/2)))</f>
        <v/>
      </c>
      <c r="J1038">
        <f>IF(OR(J$4="",$A1038&gt;TODAY()),0,IF(OR(INDEX($B1038:$D1038,J$5)="F",AND(J$6&gt;0,$A1038&lt;J$6),AND(J$7&gt;0,$A1038&gt;J$7)),0,MAX(0,ROUND((INDEX($E1038:$G1038,J$5)-SUMIFS(TF_Timer,TF_Tekniker,J$4,TF_Dato,$A1038))*2,0)/2)))</f>
        <v/>
      </c>
      <c r="K1038">
        <f>IF(OR(K$4="",$A1038&gt;TODAY()),0,IF(OR(INDEX($B1038:$D1038,K$5)="F",AND(K$6&gt;0,$A1038&lt;K$6),AND(K$7&gt;0,$A1038&gt;K$7)),0,MAX(0,ROUND((INDEX($E1038:$G1038,K$5)-SUMIFS(TF_Timer,TF_Tekniker,K$4,TF_Dato,$A1038))*2,0)/2)))</f>
        <v/>
      </c>
      <c r="L1038">
        <f>IF(OR(L$4="",$A1038&gt;TODAY()),0,IF(OR(INDEX($B1038:$D1038,L$5)="F",AND(L$6&gt;0,$A1038&lt;L$6),AND(L$7&gt;0,$A1038&gt;L$7)),0,MAX(0,ROUND((INDEX($E1038:$G1038,L$5)-SUMIFS(TF_Timer,TF_Tekniker,L$4,TF_Dato,$A1038))*2,0)/2)))</f>
        <v/>
      </c>
      <c r="M1038">
        <f>IF(OR(M$4="",$A1038&gt;TODAY()),0,IF(OR(INDEX($B1038:$D1038,M$5)="F",AND(M$6&gt;0,$A1038&lt;M$6),AND(M$7&gt;0,$A1038&gt;M$7)),0,MAX(0,ROUND((INDEX($E1038:$G1038,M$5)-SUMIFS(TF_Timer,TF_Tekniker,M$4,TF_Dato,$A1038))*2,0)/2)))</f>
        <v/>
      </c>
      <c r="N1038">
        <f>IF(OR(N$4="",$A1038&gt;TODAY()),0,IF(OR(INDEX($B1038:$D1038,N$5)="F",AND(N$6&gt;0,$A1038&lt;N$6),AND(N$7&gt;0,$A1038&gt;N$7)),0,MAX(0,ROUND((INDEX($E1038:$G1038,N$5)-SUMIFS(TF_Timer,TF_Tekniker,N$4,TF_Dato,$A1038))*2,0)/2)))</f>
        <v/>
      </c>
      <c r="O1038">
        <f>IF(OR(O$4="",$A1038&gt;TODAY()),0,IF(OR(INDEX($B1038:$D1038,O$5)="F",AND(O$6&gt;0,$A1038&lt;O$6),AND(O$7&gt;0,$A1038&gt;O$7)),0,MAX(0,ROUND((INDEX($E1038:$G1038,O$5)-SUMIFS(TF_Timer,TF_Tekniker,O$4,TF_Dato,$A1038))*2,0)/2)))</f>
        <v/>
      </c>
      <c r="P1038">
        <f>IF(OR(P$4="",$A1038&gt;TODAY()),0,IF(OR(INDEX($B1038:$D1038,P$5)="F",AND(P$6&gt;0,$A1038&lt;P$6),AND(P$7&gt;0,$A1038&gt;P$7)),0,MAX(0,ROUND((INDEX($E1038:$G1038,P$5)-SUMIFS(TF_Timer,TF_Tekniker,P$4,TF_Dato,$A1038))*2,0)/2)))</f>
        <v/>
      </c>
      <c r="Q1038">
        <f>IF(OR(Q$4="",$A1038&gt;TODAY()),0,IF(OR(INDEX($B1038:$D1038,Q$5)="F",AND(Q$6&gt;0,$A1038&lt;Q$6),AND(Q$7&gt;0,$A1038&gt;Q$7)),0,MAX(0,ROUND((INDEX($E1038:$G1038,Q$5)-SUMIFS(TF_Timer,TF_Tekniker,Q$4,TF_Dato,$A1038))*2,0)/2)))</f>
        <v/>
      </c>
      <c r="R1038">
        <f>IF(OR(R$4="",$A1038&gt;TODAY()),0,IF(OR(INDEX($B1038:$D1038,R$5)="F",AND(R$6&gt;0,$A1038&lt;R$6),AND(R$7&gt;0,$A1038&gt;R$7)),0,MAX(0,ROUND((INDEX($E1038:$G1038,R$5)-SUMIFS(TF_Timer,TF_Tekniker,R$4,TF_Dato,$A1038))*2,0)/2)))</f>
        <v/>
      </c>
      <c r="S1038">
        <f>IF(OR(S$4="",$A1038&gt;TODAY()),0,IF(OR(INDEX($B1038:$D1038,S$5)="F",AND(S$6&gt;0,$A1038&lt;S$6),AND(S$7&gt;0,$A1038&gt;S$7)),0,MAX(0,ROUND((INDEX($E1038:$G1038,S$5)-SUMIFS(TF_Timer,TF_Tekniker,S$4,TF_Dato,$A1038))*2,0)/2)))</f>
        <v/>
      </c>
      <c r="T1038">
        <f>IF(OR(T$4="",$A1038&gt;TODAY()),0,IF(OR(INDEX($B1038:$D1038,T$5)="F",AND(T$6&gt;0,$A1038&lt;T$6),AND(T$7&gt;0,$A1038&gt;T$7)),0,MAX(0,ROUND((INDEX($E1038:$G1038,T$5)-SUMIFS(TF_Timer,TF_Tekniker,T$4,TF_Dato,$A1038))*2,0)/2)))</f>
        <v/>
      </c>
      <c r="U1038">
        <f>IF(OR(U$4="",$A1038&gt;TODAY()),0,IF(OR(INDEX($B1038:$D1038,U$5)="F",AND(U$6&gt;0,$A1038&lt;U$6),AND(U$7&gt;0,$A1038&gt;U$7)),0,MAX(0,ROUND((INDEX($E1038:$G1038,U$5)-SUMIFS(TF_Timer,TF_Tekniker,U$4,TF_Dato,$A1038))*2,0)/2)))</f>
        <v/>
      </c>
      <c r="V1038">
        <f>IF(OR(V$4="",$A1038&gt;TODAY()),0,IF(OR(INDEX($B1038:$D1038,V$5)="F",AND(V$6&gt;0,$A1038&lt;V$6),AND(V$7&gt;0,$A1038&gt;V$7)),0,MAX(0,ROUND((INDEX($E1038:$G1038,V$5)-SUMIFS(TF_Timer,TF_Tekniker,V$4,TF_Dato,$A1038))*2,0)/2)))</f>
        <v/>
      </c>
      <c r="W1038">
        <f>IF(OR(W$4="",$A1038&gt;TODAY()),0,IF(OR(INDEX($B1038:$D1038,W$5)="F",AND(W$6&gt;0,$A1038&lt;W$6),AND(W$7&gt;0,$A1038&gt;W$7)),0,MAX(0,ROUND((INDEX($E1038:$G1038,W$5)-SUMIFS(TF_Timer,TF_Tekniker,W$4,TF_Dato,$A1038))*2,0)/2)))</f>
        <v/>
      </c>
      <c r="X1038">
        <f>IF(OR(X$4="",$A1038&gt;TODAY()),0,IF(OR(INDEX($B1038:$D1038,X$5)="F",AND(X$6&gt;0,$A1038&lt;X$6),AND(X$7&gt;0,$A1038&gt;X$7)),0,MAX(0,ROUND((INDEX($E1038:$G1038,X$5)-SUMIFS(TF_Timer,TF_Tekniker,X$4,TF_Dato,$A1038))*2,0)/2)))</f>
        <v/>
      </c>
      <c r="Y1038">
        <f>IF(OR(Y$4="",$A1038&gt;TODAY()),0,IF(OR(INDEX($B1038:$D1038,Y$5)="F",AND(Y$6&gt;0,$A1038&lt;Y$6),AND(Y$7&gt;0,$A1038&gt;Y$7)),0,MAX(0,ROUND((INDEX($E1038:$G1038,Y$5)-SUMIFS(TF_Timer,TF_Tekniker,Y$4,TF_Dato,$A1038))*2,0)/2)))</f>
        <v/>
      </c>
      <c r="Z1038">
        <f>IF(OR(Z$4="",$A1038&gt;TODAY()),0,IF(OR(INDEX($B1038:$D1038,Z$5)="F",AND(Z$6&gt;0,$A1038&lt;Z$6),AND(Z$7&gt;0,$A1038&gt;Z$7)),0,MAX(0,ROUND((INDEX($E1038:$G1038,Z$5)-SUMIFS(TF_Timer,TF_Tekniker,Z$4,TF_Dato,$A1038))*2,0)/2)))</f>
        <v/>
      </c>
      <c r="AA1038">
        <f>IF(OR(AA$4="",$A1038&gt;TODAY()),0,IF(OR(INDEX($B1038:$D1038,AA$5)="F",AND(AA$6&gt;0,$A1038&lt;AA$6),AND(AA$7&gt;0,$A1038&gt;AA$7)),0,MAX(0,ROUND((INDEX($E1038:$G1038,AA$5)-SUMIFS(TF_Timer,TF_Tekniker,AA$4,TF_Dato,$A1038))*2,0)/2)))</f>
        <v/>
      </c>
      <c r="AB1038">
        <f>IF(OR(AB$4="",$A1038&gt;TODAY()),0,IF(OR(INDEX($B1038:$D1038,AB$5)="F",AND(AB$6&gt;0,$A1038&lt;AB$6),AND(AB$7&gt;0,$A1038&gt;AB$7)),0,MAX(0,ROUND((INDEX($E1038:$G1038,AB$5)-SUMIFS(TF_Timer,TF_Tekniker,AB$4,TF_Dato,$A1038))*2,0)/2)))</f>
        <v/>
      </c>
      <c r="AC1038">
        <f>IF(OR(AC$4="",$A1038&gt;TODAY()),0,IF(OR(INDEX($B1038:$D1038,AC$5)="F",AND(AC$6&gt;0,$A1038&lt;AC$6),AND(AC$7&gt;0,$A1038&gt;AC$7)),0,MAX(0,ROUND((INDEX($E1038:$G1038,AC$5)-SUMIFS(TF_Timer,TF_Tekniker,AC$4,TF_Dato,$A1038))*2,0)/2)))</f>
        <v/>
      </c>
      <c r="AD1038">
        <f>IF(OR(AD$4="",$A1038&gt;TODAY()),0,IF(OR(INDEX($B1038:$D1038,AD$5)="F",AND(AD$6&gt;0,$A1038&lt;AD$6),AND(AD$7&gt;0,$A1038&gt;AD$7)),0,MAX(0,ROUND((INDEX($E1038:$G1038,AD$5)-SUMIFS(TF_Timer,TF_Tekniker,AD$4,TF_Dato,$A1038))*2,0)/2)))</f>
        <v/>
      </c>
      <c r="AE1038">
        <f>IF(OR(AE$4="",$A1038&gt;TODAY()),0,IF(OR(INDEX($B1038:$D1038,AE$5)="F",AND(AE$6&gt;0,$A1038&lt;AE$6),AND(AE$7&gt;0,$A1038&gt;AE$7)),0,MAX(0,ROUND((INDEX($E1038:$G1038,AE$5)-SUMIFS(TF_Timer,TF_Tekniker,AE$4,TF_Dato,$A1038))*2,0)/2)))</f>
        <v/>
      </c>
      <c r="AF1038">
        <f>IF(OR(AF$4="",$A1038&gt;TODAY()),0,IF(OR(INDEX($B1038:$D1038,AF$5)="F",AND(AF$6&gt;0,$A1038&lt;AF$6),AND(AF$7&gt;0,$A1038&gt;AF$7)),0,MAX(0,ROUND((INDEX($E1038:$G1038,AF$5)-SUMIFS(TF_Timer,TF_Tekniker,AF$4,TF_Dato,$A1038))*2,0)/2)))</f>
        <v/>
      </c>
      <c r="AG1038">
        <f>IF(OR(AG$4="",$A1038&gt;TODAY()),0,IF(OR(INDEX($B1038:$D1038,AG$5)="F",AND(AG$6&gt;0,$A1038&lt;AG$6),AND(AG$7&gt;0,$A1038&gt;AG$7)),0,MAX(0,ROUND((INDEX($E1038:$G1038,AG$5)-SUMIFS(TF_Timer,TF_Tekniker,AG$4,TF_Dato,$A1038))*2,0)/2)))</f>
        <v/>
      </c>
      <c r="AH1038">
        <f>IF(OR(AH$4="",$A1038&gt;TODAY()),0,IF(OR(INDEX($B1038:$D1038,AH$5)="F",AND(AH$6&gt;0,$A1038&lt;AH$6),AND(AH$7&gt;0,$A1038&gt;AH$7)),0,MAX(0,ROUND((INDEX($E1038:$G1038,AH$5)-SUMIFS(TF_Timer,TF_Tekniker,AH$4,TF_Dato,$A1038))*2,0)/2)))</f>
        <v/>
      </c>
      <c r="AI1038">
        <f>IF(OR(AI$4="",$A1038&gt;TODAY()),0,IF(OR(INDEX($B1038:$D1038,AI$5)="F",AND(AI$6&gt;0,$A1038&lt;AI$6),AND(AI$7&gt;0,$A1038&gt;AI$7)),0,MAX(0,ROUND((INDEX($E1038:$G1038,AI$5)-SUMIFS(TF_Timer,TF_Tekniker,AI$4,TF_Dato,$A1038))*2,0)/2)))</f>
        <v/>
      </c>
      <c r="AJ1038">
        <f>IF(OR(AJ$4="",$A1038&gt;TODAY()),0,IF(OR(INDEX($B1038:$D1038,AJ$5)="F",AND(AJ$6&gt;0,$A1038&lt;AJ$6),AND(AJ$7&gt;0,$A1038&gt;AJ$7)),0,MAX(0,ROUND((INDEX($E1038:$G1038,AJ$5)-SUMIFS(TF_Timer,TF_Tekniker,AJ$4,TF_Dato,$A1038))*2,0)/2)))</f>
        <v/>
      </c>
      <c r="AK1038">
        <f>IF(OR(AK$4="",$A1038&gt;TODAY()),0,IF(OR(INDEX($B1038:$D1038,AK$5)="F",AND(AK$6&gt;0,$A1038&lt;AK$6),AND(AK$7&gt;0,$A1038&gt;AK$7)),0,MAX(0,ROUND((INDEX($E1038:$G1038,AK$5)-SUMIFS(TF_Timer,TF_Tekniker,AK$4,TF_Dato,$A1038))*2,0)/2)))</f>
        <v/>
      </c>
      <c r="AL1038">
        <f>IF(OR(AL$4="",$A1038&gt;TODAY()),0,IF(OR(INDEX($B1038:$D1038,AL$5)="F",AND(AL$6&gt;0,$A1038&lt;AL$6),AND(AL$7&gt;0,$A1038&gt;AL$7)),0,MAX(0,ROUND((INDEX($E1038:$G1038,AL$5)-SUMIFS(TF_Timer,TF_Tekniker,AL$4,TF_Dato,$A1038))*2,0)/2)))</f>
        <v/>
      </c>
      <c r="AM1038">
        <f>IF(OR(AM$4="",$A1038&gt;TODAY()),0,IF(OR(INDEX($B1038:$D1038,AM$5)="F",AND(AM$6&gt;0,$A1038&lt;AM$6),AND(AM$7&gt;0,$A1038&gt;AM$7)),0,MAX(0,ROUND((INDEX($E1038:$G1038,AM$5)-SUMIFS(TF_Timer,TF_Tekniker,AM$4,TF_Dato,$A1038))*2,0)/2)))</f>
        <v/>
      </c>
      <c r="AN1038">
        <f>IF(OR(AN$4="",$A1038&gt;TODAY()),0,IF(OR(INDEX($B1038:$D1038,AN$5)="F",AND(AN$6&gt;0,$A1038&lt;AN$6),AND(AN$7&gt;0,$A1038&gt;AN$7)),0,MAX(0,ROUND((INDEX($E1038:$G1038,AN$5)-SUMIFS(TF_Timer,TF_Tekniker,AN$4,TF_Dato,$A1038))*2,0)/2)))</f>
        <v/>
      </c>
      <c r="AO1038">
        <f>IF(OR(AO$4="",$A1038&gt;TODAY()),0,IF(OR(INDEX($B1038:$D1038,AO$5)="F",AND(AO$6&gt;0,$A1038&lt;AO$6),AND(AO$7&gt;0,$A1038&gt;AO$7)),0,MAX(0,ROUND((INDEX($E1038:$G1038,AO$5)-SUMIFS(TF_Timer,TF_Tekniker,AO$4,TF_Dato,$A1038))*2,0)/2)))</f>
        <v/>
      </c>
      <c r="AP1038">
        <f>IF(OR(AP$4="",$A1038&gt;TODAY()),0,IF(OR(INDEX($B1038:$D1038,AP$5)="F",AND(AP$6&gt;0,$A1038&lt;AP$6),AND(AP$7&gt;0,$A1038&gt;AP$7)),0,MAX(0,ROUND((INDEX($E1038:$G1038,AP$5)-SUMIFS(TF_Timer,TF_Tekniker,AP$4,TF_Dato,$A1038))*2,0)/2)))</f>
        <v/>
      </c>
      <c r="AQ1038">
        <f>IF(OR(AQ$4="",$A1038&gt;TODAY()),0,IF(OR(INDEX($B1038:$D1038,AQ$5)="F",AND(AQ$6&gt;0,$A1038&lt;AQ$6),AND(AQ$7&gt;0,$A1038&gt;AQ$7)),0,MAX(0,ROUND((INDEX($E1038:$G1038,AQ$5)-SUMIFS(TF_Timer,TF_Tekniker,AQ$4,TF_Dato,$A1038))*2,0)/2)))</f>
        <v/>
      </c>
      <c r="AR1038">
        <f>IF(OR(AR$4="",$A1038&gt;TODAY()),0,IF(OR(INDEX($B1038:$D1038,AR$5)="F",AND(AR$6&gt;0,$A1038&lt;AR$6),AND(AR$7&gt;0,$A1038&gt;AR$7)),0,MAX(0,ROUND((INDEX($E1038:$G1038,AR$5)-SUMIFS(TF_Timer,TF_Tekniker,AR$4,TF_Dato,$A1038))*2,0)/2)))</f>
        <v/>
      </c>
      <c r="AS1038">
        <f>IF(OR(AS$4="",$A1038&gt;TODAY()),0,IF(OR(INDEX($B1038:$D1038,AS$5)="F",AND(AS$6&gt;0,$A1038&lt;AS$6),AND(AS$7&gt;0,$A1038&gt;AS$7)),0,MAX(0,ROUND((INDEX($E1038:$G1038,AS$5)-SUMIFS(TF_Timer,TF_Tekniker,AS$4,TF_Dato,$A1038))*2,0)/2)))</f>
        <v/>
      </c>
      <c r="AT1038">
        <f>IF(OR(AT$4="",$A1038&gt;TODAY()),0,IF(OR(INDEX($B1038:$D1038,AT$5)="F",AND(AT$6&gt;0,$A1038&lt;AT$6),AND(AT$7&gt;0,$A1038&gt;AT$7)),0,MAX(0,ROUND((INDEX($E1038:$G1038,AT$5)-SUMIFS(TF_Timer,TF_Tekniker,AT$4,TF_Dato,$A1038))*2,0)/2)))</f>
        <v/>
      </c>
      <c r="AU1038">
        <f>IF(OR(AU$4="",$A1038&gt;TODAY()),0,IF(OR(INDEX($B1038:$D1038,AU$5)="F",AND(AU$6&gt;0,$A1038&lt;AU$6),AND(AU$7&gt;0,$A1038&gt;AU$7)),0,MAX(0,ROUND((INDEX($E1038:$G1038,AU$5)-SUMIFS(TF_Timer,TF_Tekniker,AU$4,TF_Dato,$A1038))*2,0)/2)))</f>
        <v/>
      </c>
      <c r="AV1038">
        <f>IF(OR(AV$4="",$A1038&gt;TODAY()),0,IF(OR(INDEX($B1038:$D1038,AV$5)="F",AND(AV$6&gt;0,$A1038&lt;AV$6),AND(AV$7&gt;0,$A1038&gt;AV$7)),0,MAX(0,ROUND((INDEX($E1038:$G1038,AV$5)-SUMIFS(TF_Timer,TF_Tekniker,AV$4,TF_Dato,$A1038))*2,0)/2)))</f>
        <v/>
      </c>
      <c r="AW1038">
        <f>IF(OR(AW$4="",$A1038&gt;TODAY()),0,IF(OR(INDEX($B1038:$D1038,AW$5)="F",AND(AW$6&gt;0,$A1038&lt;AW$6),AND(AW$7&gt;0,$A1038&gt;AW$7)),0,MAX(0,ROUND((INDEX($E1038:$G1038,AW$5)-SUMIFS(TF_Timer,TF_Tekniker,AW$4,TF_Dato,$A1038))*2,0)/2)))</f>
        <v/>
      </c>
      <c r="AX1038">
        <f>IF(OR(AX$4="",$A1038&gt;TODAY()),0,IF(OR(INDEX($B1038:$D1038,AX$5)="F",AND(AX$6&gt;0,$A1038&lt;AX$6),AND(AX$7&gt;0,$A1038&gt;AX$7)),0,MAX(0,ROUND((INDEX($E1038:$G1038,AX$5)-SUMIFS(TF_Timer,TF_Tekniker,AX$4,TF_Dato,$A1038))*2,0)/2)))</f>
        <v/>
      </c>
      <c r="AY1038">
        <f>IF(OR(AY$4="",$A1038&gt;TODAY()),0,IF(OR(INDEX($B1038:$D1038,AY$5)="F",AND(AY$6&gt;0,$A1038&lt;AY$6),AND(AY$7&gt;0,$A1038&gt;AY$7)),0,MAX(0,ROUND((INDEX($E1038:$G1038,AY$5)-SUMIFS(TF_Timer,TF_Tekniker,AY$4,TF_Dato,$A1038))*2,0)/2)))</f>
        <v/>
      </c>
      <c r="AZ1038">
        <f>IF(OR(AZ$4="",$A1038&gt;TODAY()),0,IF(OR(INDEX($B1038:$D1038,AZ$5)="F",AND(AZ$6&gt;0,$A1038&lt;AZ$6),AND(AZ$7&gt;0,$A1038&gt;AZ$7)),0,MAX(0,ROUND((INDEX($E1038:$G1038,AZ$5)-SUMIFS(TF_Timer,TF_Tekniker,AZ$4,TF_Dato,$A1038))*2,0)/2)))</f>
        <v/>
      </c>
      <c r="BA1038">
        <f>IF(OR(BA$4="",$A1038&gt;TODAY()),0,IF(OR(INDEX($B1038:$D1038,BA$5)="F",AND(BA$6&gt;0,$A1038&lt;BA$6),AND(BA$7&gt;0,$A1038&gt;BA$7)),0,MAX(0,ROUND((INDEX($E1038:$G1038,BA$5)-SUMIFS(TF_Timer,TF_Tekniker,BA$4,TF_Dato,$A1038))*2,0)/2)))</f>
        <v/>
      </c>
      <c r="BB1038">
        <f>IF(OR(BB$4="",$A1038&gt;TODAY()),0,IF(OR(INDEX($B1038:$D1038,BB$5)="F",AND(BB$6&gt;0,$A1038&lt;BB$6),AND(BB$7&gt;0,$A1038&gt;BB$7)),0,MAX(0,ROUND((INDEX($E1038:$G1038,BB$5)-SUMIFS(TF_Timer,TF_Tekniker,BB$4,TF_Dato,$A1038))*2,0)/2)))</f>
        <v/>
      </c>
      <c r="BC1038">
        <f>IF(OR(BC$4="",$A1038&gt;TODAY()),0,IF(OR(INDEX($B1038:$D1038,BC$5)="F",AND(BC$6&gt;0,$A1038&lt;BC$6),AND(BC$7&gt;0,$A1038&gt;BC$7)),0,MAX(0,ROUND((INDEX($E1038:$G1038,BC$5)-SUMIFS(TF_Timer,TF_Tekniker,BC$4,TF_Dato,$A1038))*2,0)/2)))</f>
        <v/>
      </c>
      <c r="BD1038">
        <f>IF(OR(BD$4="",$A1038&gt;TODAY()),0,IF(OR(INDEX($B1038:$D1038,BD$5)="F",AND(BD$6&gt;0,$A1038&lt;BD$6),AND(BD$7&gt;0,$A1038&gt;BD$7)),0,MAX(0,ROUND((INDEX($E1038:$G1038,BD$5)-SUMIFS(TF_Timer,TF_Tekniker,BD$4,TF_Dato,$A1038))*2,0)/2)))</f>
        <v/>
      </c>
      <c r="BE1038">
        <f>IF(OR(BE$4="",$A1038&gt;TODAY()),0,IF(OR(INDEX($B1038:$D1038,BE$5)="F",AND(BE$6&gt;0,$A1038&lt;BE$6),AND(BE$7&gt;0,$A1038&gt;BE$7)),0,MAX(0,ROUND((INDEX($E1038:$G1038,BE$5)-SUMIFS(TF_Timer,TF_Tekniker,BE$4,TF_Dato,$A1038))*2,0)/2)))</f>
        <v/>
      </c>
      <c r="BF1038">
        <f>IF(OR(BF$4="",$A1038&gt;TODAY()),0,IF(OR(INDEX($B1038:$D1038,BF$5)="F",AND(BF$6&gt;0,$A1038&lt;BF$6),AND(BF$7&gt;0,$A1038&gt;BF$7)),0,MAX(0,ROUND((INDEX($E1038:$G1038,BF$5)-SUMIFS(TF_Timer,TF_Tekniker,BF$4,TF_Dato,$A1038))*2,0)/2)))</f>
        <v/>
      </c>
      <c r="BG1038">
        <f>IF(OR(BG$4="",$A1038&gt;TODAY()),0,IF(OR(INDEX($B1038:$D1038,BG$5)="F",AND(BG$6&gt;0,$A1038&lt;BG$6),AND(BG$7&gt;0,$A1038&gt;BG$7)),0,MAX(0,ROUND((INDEX($E1038:$G1038,BG$5)-SUMIFS(TF_Timer,TF_Tekniker,BG$4,TF_Dato,$A1038))*2,0)/2)))</f>
        <v/>
      </c>
      <c r="BH1038">
        <f>IF(OR(BH$4="",$A1038&gt;TODAY()),0,IF(OR(INDEX($B1038:$D1038,BH$5)="F",AND(BH$6&gt;0,$A1038&lt;BH$6),AND(BH$7&gt;0,$A1038&gt;BH$7)),0,MAX(0,ROUND((INDEX($E1038:$G1038,BH$5)-SUMIFS(TF_Timer,TF_Tekniker,BH$4,TF_Dato,$A1038))*2,0)/2)))</f>
        <v/>
      </c>
      <c r="BI1038">
        <f>IF(OR(BI$4="",$A1038&gt;TODAY()),0,IF(OR(INDEX($B1038:$D1038,BI$5)="F",AND(BI$6&gt;0,$A1038&lt;BI$6),AND(BI$7&gt;0,$A1038&gt;BI$7)),0,MAX(0,ROUND((INDEX($E1038:$G1038,BI$5)-SUMIFS(TF_Timer,TF_Tekniker,BI$4,TF_Dato,$A1038))*2,0)/2)))</f>
        <v/>
      </c>
    </row>
    <row r="1039">
      <c r="A1039" s="64">
        <f>A1038+1</f>
        <v/>
      </c>
      <c r="B1039">
        <f>IF(MOD($A1039-INDEX(SkiftStart,1),Syklus)&lt;DagK,"K",IF(MOD($A1039-INDEX(SkiftStart,1),Syklus)&lt;DagK+DagH,"H",IF(MOD($A1039-INDEX(SkiftStart,1),Syklus)&lt;DagK+DagH+DagD,"D","F")))</f>
        <v/>
      </c>
      <c r="C1039">
        <f>IF(MOD($A1039-INDEX(SkiftStart,2),Syklus)&lt;DagK,"K",IF(MOD($A1039-INDEX(SkiftStart,2),Syklus)&lt;DagK+DagH,"H",IF(MOD($A1039-INDEX(SkiftStart,2),Syklus)&lt;DagK+DagH+DagD,"D","F")))</f>
        <v/>
      </c>
      <c r="D1039">
        <f>IF(MOD($A1039-INDEX(SkiftStart,3),Syklus)&lt;DagK,"K",IF(MOD($A1039-INDEX(SkiftStart,3),Syklus)&lt;DagK+DagH,"H",IF(MOD($A1039-INDEX(SkiftStart,3),Syklus)&lt;DagK+DagH+DagD,"D","F")))</f>
        <v/>
      </c>
      <c r="E1039">
        <f>IF(B1039="F",0,IF(WEEKDAY($A1039,2)=5,INDEX(TimerFr,MATCH(B1039,FaseKode,0)),INDEX(TimerMT,MATCH(B1039,FaseKode,0))))</f>
        <v/>
      </c>
      <c r="F1039">
        <f>IF(C1039="F",0,IF(WEEKDAY($A1039,2)=5,INDEX(TimerFr,MATCH(C1039,FaseKode,0)),INDEX(TimerMT,MATCH(C1039,FaseKode,0))))</f>
        <v/>
      </c>
      <c r="G1039">
        <f>IF(D1039="F",0,IF(WEEKDAY($A1039,2)=5,INDEX(TimerFr,MATCH(D1039,FaseKode,0)),INDEX(TimerMT,MATCH(D1039,FaseKode,0))))</f>
        <v/>
      </c>
      <c r="H1039">
        <f>IF(OR(H$4="",$A1039&gt;TODAY()),0,IF(OR(INDEX($B1039:$D1039,H$5)="F",AND(H$6&gt;0,$A1039&lt;H$6),AND(H$7&gt;0,$A1039&gt;H$7)),0,MAX(0,ROUND((INDEX($E1039:$G1039,H$5)-SUMIFS(TF_Timer,TF_Tekniker,H$4,TF_Dato,$A1039))*2,0)/2)))</f>
        <v/>
      </c>
      <c r="I1039">
        <f>IF(OR(I$4="",$A1039&gt;TODAY()),0,IF(OR(INDEX($B1039:$D1039,I$5)="F",AND(I$6&gt;0,$A1039&lt;I$6),AND(I$7&gt;0,$A1039&gt;I$7)),0,MAX(0,ROUND((INDEX($E1039:$G1039,I$5)-SUMIFS(TF_Timer,TF_Tekniker,I$4,TF_Dato,$A1039))*2,0)/2)))</f>
        <v/>
      </c>
      <c r="J1039">
        <f>IF(OR(J$4="",$A1039&gt;TODAY()),0,IF(OR(INDEX($B1039:$D1039,J$5)="F",AND(J$6&gt;0,$A1039&lt;J$6),AND(J$7&gt;0,$A1039&gt;J$7)),0,MAX(0,ROUND((INDEX($E1039:$G1039,J$5)-SUMIFS(TF_Timer,TF_Tekniker,J$4,TF_Dato,$A1039))*2,0)/2)))</f>
        <v/>
      </c>
      <c r="K1039">
        <f>IF(OR(K$4="",$A1039&gt;TODAY()),0,IF(OR(INDEX($B1039:$D1039,K$5)="F",AND(K$6&gt;0,$A1039&lt;K$6),AND(K$7&gt;0,$A1039&gt;K$7)),0,MAX(0,ROUND((INDEX($E1039:$G1039,K$5)-SUMIFS(TF_Timer,TF_Tekniker,K$4,TF_Dato,$A1039))*2,0)/2)))</f>
        <v/>
      </c>
      <c r="L1039">
        <f>IF(OR(L$4="",$A1039&gt;TODAY()),0,IF(OR(INDEX($B1039:$D1039,L$5)="F",AND(L$6&gt;0,$A1039&lt;L$6),AND(L$7&gt;0,$A1039&gt;L$7)),0,MAX(0,ROUND((INDEX($E1039:$G1039,L$5)-SUMIFS(TF_Timer,TF_Tekniker,L$4,TF_Dato,$A1039))*2,0)/2)))</f>
        <v/>
      </c>
      <c r="M1039">
        <f>IF(OR(M$4="",$A1039&gt;TODAY()),0,IF(OR(INDEX($B1039:$D1039,M$5)="F",AND(M$6&gt;0,$A1039&lt;M$6),AND(M$7&gt;0,$A1039&gt;M$7)),0,MAX(0,ROUND((INDEX($E1039:$G1039,M$5)-SUMIFS(TF_Timer,TF_Tekniker,M$4,TF_Dato,$A1039))*2,0)/2)))</f>
        <v/>
      </c>
      <c r="N1039">
        <f>IF(OR(N$4="",$A1039&gt;TODAY()),0,IF(OR(INDEX($B1039:$D1039,N$5)="F",AND(N$6&gt;0,$A1039&lt;N$6),AND(N$7&gt;0,$A1039&gt;N$7)),0,MAX(0,ROUND((INDEX($E1039:$G1039,N$5)-SUMIFS(TF_Timer,TF_Tekniker,N$4,TF_Dato,$A1039))*2,0)/2)))</f>
        <v/>
      </c>
      <c r="O1039">
        <f>IF(OR(O$4="",$A1039&gt;TODAY()),0,IF(OR(INDEX($B1039:$D1039,O$5)="F",AND(O$6&gt;0,$A1039&lt;O$6),AND(O$7&gt;0,$A1039&gt;O$7)),0,MAX(0,ROUND((INDEX($E1039:$G1039,O$5)-SUMIFS(TF_Timer,TF_Tekniker,O$4,TF_Dato,$A1039))*2,0)/2)))</f>
        <v/>
      </c>
      <c r="P1039">
        <f>IF(OR(P$4="",$A1039&gt;TODAY()),0,IF(OR(INDEX($B1039:$D1039,P$5)="F",AND(P$6&gt;0,$A1039&lt;P$6),AND(P$7&gt;0,$A1039&gt;P$7)),0,MAX(0,ROUND((INDEX($E1039:$G1039,P$5)-SUMIFS(TF_Timer,TF_Tekniker,P$4,TF_Dato,$A1039))*2,0)/2)))</f>
        <v/>
      </c>
      <c r="Q1039">
        <f>IF(OR(Q$4="",$A1039&gt;TODAY()),0,IF(OR(INDEX($B1039:$D1039,Q$5)="F",AND(Q$6&gt;0,$A1039&lt;Q$6),AND(Q$7&gt;0,$A1039&gt;Q$7)),0,MAX(0,ROUND((INDEX($E1039:$G1039,Q$5)-SUMIFS(TF_Timer,TF_Tekniker,Q$4,TF_Dato,$A1039))*2,0)/2)))</f>
        <v/>
      </c>
      <c r="R1039">
        <f>IF(OR(R$4="",$A1039&gt;TODAY()),0,IF(OR(INDEX($B1039:$D1039,R$5)="F",AND(R$6&gt;0,$A1039&lt;R$6),AND(R$7&gt;0,$A1039&gt;R$7)),0,MAX(0,ROUND((INDEX($E1039:$G1039,R$5)-SUMIFS(TF_Timer,TF_Tekniker,R$4,TF_Dato,$A1039))*2,0)/2)))</f>
        <v/>
      </c>
      <c r="S1039">
        <f>IF(OR(S$4="",$A1039&gt;TODAY()),0,IF(OR(INDEX($B1039:$D1039,S$5)="F",AND(S$6&gt;0,$A1039&lt;S$6),AND(S$7&gt;0,$A1039&gt;S$7)),0,MAX(0,ROUND((INDEX($E1039:$G1039,S$5)-SUMIFS(TF_Timer,TF_Tekniker,S$4,TF_Dato,$A1039))*2,0)/2)))</f>
        <v/>
      </c>
      <c r="T1039">
        <f>IF(OR(T$4="",$A1039&gt;TODAY()),0,IF(OR(INDEX($B1039:$D1039,T$5)="F",AND(T$6&gt;0,$A1039&lt;T$6),AND(T$7&gt;0,$A1039&gt;T$7)),0,MAX(0,ROUND((INDEX($E1039:$G1039,T$5)-SUMIFS(TF_Timer,TF_Tekniker,T$4,TF_Dato,$A1039))*2,0)/2)))</f>
        <v/>
      </c>
      <c r="U1039">
        <f>IF(OR(U$4="",$A1039&gt;TODAY()),0,IF(OR(INDEX($B1039:$D1039,U$5)="F",AND(U$6&gt;0,$A1039&lt;U$6),AND(U$7&gt;0,$A1039&gt;U$7)),0,MAX(0,ROUND((INDEX($E1039:$G1039,U$5)-SUMIFS(TF_Timer,TF_Tekniker,U$4,TF_Dato,$A1039))*2,0)/2)))</f>
        <v/>
      </c>
      <c r="V1039">
        <f>IF(OR(V$4="",$A1039&gt;TODAY()),0,IF(OR(INDEX($B1039:$D1039,V$5)="F",AND(V$6&gt;0,$A1039&lt;V$6),AND(V$7&gt;0,$A1039&gt;V$7)),0,MAX(0,ROUND((INDEX($E1039:$G1039,V$5)-SUMIFS(TF_Timer,TF_Tekniker,V$4,TF_Dato,$A1039))*2,0)/2)))</f>
        <v/>
      </c>
      <c r="W1039">
        <f>IF(OR(W$4="",$A1039&gt;TODAY()),0,IF(OR(INDEX($B1039:$D1039,W$5)="F",AND(W$6&gt;0,$A1039&lt;W$6),AND(W$7&gt;0,$A1039&gt;W$7)),0,MAX(0,ROUND((INDEX($E1039:$G1039,W$5)-SUMIFS(TF_Timer,TF_Tekniker,W$4,TF_Dato,$A1039))*2,0)/2)))</f>
        <v/>
      </c>
      <c r="X1039">
        <f>IF(OR(X$4="",$A1039&gt;TODAY()),0,IF(OR(INDEX($B1039:$D1039,X$5)="F",AND(X$6&gt;0,$A1039&lt;X$6),AND(X$7&gt;0,$A1039&gt;X$7)),0,MAX(0,ROUND((INDEX($E1039:$G1039,X$5)-SUMIFS(TF_Timer,TF_Tekniker,X$4,TF_Dato,$A1039))*2,0)/2)))</f>
        <v/>
      </c>
      <c r="Y1039">
        <f>IF(OR(Y$4="",$A1039&gt;TODAY()),0,IF(OR(INDEX($B1039:$D1039,Y$5)="F",AND(Y$6&gt;0,$A1039&lt;Y$6),AND(Y$7&gt;0,$A1039&gt;Y$7)),0,MAX(0,ROUND((INDEX($E1039:$G1039,Y$5)-SUMIFS(TF_Timer,TF_Tekniker,Y$4,TF_Dato,$A1039))*2,0)/2)))</f>
        <v/>
      </c>
      <c r="Z1039">
        <f>IF(OR(Z$4="",$A1039&gt;TODAY()),0,IF(OR(INDEX($B1039:$D1039,Z$5)="F",AND(Z$6&gt;0,$A1039&lt;Z$6),AND(Z$7&gt;0,$A1039&gt;Z$7)),0,MAX(0,ROUND((INDEX($E1039:$G1039,Z$5)-SUMIFS(TF_Timer,TF_Tekniker,Z$4,TF_Dato,$A1039))*2,0)/2)))</f>
        <v/>
      </c>
      <c r="AA1039">
        <f>IF(OR(AA$4="",$A1039&gt;TODAY()),0,IF(OR(INDEX($B1039:$D1039,AA$5)="F",AND(AA$6&gt;0,$A1039&lt;AA$6),AND(AA$7&gt;0,$A1039&gt;AA$7)),0,MAX(0,ROUND((INDEX($E1039:$G1039,AA$5)-SUMIFS(TF_Timer,TF_Tekniker,AA$4,TF_Dato,$A1039))*2,0)/2)))</f>
        <v/>
      </c>
      <c r="AB1039">
        <f>IF(OR(AB$4="",$A1039&gt;TODAY()),0,IF(OR(INDEX($B1039:$D1039,AB$5)="F",AND(AB$6&gt;0,$A1039&lt;AB$6),AND(AB$7&gt;0,$A1039&gt;AB$7)),0,MAX(0,ROUND((INDEX($E1039:$G1039,AB$5)-SUMIFS(TF_Timer,TF_Tekniker,AB$4,TF_Dato,$A1039))*2,0)/2)))</f>
        <v/>
      </c>
      <c r="AC1039">
        <f>IF(OR(AC$4="",$A1039&gt;TODAY()),0,IF(OR(INDEX($B1039:$D1039,AC$5)="F",AND(AC$6&gt;0,$A1039&lt;AC$6),AND(AC$7&gt;0,$A1039&gt;AC$7)),0,MAX(0,ROUND((INDEX($E1039:$G1039,AC$5)-SUMIFS(TF_Timer,TF_Tekniker,AC$4,TF_Dato,$A1039))*2,0)/2)))</f>
        <v/>
      </c>
      <c r="AD1039">
        <f>IF(OR(AD$4="",$A1039&gt;TODAY()),0,IF(OR(INDEX($B1039:$D1039,AD$5)="F",AND(AD$6&gt;0,$A1039&lt;AD$6),AND(AD$7&gt;0,$A1039&gt;AD$7)),0,MAX(0,ROUND((INDEX($E1039:$G1039,AD$5)-SUMIFS(TF_Timer,TF_Tekniker,AD$4,TF_Dato,$A1039))*2,0)/2)))</f>
        <v/>
      </c>
      <c r="AE1039">
        <f>IF(OR(AE$4="",$A1039&gt;TODAY()),0,IF(OR(INDEX($B1039:$D1039,AE$5)="F",AND(AE$6&gt;0,$A1039&lt;AE$6),AND(AE$7&gt;0,$A1039&gt;AE$7)),0,MAX(0,ROUND((INDEX($E1039:$G1039,AE$5)-SUMIFS(TF_Timer,TF_Tekniker,AE$4,TF_Dato,$A1039))*2,0)/2)))</f>
        <v/>
      </c>
      <c r="AF1039">
        <f>IF(OR(AF$4="",$A1039&gt;TODAY()),0,IF(OR(INDEX($B1039:$D1039,AF$5)="F",AND(AF$6&gt;0,$A1039&lt;AF$6),AND(AF$7&gt;0,$A1039&gt;AF$7)),0,MAX(0,ROUND((INDEX($E1039:$G1039,AF$5)-SUMIFS(TF_Timer,TF_Tekniker,AF$4,TF_Dato,$A1039))*2,0)/2)))</f>
        <v/>
      </c>
      <c r="AG1039">
        <f>IF(OR(AG$4="",$A1039&gt;TODAY()),0,IF(OR(INDEX($B1039:$D1039,AG$5)="F",AND(AG$6&gt;0,$A1039&lt;AG$6),AND(AG$7&gt;0,$A1039&gt;AG$7)),0,MAX(0,ROUND((INDEX($E1039:$G1039,AG$5)-SUMIFS(TF_Timer,TF_Tekniker,AG$4,TF_Dato,$A1039))*2,0)/2)))</f>
        <v/>
      </c>
      <c r="AH1039">
        <f>IF(OR(AH$4="",$A1039&gt;TODAY()),0,IF(OR(INDEX($B1039:$D1039,AH$5)="F",AND(AH$6&gt;0,$A1039&lt;AH$6),AND(AH$7&gt;0,$A1039&gt;AH$7)),0,MAX(0,ROUND((INDEX($E1039:$G1039,AH$5)-SUMIFS(TF_Timer,TF_Tekniker,AH$4,TF_Dato,$A1039))*2,0)/2)))</f>
        <v/>
      </c>
      <c r="AI1039">
        <f>IF(OR(AI$4="",$A1039&gt;TODAY()),0,IF(OR(INDEX($B1039:$D1039,AI$5)="F",AND(AI$6&gt;0,$A1039&lt;AI$6),AND(AI$7&gt;0,$A1039&gt;AI$7)),0,MAX(0,ROUND((INDEX($E1039:$G1039,AI$5)-SUMIFS(TF_Timer,TF_Tekniker,AI$4,TF_Dato,$A1039))*2,0)/2)))</f>
        <v/>
      </c>
      <c r="AJ1039">
        <f>IF(OR(AJ$4="",$A1039&gt;TODAY()),0,IF(OR(INDEX($B1039:$D1039,AJ$5)="F",AND(AJ$6&gt;0,$A1039&lt;AJ$6),AND(AJ$7&gt;0,$A1039&gt;AJ$7)),0,MAX(0,ROUND((INDEX($E1039:$G1039,AJ$5)-SUMIFS(TF_Timer,TF_Tekniker,AJ$4,TF_Dato,$A1039))*2,0)/2)))</f>
        <v/>
      </c>
      <c r="AK1039">
        <f>IF(OR(AK$4="",$A1039&gt;TODAY()),0,IF(OR(INDEX($B1039:$D1039,AK$5)="F",AND(AK$6&gt;0,$A1039&lt;AK$6),AND(AK$7&gt;0,$A1039&gt;AK$7)),0,MAX(0,ROUND((INDEX($E1039:$G1039,AK$5)-SUMIFS(TF_Timer,TF_Tekniker,AK$4,TF_Dato,$A1039))*2,0)/2)))</f>
        <v/>
      </c>
      <c r="AL1039">
        <f>IF(OR(AL$4="",$A1039&gt;TODAY()),0,IF(OR(INDEX($B1039:$D1039,AL$5)="F",AND(AL$6&gt;0,$A1039&lt;AL$6),AND(AL$7&gt;0,$A1039&gt;AL$7)),0,MAX(0,ROUND((INDEX($E1039:$G1039,AL$5)-SUMIFS(TF_Timer,TF_Tekniker,AL$4,TF_Dato,$A1039))*2,0)/2)))</f>
        <v/>
      </c>
      <c r="AM1039">
        <f>IF(OR(AM$4="",$A1039&gt;TODAY()),0,IF(OR(INDEX($B1039:$D1039,AM$5)="F",AND(AM$6&gt;0,$A1039&lt;AM$6),AND(AM$7&gt;0,$A1039&gt;AM$7)),0,MAX(0,ROUND((INDEX($E1039:$G1039,AM$5)-SUMIFS(TF_Timer,TF_Tekniker,AM$4,TF_Dato,$A1039))*2,0)/2)))</f>
        <v/>
      </c>
      <c r="AN1039">
        <f>IF(OR(AN$4="",$A1039&gt;TODAY()),0,IF(OR(INDEX($B1039:$D1039,AN$5)="F",AND(AN$6&gt;0,$A1039&lt;AN$6),AND(AN$7&gt;0,$A1039&gt;AN$7)),0,MAX(0,ROUND((INDEX($E1039:$G1039,AN$5)-SUMIFS(TF_Timer,TF_Tekniker,AN$4,TF_Dato,$A1039))*2,0)/2)))</f>
        <v/>
      </c>
      <c r="AO1039">
        <f>IF(OR(AO$4="",$A1039&gt;TODAY()),0,IF(OR(INDEX($B1039:$D1039,AO$5)="F",AND(AO$6&gt;0,$A1039&lt;AO$6),AND(AO$7&gt;0,$A1039&gt;AO$7)),0,MAX(0,ROUND((INDEX($E1039:$G1039,AO$5)-SUMIFS(TF_Timer,TF_Tekniker,AO$4,TF_Dato,$A1039))*2,0)/2)))</f>
        <v/>
      </c>
      <c r="AP1039">
        <f>IF(OR(AP$4="",$A1039&gt;TODAY()),0,IF(OR(INDEX($B1039:$D1039,AP$5)="F",AND(AP$6&gt;0,$A1039&lt;AP$6),AND(AP$7&gt;0,$A1039&gt;AP$7)),0,MAX(0,ROUND((INDEX($E1039:$G1039,AP$5)-SUMIFS(TF_Timer,TF_Tekniker,AP$4,TF_Dato,$A1039))*2,0)/2)))</f>
        <v/>
      </c>
      <c r="AQ1039">
        <f>IF(OR(AQ$4="",$A1039&gt;TODAY()),0,IF(OR(INDEX($B1039:$D1039,AQ$5)="F",AND(AQ$6&gt;0,$A1039&lt;AQ$6),AND(AQ$7&gt;0,$A1039&gt;AQ$7)),0,MAX(0,ROUND((INDEX($E1039:$G1039,AQ$5)-SUMIFS(TF_Timer,TF_Tekniker,AQ$4,TF_Dato,$A1039))*2,0)/2)))</f>
        <v/>
      </c>
      <c r="AR1039">
        <f>IF(OR(AR$4="",$A1039&gt;TODAY()),0,IF(OR(INDEX($B1039:$D1039,AR$5)="F",AND(AR$6&gt;0,$A1039&lt;AR$6),AND(AR$7&gt;0,$A1039&gt;AR$7)),0,MAX(0,ROUND((INDEX($E1039:$G1039,AR$5)-SUMIFS(TF_Timer,TF_Tekniker,AR$4,TF_Dato,$A1039))*2,0)/2)))</f>
        <v/>
      </c>
      <c r="AS1039">
        <f>IF(OR(AS$4="",$A1039&gt;TODAY()),0,IF(OR(INDEX($B1039:$D1039,AS$5)="F",AND(AS$6&gt;0,$A1039&lt;AS$6),AND(AS$7&gt;0,$A1039&gt;AS$7)),0,MAX(0,ROUND((INDEX($E1039:$G1039,AS$5)-SUMIFS(TF_Timer,TF_Tekniker,AS$4,TF_Dato,$A1039))*2,0)/2)))</f>
        <v/>
      </c>
      <c r="AT1039">
        <f>IF(OR(AT$4="",$A1039&gt;TODAY()),0,IF(OR(INDEX($B1039:$D1039,AT$5)="F",AND(AT$6&gt;0,$A1039&lt;AT$6),AND(AT$7&gt;0,$A1039&gt;AT$7)),0,MAX(0,ROUND((INDEX($E1039:$G1039,AT$5)-SUMIFS(TF_Timer,TF_Tekniker,AT$4,TF_Dato,$A1039))*2,0)/2)))</f>
        <v/>
      </c>
      <c r="AU1039">
        <f>IF(OR(AU$4="",$A1039&gt;TODAY()),0,IF(OR(INDEX($B1039:$D1039,AU$5)="F",AND(AU$6&gt;0,$A1039&lt;AU$6),AND(AU$7&gt;0,$A1039&gt;AU$7)),0,MAX(0,ROUND((INDEX($E1039:$G1039,AU$5)-SUMIFS(TF_Timer,TF_Tekniker,AU$4,TF_Dato,$A1039))*2,0)/2)))</f>
        <v/>
      </c>
      <c r="AV1039">
        <f>IF(OR(AV$4="",$A1039&gt;TODAY()),0,IF(OR(INDEX($B1039:$D1039,AV$5)="F",AND(AV$6&gt;0,$A1039&lt;AV$6),AND(AV$7&gt;0,$A1039&gt;AV$7)),0,MAX(0,ROUND((INDEX($E1039:$G1039,AV$5)-SUMIFS(TF_Timer,TF_Tekniker,AV$4,TF_Dato,$A1039))*2,0)/2)))</f>
        <v/>
      </c>
      <c r="AW1039">
        <f>IF(OR(AW$4="",$A1039&gt;TODAY()),0,IF(OR(INDEX($B1039:$D1039,AW$5)="F",AND(AW$6&gt;0,$A1039&lt;AW$6),AND(AW$7&gt;0,$A1039&gt;AW$7)),0,MAX(0,ROUND((INDEX($E1039:$G1039,AW$5)-SUMIFS(TF_Timer,TF_Tekniker,AW$4,TF_Dato,$A1039))*2,0)/2)))</f>
        <v/>
      </c>
      <c r="AX1039">
        <f>IF(OR(AX$4="",$A1039&gt;TODAY()),0,IF(OR(INDEX($B1039:$D1039,AX$5)="F",AND(AX$6&gt;0,$A1039&lt;AX$6),AND(AX$7&gt;0,$A1039&gt;AX$7)),0,MAX(0,ROUND((INDEX($E1039:$G1039,AX$5)-SUMIFS(TF_Timer,TF_Tekniker,AX$4,TF_Dato,$A1039))*2,0)/2)))</f>
        <v/>
      </c>
      <c r="AY1039">
        <f>IF(OR(AY$4="",$A1039&gt;TODAY()),0,IF(OR(INDEX($B1039:$D1039,AY$5)="F",AND(AY$6&gt;0,$A1039&lt;AY$6),AND(AY$7&gt;0,$A1039&gt;AY$7)),0,MAX(0,ROUND((INDEX($E1039:$G1039,AY$5)-SUMIFS(TF_Timer,TF_Tekniker,AY$4,TF_Dato,$A1039))*2,0)/2)))</f>
        <v/>
      </c>
      <c r="AZ1039">
        <f>IF(OR(AZ$4="",$A1039&gt;TODAY()),0,IF(OR(INDEX($B1039:$D1039,AZ$5)="F",AND(AZ$6&gt;0,$A1039&lt;AZ$6),AND(AZ$7&gt;0,$A1039&gt;AZ$7)),0,MAX(0,ROUND((INDEX($E1039:$G1039,AZ$5)-SUMIFS(TF_Timer,TF_Tekniker,AZ$4,TF_Dato,$A1039))*2,0)/2)))</f>
        <v/>
      </c>
      <c r="BA1039">
        <f>IF(OR(BA$4="",$A1039&gt;TODAY()),0,IF(OR(INDEX($B1039:$D1039,BA$5)="F",AND(BA$6&gt;0,$A1039&lt;BA$6),AND(BA$7&gt;0,$A1039&gt;BA$7)),0,MAX(0,ROUND((INDEX($E1039:$G1039,BA$5)-SUMIFS(TF_Timer,TF_Tekniker,BA$4,TF_Dato,$A1039))*2,0)/2)))</f>
        <v/>
      </c>
      <c r="BB1039">
        <f>IF(OR(BB$4="",$A1039&gt;TODAY()),0,IF(OR(INDEX($B1039:$D1039,BB$5)="F",AND(BB$6&gt;0,$A1039&lt;BB$6),AND(BB$7&gt;0,$A1039&gt;BB$7)),0,MAX(0,ROUND((INDEX($E1039:$G1039,BB$5)-SUMIFS(TF_Timer,TF_Tekniker,BB$4,TF_Dato,$A1039))*2,0)/2)))</f>
        <v/>
      </c>
      <c r="BC1039">
        <f>IF(OR(BC$4="",$A1039&gt;TODAY()),0,IF(OR(INDEX($B1039:$D1039,BC$5)="F",AND(BC$6&gt;0,$A1039&lt;BC$6),AND(BC$7&gt;0,$A1039&gt;BC$7)),0,MAX(0,ROUND((INDEX($E1039:$G1039,BC$5)-SUMIFS(TF_Timer,TF_Tekniker,BC$4,TF_Dato,$A1039))*2,0)/2)))</f>
        <v/>
      </c>
      <c r="BD1039">
        <f>IF(OR(BD$4="",$A1039&gt;TODAY()),0,IF(OR(INDEX($B1039:$D1039,BD$5)="F",AND(BD$6&gt;0,$A1039&lt;BD$6),AND(BD$7&gt;0,$A1039&gt;BD$7)),0,MAX(0,ROUND((INDEX($E1039:$G1039,BD$5)-SUMIFS(TF_Timer,TF_Tekniker,BD$4,TF_Dato,$A1039))*2,0)/2)))</f>
        <v/>
      </c>
      <c r="BE1039">
        <f>IF(OR(BE$4="",$A1039&gt;TODAY()),0,IF(OR(INDEX($B1039:$D1039,BE$5)="F",AND(BE$6&gt;0,$A1039&lt;BE$6),AND(BE$7&gt;0,$A1039&gt;BE$7)),0,MAX(0,ROUND((INDEX($E1039:$G1039,BE$5)-SUMIFS(TF_Timer,TF_Tekniker,BE$4,TF_Dato,$A1039))*2,0)/2)))</f>
        <v/>
      </c>
      <c r="BF1039">
        <f>IF(OR(BF$4="",$A1039&gt;TODAY()),0,IF(OR(INDEX($B1039:$D1039,BF$5)="F",AND(BF$6&gt;0,$A1039&lt;BF$6),AND(BF$7&gt;0,$A1039&gt;BF$7)),0,MAX(0,ROUND((INDEX($E1039:$G1039,BF$5)-SUMIFS(TF_Timer,TF_Tekniker,BF$4,TF_Dato,$A1039))*2,0)/2)))</f>
        <v/>
      </c>
      <c r="BG1039">
        <f>IF(OR(BG$4="",$A1039&gt;TODAY()),0,IF(OR(INDEX($B1039:$D1039,BG$5)="F",AND(BG$6&gt;0,$A1039&lt;BG$6),AND(BG$7&gt;0,$A1039&gt;BG$7)),0,MAX(0,ROUND((INDEX($E1039:$G1039,BG$5)-SUMIFS(TF_Timer,TF_Tekniker,BG$4,TF_Dato,$A1039))*2,0)/2)))</f>
        <v/>
      </c>
      <c r="BH1039">
        <f>IF(OR(BH$4="",$A1039&gt;TODAY()),0,IF(OR(INDEX($B1039:$D1039,BH$5)="F",AND(BH$6&gt;0,$A1039&lt;BH$6),AND(BH$7&gt;0,$A1039&gt;BH$7)),0,MAX(0,ROUND((INDEX($E1039:$G1039,BH$5)-SUMIFS(TF_Timer,TF_Tekniker,BH$4,TF_Dato,$A1039))*2,0)/2)))</f>
        <v/>
      </c>
      <c r="BI1039">
        <f>IF(OR(BI$4="",$A1039&gt;TODAY()),0,IF(OR(INDEX($B1039:$D1039,BI$5)="F",AND(BI$6&gt;0,$A1039&lt;BI$6),AND(BI$7&gt;0,$A1039&gt;BI$7)),0,MAX(0,ROUND((INDEX($E1039:$G1039,BI$5)-SUMIFS(TF_Timer,TF_Tekniker,BI$4,TF_Dato,$A1039))*2,0)/2)))</f>
        <v/>
      </c>
    </row>
    <row r="1040">
      <c r="A1040" s="64">
        <f>A1039+1</f>
        <v/>
      </c>
      <c r="B1040">
        <f>IF(MOD($A1040-INDEX(SkiftStart,1),Syklus)&lt;DagK,"K",IF(MOD($A1040-INDEX(SkiftStart,1),Syklus)&lt;DagK+DagH,"H",IF(MOD($A1040-INDEX(SkiftStart,1),Syklus)&lt;DagK+DagH+DagD,"D","F")))</f>
        <v/>
      </c>
      <c r="C1040">
        <f>IF(MOD($A1040-INDEX(SkiftStart,2),Syklus)&lt;DagK,"K",IF(MOD($A1040-INDEX(SkiftStart,2),Syklus)&lt;DagK+DagH,"H",IF(MOD($A1040-INDEX(SkiftStart,2),Syklus)&lt;DagK+DagH+DagD,"D","F")))</f>
        <v/>
      </c>
      <c r="D1040">
        <f>IF(MOD($A1040-INDEX(SkiftStart,3),Syklus)&lt;DagK,"K",IF(MOD($A1040-INDEX(SkiftStart,3),Syklus)&lt;DagK+DagH,"H",IF(MOD($A1040-INDEX(SkiftStart,3),Syklus)&lt;DagK+DagH+DagD,"D","F")))</f>
        <v/>
      </c>
      <c r="E1040">
        <f>IF(B1040="F",0,IF(WEEKDAY($A1040,2)=5,INDEX(TimerFr,MATCH(B1040,FaseKode,0)),INDEX(TimerMT,MATCH(B1040,FaseKode,0))))</f>
        <v/>
      </c>
      <c r="F1040">
        <f>IF(C1040="F",0,IF(WEEKDAY($A1040,2)=5,INDEX(TimerFr,MATCH(C1040,FaseKode,0)),INDEX(TimerMT,MATCH(C1040,FaseKode,0))))</f>
        <v/>
      </c>
      <c r="G1040">
        <f>IF(D1040="F",0,IF(WEEKDAY($A1040,2)=5,INDEX(TimerFr,MATCH(D1040,FaseKode,0)),INDEX(TimerMT,MATCH(D1040,FaseKode,0))))</f>
        <v/>
      </c>
      <c r="H1040">
        <f>IF(OR(H$4="",$A1040&gt;TODAY()),0,IF(OR(INDEX($B1040:$D1040,H$5)="F",AND(H$6&gt;0,$A1040&lt;H$6),AND(H$7&gt;0,$A1040&gt;H$7)),0,MAX(0,ROUND((INDEX($E1040:$G1040,H$5)-SUMIFS(TF_Timer,TF_Tekniker,H$4,TF_Dato,$A1040))*2,0)/2)))</f>
        <v/>
      </c>
      <c r="I1040">
        <f>IF(OR(I$4="",$A1040&gt;TODAY()),0,IF(OR(INDEX($B1040:$D1040,I$5)="F",AND(I$6&gt;0,$A1040&lt;I$6),AND(I$7&gt;0,$A1040&gt;I$7)),0,MAX(0,ROUND((INDEX($E1040:$G1040,I$5)-SUMIFS(TF_Timer,TF_Tekniker,I$4,TF_Dato,$A1040))*2,0)/2)))</f>
        <v/>
      </c>
      <c r="J1040">
        <f>IF(OR(J$4="",$A1040&gt;TODAY()),0,IF(OR(INDEX($B1040:$D1040,J$5)="F",AND(J$6&gt;0,$A1040&lt;J$6),AND(J$7&gt;0,$A1040&gt;J$7)),0,MAX(0,ROUND((INDEX($E1040:$G1040,J$5)-SUMIFS(TF_Timer,TF_Tekniker,J$4,TF_Dato,$A1040))*2,0)/2)))</f>
        <v/>
      </c>
      <c r="K1040">
        <f>IF(OR(K$4="",$A1040&gt;TODAY()),0,IF(OR(INDEX($B1040:$D1040,K$5)="F",AND(K$6&gt;0,$A1040&lt;K$6),AND(K$7&gt;0,$A1040&gt;K$7)),0,MAX(0,ROUND((INDEX($E1040:$G1040,K$5)-SUMIFS(TF_Timer,TF_Tekniker,K$4,TF_Dato,$A1040))*2,0)/2)))</f>
        <v/>
      </c>
      <c r="L1040">
        <f>IF(OR(L$4="",$A1040&gt;TODAY()),0,IF(OR(INDEX($B1040:$D1040,L$5)="F",AND(L$6&gt;0,$A1040&lt;L$6),AND(L$7&gt;0,$A1040&gt;L$7)),0,MAX(0,ROUND((INDEX($E1040:$G1040,L$5)-SUMIFS(TF_Timer,TF_Tekniker,L$4,TF_Dato,$A1040))*2,0)/2)))</f>
        <v/>
      </c>
      <c r="M1040">
        <f>IF(OR(M$4="",$A1040&gt;TODAY()),0,IF(OR(INDEX($B1040:$D1040,M$5)="F",AND(M$6&gt;0,$A1040&lt;M$6),AND(M$7&gt;0,$A1040&gt;M$7)),0,MAX(0,ROUND((INDEX($E1040:$G1040,M$5)-SUMIFS(TF_Timer,TF_Tekniker,M$4,TF_Dato,$A1040))*2,0)/2)))</f>
        <v/>
      </c>
      <c r="N1040">
        <f>IF(OR(N$4="",$A1040&gt;TODAY()),0,IF(OR(INDEX($B1040:$D1040,N$5)="F",AND(N$6&gt;0,$A1040&lt;N$6),AND(N$7&gt;0,$A1040&gt;N$7)),0,MAX(0,ROUND((INDEX($E1040:$G1040,N$5)-SUMIFS(TF_Timer,TF_Tekniker,N$4,TF_Dato,$A1040))*2,0)/2)))</f>
        <v/>
      </c>
      <c r="O1040">
        <f>IF(OR(O$4="",$A1040&gt;TODAY()),0,IF(OR(INDEX($B1040:$D1040,O$5)="F",AND(O$6&gt;0,$A1040&lt;O$6),AND(O$7&gt;0,$A1040&gt;O$7)),0,MAX(0,ROUND((INDEX($E1040:$G1040,O$5)-SUMIFS(TF_Timer,TF_Tekniker,O$4,TF_Dato,$A1040))*2,0)/2)))</f>
        <v/>
      </c>
      <c r="P1040">
        <f>IF(OR(P$4="",$A1040&gt;TODAY()),0,IF(OR(INDEX($B1040:$D1040,P$5)="F",AND(P$6&gt;0,$A1040&lt;P$6),AND(P$7&gt;0,$A1040&gt;P$7)),0,MAX(0,ROUND((INDEX($E1040:$G1040,P$5)-SUMIFS(TF_Timer,TF_Tekniker,P$4,TF_Dato,$A1040))*2,0)/2)))</f>
        <v/>
      </c>
      <c r="Q1040">
        <f>IF(OR(Q$4="",$A1040&gt;TODAY()),0,IF(OR(INDEX($B1040:$D1040,Q$5)="F",AND(Q$6&gt;0,$A1040&lt;Q$6),AND(Q$7&gt;0,$A1040&gt;Q$7)),0,MAX(0,ROUND((INDEX($E1040:$G1040,Q$5)-SUMIFS(TF_Timer,TF_Tekniker,Q$4,TF_Dato,$A1040))*2,0)/2)))</f>
        <v/>
      </c>
      <c r="R1040">
        <f>IF(OR(R$4="",$A1040&gt;TODAY()),0,IF(OR(INDEX($B1040:$D1040,R$5)="F",AND(R$6&gt;0,$A1040&lt;R$6),AND(R$7&gt;0,$A1040&gt;R$7)),0,MAX(0,ROUND((INDEX($E1040:$G1040,R$5)-SUMIFS(TF_Timer,TF_Tekniker,R$4,TF_Dato,$A1040))*2,0)/2)))</f>
        <v/>
      </c>
      <c r="S1040">
        <f>IF(OR(S$4="",$A1040&gt;TODAY()),0,IF(OR(INDEX($B1040:$D1040,S$5)="F",AND(S$6&gt;0,$A1040&lt;S$6),AND(S$7&gt;0,$A1040&gt;S$7)),0,MAX(0,ROUND((INDEX($E1040:$G1040,S$5)-SUMIFS(TF_Timer,TF_Tekniker,S$4,TF_Dato,$A1040))*2,0)/2)))</f>
        <v/>
      </c>
      <c r="T1040">
        <f>IF(OR(T$4="",$A1040&gt;TODAY()),0,IF(OR(INDEX($B1040:$D1040,T$5)="F",AND(T$6&gt;0,$A1040&lt;T$6),AND(T$7&gt;0,$A1040&gt;T$7)),0,MAX(0,ROUND((INDEX($E1040:$G1040,T$5)-SUMIFS(TF_Timer,TF_Tekniker,T$4,TF_Dato,$A1040))*2,0)/2)))</f>
        <v/>
      </c>
      <c r="U1040">
        <f>IF(OR(U$4="",$A1040&gt;TODAY()),0,IF(OR(INDEX($B1040:$D1040,U$5)="F",AND(U$6&gt;0,$A1040&lt;U$6),AND(U$7&gt;0,$A1040&gt;U$7)),0,MAX(0,ROUND((INDEX($E1040:$G1040,U$5)-SUMIFS(TF_Timer,TF_Tekniker,U$4,TF_Dato,$A1040))*2,0)/2)))</f>
        <v/>
      </c>
      <c r="V1040">
        <f>IF(OR(V$4="",$A1040&gt;TODAY()),0,IF(OR(INDEX($B1040:$D1040,V$5)="F",AND(V$6&gt;0,$A1040&lt;V$6),AND(V$7&gt;0,$A1040&gt;V$7)),0,MAX(0,ROUND((INDEX($E1040:$G1040,V$5)-SUMIFS(TF_Timer,TF_Tekniker,V$4,TF_Dato,$A1040))*2,0)/2)))</f>
        <v/>
      </c>
      <c r="W1040">
        <f>IF(OR(W$4="",$A1040&gt;TODAY()),0,IF(OR(INDEX($B1040:$D1040,W$5)="F",AND(W$6&gt;0,$A1040&lt;W$6),AND(W$7&gt;0,$A1040&gt;W$7)),0,MAX(0,ROUND((INDEX($E1040:$G1040,W$5)-SUMIFS(TF_Timer,TF_Tekniker,W$4,TF_Dato,$A1040))*2,0)/2)))</f>
        <v/>
      </c>
      <c r="X1040">
        <f>IF(OR(X$4="",$A1040&gt;TODAY()),0,IF(OR(INDEX($B1040:$D1040,X$5)="F",AND(X$6&gt;0,$A1040&lt;X$6),AND(X$7&gt;0,$A1040&gt;X$7)),0,MAX(0,ROUND((INDEX($E1040:$G1040,X$5)-SUMIFS(TF_Timer,TF_Tekniker,X$4,TF_Dato,$A1040))*2,0)/2)))</f>
        <v/>
      </c>
      <c r="Y1040">
        <f>IF(OR(Y$4="",$A1040&gt;TODAY()),0,IF(OR(INDEX($B1040:$D1040,Y$5)="F",AND(Y$6&gt;0,$A1040&lt;Y$6),AND(Y$7&gt;0,$A1040&gt;Y$7)),0,MAX(0,ROUND((INDEX($E1040:$G1040,Y$5)-SUMIFS(TF_Timer,TF_Tekniker,Y$4,TF_Dato,$A1040))*2,0)/2)))</f>
        <v/>
      </c>
      <c r="Z1040">
        <f>IF(OR(Z$4="",$A1040&gt;TODAY()),0,IF(OR(INDEX($B1040:$D1040,Z$5)="F",AND(Z$6&gt;0,$A1040&lt;Z$6),AND(Z$7&gt;0,$A1040&gt;Z$7)),0,MAX(0,ROUND((INDEX($E1040:$G1040,Z$5)-SUMIFS(TF_Timer,TF_Tekniker,Z$4,TF_Dato,$A1040))*2,0)/2)))</f>
        <v/>
      </c>
      <c r="AA1040">
        <f>IF(OR(AA$4="",$A1040&gt;TODAY()),0,IF(OR(INDEX($B1040:$D1040,AA$5)="F",AND(AA$6&gt;0,$A1040&lt;AA$6),AND(AA$7&gt;0,$A1040&gt;AA$7)),0,MAX(0,ROUND((INDEX($E1040:$G1040,AA$5)-SUMIFS(TF_Timer,TF_Tekniker,AA$4,TF_Dato,$A1040))*2,0)/2)))</f>
        <v/>
      </c>
      <c r="AB1040">
        <f>IF(OR(AB$4="",$A1040&gt;TODAY()),0,IF(OR(INDEX($B1040:$D1040,AB$5)="F",AND(AB$6&gt;0,$A1040&lt;AB$6),AND(AB$7&gt;0,$A1040&gt;AB$7)),0,MAX(0,ROUND((INDEX($E1040:$G1040,AB$5)-SUMIFS(TF_Timer,TF_Tekniker,AB$4,TF_Dato,$A1040))*2,0)/2)))</f>
        <v/>
      </c>
      <c r="AC1040">
        <f>IF(OR(AC$4="",$A1040&gt;TODAY()),0,IF(OR(INDEX($B1040:$D1040,AC$5)="F",AND(AC$6&gt;0,$A1040&lt;AC$6),AND(AC$7&gt;0,$A1040&gt;AC$7)),0,MAX(0,ROUND((INDEX($E1040:$G1040,AC$5)-SUMIFS(TF_Timer,TF_Tekniker,AC$4,TF_Dato,$A1040))*2,0)/2)))</f>
        <v/>
      </c>
      <c r="AD1040">
        <f>IF(OR(AD$4="",$A1040&gt;TODAY()),0,IF(OR(INDEX($B1040:$D1040,AD$5)="F",AND(AD$6&gt;0,$A1040&lt;AD$6),AND(AD$7&gt;0,$A1040&gt;AD$7)),0,MAX(0,ROUND((INDEX($E1040:$G1040,AD$5)-SUMIFS(TF_Timer,TF_Tekniker,AD$4,TF_Dato,$A1040))*2,0)/2)))</f>
        <v/>
      </c>
      <c r="AE1040">
        <f>IF(OR(AE$4="",$A1040&gt;TODAY()),0,IF(OR(INDEX($B1040:$D1040,AE$5)="F",AND(AE$6&gt;0,$A1040&lt;AE$6),AND(AE$7&gt;0,$A1040&gt;AE$7)),0,MAX(0,ROUND((INDEX($E1040:$G1040,AE$5)-SUMIFS(TF_Timer,TF_Tekniker,AE$4,TF_Dato,$A1040))*2,0)/2)))</f>
        <v/>
      </c>
      <c r="AF1040">
        <f>IF(OR(AF$4="",$A1040&gt;TODAY()),0,IF(OR(INDEX($B1040:$D1040,AF$5)="F",AND(AF$6&gt;0,$A1040&lt;AF$6),AND(AF$7&gt;0,$A1040&gt;AF$7)),0,MAX(0,ROUND((INDEX($E1040:$G1040,AF$5)-SUMIFS(TF_Timer,TF_Tekniker,AF$4,TF_Dato,$A1040))*2,0)/2)))</f>
        <v/>
      </c>
      <c r="AG1040">
        <f>IF(OR(AG$4="",$A1040&gt;TODAY()),0,IF(OR(INDEX($B1040:$D1040,AG$5)="F",AND(AG$6&gt;0,$A1040&lt;AG$6),AND(AG$7&gt;0,$A1040&gt;AG$7)),0,MAX(0,ROUND((INDEX($E1040:$G1040,AG$5)-SUMIFS(TF_Timer,TF_Tekniker,AG$4,TF_Dato,$A1040))*2,0)/2)))</f>
        <v/>
      </c>
      <c r="AH1040">
        <f>IF(OR(AH$4="",$A1040&gt;TODAY()),0,IF(OR(INDEX($B1040:$D1040,AH$5)="F",AND(AH$6&gt;0,$A1040&lt;AH$6),AND(AH$7&gt;0,$A1040&gt;AH$7)),0,MAX(0,ROUND((INDEX($E1040:$G1040,AH$5)-SUMIFS(TF_Timer,TF_Tekniker,AH$4,TF_Dato,$A1040))*2,0)/2)))</f>
        <v/>
      </c>
      <c r="AI1040">
        <f>IF(OR(AI$4="",$A1040&gt;TODAY()),0,IF(OR(INDEX($B1040:$D1040,AI$5)="F",AND(AI$6&gt;0,$A1040&lt;AI$6),AND(AI$7&gt;0,$A1040&gt;AI$7)),0,MAX(0,ROUND((INDEX($E1040:$G1040,AI$5)-SUMIFS(TF_Timer,TF_Tekniker,AI$4,TF_Dato,$A1040))*2,0)/2)))</f>
        <v/>
      </c>
      <c r="AJ1040">
        <f>IF(OR(AJ$4="",$A1040&gt;TODAY()),0,IF(OR(INDEX($B1040:$D1040,AJ$5)="F",AND(AJ$6&gt;0,$A1040&lt;AJ$6),AND(AJ$7&gt;0,$A1040&gt;AJ$7)),0,MAX(0,ROUND((INDEX($E1040:$G1040,AJ$5)-SUMIFS(TF_Timer,TF_Tekniker,AJ$4,TF_Dato,$A1040))*2,0)/2)))</f>
        <v/>
      </c>
      <c r="AK1040">
        <f>IF(OR(AK$4="",$A1040&gt;TODAY()),0,IF(OR(INDEX($B1040:$D1040,AK$5)="F",AND(AK$6&gt;0,$A1040&lt;AK$6),AND(AK$7&gt;0,$A1040&gt;AK$7)),0,MAX(0,ROUND((INDEX($E1040:$G1040,AK$5)-SUMIFS(TF_Timer,TF_Tekniker,AK$4,TF_Dato,$A1040))*2,0)/2)))</f>
        <v/>
      </c>
      <c r="AL1040">
        <f>IF(OR(AL$4="",$A1040&gt;TODAY()),0,IF(OR(INDEX($B1040:$D1040,AL$5)="F",AND(AL$6&gt;0,$A1040&lt;AL$6),AND(AL$7&gt;0,$A1040&gt;AL$7)),0,MAX(0,ROUND((INDEX($E1040:$G1040,AL$5)-SUMIFS(TF_Timer,TF_Tekniker,AL$4,TF_Dato,$A1040))*2,0)/2)))</f>
        <v/>
      </c>
      <c r="AM1040">
        <f>IF(OR(AM$4="",$A1040&gt;TODAY()),0,IF(OR(INDEX($B1040:$D1040,AM$5)="F",AND(AM$6&gt;0,$A1040&lt;AM$6),AND(AM$7&gt;0,$A1040&gt;AM$7)),0,MAX(0,ROUND((INDEX($E1040:$G1040,AM$5)-SUMIFS(TF_Timer,TF_Tekniker,AM$4,TF_Dato,$A1040))*2,0)/2)))</f>
        <v/>
      </c>
      <c r="AN1040">
        <f>IF(OR(AN$4="",$A1040&gt;TODAY()),0,IF(OR(INDEX($B1040:$D1040,AN$5)="F",AND(AN$6&gt;0,$A1040&lt;AN$6),AND(AN$7&gt;0,$A1040&gt;AN$7)),0,MAX(0,ROUND((INDEX($E1040:$G1040,AN$5)-SUMIFS(TF_Timer,TF_Tekniker,AN$4,TF_Dato,$A1040))*2,0)/2)))</f>
        <v/>
      </c>
      <c r="AO1040">
        <f>IF(OR(AO$4="",$A1040&gt;TODAY()),0,IF(OR(INDEX($B1040:$D1040,AO$5)="F",AND(AO$6&gt;0,$A1040&lt;AO$6),AND(AO$7&gt;0,$A1040&gt;AO$7)),0,MAX(0,ROUND((INDEX($E1040:$G1040,AO$5)-SUMIFS(TF_Timer,TF_Tekniker,AO$4,TF_Dato,$A1040))*2,0)/2)))</f>
        <v/>
      </c>
      <c r="AP1040">
        <f>IF(OR(AP$4="",$A1040&gt;TODAY()),0,IF(OR(INDEX($B1040:$D1040,AP$5)="F",AND(AP$6&gt;0,$A1040&lt;AP$6),AND(AP$7&gt;0,$A1040&gt;AP$7)),0,MAX(0,ROUND((INDEX($E1040:$G1040,AP$5)-SUMIFS(TF_Timer,TF_Tekniker,AP$4,TF_Dato,$A1040))*2,0)/2)))</f>
        <v/>
      </c>
      <c r="AQ1040">
        <f>IF(OR(AQ$4="",$A1040&gt;TODAY()),0,IF(OR(INDEX($B1040:$D1040,AQ$5)="F",AND(AQ$6&gt;0,$A1040&lt;AQ$6),AND(AQ$7&gt;0,$A1040&gt;AQ$7)),0,MAX(0,ROUND((INDEX($E1040:$G1040,AQ$5)-SUMIFS(TF_Timer,TF_Tekniker,AQ$4,TF_Dato,$A1040))*2,0)/2)))</f>
        <v/>
      </c>
      <c r="AR1040">
        <f>IF(OR(AR$4="",$A1040&gt;TODAY()),0,IF(OR(INDEX($B1040:$D1040,AR$5)="F",AND(AR$6&gt;0,$A1040&lt;AR$6),AND(AR$7&gt;0,$A1040&gt;AR$7)),0,MAX(0,ROUND((INDEX($E1040:$G1040,AR$5)-SUMIFS(TF_Timer,TF_Tekniker,AR$4,TF_Dato,$A1040))*2,0)/2)))</f>
        <v/>
      </c>
      <c r="AS1040">
        <f>IF(OR(AS$4="",$A1040&gt;TODAY()),0,IF(OR(INDEX($B1040:$D1040,AS$5)="F",AND(AS$6&gt;0,$A1040&lt;AS$6),AND(AS$7&gt;0,$A1040&gt;AS$7)),0,MAX(0,ROUND((INDEX($E1040:$G1040,AS$5)-SUMIFS(TF_Timer,TF_Tekniker,AS$4,TF_Dato,$A1040))*2,0)/2)))</f>
        <v/>
      </c>
      <c r="AT1040">
        <f>IF(OR(AT$4="",$A1040&gt;TODAY()),0,IF(OR(INDEX($B1040:$D1040,AT$5)="F",AND(AT$6&gt;0,$A1040&lt;AT$6),AND(AT$7&gt;0,$A1040&gt;AT$7)),0,MAX(0,ROUND((INDEX($E1040:$G1040,AT$5)-SUMIFS(TF_Timer,TF_Tekniker,AT$4,TF_Dato,$A1040))*2,0)/2)))</f>
        <v/>
      </c>
      <c r="AU1040">
        <f>IF(OR(AU$4="",$A1040&gt;TODAY()),0,IF(OR(INDEX($B1040:$D1040,AU$5)="F",AND(AU$6&gt;0,$A1040&lt;AU$6),AND(AU$7&gt;0,$A1040&gt;AU$7)),0,MAX(0,ROUND((INDEX($E1040:$G1040,AU$5)-SUMIFS(TF_Timer,TF_Tekniker,AU$4,TF_Dato,$A1040))*2,0)/2)))</f>
        <v/>
      </c>
      <c r="AV1040">
        <f>IF(OR(AV$4="",$A1040&gt;TODAY()),0,IF(OR(INDEX($B1040:$D1040,AV$5)="F",AND(AV$6&gt;0,$A1040&lt;AV$6),AND(AV$7&gt;0,$A1040&gt;AV$7)),0,MAX(0,ROUND((INDEX($E1040:$G1040,AV$5)-SUMIFS(TF_Timer,TF_Tekniker,AV$4,TF_Dato,$A1040))*2,0)/2)))</f>
        <v/>
      </c>
      <c r="AW1040">
        <f>IF(OR(AW$4="",$A1040&gt;TODAY()),0,IF(OR(INDEX($B1040:$D1040,AW$5)="F",AND(AW$6&gt;0,$A1040&lt;AW$6),AND(AW$7&gt;0,$A1040&gt;AW$7)),0,MAX(0,ROUND((INDEX($E1040:$G1040,AW$5)-SUMIFS(TF_Timer,TF_Tekniker,AW$4,TF_Dato,$A1040))*2,0)/2)))</f>
        <v/>
      </c>
      <c r="AX1040">
        <f>IF(OR(AX$4="",$A1040&gt;TODAY()),0,IF(OR(INDEX($B1040:$D1040,AX$5)="F",AND(AX$6&gt;0,$A1040&lt;AX$6),AND(AX$7&gt;0,$A1040&gt;AX$7)),0,MAX(0,ROUND((INDEX($E1040:$G1040,AX$5)-SUMIFS(TF_Timer,TF_Tekniker,AX$4,TF_Dato,$A1040))*2,0)/2)))</f>
        <v/>
      </c>
      <c r="AY1040">
        <f>IF(OR(AY$4="",$A1040&gt;TODAY()),0,IF(OR(INDEX($B1040:$D1040,AY$5)="F",AND(AY$6&gt;0,$A1040&lt;AY$6),AND(AY$7&gt;0,$A1040&gt;AY$7)),0,MAX(0,ROUND((INDEX($E1040:$G1040,AY$5)-SUMIFS(TF_Timer,TF_Tekniker,AY$4,TF_Dato,$A1040))*2,0)/2)))</f>
        <v/>
      </c>
      <c r="AZ1040">
        <f>IF(OR(AZ$4="",$A1040&gt;TODAY()),0,IF(OR(INDEX($B1040:$D1040,AZ$5)="F",AND(AZ$6&gt;0,$A1040&lt;AZ$6),AND(AZ$7&gt;0,$A1040&gt;AZ$7)),0,MAX(0,ROUND((INDEX($E1040:$G1040,AZ$5)-SUMIFS(TF_Timer,TF_Tekniker,AZ$4,TF_Dato,$A1040))*2,0)/2)))</f>
        <v/>
      </c>
      <c r="BA1040">
        <f>IF(OR(BA$4="",$A1040&gt;TODAY()),0,IF(OR(INDEX($B1040:$D1040,BA$5)="F",AND(BA$6&gt;0,$A1040&lt;BA$6),AND(BA$7&gt;0,$A1040&gt;BA$7)),0,MAX(0,ROUND((INDEX($E1040:$G1040,BA$5)-SUMIFS(TF_Timer,TF_Tekniker,BA$4,TF_Dato,$A1040))*2,0)/2)))</f>
        <v/>
      </c>
      <c r="BB1040">
        <f>IF(OR(BB$4="",$A1040&gt;TODAY()),0,IF(OR(INDEX($B1040:$D1040,BB$5)="F",AND(BB$6&gt;0,$A1040&lt;BB$6),AND(BB$7&gt;0,$A1040&gt;BB$7)),0,MAX(0,ROUND((INDEX($E1040:$G1040,BB$5)-SUMIFS(TF_Timer,TF_Tekniker,BB$4,TF_Dato,$A1040))*2,0)/2)))</f>
        <v/>
      </c>
      <c r="BC1040">
        <f>IF(OR(BC$4="",$A1040&gt;TODAY()),0,IF(OR(INDEX($B1040:$D1040,BC$5)="F",AND(BC$6&gt;0,$A1040&lt;BC$6),AND(BC$7&gt;0,$A1040&gt;BC$7)),0,MAX(0,ROUND((INDEX($E1040:$G1040,BC$5)-SUMIFS(TF_Timer,TF_Tekniker,BC$4,TF_Dato,$A1040))*2,0)/2)))</f>
        <v/>
      </c>
      <c r="BD1040">
        <f>IF(OR(BD$4="",$A1040&gt;TODAY()),0,IF(OR(INDEX($B1040:$D1040,BD$5)="F",AND(BD$6&gt;0,$A1040&lt;BD$6),AND(BD$7&gt;0,$A1040&gt;BD$7)),0,MAX(0,ROUND((INDEX($E1040:$G1040,BD$5)-SUMIFS(TF_Timer,TF_Tekniker,BD$4,TF_Dato,$A1040))*2,0)/2)))</f>
        <v/>
      </c>
      <c r="BE1040">
        <f>IF(OR(BE$4="",$A1040&gt;TODAY()),0,IF(OR(INDEX($B1040:$D1040,BE$5)="F",AND(BE$6&gt;0,$A1040&lt;BE$6),AND(BE$7&gt;0,$A1040&gt;BE$7)),0,MAX(0,ROUND((INDEX($E1040:$G1040,BE$5)-SUMIFS(TF_Timer,TF_Tekniker,BE$4,TF_Dato,$A1040))*2,0)/2)))</f>
        <v/>
      </c>
      <c r="BF1040">
        <f>IF(OR(BF$4="",$A1040&gt;TODAY()),0,IF(OR(INDEX($B1040:$D1040,BF$5)="F",AND(BF$6&gt;0,$A1040&lt;BF$6),AND(BF$7&gt;0,$A1040&gt;BF$7)),0,MAX(0,ROUND((INDEX($E1040:$G1040,BF$5)-SUMIFS(TF_Timer,TF_Tekniker,BF$4,TF_Dato,$A1040))*2,0)/2)))</f>
        <v/>
      </c>
      <c r="BG1040">
        <f>IF(OR(BG$4="",$A1040&gt;TODAY()),0,IF(OR(INDEX($B1040:$D1040,BG$5)="F",AND(BG$6&gt;0,$A1040&lt;BG$6),AND(BG$7&gt;0,$A1040&gt;BG$7)),0,MAX(0,ROUND((INDEX($E1040:$G1040,BG$5)-SUMIFS(TF_Timer,TF_Tekniker,BG$4,TF_Dato,$A1040))*2,0)/2)))</f>
        <v/>
      </c>
      <c r="BH1040">
        <f>IF(OR(BH$4="",$A1040&gt;TODAY()),0,IF(OR(INDEX($B1040:$D1040,BH$5)="F",AND(BH$6&gt;0,$A1040&lt;BH$6),AND(BH$7&gt;0,$A1040&gt;BH$7)),0,MAX(0,ROUND((INDEX($E1040:$G1040,BH$5)-SUMIFS(TF_Timer,TF_Tekniker,BH$4,TF_Dato,$A1040))*2,0)/2)))</f>
        <v/>
      </c>
      <c r="BI1040">
        <f>IF(OR(BI$4="",$A1040&gt;TODAY()),0,IF(OR(INDEX($B1040:$D1040,BI$5)="F",AND(BI$6&gt;0,$A1040&lt;BI$6),AND(BI$7&gt;0,$A1040&gt;BI$7)),0,MAX(0,ROUND((INDEX($E1040:$G1040,BI$5)-SUMIFS(TF_Timer,TF_Tekniker,BI$4,TF_Dato,$A1040))*2,0)/2)))</f>
        <v/>
      </c>
    </row>
    <row r="1041">
      <c r="A1041" s="64">
        <f>A1040+1</f>
        <v/>
      </c>
      <c r="B1041">
        <f>IF(MOD($A1041-INDEX(SkiftStart,1),Syklus)&lt;DagK,"K",IF(MOD($A1041-INDEX(SkiftStart,1),Syklus)&lt;DagK+DagH,"H",IF(MOD($A1041-INDEX(SkiftStart,1),Syklus)&lt;DagK+DagH+DagD,"D","F")))</f>
        <v/>
      </c>
      <c r="C1041">
        <f>IF(MOD($A1041-INDEX(SkiftStart,2),Syklus)&lt;DagK,"K",IF(MOD($A1041-INDEX(SkiftStart,2),Syklus)&lt;DagK+DagH,"H",IF(MOD($A1041-INDEX(SkiftStart,2),Syklus)&lt;DagK+DagH+DagD,"D","F")))</f>
        <v/>
      </c>
      <c r="D1041">
        <f>IF(MOD($A1041-INDEX(SkiftStart,3),Syklus)&lt;DagK,"K",IF(MOD($A1041-INDEX(SkiftStart,3),Syklus)&lt;DagK+DagH,"H",IF(MOD($A1041-INDEX(SkiftStart,3),Syklus)&lt;DagK+DagH+DagD,"D","F")))</f>
        <v/>
      </c>
      <c r="E1041">
        <f>IF(B1041="F",0,IF(WEEKDAY($A1041,2)=5,INDEX(TimerFr,MATCH(B1041,FaseKode,0)),INDEX(TimerMT,MATCH(B1041,FaseKode,0))))</f>
        <v/>
      </c>
      <c r="F1041">
        <f>IF(C1041="F",0,IF(WEEKDAY($A1041,2)=5,INDEX(TimerFr,MATCH(C1041,FaseKode,0)),INDEX(TimerMT,MATCH(C1041,FaseKode,0))))</f>
        <v/>
      </c>
      <c r="G1041">
        <f>IF(D1041="F",0,IF(WEEKDAY($A1041,2)=5,INDEX(TimerFr,MATCH(D1041,FaseKode,0)),INDEX(TimerMT,MATCH(D1041,FaseKode,0))))</f>
        <v/>
      </c>
      <c r="H1041">
        <f>IF(OR(H$4="",$A1041&gt;TODAY()),0,IF(OR(INDEX($B1041:$D1041,H$5)="F",AND(H$6&gt;0,$A1041&lt;H$6),AND(H$7&gt;0,$A1041&gt;H$7)),0,MAX(0,ROUND((INDEX($E1041:$G1041,H$5)-SUMIFS(TF_Timer,TF_Tekniker,H$4,TF_Dato,$A1041))*2,0)/2)))</f>
        <v/>
      </c>
      <c r="I1041">
        <f>IF(OR(I$4="",$A1041&gt;TODAY()),0,IF(OR(INDEX($B1041:$D1041,I$5)="F",AND(I$6&gt;0,$A1041&lt;I$6),AND(I$7&gt;0,$A1041&gt;I$7)),0,MAX(0,ROUND((INDEX($E1041:$G1041,I$5)-SUMIFS(TF_Timer,TF_Tekniker,I$4,TF_Dato,$A1041))*2,0)/2)))</f>
        <v/>
      </c>
      <c r="J1041">
        <f>IF(OR(J$4="",$A1041&gt;TODAY()),0,IF(OR(INDEX($B1041:$D1041,J$5)="F",AND(J$6&gt;0,$A1041&lt;J$6),AND(J$7&gt;0,$A1041&gt;J$7)),0,MAX(0,ROUND((INDEX($E1041:$G1041,J$5)-SUMIFS(TF_Timer,TF_Tekniker,J$4,TF_Dato,$A1041))*2,0)/2)))</f>
        <v/>
      </c>
      <c r="K1041">
        <f>IF(OR(K$4="",$A1041&gt;TODAY()),0,IF(OR(INDEX($B1041:$D1041,K$5)="F",AND(K$6&gt;0,$A1041&lt;K$6),AND(K$7&gt;0,$A1041&gt;K$7)),0,MAX(0,ROUND((INDEX($E1041:$G1041,K$5)-SUMIFS(TF_Timer,TF_Tekniker,K$4,TF_Dato,$A1041))*2,0)/2)))</f>
        <v/>
      </c>
      <c r="L1041">
        <f>IF(OR(L$4="",$A1041&gt;TODAY()),0,IF(OR(INDEX($B1041:$D1041,L$5)="F",AND(L$6&gt;0,$A1041&lt;L$6),AND(L$7&gt;0,$A1041&gt;L$7)),0,MAX(0,ROUND((INDEX($E1041:$G1041,L$5)-SUMIFS(TF_Timer,TF_Tekniker,L$4,TF_Dato,$A1041))*2,0)/2)))</f>
        <v/>
      </c>
      <c r="M1041">
        <f>IF(OR(M$4="",$A1041&gt;TODAY()),0,IF(OR(INDEX($B1041:$D1041,M$5)="F",AND(M$6&gt;0,$A1041&lt;M$6),AND(M$7&gt;0,$A1041&gt;M$7)),0,MAX(0,ROUND((INDEX($E1041:$G1041,M$5)-SUMIFS(TF_Timer,TF_Tekniker,M$4,TF_Dato,$A1041))*2,0)/2)))</f>
        <v/>
      </c>
      <c r="N1041">
        <f>IF(OR(N$4="",$A1041&gt;TODAY()),0,IF(OR(INDEX($B1041:$D1041,N$5)="F",AND(N$6&gt;0,$A1041&lt;N$6),AND(N$7&gt;0,$A1041&gt;N$7)),0,MAX(0,ROUND((INDEX($E1041:$G1041,N$5)-SUMIFS(TF_Timer,TF_Tekniker,N$4,TF_Dato,$A1041))*2,0)/2)))</f>
        <v/>
      </c>
      <c r="O1041">
        <f>IF(OR(O$4="",$A1041&gt;TODAY()),0,IF(OR(INDEX($B1041:$D1041,O$5)="F",AND(O$6&gt;0,$A1041&lt;O$6),AND(O$7&gt;0,$A1041&gt;O$7)),0,MAX(0,ROUND((INDEX($E1041:$G1041,O$5)-SUMIFS(TF_Timer,TF_Tekniker,O$4,TF_Dato,$A1041))*2,0)/2)))</f>
        <v/>
      </c>
      <c r="P1041">
        <f>IF(OR(P$4="",$A1041&gt;TODAY()),0,IF(OR(INDEX($B1041:$D1041,P$5)="F",AND(P$6&gt;0,$A1041&lt;P$6),AND(P$7&gt;0,$A1041&gt;P$7)),0,MAX(0,ROUND((INDEX($E1041:$G1041,P$5)-SUMIFS(TF_Timer,TF_Tekniker,P$4,TF_Dato,$A1041))*2,0)/2)))</f>
        <v/>
      </c>
      <c r="Q1041">
        <f>IF(OR(Q$4="",$A1041&gt;TODAY()),0,IF(OR(INDEX($B1041:$D1041,Q$5)="F",AND(Q$6&gt;0,$A1041&lt;Q$6),AND(Q$7&gt;0,$A1041&gt;Q$7)),0,MAX(0,ROUND((INDEX($E1041:$G1041,Q$5)-SUMIFS(TF_Timer,TF_Tekniker,Q$4,TF_Dato,$A1041))*2,0)/2)))</f>
        <v/>
      </c>
      <c r="R1041">
        <f>IF(OR(R$4="",$A1041&gt;TODAY()),0,IF(OR(INDEX($B1041:$D1041,R$5)="F",AND(R$6&gt;0,$A1041&lt;R$6),AND(R$7&gt;0,$A1041&gt;R$7)),0,MAX(0,ROUND((INDEX($E1041:$G1041,R$5)-SUMIFS(TF_Timer,TF_Tekniker,R$4,TF_Dato,$A1041))*2,0)/2)))</f>
        <v/>
      </c>
      <c r="S1041">
        <f>IF(OR(S$4="",$A1041&gt;TODAY()),0,IF(OR(INDEX($B1041:$D1041,S$5)="F",AND(S$6&gt;0,$A1041&lt;S$6),AND(S$7&gt;0,$A1041&gt;S$7)),0,MAX(0,ROUND((INDEX($E1041:$G1041,S$5)-SUMIFS(TF_Timer,TF_Tekniker,S$4,TF_Dato,$A1041))*2,0)/2)))</f>
        <v/>
      </c>
      <c r="T1041">
        <f>IF(OR(T$4="",$A1041&gt;TODAY()),0,IF(OR(INDEX($B1041:$D1041,T$5)="F",AND(T$6&gt;0,$A1041&lt;T$6),AND(T$7&gt;0,$A1041&gt;T$7)),0,MAX(0,ROUND((INDEX($E1041:$G1041,T$5)-SUMIFS(TF_Timer,TF_Tekniker,T$4,TF_Dato,$A1041))*2,0)/2)))</f>
        <v/>
      </c>
      <c r="U1041">
        <f>IF(OR(U$4="",$A1041&gt;TODAY()),0,IF(OR(INDEX($B1041:$D1041,U$5)="F",AND(U$6&gt;0,$A1041&lt;U$6),AND(U$7&gt;0,$A1041&gt;U$7)),0,MAX(0,ROUND((INDEX($E1041:$G1041,U$5)-SUMIFS(TF_Timer,TF_Tekniker,U$4,TF_Dato,$A1041))*2,0)/2)))</f>
        <v/>
      </c>
      <c r="V1041">
        <f>IF(OR(V$4="",$A1041&gt;TODAY()),0,IF(OR(INDEX($B1041:$D1041,V$5)="F",AND(V$6&gt;0,$A1041&lt;V$6),AND(V$7&gt;0,$A1041&gt;V$7)),0,MAX(0,ROUND((INDEX($E1041:$G1041,V$5)-SUMIFS(TF_Timer,TF_Tekniker,V$4,TF_Dato,$A1041))*2,0)/2)))</f>
        <v/>
      </c>
      <c r="W1041">
        <f>IF(OR(W$4="",$A1041&gt;TODAY()),0,IF(OR(INDEX($B1041:$D1041,W$5)="F",AND(W$6&gt;0,$A1041&lt;W$6),AND(W$7&gt;0,$A1041&gt;W$7)),0,MAX(0,ROUND((INDEX($E1041:$G1041,W$5)-SUMIFS(TF_Timer,TF_Tekniker,W$4,TF_Dato,$A1041))*2,0)/2)))</f>
        <v/>
      </c>
      <c r="X1041">
        <f>IF(OR(X$4="",$A1041&gt;TODAY()),0,IF(OR(INDEX($B1041:$D1041,X$5)="F",AND(X$6&gt;0,$A1041&lt;X$6),AND(X$7&gt;0,$A1041&gt;X$7)),0,MAX(0,ROUND((INDEX($E1041:$G1041,X$5)-SUMIFS(TF_Timer,TF_Tekniker,X$4,TF_Dato,$A1041))*2,0)/2)))</f>
        <v/>
      </c>
      <c r="Y1041">
        <f>IF(OR(Y$4="",$A1041&gt;TODAY()),0,IF(OR(INDEX($B1041:$D1041,Y$5)="F",AND(Y$6&gt;0,$A1041&lt;Y$6),AND(Y$7&gt;0,$A1041&gt;Y$7)),0,MAX(0,ROUND((INDEX($E1041:$G1041,Y$5)-SUMIFS(TF_Timer,TF_Tekniker,Y$4,TF_Dato,$A1041))*2,0)/2)))</f>
        <v/>
      </c>
      <c r="Z1041">
        <f>IF(OR(Z$4="",$A1041&gt;TODAY()),0,IF(OR(INDEX($B1041:$D1041,Z$5)="F",AND(Z$6&gt;0,$A1041&lt;Z$6),AND(Z$7&gt;0,$A1041&gt;Z$7)),0,MAX(0,ROUND((INDEX($E1041:$G1041,Z$5)-SUMIFS(TF_Timer,TF_Tekniker,Z$4,TF_Dato,$A1041))*2,0)/2)))</f>
        <v/>
      </c>
      <c r="AA1041">
        <f>IF(OR(AA$4="",$A1041&gt;TODAY()),0,IF(OR(INDEX($B1041:$D1041,AA$5)="F",AND(AA$6&gt;0,$A1041&lt;AA$6),AND(AA$7&gt;0,$A1041&gt;AA$7)),0,MAX(0,ROUND((INDEX($E1041:$G1041,AA$5)-SUMIFS(TF_Timer,TF_Tekniker,AA$4,TF_Dato,$A1041))*2,0)/2)))</f>
        <v/>
      </c>
      <c r="AB1041">
        <f>IF(OR(AB$4="",$A1041&gt;TODAY()),0,IF(OR(INDEX($B1041:$D1041,AB$5)="F",AND(AB$6&gt;0,$A1041&lt;AB$6),AND(AB$7&gt;0,$A1041&gt;AB$7)),0,MAX(0,ROUND((INDEX($E1041:$G1041,AB$5)-SUMIFS(TF_Timer,TF_Tekniker,AB$4,TF_Dato,$A1041))*2,0)/2)))</f>
        <v/>
      </c>
      <c r="AC1041">
        <f>IF(OR(AC$4="",$A1041&gt;TODAY()),0,IF(OR(INDEX($B1041:$D1041,AC$5)="F",AND(AC$6&gt;0,$A1041&lt;AC$6),AND(AC$7&gt;0,$A1041&gt;AC$7)),0,MAX(0,ROUND((INDEX($E1041:$G1041,AC$5)-SUMIFS(TF_Timer,TF_Tekniker,AC$4,TF_Dato,$A1041))*2,0)/2)))</f>
        <v/>
      </c>
      <c r="AD1041">
        <f>IF(OR(AD$4="",$A1041&gt;TODAY()),0,IF(OR(INDEX($B1041:$D1041,AD$5)="F",AND(AD$6&gt;0,$A1041&lt;AD$6),AND(AD$7&gt;0,$A1041&gt;AD$7)),0,MAX(0,ROUND((INDEX($E1041:$G1041,AD$5)-SUMIFS(TF_Timer,TF_Tekniker,AD$4,TF_Dato,$A1041))*2,0)/2)))</f>
        <v/>
      </c>
      <c r="AE1041">
        <f>IF(OR(AE$4="",$A1041&gt;TODAY()),0,IF(OR(INDEX($B1041:$D1041,AE$5)="F",AND(AE$6&gt;0,$A1041&lt;AE$6),AND(AE$7&gt;0,$A1041&gt;AE$7)),0,MAX(0,ROUND((INDEX($E1041:$G1041,AE$5)-SUMIFS(TF_Timer,TF_Tekniker,AE$4,TF_Dato,$A1041))*2,0)/2)))</f>
        <v/>
      </c>
      <c r="AF1041">
        <f>IF(OR(AF$4="",$A1041&gt;TODAY()),0,IF(OR(INDEX($B1041:$D1041,AF$5)="F",AND(AF$6&gt;0,$A1041&lt;AF$6),AND(AF$7&gt;0,$A1041&gt;AF$7)),0,MAX(0,ROUND((INDEX($E1041:$G1041,AF$5)-SUMIFS(TF_Timer,TF_Tekniker,AF$4,TF_Dato,$A1041))*2,0)/2)))</f>
        <v/>
      </c>
      <c r="AG1041">
        <f>IF(OR(AG$4="",$A1041&gt;TODAY()),0,IF(OR(INDEX($B1041:$D1041,AG$5)="F",AND(AG$6&gt;0,$A1041&lt;AG$6),AND(AG$7&gt;0,$A1041&gt;AG$7)),0,MAX(0,ROUND((INDEX($E1041:$G1041,AG$5)-SUMIFS(TF_Timer,TF_Tekniker,AG$4,TF_Dato,$A1041))*2,0)/2)))</f>
        <v/>
      </c>
      <c r="AH1041">
        <f>IF(OR(AH$4="",$A1041&gt;TODAY()),0,IF(OR(INDEX($B1041:$D1041,AH$5)="F",AND(AH$6&gt;0,$A1041&lt;AH$6),AND(AH$7&gt;0,$A1041&gt;AH$7)),0,MAX(0,ROUND((INDEX($E1041:$G1041,AH$5)-SUMIFS(TF_Timer,TF_Tekniker,AH$4,TF_Dato,$A1041))*2,0)/2)))</f>
        <v/>
      </c>
      <c r="AI1041">
        <f>IF(OR(AI$4="",$A1041&gt;TODAY()),0,IF(OR(INDEX($B1041:$D1041,AI$5)="F",AND(AI$6&gt;0,$A1041&lt;AI$6),AND(AI$7&gt;0,$A1041&gt;AI$7)),0,MAX(0,ROUND((INDEX($E1041:$G1041,AI$5)-SUMIFS(TF_Timer,TF_Tekniker,AI$4,TF_Dato,$A1041))*2,0)/2)))</f>
        <v/>
      </c>
      <c r="AJ1041">
        <f>IF(OR(AJ$4="",$A1041&gt;TODAY()),0,IF(OR(INDEX($B1041:$D1041,AJ$5)="F",AND(AJ$6&gt;0,$A1041&lt;AJ$6),AND(AJ$7&gt;0,$A1041&gt;AJ$7)),0,MAX(0,ROUND((INDEX($E1041:$G1041,AJ$5)-SUMIFS(TF_Timer,TF_Tekniker,AJ$4,TF_Dato,$A1041))*2,0)/2)))</f>
        <v/>
      </c>
      <c r="AK1041">
        <f>IF(OR(AK$4="",$A1041&gt;TODAY()),0,IF(OR(INDEX($B1041:$D1041,AK$5)="F",AND(AK$6&gt;0,$A1041&lt;AK$6),AND(AK$7&gt;0,$A1041&gt;AK$7)),0,MAX(0,ROUND((INDEX($E1041:$G1041,AK$5)-SUMIFS(TF_Timer,TF_Tekniker,AK$4,TF_Dato,$A1041))*2,0)/2)))</f>
        <v/>
      </c>
      <c r="AL1041">
        <f>IF(OR(AL$4="",$A1041&gt;TODAY()),0,IF(OR(INDEX($B1041:$D1041,AL$5)="F",AND(AL$6&gt;0,$A1041&lt;AL$6),AND(AL$7&gt;0,$A1041&gt;AL$7)),0,MAX(0,ROUND((INDEX($E1041:$G1041,AL$5)-SUMIFS(TF_Timer,TF_Tekniker,AL$4,TF_Dato,$A1041))*2,0)/2)))</f>
        <v/>
      </c>
      <c r="AM1041">
        <f>IF(OR(AM$4="",$A1041&gt;TODAY()),0,IF(OR(INDEX($B1041:$D1041,AM$5)="F",AND(AM$6&gt;0,$A1041&lt;AM$6),AND(AM$7&gt;0,$A1041&gt;AM$7)),0,MAX(0,ROUND((INDEX($E1041:$G1041,AM$5)-SUMIFS(TF_Timer,TF_Tekniker,AM$4,TF_Dato,$A1041))*2,0)/2)))</f>
        <v/>
      </c>
      <c r="AN1041">
        <f>IF(OR(AN$4="",$A1041&gt;TODAY()),0,IF(OR(INDEX($B1041:$D1041,AN$5)="F",AND(AN$6&gt;0,$A1041&lt;AN$6),AND(AN$7&gt;0,$A1041&gt;AN$7)),0,MAX(0,ROUND((INDEX($E1041:$G1041,AN$5)-SUMIFS(TF_Timer,TF_Tekniker,AN$4,TF_Dato,$A1041))*2,0)/2)))</f>
        <v/>
      </c>
      <c r="AO1041">
        <f>IF(OR(AO$4="",$A1041&gt;TODAY()),0,IF(OR(INDEX($B1041:$D1041,AO$5)="F",AND(AO$6&gt;0,$A1041&lt;AO$6),AND(AO$7&gt;0,$A1041&gt;AO$7)),0,MAX(0,ROUND((INDEX($E1041:$G1041,AO$5)-SUMIFS(TF_Timer,TF_Tekniker,AO$4,TF_Dato,$A1041))*2,0)/2)))</f>
        <v/>
      </c>
      <c r="AP1041">
        <f>IF(OR(AP$4="",$A1041&gt;TODAY()),0,IF(OR(INDEX($B1041:$D1041,AP$5)="F",AND(AP$6&gt;0,$A1041&lt;AP$6),AND(AP$7&gt;0,$A1041&gt;AP$7)),0,MAX(0,ROUND((INDEX($E1041:$G1041,AP$5)-SUMIFS(TF_Timer,TF_Tekniker,AP$4,TF_Dato,$A1041))*2,0)/2)))</f>
        <v/>
      </c>
      <c r="AQ1041">
        <f>IF(OR(AQ$4="",$A1041&gt;TODAY()),0,IF(OR(INDEX($B1041:$D1041,AQ$5)="F",AND(AQ$6&gt;0,$A1041&lt;AQ$6),AND(AQ$7&gt;0,$A1041&gt;AQ$7)),0,MAX(0,ROUND((INDEX($E1041:$G1041,AQ$5)-SUMIFS(TF_Timer,TF_Tekniker,AQ$4,TF_Dato,$A1041))*2,0)/2)))</f>
        <v/>
      </c>
      <c r="AR1041">
        <f>IF(OR(AR$4="",$A1041&gt;TODAY()),0,IF(OR(INDEX($B1041:$D1041,AR$5)="F",AND(AR$6&gt;0,$A1041&lt;AR$6),AND(AR$7&gt;0,$A1041&gt;AR$7)),0,MAX(0,ROUND((INDEX($E1041:$G1041,AR$5)-SUMIFS(TF_Timer,TF_Tekniker,AR$4,TF_Dato,$A1041))*2,0)/2)))</f>
        <v/>
      </c>
      <c r="AS1041">
        <f>IF(OR(AS$4="",$A1041&gt;TODAY()),0,IF(OR(INDEX($B1041:$D1041,AS$5)="F",AND(AS$6&gt;0,$A1041&lt;AS$6),AND(AS$7&gt;0,$A1041&gt;AS$7)),0,MAX(0,ROUND((INDEX($E1041:$G1041,AS$5)-SUMIFS(TF_Timer,TF_Tekniker,AS$4,TF_Dato,$A1041))*2,0)/2)))</f>
        <v/>
      </c>
      <c r="AT1041">
        <f>IF(OR(AT$4="",$A1041&gt;TODAY()),0,IF(OR(INDEX($B1041:$D1041,AT$5)="F",AND(AT$6&gt;0,$A1041&lt;AT$6),AND(AT$7&gt;0,$A1041&gt;AT$7)),0,MAX(0,ROUND((INDEX($E1041:$G1041,AT$5)-SUMIFS(TF_Timer,TF_Tekniker,AT$4,TF_Dato,$A1041))*2,0)/2)))</f>
        <v/>
      </c>
      <c r="AU1041">
        <f>IF(OR(AU$4="",$A1041&gt;TODAY()),0,IF(OR(INDEX($B1041:$D1041,AU$5)="F",AND(AU$6&gt;0,$A1041&lt;AU$6),AND(AU$7&gt;0,$A1041&gt;AU$7)),0,MAX(0,ROUND((INDEX($E1041:$G1041,AU$5)-SUMIFS(TF_Timer,TF_Tekniker,AU$4,TF_Dato,$A1041))*2,0)/2)))</f>
        <v/>
      </c>
      <c r="AV1041">
        <f>IF(OR(AV$4="",$A1041&gt;TODAY()),0,IF(OR(INDEX($B1041:$D1041,AV$5)="F",AND(AV$6&gt;0,$A1041&lt;AV$6),AND(AV$7&gt;0,$A1041&gt;AV$7)),0,MAX(0,ROUND((INDEX($E1041:$G1041,AV$5)-SUMIFS(TF_Timer,TF_Tekniker,AV$4,TF_Dato,$A1041))*2,0)/2)))</f>
        <v/>
      </c>
      <c r="AW1041">
        <f>IF(OR(AW$4="",$A1041&gt;TODAY()),0,IF(OR(INDEX($B1041:$D1041,AW$5)="F",AND(AW$6&gt;0,$A1041&lt;AW$6),AND(AW$7&gt;0,$A1041&gt;AW$7)),0,MAX(0,ROUND((INDEX($E1041:$G1041,AW$5)-SUMIFS(TF_Timer,TF_Tekniker,AW$4,TF_Dato,$A1041))*2,0)/2)))</f>
        <v/>
      </c>
      <c r="AX1041">
        <f>IF(OR(AX$4="",$A1041&gt;TODAY()),0,IF(OR(INDEX($B1041:$D1041,AX$5)="F",AND(AX$6&gt;0,$A1041&lt;AX$6),AND(AX$7&gt;0,$A1041&gt;AX$7)),0,MAX(0,ROUND((INDEX($E1041:$G1041,AX$5)-SUMIFS(TF_Timer,TF_Tekniker,AX$4,TF_Dato,$A1041))*2,0)/2)))</f>
        <v/>
      </c>
      <c r="AY1041">
        <f>IF(OR(AY$4="",$A1041&gt;TODAY()),0,IF(OR(INDEX($B1041:$D1041,AY$5)="F",AND(AY$6&gt;0,$A1041&lt;AY$6),AND(AY$7&gt;0,$A1041&gt;AY$7)),0,MAX(0,ROUND((INDEX($E1041:$G1041,AY$5)-SUMIFS(TF_Timer,TF_Tekniker,AY$4,TF_Dato,$A1041))*2,0)/2)))</f>
        <v/>
      </c>
      <c r="AZ1041">
        <f>IF(OR(AZ$4="",$A1041&gt;TODAY()),0,IF(OR(INDEX($B1041:$D1041,AZ$5)="F",AND(AZ$6&gt;0,$A1041&lt;AZ$6),AND(AZ$7&gt;0,$A1041&gt;AZ$7)),0,MAX(0,ROUND((INDEX($E1041:$G1041,AZ$5)-SUMIFS(TF_Timer,TF_Tekniker,AZ$4,TF_Dato,$A1041))*2,0)/2)))</f>
        <v/>
      </c>
      <c r="BA1041">
        <f>IF(OR(BA$4="",$A1041&gt;TODAY()),0,IF(OR(INDEX($B1041:$D1041,BA$5)="F",AND(BA$6&gt;0,$A1041&lt;BA$6),AND(BA$7&gt;0,$A1041&gt;BA$7)),0,MAX(0,ROUND((INDEX($E1041:$G1041,BA$5)-SUMIFS(TF_Timer,TF_Tekniker,BA$4,TF_Dato,$A1041))*2,0)/2)))</f>
        <v/>
      </c>
      <c r="BB1041">
        <f>IF(OR(BB$4="",$A1041&gt;TODAY()),0,IF(OR(INDEX($B1041:$D1041,BB$5)="F",AND(BB$6&gt;0,$A1041&lt;BB$6),AND(BB$7&gt;0,$A1041&gt;BB$7)),0,MAX(0,ROUND((INDEX($E1041:$G1041,BB$5)-SUMIFS(TF_Timer,TF_Tekniker,BB$4,TF_Dato,$A1041))*2,0)/2)))</f>
        <v/>
      </c>
      <c r="BC1041">
        <f>IF(OR(BC$4="",$A1041&gt;TODAY()),0,IF(OR(INDEX($B1041:$D1041,BC$5)="F",AND(BC$6&gt;0,$A1041&lt;BC$6),AND(BC$7&gt;0,$A1041&gt;BC$7)),0,MAX(0,ROUND((INDEX($E1041:$G1041,BC$5)-SUMIFS(TF_Timer,TF_Tekniker,BC$4,TF_Dato,$A1041))*2,0)/2)))</f>
        <v/>
      </c>
      <c r="BD1041">
        <f>IF(OR(BD$4="",$A1041&gt;TODAY()),0,IF(OR(INDEX($B1041:$D1041,BD$5)="F",AND(BD$6&gt;0,$A1041&lt;BD$6),AND(BD$7&gt;0,$A1041&gt;BD$7)),0,MAX(0,ROUND((INDEX($E1041:$G1041,BD$5)-SUMIFS(TF_Timer,TF_Tekniker,BD$4,TF_Dato,$A1041))*2,0)/2)))</f>
        <v/>
      </c>
      <c r="BE1041">
        <f>IF(OR(BE$4="",$A1041&gt;TODAY()),0,IF(OR(INDEX($B1041:$D1041,BE$5)="F",AND(BE$6&gt;0,$A1041&lt;BE$6),AND(BE$7&gt;0,$A1041&gt;BE$7)),0,MAX(0,ROUND((INDEX($E1041:$G1041,BE$5)-SUMIFS(TF_Timer,TF_Tekniker,BE$4,TF_Dato,$A1041))*2,0)/2)))</f>
        <v/>
      </c>
      <c r="BF1041">
        <f>IF(OR(BF$4="",$A1041&gt;TODAY()),0,IF(OR(INDEX($B1041:$D1041,BF$5)="F",AND(BF$6&gt;0,$A1041&lt;BF$6),AND(BF$7&gt;0,$A1041&gt;BF$7)),0,MAX(0,ROUND((INDEX($E1041:$G1041,BF$5)-SUMIFS(TF_Timer,TF_Tekniker,BF$4,TF_Dato,$A1041))*2,0)/2)))</f>
        <v/>
      </c>
      <c r="BG1041">
        <f>IF(OR(BG$4="",$A1041&gt;TODAY()),0,IF(OR(INDEX($B1041:$D1041,BG$5)="F",AND(BG$6&gt;0,$A1041&lt;BG$6),AND(BG$7&gt;0,$A1041&gt;BG$7)),0,MAX(0,ROUND((INDEX($E1041:$G1041,BG$5)-SUMIFS(TF_Timer,TF_Tekniker,BG$4,TF_Dato,$A1041))*2,0)/2)))</f>
        <v/>
      </c>
      <c r="BH1041">
        <f>IF(OR(BH$4="",$A1041&gt;TODAY()),0,IF(OR(INDEX($B1041:$D1041,BH$5)="F",AND(BH$6&gt;0,$A1041&lt;BH$6),AND(BH$7&gt;0,$A1041&gt;BH$7)),0,MAX(0,ROUND((INDEX($E1041:$G1041,BH$5)-SUMIFS(TF_Timer,TF_Tekniker,BH$4,TF_Dato,$A1041))*2,0)/2)))</f>
        <v/>
      </c>
      <c r="BI1041">
        <f>IF(OR(BI$4="",$A1041&gt;TODAY()),0,IF(OR(INDEX($B1041:$D1041,BI$5)="F",AND(BI$6&gt;0,$A1041&lt;BI$6),AND(BI$7&gt;0,$A1041&gt;BI$7)),0,MAX(0,ROUND((INDEX($E1041:$G1041,BI$5)-SUMIFS(TF_Timer,TF_Tekniker,BI$4,TF_Dato,$A1041))*2,0)/2)))</f>
        <v/>
      </c>
    </row>
    <row r="1042">
      <c r="A1042" s="64">
        <f>A1041+1</f>
        <v/>
      </c>
      <c r="B1042">
        <f>IF(MOD($A1042-INDEX(SkiftStart,1),Syklus)&lt;DagK,"K",IF(MOD($A1042-INDEX(SkiftStart,1),Syklus)&lt;DagK+DagH,"H",IF(MOD($A1042-INDEX(SkiftStart,1),Syklus)&lt;DagK+DagH+DagD,"D","F")))</f>
        <v/>
      </c>
      <c r="C1042">
        <f>IF(MOD($A1042-INDEX(SkiftStart,2),Syklus)&lt;DagK,"K",IF(MOD($A1042-INDEX(SkiftStart,2),Syklus)&lt;DagK+DagH,"H",IF(MOD($A1042-INDEX(SkiftStart,2),Syklus)&lt;DagK+DagH+DagD,"D","F")))</f>
        <v/>
      </c>
      <c r="D1042">
        <f>IF(MOD($A1042-INDEX(SkiftStart,3),Syklus)&lt;DagK,"K",IF(MOD($A1042-INDEX(SkiftStart,3),Syklus)&lt;DagK+DagH,"H",IF(MOD($A1042-INDEX(SkiftStart,3),Syklus)&lt;DagK+DagH+DagD,"D","F")))</f>
        <v/>
      </c>
      <c r="E1042">
        <f>IF(B1042="F",0,IF(WEEKDAY($A1042,2)=5,INDEX(TimerFr,MATCH(B1042,FaseKode,0)),INDEX(TimerMT,MATCH(B1042,FaseKode,0))))</f>
        <v/>
      </c>
      <c r="F1042">
        <f>IF(C1042="F",0,IF(WEEKDAY($A1042,2)=5,INDEX(TimerFr,MATCH(C1042,FaseKode,0)),INDEX(TimerMT,MATCH(C1042,FaseKode,0))))</f>
        <v/>
      </c>
      <c r="G1042">
        <f>IF(D1042="F",0,IF(WEEKDAY($A1042,2)=5,INDEX(TimerFr,MATCH(D1042,FaseKode,0)),INDEX(TimerMT,MATCH(D1042,FaseKode,0))))</f>
        <v/>
      </c>
      <c r="H1042">
        <f>IF(OR(H$4="",$A1042&gt;TODAY()),0,IF(OR(INDEX($B1042:$D1042,H$5)="F",AND(H$6&gt;0,$A1042&lt;H$6),AND(H$7&gt;0,$A1042&gt;H$7)),0,MAX(0,ROUND((INDEX($E1042:$G1042,H$5)-SUMIFS(TF_Timer,TF_Tekniker,H$4,TF_Dato,$A1042))*2,0)/2)))</f>
        <v/>
      </c>
      <c r="I1042">
        <f>IF(OR(I$4="",$A1042&gt;TODAY()),0,IF(OR(INDEX($B1042:$D1042,I$5)="F",AND(I$6&gt;0,$A1042&lt;I$6),AND(I$7&gt;0,$A1042&gt;I$7)),0,MAX(0,ROUND((INDEX($E1042:$G1042,I$5)-SUMIFS(TF_Timer,TF_Tekniker,I$4,TF_Dato,$A1042))*2,0)/2)))</f>
        <v/>
      </c>
      <c r="J1042">
        <f>IF(OR(J$4="",$A1042&gt;TODAY()),0,IF(OR(INDEX($B1042:$D1042,J$5)="F",AND(J$6&gt;0,$A1042&lt;J$6),AND(J$7&gt;0,$A1042&gt;J$7)),0,MAX(0,ROUND((INDEX($E1042:$G1042,J$5)-SUMIFS(TF_Timer,TF_Tekniker,J$4,TF_Dato,$A1042))*2,0)/2)))</f>
        <v/>
      </c>
      <c r="K1042">
        <f>IF(OR(K$4="",$A1042&gt;TODAY()),0,IF(OR(INDEX($B1042:$D1042,K$5)="F",AND(K$6&gt;0,$A1042&lt;K$6),AND(K$7&gt;0,$A1042&gt;K$7)),0,MAX(0,ROUND((INDEX($E1042:$G1042,K$5)-SUMIFS(TF_Timer,TF_Tekniker,K$4,TF_Dato,$A1042))*2,0)/2)))</f>
        <v/>
      </c>
      <c r="L1042">
        <f>IF(OR(L$4="",$A1042&gt;TODAY()),0,IF(OR(INDEX($B1042:$D1042,L$5)="F",AND(L$6&gt;0,$A1042&lt;L$6),AND(L$7&gt;0,$A1042&gt;L$7)),0,MAX(0,ROUND((INDEX($E1042:$G1042,L$5)-SUMIFS(TF_Timer,TF_Tekniker,L$4,TF_Dato,$A1042))*2,0)/2)))</f>
        <v/>
      </c>
      <c r="M1042">
        <f>IF(OR(M$4="",$A1042&gt;TODAY()),0,IF(OR(INDEX($B1042:$D1042,M$5)="F",AND(M$6&gt;0,$A1042&lt;M$6),AND(M$7&gt;0,$A1042&gt;M$7)),0,MAX(0,ROUND((INDEX($E1042:$G1042,M$5)-SUMIFS(TF_Timer,TF_Tekniker,M$4,TF_Dato,$A1042))*2,0)/2)))</f>
        <v/>
      </c>
      <c r="N1042">
        <f>IF(OR(N$4="",$A1042&gt;TODAY()),0,IF(OR(INDEX($B1042:$D1042,N$5)="F",AND(N$6&gt;0,$A1042&lt;N$6),AND(N$7&gt;0,$A1042&gt;N$7)),0,MAX(0,ROUND((INDEX($E1042:$G1042,N$5)-SUMIFS(TF_Timer,TF_Tekniker,N$4,TF_Dato,$A1042))*2,0)/2)))</f>
        <v/>
      </c>
      <c r="O1042">
        <f>IF(OR(O$4="",$A1042&gt;TODAY()),0,IF(OR(INDEX($B1042:$D1042,O$5)="F",AND(O$6&gt;0,$A1042&lt;O$6),AND(O$7&gt;0,$A1042&gt;O$7)),0,MAX(0,ROUND((INDEX($E1042:$G1042,O$5)-SUMIFS(TF_Timer,TF_Tekniker,O$4,TF_Dato,$A1042))*2,0)/2)))</f>
        <v/>
      </c>
      <c r="P1042">
        <f>IF(OR(P$4="",$A1042&gt;TODAY()),0,IF(OR(INDEX($B1042:$D1042,P$5)="F",AND(P$6&gt;0,$A1042&lt;P$6),AND(P$7&gt;0,$A1042&gt;P$7)),0,MAX(0,ROUND((INDEX($E1042:$G1042,P$5)-SUMIFS(TF_Timer,TF_Tekniker,P$4,TF_Dato,$A1042))*2,0)/2)))</f>
        <v/>
      </c>
      <c r="Q1042">
        <f>IF(OR(Q$4="",$A1042&gt;TODAY()),0,IF(OR(INDEX($B1042:$D1042,Q$5)="F",AND(Q$6&gt;0,$A1042&lt;Q$6),AND(Q$7&gt;0,$A1042&gt;Q$7)),0,MAX(0,ROUND((INDEX($E1042:$G1042,Q$5)-SUMIFS(TF_Timer,TF_Tekniker,Q$4,TF_Dato,$A1042))*2,0)/2)))</f>
        <v/>
      </c>
      <c r="R1042">
        <f>IF(OR(R$4="",$A1042&gt;TODAY()),0,IF(OR(INDEX($B1042:$D1042,R$5)="F",AND(R$6&gt;0,$A1042&lt;R$6),AND(R$7&gt;0,$A1042&gt;R$7)),0,MAX(0,ROUND((INDEX($E1042:$G1042,R$5)-SUMIFS(TF_Timer,TF_Tekniker,R$4,TF_Dato,$A1042))*2,0)/2)))</f>
        <v/>
      </c>
      <c r="S1042">
        <f>IF(OR(S$4="",$A1042&gt;TODAY()),0,IF(OR(INDEX($B1042:$D1042,S$5)="F",AND(S$6&gt;0,$A1042&lt;S$6),AND(S$7&gt;0,$A1042&gt;S$7)),0,MAX(0,ROUND((INDEX($E1042:$G1042,S$5)-SUMIFS(TF_Timer,TF_Tekniker,S$4,TF_Dato,$A1042))*2,0)/2)))</f>
        <v/>
      </c>
      <c r="T1042">
        <f>IF(OR(T$4="",$A1042&gt;TODAY()),0,IF(OR(INDEX($B1042:$D1042,T$5)="F",AND(T$6&gt;0,$A1042&lt;T$6),AND(T$7&gt;0,$A1042&gt;T$7)),0,MAX(0,ROUND((INDEX($E1042:$G1042,T$5)-SUMIFS(TF_Timer,TF_Tekniker,T$4,TF_Dato,$A1042))*2,0)/2)))</f>
        <v/>
      </c>
      <c r="U1042">
        <f>IF(OR(U$4="",$A1042&gt;TODAY()),0,IF(OR(INDEX($B1042:$D1042,U$5)="F",AND(U$6&gt;0,$A1042&lt;U$6),AND(U$7&gt;0,$A1042&gt;U$7)),0,MAX(0,ROUND((INDEX($E1042:$G1042,U$5)-SUMIFS(TF_Timer,TF_Tekniker,U$4,TF_Dato,$A1042))*2,0)/2)))</f>
        <v/>
      </c>
      <c r="V1042">
        <f>IF(OR(V$4="",$A1042&gt;TODAY()),0,IF(OR(INDEX($B1042:$D1042,V$5)="F",AND(V$6&gt;0,$A1042&lt;V$6),AND(V$7&gt;0,$A1042&gt;V$7)),0,MAX(0,ROUND((INDEX($E1042:$G1042,V$5)-SUMIFS(TF_Timer,TF_Tekniker,V$4,TF_Dato,$A1042))*2,0)/2)))</f>
        <v/>
      </c>
      <c r="W1042">
        <f>IF(OR(W$4="",$A1042&gt;TODAY()),0,IF(OR(INDEX($B1042:$D1042,W$5)="F",AND(W$6&gt;0,$A1042&lt;W$6),AND(W$7&gt;0,$A1042&gt;W$7)),0,MAX(0,ROUND((INDEX($E1042:$G1042,W$5)-SUMIFS(TF_Timer,TF_Tekniker,W$4,TF_Dato,$A1042))*2,0)/2)))</f>
        <v/>
      </c>
      <c r="X1042">
        <f>IF(OR(X$4="",$A1042&gt;TODAY()),0,IF(OR(INDEX($B1042:$D1042,X$5)="F",AND(X$6&gt;0,$A1042&lt;X$6),AND(X$7&gt;0,$A1042&gt;X$7)),0,MAX(0,ROUND((INDEX($E1042:$G1042,X$5)-SUMIFS(TF_Timer,TF_Tekniker,X$4,TF_Dato,$A1042))*2,0)/2)))</f>
        <v/>
      </c>
      <c r="Y1042">
        <f>IF(OR(Y$4="",$A1042&gt;TODAY()),0,IF(OR(INDEX($B1042:$D1042,Y$5)="F",AND(Y$6&gt;0,$A1042&lt;Y$6),AND(Y$7&gt;0,$A1042&gt;Y$7)),0,MAX(0,ROUND((INDEX($E1042:$G1042,Y$5)-SUMIFS(TF_Timer,TF_Tekniker,Y$4,TF_Dato,$A1042))*2,0)/2)))</f>
        <v/>
      </c>
      <c r="Z1042">
        <f>IF(OR(Z$4="",$A1042&gt;TODAY()),0,IF(OR(INDEX($B1042:$D1042,Z$5)="F",AND(Z$6&gt;0,$A1042&lt;Z$6),AND(Z$7&gt;0,$A1042&gt;Z$7)),0,MAX(0,ROUND((INDEX($E1042:$G1042,Z$5)-SUMIFS(TF_Timer,TF_Tekniker,Z$4,TF_Dato,$A1042))*2,0)/2)))</f>
        <v/>
      </c>
      <c r="AA1042">
        <f>IF(OR(AA$4="",$A1042&gt;TODAY()),0,IF(OR(INDEX($B1042:$D1042,AA$5)="F",AND(AA$6&gt;0,$A1042&lt;AA$6),AND(AA$7&gt;0,$A1042&gt;AA$7)),0,MAX(0,ROUND((INDEX($E1042:$G1042,AA$5)-SUMIFS(TF_Timer,TF_Tekniker,AA$4,TF_Dato,$A1042))*2,0)/2)))</f>
        <v/>
      </c>
      <c r="AB1042">
        <f>IF(OR(AB$4="",$A1042&gt;TODAY()),0,IF(OR(INDEX($B1042:$D1042,AB$5)="F",AND(AB$6&gt;0,$A1042&lt;AB$6),AND(AB$7&gt;0,$A1042&gt;AB$7)),0,MAX(0,ROUND((INDEX($E1042:$G1042,AB$5)-SUMIFS(TF_Timer,TF_Tekniker,AB$4,TF_Dato,$A1042))*2,0)/2)))</f>
        <v/>
      </c>
      <c r="AC1042">
        <f>IF(OR(AC$4="",$A1042&gt;TODAY()),0,IF(OR(INDEX($B1042:$D1042,AC$5)="F",AND(AC$6&gt;0,$A1042&lt;AC$6),AND(AC$7&gt;0,$A1042&gt;AC$7)),0,MAX(0,ROUND((INDEX($E1042:$G1042,AC$5)-SUMIFS(TF_Timer,TF_Tekniker,AC$4,TF_Dato,$A1042))*2,0)/2)))</f>
        <v/>
      </c>
      <c r="AD1042">
        <f>IF(OR(AD$4="",$A1042&gt;TODAY()),0,IF(OR(INDEX($B1042:$D1042,AD$5)="F",AND(AD$6&gt;0,$A1042&lt;AD$6),AND(AD$7&gt;0,$A1042&gt;AD$7)),0,MAX(0,ROUND((INDEX($E1042:$G1042,AD$5)-SUMIFS(TF_Timer,TF_Tekniker,AD$4,TF_Dato,$A1042))*2,0)/2)))</f>
        <v/>
      </c>
      <c r="AE1042">
        <f>IF(OR(AE$4="",$A1042&gt;TODAY()),0,IF(OR(INDEX($B1042:$D1042,AE$5)="F",AND(AE$6&gt;0,$A1042&lt;AE$6),AND(AE$7&gt;0,$A1042&gt;AE$7)),0,MAX(0,ROUND((INDEX($E1042:$G1042,AE$5)-SUMIFS(TF_Timer,TF_Tekniker,AE$4,TF_Dato,$A1042))*2,0)/2)))</f>
        <v/>
      </c>
      <c r="AF1042">
        <f>IF(OR(AF$4="",$A1042&gt;TODAY()),0,IF(OR(INDEX($B1042:$D1042,AF$5)="F",AND(AF$6&gt;0,$A1042&lt;AF$6),AND(AF$7&gt;0,$A1042&gt;AF$7)),0,MAX(0,ROUND((INDEX($E1042:$G1042,AF$5)-SUMIFS(TF_Timer,TF_Tekniker,AF$4,TF_Dato,$A1042))*2,0)/2)))</f>
        <v/>
      </c>
      <c r="AG1042">
        <f>IF(OR(AG$4="",$A1042&gt;TODAY()),0,IF(OR(INDEX($B1042:$D1042,AG$5)="F",AND(AG$6&gt;0,$A1042&lt;AG$6),AND(AG$7&gt;0,$A1042&gt;AG$7)),0,MAX(0,ROUND((INDEX($E1042:$G1042,AG$5)-SUMIFS(TF_Timer,TF_Tekniker,AG$4,TF_Dato,$A1042))*2,0)/2)))</f>
        <v/>
      </c>
      <c r="AH1042">
        <f>IF(OR(AH$4="",$A1042&gt;TODAY()),0,IF(OR(INDEX($B1042:$D1042,AH$5)="F",AND(AH$6&gt;0,$A1042&lt;AH$6),AND(AH$7&gt;0,$A1042&gt;AH$7)),0,MAX(0,ROUND((INDEX($E1042:$G1042,AH$5)-SUMIFS(TF_Timer,TF_Tekniker,AH$4,TF_Dato,$A1042))*2,0)/2)))</f>
        <v/>
      </c>
      <c r="AI1042">
        <f>IF(OR(AI$4="",$A1042&gt;TODAY()),0,IF(OR(INDEX($B1042:$D1042,AI$5)="F",AND(AI$6&gt;0,$A1042&lt;AI$6),AND(AI$7&gt;0,$A1042&gt;AI$7)),0,MAX(0,ROUND((INDEX($E1042:$G1042,AI$5)-SUMIFS(TF_Timer,TF_Tekniker,AI$4,TF_Dato,$A1042))*2,0)/2)))</f>
        <v/>
      </c>
      <c r="AJ1042">
        <f>IF(OR(AJ$4="",$A1042&gt;TODAY()),0,IF(OR(INDEX($B1042:$D1042,AJ$5)="F",AND(AJ$6&gt;0,$A1042&lt;AJ$6),AND(AJ$7&gt;0,$A1042&gt;AJ$7)),0,MAX(0,ROUND((INDEX($E1042:$G1042,AJ$5)-SUMIFS(TF_Timer,TF_Tekniker,AJ$4,TF_Dato,$A1042))*2,0)/2)))</f>
        <v/>
      </c>
      <c r="AK1042">
        <f>IF(OR(AK$4="",$A1042&gt;TODAY()),0,IF(OR(INDEX($B1042:$D1042,AK$5)="F",AND(AK$6&gt;0,$A1042&lt;AK$6),AND(AK$7&gt;0,$A1042&gt;AK$7)),0,MAX(0,ROUND((INDEX($E1042:$G1042,AK$5)-SUMIFS(TF_Timer,TF_Tekniker,AK$4,TF_Dato,$A1042))*2,0)/2)))</f>
        <v/>
      </c>
      <c r="AL1042">
        <f>IF(OR(AL$4="",$A1042&gt;TODAY()),0,IF(OR(INDEX($B1042:$D1042,AL$5)="F",AND(AL$6&gt;0,$A1042&lt;AL$6),AND(AL$7&gt;0,$A1042&gt;AL$7)),0,MAX(0,ROUND((INDEX($E1042:$G1042,AL$5)-SUMIFS(TF_Timer,TF_Tekniker,AL$4,TF_Dato,$A1042))*2,0)/2)))</f>
        <v/>
      </c>
      <c r="AM1042">
        <f>IF(OR(AM$4="",$A1042&gt;TODAY()),0,IF(OR(INDEX($B1042:$D1042,AM$5)="F",AND(AM$6&gt;0,$A1042&lt;AM$6),AND(AM$7&gt;0,$A1042&gt;AM$7)),0,MAX(0,ROUND((INDEX($E1042:$G1042,AM$5)-SUMIFS(TF_Timer,TF_Tekniker,AM$4,TF_Dato,$A1042))*2,0)/2)))</f>
        <v/>
      </c>
      <c r="AN1042">
        <f>IF(OR(AN$4="",$A1042&gt;TODAY()),0,IF(OR(INDEX($B1042:$D1042,AN$5)="F",AND(AN$6&gt;0,$A1042&lt;AN$6),AND(AN$7&gt;0,$A1042&gt;AN$7)),0,MAX(0,ROUND((INDEX($E1042:$G1042,AN$5)-SUMIFS(TF_Timer,TF_Tekniker,AN$4,TF_Dato,$A1042))*2,0)/2)))</f>
        <v/>
      </c>
      <c r="AO1042">
        <f>IF(OR(AO$4="",$A1042&gt;TODAY()),0,IF(OR(INDEX($B1042:$D1042,AO$5)="F",AND(AO$6&gt;0,$A1042&lt;AO$6),AND(AO$7&gt;0,$A1042&gt;AO$7)),0,MAX(0,ROUND((INDEX($E1042:$G1042,AO$5)-SUMIFS(TF_Timer,TF_Tekniker,AO$4,TF_Dato,$A1042))*2,0)/2)))</f>
        <v/>
      </c>
      <c r="AP1042">
        <f>IF(OR(AP$4="",$A1042&gt;TODAY()),0,IF(OR(INDEX($B1042:$D1042,AP$5)="F",AND(AP$6&gt;0,$A1042&lt;AP$6),AND(AP$7&gt;0,$A1042&gt;AP$7)),0,MAX(0,ROUND((INDEX($E1042:$G1042,AP$5)-SUMIFS(TF_Timer,TF_Tekniker,AP$4,TF_Dato,$A1042))*2,0)/2)))</f>
        <v/>
      </c>
      <c r="AQ1042">
        <f>IF(OR(AQ$4="",$A1042&gt;TODAY()),0,IF(OR(INDEX($B1042:$D1042,AQ$5)="F",AND(AQ$6&gt;0,$A1042&lt;AQ$6),AND(AQ$7&gt;0,$A1042&gt;AQ$7)),0,MAX(0,ROUND((INDEX($E1042:$G1042,AQ$5)-SUMIFS(TF_Timer,TF_Tekniker,AQ$4,TF_Dato,$A1042))*2,0)/2)))</f>
        <v/>
      </c>
      <c r="AR1042">
        <f>IF(OR(AR$4="",$A1042&gt;TODAY()),0,IF(OR(INDEX($B1042:$D1042,AR$5)="F",AND(AR$6&gt;0,$A1042&lt;AR$6),AND(AR$7&gt;0,$A1042&gt;AR$7)),0,MAX(0,ROUND((INDEX($E1042:$G1042,AR$5)-SUMIFS(TF_Timer,TF_Tekniker,AR$4,TF_Dato,$A1042))*2,0)/2)))</f>
        <v/>
      </c>
      <c r="AS1042">
        <f>IF(OR(AS$4="",$A1042&gt;TODAY()),0,IF(OR(INDEX($B1042:$D1042,AS$5)="F",AND(AS$6&gt;0,$A1042&lt;AS$6),AND(AS$7&gt;0,$A1042&gt;AS$7)),0,MAX(0,ROUND((INDEX($E1042:$G1042,AS$5)-SUMIFS(TF_Timer,TF_Tekniker,AS$4,TF_Dato,$A1042))*2,0)/2)))</f>
        <v/>
      </c>
      <c r="AT1042">
        <f>IF(OR(AT$4="",$A1042&gt;TODAY()),0,IF(OR(INDEX($B1042:$D1042,AT$5)="F",AND(AT$6&gt;0,$A1042&lt;AT$6),AND(AT$7&gt;0,$A1042&gt;AT$7)),0,MAX(0,ROUND((INDEX($E1042:$G1042,AT$5)-SUMIFS(TF_Timer,TF_Tekniker,AT$4,TF_Dato,$A1042))*2,0)/2)))</f>
        <v/>
      </c>
      <c r="AU1042">
        <f>IF(OR(AU$4="",$A1042&gt;TODAY()),0,IF(OR(INDEX($B1042:$D1042,AU$5)="F",AND(AU$6&gt;0,$A1042&lt;AU$6),AND(AU$7&gt;0,$A1042&gt;AU$7)),0,MAX(0,ROUND((INDEX($E1042:$G1042,AU$5)-SUMIFS(TF_Timer,TF_Tekniker,AU$4,TF_Dato,$A1042))*2,0)/2)))</f>
        <v/>
      </c>
      <c r="AV1042">
        <f>IF(OR(AV$4="",$A1042&gt;TODAY()),0,IF(OR(INDEX($B1042:$D1042,AV$5)="F",AND(AV$6&gt;0,$A1042&lt;AV$6),AND(AV$7&gt;0,$A1042&gt;AV$7)),0,MAX(0,ROUND((INDEX($E1042:$G1042,AV$5)-SUMIFS(TF_Timer,TF_Tekniker,AV$4,TF_Dato,$A1042))*2,0)/2)))</f>
        <v/>
      </c>
      <c r="AW1042">
        <f>IF(OR(AW$4="",$A1042&gt;TODAY()),0,IF(OR(INDEX($B1042:$D1042,AW$5)="F",AND(AW$6&gt;0,$A1042&lt;AW$6),AND(AW$7&gt;0,$A1042&gt;AW$7)),0,MAX(0,ROUND((INDEX($E1042:$G1042,AW$5)-SUMIFS(TF_Timer,TF_Tekniker,AW$4,TF_Dato,$A1042))*2,0)/2)))</f>
        <v/>
      </c>
      <c r="AX1042">
        <f>IF(OR(AX$4="",$A1042&gt;TODAY()),0,IF(OR(INDEX($B1042:$D1042,AX$5)="F",AND(AX$6&gt;0,$A1042&lt;AX$6),AND(AX$7&gt;0,$A1042&gt;AX$7)),0,MAX(0,ROUND((INDEX($E1042:$G1042,AX$5)-SUMIFS(TF_Timer,TF_Tekniker,AX$4,TF_Dato,$A1042))*2,0)/2)))</f>
        <v/>
      </c>
      <c r="AY1042">
        <f>IF(OR(AY$4="",$A1042&gt;TODAY()),0,IF(OR(INDEX($B1042:$D1042,AY$5)="F",AND(AY$6&gt;0,$A1042&lt;AY$6),AND(AY$7&gt;0,$A1042&gt;AY$7)),0,MAX(0,ROUND((INDEX($E1042:$G1042,AY$5)-SUMIFS(TF_Timer,TF_Tekniker,AY$4,TF_Dato,$A1042))*2,0)/2)))</f>
        <v/>
      </c>
      <c r="AZ1042">
        <f>IF(OR(AZ$4="",$A1042&gt;TODAY()),0,IF(OR(INDEX($B1042:$D1042,AZ$5)="F",AND(AZ$6&gt;0,$A1042&lt;AZ$6),AND(AZ$7&gt;0,$A1042&gt;AZ$7)),0,MAX(0,ROUND((INDEX($E1042:$G1042,AZ$5)-SUMIFS(TF_Timer,TF_Tekniker,AZ$4,TF_Dato,$A1042))*2,0)/2)))</f>
        <v/>
      </c>
      <c r="BA1042">
        <f>IF(OR(BA$4="",$A1042&gt;TODAY()),0,IF(OR(INDEX($B1042:$D1042,BA$5)="F",AND(BA$6&gt;0,$A1042&lt;BA$6),AND(BA$7&gt;0,$A1042&gt;BA$7)),0,MAX(0,ROUND((INDEX($E1042:$G1042,BA$5)-SUMIFS(TF_Timer,TF_Tekniker,BA$4,TF_Dato,$A1042))*2,0)/2)))</f>
        <v/>
      </c>
      <c r="BB1042">
        <f>IF(OR(BB$4="",$A1042&gt;TODAY()),0,IF(OR(INDEX($B1042:$D1042,BB$5)="F",AND(BB$6&gt;0,$A1042&lt;BB$6),AND(BB$7&gt;0,$A1042&gt;BB$7)),0,MAX(0,ROUND((INDEX($E1042:$G1042,BB$5)-SUMIFS(TF_Timer,TF_Tekniker,BB$4,TF_Dato,$A1042))*2,0)/2)))</f>
        <v/>
      </c>
      <c r="BC1042">
        <f>IF(OR(BC$4="",$A1042&gt;TODAY()),0,IF(OR(INDEX($B1042:$D1042,BC$5)="F",AND(BC$6&gt;0,$A1042&lt;BC$6),AND(BC$7&gt;0,$A1042&gt;BC$7)),0,MAX(0,ROUND((INDEX($E1042:$G1042,BC$5)-SUMIFS(TF_Timer,TF_Tekniker,BC$4,TF_Dato,$A1042))*2,0)/2)))</f>
        <v/>
      </c>
      <c r="BD1042">
        <f>IF(OR(BD$4="",$A1042&gt;TODAY()),0,IF(OR(INDEX($B1042:$D1042,BD$5)="F",AND(BD$6&gt;0,$A1042&lt;BD$6),AND(BD$7&gt;0,$A1042&gt;BD$7)),0,MAX(0,ROUND((INDEX($E1042:$G1042,BD$5)-SUMIFS(TF_Timer,TF_Tekniker,BD$4,TF_Dato,$A1042))*2,0)/2)))</f>
        <v/>
      </c>
      <c r="BE1042">
        <f>IF(OR(BE$4="",$A1042&gt;TODAY()),0,IF(OR(INDEX($B1042:$D1042,BE$5)="F",AND(BE$6&gt;0,$A1042&lt;BE$6),AND(BE$7&gt;0,$A1042&gt;BE$7)),0,MAX(0,ROUND((INDEX($E1042:$G1042,BE$5)-SUMIFS(TF_Timer,TF_Tekniker,BE$4,TF_Dato,$A1042))*2,0)/2)))</f>
        <v/>
      </c>
      <c r="BF1042">
        <f>IF(OR(BF$4="",$A1042&gt;TODAY()),0,IF(OR(INDEX($B1042:$D1042,BF$5)="F",AND(BF$6&gt;0,$A1042&lt;BF$6),AND(BF$7&gt;0,$A1042&gt;BF$7)),0,MAX(0,ROUND((INDEX($E1042:$G1042,BF$5)-SUMIFS(TF_Timer,TF_Tekniker,BF$4,TF_Dato,$A1042))*2,0)/2)))</f>
        <v/>
      </c>
      <c r="BG1042">
        <f>IF(OR(BG$4="",$A1042&gt;TODAY()),0,IF(OR(INDEX($B1042:$D1042,BG$5)="F",AND(BG$6&gt;0,$A1042&lt;BG$6),AND(BG$7&gt;0,$A1042&gt;BG$7)),0,MAX(0,ROUND((INDEX($E1042:$G1042,BG$5)-SUMIFS(TF_Timer,TF_Tekniker,BG$4,TF_Dato,$A1042))*2,0)/2)))</f>
        <v/>
      </c>
      <c r="BH1042">
        <f>IF(OR(BH$4="",$A1042&gt;TODAY()),0,IF(OR(INDEX($B1042:$D1042,BH$5)="F",AND(BH$6&gt;0,$A1042&lt;BH$6),AND(BH$7&gt;0,$A1042&gt;BH$7)),0,MAX(0,ROUND((INDEX($E1042:$G1042,BH$5)-SUMIFS(TF_Timer,TF_Tekniker,BH$4,TF_Dato,$A1042))*2,0)/2)))</f>
        <v/>
      </c>
      <c r="BI1042">
        <f>IF(OR(BI$4="",$A1042&gt;TODAY()),0,IF(OR(INDEX($B1042:$D1042,BI$5)="F",AND(BI$6&gt;0,$A1042&lt;BI$6),AND(BI$7&gt;0,$A1042&gt;BI$7)),0,MAX(0,ROUND((INDEX($E1042:$G1042,BI$5)-SUMIFS(TF_Timer,TF_Tekniker,BI$4,TF_Dato,$A1042))*2,0)/2)))</f>
        <v/>
      </c>
    </row>
    <row r="1043">
      <c r="A1043" s="64">
        <f>A1042+1</f>
        <v/>
      </c>
      <c r="B1043">
        <f>IF(MOD($A1043-INDEX(SkiftStart,1),Syklus)&lt;DagK,"K",IF(MOD($A1043-INDEX(SkiftStart,1),Syklus)&lt;DagK+DagH,"H",IF(MOD($A1043-INDEX(SkiftStart,1),Syklus)&lt;DagK+DagH+DagD,"D","F")))</f>
        <v/>
      </c>
      <c r="C1043">
        <f>IF(MOD($A1043-INDEX(SkiftStart,2),Syklus)&lt;DagK,"K",IF(MOD($A1043-INDEX(SkiftStart,2),Syklus)&lt;DagK+DagH,"H",IF(MOD($A1043-INDEX(SkiftStart,2),Syklus)&lt;DagK+DagH+DagD,"D","F")))</f>
        <v/>
      </c>
      <c r="D1043">
        <f>IF(MOD($A1043-INDEX(SkiftStart,3),Syklus)&lt;DagK,"K",IF(MOD($A1043-INDEX(SkiftStart,3),Syklus)&lt;DagK+DagH,"H",IF(MOD($A1043-INDEX(SkiftStart,3),Syklus)&lt;DagK+DagH+DagD,"D","F")))</f>
        <v/>
      </c>
      <c r="E1043">
        <f>IF(B1043="F",0,IF(WEEKDAY($A1043,2)=5,INDEX(TimerFr,MATCH(B1043,FaseKode,0)),INDEX(TimerMT,MATCH(B1043,FaseKode,0))))</f>
        <v/>
      </c>
      <c r="F1043">
        <f>IF(C1043="F",0,IF(WEEKDAY($A1043,2)=5,INDEX(TimerFr,MATCH(C1043,FaseKode,0)),INDEX(TimerMT,MATCH(C1043,FaseKode,0))))</f>
        <v/>
      </c>
      <c r="G1043">
        <f>IF(D1043="F",0,IF(WEEKDAY($A1043,2)=5,INDEX(TimerFr,MATCH(D1043,FaseKode,0)),INDEX(TimerMT,MATCH(D1043,FaseKode,0))))</f>
        <v/>
      </c>
      <c r="H1043">
        <f>IF(OR(H$4="",$A1043&gt;TODAY()),0,IF(OR(INDEX($B1043:$D1043,H$5)="F",AND(H$6&gt;0,$A1043&lt;H$6),AND(H$7&gt;0,$A1043&gt;H$7)),0,MAX(0,ROUND((INDEX($E1043:$G1043,H$5)-SUMIFS(TF_Timer,TF_Tekniker,H$4,TF_Dato,$A1043))*2,0)/2)))</f>
        <v/>
      </c>
      <c r="I1043">
        <f>IF(OR(I$4="",$A1043&gt;TODAY()),0,IF(OR(INDEX($B1043:$D1043,I$5)="F",AND(I$6&gt;0,$A1043&lt;I$6),AND(I$7&gt;0,$A1043&gt;I$7)),0,MAX(0,ROUND((INDEX($E1043:$G1043,I$5)-SUMIFS(TF_Timer,TF_Tekniker,I$4,TF_Dato,$A1043))*2,0)/2)))</f>
        <v/>
      </c>
      <c r="J1043">
        <f>IF(OR(J$4="",$A1043&gt;TODAY()),0,IF(OR(INDEX($B1043:$D1043,J$5)="F",AND(J$6&gt;0,$A1043&lt;J$6),AND(J$7&gt;0,$A1043&gt;J$7)),0,MAX(0,ROUND((INDEX($E1043:$G1043,J$5)-SUMIFS(TF_Timer,TF_Tekniker,J$4,TF_Dato,$A1043))*2,0)/2)))</f>
        <v/>
      </c>
      <c r="K1043">
        <f>IF(OR(K$4="",$A1043&gt;TODAY()),0,IF(OR(INDEX($B1043:$D1043,K$5)="F",AND(K$6&gt;0,$A1043&lt;K$6),AND(K$7&gt;0,$A1043&gt;K$7)),0,MAX(0,ROUND((INDEX($E1043:$G1043,K$5)-SUMIFS(TF_Timer,TF_Tekniker,K$4,TF_Dato,$A1043))*2,0)/2)))</f>
        <v/>
      </c>
      <c r="L1043">
        <f>IF(OR(L$4="",$A1043&gt;TODAY()),0,IF(OR(INDEX($B1043:$D1043,L$5)="F",AND(L$6&gt;0,$A1043&lt;L$6),AND(L$7&gt;0,$A1043&gt;L$7)),0,MAX(0,ROUND((INDEX($E1043:$G1043,L$5)-SUMIFS(TF_Timer,TF_Tekniker,L$4,TF_Dato,$A1043))*2,0)/2)))</f>
        <v/>
      </c>
      <c r="M1043">
        <f>IF(OR(M$4="",$A1043&gt;TODAY()),0,IF(OR(INDEX($B1043:$D1043,M$5)="F",AND(M$6&gt;0,$A1043&lt;M$6),AND(M$7&gt;0,$A1043&gt;M$7)),0,MAX(0,ROUND((INDEX($E1043:$G1043,M$5)-SUMIFS(TF_Timer,TF_Tekniker,M$4,TF_Dato,$A1043))*2,0)/2)))</f>
        <v/>
      </c>
      <c r="N1043">
        <f>IF(OR(N$4="",$A1043&gt;TODAY()),0,IF(OR(INDEX($B1043:$D1043,N$5)="F",AND(N$6&gt;0,$A1043&lt;N$6),AND(N$7&gt;0,$A1043&gt;N$7)),0,MAX(0,ROUND((INDEX($E1043:$G1043,N$5)-SUMIFS(TF_Timer,TF_Tekniker,N$4,TF_Dato,$A1043))*2,0)/2)))</f>
        <v/>
      </c>
      <c r="O1043">
        <f>IF(OR(O$4="",$A1043&gt;TODAY()),0,IF(OR(INDEX($B1043:$D1043,O$5)="F",AND(O$6&gt;0,$A1043&lt;O$6),AND(O$7&gt;0,$A1043&gt;O$7)),0,MAX(0,ROUND((INDEX($E1043:$G1043,O$5)-SUMIFS(TF_Timer,TF_Tekniker,O$4,TF_Dato,$A1043))*2,0)/2)))</f>
        <v/>
      </c>
      <c r="P1043">
        <f>IF(OR(P$4="",$A1043&gt;TODAY()),0,IF(OR(INDEX($B1043:$D1043,P$5)="F",AND(P$6&gt;0,$A1043&lt;P$6),AND(P$7&gt;0,$A1043&gt;P$7)),0,MAX(0,ROUND((INDEX($E1043:$G1043,P$5)-SUMIFS(TF_Timer,TF_Tekniker,P$4,TF_Dato,$A1043))*2,0)/2)))</f>
        <v/>
      </c>
      <c r="Q1043">
        <f>IF(OR(Q$4="",$A1043&gt;TODAY()),0,IF(OR(INDEX($B1043:$D1043,Q$5)="F",AND(Q$6&gt;0,$A1043&lt;Q$6),AND(Q$7&gt;0,$A1043&gt;Q$7)),0,MAX(0,ROUND((INDEX($E1043:$G1043,Q$5)-SUMIFS(TF_Timer,TF_Tekniker,Q$4,TF_Dato,$A1043))*2,0)/2)))</f>
        <v/>
      </c>
      <c r="R1043">
        <f>IF(OR(R$4="",$A1043&gt;TODAY()),0,IF(OR(INDEX($B1043:$D1043,R$5)="F",AND(R$6&gt;0,$A1043&lt;R$6),AND(R$7&gt;0,$A1043&gt;R$7)),0,MAX(0,ROUND((INDEX($E1043:$G1043,R$5)-SUMIFS(TF_Timer,TF_Tekniker,R$4,TF_Dato,$A1043))*2,0)/2)))</f>
        <v/>
      </c>
      <c r="S1043">
        <f>IF(OR(S$4="",$A1043&gt;TODAY()),0,IF(OR(INDEX($B1043:$D1043,S$5)="F",AND(S$6&gt;0,$A1043&lt;S$6),AND(S$7&gt;0,$A1043&gt;S$7)),0,MAX(0,ROUND((INDEX($E1043:$G1043,S$5)-SUMIFS(TF_Timer,TF_Tekniker,S$4,TF_Dato,$A1043))*2,0)/2)))</f>
        <v/>
      </c>
      <c r="T1043">
        <f>IF(OR(T$4="",$A1043&gt;TODAY()),0,IF(OR(INDEX($B1043:$D1043,T$5)="F",AND(T$6&gt;0,$A1043&lt;T$6),AND(T$7&gt;0,$A1043&gt;T$7)),0,MAX(0,ROUND((INDEX($E1043:$G1043,T$5)-SUMIFS(TF_Timer,TF_Tekniker,T$4,TF_Dato,$A1043))*2,0)/2)))</f>
        <v/>
      </c>
      <c r="U1043">
        <f>IF(OR(U$4="",$A1043&gt;TODAY()),0,IF(OR(INDEX($B1043:$D1043,U$5)="F",AND(U$6&gt;0,$A1043&lt;U$6),AND(U$7&gt;0,$A1043&gt;U$7)),0,MAX(0,ROUND((INDEX($E1043:$G1043,U$5)-SUMIFS(TF_Timer,TF_Tekniker,U$4,TF_Dato,$A1043))*2,0)/2)))</f>
        <v/>
      </c>
      <c r="V1043">
        <f>IF(OR(V$4="",$A1043&gt;TODAY()),0,IF(OR(INDEX($B1043:$D1043,V$5)="F",AND(V$6&gt;0,$A1043&lt;V$6),AND(V$7&gt;0,$A1043&gt;V$7)),0,MAX(0,ROUND((INDEX($E1043:$G1043,V$5)-SUMIFS(TF_Timer,TF_Tekniker,V$4,TF_Dato,$A1043))*2,0)/2)))</f>
        <v/>
      </c>
      <c r="W1043">
        <f>IF(OR(W$4="",$A1043&gt;TODAY()),0,IF(OR(INDEX($B1043:$D1043,W$5)="F",AND(W$6&gt;0,$A1043&lt;W$6),AND(W$7&gt;0,$A1043&gt;W$7)),0,MAX(0,ROUND((INDEX($E1043:$G1043,W$5)-SUMIFS(TF_Timer,TF_Tekniker,W$4,TF_Dato,$A1043))*2,0)/2)))</f>
        <v/>
      </c>
      <c r="X1043">
        <f>IF(OR(X$4="",$A1043&gt;TODAY()),0,IF(OR(INDEX($B1043:$D1043,X$5)="F",AND(X$6&gt;0,$A1043&lt;X$6),AND(X$7&gt;0,$A1043&gt;X$7)),0,MAX(0,ROUND((INDEX($E1043:$G1043,X$5)-SUMIFS(TF_Timer,TF_Tekniker,X$4,TF_Dato,$A1043))*2,0)/2)))</f>
        <v/>
      </c>
      <c r="Y1043">
        <f>IF(OR(Y$4="",$A1043&gt;TODAY()),0,IF(OR(INDEX($B1043:$D1043,Y$5)="F",AND(Y$6&gt;0,$A1043&lt;Y$6),AND(Y$7&gt;0,$A1043&gt;Y$7)),0,MAX(0,ROUND((INDEX($E1043:$G1043,Y$5)-SUMIFS(TF_Timer,TF_Tekniker,Y$4,TF_Dato,$A1043))*2,0)/2)))</f>
        <v/>
      </c>
      <c r="Z1043">
        <f>IF(OR(Z$4="",$A1043&gt;TODAY()),0,IF(OR(INDEX($B1043:$D1043,Z$5)="F",AND(Z$6&gt;0,$A1043&lt;Z$6),AND(Z$7&gt;0,$A1043&gt;Z$7)),0,MAX(0,ROUND((INDEX($E1043:$G1043,Z$5)-SUMIFS(TF_Timer,TF_Tekniker,Z$4,TF_Dato,$A1043))*2,0)/2)))</f>
        <v/>
      </c>
      <c r="AA1043">
        <f>IF(OR(AA$4="",$A1043&gt;TODAY()),0,IF(OR(INDEX($B1043:$D1043,AA$5)="F",AND(AA$6&gt;0,$A1043&lt;AA$6),AND(AA$7&gt;0,$A1043&gt;AA$7)),0,MAX(0,ROUND((INDEX($E1043:$G1043,AA$5)-SUMIFS(TF_Timer,TF_Tekniker,AA$4,TF_Dato,$A1043))*2,0)/2)))</f>
        <v/>
      </c>
      <c r="AB1043">
        <f>IF(OR(AB$4="",$A1043&gt;TODAY()),0,IF(OR(INDEX($B1043:$D1043,AB$5)="F",AND(AB$6&gt;0,$A1043&lt;AB$6),AND(AB$7&gt;0,$A1043&gt;AB$7)),0,MAX(0,ROUND((INDEX($E1043:$G1043,AB$5)-SUMIFS(TF_Timer,TF_Tekniker,AB$4,TF_Dato,$A1043))*2,0)/2)))</f>
        <v/>
      </c>
      <c r="AC1043">
        <f>IF(OR(AC$4="",$A1043&gt;TODAY()),0,IF(OR(INDEX($B1043:$D1043,AC$5)="F",AND(AC$6&gt;0,$A1043&lt;AC$6),AND(AC$7&gt;0,$A1043&gt;AC$7)),0,MAX(0,ROUND((INDEX($E1043:$G1043,AC$5)-SUMIFS(TF_Timer,TF_Tekniker,AC$4,TF_Dato,$A1043))*2,0)/2)))</f>
        <v/>
      </c>
      <c r="AD1043">
        <f>IF(OR(AD$4="",$A1043&gt;TODAY()),0,IF(OR(INDEX($B1043:$D1043,AD$5)="F",AND(AD$6&gt;0,$A1043&lt;AD$6),AND(AD$7&gt;0,$A1043&gt;AD$7)),0,MAX(0,ROUND((INDEX($E1043:$G1043,AD$5)-SUMIFS(TF_Timer,TF_Tekniker,AD$4,TF_Dato,$A1043))*2,0)/2)))</f>
        <v/>
      </c>
      <c r="AE1043">
        <f>IF(OR(AE$4="",$A1043&gt;TODAY()),0,IF(OR(INDEX($B1043:$D1043,AE$5)="F",AND(AE$6&gt;0,$A1043&lt;AE$6),AND(AE$7&gt;0,$A1043&gt;AE$7)),0,MAX(0,ROUND((INDEX($E1043:$G1043,AE$5)-SUMIFS(TF_Timer,TF_Tekniker,AE$4,TF_Dato,$A1043))*2,0)/2)))</f>
        <v/>
      </c>
      <c r="AF1043">
        <f>IF(OR(AF$4="",$A1043&gt;TODAY()),0,IF(OR(INDEX($B1043:$D1043,AF$5)="F",AND(AF$6&gt;0,$A1043&lt;AF$6),AND(AF$7&gt;0,$A1043&gt;AF$7)),0,MAX(0,ROUND((INDEX($E1043:$G1043,AF$5)-SUMIFS(TF_Timer,TF_Tekniker,AF$4,TF_Dato,$A1043))*2,0)/2)))</f>
        <v/>
      </c>
      <c r="AG1043">
        <f>IF(OR(AG$4="",$A1043&gt;TODAY()),0,IF(OR(INDEX($B1043:$D1043,AG$5)="F",AND(AG$6&gt;0,$A1043&lt;AG$6),AND(AG$7&gt;0,$A1043&gt;AG$7)),0,MAX(0,ROUND((INDEX($E1043:$G1043,AG$5)-SUMIFS(TF_Timer,TF_Tekniker,AG$4,TF_Dato,$A1043))*2,0)/2)))</f>
        <v/>
      </c>
      <c r="AH1043">
        <f>IF(OR(AH$4="",$A1043&gt;TODAY()),0,IF(OR(INDEX($B1043:$D1043,AH$5)="F",AND(AH$6&gt;0,$A1043&lt;AH$6),AND(AH$7&gt;0,$A1043&gt;AH$7)),0,MAX(0,ROUND((INDEX($E1043:$G1043,AH$5)-SUMIFS(TF_Timer,TF_Tekniker,AH$4,TF_Dato,$A1043))*2,0)/2)))</f>
        <v/>
      </c>
      <c r="AI1043">
        <f>IF(OR(AI$4="",$A1043&gt;TODAY()),0,IF(OR(INDEX($B1043:$D1043,AI$5)="F",AND(AI$6&gt;0,$A1043&lt;AI$6),AND(AI$7&gt;0,$A1043&gt;AI$7)),0,MAX(0,ROUND((INDEX($E1043:$G1043,AI$5)-SUMIFS(TF_Timer,TF_Tekniker,AI$4,TF_Dato,$A1043))*2,0)/2)))</f>
        <v/>
      </c>
      <c r="AJ1043">
        <f>IF(OR(AJ$4="",$A1043&gt;TODAY()),0,IF(OR(INDEX($B1043:$D1043,AJ$5)="F",AND(AJ$6&gt;0,$A1043&lt;AJ$6),AND(AJ$7&gt;0,$A1043&gt;AJ$7)),0,MAX(0,ROUND((INDEX($E1043:$G1043,AJ$5)-SUMIFS(TF_Timer,TF_Tekniker,AJ$4,TF_Dato,$A1043))*2,0)/2)))</f>
        <v/>
      </c>
      <c r="AK1043">
        <f>IF(OR(AK$4="",$A1043&gt;TODAY()),0,IF(OR(INDEX($B1043:$D1043,AK$5)="F",AND(AK$6&gt;0,$A1043&lt;AK$6),AND(AK$7&gt;0,$A1043&gt;AK$7)),0,MAX(0,ROUND((INDEX($E1043:$G1043,AK$5)-SUMIFS(TF_Timer,TF_Tekniker,AK$4,TF_Dato,$A1043))*2,0)/2)))</f>
        <v/>
      </c>
      <c r="AL1043">
        <f>IF(OR(AL$4="",$A1043&gt;TODAY()),0,IF(OR(INDEX($B1043:$D1043,AL$5)="F",AND(AL$6&gt;0,$A1043&lt;AL$6),AND(AL$7&gt;0,$A1043&gt;AL$7)),0,MAX(0,ROUND((INDEX($E1043:$G1043,AL$5)-SUMIFS(TF_Timer,TF_Tekniker,AL$4,TF_Dato,$A1043))*2,0)/2)))</f>
        <v/>
      </c>
      <c r="AM1043">
        <f>IF(OR(AM$4="",$A1043&gt;TODAY()),0,IF(OR(INDEX($B1043:$D1043,AM$5)="F",AND(AM$6&gt;0,$A1043&lt;AM$6),AND(AM$7&gt;0,$A1043&gt;AM$7)),0,MAX(0,ROUND((INDEX($E1043:$G1043,AM$5)-SUMIFS(TF_Timer,TF_Tekniker,AM$4,TF_Dato,$A1043))*2,0)/2)))</f>
        <v/>
      </c>
      <c r="AN1043">
        <f>IF(OR(AN$4="",$A1043&gt;TODAY()),0,IF(OR(INDEX($B1043:$D1043,AN$5)="F",AND(AN$6&gt;0,$A1043&lt;AN$6),AND(AN$7&gt;0,$A1043&gt;AN$7)),0,MAX(0,ROUND((INDEX($E1043:$G1043,AN$5)-SUMIFS(TF_Timer,TF_Tekniker,AN$4,TF_Dato,$A1043))*2,0)/2)))</f>
        <v/>
      </c>
      <c r="AO1043">
        <f>IF(OR(AO$4="",$A1043&gt;TODAY()),0,IF(OR(INDEX($B1043:$D1043,AO$5)="F",AND(AO$6&gt;0,$A1043&lt;AO$6),AND(AO$7&gt;0,$A1043&gt;AO$7)),0,MAX(0,ROUND((INDEX($E1043:$G1043,AO$5)-SUMIFS(TF_Timer,TF_Tekniker,AO$4,TF_Dato,$A1043))*2,0)/2)))</f>
        <v/>
      </c>
      <c r="AP1043">
        <f>IF(OR(AP$4="",$A1043&gt;TODAY()),0,IF(OR(INDEX($B1043:$D1043,AP$5)="F",AND(AP$6&gt;0,$A1043&lt;AP$6),AND(AP$7&gt;0,$A1043&gt;AP$7)),0,MAX(0,ROUND((INDEX($E1043:$G1043,AP$5)-SUMIFS(TF_Timer,TF_Tekniker,AP$4,TF_Dato,$A1043))*2,0)/2)))</f>
        <v/>
      </c>
      <c r="AQ1043">
        <f>IF(OR(AQ$4="",$A1043&gt;TODAY()),0,IF(OR(INDEX($B1043:$D1043,AQ$5)="F",AND(AQ$6&gt;0,$A1043&lt;AQ$6),AND(AQ$7&gt;0,$A1043&gt;AQ$7)),0,MAX(0,ROUND((INDEX($E1043:$G1043,AQ$5)-SUMIFS(TF_Timer,TF_Tekniker,AQ$4,TF_Dato,$A1043))*2,0)/2)))</f>
        <v/>
      </c>
      <c r="AR1043">
        <f>IF(OR(AR$4="",$A1043&gt;TODAY()),0,IF(OR(INDEX($B1043:$D1043,AR$5)="F",AND(AR$6&gt;0,$A1043&lt;AR$6),AND(AR$7&gt;0,$A1043&gt;AR$7)),0,MAX(0,ROUND((INDEX($E1043:$G1043,AR$5)-SUMIFS(TF_Timer,TF_Tekniker,AR$4,TF_Dato,$A1043))*2,0)/2)))</f>
        <v/>
      </c>
      <c r="AS1043">
        <f>IF(OR(AS$4="",$A1043&gt;TODAY()),0,IF(OR(INDEX($B1043:$D1043,AS$5)="F",AND(AS$6&gt;0,$A1043&lt;AS$6),AND(AS$7&gt;0,$A1043&gt;AS$7)),0,MAX(0,ROUND((INDEX($E1043:$G1043,AS$5)-SUMIFS(TF_Timer,TF_Tekniker,AS$4,TF_Dato,$A1043))*2,0)/2)))</f>
        <v/>
      </c>
      <c r="AT1043">
        <f>IF(OR(AT$4="",$A1043&gt;TODAY()),0,IF(OR(INDEX($B1043:$D1043,AT$5)="F",AND(AT$6&gt;0,$A1043&lt;AT$6),AND(AT$7&gt;0,$A1043&gt;AT$7)),0,MAX(0,ROUND((INDEX($E1043:$G1043,AT$5)-SUMIFS(TF_Timer,TF_Tekniker,AT$4,TF_Dato,$A1043))*2,0)/2)))</f>
        <v/>
      </c>
      <c r="AU1043">
        <f>IF(OR(AU$4="",$A1043&gt;TODAY()),0,IF(OR(INDEX($B1043:$D1043,AU$5)="F",AND(AU$6&gt;0,$A1043&lt;AU$6),AND(AU$7&gt;0,$A1043&gt;AU$7)),0,MAX(0,ROUND((INDEX($E1043:$G1043,AU$5)-SUMIFS(TF_Timer,TF_Tekniker,AU$4,TF_Dato,$A1043))*2,0)/2)))</f>
        <v/>
      </c>
      <c r="AV1043">
        <f>IF(OR(AV$4="",$A1043&gt;TODAY()),0,IF(OR(INDEX($B1043:$D1043,AV$5)="F",AND(AV$6&gt;0,$A1043&lt;AV$6),AND(AV$7&gt;0,$A1043&gt;AV$7)),0,MAX(0,ROUND((INDEX($E1043:$G1043,AV$5)-SUMIFS(TF_Timer,TF_Tekniker,AV$4,TF_Dato,$A1043))*2,0)/2)))</f>
        <v/>
      </c>
      <c r="AW1043">
        <f>IF(OR(AW$4="",$A1043&gt;TODAY()),0,IF(OR(INDEX($B1043:$D1043,AW$5)="F",AND(AW$6&gt;0,$A1043&lt;AW$6),AND(AW$7&gt;0,$A1043&gt;AW$7)),0,MAX(0,ROUND((INDEX($E1043:$G1043,AW$5)-SUMIFS(TF_Timer,TF_Tekniker,AW$4,TF_Dato,$A1043))*2,0)/2)))</f>
        <v/>
      </c>
      <c r="AX1043">
        <f>IF(OR(AX$4="",$A1043&gt;TODAY()),0,IF(OR(INDEX($B1043:$D1043,AX$5)="F",AND(AX$6&gt;0,$A1043&lt;AX$6),AND(AX$7&gt;0,$A1043&gt;AX$7)),0,MAX(0,ROUND((INDEX($E1043:$G1043,AX$5)-SUMIFS(TF_Timer,TF_Tekniker,AX$4,TF_Dato,$A1043))*2,0)/2)))</f>
        <v/>
      </c>
      <c r="AY1043">
        <f>IF(OR(AY$4="",$A1043&gt;TODAY()),0,IF(OR(INDEX($B1043:$D1043,AY$5)="F",AND(AY$6&gt;0,$A1043&lt;AY$6),AND(AY$7&gt;0,$A1043&gt;AY$7)),0,MAX(0,ROUND((INDEX($E1043:$G1043,AY$5)-SUMIFS(TF_Timer,TF_Tekniker,AY$4,TF_Dato,$A1043))*2,0)/2)))</f>
        <v/>
      </c>
      <c r="AZ1043">
        <f>IF(OR(AZ$4="",$A1043&gt;TODAY()),0,IF(OR(INDEX($B1043:$D1043,AZ$5)="F",AND(AZ$6&gt;0,$A1043&lt;AZ$6),AND(AZ$7&gt;0,$A1043&gt;AZ$7)),0,MAX(0,ROUND((INDEX($E1043:$G1043,AZ$5)-SUMIFS(TF_Timer,TF_Tekniker,AZ$4,TF_Dato,$A1043))*2,0)/2)))</f>
        <v/>
      </c>
      <c r="BA1043">
        <f>IF(OR(BA$4="",$A1043&gt;TODAY()),0,IF(OR(INDEX($B1043:$D1043,BA$5)="F",AND(BA$6&gt;0,$A1043&lt;BA$6),AND(BA$7&gt;0,$A1043&gt;BA$7)),0,MAX(0,ROUND((INDEX($E1043:$G1043,BA$5)-SUMIFS(TF_Timer,TF_Tekniker,BA$4,TF_Dato,$A1043))*2,0)/2)))</f>
        <v/>
      </c>
      <c r="BB1043">
        <f>IF(OR(BB$4="",$A1043&gt;TODAY()),0,IF(OR(INDEX($B1043:$D1043,BB$5)="F",AND(BB$6&gt;0,$A1043&lt;BB$6),AND(BB$7&gt;0,$A1043&gt;BB$7)),0,MAX(0,ROUND((INDEX($E1043:$G1043,BB$5)-SUMIFS(TF_Timer,TF_Tekniker,BB$4,TF_Dato,$A1043))*2,0)/2)))</f>
        <v/>
      </c>
      <c r="BC1043">
        <f>IF(OR(BC$4="",$A1043&gt;TODAY()),0,IF(OR(INDEX($B1043:$D1043,BC$5)="F",AND(BC$6&gt;0,$A1043&lt;BC$6),AND(BC$7&gt;0,$A1043&gt;BC$7)),0,MAX(0,ROUND((INDEX($E1043:$G1043,BC$5)-SUMIFS(TF_Timer,TF_Tekniker,BC$4,TF_Dato,$A1043))*2,0)/2)))</f>
        <v/>
      </c>
      <c r="BD1043">
        <f>IF(OR(BD$4="",$A1043&gt;TODAY()),0,IF(OR(INDEX($B1043:$D1043,BD$5)="F",AND(BD$6&gt;0,$A1043&lt;BD$6),AND(BD$7&gt;0,$A1043&gt;BD$7)),0,MAX(0,ROUND((INDEX($E1043:$G1043,BD$5)-SUMIFS(TF_Timer,TF_Tekniker,BD$4,TF_Dato,$A1043))*2,0)/2)))</f>
        <v/>
      </c>
      <c r="BE1043">
        <f>IF(OR(BE$4="",$A1043&gt;TODAY()),0,IF(OR(INDEX($B1043:$D1043,BE$5)="F",AND(BE$6&gt;0,$A1043&lt;BE$6),AND(BE$7&gt;0,$A1043&gt;BE$7)),0,MAX(0,ROUND((INDEX($E1043:$G1043,BE$5)-SUMIFS(TF_Timer,TF_Tekniker,BE$4,TF_Dato,$A1043))*2,0)/2)))</f>
        <v/>
      </c>
      <c r="BF1043">
        <f>IF(OR(BF$4="",$A1043&gt;TODAY()),0,IF(OR(INDEX($B1043:$D1043,BF$5)="F",AND(BF$6&gt;0,$A1043&lt;BF$6),AND(BF$7&gt;0,$A1043&gt;BF$7)),0,MAX(0,ROUND((INDEX($E1043:$G1043,BF$5)-SUMIFS(TF_Timer,TF_Tekniker,BF$4,TF_Dato,$A1043))*2,0)/2)))</f>
        <v/>
      </c>
      <c r="BG1043">
        <f>IF(OR(BG$4="",$A1043&gt;TODAY()),0,IF(OR(INDEX($B1043:$D1043,BG$5)="F",AND(BG$6&gt;0,$A1043&lt;BG$6),AND(BG$7&gt;0,$A1043&gt;BG$7)),0,MAX(0,ROUND((INDEX($E1043:$G1043,BG$5)-SUMIFS(TF_Timer,TF_Tekniker,BG$4,TF_Dato,$A1043))*2,0)/2)))</f>
        <v/>
      </c>
      <c r="BH1043">
        <f>IF(OR(BH$4="",$A1043&gt;TODAY()),0,IF(OR(INDEX($B1043:$D1043,BH$5)="F",AND(BH$6&gt;0,$A1043&lt;BH$6),AND(BH$7&gt;0,$A1043&gt;BH$7)),0,MAX(0,ROUND((INDEX($E1043:$G1043,BH$5)-SUMIFS(TF_Timer,TF_Tekniker,BH$4,TF_Dato,$A1043))*2,0)/2)))</f>
        <v/>
      </c>
      <c r="BI1043">
        <f>IF(OR(BI$4="",$A1043&gt;TODAY()),0,IF(OR(INDEX($B1043:$D1043,BI$5)="F",AND(BI$6&gt;0,$A1043&lt;BI$6),AND(BI$7&gt;0,$A1043&gt;BI$7)),0,MAX(0,ROUND((INDEX($E1043:$G1043,BI$5)-SUMIFS(TF_Timer,TF_Tekniker,BI$4,TF_Dato,$A1043))*2,0)/2)))</f>
        <v/>
      </c>
    </row>
    <row r="1044">
      <c r="A1044" s="64">
        <f>A1043+1</f>
        <v/>
      </c>
      <c r="B1044">
        <f>IF(MOD($A1044-INDEX(SkiftStart,1),Syklus)&lt;DagK,"K",IF(MOD($A1044-INDEX(SkiftStart,1),Syklus)&lt;DagK+DagH,"H",IF(MOD($A1044-INDEX(SkiftStart,1),Syklus)&lt;DagK+DagH+DagD,"D","F")))</f>
        <v/>
      </c>
      <c r="C1044">
        <f>IF(MOD($A1044-INDEX(SkiftStart,2),Syklus)&lt;DagK,"K",IF(MOD($A1044-INDEX(SkiftStart,2),Syklus)&lt;DagK+DagH,"H",IF(MOD($A1044-INDEX(SkiftStart,2),Syklus)&lt;DagK+DagH+DagD,"D","F")))</f>
        <v/>
      </c>
      <c r="D1044">
        <f>IF(MOD($A1044-INDEX(SkiftStart,3),Syklus)&lt;DagK,"K",IF(MOD($A1044-INDEX(SkiftStart,3),Syklus)&lt;DagK+DagH,"H",IF(MOD($A1044-INDEX(SkiftStart,3),Syklus)&lt;DagK+DagH+DagD,"D","F")))</f>
        <v/>
      </c>
      <c r="E1044">
        <f>IF(B1044="F",0,IF(WEEKDAY($A1044,2)=5,INDEX(TimerFr,MATCH(B1044,FaseKode,0)),INDEX(TimerMT,MATCH(B1044,FaseKode,0))))</f>
        <v/>
      </c>
      <c r="F1044">
        <f>IF(C1044="F",0,IF(WEEKDAY($A1044,2)=5,INDEX(TimerFr,MATCH(C1044,FaseKode,0)),INDEX(TimerMT,MATCH(C1044,FaseKode,0))))</f>
        <v/>
      </c>
      <c r="G1044">
        <f>IF(D1044="F",0,IF(WEEKDAY($A1044,2)=5,INDEX(TimerFr,MATCH(D1044,FaseKode,0)),INDEX(TimerMT,MATCH(D1044,FaseKode,0))))</f>
        <v/>
      </c>
      <c r="H1044">
        <f>IF(OR(H$4="",$A1044&gt;TODAY()),0,IF(OR(INDEX($B1044:$D1044,H$5)="F",AND(H$6&gt;0,$A1044&lt;H$6),AND(H$7&gt;0,$A1044&gt;H$7)),0,MAX(0,ROUND((INDEX($E1044:$G1044,H$5)-SUMIFS(TF_Timer,TF_Tekniker,H$4,TF_Dato,$A1044))*2,0)/2)))</f>
        <v/>
      </c>
      <c r="I1044">
        <f>IF(OR(I$4="",$A1044&gt;TODAY()),0,IF(OR(INDEX($B1044:$D1044,I$5)="F",AND(I$6&gt;0,$A1044&lt;I$6),AND(I$7&gt;0,$A1044&gt;I$7)),0,MAX(0,ROUND((INDEX($E1044:$G1044,I$5)-SUMIFS(TF_Timer,TF_Tekniker,I$4,TF_Dato,$A1044))*2,0)/2)))</f>
        <v/>
      </c>
      <c r="J1044">
        <f>IF(OR(J$4="",$A1044&gt;TODAY()),0,IF(OR(INDEX($B1044:$D1044,J$5)="F",AND(J$6&gt;0,$A1044&lt;J$6),AND(J$7&gt;0,$A1044&gt;J$7)),0,MAX(0,ROUND((INDEX($E1044:$G1044,J$5)-SUMIFS(TF_Timer,TF_Tekniker,J$4,TF_Dato,$A1044))*2,0)/2)))</f>
        <v/>
      </c>
      <c r="K1044">
        <f>IF(OR(K$4="",$A1044&gt;TODAY()),0,IF(OR(INDEX($B1044:$D1044,K$5)="F",AND(K$6&gt;0,$A1044&lt;K$6),AND(K$7&gt;0,$A1044&gt;K$7)),0,MAX(0,ROUND((INDEX($E1044:$G1044,K$5)-SUMIFS(TF_Timer,TF_Tekniker,K$4,TF_Dato,$A1044))*2,0)/2)))</f>
        <v/>
      </c>
      <c r="L1044">
        <f>IF(OR(L$4="",$A1044&gt;TODAY()),0,IF(OR(INDEX($B1044:$D1044,L$5)="F",AND(L$6&gt;0,$A1044&lt;L$6),AND(L$7&gt;0,$A1044&gt;L$7)),0,MAX(0,ROUND((INDEX($E1044:$G1044,L$5)-SUMIFS(TF_Timer,TF_Tekniker,L$4,TF_Dato,$A1044))*2,0)/2)))</f>
        <v/>
      </c>
      <c r="M1044">
        <f>IF(OR(M$4="",$A1044&gt;TODAY()),0,IF(OR(INDEX($B1044:$D1044,M$5)="F",AND(M$6&gt;0,$A1044&lt;M$6),AND(M$7&gt;0,$A1044&gt;M$7)),0,MAX(0,ROUND((INDEX($E1044:$G1044,M$5)-SUMIFS(TF_Timer,TF_Tekniker,M$4,TF_Dato,$A1044))*2,0)/2)))</f>
        <v/>
      </c>
      <c r="N1044">
        <f>IF(OR(N$4="",$A1044&gt;TODAY()),0,IF(OR(INDEX($B1044:$D1044,N$5)="F",AND(N$6&gt;0,$A1044&lt;N$6),AND(N$7&gt;0,$A1044&gt;N$7)),0,MAX(0,ROUND((INDEX($E1044:$G1044,N$5)-SUMIFS(TF_Timer,TF_Tekniker,N$4,TF_Dato,$A1044))*2,0)/2)))</f>
        <v/>
      </c>
      <c r="O1044">
        <f>IF(OR(O$4="",$A1044&gt;TODAY()),0,IF(OR(INDEX($B1044:$D1044,O$5)="F",AND(O$6&gt;0,$A1044&lt;O$6),AND(O$7&gt;0,$A1044&gt;O$7)),0,MAX(0,ROUND((INDEX($E1044:$G1044,O$5)-SUMIFS(TF_Timer,TF_Tekniker,O$4,TF_Dato,$A1044))*2,0)/2)))</f>
        <v/>
      </c>
      <c r="P1044">
        <f>IF(OR(P$4="",$A1044&gt;TODAY()),0,IF(OR(INDEX($B1044:$D1044,P$5)="F",AND(P$6&gt;0,$A1044&lt;P$6),AND(P$7&gt;0,$A1044&gt;P$7)),0,MAX(0,ROUND((INDEX($E1044:$G1044,P$5)-SUMIFS(TF_Timer,TF_Tekniker,P$4,TF_Dato,$A1044))*2,0)/2)))</f>
        <v/>
      </c>
      <c r="Q1044">
        <f>IF(OR(Q$4="",$A1044&gt;TODAY()),0,IF(OR(INDEX($B1044:$D1044,Q$5)="F",AND(Q$6&gt;0,$A1044&lt;Q$6),AND(Q$7&gt;0,$A1044&gt;Q$7)),0,MAX(0,ROUND((INDEX($E1044:$G1044,Q$5)-SUMIFS(TF_Timer,TF_Tekniker,Q$4,TF_Dato,$A1044))*2,0)/2)))</f>
        <v/>
      </c>
      <c r="R1044">
        <f>IF(OR(R$4="",$A1044&gt;TODAY()),0,IF(OR(INDEX($B1044:$D1044,R$5)="F",AND(R$6&gt;0,$A1044&lt;R$6),AND(R$7&gt;0,$A1044&gt;R$7)),0,MAX(0,ROUND((INDEX($E1044:$G1044,R$5)-SUMIFS(TF_Timer,TF_Tekniker,R$4,TF_Dato,$A1044))*2,0)/2)))</f>
        <v/>
      </c>
      <c r="S1044">
        <f>IF(OR(S$4="",$A1044&gt;TODAY()),0,IF(OR(INDEX($B1044:$D1044,S$5)="F",AND(S$6&gt;0,$A1044&lt;S$6),AND(S$7&gt;0,$A1044&gt;S$7)),0,MAX(0,ROUND((INDEX($E1044:$G1044,S$5)-SUMIFS(TF_Timer,TF_Tekniker,S$4,TF_Dato,$A1044))*2,0)/2)))</f>
        <v/>
      </c>
      <c r="T1044">
        <f>IF(OR(T$4="",$A1044&gt;TODAY()),0,IF(OR(INDEX($B1044:$D1044,T$5)="F",AND(T$6&gt;0,$A1044&lt;T$6),AND(T$7&gt;0,$A1044&gt;T$7)),0,MAX(0,ROUND((INDEX($E1044:$G1044,T$5)-SUMIFS(TF_Timer,TF_Tekniker,T$4,TF_Dato,$A1044))*2,0)/2)))</f>
        <v/>
      </c>
      <c r="U1044">
        <f>IF(OR(U$4="",$A1044&gt;TODAY()),0,IF(OR(INDEX($B1044:$D1044,U$5)="F",AND(U$6&gt;0,$A1044&lt;U$6),AND(U$7&gt;0,$A1044&gt;U$7)),0,MAX(0,ROUND((INDEX($E1044:$G1044,U$5)-SUMIFS(TF_Timer,TF_Tekniker,U$4,TF_Dato,$A1044))*2,0)/2)))</f>
        <v/>
      </c>
      <c r="V1044">
        <f>IF(OR(V$4="",$A1044&gt;TODAY()),0,IF(OR(INDEX($B1044:$D1044,V$5)="F",AND(V$6&gt;0,$A1044&lt;V$6),AND(V$7&gt;0,$A1044&gt;V$7)),0,MAX(0,ROUND((INDEX($E1044:$G1044,V$5)-SUMIFS(TF_Timer,TF_Tekniker,V$4,TF_Dato,$A1044))*2,0)/2)))</f>
        <v/>
      </c>
      <c r="W1044">
        <f>IF(OR(W$4="",$A1044&gt;TODAY()),0,IF(OR(INDEX($B1044:$D1044,W$5)="F",AND(W$6&gt;0,$A1044&lt;W$6),AND(W$7&gt;0,$A1044&gt;W$7)),0,MAX(0,ROUND((INDEX($E1044:$G1044,W$5)-SUMIFS(TF_Timer,TF_Tekniker,W$4,TF_Dato,$A1044))*2,0)/2)))</f>
        <v/>
      </c>
      <c r="X1044">
        <f>IF(OR(X$4="",$A1044&gt;TODAY()),0,IF(OR(INDEX($B1044:$D1044,X$5)="F",AND(X$6&gt;0,$A1044&lt;X$6),AND(X$7&gt;0,$A1044&gt;X$7)),0,MAX(0,ROUND((INDEX($E1044:$G1044,X$5)-SUMIFS(TF_Timer,TF_Tekniker,X$4,TF_Dato,$A1044))*2,0)/2)))</f>
        <v/>
      </c>
      <c r="Y1044">
        <f>IF(OR(Y$4="",$A1044&gt;TODAY()),0,IF(OR(INDEX($B1044:$D1044,Y$5)="F",AND(Y$6&gt;0,$A1044&lt;Y$6),AND(Y$7&gt;0,$A1044&gt;Y$7)),0,MAX(0,ROUND((INDEX($E1044:$G1044,Y$5)-SUMIFS(TF_Timer,TF_Tekniker,Y$4,TF_Dato,$A1044))*2,0)/2)))</f>
        <v/>
      </c>
      <c r="Z1044">
        <f>IF(OR(Z$4="",$A1044&gt;TODAY()),0,IF(OR(INDEX($B1044:$D1044,Z$5)="F",AND(Z$6&gt;0,$A1044&lt;Z$6),AND(Z$7&gt;0,$A1044&gt;Z$7)),0,MAX(0,ROUND((INDEX($E1044:$G1044,Z$5)-SUMIFS(TF_Timer,TF_Tekniker,Z$4,TF_Dato,$A1044))*2,0)/2)))</f>
        <v/>
      </c>
      <c r="AA1044">
        <f>IF(OR(AA$4="",$A1044&gt;TODAY()),0,IF(OR(INDEX($B1044:$D1044,AA$5)="F",AND(AA$6&gt;0,$A1044&lt;AA$6),AND(AA$7&gt;0,$A1044&gt;AA$7)),0,MAX(0,ROUND((INDEX($E1044:$G1044,AA$5)-SUMIFS(TF_Timer,TF_Tekniker,AA$4,TF_Dato,$A1044))*2,0)/2)))</f>
        <v/>
      </c>
      <c r="AB1044">
        <f>IF(OR(AB$4="",$A1044&gt;TODAY()),0,IF(OR(INDEX($B1044:$D1044,AB$5)="F",AND(AB$6&gt;0,$A1044&lt;AB$6),AND(AB$7&gt;0,$A1044&gt;AB$7)),0,MAX(0,ROUND((INDEX($E1044:$G1044,AB$5)-SUMIFS(TF_Timer,TF_Tekniker,AB$4,TF_Dato,$A1044))*2,0)/2)))</f>
        <v/>
      </c>
      <c r="AC1044">
        <f>IF(OR(AC$4="",$A1044&gt;TODAY()),0,IF(OR(INDEX($B1044:$D1044,AC$5)="F",AND(AC$6&gt;0,$A1044&lt;AC$6),AND(AC$7&gt;0,$A1044&gt;AC$7)),0,MAX(0,ROUND((INDEX($E1044:$G1044,AC$5)-SUMIFS(TF_Timer,TF_Tekniker,AC$4,TF_Dato,$A1044))*2,0)/2)))</f>
        <v/>
      </c>
      <c r="AD1044">
        <f>IF(OR(AD$4="",$A1044&gt;TODAY()),0,IF(OR(INDEX($B1044:$D1044,AD$5)="F",AND(AD$6&gt;0,$A1044&lt;AD$6),AND(AD$7&gt;0,$A1044&gt;AD$7)),0,MAX(0,ROUND((INDEX($E1044:$G1044,AD$5)-SUMIFS(TF_Timer,TF_Tekniker,AD$4,TF_Dato,$A1044))*2,0)/2)))</f>
        <v/>
      </c>
      <c r="AE1044">
        <f>IF(OR(AE$4="",$A1044&gt;TODAY()),0,IF(OR(INDEX($B1044:$D1044,AE$5)="F",AND(AE$6&gt;0,$A1044&lt;AE$6),AND(AE$7&gt;0,$A1044&gt;AE$7)),0,MAX(0,ROUND((INDEX($E1044:$G1044,AE$5)-SUMIFS(TF_Timer,TF_Tekniker,AE$4,TF_Dato,$A1044))*2,0)/2)))</f>
        <v/>
      </c>
      <c r="AF1044">
        <f>IF(OR(AF$4="",$A1044&gt;TODAY()),0,IF(OR(INDEX($B1044:$D1044,AF$5)="F",AND(AF$6&gt;0,$A1044&lt;AF$6),AND(AF$7&gt;0,$A1044&gt;AF$7)),0,MAX(0,ROUND((INDEX($E1044:$G1044,AF$5)-SUMIFS(TF_Timer,TF_Tekniker,AF$4,TF_Dato,$A1044))*2,0)/2)))</f>
        <v/>
      </c>
      <c r="AG1044">
        <f>IF(OR(AG$4="",$A1044&gt;TODAY()),0,IF(OR(INDEX($B1044:$D1044,AG$5)="F",AND(AG$6&gt;0,$A1044&lt;AG$6),AND(AG$7&gt;0,$A1044&gt;AG$7)),0,MAX(0,ROUND((INDEX($E1044:$G1044,AG$5)-SUMIFS(TF_Timer,TF_Tekniker,AG$4,TF_Dato,$A1044))*2,0)/2)))</f>
        <v/>
      </c>
      <c r="AH1044">
        <f>IF(OR(AH$4="",$A1044&gt;TODAY()),0,IF(OR(INDEX($B1044:$D1044,AH$5)="F",AND(AH$6&gt;0,$A1044&lt;AH$6),AND(AH$7&gt;0,$A1044&gt;AH$7)),0,MAX(0,ROUND((INDEX($E1044:$G1044,AH$5)-SUMIFS(TF_Timer,TF_Tekniker,AH$4,TF_Dato,$A1044))*2,0)/2)))</f>
        <v/>
      </c>
      <c r="AI1044">
        <f>IF(OR(AI$4="",$A1044&gt;TODAY()),0,IF(OR(INDEX($B1044:$D1044,AI$5)="F",AND(AI$6&gt;0,$A1044&lt;AI$6),AND(AI$7&gt;0,$A1044&gt;AI$7)),0,MAX(0,ROUND((INDEX($E1044:$G1044,AI$5)-SUMIFS(TF_Timer,TF_Tekniker,AI$4,TF_Dato,$A1044))*2,0)/2)))</f>
        <v/>
      </c>
      <c r="AJ1044">
        <f>IF(OR(AJ$4="",$A1044&gt;TODAY()),0,IF(OR(INDEX($B1044:$D1044,AJ$5)="F",AND(AJ$6&gt;0,$A1044&lt;AJ$6),AND(AJ$7&gt;0,$A1044&gt;AJ$7)),0,MAX(0,ROUND((INDEX($E1044:$G1044,AJ$5)-SUMIFS(TF_Timer,TF_Tekniker,AJ$4,TF_Dato,$A1044))*2,0)/2)))</f>
        <v/>
      </c>
      <c r="AK1044">
        <f>IF(OR(AK$4="",$A1044&gt;TODAY()),0,IF(OR(INDEX($B1044:$D1044,AK$5)="F",AND(AK$6&gt;0,$A1044&lt;AK$6),AND(AK$7&gt;0,$A1044&gt;AK$7)),0,MAX(0,ROUND((INDEX($E1044:$G1044,AK$5)-SUMIFS(TF_Timer,TF_Tekniker,AK$4,TF_Dato,$A1044))*2,0)/2)))</f>
        <v/>
      </c>
      <c r="AL1044">
        <f>IF(OR(AL$4="",$A1044&gt;TODAY()),0,IF(OR(INDEX($B1044:$D1044,AL$5)="F",AND(AL$6&gt;0,$A1044&lt;AL$6),AND(AL$7&gt;0,$A1044&gt;AL$7)),0,MAX(0,ROUND((INDEX($E1044:$G1044,AL$5)-SUMIFS(TF_Timer,TF_Tekniker,AL$4,TF_Dato,$A1044))*2,0)/2)))</f>
        <v/>
      </c>
      <c r="AM1044">
        <f>IF(OR(AM$4="",$A1044&gt;TODAY()),0,IF(OR(INDEX($B1044:$D1044,AM$5)="F",AND(AM$6&gt;0,$A1044&lt;AM$6),AND(AM$7&gt;0,$A1044&gt;AM$7)),0,MAX(0,ROUND((INDEX($E1044:$G1044,AM$5)-SUMIFS(TF_Timer,TF_Tekniker,AM$4,TF_Dato,$A1044))*2,0)/2)))</f>
        <v/>
      </c>
      <c r="AN1044">
        <f>IF(OR(AN$4="",$A1044&gt;TODAY()),0,IF(OR(INDEX($B1044:$D1044,AN$5)="F",AND(AN$6&gt;0,$A1044&lt;AN$6),AND(AN$7&gt;0,$A1044&gt;AN$7)),0,MAX(0,ROUND((INDEX($E1044:$G1044,AN$5)-SUMIFS(TF_Timer,TF_Tekniker,AN$4,TF_Dato,$A1044))*2,0)/2)))</f>
        <v/>
      </c>
      <c r="AO1044">
        <f>IF(OR(AO$4="",$A1044&gt;TODAY()),0,IF(OR(INDEX($B1044:$D1044,AO$5)="F",AND(AO$6&gt;0,$A1044&lt;AO$6),AND(AO$7&gt;0,$A1044&gt;AO$7)),0,MAX(0,ROUND((INDEX($E1044:$G1044,AO$5)-SUMIFS(TF_Timer,TF_Tekniker,AO$4,TF_Dato,$A1044))*2,0)/2)))</f>
        <v/>
      </c>
      <c r="AP1044">
        <f>IF(OR(AP$4="",$A1044&gt;TODAY()),0,IF(OR(INDEX($B1044:$D1044,AP$5)="F",AND(AP$6&gt;0,$A1044&lt;AP$6),AND(AP$7&gt;0,$A1044&gt;AP$7)),0,MAX(0,ROUND((INDEX($E1044:$G1044,AP$5)-SUMIFS(TF_Timer,TF_Tekniker,AP$4,TF_Dato,$A1044))*2,0)/2)))</f>
        <v/>
      </c>
      <c r="AQ1044">
        <f>IF(OR(AQ$4="",$A1044&gt;TODAY()),0,IF(OR(INDEX($B1044:$D1044,AQ$5)="F",AND(AQ$6&gt;0,$A1044&lt;AQ$6),AND(AQ$7&gt;0,$A1044&gt;AQ$7)),0,MAX(0,ROUND((INDEX($E1044:$G1044,AQ$5)-SUMIFS(TF_Timer,TF_Tekniker,AQ$4,TF_Dato,$A1044))*2,0)/2)))</f>
        <v/>
      </c>
      <c r="AR1044">
        <f>IF(OR(AR$4="",$A1044&gt;TODAY()),0,IF(OR(INDEX($B1044:$D1044,AR$5)="F",AND(AR$6&gt;0,$A1044&lt;AR$6),AND(AR$7&gt;0,$A1044&gt;AR$7)),0,MAX(0,ROUND((INDEX($E1044:$G1044,AR$5)-SUMIFS(TF_Timer,TF_Tekniker,AR$4,TF_Dato,$A1044))*2,0)/2)))</f>
        <v/>
      </c>
      <c r="AS1044">
        <f>IF(OR(AS$4="",$A1044&gt;TODAY()),0,IF(OR(INDEX($B1044:$D1044,AS$5)="F",AND(AS$6&gt;0,$A1044&lt;AS$6),AND(AS$7&gt;0,$A1044&gt;AS$7)),0,MAX(0,ROUND((INDEX($E1044:$G1044,AS$5)-SUMIFS(TF_Timer,TF_Tekniker,AS$4,TF_Dato,$A1044))*2,0)/2)))</f>
        <v/>
      </c>
      <c r="AT1044">
        <f>IF(OR(AT$4="",$A1044&gt;TODAY()),0,IF(OR(INDEX($B1044:$D1044,AT$5)="F",AND(AT$6&gt;0,$A1044&lt;AT$6),AND(AT$7&gt;0,$A1044&gt;AT$7)),0,MAX(0,ROUND((INDEX($E1044:$G1044,AT$5)-SUMIFS(TF_Timer,TF_Tekniker,AT$4,TF_Dato,$A1044))*2,0)/2)))</f>
        <v/>
      </c>
      <c r="AU1044">
        <f>IF(OR(AU$4="",$A1044&gt;TODAY()),0,IF(OR(INDEX($B1044:$D1044,AU$5)="F",AND(AU$6&gt;0,$A1044&lt;AU$6),AND(AU$7&gt;0,$A1044&gt;AU$7)),0,MAX(0,ROUND((INDEX($E1044:$G1044,AU$5)-SUMIFS(TF_Timer,TF_Tekniker,AU$4,TF_Dato,$A1044))*2,0)/2)))</f>
        <v/>
      </c>
      <c r="AV1044">
        <f>IF(OR(AV$4="",$A1044&gt;TODAY()),0,IF(OR(INDEX($B1044:$D1044,AV$5)="F",AND(AV$6&gt;0,$A1044&lt;AV$6),AND(AV$7&gt;0,$A1044&gt;AV$7)),0,MAX(0,ROUND((INDEX($E1044:$G1044,AV$5)-SUMIFS(TF_Timer,TF_Tekniker,AV$4,TF_Dato,$A1044))*2,0)/2)))</f>
        <v/>
      </c>
      <c r="AW1044">
        <f>IF(OR(AW$4="",$A1044&gt;TODAY()),0,IF(OR(INDEX($B1044:$D1044,AW$5)="F",AND(AW$6&gt;0,$A1044&lt;AW$6),AND(AW$7&gt;0,$A1044&gt;AW$7)),0,MAX(0,ROUND((INDEX($E1044:$G1044,AW$5)-SUMIFS(TF_Timer,TF_Tekniker,AW$4,TF_Dato,$A1044))*2,0)/2)))</f>
        <v/>
      </c>
      <c r="AX1044">
        <f>IF(OR(AX$4="",$A1044&gt;TODAY()),0,IF(OR(INDEX($B1044:$D1044,AX$5)="F",AND(AX$6&gt;0,$A1044&lt;AX$6),AND(AX$7&gt;0,$A1044&gt;AX$7)),0,MAX(0,ROUND((INDEX($E1044:$G1044,AX$5)-SUMIFS(TF_Timer,TF_Tekniker,AX$4,TF_Dato,$A1044))*2,0)/2)))</f>
        <v/>
      </c>
      <c r="AY1044">
        <f>IF(OR(AY$4="",$A1044&gt;TODAY()),0,IF(OR(INDEX($B1044:$D1044,AY$5)="F",AND(AY$6&gt;0,$A1044&lt;AY$6),AND(AY$7&gt;0,$A1044&gt;AY$7)),0,MAX(0,ROUND((INDEX($E1044:$G1044,AY$5)-SUMIFS(TF_Timer,TF_Tekniker,AY$4,TF_Dato,$A1044))*2,0)/2)))</f>
        <v/>
      </c>
      <c r="AZ1044">
        <f>IF(OR(AZ$4="",$A1044&gt;TODAY()),0,IF(OR(INDEX($B1044:$D1044,AZ$5)="F",AND(AZ$6&gt;0,$A1044&lt;AZ$6),AND(AZ$7&gt;0,$A1044&gt;AZ$7)),0,MAX(0,ROUND((INDEX($E1044:$G1044,AZ$5)-SUMIFS(TF_Timer,TF_Tekniker,AZ$4,TF_Dato,$A1044))*2,0)/2)))</f>
        <v/>
      </c>
      <c r="BA1044">
        <f>IF(OR(BA$4="",$A1044&gt;TODAY()),0,IF(OR(INDEX($B1044:$D1044,BA$5)="F",AND(BA$6&gt;0,$A1044&lt;BA$6),AND(BA$7&gt;0,$A1044&gt;BA$7)),0,MAX(0,ROUND((INDEX($E1044:$G1044,BA$5)-SUMIFS(TF_Timer,TF_Tekniker,BA$4,TF_Dato,$A1044))*2,0)/2)))</f>
        <v/>
      </c>
      <c r="BB1044">
        <f>IF(OR(BB$4="",$A1044&gt;TODAY()),0,IF(OR(INDEX($B1044:$D1044,BB$5)="F",AND(BB$6&gt;0,$A1044&lt;BB$6),AND(BB$7&gt;0,$A1044&gt;BB$7)),0,MAX(0,ROUND((INDEX($E1044:$G1044,BB$5)-SUMIFS(TF_Timer,TF_Tekniker,BB$4,TF_Dato,$A1044))*2,0)/2)))</f>
        <v/>
      </c>
      <c r="BC1044">
        <f>IF(OR(BC$4="",$A1044&gt;TODAY()),0,IF(OR(INDEX($B1044:$D1044,BC$5)="F",AND(BC$6&gt;0,$A1044&lt;BC$6),AND(BC$7&gt;0,$A1044&gt;BC$7)),0,MAX(0,ROUND((INDEX($E1044:$G1044,BC$5)-SUMIFS(TF_Timer,TF_Tekniker,BC$4,TF_Dato,$A1044))*2,0)/2)))</f>
        <v/>
      </c>
      <c r="BD1044">
        <f>IF(OR(BD$4="",$A1044&gt;TODAY()),0,IF(OR(INDEX($B1044:$D1044,BD$5)="F",AND(BD$6&gt;0,$A1044&lt;BD$6),AND(BD$7&gt;0,$A1044&gt;BD$7)),0,MAX(0,ROUND((INDEX($E1044:$G1044,BD$5)-SUMIFS(TF_Timer,TF_Tekniker,BD$4,TF_Dato,$A1044))*2,0)/2)))</f>
        <v/>
      </c>
      <c r="BE1044">
        <f>IF(OR(BE$4="",$A1044&gt;TODAY()),0,IF(OR(INDEX($B1044:$D1044,BE$5)="F",AND(BE$6&gt;0,$A1044&lt;BE$6),AND(BE$7&gt;0,$A1044&gt;BE$7)),0,MAX(0,ROUND((INDEX($E1044:$G1044,BE$5)-SUMIFS(TF_Timer,TF_Tekniker,BE$4,TF_Dato,$A1044))*2,0)/2)))</f>
        <v/>
      </c>
      <c r="BF1044">
        <f>IF(OR(BF$4="",$A1044&gt;TODAY()),0,IF(OR(INDEX($B1044:$D1044,BF$5)="F",AND(BF$6&gt;0,$A1044&lt;BF$6),AND(BF$7&gt;0,$A1044&gt;BF$7)),0,MAX(0,ROUND((INDEX($E1044:$G1044,BF$5)-SUMIFS(TF_Timer,TF_Tekniker,BF$4,TF_Dato,$A1044))*2,0)/2)))</f>
        <v/>
      </c>
      <c r="BG1044">
        <f>IF(OR(BG$4="",$A1044&gt;TODAY()),0,IF(OR(INDEX($B1044:$D1044,BG$5)="F",AND(BG$6&gt;0,$A1044&lt;BG$6),AND(BG$7&gt;0,$A1044&gt;BG$7)),0,MAX(0,ROUND((INDEX($E1044:$G1044,BG$5)-SUMIFS(TF_Timer,TF_Tekniker,BG$4,TF_Dato,$A1044))*2,0)/2)))</f>
        <v/>
      </c>
      <c r="BH1044">
        <f>IF(OR(BH$4="",$A1044&gt;TODAY()),0,IF(OR(INDEX($B1044:$D1044,BH$5)="F",AND(BH$6&gt;0,$A1044&lt;BH$6),AND(BH$7&gt;0,$A1044&gt;BH$7)),0,MAX(0,ROUND((INDEX($E1044:$G1044,BH$5)-SUMIFS(TF_Timer,TF_Tekniker,BH$4,TF_Dato,$A1044))*2,0)/2)))</f>
        <v/>
      </c>
      <c r="BI1044">
        <f>IF(OR(BI$4="",$A1044&gt;TODAY()),0,IF(OR(INDEX($B1044:$D1044,BI$5)="F",AND(BI$6&gt;0,$A1044&lt;BI$6),AND(BI$7&gt;0,$A1044&gt;BI$7)),0,MAX(0,ROUND((INDEX($E1044:$G1044,BI$5)-SUMIFS(TF_Timer,TF_Tekniker,BI$4,TF_Dato,$A1044))*2,0)/2)))</f>
        <v/>
      </c>
    </row>
    <row r="1045">
      <c r="A1045" s="64">
        <f>A1044+1</f>
        <v/>
      </c>
      <c r="B1045">
        <f>IF(MOD($A1045-INDEX(SkiftStart,1),Syklus)&lt;DagK,"K",IF(MOD($A1045-INDEX(SkiftStart,1),Syklus)&lt;DagK+DagH,"H",IF(MOD($A1045-INDEX(SkiftStart,1),Syklus)&lt;DagK+DagH+DagD,"D","F")))</f>
        <v/>
      </c>
      <c r="C1045">
        <f>IF(MOD($A1045-INDEX(SkiftStart,2),Syklus)&lt;DagK,"K",IF(MOD($A1045-INDEX(SkiftStart,2),Syklus)&lt;DagK+DagH,"H",IF(MOD($A1045-INDEX(SkiftStart,2),Syklus)&lt;DagK+DagH+DagD,"D","F")))</f>
        <v/>
      </c>
      <c r="D1045">
        <f>IF(MOD($A1045-INDEX(SkiftStart,3),Syklus)&lt;DagK,"K",IF(MOD($A1045-INDEX(SkiftStart,3),Syklus)&lt;DagK+DagH,"H",IF(MOD($A1045-INDEX(SkiftStart,3),Syklus)&lt;DagK+DagH+DagD,"D","F")))</f>
        <v/>
      </c>
      <c r="E1045">
        <f>IF(B1045="F",0,IF(WEEKDAY($A1045,2)=5,INDEX(TimerFr,MATCH(B1045,FaseKode,0)),INDEX(TimerMT,MATCH(B1045,FaseKode,0))))</f>
        <v/>
      </c>
      <c r="F1045">
        <f>IF(C1045="F",0,IF(WEEKDAY($A1045,2)=5,INDEX(TimerFr,MATCH(C1045,FaseKode,0)),INDEX(TimerMT,MATCH(C1045,FaseKode,0))))</f>
        <v/>
      </c>
      <c r="G1045">
        <f>IF(D1045="F",0,IF(WEEKDAY($A1045,2)=5,INDEX(TimerFr,MATCH(D1045,FaseKode,0)),INDEX(TimerMT,MATCH(D1045,FaseKode,0))))</f>
        <v/>
      </c>
      <c r="H1045">
        <f>IF(OR(H$4="",$A1045&gt;TODAY()),0,IF(OR(INDEX($B1045:$D1045,H$5)="F",AND(H$6&gt;0,$A1045&lt;H$6),AND(H$7&gt;0,$A1045&gt;H$7)),0,MAX(0,ROUND((INDEX($E1045:$G1045,H$5)-SUMIFS(TF_Timer,TF_Tekniker,H$4,TF_Dato,$A1045))*2,0)/2)))</f>
        <v/>
      </c>
      <c r="I1045">
        <f>IF(OR(I$4="",$A1045&gt;TODAY()),0,IF(OR(INDEX($B1045:$D1045,I$5)="F",AND(I$6&gt;0,$A1045&lt;I$6),AND(I$7&gt;0,$A1045&gt;I$7)),0,MAX(0,ROUND((INDEX($E1045:$G1045,I$5)-SUMIFS(TF_Timer,TF_Tekniker,I$4,TF_Dato,$A1045))*2,0)/2)))</f>
        <v/>
      </c>
      <c r="J1045">
        <f>IF(OR(J$4="",$A1045&gt;TODAY()),0,IF(OR(INDEX($B1045:$D1045,J$5)="F",AND(J$6&gt;0,$A1045&lt;J$6),AND(J$7&gt;0,$A1045&gt;J$7)),0,MAX(0,ROUND((INDEX($E1045:$G1045,J$5)-SUMIFS(TF_Timer,TF_Tekniker,J$4,TF_Dato,$A1045))*2,0)/2)))</f>
        <v/>
      </c>
      <c r="K1045">
        <f>IF(OR(K$4="",$A1045&gt;TODAY()),0,IF(OR(INDEX($B1045:$D1045,K$5)="F",AND(K$6&gt;0,$A1045&lt;K$6),AND(K$7&gt;0,$A1045&gt;K$7)),0,MAX(0,ROUND((INDEX($E1045:$G1045,K$5)-SUMIFS(TF_Timer,TF_Tekniker,K$4,TF_Dato,$A1045))*2,0)/2)))</f>
        <v/>
      </c>
      <c r="L1045">
        <f>IF(OR(L$4="",$A1045&gt;TODAY()),0,IF(OR(INDEX($B1045:$D1045,L$5)="F",AND(L$6&gt;0,$A1045&lt;L$6),AND(L$7&gt;0,$A1045&gt;L$7)),0,MAX(0,ROUND((INDEX($E1045:$G1045,L$5)-SUMIFS(TF_Timer,TF_Tekniker,L$4,TF_Dato,$A1045))*2,0)/2)))</f>
        <v/>
      </c>
      <c r="M1045">
        <f>IF(OR(M$4="",$A1045&gt;TODAY()),0,IF(OR(INDEX($B1045:$D1045,M$5)="F",AND(M$6&gt;0,$A1045&lt;M$6),AND(M$7&gt;0,$A1045&gt;M$7)),0,MAX(0,ROUND((INDEX($E1045:$G1045,M$5)-SUMIFS(TF_Timer,TF_Tekniker,M$4,TF_Dato,$A1045))*2,0)/2)))</f>
        <v/>
      </c>
      <c r="N1045">
        <f>IF(OR(N$4="",$A1045&gt;TODAY()),0,IF(OR(INDEX($B1045:$D1045,N$5)="F",AND(N$6&gt;0,$A1045&lt;N$6),AND(N$7&gt;0,$A1045&gt;N$7)),0,MAX(0,ROUND((INDEX($E1045:$G1045,N$5)-SUMIFS(TF_Timer,TF_Tekniker,N$4,TF_Dato,$A1045))*2,0)/2)))</f>
        <v/>
      </c>
      <c r="O1045">
        <f>IF(OR(O$4="",$A1045&gt;TODAY()),0,IF(OR(INDEX($B1045:$D1045,O$5)="F",AND(O$6&gt;0,$A1045&lt;O$6),AND(O$7&gt;0,$A1045&gt;O$7)),0,MAX(0,ROUND((INDEX($E1045:$G1045,O$5)-SUMIFS(TF_Timer,TF_Tekniker,O$4,TF_Dato,$A1045))*2,0)/2)))</f>
        <v/>
      </c>
      <c r="P1045">
        <f>IF(OR(P$4="",$A1045&gt;TODAY()),0,IF(OR(INDEX($B1045:$D1045,P$5)="F",AND(P$6&gt;0,$A1045&lt;P$6),AND(P$7&gt;0,$A1045&gt;P$7)),0,MAX(0,ROUND((INDEX($E1045:$G1045,P$5)-SUMIFS(TF_Timer,TF_Tekniker,P$4,TF_Dato,$A1045))*2,0)/2)))</f>
        <v/>
      </c>
      <c r="Q1045">
        <f>IF(OR(Q$4="",$A1045&gt;TODAY()),0,IF(OR(INDEX($B1045:$D1045,Q$5)="F",AND(Q$6&gt;0,$A1045&lt;Q$6),AND(Q$7&gt;0,$A1045&gt;Q$7)),0,MAX(0,ROUND((INDEX($E1045:$G1045,Q$5)-SUMIFS(TF_Timer,TF_Tekniker,Q$4,TF_Dato,$A1045))*2,0)/2)))</f>
        <v/>
      </c>
      <c r="R1045">
        <f>IF(OR(R$4="",$A1045&gt;TODAY()),0,IF(OR(INDEX($B1045:$D1045,R$5)="F",AND(R$6&gt;0,$A1045&lt;R$6),AND(R$7&gt;0,$A1045&gt;R$7)),0,MAX(0,ROUND((INDEX($E1045:$G1045,R$5)-SUMIFS(TF_Timer,TF_Tekniker,R$4,TF_Dato,$A1045))*2,0)/2)))</f>
        <v/>
      </c>
      <c r="S1045">
        <f>IF(OR(S$4="",$A1045&gt;TODAY()),0,IF(OR(INDEX($B1045:$D1045,S$5)="F",AND(S$6&gt;0,$A1045&lt;S$6),AND(S$7&gt;0,$A1045&gt;S$7)),0,MAX(0,ROUND((INDEX($E1045:$G1045,S$5)-SUMIFS(TF_Timer,TF_Tekniker,S$4,TF_Dato,$A1045))*2,0)/2)))</f>
        <v/>
      </c>
      <c r="T1045">
        <f>IF(OR(T$4="",$A1045&gt;TODAY()),0,IF(OR(INDEX($B1045:$D1045,T$5)="F",AND(T$6&gt;0,$A1045&lt;T$6),AND(T$7&gt;0,$A1045&gt;T$7)),0,MAX(0,ROUND((INDEX($E1045:$G1045,T$5)-SUMIFS(TF_Timer,TF_Tekniker,T$4,TF_Dato,$A1045))*2,0)/2)))</f>
        <v/>
      </c>
      <c r="U1045">
        <f>IF(OR(U$4="",$A1045&gt;TODAY()),0,IF(OR(INDEX($B1045:$D1045,U$5)="F",AND(U$6&gt;0,$A1045&lt;U$6),AND(U$7&gt;0,$A1045&gt;U$7)),0,MAX(0,ROUND((INDEX($E1045:$G1045,U$5)-SUMIFS(TF_Timer,TF_Tekniker,U$4,TF_Dato,$A1045))*2,0)/2)))</f>
        <v/>
      </c>
      <c r="V1045">
        <f>IF(OR(V$4="",$A1045&gt;TODAY()),0,IF(OR(INDEX($B1045:$D1045,V$5)="F",AND(V$6&gt;0,$A1045&lt;V$6),AND(V$7&gt;0,$A1045&gt;V$7)),0,MAX(0,ROUND((INDEX($E1045:$G1045,V$5)-SUMIFS(TF_Timer,TF_Tekniker,V$4,TF_Dato,$A1045))*2,0)/2)))</f>
        <v/>
      </c>
      <c r="W1045">
        <f>IF(OR(W$4="",$A1045&gt;TODAY()),0,IF(OR(INDEX($B1045:$D1045,W$5)="F",AND(W$6&gt;0,$A1045&lt;W$6),AND(W$7&gt;0,$A1045&gt;W$7)),0,MAX(0,ROUND((INDEX($E1045:$G1045,W$5)-SUMIFS(TF_Timer,TF_Tekniker,W$4,TF_Dato,$A1045))*2,0)/2)))</f>
        <v/>
      </c>
      <c r="X1045">
        <f>IF(OR(X$4="",$A1045&gt;TODAY()),0,IF(OR(INDEX($B1045:$D1045,X$5)="F",AND(X$6&gt;0,$A1045&lt;X$6),AND(X$7&gt;0,$A1045&gt;X$7)),0,MAX(0,ROUND((INDEX($E1045:$G1045,X$5)-SUMIFS(TF_Timer,TF_Tekniker,X$4,TF_Dato,$A1045))*2,0)/2)))</f>
        <v/>
      </c>
      <c r="Y1045">
        <f>IF(OR(Y$4="",$A1045&gt;TODAY()),0,IF(OR(INDEX($B1045:$D1045,Y$5)="F",AND(Y$6&gt;0,$A1045&lt;Y$6),AND(Y$7&gt;0,$A1045&gt;Y$7)),0,MAX(0,ROUND((INDEX($E1045:$G1045,Y$5)-SUMIFS(TF_Timer,TF_Tekniker,Y$4,TF_Dato,$A1045))*2,0)/2)))</f>
        <v/>
      </c>
      <c r="Z1045">
        <f>IF(OR(Z$4="",$A1045&gt;TODAY()),0,IF(OR(INDEX($B1045:$D1045,Z$5)="F",AND(Z$6&gt;0,$A1045&lt;Z$6),AND(Z$7&gt;0,$A1045&gt;Z$7)),0,MAX(0,ROUND((INDEX($E1045:$G1045,Z$5)-SUMIFS(TF_Timer,TF_Tekniker,Z$4,TF_Dato,$A1045))*2,0)/2)))</f>
        <v/>
      </c>
      <c r="AA1045">
        <f>IF(OR(AA$4="",$A1045&gt;TODAY()),0,IF(OR(INDEX($B1045:$D1045,AA$5)="F",AND(AA$6&gt;0,$A1045&lt;AA$6),AND(AA$7&gt;0,$A1045&gt;AA$7)),0,MAX(0,ROUND((INDEX($E1045:$G1045,AA$5)-SUMIFS(TF_Timer,TF_Tekniker,AA$4,TF_Dato,$A1045))*2,0)/2)))</f>
        <v/>
      </c>
      <c r="AB1045">
        <f>IF(OR(AB$4="",$A1045&gt;TODAY()),0,IF(OR(INDEX($B1045:$D1045,AB$5)="F",AND(AB$6&gt;0,$A1045&lt;AB$6),AND(AB$7&gt;0,$A1045&gt;AB$7)),0,MAX(0,ROUND((INDEX($E1045:$G1045,AB$5)-SUMIFS(TF_Timer,TF_Tekniker,AB$4,TF_Dato,$A1045))*2,0)/2)))</f>
        <v/>
      </c>
      <c r="AC1045">
        <f>IF(OR(AC$4="",$A1045&gt;TODAY()),0,IF(OR(INDEX($B1045:$D1045,AC$5)="F",AND(AC$6&gt;0,$A1045&lt;AC$6),AND(AC$7&gt;0,$A1045&gt;AC$7)),0,MAX(0,ROUND((INDEX($E1045:$G1045,AC$5)-SUMIFS(TF_Timer,TF_Tekniker,AC$4,TF_Dato,$A1045))*2,0)/2)))</f>
        <v/>
      </c>
      <c r="AD1045">
        <f>IF(OR(AD$4="",$A1045&gt;TODAY()),0,IF(OR(INDEX($B1045:$D1045,AD$5)="F",AND(AD$6&gt;0,$A1045&lt;AD$6),AND(AD$7&gt;0,$A1045&gt;AD$7)),0,MAX(0,ROUND((INDEX($E1045:$G1045,AD$5)-SUMIFS(TF_Timer,TF_Tekniker,AD$4,TF_Dato,$A1045))*2,0)/2)))</f>
        <v/>
      </c>
      <c r="AE1045">
        <f>IF(OR(AE$4="",$A1045&gt;TODAY()),0,IF(OR(INDEX($B1045:$D1045,AE$5)="F",AND(AE$6&gt;0,$A1045&lt;AE$6),AND(AE$7&gt;0,$A1045&gt;AE$7)),0,MAX(0,ROUND((INDEX($E1045:$G1045,AE$5)-SUMIFS(TF_Timer,TF_Tekniker,AE$4,TF_Dato,$A1045))*2,0)/2)))</f>
        <v/>
      </c>
      <c r="AF1045">
        <f>IF(OR(AF$4="",$A1045&gt;TODAY()),0,IF(OR(INDEX($B1045:$D1045,AF$5)="F",AND(AF$6&gt;0,$A1045&lt;AF$6),AND(AF$7&gt;0,$A1045&gt;AF$7)),0,MAX(0,ROUND((INDEX($E1045:$G1045,AF$5)-SUMIFS(TF_Timer,TF_Tekniker,AF$4,TF_Dato,$A1045))*2,0)/2)))</f>
        <v/>
      </c>
      <c r="AG1045">
        <f>IF(OR(AG$4="",$A1045&gt;TODAY()),0,IF(OR(INDEX($B1045:$D1045,AG$5)="F",AND(AG$6&gt;0,$A1045&lt;AG$6),AND(AG$7&gt;0,$A1045&gt;AG$7)),0,MAX(0,ROUND((INDEX($E1045:$G1045,AG$5)-SUMIFS(TF_Timer,TF_Tekniker,AG$4,TF_Dato,$A1045))*2,0)/2)))</f>
        <v/>
      </c>
      <c r="AH1045">
        <f>IF(OR(AH$4="",$A1045&gt;TODAY()),0,IF(OR(INDEX($B1045:$D1045,AH$5)="F",AND(AH$6&gt;0,$A1045&lt;AH$6),AND(AH$7&gt;0,$A1045&gt;AH$7)),0,MAX(0,ROUND((INDEX($E1045:$G1045,AH$5)-SUMIFS(TF_Timer,TF_Tekniker,AH$4,TF_Dato,$A1045))*2,0)/2)))</f>
        <v/>
      </c>
      <c r="AI1045">
        <f>IF(OR(AI$4="",$A1045&gt;TODAY()),0,IF(OR(INDEX($B1045:$D1045,AI$5)="F",AND(AI$6&gt;0,$A1045&lt;AI$6),AND(AI$7&gt;0,$A1045&gt;AI$7)),0,MAX(0,ROUND((INDEX($E1045:$G1045,AI$5)-SUMIFS(TF_Timer,TF_Tekniker,AI$4,TF_Dato,$A1045))*2,0)/2)))</f>
        <v/>
      </c>
      <c r="AJ1045">
        <f>IF(OR(AJ$4="",$A1045&gt;TODAY()),0,IF(OR(INDEX($B1045:$D1045,AJ$5)="F",AND(AJ$6&gt;0,$A1045&lt;AJ$6),AND(AJ$7&gt;0,$A1045&gt;AJ$7)),0,MAX(0,ROUND((INDEX($E1045:$G1045,AJ$5)-SUMIFS(TF_Timer,TF_Tekniker,AJ$4,TF_Dato,$A1045))*2,0)/2)))</f>
        <v/>
      </c>
      <c r="AK1045">
        <f>IF(OR(AK$4="",$A1045&gt;TODAY()),0,IF(OR(INDEX($B1045:$D1045,AK$5)="F",AND(AK$6&gt;0,$A1045&lt;AK$6),AND(AK$7&gt;0,$A1045&gt;AK$7)),0,MAX(0,ROUND((INDEX($E1045:$G1045,AK$5)-SUMIFS(TF_Timer,TF_Tekniker,AK$4,TF_Dato,$A1045))*2,0)/2)))</f>
        <v/>
      </c>
      <c r="AL1045">
        <f>IF(OR(AL$4="",$A1045&gt;TODAY()),0,IF(OR(INDEX($B1045:$D1045,AL$5)="F",AND(AL$6&gt;0,$A1045&lt;AL$6),AND(AL$7&gt;0,$A1045&gt;AL$7)),0,MAX(0,ROUND((INDEX($E1045:$G1045,AL$5)-SUMIFS(TF_Timer,TF_Tekniker,AL$4,TF_Dato,$A1045))*2,0)/2)))</f>
        <v/>
      </c>
      <c r="AM1045">
        <f>IF(OR(AM$4="",$A1045&gt;TODAY()),0,IF(OR(INDEX($B1045:$D1045,AM$5)="F",AND(AM$6&gt;0,$A1045&lt;AM$6),AND(AM$7&gt;0,$A1045&gt;AM$7)),0,MAX(0,ROUND((INDEX($E1045:$G1045,AM$5)-SUMIFS(TF_Timer,TF_Tekniker,AM$4,TF_Dato,$A1045))*2,0)/2)))</f>
        <v/>
      </c>
      <c r="AN1045">
        <f>IF(OR(AN$4="",$A1045&gt;TODAY()),0,IF(OR(INDEX($B1045:$D1045,AN$5)="F",AND(AN$6&gt;0,$A1045&lt;AN$6),AND(AN$7&gt;0,$A1045&gt;AN$7)),0,MAX(0,ROUND((INDEX($E1045:$G1045,AN$5)-SUMIFS(TF_Timer,TF_Tekniker,AN$4,TF_Dato,$A1045))*2,0)/2)))</f>
        <v/>
      </c>
      <c r="AO1045">
        <f>IF(OR(AO$4="",$A1045&gt;TODAY()),0,IF(OR(INDEX($B1045:$D1045,AO$5)="F",AND(AO$6&gt;0,$A1045&lt;AO$6),AND(AO$7&gt;0,$A1045&gt;AO$7)),0,MAX(0,ROUND((INDEX($E1045:$G1045,AO$5)-SUMIFS(TF_Timer,TF_Tekniker,AO$4,TF_Dato,$A1045))*2,0)/2)))</f>
        <v/>
      </c>
      <c r="AP1045">
        <f>IF(OR(AP$4="",$A1045&gt;TODAY()),0,IF(OR(INDEX($B1045:$D1045,AP$5)="F",AND(AP$6&gt;0,$A1045&lt;AP$6),AND(AP$7&gt;0,$A1045&gt;AP$7)),0,MAX(0,ROUND((INDEX($E1045:$G1045,AP$5)-SUMIFS(TF_Timer,TF_Tekniker,AP$4,TF_Dato,$A1045))*2,0)/2)))</f>
        <v/>
      </c>
      <c r="AQ1045">
        <f>IF(OR(AQ$4="",$A1045&gt;TODAY()),0,IF(OR(INDEX($B1045:$D1045,AQ$5)="F",AND(AQ$6&gt;0,$A1045&lt;AQ$6),AND(AQ$7&gt;0,$A1045&gt;AQ$7)),0,MAX(0,ROUND((INDEX($E1045:$G1045,AQ$5)-SUMIFS(TF_Timer,TF_Tekniker,AQ$4,TF_Dato,$A1045))*2,0)/2)))</f>
        <v/>
      </c>
      <c r="AR1045">
        <f>IF(OR(AR$4="",$A1045&gt;TODAY()),0,IF(OR(INDEX($B1045:$D1045,AR$5)="F",AND(AR$6&gt;0,$A1045&lt;AR$6),AND(AR$7&gt;0,$A1045&gt;AR$7)),0,MAX(0,ROUND((INDEX($E1045:$G1045,AR$5)-SUMIFS(TF_Timer,TF_Tekniker,AR$4,TF_Dato,$A1045))*2,0)/2)))</f>
        <v/>
      </c>
      <c r="AS1045">
        <f>IF(OR(AS$4="",$A1045&gt;TODAY()),0,IF(OR(INDEX($B1045:$D1045,AS$5)="F",AND(AS$6&gt;0,$A1045&lt;AS$6),AND(AS$7&gt;0,$A1045&gt;AS$7)),0,MAX(0,ROUND((INDEX($E1045:$G1045,AS$5)-SUMIFS(TF_Timer,TF_Tekniker,AS$4,TF_Dato,$A1045))*2,0)/2)))</f>
        <v/>
      </c>
      <c r="AT1045">
        <f>IF(OR(AT$4="",$A1045&gt;TODAY()),0,IF(OR(INDEX($B1045:$D1045,AT$5)="F",AND(AT$6&gt;0,$A1045&lt;AT$6),AND(AT$7&gt;0,$A1045&gt;AT$7)),0,MAX(0,ROUND((INDEX($E1045:$G1045,AT$5)-SUMIFS(TF_Timer,TF_Tekniker,AT$4,TF_Dato,$A1045))*2,0)/2)))</f>
        <v/>
      </c>
      <c r="AU1045">
        <f>IF(OR(AU$4="",$A1045&gt;TODAY()),0,IF(OR(INDEX($B1045:$D1045,AU$5)="F",AND(AU$6&gt;0,$A1045&lt;AU$6),AND(AU$7&gt;0,$A1045&gt;AU$7)),0,MAX(0,ROUND((INDEX($E1045:$G1045,AU$5)-SUMIFS(TF_Timer,TF_Tekniker,AU$4,TF_Dato,$A1045))*2,0)/2)))</f>
        <v/>
      </c>
      <c r="AV1045">
        <f>IF(OR(AV$4="",$A1045&gt;TODAY()),0,IF(OR(INDEX($B1045:$D1045,AV$5)="F",AND(AV$6&gt;0,$A1045&lt;AV$6),AND(AV$7&gt;0,$A1045&gt;AV$7)),0,MAX(0,ROUND((INDEX($E1045:$G1045,AV$5)-SUMIFS(TF_Timer,TF_Tekniker,AV$4,TF_Dato,$A1045))*2,0)/2)))</f>
        <v/>
      </c>
      <c r="AW1045">
        <f>IF(OR(AW$4="",$A1045&gt;TODAY()),0,IF(OR(INDEX($B1045:$D1045,AW$5)="F",AND(AW$6&gt;0,$A1045&lt;AW$6),AND(AW$7&gt;0,$A1045&gt;AW$7)),0,MAX(0,ROUND((INDEX($E1045:$G1045,AW$5)-SUMIFS(TF_Timer,TF_Tekniker,AW$4,TF_Dato,$A1045))*2,0)/2)))</f>
        <v/>
      </c>
      <c r="AX1045">
        <f>IF(OR(AX$4="",$A1045&gt;TODAY()),0,IF(OR(INDEX($B1045:$D1045,AX$5)="F",AND(AX$6&gt;0,$A1045&lt;AX$6),AND(AX$7&gt;0,$A1045&gt;AX$7)),0,MAX(0,ROUND((INDEX($E1045:$G1045,AX$5)-SUMIFS(TF_Timer,TF_Tekniker,AX$4,TF_Dato,$A1045))*2,0)/2)))</f>
        <v/>
      </c>
      <c r="AY1045">
        <f>IF(OR(AY$4="",$A1045&gt;TODAY()),0,IF(OR(INDEX($B1045:$D1045,AY$5)="F",AND(AY$6&gt;0,$A1045&lt;AY$6),AND(AY$7&gt;0,$A1045&gt;AY$7)),0,MAX(0,ROUND((INDEX($E1045:$G1045,AY$5)-SUMIFS(TF_Timer,TF_Tekniker,AY$4,TF_Dato,$A1045))*2,0)/2)))</f>
        <v/>
      </c>
      <c r="AZ1045">
        <f>IF(OR(AZ$4="",$A1045&gt;TODAY()),0,IF(OR(INDEX($B1045:$D1045,AZ$5)="F",AND(AZ$6&gt;0,$A1045&lt;AZ$6),AND(AZ$7&gt;0,$A1045&gt;AZ$7)),0,MAX(0,ROUND((INDEX($E1045:$G1045,AZ$5)-SUMIFS(TF_Timer,TF_Tekniker,AZ$4,TF_Dato,$A1045))*2,0)/2)))</f>
        <v/>
      </c>
      <c r="BA1045">
        <f>IF(OR(BA$4="",$A1045&gt;TODAY()),0,IF(OR(INDEX($B1045:$D1045,BA$5)="F",AND(BA$6&gt;0,$A1045&lt;BA$6),AND(BA$7&gt;0,$A1045&gt;BA$7)),0,MAX(0,ROUND((INDEX($E1045:$G1045,BA$5)-SUMIFS(TF_Timer,TF_Tekniker,BA$4,TF_Dato,$A1045))*2,0)/2)))</f>
        <v/>
      </c>
      <c r="BB1045">
        <f>IF(OR(BB$4="",$A1045&gt;TODAY()),0,IF(OR(INDEX($B1045:$D1045,BB$5)="F",AND(BB$6&gt;0,$A1045&lt;BB$6),AND(BB$7&gt;0,$A1045&gt;BB$7)),0,MAX(0,ROUND((INDEX($E1045:$G1045,BB$5)-SUMIFS(TF_Timer,TF_Tekniker,BB$4,TF_Dato,$A1045))*2,0)/2)))</f>
        <v/>
      </c>
      <c r="BC1045">
        <f>IF(OR(BC$4="",$A1045&gt;TODAY()),0,IF(OR(INDEX($B1045:$D1045,BC$5)="F",AND(BC$6&gt;0,$A1045&lt;BC$6),AND(BC$7&gt;0,$A1045&gt;BC$7)),0,MAX(0,ROUND((INDEX($E1045:$G1045,BC$5)-SUMIFS(TF_Timer,TF_Tekniker,BC$4,TF_Dato,$A1045))*2,0)/2)))</f>
        <v/>
      </c>
      <c r="BD1045">
        <f>IF(OR(BD$4="",$A1045&gt;TODAY()),0,IF(OR(INDEX($B1045:$D1045,BD$5)="F",AND(BD$6&gt;0,$A1045&lt;BD$6),AND(BD$7&gt;0,$A1045&gt;BD$7)),0,MAX(0,ROUND((INDEX($E1045:$G1045,BD$5)-SUMIFS(TF_Timer,TF_Tekniker,BD$4,TF_Dato,$A1045))*2,0)/2)))</f>
        <v/>
      </c>
      <c r="BE1045">
        <f>IF(OR(BE$4="",$A1045&gt;TODAY()),0,IF(OR(INDEX($B1045:$D1045,BE$5)="F",AND(BE$6&gt;0,$A1045&lt;BE$6),AND(BE$7&gt;0,$A1045&gt;BE$7)),0,MAX(0,ROUND((INDEX($E1045:$G1045,BE$5)-SUMIFS(TF_Timer,TF_Tekniker,BE$4,TF_Dato,$A1045))*2,0)/2)))</f>
        <v/>
      </c>
      <c r="BF1045">
        <f>IF(OR(BF$4="",$A1045&gt;TODAY()),0,IF(OR(INDEX($B1045:$D1045,BF$5)="F",AND(BF$6&gt;0,$A1045&lt;BF$6),AND(BF$7&gt;0,$A1045&gt;BF$7)),0,MAX(0,ROUND((INDEX($E1045:$G1045,BF$5)-SUMIFS(TF_Timer,TF_Tekniker,BF$4,TF_Dato,$A1045))*2,0)/2)))</f>
        <v/>
      </c>
      <c r="BG1045">
        <f>IF(OR(BG$4="",$A1045&gt;TODAY()),0,IF(OR(INDEX($B1045:$D1045,BG$5)="F",AND(BG$6&gt;0,$A1045&lt;BG$6),AND(BG$7&gt;0,$A1045&gt;BG$7)),0,MAX(0,ROUND((INDEX($E1045:$G1045,BG$5)-SUMIFS(TF_Timer,TF_Tekniker,BG$4,TF_Dato,$A1045))*2,0)/2)))</f>
        <v/>
      </c>
      <c r="BH1045">
        <f>IF(OR(BH$4="",$A1045&gt;TODAY()),0,IF(OR(INDEX($B1045:$D1045,BH$5)="F",AND(BH$6&gt;0,$A1045&lt;BH$6),AND(BH$7&gt;0,$A1045&gt;BH$7)),0,MAX(0,ROUND((INDEX($E1045:$G1045,BH$5)-SUMIFS(TF_Timer,TF_Tekniker,BH$4,TF_Dato,$A1045))*2,0)/2)))</f>
        <v/>
      </c>
      <c r="BI1045">
        <f>IF(OR(BI$4="",$A1045&gt;TODAY()),0,IF(OR(INDEX($B1045:$D1045,BI$5)="F",AND(BI$6&gt;0,$A1045&lt;BI$6),AND(BI$7&gt;0,$A1045&gt;BI$7)),0,MAX(0,ROUND((INDEX($E1045:$G1045,BI$5)-SUMIFS(TF_Timer,TF_Tekniker,BI$4,TF_Dato,$A1045))*2,0)/2)))</f>
        <v/>
      </c>
    </row>
    <row r="1046">
      <c r="A1046" s="64">
        <f>A1045+1</f>
        <v/>
      </c>
      <c r="B1046">
        <f>IF(MOD($A1046-INDEX(SkiftStart,1),Syklus)&lt;DagK,"K",IF(MOD($A1046-INDEX(SkiftStart,1),Syklus)&lt;DagK+DagH,"H",IF(MOD($A1046-INDEX(SkiftStart,1),Syklus)&lt;DagK+DagH+DagD,"D","F")))</f>
        <v/>
      </c>
      <c r="C1046">
        <f>IF(MOD($A1046-INDEX(SkiftStart,2),Syklus)&lt;DagK,"K",IF(MOD($A1046-INDEX(SkiftStart,2),Syklus)&lt;DagK+DagH,"H",IF(MOD($A1046-INDEX(SkiftStart,2),Syklus)&lt;DagK+DagH+DagD,"D","F")))</f>
        <v/>
      </c>
      <c r="D1046">
        <f>IF(MOD($A1046-INDEX(SkiftStart,3),Syklus)&lt;DagK,"K",IF(MOD($A1046-INDEX(SkiftStart,3),Syklus)&lt;DagK+DagH,"H",IF(MOD($A1046-INDEX(SkiftStart,3),Syklus)&lt;DagK+DagH+DagD,"D","F")))</f>
        <v/>
      </c>
      <c r="E1046">
        <f>IF(B1046="F",0,IF(WEEKDAY($A1046,2)=5,INDEX(TimerFr,MATCH(B1046,FaseKode,0)),INDEX(TimerMT,MATCH(B1046,FaseKode,0))))</f>
        <v/>
      </c>
      <c r="F1046">
        <f>IF(C1046="F",0,IF(WEEKDAY($A1046,2)=5,INDEX(TimerFr,MATCH(C1046,FaseKode,0)),INDEX(TimerMT,MATCH(C1046,FaseKode,0))))</f>
        <v/>
      </c>
      <c r="G1046">
        <f>IF(D1046="F",0,IF(WEEKDAY($A1046,2)=5,INDEX(TimerFr,MATCH(D1046,FaseKode,0)),INDEX(TimerMT,MATCH(D1046,FaseKode,0))))</f>
        <v/>
      </c>
      <c r="H1046">
        <f>IF(OR(H$4="",$A1046&gt;TODAY()),0,IF(OR(INDEX($B1046:$D1046,H$5)="F",AND(H$6&gt;0,$A1046&lt;H$6),AND(H$7&gt;0,$A1046&gt;H$7)),0,MAX(0,ROUND((INDEX($E1046:$G1046,H$5)-SUMIFS(TF_Timer,TF_Tekniker,H$4,TF_Dato,$A1046))*2,0)/2)))</f>
        <v/>
      </c>
      <c r="I1046">
        <f>IF(OR(I$4="",$A1046&gt;TODAY()),0,IF(OR(INDEX($B1046:$D1046,I$5)="F",AND(I$6&gt;0,$A1046&lt;I$6),AND(I$7&gt;0,$A1046&gt;I$7)),0,MAX(0,ROUND((INDEX($E1046:$G1046,I$5)-SUMIFS(TF_Timer,TF_Tekniker,I$4,TF_Dato,$A1046))*2,0)/2)))</f>
        <v/>
      </c>
      <c r="J1046">
        <f>IF(OR(J$4="",$A1046&gt;TODAY()),0,IF(OR(INDEX($B1046:$D1046,J$5)="F",AND(J$6&gt;0,$A1046&lt;J$6),AND(J$7&gt;0,$A1046&gt;J$7)),0,MAX(0,ROUND((INDEX($E1046:$G1046,J$5)-SUMIFS(TF_Timer,TF_Tekniker,J$4,TF_Dato,$A1046))*2,0)/2)))</f>
        <v/>
      </c>
      <c r="K1046">
        <f>IF(OR(K$4="",$A1046&gt;TODAY()),0,IF(OR(INDEX($B1046:$D1046,K$5)="F",AND(K$6&gt;0,$A1046&lt;K$6),AND(K$7&gt;0,$A1046&gt;K$7)),0,MAX(0,ROUND((INDEX($E1046:$G1046,K$5)-SUMIFS(TF_Timer,TF_Tekniker,K$4,TF_Dato,$A1046))*2,0)/2)))</f>
        <v/>
      </c>
      <c r="L1046">
        <f>IF(OR(L$4="",$A1046&gt;TODAY()),0,IF(OR(INDEX($B1046:$D1046,L$5)="F",AND(L$6&gt;0,$A1046&lt;L$6),AND(L$7&gt;0,$A1046&gt;L$7)),0,MAX(0,ROUND((INDEX($E1046:$G1046,L$5)-SUMIFS(TF_Timer,TF_Tekniker,L$4,TF_Dato,$A1046))*2,0)/2)))</f>
        <v/>
      </c>
      <c r="M1046">
        <f>IF(OR(M$4="",$A1046&gt;TODAY()),0,IF(OR(INDEX($B1046:$D1046,M$5)="F",AND(M$6&gt;0,$A1046&lt;M$6),AND(M$7&gt;0,$A1046&gt;M$7)),0,MAX(0,ROUND((INDEX($E1046:$G1046,M$5)-SUMIFS(TF_Timer,TF_Tekniker,M$4,TF_Dato,$A1046))*2,0)/2)))</f>
        <v/>
      </c>
      <c r="N1046">
        <f>IF(OR(N$4="",$A1046&gt;TODAY()),0,IF(OR(INDEX($B1046:$D1046,N$5)="F",AND(N$6&gt;0,$A1046&lt;N$6),AND(N$7&gt;0,$A1046&gt;N$7)),0,MAX(0,ROUND((INDEX($E1046:$G1046,N$5)-SUMIFS(TF_Timer,TF_Tekniker,N$4,TF_Dato,$A1046))*2,0)/2)))</f>
        <v/>
      </c>
      <c r="O1046">
        <f>IF(OR(O$4="",$A1046&gt;TODAY()),0,IF(OR(INDEX($B1046:$D1046,O$5)="F",AND(O$6&gt;0,$A1046&lt;O$6),AND(O$7&gt;0,$A1046&gt;O$7)),0,MAX(0,ROUND((INDEX($E1046:$G1046,O$5)-SUMIFS(TF_Timer,TF_Tekniker,O$4,TF_Dato,$A1046))*2,0)/2)))</f>
        <v/>
      </c>
      <c r="P1046">
        <f>IF(OR(P$4="",$A1046&gt;TODAY()),0,IF(OR(INDEX($B1046:$D1046,P$5)="F",AND(P$6&gt;0,$A1046&lt;P$6),AND(P$7&gt;0,$A1046&gt;P$7)),0,MAX(0,ROUND((INDEX($E1046:$G1046,P$5)-SUMIFS(TF_Timer,TF_Tekniker,P$4,TF_Dato,$A1046))*2,0)/2)))</f>
        <v/>
      </c>
      <c r="Q1046">
        <f>IF(OR(Q$4="",$A1046&gt;TODAY()),0,IF(OR(INDEX($B1046:$D1046,Q$5)="F",AND(Q$6&gt;0,$A1046&lt;Q$6),AND(Q$7&gt;0,$A1046&gt;Q$7)),0,MAX(0,ROUND((INDEX($E1046:$G1046,Q$5)-SUMIFS(TF_Timer,TF_Tekniker,Q$4,TF_Dato,$A1046))*2,0)/2)))</f>
        <v/>
      </c>
      <c r="R1046">
        <f>IF(OR(R$4="",$A1046&gt;TODAY()),0,IF(OR(INDEX($B1046:$D1046,R$5)="F",AND(R$6&gt;0,$A1046&lt;R$6),AND(R$7&gt;0,$A1046&gt;R$7)),0,MAX(0,ROUND((INDEX($E1046:$G1046,R$5)-SUMIFS(TF_Timer,TF_Tekniker,R$4,TF_Dato,$A1046))*2,0)/2)))</f>
        <v/>
      </c>
      <c r="S1046">
        <f>IF(OR(S$4="",$A1046&gt;TODAY()),0,IF(OR(INDEX($B1046:$D1046,S$5)="F",AND(S$6&gt;0,$A1046&lt;S$6),AND(S$7&gt;0,$A1046&gt;S$7)),0,MAX(0,ROUND((INDEX($E1046:$G1046,S$5)-SUMIFS(TF_Timer,TF_Tekniker,S$4,TF_Dato,$A1046))*2,0)/2)))</f>
        <v/>
      </c>
      <c r="T1046">
        <f>IF(OR(T$4="",$A1046&gt;TODAY()),0,IF(OR(INDEX($B1046:$D1046,T$5)="F",AND(T$6&gt;0,$A1046&lt;T$6),AND(T$7&gt;0,$A1046&gt;T$7)),0,MAX(0,ROUND((INDEX($E1046:$G1046,T$5)-SUMIFS(TF_Timer,TF_Tekniker,T$4,TF_Dato,$A1046))*2,0)/2)))</f>
        <v/>
      </c>
      <c r="U1046">
        <f>IF(OR(U$4="",$A1046&gt;TODAY()),0,IF(OR(INDEX($B1046:$D1046,U$5)="F",AND(U$6&gt;0,$A1046&lt;U$6),AND(U$7&gt;0,$A1046&gt;U$7)),0,MAX(0,ROUND((INDEX($E1046:$G1046,U$5)-SUMIFS(TF_Timer,TF_Tekniker,U$4,TF_Dato,$A1046))*2,0)/2)))</f>
        <v/>
      </c>
      <c r="V1046">
        <f>IF(OR(V$4="",$A1046&gt;TODAY()),0,IF(OR(INDEX($B1046:$D1046,V$5)="F",AND(V$6&gt;0,$A1046&lt;V$6),AND(V$7&gt;0,$A1046&gt;V$7)),0,MAX(0,ROUND((INDEX($E1046:$G1046,V$5)-SUMIFS(TF_Timer,TF_Tekniker,V$4,TF_Dato,$A1046))*2,0)/2)))</f>
        <v/>
      </c>
      <c r="W1046">
        <f>IF(OR(W$4="",$A1046&gt;TODAY()),0,IF(OR(INDEX($B1046:$D1046,W$5)="F",AND(W$6&gt;0,$A1046&lt;W$6),AND(W$7&gt;0,$A1046&gt;W$7)),0,MAX(0,ROUND((INDEX($E1046:$G1046,W$5)-SUMIFS(TF_Timer,TF_Tekniker,W$4,TF_Dato,$A1046))*2,0)/2)))</f>
        <v/>
      </c>
      <c r="X1046">
        <f>IF(OR(X$4="",$A1046&gt;TODAY()),0,IF(OR(INDEX($B1046:$D1046,X$5)="F",AND(X$6&gt;0,$A1046&lt;X$6),AND(X$7&gt;0,$A1046&gt;X$7)),0,MAX(0,ROUND((INDEX($E1046:$G1046,X$5)-SUMIFS(TF_Timer,TF_Tekniker,X$4,TF_Dato,$A1046))*2,0)/2)))</f>
        <v/>
      </c>
      <c r="Y1046">
        <f>IF(OR(Y$4="",$A1046&gt;TODAY()),0,IF(OR(INDEX($B1046:$D1046,Y$5)="F",AND(Y$6&gt;0,$A1046&lt;Y$6),AND(Y$7&gt;0,$A1046&gt;Y$7)),0,MAX(0,ROUND((INDEX($E1046:$G1046,Y$5)-SUMIFS(TF_Timer,TF_Tekniker,Y$4,TF_Dato,$A1046))*2,0)/2)))</f>
        <v/>
      </c>
      <c r="Z1046">
        <f>IF(OR(Z$4="",$A1046&gt;TODAY()),0,IF(OR(INDEX($B1046:$D1046,Z$5)="F",AND(Z$6&gt;0,$A1046&lt;Z$6),AND(Z$7&gt;0,$A1046&gt;Z$7)),0,MAX(0,ROUND((INDEX($E1046:$G1046,Z$5)-SUMIFS(TF_Timer,TF_Tekniker,Z$4,TF_Dato,$A1046))*2,0)/2)))</f>
        <v/>
      </c>
      <c r="AA1046">
        <f>IF(OR(AA$4="",$A1046&gt;TODAY()),0,IF(OR(INDEX($B1046:$D1046,AA$5)="F",AND(AA$6&gt;0,$A1046&lt;AA$6),AND(AA$7&gt;0,$A1046&gt;AA$7)),0,MAX(0,ROUND((INDEX($E1046:$G1046,AA$5)-SUMIFS(TF_Timer,TF_Tekniker,AA$4,TF_Dato,$A1046))*2,0)/2)))</f>
        <v/>
      </c>
      <c r="AB1046">
        <f>IF(OR(AB$4="",$A1046&gt;TODAY()),0,IF(OR(INDEX($B1046:$D1046,AB$5)="F",AND(AB$6&gt;0,$A1046&lt;AB$6),AND(AB$7&gt;0,$A1046&gt;AB$7)),0,MAX(0,ROUND((INDEX($E1046:$G1046,AB$5)-SUMIFS(TF_Timer,TF_Tekniker,AB$4,TF_Dato,$A1046))*2,0)/2)))</f>
        <v/>
      </c>
      <c r="AC1046">
        <f>IF(OR(AC$4="",$A1046&gt;TODAY()),0,IF(OR(INDEX($B1046:$D1046,AC$5)="F",AND(AC$6&gt;0,$A1046&lt;AC$6),AND(AC$7&gt;0,$A1046&gt;AC$7)),0,MAX(0,ROUND((INDEX($E1046:$G1046,AC$5)-SUMIFS(TF_Timer,TF_Tekniker,AC$4,TF_Dato,$A1046))*2,0)/2)))</f>
        <v/>
      </c>
      <c r="AD1046">
        <f>IF(OR(AD$4="",$A1046&gt;TODAY()),0,IF(OR(INDEX($B1046:$D1046,AD$5)="F",AND(AD$6&gt;0,$A1046&lt;AD$6),AND(AD$7&gt;0,$A1046&gt;AD$7)),0,MAX(0,ROUND((INDEX($E1046:$G1046,AD$5)-SUMIFS(TF_Timer,TF_Tekniker,AD$4,TF_Dato,$A1046))*2,0)/2)))</f>
        <v/>
      </c>
      <c r="AE1046">
        <f>IF(OR(AE$4="",$A1046&gt;TODAY()),0,IF(OR(INDEX($B1046:$D1046,AE$5)="F",AND(AE$6&gt;0,$A1046&lt;AE$6),AND(AE$7&gt;0,$A1046&gt;AE$7)),0,MAX(0,ROUND((INDEX($E1046:$G1046,AE$5)-SUMIFS(TF_Timer,TF_Tekniker,AE$4,TF_Dato,$A1046))*2,0)/2)))</f>
        <v/>
      </c>
      <c r="AF1046">
        <f>IF(OR(AF$4="",$A1046&gt;TODAY()),0,IF(OR(INDEX($B1046:$D1046,AF$5)="F",AND(AF$6&gt;0,$A1046&lt;AF$6),AND(AF$7&gt;0,$A1046&gt;AF$7)),0,MAX(0,ROUND((INDEX($E1046:$G1046,AF$5)-SUMIFS(TF_Timer,TF_Tekniker,AF$4,TF_Dato,$A1046))*2,0)/2)))</f>
        <v/>
      </c>
      <c r="AG1046">
        <f>IF(OR(AG$4="",$A1046&gt;TODAY()),0,IF(OR(INDEX($B1046:$D1046,AG$5)="F",AND(AG$6&gt;0,$A1046&lt;AG$6),AND(AG$7&gt;0,$A1046&gt;AG$7)),0,MAX(0,ROUND((INDEX($E1046:$G1046,AG$5)-SUMIFS(TF_Timer,TF_Tekniker,AG$4,TF_Dato,$A1046))*2,0)/2)))</f>
        <v/>
      </c>
      <c r="AH1046">
        <f>IF(OR(AH$4="",$A1046&gt;TODAY()),0,IF(OR(INDEX($B1046:$D1046,AH$5)="F",AND(AH$6&gt;0,$A1046&lt;AH$6),AND(AH$7&gt;0,$A1046&gt;AH$7)),0,MAX(0,ROUND((INDEX($E1046:$G1046,AH$5)-SUMIFS(TF_Timer,TF_Tekniker,AH$4,TF_Dato,$A1046))*2,0)/2)))</f>
        <v/>
      </c>
      <c r="AI1046">
        <f>IF(OR(AI$4="",$A1046&gt;TODAY()),0,IF(OR(INDEX($B1046:$D1046,AI$5)="F",AND(AI$6&gt;0,$A1046&lt;AI$6),AND(AI$7&gt;0,$A1046&gt;AI$7)),0,MAX(0,ROUND((INDEX($E1046:$G1046,AI$5)-SUMIFS(TF_Timer,TF_Tekniker,AI$4,TF_Dato,$A1046))*2,0)/2)))</f>
        <v/>
      </c>
      <c r="AJ1046">
        <f>IF(OR(AJ$4="",$A1046&gt;TODAY()),0,IF(OR(INDEX($B1046:$D1046,AJ$5)="F",AND(AJ$6&gt;0,$A1046&lt;AJ$6),AND(AJ$7&gt;0,$A1046&gt;AJ$7)),0,MAX(0,ROUND((INDEX($E1046:$G1046,AJ$5)-SUMIFS(TF_Timer,TF_Tekniker,AJ$4,TF_Dato,$A1046))*2,0)/2)))</f>
        <v/>
      </c>
      <c r="AK1046">
        <f>IF(OR(AK$4="",$A1046&gt;TODAY()),0,IF(OR(INDEX($B1046:$D1046,AK$5)="F",AND(AK$6&gt;0,$A1046&lt;AK$6),AND(AK$7&gt;0,$A1046&gt;AK$7)),0,MAX(0,ROUND((INDEX($E1046:$G1046,AK$5)-SUMIFS(TF_Timer,TF_Tekniker,AK$4,TF_Dato,$A1046))*2,0)/2)))</f>
        <v/>
      </c>
      <c r="AL1046">
        <f>IF(OR(AL$4="",$A1046&gt;TODAY()),0,IF(OR(INDEX($B1046:$D1046,AL$5)="F",AND(AL$6&gt;0,$A1046&lt;AL$6),AND(AL$7&gt;0,$A1046&gt;AL$7)),0,MAX(0,ROUND((INDEX($E1046:$G1046,AL$5)-SUMIFS(TF_Timer,TF_Tekniker,AL$4,TF_Dato,$A1046))*2,0)/2)))</f>
        <v/>
      </c>
      <c r="AM1046">
        <f>IF(OR(AM$4="",$A1046&gt;TODAY()),0,IF(OR(INDEX($B1046:$D1046,AM$5)="F",AND(AM$6&gt;0,$A1046&lt;AM$6),AND(AM$7&gt;0,$A1046&gt;AM$7)),0,MAX(0,ROUND((INDEX($E1046:$G1046,AM$5)-SUMIFS(TF_Timer,TF_Tekniker,AM$4,TF_Dato,$A1046))*2,0)/2)))</f>
        <v/>
      </c>
      <c r="AN1046">
        <f>IF(OR(AN$4="",$A1046&gt;TODAY()),0,IF(OR(INDEX($B1046:$D1046,AN$5)="F",AND(AN$6&gt;0,$A1046&lt;AN$6),AND(AN$7&gt;0,$A1046&gt;AN$7)),0,MAX(0,ROUND((INDEX($E1046:$G1046,AN$5)-SUMIFS(TF_Timer,TF_Tekniker,AN$4,TF_Dato,$A1046))*2,0)/2)))</f>
        <v/>
      </c>
      <c r="AO1046">
        <f>IF(OR(AO$4="",$A1046&gt;TODAY()),0,IF(OR(INDEX($B1046:$D1046,AO$5)="F",AND(AO$6&gt;0,$A1046&lt;AO$6),AND(AO$7&gt;0,$A1046&gt;AO$7)),0,MAX(0,ROUND((INDEX($E1046:$G1046,AO$5)-SUMIFS(TF_Timer,TF_Tekniker,AO$4,TF_Dato,$A1046))*2,0)/2)))</f>
        <v/>
      </c>
      <c r="AP1046">
        <f>IF(OR(AP$4="",$A1046&gt;TODAY()),0,IF(OR(INDEX($B1046:$D1046,AP$5)="F",AND(AP$6&gt;0,$A1046&lt;AP$6),AND(AP$7&gt;0,$A1046&gt;AP$7)),0,MAX(0,ROUND((INDEX($E1046:$G1046,AP$5)-SUMIFS(TF_Timer,TF_Tekniker,AP$4,TF_Dato,$A1046))*2,0)/2)))</f>
        <v/>
      </c>
      <c r="AQ1046">
        <f>IF(OR(AQ$4="",$A1046&gt;TODAY()),0,IF(OR(INDEX($B1046:$D1046,AQ$5)="F",AND(AQ$6&gt;0,$A1046&lt;AQ$6),AND(AQ$7&gt;0,$A1046&gt;AQ$7)),0,MAX(0,ROUND((INDEX($E1046:$G1046,AQ$5)-SUMIFS(TF_Timer,TF_Tekniker,AQ$4,TF_Dato,$A1046))*2,0)/2)))</f>
        <v/>
      </c>
      <c r="AR1046">
        <f>IF(OR(AR$4="",$A1046&gt;TODAY()),0,IF(OR(INDEX($B1046:$D1046,AR$5)="F",AND(AR$6&gt;0,$A1046&lt;AR$6),AND(AR$7&gt;0,$A1046&gt;AR$7)),0,MAX(0,ROUND((INDEX($E1046:$G1046,AR$5)-SUMIFS(TF_Timer,TF_Tekniker,AR$4,TF_Dato,$A1046))*2,0)/2)))</f>
        <v/>
      </c>
      <c r="AS1046">
        <f>IF(OR(AS$4="",$A1046&gt;TODAY()),0,IF(OR(INDEX($B1046:$D1046,AS$5)="F",AND(AS$6&gt;0,$A1046&lt;AS$6),AND(AS$7&gt;0,$A1046&gt;AS$7)),0,MAX(0,ROUND((INDEX($E1046:$G1046,AS$5)-SUMIFS(TF_Timer,TF_Tekniker,AS$4,TF_Dato,$A1046))*2,0)/2)))</f>
        <v/>
      </c>
      <c r="AT1046">
        <f>IF(OR(AT$4="",$A1046&gt;TODAY()),0,IF(OR(INDEX($B1046:$D1046,AT$5)="F",AND(AT$6&gt;0,$A1046&lt;AT$6),AND(AT$7&gt;0,$A1046&gt;AT$7)),0,MAX(0,ROUND((INDEX($E1046:$G1046,AT$5)-SUMIFS(TF_Timer,TF_Tekniker,AT$4,TF_Dato,$A1046))*2,0)/2)))</f>
        <v/>
      </c>
      <c r="AU1046">
        <f>IF(OR(AU$4="",$A1046&gt;TODAY()),0,IF(OR(INDEX($B1046:$D1046,AU$5)="F",AND(AU$6&gt;0,$A1046&lt;AU$6),AND(AU$7&gt;0,$A1046&gt;AU$7)),0,MAX(0,ROUND((INDEX($E1046:$G1046,AU$5)-SUMIFS(TF_Timer,TF_Tekniker,AU$4,TF_Dato,$A1046))*2,0)/2)))</f>
        <v/>
      </c>
      <c r="AV1046">
        <f>IF(OR(AV$4="",$A1046&gt;TODAY()),0,IF(OR(INDEX($B1046:$D1046,AV$5)="F",AND(AV$6&gt;0,$A1046&lt;AV$6),AND(AV$7&gt;0,$A1046&gt;AV$7)),0,MAX(0,ROUND((INDEX($E1046:$G1046,AV$5)-SUMIFS(TF_Timer,TF_Tekniker,AV$4,TF_Dato,$A1046))*2,0)/2)))</f>
        <v/>
      </c>
      <c r="AW1046">
        <f>IF(OR(AW$4="",$A1046&gt;TODAY()),0,IF(OR(INDEX($B1046:$D1046,AW$5)="F",AND(AW$6&gt;0,$A1046&lt;AW$6),AND(AW$7&gt;0,$A1046&gt;AW$7)),0,MAX(0,ROUND((INDEX($E1046:$G1046,AW$5)-SUMIFS(TF_Timer,TF_Tekniker,AW$4,TF_Dato,$A1046))*2,0)/2)))</f>
        <v/>
      </c>
      <c r="AX1046">
        <f>IF(OR(AX$4="",$A1046&gt;TODAY()),0,IF(OR(INDEX($B1046:$D1046,AX$5)="F",AND(AX$6&gt;0,$A1046&lt;AX$6),AND(AX$7&gt;0,$A1046&gt;AX$7)),0,MAX(0,ROUND((INDEX($E1046:$G1046,AX$5)-SUMIFS(TF_Timer,TF_Tekniker,AX$4,TF_Dato,$A1046))*2,0)/2)))</f>
        <v/>
      </c>
      <c r="AY1046">
        <f>IF(OR(AY$4="",$A1046&gt;TODAY()),0,IF(OR(INDEX($B1046:$D1046,AY$5)="F",AND(AY$6&gt;0,$A1046&lt;AY$6),AND(AY$7&gt;0,$A1046&gt;AY$7)),0,MAX(0,ROUND((INDEX($E1046:$G1046,AY$5)-SUMIFS(TF_Timer,TF_Tekniker,AY$4,TF_Dato,$A1046))*2,0)/2)))</f>
        <v/>
      </c>
      <c r="AZ1046">
        <f>IF(OR(AZ$4="",$A1046&gt;TODAY()),0,IF(OR(INDEX($B1046:$D1046,AZ$5)="F",AND(AZ$6&gt;0,$A1046&lt;AZ$6),AND(AZ$7&gt;0,$A1046&gt;AZ$7)),0,MAX(0,ROUND((INDEX($E1046:$G1046,AZ$5)-SUMIFS(TF_Timer,TF_Tekniker,AZ$4,TF_Dato,$A1046))*2,0)/2)))</f>
        <v/>
      </c>
      <c r="BA1046">
        <f>IF(OR(BA$4="",$A1046&gt;TODAY()),0,IF(OR(INDEX($B1046:$D1046,BA$5)="F",AND(BA$6&gt;0,$A1046&lt;BA$6),AND(BA$7&gt;0,$A1046&gt;BA$7)),0,MAX(0,ROUND((INDEX($E1046:$G1046,BA$5)-SUMIFS(TF_Timer,TF_Tekniker,BA$4,TF_Dato,$A1046))*2,0)/2)))</f>
        <v/>
      </c>
      <c r="BB1046">
        <f>IF(OR(BB$4="",$A1046&gt;TODAY()),0,IF(OR(INDEX($B1046:$D1046,BB$5)="F",AND(BB$6&gt;0,$A1046&lt;BB$6),AND(BB$7&gt;0,$A1046&gt;BB$7)),0,MAX(0,ROUND((INDEX($E1046:$G1046,BB$5)-SUMIFS(TF_Timer,TF_Tekniker,BB$4,TF_Dato,$A1046))*2,0)/2)))</f>
        <v/>
      </c>
      <c r="BC1046">
        <f>IF(OR(BC$4="",$A1046&gt;TODAY()),0,IF(OR(INDEX($B1046:$D1046,BC$5)="F",AND(BC$6&gt;0,$A1046&lt;BC$6),AND(BC$7&gt;0,$A1046&gt;BC$7)),0,MAX(0,ROUND((INDEX($E1046:$G1046,BC$5)-SUMIFS(TF_Timer,TF_Tekniker,BC$4,TF_Dato,$A1046))*2,0)/2)))</f>
        <v/>
      </c>
      <c r="BD1046">
        <f>IF(OR(BD$4="",$A1046&gt;TODAY()),0,IF(OR(INDEX($B1046:$D1046,BD$5)="F",AND(BD$6&gt;0,$A1046&lt;BD$6),AND(BD$7&gt;0,$A1046&gt;BD$7)),0,MAX(0,ROUND((INDEX($E1046:$G1046,BD$5)-SUMIFS(TF_Timer,TF_Tekniker,BD$4,TF_Dato,$A1046))*2,0)/2)))</f>
        <v/>
      </c>
      <c r="BE1046">
        <f>IF(OR(BE$4="",$A1046&gt;TODAY()),0,IF(OR(INDEX($B1046:$D1046,BE$5)="F",AND(BE$6&gt;0,$A1046&lt;BE$6),AND(BE$7&gt;0,$A1046&gt;BE$7)),0,MAX(0,ROUND((INDEX($E1046:$G1046,BE$5)-SUMIFS(TF_Timer,TF_Tekniker,BE$4,TF_Dato,$A1046))*2,0)/2)))</f>
        <v/>
      </c>
      <c r="BF1046">
        <f>IF(OR(BF$4="",$A1046&gt;TODAY()),0,IF(OR(INDEX($B1046:$D1046,BF$5)="F",AND(BF$6&gt;0,$A1046&lt;BF$6),AND(BF$7&gt;0,$A1046&gt;BF$7)),0,MAX(0,ROUND((INDEX($E1046:$G1046,BF$5)-SUMIFS(TF_Timer,TF_Tekniker,BF$4,TF_Dato,$A1046))*2,0)/2)))</f>
        <v/>
      </c>
      <c r="BG1046">
        <f>IF(OR(BG$4="",$A1046&gt;TODAY()),0,IF(OR(INDEX($B1046:$D1046,BG$5)="F",AND(BG$6&gt;0,$A1046&lt;BG$6),AND(BG$7&gt;0,$A1046&gt;BG$7)),0,MAX(0,ROUND((INDEX($E1046:$G1046,BG$5)-SUMIFS(TF_Timer,TF_Tekniker,BG$4,TF_Dato,$A1046))*2,0)/2)))</f>
        <v/>
      </c>
      <c r="BH1046">
        <f>IF(OR(BH$4="",$A1046&gt;TODAY()),0,IF(OR(INDEX($B1046:$D1046,BH$5)="F",AND(BH$6&gt;0,$A1046&lt;BH$6),AND(BH$7&gt;0,$A1046&gt;BH$7)),0,MAX(0,ROUND((INDEX($E1046:$G1046,BH$5)-SUMIFS(TF_Timer,TF_Tekniker,BH$4,TF_Dato,$A1046))*2,0)/2)))</f>
        <v/>
      </c>
      <c r="BI1046">
        <f>IF(OR(BI$4="",$A1046&gt;TODAY()),0,IF(OR(INDEX($B1046:$D1046,BI$5)="F",AND(BI$6&gt;0,$A1046&lt;BI$6),AND(BI$7&gt;0,$A1046&gt;BI$7)),0,MAX(0,ROUND((INDEX($E1046:$G1046,BI$5)-SUMIFS(TF_Timer,TF_Tekniker,BI$4,TF_Dato,$A1046))*2,0)/2)))</f>
        <v/>
      </c>
    </row>
    <row r="1047">
      <c r="A1047" s="64">
        <f>A1046+1</f>
        <v/>
      </c>
      <c r="B1047">
        <f>IF(MOD($A1047-INDEX(SkiftStart,1),Syklus)&lt;DagK,"K",IF(MOD($A1047-INDEX(SkiftStart,1),Syklus)&lt;DagK+DagH,"H",IF(MOD($A1047-INDEX(SkiftStart,1),Syklus)&lt;DagK+DagH+DagD,"D","F")))</f>
        <v/>
      </c>
      <c r="C1047">
        <f>IF(MOD($A1047-INDEX(SkiftStart,2),Syklus)&lt;DagK,"K",IF(MOD($A1047-INDEX(SkiftStart,2),Syklus)&lt;DagK+DagH,"H",IF(MOD($A1047-INDEX(SkiftStart,2),Syklus)&lt;DagK+DagH+DagD,"D","F")))</f>
        <v/>
      </c>
      <c r="D1047">
        <f>IF(MOD($A1047-INDEX(SkiftStart,3),Syklus)&lt;DagK,"K",IF(MOD($A1047-INDEX(SkiftStart,3),Syklus)&lt;DagK+DagH,"H",IF(MOD($A1047-INDEX(SkiftStart,3),Syklus)&lt;DagK+DagH+DagD,"D","F")))</f>
        <v/>
      </c>
      <c r="E1047">
        <f>IF(B1047="F",0,IF(WEEKDAY($A1047,2)=5,INDEX(TimerFr,MATCH(B1047,FaseKode,0)),INDEX(TimerMT,MATCH(B1047,FaseKode,0))))</f>
        <v/>
      </c>
      <c r="F1047">
        <f>IF(C1047="F",0,IF(WEEKDAY($A1047,2)=5,INDEX(TimerFr,MATCH(C1047,FaseKode,0)),INDEX(TimerMT,MATCH(C1047,FaseKode,0))))</f>
        <v/>
      </c>
      <c r="G1047">
        <f>IF(D1047="F",0,IF(WEEKDAY($A1047,2)=5,INDEX(TimerFr,MATCH(D1047,FaseKode,0)),INDEX(TimerMT,MATCH(D1047,FaseKode,0))))</f>
        <v/>
      </c>
      <c r="H1047">
        <f>IF(OR(H$4="",$A1047&gt;TODAY()),0,IF(OR(INDEX($B1047:$D1047,H$5)="F",AND(H$6&gt;0,$A1047&lt;H$6),AND(H$7&gt;0,$A1047&gt;H$7)),0,MAX(0,ROUND((INDEX($E1047:$G1047,H$5)-SUMIFS(TF_Timer,TF_Tekniker,H$4,TF_Dato,$A1047))*2,0)/2)))</f>
        <v/>
      </c>
      <c r="I1047">
        <f>IF(OR(I$4="",$A1047&gt;TODAY()),0,IF(OR(INDEX($B1047:$D1047,I$5)="F",AND(I$6&gt;0,$A1047&lt;I$6),AND(I$7&gt;0,$A1047&gt;I$7)),0,MAX(0,ROUND((INDEX($E1047:$G1047,I$5)-SUMIFS(TF_Timer,TF_Tekniker,I$4,TF_Dato,$A1047))*2,0)/2)))</f>
        <v/>
      </c>
      <c r="J1047">
        <f>IF(OR(J$4="",$A1047&gt;TODAY()),0,IF(OR(INDEX($B1047:$D1047,J$5)="F",AND(J$6&gt;0,$A1047&lt;J$6),AND(J$7&gt;0,$A1047&gt;J$7)),0,MAX(0,ROUND((INDEX($E1047:$G1047,J$5)-SUMIFS(TF_Timer,TF_Tekniker,J$4,TF_Dato,$A1047))*2,0)/2)))</f>
        <v/>
      </c>
      <c r="K1047">
        <f>IF(OR(K$4="",$A1047&gt;TODAY()),0,IF(OR(INDEX($B1047:$D1047,K$5)="F",AND(K$6&gt;0,$A1047&lt;K$6),AND(K$7&gt;0,$A1047&gt;K$7)),0,MAX(0,ROUND((INDEX($E1047:$G1047,K$5)-SUMIFS(TF_Timer,TF_Tekniker,K$4,TF_Dato,$A1047))*2,0)/2)))</f>
        <v/>
      </c>
      <c r="L1047">
        <f>IF(OR(L$4="",$A1047&gt;TODAY()),0,IF(OR(INDEX($B1047:$D1047,L$5)="F",AND(L$6&gt;0,$A1047&lt;L$6),AND(L$7&gt;0,$A1047&gt;L$7)),0,MAX(0,ROUND((INDEX($E1047:$G1047,L$5)-SUMIFS(TF_Timer,TF_Tekniker,L$4,TF_Dato,$A1047))*2,0)/2)))</f>
        <v/>
      </c>
      <c r="M1047">
        <f>IF(OR(M$4="",$A1047&gt;TODAY()),0,IF(OR(INDEX($B1047:$D1047,M$5)="F",AND(M$6&gt;0,$A1047&lt;M$6),AND(M$7&gt;0,$A1047&gt;M$7)),0,MAX(0,ROUND((INDEX($E1047:$G1047,M$5)-SUMIFS(TF_Timer,TF_Tekniker,M$4,TF_Dato,$A1047))*2,0)/2)))</f>
        <v/>
      </c>
      <c r="N1047">
        <f>IF(OR(N$4="",$A1047&gt;TODAY()),0,IF(OR(INDEX($B1047:$D1047,N$5)="F",AND(N$6&gt;0,$A1047&lt;N$6),AND(N$7&gt;0,$A1047&gt;N$7)),0,MAX(0,ROUND((INDEX($E1047:$G1047,N$5)-SUMIFS(TF_Timer,TF_Tekniker,N$4,TF_Dato,$A1047))*2,0)/2)))</f>
        <v/>
      </c>
      <c r="O1047">
        <f>IF(OR(O$4="",$A1047&gt;TODAY()),0,IF(OR(INDEX($B1047:$D1047,O$5)="F",AND(O$6&gt;0,$A1047&lt;O$6),AND(O$7&gt;0,$A1047&gt;O$7)),0,MAX(0,ROUND((INDEX($E1047:$G1047,O$5)-SUMIFS(TF_Timer,TF_Tekniker,O$4,TF_Dato,$A1047))*2,0)/2)))</f>
        <v/>
      </c>
      <c r="P1047">
        <f>IF(OR(P$4="",$A1047&gt;TODAY()),0,IF(OR(INDEX($B1047:$D1047,P$5)="F",AND(P$6&gt;0,$A1047&lt;P$6),AND(P$7&gt;0,$A1047&gt;P$7)),0,MAX(0,ROUND((INDEX($E1047:$G1047,P$5)-SUMIFS(TF_Timer,TF_Tekniker,P$4,TF_Dato,$A1047))*2,0)/2)))</f>
        <v/>
      </c>
      <c r="Q1047">
        <f>IF(OR(Q$4="",$A1047&gt;TODAY()),0,IF(OR(INDEX($B1047:$D1047,Q$5)="F",AND(Q$6&gt;0,$A1047&lt;Q$6),AND(Q$7&gt;0,$A1047&gt;Q$7)),0,MAX(0,ROUND((INDEX($E1047:$G1047,Q$5)-SUMIFS(TF_Timer,TF_Tekniker,Q$4,TF_Dato,$A1047))*2,0)/2)))</f>
        <v/>
      </c>
      <c r="R1047">
        <f>IF(OR(R$4="",$A1047&gt;TODAY()),0,IF(OR(INDEX($B1047:$D1047,R$5)="F",AND(R$6&gt;0,$A1047&lt;R$6),AND(R$7&gt;0,$A1047&gt;R$7)),0,MAX(0,ROUND((INDEX($E1047:$G1047,R$5)-SUMIFS(TF_Timer,TF_Tekniker,R$4,TF_Dato,$A1047))*2,0)/2)))</f>
        <v/>
      </c>
      <c r="S1047">
        <f>IF(OR(S$4="",$A1047&gt;TODAY()),0,IF(OR(INDEX($B1047:$D1047,S$5)="F",AND(S$6&gt;0,$A1047&lt;S$6),AND(S$7&gt;0,$A1047&gt;S$7)),0,MAX(0,ROUND((INDEX($E1047:$G1047,S$5)-SUMIFS(TF_Timer,TF_Tekniker,S$4,TF_Dato,$A1047))*2,0)/2)))</f>
        <v/>
      </c>
      <c r="T1047">
        <f>IF(OR(T$4="",$A1047&gt;TODAY()),0,IF(OR(INDEX($B1047:$D1047,T$5)="F",AND(T$6&gt;0,$A1047&lt;T$6),AND(T$7&gt;0,$A1047&gt;T$7)),0,MAX(0,ROUND((INDEX($E1047:$G1047,T$5)-SUMIFS(TF_Timer,TF_Tekniker,T$4,TF_Dato,$A1047))*2,0)/2)))</f>
        <v/>
      </c>
      <c r="U1047">
        <f>IF(OR(U$4="",$A1047&gt;TODAY()),0,IF(OR(INDEX($B1047:$D1047,U$5)="F",AND(U$6&gt;0,$A1047&lt;U$6),AND(U$7&gt;0,$A1047&gt;U$7)),0,MAX(0,ROUND((INDEX($E1047:$G1047,U$5)-SUMIFS(TF_Timer,TF_Tekniker,U$4,TF_Dato,$A1047))*2,0)/2)))</f>
        <v/>
      </c>
      <c r="V1047">
        <f>IF(OR(V$4="",$A1047&gt;TODAY()),0,IF(OR(INDEX($B1047:$D1047,V$5)="F",AND(V$6&gt;0,$A1047&lt;V$6),AND(V$7&gt;0,$A1047&gt;V$7)),0,MAX(0,ROUND((INDEX($E1047:$G1047,V$5)-SUMIFS(TF_Timer,TF_Tekniker,V$4,TF_Dato,$A1047))*2,0)/2)))</f>
        <v/>
      </c>
      <c r="W1047">
        <f>IF(OR(W$4="",$A1047&gt;TODAY()),0,IF(OR(INDEX($B1047:$D1047,W$5)="F",AND(W$6&gt;0,$A1047&lt;W$6),AND(W$7&gt;0,$A1047&gt;W$7)),0,MAX(0,ROUND((INDEX($E1047:$G1047,W$5)-SUMIFS(TF_Timer,TF_Tekniker,W$4,TF_Dato,$A1047))*2,0)/2)))</f>
        <v/>
      </c>
      <c r="X1047">
        <f>IF(OR(X$4="",$A1047&gt;TODAY()),0,IF(OR(INDEX($B1047:$D1047,X$5)="F",AND(X$6&gt;0,$A1047&lt;X$6),AND(X$7&gt;0,$A1047&gt;X$7)),0,MAX(0,ROUND((INDEX($E1047:$G1047,X$5)-SUMIFS(TF_Timer,TF_Tekniker,X$4,TF_Dato,$A1047))*2,0)/2)))</f>
        <v/>
      </c>
      <c r="Y1047">
        <f>IF(OR(Y$4="",$A1047&gt;TODAY()),0,IF(OR(INDEX($B1047:$D1047,Y$5)="F",AND(Y$6&gt;0,$A1047&lt;Y$6),AND(Y$7&gt;0,$A1047&gt;Y$7)),0,MAX(0,ROUND((INDEX($E1047:$G1047,Y$5)-SUMIFS(TF_Timer,TF_Tekniker,Y$4,TF_Dato,$A1047))*2,0)/2)))</f>
        <v/>
      </c>
      <c r="Z1047">
        <f>IF(OR(Z$4="",$A1047&gt;TODAY()),0,IF(OR(INDEX($B1047:$D1047,Z$5)="F",AND(Z$6&gt;0,$A1047&lt;Z$6),AND(Z$7&gt;0,$A1047&gt;Z$7)),0,MAX(0,ROUND((INDEX($E1047:$G1047,Z$5)-SUMIFS(TF_Timer,TF_Tekniker,Z$4,TF_Dato,$A1047))*2,0)/2)))</f>
        <v/>
      </c>
      <c r="AA1047">
        <f>IF(OR(AA$4="",$A1047&gt;TODAY()),0,IF(OR(INDEX($B1047:$D1047,AA$5)="F",AND(AA$6&gt;0,$A1047&lt;AA$6),AND(AA$7&gt;0,$A1047&gt;AA$7)),0,MAX(0,ROUND((INDEX($E1047:$G1047,AA$5)-SUMIFS(TF_Timer,TF_Tekniker,AA$4,TF_Dato,$A1047))*2,0)/2)))</f>
        <v/>
      </c>
      <c r="AB1047">
        <f>IF(OR(AB$4="",$A1047&gt;TODAY()),0,IF(OR(INDEX($B1047:$D1047,AB$5)="F",AND(AB$6&gt;0,$A1047&lt;AB$6),AND(AB$7&gt;0,$A1047&gt;AB$7)),0,MAX(0,ROUND((INDEX($E1047:$G1047,AB$5)-SUMIFS(TF_Timer,TF_Tekniker,AB$4,TF_Dato,$A1047))*2,0)/2)))</f>
        <v/>
      </c>
      <c r="AC1047">
        <f>IF(OR(AC$4="",$A1047&gt;TODAY()),0,IF(OR(INDEX($B1047:$D1047,AC$5)="F",AND(AC$6&gt;0,$A1047&lt;AC$6),AND(AC$7&gt;0,$A1047&gt;AC$7)),0,MAX(0,ROUND((INDEX($E1047:$G1047,AC$5)-SUMIFS(TF_Timer,TF_Tekniker,AC$4,TF_Dato,$A1047))*2,0)/2)))</f>
        <v/>
      </c>
      <c r="AD1047">
        <f>IF(OR(AD$4="",$A1047&gt;TODAY()),0,IF(OR(INDEX($B1047:$D1047,AD$5)="F",AND(AD$6&gt;0,$A1047&lt;AD$6),AND(AD$7&gt;0,$A1047&gt;AD$7)),0,MAX(0,ROUND((INDEX($E1047:$G1047,AD$5)-SUMIFS(TF_Timer,TF_Tekniker,AD$4,TF_Dato,$A1047))*2,0)/2)))</f>
        <v/>
      </c>
      <c r="AE1047">
        <f>IF(OR(AE$4="",$A1047&gt;TODAY()),0,IF(OR(INDEX($B1047:$D1047,AE$5)="F",AND(AE$6&gt;0,$A1047&lt;AE$6),AND(AE$7&gt;0,$A1047&gt;AE$7)),0,MAX(0,ROUND((INDEX($E1047:$G1047,AE$5)-SUMIFS(TF_Timer,TF_Tekniker,AE$4,TF_Dato,$A1047))*2,0)/2)))</f>
        <v/>
      </c>
      <c r="AF1047">
        <f>IF(OR(AF$4="",$A1047&gt;TODAY()),0,IF(OR(INDEX($B1047:$D1047,AF$5)="F",AND(AF$6&gt;0,$A1047&lt;AF$6),AND(AF$7&gt;0,$A1047&gt;AF$7)),0,MAX(0,ROUND((INDEX($E1047:$G1047,AF$5)-SUMIFS(TF_Timer,TF_Tekniker,AF$4,TF_Dato,$A1047))*2,0)/2)))</f>
        <v/>
      </c>
      <c r="AG1047">
        <f>IF(OR(AG$4="",$A1047&gt;TODAY()),0,IF(OR(INDEX($B1047:$D1047,AG$5)="F",AND(AG$6&gt;0,$A1047&lt;AG$6),AND(AG$7&gt;0,$A1047&gt;AG$7)),0,MAX(0,ROUND((INDEX($E1047:$G1047,AG$5)-SUMIFS(TF_Timer,TF_Tekniker,AG$4,TF_Dato,$A1047))*2,0)/2)))</f>
        <v/>
      </c>
      <c r="AH1047">
        <f>IF(OR(AH$4="",$A1047&gt;TODAY()),0,IF(OR(INDEX($B1047:$D1047,AH$5)="F",AND(AH$6&gt;0,$A1047&lt;AH$6),AND(AH$7&gt;0,$A1047&gt;AH$7)),0,MAX(0,ROUND((INDEX($E1047:$G1047,AH$5)-SUMIFS(TF_Timer,TF_Tekniker,AH$4,TF_Dato,$A1047))*2,0)/2)))</f>
        <v/>
      </c>
      <c r="AI1047">
        <f>IF(OR(AI$4="",$A1047&gt;TODAY()),0,IF(OR(INDEX($B1047:$D1047,AI$5)="F",AND(AI$6&gt;0,$A1047&lt;AI$6),AND(AI$7&gt;0,$A1047&gt;AI$7)),0,MAX(0,ROUND((INDEX($E1047:$G1047,AI$5)-SUMIFS(TF_Timer,TF_Tekniker,AI$4,TF_Dato,$A1047))*2,0)/2)))</f>
        <v/>
      </c>
      <c r="AJ1047">
        <f>IF(OR(AJ$4="",$A1047&gt;TODAY()),0,IF(OR(INDEX($B1047:$D1047,AJ$5)="F",AND(AJ$6&gt;0,$A1047&lt;AJ$6),AND(AJ$7&gt;0,$A1047&gt;AJ$7)),0,MAX(0,ROUND((INDEX($E1047:$G1047,AJ$5)-SUMIFS(TF_Timer,TF_Tekniker,AJ$4,TF_Dato,$A1047))*2,0)/2)))</f>
        <v/>
      </c>
      <c r="AK1047">
        <f>IF(OR(AK$4="",$A1047&gt;TODAY()),0,IF(OR(INDEX($B1047:$D1047,AK$5)="F",AND(AK$6&gt;0,$A1047&lt;AK$6),AND(AK$7&gt;0,$A1047&gt;AK$7)),0,MAX(0,ROUND((INDEX($E1047:$G1047,AK$5)-SUMIFS(TF_Timer,TF_Tekniker,AK$4,TF_Dato,$A1047))*2,0)/2)))</f>
        <v/>
      </c>
      <c r="AL1047">
        <f>IF(OR(AL$4="",$A1047&gt;TODAY()),0,IF(OR(INDEX($B1047:$D1047,AL$5)="F",AND(AL$6&gt;0,$A1047&lt;AL$6),AND(AL$7&gt;0,$A1047&gt;AL$7)),0,MAX(0,ROUND((INDEX($E1047:$G1047,AL$5)-SUMIFS(TF_Timer,TF_Tekniker,AL$4,TF_Dato,$A1047))*2,0)/2)))</f>
        <v/>
      </c>
      <c r="AM1047">
        <f>IF(OR(AM$4="",$A1047&gt;TODAY()),0,IF(OR(INDEX($B1047:$D1047,AM$5)="F",AND(AM$6&gt;0,$A1047&lt;AM$6),AND(AM$7&gt;0,$A1047&gt;AM$7)),0,MAX(0,ROUND((INDEX($E1047:$G1047,AM$5)-SUMIFS(TF_Timer,TF_Tekniker,AM$4,TF_Dato,$A1047))*2,0)/2)))</f>
        <v/>
      </c>
      <c r="AN1047">
        <f>IF(OR(AN$4="",$A1047&gt;TODAY()),0,IF(OR(INDEX($B1047:$D1047,AN$5)="F",AND(AN$6&gt;0,$A1047&lt;AN$6),AND(AN$7&gt;0,$A1047&gt;AN$7)),0,MAX(0,ROUND((INDEX($E1047:$G1047,AN$5)-SUMIFS(TF_Timer,TF_Tekniker,AN$4,TF_Dato,$A1047))*2,0)/2)))</f>
        <v/>
      </c>
      <c r="AO1047">
        <f>IF(OR(AO$4="",$A1047&gt;TODAY()),0,IF(OR(INDEX($B1047:$D1047,AO$5)="F",AND(AO$6&gt;0,$A1047&lt;AO$6),AND(AO$7&gt;0,$A1047&gt;AO$7)),0,MAX(0,ROUND((INDEX($E1047:$G1047,AO$5)-SUMIFS(TF_Timer,TF_Tekniker,AO$4,TF_Dato,$A1047))*2,0)/2)))</f>
        <v/>
      </c>
      <c r="AP1047">
        <f>IF(OR(AP$4="",$A1047&gt;TODAY()),0,IF(OR(INDEX($B1047:$D1047,AP$5)="F",AND(AP$6&gt;0,$A1047&lt;AP$6),AND(AP$7&gt;0,$A1047&gt;AP$7)),0,MAX(0,ROUND((INDEX($E1047:$G1047,AP$5)-SUMIFS(TF_Timer,TF_Tekniker,AP$4,TF_Dato,$A1047))*2,0)/2)))</f>
        <v/>
      </c>
      <c r="AQ1047">
        <f>IF(OR(AQ$4="",$A1047&gt;TODAY()),0,IF(OR(INDEX($B1047:$D1047,AQ$5)="F",AND(AQ$6&gt;0,$A1047&lt;AQ$6),AND(AQ$7&gt;0,$A1047&gt;AQ$7)),0,MAX(0,ROUND((INDEX($E1047:$G1047,AQ$5)-SUMIFS(TF_Timer,TF_Tekniker,AQ$4,TF_Dato,$A1047))*2,0)/2)))</f>
        <v/>
      </c>
      <c r="AR1047">
        <f>IF(OR(AR$4="",$A1047&gt;TODAY()),0,IF(OR(INDEX($B1047:$D1047,AR$5)="F",AND(AR$6&gt;0,$A1047&lt;AR$6),AND(AR$7&gt;0,$A1047&gt;AR$7)),0,MAX(0,ROUND((INDEX($E1047:$G1047,AR$5)-SUMIFS(TF_Timer,TF_Tekniker,AR$4,TF_Dato,$A1047))*2,0)/2)))</f>
        <v/>
      </c>
      <c r="AS1047">
        <f>IF(OR(AS$4="",$A1047&gt;TODAY()),0,IF(OR(INDEX($B1047:$D1047,AS$5)="F",AND(AS$6&gt;0,$A1047&lt;AS$6),AND(AS$7&gt;0,$A1047&gt;AS$7)),0,MAX(0,ROUND((INDEX($E1047:$G1047,AS$5)-SUMIFS(TF_Timer,TF_Tekniker,AS$4,TF_Dato,$A1047))*2,0)/2)))</f>
        <v/>
      </c>
      <c r="AT1047">
        <f>IF(OR(AT$4="",$A1047&gt;TODAY()),0,IF(OR(INDEX($B1047:$D1047,AT$5)="F",AND(AT$6&gt;0,$A1047&lt;AT$6),AND(AT$7&gt;0,$A1047&gt;AT$7)),0,MAX(0,ROUND((INDEX($E1047:$G1047,AT$5)-SUMIFS(TF_Timer,TF_Tekniker,AT$4,TF_Dato,$A1047))*2,0)/2)))</f>
        <v/>
      </c>
      <c r="AU1047">
        <f>IF(OR(AU$4="",$A1047&gt;TODAY()),0,IF(OR(INDEX($B1047:$D1047,AU$5)="F",AND(AU$6&gt;0,$A1047&lt;AU$6),AND(AU$7&gt;0,$A1047&gt;AU$7)),0,MAX(0,ROUND((INDEX($E1047:$G1047,AU$5)-SUMIFS(TF_Timer,TF_Tekniker,AU$4,TF_Dato,$A1047))*2,0)/2)))</f>
        <v/>
      </c>
      <c r="AV1047">
        <f>IF(OR(AV$4="",$A1047&gt;TODAY()),0,IF(OR(INDEX($B1047:$D1047,AV$5)="F",AND(AV$6&gt;0,$A1047&lt;AV$6),AND(AV$7&gt;0,$A1047&gt;AV$7)),0,MAX(0,ROUND((INDEX($E1047:$G1047,AV$5)-SUMIFS(TF_Timer,TF_Tekniker,AV$4,TF_Dato,$A1047))*2,0)/2)))</f>
        <v/>
      </c>
      <c r="AW1047">
        <f>IF(OR(AW$4="",$A1047&gt;TODAY()),0,IF(OR(INDEX($B1047:$D1047,AW$5)="F",AND(AW$6&gt;0,$A1047&lt;AW$6),AND(AW$7&gt;0,$A1047&gt;AW$7)),0,MAX(0,ROUND((INDEX($E1047:$G1047,AW$5)-SUMIFS(TF_Timer,TF_Tekniker,AW$4,TF_Dato,$A1047))*2,0)/2)))</f>
        <v/>
      </c>
      <c r="AX1047">
        <f>IF(OR(AX$4="",$A1047&gt;TODAY()),0,IF(OR(INDEX($B1047:$D1047,AX$5)="F",AND(AX$6&gt;0,$A1047&lt;AX$6),AND(AX$7&gt;0,$A1047&gt;AX$7)),0,MAX(0,ROUND((INDEX($E1047:$G1047,AX$5)-SUMIFS(TF_Timer,TF_Tekniker,AX$4,TF_Dato,$A1047))*2,0)/2)))</f>
        <v/>
      </c>
      <c r="AY1047">
        <f>IF(OR(AY$4="",$A1047&gt;TODAY()),0,IF(OR(INDEX($B1047:$D1047,AY$5)="F",AND(AY$6&gt;0,$A1047&lt;AY$6),AND(AY$7&gt;0,$A1047&gt;AY$7)),0,MAX(0,ROUND((INDEX($E1047:$G1047,AY$5)-SUMIFS(TF_Timer,TF_Tekniker,AY$4,TF_Dato,$A1047))*2,0)/2)))</f>
        <v/>
      </c>
      <c r="AZ1047">
        <f>IF(OR(AZ$4="",$A1047&gt;TODAY()),0,IF(OR(INDEX($B1047:$D1047,AZ$5)="F",AND(AZ$6&gt;0,$A1047&lt;AZ$6),AND(AZ$7&gt;0,$A1047&gt;AZ$7)),0,MAX(0,ROUND((INDEX($E1047:$G1047,AZ$5)-SUMIFS(TF_Timer,TF_Tekniker,AZ$4,TF_Dato,$A1047))*2,0)/2)))</f>
        <v/>
      </c>
      <c r="BA1047">
        <f>IF(OR(BA$4="",$A1047&gt;TODAY()),0,IF(OR(INDEX($B1047:$D1047,BA$5)="F",AND(BA$6&gt;0,$A1047&lt;BA$6),AND(BA$7&gt;0,$A1047&gt;BA$7)),0,MAX(0,ROUND((INDEX($E1047:$G1047,BA$5)-SUMIFS(TF_Timer,TF_Tekniker,BA$4,TF_Dato,$A1047))*2,0)/2)))</f>
        <v/>
      </c>
      <c r="BB1047">
        <f>IF(OR(BB$4="",$A1047&gt;TODAY()),0,IF(OR(INDEX($B1047:$D1047,BB$5)="F",AND(BB$6&gt;0,$A1047&lt;BB$6),AND(BB$7&gt;0,$A1047&gt;BB$7)),0,MAX(0,ROUND((INDEX($E1047:$G1047,BB$5)-SUMIFS(TF_Timer,TF_Tekniker,BB$4,TF_Dato,$A1047))*2,0)/2)))</f>
        <v/>
      </c>
      <c r="BC1047">
        <f>IF(OR(BC$4="",$A1047&gt;TODAY()),0,IF(OR(INDEX($B1047:$D1047,BC$5)="F",AND(BC$6&gt;0,$A1047&lt;BC$6),AND(BC$7&gt;0,$A1047&gt;BC$7)),0,MAX(0,ROUND((INDEX($E1047:$G1047,BC$5)-SUMIFS(TF_Timer,TF_Tekniker,BC$4,TF_Dato,$A1047))*2,0)/2)))</f>
        <v/>
      </c>
      <c r="BD1047">
        <f>IF(OR(BD$4="",$A1047&gt;TODAY()),0,IF(OR(INDEX($B1047:$D1047,BD$5)="F",AND(BD$6&gt;0,$A1047&lt;BD$6),AND(BD$7&gt;0,$A1047&gt;BD$7)),0,MAX(0,ROUND((INDEX($E1047:$G1047,BD$5)-SUMIFS(TF_Timer,TF_Tekniker,BD$4,TF_Dato,$A1047))*2,0)/2)))</f>
        <v/>
      </c>
      <c r="BE1047">
        <f>IF(OR(BE$4="",$A1047&gt;TODAY()),0,IF(OR(INDEX($B1047:$D1047,BE$5)="F",AND(BE$6&gt;0,$A1047&lt;BE$6),AND(BE$7&gt;0,$A1047&gt;BE$7)),0,MAX(0,ROUND((INDEX($E1047:$G1047,BE$5)-SUMIFS(TF_Timer,TF_Tekniker,BE$4,TF_Dato,$A1047))*2,0)/2)))</f>
        <v/>
      </c>
      <c r="BF1047">
        <f>IF(OR(BF$4="",$A1047&gt;TODAY()),0,IF(OR(INDEX($B1047:$D1047,BF$5)="F",AND(BF$6&gt;0,$A1047&lt;BF$6),AND(BF$7&gt;0,$A1047&gt;BF$7)),0,MAX(0,ROUND((INDEX($E1047:$G1047,BF$5)-SUMIFS(TF_Timer,TF_Tekniker,BF$4,TF_Dato,$A1047))*2,0)/2)))</f>
        <v/>
      </c>
      <c r="BG1047">
        <f>IF(OR(BG$4="",$A1047&gt;TODAY()),0,IF(OR(INDEX($B1047:$D1047,BG$5)="F",AND(BG$6&gt;0,$A1047&lt;BG$6),AND(BG$7&gt;0,$A1047&gt;BG$7)),0,MAX(0,ROUND((INDEX($E1047:$G1047,BG$5)-SUMIFS(TF_Timer,TF_Tekniker,BG$4,TF_Dato,$A1047))*2,0)/2)))</f>
        <v/>
      </c>
      <c r="BH1047">
        <f>IF(OR(BH$4="",$A1047&gt;TODAY()),0,IF(OR(INDEX($B1047:$D1047,BH$5)="F",AND(BH$6&gt;0,$A1047&lt;BH$6),AND(BH$7&gt;0,$A1047&gt;BH$7)),0,MAX(0,ROUND((INDEX($E1047:$G1047,BH$5)-SUMIFS(TF_Timer,TF_Tekniker,BH$4,TF_Dato,$A1047))*2,0)/2)))</f>
        <v/>
      </c>
      <c r="BI1047">
        <f>IF(OR(BI$4="",$A1047&gt;TODAY()),0,IF(OR(INDEX($B1047:$D1047,BI$5)="F",AND(BI$6&gt;0,$A1047&lt;BI$6),AND(BI$7&gt;0,$A1047&gt;BI$7)),0,MAX(0,ROUND((INDEX($E1047:$G1047,BI$5)-SUMIFS(TF_Timer,TF_Tekniker,BI$4,TF_Dato,$A1047))*2,0)/2)))</f>
        <v/>
      </c>
    </row>
    <row r="1048">
      <c r="A1048" s="64">
        <f>A1047+1</f>
        <v/>
      </c>
      <c r="B1048">
        <f>IF(MOD($A1048-INDEX(SkiftStart,1),Syklus)&lt;DagK,"K",IF(MOD($A1048-INDEX(SkiftStart,1),Syklus)&lt;DagK+DagH,"H",IF(MOD($A1048-INDEX(SkiftStart,1),Syklus)&lt;DagK+DagH+DagD,"D","F")))</f>
        <v/>
      </c>
      <c r="C1048">
        <f>IF(MOD($A1048-INDEX(SkiftStart,2),Syklus)&lt;DagK,"K",IF(MOD($A1048-INDEX(SkiftStart,2),Syklus)&lt;DagK+DagH,"H",IF(MOD($A1048-INDEX(SkiftStart,2),Syklus)&lt;DagK+DagH+DagD,"D","F")))</f>
        <v/>
      </c>
      <c r="D1048">
        <f>IF(MOD($A1048-INDEX(SkiftStart,3),Syklus)&lt;DagK,"K",IF(MOD($A1048-INDEX(SkiftStart,3),Syklus)&lt;DagK+DagH,"H",IF(MOD($A1048-INDEX(SkiftStart,3),Syklus)&lt;DagK+DagH+DagD,"D","F")))</f>
        <v/>
      </c>
      <c r="E1048">
        <f>IF(B1048="F",0,IF(WEEKDAY($A1048,2)=5,INDEX(TimerFr,MATCH(B1048,FaseKode,0)),INDEX(TimerMT,MATCH(B1048,FaseKode,0))))</f>
        <v/>
      </c>
      <c r="F1048">
        <f>IF(C1048="F",0,IF(WEEKDAY($A1048,2)=5,INDEX(TimerFr,MATCH(C1048,FaseKode,0)),INDEX(TimerMT,MATCH(C1048,FaseKode,0))))</f>
        <v/>
      </c>
      <c r="G1048">
        <f>IF(D1048="F",0,IF(WEEKDAY($A1048,2)=5,INDEX(TimerFr,MATCH(D1048,FaseKode,0)),INDEX(TimerMT,MATCH(D1048,FaseKode,0))))</f>
        <v/>
      </c>
      <c r="H1048">
        <f>IF(OR(H$4="",$A1048&gt;TODAY()),0,IF(OR(INDEX($B1048:$D1048,H$5)="F",AND(H$6&gt;0,$A1048&lt;H$6),AND(H$7&gt;0,$A1048&gt;H$7)),0,MAX(0,ROUND((INDEX($E1048:$G1048,H$5)-SUMIFS(TF_Timer,TF_Tekniker,H$4,TF_Dato,$A1048))*2,0)/2)))</f>
        <v/>
      </c>
      <c r="I1048">
        <f>IF(OR(I$4="",$A1048&gt;TODAY()),0,IF(OR(INDEX($B1048:$D1048,I$5)="F",AND(I$6&gt;0,$A1048&lt;I$6),AND(I$7&gt;0,$A1048&gt;I$7)),0,MAX(0,ROUND((INDEX($E1048:$G1048,I$5)-SUMIFS(TF_Timer,TF_Tekniker,I$4,TF_Dato,$A1048))*2,0)/2)))</f>
        <v/>
      </c>
      <c r="J1048">
        <f>IF(OR(J$4="",$A1048&gt;TODAY()),0,IF(OR(INDEX($B1048:$D1048,J$5)="F",AND(J$6&gt;0,$A1048&lt;J$6),AND(J$7&gt;0,$A1048&gt;J$7)),0,MAX(0,ROUND((INDEX($E1048:$G1048,J$5)-SUMIFS(TF_Timer,TF_Tekniker,J$4,TF_Dato,$A1048))*2,0)/2)))</f>
        <v/>
      </c>
      <c r="K1048">
        <f>IF(OR(K$4="",$A1048&gt;TODAY()),0,IF(OR(INDEX($B1048:$D1048,K$5)="F",AND(K$6&gt;0,$A1048&lt;K$6),AND(K$7&gt;0,$A1048&gt;K$7)),0,MAX(0,ROUND((INDEX($E1048:$G1048,K$5)-SUMIFS(TF_Timer,TF_Tekniker,K$4,TF_Dato,$A1048))*2,0)/2)))</f>
        <v/>
      </c>
      <c r="L1048">
        <f>IF(OR(L$4="",$A1048&gt;TODAY()),0,IF(OR(INDEX($B1048:$D1048,L$5)="F",AND(L$6&gt;0,$A1048&lt;L$6),AND(L$7&gt;0,$A1048&gt;L$7)),0,MAX(0,ROUND((INDEX($E1048:$G1048,L$5)-SUMIFS(TF_Timer,TF_Tekniker,L$4,TF_Dato,$A1048))*2,0)/2)))</f>
        <v/>
      </c>
      <c r="M1048">
        <f>IF(OR(M$4="",$A1048&gt;TODAY()),0,IF(OR(INDEX($B1048:$D1048,M$5)="F",AND(M$6&gt;0,$A1048&lt;M$6),AND(M$7&gt;0,$A1048&gt;M$7)),0,MAX(0,ROUND((INDEX($E1048:$G1048,M$5)-SUMIFS(TF_Timer,TF_Tekniker,M$4,TF_Dato,$A1048))*2,0)/2)))</f>
        <v/>
      </c>
      <c r="N1048">
        <f>IF(OR(N$4="",$A1048&gt;TODAY()),0,IF(OR(INDEX($B1048:$D1048,N$5)="F",AND(N$6&gt;0,$A1048&lt;N$6),AND(N$7&gt;0,$A1048&gt;N$7)),0,MAX(0,ROUND((INDEX($E1048:$G1048,N$5)-SUMIFS(TF_Timer,TF_Tekniker,N$4,TF_Dato,$A1048))*2,0)/2)))</f>
        <v/>
      </c>
      <c r="O1048">
        <f>IF(OR(O$4="",$A1048&gt;TODAY()),0,IF(OR(INDEX($B1048:$D1048,O$5)="F",AND(O$6&gt;0,$A1048&lt;O$6),AND(O$7&gt;0,$A1048&gt;O$7)),0,MAX(0,ROUND((INDEX($E1048:$G1048,O$5)-SUMIFS(TF_Timer,TF_Tekniker,O$4,TF_Dato,$A1048))*2,0)/2)))</f>
        <v/>
      </c>
      <c r="P1048">
        <f>IF(OR(P$4="",$A1048&gt;TODAY()),0,IF(OR(INDEX($B1048:$D1048,P$5)="F",AND(P$6&gt;0,$A1048&lt;P$6),AND(P$7&gt;0,$A1048&gt;P$7)),0,MAX(0,ROUND((INDEX($E1048:$G1048,P$5)-SUMIFS(TF_Timer,TF_Tekniker,P$4,TF_Dato,$A1048))*2,0)/2)))</f>
        <v/>
      </c>
      <c r="Q1048">
        <f>IF(OR(Q$4="",$A1048&gt;TODAY()),0,IF(OR(INDEX($B1048:$D1048,Q$5)="F",AND(Q$6&gt;0,$A1048&lt;Q$6),AND(Q$7&gt;0,$A1048&gt;Q$7)),0,MAX(0,ROUND((INDEX($E1048:$G1048,Q$5)-SUMIFS(TF_Timer,TF_Tekniker,Q$4,TF_Dato,$A1048))*2,0)/2)))</f>
        <v/>
      </c>
      <c r="R1048">
        <f>IF(OR(R$4="",$A1048&gt;TODAY()),0,IF(OR(INDEX($B1048:$D1048,R$5)="F",AND(R$6&gt;0,$A1048&lt;R$6),AND(R$7&gt;0,$A1048&gt;R$7)),0,MAX(0,ROUND((INDEX($E1048:$G1048,R$5)-SUMIFS(TF_Timer,TF_Tekniker,R$4,TF_Dato,$A1048))*2,0)/2)))</f>
        <v/>
      </c>
      <c r="S1048">
        <f>IF(OR(S$4="",$A1048&gt;TODAY()),0,IF(OR(INDEX($B1048:$D1048,S$5)="F",AND(S$6&gt;0,$A1048&lt;S$6),AND(S$7&gt;0,$A1048&gt;S$7)),0,MAX(0,ROUND((INDEX($E1048:$G1048,S$5)-SUMIFS(TF_Timer,TF_Tekniker,S$4,TF_Dato,$A1048))*2,0)/2)))</f>
        <v/>
      </c>
      <c r="T1048">
        <f>IF(OR(T$4="",$A1048&gt;TODAY()),0,IF(OR(INDEX($B1048:$D1048,T$5)="F",AND(T$6&gt;0,$A1048&lt;T$6),AND(T$7&gt;0,$A1048&gt;T$7)),0,MAX(0,ROUND((INDEX($E1048:$G1048,T$5)-SUMIFS(TF_Timer,TF_Tekniker,T$4,TF_Dato,$A1048))*2,0)/2)))</f>
        <v/>
      </c>
      <c r="U1048">
        <f>IF(OR(U$4="",$A1048&gt;TODAY()),0,IF(OR(INDEX($B1048:$D1048,U$5)="F",AND(U$6&gt;0,$A1048&lt;U$6),AND(U$7&gt;0,$A1048&gt;U$7)),0,MAX(0,ROUND((INDEX($E1048:$G1048,U$5)-SUMIFS(TF_Timer,TF_Tekniker,U$4,TF_Dato,$A1048))*2,0)/2)))</f>
        <v/>
      </c>
      <c r="V1048">
        <f>IF(OR(V$4="",$A1048&gt;TODAY()),0,IF(OR(INDEX($B1048:$D1048,V$5)="F",AND(V$6&gt;0,$A1048&lt;V$6),AND(V$7&gt;0,$A1048&gt;V$7)),0,MAX(0,ROUND((INDEX($E1048:$G1048,V$5)-SUMIFS(TF_Timer,TF_Tekniker,V$4,TF_Dato,$A1048))*2,0)/2)))</f>
        <v/>
      </c>
      <c r="W1048">
        <f>IF(OR(W$4="",$A1048&gt;TODAY()),0,IF(OR(INDEX($B1048:$D1048,W$5)="F",AND(W$6&gt;0,$A1048&lt;W$6),AND(W$7&gt;0,$A1048&gt;W$7)),0,MAX(0,ROUND((INDEX($E1048:$G1048,W$5)-SUMIFS(TF_Timer,TF_Tekniker,W$4,TF_Dato,$A1048))*2,0)/2)))</f>
        <v/>
      </c>
      <c r="X1048">
        <f>IF(OR(X$4="",$A1048&gt;TODAY()),0,IF(OR(INDEX($B1048:$D1048,X$5)="F",AND(X$6&gt;0,$A1048&lt;X$6),AND(X$7&gt;0,$A1048&gt;X$7)),0,MAX(0,ROUND((INDEX($E1048:$G1048,X$5)-SUMIFS(TF_Timer,TF_Tekniker,X$4,TF_Dato,$A1048))*2,0)/2)))</f>
        <v/>
      </c>
      <c r="Y1048">
        <f>IF(OR(Y$4="",$A1048&gt;TODAY()),0,IF(OR(INDEX($B1048:$D1048,Y$5)="F",AND(Y$6&gt;0,$A1048&lt;Y$6),AND(Y$7&gt;0,$A1048&gt;Y$7)),0,MAX(0,ROUND((INDEX($E1048:$G1048,Y$5)-SUMIFS(TF_Timer,TF_Tekniker,Y$4,TF_Dato,$A1048))*2,0)/2)))</f>
        <v/>
      </c>
      <c r="Z1048">
        <f>IF(OR(Z$4="",$A1048&gt;TODAY()),0,IF(OR(INDEX($B1048:$D1048,Z$5)="F",AND(Z$6&gt;0,$A1048&lt;Z$6),AND(Z$7&gt;0,$A1048&gt;Z$7)),0,MAX(0,ROUND((INDEX($E1048:$G1048,Z$5)-SUMIFS(TF_Timer,TF_Tekniker,Z$4,TF_Dato,$A1048))*2,0)/2)))</f>
        <v/>
      </c>
      <c r="AA1048">
        <f>IF(OR(AA$4="",$A1048&gt;TODAY()),0,IF(OR(INDEX($B1048:$D1048,AA$5)="F",AND(AA$6&gt;0,$A1048&lt;AA$6),AND(AA$7&gt;0,$A1048&gt;AA$7)),0,MAX(0,ROUND((INDEX($E1048:$G1048,AA$5)-SUMIFS(TF_Timer,TF_Tekniker,AA$4,TF_Dato,$A1048))*2,0)/2)))</f>
        <v/>
      </c>
      <c r="AB1048">
        <f>IF(OR(AB$4="",$A1048&gt;TODAY()),0,IF(OR(INDEX($B1048:$D1048,AB$5)="F",AND(AB$6&gt;0,$A1048&lt;AB$6),AND(AB$7&gt;0,$A1048&gt;AB$7)),0,MAX(0,ROUND((INDEX($E1048:$G1048,AB$5)-SUMIFS(TF_Timer,TF_Tekniker,AB$4,TF_Dato,$A1048))*2,0)/2)))</f>
        <v/>
      </c>
      <c r="AC1048">
        <f>IF(OR(AC$4="",$A1048&gt;TODAY()),0,IF(OR(INDEX($B1048:$D1048,AC$5)="F",AND(AC$6&gt;0,$A1048&lt;AC$6),AND(AC$7&gt;0,$A1048&gt;AC$7)),0,MAX(0,ROUND((INDEX($E1048:$G1048,AC$5)-SUMIFS(TF_Timer,TF_Tekniker,AC$4,TF_Dato,$A1048))*2,0)/2)))</f>
        <v/>
      </c>
      <c r="AD1048">
        <f>IF(OR(AD$4="",$A1048&gt;TODAY()),0,IF(OR(INDEX($B1048:$D1048,AD$5)="F",AND(AD$6&gt;0,$A1048&lt;AD$6),AND(AD$7&gt;0,$A1048&gt;AD$7)),0,MAX(0,ROUND((INDEX($E1048:$G1048,AD$5)-SUMIFS(TF_Timer,TF_Tekniker,AD$4,TF_Dato,$A1048))*2,0)/2)))</f>
        <v/>
      </c>
      <c r="AE1048">
        <f>IF(OR(AE$4="",$A1048&gt;TODAY()),0,IF(OR(INDEX($B1048:$D1048,AE$5)="F",AND(AE$6&gt;0,$A1048&lt;AE$6),AND(AE$7&gt;0,$A1048&gt;AE$7)),0,MAX(0,ROUND((INDEX($E1048:$G1048,AE$5)-SUMIFS(TF_Timer,TF_Tekniker,AE$4,TF_Dato,$A1048))*2,0)/2)))</f>
        <v/>
      </c>
      <c r="AF1048">
        <f>IF(OR(AF$4="",$A1048&gt;TODAY()),0,IF(OR(INDEX($B1048:$D1048,AF$5)="F",AND(AF$6&gt;0,$A1048&lt;AF$6),AND(AF$7&gt;0,$A1048&gt;AF$7)),0,MAX(0,ROUND((INDEX($E1048:$G1048,AF$5)-SUMIFS(TF_Timer,TF_Tekniker,AF$4,TF_Dato,$A1048))*2,0)/2)))</f>
        <v/>
      </c>
      <c r="AG1048">
        <f>IF(OR(AG$4="",$A1048&gt;TODAY()),0,IF(OR(INDEX($B1048:$D1048,AG$5)="F",AND(AG$6&gt;0,$A1048&lt;AG$6),AND(AG$7&gt;0,$A1048&gt;AG$7)),0,MAX(0,ROUND((INDEX($E1048:$G1048,AG$5)-SUMIFS(TF_Timer,TF_Tekniker,AG$4,TF_Dato,$A1048))*2,0)/2)))</f>
        <v/>
      </c>
      <c r="AH1048">
        <f>IF(OR(AH$4="",$A1048&gt;TODAY()),0,IF(OR(INDEX($B1048:$D1048,AH$5)="F",AND(AH$6&gt;0,$A1048&lt;AH$6),AND(AH$7&gt;0,$A1048&gt;AH$7)),0,MAX(0,ROUND((INDEX($E1048:$G1048,AH$5)-SUMIFS(TF_Timer,TF_Tekniker,AH$4,TF_Dato,$A1048))*2,0)/2)))</f>
        <v/>
      </c>
      <c r="AI1048">
        <f>IF(OR(AI$4="",$A1048&gt;TODAY()),0,IF(OR(INDEX($B1048:$D1048,AI$5)="F",AND(AI$6&gt;0,$A1048&lt;AI$6),AND(AI$7&gt;0,$A1048&gt;AI$7)),0,MAX(0,ROUND((INDEX($E1048:$G1048,AI$5)-SUMIFS(TF_Timer,TF_Tekniker,AI$4,TF_Dato,$A1048))*2,0)/2)))</f>
        <v/>
      </c>
      <c r="AJ1048">
        <f>IF(OR(AJ$4="",$A1048&gt;TODAY()),0,IF(OR(INDEX($B1048:$D1048,AJ$5)="F",AND(AJ$6&gt;0,$A1048&lt;AJ$6),AND(AJ$7&gt;0,$A1048&gt;AJ$7)),0,MAX(0,ROUND((INDEX($E1048:$G1048,AJ$5)-SUMIFS(TF_Timer,TF_Tekniker,AJ$4,TF_Dato,$A1048))*2,0)/2)))</f>
        <v/>
      </c>
      <c r="AK1048">
        <f>IF(OR(AK$4="",$A1048&gt;TODAY()),0,IF(OR(INDEX($B1048:$D1048,AK$5)="F",AND(AK$6&gt;0,$A1048&lt;AK$6),AND(AK$7&gt;0,$A1048&gt;AK$7)),0,MAX(0,ROUND((INDEX($E1048:$G1048,AK$5)-SUMIFS(TF_Timer,TF_Tekniker,AK$4,TF_Dato,$A1048))*2,0)/2)))</f>
        <v/>
      </c>
      <c r="AL1048">
        <f>IF(OR(AL$4="",$A1048&gt;TODAY()),0,IF(OR(INDEX($B1048:$D1048,AL$5)="F",AND(AL$6&gt;0,$A1048&lt;AL$6),AND(AL$7&gt;0,$A1048&gt;AL$7)),0,MAX(0,ROUND((INDEX($E1048:$G1048,AL$5)-SUMIFS(TF_Timer,TF_Tekniker,AL$4,TF_Dato,$A1048))*2,0)/2)))</f>
        <v/>
      </c>
      <c r="AM1048">
        <f>IF(OR(AM$4="",$A1048&gt;TODAY()),0,IF(OR(INDEX($B1048:$D1048,AM$5)="F",AND(AM$6&gt;0,$A1048&lt;AM$6),AND(AM$7&gt;0,$A1048&gt;AM$7)),0,MAX(0,ROUND((INDEX($E1048:$G1048,AM$5)-SUMIFS(TF_Timer,TF_Tekniker,AM$4,TF_Dato,$A1048))*2,0)/2)))</f>
        <v/>
      </c>
      <c r="AN1048">
        <f>IF(OR(AN$4="",$A1048&gt;TODAY()),0,IF(OR(INDEX($B1048:$D1048,AN$5)="F",AND(AN$6&gt;0,$A1048&lt;AN$6),AND(AN$7&gt;0,$A1048&gt;AN$7)),0,MAX(0,ROUND((INDEX($E1048:$G1048,AN$5)-SUMIFS(TF_Timer,TF_Tekniker,AN$4,TF_Dato,$A1048))*2,0)/2)))</f>
        <v/>
      </c>
      <c r="AO1048">
        <f>IF(OR(AO$4="",$A1048&gt;TODAY()),0,IF(OR(INDEX($B1048:$D1048,AO$5)="F",AND(AO$6&gt;0,$A1048&lt;AO$6),AND(AO$7&gt;0,$A1048&gt;AO$7)),0,MAX(0,ROUND((INDEX($E1048:$G1048,AO$5)-SUMIFS(TF_Timer,TF_Tekniker,AO$4,TF_Dato,$A1048))*2,0)/2)))</f>
        <v/>
      </c>
      <c r="AP1048">
        <f>IF(OR(AP$4="",$A1048&gt;TODAY()),0,IF(OR(INDEX($B1048:$D1048,AP$5)="F",AND(AP$6&gt;0,$A1048&lt;AP$6),AND(AP$7&gt;0,$A1048&gt;AP$7)),0,MAX(0,ROUND((INDEX($E1048:$G1048,AP$5)-SUMIFS(TF_Timer,TF_Tekniker,AP$4,TF_Dato,$A1048))*2,0)/2)))</f>
        <v/>
      </c>
      <c r="AQ1048">
        <f>IF(OR(AQ$4="",$A1048&gt;TODAY()),0,IF(OR(INDEX($B1048:$D1048,AQ$5)="F",AND(AQ$6&gt;0,$A1048&lt;AQ$6),AND(AQ$7&gt;0,$A1048&gt;AQ$7)),0,MAX(0,ROUND((INDEX($E1048:$G1048,AQ$5)-SUMIFS(TF_Timer,TF_Tekniker,AQ$4,TF_Dato,$A1048))*2,0)/2)))</f>
        <v/>
      </c>
      <c r="AR1048">
        <f>IF(OR(AR$4="",$A1048&gt;TODAY()),0,IF(OR(INDEX($B1048:$D1048,AR$5)="F",AND(AR$6&gt;0,$A1048&lt;AR$6),AND(AR$7&gt;0,$A1048&gt;AR$7)),0,MAX(0,ROUND((INDEX($E1048:$G1048,AR$5)-SUMIFS(TF_Timer,TF_Tekniker,AR$4,TF_Dato,$A1048))*2,0)/2)))</f>
        <v/>
      </c>
      <c r="AS1048">
        <f>IF(OR(AS$4="",$A1048&gt;TODAY()),0,IF(OR(INDEX($B1048:$D1048,AS$5)="F",AND(AS$6&gt;0,$A1048&lt;AS$6),AND(AS$7&gt;0,$A1048&gt;AS$7)),0,MAX(0,ROUND((INDEX($E1048:$G1048,AS$5)-SUMIFS(TF_Timer,TF_Tekniker,AS$4,TF_Dato,$A1048))*2,0)/2)))</f>
        <v/>
      </c>
      <c r="AT1048">
        <f>IF(OR(AT$4="",$A1048&gt;TODAY()),0,IF(OR(INDEX($B1048:$D1048,AT$5)="F",AND(AT$6&gt;0,$A1048&lt;AT$6),AND(AT$7&gt;0,$A1048&gt;AT$7)),0,MAX(0,ROUND((INDEX($E1048:$G1048,AT$5)-SUMIFS(TF_Timer,TF_Tekniker,AT$4,TF_Dato,$A1048))*2,0)/2)))</f>
        <v/>
      </c>
      <c r="AU1048">
        <f>IF(OR(AU$4="",$A1048&gt;TODAY()),0,IF(OR(INDEX($B1048:$D1048,AU$5)="F",AND(AU$6&gt;0,$A1048&lt;AU$6),AND(AU$7&gt;0,$A1048&gt;AU$7)),0,MAX(0,ROUND((INDEX($E1048:$G1048,AU$5)-SUMIFS(TF_Timer,TF_Tekniker,AU$4,TF_Dato,$A1048))*2,0)/2)))</f>
        <v/>
      </c>
      <c r="AV1048">
        <f>IF(OR(AV$4="",$A1048&gt;TODAY()),0,IF(OR(INDEX($B1048:$D1048,AV$5)="F",AND(AV$6&gt;0,$A1048&lt;AV$6),AND(AV$7&gt;0,$A1048&gt;AV$7)),0,MAX(0,ROUND((INDEX($E1048:$G1048,AV$5)-SUMIFS(TF_Timer,TF_Tekniker,AV$4,TF_Dato,$A1048))*2,0)/2)))</f>
        <v/>
      </c>
      <c r="AW1048">
        <f>IF(OR(AW$4="",$A1048&gt;TODAY()),0,IF(OR(INDEX($B1048:$D1048,AW$5)="F",AND(AW$6&gt;0,$A1048&lt;AW$6),AND(AW$7&gt;0,$A1048&gt;AW$7)),0,MAX(0,ROUND((INDEX($E1048:$G1048,AW$5)-SUMIFS(TF_Timer,TF_Tekniker,AW$4,TF_Dato,$A1048))*2,0)/2)))</f>
        <v/>
      </c>
      <c r="AX1048">
        <f>IF(OR(AX$4="",$A1048&gt;TODAY()),0,IF(OR(INDEX($B1048:$D1048,AX$5)="F",AND(AX$6&gt;0,$A1048&lt;AX$6),AND(AX$7&gt;0,$A1048&gt;AX$7)),0,MAX(0,ROUND((INDEX($E1048:$G1048,AX$5)-SUMIFS(TF_Timer,TF_Tekniker,AX$4,TF_Dato,$A1048))*2,0)/2)))</f>
        <v/>
      </c>
      <c r="AY1048">
        <f>IF(OR(AY$4="",$A1048&gt;TODAY()),0,IF(OR(INDEX($B1048:$D1048,AY$5)="F",AND(AY$6&gt;0,$A1048&lt;AY$6),AND(AY$7&gt;0,$A1048&gt;AY$7)),0,MAX(0,ROUND((INDEX($E1048:$G1048,AY$5)-SUMIFS(TF_Timer,TF_Tekniker,AY$4,TF_Dato,$A1048))*2,0)/2)))</f>
        <v/>
      </c>
      <c r="AZ1048">
        <f>IF(OR(AZ$4="",$A1048&gt;TODAY()),0,IF(OR(INDEX($B1048:$D1048,AZ$5)="F",AND(AZ$6&gt;0,$A1048&lt;AZ$6),AND(AZ$7&gt;0,$A1048&gt;AZ$7)),0,MAX(0,ROUND((INDEX($E1048:$G1048,AZ$5)-SUMIFS(TF_Timer,TF_Tekniker,AZ$4,TF_Dato,$A1048))*2,0)/2)))</f>
        <v/>
      </c>
      <c r="BA1048">
        <f>IF(OR(BA$4="",$A1048&gt;TODAY()),0,IF(OR(INDEX($B1048:$D1048,BA$5)="F",AND(BA$6&gt;0,$A1048&lt;BA$6),AND(BA$7&gt;0,$A1048&gt;BA$7)),0,MAX(0,ROUND((INDEX($E1048:$G1048,BA$5)-SUMIFS(TF_Timer,TF_Tekniker,BA$4,TF_Dato,$A1048))*2,0)/2)))</f>
        <v/>
      </c>
      <c r="BB1048">
        <f>IF(OR(BB$4="",$A1048&gt;TODAY()),0,IF(OR(INDEX($B1048:$D1048,BB$5)="F",AND(BB$6&gt;0,$A1048&lt;BB$6),AND(BB$7&gt;0,$A1048&gt;BB$7)),0,MAX(0,ROUND((INDEX($E1048:$G1048,BB$5)-SUMIFS(TF_Timer,TF_Tekniker,BB$4,TF_Dato,$A1048))*2,0)/2)))</f>
        <v/>
      </c>
      <c r="BC1048">
        <f>IF(OR(BC$4="",$A1048&gt;TODAY()),0,IF(OR(INDEX($B1048:$D1048,BC$5)="F",AND(BC$6&gt;0,$A1048&lt;BC$6),AND(BC$7&gt;0,$A1048&gt;BC$7)),0,MAX(0,ROUND((INDEX($E1048:$G1048,BC$5)-SUMIFS(TF_Timer,TF_Tekniker,BC$4,TF_Dato,$A1048))*2,0)/2)))</f>
        <v/>
      </c>
      <c r="BD1048">
        <f>IF(OR(BD$4="",$A1048&gt;TODAY()),0,IF(OR(INDEX($B1048:$D1048,BD$5)="F",AND(BD$6&gt;0,$A1048&lt;BD$6),AND(BD$7&gt;0,$A1048&gt;BD$7)),0,MAX(0,ROUND((INDEX($E1048:$G1048,BD$5)-SUMIFS(TF_Timer,TF_Tekniker,BD$4,TF_Dato,$A1048))*2,0)/2)))</f>
        <v/>
      </c>
      <c r="BE1048">
        <f>IF(OR(BE$4="",$A1048&gt;TODAY()),0,IF(OR(INDEX($B1048:$D1048,BE$5)="F",AND(BE$6&gt;0,$A1048&lt;BE$6),AND(BE$7&gt;0,$A1048&gt;BE$7)),0,MAX(0,ROUND((INDEX($E1048:$G1048,BE$5)-SUMIFS(TF_Timer,TF_Tekniker,BE$4,TF_Dato,$A1048))*2,0)/2)))</f>
        <v/>
      </c>
      <c r="BF1048">
        <f>IF(OR(BF$4="",$A1048&gt;TODAY()),0,IF(OR(INDEX($B1048:$D1048,BF$5)="F",AND(BF$6&gt;0,$A1048&lt;BF$6),AND(BF$7&gt;0,$A1048&gt;BF$7)),0,MAX(0,ROUND((INDEX($E1048:$G1048,BF$5)-SUMIFS(TF_Timer,TF_Tekniker,BF$4,TF_Dato,$A1048))*2,0)/2)))</f>
        <v/>
      </c>
      <c r="BG1048">
        <f>IF(OR(BG$4="",$A1048&gt;TODAY()),0,IF(OR(INDEX($B1048:$D1048,BG$5)="F",AND(BG$6&gt;0,$A1048&lt;BG$6),AND(BG$7&gt;0,$A1048&gt;BG$7)),0,MAX(0,ROUND((INDEX($E1048:$G1048,BG$5)-SUMIFS(TF_Timer,TF_Tekniker,BG$4,TF_Dato,$A1048))*2,0)/2)))</f>
        <v/>
      </c>
      <c r="BH1048">
        <f>IF(OR(BH$4="",$A1048&gt;TODAY()),0,IF(OR(INDEX($B1048:$D1048,BH$5)="F",AND(BH$6&gt;0,$A1048&lt;BH$6),AND(BH$7&gt;0,$A1048&gt;BH$7)),0,MAX(0,ROUND((INDEX($E1048:$G1048,BH$5)-SUMIFS(TF_Timer,TF_Tekniker,BH$4,TF_Dato,$A1048))*2,0)/2)))</f>
        <v/>
      </c>
      <c r="BI1048">
        <f>IF(OR(BI$4="",$A1048&gt;TODAY()),0,IF(OR(INDEX($B1048:$D1048,BI$5)="F",AND(BI$6&gt;0,$A1048&lt;BI$6),AND(BI$7&gt;0,$A1048&gt;BI$7)),0,MAX(0,ROUND((INDEX($E1048:$G1048,BI$5)-SUMIFS(TF_Timer,TF_Tekniker,BI$4,TF_Dato,$A1048))*2,0)/2)))</f>
        <v/>
      </c>
    </row>
    <row r="1049">
      <c r="A1049" s="64">
        <f>A1048+1</f>
        <v/>
      </c>
      <c r="B1049">
        <f>IF(MOD($A1049-INDEX(SkiftStart,1),Syklus)&lt;DagK,"K",IF(MOD($A1049-INDEX(SkiftStart,1),Syklus)&lt;DagK+DagH,"H",IF(MOD($A1049-INDEX(SkiftStart,1),Syklus)&lt;DagK+DagH+DagD,"D","F")))</f>
        <v/>
      </c>
      <c r="C1049">
        <f>IF(MOD($A1049-INDEX(SkiftStart,2),Syklus)&lt;DagK,"K",IF(MOD($A1049-INDEX(SkiftStart,2),Syklus)&lt;DagK+DagH,"H",IF(MOD($A1049-INDEX(SkiftStart,2),Syklus)&lt;DagK+DagH+DagD,"D","F")))</f>
        <v/>
      </c>
      <c r="D1049">
        <f>IF(MOD($A1049-INDEX(SkiftStart,3),Syklus)&lt;DagK,"K",IF(MOD($A1049-INDEX(SkiftStart,3),Syklus)&lt;DagK+DagH,"H",IF(MOD($A1049-INDEX(SkiftStart,3),Syklus)&lt;DagK+DagH+DagD,"D","F")))</f>
        <v/>
      </c>
      <c r="E1049">
        <f>IF(B1049="F",0,IF(WEEKDAY($A1049,2)=5,INDEX(TimerFr,MATCH(B1049,FaseKode,0)),INDEX(TimerMT,MATCH(B1049,FaseKode,0))))</f>
        <v/>
      </c>
      <c r="F1049">
        <f>IF(C1049="F",0,IF(WEEKDAY($A1049,2)=5,INDEX(TimerFr,MATCH(C1049,FaseKode,0)),INDEX(TimerMT,MATCH(C1049,FaseKode,0))))</f>
        <v/>
      </c>
      <c r="G1049">
        <f>IF(D1049="F",0,IF(WEEKDAY($A1049,2)=5,INDEX(TimerFr,MATCH(D1049,FaseKode,0)),INDEX(TimerMT,MATCH(D1049,FaseKode,0))))</f>
        <v/>
      </c>
      <c r="H1049">
        <f>IF(OR(H$4="",$A1049&gt;TODAY()),0,IF(OR(INDEX($B1049:$D1049,H$5)="F",AND(H$6&gt;0,$A1049&lt;H$6),AND(H$7&gt;0,$A1049&gt;H$7)),0,MAX(0,ROUND((INDEX($E1049:$G1049,H$5)-SUMIFS(TF_Timer,TF_Tekniker,H$4,TF_Dato,$A1049))*2,0)/2)))</f>
        <v/>
      </c>
      <c r="I1049">
        <f>IF(OR(I$4="",$A1049&gt;TODAY()),0,IF(OR(INDEX($B1049:$D1049,I$5)="F",AND(I$6&gt;0,$A1049&lt;I$6),AND(I$7&gt;0,$A1049&gt;I$7)),0,MAX(0,ROUND((INDEX($E1049:$G1049,I$5)-SUMIFS(TF_Timer,TF_Tekniker,I$4,TF_Dato,$A1049))*2,0)/2)))</f>
        <v/>
      </c>
      <c r="J1049">
        <f>IF(OR(J$4="",$A1049&gt;TODAY()),0,IF(OR(INDEX($B1049:$D1049,J$5)="F",AND(J$6&gt;0,$A1049&lt;J$6),AND(J$7&gt;0,$A1049&gt;J$7)),0,MAX(0,ROUND((INDEX($E1049:$G1049,J$5)-SUMIFS(TF_Timer,TF_Tekniker,J$4,TF_Dato,$A1049))*2,0)/2)))</f>
        <v/>
      </c>
      <c r="K1049">
        <f>IF(OR(K$4="",$A1049&gt;TODAY()),0,IF(OR(INDEX($B1049:$D1049,K$5)="F",AND(K$6&gt;0,$A1049&lt;K$6),AND(K$7&gt;0,$A1049&gt;K$7)),0,MAX(0,ROUND((INDEX($E1049:$G1049,K$5)-SUMIFS(TF_Timer,TF_Tekniker,K$4,TF_Dato,$A1049))*2,0)/2)))</f>
        <v/>
      </c>
      <c r="L1049">
        <f>IF(OR(L$4="",$A1049&gt;TODAY()),0,IF(OR(INDEX($B1049:$D1049,L$5)="F",AND(L$6&gt;0,$A1049&lt;L$6),AND(L$7&gt;0,$A1049&gt;L$7)),0,MAX(0,ROUND((INDEX($E1049:$G1049,L$5)-SUMIFS(TF_Timer,TF_Tekniker,L$4,TF_Dato,$A1049))*2,0)/2)))</f>
        <v/>
      </c>
      <c r="M1049">
        <f>IF(OR(M$4="",$A1049&gt;TODAY()),0,IF(OR(INDEX($B1049:$D1049,M$5)="F",AND(M$6&gt;0,$A1049&lt;M$6),AND(M$7&gt;0,$A1049&gt;M$7)),0,MAX(0,ROUND((INDEX($E1049:$G1049,M$5)-SUMIFS(TF_Timer,TF_Tekniker,M$4,TF_Dato,$A1049))*2,0)/2)))</f>
        <v/>
      </c>
      <c r="N1049">
        <f>IF(OR(N$4="",$A1049&gt;TODAY()),0,IF(OR(INDEX($B1049:$D1049,N$5)="F",AND(N$6&gt;0,$A1049&lt;N$6),AND(N$7&gt;0,$A1049&gt;N$7)),0,MAX(0,ROUND((INDEX($E1049:$G1049,N$5)-SUMIFS(TF_Timer,TF_Tekniker,N$4,TF_Dato,$A1049))*2,0)/2)))</f>
        <v/>
      </c>
      <c r="O1049">
        <f>IF(OR(O$4="",$A1049&gt;TODAY()),0,IF(OR(INDEX($B1049:$D1049,O$5)="F",AND(O$6&gt;0,$A1049&lt;O$6),AND(O$7&gt;0,$A1049&gt;O$7)),0,MAX(0,ROUND((INDEX($E1049:$G1049,O$5)-SUMIFS(TF_Timer,TF_Tekniker,O$4,TF_Dato,$A1049))*2,0)/2)))</f>
        <v/>
      </c>
      <c r="P1049">
        <f>IF(OR(P$4="",$A1049&gt;TODAY()),0,IF(OR(INDEX($B1049:$D1049,P$5)="F",AND(P$6&gt;0,$A1049&lt;P$6),AND(P$7&gt;0,$A1049&gt;P$7)),0,MAX(0,ROUND((INDEX($E1049:$G1049,P$5)-SUMIFS(TF_Timer,TF_Tekniker,P$4,TF_Dato,$A1049))*2,0)/2)))</f>
        <v/>
      </c>
      <c r="Q1049">
        <f>IF(OR(Q$4="",$A1049&gt;TODAY()),0,IF(OR(INDEX($B1049:$D1049,Q$5)="F",AND(Q$6&gt;0,$A1049&lt;Q$6),AND(Q$7&gt;0,$A1049&gt;Q$7)),0,MAX(0,ROUND((INDEX($E1049:$G1049,Q$5)-SUMIFS(TF_Timer,TF_Tekniker,Q$4,TF_Dato,$A1049))*2,0)/2)))</f>
        <v/>
      </c>
      <c r="R1049">
        <f>IF(OR(R$4="",$A1049&gt;TODAY()),0,IF(OR(INDEX($B1049:$D1049,R$5)="F",AND(R$6&gt;0,$A1049&lt;R$6),AND(R$7&gt;0,$A1049&gt;R$7)),0,MAX(0,ROUND((INDEX($E1049:$G1049,R$5)-SUMIFS(TF_Timer,TF_Tekniker,R$4,TF_Dato,$A1049))*2,0)/2)))</f>
        <v/>
      </c>
      <c r="S1049">
        <f>IF(OR(S$4="",$A1049&gt;TODAY()),0,IF(OR(INDEX($B1049:$D1049,S$5)="F",AND(S$6&gt;0,$A1049&lt;S$6),AND(S$7&gt;0,$A1049&gt;S$7)),0,MAX(0,ROUND((INDEX($E1049:$G1049,S$5)-SUMIFS(TF_Timer,TF_Tekniker,S$4,TF_Dato,$A1049))*2,0)/2)))</f>
        <v/>
      </c>
      <c r="T1049">
        <f>IF(OR(T$4="",$A1049&gt;TODAY()),0,IF(OR(INDEX($B1049:$D1049,T$5)="F",AND(T$6&gt;0,$A1049&lt;T$6),AND(T$7&gt;0,$A1049&gt;T$7)),0,MAX(0,ROUND((INDEX($E1049:$G1049,T$5)-SUMIFS(TF_Timer,TF_Tekniker,T$4,TF_Dato,$A1049))*2,0)/2)))</f>
        <v/>
      </c>
      <c r="U1049">
        <f>IF(OR(U$4="",$A1049&gt;TODAY()),0,IF(OR(INDEX($B1049:$D1049,U$5)="F",AND(U$6&gt;0,$A1049&lt;U$6),AND(U$7&gt;0,$A1049&gt;U$7)),0,MAX(0,ROUND((INDEX($E1049:$G1049,U$5)-SUMIFS(TF_Timer,TF_Tekniker,U$4,TF_Dato,$A1049))*2,0)/2)))</f>
        <v/>
      </c>
      <c r="V1049">
        <f>IF(OR(V$4="",$A1049&gt;TODAY()),0,IF(OR(INDEX($B1049:$D1049,V$5)="F",AND(V$6&gt;0,$A1049&lt;V$6),AND(V$7&gt;0,$A1049&gt;V$7)),0,MAX(0,ROUND((INDEX($E1049:$G1049,V$5)-SUMIFS(TF_Timer,TF_Tekniker,V$4,TF_Dato,$A1049))*2,0)/2)))</f>
        <v/>
      </c>
      <c r="W1049">
        <f>IF(OR(W$4="",$A1049&gt;TODAY()),0,IF(OR(INDEX($B1049:$D1049,W$5)="F",AND(W$6&gt;0,$A1049&lt;W$6),AND(W$7&gt;0,$A1049&gt;W$7)),0,MAX(0,ROUND((INDEX($E1049:$G1049,W$5)-SUMIFS(TF_Timer,TF_Tekniker,W$4,TF_Dato,$A1049))*2,0)/2)))</f>
        <v/>
      </c>
      <c r="X1049">
        <f>IF(OR(X$4="",$A1049&gt;TODAY()),0,IF(OR(INDEX($B1049:$D1049,X$5)="F",AND(X$6&gt;0,$A1049&lt;X$6),AND(X$7&gt;0,$A1049&gt;X$7)),0,MAX(0,ROUND((INDEX($E1049:$G1049,X$5)-SUMIFS(TF_Timer,TF_Tekniker,X$4,TF_Dato,$A1049))*2,0)/2)))</f>
        <v/>
      </c>
      <c r="Y1049">
        <f>IF(OR(Y$4="",$A1049&gt;TODAY()),0,IF(OR(INDEX($B1049:$D1049,Y$5)="F",AND(Y$6&gt;0,$A1049&lt;Y$6),AND(Y$7&gt;0,$A1049&gt;Y$7)),0,MAX(0,ROUND((INDEX($E1049:$G1049,Y$5)-SUMIFS(TF_Timer,TF_Tekniker,Y$4,TF_Dato,$A1049))*2,0)/2)))</f>
        <v/>
      </c>
      <c r="Z1049">
        <f>IF(OR(Z$4="",$A1049&gt;TODAY()),0,IF(OR(INDEX($B1049:$D1049,Z$5)="F",AND(Z$6&gt;0,$A1049&lt;Z$6),AND(Z$7&gt;0,$A1049&gt;Z$7)),0,MAX(0,ROUND((INDEX($E1049:$G1049,Z$5)-SUMIFS(TF_Timer,TF_Tekniker,Z$4,TF_Dato,$A1049))*2,0)/2)))</f>
        <v/>
      </c>
      <c r="AA1049">
        <f>IF(OR(AA$4="",$A1049&gt;TODAY()),0,IF(OR(INDEX($B1049:$D1049,AA$5)="F",AND(AA$6&gt;0,$A1049&lt;AA$6),AND(AA$7&gt;0,$A1049&gt;AA$7)),0,MAX(0,ROUND((INDEX($E1049:$G1049,AA$5)-SUMIFS(TF_Timer,TF_Tekniker,AA$4,TF_Dato,$A1049))*2,0)/2)))</f>
        <v/>
      </c>
      <c r="AB1049">
        <f>IF(OR(AB$4="",$A1049&gt;TODAY()),0,IF(OR(INDEX($B1049:$D1049,AB$5)="F",AND(AB$6&gt;0,$A1049&lt;AB$6),AND(AB$7&gt;0,$A1049&gt;AB$7)),0,MAX(0,ROUND((INDEX($E1049:$G1049,AB$5)-SUMIFS(TF_Timer,TF_Tekniker,AB$4,TF_Dato,$A1049))*2,0)/2)))</f>
        <v/>
      </c>
      <c r="AC1049">
        <f>IF(OR(AC$4="",$A1049&gt;TODAY()),0,IF(OR(INDEX($B1049:$D1049,AC$5)="F",AND(AC$6&gt;0,$A1049&lt;AC$6),AND(AC$7&gt;0,$A1049&gt;AC$7)),0,MAX(0,ROUND((INDEX($E1049:$G1049,AC$5)-SUMIFS(TF_Timer,TF_Tekniker,AC$4,TF_Dato,$A1049))*2,0)/2)))</f>
        <v/>
      </c>
      <c r="AD1049">
        <f>IF(OR(AD$4="",$A1049&gt;TODAY()),0,IF(OR(INDEX($B1049:$D1049,AD$5)="F",AND(AD$6&gt;0,$A1049&lt;AD$6),AND(AD$7&gt;0,$A1049&gt;AD$7)),0,MAX(0,ROUND((INDEX($E1049:$G1049,AD$5)-SUMIFS(TF_Timer,TF_Tekniker,AD$4,TF_Dato,$A1049))*2,0)/2)))</f>
        <v/>
      </c>
      <c r="AE1049">
        <f>IF(OR(AE$4="",$A1049&gt;TODAY()),0,IF(OR(INDEX($B1049:$D1049,AE$5)="F",AND(AE$6&gt;0,$A1049&lt;AE$6),AND(AE$7&gt;0,$A1049&gt;AE$7)),0,MAX(0,ROUND((INDEX($E1049:$G1049,AE$5)-SUMIFS(TF_Timer,TF_Tekniker,AE$4,TF_Dato,$A1049))*2,0)/2)))</f>
        <v/>
      </c>
      <c r="AF1049">
        <f>IF(OR(AF$4="",$A1049&gt;TODAY()),0,IF(OR(INDEX($B1049:$D1049,AF$5)="F",AND(AF$6&gt;0,$A1049&lt;AF$6),AND(AF$7&gt;0,$A1049&gt;AF$7)),0,MAX(0,ROUND((INDEX($E1049:$G1049,AF$5)-SUMIFS(TF_Timer,TF_Tekniker,AF$4,TF_Dato,$A1049))*2,0)/2)))</f>
        <v/>
      </c>
      <c r="AG1049">
        <f>IF(OR(AG$4="",$A1049&gt;TODAY()),0,IF(OR(INDEX($B1049:$D1049,AG$5)="F",AND(AG$6&gt;0,$A1049&lt;AG$6),AND(AG$7&gt;0,$A1049&gt;AG$7)),0,MAX(0,ROUND((INDEX($E1049:$G1049,AG$5)-SUMIFS(TF_Timer,TF_Tekniker,AG$4,TF_Dato,$A1049))*2,0)/2)))</f>
        <v/>
      </c>
      <c r="AH1049">
        <f>IF(OR(AH$4="",$A1049&gt;TODAY()),0,IF(OR(INDEX($B1049:$D1049,AH$5)="F",AND(AH$6&gt;0,$A1049&lt;AH$6),AND(AH$7&gt;0,$A1049&gt;AH$7)),0,MAX(0,ROUND((INDEX($E1049:$G1049,AH$5)-SUMIFS(TF_Timer,TF_Tekniker,AH$4,TF_Dato,$A1049))*2,0)/2)))</f>
        <v/>
      </c>
      <c r="AI1049">
        <f>IF(OR(AI$4="",$A1049&gt;TODAY()),0,IF(OR(INDEX($B1049:$D1049,AI$5)="F",AND(AI$6&gt;0,$A1049&lt;AI$6),AND(AI$7&gt;0,$A1049&gt;AI$7)),0,MAX(0,ROUND((INDEX($E1049:$G1049,AI$5)-SUMIFS(TF_Timer,TF_Tekniker,AI$4,TF_Dato,$A1049))*2,0)/2)))</f>
        <v/>
      </c>
      <c r="AJ1049">
        <f>IF(OR(AJ$4="",$A1049&gt;TODAY()),0,IF(OR(INDEX($B1049:$D1049,AJ$5)="F",AND(AJ$6&gt;0,$A1049&lt;AJ$6),AND(AJ$7&gt;0,$A1049&gt;AJ$7)),0,MAX(0,ROUND((INDEX($E1049:$G1049,AJ$5)-SUMIFS(TF_Timer,TF_Tekniker,AJ$4,TF_Dato,$A1049))*2,0)/2)))</f>
        <v/>
      </c>
      <c r="AK1049">
        <f>IF(OR(AK$4="",$A1049&gt;TODAY()),0,IF(OR(INDEX($B1049:$D1049,AK$5)="F",AND(AK$6&gt;0,$A1049&lt;AK$6),AND(AK$7&gt;0,$A1049&gt;AK$7)),0,MAX(0,ROUND((INDEX($E1049:$G1049,AK$5)-SUMIFS(TF_Timer,TF_Tekniker,AK$4,TF_Dato,$A1049))*2,0)/2)))</f>
        <v/>
      </c>
      <c r="AL1049">
        <f>IF(OR(AL$4="",$A1049&gt;TODAY()),0,IF(OR(INDEX($B1049:$D1049,AL$5)="F",AND(AL$6&gt;0,$A1049&lt;AL$6),AND(AL$7&gt;0,$A1049&gt;AL$7)),0,MAX(0,ROUND((INDEX($E1049:$G1049,AL$5)-SUMIFS(TF_Timer,TF_Tekniker,AL$4,TF_Dato,$A1049))*2,0)/2)))</f>
        <v/>
      </c>
      <c r="AM1049">
        <f>IF(OR(AM$4="",$A1049&gt;TODAY()),0,IF(OR(INDEX($B1049:$D1049,AM$5)="F",AND(AM$6&gt;0,$A1049&lt;AM$6),AND(AM$7&gt;0,$A1049&gt;AM$7)),0,MAX(0,ROUND((INDEX($E1049:$G1049,AM$5)-SUMIFS(TF_Timer,TF_Tekniker,AM$4,TF_Dato,$A1049))*2,0)/2)))</f>
        <v/>
      </c>
      <c r="AN1049">
        <f>IF(OR(AN$4="",$A1049&gt;TODAY()),0,IF(OR(INDEX($B1049:$D1049,AN$5)="F",AND(AN$6&gt;0,$A1049&lt;AN$6),AND(AN$7&gt;0,$A1049&gt;AN$7)),0,MAX(0,ROUND((INDEX($E1049:$G1049,AN$5)-SUMIFS(TF_Timer,TF_Tekniker,AN$4,TF_Dato,$A1049))*2,0)/2)))</f>
        <v/>
      </c>
      <c r="AO1049">
        <f>IF(OR(AO$4="",$A1049&gt;TODAY()),0,IF(OR(INDEX($B1049:$D1049,AO$5)="F",AND(AO$6&gt;0,$A1049&lt;AO$6),AND(AO$7&gt;0,$A1049&gt;AO$7)),0,MAX(0,ROUND((INDEX($E1049:$G1049,AO$5)-SUMIFS(TF_Timer,TF_Tekniker,AO$4,TF_Dato,$A1049))*2,0)/2)))</f>
        <v/>
      </c>
      <c r="AP1049">
        <f>IF(OR(AP$4="",$A1049&gt;TODAY()),0,IF(OR(INDEX($B1049:$D1049,AP$5)="F",AND(AP$6&gt;0,$A1049&lt;AP$6),AND(AP$7&gt;0,$A1049&gt;AP$7)),0,MAX(0,ROUND((INDEX($E1049:$G1049,AP$5)-SUMIFS(TF_Timer,TF_Tekniker,AP$4,TF_Dato,$A1049))*2,0)/2)))</f>
        <v/>
      </c>
      <c r="AQ1049">
        <f>IF(OR(AQ$4="",$A1049&gt;TODAY()),0,IF(OR(INDEX($B1049:$D1049,AQ$5)="F",AND(AQ$6&gt;0,$A1049&lt;AQ$6),AND(AQ$7&gt;0,$A1049&gt;AQ$7)),0,MAX(0,ROUND((INDEX($E1049:$G1049,AQ$5)-SUMIFS(TF_Timer,TF_Tekniker,AQ$4,TF_Dato,$A1049))*2,0)/2)))</f>
        <v/>
      </c>
      <c r="AR1049">
        <f>IF(OR(AR$4="",$A1049&gt;TODAY()),0,IF(OR(INDEX($B1049:$D1049,AR$5)="F",AND(AR$6&gt;0,$A1049&lt;AR$6),AND(AR$7&gt;0,$A1049&gt;AR$7)),0,MAX(0,ROUND((INDEX($E1049:$G1049,AR$5)-SUMIFS(TF_Timer,TF_Tekniker,AR$4,TF_Dato,$A1049))*2,0)/2)))</f>
        <v/>
      </c>
      <c r="AS1049">
        <f>IF(OR(AS$4="",$A1049&gt;TODAY()),0,IF(OR(INDEX($B1049:$D1049,AS$5)="F",AND(AS$6&gt;0,$A1049&lt;AS$6),AND(AS$7&gt;0,$A1049&gt;AS$7)),0,MAX(0,ROUND((INDEX($E1049:$G1049,AS$5)-SUMIFS(TF_Timer,TF_Tekniker,AS$4,TF_Dato,$A1049))*2,0)/2)))</f>
        <v/>
      </c>
      <c r="AT1049">
        <f>IF(OR(AT$4="",$A1049&gt;TODAY()),0,IF(OR(INDEX($B1049:$D1049,AT$5)="F",AND(AT$6&gt;0,$A1049&lt;AT$6),AND(AT$7&gt;0,$A1049&gt;AT$7)),0,MAX(0,ROUND((INDEX($E1049:$G1049,AT$5)-SUMIFS(TF_Timer,TF_Tekniker,AT$4,TF_Dato,$A1049))*2,0)/2)))</f>
        <v/>
      </c>
      <c r="AU1049">
        <f>IF(OR(AU$4="",$A1049&gt;TODAY()),0,IF(OR(INDEX($B1049:$D1049,AU$5)="F",AND(AU$6&gt;0,$A1049&lt;AU$6),AND(AU$7&gt;0,$A1049&gt;AU$7)),0,MAX(0,ROUND((INDEX($E1049:$G1049,AU$5)-SUMIFS(TF_Timer,TF_Tekniker,AU$4,TF_Dato,$A1049))*2,0)/2)))</f>
        <v/>
      </c>
      <c r="AV1049">
        <f>IF(OR(AV$4="",$A1049&gt;TODAY()),0,IF(OR(INDEX($B1049:$D1049,AV$5)="F",AND(AV$6&gt;0,$A1049&lt;AV$6),AND(AV$7&gt;0,$A1049&gt;AV$7)),0,MAX(0,ROUND((INDEX($E1049:$G1049,AV$5)-SUMIFS(TF_Timer,TF_Tekniker,AV$4,TF_Dato,$A1049))*2,0)/2)))</f>
        <v/>
      </c>
      <c r="AW1049">
        <f>IF(OR(AW$4="",$A1049&gt;TODAY()),0,IF(OR(INDEX($B1049:$D1049,AW$5)="F",AND(AW$6&gt;0,$A1049&lt;AW$6),AND(AW$7&gt;0,$A1049&gt;AW$7)),0,MAX(0,ROUND((INDEX($E1049:$G1049,AW$5)-SUMIFS(TF_Timer,TF_Tekniker,AW$4,TF_Dato,$A1049))*2,0)/2)))</f>
        <v/>
      </c>
      <c r="AX1049">
        <f>IF(OR(AX$4="",$A1049&gt;TODAY()),0,IF(OR(INDEX($B1049:$D1049,AX$5)="F",AND(AX$6&gt;0,$A1049&lt;AX$6),AND(AX$7&gt;0,$A1049&gt;AX$7)),0,MAX(0,ROUND((INDEX($E1049:$G1049,AX$5)-SUMIFS(TF_Timer,TF_Tekniker,AX$4,TF_Dato,$A1049))*2,0)/2)))</f>
        <v/>
      </c>
      <c r="AY1049">
        <f>IF(OR(AY$4="",$A1049&gt;TODAY()),0,IF(OR(INDEX($B1049:$D1049,AY$5)="F",AND(AY$6&gt;0,$A1049&lt;AY$6),AND(AY$7&gt;0,$A1049&gt;AY$7)),0,MAX(0,ROUND((INDEX($E1049:$G1049,AY$5)-SUMIFS(TF_Timer,TF_Tekniker,AY$4,TF_Dato,$A1049))*2,0)/2)))</f>
        <v/>
      </c>
      <c r="AZ1049">
        <f>IF(OR(AZ$4="",$A1049&gt;TODAY()),0,IF(OR(INDEX($B1049:$D1049,AZ$5)="F",AND(AZ$6&gt;0,$A1049&lt;AZ$6),AND(AZ$7&gt;0,$A1049&gt;AZ$7)),0,MAX(0,ROUND((INDEX($E1049:$G1049,AZ$5)-SUMIFS(TF_Timer,TF_Tekniker,AZ$4,TF_Dato,$A1049))*2,0)/2)))</f>
        <v/>
      </c>
      <c r="BA1049">
        <f>IF(OR(BA$4="",$A1049&gt;TODAY()),0,IF(OR(INDEX($B1049:$D1049,BA$5)="F",AND(BA$6&gt;0,$A1049&lt;BA$6),AND(BA$7&gt;0,$A1049&gt;BA$7)),0,MAX(0,ROUND((INDEX($E1049:$G1049,BA$5)-SUMIFS(TF_Timer,TF_Tekniker,BA$4,TF_Dato,$A1049))*2,0)/2)))</f>
        <v/>
      </c>
      <c r="BB1049">
        <f>IF(OR(BB$4="",$A1049&gt;TODAY()),0,IF(OR(INDEX($B1049:$D1049,BB$5)="F",AND(BB$6&gt;0,$A1049&lt;BB$6),AND(BB$7&gt;0,$A1049&gt;BB$7)),0,MAX(0,ROUND((INDEX($E1049:$G1049,BB$5)-SUMIFS(TF_Timer,TF_Tekniker,BB$4,TF_Dato,$A1049))*2,0)/2)))</f>
        <v/>
      </c>
      <c r="BC1049">
        <f>IF(OR(BC$4="",$A1049&gt;TODAY()),0,IF(OR(INDEX($B1049:$D1049,BC$5)="F",AND(BC$6&gt;0,$A1049&lt;BC$6),AND(BC$7&gt;0,$A1049&gt;BC$7)),0,MAX(0,ROUND((INDEX($E1049:$G1049,BC$5)-SUMIFS(TF_Timer,TF_Tekniker,BC$4,TF_Dato,$A1049))*2,0)/2)))</f>
        <v/>
      </c>
      <c r="BD1049">
        <f>IF(OR(BD$4="",$A1049&gt;TODAY()),0,IF(OR(INDEX($B1049:$D1049,BD$5)="F",AND(BD$6&gt;0,$A1049&lt;BD$6),AND(BD$7&gt;0,$A1049&gt;BD$7)),0,MAX(0,ROUND((INDEX($E1049:$G1049,BD$5)-SUMIFS(TF_Timer,TF_Tekniker,BD$4,TF_Dato,$A1049))*2,0)/2)))</f>
        <v/>
      </c>
      <c r="BE1049">
        <f>IF(OR(BE$4="",$A1049&gt;TODAY()),0,IF(OR(INDEX($B1049:$D1049,BE$5)="F",AND(BE$6&gt;0,$A1049&lt;BE$6),AND(BE$7&gt;0,$A1049&gt;BE$7)),0,MAX(0,ROUND((INDEX($E1049:$G1049,BE$5)-SUMIFS(TF_Timer,TF_Tekniker,BE$4,TF_Dato,$A1049))*2,0)/2)))</f>
        <v/>
      </c>
      <c r="BF1049">
        <f>IF(OR(BF$4="",$A1049&gt;TODAY()),0,IF(OR(INDEX($B1049:$D1049,BF$5)="F",AND(BF$6&gt;0,$A1049&lt;BF$6),AND(BF$7&gt;0,$A1049&gt;BF$7)),0,MAX(0,ROUND((INDEX($E1049:$G1049,BF$5)-SUMIFS(TF_Timer,TF_Tekniker,BF$4,TF_Dato,$A1049))*2,0)/2)))</f>
        <v/>
      </c>
      <c r="BG1049">
        <f>IF(OR(BG$4="",$A1049&gt;TODAY()),0,IF(OR(INDEX($B1049:$D1049,BG$5)="F",AND(BG$6&gt;0,$A1049&lt;BG$6),AND(BG$7&gt;0,$A1049&gt;BG$7)),0,MAX(0,ROUND((INDEX($E1049:$G1049,BG$5)-SUMIFS(TF_Timer,TF_Tekniker,BG$4,TF_Dato,$A1049))*2,0)/2)))</f>
        <v/>
      </c>
      <c r="BH1049">
        <f>IF(OR(BH$4="",$A1049&gt;TODAY()),0,IF(OR(INDEX($B1049:$D1049,BH$5)="F",AND(BH$6&gt;0,$A1049&lt;BH$6),AND(BH$7&gt;0,$A1049&gt;BH$7)),0,MAX(0,ROUND((INDEX($E1049:$G1049,BH$5)-SUMIFS(TF_Timer,TF_Tekniker,BH$4,TF_Dato,$A1049))*2,0)/2)))</f>
        <v/>
      </c>
      <c r="BI1049">
        <f>IF(OR(BI$4="",$A1049&gt;TODAY()),0,IF(OR(INDEX($B1049:$D1049,BI$5)="F",AND(BI$6&gt;0,$A1049&lt;BI$6),AND(BI$7&gt;0,$A1049&gt;BI$7)),0,MAX(0,ROUND((INDEX($E1049:$G1049,BI$5)-SUMIFS(TF_Timer,TF_Tekniker,BI$4,TF_Dato,$A1049))*2,0)/2)))</f>
        <v/>
      </c>
    </row>
    <row r="1050">
      <c r="A1050" s="64">
        <f>A1049+1</f>
        <v/>
      </c>
      <c r="B1050">
        <f>IF(MOD($A1050-INDEX(SkiftStart,1),Syklus)&lt;DagK,"K",IF(MOD($A1050-INDEX(SkiftStart,1),Syklus)&lt;DagK+DagH,"H",IF(MOD($A1050-INDEX(SkiftStart,1),Syklus)&lt;DagK+DagH+DagD,"D","F")))</f>
        <v/>
      </c>
      <c r="C1050">
        <f>IF(MOD($A1050-INDEX(SkiftStart,2),Syklus)&lt;DagK,"K",IF(MOD($A1050-INDEX(SkiftStart,2),Syklus)&lt;DagK+DagH,"H",IF(MOD($A1050-INDEX(SkiftStart,2),Syklus)&lt;DagK+DagH+DagD,"D","F")))</f>
        <v/>
      </c>
      <c r="D1050">
        <f>IF(MOD($A1050-INDEX(SkiftStart,3),Syklus)&lt;DagK,"K",IF(MOD($A1050-INDEX(SkiftStart,3),Syklus)&lt;DagK+DagH,"H",IF(MOD($A1050-INDEX(SkiftStart,3),Syklus)&lt;DagK+DagH+DagD,"D","F")))</f>
        <v/>
      </c>
      <c r="E1050">
        <f>IF(B1050="F",0,IF(WEEKDAY($A1050,2)=5,INDEX(TimerFr,MATCH(B1050,FaseKode,0)),INDEX(TimerMT,MATCH(B1050,FaseKode,0))))</f>
        <v/>
      </c>
      <c r="F1050">
        <f>IF(C1050="F",0,IF(WEEKDAY($A1050,2)=5,INDEX(TimerFr,MATCH(C1050,FaseKode,0)),INDEX(TimerMT,MATCH(C1050,FaseKode,0))))</f>
        <v/>
      </c>
      <c r="G1050">
        <f>IF(D1050="F",0,IF(WEEKDAY($A1050,2)=5,INDEX(TimerFr,MATCH(D1050,FaseKode,0)),INDEX(TimerMT,MATCH(D1050,FaseKode,0))))</f>
        <v/>
      </c>
      <c r="H1050">
        <f>IF(OR(H$4="",$A1050&gt;TODAY()),0,IF(OR(INDEX($B1050:$D1050,H$5)="F",AND(H$6&gt;0,$A1050&lt;H$6),AND(H$7&gt;0,$A1050&gt;H$7)),0,MAX(0,ROUND((INDEX($E1050:$G1050,H$5)-SUMIFS(TF_Timer,TF_Tekniker,H$4,TF_Dato,$A1050))*2,0)/2)))</f>
        <v/>
      </c>
      <c r="I1050">
        <f>IF(OR(I$4="",$A1050&gt;TODAY()),0,IF(OR(INDEX($B1050:$D1050,I$5)="F",AND(I$6&gt;0,$A1050&lt;I$6),AND(I$7&gt;0,$A1050&gt;I$7)),0,MAX(0,ROUND((INDEX($E1050:$G1050,I$5)-SUMIFS(TF_Timer,TF_Tekniker,I$4,TF_Dato,$A1050))*2,0)/2)))</f>
        <v/>
      </c>
      <c r="J1050">
        <f>IF(OR(J$4="",$A1050&gt;TODAY()),0,IF(OR(INDEX($B1050:$D1050,J$5)="F",AND(J$6&gt;0,$A1050&lt;J$6),AND(J$7&gt;0,$A1050&gt;J$7)),0,MAX(0,ROUND((INDEX($E1050:$G1050,J$5)-SUMIFS(TF_Timer,TF_Tekniker,J$4,TF_Dato,$A1050))*2,0)/2)))</f>
        <v/>
      </c>
      <c r="K1050">
        <f>IF(OR(K$4="",$A1050&gt;TODAY()),0,IF(OR(INDEX($B1050:$D1050,K$5)="F",AND(K$6&gt;0,$A1050&lt;K$6),AND(K$7&gt;0,$A1050&gt;K$7)),0,MAX(0,ROUND((INDEX($E1050:$G1050,K$5)-SUMIFS(TF_Timer,TF_Tekniker,K$4,TF_Dato,$A1050))*2,0)/2)))</f>
        <v/>
      </c>
      <c r="L1050">
        <f>IF(OR(L$4="",$A1050&gt;TODAY()),0,IF(OR(INDEX($B1050:$D1050,L$5)="F",AND(L$6&gt;0,$A1050&lt;L$6),AND(L$7&gt;0,$A1050&gt;L$7)),0,MAX(0,ROUND((INDEX($E1050:$G1050,L$5)-SUMIFS(TF_Timer,TF_Tekniker,L$4,TF_Dato,$A1050))*2,0)/2)))</f>
        <v/>
      </c>
      <c r="M1050">
        <f>IF(OR(M$4="",$A1050&gt;TODAY()),0,IF(OR(INDEX($B1050:$D1050,M$5)="F",AND(M$6&gt;0,$A1050&lt;M$6),AND(M$7&gt;0,$A1050&gt;M$7)),0,MAX(0,ROUND((INDEX($E1050:$G1050,M$5)-SUMIFS(TF_Timer,TF_Tekniker,M$4,TF_Dato,$A1050))*2,0)/2)))</f>
        <v/>
      </c>
      <c r="N1050">
        <f>IF(OR(N$4="",$A1050&gt;TODAY()),0,IF(OR(INDEX($B1050:$D1050,N$5)="F",AND(N$6&gt;0,$A1050&lt;N$6),AND(N$7&gt;0,$A1050&gt;N$7)),0,MAX(0,ROUND((INDEX($E1050:$G1050,N$5)-SUMIFS(TF_Timer,TF_Tekniker,N$4,TF_Dato,$A1050))*2,0)/2)))</f>
        <v/>
      </c>
      <c r="O1050">
        <f>IF(OR(O$4="",$A1050&gt;TODAY()),0,IF(OR(INDEX($B1050:$D1050,O$5)="F",AND(O$6&gt;0,$A1050&lt;O$6),AND(O$7&gt;0,$A1050&gt;O$7)),0,MAX(0,ROUND((INDEX($E1050:$G1050,O$5)-SUMIFS(TF_Timer,TF_Tekniker,O$4,TF_Dato,$A1050))*2,0)/2)))</f>
        <v/>
      </c>
      <c r="P1050">
        <f>IF(OR(P$4="",$A1050&gt;TODAY()),0,IF(OR(INDEX($B1050:$D1050,P$5)="F",AND(P$6&gt;0,$A1050&lt;P$6),AND(P$7&gt;0,$A1050&gt;P$7)),0,MAX(0,ROUND((INDEX($E1050:$G1050,P$5)-SUMIFS(TF_Timer,TF_Tekniker,P$4,TF_Dato,$A1050))*2,0)/2)))</f>
        <v/>
      </c>
      <c r="Q1050">
        <f>IF(OR(Q$4="",$A1050&gt;TODAY()),0,IF(OR(INDEX($B1050:$D1050,Q$5)="F",AND(Q$6&gt;0,$A1050&lt;Q$6),AND(Q$7&gt;0,$A1050&gt;Q$7)),0,MAX(0,ROUND((INDEX($E1050:$G1050,Q$5)-SUMIFS(TF_Timer,TF_Tekniker,Q$4,TF_Dato,$A1050))*2,0)/2)))</f>
        <v/>
      </c>
      <c r="R1050">
        <f>IF(OR(R$4="",$A1050&gt;TODAY()),0,IF(OR(INDEX($B1050:$D1050,R$5)="F",AND(R$6&gt;0,$A1050&lt;R$6),AND(R$7&gt;0,$A1050&gt;R$7)),0,MAX(0,ROUND((INDEX($E1050:$G1050,R$5)-SUMIFS(TF_Timer,TF_Tekniker,R$4,TF_Dato,$A1050))*2,0)/2)))</f>
        <v/>
      </c>
      <c r="S1050">
        <f>IF(OR(S$4="",$A1050&gt;TODAY()),0,IF(OR(INDEX($B1050:$D1050,S$5)="F",AND(S$6&gt;0,$A1050&lt;S$6),AND(S$7&gt;0,$A1050&gt;S$7)),0,MAX(0,ROUND((INDEX($E1050:$G1050,S$5)-SUMIFS(TF_Timer,TF_Tekniker,S$4,TF_Dato,$A1050))*2,0)/2)))</f>
        <v/>
      </c>
      <c r="T1050">
        <f>IF(OR(T$4="",$A1050&gt;TODAY()),0,IF(OR(INDEX($B1050:$D1050,T$5)="F",AND(T$6&gt;0,$A1050&lt;T$6),AND(T$7&gt;0,$A1050&gt;T$7)),0,MAX(0,ROUND((INDEX($E1050:$G1050,T$5)-SUMIFS(TF_Timer,TF_Tekniker,T$4,TF_Dato,$A1050))*2,0)/2)))</f>
        <v/>
      </c>
      <c r="U1050">
        <f>IF(OR(U$4="",$A1050&gt;TODAY()),0,IF(OR(INDEX($B1050:$D1050,U$5)="F",AND(U$6&gt;0,$A1050&lt;U$6),AND(U$7&gt;0,$A1050&gt;U$7)),0,MAX(0,ROUND((INDEX($E1050:$G1050,U$5)-SUMIFS(TF_Timer,TF_Tekniker,U$4,TF_Dato,$A1050))*2,0)/2)))</f>
        <v/>
      </c>
      <c r="V1050">
        <f>IF(OR(V$4="",$A1050&gt;TODAY()),0,IF(OR(INDEX($B1050:$D1050,V$5)="F",AND(V$6&gt;0,$A1050&lt;V$6),AND(V$7&gt;0,$A1050&gt;V$7)),0,MAX(0,ROUND((INDEX($E1050:$G1050,V$5)-SUMIFS(TF_Timer,TF_Tekniker,V$4,TF_Dato,$A1050))*2,0)/2)))</f>
        <v/>
      </c>
      <c r="W1050">
        <f>IF(OR(W$4="",$A1050&gt;TODAY()),0,IF(OR(INDEX($B1050:$D1050,W$5)="F",AND(W$6&gt;0,$A1050&lt;W$6),AND(W$7&gt;0,$A1050&gt;W$7)),0,MAX(0,ROUND((INDEX($E1050:$G1050,W$5)-SUMIFS(TF_Timer,TF_Tekniker,W$4,TF_Dato,$A1050))*2,0)/2)))</f>
        <v/>
      </c>
      <c r="X1050">
        <f>IF(OR(X$4="",$A1050&gt;TODAY()),0,IF(OR(INDEX($B1050:$D1050,X$5)="F",AND(X$6&gt;0,$A1050&lt;X$6),AND(X$7&gt;0,$A1050&gt;X$7)),0,MAX(0,ROUND((INDEX($E1050:$G1050,X$5)-SUMIFS(TF_Timer,TF_Tekniker,X$4,TF_Dato,$A1050))*2,0)/2)))</f>
        <v/>
      </c>
      <c r="Y1050">
        <f>IF(OR(Y$4="",$A1050&gt;TODAY()),0,IF(OR(INDEX($B1050:$D1050,Y$5)="F",AND(Y$6&gt;0,$A1050&lt;Y$6),AND(Y$7&gt;0,$A1050&gt;Y$7)),0,MAX(0,ROUND((INDEX($E1050:$G1050,Y$5)-SUMIFS(TF_Timer,TF_Tekniker,Y$4,TF_Dato,$A1050))*2,0)/2)))</f>
        <v/>
      </c>
      <c r="Z1050">
        <f>IF(OR(Z$4="",$A1050&gt;TODAY()),0,IF(OR(INDEX($B1050:$D1050,Z$5)="F",AND(Z$6&gt;0,$A1050&lt;Z$6),AND(Z$7&gt;0,$A1050&gt;Z$7)),0,MAX(0,ROUND((INDEX($E1050:$G1050,Z$5)-SUMIFS(TF_Timer,TF_Tekniker,Z$4,TF_Dato,$A1050))*2,0)/2)))</f>
        <v/>
      </c>
      <c r="AA1050">
        <f>IF(OR(AA$4="",$A1050&gt;TODAY()),0,IF(OR(INDEX($B1050:$D1050,AA$5)="F",AND(AA$6&gt;0,$A1050&lt;AA$6),AND(AA$7&gt;0,$A1050&gt;AA$7)),0,MAX(0,ROUND((INDEX($E1050:$G1050,AA$5)-SUMIFS(TF_Timer,TF_Tekniker,AA$4,TF_Dato,$A1050))*2,0)/2)))</f>
        <v/>
      </c>
      <c r="AB1050">
        <f>IF(OR(AB$4="",$A1050&gt;TODAY()),0,IF(OR(INDEX($B1050:$D1050,AB$5)="F",AND(AB$6&gt;0,$A1050&lt;AB$6),AND(AB$7&gt;0,$A1050&gt;AB$7)),0,MAX(0,ROUND((INDEX($E1050:$G1050,AB$5)-SUMIFS(TF_Timer,TF_Tekniker,AB$4,TF_Dato,$A1050))*2,0)/2)))</f>
        <v/>
      </c>
      <c r="AC1050">
        <f>IF(OR(AC$4="",$A1050&gt;TODAY()),0,IF(OR(INDEX($B1050:$D1050,AC$5)="F",AND(AC$6&gt;0,$A1050&lt;AC$6),AND(AC$7&gt;0,$A1050&gt;AC$7)),0,MAX(0,ROUND((INDEX($E1050:$G1050,AC$5)-SUMIFS(TF_Timer,TF_Tekniker,AC$4,TF_Dato,$A1050))*2,0)/2)))</f>
        <v/>
      </c>
      <c r="AD1050">
        <f>IF(OR(AD$4="",$A1050&gt;TODAY()),0,IF(OR(INDEX($B1050:$D1050,AD$5)="F",AND(AD$6&gt;0,$A1050&lt;AD$6),AND(AD$7&gt;0,$A1050&gt;AD$7)),0,MAX(0,ROUND((INDEX($E1050:$G1050,AD$5)-SUMIFS(TF_Timer,TF_Tekniker,AD$4,TF_Dato,$A1050))*2,0)/2)))</f>
        <v/>
      </c>
      <c r="AE1050">
        <f>IF(OR(AE$4="",$A1050&gt;TODAY()),0,IF(OR(INDEX($B1050:$D1050,AE$5)="F",AND(AE$6&gt;0,$A1050&lt;AE$6),AND(AE$7&gt;0,$A1050&gt;AE$7)),0,MAX(0,ROUND((INDEX($E1050:$G1050,AE$5)-SUMIFS(TF_Timer,TF_Tekniker,AE$4,TF_Dato,$A1050))*2,0)/2)))</f>
        <v/>
      </c>
      <c r="AF1050">
        <f>IF(OR(AF$4="",$A1050&gt;TODAY()),0,IF(OR(INDEX($B1050:$D1050,AF$5)="F",AND(AF$6&gt;0,$A1050&lt;AF$6),AND(AF$7&gt;0,$A1050&gt;AF$7)),0,MAX(0,ROUND((INDEX($E1050:$G1050,AF$5)-SUMIFS(TF_Timer,TF_Tekniker,AF$4,TF_Dato,$A1050))*2,0)/2)))</f>
        <v/>
      </c>
      <c r="AG1050">
        <f>IF(OR(AG$4="",$A1050&gt;TODAY()),0,IF(OR(INDEX($B1050:$D1050,AG$5)="F",AND(AG$6&gt;0,$A1050&lt;AG$6),AND(AG$7&gt;0,$A1050&gt;AG$7)),0,MAX(0,ROUND((INDEX($E1050:$G1050,AG$5)-SUMIFS(TF_Timer,TF_Tekniker,AG$4,TF_Dato,$A1050))*2,0)/2)))</f>
        <v/>
      </c>
      <c r="AH1050">
        <f>IF(OR(AH$4="",$A1050&gt;TODAY()),0,IF(OR(INDEX($B1050:$D1050,AH$5)="F",AND(AH$6&gt;0,$A1050&lt;AH$6),AND(AH$7&gt;0,$A1050&gt;AH$7)),0,MAX(0,ROUND((INDEX($E1050:$G1050,AH$5)-SUMIFS(TF_Timer,TF_Tekniker,AH$4,TF_Dato,$A1050))*2,0)/2)))</f>
        <v/>
      </c>
      <c r="AI1050">
        <f>IF(OR(AI$4="",$A1050&gt;TODAY()),0,IF(OR(INDEX($B1050:$D1050,AI$5)="F",AND(AI$6&gt;0,$A1050&lt;AI$6),AND(AI$7&gt;0,$A1050&gt;AI$7)),0,MAX(0,ROUND((INDEX($E1050:$G1050,AI$5)-SUMIFS(TF_Timer,TF_Tekniker,AI$4,TF_Dato,$A1050))*2,0)/2)))</f>
        <v/>
      </c>
      <c r="AJ1050">
        <f>IF(OR(AJ$4="",$A1050&gt;TODAY()),0,IF(OR(INDEX($B1050:$D1050,AJ$5)="F",AND(AJ$6&gt;0,$A1050&lt;AJ$6),AND(AJ$7&gt;0,$A1050&gt;AJ$7)),0,MAX(0,ROUND((INDEX($E1050:$G1050,AJ$5)-SUMIFS(TF_Timer,TF_Tekniker,AJ$4,TF_Dato,$A1050))*2,0)/2)))</f>
        <v/>
      </c>
      <c r="AK1050">
        <f>IF(OR(AK$4="",$A1050&gt;TODAY()),0,IF(OR(INDEX($B1050:$D1050,AK$5)="F",AND(AK$6&gt;0,$A1050&lt;AK$6),AND(AK$7&gt;0,$A1050&gt;AK$7)),0,MAX(0,ROUND((INDEX($E1050:$G1050,AK$5)-SUMIFS(TF_Timer,TF_Tekniker,AK$4,TF_Dato,$A1050))*2,0)/2)))</f>
        <v/>
      </c>
      <c r="AL1050">
        <f>IF(OR(AL$4="",$A1050&gt;TODAY()),0,IF(OR(INDEX($B1050:$D1050,AL$5)="F",AND(AL$6&gt;0,$A1050&lt;AL$6),AND(AL$7&gt;0,$A1050&gt;AL$7)),0,MAX(0,ROUND((INDEX($E1050:$G1050,AL$5)-SUMIFS(TF_Timer,TF_Tekniker,AL$4,TF_Dato,$A1050))*2,0)/2)))</f>
        <v/>
      </c>
      <c r="AM1050">
        <f>IF(OR(AM$4="",$A1050&gt;TODAY()),0,IF(OR(INDEX($B1050:$D1050,AM$5)="F",AND(AM$6&gt;0,$A1050&lt;AM$6),AND(AM$7&gt;0,$A1050&gt;AM$7)),0,MAX(0,ROUND((INDEX($E1050:$G1050,AM$5)-SUMIFS(TF_Timer,TF_Tekniker,AM$4,TF_Dato,$A1050))*2,0)/2)))</f>
        <v/>
      </c>
      <c r="AN1050">
        <f>IF(OR(AN$4="",$A1050&gt;TODAY()),0,IF(OR(INDEX($B1050:$D1050,AN$5)="F",AND(AN$6&gt;0,$A1050&lt;AN$6),AND(AN$7&gt;0,$A1050&gt;AN$7)),0,MAX(0,ROUND((INDEX($E1050:$G1050,AN$5)-SUMIFS(TF_Timer,TF_Tekniker,AN$4,TF_Dato,$A1050))*2,0)/2)))</f>
        <v/>
      </c>
      <c r="AO1050">
        <f>IF(OR(AO$4="",$A1050&gt;TODAY()),0,IF(OR(INDEX($B1050:$D1050,AO$5)="F",AND(AO$6&gt;0,$A1050&lt;AO$6),AND(AO$7&gt;0,$A1050&gt;AO$7)),0,MAX(0,ROUND((INDEX($E1050:$G1050,AO$5)-SUMIFS(TF_Timer,TF_Tekniker,AO$4,TF_Dato,$A1050))*2,0)/2)))</f>
        <v/>
      </c>
      <c r="AP1050">
        <f>IF(OR(AP$4="",$A1050&gt;TODAY()),0,IF(OR(INDEX($B1050:$D1050,AP$5)="F",AND(AP$6&gt;0,$A1050&lt;AP$6),AND(AP$7&gt;0,$A1050&gt;AP$7)),0,MAX(0,ROUND((INDEX($E1050:$G1050,AP$5)-SUMIFS(TF_Timer,TF_Tekniker,AP$4,TF_Dato,$A1050))*2,0)/2)))</f>
        <v/>
      </c>
      <c r="AQ1050">
        <f>IF(OR(AQ$4="",$A1050&gt;TODAY()),0,IF(OR(INDEX($B1050:$D1050,AQ$5)="F",AND(AQ$6&gt;0,$A1050&lt;AQ$6),AND(AQ$7&gt;0,$A1050&gt;AQ$7)),0,MAX(0,ROUND((INDEX($E1050:$G1050,AQ$5)-SUMIFS(TF_Timer,TF_Tekniker,AQ$4,TF_Dato,$A1050))*2,0)/2)))</f>
        <v/>
      </c>
      <c r="AR1050">
        <f>IF(OR(AR$4="",$A1050&gt;TODAY()),0,IF(OR(INDEX($B1050:$D1050,AR$5)="F",AND(AR$6&gt;0,$A1050&lt;AR$6),AND(AR$7&gt;0,$A1050&gt;AR$7)),0,MAX(0,ROUND((INDEX($E1050:$G1050,AR$5)-SUMIFS(TF_Timer,TF_Tekniker,AR$4,TF_Dato,$A1050))*2,0)/2)))</f>
        <v/>
      </c>
      <c r="AS1050">
        <f>IF(OR(AS$4="",$A1050&gt;TODAY()),0,IF(OR(INDEX($B1050:$D1050,AS$5)="F",AND(AS$6&gt;0,$A1050&lt;AS$6),AND(AS$7&gt;0,$A1050&gt;AS$7)),0,MAX(0,ROUND((INDEX($E1050:$G1050,AS$5)-SUMIFS(TF_Timer,TF_Tekniker,AS$4,TF_Dato,$A1050))*2,0)/2)))</f>
        <v/>
      </c>
      <c r="AT1050">
        <f>IF(OR(AT$4="",$A1050&gt;TODAY()),0,IF(OR(INDEX($B1050:$D1050,AT$5)="F",AND(AT$6&gt;0,$A1050&lt;AT$6),AND(AT$7&gt;0,$A1050&gt;AT$7)),0,MAX(0,ROUND((INDEX($E1050:$G1050,AT$5)-SUMIFS(TF_Timer,TF_Tekniker,AT$4,TF_Dato,$A1050))*2,0)/2)))</f>
        <v/>
      </c>
      <c r="AU1050">
        <f>IF(OR(AU$4="",$A1050&gt;TODAY()),0,IF(OR(INDEX($B1050:$D1050,AU$5)="F",AND(AU$6&gt;0,$A1050&lt;AU$6),AND(AU$7&gt;0,$A1050&gt;AU$7)),0,MAX(0,ROUND((INDEX($E1050:$G1050,AU$5)-SUMIFS(TF_Timer,TF_Tekniker,AU$4,TF_Dato,$A1050))*2,0)/2)))</f>
        <v/>
      </c>
      <c r="AV1050">
        <f>IF(OR(AV$4="",$A1050&gt;TODAY()),0,IF(OR(INDEX($B1050:$D1050,AV$5)="F",AND(AV$6&gt;0,$A1050&lt;AV$6),AND(AV$7&gt;0,$A1050&gt;AV$7)),0,MAX(0,ROUND((INDEX($E1050:$G1050,AV$5)-SUMIFS(TF_Timer,TF_Tekniker,AV$4,TF_Dato,$A1050))*2,0)/2)))</f>
        <v/>
      </c>
      <c r="AW1050">
        <f>IF(OR(AW$4="",$A1050&gt;TODAY()),0,IF(OR(INDEX($B1050:$D1050,AW$5)="F",AND(AW$6&gt;0,$A1050&lt;AW$6),AND(AW$7&gt;0,$A1050&gt;AW$7)),0,MAX(0,ROUND((INDEX($E1050:$G1050,AW$5)-SUMIFS(TF_Timer,TF_Tekniker,AW$4,TF_Dato,$A1050))*2,0)/2)))</f>
        <v/>
      </c>
      <c r="AX1050">
        <f>IF(OR(AX$4="",$A1050&gt;TODAY()),0,IF(OR(INDEX($B1050:$D1050,AX$5)="F",AND(AX$6&gt;0,$A1050&lt;AX$6),AND(AX$7&gt;0,$A1050&gt;AX$7)),0,MAX(0,ROUND((INDEX($E1050:$G1050,AX$5)-SUMIFS(TF_Timer,TF_Tekniker,AX$4,TF_Dato,$A1050))*2,0)/2)))</f>
        <v/>
      </c>
      <c r="AY1050">
        <f>IF(OR(AY$4="",$A1050&gt;TODAY()),0,IF(OR(INDEX($B1050:$D1050,AY$5)="F",AND(AY$6&gt;0,$A1050&lt;AY$6),AND(AY$7&gt;0,$A1050&gt;AY$7)),0,MAX(0,ROUND((INDEX($E1050:$G1050,AY$5)-SUMIFS(TF_Timer,TF_Tekniker,AY$4,TF_Dato,$A1050))*2,0)/2)))</f>
        <v/>
      </c>
      <c r="AZ1050">
        <f>IF(OR(AZ$4="",$A1050&gt;TODAY()),0,IF(OR(INDEX($B1050:$D1050,AZ$5)="F",AND(AZ$6&gt;0,$A1050&lt;AZ$6),AND(AZ$7&gt;0,$A1050&gt;AZ$7)),0,MAX(0,ROUND((INDEX($E1050:$G1050,AZ$5)-SUMIFS(TF_Timer,TF_Tekniker,AZ$4,TF_Dato,$A1050))*2,0)/2)))</f>
        <v/>
      </c>
      <c r="BA1050">
        <f>IF(OR(BA$4="",$A1050&gt;TODAY()),0,IF(OR(INDEX($B1050:$D1050,BA$5)="F",AND(BA$6&gt;0,$A1050&lt;BA$6),AND(BA$7&gt;0,$A1050&gt;BA$7)),0,MAX(0,ROUND((INDEX($E1050:$G1050,BA$5)-SUMIFS(TF_Timer,TF_Tekniker,BA$4,TF_Dato,$A1050))*2,0)/2)))</f>
        <v/>
      </c>
      <c r="BB1050">
        <f>IF(OR(BB$4="",$A1050&gt;TODAY()),0,IF(OR(INDEX($B1050:$D1050,BB$5)="F",AND(BB$6&gt;0,$A1050&lt;BB$6),AND(BB$7&gt;0,$A1050&gt;BB$7)),0,MAX(0,ROUND((INDEX($E1050:$G1050,BB$5)-SUMIFS(TF_Timer,TF_Tekniker,BB$4,TF_Dato,$A1050))*2,0)/2)))</f>
        <v/>
      </c>
      <c r="BC1050">
        <f>IF(OR(BC$4="",$A1050&gt;TODAY()),0,IF(OR(INDEX($B1050:$D1050,BC$5)="F",AND(BC$6&gt;0,$A1050&lt;BC$6),AND(BC$7&gt;0,$A1050&gt;BC$7)),0,MAX(0,ROUND((INDEX($E1050:$G1050,BC$5)-SUMIFS(TF_Timer,TF_Tekniker,BC$4,TF_Dato,$A1050))*2,0)/2)))</f>
        <v/>
      </c>
      <c r="BD1050">
        <f>IF(OR(BD$4="",$A1050&gt;TODAY()),0,IF(OR(INDEX($B1050:$D1050,BD$5)="F",AND(BD$6&gt;0,$A1050&lt;BD$6),AND(BD$7&gt;0,$A1050&gt;BD$7)),0,MAX(0,ROUND((INDEX($E1050:$G1050,BD$5)-SUMIFS(TF_Timer,TF_Tekniker,BD$4,TF_Dato,$A1050))*2,0)/2)))</f>
        <v/>
      </c>
      <c r="BE1050">
        <f>IF(OR(BE$4="",$A1050&gt;TODAY()),0,IF(OR(INDEX($B1050:$D1050,BE$5)="F",AND(BE$6&gt;0,$A1050&lt;BE$6),AND(BE$7&gt;0,$A1050&gt;BE$7)),0,MAX(0,ROUND((INDEX($E1050:$G1050,BE$5)-SUMIFS(TF_Timer,TF_Tekniker,BE$4,TF_Dato,$A1050))*2,0)/2)))</f>
        <v/>
      </c>
      <c r="BF1050">
        <f>IF(OR(BF$4="",$A1050&gt;TODAY()),0,IF(OR(INDEX($B1050:$D1050,BF$5)="F",AND(BF$6&gt;0,$A1050&lt;BF$6),AND(BF$7&gt;0,$A1050&gt;BF$7)),0,MAX(0,ROUND((INDEX($E1050:$G1050,BF$5)-SUMIFS(TF_Timer,TF_Tekniker,BF$4,TF_Dato,$A1050))*2,0)/2)))</f>
        <v/>
      </c>
      <c r="BG1050">
        <f>IF(OR(BG$4="",$A1050&gt;TODAY()),0,IF(OR(INDEX($B1050:$D1050,BG$5)="F",AND(BG$6&gt;0,$A1050&lt;BG$6),AND(BG$7&gt;0,$A1050&gt;BG$7)),0,MAX(0,ROUND((INDEX($E1050:$G1050,BG$5)-SUMIFS(TF_Timer,TF_Tekniker,BG$4,TF_Dato,$A1050))*2,0)/2)))</f>
        <v/>
      </c>
      <c r="BH1050">
        <f>IF(OR(BH$4="",$A1050&gt;TODAY()),0,IF(OR(INDEX($B1050:$D1050,BH$5)="F",AND(BH$6&gt;0,$A1050&lt;BH$6),AND(BH$7&gt;0,$A1050&gt;BH$7)),0,MAX(0,ROUND((INDEX($E1050:$G1050,BH$5)-SUMIFS(TF_Timer,TF_Tekniker,BH$4,TF_Dato,$A1050))*2,0)/2)))</f>
        <v/>
      </c>
      <c r="BI1050">
        <f>IF(OR(BI$4="",$A1050&gt;TODAY()),0,IF(OR(INDEX($B1050:$D1050,BI$5)="F",AND(BI$6&gt;0,$A1050&lt;BI$6),AND(BI$7&gt;0,$A1050&gt;BI$7)),0,MAX(0,ROUND((INDEX($E1050:$G1050,BI$5)-SUMIFS(TF_Timer,TF_Tekniker,BI$4,TF_Dato,$A1050))*2,0)/2)))</f>
        <v/>
      </c>
    </row>
    <row r="1051">
      <c r="A1051" s="64">
        <f>A1050+1</f>
        <v/>
      </c>
      <c r="B1051">
        <f>IF(MOD($A1051-INDEX(SkiftStart,1),Syklus)&lt;DagK,"K",IF(MOD($A1051-INDEX(SkiftStart,1),Syklus)&lt;DagK+DagH,"H",IF(MOD($A1051-INDEX(SkiftStart,1),Syklus)&lt;DagK+DagH+DagD,"D","F")))</f>
        <v/>
      </c>
      <c r="C1051">
        <f>IF(MOD($A1051-INDEX(SkiftStart,2),Syklus)&lt;DagK,"K",IF(MOD($A1051-INDEX(SkiftStart,2),Syklus)&lt;DagK+DagH,"H",IF(MOD($A1051-INDEX(SkiftStart,2),Syklus)&lt;DagK+DagH+DagD,"D","F")))</f>
        <v/>
      </c>
      <c r="D1051">
        <f>IF(MOD($A1051-INDEX(SkiftStart,3),Syklus)&lt;DagK,"K",IF(MOD($A1051-INDEX(SkiftStart,3),Syklus)&lt;DagK+DagH,"H",IF(MOD($A1051-INDEX(SkiftStart,3),Syklus)&lt;DagK+DagH+DagD,"D","F")))</f>
        <v/>
      </c>
      <c r="E1051">
        <f>IF(B1051="F",0,IF(WEEKDAY($A1051,2)=5,INDEX(TimerFr,MATCH(B1051,FaseKode,0)),INDEX(TimerMT,MATCH(B1051,FaseKode,0))))</f>
        <v/>
      </c>
      <c r="F1051">
        <f>IF(C1051="F",0,IF(WEEKDAY($A1051,2)=5,INDEX(TimerFr,MATCH(C1051,FaseKode,0)),INDEX(TimerMT,MATCH(C1051,FaseKode,0))))</f>
        <v/>
      </c>
      <c r="G1051">
        <f>IF(D1051="F",0,IF(WEEKDAY($A1051,2)=5,INDEX(TimerFr,MATCH(D1051,FaseKode,0)),INDEX(TimerMT,MATCH(D1051,FaseKode,0))))</f>
        <v/>
      </c>
      <c r="H1051">
        <f>IF(OR(H$4="",$A1051&gt;TODAY()),0,IF(OR(INDEX($B1051:$D1051,H$5)="F",AND(H$6&gt;0,$A1051&lt;H$6),AND(H$7&gt;0,$A1051&gt;H$7)),0,MAX(0,ROUND((INDEX($E1051:$G1051,H$5)-SUMIFS(TF_Timer,TF_Tekniker,H$4,TF_Dato,$A1051))*2,0)/2)))</f>
        <v/>
      </c>
      <c r="I1051">
        <f>IF(OR(I$4="",$A1051&gt;TODAY()),0,IF(OR(INDEX($B1051:$D1051,I$5)="F",AND(I$6&gt;0,$A1051&lt;I$6),AND(I$7&gt;0,$A1051&gt;I$7)),0,MAX(0,ROUND((INDEX($E1051:$G1051,I$5)-SUMIFS(TF_Timer,TF_Tekniker,I$4,TF_Dato,$A1051))*2,0)/2)))</f>
        <v/>
      </c>
      <c r="J1051">
        <f>IF(OR(J$4="",$A1051&gt;TODAY()),0,IF(OR(INDEX($B1051:$D1051,J$5)="F",AND(J$6&gt;0,$A1051&lt;J$6),AND(J$7&gt;0,$A1051&gt;J$7)),0,MAX(0,ROUND((INDEX($E1051:$G1051,J$5)-SUMIFS(TF_Timer,TF_Tekniker,J$4,TF_Dato,$A1051))*2,0)/2)))</f>
        <v/>
      </c>
      <c r="K1051">
        <f>IF(OR(K$4="",$A1051&gt;TODAY()),0,IF(OR(INDEX($B1051:$D1051,K$5)="F",AND(K$6&gt;0,$A1051&lt;K$6),AND(K$7&gt;0,$A1051&gt;K$7)),0,MAX(0,ROUND((INDEX($E1051:$G1051,K$5)-SUMIFS(TF_Timer,TF_Tekniker,K$4,TF_Dato,$A1051))*2,0)/2)))</f>
        <v/>
      </c>
      <c r="L1051">
        <f>IF(OR(L$4="",$A1051&gt;TODAY()),0,IF(OR(INDEX($B1051:$D1051,L$5)="F",AND(L$6&gt;0,$A1051&lt;L$6),AND(L$7&gt;0,$A1051&gt;L$7)),0,MAX(0,ROUND((INDEX($E1051:$G1051,L$5)-SUMIFS(TF_Timer,TF_Tekniker,L$4,TF_Dato,$A1051))*2,0)/2)))</f>
        <v/>
      </c>
      <c r="M1051">
        <f>IF(OR(M$4="",$A1051&gt;TODAY()),0,IF(OR(INDEX($B1051:$D1051,M$5)="F",AND(M$6&gt;0,$A1051&lt;M$6),AND(M$7&gt;0,$A1051&gt;M$7)),0,MAX(0,ROUND((INDEX($E1051:$G1051,M$5)-SUMIFS(TF_Timer,TF_Tekniker,M$4,TF_Dato,$A1051))*2,0)/2)))</f>
        <v/>
      </c>
      <c r="N1051">
        <f>IF(OR(N$4="",$A1051&gt;TODAY()),0,IF(OR(INDEX($B1051:$D1051,N$5)="F",AND(N$6&gt;0,$A1051&lt;N$6),AND(N$7&gt;0,$A1051&gt;N$7)),0,MAX(0,ROUND((INDEX($E1051:$G1051,N$5)-SUMIFS(TF_Timer,TF_Tekniker,N$4,TF_Dato,$A1051))*2,0)/2)))</f>
        <v/>
      </c>
      <c r="O1051">
        <f>IF(OR(O$4="",$A1051&gt;TODAY()),0,IF(OR(INDEX($B1051:$D1051,O$5)="F",AND(O$6&gt;0,$A1051&lt;O$6),AND(O$7&gt;0,$A1051&gt;O$7)),0,MAX(0,ROUND((INDEX($E1051:$G1051,O$5)-SUMIFS(TF_Timer,TF_Tekniker,O$4,TF_Dato,$A1051))*2,0)/2)))</f>
        <v/>
      </c>
      <c r="P1051">
        <f>IF(OR(P$4="",$A1051&gt;TODAY()),0,IF(OR(INDEX($B1051:$D1051,P$5)="F",AND(P$6&gt;0,$A1051&lt;P$6),AND(P$7&gt;0,$A1051&gt;P$7)),0,MAX(0,ROUND((INDEX($E1051:$G1051,P$5)-SUMIFS(TF_Timer,TF_Tekniker,P$4,TF_Dato,$A1051))*2,0)/2)))</f>
        <v/>
      </c>
      <c r="Q1051">
        <f>IF(OR(Q$4="",$A1051&gt;TODAY()),0,IF(OR(INDEX($B1051:$D1051,Q$5)="F",AND(Q$6&gt;0,$A1051&lt;Q$6),AND(Q$7&gt;0,$A1051&gt;Q$7)),0,MAX(0,ROUND((INDEX($E1051:$G1051,Q$5)-SUMIFS(TF_Timer,TF_Tekniker,Q$4,TF_Dato,$A1051))*2,0)/2)))</f>
        <v/>
      </c>
      <c r="R1051">
        <f>IF(OR(R$4="",$A1051&gt;TODAY()),0,IF(OR(INDEX($B1051:$D1051,R$5)="F",AND(R$6&gt;0,$A1051&lt;R$6),AND(R$7&gt;0,$A1051&gt;R$7)),0,MAX(0,ROUND((INDEX($E1051:$G1051,R$5)-SUMIFS(TF_Timer,TF_Tekniker,R$4,TF_Dato,$A1051))*2,0)/2)))</f>
        <v/>
      </c>
      <c r="S1051">
        <f>IF(OR(S$4="",$A1051&gt;TODAY()),0,IF(OR(INDEX($B1051:$D1051,S$5)="F",AND(S$6&gt;0,$A1051&lt;S$6),AND(S$7&gt;0,$A1051&gt;S$7)),0,MAX(0,ROUND((INDEX($E1051:$G1051,S$5)-SUMIFS(TF_Timer,TF_Tekniker,S$4,TF_Dato,$A1051))*2,0)/2)))</f>
        <v/>
      </c>
      <c r="T1051">
        <f>IF(OR(T$4="",$A1051&gt;TODAY()),0,IF(OR(INDEX($B1051:$D1051,T$5)="F",AND(T$6&gt;0,$A1051&lt;T$6),AND(T$7&gt;0,$A1051&gt;T$7)),0,MAX(0,ROUND((INDEX($E1051:$G1051,T$5)-SUMIFS(TF_Timer,TF_Tekniker,T$4,TF_Dato,$A1051))*2,0)/2)))</f>
        <v/>
      </c>
      <c r="U1051">
        <f>IF(OR(U$4="",$A1051&gt;TODAY()),0,IF(OR(INDEX($B1051:$D1051,U$5)="F",AND(U$6&gt;0,$A1051&lt;U$6),AND(U$7&gt;0,$A1051&gt;U$7)),0,MAX(0,ROUND((INDEX($E1051:$G1051,U$5)-SUMIFS(TF_Timer,TF_Tekniker,U$4,TF_Dato,$A1051))*2,0)/2)))</f>
        <v/>
      </c>
      <c r="V1051">
        <f>IF(OR(V$4="",$A1051&gt;TODAY()),0,IF(OR(INDEX($B1051:$D1051,V$5)="F",AND(V$6&gt;0,$A1051&lt;V$6),AND(V$7&gt;0,$A1051&gt;V$7)),0,MAX(0,ROUND((INDEX($E1051:$G1051,V$5)-SUMIFS(TF_Timer,TF_Tekniker,V$4,TF_Dato,$A1051))*2,0)/2)))</f>
        <v/>
      </c>
      <c r="W1051">
        <f>IF(OR(W$4="",$A1051&gt;TODAY()),0,IF(OR(INDEX($B1051:$D1051,W$5)="F",AND(W$6&gt;0,$A1051&lt;W$6),AND(W$7&gt;0,$A1051&gt;W$7)),0,MAX(0,ROUND((INDEX($E1051:$G1051,W$5)-SUMIFS(TF_Timer,TF_Tekniker,W$4,TF_Dato,$A1051))*2,0)/2)))</f>
        <v/>
      </c>
      <c r="X1051">
        <f>IF(OR(X$4="",$A1051&gt;TODAY()),0,IF(OR(INDEX($B1051:$D1051,X$5)="F",AND(X$6&gt;0,$A1051&lt;X$6),AND(X$7&gt;0,$A1051&gt;X$7)),0,MAX(0,ROUND((INDEX($E1051:$G1051,X$5)-SUMIFS(TF_Timer,TF_Tekniker,X$4,TF_Dato,$A1051))*2,0)/2)))</f>
        <v/>
      </c>
      <c r="Y1051">
        <f>IF(OR(Y$4="",$A1051&gt;TODAY()),0,IF(OR(INDEX($B1051:$D1051,Y$5)="F",AND(Y$6&gt;0,$A1051&lt;Y$6),AND(Y$7&gt;0,$A1051&gt;Y$7)),0,MAX(0,ROUND((INDEX($E1051:$G1051,Y$5)-SUMIFS(TF_Timer,TF_Tekniker,Y$4,TF_Dato,$A1051))*2,0)/2)))</f>
        <v/>
      </c>
      <c r="Z1051">
        <f>IF(OR(Z$4="",$A1051&gt;TODAY()),0,IF(OR(INDEX($B1051:$D1051,Z$5)="F",AND(Z$6&gt;0,$A1051&lt;Z$6),AND(Z$7&gt;0,$A1051&gt;Z$7)),0,MAX(0,ROUND((INDEX($E1051:$G1051,Z$5)-SUMIFS(TF_Timer,TF_Tekniker,Z$4,TF_Dato,$A1051))*2,0)/2)))</f>
        <v/>
      </c>
      <c r="AA1051">
        <f>IF(OR(AA$4="",$A1051&gt;TODAY()),0,IF(OR(INDEX($B1051:$D1051,AA$5)="F",AND(AA$6&gt;0,$A1051&lt;AA$6),AND(AA$7&gt;0,$A1051&gt;AA$7)),0,MAX(0,ROUND((INDEX($E1051:$G1051,AA$5)-SUMIFS(TF_Timer,TF_Tekniker,AA$4,TF_Dato,$A1051))*2,0)/2)))</f>
        <v/>
      </c>
      <c r="AB1051">
        <f>IF(OR(AB$4="",$A1051&gt;TODAY()),0,IF(OR(INDEX($B1051:$D1051,AB$5)="F",AND(AB$6&gt;0,$A1051&lt;AB$6),AND(AB$7&gt;0,$A1051&gt;AB$7)),0,MAX(0,ROUND((INDEX($E1051:$G1051,AB$5)-SUMIFS(TF_Timer,TF_Tekniker,AB$4,TF_Dato,$A1051))*2,0)/2)))</f>
        <v/>
      </c>
      <c r="AC1051">
        <f>IF(OR(AC$4="",$A1051&gt;TODAY()),0,IF(OR(INDEX($B1051:$D1051,AC$5)="F",AND(AC$6&gt;0,$A1051&lt;AC$6),AND(AC$7&gt;0,$A1051&gt;AC$7)),0,MAX(0,ROUND((INDEX($E1051:$G1051,AC$5)-SUMIFS(TF_Timer,TF_Tekniker,AC$4,TF_Dato,$A1051))*2,0)/2)))</f>
        <v/>
      </c>
      <c r="AD1051">
        <f>IF(OR(AD$4="",$A1051&gt;TODAY()),0,IF(OR(INDEX($B1051:$D1051,AD$5)="F",AND(AD$6&gt;0,$A1051&lt;AD$6),AND(AD$7&gt;0,$A1051&gt;AD$7)),0,MAX(0,ROUND((INDEX($E1051:$G1051,AD$5)-SUMIFS(TF_Timer,TF_Tekniker,AD$4,TF_Dato,$A1051))*2,0)/2)))</f>
        <v/>
      </c>
      <c r="AE1051">
        <f>IF(OR(AE$4="",$A1051&gt;TODAY()),0,IF(OR(INDEX($B1051:$D1051,AE$5)="F",AND(AE$6&gt;0,$A1051&lt;AE$6),AND(AE$7&gt;0,$A1051&gt;AE$7)),0,MAX(0,ROUND((INDEX($E1051:$G1051,AE$5)-SUMIFS(TF_Timer,TF_Tekniker,AE$4,TF_Dato,$A1051))*2,0)/2)))</f>
        <v/>
      </c>
      <c r="AF1051">
        <f>IF(OR(AF$4="",$A1051&gt;TODAY()),0,IF(OR(INDEX($B1051:$D1051,AF$5)="F",AND(AF$6&gt;0,$A1051&lt;AF$6),AND(AF$7&gt;0,$A1051&gt;AF$7)),0,MAX(0,ROUND((INDEX($E1051:$G1051,AF$5)-SUMIFS(TF_Timer,TF_Tekniker,AF$4,TF_Dato,$A1051))*2,0)/2)))</f>
        <v/>
      </c>
      <c r="AG1051">
        <f>IF(OR(AG$4="",$A1051&gt;TODAY()),0,IF(OR(INDEX($B1051:$D1051,AG$5)="F",AND(AG$6&gt;0,$A1051&lt;AG$6),AND(AG$7&gt;0,$A1051&gt;AG$7)),0,MAX(0,ROUND((INDEX($E1051:$G1051,AG$5)-SUMIFS(TF_Timer,TF_Tekniker,AG$4,TF_Dato,$A1051))*2,0)/2)))</f>
        <v/>
      </c>
      <c r="AH1051">
        <f>IF(OR(AH$4="",$A1051&gt;TODAY()),0,IF(OR(INDEX($B1051:$D1051,AH$5)="F",AND(AH$6&gt;0,$A1051&lt;AH$6),AND(AH$7&gt;0,$A1051&gt;AH$7)),0,MAX(0,ROUND((INDEX($E1051:$G1051,AH$5)-SUMIFS(TF_Timer,TF_Tekniker,AH$4,TF_Dato,$A1051))*2,0)/2)))</f>
        <v/>
      </c>
      <c r="AI1051">
        <f>IF(OR(AI$4="",$A1051&gt;TODAY()),0,IF(OR(INDEX($B1051:$D1051,AI$5)="F",AND(AI$6&gt;0,$A1051&lt;AI$6),AND(AI$7&gt;0,$A1051&gt;AI$7)),0,MAX(0,ROUND((INDEX($E1051:$G1051,AI$5)-SUMIFS(TF_Timer,TF_Tekniker,AI$4,TF_Dato,$A1051))*2,0)/2)))</f>
        <v/>
      </c>
      <c r="AJ1051">
        <f>IF(OR(AJ$4="",$A1051&gt;TODAY()),0,IF(OR(INDEX($B1051:$D1051,AJ$5)="F",AND(AJ$6&gt;0,$A1051&lt;AJ$6),AND(AJ$7&gt;0,$A1051&gt;AJ$7)),0,MAX(0,ROUND((INDEX($E1051:$G1051,AJ$5)-SUMIFS(TF_Timer,TF_Tekniker,AJ$4,TF_Dato,$A1051))*2,0)/2)))</f>
        <v/>
      </c>
      <c r="AK1051">
        <f>IF(OR(AK$4="",$A1051&gt;TODAY()),0,IF(OR(INDEX($B1051:$D1051,AK$5)="F",AND(AK$6&gt;0,$A1051&lt;AK$6),AND(AK$7&gt;0,$A1051&gt;AK$7)),0,MAX(0,ROUND((INDEX($E1051:$G1051,AK$5)-SUMIFS(TF_Timer,TF_Tekniker,AK$4,TF_Dato,$A1051))*2,0)/2)))</f>
        <v/>
      </c>
      <c r="AL1051">
        <f>IF(OR(AL$4="",$A1051&gt;TODAY()),0,IF(OR(INDEX($B1051:$D1051,AL$5)="F",AND(AL$6&gt;0,$A1051&lt;AL$6),AND(AL$7&gt;0,$A1051&gt;AL$7)),0,MAX(0,ROUND((INDEX($E1051:$G1051,AL$5)-SUMIFS(TF_Timer,TF_Tekniker,AL$4,TF_Dato,$A1051))*2,0)/2)))</f>
        <v/>
      </c>
      <c r="AM1051">
        <f>IF(OR(AM$4="",$A1051&gt;TODAY()),0,IF(OR(INDEX($B1051:$D1051,AM$5)="F",AND(AM$6&gt;0,$A1051&lt;AM$6),AND(AM$7&gt;0,$A1051&gt;AM$7)),0,MAX(0,ROUND((INDEX($E1051:$G1051,AM$5)-SUMIFS(TF_Timer,TF_Tekniker,AM$4,TF_Dato,$A1051))*2,0)/2)))</f>
        <v/>
      </c>
      <c r="AN1051">
        <f>IF(OR(AN$4="",$A1051&gt;TODAY()),0,IF(OR(INDEX($B1051:$D1051,AN$5)="F",AND(AN$6&gt;0,$A1051&lt;AN$6),AND(AN$7&gt;0,$A1051&gt;AN$7)),0,MAX(0,ROUND((INDEX($E1051:$G1051,AN$5)-SUMIFS(TF_Timer,TF_Tekniker,AN$4,TF_Dato,$A1051))*2,0)/2)))</f>
        <v/>
      </c>
      <c r="AO1051">
        <f>IF(OR(AO$4="",$A1051&gt;TODAY()),0,IF(OR(INDEX($B1051:$D1051,AO$5)="F",AND(AO$6&gt;0,$A1051&lt;AO$6),AND(AO$7&gt;0,$A1051&gt;AO$7)),0,MAX(0,ROUND((INDEX($E1051:$G1051,AO$5)-SUMIFS(TF_Timer,TF_Tekniker,AO$4,TF_Dato,$A1051))*2,0)/2)))</f>
        <v/>
      </c>
      <c r="AP1051">
        <f>IF(OR(AP$4="",$A1051&gt;TODAY()),0,IF(OR(INDEX($B1051:$D1051,AP$5)="F",AND(AP$6&gt;0,$A1051&lt;AP$6),AND(AP$7&gt;0,$A1051&gt;AP$7)),0,MAX(0,ROUND((INDEX($E1051:$G1051,AP$5)-SUMIFS(TF_Timer,TF_Tekniker,AP$4,TF_Dato,$A1051))*2,0)/2)))</f>
        <v/>
      </c>
      <c r="AQ1051">
        <f>IF(OR(AQ$4="",$A1051&gt;TODAY()),0,IF(OR(INDEX($B1051:$D1051,AQ$5)="F",AND(AQ$6&gt;0,$A1051&lt;AQ$6),AND(AQ$7&gt;0,$A1051&gt;AQ$7)),0,MAX(0,ROUND((INDEX($E1051:$G1051,AQ$5)-SUMIFS(TF_Timer,TF_Tekniker,AQ$4,TF_Dato,$A1051))*2,0)/2)))</f>
        <v/>
      </c>
      <c r="AR1051">
        <f>IF(OR(AR$4="",$A1051&gt;TODAY()),0,IF(OR(INDEX($B1051:$D1051,AR$5)="F",AND(AR$6&gt;0,$A1051&lt;AR$6),AND(AR$7&gt;0,$A1051&gt;AR$7)),0,MAX(0,ROUND((INDEX($E1051:$G1051,AR$5)-SUMIFS(TF_Timer,TF_Tekniker,AR$4,TF_Dato,$A1051))*2,0)/2)))</f>
        <v/>
      </c>
      <c r="AS1051">
        <f>IF(OR(AS$4="",$A1051&gt;TODAY()),0,IF(OR(INDEX($B1051:$D1051,AS$5)="F",AND(AS$6&gt;0,$A1051&lt;AS$6),AND(AS$7&gt;0,$A1051&gt;AS$7)),0,MAX(0,ROUND((INDEX($E1051:$G1051,AS$5)-SUMIFS(TF_Timer,TF_Tekniker,AS$4,TF_Dato,$A1051))*2,0)/2)))</f>
        <v/>
      </c>
      <c r="AT1051">
        <f>IF(OR(AT$4="",$A1051&gt;TODAY()),0,IF(OR(INDEX($B1051:$D1051,AT$5)="F",AND(AT$6&gt;0,$A1051&lt;AT$6),AND(AT$7&gt;0,$A1051&gt;AT$7)),0,MAX(0,ROUND((INDEX($E1051:$G1051,AT$5)-SUMIFS(TF_Timer,TF_Tekniker,AT$4,TF_Dato,$A1051))*2,0)/2)))</f>
        <v/>
      </c>
      <c r="AU1051">
        <f>IF(OR(AU$4="",$A1051&gt;TODAY()),0,IF(OR(INDEX($B1051:$D1051,AU$5)="F",AND(AU$6&gt;0,$A1051&lt;AU$6),AND(AU$7&gt;0,$A1051&gt;AU$7)),0,MAX(0,ROUND((INDEX($E1051:$G1051,AU$5)-SUMIFS(TF_Timer,TF_Tekniker,AU$4,TF_Dato,$A1051))*2,0)/2)))</f>
        <v/>
      </c>
      <c r="AV1051">
        <f>IF(OR(AV$4="",$A1051&gt;TODAY()),0,IF(OR(INDEX($B1051:$D1051,AV$5)="F",AND(AV$6&gt;0,$A1051&lt;AV$6),AND(AV$7&gt;0,$A1051&gt;AV$7)),0,MAX(0,ROUND((INDEX($E1051:$G1051,AV$5)-SUMIFS(TF_Timer,TF_Tekniker,AV$4,TF_Dato,$A1051))*2,0)/2)))</f>
        <v/>
      </c>
      <c r="AW1051">
        <f>IF(OR(AW$4="",$A1051&gt;TODAY()),0,IF(OR(INDEX($B1051:$D1051,AW$5)="F",AND(AW$6&gt;0,$A1051&lt;AW$6),AND(AW$7&gt;0,$A1051&gt;AW$7)),0,MAX(0,ROUND((INDEX($E1051:$G1051,AW$5)-SUMIFS(TF_Timer,TF_Tekniker,AW$4,TF_Dato,$A1051))*2,0)/2)))</f>
        <v/>
      </c>
      <c r="AX1051">
        <f>IF(OR(AX$4="",$A1051&gt;TODAY()),0,IF(OR(INDEX($B1051:$D1051,AX$5)="F",AND(AX$6&gt;0,$A1051&lt;AX$6),AND(AX$7&gt;0,$A1051&gt;AX$7)),0,MAX(0,ROUND((INDEX($E1051:$G1051,AX$5)-SUMIFS(TF_Timer,TF_Tekniker,AX$4,TF_Dato,$A1051))*2,0)/2)))</f>
        <v/>
      </c>
      <c r="AY1051">
        <f>IF(OR(AY$4="",$A1051&gt;TODAY()),0,IF(OR(INDEX($B1051:$D1051,AY$5)="F",AND(AY$6&gt;0,$A1051&lt;AY$6),AND(AY$7&gt;0,$A1051&gt;AY$7)),0,MAX(0,ROUND((INDEX($E1051:$G1051,AY$5)-SUMIFS(TF_Timer,TF_Tekniker,AY$4,TF_Dato,$A1051))*2,0)/2)))</f>
        <v/>
      </c>
      <c r="AZ1051">
        <f>IF(OR(AZ$4="",$A1051&gt;TODAY()),0,IF(OR(INDEX($B1051:$D1051,AZ$5)="F",AND(AZ$6&gt;0,$A1051&lt;AZ$6),AND(AZ$7&gt;0,$A1051&gt;AZ$7)),0,MAX(0,ROUND((INDEX($E1051:$G1051,AZ$5)-SUMIFS(TF_Timer,TF_Tekniker,AZ$4,TF_Dato,$A1051))*2,0)/2)))</f>
        <v/>
      </c>
      <c r="BA1051">
        <f>IF(OR(BA$4="",$A1051&gt;TODAY()),0,IF(OR(INDEX($B1051:$D1051,BA$5)="F",AND(BA$6&gt;0,$A1051&lt;BA$6),AND(BA$7&gt;0,$A1051&gt;BA$7)),0,MAX(0,ROUND((INDEX($E1051:$G1051,BA$5)-SUMIFS(TF_Timer,TF_Tekniker,BA$4,TF_Dato,$A1051))*2,0)/2)))</f>
        <v/>
      </c>
      <c r="BB1051">
        <f>IF(OR(BB$4="",$A1051&gt;TODAY()),0,IF(OR(INDEX($B1051:$D1051,BB$5)="F",AND(BB$6&gt;0,$A1051&lt;BB$6),AND(BB$7&gt;0,$A1051&gt;BB$7)),0,MAX(0,ROUND((INDEX($E1051:$G1051,BB$5)-SUMIFS(TF_Timer,TF_Tekniker,BB$4,TF_Dato,$A1051))*2,0)/2)))</f>
        <v/>
      </c>
      <c r="BC1051">
        <f>IF(OR(BC$4="",$A1051&gt;TODAY()),0,IF(OR(INDEX($B1051:$D1051,BC$5)="F",AND(BC$6&gt;0,$A1051&lt;BC$6),AND(BC$7&gt;0,$A1051&gt;BC$7)),0,MAX(0,ROUND((INDEX($E1051:$G1051,BC$5)-SUMIFS(TF_Timer,TF_Tekniker,BC$4,TF_Dato,$A1051))*2,0)/2)))</f>
        <v/>
      </c>
      <c r="BD1051">
        <f>IF(OR(BD$4="",$A1051&gt;TODAY()),0,IF(OR(INDEX($B1051:$D1051,BD$5)="F",AND(BD$6&gt;0,$A1051&lt;BD$6),AND(BD$7&gt;0,$A1051&gt;BD$7)),0,MAX(0,ROUND((INDEX($E1051:$G1051,BD$5)-SUMIFS(TF_Timer,TF_Tekniker,BD$4,TF_Dato,$A1051))*2,0)/2)))</f>
        <v/>
      </c>
      <c r="BE1051">
        <f>IF(OR(BE$4="",$A1051&gt;TODAY()),0,IF(OR(INDEX($B1051:$D1051,BE$5)="F",AND(BE$6&gt;0,$A1051&lt;BE$6),AND(BE$7&gt;0,$A1051&gt;BE$7)),0,MAX(0,ROUND((INDEX($E1051:$G1051,BE$5)-SUMIFS(TF_Timer,TF_Tekniker,BE$4,TF_Dato,$A1051))*2,0)/2)))</f>
        <v/>
      </c>
      <c r="BF1051">
        <f>IF(OR(BF$4="",$A1051&gt;TODAY()),0,IF(OR(INDEX($B1051:$D1051,BF$5)="F",AND(BF$6&gt;0,$A1051&lt;BF$6),AND(BF$7&gt;0,$A1051&gt;BF$7)),0,MAX(0,ROUND((INDEX($E1051:$G1051,BF$5)-SUMIFS(TF_Timer,TF_Tekniker,BF$4,TF_Dato,$A1051))*2,0)/2)))</f>
        <v/>
      </c>
      <c r="BG1051">
        <f>IF(OR(BG$4="",$A1051&gt;TODAY()),0,IF(OR(INDEX($B1051:$D1051,BG$5)="F",AND(BG$6&gt;0,$A1051&lt;BG$6),AND(BG$7&gt;0,$A1051&gt;BG$7)),0,MAX(0,ROUND((INDEX($E1051:$G1051,BG$5)-SUMIFS(TF_Timer,TF_Tekniker,BG$4,TF_Dato,$A1051))*2,0)/2)))</f>
        <v/>
      </c>
      <c r="BH1051">
        <f>IF(OR(BH$4="",$A1051&gt;TODAY()),0,IF(OR(INDEX($B1051:$D1051,BH$5)="F",AND(BH$6&gt;0,$A1051&lt;BH$6),AND(BH$7&gt;0,$A1051&gt;BH$7)),0,MAX(0,ROUND((INDEX($E1051:$G1051,BH$5)-SUMIFS(TF_Timer,TF_Tekniker,BH$4,TF_Dato,$A1051))*2,0)/2)))</f>
        <v/>
      </c>
      <c r="BI1051">
        <f>IF(OR(BI$4="",$A1051&gt;TODAY()),0,IF(OR(INDEX($B1051:$D1051,BI$5)="F",AND(BI$6&gt;0,$A1051&lt;BI$6),AND(BI$7&gt;0,$A1051&gt;BI$7)),0,MAX(0,ROUND((INDEX($E1051:$G1051,BI$5)-SUMIFS(TF_Timer,TF_Tekniker,BI$4,TF_Dato,$A1051))*2,0)/2)))</f>
        <v/>
      </c>
    </row>
    <row r="1052">
      <c r="A1052" s="64">
        <f>A1051+1</f>
        <v/>
      </c>
      <c r="B1052">
        <f>IF(MOD($A1052-INDEX(SkiftStart,1),Syklus)&lt;DagK,"K",IF(MOD($A1052-INDEX(SkiftStart,1),Syklus)&lt;DagK+DagH,"H",IF(MOD($A1052-INDEX(SkiftStart,1),Syklus)&lt;DagK+DagH+DagD,"D","F")))</f>
        <v/>
      </c>
      <c r="C1052">
        <f>IF(MOD($A1052-INDEX(SkiftStart,2),Syklus)&lt;DagK,"K",IF(MOD($A1052-INDEX(SkiftStart,2),Syklus)&lt;DagK+DagH,"H",IF(MOD($A1052-INDEX(SkiftStart,2),Syklus)&lt;DagK+DagH+DagD,"D","F")))</f>
        <v/>
      </c>
      <c r="D1052">
        <f>IF(MOD($A1052-INDEX(SkiftStart,3),Syklus)&lt;DagK,"K",IF(MOD($A1052-INDEX(SkiftStart,3),Syklus)&lt;DagK+DagH,"H",IF(MOD($A1052-INDEX(SkiftStart,3),Syklus)&lt;DagK+DagH+DagD,"D","F")))</f>
        <v/>
      </c>
      <c r="E1052">
        <f>IF(B1052="F",0,IF(WEEKDAY($A1052,2)=5,INDEX(TimerFr,MATCH(B1052,FaseKode,0)),INDEX(TimerMT,MATCH(B1052,FaseKode,0))))</f>
        <v/>
      </c>
      <c r="F1052">
        <f>IF(C1052="F",0,IF(WEEKDAY($A1052,2)=5,INDEX(TimerFr,MATCH(C1052,FaseKode,0)),INDEX(TimerMT,MATCH(C1052,FaseKode,0))))</f>
        <v/>
      </c>
      <c r="G1052">
        <f>IF(D1052="F",0,IF(WEEKDAY($A1052,2)=5,INDEX(TimerFr,MATCH(D1052,FaseKode,0)),INDEX(TimerMT,MATCH(D1052,FaseKode,0))))</f>
        <v/>
      </c>
      <c r="H1052">
        <f>IF(OR(H$4="",$A1052&gt;TODAY()),0,IF(OR(INDEX($B1052:$D1052,H$5)="F",AND(H$6&gt;0,$A1052&lt;H$6),AND(H$7&gt;0,$A1052&gt;H$7)),0,MAX(0,ROUND((INDEX($E1052:$G1052,H$5)-SUMIFS(TF_Timer,TF_Tekniker,H$4,TF_Dato,$A1052))*2,0)/2)))</f>
        <v/>
      </c>
      <c r="I1052">
        <f>IF(OR(I$4="",$A1052&gt;TODAY()),0,IF(OR(INDEX($B1052:$D1052,I$5)="F",AND(I$6&gt;0,$A1052&lt;I$6),AND(I$7&gt;0,$A1052&gt;I$7)),0,MAX(0,ROUND((INDEX($E1052:$G1052,I$5)-SUMIFS(TF_Timer,TF_Tekniker,I$4,TF_Dato,$A1052))*2,0)/2)))</f>
        <v/>
      </c>
      <c r="J1052">
        <f>IF(OR(J$4="",$A1052&gt;TODAY()),0,IF(OR(INDEX($B1052:$D1052,J$5)="F",AND(J$6&gt;0,$A1052&lt;J$6),AND(J$7&gt;0,$A1052&gt;J$7)),0,MAX(0,ROUND((INDEX($E1052:$G1052,J$5)-SUMIFS(TF_Timer,TF_Tekniker,J$4,TF_Dato,$A1052))*2,0)/2)))</f>
        <v/>
      </c>
      <c r="K1052">
        <f>IF(OR(K$4="",$A1052&gt;TODAY()),0,IF(OR(INDEX($B1052:$D1052,K$5)="F",AND(K$6&gt;0,$A1052&lt;K$6),AND(K$7&gt;0,$A1052&gt;K$7)),0,MAX(0,ROUND((INDEX($E1052:$G1052,K$5)-SUMIFS(TF_Timer,TF_Tekniker,K$4,TF_Dato,$A1052))*2,0)/2)))</f>
        <v/>
      </c>
      <c r="L1052">
        <f>IF(OR(L$4="",$A1052&gt;TODAY()),0,IF(OR(INDEX($B1052:$D1052,L$5)="F",AND(L$6&gt;0,$A1052&lt;L$6),AND(L$7&gt;0,$A1052&gt;L$7)),0,MAX(0,ROUND((INDEX($E1052:$G1052,L$5)-SUMIFS(TF_Timer,TF_Tekniker,L$4,TF_Dato,$A1052))*2,0)/2)))</f>
        <v/>
      </c>
      <c r="M1052">
        <f>IF(OR(M$4="",$A1052&gt;TODAY()),0,IF(OR(INDEX($B1052:$D1052,M$5)="F",AND(M$6&gt;0,$A1052&lt;M$6),AND(M$7&gt;0,$A1052&gt;M$7)),0,MAX(0,ROUND((INDEX($E1052:$G1052,M$5)-SUMIFS(TF_Timer,TF_Tekniker,M$4,TF_Dato,$A1052))*2,0)/2)))</f>
        <v/>
      </c>
      <c r="N1052">
        <f>IF(OR(N$4="",$A1052&gt;TODAY()),0,IF(OR(INDEX($B1052:$D1052,N$5)="F",AND(N$6&gt;0,$A1052&lt;N$6),AND(N$7&gt;0,$A1052&gt;N$7)),0,MAX(0,ROUND((INDEX($E1052:$G1052,N$5)-SUMIFS(TF_Timer,TF_Tekniker,N$4,TF_Dato,$A1052))*2,0)/2)))</f>
        <v/>
      </c>
      <c r="O1052">
        <f>IF(OR(O$4="",$A1052&gt;TODAY()),0,IF(OR(INDEX($B1052:$D1052,O$5)="F",AND(O$6&gt;0,$A1052&lt;O$6),AND(O$7&gt;0,$A1052&gt;O$7)),0,MAX(0,ROUND((INDEX($E1052:$G1052,O$5)-SUMIFS(TF_Timer,TF_Tekniker,O$4,TF_Dato,$A1052))*2,0)/2)))</f>
        <v/>
      </c>
      <c r="P1052">
        <f>IF(OR(P$4="",$A1052&gt;TODAY()),0,IF(OR(INDEX($B1052:$D1052,P$5)="F",AND(P$6&gt;0,$A1052&lt;P$6),AND(P$7&gt;0,$A1052&gt;P$7)),0,MAX(0,ROUND((INDEX($E1052:$G1052,P$5)-SUMIFS(TF_Timer,TF_Tekniker,P$4,TF_Dato,$A1052))*2,0)/2)))</f>
        <v/>
      </c>
      <c r="Q1052">
        <f>IF(OR(Q$4="",$A1052&gt;TODAY()),0,IF(OR(INDEX($B1052:$D1052,Q$5)="F",AND(Q$6&gt;0,$A1052&lt;Q$6),AND(Q$7&gt;0,$A1052&gt;Q$7)),0,MAX(0,ROUND((INDEX($E1052:$G1052,Q$5)-SUMIFS(TF_Timer,TF_Tekniker,Q$4,TF_Dato,$A1052))*2,0)/2)))</f>
        <v/>
      </c>
      <c r="R1052">
        <f>IF(OR(R$4="",$A1052&gt;TODAY()),0,IF(OR(INDEX($B1052:$D1052,R$5)="F",AND(R$6&gt;0,$A1052&lt;R$6),AND(R$7&gt;0,$A1052&gt;R$7)),0,MAX(0,ROUND((INDEX($E1052:$G1052,R$5)-SUMIFS(TF_Timer,TF_Tekniker,R$4,TF_Dato,$A1052))*2,0)/2)))</f>
        <v/>
      </c>
      <c r="S1052">
        <f>IF(OR(S$4="",$A1052&gt;TODAY()),0,IF(OR(INDEX($B1052:$D1052,S$5)="F",AND(S$6&gt;0,$A1052&lt;S$6),AND(S$7&gt;0,$A1052&gt;S$7)),0,MAX(0,ROUND((INDEX($E1052:$G1052,S$5)-SUMIFS(TF_Timer,TF_Tekniker,S$4,TF_Dato,$A1052))*2,0)/2)))</f>
        <v/>
      </c>
      <c r="T1052">
        <f>IF(OR(T$4="",$A1052&gt;TODAY()),0,IF(OR(INDEX($B1052:$D1052,T$5)="F",AND(T$6&gt;0,$A1052&lt;T$6),AND(T$7&gt;0,$A1052&gt;T$7)),0,MAX(0,ROUND((INDEX($E1052:$G1052,T$5)-SUMIFS(TF_Timer,TF_Tekniker,T$4,TF_Dato,$A1052))*2,0)/2)))</f>
        <v/>
      </c>
      <c r="U1052">
        <f>IF(OR(U$4="",$A1052&gt;TODAY()),0,IF(OR(INDEX($B1052:$D1052,U$5)="F",AND(U$6&gt;0,$A1052&lt;U$6),AND(U$7&gt;0,$A1052&gt;U$7)),0,MAX(0,ROUND((INDEX($E1052:$G1052,U$5)-SUMIFS(TF_Timer,TF_Tekniker,U$4,TF_Dato,$A1052))*2,0)/2)))</f>
        <v/>
      </c>
      <c r="V1052">
        <f>IF(OR(V$4="",$A1052&gt;TODAY()),0,IF(OR(INDEX($B1052:$D1052,V$5)="F",AND(V$6&gt;0,$A1052&lt;V$6),AND(V$7&gt;0,$A1052&gt;V$7)),0,MAX(0,ROUND((INDEX($E1052:$G1052,V$5)-SUMIFS(TF_Timer,TF_Tekniker,V$4,TF_Dato,$A1052))*2,0)/2)))</f>
        <v/>
      </c>
      <c r="W1052">
        <f>IF(OR(W$4="",$A1052&gt;TODAY()),0,IF(OR(INDEX($B1052:$D1052,W$5)="F",AND(W$6&gt;0,$A1052&lt;W$6),AND(W$7&gt;0,$A1052&gt;W$7)),0,MAX(0,ROUND((INDEX($E1052:$G1052,W$5)-SUMIFS(TF_Timer,TF_Tekniker,W$4,TF_Dato,$A1052))*2,0)/2)))</f>
        <v/>
      </c>
      <c r="X1052">
        <f>IF(OR(X$4="",$A1052&gt;TODAY()),0,IF(OR(INDEX($B1052:$D1052,X$5)="F",AND(X$6&gt;0,$A1052&lt;X$6),AND(X$7&gt;0,$A1052&gt;X$7)),0,MAX(0,ROUND((INDEX($E1052:$G1052,X$5)-SUMIFS(TF_Timer,TF_Tekniker,X$4,TF_Dato,$A1052))*2,0)/2)))</f>
        <v/>
      </c>
      <c r="Y1052">
        <f>IF(OR(Y$4="",$A1052&gt;TODAY()),0,IF(OR(INDEX($B1052:$D1052,Y$5)="F",AND(Y$6&gt;0,$A1052&lt;Y$6),AND(Y$7&gt;0,$A1052&gt;Y$7)),0,MAX(0,ROUND((INDEX($E1052:$G1052,Y$5)-SUMIFS(TF_Timer,TF_Tekniker,Y$4,TF_Dato,$A1052))*2,0)/2)))</f>
        <v/>
      </c>
      <c r="Z1052">
        <f>IF(OR(Z$4="",$A1052&gt;TODAY()),0,IF(OR(INDEX($B1052:$D1052,Z$5)="F",AND(Z$6&gt;0,$A1052&lt;Z$6),AND(Z$7&gt;0,$A1052&gt;Z$7)),0,MAX(0,ROUND((INDEX($E1052:$G1052,Z$5)-SUMIFS(TF_Timer,TF_Tekniker,Z$4,TF_Dato,$A1052))*2,0)/2)))</f>
        <v/>
      </c>
      <c r="AA1052">
        <f>IF(OR(AA$4="",$A1052&gt;TODAY()),0,IF(OR(INDEX($B1052:$D1052,AA$5)="F",AND(AA$6&gt;0,$A1052&lt;AA$6),AND(AA$7&gt;0,$A1052&gt;AA$7)),0,MAX(0,ROUND((INDEX($E1052:$G1052,AA$5)-SUMIFS(TF_Timer,TF_Tekniker,AA$4,TF_Dato,$A1052))*2,0)/2)))</f>
        <v/>
      </c>
      <c r="AB1052">
        <f>IF(OR(AB$4="",$A1052&gt;TODAY()),0,IF(OR(INDEX($B1052:$D1052,AB$5)="F",AND(AB$6&gt;0,$A1052&lt;AB$6),AND(AB$7&gt;0,$A1052&gt;AB$7)),0,MAX(0,ROUND((INDEX($E1052:$G1052,AB$5)-SUMIFS(TF_Timer,TF_Tekniker,AB$4,TF_Dato,$A1052))*2,0)/2)))</f>
        <v/>
      </c>
      <c r="AC1052">
        <f>IF(OR(AC$4="",$A1052&gt;TODAY()),0,IF(OR(INDEX($B1052:$D1052,AC$5)="F",AND(AC$6&gt;0,$A1052&lt;AC$6),AND(AC$7&gt;0,$A1052&gt;AC$7)),0,MAX(0,ROUND((INDEX($E1052:$G1052,AC$5)-SUMIFS(TF_Timer,TF_Tekniker,AC$4,TF_Dato,$A1052))*2,0)/2)))</f>
        <v/>
      </c>
      <c r="AD1052">
        <f>IF(OR(AD$4="",$A1052&gt;TODAY()),0,IF(OR(INDEX($B1052:$D1052,AD$5)="F",AND(AD$6&gt;0,$A1052&lt;AD$6),AND(AD$7&gt;0,$A1052&gt;AD$7)),0,MAX(0,ROUND((INDEX($E1052:$G1052,AD$5)-SUMIFS(TF_Timer,TF_Tekniker,AD$4,TF_Dato,$A1052))*2,0)/2)))</f>
        <v/>
      </c>
      <c r="AE1052">
        <f>IF(OR(AE$4="",$A1052&gt;TODAY()),0,IF(OR(INDEX($B1052:$D1052,AE$5)="F",AND(AE$6&gt;0,$A1052&lt;AE$6),AND(AE$7&gt;0,$A1052&gt;AE$7)),0,MAX(0,ROUND((INDEX($E1052:$G1052,AE$5)-SUMIFS(TF_Timer,TF_Tekniker,AE$4,TF_Dato,$A1052))*2,0)/2)))</f>
        <v/>
      </c>
      <c r="AF1052">
        <f>IF(OR(AF$4="",$A1052&gt;TODAY()),0,IF(OR(INDEX($B1052:$D1052,AF$5)="F",AND(AF$6&gt;0,$A1052&lt;AF$6),AND(AF$7&gt;0,$A1052&gt;AF$7)),0,MAX(0,ROUND((INDEX($E1052:$G1052,AF$5)-SUMIFS(TF_Timer,TF_Tekniker,AF$4,TF_Dato,$A1052))*2,0)/2)))</f>
        <v/>
      </c>
      <c r="AG1052">
        <f>IF(OR(AG$4="",$A1052&gt;TODAY()),0,IF(OR(INDEX($B1052:$D1052,AG$5)="F",AND(AG$6&gt;0,$A1052&lt;AG$6),AND(AG$7&gt;0,$A1052&gt;AG$7)),0,MAX(0,ROUND((INDEX($E1052:$G1052,AG$5)-SUMIFS(TF_Timer,TF_Tekniker,AG$4,TF_Dato,$A1052))*2,0)/2)))</f>
        <v/>
      </c>
      <c r="AH1052">
        <f>IF(OR(AH$4="",$A1052&gt;TODAY()),0,IF(OR(INDEX($B1052:$D1052,AH$5)="F",AND(AH$6&gt;0,$A1052&lt;AH$6),AND(AH$7&gt;0,$A1052&gt;AH$7)),0,MAX(0,ROUND((INDEX($E1052:$G1052,AH$5)-SUMIFS(TF_Timer,TF_Tekniker,AH$4,TF_Dato,$A1052))*2,0)/2)))</f>
        <v/>
      </c>
      <c r="AI1052">
        <f>IF(OR(AI$4="",$A1052&gt;TODAY()),0,IF(OR(INDEX($B1052:$D1052,AI$5)="F",AND(AI$6&gt;0,$A1052&lt;AI$6),AND(AI$7&gt;0,$A1052&gt;AI$7)),0,MAX(0,ROUND((INDEX($E1052:$G1052,AI$5)-SUMIFS(TF_Timer,TF_Tekniker,AI$4,TF_Dato,$A1052))*2,0)/2)))</f>
        <v/>
      </c>
      <c r="AJ1052">
        <f>IF(OR(AJ$4="",$A1052&gt;TODAY()),0,IF(OR(INDEX($B1052:$D1052,AJ$5)="F",AND(AJ$6&gt;0,$A1052&lt;AJ$6),AND(AJ$7&gt;0,$A1052&gt;AJ$7)),0,MAX(0,ROUND((INDEX($E1052:$G1052,AJ$5)-SUMIFS(TF_Timer,TF_Tekniker,AJ$4,TF_Dato,$A1052))*2,0)/2)))</f>
        <v/>
      </c>
      <c r="AK1052">
        <f>IF(OR(AK$4="",$A1052&gt;TODAY()),0,IF(OR(INDEX($B1052:$D1052,AK$5)="F",AND(AK$6&gt;0,$A1052&lt;AK$6),AND(AK$7&gt;0,$A1052&gt;AK$7)),0,MAX(0,ROUND((INDEX($E1052:$G1052,AK$5)-SUMIFS(TF_Timer,TF_Tekniker,AK$4,TF_Dato,$A1052))*2,0)/2)))</f>
        <v/>
      </c>
      <c r="AL1052">
        <f>IF(OR(AL$4="",$A1052&gt;TODAY()),0,IF(OR(INDEX($B1052:$D1052,AL$5)="F",AND(AL$6&gt;0,$A1052&lt;AL$6),AND(AL$7&gt;0,$A1052&gt;AL$7)),0,MAX(0,ROUND((INDEX($E1052:$G1052,AL$5)-SUMIFS(TF_Timer,TF_Tekniker,AL$4,TF_Dato,$A1052))*2,0)/2)))</f>
        <v/>
      </c>
      <c r="AM1052">
        <f>IF(OR(AM$4="",$A1052&gt;TODAY()),0,IF(OR(INDEX($B1052:$D1052,AM$5)="F",AND(AM$6&gt;0,$A1052&lt;AM$6),AND(AM$7&gt;0,$A1052&gt;AM$7)),0,MAX(0,ROUND((INDEX($E1052:$G1052,AM$5)-SUMIFS(TF_Timer,TF_Tekniker,AM$4,TF_Dato,$A1052))*2,0)/2)))</f>
        <v/>
      </c>
      <c r="AN1052">
        <f>IF(OR(AN$4="",$A1052&gt;TODAY()),0,IF(OR(INDEX($B1052:$D1052,AN$5)="F",AND(AN$6&gt;0,$A1052&lt;AN$6),AND(AN$7&gt;0,$A1052&gt;AN$7)),0,MAX(0,ROUND((INDEX($E1052:$G1052,AN$5)-SUMIFS(TF_Timer,TF_Tekniker,AN$4,TF_Dato,$A1052))*2,0)/2)))</f>
        <v/>
      </c>
      <c r="AO1052">
        <f>IF(OR(AO$4="",$A1052&gt;TODAY()),0,IF(OR(INDEX($B1052:$D1052,AO$5)="F",AND(AO$6&gt;0,$A1052&lt;AO$6),AND(AO$7&gt;0,$A1052&gt;AO$7)),0,MAX(0,ROUND((INDEX($E1052:$G1052,AO$5)-SUMIFS(TF_Timer,TF_Tekniker,AO$4,TF_Dato,$A1052))*2,0)/2)))</f>
        <v/>
      </c>
      <c r="AP1052">
        <f>IF(OR(AP$4="",$A1052&gt;TODAY()),0,IF(OR(INDEX($B1052:$D1052,AP$5)="F",AND(AP$6&gt;0,$A1052&lt;AP$6),AND(AP$7&gt;0,$A1052&gt;AP$7)),0,MAX(0,ROUND((INDEX($E1052:$G1052,AP$5)-SUMIFS(TF_Timer,TF_Tekniker,AP$4,TF_Dato,$A1052))*2,0)/2)))</f>
        <v/>
      </c>
      <c r="AQ1052">
        <f>IF(OR(AQ$4="",$A1052&gt;TODAY()),0,IF(OR(INDEX($B1052:$D1052,AQ$5)="F",AND(AQ$6&gt;0,$A1052&lt;AQ$6),AND(AQ$7&gt;0,$A1052&gt;AQ$7)),0,MAX(0,ROUND((INDEX($E1052:$G1052,AQ$5)-SUMIFS(TF_Timer,TF_Tekniker,AQ$4,TF_Dato,$A1052))*2,0)/2)))</f>
        <v/>
      </c>
      <c r="AR1052">
        <f>IF(OR(AR$4="",$A1052&gt;TODAY()),0,IF(OR(INDEX($B1052:$D1052,AR$5)="F",AND(AR$6&gt;0,$A1052&lt;AR$6),AND(AR$7&gt;0,$A1052&gt;AR$7)),0,MAX(0,ROUND((INDEX($E1052:$G1052,AR$5)-SUMIFS(TF_Timer,TF_Tekniker,AR$4,TF_Dato,$A1052))*2,0)/2)))</f>
        <v/>
      </c>
      <c r="AS1052">
        <f>IF(OR(AS$4="",$A1052&gt;TODAY()),0,IF(OR(INDEX($B1052:$D1052,AS$5)="F",AND(AS$6&gt;0,$A1052&lt;AS$6),AND(AS$7&gt;0,$A1052&gt;AS$7)),0,MAX(0,ROUND((INDEX($E1052:$G1052,AS$5)-SUMIFS(TF_Timer,TF_Tekniker,AS$4,TF_Dato,$A1052))*2,0)/2)))</f>
        <v/>
      </c>
      <c r="AT1052">
        <f>IF(OR(AT$4="",$A1052&gt;TODAY()),0,IF(OR(INDEX($B1052:$D1052,AT$5)="F",AND(AT$6&gt;0,$A1052&lt;AT$6),AND(AT$7&gt;0,$A1052&gt;AT$7)),0,MAX(0,ROUND((INDEX($E1052:$G1052,AT$5)-SUMIFS(TF_Timer,TF_Tekniker,AT$4,TF_Dato,$A1052))*2,0)/2)))</f>
        <v/>
      </c>
      <c r="AU1052">
        <f>IF(OR(AU$4="",$A1052&gt;TODAY()),0,IF(OR(INDEX($B1052:$D1052,AU$5)="F",AND(AU$6&gt;0,$A1052&lt;AU$6),AND(AU$7&gt;0,$A1052&gt;AU$7)),0,MAX(0,ROUND((INDEX($E1052:$G1052,AU$5)-SUMIFS(TF_Timer,TF_Tekniker,AU$4,TF_Dato,$A1052))*2,0)/2)))</f>
        <v/>
      </c>
      <c r="AV1052">
        <f>IF(OR(AV$4="",$A1052&gt;TODAY()),0,IF(OR(INDEX($B1052:$D1052,AV$5)="F",AND(AV$6&gt;0,$A1052&lt;AV$6),AND(AV$7&gt;0,$A1052&gt;AV$7)),0,MAX(0,ROUND((INDEX($E1052:$G1052,AV$5)-SUMIFS(TF_Timer,TF_Tekniker,AV$4,TF_Dato,$A1052))*2,0)/2)))</f>
        <v/>
      </c>
      <c r="AW1052">
        <f>IF(OR(AW$4="",$A1052&gt;TODAY()),0,IF(OR(INDEX($B1052:$D1052,AW$5)="F",AND(AW$6&gt;0,$A1052&lt;AW$6),AND(AW$7&gt;0,$A1052&gt;AW$7)),0,MAX(0,ROUND((INDEX($E1052:$G1052,AW$5)-SUMIFS(TF_Timer,TF_Tekniker,AW$4,TF_Dato,$A1052))*2,0)/2)))</f>
        <v/>
      </c>
      <c r="AX1052">
        <f>IF(OR(AX$4="",$A1052&gt;TODAY()),0,IF(OR(INDEX($B1052:$D1052,AX$5)="F",AND(AX$6&gt;0,$A1052&lt;AX$6),AND(AX$7&gt;0,$A1052&gt;AX$7)),0,MAX(0,ROUND((INDEX($E1052:$G1052,AX$5)-SUMIFS(TF_Timer,TF_Tekniker,AX$4,TF_Dato,$A1052))*2,0)/2)))</f>
        <v/>
      </c>
      <c r="AY1052">
        <f>IF(OR(AY$4="",$A1052&gt;TODAY()),0,IF(OR(INDEX($B1052:$D1052,AY$5)="F",AND(AY$6&gt;0,$A1052&lt;AY$6),AND(AY$7&gt;0,$A1052&gt;AY$7)),0,MAX(0,ROUND((INDEX($E1052:$G1052,AY$5)-SUMIFS(TF_Timer,TF_Tekniker,AY$4,TF_Dato,$A1052))*2,0)/2)))</f>
        <v/>
      </c>
      <c r="AZ1052">
        <f>IF(OR(AZ$4="",$A1052&gt;TODAY()),0,IF(OR(INDEX($B1052:$D1052,AZ$5)="F",AND(AZ$6&gt;0,$A1052&lt;AZ$6),AND(AZ$7&gt;0,$A1052&gt;AZ$7)),0,MAX(0,ROUND((INDEX($E1052:$G1052,AZ$5)-SUMIFS(TF_Timer,TF_Tekniker,AZ$4,TF_Dato,$A1052))*2,0)/2)))</f>
        <v/>
      </c>
      <c r="BA1052">
        <f>IF(OR(BA$4="",$A1052&gt;TODAY()),0,IF(OR(INDEX($B1052:$D1052,BA$5)="F",AND(BA$6&gt;0,$A1052&lt;BA$6),AND(BA$7&gt;0,$A1052&gt;BA$7)),0,MAX(0,ROUND((INDEX($E1052:$G1052,BA$5)-SUMIFS(TF_Timer,TF_Tekniker,BA$4,TF_Dato,$A1052))*2,0)/2)))</f>
        <v/>
      </c>
      <c r="BB1052">
        <f>IF(OR(BB$4="",$A1052&gt;TODAY()),0,IF(OR(INDEX($B1052:$D1052,BB$5)="F",AND(BB$6&gt;0,$A1052&lt;BB$6),AND(BB$7&gt;0,$A1052&gt;BB$7)),0,MAX(0,ROUND((INDEX($E1052:$G1052,BB$5)-SUMIFS(TF_Timer,TF_Tekniker,BB$4,TF_Dato,$A1052))*2,0)/2)))</f>
        <v/>
      </c>
      <c r="BC1052">
        <f>IF(OR(BC$4="",$A1052&gt;TODAY()),0,IF(OR(INDEX($B1052:$D1052,BC$5)="F",AND(BC$6&gt;0,$A1052&lt;BC$6),AND(BC$7&gt;0,$A1052&gt;BC$7)),0,MAX(0,ROUND((INDEX($E1052:$G1052,BC$5)-SUMIFS(TF_Timer,TF_Tekniker,BC$4,TF_Dato,$A1052))*2,0)/2)))</f>
        <v/>
      </c>
      <c r="BD1052">
        <f>IF(OR(BD$4="",$A1052&gt;TODAY()),0,IF(OR(INDEX($B1052:$D1052,BD$5)="F",AND(BD$6&gt;0,$A1052&lt;BD$6),AND(BD$7&gt;0,$A1052&gt;BD$7)),0,MAX(0,ROUND((INDEX($E1052:$G1052,BD$5)-SUMIFS(TF_Timer,TF_Tekniker,BD$4,TF_Dato,$A1052))*2,0)/2)))</f>
        <v/>
      </c>
      <c r="BE1052">
        <f>IF(OR(BE$4="",$A1052&gt;TODAY()),0,IF(OR(INDEX($B1052:$D1052,BE$5)="F",AND(BE$6&gt;0,$A1052&lt;BE$6),AND(BE$7&gt;0,$A1052&gt;BE$7)),0,MAX(0,ROUND((INDEX($E1052:$G1052,BE$5)-SUMIFS(TF_Timer,TF_Tekniker,BE$4,TF_Dato,$A1052))*2,0)/2)))</f>
        <v/>
      </c>
      <c r="BF1052">
        <f>IF(OR(BF$4="",$A1052&gt;TODAY()),0,IF(OR(INDEX($B1052:$D1052,BF$5)="F",AND(BF$6&gt;0,$A1052&lt;BF$6),AND(BF$7&gt;0,$A1052&gt;BF$7)),0,MAX(0,ROUND((INDEX($E1052:$G1052,BF$5)-SUMIFS(TF_Timer,TF_Tekniker,BF$4,TF_Dato,$A1052))*2,0)/2)))</f>
        <v/>
      </c>
      <c r="BG1052">
        <f>IF(OR(BG$4="",$A1052&gt;TODAY()),0,IF(OR(INDEX($B1052:$D1052,BG$5)="F",AND(BG$6&gt;0,$A1052&lt;BG$6),AND(BG$7&gt;0,$A1052&gt;BG$7)),0,MAX(0,ROUND((INDEX($E1052:$G1052,BG$5)-SUMIFS(TF_Timer,TF_Tekniker,BG$4,TF_Dato,$A1052))*2,0)/2)))</f>
        <v/>
      </c>
      <c r="BH1052">
        <f>IF(OR(BH$4="",$A1052&gt;TODAY()),0,IF(OR(INDEX($B1052:$D1052,BH$5)="F",AND(BH$6&gt;0,$A1052&lt;BH$6),AND(BH$7&gt;0,$A1052&gt;BH$7)),0,MAX(0,ROUND((INDEX($E1052:$G1052,BH$5)-SUMIFS(TF_Timer,TF_Tekniker,BH$4,TF_Dato,$A1052))*2,0)/2)))</f>
        <v/>
      </c>
      <c r="BI1052">
        <f>IF(OR(BI$4="",$A1052&gt;TODAY()),0,IF(OR(INDEX($B1052:$D1052,BI$5)="F",AND(BI$6&gt;0,$A1052&lt;BI$6),AND(BI$7&gt;0,$A1052&gt;BI$7)),0,MAX(0,ROUND((INDEX($E1052:$G1052,BI$5)-SUMIFS(TF_Timer,TF_Tekniker,BI$4,TF_Dato,$A1052))*2,0)/2)))</f>
        <v/>
      </c>
    </row>
    <row r="1053">
      <c r="A1053" s="64">
        <f>A1052+1</f>
        <v/>
      </c>
      <c r="B1053">
        <f>IF(MOD($A1053-INDEX(SkiftStart,1),Syklus)&lt;DagK,"K",IF(MOD($A1053-INDEX(SkiftStart,1),Syklus)&lt;DagK+DagH,"H",IF(MOD($A1053-INDEX(SkiftStart,1),Syklus)&lt;DagK+DagH+DagD,"D","F")))</f>
        <v/>
      </c>
      <c r="C1053">
        <f>IF(MOD($A1053-INDEX(SkiftStart,2),Syklus)&lt;DagK,"K",IF(MOD($A1053-INDEX(SkiftStart,2),Syklus)&lt;DagK+DagH,"H",IF(MOD($A1053-INDEX(SkiftStart,2),Syklus)&lt;DagK+DagH+DagD,"D","F")))</f>
        <v/>
      </c>
      <c r="D1053">
        <f>IF(MOD($A1053-INDEX(SkiftStart,3),Syklus)&lt;DagK,"K",IF(MOD($A1053-INDEX(SkiftStart,3),Syklus)&lt;DagK+DagH,"H",IF(MOD($A1053-INDEX(SkiftStart,3),Syklus)&lt;DagK+DagH+DagD,"D","F")))</f>
        <v/>
      </c>
      <c r="E1053">
        <f>IF(B1053="F",0,IF(WEEKDAY($A1053,2)=5,INDEX(TimerFr,MATCH(B1053,FaseKode,0)),INDEX(TimerMT,MATCH(B1053,FaseKode,0))))</f>
        <v/>
      </c>
      <c r="F1053">
        <f>IF(C1053="F",0,IF(WEEKDAY($A1053,2)=5,INDEX(TimerFr,MATCH(C1053,FaseKode,0)),INDEX(TimerMT,MATCH(C1053,FaseKode,0))))</f>
        <v/>
      </c>
      <c r="G1053">
        <f>IF(D1053="F",0,IF(WEEKDAY($A1053,2)=5,INDEX(TimerFr,MATCH(D1053,FaseKode,0)),INDEX(TimerMT,MATCH(D1053,FaseKode,0))))</f>
        <v/>
      </c>
      <c r="H1053">
        <f>IF(OR(H$4="",$A1053&gt;TODAY()),0,IF(OR(INDEX($B1053:$D1053,H$5)="F",AND(H$6&gt;0,$A1053&lt;H$6),AND(H$7&gt;0,$A1053&gt;H$7)),0,MAX(0,ROUND((INDEX($E1053:$G1053,H$5)-SUMIFS(TF_Timer,TF_Tekniker,H$4,TF_Dato,$A1053))*2,0)/2)))</f>
        <v/>
      </c>
      <c r="I1053">
        <f>IF(OR(I$4="",$A1053&gt;TODAY()),0,IF(OR(INDEX($B1053:$D1053,I$5)="F",AND(I$6&gt;0,$A1053&lt;I$6),AND(I$7&gt;0,$A1053&gt;I$7)),0,MAX(0,ROUND((INDEX($E1053:$G1053,I$5)-SUMIFS(TF_Timer,TF_Tekniker,I$4,TF_Dato,$A1053))*2,0)/2)))</f>
        <v/>
      </c>
      <c r="J1053">
        <f>IF(OR(J$4="",$A1053&gt;TODAY()),0,IF(OR(INDEX($B1053:$D1053,J$5)="F",AND(J$6&gt;0,$A1053&lt;J$6),AND(J$7&gt;0,$A1053&gt;J$7)),0,MAX(0,ROUND((INDEX($E1053:$G1053,J$5)-SUMIFS(TF_Timer,TF_Tekniker,J$4,TF_Dato,$A1053))*2,0)/2)))</f>
        <v/>
      </c>
      <c r="K1053">
        <f>IF(OR(K$4="",$A1053&gt;TODAY()),0,IF(OR(INDEX($B1053:$D1053,K$5)="F",AND(K$6&gt;0,$A1053&lt;K$6),AND(K$7&gt;0,$A1053&gt;K$7)),0,MAX(0,ROUND((INDEX($E1053:$G1053,K$5)-SUMIFS(TF_Timer,TF_Tekniker,K$4,TF_Dato,$A1053))*2,0)/2)))</f>
        <v/>
      </c>
      <c r="L1053">
        <f>IF(OR(L$4="",$A1053&gt;TODAY()),0,IF(OR(INDEX($B1053:$D1053,L$5)="F",AND(L$6&gt;0,$A1053&lt;L$6),AND(L$7&gt;0,$A1053&gt;L$7)),0,MAX(0,ROUND((INDEX($E1053:$G1053,L$5)-SUMIFS(TF_Timer,TF_Tekniker,L$4,TF_Dato,$A1053))*2,0)/2)))</f>
        <v/>
      </c>
      <c r="M1053">
        <f>IF(OR(M$4="",$A1053&gt;TODAY()),0,IF(OR(INDEX($B1053:$D1053,M$5)="F",AND(M$6&gt;0,$A1053&lt;M$6),AND(M$7&gt;0,$A1053&gt;M$7)),0,MAX(0,ROUND((INDEX($E1053:$G1053,M$5)-SUMIFS(TF_Timer,TF_Tekniker,M$4,TF_Dato,$A1053))*2,0)/2)))</f>
        <v/>
      </c>
      <c r="N1053">
        <f>IF(OR(N$4="",$A1053&gt;TODAY()),0,IF(OR(INDEX($B1053:$D1053,N$5)="F",AND(N$6&gt;0,$A1053&lt;N$6),AND(N$7&gt;0,$A1053&gt;N$7)),0,MAX(0,ROUND((INDEX($E1053:$G1053,N$5)-SUMIFS(TF_Timer,TF_Tekniker,N$4,TF_Dato,$A1053))*2,0)/2)))</f>
        <v/>
      </c>
      <c r="O1053">
        <f>IF(OR(O$4="",$A1053&gt;TODAY()),0,IF(OR(INDEX($B1053:$D1053,O$5)="F",AND(O$6&gt;0,$A1053&lt;O$6),AND(O$7&gt;0,$A1053&gt;O$7)),0,MAX(0,ROUND((INDEX($E1053:$G1053,O$5)-SUMIFS(TF_Timer,TF_Tekniker,O$4,TF_Dato,$A1053))*2,0)/2)))</f>
        <v/>
      </c>
      <c r="P1053">
        <f>IF(OR(P$4="",$A1053&gt;TODAY()),0,IF(OR(INDEX($B1053:$D1053,P$5)="F",AND(P$6&gt;0,$A1053&lt;P$6),AND(P$7&gt;0,$A1053&gt;P$7)),0,MAX(0,ROUND((INDEX($E1053:$G1053,P$5)-SUMIFS(TF_Timer,TF_Tekniker,P$4,TF_Dato,$A1053))*2,0)/2)))</f>
        <v/>
      </c>
      <c r="Q1053">
        <f>IF(OR(Q$4="",$A1053&gt;TODAY()),0,IF(OR(INDEX($B1053:$D1053,Q$5)="F",AND(Q$6&gt;0,$A1053&lt;Q$6),AND(Q$7&gt;0,$A1053&gt;Q$7)),0,MAX(0,ROUND((INDEX($E1053:$G1053,Q$5)-SUMIFS(TF_Timer,TF_Tekniker,Q$4,TF_Dato,$A1053))*2,0)/2)))</f>
        <v/>
      </c>
      <c r="R1053">
        <f>IF(OR(R$4="",$A1053&gt;TODAY()),0,IF(OR(INDEX($B1053:$D1053,R$5)="F",AND(R$6&gt;0,$A1053&lt;R$6),AND(R$7&gt;0,$A1053&gt;R$7)),0,MAX(0,ROUND((INDEX($E1053:$G1053,R$5)-SUMIFS(TF_Timer,TF_Tekniker,R$4,TF_Dato,$A1053))*2,0)/2)))</f>
        <v/>
      </c>
      <c r="S1053">
        <f>IF(OR(S$4="",$A1053&gt;TODAY()),0,IF(OR(INDEX($B1053:$D1053,S$5)="F",AND(S$6&gt;0,$A1053&lt;S$6),AND(S$7&gt;0,$A1053&gt;S$7)),0,MAX(0,ROUND((INDEX($E1053:$G1053,S$5)-SUMIFS(TF_Timer,TF_Tekniker,S$4,TF_Dato,$A1053))*2,0)/2)))</f>
        <v/>
      </c>
      <c r="T1053">
        <f>IF(OR(T$4="",$A1053&gt;TODAY()),0,IF(OR(INDEX($B1053:$D1053,T$5)="F",AND(T$6&gt;0,$A1053&lt;T$6),AND(T$7&gt;0,$A1053&gt;T$7)),0,MAX(0,ROUND((INDEX($E1053:$G1053,T$5)-SUMIFS(TF_Timer,TF_Tekniker,T$4,TF_Dato,$A1053))*2,0)/2)))</f>
        <v/>
      </c>
      <c r="U1053">
        <f>IF(OR(U$4="",$A1053&gt;TODAY()),0,IF(OR(INDEX($B1053:$D1053,U$5)="F",AND(U$6&gt;0,$A1053&lt;U$6),AND(U$7&gt;0,$A1053&gt;U$7)),0,MAX(0,ROUND((INDEX($E1053:$G1053,U$5)-SUMIFS(TF_Timer,TF_Tekniker,U$4,TF_Dato,$A1053))*2,0)/2)))</f>
        <v/>
      </c>
      <c r="V1053">
        <f>IF(OR(V$4="",$A1053&gt;TODAY()),0,IF(OR(INDEX($B1053:$D1053,V$5)="F",AND(V$6&gt;0,$A1053&lt;V$6),AND(V$7&gt;0,$A1053&gt;V$7)),0,MAX(0,ROUND((INDEX($E1053:$G1053,V$5)-SUMIFS(TF_Timer,TF_Tekniker,V$4,TF_Dato,$A1053))*2,0)/2)))</f>
        <v/>
      </c>
      <c r="W1053">
        <f>IF(OR(W$4="",$A1053&gt;TODAY()),0,IF(OR(INDEX($B1053:$D1053,W$5)="F",AND(W$6&gt;0,$A1053&lt;W$6),AND(W$7&gt;0,$A1053&gt;W$7)),0,MAX(0,ROUND((INDEX($E1053:$G1053,W$5)-SUMIFS(TF_Timer,TF_Tekniker,W$4,TF_Dato,$A1053))*2,0)/2)))</f>
        <v/>
      </c>
      <c r="X1053">
        <f>IF(OR(X$4="",$A1053&gt;TODAY()),0,IF(OR(INDEX($B1053:$D1053,X$5)="F",AND(X$6&gt;0,$A1053&lt;X$6),AND(X$7&gt;0,$A1053&gt;X$7)),0,MAX(0,ROUND((INDEX($E1053:$G1053,X$5)-SUMIFS(TF_Timer,TF_Tekniker,X$4,TF_Dato,$A1053))*2,0)/2)))</f>
        <v/>
      </c>
      <c r="Y1053">
        <f>IF(OR(Y$4="",$A1053&gt;TODAY()),0,IF(OR(INDEX($B1053:$D1053,Y$5)="F",AND(Y$6&gt;0,$A1053&lt;Y$6),AND(Y$7&gt;0,$A1053&gt;Y$7)),0,MAX(0,ROUND((INDEX($E1053:$G1053,Y$5)-SUMIFS(TF_Timer,TF_Tekniker,Y$4,TF_Dato,$A1053))*2,0)/2)))</f>
        <v/>
      </c>
      <c r="Z1053">
        <f>IF(OR(Z$4="",$A1053&gt;TODAY()),0,IF(OR(INDEX($B1053:$D1053,Z$5)="F",AND(Z$6&gt;0,$A1053&lt;Z$6),AND(Z$7&gt;0,$A1053&gt;Z$7)),0,MAX(0,ROUND((INDEX($E1053:$G1053,Z$5)-SUMIFS(TF_Timer,TF_Tekniker,Z$4,TF_Dato,$A1053))*2,0)/2)))</f>
        <v/>
      </c>
      <c r="AA1053">
        <f>IF(OR(AA$4="",$A1053&gt;TODAY()),0,IF(OR(INDEX($B1053:$D1053,AA$5)="F",AND(AA$6&gt;0,$A1053&lt;AA$6),AND(AA$7&gt;0,$A1053&gt;AA$7)),0,MAX(0,ROUND((INDEX($E1053:$G1053,AA$5)-SUMIFS(TF_Timer,TF_Tekniker,AA$4,TF_Dato,$A1053))*2,0)/2)))</f>
        <v/>
      </c>
      <c r="AB1053">
        <f>IF(OR(AB$4="",$A1053&gt;TODAY()),0,IF(OR(INDEX($B1053:$D1053,AB$5)="F",AND(AB$6&gt;0,$A1053&lt;AB$6),AND(AB$7&gt;0,$A1053&gt;AB$7)),0,MAX(0,ROUND((INDEX($E1053:$G1053,AB$5)-SUMIFS(TF_Timer,TF_Tekniker,AB$4,TF_Dato,$A1053))*2,0)/2)))</f>
        <v/>
      </c>
      <c r="AC1053">
        <f>IF(OR(AC$4="",$A1053&gt;TODAY()),0,IF(OR(INDEX($B1053:$D1053,AC$5)="F",AND(AC$6&gt;0,$A1053&lt;AC$6),AND(AC$7&gt;0,$A1053&gt;AC$7)),0,MAX(0,ROUND((INDEX($E1053:$G1053,AC$5)-SUMIFS(TF_Timer,TF_Tekniker,AC$4,TF_Dato,$A1053))*2,0)/2)))</f>
        <v/>
      </c>
      <c r="AD1053">
        <f>IF(OR(AD$4="",$A1053&gt;TODAY()),0,IF(OR(INDEX($B1053:$D1053,AD$5)="F",AND(AD$6&gt;0,$A1053&lt;AD$6),AND(AD$7&gt;0,$A1053&gt;AD$7)),0,MAX(0,ROUND((INDEX($E1053:$G1053,AD$5)-SUMIFS(TF_Timer,TF_Tekniker,AD$4,TF_Dato,$A1053))*2,0)/2)))</f>
        <v/>
      </c>
      <c r="AE1053">
        <f>IF(OR(AE$4="",$A1053&gt;TODAY()),0,IF(OR(INDEX($B1053:$D1053,AE$5)="F",AND(AE$6&gt;0,$A1053&lt;AE$6),AND(AE$7&gt;0,$A1053&gt;AE$7)),0,MAX(0,ROUND((INDEX($E1053:$G1053,AE$5)-SUMIFS(TF_Timer,TF_Tekniker,AE$4,TF_Dato,$A1053))*2,0)/2)))</f>
        <v/>
      </c>
      <c r="AF1053">
        <f>IF(OR(AF$4="",$A1053&gt;TODAY()),0,IF(OR(INDEX($B1053:$D1053,AF$5)="F",AND(AF$6&gt;0,$A1053&lt;AF$6),AND(AF$7&gt;0,$A1053&gt;AF$7)),0,MAX(0,ROUND((INDEX($E1053:$G1053,AF$5)-SUMIFS(TF_Timer,TF_Tekniker,AF$4,TF_Dato,$A1053))*2,0)/2)))</f>
        <v/>
      </c>
      <c r="AG1053">
        <f>IF(OR(AG$4="",$A1053&gt;TODAY()),0,IF(OR(INDEX($B1053:$D1053,AG$5)="F",AND(AG$6&gt;0,$A1053&lt;AG$6),AND(AG$7&gt;0,$A1053&gt;AG$7)),0,MAX(0,ROUND((INDEX($E1053:$G1053,AG$5)-SUMIFS(TF_Timer,TF_Tekniker,AG$4,TF_Dato,$A1053))*2,0)/2)))</f>
        <v/>
      </c>
      <c r="AH1053">
        <f>IF(OR(AH$4="",$A1053&gt;TODAY()),0,IF(OR(INDEX($B1053:$D1053,AH$5)="F",AND(AH$6&gt;0,$A1053&lt;AH$6),AND(AH$7&gt;0,$A1053&gt;AH$7)),0,MAX(0,ROUND((INDEX($E1053:$G1053,AH$5)-SUMIFS(TF_Timer,TF_Tekniker,AH$4,TF_Dato,$A1053))*2,0)/2)))</f>
        <v/>
      </c>
      <c r="AI1053">
        <f>IF(OR(AI$4="",$A1053&gt;TODAY()),0,IF(OR(INDEX($B1053:$D1053,AI$5)="F",AND(AI$6&gt;0,$A1053&lt;AI$6),AND(AI$7&gt;0,$A1053&gt;AI$7)),0,MAX(0,ROUND((INDEX($E1053:$G1053,AI$5)-SUMIFS(TF_Timer,TF_Tekniker,AI$4,TF_Dato,$A1053))*2,0)/2)))</f>
        <v/>
      </c>
      <c r="AJ1053">
        <f>IF(OR(AJ$4="",$A1053&gt;TODAY()),0,IF(OR(INDEX($B1053:$D1053,AJ$5)="F",AND(AJ$6&gt;0,$A1053&lt;AJ$6),AND(AJ$7&gt;0,$A1053&gt;AJ$7)),0,MAX(0,ROUND((INDEX($E1053:$G1053,AJ$5)-SUMIFS(TF_Timer,TF_Tekniker,AJ$4,TF_Dato,$A1053))*2,0)/2)))</f>
        <v/>
      </c>
      <c r="AK1053">
        <f>IF(OR(AK$4="",$A1053&gt;TODAY()),0,IF(OR(INDEX($B1053:$D1053,AK$5)="F",AND(AK$6&gt;0,$A1053&lt;AK$6),AND(AK$7&gt;0,$A1053&gt;AK$7)),0,MAX(0,ROUND((INDEX($E1053:$G1053,AK$5)-SUMIFS(TF_Timer,TF_Tekniker,AK$4,TF_Dato,$A1053))*2,0)/2)))</f>
        <v/>
      </c>
      <c r="AL1053">
        <f>IF(OR(AL$4="",$A1053&gt;TODAY()),0,IF(OR(INDEX($B1053:$D1053,AL$5)="F",AND(AL$6&gt;0,$A1053&lt;AL$6),AND(AL$7&gt;0,$A1053&gt;AL$7)),0,MAX(0,ROUND((INDEX($E1053:$G1053,AL$5)-SUMIFS(TF_Timer,TF_Tekniker,AL$4,TF_Dato,$A1053))*2,0)/2)))</f>
        <v/>
      </c>
      <c r="AM1053">
        <f>IF(OR(AM$4="",$A1053&gt;TODAY()),0,IF(OR(INDEX($B1053:$D1053,AM$5)="F",AND(AM$6&gt;0,$A1053&lt;AM$6),AND(AM$7&gt;0,$A1053&gt;AM$7)),0,MAX(0,ROUND((INDEX($E1053:$G1053,AM$5)-SUMIFS(TF_Timer,TF_Tekniker,AM$4,TF_Dato,$A1053))*2,0)/2)))</f>
        <v/>
      </c>
      <c r="AN1053">
        <f>IF(OR(AN$4="",$A1053&gt;TODAY()),0,IF(OR(INDEX($B1053:$D1053,AN$5)="F",AND(AN$6&gt;0,$A1053&lt;AN$6),AND(AN$7&gt;0,$A1053&gt;AN$7)),0,MAX(0,ROUND((INDEX($E1053:$G1053,AN$5)-SUMIFS(TF_Timer,TF_Tekniker,AN$4,TF_Dato,$A1053))*2,0)/2)))</f>
        <v/>
      </c>
      <c r="AO1053">
        <f>IF(OR(AO$4="",$A1053&gt;TODAY()),0,IF(OR(INDEX($B1053:$D1053,AO$5)="F",AND(AO$6&gt;0,$A1053&lt;AO$6),AND(AO$7&gt;0,$A1053&gt;AO$7)),0,MAX(0,ROUND((INDEX($E1053:$G1053,AO$5)-SUMIFS(TF_Timer,TF_Tekniker,AO$4,TF_Dato,$A1053))*2,0)/2)))</f>
        <v/>
      </c>
      <c r="AP1053">
        <f>IF(OR(AP$4="",$A1053&gt;TODAY()),0,IF(OR(INDEX($B1053:$D1053,AP$5)="F",AND(AP$6&gt;0,$A1053&lt;AP$6),AND(AP$7&gt;0,$A1053&gt;AP$7)),0,MAX(0,ROUND((INDEX($E1053:$G1053,AP$5)-SUMIFS(TF_Timer,TF_Tekniker,AP$4,TF_Dato,$A1053))*2,0)/2)))</f>
        <v/>
      </c>
      <c r="AQ1053">
        <f>IF(OR(AQ$4="",$A1053&gt;TODAY()),0,IF(OR(INDEX($B1053:$D1053,AQ$5)="F",AND(AQ$6&gt;0,$A1053&lt;AQ$6),AND(AQ$7&gt;0,$A1053&gt;AQ$7)),0,MAX(0,ROUND((INDEX($E1053:$G1053,AQ$5)-SUMIFS(TF_Timer,TF_Tekniker,AQ$4,TF_Dato,$A1053))*2,0)/2)))</f>
        <v/>
      </c>
      <c r="AR1053">
        <f>IF(OR(AR$4="",$A1053&gt;TODAY()),0,IF(OR(INDEX($B1053:$D1053,AR$5)="F",AND(AR$6&gt;0,$A1053&lt;AR$6),AND(AR$7&gt;0,$A1053&gt;AR$7)),0,MAX(0,ROUND((INDEX($E1053:$G1053,AR$5)-SUMIFS(TF_Timer,TF_Tekniker,AR$4,TF_Dato,$A1053))*2,0)/2)))</f>
        <v/>
      </c>
      <c r="AS1053">
        <f>IF(OR(AS$4="",$A1053&gt;TODAY()),0,IF(OR(INDEX($B1053:$D1053,AS$5)="F",AND(AS$6&gt;0,$A1053&lt;AS$6),AND(AS$7&gt;0,$A1053&gt;AS$7)),0,MAX(0,ROUND((INDEX($E1053:$G1053,AS$5)-SUMIFS(TF_Timer,TF_Tekniker,AS$4,TF_Dato,$A1053))*2,0)/2)))</f>
        <v/>
      </c>
      <c r="AT1053">
        <f>IF(OR(AT$4="",$A1053&gt;TODAY()),0,IF(OR(INDEX($B1053:$D1053,AT$5)="F",AND(AT$6&gt;0,$A1053&lt;AT$6),AND(AT$7&gt;0,$A1053&gt;AT$7)),0,MAX(0,ROUND((INDEX($E1053:$G1053,AT$5)-SUMIFS(TF_Timer,TF_Tekniker,AT$4,TF_Dato,$A1053))*2,0)/2)))</f>
        <v/>
      </c>
      <c r="AU1053">
        <f>IF(OR(AU$4="",$A1053&gt;TODAY()),0,IF(OR(INDEX($B1053:$D1053,AU$5)="F",AND(AU$6&gt;0,$A1053&lt;AU$6),AND(AU$7&gt;0,$A1053&gt;AU$7)),0,MAX(0,ROUND((INDEX($E1053:$G1053,AU$5)-SUMIFS(TF_Timer,TF_Tekniker,AU$4,TF_Dato,$A1053))*2,0)/2)))</f>
        <v/>
      </c>
      <c r="AV1053">
        <f>IF(OR(AV$4="",$A1053&gt;TODAY()),0,IF(OR(INDEX($B1053:$D1053,AV$5)="F",AND(AV$6&gt;0,$A1053&lt;AV$6),AND(AV$7&gt;0,$A1053&gt;AV$7)),0,MAX(0,ROUND((INDEX($E1053:$G1053,AV$5)-SUMIFS(TF_Timer,TF_Tekniker,AV$4,TF_Dato,$A1053))*2,0)/2)))</f>
        <v/>
      </c>
      <c r="AW1053">
        <f>IF(OR(AW$4="",$A1053&gt;TODAY()),0,IF(OR(INDEX($B1053:$D1053,AW$5)="F",AND(AW$6&gt;0,$A1053&lt;AW$6),AND(AW$7&gt;0,$A1053&gt;AW$7)),0,MAX(0,ROUND((INDEX($E1053:$G1053,AW$5)-SUMIFS(TF_Timer,TF_Tekniker,AW$4,TF_Dato,$A1053))*2,0)/2)))</f>
        <v/>
      </c>
      <c r="AX1053">
        <f>IF(OR(AX$4="",$A1053&gt;TODAY()),0,IF(OR(INDEX($B1053:$D1053,AX$5)="F",AND(AX$6&gt;0,$A1053&lt;AX$6),AND(AX$7&gt;0,$A1053&gt;AX$7)),0,MAX(0,ROUND((INDEX($E1053:$G1053,AX$5)-SUMIFS(TF_Timer,TF_Tekniker,AX$4,TF_Dato,$A1053))*2,0)/2)))</f>
        <v/>
      </c>
      <c r="AY1053">
        <f>IF(OR(AY$4="",$A1053&gt;TODAY()),0,IF(OR(INDEX($B1053:$D1053,AY$5)="F",AND(AY$6&gt;0,$A1053&lt;AY$6),AND(AY$7&gt;0,$A1053&gt;AY$7)),0,MAX(0,ROUND((INDEX($E1053:$G1053,AY$5)-SUMIFS(TF_Timer,TF_Tekniker,AY$4,TF_Dato,$A1053))*2,0)/2)))</f>
        <v/>
      </c>
      <c r="AZ1053">
        <f>IF(OR(AZ$4="",$A1053&gt;TODAY()),0,IF(OR(INDEX($B1053:$D1053,AZ$5)="F",AND(AZ$6&gt;0,$A1053&lt;AZ$6),AND(AZ$7&gt;0,$A1053&gt;AZ$7)),0,MAX(0,ROUND((INDEX($E1053:$G1053,AZ$5)-SUMIFS(TF_Timer,TF_Tekniker,AZ$4,TF_Dato,$A1053))*2,0)/2)))</f>
        <v/>
      </c>
      <c r="BA1053">
        <f>IF(OR(BA$4="",$A1053&gt;TODAY()),0,IF(OR(INDEX($B1053:$D1053,BA$5)="F",AND(BA$6&gt;0,$A1053&lt;BA$6),AND(BA$7&gt;0,$A1053&gt;BA$7)),0,MAX(0,ROUND((INDEX($E1053:$G1053,BA$5)-SUMIFS(TF_Timer,TF_Tekniker,BA$4,TF_Dato,$A1053))*2,0)/2)))</f>
        <v/>
      </c>
      <c r="BB1053">
        <f>IF(OR(BB$4="",$A1053&gt;TODAY()),0,IF(OR(INDEX($B1053:$D1053,BB$5)="F",AND(BB$6&gt;0,$A1053&lt;BB$6),AND(BB$7&gt;0,$A1053&gt;BB$7)),0,MAX(0,ROUND((INDEX($E1053:$G1053,BB$5)-SUMIFS(TF_Timer,TF_Tekniker,BB$4,TF_Dato,$A1053))*2,0)/2)))</f>
        <v/>
      </c>
      <c r="BC1053">
        <f>IF(OR(BC$4="",$A1053&gt;TODAY()),0,IF(OR(INDEX($B1053:$D1053,BC$5)="F",AND(BC$6&gt;0,$A1053&lt;BC$6),AND(BC$7&gt;0,$A1053&gt;BC$7)),0,MAX(0,ROUND((INDEX($E1053:$G1053,BC$5)-SUMIFS(TF_Timer,TF_Tekniker,BC$4,TF_Dato,$A1053))*2,0)/2)))</f>
        <v/>
      </c>
      <c r="BD1053">
        <f>IF(OR(BD$4="",$A1053&gt;TODAY()),0,IF(OR(INDEX($B1053:$D1053,BD$5)="F",AND(BD$6&gt;0,$A1053&lt;BD$6),AND(BD$7&gt;0,$A1053&gt;BD$7)),0,MAX(0,ROUND((INDEX($E1053:$G1053,BD$5)-SUMIFS(TF_Timer,TF_Tekniker,BD$4,TF_Dato,$A1053))*2,0)/2)))</f>
        <v/>
      </c>
      <c r="BE1053">
        <f>IF(OR(BE$4="",$A1053&gt;TODAY()),0,IF(OR(INDEX($B1053:$D1053,BE$5)="F",AND(BE$6&gt;0,$A1053&lt;BE$6),AND(BE$7&gt;0,$A1053&gt;BE$7)),0,MAX(0,ROUND((INDEX($E1053:$G1053,BE$5)-SUMIFS(TF_Timer,TF_Tekniker,BE$4,TF_Dato,$A1053))*2,0)/2)))</f>
        <v/>
      </c>
      <c r="BF1053">
        <f>IF(OR(BF$4="",$A1053&gt;TODAY()),0,IF(OR(INDEX($B1053:$D1053,BF$5)="F",AND(BF$6&gt;0,$A1053&lt;BF$6),AND(BF$7&gt;0,$A1053&gt;BF$7)),0,MAX(0,ROUND((INDEX($E1053:$G1053,BF$5)-SUMIFS(TF_Timer,TF_Tekniker,BF$4,TF_Dato,$A1053))*2,0)/2)))</f>
        <v/>
      </c>
      <c r="BG1053">
        <f>IF(OR(BG$4="",$A1053&gt;TODAY()),0,IF(OR(INDEX($B1053:$D1053,BG$5)="F",AND(BG$6&gt;0,$A1053&lt;BG$6),AND(BG$7&gt;0,$A1053&gt;BG$7)),0,MAX(0,ROUND((INDEX($E1053:$G1053,BG$5)-SUMIFS(TF_Timer,TF_Tekniker,BG$4,TF_Dato,$A1053))*2,0)/2)))</f>
        <v/>
      </c>
      <c r="BH1053">
        <f>IF(OR(BH$4="",$A1053&gt;TODAY()),0,IF(OR(INDEX($B1053:$D1053,BH$5)="F",AND(BH$6&gt;0,$A1053&lt;BH$6),AND(BH$7&gt;0,$A1053&gt;BH$7)),0,MAX(0,ROUND((INDEX($E1053:$G1053,BH$5)-SUMIFS(TF_Timer,TF_Tekniker,BH$4,TF_Dato,$A1053))*2,0)/2)))</f>
        <v/>
      </c>
      <c r="BI1053">
        <f>IF(OR(BI$4="",$A1053&gt;TODAY()),0,IF(OR(INDEX($B1053:$D1053,BI$5)="F",AND(BI$6&gt;0,$A1053&lt;BI$6),AND(BI$7&gt;0,$A1053&gt;BI$7)),0,MAX(0,ROUND((INDEX($E1053:$G1053,BI$5)-SUMIFS(TF_Timer,TF_Tekniker,BI$4,TF_Dato,$A1053))*2,0)/2)))</f>
        <v/>
      </c>
    </row>
    <row r="1054">
      <c r="A1054" s="64">
        <f>A1053+1</f>
        <v/>
      </c>
      <c r="B1054">
        <f>IF(MOD($A1054-INDEX(SkiftStart,1),Syklus)&lt;DagK,"K",IF(MOD($A1054-INDEX(SkiftStart,1),Syklus)&lt;DagK+DagH,"H",IF(MOD($A1054-INDEX(SkiftStart,1),Syklus)&lt;DagK+DagH+DagD,"D","F")))</f>
        <v/>
      </c>
      <c r="C1054">
        <f>IF(MOD($A1054-INDEX(SkiftStart,2),Syklus)&lt;DagK,"K",IF(MOD($A1054-INDEX(SkiftStart,2),Syklus)&lt;DagK+DagH,"H",IF(MOD($A1054-INDEX(SkiftStart,2),Syklus)&lt;DagK+DagH+DagD,"D","F")))</f>
        <v/>
      </c>
      <c r="D1054">
        <f>IF(MOD($A1054-INDEX(SkiftStart,3),Syklus)&lt;DagK,"K",IF(MOD($A1054-INDEX(SkiftStart,3),Syklus)&lt;DagK+DagH,"H",IF(MOD($A1054-INDEX(SkiftStart,3),Syklus)&lt;DagK+DagH+DagD,"D","F")))</f>
        <v/>
      </c>
      <c r="E1054">
        <f>IF(B1054="F",0,IF(WEEKDAY($A1054,2)=5,INDEX(TimerFr,MATCH(B1054,FaseKode,0)),INDEX(TimerMT,MATCH(B1054,FaseKode,0))))</f>
        <v/>
      </c>
      <c r="F1054">
        <f>IF(C1054="F",0,IF(WEEKDAY($A1054,2)=5,INDEX(TimerFr,MATCH(C1054,FaseKode,0)),INDEX(TimerMT,MATCH(C1054,FaseKode,0))))</f>
        <v/>
      </c>
      <c r="G1054">
        <f>IF(D1054="F",0,IF(WEEKDAY($A1054,2)=5,INDEX(TimerFr,MATCH(D1054,FaseKode,0)),INDEX(TimerMT,MATCH(D1054,FaseKode,0))))</f>
        <v/>
      </c>
      <c r="H1054">
        <f>IF(OR(H$4="",$A1054&gt;TODAY()),0,IF(OR(INDEX($B1054:$D1054,H$5)="F",AND(H$6&gt;0,$A1054&lt;H$6),AND(H$7&gt;0,$A1054&gt;H$7)),0,MAX(0,ROUND((INDEX($E1054:$G1054,H$5)-SUMIFS(TF_Timer,TF_Tekniker,H$4,TF_Dato,$A1054))*2,0)/2)))</f>
        <v/>
      </c>
      <c r="I1054">
        <f>IF(OR(I$4="",$A1054&gt;TODAY()),0,IF(OR(INDEX($B1054:$D1054,I$5)="F",AND(I$6&gt;0,$A1054&lt;I$6),AND(I$7&gt;0,$A1054&gt;I$7)),0,MAX(0,ROUND((INDEX($E1054:$G1054,I$5)-SUMIFS(TF_Timer,TF_Tekniker,I$4,TF_Dato,$A1054))*2,0)/2)))</f>
        <v/>
      </c>
      <c r="J1054">
        <f>IF(OR(J$4="",$A1054&gt;TODAY()),0,IF(OR(INDEX($B1054:$D1054,J$5)="F",AND(J$6&gt;0,$A1054&lt;J$6),AND(J$7&gt;0,$A1054&gt;J$7)),0,MAX(0,ROUND((INDEX($E1054:$G1054,J$5)-SUMIFS(TF_Timer,TF_Tekniker,J$4,TF_Dato,$A1054))*2,0)/2)))</f>
        <v/>
      </c>
      <c r="K1054">
        <f>IF(OR(K$4="",$A1054&gt;TODAY()),0,IF(OR(INDEX($B1054:$D1054,K$5)="F",AND(K$6&gt;0,$A1054&lt;K$6),AND(K$7&gt;0,$A1054&gt;K$7)),0,MAX(0,ROUND((INDEX($E1054:$G1054,K$5)-SUMIFS(TF_Timer,TF_Tekniker,K$4,TF_Dato,$A1054))*2,0)/2)))</f>
        <v/>
      </c>
      <c r="L1054">
        <f>IF(OR(L$4="",$A1054&gt;TODAY()),0,IF(OR(INDEX($B1054:$D1054,L$5)="F",AND(L$6&gt;0,$A1054&lt;L$6),AND(L$7&gt;0,$A1054&gt;L$7)),0,MAX(0,ROUND((INDEX($E1054:$G1054,L$5)-SUMIFS(TF_Timer,TF_Tekniker,L$4,TF_Dato,$A1054))*2,0)/2)))</f>
        <v/>
      </c>
      <c r="M1054">
        <f>IF(OR(M$4="",$A1054&gt;TODAY()),0,IF(OR(INDEX($B1054:$D1054,M$5)="F",AND(M$6&gt;0,$A1054&lt;M$6),AND(M$7&gt;0,$A1054&gt;M$7)),0,MAX(0,ROUND((INDEX($E1054:$G1054,M$5)-SUMIFS(TF_Timer,TF_Tekniker,M$4,TF_Dato,$A1054))*2,0)/2)))</f>
        <v/>
      </c>
      <c r="N1054">
        <f>IF(OR(N$4="",$A1054&gt;TODAY()),0,IF(OR(INDEX($B1054:$D1054,N$5)="F",AND(N$6&gt;0,$A1054&lt;N$6),AND(N$7&gt;0,$A1054&gt;N$7)),0,MAX(0,ROUND((INDEX($E1054:$G1054,N$5)-SUMIFS(TF_Timer,TF_Tekniker,N$4,TF_Dato,$A1054))*2,0)/2)))</f>
        <v/>
      </c>
      <c r="O1054">
        <f>IF(OR(O$4="",$A1054&gt;TODAY()),0,IF(OR(INDEX($B1054:$D1054,O$5)="F",AND(O$6&gt;0,$A1054&lt;O$6),AND(O$7&gt;0,$A1054&gt;O$7)),0,MAX(0,ROUND((INDEX($E1054:$G1054,O$5)-SUMIFS(TF_Timer,TF_Tekniker,O$4,TF_Dato,$A1054))*2,0)/2)))</f>
        <v/>
      </c>
      <c r="P1054">
        <f>IF(OR(P$4="",$A1054&gt;TODAY()),0,IF(OR(INDEX($B1054:$D1054,P$5)="F",AND(P$6&gt;0,$A1054&lt;P$6),AND(P$7&gt;0,$A1054&gt;P$7)),0,MAX(0,ROUND((INDEX($E1054:$G1054,P$5)-SUMIFS(TF_Timer,TF_Tekniker,P$4,TF_Dato,$A1054))*2,0)/2)))</f>
        <v/>
      </c>
      <c r="Q1054">
        <f>IF(OR(Q$4="",$A1054&gt;TODAY()),0,IF(OR(INDEX($B1054:$D1054,Q$5)="F",AND(Q$6&gt;0,$A1054&lt;Q$6),AND(Q$7&gt;0,$A1054&gt;Q$7)),0,MAX(0,ROUND((INDEX($E1054:$G1054,Q$5)-SUMIFS(TF_Timer,TF_Tekniker,Q$4,TF_Dato,$A1054))*2,0)/2)))</f>
        <v/>
      </c>
      <c r="R1054">
        <f>IF(OR(R$4="",$A1054&gt;TODAY()),0,IF(OR(INDEX($B1054:$D1054,R$5)="F",AND(R$6&gt;0,$A1054&lt;R$6),AND(R$7&gt;0,$A1054&gt;R$7)),0,MAX(0,ROUND((INDEX($E1054:$G1054,R$5)-SUMIFS(TF_Timer,TF_Tekniker,R$4,TF_Dato,$A1054))*2,0)/2)))</f>
        <v/>
      </c>
      <c r="S1054">
        <f>IF(OR(S$4="",$A1054&gt;TODAY()),0,IF(OR(INDEX($B1054:$D1054,S$5)="F",AND(S$6&gt;0,$A1054&lt;S$6),AND(S$7&gt;0,$A1054&gt;S$7)),0,MAX(0,ROUND((INDEX($E1054:$G1054,S$5)-SUMIFS(TF_Timer,TF_Tekniker,S$4,TF_Dato,$A1054))*2,0)/2)))</f>
        <v/>
      </c>
      <c r="T1054">
        <f>IF(OR(T$4="",$A1054&gt;TODAY()),0,IF(OR(INDEX($B1054:$D1054,T$5)="F",AND(T$6&gt;0,$A1054&lt;T$6),AND(T$7&gt;0,$A1054&gt;T$7)),0,MAX(0,ROUND((INDEX($E1054:$G1054,T$5)-SUMIFS(TF_Timer,TF_Tekniker,T$4,TF_Dato,$A1054))*2,0)/2)))</f>
        <v/>
      </c>
      <c r="U1054">
        <f>IF(OR(U$4="",$A1054&gt;TODAY()),0,IF(OR(INDEX($B1054:$D1054,U$5)="F",AND(U$6&gt;0,$A1054&lt;U$6),AND(U$7&gt;0,$A1054&gt;U$7)),0,MAX(0,ROUND((INDEX($E1054:$G1054,U$5)-SUMIFS(TF_Timer,TF_Tekniker,U$4,TF_Dato,$A1054))*2,0)/2)))</f>
        <v/>
      </c>
      <c r="V1054">
        <f>IF(OR(V$4="",$A1054&gt;TODAY()),0,IF(OR(INDEX($B1054:$D1054,V$5)="F",AND(V$6&gt;0,$A1054&lt;V$6),AND(V$7&gt;0,$A1054&gt;V$7)),0,MAX(0,ROUND((INDEX($E1054:$G1054,V$5)-SUMIFS(TF_Timer,TF_Tekniker,V$4,TF_Dato,$A1054))*2,0)/2)))</f>
        <v/>
      </c>
      <c r="W1054">
        <f>IF(OR(W$4="",$A1054&gt;TODAY()),0,IF(OR(INDEX($B1054:$D1054,W$5)="F",AND(W$6&gt;0,$A1054&lt;W$6),AND(W$7&gt;0,$A1054&gt;W$7)),0,MAX(0,ROUND((INDEX($E1054:$G1054,W$5)-SUMIFS(TF_Timer,TF_Tekniker,W$4,TF_Dato,$A1054))*2,0)/2)))</f>
        <v/>
      </c>
      <c r="X1054">
        <f>IF(OR(X$4="",$A1054&gt;TODAY()),0,IF(OR(INDEX($B1054:$D1054,X$5)="F",AND(X$6&gt;0,$A1054&lt;X$6),AND(X$7&gt;0,$A1054&gt;X$7)),0,MAX(0,ROUND((INDEX($E1054:$G1054,X$5)-SUMIFS(TF_Timer,TF_Tekniker,X$4,TF_Dato,$A1054))*2,0)/2)))</f>
        <v/>
      </c>
      <c r="Y1054">
        <f>IF(OR(Y$4="",$A1054&gt;TODAY()),0,IF(OR(INDEX($B1054:$D1054,Y$5)="F",AND(Y$6&gt;0,$A1054&lt;Y$6),AND(Y$7&gt;0,$A1054&gt;Y$7)),0,MAX(0,ROUND((INDEX($E1054:$G1054,Y$5)-SUMIFS(TF_Timer,TF_Tekniker,Y$4,TF_Dato,$A1054))*2,0)/2)))</f>
        <v/>
      </c>
      <c r="Z1054">
        <f>IF(OR(Z$4="",$A1054&gt;TODAY()),0,IF(OR(INDEX($B1054:$D1054,Z$5)="F",AND(Z$6&gt;0,$A1054&lt;Z$6),AND(Z$7&gt;0,$A1054&gt;Z$7)),0,MAX(0,ROUND((INDEX($E1054:$G1054,Z$5)-SUMIFS(TF_Timer,TF_Tekniker,Z$4,TF_Dato,$A1054))*2,0)/2)))</f>
        <v/>
      </c>
      <c r="AA1054">
        <f>IF(OR(AA$4="",$A1054&gt;TODAY()),0,IF(OR(INDEX($B1054:$D1054,AA$5)="F",AND(AA$6&gt;0,$A1054&lt;AA$6),AND(AA$7&gt;0,$A1054&gt;AA$7)),0,MAX(0,ROUND((INDEX($E1054:$G1054,AA$5)-SUMIFS(TF_Timer,TF_Tekniker,AA$4,TF_Dato,$A1054))*2,0)/2)))</f>
        <v/>
      </c>
      <c r="AB1054">
        <f>IF(OR(AB$4="",$A1054&gt;TODAY()),0,IF(OR(INDEX($B1054:$D1054,AB$5)="F",AND(AB$6&gt;0,$A1054&lt;AB$6),AND(AB$7&gt;0,$A1054&gt;AB$7)),0,MAX(0,ROUND((INDEX($E1054:$G1054,AB$5)-SUMIFS(TF_Timer,TF_Tekniker,AB$4,TF_Dato,$A1054))*2,0)/2)))</f>
        <v/>
      </c>
      <c r="AC1054">
        <f>IF(OR(AC$4="",$A1054&gt;TODAY()),0,IF(OR(INDEX($B1054:$D1054,AC$5)="F",AND(AC$6&gt;0,$A1054&lt;AC$6),AND(AC$7&gt;0,$A1054&gt;AC$7)),0,MAX(0,ROUND((INDEX($E1054:$G1054,AC$5)-SUMIFS(TF_Timer,TF_Tekniker,AC$4,TF_Dato,$A1054))*2,0)/2)))</f>
        <v/>
      </c>
      <c r="AD1054">
        <f>IF(OR(AD$4="",$A1054&gt;TODAY()),0,IF(OR(INDEX($B1054:$D1054,AD$5)="F",AND(AD$6&gt;0,$A1054&lt;AD$6),AND(AD$7&gt;0,$A1054&gt;AD$7)),0,MAX(0,ROUND((INDEX($E1054:$G1054,AD$5)-SUMIFS(TF_Timer,TF_Tekniker,AD$4,TF_Dato,$A1054))*2,0)/2)))</f>
        <v/>
      </c>
      <c r="AE1054">
        <f>IF(OR(AE$4="",$A1054&gt;TODAY()),0,IF(OR(INDEX($B1054:$D1054,AE$5)="F",AND(AE$6&gt;0,$A1054&lt;AE$6),AND(AE$7&gt;0,$A1054&gt;AE$7)),0,MAX(0,ROUND((INDEX($E1054:$G1054,AE$5)-SUMIFS(TF_Timer,TF_Tekniker,AE$4,TF_Dato,$A1054))*2,0)/2)))</f>
        <v/>
      </c>
      <c r="AF1054">
        <f>IF(OR(AF$4="",$A1054&gt;TODAY()),0,IF(OR(INDEX($B1054:$D1054,AF$5)="F",AND(AF$6&gt;0,$A1054&lt;AF$6),AND(AF$7&gt;0,$A1054&gt;AF$7)),0,MAX(0,ROUND((INDEX($E1054:$G1054,AF$5)-SUMIFS(TF_Timer,TF_Tekniker,AF$4,TF_Dato,$A1054))*2,0)/2)))</f>
        <v/>
      </c>
      <c r="AG1054">
        <f>IF(OR(AG$4="",$A1054&gt;TODAY()),0,IF(OR(INDEX($B1054:$D1054,AG$5)="F",AND(AG$6&gt;0,$A1054&lt;AG$6),AND(AG$7&gt;0,$A1054&gt;AG$7)),0,MAX(0,ROUND((INDEX($E1054:$G1054,AG$5)-SUMIFS(TF_Timer,TF_Tekniker,AG$4,TF_Dato,$A1054))*2,0)/2)))</f>
        <v/>
      </c>
      <c r="AH1054">
        <f>IF(OR(AH$4="",$A1054&gt;TODAY()),0,IF(OR(INDEX($B1054:$D1054,AH$5)="F",AND(AH$6&gt;0,$A1054&lt;AH$6),AND(AH$7&gt;0,$A1054&gt;AH$7)),0,MAX(0,ROUND((INDEX($E1054:$G1054,AH$5)-SUMIFS(TF_Timer,TF_Tekniker,AH$4,TF_Dato,$A1054))*2,0)/2)))</f>
        <v/>
      </c>
      <c r="AI1054">
        <f>IF(OR(AI$4="",$A1054&gt;TODAY()),0,IF(OR(INDEX($B1054:$D1054,AI$5)="F",AND(AI$6&gt;0,$A1054&lt;AI$6),AND(AI$7&gt;0,$A1054&gt;AI$7)),0,MAX(0,ROUND((INDEX($E1054:$G1054,AI$5)-SUMIFS(TF_Timer,TF_Tekniker,AI$4,TF_Dato,$A1054))*2,0)/2)))</f>
        <v/>
      </c>
      <c r="AJ1054">
        <f>IF(OR(AJ$4="",$A1054&gt;TODAY()),0,IF(OR(INDEX($B1054:$D1054,AJ$5)="F",AND(AJ$6&gt;0,$A1054&lt;AJ$6),AND(AJ$7&gt;0,$A1054&gt;AJ$7)),0,MAX(0,ROUND((INDEX($E1054:$G1054,AJ$5)-SUMIFS(TF_Timer,TF_Tekniker,AJ$4,TF_Dato,$A1054))*2,0)/2)))</f>
        <v/>
      </c>
      <c r="AK1054">
        <f>IF(OR(AK$4="",$A1054&gt;TODAY()),0,IF(OR(INDEX($B1054:$D1054,AK$5)="F",AND(AK$6&gt;0,$A1054&lt;AK$6),AND(AK$7&gt;0,$A1054&gt;AK$7)),0,MAX(0,ROUND((INDEX($E1054:$G1054,AK$5)-SUMIFS(TF_Timer,TF_Tekniker,AK$4,TF_Dato,$A1054))*2,0)/2)))</f>
        <v/>
      </c>
      <c r="AL1054">
        <f>IF(OR(AL$4="",$A1054&gt;TODAY()),0,IF(OR(INDEX($B1054:$D1054,AL$5)="F",AND(AL$6&gt;0,$A1054&lt;AL$6),AND(AL$7&gt;0,$A1054&gt;AL$7)),0,MAX(0,ROUND((INDEX($E1054:$G1054,AL$5)-SUMIFS(TF_Timer,TF_Tekniker,AL$4,TF_Dato,$A1054))*2,0)/2)))</f>
        <v/>
      </c>
      <c r="AM1054">
        <f>IF(OR(AM$4="",$A1054&gt;TODAY()),0,IF(OR(INDEX($B1054:$D1054,AM$5)="F",AND(AM$6&gt;0,$A1054&lt;AM$6),AND(AM$7&gt;0,$A1054&gt;AM$7)),0,MAX(0,ROUND((INDEX($E1054:$G1054,AM$5)-SUMIFS(TF_Timer,TF_Tekniker,AM$4,TF_Dato,$A1054))*2,0)/2)))</f>
        <v/>
      </c>
      <c r="AN1054">
        <f>IF(OR(AN$4="",$A1054&gt;TODAY()),0,IF(OR(INDEX($B1054:$D1054,AN$5)="F",AND(AN$6&gt;0,$A1054&lt;AN$6),AND(AN$7&gt;0,$A1054&gt;AN$7)),0,MAX(0,ROUND((INDEX($E1054:$G1054,AN$5)-SUMIFS(TF_Timer,TF_Tekniker,AN$4,TF_Dato,$A1054))*2,0)/2)))</f>
        <v/>
      </c>
      <c r="AO1054">
        <f>IF(OR(AO$4="",$A1054&gt;TODAY()),0,IF(OR(INDEX($B1054:$D1054,AO$5)="F",AND(AO$6&gt;0,$A1054&lt;AO$6),AND(AO$7&gt;0,$A1054&gt;AO$7)),0,MAX(0,ROUND((INDEX($E1054:$G1054,AO$5)-SUMIFS(TF_Timer,TF_Tekniker,AO$4,TF_Dato,$A1054))*2,0)/2)))</f>
        <v/>
      </c>
      <c r="AP1054">
        <f>IF(OR(AP$4="",$A1054&gt;TODAY()),0,IF(OR(INDEX($B1054:$D1054,AP$5)="F",AND(AP$6&gt;0,$A1054&lt;AP$6),AND(AP$7&gt;0,$A1054&gt;AP$7)),0,MAX(0,ROUND((INDEX($E1054:$G1054,AP$5)-SUMIFS(TF_Timer,TF_Tekniker,AP$4,TF_Dato,$A1054))*2,0)/2)))</f>
        <v/>
      </c>
      <c r="AQ1054">
        <f>IF(OR(AQ$4="",$A1054&gt;TODAY()),0,IF(OR(INDEX($B1054:$D1054,AQ$5)="F",AND(AQ$6&gt;0,$A1054&lt;AQ$6),AND(AQ$7&gt;0,$A1054&gt;AQ$7)),0,MAX(0,ROUND((INDEX($E1054:$G1054,AQ$5)-SUMIFS(TF_Timer,TF_Tekniker,AQ$4,TF_Dato,$A1054))*2,0)/2)))</f>
        <v/>
      </c>
      <c r="AR1054">
        <f>IF(OR(AR$4="",$A1054&gt;TODAY()),0,IF(OR(INDEX($B1054:$D1054,AR$5)="F",AND(AR$6&gt;0,$A1054&lt;AR$6),AND(AR$7&gt;0,$A1054&gt;AR$7)),0,MAX(0,ROUND((INDEX($E1054:$G1054,AR$5)-SUMIFS(TF_Timer,TF_Tekniker,AR$4,TF_Dato,$A1054))*2,0)/2)))</f>
        <v/>
      </c>
      <c r="AS1054">
        <f>IF(OR(AS$4="",$A1054&gt;TODAY()),0,IF(OR(INDEX($B1054:$D1054,AS$5)="F",AND(AS$6&gt;0,$A1054&lt;AS$6),AND(AS$7&gt;0,$A1054&gt;AS$7)),0,MAX(0,ROUND((INDEX($E1054:$G1054,AS$5)-SUMIFS(TF_Timer,TF_Tekniker,AS$4,TF_Dato,$A1054))*2,0)/2)))</f>
        <v/>
      </c>
      <c r="AT1054">
        <f>IF(OR(AT$4="",$A1054&gt;TODAY()),0,IF(OR(INDEX($B1054:$D1054,AT$5)="F",AND(AT$6&gt;0,$A1054&lt;AT$6),AND(AT$7&gt;0,$A1054&gt;AT$7)),0,MAX(0,ROUND((INDEX($E1054:$G1054,AT$5)-SUMIFS(TF_Timer,TF_Tekniker,AT$4,TF_Dato,$A1054))*2,0)/2)))</f>
        <v/>
      </c>
      <c r="AU1054">
        <f>IF(OR(AU$4="",$A1054&gt;TODAY()),0,IF(OR(INDEX($B1054:$D1054,AU$5)="F",AND(AU$6&gt;0,$A1054&lt;AU$6),AND(AU$7&gt;0,$A1054&gt;AU$7)),0,MAX(0,ROUND((INDEX($E1054:$G1054,AU$5)-SUMIFS(TF_Timer,TF_Tekniker,AU$4,TF_Dato,$A1054))*2,0)/2)))</f>
        <v/>
      </c>
      <c r="AV1054">
        <f>IF(OR(AV$4="",$A1054&gt;TODAY()),0,IF(OR(INDEX($B1054:$D1054,AV$5)="F",AND(AV$6&gt;0,$A1054&lt;AV$6),AND(AV$7&gt;0,$A1054&gt;AV$7)),0,MAX(0,ROUND((INDEX($E1054:$G1054,AV$5)-SUMIFS(TF_Timer,TF_Tekniker,AV$4,TF_Dato,$A1054))*2,0)/2)))</f>
        <v/>
      </c>
      <c r="AW1054">
        <f>IF(OR(AW$4="",$A1054&gt;TODAY()),0,IF(OR(INDEX($B1054:$D1054,AW$5)="F",AND(AW$6&gt;0,$A1054&lt;AW$6),AND(AW$7&gt;0,$A1054&gt;AW$7)),0,MAX(0,ROUND((INDEX($E1054:$G1054,AW$5)-SUMIFS(TF_Timer,TF_Tekniker,AW$4,TF_Dato,$A1054))*2,0)/2)))</f>
        <v/>
      </c>
      <c r="AX1054">
        <f>IF(OR(AX$4="",$A1054&gt;TODAY()),0,IF(OR(INDEX($B1054:$D1054,AX$5)="F",AND(AX$6&gt;0,$A1054&lt;AX$6),AND(AX$7&gt;0,$A1054&gt;AX$7)),0,MAX(0,ROUND((INDEX($E1054:$G1054,AX$5)-SUMIFS(TF_Timer,TF_Tekniker,AX$4,TF_Dato,$A1054))*2,0)/2)))</f>
        <v/>
      </c>
      <c r="AY1054">
        <f>IF(OR(AY$4="",$A1054&gt;TODAY()),0,IF(OR(INDEX($B1054:$D1054,AY$5)="F",AND(AY$6&gt;0,$A1054&lt;AY$6),AND(AY$7&gt;0,$A1054&gt;AY$7)),0,MAX(0,ROUND((INDEX($E1054:$G1054,AY$5)-SUMIFS(TF_Timer,TF_Tekniker,AY$4,TF_Dato,$A1054))*2,0)/2)))</f>
        <v/>
      </c>
      <c r="AZ1054">
        <f>IF(OR(AZ$4="",$A1054&gt;TODAY()),0,IF(OR(INDEX($B1054:$D1054,AZ$5)="F",AND(AZ$6&gt;0,$A1054&lt;AZ$6),AND(AZ$7&gt;0,$A1054&gt;AZ$7)),0,MAX(0,ROUND((INDEX($E1054:$G1054,AZ$5)-SUMIFS(TF_Timer,TF_Tekniker,AZ$4,TF_Dato,$A1054))*2,0)/2)))</f>
        <v/>
      </c>
      <c r="BA1054">
        <f>IF(OR(BA$4="",$A1054&gt;TODAY()),0,IF(OR(INDEX($B1054:$D1054,BA$5)="F",AND(BA$6&gt;0,$A1054&lt;BA$6),AND(BA$7&gt;0,$A1054&gt;BA$7)),0,MAX(0,ROUND((INDEX($E1054:$G1054,BA$5)-SUMIFS(TF_Timer,TF_Tekniker,BA$4,TF_Dato,$A1054))*2,0)/2)))</f>
        <v/>
      </c>
      <c r="BB1054">
        <f>IF(OR(BB$4="",$A1054&gt;TODAY()),0,IF(OR(INDEX($B1054:$D1054,BB$5)="F",AND(BB$6&gt;0,$A1054&lt;BB$6),AND(BB$7&gt;0,$A1054&gt;BB$7)),0,MAX(0,ROUND((INDEX($E1054:$G1054,BB$5)-SUMIFS(TF_Timer,TF_Tekniker,BB$4,TF_Dato,$A1054))*2,0)/2)))</f>
        <v/>
      </c>
      <c r="BC1054">
        <f>IF(OR(BC$4="",$A1054&gt;TODAY()),0,IF(OR(INDEX($B1054:$D1054,BC$5)="F",AND(BC$6&gt;0,$A1054&lt;BC$6),AND(BC$7&gt;0,$A1054&gt;BC$7)),0,MAX(0,ROUND((INDEX($E1054:$G1054,BC$5)-SUMIFS(TF_Timer,TF_Tekniker,BC$4,TF_Dato,$A1054))*2,0)/2)))</f>
        <v/>
      </c>
      <c r="BD1054">
        <f>IF(OR(BD$4="",$A1054&gt;TODAY()),0,IF(OR(INDEX($B1054:$D1054,BD$5)="F",AND(BD$6&gt;0,$A1054&lt;BD$6),AND(BD$7&gt;0,$A1054&gt;BD$7)),0,MAX(0,ROUND((INDEX($E1054:$G1054,BD$5)-SUMIFS(TF_Timer,TF_Tekniker,BD$4,TF_Dato,$A1054))*2,0)/2)))</f>
        <v/>
      </c>
      <c r="BE1054">
        <f>IF(OR(BE$4="",$A1054&gt;TODAY()),0,IF(OR(INDEX($B1054:$D1054,BE$5)="F",AND(BE$6&gt;0,$A1054&lt;BE$6),AND(BE$7&gt;0,$A1054&gt;BE$7)),0,MAX(0,ROUND((INDEX($E1054:$G1054,BE$5)-SUMIFS(TF_Timer,TF_Tekniker,BE$4,TF_Dato,$A1054))*2,0)/2)))</f>
        <v/>
      </c>
      <c r="BF1054">
        <f>IF(OR(BF$4="",$A1054&gt;TODAY()),0,IF(OR(INDEX($B1054:$D1054,BF$5)="F",AND(BF$6&gt;0,$A1054&lt;BF$6),AND(BF$7&gt;0,$A1054&gt;BF$7)),0,MAX(0,ROUND((INDEX($E1054:$G1054,BF$5)-SUMIFS(TF_Timer,TF_Tekniker,BF$4,TF_Dato,$A1054))*2,0)/2)))</f>
        <v/>
      </c>
      <c r="BG1054">
        <f>IF(OR(BG$4="",$A1054&gt;TODAY()),0,IF(OR(INDEX($B1054:$D1054,BG$5)="F",AND(BG$6&gt;0,$A1054&lt;BG$6),AND(BG$7&gt;0,$A1054&gt;BG$7)),0,MAX(0,ROUND((INDEX($E1054:$G1054,BG$5)-SUMIFS(TF_Timer,TF_Tekniker,BG$4,TF_Dato,$A1054))*2,0)/2)))</f>
        <v/>
      </c>
      <c r="BH1054">
        <f>IF(OR(BH$4="",$A1054&gt;TODAY()),0,IF(OR(INDEX($B1054:$D1054,BH$5)="F",AND(BH$6&gt;0,$A1054&lt;BH$6),AND(BH$7&gt;0,$A1054&gt;BH$7)),0,MAX(0,ROUND((INDEX($E1054:$G1054,BH$5)-SUMIFS(TF_Timer,TF_Tekniker,BH$4,TF_Dato,$A1054))*2,0)/2)))</f>
        <v/>
      </c>
      <c r="BI1054">
        <f>IF(OR(BI$4="",$A1054&gt;TODAY()),0,IF(OR(INDEX($B1054:$D1054,BI$5)="F",AND(BI$6&gt;0,$A1054&lt;BI$6),AND(BI$7&gt;0,$A1054&gt;BI$7)),0,MAX(0,ROUND((INDEX($E1054:$G1054,BI$5)-SUMIFS(TF_Timer,TF_Tekniker,BI$4,TF_Dato,$A1054))*2,0)/2)))</f>
        <v/>
      </c>
    </row>
    <row r="1055">
      <c r="A1055" s="64">
        <f>A1054+1</f>
        <v/>
      </c>
      <c r="B1055">
        <f>IF(MOD($A1055-INDEX(SkiftStart,1),Syklus)&lt;DagK,"K",IF(MOD($A1055-INDEX(SkiftStart,1),Syklus)&lt;DagK+DagH,"H",IF(MOD($A1055-INDEX(SkiftStart,1),Syklus)&lt;DagK+DagH+DagD,"D","F")))</f>
        <v/>
      </c>
      <c r="C1055">
        <f>IF(MOD($A1055-INDEX(SkiftStart,2),Syklus)&lt;DagK,"K",IF(MOD($A1055-INDEX(SkiftStart,2),Syklus)&lt;DagK+DagH,"H",IF(MOD($A1055-INDEX(SkiftStart,2),Syklus)&lt;DagK+DagH+DagD,"D","F")))</f>
        <v/>
      </c>
      <c r="D1055">
        <f>IF(MOD($A1055-INDEX(SkiftStart,3),Syklus)&lt;DagK,"K",IF(MOD($A1055-INDEX(SkiftStart,3),Syklus)&lt;DagK+DagH,"H",IF(MOD($A1055-INDEX(SkiftStart,3),Syklus)&lt;DagK+DagH+DagD,"D","F")))</f>
        <v/>
      </c>
      <c r="E1055">
        <f>IF(B1055="F",0,IF(WEEKDAY($A1055,2)=5,INDEX(TimerFr,MATCH(B1055,FaseKode,0)),INDEX(TimerMT,MATCH(B1055,FaseKode,0))))</f>
        <v/>
      </c>
      <c r="F1055">
        <f>IF(C1055="F",0,IF(WEEKDAY($A1055,2)=5,INDEX(TimerFr,MATCH(C1055,FaseKode,0)),INDEX(TimerMT,MATCH(C1055,FaseKode,0))))</f>
        <v/>
      </c>
      <c r="G1055">
        <f>IF(D1055="F",0,IF(WEEKDAY($A1055,2)=5,INDEX(TimerFr,MATCH(D1055,FaseKode,0)),INDEX(TimerMT,MATCH(D1055,FaseKode,0))))</f>
        <v/>
      </c>
      <c r="H1055">
        <f>IF(OR(H$4="",$A1055&gt;TODAY()),0,IF(OR(INDEX($B1055:$D1055,H$5)="F",AND(H$6&gt;0,$A1055&lt;H$6),AND(H$7&gt;0,$A1055&gt;H$7)),0,MAX(0,ROUND((INDEX($E1055:$G1055,H$5)-SUMIFS(TF_Timer,TF_Tekniker,H$4,TF_Dato,$A1055))*2,0)/2)))</f>
        <v/>
      </c>
      <c r="I1055">
        <f>IF(OR(I$4="",$A1055&gt;TODAY()),0,IF(OR(INDEX($B1055:$D1055,I$5)="F",AND(I$6&gt;0,$A1055&lt;I$6),AND(I$7&gt;0,$A1055&gt;I$7)),0,MAX(0,ROUND((INDEX($E1055:$G1055,I$5)-SUMIFS(TF_Timer,TF_Tekniker,I$4,TF_Dato,$A1055))*2,0)/2)))</f>
        <v/>
      </c>
      <c r="J1055">
        <f>IF(OR(J$4="",$A1055&gt;TODAY()),0,IF(OR(INDEX($B1055:$D1055,J$5)="F",AND(J$6&gt;0,$A1055&lt;J$6),AND(J$7&gt;0,$A1055&gt;J$7)),0,MAX(0,ROUND((INDEX($E1055:$G1055,J$5)-SUMIFS(TF_Timer,TF_Tekniker,J$4,TF_Dato,$A1055))*2,0)/2)))</f>
        <v/>
      </c>
      <c r="K1055">
        <f>IF(OR(K$4="",$A1055&gt;TODAY()),0,IF(OR(INDEX($B1055:$D1055,K$5)="F",AND(K$6&gt;0,$A1055&lt;K$6),AND(K$7&gt;0,$A1055&gt;K$7)),0,MAX(0,ROUND((INDEX($E1055:$G1055,K$5)-SUMIFS(TF_Timer,TF_Tekniker,K$4,TF_Dato,$A1055))*2,0)/2)))</f>
        <v/>
      </c>
      <c r="L1055">
        <f>IF(OR(L$4="",$A1055&gt;TODAY()),0,IF(OR(INDEX($B1055:$D1055,L$5)="F",AND(L$6&gt;0,$A1055&lt;L$6),AND(L$7&gt;0,$A1055&gt;L$7)),0,MAX(0,ROUND((INDEX($E1055:$G1055,L$5)-SUMIFS(TF_Timer,TF_Tekniker,L$4,TF_Dato,$A1055))*2,0)/2)))</f>
        <v/>
      </c>
      <c r="M1055">
        <f>IF(OR(M$4="",$A1055&gt;TODAY()),0,IF(OR(INDEX($B1055:$D1055,M$5)="F",AND(M$6&gt;0,$A1055&lt;M$6),AND(M$7&gt;0,$A1055&gt;M$7)),0,MAX(0,ROUND((INDEX($E1055:$G1055,M$5)-SUMIFS(TF_Timer,TF_Tekniker,M$4,TF_Dato,$A1055))*2,0)/2)))</f>
        <v/>
      </c>
      <c r="N1055">
        <f>IF(OR(N$4="",$A1055&gt;TODAY()),0,IF(OR(INDEX($B1055:$D1055,N$5)="F",AND(N$6&gt;0,$A1055&lt;N$6),AND(N$7&gt;0,$A1055&gt;N$7)),0,MAX(0,ROUND((INDEX($E1055:$G1055,N$5)-SUMIFS(TF_Timer,TF_Tekniker,N$4,TF_Dato,$A1055))*2,0)/2)))</f>
        <v/>
      </c>
      <c r="O1055">
        <f>IF(OR(O$4="",$A1055&gt;TODAY()),0,IF(OR(INDEX($B1055:$D1055,O$5)="F",AND(O$6&gt;0,$A1055&lt;O$6),AND(O$7&gt;0,$A1055&gt;O$7)),0,MAX(0,ROUND((INDEX($E1055:$G1055,O$5)-SUMIFS(TF_Timer,TF_Tekniker,O$4,TF_Dato,$A1055))*2,0)/2)))</f>
        <v/>
      </c>
      <c r="P1055">
        <f>IF(OR(P$4="",$A1055&gt;TODAY()),0,IF(OR(INDEX($B1055:$D1055,P$5)="F",AND(P$6&gt;0,$A1055&lt;P$6),AND(P$7&gt;0,$A1055&gt;P$7)),0,MAX(0,ROUND((INDEX($E1055:$G1055,P$5)-SUMIFS(TF_Timer,TF_Tekniker,P$4,TF_Dato,$A1055))*2,0)/2)))</f>
        <v/>
      </c>
      <c r="Q1055">
        <f>IF(OR(Q$4="",$A1055&gt;TODAY()),0,IF(OR(INDEX($B1055:$D1055,Q$5)="F",AND(Q$6&gt;0,$A1055&lt;Q$6),AND(Q$7&gt;0,$A1055&gt;Q$7)),0,MAX(0,ROUND((INDEX($E1055:$G1055,Q$5)-SUMIFS(TF_Timer,TF_Tekniker,Q$4,TF_Dato,$A1055))*2,0)/2)))</f>
        <v/>
      </c>
      <c r="R1055">
        <f>IF(OR(R$4="",$A1055&gt;TODAY()),0,IF(OR(INDEX($B1055:$D1055,R$5)="F",AND(R$6&gt;0,$A1055&lt;R$6),AND(R$7&gt;0,$A1055&gt;R$7)),0,MAX(0,ROUND((INDEX($E1055:$G1055,R$5)-SUMIFS(TF_Timer,TF_Tekniker,R$4,TF_Dato,$A1055))*2,0)/2)))</f>
        <v/>
      </c>
      <c r="S1055">
        <f>IF(OR(S$4="",$A1055&gt;TODAY()),0,IF(OR(INDEX($B1055:$D1055,S$5)="F",AND(S$6&gt;0,$A1055&lt;S$6),AND(S$7&gt;0,$A1055&gt;S$7)),0,MAX(0,ROUND((INDEX($E1055:$G1055,S$5)-SUMIFS(TF_Timer,TF_Tekniker,S$4,TF_Dato,$A1055))*2,0)/2)))</f>
        <v/>
      </c>
      <c r="T1055">
        <f>IF(OR(T$4="",$A1055&gt;TODAY()),0,IF(OR(INDEX($B1055:$D1055,T$5)="F",AND(T$6&gt;0,$A1055&lt;T$6),AND(T$7&gt;0,$A1055&gt;T$7)),0,MAX(0,ROUND((INDEX($E1055:$G1055,T$5)-SUMIFS(TF_Timer,TF_Tekniker,T$4,TF_Dato,$A1055))*2,0)/2)))</f>
        <v/>
      </c>
      <c r="U1055">
        <f>IF(OR(U$4="",$A1055&gt;TODAY()),0,IF(OR(INDEX($B1055:$D1055,U$5)="F",AND(U$6&gt;0,$A1055&lt;U$6),AND(U$7&gt;0,$A1055&gt;U$7)),0,MAX(0,ROUND((INDEX($E1055:$G1055,U$5)-SUMIFS(TF_Timer,TF_Tekniker,U$4,TF_Dato,$A1055))*2,0)/2)))</f>
        <v/>
      </c>
      <c r="V1055">
        <f>IF(OR(V$4="",$A1055&gt;TODAY()),0,IF(OR(INDEX($B1055:$D1055,V$5)="F",AND(V$6&gt;0,$A1055&lt;V$6),AND(V$7&gt;0,$A1055&gt;V$7)),0,MAX(0,ROUND((INDEX($E1055:$G1055,V$5)-SUMIFS(TF_Timer,TF_Tekniker,V$4,TF_Dato,$A1055))*2,0)/2)))</f>
        <v/>
      </c>
      <c r="W1055">
        <f>IF(OR(W$4="",$A1055&gt;TODAY()),0,IF(OR(INDEX($B1055:$D1055,W$5)="F",AND(W$6&gt;0,$A1055&lt;W$6),AND(W$7&gt;0,$A1055&gt;W$7)),0,MAX(0,ROUND((INDEX($E1055:$G1055,W$5)-SUMIFS(TF_Timer,TF_Tekniker,W$4,TF_Dato,$A1055))*2,0)/2)))</f>
        <v/>
      </c>
      <c r="X1055">
        <f>IF(OR(X$4="",$A1055&gt;TODAY()),0,IF(OR(INDEX($B1055:$D1055,X$5)="F",AND(X$6&gt;0,$A1055&lt;X$6),AND(X$7&gt;0,$A1055&gt;X$7)),0,MAX(0,ROUND((INDEX($E1055:$G1055,X$5)-SUMIFS(TF_Timer,TF_Tekniker,X$4,TF_Dato,$A1055))*2,0)/2)))</f>
        <v/>
      </c>
      <c r="Y1055">
        <f>IF(OR(Y$4="",$A1055&gt;TODAY()),0,IF(OR(INDEX($B1055:$D1055,Y$5)="F",AND(Y$6&gt;0,$A1055&lt;Y$6),AND(Y$7&gt;0,$A1055&gt;Y$7)),0,MAX(0,ROUND((INDEX($E1055:$G1055,Y$5)-SUMIFS(TF_Timer,TF_Tekniker,Y$4,TF_Dato,$A1055))*2,0)/2)))</f>
        <v/>
      </c>
      <c r="Z1055">
        <f>IF(OR(Z$4="",$A1055&gt;TODAY()),0,IF(OR(INDEX($B1055:$D1055,Z$5)="F",AND(Z$6&gt;0,$A1055&lt;Z$6),AND(Z$7&gt;0,$A1055&gt;Z$7)),0,MAX(0,ROUND((INDEX($E1055:$G1055,Z$5)-SUMIFS(TF_Timer,TF_Tekniker,Z$4,TF_Dato,$A1055))*2,0)/2)))</f>
        <v/>
      </c>
      <c r="AA1055">
        <f>IF(OR(AA$4="",$A1055&gt;TODAY()),0,IF(OR(INDEX($B1055:$D1055,AA$5)="F",AND(AA$6&gt;0,$A1055&lt;AA$6),AND(AA$7&gt;0,$A1055&gt;AA$7)),0,MAX(0,ROUND((INDEX($E1055:$G1055,AA$5)-SUMIFS(TF_Timer,TF_Tekniker,AA$4,TF_Dato,$A1055))*2,0)/2)))</f>
        <v/>
      </c>
      <c r="AB1055">
        <f>IF(OR(AB$4="",$A1055&gt;TODAY()),0,IF(OR(INDEX($B1055:$D1055,AB$5)="F",AND(AB$6&gt;0,$A1055&lt;AB$6),AND(AB$7&gt;0,$A1055&gt;AB$7)),0,MAX(0,ROUND((INDEX($E1055:$G1055,AB$5)-SUMIFS(TF_Timer,TF_Tekniker,AB$4,TF_Dato,$A1055))*2,0)/2)))</f>
        <v/>
      </c>
      <c r="AC1055">
        <f>IF(OR(AC$4="",$A1055&gt;TODAY()),0,IF(OR(INDEX($B1055:$D1055,AC$5)="F",AND(AC$6&gt;0,$A1055&lt;AC$6),AND(AC$7&gt;0,$A1055&gt;AC$7)),0,MAX(0,ROUND((INDEX($E1055:$G1055,AC$5)-SUMIFS(TF_Timer,TF_Tekniker,AC$4,TF_Dato,$A1055))*2,0)/2)))</f>
        <v/>
      </c>
      <c r="AD1055">
        <f>IF(OR(AD$4="",$A1055&gt;TODAY()),0,IF(OR(INDEX($B1055:$D1055,AD$5)="F",AND(AD$6&gt;0,$A1055&lt;AD$6),AND(AD$7&gt;0,$A1055&gt;AD$7)),0,MAX(0,ROUND((INDEX($E1055:$G1055,AD$5)-SUMIFS(TF_Timer,TF_Tekniker,AD$4,TF_Dato,$A1055))*2,0)/2)))</f>
        <v/>
      </c>
      <c r="AE1055">
        <f>IF(OR(AE$4="",$A1055&gt;TODAY()),0,IF(OR(INDEX($B1055:$D1055,AE$5)="F",AND(AE$6&gt;0,$A1055&lt;AE$6),AND(AE$7&gt;0,$A1055&gt;AE$7)),0,MAX(0,ROUND((INDEX($E1055:$G1055,AE$5)-SUMIFS(TF_Timer,TF_Tekniker,AE$4,TF_Dato,$A1055))*2,0)/2)))</f>
        <v/>
      </c>
      <c r="AF1055">
        <f>IF(OR(AF$4="",$A1055&gt;TODAY()),0,IF(OR(INDEX($B1055:$D1055,AF$5)="F",AND(AF$6&gt;0,$A1055&lt;AF$6),AND(AF$7&gt;0,$A1055&gt;AF$7)),0,MAX(0,ROUND((INDEX($E1055:$G1055,AF$5)-SUMIFS(TF_Timer,TF_Tekniker,AF$4,TF_Dato,$A1055))*2,0)/2)))</f>
        <v/>
      </c>
      <c r="AG1055">
        <f>IF(OR(AG$4="",$A1055&gt;TODAY()),0,IF(OR(INDEX($B1055:$D1055,AG$5)="F",AND(AG$6&gt;0,$A1055&lt;AG$6),AND(AG$7&gt;0,$A1055&gt;AG$7)),0,MAX(0,ROUND((INDEX($E1055:$G1055,AG$5)-SUMIFS(TF_Timer,TF_Tekniker,AG$4,TF_Dato,$A1055))*2,0)/2)))</f>
        <v/>
      </c>
      <c r="AH1055">
        <f>IF(OR(AH$4="",$A1055&gt;TODAY()),0,IF(OR(INDEX($B1055:$D1055,AH$5)="F",AND(AH$6&gt;0,$A1055&lt;AH$6),AND(AH$7&gt;0,$A1055&gt;AH$7)),0,MAX(0,ROUND((INDEX($E1055:$G1055,AH$5)-SUMIFS(TF_Timer,TF_Tekniker,AH$4,TF_Dato,$A1055))*2,0)/2)))</f>
        <v/>
      </c>
      <c r="AI1055">
        <f>IF(OR(AI$4="",$A1055&gt;TODAY()),0,IF(OR(INDEX($B1055:$D1055,AI$5)="F",AND(AI$6&gt;0,$A1055&lt;AI$6),AND(AI$7&gt;0,$A1055&gt;AI$7)),0,MAX(0,ROUND((INDEX($E1055:$G1055,AI$5)-SUMIFS(TF_Timer,TF_Tekniker,AI$4,TF_Dato,$A1055))*2,0)/2)))</f>
        <v/>
      </c>
      <c r="AJ1055">
        <f>IF(OR(AJ$4="",$A1055&gt;TODAY()),0,IF(OR(INDEX($B1055:$D1055,AJ$5)="F",AND(AJ$6&gt;0,$A1055&lt;AJ$6),AND(AJ$7&gt;0,$A1055&gt;AJ$7)),0,MAX(0,ROUND((INDEX($E1055:$G1055,AJ$5)-SUMIFS(TF_Timer,TF_Tekniker,AJ$4,TF_Dato,$A1055))*2,0)/2)))</f>
        <v/>
      </c>
      <c r="AK1055">
        <f>IF(OR(AK$4="",$A1055&gt;TODAY()),0,IF(OR(INDEX($B1055:$D1055,AK$5)="F",AND(AK$6&gt;0,$A1055&lt;AK$6),AND(AK$7&gt;0,$A1055&gt;AK$7)),0,MAX(0,ROUND((INDEX($E1055:$G1055,AK$5)-SUMIFS(TF_Timer,TF_Tekniker,AK$4,TF_Dato,$A1055))*2,0)/2)))</f>
        <v/>
      </c>
      <c r="AL1055">
        <f>IF(OR(AL$4="",$A1055&gt;TODAY()),0,IF(OR(INDEX($B1055:$D1055,AL$5)="F",AND(AL$6&gt;0,$A1055&lt;AL$6),AND(AL$7&gt;0,$A1055&gt;AL$7)),0,MAX(0,ROUND((INDEX($E1055:$G1055,AL$5)-SUMIFS(TF_Timer,TF_Tekniker,AL$4,TF_Dato,$A1055))*2,0)/2)))</f>
        <v/>
      </c>
      <c r="AM1055">
        <f>IF(OR(AM$4="",$A1055&gt;TODAY()),0,IF(OR(INDEX($B1055:$D1055,AM$5)="F",AND(AM$6&gt;0,$A1055&lt;AM$6),AND(AM$7&gt;0,$A1055&gt;AM$7)),0,MAX(0,ROUND((INDEX($E1055:$G1055,AM$5)-SUMIFS(TF_Timer,TF_Tekniker,AM$4,TF_Dato,$A1055))*2,0)/2)))</f>
        <v/>
      </c>
      <c r="AN1055">
        <f>IF(OR(AN$4="",$A1055&gt;TODAY()),0,IF(OR(INDEX($B1055:$D1055,AN$5)="F",AND(AN$6&gt;0,$A1055&lt;AN$6),AND(AN$7&gt;0,$A1055&gt;AN$7)),0,MAX(0,ROUND((INDEX($E1055:$G1055,AN$5)-SUMIFS(TF_Timer,TF_Tekniker,AN$4,TF_Dato,$A1055))*2,0)/2)))</f>
        <v/>
      </c>
      <c r="AO1055">
        <f>IF(OR(AO$4="",$A1055&gt;TODAY()),0,IF(OR(INDEX($B1055:$D1055,AO$5)="F",AND(AO$6&gt;0,$A1055&lt;AO$6),AND(AO$7&gt;0,$A1055&gt;AO$7)),0,MAX(0,ROUND((INDEX($E1055:$G1055,AO$5)-SUMIFS(TF_Timer,TF_Tekniker,AO$4,TF_Dato,$A1055))*2,0)/2)))</f>
        <v/>
      </c>
      <c r="AP1055">
        <f>IF(OR(AP$4="",$A1055&gt;TODAY()),0,IF(OR(INDEX($B1055:$D1055,AP$5)="F",AND(AP$6&gt;0,$A1055&lt;AP$6),AND(AP$7&gt;0,$A1055&gt;AP$7)),0,MAX(0,ROUND((INDEX($E1055:$G1055,AP$5)-SUMIFS(TF_Timer,TF_Tekniker,AP$4,TF_Dato,$A1055))*2,0)/2)))</f>
        <v/>
      </c>
      <c r="AQ1055">
        <f>IF(OR(AQ$4="",$A1055&gt;TODAY()),0,IF(OR(INDEX($B1055:$D1055,AQ$5)="F",AND(AQ$6&gt;0,$A1055&lt;AQ$6),AND(AQ$7&gt;0,$A1055&gt;AQ$7)),0,MAX(0,ROUND((INDEX($E1055:$G1055,AQ$5)-SUMIFS(TF_Timer,TF_Tekniker,AQ$4,TF_Dato,$A1055))*2,0)/2)))</f>
        <v/>
      </c>
      <c r="AR1055">
        <f>IF(OR(AR$4="",$A1055&gt;TODAY()),0,IF(OR(INDEX($B1055:$D1055,AR$5)="F",AND(AR$6&gt;0,$A1055&lt;AR$6),AND(AR$7&gt;0,$A1055&gt;AR$7)),0,MAX(0,ROUND((INDEX($E1055:$G1055,AR$5)-SUMIFS(TF_Timer,TF_Tekniker,AR$4,TF_Dato,$A1055))*2,0)/2)))</f>
        <v/>
      </c>
      <c r="AS1055">
        <f>IF(OR(AS$4="",$A1055&gt;TODAY()),0,IF(OR(INDEX($B1055:$D1055,AS$5)="F",AND(AS$6&gt;0,$A1055&lt;AS$6),AND(AS$7&gt;0,$A1055&gt;AS$7)),0,MAX(0,ROUND((INDEX($E1055:$G1055,AS$5)-SUMIFS(TF_Timer,TF_Tekniker,AS$4,TF_Dato,$A1055))*2,0)/2)))</f>
        <v/>
      </c>
      <c r="AT1055">
        <f>IF(OR(AT$4="",$A1055&gt;TODAY()),0,IF(OR(INDEX($B1055:$D1055,AT$5)="F",AND(AT$6&gt;0,$A1055&lt;AT$6),AND(AT$7&gt;0,$A1055&gt;AT$7)),0,MAX(0,ROUND((INDEX($E1055:$G1055,AT$5)-SUMIFS(TF_Timer,TF_Tekniker,AT$4,TF_Dato,$A1055))*2,0)/2)))</f>
        <v/>
      </c>
      <c r="AU1055">
        <f>IF(OR(AU$4="",$A1055&gt;TODAY()),0,IF(OR(INDEX($B1055:$D1055,AU$5)="F",AND(AU$6&gt;0,$A1055&lt;AU$6),AND(AU$7&gt;0,$A1055&gt;AU$7)),0,MAX(0,ROUND((INDEX($E1055:$G1055,AU$5)-SUMIFS(TF_Timer,TF_Tekniker,AU$4,TF_Dato,$A1055))*2,0)/2)))</f>
        <v/>
      </c>
      <c r="AV1055">
        <f>IF(OR(AV$4="",$A1055&gt;TODAY()),0,IF(OR(INDEX($B1055:$D1055,AV$5)="F",AND(AV$6&gt;0,$A1055&lt;AV$6),AND(AV$7&gt;0,$A1055&gt;AV$7)),0,MAX(0,ROUND((INDEX($E1055:$G1055,AV$5)-SUMIFS(TF_Timer,TF_Tekniker,AV$4,TF_Dato,$A1055))*2,0)/2)))</f>
        <v/>
      </c>
      <c r="AW1055">
        <f>IF(OR(AW$4="",$A1055&gt;TODAY()),0,IF(OR(INDEX($B1055:$D1055,AW$5)="F",AND(AW$6&gt;0,$A1055&lt;AW$6),AND(AW$7&gt;0,$A1055&gt;AW$7)),0,MAX(0,ROUND((INDEX($E1055:$G1055,AW$5)-SUMIFS(TF_Timer,TF_Tekniker,AW$4,TF_Dato,$A1055))*2,0)/2)))</f>
        <v/>
      </c>
      <c r="AX1055">
        <f>IF(OR(AX$4="",$A1055&gt;TODAY()),0,IF(OR(INDEX($B1055:$D1055,AX$5)="F",AND(AX$6&gt;0,$A1055&lt;AX$6),AND(AX$7&gt;0,$A1055&gt;AX$7)),0,MAX(0,ROUND((INDEX($E1055:$G1055,AX$5)-SUMIFS(TF_Timer,TF_Tekniker,AX$4,TF_Dato,$A1055))*2,0)/2)))</f>
        <v/>
      </c>
      <c r="AY1055">
        <f>IF(OR(AY$4="",$A1055&gt;TODAY()),0,IF(OR(INDEX($B1055:$D1055,AY$5)="F",AND(AY$6&gt;0,$A1055&lt;AY$6),AND(AY$7&gt;0,$A1055&gt;AY$7)),0,MAX(0,ROUND((INDEX($E1055:$G1055,AY$5)-SUMIFS(TF_Timer,TF_Tekniker,AY$4,TF_Dato,$A1055))*2,0)/2)))</f>
        <v/>
      </c>
      <c r="AZ1055">
        <f>IF(OR(AZ$4="",$A1055&gt;TODAY()),0,IF(OR(INDEX($B1055:$D1055,AZ$5)="F",AND(AZ$6&gt;0,$A1055&lt;AZ$6),AND(AZ$7&gt;0,$A1055&gt;AZ$7)),0,MAX(0,ROUND((INDEX($E1055:$G1055,AZ$5)-SUMIFS(TF_Timer,TF_Tekniker,AZ$4,TF_Dato,$A1055))*2,0)/2)))</f>
        <v/>
      </c>
      <c r="BA1055">
        <f>IF(OR(BA$4="",$A1055&gt;TODAY()),0,IF(OR(INDEX($B1055:$D1055,BA$5)="F",AND(BA$6&gt;0,$A1055&lt;BA$6),AND(BA$7&gt;0,$A1055&gt;BA$7)),0,MAX(0,ROUND((INDEX($E1055:$G1055,BA$5)-SUMIFS(TF_Timer,TF_Tekniker,BA$4,TF_Dato,$A1055))*2,0)/2)))</f>
        <v/>
      </c>
      <c r="BB1055">
        <f>IF(OR(BB$4="",$A1055&gt;TODAY()),0,IF(OR(INDEX($B1055:$D1055,BB$5)="F",AND(BB$6&gt;0,$A1055&lt;BB$6),AND(BB$7&gt;0,$A1055&gt;BB$7)),0,MAX(0,ROUND((INDEX($E1055:$G1055,BB$5)-SUMIFS(TF_Timer,TF_Tekniker,BB$4,TF_Dato,$A1055))*2,0)/2)))</f>
        <v/>
      </c>
      <c r="BC1055">
        <f>IF(OR(BC$4="",$A1055&gt;TODAY()),0,IF(OR(INDEX($B1055:$D1055,BC$5)="F",AND(BC$6&gt;0,$A1055&lt;BC$6),AND(BC$7&gt;0,$A1055&gt;BC$7)),0,MAX(0,ROUND((INDEX($E1055:$G1055,BC$5)-SUMIFS(TF_Timer,TF_Tekniker,BC$4,TF_Dato,$A1055))*2,0)/2)))</f>
        <v/>
      </c>
      <c r="BD1055">
        <f>IF(OR(BD$4="",$A1055&gt;TODAY()),0,IF(OR(INDEX($B1055:$D1055,BD$5)="F",AND(BD$6&gt;0,$A1055&lt;BD$6),AND(BD$7&gt;0,$A1055&gt;BD$7)),0,MAX(0,ROUND((INDEX($E1055:$G1055,BD$5)-SUMIFS(TF_Timer,TF_Tekniker,BD$4,TF_Dato,$A1055))*2,0)/2)))</f>
        <v/>
      </c>
      <c r="BE1055">
        <f>IF(OR(BE$4="",$A1055&gt;TODAY()),0,IF(OR(INDEX($B1055:$D1055,BE$5)="F",AND(BE$6&gt;0,$A1055&lt;BE$6),AND(BE$7&gt;0,$A1055&gt;BE$7)),0,MAX(0,ROUND((INDEX($E1055:$G1055,BE$5)-SUMIFS(TF_Timer,TF_Tekniker,BE$4,TF_Dato,$A1055))*2,0)/2)))</f>
        <v/>
      </c>
      <c r="BF1055">
        <f>IF(OR(BF$4="",$A1055&gt;TODAY()),0,IF(OR(INDEX($B1055:$D1055,BF$5)="F",AND(BF$6&gt;0,$A1055&lt;BF$6),AND(BF$7&gt;0,$A1055&gt;BF$7)),0,MAX(0,ROUND((INDEX($E1055:$G1055,BF$5)-SUMIFS(TF_Timer,TF_Tekniker,BF$4,TF_Dato,$A1055))*2,0)/2)))</f>
        <v/>
      </c>
      <c r="BG1055">
        <f>IF(OR(BG$4="",$A1055&gt;TODAY()),0,IF(OR(INDEX($B1055:$D1055,BG$5)="F",AND(BG$6&gt;0,$A1055&lt;BG$6),AND(BG$7&gt;0,$A1055&gt;BG$7)),0,MAX(0,ROUND((INDEX($E1055:$G1055,BG$5)-SUMIFS(TF_Timer,TF_Tekniker,BG$4,TF_Dato,$A1055))*2,0)/2)))</f>
        <v/>
      </c>
      <c r="BH1055">
        <f>IF(OR(BH$4="",$A1055&gt;TODAY()),0,IF(OR(INDEX($B1055:$D1055,BH$5)="F",AND(BH$6&gt;0,$A1055&lt;BH$6),AND(BH$7&gt;0,$A1055&gt;BH$7)),0,MAX(0,ROUND((INDEX($E1055:$G1055,BH$5)-SUMIFS(TF_Timer,TF_Tekniker,BH$4,TF_Dato,$A1055))*2,0)/2)))</f>
        <v/>
      </c>
      <c r="BI1055">
        <f>IF(OR(BI$4="",$A1055&gt;TODAY()),0,IF(OR(INDEX($B1055:$D1055,BI$5)="F",AND(BI$6&gt;0,$A1055&lt;BI$6),AND(BI$7&gt;0,$A1055&gt;BI$7)),0,MAX(0,ROUND((INDEX($E1055:$G1055,BI$5)-SUMIFS(TF_Timer,TF_Tekniker,BI$4,TF_Dato,$A1055))*2,0)/2)))</f>
        <v/>
      </c>
    </row>
    <row r="1056">
      <c r="A1056" s="64">
        <f>A1055+1</f>
        <v/>
      </c>
      <c r="B1056">
        <f>IF(MOD($A1056-INDEX(SkiftStart,1),Syklus)&lt;DagK,"K",IF(MOD($A1056-INDEX(SkiftStart,1),Syklus)&lt;DagK+DagH,"H",IF(MOD($A1056-INDEX(SkiftStart,1),Syklus)&lt;DagK+DagH+DagD,"D","F")))</f>
        <v/>
      </c>
      <c r="C1056">
        <f>IF(MOD($A1056-INDEX(SkiftStart,2),Syklus)&lt;DagK,"K",IF(MOD($A1056-INDEX(SkiftStart,2),Syklus)&lt;DagK+DagH,"H",IF(MOD($A1056-INDEX(SkiftStart,2),Syklus)&lt;DagK+DagH+DagD,"D","F")))</f>
        <v/>
      </c>
      <c r="D1056">
        <f>IF(MOD($A1056-INDEX(SkiftStart,3),Syklus)&lt;DagK,"K",IF(MOD($A1056-INDEX(SkiftStart,3),Syklus)&lt;DagK+DagH,"H",IF(MOD($A1056-INDEX(SkiftStart,3),Syklus)&lt;DagK+DagH+DagD,"D","F")))</f>
        <v/>
      </c>
      <c r="E1056">
        <f>IF(B1056="F",0,IF(WEEKDAY($A1056,2)=5,INDEX(TimerFr,MATCH(B1056,FaseKode,0)),INDEX(TimerMT,MATCH(B1056,FaseKode,0))))</f>
        <v/>
      </c>
      <c r="F1056">
        <f>IF(C1056="F",0,IF(WEEKDAY($A1056,2)=5,INDEX(TimerFr,MATCH(C1056,FaseKode,0)),INDEX(TimerMT,MATCH(C1056,FaseKode,0))))</f>
        <v/>
      </c>
      <c r="G1056">
        <f>IF(D1056="F",0,IF(WEEKDAY($A1056,2)=5,INDEX(TimerFr,MATCH(D1056,FaseKode,0)),INDEX(TimerMT,MATCH(D1056,FaseKode,0))))</f>
        <v/>
      </c>
      <c r="H1056">
        <f>IF(OR(H$4="",$A1056&gt;TODAY()),0,IF(OR(INDEX($B1056:$D1056,H$5)="F",AND(H$6&gt;0,$A1056&lt;H$6),AND(H$7&gt;0,$A1056&gt;H$7)),0,MAX(0,ROUND((INDEX($E1056:$G1056,H$5)-SUMIFS(TF_Timer,TF_Tekniker,H$4,TF_Dato,$A1056))*2,0)/2)))</f>
        <v/>
      </c>
      <c r="I1056">
        <f>IF(OR(I$4="",$A1056&gt;TODAY()),0,IF(OR(INDEX($B1056:$D1056,I$5)="F",AND(I$6&gt;0,$A1056&lt;I$6),AND(I$7&gt;0,$A1056&gt;I$7)),0,MAX(0,ROUND((INDEX($E1056:$G1056,I$5)-SUMIFS(TF_Timer,TF_Tekniker,I$4,TF_Dato,$A1056))*2,0)/2)))</f>
        <v/>
      </c>
      <c r="J1056">
        <f>IF(OR(J$4="",$A1056&gt;TODAY()),0,IF(OR(INDEX($B1056:$D1056,J$5)="F",AND(J$6&gt;0,$A1056&lt;J$6),AND(J$7&gt;0,$A1056&gt;J$7)),0,MAX(0,ROUND((INDEX($E1056:$G1056,J$5)-SUMIFS(TF_Timer,TF_Tekniker,J$4,TF_Dato,$A1056))*2,0)/2)))</f>
        <v/>
      </c>
      <c r="K1056">
        <f>IF(OR(K$4="",$A1056&gt;TODAY()),0,IF(OR(INDEX($B1056:$D1056,K$5)="F",AND(K$6&gt;0,$A1056&lt;K$6),AND(K$7&gt;0,$A1056&gt;K$7)),0,MAX(0,ROUND((INDEX($E1056:$G1056,K$5)-SUMIFS(TF_Timer,TF_Tekniker,K$4,TF_Dato,$A1056))*2,0)/2)))</f>
        <v/>
      </c>
      <c r="L1056">
        <f>IF(OR(L$4="",$A1056&gt;TODAY()),0,IF(OR(INDEX($B1056:$D1056,L$5)="F",AND(L$6&gt;0,$A1056&lt;L$6),AND(L$7&gt;0,$A1056&gt;L$7)),0,MAX(0,ROUND((INDEX($E1056:$G1056,L$5)-SUMIFS(TF_Timer,TF_Tekniker,L$4,TF_Dato,$A1056))*2,0)/2)))</f>
        <v/>
      </c>
      <c r="M1056">
        <f>IF(OR(M$4="",$A1056&gt;TODAY()),0,IF(OR(INDEX($B1056:$D1056,M$5)="F",AND(M$6&gt;0,$A1056&lt;M$6),AND(M$7&gt;0,$A1056&gt;M$7)),0,MAX(0,ROUND((INDEX($E1056:$G1056,M$5)-SUMIFS(TF_Timer,TF_Tekniker,M$4,TF_Dato,$A1056))*2,0)/2)))</f>
        <v/>
      </c>
      <c r="N1056">
        <f>IF(OR(N$4="",$A1056&gt;TODAY()),0,IF(OR(INDEX($B1056:$D1056,N$5)="F",AND(N$6&gt;0,$A1056&lt;N$6),AND(N$7&gt;0,$A1056&gt;N$7)),0,MAX(0,ROUND((INDEX($E1056:$G1056,N$5)-SUMIFS(TF_Timer,TF_Tekniker,N$4,TF_Dato,$A1056))*2,0)/2)))</f>
        <v/>
      </c>
      <c r="O1056">
        <f>IF(OR(O$4="",$A1056&gt;TODAY()),0,IF(OR(INDEX($B1056:$D1056,O$5)="F",AND(O$6&gt;0,$A1056&lt;O$6),AND(O$7&gt;0,$A1056&gt;O$7)),0,MAX(0,ROUND((INDEX($E1056:$G1056,O$5)-SUMIFS(TF_Timer,TF_Tekniker,O$4,TF_Dato,$A1056))*2,0)/2)))</f>
        <v/>
      </c>
      <c r="P1056">
        <f>IF(OR(P$4="",$A1056&gt;TODAY()),0,IF(OR(INDEX($B1056:$D1056,P$5)="F",AND(P$6&gt;0,$A1056&lt;P$6),AND(P$7&gt;0,$A1056&gt;P$7)),0,MAX(0,ROUND((INDEX($E1056:$G1056,P$5)-SUMIFS(TF_Timer,TF_Tekniker,P$4,TF_Dato,$A1056))*2,0)/2)))</f>
        <v/>
      </c>
      <c r="Q1056">
        <f>IF(OR(Q$4="",$A1056&gt;TODAY()),0,IF(OR(INDEX($B1056:$D1056,Q$5)="F",AND(Q$6&gt;0,$A1056&lt;Q$6),AND(Q$7&gt;0,$A1056&gt;Q$7)),0,MAX(0,ROUND((INDEX($E1056:$G1056,Q$5)-SUMIFS(TF_Timer,TF_Tekniker,Q$4,TF_Dato,$A1056))*2,0)/2)))</f>
        <v/>
      </c>
      <c r="R1056">
        <f>IF(OR(R$4="",$A1056&gt;TODAY()),0,IF(OR(INDEX($B1056:$D1056,R$5)="F",AND(R$6&gt;0,$A1056&lt;R$6),AND(R$7&gt;0,$A1056&gt;R$7)),0,MAX(0,ROUND((INDEX($E1056:$G1056,R$5)-SUMIFS(TF_Timer,TF_Tekniker,R$4,TF_Dato,$A1056))*2,0)/2)))</f>
        <v/>
      </c>
      <c r="S1056">
        <f>IF(OR(S$4="",$A1056&gt;TODAY()),0,IF(OR(INDEX($B1056:$D1056,S$5)="F",AND(S$6&gt;0,$A1056&lt;S$6),AND(S$7&gt;0,$A1056&gt;S$7)),0,MAX(0,ROUND((INDEX($E1056:$G1056,S$5)-SUMIFS(TF_Timer,TF_Tekniker,S$4,TF_Dato,$A1056))*2,0)/2)))</f>
        <v/>
      </c>
      <c r="T1056">
        <f>IF(OR(T$4="",$A1056&gt;TODAY()),0,IF(OR(INDEX($B1056:$D1056,T$5)="F",AND(T$6&gt;0,$A1056&lt;T$6),AND(T$7&gt;0,$A1056&gt;T$7)),0,MAX(0,ROUND((INDEX($E1056:$G1056,T$5)-SUMIFS(TF_Timer,TF_Tekniker,T$4,TF_Dato,$A1056))*2,0)/2)))</f>
        <v/>
      </c>
      <c r="U1056">
        <f>IF(OR(U$4="",$A1056&gt;TODAY()),0,IF(OR(INDEX($B1056:$D1056,U$5)="F",AND(U$6&gt;0,$A1056&lt;U$6),AND(U$7&gt;0,$A1056&gt;U$7)),0,MAX(0,ROUND((INDEX($E1056:$G1056,U$5)-SUMIFS(TF_Timer,TF_Tekniker,U$4,TF_Dato,$A1056))*2,0)/2)))</f>
        <v/>
      </c>
      <c r="V1056">
        <f>IF(OR(V$4="",$A1056&gt;TODAY()),0,IF(OR(INDEX($B1056:$D1056,V$5)="F",AND(V$6&gt;0,$A1056&lt;V$6),AND(V$7&gt;0,$A1056&gt;V$7)),0,MAX(0,ROUND((INDEX($E1056:$G1056,V$5)-SUMIFS(TF_Timer,TF_Tekniker,V$4,TF_Dato,$A1056))*2,0)/2)))</f>
        <v/>
      </c>
      <c r="W1056">
        <f>IF(OR(W$4="",$A1056&gt;TODAY()),0,IF(OR(INDEX($B1056:$D1056,W$5)="F",AND(W$6&gt;0,$A1056&lt;W$6),AND(W$7&gt;0,$A1056&gt;W$7)),0,MAX(0,ROUND((INDEX($E1056:$G1056,W$5)-SUMIFS(TF_Timer,TF_Tekniker,W$4,TF_Dato,$A1056))*2,0)/2)))</f>
        <v/>
      </c>
      <c r="X1056">
        <f>IF(OR(X$4="",$A1056&gt;TODAY()),0,IF(OR(INDEX($B1056:$D1056,X$5)="F",AND(X$6&gt;0,$A1056&lt;X$6),AND(X$7&gt;0,$A1056&gt;X$7)),0,MAX(0,ROUND((INDEX($E1056:$G1056,X$5)-SUMIFS(TF_Timer,TF_Tekniker,X$4,TF_Dato,$A1056))*2,0)/2)))</f>
        <v/>
      </c>
      <c r="Y1056">
        <f>IF(OR(Y$4="",$A1056&gt;TODAY()),0,IF(OR(INDEX($B1056:$D1056,Y$5)="F",AND(Y$6&gt;0,$A1056&lt;Y$6),AND(Y$7&gt;0,$A1056&gt;Y$7)),0,MAX(0,ROUND((INDEX($E1056:$G1056,Y$5)-SUMIFS(TF_Timer,TF_Tekniker,Y$4,TF_Dato,$A1056))*2,0)/2)))</f>
        <v/>
      </c>
      <c r="Z1056">
        <f>IF(OR(Z$4="",$A1056&gt;TODAY()),0,IF(OR(INDEX($B1056:$D1056,Z$5)="F",AND(Z$6&gt;0,$A1056&lt;Z$6),AND(Z$7&gt;0,$A1056&gt;Z$7)),0,MAX(0,ROUND((INDEX($E1056:$G1056,Z$5)-SUMIFS(TF_Timer,TF_Tekniker,Z$4,TF_Dato,$A1056))*2,0)/2)))</f>
        <v/>
      </c>
      <c r="AA1056">
        <f>IF(OR(AA$4="",$A1056&gt;TODAY()),0,IF(OR(INDEX($B1056:$D1056,AA$5)="F",AND(AA$6&gt;0,$A1056&lt;AA$6),AND(AA$7&gt;0,$A1056&gt;AA$7)),0,MAX(0,ROUND((INDEX($E1056:$G1056,AA$5)-SUMIFS(TF_Timer,TF_Tekniker,AA$4,TF_Dato,$A1056))*2,0)/2)))</f>
        <v/>
      </c>
      <c r="AB1056">
        <f>IF(OR(AB$4="",$A1056&gt;TODAY()),0,IF(OR(INDEX($B1056:$D1056,AB$5)="F",AND(AB$6&gt;0,$A1056&lt;AB$6),AND(AB$7&gt;0,$A1056&gt;AB$7)),0,MAX(0,ROUND((INDEX($E1056:$G1056,AB$5)-SUMIFS(TF_Timer,TF_Tekniker,AB$4,TF_Dato,$A1056))*2,0)/2)))</f>
        <v/>
      </c>
      <c r="AC1056">
        <f>IF(OR(AC$4="",$A1056&gt;TODAY()),0,IF(OR(INDEX($B1056:$D1056,AC$5)="F",AND(AC$6&gt;0,$A1056&lt;AC$6),AND(AC$7&gt;0,$A1056&gt;AC$7)),0,MAX(0,ROUND((INDEX($E1056:$G1056,AC$5)-SUMIFS(TF_Timer,TF_Tekniker,AC$4,TF_Dato,$A1056))*2,0)/2)))</f>
        <v/>
      </c>
      <c r="AD1056">
        <f>IF(OR(AD$4="",$A1056&gt;TODAY()),0,IF(OR(INDEX($B1056:$D1056,AD$5)="F",AND(AD$6&gt;0,$A1056&lt;AD$6),AND(AD$7&gt;0,$A1056&gt;AD$7)),0,MAX(0,ROUND((INDEX($E1056:$G1056,AD$5)-SUMIFS(TF_Timer,TF_Tekniker,AD$4,TF_Dato,$A1056))*2,0)/2)))</f>
        <v/>
      </c>
      <c r="AE1056">
        <f>IF(OR(AE$4="",$A1056&gt;TODAY()),0,IF(OR(INDEX($B1056:$D1056,AE$5)="F",AND(AE$6&gt;0,$A1056&lt;AE$6),AND(AE$7&gt;0,$A1056&gt;AE$7)),0,MAX(0,ROUND((INDEX($E1056:$G1056,AE$5)-SUMIFS(TF_Timer,TF_Tekniker,AE$4,TF_Dato,$A1056))*2,0)/2)))</f>
        <v/>
      </c>
      <c r="AF1056">
        <f>IF(OR(AF$4="",$A1056&gt;TODAY()),0,IF(OR(INDEX($B1056:$D1056,AF$5)="F",AND(AF$6&gt;0,$A1056&lt;AF$6),AND(AF$7&gt;0,$A1056&gt;AF$7)),0,MAX(0,ROUND((INDEX($E1056:$G1056,AF$5)-SUMIFS(TF_Timer,TF_Tekniker,AF$4,TF_Dato,$A1056))*2,0)/2)))</f>
        <v/>
      </c>
      <c r="AG1056">
        <f>IF(OR(AG$4="",$A1056&gt;TODAY()),0,IF(OR(INDEX($B1056:$D1056,AG$5)="F",AND(AG$6&gt;0,$A1056&lt;AG$6),AND(AG$7&gt;0,$A1056&gt;AG$7)),0,MAX(0,ROUND((INDEX($E1056:$G1056,AG$5)-SUMIFS(TF_Timer,TF_Tekniker,AG$4,TF_Dato,$A1056))*2,0)/2)))</f>
        <v/>
      </c>
      <c r="AH1056">
        <f>IF(OR(AH$4="",$A1056&gt;TODAY()),0,IF(OR(INDEX($B1056:$D1056,AH$5)="F",AND(AH$6&gt;0,$A1056&lt;AH$6),AND(AH$7&gt;0,$A1056&gt;AH$7)),0,MAX(0,ROUND((INDEX($E1056:$G1056,AH$5)-SUMIFS(TF_Timer,TF_Tekniker,AH$4,TF_Dato,$A1056))*2,0)/2)))</f>
        <v/>
      </c>
      <c r="AI1056">
        <f>IF(OR(AI$4="",$A1056&gt;TODAY()),0,IF(OR(INDEX($B1056:$D1056,AI$5)="F",AND(AI$6&gt;0,$A1056&lt;AI$6),AND(AI$7&gt;0,$A1056&gt;AI$7)),0,MAX(0,ROUND((INDEX($E1056:$G1056,AI$5)-SUMIFS(TF_Timer,TF_Tekniker,AI$4,TF_Dato,$A1056))*2,0)/2)))</f>
        <v/>
      </c>
      <c r="AJ1056">
        <f>IF(OR(AJ$4="",$A1056&gt;TODAY()),0,IF(OR(INDEX($B1056:$D1056,AJ$5)="F",AND(AJ$6&gt;0,$A1056&lt;AJ$6),AND(AJ$7&gt;0,$A1056&gt;AJ$7)),0,MAX(0,ROUND((INDEX($E1056:$G1056,AJ$5)-SUMIFS(TF_Timer,TF_Tekniker,AJ$4,TF_Dato,$A1056))*2,0)/2)))</f>
        <v/>
      </c>
      <c r="AK1056">
        <f>IF(OR(AK$4="",$A1056&gt;TODAY()),0,IF(OR(INDEX($B1056:$D1056,AK$5)="F",AND(AK$6&gt;0,$A1056&lt;AK$6),AND(AK$7&gt;0,$A1056&gt;AK$7)),0,MAX(0,ROUND((INDEX($E1056:$G1056,AK$5)-SUMIFS(TF_Timer,TF_Tekniker,AK$4,TF_Dato,$A1056))*2,0)/2)))</f>
        <v/>
      </c>
      <c r="AL1056">
        <f>IF(OR(AL$4="",$A1056&gt;TODAY()),0,IF(OR(INDEX($B1056:$D1056,AL$5)="F",AND(AL$6&gt;0,$A1056&lt;AL$6),AND(AL$7&gt;0,$A1056&gt;AL$7)),0,MAX(0,ROUND((INDEX($E1056:$G1056,AL$5)-SUMIFS(TF_Timer,TF_Tekniker,AL$4,TF_Dato,$A1056))*2,0)/2)))</f>
        <v/>
      </c>
      <c r="AM1056">
        <f>IF(OR(AM$4="",$A1056&gt;TODAY()),0,IF(OR(INDEX($B1056:$D1056,AM$5)="F",AND(AM$6&gt;0,$A1056&lt;AM$6),AND(AM$7&gt;0,$A1056&gt;AM$7)),0,MAX(0,ROUND((INDEX($E1056:$G1056,AM$5)-SUMIFS(TF_Timer,TF_Tekniker,AM$4,TF_Dato,$A1056))*2,0)/2)))</f>
        <v/>
      </c>
      <c r="AN1056">
        <f>IF(OR(AN$4="",$A1056&gt;TODAY()),0,IF(OR(INDEX($B1056:$D1056,AN$5)="F",AND(AN$6&gt;0,$A1056&lt;AN$6),AND(AN$7&gt;0,$A1056&gt;AN$7)),0,MAX(0,ROUND((INDEX($E1056:$G1056,AN$5)-SUMIFS(TF_Timer,TF_Tekniker,AN$4,TF_Dato,$A1056))*2,0)/2)))</f>
        <v/>
      </c>
      <c r="AO1056">
        <f>IF(OR(AO$4="",$A1056&gt;TODAY()),0,IF(OR(INDEX($B1056:$D1056,AO$5)="F",AND(AO$6&gt;0,$A1056&lt;AO$6),AND(AO$7&gt;0,$A1056&gt;AO$7)),0,MAX(0,ROUND((INDEX($E1056:$G1056,AO$5)-SUMIFS(TF_Timer,TF_Tekniker,AO$4,TF_Dato,$A1056))*2,0)/2)))</f>
        <v/>
      </c>
      <c r="AP1056">
        <f>IF(OR(AP$4="",$A1056&gt;TODAY()),0,IF(OR(INDEX($B1056:$D1056,AP$5)="F",AND(AP$6&gt;0,$A1056&lt;AP$6),AND(AP$7&gt;0,$A1056&gt;AP$7)),0,MAX(0,ROUND((INDEX($E1056:$G1056,AP$5)-SUMIFS(TF_Timer,TF_Tekniker,AP$4,TF_Dato,$A1056))*2,0)/2)))</f>
        <v/>
      </c>
      <c r="AQ1056">
        <f>IF(OR(AQ$4="",$A1056&gt;TODAY()),0,IF(OR(INDEX($B1056:$D1056,AQ$5)="F",AND(AQ$6&gt;0,$A1056&lt;AQ$6),AND(AQ$7&gt;0,$A1056&gt;AQ$7)),0,MAX(0,ROUND((INDEX($E1056:$G1056,AQ$5)-SUMIFS(TF_Timer,TF_Tekniker,AQ$4,TF_Dato,$A1056))*2,0)/2)))</f>
        <v/>
      </c>
      <c r="AR1056">
        <f>IF(OR(AR$4="",$A1056&gt;TODAY()),0,IF(OR(INDEX($B1056:$D1056,AR$5)="F",AND(AR$6&gt;0,$A1056&lt;AR$6),AND(AR$7&gt;0,$A1056&gt;AR$7)),0,MAX(0,ROUND((INDEX($E1056:$G1056,AR$5)-SUMIFS(TF_Timer,TF_Tekniker,AR$4,TF_Dato,$A1056))*2,0)/2)))</f>
        <v/>
      </c>
      <c r="AS1056">
        <f>IF(OR(AS$4="",$A1056&gt;TODAY()),0,IF(OR(INDEX($B1056:$D1056,AS$5)="F",AND(AS$6&gt;0,$A1056&lt;AS$6),AND(AS$7&gt;0,$A1056&gt;AS$7)),0,MAX(0,ROUND((INDEX($E1056:$G1056,AS$5)-SUMIFS(TF_Timer,TF_Tekniker,AS$4,TF_Dato,$A1056))*2,0)/2)))</f>
        <v/>
      </c>
      <c r="AT1056">
        <f>IF(OR(AT$4="",$A1056&gt;TODAY()),0,IF(OR(INDEX($B1056:$D1056,AT$5)="F",AND(AT$6&gt;0,$A1056&lt;AT$6),AND(AT$7&gt;0,$A1056&gt;AT$7)),0,MAX(0,ROUND((INDEX($E1056:$G1056,AT$5)-SUMIFS(TF_Timer,TF_Tekniker,AT$4,TF_Dato,$A1056))*2,0)/2)))</f>
        <v/>
      </c>
      <c r="AU1056">
        <f>IF(OR(AU$4="",$A1056&gt;TODAY()),0,IF(OR(INDEX($B1056:$D1056,AU$5)="F",AND(AU$6&gt;0,$A1056&lt;AU$6),AND(AU$7&gt;0,$A1056&gt;AU$7)),0,MAX(0,ROUND((INDEX($E1056:$G1056,AU$5)-SUMIFS(TF_Timer,TF_Tekniker,AU$4,TF_Dato,$A1056))*2,0)/2)))</f>
        <v/>
      </c>
      <c r="AV1056">
        <f>IF(OR(AV$4="",$A1056&gt;TODAY()),0,IF(OR(INDEX($B1056:$D1056,AV$5)="F",AND(AV$6&gt;0,$A1056&lt;AV$6),AND(AV$7&gt;0,$A1056&gt;AV$7)),0,MAX(0,ROUND((INDEX($E1056:$G1056,AV$5)-SUMIFS(TF_Timer,TF_Tekniker,AV$4,TF_Dato,$A1056))*2,0)/2)))</f>
        <v/>
      </c>
      <c r="AW1056">
        <f>IF(OR(AW$4="",$A1056&gt;TODAY()),0,IF(OR(INDEX($B1056:$D1056,AW$5)="F",AND(AW$6&gt;0,$A1056&lt;AW$6),AND(AW$7&gt;0,$A1056&gt;AW$7)),0,MAX(0,ROUND((INDEX($E1056:$G1056,AW$5)-SUMIFS(TF_Timer,TF_Tekniker,AW$4,TF_Dato,$A1056))*2,0)/2)))</f>
        <v/>
      </c>
      <c r="AX1056">
        <f>IF(OR(AX$4="",$A1056&gt;TODAY()),0,IF(OR(INDEX($B1056:$D1056,AX$5)="F",AND(AX$6&gt;0,$A1056&lt;AX$6),AND(AX$7&gt;0,$A1056&gt;AX$7)),0,MAX(0,ROUND((INDEX($E1056:$G1056,AX$5)-SUMIFS(TF_Timer,TF_Tekniker,AX$4,TF_Dato,$A1056))*2,0)/2)))</f>
        <v/>
      </c>
      <c r="AY1056">
        <f>IF(OR(AY$4="",$A1056&gt;TODAY()),0,IF(OR(INDEX($B1056:$D1056,AY$5)="F",AND(AY$6&gt;0,$A1056&lt;AY$6),AND(AY$7&gt;0,$A1056&gt;AY$7)),0,MAX(0,ROUND((INDEX($E1056:$G1056,AY$5)-SUMIFS(TF_Timer,TF_Tekniker,AY$4,TF_Dato,$A1056))*2,0)/2)))</f>
        <v/>
      </c>
      <c r="AZ1056">
        <f>IF(OR(AZ$4="",$A1056&gt;TODAY()),0,IF(OR(INDEX($B1056:$D1056,AZ$5)="F",AND(AZ$6&gt;0,$A1056&lt;AZ$6),AND(AZ$7&gt;0,$A1056&gt;AZ$7)),0,MAX(0,ROUND((INDEX($E1056:$G1056,AZ$5)-SUMIFS(TF_Timer,TF_Tekniker,AZ$4,TF_Dato,$A1056))*2,0)/2)))</f>
        <v/>
      </c>
      <c r="BA1056">
        <f>IF(OR(BA$4="",$A1056&gt;TODAY()),0,IF(OR(INDEX($B1056:$D1056,BA$5)="F",AND(BA$6&gt;0,$A1056&lt;BA$6),AND(BA$7&gt;0,$A1056&gt;BA$7)),0,MAX(0,ROUND((INDEX($E1056:$G1056,BA$5)-SUMIFS(TF_Timer,TF_Tekniker,BA$4,TF_Dato,$A1056))*2,0)/2)))</f>
        <v/>
      </c>
      <c r="BB1056">
        <f>IF(OR(BB$4="",$A1056&gt;TODAY()),0,IF(OR(INDEX($B1056:$D1056,BB$5)="F",AND(BB$6&gt;0,$A1056&lt;BB$6),AND(BB$7&gt;0,$A1056&gt;BB$7)),0,MAX(0,ROUND((INDEX($E1056:$G1056,BB$5)-SUMIFS(TF_Timer,TF_Tekniker,BB$4,TF_Dato,$A1056))*2,0)/2)))</f>
        <v/>
      </c>
      <c r="BC1056">
        <f>IF(OR(BC$4="",$A1056&gt;TODAY()),0,IF(OR(INDEX($B1056:$D1056,BC$5)="F",AND(BC$6&gt;0,$A1056&lt;BC$6),AND(BC$7&gt;0,$A1056&gt;BC$7)),0,MAX(0,ROUND((INDEX($E1056:$G1056,BC$5)-SUMIFS(TF_Timer,TF_Tekniker,BC$4,TF_Dato,$A1056))*2,0)/2)))</f>
        <v/>
      </c>
      <c r="BD1056">
        <f>IF(OR(BD$4="",$A1056&gt;TODAY()),0,IF(OR(INDEX($B1056:$D1056,BD$5)="F",AND(BD$6&gt;0,$A1056&lt;BD$6),AND(BD$7&gt;0,$A1056&gt;BD$7)),0,MAX(0,ROUND((INDEX($E1056:$G1056,BD$5)-SUMIFS(TF_Timer,TF_Tekniker,BD$4,TF_Dato,$A1056))*2,0)/2)))</f>
        <v/>
      </c>
      <c r="BE1056">
        <f>IF(OR(BE$4="",$A1056&gt;TODAY()),0,IF(OR(INDEX($B1056:$D1056,BE$5)="F",AND(BE$6&gt;0,$A1056&lt;BE$6),AND(BE$7&gt;0,$A1056&gt;BE$7)),0,MAX(0,ROUND((INDEX($E1056:$G1056,BE$5)-SUMIFS(TF_Timer,TF_Tekniker,BE$4,TF_Dato,$A1056))*2,0)/2)))</f>
        <v/>
      </c>
      <c r="BF1056">
        <f>IF(OR(BF$4="",$A1056&gt;TODAY()),0,IF(OR(INDEX($B1056:$D1056,BF$5)="F",AND(BF$6&gt;0,$A1056&lt;BF$6),AND(BF$7&gt;0,$A1056&gt;BF$7)),0,MAX(0,ROUND((INDEX($E1056:$G1056,BF$5)-SUMIFS(TF_Timer,TF_Tekniker,BF$4,TF_Dato,$A1056))*2,0)/2)))</f>
        <v/>
      </c>
      <c r="BG1056">
        <f>IF(OR(BG$4="",$A1056&gt;TODAY()),0,IF(OR(INDEX($B1056:$D1056,BG$5)="F",AND(BG$6&gt;0,$A1056&lt;BG$6),AND(BG$7&gt;0,$A1056&gt;BG$7)),0,MAX(0,ROUND((INDEX($E1056:$G1056,BG$5)-SUMIFS(TF_Timer,TF_Tekniker,BG$4,TF_Dato,$A1056))*2,0)/2)))</f>
        <v/>
      </c>
      <c r="BH1056">
        <f>IF(OR(BH$4="",$A1056&gt;TODAY()),0,IF(OR(INDEX($B1056:$D1056,BH$5)="F",AND(BH$6&gt;0,$A1056&lt;BH$6),AND(BH$7&gt;0,$A1056&gt;BH$7)),0,MAX(0,ROUND((INDEX($E1056:$G1056,BH$5)-SUMIFS(TF_Timer,TF_Tekniker,BH$4,TF_Dato,$A1056))*2,0)/2)))</f>
        <v/>
      </c>
      <c r="BI1056">
        <f>IF(OR(BI$4="",$A1056&gt;TODAY()),0,IF(OR(INDEX($B1056:$D1056,BI$5)="F",AND(BI$6&gt;0,$A1056&lt;BI$6),AND(BI$7&gt;0,$A1056&gt;BI$7)),0,MAX(0,ROUND((INDEX($E1056:$G1056,BI$5)-SUMIFS(TF_Timer,TF_Tekniker,BI$4,TF_Dato,$A1056))*2,0)/2)))</f>
        <v/>
      </c>
    </row>
    <row r="1057">
      <c r="A1057" s="64">
        <f>A1056+1</f>
        <v/>
      </c>
      <c r="B1057">
        <f>IF(MOD($A1057-INDEX(SkiftStart,1),Syklus)&lt;DagK,"K",IF(MOD($A1057-INDEX(SkiftStart,1),Syklus)&lt;DagK+DagH,"H",IF(MOD($A1057-INDEX(SkiftStart,1),Syklus)&lt;DagK+DagH+DagD,"D","F")))</f>
        <v/>
      </c>
      <c r="C1057">
        <f>IF(MOD($A1057-INDEX(SkiftStart,2),Syklus)&lt;DagK,"K",IF(MOD($A1057-INDEX(SkiftStart,2),Syklus)&lt;DagK+DagH,"H",IF(MOD($A1057-INDEX(SkiftStart,2),Syklus)&lt;DagK+DagH+DagD,"D","F")))</f>
        <v/>
      </c>
      <c r="D1057">
        <f>IF(MOD($A1057-INDEX(SkiftStart,3),Syklus)&lt;DagK,"K",IF(MOD($A1057-INDEX(SkiftStart,3),Syklus)&lt;DagK+DagH,"H",IF(MOD($A1057-INDEX(SkiftStart,3),Syklus)&lt;DagK+DagH+DagD,"D","F")))</f>
        <v/>
      </c>
      <c r="E1057">
        <f>IF(B1057="F",0,IF(WEEKDAY($A1057,2)=5,INDEX(TimerFr,MATCH(B1057,FaseKode,0)),INDEX(TimerMT,MATCH(B1057,FaseKode,0))))</f>
        <v/>
      </c>
      <c r="F1057">
        <f>IF(C1057="F",0,IF(WEEKDAY($A1057,2)=5,INDEX(TimerFr,MATCH(C1057,FaseKode,0)),INDEX(TimerMT,MATCH(C1057,FaseKode,0))))</f>
        <v/>
      </c>
      <c r="G1057">
        <f>IF(D1057="F",0,IF(WEEKDAY($A1057,2)=5,INDEX(TimerFr,MATCH(D1057,FaseKode,0)),INDEX(TimerMT,MATCH(D1057,FaseKode,0))))</f>
        <v/>
      </c>
      <c r="H1057">
        <f>IF(OR(H$4="",$A1057&gt;TODAY()),0,IF(OR(INDEX($B1057:$D1057,H$5)="F",AND(H$6&gt;0,$A1057&lt;H$6),AND(H$7&gt;0,$A1057&gt;H$7)),0,MAX(0,ROUND((INDEX($E1057:$G1057,H$5)-SUMIFS(TF_Timer,TF_Tekniker,H$4,TF_Dato,$A1057))*2,0)/2)))</f>
        <v/>
      </c>
      <c r="I1057">
        <f>IF(OR(I$4="",$A1057&gt;TODAY()),0,IF(OR(INDEX($B1057:$D1057,I$5)="F",AND(I$6&gt;0,$A1057&lt;I$6),AND(I$7&gt;0,$A1057&gt;I$7)),0,MAX(0,ROUND((INDEX($E1057:$G1057,I$5)-SUMIFS(TF_Timer,TF_Tekniker,I$4,TF_Dato,$A1057))*2,0)/2)))</f>
        <v/>
      </c>
      <c r="J1057">
        <f>IF(OR(J$4="",$A1057&gt;TODAY()),0,IF(OR(INDEX($B1057:$D1057,J$5)="F",AND(J$6&gt;0,$A1057&lt;J$6),AND(J$7&gt;0,$A1057&gt;J$7)),0,MAX(0,ROUND((INDEX($E1057:$G1057,J$5)-SUMIFS(TF_Timer,TF_Tekniker,J$4,TF_Dato,$A1057))*2,0)/2)))</f>
        <v/>
      </c>
      <c r="K1057">
        <f>IF(OR(K$4="",$A1057&gt;TODAY()),0,IF(OR(INDEX($B1057:$D1057,K$5)="F",AND(K$6&gt;0,$A1057&lt;K$6),AND(K$7&gt;0,$A1057&gt;K$7)),0,MAX(0,ROUND((INDEX($E1057:$G1057,K$5)-SUMIFS(TF_Timer,TF_Tekniker,K$4,TF_Dato,$A1057))*2,0)/2)))</f>
        <v/>
      </c>
      <c r="L1057">
        <f>IF(OR(L$4="",$A1057&gt;TODAY()),0,IF(OR(INDEX($B1057:$D1057,L$5)="F",AND(L$6&gt;0,$A1057&lt;L$6),AND(L$7&gt;0,$A1057&gt;L$7)),0,MAX(0,ROUND((INDEX($E1057:$G1057,L$5)-SUMIFS(TF_Timer,TF_Tekniker,L$4,TF_Dato,$A1057))*2,0)/2)))</f>
        <v/>
      </c>
      <c r="M1057">
        <f>IF(OR(M$4="",$A1057&gt;TODAY()),0,IF(OR(INDEX($B1057:$D1057,M$5)="F",AND(M$6&gt;0,$A1057&lt;M$6),AND(M$7&gt;0,$A1057&gt;M$7)),0,MAX(0,ROUND((INDEX($E1057:$G1057,M$5)-SUMIFS(TF_Timer,TF_Tekniker,M$4,TF_Dato,$A1057))*2,0)/2)))</f>
        <v/>
      </c>
      <c r="N1057">
        <f>IF(OR(N$4="",$A1057&gt;TODAY()),0,IF(OR(INDEX($B1057:$D1057,N$5)="F",AND(N$6&gt;0,$A1057&lt;N$6),AND(N$7&gt;0,$A1057&gt;N$7)),0,MAX(0,ROUND((INDEX($E1057:$G1057,N$5)-SUMIFS(TF_Timer,TF_Tekniker,N$4,TF_Dato,$A1057))*2,0)/2)))</f>
        <v/>
      </c>
      <c r="O1057">
        <f>IF(OR(O$4="",$A1057&gt;TODAY()),0,IF(OR(INDEX($B1057:$D1057,O$5)="F",AND(O$6&gt;0,$A1057&lt;O$6),AND(O$7&gt;0,$A1057&gt;O$7)),0,MAX(0,ROUND((INDEX($E1057:$G1057,O$5)-SUMIFS(TF_Timer,TF_Tekniker,O$4,TF_Dato,$A1057))*2,0)/2)))</f>
        <v/>
      </c>
      <c r="P1057">
        <f>IF(OR(P$4="",$A1057&gt;TODAY()),0,IF(OR(INDEX($B1057:$D1057,P$5)="F",AND(P$6&gt;0,$A1057&lt;P$6),AND(P$7&gt;0,$A1057&gt;P$7)),0,MAX(0,ROUND((INDEX($E1057:$G1057,P$5)-SUMIFS(TF_Timer,TF_Tekniker,P$4,TF_Dato,$A1057))*2,0)/2)))</f>
        <v/>
      </c>
      <c r="Q1057">
        <f>IF(OR(Q$4="",$A1057&gt;TODAY()),0,IF(OR(INDEX($B1057:$D1057,Q$5)="F",AND(Q$6&gt;0,$A1057&lt;Q$6),AND(Q$7&gt;0,$A1057&gt;Q$7)),0,MAX(0,ROUND((INDEX($E1057:$G1057,Q$5)-SUMIFS(TF_Timer,TF_Tekniker,Q$4,TF_Dato,$A1057))*2,0)/2)))</f>
        <v/>
      </c>
      <c r="R1057">
        <f>IF(OR(R$4="",$A1057&gt;TODAY()),0,IF(OR(INDEX($B1057:$D1057,R$5)="F",AND(R$6&gt;0,$A1057&lt;R$6),AND(R$7&gt;0,$A1057&gt;R$7)),0,MAX(0,ROUND((INDEX($E1057:$G1057,R$5)-SUMIFS(TF_Timer,TF_Tekniker,R$4,TF_Dato,$A1057))*2,0)/2)))</f>
        <v/>
      </c>
      <c r="S1057">
        <f>IF(OR(S$4="",$A1057&gt;TODAY()),0,IF(OR(INDEX($B1057:$D1057,S$5)="F",AND(S$6&gt;0,$A1057&lt;S$6),AND(S$7&gt;0,$A1057&gt;S$7)),0,MAX(0,ROUND((INDEX($E1057:$G1057,S$5)-SUMIFS(TF_Timer,TF_Tekniker,S$4,TF_Dato,$A1057))*2,0)/2)))</f>
        <v/>
      </c>
      <c r="T1057">
        <f>IF(OR(T$4="",$A1057&gt;TODAY()),0,IF(OR(INDEX($B1057:$D1057,T$5)="F",AND(T$6&gt;0,$A1057&lt;T$6),AND(T$7&gt;0,$A1057&gt;T$7)),0,MAX(0,ROUND((INDEX($E1057:$G1057,T$5)-SUMIFS(TF_Timer,TF_Tekniker,T$4,TF_Dato,$A1057))*2,0)/2)))</f>
        <v/>
      </c>
      <c r="U1057">
        <f>IF(OR(U$4="",$A1057&gt;TODAY()),0,IF(OR(INDEX($B1057:$D1057,U$5)="F",AND(U$6&gt;0,$A1057&lt;U$6),AND(U$7&gt;0,$A1057&gt;U$7)),0,MAX(0,ROUND((INDEX($E1057:$G1057,U$5)-SUMIFS(TF_Timer,TF_Tekniker,U$4,TF_Dato,$A1057))*2,0)/2)))</f>
        <v/>
      </c>
      <c r="V1057">
        <f>IF(OR(V$4="",$A1057&gt;TODAY()),0,IF(OR(INDEX($B1057:$D1057,V$5)="F",AND(V$6&gt;0,$A1057&lt;V$6),AND(V$7&gt;0,$A1057&gt;V$7)),0,MAX(0,ROUND((INDEX($E1057:$G1057,V$5)-SUMIFS(TF_Timer,TF_Tekniker,V$4,TF_Dato,$A1057))*2,0)/2)))</f>
        <v/>
      </c>
      <c r="W1057">
        <f>IF(OR(W$4="",$A1057&gt;TODAY()),0,IF(OR(INDEX($B1057:$D1057,W$5)="F",AND(W$6&gt;0,$A1057&lt;W$6),AND(W$7&gt;0,$A1057&gt;W$7)),0,MAX(0,ROUND((INDEX($E1057:$G1057,W$5)-SUMIFS(TF_Timer,TF_Tekniker,W$4,TF_Dato,$A1057))*2,0)/2)))</f>
        <v/>
      </c>
      <c r="X1057">
        <f>IF(OR(X$4="",$A1057&gt;TODAY()),0,IF(OR(INDEX($B1057:$D1057,X$5)="F",AND(X$6&gt;0,$A1057&lt;X$6),AND(X$7&gt;0,$A1057&gt;X$7)),0,MAX(0,ROUND((INDEX($E1057:$G1057,X$5)-SUMIFS(TF_Timer,TF_Tekniker,X$4,TF_Dato,$A1057))*2,0)/2)))</f>
        <v/>
      </c>
      <c r="Y1057">
        <f>IF(OR(Y$4="",$A1057&gt;TODAY()),0,IF(OR(INDEX($B1057:$D1057,Y$5)="F",AND(Y$6&gt;0,$A1057&lt;Y$6),AND(Y$7&gt;0,$A1057&gt;Y$7)),0,MAX(0,ROUND((INDEX($E1057:$G1057,Y$5)-SUMIFS(TF_Timer,TF_Tekniker,Y$4,TF_Dato,$A1057))*2,0)/2)))</f>
        <v/>
      </c>
      <c r="Z1057">
        <f>IF(OR(Z$4="",$A1057&gt;TODAY()),0,IF(OR(INDEX($B1057:$D1057,Z$5)="F",AND(Z$6&gt;0,$A1057&lt;Z$6),AND(Z$7&gt;0,$A1057&gt;Z$7)),0,MAX(0,ROUND((INDEX($E1057:$G1057,Z$5)-SUMIFS(TF_Timer,TF_Tekniker,Z$4,TF_Dato,$A1057))*2,0)/2)))</f>
        <v/>
      </c>
      <c r="AA1057">
        <f>IF(OR(AA$4="",$A1057&gt;TODAY()),0,IF(OR(INDEX($B1057:$D1057,AA$5)="F",AND(AA$6&gt;0,$A1057&lt;AA$6),AND(AA$7&gt;0,$A1057&gt;AA$7)),0,MAX(0,ROUND((INDEX($E1057:$G1057,AA$5)-SUMIFS(TF_Timer,TF_Tekniker,AA$4,TF_Dato,$A1057))*2,0)/2)))</f>
        <v/>
      </c>
      <c r="AB1057">
        <f>IF(OR(AB$4="",$A1057&gt;TODAY()),0,IF(OR(INDEX($B1057:$D1057,AB$5)="F",AND(AB$6&gt;0,$A1057&lt;AB$6),AND(AB$7&gt;0,$A1057&gt;AB$7)),0,MAX(0,ROUND((INDEX($E1057:$G1057,AB$5)-SUMIFS(TF_Timer,TF_Tekniker,AB$4,TF_Dato,$A1057))*2,0)/2)))</f>
        <v/>
      </c>
      <c r="AC1057">
        <f>IF(OR(AC$4="",$A1057&gt;TODAY()),0,IF(OR(INDEX($B1057:$D1057,AC$5)="F",AND(AC$6&gt;0,$A1057&lt;AC$6),AND(AC$7&gt;0,$A1057&gt;AC$7)),0,MAX(0,ROUND((INDEX($E1057:$G1057,AC$5)-SUMIFS(TF_Timer,TF_Tekniker,AC$4,TF_Dato,$A1057))*2,0)/2)))</f>
        <v/>
      </c>
      <c r="AD1057">
        <f>IF(OR(AD$4="",$A1057&gt;TODAY()),0,IF(OR(INDEX($B1057:$D1057,AD$5)="F",AND(AD$6&gt;0,$A1057&lt;AD$6),AND(AD$7&gt;0,$A1057&gt;AD$7)),0,MAX(0,ROUND((INDEX($E1057:$G1057,AD$5)-SUMIFS(TF_Timer,TF_Tekniker,AD$4,TF_Dato,$A1057))*2,0)/2)))</f>
        <v/>
      </c>
      <c r="AE1057">
        <f>IF(OR(AE$4="",$A1057&gt;TODAY()),0,IF(OR(INDEX($B1057:$D1057,AE$5)="F",AND(AE$6&gt;0,$A1057&lt;AE$6),AND(AE$7&gt;0,$A1057&gt;AE$7)),0,MAX(0,ROUND((INDEX($E1057:$G1057,AE$5)-SUMIFS(TF_Timer,TF_Tekniker,AE$4,TF_Dato,$A1057))*2,0)/2)))</f>
        <v/>
      </c>
      <c r="AF1057">
        <f>IF(OR(AF$4="",$A1057&gt;TODAY()),0,IF(OR(INDEX($B1057:$D1057,AF$5)="F",AND(AF$6&gt;0,$A1057&lt;AF$6),AND(AF$7&gt;0,$A1057&gt;AF$7)),0,MAX(0,ROUND((INDEX($E1057:$G1057,AF$5)-SUMIFS(TF_Timer,TF_Tekniker,AF$4,TF_Dato,$A1057))*2,0)/2)))</f>
        <v/>
      </c>
      <c r="AG1057">
        <f>IF(OR(AG$4="",$A1057&gt;TODAY()),0,IF(OR(INDEX($B1057:$D1057,AG$5)="F",AND(AG$6&gt;0,$A1057&lt;AG$6),AND(AG$7&gt;0,$A1057&gt;AG$7)),0,MAX(0,ROUND((INDEX($E1057:$G1057,AG$5)-SUMIFS(TF_Timer,TF_Tekniker,AG$4,TF_Dato,$A1057))*2,0)/2)))</f>
        <v/>
      </c>
      <c r="AH1057">
        <f>IF(OR(AH$4="",$A1057&gt;TODAY()),0,IF(OR(INDEX($B1057:$D1057,AH$5)="F",AND(AH$6&gt;0,$A1057&lt;AH$6),AND(AH$7&gt;0,$A1057&gt;AH$7)),0,MAX(0,ROUND((INDEX($E1057:$G1057,AH$5)-SUMIFS(TF_Timer,TF_Tekniker,AH$4,TF_Dato,$A1057))*2,0)/2)))</f>
        <v/>
      </c>
      <c r="AI1057">
        <f>IF(OR(AI$4="",$A1057&gt;TODAY()),0,IF(OR(INDEX($B1057:$D1057,AI$5)="F",AND(AI$6&gt;0,$A1057&lt;AI$6),AND(AI$7&gt;0,$A1057&gt;AI$7)),0,MAX(0,ROUND((INDEX($E1057:$G1057,AI$5)-SUMIFS(TF_Timer,TF_Tekniker,AI$4,TF_Dato,$A1057))*2,0)/2)))</f>
        <v/>
      </c>
      <c r="AJ1057">
        <f>IF(OR(AJ$4="",$A1057&gt;TODAY()),0,IF(OR(INDEX($B1057:$D1057,AJ$5)="F",AND(AJ$6&gt;0,$A1057&lt;AJ$6),AND(AJ$7&gt;0,$A1057&gt;AJ$7)),0,MAX(0,ROUND((INDEX($E1057:$G1057,AJ$5)-SUMIFS(TF_Timer,TF_Tekniker,AJ$4,TF_Dato,$A1057))*2,0)/2)))</f>
        <v/>
      </c>
      <c r="AK1057">
        <f>IF(OR(AK$4="",$A1057&gt;TODAY()),0,IF(OR(INDEX($B1057:$D1057,AK$5)="F",AND(AK$6&gt;0,$A1057&lt;AK$6),AND(AK$7&gt;0,$A1057&gt;AK$7)),0,MAX(0,ROUND((INDEX($E1057:$G1057,AK$5)-SUMIFS(TF_Timer,TF_Tekniker,AK$4,TF_Dato,$A1057))*2,0)/2)))</f>
        <v/>
      </c>
      <c r="AL1057">
        <f>IF(OR(AL$4="",$A1057&gt;TODAY()),0,IF(OR(INDEX($B1057:$D1057,AL$5)="F",AND(AL$6&gt;0,$A1057&lt;AL$6),AND(AL$7&gt;0,$A1057&gt;AL$7)),0,MAX(0,ROUND((INDEX($E1057:$G1057,AL$5)-SUMIFS(TF_Timer,TF_Tekniker,AL$4,TF_Dato,$A1057))*2,0)/2)))</f>
        <v/>
      </c>
      <c r="AM1057">
        <f>IF(OR(AM$4="",$A1057&gt;TODAY()),0,IF(OR(INDEX($B1057:$D1057,AM$5)="F",AND(AM$6&gt;0,$A1057&lt;AM$6),AND(AM$7&gt;0,$A1057&gt;AM$7)),0,MAX(0,ROUND((INDEX($E1057:$G1057,AM$5)-SUMIFS(TF_Timer,TF_Tekniker,AM$4,TF_Dato,$A1057))*2,0)/2)))</f>
        <v/>
      </c>
      <c r="AN1057">
        <f>IF(OR(AN$4="",$A1057&gt;TODAY()),0,IF(OR(INDEX($B1057:$D1057,AN$5)="F",AND(AN$6&gt;0,$A1057&lt;AN$6),AND(AN$7&gt;0,$A1057&gt;AN$7)),0,MAX(0,ROUND((INDEX($E1057:$G1057,AN$5)-SUMIFS(TF_Timer,TF_Tekniker,AN$4,TF_Dato,$A1057))*2,0)/2)))</f>
        <v/>
      </c>
      <c r="AO1057">
        <f>IF(OR(AO$4="",$A1057&gt;TODAY()),0,IF(OR(INDEX($B1057:$D1057,AO$5)="F",AND(AO$6&gt;0,$A1057&lt;AO$6),AND(AO$7&gt;0,$A1057&gt;AO$7)),0,MAX(0,ROUND((INDEX($E1057:$G1057,AO$5)-SUMIFS(TF_Timer,TF_Tekniker,AO$4,TF_Dato,$A1057))*2,0)/2)))</f>
        <v/>
      </c>
      <c r="AP1057">
        <f>IF(OR(AP$4="",$A1057&gt;TODAY()),0,IF(OR(INDEX($B1057:$D1057,AP$5)="F",AND(AP$6&gt;0,$A1057&lt;AP$6),AND(AP$7&gt;0,$A1057&gt;AP$7)),0,MAX(0,ROUND((INDEX($E1057:$G1057,AP$5)-SUMIFS(TF_Timer,TF_Tekniker,AP$4,TF_Dato,$A1057))*2,0)/2)))</f>
        <v/>
      </c>
      <c r="AQ1057">
        <f>IF(OR(AQ$4="",$A1057&gt;TODAY()),0,IF(OR(INDEX($B1057:$D1057,AQ$5)="F",AND(AQ$6&gt;0,$A1057&lt;AQ$6),AND(AQ$7&gt;0,$A1057&gt;AQ$7)),0,MAX(0,ROUND((INDEX($E1057:$G1057,AQ$5)-SUMIFS(TF_Timer,TF_Tekniker,AQ$4,TF_Dato,$A1057))*2,0)/2)))</f>
        <v/>
      </c>
      <c r="AR1057">
        <f>IF(OR(AR$4="",$A1057&gt;TODAY()),0,IF(OR(INDEX($B1057:$D1057,AR$5)="F",AND(AR$6&gt;0,$A1057&lt;AR$6),AND(AR$7&gt;0,$A1057&gt;AR$7)),0,MAX(0,ROUND((INDEX($E1057:$G1057,AR$5)-SUMIFS(TF_Timer,TF_Tekniker,AR$4,TF_Dato,$A1057))*2,0)/2)))</f>
        <v/>
      </c>
      <c r="AS1057">
        <f>IF(OR(AS$4="",$A1057&gt;TODAY()),0,IF(OR(INDEX($B1057:$D1057,AS$5)="F",AND(AS$6&gt;0,$A1057&lt;AS$6),AND(AS$7&gt;0,$A1057&gt;AS$7)),0,MAX(0,ROUND((INDEX($E1057:$G1057,AS$5)-SUMIFS(TF_Timer,TF_Tekniker,AS$4,TF_Dato,$A1057))*2,0)/2)))</f>
        <v/>
      </c>
      <c r="AT1057">
        <f>IF(OR(AT$4="",$A1057&gt;TODAY()),0,IF(OR(INDEX($B1057:$D1057,AT$5)="F",AND(AT$6&gt;0,$A1057&lt;AT$6),AND(AT$7&gt;0,$A1057&gt;AT$7)),0,MAX(0,ROUND((INDEX($E1057:$G1057,AT$5)-SUMIFS(TF_Timer,TF_Tekniker,AT$4,TF_Dato,$A1057))*2,0)/2)))</f>
        <v/>
      </c>
      <c r="AU1057">
        <f>IF(OR(AU$4="",$A1057&gt;TODAY()),0,IF(OR(INDEX($B1057:$D1057,AU$5)="F",AND(AU$6&gt;0,$A1057&lt;AU$6),AND(AU$7&gt;0,$A1057&gt;AU$7)),0,MAX(0,ROUND((INDEX($E1057:$G1057,AU$5)-SUMIFS(TF_Timer,TF_Tekniker,AU$4,TF_Dato,$A1057))*2,0)/2)))</f>
        <v/>
      </c>
      <c r="AV1057">
        <f>IF(OR(AV$4="",$A1057&gt;TODAY()),0,IF(OR(INDEX($B1057:$D1057,AV$5)="F",AND(AV$6&gt;0,$A1057&lt;AV$6),AND(AV$7&gt;0,$A1057&gt;AV$7)),0,MAX(0,ROUND((INDEX($E1057:$G1057,AV$5)-SUMIFS(TF_Timer,TF_Tekniker,AV$4,TF_Dato,$A1057))*2,0)/2)))</f>
        <v/>
      </c>
      <c r="AW1057">
        <f>IF(OR(AW$4="",$A1057&gt;TODAY()),0,IF(OR(INDEX($B1057:$D1057,AW$5)="F",AND(AW$6&gt;0,$A1057&lt;AW$6),AND(AW$7&gt;0,$A1057&gt;AW$7)),0,MAX(0,ROUND((INDEX($E1057:$G1057,AW$5)-SUMIFS(TF_Timer,TF_Tekniker,AW$4,TF_Dato,$A1057))*2,0)/2)))</f>
        <v/>
      </c>
      <c r="AX1057">
        <f>IF(OR(AX$4="",$A1057&gt;TODAY()),0,IF(OR(INDEX($B1057:$D1057,AX$5)="F",AND(AX$6&gt;0,$A1057&lt;AX$6),AND(AX$7&gt;0,$A1057&gt;AX$7)),0,MAX(0,ROUND((INDEX($E1057:$G1057,AX$5)-SUMIFS(TF_Timer,TF_Tekniker,AX$4,TF_Dato,$A1057))*2,0)/2)))</f>
        <v/>
      </c>
      <c r="AY1057">
        <f>IF(OR(AY$4="",$A1057&gt;TODAY()),0,IF(OR(INDEX($B1057:$D1057,AY$5)="F",AND(AY$6&gt;0,$A1057&lt;AY$6),AND(AY$7&gt;0,$A1057&gt;AY$7)),0,MAX(0,ROUND((INDEX($E1057:$G1057,AY$5)-SUMIFS(TF_Timer,TF_Tekniker,AY$4,TF_Dato,$A1057))*2,0)/2)))</f>
        <v/>
      </c>
      <c r="AZ1057">
        <f>IF(OR(AZ$4="",$A1057&gt;TODAY()),0,IF(OR(INDEX($B1057:$D1057,AZ$5)="F",AND(AZ$6&gt;0,$A1057&lt;AZ$6),AND(AZ$7&gt;0,$A1057&gt;AZ$7)),0,MAX(0,ROUND((INDEX($E1057:$G1057,AZ$5)-SUMIFS(TF_Timer,TF_Tekniker,AZ$4,TF_Dato,$A1057))*2,0)/2)))</f>
        <v/>
      </c>
      <c r="BA1057">
        <f>IF(OR(BA$4="",$A1057&gt;TODAY()),0,IF(OR(INDEX($B1057:$D1057,BA$5)="F",AND(BA$6&gt;0,$A1057&lt;BA$6),AND(BA$7&gt;0,$A1057&gt;BA$7)),0,MAX(0,ROUND((INDEX($E1057:$G1057,BA$5)-SUMIFS(TF_Timer,TF_Tekniker,BA$4,TF_Dato,$A1057))*2,0)/2)))</f>
        <v/>
      </c>
      <c r="BB1057">
        <f>IF(OR(BB$4="",$A1057&gt;TODAY()),0,IF(OR(INDEX($B1057:$D1057,BB$5)="F",AND(BB$6&gt;0,$A1057&lt;BB$6),AND(BB$7&gt;0,$A1057&gt;BB$7)),0,MAX(0,ROUND((INDEX($E1057:$G1057,BB$5)-SUMIFS(TF_Timer,TF_Tekniker,BB$4,TF_Dato,$A1057))*2,0)/2)))</f>
        <v/>
      </c>
      <c r="BC1057">
        <f>IF(OR(BC$4="",$A1057&gt;TODAY()),0,IF(OR(INDEX($B1057:$D1057,BC$5)="F",AND(BC$6&gt;0,$A1057&lt;BC$6),AND(BC$7&gt;0,$A1057&gt;BC$7)),0,MAX(0,ROUND((INDEX($E1057:$G1057,BC$5)-SUMIFS(TF_Timer,TF_Tekniker,BC$4,TF_Dato,$A1057))*2,0)/2)))</f>
        <v/>
      </c>
      <c r="BD1057">
        <f>IF(OR(BD$4="",$A1057&gt;TODAY()),0,IF(OR(INDEX($B1057:$D1057,BD$5)="F",AND(BD$6&gt;0,$A1057&lt;BD$6),AND(BD$7&gt;0,$A1057&gt;BD$7)),0,MAX(0,ROUND((INDEX($E1057:$G1057,BD$5)-SUMIFS(TF_Timer,TF_Tekniker,BD$4,TF_Dato,$A1057))*2,0)/2)))</f>
        <v/>
      </c>
      <c r="BE1057">
        <f>IF(OR(BE$4="",$A1057&gt;TODAY()),0,IF(OR(INDEX($B1057:$D1057,BE$5)="F",AND(BE$6&gt;0,$A1057&lt;BE$6),AND(BE$7&gt;0,$A1057&gt;BE$7)),0,MAX(0,ROUND((INDEX($E1057:$G1057,BE$5)-SUMIFS(TF_Timer,TF_Tekniker,BE$4,TF_Dato,$A1057))*2,0)/2)))</f>
        <v/>
      </c>
      <c r="BF1057">
        <f>IF(OR(BF$4="",$A1057&gt;TODAY()),0,IF(OR(INDEX($B1057:$D1057,BF$5)="F",AND(BF$6&gt;0,$A1057&lt;BF$6),AND(BF$7&gt;0,$A1057&gt;BF$7)),0,MAX(0,ROUND((INDEX($E1057:$G1057,BF$5)-SUMIFS(TF_Timer,TF_Tekniker,BF$4,TF_Dato,$A1057))*2,0)/2)))</f>
        <v/>
      </c>
      <c r="BG1057">
        <f>IF(OR(BG$4="",$A1057&gt;TODAY()),0,IF(OR(INDEX($B1057:$D1057,BG$5)="F",AND(BG$6&gt;0,$A1057&lt;BG$6),AND(BG$7&gt;0,$A1057&gt;BG$7)),0,MAX(0,ROUND((INDEX($E1057:$G1057,BG$5)-SUMIFS(TF_Timer,TF_Tekniker,BG$4,TF_Dato,$A1057))*2,0)/2)))</f>
        <v/>
      </c>
      <c r="BH1057">
        <f>IF(OR(BH$4="",$A1057&gt;TODAY()),0,IF(OR(INDEX($B1057:$D1057,BH$5)="F",AND(BH$6&gt;0,$A1057&lt;BH$6),AND(BH$7&gt;0,$A1057&gt;BH$7)),0,MAX(0,ROUND((INDEX($E1057:$G1057,BH$5)-SUMIFS(TF_Timer,TF_Tekniker,BH$4,TF_Dato,$A1057))*2,0)/2)))</f>
        <v/>
      </c>
      <c r="BI1057">
        <f>IF(OR(BI$4="",$A1057&gt;TODAY()),0,IF(OR(INDEX($B1057:$D1057,BI$5)="F",AND(BI$6&gt;0,$A1057&lt;BI$6),AND(BI$7&gt;0,$A1057&gt;BI$7)),0,MAX(0,ROUND((INDEX($E1057:$G1057,BI$5)-SUMIFS(TF_Timer,TF_Tekniker,BI$4,TF_Dato,$A1057))*2,0)/2)))</f>
        <v/>
      </c>
    </row>
    <row r="1058">
      <c r="A1058" s="64">
        <f>A1057+1</f>
        <v/>
      </c>
      <c r="B1058">
        <f>IF(MOD($A1058-INDEX(SkiftStart,1),Syklus)&lt;DagK,"K",IF(MOD($A1058-INDEX(SkiftStart,1),Syklus)&lt;DagK+DagH,"H",IF(MOD($A1058-INDEX(SkiftStart,1),Syklus)&lt;DagK+DagH+DagD,"D","F")))</f>
        <v/>
      </c>
      <c r="C1058">
        <f>IF(MOD($A1058-INDEX(SkiftStart,2),Syklus)&lt;DagK,"K",IF(MOD($A1058-INDEX(SkiftStart,2),Syklus)&lt;DagK+DagH,"H",IF(MOD($A1058-INDEX(SkiftStart,2),Syklus)&lt;DagK+DagH+DagD,"D","F")))</f>
        <v/>
      </c>
      <c r="D1058">
        <f>IF(MOD($A1058-INDEX(SkiftStart,3),Syklus)&lt;DagK,"K",IF(MOD($A1058-INDEX(SkiftStart,3),Syklus)&lt;DagK+DagH,"H",IF(MOD($A1058-INDEX(SkiftStart,3),Syklus)&lt;DagK+DagH+DagD,"D","F")))</f>
        <v/>
      </c>
      <c r="E1058">
        <f>IF(B1058="F",0,IF(WEEKDAY($A1058,2)=5,INDEX(TimerFr,MATCH(B1058,FaseKode,0)),INDEX(TimerMT,MATCH(B1058,FaseKode,0))))</f>
        <v/>
      </c>
      <c r="F1058">
        <f>IF(C1058="F",0,IF(WEEKDAY($A1058,2)=5,INDEX(TimerFr,MATCH(C1058,FaseKode,0)),INDEX(TimerMT,MATCH(C1058,FaseKode,0))))</f>
        <v/>
      </c>
      <c r="G1058">
        <f>IF(D1058="F",0,IF(WEEKDAY($A1058,2)=5,INDEX(TimerFr,MATCH(D1058,FaseKode,0)),INDEX(TimerMT,MATCH(D1058,FaseKode,0))))</f>
        <v/>
      </c>
      <c r="H1058">
        <f>IF(OR(H$4="",$A1058&gt;TODAY()),0,IF(OR(INDEX($B1058:$D1058,H$5)="F",AND(H$6&gt;0,$A1058&lt;H$6),AND(H$7&gt;0,$A1058&gt;H$7)),0,MAX(0,ROUND((INDEX($E1058:$G1058,H$5)-SUMIFS(TF_Timer,TF_Tekniker,H$4,TF_Dato,$A1058))*2,0)/2)))</f>
        <v/>
      </c>
      <c r="I1058">
        <f>IF(OR(I$4="",$A1058&gt;TODAY()),0,IF(OR(INDEX($B1058:$D1058,I$5)="F",AND(I$6&gt;0,$A1058&lt;I$6),AND(I$7&gt;0,$A1058&gt;I$7)),0,MAX(0,ROUND((INDEX($E1058:$G1058,I$5)-SUMIFS(TF_Timer,TF_Tekniker,I$4,TF_Dato,$A1058))*2,0)/2)))</f>
        <v/>
      </c>
      <c r="J1058">
        <f>IF(OR(J$4="",$A1058&gt;TODAY()),0,IF(OR(INDEX($B1058:$D1058,J$5)="F",AND(J$6&gt;0,$A1058&lt;J$6),AND(J$7&gt;0,$A1058&gt;J$7)),0,MAX(0,ROUND((INDEX($E1058:$G1058,J$5)-SUMIFS(TF_Timer,TF_Tekniker,J$4,TF_Dato,$A1058))*2,0)/2)))</f>
        <v/>
      </c>
      <c r="K1058">
        <f>IF(OR(K$4="",$A1058&gt;TODAY()),0,IF(OR(INDEX($B1058:$D1058,K$5)="F",AND(K$6&gt;0,$A1058&lt;K$6),AND(K$7&gt;0,$A1058&gt;K$7)),0,MAX(0,ROUND((INDEX($E1058:$G1058,K$5)-SUMIFS(TF_Timer,TF_Tekniker,K$4,TF_Dato,$A1058))*2,0)/2)))</f>
        <v/>
      </c>
      <c r="L1058">
        <f>IF(OR(L$4="",$A1058&gt;TODAY()),0,IF(OR(INDEX($B1058:$D1058,L$5)="F",AND(L$6&gt;0,$A1058&lt;L$6),AND(L$7&gt;0,$A1058&gt;L$7)),0,MAX(0,ROUND((INDEX($E1058:$G1058,L$5)-SUMIFS(TF_Timer,TF_Tekniker,L$4,TF_Dato,$A1058))*2,0)/2)))</f>
        <v/>
      </c>
      <c r="M1058">
        <f>IF(OR(M$4="",$A1058&gt;TODAY()),0,IF(OR(INDEX($B1058:$D1058,M$5)="F",AND(M$6&gt;0,$A1058&lt;M$6),AND(M$7&gt;0,$A1058&gt;M$7)),0,MAX(0,ROUND((INDEX($E1058:$G1058,M$5)-SUMIFS(TF_Timer,TF_Tekniker,M$4,TF_Dato,$A1058))*2,0)/2)))</f>
        <v/>
      </c>
      <c r="N1058">
        <f>IF(OR(N$4="",$A1058&gt;TODAY()),0,IF(OR(INDEX($B1058:$D1058,N$5)="F",AND(N$6&gt;0,$A1058&lt;N$6),AND(N$7&gt;0,$A1058&gt;N$7)),0,MAX(0,ROUND((INDEX($E1058:$G1058,N$5)-SUMIFS(TF_Timer,TF_Tekniker,N$4,TF_Dato,$A1058))*2,0)/2)))</f>
        <v/>
      </c>
      <c r="O1058">
        <f>IF(OR(O$4="",$A1058&gt;TODAY()),0,IF(OR(INDEX($B1058:$D1058,O$5)="F",AND(O$6&gt;0,$A1058&lt;O$6),AND(O$7&gt;0,$A1058&gt;O$7)),0,MAX(0,ROUND((INDEX($E1058:$G1058,O$5)-SUMIFS(TF_Timer,TF_Tekniker,O$4,TF_Dato,$A1058))*2,0)/2)))</f>
        <v/>
      </c>
      <c r="P1058">
        <f>IF(OR(P$4="",$A1058&gt;TODAY()),0,IF(OR(INDEX($B1058:$D1058,P$5)="F",AND(P$6&gt;0,$A1058&lt;P$6),AND(P$7&gt;0,$A1058&gt;P$7)),0,MAX(0,ROUND((INDEX($E1058:$G1058,P$5)-SUMIFS(TF_Timer,TF_Tekniker,P$4,TF_Dato,$A1058))*2,0)/2)))</f>
        <v/>
      </c>
      <c r="Q1058">
        <f>IF(OR(Q$4="",$A1058&gt;TODAY()),0,IF(OR(INDEX($B1058:$D1058,Q$5)="F",AND(Q$6&gt;0,$A1058&lt;Q$6),AND(Q$7&gt;0,$A1058&gt;Q$7)),0,MAX(0,ROUND((INDEX($E1058:$G1058,Q$5)-SUMIFS(TF_Timer,TF_Tekniker,Q$4,TF_Dato,$A1058))*2,0)/2)))</f>
        <v/>
      </c>
      <c r="R1058">
        <f>IF(OR(R$4="",$A1058&gt;TODAY()),0,IF(OR(INDEX($B1058:$D1058,R$5)="F",AND(R$6&gt;0,$A1058&lt;R$6),AND(R$7&gt;0,$A1058&gt;R$7)),0,MAX(0,ROUND((INDEX($E1058:$G1058,R$5)-SUMIFS(TF_Timer,TF_Tekniker,R$4,TF_Dato,$A1058))*2,0)/2)))</f>
        <v/>
      </c>
      <c r="S1058">
        <f>IF(OR(S$4="",$A1058&gt;TODAY()),0,IF(OR(INDEX($B1058:$D1058,S$5)="F",AND(S$6&gt;0,$A1058&lt;S$6),AND(S$7&gt;0,$A1058&gt;S$7)),0,MAX(0,ROUND((INDEX($E1058:$G1058,S$5)-SUMIFS(TF_Timer,TF_Tekniker,S$4,TF_Dato,$A1058))*2,0)/2)))</f>
        <v/>
      </c>
      <c r="T1058">
        <f>IF(OR(T$4="",$A1058&gt;TODAY()),0,IF(OR(INDEX($B1058:$D1058,T$5)="F",AND(T$6&gt;0,$A1058&lt;T$6),AND(T$7&gt;0,$A1058&gt;T$7)),0,MAX(0,ROUND((INDEX($E1058:$G1058,T$5)-SUMIFS(TF_Timer,TF_Tekniker,T$4,TF_Dato,$A1058))*2,0)/2)))</f>
        <v/>
      </c>
      <c r="U1058">
        <f>IF(OR(U$4="",$A1058&gt;TODAY()),0,IF(OR(INDEX($B1058:$D1058,U$5)="F",AND(U$6&gt;0,$A1058&lt;U$6),AND(U$7&gt;0,$A1058&gt;U$7)),0,MAX(0,ROUND((INDEX($E1058:$G1058,U$5)-SUMIFS(TF_Timer,TF_Tekniker,U$4,TF_Dato,$A1058))*2,0)/2)))</f>
        <v/>
      </c>
      <c r="V1058">
        <f>IF(OR(V$4="",$A1058&gt;TODAY()),0,IF(OR(INDEX($B1058:$D1058,V$5)="F",AND(V$6&gt;0,$A1058&lt;V$6),AND(V$7&gt;0,$A1058&gt;V$7)),0,MAX(0,ROUND((INDEX($E1058:$G1058,V$5)-SUMIFS(TF_Timer,TF_Tekniker,V$4,TF_Dato,$A1058))*2,0)/2)))</f>
        <v/>
      </c>
      <c r="W1058">
        <f>IF(OR(W$4="",$A1058&gt;TODAY()),0,IF(OR(INDEX($B1058:$D1058,W$5)="F",AND(W$6&gt;0,$A1058&lt;W$6),AND(W$7&gt;0,$A1058&gt;W$7)),0,MAX(0,ROUND((INDEX($E1058:$G1058,W$5)-SUMIFS(TF_Timer,TF_Tekniker,W$4,TF_Dato,$A1058))*2,0)/2)))</f>
        <v/>
      </c>
      <c r="X1058">
        <f>IF(OR(X$4="",$A1058&gt;TODAY()),0,IF(OR(INDEX($B1058:$D1058,X$5)="F",AND(X$6&gt;0,$A1058&lt;X$6),AND(X$7&gt;0,$A1058&gt;X$7)),0,MAX(0,ROUND((INDEX($E1058:$G1058,X$5)-SUMIFS(TF_Timer,TF_Tekniker,X$4,TF_Dato,$A1058))*2,0)/2)))</f>
        <v/>
      </c>
      <c r="Y1058">
        <f>IF(OR(Y$4="",$A1058&gt;TODAY()),0,IF(OR(INDEX($B1058:$D1058,Y$5)="F",AND(Y$6&gt;0,$A1058&lt;Y$6),AND(Y$7&gt;0,$A1058&gt;Y$7)),0,MAX(0,ROUND((INDEX($E1058:$G1058,Y$5)-SUMIFS(TF_Timer,TF_Tekniker,Y$4,TF_Dato,$A1058))*2,0)/2)))</f>
        <v/>
      </c>
      <c r="Z1058">
        <f>IF(OR(Z$4="",$A1058&gt;TODAY()),0,IF(OR(INDEX($B1058:$D1058,Z$5)="F",AND(Z$6&gt;0,$A1058&lt;Z$6),AND(Z$7&gt;0,$A1058&gt;Z$7)),0,MAX(0,ROUND((INDEX($E1058:$G1058,Z$5)-SUMIFS(TF_Timer,TF_Tekniker,Z$4,TF_Dato,$A1058))*2,0)/2)))</f>
        <v/>
      </c>
      <c r="AA1058">
        <f>IF(OR(AA$4="",$A1058&gt;TODAY()),0,IF(OR(INDEX($B1058:$D1058,AA$5)="F",AND(AA$6&gt;0,$A1058&lt;AA$6),AND(AA$7&gt;0,$A1058&gt;AA$7)),0,MAX(0,ROUND((INDEX($E1058:$G1058,AA$5)-SUMIFS(TF_Timer,TF_Tekniker,AA$4,TF_Dato,$A1058))*2,0)/2)))</f>
        <v/>
      </c>
      <c r="AB1058">
        <f>IF(OR(AB$4="",$A1058&gt;TODAY()),0,IF(OR(INDEX($B1058:$D1058,AB$5)="F",AND(AB$6&gt;0,$A1058&lt;AB$6),AND(AB$7&gt;0,$A1058&gt;AB$7)),0,MAX(0,ROUND((INDEX($E1058:$G1058,AB$5)-SUMIFS(TF_Timer,TF_Tekniker,AB$4,TF_Dato,$A1058))*2,0)/2)))</f>
        <v/>
      </c>
      <c r="AC1058">
        <f>IF(OR(AC$4="",$A1058&gt;TODAY()),0,IF(OR(INDEX($B1058:$D1058,AC$5)="F",AND(AC$6&gt;0,$A1058&lt;AC$6),AND(AC$7&gt;0,$A1058&gt;AC$7)),0,MAX(0,ROUND((INDEX($E1058:$G1058,AC$5)-SUMIFS(TF_Timer,TF_Tekniker,AC$4,TF_Dato,$A1058))*2,0)/2)))</f>
        <v/>
      </c>
      <c r="AD1058">
        <f>IF(OR(AD$4="",$A1058&gt;TODAY()),0,IF(OR(INDEX($B1058:$D1058,AD$5)="F",AND(AD$6&gt;0,$A1058&lt;AD$6),AND(AD$7&gt;0,$A1058&gt;AD$7)),0,MAX(0,ROUND((INDEX($E1058:$G1058,AD$5)-SUMIFS(TF_Timer,TF_Tekniker,AD$4,TF_Dato,$A1058))*2,0)/2)))</f>
        <v/>
      </c>
      <c r="AE1058">
        <f>IF(OR(AE$4="",$A1058&gt;TODAY()),0,IF(OR(INDEX($B1058:$D1058,AE$5)="F",AND(AE$6&gt;0,$A1058&lt;AE$6),AND(AE$7&gt;0,$A1058&gt;AE$7)),0,MAX(0,ROUND((INDEX($E1058:$G1058,AE$5)-SUMIFS(TF_Timer,TF_Tekniker,AE$4,TF_Dato,$A1058))*2,0)/2)))</f>
        <v/>
      </c>
      <c r="AF1058">
        <f>IF(OR(AF$4="",$A1058&gt;TODAY()),0,IF(OR(INDEX($B1058:$D1058,AF$5)="F",AND(AF$6&gt;0,$A1058&lt;AF$6),AND(AF$7&gt;0,$A1058&gt;AF$7)),0,MAX(0,ROUND((INDEX($E1058:$G1058,AF$5)-SUMIFS(TF_Timer,TF_Tekniker,AF$4,TF_Dato,$A1058))*2,0)/2)))</f>
        <v/>
      </c>
      <c r="AG1058">
        <f>IF(OR(AG$4="",$A1058&gt;TODAY()),0,IF(OR(INDEX($B1058:$D1058,AG$5)="F",AND(AG$6&gt;0,$A1058&lt;AG$6),AND(AG$7&gt;0,$A1058&gt;AG$7)),0,MAX(0,ROUND((INDEX($E1058:$G1058,AG$5)-SUMIFS(TF_Timer,TF_Tekniker,AG$4,TF_Dato,$A1058))*2,0)/2)))</f>
        <v/>
      </c>
      <c r="AH1058">
        <f>IF(OR(AH$4="",$A1058&gt;TODAY()),0,IF(OR(INDEX($B1058:$D1058,AH$5)="F",AND(AH$6&gt;0,$A1058&lt;AH$6),AND(AH$7&gt;0,$A1058&gt;AH$7)),0,MAX(0,ROUND((INDEX($E1058:$G1058,AH$5)-SUMIFS(TF_Timer,TF_Tekniker,AH$4,TF_Dato,$A1058))*2,0)/2)))</f>
        <v/>
      </c>
      <c r="AI1058">
        <f>IF(OR(AI$4="",$A1058&gt;TODAY()),0,IF(OR(INDEX($B1058:$D1058,AI$5)="F",AND(AI$6&gt;0,$A1058&lt;AI$6),AND(AI$7&gt;0,$A1058&gt;AI$7)),0,MAX(0,ROUND((INDEX($E1058:$G1058,AI$5)-SUMIFS(TF_Timer,TF_Tekniker,AI$4,TF_Dato,$A1058))*2,0)/2)))</f>
        <v/>
      </c>
      <c r="AJ1058">
        <f>IF(OR(AJ$4="",$A1058&gt;TODAY()),0,IF(OR(INDEX($B1058:$D1058,AJ$5)="F",AND(AJ$6&gt;0,$A1058&lt;AJ$6),AND(AJ$7&gt;0,$A1058&gt;AJ$7)),0,MAX(0,ROUND((INDEX($E1058:$G1058,AJ$5)-SUMIFS(TF_Timer,TF_Tekniker,AJ$4,TF_Dato,$A1058))*2,0)/2)))</f>
        <v/>
      </c>
      <c r="AK1058">
        <f>IF(OR(AK$4="",$A1058&gt;TODAY()),0,IF(OR(INDEX($B1058:$D1058,AK$5)="F",AND(AK$6&gt;0,$A1058&lt;AK$6),AND(AK$7&gt;0,$A1058&gt;AK$7)),0,MAX(0,ROUND((INDEX($E1058:$G1058,AK$5)-SUMIFS(TF_Timer,TF_Tekniker,AK$4,TF_Dato,$A1058))*2,0)/2)))</f>
        <v/>
      </c>
      <c r="AL1058">
        <f>IF(OR(AL$4="",$A1058&gt;TODAY()),0,IF(OR(INDEX($B1058:$D1058,AL$5)="F",AND(AL$6&gt;0,$A1058&lt;AL$6),AND(AL$7&gt;0,$A1058&gt;AL$7)),0,MAX(0,ROUND((INDEX($E1058:$G1058,AL$5)-SUMIFS(TF_Timer,TF_Tekniker,AL$4,TF_Dato,$A1058))*2,0)/2)))</f>
        <v/>
      </c>
      <c r="AM1058">
        <f>IF(OR(AM$4="",$A1058&gt;TODAY()),0,IF(OR(INDEX($B1058:$D1058,AM$5)="F",AND(AM$6&gt;0,$A1058&lt;AM$6),AND(AM$7&gt;0,$A1058&gt;AM$7)),0,MAX(0,ROUND((INDEX($E1058:$G1058,AM$5)-SUMIFS(TF_Timer,TF_Tekniker,AM$4,TF_Dato,$A1058))*2,0)/2)))</f>
        <v/>
      </c>
      <c r="AN1058">
        <f>IF(OR(AN$4="",$A1058&gt;TODAY()),0,IF(OR(INDEX($B1058:$D1058,AN$5)="F",AND(AN$6&gt;0,$A1058&lt;AN$6),AND(AN$7&gt;0,$A1058&gt;AN$7)),0,MAX(0,ROUND((INDEX($E1058:$G1058,AN$5)-SUMIFS(TF_Timer,TF_Tekniker,AN$4,TF_Dato,$A1058))*2,0)/2)))</f>
        <v/>
      </c>
      <c r="AO1058">
        <f>IF(OR(AO$4="",$A1058&gt;TODAY()),0,IF(OR(INDEX($B1058:$D1058,AO$5)="F",AND(AO$6&gt;0,$A1058&lt;AO$6),AND(AO$7&gt;0,$A1058&gt;AO$7)),0,MAX(0,ROUND((INDEX($E1058:$G1058,AO$5)-SUMIFS(TF_Timer,TF_Tekniker,AO$4,TF_Dato,$A1058))*2,0)/2)))</f>
        <v/>
      </c>
      <c r="AP1058">
        <f>IF(OR(AP$4="",$A1058&gt;TODAY()),0,IF(OR(INDEX($B1058:$D1058,AP$5)="F",AND(AP$6&gt;0,$A1058&lt;AP$6),AND(AP$7&gt;0,$A1058&gt;AP$7)),0,MAX(0,ROUND((INDEX($E1058:$G1058,AP$5)-SUMIFS(TF_Timer,TF_Tekniker,AP$4,TF_Dato,$A1058))*2,0)/2)))</f>
        <v/>
      </c>
      <c r="AQ1058">
        <f>IF(OR(AQ$4="",$A1058&gt;TODAY()),0,IF(OR(INDEX($B1058:$D1058,AQ$5)="F",AND(AQ$6&gt;0,$A1058&lt;AQ$6),AND(AQ$7&gt;0,$A1058&gt;AQ$7)),0,MAX(0,ROUND((INDEX($E1058:$G1058,AQ$5)-SUMIFS(TF_Timer,TF_Tekniker,AQ$4,TF_Dato,$A1058))*2,0)/2)))</f>
        <v/>
      </c>
      <c r="AR1058">
        <f>IF(OR(AR$4="",$A1058&gt;TODAY()),0,IF(OR(INDEX($B1058:$D1058,AR$5)="F",AND(AR$6&gt;0,$A1058&lt;AR$6),AND(AR$7&gt;0,$A1058&gt;AR$7)),0,MAX(0,ROUND((INDEX($E1058:$G1058,AR$5)-SUMIFS(TF_Timer,TF_Tekniker,AR$4,TF_Dato,$A1058))*2,0)/2)))</f>
        <v/>
      </c>
      <c r="AS1058">
        <f>IF(OR(AS$4="",$A1058&gt;TODAY()),0,IF(OR(INDEX($B1058:$D1058,AS$5)="F",AND(AS$6&gt;0,$A1058&lt;AS$6),AND(AS$7&gt;0,$A1058&gt;AS$7)),0,MAX(0,ROUND((INDEX($E1058:$G1058,AS$5)-SUMIFS(TF_Timer,TF_Tekniker,AS$4,TF_Dato,$A1058))*2,0)/2)))</f>
        <v/>
      </c>
      <c r="AT1058">
        <f>IF(OR(AT$4="",$A1058&gt;TODAY()),0,IF(OR(INDEX($B1058:$D1058,AT$5)="F",AND(AT$6&gt;0,$A1058&lt;AT$6),AND(AT$7&gt;0,$A1058&gt;AT$7)),0,MAX(0,ROUND((INDEX($E1058:$G1058,AT$5)-SUMIFS(TF_Timer,TF_Tekniker,AT$4,TF_Dato,$A1058))*2,0)/2)))</f>
        <v/>
      </c>
      <c r="AU1058">
        <f>IF(OR(AU$4="",$A1058&gt;TODAY()),0,IF(OR(INDEX($B1058:$D1058,AU$5)="F",AND(AU$6&gt;0,$A1058&lt;AU$6),AND(AU$7&gt;0,$A1058&gt;AU$7)),0,MAX(0,ROUND((INDEX($E1058:$G1058,AU$5)-SUMIFS(TF_Timer,TF_Tekniker,AU$4,TF_Dato,$A1058))*2,0)/2)))</f>
        <v/>
      </c>
      <c r="AV1058">
        <f>IF(OR(AV$4="",$A1058&gt;TODAY()),0,IF(OR(INDEX($B1058:$D1058,AV$5)="F",AND(AV$6&gt;0,$A1058&lt;AV$6),AND(AV$7&gt;0,$A1058&gt;AV$7)),0,MAX(0,ROUND((INDEX($E1058:$G1058,AV$5)-SUMIFS(TF_Timer,TF_Tekniker,AV$4,TF_Dato,$A1058))*2,0)/2)))</f>
        <v/>
      </c>
      <c r="AW1058">
        <f>IF(OR(AW$4="",$A1058&gt;TODAY()),0,IF(OR(INDEX($B1058:$D1058,AW$5)="F",AND(AW$6&gt;0,$A1058&lt;AW$6),AND(AW$7&gt;0,$A1058&gt;AW$7)),0,MAX(0,ROUND((INDEX($E1058:$G1058,AW$5)-SUMIFS(TF_Timer,TF_Tekniker,AW$4,TF_Dato,$A1058))*2,0)/2)))</f>
        <v/>
      </c>
      <c r="AX1058">
        <f>IF(OR(AX$4="",$A1058&gt;TODAY()),0,IF(OR(INDEX($B1058:$D1058,AX$5)="F",AND(AX$6&gt;0,$A1058&lt;AX$6),AND(AX$7&gt;0,$A1058&gt;AX$7)),0,MAX(0,ROUND((INDEX($E1058:$G1058,AX$5)-SUMIFS(TF_Timer,TF_Tekniker,AX$4,TF_Dato,$A1058))*2,0)/2)))</f>
        <v/>
      </c>
      <c r="AY1058">
        <f>IF(OR(AY$4="",$A1058&gt;TODAY()),0,IF(OR(INDEX($B1058:$D1058,AY$5)="F",AND(AY$6&gt;0,$A1058&lt;AY$6),AND(AY$7&gt;0,$A1058&gt;AY$7)),0,MAX(0,ROUND((INDEX($E1058:$G1058,AY$5)-SUMIFS(TF_Timer,TF_Tekniker,AY$4,TF_Dato,$A1058))*2,0)/2)))</f>
        <v/>
      </c>
      <c r="AZ1058">
        <f>IF(OR(AZ$4="",$A1058&gt;TODAY()),0,IF(OR(INDEX($B1058:$D1058,AZ$5)="F",AND(AZ$6&gt;0,$A1058&lt;AZ$6),AND(AZ$7&gt;0,$A1058&gt;AZ$7)),0,MAX(0,ROUND((INDEX($E1058:$G1058,AZ$5)-SUMIFS(TF_Timer,TF_Tekniker,AZ$4,TF_Dato,$A1058))*2,0)/2)))</f>
        <v/>
      </c>
      <c r="BA1058">
        <f>IF(OR(BA$4="",$A1058&gt;TODAY()),0,IF(OR(INDEX($B1058:$D1058,BA$5)="F",AND(BA$6&gt;0,$A1058&lt;BA$6),AND(BA$7&gt;0,$A1058&gt;BA$7)),0,MAX(0,ROUND((INDEX($E1058:$G1058,BA$5)-SUMIFS(TF_Timer,TF_Tekniker,BA$4,TF_Dato,$A1058))*2,0)/2)))</f>
        <v/>
      </c>
      <c r="BB1058">
        <f>IF(OR(BB$4="",$A1058&gt;TODAY()),0,IF(OR(INDEX($B1058:$D1058,BB$5)="F",AND(BB$6&gt;0,$A1058&lt;BB$6),AND(BB$7&gt;0,$A1058&gt;BB$7)),0,MAX(0,ROUND((INDEX($E1058:$G1058,BB$5)-SUMIFS(TF_Timer,TF_Tekniker,BB$4,TF_Dato,$A1058))*2,0)/2)))</f>
        <v/>
      </c>
      <c r="BC1058">
        <f>IF(OR(BC$4="",$A1058&gt;TODAY()),0,IF(OR(INDEX($B1058:$D1058,BC$5)="F",AND(BC$6&gt;0,$A1058&lt;BC$6),AND(BC$7&gt;0,$A1058&gt;BC$7)),0,MAX(0,ROUND((INDEX($E1058:$G1058,BC$5)-SUMIFS(TF_Timer,TF_Tekniker,BC$4,TF_Dato,$A1058))*2,0)/2)))</f>
        <v/>
      </c>
      <c r="BD1058">
        <f>IF(OR(BD$4="",$A1058&gt;TODAY()),0,IF(OR(INDEX($B1058:$D1058,BD$5)="F",AND(BD$6&gt;0,$A1058&lt;BD$6),AND(BD$7&gt;0,$A1058&gt;BD$7)),0,MAX(0,ROUND((INDEX($E1058:$G1058,BD$5)-SUMIFS(TF_Timer,TF_Tekniker,BD$4,TF_Dato,$A1058))*2,0)/2)))</f>
        <v/>
      </c>
      <c r="BE1058">
        <f>IF(OR(BE$4="",$A1058&gt;TODAY()),0,IF(OR(INDEX($B1058:$D1058,BE$5)="F",AND(BE$6&gt;0,$A1058&lt;BE$6),AND(BE$7&gt;0,$A1058&gt;BE$7)),0,MAX(0,ROUND((INDEX($E1058:$G1058,BE$5)-SUMIFS(TF_Timer,TF_Tekniker,BE$4,TF_Dato,$A1058))*2,0)/2)))</f>
        <v/>
      </c>
      <c r="BF1058">
        <f>IF(OR(BF$4="",$A1058&gt;TODAY()),0,IF(OR(INDEX($B1058:$D1058,BF$5)="F",AND(BF$6&gt;0,$A1058&lt;BF$6),AND(BF$7&gt;0,$A1058&gt;BF$7)),0,MAX(0,ROUND((INDEX($E1058:$G1058,BF$5)-SUMIFS(TF_Timer,TF_Tekniker,BF$4,TF_Dato,$A1058))*2,0)/2)))</f>
        <v/>
      </c>
      <c r="BG1058">
        <f>IF(OR(BG$4="",$A1058&gt;TODAY()),0,IF(OR(INDEX($B1058:$D1058,BG$5)="F",AND(BG$6&gt;0,$A1058&lt;BG$6),AND(BG$7&gt;0,$A1058&gt;BG$7)),0,MAX(0,ROUND((INDEX($E1058:$G1058,BG$5)-SUMIFS(TF_Timer,TF_Tekniker,BG$4,TF_Dato,$A1058))*2,0)/2)))</f>
        <v/>
      </c>
      <c r="BH1058">
        <f>IF(OR(BH$4="",$A1058&gt;TODAY()),0,IF(OR(INDEX($B1058:$D1058,BH$5)="F",AND(BH$6&gt;0,$A1058&lt;BH$6),AND(BH$7&gt;0,$A1058&gt;BH$7)),0,MAX(0,ROUND((INDEX($E1058:$G1058,BH$5)-SUMIFS(TF_Timer,TF_Tekniker,BH$4,TF_Dato,$A1058))*2,0)/2)))</f>
        <v/>
      </c>
      <c r="BI1058">
        <f>IF(OR(BI$4="",$A1058&gt;TODAY()),0,IF(OR(INDEX($B1058:$D1058,BI$5)="F",AND(BI$6&gt;0,$A1058&lt;BI$6),AND(BI$7&gt;0,$A1058&gt;BI$7)),0,MAX(0,ROUND((INDEX($E1058:$G1058,BI$5)-SUMIFS(TF_Timer,TF_Tekniker,BI$4,TF_Dato,$A1058))*2,0)/2)))</f>
        <v/>
      </c>
    </row>
    <row r="1059">
      <c r="A1059" s="64">
        <f>A1058+1</f>
        <v/>
      </c>
      <c r="B1059">
        <f>IF(MOD($A1059-INDEX(SkiftStart,1),Syklus)&lt;DagK,"K",IF(MOD($A1059-INDEX(SkiftStart,1),Syklus)&lt;DagK+DagH,"H",IF(MOD($A1059-INDEX(SkiftStart,1),Syklus)&lt;DagK+DagH+DagD,"D","F")))</f>
        <v/>
      </c>
      <c r="C1059">
        <f>IF(MOD($A1059-INDEX(SkiftStart,2),Syklus)&lt;DagK,"K",IF(MOD($A1059-INDEX(SkiftStart,2),Syklus)&lt;DagK+DagH,"H",IF(MOD($A1059-INDEX(SkiftStart,2),Syklus)&lt;DagK+DagH+DagD,"D","F")))</f>
        <v/>
      </c>
      <c r="D1059">
        <f>IF(MOD($A1059-INDEX(SkiftStart,3),Syklus)&lt;DagK,"K",IF(MOD($A1059-INDEX(SkiftStart,3),Syklus)&lt;DagK+DagH,"H",IF(MOD($A1059-INDEX(SkiftStart,3),Syklus)&lt;DagK+DagH+DagD,"D","F")))</f>
        <v/>
      </c>
      <c r="E1059">
        <f>IF(B1059="F",0,IF(WEEKDAY($A1059,2)=5,INDEX(TimerFr,MATCH(B1059,FaseKode,0)),INDEX(TimerMT,MATCH(B1059,FaseKode,0))))</f>
        <v/>
      </c>
      <c r="F1059">
        <f>IF(C1059="F",0,IF(WEEKDAY($A1059,2)=5,INDEX(TimerFr,MATCH(C1059,FaseKode,0)),INDEX(TimerMT,MATCH(C1059,FaseKode,0))))</f>
        <v/>
      </c>
      <c r="G1059">
        <f>IF(D1059="F",0,IF(WEEKDAY($A1059,2)=5,INDEX(TimerFr,MATCH(D1059,FaseKode,0)),INDEX(TimerMT,MATCH(D1059,FaseKode,0))))</f>
        <v/>
      </c>
      <c r="H1059">
        <f>IF(OR(H$4="",$A1059&gt;TODAY()),0,IF(OR(INDEX($B1059:$D1059,H$5)="F",AND(H$6&gt;0,$A1059&lt;H$6),AND(H$7&gt;0,$A1059&gt;H$7)),0,MAX(0,ROUND((INDEX($E1059:$G1059,H$5)-SUMIFS(TF_Timer,TF_Tekniker,H$4,TF_Dato,$A1059))*2,0)/2)))</f>
        <v/>
      </c>
      <c r="I1059">
        <f>IF(OR(I$4="",$A1059&gt;TODAY()),0,IF(OR(INDEX($B1059:$D1059,I$5)="F",AND(I$6&gt;0,$A1059&lt;I$6),AND(I$7&gt;0,$A1059&gt;I$7)),0,MAX(0,ROUND((INDEX($E1059:$G1059,I$5)-SUMIFS(TF_Timer,TF_Tekniker,I$4,TF_Dato,$A1059))*2,0)/2)))</f>
        <v/>
      </c>
      <c r="J1059">
        <f>IF(OR(J$4="",$A1059&gt;TODAY()),0,IF(OR(INDEX($B1059:$D1059,J$5)="F",AND(J$6&gt;0,$A1059&lt;J$6),AND(J$7&gt;0,$A1059&gt;J$7)),0,MAX(0,ROUND((INDEX($E1059:$G1059,J$5)-SUMIFS(TF_Timer,TF_Tekniker,J$4,TF_Dato,$A1059))*2,0)/2)))</f>
        <v/>
      </c>
      <c r="K1059">
        <f>IF(OR(K$4="",$A1059&gt;TODAY()),0,IF(OR(INDEX($B1059:$D1059,K$5)="F",AND(K$6&gt;0,$A1059&lt;K$6),AND(K$7&gt;0,$A1059&gt;K$7)),0,MAX(0,ROUND((INDEX($E1059:$G1059,K$5)-SUMIFS(TF_Timer,TF_Tekniker,K$4,TF_Dato,$A1059))*2,0)/2)))</f>
        <v/>
      </c>
      <c r="L1059">
        <f>IF(OR(L$4="",$A1059&gt;TODAY()),0,IF(OR(INDEX($B1059:$D1059,L$5)="F",AND(L$6&gt;0,$A1059&lt;L$6),AND(L$7&gt;0,$A1059&gt;L$7)),0,MAX(0,ROUND((INDEX($E1059:$G1059,L$5)-SUMIFS(TF_Timer,TF_Tekniker,L$4,TF_Dato,$A1059))*2,0)/2)))</f>
        <v/>
      </c>
      <c r="M1059">
        <f>IF(OR(M$4="",$A1059&gt;TODAY()),0,IF(OR(INDEX($B1059:$D1059,M$5)="F",AND(M$6&gt;0,$A1059&lt;M$6),AND(M$7&gt;0,$A1059&gt;M$7)),0,MAX(0,ROUND((INDEX($E1059:$G1059,M$5)-SUMIFS(TF_Timer,TF_Tekniker,M$4,TF_Dato,$A1059))*2,0)/2)))</f>
        <v/>
      </c>
      <c r="N1059">
        <f>IF(OR(N$4="",$A1059&gt;TODAY()),0,IF(OR(INDEX($B1059:$D1059,N$5)="F",AND(N$6&gt;0,$A1059&lt;N$6),AND(N$7&gt;0,$A1059&gt;N$7)),0,MAX(0,ROUND((INDEX($E1059:$G1059,N$5)-SUMIFS(TF_Timer,TF_Tekniker,N$4,TF_Dato,$A1059))*2,0)/2)))</f>
        <v/>
      </c>
      <c r="O1059">
        <f>IF(OR(O$4="",$A1059&gt;TODAY()),0,IF(OR(INDEX($B1059:$D1059,O$5)="F",AND(O$6&gt;0,$A1059&lt;O$6),AND(O$7&gt;0,$A1059&gt;O$7)),0,MAX(0,ROUND((INDEX($E1059:$G1059,O$5)-SUMIFS(TF_Timer,TF_Tekniker,O$4,TF_Dato,$A1059))*2,0)/2)))</f>
        <v/>
      </c>
      <c r="P1059">
        <f>IF(OR(P$4="",$A1059&gt;TODAY()),0,IF(OR(INDEX($B1059:$D1059,P$5)="F",AND(P$6&gt;0,$A1059&lt;P$6),AND(P$7&gt;0,$A1059&gt;P$7)),0,MAX(0,ROUND((INDEX($E1059:$G1059,P$5)-SUMIFS(TF_Timer,TF_Tekniker,P$4,TF_Dato,$A1059))*2,0)/2)))</f>
        <v/>
      </c>
      <c r="Q1059">
        <f>IF(OR(Q$4="",$A1059&gt;TODAY()),0,IF(OR(INDEX($B1059:$D1059,Q$5)="F",AND(Q$6&gt;0,$A1059&lt;Q$6),AND(Q$7&gt;0,$A1059&gt;Q$7)),0,MAX(0,ROUND((INDEX($E1059:$G1059,Q$5)-SUMIFS(TF_Timer,TF_Tekniker,Q$4,TF_Dato,$A1059))*2,0)/2)))</f>
        <v/>
      </c>
      <c r="R1059">
        <f>IF(OR(R$4="",$A1059&gt;TODAY()),0,IF(OR(INDEX($B1059:$D1059,R$5)="F",AND(R$6&gt;0,$A1059&lt;R$6),AND(R$7&gt;0,$A1059&gt;R$7)),0,MAX(0,ROUND((INDEX($E1059:$G1059,R$5)-SUMIFS(TF_Timer,TF_Tekniker,R$4,TF_Dato,$A1059))*2,0)/2)))</f>
        <v/>
      </c>
      <c r="S1059">
        <f>IF(OR(S$4="",$A1059&gt;TODAY()),0,IF(OR(INDEX($B1059:$D1059,S$5)="F",AND(S$6&gt;0,$A1059&lt;S$6),AND(S$7&gt;0,$A1059&gt;S$7)),0,MAX(0,ROUND((INDEX($E1059:$G1059,S$5)-SUMIFS(TF_Timer,TF_Tekniker,S$4,TF_Dato,$A1059))*2,0)/2)))</f>
        <v/>
      </c>
      <c r="T1059">
        <f>IF(OR(T$4="",$A1059&gt;TODAY()),0,IF(OR(INDEX($B1059:$D1059,T$5)="F",AND(T$6&gt;0,$A1059&lt;T$6),AND(T$7&gt;0,$A1059&gt;T$7)),0,MAX(0,ROUND((INDEX($E1059:$G1059,T$5)-SUMIFS(TF_Timer,TF_Tekniker,T$4,TF_Dato,$A1059))*2,0)/2)))</f>
        <v/>
      </c>
      <c r="U1059">
        <f>IF(OR(U$4="",$A1059&gt;TODAY()),0,IF(OR(INDEX($B1059:$D1059,U$5)="F",AND(U$6&gt;0,$A1059&lt;U$6),AND(U$7&gt;0,$A1059&gt;U$7)),0,MAX(0,ROUND((INDEX($E1059:$G1059,U$5)-SUMIFS(TF_Timer,TF_Tekniker,U$4,TF_Dato,$A1059))*2,0)/2)))</f>
        <v/>
      </c>
      <c r="V1059">
        <f>IF(OR(V$4="",$A1059&gt;TODAY()),0,IF(OR(INDEX($B1059:$D1059,V$5)="F",AND(V$6&gt;0,$A1059&lt;V$6),AND(V$7&gt;0,$A1059&gt;V$7)),0,MAX(0,ROUND((INDEX($E1059:$G1059,V$5)-SUMIFS(TF_Timer,TF_Tekniker,V$4,TF_Dato,$A1059))*2,0)/2)))</f>
        <v/>
      </c>
      <c r="W1059">
        <f>IF(OR(W$4="",$A1059&gt;TODAY()),0,IF(OR(INDEX($B1059:$D1059,W$5)="F",AND(W$6&gt;0,$A1059&lt;W$6),AND(W$7&gt;0,$A1059&gt;W$7)),0,MAX(0,ROUND((INDEX($E1059:$G1059,W$5)-SUMIFS(TF_Timer,TF_Tekniker,W$4,TF_Dato,$A1059))*2,0)/2)))</f>
        <v/>
      </c>
      <c r="X1059">
        <f>IF(OR(X$4="",$A1059&gt;TODAY()),0,IF(OR(INDEX($B1059:$D1059,X$5)="F",AND(X$6&gt;0,$A1059&lt;X$6),AND(X$7&gt;0,$A1059&gt;X$7)),0,MAX(0,ROUND((INDEX($E1059:$G1059,X$5)-SUMIFS(TF_Timer,TF_Tekniker,X$4,TF_Dato,$A1059))*2,0)/2)))</f>
        <v/>
      </c>
      <c r="Y1059">
        <f>IF(OR(Y$4="",$A1059&gt;TODAY()),0,IF(OR(INDEX($B1059:$D1059,Y$5)="F",AND(Y$6&gt;0,$A1059&lt;Y$6),AND(Y$7&gt;0,$A1059&gt;Y$7)),0,MAX(0,ROUND((INDEX($E1059:$G1059,Y$5)-SUMIFS(TF_Timer,TF_Tekniker,Y$4,TF_Dato,$A1059))*2,0)/2)))</f>
        <v/>
      </c>
      <c r="Z1059">
        <f>IF(OR(Z$4="",$A1059&gt;TODAY()),0,IF(OR(INDEX($B1059:$D1059,Z$5)="F",AND(Z$6&gt;0,$A1059&lt;Z$6),AND(Z$7&gt;0,$A1059&gt;Z$7)),0,MAX(0,ROUND((INDEX($E1059:$G1059,Z$5)-SUMIFS(TF_Timer,TF_Tekniker,Z$4,TF_Dato,$A1059))*2,0)/2)))</f>
        <v/>
      </c>
      <c r="AA1059">
        <f>IF(OR(AA$4="",$A1059&gt;TODAY()),0,IF(OR(INDEX($B1059:$D1059,AA$5)="F",AND(AA$6&gt;0,$A1059&lt;AA$6),AND(AA$7&gt;0,$A1059&gt;AA$7)),0,MAX(0,ROUND((INDEX($E1059:$G1059,AA$5)-SUMIFS(TF_Timer,TF_Tekniker,AA$4,TF_Dato,$A1059))*2,0)/2)))</f>
        <v/>
      </c>
      <c r="AB1059">
        <f>IF(OR(AB$4="",$A1059&gt;TODAY()),0,IF(OR(INDEX($B1059:$D1059,AB$5)="F",AND(AB$6&gt;0,$A1059&lt;AB$6),AND(AB$7&gt;0,$A1059&gt;AB$7)),0,MAX(0,ROUND((INDEX($E1059:$G1059,AB$5)-SUMIFS(TF_Timer,TF_Tekniker,AB$4,TF_Dato,$A1059))*2,0)/2)))</f>
        <v/>
      </c>
      <c r="AC1059">
        <f>IF(OR(AC$4="",$A1059&gt;TODAY()),0,IF(OR(INDEX($B1059:$D1059,AC$5)="F",AND(AC$6&gt;0,$A1059&lt;AC$6),AND(AC$7&gt;0,$A1059&gt;AC$7)),0,MAX(0,ROUND((INDEX($E1059:$G1059,AC$5)-SUMIFS(TF_Timer,TF_Tekniker,AC$4,TF_Dato,$A1059))*2,0)/2)))</f>
        <v/>
      </c>
      <c r="AD1059">
        <f>IF(OR(AD$4="",$A1059&gt;TODAY()),0,IF(OR(INDEX($B1059:$D1059,AD$5)="F",AND(AD$6&gt;0,$A1059&lt;AD$6),AND(AD$7&gt;0,$A1059&gt;AD$7)),0,MAX(0,ROUND((INDEX($E1059:$G1059,AD$5)-SUMIFS(TF_Timer,TF_Tekniker,AD$4,TF_Dato,$A1059))*2,0)/2)))</f>
        <v/>
      </c>
      <c r="AE1059">
        <f>IF(OR(AE$4="",$A1059&gt;TODAY()),0,IF(OR(INDEX($B1059:$D1059,AE$5)="F",AND(AE$6&gt;0,$A1059&lt;AE$6),AND(AE$7&gt;0,$A1059&gt;AE$7)),0,MAX(0,ROUND((INDEX($E1059:$G1059,AE$5)-SUMIFS(TF_Timer,TF_Tekniker,AE$4,TF_Dato,$A1059))*2,0)/2)))</f>
        <v/>
      </c>
      <c r="AF1059">
        <f>IF(OR(AF$4="",$A1059&gt;TODAY()),0,IF(OR(INDEX($B1059:$D1059,AF$5)="F",AND(AF$6&gt;0,$A1059&lt;AF$6),AND(AF$7&gt;0,$A1059&gt;AF$7)),0,MAX(0,ROUND((INDEX($E1059:$G1059,AF$5)-SUMIFS(TF_Timer,TF_Tekniker,AF$4,TF_Dato,$A1059))*2,0)/2)))</f>
        <v/>
      </c>
      <c r="AG1059">
        <f>IF(OR(AG$4="",$A1059&gt;TODAY()),0,IF(OR(INDEX($B1059:$D1059,AG$5)="F",AND(AG$6&gt;0,$A1059&lt;AG$6),AND(AG$7&gt;0,$A1059&gt;AG$7)),0,MAX(0,ROUND((INDEX($E1059:$G1059,AG$5)-SUMIFS(TF_Timer,TF_Tekniker,AG$4,TF_Dato,$A1059))*2,0)/2)))</f>
        <v/>
      </c>
      <c r="AH1059">
        <f>IF(OR(AH$4="",$A1059&gt;TODAY()),0,IF(OR(INDEX($B1059:$D1059,AH$5)="F",AND(AH$6&gt;0,$A1059&lt;AH$6),AND(AH$7&gt;0,$A1059&gt;AH$7)),0,MAX(0,ROUND((INDEX($E1059:$G1059,AH$5)-SUMIFS(TF_Timer,TF_Tekniker,AH$4,TF_Dato,$A1059))*2,0)/2)))</f>
        <v/>
      </c>
      <c r="AI1059">
        <f>IF(OR(AI$4="",$A1059&gt;TODAY()),0,IF(OR(INDEX($B1059:$D1059,AI$5)="F",AND(AI$6&gt;0,$A1059&lt;AI$6),AND(AI$7&gt;0,$A1059&gt;AI$7)),0,MAX(0,ROUND((INDEX($E1059:$G1059,AI$5)-SUMIFS(TF_Timer,TF_Tekniker,AI$4,TF_Dato,$A1059))*2,0)/2)))</f>
        <v/>
      </c>
      <c r="AJ1059">
        <f>IF(OR(AJ$4="",$A1059&gt;TODAY()),0,IF(OR(INDEX($B1059:$D1059,AJ$5)="F",AND(AJ$6&gt;0,$A1059&lt;AJ$6),AND(AJ$7&gt;0,$A1059&gt;AJ$7)),0,MAX(0,ROUND((INDEX($E1059:$G1059,AJ$5)-SUMIFS(TF_Timer,TF_Tekniker,AJ$4,TF_Dato,$A1059))*2,0)/2)))</f>
        <v/>
      </c>
      <c r="AK1059">
        <f>IF(OR(AK$4="",$A1059&gt;TODAY()),0,IF(OR(INDEX($B1059:$D1059,AK$5)="F",AND(AK$6&gt;0,$A1059&lt;AK$6),AND(AK$7&gt;0,$A1059&gt;AK$7)),0,MAX(0,ROUND((INDEX($E1059:$G1059,AK$5)-SUMIFS(TF_Timer,TF_Tekniker,AK$4,TF_Dato,$A1059))*2,0)/2)))</f>
        <v/>
      </c>
      <c r="AL1059">
        <f>IF(OR(AL$4="",$A1059&gt;TODAY()),0,IF(OR(INDEX($B1059:$D1059,AL$5)="F",AND(AL$6&gt;0,$A1059&lt;AL$6),AND(AL$7&gt;0,$A1059&gt;AL$7)),0,MAX(0,ROUND((INDEX($E1059:$G1059,AL$5)-SUMIFS(TF_Timer,TF_Tekniker,AL$4,TF_Dato,$A1059))*2,0)/2)))</f>
        <v/>
      </c>
      <c r="AM1059">
        <f>IF(OR(AM$4="",$A1059&gt;TODAY()),0,IF(OR(INDEX($B1059:$D1059,AM$5)="F",AND(AM$6&gt;0,$A1059&lt;AM$6),AND(AM$7&gt;0,$A1059&gt;AM$7)),0,MAX(0,ROUND((INDEX($E1059:$G1059,AM$5)-SUMIFS(TF_Timer,TF_Tekniker,AM$4,TF_Dato,$A1059))*2,0)/2)))</f>
        <v/>
      </c>
      <c r="AN1059">
        <f>IF(OR(AN$4="",$A1059&gt;TODAY()),0,IF(OR(INDEX($B1059:$D1059,AN$5)="F",AND(AN$6&gt;0,$A1059&lt;AN$6),AND(AN$7&gt;0,$A1059&gt;AN$7)),0,MAX(0,ROUND((INDEX($E1059:$G1059,AN$5)-SUMIFS(TF_Timer,TF_Tekniker,AN$4,TF_Dato,$A1059))*2,0)/2)))</f>
        <v/>
      </c>
      <c r="AO1059">
        <f>IF(OR(AO$4="",$A1059&gt;TODAY()),0,IF(OR(INDEX($B1059:$D1059,AO$5)="F",AND(AO$6&gt;0,$A1059&lt;AO$6),AND(AO$7&gt;0,$A1059&gt;AO$7)),0,MAX(0,ROUND((INDEX($E1059:$G1059,AO$5)-SUMIFS(TF_Timer,TF_Tekniker,AO$4,TF_Dato,$A1059))*2,0)/2)))</f>
        <v/>
      </c>
      <c r="AP1059">
        <f>IF(OR(AP$4="",$A1059&gt;TODAY()),0,IF(OR(INDEX($B1059:$D1059,AP$5)="F",AND(AP$6&gt;0,$A1059&lt;AP$6),AND(AP$7&gt;0,$A1059&gt;AP$7)),0,MAX(0,ROUND((INDEX($E1059:$G1059,AP$5)-SUMIFS(TF_Timer,TF_Tekniker,AP$4,TF_Dato,$A1059))*2,0)/2)))</f>
        <v/>
      </c>
      <c r="AQ1059">
        <f>IF(OR(AQ$4="",$A1059&gt;TODAY()),0,IF(OR(INDEX($B1059:$D1059,AQ$5)="F",AND(AQ$6&gt;0,$A1059&lt;AQ$6),AND(AQ$7&gt;0,$A1059&gt;AQ$7)),0,MAX(0,ROUND((INDEX($E1059:$G1059,AQ$5)-SUMIFS(TF_Timer,TF_Tekniker,AQ$4,TF_Dato,$A1059))*2,0)/2)))</f>
        <v/>
      </c>
      <c r="AR1059">
        <f>IF(OR(AR$4="",$A1059&gt;TODAY()),0,IF(OR(INDEX($B1059:$D1059,AR$5)="F",AND(AR$6&gt;0,$A1059&lt;AR$6),AND(AR$7&gt;0,$A1059&gt;AR$7)),0,MAX(0,ROUND((INDEX($E1059:$G1059,AR$5)-SUMIFS(TF_Timer,TF_Tekniker,AR$4,TF_Dato,$A1059))*2,0)/2)))</f>
        <v/>
      </c>
      <c r="AS1059">
        <f>IF(OR(AS$4="",$A1059&gt;TODAY()),0,IF(OR(INDEX($B1059:$D1059,AS$5)="F",AND(AS$6&gt;0,$A1059&lt;AS$6),AND(AS$7&gt;0,$A1059&gt;AS$7)),0,MAX(0,ROUND((INDEX($E1059:$G1059,AS$5)-SUMIFS(TF_Timer,TF_Tekniker,AS$4,TF_Dato,$A1059))*2,0)/2)))</f>
        <v/>
      </c>
      <c r="AT1059">
        <f>IF(OR(AT$4="",$A1059&gt;TODAY()),0,IF(OR(INDEX($B1059:$D1059,AT$5)="F",AND(AT$6&gt;0,$A1059&lt;AT$6),AND(AT$7&gt;0,$A1059&gt;AT$7)),0,MAX(0,ROUND((INDEX($E1059:$G1059,AT$5)-SUMIFS(TF_Timer,TF_Tekniker,AT$4,TF_Dato,$A1059))*2,0)/2)))</f>
        <v/>
      </c>
      <c r="AU1059">
        <f>IF(OR(AU$4="",$A1059&gt;TODAY()),0,IF(OR(INDEX($B1059:$D1059,AU$5)="F",AND(AU$6&gt;0,$A1059&lt;AU$6),AND(AU$7&gt;0,$A1059&gt;AU$7)),0,MAX(0,ROUND((INDEX($E1059:$G1059,AU$5)-SUMIFS(TF_Timer,TF_Tekniker,AU$4,TF_Dato,$A1059))*2,0)/2)))</f>
        <v/>
      </c>
      <c r="AV1059">
        <f>IF(OR(AV$4="",$A1059&gt;TODAY()),0,IF(OR(INDEX($B1059:$D1059,AV$5)="F",AND(AV$6&gt;0,$A1059&lt;AV$6),AND(AV$7&gt;0,$A1059&gt;AV$7)),0,MAX(0,ROUND((INDEX($E1059:$G1059,AV$5)-SUMIFS(TF_Timer,TF_Tekniker,AV$4,TF_Dato,$A1059))*2,0)/2)))</f>
        <v/>
      </c>
      <c r="AW1059">
        <f>IF(OR(AW$4="",$A1059&gt;TODAY()),0,IF(OR(INDEX($B1059:$D1059,AW$5)="F",AND(AW$6&gt;0,$A1059&lt;AW$6),AND(AW$7&gt;0,$A1059&gt;AW$7)),0,MAX(0,ROUND((INDEX($E1059:$G1059,AW$5)-SUMIFS(TF_Timer,TF_Tekniker,AW$4,TF_Dato,$A1059))*2,0)/2)))</f>
        <v/>
      </c>
      <c r="AX1059">
        <f>IF(OR(AX$4="",$A1059&gt;TODAY()),0,IF(OR(INDEX($B1059:$D1059,AX$5)="F",AND(AX$6&gt;0,$A1059&lt;AX$6),AND(AX$7&gt;0,$A1059&gt;AX$7)),0,MAX(0,ROUND((INDEX($E1059:$G1059,AX$5)-SUMIFS(TF_Timer,TF_Tekniker,AX$4,TF_Dato,$A1059))*2,0)/2)))</f>
        <v/>
      </c>
      <c r="AY1059">
        <f>IF(OR(AY$4="",$A1059&gt;TODAY()),0,IF(OR(INDEX($B1059:$D1059,AY$5)="F",AND(AY$6&gt;0,$A1059&lt;AY$6),AND(AY$7&gt;0,$A1059&gt;AY$7)),0,MAX(0,ROUND((INDEX($E1059:$G1059,AY$5)-SUMIFS(TF_Timer,TF_Tekniker,AY$4,TF_Dato,$A1059))*2,0)/2)))</f>
        <v/>
      </c>
      <c r="AZ1059">
        <f>IF(OR(AZ$4="",$A1059&gt;TODAY()),0,IF(OR(INDEX($B1059:$D1059,AZ$5)="F",AND(AZ$6&gt;0,$A1059&lt;AZ$6),AND(AZ$7&gt;0,$A1059&gt;AZ$7)),0,MAX(0,ROUND((INDEX($E1059:$G1059,AZ$5)-SUMIFS(TF_Timer,TF_Tekniker,AZ$4,TF_Dato,$A1059))*2,0)/2)))</f>
        <v/>
      </c>
      <c r="BA1059">
        <f>IF(OR(BA$4="",$A1059&gt;TODAY()),0,IF(OR(INDEX($B1059:$D1059,BA$5)="F",AND(BA$6&gt;0,$A1059&lt;BA$6),AND(BA$7&gt;0,$A1059&gt;BA$7)),0,MAX(0,ROUND((INDEX($E1059:$G1059,BA$5)-SUMIFS(TF_Timer,TF_Tekniker,BA$4,TF_Dato,$A1059))*2,0)/2)))</f>
        <v/>
      </c>
      <c r="BB1059">
        <f>IF(OR(BB$4="",$A1059&gt;TODAY()),0,IF(OR(INDEX($B1059:$D1059,BB$5)="F",AND(BB$6&gt;0,$A1059&lt;BB$6),AND(BB$7&gt;0,$A1059&gt;BB$7)),0,MAX(0,ROUND((INDEX($E1059:$G1059,BB$5)-SUMIFS(TF_Timer,TF_Tekniker,BB$4,TF_Dato,$A1059))*2,0)/2)))</f>
        <v/>
      </c>
      <c r="BC1059">
        <f>IF(OR(BC$4="",$A1059&gt;TODAY()),0,IF(OR(INDEX($B1059:$D1059,BC$5)="F",AND(BC$6&gt;0,$A1059&lt;BC$6),AND(BC$7&gt;0,$A1059&gt;BC$7)),0,MAX(0,ROUND((INDEX($E1059:$G1059,BC$5)-SUMIFS(TF_Timer,TF_Tekniker,BC$4,TF_Dato,$A1059))*2,0)/2)))</f>
        <v/>
      </c>
      <c r="BD1059">
        <f>IF(OR(BD$4="",$A1059&gt;TODAY()),0,IF(OR(INDEX($B1059:$D1059,BD$5)="F",AND(BD$6&gt;0,$A1059&lt;BD$6),AND(BD$7&gt;0,$A1059&gt;BD$7)),0,MAX(0,ROUND((INDEX($E1059:$G1059,BD$5)-SUMIFS(TF_Timer,TF_Tekniker,BD$4,TF_Dato,$A1059))*2,0)/2)))</f>
        <v/>
      </c>
      <c r="BE1059">
        <f>IF(OR(BE$4="",$A1059&gt;TODAY()),0,IF(OR(INDEX($B1059:$D1059,BE$5)="F",AND(BE$6&gt;0,$A1059&lt;BE$6),AND(BE$7&gt;0,$A1059&gt;BE$7)),0,MAX(0,ROUND((INDEX($E1059:$G1059,BE$5)-SUMIFS(TF_Timer,TF_Tekniker,BE$4,TF_Dato,$A1059))*2,0)/2)))</f>
        <v/>
      </c>
      <c r="BF1059">
        <f>IF(OR(BF$4="",$A1059&gt;TODAY()),0,IF(OR(INDEX($B1059:$D1059,BF$5)="F",AND(BF$6&gt;0,$A1059&lt;BF$6),AND(BF$7&gt;0,$A1059&gt;BF$7)),0,MAX(0,ROUND((INDEX($E1059:$G1059,BF$5)-SUMIFS(TF_Timer,TF_Tekniker,BF$4,TF_Dato,$A1059))*2,0)/2)))</f>
        <v/>
      </c>
      <c r="BG1059">
        <f>IF(OR(BG$4="",$A1059&gt;TODAY()),0,IF(OR(INDEX($B1059:$D1059,BG$5)="F",AND(BG$6&gt;0,$A1059&lt;BG$6),AND(BG$7&gt;0,$A1059&gt;BG$7)),0,MAX(0,ROUND((INDEX($E1059:$G1059,BG$5)-SUMIFS(TF_Timer,TF_Tekniker,BG$4,TF_Dato,$A1059))*2,0)/2)))</f>
        <v/>
      </c>
      <c r="BH1059">
        <f>IF(OR(BH$4="",$A1059&gt;TODAY()),0,IF(OR(INDEX($B1059:$D1059,BH$5)="F",AND(BH$6&gt;0,$A1059&lt;BH$6),AND(BH$7&gt;0,$A1059&gt;BH$7)),0,MAX(0,ROUND((INDEX($E1059:$G1059,BH$5)-SUMIFS(TF_Timer,TF_Tekniker,BH$4,TF_Dato,$A1059))*2,0)/2)))</f>
        <v/>
      </c>
      <c r="BI1059">
        <f>IF(OR(BI$4="",$A1059&gt;TODAY()),0,IF(OR(INDEX($B1059:$D1059,BI$5)="F",AND(BI$6&gt;0,$A1059&lt;BI$6),AND(BI$7&gt;0,$A1059&gt;BI$7)),0,MAX(0,ROUND((INDEX($E1059:$G1059,BI$5)-SUMIFS(TF_Timer,TF_Tekniker,BI$4,TF_Dato,$A1059))*2,0)/2)))</f>
        <v/>
      </c>
    </row>
    <row r="1060">
      <c r="A1060" s="64">
        <f>A1059+1</f>
        <v/>
      </c>
      <c r="B1060">
        <f>IF(MOD($A1060-INDEX(SkiftStart,1),Syklus)&lt;DagK,"K",IF(MOD($A1060-INDEX(SkiftStart,1),Syklus)&lt;DagK+DagH,"H",IF(MOD($A1060-INDEX(SkiftStart,1),Syklus)&lt;DagK+DagH+DagD,"D","F")))</f>
        <v/>
      </c>
      <c r="C1060">
        <f>IF(MOD($A1060-INDEX(SkiftStart,2),Syklus)&lt;DagK,"K",IF(MOD($A1060-INDEX(SkiftStart,2),Syklus)&lt;DagK+DagH,"H",IF(MOD($A1060-INDEX(SkiftStart,2),Syklus)&lt;DagK+DagH+DagD,"D","F")))</f>
        <v/>
      </c>
      <c r="D1060">
        <f>IF(MOD($A1060-INDEX(SkiftStart,3),Syklus)&lt;DagK,"K",IF(MOD($A1060-INDEX(SkiftStart,3),Syklus)&lt;DagK+DagH,"H",IF(MOD($A1060-INDEX(SkiftStart,3),Syklus)&lt;DagK+DagH+DagD,"D","F")))</f>
        <v/>
      </c>
      <c r="E1060">
        <f>IF(B1060="F",0,IF(WEEKDAY($A1060,2)=5,INDEX(TimerFr,MATCH(B1060,FaseKode,0)),INDEX(TimerMT,MATCH(B1060,FaseKode,0))))</f>
        <v/>
      </c>
      <c r="F1060">
        <f>IF(C1060="F",0,IF(WEEKDAY($A1060,2)=5,INDEX(TimerFr,MATCH(C1060,FaseKode,0)),INDEX(TimerMT,MATCH(C1060,FaseKode,0))))</f>
        <v/>
      </c>
      <c r="G1060">
        <f>IF(D1060="F",0,IF(WEEKDAY($A1060,2)=5,INDEX(TimerFr,MATCH(D1060,FaseKode,0)),INDEX(TimerMT,MATCH(D1060,FaseKode,0))))</f>
        <v/>
      </c>
      <c r="H1060">
        <f>IF(OR(H$4="",$A1060&gt;TODAY()),0,IF(OR(INDEX($B1060:$D1060,H$5)="F",AND(H$6&gt;0,$A1060&lt;H$6),AND(H$7&gt;0,$A1060&gt;H$7)),0,MAX(0,ROUND((INDEX($E1060:$G1060,H$5)-SUMIFS(TF_Timer,TF_Tekniker,H$4,TF_Dato,$A1060))*2,0)/2)))</f>
        <v/>
      </c>
      <c r="I1060">
        <f>IF(OR(I$4="",$A1060&gt;TODAY()),0,IF(OR(INDEX($B1060:$D1060,I$5)="F",AND(I$6&gt;0,$A1060&lt;I$6),AND(I$7&gt;0,$A1060&gt;I$7)),0,MAX(0,ROUND((INDEX($E1060:$G1060,I$5)-SUMIFS(TF_Timer,TF_Tekniker,I$4,TF_Dato,$A1060))*2,0)/2)))</f>
        <v/>
      </c>
      <c r="J1060">
        <f>IF(OR(J$4="",$A1060&gt;TODAY()),0,IF(OR(INDEX($B1060:$D1060,J$5)="F",AND(J$6&gt;0,$A1060&lt;J$6),AND(J$7&gt;0,$A1060&gt;J$7)),0,MAX(0,ROUND((INDEX($E1060:$G1060,J$5)-SUMIFS(TF_Timer,TF_Tekniker,J$4,TF_Dato,$A1060))*2,0)/2)))</f>
        <v/>
      </c>
      <c r="K1060">
        <f>IF(OR(K$4="",$A1060&gt;TODAY()),0,IF(OR(INDEX($B1060:$D1060,K$5)="F",AND(K$6&gt;0,$A1060&lt;K$6),AND(K$7&gt;0,$A1060&gt;K$7)),0,MAX(0,ROUND((INDEX($E1060:$G1060,K$5)-SUMIFS(TF_Timer,TF_Tekniker,K$4,TF_Dato,$A1060))*2,0)/2)))</f>
        <v/>
      </c>
      <c r="L1060">
        <f>IF(OR(L$4="",$A1060&gt;TODAY()),0,IF(OR(INDEX($B1060:$D1060,L$5)="F",AND(L$6&gt;0,$A1060&lt;L$6),AND(L$7&gt;0,$A1060&gt;L$7)),0,MAX(0,ROUND((INDEX($E1060:$G1060,L$5)-SUMIFS(TF_Timer,TF_Tekniker,L$4,TF_Dato,$A1060))*2,0)/2)))</f>
        <v/>
      </c>
      <c r="M1060">
        <f>IF(OR(M$4="",$A1060&gt;TODAY()),0,IF(OR(INDEX($B1060:$D1060,M$5)="F",AND(M$6&gt;0,$A1060&lt;M$6),AND(M$7&gt;0,$A1060&gt;M$7)),0,MAX(0,ROUND((INDEX($E1060:$G1060,M$5)-SUMIFS(TF_Timer,TF_Tekniker,M$4,TF_Dato,$A1060))*2,0)/2)))</f>
        <v/>
      </c>
      <c r="N1060">
        <f>IF(OR(N$4="",$A1060&gt;TODAY()),0,IF(OR(INDEX($B1060:$D1060,N$5)="F",AND(N$6&gt;0,$A1060&lt;N$6),AND(N$7&gt;0,$A1060&gt;N$7)),0,MAX(0,ROUND((INDEX($E1060:$G1060,N$5)-SUMIFS(TF_Timer,TF_Tekniker,N$4,TF_Dato,$A1060))*2,0)/2)))</f>
        <v/>
      </c>
      <c r="O1060">
        <f>IF(OR(O$4="",$A1060&gt;TODAY()),0,IF(OR(INDEX($B1060:$D1060,O$5)="F",AND(O$6&gt;0,$A1060&lt;O$6),AND(O$7&gt;0,$A1060&gt;O$7)),0,MAX(0,ROUND((INDEX($E1060:$G1060,O$5)-SUMIFS(TF_Timer,TF_Tekniker,O$4,TF_Dato,$A1060))*2,0)/2)))</f>
        <v/>
      </c>
      <c r="P1060">
        <f>IF(OR(P$4="",$A1060&gt;TODAY()),0,IF(OR(INDEX($B1060:$D1060,P$5)="F",AND(P$6&gt;0,$A1060&lt;P$6),AND(P$7&gt;0,$A1060&gt;P$7)),0,MAX(0,ROUND((INDEX($E1060:$G1060,P$5)-SUMIFS(TF_Timer,TF_Tekniker,P$4,TF_Dato,$A1060))*2,0)/2)))</f>
        <v/>
      </c>
      <c r="Q1060">
        <f>IF(OR(Q$4="",$A1060&gt;TODAY()),0,IF(OR(INDEX($B1060:$D1060,Q$5)="F",AND(Q$6&gt;0,$A1060&lt;Q$6),AND(Q$7&gt;0,$A1060&gt;Q$7)),0,MAX(0,ROUND((INDEX($E1060:$G1060,Q$5)-SUMIFS(TF_Timer,TF_Tekniker,Q$4,TF_Dato,$A1060))*2,0)/2)))</f>
        <v/>
      </c>
      <c r="R1060">
        <f>IF(OR(R$4="",$A1060&gt;TODAY()),0,IF(OR(INDEX($B1060:$D1060,R$5)="F",AND(R$6&gt;0,$A1060&lt;R$6),AND(R$7&gt;0,$A1060&gt;R$7)),0,MAX(0,ROUND((INDEX($E1060:$G1060,R$5)-SUMIFS(TF_Timer,TF_Tekniker,R$4,TF_Dato,$A1060))*2,0)/2)))</f>
        <v/>
      </c>
      <c r="S1060">
        <f>IF(OR(S$4="",$A1060&gt;TODAY()),0,IF(OR(INDEX($B1060:$D1060,S$5)="F",AND(S$6&gt;0,$A1060&lt;S$6),AND(S$7&gt;0,$A1060&gt;S$7)),0,MAX(0,ROUND((INDEX($E1060:$G1060,S$5)-SUMIFS(TF_Timer,TF_Tekniker,S$4,TF_Dato,$A1060))*2,0)/2)))</f>
        <v/>
      </c>
      <c r="T1060">
        <f>IF(OR(T$4="",$A1060&gt;TODAY()),0,IF(OR(INDEX($B1060:$D1060,T$5)="F",AND(T$6&gt;0,$A1060&lt;T$6),AND(T$7&gt;0,$A1060&gt;T$7)),0,MAX(0,ROUND((INDEX($E1060:$G1060,T$5)-SUMIFS(TF_Timer,TF_Tekniker,T$4,TF_Dato,$A1060))*2,0)/2)))</f>
        <v/>
      </c>
      <c r="U1060">
        <f>IF(OR(U$4="",$A1060&gt;TODAY()),0,IF(OR(INDEX($B1060:$D1060,U$5)="F",AND(U$6&gt;0,$A1060&lt;U$6),AND(U$7&gt;0,$A1060&gt;U$7)),0,MAX(0,ROUND((INDEX($E1060:$G1060,U$5)-SUMIFS(TF_Timer,TF_Tekniker,U$4,TF_Dato,$A1060))*2,0)/2)))</f>
        <v/>
      </c>
      <c r="V1060">
        <f>IF(OR(V$4="",$A1060&gt;TODAY()),0,IF(OR(INDEX($B1060:$D1060,V$5)="F",AND(V$6&gt;0,$A1060&lt;V$6),AND(V$7&gt;0,$A1060&gt;V$7)),0,MAX(0,ROUND((INDEX($E1060:$G1060,V$5)-SUMIFS(TF_Timer,TF_Tekniker,V$4,TF_Dato,$A1060))*2,0)/2)))</f>
        <v/>
      </c>
      <c r="W1060">
        <f>IF(OR(W$4="",$A1060&gt;TODAY()),0,IF(OR(INDEX($B1060:$D1060,W$5)="F",AND(W$6&gt;0,$A1060&lt;W$6),AND(W$7&gt;0,$A1060&gt;W$7)),0,MAX(0,ROUND((INDEX($E1060:$G1060,W$5)-SUMIFS(TF_Timer,TF_Tekniker,W$4,TF_Dato,$A1060))*2,0)/2)))</f>
        <v/>
      </c>
      <c r="X1060">
        <f>IF(OR(X$4="",$A1060&gt;TODAY()),0,IF(OR(INDEX($B1060:$D1060,X$5)="F",AND(X$6&gt;0,$A1060&lt;X$6),AND(X$7&gt;0,$A1060&gt;X$7)),0,MAX(0,ROUND((INDEX($E1060:$G1060,X$5)-SUMIFS(TF_Timer,TF_Tekniker,X$4,TF_Dato,$A1060))*2,0)/2)))</f>
        <v/>
      </c>
      <c r="Y1060">
        <f>IF(OR(Y$4="",$A1060&gt;TODAY()),0,IF(OR(INDEX($B1060:$D1060,Y$5)="F",AND(Y$6&gt;0,$A1060&lt;Y$6),AND(Y$7&gt;0,$A1060&gt;Y$7)),0,MAX(0,ROUND((INDEX($E1060:$G1060,Y$5)-SUMIFS(TF_Timer,TF_Tekniker,Y$4,TF_Dato,$A1060))*2,0)/2)))</f>
        <v/>
      </c>
      <c r="Z1060">
        <f>IF(OR(Z$4="",$A1060&gt;TODAY()),0,IF(OR(INDEX($B1060:$D1060,Z$5)="F",AND(Z$6&gt;0,$A1060&lt;Z$6),AND(Z$7&gt;0,$A1060&gt;Z$7)),0,MAX(0,ROUND((INDEX($E1060:$G1060,Z$5)-SUMIFS(TF_Timer,TF_Tekniker,Z$4,TF_Dato,$A1060))*2,0)/2)))</f>
        <v/>
      </c>
      <c r="AA1060">
        <f>IF(OR(AA$4="",$A1060&gt;TODAY()),0,IF(OR(INDEX($B1060:$D1060,AA$5)="F",AND(AA$6&gt;0,$A1060&lt;AA$6),AND(AA$7&gt;0,$A1060&gt;AA$7)),0,MAX(0,ROUND((INDEX($E1060:$G1060,AA$5)-SUMIFS(TF_Timer,TF_Tekniker,AA$4,TF_Dato,$A1060))*2,0)/2)))</f>
        <v/>
      </c>
      <c r="AB1060">
        <f>IF(OR(AB$4="",$A1060&gt;TODAY()),0,IF(OR(INDEX($B1060:$D1060,AB$5)="F",AND(AB$6&gt;0,$A1060&lt;AB$6),AND(AB$7&gt;0,$A1060&gt;AB$7)),0,MAX(0,ROUND((INDEX($E1060:$G1060,AB$5)-SUMIFS(TF_Timer,TF_Tekniker,AB$4,TF_Dato,$A1060))*2,0)/2)))</f>
        <v/>
      </c>
      <c r="AC1060">
        <f>IF(OR(AC$4="",$A1060&gt;TODAY()),0,IF(OR(INDEX($B1060:$D1060,AC$5)="F",AND(AC$6&gt;0,$A1060&lt;AC$6),AND(AC$7&gt;0,$A1060&gt;AC$7)),0,MAX(0,ROUND((INDEX($E1060:$G1060,AC$5)-SUMIFS(TF_Timer,TF_Tekniker,AC$4,TF_Dato,$A1060))*2,0)/2)))</f>
        <v/>
      </c>
      <c r="AD1060">
        <f>IF(OR(AD$4="",$A1060&gt;TODAY()),0,IF(OR(INDEX($B1060:$D1060,AD$5)="F",AND(AD$6&gt;0,$A1060&lt;AD$6),AND(AD$7&gt;0,$A1060&gt;AD$7)),0,MAX(0,ROUND((INDEX($E1060:$G1060,AD$5)-SUMIFS(TF_Timer,TF_Tekniker,AD$4,TF_Dato,$A1060))*2,0)/2)))</f>
        <v/>
      </c>
      <c r="AE1060">
        <f>IF(OR(AE$4="",$A1060&gt;TODAY()),0,IF(OR(INDEX($B1060:$D1060,AE$5)="F",AND(AE$6&gt;0,$A1060&lt;AE$6),AND(AE$7&gt;0,$A1060&gt;AE$7)),0,MAX(0,ROUND((INDEX($E1060:$G1060,AE$5)-SUMIFS(TF_Timer,TF_Tekniker,AE$4,TF_Dato,$A1060))*2,0)/2)))</f>
        <v/>
      </c>
      <c r="AF1060">
        <f>IF(OR(AF$4="",$A1060&gt;TODAY()),0,IF(OR(INDEX($B1060:$D1060,AF$5)="F",AND(AF$6&gt;0,$A1060&lt;AF$6),AND(AF$7&gt;0,$A1060&gt;AF$7)),0,MAX(0,ROUND((INDEX($E1060:$G1060,AF$5)-SUMIFS(TF_Timer,TF_Tekniker,AF$4,TF_Dato,$A1060))*2,0)/2)))</f>
        <v/>
      </c>
      <c r="AG1060">
        <f>IF(OR(AG$4="",$A1060&gt;TODAY()),0,IF(OR(INDEX($B1060:$D1060,AG$5)="F",AND(AG$6&gt;0,$A1060&lt;AG$6),AND(AG$7&gt;0,$A1060&gt;AG$7)),0,MAX(0,ROUND((INDEX($E1060:$G1060,AG$5)-SUMIFS(TF_Timer,TF_Tekniker,AG$4,TF_Dato,$A1060))*2,0)/2)))</f>
        <v/>
      </c>
      <c r="AH1060">
        <f>IF(OR(AH$4="",$A1060&gt;TODAY()),0,IF(OR(INDEX($B1060:$D1060,AH$5)="F",AND(AH$6&gt;0,$A1060&lt;AH$6),AND(AH$7&gt;0,$A1060&gt;AH$7)),0,MAX(0,ROUND((INDEX($E1060:$G1060,AH$5)-SUMIFS(TF_Timer,TF_Tekniker,AH$4,TF_Dato,$A1060))*2,0)/2)))</f>
        <v/>
      </c>
      <c r="AI1060">
        <f>IF(OR(AI$4="",$A1060&gt;TODAY()),0,IF(OR(INDEX($B1060:$D1060,AI$5)="F",AND(AI$6&gt;0,$A1060&lt;AI$6),AND(AI$7&gt;0,$A1060&gt;AI$7)),0,MAX(0,ROUND((INDEX($E1060:$G1060,AI$5)-SUMIFS(TF_Timer,TF_Tekniker,AI$4,TF_Dato,$A1060))*2,0)/2)))</f>
        <v/>
      </c>
      <c r="AJ1060">
        <f>IF(OR(AJ$4="",$A1060&gt;TODAY()),0,IF(OR(INDEX($B1060:$D1060,AJ$5)="F",AND(AJ$6&gt;0,$A1060&lt;AJ$6),AND(AJ$7&gt;0,$A1060&gt;AJ$7)),0,MAX(0,ROUND((INDEX($E1060:$G1060,AJ$5)-SUMIFS(TF_Timer,TF_Tekniker,AJ$4,TF_Dato,$A1060))*2,0)/2)))</f>
        <v/>
      </c>
      <c r="AK1060">
        <f>IF(OR(AK$4="",$A1060&gt;TODAY()),0,IF(OR(INDEX($B1060:$D1060,AK$5)="F",AND(AK$6&gt;0,$A1060&lt;AK$6),AND(AK$7&gt;0,$A1060&gt;AK$7)),0,MAX(0,ROUND((INDEX($E1060:$G1060,AK$5)-SUMIFS(TF_Timer,TF_Tekniker,AK$4,TF_Dato,$A1060))*2,0)/2)))</f>
        <v/>
      </c>
      <c r="AL1060">
        <f>IF(OR(AL$4="",$A1060&gt;TODAY()),0,IF(OR(INDEX($B1060:$D1060,AL$5)="F",AND(AL$6&gt;0,$A1060&lt;AL$6),AND(AL$7&gt;0,$A1060&gt;AL$7)),0,MAX(0,ROUND((INDEX($E1060:$G1060,AL$5)-SUMIFS(TF_Timer,TF_Tekniker,AL$4,TF_Dato,$A1060))*2,0)/2)))</f>
        <v/>
      </c>
      <c r="AM1060">
        <f>IF(OR(AM$4="",$A1060&gt;TODAY()),0,IF(OR(INDEX($B1060:$D1060,AM$5)="F",AND(AM$6&gt;0,$A1060&lt;AM$6),AND(AM$7&gt;0,$A1060&gt;AM$7)),0,MAX(0,ROUND((INDEX($E1060:$G1060,AM$5)-SUMIFS(TF_Timer,TF_Tekniker,AM$4,TF_Dato,$A1060))*2,0)/2)))</f>
        <v/>
      </c>
      <c r="AN1060">
        <f>IF(OR(AN$4="",$A1060&gt;TODAY()),0,IF(OR(INDEX($B1060:$D1060,AN$5)="F",AND(AN$6&gt;0,$A1060&lt;AN$6),AND(AN$7&gt;0,$A1060&gt;AN$7)),0,MAX(0,ROUND((INDEX($E1060:$G1060,AN$5)-SUMIFS(TF_Timer,TF_Tekniker,AN$4,TF_Dato,$A1060))*2,0)/2)))</f>
        <v/>
      </c>
      <c r="AO1060">
        <f>IF(OR(AO$4="",$A1060&gt;TODAY()),0,IF(OR(INDEX($B1060:$D1060,AO$5)="F",AND(AO$6&gt;0,$A1060&lt;AO$6),AND(AO$7&gt;0,$A1060&gt;AO$7)),0,MAX(0,ROUND((INDEX($E1060:$G1060,AO$5)-SUMIFS(TF_Timer,TF_Tekniker,AO$4,TF_Dato,$A1060))*2,0)/2)))</f>
        <v/>
      </c>
      <c r="AP1060">
        <f>IF(OR(AP$4="",$A1060&gt;TODAY()),0,IF(OR(INDEX($B1060:$D1060,AP$5)="F",AND(AP$6&gt;0,$A1060&lt;AP$6),AND(AP$7&gt;0,$A1060&gt;AP$7)),0,MAX(0,ROUND((INDEX($E1060:$G1060,AP$5)-SUMIFS(TF_Timer,TF_Tekniker,AP$4,TF_Dato,$A1060))*2,0)/2)))</f>
        <v/>
      </c>
      <c r="AQ1060">
        <f>IF(OR(AQ$4="",$A1060&gt;TODAY()),0,IF(OR(INDEX($B1060:$D1060,AQ$5)="F",AND(AQ$6&gt;0,$A1060&lt;AQ$6),AND(AQ$7&gt;0,$A1060&gt;AQ$7)),0,MAX(0,ROUND((INDEX($E1060:$G1060,AQ$5)-SUMIFS(TF_Timer,TF_Tekniker,AQ$4,TF_Dato,$A1060))*2,0)/2)))</f>
        <v/>
      </c>
      <c r="AR1060">
        <f>IF(OR(AR$4="",$A1060&gt;TODAY()),0,IF(OR(INDEX($B1060:$D1060,AR$5)="F",AND(AR$6&gt;0,$A1060&lt;AR$6),AND(AR$7&gt;0,$A1060&gt;AR$7)),0,MAX(0,ROUND((INDEX($E1060:$G1060,AR$5)-SUMIFS(TF_Timer,TF_Tekniker,AR$4,TF_Dato,$A1060))*2,0)/2)))</f>
        <v/>
      </c>
      <c r="AS1060">
        <f>IF(OR(AS$4="",$A1060&gt;TODAY()),0,IF(OR(INDEX($B1060:$D1060,AS$5)="F",AND(AS$6&gt;0,$A1060&lt;AS$6),AND(AS$7&gt;0,$A1060&gt;AS$7)),0,MAX(0,ROUND((INDEX($E1060:$G1060,AS$5)-SUMIFS(TF_Timer,TF_Tekniker,AS$4,TF_Dato,$A1060))*2,0)/2)))</f>
        <v/>
      </c>
      <c r="AT1060">
        <f>IF(OR(AT$4="",$A1060&gt;TODAY()),0,IF(OR(INDEX($B1060:$D1060,AT$5)="F",AND(AT$6&gt;0,$A1060&lt;AT$6),AND(AT$7&gt;0,$A1060&gt;AT$7)),0,MAX(0,ROUND((INDEX($E1060:$G1060,AT$5)-SUMIFS(TF_Timer,TF_Tekniker,AT$4,TF_Dato,$A1060))*2,0)/2)))</f>
        <v/>
      </c>
      <c r="AU1060">
        <f>IF(OR(AU$4="",$A1060&gt;TODAY()),0,IF(OR(INDEX($B1060:$D1060,AU$5)="F",AND(AU$6&gt;0,$A1060&lt;AU$6),AND(AU$7&gt;0,$A1060&gt;AU$7)),0,MAX(0,ROUND((INDEX($E1060:$G1060,AU$5)-SUMIFS(TF_Timer,TF_Tekniker,AU$4,TF_Dato,$A1060))*2,0)/2)))</f>
        <v/>
      </c>
      <c r="AV1060">
        <f>IF(OR(AV$4="",$A1060&gt;TODAY()),0,IF(OR(INDEX($B1060:$D1060,AV$5)="F",AND(AV$6&gt;0,$A1060&lt;AV$6),AND(AV$7&gt;0,$A1060&gt;AV$7)),0,MAX(0,ROUND((INDEX($E1060:$G1060,AV$5)-SUMIFS(TF_Timer,TF_Tekniker,AV$4,TF_Dato,$A1060))*2,0)/2)))</f>
        <v/>
      </c>
      <c r="AW1060">
        <f>IF(OR(AW$4="",$A1060&gt;TODAY()),0,IF(OR(INDEX($B1060:$D1060,AW$5)="F",AND(AW$6&gt;0,$A1060&lt;AW$6),AND(AW$7&gt;0,$A1060&gt;AW$7)),0,MAX(0,ROUND((INDEX($E1060:$G1060,AW$5)-SUMIFS(TF_Timer,TF_Tekniker,AW$4,TF_Dato,$A1060))*2,0)/2)))</f>
        <v/>
      </c>
      <c r="AX1060">
        <f>IF(OR(AX$4="",$A1060&gt;TODAY()),0,IF(OR(INDEX($B1060:$D1060,AX$5)="F",AND(AX$6&gt;0,$A1060&lt;AX$6),AND(AX$7&gt;0,$A1060&gt;AX$7)),0,MAX(0,ROUND((INDEX($E1060:$G1060,AX$5)-SUMIFS(TF_Timer,TF_Tekniker,AX$4,TF_Dato,$A1060))*2,0)/2)))</f>
        <v/>
      </c>
      <c r="AY1060">
        <f>IF(OR(AY$4="",$A1060&gt;TODAY()),0,IF(OR(INDEX($B1060:$D1060,AY$5)="F",AND(AY$6&gt;0,$A1060&lt;AY$6),AND(AY$7&gt;0,$A1060&gt;AY$7)),0,MAX(0,ROUND((INDEX($E1060:$G1060,AY$5)-SUMIFS(TF_Timer,TF_Tekniker,AY$4,TF_Dato,$A1060))*2,0)/2)))</f>
        <v/>
      </c>
      <c r="AZ1060">
        <f>IF(OR(AZ$4="",$A1060&gt;TODAY()),0,IF(OR(INDEX($B1060:$D1060,AZ$5)="F",AND(AZ$6&gt;0,$A1060&lt;AZ$6),AND(AZ$7&gt;0,$A1060&gt;AZ$7)),0,MAX(0,ROUND((INDEX($E1060:$G1060,AZ$5)-SUMIFS(TF_Timer,TF_Tekniker,AZ$4,TF_Dato,$A1060))*2,0)/2)))</f>
        <v/>
      </c>
      <c r="BA1060">
        <f>IF(OR(BA$4="",$A1060&gt;TODAY()),0,IF(OR(INDEX($B1060:$D1060,BA$5)="F",AND(BA$6&gt;0,$A1060&lt;BA$6),AND(BA$7&gt;0,$A1060&gt;BA$7)),0,MAX(0,ROUND((INDEX($E1060:$G1060,BA$5)-SUMIFS(TF_Timer,TF_Tekniker,BA$4,TF_Dato,$A1060))*2,0)/2)))</f>
        <v/>
      </c>
      <c r="BB1060">
        <f>IF(OR(BB$4="",$A1060&gt;TODAY()),0,IF(OR(INDEX($B1060:$D1060,BB$5)="F",AND(BB$6&gt;0,$A1060&lt;BB$6),AND(BB$7&gt;0,$A1060&gt;BB$7)),0,MAX(0,ROUND((INDEX($E1060:$G1060,BB$5)-SUMIFS(TF_Timer,TF_Tekniker,BB$4,TF_Dato,$A1060))*2,0)/2)))</f>
        <v/>
      </c>
      <c r="BC1060">
        <f>IF(OR(BC$4="",$A1060&gt;TODAY()),0,IF(OR(INDEX($B1060:$D1060,BC$5)="F",AND(BC$6&gt;0,$A1060&lt;BC$6),AND(BC$7&gt;0,$A1060&gt;BC$7)),0,MAX(0,ROUND((INDEX($E1060:$G1060,BC$5)-SUMIFS(TF_Timer,TF_Tekniker,BC$4,TF_Dato,$A1060))*2,0)/2)))</f>
        <v/>
      </c>
      <c r="BD1060">
        <f>IF(OR(BD$4="",$A1060&gt;TODAY()),0,IF(OR(INDEX($B1060:$D1060,BD$5)="F",AND(BD$6&gt;0,$A1060&lt;BD$6),AND(BD$7&gt;0,$A1060&gt;BD$7)),0,MAX(0,ROUND((INDEX($E1060:$G1060,BD$5)-SUMIFS(TF_Timer,TF_Tekniker,BD$4,TF_Dato,$A1060))*2,0)/2)))</f>
        <v/>
      </c>
      <c r="BE1060">
        <f>IF(OR(BE$4="",$A1060&gt;TODAY()),0,IF(OR(INDEX($B1060:$D1060,BE$5)="F",AND(BE$6&gt;0,$A1060&lt;BE$6),AND(BE$7&gt;0,$A1060&gt;BE$7)),0,MAX(0,ROUND((INDEX($E1060:$G1060,BE$5)-SUMIFS(TF_Timer,TF_Tekniker,BE$4,TF_Dato,$A1060))*2,0)/2)))</f>
        <v/>
      </c>
      <c r="BF1060">
        <f>IF(OR(BF$4="",$A1060&gt;TODAY()),0,IF(OR(INDEX($B1060:$D1060,BF$5)="F",AND(BF$6&gt;0,$A1060&lt;BF$6),AND(BF$7&gt;0,$A1060&gt;BF$7)),0,MAX(0,ROUND((INDEX($E1060:$G1060,BF$5)-SUMIFS(TF_Timer,TF_Tekniker,BF$4,TF_Dato,$A1060))*2,0)/2)))</f>
        <v/>
      </c>
      <c r="BG1060">
        <f>IF(OR(BG$4="",$A1060&gt;TODAY()),0,IF(OR(INDEX($B1060:$D1060,BG$5)="F",AND(BG$6&gt;0,$A1060&lt;BG$6),AND(BG$7&gt;0,$A1060&gt;BG$7)),0,MAX(0,ROUND((INDEX($E1060:$G1060,BG$5)-SUMIFS(TF_Timer,TF_Tekniker,BG$4,TF_Dato,$A1060))*2,0)/2)))</f>
        <v/>
      </c>
      <c r="BH1060">
        <f>IF(OR(BH$4="",$A1060&gt;TODAY()),0,IF(OR(INDEX($B1060:$D1060,BH$5)="F",AND(BH$6&gt;0,$A1060&lt;BH$6),AND(BH$7&gt;0,$A1060&gt;BH$7)),0,MAX(0,ROUND((INDEX($E1060:$G1060,BH$5)-SUMIFS(TF_Timer,TF_Tekniker,BH$4,TF_Dato,$A1060))*2,0)/2)))</f>
        <v/>
      </c>
      <c r="BI1060">
        <f>IF(OR(BI$4="",$A1060&gt;TODAY()),0,IF(OR(INDEX($B1060:$D1060,BI$5)="F",AND(BI$6&gt;0,$A1060&lt;BI$6),AND(BI$7&gt;0,$A1060&gt;BI$7)),0,MAX(0,ROUND((INDEX($E1060:$G1060,BI$5)-SUMIFS(TF_Timer,TF_Tekniker,BI$4,TF_Dato,$A1060))*2,0)/2)))</f>
        <v/>
      </c>
    </row>
    <row r="1061">
      <c r="A1061" s="64">
        <f>A1060+1</f>
        <v/>
      </c>
      <c r="B1061">
        <f>IF(MOD($A1061-INDEX(SkiftStart,1),Syklus)&lt;DagK,"K",IF(MOD($A1061-INDEX(SkiftStart,1),Syklus)&lt;DagK+DagH,"H",IF(MOD($A1061-INDEX(SkiftStart,1),Syklus)&lt;DagK+DagH+DagD,"D","F")))</f>
        <v/>
      </c>
      <c r="C1061">
        <f>IF(MOD($A1061-INDEX(SkiftStart,2),Syklus)&lt;DagK,"K",IF(MOD($A1061-INDEX(SkiftStart,2),Syklus)&lt;DagK+DagH,"H",IF(MOD($A1061-INDEX(SkiftStart,2),Syklus)&lt;DagK+DagH+DagD,"D","F")))</f>
        <v/>
      </c>
      <c r="D1061">
        <f>IF(MOD($A1061-INDEX(SkiftStart,3),Syklus)&lt;DagK,"K",IF(MOD($A1061-INDEX(SkiftStart,3),Syklus)&lt;DagK+DagH,"H",IF(MOD($A1061-INDEX(SkiftStart,3),Syklus)&lt;DagK+DagH+DagD,"D","F")))</f>
        <v/>
      </c>
      <c r="E1061">
        <f>IF(B1061="F",0,IF(WEEKDAY($A1061,2)=5,INDEX(TimerFr,MATCH(B1061,FaseKode,0)),INDEX(TimerMT,MATCH(B1061,FaseKode,0))))</f>
        <v/>
      </c>
      <c r="F1061">
        <f>IF(C1061="F",0,IF(WEEKDAY($A1061,2)=5,INDEX(TimerFr,MATCH(C1061,FaseKode,0)),INDEX(TimerMT,MATCH(C1061,FaseKode,0))))</f>
        <v/>
      </c>
      <c r="G1061">
        <f>IF(D1061="F",0,IF(WEEKDAY($A1061,2)=5,INDEX(TimerFr,MATCH(D1061,FaseKode,0)),INDEX(TimerMT,MATCH(D1061,FaseKode,0))))</f>
        <v/>
      </c>
      <c r="H1061">
        <f>IF(OR(H$4="",$A1061&gt;TODAY()),0,IF(OR(INDEX($B1061:$D1061,H$5)="F",AND(H$6&gt;0,$A1061&lt;H$6),AND(H$7&gt;0,$A1061&gt;H$7)),0,MAX(0,ROUND((INDEX($E1061:$G1061,H$5)-SUMIFS(TF_Timer,TF_Tekniker,H$4,TF_Dato,$A1061))*2,0)/2)))</f>
        <v/>
      </c>
      <c r="I1061">
        <f>IF(OR(I$4="",$A1061&gt;TODAY()),0,IF(OR(INDEX($B1061:$D1061,I$5)="F",AND(I$6&gt;0,$A1061&lt;I$6),AND(I$7&gt;0,$A1061&gt;I$7)),0,MAX(0,ROUND((INDEX($E1061:$G1061,I$5)-SUMIFS(TF_Timer,TF_Tekniker,I$4,TF_Dato,$A1061))*2,0)/2)))</f>
        <v/>
      </c>
      <c r="J1061">
        <f>IF(OR(J$4="",$A1061&gt;TODAY()),0,IF(OR(INDEX($B1061:$D1061,J$5)="F",AND(J$6&gt;0,$A1061&lt;J$6),AND(J$7&gt;0,$A1061&gt;J$7)),0,MAX(0,ROUND((INDEX($E1061:$G1061,J$5)-SUMIFS(TF_Timer,TF_Tekniker,J$4,TF_Dato,$A1061))*2,0)/2)))</f>
        <v/>
      </c>
      <c r="K1061">
        <f>IF(OR(K$4="",$A1061&gt;TODAY()),0,IF(OR(INDEX($B1061:$D1061,K$5)="F",AND(K$6&gt;0,$A1061&lt;K$6),AND(K$7&gt;0,$A1061&gt;K$7)),0,MAX(0,ROUND((INDEX($E1061:$G1061,K$5)-SUMIFS(TF_Timer,TF_Tekniker,K$4,TF_Dato,$A1061))*2,0)/2)))</f>
        <v/>
      </c>
      <c r="L1061">
        <f>IF(OR(L$4="",$A1061&gt;TODAY()),0,IF(OR(INDEX($B1061:$D1061,L$5)="F",AND(L$6&gt;0,$A1061&lt;L$6),AND(L$7&gt;0,$A1061&gt;L$7)),0,MAX(0,ROUND((INDEX($E1061:$G1061,L$5)-SUMIFS(TF_Timer,TF_Tekniker,L$4,TF_Dato,$A1061))*2,0)/2)))</f>
        <v/>
      </c>
      <c r="M1061">
        <f>IF(OR(M$4="",$A1061&gt;TODAY()),0,IF(OR(INDEX($B1061:$D1061,M$5)="F",AND(M$6&gt;0,$A1061&lt;M$6),AND(M$7&gt;0,$A1061&gt;M$7)),0,MAX(0,ROUND((INDEX($E1061:$G1061,M$5)-SUMIFS(TF_Timer,TF_Tekniker,M$4,TF_Dato,$A1061))*2,0)/2)))</f>
        <v/>
      </c>
      <c r="N1061">
        <f>IF(OR(N$4="",$A1061&gt;TODAY()),0,IF(OR(INDEX($B1061:$D1061,N$5)="F",AND(N$6&gt;0,$A1061&lt;N$6),AND(N$7&gt;0,$A1061&gt;N$7)),0,MAX(0,ROUND((INDEX($E1061:$G1061,N$5)-SUMIFS(TF_Timer,TF_Tekniker,N$4,TF_Dato,$A1061))*2,0)/2)))</f>
        <v/>
      </c>
      <c r="O1061">
        <f>IF(OR(O$4="",$A1061&gt;TODAY()),0,IF(OR(INDEX($B1061:$D1061,O$5)="F",AND(O$6&gt;0,$A1061&lt;O$6),AND(O$7&gt;0,$A1061&gt;O$7)),0,MAX(0,ROUND((INDEX($E1061:$G1061,O$5)-SUMIFS(TF_Timer,TF_Tekniker,O$4,TF_Dato,$A1061))*2,0)/2)))</f>
        <v/>
      </c>
      <c r="P1061">
        <f>IF(OR(P$4="",$A1061&gt;TODAY()),0,IF(OR(INDEX($B1061:$D1061,P$5)="F",AND(P$6&gt;0,$A1061&lt;P$6),AND(P$7&gt;0,$A1061&gt;P$7)),0,MAX(0,ROUND((INDEX($E1061:$G1061,P$5)-SUMIFS(TF_Timer,TF_Tekniker,P$4,TF_Dato,$A1061))*2,0)/2)))</f>
        <v/>
      </c>
      <c r="Q1061">
        <f>IF(OR(Q$4="",$A1061&gt;TODAY()),0,IF(OR(INDEX($B1061:$D1061,Q$5)="F",AND(Q$6&gt;0,$A1061&lt;Q$6),AND(Q$7&gt;0,$A1061&gt;Q$7)),0,MAX(0,ROUND((INDEX($E1061:$G1061,Q$5)-SUMIFS(TF_Timer,TF_Tekniker,Q$4,TF_Dato,$A1061))*2,0)/2)))</f>
        <v/>
      </c>
      <c r="R1061">
        <f>IF(OR(R$4="",$A1061&gt;TODAY()),0,IF(OR(INDEX($B1061:$D1061,R$5)="F",AND(R$6&gt;0,$A1061&lt;R$6),AND(R$7&gt;0,$A1061&gt;R$7)),0,MAX(0,ROUND((INDEX($E1061:$G1061,R$5)-SUMIFS(TF_Timer,TF_Tekniker,R$4,TF_Dato,$A1061))*2,0)/2)))</f>
        <v/>
      </c>
      <c r="S1061">
        <f>IF(OR(S$4="",$A1061&gt;TODAY()),0,IF(OR(INDEX($B1061:$D1061,S$5)="F",AND(S$6&gt;0,$A1061&lt;S$6),AND(S$7&gt;0,$A1061&gt;S$7)),0,MAX(0,ROUND((INDEX($E1061:$G1061,S$5)-SUMIFS(TF_Timer,TF_Tekniker,S$4,TF_Dato,$A1061))*2,0)/2)))</f>
        <v/>
      </c>
      <c r="T1061">
        <f>IF(OR(T$4="",$A1061&gt;TODAY()),0,IF(OR(INDEX($B1061:$D1061,T$5)="F",AND(T$6&gt;0,$A1061&lt;T$6),AND(T$7&gt;0,$A1061&gt;T$7)),0,MAX(0,ROUND((INDEX($E1061:$G1061,T$5)-SUMIFS(TF_Timer,TF_Tekniker,T$4,TF_Dato,$A1061))*2,0)/2)))</f>
        <v/>
      </c>
      <c r="U1061">
        <f>IF(OR(U$4="",$A1061&gt;TODAY()),0,IF(OR(INDEX($B1061:$D1061,U$5)="F",AND(U$6&gt;0,$A1061&lt;U$6),AND(U$7&gt;0,$A1061&gt;U$7)),0,MAX(0,ROUND((INDEX($E1061:$G1061,U$5)-SUMIFS(TF_Timer,TF_Tekniker,U$4,TF_Dato,$A1061))*2,0)/2)))</f>
        <v/>
      </c>
      <c r="V1061">
        <f>IF(OR(V$4="",$A1061&gt;TODAY()),0,IF(OR(INDEX($B1061:$D1061,V$5)="F",AND(V$6&gt;0,$A1061&lt;V$6),AND(V$7&gt;0,$A1061&gt;V$7)),0,MAX(0,ROUND((INDEX($E1061:$G1061,V$5)-SUMIFS(TF_Timer,TF_Tekniker,V$4,TF_Dato,$A1061))*2,0)/2)))</f>
        <v/>
      </c>
      <c r="W1061">
        <f>IF(OR(W$4="",$A1061&gt;TODAY()),0,IF(OR(INDEX($B1061:$D1061,W$5)="F",AND(W$6&gt;0,$A1061&lt;W$6),AND(W$7&gt;0,$A1061&gt;W$7)),0,MAX(0,ROUND((INDEX($E1061:$G1061,W$5)-SUMIFS(TF_Timer,TF_Tekniker,W$4,TF_Dato,$A1061))*2,0)/2)))</f>
        <v/>
      </c>
      <c r="X1061">
        <f>IF(OR(X$4="",$A1061&gt;TODAY()),0,IF(OR(INDEX($B1061:$D1061,X$5)="F",AND(X$6&gt;0,$A1061&lt;X$6),AND(X$7&gt;0,$A1061&gt;X$7)),0,MAX(0,ROUND((INDEX($E1061:$G1061,X$5)-SUMIFS(TF_Timer,TF_Tekniker,X$4,TF_Dato,$A1061))*2,0)/2)))</f>
        <v/>
      </c>
      <c r="Y1061">
        <f>IF(OR(Y$4="",$A1061&gt;TODAY()),0,IF(OR(INDEX($B1061:$D1061,Y$5)="F",AND(Y$6&gt;0,$A1061&lt;Y$6),AND(Y$7&gt;0,$A1061&gt;Y$7)),0,MAX(0,ROUND((INDEX($E1061:$G1061,Y$5)-SUMIFS(TF_Timer,TF_Tekniker,Y$4,TF_Dato,$A1061))*2,0)/2)))</f>
        <v/>
      </c>
      <c r="Z1061">
        <f>IF(OR(Z$4="",$A1061&gt;TODAY()),0,IF(OR(INDEX($B1061:$D1061,Z$5)="F",AND(Z$6&gt;0,$A1061&lt;Z$6),AND(Z$7&gt;0,$A1061&gt;Z$7)),0,MAX(0,ROUND((INDEX($E1061:$G1061,Z$5)-SUMIFS(TF_Timer,TF_Tekniker,Z$4,TF_Dato,$A1061))*2,0)/2)))</f>
        <v/>
      </c>
      <c r="AA1061">
        <f>IF(OR(AA$4="",$A1061&gt;TODAY()),0,IF(OR(INDEX($B1061:$D1061,AA$5)="F",AND(AA$6&gt;0,$A1061&lt;AA$6),AND(AA$7&gt;0,$A1061&gt;AA$7)),0,MAX(0,ROUND((INDEX($E1061:$G1061,AA$5)-SUMIFS(TF_Timer,TF_Tekniker,AA$4,TF_Dato,$A1061))*2,0)/2)))</f>
        <v/>
      </c>
      <c r="AB1061">
        <f>IF(OR(AB$4="",$A1061&gt;TODAY()),0,IF(OR(INDEX($B1061:$D1061,AB$5)="F",AND(AB$6&gt;0,$A1061&lt;AB$6),AND(AB$7&gt;0,$A1061&gt;AB$7)),0,MAX(0,ROUND((INDEX($E1061:$G1061,AB$5)-SUMIFS(TF_Timer,TF_Tekniker,AB$4,TF_Dato,$A1061))*2,0)/2)))</f>
        <v/>
      </c>
      <c r="AC1061">
        <f>IF(OR(AC$4="",$A1061&gt;TODAY()),0,IF(OR(INDEX($B1061:$D1061,AC$5)="F",AND(AC$6&gt;0,$A1061&lt;AC$6),AND(AC$7&gt;0,$A1061&gt;AC$7)),0,MAX(0,ROUND((INDEX($E1061:$G1061,AC$5)-SUMIFS(TF_Timer,TF_Tekniker,AC$4,TF_Dato,$A1061))*2,0)/2)))</f>
        <v/>
      </c>
      <c r="AD1061">
        <f>IF(OR(AD$4="",$A1061&gt;TODAY()),0,IF(OR(INDEX($B1061:$D1061,AD$5)="F",AND(AD$6&gt;0,$A1061&lt;AD$6),AND(AD$7&gt;0,$A1061&gt;AD$7)),0,MAX(0,ROUND((INDEX($E1061:$G1061,AD$5)-SUMIFS(TF_Timer,TF_Tekniker,AD$4,TF_Dato,$A1061))*2,0)/2)))</f>
        <v/>
      </c>
      <c r="AE1061">
        <f>IF(OR(AE$4="",$A1061&gt;TODAY()),0,IF(OR(INDEX($B1061:$D1061,AE$5)="F",AND(AE$6&gt;0,$A1061&lt;AE$6),AND(AE$7&gt;0,$A1061&gt;AE$7)),0,MAX(0,ROUND((INDEX($E1061:$G1061,AE$5)-SUMIFS(TF_Timer,TF_Tekniker,AE$4,TF_Dato,$A1061))*2,0)/2)))</f>
        <v/>
      </c>
      <c r="AF1061">
        <f>IF(OR(AF$4="",$A1061&gt;TODAY()),0,IF(OR(INDEX($B1061:$D1061,AF$5)="F",AND(AF$6&gt;0,$A1061&lt;AF$6),AND(AF$7&gt;0,$A1061&gt;AF$7)),0,MAX(0,ROUND((INDEX($E1061:$G1061,AF$5)-SUMIFS(TF_Timer,TF_Tekniker,AF$4,TF_Dato,$A1061))*2,0)/2)))</f>
        <v/>
      </c>
      <c r="AG1061">
        <f>IF(OR(AG$4="",$A1061&gt;TODAY()),0,IF(OR(INDEX($B1061:$D1061,AG$5)="F",AND(AG$6&gt;0,$A1061&lt;AG$6),AND(AG$7&gt;0,$A1061&gt;AG$7)),0,MAX(0,ROUND((INDEX($E1061:$G1061,AG$5)-SUMIFS(TF_Timer,TF_Tekniker,AG$4,TF_Dato,$A1061))*2,0)/2)))</f>
        <v/>
      </c>
      <c r="AH1061">
        <f>IF(OR(AH$4="",$A1061&gt;TODAY()),0,IF(OR(INDEX($B1061:$D1061,AH$5)="F",AND(AH$6&gt;0,$A1061&lt;AH$6),AND(AH$7&gt;0,$A1061&gt;AH$7)),0,MAX(0,ROUND((INDEX($E1061:$G1061,AH$5)-SUMIFS(TF_Timer,TF_Tekniker,AH$4,TF_Dato,$A1061))*2,0)/2)))</f>
        <v/>
      </c>
      <c r="AI1061">
        <f>IF(OR(AI$4="",$A1061&gt;TODAY()),0,IF(OR(INDEX($B1061:$D1061,AI$5)="F",AND(AI$6&gt;0,$A1061&lt;AI$6),AND(AI$7&gt;0,$A1061&gt;AI$7)),0,MAX(0,ROUND((INDEX($E1061:$G1061,AI$5)-SUMIFS(TF_Timer,TF_Tekniker,AI$4,TF_Dato,$A1061))*2,0)/2)))</f>
        <v/>
      </c>
      <c r="AJ1061">
        <f>IF(OR(AJ$4="",$A1061&gt;TODAY()),0,IF(OR(INDEX($B1061:$D1061,AJ$5)="F",AND(AJ$6&gt;0,$A1061&lt;AJ$6),AND(AJ$7&gt;0,$A1061&gt;AJ$7)),0,MAX(0,ROUND((INDEX($E1061:$G1061,AJ$5)-SUMIFS(TF_Timer,TF_Tekniker,AJ$4,TF_Dato,$A1061))*2,0)/2)))</f>
        <v/>
      </c>
      <c r="AK1061">
        <f>IF(OR(AK$4="",$A1061&gt;TODAY()),0,IF(OR(INDEX($B1061:$D1061,AK$5)="F",AND(AK$6&gt;0,$A1061&lt;AK$6),AND(AK$7&gt;0,$A1061&gt;AK$7)),0,MAX(0,ROUND((INDEX($E1061:$G1061,AK$5)-SUMIFS(TF_Timer,TF_Tekniker,AK$4,TF_Dato,$A1061))*2,0)/2)))</f>
        <v/>
      </c>
      <c r="AL1061">
        <f>IF(OR(AL$4="",$A1061&gt;TODAY()),0,IF(OR(INDEX($B1061:$D1061,AL$5)="F",AND(AL$6&gt;0,$A1061&lt;AL$6),AND(AL$7&gt;0,$A1061&gt;AL$7)),0,MAX(0,ROUND((INDEX($E1061:$G1061,AL$5)-SUMIFS(TF_Timer,TF_Tekniker,AL$4,TF_Dato,$A1061))*2,0)/2)))</f>
        <v/>
      </c>
      <c r="AM1061">
        <f>IF(OR(AM$4="",$A1061&gt;TODAY()),0,IF(OR(INDEX($B1061:$D1061,AM$5)="F",AND(AM$6&gt;0,$A1061&lt;AM$6),AND(AM$7&gt;0,$A1061&gt;AM$7)),0,MAX(0,ROUND((INDEX($E1061:$G1061,AM$5)-SUMIFS(TF_Timer,TF_Tekniker,AM$4,TF_Dato,$A1061))*2,0)/2)))</f>
        <v/>
      </c>
      <c r="AN1061">
        <f>IF(OR(AN$4="",$A1061&gt;TODAY()),0,IF(OR(INDEX($B1061:$D1061,AN$5)="F",AND(AN$6&gt;0,$A1061&lt;AN$6),AND(AN$7&gt;0,$A1061&gt;AN$7)),0,MAX(0,ROUND((INDEX($E1061:$G1061,AN$5)-SUMIFS(TF_Timer,TF_Tekniker,AN$4,TF_Dato,$A1061))*2,0)/2)))</f>
        <v/>
      </c>
      <c r="AO1061">
        <f>IF(OR(AO$4="",$A1061&gt;TODAY()),0,IF(OR(INDEX($B1061:$D1061,AO$5)="F",AND(AO$6&gt;0,$A1061&lt;AO$6),AND(AO$7&gt;0,$A1061&gt;AO$7)),0,MAX(0,ROUND((INDEX($E1061:$G1061,AO$5)-SUMIFS(TF_Timer,TF_Tekniker,AO$4,TF_Dato,$A1061))*2,0)/2)))</f>
        <v/>
      </c>
      <c r="AP1061">
        <f>IF(OR(AP$4="",$A1061&gt;TODAY()),0,IF(OR(INDEX($B1061:$D1061,AP$5)="F",AND(AP$6&gt;0,$A1061&lt;AP$6),AND(AP$7&gt;0,$A1061&gt;AP$7)),0,MAX(0,ROUND((INDEX($E1061:$G1061,AP$5)-SUMIFS(TF_Timer,TF_Tekniker,AP$4,TF_Dato,$A1061))*2,0)/2)))</f>
        <v/>
      </c>
      <c r="AQ1061">
        <f>IF(OR(AQ$4="",$A1061&gt;TODAY()),0,IF(OR(INDEX($B1061:$D1061,AQ$5)="F",AND(AQ$6&gt;0,$A1061&lt;AQ$6),AND(AQ$7&gt;0,$A1061&gt;AQ$7)),0,MAX(0,ROUND((INDEX($E1061:$G1061,AQ$5)-SUMIFS(TF_Timer,TF_Tekniker,AQ$4,TF_Dato,$A1061))*2,0)/2)))</f>
        <v/>
      </c>
      <c r="AR1061">
        <f>IF(OR(AR$4="",$A1061&gt;TODAY()),0,IF(OR(INDEX($B1061:$D1061,AR$5)="F",AND(AR$6&gt;0,$A1061&lt;AR$6),AND(AR$7&gt;0,$A1061&gt;AR$7)),0,MAX(0,ROUND((INDEX($E1061:$G1061,AR$5)-SUMIFS(TF_Timer,TF_Tekniker,AR$4,TF_Dato,$A1061))*2,0)/2)))</f>
        <v/>
      </c>
      <c r="AS1061">
        <f>IF(OR(AS$4="",$A1061&gt;TODAY()),0,IF(OR(INDEX($B1061:$D1061,AS$5)="F",AND(AS$6&gt;0,$A1061&lt;AS$6),AND(AS$7&gt;0,$A1061&gt;AS$7)),0,MAX(0,ROUND((INDEX($E1061:$G1061,AS$5)-SUMIFS(TF_Timer,TF_Tekniker,AS$4,TF_Dato,$A1061))*2,0)/2)))</f>
        <v/>
      </c>
      <c r="AT1061">
        <f>IF(OR(AT$4="",$A1061&gt;TODAY()),0,IF(OR(INDEX($B1061:$D1061,AT$5)="F",AND(AT$6&gt;0,$A1061&lt;AT$6),AND(AT$7&gt;0,$A1061&gt;AT$7)),0,MAX(0,ROUND((INDEX($E1061:$G1061,AT$5)-SUMIFS(TF_Timer,TF_Tekniker,AT$4,TF_Dato,$A1061))*2,0)/2)))</f>
        <v/>
      </c>
      <c r="AU1061">
        <f>IF(OR(AU$4="",$A1061&gt;TODAY()),0,IF(OR(INDEX($B1061:$D1061,AU$5)="F",AND(AU$6&gt;0,$A1061&lt;AU$6),AND(AU$7&gt;0,$A1061&gt;AU$7)),0,MAX(0,ROUND((INDEX($E1061:$G1061,AU$5)-SUMIFS(TF_Timer,TF_Tekniker,AU$4,TF_Dato,$A1061))*2,0)/2)))</f>
        <v/>
      </c>
      <c r="AV1061">
        <f>IF(OR(AV$4="",$A1061&gt;TODAY()),0,IF(OR(INDEX($B1061:$D1061,AV$5)="F",AND(AV$6&gt;0,$A1061&lt;AV$6),AND(AV$7&gt;0,$A1061&gt;AV$7)),0,MAX(0,ROUND((INDEX($E1061:$G1061,AV$5)-SUMIFS(TF_Timer,TF_Tekniker,AV$4,TF_Dato,$A1061))*2,0)/2)))</f>
        <v/>
      </c>
      <c r="AW1061">
        <f>IF(OR(AW$4="",$A1061&gt;TODAY()),0,IF(OR(INDEX($B1061:$D1061,AW$5)="F",AND(AW$6&gt;0,$A1061&lt;AW$6),AND(AW$7&gt;0,$A1061&gt;AW$7)),0,MAX(0,ROUND((INDEX($E1061:$G1061,AW$5)-SUMIFS(TF_Timer,TF_Tekniker,AW$4,TF_Dato,$A1061))*2,0)/2)))</f>
        <v/>
      </c>
      <c r="AX1061">
        <f>IF(OR(AX$4="",$A1061&gt;TODAY()),0,IF(OR(INDEX($B1061:$D1061,AX$5)="F",AND(AX$6&gt;0,$A1061&lt;AX$6),AND(AX$7&gt;0,$A1061&gt;AX$7)),0,MAX(0,ROUND((INDEX($E1061:$G1061,AX$5)-SUMIFS(TF_Timer,TF_Tekniker,AX$4,TF_Dato,$A1061))*2,0)/2)))</f>
        <v/>
      </c>
      <c r="AY1061">
        <f>IF(OR(AY$4="",$A1061&gt;TODAY()),0,IF(OR(INDEX($B1061:$D1061,AY$5)="F",AND(AY$6&gt;0,$A1061&lt;AY$6),AND(AY$7&gt;0,$A1061&gt;AY$7)),0,MAX(0,ROUND((INDEX($E1061:$G1061,AY$5)-SUMIFS(TF_Timer,TF_Tekniker,AY$4,TF_Dato,$A1061))*2,0)/2)))</f>
        <v/>
      </c>
      <c r="AZ1061">
        <f>IF(OR(AZ$4="",$A1061&gt;TODAY()),0,IF(OR(INDEX($B1061:$D1061,AZ$5)="F",AND(AZ$6&gt;0,$A1061&lt;AZ$6),AND(AZ$7&gt;0,$A1061&gt;AZ$7)),0,MAX(0,ROUND((INDEX($E1061:$G1061,AZ$5)-SUMIFS(TF_Timer,TF_Tekniker,AZ$4,TF_Dato,$A1061))*2,0)/2)))</f>
        <v/>
      </c>
      <c r="BA1061">
        <f>IF(OR(BA$4="",$A1061&gt;TODAY()),0,IF(OR(INDEX($B1061:$D1061,BA$5)="F",AND(BA$6&gt;0,$A1061&lt;BA$6),AND(BA$7&gt;0,$A1061&gt;BA$7)),0,MAX(0,ROUND((INDEX($E1061:$G1061,BA$5)-SUMIFS(TF_Timer,TF_Tekniker,BA$4,TF_Dato,$A1061))*2,0)/2)))</f>
        <v/>
      </c>
      <c r="BB1061">
        <f>IF(OR(BB$4="",$A1061&gt;TODAY()),0,IF(OR(INDEX($B1061:$D1061,BB$5)="F",AND(BB$6&gt;0,$A1061&lt;BB$6),AND(BB$7&gt;0,$A1061&gt;BB$7)),0,MAX(0,ROUND((INDEX($E1061:$G1061,BB$5)-SUMIFS(TF_Timer,TF_Tekniker,BB$4,TF_Dato,$A1061))*2,0)/2)))</f>
        <v/>
      </c>
      <c r="BC1061">
        <f>IF(OR(BC$4="",$A1061&gt;TODAY()),0,IF(OR(INDEX($B1061:$D1061,BC$5)="F",AND(BC$6&gt;0,$A1061&lt;BC$6),AND(BC$7&gt;0,$A1061&gt;BC$7)),0,MAX(0,ROUND((INDEX($E1061:$G1061,BC$5)-SUMIFS(TF_Timer,TF_Tekniker,BC$4,TF_Dato,$A1061))*2,0)/2)))</f>
        <v/>
      </c>
      <c r="BD1061">
        <f>IF(OR(BD$4="",$A1061&gt;TODAY()),0,IF(OR(INDEX($B1061:$D1061,BD$5)="F",AND(BD$6&gt;0,$A1061&lt;BD$6),AND(BD$7&gt;0,$A1061&gt;BD$7)),0,MAX(0,ROUND((INDEX($E1061:$G1061,BD$5)-SUMIFS(TF_Timer,TF_Tekniker,BD$4,TF_Dato,$A1061))*2,0)/2)))</f>
        <v/>
      </c>
      <c r="BE1061">
        <f>IF(OR(BE$4="",$A1061&gt;TODAY()),0,IF(OR(INDEX($B1061:$D1061,BE$5)="F",AND(BE$6&gt;0,$A1061&lt;BE$6),AND(BE$7&gt;0,$A1061&gt;BE$7)),0,MAX(0,ROUND((INDEX($E1061:$G1061,BE$5)-SUMIFS(TF_Timer,TF_Tekniker,BE$4,TF_Dato,$A1061))*2,0)/2)))</f>
        <v/>
      </c>
      <c r="BF1061">
        <f>IF(OR(BF$4="",$A1061&gt;TODAY()),0,IF(OR(INDEX($B1061:$D1061,BF$5)="F",AND(BF$6&gt;0,$A1061&lt;BF$6),AND(BF$7&gt;0,$A1061&gt;BF$7)),0,MAX(0,ROUND((INDEX($E1061:$G1061,BF$5)-SUMIFS(TF_Timer,TF_Tekniker,BF$4,TF_Dato,$A1061))*2,0)/2)))</f>
        <v/>
      </c>
      <c r="BG1061">
        <f>IF(OR(BG$4="",$A1061&gt;TODAY()),0,IF(OR(INDEX($B1061:$D1061,BG$5)="F",AND(BG$6&gt;0,$A1061&lt;BG$6),AND(BG$7&gt;0,$A1061&gt;BG$7)),0,MAX(0,ROUND((INDEX($E1061:$G1061,BG$5)-SUMIFS(TF_Timer,TF_Tekniker,BG$4,TF_Dato,$A1061))*2,0)/2)))</f>
        <v/>
      </c>
      <c r="BH1061">
        <f>IF(OR(BH$4="",$A1061&gt;TODAY()),0,IF(OR(INDEX($B1061:$D1061,BH$5)="F",AND(BH$6&gt;0,$A1061&lt;BH$6),AND(BH$7&gt;0,$A1061&gt;BH$7)),0,MAX(0,ROUND((INDEX($E1061:$G1061,BH$5)-SUMIFS(TF_Timer,TF_Tekniker,BH$4,TF_Dato,$A1061))*2,0)/2)))</f>
        <v/>
      </c>
      <c r="BI1061">
        <f>IF(OR(BI$4="",$A1061&gt;TODAY()),0,IF(OR(INDEX($B1061:$D1061,BI$5)="F",AND(BI$6&gt;0,$A1061&lt;BI$6),AND(BI$7&gt;0,$A1061&gt;BI$7)),0,MAX(0,ROUND((INDEX($E1061:$G1061,BI$5)-SUMIFS(TF_Timer,TF_Tekniker,BI$4,TF_Dato,$A1061))*2,0)/2)))</f>
        <v/>
      </c>
    </row>
    <row r="1062">
      <c r="A1062" s="64">
        <f>A1061+1</f>
        <v/>
      </c>
      <c r="B1062">
        <f>IF(MOD($A1062-INDEX(SkiftStart,1),Syklus)&lt;DagK,"K",IF(MOD($A1062-INDEX(SkiftStart,1),Syklus)&lt;DagK+DagH,"H",IF(MOD($A1062-INDEX(SkiftStart,1),Syklus)&lt;DagK+DagH+DagD,"D","F")))</f>
        <v/>
      </c>
      <c r="C1062">
        <f>IF(MOD($A1062-INDEX(SkiftStart,2),Syklus)&lt;DagK,"K",IF(MOD($A1062-INDEX(SkiftStart,2),Syklus)&lt;DagK+DagH,"H",IF(MOD($A1062-INDEX(SkiftStart,2),Syklus)&lt;DagK+DagH+DagD,"D","F")))</f>
        <v/>
      </c>
      <c r="D1062">
        <f>IF(MOD($A1062-INDEX(SkiftStart,3),Syklus)&lt;DagK,"K",IF(MOD($A1062-INDEX(SkiftStart,3),Syklus)&lt;DagK+DagH,"H",IF(MOD($A1062-INDEX(SkiftStart,3),Syklus)&lt;DagK+DagH+DagD,"D","F")))</f>
        <v/>
      </c>
      <c r="E1062">
        <f>IF(B1062="F",0,IF(WEEKDAY($A1062,2)=5,INDEX(TimerFr,MATCH(B1062,FaseKode,0)),INDEX(TimerMT,MATCH(B1062,FaseKode,0))))</f>
        <v/>
      </c>
      <c r="F1062">
        <f>IF(C1062="F",0,IF(WEEKDAY($A1062,2)=5,INDEX(TimerFr,MATCH(C1062,FaseKode,0)),INDEX(TimerMT,MATCH(C1062,FaseKode,0))))</f>
        <v/>
      </c>
      <c r="G1062">
        <f>IF(D1062="F",0,IF(WEEKDAY($A1062,2)=5,INDEX(TimerFr,MATCH(D1062,FaseKode,0)),INDEX(TimerMT,MATCH(D1062,FaseKode,0))))</f>
        <v/>
      </c>
      <c r="H1062">
        <f>IF(OR(H$4="",$A1062&gt;TODAY()),0,IF(OR(INDEX($B1062:$D1062,H$5)="F",AND(H$6&gt;0,$A1062&lt;H$6),AND(H$7&gt;0,$A1062&gt;H$7)),0,MAX(0,ROUND((INDEX($E1062:$G1062,H$5)-SUMIFS(TF_Timer,TF_Tekniker,H$4,TF_Dato,$A1062))*2,0)/2)))</f>
        <v/>
      </c>
      <c r="I1062">
        <f>IF(OR(I$4="",$A1062&gt;TODAY()),0,IF(OR(INDEX($B1062:$D1062,I$5)="F",AND(I$6&gt;0,$A1062&lt;I$6),AND(I$7&gt;0,$A1062&gt;I$7)),0,MAX(0,ROUND((INDEX($E1062:$G1062,I$5)-SUMIFS(TF_Timer,TF_Tekniker,I$4,TF_Dato,$A1062))*2,0)/2)))</f>
        <v/>
      </c>
      <c r="J1062">
        <f>IF(OR(J$4="",$A1062&gt;TODAY()),0,IF(OR(INDEX($B1062:$D1062,J$5)="F",AND(J$6&gt;0,$A1062&lt;J$6),AND(J$7&gt;0,$A1062&gt;J$7)),0,MAX(0,ROUND((INDEX($E1062:$G1062,J$5)-SUMIFS(TF_Timer,TF_Tekniker,J$4,TF_Dato,$A1062))*2,0)/2)))</f>
        <v/>
      </c>
      <c r="K1062">
        <f>IF(OR(K$4="",$A1062&gt;TODAY()),0,IF(OR(INDEX($B1062:$D1062,K$5)="F",AND(K$6&gt;0,$A1062&lt;K$6),AND(K$7&gt;0,$A1062&gt;K$7)),0,MAX(0,ROUND((INDEX($E1062:$G1062,K$5)-SUMIFS(TF_Timer,TF_Tekniker,K$4,TF_Dato,$A1062))*2,0)/2)))</f>
        <v/>
      </c>
      <c r="L1062">
        <f>IF(OR(L$4="",$A1062&gt;TODAY()),0,IF(OR(INDEX($B1062:$D1062,L$5)="F",AND(L$6&gt;0,$A1062&lt;L$6),AND(L$7&gt;0,$A1062&gt;L$7)),0,MAX(0,ROUND((INDEX($E1062:$G1062,L$5)-SUMIFS(TF_Timer,TF_Tekniker,L$4,TF_Dato,$A1062))*2,0)/2)))</f>
        <v/>
      </c>
      <c r="M1062">
        <f>IF(OR(M$4="",$A1062&gt;TODAY()),0,IF(OR(INDEX($B1062:$D1062,M$5)="F",AND(M$6&gt;0,$A1062&lt;M$6),AND(M$7&gt;0,$A1062&gt;M$7)),0,MAX(0,ROUND((INDEX($E1062:$G1062,M$5)-SUMIFS(TF_Timer,TF_Tekniker,M$4,TF_Dato,$A1062))*2,0)/2)))</f>
        <v/>
      </c>
      <c r="N1062">
        <f>IF(OR(N$4="",$A1062&gt;TODAY()),0,IF(OR(INDEX($B1062:$D1062,N$5)="F",AND(N$6&gt;0,$A1062&lt;N$6),AND(N$7&gt;0,$A1062&gt;N$7)),0,MAX(0,ROUND((INDEX($E1062:$G1062,N$5)-SUMIFS(TF_Timer,TF_Tekniker,N$4,TF_Dato,$A1062))*2,0)/2)))</f>
        <v/>
      </c>
      <c r="O1062">
        <f>IF(OR(O$4="",$A1062&gt;TODAY()),0,IF(OR(INDEX($B1062:$D1062,O$5)="F",AND(O$6&gt;0,$A1062&lt;O$6),AND(O$7&gt;0,$A1062&gt;O$7)),0,MAX(0,ROUND((INDEX($E1062:$G1062,O$5)-SUMIFS(TF_Timer,TF_Tekniker,O$4,TF_Dato,$A1062))*2,0)/2)))</f>
        <v/>
      </c>
      <c r="P1062">
        <f>IF(OR(P$4="",$A1062&gt;TODAY()),0,IF(OR(INDEX($B1062:$D1062,P$5)="F",AND(P$6&gt;0,$A1062&lt;P$6),AND(P$7&gt;0,$A1062&gt;P$7)),0,MAX(0,ROUND((INDEX($E1062:$G1062,P$5)-SUMIFS(TF_Timer,TF_Tekniker,P$4,TF_Dato,$A1062))*2,0)/2)))</f>
        <v/>
      </c>
      <c r="Q1062">
        <f>IF(OR(Q$4="",$A1062&gt;TODAY()),0,IF(OR(INDEX($B1062:$D1062,Q$5)="F",AND(Q$6&gt;0,$A1062&lt;Q$6),AND(Q$7&gt;0,$A1062&gt;Q$7)),0,MAX(0,ROUND((INDEX($E1062:$G1062,Q$5)-SUMIFS(TF_Timer,TF_Tekniker,Q$4,TF_Dato,$A1062))*2,0)/2)))</f>
        <v/>
      </c>
      <c r="R1062">
        <f>IF(OR(R$4="",$A1062&gt;TODAY()),0,IF(OR(INDEX($B1062:$D1062,R$5)="F",AND(R$6&gt;0,$A1062&lt;R$6),AND(R$7&gt;0,$A1062&gt;R$7)),0,MAX(0,ROUND((INDEX($E1062:$G1062,R$5)-SUMIFS(TF_Timer,TF_Tekniker,R$4,TF_Dato,$A1062))*2,0)/2)))</f>
        <v/>
      </c>
      <c r="S1062">
        <f>IF(OR(S$4="",$A1062&gt;TODAY()),0,IF(OR(INDEX($B1062:$D1062,S$5)="F",AND(S$6&gt;0,$A1062&lt;S$6),AND(S$7&gt;0,$A1062&gt;S$7)),0,MAX(0,ROUND((INDEX($E1062:$G1062,S$5)-SUMIFS(TF_Timer,TF_Tekniker,S$4,TF_Dato,$A1062))*2,0)/2)))</f>
        <v/>
      </c>
      <c r="T1062">
        <f>IF(OR(T$4="",$A1062&gt;TODAY()),0,IF(OR(INDEX($B1062:$D1062,T$5)="F",AND(T$6&gt;0,$A1062&lt;T$6),AND(T$7&gt;0,$A1062&gt;T$7)),0,MAX(0,ROUND((INDEX($E1062:$G1062,T$5)-SUMIFS(TF_Timer,TF_Tekniker,T$4,TF_Dato,$A1062))*2,0)/2)))</f>
        <v/>
      </c>
      <c r="U1062">
        <f>IF(OR(U$4="",$A1062&gt;TODAY()),0,IF(OR(INDEX($B1062:$D1062,U$5)="F",AND(U$6&gt;0,$A1062&lt;U$6),AND(U$7&gt;0,$A1062&gt;U$7)),0,MAX(0,ROUND((INDEX($E1062:$G1062,U$5)-SUMIFS(TF_Timer,TF_Tekniker,U$4,TF_Dato,$A1062))*2,0)/2)))</f>
        <v/>
      </c>
      <c r="V1062">
        <f>IF(OR(V$4="",$A1062&gt;TODAY()),0,IF(OR(INDEX($B1062:$D1062,V$5)="F",AND(V$6&gt;0,$A1062&lt;V$6),AND(V$7&gt;0,$A1062&gt;V$7)),0,MAX(0,ROUND((INDEX($E1062:$G1062,V$5)-SUMIFS(TF_Timer,TF_Tekniker,V$4,TF_Dato,$A1062))*2,0)/2)))</f>
        <v/>
      </c>
      <c r="W1062">
        <f>IF(OR(W$4="",$A1062&gt;TODAY()),0,IF(OR(INDEX($B1062:$D1062,W$5)="F",AND(W$6&gt;0,$A1062&lt;W$6),AND(W$7&gt;0,$A1062&gt;W$7)),0,MAX(0,ROUND((INDEX($E1062:$G1062,W$5)-SUMIFS(TF_Timer,TF_Tekniker,W$4,TF_Dato,$A1062))*2,0)/2)))</f>
        <v/>
      </c>
      <c r="X1062">
        <f>IF(OR(X$4="",$A1062&gt;TODAY()),0,IF(OR(INDEX($B1062:$D1062,X$5)="F",AND(X$6&gt;0,$A1062&lt;X$6),AND(X$7&gt;0,$A1062&gt;X$7)),0,MAX(0,ROUND((INDEX($E1062:$G1062,X$5)-SUMIFS(TF_Timer,TF_Tekniker,X$4,TF_Dato,$A1062))*2,0)/2)))</f>
        <v/>
      </c>
      <c r="Y1062">
        <f>IF(OR(Y$4="",$A1062&gt;TODAY()),0,IF(OR(INDEX($B1062:$D1062,Y$5)="F",AND(Y$6&gt;0,$A1062&lt;Y$6),AND(Y$7&gt;0,$A1062&gt;Y$7)),0,MAX(0,ROUND((INDEX($E1062:$G1062,Y$5)-SUMIFS(TF_Timer,TF_Tekniker,Y$4,TF_Dato,$A1062))*2,0)/2)))</f>
        <v/>
      </c>
      <c r="Z1062">
        <f>IF(OR(Z$4="",$A1062&gt;TODAY()),0,IF(OR(INDEX($B1062:$D1062,Z$5)="F",AND(Z$6&gt;0,$A1062&lt;Z$6),AND(Z$7&gt;0,$A1062&gt;Z$7)),0,MAX(0,ROUND((INDEX($E1062:$G1062,Z$5)-SUMIFS(TF_Timer,TF_Tekniker,Z$4,TF_Dato,$A1062))*2,0)/2)))</f>
        <v/>
      </c>
      <c r="AA1062">
        <f>IF(OR(AA$4="",$A1062&gt;TODAY()),0,IF(OR(INDEX($B1062:$D1062,AA$5)="F",AND(AA$6&gt;0,$A1062&lt;AA$6),AND(AA$7&gt;0,$A1062&gt;AA$7)),0,MAX(0,ROUND((INDEX($E1062:$G1062,AA$5)-SUMIFS(TF_Timer,TF_Tekniker,AA$4,TF_Dato,$A1062))*2,0)/2)))</f>
        <v/>
      </c>
      <c r="AB1062">
        <f>IF(OR(AB$4="",$A1062&gt;TODAY()),0,IF(OR(INDEX($B1062:$D1062,AB$5)="F",AND(AB$6&gt;0,$A1062&lt;AB$6),AND(AB$7&gt;0,$A1062&gt;AB$7)),0,MAX(0,ROUND((INDEX($E1062:$G1062,AB$5)-SUMIFS(TF_Timer,TF_Tekniker,AB$4,TF_Dato,$A1062))*2,0)/2)))</f>
        <v/>
      </c>
      <c r="AC1062">
        <f>IF(OR(AC$4="",$A1062&gt;TODAY()),0,IF(OR(INDEX($B1062:$D1062,AC$5)="F",AND(AC$6&gt;0,$A1062&lt;AC$6),AND(AC$7&gt;0,$A1062&gt;AC$7)),0,MAX(0,ROUND((INDEX($E1062:$G1062,AC$5)-SUMIFS(TF_Timer,TF_Tekniker,AC$4,TF_Dato,$A1062))*2,0)/2)))</f>
        <v/>
      </c>
      <c r="AD1062">
        <f>IF(OR(AD$4="",$A1062&gt;TODAY()),0,IF(OR(INDEX($B1062:$D1062,AD$5)="F",AND(AD$6&gt;0,$A1062&lt;AD$6),AND(AD$7&gt;0,$A1062&gt;AD$7)),0,MAX(0,ROUND((INDEX($E1062:$G1062,AD$5)-SUMIFS(TF_Timer,TF_Tekniker,AD$4,TF_Dato,$A1062))*2,0)/2)))</f>
        <v/>
      </c>
      <c r="AE1062">
        <f>IF(OR(AE$4="",$A1062&gt;TODAY()),0,IF(OR(INDEX($B1062:$D1062,AE$5)="F",AND(AE$6&gt;0,$A1062&lt;AE$6),AND(AE$7&gt;0,$A1062&gt;AE$7)),0,MAX(0,ROUND((INDEX($E1062:$G1062,AE$5)-SUMIFS(TF_Timer,TF_Tekniker,AE$4,TF_Dato,$A1062))*2,0)/2)))</f>
        <v/>
      </c>
      <c r="AF1062">
        <f>IF(OR(AF$4="",$A1062&gt;TODAY()),0,IF(OR(INDEX($B1062:$D1062,AF$5)="F",AND(AF$6&gt;0,$A1062&lt;AF$6),AND(AF$7&gt;0,$A1062&gt;AF$7)),0,MAX(0,ROUND((INDEX($E1062:$G1062,AF$5)-SUMIFS(TF_Timer,TF_Tekniker,AF$4,TF_Dato,$A1062))*2,0)/2)))</f>
        <v/>
      </c>
      <c r="AG1062">
        <f>IF(OR(AG$4="",$A1062&gt;TODAY()),0,IF(OR(INDEX($B1062:$D1062,AG$5)="F",AND(AG$6&gt;0,$A1062&lt;AG$6),AND(AG$7&gt;0,$A1062&gt;AG$7)),0,MAX(0,ROUND((INDEX($E1062:$G1062,AG$5)-SUMIFS(TF_Timer,TF_Tekniker,AG$4,TF_Dato,$A1062))*2,0)/2)))</f>
        <v/>
      </c>
      <c r="AH1062">
        <f>IF(OR(AH$4="",$A1062&gt;TODAY()),0,IF(OR(INDEX($B1062:$D1062,AH$5)="F",AND(AH$6&gt;0,$A1062&lt;AH$6),AND(AH$7&gt;0,$A1062&gt;AH$7)),0,MAX(0,ROUND((INDEX($E1062:$G1062,AH$5)-SUMIFS(TF_Timer,TF_Tekniker,AH$4,TF_Dato,$A1062))*2,0)/2)))</f>
        <v/>
      </c>
      <c r="AI1062">
        <f>IF(OR(AI$4="",$A1062&gt;TODAY()),0,IF(OR(INDEX($B1062:$D1062,AI$5)="F",AND(AI$6&gt;0,$A1062&lt;AI$6),AND(AI$7&gt;0,$A1062&gt;AI$7)),0,MAX(0,ROUND((INDEX($E1062:$G1062,AI$5)-SUMIFS(TF_Timer,TF_Tekniker,AI$4,TF_Dato,$A1062))*2,0)/2)))</f>
        <v/>
      </c>
      <c r="AJ1062">
        <f>IF(OR(AJ$4="",$A1062&gt;TODAY()),0,IF(OR(INDEX($B1062:$D1062,AJ$5)="F",AND(AJ$6&gt;0,$A1062&lt;AJ$6),AND(AJ$7&gt;0,$A1062&gt;AJ$7)),0,MAX(0,ROUND((INDEX($E1062:$G1062,AJ$5)-SUMIFS(TF_Timer,TF_Tekniker,AJ$4,TF_Dato,$A1062))*2,0)/2)))</f>
        <v/>
      </c>
      <c r="AK1062">
        <f>IF(OR(AK$4="",$A1062&gt;TODAY()),0,IF(OR(INDEX($B1062:$D1062,AK$5)="F",AND(AK$6&gt;0,$A1062&lt;AK$6),AND(AK$7&gt;0,$A1062&gt;AK$7)),0,MAX(0,ROUND((INDEX($E1062:$G1062,AK$5)-SUMIFS(TF_Timer,TF_Tekniker,AK$4,TF_Dato,$A1062))*2,0)/2)))</f>
        <v/>
      </c>
      <c r="AL1062">
        <f>IF(OR(AL$4="",$A1062&gt;TODAY()),0,IF(OR(INDEX($B1062:$D1062,AL$5)="F",AND(AL$6&gt;0,$A1062&lt;AL$6),AND(AL$7&gt;0,$A1062&gt;AL$7)),0,MAX(0,ROUND((INDEX($E1062:$G1062,AL$5)-SUMIFS(TF_Timer,TF_Tekniker,AL$4,TF_Dato,$A1062))*2,0)/2)))</f>
        <v/>
      </c>
      <c r="AM1062">
        <f>IF(OR(AM$4="",$A1062&gt;TODAY()),0,IF(OR(INDEX($B1062:$D1062,AM$5)="F",AND(AM$6&gt;0,$A1062&lt;AM$6),AND(AM$7&gt;0,$A1062&gt;AM$7)),0,MAX(0,ROUND((INDEX($E1062:$G1062,AM$5)-SUMIFS(TF_Timer,TF_Tekniker,AM$4,TF_Dato,$A1062))*2,0)/2)))</f>
        <v/>
      </c>
      <c r="AN1062">
        <f>IF(OR(AN$4="",$A1062&gt;TODAY()),0,IF(OR(INDEX($B1062:$D1062,AN$5)="F",AND(AN$6&gt;0,$A1062&lt;AN$6),AND(AN$7&gt;0,$A1062&gt;AN$7)),0,MAX(0,ROUND((INDEX($E1062:$G1062,AN$5)-SUMIFS(TF_Timer,TF_Tekniker,AN$4,TF_Dato,$A1062))*2,0)/2)))</f>
        <v/>
      </c>
      <c r="AO1062">
        <f>IF(OR(AO$4="",$A1062&gt;TODAY()),0,IF(OR(INDEX($B1062:$D1062,AO$5)="F",AND(AO$6&gt;0,$A1062&lt;AO$6),AND(AO$7&gt;0,$A1062&gt;AO$7)),0,MAX(0,ROUND((INDEX($E1062:$G1062,AO$5)-SUMIFS(TF_Timer,TF_Tekniker,AO$4,TF_Dato,$A1062))*2,0)/2)))</f>
        <v/>
      </c>
      <c r="AP1062">
        <f>IF(OR(AP$4="",$A1062&gt;TODAY()),0,IF(OR(INDEX($B1062:$D1062,AP$5)="F",AND(AP$6&gt;0,$A1062&lt;AP$6),AND(AP$7&gt;0,$A1062&gt;AP$7)),0,MAX(0,ROUND((INDEX($E1062:$G1062,AP$5)-SUMIFS(TF_Timer,TF_Tekniker,AP$4,TF_Dato,$A1062))*2,0)/2)))</f>
        <v/>
      </c>
      <c r="AQ1062">
        <f>IF(OR(AQ$4="",$A1062&gt;TODAY()),0,IF(OR(INDEX($B1062:$D1062,AQ$5)="F",AND(AQ$6&gt;0,$A1062&lt;AQ$6),AND(AQ$7&gt;0,$A1062&gt;AQ$7)),0,MAX(0,ROUND((INDEX($E1062:$G1062,AQ$5)-SUMIFS(TF_Timer,TF_Tekniker,AQ$4,TF_Dato,$A1062))*2,0)/2)))</f>
        <v/>
      </c>
      <c r="AR1062">
        <f>IF(OR(AR$4="",$A1062&gt;TODAY()),0,IF(OR(INDEX($B1062:$D1062,AR$5)="F",AND(AR$6&gt;0,$A1062&lt;AR$6),AND(AR$7&gt;0,$A1062&gt;AR$7)),0,MAX(0,ROUND((INDEX($E1062:$G1062,AR$5)-SUMIFS(TF_Timer,TF_Tekniker,AR$4,TF_Dato,$A1062))*2,0)/2)))</f>
        <v/>
      </c>
      <c r="AS1062">
        <f>IF(OR(AS$4="",$A1062&gt;TODAY()),0,IF(OR(INDEX($B1062:$D1062,AS$5)="F",AND(AS$6&gt;0,$A1062&lt;AS$6),AND(AS$7&gt;0,$A1062&gt;AS$7)),0,MAX(0,ROUND((INDEX($E1062:$G1062,AS$5)-SUMIFS(TF_Timer,TF_Tekniker,AS$4,TF_Dato,$A1062))*2,0)/2)))</f>
        <v/>
      </c>
      <c r="AT1062">
        <f>IF(OR(AT$4="",$A1062&gt;TODAY()),0,IF(OR(INDEX($B1062:$D1062,AT$5)="F",AND(AT$6&gt;0,$A1062&lt;AT$6),AND(AT$7&gt;0,$A1062&gt;AT$7)),0,MAX(0,ROUND((INDEX($E1062:$G1062,AT$5)-SUMIFS(TF_Timer,TF_Tekniker,AT$4,TF_Dato,$A1062))*2,0)/2)))</f>
        <v/>
      </c>
      <c r="AU1062">
        <f>IF(OR(AU$4="",$A1062&gt;TODAY()),0,IF(OR(INDEX($B1062:$D1062,AU$5)="F",AND(AU$6&gt;0,$A1062&lt;AU$6),AND(AU$7&gt;0,$A1062&gt;AU$7)),0,MAX(0,ROUND((INDEX($E1062:$G1062,AU$5)-SUMIFS(TF_Timer,TF_Tekniker,AU$4,TF_Dato,$A1062))*2,0)/2)))</f>
        <v/>
      </c>
      <c r="AV1062">
        <f>IF(OR(AV$4="",$A1062&gt;TODAY()),0,IF(OR(INDEX($B1062:$D1062,AV$5)="F",AND(AV$6&gt;0,$A1062&lt;AV$6),AND(AV$7&gt;0,$A1062&gt;AV$7)),0,MAX(0,ROUND((INDEX($E1062:$G1062,AV$5)-SUMIFS(TF_Timer,TF_Tekniker,AV$4,TF_Dato,$A1062))*2,0)/2)))</f>
        <v/>
      </c>
      <c r="AW1062">
        <f>IF(OR(AW$4="",$A1062&gt;TODAY()),0,IF(OR(INDEX($B1062:$D1062,AW$5)="F",AND(AW$6&gt;0,$A1062&lt;AW$6),AND(AW$7&gt;0,$A1062&gt;AW$7)),0,MAX(0,ROUND((INDEX($E1062:$G1062,AW$5)-SUMIFS(TF_Timer,TF_Tekniker,AW$4,TF_Dato,$A1062))*2,0)/2)))</f>
        <v/>
      </c>
      <c r="AX1062">
        <f>IF(OR(AX$4="",$A1062&gt;TODAY()),0,IF(OR(INDEX($B1062:$D1062,AX$5)="F",AND(AX$6&gt;0,$A1062&lt;AX$6),AND(AX$7&gt;0,$A1062&gt;AX$7)),0,MAX(0,ROUND((INDEX($E1062:$G1062,AX$5)-SUMIFS(TF_Timer,TF_Tekniker,AX$4,TF_Dato,$A1062))*2,0)/2)))</f>
        <v/>
      </c>
      <c r="AY1062">
        <f>IF(OR(AY$4="",$A1062&gt;TODAY()),0,IF(OR(INDEX($B1062:$D1062,AY$5)="F",AND(AY$6&gt;0,$A1062&lt;AY$6),AND(AY$7&gt;0,$A1062&gt;AY$7)),0,MAX(0,ROUND((INDEX($E1062:$G1062,AY$5)-SUMIFS(TF_Timer,TF_Tekniker,AY$4,TF_Dato,$A1062))*2,0)/2)))</f>
        <v/>
      </c>
      <c r="AZ1062">
        <f>IF(OR(AZ$4="",$A1062&gt;TODAY()),0,IF(OR(INDEX($B1062:$D1062,AZ$5)="F",AND(AZ$6&gt;0,$A1062&lt;AZ$6),AND(AZ$7&gt;0,$A1062&gt;AZ$7)),0,MAX(0,ROUND((INDEX($E1062:$G1062,AZ$5)-SUMIFS(TF_Timer,TF_Tekniker,AZ$4,TF_Dato,$A1062))*2,0)/2)))</f>
        <v/>
      </c>
      <c r="BA1062">
        <f>IF(OR(BA$4="",$A1062&gt;TODAY()),0,IF(OR(INDEX($B1062:$D1062,BA$5)="F",AND(BA$6&gt;0,$A1062&lt;BA$6),AND(BA$7&gt;0,$A1062&gt;BA$7)),0,MAX(0,ROUND((INDEX($E1062:$G1062,BA$5)-SUMIFS(TF_Timer,TF_Tekniker,BA$4,TF_Dato,$A1062))*2,0)/2)))</f>
        <v/>
      </c>
      <c r="BB1062">
        <f>IF(OR(BB$4="",$A1062&gt;TODAY()),0,IF(OR(INDEX($B1062:$D1062,BB$5)="F",AND(BB$6&gt;0,$A1062&lt;BB$6),AND(BB$7&gt;0,$A1062&gt;BB$7)),0,MAX(0,ROUND((INDEX($E1062:$G1062,BB$5)-SUMIFS(TF_Timer,TF_Tekniker,BB$4,TF_Dato,$A1062))*2,0)/2)))</f>
        <v/>
      </c>
      <c r="BC1062">
        <f>IF(OR(BC$4="",$A1062&gt;TODAY()),0,IF(OR(INDEX($B1062:$D1062,BC$5)="F",AND(BC$6&gt;0,$A1062&lt;BC$6),AND(BC$7&gt;0,$A1062&gt;BC$7)),0,MAX(0,ROUND((INDEX($E1062:$G1062,BC$5)-SUMIFS(TF_Timer,TF_Tekniker,BC$4,TF_Dato,$A1062))*2,0)/2)))</f>
        <v/>
      </c>
      <c r="BD1062">
        <f>IF(OR(BD$4="",$A1062&gt;TODAY()),0,IF(OR(INDEX($B1062:$D1062,BD$5)="F",AND(BD$6&gt;0,$A1062&lt;BD$6),AND(BD$7&gt;0,$A1062&gt;BD$7)),0,MAX(0,ROUND((INDEX($E1062:$G1062,BD$5)-SUMIFS(TF_Timer,TF_Tekniker,BD$4,TF_Dato,$A1062))*2,0)/2)))</f>
        <v/>
      </c>
      <c r="BE1062">
        <f>IF(OR(BE$4="",$A1062&gt;TODAY()),0,IF(OR(INDEX($B1062:$D1062,BE$5)="F",AND(BE$6&gt;0,$A1062&lt;BE$6),AND(BE$7&gt;0,$A1062&gt;BE$7)),0,MAX(0,ROUND((INDEX($E1062:$G1062,BE$5)-SUMIFS(TF_Timer,TF_Tekniker,BE$4,TF_Dato,$A1062))*2,0)/2)))</f>
        <v/>
      </c>
      <c r="BF1062">
        <f>IF(OR(BF$4="",$A1062&gt;TODAY()),0,IF(OR(INDEX($B1062:$D1062,BF$5)="F",AND(BF$6&gt;0,$A1062&lt;BF$6),AND(BF$7&gt;0,$A1062&gt;BF$7)),0,MAX(0,ROUND((INDEX($E1062:$G1062,BF$5)-SUMIFS(TF_Timer,TF_Tekniker,BF$4,TF_Dato,$A1062))*2,0)/2)))</f>
        <v/>
      </c>
      <c r="BG1062">
        <f>IF(OR(BG$4="",$A1062&gt;TODAY()),0,IF(OR(INDEX($B1062:$D1062,BG$5)="F",AND(BG$6&gt;0,$A1062&lt;BG$6),AND(BG$7&gt;0,$A1062&gt;BG$7)),0,MAX(0,ROUND((INDEX($E1062:$G1062,BG$5)-SUMIFS(TF_Timer,TF_Tekniker,BG$4,TF_Dato,$A1062))*2,0)/2)))</f>
        <v/>
      </c>
      <c r="BH1062">
        <f>IF(OR(BH$4="",$A1062&gt;TODAY()),0,IF(OR(INDEX($B1062:$D1062,BH$5)="F",AND(BH$6&gt;0,$A1062&lt;BH$6),AND(BH$7&gt;0,$A1062&gt;BH$7)),0,MAX(0,ROUND((INDEX($E1062:$G1062,BH$5)-SUMIFS(TF_Timer,TF_Tekniker,BH$4,TF_Dato,$A1062))*2,0)/2)))</f>
        <v/>
      </c>
      <c r="BI1062">
        <f>IF(OR(BI$4="",$A1062&gt;TODAY()),0,IF(OR(INDEX($B1062:$D1062,BI$5)="F",AND(BI$6&gt;0,$A1062&lt;BI$6),AND(BI$7&gt;0,$A1062&gt;BI$7)),0,MAX(0,ROUND((INDEX($E1062:$G1062,BI$5)-SUMIFS(TF_Timer,TF_Tekniker,BI$4,TF_Dato,$A1062))*2,0)/2)))</f>
        <v/>
      </c>
    </row>
    <row r="1063">
      <c r="A1063" s="64">
        <f>A1062+1</f>
        <v/>
      </c>
      <c r="B1063">
        <f>IF(MOD($A1063-INDEX(SkiftStart,1),Syklus)&lt;DagK,"K",IF(MOD($A1063-INDEX(SkiftStart,1),Syklus)&lt;DagK+DagH,"H",IF(MOD($A1063-INDEX(SkiftStart,1),Syklus)&lt;DagK+DagH+DagD,"D","F")))</f>
        <v/>
      </c>
      <c r="C1063">
        <f>IF(MOD($A1063-INDEX(SkiftStart,2),Syklus)&lt;DagK,"K",IF(MOD($A1063-INDEX(SkiftStart,2),Syklus)&lt;DagK+DagH,"H",IF(MOD($A1063-INDEX(SkiftStart,2),Syklus)&lt;DagK+DagH+DagD,"D","F")))</f>
        <v/>
      </c>
      <c r="D1063">
        <f>IF(MOD($A1063-INDEX(SkiftStart,3),Syklus)&lt;DagK,"K",IF(MOD($A1063-INDEX(SkiftStart,3),Syklus)&lt;DagK+DagH,"H",IF(MOD($A1063-INDEX(SkiftStart,3),Syklus)&lt;DagK+DagH+DagD,"D","F")))</f>
        <v/>
      </c>
      <c r="E1063">
        <f>IF(B1063="F",0,IF(WEEKDAY($A1063,2)=5,INDEX(TimerFr,MATCH(B1063,FaseKode,0)),INDEX(TimerMT,MATCH(B1063,FaseKode,0))))</f>
        <v/>
      </c>
      <c r="F1063">
        <f>IF(C1063="F",0,IF(WEEKDAY($A1063,2)=5,INDEX(TimerFr,MATCH(C1063,FaseKode,0)),INDEX(TimerMT,MATCH(C1063,FaseKode,0))))</f>
        <v/>
      </c>
      <c r="G1063">
        <f>IF(D1063="F",0,IF(WEEKDAY($A1063,2)=5,INDEX(TimerFr,MATCH(D1063,FaseKode,0)),INDEX(TimerMT,MATCH(D1063,FaseKode,0))))</f>
        <v/>
      </c>
      <c r="H1063">
        <f>IF(OR(H$4="",$A1063&gt;TODAY()),0,IF(OR(INDEX($B1063:$D1063,H$5)="F",AND(H$6&gt;0,$A1063&lt;H$6),AND(H$7&gt;0,$A1063&gt;H$7)),0,MAX(0,ROUND((INDEX($E1063:$G1063,H$5)-SUMIFS(TF_Timer,TF_Tekniker,H$4,TF_Dato,$A1063))*2,0)/2)))</f>
        <v/>
      </c>
      <c r="I1063">
        <f>IF(OR(I$4="",$A1063&gt;TODAY()),0,IF(OR(INDEX($B1063:$D1063,I$5)="F",AND(I$6&gt;0,$A1063&lt;I$6),AND(I$7&gt;0,$A1063&gt;I$7)),0,MAX(0,ROUND((INDEX($E1063:$G1063,I$5)-SUMIFS(TF_Timer,TF_Tekniker,I$4,TF_Dato,$A1063))*2,0)/2)))</f>
        <v/>
      </c>
      <c r="J1063">
        <f>IF(OR(J$4="",$A1063&gt;TODAY()),0,IF(OR(INDEX($B1063:$D1063,J$5)="F",AND(J$6&gt;0,$A1063&lt;J$6),AND(J$7&gt;0,$A1063&gt;J$7)),0,MAX(0,ROUND((INDEX($E1063:$G1063,J$5)-SUMIFS(TF_Timer,TF_Tekniker,J$4,TF_Dato,$A1063))*2,0)/2)))</f>
        <v/>
      </c>
      <c r="K1063">
        <f>IF(OR(K$4="",$A1063&gt;TODAY()),0,IF(OR(INDEX($B1063:$D1063,K$5)="F",AND(K$6&gt;0,$A1063&lt;K$6),AND(K$7&gt;0,$A1063&gt;K$7)),0,MAX(0,ROUND((INDEX($E1063:$G1063,K$5)-SUMIFS(TF_Timer,TF_Tekniker,K$4,TF_Dato,$A1063))*2,0)/2)))</f>
        <v/>
      </c>
      <c r="L1063">
        <f>IF(OR(L$4="",$A1063&gt;TODAY()),0,IF(OR(INDEX($B1063:$D1063,L$5)="F",AND(L$6&gt;0,$A1063&lt;L$6),AND(L$7&gt;0,$A1063&gt;L$7)),0,MAX(0,ROUND((INDEX($E1063:$G1063,L$5)-SUMIFS(TF_Timer,TF_Tekniker,L$4,TF_Dato,$A1063))*2,0)/2)))</f>
        <v/>
      </c>
      <c r="M1063">
        <f>IF(OR(M$4="",$A1063&gt;TODAY()),0,IF(OR(INDEX($B1063:$D1063,M$5)="F",AND(M$6&gt;0,$A1063&lt;M$6),AND(M$7&gt;0,$A1063&gt;M$7)),0,MAX(0,ROUND((INDEX($E1063:$G1063,M$5)-SUMIFS(TF_Timer,TF_Tekniker,M$4,TF_Dato,$A1063))*2,0)/2)))</f>
        <v/>
      </c>
      <c r="N1063">
        <f>IF(OR(N$4="",$A1063&gt;TODAY()),0,IF(OR(INDEX($B1063:$D1063,N$5)="F",AND(N$6&gt;0,$A1063&lt;N$6),AND(N$7&gt;0,$A1063&gt;N$7)),0,MAX(0,ROUND((INDEX($E1063:$G1063,N$5)-SUMIFS(TF_Timer,TF_Tekniker,N$4,TF_Dato,$A1063))*2,0)/2)))</f>
        <v/>
      </c>
      <c r="O1063">
        <f>IF(OR(O$4="",$A1063&gt;TODAY()),0,IF(OR(INDEX($B1063:$D1063,O$5)="F",AND(O$6&gt;0,$A1063&lt;O$6),AND(O$7&gt;0,$A1063&gt;O$7)),0,MAX(0,ROUND((INDEX($E1063:$G1063,O$5)-SUMIFS(TF_Timer,TF_Tekniker,O$4,TF_Dato,$A1063))*2,0)/2)))</f>
        <v/>
      </c>
      <c r="P1063">
        <f>IF(OR(P$4="",$A1063&gt;TODAY()),0,IF(OR(INDEX($B1063:$D1063,P$5)="F",AND(P$6&gt;0,$A1063&lt;P$6),AND(P$7&gt;0,$A1063&gt;P$7)),0,MAX(0,ROUND((INDEX($E1063:$G1063,P$5)-SUMIFS(TF_Timer,TF_Tekniker,P$4,TF_Dato,$A1063))*2,0)/2)))</f>
        <v/>
      </c>
      <c r="Q1063">
        <f>IF(OR(Q$4="",$A1063&gt;TODAY()),0,IF(OR(INDEX($B1063:$D1063,Q$5)="F",AND(Q$6&gt;0,$A1063&lt;Q$6),AND(Q$7&gt;0,$A1063&gt;Q$7)),0,MAX(0,ROUND((INDEX($E1063:$G1063,Q$5)-SUMIFS(TF_Timer,TF_Tekniker,Q$4,TF_Dato,$A1063))*2,0)/2)))</f>
        <v/>
      </c>
      <c r="R1063">
        <f>IF(OR(R$4="",$A1063&gt;TODAY()),0,IF(OR(INDEX($B1063:$D1063,R$5)="F",AND(R$6&gt;0,$A1063&lt;R$6),AND(R$7&gt;0,$A1063&gt;R$7)),0,MAX(0,ROUND((INDEX($E1063:$G1063,R$5)-SUMIFS(TF_Timer,TF_Tekniker,R$4,TF_Dato,$A1063))*2,0)/2)))</f>
        <v/>
      </c>
      <c r="S1063">
        <f>IF(OR(S$4="",$A1063&gt;TODAY()),0,IF(OR(INDEX($B1063:$D1063,S$5)="F",AND(S$6&gt;0,$A1063&lt;S$6),AND(S$7&gt;0,$A1063&gt;S$7)),0,MAX(0,ROUND((INDEX($E1063:$G1063,S$5)-SUMIFS(TF_Timer,TF_Tekniker,S$4,TF_Dato,$A1063))*2,0)/2)))</f>
        <v/>
      </c>
      <c r="T1063">
        <f>IF(OR(T$4="",$A1063&gt;TODAY()),0,IF(OR(INDEX($B1063:$D1063,T$5)="F",AND(T$6&gt;0,$A1063&lt;T$6),AND(T$7&gt;0,$A1063&gt;T$7)),0,MAX(0,ROUND((INDEX($E1063:$G1063,T$5)-SUMIFS(TF_Timer,TF_Tekniker,T$4,TF_Dato,$A1063))*2,0)/2)))</f>
        <v/>
      </c>
      <c r="U1063">
        <f>IF(OR(U$4="",$A1063&gt;TODAY()),0,IF(OR(INDEX($B1063:$D1063,U$5)="F",AND(U$6&gt;0,$A1063&lt;U$6),AND(U$7&gt;0,$A1063&gt;U$7)),0,MAX(0,ROUND((INDEX($E1063:$G1063,U$5)-SUMIFS(TF_Timer,TF_Tekniker,U$4,TF_Dato,$A1063))*2,0)/2)))</f>
        <v/>
      </c>
      <c r="V1063">
        <f>IF(OR(V$4="",$A1063&gt;TODAY()),0,IF(OR(INDEX($B1063:$D1063,V$5)="F",AND(V$6&gt;0,$A1063&lt;V$6),AND(V$7&gt;0,$A1063&gt;V$7)),0,MAX(0,ROUND((INDEX($E1063:$G1063,V$5)-SUMIFS(TF_Timer,TF_Tekniker,V$4,TF_Dato,$A1063))*2,0)/2)))</f>
        <v/>
      </c>
      <c r="W1063">
        <f>IF(OR(W$4="",$A1063&gt;TODAY()),0,IF(OR(INDEX($B1063:$D1063,W$5)="F",AND(W$6&gt;0,$A1063&lt;W$6),AND(W$7&gt;0,$A1063&gt;W$7)),0,MAX(0,ROUND((INDEX($E1063:$G1063,W$5)-SUMIFS(TF_Timer,TF_Tekniker,W$4,TF_Dato,$A1063))*2,0)/2)))</f>
        <v/>
      </c>
      <c r="X1063">
        <f>IF(OR(X$4="",$A1063&gt;TODAY()),0,IF(OR(INDEX($B1063:$D1063,X$5)="F",AND(X$6&gt;0,$A1063&lt;X$6),AND(X$7&gt;0,$A1063&gt;X$7)),0,MAX(0,ROUND((INDEX($E1063:$G1063,X$5)-SUMIFS(TF_Timer,TF_Tekniker,X$4,TF_Dato,$A1063))*2,0)/2)))</f>
        <v/>
      </c>
      <c r="Y1063">
        <f>IF(OR(Y$4="",$A1063&gt;TODAY()),0,IF(OR(INDEX($B1063:$D1063,Y$5)="F",AND(Y$6&gt;0,$A1063&lt;Y$6),AND(Y$7&gt;0,$A1063&gt;Y$7)),0,MAX(0,ROUND((INDEX($E1063:$G1063,Y$5)-SUMIFS(TF_Timer,TF_Tekniker,Y$4,TF_Dato,$A1063))*2,0)/2)))</f>
        <v/>
      </c>
      <c r="Z1063">
        <f>IF(OR(Z$4="",$A1063&gt;TODAY()),0,IF(OR(INDEX($B1063:$D1063,Z$5)="F",AND(Z$6&gt;0,$A1063&lt;Z$6),AND(Z$7&gt;0,$A1063&gt;Z$7)),0,MAX(0,ROUND((INDEX($E1063:$G1063,Z$5)-SUMIFS(TF_Timer,TF_Tekniker,Z$4,TF_Dato,$A1063))*2,0)/2)))</f>
        <v/>
      </c>
      <c r="AA1063">
        <f>IF(OR(AA$4="",$A1063&gt;TODAY()),0,IF(OR(INDEX($B1063:$D1063,AA$5)="F",AND(AA$6&gt;0,$A1063&lt;AA$6),AND(AA$7&gt;0,$A1063&gt;AA$7)),0,MAX(0,ROUND((INDEX($E1063:$G1063,AA$5)-SUMIFS(TF_Timer,TF_Tekniker,AA$4,TF_Dato,$A1063))*2,0)/2)))</f>
        <v/>
      </c>
      <c r="AB1063">
        <f>IF(OR(AB$4="",$A1063&gt;TODAY()),0,IF(OR(INDEX($B1063:$D1063,AB$5)="F",AND(AB$6&gt;0,$A1063&lt;AB$6),AND(AB$7&gt;0,$A1063&gt;AB$7)),0,MAX(0,ROUND((INDEX($E1063:$G1063,AB$5)-SUMIFS(TF_Timer,TF_Tekniker,AB$4,TF_Dato,$A1063))*2,0)/2)))</f>
        <v/>
      </c>
      <c r="AC1063">
        <f>IF(OR(AC$4="",$A1063&gt;TODAY()),0,IF(OR(INDEX($B1063:$D1063,AC$5)="F",AND(AC$6&gt;0,$A1063&lt;AC$6),AND(AC$7&gt;0,$A1063&gt;AC$7)),0,MAX(0,ROUND((INDEX($E1063:$G1063,AC$5)-SUMIFS(TF_Timer,TF_Tekniker,AC$4,TF_Dato,$A1063))*2,0)/2)))</f>
        <v/>
      </c>
      <c r="AD1063">
        <f>IF(OR(AD$4="",$A1063&gt;TODAY()),0,IF(OR(INDEX($B1063:$D1063,AD$5)="F",AND(AD$6&gt;0,$A1063&lt;AD$6),AND(AD$7&gt;0,$A1063&gt;AD$7)),0,MAX(0,ROUND((INDEX($E1063:$G1063,AD$5)-SUMIFS(TF_Timer,TF_Tekniker,AD$4,TF_Dato,$A1063))*2,0)/2)))</f>
        <v/>
      </c>
      <c r="AE1063">
        <f>IF(OR(AE$4="",$A1063&gt;TODAY()),0,IF(OR(INDEX($B1063:$D1063,AE$5)="F",AND(AE$6&gt;0,$A1063&lt;AE$6),AND(AE$7&gt;0,$A1063&gt;AE$7)),0,MAX(0,ROUND((INDEX($E1063:$G1063,AE$5)-SUMIFS(TF_Timer,TF_Tekniker,AE$4,TF_Dato,$A1063))*2,0)/2)))</f>
        <v/>
      </c>
      <c r="AF1063">
        <f>IF(OR(AF$4="",$A1063&gt;TODAY()),0,IF(OR(INDEX($B1063:$D1063,AF$5)="F",AND(AF$6&gt;0,$A1063&lt;AF$6),AND(AF$7&gt;0,$A1063&gt;AF$7)),0,MAX(0,ROUND((INDEX($E1063:$G1063,AF$5)-SUMIFS(TF_Timer,TF_Tekniker,AF$4,TF_Dato,$A1063))*2,0)/2)))</f>
        <v/>
      </c>
      <c r="AG1063">
        <f>IF(OR(AG$4="",$A1063&gt;TODAY()),0,IF(OR(INDEX($B1063:$D1063,AG$5)="F",AND(AG$6&gt;0,$A1063&lt;AG$6),AND(AG$7&gt;0,$A1063&gt;AG$7)),0,MAX(0,ROUND((INDEX($E1063:$G1063,AG$5)-SUMIFS(TF_Timer,TF_Tekniker,AG$4,TF_Dato,$A1063))*2,0)/2)))</f>
        <v/>
      </c>
      <c r="AH1063">
        <f>IF(OR(AH$4="",$A1063&gt;TODAY()),0,IF(OR(INDEX($B1063:$D1063,AH$5)="F",AND(AH$6&gt;0,$A1063&lt;AH$6),AND(AH$7&gt;0,$A1063&gt;AH$7)),0,MAX(0,ROUND((INDEX($E1063:$G1063,AH$5)-SUMIFS(TF_Timer,TF_Tekniker,AH$4,TF_Dato,$A1063))*2,0)/2)))</f>
        <v/>
      </c>
      <c r="AI1063">
        <f>IF(OR(AI$4="",$A1063&gt;TODAY()),0,IF(OR(INDEX($B1063:$D1063,AI$5)="F",AND(AI$6&gt;0,$A1063&lt;AI$6),AND(AI$7&gt;0,$A1063&gt;AI$7)),0,MAX(0,ROUND((INDEX($E1063:$G1063,AI$5)-SUMIFS(TF_Timer,TF_Tekniker,AI$4,TF_Dato,$A1063))*2,0)/2)))</f>
        <v/>
      </c>
      <c r="AJ1063">
        <f>IF(OR(AJ$4="",$A1063&gt;TODAY()),0,IF(OR(INDEX($B1063:$D1063,AJ$5)="F",AND(AJ$6&gt;0,$A1063&lt;AJ$6),AND(AJ$7&gt;0,$A1063&gt;AJ$7)),0,MAX(0,ROUND((INDEX($E1063:$G1063,AJ$5)-SUMIFS(TF_Timer,TF_Tekniker,AJ$4,TF_Dato,$A1063))*2,0)/2)))</f>
        <v/>
      </c>
      <c r="AK1063">
        <f>IF(OR(AK$4="",$A1063&gt;TODAY()),0,IF(OR(INDEX($B1063:$D1063,AK$5)="F",AND(AK$6&gt;0,$A1063&lt;AK$6),AND(AK$7&gt;0,$A1063&gt;AK$7)),0,MAX(0,ROUND((INDEX($E1063:$G1063,AK$5)-SUMIFS(TF_Timer,TF_Tekniker,AK$4,TF_Dato,$A1063))*2,0)/2)))</f>
        <v/>
      </c>
      <c r="AL1063">
        <f>IF(OR(AL$4="",$A1063&gt;TODAY()),0,IF(OR(INDEX($B1063:$D1063,AL$5)="F",AND(AL$6&gt;0,$A1063&lt;AL$6),AND(AL$7&gt;0,$A1063&gt;AL$7)),0,MAX(0,ROUND((INDEX($E1063:$G1063,AL$5)-SUMIFS(TF_Timer,TF_Tekniker,AL$4,TF_Dato,$A1063))*2,0)/2)))</f>
        <v/>
      </c>
      <c r="AM1063">
        <f>IF(OR(AM$4="",$A1063&gt;TODAY()),0,IF(OR(INDEX($B1063:$D1063,AM$5)="F",AND(AM$6&gt;0,$A1063&lt;AM$6),AND(AM$7&gt;0,$A1063&gt;AM$7)),0,MAX(0,ROUND((INDEX($E1063:$G1063,AM$5)-SUMIFS(TF_Timer,TF_Tekniker,AM$4,TF_Dato,$A1063))*2,0)/2)))</f>
        <v/>
      </c>
      <c r="AN1063">
        <f>IF(OR(AN$4="",$A1063&gt;TODAY()),0,IF(OR(INDEX($B1063:$D1063,AN$5)="F",AND(AN$6&gt;0,$A1063&lt;AN$6),AND(AN$7&gt;0,$A1063&gt;AN$7)),0,MAX(0,ROUND((INDEX($E1063:$G1063,AN$5)-SUMIFS(TF_Timer,TF_Tekniker,AN$4,TF_Dato,$A1063))*2,0)/2)))</f>
        <v/>
      </c>
      <c r="AO1063">
        <f>IF(OR(AO$4="",$A1063&gt;TODAY()),0,IF(OR(INDEX($B1063:$D1063,AO$5)="F",AND(AO$6&gt;0,$A1063&lt;AO$6),AND(AO$7&gt;0,$A1063&gt;AO$7)),0,MAX(0,ROUND((INDEX($E1063:$G1063,AO$5)-SUMIFS(TF_Timer,TF_Tekniker,AO$4,TF_Dato,$A1063))*2,0)/2)))</f>
        <v/>
      </c>
      <c r="AP1063">
        <f>IF(OR(AP$4="",$A1063&gt;TODAY()),0,IF(OR(INDEX($B1063:$D1063,AP$5)="F",AND(AP$6&gt;0,$A1063&lt;AP$6),AND(AP$7&gt;0,$A1063&gt;AP$7)),0,MAX(0,ROUND((INDEX($E1063:$G1063,AP$5)-SUMIFS(TF_Timer,TF_Tekniker,AP$4,TF_Dato,$A1063))*2,0)/2)))</f>
        <v/>
      </c>
      <c r="AQ1063">
        <f>IF(OR(AQ$4="",$A1063&gt;TODAY()),0,IF(OR(INDEX($B1063:$D1063,AQ$5)="F",AND(AQ$6&gt;0,$A1063&lt;AQ$6),AND(AQ$7&gt;0,$A1063&gt;AQ$7)),0,MAX(0,ROUND((INDEX($E1063:$G1063,AQ$5)-SUMIFS(TF_Timer,TF_Tekniker,AQ$4,TF_Dato,$A1063))*2,0)/2)))</f>
        <v/>
      </c>
      <c r="AR1063">
        <f>IF(OR(AR$4="",$A1063&gt;TODAY()),0,IF(OR(INDEX($B1063:$D1063,AR$5)="F",AND(AR$6&gt;0,$A1063&lt;AR$6),AND(AR$7&gt;0,$A1063&gt;AR$7)),0,MAX(0,ROUND((INDEX($E1063:$G1063,AR$5)-SUMIFS(TF_Timer,TF_Tekniker,AR$4,TF_Dato,$A1063))*2,0)/2)))</f>
        <v/>
      </c>
      <c r="AS1063">
        <f>IF(OR(AS$4="",$A1063&gt;TODAY()),0,IF(OR(INDEX($B1063:$D1063,AS$5)="F",AND(AS$6&gt;0,$A1063&lt;AS$6),AND(AS$7&gt;0,$A1063&gt;AS$7)),0,MAX(0,ROUND((INDEX($E1063:$G1063,AS$5)-SUMIFS(TF_Timer,TF_Tekniker,AS$4,TF_Dato,$A1063))*2,0)/2)))</f>
        <v/>
      </c>
      <c r="AT1063">
        <f>IF(OR(AT$4="",$A1063&gt;TODAY()),0,IF(OR(INDEX($B1063:$D1063,AT$5)="F",AND(AT$6&gt;0,$A1063&lt;AT$6),AND(AT$7&gt;0,$A1063&gt;AT$7)),0,MAX(0,ROUND((INDEX($E1063:$G1063,AT$5)-SUMIFS(TF_Timer,TF_Tekniker,AT$4,TF_Dato,$A1063))*2,0)/2)))</f>
        <v/>
      </c>
      <c r="AU1063">
        <f>IF(OR(AU$4="",$A1063&gt;TODAY()),0,IF(OR(INDEX($B1063:$D1063,AU$5)="F",AND(AU$6&gt;0,$A1063&lt;AU$6),AND(AU$7&gt;0,$A1063&gt;AU$7)),0,MAX(0,ROUND((INDEX($E1063:$G1063,AU$5)-SUMIFS(TF_Timer,TF_Tekniker,AU$4,TF_Dato,$A1063))*2,0)/2)))</f>
        <v/>
      </c>
      <c r="AV1063">
        <f>IF(OR(AV$4="",$A1063&gt;TODAY()),0,IF(OR(INDEX($B1063:$D1063,AV$5)="F",AND(AV$6&gt;0,$A1063&lt;AV$6),AND(AV$7&gt;0,$A1063&gt;AV$7)),0,MAX(0,ROUND((INDEX($E1063:$G1063,AV$5)-SUMIFS(TF_Timer,TF_Tekniker,AV$4,TF_Dato,$A1063))*2,0)/2)))</f>
        <v/>
      </c>
      <c r="AW1063">
        <f>IF(OR(AW$4="",$A1063&gt;TODAY()),0,IF(OR(INDEX($B1063:$D1063,AW$5)="F",AND(AW$6&gt;0,$A1063&lt;AW$6),AND(AW$7&gt;0,$A1063&gt;AW$7)),0,MAX(0,ROUND((INDEX($E1063:$G1063,AW$5)-SUMIFS(TF_Timer,TF_Tekniker,AW$4,TF_Dato,$A1063))*2,0)/2)))</f>
        <v/>
      </c>
      <c r="AX1063">
        <f>IF(OR(AX$4="",$A1063&gt;TODAY()),0,IF(OR(INDEX($B1063:$D1063,AX$5)="F",AND(AX$6&gt;0,$A1063&lt;AX$6),AND(AX$7&gt;0,$A1063&gt;AX$7)),0,MAX(0,ROUND((INDEX($E1063:$G1063,AX$5)-SUMIFS(TF_Timer,TF_Tekniker,AX$4,TF_Dato,$A1063))*2,0)/2)))</f>
        <v/>
      </c>
      <c r="AY1063">
        <f>IF(OR(AY$4="",$A1063&gt;TODAY()),0,IF(OR(INDEX($B1063:$D1063,AY$5)="F",AND(AY$6&gt;0,$A1063&lt;AY$6),AND(AY$7&gt;0,$A1063&gt;AY$7)),0,MAX(0,ROUND((INDEX($E1063:$G1063,AY$5)-SUMIFS(TF_Timer,TF_Tekniker,AY$4,TF_Dato,$A1063))*2,0)/2)))</f>
        <v/>
      </c>
      <c r="AZ1063">
        <f>IF(OR(AZ$4="",$A1063&gt;TODAY()),0,IF(OR(INDEX($B1063:$D1063,AZ$5)="F",AND(AZ$6&gt;0,$A1063&lt;AZ$6),AND(AZ$7&gt;0,$A1063&gt;AZ$7)),0,MAX(0,ROUND((INDEX($E1063:$G1063,AZ$5)-SUMIFS(TF_Timer,TF_Tekniker,AZ$4,TF_Dato,$A1063))*2,0)/2)))</f>
        <v/>
      </c>
      <c r="BA1063">
        <f>IF(OR(BA$4="",$A1063&gt;TODAY()),0,IF(OR(INDEX($B1063:$D1063,BA$5)="F",AND(BA$6&gt;0,$A1063&lt;BA$6),AND(BA$7&gt;0,$A1063&gt;BA$7)),0,MAX(0,ROUND((INDEX($E1063:$G1063,BA$5)-SUMIFS(TF_Timer,TF_Tekniker,BA$4,TF_Dato,$A1063))*2,0)/2)))</f>
        <v/>
      </c>
      <c r="BB1063">
        <f>IF(OR(BB$4="",$A1063&gt;TODAY()),0,IF(OR(INDEX($B1063:$D1063,BB$5)="F",AND(BB$6&gt;0,$A1063&lt;BB$6),AND(BB$7&gt;0,$A1063&gt;BB$7)),0,MAX(0,ROUND((INDEX($E1063:$G1063,BB$5)-SUMIFS(TF_Timer,TF_Tekniker,BB$4,TF_Dato,$A1063))*2,0)/2)))</f>
        <v/>
      </c>
      <c r="BC1063">
        <f>IF(OR(BC$4="",$A1063&gt;TODAY()),0,IF(OR(INDEX($B1063:$D1063,BC$5)="F",AND(BC$6&gt;0,$A1063&lt;BC$6),AND(BC$7&gt;0,$A1063&gt;BC$7)),0,MAX(0,ROUND((INDEX($E1063:$G1063,BC$5)-SUMIFS(TF_Timer,TF_Tekniker,BC$4,TF_Dato,$A1063))*2,0)/2)))</f>
        <v/>
      </c>
      <c r="BD1063">
        <f>IF(OR(BD$4="",$A1063&gt;TODAY()),0,IF(OR(INDEX($B1063:$D1063,BD$5)="F",AND(BD$6&gt;0,$A1063&lt;BD$6),AND(BD$7&gt;0,$A1063&gt;BD$7)),0,MAX(0,ROUND((INDEX($E1063:$G1063,BD$5)-SUMIFS(TF_Timer,TF_Tekniker,BD$4,TF_Dato,$A1063))*2,0)/2)))</f>
        <v/>
      </c>
      <c r="BE1063">
        <f>IF(OR(BE$4="",$A1063&gt;TODAY()),0,IF(OR(INDEX($B1063:$D1063,BE$5)="F",AND(BE$6&gt;0,$A1063&lt;BE$6),AND(BE$7&gt;0,$A1063&gt;BE$7)),0,MAX(0,ROUND((INDEX($E1063:$G1063,BE$5)-SUMIFS(TF_Timer,TF_Tekniker,BE$4,TF_Dato,$A1063))*2,0)/2)))</f>
        <v/>
      </c>
      <c r="BF1063">
        <f>IF(OR(BF$4="",$A1063&gt;TODAY()),0,IF(OR(INDEX($B1063:$D1063,BF$5)="F",AND(BF$6&gt;0,$A1063&lt;BF$6),AND(BF$7&gt;0,$A1063&gt;BF$7)),0,MAX(0,ROUND((INDEX($E1063:$G1063,BF$5)-SUMIFS(TF_Timer,TF_Tekniker,BF$4,TF_Dato,$A1063))*2,0)/2)))</f>
        <v/>
      </c>
      <c r="BG1063">
        <f>IF(OR(BG$4="",$A1063&gt;TODAY()),0,IF(OR(INDEX($B1063:$D1063,BG$5)="F",AND(BG$6&gt;0,$A1063&lt;BG$6),AND(BG$7&gt;0,$A1063&gt;BG$7)),0,MAX(0,ROUND((INDEX($E1063:$G1063,BG$5)-SUMIFS(TF_Timer,TF_Tekniker,BG$4,TF_Dato,$A1063))*2,0)/2)))</f>
        <v/>
      </c>
      <c r="BH1063">
        <f>IF(OR(BH$4="",$A1063&gt;TODAY()),0,IF(OR(INDEX($B1063:$D1063,BH$5)="F",AND(BH$6&gt;0,$A1063&lt;BH$6),AND(BH$7&gt;0,$A1063&gt;BH$7)),0,MAX(0,ROUND((INDEX($E1063:$G1063,BH$5)-SUMIFS(TF_Timer,TF_Tekniker,BH$4,TF_Dato,$A1063))*2,0)/2)))</f>
        <v/>
      </c>
      <c r="BI1063">
        <f>IF(OR(BI$4="",$A1063&gt;TODAY()),0,IF(OR(INDEX($B1063:$D1063,BI$5)="F",AND(BI$6&gt;0,$A1063&lt;BI$6),AND(BI$7&gt;0,$A1063&gt;BI$7)),0,MAX(0,ROUND((INDEX($E1063:$G1063,BI$5)-SUMIFS(TF_Timer,TF_Tekniker,BI$4,TF_Dato,$A1063))*2,0)/2)))</f>
        <v/>
      </c>
    </row>
    <row r="1064">
      <c r="A1064" s="64">
        <f>A1063+1</f>
        <v/>
      </c>
      <c r="B1064">
        <f>IF(MOD($A1064-INDEX(SkiftStart,1),Syklus)&lt;DagK,"K",IF(MOD($A1064-INDEX(SkiftStart,1),Syklus)&lt;DagK+DagH,"H",IF(MOD($A1064-INDEX(SkiftStart,1),Syklus)&lt;DagK+DagH+DagD,"D","F")))</f>
        <v/>
      </c>
      <c r="C1064">
        <f>IF(MOD($A1064-INDEX(SkiftStart,2),Syklus)&lt;DagK,"K",IF(MOD($A1064-INDEX(SkiftStart,2),Syklus)&lt;DagK+DagH,"H",IF(MOD($A1064-INDEX(SkiftStart,2),Syklus)&lt;DagK+DagH+DagD,"D","F")))</f>
        <v/>
      </c>
      <c r="D1064">
        <f>IF(MOD($A1064-INDEX(SkiftStart,3),Syklus)&lt;DagK,"K",IF(MOD($A1064-INDEX(SkiftStart,3),Syklus)&lt;DagK+DagH,"H",IF(MOD($A1064-INDEX(SkiftStart,3),Syklus)&lt;DagK+DagH+DagD,"D","F")))</f>
        <v/>
      </c>
      <c r="E1064">
        <f>IF(B1064="F",0,IF(WEEKDAY($A1064,2)=5,INDEX(TimerFr,MATCH(B1064,FaseKode,0)),INDEX(TimerMT,MATCH(B1064,FaseKode,0))))</f>
        <v/>
      </c>
      <c r="F1064">
        <f>IF(C1064="F",0,IF(WEEKDAY($A1064,2)=5,INDEX(TimerFr,MATCH(C1064,FaseKode,0)),INDEX(TimerMT,MATCH(C1064,FaseKode,0))))</f>
        <v/>
      </c>
      <c r="G1064">
        <f>IF(D1064="F",0,IF(WEEKDAY($A1064,2)=5,INDEX(TimerFr,MATCH(D1064,FaseKode,0)),INDEX(TimerMT,MATCH(D1064,FaseKode,0))))</f>
        <v/>
      </c>
      <c r="H1064">
        <f>IF(OR(H$4="",$A1064&gt;TODAY()),0,IF(OR(INDEX($B1064:$D1064,H$5)="F",AND(H$6&gt;0,$A1064&lt;H$6),AND(H$7&gt;0,$A1064&gt;H$7)),0,MAX(0,ROUND((INDEX($E1064:$G1064,H$5)-SUMIFS(TF_Timer,TF_Tekniker,H$4,TF_Dato,$A1064))*2,0)/2)))</f>
        <v/>
      </c>
      <c r="I1064">
        <f>IF(OR(I$4="",$A1064&gt;TODAY()),0,IF(OR(INDEX($B1064:$D1064,I$5)="F",AND(I$6&gt;0,$A1064&lt;I$6),AND(I$7&gt;0,$A1064&gt;I$7)),0,MAX(0,ROUND((INDEX($E1064:$G1064,I$5)-SUMIFS(TF_Timer,TF_Tekniker,I$4,TF_Dato,$A1064))*2,0)/2)))</f>
        <v/>
      </c>
      <c r="J1064">
        <f>IF(OR(J$4="",$A1064&gt;TODAY()),0,IF(OR(INDEX($B1064:$D1064,J$5)="F",AND(J$6&gt;0,$A1064&lt;J$6),AND(J$7&gt;0,$A1064&gt;J$7)),0,MAX(0,ROUND((INDEX($E1064:$G1064,J$5)-SUMIFS(TF_Timer,TF_Tekniker,J$4,TF_Dato,$A1064))*2,0)/2)))</f>
        <v/>
      </c>
      <c r="K1064">
        <f>IF(OR(K$4="",$A1064&gt;TODAY()),0,IF(OR(INDEX($B1064:$D1064,K$5)="F",AND(K$6&gt;0,$A1064&lt;K$6),AND(K$7&gt;0,$A1064&gt;K$7)),0,MAX(0,ROUND((INDEX($E1064:$G1064,K$5)-SUMIFS(TF_Timer,TF_Tekniker,K$4,TF_Dato,$A1064))*2,0)/2)))</f>
        <v/>
      </c>
      <c r="L1064">
        <f>IF(OR(L$4="",$A1064&gt;TODAY()),0,IF(OR(INDEX($B1064:$D1064,L$5)="F",AND(L$6&gt;0,$A1064&lt;L$6),AND(L$7&gt;0,$A1064&gt;L$7)),0,MAX(0,ROUND((INDEX($E1064:$G1064,L$5)-SUMIFS(TF_Timer,TF_Tekniker,L$4,TF_Dato,$A1064))*2,0)/2)))</f>
        <v/>
      </c>
      <c r="M1064">
        <f>IF(OR(M$4="",$A1064&gt;TODAY()),0,IF(OR(INDEX($B1064:$D1064,M$5)="F",AND(M$6&gt;0,$A1064&lt;M$6),AND(M$7&gt;0,$A1064&gt;M$7)),0,MAX(0,ROUND((INDEX($E1064:$G1064,M$5)-SUMIFS(TF_Timer,TF_Tekniker,M$4,TF_Dato,$A1064))*2,0)/2)))</f>
        <v/>
      </c>
      <c r="N1064">
        <f>IF(OR(N$4="",$A1064&gt;TODAY()),0,IF(OR(INDEX($B1064:$D1064,N$5)="F",AND(N$6&gt;0,$A1064&lt;N$6),AND(N$7&gt;0,$A1064&gt;N$7)),0,MAX(0,ROUND((INDEX($E1064:$G1064,N$5)-SUMIFS(TF_Timer,TF_Tekniker,N$4,TF_Dato,$A1064))*2,0)/2)))</f>
        <v/>
      </c>
      <c r="O1064">
        <f>IF(OR(O$4="",$A1064&gt;TODAY()),0,IF(OR(INDEX($B1064:$D1064,O$5)="F",AND(O$6&gt;0,$A1064&lt;O$6),AND(O$7&gt;0,$A1064&gt;O$7)),0,MAX(0,ROUND((INDEX($E1064:$G1064,O$5)-SUMIFS(TF_Timer,TF_Tekniker,O$4,TF_Dato,$A1064))*2,0)/2)))</f>
        <v/>
      </c>
      <c r="P1064">
        <f>IF(OR(P$4="",$A1064&gt;TODAY()),0,IF(OR(INDEX($B1064:$D1064,P$5)="F",AND(P$6&gt;0,$A1064&lt;P$6),AND(P$7&gt;0,$A1064&gt;P$7)),0,MAX(0,ROUND((INDEX($E1064:$G1064,P$5)-SUMIFS(TF_Timer,TF_Tekniker,P$4,TF_Dato,$A1064))*2,0)/2)))</f>
        <v/>
      </c>
      <c r="Q1064">
        <f>IF(OR(Q$4="",$A1064&gt;TODAY()),0,IF(OR(INDEX($B1064:$D1064,Q$5)="F",AND(Q$6&gt;0,$A1064&lt;Q$6),AND(Q$7&gt;0,$A1064&gt;Q$7)),0,MAX(0,ROUND((INDEX($E1064:$G1064,Q$5)-SUMIFS(TF_Timer,TF_Tekniker,Q$4,TF_Dato,$A1064))*2,0)/2)))</f>
        <v/>
      </c>
      <c r="R1064">
        <f>IF(OR(R$4="",$A1064&gt;TODAY()),0,IF(OR(INDEX($B1064:$D1064,R$5)="F",AND(R$6&gt;0,$A1064&lt;R$6),AND(R$7&gt;0,$A1064&gt;R$7)),0,MAX(0,ROUND((INDEX($E1064:$G1064,R$5)-SUMIFS(TF_Timer,TF_Tekniker,R$4,TF_Dato,$A1064))*2,0)/2)))</f>
        <v/>
      </c>
      <c r="S1064">
        <f>IF(OR(S$4="",$A1064&gt;TODAY()),0,IF(OR(INDEX($B1064:$D1064,S$5)="F",AND(S$6&gt;0,$A1064&lt;S$6),AND(S$7&gt;0,$A1064&gt;S$7)),0,MAX(0,ROUND((INDEX($E1064:$G1064,S$5)-SUMIFS(TF_Timer,TF_Tekniker,S$4,TF_Dato,$A1064))*2,0)/2)))</f>
        <v/>
      </c>
      <c r="T1064">
        <f>IF(OR(T$4="",$A1064&gt;TODAY()),0,IF(OR(INDEX($B1064:$D1064,T$5)="F",AND(T$6&gt;0,$A1064&lt;T$6),AND(T$7&gt;0,$A1064&gt;T$7)),0,MAX(0,ROUND((INDEX($E1064:$G1064,T$5)-SUMIFS(TF_Timer,TF_Tekniker,T$4,TF_Dato,$A1064))*2,0)/2)))</f>
        <v/>
      </c>
      <c r="U1064">
        <f>IF(OR(U$4="",$A1064&gt;TODAY()),0,IF(OR(INDEX($B1064:$D1064,U$5)="F",AND(U$6&gt;0,$A1064&lt;U$6),AND(U$7&gt;0,$A1064&gt;U$7)),0,MAX(0,ROUND((INDEX($E1064:$G1064,U$5)-SUMIFS(TF_Timer,TF_Tekniker,U$4,TF_Dato,$A1064))*2,0)/2)))</f>
        <v/>
      </c>
      <c r="V1064">
        <f>IF(OR(V$4="",$A1064&gt;TODAY()),0,IF(OR(INDEX($B1064:$D1064,V$5)="F",AND(V$6&gt;0,$A1064&lt;V$6),AND(V$7&gt;0,$A1064&gt;V$7)),0,MAX(0,ROUND((INDEX($E1064:$G1064,V$5)-SUMIFS(TF_Timer,TF_Tekniker,V$4,TF_Dato,$A1064))*2,0)/2)))</f>
        <v/>
      </c>
      <c r="W1064">
        <f>IF(OR(W$4="",$A1064&gt;TODAY()),0,IF(OR(INDEX($B1064:$D1064,W$5)="F",AND(W$6&gt;0,$A1064&lt;W$6),AND(W$7&gt;0,$A1064&gt;W$7)),0,MAX(0,ROUND((INDEX($E1064:$G1064,W$5)-SUMIFS(TF_Timer,TF_Tekniker,W$4,TF_Dato,$A1064))*2,0)/2)))</f>
        <v/>
      </c>
      <c r="X1064">
        <f>IF(OR(X$4="",$A1064&gt;TODAY()),0,IF(OR(INDEX($B1064:$D1064,X$5)="F",AND(X$6&gt;0,$A1064&lt;X$6),AND(X$7&gt;0,$A1064&gt;X$7)),0,MAX(0,ROUND((INDEX($E1064:$G1064,X$5)-SUMIFS(TF_Timer,TF_Tekniker,X$4,TF_Dato,$A1064))*2,0)/2)))</f>
        <v/>
      </c>
      <c r="Y1064">
        <f>IF(OR(Y$4="",$A1064&gt;TODAY()),0,IF(OR(INDEX($B1064:$D1064,Y$5)="F",AND(Y$6&gt;0,$A1064&lt;Y$6),AND(Y$7&gt;0,$A1064&gt;Y$7)),0,MAX(0,ROUND((INDEX($E1064:$G1064,Y$5)-SUMIFS(TF_Timer,TF_Tekniker,Y$4,TF_Dato,$A1064))*2,0)/2)))</f>
        <v/>
      </c>
      <c r="Z1064">
        <f>IF(OR(Z$4="",$A1064&gt;TODAY()),0,IF(OR(INDEX($B1064:$D1064,Z$5)="F",AND(Z$6&gt;0,$A1064&lt;Z$6),AND(Z$7&gt;0,$A1064&gt;Z$7)),0,MAX(0,ROUND((INDEX($E1064:$G1064,Z$5)-SUMIFS(TF_Timer,TF_Tekniker,Z$4,TF_Dato,$A1064))*2,0)/2)))</f>
        <v/>
      </c>
      <c r="AA1064">
        <f>IF(OR(AA$4="",$A1064&gt;TODAY()),0,IF(OR(INDEX($B1064:$D1064,AA$5)="F",AND(AA$6&gt;0,$A1064&lt;AA$6),AND(AA$7&gt;0,$A1064&gt;AA$7)),0,MAX(0,ROUND((INDEX($E1064:$G1064,AA$5)-SUMIFS(TF_Timer,TF_Tekniker,AA$4,TF_Dato,$A1064))*2,0)/2)))</f>
        <v/>
      </c>
      <c r="AB1064">
        <f>IF(OR(AB$4="",$A1064&gt;TODAY()),0,IF(OR(INDEX($B1064:$D1064,AB$5)="F",AND(AB$6&gt;0,$A1064&lt;AB$6),AND(AB$7&gt;0,$A1064&gt;AB$7)),0,MAX(0,ROUND((INDEX($E1064:$G1064,AB$5)-SUMIFS(TF_Timer,TF_Tekniker,AB$4,TF_Dato,$A1064))*2,0)/2)))</f>
        <v/>
      </c>
      <c r="AC1064">
        <f>IF(OR(AC$4="",$A1064&gt;TODAY()),0,IF(OR(INDEX($B1064:$D1064,AC$5)="F",AND(AC$6&gt;0,$A1064&lt;AC$6),AND(AC$7&gt;0,$A1064&gt;AC$7)),0,MAX(0,ROUND((INDEX($E1064:$G1064,AC$5)-SUMIFS(TF_Timer,TF_Tekniker,AC$4,TF_Dato,$A1064))*2,0)/2)))</f>
        <v/>
      </c>
      <c r="AD1064">
        <f>IF(OR(AD$4="",$A1064&gt;TODAY()),0,IF(OR(INDEX($B1064:$D1064,AD$5)="F",AND(AD$6&gt;0,$A1064&lt;AD$6),AND(AD$7&gt;0,$A1064&gt;AD$7)),0,MAX(0,ROUND((INDEX($E1064:$G1064,AD$5)-SUMIFS(TF_Timer,TF_Tekniker,AD$4,TF_Dato,$A1064))*2,0)/2)))</f>
        <v/>
      </c>
      <c r="AE1064">
        <f>IF(OR(AE$4="",$A1064&gt;TODAY()),0,IF(OR(INDEX($B1064:$D1064,AE$5)="F",AND(AE$6&gt;0,$A1064&lt;AE$6),AND(AE$7&gt;0,$A1064&gt;AE$7)),0,MAX(0,ROUND((INDEX($E1064:$G1064,AE$5)-SUMIFS(TF_Timer,TF_Tekniker,AE$4,TF_Dato,$A1064))*2,0)/2)))</f>
        <v/>
      </c>
      <c r="AF1064">
        <f>IF(OR(AF$4="",$A1064&gt;TODAY()),0,IF(OR(INDEX($B1064:$D1064,AF$5)="F",AND(AF$6&gt;0,$A1064&lt;AF$6),AND(AF$7&gt;0,$A1064&gt;AF$7)),0,MAX(0,ROUND((INDEX($E1064:$G1064,AF$5)-SUMIFS(TF_Timer,TF_Tekniker,AF$4,TF_Dato,$A1064))*2,0)/2)))</f>
        <v/>
      </c>
      <c r="AG1064">
        <f>IF(OR(AG$4="",$A1064&gt;TODAY()),0,IF(OR(INDEX($B1064:$D1064,AG$5)="F",AND(AG$6&gt;0,$A1064&lt;AG$6),AND(AG$7&gt;0,$A1064&gt;AG$7)),0,MAX(0,ROUND((INDEX($E1064:$G1064,AG$5)-SUMIFS(TF_Timer,TF_Tekniker,AG$4,TF_Dato,$A1064))*2,0)/2)))</f>
        <v/>
      </c>
      <c r="AH1064">
        <f>IF(OR(AH$4="",$A1064&gt;TODAY()),0,IF(OR(INDEX($B1064:$D1064,AH$5)="F",AND(AH$6&gt;0,$A1064&lt;AH$6),AND(AH$7&gt;0,$A1064&gt;AH$7)),0,MAX(0,ROUND((INDEX($E1064:$G1064,AH$5)-SUMIFS(TF_Timer,TF_Tekniker,AH$4,TF_Dato,$A1064))*2,0)/2)))</f>
        <v/>
      </c>
      <c r="AI1064">
        <f>IF(OR(AI$4="",$A1064&gt;TODAY()),0,IF(OR(INDEX($B1064:$D1064,AI$5)="F",AND(AI$6&gt;0,$A1064&lt;AI$6),AND(AI$7&gt;0,$A1064&gt;AI$7)),0,MAX(0,ROUND((INDEX($E1064:$G1064,AI$5)-SUMIFS(TF_Timer,TF_Tekniker,AI$4,TF_Dato,$A1064))*2,0)/2)))</f>
        <v/>
      </c>
      <c r="AJ1064">
        <f>IF(OR(AJ$4="",$A1064&gt;TODAY()),0,IF(OR(INDEX($B1064:$D1064,AJ$5)="F",AND(AJ$6&gt;0,$A1064&lt;AJ$6),AND(AJ$7&gt;0,$A1064&gt;AJ$7)),0,MAX(0,ROUND((INDEX($E1064:$G1064,AJ$5)-SUMIFS(TF_Timer,TF_Tekniker,AJ$4,TF_Dato,$A1064))*2,0)/2)))</f>
        <v/>
      </c>
      <c r="AK1064">
        <f>IF(OR(AK$4="",$A1064&gt;TODAY()),0,IF(OR(INDEX($B1064:$D1064,AK$5)="F",AND(AK$6&gt;0,$A1064&lt;AK$6),AND(AK$7&gt;0,$A1064&gt;AK$7)),0,MAX(0,ROUND((INDEX($E1064:$G1064,AK$5)-SUMIFS(TF_Timer,TF_Tekniker,AK$4,TF_Dato,$A1064))*2,0)/2)))</f>
        <v/>
      </c>
      <c r="AL1064">
        <f>IF(OR(AL$4="",$A1064&gt;TODAY()),0,IF(OR(INDEX($B1064:$D1064,AL$5)="F",AND(AL$6&gt;0,$A1064&lt;AL$6),AND(AL$7&gt;0,$A1064&gt;AL$7)),0,MAX(0,ROUND((INDEX($E1064:$G1064,AL$5)-SUMIFS(TF_Timer,TF_Tekniker,AL$4,TF_Dato,$A1064))*2,0)/2)))</f>
        <v/>
      </c>
      <c r="AM1064">
        <f>IF(OR(AM$4="",$A1064&gt;TODAY()),0,IF(OR(INDEX($B1064:$D1064,AM$5)="F",AND(AM$6&gt;0,$A1064&lt;AM$6),AND(AM$7&gt;0,$A1064&gt;AM$7)),0,MAX(0,ROUND((INDEX($E1064:$G1064,AM$5)-SUMIFS(TF_Timer,TF_Tekniker,AM$4,TF_Dato,$A1064))*2,0)/2)))</f>
        <v/>
      </c>
      <c r="AN1064">
        <f>IF(OR(AN$4="",$A1064&gt;TODAY()),0,IF(OR(INDEX($B1064:$D1064,AN$5)="F",AND(AN$6&gt;0,$A1064&lt;AN$6),AND(AN$7&gt;0,$A1064&gt;AN$7)),0,MAX(0,ROUND((INDEX($E1064:$G1064,AN$5)-SUMIFS(TF_Timer,TF_Tekniker,AN$4,TF_Dato,$A1064))*2,0)/2)))</f>
        <v/>
      </c>
      <c r="AO1064">
        <f>IF(OR(AO$4="",$A1064&gt;TODAY()),0,IF(OR(INDEX($B1064:$D1064,AO$5)="F",AND(AO$6&gt;0,$A1064&lt;AO$6),AND(AO$7&gt;0,$A1064&gt;AO$7)),0,MAX(0,ROUND((INDEX($E1064:$G1064,AO$5)-SUMIFS(TF_Timer,TF_Tekniker,AO$4,TF_Dato,$A1064))*2,0)/2)))</f>
        <v/>
      </c>
      <c r="AP1064">
        <f>IF(OR(AP$4="",$A1064&gt;TODAY()),0,IF(OR(INDEX($B1064:$D1064,AP$5)="F",AND(AP$6&gt;0,$A1064&lt;AP$6),AND(AP$7&gt;0,$A1064&gt;AP$7)),0,MAX(0,ROUND((INDEX($E1064:$G1064,AP$5)-SUMIFS(TF_Timer,TF_Tekniker,AP$4,TF_Dato,$A1064))*2,0)/2)))</f>
        <v/>
      </c>
      <c r="AQ1064">
        <f>IF(OR(AQ$4="",$A1064&gt;TODAY()),0,IF(OR(INDEX($B1064:$D1064,AQ$5)="F",AND(AQ$6&gt;0,$A1064&lt;AQ$6),AND(AQ$7&gt;0,$A1064&gt;AQ$7)),0,MAX(0,ROUND((INDEX($E1064:$G1064,AQ$5)-SUMIFS(TF_Timer,TF_Tekniker,AQ$4,TF_Dato,$A1064))*2,0)/2)))</f>
        <v/>
      </c>
      <c r="AR1064">
        <f>IF(OR(AR$4="",$A1064&gt;TODAY()),0,IF(OR(INDEX($B1064:$D1064,AR$5)="F",AND(AR$6&gt;0,$A1064&lt;AR$6),AND(AR$7&gt;0,$A1064&gt;AR$7)),0,MAX(0,ROUND((INDEX($E1064:$G1064,AR$5)-SUMIFS(TF_Timer,TF_Tekniker,AR$4,TF_Dato,$A1064))*2,0)/2)))</f>
        <v/>
      </c>
      <c r="AS1064">
        <f>IF(OR(AS$4="",$A1064&gt;TODAY()),0,IF(OR(INDEX($B1064:$D1064,AS$5)="F",AND(AS$6&gt;0,$A1064&lt;AS$6),AND(AS$7&gt;0,$A1064&gt;AS$7)),0,MAX(0,ROUND((INDEX($E1064:$G1064,AS$5)-SUMIFS(TF_Timer,TF_Tekniker,AS$4,TF_Dato,$A1064))*2,0)/2)))</f>
        <v/>
      </c>
      <c r="AT1064">
        <f>IF(OR(AT$4="",$A1064&gt;TODAY()),0,IF(OR(INDEX($B1064:$D1064,AT$5)="F",AND(AT$6&gt;0,$A1064&lt;AT$6),AND(AT$7&gt;0,$A1064&gt;AT$7)),0,MAX(0,ROUND((INDEX($E1064:$G1064,AT$5)-SUMIFS(TF_Timer,TF_Tekniker,AT$4,TF_Dato,$A1064))*2,0)/2)))</f>
        <v/>
      </c>
      <c r="AU1064">
        <f>IF(OR(AU$4="",$A1064&gt;TODAY()),0,IF(OR(INDEX($B1064:$D1064,AU$5)="F",AND(AU$6&gt;0,$A1064&lt;AU$6),AND(AU$7&gt;0,$A1064&gt;AU$7)),0,MAX(0,ROUND((INDEX($E1064:$G1064,AU$5)-SUMIFS(TF_Timer,TF_Tekniker,AU$4,TF_Dato,$A1064))*2,0)/2)))</f>
        <v/>
      </c>
      <c r="AV1064">
        <f>IF(OR(AV$4="",$A1064&gt;TODAY()),0,IF(OR(INDEX($B1064:$D1064,AV$5)="F",AND(AV$6&gt;0,$A1064&lt;AV$6),AND(AV$7&gt;0,$A1064&gt;AV$7)),0,MAX(0,ROUND((INDEX($E1064:$G1064,AV$5)-SUMIFS(TF_Timer,TF_Tekniker,AV$4,TF_Dato,$A1064))*2,0)/2)))</f>
        <v/>
      </c>
      <c r="AW1064">
        <f>IF(OR(AW$4="",$A1064&gt;TODAY()),0,IF(OR(INDEX($B1064:$D1064,AW$5)="F",AND(AW$6&gt;0,$A1064&lt;AW$6),AND(AW$7&gt;0,$A1064&gt;AW$7)),0,MAX(0,ROUND((INDEX($E1064:$G1064,AW$5)-SUMIFS(TF_Timer,TF_Tekniker,AW$4,TF_Dato,$A1064))*2,0)/2)))</f>
        <v/>
      </c>
      <c r="AX1064">
        <f>IF(OR(AX$4="",$A1064&gt;TODAY()),0,IF(OR(INDEX($B1064:$D1064,AX$5)="F",AND(AX$6&gt;0,$A1064&lt;AX$6),AND(AX$7&gt;0,$A1064&gt;AX$7)),0,MAX(0,ROUND((INDEX($E1064:$G1064,AX$5)-SUMIFS(TF_Timer,TF_Tekniker,AX$4,TF_Dato,$A1064))*2,0)/2)))</f>
        <v/>
      </c>
      <c r="AY1064">
        <f>IF(OR(AY$4="",$A1064&gt;TODAY()),0,IF(OR(INDEX($B1064:$D1064,AY$5)="F",AND(AY$6&gt;0,$A1064&lt;AY$6),AND(AY$7&gt;0,$A1064&gt;AY$7)),0,MAX(0,ROUND((INDEX($E1064:$G1064,AY$5)-SUMIFS(TF_Timer,TF_Tekniker,AY$4,TF_Dato,$A1064))*2,0)/2)))</f>
        <v/>
      </c>
      <c r="AZ1064">
        <f>IF(OR(AZ$4="",$A1064&gt;TODAY()),0,IF(OR(INDEX($B1064:$D1064,AZ$5)="F",AND(AZ$6&gt;0,$A1064&lt;AZ$6),AND(AZ$7&gt;0,$A1064&gt;AZ$7)),0,MAX(0,ROUND((INDEX($E1064:$G1064,AZ$5)-SUMIFS(TF_Timer,TF_Tekniker,AZ$4,TF_Dato,$A1064))*2,0)/2)))</f>
        <v/>
      </c>
      <c r="BA1064">
        <f>IF(OR(BA$4="",$A1064&gt;TODAY()),0,IF(OR(INDEX($B1064:$D1064,BA$5)="F",AND(BA$6&gt;0,$A1064&lt;BA$6),AND(BA$7&gt;0,$A1064&gt;BA$7)),0,MAX(0,ROUND((INDEX($E1064:$G1064,BA$5)-SUMIFS(TF_Timer,TF_Tekniker,BA$4,TF_Dato,$A1064))*2,0)/2)))</f>
        <v/>
      </c>
      <c r="BB1064">
        <f>IF(OR(BB$4="",$A1064&gt;TODAY()),0,IF(OR(INDEX($B1064:$D1064,BB$5)="F",AND(BB$6&gt;0,$A1064&lt;BB$6),AND(BB$7&gt;0,$A1064&gt;BB$7)),0,MAX(0,ROUND((INDEX($E1064:$G1064,BB$5)-SUMIFS(TF_Timer,TF_Tekniker,BB$4,TF_Dato,$A1064))*2,0)/2)))</f>
        <v/>
      </c>
      <c r="BC1064">
        <f>IF(OR(BC$4="",$A1064&gt;TODAY()),0,IF(OR(INDEX($B1064:$D1064,BC$5)="F",AND(BC$6&gt;0,$A1064&lt;BC$6),AND(BC$7&gt;0,$A1064&gt;BC$7)),0,MAX(0,ROUND((INDEX($E1064:$G1064,BC$5)-SUMIFS(TF_Timer,TF_Tekniker,BC$4,TF_Dato,$A1064))*2,0)/2)))</f>
        <v/>
      </c>
      <c r="BD1064">
        <f>IF(OR(BD$4="",$A1064&gt;TODAY()),0,IF(OR(INDEX($B1064:$D1064,BD$5)="F",AND(BD$6&gt;0,$A1064&lt;BD$6),AND(BD$7&gt;0,$A1064&gt;BD$7)),0,MAX(0,ROUND((INDEX($E1064:$G1064,BD$5)-SUMIFS(TF_Timer,TF_Tekniker,BD$4,TF_Dato,$A1064))*2,0)/2)))</f>
        <v/>
      </c>
      <c r="BE1064">
        <f>IF(OR(BE$4="",$A1064&gt;TODAY()),0,IF(OR(INDEX($B1064:$D1064,BE$5)="F",AND(BE$6&gt;0,$A1064&lt;BE$6),AND(BE$7&gt;0,$A1064&gt;BE$7)),0,MAX(0,ROUND((INDEX($E1064:$G1064,BE$5)-SUMIFS(TF_Timer,TF_Tekniker,BE$4,TF_Dato,$A1064))*2,0)/2)))</f>
        <v/>
      </c>
      <c r="BF1064">
        <f>IF(OR(BF$4="",$A1064&gt;TODAY()),0,IF(OR(INDEX($B1064:$D1064,BF$5)="F",AND(BF$6&gt;0,$A1064&lt;BF$6),AND(BF$7&gt;0,$A1064&gt;BF$7)),0,MAX(0,ROUND((INDEX($E1064:$G1064,BF$5)-SUMIFS(TF_Timer,TF_Tekniker,BF$4,TF_Dato,$A1064))*2,0)/2)))</f>
        <v/>
      </c>
      <c r="BG1064">
        <f>IF(OR(BG$4="",$A1064&gt;TODAY()),0,IF(OR(INDEX($B1064:$D1064,BG$5)="F",AND(BG$6&gt;0,$A1064&lt;BG$6),AND(BG$7&gt;0,$A1064&gt;BG$7)),0,MAX(0,ROUND((INDEX($E1064:$G1064,BG$5)-SUMIFS(TF_Timer,TF_Tekniker,BG$4,TF_Dato,$A1064))*2,0)/2)))</f>
        <v/>
      </c>
      <c r="BH1064">
        <f>IF(OR(BH$4="",$A1064&gt;TODAY()),0,IF(OR(INDEX($B1064:$D1064,BH$5)="F",AND(BH$6&gt;0,$A1064&lt;BH$6),AND(BH$7&gt;0,$A1064&gt;BH$7)),0,MAX(0,ROUND((INDEX($E1064:$G1064,BH$5)-SUMIFS(TF_Timer,TF_Tekniker,BH$4,TF_Dato,$A1064))*2,0)/2)))</f>
        <v/>
      </c>
      <c r="BI1064">
        <f>IF(OR(BI$4="",$A1064&gt;TODAY()),0,IF(OR(INDEX($B1064:$D1064,BI$5)="F",AND(BI$6&gt;0,$A1064&lt;BI$6),AND(BI$7&gt;0,$A1064&gt;BI$7)),0,MAX(0,ROUND((INDEX($E1064:$G1064,BI$5)-SUMIFS(TF_Timer,TF_Tekniker,BI$4,TF_Dato,$A1064))*2,0)/2)))</f>
        <v/>
      </c>
    </row>
    <row r="1065">
      <c r="A1065" s="64">
        <f>A1064+1</f>
        <v/>
      </c>
      <c r="B1065">
        <f>IF(MOD($A1065-INDEX(SkiftStart,1),Syklus)&lt;DagK,"K",IF(MOD($A1065-INDEX(SkiftStart,1),Syklus)&lt;DagK+DagH,"H",IF(MOD($A1065-INDEX(SkiftStart,1),Syklus)&lt;DagK+DagH+DagD,"D","F")))</f>
        <v/>
      </c>
      <c r="C1065">
        <f>IF(MOD($A1065-INDEX(SkiftStart,2),Syklus)&lt;DagK,"K",IF(MOD($A1065-INDEX(SkiftStart,2),Syklus)&lt;DagK+DagH,"H",IF(MOD($A1065-INDEX(SkiftStart,2),Syklus)&lt;DagK+DagH+DagD,"D","F")))</f>
        <v/>
      </c>
      <c r="D1065">
        <f>IF(MOD($A1065-INDEX(SkiftStart,3),Syklus)&lt;DagK,"K",IF(MOD($A1065-INDEX(SkiftStart,3),Syklus)&lt;DagK+DagH,"H",IF(MOD($A1065-INDEX(SkiftStart,3),Syklus)&lt;DagK+DagH+DagD,"D","F")))</f>
        <v/>
      </c>
      <c r="E1065">
        <f>IF(B1065="F",0,IF(WEEKDAY($A1065,2)=5,INDEX(TimerFr,MATCH(B1065,FaseKode,0)),INDEX(TimerMT,MATCH(B1065,FaseKode,0))))</f>
        <v/>
      </c>
      <c r="F1065">
        <f>IF(C1065="F",0,IF(WEEKDAY($A1065,2)=5,INDEX(TimerFr,MATCH(C1065,FaseKode,0)),INDEX(TimerMT,MATCH(C1065,FaseKode,0))))</f>
        <v/>
      </c>
      <c r="G1065">
        <f>IF(D1065="F",0,IF(WEEKDAY($A1065,2)=5,INDEX(TimerFr,MATCH(D1065,FaseKode,0)),INDEX(TimerMT,MATCH(D1065,FaseKode,0))))</f>
        <v/>
      </c>
      <c r="H1065">
        <f>IF(OR(H$4="",$A1065&gt;TODAY()),0,IF(OR(INDEX($B1065:$D1065,H$5)="F",AND(H$6&gt;0,$A1065&lt;H$6),AND(H$7&gt;0,$A1065&gt;H$7)),0,MAX(0,ROUND((INDEX($E1065:$G1065,H$5)-SUMIFS(TF_Timer,TF_Tekniker,H$4,TF_Dato,$A1065))*2,0)/2)))</f>
        <v/>
      </c>
      <c r="I1065">
        <f>IF(OR(I$4="",$A1065&gt;TODAY()),0,IF(OR(INDEX($B1065:$D1065,I$5)="F",AND(I$6&gt;0,$A1065&lt;I$6),AND(I$7&gt;0,$A1065&gt;I$7)),0,MAX(0,ROUND((INDEX($E1065:$G1065,I$5)-SUMIFS(TF_Timer,TF_Tekniker,I$4,TF_Dato,$A1065))*2,0)/2)))</f>
        <v/>
      </c>
      <c r="J1065">
        <f>IF(OR(J$4="",$A1065&gt;TODAY()),0,IF(OR(INDEX($B1065:$D1065,J$5)="F",AND(J$6&gt;0,$A1065&lt;J$6),AND(J$7&gt;0,$A1065&gt;J$7)),0,MAX(0,ROUND((INDEX($E1065:$G1065,J$5)-SUMIFS(TF_Timer,TF_Tekniker,J$4,TF_Dato,$A1065))*2,0)/2)))</f>
        <v/>
      </c>
      <c r="K1065">
        <f>IF(OR(K$4="",$A1065&gt;TODAY()),0,IF(OR(INDEX($B1065:$D1065,K$5)="F",AND(K$6&gt;0,$A1065&lt;K$6),AND(K$7&gt;0,$A1065&gt;K$7)),0,MAX(0,ROUND((INDEX($E1065:$G1065,K$5)-SUMIFS(TF_Timer,TF_Tekniker,K$4,TF_Dato,$A1065))*2,0)/2)))</f>
        <v/>
      </c>
      <c r="L1065">
        <f>IF(OR(L$4="",$A1065&gt;TODAY()),0,IF(OR(INDEX($B1065:$D1065,L$5)="F",AND(L$6&gt;0,$A1065&lt;L$6),AND(L$7&gt;0,$A1065&gt;L$7)),0,MAX(0,ROUND((INDEX($E1065:$G1065,L$5)-SUMIFS(TF_Timer,TF_Tekniker,L$4,TF_Dato,$A1065))*2,0)/2)))</f>
        <v/>
      </c>
      <c r="M1065">
        <f>IF(OR(M$4="",$A1065&gt;TODAY()),0,IF(OR(INDEX($B1065:$D1065,M$5)="F",AND(M$6&gt;0,$A1065&lt;M$6),AND(M$7&gt;0,$A1065&gt;M$7)),0,MAX(0,ROUND((INDEX($E1065:$G1065,M$5)-SUMIFS(TF_Timer,TF_Tekniker,M$4,TF_Dato,$A1065))*2,0)/2)))</f>
        <v/>
      </c>
      <c r="N1065">
        <f>IF(OR(N$4="",$A1065&gt;TODAY()),0,IF(OR(INDEX($B1065:$D1065,N$5)="F",AND(N$6&gt;0,$A1065&lt;N$6),AND(N$7&gt;0,$A1065&gt;N$7)),0,MAX(0,ROUND((INDEX($E1065:$G1065,N$5)-SUMIFS(TF_Timer,TF_Tekniker,N$4,TF_Dato,$A1065))*2,0)/2)))</f>
        <v/>
      </c>
      <c r="O1065">
        <f>IF(OR(O$4="",$A1065&gt;TODAY()),0,IF(OR(INDEX($B1065:$D1065,O$5)="F",AND(O$6&gt;0,$A1065&lt;O$6),AND(O$7&gt;0,$A1065&gt;O$7)),0,MAX(0,ROUND((INDEX($E1065:$G1065,O$5)-SUMIFS(TF_Timer,TF_Tekniker,O$4,TF_Dato,$A1065))*2,0)/2)))</f>
        <v/>
      </c>
      <c r="P1065">
        <f>IF(OR(P$4="",$A1065&gt;TODAY()),0,IF(OR(INDEX($B1065:$D1065,P$5)="F",AND(P$6&gt;0,$A1065&lt;P$6),AND(P$7&gt;0,$A1065&gt;P$7)),0,MAX(0,ROUND((INDEX($E1065:$G1065,P$5)-SUMIFS(TF_Timer,TF_Tekniker,P$4,TF_Dato,$A1065))*2,0)/2)))</f>
        <v/>
      </c>
      <c r="Q1065">
        <f>IF(OR(Q$4="",$A1065&gt;TODAY()),0,IF(OR(INDEX($B1065:$D1065,Q$5)="F",AND(Q$6&gt;0,$A1065&lt;Q$6),AND(Q$7&gt;0,$A1065&gt;Q$7)),0,MAX(0,ROUND((INDEX($E1065:$G1065,Q$5)-SUMIFS(TF_Timer,TF_Tekniker,Q$4,TF_Dato,$A1065))*2,0)/2)))</f>
        <v/>
      </c>
      <c r="R1065">
        <f>IF(OR(R$4="",$A1065&gt;TODAY()),0,IF(OR(INDEX($B1065:$D1065,R$5)="F",AND(R$6&gt;0,$A1065&lt;R$6),AND(R$7&gt;0,$A1065&gt;R$7)),0,MAX(0,ROUND((INDEX($E1065:$G1065,R$5)-SUMIFS(TF_Timer,TF_Tekniker,R$4,TF_Dato,$A1065))*2,0)/2)))</f>
        <v/>
      </c>
      <c r="S1065">
        <f>IF(OR(S$4="",$A1065&gt;TODAY()),0,IF(OR(INDEX($B1065:$D1065,S$5)="F",AND(S$6&gt;0,$A1065&lt;S$6),AND(S$7&gt;0,$A1065&gt;S$7)),0,MAX(0,ROUND((INDEX($E1065:$G1065,S$5)-SUMIFS(TF_Timer,TF_Tekniker,S$4,TF_Dato,$A1065))*2,0)/2)))</f>
        <v/>
      </c>
      <c r="T1065">
        <f>IF(OR(T$4="",$A1065&gt;TODAY()),0,IF(OR(INDEX($B1065:$D1065,T$5)="F",AND(T$6&gt;0,$A1065&lt;T$6),AND(T$7&gt;0,$A1065&gt;T$7)),0,MAX(0,ROUND((INDEX($E1065:$G1065,T$5)-SUMIFS(TF_Timer,TF_Tekniker,T$4,TF_Dato,$A1065))*2,0)/2)))</f>
        <v/>
      </c>
      <c r="U1065">
        <f>IF(OR(U$4="",$A1065&gt;TODAY()),0,IF(OR(INDEX($B1065:$D1065,U$5)="F",AND(U$6&gt;0,$A1065&lt;U$6),AND(U$7&gt;0,$A1065&gt;U$7)),0,MAX(0,ROUND((INDEX($E1065:$G1065,U$5)-SUMIFS(TF_Timer,TF_Tekniker,U$4,TF_Dato,$A1065))*2,0)/2)))</f>
        <v/>
      </c>
      <c r="V1065">
        <f>IF(OR(V$4="",$A1065&gt;TODAY()),0,IF(OR(INDEX($B1065:$D1065,V$5)="F",AND(V$6&gt;0,$A1065&lt;V$6),AND(V$7&gt;0,$A1065&gt;V$7)),0,MAX(0,ROUND((INDEX($E1065:$G1065,V$5)-SUMIFS(TF_Timer,TF_Tekniker,V$4,TF_Dato,$A1065))*2,0)/2)))</f>
        <v/>
      </c>
      <c r="W1065">
        <f>IF(OR(W$4="",$A1065&gt;TODAY()),0,IF(OR(INDEX($B1065:$D1065,W$5)="F",AND(W$6&gt;0,$A1065&lt;W$6),AND(W$7&gt;0,$A1065&gt;W$7)),0,MAX(0,ROUND((INDEX($E1065:$G1065,W$5)-SUMIFS(TF_Timer,TF_Tekniker,W$4,TF_Dato,$A1065))*2,0)/2)))</f>
        <v/>
      </c>
      <c r="X1065">
        <f>IF(OR(X$4="",$A1065&gt;TODAY()),0,IF(OR(INDEX($B1065:$D1065,X$5)="F",AND(X$6&gt;0,$A1065&lt;X$6),AND(X$7&gt;0,$A1065&gt;X$7)),0,MAX(0,ROUND((INDEX($E1065:$G1065,X$5)-SUMIFS(TF_Timer,TF_Tekniker,X$4,TF_Dato,$A1065))*2,0)/2)))</f>
        <v/>
      </c>
      <c r="Y1065">
        <f>IF(OR(Y$4="",$A1065&gt;TODAY()),0,IF(OR(INDEX($B1065:$D1065,Y$5)="F",AND(Y$6&gt;0,$A1065&lt;Y$6),AND(Y$7&gt;0,$A1065&gt;Y$7)),0,MAX(0,ROUND((INDEX($E1065:$G1065,Y$5)-SUMIFS(TF_Timer,TF_Tekniker,Y$4,TF_Dato,$A1065))*2,0)/2)))</f>
        <v/>
      </c>
      <c r="Z1065">
        <f>IF(OR(Z$4="",$A1065&gt;TODAY()),0,IF(OR(INDEX($B1065:$D1065,Z$5)="F",AND(Z$6&gt;0,$A1065&lt;Z$6),AND(Z$7&gt;0,$A1065&gt;Z$7)),0,MAX(0,ROUND((INDEX($E1065:$G1065,Z$5)-SUMIFS(TF_Timer,TF_Tekniker,Z$4,TF_Dato,$A1065))*2,0)/2)))</f>
        <v/>
      </c>
      <c r="AA1065">
        <f>IF(OR(AA$4="",$A1065&gt;TODAY()),0,IF(OR(INDEX($B1065:$D1065,AA$5)="F",AND(AA$6&gt;0,$A1065&lt;AA$6),AND(AA$7&gt;0,$A1065&gt;AA$7)),0,MAX(0,ROUND((INDEX($E1065:$G1065,AA$5)-SUMIFS(TF_Timer,TF_Tekniker,AA$4,TF_Dato,$A1065))*2,0)/2)))</f>
        <v/>
      </c>
      <c r="AB1065">
        <f>IF(OR(AB$4="",$A1065&gt;TODAY()),0,IF(OR(INDEX($B1065:$D1065,AB$5)="F",AND(AB$6&gt;0,$A1065&lt;AB$6),AND(AB$7&gt;0,$A1065&gt;AB$7)),0,MAX(0,ROUND((INDEX($E1065:$G1065,AB$5)-SUMIFS(TF_Timer,TF_Tekniker,AB$4,TF_Dato,$A1065))*2,0)/2)))</f>
        <v/>
      </c>
      <c r="AC1065">
        <f>IF(OR(AC$4="",$A1065&gt;TODAY()),0,IF(OR(INDEX($B1065:$D1065,AC$5)="F",AND(AC$6&gt;0,$A1065&lt;AC$6),AND(AC$7&gt;0,$A1065&gt;AC$7)),0,MAX(0,ROUND((INDEX($E1065:$G1065,AC$5)-SUMIFS(TF_Timer,TF_Tekniker,AC$4,TF_Dato,$A1065))*2,0)/2)))</f>
        <v/>
      </c>
      <c r="AD1065">
        <f>IF(OR(AD$4="",$A1065&gt;TODAY()),0,IF(OR(INDEX($B1065:$D1065,AD$5)="F",AND(AD$6&gt;0,$A1065&lt;AD$6),AND(AD$7&gt;0,$A1065&gt;AD$7)),0,MAX(0,ROUND((INDEX($E1065:$G1065,AD$5)-SUMIFS(TF_Timer,TF_Tekniker,AD$4,TF_Dato,$A1065))*2,0)/2)))</f>
        <v/>
      </c>
      <c r="AE1065">
        <f>IF(OR(AE$4="",$A1065&gt;TODAY()),0,IF(OR(INDEX($B1065:$D1065,AE$5)="F",AND(AE$6&gt;0,$A1065&lt;AE$6),AND(AE$7&gt;0,$A1065&gt;AE$7)),0,MAX(0,ROUND((INDEX($E1065:$G1065,AE$5)-SUMIFS(TF_Timer,TF_Tekniker,AE$4,TF_Dato,$A1065))*2,0)/2)))</f>
        <v/>
      </c>
      <c r="AF1065">
        <f>IF(OR(AF$4="",$A1065&gt;TODAY()),0,IF(OR(INDEX($B1065:$D1065,AF$5)="F",AND(AF$6&gt;0,$A1065&lt;AF$6),AND(AF$7&gt;0,$A1065&gt;AF$7)),0,MAX(0,ROUND((INDEX($E1065:$G1065,AF$5)-SUMIFS(TF_Timer,TF_Tekniker,AF$4,TF_Dato,$A1065))*2,0)/2)))</f>
        <v/>
      </c>
      <c r="AG1065">
        <f>IF(OR(AG$4="",$A1065&gt;TODAY()),0,IF(OR(INDEX($B1065:$D1065,AG$5)="F",AND(AG$6&gt;0,$A1065&lt;AG$6),AND(AG$7&gt;0,$A1065&gt;AG$7)),0,MAX(0,ROUND((INDEX($E1065:$G1065,AG$5)-SUMIFS(TF_Timer,TF_Tekniker,AG$4,TF_Dato,$A1065))*2,0)/2)))</f>
        <v/>
      </c>
      <c r="AH1065">
        <f>IF(OR(AH$4="",$A1065&gt;TODAY()),0,IF(OR(INDEX($B1065:$D1065,AH$5)="F",AND(AH$6&gt;0,$A1065&lt;AH$6),AND(AH$7&gt;0,$A1065&gt;AH$7)),0,MAX(0,ROUND((INDEX($E1065:$G1065,AH$5)-SUMIFS(TF_Timer,TF_Tekniker,AH$4,TF_Dato,$A1065))*2,0)/2)))</f>
        <v/>
      </c>
      <c r="AI1065">
        <f>IF(OR(AI$4="",$A1065&gt;TODAY()),0,IF(OR(INDEX($B1065:$D1065,AI$5)="F",AND(AI$6&gt;0,$A1065&lt;AI$6),AND(AI$7&gt;0,$A1065&gt;AI$7)),0,MAX(0,ROUND((INDEX($E1065:$G1065,AI$5)-SUMIFS(TF_Timer,TF_Tekniker,AI$4,TF_Dato,$A1065))*2,0)/2)))</f>
        <v/>
      </c>
      <c r="AJ1065">
        <f>IF(OR(AJ$4="",$A1065&gt;TODAY()),0,IF(OR(INDEX($B1065:$D1065,AJ$5)="F",AND(AJ$6&gt;0,$A1065&lt;AJ$6),AND(AJ$7&gt;0,$A1065&gt;AJ$7)),0,MAX(0,ROUND((INDEX($E1065:$G1065,AJ$5)-SUMIFS(TF_Timer,TF_Tekniker,AJ$4,TF_Dato,$A1065))*2,0)/2)))</f>
        <v/>
      </c>
      <c r="AK1065">
        <f>IF(OR(AK$4="",$A1065&gt;TODAY()),0,IF(OR(INDEX($B1065:$D1065,AK$5)="F",AND(AK$6&gt;0,$A1065&lt;AK$6),AND(AK$7&gt;0,$A1065&gt;AK$7)),0,MAX(0,ROUND((INDEX($E1065:$G1065,AK$5)-SUMIFS(TF_Timer,TF_Tekniker,AK$4,TF_Dato,$A1065))*2,0)/2)))</f>
        <v/>
      </c>
      <c r="AL1065">
        <f>IF(OR(AL$4="",$A1065&gt;TODAY()),0,IF(OR(INDEX($B1065:$D1065,AL$5)="F",AND(AL$6&gt;0,$A1065&lt;AL$6),AND(AL$7&gt;0,$A1065&gt;AL$7)),0,MAX(0,ROUND((INDEX($E1065:$G1065,AL$5)-SUMIFS(TF_Timer,TF_Tekniker,AL$4,TF_Dato,$A1065))*2,0)/2)))</f>
        <v/>
      </c>
      <c r="AM1065">
        <f>IF(OR(AM$4="",$A1065&gt;TODAY()),0,IF(OR(INDEX($B1065:$D1065,AM$5)="F",AND(AM$6&gt;0,$A1065&lt;AM$6),AND(AM$7&gt;0,$A1065&gt;AM$7)),0,MAX(0,ROUND((INDEX($E1065:$G1065,AM$5)-SUMIFS(TF_Timer,TF_Tekniker,AM$4,TF_Dato,$A1065))*2,0)/2)))</f>
        <v/>
      </c>
      <c r="AN1065">
        <f>IF(OR(AN$4="",$A1065&gt;TODAY()),0,IF(OR(INDEX($B1065:$D1065,AN$5)="F",AND(AN$6&gt;0,$A1065&lt;AN$6),AND(AN$7&gt;0,$A1065&gt;AN$7)),0,MAX(0,ROUND((INDEX($E1065:$G1065,AN$5)-SUMIFS(TF_Timer,TF_Tekniker,AN$4,TF_Dato,$A1065))*2,0)/2)))</f>
        <v/>
      </c>
      <c r="AO1065">
        <f>IF(OR(AO$4="",$A1065&gt;TODAY()),0,IF(OR(INDEX($B1065:$D1065,AO$5)="F",AND(AO$6&gt;0,$A1065&lt;AO$6),AND(AO$7&gt;0,$A1065&gt;AO$7)),0,MAX(0,ROUND((INDEX($E1065:$G1065,AO$5)-SUMIFS(TF_Timer,TF_Tekniker,AO$4,TF_Dato,$A1065))*2,0)/2)))</f>
        <v/>
      </c>
      <c r="AP1065">
        <f>IF(OR(AP$4="",$A1065&gt;TODAY()),0,IF(OR(INDEX($B1065:$D1065,AP$5)="F",AND(AP$6&gt;0,$A1065&lt;AP$6),AND(AP$7&gt;0,$A1065&gt;AP$7)),0,MAX(0,ROUND((INDEX($E1065:$G1065,AP$5)-SUMIFS(TF_Timer,TF_Tekniker,AP$4,TF_Dato,$A1065))*2,0)/2)))</f>
        <v/>
      </c>
      <c r="AQ1065">
        <f>IF(OR(AQ$4="",$A1065&gt;TODAY()),0,IF(OR(INDEX($B1065:$D1065,AQ$5)="F",AND(AQ$6&gt;0,$A1065&lt;AQ$6),AND(AQ$7&gt;0,$A1065&gt;AQ$7)),0,MAX(0,ROUND((INDEX($E1065:$G1065,AQ$5)-SUMIFS(TF_Timer,TF_Tekniker,AQ$4,TF_Dato,$A1065))*2,0)/2)))</f>
        <v/>
      </c>
      <c r="AR1065">
        <f>IF(OR(AR$4="",$A1065&gt;TODAY()),0,IF(OR(INDEX($B1065:$D1065,AR$5)="F",AND(AR$6&gt;0,$A1065&lt;AR$6),AND(AR$7&gt;0,$A1065&gt;AR$7)),0,MAX(0,ROUND((INDEX($E1065:$G1065,AR$5)-SUMIFS(TF_Timer,TF_Tekniker,AR$4,TF_Dato,$A1065))*2,0)/2)))</f>
        <v/>
      </c>
      <c r="AS1065">
        <f>IF(OR(AS$4="",$A1065&gt;TODAY()),0,IF(OR(INDEX($B1065:$D1065,AS$5)="F",AND(AS$6&gt;0,$A1065&lt;AS$6),AND(AS$7&gt;0,$A1065&gt;AS$7)),0,MAX(0,ROUND((INDEX($E1065:$G1065,AS$5)-SUMIFS(TF_Timer,TF_Tekniker,AS$4,TF_Dato,$A1065))*2,0)/2)))</f>
        <v/>
      </c>
      <c r="AT1065">
        <f>IF(OR(AT$4="",$A1065&gt;TODAY()),0,IF(OR(INDEX($B1065:$D1065,AT$5)="F",AND(AT$6&gt;0,$A1065&lt;AT$6),AND(AT$7&gt;0,$A1065&gt;AT$7)),0,MAX(0,ROUND((INDEX($E1065:$G1065,AT$5)-SUMIFS(TF_Timer,TF_Tekniker,AT$4,TF_Dato,$A1065))*2,0)/2)))</f>
        <v/>
      </c>
      <c r="AU1065">
        <f>IF(OR(AU$4="",$A1065&gt;TODAY()),0,IF(OR(INDEX($B1065:$D1065,AU$5)="F",AND(AU$6&gt;0,$A1065&lt;AU$6),AND(AU$7&gt;0,$A1065&gt;AU$7)),0,MAX(0,ROUND((INDEX($E1065:$G1065,AU$5)-SUMIFS(TF_Timer,TF_Tekniker,AU$4,TF_Dato,$A1065))*2,0)/2)))</f>
        <v/>
      </c>
      <c r="AV1065">
        <f>IF(OR(AV$4="",$A1065&gt;TODAY()),0,IF(OR(INDEX($B1065:$D1065,AV$5)="F",AND(AV$6&gt;0,$A1065&lt;AV$6),AND(AV$7&gt;0,$A1065&gt;AV$7)),0,MAX(0,ROUND((INDEX($E1065:$G1065,AV$5)-SUMIFS(TF_Timer,TF_Tekniker,AV$4,TF_Dato,$A1065))*2,0)/2)))</f>
        <v/>
      </c>
      <c r="AW1065">
        <f>IF(OR(AW$4="",$A1065&gt;TODAY()),0,IF(OR(INDEX($B1065:$D1065,AW$5)="F",AND(AW$6&gt;0,$A1065&lt;AW$6),AND(AW$7&gt;0,$A1065&gt;AW$7)),0,MAX(0,ROUND((INDEX($E1065:$G1065,AW$5)-SUMIFS(TF_Timer,TF_Tekniker,AW$4,TF_Dato,$A1065))*2,0)/2)))</f>
        <v/>
      </c>
      <c r="AX1065">
        <f>IF(OR(AX$4="",$A1065&gt;TODAY()),0,IF(OR(INDEX($B1065:$D1065,AX$5)="F",AND(AX$6&gt;0,$A1065&lt;AX$6),AND(AX$7&gt;0,$A1065&gt;AX$7)),0,MAX(0,ROUND((INDEX($E1065:$G1065,AX$5)-SUMIFS(TF_Timer,TF_Tekniker,AX$4,TF_Dato,$A1065))*2,0)/2)))</f>
        <v/>
      </c>
      <c r="AY1065">
        <f>IF(OR(AY$4="",$A1065&gt;TODAY()),0,IF(OR(INDEX($B1065:$D1065,AY$5)="F",AND(AY$6&gt;0,$A1065&lt;AY$6),AND(AY$7&gt;0,$A1065&gt;AY$7)),0,MAX(0,ROUND((INDEX($E1065:$G1065,AY$5)-SUMIFS(TF_Timer,TF_Tekniker,AY$4,TF_Dato,$A1065))*2,0)/2)))</f>
        <v/>
      </c>
      <c r="AZ1065">
        <f>IF(OR(AZ$4="",$A1065&gt;TODAY()),0,IF(OR(INDEX($B1065:$D1065,AZ$5)="F",AND(AZ$6&gt;0,$A1065&lt;AZ$6),AND(AZ$7&gt;0,$A1065&gt;AZ$7)),0,MAX(0,ROUND((INDEX($E1065:$G1065,AZ$5)-SUMIFS(TF_Timer,TF_Tekniker,AZ$4,TF_Dato,$A1065))*2,0)/2)))</f>
        <v/>
      </c>
      <c r="BA1065">
        <f>IF(OR(BA$4="",$A1065&gt;TODAY()),0,IF(OR(INDEX($B1065:$D1065,BA$5)="F",AND(BA$6&gt;0,$A1065&lt;BA$6),AND(BA$7&gt;0,$A1065&gt;BA$7)),0,MAX(0,ROUND((INDEX($E1065:$G1065,BA$5)-SUMIFS(TF_Timer,TF_Tekniker,BA$4,TF_Dato,$A1065))*2,0)/2)))</f>
        <v/>
      </c>
      <c r="BB1065">
        <f>IF(OR(BB$4="",$A1065&gt;TODAY()),0,IF(OR(INDEX($B1065:$D1065,BB$5)="F",AND(BB$6&gt;0,$A1065&lt;BB$6),AND(BB$7&gt;0,$A1065&gt;BB$7)),0,MAX(0,ROUND((INDEX($E1065:$G1065,BB$5)-SUMIFS(TF_Timer,TF_Tekniker,BB$4,TF_Dato,$A1065))*2,0)/2)))</f>
        <v/>
      </c>
      <c r="BC1065">
        <f>IF(OR(BC$4="",$A1065&gt;TODAY()),0,IF(OR(INDEX($B1065:$D1065,BC$5)="F",AND(BC$6&gt;0,$A1065&lt;BC$6),AND(BC$7&gt;0,$A1065&gt;BC$7)),0,MAX(0,ROUND((INDEX($E1065:$G1065,BC$5)-SUMIFS(TF_Timer,TF_Tekniker,BC$4,TF_Dato,$A1065))*2,0)/2)))</f>
        <v/>
      </c>
      <c r="BD1065">
        <f>IF(OR(BD$4="",$A1065&gt;TODAY()),0,IF(OR(INDEX($B1065:$D1065,BD$5)="F",AND(BD$6&gt;0,$A1065&lt;BD$6),AND(BD$7&gt;0,$A1065&gt;BD$7)),0,MAX(0,ROUND((INDEX($E1065:$G1065,BD$5)-SUMIFS(TF_Timer,TF_Tekniker,BD$4,TF_Dato,$A1065))*2,0)/2)))</f>
        <v/>
      </c>
      <c r="BE1065">
        <f>IF(OR(BE$4="",$A1065&gt;TODAY()),0,IF(OR(INDEX($B1065:$D1065,BE$5)="F",AND(BE$6&gt;0,$A1065&lt;BE$6),AND(BE$7&gt;0,$A1065&gt;BE$7)),0,MAX(0,ROUND((INDEX($E1065:$G1065,BE$5)-SUMIFS(TF_Timer,TF_Tekniker,BE$4,TF_Dato,$A1065))*2,0)/2)))</f>
        <v/>
      </c>
      <c r="BF1065">
        <f>IF(OR(BF$4="",$A1065&gt;TODAY()),0,IF(OR(INDEX($B1065:$D1065,BF$5)="F",AND(BF$6&gt;0,$A1065&lt;BF$6),AND(BF$7&gt;0,$A1065&gt;BF$7)),0,MAX(0,ROUND((INDEX($E1065:$G1065,BF$5)-SUMIFS(TF_Timer,TF_Tekniker,BF$4,TF_Dato,$A1065))*2,0)/2)))</f>
        <v/>
      </c>
      <c r="BG1065">
        <f>IF(OR(BG$4="",$A1065&gt;TODAY()),0,IF(OR(INDEX($B1065:$D1065,BG$5)="F",AND(BG$6&gt;0,$A1065&lt;BG$6),AND(BG$7&gt;0,$A1065&gt;BG$7)),0,MAX(0,ROUND((INDEX($E1065:$G1065,BG$5)-SUMIFS(TF_Timer,TF_Tekniker,BG$4,TF_Dato,$A1065))*2,0)/2)))</f>
        <v/>
      </c>
      <c r="BH1065">
        <f>IF(OR(BH$4="",$A1065&gt;TODAY()),0,IF(OR(INDEX($B1065:$D1065,BH$5)="F",AND(BH$6&gt;0,$A1065&lt;BH$6),AND(BH$7&gt;0,$A1065&gt;BH$7)),0,MAX(0,ROUND((INDEX($E1065:$G1065,BH$5)-SUMIFS(TF_Timer,TF_Tekniker,BH$4,TF_Dato,$A1065))*2,0)/2)))</f>
        <v/>
      </c>
      <c r="BI1065">
        <f>IF(OR(BI$4="",$A1065&gt;TODAY()),0,IF(OR(INDEX($B1065:$D1065,BI$5)="F",AND(BI$6&gt;0,$A1065&lt;BI$6),AND(BI$7&gt;0,$A1065&gt;BI$7)),0,MAX(0,ROUND((INDEX($E1065:$G1065,BI$5)-SUMIFS(TF_Timer,TF_Tekniker,BI$4,TF_Dato,$A1065))*2,0)/2)))</f>
        <v/>
      </c>
    </row>
    <row r="1066">
      <c r="A1066" s="64">
        <f>A1065+1</f>
        <v/>
      </c>
      <c r="B1066">
        <f>IF(MOD($A1066-INDEX(SkiftStart,1),Syklus)&lt;DagK,"K",IF(MOD($A1066-INDEX(SkiftStart,1),Syklus)&lt;DagK+DagH,"H",IF(MOD($A1066-INDEX(SkiftStart,1),Syklus)&lt;DagK+DagH+DagD,"D","F")))</f>
        <v/>
      </c>
      <c r="C1066">
        <f>IF(MOD($A1066-INDEX(SkiftStart,2),Syklus)&lt;DagK,"K",IF(MOD($A1066-INDEX(SkiftStart,2),Syklus)&lt;DagK+DagH,"H",IF(MOD($A1066-INDEX(SkiftStart,2),Syklus)&lt;DagK+DagH+DagD,"D","F")))</f>
        <v/>
      </c>
      <c r="D1066">
        <f>IF(MOD($A1066-INDEX(SkiftStart,3),Syklus)&lt;DagK,"K",IF(MOD($A1066-INDEX(SkiftStart,3),Syklus)&lt;DagK+DagH,"H",IF(MOD($A1066-INDEX(SkiftStart,3),Syklus)&lt;DagK+DagH+DagD,"D","F")))</f>
        <v/>
      </c>
      <c r="E1066">
        <f>IF(B1066="F",0,IF(WEEKDAY($A1066,2)=5,INDEX(TimerFr,MATCH(B1066,FaseKode,0)),INDEX(TimerMT,MATCH(B1066,FaseKode,0))))</f>
        <v/>
      </c>
      <c r="F1066">
        <f>IF(C1066="F",0,IF(WEEKDAY($A1066,2)=5,INDEX(TimerFr,MATCH(C1066,FaseKode,0)),INDEX(TimerMT,MATCH(C1066,FaseKode,0))))</f>
        <v/>
      </c>
      <c r="G1066">
        <f>IF(D1066="F",0,IF(WEEKDAY($A1066,2)=5,INDEX(TimerFr,MATCH(D1066,FaseKode,0)),INDEX(TimerMT,MATCH(D1066,FaseKode,0))))</f>
        <v/>
      </c>
      <c r="H1066">
        <f>IF(OR(H$4="",$A1066&gt;TODAY()),0,IF(OR(INDEX($B1066:$D1066,H$5)="F",AND(H$6&gt;0,$A1066&lt;H$6),AND(H$7&gt;0,$A1066&gt;H$7)),0,MAX(0,ROUND((INDEX($E1066:$G1066,H$5)-SUMIFS(TF_Timer,TF_Tekniker,H$4,TF_Dato,$A1066))*2,0)/2)))</f>
        <v/>
      </c>
      <c r="I1066">
        <f>IF(OR(I$4="",$A1066&gt;TODAY()),0,IF(OR(INDEX($B1066:$D1066,I$5)="F",AND(I$6&gt;0,$A1066&lt;I$6),AND(I$7&gt;0,$A1066&gt;I$7)),0,MAX(0,ROUND((INDEX($E1066:$G1066,I$5)-SUMIFS(TF_Timer,TF_Tekniker,I$4,TF_Dato,$A1066))*2,0)/2)))</f>
        <v/>
      </c>
      <c r="J1066">
        <f>IF(OR(J$4="",$A1066&gt;TODAY()),0,IF(OR(INDEX($B1066:$D1066,J$5)="F",AND(J$6&gt;0,$A1066&lt;J$6),AND(J$7&gt;0,$A1066&gt;J$7)),0,MAX(0,ROUND((INDEX($E1066:$G1066,J$5)-SUMIFS(TF_Timer,TF_Tekniker,J$4,TF_Dato,$A1066))*2,0)/2)))</f>
        <v/>
      </c>
      <c r="K1066">
        <f>IF(OR(K$4="",$A1066&gt;TODAY()),0,IF(OR(INDEX($B1066:$D1066,K$5)="F",AND(K$6&gt;0,$A1066&lt;K$6),AND(K$7&gt;0,$A1066&gt;K$7)),0,MAX(0,ROUND((INDEX($E1066:$G1066,K$5)-SUMIFS(TF_Timer,TF_Tekniker,K$4,TF_Dato,$A1066))*2,0)/2)))</f>
        <v/>
      </c>
      <c r="L1066">
        <f>IF(OR(L$4="",$A1066&gt;TODAY()),0,IF(OR(INDEX($B1066:$D1066,L$5)="F",AND(L$6&gt;0,$A1066&lt;L$6),AND(L$7&gt;0,$A1066&gt;L$7)),0,MAX(0,ROUND((INDEX($E1066:$G1066,L$5)-SUMIFS(TF_Timer,TF_Tekniker,L$4,TF_Dato,$A1066))*2,0)/2)))</f>
        <v/>
      </c>
      <c r="M1066">
        <f>IF(OR(M$4="",$A1066&gt;TODAY()),0,IF(OR(INDEX($B1066:$D1066,M$5)="F",AND(M$6&gt;0,$A1066&lt;M$6),AND(M$7&gt;0,$A1066&gt;M$7)),0,MAX(0,ROUND((INDEX($E1066:$G1066,M$5)-SUMIFS(TF_Timer,TF_Tekniker,M$4,TF_Dato,$A1066))*2,0)/2)))</f>
        <v/>
      </c>
      <c r="N1066">
        <f>IF(OR(N$4="",$A1066&gt;TODAY()),0,IF(OR(INDEX($B1066:$D1066,N$5)="F",AND(N$6&gt;0,$A1066&lt;N$6),AND(N$7&gt;0,$A1066&gt;N$7)),0,MAX(0,ROUND((INDEX($E1066:$G1066,N$5)-SUMIFS(TF_Timer,TF_Tekniker,N$4,TF_Dato,$A1066))*2,0)/2)))</f>
        <v/>
      </c>
      <c r="O1066">
        <f>IF(OR(O$4="",$A1066&gt;TODAY()),0,IF(OR(INDEX($B1066:$D1066,O$5)="F",AND(O$6&gt;0,$A1066&lt;O$6),AND(O$7&gt;0,$A1066&gt;O$7)),0,MAX(0,ROUND((INDEX($E1066:$G1066,O$5)-SUMIFS(TF_Timer,TF_Tekniker,O$4,TF_Dato,$A1066))*2,0)/2)))</f>
        <v/>
      </c>
      <c r="P1066">
        <f>IF(OR(P$4="",$A1066&gt;TODAY()),0,IF(OR(INDEX($B1066:$D1066,P$5)="F",AND(P$6&gt;0,$A1066&lt;P$6),AND(P$7&gt;0,$A1066&gt;P$7)),0,MAX(0,ROUND((INDEX($E1066:$G1066,P$5)-SUMIFS(TF_Timer,TF_Tekniker,P$4,TF_Dato,$A1066))*2,0)/2)))</f>
        <v/>
      </c>
      <c r="Q1066">
        <f>IF(OR(Q$4="",$A1066&gt;TODAY()),0,IF(OR(INDEX($B1066:$D1066,Q$5)="F",AND(Q$6&gt;0,$A1066&lt;Q$6),AND(Q$7&gt;0,$A1066&gt;Q$7)),0,MAX(0,ROUND((INDEX($E1066:$G1066,Q$5)-SUMIFS(TF_Timer,TF_Tekniker,Q$4,TF_Dato,$A1066))*2,0)/2)))</f>
        <v/>
      </c>
      <c r="R1066">
        <f>IF(OR(R$4="",$A1066&gt;TODAY()),0,IF(OR(INDEX($B1066:$D1066,R$5)="F",AND(R$6&gt;0,$A1066&lt;R$6),AND(R$7&gt;0,$A1066&gt;R$7)),0,MAX(0,ROUND((INDEX($E1066:$G1066,R$5)-SUMIFS(TF_Timer,TF_Tekniker,R$4,TF_Dato,$A1066))*2,0)/2)))</f>
        <v/>
      </c>
      <c r="S1066">
        <f>IF(OR(S$4="",$A1066&gt;TODAY()),0,IF(OR(INDEX($B1066:$D1066,S$5)="F",AND(S$6&gt;0,$A1066&lt;S$6),AND(S$7&gt;0,$A1066&gt;S$7)),0,MAX(0,ROUND((INDEX($E1066:$G1066,S$5)-SUMIFS(TF_Timer,TF_Tekniker,S$4,TF_Dato,$A1066))*2,0)/2)))</f>
        <v/>
      </c>
      <c r="T1066">
        <f>IF(OR(T$4="",$A1066&gt;TODAY()),0,IF(OR(INDEX($B1066:$D1066,T$5)="F",AND(T$6&gt;0,$A1066&lt;T$6),AND(T$7&gt;0,$A1066&gt;T$7)),0,MAX(0,ROUND((INDEX($E1066:$G1066,T$5)-SUMIFS(TF_Timer,TF_Tekniker,T$4,TF_Dato,$A1066))*2,0)/2)))</f>
        <v/>
      </c>
      <c r="U1066">
        <f>IF(OR(U$4="",$A1066&gt;TODAY()),0,IF(OR(INDEX($B1066:$D1066,U$5)="F",AND(U$6&gt;0,$A1066&lt;U$6),AND(U$7&gt;0,$A1066&gt;U$7)),0,MAX(0,ROUND((INDEX($E1066:$G1066,U$5)-SUMIFS(TF_Timer,TF_Tekniker,U$4,TF_Dato,$A1066))*2,0)/2)))</f>
        <v/>
      </c>
      <c r="V1066">
        <f>IF(OR(V$4="",$A1066&gt;TODAY()),0,IF(OR(INDEX($B1066:$D1066,V$5)="F",AND(V$6&gt;0,$A1066&lt;V$6),AND(V$7&gt;0,$A1066&gt;V$7)),0,MAX(0,ROUND((INDEX($E1066:$G1066,V$5)-SUMIFS(TF_Timer,TF_Tekniker,V$4,TF_Dato,$A1066))*2,0)/2)))</f>
        <v/>
      </c>
      <c r="W1066">
        <f>IF(OR(W$4="",$A1066&gt;TODAY()),0,IF(OR(INDEX($B1066:$D1066,W$5)="F",AND(W$6&gt;0,$A1066&lt;W$6),AND(W$7&gt;0,$A1066&gt;W$7)),0,MAX(0,ROUND((INDEX($E1066:$G1066,W$5)-SUMIFS(TF_Timer,TF_Tekniker,W$4,TF_Dato,$A1066))*2,0)/2)))</f>
        <v/>
      </c>
      <c r="X1066">
        <f>IF(OR(X$4="",$A1066&gt;TODAY()),0,IF(OR(INDEX($B1066:$D1066,X$5)="F",AND(X$6&gt;0,$A1066&lt;X$6),AND(X$7&gt;0,$A1066&gt;X$7)),0,MAX(0,ROUND((INDEX($E1066:$G1066,X$5)-SUMIFS(TF_Timer,TF_Tekniker,X$4,TF_Dato,$A1066))*2,0)/2)))</f>
        <v/>
      </c>
      <c r="Y1066">
        <f>IF(OR(Y$4="",$A1066&gt;TODAY()),0,IF(OR(INDEX($B1066:$D1066,Y$5)="F",AND(Y$6&gt;0,$A1066&lt;Y$6),AND(Y$7&gt;0,$A1066&gt;Y$7)),0,MAX(0,ROUND((INDEX($E1066:$G1066,Y$5)-SUMIFS(TF_Timer,TF_Tekniker,Y$4,TF_Dato,$A1066))*2,0)/2)))</f>
        <v/>
      </c>
      <c r="Z1066">
        <f>IF(OR(Z$4="",$A1066&gt;TODAY()),0,IF(OR(INDEX($B1066:$D1066,Z$5)="F",AND(Z$6&gt;0,$A1066&lt;Z$6),AND(Z$7&gt;0,$A1066&gt;Z$7)),0,MAX(0,ROUND((INDEX($E1066:$G1066,Z$5)-SUMIFS(TF_Timer,TF_Tekniker,Z$4,TF_Dato,$A1066))*2,0)/2)))</f>
        <v/>
      </c>
      <c r="AA1066">
        <f>IF(OR(AA$4="",$A1066&gt;TODAY()),0,IF(OR(INDEX($B1066:$D1066,AA$5)="F",AND(AA$6&gt;0,$A1066&lt;AA$6),AND(AA$7&gt;0,$A1066&gt;AA$7)),0,MAX(0,ROUND((INDEX($E1066:$G1066,AA$5)-SUMIFS(TF_Timer,TF_Tekniker,AA$4,TF_Dato,$A1066))*2,0)/2)))</f>
        <v/>
      </c>
      <c r="AB1066">
        <f>IF(OR(AB$4="",$A1066&gt;TODAY()),0,IF(OR(INDEX($B1066:$D1066,AB$5)="F",AND(AB$6&gt;0,$A1066&lt;AB$6),AND(AB$7&gt;0,$A1066&gt;AB$7)),0,MAX(0,ROUND((INDEX($E1066:$G1066,AB$5)-SUMIFS(TF_Timer,TF_Tekniker,AB$4,TF_Dato,$A1066))*2,0)/2)))</f>
        <v/>
      </c>
      <c r="AC1066">
        <f>IF(OR(AC$4="",$A1066&gt;TODAY()),0,IF(OR(INDEX($B1066:$D1066,AC$5)="F",AND(AC$6&gt;0,$A1066&lt;AC$6),AND(AC$7&gt;0,$A1066&gt;AC$7)),0,MAX(0,ROUND((INDEX($E1066:$G1066,AC$5)-SUMIFS(TF_Timer,TF_Tekniker,AC$4,TF_Dato,$A1066))*2,0)/2)))</f>
        <v/>
      </c>
      <c r="AD1066">
        <f>IF(OR(AD$4="",$A1066&gt;TODAY()),0,IF(OR(INDEX($B1066:$D1066,AD$5)="F",AND(AD$6&gt;0,$A1066&lt;AD$6),AND(AD$7&gt;0,$A1066&gt;AD$7)),0,MAX(0,ROUND((INDEX($E1066:$G1066,AD$5)-SUMIFS(TF_Timer,TF_Tekniker,AD$4,TF_Dato,$A1066))*2,0)/2)))</f>
        <v/>
      </c>
      <c r="AE1066">
        <f>IF(OR(AE$4="",$A1066&gt;TODAY()),0,IF(OR(INDEX($B1066:$D1066,AE$5)="F",AND(AE$6&gt;0,$A1066&lt;AE$6),AND(AE$7&gt;0,$A1066&gt;AE$7)),0,MAX(0,ROUND((INDEX($E1066:$G1066,AE$5)-SUMIFS(TF_Timer,TF_Tekniker,AE$4,TF_Dato,$A1066))*2,0)/2)))</f>
        <v/>
      </c>
      <c r="AF1066">
        <f>IF(OR(AF$4="",$A1066&gt;TODAY()),0,IF(OR(INDEX($B1066:$D1066,AF$5)="F",AND(AF$6&gt;0,$A1066&lt;AF$6),AND(AF$7&gt;0,$A1066&gt;AF$7)),0,MAX(0,ROUND((INDEX($E1066:$G1066,AF$5)-SUMIFS(TF_Timer,TF_Tekniker,AF$4,TF_Dato,$A1066))*2,0)/2)))</f>
        <v/>
      </c>
      <c r="AG1066">
        <f>IF(OR(AG$4="",$A1066&gt;TODAY()),0,IF(OR(INDEX($B1066:$D1066,AG$5)="F",AND(AG$6&gt;0,$A1066&lt;AG$6),AND(AG$7&gt;0,$A1066&gt;AG$7)),0,MAX(0,ROUND((INDEX($E1066:$G1066,AG$5)-SUMIFS(TF_Timer,TF_Tekniker,AG$4,TF_Dato,$A1066))*2,0)/2)))</f>
        <v/>
      </c>
      <c r="AH1066">
        <f>IF(OR(AH$4="",$A1066&gt;TODAY()),0,IF(OR(INDEX($B1066:$D1066,AH$5)="F",AND(AH$6&gt;0,$A1066&lt;AH$6),AND(AH$7&gt;0,$A1066&gt;AH$7)),0,MAX(0,ROUND((INDEX($E1066:$G1066,AH$5)-SUMIFS(TF_Timer,TF_Tekniker,AH$4,TF_Dato,$A1066))*2,0)/2)))</f>
        <v/>
      </c>
      <c r="AI1066">
        <f>IF(OR(AI$4="",$A1066&gt;TODAY()),0,IF(OR(INDEX($B1066:$D1066,AI$5)="F",AND(AI$6&gt;0,$A1066&lt;AI$6),AND(AI$7&gt;0,$A1066&gt;AI$7)),0,MAX(0,ROUND((INDEX($E1066:$G1066,AI$5)-SUMIFS(TF_Timer,TF_Tekniker,AI$4,TF_Dato,$A1066))*2,0)/2)))</f>
        <v/>
      </c>
      <c r="AJ1066">
        <f>IF(OR(AJ$4="",$A1066&gt;TODAY()),0,IF(OR(INDEX($B1066:$D1066,AJ$5)="F",AND(AJ$6&gt;0,$A1066&lt;AJ$6),AND(AJ$7&gt;0,$A1066&gt;AJ$7)),0,MAX(0,ROUND((INDEX($E1066:$G1066,AJ$5)-SUMIFS(TF_Timer,TF_Tekniker,AJ$4,TF_Dato,$A1066))*2,0)/2)))</f>
        <v/>
      </c>
      <c r="AK1066">
        <f>IF(OR(AK$4="",$A1066&gt;TODAY()),0,IF(OR(INDEX($B1066:$D1066,AK$5)="F",AND(AK$6&gt;0,$A1066&lt;AK$6),AND(AK$7&gt;0,$A1066&gt;AK$7)),0,MAX(0,ROUND((INDEX($E1066:$G1066,AK$5)-SUMIFS(TF_Timer,TF_Tekniker,AK$4,TF_Dato,$A1066))*2,0)/2)))</f>
        <v/>
      </c>
      <c r="AL1066">
        <f>IF(OR(AL$4="",$A1066&gt;TODAY()),0,IF(OR(INDEX($B1066:$D1066,AL$5)="F",AND(AL$6&gt;0,$A1066&lt;AL$6),AND(AL$7&gt;0,$A1066&gt;AL$7)),0,MAX(0,ROUND((INDEX($E1066:$G1066,AL$5)-SUMIFS(TF_Timer,TF_Tekniker,AL$4,TF_Dato,$A1066))*2,0)/2)))</f>
        <v/>
      </c>
      <c r="AM1066">
        <f>IF(OR(AM$4="",$A1066&gt;TODAY()),0,IF(OR(INDEX($B1066:$D1066,AM$5)="F",AND(AM$6&gt;0,$A1066&lt;AM$6),AND(AM$7&gt;0,$A1066&gt;AM$7)),0,MAX(0,ROUND((INDEX($E1066:$G1066,AM$5)-SUMIFS(TF_Timer,TF_Tekniker,AM$4,TF_Dato,$A1066))*2,0)/2)))</f>
        <v/>
      </c>
      <c r="AN1066">
        <f>IF(OR(AN$4="",$A1066&gt;TODAY()),0,IF(OR(INDEX($B1066:$D1066,AN$5)="F",AND(AN$6&gt;0,$A1066&lt;AN$6),AND(AN$7&gt;0,$A1066&gt;AN$7)),0,MAX(0,ROUND((INDEX($E1066:$G1066,AN$5)-SUMIFS(TF_Timer,TF_Tekniker,AN$4,TF_Dato,$A1066))*2,0)/2)))</f>
        <v/>
      </c>
      <c r="AO1066">
        <f>IF(OR(AO$4="",$A1066&gt;TODAY()),0,IF(OR(INDEX($B1066:$D1066,AO$5)="F",AND(AO$6&gt;0,$A1066&lt;AO$6),AND(AO$7&gt;0,$A1066&gt;AO$7)),0,MAX(0,ROUND((INDEX($E1066:$G1066,AO$5)-SUMIFS(TF_Timer,TF_Tekniker,AO$4,TF_Dato,$A1066))*2,0)/2)))</f>
        <v/>
      </c>
      <c r="AP1066">
        <f>IF(OR(AP$4="",$A1066&gt;TODAY()),0,IF(OR(INDEX($B1066:$D1066,AP$5)="F",AND(AP$6&gt;0,$A1066&lt;AP$6),AND(AP$7&gt;0,$A1066&gt;AP$7)),0,MAX(0,ROUND((INDEX($E1066:$G1066,AP$5)-SUMIFS(TF_Timer,TF_Tekniker,AP$4,TF_Dato,$A1066))*2,0)/2)))</f>
        <v/>
      </c>
      <c r="AQ1066">
        <f>IF(OR(AQ$4="",$A1066&gt;TODAY()),0,IF(OR(INDEX($B1066:$D1066,AQ$5)="F",AND(AQ$6&gt;0,$A1066&lt;AQ$6),AND(AQ$7&gt;0,$A1066&gt;AQ$7)),0,MAX(0,ROUND((INDEX($E1066:$G1066,AQ$5)-SUMIFS(TF_Timer,TF_Tekniker,AQ$4,TF_Dato,$A1066))*2,0)/2)))</f>
        <v/>
      </c>
      <c r="AR1066">
        <f>IF(OR(AR$4="",$A1066&gt;TODAY()),0,IF(OR(INDEX($B1066:$D1066,AR$5)="F",AND(AR$6&gt;0,$A1066&lt;AR$6),AND(AR$7&gt;0,$A1066&gt;AR$7)),0,MAX(0,ROUND((INDEX($E1066:$G1066,AR$5)-SUMIFS(TF_Timer,TF_Tekniker,AR$4,TF_Dato,$A1066))*2,0)/2)))</f>
        <v/>
      </c>
      <c r="AS1066">
        <f>IF(OR(AS$4="",$A1066&gt;TODAY()),0,IF(OR(INDEX($B1066:$D1066,AS$5)="F",AND(AS$6&gt;0,$A1066&lt;AS$6),AND(AS$7&gt;0,$A1066&gt;AS$7)),0,MAX(0,ROUND((INDEX($E1066:$G1066,AS$5)-SUMIFS(TF_Timer,TF_Tekniker,AS$4,TF_Dato,$A1066))*2,0)/2)))</f>
        <v/>
      </c>
      <c r="AT1066">
        <f>IF(OR(AT$4="",$A1066&gt;TODAY()),0,IF(OR(INDEX($B1066:$D1066,AT$5)="F",AND(AT$6&gt;0,$A1066&lt;AT$6),AND(AT$7&gt;0,$A1066&gt;AT$7)),0,MAX(0,ROUND((INDEX($E1066:$G1066,AT$5)-SUMIFS(TF_Timer,TF_Tekniker,AT$4,TF_Dato,$A1066))*2,0)/2)))</f>
        <v/>
      </c>
      <c r="AU1066">
        <f>IF(OR(AU$4="",$A1066&gt;TODAY()),0,IF(OR(INDEX($B1066:$D1066,AU$5)="F",AND(AU$6&gt;0,$A1066&lt;AU$6),AND(AU$7&gt;0,$A1066&gt;AU$7)),0,MAX(0,ROUND((INDEX($E1066:$G1066,AU$5)-SUMIFS(TF_Timer,TF_Tekniker,AU$4,TF_Dato,$A1066))*2,0)/2)))</f>
        <v/>
      </c>
      <c r="AV1066">
        <f>IF(OR(AV$4="",$A1066&gt;TODAY()),0,IF(OR(INDEX($B1066:$D1066,AV$5)="F",AND(AV$6&gt;0,$A1066&lt;AV$6),AND(AV$7&gt;0,$A1066&gt;AV$7)),0,MAX(0,ROUND((INDEX($E1066:$G1066,AV$5)-SUMIFS(TF_Timer,TF_Tekniker,AV$4,TF_Dato,$A1066))*2,0)/2)))</f>
        <v/>
      </c>
      <c r="AW1066">
        <f>IF(OR(AW$4="",$A1066&gt;TODAY()),0,IF(OR(INDEX($B1066:$D1066,AW$5)="F",AND(AW$6&gt;0,$A1066&lt;AW$6),AND(AW$7&gt;0,$A1066&gt;AW$7)),0,MAX(0,ROUND((INDEX($E1066:$G1066,AW$5)-SUMIFS(TF_Timer,TF_Tekniker,AW$4,TF_Dato,$A1066))*2,0)/2)))</f>
        <v/>
      </c>
      <c r="AX1066">
        <f>IF(OR(AX$4="",$A1066&gt;TODAY()),0,IF(OR(INDEX($B1066:$D1066,AX$5)="F",AND(AX$6&gt;0,$A1066&lt;AX$6),AND(AX$7&gt;0,$A1066&gt;AX$7)),0,MAX(0,ROUND((INDEX($E1066:$G1066,AX$5)-SUMIFS(TF_Timer,TF_Tekniker,AX$4,TF_Dato,$A1066))*2,0)/2)))</f>
        <v/>
      </c>
      <c r="AY1066">
        <f>IF(OR(AY$4="",$A1066&gt;TODAY()),0,IF(OR(INDEX($B1066:$D1066,AY$5)="F",AND(AY$6&gt;0,$A1066&lt;AY$6),AND(AY$7&gt;0,$A1066&gt;AY$7)),0,MAX(0,ROUND((INDEX($E1066:$G1066,AY$5)-SUMIFS(TF_Timer,TF_Tekniker,AY$4,TF_Dato,$A1066))*2,0)/2)))</f>
        <v/>
      </c>
      <c r="AZ1066">
        <f>IF(OR(AZ$4="",$A1066&gt;TODAY()),0,IF(OR(INDEX($B1066:$D1066,AZ$5)="F",AND(AZ$6&gt;0,$A1066&lt;AZ$6),AND(AZ$7&gt;0,$A1066&gt;AZ$7)),0,MAX(0,ROUND((INDEX($E1066:$G1066,AZ$5)-SUMIFS(TF_Timer,TF_Tekniker,AZ$4,TF_Dato,$A1066))*2,0)/2)))</f>
        <v/>
      </c>
      <c r="BA1066">
        <f>IF(OR(BA$4="",$A1066&gt;TODAY()),0,IF(OR(INDEX($B1066:$D1066,BA$5)="F",AND(BA$6&gt;0,$A1066&lt;BA$6),AND(BA$7&gt;0,$A1066&gt;BA$7)),0,MAX(0,ROUND((INDEX($E1066:$G1066,BA$5)-SUMIFS(TF_Timer,TF_Tekniker,BA$4,TF_Dato,$A1066))*2,0)/2)))</f>
        <v/>
      </c>
      <c r="BB1066">
        <f>IF(OR(BB$4="",$A1066&gt;TODAY()),0,IF(OR(INDEX($B1066:$D1066,BB$5)="F",AND(BB$6&gt;0,$A1066&lt;BB$6),AND(BB$7&gt;0,$A1066&gt;BB$7)),0,MAX(0,ROUND((INDEX($E1066:$G1066,BB$5)-SUMIFS(TF_Timer,TF_Tekniker,BB$4,TF_Dato,$A1066))*2,0)/2)))</f>
        <v/>
      </c>
      <c r="BC1066">
        <f>IF(OR(BC$4="",$A1066&gt;TODAY()),0,IF(OR(INDEX($B1066:$D1066,BC$5)="F",AND(BC$6&gt;0,$A1066&lt;BC$6),AND(BC$7&gt;0,$A1066&gt;BC$7)),0,MAX(0,ROUND((INDEX($E1066:$G1066,BC$5)-SUMIFS(TF_Timer,TF_Tekniker,BC$4,TF_Dato,$A1066))*2,0)/2)))</f>
        <v/>
      </c>
      <c r="BD1066">
        <f>IF(OR(BD$4="",$A1066&gt;TODAY()),0,IF(OR(INDEX($B1066:$D1066,BD$5)="F",AND(BD$6&gt;0,$A1066&lt;BD$6),AND(BD$7&gt;0,$A1066&gt;BD$7)),0,MAX(0,ROUND((INDEX($E1066:$G1066,BD$5)-SUMIFS(TF_Timer,TF_Tekniker,BD$4,TF_Dato,$A1066))*2,0)/2)))</f>
        <v/>
      </c>
      <c r="BE1066">
        <f>IF(OR(BE$4="",$A1066&gt;TODAY()),0,IF(OR(INDEX($B1066:$D1066,BE$5)="F",AND(BE$6&gt;0,$A1066&lt;BE$6),AND(BE$7&gt;0,$A1066&gt;BE$7)),0,MAX(0,ROUND((INDEX($E1066:$G1066,BE$5)-SUMIFS(TF_Timer,TF_Tekniker,BE$4,TF_Dato,$A1066))*2,0)/2)))</f>
        <v/>
      </c>
      <c r="BF1066">
        <f>IF(OR(BF$4="",$A1066&gt;TODAY()),0,IF(OR(INDEX($B1066:$D1066,BF$5)="F",AND(BF$6&gt;0,$A1066&lt;BF$6),AND(BF$7&gt;0,$A1066&gt;BF$7)),0,MAX(0,ROUND((INDEX($E1066:$G1066,BF$5)-SUMIFS(TF_Timer,TF_Tekniker,BF$4,TF_Dato,$A1066))*2,0)/2)))</f>
        <v/>
      </c>
      <c r="BG1066">
        <f>IF(OR(BG$4="",$A1066&gt;TODAY()),0,IF(OR(INDEX($B1066:$D1066,BG$5)="F",AND(BG$6&gt;0,$A1066&lt;BG$6),AND(BG$7&gt;0,$A1066&gt;BG$7)),0,MAX(0,ROUND((INDEX($E1066:$G1066,BG$5)-SUMIFS(TF_Timer,TF_Tekniker,BG$4,TF_Dato,$A1066))*2,0)/2)))</f>
        <v/>
      </c>
      <c r="BH1066">
        <f>IF(OR(BH$4="",$A1066&gt;TODAY()),0,IF(OR(INDEX($B1066:$D1066,BH$5)="F",AND(BH$6&gt;0,$A1066&lt;BH$6),AND(BH$7&gt;0,$A1066&gt;BH$7)),0,MAX(0,ROUND((INDEX($E1066:$G1066,BH$5)-SUMIFS(TF_Timer,TF_Tekniker,BH$4,TF_Dato,$A1066))*2,0)/2)))</f>
        <v/>
      </c>
      <c r="BI1066">
        <f>IF(OR(BI$4="",$A1066&gt;TODAY()),0,IF(OR(INDEX($B1066:$D1066,BI$5)="F",AND(BI$6&gt;0,$A1066&lt;BI$6),AND(BI$7&gt;0,$A1066&gt;BI$7)),0,MAX(0,ROUND((INDEX($E1066:$G1066,BI$5)-SUMIFS(TF_Timer,TF_Tekniker,BI$4,TF_Dato,$A1066))*2,0)/2)))</f>
        <v/>
      </c>
    </row>
    <row r="1067">
      <c r="A1067" s="64">
        <f>A1066+1</f>
        <v/>
      </c>
      <c r="B1067">
        <f>IF(MOD($A1067-INDEX(SkiftStart,1),Syklus)&lt;DagK,"K",IF(MOD($A1067-INDEX(SkiftStart,1),Syklus)&lt;DagK+DagH,"H",IF(MOD($A1067-INDEX(SkiftStart,1),Syklus)&lt;DagK+DagH+DagD,"D","F")))</f>
        <v/>
      </c>
      <c r="C1067">
        <f>IF(MOD($A1067-INDEX(SkiftStart,2),Syklus)&lt;DagK,"K",IF(MOD($A1067-INDEX(SkiftStart,2),Syklus)&lt;DagK+DagH,"H",IF(MOD($A1067-INDEX(SkiftStart,2),Syklus)&lt;DagK+DagH+DagD,"D","F")))</f>
        <v/>
      </c>
      <c r="D1067">
        <f>IF(MOD($A1067-INDEX(SkiftStart,3),Syklus)&lt;DagK,"K",IF(MOD($A1067-INDEX(SkiftStart,3),Syklus)&lt;DagK+DagH,"H",IF(MOD($A1067-INDEX(SkiftStart,3),Syklus)&lt;DagK+DagH+DagD,"D","F")))</f>
        <v/>
      </c>
      <c r="E1067">
        <f>IF(B1067="F",0,IF(WEEKDAY($A1067,2)=5,INDEX(TimerFr,MATCH(B1067,FaseKode,0)),INDEX(TimerMT,MATCH(B1067,FaseKode,0))))</f>
        <v/>
      </c>
      <c r="F1067">
        <f>IF(C1067="F",0,IF(WEEKDAY($A1067,2)=5,INDEX(TimerFr,MATCH(C1067,FaseKode,0)),INDEX(TimerMT,MATCH(C1067,FaseKode,0))))</f>
        <v/>
      </c>
      <c r="G1067">
        <f>IF(D1067="F",0,IF(WEEKDAY($A1067,2)=5,INDEX(TimerFr,MATCH(D1067,FaseKode,0)),INDEX(TimerMT,MATCH(D1067,FaseKode,0))))</f>
        <v/>
      </c>
      <c r="H1067">
        <f>IF(OR(H$4="",$A1067&gt;TODAY()),0,IF(OR(INDEX($B1067:$D1067,H$5)="F",AND(H$6&gt;0,$A1067&lt;H$6),AND(H$7&gt;0,$A1067&gt;H$7)),0,MAX(0,ROUND((INDEX($E1067:$G1067,H$5)-SUMIFS(TF_Timer,TF_Tekniker,H$4,TF_Dato,$A1067))*2,0)/2)))</f>
        <v/>
      </c>
      <c r="I1067">
        <f>IF(OR(I$4="",$A1067&gt;TODAY()),0,IF(OR(INDEX($B1067:$D1067,I$5)="F",AND(I$6&gt;0,$A1067&lt;I$6),AND(I$7&gt;0,$A1067&gt;I$7)),0,MAX(0,ROUND((INDEX($E1067:$G1067,I$5)-SUMIFS(TF_Timer,TF_Tekniker,I$4,TF_Dato,$A1067))*2,0)/2)))</f>
        <v/>
      </c>
      <c r="J1067">
        <f>IF(OR(J$4="",$A1067&gt;TODAY()),0,IF(OR(INDEX($B1067:$D1067,J$5)="F",AND(J$6&gt;0,$A1067&lt;J$6),AND(J$7&gt;0,$A1067&gt;J$7)),0,MAX(0,ROUND((INDEX($E1067:$G1067,J$5)-SUMIFS(TF_Timer,TF_Tekniker,J$4,TF_Dato,$A1067))*2,0)/2)))</f>
        <v/>
      </c>
      <c r="K1067">
        <f>IF(OR(K$4="",$A1067&gt;TODAY()),0,IF(OR(INDEX($B1067:$D1067,K$5)="F",AND(K$6&gt;0,$A1067&lt;K$6),AND(K$7&gt;0,$A1067&gt;K$7)),0,MAX(0,ROUND((INDEX($E1067:$G1067,K$5)-SUMIFS(TF_Timer,TF_Tekniker,K$4,TF_Dato,$A1067))*2,0)/2)))</f>
        <v/>
      </c>
      <c r="L1067">
        <f>IF(OR(L$4="",$A1067&gt;TODAY()),0,IF(OR(INDEX($B1067:$D1067,L$5)="F",AND(L$6&gt;0,$A1067&lt;L$6),AND(L$7&gt;0,$A1067&gt;L$7)),0,MAX(0,ROUND((INDEX($E1067:$G1067,L$5)-SUMIFS(TF_Timer,TF_Tekniker,L$4,TF_Dato,$A1067))*2,0)/2)))</f>
        <v/>
      </c>
      <c r="M1067">
        <f>IF(OR(M$4="",$A1067&gt;TODAY()),0,IF(OR(INDEX($B1067:$D1067,M$5)="F",AND(M$6&gt;0,$A1067&lt;M$6),AND(M$7&gt;0,$A1067&gt;M$7)),0,MAX(0,ROUND((INDEX($E1067:$G1067,M$5)-SUMIFS(TF_Timer,TF_Tekniker,M$4,TF_Dato,$A1067))*2,0)/2)))</f>
        <v/>
      </c>
      <c r="N1067">
        <f>IF(OR(N$4="",$A1067&gt;TODAY()),0,IF(OR(INDEX($B1067:$D1067,N$5)="F",AND(N$6&gt;0,$A1067&lt;N$6),AND(N$7&gt;0,$A1067&gt;N$7)),0,MAX(0,ROUND((INDEX($E1067:$G1067,N$5)-SUMIFS(TF_Timer,TF_Tekniker,N$4,TF_Dato,$A1067))*2,0)/2)))</f>
        <v/>
      </c>
      <c r="O1067">
        <f>IF(OR(O$4="",$A1067&gt;TODAY()),0,IF(OR(INDEX($B1067:$D1067,O$5)="F",AND(O$6&gt;0,$A1067&lt;O$6),AND(O$7&gt;0,$A1067&gt;O$7)),0,MAX(0,ROUND((INDEX($E1067:$G1067,O$5)-SUMIFS(TF_Timer,TF_Tekniker,O$4,TF_Dato,$A1067))*2,0)/2)))</f>
        <v/>
      </c>
      <c r="P1067">
        <f>IF(OR(P$4="",$A1067&gt;TODAY()),0,IF(OR(INDEX($B1067:$D1067,P$5)="F",AND(P$6&gt;0,$A1067&lt;P$6),AND(P$7&gt;0,$A1067&gt;P$7)),0,MAX(0,ROUND((INDEX($E1067:$G1067,P$5)-SUMIFS(TF_Timer,TF_Tekniker,P$4,TF_Dato,$A1067))*2,0)/2)))</f>
        <v/>
      </c>
      <c r="Q1067">
        <f>IF(OR(Q$4="",$A1067&gt;TODAY()),0,IF(OR(INDEX($B1067:$D1067,Q$5)="F",AND(Q$6&gt;0,$A1067&lt;Q$6),AND(Q$7&gt;0,$A1067&gt;Q$7)),0,MAX(0,ROUND((INDEX($E1067:$G1067,Q$5)-SUMIFS(TF_Timer,TF_Tekniker,Q$4,TF_Dato,$A1067))*2,0)/2)))</f>
        <v/>
      </c>
      <c r="R1067">
        <f>IF(OR(R$4="",$A1067&gt;TODAY()),0,IF(OR(INDEX($B1067:$D1067,R$5)="F",AND(R$6&gt;0,$A1067&lt;R$6),AND(R$7&gt;0,$A1067&gt;R$7)),0,MAX(0,ROUND((INDEX($E1067:$G1067,R$5)-SUMIFS(TF_Timer,TF_Tekniker,R$4,TF_Dato,$A1067))*2,0)/2)))</f>
        <v/>
      </c>
      <c r="S1067">
        <f>IF(OR(S$4="",$A1067&gt;TODAY()),0,IF(OR(INDEX($B1067:$D1067,S$5)="F",AND(S$6&gt;0,$A1067&lt;S$6),AND(S$7&gt;0,$A1067&gt;S$7)),0,MAX(0,ROUND((INDEX($E1067:$G1067,S$5)-SUMIFS(TF_Timer,TF_Tekniker,S$4,TF_Dato,$A1067))*2,0)/2)))</f>
        <v/>
      </c>
      <c r="T1067">
        <f>IF(OR(T$4="",$A1067&gt;TODAY()),0,IF(OR(INDEX($B1067:$D1067,T$5)="F",AND(T$6&gt;0,$A1067&lt;T$6),AND(T$7&gt;0,$A1067&gt;T$7)),0,MAX(0,ROUND((INDEX($E1067:$G1067,T$5)-SUMIFS(TF_Timer,TF_Tekniker,T$4,TF_Dato,$A1067))*2,0)/2)))</f>
        <v/>
      </c>
      <c r="U1067">
        <f>IF(OR(U$4="",$A1067&gt;TODAY()),0,IF(OR(INDEX($B1067:$D1067,U$5)="F",AND(U$6&gt;0,$A1067&lt;U$6),AND(U$7&gt;0,$A1067&gt;U$7)),0,MAX(0,ROUND((INDEX($E1067:$G1067,U$5)-SUMIFS(TF_Timer,TF_Tekniker,U$4,TF_Dato,$A1067))*2,0)/2)))</f>
        <v/>
      </c>
      <c r="V1067">
        <f>IF(OR(V$4="",$A1067&gt;TODAY()),0,IF(OR(INDEX($B1067:$D1067,V$5)="F",AND(V$6&gt;0,$A1067&lt;V$6),AND(V$7&gt;0,$A1067&gt;V$7)),0,MAX(0,ROUND((INDEX($E1067:$G1067,V$5)-SUMIFS(TF_Timer,TF_Tekniker,V$4,TF_Dato,$A1067))*2,0)/2)))</f>
        <v/>
      </c>
      <c r="W1067">
        <f>IF(OR(W$4="",$A1067&gt;TODAY()),0,IF(OR(INDEX($B1067:$D1067,W$5)="F",AND(W$6&gt;0,$A1067&lt;W$6),AND(W$7&gt;0,$A1067&gt;W$7)),0,MAX(0,ROUND((INDEX($E1067:$G1067,W$5)-SUMIFS(TF_Timer,TF_Tekniker,W$4,TF_Dato,$A1067))*2,0)/2)))</f>
        <v/>
      </c>
      <c r="X1067">
        <f>IF(OR(X$4="",$A1067&gt;TODAY()),0,IF(OR(INDEX($B1067:$D1067,X$5)="F",AND(X$6&gt;0,$A1067&lt;X$6),AND(X$7&gt;0,$A1067&gt;X$7)),0,MAX(0,ROUND((INDEX($E1067:$G1067,X$5)-SUMIFS(TF_Timer,TF_Tekniker,X$4,TF_Dato,$A1067))*2,0)/2)))</f>
        <v/>
      </c>
      <c r="Y1067">
        <f>IF(OR(Y$4="",$A1067&gt;TODAY()),0,IF(OR(INDEX($B1067:$D1067,Y$5)="F",AND(Y$6&gt;0,$A1067&lt;Y$6),AND(Y$7&gt;0,$A1067&gt;Y$7)),0,MAX(0,ROUND((INDEX($E1067:$G1067,Y$5)-SUMIFS(TF_Timer,TF_Tekniker,Y$4,TF_Dato,$A1067))*2,0)/2)))</f>
        <v/>
      </c>
      <c r="Z1067">
        <f>IF(OR(Z$4="",$A1067&gt;TODAY()),0,IF(OR(INDEX($B1067:$D1067,Z$5)="F",AND(Z$6&gt;0,$A1067&lt;Z$6),AND(Z$7&gt;0,$A1067&gt;Z$7)),0,MAX(0,ROUND((INDEX($E1067:$G1067,Z$5)-SUMIFS(TF_Timer,TF_Tekniker,Z$4,TF_Dato,$A1067))*2,0)/2)))</f>
        <v/>
      </c>
      <c r="AA1067">
        <f>IF(OR(AA$4="",$A1067&gt;TODAY()),0,IF(OR(INDEX($B1067:$D1067,AA$5)="F",AND(AA$6&gt;0,$A1067&lt;AA$6),AND(AA$7&gt;0,$A1067&gt;AA$7)),0,MAX(0,ROUND((INDEX($E1067:$G1067,AA$5)-SUMIFS(TF_Timer,TF_Tekniker,AA$4,TF_Dato,$A1067))*2,0)/2)))</f>
        <v/>
      </c>
      <c r="AB1067">
        <f>IF(OR(AB$4="",$A1067&gt;TODAY()),0,IF(OR(INDEX($B1067:$D1067,AB$5)="F",AND(AB$6&gt;0,$A1067&lt;AB$6),AND(AB$7&gt;0,$A1067&gt;AB$7)),0,MAX(0,ROUND((INDEX($E1067:$G1067,AB$5)-SUMIFS(TF_Timer,TF_Tekniker,AB$4,TF_Dato,$A1067))*2,0)/2)))</f>
        <v/>
      </c>
      <c r="AC1067">
        <f>IF(OR(AC$4="",$A1067&gt;TODAY()),0,IF(OR(INDEX($B1067:$D1067,AC$5)="F",AND(AC$6&gt;0,$A1067&lt;AC$6),AND(AC$7&gt;0,$A1067&gt;AC$7)),0,MAX(0,ROUND((INDEX($E1067:$G1067,AC$5)-SUMIFS(TF_Timer,TF_Tekniker,AC$4,TF_Dato,$A1067))*2,0)/2)))</f>
        <v/>
      </c>
      <c r="AD1067">
        <f>IF(OR(AD$4="",$A1067&gt;TODAY()),0,IF(OR(INDEX($B1067:$D1067,AD$5)="F",AND(AD$6&gt;0,$A1067&lt;AD$6),AND(AD$7&gt;0,$A1067&gt;AD$7)),0,MAX(0,ROUND((INDEX($E1067:$G1067,AD$5)-SUMIFS(TF_Timer,TF_Tekniker,AD$4,TF_Dato,$A1067))*2,0)/2)))</f>
        <v/>
      </c>
      <c r="AE1067">
        <f>IF(OR(AE$4="",$A1067&gt;TODAY()),0,IF(OR(INDEX($B1067:$D1067,AE$5)="F",AND(AE$6&gt;0,$A1067&lt;AE$6),AND(AE$7&gt;0,$A1067&gt;AE$7)),0,MAX(0,ROUND((INDEX($E1067:$G1067,AE$5)-SUMIFS(TF_Timer,TF_Tekniker,AE$4,TF_Dato,$A1067))*2,0)/2)))</f>
        <v/>
      </c>
      <c r="AF1067">
        <f>IF(OR(AF$4="",$A1067&gt;TODAY()),0,IF(OR(INDEX($B1067:$D1067,AF$5)="F",AND(AF$6&gt;0,$A1067&lt;AF$6),AND(AF$7&gt;0,$A1067&gt;AF$7)),0,MAX(0,ROUND((INDEX($E1067:$G1067,AF$5)-SUMIFS(TF_Timer,TF_Tekniker,AF$4,TF_Dato,$A1067))*2,0)/2)))</f>
        <v/>
      </c>
      <c r="AG1067">
        <f>IF(OR(AG$4="",$A1067&gt;TODAY()),0,IF(OR(INDEX($B1067:$D1067,AG$5)="F",AND(AG$6&gt;0,$A1067&lt;AG$6),AND(AG$7&gt;0,$A1067&gt;AG$7)),0,MAX(0,ROUND((INDEX($E1067:$G1067,AG$5)-SUMIFS(TF_Timer,TF_Tekniker,AG$4,TF_Dato,$A1067))*2,0)/2)))</f>
        <v/>
      </c>
      <c r="AH1067">
        <f>IF(OR(AH$4="",$A1067&gt;TODAY()),0,IF(OR(INDEX($B1067:$D1067,AH$5)="F",AND(AH$6&gt;0,$A1067&lt;AH$6),AND(AH$7&gt;0,$A1067&gt;AH$7)),0,MAX(0,ROUND((INDEX($E1067:$G1067,AH$5)-SUMIFS(TF_Timer,TF_Tekniker,AH$4,TF_Dato,$A1067))*2,0)/2)))</f>
        <v/>
      </c>
      <c r="AI1067">
        <f>IF(OR(AI$4="",$A1067&gt;TODAY()),0,IF(OR(INDEX($B1067:$D1067,AI$5)="F",AND(AI$6&gt;0,$A1067&lt;AI$6),AND(AI$7&gt;0,$A1067&gt;AI$7)),0,MAX(0,ROUND((INDEX($E1067:$G1067,AI$5)-SUMIFS(TF_Timer,TF_Tekniker,AI$4,TF_Dato,$A1067))*2,0)/2)))</f>
        <v/>
      </c>
      <c r="AJ1067">
        <f>IF(OR(AJ$4="",$A1067&gt;TODAY()),0,IF(OR(INDEX($B1067:$D1067,AJ$5)="F",AND(AJ$6&gt;0,$A1067&lt;AJ$6),AND(AJ$7&gt;0,$A1067&gt;AJ$7)),0,MAX(0,ROUND((INDEX($E1067:$G1067,AJ$5)-SUMIFS(TF_Timer,TF_Tekniker,AJ$4,TF_Dato,$A1067))*2,0)/2)))</f>
        <v/>
      </c>
      <c r="AK1067">
        <f>IF(OR(AK$4="",$A1067&gt;TODAY()),0,IF(OR(INDEX($B1067:$D1067,AK$5)="F",AND(AK$6&gt;0,$A1067&lt;AK$6),AND(AK$7&gt;0,$A1067&gt;AK$7)),0,MAX(0,ROUND((INDEX($E1067:$G1067,AK$5)-SUMIFS(TF_Timer,TF_Tekniker,AK$4,TF_Dato,$A1067))*2,0)/2)))</f>
        <v/>
      </c>
      <c r="AL1067">
        <f>IF(OR(AL$4="",$A1067&gt;TODAY()),0,IF(OR(INDEX($B1067:$D1067,AL$5)="F",AND(AL$6&gt;0,$A1067&lt;AL$6),AND(AL$7&gt;0,$A1067&gt;AL$7)),0,MAX(0,ROUND((INDEX($E1067:$G1067,AL$5)-SUMIFS(TF_Timer,TF_Tekniker,AL$4,TF_Dato,$A1067))*2,0)/2)))</f>
        <v/>
      </c>
      <c r="AM1067">
        <f>IF(OR(AM$4="",$A1067&gt;TODAY()),0,IF(OR(INDEX($B1067:$D1067,AM$5)="F",AND(AM$6&gt;0,$A1067&lt;AM$6),AND(AM$7&gt;0,$A1067&gt;AM$7)),0,MAX(0,ROUND((INDEX($E1067:$G1067,AM$5)-SUMIFS(TF_Timer,TF_Tekniker,AM$4,TF_Dato,$A1067))*2,0)/2)))</f>
        <v/>
      </c>
      <c r="AN1067">
        <f>IF(OR(AN$4="",$A1067&gt;TODAY()),0,IF(OR(INDEX($B1067:$D1067,AN$5)="F",AND(AN$6&gt;0,$A1067&lt;AN$6),AND(AN$7&gt;0,$A1067&gt;AN$7)),0,MAX(0,ROUND((INDEX($E1067:$G1067,AN$5)-SUMIFS(TF_Timer,TF_Tekniker,AN$4,TF_Dato,$A1067))*2,0)/2)))</f>
        <v/>
      </c>
      <c r="AO1067">
        <f>IF(OR(AO$4="",$A1067&gt;TODAY()),0,IF(OR(INDEX($B1067:$D1067,AO$5)="F",AND(AO$6&gt;0,$A1067&lt;AO$6),AND(AO$7&gt;0,$A1067&gt;AO$7)),0,MAX(0,ROUND((INDEX($E1067:$G1067,AO$5)-SUMIFS(TF_Timer,TF_Tekniker,AO$4,TF_Dato,$A1067))*2,0)/2)))</f>
        <v/>
      </c>
      <c r="AP1067">
        <f>IF(OR(AP$4="",$A1067&gt;TODAY()),0,IF(OR(INDEX($B1067:$D1067,AP$5)="F",AND(AP$6&gt;0,$A1067&lt;AP$6),AND(AP$7&gt;0,$A1067&gt;AP$7)),0,MAX(0,ROUND((INDEX($E1067:$G1067,AP$5)-SUMIFS(TF_Timer,TF_Tekniker,AP$4,TF_Dato,$A1067))*2,0)/2)))</f>
        <v/>
      </c>
      <c r="AQ1067">
        <f>IF(OR(AQ$4="",$A1067&gt;TODAY()),0,IF(OR(INDEX($B1067:$D1067,AQ$5)="F",AND(AQ$6&gt;0,$A1067&lt;AQ$6),AND(AQ$7&gt;0,$A1067&gt;AQ$7)),0,MAX(0,ROUND((INDEX($E1067:$G1067,AQ$5)-SUMIFS(TF_Timer,TF_Tekniker,AQ$4,TF_Dato,$A1067))*2,0)/2)))</f>
        <v/>
      </c>
      <c r="AR1067">
        <f>IF(OR(AR$4="",$A1067&gt;TODAY()),0,IF(OR(INDEX($B1067:$D1067,AR$5)="F",AND(AR$6&gt;0,$A1067&lt;AR$6),AND(AR$7&gt;0,$A1067&gt;AR$7)),0,MAX(0,ROUND((INDEX($E1067:$G1067,AR$5)-SUMIFS(TF_Timer,TF_Tekniker,AR$4,TF_Dato,$A1067))*2,0)/2)))</f>
        <v/>
      </c>
      <c r="AS1067">
        <f>IF(OR(AS$4="",$A1067&gt;TODAY()),0,IF(OR(INDEX($B1067:$D1067,AS$5)="F",AND(AS$6&gt;0,$A1067&lt;AS$6),AND(AS$7&gt;0,$A1067&gt;AS$7)),0,MAX(0,ROUND((INDEX($E1067:$G1067,AS$5)-SUMIFS(TF_Timer,TF_Tekniker,AS$4,TF_Dato,$A1067))*2,0)/2)))</f>
        <v/>
      </c>
      <c r="AT1067">
        <f>IF(OR(AT$4="",$A1067&gt;TODAY()),0,IF(OR(INDEX($B1067:$D1067,AT$5)="F",AND(AT$6&gt;0,$A1067&lt;AT$6),AND(AT$7&gt;0,$A1067&gt;AT$7)),0,MAX(0,ROUND((INDEX($E1067:$G1067,AT$5)-SUMIFS(TF_Timer,TF_Tekniker,AT$4,TF_Dato,$A1067))*2,0)/2)))</f>
        <v/>
      </c>
      <c r="AU1067">
        <f>IF(OR(AU$4="",$A1067&gt;TODAY()),0,IF(OR(INDEX($B1067:$D1067,AU$5)="F",AND(AU$6&gt;0,$A1067&lt;AU$6),AND(AU$7&gt;0,$A1067&gt;AU$7)),0,MAX(0,ROUND((INDEX($E1067:$G1067,AU$5)-SUMIFS(TF_Timer,TF_Tekniker,AU$4,TF_Dato,$A1067))*2,0)/2)))</f>
        <v/>
      </c>
      <c r="AV1067">
        <f>IF(OR(AV$4="",$A1067&gt;TODAY()),0,IF(OR(INDEX($B1067:$D1067,AV$5)="F",AND(AV$6&gt;0,$A1067&lt;AV$6),AND(AV$7&gt;0,$A1067&gt;AV$7)),0,MAX(0,ROUND((INDEX($E1067:$G1067,AV$5)-SUMIFS(TF_Timer,TF_Tekniker,AV$4,TF_Dato,$A1067))*2,0)/2)))</f>
        <v/>
      </c>
      <c r="AW1067">
        <f>IF(OR(AW$4="",$A1067&gt;TODAY()),0,IF(OR(INDEX($B1067:$D1067,AW$5)="F",AND(AW$6&gt;0,$A1067&lt;AW$6),AND(AW$7&gt;0,$A1067&gt;AW$7)),0,MAX(0,ROUND((INDEX($E1067:$G1067,AW$5)-SUMIFS(TF_Timer,TF_Tekniker,AW$4,TF_Dato,$A1067))*2,0)/2)))</f>
        <v/>
      </c>
      <c r="AX1067">
        <f>IF(OR(AX$4="",$A1067&gt;TODAY()),0,IF(OR(INDEX($B1067:$D1067,AX$5)="F",AND(AX$6&gt;0,$A1067&lt;AX$6),AND(AX$7&gt;0,$A1067&gt;AX$7)),0,MAX(0,ROUND((INDEX($E1067:$G1067,AX$5)-SUMIFS(TF_Timer,TF_Tekniker,AX$4,TF_Dato,$A1067))*2,0)/2)))</f>
        <v/>
      </c>
      <c r="AY1067">
        <f>IF(OR(AY$4="",$A1067&gt;TODAY()),0,IF(OR(INDEX($B1067:$D1067,AY$5)="F",AND(AY$6&gt;0,$A1067&lt;AY$6),AND(AY$7&gt;0,$A1067&gt;AY$7)),0,MAX(0,ROUND((INDEX($E1067:$G1067,AY$5)-SUMIFS(TF_Timer,TF_Tekniker,AY$4,TF_Dato,$A1067))*2,0)/2)))</f>
        <v/>
      </c>
      <c r="AZ1067">
        <f>IF(OR(AZ$4="",$A1067&gt;TODAY()),0,IF(OR(INDEX($B1067:$D1067,AZ$5)="F",AND(AZ$6&gt;0,$A1067&lt;AZ$6),AND(AZ$7&gt;0,$A1067&gt;AZ$7)),0,MAX(0,ROUND((INDEX($E1067:$G1067,AZ$5)-SUMIFS(TF_Timer,TF_Tekniker,AZ$4,TF_Dato,$A1067))*2,0)/2)))</f>
        <v/>
      </c>
      <c r="BA1067">
        <f>IF(OR(BA$4="",$A1067&gt;TODAY()),0,IF(OR(INDEX($B1067:$D1067,BA$5)="F",AND(BA$6&gt;0,$A1067&lt;BA$6),AND(BA$7&gt;0,$A1067&gt;BA$7)),0,MAX(0,ROUND((INDEX($E1067:$G1067,BA$5)-SUMIFS(TF_Timer,TF_Tekniker,BA$4,TF_Dato,$A1067))*2,0)/2)))</f>
        <v/>
      </c>
      <c r="BB1067">
        <f>IF(OR(BB$4="",$A1067&gt;TODAY()),0,IF(OR(INDEX($B1067:$D1067,BB$5)="F",AND(BB$6&gt;0,$A1067&lt;BB$6),AND(BB$7&gt;0,$A1067&gt;BB$7)),0,MAX(0,ROUND((INDEX($E1067:$G1067,BB$5)-SUMIFS(TF_Timer,TF_Tekniker,BB$4,TF_Dato,$A1067))*2,0)/2)))</f>
        <v/>
      </c>
      <c r="BC1067">
        <f>IF(OR(BC$4="",$A1067&gt;TODAY()),0,IF(OR(INDEX($B1067:$D1067,BC$5)="F",AND(BC$6&gt;0,$A1067&lt;BC$6),AND(BC$7&gt;0,$A1067&gt;BC$7)),0,MAX(0,ROUND((INDEX($E1067:$G1067,BC$5)-SUMIFS(TF_Timer,TF_Tekniker,BC$4,TF_Dato,$A1067))*2,0)/2)))</f>
        <v/>
      </c>
      <c r="BD1067">
        <f>IF(OR(BD$4="",$A1067&gt;TODAY()),0,IF(OR(INDEX($B1067:$D1067,BD$5)="F",AND(BD$6&gt;0,$A1067&lt;BD$6),AND(BD$7&gt;0,$A1067&gt;BD$7)),0,MAX(0,ROUND((INDEX($E1067:$G1067,BD$5)-SUMIFS(TF_Timer,TF_Tekniker,BD$4,TF_Dato,$A1067))*2,0)/2)))</f>
        <v/>
      </c>
      <c r="BE1067">
        <f>IF(OR(BE$4="",$A1067&gt;TODAY()),0,IF(OR(INDEX($B1067:$D1067,BE$5)="F",AND(BE$6&gt;0,$A1067&lt;BE$6),AND(BE$7&gt;0,$A1067&gt;BE$7)),0,MAX(0,ROUND((INDEX($E1067:$G1067,BE$5)-SUMIFS(TF_Timer,TF_Tekniker,BE$4,TF_Dato,$A1067))*2,0)/2)))</f>
        <v/>
      </c>
      <c r="BF1067">
        <f>IF(OR(BF$4="",$A1067&gt;TODAY()),0,IF(OR(INDEX($B1067:$D1067,BF$5)="F",AND(BF$6&gt;0,$A1067&lt;BF$6),AND(BF$7&gt;0,$A1067&gt;BF$7)),0,MAX(0,ROUND((INDEX($E1067:$G1067,BF$5)-SUMIFS(TF_Timer,TF_Tekniker,BF$4,TF_Dato,$A1067))*2,0)/2)))</f>
        <v/>
      </c>
      <c r="BG1067">
        <f>IF(OR(BG$4="",$A1067&gt;TODAY()),0,IF(OR(INDEX($B1067:$D1067,BG$5)="F",AND(BG$6&gt;0,$A1067&lt;BG$6),AND(BG$7&gt;0,$A1067&gt;BG$7)),0,MAX(0,ROUND((INDEX($E1067:$G1067,BG$5)-SUMIFS(TF_Timer,TF_Tekniker,BG$4,TF_Dato,$A1067))*2,0)/2)))</f>
        <v/>
      </c>
      <c r="BH1067">
        <f>IF(OR(BH$4="",$A1067&gt;TODAY()),0,IF(OR(INDEX($B1067:$D1067,BH$5)="F",AND(BH$6&gt;0,$A1067&lt;BH$6),AND(BH$7&gt;0,$A1067&gt;BH$7)),0,MAX(0,ROUND((INDEX($E1067:$G1067,BH$5)-SUMIFS(TF_Timer,TF_Tekniker,BH$4,TF_Dato,$A1067))*2,0)/2)))</f>
        <v/>
      </c>
      <c r="BI1067">
        <f>IF(OR(BI$4="",$A1067&gt;TODAY()),0,IF(OR(INDEX($B1067:$D1067,BI$5)="F",AND(BI$6&gt;0,$A1067&lt;BI$6),AND(BI$7&gt;0,$A1067&gt;BI$7)),0,MAX(0,ROUND((INDEX($E1067:$G1067,BI$5)-SUMIFS(TF_Timer,TF_Tekniker,BI$4,TF_Dato,$A1067))*2,0)/2)))</f>
        <v/>
      </c>
    </row>
    <row r="1068">
      <c r="A1068" s="64">
        <f>A1067+1</f>
        <v/>
      </c>
      <c r="B1068">
        <f>IF(MOD($A1068-INDEX(SkiftStart,1),Syklus)&lt;DagK,"K",IF(MOD($A1068-INDEX(SkiftStart,1),Syklus)&lt;DagK+DagH,"H",IF(MOD($A1068-INDEX(SkiftStart,1),Syklus)&lt;DagK+DagH+DagD,"D","F")))</f>
        <v/>
      </c>
      <c r="C1068">
        <f>IF(MOD($A1068-INDEX(SkiftStart,2),Syklus)&lt;DagK,"K",IF(MOD($A1068-INDEX(SkiftStart,2),Syklus)&lt;DagK+DagH,"H",IF(MOD($A1068-INDEX(SkiftStart,2),Syklus)&lt;DagK+DagH+DagD,"D","F")))</f>
        <v/>
      </c>
      <c r="D1068">
        <f>IF(MOD($A1068-INDEX(SkiftStart,3),Syklus)&lt;DagK,"K",IF(MOD($A1068-INDEX(SkiftStart,3),Syklus)&lt;DagK+DagH,"H",IF(MOD($A1068-INDEX(SkiftStart,3),Syklus)&lt;DagK+DagH+DagD,"D","F")))</f>
        <v/>
      </c>
      <c r="E1068">
        <f>IF(B1068="F",0,IF(WEEKDAY($A1068,2)=5,INDEX(TimerFr,MATCH(B1068,FaseKode,0)),INDEX(TimerMT,MATCH(B1068,FaseKode,0))))</f>
        <v/>
      </c>
      <c r="F1068">
        <f>IF(C1068="F",0,IF(WEEKDAY($A1068,2)=5,INDEX(TimerFr,MATCH(C1068,FaseKode,0)),INDEX(TimerMT,MATCH(C1068,FaseKode,0))))</f>
        <v/>
      </c>
      <c r="G1068">
        <f>IF(D1068="F",0,IF(WEEKDAY($A1068,2)=5,INDEX(TimerFr,MATCH(D1068,FaseKode,0)),INDEX(TimerMT,MATCH(D1068,FaseKode,0))))</f>
        <v/>
      </c>
      <c r="H1068">
        <f>IF(OR(H$4="",$A1068&gt;TODAY()),0,IF(OR(INDEX($B1068:$D1068,H$5)="F",AND(H$6&gt;0,$A1068&lt;H$6),AND(H$7&gt;0,$A1068&gt;H$7)),0,MAX(0,ROUND((INDEX($E1068:$G1068,H$5)-SUMIFS(TF_Timer,TF_Tekniker,H$4,TF_Dato,$A1068))*2,0)/2)))</f>
        <v/>
      </c>
      <c r="I1068">
        <f>IF(OR(I$4="",$A1068&gt;TODAY()),0,IF(OR(INDEX($B1068:$D1068,I$5)="F",AND(I$6&gt;0,$A1068&lt;I$6),AND(I$7&gt;0,$A1068&gt;I$7)),0,MAX(0,ROUND((INDEX($E1068:$G1068,I$5)-SUMIFS(TF_Timer,TF_Tekniker,I$4,TF_Dato,$A1068))*2,0)/2)))</f>
        <v/>
      </c>
      <c r="J1068">
        <f>IF(OR(J$4="",$A1068&gt;TODAY()),0,IF(OR(INDEX($B1068:$D1068,J$5)="F",AND(J$6&gt;0,$A1068&lt;J$6),AND(J$7&gt;0,$A1068&gt;J$7)),0,MAX(0,ROUND((INDEX($E1068:$G1068,J$5)-SUMIFS(TF_Timer,TF_Tekniker,J$4,TF_Dato,$A1068))*2,0)/2)))</f>
        <v/>
      </c>
      <c r="K1068">
        <f>IF(OR(K$4="",$A1068&gt;TODAY()),0,IF(OR(INDEX($B1068:$D1068,K$5)="F",AND(K$6&gt;0,$A1068&lt;K$6),AND(K$7&gt;0,$A1068&gt;K$7)),0,MAX(0,ROUND((INDEX($E1068:$G1068,K$5)-SUMIFS(TF_Timer,TF_Tekniker,K$4,TF_Dato,$A1068))*2,0)/2)))</f>
        <v/>
      </c>
      <c r="L1068">
        <f>IF(OR(L$4="",$A1068&gt;TODAY()),0,IF(OR(INDEX($B1068:$D1068,L$5)="F",AND(L$6&gt;0,$A1068&lt;L$6),AND(L$7&gt;0,$A1068&gt;L$7)),0,MAX(0,ROUND((INDEX($E1068:$G1068,L$5)-SUMIFS(TF_Timer,TF_Tekniker,L$4,TF_Dato,$A1068))*2,0)/2)))</f>
        <v/>
      </c>
      <c r="M1068">
        <f>IF(OR(M$4="",$A1068&gt;TODAY()),0,IF(OR(INDEX($B1068:$D1068,M$5)="F",AND(M$6&gt;0,$A1068&lt;M$6),AND(M$7&gt;0,$A1068&gt;M$7)),0,MAX(0,ROUND((INDEX($E1068:$G1068,M$5)-SUMIFS(TF_Timer,TF_Tekniker,M$4,TF_Dato,$A1068))*2,0)/2)))</f>
        <v/>
      </c>
      <c r="N1068">
        <f>IF(OR(N$4="",$A1068&gt;TODAY()),0,IF(OR(INDEX($B1068:$D1068,N$5)="F",AND(N$6&gt;0,$A1068&lt;N$6),AND(N$7&gt;0,$A1068&gt;N$7)),0,MAX(0,ROUND((INDEX($E1068:$G1068,N$5)-SUMIFS(TF_Timer,TF_Tekniker,N$4,TF_Dato,$A1068))*2,0)/2)))</f>
        <v/>
      </c>
      <c r="O1068">
        <f>IF(OR(O$4="",$A1068&gt;TODAY()),0,IF(OR(INDEX($B1068:$D1068,O$5)="F",AND(O$6&gt;0,$A1068&lt;O$6),AND(O$7&gt;0,$A1068&gt;O$7)),0,MAX(0,ROUND((INDEX($E1068:$G1068,O$5)-SUMIFS(TF_Timer,TF_Tekniker,O$4,TF_Dato,$A1068))*2,0)/2)))</f>
        <v/>
      </c>
      <c r="P1068">
        <f>IF(OR(P$4="",$A1068&gt;TODAY()),0,IF(OR(INDEX($B1068:$D1068,P$5)="F",AND(P$6&gt;0,$A1068&lt;P$6),AND(P$7&gt;0,$A1068&gt;P$7)),0,MAX(0,ROUND((INDEX($E1068:$G1068,P$5)-SUMIFS(TF_Timer,TF_Tekniker,P$4,TF_Dato,$A1068))*2,0)/2)))</f>
        <v/>
      </c>
      <c r="Q1068">
        <f>IF(OR(Q$4="",$A1068&gt;TODAY()),0,IF(OR(INDEX($B1068:$D1068,Q$5)="F",AND(Q$6&gt;0,$A1068&lt;Q$6),AND(Q$7&gt;0,$A1068&gt;Q$7)),0,MAX(0,ROUND((INDEX($E1068:$G1068,Q$5)-SUMIFS(TF_Timer,TF_Tekniker,Q$4,TF_Dato,$A1068))*2,0)/2)))</f>
        <v/>
      </c>
      <c r="R1068">
        <f>IF(OR(R$4="",$A1068&gt;TODAY()),0,IF(OR(INDEX($B1068:$D1068,R$5)="F",AND(R$6&gt;0,$A1068&lt;R$6),AND(R$7&gt;0,$A1068&gt;R$7)),0,MAX(0,ROUND((INDEX($E1068:$G1068,R$5)-SUMIFS(TF_Timer,TF_Tekniker,R$4,TF_Dato,$A1068))*2,0)/2)))</f>
        <v/>
      </c>
      <c r="S1068">
        <f>IF(OR(S$4="",$A1068&gt;TODAY()),0,IF(OR(INDEX($B1068:$D1068,S$5)="F",AND(S$6&gt;0,$A1068&lt;S$6),AND(S$7&gt;0,$A1068&gt;S$7)),0,MAX(0,ROUND((INDEX($E1068:$G1068,S$5)-SUMIFS(TF_Timer,TF_Tekniker,S$4,TF_Dato,$A1068))*2,0)/2)))</f>
        <v/>
      </c>
      <c r="T1068">
        <f>IF(OR(T$4="",$A1068&gt;TODAY()),0,IF(OR(INDEX($B1068:$D1068,T$5)="F",AND(T$6&gt;0,$A1068&lt;T$6),AND(T$7&gt;0,$A1068&gt;T$7)),0,MAX(0,ROUND((INDEX($E1068:$G1068,T$5)-SUMIFS(TF_Timer,TF_Tekniker,T$4,TF_Dato,$A1068))*2,0)/2)))</f>
        <v/>
      </c>
      <c r="U1068">
        <f>IF(OR(U$4="",$A1068&gt;TODAY()),0,IF(OR(INDEX($B1068:$D1068,U$5)="F",AND(U$6&gt;0,$A1068&lt;U$6),AND(U$7&gt;0,$A1068&gt;U$7)),0,MAX(0,ROUND((INDEX($E1068:$G1068,U$5)-SUMIFS(TF_Timer,TF_Tekniker,U$4,TF_Dato,$A1068))*2,0)/2)))</f>
        <v/>
      </c>
      <c r="V1068">
        <f>IF(OR(V$4="",$A1068&gt;TODAY()),0,IF(OR(INDEX($B1068:$D1068,V$5)="F",AND(V$6&gt;0,$A1068&lt;V$6),AND(V$7&gt;0,$A1068&gt;V$7)),0,MAX(0,ROUND((INDEX($E1068:$G1068,V$5)-SUMIFS(TF_Timer,TF_Tekniker,V$4,TF_Dato,$A1068))*2,0)/2)))</f>
        <v/>
      </c>
      <c r="W1068">
        <f>IF(OR(W$4="",$A1068&gt;TODAY()),0,IF(OR(INDEX($B1068:$D1068,W$5)="F",AND(W$6&gt;0,$A1068&lt;W$6),AND(W$7&gt;0,$A1068&gt;W$7)),0,MAX(0,ROUND((INDEX($E1068:$G1068,W$5)-SUMIFS(TF_Timer,TF_Tekniker,W$4,TF_Dato,$A1068))*2,0)/2)))</f>
        <v/>
      </c>
      <c r="X1068">
        <f>IF(OR(X$4="",$A1068&gt;TODAY()),0,IF(OR(INDEX($B1068:$D1068,X$5)="F",AND(X$6&gt;0,$A1068&lt;X$6),AND(X$7&gt;0,$A1068&gt;X$7)),0,MAX(0,ROUND((INDEX($E1068:$G1068,X$5)-SUMIFS(TF_Timer,TF_Tekniker,X$4,TF_Dato,$A1068))*2,0)/2)))</f>
        <v/>
      </c>
      <c r="Y1068">
        <f>IF(OR(Y$4="",$A1068&gt;TODAY()),0,IF(OR(INDEX($B1068:$D1068,Y$5)="F",AND(Y$6&gt;0,$A1068&lt;Y$6),AND(Y$7&gt;0,$A1068&gt;Y$7)),0,MAX(0,ROUND((INDEX($E1068:$G1068,Y$5)-SUMIFS(TF_Timer,TF_Tekniker,Y$4,TF_Dato,$A1068))*2,0)/2)))</f>
        <v/>
      </c>
      <c r="Z1068">
        <f>IF(OR(Z$4="",$A1068&gt;TODAY()),0,IF(OR(INDEX($B1068:$D1068,Z$5)="F",AND(Z$6&gt;0,$A1068&lt;Z$6),AND(Z$7&gt;0,$A1068&gt;Z$7)),0,MAX(0,ROUND((INDEX($E1068:$G1068,Z$5)-SUMIFS(TF_Timer,TF_Tekniker,Z$4,TF_Dato,$A1068))*2,0)/2)))</f>
        <v/>
      </c>
      <c r="AA1068">
        <f>IF(OR(AA$4="",$A1068&gt;TODAY()),0,IF(OR(INDEX($B1068:$D1068,AA$5)="F",AND(AA$6&gt;0,$A1068&lt;AA$6),AND(AA$7&gt;0,$A1068&gt;AA$7)),0,MAX(0,ROUND((INDEX($E1068:$G1068,AA$5)-SUMIFS(TF_Timer,TF_Tekniker,AA$4,TF_Dato,$A1068))*2,0)/2)))</f>
        <v/>
      </c>
      <c r="AB1068">
        <f>IF(OR(AB$4="",$A1068&gt;TODAY()),0,IF(OR(INDEX($B1068:$D1068,AB$5)="F",AND(AB$6&gt;0,$A1068&lt;AB$6),AND(AB$7&gt;0,$A1068&gt;AB$7)),0,MAX(0,ROUND((INDEX($E1068:$G1068,AB$5)-SUMIFS(TF_Timer,TF_Tekniker,AB$4,TF_Dato,$A1068))*2,0)/2)))</f>
        <v/>
      </c>
      <c r="AC1068">
        <f>IF(OR(AC$4="",$A1068&gt;TODAY()),0,IF(OR(INDEX($B1068:$D1068,AC$5)="F",AND(AC$6&gt;0,$A1068&lt;AC$6),AND(AC$7&gt;0,$A1068&gt;AC$7)),0,MAX(0,ROUND((INDEX($E1068:$G1068,AC$5)-SUMIFS(TF_Timer,TF_Tekniker,AC$4,TF_Dato,$A1068))*2,0)/2)))</f>
        <v/>
      </c>
      <c r="AD1068">
        <f>IF(OR(AD$4="",$A1068&gt;TODAY()),0,IF(OR(INDEX($B1068:$D1068,AD$5)="F",AND(AD$6&gt;0,$A1068&lt;AD$6),AND(AD$7&gt;0,$A1068&gt;AD$7)),0,MAX(0,ROUND((INDEX($E1068:$G1068,AD$5)-SUMIFS(TF_Timer,TF_Tekniker,AD$4,TF_Dato,$A1068))*2,0)/2)))</f>
        <v/>
      </c>
      <c r="AE1068">
        <f>IF(OR(AE$4="",$A1068&gt;TODAY()),0,IF(OR(INDEX($B1068:$D1068,AE$5)="F",AND(AE$6&gt;0,$A1068&lt;AE$6),AND(AE$7&gt;0,$A1068&gt;AE$7)),0,MAX(0,ROUND((INDEX($E1068:$G1068,AE$5)-SUMIFS(TF_Timer,TF_Tekniker,AE$4,TF_Dato,$A1068))*2,0)/2)))</f>
        <v/>
      </c>
      <c r="AF1068">
        <f>IF(OR(AF$4="",$A1068&gt;TODAY()),0,IF(OR(INDEX($B1068:$D1068,AF$5)="F",AND(AF$6&gt;0,$A1068&lt;AF$6),AND(AF$7&gt;0,$A1068&gt;AF$7)),0,MAX(0,ROUND((INDEX($E1068:$G1068,AF$5)-SUMIFS(TF_Timer,TF_Tekniker,AF$4,TF_Dato,$A1068))*2,0)/2)))</f>
        <v/>
      </c>
      <c r="AG1068">
        <f>IF(OR(AG$4="",$A1068&gt;TODAY()),0,IF(OR(INDEX($B1068:$D1068,AG$5)="F",AND(AG$6&gt;0,$A1068&lt;AG$6),AND(AG$7&gt;0,$A1068&gt;AG$7)),0,MAX(0,ROUND((INDEX($E1068:$G1068,AG$5)-SUMIFS(TF_Timer,TF_Tekniker,AG$4,TF_Dato,$A1068))*2,0)/2)))</f>
        <v/>
      </c>
      <c r="AH1068">
        <f>IF(OR(AH$4="",$A1068&gt;TODAY()),0,IF(OR(INDEX($B1068:$D1068,AH$5)="F",AND(AH$6&gt;0,$A1068&lt;AH$6),AND(AH$7&gt;0,$A1068&gt;AH$7)),0,MAX(0,ROUND((INDEX($E1068:$G1068,AH$5)-SUMIFS(TF_Timer,TF_Tekniker,AH$4,TF_Dato,$A1068))*2,0)/2)))</f>
        <v/>
      </c>
      <c r="AI1068">
        <f>IF(OR(AI$4="",$A1068&gt;TODAY()),0,IF(OR(INDEX($B1068:$D1068,AI$5)="F",AND(AI$6&gt;0,$A1068&lt;AI$6),AND(AI$7&gt;0,$A1068&gt;AI$7)),0,MAX(0,ROUND((INDEX($E1068:$G1068,AI$5)-SUMIFS(TF_Timer,TF_Tekniker,AI$4,TF_Dato,$A1068))*2,0)/2)))</f>
        <v/>
      </c>
      <c r="AJ1068">
        <f>IF(OR(AJ$4="",$A1068&gt;TODAY()),0,IF(OR(INDEX($B1068:$D1068,AJ$5)="F",AND(AJ$6&gt;0,$A1068&lt;AJ$6),AND(AJ$7&gt;0,$A1068&gt;AJ$7)),0,MAX(0,ROUND((INDEX($E1068:$G1068,AJ$5)-SUMIFS(TF_Timer,TF_Tekniker,AJ$4,TF_Dato,$A1068))*2,0)/2)))</f>
        <v/>
      </c>
      <c r="AK1068">
        <f>IF(OR(AK$4="",$A1068&gt;TODAY()),0,IF(OR(INDEX($B1068:$D1068,AK$5)="F",AND(AK$6&gt;0,$A1068&lt;AK$6),AND(AK$7&gt;0,$A1068&gt;AK$7)),0,MAX(0,ROUND((INDEX($E1068:$G1068,AK$5)-SUMIFS(TF_Timer,TF_Tekniker,AK$4,TF_Dato,$A1068))*2,0)/2)))</f>
        <v/>
      </c>
      <c r="AL1068">
        <f>IF(OR(AL$4="",$A1068&gt;TODAY()),0,IF(OR(INDEX($B1068:$D1068,AL$5)="F",AND(AL$6&gt;0,$A1068&lt;AL$6),AND(AL$7&gt;0,$A1068&gt;AL$7)),0,MAX(0,ROUND((INDEX($E1068:$G1068,AL$5)-SUMIFS(TF_Timer,TF_Tekniker,AL$4,TF_Dato,$A1068))*2,0)/2)))</f>
        <v/>
      </c>
      <c r="AM1068">
        <f>IF(OR(AM$4="",$A1068&gt;TODAY()),0,IF(OR(INDEX($B1068:$D1068,AM$5)="F",AND(AM$6&gt;0,$A1068&lt;AM$6),AND(AM$7&gt;0,$A1068&gt;AM$7)),0,MAX(0,ROUND((INDEX($E1068:$G1068,AM$5)-SUMIFS(TF_Timer,TF_Tekniker,AM$4,TF_Dato,$A1068))*2,0)/2)))</f>
        <v/>
      </c>
      <c r="AN1068">
        <f>IF(OR(AN$4="",$A1068&gt;TODAY()),0,IF(OR(INDEX($B1068:$D1068,AN$5)="F",AND(AN$6&gt;0,$A1068&lt;AN$6),AND(AN$7&gt;0,$A1068&gt;AN$7)),0,MAX(0,ROUND((INDEX($E1068:$G1068,AN$5)-SUMIFS(TF_Timer,TF_Tekniker,AN$4,TF_Dato,$A1068))*2,0)/2)))</f>
        <v/>
      </c>
      <c r="AO1068">
        <f>IF(OR(AO$4="",$A1068&gt;TODAY()),0,IF(OR(INDEX($B1068:$D1068,AO$5)="F",AND(AO$6&gt;0,$A1068&lt;AO$6),AND(AO$7&gt;0,$A1068&gt;AO$7)),0,MAX(0,ROUND((INDEX($E1068:$G1068,AO$5)-SUMIFS(TF_Timer,TF_Tekniker,AO$4,TF_Dato,$A1068))*2,0)/2)))</f>
        <v/>
      </c>
      <c r="AP1068">
        <f>IF(OR(AP$4="",$A1068&gt;TODAY()),0,IF(OR(INDEX($B1068:$D1068,AP$5)="F",AND(AP$6&gt;0,$A1068&lt;AP$6),AND(AP$7&gt;0,$A1068&gt;AP$7)),0,MAX(0,ROUND((INDEX($E1068:$G1068,AP$5)-SUMIFS(TF_Timer,TF_Tekniker,AP$4,TF_Dato,$A1068))*2,0)/2)))</f>
        <v/>
      </c>
      <c r="AQ1068">
        <f>IF(OR(AQ$4="",$A1068&gt;TODAY()),0,IF(OR(INDEX($B1068:$D1068,AQ$5)="F",AND(AQ$6&gt;0,$A1068&lt;AQ$6),AND(AQ$7&gt;0,$A1068&gt;AQ$7)),0,MAX(0,ROUND((INDEX($E1068:$G1068,AQ$5)-SUMIFS(TF_Timer,TF_Tekniker,AQ$4,TF_Dato,$A1068))*2,0)/2)))</f>
        <v/>
      </c>
      <c r="AR1068">
        <f>IF(OR(AR$4="",$A1068&gt;TODAY()),0,IF(OR(INDEX($B1068:$D1068,AR$5)="F",AND(AR$6&gt;0,$A1068&lt;AR$6),AND(AR$7&gt;0,$A1068&gt;AR$7)),0,MAX(0,ROUND((INDEX($E1068:$G1068,AR$5)-SUMIFS(TF_Timer,TF_Tekniker,AR$4,TF_Dato,$A1068))*2,0)/2)))</f>
        <v/>
      </c>
      <c r="AS1068">
        <f>IF(OR(AS$4="",$A1068&gt;TODAY()),0,IF(OR(INDEX($B1068:$D1068,AS$5)="F",AND(AS$6&gt;0,$A1068&lt;AS$6),AND(AS$7&gt;0,$A1068&gt;AS$7)),0,MAX(0,ROUND((INDEX($E1068:$G1068,AS$5)-SUMIFS(TF_Timer,TF_Tekniker,AS$4,TF_Dato,$A1068))*2,0)/2)))</f>
        <v/>
      </c>
      <c r="AT1068">
        <f>IF(OR(AT$4="",$A1068&gt;TODAY()),0,IF(OR(INDEX($B1068:$D1068,AT$5)="F",AND(AT$6&gt;0,$A1068&lt;AT$6),AND(AT$7&gt;0,$A1068&gt;AT$7)),0,MAX(0,ROUND((INDEX($E1068:$G1068,AT$5)-SUMIFS(TF_Timer,TF_Tekniker,AT$4,TF_Dato,$A1068))*2,0)/2)))</f>
        <v/>
      </c>
      <c r="AU1068">
        <f>IF(OR(AU$4="",$A1068&gt;TODAY()),0,IF(OR(INDEX($B1068:$D1068,AU$5)="F",AND(AU$6&gt;0,$A1068&lt;AU$6),AND(AU$7&gt;0,$A1068&gt;AU$7)),0,MAX(0,ROUND((INDEX($E1068:$G1068,AU$5)-SUMIFS(TF_Timer,TF_Tekniker,AU$4,TF_Dato,$A1068))*2,0)/2)))</f>
        <v/>
      </c>
      <c r="AV1068">
        <f>IF(OR(AV$4="",$A1068&gt;TODAY()),0,IF(OR(INDEX($B1068:$D1068,AV$5)="F",AND(AV$6&gt;0,$A1068&lt;AV$6),AND(AV$7&gt;0,$A1068&gt;AV$7)),0,MAX(0,ROUND((INDEX($E1068:$G1068,AV$5)-SUMIFS(TF_Timer,TF_Tekniker,AV$4,TF_Dato,$A1068))*2,0)/2)))</f>
        <v/>
      </c>
      <c r="AW1068">
        <f>IF(OR(AW$4="",$A1068&gt;TODAY()),0,IF(OR(INDEX($B1068:$D1068,AW$5)="F",AND(AW$6&gt;0,$A1068&lt;AW$6),AND(AW$7&gt;0,$A1068&gt;AW$7)),0,MAX(0,ROUND((INDEX($E1068:$G1068,AW$5)-SUMIFS(TF_Timer,TF_Tekniker,AW$4,TF_Dato,$A1068))*2,0)/2)))</f>
        <v/>
      </c>
      <c r="AX1068">
        <f>IF(OR(AX$4="",$A1068&gt;TODAY()),0,IF(OR(INDEX($B1068:$D1068,AX$5)="F",AND(AX$6&gt;0,$A1068&lt;AX$6),AND(AX$7&gt;0,$A1068&gt;AX$7)),0,MAX(0,ROUND((INDEX($E1068:$G1068,AX$5)-SUMIFS(TF_Timer,TF_Tekniker,AX$4,TF_Dato,$A1068))*2,0)/2)))</f>
        <v/>
      </c>
      <c r="AY1068">
        <f>IF(OR(AY$4="",$A1068&gt;TODAY()),0,IF(OR(INDEX($B1068:$D1068,AY$5)="F",AND(AY$6&gt;0,$A1068&lt;AY$6),AND(AY$7&gt;0,$A1068&gt;AY$7)),0,MAX(0,ROUND((INDEX($E1068:$G1068,AY$5)-SUMIFS(TF_Timer,TF_Tekniker,AY$4,TF_Dato,$A1068))*2,0)/2)))</f>
        <v/>
      </c>
      <c r="AZ1068">
        <f>IF(OR(AZ$4="",$A1068&gt;TODAY()),0,IF(OR(INDEX($B1068:$D1068,AZ$5)="F",AND(AZ$6&gt;0,$A1068&lt;AZ$6),AND(AZ$7&gt;0,$A1068&gt;AZ$7)),0,MAX(0,ROUND((INDEX($E1068:$G1068,AZ$5)-SUMIFS(TF_Timer,TF_Tekniker,AZ$4,TF_Dato,$A1068))*2,0)/2)))</f>
        <v/>
      </c>
      <c r="BA1068">
        <f>IF(OR(BA$4="",$A1068&gt;TODAY()),0,IF(OR(INDEX($B1068:$D1068,BA$5)="F",AND(BA$6&gt;0,$A1068&lt;BA$6),AND(BA$7&gt;0,$A1068&gt;BA$7)),0,MAX(0,ROUND((INDEX($E1068:$G1068,BA$5)-SUMIFS(TF_Timer,TF_Tekniker,BA$4,TF_Dato,$A1068))*2,0)/2)))</f>
        <v/>
      </c>
      <c r="BB1068">
        <f>IF(OR(BB$4="",$A1068&gt;TODAY()),0,IF(OR(INDEX($B1068:$D1068,BB$5)="F",AND(BB$6&gt;0,$A1068&lt;BB$6),AND(BB$7&gt;0,$A1068&gt;BB$7)),0,MAX(0,ROUND((INDEX($E1068:$G1068,BB$5)-SUMIFS(TF_Timer,TF_Tekniker,BB$4,TF_Dato,$A1068))*2,0)/2)))</f>
        <v/>
      </c>
      <c r="BC1068">
        <f>IF(OR(BC$4="",$A1068&gt;TODAY()),0,IF(OR(INDEX($B1068:$D1068,BC$5)="F",AND(BC$6&gt;0,$A1068&lt;BC$6),AND(BC$7&gt;0,$A1068&gt;BC$7)),0,MAX(0,ROUND((INDEX($E1068:$G1068,BC$5)-SUMIFS(TF_Timer,TF_Tekniker,BC$4,TF_Dato,$A1068))*2,0)/2)))</f>
        <v/>
      </c>
      <c r="BD1068">
        <f>IF(OR(BD$4="",$A1068&gt;TODAY()),0,IF(OR(INDEX($B1068:$D1068,BD$5)="F",AND(BD$6&gt;0,$A1068&lt;BD$6),AND(BD$7&gt;0,$A1068&gt;BD$7)),0,MAX(0,ROUND((INDEX($E1068:$G1068,BD$5)-SUMIFS(TF_Timer,TF_Tekniker,BD$4,TF_Dato,$A1068))*2,0)/2)))</f>
        <v/>
      </c>
      <c r="BE1068">
        <f>IF(OR(BE$4="",$A1068&gt;TODAY()),0,IF(OR(INDEX($B1068:$D1068,BE$5)="F",AND(BE$6&gt;0,$A1068&lt;BE$6),AND(BE$7&gt;0,$A1068&gt;BE$7)),0,MAX(0,ROUND((INDEX($E1068:$G1068,BE$5)-SUMIFS(TF_Timer,TF_Tekniker,BE$4,TF_Dato,$A1068))*2,0)/2)))</f>
        <v/>
      </c>
      <c r="BF1068">
        <f>IF(OR(BF$4="",$A1068&gt;TODAY()),0,IF(OR(INDEX($B1068:$D1068,BF$5)="F",AND(BF$6&gt;0,$A1068&lt;BF$6),AND(BF$7&gt;0,$A1068&gt;BF$7)),0,MAX(0,ROUND((INDEX($E1068:$G1068,BF$5)-SUMIFS(TF_Timer,TF_Tekniker,BF$4,TF_Dato,$A1068))*2,0)/2)))</f>
        <v/>
      </c>
      <c r="BG1068">
        <f>IF(OR(BG$4="",$A1068&gt;TODAY()),0,IF(OR(INDEX($B1068:$D1068,BG$5)="F",AND(BG$6&gt;0,$A1068&lt;BG$6),AND(BG$7&gt;0,$A1068&gt;BG$7)),0,MAX(0,ROUND((INDEX($E1068:$G1068,BG$5)-SUMIFS(TF_Timer,TF_Tekniker,BG$4,TF_Dato,$A1068))*2,0)/2)))</f>
        <v/>
      </c>
      <c r="BH1068">
        <f>IF(OR(BH$4="",$A1068&gt;TODAY()),0,IF(OR(INDEX($B1068:$D1068,BH$5)="F",AND(BH$6&gt;0,$A1068&lt;BH$6),AND(BH$7&gt;0,$A1068&gt;BH$7)),0,MAX(0,ROUND((INDEX($E1068:$G1068,BH$5)-SUMIFS(TF_Timer,TF_Tekniker,BH$4,TF_Dato,$A1068))*2,0)/2)))</f>
        <v/>
      </c>
      <c r="BI1068">
        <f>IF(OR(BI$4="",$A1068&gt;TODAY()),0,IF(OR(INDEX($B1068:$D1068,BI$5)="F",AND(BI$6&gt;0,$A1068&lt;BI$6),AND(BI$7&gt;0,$A1068&gt;BI$7)),0,MAX(0,ROUND((INDEX($E1068:$G1068,BI$5)-SUMIFS(TF_Timer,TF_Tekniker,BI$4,TF_Dato,$A1068))*2,0)/2)))</f>
        <v/>
      </c>
    </row>
    <row r="1069">
      <c r="A1069" s="64">
        <f>A1068+1</f>
        <v/>
      </c>
      <c r="B1069">
        <f>IF(MOD($A1069-INDEX(SkiftStart,1),Syklus)&lt;DagK,"K",IF(MOD($A1069-INDEX(SkiftStart,1),Syklus)&lt;DagK+DagH,"H",IF(MOD($A1069-INDEX(SkiftStart,1),Syklus)&lt;DagK+DagH+DagD,"D","F")))</f>
        <v/>
      </c>
      <c r="C1069">
        <f>IF(MOD($A1069-INDEX(SkiftStart,2),Syklus)&lt;DagK,"K",IF(MOD($A1069-INDEX(SkiftStart,2),Syklus)&lt;DagK+DagH,"H",IF(MOD($A1069-INDEX(SkiftStart,2),Syklus)&lt;DagK+DagH+DagD,"D","F")))</f>
        <v/>
      </c>
      <c r="D1069">
        <f>IF(MOD($A1069-INDEX(SkiftStart,3),Syklus)&lt;DagK,"K",IF(MOD($A1069-INDEX(SkiftStart,3),Syklus)&lt;DagK+DagH,"H",IF(MOD($A1069-INDEX(SkiftStart,3),Syklus)&lt;DagK+DagH+DagD,"D","F")))</f>
        <v/>
      </c>
      <c r="E1069">
        <f>IF(B1069="F",0,IF(WEEKDAY($A1069,2)=5,INDEX(TimerFr,MATCH(B1069,FaseKode,0)),INDEX(TimerMT,MATCH(B1069,FaseKode,0))))</f>
        <v/>
      </c>
      <c r="F1069">
        <f>IF(C1069="F",0,IF(WEEKDAY($A1069,2)=5,INDEX(TimerFr,MATCH(C1069,FaseKode,0)),INDEX(TimerMT,MATCH(C1069,FaseKode,0))))</f>
        <v/>
      </c>
      <c r="G1069">
        <f>IF(D1069="F",0,IF(WEEKDAY($A1069,2)=5,INDEX(TimerFr,MATCH(D1069,FaseKode,0)),INDEX(TimerMT,MATCH(D1069,FaseKode,0))))</f>
        <v/>
      </c>
      <c r="H1069">
        <f>IF(OR(H$4="",$A1069&gt;TODAY()),0,IF(OR(INDEX($B1069:$D1069,H$5)="F",AND(H$6&gt;0,$A1069&lt;H$6),AND(H$7&gt;0,$A1069&gt;H$7)),0,MAX(0,ROUND((INDEX($E1069:$G1069,H$5)-SUMIFS(TF_Timer,TF_Tekniker,H$4,TF_Dato,$A1069))*2,0)/2)))</f>
        <v/>
      </c>
      <c r="I1069">
        <f>IF(OR(I$4="",$A1069&gt;TODAY()),0,IF(OR(INDEX($B1069:$D1069,I$5)="F",AND(I$6&gt;0,$A1069&lt;I$6),AND(I$7&gt;0,$A1069&gt;I$7)),0,MAX(0,ROUND((INDEX($E1069:$G1069,I$5)-SUMIFS(TF_Timer,TF_Tekniker,I$4,TF_Dato,$A1069))*2,0)/2)))</f>
        <v/>
      </c>
      <c r="J1069">
        <f>IF(OR(J$4="",$A1069&gt;TODAY()),0,IF(OR(INDEX($B1069:$D1069,J$5)="F",AND(J$6&gt;0,$A1069&lt;J$6),AND(J$7&gt;0,$A1069&gt;J$7)),0,MAX(0,ROUND((INDEX($E1069:$G1069,J$5)-SUMIFS(TF_Timer,TF_Tekniker,J$4,TF_Dato,$A1069))*2,0)/2)))</f>
        <v/>
      </c>
      <c r="K1069">
        <f>IF(OR(K$4="",$A1069&gt;TODAY()),0,IF(OR(INDEX($B1069:$D1069,K$5)="F",AND(K$6&gt;0,$A1069&lt;K$6),AND(K$7&gt;0,$A1069&gt;K$7)),0,MAX(0,ROUND((INDEX($E1069:$G1069,K$5)-SUMIFS(TF_Timer,TF_Tekniker,K$4,TF_Dato,$A1069))*2,0)/2)))</f>
        <v/>
      </c>
      <c r="L1069">
        <f>IF(OR(L$4="",$A1069&gt;TODAY()),0,IF(OR(INDEX($B1069:$D1069,L$5)="F",AND(L$6&gt;0,$A1069&lt;L$6),AND(L$7&gt;0,$A1069&gt;L$7)),0,MAX(0,ROUND((INDEX($E1069:$G1069,L$5)-SUMIFS(TF_Timer,TF_Tekniker,L$4,TF_Dato,$A1069))*2,0)/2)))</f>
        <v/>
      </c>
      <c r="M1069">
        <f>IF(OR(M$4="",$A1069&gt;TODAY()),0,IF(OR(INDEX($B1069:$D1069,M$5)="F",AND(M$6&gt;0,$A1069&lt;M$6),AND(M$7&gt;0,$A1069&gt;M$7)),0,MAX(0,ROUND((INDEX($E1069:$G1069,M$5)-SUMIFS(TF_Timer,TF_Tekniker,M$4,TF_Dato,$A1069))*2,0)/2)))</f>
        <v/>
      </c>
      <c r="N1069">
        <f>IF(OR(N$4="",$A1069&gt;TODAY()),0,IF(OR(INDEX($B1069:$D1069,N$5)="F",AND(N$6&gt;0,$A1069&lt;N$6),AND(N$7&gt;0,$A1069&gt;N$7)),0,MAX(0,ROUND((INDEX($E1069:$G1069,N$5)-SUMIFS(TF_Timer,TF_Tekniker,N$4,TF_Dato,$A1069))*2,0)/2)))</f>
        <v/>
      </c>
      <c r="O1069">
        <f>IF(OR(O$4="",$A1069&gt;TODAY()),0,IF(OR(INDEX($B1069:$D1069,O$5)="F",AND(O$6&gt;0,$A1069&lt;O$6),AND(O$7&gt;0,$A1069&gt;O$7)),0,MAX(0,ROUND((INDEX($E1069:$G1069,O$5)-SUMIFS(TF_Timer,TF_Tekniker,O$4,TF_Dato,$A1069))*2,0)/2)))</f>
        <v/>
      </c>
      <c r="P1069">
        <f>IF(OR(P$4="",$A1069&gt;TODAY()),0,IF(OR(INDEX($B1069:$D1069,P$5)="F",AND(P$6&gt;0,$A1069&lt;P$6),AND(P$7&gt;0,$A1069&gt;P$7)),0,MAX(0,ROUND((INDEX($E1069:$G1069,P$5)-SUMIFS(TF_Timer,TF_Tekniker,P$4,TF_Dato,$A1069))*2,0)/2)))</f>
        <v/>
      </c>
      <c r="Q1069">
        <f>IF(OR(Q$4="",$A1069&gt;TODAY()),0,IF(OR(INDEX($B1069:$D1069,Q$5)="F",AND(Q$6&gt;0,$A1069&lt;Q$6),AND(Q$7&gt;0,$A1069&gt;Q$7)),0,MAX(0,ROUND((INDEX($E1069:$G1069,Q$5)-SUMIFS(TF_Timer,TF_Tekniker,Q$4,TF_Dato,$A1069))*2,0)/2)))</f>
        <v/>
      </c>
      <c r="R1069">
        <f>IF(OR(R$4="",$A1069&gt;TODAY()),0,IF(OR(INDEX($B1069:$D1069,R$5)="F",AND(R$6&gt;0,$A1069&lt;R$6),AND(R$7&gt;0,$A1069&gt;R$7)),0,MAX(0,ROUND((INDEX($E1069:$G1069,R$5)-SUMIFS(TF_Timer,TF_Tekniker,R$4,TF_Dato,$A1069))*2,0)/2)))</f>
        <v/>
      </c>
      <c r="S1069">
        <f>IF(OR(S$4="",$A1069&gt;TODAY()),0,IF(OR(INDEX($B1069:$D1069,S$5)="F",AND(S$6&gt;0,$A1069&lt;S$6),AND(S$7&gt;0,$A1069&gt;S$7)),0,MAX(0,ROUND((INDEX($E1069:$G1069,S$5)-SUMIFS(TF_Timer,TF_Tekniker,S$4,TF_Dato,$A1069))*2,0)/2)))</f>
        <v/>
      </c>
      <c r="T1069">
        <f>IF(OR(T$4="",$A1069&gt;TODAY()),0,IF(OR(INDEX($B1069:$D1069,T$5)="F",AND(T$6&gt;0,$A1069&lt;T$6),AND(T$7&gt;0,$A1069&gt;T$7)),0,MAX(0,ROUND((INDEX($E1069:$G1069,T$5)-SUMIFS(TF_Timer,TF_Tekniker,T$4,TF_Dato,$A1069))*2,0)/2)))</f>
        <v/>
      </c>
      <c r="U1069">
        <f>IF(OR(U$4="",$A1069&gt;TODAY()),0,IF(OR(INDEX($B1069:$D1069,U$5)="F",AND(U$6&gt;0,$A1069&lt;U$6),AND(U$7&gt;0,$A1069&gt;U$7)),0,MAX(0,ROUND((INDEX($E1069:$G1069,U$5)-SUMIFS(TF_Timer,TF_Tekniker,U$4,TF_Dato,$A1069))*2,0)/2)))</f>
        <v/>
      </c>
      <c r="V1069">
        <f>IF(OR(V$4="",$A1069&gt;TODAY()),0,IF(OR(INDEX($B1069:$D1069,V$5)="F",AND(V$6&gt;0,$A1069&lt;V$6),AND(V$7&gt;0,$A1069&gt;V$7)),0,MAX(0,ROUND((INDEX($E1069:$G1069,V$5)-SUMIFS(TF_Timer,TF_Tekniker,V$4,TF_Dato,$A1069))*2,0)/2)))</f>
        <v/>
      </c>
      <c r="W1069">
        <f>IF(OR(W$4="",$A1069&gt;TODAY()),0,IF(OR(INDEX($B1069:$D1069,W$5)="F",AND(W$6&gt;0,$A1069&lt;W$6),AND(W$7&gt;0,$A1069&gt;W$7)),0,MAX(0,ROUND((INDEX($E1069:$G1069,W$5)-SUMIFS(TF_Timer,TF_Tekniker,W$4,TF_Dato,$A1069))*2,0)/2)))</f>
        <v/>
      </c>
      <c r="X1069">
        <f>IF(OR(X$4="",$A1069&gt;TODAY()),0,IF(OR(INDEX($B1069:$D1069,X$5)="F",AND(X$6&gt;0,$A1069&lt;X$6),AND(X$7&gt;0,$A1069&gt;X$7)),0,MAX(0,ROUND((INDEX($E1069:$G1069,X$5)-SUMIFS(TF_Timer,TF_Tekniker,X$4,TF_Dato,$A1069))*2,0)/2)))</f>
        <v/>
      </c>
      <c r="Y1069">
        <f>IF(OR(Y$4="",$A1069&gt;TODAY()),0,IF(OR(INDEX($B1069:$D1069,Y$5)="F",AND(Y$6&gt;0,$A1069&lt;Y$6),AND(Y$7&gt;0,$A1069&gt;Y$7)),0,MAX(0,ROUND((INDEX($E1069:$G1069,Y$5)-SUMIFS(TF_Timer,TF_Tekniker,Y$4,TF_Dato,$A1069))*2,0)/2)))</f>
        <v/>
      </c>
      <c r="Z1069">
        <f>IF(OR(Z$4="",$A1069&gt;TODAY()),0,IF(OR(INDEX($B1069:$D1069,Z$5)="F",AND(Z$6&gt;0,$A1069&lt;Z$6),AND(Z$7&gt;0,$A1069&gt;Z$7)),0,MAX(0,ROUND((INDEX($E1069:$G1069,Z$5)-SUMIFS(TF_Timer,TF_Tekniker,Z$4,TF_Dato,$A1069))*2,0)/2)))</f>
        <v/>
      </c>
      <c r="AA1069">
        <f>IF(OR(AA$4="",$A1069&gt;TODAY()),0,IF(OR(INDEX($B1069:$D1069,AA$5)="F",AND(AA$6&gt;0,$A1069&lt;AA$6),AND(AA$7&gt;0,$A1069&gt;AA$7)),0,MAX(0,ROUND((INDEX($E1069:$G1069,AA$5)-SUMIFS(TF_Timer,TF_Tekniker,AA$4,TF_Dato,$A1069))*2,0)/2)))</f>
        <v/>
      </c>
      <c r="AB1069">
        <f>IF(OR(AB$4="",$A1069&gt;TODAY()),0,IF(OR(INDEX($B1069:$D1069,AB$5)="F",AND(AB$6&gt;0,$A1069&lt;AB$6),AND(AB$7&gt;0,$A1069&gt;AB$7)),0,MAX(0,ROUND((INDEX($E1069:$G1069,AB$5)-SUMIFS(TF_Timer,TF_Tekniker,AB$4,TF_Dato,$A1069))*2,0)/2)))</f>
        <v/>
      </c>
      <c r="AC1069">
        <f>IF(OR(AC$4="",$A1069&gt;TODAY()),0,IF(OR(INDEX($B1069:$D1069,AC$5)="F",AND(AC$6&gt;0,$A1069&lt;AC$6),AND(AC$7&gt;0,$A1069&gt;AC$7)),0,MAX(0,ROUND((INDEX($E1069:$G1069,AC$5)-SUMIFS(TF_Timer,TF_Tekniker,AC$4,TF_Dato,$A1069))*2,0)/2)))</f>
        <v/>
      </c>
      <c r="AD1069">
        <f>IF(OR(AD$4="",$A1069&gt;TODAY()),0,IF(OR(INDEX($B1069:$D1069,AD$5)="F",AND(AD$6&gt;0,$A1069&lt;AD$6),AND(AD$7&gt;0,$A1069&gt;AD$7)),0,MAX(0,ROUND((INDEX($E1069:$G1069,AD$5)-SUMIFS(TF_Timer,TF_Tekniker,AD$4,TF_Dato,$A1069))*2,0)/2)))</f>
        <v/>
      </c>
      <c r="AE1069">
        <f>IF(OR(AE$4="",$A1069&gt;TODAY()),0,IF(OR(INDEX($B1069:$D1069,AE$5)="F",AND(AE$6&gt;0,$A1069&lt;AE$6),AND(AE$7&gt;0,$A1069&gt;AE$7)),0,MAX(0,ROUND((INDEX($E1069:$G1069,AE$5)-SUMIFS(TF_Timer,TF_Tekniker,AE$4,TF_Dato,$A1069))*2,0)/2)))</f>
        <v/>
      </c>
      <c r="AF1069">
        <f>IF(OR(AF$4="",$A1069&gt;TODAY()),0,IF(OR(INDEX($B1069:$D1069,AF$5)="F",AND(AF$6&gt;0,$A1069&lt;AF$6),AND(AF$7&gt;0,$A1069&gt;AF$7)),0,MAX(0,ROUND((INDEX($E1069:$G1069,AF$5)-SUMIFS(TF_Timer,TF_Tekniker,AF$4,TF_Dato,$A1069))*2,0)/2)))</f>
        <v/>
      </c>
      <c r="AG1069">
        <f>IF(OR(AG$4="",$A1069&gt;TODAY()),0,IF(OR(INDEX($B1069:$D1069,AG$5)="F",AND(AG$6&gt;0,$A1069&lt;AG$6),AND(AG$7&gt;0,$A1069&gt;AG$7)),0,MAX(0,ROUND((INDEX($E1069:$G1069,AG$5)-SUMIFS(TF_Timer,TF_Tekniker,AG$4,TF_Dato,$A1069))*2,0)/2)))</f>
        <v/>
      </c>
      <c r="AH1069">
        <f>IF(OR(AH$4="",$A1069&gt;TODAY()),0,IF(OR(INDEX($B1069:$D1069,AH$5)="F",AND(AH$6&gt;0,$A1069&lt;AH$6),AND(AH$7&gt;0,$A1069&gt;AH$7)),0,MAX(0,ROUND((INDEX($E1069:$G1069,AH$5)-SUMIFS(TF_Timer,TF_Tekniker,AH$4,TF_Dato,$A1069))*2,0)/2)))</f>
        <v/>
      </c>
      <c r="AI1069">
        <f>IF(OR(AI$4="",$A1069&gt;TODAY()),0,IF(OR(INDEX($B1069:$D1069,AI$5)="F",AND(AI$6&gt;0,$A1069&lt;AI$6),AND(AI$7&gt;0,$A1069&gt;AI$7)),0,MAX(0,ROUND((INDEX($E1069:$G1069,AI$5)-SUMIFS(TF_Timer,TF_Tekniker,AI$4,TF_Dato,$A1069))*2,0)/2)))</f>
        <v/>
      </c>
      <c r="AJ1069">
        <f>IF(OR(AJ$4="",$A1069&gt;TODAY()),0,IF(OR(INDEX($B1069:$D1069,AJ$5)="F",AND(AJ$6&gt;0,$A1069&lt;AJ$6),AND(AJ$7&gt;0,$A1069&gt;AJ$7)),0,MAX(0,ROUND((INDEX($E1069:$G1069,AJ$5)-SUMIFS(TF_Timer,TF_Tekniker,AJ$4,TF_Dato,$A1069))*2,0)/2)))</f>
        <v/>
      </c>
      <c r="AK1069">
        <f>IF(OR(AK$4="",$A1069&gt;TODAY()),0,IF(OR(INDEX($B1069:$D1069,AK$5)="F",AND(AK$6&gt;0,$A1069&lt;AK$6),AND(AK$7&gt;0,$A1069&gt;AK$7)),0,MAX(0,ROUND((INDEX($E1069:$G1069,AK$5)-SUMIFS(TF_Timer,TF_Tekniker,AK$4,TF_Dato,$A1069))*2,0)/2)))</f>
        <v/>
      </c>
      <c r="AL1069">
        <f>IF(OR(AL$4="",$A1069&gt;TODAY()),0,IF(OR(INDEX($B1069:$D1069,AL$5)="F",AND(AL$6&gt;0,$A1069&lt;AL$6),AND(AL$7&gt;0,$A1069&gt;AL$7)),0,MAX(0,ROUND((INDEX($E1069:$G1069,AL$5)-SUMIFS(TF_Timer,TF_Tekniker,AL$4,TF_Dato,$A1069))*2,0)/2)))</f>
        <v/>
      </c>
      <c r="AM1069">
        <f>IF(OR(AM$4="",$A1069&gt;TODAY()),0,IF(OR(INDEX($B1069:$D1069,AM$5)="F",AND(AM$6&gt;0,$A1069&lt;AM$6),AND(AM$7&gt;0,$A1069&gt;AM$7)),0,MAX(0,ROUND((INDEX($E1069:$G1069,AM$5)-SUMIFS(TF_Timer,TF_Tekniker,AM$4,TF_Dato,$A1069))*2,0)/2)))</f>
        <v/>
      </c>
      <c r="AN1069">
        <f>IF(OR(AN$4="",$A1069&gt;TODAY()),0,IF(OR(INDEX($B1069:$D1069,AN$5)="F",AND(AN$6&gt;0,$A1069&lt;AN$6),AND(AN$7&gt;0,$A1069&gt;AN$7)),0,MAX(0,ROUND((INDEX($E1069:$G1069,AN$5)-SUMIFS(TF_Timer,TF_Tekniker,AN$4,TF_Dato,$A1069))*2,0)/2)))</f>
        <v/>
      </c>
      <c r="AO1069">
        <f>IF(OR(AO$4="",$A1069&gt;TODAY()),0,IF(OR(INDEX($B1069:$D1069,AO$5)="F",AND(AO$6&gt;0,$A1069&lt;AO$6),AND(AO$7&gt;0,$A1069&gt;AO$7)),0,MAX(0,ROUND((INDEX($E1069:$G1069,AO$5)-SUMIFS(TF_Timer,TF_Tekniker,AO$4,TF_Dato,$A1069))*2,0)/2)))</f>
        <v/>
      </c>
      <c r="AP1069">
        <f>IF(OR(AP$4="",$A1069&gt;TODAY()),0,IF(OR(INDEX($B1069:$D1069,AP$5)="F",AND(AP$6&gt;0,$A1069&lt;AP$6),AND(AP$7&gt;0,$A1069&gt;AP$7)),0,MAX(0,ROUND((INDEX($E1069:$G1069,AP$5)-SUMIFS(TF_Timer,TF_Tekniker,AP$4,TF_Dato,$A1069))*2,0)/2)))</f>
        <v/>
      </c>
      <c r="AQ1069">
        <f>IF(OR(AQ$4="",$A1069&gt;TODAY()),0,IF(OR(INDEX($B1069:$D1069,AQ$5)="F",AND(AQ$6&gt;0,$A1069&lt;AQ$6),AND(AQ$7&gt;0,$A1069&gt;AQ$7)),0,MAX(0,ROUND((INDEX($E1069:$G1069,AQ$5)-SUMIFS(TF_Timer,TF_Tekniker,AQ$4,TF_Dato,$A1069))*2,0)/2)))</f>
        <v/>
      </c>
      <c r="AR1069">
        <f>IF(OR(AR$4="",$A1069&gt;TODAY()),0,IF(OR(INDEX($B1069:$D1069,AR$5)="F",AND(AR$6&gt;0,$A1069&lt;AR$6),AND(AR$7&gt;0,$A1069&gt;AR$7)),0,MAX(0,ROUND((INDEX($E1069:$G1069,AR$5)-SUMIFS(TF_Timer,TF_Tekniker,AR$4,TF_Dato,$A1069))*2,0)/2)))</f>
        <v/>
      </c>
      <c r="AS1069">
        <f>IF(OR(AS$4="",$A1069&gt;TODAY()),0,IF(OR(INDEX($B1069:$D1069,AS$5)="F",AND(AS$6&gt;0,$A1069&lt;AS$6),AND(AS$7&gt;0,$A1069&gt;AS$7)),0,MAX(0,ROUND((INDEX($E1069:$G1069,AS$5)-SUMIFS(TF_Timer,TF_Tekniker,AS$4,TF_Dato,$A1069))*2,0)/2)))</f>
        <v/>
      </c>
      <c r="AT1069">
        <f>IF(OR(AT$4="",$A1069&gt;TODAY()),0,IF(OR(INDEX($B1069:$D1069,AT$5)="F",AND(AT$6&gt;0,$A1069&lt;AT$6),AND(AT$7&gt;0,$A1069&gt;AT$7)),0,MAX(0,ROUND((INDEX($E1069:$G1069,AT$5)-SUMIFS(TF_Timer,TF_Tekniker,AT$4,TF_Dato,$A1069))*2,0)/2)))</f>
        <v/>
      </c>
      <c r="AU1069">
        <f>IF(OR(AU$4="",$A1069&gt;TODAY()),0,IF(OR(INDEX($B1069:$D1069,AU$5)="F",AND(AU$6&gt;0,$A1069&lt;AU$6),AND(AU$7&gt;0,$A1069&gt;AU$7)),0,MAX(0,ROUND((INDEX($E1069:$G1069,AU$5)-SUMIFS(TF_Timer,TF_Tekniker,AU$4,TF_Dato,$A1069))*2,0)/2)))</f>
        <v/>
      </c>
      <c r="AV1069">
        <f>IF(OR(AV$4="",$A1069&gt;TODAY()),0,IF(OR(INDEX($B1069:$D1069,AV$5)="F",AND(AV$6&gt;0,$A1069&lt;AV$6),AND(AV$7&gt;0,$A1069&gt;AV$7)),0,MAX(0,ROUND((INDEX($E1069:$G1069,AV$5)-SUMIFS(TF_Timer,TF_Tekniker,AV$4,TF_Dato,$A1069))*2,0)/2)))</f>
        <v/>
      </c>
      <c r="AW1069">
        <f>IF(OR(AW$4="",$A1069&gt;TODAY()),0,IF(OR(INDEX($B1069:$D1069,AW$5)="F",AND(AW$6&gt;0,$A1069&lt;AW$6),AND(AW$7&gt;0,$A1069&gt;AW$7)),0,MAX(0,ROUND((INDEX($E1069:$G1069,AW$5)-SUMIFS(TF_Timer,TF_Tekniker,AW$4,TF_Dato,$A1069))*2,0)/2)))</f>
        <v/>
      </c>
      <c r="AX1069">
        <f>IF(OR(AX$4="",$A1069&gt;TODAY()),0,IF(OR(INDEX($B1069:$D1069,AX$5)="F",AND(AX$6&gt;0,$A1069&lt;AX$6),AND(AX$7&gt;0,$A1069&gt;AX$7)),0,MAX(0,ROUND((INDEX($E1069:$G1069,AX$5)-SUMIFS(TF_Timer,TF_Tekniker,AX$4,TF_Dato,$A1069))*2,0)/2)))</f>
        <v/>
      </c>
      <c r="AY1069">
        <f>IF(OR(AY$4="",$A1069&gt;TODAY()),0,IF(OR(INDEX($B1069:$D1069,AY$5)="F",AND(AY$6&gt;0,$A1069&lt;AY$6),AND(AY$7&gt;0,$A1069&gt;AY$7)),0,MAX(0,ROUND((INDEX($E1069:$G1069,AY$5)-SUMIFS(TF_Timer,TF_Tekniker,AY$4,TF_Dato,$A1069))*2,0)/2)))</f>
        <v/>
      </c>
      <c r="AZ1069">
        <f>IF(OR(AZ$4="",$A1069&gt;TODAY()),0,IF(OR(INDEX($B1069:$D1069,AZ$5)="F",AND(AZ$6&gt;0,$A1069&lt;AZ$6),AND(AZ$7&gt;0,$A1069&gt;AZ$7)),0,MAX(0,ROUND((INDEX($E1069:$G1069,AZ$5)-SUMIFS(TF_Timer,TF_Tekniker,AZ$4,TF_Dato,$A1069))*2,0)/2)))</f>
        <v/>
      </c>
      <c r="BA1069">
        <f>IF(OR(BA$4="",$A1069&gt;TODAY()),0,IF(OR(INDEX($B1069:$D1069,BA$5)="F",AND(BA$6&gt;0,$A1069&lt;BA$6),AND(BA$7&gt;0,$A1069&gt;BA$7)),0,MAX(0,ROUND((INDEX($E1069:$G1069,BA$5)-SUMIFS(TF_Timer,TF_Tekniker,BA$4,TF_Dato,$A1069))*2,0)/2)))</f>
        <v/>
      </c>
      <c r="BB1069">
        <f>IF(OR(BB$4="",$A1069&gt;TODAY()),0,IF(OR(INDEX($B1069:$D1069,BB$5)="F",AND(BB$6&gt;0,$A1069&lt;BB$6),AND(BB$7&gt;0,$A1069&gt;BB$7)),0,MAX(0,ROUND((INDEX($E1069:$G1069,BB$5)-SUMIFS(TF_Timer,TF_Tekniker,BB$4,TF_Dato,$A1069))*2,0)/2)))</f>
        <v/>
      </c>
      <c r="BC1069">
        <f>IF(OR(BC$4="",$A1069&gt;TODAY()),0,IF(OR(INDEX($B1069:$D1069,BC$5)="F",AND(BC$6&gt;0,$A1069&lt;BC$6),AND(BC$7&gt;0,$A1069&gt;BC$7)),0,MAX(0,ROUND((INDEX($E1069:$G1069,BC$5)-SUMIFS(TF_Timer,TF_Tekniker,BC$4,TF_Dato,$A1069))*2,0)/2)))</f>
        <v/>
      </c>
      <c r="BD1069">
        <f>IF(OR(BD$4="",$A1069&gt;TODAY()),0,IF(OR(INDEX($B1069:$D1069,BD$5)="F",AND(BD$6&gt;0,$A1069&lt;BD$6),AND(BD$7&gt;0,$A1069&gt;BD$7)),0,MAX(0,ROUND((INDEX($E1069:$G1069,BD$5)-SUMIFS(TF_Timer,TF_Tekniker,BD$4,TF_Dato,$A1069))*2,0)/2)))</f>
        <v/>
      </c>
      <c r="BE1069">
        <f>IF(OR(BE$4="",$A1069&gt;TODAY()),0,IF(OR(INDEX($B1069:$D1069,BE$5)="F",AND(BE$6&gt;0,$A1069&lt;BE$6),AND(BE$7&gt;0,$A1069&gt;BE$7)),0,MAX(0,ROUND((INDEX($E1069:$G1069,BE$5)-SUMIFS(TF_Timer,TF_Tekniker,BE$4,TF_Dato,$A1069))*2,0)/2)))</f>
        <v/>
      </c>
      <c r="BF1069">
        <f>IF(OR(BF$4="",$A1069&gt;TODAY()),0,IF(OR(INDEX($B1069:$D1069,BF$5)="F",AND(BF$6&gt;0,$A1069&lt;BF$6),AND(BF$7&gt;0,$A1069&gt;BF$7)),0,MAX(0,ROUND((INDEX($E1069:$G1069,BF$5)-SUMIFS(TF_Timer,TF_Tekniker,BF$4,TF_Dato,$A1069))*2,0)/2)))</f>
        <v/>
      </c>
      <c r="BG1069">
        <f>IF(OR(BG$4="",$A1069&gt;TODAY()),0,IF(OR(INDEX($B1069:$D1069,BG$5)="F",AND(BG$6&gt;0,$A1069&lt;BG$6),AND(BG$7&gt;0,$A1069&gt;BG$7)),0,MAX(0,ROUND((INDEX($E1069:$G1069,BG$5)-SUMIFS(TF_Timer,TF_Tekniker,BG$4,TF_Dato,$A1069))*2,0)/2)))</f>
        <v/>
      </c>
      <c r="BH1069">
        <f>IF(OR(BH$4="",$A1069&gt;TODAY()),0,IF(OR(INDEX($B1069:$D1069,BH$5)="F",AND(BH$6&gt;0,$A1069&lt;BH$6),AND(BH$7&gt;0,$A1069&gt;BH$7)),0,MAX(0,ROUND((INDEX($E1069:$G1069,BH$5)-SUMIFS(TF_Timer,TF_Tekniker,BH$4,TF_Dato,$A1069))*2,0)/2)))</f>
        <v/>
      </c>
      <c r="BI1069">
        <f>IF(OR(BI$4="",$A1069&gt;TODAY()),0,IF(OR(INDEX($B1069:$D1069,BI$5)="F",AND(BI$6&gt;0,$A1069&lt;BI$6),AND(BI$7&gt;0,$A1069&gt;BI$7)),0,MAX(0,ROUND((INDEX($E1069:$G1069,BI$5)-SUMIFS(TF_Timer,TF_Tekniker,BI$4,TF_Dato,$A1069))*2,0)/2)))</f>
        <v/>
      </c>
    </row>
    <row r="1070">
      <c r="A1070" s="64">
        <f>A1069+1</f>
        <v/>
      </c>
      <c r="B1070">
        <f>IF(MOD($A1070-INDEX(SkiftStart,1),Syklus)&lt;DagK,"K",IF(MOD($A1070-INDEX(SkiftStart,1),Syklus)&lt;DagK+DagH,"H",IF(MOD($A1070-INDEX(SkiftStart,1),Syklus)&lt;DagK+DagH+DagD,"D","F")))</f>
        <v/>
      </c>
      <c r="C1070">
        <f>IF(MOD($A1070-INDEX(SkiftStart,2),Syklus)&lt;DagK,"K",IF(MOD($A1070-INDEX(SkiftStart,2),Syklus)&lt;DagK+DagH,"H",IF(MOD($A1070-INDEX(SkiftStart,2),Syklus)&lt;DagK+DagH+DagD,"D","F")))</f>
        <v/>
      </c>
      <c r="D1070">
        <f>IF(MOD($A1070-INDEX(SkiftStart,3),Syklus)&lt;DagK,"K",IF(MOD($A1070-INDEX(SkiftStart,3),Syklus)&lt;DagK+DagH,"H",IF(MOD($A1070-INDEX(SkiftStart,3),Syklus)&lt;DagK+DagH+DagD,"D","F")))</f>
        <v/>
      </c>
      <c r="E1070">
        <f>IF(B1070="F",0,IF(WEEKDAY($A1070,2)=5,INDEX(TimerFr,MATCH(B1070,FaseKode,0)),INDEX(TimerMT,MATCH(B1070,FaseKode,0))))</f>
        <v/>
      </c>
      <c r="F1070">
        <f>IF(C1070="F",0,IF(WEEKDAY($A1070,2)=5,INDEX(TimerFr,MATCH(C1070,FaseKode,0)),INDEX(TimerMT,MATCH(C1070,FaseKode,0))))</f>
        <v/>
      </c>
      <c r="G1070">
        <f>IF(D1070="F",0,IF(WEEKDAY($A1070,2)=5,INDEX(TimerFr,MATCH(D1070,FaseKode,0)),INDEX(TimerMT,MATCH(D1070,FaseKode,0))))</f>
        <v/>
      </c>
      <c r="H1070">
        <f>IF(OR(H$4="",$A1070&gt;TODAY()),0,IF(OR(INDEX($B1070:$D1070,H$5)="F",AND(H$6&gt;0,$A1070&lt;H$6),AND(H$7&gt;0,$A1070&gt;H$7)),0,MAX(0,ROUND((INDEX($E1070:$G1070,H$5)-SUMIFS(TF_Timer,TF_Tekniker,H$4,TF_Dato,$A1070))*2,0)/2)))</f>
        <v/>
      </c>
      <c r="I1070">
        <f>IF(OR(I$4="",$A1070&gt;TODAY()),0,IF(OR(INDEX($B1070:$D1070,I$5)="F",AND(I$6&gt;0,$A1070&lt;I$6),AND(I$7&gt;0,$A1070&gt;I$7)),0,MAX(0,ROUND((INDEX($E1070:$G1070,I$5)-SUMIFS(TF_Timer,TF_Tekniker,I$4,TF_Dato,$A1070))*2,0)/2)))</f>
        <v/>
      </c>
      <c r="J1070">
        <f>IF(OR(J$4="",$A1070&gt;TODAY()),0,IF(OR(INDEX($B1070:$D1070,J$5)="F",AND(J$6&gt;0,$A1070&lt;J$6),AND(J$7&gt;0,$A1070&gt;J$7)),0,MAX(0,ROUND((INDEX($E1070:$G1070,J$5)-SUMIFS(TF_Timer,TF_Tekniker,J$4,TF_Dato,$A1070))*2,0)/2)))</f>
        <v/>
      </c>
      <c r="K1070">
        <f>IF(OR(K$4="",$A1070&gt;TODAY()),0,IF(OR(INDEX($B1070:$D1070,K$5)="F",AND(K$6&gt;0,$A1070&lt;K$6),AND(K$7&gt;0,$A1070&gt;K$7)),0,MAX(0,ROUND((INDEX($E1070:$G1070,K$5)-SUMIFS(TF_Timer,TF_Tekniker,K$4,TF_Dato,$A1070))*2,0)/2)))</f>
        <v/>
      </c>
      <c r="L1070">
        <f>IF(OR(L$4="",$A1070&gt;TODAY()),0,IF(OR(INDEX($B1070:$D1070,L$5)="F",AND(L$6&gt;0,$A1070&lt;L$6),AND(L$7&gt;0,$A1070&gt;L$7)),0,MAX(0,ROUND((INDEX($E1070:$G1070,L$5)-SUMIFS(TF_Timer,TF_Tekniker,L$4,TF_Dato,$A1070))*2,0)/2)))</f>
        <v/>
      </c>
      <c r="M1070">
        <f>IF(OR(M$4="",$A1070&gt;TODAY()),0,IF(OR(INDEX($B1070:$D1070,M$5)="F",AND(M$6&gt;0,$A1070&lt;M$6),AND(M$7&gt;0,$A1070&gt;M$7)),0,MAX(0,ROUND((INDEX($E1070:$G1070,M$5)-SUMIFS(TF_Timer,TF_Tekniker,M$4,TF_Dato,$A1070))*2,0)/2)))</f>
        <v/>
      </c>
      <c r="N1070">
        <f>IF(OR(N$4="",$A1070&gt;TODAY()),0,IF(OR(INDEX($B1070:$D1070,N$5)="F",AND(N$6&gt;0,$A1070&lt;N$6),AND(N$7&gt;0,$A1070&gt;N$7)),0,MAX(0,ROUND((INDEX($E1070:$G1070,N$5)-SUMIFS(TF_Timer,TF_Tekniker,N$4,TF_Dato,$A1070))*2,0)/2)))</f>
        <v/>
      </c>
      <c r="O1070">
        <f>IF(OR(O$4="",$A1070&gt;TODAY()),0,IF(OR(INDEX($B1070:$D1070,O$5)="F",AND(O$6&gt;0,$A1070&lt;O$6),AND(O$7&gt;0,$A1070&gt;O$7)),0,MAX(0,ROUND((INDEX($E1070:$G1070,O$5)-SUMIFS(TF_Timer,TF_Tekniker,O$4,TF_Dato,$A1070))*2,0)/2)))</f>
        <v/>
      </c>
      <c r="P1070">
        <f>IF(OR(P$4="",$A1070&gt;TODAY()),0,IF(OR(INDEX($B1070:$D1070,P$5)="F",AND(P$6&gt;0,$A1070&lt;P$6),AND(P$7&gt;0,$A1070&gt;P$7)),0,MAX(0,ROUND((INDEX($E1070:$G1070,P$5)-SUMIFS(TF_Timer,TF_Tekniker,P$4,TF_Dato,$A1070))*2,0)/2)))</f>
        <v/>
      </c>
      <c r="Q1070">
        <f>IF(OR(Q$4="",$A1070&gt;TODAY()),0,IF(OR(INDEX($B1070:$D1070,Q$5)="F",AND(Q$6&gt;0,$A1070&lt;Q$6),AND(Q$7&gt;0,$A1070&gt;Q$7)),0,MAX(0,ROUND((INDEX($E1070:$G1070,Q$5)-SUMIFS(TF_Timer,TF_Tekniker,Q$4,TF_Dato,$A1070))*2,0)/2)))</f>
        <v/>
      </c>
      <c r="R1070">
        <f>IF(OR(R$4="",$A1070&gt;TODAY()),0,IF(OR(INDEX($B1070:$D1070,R$5)="F",AND(R$6&gt;0,$A1070&lt;R$6),AND(R$7&gt;0,$A1070&gt;R$7)),0,MAX(0,ROUND((INDEX($E1070:$G1070,R$5)-SUMIFS(TF_Timer,TF_Tekniker,R$4,TF_Dato,$A1070))*2,0)/2)))</f>
        <v/>
      </c>
      <c r="S1070">
        <f>IF(OR(S$4="",$A1070&gt;TODAY()),0,IF(OR(INDEX($B1070:$D1070,S$5)="F",AND(S$6&gt;0,$A1070&lt;S$6),AND(S$7&gt;0,$A1070&gt;S$7)),0,MAX(0,ROUND((INDEX($E1070:$G1070,S$5)-SUMIFS(TF_Timer,TF_Tekniker,S$4,TF_Dato,$A1070))*2,0)/2)))</f>
        <v/>
      </c>
      <c r="T1070">
        <f>IF(OR(T$4="",$A1070&gt;TODAY()),0,IF(OR(INDEX($B1070:$D1070,T$5)="F",AND(T$6&gt;0,$A1070&lt;T$6),AND(T$7&gt;0,$A1070&gt;T$7)),0,MAX(0,ROUND((INDEX($E1070:$G1070,T$5)-SUMIFS(TF_Timer,TF_Tekniker,T$4,TF_Dato,$A1070))*2,0)/2)))</f>
        <v/>
      </c>
      <c r="U1070">
        <f>IF(OR(U$4="",$A1070&gt;TODAY()),0,IF(OR(INDEX($B1070:$D1070,U$5)="F",AND(U$6&gt;0,$A1070&lt;U$6),AND(U$7&gt;0,$A1070&gt;U$7)),0,MAX(0,ROUND((INDEX($E1070:$G1070,U$5)-SUMIFS(TF_Timer,TF_Tekniker,U$4,TF_Dato,$A1070))*2,0)/2)))</f>
        <v/>
      </c>
      <c r="V1070">
        <f>IF(OR(V$4="",$A1070&gt;TODAY()),0,IF(OR(INDEX($B1070:$D1070,V$5)="F",AND(V$6&gt;0,$A1070&lt;V$6),AND(V$7&gt;0,$A1070&gt;V$7)),0,MAX(0,ROUND((INDEX($E1070:$G1070,V$5)-SUMIFS(TF_Timer,TF_Tekniker,V$4,TF_Dato,$A1070))*2,0)/2)))</f>
        <v/>
      </c>
      <c r="W1070">
        <f>IF(OR(W$4="",$A1070&gt;TODAY()),0,IF(OR(INDEX($B1070:$D1070,W$5)="F",AND(W$6&gt;0,$A1070&lt;W$6),AND(W$7&gt;0,$A1070&gt;W$7)),0,MAX(0,ROUND((INDEX($E1070:$G1070,W$5)-SUMIFS(TF_Timer,TF_Tekniker,W$4,TF_Dato,$A1070))*2,0)/2)))</f>
        <v/>
      </c>
      <c r="X1070">
        <f>IF(OR(X$4="",$A1070&gt;TODAY()),0,IF(OR(INDEX($B1070:$D1070,X$5)="F",AND(X$6&gt;0,$A1070&lt;X$6),AND(X$7&gt;0,$A1070&gt;X$7)),0,MAX(0,ROUND((INDEX($E1070:$G1070,X$5)-SUMIFS(TF_Timer,TF_Tekniker,X$4,TF_Dato,$A1070))*2,0)/2)))</f>
        <v/>
      </c>
      <c r="Y1070">
        <f>IF(OR(Y$4="",$A1070&gt;TODAY()),0,IF(OR(INDEX($B1070:$D1070,Y$5)="F",AND(Y$6&gt;0,$A1070&lt;Y$6),AND(Y$7&gt;0,$A1070&gt;Y$7)),0,MAX(0,ROUND((INDEX($E1070:$G1070,Y$5)-SUMIFS(TF_Timer,TF_Tekniker,Y$4,TF_Dato,$A1070))*2,0)/2)))</f>
        <v/>
      </c>
      <c r="Z1070">
        <f>IF(OR(Z$4="",$A1070&gt;TODAY()),0,IF(OR(INDEX($B1070:$D1070,Z$5)="F",AND(Z$6&gt;0,$A1070&lt;Z$6),AND(Z$7&gt;0,$A1070&gt;Z$7)),0,MAX(0,ROUND((INDEX($E1070:$G1070,Z$5)-SUMIFS(TF_Timer,TF_Tekniker,Z$4,TF_Dato,$A1070))*2,0)/2)))</f>
        <v/>
      </c>
      <c r="AA1070">
        <f>IF(OR(AA$4="",$A1070&gt;TODAY()),0,IF(OR(INDEX($B1070:$D1070,AA$5)="F",AND(AA$6&gt;0,$A1070&lt;AA$6),AND(AA$7&gt;0,$A1070&gt;AA$7)),0,MAX(0,ROUND((INDEX($E1070:$G1070,AA$5)-SUMIFS(TF_Timer,TF_Tekniker,AA$4,TF_Dato,$A1070))*2,0)/2)))</f>
        <v/>
      </c>
      <c r="AB1070">
        <f>IF(OR(AB$4="",$A1070&gt;TODAY()),0,IF(OR(INDEX($B1070:$D1070,AB$5)="F",AND(AB$6&gt;0,$A1070&lt;AB$6),AND(AB$7&gt;0,$A1070&gt;AB$7)),0,MAX(0,ROUND((INDEX($E1070:$G1070,AB$5)-SUMIFS(TF_Timer,TF_Tekniker,AB$4,TF_Dato,$A1070))*2,0)/2)))</f>
        <v/>
      </c>
      <c r="AC1070">
        <f>IF(OR(AC$4="",$A1070&gt;TODAY()),0,IF(OR(INDEX($B1070:$D1070,AC$5)="F",AND(AC$6&gt;0,$A1070&lt;AC$6),AND(AC$7&gt;0,$A1070&gt;AC$7)),0,MAX(0,ROUND((INDEX($E1070:$G1070,AC$5)-SUMIFS(TF_Timer,TF_Tekniker,AC$4,TF_Dato,$A1070))*2,0)/2)))</f>
        <v/>
      </c>
      <c r="AD1070">
        <f>IF(OR(AD$4="",$A1070&gt;TODAY()),0,IF(OR(INDEX($B1070:$D1070,AD$5)="F",AND(AD$6&gt;0,$A1070&lt;AD$6),AND(AD$7&gt;0,$A1070&gt;AD$7)),0,MAX(0,ROUND((INDEX($E1070:$G1070,AD$5)-SUMIFS(TF_Timer,TF_Tekniker,AD$4,TF_Dato,$A1070))*2,0)/2)))</f>
        <v/>
      </c>
      <c r="AE1070">
        <f>IF(OR(AE$4="",$A1070&gt;TODAY()),0,IF(OR(INDEX($B1070:$D1070,AE$5)="F",AND(AE$6&gt;0,$A1070&lt;AE$6),AND(AE$7&gt;0,$A1070&gt;AE$7)),0,MAX(0,ROUND((INDEX($E1070:$G1070,AE$5)-SUMIFS(TF_Timer,TF_Tekniker,AE$4,TF_Dato,$A1070))*2,0)/2)))</f>
        <v/>
      </c>
      <c r="AF1070">
        <f>IF(OR(AF$4="",$A1070&gt;TODAY()),0,IF(OR(INDEX($B1070:$D1070,AF$5)="F",AND(AF$6&gt;0,$A1070&lt;AF$6),AND(AF$7&gt;0,$A1070&gt;AF$7)),0,MAX(0,ROUND((INDEX($E1070:$G1070,AF$5)-SUMIFS(TF_Timer,TF_Tekniker,AF$4,TF_Dato,$A1070))*2,0)/2)))</f>
        <v/>
      </c>
      <c r="AG1070">
        <f>IF(OR(AG$4="",$A1070&gt;TODAY()),0,IF(OR(INDEX($B1070:$D1070,AG$5)="F",AND(AG$6&gt;0,$A1070&lt;AG$6),AND(AG$7&gt;0,$A1070&gt;AG$7)),0,MAX(0,ROUND((INDEX($E1070:$G1070,AG$5)-SUMIFS(TF_Timer,TF_Tekniker,AG$4,TF_Dato,$A1070))*2,0)/2)))</f>
        <v/>
      </c>
      <c r="AH1070">
        <f>IF(OR(AH$4="",$A1070&gt;TODAY()),0,IF(OR(INDEX($B1070:$D1070,AH$5)="F",AND(AH$6&gt;0,$A1070&lt;AH$6),AND(AH$7&gt;0,$A1070&gt;AH$7)),0,MAX(0,ROUND((INDEX($E1070:$G1070,AH$5)-SUMIFS(TF_Timer,TF_Tekniker,AH$4,TF_Dato,$A1070))*2,0)/2)))</f>
        <v/>
      </c>
      <c r="AI1070">
        <f>IF(OR(AI$4="",$A1070&gt;TODAY()),0,IF(OR(INDEX($B1070:$D1070,AI$5)="F",AND(AI$6&gt;0,$A1070&lt;AI$6),AND(AI$7&gt;0,$A1070&gt;AI$7)),0,MAX(0,ROUND((INDEX($E1070:$G1070,AI$5)-SUMIFS(TF_Timer,TF_Tekniker,AI$4,TF_Dato,$A1070))*2,0)/2)))</f>
        <v/>
      </c>
      <c r="AJ1070">
        <f>IF(OR(AJ$4="",$A1070&gt;TODAY()),0,IF(OR(INDEX($B1070:$D1070,AJ$5)="F",AND(AJ$6&gt;0,$A1070&lt;AJ$6),AND(AJ$7&gt;0,$A1070&gt;AJ$7)),0,MAX(0,ROUND((INDEX($E1070:$G1070,AJ$5)-SUMIFS(TF_Timer,TF_Tekniker,AJ$4,TF_Dato,$A1070))*2,0)/2)))</f>
        <v/>
      </c>
      <c r="AK1070">
        <f>IF(OR(AK$4="",$A1070&gt;TODAY()),0,IF(OR(INDEX($B1070:$D1070,AK$5)="F",AND(AK$6&gt;0,$A1070&lt;AK$6),AND(AK$7&gt;0,$A1070&gt;AK$7)),0,MAX(0,ROUND((INDEX($E1070:$G1070,AK$5)-SUMIFS(TF_Timer,TF_Tekniker,AK$4,TF_Dato,$A1070))*2,0)/2)))</f>
        <v/>
      </c>
      <c r="AL1070">
        <f>IF(OR(AL$4="",$A1070&gt;TODAY()),0,IF(OR(INDEX($B1070:$D1070,AL$5)="F",AND(AL$6&gt;0,$A1070&lt;AL$6),AND(AL$7&gt;0,$A1070&gt;AL$7)),0,MAX(0,ROUND((INDEX($E1070:$G1070,AL$5)-SUMIFS(TF_Timer,TF_Tekniker,AL$4,TF_Dato,$A1070))*2,0)/2)))</f>
        <v/>
      </c>
      <c r="AM1070">
        <f>IF(OR(AM$4="",$A1070&gt;TODAY()),0,IF(OR(INDEX($B1070:$D1070,AM$5)="F",AND(AM$6&gt;0,$A1070&lt;AM$6),AND(AM$7&gt;0,$A1070&gt;AM$7)),0,MAX(0,ROUND((INDEX($E1070:$G1070,AM$5)-SUMIFS(TF_Timer,TF_Tekniker,AM$4,TF_Dato,$A1070))*2,0)/2)))</f>
        <v/>
      </c>
      <c r="AN1070">
        <f>IF(OR(AN$4="",$A1070&gt;TODAY()),0,IF(OR(INDEX($B1070:$D1070,AN$5)="F",AND(AN$6&gt;0,$A1070&lt;AN$6),AND(AN$7&gt;0,$A1070&gt;AN$7)),0,MAX(0,ROUND((INDEX($E1070:$G1070,AN$5)-SUMIFS(TF_Timer,TF_Tekniker,AN$4,TF_Dato,$A1070))*2,0)/2)))</f>
        <v/>
      </c>
      <c r="AO1070">
        <f>IF(OR(AO$4="",$A1070&gt;TODAY()),0,IF(OR(INDEX($B1070:$D1070,AO$5)="F",AND(AO$6&gt;0,$A1070&lt;AO$6),AND(AO$7&gt;0,$A1070&gt;AO$7)),0,MAX(0,ROUND((INDEX($E1070:$G1070,AO$5)-SUMIFS(TF_Timer,TF_Tekniker,AO$4,TF_Dato,$A1070))*2,0)/2)))</f>
        <v/>
      </c>
      <c r="AP1070">
        <f>IF(OR(AP$4="",$A1070&gt;TODAY()),0,IF(OR(INDEX($B1070:$D1070,AP$5)="F",AND(AP$6&gt;0,$A1070&lt;AP$6),AND(AP$7&gt;0,$A1070&gt;AP$7)),0,MAX(0,ROUND((INDEX($E1070:$G1070,AP$5)-SUMIFS(TF_Timer,TF_Tekniker,AP$4,TF_Dato,$A1070))*2,0)/2)))</f>
        <v/>
      </c>
      <c r="AQ1070">
        <f>IF(OR(AQ$4="",$A1070&gt;TODAY()),0,IF(OR(INDEX($B1070:$D1070,AQ$5)="F",AND(AQ$6&gt;0,$A1070&lt;AQ$6),AND(AQ$7&gt;0,$A1070&gt;AQ$7)),0,MAX(0,ROUND((INDEX($E1070:$G1070,AQ$5)-SUMIFS(TF_Timer,TF_Tekniker,AQ$4,TF_Dato,$A1070))*2,0)/2)))</f>
        <v/>
      </c>
      <c r="AR1070">
        <f>IF(OR(AR$4="",$A1070&gt;TODAY()),0,IF(OR(INDEX($B1070:$D1070,AR$5)="F",AND(AR$6&gt;0,$A1070&lt;AR$6),AND(AR$7&gt;0,$A1070&gt;AR$7)),0,MAX(0,ROUND((INDEX($E1070:$G1070,AR$5)-SUMIFS(TF_Timer,TF_Tekniker,AR$4,TF_Dato,$A1070))*2,0)/2)))</f>
        <v/>
      </c>
      <c r="AS1070">
        <f>IF(OR(AS$4="",$A1070&gt;TODAY()),0,IF(OR(INDEX($B1070:$D1070,AS$5)="F",AND(AS$6&gt;0,$A1070&lt;AS$6),AND(AS$7&gt;0,$A1070&gt;AS$7)),0,MAX(0,ROUND((INDEX($E1070:$G1070,AS$5)-SUMIFS(TF_Timer,TF_Tekniker,AS$4,TF_Dato,$A1070))*2,0)/2)))</f>
        <v/>
      </c>
      <c r="AT1070">
        <f>IF(OR(AT$4="",$A1070&gt;TODAY()),0,IF(OR(INDEX($B1070:$D1070,AT$5)="F",AND(AT$6&gt;0,$A1070&lt;AT$6),AND(AT$7&gt;0,$A1070&gt;AT$7)),0,MAX(0,ROUND((INDEX($E1070:$G1070,AT$5)-SUMIFS(TF_Timer,TF_Tekniker,AT$4,TF_Dato,$A1070))*2,0)/2)))</f>
        <v/>
      </c>
      <c r="AU1070">
        <f>IF(OR(AU$4="",$A1070&gt;TODAY()),0,IF(OR(INDEX($B1070:$D1070,AU$5)="F",AND(AU$6&gt;0,$A1070&lt;AU$6),AND(AU$7&gt;0,$A1070&gt;AU$7)),0,MAX(0,ROUND((INDEX($E1070:$G1070,AU$5)-SUMIFS(TF_Timer,TF_Tekniker,AU$4,TF_Dato,$A1070))*2,0)/2)))</f>
        <v/>
      </c>
      <c r="AV1070">
        <f>IF(OR(AV$4="",$A1070&gt;TODAY()),0,IF(OR(INDEX($B1070:$D1070,AV$5)="F",AND(AV$6&gt;0,$A1070&lt;AV$6),AND(AV$7&gt;0,$A1070&gt;AV$7)),0,MAX(0,ROUND((INDEX($E1070:$G1070,AV$5)-SUMIFS(TF_Timer,TF_Tekniker,AV$4,TF_Dato,$A1070))*2,0)/2)))</f>
        <v/>
      </c>
      <c r="AW1070">
        <f>IF(OR(AW$4="",$A1070&gt;TODAY()),0,IF(OR(INDEX($B1070:$D1070,AW$5)="F",AND(AW$6&gt;0,$A1070&lt;AW$6),AND(AW$7&gt;0,$A1070&gt;AW$7)),0,MAX(0,ROUND((INDEX($E1070:$G1070,AW$5)-SUMIFS(TF_Timer,TF_Tekniker,AW$4,TF_Dato,$A1070))*2,0)/2)))</f>
        <v/>
      </c>
      <c r="AX1070">
        <f>IF(OR(AX$4="",$A1070&gt;TODAY()),0,IF(OR(INDEX($B1070:$D1070,AX$5)="F",AND(AX$6&gt;0,$A1070&lt;AX$6),AND(AX$7&gt;0,$A1070&gt;AX$7)),0,MAX(0,ROUND((INDEX($E1070:$G1070,AX$5)-SUMIFS(TF_Timer,TF_Tekniker,AX$4,TF_Dato,$A1070))*2,0)/2)))</f>
        <v/>
      </c>
      <c r="AY1070">
        <f>IF(OR(AY$4="",$A1070&gt;TODAY()),0,IF(OR(INDEX($B1070:$D1070,AY$5)="F",AND(AY$6&gt;0,$A1070&lt;AY$6),AND(AY$7&gt;0,$A1070&gt;AY$7)),0,MAX(0,ROUND((INDEX($E1070:$G1070,AY$5)-SUMIFS(TF_Timer,TF_Tekniker,AY$4,TF_Dato,$A1070))*2,0)/2)))</f>
        <v/>
      </c>
      <c r="AZ1070">
        <f>IF(OR(AZ$4="",$A1070&gt;TODAY()),0,IF(OR(INDEX($B1070:$D1070,AZ$5)="F",AND(AZ$6&gt;0,$A1070&lt;AZ$6),AND(AZ$7&gt;0,$A1070&gt;AZ$7)),0,MAX(0,ROUND((INDEX($E1070:$G1070,AZ$5)-SUMIFS(TF_Timer,TF_Tekniker,AZ$4,TF_Dato,$A1070))*2,0)/2)))</f>
        <v/>
      </c>
      <c r="BA1070">
        <f>IF(OR(BA$4="",$A1070&gt;TODAY()),0,IF(OR(INDEX($B1070:$D1070,BA$5)="F",AND(BA$6&gt;0,$A1070&lt;BA$6),AND(BA$7&gt;0,$A1070&gt;BA$7)),0,MAX(0,ROUND((INDEX($E1070:$G1070,BA$5)-SUMIFS(TF_Timer,TF_Tekniker,BA$4,TF_Dato,$A1070))*2,0)/2)))</f>
        <v/>
      </c>
      <c r="BB1070">
        <f>IF(OR(BB$4="",$A1070&gt;TODAY()),0,IF(OR(INDEX($B1070:$D1070,BB$5)="F",AND(BB$6&gt;0,$A1070&lt;BB$6),AND(BB$7&gt;0,$A1070&gt;BB$7)),0,MAX(0,ROUND((INDEX($E1070:$G1070,BB$5)-SUMIFS(TF_Timer,TF_Tekniker,BB$4,TF_Dato,$A1070))*2,0)/2)))</f>
        <v/>
      </c>
      <c r="BC1070">
        <f>IF(OR(BC$4="",$A1070&gt;TODAY()),0,IF(OR(INDEX($B1070:$D1070,BC$5)="F",AND(BC$6&gt;0,$A1070&lt;BC$6),AND(BC$7&gt;0,$A1070&gt;BC$7)),0,MAX(0,ROUND((INDEX($E1070:$G1070,BC$5)-SUMIFS(TF_Timer,TF_Tekniker,BC$4,TF_Dato,$A1070))*2,0)/2)))</f>
        <v/>
      </c>
      <c r="BD1070">
        <f>IF(OR(BD$4="",$A1070&gt;TODAY()),0,IF(OR(INDEX($B1070:$D1070,BD$5)="F",AND(BD$6&gt;0,$A1070&lt;BD$6),AND(BD$7&gt;0,$A1070&gt;BD$7)),0,MAX(0,ROUND((INDEX($E1070:$G1070,BD$5)-SUMIFS(TF_Timer,TF_Tekniker,BD$4,TF_Dato,$A1070))*2,0)/2)))</f>
        <v/>
      </c>
      <c r="BE1070">
        <f>IF(OR(BE$4="",$A1070&gt;TODAY()),0,IF(OR(INDEX($B1070:$D1070,BE$5)="F",AND(BE$6&gt;0,$A1070&lt;BE$6),AND(BE$7&gt;0,$A1070&gt;BE$7)),0,MAX(0,ROUND((INDEX($E1070:$G1070,BE$5)-SUMIFS(TF_Timer,TF_Tekniker,BE$4,TF_Dato,$A1070))*2,0)/2)))</f>
        <v/>
      </c>
      <c r="BF1070">
        <f>IF(OR(BF$4="",$A1070&gt;TODAY()),0,IF(OR(INDEX($B1070:$D1070,BF$5)="F",AND(BF$6&gt;0,$A1070&lt;BF$6),AND(BF$7&gt;0,$A1070&gt;BF$7)),0,MAX(0,ROUND((INDEX($E1070:$G1070,BF$5)-SUMIFS(TF_Timer,TF_Tekniker,BF$4,TF_Dato,$A1070))*2,0)/2)))</f>
        <v/>
      </c>
      <c r="BG1070">
        <f>IF(OR(BG$4="",$A1070&gt;TODAY()),0,IF(OR(INDEX($B1070:$D1070,BG$5)="F",AND(BG$6&gt;0,$A1070&lt;BG$6),AND(BG$7&gt;0,$A1070&gt;BG$7)),0,MAX(0,ROUND((INDEX($E1070:$G1070,BG$5)-SUMIFS(TF_Timer,TF_Tekniker,BG$4,TF_Dato,$A1070))*2,0)/2)))</f>
        <v/>
      </c>
      <c r="BH1070">
        <f>IF(OR(BH$4="",$A1070&gt;TODAY()),0,IF(OR(INDEX($B1070:$D1070,BH$5)="F",AND(BH$6&gt;0,$A1070&lt;BH$6),AND(BH$7&gt;0,$A1070&gt;BH$7)),0,MAX(0,ROUND((INDEX($E1070:$G1070,BH$5)-SUMIFS(TF_Timer,TF_Tekniker,BH$4,TF_Dato,$A1070))*2,0)/2)))</f>
        <v/>
      </c>
      <c r="BI1070">
        <f>IF(OR(BI$4="",$A1070&gt;TODAY()),0,IF(OR(INDEX($B1070:$D1070,BI$5)="F",AND(BI$6&gt;0,$A1070&lt;BI$6),AND(BI$7&gt;0,$A1070&gt;BI$7)),0,MAX(0,ROUND((INDEX($E1070:$G1070,BI$5)-SUMIFS(TF_Timer,TF_Tekniker,BI$4,TF_Dato,$A1070))*2,0)/2)))</f>
        <v/>
      </c>
    </row>
    <row r="1071">
      <c r="A1071" s="64">
        <f>A1070+1</f>
        <v/>
      </c>
      <c r="B1071">
        <f>IF(MOD($A1071-INDEX(SkiftStart,1),Syklus)&lt;DagK,"K",IF(MOD($A1071-INDEX(SkiftStart,1),Syklus)&lt;DagK+DagH,"H",IF(MOD($A1071-INDEX(SkiftStart,1),Syklus)&lt;DagK+DagH+DagD,"D","F")))</f>
        <v/>
      </c>
      <c r="C1071">
        <f>IF(MOD($A1071-INDEX(SkiftStart,2),Syklus)&lt;DagK,"K",IF(MOD($A1071-INDEX(SkiftStart,2),Syklus)&lt;DagK+DagH,"H",IF(MOD($A1071-INDEX(SkiftStart,2),Syklus)&lt;DagK+DagH+DagD,"D","F")))</f>
        <v/>
      </c>
      <c r="D1071">
        <f>IF(MOD($A1071-INDEX(SkiftStart,3),Syklus)&lt;DagK,"K",IF(MOD($A1071-INDEX(SkiftStart,3),Syklus)&lt;DagK+DagH,"H",IF(MOD($A1071-INDEX(SkiftStart,3),Syklus)&lt;DagK+DagH+DagD,"D","F")))</f>
        <v/>
      </c>
      <c r="E1071">
        <f>IF(B1071="F",0,IF(WEEKDAY($A1071,2)=5,INDEX(TimerFr,MATCH(B1071,FaseKode,0)),INDEX(TimerMT,MATCH(B1071,FaseKode,0))))</f>
        <v/>
      </c>
      <c r="F1071">
        <f>IF(C1071="F",0,IF(WEEKDAY($A1071,2)=5,INDEX(TimerFr,MATCH(C1071,FaseKode,0)),INDEX(TimerMT,MATCH(C1071,FaseKode,0))))</f>
        <v/>
      </c>
      <c r="G1071">
        <f>IF(D1071="F",0,IF(WEEKDAY($A1071,2)=5,INDEX(TimerFr,MATCH(D1071,FaseKode,0)),INDEX(TimerMT,MATCH(D1071,FaseKode,0))))</f>
        <v/>
      </c>
      <c r="H1071">
        <f>IF(OR(H$4="",$A1071&gt;TODAY()),0,IF(OR(INDEX($B1071:$D1071,H$5)="F",AND(H$6&gt;0,$A1071&lt;H$6),AND(H$7&gt;0,$A1071&gt;H$7)),0,MAX(0,ROUND((INDEX($E1071:$G1071,H$5)-SUMIFS(TF_Timer,TF_Tekniker,H$4,TF_Dato,$A1071))*2,0)/2)))</f>
        <v/>
      </c>
      <c r="I1071">
        <f>IF(OR(I$4="",$A1071&gt;TODAY()),0,IF(OR(INDEX($B1071:$D1071,I$5)="F",AND(I$6&gt;0,$A1071&lt;I$6),AND(I$7&gt;0,$A1071&gt;I$7)),0,MAX(0,ROUND((INDEX($E1071:$G1071,I$5)-SUMIFS(TF_Timer,TF_Tekniker,I$4,TF_Dato,$A1071))*2,0)/2)))</f>
        <v/>
      </c>
      <c r="J1071">
        <f>IF(OR(J$4="",$A1071&gt;TODAY()),0,IF(OR(INDEX($B1071:$D1071,J$5)="F",AND(J$6&gt;0,$A1071&lt;J$6),AND(J$7&gt;0,$A1071&gt;J$7)),0,MAX(0,ROUND((INDEX($E1071:$G1071,J$5)-SUMIFS(TF_Timer,TF_Tekniker,J$4,TF_Dato,$A1071))*2,0)/2)))</f>
        <v/>
      </c>
      <c r="K1071">
        <f>IF(OR(K$4="",$A1071&gt;TODAY()),0,IF(OR(INDEX($B1071:$D1071,K$5)="F",AND(K$6&gt;0,$A1071&lt;K$6),AND(K$7&gt;0,$A1071&gt;K$7)),0,MAX(0,ROUND((INDEX($E1071:$G1071,K$5)-SUMIFS(TF_Timer,TF_Tekniker,K$4,TF_Dato,$A1071))*2,0)/2)))</f>
        <v/>
      </c>
      <c r="L1071">
        <f>IF(OR(L$4="",$A1071&gt;TODAY()),0,IF(OR(INDEX($B1071:$D1071,L$5)="F",AND(L$6&gt;0,$A1071&lt;L$6),AND(L$7&gt;0,$A1071&gt;L$7)),0,MAX(0,ROUND((INDEX($E1071:$G1071,L$5)-SUMIFS(TF_Timer,TF_Tekniker,L$4,TF_Dato,$A1071))*2,0)/2)))</f>
        <v/>
      </c>
      <c r="M1071">
        <f>IF(OR(M$4="",$A1071&gt;TODAY()),0,IF(OR(INDEX($B1071:$D1071,M$5)="F",AND(M$6&gt;0,$A1071&lt;M$6),AND(M$7&gt;0,$A1071&gt;M$7)),0,MAX(0,ROUND((INDEX($E1071:$G1071,M$5)-SUMIFS(TF_Timer,TF_Tekniker,M$4,TF_Dato,$A1071))*2,0)/2)))</f>
        <v/>
      </c>
      <c r="N1071">
        <f>IF(OR(N$4="",$A1071&gt;TODAY()),0,IF(OR(INDEX($B1071:$D1071,N$5)="F",AND(N$6&gt;0,$A1071&lt;N$6),AND(N$7&gt;0,$A1071&gt;N$7)),0,MAX(0,ROUND((INDEX($E1071:$G1071,N$5)-SUMIFS(TF_Timer,TF_Tekniker,N$4,TF_Dato,$A1071))*2,0)/2)))</f>
        <v/>
      </c>
      <c r="O1071">
        <f>IF(OR(O$4="",$A1071&gt;TODAY()),0,IF(OR(INDEX($B1071:$D1071,O$5)="F",AND(O$6&gt;0,$A1071&lt;O$6),AND(O$7&gt;0,$A1071&gt;O$7)),0,MAX(0,ROUND((INDEX($E1071:$G1071,O$5)-SUMIFS(TF_Timer,TF_Tekniker,O$4,TF_Dato,$A1071))*2,0)/2)))</f>
        <v/>
      </c>
      <c r="P1071">
        <f>IF(OR(P$4="",$A1071&gt;TODAY()),0,IF(OR(INDEX($B1071:$D1071,P$5)="F",AND(P$6&gt;0,$A1071&lt;P$6),AND(P$7&gt;0,$A1071&gt;P$7)),0,MAX(0,ROUND((INDEX($E1071:$G1071,P$5)-SUMIFS(TF_Timer,TF_Tekniker,P$4,TF_Dato,$A1071))*2,0)/2)))</f>
        <v/>
      </c>
      <c r="Q1071">
        <f>IF(OR(Q$4="",$A1071&gt;TODAY()),0,IF(OR(INDEX($B1071:$D1071,Q$5)="F",AND(Q$6&gt;0,$A1071&lt;Q$6),AND(Q$7&gt;0,$A1071&gt;Q$7)),0,MAX(0,ROUND((INDEX($E1071:$G1071,Q$5)-SUMIFS(TF_Timer,TF_Tekniker,Q$4,TF_Dato,$A1071))*2,0)/2)))</f>
        <v/>
      </c>
      <c r="R1071">
        <f>IF(OR(R$4="",$A1071&gt;TODAY()),0,IF(OR(INDEX($B1071:$D1071,R$5)="F",AND(R$6&gt;0,$A1071&lt;R$6),AND(R$7&gt;0,$A1071&gt;R$7)),0,MAX(0,ROUND((INDEX($E1071:$G1071,R$5)-SUMIFS(TF_Timer,TF_Tekniker,R$4,TF_Dato,$A1071))*2,0)/2)))</f>
        <v/>
      </c>
      <c r="S1071">
        <f>IF(OR(S$4="",$A1071&gt;TODAY()),0,IF(OR(INDEX($B1071:$D1071,S$5)="F",AND(S$6&gt;0,$A1071&lt;S$6),AND(S$7&gt;0,$A1071&gt;S$7)),0,MAX(0,ROUND((INDEX($E1071:$G1071,S$5)-SUMIFS(TF_Timer,TF_Tekniker,S$4,TF_Dato,$A1071))*2,0)/2)))</f>
        <v/>
      </c>
      <c r="T1071">
        <f>IF(OR(T$4="",$A1071&gt;TODAY()),0,IF(OR(INDEX($B1071:$D1071,T$5)="F",AND(T$6&gt;0,$A1071&lt;T$6),AND(T$7&gt;0,$A1071&gt;T$7)),0,MAX(0,ROUND((INDEX($E1071:$G1071,T$5)-SUMIFS(TF_Timer,TF_Tekniker,T$4,TF_Dato,$A1071))*2,0)/2)))</f>
        <v/>
      </c>
      <c r="U1071">
        <f>IF(OR(U$4="",$A1071&gt;TODAY()),0,IF(OR(INDEX($B1071:$D1071,U$5)="F",AND(U$6&gt;0,$A1071&lt;U$6),AND(U$7&gt;0,$A1071&gt;U$7)),0,MAX(0,ROUND((INDEX($E1071:$G1071,U$5)-SUMIFS(TF_Timer,TF_Tekniker,U$4,TF_Dato,$A1071))*2,0)/2)))</f>
        <v/>
      </c>
      <c r="V1071">
        <f>IF(OR(V$4="",$A1071&gt;TODAY()),0,IF(OR(INDEX($B1071:$D1071,V$5)="F",AND(V$6&gt;0,$A1071&lt;V$6),AND(V$7&gt;0,$A1071&gt;V$7)),0,MAX(0,ROUND((INDEX($E1071:$G1071,V$5)-SUMIFS(TF_Timer,TF_Tekniker,V$4,TF_Dato,$A1071))*2,0)/2)))</f>
        <v/>
      </c>
      <c r="W1071">
        <f>IF(OR(W$4="",$A1071&gt;TODAY()),0,IF(OR(INDEX($B1071:$D1071,W$5)="F",AND(W$6&gt;0,$A1071&lt;W$6),AND(W$7&gt;0,$A1071&gt;W$7)),0,MAX(0,ROUND((INDEX($E1071:$G1071,W$5)-SUMIFS(TF_Timer,TF_Tekniker,W$4,TF_Dato,$A1071))*2,0)/2)))</f>
        <v/>
      </c>
      <c r="X1071">
        <f>IF(OR(X$4="",$A1071&gt;TODAY()),0,IF(OR(INDEX($B1071:$D1071,X$5)="F",AND(X$6&gt;0,$A1071&lt;X$6),AND(X$7&gt;0,$A1071&gt;X$7)),0,MAX(0,ROUND((INDEX($E1071:$G1071,X$5)-SUMIFS(TF_Timer,TF_Tekniker,X$4,TF_Dato,$A1071))*2,0)/2)))</f>
        <v/>
      </c>
      <c r="Y1071">
        <f>IF(OR(Y$4="",$A1071&gt;TODAY()),0,IF(OR(INDEX($B1071:$D1071,Y$5)="F",AND(Y$6&gt;0,$A1071&lt;Y$6),AND(Y$7&gt;0,$A1071&gt;Y$7)),0,MAX(0,ROUND((INDEX($E1071:$G1071,Y$5)-SUMIFS(TF_Timer,TF_Tekniker,Y$4,TF_Dato,$A1071))*2,0)/2)))</f>
        <v/>
      </c>
      <c r="Z1071">
        <f>IF(OR(Z$4="",$A1071&gt;TODAY()),0,IF(OR(INDEX($B1071:$D1071,Z$5)="F",AND(Z$6&gt;0,$A1071&lt;Z$6),AND(Z$7&gt;0,$A1071&gt;Z$7)),0,MAX(0,ROUND((INDEX($E1071:$G1071,Z$5)-SUMIFS(TF_Timer,TF_Tekniker,Z$4,TF_Dato,$A1071))*2,0)/2)))</f>
        <v/>
      </c>
      <c r="AA1071">
        <f>IF(OR(AA$4="",$A1071&gt;TODAY()),0,IF(OR(INDEX($B1071:$D1071,AA$5)="F",AND(AA$6&gt;0,$A1071&lt;AA$6),AND(AA$7&gt;0,$A1071&gt;AA$7)),0,MAX(0,ROUND((INDEX($E1071:$G1071,AA$5)-SUMIFS(TF_Timer,TF_Tekniker,AA$4,TF_Dato,$A1071))*2,0)/2)))</f>
        <v/>
      </c>
      <c r="AB1071">
        <f>IF(OR(AB$4="",$A1071&gt;TODAY()),0,IF(OR(INDEX($B1071:$D1071,AB$5)="F",AND(AB$6&gt;0,$A1071&lt;AB$6),AND(AB$7&gt;0,$A1071&gt;AB$7)),0,MAX(0,ROUND((INDEX($E1071:$G1071,AB$5)-SUMIFS(TF_Timer,TF_Tekniker,AB$4,TF_Dato,$A1071))*2,0)/2)))</f>
        <v/>
      </c>
      <c r="AC1071">
        <f>IF(OR(AC$4="",$A1071&gt;TODAY()),0,IF(OR(INDEX($B1071:$D1071,AC$5)="F",AND(AC$6&gt;0,$A1071&lt;AC$6),AND(AC$7&gt;0,$A1071&gt;AC$7)),0,MAX(0,ROUND((INDEX($E1071:$G1071,AC$5)-SUMIFS(TF_Timer,TF_Tekniker,AC$4,TF_Dato,$A1071))*2,0)/2)))</f>
        <v/>
      </c>
      <c r="AD1071">
        <f>IF(OR(AD$4="",$A1071&gt;TODAY()),0,IF(OR(INDEX($B1071:$D1071,AD$5)="F",AND(AD$6&gt;0,$A1071&lt;AD$6),AND(AD$7&gt;0,$A1071&gt;AD$7)),0,MAX(0,ROUND((INDEX($E1071:$G1071,AD$5)-SUMIFS(TF_Timer,TF_Tekniker,AD$4,TF_Dato,$A1071))*2,0)/2)))</f>
        <v/>
      </c>
      <c r="AE1071">
        <f>IF(OR(AE$4="",$A1071&gt;TODAY()),0,IF(OR(INDEX($B1071:$D1071,AE$5)="F",AND(AE$6&gt;0,$A1071&lt;AE$6),AND(AE$7&gt;0,$A1071&gt;AE$7)),0,MAX(0,ROUND((INDEX($E1071:$G1071,AE$5)-SUMIFS(TF_Timer,TF_Tekniker,AE$4,TF_Dato,$A1071))*2,0)/2)))</f>
        <v/>
      </c>
      <c r="AF1071">
        <f>IF(OR(AF$4="",$A1071&gt;TODAY()),0,IF(OR(INDEX($B1071:$D1071,AF$5)="F",AND(AF$6&gt;0,$A1071&lt;AF$6),AND(AF$7&gt;0,$A1071&gt;AF$7)),0,MAX(0,ROUND((INDEX($E1071:$G1071,AF$5)-SUMIFS(TF_Timer,TF_Tekniker,AF$4,TF_Dato,$A1071))*2,0)/2)))</f>
        <v/>
      </c>
      <c r="AG1071">
        <f>IF(OR(AG$4="",$A1071&gt;TODAY()),0,IF(OR(INDEX($B1071:$D1071,AG$5)="F",AND(AG$6&gt;0,$A1071&lt;AG$6),AND(AG$7&gt;0,$A1071&gt;AG$7)),0,MAX(0,ROUND((INDEX($E1071:$G1071,AG$5)-SUMIFS(TF_Timer,TF_Tekniker,AG$4,TF_Dato,$A1071))*2,0)/2)))</f>
        <v/>
      </c>
      <c r="AH1071">
        <f>IF(OR(AH$4="",$A1071&gt;TODAY()),0,IF(OR(INDEX($B1071:$D1071,AH$5)="F",AND(AH$6&gt;0,$A1071&lt;AH$6),AND(AH$7&gt;0,$A1071&gt;AH$7)),0,MAX(0,ROUND((INDEX($E1071:$G1071,AH$5)-SUMIFS(TF_Timer,TF_Tekniker,AH$4,TF_Dato,$A1071))*2,0)/2)))</f>
        <v/>
      </c>
      <c r="AI1071">
        <f>IF(OR(AI$4="",$A1071&gt;TODAY()),0,IF(OR(INDEX($B1071:$D1071,AI$5)="F",AND(AI$6&gt;0,$A1071&lt;AI$6),AND(AI$7&gt;0,$A1071&gt;AI$7)),0,MAX(0,ROUND((INDEX($E1071:$G1071,AI$5)-SUMIFS(TF_Timer,TF_Tekniker,AI$4,TF_Dato,$A1071))*2,0)/2)))</f>
        <v/>
      </c>
      <c r="AJ1071">
        <f>IF(OR(AJ$4="",$A1071&gt;TODAY()),0,IF(OR(INDEX($B1071:$D1071,AJ$5)="F",AND(AJ$6&gt;0,$A1071&lt;AJ$6),AND(AJ$7&gt;0,$A1071&gt;AJ$7)),0,MAX(0,ROUND((INDEX($E1071:$G1071,AJ$5)-SUMIFS(TF_Timer,TF_Tekniker,AJ$4,TF_Dato,$A1071))*2,0)/2)))</f>
        <v/>
      </c>
      <c r="AK1071">
        <f>IF(OR(AK$4="",$A1071&gt;TODAY()),0,IF(OR(INDEX($B1071:$D1071,AK$5)="F",AND(AK$6&gt;0,$A1071&lt;AK$6),AND(AK$7&gt;0,$A1071&gt;AK$7)),0,MAX(0,ROUND((INDEX($E1071:$G1071,AK$5)-SUMIFS(TF_Timer,TF_Tekniker,AK$4,TF_Dato,$A1071))*2,0)/2)))</f>
        <v/>
      </c>
      <c r="AL1071">
        <f>IF(OR(AL$4="",$A1071&gt;TODAY()),0,IF(OR(INDEX($B1071:$D1071,AL$5)="F",AND(AL$6&gt;0,$A1071&lt;AL$6),AND(AL$7&gt;0,$A1071&gt;AL$7)),0,MAX(0,ROUND((INDEX($E1071:$G1071,AL$5)-SUMIFS(TF_Timer,TF_Tekniker,AL$4,TF_Dato,$A1071))*2,0)/2)))</f>
        <v/>
      </c>
      <c r="AM1071">
        <f>IF(OR(AM$4="",$A1071&gt;TODAY()),0,IF(OR(INDEX($B1071:$D1071,AM$5)="F",AND(AM$6&gt;0,$A1071&lt;AM$6),AND(AM$7&gt;0,$A1071&gt;AM$7)),0,MAX(0,ROUND((INDEX($E1071:$G1071,AM$5)-SUMIFS(TF_Timer,TF_Tekniker,AM$4,TF_Dato,$A1071))*2,0)/2)))</f>
        <v/>
      </c>
      <c r="AN1071">
        <f>IF(OR(AN$4="",$A1071&gt;TODAY()),0,IF(OR(INDEX($B1071:$D1071,AN$5)="F",AND(AN$6&gt;0,$A1071&lt;AN$6),AND(AN$7&gt;0,$A1071&gt;AN$7)),0,MAX(0,ROUND((INDEX($E1071:$G1071,AN$5)-SUMIFS(TF_Timer,TF_Tekniker,AN$4,TF_Dato,$A1071))*2,0)/2)))</f>
        <v/>
      </c>
      <c r="AO1071">
        <f>IF(OR(AO$4="",$A1071&gt;TODAY()),0,IF(OR(INDEX($B1071:$D1071,AO$5)="F",AND(AO$6&gt;0,$A1071&lt;AO$6),AND(AO$7&gt;0,$A1071&gt;AO$7)),0,MAX(0,ROUND((INDEX($E1071:$G1071,AO$5)-SUMIFS(TF_Timer,TF_Tekniker,AO$4,TF_Dato,$A1071))*2,0)/2)))</f>
        <v/>
      </c>
      <c r="AP1071">
        <f>IF(OR(AP$4="",$A1071&gt;TODAY()),0,IF(OR(INDEX($B1071:$D1071,AP$5)="F",AND(AP$6&gt;0,$A1071&lt;AP$6),AND(AP$7&gt;0,$A1071&gt;AP$7)),0,MAX(0,ROUND((INDEX($E1071:$G1071,AP$5)-SUMIFS(TF_Timer,TF_Tekniker,AP$4,TF_Dato,$A1071))*2,0)/2)))</f>
        <v/>
      </c>
      <c r="AQ1071">
        <f>IF(OR(AQ$4="",$A1071&gt;TODAY()),0,IF(OR(INDEX($B1071:$D1071,AQ$5)="F",AND(AQ$6&gt;0,$A1071&lt;AQ$6),AND(AQ$7&gt;0,$A1071&gt;AQ$7)),0,MAX(0,ROUND((INDEX($E1071:$G1071,AQ$5)-SUMIFS(TF_Timer,TF_Tekniker,AQ$4,TF_Dato,$A1071))*2,0)/2)))</f>
        <v/>
      </c>
      <c r="AR1071">
        <f>IF(OR(AR$4="",$A1071&gt;TODAY()),0,IF(OR(INDEX($B1071:$D1071,AR$5)="F",AND(AR$6&gt;0,$A1071&lt;AR$6),AND(AR$7&gt;0,$A1071&gt;AR$7)),0,MAX(0,ROUND((INDEX($E1071:$G1071,AR$5)-SUMIFS(TF_Timer,TF_Tekniker,AR$4,TF_Dato,$A1071))*2,0)/2)))</f>
        <v/>
      </c>
      <c r="AS1071">
        <f>IF(OR(AS$4="",$A1071&gt;TODAY()),0,IF(OR(INDEX($B1071:$D1071,AS$5)="F",AND(AS$6&gt;0,$A1071&lt;AS$6),AND(AS$7&gt;0,$A1071&gt;AS$7)),0,MAX(0,ROUND((INDEX($E1071:$G1071,AS$5)-SUMIFS(TF_Timer,TF_Tekniker,AS$4,TF_Dato,$A1071))*2,0)/2)))</f>
        <v/>
      </c>
      <c r="AT1071">
        <f>IF(OR(AT$4="",$A1071&gt;TODAY()),0,IF(OR(INDEX($B1071:$D1071,AT$5)="F",AND(AT$6&gt;0,$A1071&lt;AT$6),AND(AT$7&gt;0,$A1071&gt;AT$7)),0,MAX(0,ROUND((INDEX($E1071:$G1071,AT$5)-SUMIFS(TF_Timer,TF_Tekniker,AT$4,TF_Dato,$A1071))*2,0)/2)))</f>
        <v/>
      </c>
      <c r="AU1071">
        <f>IF(OR(AU$4="",$A1071&gt;TODAY()),0,IF(OR(INDEX($B1071:$D1071,AU$5)="F",AND(AU$6&gt;0,$A1071&lt;AU$6),AND(AU$7&gt;0,$A1071&gt;AU$7)),0,MAX(0,ROUND((INDEX($E1071:$G1071,AU$5)-SUMIFS(TF_Timer,TF_Tekniker,AU$4,TF_Dato,$A1071))*2,0)/2)))</f>
        <v/>
      </c>
      <c r="AV1071">
        <f>IF(OR(AV$4="",$A1071&gt;TODAY()),0,IF(OR(INDEX($B1071:$D1071,AV$5)="F",AND(AV$6&gt;0,$A1071&lt;AV$6),AND(AV$7&gt;0,$A1071&gt;AV$7)),0,MAX(0,ROUND((INDEX($E1071:$G1071,AV$5)-SUMIFS(TF_Timer,TF_Tekniker,AV$4,TF_Dato,$A1071))*2,0)/2)))</f>
        <v/>
      </c>
      <c r="AW1071">
        <f>IF(OR(AW$4="",$A1071&gt;TODAY()),0,IF(OR(INDEX($B1071:$D1071,AW$5)="F",AND(AW$6&gt;0,$A1071&lt;AW$6),AND(AW$7&gt;0,$A1071&gt;AW$7)),0,MAX(0,ROUND((INDEX($E1071:$G1071,AW$5)-SUMIFS(TF_Timer,TF_Tekniker,AW$4,TF_Dato,$A1071))*2,0)/2)))</f>
        <v/>
      </c>
      <c r="AX1071">
        <f>IF(OR(AX$4="",$A1071&gt;TODAY()),0,IF(OR(INDEX($B1071:$D1071,AX$5)="F",AND(AX$6&gt;0,$A1071&lt;AX$6),AND(AX$7&gt;0,$A1071&gt;AX$7)),0,MAX(0,ROUND((INDEX($E1071:$G1071,AX$5)-SUMIFS(TF_Timer,TF_Tekniker,AX$4,TF_Dato,$A1071))*2,0)/2)))</f>
        <v/>
      </c>
      <c r="AY1071">
        <f>IF(OR(AY$4="",$A1071&gt;TODAY()),0,IF(OR(INDEX($B1071:$D1071,AY$5)="F",AND(AY$6&gt;0,$A1071&lt;AY$6),AND(AY$7&gt;0,$A1071&gt;AY$7)),0,MAX(0,ROUND((INDEX($E1071:$G1071,AY$5)-SUMIFS(TF_Timer,TF_Tekniker,AY$4,TF_Dato,$A1071))*2,0)/2)))</f>
        <v/>
      </c>
      <c r="AZ1071">
        <f>IF(OR(AZ$4="",$A1071&gt;TODAY()),0,IF(OR(INDEX($B1071:$D1071,AZ$5)="F",AND(AZ$6&gt;0,$A1071&lt;AZ$6),AND(AZ$7&gt;0,$A1071&gt;AZ$7)),0,MAX(0,ROUND((INDEX($E1071:$G1071,AZ$5)-SUMIFS(TF_Timer,TF_Tekniker,AZ$4,TF_Dato,$A1071))*2,0)/2)))</f>
        <v/>
      </c>
      <c r="BA1071">
        <f>IF(OR(BA$4="",$A1071&gt;TODAY()),0,IF(OR(INDEX($B1071:$D1071,BA$5)="F",AND(BA$6&gt;0,$A1071&lt;BA$6),AND(BA$7&gt;0,$A1071&gt;BA$7)),0,MAX(0,ROUND((INDEX($E1071:$G1071,BA$5)-SUMIFS(TF_Timer,TF_Tekniker,BA$4,TF_Dato,$A1071))*2,0)/2)))</f>
        <v/>
      </c>
      <c r="BB1071">
        <f>IF(OR(BB$4="",$A1071&gt;TODAY()),0,IF(OR(INDEX($B1071:$D1071,BB$5)="F",AND(BB$6&gt;0,$A1071&lt;BB$6),AND(BB$7&gt;0,$A1071&gt;BB$7)),0,MAX(0,ROUND((INDEX($E1071:$G1071,BB$5)-SUMIFS(TF_Timer,TF_Tekniker,BB$4,TF_Dato,$A1071))*2,0)/2)))</f>
        <v/>
      </c>
      <c r="BC1071">
        <f>IF(OR(BC$4="",$A1071&gt;TODAY()),0,IF(OR(INDEX($B1071:$D1071,BC$5)="F",AND(BC$6&gt;0,$A1071&lt;BC$6),AND(BC$7&gt;0,$A1071&gt;BC$7)),0,MAX(0,ROUND((INDEX($E1071:$G1071,BC$5)-SUMIFS(TF_Timer,TF_Tekniker,BC$4,TF_Dato,$A1071))*2,0)/2)))</f>
        <v/>
      </c>
      <c r="BD1071">
        <f>IF(OR(BD$4="",$A1071&gt;TODAY()),0,IF(OR(INDEX($B1071:$D1071,BD$5)="F",AND(BD$6&gt;0,$A1071&lt;BD$6),AND(BD$7&gt;0,$A1071&gt;BD$7)),0,MAX(0,ROUND((INDEX($E1071:$G1071,BD$5)-SUMIFS(TF_Timer,TF_Tekniker,BD$4,TF_Dato,$A1071))*2,0)/2)))</f>
        <v/>
      </c>
      <c r="BE1071">
        <f>IF(OR(BE$4="",$A1071&gt;TODAY()),0,IF(OR(INDEX($B1071:$D1071,BE$5)="F",AND(BE$6&gt;0,$A1071&lt;BE$6),AND(BE$7&gt;0,$A1071&gt;BE$7)),0,MAX(0,ROUND((INDEX($E1071:$G1071,BE$5)-SUMIFS(TF_Timer,TF_Tekniker,BE$4,TF_Dato,$A1071))*2,0)/2)))</f>
        <v/>
      </c>
      <c r="BF1071">
        <f>IF(OR(BF$4="",$A1071&gt;TODAY()),0,IF(OR(INDEX($B1071:$D1071,BF$5)="F",AND(BF$6&gt;0,$A1071&lt;BF$6),AND(BF$7&gt;0,$A1071&gt;BF$7)),0,MAX(0,ROUND((INDEX($E1071:$G1071,BF$5)-SUMIFS(TF_Timer,TF_Tekniker,BF$4,TF_Dato,$A1071))*2,0)/2)))</f>
        <v/>
      </c>
      <c r="BG1071">
        <f>IF(OR(BG$4="",$A1071&gt;TODAY()),0,IF(OR(INDEX($B1071:$D1071,BG$5)="F",AND(BG$6&gt;0,$A1071&lt;BG$6),AND(BG$7&gt;0,$A1071&gt;BG$7)),0,MAX(0,ROUND((INDEX($E1071:$G1071,BG$5)-SUMIFS(TF_Timer,TF_Tekniker,BG$4,TF_Dato,$A1071))*2,0)/2)))</f>
        <v/>
      </c>
      <c r="BH1071">
        <f>IF(OR(BH$4="",$A1071&gt;TODAY()),0,IF(OR(INDEX($B1071:$D1071,BH$5)="F",AND(BH$6&gt;0,$A1071&lt;BH$6),AND(BH$7&gt;0,$A1071&gt;BH$7)),0,MAX(0,ROUND((INDEX($E1071:$G1071,BH$5)-SUMIFS(TF_Timer,TF_Tekniker,BH$4,TF_Dato,$A1071))*2,0)/2)))</f>
        <v/>
      </c>
      <c r="BI1071">
        <f>IF(OR(BI$4="",$A1071&gt;TODAY()),0,IF(OR(INDEX($B1071:$D1071,BI$5)="F",AND(BI$6&gt;0,$A1071&lt;BI$6),AND(BI$7&gt;0,$A1071&gt;BI$7)),0,MAX(0,ROUND((INDEX($E1071:$G1071,BI$5)-SUMIFS(TF_Timer,TF_Tekniker,BI$4,TF_Dato,$A1071))*2,0)/2)))</f>
        <v/>
      </c>
    </row>
    <row r="1072">
      <c r="A1072" s="64">
        <f>A1071+1</f>
        <v/>
      </c>
      <c r="B1072">
        <f>IF(MOD($A1072-INDEX(SkiftStart,1),Syklus)&lt;DagK,"K",IF(MOD($A1072-INDEX(SkiftStart,1),Syklus)&lt;DagK+DagH,"H",IF(MOD($A1072-INDEX(SkiftStart,1),Syklus)&lt;DagK+DagH+DagD,"D","F")))</f>
        <v/>
      </c>
      <c r="C1072">
        <f>IF(MOD($A1072-INDEX(SkiftStart,2),Syklus)&lt;DagK,"K",IF(MOD($A1072-INDEX(SkiftStart,2),Syklus)&lt;DagK+DagH,"H",IF(MOD($A1072-INDEX(SkiftStart,2),Syklus)&lt;DagK+DagH+DagD,"D","F")))</f>
        <v/>
      </c>
      <c r="D1072">
        <f>IF(MOD($A1072-INDEX(SkiftStart,3),Syklus)&lt;DagK,"K",IF(MOD($A1072-INDEX(SkiftStart,3),Syklus)&lt;DagK+DagH,"H",IF(MOD($A1072-INDEX(SkiftStart,3),Syklus)&lt;DagK+DagH+DagD,"D","F")))</f>
        <v/>
      </c>
      <c r="E1072">
        <f>IF(B1072="F",0,IF(WEEKDAY($A1072,2)=5,INDEX(TimerFr,MATCH(B1072,FaseKode,0)),INDEX(TimerMT,MATCH(B1072,FaseKode,0))))</f>
        <v/>
      </c>
      <c r="F1072">
        <f>IF(C1072="F",0,IF(WEEKDAY($A1072,2)=5,INDEX(TimerFr,MATCH(C1072,FaseKode,0)),INDEX(TimerMT,MATCH(C1072,FaseKode,0))))</f>
        <v/>
      </c>
      <c r="G1072">
        <f>IF(D1072="F",0,IF(WEEKDAY($A1072,2)=5,INDEX(TimerFr,MATCH(D1072,FaseKode,0)),INDEX(TimerMT,MATCH(D1072,FaseKode,0))))</f>
        <v/>
      </c>
      <c r="H1072">
        <f>IF(OR(H$4="",$A1072&gt;TODAY()),0,IF(OR(INDEX($B1072:$D1072,H$5)="F",AND(H$6&gt;0,$A1072&lt;H$6),AND(H$7&gt;0,$A1072&gt;H$7)),0,MAX(0,ROUND((INDEX($E1072:$G1072,H$5)-SUMIFS(TF_Timer,TF_Tekniker,H$4,TF_Dato,$A1072))*2,0)/2)))</f>
        <v/>
      </c>
      <c r="I1072">
        <f>IF(OR(I$4="",$A1072&gt;TODAY()),0,IF(OR(INDEX($B1072:$D1072,I$5)="F",AND(I$6&gt;0,$A1072&lt;I$6),AND(I$7&gt;0,$A1072&gt;I$7)),0,MAX(0,ROUND((INDEX($E1072:$G1072,I$5)-SUMIFS(TF_Timer,TF_Tekniker,I$4,TF_Dato,$A1072))*2,0)/2)))</f>
        <v/>
      </c>
      <c r="J1072">
        <f>IF(OR(J$4="",$A1072&gt;TODAY()),0,IF(OR(INDEX($B1072:$D1072,J$5)="F",AND(J$6&gt;0,$A1072&lt;J$6),AND(J$7&gt;0,$A1072&gt;J$7)),0,MAX(0,ROUND((INDEX($E1072:$G1072,J$5)-SUMIFS(TF_Timer,TF_Tekniker,J$4,TF_Dato,$A1072))*2,0)/2)))</f>
        <v/>
      </c>
      <c r="K1072">
        <f>IF(OR(K$4="",$A1072&gt;TODAY()),0,IF(OR(INDEX($B1072:$D1072,K$5)="F",AND(K$6&gt;0,$A1072&lt;K$6),AND(K$7&gt;0,$A1072&gt;K$7)),0,MAX(0,ROUND((INDEX($E1072:$G1072,K$5)-SUMIFS(TF_Timer,TF_Tekniker,K$4,TF_Dato,$A1072))*2,0)/2)))</f>
        <v/>
      </c>
      <c r="L1072">
        <f>IF(OR(L$4="",$A1072&gt;TODAY()),0,IF(OR(INDEX($B1072:$D1072,L$5)="F",AND(L$6&gt;0,$A1072&lt;L$6),AND(L$7&gt;0,$A1072&gt;L$7)),0,MAX(0,ROUND((INDEX($E1072:$G1072,L$5)-SUMIFS(TF_Timer,TF_Tekniker,L$4,TF_Dato,$A1072))*2,0)/2)))</f>
        <v/>
      </c>
      <c r="M1072">
        <f>IF(OR(M$4="",$A1072&gt;TODAY()),0,IF(OR(INDEX($B1072:$D1072,M$5)="F",AND(M$6&gt;0,$A1072&lt;M$6),AND(M$7&gt;0,$A1072&gt;M$7)),0,MAX(0,ROUND((INDEX($E1072:$G1072,M$5)-SUMIFS(TF_Timer,TF_Tekniker,M$4,TF_Dato,$A1072))*2,0)/2)))</f>
        <v/>
      </c>
      <c r="N1072">
        <f>IF(OR(N$4="",$A1072&gt;TODAY()),0,IF(OR(INDEX($B1072:$D1072,N$5)="F",AND(N$6&gt;0,$A1072&lt;N$6),AND(N$7&gt;0,$A1072&gt;N$7)),0,MAX(0,ROUND((INDEX($E1072:$G1072,N$5)-SUMIFS(TF_Timer,TF_Tekniker,N$4,TF_Dato,$A1072))*2,0)/2)))</f>
        <v/>
      </c>
      <c r="O1072">
        <f>IF(OR(O$4="",$A1072&gt;TODAY()),0,IF(OR(INDEX($B1072:$D1072,O$5)="F",AND(O$6&gt;0,$A1072&lt;O$6),AND(O$7&gt;0,$A1072&gt;O$7)),0,MAX(0,ROUND((INDEX($E1072:$G1072,O$5)-SUMIFS(TF_Timer,TF_Tekniker,O$4,TF_Dato,$A1072))*2,0)/2)))</f>
        <v/>
      </c>
      <c r="P1072">
        <f>IF(OR(P$4="",$A1072&gt;TODAY()),0,IF(OR(INDEX($B1072:$D1072,P$5)="F",AND(P$6&gt;0,$A1072&lt;P$6),AND(P$7&gt;0,$A1072&gt;P$7)),0,MAX(0,ROUND((INDEX($E1072:$G1072,P$5)-SUMIFS(TF_Timer,TF_Tekniker,P$4,TF_Dato,$A1072))*2,0)/2)))</f>
        <v/>
      </c>
      <c r="Q1072">
        <f>IF(OR(Q$4="",$A1072&gt;TODAY()),0,IF(OR(INDEX($B1072:$D1072,Q$5)="F",AND(Q$6&gt;0,$A1072&lt;Q$6),AND(Q$7&gt;0,$A1072&gt;Q$7)),0,MAX(0,ROUND((INDEX($E1072:$G1072,Q$5)-SUMIFS(TF_Timer,TF_Tekniker,Q$4,TF_Dato,$A1072))*2,0)/2)))</f>
        <v/>
      </c>
      <c r="R1072">
        <f>IF(OR(R$4="",$A1072&gt;TODAY()),0,IF(OR(INDEX($B1072:$D1072,R$5)="F",AND(R$6&gt;0,$A1072&lt;R$6),AND(R$7&gt;0,$A1072&gt;R$7)),0,MAX(0,ROUND((INDEX($E1072:$G1072,R$5)-SUMIFS(TF_Timer,TF_Tekniker,R$4,TF_Dato,$A1072))*2,0)/2)))</f>
        <v/>
      </c>
      <c r="S1072">
        <f>IF(OR(S$4="",$A1072&gt;TODAY()),0,IF(OR(INDEX($B1072:$D1072,S$5)="F",AND(S$6&gt;0,$A1072&lt;S$6),AND(S$7&gt;0,$A1072&gt;S$7)),0,MAX(0,ROUND((INDEX($E1072:$G1072,S$5)-SUMIFS(TF_Timer,TF_Tekniker,S$4,TF_Dato,$A1072))*2,0)/2)))</f>
        <v/>
      </c>
      <c r="T1072">
        <f>IF(OR(T$4="",$A1072&gt;TODAY()),0,IF(OR(INDEX($B1072:$D1072,T$5)="F",AND(T$6&gt;0,$A1072&lt;T$6),AND(T$7&gt;0,$A1072&gt;T$7)),0,MAX(0,ROUND((INDEX($E1072:$G1072,T$5)-SUMIFS(TF_Timer,TF_Tekniker,T$4,TF_Dato,$A1072))*2,0)/2)))</f>
        <v/>
      </c>
      <c r="U1072">
        <f>IF(OR(U$4="",$A1072&gt;TODAY()),0,IF(OR(INDEX($B1072:$D1072,U$5)="F",AND(U$6&gt;0,$A1072&lt;U$6),AND(U$7&gt;0,$A1072&gt;U$7)),0,MAX(0,ROUND((INDEX($E1072:$G1072,U$5)-SUMIFS(TF_Timer,TF_Tekniker,U$4,TF_Dato,$A1072))*2,0)/2)))</f>
        <v/>
      </c>
      <c r="V1072">
        <f>IF(OR(V$4="",$A1072&gt;TODAY()),0,IF(OR(INDEX($B1072:$D1072,V$5)="F",AND(V$6&gt;0,$A1072&lt;V$6),AND(V$7&gt;0,$A1072&gt;V$7)),0,MAX(0,ROUND((INDEX($E1072:$G1072,V$5)-SUMIFS(TF_Timer,TF_Tekniker,V$4,TF_Dato,$A1072))*2,0)/2)))</f>
        <v/>
      </c>
      <c r="W1072">
        <f>IF(OR(W$4="",$A1072&gt;TODAY()),0,IF(OR(INDEX($B1072:$D1072,W$5)="F",AND(W$6&gt;0,$A1072&lt;W$6),AND(W$7&gt;0,$A1072&gt;W$7)),0,MAX(0,ROUND((INDEX($E1072:$G1072,W$5)-SUMIFS(TF_Timer,TF_Tekniker,W$4,TF_Dato,$A1072))*2,0)/2)))</f>
        <v/>
      </c>
      <c r="X1072">
        <f>IF(OR(X$4="",$A1072&gt;TODAY()),0,IF(OR(INDEX($B1072:$D1072,X$5)="F",AND(X$6&gt;0,$A1072&lt;X$6),AND(X$7&gt;0,$A1072&gt;X$7)),0,MAX(0,ROUND((INDEX($E1072:$G1072,X$5)-SUMIFS(TF_Timer,TF_Tekniker,X$4,TF_Dato,$A1072))*2,0)/2)))</f>
        <v/>
      </c>
      <c r="Y1072">
        <f>IF(OR(Y$4="",$A1072&gt;TODAY()),0,IF(OR(INDEX($B1072:$D1072,Y$5)="F",AND(Y$6&gt;0,$A1072&lt;Y$6),AND(Y$7&gt;0,$A1072&gt;Y$7)),0,MAX(0,ROUND((INDEX($E1072:$G1072,Y$5)-SUMIFS(TF_Timer,TF_Tekniker,Y$4,TF_Dato,$A1072))*2,0)/2)))</f>
        <v/>
      </c>
      <c r="Z1072">
        <f>IF(OR(Z$4="",$A1072&gt;TODAY()),0,IF(OR(INDEX($B1072:$D1072,Z$5)="F",AND(Z$6&gt;0,$A1072&lt;Z$6),AND(Z$7&gt;0,$A1072&gt;Z$7)),0,MAX(0,ROUND((INDEX($E1072:$G1072,Z$5)-SUMIFS(TF_Timer,TF_Tekniker,Z$4,TF_Dato,$A1072))*2,0)/2)))</f>
        <v/>
      </c>
      <c r="AA1072">
        <f>IF(OR(AA$4="",$A1072&gt;TODAY()),0,IF(OR(INDEX($B1072:$D1072,AA$5)="F",AND(AA$6&gt;0,$A1072&lt;AA$6),AND(AA$7&gt;0,$A1072&gt;AA$7)),0,MAX(0,ROUND((INDEX($E1072:$G1072,AA$5)-SUMIFS(TF_Timer,TF_Tekniker,AA$4,TF_Dato,$A1072))*2,0)/2)))</f>
        <v/>
      </c>
      <c r="AB1072">
        <f>IF(OR(AB$4="",$A1072&gt;TODAY()),0,IF(OR(INDEX($B1072:$D1072,AB$5)="F",AND(AB$6&gt;0,$A1072&lt;AB$6),AND(AB$7&gt;0,$A1072&gt;AB$7)),0,MAX(0,ROUND((INDEX($E1072:$G1072,AB$5)-SUMIFS(TF_Timer,TF_Tekniker,AB$4,TF_Dato,$A1072))*2,0)/2)))</f>
        <v/>
      </c>
      <c r="AC1072">
        <f>IF(OR(AC$4="",$A1072&gt;TODAY()),0,IF(OR(INDEX($B1072:$D1072,AC$5)="F",AND(AC$6&gt;0,$A1072&lt;AC$6),AND(AC$7&gt;0,$A1072&gt;AC$7)),0,MAX(0,ROUND((INDEX($E1072:$G1072,AC$5)-SUMIFS(TF_Timer,TF_Tekniker,AC$4,TF_Dato,$A1072))*2,0)/2)))</f>
        <v/>
      </c>
      <c r="AD1072">
        <f>IF(OR(AD$4="",$A1072&gt;TODAY()),0,IF(OR(INDEX($B1072:$D1072,AD$5)="F",AND(AD$6&gt;0,$A1072&lt;AD$6),AND(AD$7&gt;0,$A1072&gt;AD$7)),0,MAX(0,ROUND((INDEX($E1072:$G1072,AD$5)-SUMIFS(TF_Timer,TF_Tekniker,AD$4,TF_Dato,$A1072))*2,0)/2)))</f>
        <v/>
      </c>
      <c r="AE1072">
        <f>IF(OR(AE$4="",$A1072&gt;TODAY()),0,IF(OR(INDEX($B1072:$D1072,AE$5)="F",AND(AE$6&gt;0,$A1072&lt;AE$6),AND(AE$7&gt;0,$A1072&gt;AE$7)),0,MAX(0,ROUND((INDEX($E1072:$G1072,AE$5)-SUMIFS(TF_Timer,TF_Tekniker,AE$4,TF_Dato,$A1072))*2,0)/2)))</f>
        <v/>
      </c>
      <c r="AF1072">
        <f>IF(OR(AF$4="",$A1072&gt;TODAY()),0,IF(OR(INDEX($B1072:$D1072,AF$5)="F",AND(AF$6&gt;0,$A1072&lt;AF$6),AND(AF$7&gt;0,$A1072&gt;AF$7)),0,MAX(0,ROUND((INDEX($E1072:$G1072,AF$5)-SUMIFS(TF_Timer,TF_Tekniker,AF$4,TF_Dato,$A1072))*2,0)/2)))</f>
        <v/>
      </c>
      <c r="AG1072">
        <f>IF(OR(AG$4="",$A1072&gt;TODAY()),0,IF(OR(INDEX($B1072:$D1072,AG$5)="F",AND(AG$6&gt;0,$A1072&lt;AG$6),AND(AG$7&gt;0,$A1072&gt;AG$7)),0,MAX(0,ROUND((INDEX($E1072:$G1072,AG$5)-SUMIFS(TF_Timer,TF_Tekniker,AG$4,TF_Dato,$A1072))*2,0)/2)))</f>
        <v/>
      </c>
      <c r="AH1072">
        <f>IF(OR(AH$4="",$A1072&gt;TODAY()),0,IF(OR(INDEX($B1072:$D1072,AH$5)="F",AND(AH$6&gt;0,$A1072&lt;AH$6),AND(AH$7&gt;0,$A1072&gt;AH$7)),0,MAX(0,ROUND((INDEX($E1072:$G1072,AH$5)-SUMIFS(TF_Timer,TF_Tekniker,AH$4,TF_Dato,$A1072))*2,0)/2)))</f>
        <v/>
      </c>
      <c r="AI1072">
        <f>IF(OR(AI$4="",$A1072&gt;TODAY()),0,IF(OR(INDEX($B1072:$D1072,AI$5)="F",AND(AI$6&gt;0,$A1072&lt;AI$6),AND(AI$7&gt;0,$A1072&gt;AI$7)),0,MAX(0,ROUND((INDEX($E1072:$G1072,AI$5)-SUMIFS(TF_Timer,TF_Tekniker,AI$4,TF_Dato,$A1072))*2,0)/2)))</f>
        <v/>
      </c>
      <c r="AJ1072">
        <f>IF(OR(AJ$4="",$A1072&gt;TODAY()),0,IF(OR(INDEX($B1072:$D1072,AJ$5)="F",AND(AJ$6&gt;0,$A1072&lt;AJ$6),AND(AJ$7&gt;0,$A1072&gt;AJ$7)),0,MAX(0,ROUND((INDEX($E1072:$G1072,AJ$5)-SUMIFS(TF_Timer,TF_Tekniker,AJ$4,TF_Dato,$A1072))*2,0)/2)))</f>
        <v/>
      </c>
      <c r="AK1072">
        <f>IF(OR(AK$4="",$A1072&gt;TODAY()),0,IF(OR(INDEX($B1072:$D1072,AK$5)="F",AND(AK$6&gt;0,$A1072&lt;AK$6),AND(AK$7&gt;0,$A1072&gt;AK$7)),0,MAX(0,ROUND((INDEX($E1072:$G1072,AK$5)-SUMIFS(TF_Timer,TF_Tekniker,AK$4,TF_Dato,$A1072))*2,0)/2)))</f>
        <v/>
      </c>
      <c r="AL1072">
        <f>IF(OR(AL$4="",$A1072&gt;TODAY()),0,IF(OR(INDEX($B1072:$D1072,AL$5)="F",AND(AL$6&gt;0,$A1072&lt;AL$6),AND(AL$7&gt;0,$A1072&gt;AL$7)),0,MAX(0,ROUND((INDEX($E1072:$G1072,AL$5)-SUMIFS(TF_Timer,TF_Tekniker,AL$4,TF_Dato,$A1072))*2,0)/2)))</f>
        <v/>
      </c>
      <c r="AM1072">
        <f>IF(OR(AM$4="",$A1072&gt;TODAY()),0,IF(OR(INDEX($B1072:$D1072,AM$5)="F",AND(AM$6&gt;0,$A1072&lt;AM$6),AND(AM$7&gt;0,$A1072&gt;AM$7)),0,MAX(0,ROUND((INDEX($E1072:$G1072,AM$5)-SUMIFS(TF_Timer,TF_Tekniker,AM$4,TF_Dato,$A1072))*2,0)/2)))</f>
        <v/>
      </c>
      <c r="AN1072">
        <f>IF(OR(AN$4="",$A1072&gt;TODAY()),0,IF(OR(INDEX($B1072:$D1072,AN$5)="F",AND(AN$6&gt;0,$A1072&lt;AN$6),AND(AN$7&gt;0,$A1072&gt;AN$7)),0,MAX(0,ROUND((INDEX($E1072:$G1072,AN$5)-SUMIFS(TF_Timer,TF_Tekniker,AN$4,TF_Dato,$A1072))*2,0)/2)))</f>
        <v/>
      </c>
      <c r="AO1072">
        <f>IF(OR(AO$4="",$A1072&gt;TODAY()),0,IF(OR(INDEX($B1072:$D1072,AO$5)="F",AND(AO$6&gt;0,$A1072&lt;AO$6),AND(AO$7&gt;0,$A1072&gt;AO$7)),0,MAX(0,ROUND((INDEX($E1072:$G1072,AO$5)-SUMIFS(TF_Timer,TF_Tekniker,AO$4,TF_Dato,$A1072))*2,0)/2)))</f>
        <v/>
      </c>
      <c r="AP1072">
        <f>IF(OR(AP$4="",$A1072&gt;TODAY()),0,IF(OR(INDEX($B1072:$D1072,AP$5)="F",AND(AP$6&gt;0,$A1072&lt;AP$6),AND(AP$7&gt;0,$A1072&gt;AP$7)),0,MAX(0,ROUND((INDEX($E1072:$G1072,AP$5)-SUMIFS(TF_Timer,TF_Tekniker,AP$4,TF_Dato,$A1072))*2,0)/2)))</f>
        <v/>
      </c>
      <c r="AQ1072">
        <f>IF(OR(AQ$4="",$A1072&gt;TODAY()),0,IF(OR(INDEX($B1072:$D1072,AQ$5)="F",AND(AQ$6&gt;0,$A1072&lt;AQ$6),AND(AQ$7&gt;0,$A1072&gt;AQ$7)),0,MAX(0,ROUND((INDEX($E1072:$G1072,AQ$5)-SUMIFS(TF_Timer,TF_Tekniker,AQ$4,TF_Dato,$A1072))*2,0)/2)))</f>
        <v/>
      </c>
      <c r="AR1072">
        <f>IF(OR(AR$4="",$A1072&gt;TODAY()),0,IF(OR(INDEX($B1072:$D1072,AR$5)="F",AND(AR$6&gt;0,$A1072&lt;AR$6),AND(AR$7&gt;0,$A1072&gt;AR$7)),0,MAX(0,ROUND((INDEX($E1072:$G1072,AR$5)-SUMIFS(TF_Timer,TF_Tekniker,AR$4,TF_Dato,$A1072))*2,0)/2)))</f>
        <v/>
      </c>
      <c r="AS1072">
        <f>IF(OR(AS$4="",$A1072&gt;TODAY()),0,IF(OR(INDEX($B1072:$D1072,AS$5)="F",AND(AS$6&gt;0,$A1072&lt;AS$6),AND(AS$7&gt;0,$A1072&gt;AS$7)),0,MAX(0,ROUND((INDEX($E1072:$G1072,AS$5)-SUMIFS(TF_Timer,TF_Tekniker,AS$4,TF_Dato,$A1072))*2,0)/2)))</f>
        <v/>
      </c>
      <c r="AT1072">
        <f>IF(OR(AT$4="",$A1072&gt;TODAY()),0,IF(OR(INDEX($B1072:$D1072,AT$5)="F",AND(AT$6&gt;0,$A1072&lt;AT$6),AND(AT$7&gt;0,$A1072&gt;AT$7)),0,MAX(0,ROUND((INDEX($E1072:$G1072,AT$5)-SUMIFS(TF_Timer,TF_Tekniker,AT$4,TF_Dato,$A1072))*2,0)/2)))</f>
        <v/>
      </c>
      <c r="AU1072">
        <f>IF(OR(AU$4="",$A1072&gt;TODAY()),0,IF(OR(INDEX($B1072:$D1072,AU$5)="F",AND(AU$6&gt;0,$A1072&lt;AU$6),AND(AU$7&gt;0,$A1072&gt;AU$7)),0,MAX(0,ROUND((INDEX($E1072:$G1072,AU$5)-SUMIFS(TF_Timer,TF_Tekniker,AU$4,TF_Dato,$A1072))*2,0)/2)))</f>
        <v/>
      </c>
      <c r="AV1072">
        <f>IF(OR(AV$4="",$A1072&gt;TODAY()),0,IF(OR(INDEX($B1072:$D1072,AV$5)="F",AND(AV$6&gt;0,$A1072&lt;AV$6),AND(AV$7&gt;0,$A1072&gt;AV$7)),0,MAX(0,ROUND((INDEX($E1072:$G1072,AV$5)-SUMIFS(TF_Timer,TF_Tekniker,AV$4,TF_Dato,$A1072))*2,0)/2)))</f>
        <v/>
      </c>
      <c r="AW1072">
        <f>IF(OR(AW$4="",$A1072&gt;TODAY()),0,IF(OR(INDEX($B1072:$D1072,AW$5)="F",AND(AW$6&gt;0,$A1072&lt;AW$6),AND(AW$7&gt;0,$A1072&gt;AW$7)),0,MAX(0,ROUND((INDEX($E1072:$G1072,AW$5)-SUMIFS(TF_Timer,TF_Tekniker,AW$4,TF_Dato,$A1072))*2,0)/2)))</f>
        <v/>
      </c>
      <c r="AX1072">
        <f>IF(OR(AX$4="",$A1072&gt;TODAY()),0,IF(OR(INDEX($B1072:$D1072,AX$5)="F",AND(AX$6&gt;0,$A1072&lt;AX$6),AND(AX$7&gt;0,$A1072&gt;AX$7)),0,MAX(0,ROUND((INDEX($E1072:$G1072,AX$5)-SUMIFS(TF_Timer,TF_Tekniker,AX$4,TF_Dato,$A1072))*2,0)/2)))</f>
        <v/>
      </c>
      <c r="AY1072">
        <f>IF(OR(AY$4="",$A1072&gt;TODAY()),0,IF(OR(INDEX($B1072:$D1072,AY$5)="F",AND(AY$6&gt;0,$A1072&lt;AY$6),AND(AY$7&gt;0,$A1072&gt;AY$7)),0,MAX(0,ROUND((INDEX($E1072:$G1072,AY$5)-SUMIFS(TF_Timer,TF_Tekniker,AY$4,TF_Dato,$A1072))*2,0)/2)))</f>
        <v/>
      </c>
      <c r="AZ1072">
        <f>IF(OR(AZ$4="",$A1072&gt;TODAY()),0,IF(OR(INDEX($B1072:$D1072,AZ$5)="F",AND(AZ$6&gt;0,$A1072&lt;AZ$6),AND(AZ$7&gt;0,$A1072&gt;AZ$7)),0,MAX(0,ROUND((INDEX($E1072:$G1072,AZ$5)-SUMIFS(TF_Timer,TF_Tekniker,AZ$4,TF_Dato,$A1072))*2,0)/2)))</f>
        <v/>
      </c>
      <c r="BA1072">
        <f>IF(OR(BA$4="",$A1072&gt;TODAY()),0,IF(OR(INDEX($B1072:$D1072,BA$5)="F",AND(BA$6&gt;0,$A1072&lt;BA$6),AND(BA$7&gt;0,$A1072&gt;BA$7)),0,MAX(0,ROUND((INDEX($E1072:$G1072,BA$5)-SUMIFS(TF_Timer,TF_Tekniker,BA$4,TF_Dato,$A1072))*2,0)/2)))</f>
        <v/>
      </c>
      <c r="BB1072">
        <f>IF(OR(BB$4="",$A1072&gt;TODAY()),0,IF(OR(INDEX($B1072:$D1072,BB$5)="F",AND(BB$6&gt;0,$A1072&lt;BB$6),AND(BB$7&gt;0,$A1072&gt;BB$7)),0,MAX(0,ROUND((INDEX($E1072:$G1072,BB$5)-SUMIFS(TF_Timer,TF_Tekniker,BB$4,TF_Dato,$A1072))*2,0)/2)))</f>
        <v/>
      </c>
      <c r="BC1072">
        <f>IF(OR(BC$4="",$A1072&gt;TODAY()),0,IF(OR(INDEX($B1072:$D1072,BC$5)="F",AND(BC$6&gt;0,$A1072&lt;BC$6),AND(BC$7&gt;0,$A1072&gt;BC$7)),0,MAX(0,ROUND((INDEX($E1072:$G1072,BC$5)-SUMIFS(TF_Timer,TF_Tekniker,BC$4,TF_Dato,$A1072))*2,0)/2)))</f>
        <v/>
      </c>
      <c r="BD1072">
        <f>IF(OR(BD$4="",$A1072&gt;TODAY()),0,IF(OR(INDEX($B1072:$D1072,BD$5)="F",AND(BD$6&gt;0,$A1072&lt;BD$6),AND(BD$7&gt;0,$A1072&gt;BD$7)),0,MAX(0,ROUND((INDEX($E1072:$G1072,BD$5)-SUMIFS(TF_Timer,TF_Tekniker,BD$4,TF_Dato,$A1072))*2,0)/2)))</f>
        <v/>
      </c>
      <c r="BE1072">
        <f>IF(OR(BE$4="",$A1072&gt;TODAY()),0,IF(OR(INDEX($B1072:$D1072,BE$5)="F",AND(BE$6&gt;0,$A1072&lt;BE$6),AND(BE$7&gt;0,$A1072&gt;BE$7)),0,MAX(0,ROUND((INDEX($E1072:$G1072,BE$5)-SUMIFS(TF_Timer,TF_Tekniker,BE$4,TF_Dato,$A1072))*2,0)/2)))</f>
        <v/>
      </c>
      <c r="BF1072">
        <f>IF(OR(BF$4="",$A1072&gt;TODAY()),0,IF(OR(INDEX($B1072:$D1072,BF$5)="F",AND(BF$6&gt;0,$A1072&lt;BF$6),AND(BF$7&gt;0,$A1072&gt;BF$7)),0,MAX(0,ROUND((INDEX($E1072:$G1072,BF$5)-SUMIFS(TF_Timer,TF_Tekniker,BF$4,TF_Dato,$A1072))*2,0)/2)))</f>
        <v/>
      </c>
      <c r="BG1072">
        <f>IF(OR(BG$4="",$A1072&gt;TODAY()),0,IF(OR(INDEX($B1072:$D1072,BG$5)="F",AND(BG$6&gt;0,$A1072&lt;BG$6),AND(BG$7&gt;0,$A1072&gt;BG$7)),0,MAX(0,ROUND((INDEX($E1072:$G1072,BG$5)-SUMIFS(TF_Timer,TF_Tekniker,BG$4,TF_Dato,$A1072))*2,0)/2)))</f>
        <v/>
      </c>
      <c r="BH1072">
        <f>IF(OR(BH$4="",$A1072&gt;TODAY()),0,IF(OR(INDEX($B1072:$D1072,BH$5)="F",AND(BH$6&gt;0,$A1072&lt;BH$6),AND(BH$7&gt;0,$A1072&gt;BH$7)),0,MAX(0,ROUND((INDEX($E1072:$G1072,BH$5)-SUMIFS(TF_Timer,TF_Tekniker,BH$4,TF_Dato,$A1072))*2,0)/2)))</f>
        <v/>
      </c>
      <c r="BI1072">
        <f>IF(OR(BI$4="",$A1072&gt;TODAY()),0,IF(OR(INDEX($B1072:$D1072,BI$5)="F",AND(BI$6&gt;0,$A1072&lt;BI$6),AND(BI$7&gt;0,$A1072&gt;BI$7)),0,MAX(0,ROUND((INDEX($E1072:$G1072,BI$5)-SUMIFS(TF_Timer,TF_Tekniker,BI$4,TF_Dato,$A1072))*2,0)/2)))</f>
        <v/>
      </c>
    </row>
    <row r="1073">
      <c r="A1073" s="64">
        <f>A1072+1</f>
        <v/>
      </c>
      <c r="B1073">
        <f>IF(MOD($A1073-INDEX(SkiftStart,1),Syklus)&lt;DagK,"K",IF(MOD($A1073-INDEX(SkiftStart,1),Syklus)&lt;DagK+DagH,"H",IF(MOD($A1073-INDEX(SkiftStart,1),Syklus)&lt;DagK+DagH+DagD,"D","F")))</f>
        <v/>
      </c>
      <c r="C1073">
        <f>IF(MOD($A1073-INDEX(SkiftStart,2),Syklus)&lt;DagK,"K",IF(MOD($A1073-INDEX(SkiftStart,2),Syklus)&lt;DagK+DagH,"H",IF(MOD($A1073-INDEX(SkiftStart,2),Syklus)&lt;DagK+DagH+DagD,"D","F")))</f>
        <v/>
      </c>
      <c r="D1073">
        <f>IF(MOD($A1073-INDEX(SkiftStart,3),Syklus)&lt;DagK,"K",IF(MOD($A1073-INDEX(SkiftStart,3),Syklus)&lt;DagK+DagH,"H",IF(MOD($A1073-INDEX(SkiftStart,3),Syklus)&lt;DagK+DagH+DagD,"D","F")))</f>
        <v/>
      </c>
      <c r="E1073">
        <f>IF(B1073="F",0,IF(WEEKDAY($A1073,2)=5,INDEX(TimerFr,MATCH(B1073,FaseKode,0)),INDEX(TimerMT,MATCH(B1073,FaseKode,0))))</f>
        <v/>
      </c>
      <c r="F1073">
        <f>IF(C1073="F",0,IF(WEEKDAY($A1073,2)=5,INDEX(TimerFr,MATCH(C1073,FaseKode,0)),INDEX(TimerMT,MATCH(C1073,FaseKode,0))))</f>
        <v/>
      </c>
      <c r="G1073">
        <f>IF(D1073="F",0,IF(WEEKDAY($A1073,2)=5,INDEX(TimerFr,MATCH(D1073,FaseKode,0)),INDEX(TimerMT,MATCH(D1073,FaseKode,0))))</f>
        <v/>
      </c>
      <c r="H1073">
        <f>IF(OR(H$4="",$A1073&gt;TODAY()),0,IF(OR(INDEX($B1073:$D1073,H$5)="F",AND(H$6&gt;0,$A1073&lt;H$6),AND(H$7&gt;0,$A1073&gt;H$7)),0,MAX(0,ROUND((INDEX($E1073:$G1073,H$5)-SUMIFS(TF_Timer,TF_Tekniker,H$4,TF_Dato,$A1073))*2,0)/2)))</f>
        <v/>
      </c>
      <c r="I1073">
        <f>IF(OR(I$4="",$A1073&gt;TODAY()),0,IF(OR(INDEX($B1073:$D1073,I$5)="F",AND(I$6&gt;0,$A1073&lt;I$6),AND(I$7&gt;0,$A1073&gt;I$7)),0,MAX(0,ROUND((INDEX($E1073:$G1073,I$5)-SUMIFS(TF_Timer,TF_Tekniker,I$4,TF_Dato,$A1073))*2,0)/2)))</f>
        <v/>
      </c>
      <c r="J1073">
        <f>IF(OR(J$4="",$A1073&gt;TODAY()),0,IF(OR(INDEX($B1073:$D1073,J$5)="F",AND(J$6&gt;0,$A1073&lt;J$6),AND(J$7&gt;0,$A1073&gt;J$7)),0,MAX(0,ROUND((INDEX($E1073:$G1073,J$5)-SUMIFS(TF_Timer,TF_Tekniker,J$4,TF_Dato,$A1073))*2,0)/2)))</f>
        <v/>
      </c>
      <c r="K1073">
        <f>IF(OR(K$4="",$A1073&gt;TODAY()),0,IF(OR(INDEX($B1073:$D1073,K$5)="F",AND(K$6&gt;0,$A1073&lt;K$6),AND(K$7&gt;0,$A1073&gt;K$7)),0,MAX(0,ROUND((INDEX($E1073:$G1073,K$5)-SUMIFS(TF_Timer,TF_Tekniker,K$4,TF_Dato,$A1073))*2,0)/2)))</f>
        <v/>
      </c>
      <c r="L1073">
        <f>IF(OR(L$4="",$A1073&gt;TODAY()),0,IF(OR(INDEX($B1073:$D1073,L$5)="F",AND(L$6&gt;0,$A1073&lt;L$6),AND(L$7&gt;0,$A1073&gt;L$7)),0,MAX(0,ROUND((INDEX($E1073:$G1073,L$5)-SUMIFS(TF_Timer,TF_Tekniker,L$4,TF_Dato,$A1073))*2,0)/2)))</f>
        <v/>
      </c>
      <c r="M1073">
        <f>IF(OR(M$4="",$A1073&gt;TODAY()),0,IF(OR(INDEX($B1073:$D1073,M$5)="F",AND(M$6&gt;0,$A1073&lt;M$6),AND(M$7&gt;0,$A1073&gt;M$7)),0,MAX(0,ROUND((INDEX($E1073:$G1073,M$5)-SUMIFS(TF_Timer,TF_Tekniker,M$4,TF_Dato,$A1073))*2,0)/2)))</f>
        <v/>
      </c>
      <c r="N1073">
        <f>IF(OR(N$4="",$A1073&gt;TODAY()),0,IF(OR(INDEX($B1073:$D1073,N$5)="F",AND(N$6&gt;0,$A1073&lt;N$6),AND(N$7&gt;0,$A1073&gt;N$7)),0,MAX(0,ROUND((INDEX($E1073:$G1073,N$5)-SUMIFS(TF_Timer,TF_Tekniker,N$4,TF_Dato,$A1073))*2,0)/2)))</f>
        <v/>
      </c>
      <c r="O1073">
        <f>IF(OR(O$4="",$A1073&gt;TODAY()),0,IF(OR(INDEX($B1073:$D1073,O$5)="F",AND(O$6&gt;0,$A1073&lt;O$6),AND(O$7&gt;0,$A1073&gt;O$7)),0,MAX(0,ROUND((INDEX($E1073:$G1073,O$5)-SUMIFS(TF_Timer,TF_Tekniker,O$4,TF_Dato,$A1073))*2,0)/2)))</f>
        <v/>
      </c>
      <c r="P1073">
        <f>IF(OR(P$4="",$A1073&gt;TODAY()),0,IF(OR(INDEX($B1073:$D1073,P$5)="F",AND(P$6&gt;0,$A1073&lt;P$6),AND(P$7&gt;0,$A1073&gt;P$7)),0,MAX(0,ROUND((INDEX($E1073:$G1073,P$5)-SUMIFS(TF_Timer,TF_Tekniker,P$4,TF_Dato,$A1073))*2,0)/2)))</f>
        <v/>
      </c>
      <c r="Q1073">
        <f>IF(OR(Q$4="",$A1073&gt;TODAY()),0,IF(OR(INDEX($B1073:$D1073,Q$5)="F",AND(Q$6&gt;0,$A1073&lt;Q$6),AND(Q$7&gt;0,$A1073&gt;Q$7)),0,MAX(0,ROUND((INDEX($E1073:$G1073,Q$5)-SUMIFS(TF_Timer,TF_Tekniker,Q$4,TF_Dato,$A1073))*2,0)/2)))</f>
        <v/>
      </c>
      <c r="R1073">
        <f>IF(OR(R$4="",$A1073&gt;TODAY()),0,IF(OR(INDEX($B1073:$D1073,R$5)="F",AND(R$6&gt;0,$A1073&lt;R$6),AND(R$7&gt;0,$A1073&gt;R$7)),0,MAX(0,ROUND((INDEX($E1073:$G1073,R$5)-SUMIFS(TF_Timer,TF_Tekniker,R$4,TF_Dato,$A1073))*2,0)/2)))</f>
        <v/>
      </c>
      <c r="S1073">
        <f>IF(OR(S$4="",$A1073&gt;TODAY()),0,IF(OR(INDEX($B1073:$D1073,S$5)="F",AND(S$6&gt;0,$A1073&lt;S$6),AND(S$7&gt;0,$A1073&gt;S$7)),0,MAX(0,ROUND((INDEX($E1073:$G1073,S$5)-SUMIFS(TF_Timer,TF_Tekniker,S$4,TF_Dato,$A1073))*2,0)/2)))</f>
        <v/>
      </c>
      <c r="T1073">
        <f>IF(OR(T$4="",$A1073&gt;TODAY()),0,IF(OR(INDEX($B1073:$D1073,T$5)="F",AND(T$6&gt;0,$A1073&lt;T$6),AND(T$7&gt;0,$A1073&gt;T$7)),0,MAX(0,ROUND((INDEX($E1073:$G1073,T$5)-SUMIFS(TF_Timer,TF_Tekniker,T$4,TF_Dato,$A1073))*2,0)/2)))</f>
        <v/>
      </c>
      <c r="U1073">
        <f>IF(OR(U$4="",$A1073&gt;TODAY()),0,IF(OR(INDEX($B1073:$D1073,U$5)="F",AND(U$6&gt;0,$A1073&lt;U$6),AND(U$7&gt;0,$A1073&gt;U$7)),0,MAX(0,ROUND((INDEX($E1073:$G1073,U$5)-SUMIFS(TF_Timer,TF_Tekniker,U$4,TF_Dato,$A1073))*2,0)/2)))</f>
        <v/>
      </c>
      <c r="V1073">
        <f>IF(OR(V$4="",$A1073&gt;TODAY()),0,IF(OR(INDEX($B1073:$D1073,V$5)="F",AND(V$6&gt;0,$A1073&lt;V$6),AND(V$7&gt;0,$A1073&gt;V$7)),0,MAX(0,ROUND((INDEX($E1073:$G1073,V$5)-SUMIFS(TF_Timer,TF_Tekniker,V$4,TF_Dato,$A1073))*2,0)/2)))</f>
        <v/>
      </c>
      <c r="W1073">
        <f>IF(OR(W$4="",$A1073&gt;TODAY()),0,IF(OR(INDEX($B1073:$D1073,W$5)="F",AND(W$6&gt;0,$A1073&lt;W$6),AND(W$7&gt;0,$A1073&gt;W$7)),0,MAX(0,ROUND((INDEX($E1073:$G1073,W$5)-SUMIFS(TF_Timer,TF_Tekniker,W$4,TF_Dato,$A1073))*2,0)/2)))</f>
        <v/>
      </c>
      <c r="X1073">
        <f>IF(OR(X$4="",$A1073&gt;TODAY()),0,IF(OR(INDEX($B1073:$D1073,X$5)="F",AND(X$6&gt;0,$A1073&lt;X$6),AND(X$7&gt;0,$A1073&gt;X$7)),0,MAX(0,ROUND((INDEX($E1073:$G1073,X$5)-SUMIFS(TF_Timer,TF_Tekniker,X$4,TF_Dato,$A1073))*2,0)/2)))</f>
        <v/>
      </c>
      <c r="Y1073">
        <f>IF(OR(Y$4="",$A1073&gt;TODAY()),0,IF(OR(INDEX($B1073:$D1073,Y$5)="F",AND(Y$6&gt;0,$A1073&lt;Y$6),AND(Y$7&gt;0,$A1073&gt;Y$7)),0,MAX(0,ROUND((INDEX($E1073:$G1073,Y$5)-SUMIFS(TF_Timer,TF_Tekniker,Y$4,TF_Dato,$A1073))*2,0)/2)))</f>
        <v/>
      </c>
      <c r="Z1073">
        <f>IF(OR(Z$4="",$A1073&gt;TODAY()),0,IF(OR(INDEX($B1073:$D1073,Z$5)="F",AND(Z$6&gt;0,$A1073&lt;Z$6),AND(Z$7&gt;0,$A1073&gt;Z$7)),0,MAX(0,ROUND((INDEX($E1073:$G1073,Z$5)-SUMIFS(TF_Timer,TF_Tekniker,Z$4,TF_Dato,$A1073))*2,0)/2)))</f>
        <v/>
      </c>
      <c r="AA1073">
        <f>IF(OR(AA$4="",$A1073&gt;TODAY()),0,IF(OR(INDEX($B1073:$D1073,AA$5)="F",AND(AA$6&gt;0,$A1073&lt;AA$6),AND(AA$7&gt;0,$A1073&gt;AA$7)),0,MAX(0,ROUND((INDEX($E1073:$G1073,AA$5)-SUMIFS(TF_Timer,TF_Tekniker,AA$4,TF_Dato,$A1073))*2,0)/2)))</f>
        <v/>
      </c>
      <c r="AB1073">
        <f>IF(OR(AB$4="",$A1073&gt;TODAY()),0,IF(OR(INDEX($B1073:$D1073,AB$5)="F",AND(AB$6&gt;0,$A1073&lt;AB$6),AND(AB$7&gt;0,$A1073&gt;AB$7)),0,MAX(0,ROUND((INDEX($E1073:$G1073,AB$5)-SUMIFS(TF_Timer,TF_Tekniker,AB$4,TF_Dato,$A1073))*2,0)/2)))</f>
        <v/>
      </c>
      <c r="AC1073">
        <f>IF(OR(AC$4="",$A1073&gt;TODAY()),0,IF(OR(INDEX($B1073:$D1073,AC$5)="F",AND(AC$6&gt;0,$A1073&lt;AC$6),AND(AC$7&gt;0,$A1073&gt;AC$7)),0,MAX(0,ROUND((INDEX($E1073:$G1073,AC$5)-SUMIFS(TF_Timer,TF_Tekniker,AC$4,TF_Dato,$A1073))*2,0)/2)))</f>
        <v/>
      </c>
      <c r="AD1073">
        <f>IF(OR(AD$4="",$A1073&gt;TODAY()),0,IF(OR(INDEX($B1073:$D1073,AD$5)="F",AND(AD$6&gt;0,$A1073&lt;AD$6),AND(AD$7&gt;0,$A1073&gt;AD$7)),0,MAX(0,ROUND((INDEX($E1073:$G1073,AD$5)-SUMIFS(TF_Timer,TF_Tekniker,AD$4,TF_Dato,$A1073))*2,0)/2)))</f>
        <v/>
      </c>
      <c r="AE1073">
        <f>IF(OR(AE$4="",$A1073&gt;TODAY()),0,IF(OR(INDEX($B1073:$D1073,AE$5)="F",AND(AE$6&gt;0,$A1073&lt;AE$6),AND(AE$7&gt;0,$A1073&gt;AE$7)),0,MAX(0,ROUND((INDEX($E1073:$G1073,AE$5)-SUMIFS(TF_Timer,TF_Tekniker,AE$4,TF_Dato,$A1073))*2,0)/2)))</f>
        <v/>
      </c>
      <c r="AF1073">
        <f>IF(OR(AF$4="",$A1073&gt;TODAY()),0,IF(OR(INDEX($B1073:$D1073,AF$5)="F",AND(AF$6&gt;0,$A1073&lt;AF$6),AND(AF$7&gt;0,$A1073&gt;AF$7)),0,MAX(0,ROUND((INDEX($E1073:$G1073,AF$5)-SUMIFS(TF_Timer,TF_Tekniker,AF$4,TF_Dato,$A1073))*2,0)/2)))</f>
        <v/>
      </c>
      <c r="AG1073">
        <f>IF(OR(AG$4="",$A1073&gt;TODAY()),0,IF(OR(INDEX($B1073:$D1073,AG$5)="F",AND(AG$6&gt;0,$A1073&lt;AG$6),AND(AG$7&gt;0,$A1073&gt;AG$7)),0,MAX(0,ROUND((INDEX($E1073:$G1073,AG$5)-SUMIFS(TF_Timer,TF_Tekniker,AG$4,TF_Dato,$A1073))*2,0)/2)))</f>
        <v/>
      </c>
      <c r="AH1073">
        <f>IF(OR(AH$4="",$A1073&gt;TODAY()),0,IF(OR(INDEX($B1073:$D1073,AH$5)="F",AND(AH$6&gt;0,$A1073&lt;AH$6),AND(AH$7&gt;0,$A1073&gt;AH$7)),0,MAX(0,ROUND((INDEX($E1073:$G1073,AH$5)-SUMIFS(TF_Timer,TF_Tekniker,AH$4,TF_Dato,$A1073))*2,0)/2)))</f>
        <v/>
      </c>
      <c r="AI1073">
        <f>IF(OR(AI$4="",$A1073&gt;TODAY()),0,IF(OR(INDEX($B1073:$D1073,AI$5)="F",AND(AI$6&gt;0,$A1073&lt;AI$6),AND(AI$7&gt;0,$A1073&gt;AI$7)),0,MAX(0,ROUND((INDEX($E1073:$G1073,AI$5)-SUMIFS(TF_Timer,TF_Tekniker,AI$4,TF_Dato,$A1073))*2,0)/2)))</f>
        <v/>
      </c>
      <c r="AJ1073">
        <f>IF(OR(AJ$4="",$A1073&gt;TODAY()),0,IF(OR(INDEX($B1073:$D1073,AJ$5)="F",AND(AJ$6&gt;0,$A1073&lt;AJ$6),AND(AJ$7&gt;0,$A1073&gt;AJ$7)),0,MAX(0,ROUND((INDEX($E1073:$G1073,AJ$5)-SUMIFS(TF_Timer,TF_Tekniker,AJ$4,TF_Dato,$A1073))*2,0)/2)))</f>
        <v/>
      </c>
      <c r="AK1073">
        <f>IF(OR(AK$4="",$A1073&gt;TODAY()),0,IF(OR(INDEX($B1073:$D1073,AK$5)="F",AND(AK$6&gt;0,$A1073&lt;AK$6),AND(AK$7&gt;0,$A1073&gt;AK$7)),0,MAX(0,ROUND((INDEX($E1073:$G1073,AK$5)-SUMIFS(TF_Timer,TF_Tekniker,AK$4,TF_Dato,$A1073))*2,0)/2)))</f>
        <v/>
      </c>
      <c r="AL1073">
        <f>IF(OR(AL$4="",$A1073&gt;TODAY()),0,IF(OR(INDEX($B1073:$D1073,AL$5)="F",AND(AL$6&gt;0,$A1073&lt;AL$6),AND(AL$7&gt;0,$A1073&gt;AL$7)),0,MAX(0,ROUND((INDEX($E1073:$G1073,AL$5)-SUMIFS(TF_Timer,TF_Tekniker,AL$4,TF_Dato,$A1073))*2,0)/2)))</f>
        <v/>
      </c>
      <c r="AM1073">
        <f>IF(OR(AM$4="",$A1073&gt;TODAY()),0,IF(OR(INDEX($B1073:$D1073,AM$5)="F",AND(AM$6&gt;0,$A1073&lt;AM$6),AND(AM$7&gt;0,$A1073&gt;AM$7)),0,MAX(0,ROUND((INDEX($E1073:$G1073,AM$5)-SUMIFS(TF_Timer,TF_Tekniker,AM$4,TF_Dato,$A1073))*2,0)/2)))</f>
        <v/>
      </c>
      <c r="AN1073">
        <f>IF(OR(AN$4="",$A1073&gt;TODAY()),0,IF(OR(INDEX($B1073:$D1073,AN$5)="F",AND(AN$6&gt;0,$A1073&lt;AN$6),AND(AN$7&gt;0,$A1073&gt;AN$7)),0,MAX(0,ROUND((INDEX($E1073:$G1073,AN$5)-SUMIFS(TF_Timer,TF_Tekniker,AN$4,TF_Dato,$A1073))*2,0)/2)))</f>
        <v/>
      </c>
      <c r="AO1073">
        <f>IF(OR(AO$4="",$A1073&gt;TODAY()),0,IF(OR(INDEX($B1073:$D1073,AO$5)="F",AND(AO$6&gt;0,$A1073&lt;AO$6),AND(AO$7&gt;0,$A1073&gt;AO$7)),0,MAX(0,ROUND((INDEX($E1073:$G1073,AO$5)-SUMIFS(TF_Timer,TF_Tekniker,AO$4,TF_Dato,$A1073))*2,0)/2)))</f>
        <v/>
      </c>
      <c r="AP1073">
        <f>IF(OR(AP$4="",$A1073&gt;TODAY()),0,IF(OR(INDEX($B1073:$D1073,AP$5)="F",AND(AP$6&gt;0,$A1073&lt;AP$6),AND(AP$7&gt;0,$A1073&gt;AP$7)),0,MAX(0,ROUND((INDEX($E1073:$G1073,AP$5)-SUMIFS(TF_Timer,TF_Tekniker,AP$4,TF_Dato,$A1073))*2,0)/2)))</f>
        <v/>
      </c>
      <c r="AQ1073">
        <f>IF(OR(AQ$4="",$A1073&gt;TODAY()),0,IF(OR(INDEX($B1073:$D1073,AQ$5)="F",AND(AQ$6&gt;0,$A1073&lt;AQ$6),AND(AQ$7&gt;0,$A1073&gt;AQ$7)),0,MAX(0,ROUND((INDEX($E1073:$G1073,AQ$5)-SUMIFS(TF_Timer,TF_Tekniker,AQ$4,TF_Dato,$A1073))*2,0)/2)))</f>
        <v/>
      </c>
      <c r="AR1073">
        <f>IF(OR(AR$4="",$A1073&gt;TODAY()),0,IF(OR(INDEX($B1073:$D1073,AR$5)="F",AND(AR$6&gt;0,$A1073&lt;AR$6),AND(AR$7&gt;0,$A1073&gt;AR$7)),0,MAX(0,ROUND((INDEX($E1073:$G1073,AR$5)-SUMIFS(TF_Timer,TF_Tekniker,AR$4,TF_Dato,$A1073))*2,0)/2)))</f>
        <v/>
      </c>
      <c r="AS1073">
        <f>IF(OR(AS$4="",$A1073&gt;TODAY()),0,IF(OR(INDEX($B1073:$D1073,AS$5)="F",AND(AS$6&gt;0,$A1073&lt;AS$6),AND(AS$7&gt;0,$A1073&gt;AS$7)),0,MAX(0,ROUND((INDEX($E1073:$G1073,AS$5)-SUMIFS(TF_Timer,TF_Tekniker,AS$4,TF_Dato,$A1073))*2,0)/2)))</f>
        <v/>
      </c>
      <c r="AT1073">
        <f>IF(OR(AT$4="",$A1073&gt;TODAY()),0,IF(OR(INDEX($B1073:$D1073,AT$5)="F",AND(AT$6&gt;0,$A1073&lt;AT$6),AND(AT$7&gt;0,$A1073&gt;AT$7)),0,MAX(0,ROUND((INDEX($E1073:$G1073,AT$5)-SUMIFS(TF_Timer,TF_Tekniker,AT$4,TF_Dato,$A1073))*2,0)/2)))</f>
        <v/>
      </c>
      <c r="AU1073">
        <f>IF(OR(AU$4="",$A1073&gt;TODAY()),0,IF(OR(INDEX($B1073:$D1073,AU$5)="F",AND(AU$6&gt;0,$A1073&lt;AU$6),AND(AU$7&gt;0,$A1073&gt;AU$7)),0,MAX(0,ROUND((INDEX($E1073:$G1073,AU$5)-SUMIFS(TF_Timer,TF_Tekniker,AU$4,TF_Dato,$A1073))*2,0)/2)))</f>
        <v/>
      </c>
      <c r="AV1073">
        <f>IF(OR(AV$4="",$A1073&gt;TODAY()),0,IF(OR(INDEX($B1073:$D1073,AV$5)="F",AND(AV$6&gt;0,$A1073&lt;AV$6),AND(AV$7&gt;0,$A1073&gt;AV$7)),0,MAX(0,ROUND((INDEX($E1073:$G1073,AV$5)-SUMIFS(TF_Timer,TF_Tekniker,AV$4,TF_Dato,$A1073))*2,0)/2)))</f>
        <v/>
      </c>
      <c r="AW1073">
        <f>IF(OR(AW$4="",$A1073&gt;TODAY()),0,IF(OR(INDEX($B1073:$D1073,AW$5)="F",AND(AW$6&gt;0,$A1073&lt;AW$6),AND(AW$7&gt;0,$A1073&gt;AW$7)),0,MAX(0,ROUND((INDEX($E1073:$G1073,AW$5)-SUMIFS(TF_Timer,TF_Tekniker,AW$4,TF_Dato,$A1073))*2,0)/2)))</f>
        <v/>
      </c>
      <c r="AX1073">
        <f>IF(OR(AX$4="",$A1073&gt;TODAY()),0,IF(OR(INDEX($B1073:$D1073,AX$5)="F",AND(AX$6&gt;0,$A1073&lt;AX$6),AND(AX$7&gt;0,$A1073&gt;AX$7)),0,MAX(0,ROUND((INDEX($E1073:$G1073,AX$5)-SUMIFS(TF_Timer,TF_Tekniker,AX$4,TF_Dato,$A1073))*2,0)/2)))</f>
        <v/>
      </c>
      <c r="AY1073">
        <f>IF(OR(AY$4="",$A1073&gt;TODAY()),0,IF(OR(INDEX($B1073:$D1073,AY$5)="F",AND(AY$6&gt;0,$A1073&lt;AY$6),AND(AY$7&gt;0,$A1073&gt;AY$7)),0,MAX(0,ROUND((INDEX($E1073:$G1073,AY$5)-SUMIFS(TF_Timer,TF_Tekniker,AY$4,TF_Dato,$A1073))*2,0)/2)))</f>
        <v/>
      </c>
      <c r="AZ1073">
        <f>IF(OR(AZ$4="",$A1073&gt;TODAY()),0,IF(OR(INDEX($B1073:$D1073,AZ$5)="F",AND(AZ$6&gt;0,$A1073&lt;AZ$6),AND(AZ$7&gt;0,$A1073&gt;AZ$7)),0,MAX(0,ROUND((INDEX($E1073:$G1073,AZ$5)-SUMIFS(TF_Timer,TF_Tekniker,AZ$4,TF_Dato,$A1073))*2,0)/2)))</f>
        <v/>
      </c>
      <c r="BA1073">
        <f>IF(OR(BA$4="",$A1073&gt;TODAY()),0,IF(OR(INDEX($B1073:$D1073,BA$5)="F",AND(BA$6&gt;0,$A1073&lt;BA$6),AND(BA$7&gt;0,$A1073&gt;BA$7)),0,MAX(0,ROUND((INDEX($E1073:$G1073,BA$5)-SUMIFS(TF_Timer,TF_Tekniker,BA$4,TF_Dato,$A1073))*2,0)/2)))</f>
        <v/>
      </c>
      <c r="BB1073">
        <f>IF(OR(BB$4="",$A1073&gt;TODAY()),0,IF(OR(INDEX($B1073:$D1073,BB$5)="F",AND(BB$6&gt;0,$A1073&lt;BB$6),AND(BB$7&gt;0,$A1073&gt;BB$7)),0,MAX(0,ROUND((INDEX($E1073:$G1073,BB$5)-SUMIFS(TF_Timer,TF_Tekniker,BB$4,TF_Dato,$A1073))*2,0)/2)))</f>
        <v/>
      </c>
      <c r="BC1073">
        <f>IF(OR(BC$4="",$A1073&gt;TODAY()),0,IF(OR(INDEX($B1073:$D1073,BC$5)="F",AND(BC$6&gt;0,$A1073&lt;BC$6),AND(BC$7&gt;0,$A1073&gt;BC$7)),0,MAX(0,ROUND((INDEX($E1073:$G1073,BC$5)-SUMIFS(TF_Timer,TF_Tekniker,BC$4,TF_Dato,$A1073))*2,0)/2)))</f>
        <v/>
      </c>
      <c r="BD1073">
        <f>IF(OR(BD$4="",$A1073&gt;TODAY()),0,IF(OR(INDEX($B1073:$D1073,BD$5)="F",AND(BD$6&gt;0,$A1073&lt;BD$6),AND(BD$7&gt;0,$A1073&gt;BD$7)),0,MAX(0,ROUND((INDEX($E1073:$G1073,BD$5)-SUMIFS(TF_Timer,TF_Tekniker,BD$4,TF_Dato,$A1073))*2,0)/2)))</f>
        <v/>
      </c>
      <c r="BE1073">
        <f>IF(OR(BE$4="",$A1073&gt;TODAY()),0,IF(OR(INDEX($B1073:$D1073,BE$5)="F",AND(BE$6&gt;0,$A1073&lt;BE$6),AND(BE$7&gt;0,$A1073&gt;BE$7)),0,MAX(0,ROUND((INDEX($E1073:$G1073,BE$5)-SUMIFS(TF_Timer,TF_Tekniker,BE$4,TF_Dato,$A1073))*2,0)/2)))</f>
        <v/>
      </c>
      <c r="BF1073">
        <f>IF(OR(BF$4="",$A1073&gt;TODAY()),0,IF(OR(INDEX($B1073:$D1073,BF$5)="F",AND(BF$6&gt;0,$A1073&lt;BF$6),AND(BF$7&gt;0,$A1073&gt;BF$7)),0,MAX(0,ROUND((INDEX($E1073:$G1073,BF$5)-SUMIFS(TF_Timer,TF_Tekniker,BF$4,TF_Dato,$A1073))*2,0)/2)))</f>
        <v/>
      </c>
      <c r="BG1073">
        <f>IF(OR(BG$4="",$A1073&gt;TODAY()),0,IF(OR(INDEX($B1073:$D1073,BG$5)="F",AND(BG$6&gt;0,$A1073&lt;BG$6),AND(BG$7&gt;0,$A1073&gt;BG$7)),0,MAX(0,ROUND((INDEX($E1073:$G1073,BG$5)-SUMIFS(TF_Timer,TF_Tekniker,BG$4,TF_Dato,$A1073))*2,0)/2)))</f>
        <v/>
      </c>
      <c r="BH1073">
        <f>IF(OR(BH$4="",$A1073&gt;TODAY()),0,IF(OR(INDEX($B1073:$D1073,BH$5)="F",AND(BH$6&gt;0,$A1073&lt;BH$6),AND(BH$7&gt;0,$A1073&gt;BH$7)),0,MAX(0,ROUND((INDEX($E1073:$G1073,BH$5)-SUMIFS(TF_Timer,TF_Tekniker,BH$4,TF_Dato,$A1073))*2,0)/2)))</f>
        <v/>
      </c>
      <c r="BI1073">
        <f>IF(OR(BI$4="",$A1073&gt;TODAY()),0,IF(OR(INDEX($B1073:$D1073,BI$5)="F",AND(BI$6&gt;0,$A1073&lt;BI$6),AND(BI$7&gt;0,$A1073&gt;BI$7)),0,MAX(0,ROUND((INDEX($E1073:$G1073,BI$5)-SUMIFS(TF_Timer,TF_Tekniker,BI$4,TF_Dato,$A1073))*2,0)/2)))</f>
        <v/>
      </c>
    </row>
    <row r="1074">
      <c r="A1074" s="64">
        <f>A1073+1</f>
        <v/>
      </c>
      <c r="B1074">
        <f>IF(MOD($A1074-INDEX(SkiftStart,1),Syklus)&lt;DagK,"K",IF(MOD($A1074-INDEX(SkiftStart,1),Syklus)&lt;DagK+DagH,"H",IF(MOD($A1074-INDEX(SkiftStart,1),Syklus)&lt;DagK+DagH+DagD,"D","F")))</f>
        <v/>
      </c>
      <c r="C1074">
        <f>IF(MOD($A1074-INDEX(SkiftStart,2),Syklus)&lt;DagK,"K",IF(MOD($A1074-INDEX(SkiftStart,2),Syklus)&lt;DagK+DagH,"H",IF(MOD($A1074-INDEX(SkiftStart,2),Syklus)&lt;DagK+DagH+DagD,"D","F")))</f>
        <v/>
      </c>
      <c r="D1074">
        <f>IF(MOD($A1074-INDEX(SkiftStart,3),Syklus)&lt;DagK,"K",IF(MOD($A1074-INDEX(SkiftStart,3),Syklus)&lt;DagK+DagH,"H",IF(MOD($A1074-INDEX(SkiftStart,3),Syklus)&lt;DagK+DagH+DagD,"D","F")))</f>
        <v/>
      </c>
      <c r="E1074">
        <f>IF(B1074="F",0,IF(WEEKDAY($A1074,2)=5,INDEX(TimerFr,MATCH(B1074,FaseKode,0)),INDEX(TimerMT,MATCH(B1074,FaseKode,0))))</f>
        <v/>
      </c>
      <c r="F1074">
        <f>IF(C1074="F",0,IF(WEEKDAY($A1074,2)=5,INDEX(TimerFr,MATCH(C1074,FaseKode,0)),INDEX(TimerMT,MATCH(C1074,FaseKode,0))))</f>
        <v/>
      </c>
      <c r="G1074">
        <f>IF(D1074="F",0,IF(WEEKDAY($A1074,2)=5,INDEX(TimerFr,MATCH(D1074,FaseKode,0)),INDEX(TimerMT,MATCH(D1074,FaseKode,0))))</f>
        <v/>
      </c>
      <c r="H1074">
        <f>IF(OR(H$4="",$A1074&gt;TODAY()),0,IF(OR(INDEX($B1074:$D1074,H$5)="F",AND(H$6&gt;0,$A1074&lt;H$6),AND(H$7&gt;0,$A1074&gt;H$7)),0,MAX(0,ROUND((INDEX($E1074:$G1074,H$5)-SUMIFS(TF_Timer,TF_Tekniker,H$4,TF_Dato,$A1074))*2,0)/2)))</f>
        <v/>
      </c>
      <c r="I1074">
        <f>IF(OR(I$4="",$A1074&gt;TODAY()),0,IF(OR(INDEX($B1074:$D1074,I$5)="F",AND(I$6&gt;0,$A1074&lt;I$6),AND(I$7&gt;0,$A1074&gt;I$7)),0,MAX(0,ROUND((INDEX($E1074:$G1074,I$5)-SUMIFS(TF_Timer,TF_Tekniker,I$4,TF_Dato,$A1074))*2,0)/2)))</f>
        <v/>
      </c>
      <c r="J1074">
        <f>IF(OR(J$4="",$A1074&gt;TODAY()),0,IF(OR(INDEX($B1074:$D1074,J$5)="F",AND(J$6&gt;0,$A1074&lt;J$6),AND(J$7&gt;0,$A1074&gt;J$7)),0,MAX(0,ROUND((INDEX($E1074:$G1074,J$5)-SUMIFS(TF_Timer,TF_Tekniker,J$4,TF_Dato,$A1074))*2,0)/2)))</f>
        <v/>
      </c>
      <c r="K1074">
        <f>IF(OR(K$4="",$A1074&gt;TODAY()),0,IF(OR(INDEX($B1074:$D1074,K$5)="F",AND(K$6&gt;0,$A1074&lt;K$6),AND(K$7&gt;0,$A1074&gt;K$7)),0,MAX(0,ROUND((INDEX($E1074:$G1074,K$5)-SUMIFS(TF_Timer,TF_Tekniker,K$4,TF_Dato,$A1074))*2,0)/2)))</f>
        <v/>
      </c>
      <c r="L1074">
        <f>IF(OR(L$4="",$A1074&gt;TODAY()),0,IF(OR(INDEX($B1074:$D1074,L$5)="F",AND(L$6&gt;0,$A1074&lt;L$6),AND(L$7&gt;0,$A1074&gt;L$7)),0,MAX(0,ROUND((INDEX($E1074:$G1074,L$5)-SUMIFS(TF_Timer,TF_Tekniker,L$4,TF_Dato,$A1074))*2,0)/2)))</f>
        <v/>
      </c>
      <c r="M1074">
        <f>IF(OR(M$4="",$A1074&gt;TODAY()),0,IF(OR(INDEX($B1074:$D1074,M$5)="F",AND(M$6&gt;0,$A1074&lt;M$6),AND(M$7&gt;0,$A1074&gt;M$7)),0,MAX(0,ROUND((INDEX($E1074:$G1074,M$5)-SUMIFS(TF_Timer,TF_Tekniker,M$4,TF_Dato,$A1074))*2,0)/2)))</f>
        <v/>
      </c>
      <c r="N1074">
        <f>IF(OR(N$4="",$A1074&gt;TODAY()),0,IF(OR(INDEX($B1074:$D1074,N$5)="F",AND(N$6&gt;0,$A1074&lt;N$6),AND(N$7&gt;0,$A1074&gt;N$7)),0,MAX(0,ROUND((INDEX($E1074:$G1074,N$5)-SUMIFS(TF_Timer,TF_Tekniker,N$4,TF_Dato,$A1074))*2,0)/2)))</f>
        <v/>
      </c>
      <c r="O1074">
        <f>IF(OR(O$4="",$A1074&gt;TODAY()),0,IF(OR(INDEX($B1074:$D1074,O$5)="F",AND(O$6&gt;0,$A1074&lt;O$6),AND(O$7&gt;0,$A1074&gt;O$7)),0,MAX(0,ROUND((INDEX($E1074:$G1074,O$5)-SUMIFS(TF_Timer,TF_Tekniker,O$4,TF_Dato,$A1074))*2,0)/2)))</f>
        <v/>
      </c>
      <c r="P1074">
        <f>IF(OR(P$4="",$A1074&gt;TODAY()),0,IF(OR(INDEX($B1074:$D1074,P$5)="F",AND(P$6&gt;0,$A1074&lt;P$6),AND(P$7&gt;0,$A1074&gt;P$7)),0,MAX(0,ROUND((INDEX($E1074:$G1074,P$5)-SUMIFS(TF_Timer,TF_Tekniker,P$4,TF_Dato,$A1074))*2,0)/2)))</f>
        <v/>
      </c>
      <c r="Q1074">
        <f>IF(OR(Q$4="",$A1074&gt;TODAY()),0,IF(OR(INDEX($B1074:$D1074,Q$5)="F",AND(Q$6&gt;0,$A1074&lt;Q$6),AND(Q$7&gt;0,$A1074&gt;Q$7)),0,MAX(0,ROUND((INDEX($E1074:$G1074,Q$5)-SUMIFS(TF_Timer,TF_Tekniker,Q$4,TF_Dato,$A1074))*2,0)/2)))</f>
        <v/>
      </c>
      <c r="R1074">
        <f>IF(OR(R$4="",$A1074&gt;TODAY()),0,IF(OR(INDEX($B1074:$D1074,R$5)="F",AND(R$6&gt;0,$A1074&lt;R$6),AND(R$7&gt;0,$A1074&gt;R$7)),0,MAX(0,ROUND((INDEX($E1074:$G1074,R$5)-SUMIFS(TF_Timer,TF_Tekniker,R$4,TF_Dato,$A1074))*2,0)/2)))</f>
        <v/>
      </c>
      <c r="S1074">
        <f>IF(OR(S$4="",$A1074&gt;TODAY()),0,IF(OR(INDEX($B1074:$D1074,S$5)="F",AND(S$6&gt;0,$A1074&lt;S$6),AND(S$7&gt;0,$A1074&gt;S$7)),0,MAX(0,ROUND((INDEX($E1074:$G1074,S$5)-SUMIFS(TF_Timer,TF_Tekniker,S$4,TF_Dato,$A1074))*2,0)/2)))</f>
        <v/>
      </c>
      <c r="T1074">
        <f>IF(OR(T$4="",$A1074&gt;TODAY()),0,IF(OR(INDEX($B1074:$D1074,T$5)="F",AND(T$6&gt;0,$A1074&lt;T$6),AND(T$7&gt;0,$A1074&gt;T$7)),0,MAX(0,ROUND((INDEX($E1074:$G1074,T$5)-SUMIFS(TF_Timer,TF_Tekniker,T$4,TF_Dato,$A1074))*2,0)/2)))</f>
        <v/>
      </c>
      <c r="U1074">
        <f>IF(OR(U$4="",$A1074&gt;TODAY()),0,IF(OR(INDEX($B1074:$D1074,U$5)="F",AND(U$6&gt;0,$A1074&lt;U$6),AND(U$7&gt;0,$A1074&gt;U$7)),0,MAX(0,ROUND((INDEX($E1074:$G1074,U$5)-SUMIFS(TF_Timer,TF_Tekniker,U$4,TF_Dato,$A1074))*2,0)/2)))</f>
        <v/>
      </c>
      <c r="V1074">
        <f>IF(OR(V$4="",$A1074&gt;TODAY()),0,IF(OR(INDEX($B1074:$D1074,V$5)="F",AND(V$6&gt;0,$A1074&lt;V$6),AND(V$7&gt;0,$A1074&gt;V$7)),0,MAX(0,ROUND((INDEX($E1074:$G1074,V$5)-SUMIFS(TF_Timer,TF_Tekniker,V$4,TF_Dato,$A1074))*2,0)/2)))</f>
        <v/>
      </c>
      <c r="W1074">
        <f>IF(OR(W$4="",$A1074&gt;TODAY()),0,IF(OR(INDEX($B1074:$D1074,W$5)="F",AND(W$6&gt;0,$A1074&lt;W$6),AND(W$7&gt;0,$A1074&gt;W$7)),0,MAX(0,ROUND((INDEX($E1074:$G1074,W$5)-SUMIFS(TF_Timer,TF_Tekniker,W$4,TF_Dato,$A1074))*2,0)/2)))</f>
        <v/>
      </c>
      <c r="X1074">
        <f>IF(OR(X$4="",$A1074&gt;TODAY()),0,IF(OR(INDEX($B1074:$D1074,X$5)="F",AND(X$6&gt;0,$A1074&lt;X$6),AND(X$7&gt;0,$A1074&gt;X$7)),0,MAX(0,ROUND((INDEX($E1074:$G1074,X$5)-SUMIFS(TF_Timer,TF_Tekniker,X$4,TF_Dato,$A1074))*2,0)/2)))</f>
        <v/>
      </c>
      <c r="Y1074">
        <f>IF(OR(Y$4="",$A1074&gt;TODAY()),0,IF(OR(INDEX($B1074:$D1074,Y$5)="F",AND(Y$6&gt;0,$A1074&lt;Y$6),AND(Y$7&gt;0,$A1074&gt;Y$7)),0,MAX(0,ROUND((INDEX($E1074:$G1074,Y$5)-SUMIFS(TF_Timer,TF_Tekniker,Y$4,TF_Dato,$A1074))*2,0)/2)))</f>
        <v/>
      </c>
      <c r="Z1074">
        <f>IF(OR(Z$4="",$A1074&gt;TODAY()),0,IF(OR(INDEX($B1074:$D1074,Z$5)="F",AND(Z$6&gt;0,$A1074&lt;Z$6),AND(Z$7&gt;0,$A1074&gt;Z$7)),0,MAX(0,ROUND((INDEX($E1074:$G1074,Z$5)-SUMIFS(TF_Timer,TF_Tekniker,Z$4,TF_Dato,$A1074))*2,0)/2)))</f>
        <v/>
      </c>
      <c r="AA1074">
        <f>IF(OR(AA$4="",$A1074&gt;TODAY()),0,IF(OR(INDEX($B1074:$D1074,AA$5)="F",AND(AA$6&gt;0,$A1074&lt;AA$6),AND(AA$7&gt;0,$A1074&gt;AA$7)),0,MAX(0,ROUND((INDEX($E1074:$G1074,AA$5)-SUMIFS(TF_Timer,TF_Tekniker,AA$4,TF_Dato,$A1074))*2,0)/2)))</f>
        <v/>
      </c>
      <c r="AB1074">
        <f>IF(OR(AB$4="",$A1074&gt;TODAY()),0,IF(OR(INDEX($B1074:$D1074,AB$5)="F",AND(AB$6&gt;0,$A1074&lt;AB$6),AND(AB$7&gt;0,$A1074&gt;AB$7)),0,MAX(0,ROUND((INDEX($E1074:$G1074,AB$5)-SUMIFS(TF_Timer,TF_Tekniker,AB$4,TF_Dato,$A1074))*2,0)/2)))</f>
        <v/>
      </c>
      <c r="AC1074">
        <f>IF(OR(AC$4="",$A1074&gt;TODAY()),0,IF(OR(INDEX($B1074:$D1074,AC$5)="F",AND(AC$6&gt;0,$A1074&lt;AC$6),AND(AC$7&gt;0,$A1074&gt;AC$7)),0,MAX(0,ROUND((INDEX($E1074:$G1074,AC$5)-SUMIFS(TF_Timer,TF_Tekniker,AC$4,TF_Dato,$A1074))*2,0)/2)))</f>
        <v/>
      </c>
      <c r="AD1074">
        <f>IF(OR(AD$4="",$A1074&gt;TODAY()),0,IF(OR(INDEX($B1074:$D1074,AD$5)="F",AND(AD$6&gt;0,$A1074&lt;AD$6),AND(AD$7&gt;0,$A1074&gt;AD$7)),0,MAX(0,ROUND((INDEX($E1074:$G1074,AD$5)-SUMIFS(TF_Timer,TF_Tekniker,AD$4,TF_Dato,$A1074))*2,0)/2)))</f>
        <v/>
      </c>
      <c r="AE1074">
        <f>IF(OR(AE$4="",$A1074&gt;TODAY()),0,IF(OR(INDEX($B1074:$D1074,AE$5)="F",AND(AE$6&gt;0,$A1074&lt;AE$6),AND(AE$7&gt;0,$A1074&gt;AE$7)),0,MAX(0,ROUND((INDEX($E1074:$G1074,AE$5)-SUMIFS(TF_Timer,TF_Tekniker,AE$4,TF_Dato,$A1074))*2,0)/2)))</f>
        <v/>
      </c>
      <c r="AF1074">
        <f>IF(OR(AF$4="",$A1074&gt;TODAY()),0,IF(OR(INDEX($B1074:$D1074,AF$5)="F",AND(AF$6&gt;0,$A1074&lt;AF$6),AND(AF$7&gt;0,$A1074&gt;AF$7)),0,MAX(0,ROUND((INDEX($E1074:$G1074,AF$5)-SUMIFS(TF_Timer,TF_Tekniker,AF$4,TF_Dato,$A1074))*2,0)/2)))</f>
        <v/>
      </c>
      <c r="AG1074">
        <f>IF(OR(AG$4="",$A1074&gt;TODAY()),0,IF(OR(INDEX($B1074:$D1074,AG$5)="F",AND(AG$6&gt;0,$A1074&lt;AG$6),AND(AG$7&gt;0,$A1074&gt;AG$7)),0,MAX(0,ROUND((INDEX($E1074:$G1074,AG$5)-SUMIFS(TF_Timer,TF_Tekniker,AG$4,TF_Dato,$A1074))*2,0)/2)))</f>
        <v/>
      </c>
      <c r="AH1074">
        <f>IF(OR(AH$4="",$A1074&gt;TODAY()),0,IF(OR(INDEX($B1074:$D1074,AH$5)="F",AND(AH$6&gt;0,$A1074&lt;AH$6),AND(AH$7&gt;0,$A1074&gt;AH$7)),0,MAX(0,ROUND((INDEX($E1074:$G1074,AH$5)-SUMIFS(TF_Timer,TF_Tekniker,AH$4,TF_Dato,$A1074))*2,0)/2)))</f>
        <v/>
      </c>
      <c r="AI1074">
        <f>IF(OR(AI$4="",$A1074&gt;TODAY()),0,IF(OR(INDEX($B1074:$D1074,AI$5)="F",AND(AI$6&gt;0,$A1074&lt;AI$6),AND(AI$7&gt;0,$A1074&gt;AI$7)),0,MAX(0,ROUND((INDEX($E1074:$G1074,AI$5)-SUMIFS(TF_Timer,TF_Tekniker,AI$4,TF_Dato,$A1074))*2,0)/2)))</f>
        <v/>
      </c>
      <c r="AJ1074">
        <f>IF(OR(AJ$4="",$A1074&gt;TODAY()),0,IF(OR(INDEX($B1074:$D1074,AJ$5)="F",AND(AJ$6&gt;0,$A1074&lt;AJ$6),AND(AJ$7&gt;0,$A1074&gt;AJ$7)),0,MAX(0,ROUND((INDEX($E1074:$G1074,AJ$5)-SUMIFS(TF_Timer,TF_Tekniker,AJ$4,TF_Dato,$A1074))*2,0)/2)))</f>
        <v/>
      </c>
      <c r="AK1074">
        <f>IF(OR(AK$4="",$A1074&gt;TODAY()),0,IF(OR(INDEX($B1074:$D1074,AK$5)="F",AND(AK$6&gt;0,$A1074&lt;AK$6),AND(AK$7&gt;0,$A1074&gt;AK$7)),0,MAX(0,ROUND((INDEX($E1074:$G1074,AK$5)-SUMIFS(TF_Timer,TF_Tekniker,AK$4,TF_Dato,$A1074))*2,0)/2)))</f>
        <v/>
      </c>
      <c r="AL1074">
        <f>IF(OR(AL$4="",$A1074&gt;TODAY()),0,IF(OR(INDEX($B1074:$D1074,AL$5)="F",AND(AL$6&gt;0,$A1074&lt;AL$6),AND(AL$7&gt;0,$A1074&gt;AL$7)),0,MAX(0,ROUND((INDEX($E1074:$G1074,AL$5)-SUMIFS(TF_Timer,TF_Tekniker,AL$4,TF_Dato,$A1074))*2,0)/2)))</f>
        <v/>
      </c>
      <c r="AM1074">
        <f>IF(OR(AM$4="",$A1074&gt;TODAY()),0,IF(OR(INDEX($B1074:$D1074,AM$5)="F",AND(AM$6&gt;0,$A1074&lt;AM$6),AND(AM$7&gt;0,$A1074&gt;AM$7)),0,MAX(0,ROUND((INDEX($E1074:$G1074,AM$5)-SUMIFS(TF_Timer,TF_Tekniker,AM$4,TF_Dato,$A1074))*2,0)/2)))</f>
        <v/>
      </c>
      <c r="AN1074">
        <f>IF(OR(AN$4="",$A1074&gt;TODAY()),0,IF(OR(INDEX($B1074:$D1074,AN$5)="F",AND(AN$6&gt;0,$A1074&lt;AN$6),AND(AN$7&gt;0,$A1074&gt;AN$7)),0,MAX(0,ROUND((INDEX($E1074:$G1074,AN$5)-SUMIFS(TF_Timer,TF_Tekniker,AN$4,TF_Dato,$A1074))*2,0)/2)))</f>
        <v/>
      </c>
      <c r="AO1074">
        <f>IF(OR(AO$4="",$A1074&gt;TODAY()),0,IF(OR(INDEX($B1074:$D1074,AO$5)="F",AND(AO$6&gt;0,$A1074&lt;AO$6),AND(AO$7&gt;0,$A1074&gt;AO$7)),0,MAX(0,ROUND((INDEX($E1074:$G1074,AO$5)-SUMIFS(TF_Timer,TF_Tekniker,AO$4,TF_Dato,$A1074))*2,0)/2)))</f>
        <v/>
      </c>
      <c r="AP1074">
        <f>IF(OR(AP$4="",$A1074&gt;TODAY()),0,IF(OR(INDEX($B1074:$D1074,AP$5)="F",AND(AP$6&gt;0,$A1074&lt;AP$6),AND(AP$7&gt;0,$A1074&gt;AP$7)),0,MAX(0,ROUND((INDEX($E1074:$G1074,AP$5)-SUMIFS(TF_Timer,TF_Tekniker,AP$4,TF_Dato,$A1074))*2,0)/2)))</f>
        <v/>
      </c>
      <c r="AQ1074">
        <f>IF(OR(AQ$4="",$A1074&gt;TODAY()),0,IF(OR(INDEX($B1074:$D1074,AQ$5)="F",AND(AQ$6&gt;0,$A1074&lt;AQ$6),AND(AQ$7&gt;0,$A1074&gt;AQ$7)),0,MAX(0,ROUND((INDEX($E1074:$G1074,AQ$5)-SUMIFS(TF_Timer,TF_Tekniker,AQ$4,TF_Dato,$A1074))*2,0)/2)))</f>
        <v/>
      </c>
      <c r="AR1074">
        <f>IF(OR(AR$4="",$A1074&gt;TODAY()),0,IF(OR(INDEX($B1074:$D1074,AR$5)="F",AND(AR$6&gt;0,$A1074&lt;AR$6),AND(AR$7&gt;0,$A1074&gt;AR$7)),0,MAX(0,ROUND((INDEX($E1074:$G1074,AR$5)-SUMIFS(TF_Timer,TF_Tekniker,AR$4,TF_Dato,$A1074))*2,0)/2)))</f>
        <v/>
      </c>
      <c r="AS1074">
        <f>IF(OR(AS$4="",$A1074&gt;TODAY()),0,IF(OR(INDEX($B1074:$D1074,AS$5)="F",AND(AS$6&gt;0,$A1074&lt;AS$6),AND(AS$7&gt;0,$A1074&gt;AS$7)),0,MAX(0,ROUND((INDEX($E1074:$G1074,AS$5)-SUMIFS(TF_Timer,TF_Tekniker,AS$4,TF_Dato,$A1074))*2,0)/2)))</f>
        <v/>
      </c>
      <c r="AT1074">
        <f>IF(OR(AT$4="",$A1074&gt;TODAY()),0,IF(OR(INDEX($B1074:$D1074,AT$5)="F",AND(AT$6&gt;0,$A1074&lt;AT$6),AND(AT$7&gt;0,$A1074&gt;AT$7)),0,MAX(0,ROUND((INDEX($E1074:$G1074,AT$5)-SUMIFS(TF_Timer,TF_Tekniker,AT$4,TF_Dato,$A1074))*2,0)/2)))</f>
        <v/>
      </c>
      <c r="AU1074">
        <f>IF(OR(AU$4="",$A1074&gt;TODAY()),0,IF(OR(INDEX($B1074:$D1074,AU$5)="F",AND(AU$6&gt;0,$A1074&lt;AU$6),AND(AU$7&gt;0,$A1074&gt;AU$7)),0,MAX(0,ROUND((INDEX($E1074:$G1074,AU$5)-SUMIFS(TF_Timer,TF_Tekniker,AU$4,TF_Dato,$A1074))*2,0)/2)))</f>
        <v/>
      </c>
      <c r="AV1074">
        <f>IF(OR(AV$4="",$A1074&gt;TODAY()),0,IF(OR(INDEX($B1074:$D1074,AV$5)="F",AND(AV$6&gt;0,$A1074&lt;AV$6),AND(AV$7&gt;0,$A1074&gt;AV$7)),0,MAX(0,ROUND((INDEX($E1074:$G1074,AV$5)-SUMIFS(TF_Timer,TF_Tekniker,AV$4,TF_Dato,$A1074))*2,0)/2)))</f>
        <v/>
      </c>
      <c r="AW1074">
        <f>IF(OR(AW$4="",$A1074&gt;TODAY()),0,IF(OR(INDEX($B1074:$D1074,AW$5)="F",AND(AW$6&gt;0,$A1074&lt;AW$6),AND(AW$7&gt;0,$A1074&gt;AW$7)),0,MAX(0,ROUND((INDEX($E1074:$G1074,AW$5)-SUMIFS(TF_Timer,TF_Tekniker,AW$4,TF_Dato,$A1074))*2,0)/2)))</f>
        <v/>
      </c>
      <c r="AX1074">
        <f>IF(OR(AX$4="",$A1074&gt;TODAY()),0,IF(OR(INDEX($B1074:$D1074,AX$5)="F",AND(AX$6&gt;0,$A1074&lt;AX$6),AND(AX$7&gt;0,$A1074&gt;AX$7)),0,MAX(0,ROUND((INDEX($E1074:$G1074,AX$5)-SUMIFS(TF_Timer,TF_Tekniker,AX$4,TF_Dato,$A1074))*2,0)/2)))</f>
        <v/>
      </c>
      <c r="AY1074">
        <f>IF(OR(AY$4="",$A1074&gt;TODAY()),0,IF(OR(INDEX($B1074:$D1074,AY$5)="F",AND(AY$6&gt;0,$A1074&lt;AY$6),AND(AY$7&gt;0,$A1074&gt;AY$7)),0,MAX(0,ROUND((INDEX($E1074:$G1074,AY$5)-SUMIFS(TF_Timer,TF_Tekniker,AY$4,TF_Dato,$A1074))*2,0)/2)))</f>
        <v/>
      </c>
      <c r="AZ1074">
        <f>IF(OR(AZ$4="",$A1074&gt;TODAY()),0,IF(OR(INDEX($B1074:$D1074,AZ$5)="F",AND(AZ$6&gt;0,$A1074&lt;AZ$6),AND(AZ$7&gt;0,$A1074&gt;AZ$7)),0,MAX(0,ROUND((INDEX($E1074:$G1074,AZ$5)-SUMIFS(TF_Timer,TF_Tekniker,AZ$4,TF_Dato,$A1074))*2,0)/2)))</f>
        <v/>
      </c>
      <c r="BA1074">
        <f>IF(OR(BA$4="",$A1074&gt;TODAY()),0,IF(OR(INDEX($B1074:$D1074,BA$5)="F",AND(BA$6&gt;0,$A1074&lt;BA$6),AND(BA$7&gt;0,$A1074&gt;BA$7)),0,MAX(0,ROUND((INDEX($E1074:$G1074,BA$5)-SUMIFS(TF_Timer,TF_Tekniker,BA$4,TF_Dato,$A1074))*2,0)/2)))</f>
        <v/>
      </c>
      <c r="BB1074">
        <f>IF(OR(BB$4="",$A1074&gt;TODAY()),0,IF(OR(INDEX($B1074:$D1074,BB$5)="F",AND(BB$6&gt;0,$A1074&lt;BB$6),AND(BB$7&gt;0,$A1074&gt;BB$7)),0,MAX(0,ROUND((INDEX($E1074:$G1074,BB$5)-SUMIFS(TF_Timer,TF_Tekniker,BB$4,TF_Dato,$A1074))*2,0)/2)))</f>
        <v/>
      </c>
      <c r="BC1074">
        <f>IF(OR(BC$4="",$A1074&gt;TODAY()),0,IF(OR(INDEX($B1074:$D1074,BC$5)="F",AND(BC$6&gt;0,$A1074&lt;BC$6),AND(BC$7&gt;0,$A1074&gt;BC$7)),0,MAX(0,ROUND((INDEX($E1074:$G1074,BC$5)-SUMIFS(TF_Timer,TF_Tekniker,BC$4,TF_Dato,$A1074))*2,0)/2)))</f>
        <v/>
      </c>
      <c r="BD1074">
        <f>IF(OR(BD$4="",$A1074&gt;TODAY()),0,IF(OR(INDEX($B1074:$D1074,BD$5)="F",AND(BD$6&gt;0,$A1074&lt;BD$6),AND(BD$7&gt;0,$A1074&gt;BD$7)),0,MAX(0,ROUND((INDEX($E1074:$G1074,BD$5)-SUMIFS(TF_Timer,TF_Tekniker,BD$4,TF_Dato,$A1074))*2,0)/2)))</f>
        <v/>
      </c>
      <c r="BE1074">
        <f>IF(OR(BE$4="",$A1074&gt;TODAY()),0,IF(OR(INDEX($B1074:$D1074,BE$5)="F",AND(BE$6&gt;0,$A1074&lt;BE$6),AND(BE$7&gt;0,$A1074&gt;BE$7)),0,MAX(0,ROUND((INDEX($E1074:$G1074,BE$5)-SUMIFS(TF_Timer,TF_Tekniker,BE$4,TF_Dato,$A1074))*2,0)/2)))</f>
        <v/>
      </c>
      <c r="BF1074">
        <f>IF(OR(BF$4="",$A1074&gt;TODAY()),0,IF(OR(INDEX($B1074:$D1074,BF$5)="F",AND(BF$6&gt;0,$A1074&lt;BF$6),AND(BF$7&gt;0,$A1074&gt;BF$7)),0,MAX(0,ROUND((INDEX($E1074:$G1074,BF$5)-SUMIFS(TF_Timer,TF_Tekniker,BF$4,TF_Dato,$A1074))*2,0)/2)))</f>
        <v/>
      </c>
      <c r="BG1074">
        <f>IF(OR(BG$4="",$A1074&gt;TODAY()),0,IF(OR(INDEX($B1074:$D1074,BG$5)="F",AND(BG$6&gt;0,$A1074&lt;BG$6),AND(BG$7&gt;0,$A1074&gt;BG$7)),0,MAX(0,ROUND((INDEX($E1074:$G1074,BG$5)-SUMIFS(TF_Timer,TF_Tekniker,BG$4,TF_Dato,$A1074))*2,0)/2)))</f>
        <v/>
      </c>
      <c r="BH1074">
        <f>IF(OR(BH$4="",$A1074&gt;TODAY()),0,IF(OR(INDEX($B1074:$D1074,BH$5)="F",AND(BH$6&gt;0,$A1074&lt;BH$6),AND(BH$7&gt;0,$A1074&gt;BH$7)),0,MAX(0,ROUND((INDEX($E1074:$G1074,BH$5)-SUMIFS(TF_Timer,TF_Tekniker,BH$4,TF_Dato,$A1074))*2,0)/2)))</f>
        <v/>
      </c>
      <c r="BI1074">
        <f>IF(OR(BI$4="",$A1074&gt;TODAY()),0,IF(OR(INDEX($B1074:$D1074,BI$5)="F",AND(BI$6&gt;0,$A1074&lt;BI$6),AND(BI$7&gt;0,$A1074&gt;BI$7)),0,MAX(0,ROUND((INDEX($E1074:$G1074,BI$5)-SUMIFS(TF_Timer,TF_Tekniker,BI$4,TF_Dato,$A1074))*2,0)/2)))</f>
        <v/>
      </c>
    </row>
    <row r="1075">
      <c r="A1075" s="64">
        <f>A1074+1</f>
        <v/>
      </c>
      <c r="B1075">
        <f>IF(MOD($A1075-INDEX(SkiftStart,1),Syklus)&lt;DagK,"K",IF(MOD($A1075-INDEX(SkiftStart,1),Syklus)&lt;DagK+DagH,"H",IF(MOD($A1075-INDEX(SkiftStart,1),Syklus)&lt;DagK+DagH+DagD,"D","F")))</f>
        <v/>
      </c>
      <c r="C1075">
        <f>IF(MOD($A1075-INDEX(SkiftStart,2),Syklus)&lt;DagK,"K",IF(MOD($A1075-INDEX(SkiftStart,2),Syklus)&lt;DagK+DagH,"H",IF(MOD($A1075-INDEX(SkiftStart,2),Syklus)&lt;DagK+DagH+DagD,"D","F")))</f>
        <v/>
      </c>
      <c r="D1075">
        <f>IF(MOD($A1075-INDEX(SkiftStart,3),Syklus)&lt;DagK,"K",IF(MOD($A1075-INDEX(SkiftStart,3),Syklus)&lt;DagK+DagH,"H",IF(MOD($A1075-INDEX(SkiftStart,3),Syklus)&lt;DagK+DagH+DagD,"D","F")))</f>
        <v/>
      </c>
      <c r="E1075">
        <f>IF(B1075="F",0,IF(WEEKDAY($A1075,2)=5,INDEX(TimerFr,MATCH(B1075,FaseKode,0)),INDEX(TimerMT,MATCH(B1075,FaseKode,0))))</f>
        <v/>
      </c>
      <c r="F1075">
        <f>IF(C1075="F",0,IF(WEEKDAY($A1075,2)=5,INDEX(TimerFr,MATCH(C1075,FaseKode,0)),INDEX(TimerMT,MATCH(C1075,FaseKode,0))))</f>
        <v/>
      </c>
      <c r="G1075">
        <f>IF(D1075="F",0,IF(WEEKDAY($A1075,2)=5,INDEX(TimerFr,MATCH(D1075,FaseKode,0)),INDEX(TimerMT,MATCH(D1075,FaseKode,0))))</f>
        <v/>
      </c>
      <c r="H1075">
        <f>IF(OR(H$4="",$A1075&gt;TODAY()),0,IF(OR(INDEX($B1075:$D1075,H$5)="F",AND(H$6&gt;0,$A1075&lt;H$6),AND(H$7&gt;0,$A1075&gt;H$7)),0,MAX(0,ROUND((INDEX($E1075:$G1075,H$5)-SUMIFS(TF_Timer,TF_Tekniker,H$4,TF_Dato,$A1075))*2,0)/2)))</f>
        <v/>
      </c>
      <c r="I1075">
        <f>IF(OR(I$4="",$A1075&gt;TODAY()),0,IF(OR(INDEX($B1075:$D1075,I$5)="F",AND(I$6&gt;0,$A1075&lt;I$6),AND(I$7&gt;0,$A1075&gt;I$7)),0,MAX(0,ROUND((INDEX($E1075:$G1075,I$5)-SUMIFS(TF_Timer,TF_Tekniker,I$4,TF_Dato,$A1075))*2,0)/2)))</f>
        <v/>
      </c>
      <c r="J1075">
        <f>IF(OR(J$4="",$A1075&gt;TODAY()),0,IF(OR(INDEX($B1075:$D1075,J$5)="F",AND(J$6&gt;0,$A1075&lt;J$6),AND(J$7&gt;0,$A1075&gt;J$7)),0,MAX(0,ROUND((INDEX($E1075:$G1075,J$5)-SUMIFS(TF_Timer,TF_Tekniker,J$4,TF_Dato,$A1075))*2,0)/2)))</f>
        <v/>
      </c>
      <c r="K1075">
        <f>IF(OR(K$4="",$A1075&gt;TODAY()),0,IF(OR(INDEX($B1075:$D1075,K$5)="F",AND(K$6&gt;0,$A1075&lt;K$6),AND(K$7&gt;0,$A1075&gt;K$7)),0,MAX(0,ROUND((INDEX($E1075:$G1075,K$5)-SUMIFS(TF_Timer,TF_Tekniker,K$4,TF_Dato,$A1075))*2,0)/2)))</f>
        <v/>
      </c>
      <c r="L1075">
        <f>IF(OR(L$4="",$A1075&gt;TODAY()),0,IF(OR(INDEX($B1075:$D1075,L$5)="F",AND(L$6&gt;0,$A1075&lt;L$6),AND(L$7&gt;0,$A1075&gt;L$7)),0,MAX(0,ROUND((INDEX($E1075:$G1075,L$5)-SUMIFS(TF_Timer,TF_Tekniker,L$4,TF_Dato,$A1075))*2,0)/2)))</f>
        <v/>
      </c>
      <c r="M1075">
        <f>IF(OR(M$4="",$A1075&gt;TODAY()),0,IF(OR(INDEX($B1075:$D1075,M$5)="F",AND(M$6&gt;0,$A1075&lt;M$6),AND(M$7&gt;0,$A1075&gt;M$7)),0,MAX(0,ROUND((INDEX($E1075:$G1075,M$5)-SUMIFS(TF_Timer,TF_Tekniker,M$4,TF_Dato,$A1075))*2,0)/2)))</f>
        <v/>
      </c>
      <c r="N1075">
        <f>IF(OR(N$4="",$A1075&gt;TODAY()),0,IF(OR(INDEX($B1075:$D1075,N$5)="F",AND(N$6&gt;0,$A1075&lt;N$6),AND(N$7&gt;0,$A1075&gt;N$7)),0,MAX(0,ROUND((INDEX($E1075:$G1075,N$5)-SUMIFS(TF_Timer,TF_Tekniker,N$4,TF_Dato,$A1075))*2,0)/2)))</f>
        <v/>
      </c>
      <c r="O1075">
        <f>IF(OR(O$4="",$A1075&gt;TODAY()),0,IF(OR(INDEX($B1075:$D1075,O$5)="F",AND(O$6&gt;0,$A1075&lt;O$6),AND(O$7&gt;0,$A1075&gt;O$7)),0,MAX(0,ROUND((INDEX($E1075:$G1075,O$5)-SUMIFS(TF_Timer,TF_Tekniker,O$4,TF_Dato,$A1075))*2,0)/2)))</f>
        <v/>
      </c>
      <c r="P1075">
        <f>IF(OR(P$4="",$A1075&gt;TODAY()),0,IF(OR(INDEX($B1075:$D1075,P$5)="F",AND(P$6&gt;0,$A1075&lt;P$6),AND(P$7&gt;0,$A1075&gt;P$7)),0,MAX(0,ROUND((INDEX($E1075:$G1075,P$5)-SUMIFS(TF_Timer,TF_Tekniker,P$4,TF_Dato,$A1075))*2,0)/2)))</f>
        <v/>
      </c>
      <c r="Q1075">
        <f>IF(OR(Q$4="",$A1075&gt;TODAY()),0,IF(OR(INDEX($B1075:$D1075,Q$5)="F",AND(Q$6&gt;0,$A1075&lt;Q$6),AND(Q$7&gt;0,$A1075&gt;Q$7)),0,MAX(0,ROUND((INDEX($E1075:$G1075,Q$5)-SUMIFS(TF_Timer,TF_Tekniker,Q$4,TF_Dato,$A1075))*2,0)/2)))</f>
        <v/>
      </c>
      <c r="R1075">
        <f>IF(OR(R$4="",$A1075&gt;TODAY()),0,IF(OR(INDEX($B1075:$D1075,R$5)="F",AND(R$6&gt;0,$A1075&lt;R$6),AND(R$7&gt;0,$A1075&gt;R$7)),0,MAX(0,ROUND((INDEX($E1075:$G1075,R$5)-SUMIFS(TF_Timer,TF_Tekniker,R$4,TF_Dato,$A1075))*2,0)/2)))</f>
        <v/>
      </c>
      <c r="S1075">
        <f>IF(OR(S$4="",$A1075&gt;TODAY()),0,IF(OR(INDEX($B1075:$D1075,S$5)="F",AND(S$6&gt;0,$A1075&lt;S$6),AND(S$7&gt;0,$A1075&gt;S$7)),0,MAX(0,ROUND((INDEX($E1075:$G1075,S$5)-SUMIFS(TF_Timer,TF_Tekniker,S$4,TF_Dato,$A1075))*2,0)/2)))</f>
        <v/>
      </c>
      <c r="T1075">
        <f>IF(OR(T$4="",$A1075&gt;TODAY()),0,IF(OR(INDEX($B1075:$D1075,T$5)="F",AND(T$6&gt;0,$A1075&lt;T$6),AND(T$7&gt;0,$A1075&gt;T$7)),0,MAX(0,ROUND((INDEX($E1075:$G1075,T$5)-SUMIFS(TF_Timer,TF_Tekniker,T$4,TF_Dato,$A1075))*2,0)/2)))</f>
        <v/>
      </c>
      <c r="U1075">
        <f>IF(OR(U$4="",$A1075&gt;TODAY()),0,IF(OR(INDEX($B1075:$D1075,U$5)="F",AND(U$6&gt;0,$A1075&lt;U$6),AND(U$7&gt;0,$A1075&gt;U$7)),0,MAX(0,ROUND((INDEX($E1075:$G1075,U$5)-SUMIFS(TF_Timer,TF_Tekniker,U$4,TF_Dato,$A1075))*2,0)/2)))</f>
        <v/>
      </c>
      <c r="V1075">
        <f>IF(OR(V$4="",$A1075&gt;TODAY()),0,IF(OR(INDEX($B1075:$D1075,V$5)="F",AND(V$6&gt;0,$A1075&lt;V$6),AND(V$7&gt;0,$A1075&gt;V$7)),0,MAX(0,ROUND((INDEX($E1075:$G1075,V$5)-SUMIFS(TF_Timer,TF_Tekniker,V$4,TF_Dato,$A1075))*2,0)/2)))</f>
        <v/>
      </c>
      <c r="W1075">
        <f>IF(OR(W$4="",$A1075&gt;TODAY()),0,IF(OR(INDEX($B1075:$D1075,W$5)="F",AND(W$6&gt;0,$A1075&lt;W$6),AND(W$7&gt;0,$A1075&gt;W$7)),0,MAX(0,ROUND((INDEX($E1075:$G1075,W$5)-SUMIFS(TF_Timer,TF_Tekniker,W$4,TF_Dato,$A1075))*2,0)/2)))</f>
        <v/>
      </c>
      <c r="X1075">
        <f>IF(OR(X$4="",$A1075&gt;TODAY()),0,IF(OR(INDEX($B1075:$D1075,X$5)="F",AND(X$6&gt;0,$A1075&lt;X$6),AND(X$7&gt;0,$A1075&gt;X$7)),0,MAX(0,ROUND((INDEX($E1075:$G1075,X$5)-SUMIFS(TF_Timer,TF_Tekniker,X$4,TF_Dato,$A1075))*2,0)/2)))</f>
        <v/>
      </c>
      <c r="Y1075">
        <f>IF(OR(Y$4="",$A1075&gt;TODAY()),0,IF(OR(INDEX($B1075:$D1075,Y$5)="F",AND(Y$6&gt;0,$A1075&lt;Y$6),AND(Y$7&gt;0,$A1075&gt;Y$7)),0,MAX(0,ROUND((INDEX($E1075:$G1075,Y$5)-SUMIFS(TF_Timer,TF_Tekniker,Y$4,TF_Dato,$A1075))*2,0)/2)))</f>
        <v/>
      </c>
      <c r="Z1075">
        <f>IF(OR(Z$4="",$A1075&gt;TODAY()),0,IF(OR(INDEX($B1075:$D1075,Z$5)="F",AND(Z$6&gt;0,$A1075&lt;Z$6),AND(Z$7&gt;0,$A1075&gt;Z$7)),0,MAX(0,ROUND((INDEX($E1075:$G1075,Z$5)-SUMIFS(TF_Timer,TF_Tekniker,Z$4,TF_Dato,$A1075))*2,0)/2)))</f>
        <v/>
      </c>
      <c r="AA1075">
        <f>IF(OR(AA$4="",$A1075&gt;TODAY()),0,IF(OR(INDEX($B1075:$D1075,AA$5)="F",AND(AA$6&gt;0,$A1075&lt;AA$6),AND(AA$7&gt;0,$A1075&gt;AA$7)),0,MAX(0,ROUND((INDEX($E1075:$G1075,AA$5)-SUMIFS(TF_Timer,TF_Tekniker,AA$4,TF_Dato,$A1075))*2,0)/2)))</f>
        <v/>
      </c>
      <c r="AB1075">
        <f>IF(OR(AB$4="",$A1075&gt;TODAY()),0,IF(OR(INDEX($B1075:$D1075,AB$5)="F",AND(AB$6&gt;0,$A1075&lt;AB$6),AND(AB$7&gt;0,$A1075&gt;AB$7)),0,MAX(0,ROUND((INDEX($E1075:$G1075,AB$5)-SUMIFS(TF_Timer,TF_Tekniker,AB$4,TF_Dato,$A1075))*2,0)/2)))</f>
        <v/>
      </c>
      <c r="AC1075">
        <f>IF(OR(AC$4="",$A1075&gt;TODAY()),0,IF(OR(INDEX($B1075:$D1075,AC$5)="F",AND(AC$6&gt;0,$A1075&lt;AC$6),AND(AC$7&gt;0,$A1075&gt;AC$7)),0,MAX(0,ROUND((INDEX($E1075:$G1075,AC$5)-SUMIFS(TF_Timer,TF_Tekniker,AC$4,TF_Dato,$A1075))*2,0)/2)))</f>
        <v/>
      </c>
      <c r="AD1075">
        <f>IF(OR(AD$4="",$A1075&gt;TODAY()),0,IF(OR(INDEX($B1075:$D1075,AD$5)="F",AND(AD$6&gt;0,$A1075&lt;AD$6),AND(AD$7&gt;0,$A1075&gt;AD$7)),0,MAX(0,ROUND((INDEX($E1075:$G1075,AD$5)-SUMIFS(TF_Timer,TF_Tekniker,AD$4,TF_Dato,$A1075))*2,0)/2)))</f>
        <v/>
      </c>
      <c r="AE1075">
        <f>IF(OR(AE$4="",$A1075&gt;TODAY()),0,IF(OR(INDEX($B1075:$D1075,AE$5)="F",AND(AE$6&gt;0,$A1075&lt;AE$6),AND(AE$7&gt;0,$A1075&gt;AE$7)),0,MAX(0,ROUND((INDEX($E1075:$G1075,AE$5)-SUMIFS(TF_Timer,TF_Tekniker,AE$4,TF_Dato,$A1075))*2,0)/2)))</f>
        <v/>
      </c>
      <c r="AF1075">
        <f>IF(OR(AF$4="",$A1075&gt;TODAY()),0,IF(OR(INDEX($B1075:$D1075,AF$5)="F",AND(AF$6&gt;0,$A1075&lt;AF$6),AND(AF$7&gt;0,$A1075&gt;AF$7)),0,MAX(0,ROUND((INDEX($E1075:$G1075,AF$5)-SUMIFS(TF_Timer,TF_Tekniker,AF$4,TF_Dato,$A1075))*2,0)/2)))</f>
        <v/>
      </c>
      <c r="AG1075">
        <f>IF(OR(AG$4="",$A1075&gt;TODAY()),0,IF(OR(INDEX($B1075:$D1075,AG$5)="F",AND(AG$6&gt;0,$A1075&lt;AG$6),AND(AG$7&gt;0,$A1075&gt;AG$7)),0,MAX(0,ROUND((INDEX($E1075:$G1075,AG$5)-SUMIFS(TF_Timer,TF_Tekniker,AG$4,TF_Dato,$A1075))*2,0)/2)))</f>
        <v/>
      </c>
      <c r="AH1075">
        <f>IF(OR(AH$4="",$A1075&gt;TODAY()),0,IF(OR(INDEX($B1075:$D1075,AH$5)="F",AND(AH$6&gt;0,$A1075&lt;AH$6),AND(AH$7&gt;0,$A1075&gt;AH$7)),0,MAX(0,ROUND((INDEX($E1075:$G1075,AH$5)-SUMIFS(TF_Timer,TF_Tekniker,AH$4,TF_Dato,$A1075))*2,0)/2)))</f>
        <v/>
      </c>
      <c r="AI1075">
        <f>IF(OR(AI$4="",$A1075&gt;TODAY()),0,IF(OR(INDEX($B1075:$D1075,AI$5)="F",AND(AI$6&gt;0,$A1075&lt;AI$6),AND(AI$7&gt;0,$A1075&gt;AI$7)),0,MAX(0,ROUND((INDEX($E1075:$G1075,AI$5)-SUMIFS(TF_Timer,TF_Tekniker,AI$4,TF_Dato,$A1075))*2,0)/2)))</f>
        <v/>
      </c>
      <c r="AJ1075">
        <f>IF(OR(AJ$4="",$A1075&gt;TODAY()),0,IF(OR(INDEX($B1075:$D1075,AJ$5)="F",AND(AJ$6&gt;0,$A1075&lt;AJ$6),AND(AJ$7&gt;0,$A1075&gt;AJ$7)),0,MAX(0,ROUND((INDEX($E1075:$G1075,AJ$5)-SUMIFS(TF_Timer,TF_Tekniker,AJ$4,TF_Dato,$A1075))*2,0)/2)))</f>
        <v/>
      </c>
      <c r="AK1075">
        <f>IF(OR(AK$4="",$A1075&gt;TODAY()),0,IF(OR(INDEX($B1075:$D1075,AK$5)="F",AND(AK$6&gt;0,$A1075&lt;AK$6),AND(AK$7&gt;0,$A1075&gt;AK$7)),0,MAX(0,ROUND((INDEX($E1075:$G1075,AK$5)-SUMIFS(TF_Timer,TF_Tekniker,AK$4,TF_Dato,$A1075))*2,0)/2)))</f>
        <v/>
      </c>
      <c r="AL1075">
        <f>IF(OR(AL$4="",$A1075&gt;TODAY()),0,IF(OR(INDEX($B1075:$D1075,AL$5)="F",AND(AL$6&gt;0,$A1075&lt;AL$6),AND(AL$7&gt;0,$A1075&gt;AL$7)),0,MAX(0,ROUND((INDEX($E1075:$G1075,AL$5)-SUMIFS(TF_Timer,TF_Tekniker,AL$4,TF_Dato,$A1075))*2,0)/2)))</f>
        <v/>
      </c>
      <c r="AM1075">
        <f>IF(OR(AM$4="",$A1075&gt;TODAY()),0,IF(OR(INDEX($B1075:$D1075,AM$5)="F",AND(AM$6&gt;0,$A1075&lt;AM$6),AND(AM$7&gt;0,$A1075&gt;AM$7)),0,MAX(0,ROUND((INDEX($E1075:$G1075,AM$5)-SUMIFS(TF_Timer,TF_Tekniker,AM$4,TF_Dato,$A1075))*2,0)/2)))</f>
        <v/>
      </c>
      <c r="AN1075">
        <f>IF(OR(AN$4="",$A1075&gt;TODAY()),0,IF(OR(INDEX($B1075:$D1075,AN$5)="F",AND(AN$6&gt;0,$A1075&lt;AN$6),AND(AN$7&gt;0,$A1075&gt;AN$7)),0,MAX(0,ROUND((INDEX($E1075:$G1075,AN$5)-SUMIFS(TF_Timer,TF_Tekniker,AN$4,TF_Dato,$A1075))*2,0)/2)))</f>
        <v/>
      </c>
      <c r="AO1075">
        <f>IF(OR(AO$4="",$A1075&gt;TODAY()),0,IF(OR(INDEX($B1075:$D1075,AO$5)="F",AND(AO$6&gt;0,$A1075&lt;AO$6),AND(AO$7&gt;0,$A1075&gt;AO$7)),0,MAX(0,ROUND((INDEX($E1075:$G1075,AO$5)-SUMIFS(TF_Timer,TF_Tekniker,AO$4,TF_Dato,$A1075))*2,0)/2)))</f>
        <v/>
      </c>
      <c r="AP1075">
        <f>IF(OR(AP$4="",$A1075&gt;TODAY()),0,IF(OR(INDEX($B1075:$D1075,AP$5)="F",AND(AP$6&gt;0,$A1075&lt;AP$6),AND(AP$7&gt;0,$A1075&gt;AP$7)),0,MAX(0,ROUND((INDEX($E1075:$G1075,AP$5)-SUMIFS(TF_Timer,TF_Tekniker,AP$4,TF_Dato,$A1075))*2,0)/2)))</f>
        <v/>
      </c>
      <c r="AQ1075">
        <f>IF(OR(AQ$4="",$A1075&gt;TODAY()),0,IF(OR(INDEX($B1075:$D1075,AQ$5)="F",AND(AQ$6&gt;0,$A1075&lt;AQ$6),AND(AQ$7&gt;0,$A1075&gt;AQ$7)),0,MAX(0,ROUND((INDEX($E1075:$G1075,AQ$5)-SUMIFS(TF_Timer,TF_Tekniker,AQ$4,TF_Dato,$A1075))*2,0)/2)))</f>
        <v/>
      </c>
      <c r="AR1075">
        <f>IF(OR(AR$4="",$A1075&gt;TODAY()),0,IF(OR(INDEX($B1075:$D1075,AR$5)="F",AND(AR$6&gt;0,$A1075&lt;AR$6),AND(AR$7&gt;0,$A1075&gt;AR$7)),0,MAX(0,ROUND((INDEX($E1075:$G1075,AR$5)-SUMIFS(TF_Timer,TF_Tekniker,AR$4,TF_Dato,$A1075))*2,0)/2)))</f>
        <v/>
      </c>
      <c r="AS1075">
        <f>IF(OR(AS$4="",$A1075&gt;TODAY()),0,IF(OR(INDEX($B1075:$D1075,AS$5)="F",AND(AS$6&gt;0,$A1075&lt;AS$6),AND(AS$7&gt;0,$A1075&gt;AS$7)),0,MAX(0,ROUND((INDEX($E1075:$G1075,AS$5)-SUMIFS(TF_Timer,TF_Tekniker,AS$4,TF_Dato,$A1075))*2,0)/2)))</f>
        <v/>
      </c>
      <c r="AT1075">
        <f>IF(OR(AT$4="",$A1075&gt;TODAY()),0,IF(OR(INDEX($B1075:$D1075,AT$5)="F",AND(AT$6&gt;0,$A1075&lt;AT$6),AND(AT$7&gt;0,$A1075&gt;AT$7)),0,MAX(0,ROUND((INDEX($E1075:$G1075,AT$5)-SUMIFS(TF_Timer,TF_Tekniker,AT$4,TF_Dato,$A1075))*2,0)/2)))</f>
        <v/>
      </c>
      <c r="AU1075">
        <f>IF(OR(AU$4="",$A1075&gt;TODAY()),0,IF(OR(INDEX($B1075:$D1075,AU$5)="F",AND(AU$6&gt;0,$A1075&lt;AU$6),AND(AU$7&gt;0,$A1075&gt;AU$7)),0,MAX(0,ROUND((INDEX($E1075:$G1075,AU$5)-SUMIFS(TF_Timer,TF_Tekniker,AU$4,TF_Dato,$A1075))*2,0)/2)))</f>
        <v/>
      </c>
      <c r="AV1075">
        <f>IF(OR(AV$4="",$A1075&gt;TODAY()),0,IF(OR(INDEX($B1075:$D1075,AV$5)="F",AND(AV$6&gt;0,$A1075&lt;AV$6),AND(AV$7&gt;0,$A1075&gt;AV$7)),0,MAX(0,ROUND((INDEX($E1075:$G1075,AV$5)-SUMIFS(TF_Timer,TF_Tekniker,AV$4,TF_Dato,$A1075))*2,0)/2)))</f>
        <v/>
      </c>
      <c r="AW1075">
        <f>IF(OR(AW$4="",$A1075&gt;TODAY()),0,IF(OR(INDEX($B1075:$D1075,AW$5)="F",AND(AW$6&gt;0,$A1075&lt;AW$6),AND(AW$7&gt;0,$A1075&gt;AW$7)),0,MAX(0,ROUND((INDEX($E1075:$G1075,AW$5)-SUMIFS(TF_Timer,TF_Tekniker,AW$4,TF_Dato,$A1075))*2,0)/2)))</f>
        <v/>
      </c>
      <c r="AX1075">
        <f>IF(OR(AX$4="",$A1075&gt;TODAY()),0,IF(OR(INDEX($B1075:$D1075,AX$5)="F",AND(AX$6&gt;0,$A1075&lt;AX$6),AND(AX$7&gt;0,$A1075&gt;AX$7)),0,MAX(0,ROUND((INDEX($E1075:$G1075,AX$5)-SUMIFS(TF_Timer,TF_Tekniker,AX$4,TF_Dato,$A1075))*2,0)/2)))</f>
        <v/>
      </c>
      <c r="AY1075">
        <f>IF(OR(AY$4="",$A1075&gt;TODAY()),0,IF(OR(INDEX($B1075:$D1075,AY$5)="F",AND(AY$6&gt;0,$A1075&lt;AY$6),AND(AY$7&gt;0,$A1075&gt;AY$7)),0,MAX(0,ROUND((INDEX($E1075:$G1075,AY$5)-SUMIFS(TF_Timer,TF_Tekniker,AY$4,TF_Dato,$A1075))*2,0)/2)))</f>
        <v/>
      </c>
      <c r="AZ1075">
        <f>IF(OR(AZ$4="",$A1075&gt;TODAY()),0,IF(OR(INDEX($B1075:$D1075,AZ$5)="F",AND(AZ$6&gt;0,$A1075&lt;AZ$6),AND(AZ$7&gt;0,$A1075&gt;AZ$7)),0,MAX(0,ROUND((INDEX($E1075:$G1075,AZ$5)-SUMIFS(TF_Timer,TF_Tekniker,AZ$4,TF_Dato,$A1075))*2,0)/2)))</f>
        <v/>
      </c>
      <c r="BA1075">
        <f>IF(OR(BA$4="",$A1075&gt;TODAY()),0,IF(OR(INDEX($B1075:$D1075,BA$5)="F",AND(BA$6&gt;0,$A1075&lt;BA$6),AND(BA$7&gt;0,$A1075&gt;BA$7)),0,MAX(0,ROUND((INDEX($E1075:$G1075,BA$5)-SUMIFS(TF_Timer,TF_Tekniker,BA$4,TF_Dato,$A1075))*2,0)/2)))</f>
        <v/>
      </c>
      <c r="BB1075">
        <f>IF(OR(BB$4="",$A1075&gt;TODAY()),0,IF(OR(INDEX($B1075:$D1075,BB$5)="F",AND(BB$6&gt;0,$A1075&lt;BB$6),AND(BB$7&gt;0,$A1075&gt;BB$7)),0,MAX(0,ROUND((INDEX($E1075:$G1075,BB$5)-SUMIFS(TF_Timer,TF_Tekniker,BB$4,TF_Dato,$A1075))*2,0)/2)))</f>
        <v/>
      </c>
      <c r="BC1075">
        <f>IF(OR(BC$4="",$A1075&gt;TODAY()),0,IF(OR(INDEX($B1075:$D1075,BC$5)="F",AND(BC$6&gt;0,$A1075&lt;BC$6),AND(BC$7&gt;0,$A1075&gt;BC$7)),0,MAX(0,ROUND((INDEX($E1075:$G1075,BC$5)-SUMIFS(TF_Timer,TF_Tekniker,BC$4,TF_Dato,$A1075))*2,0)/2)))</f>
        <v/>
      </c>
      <c r="BD1075">
        <f>IF(OR(BD$4="",$A1075&gt;TODAY()),0,IF(OR(INDEX($B1075:$D1075,BD$5)="F",AND(BD$6&gt;0,$A1075&lt;BD$6),AND(BD$7&gt;0,$A1075&gt;BD$7)),0,MAX(0,ROUND((INDEX($E1075:$G1075,BD$5)-SUMIFS(TF_Timer,TF_Tekniker,BD$4,TF_Dato,$A1075))*2,0)/2)))</f>
        <v/>
      </c>
      <c r="BE1075">
        <f>IF(OR(BE$4="",$A1075&gt;TODAY()),0,IF(OR(INDEX($B1075:$D1075,BE$5)="F",AND(BE$6&gt;0,$A1075&lt;BE$6),AND(BE$7&gt;0,$A1075&gt;BE$7)),0,MAX(0,ROUND((INDEX($E1075:$G1075,BE$5)-SUMIFS(TF_Timer,TF_Tekniker,BE$4,TF_Dato,$A1075))*2,0)/2)))</f>
        <v/>
      </c>
      <c r="BF1075">
        <f>IF(OR(BF$4="",$A1075&gt;TODAY()),0,IF(OR(INDEX($B1075:$D1075,BF$5)="F",AND(BF$6&gt;0,$A1075&lt;BF$6),AND(BF$7&gt;0,$A1075&gt;BF$7)),0,MAX(0,ROUND((INDEX($E1075:$G1075,BF$5)-SUMIFS(TF_Timer,TF_Tekniker,BF$4,TF_Dato,$A1075))*2,0)/2)))</f>
        <v/>
      </c>
      <c r="BG1075">
        <f>IF(OR(BG$4="",$A1075&gt;TODAY()),0,IF(OR(INDEX($B1075:$D1075,BG$5)="F",AND(BG$6&gt;0,$A1075&lt;BG$6),AND(BG$7&gt;0,$A1075&gt;BG$7)),0,MAX(0,ROUND((INDEX($E1075:$G1075,BG$5)-SUMIFS(TF_Timer,TF_Tekniker,BG$4,TF_Dato,$A1075))*2,0)/2)))</f>
        <v/>
      </c>
      <c r="BH1075">
        <f>IF(OR(BH$4="",$A1075&gt;TODAY()),0,IF(OR(INDEX($B1075:$D1075,BH$5)="F",AND(BH$6&gt;0,$A1075&lt;BH$6),AND(BH$7&gt;0,$A1075&gt;BH$7)),0,MAX(0,ROUND((INDEX($E1075:$G1075,BH$5)-SUMIFS(TF_Timer,TF_Tekniker,BH$4,TF_Dato,$A1075))*2,0)/2)))</f>
        <v/>
      </c>
      <c r="BI1075">
        <f>IF(OR(BI$4="",$A1075&gt;TODAY()),0,IF(OR(INDEX($B1075:$D1075,BI$5)="F",AND(BI$6&gt;0,$A1075&lt;BI$6),AND(BI$7&gt;0,$A1075&gt;BI$7)),0,MAX(0,ROUND((INDEX($E1075:$G1075,BI$5)-SUMIFS(TF_Timer,TF_Tekniker,BI$4,TF_Dato,$A1075))*2,0)/2)))</f>
        <v/>
      </c>
    </row>
    <row r="1076">
      <c r="A1076" s="64">
        <f>A1075+1</f>
        <v/>
      </c>
      <c r="B1076">
        <f>IF(MOD($A1076-INDEX(SkiftStart,1),Syklus)&lt;DagK,"K",IF(MOD($A1076-INDEX(SkiftStart,1),Syklus)&lt;DagK+DagH,"H",IF(MOD($A1076-INDEX(SkiftStart,1),Syklus)&lt;DagK+DagH+DagD,"D","F")))</f>
        <v/>
      </c>
      <c r="C1076">
        <f>IF(MOD($A1076-INDEX(SkiftStart,2),Syklus)&lt;DagK,"K",IF(MOD($A1076-INDEX(SkiftStart,2),Syklus)&lt;DagK+DagH,"H",IF(MOD($A1076-INDEX(SkiftStart,2),Syklus)&lt;DagK+DagH+DagD,"D","F")))</f>
        <v/>
      </c>
      <c r="D1076">
        <f>IF(MOD($A1076-INDEX(SkiftStart,3),Syklus)&lt;DagK,"K",IF(MOD($A1076-INDEX(SkiftStart,3),Syklus)&lt;DagK+DagH,"H",IF(MOD($A1076-INDEX(SkiftStart,3),Syklus)&lt;DagK+DagH+DagD,"D","F")))</f>
        <v/>
      </c>
      <c r="E1076">
        <f>IF(B1076="F",0,IF(WEEKDAY($A1076,2)=5,INDEX(TimerFr,MATCH(B1076,FaseKode,0)),INDEX(TimerMT,MATCH(B1076,FaseKode,0))))</f>
        <v/>
      </c>
      <c r="F1076">
        <f>IF(C1076="F",0,IF(WEEKDAY($A1076,2)=5,INDEX(TimerFr,MATCH(C1076,FaseKode,0)),INDEX(TimerMT,MATCH(C1076,FaseKode,0))))</f>
        <v/>
      </c>
      <c r="G1076">
        <f>IF(D1076="F",0,IF(WEEKDAY($A1076,2)=5,INDEX(TimerFr,MATCH(D1076,FaseKode,0)),INDEX(TimerMT,MATCH(D1076,FaseKode,0))))</f>
        <v/>
      </c>
      <c r="H1076">
        <f>IF(OR(H$4="",$A1076&gt;TODAY()),0,IF(OR(INDEX($B1076:$D1076,H$5)="F",AND(H$6&gt;0,$A1076&lt;H$6),AND(H$7&gt;0,$A1076&gt;H$7)),0,MAX(0,ROUND((INDEX($E1076:$G1076,H$5)-SUMIFS(TF_Timer,TF_Tekniker,H$4,TF_Dato,$A1076))*2,0)/2)))</f>
        <v/>
      </c>
      <c r="I1076">
        <f>IF(OR(I$4="",$A1076&gt;TODAY()),0,IF(OR(INDEX($B1076:$D1076,I$5)="F",AND(I$6&gt;0,$A1076&lt;I$6),AND(I$7&gt;0,$A1076&gt;I$7)),0,MAX(0,ROUND((INDEX($E1076:$G1076,I$5)-SUMIFS(TF_Timer,TF_Tekniker,I$4,TF_Dato,$A1076))*2,0)/2)))</f>
        <v/>
      </c>
      <c r="J1076">
        <f>IF(OR(J$4="",$A1076&gt;TODAY()),0,IF(OR(INDEX($B1076:$D1076,J$5)="F",AND(J$6&gt;0,$A1076&lt;J$6),AND(J$7&gt;0,$A1076&gt;J$7)),0,MAX(0,ROUND((INDEX($E1076:$G1076,J$5)-SUMIFS(TF_Timer,TF_Tekniker,J$4,TF_Dato,$A1076))*2,0)/2)))</f>
        <v/>
      </c>
      <c r="K1076">
        <f>IF(OR(K$4="",$A1076&gt;TODAY()),0,IF(OR(INDEX($B1076:$D1076,K$5)="F",AND(K$6&gt;0,$A1076&lt;K$6),AND(K$7&gt;0,$A1076&gt;K$7)),0,MAX(0,ROUND((INDEX($E1076:$G1076,K$5)-SUMIFS(TF_Timer,TF_Tekniker,K$4,TF_Dato,$A1076))*2,0)/2)))</f>
        <v/>
      </c>
      <c r="L1076">
        <f>IF(OR(L$4="",$A1076&gt;TODAY()),0,IF(OR(INDEX($B1076:$D1076,L$5)="F",AND(L$6&gt;0,$A1076&lt;L$6),AND(L$7&gt;0,$A1076&gt;L$7)),0,MAX(0,ROUND((INDEX($E1076:$G1076,L$5)-SUMIFS(TF_Timer,TF_Tekniker,L$4,TF_Dato,$A1076))*2,0)/2)))</f>
        <v/>
      </c>
      <c r="M1076">
        <f>IF(OR(M$4="",$A1076&gt;TODAY()),0,IF(OR(INDEX($B1076:$D1076,M$5)="F",AND(M$6&gt;0,$A1076&lt;M$6),AND(M$7&gt;0,$A1076&gt;M$7)),0,MAX(0,ROUND((INDEX($E1076:$G1076,M$5)-SUMIFS(TF_Timer,TF_Tekniker,M$4,TF_Dato,$A1076))*2,0)/2)))</f>
        <v/>
      </c>
      <c r="N1076">
        <f>IF(OR(N$4="",$A1076&gt;TODAY()),0,IF(OR(INDEX($B1076:$D1076,N$5)="F",AND(N$6&gt;0,$A1076&lt;N$6),AND(N$7&gt;0,$A1076&gt;N$7)),0,MAX(0,ROUND((INDEX($E1076:$G1076,N$5)-SUMIFS(TF_Timer,TF_Tekniker,N$4,TF_Dato,$A1076))*2,0)/2)))</f>
        <v/>
      </c>
      <c r="O1076">
        <f>IF(OR(O$4="",$A1076&gt;TODAY()),0,IF(OR(INDEX($B1076:$D1076,O$5)="F",AND(O$6&gt;0,$A1076&lt;O$6),AND(O$7&gt;0,$A1076&gt;O$7)),0,MAX(0,ROUND((INDEX($E1076:$G1076,O$5)-SUMIFS(TF_Timer,TF_Tekniker,O$4,TF_Dato,$A1076))*2,0)/2)))</f>
        <v/>
      </c>
      <c r="P1076">
        <f>IF(OR(P$4="",$A1076&gt;TODAY()),0,IF(OR(INDEX($B1076:$D1076,P$5)="F",AND(P$6&gt;0,$A1076&lt;P$6),AND(P$7&gt;0,$A1076&gt;P$7)),0,MAX(0,ROUND((INDEX($E1076:$G1076,P$5)-SUMIFS(TF_Timer,TF_Tekniker,P$4,TF_Dato,$A1076))*2,0)/2)))</f>
        <v/>
      </c>
      <c r="Q1076">
        <f>IF(OR(Q$4="",$A1076&gt;TODAY()),0,IF(OR(INDEX($B1076:$D1076,Q$5)="F",AND(Q$6&gt;0,$A1076&lt;Q$6),AND(Q$7&gt;0,$A1076&gt;Q$7)),0,MAX(0,ROUND((INDEX($E1076:$G1076,Q$5)-SUMIFS(TF_Timer,TF_Tekniker,Q$4,TF_Dato,$A1076))*2,0)/2)))</f>
        <v/>
      </c>
      <c r="R1076">
        <f>IF(OR(R$4="",$A1076&gt;TODAY()),0,IF(OR(INDEX($B1076:$D1076,R$5)="F",AND(R$6&gt;0,$A1076&lt;R$6),AND(R$7&gt;0,$A1076&gt;R$7)),0,MAX(0,ROUND((INDEX($E1076:$G1076,R$5)-SUMIFS(TF_Timer,TF_Tekniker,R$4,TF_Dato,$A1076))*2,0)/2)))</f>
        <v/>
      </c>
      <c r="S1076">
        <f>IF(OR(S$4="",$A1076&gt;TODAY()),0,IF(OR(INDEX($B1076:$D1076,S$5)="F",AND(S$6&gt;0,$A1076&lt;S$6),AND(S$7&gt;0,$A1076&gt;S$7)),0,MAX(0,ROUND((INDEX($E1076:$G1076,S$5)-SUMIFS(TF_Timer,TF_Tekniker,S$4,TF_Dato,$A1076))*2,0)/2)))</f>
        <v/>
      </c>
      <c r="T1076">
        <f>IF(OR(T$4="",$A1076&gt;TODAY()),0,IF(OR(INDEX($B1076:$D1076,T$5)="F",AND(T$6&gt;0,$A1076&lt;T$6),AND(T$7&gt;0,$A1076&gt;T$7)),0,MAX(0,ROUND((INDEX($E1076:$G1076,T$5)-SUMIFS(TF_Timer,TF_Tekniker,T$4,TF_Dato,$A1076))*2,0)/2)))</f>
        <v/>
      </c>
      <c r="U1076">
        <f>IF(OR(U$4="",$A1076&gt;TODAY()),0,IF(OR(INDEX($B1076:$D1076,U$5)="F",AND(U$6&gt;0,$A1076&lt;U$6),AND(U$7&gt;0,$A1076&gt;U$7)),0,MAX(0,ROUND((INDEX($E1076:$G1076,U$5)-SUMIFS(TF_Timer,TF_Tekniker,U$4,TF_Dato,$A1076))*2,0)/2)))</f>
        <v/>
      </c>
      <c r="V1076">
        <f>IF(OR(V$4="",$A1076&gt;TODAY()),0,IF(OR(INDEX($B1076:$D1076,V$5)="F",AND(V$6&gt;0,$A1076&lt;V$6),AND(V$7&gt;0,$A1076&gt;V$7)),0,MAX(0,ROUND((INDEX($E1076:$G1076,V$5)-SUMIFS(TF_Timer,TF_Tekniker,V$4,TF_Dato,$A1076))*2,0)/2)))</f>
        <v/>
      </c>
      <c r="W1076">
        <f>IF(OR(W$4="",$A1076&gt;TODAY()),0,IF(OR(INDEX($B1076:$D1076,W$5)="F",AND(W$6&gt;0,$A1076&lt;W$6),AND(W$7&gt;0,$A1076&gt;W$7)),0,MAX(0,ROUND((INDEX($E1076:$G1076,W$5)-SUMIFS(TF_Timer,TF_Tekniker,W$4,TF_Dato,$A1076))*2,0)/2)))</f>
        <v/>
      </c>
      <c r="X1076">
        <f>IF(OR(X$4="",$A1076&gt;TODAY()),0,IF(OR(INDEX($B1076:$D1076,X$5)="F",AND(X$6&gt;0,$A1076&lt;X$6),AND(X$7&gt;0,$A1076&gt;X$7)),0,MAX(0,ROUND((INDEX($E1076:$G1076,X$5)-SUMIFS(TF_Timer,TF_Tekniker,X$4,TF_Dato,$A1076))*2,0)/2)))</f>
        <v/>
      </c>
      <c r="Y1076">
        <f>IF(OR(Y$4="",$A1076&gt;TODAY()),0,IF(OR(INDEX($B1076:$D1076,Y$5)="F",AND(Y$6&gt;0,$A1076&lt;Y$6),AND(Y$7&gt;0,$A1076&gt;Y$7)),0,MAX(0,ROUND((INDEX($E1076:$G1076,Y$5)-SUMIFS(TF_Timer,TF_Tekniker,Y$4,TF_Dato,$A1076))*2,0)/2)))</f>
        <v/>
      </c>
      <c r="Z1076">
        <f>IF(OR(Z$4="",$A1076&gt;TODAY()),0,IF(OR(INDEX($B1076:$D1076,Z$5)="F",AND(Z$6&gt;0,$A1076&lt;Z$6),AND(Z$7&gt;0,$A1076&gt;Z$7)),0,MAX(0,ROUND((INDEX($E1076:$G1076,Z$5)-SUMIFS(TF_Timer,TF_Tekniker,Z$4,TF_Dato,$A1076))*2,0)/2)))</f>
        <v/>
      </c>
      <c r="AA1076">
        <f>IF(OR(AA$4="",$A1076&gt;TODAY()),0,IF(OR(INDEX($B1076:$D1076,AA$5)="F",AND(AA$6&gt;0,$A1076&lt;AA$6),AND(AA$7&gt;0,$A1076&gt;AA$7)),0,MAX(0,ROUND((INDEX($E1076:$G1076,AA$5)-SUMIFS(TF_Timer,TF_Tekniker,AA$4,TF_Dato,$A1076))*2,0)/2)))</f>
        <v/>
      </c>
      <c r="AB1076">
        <f>IF(OR(AB$4="",$A1076&gt;TODAY()),0,IF(OR(INDEX($B1076:$D1076,AB$5)="F",AND(AB$6&gt;0,$A1076&lt;AB$6),AND(AB$7&gt;0,$A1076&gt;AB$7)),0,MAX(0,ROUND((INDEX($E1076:$G1076,AB$5)-SUMIFS(TF_Timer,TF_Tekniker,AB$4,TF_Dato,$A1076))*2,0)/2)))</f>
        <v/>
      </c>
      <c r="AC1076">
        <f>IF(OR(AC$4="",$A1076&gt;TODAY()),0,IF(OR(INDEX($B1076:$D1076,AC$5)="F",AND(AC$6&gt;0,$A1076&lt;AC$6),AND(AC$7&gt;0,$A1076&gt;AC$7)),0,MAX(0,ROUND((INDEX($E1076:$G1076,AC$5)-SUMIFS(TF_Timer,TF_Tekniker,AC$4,TF_Dato,$A1076))*2,0)/2)))</f>
        <v/>
      </c>
      <c r="AD1076">
        <f>IF(OR(AD$4="",$A1076&gt;TODAY()),0,IF(OR(INDEX($B1076:$D1076,AD$5)="F",AND(AD$6&gt;0,$A1076&lt;AD$6),AND(AD$7&gt;0,$A1076&gt;AD$7)),0,MAX(0,ROUND((INDEX($E1076:$G1076,AD$5)-SUMIFS(TF_Timer,TF_Tekniker,AD$4,TF_Dato,$A1076))*2,0)/2)))</f>
        <v/>
      </c>
      <c r="AE1076">
        <f>IF(OR(AE$4="",$A1076&gt;TODAY()),0,IF(OR(INDEX($B1076:$D1076,AE$5)="F",AND(AE$6&gt;0,$A1076&lt;AE$6),AND(AE$7&gt;0,$A1076&gt;AE$7)),0,MAX(0,ROUND((INDEX($E1076:$G1076,AE$5)-SUMIFS(TF_Timer,TF_Tekniker,AE$4,TF_Dato,$A1076))*2,0)/2)))</f>
        <v/>
      </c>
      <c r="AF1076">
        <f>IF(OR(AF$4="",$A1076&gt;TODAY()),0,IF(OR(INDEX($B1076:$D1076,AF$5)="F",AND(AF$6&gt;0,$A1076&lt;AF$6),AND(AF$7&gt;0,$A1076&gt;AF$7)),0,MAX(0,ROUND((INDEX($E1076:$G1076,AF$5)-SUMIFS(TF_Timer,TF_Tekniker,AF$4,TF_Dato,$A1076))*2,0)/2)))</f>
        <v/>
      </c>
      <c r="AG1076">
        <f>IF(OR(AG$4="",$A1076&gt;TODAY()),0,IF(OR(INDEX($B1076:$D1076,AG$5)="F",AND(AG$6&gt;0,$A1076&lt;AG$6),AND(AG$7&gt;0,$A1076&gt;AG$7)),0,MAX(0,ROUND((INDEX($E1076:$G1076,AG$5)-SUMIFS(TF_Timer,TF_Tekniker,AG$4,TF_Dato,$A1076))*2,0)/2)))</f>
        <v/>
      </c>
      <c r="AH1076">
        <f>IF(OR(AH$4="",$A1076&gt;TODAY()),0,IF(OR(INDEX($B1076:$D1076,AH$5)="F",AND(AH$6&gt;0,$A1076&lt;AH$6),AND(AH$7&gt;0,$A1076&gt;AH$7)),0,MAX(0,ROUND((INDEX($E1076:$G1076,AH$5)-SUMIFS(TF_Timer,TF_Tekniker,AH$4,TF_Dato,$A1076))*2,0)/2)))</f>
        <v/>
      </c>
      <c r="AI1076">
        <f>IF(OR(AI$4="",$A1076&gt;TODAY()),0,IF(OR(INDEX($B1076:$D1076,AI$5)="F",AND(AI$6&gt;0,$A1076&lt;AI$6),AND(AI$7&gt;0,$A1076&gt;AI$7)),0,MAX(0,ROUND((INDEX($E1076:$G1076,AI$5)-SUMIFS(TF_Timer,TF_Tekniker,AI$4,TF_Dato,$A1076))*2,0)/2)))</f>
        <v/>
      </c>
      <c r="AJ1076">
        <f>IF(OR(AJ$4="",$A1076&gt;TODAY()),0,IF(OR(INDEX($B1076:$D1076,AJ$5)="F",AND(AJ$6&gt;0,$A1076&lt;AJ$6),AND(AJ$7&gt;0,$A1076&gt;AJ$7)),0,MAX(0,ROUND((INDEX($E1076:$G1076,AJ$5)-SUMIFS(TF_Timer,TF_Tekniker,AJ$4,TF_Dato,$A1076))*2,0)/2)))</f>
        <v/>
      </c>
      <c r="AK1076">
        <f>IF(OR(AK$4="",$A1076&gt;TODAY()),0,IF(OR(INDEX($B1076:$D1076,AK$5)="F",AND(AK$6&gt;0,$A1076&lt;AK$6),AND(AK$7&gt;0,$A1076&gt;AK$7)),0,MAX(0,ROUND((INDEX($E1076:$G1076,AK$5)-SUMIFS(TF_Timer,TF_Tekniker,AK$4,TF_Dato,$A1076))*2,0)/2)))</f>
        <v/>
      </c>
      <c r="AL1076">
        <f>IF(OR(AL$4="",$A1076&gt;TODAY()),0,IF(OR(INDEX($B1076:$D1076,AL$5)="F",AND(AL$6&gt;0,$A1076&lt;AL$6),AND(AL$7&gt;0,$A1076&gt;AL$7)),0,MAX(0,ROUND((INDEX($E1076:$G1076,AL$5)-SUMIFS(TF_Timer,TF_Tekniker,AL$4,TF_Dato,$A1076))*2,0)/2)))</f>
        <v/>
      </c>
      <c r="AM1076">
        <f>IF(OR(AM$4="",$A1076&gt;TODAY()),0,IF(OR(INDEX($B1076:$D1076,AM$5)="F",AND(AM$6&gt;0,$A1076&lt;AM$6),AND(AM$7&gt;0,$A1076&gt;AM$7)),0,MAX(0,ROUND((INDEX($E1076:$G1076,AM$5)-SUMIFS(TF_Timer,TF_Tekniker,AM$4,TF_Dato,$A1076))*2,0)/2)))</f>
        <v/>
      </c>
      <c r="AN1076">
        <f>IF(OR(AN$4="",$A1076&gt;TODAY()),0,IF(OR(INDEX($B1076:$D1076,AN$5)="F",AND(AN$6&gt;0,$A1076&lt;AN$6),AND(AN$7&gt;0,$A1076&gt;AN$7)),0,MAX(0,ROUND((INDEX($E1076:$G1076,AN$5)-SUMIFS(TF_Timer,TF_Tekniker,AN$4,TF_Dato,$A1076))*2,0)/2)))</f>
        <v/>
      </c>
      <c r="AO1076">
        <f>IF(OR(AO$4="",$A1076&gt;TODAY()),0,IF(OR(INDEX($B1076:$D1076,AO$5)="F",AND(AO$6&gt;0,$A1076&lt;AO$6),AND(AO$7&gt;0,$A1076&gt;AO$7)),0,MAX(0,ROUND((INDEX($E1076:$G1076,AO$5)-SUMIFS(TF_Timer,TF_Tekniker,AO$4,TF_Dato,$A1076))*2,0)/2)))</f>
        <v/>
      </c>
      <c r="AP1076">
        <f>IF(OR(AP$4="",$A1076&gt;TODAY()),0,IF(OR(INDEX($B1076:$D1076,AP$5)="F",AND(AP$6&gt;0,$A1076&lt;AP$6),AND(AP$7&gt;0,$A1076&gt;AP$7)),0,MAX(0,ROUND((INDEX($E1076:$G1076,AP$5)-SUMIFS(TF_Timer,TF_Tekniker,AP$4,TF_Dato,$A1076))*2,0)/2)))</f>
        <v/>
      </c>
      <c r="AQ1076">
        <f>IF(OR(AQ$4="",$A1076&gt;TODAY()),0,IF(OR(INDEX($B1076:$D1076,AQ$5)="F",AND(AQ$6&gt;0,$A1076&lt;AQ$6),AND(AQ$7&gt;0,$A1076&gt;AQ$7)),0,MAX(0,ROUND((INDEX($E1076:$G1076,AQ$5)-SUMIFS(TF_Timer,TF_Tekniker,AQ$4,TF_Dato,$A1076))*2,0)/2)))</f>
        <v/>
      </c>
      <c r="AR1076">
        <f>IF(OR(AR$4="",$A1076&gt;TODAY()),0,IF(OR(INDEX($B1076:$D1076,AR$5)="F",AND(AR$6&gt;0,$A1076&lt;AR$6),AND(AR$7&gt;0,$A1076&gt;AR$7)),0,MAX(0,ROUND((INDEX($E1076:$G1076,AR$5)-SUMIFS(TF_Timer,TF_Tekniker,AR$4,TF_Dato,$A1076))*2,0)/2)))</f>
        <v/>
      </c>
      <c r="AS1076">
        <f>IF(OR(AS$4="",$A1076&gt;TODAY()),0,IF(OR(INDEX($B1076:$D1076,AS$5)="F",AND(AS$6&gt;0,$A1076&lt;AS$6),AND(AS$7&gt;0,$A1076&gt;AS$7)),0,MAX(0,ROUND((INDEX($E1076:$G1076,AS$5)-SUMIFS(TF_Timer,TF_Tekniker,AS$4,TF_Dato,$A1076))*2,0)/2)))</f>
        <v/>
      </c>
      <c r="AT1076">
        <f>IF(OR(AT$4="",$A1076&gt;TODAY()),0,IF(OR(INDEX($B1076:$D1076,AT$5)="F",AND(AT$6&gt;0,$A1076&lt;AT$6),AND(AT$7&gt;0,$A1076&gt;AT$7)),0,MAX(0,ROUND((INDEX($E1076:$G1076,AT$5)-SUMIFS(TF_Timer,TF_Tekniker,AT$4,TF_Dato,$A1076))*2,0)/2)))</f>
        <v/>
      </c>
      <c r="AU1076">
        <f>IF(OR(AU$4="",$A1076&gt;TODAY()),0,IF(OR(INDEX($B1076:$D1076,AU$5)="F",AND(AU$6&gt;0,$A1076&lt;AU$6),AND(AU$7&gt;0,$A1076&gt;AU$7)),0,MAX(0,ROUND((INDEX($E1076:$G1076,AU$5)-SUMIFS(TF_Timer,TF_Tekniker,AU$4,TF_Dato,$A1076))*2,0)/2)))</f>
        <v/>
      </c>
      <c r="AV1076">
        <f>IF(OR(AV$4="",$A1076&gt;TODAY()),0,IF(OR(INDEX($B1076:$D1076,AV$5)="F",AND(AV$6&gt;0,$A1076&lt;AV$6),AND(AV$7&gt;0,$A1076&gt;AV$7)),0,MAX(0,ROUND((INDEX($E1076:$G1076,AV$5)-SUMIFS(TF_Timer,TF_Tekniker,AV$4,TF_Dato,$A1076))*2,0)/2)))</f>
        <v/>
      </c>
      <c r="AW1076">
        <f>IF(OR(AW$4="",$A1076&gt;TODAY()),0,IF(OR(INDEX($B1076:$D1076,AW$5)="F",AND(AW$6&gt;0,$A1076&lt;AW$6),AND(AW$7&gt;0,$A1076&gt;AW$7)),0,MAX(0,ROUND((INDEX($E1076:$G1076,AW$5)-SUMIFS(TF_Timer,TF_Tekniker,AW$4,TF_Dato,$A1076))*2,0)/2)))</f>
        <v/>
      </c>
      <c r="AX1076">
        <f>IF(OR(AX$4="",$A1076&gt;TODAY()),0,IF(OR(INDEX($B1076:$D1076,AX$5)="F",AND(AX$6&gt;0,$A1076&lt;AX$6),AND(AX$7&gt;0,$A1076&gt;AX$7)),0,MAX(0,ROUND((INDEX($E1076:$G1076,AX$5)-SUMIFS(TF_Timer,TF_Tekniker,AX$4,TF_Dato,$A1076))*2,0)/2)))</f>
        <v/>
      </c>
      <c r="AY1076">
        <f>IF(OR(AY$4="",$A1076&gt;TODAY()),0,IF(OR(INDEX($B1076:$D1076,AY$5)="F",AND(AY$6&gt;0,$A1076&lt;AY$6),AND(AY$7&gt;0,$A1076&gt;AY$7)),0,MAX(0,ROUND((INDEX($E1076:$G1076,AY$5)-SUMIFS(TF_Timer,TF_Tekniker,AY$4,TF_Dato,$A1076))*2,0)/2)))</f>
        <v/>
      </c>
      <c r="AZ1076">
        <f>IF(OR(AZ$4="",$A1076&gt;TODAY()),0,IF(OR(INDEX($B1076:$D1076,AZ$5)="F",AND(AZ$6&gt;0,$A1076&lt;AZ$6),AND(AZ$7&gt;0,$A1076&gt;AZ$7)),0,MAX(0,ROUND((INDEX($E1076:$G1076,AZ$5)-SUMIFS(TF_Timer,TF_Tekniker,AZ$4,TF_Dato,$A1076))*2,0)/2)))</f>
        <v/>
      </c>
      <c r="BA1076">
        <f>IF(OR(BA$4="",$A1076&gt;TODAY()),0,IF(OR(INDEX($B1076:$D1076,BA$5)="F",AND(BA$6&gt;0,$A1076&lt;BA$6),AND(BA$7&gt;0,$A1076&gt;BA$7)),0,MAX(0,ROUND((INDEX($E1076:$G1076,BA$5)-SUMIFS(TF_Timer,TF_Tekniker,BA$4,TF_Dato,$A1076))*2,0)/2)))</f>
        <v/>
      </c>
      <c r="BB1076">
        <f>IF(OR(BB$4="",$A1076&gt;TODAY()),0,IF(OR(INDEX($B1076:$D1076,BB$5)="F",AND(BB$6&gt;0,$A1076&lt;BB$6),AND(BB$7&gt;0,$A1076&gt;BB$7)),0,MAX(0,ROUND((INDEX($E1076:$G1076,BB$5)-SUMIFS(TF_Timer,TF_Tekniker,BB$4,TF_Dato,$A1076))*2,0)/2)))</f>
        <v/>
      </c>
      <c r="BC1076">
        <f>IF(OR(BC$4="",$A1076&gt;TODAY()),0,IF(OR(INDEX($B1076:$D1076,BC$5)="F",AND(BC$6&gt;0,$A1076&lt;BC$6),AND(BC$7&gt;0,$A1076&gt;BC$7)),0,MAX(0,ROUND((INDEX($E1076:$G1076,BC$5)-SUMIFS(TF_Timer,TF_Tekniker,BC$4,TF_Dato,$A1076))*2,0)/2)))</f>
        <v/>
      </c>
      <c r="BD1076">
        <f>IF(OR(BD$4="",$A1076&gt;TODAY()),0,IF(OR(INDEX($B1076:$D1076,BD$5)="F",AND(BD$6&gt;0,$A1076&lt;BD$6),AND(BD$7&gt;0,$A1076&gt;BD$7)),0,MAX(0,ROUND((INDEX($E1076:$G1076,BD$5)-SUMIFS(TF_Timer,TF_Tekniker,BD$4,TF_Dato,$A1076))*2,0)/2)))</f>
        <v/>
      </c>
      <c r="BE1076">
        <f>IF(OR(BE$4="",$A1076&gt;TODAY()),0,IF(OR(INDEX($B1076:$D1076,BE$5)="F",AND(BE$6&gt;0,$A1076&lt;BE$6),AND(BE$7&gt;0,$A1076&gt;BE$7)),0,MAX(0,ROUND((INDEX($E1076:$G1076,BE$5)-SUMIFS(TF_Timer,TF_Tekniker,BE$4,TF_Dato,$A1076))*2,0)/2)))</f>
        <v/>
      </c>
      <c r="BF1076">
        <f>IF(OR(BF$4="",$A1076&gt;TODAY()),0,IF(OR(INDEX($B1076:$D1076,BF$5)="F",AND(BF$6&gt;0,$A1076&lt;BF$6),AND(BF$7&gt;0,$A1076&gt;BF$7)),0,MAX(0,ROUND((INDEX($E1076:$G1076,BF$5)-SUMIFS(TF_Timer,TF_Tekniker,BF$4,TF_Dato,$A1076))*2,0)/2)))</f>
        <v/>
      </c>
      <c r="BG1076">
        <f>IF(OR(BG$4="",$A1076&gt;TODAY()),0,IF(OR(INDEX($B1076:$D1076,BG$5)="F",AND(BG$6&gt;0,$A1076&lt;BG$6),AND(BG$7&gt;0,$A1076&gt;BG$7)),0,MAX(0,ROUND((INDEX($E1076:$G1076,BG$5)-SUMIFS(TF_Timer,TF_Tekniker,BG$4,TF_Dato,$A1076))*2,0)/2)))</f>
        <v/>
      </c>
      <c r="BH1076">
        <f>IF(OR(BH$4="",$A1076&gt;TODAY()),0,IF(OR(INDEX($B1076:$D1076,BH$5)="F",AND(BH$6&gt;0,$A1076&lt;BH$6),AND(BH$7&gt;0,$A1076&gt;BH$7)),0,MAX(0,ROUND((INDEX($E1076:$G1076,BH$5)-SUMIFS(TF_Timer,TF_Tekniker,BH$4,TF_Dato,$A1076))*2,0)/2)))</f>
        <v/>
      </c>
      <c r="BI1076">
        <f>IF(OR(BI$4="",$A1076&gt;TODAY()),0,IF(OR(INDEX($B1076:$D1076,BI$5)="F",AND(BI$6&gt;0,$A1076&lt;BI$6),AND(BI$7&gt;0,$A1076&gt;BI$7)),0,MAX(0,ROUND((INDEX($E1076:$G1076,BI$5)-SUMIFS(TF_Timer,TF_Tekniker,BI$4,TF_Dato,$A1076))*2,0)/2)))</f>
        <v/>
      </c>
    </row>
    <row r="1077">
      <c r="A1077" s="64">
        <f>A1076+1</f>
        <v/>
      </c>
      <c r="B1077">
        <f>IF(MOD($A1077-INDEX(SkiftStart,1),Syklus)&lt;DagK,"K",IF(MOD($A1077-INDEX(SkiftStart,1),Syklus)&lt;DagK+DagH,"H",IF(MOD($A1077-INDEX(SkiftStart,1),Syklus)&lt;DagK+DagH+DagD,"D","F")))</f>
        <v/>
      </c>
      <c r="C1077">
        <f>IF(MOD($A1077-INDEX(SkiftStart,2),Syklus)&lt;DagK,"K",IF(MOD($A1077-INDEX(SkiftStart,2),Syklus)&lt;DagK+DagH,"H",IF(MOD($A1077-INDEX(SkiftStart,2),Syklus)&lt;DagK+DagH+DagD,"D","F")))</f>
        <v/>
      </c>
      <c r="D1077">
        <f>IF(MOD($A1077-INDEX(SkiftStart,3),Syklus)&lt;DagK,"K",IF(MOD($A1077-INDEX(SkiftStart,3),Syklus)&lt;DagK+DagH,"H",IF(MOD($A1077-INDEX(SkiftStart,3),Syklus)&lt;DagK+DagH+DagD,"D","F")))</f>
        <v/>
      </c>
      <c r="E1077">
        <f>IF(B1077="F",0,IF(WEEKDAY($A1077,2)=5,INDEX(TimerFr,MATCH(B1077,FaseKode,0)),INDEX(TimerMT,MATCH(B1077,FaseKode,0))))</f>
        <v/>
      </c>
      <c r="F1077">
        <f>IF(C1077="F",0,IF(WEEKDAY($A1077,2)=5,INDEX(TimerFr,MATCH(C1077,FaseKode,0)),INDEX(TimerMT,MATCH(C1077,FaseKode,0))))</f>
        <v/>
      </c>
      <c r="G1077">
        <f>IF(D1077="F",0,IF(WEEKDAY($A1077,2)=5,INDEX(TimerFr,MATCH(D1077,FaseKode,0)),INDEX(TimerMT,MATCH(D1077,FaseKode,0))))</f>
        <v/>
      </c>
      <c r="H1077">
        <f>IF(OR(H$4="",$A1077&gt;TODAY()),0,IF(OR(INDEX($B1077:$D1077,H$5)="F",AND(H$6&gt;0,$A1077&lt;H$6),AND(H$7&gt;0,$A1077&gt;H$7)),0,MAX(0,ROUND((INDEX($E1077:$G1077,H$5)-SUMIFS(TF_Timer,TF_Tekniker,H$4,TF_Dato,$A1077))*2,0)/2)))</f>
        <v/>
      </c>
      <c r="I1077">
        <f>IF(OR(I$4="",$A1077&gt;TODAY()),0,IF(OR(INDEX($B1077:$D1077,I$5)="F",AND(I$6&gt;0,$A1077&lt;I$6),AND(I$7&gt;0,$A1077&gt;I$7)),0,MAX(0,ROUND((INDEX($E1077:$G1077,I$5)-SUMIFS(TF_Timer,TF_Tekniker,I$4,TF_Dato,$A1077))*2,0)/2)))</f>
        <v/>
      </c>
      <c r="J1077">
        <f>IF(OR(J$4="",$A1077&gt;TODAY()),0,IF(OR(INDEX($B1077:$D1077,J$5)="F",AND(J$6&gt;0,$A1077&lt;J$6),AND(J$7&gt;0,$A1077&gt;J$7)),0,MAX(0,ROUND((INDEX($E1077:$G1077,J$5)-SUMIFS(TF_Timer,TF_Tekniker,J$4,TF_Dato,$A1077))*2,0)/2)))</f>
        <v/>
      </c>
      <c r="K1077">
        <f>IF(OR(K$4="",$A1077&gt;TODAY()),0,IF(OR(INDEX($B1077:$D1077,K$5)="F",AND(K$6&gt;0,$A1077&lt;K$6),AND(K$7&gt;0,$A1077&gt;K$7)),0,MAX(0,ROUND((INDEX($E1077:$G1077,K$5)-SUMIFS(TF_Timer,TF_Tekniker,K$4,TF_Dato,$A1077))*2,0)/2)))</f>
        <v/>
      </c>
      <c r="L1077">
        <f>IF(OR(L$4="",$A1077&gt;TODAY()),0,IF(OR(INDEX($B1077:$D1077,L$5)="F",AND(L$6&gt;0,$A1077&lt;L$6),AND(L$7&gt;0,$A1077&gt;L$7)),0,MAX(0,ROUND((INDEX($E1077:$G1077,L$5)-SUMIFS(TF_Timer,TF_Tekniker,L$4,TF_Dato,$A1077))*2,0)/2)))</f>
        <v/>
      </c>
      <c r="M1077">
        <f>IF(OR(M$4="",$A1077&gt;TODAY()),0,IF(OR(INDEX($B1077:$D1077,M$5)="F",AND(M$6&gt;0,$A1077&lt;M$6),AND(M$7&gt;0,$A1077&gt;M$7)),0,MAX(0,ROUND((INDEX($E1077:$G1077,M$5)-SUMIFS(TF_Timer,TF_Tekniker,M$4,TF_Dato,$A1077))*2,0)/2)))</f>
        <v/>
      </c>
      <c r="N1077">
        <f>IF(OR(N$4="",$A1077&gt;TODAY()),0,IF(OR(INDEX($B1077:$D1077,N$5)="F",AND(N$6&gt;0,$A1077&lt;N$6),AND(N$7&gt;0,$A1077&gt;N$7)),0,MAX(0,ROUND((INDEX($E1077:$G1077,N$5)-SUMIFS(TF_Timer,TF_Tekniker,N$4,TF_Dato,$A1077))*2,0)/2)))</f>
        <v/>
      </c>
      <c r="O1077">
        <f>IF(OR(O$4="",$A1077&gt;TODAY()),0,IF(OR(INDEX($B1077:$D1077,O$5)="F",AND(O$6&gt;0,$A1077&lt;O$6),AND(O$7&gt;0,$A1077&gt;O$7)),0,MAX(0,ROUND((INDEX($E1077:$G1077,O$5)-SUMIFS(TF_Timer,TF_Tekniker,O$4,TF_Dato,$A1077))*2,0)/2)))</f>
        <v/>
      </c>
      <c r="P1077">
        <f>IF(OR(P$4="",$A1077&gt;TODAY()),0,IF(OR(INDEX($B1077:$D1077,P$5)="F",AND(P$6&gt;0,$A1077&lt;P$6),AND(P$7&gt;0,$A1077&gt;P$7)),0,MAX(0,ROUND((INDEX($E1077:$G1077,P$5)-SUMIFS(TF_Timer,TF_Tekniker,P$4,TF_Dato,$A1077))*2,0)/2)))</f>
        <v/>
      </c>
      <c r="Q1077">
        <f>IF(OR(Q$4="",$A1077&gt;TODAY()),0,IF(OR(INDEX($B1077:$D1077,Q$5)="F",AND(Q$6&gt;0,$A1077&lt;Q$6),AND(Q$7&gt;0,$A1077&gt;Q$7)),0,MAX(0,ROUND((INDEX($E1077:$G1077,Q$5)-SUMIFS(TF_Timer,TF_Tekniker,Q$4,TF_Dato,$A1077))*2,0)/2)))</f>
        <v/>
      </c>
      <c r="R1077">
        <f>IF(OR(R$4="",$A1077&gt;TODAY()),0,IF(OR(INDEX($B1077:$D1077,R$5)="F",AND(R$6&gt;0,$A1077&lt;R$6),AND(R$7&gt;0,$A1077&gt;R$7)),0,MAX(0,ROUND((INDEX($E1077:$G1077,R$5)-SUMIFS(TF_Timer,TF_Tekniker,R$4,TF_Dato,$A1077))*2,0)/2)))</f>
        <v/>
      </c>
      <c r="S1077">
        <f>IF(OR(S$4="",$A1077&gt;TODAY()),0,IF(OR(INDEX($B1077:$D1077,S$5)="F",AND(S$6&gt;0,$A1077&lt;S$6),AND(S$7&gt;0,$A1077&gt;S$7)),0,MAX(0,ROUND((INDEX($E1077:$G1077,S$5)-SUMIFS(TF_Timer,TF_Tekniker,S$4,TF_Dato,$A1077))*2,0)/2)))</f>
        <v/>
      </c>
      <c r="T1077">
        <f>IF(OR(T$4="",$A1077&gt;TODAY()),0,IF(OR(INDEX($B1077:$D1077,T$5)="F",AND(T$6&gt;0,$A1077&lt;T$6),AND(T$7&gt;0,$A1077&gt;T$7)),0,MAX(0,ROUND((INDEX($E1077:$G1077,T$5)-SUMIFS(TF_Timer,TF_Tekniker,T$4,TF_Dato,$A1077))*2,0)/2)))</f>
        <v/>
      </c>
      <c r="U1077">
        <f>IF(OR(U$4="",$A1077&gt;TODAY()),0,IF(OR(INDEX($B1077:$D1077,U$5)="F",AND(U$6&gt;0,$A1077&lt;U$6),AND(U$7&gt;0,$A1077&gt;U$7)),0,MAX(0,ROUND((INDEX($E1077:$G1077,U$5)-SUMIFS(TF_Timer,TF_Tekniker,U$4,TF_Dato,$A1077))*2,0)/2)))</f>
        <v/>
      </c>
      <c r="V1077">
        <f>IF(OR(V$4="",$A1077&gt;TODAY()),0,IF(OR(INDEX($B1077:$D1077,V$5)="F",AND(V$6&gt;0,$A1077&lt;V$6),AND(V$7&gt;0,$A1077&gt;V$7)),0,MAX(0,ROUND((INDEX($E1077:$G1077,V$5)-SUMIFS(TF_Timer,TF_Tekniker,V$4,TF_Dato,$A1077))*2,0)/2)))</f>
        <v/>
      </c>
      <c r="W1077">
        <f>IF(OR(W$4="",$A1077&gt;TODAY()),0,IF(OR(INDEX($B1077:$D1077,W$5)="F",AND(W$6&gt;0,$A1077&lt;W$6),AND(W$7&gt;0,$A1077&gt;W$7)),0,MAX(0,ROUND((INDEX($E1077:$G1077,W$5)-SUMIFS(TF_Timer,TF_Tekniker,W$4,TF_Dato,$A1077))*2,0)/2)))</f>
        <v/>
      </c>
      <c r="X1077">
        <f>IF(OR(X$4="",$A1077&gt;TODAY()),0,IF(OR(INDEX($B1077:$D1077,X$5)="F",AND(X$6&gt;0,$A1077&lt;X$6),AND(X$7&gt;0,$A1077&gt;X$7)),0,MAX(0,ROUND((INDEX($E1077:$G1077,X$5)-SUMIFS(TF_Timer,TF_Tekniker,X$4,TF_Dato,$A1077))*2,0)/2)))</f>
        <v/>
      </c>
      <c r="Y1077">
        <f>IF(OR(Y$4="",$A1077&gt;TODAY()),0,IF(OR(INDEX($B1077:$D1077,Y$5)="F",AND(Y$6&gt;0,$A1077&lt;Y$6),AND(Y$7&gt;0,$A1077&gt;Y$7)),0,MAX(0,ROUND((INDEX($E1077:$G1077,Y$5)-SUMIFS(TF_Timer,TF_Tekniker,Y$4,TF_Dato,$A1077))*2,0)/2)))</f>
        <v/>
      </c>
      <c r="Z1077">
        <f>IF(OR(Z$4="",$A1077&gt;TODAY()),0,IF(OR(INDEX($B1077:$D1077,Z$5)="F",AND(Z$6&gt;0,$A1077&lt;Z$6),AND(Z$7&gt;0,$A1077&gt;Z$7)),0,MAX(0,ROUND((INDEX($E1077:$G1077,Z$5)-SUMIFS(TF_Timer,TF_Tekniker,Z$4,TF_Dato,$A1077))*2,0)/2)))</f>
        <v/>
      </c>
      <c r="AA1077">
        <f>IF(OR(AA$4="",$A1077&gt;TODAY()),0,IF(OR(INDEX($B1077:$D1077,AA$5)="F",AND(AA$6&gt;0,$A1077&lt;AA$6),AND(AA$7&gt;0,$A1077&gt;AA$7)),0,MAX(0,ROUND((INDEX($E1077:$G1077,AA$5)-SUMIFS(TF_Timer,TF_Tekniker,AA$4,TF_Dato,$A1077))*2,0)/2)))</f>
        <v/>
      </c>
      <c r="AB1077">
        <f>IF(OR(AB$4="",$A1077&gt;TODAY()),0,IF(OR(INDEX($B1077:$D1077,AB$5)="F",AND(AB$6&gt;0,$A1077&lt;AB$6),AND(AB$7&gt;0,$A1077&gt;AB$7)),0,MAX(0,ROUND((INDEX($E1077:$G1077,AB$5)-SUMIFS(TF_Timer,TF_Tekniker,AB$4,TF_Dato,$A1077))*2,0)/2)))</f>
        <v/>
      </c>
      <c r="AC1077">
        <f>IF(OR(AC$4="",$A1077&gt;TODAY()),0,IF(OR(INDEX($B1077:$D1077,AC$5)="F",AND(AC$6&gt;0,$A1077&lt;AC$6),AND(AC$7&gt;0,$A1077&gt;AC$7)),0,MAX(0,ROUND((INDEX($E1077:$G1077,AC$5)-SUMIFS(TF_Timer,TF_Tekniker,AC$4,TF_Dato,$A1077))*2,0)/2)))</f>
        <v/>
      </c>
      <c r="AD1077">
        <f>IF(OR(AD$4="",$A1077&gt;TODAY()),0,IF(OR(INDEX($B1077:$D1077,AD$5)="F",AND(AD$6&gt;0,$A1077&lt;AD$6),AND(AD$7&gt;0,$A1077&gt;AD$7)),0,MAX(0,ROUND((INDEX($E1077:$G1077,AD$5)-SUMIFS(TF_Timer,TF_Tekniker,AD$4,TF_Dato,$A1077))*2,0)/2)))</f>
        <v/>
      </c>
      <c r="AE1077">
        <f>IF(OR(AE$4="",$A1077&gt;TODAY()),0,IF(OR(INDEX($B1077:$D1077,AE$5)="F",AND(AE$6&gt;0,$A1077&lt;AE$6),AND(AE$7&gt;0,$A1077&gt;AE$7)),0,MAX(0,ROUND((INDEX($E1077:$G1077,AE$5)-SUMIFS(TF_Timer,TF_Tekniker,AE$4,TF_Dato,$A1077))*2,0)/2)))</f>
        <v/>
      </c>
      <c r="AF1077">
        <f>IF(OR(AF$4="",$A1077&gt;TODAY()),0,IF(OR(INDEX($B1077:$D1077,AF$5)="F",AND(AF$6&gt;0,$A1077&lt;AF$6),AND(AF$7&gt;0,$A1077&gt;AF$7)),0,MAX(0,ROUND((INDEX($E1077:$G1077,AF$5)-SUMIFS(TF_Timer,TF_Tekniker,AF$4,TF_Dato,$A1077))*2,0)/2)))</f>
        <v/>
      </c>
      <c r="AG1077">
        <f>IF(OR(AG$4="",$A1077&gt;TODAY()),0,IF(OR(INDEX($B1077:$D1077,AG$5)="F",AND(AG$6&gt;0,$A1077&lt;AG$6),AND(AG$7&gt;0,$A1077&gt;AG$7)),0,MAX(0,ROUND((INDEX($E1077:$G1077,AG$5)-SUMIFS(TF_Timer,TF_Tekniker,AG$4,TF_Dato,$A1077))*2,0)/2)))</f>
        <v/>
      </c>
      <c r="AH1077">
        <f>IF(OR(AH$4="",$A1077&gt;TODAY()),0,IF(OR(INDEX($B1077:$D1077,AH$5)="F",AND(AH$6&gt;0,$A1077&lt;AH$6),AND(AH$7&gt;0,$A1077&gt;AH$7)),0,MAX(0,ROUND((INDEX($E1077:$G1077,AH$5)-SUMIFS(TF_Timer,TF_Tekniker,AH$4,TF_Dato,$A1077))*2,0)/2)))</f>
        <v/>
      </c>
      <c r="AI1077">
        <f>IF(OR(AI$4="",$A1077&gt;TODAY()),0,IF(OR(INDEX($B1077:$D1077,AI$5)="F",AND(AI$6&gt;0,$A1077&lt;AI$6),AND(AI$7&gt;0,$A1077&gt;AI$7)),0,MAX(0,ROUND((INDEX($E1077:$G1077,AI$5)-SUMIFS(TF_Timer,TF_Tekniker,AI$4,TF_Dato,$A1077))*2,0)/2)))</f>
        <v/>
      </c>
      <c r="AJ1077">
        <f>IF(OR(AJ$4="",$A1077&gt;TODAY()),0,IF(OR(INDEX($B1077:$D1077,AJ$5)="F",AND(AJ$6&gt;0,$A1077&lt;AJ$6),AND(AJ$7&gt;0,$A1077&gt;AJ$7)),0,MAX(0,ROUND((INDEX($E1077:$G1077,AJ$5)-SUMIFS(TF_Timer,TF_Tekniker,AJ$4,TF_Dato,$A1077))*2,0)/2)))</f>
        <v/>
      </c>
      <c r="AK1077">
        <f>IF(OR(AK$4="",$A1077&gt;TODAY()),0,IF(OR(INDEX($B1077:$D1077,AK$5)="F",AND(AK$6&gt;0,$A1077&lt;AK$6),AND(AK$7&gt;0,$A1077&gt;AK$7)),0,MAX(0,ROUND((INDEX($E1077:$G1077,AK$5)-SUMIFS(TF_Timer,TF_Tekniker,AK$4,TF_Dato,$A1077))*2,0)/2)))</f>
        <v/>
      </c>
      <c r="AL1077">
        <f>IF(OR(AL$4="",$A1077&gt;TODAY()),0,IF(OR(INDEX($B1077:$D1077,AL$5)="F",AND(AL$6&gt;0,$A1077&lt;AL$6),AND(AL$7&gt;0,$A1077&gt;AL$7)),0,MAX(0,ROUND((INDEX($E1077:$G1077,AL$5)-SUMIFS(TF_Timer,TF_Tekniker,AL$4,TF_Dato,$A1077))*2,0)/2)))</f>
        <v/>
      </c>
      <c r="AM1077">
        <f>IF(OR(AM$4="",$A1077&gt;TODAY()),0,IF(OR(INDEX($B1077:$D1077,AM$5)="F",AND(AM$6&gt;0,$A1077&lt;AM$6),AND(AM$7&gt;0,$A1077&gt;AM$7)),0,MAX(0,ROUND((INDEX($E1077:$G1077,AM$5)-SUMIFS(TF_Timer,TF_Tekniker,AM$4,TF_Dato,$A1077))*2,0)/2)))</f>
        <v/>
      </c>
      <c r="AN1077">
        <f>IF(OR(AN$4="",$A1077&gt;TODAY()),0,IF(OR(INDEX($B1077:$D1077,AN$5)="F",AND(AN$6&gt;0,$A1077&lt;AN$6),AND(AN$7&gt;0,$A1077&gt;AN$7)),0,MAX(0,ROUND((INDEX($E1077:$G1077,AN$5)-SUMIFS(TF_Timer,TF_Tekniker,AN$4,TF_Dato,$A1077))*2,0)/2)))</f>
        <v/>
      </c>
      <c r="AO1077">
        <f>IF(OR(AO$4="",$A1077&gt;TODAY()),0,IF(OR(INDEX($B1077:$D1077,AO$5)="F",AND(AO$6&gt;0,$A1077&lt;AO$6),AND(AO$7&gt;0,$A1077&gt;AO$7)),0,MAX(0,ROUND((INDEX($E1077:$G1077,AO$5)-SUMIFS(TF_Timer,TF_Tekniker,AO$4,TF_Dato,$A1077))*2,0)/2)))</f>
        <v/>
      </c>
      <c r="AP1077">
        <f>IF(OR(AP$4="",$A1077&gt;TODAY()),0,IF(OR(INDEX($B1077:$D1077,AP$5)="F",AND(AP$6&gt;0,$A1077&lt;AP$6),AND(AP$7&gt;0,$A1077&gt;AP$7)),0,MAX(0,ROUND((INDEX($E1077:$G1077,AP$5)-SUMIFS(TF_Timer,TF_Tekniker,AP$4,TF_Dato,$A1077))*2,0)/2)))</f>
        <v/>
      </c>
      <c r="AQ1077">
        <f>IF(OR(AQ$4="",$A1077&gt;TODAY()),0,IF(OR(INDEX($B1077:$D1077,AQ$5)="F",AND(AQ$6&gt;0,$A1077&lt;AQ$6),AND(AQ$7&gt;0,$A1077&gt;AQ$7)),0,MAX(0,ROUND((INDEX($E1077:$G1077,AQ$5)-SUMIFS(TF_Timer,TF_Tekniker,AQ$4,TF_Dato,$A1077))*2,0)/2)))</f>
        <v/>
      </c>
      <c r="AR1077">
        <f>IF(OR(AR$4="",$A1077&gt;TODAY()),0,IF(OR(INDEX($B1077:$D1077,AR$5)="F",AND(AR$6&gt;0,$A1077&lt;AR$6),AND(AR$7&gt;0,$A1077&gt;AR$7)),0,MAX(0,ROUND((INDEX($E1077:$G1077,AR$5)-SUMIFS(TF_Timer,TF_Tekniker,AR$4,TF_Dato,$A1077))*2,0)/2)))</f>
        <v/>
      </c>
      <c r="AS1077">
        <f>IF(OR(AS$4="",$A1077&gt;TODAY()),0,IF(OR(INDEX($B1077:$D1077,AS$5)="F",AND(AS$6&gt;0,$A1077&lt;AS$6),AND(AS$7&gt;0,$A1077&gt;AS$7)),0,MAX(0,ROUND((INDEX($E1077:$G1077,AS$5)-SUMIFS(TF_Timer,TF_Tekniker,AS$4,TF_Dato,$A1077))*2,0)/2)))</f>
        <v/>
      </c>
      <c r="AT1077">
        <f>IF(OR(AT$4="",$A1077&gt;TODAY()),0,IF(OR(INDEX($B1077:$D1077,AT$5)="F",AND(AT$6&gt;0,$A1077&lt;AT$6),AND(AT$7&gt;0,$A1077&gt;AT$7)),0,MAX(0,ROUND((INDEX($E1077:$G1077,AT$5)-SUMIFS(TF_Timer,TF_Tekniker,AT$4,TF_Dato,$A1077))*2,0)/2)))</f>
        <v/>
      </c>
      <c r="AU1077">
        <f>IF(OR(AU$4="",$A1077&gt;TODAY()),0,IF(OR(INDEX($B1077:$D1077,AU$5)="F",AND(AU$6&gt;0,$A1077&lt;AU$6),AND(AU$7&gt;0,$A1077&gt;AU$7)),0,MAX(0,ROUND((INDEX($E1077:$G1077,AU$5)-SUMIFS(TF_Timer,TF_Tekniker,AU$4,TF_Dato,$A1077))*2,0)/2)))</f>
        <v/>
      </c>
      <c r="AV1077">
        <f>IF(OR(AV$4="",$A1077&gt;TODAY()),0,IF(OR(INDEX($B1077:$D1077,AV$5)="F",AND(AV$6&gt;0,$A1077&lt;AV$6),AND(AV$7&gt;0,$A1077&gt;AV$7)),0,MAX(0,ROUND((INDEX($E1077:$G1077,AV$5)-SUMIFS(TF_Timer,TF_Tekniker,AV$4,TF_Dato,$A1077))*2,0)/2)))</f>
        <v/>
      </c>
      <c r="AW1077">
        <f>IF(OR(AW$4="",$A1077&gt;TODAY()),0,IF(OR(INDEX($B1077:$D1077,AW$5)="F",AND(AW$6&gt;0,$A1077&lt;AW$6),AND(AW$7&gt;0,$A1077&gt;AW$7)),0,MAX(0,ROUND((INDEX($E1077:$G1077,AW$5)-SUMIFS(TF_Timer,TF_Tekniker,AW$4,TF_Dato,$A1077))*2,0)/2)))</f>
        <v/>
      </c>
      <c r="AX1077">
        <f>IF(OR(AX$4="",$A1077&gt;TODAY()),0,IF(OR(INDEX($B1077:$D1077,AX$5)="F",AND(AX$6&gt;0,$A1077&lt;AX$6),AND(AX$7&gt;0,$A1077&gt;AX$7)),0,MAX(0,ROUND((INDEX($E1077:$G1077,AX$5)-SUMIFS(TF_Timer,TF_Tekniker,AX$4,TF_Dato,$A1077))*2,0)/2)))</f>
        <v/>
      </c>
      <c r="AY1077">
        <f>IF(OR(AY$4="",$A1077&gt;TODAY()),0,IF(OR(INDEX($B1077:$D1077,AY$5)="F",AND(AY$6&gt;0,$A1077&lt;AY$6),AND(AY$7&gt;0,$A1077&gt;AY$7)),0,MAX(0,ROUND((INDEX($E1077:$G1077,AY$5)-SUMIFS(TF_Timer,TF_Tekniker,AY$4,TF_Dato,$A1077))*2,0)/2)))</f>
        <v/>
      </c>
      <c r="AZ1077">
        <f>IF(OR(AZ$4="",$A1077&gt;TODAY()),0,IF(OR(INDEX($B1077:$D1077,AZ$5)="F",AND(AZ$6&gt;0,$A1077&lt;AZ$6),AND(AZ$7&gt;0,$A1077&gt;AZ$7)),0,MAX(0,ROUND((INDEX($E1077:$G1077,AZ$5)-SUMIFS(TF_Timer,TF_Tekniker,AZ$4,TF_Dato,$A1077))*2,0)/2)))</f>
        <v/>
      </c>
      <c r="BA1077">
        <f>IF(OR(BA$4="",$A1077&gt;TODAY()),0,IF(OR(INDEX($B1077:$D1077,BA$5)="F",AND(BA$6&gt;0,$A1077&lt;BA$6),AND(BA$7&gt;0,$A1077&gt;BA$7)),0,MAX(0,ROUND((INDEX($E1077:$G1077,BA$5)-SUMIFS(TF_Timer,TF_Tekniker,BA$4,TF_Dato,$A1077))*2,0)/2)))</f>
        <v/>
      </c>
      <c r="BB1077">
        <f>IF(OR(BB$4="",$A1077&gt;TODAY()),0,IF(OR(INDEX($B1077:$D1077,BB$5)="F",AND(BB$6&gt;0,$A1077&lt;BB$6),AND(BB$7&gt;0,$A1077&gt;BB$7)),0,MAX(0,ROUND((INDEX($E1077:$G1077,BB$5)-SUMIFS(TF_Timer,TF_Tekniker,BB$4,TF_Dato,$A1077))*2,0)/2)))</f>
        <v/>
      </c>
      <c r="BC1077">
        <f>IF(OR(BC$4="",$A1077&gt;TODAY()),0,IF(OR(INDEX($B1077:$D1077,BC$5)="F",AND(BC$6&gt;0,$A1077&lt;BC$6),AND(BC$7&gt;0,$A1077&gt;BC$7)),0,MAX(0,ROUND((INDEX($E1077:$G1077,BC$5)-SUMIFS(TF_Timer,TF_Tekniker,BC$4,TF_Dato,$A1077))*2,0)/2)))</f>
        <v/>
      </c>
      <c r="BD1077">
        <f>IF(OR(BD$4="",$A1077&gt;TODAY()),0,IF(OR(INDEX($B1077:$D1077,BD$5)="F",AND(BD$6&gt;0,$A1077&lt;BD$6),AND(BD$7&gt;0,$A1077&gt;BD$7)),0,MAX(0,ROUND((INDEX($E1077:$G1077,BD$5)-SUMIFS(TF_Timer,TF_Tekniker,BD$4,TF_Dato,$A1077))*2,0)/2)))</f>
        <v/>
      </c>
      <c r="BE1077">
        <f>IF(OR(BE$4="",$A1077&gt;TODAY()),0,IF(OR(INDEX($B1077:$D1077,BE$5)="F",AND(BE$6&gt;0,$A1077&lt;BE$6),AND(BE$7&gt;0,$A1077&gt;BE$7)),0,MAX(0,ROUND((INDEX($E1077:$G1077,BE$5)-SUMIFS(TF_Timer,TF_Tekniker,BE$4,TF_Dato,$A1077))*2,0)/2)))</f>
        <v/>
      </c>
      <c r="BF1077">
        <f>IF(OR(BF$4="",$A1077&gt;TODAY()),0,IF(OR(INDEX($B1077:$D1077,BF$5)="F",AND(BF$6&gt;0,$A1077&lt;BF$6),AND(BF$7&gt;0,$A1077&gt;BF$7)),0,MAX(0,ROUND((INDEX($E1077:$G1077,BF$5)-SUMIFS(TF_Timer,TF_Tekniker,BF$4,TF_Dato,$A1077))*2,0)/2)))</f>
        <v/>
      </c>
      <c r="BG1077">
        <f>IF(OR(BG$4="",$A1077&gt;TODAY()),0,IF(OR(INDEX($B1077:$D1077,BG$5)="F",AND(BG$6&gt;0,$A1077&lt;BG$6),AND(BG$7&gt;0,$A1077&gt;BG$7)),0,MAX(0,ROUND((INDEX($E1077:$G1077,BG$5)-SUMIFS(TF_Timer,TF_Tekniker,BG$4,TF_Dato,$A1077))*2,0)/2)))</f>
        <v/>
      </c>
      <c r="BH1077">
        <f>IF(OR(BH$4="",$A1077&gt;TODAY()),0,IF(OR(INDEX($B1077:$D1077,BH$5)="F",AND(BH$6&gt;0,$A1077&lt;BH$6),AND(BH$7&gt;0,$A1077&gt;BH$7)),0,MAX(0,ROUND((INDEX($E1077:$G1077,BH$5)-SUMIFS(TF_Timer,TF_Tekniker,BH$4,TF_Dato,$A1077))*2,0)/2)))</f>
        <v/>
      </c>
      <c r="BI1077">
        <f>IF(OR(BI$4="",$A1077&gt;TODAY()),0,IF(OR(INDEX($B1077:$D1077,BI$5)="F",AND(BI$6&gt;0,$A1077&lt;BI$6),AND(BI$7&gt;0,$A1077&gt;BI$7)),0,MAX(0,ROUND((INDEX($E1077:$G1077,BI$5)-SUMIFS(TF_Timer,TF_Tekniker,BI$4,TF_Dato,$A1077))*2,0)/2)))</f>
        <v/>
      </c>
    </row>
    <row r="1078">
      <c r="A1078" s="64">
        <f>A1077+1</f>
        <v/>
      </c>
      <c r="B1078">
        <f>IF(MOD($A1078-INDEX(SkiftStart,1),Syklus)&lt;DagK,"K",IF(MOD($A1078-INDEX(SkiftStart,1),Syklus)&lt;DagK+DagH,"H",IF(MOD($A1078-INDEX(SkiftStart,1),Syklus)&lt;DagK+DagH+DagD,"D","F")))</f>
        <v/>
      </c>
      <c r="C1078">
        <f>IF(MOD($A1078-INDEX(SkiftStart,2),Syklus)&lt;DagK,"K",IF(MOD($A1078-INDEX(SkiftStart,2),Syklus)&lt;DagK+DagH,"H",IF(MOD($A1078-INDEX(SkiftStart,2),Syklus)&lt;DagK+DagH+DagD,"D","F")))</f>
        <v/>
      </c>
      <c r="D1078">
        <f>IF(MOD($A1078-INDEX(SkiftStart,3),Syklus)&lt;DagK,"K",IF(MOD($A1078-INDEX(SkiftStart,3),Syklus)&lt;DagK+DagH,"H",IF(MOD($A1078-INDEX(SkiftStart,3),Syklus)&lt;DagK+DagH+DagD,"D","F")))</f>
        <v/>
      </c>
      <c r="E1078">
        <f>IF(B1078="F",0,IF(WEEKDAY($A1078,2)=5,INDEX(TimerFr,MATCH(B1078,FaseKode,0)),INDEX(TimerMT,MATCH(B1078,FaseKode,0))))</f>
        <v/>
      </c>
      <c r="F1078">
        <f>IF(C1078="F",0,IF(WEEKDAY($A1078,2)=5,INDEX(TimerFr,MATCH(C1078,FaseKode,0)),INDEX(TimerMT,MATCH(C1078,FaseKode,0))))</f>
        <v/>
      </c>
      <c r="G1078">
        <f>IF(D1078="F",0,IF(WEEKDAY($A1078,2)=5,INDEX(TimerFr,MATCH(D1078,FaseKode,0)),INDEX(TimerMT,MATCH(D1078,FaseKode,0))))</f>
        <v/>
      </c>
      <c r="H1078">
        <f>IF(OR(H$4="",$A1078&gt;TODAY()),0,IF(OR(INDEX($B1078:$D1078,H$5)="F",AND(H$6&gt;0,$A1078&lt;H$6),AND(H$7&gt;0,$A1078&gt;H$7)),0,MAX(0,ROUND((INDEX($E1078:$G1078,H$5)-SUMIFS(TF_Timer,TF_Tekniker,H$4,TF_Dato,$A1078))*2,0)/2)))</f>
        <v/>
      </c>
      <c r="I1078">
        <f>IF(OR(I$4="",$A1078&gt;TODAY()),0,IF(OR(INDEX($B1078:$D1078,I$5)="F",AND(I$6&gt;0,$A1078&lt;I$6),AND(I$7&gt;0,$A1078&gt;I$7)),0,MAX(0,ROUND((INDEX($E1078:$G1078,I$5)-SUMIFS(TF_Timer,TF_Tekniker,I$4,TF_Dato,$A1078))*2,0)/2)))</f>
        <v/>
      </c>
      <c r="J1078">
        <f>IF(OR(J$4="",$A1078&gt;TODAY()),0,IF(OR(INDEX($B1078:$D1078,J$5)="F",AND(J$6&gt;0,$A1078&lt;J$6),AND(J$7&gt;0,$A1078&gt;J$7)),0,MAX(0,ROUND((INDEX($E1078:$G1078,J$5)-SUMIFS(TF_Timer,TF_Tekniker,J$4,TF_Dato,$A1078))*2,0)/2)))</f>
        <v/>
      </c>
      <c r="K1078">
        <f>IF(OR(K$4="",$A1078&gt;TODAY()),0,IF(OR(INDEX($B1078:$D1078,K$5)="F",AND(K$6&gt;0,$A1078&lt;K$6),AND(K$7&gt;0,$A1078&gt;K$7)),0,MAX(0,ROUND((INDEX($E1078:$G1078,K$5)-SUMIFS(TF_Timer,TF_Tekniker,K$4,TF_Dato,$A1078))*2,0)/2)))</f>
        <v/>
      </c>
      <c r="L1078">
        <f>IF(OR(L$4="",$A1078&gt;TODAY()),0,IF(OR(INDEX($B1078:$D1078,L$5)="F",AND(L$6&gt;0,$A1078&lt;L$6),AND(L$7&gt;0,$A1078&gt;L$7)),0,MAX(0,ROUND((INDEX($E1078:$G1078,L$5)-SUMIFS(TF_Timer,TF_Tekniker,L$4,TF_Dato,$A1078))*2,0)/2)))</f>
        <v/>
      </c>
      <c r="M1078">
        <f>IF(OR(M$4="",$A1078&gt;TODAY()),0,IF(OR(INDEX($B1078:$D1078,M$5)="F",AND(M$6&gt;0,$A1078&lt;M$6),AND(M$7&gt;0,$A1078&gt;M$7)),0,MAX(0,ROUND((INDEX($E1078:$G1078,M$5)-SUMIFS(TF_Timer,TF_Tekniker,M$4,TF_Dato,$A1078))*2,0)/2)))</f>
        <v/>
      </c>
      <c r="N1078">
        <f>IF(OR(N$4="",$A1078&gt;TODAY()),0,IF(OR(INDEX($B1078:$D1078,N$5)="F",AND(N$6&gt;0,$A1078&lt;N$6),AND(N$7&gt;0,$A1078&gt;N$7)),0,MAX(0,ROUND((INDEX($E1078:$G1078,N$5)-SUMIFS(TF_Timer,TF_Tekniker,N$4,TF_Dato,$A1078))*2,0)/2)))</f>
        <v/>
      </c>
      <c r="O1078">
        <f>IF(OR(O$4="",$A1078&gt;TODAY()),0,IF(OR(INDEX($B1078:$D1078,O$5)="F",AND(O$6&gt;0,$A1078&lt;O$6),AND(O$7&gt;0,$A1078&gt;O$7)),0,MAX(0,ROUND((INDEX($E1078:$G1078,O$5)-SUMIFS(TF_Timer,TF_Tekniker,O$4,TF_Dato,$A1078))*2,0)/2)))</f>
        <v/>
      </c>
      <c r="P1078">
        <f>IF(OR(P$4="",$A1078&gt;TODAY()),0,IF(OR(INDEX($B1078:$D1078,P$5)="F",AND(P$6&gt;0,$A1078&lt;P$6),AND(P$7&gt;0,$A1078&gt;P$7)),0,MAX(0,ROUND((INDEX($E1078:$G1078,P$5)-SUMIFS(TF_Timer,TF_Tekniker,P$4,TF_Dato,$A1078))*2,0)/2)))</f>
        <v/>
      </c>
      <c r="Q1078">
        <f>IF(OR(Q$4="",$A1078&gt;TODAY()),0,IF(OR(INDEX($B1078:$D1078,Q$5)="F",AND(Q$6&gt;0,$A1078&lt;Q$6),AND(Q$7&gt;0,$A1078&gt;Q$7)),0,MAX(0,ROUND((INDEX($E1078:$G1078,Q$5)-SUMIFS(TF_Timer,TF_Tekniker,Q$4,TF_Dato,$A1078))*2,0)/2)))</f>
        <v/>
      </c>
      <c r="R1078">
        <f>IF(OR(R$4="",$A1078&gt;TODAY()),0,IF(OR(INDEX($B1078:$D1078,R$5)="F",AND(R$6&gt;0,$A1078&lt;R$6),AND(R$7&gt;0,$A1078&gt;R$7)),0,MAX(0,ROUND((INDEX($E1078:$G1078,R$5)-SUMIFS(TF_Timer,TF_Tekniker,R$4,TF_Dato,$A1078))*2,0)/2)))</f>
        <v/>
      </c>
      <c r="S1078">
        <f>IF(OR(S$4="",$A1078&gt;TODAY()),0,IF(OR(INDEX($B1078:$D1078,S$5)="F",AND(S$6&gt;0,$A1078&lt;S$6),AND(S$7&gt;0,$A1078&gt;S$7)),0,MAX(0,ROUND((INDEX($E1078:$G1078,S$5)-SUMIFS(TF_Timer,TF_Tekniker,S$4,TF_Dato,$A1078))*2,0)/2)))</f>
        <v/>
      </c>
      <c r="T1078">
        <f>IF(OR(T$4="",$A1078&gt;TODAY()),0,IF(OR(INDEX($B1078:$D1078,T$5)="F",AND(T$6&gt;0,$A1078&lt;T$6),AND(T$7&gt;0,$A1078&gt;T$7)),0,MAX(0,ROUND((INDEX($E1078:$G1078,T$5)-SUMIFS(TF_Timer,TF_Tekniker,T$4,TF_Dato,$A1078))*2,0)/2)))</f>
        <v/>
      </c>
      <c r="U1078">
        <f>IF(OR(U$4="",$A1078&gt;TODAY()),0,IF(OR(INDEX($B1078:$D1078,U$5)="F",AND(U$6&gt;0,$A1078&lt;U$6),AND(U$7&gt;0,$A1078&gt;U$7)),0,MAX(0,ROUND((INDEX($E1078:$G1078,U$5)-SUMIFS(TF_Timer,TF_Tekniker,U$4,TF_Dato,$A1078))*2,0)/2)))</f>
        <v/>
      </c>
      <c r="V1078">
        <f>IF(OR(V$4="",$A1078&gt;TODAY()),0,IF(OR(INDEX($B1078:$D1078,V$5)="F",AND(V$6&gt;0,$A1078&lt;V$6),AND(V$7&gt;0,$A1078&gt;V$7)),0,MAX(0,ROUND((INDEX($E1078:$G1078,V$5)-SUMIFS(TF_Timer,TF_Tekniker,V$4,TF_Dato,$A1078))*2,0)/2)))</f>
        <v/>
      </c>
      <c r="W1078">
        <f>IF(OR(W$4="",$A1078&gt;TODAY()),0,IF(OR(INDEX($B1078:$D1078,W$5)="F",AND(W$6&gt;0,$A1078&lt;W$6),AND(W$7&gt;0,$A1078&gt;W$7)),0,MAX(0,ROUND((INDEX($E1078:$G1078,W$5)-SUMIFS(TF_Timer,TF_Tekniker,W$4,TF_Dato,$A1078))*2,0)/2)))</f>
        <v/>
      </c>
      <c r="X1078">
        <f>IF(OR(X$4="",$A1078&gt;TODAY()),0,IF(OR(INDEX($B1078:$D1078,X$5)="F",AND(X$6&gt;0,$A1078&lt;X$6),AND(X$7&gt;0,$A1078&gt;X$7)),0,MAX(0,ROUND((INDEX($E1078:$G1078,X$5)-SUMIFS(TF_Timer,TF_Tekniker,X$4,TF_Dato,$A1078))*2,0)/2)))</f>
        <v/>
      </c>
      <c r="Y1078">
        <f>IF(OR(Y$4="",$A1078&gt;TODAY()),0,IF(OR(INDEX($B1078:$D1078,Y$5)="F",AND(Y$6&gt;0,$A1078&lt;Y$6),AND(Y$7&gt;0,$A1078&gt;Y$7)),0,MAX(0,ROUND((INDEX($E1078:$G1078,Y$5)-SUMIFS(TF_Timer,TF_Tekniker,Y$4,TF_Dato,$A1078))*2,0)/2)))</f>
        <v/>
      </c>
      <c r="Z1078">
        <f>IF(OR(Z$4="",$A1078&gt;TODAY()),0,IF(OR(INDEX($B1078:$D1078,Z$5)="F",AND(Z$6&gt;0,$A1078&lt;Z$6),AND(Z$7&gt;0,$A1078&gt;Z$7)),0,MAX(0,ROUND((INDEX($E1078:$G1078,Z$5)-SUMIFS(TF_Timer,TF_Tekniker,Z$4,TF_Dato,$A1078))*2,0)/2)))</f>
        <v/>
      </c>
      <c r="AA1078">
        <f>IF(OR(AA$4="",$A1078&gt;TODAY()),0,IF(OR(INDEX($B1078:$D1078,AA$5)="F",AND(AA$6&gt;0,$A1078&lt;AA$6),AND(AA$7&gt;0,$A1078&gt;AA$7)),0,MAX(0,ROUND((INDEX($E1078:$G1078,AA$5)-SUMIFS(TF_Timer,TF_Tekniker,AA$4,TF_Dato,$A1078))*2,0)/2)))</f>
        <v/>
      </c>
      <c r="AB1078">
        <f>IF(OR(AB$4="",$A1078&gt;TODAY()),0,IF(OR(INDEX($B1078:$D1078,AB$5)="F",AND(AB$6&gt;0,$A1078&lt;AB$6),AND(AB$7&gt;0,$A1078&gt;AB$7)),0,MAX(0,ROUND((INDEX($E1078:$G1078,AB$5)-SUMIFS(TF_Timer,TF_Tekniker,AB$4,TF_Dato,$A1078))*2,0)/2)))</f>
        <v/>
      </c>
      <c r="AC1078">
        <f>IF(OR(AC$4="",$A1078&gt;TODAY()),0,IF(OR(INDEX($B1078:$D1078,AC$5)="F",AND(AC$6&gt;0,$A1078&lt;AC$6),AND(AC$7&gt;0,$A1078&gt;AC$7)),0,MAX(0,ROUND((INDEX($E1078:$G1078,AC$5)-SUMIFS(TF_Timer,TF_Tekniker,AC$4,TF_Dato,$A1078))*2,0)/2)))</f>
        <v/>
      </c>
      <c r="AD1078">
        <f>IF(OR(AD$4="",$A1078&gt;TODAY()),0,IF(OR(INDEX($B1078:$D1078,AD$5)="F",AND(AD$6&gt;0,$A1078&lt;AD$6),AND(AD$7&gt;0,$A1078&gt;AD$7)),0,MAX(0,ROUND((INDEX($E1078:$G1078,AD$5)-SUMIFS(TF_Timer,TF_Tekniker,AD$4,TF_Dato,$A1078))*2,0)/2)))</f>
        <v/>
      </c>
      <c r="AE1078">
        <f>IF(OR(AE$4="",$A1078&gt;TODAY()),0,IF(OR(INDEX($B1078:$D1078,AE$5)="F",AND(AE$6&gt;0,$A1078&lt;AE$6),AND(AE$7&gt;0,$A1078&gt;AE$7)),0,MAX(0,ROUND((INDEX($E1078:$G1078,AE$5)-SUMIFS(TF_Timer,TF_Tekniker,AE$4,TF_Dato,$A1078))*2,0)/2)))</f>
        <v/>
      </c>
      <c r="AF1078">
        <f>IF(OR(AF$4="",$A1078&gt;TODAY()),0,IF(OR(INDEX($B1078:$D1078,AF$5)="F",AND(AF$6&gt;0,$A1078&lt;AF$6),AND(AF$7&gt;0,$A1078&gt;AF$7)),0,MAX(0,ROUND((INDEX($E1078:$G1078,AF$5)-SUMIFS(TF_Timer,TF_Tekniker,AF$4,TF_Dato,$A1078))*2,0)/2)))</f>
        <v/>
      </c>
      <c r="AG1078">
        <f>IF(OR(AG$4="",$A1078&gt;TODAY()),0,IF(OR(INDEX($B1078:$D1078,AG$5)="F",AND(AG$6&gt;0,$A1078&lt;AG$6),AND(AG$7&gt;0,$A1078&gt;AG$7)),0,MAX(0,ROUND((INDEX($E1078:$G1078,AG$5)-SUMIFS(TF_Timer,TF_Tekniker,AG$4,TF_Dato,$A1078))*2,0)/2)))</f>
        <v/>
      </c>
      <c r="AH1078">
        <f>IF(OR(AH$4="",$A1078&gt;TODAY()),0,IF(OR(INDEX($B1078:$D1078,AH$5)="F",AND(AH$6&gt;0,$A1078&lt;AH$6),AND(AH$7&gt;0,$A1078&gt;AH$7)),0,MAX(0,ROUND((INDEX($E1078:$G1078,AH$5)-SUMIFS(TF_Timer,TF_Tekniker,AH$4,TF_Dato,$A1078))*2,0)/2)))</f>
        <v/>
      </c>
      <c r="AI1078">
        <f>IF(OR(AI$4="",$A1078&gt;TODAY()),0,IF(OR(INDEX($B1078:$D1078,AI$5)="F",AND(AI$6&gt;0,$A1078&lt;AI$6),AND(AI$7&gt;0,$A1078&gt;AI$7)),0,MAX(0,ROUND((INDEX($E1078:$G1078,AI$5)-SUMIFS(TF_Timer,TF_Tekniker,AI$4,TF_Dato,$A1078))*2,0)/2)))</f>
        <v/>
      </c>
      <c r="AJ1078">
        <f>IF(OR(AJ$4="",$A1078&gt;TODAY()),0,IF(OR(INDEX($B1078:$D1078,AJ$5)="F",AND(AJ$6&gt;0,$A1078&lt;AJ$6),AND(AJ$7&gt;0,$A1078&gt;AJ$7)),0,MAX(0,ROUND((INDEX($E1078:$G1078,AJ$5)-SUMIFS(TF_Timer,TF_Tekniker,AJ$4,TF_Dato,$A1078))*2,0)/2)))</f>
        <v/>
      </c>
      <c r="AK1078">
        <f>IF(OR(AK$4="",$A1078&gt;TODAY()),0,IF(OR(INDEX($B1078:$D1078,AK$5)="F",AND(AK$6&gt;0,$A1078&lt;AK$6),AND(AK$7&gt;0,$A1078&gt;AK$7)),0,MAX(0,ROUND((INDEX($E1078:$G1078,AK$5)-SUMIFS(TF_Timer,TF_Tekniker,AK$4,TF_Dato,$A1078))*2,0)/2)))</f>
        <v/>
      </c>
      <c r="AL1078">
        <f>IF(OR(AL$4="",$A1078&gt;TODAY()),0,IF(OR(INDEX($B1078:$D1078,AL$5)="F",AND(AL$6&gt;0,$A1078&lt;AL$6),AND(AL$7&gt;0,$A1078&gt;AL$7)),0,MAX(0,ROUND((INDEX($E1078:$G1078,AL$5)-SUMIFS(TF_Timer,TF_Tekniker,AL$4,TF_Dato,$A1078))*2,0)/2)))</f>
        <v/>
      </c>
      <c r="AM1078">
        <f>IF(OR(AM$4="",$A1078&gt;TODAY()),0,IF(OR(INDEX($B1078:$D1078,AM$5)="F",AND(AM$6&gt;0,$A1078&lt;AM$6),AND(AM$7&gt;0,$A1078&gt;AM$7)),0,MAX(0,ROUND((INDEX($E1078:$G1078,AM$5)-SUMIFS(TF_Timer,TF_Tekniker,AM$4,TF_Dato,$A1078))*2,0)/2)))</f>
        <v/>
      </c>
      <c r="AN1078">
        <f>IF(OR(AN$4="",$A1078&gt;TODAY()),0,IF(OR(INDEX($B1078:$D1078,AN$5)="F",AND(AN$6&gt;0,$A1078&lt;AN$6),AND(AN$7&gt;0,$A1078&gt;AN$7)),0,MAX(0,ROUND((INDEX($E1078:$G1078,AN$5)-SUMIFS(TF_Timer,TF_Tekniker,AN$4,TF_Dato,$A1078))*2,0)/2)))</f>
        <v/>
      </c>
      <c r="AO1078">
        <f>IF(OR(AO$4="",$A1078&gt;TODAY()),0,IF(OR(INDEX($B1078:$D1078,AO$5)="F",AND(AO$6&gt;0,$A1078&lt;AO$6),AND(AO$7&gt;0,$A1078&gt;AO$7)),0,MAX(0,ROUND((INDEX($E1078:$G1078,AO$5)-SUMIFS(TF_Timer,TF_Tekniker,AO$4,TF_Dato,$A1078))*2,0)/2)))</f>
        <v/>
      </c>
      <c r="AP1078">
        <f>IF(OR(AP$4="",$A1078&gt;TODAY()),0,IF(OR(INDEX($B1078:$D1078,AP$5)="F",AND(AP$6&gt;0,$A1078&lt;AP$6),AND(AP$7&gt;0,$A1078&gt;AP$7)),0,MAX(0,ROUND((INDEX($E1078:$G1078,AP$5)-SUMIFS(TF_Timer,TF_Tekniker,AP$4,TF_Dato,$A1078))*2,0)/2)))</f>
        <v/>
      </c>
      <c r="AQ1078">
        <f>IF(OR(AQ$4="",$A1078&gt;TODAY()),0,IF(OR(INDEX($B1078:$D1078,AQ$5)="F",AND(AQ$6&gt;0,$A1078&lt;AQ$6),AND(AQ$7&gt;0,$A1078&gt;AQ$7)),0,MAX(0,ROUND((INDEX($E1078:$G1078,AQ$5)-SUMIFS(TF_Timer,TF_Tekniker,AQ$4,TF_Dato,$A1078))*2,0)/2)))</f>
        <v/>
      </c>
      <c r="AR1078">
        <f>IF(OR(AR$4="",$A1078&gt;TODAY()),0,IF(OR(INDEX($B1078:$D1078,AR$5)="F",AND(AR$6&gt;0,$A1078&lt;AR$6),AND(AR$7&gt;0,$A1078&gt;AR$7)),0,MAX(0,ROUND((INDEX($E1078:$G1078,AR$5)-SUMIFS(TF_Timer,TF_Tekniker,AR$4,TF_Dato,$A1078))*2,0)/2)))</f>
        <v/>
      </c>
      <c r="AS1078">
        <f>IF(OR(AS$4="",$A1078&gt;TODAY()),0,IF(OR(INDEX($B1078:$D1078,AS$5)="F",AND(AS$6&gt;0,$A1078&lt;AS$6),AND(AS$7&gt;0,$A1078&gt;AS$7)),0,MAX(0,ROUND((INDEX($E1078:$G1078,AS$5)-SUMIFS(TF_Timer,TF_Tekniker,AS$4,TF_Dato,$A1078))*2,0)/2)))</f>
        <v/>
      </c>
      <c r="AT1078">
        <f>IF(OR(AT$4="",$A1078&gt;TODAY()),0,IF(OR(INDEX($B1078:$D1078,AT$5)="F",AND(AT$6&gt;0,$A1078&lt;AT$6),AND(AT$7&gt;0,$A1078&gt;AT$7)),0,MAX(0,ROUND((INDEX($E1078:$G1078,AT$5)-SUMIFS(TF_Timer,TF_Tekniker,AT$4,TF_Dato,$A1078))*2,0)/2)))</f>
        <v/>
      </c>
      <c r="AU1078">
        <f>IF(OR(AU$4="",$A1078&gt;TODAY()),0,IF(OR(INDEX($B1078:$D1078,AU$5)="F",AND(AU$6&gt;0,$A1078&lt;AU$6),AND(AU$7&gt;0,$A1078&gt;AU$7)),0,MAX(0,ROUND((INDEX($E1078:$G1078,AU$5)-SUMIFS(TF_Timer,TF_Tekniker,AU$4,TF_Dato,$A1078))*2,0)/2)))</f>
        <v/>
      </c>
      <c r="AV1078">
        <f>IF(OR(AV$4="",$A1078&gt;TODAY()),0,IF(OR(INDEX($B1078:$D1078,AV$5)="F",AND(AV$6&gt;0,$A1078&lt;AV$6),AND(AV$7&gt;0,$A1078&gt;AV$7)),0,MAX(0,ROUND((INDEX($E1078:$G1078,AV$5)-SUMIFS(TF_Timer,TF_Tekniker,AV$4,TF_Dato,$A1078))*2,0)/2)))</f>
        <v/>
      </c>
      <c r="AW1078">
        <f>IF(OR(AW$4="",$A1078&gt;TODAY()),0,IF(OR(INDEX($B1078:$D1078,AW$5)="F",AND(AW$6&gt;0,$A1078&lt;AW$6),AND(AW$7&gt;0,$A1078&gt;AW$7)),0,MAX(0,ROUND((INDEX($E1078:$G1078,AW$5)-SUMIFS(TF_Timer,TF_Tekniker,AW$4,TF_Dato,$A1078))*2,0)/2)))</f>
        <v/>
      </c>
      <c r="AX1078">
        <f>IF(OR(AX$4="",$A1078&gt;TODAY()),0,IF(OR(INDEX($B1078:$D1078,AX$5)="F",AND(AX$6&gt;0,$A1078&lt;AX$6),AND(AX$7&gt;0,$A1078&gt;AX$7)),0,MAX(0,ROUND((INDEX($E1078:$G1078,AX$5)-SUMIFS(TF_Timer,TF_Tekniker,AX$4,TF_Dato,$A1078))*2,0)/2)))</f>
        <v/>
      </c>
      <c r="AY1078">
        <f>IF(OR(AY$4="",$A1078&gt;TODAY()),0,IF(OR(INDEX($B1078:$D1078,AY$5)="F",AND(AY$6&gt;0,$A1078&lt;AY$6),AND(AY$7&gt;0,$A1078&gt;AY$7)),0,MAX(0,ROUND((INDEX($E1078:$G1078,AY$5)-SUMIFS(TF_Timer,TF_Tekniker,AY$4,TF_Dato,$A1078))*2,0)/2)))</f>
        <v/>
      </c>
      <c r="AZ1078">
        <f>IF(OR(AZ$4="",$A1078&gt;TODAY()),0,IF(OR(INDEX($B1078:$D1078,AZ$5)="F",AND(AZ$6&gt;0,$A1078&lt;AZ$6),AND(AZ$7&gt;0,$A1078&gt;AZ$7)),0,MAX(0,ROUND((INDEX($E1078:$G1078,AZ$5)-SUMIFS(TF_Timer,TF_Tekniker,AZ$4,TF_Dato,$A1078))*2,0)/2)))</f>
        <v/>
      </c>
      <c r="BA1078">
        <f>IF(OR(BA$4="",$A1078&gt;TODAY()),0,IF(OR(INDEX($B1078:$D1078,BA$5)="F",AND(BA$6&gt;0,$A1078&lt;BA$6),AND(BA$7&gt;0,$A1078&gt;BA$7)),0,MAX(0,ROUND((INDEX($E1078:$G1078,BA$5)-SUMIFS(TF_Timer,TF_Tekniker,BA$4,TF_Dato,$A1078))*2,0)/2)))</f>
        <v/>
      </c>
      <c r="BB1078">
        <f>IF(OR(BB$4="",$A1078&gt;TODAY()),0,IF(OR(INDEX($B1078:$D1078,BB$5)="F",AND(BB$6&gt;0,$A1078&lt;BB$6),AND(BB$7&gt;0,$A1078&gt;BB$7)),0,MAX(0,ROUND((INDEX($E1078:$G1078,BB$5)-SUMIFS(TF_Timer,TF_Tekniker,BB$4,TF_Dato,$A1078))*2,0)/2)))</f>
        <v/>
      </c>
      <c r="BC1078">
        <f>IF(OR(BC$4="",$A1078&gt;TODAY()),0,IF(OR(INDEX($B1078:$D1078,BC$5)="F",AND(BC$6&gt;0,$A1078&lt;BC$6),AND(BC$7&gt;0,$A1078&gt;BC$7)),0,MAX(0,ROUND((INDEX($E1078:$G1078,BC$5)-SUMIFS(TF_Timer,TF_Tekniker,BC$4,TF_Dato,$A1078))*2,0)/2)))</f>
        <v/>
      </c>
      <c r="BD1078">
        <f>IF(OR(BD$4="",$A1078&gt;TODAY()),0,IF(OR(INDEX($B1078:$D1078,BD$5)="F",AND(BD$6&gt;0,$A1078&lt;BD$6),AND(BD$7&gt;0,$A1078&gt;BD$7)),0,MAX(0,ROUND((INDEX($E1078:$G1078,BD$5)-SUMIFS(TF_Timer,TF_Tekniker,BD$4,TF_Dato,$A1078))*2,0)/2)))</f>
        <v/>
      </c>
      <c r="BE1078">
        <f>IF(OR(BE$4="",$A1078&gt;TODAY()),0,IF(OR(INDEX($B1078:$D1078,BE$5)="F",AND(BE$6&gt;0,$A1078&lt;BE$6),AND(BE$7&gt;0,$A1078&gt;BE$7)),0,MAX(0,ROUND((INDEX($E1078:$G1078,BE$5)-SUMIFS(TF_Timer,TF_Tekniker,BE$4,TF_Dato,$A1078))*2,0)/2)))</f>
        <v/>
      </c>
      <c r="BF1078">
        <f>IF(OR(BF$4="",$A1078&gt;TODAY()),0,IF(OR(INDEX($B1078:$D1078,BF$5)="F",AND(BF$6&gt;0,$A1078&lt;BF$6),AND(BF$7&gt;0,$A1078&gt;BF$7)),0,MAX(0,ROUND((INDEX($E1078:$G1078,BF$5)-SUMIFS(TF_Timer,TF_Tekniker,BF$4,TF_Dato,$A1078))*2,0)/2)))</f>
        <v/>
      </c>
      <c r="BG1078">
        <f>IF(OR(BG$4="",$A1078&gt;TODAY()),0,IF(OR(INDEX($B1078:$D1078,BG$5)="F",AND(BG$6&gt;0,$A1078&lt;BG$6),AND(BG$7&gt;0,$A1078&gt;BG$7)),0,MAX(0,ROUND((INDEX($E1078:$G1078,BG$5)-SUMIFS(TF_Timer,TF_Tekniker,BG$4,TF_Dato,$A1078))*2,0)/2)))</f>
        <v/>
      </c>
      <c r="BH1078">
        <f>IF(OR(BH$4="",$A1078&gt;TODAY()),0,IF(OR(INDEX($B1078:$D1078,BH$5)="F",AND(BH$6&gt;0,$A1078&lt;BH$6),AND(BH$7&gt;0,$A1078&gt;BH$7)),0,MAX(0,ROUND((INDEX($E1078:$G1078,BH$5)-SUMIFS(TF_Timer,TF_Tekniker,BH$4,TF_Dato,$A1078))*2,0)/2)))</f>
        <v/>
      </c>
      <c r="BI1078">
        <f>IF(OR(BI$4="",$A1078&gt;TODAY()),0,IF(OR(INDEX($B1078:$D1078,BI$5)="F",AND(BI$6&gt;0,$A1078&lt;BI$6),AND(BI$7&gt;0,$A1078&gt;BI$7)),0,MAX(0,ROUND((INDEX($E1078:$G1078,BI$5)-SUMIFS(TF_Timer,TF_Tekniker,BI$4,TF_Dato,$A1078))*2,0)/2)))</f>
        <v/>
      </c>
    </row>
    <row r="1079">
      <c r="A1079" s="64">
        <f>A1078+1</f>
        <v/>
      </c>
      <c r="B1079">
        <f>IF(MOD($A1079-INDEX(SkiftStart,1),Syklus)&lt;DagK,"K",IF(MOD($A1079-INDEX(SkiftStart,1),Syklus)&lt;DagK+DagH,"H",IF(MOD($A1079-INDEX(SkiftStart,1),Syklus)&lt;DagK+DagH+DagD,"D","F")))</f>
        <v/>
      </c>
      <c r="C1079">
        <f>IF(MOD($A1079-INDEX(SkiftStart,2),Syklus)&lt;DagK,"K",IF(MOD($A1079-INDEX(SkiftStart,2),Syklus)&lt;DagK+DagH,"H",IF(MOD($A1079-INDEX(SkiftStart,2),Syklus)&lt;DagK+DagH+DagD,"D","F")))</f>
        <v/>
      </c>
      <c r="D1079">
        <f>IF(MOD($A1079-INDEX(SkiftStart,3),Syklus)&lt;DagK,"K",IF(MOD($A1079-INDEX(SkiftStart,3),Syklus)&lt;DagK+DagH,"H",IF(MOD($A1079-INDEX(SkiftStart,3),Syklus)&lt;DagK+DagH+DagD,"D","F")))</f>
        <v/>
      </c>
      <c r="E1079">
        <f>IF(B1079="F",0,IF(WEEKDAY($A1079,2)=5,INDEX(TimerFr,MATCH(B1079,FaseKode,0)),INDEX(TimerMT,MATCH(B1079,FaseKode,0))))</f>
        <v/>
      </c>
      <c r="F1079">
        <f>IF(C1079="F",0,IF(WEEKDAY($A1079,2)=5,INDEX(TimerFr,MATCH(C1079,FaseKode,0)),INDEX(TimerMT,MATCH(C1079,FaseKode,0))))</f>
        <v/>
      </c>
      <c r="G1079">
        <f>IF(D1079="F",0,IF(WEEKDAY($A1079,2)=5,INDEX(TimerFr,MATCH(D1079,FaseKode,0)),INDEX(TimerMT,MATCH(D1079,FaseKode,0))))</f>
        <v/>
      </c>
      <c r="H1079">
        <f>IF(OR(H$4="",$A1079&gt;TODAY()),0,IF(OR(INDEX($B1079:$D1079,H$5)="F",AND(H$6&gt;0,$A1079&lt;H$6),AND(H$7&gt;0,$A1079&gt;H$7)),0,MAX(0,ROUND((INDEX($E1079:$G1079,H$5)-SUMIFS(TF_Timer,TF_Tekniker,H$4,TF_Dato,$A1079))*2,0)/2)))</f>
        <v/>
      </c>
      <c r="I1079">
        <f>IF(OR(I$4="",$A1079&gt;TODAY()),0,IF(OR(INDEX($B1079:$D1079,I$5)="F",AND(I$6&gt;0,$A1079&lt;I$6),AND(I$7&gt;0,$A1079&gt;I$7)),0,MAX(0,ROUND((INDEX($E1079:$G1079,I$5)-SUMIFS(TF_Timer,TF_Tekniker,I$4,TF_Dato,$A1079))*2,0)/2)))</f>
        <v/>
      </c>
      <c r="J1079">
        <f>IF(OR(J$4="",$A1079&gt;TODAY()),0,IF(OR(INDEX($B1079:$D1079,J$5)="F",AND(J$6&gt;0,$A1079&lt;J$6),AND(J$7&gt;0,$A1079&gt;J$7)),0,MAX(0,ROUND((INDEX($E1079:$G1079,J$5)-SUMIFS(TF_Timer,TF_Tekniker,J$4,TF_Dato,$A1079))*2,0)/2)))</f>
        <v/>
      </c>
      <c r="K1079">
        <f>IF(OR(K$4="",$A1079&gt;TODAY()),0,IF(OR(INDEX($B1079:$D1079,K$5)="F",AND(K$6&gt;0,$A1079&lt;K$6),AND(K$7&gt;0,$A1079&gt;K$7)),0,MAX(0,ROUND((INDEX($E1079:$G1079,K$5)-SUMIFS(TF_Timer,TF_Tekniker,K$4,TF_Dato,$A1079))*2,0)/2)))</f>
        <v/>
      </c>
      <c r="L1079">
        <f>IF(OR(L$4="",$A1079&gt;TODAY()),0,IF(OR(INDEX($B1079:$D1079,L$5)="F",AND(L$6&gt;0,$A1079&lt;L$6),AND(L$7&gt;0,$A1079&gt;L$7)),0,MAX(0,ROUND((INDEX($E1079:$G1079,L$5)-SUMIFS(TF_Timer,TF_Tekniker,L$4,TF_Dato,$A1079))*2,0)/2)))</f>
        <v/>
      </c>
      <c r="M1079">
        <f>IF(OR(M$4="",$A1079&gt;TODAY()),0,IF(OR(INDEX($B1079:$D1079,M$5)="F",AND(M$6&gt;0,$A1079&lt;M$6),AND(M$7&gt;0,$A1079&gt;M$7)),0,MAX(0,ROUND((INDEX($E1079:$G1079,M$5)-SUMIFS(TF_Timer,TF_Tekniker,M$4,TF_Dato,$A1079))*2,0)/2)))</f>
        <v/>
      </c>
      <c r="N1079">
        <f>IF(OR(N$4="",$A1079&gt;TODAY()),0,IF(OR(INDEX($B1079:$D1079,N$5)="F",AND(N$6&gt;0,$A1079&lt;N$6),AND(N$7&gt;0,$A1079&gt;N$7)),0,MAX(0,ROUND((INDEX($E1079:$G1079,N$5)-SUMIFS(TF_Timer,TF_Tekniker,N$4,TF_Dato,$A1079))*2,0)/2)))</f>
        <v/>
      </c>
      <c r="O1079">
        <f>IF(OR(O$4="",$A1079&gt;TODAY()),0,IF(OR(INDEX($B1079:$D1079,O$5)="F",AND(O$6&gt;0,$A1079&lt;O$6),AND(O$7&gt;0,$A1079&gt;O$7)),0,MAX(0,ROUND((INDEX($E1079:$G1079,O$5)-SUMIFS(TF_Timer,TF_Tekniker,O$4,TF_Dato,$A1079))*2,0)/2)))</f>
        <v/>
      </c>
      <c r="P1079">
        <f>IF(OR(P$4="",$A1079&gt;TODAY()),0,IF(OR(INDEX($B1079:$D1079,P$5)="F",AND(P$6&gt;0,$A1079&lt;P$6),AND(P$7&gt;0,$A1079&gt;P$7)),0,MAX(0,ROUND((INDEX($E1079:$G1079,P$5)-SUMIFS(TF_Timer,TF_Tekniker,P$4,TF_Dato,$A1079))*2,0)/2)))</f>
        <v/>
      </c>
      <c r="Q1079">
        <f>IF(OR(Q$4="",$A1079&gt;TODAY()),0,IF(OR(INDEX($B1079:$D1079,Q$5)="F",AND(Q$6&gt;0,$A1079&lt;Q$6),AND(Q$7&gt;0,$A1079&gt;Q$7)),0,MAX(0,ROUND((INDEX($E1079:$G1079,Q$5)-SUMIFS(TF_Timer,TF_Tekniker,Q$4,TF_Dato,$A1079))*2,0)/2)))</f>
        <v/>
      </c>
      <c r="R1079">
        <f>IF(OR(R$4="",$A1079&gt;TODAY()),0,IF(OR(INDEX($B1079:$D1079,R$5)="F",AND(R$6&gt;0,$A1079&lt;R$6),AND(R$7&gt;0,$A1079&gt;R$7)),0,MAX(0,ROUND((INDEX($E1079:$G1079,R$5)-SUMIFS(TF_Timer,TF_Tekniker,R$4,TF_Dato,$A1079))*2,0)/2)))</f>
        <v/>
      </c>
      <c r="S1079">
        <f>IF(OR(S$4="",$A1079&gt;TODAY()),0,IF(OR(INDEX($B1079:$D1079,S$5)="F",AND(S$6&gt;0,$A1079&lt;S$6),AND(S$7&gt;0,$A1079&gt;S$7)),0,MAX(0,ROUND((INDEX($E1079:$G1079,S$5)-SUMIFS(TF_Timer,TF_Tekniker,S$4,TF_Dato,$A1079))*2,0)/2)))</f>
        <v/>
      </c>
      <c r="T1079">
        <f>IF(OR(T$4="",$A1079&gt;TODAY()),0,IF(OR(INDEX($B1079:$D1079,T$5)="F",AND(T$6&gt;0,$A1079&lt;T$6),AND(T$7&gt;0,$A1079&gt;T$7)),0,MAX(0,ROUND((INDEX($E1079:$G1079,T$5)-SUMIFS(TF_Timer,TF_Tekniker,T$4,TF_Dato,$A1079))*2,0)/2)))</f>
        <v/>
      </c>
      <c r="U1079">
        <f>IF(OR(U$4="",$A1079&gt;TODAY()),0,IF(OR(INDEX($B1079:$D1079,U$5)="F",AND(U$6&gt;0,$A1079&lt;U$6),AND(U$7&gt;0,$A1079&gt;U$7)),0,MAX(0,ROUND((INDEX($E1079:$G1079,U$5)-SUMIFS(TF_Timer,TF_Tekniker,U$4,TF_Dato,$A1079))*2,0)/2)))</f>
        <v/>
      </c>
      <c r="V1079">
        <f>IF(OR(V$4="",$A1079&gt;TODAY()),0,IF(OR(INDEX($B1079:$D1079,V$5)="F",AND(V$6&gt;0,$A1079&lt;V$6),AND(V$7&gt;0,$A1079&gt;V$7)),0,MAX(0,ROUND((INDEX($E1079:$G1079,V$5)-SUMIFS(TF_Timer,TF_Tekniker,V$4,TF_Dato,$A1079))*2,0)/2)))</f>
        <v/>
      </c>
      <c r="W1079">
        <f>IF(OR(W$4="",$A1079&gt;TODAY()),0,IF(OR(INDEX($B1079:$D1079,W$5)="F",AND(W$6&gt;0,$A1079&lt;W$6),AND(W$7&gt;0,$A1079&gt;W$7)),0,MAX(0,ROUND((INDEX($E1079:$G1079,W$5)-SUMIFS(TF_Timer,TF_Tekniker,W$4,TF_Dato,$A1079))*2,0)/2)))</f>
        <v/>
      </c>
      <c r="X1079">
        <f>IF(OR(X$4="",$A1079&gt;TODAY()),0,IF(OR(INDEX($B1079:$D1079,X$5)="F",AND(X$6&gt;0,$A1079&lt;X$6),AND(X$7&gt;0,$A1079&gt;X$7)),0,MAX(0,ROUND((INDEX($E1079:$G1079,X$5)-SUMIFS(TF_Timer,TF_Tekniker,X$4,TF_Dato,$A1079))*2,0)/2)))</f>
        <v/>
      </c>
      <c r="Y1079">
        <f>IF(OR(Y$4="",$A1079&gt;TODAY()),0,IF(OR(INDEX($B1079:$D1079,Y$5)="F",AND(Y$6&gt;0,$A1079&lt;Y$6),AND(Y$7&gt;0,$A1079&gt;Y$7)),0,MAX(0,ROUND((INDEX($E1079:$G1079,Y$5)-SUMIFS(TF_Timer,TF_Tekniker,Y$4,TF_Dato,$A1079))*2,0)/2)))</f>
        <v/>
      </c>
      <c r="Z1079">
        <f>IF(OR(Z$4="",$A1079&gt;TODAY()),0,IF(OR(INDEX($B1079:$D1079,Z$5)="F",AND(Z$6&gt;0,$A1079&lt;Z$6),AND(Z$7&gt;0,$A1079&gt;Z$7)),0,MAX(0,ROUND((INDEX($E1079:$G1079,Z$5)-SUMIFS(TF_Timer,TF_Tekniker,Z$4,TF_Dato,$A1079))*2,0)/2)))</f>
        <v/>
      </c>
      <c r="AA1079">
        <f>IF(OR(AA$4="",$A1079&gt;TODAY()),0,IF(OR(INDEX($B1079:$D1079,AA$5)="F",AND(AA$6&gt;0,$A1079&lt;AA$6),AND(AA$7&gt;0,$A1079&gt;AA$7)),0,MAX(0,ROUND((INDEX($E1079:$G1079,AA$5)-SUMIFS(TF_Timer,TF_Tekniker,AA$4,TF_Dato,$A1079))*2,0)/2)))</f>
        <v/>
      </c>
      <c r="AB1079">
        <f>IF(OR(AB$4="",$A1079&gt;TODAY()),0,IF(OR(INDEX($B1079:$D1079,AB$5)="F",AND(AB$6&gt;0,$A1079&lt;AB$6),AND(AB$7&gt;0,$A1079&gt;AB$7)),0,MAX(0,ROUND((INDEX($E1079:$G1079,AB$5)-SUMIFS(TF_Timer,TF_Tekniker,AB$4,TF_Dato,$A1079))*2,0)/2)))</f>
        <v/>
      </c>
      <c r="AC1079">
        <f>IF(OR(AC$4="",$A1079&gt;TODAY()),0,IF(OR(INDEX($B1079:$D1079,AC$5)="F",AND(AC$6&gt;0,$A1079&lt;AC$6),AND(AC$7&gt;0,$A1079&gt;AC$7)),0,MAX(0,ROUND((INDEX($E1079:$G1079,AC$5)-SUMIFS(TF_Timer,TF_Tekniker,AC$4,TF_Dato,$A1079))*2,0)/2)))</f>
        <v/>
      </c>
      <c r="AD1079">
        <f>IF(OR(AD$4="",$A1079&gt;TODAY()),0,IF(OR(INDEX($B1079:$D1079,AD$5)="F",AND(AD$6&gt;0,$A1079&lt;AD$6),AND(AD$7&gt;0,$A1079&gt;AD$7)),0,MAX(0,ROUND((INDEX($E1079:$G1079,AD$5)-SUMIFS(TF_Timer,TF_Tekniker,AD$4,TF_Dato,$A1079))*2,0)/2)))</f>
        <v/>
      </c>
      <c r="AE1079">
        <f>IF(OR(AE$4="",$A1079&gt;TODAY()),0,IF(OR(INDEX($B1079:$D1079,AE$5)="F",AND(AE$6&gt;0,$A1079&lt;AE$6),AND(AE$7&gt;0,$A1079&gt;AE$7)),0,MAX(0,ROUND((INDEX($E1079:$G1079,AE$5)-SUMIFS(TF_Timer,TF_Tekniker,AE$4,TF_Dato,$A1079))*2,0)/2)))</f>
        <v/>
      </c>
      <c r="AF1079">
        <f>IF(OR(AF$4="",$A1079&gt;TODAY()),0,IF(OR(INDEX($B1079:$D1079,AF$5)="F",AND(AF$6&gt;0,$A1079&lt;AF$6),AND(AF$7&gt;0,$A1079&gt;AF$7)),0,MAX(0,ROUND((INDEX($E1079:$G1079,AF$5)-SUMIFS(TF_Timer,TF_Tekniker,AF$4,TF_Dato,$A1079))*2,0)/2)))</f>
        <v/>
      </c>
      <c r="AG1079">
        <f>IF(OR(AG$4="",$A1079&gt;TODAY()),0,IF(OR(INDEX($B1079:$D1079,AG$5)="F",AND(AG$6&gt;0,$A1079&lt;AG$6),AND(AG$7&gt;0,$A1079&gt;AG$7)),0,MAX(0,ROUND((INDEX($E1079:$G1079,AG$5)-SUMIFS(TF_Timer,TF_Tekniker,AG$4,TF_Dato,$A1079))*2,0)/2)))</f>
        <v/>
      </c>
      <c r="AH1079">
        <f>IF(OR(AH$4="",$A1079&gt;TODAY()),0,IF(OR(INDEX($B1079:$D1079,AH$5)="F",AND(AH$6&gt;0,$A1079&lt;AH$6),AND(AH$7&gt;0,$A1079&gt;AH$7)),0,MAX(0,ROUND((INDEX($E1079:$G1079,AH$5)-SUMIFS(TF_Timer,TF_Tekniker,AH$4,TF_Dato,$A1079))*2,0)/2)))</f>
        <v/>
      </c>
      <c r="AI1079">
        <f>IF(OR(AI$4="",$A1079&gt;TODAY()),0,IF(OR(INDEX($B1079:$D1079,AI$5)="F",AND(AI$6&gt;0,$A1079&lt;AI$6),AND(AI$7&gt;0,$A1079&gt;AI$7)),0,MAX(0,ROUND((INDEX($E1079:$G1079,AI$5)-SUMIFS(TF_Timer,TF_Tekniker,AI$4,TF_Dato,$A1079))*2,0)/2)))</f>
        <v/>
      </c>
      <c r="AJ1079">
        <f>IF(OR(AJ$4="",$A1079&gt;TODAY()),0,IF(OR(INDEX($B1079:$D1079,AJ$5)="F",AND(AJ$6&gt;0,$A1079&lt;AJ$6),AND(AJ$7&gt;0,$A1079&gt;AJ$7)),0,MAX(0,ROUND((INDEX($E1079:$G1079,AJ$5)-SUMIFS(TF_Timer,TF_Tekniker,AJ$4,TF_Dato,$A1079))*2,0)/2)))</f>
        <v/>
      </c>
      <c r="AK1079">
        <f>IF(OR(AK$4="",$A1079&gt;TODAY()),0,IF(OR(INDEX($B1079:$D1079,AK$5)="F",AND(AK$6&gt;0,$A1079&lt;AK$6),AND(AK$7&gt;0,$A1079&gt;AK$7)),0,MAX(0,ROUND((INDEX($E1079:$G1079,AK$5)-SUMIFS(TF_Timer,TF_Tekniker,AK$4,TF_Dato,$A1079))*2,0)/2)))</f>
        <v/>
      </c>
      <c r="AL1079">
        <f>IF(OR(AL$4="",$A1079&gt;TODAY()),0,IF(OR(INDEX($B1079:$D1079,AL$5)="F",AND(AL$6&gt;0,$A1079&lt;AL$6),AND(AL$7&gt;0,$A1079&gt;AL$7)),0,MAX(0,ROUND((INDEX($E1079:$G1079,AL$5)-SUMIFS(TF_Timer,TF_Tekniker,AL$4,TF_Dato,$A1079))*2,0)/2)))</f>
        <v/>
      </c>
      <c r="AM1079">
        <f>IF(OR(AM$4="",$A1079&gt;TODAY()),0,IF(OR(INDEX($B1079:$D1079,AM$5)="F",AND(AM$6&gt;0,$A1079&lt;AM$6),AND(AM$7&gt;0,$A1079&gt;AM$7)),0,MAX(0,ROUND((INDEX($E1079:$G1079,AM$5)-SUMIFS(TF_Timer,TF_Tekniker,AM$4,TF_Dato,$A1079))*2,0)/2)))</f>
        <v/>
      </c>
      <c r="AN1079">
        <f>IF(OR(AN$4="",$A1079&gt;TODAY()),0,IF(OR(INDEX($B1079:$D1079,AN$5)="F",AND(AN$6&gt;0,$A1079&lt;AN$6),AND(AN$7&gt;0,$A1079&gt;AN$7)),0,MAX(0,ROUND((INDEX($E1079:$G1079,AN$5)-SUMIFS(TF_Timer,TF_Tekniker,AN$4,TF_Dato,$A1079))*2,0)/2)))</f>
        <v/>
      </c>
      <c r="AO1079">
        <f>IF(OR(AO$4="",$A1079&gt;TODAY()),0,IF(OR(INDEX($B1079:$D1079,AO$5)="F",AND(AO$6&gt;0,$A1079&lt;AO$6),AND(AO$7&gt;0,$A1079&gt;AO$7)),0,MAX(0,ROUND((INDEX($E1079:$G1079,AO$5)-SUMIFS(TF_Timer,TF_Tekniker,AO$4,TF_Dato,$A1079))*2,0)/2)))</f>
        <v/>
      </c>
      <c r="AP1079">
        <f>IF(OR(AP$4="",$A1079&gt;TODAY()),0,IF(OR(INDEX($B1079:$D1079,AP$5)="F",AND(AP$6&gt;0,$A1079&lt;AP$6),AND(AP$7&gt;0,$A1079&gt;AP$7)),0,MAX(0,ROUND((INDEX($E1079:$G1079,AP$5)-SUMIFS(TF_Timer,TF_Tekniker,AP$4,TF_Dato,$A1079))*2,0)/2)))</f>
        <v/>
      </c>
      <c r="AQ1079">
        <f>IF(OR(AQ$4="",$A1079&gt;TODAY()),0,IF(OR(INDEX($B1079:$D1079,AQ$5)="F",AND(AQ$6&gt;0,$A1079&lt;AQ$6),AND(AQ$7&gt;0,$A1079&gt;AQ$7)),0,MAX(0,ROUND((INDEX($E1079:$G1079,AQ$5)-SUMIFS(TF_Timer,TF_Tekniker,AQ$4,TF_Dato,$A1079))*2,0)/2)))</f>
        <v/>
      </c>
      <c r="AR1079">
        <f>IF(OR(AR$4="",$A1079&gt;TODAY()),0,IF(OR(INDEX($B1079:$D1079,AR$5)="F",AND(AR$6&gt;0,$A1079&lt;AR$6),AND(AR$7&gt;0,$A1079&gt;AR$7)),0,MAX(0,ROUND((INDEX($E1079:$G1079,AR$5)-SUMIFS(TF_Timer,TF_Tekniker,AR$4,TF_Dato,$A1079))*2,0)/2)))</f>
        <v/>
      </c>
      <c r="AS1079">
        <f>IF(OR(AS$4="",$A1079&gt;TODAY()),0,IF(OR(INDEX($B1079:$D1079,AS$5)="F",AND(AS$6&gt;0,$A1079&lt;AS$6),AND(AS$7&gt;0,$A1079&gt;AS$7)),0,MAX(0,ROUND((INDEX($E1079:$G1079,AS$5)-SUMIFS(TF_Timer,TF_Tekniker,AS$4,TF_Dato,$A1079))*2,0)/2)))</f>
        <v/>
      </c>
      <c r="AT1079">
        <f>IF(OR(AT$4="",$A1079&gt;TODAY()),0,IF(OR(INDEX($B1079:$D1079,AT$5)="F",AND(AT$6&gt;0,$A1079&lt;AT$6),AND(AT$7&gt;0,$A1079&gt;AT$7)),0,MAX(0,ROUND((INDEX($E1079:$G1079,AT$5)-SUMIFS(TF_Timer,TF_Tekniker,AT$4,TF_Dato,$A1079))*2,0)/2)))</f>
        <v/>
      </c>
      <c r="AU1079">
        <f>IF(OR(AU$4="",$A1079&gt;TODAY()),0,IF(OR(INDEX($B1079:$D1079,AU$5)="F",AND(AU$6&gt;0,$A1079&lt;AU$6),AND(AU$7&gt;0,$A1079&gt;AU$7)),0,MAX(0,ROUND((INDEX($E1079:$G1079,AU$5)-SUMIFS(TF_Timer,TF_Tekniker,AU$4,TF_Dato,$A1079))*2,0)/2)))</f>
        <v/>
      </c>
      <c r="AV1079">
        <f>IF(OR(AV$4="",$A1079&gt;TODAY()),0,IF(OR(INDEX($B1079:$D1079,AV$5)="F",AND(AV$6&gt;0,$A1079&lt;AV$6),AND(AV$7&gt;0,$A1079&gt;AV$7)),0,MAX(0,ROUND((INDEX($E1079:$G1079,AV$5)-SUMIFS(TF_Timer,TF_Tekniker,AV$4,TF_Dato,$A1079))*2,0)/2)))</f>
        <v/>
      </c>
      <c r="AW1079">
        <f>IF(OR(AW$4="",$A1079&gt;TODAY()),0,IF(OR(INDEX($B1079:$D1079,AW$5)="F",AND(AW$6&gt;0,$A1079&lt;AW$6),AND(AW$7&gt;0,$A1079&gt;AW$7)),0,MAX(0,ROUND((INDEX($E1079:$G1079,AW$5)-SUMIFS(TF_Timer,TF_Tekniker,AW$4,TF_Dato,$A1079))*2,0)/2)))</f>
        <v/>
      </c>
      <c r="AX1079">
        <f>IF(OR(AX$4="",$A1079&gt;TODAY()),0,IF(OR(INDEX($B1079:$D1079,AX$5)="F",AND(AX$6&gt;0,$A1079&lt;AX$6),AND(AX$7&gt;0,$A1079&gt;AX$7)),0,MAX(0,ROUND((INDEX($E1079:$G1079,AX$5)-SUMIFS(TF_Timer,TF_Tekniker,AX$4,TF_Dato,$A1079))*2,0)/2)))</f>
        <v/>
      </c>
      <c r="AY1079">
        <f>IF(OR(AY$4="",$A1079&gt;TODAY()),0,IF(OR(INDEX($B1079:$D1079,AY$5)="F",AND(AY$6&gt;0,$A1079&lt;AY$6),AND(AY$7&gt;0,$A1079&gt;AY$7)),0,MAX(0,ROUND((INDEX($E1079:$G1079,AY$5)-SUMIFS(TF_Timer,TF_Tekniker,AY$4,TF_Dato,$A1079))*2,0)/2)))</f>
        <v/>
      </c>
      <c r="AZ1079">
        <f>IF(OR(AZ$4="",$A1079&gt;TODAY()),0,IF(OR(INDEX($B1079:$D1079,AZ$5)="F",AND(AZ$6&gt;0,$A1079&lt;AZ$6),AND(AZ$7&gt;0,$A1079&gt;AZ$7)),0,MAX(0,ROUND((INDEX($E1079:$G1079,AZ$5)-SUMIFS(TF_Timer,TF_Tekniker,AZ$4,TF_Dato,$A1079))*2,0)/2)))</f>
        <v/>
      </c>
      <c r="BA1079">
        <f>IF(OR(BA$4="",$A1079&gt;TODAY()),0,IF(OR(INDEX($B1079:$D1079,BA$5)="F",AND(BA$6&gt;0,$A1079&lt;BA$6),AND(BA$7&gt;0,$A1079&gt;BA$7)),0,MAX(0,ROUND((INDEX($E1079:$G1079,BA$5)-SUMIFS(TF_Timer,TF_Tekniker,BA$4,TF_Dato,$A1079))*2,0)/2)))</f>
        <v/>
      </c>
      <c r="BB1079">
        <f>IF(OR(BB$4="",$A1079&gt;TODAY()),0,IF(OR(INDEX($B1079:$D1079,BB$5)="F",AND(BB$6&gt;0,$A1079&lt;BB$6),AND(BB$7&gt;0,$A1079&gt;BB$7)),0,MAX(0,ROUND((INDEX($E1079:$G1079,BB$5)-SUMIFS(TF_Timer,TF_Tekniker,BB$4,TF_Dato,$A1079))*2,0)/2)))</f>
        <v/>
      </c>
      <c r="BC1079">
        <f>IF(OR(BC$4="",$A1079&gt;TODAY()),0,IF(OR(INDEX($B1079:$D1079,BC$5)="F",AND(BC$6&gt;0,$A1079&lt;BC$6),AND(BC$7&gt;0,$A1079&gt;BC$7)),0,MAX(0,ROUND((INDEX($E1079:$G1079,BC$5)-SUMIFS(TF_Timer,TF_Tekniker,BC$4,TF_Dato,$A1079))*2,0)/2)))</f>
        <v/>
      </c>
      <c r="BD1079">
        <f>IF(OR(BD$4="",$A1079&gt;TODAY()),0,IF(OR(INDEX($B1079:$D1079,BD$5)="F",AND(BD$6&gt;0,$A1079&lt;BD$6),AND(BD$7&gt;0,$A1079&gt;BD$7)),0,MAX(0,ROUND((INDEX($E1079:$G1079,BD$5)-SUMIFS(TF_Timer,TF_Tekniker,BD$4,TF_Dato,$A1079))*2,0)/2)))</f>
        <v/>
      </c>
      <c r="BE1079">
        <f>IF(OR(BE$4="",$A1079&gt;TODAY()),0,IF(OR(INDEX($B1079:$D1079,BE$5)="F",AND(BE$6&gt;0,$A1079&lt;BE$6),AND(BE$7&gt;0,$A1079&gt;BE$7)),0,MAX(0,ROUND((INDEX($E1079:$G1079,BE$5)-SUMIFS(TF_Timer,TF_Tekniker,BE$4,TF_Dato,$A1079))*2,0)/2)))</f>
        <v/>
      </c>
      <c r="BF1079">
        <f>IF(OR(BF$4="",$A1079&gt;TODAY()),0,IF(OR(INDEX($B1079:$D1079,BF$5)="F",AND(BF$6&gt;0,$A1079&lt;BF$6),AND(BF$7&gt;0,$A1079&gt;BF$7)),0,MAX(0,ROUND((INDEX($E1079:$G1079,BF$5)-SUMIFS(TF_Timer,TF_Tekniker,BF$4,TF_Dato,$A1079))*2,0)/2)))</f>
        <v/>
      </c>
      <c r="BG1079">
        <f>IF(OR(BG$4="",$A1079&gt;TODAY()),0,IF(OR(INDEX($B1079:$D1079,BG$5)="F",AND(BG$6&gt;0,$A1079&lt;BG$6),AND(BG$7&gt;0,$A1079&gt;BG$7)),0,MAX(0,ROUND((INDEX($E1079:$G1079,BG$5)-SUMIFS(TF_Timer,TF_Tekniker,BG$4,TF_Dato,$A1079))*2,0)/2)))</f>
        <v/>
      </c>
      <c r="BH1079">
        <f>IF(OR(BH$4="",$A1079&gt;TODAY()),0,IF(OR(INDEX($B1079:$D1079,BH$5)="F",AND(BH$6&gt;0,$A1079&lt;BH$6),AND(BH$7&gt;0,$A1079&gt;BH$7)),0,MAX(0,ROUND((INDEX($E1079:$G1079,BH$5)-SUMIFS(TF_Timer,TF_Tekniker,BH$4,TF_Dato,$A1079))*2,0)/2)))</f>
        <v/>
      </c>
      <c r="BI1079">
        <f>IF(OR(BI$4="",$A1079&gt;TODAY()),0,IF(OR(INDEX($B1079:$D1079,BI$5)="F",AND(BI$6&gt;0,$A1079&lt;BI$6),AND(BI$7&gt;0,$A1079&gt;BI$7)),0,MAX(0,ROUND((INDEX($E1079:$G1079,BI$5)-SUMIFS(TF_Timer,TF_Tekniker,BI$4,TF_Dato,$A1079))*2,0)/2)))</f>
        <v/>
      </c>
    </row>
    <row r="1080">
      <c r="A1080" s="64">
        <f>A1079+1</f>
        <v/>
      </c>
      <c r="B1080">
        <f>IF(MOD($A1080-INDEX(SkiftStart,1),Syklus)&lt;DagK,"K",IF(MOD($A1080-INDEX(SkiftStart,1),Syklus)&lt;DagK+DagH,"H",IF(MOD($A1080-INDEX(SkiftStart,1),Syklus)&lt;DagK+DagH+DagD,"D","F")))</f>
        <v/>
      </c>
      <c r="C1080">
        <f>IF(MOD($A1080-INDEX(SkiftStart,2),Syklus)&lt;DagK,"K",IF(MOD($A1080-INDEX(SkiftStart,2),Syklus)&lt;DagK+DagH,"H",IF(MOD($A1080-INDEX(SkiftStart,2),Syklus)&lt;DagK+DagH+DagD,"D","F")))</f>
        <v/>
      </c>
      <c r="D1080">
        <f>IF(MOD($A1080-INDEX(SkiftStart,3),Syklus)&lt;DagK,"K",IF(MOD($A1080-INDEX(SkiftStart,3),Syklus)&lt;DagK+DagH,"H",IF(MOD($A1080-INDEX(SkiftStart,3),Syklus)&lt;DagK+DagH+DagD,"D","F")))</f>
        <v/>
      </c>
      <c r="E1080">
        <f>IF(B1080="F",0,IF(WEEKDAY($A1080,2)=5,INDEX(TimerFr,MATCH(B1080,FaseKode,0)),INDEX(TimerMT,MATCH(B1080,FaseKode,0))))</f>
        <v/>
      </c>
      <c r="F1080">
        <f>IF(C1080="F",0,IF(WEEKDAY($A1080,2)=5,INDEX(TimerFr,MATCH(C1080,FaseKode,0)),INDEX(TimerMT,MATCH(C1080,FaseKode,0))))</f>
        <v/>
      </c>
      <c r="G1080">
        <f>IF(D1080="F",0,IF(WEEKDAY($A1080,2)=5,INDEX(TimerFr,MATCH(D1080,FaseKode,0)),INDEX(TimerMT,MATCH(D1080,FaseKode,0))))</f>
        <v/>
      </c>
      <c r="H1080">
        <f>IF(OR(H$4="",$A1080&gt;TODAY()),0,IF(OR(INDEX($B1080:$D1080,H$5)="F",AND(H$6&gt;0,$A1080&lt;H$6),AND(H$7&gt;0,$A1080&gt;H$7)),0,MAX(0,ROUND((INDEX($E1080:$G1080,H$5)-SUMIFS(TF_Timer,TF_Tekniker,H$4,TF_Dato,$A1080))*2,0)/2)))</f>
        <v/>
      </c>
      <c r="I1080">
        <f>IF(OR(I$4="",$A1080&gt;TODAY()),0,IF(OR(INDEX($B1080:$D1080,I$5)="F",AND(I$6&gt;0,$A1080&lt;I$6),AND(I$7&gt;0,$A1080&gt;I$7)),0,MAX(0,ROUND((INDEX($E1080:$G1080,I$5)-SUMIFS(TF_Timer,TF_Tekniker,I$4,TF_Dato,$A1080))*2,0)/2)))</f>
        <v/>
      </c>
      <c r="J1080">
        <f>IF(OR(J$4="",$A1080&gt;TODAY()),0,IF(OR(INDEX($B1080:$D1080,J$5)="F",AND(J$6&gt;0,$A1080&lt;J$6),AND(J$7&gt;0,$A1080&gt;J$7)),0,MAX(0,ROUND((INDEX($E1080:$G1080,J$5)-SUMIFS(TF_Timer,TF_Tekniker,J$4,TF_Dato,$A1080))*2,0)/2)))</f>
        <v/>
      </c>
      <c r="K1080">
        <f>IF(OR(K$4="",$A1080&gt;TODAY()),0,IF(OR(INDEX($B1080:$D1080,K$5)="F",AND(K$6&gt;0,$A1080&lt;K$6),AND(K$7&gt;0,$A1080&gt;K$7)),0,MAX(0,ROUND((INDEX($E1080:$G1080,K$5)-SUMIFS(TF_Timer,TF_Tekniker,K$4,TF_Dato,$A1080))*2,0)/2)))</f>
        <v/>
      </c>
      <c r="L1080">
        <f>IF(OR(L$4="",$A1080&gt;TODAY()),0,IF(OR(INDEX($B1080:$D1080,L$5)="F",AND(L$6&gt;0,$A1080&lt;L$6),AND(L$7&gt;0,$A1080&gt;L$7)),0,MAX(0,ROUND((INDEX($E1080:$G1080,L$5)-SUMIFS(TF_Timer,TF_Tekniker,L$4,TF_Dato,$A1080))*2,0)/2)))</f>
        <v/>
      </c>
      <c r="M1080">
        <f>IF(OR(M$4="",$A1080&gt;TODAY()),0,IF(OR(INDEX($B1080:$D1080,M$5)="F",AND(M$6&gt;0,$A1080&lt;M$6),AND(M$7&gt;0,$A1080&gt;M$7)),0,MAX(0,ROUND((INDEX($E1080:$G1080,M$5)-SUMIFS(TF_Timer,TF_Tekniker,M$4,TF_Dato,$A1080))*2,0)/2)))</f>
        <v/>
      </c>
      <c r="N1080">
        <f>IF(OR(N$4="",$A1080&gt;TODAY()),0,IF(OR(INDEX($B1080:$D1080,N$5)="F",AND(N$6&gt;0,$A1080&lt;N$6),AND(N$7&gt;0,$A1080&gt;N$7)),0,MAX(0,ROUND((INDEX($E1080:$G1080,N$5)-SUMIFS(TF_Timer,TF_Tekniker,N$4,TF_Dato,$A1080))*2,0)/2)))</f>
        <v/>
      </c>
      <c r="O1080">
        <f>IF(OR(O$4="",$A1080&gt;TODAY()),0,IF(OR(INDEX($B1080:$D1080,O$5)="F",AND(O$6&gt;0,$A1080&lt;O$6),AND(O$7&gt;0,$A1080&gt;O$7)),0,MAX(0,ROUND((INDEX($E1080:$G1080,O$5)-SUMIFS(TF_Timer,TF_Tekniker,O$4,TF_Dato,$A1080))*2,0)/2)))</f>
        <v/>
      </c>
      <c r="P1080">
        <f>IF(OR(P$4="",$A1080&gt;TODAY()),0,IF(OR(INDEX($B1080:$D1080,P$5)="F",AND(P$6&gt;0,$A1080&lt;P$6),AND(P$7&gt;0,$A1080&gt;P$7)),0,MAX(0,ROUND((INDEX($E1080:$G1080,P$5)-SUMIFS(TF_Timer,TF_Tekniker,P$4,TF_Dato,$A1080))*2,0)/2)))</f>
        <v/>
      </c>
      <c r="Q1080">
        <f>IF(OR(Q$4="",$A1080&gt;TODAY()),0,IF(OR(INDEX($B1080:$D1080,Q$5)="F",AND(Q$6&gt;0,$A1080&lt;Q$6),AND(Q$7&gt;0,$A1080&gt;Q$7)),0,MAX(0,ROUND((INDEX($E1080:$G1080,Q$5)-SUMIFS(TF_Timer,TF_Tekniker,Q$4,TF_Dato,$A1080))*2,0)/2)))</f>
        <v/>
      </c>
      <c r="R1080">
        <f>IF(OR(R$4="",$A1080&gt;TODAY()),0,IF(OR(INDEX($B1080:$D1080,R$5)="F",AND(R$6&gt;0,$A1080&lt;R$6),AND(R$7&gt;0,$A1080&gt;R$7)),0,MAX(0,ROUND((INDEX($E1080:$G1080,R$5)-SUMIFS(TF_Timer,TF_Tekniker,R$4,TF_Dato,$A1080))*2,0)/2)))</f>
        <v/>
      </c>
      <c r="S1080">
        <f>IF(OR(S$4="",$A1080&gt;TODAY()),0,IF(OR(INDEX($B1080:$D1080,S$5)="F",AND(S$6&gt;0,$A1080&lt;S$6),AND(S$7&gt;0,$A1080&gt;S$7)),0,MAX(0,ROUND((INDEX($E1080:$G1080,S$5)-SUMIFS(TF_Timer,TF_Tekniker,S$4,TF_Dato,$A1080))*2,0)/2)))</f>
        <v/>
      </c>
      <c r="T1080">
        <f>IF(OR(T$4="",$A1080&gt;TODAY()),0,IF(OR(INDEX($B1080:$D1080,T$5)="F",AND(T$6&gt;0,$A1080&lt;T$6),AND(T$7&gt;0,$A1080&gt;T$7)),0,MAX(0,ROUND((INDEX($E1080:$G1080,T$5)-SUMIFS(TF_Timer,TF_Tekniker,T$4,TF_Dato,$A1080))*2,0)/2)))</f>
        <v/>
      </c>
      <c r="U1080">
        <f>IF(OR(U$4="",$A1080&gt;TODAY()),0,IF(OR(INDEX($B1080:$D1080,U$5)="F",AND(U$6&gt;0,$A1080&lt;U$6),AND(U$7&gt;0,$A1080&gt;U$7)),0,MAX(0,ROUND((INDEX($E1080:$G1080,U$5)-SUMIFS(TF_Timer,TF_Tekniker,U$4,TF_Dato,$A1080))*2,0)/2)))</f>
        <v/>
      </c>
      <c r="V1080">
        <f>IF(OR(V$4="",$A1080&gt;TODAY()),0,IF(OR(INDEX($B1080:$D1080,V$5)="F",AND(V$6&gt;0,$A1080&lt;V$6),AND(V$7&gt;0,$A1080&gt;V$7)),0,MAX(0,ROUND((INDEX($E1080:$G1080,V$5)-SUMIFS(TF_Timer,TF_Tekniker,V$4,TF_Dato,$A1080))*2,0)/2)))</f>
        <v/>
      </c>
      <c r="W1080">
        <f>IF(OR(W$4="",$A1080&gt;TODAY()),0,IF(OR(INDEX($B1080:$D1080,W$5)="F",AND(W$6&gt;0,$A1080&lt;W$6),AND(W$7&gt;0,$A1080&gt;W$7)),0,MAX(0,ROUND((INDEX($E1080:$G1080,W$5)-SUMIFS(TF_Timer,TF_Tekniker,W$4,TF_Dato,$A1080))*2,0)/2)))</f>
        <v/>
      </c>
      <c r="X1080">
        <f>IF(OR(X$4="",$A1080&gt;TODAY()),0,IF(OR(INDEX($B1080:$D1080,X$5)="F",AND(X$6&gt;0,$A1080&lt;X$6),AND(X$7&gt;0,$A1080&gt;X$7)),0,MAX(0,ROUND((INDEX($E1080:$G1080,X$5)-SUMIFS(TF_Timer,TF_Tekniker,X$4,TF_Dato,$A1080))*2,0)/2)))</f>
        <v/>
      </c>
      <c r="Y1080">
        <f>IF(OR(Y$4="",$A1080&gt;TODAY()),0,IF(OR(INDEX($B1080:$D1080,Y$5)="F",AND(Y$6&gt;0,$A1080&lt;Y$6),AND(Y$7&gt;0,$A1080&gt;Y$7)),0,MAX(0,ROUND((INDEX($E1080:$G1080,Y$5)-SUMIFS(TF_Timer,TF_Tekniker,Y$4,TF_Dato,$A1080))*2,0)/2)))</f>
        <v/>
      </c>
      <c r="Z1080">
        <f>IF(OR(Z$4="",$A1080&gt;TODAY()),0,IF(OR(INDEX($B1080:$D1080,Z$5)="F",AND(Z$6&gt;0,$A1080&lt;Z$6),AND(Z$7&gt;0,$A1080&gt;Z$7)),0,MAX(0,ROUND((INDEX($E1080:$G1080,Z$5)-SUMIFS(TF_Timer,TF_Tekniker,Z$4,TF_Dato,$A1080))*2,0)/2)))</f>
        <v/>
      </c>
      <c r="AA1080">
        <f>IF(OR(AA$4="",$A1080&gt;TODAY()),0,IF(OR(INDEX($B1080:$D1080,AA$5)="F",AND(AA$6&gt;0,$A1080&lt;AA$6),AND(AA$7&gt;0,$A1080&gt;AA$7)),0,MAX(0,ROUND((INDEX($E1080:$G1080,AA$5)-SUMIFS(TF_Timer,TF_Tekniker,AA$4,TF_Dato,$A1080))*2,0)/2)))</f>
        <v/>
      </c>
      <c r="AB1080">
        <f>IF(OR(AB$4="",$A1080&gt;TODAY()),0,IF(OR(INDEX($B1080:$D1080,AB$5)="F",AND(AB$6&gt;0,$A1080&lt;AB$6),AND(AB$7&gt;0,$A1080&gt;AB$7)),0,MAX(0,ROUND((INDEX($E1080:$G1080,AB$5)-SUMIFS(TF_Timer,TF_Tekniker,AB$4,TF_Dato,$A1080))*2,0)/2)))</f>
        <v/>
      </c>
      <c r="AC1080">
        <f>IF(OR(AC$4="",$A1080&gt;TODAY()),0,IF(OR(INDEX($B1080:$D1080,AC$5)="F",AND(AC$6&gt;0,$A1080&lt;AC$6),AND(AC$7&gt;0,$A1080&gt;AC$7)),0,MAX(0,ROUND((INDEX($E1080:$G1080,AC$5)-SUMIFS(TF_Timer,TF_Tekniker,AC$4,TF_Dato,$A1080))*2,0)/2)))</f>
        <v/>
      </c>
      <c r="AD1080">
        <f>IF(OR(AD$4="",$A1080&gt;TODAY()),0,IF(OR(INDEX($B1080:$D1080,AD$5)="F",AND(AD$6&gt;0,$A1080&lt;AD$6),AND(AD$7&gt;0,$A1080&gt;AD$7)),0,MAX(0,ROUND((INDEX($E1080:$G1080,AD$5)-SUMIFS(TF_Timer,TF_Tekniker,AD$4,TF_Dato,$A1080))*2,0)/2)))</f>
        <v/>
      </c>
      <c r="AE1080">
        <f>IF(OR(AE$4="",$A1080&gt;TODAY()),0,IF(OR(INDEX($B1080:$D1080,AE$5)="F",AND(AE$6&gt;0,$A1080&lt;AE$6),AND(AE$7&gt;0,$A1080&gt;AE$7)),0,MAX(0,ROUND((INDEX($E1080:$G1080,AE$5)-SUMIFS(TF_Timer,TF_Tekniker,AE$4,TF_Dato,$A1080))*2,0)/2)))</f>
        <v/>
      </c>
      <c r="AF1080">
        <f>IF(OR(AF$4="",$A1080&gt;TODAY()),0,IF(OR(INDEX($B1080:$D1080,AF$5)="F",AND(AF$6&gt;0,$A1080&lt;AF$6),AND(AF$7&gt;0,$A1080&gt;AF$7)),0,MAX(0,ROUND((INDEX($E1080:$G1080,AF$5)-SUMIFS(TF_Timer,TF_Tekniker,AF$4,TF_Dato,$A1080))*2,0)/2)))</f>
        <v/>
      </c>
      <c r="AG1080">
        <f>IF(OR(AG$4="",$A1080&gt;TODAY()),0,IF(OR(INDEX($B1080:$D1080,AG$5)="F",AND(AG$6&gt;0,$A1080&lt;AG$6),AND(AG$7&gt;0,$A1080&gt;AG$7)),0,MAX(0,ROUND((INDEX($E1080:$G1080,AG$5)-SUMIFS(TF_Timer,TF_Tekniker,AG$4,TF_Dato,$A1080))*2,0)/2)))</f>
        <v/>
      </c>
      <c r="AH1080">
        <f>IF(OR(AH$4="",$A1080&gt;TODAY()),0,IF(OR(INDEX($B1080:$D1080,AH$5)="F",AND(AH$6&gt;0,$A1080&lt;AH$6),AND(AH$7&gt;0,$A1080&gt;AH$7)),0,MAX(0,ROUND((INDEX($E1080:$G1080,AH$5)-SUMIFS(TF_Timer,TF_Tekniker,AH$4,TF_Dato,$A1080))*2,0)/2)))</f>
        <v/>
      </c>
      <c r="AI1080">
        <f>IF(OR(AI$4="",$A1080&gt;TODAY()),0,IF(OR(INDEX($B1080:$D1080,AI$5)="F",AND(AI$6&gt;0,$A1080&lt;AI$6),AND(AI$7&gt;0,$A1080&gt;AI$7)),0,MAX(0,ROUND((INDEX($E1080:$G1080,AI$5)-SUMIFS(TF_Timer,TF_Tekniker,AI$4,TF_Dato,$A1080))*2,0)/2)))</f>
        <v/>
      </c>
      <c r="AJ1080">
        <f>IF(OR(AJ$4="",$A1080&gt;TODAY()),0,IF(OR(INDEX($B1080:$D1080,AJ$5)="F",AND(AJ$6&gt;0,$A1080&lt;AJ$6),AND(AJ$7&gt;0,$A1080&gt;AJ$7)),0,MAX(0,ROUND((INDEX($E1080:$G1080,AJ$5)-SUMIFS(TF_Timer,TF_Tekniker,AJ$4,TF_Dato,$A1080))*2,0)/2)))</f>
        <v/>
      </c>
      <c r="AK1080">
        <f>IF(OR(AK$4="",$A1080&gt;TODAY()),0,IF(OR(INDEX($B1080:$D1080,AK$5)="F",AND(AK$6&gt;0,$A1080&lt;AK$6),AND(AK$7&gt;0,$A1080&gt;AK$7)),0,MAX(0,ROUND((INDEX($E1080:$G1080,AK$5)-SUMIFS(TF_Timer,TF_Tekniker,AK$4,TF_Dato,$A1080))*2,0)/2)))</f>
        <v/>
      </c>
      <c r="AL1080">
        <f>IF(OR(AL$4="",$A1080&gt;TODAY()),0,IF(OR(INDEX($B1080:$D1080,AL$5)="F",AND(AL$6&gt;0,$A1080&lt;AL$6),AND(AL$7&gt;0,$A1080&gt;AL$7)),0,MAX(0,ROUND((INDEX($E1080:$G1080,AL$5)-SUMIFS(TF_Timer,TF_Tekniker,AL$4,TF_Dato,$A1080))*2,0)/2)))</f>
        <v/>
      </c>
      <c r="AM1080">
        <f>IF(OR(AM$4="",$A1080&gt;TODAY()),0,IF(OR(INDEX($B1080:$D1080,AM$5)="F",AND(AM$6&gt;0,$A1080&lt;AM$6),AND(AM$7&gt;0,$A1080&gt;AM$7)),0,MAX(0,ROUND((INDEX($E1080:$G1080,AM$5)-SUMIFS(TF_Timer,TF_Tekniker,AM$4,TF_Dato,$A1080))*2,0)/2)))</f>
        <v/>
      </c>
      <c r="AN1080">
        <f>IF(OR(AN$4="",$A1080&gt;TODAY()),0,IF(OR(INDEX($B1080:$D1080,AN$5)="F",AND(AN$6&gt;0,$A1080&lt;AN$6),AND(AN$7&gt;0,$A1080&gt;AN$7)),0,MAX(0,ROUND((INDEX($E1080:$G1080,AN$5)-SUMIFS(TF_Timer,TF_Tekniker,AN$4,TF_Dato,$A1080))*2,0)/2)))</f>
        <v/>
      </c>
      <c r="AO1080">
        <f>IF(OR(AO$4="",$A1080&gt;TODAY()),0,IF(OR(INDEX($B1080:$D1080,AO$5)="F",AND(AO$6&gt;0,$A1080&lt;AO$6),AND(AO$7&gt;0,$A1080&gt;AO$7)),0,MAX(0,ROUND((INDEX($E1080:$G1080,AO$5)-SUMIFS(TF_Timer,TF_Tekniker,AO$4,TF_Dato,$A1080))*2,0)/2)))</f>
        <v/>
      </c>
      <c r="AP1080">
        <f>IF(OR(AP$4="",$A1080&gt;TODAY()),0,IF(OR(INDEX($B1080:$D1080,AP$5)="F",AND(AP$6&gt;0,$A1080&lt;AP$6),AND(AP$7&gt;0,$A1080&gt;AP$7)),0,MAX(0,ROUND((INDEX($E1080:$G1080,AP$5)-SUMIFS(TF_Timer,TF_Tekniker,AP$4,TF_Dato,$A1080))*2,0)/2)))</f>
        <v/>
      </c>
      <c r="AQ1080">
        <f>IF(OR(AQ$4="",$A1080&gt;TODAY()),0,IF(OR(INDEX($B1080:$D1080,AQ$5)="F",AND(AQ$6&gt;0,$A1080&lt;AQ$6),AND(AQ$7&gt;0,$A1080&gt;AQ$7)),0,MAX(0,ROUND((INDEX($E1080:$G1080,AQ$5)-SUMIFS(TF_Timer,TF_Tekniker,AQ$4,TF_Dato,$A1080))*2,0)/2)))</f>
        <v/>
      </c>
      <c r="AR1080">
        <f>IF(OR(AR$4="",$A1080&gt;TODAY()),0,IF(OR(INDEX($B1080:$D1080,AR$5)="F",AND(AR$6&gt;0,$A1080&lt;AR$6),AND(AR$7&gt;0,$A1080&gt;AR$7)),0,MAX(0,ROUND((INDEX($E1080:$G1080,AR$5)-SUMIFS(TF_Timer,TF_Tekniker,AR$4,TF_Dato,$A1080))*2,0)/2)))</f>
        <v/>
      </c>
      <c r="AS1080">
        <f>IF(OR(AS$4="",$A1080&gt;TODAY()),0,IF(OR(INDEX($B1080:$D1080,AS$5)="F",AND(AS$6&gt;0,$A1080&lt;AS$6),AND(AS$7&gt;0,$A1080&gt;AS$7)),0,MAX(0,ROUND((INDEX($E1080:$G1080,AS$5)-SUMIFS(TF_Timer,TF_Tekniker,AS$4,TF_Dato,$A1080))*2,0)/2)))</f>
        <v/>
      </c>
      <c r="AT1080">
        <f>IF(OR(AT$4="",$A1080&gt;TODAY()),0,IF(OR(INDEX($B1080:$D1080,AT$5)="F",AND(AT$6&gt;0,$A1080&lt;AT$6),AND(AT$7&gt;0,$A1080&gt;AT$7)),0,MAX(0,ROUND((INDEX($E1080:$G1080,AT$5)-SUMIFS(TF_Timer,TF_Tekniker,AT$4,TF_Dato,$A1080))*2,0)/2)))</f>
        <v/>
      </c>
      <c r="AU1080">
        <f>IF(OR(AU$4="",$A1080&gt;TODAY()),0,IF(OR(INDEX($B1080:$D1080,AU$5)="F",AND(AU$6&gt;0,$A1080&lt;AU$6),AND(AU$7&gt;0,$A1080&gt;AU$7)),0,MAX(0,ROUND((INDEX($E1080:$G1080,AU$5)-SUMIFS(TF_Timer,TF_Tekniker,AU$4,TF_Dato,$A1080))*2,0)/2)))</f>
        <v/>
      </c>
      <c r="AV1080">
        <f>IF(OR(AV$4="",$A1080&gt;TODAY()),0,IF(OR(INDEX($B1080:$D1080,AV$5)="F",AND(AV$6&gt;0,$A1080&lt;AV$6),AND(AV$7&gt;0,$A1080&gt;AV$7)),0,MAX(0,ROUND((INDEX($E1080:$G1080,AV$5)-SUMIFS(TF_Timer,TF_Tekniker,AV$4,TF_Dato,$A1080))*2,0)/2)))</f>
        <v/>
      </c>
      <c r="AW1080">
        <f>IF(OR(AW$4="",$A1080&gt;TODAY()),0,IF(OR(INDEX($B1080:$D1080,AW$5)="F",AND(AW$6&gt;0,$A1080&lt;AW$6),AND(AW$7&gt;0,$A1080&gt;AW$7)),0,MAX(0,ROUND((INDEX($E1080:$G1080,AW$5)-SUMIFS(TF_Timer,TF_Tekniker,AW$4,TF_Dato,$A1080))*2,0)/2)))</f>
        <v/>
      </c>
      <c r="AX1080">
        <f>IF(OR(AX$4="",$A1080&gt;TODAY()),0,IF(OR(INDEX($B1080:$D1080,AX$5)="F",AND(AX$6&gt;0,$A1080&lt;AX$6),AND(AX$7&gt;0,$A1080&gt;AX$7)),0,MAX(0,ROUND((INDEX($E1080:$G1080,AX$5)-SUMIFS(TF_Timer,TF_Tekniker,AX$4,TF_Dato,$A1080))*2,0)/2)))</f>
        <v/>
      </c>
      <c r="AY1080">
        <f>IF(OR(AY$4="",$A1080&gt;TODAY()),0,IF(OR(INDEX($B1080:$D1080,AY$5)="F",AND(AY$6&gt;0,$A1080&lt;AY$6),AND(AY$7&gt;0,$A1080&gt;AY$7)),0,MAX(0,ROUND((INDEX($E1080:$G1080,AY$5)-SUMIFS(TF_Timer,TF_Tekniker,AY$4,TF_Dato,$A1080))*2,0)/2)))</f>
        <v/>
      </c>
      <c r="AZ1080">
        <f>IF(OR(AZ$4="",$A1080&gt;TODAY()),0,IF(OR(INDEX($B1080:$D1080,AZ$5)="F",AND(AZ$6&gt;0,$A1080&lt;AZ$6),AND(AZ$7&gt;0,$A1080&gt;AZ$7)),0,MAX(0,ROUND((INDEX($E1080:$G1080,AZ$5)-SUMIFS(TF_Timer,TF_Tekniker,AZ$4,TF_Dato,$A1080))*2,0)/2)))</f>
        <v/>
      </c>
      <c r="BA1080">
        <f>IF(OR(BA$4="",$A1080&gt;TODAY()),0,IF(OR(INDEX($B1080:$D1080,BA$5)="F",AND(BA$6&gt;0,$A1080&lt;BA$6),AND(BA$7&gt;0,$A1080&gt;BA$7)),0,MAX(0,ROUND((INDEX($E1080:$G1080,BA$5)-SUMIFS(TF_Timer,TF_Tekniker,BA$4,TF_Dato,$A1080))*2,0)/2)))</f>
        <v/>
      </c>
      <c r="BB1080">
        <f>IF(OR(BB$4="",$A1080&gt;TODAY()),0,IF(OR(INDEX($B1080:$D1080,BB$5)="F",AND(BB$6&gt;0,$A1080&lt;BB$6),AND(BB$7&gt;0,$A1080&gt;BB$7)),0,MAX(0,ROUND((INDEX($E1080:$G1080,BB$5)-SUMIFS(TF_Timer,TF_Tekniker,BB$4,TF_Dato,$A1080))*2,0)/2)))</f>
        <v/>
      </c>
      <c r="BC1080">
        <f>IF(OR(BC$4="",$A1080&gt;TODAY()),0,IF(OR(INDEX($B1080:$D1080,BC$5)="F",AND(BC$6&gt;0,$A1080&lt;BC$6),AND(BC$7&gt;0,$A1080&gt;BC$7)),0,MAX(0,ROUND((INDEX($E1080:$G1080,BC$5)-SUMIFS(TF_Timer,TF_Tekniker,BC$4,TF_Dato,$A1080))*2,0)/2)))</f>
        <v/>
      </c>
      <c r="BD1080">
        <f>IF(OR(BD$4="",$A1080&gt;TODAY()),0,IF(OR(INDEX($B1080:$D1080,BD$5)="F",AND(BD$6&gt;0,$A1080&lt;BD$6),AND(BD$7&gt;0,$A1080&gt;BD$7)),0,MAX(0,ROUND((INDEX($E1080:$G1080,BD$5)-SUMIFS(TF_Timer,TF_Tekniker,BD$4,TF_Dato,$A1080))*2,0)/2)))</f>
        <v/>
      </c>
      <c r="BE1080">
        <f>IF(OR(BE$4="",$A1080&gt;TODAY()),0,IF(OR(INDEX($B1080:$D1080,BE$5)="F",AND(BE$6&gt;0,$A1080&lt;BE$6),AND(BE$7&gt;0,$A1080&gt;BE$7)),0,MAX(0,ROUND((INDEX($E1080:$G1080,BE$5)-SUMIFS(TF_Timer,TF_Tekniker,BE$4,TF_Dato,$A1080))*2,0)/2)))</f>
        <v/>
      </c>
      <c r="BF1080">
        <f>IF(OR(BF$4="",$A1080&gt;TODAY()),0,IF(OR(INDEX($B1080:$D1080,BF$5)="F",AND(BF$6&gt;0,$A1080&lt;BF$6),AND(BF$7&gt;0,$A1080&gt;BF$7)),0,MAX(0,ROUND((INDEX($E1080:$G1080,BF$5)-SUMIFS(TF_Timer,TF_Tekniker,BF$4,TF_Dato,$A1080))*2,0)/2)))</f>
        <v/>
      </c>
      <c r="BG1080">
        <f>IF(OR(BG$4="",$A1080&gt;TODAY()),0,IF(OR(INDEX($B1080:$D1080,BG$5)="F",AND(BG$6&gt;0,$A1080&lt;BG$6),AND(BG$7&gt;0,$A1080&gt;BG$7)),0,MAX(0,ROUND((INDEX($E1080:$G1080,BG$5)-SUMIFS(TF_Timer,TF_Tekniker,BG$4,TF_Dato,$A1080))*2,0)/2)))</f>
        <v/>
      </c>
      <c r="BH1080">
        <f>IF(OR(BH$4="",$A1080&gt;TODAY()),0,IF(OR(INDEX($B1080:$D1080,BH$5)="F",AND(BH$6&gt;0,$A1080&lt;BH$6),AND(BH$7&gt;0,$A1080&gt;BH$7)),0,MAX(0,ROUND((INDEX($E1080:$G1080,BH$5)-SUMIFS(TF_Timer,TF_Tekniker,BH$4,TF_Dato,$A1080))*2,0)/2)))</f>
        <v/>
      </c>
      <c r="BI1080">
        <f>IF(OR(BI$4="",$A1080&gt;TODAY()),0,IF(OR(INDEX($B1080:$D1080,BI$5)="F",AND(BI$6&gt;0,$A1080&lt;BI$6),AND(BI$7&gt;0,$A1080&gt;BI$7)),0,MAX(0,ROUND((INDEX($E1080:$G1080,BI$5)-SUMIFS(TF_Timer,TF_Tekniker,BI$4,TF_Dato,$A1080))*2,0)/2)))</f>
        <v/>
      </c>
    </row>
    <row r="1081">
      <c r="A1081" s="64">
        <f>A1080+1</f>
        <v/>
      </c>
      <c r="B1081">
        <f>IF(MOD($A1081-INDEX(SkiftStart,1),Syklus)&lt;DagK,"K",IF(MOD($A1081-INDEX(SkiftStart,1),Syklus)&lt;DagK+DagH,"H",IF(MOD($A1081-INDEX(SkiftStart,1),Syklus)&lt;DagK+DagH+DagD,"D","F")))</f>
        <v/>
      </c>
      <c r="C1081">
        <f>IF(MOD($A1081-INDEX(SkiftStart,2),Syklus)&lt;DagK,"K",IF(MOD($A1081-INDEX(SkiftStart,2),Syklus)&lt;DagK+DagH,"H",IF(MOD($A1081-INDEX(SkiftStart,2),Syklus)&lt;DagK+DagH+DagD,"D","F")))</f>
        <v/>
      </c>
      <c r="D1081">
        <f>IF(MOD($A1081-INDEX(SkiftStart,3),Syklus)&lt;DagK,"K",IF(MOD($A1081-INDEX(SkiftStart,3),Syklus)&lt;DagK+DagH,"H",IF(MOD($A1081-INDEX(SkiftStart,3),Syklus)&lt;DagK+DagH+DagD,"D","F")))</f>
        <v/>
      </c>
      <c r="E1081">
        <f>IF(B1081="F",0,IF(WEEKDAY($A1081,2)=5,INDEX(TimerFr,MATCH(B1081,FaseKode,0)),INDEX(TimerMT,MATCH(B1081,FaseKode,0))))</f>
        <v/>
      </c>
      <c r="F1081">
        <f>IF(C1081="F",0,IF(WEEKDAY($A1081,2)=5,INDEX(TimerFr,MATCH(C1081,FaseKode,0)),INDEX(TimerMT,MATCH(C1081,FaseKode,0))))</f>
        <v/>
      </c>
      <c r="G1081">
        <f>IF(D1081="F",0,IF(WEEKDAY($A1081,2)=5,INDEX(TimerFr,MATCH(D1081,FaseKode,0)),INDEX(TimerMT,MATCH(D1081,FaseKode,0))))</f>
        <v/>
      </c>
      <c r="H1081">
        <f>IF(OR(H$4="",$A1081&gt;TODAY()),0,IF(OR(INDEX($B1081:$D1081,H$5)="F",AND(H$6&gt;0,$A1081&lt;H$6),AND(H$7&gt;0,$A1081&gt;H$7)),0,MAX(0,ROUND((INDEX($E1081:$G1081,H$5)-SUMIFS(TF_Timer,TF_Tekniker,H$4,TF_Dato,$A1081))*2,0)/2)))</f>
        <v/>
      </c>
      <c r="I1081">
        <f>IF(OR(I$4="",$A1081&gt;TODAY()),0,IF(OR(INDEX($B1081:$D1081,I$5)="F",AND(I$6&gt;0,$A1081&lt;I$6),AND(I$7&gt;0,$A1081&gt;I$7)),0,MAX(0,ROUND((INDEX($E1081:$G1081,I$5)-SUMIFS(TF_Timer,TF_Tekniker,I$4,TF_Dato,$A1081))*2,0)/2)))</f>
        <v/>
      </c>
      <c r="J1081">
        <f>IF(OR(J$4="",$A1081&gt;TODAY()),0,IF(OR(INDEX($B1081:$D1081,J$5)="F",AND(J$6&gt;0,$A1081&lt;J$6),AND(J$7&gt;0,$A1081&gt;J$7)),0,MAX(0,ROUND((INDEX($E1081:$G1081,J$5)-SUMIFS(TF_Timer,TF_Tekniker,J$4,TF_Dato,$A1081))*2,0)/2)))</f>
        <v/>
      </c>
      <c r="K1081">
        <f>IF(OR(K$4="",$A1081&gt;TODAY()),0,IF(OR(INDEX($B1081:$D1081,K$5)="F",AND(K$6&gt;0,$A1081&lt;K$6),AND(K$7&gt;0,$A1081&gt;K$7)),0,MAX(0,ROUND((INDEX($E1081:$G1081,K$5)-SUMIFS(TF_Timer,TF_Tekniker,K$4,TF_Dato,$A1081))*2,0)/2)))</f>
        <v/>
      </c>
      <c r="L1081">
        <f>IF(OR(L$4="",$A1081&gt;TODAY()),0,IF(OR(INDEX($B1081:$D1081,L$5)="F",AND(L$6&gt;0,$A1081&lt;L$6),AND(L$7&gt;0,$A1081&gt;L$7)),0,MAX(0,ROUND((INDEX($E1081:$G1081,L$5)-SUMIFS(TF_Timer,TF_Tekniker,L$4,TF_Dato,$A1081))*2,0)/2)))</f>
        <v/>
      </c>
      <c r="M1081">
        <f>IF(OR(M$4="",$A1081&gt;TODAY()),0,IF(OR(INDEX($B1081:$D1081,M$5)="F",AND(M$6&gt;0,$A1081&lt;M$6),AND(M$7&gt;0,$A1081&gt;M$7)),0,MAX(0,ROUND((INDEX($E1081:$G1081,M$5)-SUMIFS(TF_Timer,TF_Tekniker,M$4,TF_Dato,$A1081))*2,0)/2)))</f>
        <v/>
      </c>
      <c r="N1081">
        <f>IF(OR(N$4="",$A1081&gt;TODAY()),0,IF(OR(INDEX($B1081:$D1081,N$5)="F",AND(N$6&gt;0,$A1081&lt;N$6),AND(N$7&gt;0,$A1081&gt;N$7)),0,MAX(0,ROUND((INDEX($E1081:$G1081,N$5)-SUMIFS(TF_Timer,TF_Tekniker,N$4,TF_Dato,$A1081))*2,0)/2)))</f>
        <v/>
      </c>
      <c r="O1081">
        <f>IF(OR(O$4="",$A1081&gt;TODAY()),0,IF(OR(INDEX($B1081:$D1081,O$5)="F",AND(O$6&gt;0,$A1081&lt;O$6),AND(O$7&gt;0,$A1081&gt;O$7)),0,MAX(0,ROUND((INDEX($E1081:$G1081,O$5)-SUMIFS(TF_Timer,TF_Tekniker,O$4,TF_Dato,$A1081))*2,0)/2)))</f>
        <v/>
      </c>
      <c r="P1081">
        <f>IF(OR(P$4="",$A1081&gt;TODAY()),0,IF(OR(INDEX($B1081:$D1081,P$5)="F",AND(P$6&gt;0,$A1081&lt;P$6),AND(P$7&gt;0,$A1081&gt;P$7)),0,MAX(0,ROUND((INDEX($E1081:$G1081,P$5)-SUMIFS(TF_Timer,TF_Tekniker,P$4,TF_Dato,$A1081))*2,0)/2)))</f>
        <v/>
      </c>
      <c r="Q1081">
        <f>IF(OR(Q$4="",$A1081&gt;TODAY()),0,IF(OR(INDEX($B1081:$D1081,Q$5)="F",AND(Q$6&gt;0,$A1081&lt;Q$6),AND(Q$7&gt;0,$A1081&gt;Q$7)),0,MAX(0,ROUND((INDEX($E1081:$G1081,Q$5)-SUMIFS(TF_Timer,TF_Tekniker,Q$4,TF_Dato,$A1081))*2,0)/2)))</f>
        <v/>
      </c>
      <c r="R1081">
        <f>IF(OR(R$4="",$A1081&gt;TODAY()),0,IF(OR(INDEX($B1081:$D1081,R$5)="F",AND(R$6&gt;0,$A1081&lt;R$6),AND(R$7&gt;0,$A1081&gt;R$7)),0,MAX(0,ROUND((INDEX($E1081:$G1081,R$5)-SUMIFS(TF_Timer,TF_Tekniker,R$4,TF_Dato,$A1081))*2,0)/2)))</f>
        <v/>
      </c>
      <c r="S1081">
        <f>IF(OR(S$4="",$A1081&gt;TODAY()),0,IF(OR(INDEX($B1081:$D1081,S$5)="F",AND(S$6&gt;0,$A1081&lt;S$6),AND(S$7&gt;0,$A1081&gt;S$7)),0,MAX(0,ROUND((INDEX($E1081:$G1081,S$5)-SUMIFS(TF_Timer,TF_Tekniker,S$4,TF_Dato,$A1081))*2,0)/2)))</f>
        <v/>
      </c>
      <c r="T1081">
        <f>IF(OR(T$4="",$A1081&gt;TODAY()),0,IF(OR(INDEX($B1081:$D1081,T$5)="F",AND(T$6&gt;0,$A1081&lt;T$6),AND(T$7&gt;0,$A1081&gt;T$7)),0,MAX(0,ROUND((INDEX($E1081:$G1081,T$5)-SUMIFS(TF_Timer,TF_Tekniker,T$4,TF_Dato,$A1081))*2,0)/2)))</f>
        <v/>
      </c>
      <c r="U1081">
        <f>IF(OR(U$4="",$A1081&gt;TODAY()),0,IF(OR(INDEX($B1081:$D1081,U$5)="F",AND(U$6&gt;0,$A1081&lt;U$6),AND(U$7&gt;0,$A1081&gt;U$7)),0,MAX(0,ROUND((INDEX($E1081:$G1081,U$5)-SUMIFS(TF_Timer,TF_Tekniker,U$4,TF_Dato,$A1081))*2,0)/2)))</f>
        <v/>
      </c>
      <c r="V1081">
        <f>IF(OR(V$4="",$A1081&gt;TODAY()),0,IF(OR(INDEX($B1081:$D1081,V$5)="F",AND(V$6&gt;0,$A1081&lt;V$6),AND(V$7&gt;0,$A1081&gt;V$7)),0,MAX(0,ROUND((INDEX($E1081:$G1081,V$5)-SUMIFS(TF_Timer,TF_Tekniker,V$4,TF_Dato,$A1081))*2,0)/2)))</f>
        <v/>
      </c>
      <c r="W1081">
        <f>IF(OR(W$4="",$A1081&gt;TODAY()),0,IF(OR(INDEX($B1081:$D1081,W$5)="F",AND(W$6&gt;0,$A1081&lt;W$6),AND(W$7&gt;0,$A1081&gt;W$7)),0,MAX(0,ROUND((INDEX($E1081:$G1081,W$5)-SUMIFS(TF_Timer,TF_Tekniker,W$4,TF_Dato,$A1081))*2,0)/2)))</f>
        <v/>
      </c>
      <c r="X1081">
        <f>IF(OR(X$4="",$A1081&gt;TODAY()),0,IF(OR(INDEX($B1081:$D1081,X$5)="F",AND(X$6&gt;0,$A1081&lt;X$6),AND(X$7&gt;0,$A1081&gt;X$7)),0,MAX(0,ROUND((INDEX($E1081:$G1081,X$5)-SUMIFS(TF_Timer,TF_Tekniker,X$4,TF_Dato,$A1081))*2,0)/2)))</f>
        <v/>
      </c>
      <c r="Y1081">
        <f>IF(OR(Y$4="",$A1081&gt;TODAY()),0,IF(OR(INDEX($B1081:$D1081,Y$5)="F",AND(Y$6&gt;0,$A1081&lt;Y$6),AND(Y$7&gt;0,$A1081&gt;Y$7)),0,MAX(0,ROUND((INDEX($E1081:$G1081,Y$5)-SUMIFS(TF_Timer,TF_Tekniker,Y$4,TF_Dato,$A1081))*2,0)/2)))</f>
        <v/>
      </c>
      <c r="Z1081">
        <f>IF(OR(Z$4="",$A1081&gt;TODAY()),0,IF(OR(INDEX($B1081:$D1081,Z$5)="F",AND(Z$6&gt;0,$A1081&lt;Z$6),AND(Z$7&gt;0,$A1081&gt;Z$7)),0,MAX(0,ROUND((INDEX($E1081:$G1081,Z$5)-SUMIFS(TF_Timer,TF_Tekniker,Z$4,TF_Dato,$A1081))*2,0)/2)))</f>
        <v/>
      </c>
      <c r="AA1081">
        <f>IF(OR(AA$4="",$A1081&gt;TODAY()),0,IF(OR(INDEX($B1081:$D1081,AA$5)="F",AND(AA$6&gt;0,$A1081&lt;AA$6),AND(AA$7&gt;0,$A1081&gt;AA$7)),0,MAX(0,ROUND((INDEX($E1081:$G1081,AA$5)-SUMIFS(TF_Timer,TF_Tekniker,AA$4,TF_Dato,$A1081))*2,0)/2)))</f>
        <v/>
      </c>
      <c r="AB1081">
        <f>IF(OR(AB$4="",$A1081&gt;TODAY()),0,IF(OR(INDEX($B1081:$D1081,AB$5)="F",AND(AB$6&gt;0,$A1081&lt;AB$6),AND(AB$7&gt;0,$A1081&gt;AB$7)),0,MAX(0,ROUND((INDEX($E1081:$G1081,AB$5)-SUMIFS(TF_Timer,TF_Tekniker,AB$4,TF_Dato,$A1081))*2,0)/2)))</f>
        <v/>
      </c>
      <c r="AC1081">
        <f>IF(OR(AC$4="",$A1081&gt;TODAY()),0,IF(OR(INDEX($B1081:$D1081,AC$5)="F",AND(AC$6&gt;0,$A1081&lt;AC$6),AND(AC$7&gt;0,$A1081&gt;AC$7)),0,MAX(0,ROUND((INDEX($E1081:$G1081,AC$5)-SUMIFS(TF_Timer,TF_Tekniker,AC$4,TF_Dato,$A1081))*2,0)/2)))</f>
        <v/>
      </c>
      <c r="AD1081">
        <f>IF(OR(AD$4="",$A1081&gt;TODAY()),0,IF(OR(INDEX($B1081:$D1081,AD$5)="F",AND(AD$6&gt;0,$A1081&lt;AD$6),AND(AD$7&gt;0,$A1081&gt;AD$7)),0,MAX(0,ROUND((INDEX($E1081:$G1081,AD$5)-SUMIFS(TF_Timer,TF_Tekniker,AD$4,TF_Dato,$A1081))*2,0)/2)))</f>
        <v/>
      </c>
      <c r="AE1081">
        <f>IF(OR(AE$4="",$A1081&gt;TODAY()),0,IF(OR(INDEX($B1081:$D1081,AE$5)="F",AND(AE$6&gt;0,$A1081&lt;AE$6),AND(AE$7&gt;0,$A1081&gt;AE$7)),0,MAX(0,ROUND((INDEX($E1081:$G1081,AE$5)-SUMIFS(TF_Timer,TF_Tekniker,AE$4,TF_Dato,$A1081))*2,0)/2)))</f>
        <v/>
      </c>
      <c r="AF1081">
        <f>IF(OR(AF$4="",$A1081&gt;TODAY()),0,IF(OR(INDEX($B1081:$D1081,AF$5)="F",AND(AF$6&gt;0,$A1081&lt;AF$6),AND(AF$7&gt;0,$A1081&gt;AF$7)),0,MAX(0,ROUND((INDEX($E1081:$G1081,AF$5)-SUMIFS(TF_Timer,TF_Tekniker,AF$4,TF_Dato,$A1081))*2,0)/2)))</f>
        <v/>
      </c>
      <c r="AG1081">
        <f>IF(OR(AG$4="",$A1081&gt;TODAY()),0,IF(OR(INDEX($B1081:$D1081,AG$5)="F",AND(AG$6&gt;0,$A1081&lt;AG$6),AND(AG$7&gt;0,$A1081&gt;AG$7)),0,MAX(0,ROUND((INDEX($E1081:$G1081,AG$5)-SUMIFS(TF_Timer,TF_Tekniker,AG$4,TF_Dato,$A1081))*2,0)/2)))</f>
        <v/>
      </c>
      <c r="AH1081">
        <f>IF(OR(AH$4="",$A1081&gt;TODAY()),0,IF(OR(INDEX($B1081:$D1081,AH$5)="F",AND(AH$6&gt;0,$A1081&lt;AH$6),AND(AH$7&gt;0,$A1081&gt;AH$7)),0,MAX(0,ROUND((INDEX($E1081:$G1081,AH$5)-SUMIFS(TF_Timer,TF_Tekniker,AH$4,TF_Dato,$A1081))*2,0)/2)))</f>
        <v/>
      </c>
      <c r="AI1081">
        <f>IF(OR(AI$4="",$A1081&gt;TODAY()),0,IF(OR(INDEX($B1081:$D1081,AI$5)="F",AND(AI$6&gt;0,$A1081&lt;AI$6),AND(AI$7&gt;0,$A1081&gt;AI$7)),0,MAX(0,ROUND((INDEX($E1081:$G1081,AI$5)-SUMIFS(TF_Timer,TF_Tekniker,AI$4,TF_Dato,$A1081))*2,0)/2)))</f>
        <v/>
      </c>
      <c r="AJ1081">
        <f>IF(OR(AJ$4="",$A1081&gt;TODAY()),0,IF(OR(INDEX($B1081:$D1081,AJ$5)="F",AND(AJ$6&gt;0,$A1081&lt;AJ$6),AND(AJ$7&gt;0,$A1081&gt;AJ$7)),0,MAX(0,ROUND((INDEX($E1081:$G1081,AJ$5)-SUMIFS(TF_Timer,TF_Tekniker,AJ$4,TF_Dato,$A1081))*2,0)/2)))</f>
        <v/>
      </c>
      <c r="AK1081">
        <f>IF(OR(AK$4="",$A1081&gt;TODAY()),0,IF(OR(INDEX($B1081:$D1081,AK$5)="F",AND(AK$6&gt;0,$A1081&lt;AK$6),AND(AK$7&gt;0,$A1081&gt;AK$7)),0,MAX(0,ROUND((INDEX($E1081:$G1081,AK$5)-SUMIFS(TF_Timer,TF_Tekniker,AK$4,TF_Dato,$A1081))*2,0)/2)))</f>
        <v/>
      </c>
      <c r="AL1081">
        <f>IF(OR(AL$4="",$A1081&gt;TODAY()),0,IF(OR(INDEX($B1081:$D1081,AL$5)="F",AND(AL$6&gt;0,$A1081&lt;AL$6),AND(AL$7&gt;0,$A1081&gt;AL$7)),0,MAX(0,ROUND((INDEX($E1081:$G1081,AL$5)-SUMIFS(TF_Timer,TF_Tekniker,AL$4,TF_Dato,$A1081))*2,0)/2)))</f>
        <v/>
      </c>
      <c r="AM1081">
        <f>IF(OR(AM$4="",$A1081&gt;TODAY()),0,IF(OR(INDEX($B1081:$D1081,AM$5)="F",AND(AM$6&gt;0,$A1081&lt;AM$6),AND(AM$7&gt;0,$A1081&gt;AM$7)),0,MAX(0,ROUND((INDEX($E1081:$G1081,AM$5)-SUMIFS(TF_Timer,TF_Tekniker,AM$4,TF_Dato,$A1081))*2,0)/2)))</f>
        <v/>
      </c>
      <c r="AN1081">
        <f>IF(OR(AN$4="",$A1081&gt;TODAY()),0,IF(OR(INDEX($B1081:$D1081,AN$5)="F",AND(AN$6&gt;0,$A1081&lt;AN$6),AND(AN$7&gt;0,$A1081&gt;AN$7)),0,MAX(0,ROUND((INDEX($E1081:$G1081,AN$5)-SUMIFS(TF_Timer,TF_Tekniker,AN$4,TF_Dato,$A1081))*2,0)/2)))</f>
        <v/>
      </c>
      <c r="AO1081">
        <f>IF(OR(AO$4="",$A1081&gt;TODAY()),0,IF(OR(INDEX($B1081:$D1081,AO$5)="F",AND(AO$6&gt;0,$A1081&lt;AO$6),AND(AO$7&gt;0,$A1081&gt;AO$7)),0,MAX(0,ROUND((INDEX($E1081:$G1081,AO$5)-SUMIFS(TF_Timer,TF_Tekniker,AO$4,TF_Dato,$A1081))*2,0)/2)))</f>
        <v/>
      </c>
      <c r="AP1081">
        <f>IF(OR(AP$4="",$A1081&gt;TODAY()),0,IF(OR(INDEX($B1081:$D1081,AP$5)="F",AND(AP$6&gt;0,$A1081&lt;AP$6),AND(AP$7&gt;0,$A1081&gt;AP$7)),0,MAX(0,ROUND((INDEX($E1081:$G1081,AP$5)-SUMIFS(TF_Timer,TF_Tekniker,AP$4,TF_Dato,$A1081))*2,0)/2)))</f>
        <v/>
      </c>
      <c r="AQ1081">
        <f>IF(OR(AQ$4="",$A1081&gt;TODAY()),0,IF(OR(INDEX($B1081:$D1081,AQ$5)="F",AND(AQ$6&gt;0,$A1081&lt;AQ$6),AND(AQ$7&gt;0,$A1081&gt;AQ$7)),0,MAX(0,ROUND((INDEX($E1081:$G1081,AQ$5)-SUMIFS(TF_Timer,TF_Tekniker,AQ$4,TF_Dato,$A1081))*2,0)/2)))</f>
        <v/>
      </c>
      <c r="AR1081">
        <f>IF(OR(AR$4="",$A1081&gt;TODAY()),0,IF(OR(INDEX($B1081:$D1081,AR$5)="F",AND(AR$6&gt;0,$A1081&lt;AR$6),AND(AR$7&gt;0,$A1081&gt;AR$7)),0,MAX(0,ROUND((INDEX($E1081:$G1081,AR$5)-SUMIFS(TF_Timer,TF_Tekniker,AR$4,TF_Dato,$A1081))*2,0)/2)))</f>
        <v/>
      </c>
      <c r="AS1081">
        <f>IF(OR(AS$4="",$A1081&gt;TODAY()),0,IF(OR(INDEX($B1081:$D1081,AS$5)="F",AND(AS$6&gt;0,$A1081&lt;AS$6),AND(AS$7&gt;0,$A1081&gt;AS$7)),0,MAX(0,ROUND((INDEX($E1081:$G1081,AS$5)-SUMIFS(TF_Timer,TF_Tekniker,AS$4,TF_Dato,$A1081))*2,0)/2)))</f>
        <v/>
      </c>
      <c r="AT1081">
        <f>IF(OR(AT$4="",$A1081&gt;TODAY()),0,IF(OR(INDEX($B1081:$D1081,AT$5)="F",AND(AT$6&gt;0,$A1081&lt;AT$6),AND(AT$7&gt;0,$A1081&gt;AT$7)),0,MAX(0,ROUND((INDEX($E1081:$G1081,AT$5)-SUMIFS(TF_Timer,TF_Tekniker,AT$4,TF_Dato,$A1081))*2,0)/2)))</f>
        <v/>
      </c>
      <c r="AU1081">
        <f>IF(OR(AU$4="",$A1081&gt;TODAY()),0,IF(OR(INDEX($B1081:$D1081,AU$5)="F",AND(AU$6&gt;0,$A1081&lt;AU$6),AND(AU$7&gt;0,$A1081&gt;AU$7)),0,MAX(0,ROUND((INDEX($E1081:$G1081,AU$5)-SUMIFS(TF_Timer,TF_Tekniker,AU$4,TF_Dato,$A1081))*2,0)/2)))</f>
        <v/>
      </c>
      <c r="AV1081">
        <f>IF(OR(AV$4="",$A1081&gt;TODAY()),0,IF(OR(INDEX($B1081:$D1081,AV$5)="F",AND(AV$6&gt;0,$A1081&lt;AV$6),AND(AV$7&gt;0,$A1081&gt;AV$7)),0,MAX(0,ROUND((INDEX($E1081:$G1081,AV$5)-SUMIFS(TF_Timer,TF_Tekniker,AV$4,TF_Dato,$A1081))*2,0)/2)))</f>
        <v/>
      </c>
      <c r="AW1081">
        <f>IF(OR(AW$4="",$A1081&gt;TODAY()),0,IF(OR(INDEX($B1081:$D1081,AW$5)="F",AND(AW$6&gt;0,$A1081&lt;AW$6),AND(AW$7&gt;0,$A1081&gt;AW$7)),0,MAX(0,ROUND((INDEX($E1081:$G1081,AW$5)-SUMIFS(TF_Timer,TF_Tekniker,AW$4,TF_Dato,$A1081))*2,0)/2)))</f>
        <v/>
      </c>
      <c r="AX1081">
        <f>IF(OR(AX$4="",$A1081&gt;TODAY()),0,IF(OR(INDEX($B1081:$D1081,AX$5)="F",AND(AX$6&gt;0,$A1081&lt;AX$6),AND(AX$7&gt;0,$A1081&gt;AX$7)),0,MAX(0,ROUND((INDEX($E1081:$G1081,AX$5)-SUMIFS(TF_Timer,TF_Tekniker,AX$4,TF_Dato,$A1081))*2,0)/2)))</f>
        <v/>
      </c>
      <c r="AY1081">
        <f>IF(OR(AY$4="",$A1081&gt;TODAY()),0,IF(OR(INDEX($B1081:$D1081,AY$5)="F",AND(AY$6&gt;0,$A1081&lt;AY$6),AND(AY$7&gt;0,$A1081&gt;AY$7)),0,MAX(0,ROUND((INDEX($E1081:$G1081,AY$5)-SUMIFS(TF_Timer,TF_Tekniker,AY$4,TF_Dato,$A1081))*2,0)/2)))</f>
        <v/>
      </c>
      <c r="AZ1081">
        <f>IF(OR(AZ$4="",$A1081&gt;TODAY()),0,IF(OR(INDEX($B1081:$D1081,AZ$5)="F",AND(AZ$6&gt;0,$A1081&lt;AZ$6),AND(AZ$7&gt;0,$A1081&gt;AZ$7)),0,MAX(0,ROUND((INDEX($E1081:$G1081,AZ$5)-SUMIFS(TF_Timer,TF_Tekniker,AZ$4,TF_Dato,$A1081))*2,0)/2)))</f>
        <v/>
      </c>
      <c r="BA1081">
        <f>IF(OR(BA$4="",$A1081&gt;TODAY()),0,IF(OR(INDEX($B1081:$D1081,BA$5)="F",AND(BA$6&gt;0,$A1081&lt;BA$6),AND(BA$7&gt;0,$A1081&gt;BA$7)),0,MAX(0,ROUND((INDEX($E1081:$G1081,BA$5)-SUMIFS(TF_Timer,TF_Tekniker,BA$4,TF_Dato,$A1081))*2,0)/2)))</f>
        <v/>
      </c>
      <c r="BB1081">
        <f>IF(OR(BB$4="",$A1081&gt;TODAY()),0,IF(OR(INDEX($B1081:$D1081,BB$5)="F",AND(BB$6&gt;0,$A1081&lt;BB$6),AND(BB$7&gt;0,$A1081&gt;BB$7)),0,MAX(0,ROUND((INDEX($E1081:$G1081,BB$5)-SUMIFS(TF_Timer,TF_Tekniker,BB$4,TF_Dato,$A1081))*2,0)/2)))</f>
        <v/>
      </c>
      <c r="BC1081">
        <f>IF(OR(BC$4="",$A1081&gt;TODAY()),0,IF(OR(INDEX($B1081:$D1081,BC$5)="F",AND(BC$6&gt;0,$A1081&lt;BC$6),AND(BC$7&gt;0,$A1081&gt;BC$7)),0,MAX(0,ROUND((INDEX($E1081:$G1081,BC$5)-SUMIFS(TF_Timer,TF_Tekniker,BC$4,TF_Dato,$A1081))*2,0)/2)))</f>
        <v/>
      </c>
      <c r="BD1081">
        <f>IF(OR(BD$4="",$A1081&gt;TODAY()),0,IF(OR(INDEX($B1081:$D1081,BD$5)="F",AND(BD$6&gt;0,$A1081&lt;BD$6),AND(BD$7&gt;0,$A1081&gt;BD$7)),0,MAX(0,ROUND((INDEX($E1081:$G1081,BD$5)-SUMIFS(TF_Timer,TF_Tekniker,BD$4,TF_Dato,$A1081))*2,0)/2)))</f>
        <v/>
      </c>
      <c r="BE1081">
        <f>IF(OR(BE$4="",$A1081&gt;TODAY()),0,IF(OR(INDEX($B1081:$D1081,BE$5)="F",AND(BE$6&gt;0,$A1081&lt;BE$6),AND(BE$7&gt;0,$A1081&gt;BE$7)),0,MAX(0,ROUND((INDEX($E1081:$G1081,BE$5)-SUMIFS(TF_Timer,TF_Tekniker,BE$4,TF_Dato,$A1081))*2,0)/2)))</f>
        <v/>
      </c>
      <c r="BF1081">
        <f>IF(OR(BF$4="",$A1081&gt;TODAY()),0,IF(OR(INDEX($B1081:$D1081,BF$5)="F",AND(BF$6&gt;0,$A1081&lt;BF$6),AND(BF$7&gt;0,$A1081&gt;BF$7)),0,MAX(0,ROUND((INDEX($E1081:$G1081,BF$5)-SUMIFS(TF_Timer,TF_Tekniker,BF$4,TF_Dato,$A1081))*2,0)/2)))</f>
        <v/>
      </c>
      <c r="BG1081">
        <f>IF(OR(BG$4="",$A1081&gt;TODAY()),0,IF(OR(INDEX($B1081:$D1081,BG$5)="F",AND(BG$6&gt;0,$A1081&lt;BG$6),AND(BG$7&gt;0,$A1081&gt;BG$7)),0,MAX(0,ROUND((INDEX($E1081:$G1081,BG$5)-SUMIFS(TF_Timer,TF_Tekniker,BG$4,TF_Dato,$A1081))*2,0)/2)))</f>
        <v/>
      </c>
      <c r="BH1081">
        <f>IF(OR(BH$4="",$A1081&gt;TODAY()),0,IF(OR(INDEX($B1081:$D1081,BH$5)="F",AND(BH$6&gt;0,$A1081&lt;BH$6),AND(BH$7&gt;0,$A1081&gt;BH$7)),0,MAX(0,ROUND((INDEX($E1081:$G1081,BH$5)-SUMIFS(TF_Timer,TF_Tekniker,BH$4,TF_Dato,$A1081))*2,0)/2)))</f>
        <v/>
      </c>
      <c r="BI1081">
        <f>IF(OR(BI$4="",$A1081&gt;TODAY()),0,IF(OR(INDEX($B1081:$D1081,BI$5)="F",AND(BI$6&gt;0,$A1081&lt;BI$6),AND(BI$7&gt;0,$A1081&gt;BI$7)),0,MAX(0,ROUND((INDEX($E1081:$G1081,BI$5)-SUMIFS(TF_Timer,TF_Tekniker,BI$4,TF_Dato,$A1081))*2,0)/2)))</f>
        <v/>
      </c>
    </row>
    <row r="1082">
      <c r="A1082" s="64">
        <f>A1081+1</f>
        <v/>
      </c>
      <c r="B1082">
        <f>IF(MOD($A1082-INDEX(SkiftStart,1),Syklus)&lt;DagK,"K",IF(MOD($A1082-INDEX(SkiftStart,1),Syklus)&lt;DagK+DagH,"H",IF(MOD($A1082-INDEX(SkiftStart,1),Syklus)&lt;DagK+DagH+DagD,"D","F")))</f>
        <v/>
      </c>
      <c r="C1082">
        <f>IF(MOD($A1082-INDEX(SkiftStart,2),Syklus)&lt;DagK,"K",IF(MOD($A1082-INDEX(SkiftStart,2),Syklus)&lt;DagK+DagH,"H",IF(MOD($A1082-INDEX(SkiftStart,2),Syklus)&lt;DagK+DagH+DagD,"D","F")))</f>
        <v/>
      </c>
      <c r="D1082">
        <f>IF(MOD($A1082-INDEX(SkiftStart,3),Syklus)&lt;DagK,"K",IF(MOD($A1082-INDEX(SkiftStart,3),Syklus)&lt;DagK+DagH,"H",IF(MOD($A1082-INDEX(SkiftStart,3),Syklus)&lt;DagK+DagH+DagD,"D","F")))</f>
        <v/>
      </c>
      <c r="E1082">
        <f>IF(B1082="F",0,IF(WEEKDAY($A1082,2)=5,INDEX(TimerFr,MATCH(B1082,FaseKode,0)),INDEX(TimerMT,MATCH(B1082,FaseKode,0))))</f>
        <v/>
      </c>
      <c r="F1082">
        <f>IF(C1082="F",0,IF(WEEKDAY($A1082,2)=5,INDEX(TimerFr,MATCH(C1082,FaseKode,0)),INDEX(TimerMT,MATCH(C1082,FaseKode,0))))</f>
        <v/>
      </c>
      <c r="G1082">
        <f>IF(D1082="F",0,IF(WEEKDAY($A1082,2)=5,INDEX(TimerFr,MATCH(D1082,FaseKode,0)),INDEX(TimerMT,MATCH(D1082,FaseKode,0))))</f>
        <v/>
      </c>
      <c r="H1082">
        <f>IF(OR(H$4="",$A1082&gt;TODAY()),0,IF(OR(INDEX($B1082:$D1082,H$5)="F",AND(H$6&gt;0,$A1082&lt;H$6),AND(H$7&gt;0,$A1082&gt;H$7)),0,MAX(0,ROUND((INDEX($E1082:$G1082,H$5)-SUMIFS(TF_Timer,TF_Tekniker,H$4,TF_Dato,$A1082))*2,0)/2)))</f>
        <v/>
      </c>
      <c r="I1082">
        <f>IF(OR(I$4="",$A1082&gt;TODAY()),0,IF(OR(INDEX($B1082:$D1082,I$5)="F",AND(I$6&gt;0,$A1082&lt;I$6),AND(I$7&gt;0,$A1082&gt;I$7)),0,MAX(0,ROUND((INDEX($E1082:$G1082,I$5)-SUMIFS(TF_Timer,TF_Tekniker,I$4,TF_Dato,$A1082))*2,0)/2)))</f>
        <v/>
      </c>
      <c r="J1082">
        <f>IF(OR(J$4="",$A1082&gt;TODAY()),0,IF(OR(INDEX($B1082:$D1082,J$5)="F",AND(J$6&gt;0,$A1082&lt;J$6),AND(J$7&gt;0,$A1082&gt;J$7)),0,MAX(0,ROUND((INDEX($E1082:$G1082,J$5)-SUMIFS(TF_Timer,TF_Tekniker,J$4,TF_Dato,$A1082))*2,0)/2)))</f>
        <v/>
      </c>
      <c r="K1082">
        <f>IF(OR(K$4="",$A1082&gt;TODAY()),0,IF(OR(INDEX($B1082:$D1082,K$5)="F",AND(K$6&gt;0,$A1082&lt;K$6),AND(K$7&gt;0,$A1082&gt;K$7)),0,MAX(0,ROUND((INDEX($E1082:$G1082,K$5)-SUMIFS(TF_Timer,TF_Tekniker,K$4,TF_Dato,$A1082))*2,0)/2)))</f>
        <v/>
      </c>
      <c r="L1082">
        <f>IF(OR(L$4="",$A1082&gt;TODAY()),0,IF(OR(INDEX($B1082:$D1082,L$5)="F",AND(L$6&gt;0,$A1082&lt;L$6),AND(L$7&gt;0,$A1082&gt;L$7)),0,MAX(0,ROUND((INDEX($E1082:$G1082,L$5)-SUMIFS(TF_Timer,TF_Tekniker,L$4,TF_Dato,$A1082))*2,0)/2)))</f>
        <v/>
      </c>
      <c r="M1082">
        <f>IF(OR(M$4="",$A1082&gt;TODAY()),0,IF(OR(INDEX($B1082:$D1082,M$5)="F",AND(M$6&gt;0,$A1082&lt;M$6),AND(M$7&gt;0,$A1082&gt;M$7)),0,MAX(0,ROUND((INDEX($E1082:$G1082,M$5)-SUMIFS(TF_Timer,TF_Tekniker,M$4,TF_Dato,$A1082))*2,0)/2)))</f>
        <v/>
      </c>
      <c r="N1082">
        <f>IF(OR(N$4="",$A1082&gt;TODAY()),0,IF(OR(INDEX($B1082:$D1082,N$5)="F",AND(N$6&gt;0,$A1082&lt;N$6),AND(N$7&gt;0,$A1082&gt;N$7)),0,MAX(0,ROUND((INDEX($E1082:$G1082,N$5)-SUMIFS(TF_Timer,TF_Tekniker,N$4,TF_Dato,$A1082))*2,0)/2)))</f>
        <v/>
      </c>
      <c r="O1082">
        <f>IF(OR(O$4="",$A1082&gt;TODAY()),0,IF(OR(INDEX($B1082:$D1082,O$5)="F",AND(O$6&gt;0,$A1082&lt;O$6),AND(O$7&gt;0,$A1082&gt;O$7)),0,MAX(0,ROUND((INDEX($E1082:$G1082,O$5)-SUMIFS(TF_Timer,TF_Tekniker,O$4,TF_Dato,$A1082))*2,0)/2)))</f>
        <v/>
      </c>
      <c r="P1082">
        <f>IF(OR(P$4="",$A1082&gt;TODAY()),0,IF(OR(INDEX($B1082:$D1082,P$5)="F",AND(P$6&gt;0,$A1082&lt;P$6),AND(P$7&gt;0,$A1082&gt;P$7)),0,MAX(0,ROUND((INDEX($E1082:$G1082,P$5)-SUMIFS(TF_Timer,TF_Tekniker,P$4,TF_Dato,$A1082))*2,0)/2)))</f>
        <v/>
      </c>
      <c r="Q1082">
        <f>IF(OR(Q$4="",$A1082&gt;TODAY()),0,IF(OR(INDEX($B1082:$D1082,Q$5)="F",AND(Q$6&gt;0,$A1082&lt;Q$6),AND(Q$7&gt;0,$A1082&gt;Q$7)),0,MAX(0,ROUND((INDEX($E1082:$G1082,Q$5)-SUMIFS(TF_Timer,TF_Tekniker,Q$4,TF_Dato,$A1082))*2,0)/2)))</f>
        <v/>
      </c>
      <c r="R1082">
        <f>IF(OR(R$4="",$A1082&gt;TODAY()),0,IF(OR(INDEX($B1082:$D1082,R$5)="F",AND(R$6&gt;0,$A1082&lt;R$6),AND(R$7&gt;0,$A1082&gt;R$7)),0,MAX(0,ROUND((INDEX($E1082:$G1082,R$5)-SUMIFS(TF_Timer,TF_Tekniker,R$4,TF_Dato,$A1082))*2,0)/2)))</f>
        <v/>
      </c>
      <c r="S1082">
        <f>IF(OR(S$4="",$A1082&gt;TODAY()),0,IF(OR(INDEX($B1082:$D1082,S$5)="F",AND(S$6&gt;0,$A1082&lt;S$6),AND(S$7&gt;0,$A1082&gt;S$7)),0,MAX(0,ROUND((INDEX($E1082:$G1082,S$5)-SUMIFS(TF_Timer,TF_Tekniker,S$4,TF_Dato,$A1082))*2,0)/2)))</f>
        <v/>
      </c>
      <c r="T1082">
        <f>IF(OR(T$4="",$A1082&gt;TODAY()),0,IF(OR(INDEX($B1082:$D1082,T$5)="F",AND(T$6&gt;0,$A1082&lt;T$6),AND(T$7&gt;0,$A1082&gt;T$7)),0,MAX(0,ROUND((INDEX($E1082:$G1082,T$5)-SUMIFS(TF_Timer,TF_Tekniker,T$4,TF_Dato,$A1082))*2,0)/2)))</f>
        <v/>
      </c>
      <c r="U1082">
        <f>IF(OR(U$4="",$A1082&gt;TODAY()),0,IF(OR(INDEX($B1082:$D1082,U$5)="F",AND(U$6&gt;0,$A1082&lt;U$6),AND(U$7&gt;0,$A1082&gt;U$7)),0,MAX(0,ROUND((INDEX($E1082:$G1082,U$5)-SUMIFS(TF_Timer,TF_Tekniker,U$4,TF_Dato,$A1082))*2,0)/2)))</f>
        <v/>
      </c>
      <c r="V1082">
        <f>IF(OR(V$4="",$A1082&gt;TODAY()),0,IF(OR(INDEX($B1082:$D1082,V$5)="F",AND(V$6&gt;0,$A1082&lt;V$6),AND(V$7&gt;0,$A1082&gt;V$7)),0,MAX(0,ROUND((INDEX($E1082:$G1082,V$5)-SUMIFS(TF_Timer,TF_Tekniker,V$4,TF_Dato,$A1082))*2,0)/2)))</f>
        <v/>
      </c>
      <c r="W1082">
        <f>IF(OR(W$4="",$A1082&gt;TODAY()),0,IF(OR(INDEX($B1082:$D1082,W$5)="F",AND(W$6&gt;0,$A1082&lt;W$6),AND(W$7&gt;0,$A1082&gt;W$7)),0,MAX(0,ROUND((INDEX($E1082:$G1082,W$5)-SUMIFS(TF_Timer,TF_Tekniker,W$4,TF_Dato,$A1082))*2,0)/2)))</f>
        <v/>
      </c>
      <c r="X1082">
        <f>IF(OR(X$4="",$A1082&gt;TODAY()),0,IF(OR(INDEX($B1082:$D1082,X$5)="F",AND(X$6&gt;0,$A1082&lt;X$6),AND(X$7&gt;0,$A1082&gt;X$7)),0,MAX(0,ROUND((INDEX($E1082:$G1082,X$5)-SUMIFS(TF_Timer,TF_Tekniker,X$4,TF_Dato,$A1082))*2,0)/2)))</f>
        <v/>
      </c>
      <c r="Y1082">
        <f>IF(OR(Y$4="",$A1082&gt;TODAY()),0,IF(OR(INDEX($B1082:$D1082,Y$5)="F",AND(Y$6&gt;0,$A1082&lt;Y$6),AND(Y$7&gt;0,$A1082&gt;Y$7)),0,MAX(0,ROUND((INDEX($E1082:$G1082,Y$5)-SUMIFS(TF_Timer,TF_Tekniker,Y$4,TF_Dato,$A1082))*2,0)/2)))</f>
        <v/>
      </c>
      <c r="Z1082">
        <f>IF(OR(Z$4="",$A1082&gt;TODAY()),0,IF(OR(INDEX($B1082:$D1082,Z$5)="F",AND(Z$6&gt;0,$A1082&lt;Z$6),AND(Z$7&gt;0,$A1082&gt;Z$7)),0,MAX(0,ROUND((INDEX($E1082:$G1082,Z$5)-SUMIFS(TF_Timer,TF_Tekniker,Z$4,TF_Dato,$A1082))*2,0)/2)))</f>
        <v/>
      </c>
      <c r="AA1082">
        <f>IF(OR(AA$4="",$A1082&gt;TODAY()),0,IF(OR(INDEX($B1082:$D1082,AA$5)="F",AND(AA$6&gt;0,$A1082&lt;AA$6),AND(AA$7&gt;0,$A1082&gt;AA$7)),0,MAX(0,ROUND((INDEX($E1082:$G1082,AA$5)-SUMIFS(TF_Timer,TF_Tekniker,AA$4,TF_Dato,$A1082))*2,0)/2)))</f>
        <v/>
      </c>
      <c r="AB1082">
        <f>IF(OR(AB$4="",$A1082&gt;TODAY()),0,IF(OR(INDEX($B1082:$D1082,AB$5)="F",AND(AB$6&gt;0,$A1082&lt;AB$6),AND(AB$7&gt;0,$A1082&gt;AB$7)),0,MAX(0,ROUND((INDEX($E1082:$G1082,AB$5)-SUMIFS(TF_Timer,TF_Tekniker,AB$4,TF_Dato,$A1082))*2,0)/2)))</f>
        <v/>
      </c>
      <c r="AC1082">
        <f>IF(OR(AC$4="",$A1082&gt;TODAY()),0,IF(OR(INDEX($B1082:$D1082,AC$5)="F",AND(AC$6&gt;0,$A1082&lt;AC$6),AND(AC$7&gt;0,$A1082&gt;AC$7)),0,MAX(0,ROUND((INDEX($E1082:$G1082,AC$5)-SUMIFS(TF_Timer,TF_Tekniker,AC$4,TF_Dato,$A1082))*2,0)/2)))</f>
        <v/>
      </c>
      <c r="AD1082">
        <f>IF(OR(AD$4="",$A1082&gt;TODAY()),0,IF(OR(INDEX($B1082:$D1082,AD$5)="F",AND(AD$6&gt;0,$A1082&lt;AD$6),AND(AD$7&gt;0,$A1082&gt;AD$7)),0,MAX(0,ROUND((INDEX($E1082:$G1082,AD$5)-SUMIFS(TF_Timer,TF_Tekniker,AD$4,TF_Dato,$A1082))*2,0)/2)))</f>
        <v/>
      </c>
      <c r="AE1082">
        <f>IF(OR(AE$4="",$A1082&gt;TODAY()),0,IF(OR(INDEX($B1082:$D1082,AE$5)="F",AND(AE$6&gt;0,$A1082&lt;AE$6),AND(AE$7&gt;0,$A1082&gt;AE$7)),0,MAX(0,ROUND((INDEX($E1082:$G1082,AE$5)-SUMIFS(TF_Timer,TF_Tekniker,AE$4,TF_Dato,$A1082))*2,0)/2)))</f>
        <v/>
      </c>
      <c r="AF1082">
        <f>IF(OR(AF$4="",$A1082&gt;TODAY()),0,IF(OR(INDEX($B1082:$D1082,AF$5)="F",AND(AF$6&gt;0,$A1082&lt;AF$6),AND(AF$7&gt;0,$A1082&gt;AF$7)),0,MAX(0,ROUND((INDEX($E1082:$G1082,AF$5)-SUMIFS(TF_Timer,TF_Tekniker,AF$4,TF_Dato,$A1082))*2,0)/2)))</f>
        <v/>
      </c>
      <c r="AG1082">
        <f>IF(OR(AG$4="",$A1082&gt;TODAY()),0,IF(OR(INDEX($B1082:$D1082,AG$5)="F",AND(AG$6&gt;0,$A1082&lt;AG$6),AND(AG$7&gt;0,$A1082&gt;AG$7)),0,MAX(0,ROUND((INDEX($E1082:$G1082,AG$5)-SUMIFS(TF_Timer,TF_Tekniker,AG$4,TF_Dato,$A1082))*2,0)/2)))</f>
        <v/>
      </c>
      <c r="AH1082">
        <f>IF(OR(AH$4="",$A1082&gt;TODAY()),0,IF(OR(INDEX($B1082:$D1082,AH$5)="F",AND(AH$6&gt;0,$A1082&lt;AH$6),AND(AH$7&gt;0,$A1082&gt;AH$7)),0,MAX(0,ROUND((INDEX($E1082:$G1082,AH$5)-SUMIFS(TF_Timer,TF_Tekniker,AH$4,TF_Dato,$A1082))*2,0)/2)))</f>
        <v/>
      </c>
      <c r="AI1082">
        <f>IF(OR(AI$4="",$A1082&gt;TODAY()),0,IF(OR(INDEX($B1082:$D1082,AI$5)="F",AND(AI$6&gt;0,$A1082&lt;AI$6),AND(AI$7&gt;0,$A1082&gt;AI$7)),0,MAX(0,ROUND((INDEX($E1082:$G1082,AI$5)-SUMIFS(TF_Timer,TF_Tekniker,AI$4,TF_Dato,$A1082))*2,0)/2)))</f>
        <v/>
      </c>
      <c r="AJ1082">
        <f>IF(OR(AJ$4="",$A1082&gt;TODAY()),0,IF(OR(INDEX($B1082:$D1082,AJ$5)="F",AND(AJ$6&gt;0,$A1082&lt;AJ$6),AND(AJ$7&gt;0,$A1082&gt;AJ$7)),0,MAX(0,ROUND((INDEX($E1082:$G1082,AJ$5)-SUMIFS(TF_Timer,TF_Tekniker,AJ$4,TF_Dato,$A1082))*2,0)/2)))</f>
        <v/>
      </c>
      <c r="AK1082">
        <f>IF(OR(AK$4="",$A1082&gt;TODAY()),0,IF(OR(INDEX($B1082:$D1082,AK$5)="F",AND(AK$6&gt;0,$A1082&lt;AK$6),AND(AK$7&gt;0,$A1082&gt;AK$7)),0,MAX(0,ROUND((INDEX($E1082:$G1082,AK$5)-SUMIFS(TF_Timer,TF_Tekniker,AK$4,TF_Dato,$A1082))*2,0)/2)))</f>
        <v/>
      </c>
      <c r="AL1082">
        <f>IF(OR(AL$4="",$A1082&gt;TODAY()),0,IF(OR(INDEX($B1082:$D1082,AL$5)="F",AND(AL$6&gt;0,$A1082&lt;AL$6),AND(AL$7&gt;0,$A1082&gt;AL$7)),0,MAX(0,ROUND((INDEX($E1082:$G1082,AL$5)-SUMIFS(TF_Timer,TF_Tekniker,AL$4,TF_Dato,$A1082))*2,0)/2)))</f>
        <v/>
      </c>
      <c r="AM1082">
        <f>IF(OR(AM$4="",$A1082&gt;TODAY()),0,IF(OR(INDEX($B1082:$D1082,AM$5)="F",AND(AM$6&gt;0,$A1082&lt;AM$6),AND(AM$7&gt;0,$A1082&gt;AM$7)),0,MAX(0,ROUND((INDEX($E1082:$G1082,AM$5)-SUMIFS(TF_Timer,TF_Tekniker,AM$4,TF_Dato,$A1082))*2,0)/2)))</f>
        <v/>
      </c>
      <c r="AN1082">
        <f>IF(OR(AN$4="",$A1082&gt;TODAY()),0,IF(OR(INDEX($B1082:$D1082,AN$5)="F",AND(AN$6&gt;0,$A1082&lt;AN$6),AND(AN$7&gt;0,$A1082&gt;AN$7)),0,MAX(0,ROUND((INDEX($E1082:$G1082,AN$5)-SUMIFS(TF_Timer,TF_Tekniker,AN$4,TF_Dato,$A1082))*2,0)/2)))</f>
        <v/>
      </c>
      <c r="AO1082">
        <f>IF(OR(AO$4="",$A1082&gt;TODAY()),0,IF(OR(INDEX($B1082:$D1082,AO$5)="F",AND(AO$6&gt;0,$A1082&lt;AO$6),AND(AO$7&gt;0,$A1082&gt;AO$7)),0,MAX(0,ROUND((INDEX($E1082:$G1082,AO$5)-SUMIFS(TF_Timer,TF_Tekniker,AO$4,TF_Dato,$A1082))*2,0)/2)))</f>
        <v/>
      </c>
      <c r="AP1082">
        <f>IF(OR(AP$4="",$A1082&gt;TODAY()),0,IF(OR(INDEX($B1082:$D1082,AP$5)="F",AND(AP$6&gt;0,$A1082&lt;AP$6),AND(AP$7&gt;0,$A1082&gt;AP$7)),0,MAX(0,ROUND((INDEX($E1082:$G1082,AP$5)-SUMIFS(TF_Timer,TF_Tekniker,AP$4,TF_Dato,$A1082))*2,0)/2)))</f>
        <v/>
      </c>
      <c r="AQ1082">
        <f>IF(OR(AQ$4="",$A1082&gt;TODAY()),0,IF(OR(INDEX($B1082:$D1082,AQ$5)="F",AND(AQ$6&gt;0,$A1082&lt;AQ$6),AND(AQ$7&gt;0,$A1082&gt;AQ$7)),0,MAX(0,ROUND((INDEX($E1082:$G1082,AQ$5)-SUMIFS(TF_Timer,TF_Tekniker,AQ$4,TF_Dato,$A1082))*2,0)/2)))</f>
        <v/>
      </c>
      <c r="AR1082">
        <f>IF(OR(AR$4="",$A1082&gt;TODAY()),0,IF(OR(INDEX($B1082:$D1082,AR$5)="F",AND(AR$6&gt;0,$A1082&lt;AR$6),AND(AR$7&gt;0,$A1082&gt;AR$7)),0,MAX(0,ROUND((INDEX($E1082:$G1082,AR$5)-SUMIFS(TF_Timer,TF_Tekniker,AR$4,TF_Dato,$A1082))*2,0)/2)))</f>
        <v/>
      </c>
      <c r="AS1082">
        <f>IF(OR(AS$4="",$A1082&gt;TODAY()),0,IF(OR(INDEX($B1082:$D1082,AS$5)="F",AND(AS$6&gt;0,$A1082&lt;AS$6),AND(AS$7&gt;0,$A1082&gt;AS$7)),0,MAX(0,ROUND((INDEX($E1082:$G1082,AS$5)-SUMIFS(TF_Timer,TF_Tekniker,AS$4,TF_Dato,$A1082))*2,0)/2)))</f>
        <v/>
      </c>
      <c r="AT1082">
        <f>IF(OR(AT$4="",$A1082&gt;TODAY()),0,IF(OR(INDEX($B1082:$D1082,AT$5)="F",AND(AT$6&gt;0,$A1082&lt;AT$6),AND(AT$7&gt;0,$A1082&gt;AT$7)),0,MAX(0,ROUND((INDEX($E1082:$G1082,AT$5)-SUMIFS(TF_Timer,TF_Tekniker,AT$4,TF_Dato,$A1082))*2,0)/2)))</f>
        <v/>
      </c>
      <c r="AU1082">
        <f>IF(OR(AU$4="",$A1082&gt;TODAY()),0,IF(OR(INDEX($B1082:$D1082,AU$5)="F",AND(AU$6&gt;0,$A1082&lt;AU$6),AND(AU$7&gt;0,$A1082&gt;AU$7)),0,MAX(0,ROUND((INDEX($E1082:$G1082,AU$5)-SUMIFS(TF_Timer,TF_Tekniker,AU$4,TF_Dato,$A1082))*2,0)/2)))</f>
        <v/>
      </c>
      <c r="AV1082">
        <f>IF(OR(AV$4="",$A1082&gt;TODAY()),0,IF(OR(INDEX($B1082:$D1082,AV$5)="F",AND(AV$6&gt;0,$A1082&lt;AV$6),AND(AV$7&gt;0,$A1082&gt;AV$7)),0,MAX(0,ROUND((INDEX($E1082:$G1082,AV$5)-SUMIFS(TF_Timer,TF_Tekniker,AV$4,TF_Dato,$A1082))*2,0)/2)))</f>
        <v/>
      </c>
      <c r="AW1082">
        <f>IF(OR(AW$4="",$A1082&gt;TODAY()),0,IF(OR(INDEX($B1082:$D1082,AW$5)="F",AND(AW$6&gt;0,$A1082&lt;AW$6),AND(AW$7&gt;0,$A1082&gt;AW$7)),0,MAX(0,ROUND((INDEX($E1082:$G1082,AW$5)-SUMIFS(TF_Timer,TF_Tekniker,AW$4,TF_Dato,$A1082))*2,0)/2)))</f>
        <v/>
      </c>
      <c r="AX1082">
        <f>IF(OR(AX$4="",$A1082&gt;TODAY()),0,IF(OR(INDEX($B1082:$D1082,AX$5)="F",AND(AX$6&gt;0,$A1082&lt;AX$6),AND(AX$7&gt;0,$A1082&gt;AX$7)),0,MAX(0,ROUND((INDEX($E1082:$G1082,AX$5)-SUMIFS(TF_Timer,TF_Tekniker,AX$4,TF_Dato,$A1082))*2,0)/2)))</f>
        <v/>
      </c>
      <c r="AY1082">
        <f>IF(OR(AY$4="",$A1082&gt;TODAY()),0,IF(OR(INDEX($B1082:$D1082,AY$5)="F",AND(AY$6&gt;0,$A1082&lt;AY$6),AND(AY$7&gt;0,$A1082&gt;AY$7)),0,MAX(0,ROUND((INDEX($E1082:$G1082,AY$5)-SUMIFS(TF_Timer,TF_Tekniker,AY$4,TF_Dato,$A1082))*2,0)/2)))</f>
        <v/>
      </c>
      <c r="AZ1082">
        <f>IF(OR(AZ$4="",$A1082&gt;TODAY()),0,IF(OR(INDEX($B1082:$D1082,AZ$5)="F",AND(AZ$6&gt;0,$A1082&lt;AZ$6),AND(AZ$7&gt;0,$A1082&gt;AZ$7)),0,MAX(0,ROUND((INDEX($E1082:$G1082,AZ$5)-SUMIFS(TF_Timer,TF_Tekniker,AZ$4,TF_Dato,$A1082))*2,0)/2)))</f>
        <v/>
      </c>
      <c r="BA1082">
        <f>IF(OR(BA$4="",$A1082&gt;TODAY()),0,IF(OR(INDEX($B1082:$D1082,BA$5)="F",AND(BA$6&gt;0,$A1082&lt;BA$6),AND(BA$7&gt;0,$A1082&gt;BA$7)),0,MAX(0,ROUND((INDEX($E1082:$G1082,BA$5)-SUMIFS(TF_Timer,TF_Tekniker,BA$4,TF_Dato,$A1082))*2,0)/2)))</f>
        <v/>
      </c>
      <c r="BB1082">
        <f>IF(OR(BB$4="",$A1082&gt;TODAY()),0,IF(OR(INDEX($B1082:$D1082,BB$5)="F",AND(BB$6&gt;0,$A1082&lt;BB$6),AND(BB$7&gt;0,$A1082&gt;BB$7)),0,MAX(0,ROUND((INDEX($E1082:$G1082,BB$5)-SUMIFS(TF_Timer,TF_Tekniker,BB$4,TF_Dato,$A1082))*2,0)/2)))</f>
        <v/>
      </c>
      <c r="BC1082">
        <f>IF(OR(BC$4="",$A1082&gt;TODAY()),0,IF(OR(INDEX($B1082:$D1082,BC$5)="F",AND(BC$6&gt;0,$A1082&lt;BC$6),AND(BC$7&gt;0,$A1082&gt;BC$7)),0,MAX(0,ROUND((INDEX($E1082:$G1082,BC$5)-SUMIFS(TF_Timer,TF_Tekniker,BC$4,TF_Dato,$A1082))*2,0)/2)))</f>
        <v/>
      </c>
      <c r="BD1082">
        <f>IF(OR(BD$4="",$A1082&gt;TODAY()),0,IF(OR(INDEX($B1082:$D1082,BD$5)="F",AND(BD$6&gt;0,$A1082&lt;BD$6),AND(BD$7&gt;0,$A1082&gt;BD$7)),0,MAX(0,ROUND((INDEX($E1082:$G1082,BD$5)-SUMIFS(TF_Timer,TF_Tekniker,BD$4,TF_Dato,$A1082))*2,0)/2)))</f>
        <v/>
      </c>
      <c r="BE1082">
        <f>IF(OR(BE$4="",$A1082&gt;TODAY()),0,IF(OR(INDEX($B1082:$D1082,BE$5)="F",AND(BE$6&gt;0,$A1082&lt;BE$6),AND(BE$7&gt;0,$A1082&gt;BE$7)),0,MAX(0,ROUND((INDEX($E1082:$G1082,BE$5)-SUMIFS(TF_Timer,TF_Tekniker,BE$4,TF_Dato,$A1082))*2,0)/2)))</f>
        <v/>
      </c>
      <c r="BF1082">
        <f>IF(OR(BF$4="",$A1082&gt;TODAY()),0,IF(OR(INDEX($B1082:$D1082,BF$5)="F",AND(BF$6&gt;0,$A1082&lt;BF$6),AND(BF$7&gt;0,$A1082&gt;BF$7)),0,MAX(0,ROUND((INDEX($E1082:$G1082,BF$5)-SUMIFS(TF_Timer,TF_Tekniker,BF$4,TF_Dato,$A1082))*2,0)/2)))</f>
        <v/>
      </c>
      <c r="BG1082">
        <f>IF(OR(BG$4="",$A1082&gt;TODAY()),0,IF(OR(INDEX($B1082:$D1082,BG$5)="F",AND(BG$6&gt;0,$A1082&lt;BG$6),AND(BG$7&gt;0,$A1082&gt;BG$7)),0,MAX(0,ROUND((INDEX($E1082:$G1082,BG$5)-SUMIFS(TF_Timer,TF_Tekniker,BG$4,TF_Dato,$A1082))*2,0)/2)))</f>
        <v/>
      </c>
      <c r="BH1082">
        <f>IF(OR(BH$4="",$A1082&gt;TODAY()),0,IF(OR(INDEX($B1082:$D1082,BH$5)="F",AND(BH$6&gt;0,$A1082&lt;BH$6),AND(BH$7&gt;0,$A1082&gt;BH$7)),0,MAX(0,ROUND((INDEX($E1082:$G1082,BH$5)-SUMIFS(TF_Timer,TF_Tekniker,BH$4,TF_Dato,$A1082))*2,0)/2)))</f>
        <v/>
      </c>
      <c r="BI1082">
        <f>IF(OR(BI$4="",$A1082&gt;TODAY()),0,IF(OR(INDEX($B1082:$D1082,BI$5)="F",AND(BI$6&gt;0,$A1082&lt;BI$6),AND(BI$7&gt;0,$A1082&gt;BI$7)),0,MAX(0,ROUND((INDEX($E1082:$G1082,BI$5)-SUMIFS(TF_Timer,TF_Tekniker,BI$4,TF_Dato,$A1082))*2,0)/2)))</f>
        <v/>
      </c>
    </row>
    <row r="1083">
      <c r="A1083" s="64">
        <f>A1082+1</f>
        <v/>
      </c>
      <c r="B1083">
        <f>IF(MOD($A1083-INDEX(SkiftStart,1),Syklus)&lt;DagK,"K",IF(MOD($A1083-INDEX(SkiftStart,1),Syklus)&lt;DagK+DagH,"H",IF(MOD($A1083-INDEX(SkiftStart,1),Syklus)&lt;DagK+DagH+DagD,"D","F")))</f>
        <v/>
      </c>
      <c r="C1083">
        <f>IF(MOD($A1083-INDEX(SkiftStart,2),Syklus)&lt;DagK,"K",IF(MOD($A1083-INDEX(SkiftStart,2),Syklus)&lt;DagK+DagH,"H",IF(MOD($A1083-INDEX(SkiftStart,2),Syklus)&lt;DagK+DagH+DagD,"D","F")))</f>
        <v/>
      </c>
      <c r="D1083">
        <f>IF(MOD($A1083-INDEX(SkiftStart,3),Syklus)&lt;DagK,"K",IF(MOD($A1083-INDEX(SkiftStart,3),Syklus)&lt;DagK+DagH,"H",IF(MOD($A1083-INDEX(SkiftStart,3),Syklus)&lt;DagK+DagH+DagD,"D","F")))</f>
        <v/>
      </c>
      <c r="E1083">
        <f>IF(B1083="F",0,IF(WEEKDAY($A1083,2)=5,INDEX(TimerFr,MATCH(B1083,FaseKode,0)),INDEX(TimerMT,MATCH(B1083,FaseKode,0))))</f>
        <v/>
      </c>
      <c r="F1083">
        <f>IF(C1083="F",0,IF(WEEKDAY($A1083,2)=5,INDEX(TimerFr,MATCH(C1083,FaseKode,0)),INDEX(TimerMT,MATCH(C1083,FaseKode,0))))</f>
        <v/>
      </c>
      <c r="G1083">
        <f>IF(D1083="F",0,IF(WEEKDAY($A1083,2)=5,INDEX(TimerFr,MATCH(D1083,FaseKode,0)),INDEX(TimerMT,MATCH(D1083,FaseKode,0))))</f>
        <v/>
      </c>
      <c r="H1083">
        <f>IF(OR(H$4="",$A1083&gt;TODAY()),0,IF(OR(INDEX($B1083:$D1083,H$5)="F",AND(H$6&gt;0,$A1083&lt;H$6),AND(H$7&gt;0,$A1083&gt;H$7)),0,MAX(0,ROUND((INDEX($E1083:$G1083,H$5)-SUMIFS(TF_Timer,TF_Tekniker,H$4,TF_Dato,$A1083))*2,0)/2)))</f>
        <v/>
      </c>
      <c r="I1083">
        <f>IF(OR(I$4="",$A1083&gt;TODAY()),0,IF(OR(INDEX($B1083:$D1083,I$5)="F",AND(I$6&gt;0,$A1083&lt;I$6),AND(I$7&gt;0,$A1083&gt;I$7)),0,MAX(0,ROUND((INDEX($E1083:$G1083,I$5)-SUMIFS(TF_Timer,TF_Tekniker,I$4,TF_Dato,$A1083))*2,0)/2)))</f>
        <v/>
      </c>
      <c r="J1083">
        <f>IF(OR(J$4="",$A1083&gt;TODAY()),0,IF(OR(INDEX($B1083:$D1083,J$5)="F",AND(J$6&gt;0,$A1083&lt;J$6),AND(J$7&gt;0,$A1083&gt;J$7)),0,MAX(0,ROUND((INDEX($E1083:$G1083,J$5)-SUMIFS(TF_Timer,TF_Tekniker,J$4,TF_Dato,$A1083))*2,0)/2)))</f>
        <v/>
      </c>
      <c r="K1083">
        <f>IF(OR(K$4="",$A1083&gt;TODAY()),0,IF(OR(INDEX($B1083:$D1083,K$5)="F",AND(K$6&gt;0,$A1083&lt;K$6),AND(K$7&gt;0,$A1083&gt;K$7)),0,MAX(0,ROUND((INDEX($E1083:$G1083,K$5)-SUMIFS(TF_Timer,TF_Tekniker,K$4,TF_Dato,$A1083))*2,0)/2)))</f>
        <v/>
      </c>
      <c r="L1083">
        <f>IF(OR(L$4="",$A1083&gt;TODAY()),0,IF(OR(INDEX($B1083:$D1083,L$5)="F",AND(L$6&gt;0,$A1083&lt;L$6),AND(L$7&gt;0,$A1083&gt;L$7)),0,MAX(0,ROUND((INDEX($E1083:$G1083,L$5)-SUMIFS(TF_Timer,TF_Tekniker,L$4,TF_Dato,$A1083))*2,0)/2)))</f>
        <v/>
      </c>
      <c r="M1083">
        <f>IF(OR(M$4="",$A1083&gt;TODAY()),0,IF(OR(INDEX($B1083:$D1083,M$5)="F",AND(M$6&gt;0,$A1083&lt;M$6),AND(M$7&gt;0,$A1083&gt;M$7)),0,MAX(0,ROUND((INDEX($E1083:$G1083,M$5)-SUMIFS(TF_Timer,TF_Tekniker,M$4,TF_Dato,$A1083))*2,0)/2)))</f>
        <v/>
      </c>
      <c r="N1083">
        <f>IF(OR(N$4="",$A1083&gt;TODAY()),0,IF(OR(INDEX($B1083:$D1083,N$5)="F",AND(N$6&gt;0,$A1083&lt;N$6),AND(N$7&gt;0,$A1083&gt;N$7)),0,MAX(0,ROUND((INDEX($E1083:$G1083,N$5)-SUMIFS(TF_Timer,TF_Tekniker,N$4,TF_Dato,$A1083))*2,0)/2)))</f>
        <v/>
      </c>
      <c r="O1083">
        <f>IF(OR(O$4="",$A1083&gt;TODAY()),0,IF(OR(INDEX($B1083:$D1083,O$5)="F",AND(O$6&gt;0,$A1083&lt;O$6),AND(O$7&gt;0,$A1083&gt;O$7)),0,MAX(0,ROUND((INDEX($E1083:$G1083,O$5)-SUMIFS(TF_Timer,TF_Tekniker,O$4,TF_Dato,$A1083))*2,0)/2)))</f>
        <v/>
      </c>
      <c r="P1083">
        <f>IF(OR(P$4="",$A1083&gt;TODAY()),0,IF(OR(INDEX($B1083:$D1083,P$5)="F",AND(P$6&gt;0,$A1083&lt;P$6),AND(P$7&gt;0,$A1083&gt;P$7)),0,MAX(0,ROUND((INDEX($E1083:$G1083,P$5)-SUMIFS(TF_Timer,TF_Tekniker,P$4,TF_Dato,$A1083))*2,0)/2)))</f>
        <v/>
      </c>
      <c r="Q1083">
        <f>IF(OR(Q$4="",$A1083&gt;TODAY()),0,IF(OR(INDEX($B1083:$D1083,Q$5)="F",AND(Q$6&gt;0,$A1083&lt;Q$6),AND(Q$7&gt;0,$A1083&gt;Q$7)),0,MAX(0,ROUND((INDEX($E1083:$G1083,Q$5)-SUMIFS(TF_Timer,TF_Tekniker,Q$4,TF_Dato,$A1083))*2,0)/2)))</f>
        <v/>
      </c>
      <c r="R1083">
        <f>IF(OR(R$4="",$A1083&gt;TODAY()),0,IF(OR(INDEX($B1083:$D1083,R$5)="F",AND(R$6&gt;0,$A1083&lt;R$6),AND(R$7&gt;0,$A1083&gt;R$7)),0,MAX(0,ROUND((INDEX($E1083:$G1083,R$5)-SUMIFS(TF_Timer,TF_Tekniker,R$4,TF_Dato,$A1083))*2,0)/2)))</f>
        <v/>
      </c>
      <c r="S1083">
        <f>IF(OR(S$4="",$A1083&gt;TODAY()),0,IF(OR(INDEX($B1083:$D1083,S$5)="F",AND(S$6&gt;0,$A1083&lt;S$6),AND(S$7&gt;0,$A1083&gt;S$7)),0,MAX(0,ROUND((INDEX($E1083:$G1083,S$5)-SUMIFS(TF_Timer,TF_Tekniker,S$4,TF_Dato,$A1083))*2,0)/2)))</f>
        <v/>
      </c>
      <c r="T1083">
        <f>IF(OR(T$4="",$A1083&gt;TODAY()),0,IF(OR(INDEX($B1083:$D1083,T$5)="F",AND(T$6&gt;0,$A1083&lt;T$6),AND(T$7&gt;0,$A1083&gt;T$7)),0,MAX(0,ROUND((INDEX($E1083:$G1083,T$5)-SUMIFS(TF_Timer,TF_Tekniker,T$4,TF_Dato,$A1083))*2,0)/2)))</f>
        <v/>
      </c>
      <c r="U1083">
        <f>IF(OR(U$4="",$A1083&gt;TODAY()),0,IF(OR(INDEX($B1083:$D1083,U$5)="F",AND(U$6&gt;0,$A1083&lt;U$6),AND(U$7&gt;0,$A1083&gt;U$7)),0,MAX(0,ROUND((INDEX($E1083:$G1083,U$5)-SUMIFS(TF_Timer,TF_Tekniker,U$4,TF_Dato,$A1083))*2,0)/2)))</f>
        <v/>
      </c>
      <c r="V1083">
        <f>IF(OR(V$4="",$A1083&gt;TODAY()),0,IF(OR(INDEX($B1083:$D1083,V$5)="F",AND(V$6&gt;0,$A1083&lt;V$6),AND(V$7&gt;0,$A1083&gt;V$7)),0,MAX(0,ROUND((INDEX($E1083:$G1083,V$5)-SUMIFS(TF_Timer,TF_Tekniker,V$4,TF_Dato,$A1083))*2,0)/2)))</f>
        <v/>
      </c>
      <c r="W1083">
        <f>IF(OR(W$4="",$A1083&gt;TODAY()),0,IF(OR(INDEX($B1083:$D1083,W$5)="F",AND(W$6&gt;0,$A1083&lt;W$6),AND(W$7&gt;0,$A1083&gt;W$7)),0,MAX(0,ROUND((INDEX($E1083:$G1083,W$5)-SUMIFS(TF_Timer,TF_Tekniker,W$4,TF_Dato,$A1083))*2,0)/2)))</f>
        <v/>
      </c>
      <c r="X1083">
        <f>IF(OR(X$4="",$A1083&gt;TODAY()),0,IF(OR(INDEX($B1083:$D1083,X$5)="F",AND(X$6&gt;0,$A1083&lt;X$6),AND(X$7&gt;0,$A1083&gt;X$7)),0,MAX(0,ROUND((INDEX($E1083:$G1083,X$5)-SUMIFS(TF_Timer,TF_Tekniker,X$4,TF_Dato,$A1083))*2,0)/2)))</f>
        <v/>
      </c>
      <c r="Y1083">
        <f>IF(OR(Y$4="",$A1083&gt;TODAY()),0,IF(OR(INDEX($B1083:$D1083,Y$5)="F",AND(Y$6&gt;0,$A1083&lt;Y$6),AND(Y$7&gt;0,$A1083&gt;Y$7)),0,MAX(0,ROUND((INDEX($E1083:$G1083,Y$5)-SUMIFS(TF_Timer,TF_Tekniker,Y$4,TF_Dato,$A1083))*2,0)/2)))</f>
        <v/>
      </c>
      <c r="Z1083">
        <f>IF(OR(Z$4="",$A1083&gt;TODAY()),0,IF(OR(INDEX($B1083:$D1083,Z$5)="F",AND(Z$6&gt;0,$A1083&lt;Z$6),AND(Z$7&gt;0,$A1083&gt;Z$7)),0,MAX(0,ROUND((INDEX($E1083:$G1083,Z$5)-SUMIFS(TF_Timer,TF_Tekniker,Z$4,TF_Dato,$A1083))*2,0)/2)))</f>
        <v/>
      </c>
      <c r="AA1083">
        <f>IF(OR(AA$4="",$A1083&gt;TODAY()),0,IF(OR(INDEX($B1083:$D1083,AA$5)="F",AND(AA$6&gt;0,$A1083&lt;AA$6),AND(AA$7&gt;0,$A1083&gt;AA$7)),0,MAX(0,ROUND((INDEX($E1083:$G1083,AA$5)-SUMIFS(TF_Timer,TF_Tekniker,AA$4,TF_Dato,$A1083))*2,0)/2)))</f>
        <v/>
      </c>
      <c r="AB1083">
        <f>IF(OR(AB$4="",$A1083&gt;TODAY()),0,IF(OR(INDEX($B1083:$D1083,AB$5)="F",AND(AB$6&gt;0,$A1083&lt;AB$6),AND(AB$7&gt;0,$A1083&gt;AB$7)),0,MAX(0,ROUND((INDEX($E1083:$G1083,AB$5)-SUMIFS(TF_Timer,TF_Tekniker,AB$4,TF_Dato,$A1083))*2,0)/2)))</f>
        <v/>
      </c>
      <c r="AC1083">
        <f>IF(OR(AC$4="",$A1083&gt;TODAY()),0,IF(OR(INDEX($B1083:$D1083,AC$5)="F",AND(AC$6&gt;0,$A1083&lt;AC$6),AND(AC$7&gt;0,$A1083&gt;AC$7)),0,MAX(0,ROUND((INDEX($E1083:$G1083,AC$5)-SUMIFS(TF_Timer,TF_Tekniker,AC$4,TF_Dato,$A1083))*2,0)/2)))</f>
        <v/>
      </c>
      <c r="AD1083">
        <f>IF(OR(AD$4="",$A1083&gt;TODAY()),0,IF(OR(INDEX($B1083:$D1083,AD$5)="F",AND(AD$6&gt;0,$A1083&lt;AD$6),AND(AD$7&gt;0,$A1083&gt;AD$7)),0,MAX(0,ROUND((INDEX($E1083:$G1083,AD$5)-SUMIFS(TF_Timer,TF_Tekniker,AD$4,TF_Dato,$A1083))*2,0)/2)))</f>
        <v/>
      </c>
      <c r="AE1083">
        <f>IF(OR(AE$4="",$A1083&gt;TODAY()),0,IF(OR(INDEX($B1083:$D1083,AE$5)="F",AND(AE$6&gt;0,$A1083&lt;AE$6),AND(AE$7&gt;0,$A1083&gt;AE$7)),0,MAX(0,ROUND((INDEX($E1083:$G1083,AE$5)-SUMIFS(TF_Timer,TF_Tekniker,AE$4,TF_Dato,$A1083))*2,0)/2)))</f>
        <v/>
      </c>
      <c r="AF1083">
        <f>IF(OR(AF$4="",$A1083&gt;TODAY()),0,IF(OR(INDEX($B1083:$D1083,AF$5)="F",AND(AF$6&gt;0,$A1083&lt;AF$6),AND(AF$7&gt;0,$A1083&gt;AF$7)),0,MAX(0,ROUND((INDEX($E1083:$G1083,AF$5)-SUMIFS(TF_Timer,TF_Tekniker,AF$4,TF_Dato,$A1083))*2,0)/2)))</f>
        <v/>
      </c>
      <c r="AG1083">
        <f>IF(OR(AG$4="",$A1083&gt;TODAY()),0,IF(OR(INDEX($B1083:$D1083,AG$5)="F",AND(AG$6&gt;0,$A1083&lt;AG$6),AND(AG$7&gt;0,$A1083&gt;AG$7)),0,MAX(0,ROUND((INDEX($E1083:$G1083,AG$5)-SUMIFS(TF_Timer,TF_Tekniker,AG$4,TF_Dato,$A1083))*2,0)/2)))</f>
        <v/>
      </c>
      <c r="AH1083">
        <f>IF(OR(AH$4="",$A1083&gt;TODAY()),0,IF(OR(INDEX($B1083:$D1083,AH$5)="F",AND(AH$6&gt;0,$A1083&lt;AH$6),AND(AH$7&gt;0,$A1083&gt;AH$7)),0,MAX(0,ROUND((INDEX($E1083:$G1083,AH$5)-SUMIFS(TF_Timer,TF_Tekniker,AH$4,TF_Dato,$A1083))*2,0)/2)))</f>
        <v/>
      </c>
      <c r="AI1083">
        <f>IF(OR(AI$4="",$A1083&gt;TODAY()),0,IF(OR(INDEX($B1083:$D1083,AI$5)="F",AND(AI$6&gt;0,$A1083&lt;AI$6),AND(AI$7&gt;0,$A1083&gt;AI$7)),0,MAX(0,ROUND((INDEX($E1083:$G1083,AI$5)-SUMIFS(TF_Timer,TF_Tekniker,AI$4,TF_Dato,$A1083))*2,0)/2)))</f>
        <v/>
      </c>
      <c r="AJ1083">
        <f>IF(OR(AJ$4="",$A1083&gt;TODAY()),0,IF(OR(INDEX($B1083:$D1083,AJ$5)="F",AND(AJ$6&gt;0,$A1083&lt;AJ$6),AND(AJ$7&gt;0,$A1083&gt;AJ$7)),0,MAX(0,ROUND((INDEX($E1083:$G1083,AJ$5)-SUMIFS(TF_Timer,TF_Tekniker,AJ$4,TF_Dato,$A1083))*2,0)/2)))</f>
        <v/>
      </c>
      <c r="AK1083">
        <f>IF(OR(AK$4="",$A1083&gt;TODAY()),0,IF(OR(INDEX($B1083:$D1083,AK$5)="F",AND(AK$6&gt;0,$A1083&lt;AK$6),AND(AK$7&gt;0,$A1083&gt;AK$7)),0,MAX(0,ROUND((INDEX($E1083:$G1083,AK$5)-SUMIFS(TF_Timer,TF_Tekniker,AK$4,TF_Dato,$A1083))*2,0)/2)))</f>
        <v/>
      </c>
      <c r="AL1083">
        <f>IF(OR(AL$4="",$A1083&gt;TODAY()),0,IF(OR(INDEX($B1083:$D1083,AL$5)="F",AND(AL$6&gt;0,$A1083&lt;AL$6),AND(AL$7&gt;0,$A1083&gt;AL$7)),0,MAX(0,ROUND((INDEX($E1083:$G1083,AL$5)-SUMIFS(TF_Timer,TF_Tekniker,AL$4,TF_Dato,$A1083))*2,0)/2)))</f>
        <v/>
      </c>
      <c r="AM1083">
        <f>IF(OR(AM$4="",$A1083&gt;TODAY()),0,IF(OR(INDEX($B1083:$D1083,AM$5)="F",AND(AM$6&gt;0,$A1083&lt;AM$6),AND(AM$7&gt;0,$A1083&gt;AM$7)),0,MAX(0,ROUND((INDEX($E1083:$G1083,AM$5)-SUMIFS(TF_Timer,TF_Tekniker,AM$4,TF_Dato,$A1083))*2,0)/2)))</f>
        <v/>
      </c>
      <c r="AN1083">
        <f>IF(OR(AN$4="",$A1083&gt;TODAY()),0,IF(OR(INDEX($B1083:$D1083,AN$5)="F",AND(AN$6&gt;0,$A1083&lt;AN$6),AND(AN$7&gt;0,$A1083&gt;AN$7)),0,MAX(0,ROUND((INDEX($E1083:$G1083,AN$5)-SUMIFS(TF_Timer,TF_Tekniker,AN$4,TF_Dato,$A1083))*2,0)/2)))</f>
        <v/>
      </c>
      <c r="AO1083">
        <f>IF(OR(AO$4="",$A1083&gt;TODAY()),0,IF(OR(INDEX($B1083:$D1083,AO$5)="F",AND(AO$6&gt;0,$A1083&lt;AO$6),AND(AO$7&gt;0,$A1083&gt;AO$7)),0,MAX(0,ROUND((INDEX($E1083:$G1083,AO$5)-SUMIFS(TF_Timer,TF_Tekniker,AO$4,TF_Dato,$A1083))*2,0)/2)))</f>
        <v/>
      </c>
      <c r="AP1083">
        <f>IF(OR(AP$4="",$A1083&gt;TODAY()),0,IF(OR(INDEX($B1083:$D1083,AP$5)="F",AND(AP$6&gt;0,$A1083&lt;AP$6),AND(AP$7&gt;0,$A1083&gt;AP$7)),0,MAX(0,ROUND((INDEX($E1083:$G1083,AP$5)-SUMIFS(TF_Timer,TF_Tekniker,AP$4,TF_Dato,$A1083))*2,0)/2)))</f>
        <v/>
      </c>
      <c r="AQ1083">
        <f>IF(OR(AQ$4="",$A1083&gt;TODAY()),0,IF(OR(INDEX($B1083:$D1083,AQ$5)="F",AND(AQ$6&gt;0,$A1083&lt;AQ$6),AND(AQ$7&gt;0,$A1083&gt;AQ$7)),0,MAX(0,ROUND((INDEX($E1083:$G1083,AQ$5)-SUMIFS(TF_Timer,TF_Tekniker,AQ$4,TF_Dato,$A1083))*2,0)/2)))</f>
        <v/>
      </c>
      <c r="AR1083">
        <f>IF(OR(AR$4="",$A1083&gt;TODAY()),0,IF(OR(INDEX($B1083:$D1083,AR$5)="F",AND(AR$6&gt;0,$A1083&lt;AR$6),AND(AR$7&gt;0,$A1083&gt;AR$7)),0,MAX(0,ROUND((INDEX($E1083:$G1083,AR$5)-SUMIFS(TF_Timer,TF_Tekniker,AR$4,TF_Dato,$A1083))*2,0)/2)))</f>
        <v/>
      </c>
      <c r="AS1083">
        <f>IF(OR(AS$4="",$A1083&gt;TODAY()),0,IF(OR(INDEX($B1083:$D1083,AS$5)="F",AND(AS$6&gt;0,$A1083&lt;AS$6),AND(AS$7&gt;0,$A1083&gt;AS$7)),0,MAX(0,ROUND((INDEX($E1083:$G1083,AS$5)-SUMIFS(TF_Timer,TF_Tekniker,AS$4,TF_Dato,$A1083))*2,0)/2)))</f>
        <v/>
      </c>
      <c r="AT1083">
        <f>IF(OR(AT$4="",$A1083&gt;TODAY()),0,IF(OR(INDEX($B1083:$D1083,AT$5)="F",AND(AT$6&gt;0,$A1083&lt;AT$6),AND(AT$7&gt;0,$A1083&gt;AT$7)),0,MAX(0,ROUND((INDEX($E1083:$G1083,AT$5)-SUMIFS(TF_Timer,TF_Tekniker,AT$4,TF_Dato,$A1083))*2,0)/2)))</f>
        <v/>
      </c>
      <c r="AU1083">
        <f>IF(OR(AU$4="",$A1083&gt;TODAY()),0,IF(OR(INDEX($B1083:$D1083,AU$5)="F",AND(AU$6&gt;0,$A1083&lt;AU$6),AND(AU$7&gt;0,$A1083&gt;AU$7)),0,MAX(0,ROUND((INDEX($E1083:$G1083,AU$5)-SUMIFS(TF_Timer,TF_Tekniker,AU$4,TF_Dato,$A1083))*2,0)/2)))</f>
        <v/>
      </c>
      <c r="AV1083">
        <f>IF(OR(AV$4="",$A1083&gt;TODAY()),0,IF(OR(INDEX($B1083:$D1083,AV$5)="F",AND(AV$6&gt;0,$A1083&lt;AV$6),AND(AV$7&gt;0,$A1083&gt;AV$7)),0,MAX(0,ROUND((INDEX($E1083:$G1083,AV$5)-SUMIFS(TF_Timer,TF_Tekniker,AV$4,TF_Dato,$A1083))*2,0)/2)))</f>
        <v/>
      </c>
      <c r="AW1083">
        <f>IF(OR(AW$4="",$A1083&gt;TODAY()),0,IF(OR(INDEX($B1083:$D1083,AW$5)="F",AND(AW$6&gt;0,$A1083&lt;AW$6),AND(AW$7&gt;0,$A1083&gt;AW$7)),0,MAX(0,ROUND((INDEX($E1083:$G1083,AW$5)-SUMIFS(TF_Timer,TF_Tekniker,AW$4,TF_Dato,$A1083))*2,0)/2)))</f>
        <v/>
      </c>
      <c r="AX1083">
        <f>IF(OR(AX$4="",$A1083&gt;TODAY()),0,IF(OR(INDEX($B1083:$D1083,AX$5)="F",AND(AX$6&gt;0,$A1083&lt;AX$6),AND(AX$7&gt;0,$A1083&gt;AX$7)),0,MAX(0,ROUND((INDEX($E1083:$G1083,AX$5)-SUMIFS(TF_Timer,TF_Tekniker,AX$4,TF_Dato,$A1083))*2,0)/2)))</f>
        <v/>
      </c>
      <c r="AY1083">
        <f>IF(OR(AY$4="",$A1083&gt;TODAY()),0,IF(OR(INDEX($B1083:$D1083,AY$5)="F",AND(AY$6&gt;0,$A1083&lt;AY$6),AND(AY$7&gt;0,$A1083&gt;AY$7)),0,MAX(0,ROUND((INDEX($E1083:$G1083,AY$5)-SUMIFS(TF_Timer,TF_Tekniker,AY$4,TF_Dato,$A1083))*2,0)/2)))</f>
        <v/>
      </c>
      <c r="AZ1083">
        <f>IF(OR(AZ$4="",$A1083&gt;TODAY()),0,IF(OR(INDEX($B1083:$D1083,AZ$5)="F",AND(AZ$6&gt;0,$A1083&lt;AZ$6),AND(AZ$7&gt;0,$A1083&gt;AZ$7)),0,MAX(0,ROUND((INDEX($E1083:$G1083,AZ$5)-SUMIFS(TF_Timer,TF_Tekniker,AZ$4,TF_Dato,$A1083))*2,0)/2)))</f>
        <v/>
      </c>
      <c r="BA1083">
        <f>IF(OR(BA$4="",$A1083&gt;TODAY()),0,IF(OR(INDEX($B1083:$D1083,BA$5)="F",AND(BA$6&gt;0,$A1083&lt;BA$6),AND(BA$7&gt;0,$A1083&gt;BA$7)),0,MAX(0,ROUND((INDEX($E1083:$G1083,BA$5)-SUMIFS(TF_Timer,TF_Tekniker,BA$4,TF_Dato,$A1083))*2,0)/2)))</f>
        <v/>
      </c>
      <c r="BB1083">
        <f>IF(OR(BB$4="",$A1083&gt;TODAY()),0,IF(OR(INDEX($B1083:$D1083,BB$5)="F",AND(BB$6&gt;0,$A1083&lt;BB$6),AND(BB$7&gt;0,$A1083&gt;BB$7)),0,MAX(0,ROUND((INDEX($E1083:$G1083,BB$5)-SUMIFS(TF_Timer,TF_Tekniker,BB$4,TF_Dato,$A1083))*2,0)/2)))</f>
        <v/>
      </c>
      <c r="BC1083">
        <f>IF(OR(BC$4="",$A1083&gt;TODAY()),0,IF(OR(INDEX($B1083:$D1083,BC$5)="F",AND(BC$6&gt;0,$A1083&lt;BC$6),AND(BC$7&gt;0,$A1083&gt;BC$7)),0,MAX(0,ROUND((INDEX($E1083:$G1083,BC$5)-SUMIFS(TF_Timer,TF_Tekniker,BC$4,TF_Dato,$A1083))*2,0)/2)))</f>
        <v/>
      </c>
      <c r="BD1083">
        <f>IF(OR(BD$4="",$A1083&gt;TODAY()),0,IF(OR(INDEX($B1083:$D1083,BD$5)="F",AND(BD$6&gt;0,$A1083&lt;BD$6),AND(BD$7&gt;0,$A1083&gt;BD$7)),0,MAX(0,ROUND((INDEX($E1083:$G1083,BD$5)-SUMIFS(TF_Timer,TF_Tekniker,BD$4,TF_Dato,$A1083))*2,0)/2)))</f>
        <v/>
      </c>
      <c r="BE1083">
        <f>IF(OR(BE$4="",$A1083&gt;TODAY()),0,IF(OR(INDEX($B1083:$D1083,BE$5)="F",AND(BE$6&gt;0,$A1083&lt;BE$6),AND(BE$7&gt;0,$A1083&gt;BE$7)),0,MAX(0,ROUND((INDEX($E1083:$G1083,BE$5)-SUMIFS(TF_Timer,TF_Tekniker,BE$4,TF_Dato,$A1083))*2,0)/2)))</f>
        <v/>
      </c>
      <c r="BF1083">
        <f>IF(OR(BF$4="",$A1083&gt;TODAY()),0,IF(OR(INDEX($B1083:$D1083,BF$5)="F",AND(BF$6&gt;0,$A1083&lt;BF$6),AND(BF$7&gt;0,$A1083&gt;BF$7)),0,MAX(0,ROUND((INDEX($E1083:$G1083,BF$5)-SUMIFS(TF_Timer,TF_Tekniker,BF$4,TF_Dato,$A1083))*2,0)/2)))</f>
        <v/>
      </c>
      <c r="BG1083">
        <f>IF(OR(BG$4="",$A1083&gt;TODAY()),0,IF(OR(INDEX($B1083:$D1083,BG$5)="F",AND(BG$6&gt;0,$A1083&lt;BG$6),AND(BG$7&gt;0,$A1083&gt;BG$7)),0,MAX(0,ROUND((INDEX($E1083:$G1083,BG$5)-SUMIFS(TF_Timer,TF_Tekniker,BG$4,TF_Dato,$A1083))*2,0)/2)))</f>
        <v/>
      </c>
      <c r="BH1083">
        <f>IF(OR(BH$4="",$A1083&gt;TODAY()),0,IF(OR(INDEX($B1083:$D1083,BH$5)="F",AND(BH$6&gt;0,$A1083&lt;BH$6),AND(BH$7&gt;0,$A1083&gt;BH$7)),0,MAX(0,ROUND((INDEX($E1083:$G1083,BH$5)-SUMIFS(TF_Timer,TF_Tekniker,BH$4,TF_Dato,$A1083))*2,0)/2)))</f>
        <v/>
      </c>
      <c r="BI1083">
        <f>IF(OR(BI$4="",$A1083&gt;TODAY()),0,IF(OR(INDEX($B1083:$D1083,BI$5)="F",AND(BI$6&gt;0,$A1083&lt;BI$6),AND(BI$7&gt;0,$A1083&gt;BI$7)),0,MAX(0,ROUND((INDEX($E1083:$G1083,BI$5)-SUMIFS(TF_Timer,TF_Tekniker,BI$4,TF_Dato,$A1083))*2,0)/2)))</f>
        <v/>
      </c>
    </row>
    <row r="1084">
      <c r="A1084" s="64">
        <f>A1083+1</f>
        <v/>
      </c>
      <c r="B1084">
        <f>IF(MOD($A1084-INDEX(SkiftStart,1),Syklus)&lt;DagK,"K",IF(MOD($A1084-INDEX(SkiftStart,1),Syklus)&lt;DagK+DagH,"H",IF(MOD($A1084-INDEX(SkiftStart,1),Syklus)&lt;DagK+DagH+DagD,"D","F")))</f>
        <v/>
      </c>
      <c r="C1084">
        <f>IF(MOD($A1084-INDEX(SkiftStart,2),Syklus)&lt;DagK,"K",IF(MOD($A1084-INDEX(SkiftStart,2),Syklus)&lt;DagK+DagH,"H",IF(MOD($A1084-INDEX(SkiftStart,2),Syklus)&lt;DagK+DagH+DagD,"D","F")))</f>
        <v/>
      </c>
      <c r="D1084">
        <f>IF(MOD($A1084-INDEX(SkiftStart,3),Syklus)&lt;DagK,"K",IF(MOD($A1084-INDEX(SkiftStart,3),Syklus)&lt;DagK+DagH,"H",IF(MOD($A1084-INDEX(SkiftStart,3),Syklus)&lt;DagK+DagH+DagD,"D","F")))</f>
        <v/>
      </c>
      <c r="E1084">
        <f>IF(B1084="F",0,IF(WEEKDAY($A1084,2)=5,INDEX(TimerFr,MATCH(B1084,FaseKode,0)),INDEX(TimerMT,MATCH(B1084,FaseKode,0))))</f>
        <v/>
      </c>
      <c r="F1084">
        <f>IF(C1084="F",0,IF(WEEKDAY($A1084,2)=5,INDEX(TimerFr,MATCH(C1084,FaseKode,0)),INDEX(TimerMT,MATCH(C1084,FaseKode,0))))</f>
        <v/>
      </c>
      <c r="G1084">
        <f>IF(D1084="F",0,IF(WEEKDAY($A1084,2)=5,INDEX(TimerFr,MATCH(D1084,FaseKode,0)),INDEX(TimerMT,MATCH(D1084,FaseKode,0))))</f>
        <v/>
      </c>
      <c r="H1084">
        <f>IF(OR(H$4="",$A1084&gt;TODAY()),0,IF(OR(INDEX($B1084:$D1084,H$5)="F",AND(H$6&gt;0,$A1084&lt;H$6),AND(H$7&gt;0,$A1084&gt;H$7)),0,MAX(0,ROUND((INDEX($E1084:$G1084,H$5)-SUMIFS(TF_Timer,TF_Tekniker,H$4,TF_Dato,$A1084))*2,0)/2)))</f>
        <v/>
      </c>
      <c r="I1084">
        <f>IF(OR(I$4="",$A1084&gt;TODAY()),0,IF(OR(INDEX($B1084:$D1084,I$5)="F",AND(I$6&gt;0,$A1084&lt;I$6),AND(I$7&gt;0,$A1084&gt;I$7)),0,MAX(0,ROUND((INDEX($E1084:$G1084,I$5)-SUMIFS(TF_Timer,TF_Tekniker,I$4,TF_Dato,$A1084))*2,0)/2)))</f>
        <v/>
      </c>
      <c r="J1084">
        <f>IF(OR(J$4="",$A1084&gt;TODAY()),0,IF(OR(INDEX($B1084:$D1084,J$5)="F",AND(J$6&gt;0,$A1084&lt;J$6),AND(J$7&gt;0,$A1084&gt;J$7)),0,MAX(0,ROUND((INDEX($E1084:$G1084,J$5)-SUMIFS(TF_Timer,TF_Tekniker,J$4,TF_Dato,$A1084))*2,0)/2)))</f>
        <v/>
      </c>
      <c r="K1084">
        <f>IF(OR(K$4="",$A1084&gt;TODAY()),0,IF(OR(INDEX($B1084:$D1084,K$5)="F",AND(K$6&gt;0,$A1084&lt;K$6),AND(K$7&gt;0,$A1084&gt;K$7)),0,MAX(0,ROUND((INDEX($E1084:$G1084,K$5)-SUMIFS(TF_Timer,TF_Tekniker,K$4,TF_Dato,$A1084))*2,0)/2)))</f>
        <v/>
      </c>
      <c r="L1084">
        <f>IF(OR(L$4="",$A1084&gt;TODAY()),0,IF(OR(INDEX($B1084:$D1084,L$5)="F",AND(L$6&gt;0,$A1084&lt;L$6),AND(L$7&gt;0,$A1084&gt;L$7)),0,MAX(0,ROUND((INDEX($E1084:$G1084,L$5)-SUMIFS(TF_Timer,TF_Tekniker,L$4,TF_Dato,$A1084))*2,0)/2)))</f>
        <v/>
      </c>
      <c r="M1084">
        <f>IF(OR(M$4="",$A1084&gt;TODAY()),0,IF(OR(INDEX($B1084:$D1084,M$5)="F",AND(M$6&gt;0,$A1084&lt;M$6),AND(M$7&gt;0,$A1084&gt;M$7)),0,MAX(0,ROUND((INDEX($E1084:$G1084,M$5)-SUMIFS(TF_Timer,TF_Tekniker,M$4,TF_Dato,$A1084))*2,0)/2)))</f>
        <v/>
      </c>
      <c r="N1084">
        <f>IF(OR(N$4="",$A1084&gt;TODAY()),0,IF(OR(INDEX($B1084:$D1084,N$5)="F",AND(N$6&gt;0,$A1084&lt;N$6),AND(N$7&gt;0,$A1084&gt;N$7)),0,MAX(0,ROUND((INDEX($E1084:$G1084,N$5)-SUMIFS(TF_Timer,TF_Tekniker,N$4,TF_Dato,$A1084))*2,0)/2)))</f>
        <v/>
      </c>
      <c r="O1084">
        <f>IF(OR(O$4="",$A1084&gt;TODAY()),0,IF(OR(INDEX($B1084:$D1084,O$5)="F",AND(O$6&gt;0,$A1084&lt;O$6),AND(O$7&gt;0,$A1084&gt;O$7)),0,MAX(0,ROUND((INDEX($E1084:$G1084,O$5)-SUMIFS(TF_Timer,TF_Tekniker,O$4,TF_Dato,$A1084))*2,0)/2)))</f>
        <v/>
      </c>
      <c r="P1084">
        <f>IF(OR(P$4="",$A1084&gt;TODAY()),0,IF(OR(INDEX($B1084:$D1084,P$5)="F",AND(P$6&gt;0,$A1084&lt;P$6),AND(P$7&gt;0,$A1084&gt;P$7)),0,MAX(0,ROUND((INDEX($E1084:$G1084,P$5)-SUMIFS(TF_Timer,TF_Tekniker,P$4,TF_Dato,$A1084))*2,0)/2)))</f>
        <v/>
      </c>
      <c r="Q1084">
        <f>IF(OR(Q$4="",$A1084&gt;TODAY()),0,IF(OR(INDEX($B1084:$D1084,Q$5)="F",AND(Q$6&gt;0,$A1084&lt;Q$6),AND(Q$7&gt;0,$A1084&gt;Q$7)),0,MAX(0,ROUND((INDEX($E1084:$G1084,Q$5)-SUMIFS(TF_Timer,TF_Tekniker,Q$4,TF_Dato,$A1084))*2,0)/2)))</f>
        <v/>
      </c>
      <c r="R1084">
        <f>IF(OR(R$4="",$A1084&gt;TODAY()),0,IF(OR(INDEX($B1084:$D1084,R$5)="F",AND(R$6&gt;0,$A1084&lt;R$6),AND(R$7&gt;0,$A1084&gt;R$7)),0,MAX(0,ROUND((INDEX($E1084:$G1084,R$5)-SUMIFS(TF_Timer,TF_Tekniker,R$4,TF_Dato,$A1084))*2,0)/2)))</f>
        <v/>
      </c>
      <c r="S1084">
        <f>IF(OR(S$4="",$A1084&gt;TODAY()),0,IF(OR(INDEX($B1084:$D1084,S$5)="F",AND(S$6&gt;0,$A1084&lt;S$6),AND(S$7&gt;0,$A1084&gt;S$7)),0,MAX(0,ROUND((INDEX($E1084:$G1084,S$5)-SUMIFS(TF_Timer,TF_Tekniker,S$4,TF_Dato,$A1084))*2,0)/2)))</f>
        <v/>
      </c>
      <c r="T1084">
        <f>IF(OR(T$4="",$A1084&gt;TODAY()),0,IF(OR(INDEX($B1084:$D1084,T$5)="F",AND(T$6&gt;0,$A1084&lt;T$6),AND(T$7&gt;0,$A1084&gt;T$7)),0,MAX(0,ROUND((INDEX($E1084:$G1084,T$5)-SUMIFS(TF_Timer,TF_Tekniker,T$4,TF_Dato,$A1084))*2,0)/2)))</f>
        <v/>
      </c>
      <c r="U1084">
        <f>IF(OR(U$4="",$A1084&gt;TODAY()),0,IF(OR(INDEX($B1084:$D1084,U$5)="F",AND(U$6&gt;0,$A1084&lt;U$6),AND(U$7&gt;0,$A1084&gt;U$7)),0,MAX(0,ROUND((INDEX($E1084:$G1084,U$5)-SUMIFS(TF_Timer,TF_Tekniker,U$4,TF_Dato,$A1084))*2,0)/2)))</f>
        <v/>
      </c>
      <c r="V1084">
        <f>IF(OR(V$4="",$A1084&gt;TODAY()),0,IF(OR(INDEX($B1084:$D1084,V$5)="F",AND(V$6&gt;0,$A1084&lt;V$6),AND(V$7&gt;0,$A1084&gt;V$7)),0,MAX(0,ROUND((INDEX($E1084:$G1084,V$5)-SUMIFS(TF_Timer,TF_Tekniker,V$4,TF_Dato,$A1084))*2,0)/2)))</f>
        <v/>
      </c>
      <c r="W1084">
        <f>IF(OR(W$4="",$A1084&gt;TODAY()),0,IF(OR(INDEX($B1084:$D1084,W$5)="F",AND(W$6&gt;0,$A1084&lt;W$6),AND(W$7&gt;0,$A1084&gt;W$7)),0,MAX(0,ROUND((INDEX($E1084:$G1084,W$5)-SUMIFS(TF_Timer,TF_Tekniker,W$4,TF_Dato,$A1084))*2,0)/2)))</f>
        <v/>
      </c>
      <c r="X1084">
        <f>IF(OR(X$4="",$A1084&gt;TODAY()),0,IF(OR(INDEX($B1084:$D1084,X$5)="F",AND(X$6&gt;0,$A1084&lt;X$6),AND(X$7&gt;0,$A1084&gt;X$7)),0,MAX(0,ROUND((INDEX($E1084:$G1084,X$5)-SUMIFS(TF_Timer,TF_Tekniker,X$4,TF_Dato,$A1084))*2,0)/2)))</f>
        <v/>
      </c>
      <c r="Y1084">
        <f>IF(OR(Y$4="",$A1084&gt;TODAY()),0,IF(OR(INDEX($B1084:$D1084,Y$5)="F",AND(Y$6&gt;0,$A1084&lt;Y$6),AND(Y$7&gt;0,$A1084&gt;Y$7)),0,MAX(0,ROUND((INDEX($E1084:$G1084,Y$5)-SUMIFS(TF_Timer,TF_Tekniker,Y$4,TF_Dato,$A1084))*2,0)/2)))</f>
        <v/>
      </c>
      <c r="Z1084">
        <f>IF(OR(Z$4="",$A1084&gt;TODAY()),0,IF(OR(INDEX($B1084:$D1084,Z$5)="F",AND(Z$6&gt;0,$A1084&lt;Z$6),AND(Z$7&gt;0,$A1084&gt;Z$7)),0,MAX(0,ROUND((INDEX($E1084:$G1084,Z$5)-SUMIFS(TF_Timer,TF_Tekniker,Z$4,TF_Dato,$A1084))*2,0)/2)))</f>
        <v/>
      </c>
      <c r="AA1084">
        <f>IF(OR(AA$4="",$A1084&gt;TODAY()),0,IF(OR(INDEX($B1084:$D1084,AA$5)="F",AND(AA$6&gt;0,$A1084&lt;AA$6),AND(AA$7&gt;0,$A1084&gt;AA$7)),0,MAX(0,ROUND((INDEX($E1084:$G1084,AA$5)-SUMIFS(TF_Timer,TF_Tekniker,AA$4,TF_Dato,$A1084))*2,0)/2)))</f>
        <v/>
      </c>
      <c r="AB1084">
        <f>IF(OR(AB$4="",$A1084&gt;TODAY()),0,IF(OR(INDEX($B1084:$D1084,AB$5)="F",AND(AB$6&gt;0,$A1084&lt;AB$6),AND(AB$7&gt;0,$A1084&gt;AB$7)),0,MAX(0,ROUND((INDEX($E1084:$G1084,AB$5)-SUMIFS(TF_Timer,TF_Tekniker,AB$4,TF_Dato,$A1084))*2,0)/2)))</f>
        <v/>
      </c>
      <c r="AC1084">
        <f>IF(OR(AC$4="",$A1084&gt;TODAY()),0,IF(OR(INDEX($B1084:$D1084,AC$5)="F",AND(AC$6&gt;0,$A1084&lt;AC$6),AND(AC$7&gt;0,$A1084&gt;AC$7)),0,MAX(0,ROUND((INDEX($E1084:$G1084,AC$5)-SUMIFS(TF_Timer,TF_Tekniker,AC$4,TF_Dato,$A1084))*2,0)/2)))</f>
        <v/>
      </c>
      <c r="AD1084">
        <f>IF(OR(AD$4="",$A1084&gt;TODAY()),0,IF(OR(INDEX($B1084:$D1084,AD$5)="F",AND(AD$6&gt;0,$A1084&lt;AD$6),AND(AD$7&gt;0,$A1084&gt;AD$7)),0,MAX(0,ROUND((INDEX($E1084:$G1084,AD$5)-SUMIFS(TF_Timer,TF_Tekniker,AD$4,TF_Dato,$A1084))*2,0)/2)))</f>
        <v/>
      </c>
      <c r="AE1084">
        <f>IF(OR(AE$4="",$A1084&gt;TODAY()),0,IF(OR(INDEX($B1084:$D1084,AE$5)="F",AND(AE$6&gt;0,$A1084&lt;AE$6),AND(AE$7&gt;0,$A1084&gt;AE$7)),0,MAX(0,ROUND((INDEX($E1084:$G1084,AE$5)-SUMIFS(TF_Timer,TF_Tekniker,AE$4,TF_Dato,$A1084))*2,0)/2)))</f>
        <v/>
      </c>
      <c r="AF1084">
        <f>IF(OR(AF$4="",$A1084&gt;TODAY()),0,IF(OR(INDEX($B1084:$D1084,AF$5)="F",AND(AF$6&gt;0,$A1084&lt;AF$6),AND(AF$7&gt;0,$A1084&gt;AF$7)),0,MAX(0,ROUND((INDEX($E1084:$G1084,AF$5)-SUMIFS(TF_Timer,TF_Tekniker,AF$4,TF_Dato,$A1084))*2,0)/2)))</f>
        <v/>
      </c>
      <c r="AG1084">
        <f>IF(OR(AG$4="",$A1084&gt;TODAY()),0,IF(OR(INDEX($B1084:$D1084,AG$5)="F",AND(AG$6&gt;0,$A1084&lt;AG$6),AND(AG$7&gt;0,$A1084&gt;AG$7)),0,MAX(0,ROUND((INDEX($E1084:$G1084,AG$5)-SUMIFS(TF_Timer,TF_Tekniker,AG$4,TF_Dato,$A1084))*2,0)/2)))</f>
        <v/>
      </c>
      <c r="AH1084">
        <f>IF(OR(AH$4="",$A1084&gt;TODAY()),0,IF(OR(INDEX($B1084:$D1084,AH$5)="F",AND(AH$6&gt;0,$A1084&lt;AH$6),AND(AH$7&gt;0,$A1084&gt;AH$7)),0,MAX(0,ROUND((INDEX($E1084:$G1084,AH$5)-SUMIFS(TF_Timer,TF_Tekniker,AH$4,TF_Dato,$A1084))*2,0)/2)))</f>
        <v/>
      </c>
      <c r="AI1084">
        <f>IF(OR(AI$4="",$A1084&gt;TODAY()),0,IF(OR(INDEX($B1084:$D1084,AI$5)="F",AND(AI$6&gt;0,$A1084&lt;AI$6),AND(AI$7&gt;0,$A1084&gt;AI$7)),0,MAX(0,ROUND((INDEX($E1084:$G1084,AI$5)-SUMIFS(TF_Timer,TF_Tekniker,AI$4,TF_Dato,$A1084))*2,0)/2)))</f>
        <v/>
      </c>
      <c r="AJ1084">
        <f>IF(OR(AJ$4="",$A1084&gt;TODAY()),0,IF(OR(INDEX($B1084:$D1084,AJ$5)="F",AND(AJ$6&gt;0,$A1084&lt;AJ$6),AND(AJ$7&gt;0,$A1084&gt;AJ$7)),0,MAX(0,ROUND((INDEX($E1084:$G1084,AJ$5)-SUMIFS(TF_Timer,TF_Tekniker,AJ$4,TF_Dato,$A1084))*2,0)/2)))</f>
        <v/>
      </c>
      <c r="AK1084">
        <f>IF(OR(AK$4="",$A1084&gt;TODAY()),0,IF(OR(INDEX($B1084:$D1084,AK$5)="F",AND(AK$6&gt;0,$A1084&lt;AK$6),AND(AK$7&gt;0,$A1084&gt;AK$7)),0,MAX(0,ROUND((INDEX($E1084:$G1084,AK$5)-SUMIFS(TF_Timer,TF_Tekniker,AK$4,TF_Dato,$A1084))*2,0)/2)))</f>
        <v/>
      </c>
      <c r="AL1084">
        <f>IF(OR(AL$4="",$A1084&gt;TODAY()),0,IF(OR(INDEX($B1084:$D1084,AL$5)="F",AND(AL$6&gt;0,$A1084&lt;AL$6),AND(AL$7&gt;0,$A1084&gt;AL$7)),0,MAX(0,ROUND((INDEX($E1084:$G1084,AL$5)-SUMIFS(TF_Timer,TF_Tekniker,AL$4,TF_Dato,$A1084))*2,0)/2)))</f>
        <v/>
      </c>
      <c r="AM1084">
        <f>IF(OR(AM$4="",$A1084&gt;TODAY()),0,IF(OR(INDEX($B1084:$D1084,AM$5)="F",AND(AM$6&gt;0,$A1084&lt;AM$6),AND(AM$7&gt;0,$A1084&gt;AM$7)),0,MAX(0,ROUND((INDEX($E1084:$G1084,AM$5)-SUMIFS(TF_Timer,TF_Tekniker,AM$4,TF_Dato,$A1084))*2,0)/2)))</f>
        <v/>
      </c>
      <c r="AN1084">
        <f>IF(OR(AN$4="",$A1084&gt;TODAY()),0,IF(OR(INDEX($B1084:$D1084,AN$5)="F",AND(AN$6&gt;0,$A1084&lt;AN$6),AND(AN$7&gt;0,$A1084&gt;AN$7)),0,MAX(0,ROUND((INDEX($E1084:$G1084,AN$5)-SUMIFS(TF_Timer,TF_Tekniker,AN$4,TF_Dato,$A1084))*2,0)/2)))</f>
        <v/>
      </c>
      <c r="AO1084">
        <f>IF(OR(AO$4="",$A1084&gt;TODAY()),0,IF(OR(INDEX($B1084:$D1084,AO$5)="F",AND(AO$6&gt;0,$A1084&lt;AO$6),AND(AO$7&gt;0,$A1084&gt;AO$7)),0,MAX(0,ROUND((INDEX($E1084:$G1084,AO$5)-SUMIFS(TF_Timer,TF_Tekniker,AO$4,TF_Dato,$A1084))*2,0)/2)))</f>
        <v/>
      </c>
      <c r="AP1084">
        <f>IF(OR(AP$4="",$A1084&gt;TODAY()),0,IF(OR(INDEX($B1084:$D1084,AP$5)="F",AND(AP$6&gt;0,$A1084&lt;AP$6),AND(AP$7&gt;0,$A1084&gt;AP$7)),0,MAX(0,ROUND((INDEX($E1084:$G1084,AP$5)-SUMIFS(TF_Timer,TF_Tekniker,AP$4,TF_Dato,$A1084))*2,0)/2)))</f>
        <v/>
      </c>
      <c r="AQ1084">
        <f>IF(OR(AQ$4="",$A1084&gt;TODAY()),0,IF(OR(INDEX($B1084:$D1084,AQ$5)="F",AND(AQ$6&gt;0,$A1084&lt;AQ$6),AND(AQ$7&gt;0,$A1084&gt;AQ$7)),0,MAX(0,ROUND((INDEX($E1084:$G1084,AQ$5)-SUMIFS(TF_Timer,TF_Tekniker,AQ$4,TF_Dato,$A1084))*2,0)/2)))</f>
        <v/>
      </c>
      <c r="AR1084">
        <f>IF(OR(AR$4="",$A1084&gt;TODAY()),0,IF(OR(INDEX($B1084:$D1084,AR$5)="F",AND(AR$6&gt;0,$A1084&lt;AR$6),AND(AR$7&gt;0,$A1084&gt;AR$7)),0,MAX(0,ROUND((INDEX($E1084:$G1084,AR$5)-SUMIFS(TF_Timer,TF_Tekniker,AR$4,TF_Dato,$A1084))*2,0)/2)))</f>
        <v/>
      </c>
      <c r="AS1084">
        <f>IF(OR(AS$4="",$A1084&gt;TODAY()),0,IF(OR(INDEX($B1084:$D1084,AS$5)="F",AND(AS$6&gt;0,$A1084&lt;AS$6),AND(AS$7&gt;0,$A1084&gt;AS$7)),0,MAX(0,ROUND((INDEX($E1084:$G1084,AS$5)-SUMIFS(TF_Timer,TF_Tekniker,AS$4,TF_Dato,$A1084))*2,0)/2)))</f>
        <v/>
      </c>
      <c r="AT1084">
        <f>IF(OR(AT$4="",$A1084&gt;TODAY()),0,IF(OR(INDEX($B1084:$D1084,AT$5)="F",AND(AT$6&gt;0,$A1084&lt;AT$6),AND(AT$7&gt;0,$A1084&gt;AT$7)),0,MAX(0,ROUND((INDEX($E1084:$G1084,AT$5)-SUMIFS(TF_Timer,TF_Tekniker,AT$4,TF_Dato,$A1084))*2,0)/2)))</f>
        <v/>
      </c>
      <c r="AU1084">
        <f>IF(OR(AU$4="",$A1084&gt;TODAY()),0,IF(OR(INDEX($B1084:$D1084,AU$5)="F",AND(AU$6&gt;0,$A1084&lt;AU$6),AND(AU$7&gt;0,$A1084&gt;AU$7)),0,MAX(0,ROUND((INDEX($E1084:$G1084,AU$5)-SUMIFS(TF_Timer,TF_Tekniker,AU$4,TF_Dato,$A1084))*2,0)/2)))</f>
        <v/>
      </c>
      <c r="AV1084">
        <f>IF(OR(AV$4="",$A1084&gt;TODAY()),0,IF(OR(INDEX($B1084:$D1084,AV$5)="F",AND(AV$6&gt;0,$A1084&lt;AV$6),AND(AV$7&gt;0,$A1084&gt;AV$7)),0,MAX(0,ROUND((INDEX($E1084:$G1084,AV$5)-SUMIFS(TF_Timer,TF_Tekniker,AV$4,TF_Dato,$A1084))*2,0)/2)))</f>
        <v/>
      </c>
      <c r="AW1084">
        <f>IF(OR(AW$4="",$A1084&gt;TODAY()),0,IF(OR(INDEX($B1084:$D1084,AW$5)="F",AND(AW$6&gt;0,$A1084&lt;AW$6),AND(AW$7&gt;0,$A1084&gt;AW$7)),0,MAX(0,ROUND((INDEX($E1084:$G1084,AW$5)-SUMIFS(TF_Timer,TF_Tekniker,AW$4,TF_Dato,$A1084))*2,0)/2)))</f>
        <v/>
      </c>
      <c r="AX1084">
        <f>IF(OR(AX$4="",$A1084&gt;TODAY()),0,IF(OR(INDEX($B1084:$D1084,AX$5)="F",AND(AX$6&gt;0,$A1084&lt;AX$6),AND(AX$7&gt;0,$A1084&gt;AX$7)),0,MAX(0,ROUND((INDEX($E1084:$G1084,AX$5)-SUMIFS(TF_Timer,TF_Tekniker,AX$4,TF_Dato,$A1084))*2,0)/2)))</f>
        <v/>
      </c>
      <c r="AY1084">
        <f>IF(OR(AY$4="",$A1084&gt;TODAY()),0,IF(OR(INDEX($B1084:$D1084,AY$5)="F",AND(AY$6&gt;0,$A1084&lt;AY$6),AND(AY$7&gt;0,$A1084&gt;AY$7)),0,MAX(0,ROUND((INDEX($E1084:$G1084,AY$5)-SUMIFS(TF_Timer,TF_Tekniker,AY$4,TF_Dato,$A1084))*2,0)/2)))</f>
        <v/>
      </c>
      <c r="AZ1084">
        <f>IF(OR(AZ$4="",$A1084&gt;TODAY()),0,IF(OR(INDEX($B1084:$D1084,AZ$5)="F",AND(AZ$6&gt;0,$A1084&lt;AZ$6),AND(AZ$7&gt;0,$A1084&gt;AZ$7)),0,MAX(0,ROUND((INDEX($E1084:$G1084,AZ$5)-SUMIFS(TF_Timer,TF_Tekniker,AZ$4,TF_Dato,$A1084))*2,0)/2)))</f>
        <v/>
      </c>
      <c r="BA1084">
        <f>IF(OR(BA$4="",$A1084&gt;TODAY()),0,IF(OR(INDEX($B1084:$D1084,BA$5)="F",AND(BA$6&gt;0,$A1084&lt;BA$6),AND(BA$7&gt;0,$A1084&gt;BA$7)),0,MAX(0,ROUND((INDEX($E1084:$G1084,BA$5)-SUMIFS(TF_Timer,TF_Tekniker,BA$4,TF_Dato,$A1084))*2,0)/2)))</f>
        <v/>
      </c>
      <c r="BB1084">
        <f>IF(OR(BB$4="",$A1084&gt;TODAY()),0,IF(OR(INDEX($B1084:$D1084,BB$5)="F",AND(BB$6&gt;0,$A1084&lt;BB$6),AND(BB$7&gt;0,$A1084&gt;BB$7)),0,MAX(0,ROUND((INDEX($E1084:$G1084,BB$5)-SUMIFS(TF_Timer,TF_Tekniker,BB$4,TF_Dato,$A1084))*2,0)/2)))</f>
        <v/>
      </c>
      <c r="BC1084">
        <f>IF(OR(BC$4="",$A1084&gt;TODAY()),0,IF(OR(INDEX($B1084:$D1084,BC$5)="F",AND(BC$6&gt;0,$A1084&lt;BC$6),AND(BC$7&gt;0,$A1084&gt;BC$7)),0,MAX(0,ROUND((INDEX($E1084:$G1084,BC$5)-SUMIFS(TF_Timer,TF_Tekniker,BC$4,TF_Dato,$A1084))*2,0)/2)))</f>
        <v/>
      </c>
      <c r="BD1084">
        <f>IF(OR(BD$4="",$A1084&gt;TODAY()),0,IF(OR(INDEX($B1084:$D1084,BD$5)="F",AND(BD$6&gt;0,$A1084&lt;BD$6),AND(BD$7&gt;0,$A1084&gt;BD$7)),0,MAX(0,ROUND((INDEX($E1084:$G1084,BD$5)-SUMIFS(TF_Timer,TF_Tekniker,BD$4,TF_Dato,$A1084))*2,0)/2)))</f>
        <v/>
      </c>
      <c r="BE1084">
        <f>IF(OR(BE$4="",$A1084&gt;TODAY()),0,IF(OR(INDEX($B1084:$D1084,BE$5)="F",AND(BE$6&gt;0,$A1084&lt;BE$6),AND(BE$7&gt;0,$A1084&gt;BE$7)),0,MAX(0,ROUND((INDEX($E1084:$G1084,BE$5)-SUMIFS(TF_Timer,TF_Tekniker,BE$4,TF_Dato,$A1084))*2,0)/2)))</f>
        <v/>
      </c>
      <c r="BF1084">
        <f>IF(OR(BF$4="",$A1084&gt;TODAY()),0,IF(OR(INDEX($B1084:$D1084,BF$5)="F",AND(BF$6&gt;0,$A1084&lt;BF$6),AND(BF$7&gt;0,$A1084&gt;BF$7)),0,MAX(0,ROUND((INDEX($E1084:$G1084,BF$5)-SUMIFS(TF_Timer,TF_Tekniker,BF$4,TF_Dato,$A1084))*2,0)/2)))</f>
        <v/>
      </c>
      <c r="BG1084">
        <f>IF(OR(BG$4="",$A1084&gt;TODAY()),0,IF(OR(INDEX($B1084:$D1084,BG$5)="F",AND(BG$6&gt;0,$A1084&lt;BG$6),AND(BG$7&gt;0,$A1084&gt;BG$7)),0,MAX(0,ROUND((INDEX($E1084:$G1084,BG$5)-SUMIFS(TF_Timer,TF_Tekniker,BG$4,TF_Dato,$A1084))*2,0)/2)))</f>
        <v/>
      </c>
      <c r="BH1084">
        <f>IF(OR(BH$4="",$A1084&gt;TODAY()),0,IF(OR(INDEX($B1084:$D1084,BH$5)="F",AND(BH$6&gt;0,$A1084&lt;BH$6),AND(BH$7&gt;0,$A1084&gt;BH$7)),0,MAX(0,ROUND((INDEX($E1084:$G1084,BH$5)-SUMIFS(TF_Timer,TF_Tekniker,BH$4,TF_Dato,$A1084))*2,0)/2)))</f>
        <v/>
      </c>
      <c r="BI1084">
        <f>IF(OR(BI$4="",$A1084&gt;TODAY()),0,IF(OR(INDEX($B1084:$D1084,BI$5)="F",AND(BI$6&gt;0,$A1084&lt;BI$6),AND(BI$7&gt;0,$A1084&gt;BI$7)),0,MAX(0,ROUND((INDEX($E1084:$G1084,BI$5)-SUMIFS(TF_Timer,TF_Tekniker,BI$4,TF_Dato,$A1084))*2,0)/2)))</f>
        <v/>
      </c>
    </row>
    <row r="1085">
      <c r="A1085" s="64">
        <f>A1084+1</f>
        <v/>
      </c>
      <c r="B1085">
        <f>IF(MOD($A1085-INDEX(SkiftStart,1),Syklus)&lt;DagK,"K",IF(MOD($A1085-INDEX(SkiftStart,1),Syklus)&lt;DagK+DagH,"H",IF(MOD($A1085-INDEX(SkiftStart,1),Syklus)&lt;DagK+DagH+DagD,"D","F")))</f>
        <v/>
      </c>
      <c r="C1085">
        <f>IF(MOD($A1085-INDEX(SkiftStart,2),Syklus)&lt;DagK,"K",IF(MOD($A1085-INDEX(SkiftStart,2),Syklus)&lt;DagK+DagH,"H",IF(MOD($A1085-INDEX(SkiftStart,2),Syklus)&lt;DagK+DagH+DagD,"D","F")))</f>
        <v/>
      </c>
      <c r="D1085">
        <f>IF(MOD($A1085-INDEX(SkiftStart,3),Syklus)&lt;DagK,"K",IF(MOD($A1085-INDEX(SkiftStart,3),Syklus)&lt;DagK+DagH,"H",IF(MOD($A1085-INDEX(SkiftStart,3),Syklus)&lt;DagK+DagH+DagD,"D","F")))</f>
        <v/>
      </c>
      <c r="E1085">
        <f>IF(B1085="F",0,IF(WEEKDAY($A1085,2)=5,INDEX(TimerFr,MATCH(B1085,FaseKode,0)),INDEX(TimerMT,MATCH(B1085,FaseKode,0))))</f>
        <v/>
      </c>
      <c r="F1085">
        <f>IF(C1085="F",0,IF(WEEKDAY($A1085,2)=5,INDEX(TimerFr,MATCH(C1085,FaseKode,0)),INDEX(TimerMT,MATCH(C1085,FaseKode,0))))</f>
        <v/>
      </c>
      <c r="G1085">
        <f>IF(D1085="F",0,IF(WEEKDAY($A1085,2)=5,INDEX(TimerFr,MATCH(D1085,FaseKode,0)),INDEX(TimerMT,MATCH(D1085,FaseKode,0))))</f>
        <v/>
      </c>
      <c r="H1085">
        <f>IF(OR(H$4="",$A1085&gt;TODAY()),0,IF(OR(INDEX($B1085:$D1085,H$5)="F",AND(H$6&gt;0,$A1085&lt;H$6),AND(H$7&gt;0,$A1085&gt;H$7)),0,MAX(0,ROUND((INDEX($E1085:$G1085,H$5)-SUMIFS(TF_Timer,TF_Tekniker,H$4,TF_Dato,$A1085))*2,0)/2)))</f>
        <v/>
      </c>
      <c r="I1085">
        <f>IF(OR(I$4="",$A1085&gt;TODAY()),0,IF(OR(INDEX($B1085:$D1085,I$5)="F",AND(I$6&gt;0,$A1085&lt;I$6),AND(I$7&gt;0,$A1085&gt;I$7)),0,MAX(0,ROUND((INDEX($E1085:$G1085,I$5)-SUMIFS(TF_Timer,TF_Tekniker,I$4,TF_Dato,$A1085))*2,0)/2)))</f>
        <v/>
      </c>
      <c r="J1085">
        <f>IF(OR(J$4="",$A1085&gt;TODAY()),0,IF(OR(INDEX($B1085:$D1085,J$5)="F",AND(J$6&gt;0,$A1085&lt;J$6),AND(J$7&gt;0,$A1085&gt;J$7)),0,MAX(0,ROUND((INDEX($E1085:$G1085,J$5)-SUMIFS(TF_Timer,TF_Tekniker,J$4,TF_Dato,$A1085))*2,0)/2)))</f>
        <v/>
      </c>
      <c r="K1085">
        <f>IF(OR(K$4="",$A1085&gt;TODAY()),0,IF(OR(INDEX($B1085:$D1085,K$5)="F",AND(K$6&gt;0,$A1085&lt;K$6),AND(K$7&gt;0,$A1085&gt;K$7)),0,MAX(0,ROUND((INDEX($E1085:$G1085,K$5)-SUMIFS(TF_Timer,TF_Tekniker,K$4,TF_Dato,$A1085))*2,0)/2)))</f>
        <v/>
      </c>
      <c r="L1085">
        <f>IF(OR(L$4="",$A1085&gt;TODAY()),0,IF(OR(INDEX($B1085:$D1085,L$5)="F",AND(L$6&gt;0,$A1085&lt;L$6),AND(L$7&gt;0,$A1085&gt;L$7)),0,MAX(0,ROUND((INDEX($E1085:$G1085,L$5)-SUMIFS(TF_Timer,TF_Tekniker,L$4,TF_Dato,$A1085))*2,0)/2)))</f>
        <v/>
      </c>
      <c r="M1085">
        <f>IF(OR(M$4="",$A1085&gt;TODAY()),0,IF(OR(INDEX($B1085:$D1085,M$5)="F",AND(M$6&gt;0,$A1085&lt;M$6),AND(M$7&gt;0,$A1085&gt;M$7)),0,MAX(0,ROUND((INDEX($E1085:$G1085,M$5)-SUMIFS(TF_Timer,TF_Tekniker,M$4,TF_Dato,$A1085))*2,0)/2)))</f>
        <v/>
      </c>
      <c r="N1085">
        <f>IF(OR(N$4="",$A1085&gt;TODAY()),0,IF(OR(INDEX($B1085:$D1085,N$5)="F",AND(N$6&gt;0,$A1085&lt;N$6),AND(N$7&gt;0,$A1085&gt;N$7)),0,MAX(0,ROUND((INDEX($E1085:$G1085,N$5)-SUMIFS(TF_Timer,TF_Tekniker,N$4,TF_Dato,$A1085))*2,0)/2)))</f>
        <v/>
      </c>
      <c r="O1085">
        <f>IF(OR(O$4="",$A1085&gt;TODAY()),0,IF(OR(INDEX($B1085:$D1085,O$5)="F",AND(O$6&gt;0,$A1085&lt;O$6),AND(O$7&gt;0,$A1085&gt;O$7)),0,MAX(0,ROUND((INDEX($E1085:$G1085,O$5)-SUMIFS(TF_Timer,TF_Tekniker,O$4,TF_Dato,$A1085))*2,0)/2)))</f>
        <v/>
      </c>
      <c r="P1085">
        <f>IF(OR(P$4="",$A1085&gt;TODAY()),0,IF(OR(INDEX($B1085:$D1085,P$5)="F",AND(P$6&gt;0,$A1085&lt;P$6),AND(P$7&gt;0,$A1085&gt;P$7)),0,MAX(0,ROUND((INDEX($E1085:$G1085,P$5)-SUMIFS(TF_Timer,TF_Tekniker,P$4,TF_Dato,$A1085))*2,0)/2)))</f>
        <v/>
      </c>
      <c r="Q1085">
        <f>IF(OR(Q$4="",$A1085&gt;TODAY()),0,IF(OR(INDEX($B1085:$D1085,Q$5)="F",AND(Q$6&gt;0,$A1085&lt;Q$6),AND(Q$7&gt;0,$A1085&gt;Q$7)),0,MAX(0,ROUND((INDEX($E1085:$G1085,Q$5)-SUMIFS(TF_Timer,TF_Tekniker,Q$4,TF_Dato,$A1085))*2,0)/2)))</f>
        <v/>
      </c>
      <c r="R1085">
        <f>IF(OR(R$4="",$A1085&gt;TODAY()),0,IF(OR(INDEX($B1085:$D1085,R$5)="F",AND(R$6&gt;0,$A1085&lt;R$6),AND(R$7&gt;0,$A1085&gt;R$7)),0,MAX(0,ROUND((INDEX($E1085:$G1085,R$5)-SUMIFS(TF_Timer,TF_Tekniker,R$4,TF_Dato,$A1085))*2,0)/2)))</f>
        <v/>
      </c>
      <c r="S1085">
        <f>IF(OR(S$4="",$A1085&gt;TODAY()),0,IF(OR(INDEX($B1085:$D1085,S$5)="F",AND(S$6&gt;0,$A1085&lt;S$6),AND(S$7&gt;0,$A1085&gt;S$7)),0,MAX(0,ROUND((INDEX($E1085:$G1085,S$5)-SUMIFS(TF_Timer,TF_Tekniker,S$4,TF_Dato,$A1085))*2,0)/2)))</f>
        <v/>
      </c>
      <c r="T1085">
        <f>IF(OR(T$4="",$A1085&gt;TODAY()),0,IF(OR(INDEX($B1085:$D1085,T$5)="F",AND(T$6&gt;0,$A1085&lt;T$6),AND(T$7&gt;0,$A1085&gt;T$7)),0,MAX(0,ROUND((INDEX($E1085:$G1085,T$5)-SUMIFS(TF_Timer,TF_Tekniker,T$4,TF_Dato,$A1085))*2,0)/2)))</f>
        <v/>
      </c>
      <c r="U1085">
        <f>IF(OR(U$4="",$A1085&gt;TODAY()),0,IF(OR(INDEX($B1085:$D1085,U$5)="F",AND(U$6&gt;0,$A1085&lt;U$6),AND(U$7&gt;0,$A1085&gt;U$7)),0,MAX(0,ROUND((INDEX($E1085:$G1085,U$5)-SUMIFS(TF_Timer,TF_Tekniker,U$4,TF_Dato,$A1085))*2,0)/2)))</f>
        <v/>
      </c>
      <c r="V1085">
        <f>IF(OR(V$4="",$A1085&gt;TODAY()),0,IF(OR(INDEX($B1085:$D1085,V$5)="F",AND(V$6&gt;0,$A1085&lt;V$6),AND(V$7&gt;0,$A1085&gt;V$7)),0,MAX(0,ROUND((INDEX($E1085:$G1085,V$5)-SUMIFS(TF_Timer,TF_Tekniker,V$4,TF_Dato,$A1085))*2,0)/2)))</f>
        <v/>
      </c>
      <c r="W1085">
        <f>IF(OR(W$4="",$A1085&gt;TODAY()),0,IF(OR(INDEX($B1085:$D1085,W$5)="F",AND(W$6&gt;0,$A1085&lt;W$6),AND(W$7&gt;0,$A1085&gt;W$7)),0,MAX(0,ROUND((INDEX($E1085:$G1085,W$5)-SUMIFS(TF_Timer,TF_Tekniker,W$4,TF_Dato,$A1085))*2,0)/2)))</f>
        <v/>
      </c>
      <c r="X1085">
        <f>IF(OR(X$4="",$A1085&gt;TODAY()),0,IF(OR(INDEX($B1085:$D1085,X$5)="F",AND(X$6&gt;0,$A1085&lt;X$6),AND(X$7&gt;0,$A1085&gt;X$7)),0,MAX(0,ROUND((INDEX($E1085:$G1085,X$5)-SUMIFS(TF_Timer,TF_Tekniker,X$4,TF_Dato,$A1085))*2,0)/2)))</f>
        <v/>
      </c>
      <c r="Y1085">
        <f>IF(OR(Y$4="",$A1085&gt;TODAY()),0,IF(OR(INDEX($B1085:$D1085,Y$5)="F",AND(Y$6&gt;0,$A1085&lt;Y$6),AND(Y$7&gt;0,$A1085&gt;Y$7)),0,MAX(0,ROUND((INDEX($E1085:$G1085,Y$5)-SUMIFS(TF_Timer,TF_Tekniker,Y$4,TF_Dato,$A1085))*2,0)/2)))</f>
        <v/>
      </c>
      <c r="Z1085">
        <f>IF(OR(Z$4="",$A1085&gt;TODAY()),0,IF(OR(INDEX($B1085:$D1085,Z$5)="F",AND(Z$6&gt;0,$A1085&lt;Z$6),AND(Z$7&gt;0,$A1085&gt;Z$7)),0,MAX(0,ROUND((INDEX($E1085:$G1085,Z$5)-SUMIFS(TF_Timer,TF_Tekniker,Z$4,TF_Dato,$A1085))*2,0)/2)))</f>
        <v/>
      </c>
      <c r="AA1085">
        <f>IF(OR(AA$4="",$A1085&gt;TODAY()),0,IF(OR(INDEX($B1085:$D1085,AA$5)="F",AND(AA$6&gt;0,$A1085&lt;AA$6),AND(AA$7&gt;0,$A1085&gt;AA$7)),0,MAX(0,ROUND((INDEX($E1085:$G1085,AA$5)-SUMIFS(TF_Timer,TF_Tekniker,AA$4,TF_Dato,$A1085))*2,0)/2)))</f>
        <v/>
      </c>
      <c r="AB1085">
        <f>IF(OR(AB$4="",$A1085&gt;TODAY()),0,IF(OR(INDEX($B1085:$D1085,AB$5)="F",AND(AB$6&gt;0,$A1085&lt;AB$6),AND(AB$7&gt;0,$A1085&gt;AB$7)),0,MAX(0,ROUND((INDEX($E1085:$G1085,AB$5)-SUMIFS(TF_Timer,TF_Tekniker,AB$4,TF_Dato,$A1085))*2,0)/2)))</f>
        <v/>
      </c>
      <c r="AC1085">
        <f>IF(OR(AC$4="",$A1085&gt;TODAY()),0,IF(OR(INDEX($B1085:$D1085,AC$5)="F",AND(AC$6&gt;0,$A1085&lt;AC$6),AND(AC$7&gt;0,$A1085&gt;AC$7)),0,MAX(0,ROUND((INDEX($E1085:$G1085,AC$5)-SUMIFS(TF_Timer,TF_Tekniker,AC$4,TF_Dato,$A1085))*2,0)/2)))</f>
        <v/>
      </c>
      <c r="AD1085">
        <f>IF(OR(AD$4="",$A1085&gt;TODAY()),0,IF(OR(INDEX($B1085:$D1085,AD$5)="F",AND(AD$6&gt;0,$A1085&lt;AD$6),AND(AD$7&gt;0,$A1085&gt;AD$7)),0,MAX(0,ROUND((INDEX($E1085:$G1085,AD$5)-SUMIFS(TF_Timer,TF_Tekniker,AD$4,TF_Dato,$A1085))*2,0)/2)))</f>
        <v/>
      </c>
      <c r="AE1085">
        <f>IF(OR(AE$4="",$A1085&gt;TODAY()),0,IF(OR(INDEX($B1085:$D1085,AE$5)="F",AND(AE$6&gt;0,$A1085&lt;AE$6),AND(AE$7&gt;0,$A1085&gt;AE$7)),0,MAX(0,ROUND((INDEX($E1085:$G1085,AE$5)-SUMIFS(TF_Timer,TF_Tekniker,AE$4,TF_Dato,$A1085))*2,0)/2)))</f>
        <v/>
      </c>
      <c r="AF1085">
        <f>IF(OR(AF$4="",$A1085&gt;TODAY()),0,IF(OR(INDEX($B1085:$D1085,AF$5)="F",AND(AF$6&gt;0,$A1085&lt;AF$6),AND(AF$7&gt;0,$A1085&gt;AF$7)),0,MAX(0,ROUND((INDEX($E1085:$G1085,AF$5)-SUMIFS(TF_Timer,TF_Tekniker,AF$4,TF_Dato,$A1085))*2,0)/2)))</f>
        <v/>
      </c>
      <c r="AG1085">
        <f>IF(OR(AG$4="",$A1085&gt;TODAY()),0,IF(OR(INDEX($B1085:$D1085,AG$5)="F",AND(AG$6&gt;0,$A1085&lt;AG$6),AND(AG$7&gt;0,$A1085&gt;AG$7)),0,MAX(0,ROUND((INDEX($E1085:$G1085,AG$5)-SUMIFS(TF_Timer,TF_Tekniker,AG$4,TF_Dato,$A1085))*2,0)/2)))</f>
        <v/>
      </c>
      <c r="AH1085">
        <f>IF(OR(AH$4="",$A1085&gt;TODAY()),0,IF(OR(INDEX($B1085:$D1085,AH$5)="F",AND(AH$6&gt;0,$A1085&lt;AH$6),AND(AH$7&gt;0,$A1085&gt;AH$7)),0,MAX(0,ROUND((INDEX($E1085:$G1085,AH$5)-SUMIFS(TF_Timer,TF_Tekniker,AH$4,TF_Dato,$A1085))*2,0)/2)))</f>
        <v/>
      </c>
      <c r="AI1085">
        <f>IF(OR(AI$4="",$A1085&gt;TODAY()),0,IF(OR(INDEX($B1085:$D1085,AI$5)="F",AND(AI$6&gt;0,$A1085&lt;AI$6),AND(AI$7&gt;0,$A1085&gt;AI$7)),0,MAX(0,ROUND((INDEX($E1085:$G1085,AI$5)-SUMIFS(TF_Timer,TF_Tekniker,AI$4,TF_Dato,$A1085))*2,0)/2)))</f>
        <v/>
      </c>
      <c r="AJ1085">
        <f>IF(OR(AJ$4="",$A1085&gt;TODAY()),0,IF(OR(INDEX($B1085:$D1085,AJ$5)="F",AND(AJ$6&gt;0,$A1085&lt;AJ$6),AND(AJ$7&gt;0,$A1085&gt;AJ$7)),0,MAX(0,ROUND((INDEX($E1085:$G1085,AJ$5)-SUMIFS(TF_Timer,TF_Tekniker,AJ$4,TF_Dato,$A1085))*2,0)/2)))</f>
        <v/>
      </c>
      <c r="AK1085">
        <f>IF(OR(AK$4="",$A1085&gt;TODAY()),0,IF(OR(INDEX($B1085:$D1085,AK$5)="F",AND(AK$6&gt;0,$A1085&lt;AK$6),AND(AK$7&gt;0,$A1085&gt;AK$7)),0,MAX(0,ROUND((INDEX($E1085:$G1085,AK$5)-SUMIFS(TF_Timer,TF_Tekniker,AK$4,TF_Dato,$A1085))*2,0)/2)))</f>
        <v/>
      </c>
      <c r="AL1085">
        <f>IF(OR(AL$4="",$A1085&gt;TODAY()),0,IF(OR(INDEX($B1085:$D1085,AL$5)="F",AND(AL$6&gt;0,$A1085&lt;AL$6),AND(AL$7&gt;0,$A1085&gt;AL$7)),0,MAX(0,ROUND((INDEX($E1085:$G1085,AL$5)-SUMIFS(TF_Timer,TF_Tekniker,AL$4,TF_Dato,$A1085))*2,0)/2)))</f>
        <v/>
      </c>
      <c r="AM1085">
        <f>IF(OR(AM$4="",$A1085&gt;TODAY()),0,IF(OR(INDEX($B1085:$D1085,AM$5)="F",AND(AM$6&gt;0,$A1085&lt;AM$6),AND(AM$7&gt;0,$A1085&gt;AM$7)),0,MAX(0,ROUND((INDEX($E1085:$G1085,AM$5)-SUMIFS(TF_Timer,TF_Tekniker,AM$4,TF_Dato,$A1085))*2,0)/2)))</f>
        <v/>
      </c>
      <c r="AN1085">
        <f>IF(OR(AN$4="",$A1085&gt;TODAY()),0,IF(OR(INDEX($B1085:$D1085,AN$5)="F",AND(AN$6&gt;0,$A1085&lt;AN$6),AND(AN$7&gt;0,$A1085&gt;AN$7)),0,MAX(0,ROUND((INDEX($E1085:$G1085,AN$5)-SUMIFS(TF_Timer,TF_Tekniker,AN$4,TF_Dato,$A1085))*2,0)/2)))</f>
        <v/>
      </c>
      <c r="AO1085">
        <f>IF(OR(AO$4="",$A1085&gt;TODAY()),0,IF(OR(INDEX($B1085:$D1085,AO$5)="F",AND(AO$6&gt;0,$A1085&lt;AO$6),AND(AO$7&gt;0,$A1085&gt;AO$7)),0,MAX(0,ROUND((INDEX($E1085:$G1085,AO$5)-SUMIFS(TF_Timer,TF_Tekniker,AO$4,TF_Dato,$A1085))*2,0)/2)))</f>
        <v/>
      </c>
      <c r="AP1085">
        <f>IF(OR(AP$4="",$A1085&gt;TODAY()),0,IF(OR(INDEX($B1085:$D1085,AP$5)="F",AND(AP$6&gt;0,$A1085&lt;AP$6),AND(AP$7&gt;0,$A1085&gt;AP$7)),0,MAX(0,ROUND((INDEX($E1085:$G1085,AP$5)-SUMIFS(TF_Timer,TF_Tekniker,AP$4,TF_Dato,$A1085))*2,0)/2)))</f>
        <v/>
      </c>
      <c r="AQ1085">
        <f>IF(OR(AQ$4="",$A1085&gt;TODAY()),0,IF(OR(INDEX($B1085:$D1085,AQ$5)="F",AND(AQ$6&gt;0,$A1085&lt;AQ$6),AND(AQ$7&gt;0,$A1085&gt;AQ$7)),0,MAX(0,ROUND((INDEX($E1085:$G1085,AQ$5)-SUMIFS(TF_Timer,TF_Tekniker,AQ$4,TF_Dato,$A1085))*2,0)/2)))</f>
        <v/>
      </c>
      <c r="AR1085">
        <f>IF(OR(AR$4="",$A1085&gt;TODAY()),0,IF(OR(INDEX($B1085:$D1085,AR$5)="F",AND(AR$6&gt;0,$A1085&lt;AR$6),AND(AR$7&gt;0,$A1085&gt;AR$7)),0,MAX(0,ROUND((INDEX($E1085:$G1085,AR$5)-SUMIFS(TF_Timer,TF_Tekniker,AR$4,TF_Dato,$A1085))*2,0)/2)))</f>
        <v/>
      </c>
      <c r="AS1085">
        <f>IF(OR(AS$4="",$A1085&gt;TODAY()),0,IF(OR(INDEX($B1085:$D1085,AS$5)="F",AND(AS$6&gt;0,$A1085&lt;AS$6),AND(AS$7&gt;0,$A1085&gt;AS$7)),0,MAX(0,ROUND((INDEX($E1085:$G1085,AS$5)-SUMIFS(TF_Timer,TF_Tekniker,AS$4,TF_Dato,$A1085))*2,0)/2)))</f>
        <v/>
      </c>
      <c r="AT1085">
        <f>IF(OR(AT$4="",$A1085&gt;TODAY()),0,IF(OR(INDEX($B1085:$D1085,AT$5)="F",AND(AT$6&gt;0,$A1085&lt;AT$6),AND(AT$7&gt;0,$A1085&gt;AT$7)),0,MAX(0,ROUND((INDEX($E1085:$G1085,AT$5)-SUMIFS(TF_Timer,TF_Tekniker,AT$4,TF_Dato,$A1085))*2,0)/2)))</f>
        <v/>
      </c>
      <c r="AU1085">
        <f>IF(OR(AU$4="",$A1085&gt;TODAY()),0,IF(OR(INDEX($B1085:$D1085,AU$5)="F",AND(AU$6&gt;0,$A1085&lt;AU$6),AND(AU$7&gt;0,$A1085&gt;AU$7)),0,MAX(0,ROUND((INDEX($E1085:$G1085,AU$5)-SUMIFS(TF_Timer,TF_Tekniker,AU$4,TF_Dato,$A1085))*2,0)/2)))</f>
        <v/>
      </c>
      <c r="AV1085">
        <f>IF(OR(AV$4="",$A1085&gt;TODAY()),0,IF(OR(INDEX($B1085:$D1085,AV$5)="F",AND(AV$6&gt;0,$A1085&lt;AV$6),AND(AV$7&gt;0,$A1085&gt;AV$7)),0,MAX(0,ROUND((INDEX($E1085:$G1085,AV$5)-SUMIFS(TF_Timer,TF_Tekniker,AV$4,TF_Dato,$A1085))*2,0)/2)))</f>
        <v/>
      </c>
      <c r="AW1085">
        <f>IF(OR(AW$4="",$A1085&gt;TODAY()),0,IF(OR(INDEX($B1085:$D1085,AW$5)="F",AND(AW$6&gt;0,$A1085&lt;AW$6),AND(AW$7&gt;0,$A1085&gt;AW$7)),0,MAX(0,ROUND((INDEX($E1085:$G1085,AW$5)-SUMIFS(TF_Timer,TF_Tekniker,AW$4,TF_Dato,$A1085))*2,0)/2)))</f>
        <v/>
      </c>
      <c r="AX1085">
        <f>IF(OR(AX$4="",$A1085&gt;TODAY()),0,IF(OR(INDEX($B1085:$D1085,AX$5)="F",AND(AX$6&gt;0,$A1085&lt;AX$6),AND(AX$7&gt;0,$A1085&gt;AX$7)),0,MAX(0,ROUND((INDEX($E1085:$G1085,AX$5)-SUMIFS(TF_Timer,TF_Tekniker,AX$4,TF_Dato,$A1085))*2,0)/2)))</f>
        <v/>
      </c>
      <c r="AY1085">
        <f>IF(OR(AY$4="",$A1085&gt;TODAY()),0,IF(OR(INDEX($B1085:$D1085,AY$5)="F",AND(AY$6&gt;0,$A1085&lt;AY$6),AND(AY$7&gt;0,$A1085&gt;AY$7)),0,MAX(0,ROUND((INDEX($E1085:$G1085,AY$5)-SUMIFS(TF_Timer,TF_Tekniker,AY$4,TF_Dato,$A1085))*2,0)/2)))</f>
        <v/>
      </c>
      <c r="AZ1085">
        <f>IF(OR(AZ$4="",$A1085&gt;TODAY()),0,IF(OR(INDEX($B1085:$D1085,AZ$5)="F",AND(AZ$6&gt;0,$A1085&lt;AZ$6),AND(AZ$7&gt;0,$A1085&gt;AZ$7)),0,MAX(0,ROUND((INDEX($E1085:$G1085,AZ$5)-SUMIFS(TF_Timer,TF_Tekniker,AZ$4,TF_Dato,$A1085))*2,0)/2)))</f>
        <v/>
      </c>
      <c r="BA1085">
        <f>IF(OR(BA$4="",$A1085&gt;TODAY()),0,IF(OR(INDEX($B1085:$D1085,BA$5)="F",AND(BA$6&gt;0,$A1085&lt;BA$6),AND(BA$7&gt;0,$A1085&gt;BA$7)),0,MAX(0,ROUND((INDEX($E1085:$G1085,BA$5)-SUMIFS(TF_Timer,TF_Tekniker,BA$4,TF_Dato,$A1085))*2,0)/2)))</f>
        <v/>
      </c>
      <c r="BB1085">
        <f>IF(OR(BB$4="",$A1085&gt;TODAY()),0,IF(OR(INDEX($B1085:$D1085,BB$5)="F",AND(BB$6&gt;0,$A1085&lt;BB$6),AND(BB$7&gt;0,$A1085&gt;BB$7)),0,MAX(0,ROUND((INDEX($E1085:$G1085,BB$5)-SUMIFS(TF_Timer,TF_Tekniker,BB$4,TF_Dato,$A1085))*2,0)/2)))</f>
        <v/>
      </c>
      <c r="BC1085">
        <f>IF(OR(BC$4="",$A1085&gt;TODAY()),0,IF(OR(INDEX($B1085:$D1085,BC$5)="F",AND(BC$6&gt;0,$A1085&lt;BC$6),AND(BC$7&gt;0,$A1085&gt;BC$7)),0,MAX(0,ROUND((INDEX($E1085:$G1085,BC$5)-SUMIFS(TF_Timer,TF_Tekniker,BC$4,TF_Dato,$A1085))*2,0)/2)))</f>
        <v/>
      </c>
      <c r="BD1085">
        <f>IF(OR(BD$4="",$A1085&gt;TODAY()),0,IF(OR(INDEX($B1085:$D1085,BD$5)="F",AND(BD$6&gt;0,$A1085&lt;BD$6),AND(BD$7&gt;0,$A1085&gt;BD$7)),0,MAX(0,ROUND((INDEX($E1085:$G1085,BD$5)-SUMIFS(TF_Timer,TF_Tekniker,BD$4,TF_Dato,$A1085))*2,0)/2)))</f>
        <v/>
      </c>
      <c r="BE1085">
        <f>IF(OR(BE$4="",$A1085&gt;TODAY()),0,IF(OR(INDEX($B1085:$D1085,BE$5)="F",AND(BE$6&gt;0,$A1085&lt;BE$6),AND(BE$7&gt;0,$A1085&gt;BE$7)),0,MAX(0,ROUND((INDEX($E1085:$G1085,BE$5)-SUMIFS(TF_Timer,TF_Tekniker,BE$4,TF_Dato,$A1085))*2,0)/2)))</f>
        <v/>
      </c>
      <c r="BF1085">
        <f>IF(OR(BF$4="",$A1085&gt;TODAY()),0,IF(OR(INDEX($B1085:$D1085,BF$5)="F",AND(BF$6&gt;0,$A1085&lt;BF$6),AND(BF$7&gt;0,$A1085&gt;BF$7)),0,MAX(0,ROUND((INDEX($E1085:$G1085,BF$5)-SUMIFS(TF_Timer,TF_Tekniker,BF$4,TF_Dato,$A1085))*2,0)/2)))</f>
        <v/>
      </c>
      <c r="BG1085">
        <f>IF(OR(BG$4="",$A1085&gt;TODAY()),0,IF(OR(INDEX($B1085:$D1085,BG$5)="F",AND(BG$6&gt;0,$A1085&lt;BG$6),AND(BG$7&gt;0,$A1085&gt;BG$7)),0,MAX(0,ROUND((INDEX($E1085:$G1085,BG$5)-SUMIFS(TF_Timer,TF_Tekniker,BG$4,TF_Dato,$A1085))*2,0)/2)))</f>
        <v/>
      </c>
      <c r="BH1085">
        <f>IF(OR(BH$4="",$A1085&gt;TODAY()),0,IF(OR(INDEX($B1085:$D1085,BH$5)="F",AND(BH$6&gt;0,$A1085&lt;BH$6),AND(BH$7&gt;0,$A1085&gt;BH$7)),0,MAX(0,ROUND((INDEX($E1085:$G1085,BH$5)-SUMIFS(TF_Timer,TF_Tekniker,BH$4,TF_Dato,$A1085))*2,0)/2)))</f>
        <v/>
      </c>
      <c r="BI1085">
        <f>IF(OR(BI$4="",$A1085&gt;TODAY()),0,IF(OR(INDEX($B1085:$D1085,BI$5)="F",AND(BI$6&gt;0,$A1085&lt;BI$6),AND(BI$7&gt;0,$A1085&gt;BI$7)),0,MAX(0,ROUND((INDEX($E1085:$G1085,BI$5)-SUMIFS(TF_Timer,TF_Tekniker,BI$4,TF_Dato,$A1085))*2,0)/2)))</f>
        <v/>
      </c>
    </row>
    <row r="1086">
      <c r="A1086" s="64">
        <f>A1085+1</f>
        <v/>
      </c>
      <c r="B1086">
        <f>IF(MOD($A1086-INDEX(SkiftStart,1),Syklus)&lt;DagK,"K",IF(MOD($A1086-INDEX(SkiftStart,1),Syklus)&lt;DagK+DagH,"H",IF(MOD($A1086-INDEX(SkiftStart,1),Syklus)&lt;DagK+DagH+DagD,"D","F")))</f>
        <v/>
      </c>
      <c r="C1086">
        <f>IF(MOD($A1086-INDEX(SkiftStart,2),Syklus)&lt;DagK,"K",IF(MOD($A1086-INDEX(SkiftStart,2),Syklus)&lt;DagK+DagH,"H",IF(MOD($A1086-INDEX(SkiftStart,2),Syklus)&lt;DagK+DagH+DagD,"D","F")))</f>
        <v/>
      </c>
      <c r="D1086">
        <f>IF(MOD($A1086-INDEX(SkiftStart,3),Syklus)&lt;DagK,"K",IF(MOD($A1086-INDEX(SkiftStart,3),Syklus)&lt;DagK+DagH,"H",IF(MOD($A1086-INDEX(SkiftStart,3),Syklus)&lt;DagK+DagH+DagD,"D","F")))</f>
        <v/>
      </c>
      <c r="E1086">
        <f>IF(B1086="F",0,IF(WEEKDAY($A1086,2)=5,INDEX(TimerFr,MATCH(B1086,FaseKode,0)),INDEX(TimerMT,MATCH(B1086,FaseKode,0))))</f>
        <v/>
      </c>
      <c r="F1086">
        <f>IF(C1086="F",0,IF(WEEKDAY($A1086,2)=5,INDEX(TimerFr,MATCH(C1086,FaseKode,0)),INDEX(TimerMT,MATCH(C1086,FaseKode,0))))</f>
        <v/>
      </c>
      <c r="G1086">
        <f>IF(D1086="F",0,IF(WEEKDAY($A1086,2)=5,INDEX(TimerFr,MATCH(D1086,FaseKode,0)),INDEX(TimerMT,MATCH(D1086,FaseKode,0))))</f>
        <v/>
      </c>
      <c r="H1086">
        <f>IF(OR(H$4="",$A1086&gt;TODAY()),0,IF(OR(INDEX($B1086:$D1086,H$5)="F",AND(H$6&gt;0,$A1086&lt;H$6),AND(H$7&gt;0,$A1086&gt;H$7)),0,MAX(0,ROUND((INDEX($E1086:$G1086,H$5)-SUMIFS(TF_Timer,TF_Tekniker,H$4,TF_Dato,$A1086))*2,0)/2)))</f>
        <v/>
      </c>
      <c r="I1086">
        <f>IF(OR(I$4="",$A1086&gt;TODAY()),0,IF(OR(INDEX($B1086:$D1086,I$5)="F",AND(I$6&gt;0,$A1086&lt;I$6),AND(I$7&gt;0,$A1086&gt;I$7)),0,MAX(0,ROUND((INDEX($E1086:$G1086,I$5)-SUMIFS(TF_Timer,TF_Tekniker,I$4,TF_Dato,$A1086))*2,0)/2)))</f>
        <v/>
      </c>
      <c r="J1086">
        <f>IF(OR(J$4="",$A1086&gt;TODAY()),0,IF(OR(INDEX($B1086:$D1086,J$5)="F",AND(J$6&gt;0,$A1086&lt;J$6),AND(J$7&gt;0,$A1086&gt;J$7)),0,MAX(0,ROUND((INDEX($E1086:$G1086,J$5)-SUMIFS(TF_Timer,TF_Tekniker,J$4,TF_Dato,$A1086))*2,0)/2)))</f>
        <v/>
      </c>
      <c r="K1086">
        <f>IF(OR(K$4="",$A1086&gt;TODAY()),0,IF(OR(INDEX($B1086:$D1086,K$5)="F",AND(K$6&gt;0,$A1086&lt;K$6),AND(K$7&gt;0,$A1086&gt;K$7)),0,MAX(0,ROUND((INDEX($E1086:$G1086,K$5)-SUMIFS(TF_Timer,TF_Tekniker,K$4,TF_Dato,$A1086))*2,0)/2)))</f>
        <v/>
      </c>
      <c r="L1086">
        <f>IF(OR(L$4="",$A1086&gt;TODAY()),0,IF(OR(INDEX($B1086:$D1086,L$5)="F",AND(L$6&gt;0,$A1086&lt;L$6),AND(L$7&gt;0,$A1086&gt;L$7)),0,MAX(0,ROUND((INDEX($E1086:$G1086,L$5)-SUMIFS(TF_Timer,TF_Tekniker,L$4,TF_Dato,$A1086))*2,0)/2)))</f>
        <v/>
      </c>
      <c r="M1086">
        <f>IF(OR(M$4="",$A1086&gt;TODAY()),0,IF(OR(INDEX($B1086:$D1086,M$5)="F",AND(M$6&gt;0,$A1086&lt;M$6),AND(M$7&gt;0,$A1086&gt;M$7)),0,MAX(0,ROUND((INDEX($E1086:$G1086,M$5)-SUMIFS(TF_Timer,TF_Tekniker,M$4,TF_Dato,$A1086))*2,0)/2)))</f>
        <v/>
      </c>
      <c r="N1086">
        <f>IF(OR(N$4="",$A1086&gt;TODAY()),0,IF(OR(INDEX($B1086:$D1086,N$5)="F",AND(N$6&gt;0,$A1086&lt;N$6),AND(N$7&gt;0,$A1086&gt;N$7)),0,MAX(0,ROUND((INDEX($E1086:$G1086,N$5)-SUMIFS(TF_Timer,TF_Tekniker,N$4,TF_Dato,$A1086))*2,0)/2)))</f>
        <v/>
      </c>
      <c r="O1086">
        <f>IF(OR(O$4="",$A1086&gt;TODAY()),0,IF(OR(INDEX($B1086:$D1086,O$5)="F",AND(O$6&gt;0,$A1086&lt;O$6),AND(O$7&gt;0,$A1086&gt;O$7)),0,MAX(0,ROUND((INDEX($E1086:$G1086,O$5)-SUMIFS(TF_Timer,TF_Tekniker,O$4,TF_Dato,$A1086))*2,0)/2)))</f>
        <v/>
      </c>
      <c r="P1086">
        <f>IF(OR(P$4="",$A1086&gt;TODAY()),0,IF(OR(INDEX($B1086:$D1086,P$5)="F",AND(P$6&gt;0,$A1086&lt;P$6),AND(P$7&gt;0,$A1086&gt;P$7)),0,MAX(0,ROUND((INDEX($E1086:$G1086,P$5)-SUMIFS(TF_Timer,TF_Tekniker,P$4,TF_Dato,$A1086))*2,0)/2)))</f>
        <v/>
      </c>
      <c r="Q1086">
        <f>IF(OR(Q$4="",$A1086&gt;TODAY()),0,IF(OR(INDEX($B1086:$D1086,Q$5)="F",AND(Q$6&gt;0,$A1086&lt;Q$6),AND(Q$7&gt;0,$A1086&gt;Q$7)),0,MAX(0,ROUND((INDEX($E1086:$G1086,Q$5)-SUMIFS(TF_Timer,TF_Tekniker,Q$4,TF_Dato,$A1086))*2,0)/2)))</f>
        <v/>
      </c>
      <c r="R1086">
        <f>IF(OR(R$4="",$A1086&gt;TODAY()),0,IF(OR(INDEX($B1086:$D1086,R$5)="F",AND(R$6&gt;0,$A1086&lt;R$6),AND(R$7&gt;0,$A1086&gt;R$7)),0,MAX(0,ROUND((INDEX($E1086:$G1086,R$5)-SUMIFS(TF_Timer,TF_Tekniker,R$4,TF_Dato,$A1086))*2,0)/2)))</f>
        <v/>
      </c>
      <c r="S1086">
        <f>IF(OR(S$4="",$A1086&gt;TODAY()),0,IF(OR(INDEX($B1086:$D1086,S$5)="F",AND(S$6&gt;0,$A1086&lt;S$6),AND(S$7&gt;0,$A1086&gt;S$7)),0,MAX(0,ROUND((INDEX($E1086:$G1086,S$5)-SUMIFS(TF_Timer,TF_Tekniker,S$4,TF_Dato,$A1086))*2,0)/2)))</f>
        <v/>
      </c>
      <c r="T1086">
        <f>IF(OR(T$4="",$A1086&gt;TODAY()),0,IF(OR(INDEX($B1086:$D1086,T$5)="F",AND(T$6&gt;0,$A1086&lt;T$6),AND(T$7&gt;0,$A1086&gt;T$7)),0,MAX(0,ROUND((INDEX($E1086:$G1086,T$5)-SUMIFS(TF_Timer,TF_Tekniker,T$4,TF_Dato,$A1086))*2,0)/2)))</f>
        <v/>
      </c>
      <c r="U1086">
        <f>IF(OR(U$4="",$A1086&gt;TODAY()),0,IF(OR(INDEX($B1086:$D1086,U$5)="F",AND(U$6&gt;0,$A1086&lt;U$6),AND(U$7&gt;0,$A1086&gt;U$7)),0,MAX(0,ROUND((INDEX($E1086:$G1086,U$5)-SUMIFS(TF_Timer,TF_Tekniker,U$4,TF_Dato,$A1086))*2,0)/2)))</f>
        <v/>
      </c>
      <c r="V1086">
        <f>IF(OR(V$4="",$A1086&gt;TODAY()),0,IF(OR(INDEX($B1086:$D1086,V$5)="F",AND(V$6&gt;0,$A1086&lt;V$6),AND(V$7&gt;0,$A1086&gt;V$7)),0,MAX(0,ROUND((INDEX($E1086:$G1086,V$5)-SUMIFS(TF_Timer,TF_Tekniker,V$4,TF_Dato,$A1086))*2,0)/2)))</f>
        <v/>
      </c>
      <c r="W1086">
        <f>IF(OR(W$4="",$A1086&gt;TODAY()),0,IF(OR(INDEX($B1086:$D1086,W$5)="F",AND(W$6&gt;0,$A1086&lt;W$6),AND(W$7&gt;0,$A1086&gt;W$7)),0,MAX(0,ROUND((INDEX($E1086:$G1086,W$5)-SUMIFS(TF_Timer,TF_Tekniker,W$4,TF_Dato,$A1086))*2,0)/2)))</f>
        <v/>
      </c>
      <c r="X1086">
        <f>IF(OR(X$4="",$A1086&gt;TODAY()),0,IF(OR(INDEX($B1086:$D1086,X$5)="F",AND(X$6&gt;0,$A1086&lt;X$6),AND(X$7&gt;0,$A1086&gt;X$7)),0,MAX(0,ROUND((INDEX($E1086:$G1086,X$5)-SUMIFS(TF_Timer,TF_Tekniker,X$4,TF_Dato,$A1086))*2,0)/2)))</f>
        <v/>
      </c>
      <c r="Y1086">
        <f>IF(OR(Y$4="",$A1086&gt;TODAY()),0,IF(OR(INDEX($B1086:$D1086,Y$5)="F",AND(Y$6&gt;0,$A1086&lt;Y$6),AND(Y$7&gt;0,$A1086&gt;Y$7)),0,MAX(0,ROUND((INDEX($E1086:$G1086,Y$5)-SUMIFS(TF_Timer,TF_Tekniker,Y$4,TF_Dato,$A1086))*2,0)/2)))</f>
        <v/>
      </c>
      <c r="Z1086">
        <f>IF(OR(Z$4="",$A1086&gt;TODAY()),0,IF(OR(INDEX($B1086:$D1086,Z$5)="F",AND(Z$6&gt;0,$A1086&lt;Z$6),AND(Z$7&gt;0,$A1086&gt;Z$7)),0,MAX(0,ROUND((INDEX($E1086:$G1086,Z$5)-SUMIFS(TF_Timer,TF_Tekniker,Z$4,TF_Dato,$A1086))*2,0)/2)))</f>
        <v/>
      </c>
      <c r="AA1086">
        <f>IF(OR(AA$4="",$A1086&gt;TODAY()),0,IF(OR(INDEX($B1086:$D1086,AA$5)="F",AND(AA$6&gt;0,$A1086&lt;AA$6),AND(AA$7&gt;0,$A1086&gt;AA$7)),0,MAX(0,ROUND((INDEX($E1086:$G1086,AA$5)-SUMIFS(TF_Timer,TF_Tekniker,AA$4,TF_Dato,$A1086))*2,0)/2)))</f>
        <v/>
      </c>
      <c r="AB1086">
        <f>IF(OR(AB$4="",$A1086&gt;TODAY()),0,IF(OR(INDEX($B1086:$D1086,AB$5)="F",AND(AB$6&gt;0,$A1086&lt;AB$6),AND(AB$7&gt;0,$A1086&gt;AB$7)),0,MAX(0,ROUND((INDEX($E1086:$G1086,AB$5)-SUMIFS(TF_Timer,TF_Tekniker,AB$4,TF_Dato,$A1086))*2,0)/2)))</f>
        <v/>
      </c>
      <c r="AC1086">
        <f>IF(OR(AC$4="",$A1086&gt;TODAY()),0,IF(OR(INDEX($B1086:$D1086,AC$5)="F",AND(AC$6&gt;0,$A1086&lt;AC$6),AND(AC$7&gt;0,$A1086&gt;AC$7)),0,MAX(0,ROUND((INDEX($E1086:$G1086,AC$5)-SUMIFS(TF_Timer,TF_Tekniker,AC$4,TF_Dato,$A1086))*2,0)/2)))</f>
        <v/>
      </c>
      <c r="AD1086">
        <f>IF(OR(AD$4="",$A1086&gt;TODAY()),0,IF(OR(INDEX($B1086:$D1086,AD$5)="F",AND(AD$6&gt;0,$A1086&lt;AD$6),AND(AD$7&gt;0,$A1086&gt;AD$7)),0,MAX(0,ROUND((INDEX($E1086:$G1086,AD$5)-SUMIFS(TF_Timer,TF_Tekniker,AD$4,TF_Dato,$A1086))*2,0)/2)))</f>
        <v/>
      </c>
      <c r="AE1086">
        <f>IF(OR(AE$4="",$A1086&gt;TODAY()),0,IF(OR(INDEX($B1086:$D1086,AE$5)="F",AND(AE$6&gt;0,$A1086&lt;AE$6),AND(AE$7&gt;0,$A1086&gt;AE$7)),0,MAX(0,ROUND((INDEX($E1086:$G1086,AE$5)-SUMIFS(TF_Timer,TF_Tekniker,AE$4,TF_Dato,$A1086))*2,0)/2)))</f>
        <v/>
      </c>
      <c r="AF1086">
        <f>IF(OR(AF$4="",$A1086&gt;TODAY()),0,IF(OR(INDEX($B1086:$D1086,AF$5)="F",AND(AF$6&gt;0,$A1086&lt;AF$6),AND(AF$7&gt;0,$A1086&gt;AF$7)),0,MAX(0,ROUND((INDEX($E1086:$G1086,AF$5)-SUMIFS(TF_Timer,TF_Tekniker,AF$4,TF_Dato,$A1086))*2,0)/2)))</f>
        <v/>
      </c>
      <c r="AG1086">
        <f>IF(OR(AG$4="",$A1086&gt;TODAY()),0,IF(OR(INDEX($B1086:$D1086,AG$5)="F",AND(AG$6&gt;0,$A1086&lt;AG$6),AND(AG$7&gt;0,$A1086&gt;AG$7)),0,MAX(0,ROUND((INDEX($E1086:$G1086,AG$5)-SUMIFS(TF_Timer,TF_Tekniker,AG$4,TF_Dato,$A1086))*2,0)/2)))</f>
        <v/>
      </c>
      <c r="AH1086">
        <f>IF(OR(AH$4="",$A1086&gt;TODAY()),0,IF(OR(INDEX($B1086:$D1086,AH$5)="F",AND(AH$6&gt;0,$A1086&lt;AH$6),AND(AH$7&gt;0,$A1086&gt;AH$7)),0,MAX(0,ROUND((INDEX($E1086:$G1086,AH$5)-SUMIFS(TF_Timer,TF_Tekniker,AH$4,TF_Dato,$A1086))*2,0)/2)))</f>
        <v/>
      </c>
      <c r="AI1086">
        <f>IF(OR(AI$4="",$A1086&gt;TODAY()),0,IF(OR(INDEX($B1086:$D1086,AI$5)="F",AND(AI$6&gt;0,$A1086&lt;AI$6),AND(AI$7&gt;0,$A1086&gt;AI$7)),0,MAX(0,ROUND((INDEX($E1086:$G1086,AI$5)-SUMIFS(TF_Timer,TF_Tekniker,AI$4,TF_Dato,$A1086))*2,0)/2)))</f>
        <v/>
      </c>
      <c r="AJ1086">
        <f>IF(OR(AJ$4="",$A1086&gt;TODAY()),0,IF(OR(INDEX($B1086:$D1086,AJ$5)="F",AND(AJ$6&gt;0,$A1086&lt;AJ$6),AND(AJ$7&gt;0,$A1086&gt;AJ$7)),0,MAX(0,ROUND((INDEX($E1086:$G1086,AJ$5)-SUMIFS(TF_Timer,TF_Tekniker,AJ$4,TF_Dato,$A1086))*2,0)/2)))</f>
        <v/>
      </c>
      <c r="AK1086">
        <f>IF(OR(AK$4="",$A1086&gt;TODAY()),0,IF(OR(INDEX($B1086:$D1086,AK$5)="F",AND(AK$6&gt;0,$A1086&lt;AK$6),AND(AK$7&gt;0,$A1086&gt;AK$7)),0,MAX(0,ROUND((INDEX($E1086:$G1086,AK$5)-SUMIFS(TF_Timer,TF_Tekniker,AK$4,TF_Dato,$A1086))*2,0)/2)))</f>
        <v/>
      </c>
      <c r="AL1086">
        <f>IF(OR(AL$4="",$A1086&gt;TODAY()),0,IF(OR(INDEX($B1086:$D1086,AL$5)="F",AND(AL$6&gt;0,$A1086&lt;AL$6),AND(AL$7&gt;0,$A1086&gt;AL$7)),0,MAX(0,ROUND((INDEX($E1086:$G1086,AL$5)-SUMIFS(TF_Timer,TF_Tekniker,AL$4,TF_Dato,$A1086))*2,0)/2)))</f>
        <v/>
      </c>
      <c r="AM1086">
        <f>IF(OR(AM$4="",$A1086&gt;TODAY()),0,IF(OR(INDEX($B1086:$D1086,AM$5)="F",AND(AM$6&gt;0,$A1086&lt;AM$6),AND(AM$7&gt;0,$A1086&gt;AM$7)),0,MAX(0,ROUND((INDEX($E1086:$G1086,AM$5)-SUMIFS(TF_Timer,TF_Tekniker,AM$4,TF_Dato,$A1086))*2,0)/2)))</f>
        <v/>
      </c>
      <c r="AN1086">
        <f>IF(OR(AN$4="",$A1086&gt;TODAY()),0,IF(OR(INDEX($B1086:$D1086,AN$5)="F",AND(AN$6&gt;0,$A1086&lt;AN$6),AND(AN$7&gt;0,$A1086&gt;AN$7)),0,MAX(0,ROUND((INDEX($E1086:$G1086,AN$5)-SUMIFS(TF_Timer,TF_Tekniker,AN$4,TF_Dato,$A1086))*2,0)/2)))</f>
        <v/>
      </c>
      <c r="AO1086">
        <f>IF(OR(AO$4="",$A1086&gt;TODAY()),0,IF(OR(INDEX($B1086:$D1086,AO$5)="F",AND(AO$6&gt;0,$A1086&lt;AO$6),AND(AO$7&gt;0,$A1086&gt;AO$7)),0,MAX(0,ROUND((INDEX($E1086:$G1086,AO$5)-SUMIFS(TF_Timer,TF_Tekniker,AO$4,TF_Dato,$A1086))*2,0)/2)))</f>
        <v/>
      </c>
      <c r="AP1086">
        <f>IF(OR(AP$4="",$A1086&gt;TODAY()),0,IF(OR(INDEX($B1086:$D1086,AP$5)="F",AND(AP$6&gt;0,$A1086&lt;AP$6),AND(AP$7&gt;0,$A1086&gt;AP$7)),0,MAX(0,ROUND((INDEX($E1086:$G1086,AP$5)-SUMIFS(TF_Timer,TF_Tekniker,AP$4,TF_Dato,$A1086))*2,0)/2)))</f>
        <v/>
      </c>
      <c r="AQ1086">
        <f>IF(OR(AQ$4="",$A1086&gt;TODAY()),0,IF(OR(INDEX($B1086:$D1086,AQ$5)="F",AND(AQ$6&gt;0,$A1086&lt;AQ$6),AND(AQ$7&gt;0,$A1086&gt;AQ$7)),0,MAX(0,ROUND((INDEX($E1086:$G1086,AQ$5)-SUMIFS(TF_Timer,TF_Tekniker,AQ$4,TF_Dato,$A1086))*2,0)/2)))</f>
        <v/>
      </c>
      <c r="AR1086">
        <f>IF(OR(AR$4="",$A1086&gt;TODAY()),0,IF(OR(INDEX($B1086:$D1086,AR$5)="F",AND(AR$6&gt;0,$A1086&lt;AR$6),AND(AR$7&gt;0,$A1086&gt;AR$7)),0,MAX(0,ROUND((INDEX($E1086:$G1086,AR$5)-SUMIFS(TF_Timer,TF_Tekniker,AR$4,TF_Dato,$A1086))*2,0)/2)))</f>
        <v/>
      </c>
      <c r="AS1086">
        <f>IF(OR(AS$4="",$A1086&gt;TODAY()),0,IF(OR(INDEX($B1086:$D1086,AS$5)="F",AND(AS$6&gt;0,$A1086&lt;AS$6),AND(AS$7&gt;0,$A1086&gt;AS$7)),0,MAX(0,ROUND((INDEX($E1086:$G1086,AS$5)-SUMIFS(TF_Timer,TF_Tekniker,AS$4,TF_Dato,$A1086))*2,0)/2)))</f>
        <v/>
      </c>
      <c r="AT1086">
        <f>IF(OR(AT$4="",$A1086&gt;TODAY()),0,IF(OR(INDEX($B1086:$D1086,AT$5)="F",AND(AT$6&gt;0,$A1086&lt;AT$6),AND(AT$7&gt;0,$A1086&gt;AT$7)),0,MAX(0,ROUND((INDEX($E1086:$G1086,AT$5)-SUMIFS(TF_Timer,TF_Tekniker,AT$4,TF_Dato,$A1086))*2,0)/2)))</f>
        <v/>
      </c>
      <c r="AU1086">
        <f>IF(OR(AU$4="",$A1086&gt;TODAY()),0,IF(OR(INDEX($B1086:$D1086,AU$5)="F",AND(AU$6&gt;0,$A1086&lt;AU$6),AND(AU$7&gt;0,$A1086&gt;AU$7)),0,MAX(0,ROUND((INDEX($E1086:$G1086,AU$5)-SUMIFS(TF_Timer,TF_Tekniker,AU$4,TF_Dato,$A1086))*2,0)/2)))</f>
        <v/>
      </c>
      <c r="AV1086">
        <f>IF(OR(AV$4="",$A1086&gt;TODAY()),0,IF(OR(INDEX($B1086:$D1086,AV$5)="F",AND(AV$6&gt;0,$A1086&lt;AV$6),AND(AV$7&gt;0,$A1086&gt;AV$7)),0,MAX(0,ROUND((INDEX($E1086:$G1086,AV$5)-SUMIFS(TF_Timer,TF_Tekniker,AV$4,TF_Dato,$A1086))*2,0)/2)))</f>
        <v/>
      </c>
      <c r="AW1086">
        <f>IF(OR(AW$4="",$A1086&gt;TODAY()),0,IF(OR(INDEX($B1086:$D1086,AW$5)="F",AND(AW$6&gt;0,$A1086&lt;AW$6),AND(AW$7&gt;0,$A1086&gt;AW$7)),0,MAX(0,ROUND((INDEX($E1086:$G1086,AW$5)-SUMIFS(TF_Timer,TF_Tekniker,AW$4,TF_Dato,$A1086))*2,0)/2)))</f>
        <v/>
      </c>
      <c r="AX1086">
        <f>IF(OR(AX$4="",$A1086&gt;TODAY()),0,IF(OR(INDEX($B1086:$D1086,AX$5)="F",AND(AX$6&gt;0,$A1086&lt;AX$6),AND(AX$7&gt;0,$A1086&gt;AX$7)),0,MAX(0,ROUND((INDEX($E1086:$G1086,AX$5)-SUMIFS(TF_Timer,TF_Tekniker,AX$4,TF_Dato,$A1086))*2,0)/2)))</f>
        <v/>
      </c>
      <c r="AY1086">
        <f>IF(OR(AY$4="",$A1086&gt;TODAY()),0,IF(OR(INDEX($B1086:$D1086,AY$5)="F",AND(AY$6&gt;0,$A1086&lt;AY$6),AND(AY$7&gt;0,$A1086&gt;AY$7)),0,MAX(0,ROUND((INDEX($E1086:$G1086,AY$5)-SUMIFS(TF_Timer,TF_Tekniker,AY$4,TF_Dato,$A1086))*2,0)/2)))</f>
        <v/>
      </c>
      <c r="AZ1086">
        <f>IF(OR(AZ$4="",$A1086&gt;TODAY()),0,IF(OR(INDEX($B1086:$D1086,AZ$5)="F",AND(AZ$6&gt;0,$A1086&lt;AZ$6),AND(AZ$7&gt;0,$A1086&gt;AZ$7)),0,MAX(0,ROUND((INDEX($E1086:$G1086,AZ$5)-SUMIFS(TF_Timer,TF_Tekniker,AZ$4,TF_Dato,$A1086))*2,0)/2)))</f>
        <v/>
      </c>
      <c r="BA1086">
        <f>IF(OR(BA$4="",$A1086&gt;TODAY()),0,IF(OR(INDEX($B1086:$D1086,BA$5)="F",AND(BA$6&gt;0,$A1086&lt;BA$6),AND(BA$7&gt;0,$A1086&gt;BA$7)),0,MAX(0,ROUND((INDEX($E1086:$G1086,BA$5)-SUMIFS(TF_Timer,TF_Tekniker,BA$4,TF_Dato,$A1086))*2,0)/2)))</f>
        <v/>
      </c>
      <c r="BB1086">
        <f>IF(OR(BB$4="",$A1086&gt;TODAY()),0,IF(OR(INDEX($B1086:$D1086,BB$5)="F",AND(BB$6&gt;0,$A1086&lt;BB$6),AND(BB$7&gt;0,$A1086&gt;BB$7)),0,MAX(0,ROUND((INDEX($E1086:$G1086,BB$5)-SUMIFS(TF_Timer,TF_Tekniker,BB$4,TF_Dato,$A1086))*2,0)/2)))</f>
        <v/>
      </c>
      <c r="BC1086">
        <f>IF(OR(BC$4="",$A1086&gt;TODAY()),0,IF(OR(INDEX($B1086:$D1086,BC$5)="F",AND(BC$6&gt;0,$A1086&lt;BC$6),AND(BC$7&gt;0,$A1086&gt;BC$7)),0,MAX(0,ROUND((INDEX($E1086:$G1086,BC$5)-SUMIFS(TF_Timer,TF_Tekniker,BC$4,TF_Dato,$A1086))*2,0)/2)))</f>
        <v/>
      </c>
      <c r="BD1086">
        <f>IF(OR(BD$4="",$A1086&gt;TODAY()),0,IF(OR(INDEX($B1086:$D1086,BD$5)="F",AND(BD$6&gt;0,$A1086&lt;BD$6),AND(BD$7&gt;0,$A1086&gt;BD$7)),0,MAX(0,ROUND((INDEX($E1086:$G1086,BD$5)-SUMIFS(TF_Timer,TF_Tekniker,BD$4,TF_Dato,$A1086))*2,0)/2)))</f>
        <v/>
      </c>
      <c r="BE1086">
        <f>IF(OR(BE$4="",$A1086&gt;TODAY()),0,IF(OR(INDEX($B1086:$D1086,BE$5)="F",AND(BE$6&gt;0,$A1086&lt;BE$6),AND(BE$7&gt;0,$A1086&gt;BE$7)),0,MAX(0,ROUND((INDEX($E1086:$G1086,BE$5)-SUMIFS(TF_Timer,TF_Tekniker,BE$4,TF_Dato,$A1086))*2,0)/2)))</f>
        <v/>
      </c>
      <c r="BF1086">
        <f>IF(OR(BF$4="",$A1086&gt;TODAY()),0,IF(OR(INDEX($B1086:$D1086,BF$5)="F",AND(BF$6&gt;0,$A1086&lt;BF$6),AND(BF$7&gt;0,$A1086&gt;BF$7)),0,MAX(0,ROUND((INDEX($E1086:$G1086,BF$5)-SUMIFS(TF_Timer,TF_Tekniker,BF$4,TF_Dato,$A1086))*2,0)/2)))</f>
        <v/>
      </c>
      <c r="BG1086">
        <f>IF(OR(BG$4="",$A1086&gt;TODAY()),0,IF(OR(INDEX($B1086:$D1086,BG$5)="F",AND(BG$6&gt;0,$A1086&lt;BG$6),AND(BG$7&gt;0,$A1086&gt;BG$7)),0,MAX(0,ROUND((INDEX($E1086:$G1086,BG$5)-SUMIFS(TF_Timer,TF_Tekniker,BG$4,TF_Dato,$A1086))*2,0)/2)))</f>
        <v/>
      </c>
      <c r="BH1086">
        <f>IF(OR(BH$4="",$A1086&gt;TODAY()),0,IF(OR(INDEX($B1086:$D1086,BH$5)="F",AND(BH$6&gt;0,$A1086&lt;BH$6),AND(BH$7&gt;0,$A1086&gt;BH$7)),0,MAX(0,ROUND((INDEX($E1086:$G1086,BH$5)-SUMIFS(TF_Timer,TF_Tekniker,BH$4,TF_Dato,$A1086))*2,0)/2)))</f>
        <v/>
      </c>
      <c r="BI1086">
        <f>IF(OR(BI$4="",$A1086&gt;TODAY()),0,IF(OR(INDEX($B1086:$D1086,BI$5)="F",AND(BI$6&gt;0,$A1086&lt;BI$6),AND(BI$7&gt;0,$A1086&gt;BI$7)),0,MAX(0,ROUND((INDEX($E1086:$G1086,BI$5)-SUMIFS(TF_Timer,TF_Tekniker,BI$4,TF_Dato,$A1086))*2,0)/2)))</f>
        <v/>
      </c>
    </row>
    <row r="1087">
      <c r="A1087" s="64">
        <f>A1086+1</f>
        <v/>
      </c>
      <c r="B1087">
        <f>IF(MOD($A1087-INDEX(SkiftStart,1),Syklus)&lt;DagK,"K",IF(MOD($A1087-INDEX(SkiftStart,1),Syklus)&lt;DagK+DagH,"H",IF(MOD($A1087-INDEX(SkiftStart,1),Syklus)&lt;DagK+DagH+DagD,"D","F")))</f>
        <v/>
      </c>
      <c r="C1087">
        <f>IF(MOD($A1087-INDEX(SkiftStart,2),Syklus)&lt;DagK,"K",IF(MOD($A1087-INDEX(SkiftStart,2),Syklus)&lt;DagK+DagH,"H",IF(MOD($A1087-INDEX(SkiftStart,2),Syklus)&lt;DagK+DagH+DagD,"D","F")))</f>
        <v/>
      </c>
      <c r="D1087">
        <f>IF(MOD($A1087-INDEX(SkiftStart,3),Syklus)&lt;DagK,"K",IF(MOD($A1087-INDEX(SkiftStart,3),Syklus)&lt;DagK+DagH,"H",IF(MOD($A1087-INDEX(SkiftStart,3),Syklus)&lt;DagK+DagH+DagD,"D","F")))</f>
        <v/>
      </c>
      <c r="E1087">
        <f>IF(B1087="F",0,IF(WEEKDAY($A1087,2)=5,INDEX(TimerFr,MATCH(B1087,FaseKode,0)),INDEX(TimerMT,MATCH(B1087,FaseKode,0))))</f>
        <v/>
      </c>
      <c r="F1087">
        <f>IF(C1087="F",0,IF(WEEKDAY($A1087,2)=5,INDEX(TimerFr,MATCH(C1087,FaseKode,0)),INDEX(TimerMT,MATCH(C1087,FaseKode,0))))</f>
        <v/>
      </c>
      <c r="G1087">
        <f>IF(D1087="F",0,IF(WEEKDAY($A1087,2)=5,INDEX(TimerFr,MATCH(D1087,FaseKode,0)),INDEX(TimerMT,MATCH(D1087,FaseKode,0))))</f>
        <v/>
      </c>
      <c r="H1087">
        <f>IF(OR(H$4="",$A1087&gt;TODAY()),0,IF(OR(INDEX($B1087:$D1087,H$5)="F",AND(H$6&gt;0,$A1087&lt;H$6),AND(H$7&gt;0,$A1087&gt;H$7)),0,MAX(0,ROUND((INDEX($E1087:$G1087,H$5)-SUMIFS(TF_Timer,TF_Tekniker,H$4,TF_Dato,$A1087))*2,0)/2)))</f>
        <v/>
      </c>
      <c r="I1087">
        <f>IF(OR(I$4="",$A1087&gt;TODAY()),0,IF(OR(INDEX($B1087:$D1087,I$5)="F",AND(I$6&gt;0,$A1087&lt;I$6),AND(I$7&gt;0,$A1087&gt;I$7)),0,MAX(0,ROUND((INDEX($E1087:$G1087,I$5)-SUMIFS(TF_Timer,TF_Tekniker,I$4,TF_Dato,$A1087))*2,0)/2)))</f>
        <v/>
      </c>
      <c r="J1087">
        <f>IF(OR(J$4="",$A1087&gt;TODAY()),0,IF(OR(INDEX($B1087:$D1087,J$5)="F",AND(J$6&gt;0,$A1087&lt;J$6),AND(J$7&gt;0,$A1087&gt;J$7)),0,MAX(0,ROUND((INDEX($E1087:$G1087,J$5)-SUMIFS(TF_Timer,TF_Tekniker,J$4,TF_Dato,$A1087))*2,0)/2)))</f>
        <v/>
      </c>
      <c r="K1087">
        <f>IF(OR(K$4="",$A1087&gt;TODAY()),0,IF(OR(INDEX($B1087:$D1087,K$5)="F",AND(K$6&gt;0,$A1087&lt;K$6),AND(K$7&gt;0,$A1087&gt;K$7)),0,MAX(0,ROUND((INDEX($E1087:$G1087,K$5)-SUMIFS(TF_Timer,TF_Tekniker,K$4,TF_Dato,$A1087))*2,0)/2)))</f>
        <v/>
      </c>
      <c r="L1087">
        <f>IF(OR(L$4="",$A1087&gt;TODAY()),0,IF(OR(INDEX($B1087:$D1087,L$5)="F",AND(L$6&gt;0,$A1087&lt;L$6),AND(L$7&gt;0,$A1087&gt;L$7)),0,MAX(0,ROUND((INDEX($E1087:$G1087,L$5)-SUMIFS(TF_Timer,TF_Tekniker,L$4,TF_Dato,$A1087))*2,0)/2)))</f>
        <v/>
      </c>
      <c r="M1087">
        <f>IF(OR(M$4="",$A1087&gt;TODAY()),0,IF(OR(INDEX($B1087:$D1087,M$5)="F",AND(M$6&gt;0,$A1087&lt;M$6),AND(M$7&gt;0,$A1087&gt;M$7)),0,MAX(0,ROUND((INDEX($E1087:$G1087,M$5)-SUMIFS(TF_Timer,TF_Tekniker,M$4,TF_Dato,$A1087))*2,0)/2)))</f>
        <v/>
      </c>
      <c r="N1087">
        <f>IF(OR(N$4="",$A1087&gt;TODAY()),0,IF(OR(INDEX($B1087:$D1087,N$5)="F",AND(N$6&gt;0,$A1087&lt;N$6),AND(N$7&gt;0,$A1087&gt;N$7)),0,MAX(0,ROUND((INDEX($E1087:$G1087,N$5)-SUMIFS(TF_Timer,TF_Tekniker,N$4,TF_Dato,$A1087))*2,0)/2)))</f>
        <v/>
      </c>
      <c r="O1087">
        <f>IF(OR(O$4="",$A1087&gt;TODAY()),0,IF(OR(INDEX($B1087:$D1087,O$5)="F",AND(O$6&gt;0,$A1087&lt;O$6),AND(O$7&gt;0,$A1087&gt;O$7)),0,MAX(0,ROUND((INDEX($E1087:$G1087,O$5)-SUMIFS(TF_Timer,TF_Tekniker,O$4,TF_Dato,$A1087))*2,0)/2)))</f>
        <v/>
      </c>
      <c r="P1087">
        <f>IF(OR(P$4="",$A1087&gt;TODAY()),0,IF(OR(INDEX($B1087:$D1087,P$5)="F",AND(P$6&gt;0,$A1087&lt;P$6),AND(P$7&gt;0,$A1087&gt;P$7)),0,MAX(0,ROUND((INDEX($E1087:$G1087,P$5)-SUMIFS(TF_Timer,TF_Tekniker,P$4,TF_Dato,$A1087))*2,0)/2)))</f>
        <v/>
      </c>
      <c r="Q1087">
        <f>IF(OR(Q$4="",$A1087&gt;TODAY()),0,IF(OR(INDEX($B1087:$D1087,Q$5)="F",AND(Q$6&gt;0,$A1087&lt;Q$6),AND(Q$7&gt;0,$A1087&gt;Q$7)),0,MAX(0,ROUND((INDEX($E1087:$G1087,Q$5)-SUMIFS(TF_Timer,TF_Tekniker,Q$4,TF_Dato,$A1087))*2,0)/2)))</f>
        <v/>
      </c>
      <c r="R1087">
        <f>IF(OR(R$4="",$A1087&gt;TODAY()),0,IF(OR(INDEX($B1087:$D1087,R$5)="F",AND(R$6&gt;0,$A1087&lt;R$6),AND(R$7&gt;0,$A1087&gt;R$7)),0,MAX(0,ROUND((INDEX($E1087:$G1087,R$5)-SUMIFS(TF_Timer,TF_Tekniker,R$4,TF_Dato,$A1087))*2,0)/2)))</f>
        <v/>
      </c>
      <c r="S1087">
        <f>IF(OR(S$4="",$A1087&gt;TODAY()),0,IF(OR(INDEX($B1087:$D1087,S$5)="F",AND(S$6&gt;0,$A1087&lt;S$6),AND(S$7&gt;0,$A1087&gt;S$7)),0,MAX(0,ROUND((INDEX($E1087:$G1087,S$5)-SUMIFS(TF_Timer,TF_Tekniker,S$4,TF_Dato,$A1087))*2,0)/2)))</f>
        <v/>
      </c>
      <c r="T1087">
        <f>IF(OR(T$4="",$A1087&gt;TODAY()),0,IF(OR(INDEX($B1087:$D1087,T$5)="F",AND(T$6&gt;0,$A1087&lt;T$6),AND(T$7&gt;0,$A1087&gt;T$7)),0,MAX(0,ROUND((INDEX($E1087:$G1087,T$5)-SUMIFS(TF_Timer,TF_Tekniker,T$4,TF_Dato,$A1087))*2,0)/2)))</f>
        <v/>
      </c>
      <c r="U1087">
        <f>IF(OR(U$4="",$A1087&gt;TODAY()),0,IF(OR(INDEX($B1087:$D1087,U$5)="F",AND(U$6&gt;0,$A1087&lt;U$6),AND(U$7&gt;0,$A1087&gt;U$7)),0,MAX(0,ROUND((INDEX($E1087:$G1087,U$5)-SUMIFS(TF_Timer,TF_Tekniker,U$4,TF_Dato,$A1087))*2,0)/2)))</f>
        <v/>
      </c>
      <c r="V1087">
        <f>IF(OR(V$4="",$A1087&gt;TODAY()),0,IF(OR(INDEX($B1087:$D1087,V$5)="F",AND(V$6&gt;0,$A1087&lt;V$6),AND(V$7&gt;0,$A1087&gt;V$7)),0,MAX(0,ROUND((INDEX($E1087:$G1087,V$5)-SUMIFS(TF_Timer,TF_Tekniker,V$4,TF_Dato,$A1087))*2,0)/2)))</f>
        <v/>
      </c>
      <c r="W1087">
        <f>IF(OR(W$4="",$A1087&gt;TODAY()),0,IF(OR(INDEX($B1087:$D1087,W$5)="F",AND(W$6&gt;0,$A1087&lt;W$6),AND(W$7&gt;0,$A1087&gt;W$7)),0,MAX(0,ROUND((INDEX($E1087:$G1087,W$5)-SUMIFS(TF_Timer,TF_Tekniker,W$4,TF_Dato,$A1087))*2,0)/2)))</f>
        <v/>
      </c>
      <c r="X1087">
        <f>IF(OR(X$4="",$A1087&gt;TODAY()),0,IF(OR(INDEX($B1087:$D1087,X$5)="F",AND(X$6&gt;0,$A1087&lt;X$6),AND(X$7&gt;0,$A1087&gt;X$7)),0,MAX(0,ROUND((INDEX($E1087:$G1087,X$5)-SUMIFS(TF_Timer,TF_Tekniker,X$4,TF_Dato,$A1087))*2,0)/2)))</f>
        <v/>
      </c>
      <c r="Y1087">
        <f>IF(OR(Y$4="",$A1087&gt;TODAY()),0,IF(OR(INDEX($B1087:$D1087,Y$5)="F",AND(Y$6&gt;0,$A1087&lt;Y$6),AND(Y$7&gt;0,$A1087&gt;Y$7)),0,MAX(0,ROUND((INDEX($E1087:$G1087,Y$5)-SUMIFS(TF_Timer,TF_Tekniker,Y$4,TF_Dato,$A1087))*2,0)/2)))</f>
        <v/>
      </c>
      <c r="Z1087">
        <f>IF(OR(Z$4="",$A1087&gt;TODAY()),0,IF(OR(INDEX($B1087:$D1087,Z$5)="F",AND(Z$6&gt;0,$A1087&lt;Z$6),AND(Z$7&gt;0,$A1087&gt;Z$7)),0,MAX(0,ROUND((INDEX($E1087:$G1087,Z$5)-SUMIFS(TF_Timer,TF_Tekniker,Z$4,TF_Dato,$A1087))*2,0)/2)))</f>
        <v/>
      </c>
      <c r="AA1087">
        <f>IF(OR(AA$4="",$A1087&gt;TODAY()),0,IF(OR(INDEX($B1087:$D1087,AA$5)="F",AND(AA$6&gt;0,$A1087&lt;AA$6),AND(AA$7&gt;0,$A1087&gt;AA$7)),0,MAX(0,ROUND((INDEX($E1087:$G1087,AA$5)-SUMIFS(TF_Timer,TF_Tekniker,AA$4,TF_Dato,$A1087))*2,0)/2)))</f>
        <v/>
      </c>
      <c r="AB1087">
        <f>IF(OR(AB$4="",$A1087&gt;TODAY()),0,IF(OR(INDEX($B1087:$D1087,AB$5)="F",AND(AB$6&gt;0,$A1087&lt;AB$6),AND(AB$7&gt;0,$A1087&gt;AB$7)),0,MAX(0,ROUND((INDEX($E1087:$G1087,AB$5)-SUMIFS(TF_Timer,TF_Tekniker,AB$4,TF_Dato,$A1087))*2,0)/2)))</f>
        <v/>
      </c>
      <c r="AC1087">
        <f>IF(OR(AC$4="",$A1087&gt;TODAY()),0,IF(OR(INDEX($B1087:$D1087,AC$5)="F",AND(AC$6&gt;0,$A1087&lt;AC$6),AND(AC$7&gt;0,$A1087&gt;AC$7)),0,MAX(0,ROUND((INDEX($E1087:$G1087,AC$5)-SUMIFS(TF_Timer,TF_Tekniker,AC$4,TF_Dato,$A1087))*2,0)/2)))</f>
        <v/>
      </c>
      <c r="AD1087">
        <f>IF(OR(AD$4="",$A1087&gt;TODAY()),0,IF(OR(INDEX($B1087:$D1087,AD$5)="F",AND(AD$6&gt;0,$A1087&lt;AD$6),AND(AD$7&gt;0,$A1087&gt;AD$7)),0,MAX(0,ROUND((INDEX($E1087:$G1087,AD$5)-SUMIFS(TF_Timer,TF_Tekniker,AD$4,TF_Dato,$A1087))*2,0)/2)))</f>
        <v/>
      </c>
      <c r="AE1087">
        <f>IF(OR(AE$4="",$A1087&gt;TODAY()),0,IF(OR(INDEX($B1087:$D1087,AE$5)="F",AND(AE$6&gt;0,$A1087&lt;AE$6),AND(AE$7&gt;0,$A1087&gt;AE$7)),0,MAX(0,ROUND((INDEX($E1087:$G1087,AE$5)-SUMIFS(TF_Timer,TF_Tekniker,AE$4,TF_Dato,$A1087))*2,0)/2)))</f>
        <v/>
      </c>
      <c r="AF1087">
        <f>IF(OR(AF$4="",$A1087&gt;TODAY()),0,IF(OR(INDEX($B1087:$D1087,AF$5)="F",AND(AF$6&gt;0,$A1087&lt;AF$6),AND(AF$7&gt;0,$A1087&gt;AF$7)),0,MAX(0,ROUND((INDEX($E1087:$G1087,AF$5)-SUMIFS(TF_Timer,TF_Tekniker,AF$4,TF_Dato,$A1087))*2,0)/2)))</f>
        <v/>
      </c>
      <c r="AG1087">
        <f>IF(OR(AG$4="",$A1087&gt;TODAY()),0,IF(OR(INDEX($B1087:$D1087,AG$5)="F",AND(AG$6&gt;0,$A1087&lt;AG$6),AND(AG$7&gt;0,$A1087&gt;AG$7)),0,MAX(0,ROUND((INDEX($E1087:$G1087,AG$5)-SUMIFS(TF_Timer,TF_Tekniker,AG$4,TF_Dato,$A1087))*2,0)/2)))</f>
        <v/>
      </c>
      <c r="AH1087">
        <f>IF(OR(AH$4="",$A1087&gt;TODAY()),0,IF(OR(INDEX($B1087:$D1087,AH$5)="F",AND(AH$6&gt;0,$A1087&lt;AH$6),AND(AH$7&gt;0,$A1087&gt;AH$7)),0,MAX(0,ROUND((INDEX($E1087:$G1087,AH$5)-SUMIFS(TF_Timer,TF_Tekniker,AH$4,TF_Dato,$A1087))*2,0)/2)))</f>
        <v/>
      </c>
      <c r="AI1087">
        <f>IF(OR(AI$4="",$A1087&gt;TODAY()),0,IF(OR(INDEX($B1087:$D1087,AI$5)="F",AND(AI$6&gt;0,$A1087&lt;AI$6),AND(AI$7&gt;0,$A1087&gt;AI$7)),0,MAX(0,ROUND((INDEX($E1087:$G1087,AI$5)-SUMIFS(TF_Timer,TF_Tekniker,AI$4,TF_Dato,$A1087))*2,0)/2)))</f>
        <v/>
      </c>
      <c r="AJ1087">
        <f>IF(OR(AJ$4="",$A1087&gt;TODAY()),0,IF(OR(INDEX($B1087:$D1087,AJ$5)="F",AND(AJ$6&gt;0,$A1087&lt;AJ$6),AND(AJ$7&gt;0,$A1087&gt;AJ$7)),0,MAX(0,ROUND((INDEX($E1087:$G1087,AJ$5)-SUMIFS(TF_Timer,TF_Tekniker,AJ$4,TF_Dato,$A1087))*2,0)/2)))</f>
        <v/>
      </c>
      <c r="AK1087">
        <f>IF(OR(AK$4="",$A1087&gt;TODAY()),0,IF(OR(INDEX($B1087:$D1087,AK$5)="F",AND(AK$6&gt;0,$A1087&lt;AK$6),AND(AK$7&gt;0,$A1087&gt;AK$7)),0,MAX(0,ROUND((INDEX($E1087:$G1087,AK$5)-SUMIFS(TF_Timer,TF_Tekniker,AK$4,TF_Dato,$A1087))*2,0)/2)))</f>
        <v/>
      </c>
      <c r="AL1087">
        <f>IF(OR(AL$4="",$A1087&gt;TODAY()),0,IF(OR(INDEX($B1087:$D1087,AL$5)="F",AND(AL$6&gt;0,$A1087&lt;AL$6),AND(AL$7&gt;0,$A1087&gt;AL$7)),0,MAX(0,ROUND((INDEX($E1087:$G1087,AL$5)-SUMIFS(TF_Timer,TF_Tekniker,AL$4,TF_Dato,$A1087))*2,0)/2)))</f>
        <v/>
      </c>
      <c r="AM1087">
        <f>IF(OR(AM$4="",$A1087&gt;TODAY()),0,IF(OR(INDEX($B1087:$D1087,AM$5)="F",AND(AM$6&gt;0,$A1087&lt;AM$6),AND(AM$7&gt;0,$A1087&gt;AM$7)),0,MAX(0,ROUND((INDEX($E1087:$G1087,AM$5)-SUMIFS(TF_Timer,TF_Tekniker,AM$4,TF_Dato,$A1087))*2,0)/2)))</f>
        <v/>
      </c>
      <c r="AN1087">
        <f>IF(OR(AN$4="",$A1087&gt;TODAY()),0,IF(OR(INDEX($B1087:$D1087,AN$5)="F",AND(AN$6&gt;0,$A1087&lt;AN$6),AND(AN$7&gt;0,$A1087&gt;AN$7)),0,MAX(0,ROUND((INDEX($E1087:$G1087,AN$5)-SUMIFS(TF_Timer,TF_Tekniker,AN$4,TF_Dato,$A1087))*2,0)/2)))</f>
        <v/>
      </c>
      <c r="AO1087">
        <f>IF(OR(AO$4="",$A1087&gt;TODAY()),0,IF(OR(INDEX($B1087:$D1087,AO$5)="F",AND(AO$6&gt;0,$A1087&lt;AO$6),AND(AO$7&gt;0,$A1087&gt;AO$7)),0,MAX(0,ROUND((INDEX($E1087:$G1087,AO$5)-SUMIFS(TF_Timer,TF_Tekniker,AO$4,TF_Dato,$A1087))*2,0)/2)))</f>
        <v/>
      </c>
      <c r="AP1087">
        <f>IF(OR(AP$4="",$A1087&gt;TODAY()),0,IF(OR(INDEX($B1087:$D1087,AP$5)="F",AND(AP$6&gt;0,$A1087&lt;AP$6),AND(AP$7&gt;0,$A1087&gt;AP$7)),0,MAX(0,ROUND((INDEX($E1087:$G1087,AP$5)-SUMIFS(TF_Timer,TF_Tekniker,AP$4,TF_Dato,$A1087))*2,0)/2)))</f>
        <v/>
      </c>
      <c r="AQ1087">
        <f>IF(OR(AQ$4="",$A1087&gt;TODAY()),0,IF(OR(INDEX($B1087:$D1087,AQ$5)="F",AND(AQ$6&gt;0,$A1087&lt;AQ$6),AND(AQ$7&gt;0,$A1087&gt;AQ$7)),0,MAX(0,ROUND((INDEX($E1087:$G1087,AQ$5)-SUMIFS(TF_Timer,TF_Tekniker,AQ$4,TF_Dato,$A1087))*2,0)/2)))</f>
        <v/>
      </c>
      <c r="AR1087">
        <f>IF(OR(AR$4="",$A1087&gt;TODAY()),0,IF(OR(INDEX($B1087:$D1087,AR$5)="F",AND(AR$6&gt;0,$A1087&lt;AR$6),AND(AR$7&gt;0,$A1087&gt;AR$7)),0,MAX(0,ROUND((INDEX($E1087:$G1087,AR$5)-SUMIFS(TF_Timer,TF_Tekniker,AR$4,TF_Dato,$A1087))*2,0)/2)))</f>
        <v/>
      </c>
      <c r="AS1087">
        <f>IF(OR(AS$4="",$A1087&gt;TODAY()),0,IF(OR(INDEX($B1087:$D1087,AS$5)="F",AND(AS$6&gt;0,$A1087&lt;AS$6),AND(AS$7&gt;0,$A1087&gt;AS$7)),0,MAX(0,ROUND((INDEX($E1087:$G1087,AS$5)-SUMIFS(TF_Timer,TF_Tekniker,AS$4,TF_Dato,$A1087))*2,0)/2)))</f>
        <v/>
      </c>
      <c r="AT1087">
        <f>IF(OR(AT$4="",$A1087&gt;TODAY()),0,IF(OR(INDEX($B1087:$D1087,AT$5)="F",AND(AT$6&gt;0,$A1087&lt;AT$6),AND(AT$7&gt;0,$A1087&gt;AT$7)),0,MAX(0,ROUND((INDEX($E1087:$G1087,AT$5)-SUMIFS(TF_Timer,TF_Tekniker,AT$4,TF_Dato,$A1087))*2,0)/2)))</f>
        <v/>
      </c>
      <c r="AU1087">
        <f>IF(OR(AU$4="",$A1087&gt;TODAY()),0,IF(OR(INDEX($B1087:$D1087,AU$5)="F",AND(AU$6&gt;0,$A1087&lt;AU$6),AND(AU$7&gt;0,$A1087&gt;AU$7)),0,MAX(0,ROUND((INDEX($E1087:$G1087,AU$5)-SUMIFS(TF_Timer,TF_Tekniker,AU$4,TF_Dato,$A1087))*2,0)/2)))</f>
        <v/>
      </c>
      <c r="AV1087">
        <f>IF(OR(AV$4="",$A1087&gt;TODAY()),0,IF(OR(INDEX($B1087:$D1087,AV$5)="F",AND(AV$6&gt;0,$A1087&lt;AV$6),AND(AV$7&gt;0,$A1087&gt;AV$7)),0,MAX(0,ROUND((INDEX($E1087:$G1087,AV$5)-SUMIFS(TF_Timer,TF_Tekniker,AV$4,TF_Dato,$A1087))*2,0)/2)))</f>
        <v/>
      </c>
      <c r="AW1087">
        <f>IF(OR(AW$4="",$A1087&gt;TODAY()),0,IF(OR(INDEX($B1087:$D1087,AW$5)="F",AND(AW$6&gt;0,$A1087&lt;AW$6),AND(AW$7&gt;0,$A1087&gt;AW$7)),0,MAX(0,ROUND((INDEX($E1087:$G1087,AW$5)-SUMIFS(TF_Timer,TF_Tekniker,AW$4,TF_Dato,$A1087))*2,0)/2)))</f>
        <v/>
      </c>
      <c r="AX1087">
        <f>IF(OR(AX$4="",$A1087&gt;TODAY()),0,IF(OR(INDEX($B1087:$D1087,AX$5)="F",AND(AX$6&gt;0,$A1087&lt;AX$6),AND(AX$7&gt;0,$A1087&gt;AX$7)),0,MAX(0,ROUND((INDEX($E1087:$G1087,AX$5)-SUMIFS(TF_Timer,TF_Tekniker,AX$4,TF_Dato,$A1087))*2,0)/2)))</f>
        <v/>
      </c>
      <c r="AY1087">
        <f>IF(OR(AY$4="",$A1087&gt;TODAY()),0,IF(OR(INDEX($B1087:$D1087,AY$5)="F",AND(AY$6&gt;0,$A1087&lt;AY$6),AND(AY$7&gt;0,$A1087&gt;AY$7)),0,MAX(0,ROUND((INDEX($E1087:$G1087,AY$5)-SUMIFS(TF_Timer,TF_Tekniker,AY$4,TF_Dato,$A1087))*2,0)/2)))</f>
        <v/>
      </c>
      <c r="AZ1087">
        <f>IF(OR(AZ$4="",$A1087&gt;TODAY()),0,IF(OR(INDEX($B1087:$D1087,AZ$5)="F",AND(AZ$6&gt;0,$A1087&lt;AZ$6),AND(AZ$7&gt;0,$A1087&gt;AZ$7)),0,MAX(0,ROUND((INDEX($E1087:$G1087,AZ$5)-SUMIFS(TF_Timer,TF_Tekniker,AZ$4,TF_Dato,$A1087))*2,0)/2)))</f>
        <v/>
      </c>
      <c r="BA1087">
        <f>IF(OR(BA$4="",$A1087&gt;TODAY()),0,IF(OR(INDEX($B1087:$D1087,BA$5)="F",AND(BA$6&gt;0,$A1087&lt;BA$6),AND(BA$7&gt;0,$A1087&gt;BA$7)),0,MAX(0,ROUND((INDEX($E1087:$G1087,BA$5)-SUMIFS(TF_Timer,TF_Tekniker,BA$4,TF_Dato,$A1087))*2,0)/2)))</f>
        <v/>
      </c>
      <c r="BB1087">
        <f>IF(OR(BB$4="",$A1087&gt;TODAY()),0,IF(OR(INDEX($B1087:$D1087,BB$5)="F",AND(BB$6&gt;0,$A1087&lt;BB$6),AND(BB$7&gt;0,$A1087&gt;BB$7)),0,MAX(0,ROUND((INDEX($E1087:$G1087,BB$5)-SUMIFS(TF_Timer,TF_Tekniker,BB$4,TF_Dato,$A1087))*2,0)/2)))</f>
        <v/>
      </c>
      <c r="BC1087">
        <f>IF(OR(BC$4="",$A1087&gt;TODAY()),0,IF(OR(INDEX($B1087:$D1087,BC$5)="F",AND(BC$6&gt;0,$A1087&lt;BC$6),AND(BC$7&gt;0,$A1087&gt;BC$7)),0,MAX(0,ROUND((INDEX($E1087:$G1087,BC$5)-SUMIFS(TF_Timer,TF_Tekniker,BC$4,TF_Dato,$A1087))*2,0)/2)))</f>
        <v/>
      </c>
      <c r="BD1087">
        <f>IF(OR(BD$4="",$A1087&gt;TODAY()),0,IF(OR(INDEX($B1087:$D1087,BD$5)="F",AND(BD$6&gt;0,$A1087&lt;BD$6),AND(BD$7&gt;0,$A1087&gt;BD$7)),0,MAX(0,ROUND((INDEX($E1087:$G1087,BD$5)-SUMIFS(TF_Timer,TF_Tekniker,BD$4,TF_Dato,$A1087))*2,0)/2)))</f>
        <v/>
      </c>
      <c r="BE1087">
        <f>IF(OR(BE$4="",$A1087&gt;TODAY()),0,IF(OR(INDEX($B1087:$D1087,BE$5)="F",AND(BE$6&gt;0,$A1087&lt;BE$6),AND(BE$7&gt;0,$A1087&gt;BE$7)),0,MAX(0,ROUND((INDEX($E1087:$G1087,BE$5)-SUMIFS(TF_Timer,TF_Tekniker,BE$4,TF_Dato,$A1087))*2,0)/2)))</f>
        <v/>
      </c>
      <c r="BF1087">
        <f>IF(OR(BF$4="",$A1087&gt;TODAY()),0,IF(OR(INDEX($B1087:$D1087,BF$5)="F",AND(BF$6&gt;0,$A1087&lt;BF$6),AND(BF$7&gt;0,$A1087&gt;BF$7)),0,MAX(0,ROUND((INDEX($E1087:$G1087,BF$5)-SUMIFS(TF_Timer,TF_Tekniker,BF$4,TF_Dato,$A1087))*2,0)/2)))</f>
        <v/>
      </c>
      <c r="BG1087">
        <f>IF(OR(BG$4="",$A1087&gt;TODAY()),0,IF(OR(INDEX($B1087:$D1087,BG$5)="F",AND(BG$6&gt;0,$A1087&lt;BG$6),AND(BG$7&gt;0,$A1087&gt;BG$7)),0,MAX(0,ROUND((INDEX($E1087:$G1087,BG$5)-SUMIFS(TF_Timer,TF_Tekniker,BG$4,TF_Dato,$A1087))*2,0)/2)))</f>
        <v/>
      </c>
      <c r="BH1087">
        <f>IF(OR(BH$4="",$A1087&gt;TODAY()),0,IF(OR(INDEX($B1087:$D1087,BH$5)="F",AND(BH$6&gt;0,$A1087&lt;BH$6),AND(BH$7&gt;0,$A1087&gt;BH$7)),0,MAX(0,ROUND((INDEX($E1087:$G1087,BH$5)-SUMIFS(TF_Timer,TF_Tekniker,BH$4,TF_Dato,$A1087))*2,0)/2)))</f>
        <v/>
      </c>
      <c r="BI1087">
        <f>IF(OR(BI$4="",$A1087&gt;TODAY()),0,IF(OR(INDEX($B1087:$D1087,BI$5)="F",AND(BI$6&gt;0,$A1087&lt;BI$6),AND(BI$7&gt;0,$A1087&gt;BI$7)),0,MAX(0,ROUND((INDEX($E1087:$G1087,BI$5)-SUMIFS(TF_Timer,TF_Tekniker,BI$4,TF_Dato,$A1087))*2,0)/2)))</f>
        <v/>
      </c>
    </row>
    <row r="1088">
      <c r="A1088" s="64">
        <f>A1087+1</f>
        <v/>
      </c>
      <c r="B1088">
        <f>IF(MOD($A1088-INDEX(SkiftStart,1),Syklus)&lt;DagK,"K",IF(MOD($A1088-INDEX(SkiftStart,1),Syklus)&lt;DagK+DagH,"H",IF(MOD($A1088-INDEX(SkiftStart,1),Syklus)&lt;DagK+DagH+DagD,"D","F")))</f>
        <v/>
      </c>
      <c r="C1088">
        <f>IF(MOD($A1088-INDEX(SkiftStart,2),Syklus)&lt;DagK,"K",IF(MOD($A1088-INDEX(SkiftStart,2),Syklus)&lt;DagK+DagH,"H",IF(MOD($A1088-INDEX(SkiftStart,2),Syklus)&lt;DagK+DagH+DagD,"D","F")))</f>
        <v/>
      </c>
      <c r="D1088">
        <f>IF(MOD($A1088-INDEX(SkiftStart,3),Syklus)&lt;DagK,"K",IF(MOD($A1088-INDEX(SkiftStart,3),Syklus)&lt;DagK+DagH,"H",IF(MOD($A1088-INDEX(SkiftStart,3),Syklus)&lt;DagK+DagH+DagD,"D","F")))</f>
        <v/>
      </c>
      <c r="E1088">
        <f>IF(B1088="F",0,IF(WEEKDAY($A1088,2)=5,INDEX(TimerFr,MATCH(B1088,FaseKode,0)),INDEX(TimerMT,MATCH(B1088,FaseKode,0))))</f>
        <v/>
      </c>
      <c r="F1088">
        <f>IF(C1088="F",0,IF(WEEKDAY($A1088,2)=5,INDEX(TimerFr,MATCH(C1088,FaseKode,0)),INDEX(TimerMT,MATCH(C1088,FaseKode,0))))</f>
        <v/>
      </c>
      <c r="G1088">
        <f>IF(D1088="F",0,IF(WEEKDAY($A1088,2)=5,INDEX(TimerFr,MATCH(D1088,FaseKode,0)),INDEX(TimerMT,MATCH(D1088,FaseKode,0))))</f>
        <v/>
      </c>
      <c r="H1088">
        <f>IF(OR(H$4="",$A1088&gt;TODAY()),0,IF(OR(INDEX($B1088:$D1088,H$5)="F",AND(H$6&gt;0,$A1088&lt;H$6),AND(H$7&gt;0,$A1088&gt;H$7)),0,MAX(0,ROUND((INDEX($E1088:$G1088,H$5)-SUMIFS(TF_Timer,TF_Tekniker,H$4,TF_Dato,$A1088))*2,0)/2)))</f>
        <v/>
      </c>
      <c r="I1088">
        <f>IF(OR(I$4="",$A1088&gt;TODAY()),0,IF(OR(INDEX($B1088:$D1088,I$5)="F",AND(I$6&gt;0,$A1088&lt;I$6),AND(I$7&gt;0,$A1088&gt;I$7)),0,MAX(0,ROUND((INDEX($E1088:$G1088,I$5)-SUMIFS(TF_Timer,TF_Tekniker,I$4,TF_Dato,$A1088))*2,0)/2)))</f>
        <v/>
      </c>
      <c r="J1088">
        <f>IF(OR(J$4="",$A1088&gt;TODAY()),0,IF(OR(INDEX($B1088:$D1088,J$5)="F",AND(J$6&gt;0,$A1088&lt;J$6),AND(J$7&gt;0,$A1088&gt;J$7)),0,MAX(0,ROUND((INDEX($E1088:$G1088,J$5)-SUMIFS(TF_Timer,TF_Tekniker,J$4,TF_Dato,$A1088))*2,0)/2)))</f>
        <v/>
      </c>
      <c r="K1088">
        <f>IF(OR(K$4="",$A1088&gt;TODAY()),0,IF(OR(INDEX($B1088:$D1088,K$5)="F",AND(K$6&gt;0,$A1088&lt;K$6),AND(K$7&gt;0,$A1088&gt;K$7)),0,MAX(0,ROUND((INDEX($E1088:$G1088,K$5)-SUMIFS(TF_Timer,TF_Tekniker,K$4,TF_Dato,$A1088))*2,0)/2)))</f>
        <v/>
      </c>
      <c r="L1088">
        <f>IF(OR(L$4="",$A1088&gt;TODAY()),0,IF(OR(INDEX($B1088:$D1088,L$5)="F",AND(L$6&gt;0,$A1088&lt;L$6),AND(L$7&gt;0,$A1088&gt;L$7)),0,MAX(0,ROUND((INDEX($E1088:$G1088,L$5)-SUMIFS(TF_Timer,TF_Tekniker,L$4,TF_Dato,$A1088))*2,0)/2)))</f>
        <v/>
      </c>
      <c r="M1088">
        <f>IF(OR(M$4="",$A1088&gt;TODAY()),0,IF(OR(INDEX($B1088:$D1088,M$5)="F",AND(M$6&gt;0,$A1088&lt;M$6),AND(M$7&gt;0,$A1088&gt;M$7)),0,MAX(0,ROUND((INDEX($E1088:$G1088,M$5)-SUMIFS(TF_Timer,TF_Tekniker,M$4,TF_Dato,$A1088))*2,0)/2)))</f>
        <v/>
      </c>
      <c r="N1088">
        <f>IF(OR(N$4="",$A1088&gt;TODAY()),0,IF(OR(INDEX($B1088:$D1088,N$5)="F",AND(N$6&gt;0,$A1088&lt;N$6),AND(N$7&gt;0,$A1088&gt;N$7)),0,MAX(0,ROUND((INDEX($E1088:$G1088,N$5)-SUMIFS(TF_Timer,TF_Tekniker,N$4,TF_Dato,$A1088))*2,0)/2)))</f>
        <v/>
      </c>
      <c r="O1088">
        <f>IF(OR(O$4="",$A1088&gt;TODAY()),0,IF(OR(INDEX($B1088:$D1088,O$5)="F",AND(O$6&gt;0,$A1088&lt;O$6),AND(O$7&gt;0,$A1088&gt;O$7)),0,MAX(0,ROUND((INDEX($E1088:$G1088,O$5)-SUMIFS(TF_Timer,TF_Tekniker,O$4,TF_Dato,$A1088))*2,0)/2)))</f>
        <v/>
      </c>
      <c r="P1088">
        <f>IF(OR(P$4="",$A1088&gt;TODAY()),0,IF(OR(INDEX($B1088:$D1088,P$5)="F",AND(P$6&gt;0,$A1088&lt;P$6),AND(P$7&gt;0,$A1088&gt;P$7)),0,MAX(0,ROUND((INDEX($E1088:$G1088,P$5)-SUMIFS(TF_Timer,TF_Tekniker,P$4,TF_Dato,$A1088))*2,0)/2)))</f>
        <v/>
      </c>
      <c r="Q1088">
        <f>IF(OR(Q$4="",$A1088&gt;TODAY()),0,IF(OR(INDEX($B1088:$D1088,Q$5)="F",AND(Q$6&gt;0,$A1088&lt;Q$6),AND(Q$7&gt;0,$A1088&gt;Q$7)),0,MAX(0,ROUND((INDEX($E1088:$G1088,Q$5)-SUMIFS(TF_Timer,TF_Tekniker,Q$4,TF_Dato,$A1088))*2,0)/2)))</f>
        <v/>
      </c>
      <c r="R1088">
        <f>IF(OR(R$4="",$A1088&gt;TODAY()),0,IF(OR(INDEX($B1088:$D1088,R$5)="F",AND(R$6&gt;0,$A1088&lt;R$6),AND(R$7&gt;0,$A1088&gt;R$7)),0,MAX(0,ROUND((INDEX($E1088:$G1088,R$5)-SUMIFS(TF_Timer,TF_Tekniker,R$4,TF_Dato,$A1088))*2,0)/2)))</f>
        <v/>
      </c>
      <c r="S1088">
        <f>IF(OR(S$4="",$A1088&gt;TODAY()),0,IF(OR(INDEX($B1088:$D1088,S$5)="F",AND(S$6&gt;0,$A1088&lt;S$6),AND(S$7&gt;0,$A1088&gt;S$7)),0,MAX(0,ROUND((INDEX($E1088:$G1088,S$5)-SUMIFS(TF_Timer,TF_Tekniker,S$4,TF_Dato,$A1088))*2,0)/2)))</f>
        <v/>
      </c>
      <c r="T1088">
        <f>IF(OR(T$4="",$A1088&gt;TODAY()),0,IF(OR(INDEX($B1088:$D1088,T$5)="F",AND(T$6&gt;0,$A1088&lt;T$6),AND(T$7&gt;0,$A1088&gt;T$7)),0,MAX(0,ROUND((INDEX($E1088:$G1088,T$5)-SUMIFS(TF_Timer,TF_Tekniker,T$4,TF_Dato,$A1088))*2,0)/2)))</f>
        <v/>
      </c>
      <c r="U1088">
        <f>IF(OR(U$4="",$A1088&gt;TODAY()),0,IF(OR(INDEX($B1088:$D1088,U$5)="F",AND(U$6&gt;0,$A1088&lt;U$6),AND(U$7&gt;0,$A1088&gt;U$7)),0,MAX(0,ROUND((INDEX($E1088:$G1088,U$5)-SUMIFS(TF_Timer,TF_Tekniker,U$4,TF_Dato,$A1088))*2,0)/2)))</f>
        <v/>
      </c>
      <c r="V1088">
        <f>IF(OR(V$4="",$A1088&gt;TODAY()),0,IF(OR(INDEX($B1088:$D1088,V$5)="F",AND(V$6&gt;0,$A1088&lt;V$6),AND(V$7&gt;0,$A1088&gt;V$7)),0,MAX(0,ROUND((INDEX($E1088:$G1088,V$5)-SUMIFS(TF_Timer,TF_Tekniker,V$4,TF_Dato,$A1088))*2,0)/2)))</f>
        <v/>
      </c>
      <c r="W1088">
        <f>IF(OR(W$4="",$A1088&gt;TODAY()),0,IF(OR(INDEX($B1088:$D1088,W$5)="F",AND(W$6&gt;0,$A1088&lt;W$6),AND(W$7&gt;0,$A1088&gt;W$7)),0,MAX(0,ROUND((INDEX($E1088:$G1088,W$5)-SUMIFS(TF_Timer,TF_Tekniker,W$4,TF_Dato,$A1088))*2,0)/2)))</f>
        <v/>
      </c>
      <c r="X1088">
        <f>IF(OR(X$4="",$A1088&gt;TODAY()),0,IF(OR(INDEX($B1088:$D1088,X$5)="F",AND(X$6&gt;0,$A1088&lt;X$6),AND(X$7&gt;0,$A1088&gt;X$7)),0,MAX(0,ROUND((INDEX($E1088:$G1088,X$5)-SUMIFS(TF_Timer,TF_Tekniker,X$4,TF_Dato,$A1088))*2,0)/2)))</f>
        <v/>
      </c>
      <c r="Y1088">
        <f>IF(OR(Y$4="",$A1088&gt;TODAY()),0,IF(OR(INDEX($B1088:$D1088,Y$5)="F",AND(Y$6&gt;0,$A1088&lt;Y$6),AND(Y$7&gt;0,$A1088&gt;Y$7)),0,MAX(0,ROUND((INDEX($E1088:$G1088,Y$5)-SUMIFS(TF_Timer,TF_Tekniker,Y$4,TF_Dato,$A1088))*2,0)/2)))</f>
        <v/>
      </c>
      <c r="Z1088">
        <f>IF(OR(Z$4="",$A1088&gt;TODAY()),0,IF(OR(INDEX($B1088:$D1088,Z$5)="F",AND(Z$6&gt;0,$A1088&lt;Z$6),AND(Z$7&gt;0,$A1088&gt;Z$7)),0,MAX(0,ROUND((INDEX($E1088:$G1088,Z$5)-SUMIFS(TF_Timer,TF_Tekniker,Z$4,TF_Dato,$A1088))*2,0)/2)))</f>
        <v/>
      </c>
      <c r="AA1088">
        <f>IF(OR(AA$4="",$A1088&gt;TODAY()),0,IF(OR(INDEX($B1088:$D1088,AA$5)="F",AND(AA$6&gt;0,$A1088&lt;AA$6),AND(AA$7&gt;0,$A1088&gt;AA$7)),0,MAX(0,ROUND((INDEX($E1088:$G1088,AA$5)-SUMIFS(TF_Timer,TF_Tekniker,AA$4,TF_Dato,$A1088))*2,0)/2)))</f>
        <v/>
      </c>
      <c r="AB1088">
        <f>IF(OR(AB$4="",$A1088&gt;TODAY()),0,IF(OR(INDEX($B1088:$D1088,AB$5)="F",AND(AB$6&gt;0,$A1088&lt;AB$6),AND(AB$7&gt;0,$A1088&gt;AB$7)),0,MAX(0,ROUND((INDEX($E1088:$G1088,AB$5)-SUMIFS(TF_Timer,TF_Tekniker,AB$4,TF_Dato,$A1088))*2,0)/2)))</f>
        <v/>
      </c>
      <c r="AC1088">
        <f>IF(OR(AC$4="",$A1088&gt;TODAY()),0,IF(OR(INDEX($B1088:$D1088,AC$5)="F",AND(AC$6&gt;0,$A1088&lt;AC$6),AND(AC$7&gt;0,$A1088&gt;AC$7)),0,MAX(0,ROUND((INDEX($E1088:$G1088,AC$5)-SUMIFS(TF_Timer,TF_Tekniker,AC$4,TF_Dato,$A1088))*2,0)/2)))</f>
        <v/>
      </c>
      <c r="AD1088">
        <f>IF(OR(AD$4="",$A1088&gt;TODAY()),0,IF(OR(INDEX($B1088:$D1088,AD$5)="F",AND(AD$6&gt;0,$A1088&lt;AD$6),AND(AD$7&gt;0,$A1088&gt;AD$7)),0,MAX(0,ROUND((INDEX($E1088:$G1088,AD$5)-SUMIFS(TF_Timer,TF_Tekniker,AD$4,TF_Dato,$A1088))*2,0)/2)))</f>
        <v/>
      </c>
      <c r="AE1088">
        <f>IF(OR(AE$4="",$A1088&gt;TODAY()),0,IF(OR(INDEX($B1088:$D1088,AE$5)="F",AND(AE$6&gt;0,$A1088&lt;AE$6),AND(AE$7&gt;0,$A1088&gt;AE$7)),0,MAX(0,ROUND((INDEX($E1088:$G1088,AE$5)-SUMIFS(TF_Timer,TF_Tekniker,AE$4,TF_Dato,$A1088))*2,0)/2)))</f>
        <v/>
      </c>
      <c r="AF1088">
        <f>IF(OR(AF$4="",$A1088&gt;TODAY()),0,IF(OR(INDEX($B1088:$D1088,AF$5)="F",AND(AF$6&gt;0,$A1088&lt;AF$6),AND(AF$7&gt;0,$A1088&gt;AF$7)),0,MAX(0,ROUND((INDEX($E1088:$G1088,AF$5)-SUMIFS(TF_Timer,TF_Tekniker,AF$4,TF_Dato,$A1088))*2,0)/2)))</f>
        <v/>
      </c>
      <c r="AG1088">
        <f>IF(OR(AG$4="",$A1088&gt;TODAY()),0,IF(OR(INDEX($B1088:$D1088,AG$5)="F",AND(AG$6&gt;0,$A1088&lt;AG$6),AND(AG$7&gt;0,$A1088&gt;AG$7)),0,MAX(0,ROUND((INDEX($E1088:$G1088,AG$5)-SUMIFS(TF_Timer,TF_Tekniker,AG$4,TF_Dato,$A1088))*2,0)/2)))</f>
        <v/>
      </c>
      <c r="AH1088">
        <f>IF(OR(AH$4="",$A1088&gt;TODAY()),0,IF(OR(INDEX($B1088:$D1088,AH$5)="F",AND(AH$6&gt;0,$A1088&lt;AH$6),AND(AH$7&gt;0,$A1088&gt;AH$7)),0,MAX(0,ROUND((INDEX($E1088:$G1088,AH$5)-SUMIFS(TF_Timer,TF_Tekniker,AH$4,TF_Dato,$A1088))*2,0)/2)))</f>
        <v/>
      </c>
      <c r="AI1088">
        <f>IF(OR(AI$4="",$A1088&gt;TODAY()),0,IF(OR(INDEX($B1088:$D1088,AI$5)="F",AND(AI$6&gt;0,$A1088&lt;AI$6),AND(AI$7&gt;0,$A1088&gt;AI$7)),0,MAX(0,ROUND((INDEX($E1088:$G1088,AI$5)-SUMIFS(TF_Timer,TF_Tekniker,AI$4,TF_Dato,$A1088))*2,0)/2)))</f>
        <v/>
      </c>
      <c r="AJ1088">
        <f>IF(OR(AJ$4="",$A1088&gt;TODAY()),0,IF(OR(INDEX($B1088:$D1088,AJ$5)="F",AND(AJ$6&gt;0,$A1088&lt;AJ$6),AND(AJ$7&gt;0,$A1088&gt;AJ$7)),0,MAX(0,ROUND((INDEX($E1088:$G1088,AJ$5)-SUMIFS(TF_Timer,TF_Tekniker,AJ$4,TF_Dato,$A1088))*2,0)/2)))</f>
        <v/>
      </c>
      <c r="AK1088">
        <f>IF(OR(AK$4="",$A1088&gt;TODAY()),0,IF(OR(INDEX($B1088:$D1088,AK$5)="F",AND(AK$6&gt;0,$A1088&lt;AK$6),AND(AK$7&gt;0,$A1088&gt;AK$7)),0,MAX(0,ROUND((INDEX($E1088:$G1088,AK$5)-SUMIFS(TF_Timer,TF_Tekniker,AK$4,TF_Dato,$A1088))*2,0)/2)))</f>
        <v/>
      </c>
      <c r="AL1088">
        <f>IF(OR(AL$4="",$A1088&gt;TODAY()),0,IF(OR(INDEX($B1088:$D1088,AL$5)="F",AND(AL$6&gt;0,$A1088&lt;AL$6),AND(AL$7&gt;0,$A1088&gt;AL$7)),0,MAX(0,ROUND((INDEX($E1088:$G1088,AL$5)-SUMIFS(TF_Timer,TF_Tekniker,AL$4,TF_Dato,$A1088))*2,0)/2)))</f>
        <v/>
      </c>
      <c r="AM1088">
        <f>IF(OR(AM$4="",$A1088&gt;TODAY()),0,IF(OR(INDEX($B1088:$D1088,AM$5)="F",AND(AM$6&gt;0,$A1088&lt;AM$6),AND(AM$7&gt;0,$A1088&gt;AM$7)),0,MAX(0,ROUND((INDEX($E1088:$G1088,AM$5)-SUMIFS(TF_Timer,TF_Tekniker,AM$4,TF_Dato,$A1088))*2,0)/2)))</f>
        <v/>
      </c>
      <c r="AN1088">
        <f>IF(OR(AN$4="",$A1088&gt;TODAY()),0,IF(OR(INDEX($B1088:$D1088,AN$5)="F",AND(AN$6&gt;0,$A1088&lt;AN$6),AND(AN$7&gt;0,$A1088&gt;AN$7)),0,MAX(0,ROUND((INDEX($E1088:$G1088,AN$5)-SUMIFS(TF_Timer,TF_Tekniker,AN$4,TF_Dato,$A1088))*2,0)/2)))</f>
        <v/>
      </c>
      <c r="AO1088">
        <f>IF(OR(AO$4="",$A1088&gt;TODAY()),0,IF(OR(INDEX($B1088:$D1088,AO$5)="F",AND(AO$6&gt;0,$A1088&lt;AO$6),AND(AO$7&gt;0,$A1088&gt;AO$7)),0,MAX(0,ROUND((INDEX($E1088:$G1088,AO$5)-SUMIFS(TF_Timer,TF_Tekniker,AO$4,TF_Dato,$A1088))*2,0)/2)))</f>
        <v/>
      </c>
      <c r="AP1088">
        <f>IF(OR(AP$4="",$A1088&gt;TODAY()),0,IF(OR(INDEX($B1088:$D1088,AP$5)="F",AND(AP$6&gt;0,$A1088&lt;AP$6),AND(AP$7&gt;0,$A1088&gt;AP$7)),0,MAX(0,ROUND((INDEX($E1088:$G1088,AP$5)-SUMIFS(TF_Timer,TF_Tekniker,AP$4,TF_Dato,$A1088))*2,0)/2)))</f>
        <v/>
      </c>
      <c r="AQ1088">
        <f>IF(OR(AQ$4="",$A1088&gt;TODAY()),0,IF(OR(INDEX($B1088:$D1088,AQ$5)="F",AND(AQ$6&gt;0,$A1088&lt;AQ$6),AND(AQ$7&gt;0,$A1088&gt;AQ$7)),0,MAX(0,ROUND((INDEX($E1088:$G1088,AQ$5)-SUMIFS(TF_Timer,TF_Tekniker,AQ$4,TF_Dato,$A1088))*2,0)/2)))</f>
        <v/>
      </c>
      <c r="AR1088">
        <f>IF(OR(AR$4="",$A1088&gt;TODAY()),0,IF(OR(INDEX($B1088:$D1088,AR$5)="F",AND(AR$6&gt;0,$A1088&lt;AR$6),AND(AR$7&gt;0,$A1088&gt;AR$7)),0,MAX(0,ROUND((INDEX($E1088:$G1088,AR$5)-SUMIFS(TF_Timer,TF_Tekniker,AR$4,TF_Dato,$A1088))*2,0)/2)))</f>
        <v/>
      </c>
      <c r="AS1088">
        <f>IF(OR(AS$4="",$A1088&gt;TODAY()),0,IF(OR(INDEX($B1088:$D1088,AS$5)="F",AND(AS$6&gt;0,$A1088&lt;AS$6),AND(AS$7&gt;0,$A1088&gt;AS$7)),0,MAX(0,ROUND((INDEX($E1088:$G1088,AS$5)-SUMIFS(TF_Timer,TF_Tekniker,AS$4,TF_Dato,$A1088))*2,0)/2)))</f>
        <v/>
      </c>
      <c r="AT1088">
        <f>IF(OR(AT$4="",$A1088&gt;TODAY()),0,IF(OR(INDEX($B1088:$D1088,AT$5)="F",AND(AT$6&gt;0,$A1088&lt;AT$6),AND(AT$7&gt;0,$A1088&gt;AT$7)),0,MAX(0,ROUND((INDEX($E1088:$G1088,AT$5)-SUMIFS(TF_Timer,TF_Tekniker,AT$4,TF_Dato,$A1088))*2,0)/2)))</f>
        <v/>
      </c>
      <c r="AU1088">
        <f>IF(OR(AU$4="",$A1088&gt;TODAY()),0,IF(OR(INDEX($B1088:$D1088,AU$5)="F",AND(AU$6&gt;0,$A1088&lt;AU$6),AND(AU$7&gt;0,$A1088&gt;AU$7)),0,MAX(0,ROUND((INDEX($E1088:$G1088,AU$5)-SUMIFS(TF_Timer,TF_Tekniker,AU$4,TF_Dato,$A1088))*2,0)/2)))</f>
        <v/>
      </c>
      <c r="AV1088">
        <f>IF(OR(AV$4="",$A1088&gt;TODAY()),0,IF(OR(INDEX($B1088:$D1088,AV$5)="F",AND(AV$6&gt;0,$A1088&lt;AV$6),AND(AV$7&gt;0,$A1088&gt;AV$7)),0,MAX(0,ROUND((INDEX($E1088:$G1088,AV$5)-SUMIFS(TF_Timer,TF_Tekniker,AV$4,TF_Dato,$A1088))*2,0)/2)))</f>
        <v/>
      </c>
      <c r="AW1088">
        <f>IF(OR(AW$4="",$A1088&gt;TODAY()),0,IF(OR(INDEX($B1088:$D1088,AW$5)="F",AND(AW$6&gt;0,$A1088&lt;AW$6),AND(AW$7&gt;0,$A1088&gt;AW$7)),0,MAX(0,ROUND((INDEX($E1088:$G1088,AW$5)-SUMIFS(TF_Timer,TF_Tekniker,AW$4,TF_Dato,$A1088))*2,0)/2)))</f>
        <v/>
      </c>
      <c r="AX1088">
        <f>IF(OR(AX$4="",$A1088&gt;TODAY()),0,IF(OR(INDEX($B1088:$D1088,AX$5)="F",AND(AX$6&gt;0,$A1088&lt;AX$6),AND(AX$7&gt;0,$A1088&gt;AX$7)),0,MAX(0,ROUND((INDEX($E1088:$G1088,AX$5)-SUMIFS(TF_Timer,TF_Tekniker,AX$4,TF_Dato,$A1088))*2,0)/2)))</f>
        <v/>
      </c>
      <c r="AY1088">
        <f>IF(OR(AY$4="",$A1088&gt;TODAY()),0,IF(OR(INDEX($B1088:$D1088,AY$5)="F",AND(AY$6&gt;0,$A1088&lt;AY$6),AND(AY$7&gt;0,$A1088&gt;AY$7)),0,MAX(0,ROUND((INDEX($E1088:$G1088,AY$5)-SUMIFS(TF_Timer,TF_Tekniker,AY$4,TF_Dato,$A1088))*2,0)/2)))</f>
        <v/>
      </c>
      <c r="AZ1088">
        <f>IF(OR(AZ$4="",$A1088&gt;TODAY()),0,IF(OR(INDEX($B1088:$D1088,AZ$5)="F",AND(AZ$6&gt;0,$A1088&lt;AZ$6),AND(AZ$7&gt;0,$A1088&gt;AZ$7)),0,MAX(0,ROUND((INDEX($E1088:$G1088,AZ$5)-SUMIFS(TF_Timer,TF_Tekniker,AZ$4,TF_Dato,$A1088))*2,0)/2)))</f>
        <v/>
      </c>
      <c r="BA1088">
        <f>IF(OR(BA$4="",$A1088&gt;TODAY()),0,IF(OR(INDEX($B1088:$D1088,BA$5)="F",AND(BA$6&gt;0,$A1088&lt;BA$6),AND(BA$7&gt;0,$A1088&gt;BA$7)),0,MAX(0,ROUND((INDEX($E1088:$G1088,BA$5)-SUMIFS(TF_Timer,TF_Tekniker,BA$4,TF_Dato,$A1088))*2,0)/2)))</f>
        <v/>
      </c>
      <c r="BB1088">
        <f>IF(OR(BB$4="",$A1088&gt;TODAY()),0,IF(OR(INDEX($B1088:$D1088,BB$5)="F",AND(BB$6&gt;0,$A1088&lt;BB$6),AND(BB$7&gt;0,$A1088&gt;BB$7)),0,MAX(0,ROUND((INDEX($E1088:$G1088,BB$5)-SUMIFS(TF_Timer,TF_Tekniker,BB$4,TF_Dato,$A1088))*2,0)/2)))</f>
        <v/>
      </c>
      <c r="BC1088">
        <f>IF(OR(BC$4="",$A1088&gt;TODAY()),0,IF(OR(INDEX($B1088:$D1088,BC$5)="F",AND(BC$6&gt;0,$A1088&lt;BC$6),AND(BC$7&gt;0,$A1088&gt;BC$7)),0,MAX(0,ROUND((INDEX($E1088:$G1088,BC$5)-SUMIFS(TF_Timer,TF_Tekniker,BC$4,TF_Dato,$A1088))*2,0)/2)))</f>
        <v/>
      </c>
      <c r="BD1088">
        <f>IF(OR(BD$4="",$A1088&gt;TODAY()),0,IF(OR(INDEX($B1088:$D1088,BD$5)="F",AND(BD$6&gt;0,$A1088&lt;BD$6),AND(BD$7&gt;0,$A1088&gt;BD$7)),0,MAX(0,ROUND((INDEX($E1088:$G1088,BD$5)-SUMIFS(TF_Timer,TF_Tekniker,BD$4,TF_Dato,$A1088))*2,0)/2)))</f>
        <v/>
      </c>
      <c r="BE1088">
        <f>IF(OR(BE$4="",$A1088&gt;TODAY()),0,IF(OR(INDEX($B1088:$D1088,BE$5)="F",AND(BE$6&gt;0,$A1088&lt;BE$6),AND(BE$7&gt;0,$A1088&gt;BE$7)),0,MAX(0,ROUND((INDEX($E1088:$G1088,BE$5)-SUMIFS(TF_Timer,TF_Tekniker,BE$4,TF_Dato,$A1088))*2,0)/2)))</f>
        <v/>
      </c>
      <c r="BF1088">
        <f>IF(OR(BF$4="",$A1088&gt;TODAY()),0,IF(OR(INDEX($B1088:$D1088,BF$5)="F",AND(BF$6&gt;0,$A1088&lt;BF$6),AND(BF$7&gt;0,$A1088&gt;BF$7)),0,MAX(0,ROUND((INDEX($E1088:$G1088,BF$5)-SUMIFS(TF_Timer,TF_Tekniker,BF$4,TF_Dato,$A1088))*2,0)/2)))</f>
        <v/>
      </c>
      <c r="BG1088">
        <f>IF(OR(BG$4="",$A1088&gt;TODAY()),0,IF(OR(INDEX($B1088:$D1088,BG$5)="F",AND(BG$6&gt;0,$A1088&lt;BG$6),AND(BG$7&gt;0,$A1088&gt;BG$7)),0,MAX(0,ROUND((INDEX($E1088:$G1088,BG$5)-SUMIFS(TF_Timer,TF_Tekniker,BG$4,TF_Dato,$A1088))*2,0)/2)))</f>
        <v/>
      </c>
      <c r="BH1088">
        <f>IF(OR(BH$4="",$A1088&gt;TODAY()),0,IF(OR(INDEX($B1088:$D1088,BH$5)="F",AND(BH$6&gt;0,$A1088&lt;BH$6),AND(BH$7&gt;0,$A1088&gt;BH$7)),0,MAX(0,ROUND((INDEX($E1088:$G1088,BH$5)-SUMIFS(TF_Timer,TF_Tekniker,BH$4,TF_Dato,$A1088))*2,0)/2)))</f>
        <v/>
      </c>
      <c r="BI1088">
        <f>IF(OR(BI$4="",$A1088&gt;TODAY()),0,IF(OR(INDEX($B1088:$D1088,BI$5)="F",AND(BI$6&gt;0,$A1088&lt;BI$6),AND(BI$7&gt;0,$A1088&gt;BI$7)),0,MAX(0,ROUND((INDEX($E1088:$G1088,BI$5)-SUMIFS(TF_Timer,TF_Tekniker,BI$4,TF_Dato,$A1088))*2,0)/2)))</f>
        <v/>
      </c>
    </row>
    <row r="1089">
      <c r="A1089" s="64">
        <f>A1088+1</f>
        <v/>
      </c>
      <c r="B1089">
        <f>IF(MOD($A1089-INDEX(SkiftStart,1),Syklus)&lt;DagK,"K",IF(MOD($A1089-INDEX(SkiftStart,1),Syklus)&lt;DagK+DagH,"H",IF(MOD($A1089-INDEX(SkiftStart,1),Syklus)&lt;DagK+DagH+DagD,"D","F")))</f>
        <v/>
      </c>
      <c r="C1089">
        <f>IF(MOD($A1089-INDEX(SkiftStart,2),Syklus)&lt;DagK,"K",IF(MOD($A1089-INDEX(SkiftStart,2),Syklus)&lt;DagK+DagH,"H",IF(MOD($A1089-INDEX(SkiftStart,2),Syklus)&lt;DagK+DagH+DagD,"D","F")))</f>
        <v/>
      </c>
      <c r="D1089">
        <f>IF(MOD($A1089-INDEX(SkiftStart,3),Syklus)&lt;DagK,"K",IF(MOD($A1089-INDEX(SkiftStart,3),Syklus)&lt;DagK+DagH,"H",IF(MOD($A1089-INDEX(SkiftStart,3),Syklus)&lt;DagK+DagH+DagD,"D","F")))</f>
        <v/>
      </c>
      <c r="E1089">
        <f>IF(B1089="F",0,IF(WEEKDAY($A1089,2)=5,INDEX(TimerFr,MATCH(B1089,FaseKode,0)),INDEX(TimerMT,MATCH(B1089,FaseKode,0))))</f>
        <v/>
      </c>
      <c r="F1089">
        <f>IF(C1089="F",0,IF(WEEKDAY($A1089,2)=5,INDEX(TimerFr,MATCH(C1089,FaseKode,0)),INDEX(TimerMT,MATCH(C1089,FaseKode,0))))</f>
        <v/>
      </c>
      <c r="G1089">
        <f>IF(D1089="F",0,IF(WEEKDAY($A1089,2)=5,INDEX(TimerFr,MATCH(D1089,FaseKode,0)),INDEX(TimerMT,MATCH(D1089,FaseKode,0))))</f>
        <v/>
      </c>
      <c r="H1089">
        <f>IF(OR(H$4="",$A1089&gt;TODAY()),0,IF(OR(INDEX($B1089:$D1089,H$5)="F",AND(H$6&gt;0,$A1089&lt;H$6),AND(H$7&gt;0,$A1089&gt;H$7)),0,MAX(0,ROUND((INDEX($E1089:$G1089,H$5)-SUMIFS(TF_Timer,TF_Tekniker,H$4,TF_Dato,$A1089))*2,0)/2)))</f>
        <v/>
      </c>
      <c r="I1089">
        <f>IF(OR(I$4="",$A1089&gt;TODAY()),0,IF(OR(INDEX($B1089:$D1089,I$5)="F",AND(I$6&gt;0,$A1089&lt;I$6),AND(I$7&gt;0,$A1089&gt;I$7)),0,MAX(0,ROUND((INDEX($E1089:$G1089,I$5)-SUMIFS(TF_Timer,TF_Tekniker,I$4,TF_Dato,$A1089))*2,0)/2)))</f>
        <v/>
      </c>
      <c r="J1089">
        <f>IF(OR(J$4="",$A1089&gt;TODAY()),0,IF(OR(INDEX($B1089:$D1089,J$5)="F",AND(J$6&gt;0,$A1089&lt;J$6),AND(J$7&gt;0,$A1089&gt;J$7)),0,MAX(0,ROUND((INDEX($E1089:$G1089,J$5)-SUMIFS(TF_Timer,TF_Tekniker,J$4,TF_Dato,$A1089))*2,0)/2)))</f>
        <v/>
      </c>
      <c r="K1089">
        <f>IF(OR(K$4="",$A1089&gt;TODAY()),0,IF(OR(INDEX($B1089:$D1089,K$5)="F",AND(K$6&gt;0,$A1089&lt;K$6),AND(K$7&gt;0,$A1089&gt;K$7)),0,MAX(0,ROUND((INDEX($E1089:$G1089,K$5)-SUMIFS(TF_Timer,TF_Tekniker,K$4,TF_Dato,$A1089))*2,0)/2)))</f>
        <v/>
      </c>
      <c r="L1089">
        <f>IF(OR(L$4="",$A1089&gt;TODAY()),0,IF(OR(INDEX($B1089:$D1089,L$5)="F",AND(L$6&gt;0,$A1089&lt;L$6),AND(L$7&gt;0,$A1089&gt;L$7)),0,MAX(0,ROUND((INDEX($E1089:$G1089,L$5)-SUMIFS(TF_Timer,TF_Tekniker,L$4,TF_Dato,$A1089))*2,0)/2)))</f>
        <v/>
      </c>
      <c r="M1089">
        <f>IF(OR(M$4="",$A1089&gt;TODAY()),0,IF(OR(INDEX($B1089:$D1089,M$5)="F",AND(M$6&gt;0,$A1089&lt;M$6),AND(M$7&gt;0,$A1089&gt;M$7)),0,MAX(0,ROUND((INDEX($E1089:$G1089,M$5)-SUMIFS(TF_Timer,TF_Tekniker,M$4,TF_Dato,$A1089))*2,0)/2)))</f>
        <v/>
      </c>
      <c r="N1089">
        <f>IF(OR(N$4="",$A1089&gt;TODAY()),0,IF(OR(INDEX($B1089:$D1089,N$5)="F",AND(N$6&gt;0,$A1089&lt;N$6),AND(N$7&gt;0,$A1089&gt;N$7)),0,MAX(0,ROUND((INDEX($E1089:$G1089,N$5)-SUMIFS(TF_Timer,TF_Tekniker,N$4,TF_Dato,$A1089))*2,0)/2)))</f>
        <v/>
      </c>
      <c r="O1089">
        <f>IF(OR(O$4="",$A1089&gt;TODAY()),0,IF(OR(INDEX($B1089:$D1089,O$5)="F",AND(O$6&gt;0,$A1089&lt;O$6),AND(O$7&gt;0,$A1089&gt;O$7)),0,MAX(0,ROUND((INDEX($E1089:$G1089,O$5)-SUMIFS(TF_Timer,TF_Tekniker,O$4,TF_Dato,$A1089))*2,0)/2)))</f>
        <v/>
      </c>
      <c r="P1089">
        <f>IF(OR(P$4="",$A1089&gt;TODAY()),0,IF(OR(INDEX($B1089:$D1089,P$5)="F",AND(P$6&gt;0,$A1089&lt;P$6),AND(P$7&gt;0,$A1089&gt;P$7)),0,MAX(0,ROUND((INDEX($E1089:$G1089,P$5)-SUMIFS(TF_Timer,TF_Tekniker,P$4,TF_Dato,$A1089))*2,0)/2)))</f>
        <v/>
      </c>
      <c r="Q1089">
        <f>IF(OR(Q$4="",$A1089&gt;TODAY()),0,IF(OR(INDEX($B1089:$D1089,Q$5)="F",AND(Q$6&gt;0,$A1089&lt;Q$6),AND(Q$7&gt;0,$A1089&gt;Q$7)),0,MAX(0,ROUND((INDEX($E1089:$G1089,Q$5)-SUMIFS(TF_Timer,TF_Tekniker,Q$4,TF_Dato,$A1089))*2,0)/2)))</f>
        <v/>
      </c>
      <c r="R1089">
        <f>IF(OR(R$4="",$A1089&gt;TODAY()),0,IF(OR(INDEX($B1089:$D1089,R$5)="F",AND(R$6&gt;0,$A1089&lt;R$6),AND(R$7&gt;0,$A1089&gt;R$7)),0,MAX(0,ROUND((INDEX($E1089:$G1089,R$5)-SUMIFS(TF_Timer,TF_Tekniker,R$4,TF_Dato,$A1089))*2,0)/2)))</f>
        <v/>
      </c>
      <c r="S1089">
        <f>IF(OR(S$4="",$A1089&gt;TODAY()),0,IF(OR(INDEX($B1089:$D1089,S$5)="F",AND(S$6&gt;0,$A1089&lt;S$6),AND(S$7&gt;0,$A1089&gt;S$7)),0,MAX(0,ROUND((INDEX($E1089:$G1089,S$5)-SUMIFS(TF_Timer,TF_Tekniker,S$4,TF_Dato,$A1089))*2,0)/2)))</f>
        <v/>
      </c>
      <c r="T1089">
        <f>IF(OR(T$4="",$A1089&gt;TODAY()),0,IF(OR(INDEX($B1089:$D1089,T$5)="F",AND(T$6&gt;0,$A1089&lt;T$6),AND(T$7&gt;0,$A1089&gt;T$7)),0,MAX(0,ROUND((INDEX($E1089:$G1089,T$5)-SUMIFS(TF_Timer,TF_Tekniker,T$4,TF_Dato,$A1089))*2,0)/2)))</f>
        <v/>
      </c>
      <c r="U1089">
        <f>IF(OR(U$4="",$A1089&gt;TODAY()),0,IF(OR(INDEX($B1089:$D1089,U$5)="F",AND(U$6&gt;0,$A1089&lt;U$6),AND(U$7&gt;0,$A1089&gt;U$7)),0,MAX(0,ROUND((INDEX($E1089:$G1089,U$5)-SUMIFS(TF_Timer,TF_Tekniker,U$4,TF_Dato,$A1089))*2,0)/2)))</f>
        <v/>
      </c>
      <c r="V1089">
        <f>IF(OR(V$4="",$A1089&gt;TODAY()),0,IF(OR(INDEX($B1089:$D1089,V$5)="F",AND(V$6&gt;0,$A1089&lt;V$6),AND(V$7&gt;0,$A1089&gt;V$7)),0,MAX(0,ROUND((INDEX($E1089:$G1089,V$5)-SUMIFS(TF_Timer,TF_Tekniker,V$4,TF_Dato,$A1089))*2,0)/2)))</f>
        <v/>
      </c>
      <c r="W1089">
        <f>IF(OR(W$4="",$A1089&gt;TODAY()),0,IF(OR(INDEX($B1089:$D1089,W$5)="F",AND(W$6&gt;0,$A1089&lt;W$6),AND(W$7&gt;0,$A1089&gt;W$7)),0,MAX(0,ROUND((INDEX($E1089:$G1089,W$5)-SUMIFS(TF_Timer,TF_Tekniker,W$4,TF_Dato,$A1089))*2,0)/2)))</f>
        <v/>
      </c>
      <c r="X1089">
        <f>IF(OR(X$4="",$A1089&gt;TODAY()),0,IF(OR(INDEX($B1089:$D1089,X$5)="F",AND(X$6&gt;0,$A1089&lt;X$6),AND(X$7&gt;0,$A1089&gt;X$7)),0,MAX(0,ROUND((INDEX($E1089:$G1089,X$5)-SUMIFS(TF_Timer,TF_Tekniker,X$4,TF_Dato,$A1089))*2,0)/2)))</f>
        <v/>
      </c>
      <c r="Y1089">
        <f>IF(OR(Y$4="",$A1089&gt;TODAY()),0,IF(OR(INDEX($B1089:$D1089,Y$5)="F",AND(Y$6&gt;0,$A1089&lt;Y$6),AND(Y$7&gt;0,$A1089&gt;Y$7)),0,MAX(0,ROUND((INDEX($E1089:$G1089,Y$5)-SUMIFS(TF_Timer,TF_Tekniker,Y$4,TF_Dato,$A1089))*2,0)/2)))</f>
        <v/>
      </c>
      <c r="Z1089">
        <f>IF(OR(Z$4="",$A1089&gt;TODAY()),0,IF(OR(INDEX($B1089:$D1089,Z$5)="F",AND(Z$6&gt;0,$A1089&lt;Z$6),AND(Z$7&gt;0,$A1089&gt;Z$7)),0,MAX(0,ROUND((INDEX($E1089:$G1089,Z$5)-SUMIFS(TF_Timer,TF_Tekniker,Z$4,TF_Dato,$A1089))*2,0)/2)))</f>
        <v/>
      </c>
      <c r="AA1089">
        <f>IF(OR(AA$4="",$A1089&gt;TODAY()),0,IF(OR(INDEX($B1089:$D1089,AA$5)="F",AND(AA$6&gt;0,$A1089&lt;AA$6),AND(AA$7&gt;0,$A1089&gt;AA$7)),0,MAX(0,ROUND((INDEX($E1089:$G1089,AA$5)-SUMIFS(TF_Timer,TF_Tekniker,AA$4,TF_Dato,$A1089))*2,0)/2)))</f>
        <v/>
      </c>
      <c r="AB1089">
        <f>IF(OR(AB$4="",$A1089&gt;TODAY()),0,IF(OR(INDEX($B1089:$D1089,AB$5)="F",AND(AB$6&gt;0,$A1089&lt;AB$6),AND(AB$7&gt;0,$A1089&gt;AB$7)),0,MAX(0,ROUND((INDEX($E1089:$G1089,AB$5)-SUMIFS(TF_Timer,TF_Tekniker,AB$4,TF_Dato,$A1089))*2,0)/2)))</f>
        <v/>
      </c>
      <c r="AC1089">
        <f>IF(OR(AC$4="",$A1089&gt;TODAY()),0,IF(OR(INDEX($B1089:$D1089,AC$5)="F",AND(AC$6&gt;0,$A1089&lt;AC$6),AND(AC$7&gt;0,$A1089&gt;AC$7)),0,MAX(0,ROUND((INDEX($E1089:$G1089,AC$5)-SUMIFS(TF_Timer,TF_Tekniker,AC$4,TF_Dato,$A1089))*2,0)/2)))</f>
        <v/>
      </c>
      <c r="AD1089">
        <f>IF(OR(AD$4="",$A1089&gt;TODAY()),0,IF(OR(INDEX($B1089:$D1089,AD$5)="F",AND(AD$6&gt;0,$A1089&lt;AD$6),AND(AD$7&gt;0,$A1089&gt;AD$7)),0,MAX(0,ROUND((INDEX($E1089:$G1089,AD$5)-SUMIFS(TF_Timer,TF_Tekniker,AD$4,TF_Dato,$A1089))*2,0)/2)))</f>
        <v/>
      </c>
      <c r="AE1089">
        <f>IF(OR(AE$4="",$A1089&gt;TODAY()),0,IF(OR(INDEX($B1089:$D1089,AE$5)="F",AND(AE$6&gt;0,$A1089&lt;AE$6),AND(AE$7&gt;0,$A1089&gt;AE$7)),0,MAX(0,ROUND((INDEX($E1089:$G1089,AE$5)-SUMIFS(TF_Timer,TF_Tekniker,AE$4,TF_Dato,$A1089))*2,0)/2)))</f>
        <v/>
      </c>
      <c r="AF1089">
        <f>IF(OR(AF$4="",$A1089&gt;TODAY()),0,IF(OR(INDEX($B1089:$D1089,AF$5)="F",AND(AF$6&gt;0,$A1089&lt;AF$6),AND(AF$7&gt;0,$A1089&gt;AF$7)),0,MAX(0,ROUND((INDEX($E1089:$G1089,AF$5)-SUMIFS(TF_Timer,TF_Tekniker,AF$4,TF_Dato,$A1089))*2,0)/2)))</f>
        <v/>
      </c>
      <c r="AG1089">
        <f>IF(OR(AG$4="",$A1089&gt;TODAY()),0,IF(OR(INDEX($B1089:$D1089,AG$5)="F",AND(AG$6&gt;0,$A1089&lt;AG$6),AND(AG$7&gt;0,$A1089&gt;AG$7)),0,MAX(0,ROUND((INDEX($E1089:$G1089,AG$5)-SUMIFS(TF_Timer,TF_Tekniker,AG$4,TF_Dato,$A1089))*2,0)/2)))</f>
        <v/>
      </c>
      <c r="AH1089">
        <f>IF(OR(AH$4="",$A1089&gt;TODAY()),0,IF(OR(INDEX($B1089:$D1089,AH$5)="F",AND(AH$6&gt;0,$A1089&lt;AH$6),AND(AH$7&gt;0,$A1089&gt;AH$7)),0,MAX(0,ROUND((INDEX($E1089:$G1089,AH$5)-SUMIFS(TF_Timer,TF_Tekniker,AH$4,TF_Dato,$A1089))*2,0)/2)))</f>
        <v/>
      </c>
      <c r="AI1089">
        <f>IF(OR(AI$4="",$A1089&gt;TODAY()),0,IF(OR(INDEX($B1089:$D1089,AI$5)="F",AND(AI$6&gt;0,$A1089&lt;AI$6),AND(AI$7&gt;0,$A1089&gt;AI$7)),0,MAX(0,ROUND((INDEX($E1089:$G1089,AI$5)-SUMIFS(TF_Timer,TF_Tekniker,AI$4,TF_Dato,$A1089))*2,0)/2)))</f>
        <v/>
      </c>
      <c r="AJ1089">
        <f>IF(OR(AJ$4="",$A1089&gt;TODAY()),0,IF(OR(INDEX($B1089:$D1089,AJ$5)="F",AND(AJ$6&gt;0,$A1089&lt;AJ$6),AND(AJ$7&gt;0,$A1089&gt;AJ$7)),0,MAX(0,ROUND((INDEX($E1089:$G1089,AJ$5)-SUMIFS(TF_Timer,TF_Tekniker,AJ$4,TF_Dato,$A1089))*2,0)/2)))</f>
        <v/>
      </c>
      <c r="AK1089">
        <f>IF(OR(AK$4="",$A1089&gt;TODAY()),0,IF(OR(INDEX($B1089:$D1089,AK$5)="F",AND(AK$6&gt;0,$A1089&lt;AK$6),AND(AK$7&gt;0,$A1089&gt;AK$7)),0,MAX(0,ROUND((INDEX($E1089:$G1089,AK$5)-SUMIFS(TF_Timer,TF_Tekniker,AK$4,TF_Dato,$A1089))*2,0)/2)))</f>
        <v/>
      </c>
      <c r="AL1089">
        <f>IF(OR(AL$4="",$A1089&gt;TODAY()),0,IF(OR(INDEX($B1089:$D1089,AL$5)="F",AND(AL$6&gt;0,$A1089&lt;AL$6),AND(AL$7&gt;0,$A1089&gt;AL$7)),0,MAX(0,ROUND((INDEX($E1089:$G1089,AL$5)-SUMIFS(TF_Timer,TF_Tekniker,AL$4,TF_Dato,$A1089))*2,0)/2)))</f>
        <v/>
      </c>
      <c r="AM1089">
        <f>IF(OR(AM$4="",$A1089&gt;TODAY()),0,IF(OR(INDEX($B1089:$D1089,AM$5)="F",AND(AM$6&gt;0,$A1089&lt;AM$6),AND(AM$7&gt;0,$A1089&gt;AM$7)),0,MAX(0,ROUND((INDEX($E1089:$G1089,AM$5)-SUMIFS(TF_Timer,TF_Tekniker,AM$4,TF_Dato,$A1089))*2,0)/2)))</f>
        <v/>
      </c>
      <c r="AN1089">
        <f>IF(OR(AN$4="",$A1089&gt;TODAY()),0,IF(OR(INDEX($B1089:$D1089,AN$5)="F",AND(AN$6&gt;0,$A1089&lt;AN$6),AND(AN$7&gt;0,$A1089&gt;AN$7)),0,MAX(0,ROUND((INDEX($E1089:$G1089,AN$5)-SUMIFS(TF_Timer,TF_Tekniker,AN$4,TF_Dato,$A1089))*2,0)/2)))</f>
        <v/>
      </c>
      <c r="AO1089">
        <f>IF(OR(AO$4="",$A1089&gt;TODAY()),0,IF(OR(INDEX($B1089:$D1089,AO$5)="F",AND(AO$6&gt;0,$A1089&lt;AO$6),AND(AO$7&gt;0,$A1089&gt;AO$7)),0,MAX(0,ROUND((INDEX($E1089:$G1089,AO$5)-SUMIFS(TF_Timer,TF_Tekniker,AO$4,TF_Dato,$A1089))*2,0)/2)))</f>
        <v/>
      </c>
      <c r="AP1089">
        <f>IF(OR(AP$4="",$A1089&gt;TODAY()),0,IF(OR(INDEX($B1089:$D1089,AP$5)="F",AND(AP$6&gt;0,$A1089&lt;AP$6),AND(AP$7&gt;0,$A1089&gt;AP$7)),0,MAX(0,ROUND((INDEX($E1089:$G1089,AP$5)-SUMIFS(TF_Timer,TF_Tekniker,AP$4,TF_Dato,$A1089))*2,0)/2)))</f>
        <v/>
      </c>
      <c r="AQ1089">
        <f>IF(OR(AQ$4="",$A1089&gt;TODAY()),0,IF(OR(INDEX($B1089:$D1089,AQ$5)="F",AND(AQ$6&gt;0,$A1089&lt;AQ$6),AND(AQ$7&gt;0,$A1089&gt;AQ$7)),0,MAX(0,ROUND((INDEX($E1089:$G1089,AQ$5)-SUMIFS(TF_Timer,TF_Tekniker,AQ$4,TF_Dato,$A1089))*2,0)/2)))</f>
        <v/>
      </c>
      <c r="AR1089">
        <f>IF(OR(AR$4="",$A1089&gt;TODAY()),0,IF(OR(INDEX($B1089:$D1089,AR$5)="F",AND(AR$6&gt;0,$A1089&lt;AR$6),AND(AR$7&gt;0,$A1089&gt;AR$7)),0,MAX(0,ROUND((INDEX($E1089:$G1089,AR$5)-SUMIFS(TF_Timer,TF_Tekniker,AR$4,TF_Dato,$A1089))*2,0)/2)))</f>
        <v/>
      </c>
      <c r="AS1089">
        <f>IF(OR(AS$4="",$A1089&gt;TODAY()),0,IF(OR(INDEX($B1089:$D1089,AS$5)="F",AND(AS$6&gt;0,$A1089&lt;AS$6),AND(AS$7&gt;0,$A1089&gt;AS$7)),0,MAX(0,ROUND((INDEX($E1089:$G1089,AS$5)-SUMIFS(TF_Timer,TF_Tekniker,AS$4,TF_Dato,$A1089))*2,0)/2)))</f>
        <v/>
      </c>
      <c r="AT1089">
        <f>IF(OR(AT$4="",$A1089&gt;TODAY()),0,IF(OR(INDEX($B1089:$D1089,AT$5)="F",AND(AT$6&gt;0,$A1089&lt;AT$6),AND(AT$7&gt;0,$A1089&gt;AT$7)),0,MAX(0,ROUND((INDEX($E1089:$G1089,AT$5)-SUMIFS(TF_Timer,TF_Tekniker,AT$4,TF_Dato,$A1089))*2,0)/2)))</f>
        <v/>
      </c>
      <c r="AU1089">
        <f>IF(OR(AU$4="",$A1089&gt;TODAY()),0,IF(OR(INDEX($B1089:$D1089,AU$5)="F",AND(AU$6&gt;0,$A1089&lt;AU$6),AND(AU$7&gt;0,$A1089&gt;AU$7)),0,MAX(0,ROUND((INDEX($E1089:$G1089,AU$5)-SUMIFS(TF_Timer,TF_Tekniker,AU$4,TF_Dato,$A1089))*2,0)/2)))</f>
        <v/>
      </c>
      <c r="AV1089">
        <f>IF(OR(AV$4="",$A1089&gt;TODAY()),0,IF(OR(INDEX($B1089:$D1089,AV$5)="F",AND(AV$6&gt;0,$A1089&lt;AV$6),AND(AV$7&gt;0,$A1089&gt;AV$7)),0,MAX(0,ROUND((INDEX($E1089:$G1089,AV$5)-SUMIFS(TF_Timer,TF_Tekniker,AV$4,TF_Dato,$A1089))*2,0)/2)))</f>
        <v/>
      </c>
      <c r="AW1089">
        <f>IF(OR(AW$4="",$A1089&gt;TODAY()),0,IF(OR(INDEX($B1089:$D1089,AW$5)="F",AND(AW$6&gt;0,$A1089&lt;AW$6),AND(AW$7&gt;0,$A1089&gt;AW$7)),0,MAX(0,ROUND((INDEX($E1089:$G1089,AW$5)-SUMIFS(TF_Timer,TF_Tekniker,AW$4,TF_Dato,$A1089))*2,0)/2)))</f>
        <v/>
      </c>
      <c r="AX1089">
        <f>IF(OR(AX$4="",$A1089&gt;TODAY()),0,IF(OR(INDEX($B1089:$D1089,AX$5)="F",AND(AX$6&gt;0,$A1089&lt;AX$6),AND(AX$7&gt;0,$A1089&gt;AX$7)),0,MAX(0,ROUND((INDEX($E1089:$G1089,AX$5)-SUMIFS(TF_Timer,TF_Tekniker,AX$4,TF_Dato,$A1089))*2,0)/2)))</f>
        <v/>
      </c>
      <c r="AY1089">
        <f>IF(OR(AY$4="",$A1089&gt;TODAY()),0,IF(OR(INDEX($B1089:$D1089,AY$5)="F",AND(AY$6&gt;0,$A1089&lt;AY$6),AND(AY$7&gt;0,$A1089&gt;AY$7)),0,MAX(0,ROUND((INDEX($E1089:$G1089,AY$5)-SUMIFS(TF_Timer,TF_Tekniker,AY$4,TF_Dato,$A1089))*2,0)/2)))</f>
        <v/>
      </c>
      <c r="AZ1089">
        <f>IF(OR(AZ$4="",$A1089&gt;TODAY()),0,IF(OR(INDEX($B1089:$D1089,AZ$5)="F",AND(AZ$6&gt;0,$A1089&lt;AZ$6),AND(AZ$7&gt;0,$A1089&gt;AZ$7)),0,MAX(0,ROUND((INDEX($E1089:$G1089,AZ$5)-SUMIFS(TF_Timer,TF_Tekniker,AZ$4,TF_Dato,$A1089))*2,0)/2)))</f>
        <v/>
      </c>
      <c r="BA1089">
        <f>IF(OR(BA$4="",$A1089&gt;TODAY()),0,IF(OR(INDEX($B1089:$D1089,BA$5)="F",AND(BA$6&gt;0,$A1089&lt;BA$6),AND(BA$7&gt;0,$A1089&gt;BA$7)),0,MAX(0,ROUND((INDEX($E1089:$G1089,BA$5)-SUMIFS(TF_Timer,TF_Tekniker,BA$4,TF_Dato,$A1089))*2,0)/2)))</f>
        <v/>
      </c>
      <c r="BB1089">
        <f>IF(OR(BB$4="",$A1089&gt;TODAY()),0,IF(OR(INDEX($B1089:$D1089,BB$5)="F",AND(BB$6&gt;0,$A1089&lt;BB$6),AND(BB$7&gt;0,$A1089&gt;BB$7)),0,MAX(0,ROUND((INDEX($E1089:$G1089,BB$5)-SUMIFS(TF_Timer,TF_Tekniker,BB$4,TF_Dato,$A1089))*2,0)/2)))</f>
        <v/>
      </c>
      <c r="BC1089">
        <f>IF(OR(BC$4="",$A1089&gt;TODAY()),0,IF(OR(INDEX($B1089:$D1089,BC$5)="F",AND(BC$6&gt;0,$A1089&lt;BC$6),AND(BC$7&gt;0,$A1089&gt;BC$7)),0,MAX(0,ROUND((INDEX($E1089:$G1089,BC$5)-SUMIFS(TF_Timer,TF_Tekniker,BC$4,TF_Dato,$A1089))*2,0)/2)))</f>
        <v/>
      </c>
      <c r="BD1089">
        <f>IF(OR(BD$4="",$A1089&gt;TODAY()),0,IF(OR(INDEX($B1089:$D1089,BD$5)="F",AND(BD$6&gt;0,$A1089&lt;BD$6),AND(BD$7&gt;0,$A1089&gt;BD$7)),0,MAX(0,ROUND((INDEX($E1089:$G1089,BD$5)-SUMIFS(TF_Timer,TF_Tekniker,BD$4,TF_Dato,$A1089))*2,0)/2)))</f>
        <v/>
      </c>
      <c r="BE1089">
        <f>IF(OR(BE$4="",$A1089&gt;TODAY()),0,IF(OR(INDEX($B1089:$D1089,BE$5)="F",AND(BE$6&gt;0,$A1089&lt;BE$6),AND(BE$7&gt;0,$A1089&gt;BE$7)),0,MAX(0,ROUND((INDEX($E1089:$G1089,BE$5)-SUMIFS(TF_Timer,TF_Tekniker,BE$4,TF_Dato,$A1089))*2,0)/2)))</f>
        <v/>
      </c>
      <c r="BF1089">
        <f>IF(OR(BF$4="",$A1089&gt;TODAY()),0,IF(OR(INDEX($B1089:$D1089,BF$5)="F",AND(BF$6&gt;0,$A1089&lt;BF$6),AND(BF$7&gt;0,$A1089&gt;BF$7)),0,MAX(0,ROUND((INDEX($E1089:$G1089,BF$5)-SUMIFS(TF_Timer,TF_Tekniker,BF$4,TF_Dato,$A1089))*2,0)/2)))</f>
        <v/>
      </c>
      <c r="BG1089">
        <f>IF(OR(BG$4="",$A1089&gt;TODAY()),0,IF(OR(INDEX($B1089:$D1089,BG$5)="F",AND(BG$6&gt;0,$A1089&lt;BG$6),AND(BG$7&gt;0,$A1089&gt;BG$7)),0,MAX(0,ROUND((INDEX($E1089:$G1089,BG$5)-SUMIFS(TF_Timer,TF_Tekniker,BG$4,TF_Dato,$A1089))*2,0)/2)))</f>
        <v/>
      </c>
      <c r="BH1089">
        <f>IF(OR(BH$4="",$A1089&gt;TODAY()),0,IF(OR(INDEX($B1089:$D1089,BH$5)="F",AND(BH$6&gt;0,$A1089&lt;BH$6),AND(BH$7&gt;0,$A1089&gt;BH$7)),0,MAX(0,ROUND((INDEX($E1089:$G1089,BH$5)-SUMIFS(TF_Timer,TF_Tekniker,BH$4,TF_Dato,$A1089))*2,0)/2)))</f>
        <v/>
      </c>
      <c r="BI1089">
        <f>IF(OR(BI$4="",$A1089&gt;TODAY()),0,IF(OR(INDEX($B1089:$D1089,BI$5)="F",AND(BI$6&gt;0,$A1089&lt;BI$6),AND(BI$7&gt;0,$A1089&gt;BI$7)),0,MAX(0,ROUND((INDEX($E1089:$G1089,BI$5)-SUMIFS(TF_Timer,TF_Tekniker,BI$4,TF_Dato,$A1089))*2,0)/2)))</f>
        <v/>
      </c>
    </row>
    <row r="1090">
      <c r="A1090" s="64">
        <f>A1089+1</f>
        <v/>
      </c>
      <c r="B1090">
        <f>IF(MOD($A1090-INDEX(SkiftStart,1),Syklus)&lt;DagK,"K",IF(MOD($A1090-INDEX(SkiftStart,1),Syklus)&lt;DagK+DagH,"H",IF(MOD($A1090-INDEX(SkiftStart,1),Syklus)&lt;DagK+DagH+DagD,"D","F")))</f>
        <v/>
      </c>
      <c r="C1090">
        <f>IF(MOD($A1090-INDEX(SkiftStart,2),Syklus)&lt;DagK,"K",IF(MOD($A1090-INDEX(SkiftStart,2),Syklus)&lt;DagK+DagH,"H",IF(MOD($A1090-INDEX(SkiftStart,2),Syklus)&lt;DagK+DagH+DagD,"D","F")))</f>
        <v/>
      </c>
      <c r="D1090">
        <f>IF(MOD($A1090-INDEX(SkiftStart,3),Syklus)&lt;DagK,"K",IF(MOD($A1090-INDEX(SkiftStart,3),Syklus)&lt;DagK+DagH,"H",IF(MOD($A1090-INDEX(SkiftStart,3),Syklus)&lt;DagK+DagH+DagD,"D","F")))</f>
        <v/>
      </c>
      <c r="E1090">
        <f>IF(B1090="F",0,IF(WEEKDAY($A1090,2)=5,INDEX(TimerFr,MATCH(B1090,FaseKode,0)),INDEX(TimerMT,MATCH(B1090,FaseKode,0))))</f>
        <v/>
      </c>
      <c r="F1090">
        <f>IF(C1090="F",0,IF(WEEKDAY($A1090,2)=5,INDEX(TimerFr,MATCH(C1090,FaseKode,0)),INDEX(TimerMT,MATCH(C1090,FaseKode,0))))</f>
        <v/>
      </c>
      <c r="G1090">
        <f>IF(D1090="F",0,IF(WEEKDAY($A1090,2)=5,INDEX(TimerFr,MATCH(D1090,FaseKode,0)),INDEX(TimerMT,MATCH(D1090,FaseKode,0))))</f>
        <v/>
      </c>
      <c r="H1090">
        <f>IF(OR(H$4="",$A1090&gt;TODAY()),0,IF(OR(INDEX($B1090:$D1090,H$5)="F",AND(H$6&gt;0,$A1090&lt;H$6),AND(H$7&gt;0,$A1090&gt;H$7)),0,MAX(0,ROUND((INDEX($E1090:$G1090,H$5)-SUMIFS(TF_Timer,TF_Tekniker,H$4,TF_Dato,$A1090))*2,0)/2)))</f>
        <v/>
      </c>
      <c r="I1090">
        <f>IF(OR(I$4="",$A1090&gt;TODAY()),0,IF(OR(INDEX($B1090:$D1090,I$5)="F",AND(I$6&gt;0,$A1090&lt;I$6),AND(I$7&gt;0,$A1090&gt;I$7)),0,MAX(0,ROUND((INDEX($E1090:$G1090,I$5)-SUMIFS(TF_Timer,TF_Tekniker,I$4,TF_Dato,$A1090))*2,0)/2)))</f>
        <v/>
      </c>
      <c r="J1090">
        <f>IF(OR(J$4="",$A1090&gt;TODAY()),0,IF(OR(INDEX($B1090:$D1090,J$5)="F",AND(J$6&gt;0,$A1090&lt;J$6),AND(J$7&gt;0,$A1090&gt;J$7)),0,MAX(0,ROUND((INDEX($E1090:$G1090,J$5)-SUMIFS(TF_Timer,TF_Tekniker,J$4,TF_Dato,$A1090))*2,0)/2)))</f>
        <v/>
      </c>
      <c r="K1090">
        <f>IF(OR(K$4="",$A1090&gt;TODAY()),0,IF(OR(INDEX($B1090:$D1090,K$5)="F",AND(K$6&gt;0,$A1090&lt;K$6),AND(K$7&gt;0,$A1090&gt;K$7)),0,MAX(0,ROUND((INDEX($E1090:$G1090,K$5)-SUMIFS(TF_Timer,TF_Tekniker,K$4,TF_Dato,$A1090))*2,0)/2)))</f>
        <v/>
      </c>
      <c r="L1090">
        <f>IF(OR(L$4="",$A1090&gt;TODAY()),0,IF(OR(INDEX($B1090:$D1090,L$5)="F",AND(L$6&gt;0,$A1090&lt;L$6),AND(L$7&gt;0,$A1090&gt;L$7)),0,MAX(0,ROUND((INDEX($E1090:$G1090,L$5)-SUMIFS(TF_Timer,TF_Tekniker,L$4,TF_Dato,$A1090))*2,0)/2)))</f>
        <v/>
      </c>
      <c r="M1090">
        <f>IF(OR(M$4="",$A1090&gt;TODAY()),0,IF(OR(INDEX($B1090:$D1090,M$5)="F",AND(M$6&gt;0,$A1090&lt;M$6),AND(M$7&gt;0,$A1090&gt;M$7)),0,MAX(0,ROUND((INDEX($E1090:$G1090,M$5)-SUMIFS(TF_Timer,TF_Tekniker,M$4,TF_Dato,$A1090))*2,0)/2)))</f>
        <v/>
      </c>
      <c r="N1090">
        <f>IF(OR(N$4="",$A1090&gt;TODAY()),0,IF(OR(INDEX($B1090:$D1090,N$5)="F",AND(N$6&gt;0,$A1090&lt;N$6),AND(N$7&gt;0,$A1090&gt;N$7)),0,MAX(0,ROUND((INDEX($E1090:$G1090,N$5)-SUMIFS(TF_Timer,TF_Tekniker,N$4,TF_Dato,$A1090))*2,0)/2)))</f>
        <v/>
      </c>
      <c r="O1090">
        <f>IF(OR(O$4="",$A1090&gt;TODAY()),0,IF(OR(INDEX($B1090:$D1090,O$5)="F",AND(O$6&gt;0,$A1090&lt;O$6),AND(O$7&gt;0,$A1090&gt;O$7)),0,MAX(0,ROUND((INDEX($E1090:$G1090,O$5)-SUMIFS(TF_Timer,TF_Tekniker,O$4,TF_Dato,$A1090))*2,0)/2)))</f>
        <v/>
      </c>
      <c r="P1090">
        <f>IF(OR(P$4="",$A1090&gt;TODAY()),0,IF(OR(INDEX($B1090:$D1090,P$5)="F",AND(P$6&gt;0,$A1090&lt;P$6),AND(P$7&gt;0,$A1090&gt;P$7)),0,MAX(0,ROUND((INDEX($E1090:$G1090,P$5)-SUMIFS(TF_Timer,TF_Tekniker,P$4,TF_Dato,$A1090))*2,0)/2)))</f>
        <v/>
      </c>
      <c r="Q1090">
        <f>IF(OR(Q$4="",$A1090&gt;TODAY()),0,IF(OR(INDEX($B1090:$D1090,Q$5)="F",AND(Q$6&gt;0,$A1090&lt;Q$6),AND(Q$7&gt;0,$A1090&gt;Q$7)),0,MAX(0,ROUND((INDEX($E1090:$G1090,Q$5)-SUMIFS(TF_Timer,TF_Tekniker,Q$4,TF_Dato,$A1090))*2,0)/2)))</f>
        <v/>
      </c>
      <c r="R1090">
        <f>IF(OR(R$4="",$A1090&gt;TODAY()),0,IF(OR(INDEX($B1090:$D1090,R$5)="F",AND(R$6&gt;0,$A1090&lt;R$6),AND(R$7&gt;0,$A1090&gt;R$7)),0,MAX(0,ROUND((INDEX($E1090:$G1090,R$5)-SUMIFS(TF_Timer,TF_Tekniker,R$4,TF_Dato,$A1090))*2,0)/2)))</f>
        <v/>
      </c>
      <c r="S1090">
        <f>IF(OR(S$4="",$A1090&gt;TODAY()),0,IF(OR(INDEX($B1090:$D1090,S$5)="F",AND(S$6&gt;0,$A1090&lt;S$6),AND(S$7&gt;0,$A1090&gt;S$7)),0,MAX(0,ROUND((INDEX($E1090:$G1090,S$5)-SUMIFS(TF_Timer,TF_Tekniker,S$4,TF_Dato,$A1090))*2,0)/2)))</f>
        <v/>
      </c>
      <c r="T1090">
        <f>IF(OR(T$4="",$A1090&gt;TODAY()),0,IF(OR(INDEX($B1090:$D1090,T$5)="F",AND(T$6&gt;0,$A1090&lt;T$6),AND(T$7&gt;0,$A1090&gt;T$7)),0,MAX(0,ROUND((INDEX($E1090:$G1090,T$5)-SUMIFS(TF_Timer,TF_Tekniker,T$4,TF_Dato,$A1090))*2,0)/2)))</f>
        <v/>
      </c>
      <c r="U1090">
        <f>IF(OR(U$4="",$A1090&gt;TODAY()),0,IF(OR(INDEX($B1090:$D1090,U$5)="F",AND(U$6&gt;0,$A1090&lt;U$6),AND(U$7&gt;0,$A1090&gt;U$7)),0,MAX(0,ROUND((INDEX($E1090:$G1090,U$5)-SUMIFS(TF_Timer,TF_Tekniker,U$4,TF_Dato,$A1090))*2,0)/2)))</f>
        <v/>
      </c>
      <c r="V1090">
        <f>IF(OR(V$4="",$A1090&gt;TODAY()),0,IF(OR(INDEX($B1090:$D1090,V$5)="F",AND(V$6&gt;0,$A1090&lt;V$6),AND(V$7&gt;0,$A1090&gt;V$7)),0,MAX(0,ROUND((INDEX($E1090:$G1090,V$5)-SUMIFS(TF_Timer,TF_Tekniker,V$4,TF_Dato,$A1090))*2,0)/2)))</f>
        <v/>
      </c>
      <c r="W1090">
        <f>IF(OR(W$4="",$A1090&gt;TODAY()),0,IF(OR(INDEX($B1090:$D1090,W$5)="F",AND(W$6&gt;0,$A1090&lt;W$6),AND(W$7&gt;0,$A1090&gt;W$7)),0,MAX(0,ROUND((INDEX($E1090:$G1090,W$5)-SUMIFS(TF_Timer,TF_Tekniker,W$4,TF_Dato,$A1090))*2,0)/2)))</f>
        <v/>
      </c>
      <c r="X1090">
        <f>IF(OR(X$4="",$A1090&gt;TODAY()),0,IF(OR(INDEX($B1090:$D1090,X$5)="F",AND(X$6&gt;0,$A1090&lt;X$6),AND(X$7&gt;0,$A1090&gt;X$7)),0,MAX(0,ROUND((INDEX($E1090:$G1090,X$5)-SUMIFS(TF_Timer,TF_Tekniker,X$4,TF_Dato,$A1090))*2,0)/2)))</f>
        <v/>
      </c>
      <c r="Y1090">
        <f>IF(OR(Y$4="",$A1090&gt;TODAY()),0,IF(OR(INDEX($B1090:$D1090,Y$5)="F",AND(Y$6&gt;0,$A1090&lt;Y$6),AND(Y$7&gt;0,$A1090&gt;Y$7)),0,MAX(0,ROUND((INDEX($E1090:$G1090,Y$5)-SUMIFS(TF_Timer,TF_Tekniker,Y$4,TF_Dato,$A1090))*2,0)/2)))</f>
        <v/>
      </c>
      <c r="Z1090">
        <f>IF(OR(Z$4="",$A1090&gt;TODAY()),0,IF(OR(INDEX($B1090:$D1090,Z$5)="F",AND(Z$6&gt;0,$A1090&lt;Z$6),AND(Z$7&gt;0,$A1090&gt;Z$7)),0,MAX(0,ROUND((INDEX($E1090:$G1090,Z$5)-SUMIFS(TF_Timer,TF_Tekniker,Z$4,TF_Dato,$A1090))*2,0)/2)))</f>
        <v/>
      </c>
      <c r="AA1090">
        <f>IF(OR(AA$4="",$A1090&gt;TODAY()),0,IF(OR(INDEX($B1090:$D1090,AA$5)="F",AND(AA$6&gt;0,$A1090&lt;AA$6),AND(AA$7&gt;0,$A1090&gt;AA$7)),0,MAX(0,ROUND((INDEX($E1090:$G1090,AA$5)-SUMIFS(TF_Timer,TF_Tekniker,AA$4,TF_Dato,$A1090))*2,0)/2)))</f>
        <v/>
      </c>
      <c r="AB1090">
        <f>IF(OR(AB$4="",$A1090&gt;TODAY()),0,IF(OR(INDEX($B1090:$D1090,AB$5)="F",AND(AB$6&gt;0,$A1090&lt;AB$6),AND(AB$7&gt;0,$A1090&gt;AB$7)),0,MAX(0,ROUND((INDEX($E1090:$G1090,AB$5)-SUMIFS(TF_Timer,TF_Tekniker,AB$4,TF_Dato,$A1090))*2,0)/2)))</f>
        <v/>
      </c>
      <c r="AC1090">
        <f>IF(OR(AC$4="",$A1090&gt;TODAY()),0,IF(OR(INDEX($B1090:$D1090,AC$5)="F",AND(AC$6&gt;0,$A1090&lt;AC$6),AND(AC$7&gt;0,$A1090&gt;AC$7)),0,MAX(0,ROUND((INDEX($E1090:$G1090,AC$5)-SUMIFS(TF_Timer,TF_Tekniker,AC$4,TF_Dato,$A1090))*2,0)/2)))</f>
        <v/>
      </c>
      <c r="AD1090">
        <f>IF(OR(AD$4="",$A1090&gt;TODAY()),0,IF(OR(INDEX($B1090:$D1090,AD$5)="F",AND(AD$6&gt;0,$A1090&lt;AD$6),AND(AD$7&gt;0,$A1090&gt;AD$7)),0,MAX(0,ROUND((INDEX($E1090:$G1090,AD$5)-SUMIFS(TF_Timer,TF_Tekniker,AD$4,TF_Dato,$A1090))*2,0)/2)))</f>
        <v/>
      </c>
      <c r="AE1090">
        <f>IF(OR(AE$4="",$A1090&gt;TODAY()),0,IF(OR(INDEX($B1090:$D1090,AE$5)="F",AND(AE$6&gt;0,$A1090&lt;AE$6),AND(AE$7&gt;0,$A1090&gt;AE$7)),0,MAX(0,ROUND((INDEX($E1090:$G1090,AE$5)-SUMIFS(TF_Timer,TF_Tekniker,AE$4,TF_Dato,$A1090))*2,0)/2)))</f>
        <v/>
      </c>
      <c r="AF1090">
        <f>IF(OR(AF$4="",$A1090&gt;TODAY()),0,IF(OR(INDEX($B1090:$D1090,AF$5)="F",AND(AF$6&gt;0,$A1090&lt;AF$6),AND(AF$7&gt;0,$A1090&gt;AF$7)),0,MAX(0,ROUND((INDEX($E1090:$G1090,AF$5)-SUMIFS(TF_Timer,TF_Tekniker,AF$4,TF_Dato,$A1090))*2,0)/2)))</f>
        <v/>
      </c>
      <c r="AG1090">
        <f>IF(OR(AG$4="",$A1090&gt;TODAY()),0,IF(OR(INDEX($B1090:$D1090,AG$5)="F",AND(AG$6&gt;0,$A1090&lt;AG$6),AND(AG$7&gt;0,$A1090&gt;AG$7)),0,MAX(0,ROUND((INDEX($E1090:$G1090,AG$5)-SUMIFS(TF_Timer,TF_Tekniker,AG$4,TF_Dato,$A1090))*2,0)/2)))</f>
        <v/>
      </c>
      <c r="AH1090">
        <f>IF(OR(AH$4="",$A1090&gt;TODAY()),0,IF(OR(INDEX($B1090:$D1090,AH$5)="F",AND(AH$6&gt;0,$A1090&lt;AH$6),AND(AH$7&gt;0,$A1090&gt;AH$7)),0,MAX(0,ROUND((INDEX($E1090:$G1090,AH$5)-SUMIFS(TF_Timer,TF_Tekniker,AH$4,TF_Dato,$A1090))*2,0)/2)))</f>
        <v/>
      </c>
      <c r="AI1090">
        <f>IF(OR(AI$4="",$A1090&gt;TODAY()),0,IF(OR(INDEX($B1090:$D1090,AI$5)="F",AND(AI$6&gt;0,$A1090&lt;AI$6),AND(AI$7&gt;0,$A1090&gt;AI$7)),0,MAX(0,ROUND((INDEX($E1090:$G1090,AI$5)-SUMIFS(TF_Timer,TF_Tekniker,AI$4,TF_Dato,$A1090))*2,0)/2)))</f>
        <v/>
      </c>
      <c r="AJ1090">
        <f>IF(OR(AJ$4="",$A1090&gt;TODAY()),0,IF(OR(INDEX($B1090:$D1090,AJ$5)="F",AND(AJ$6&gt;0,$A1090&lt;AJ$6),AND(AJ$7&gt;0,$A1090&gt;AJ$7)),0,MAX(0,ROUND((INDEX($E1090:$G1090,AJ$5)-SUMIFS(TF_Timer,TF_Tekniker,AJ$4,TF_Dato,$A1090))*2,0)/2)))</f>
        <v/>
      </c>
      <c r="AK1090">
        <f>IF(OR(AK$4="",$A1090&gt;TODAY()),0,IF(OR(INDEX($B1090:$D1090,AK$5)="F",AND(AK$6&gt;0,$A1090&lt;AK$6),AND(AK$7&gt;0,$A1090&gt;AK$7)),0,MAX(0,ROUND((INDEX($E1090:$G1090,AK$5)-SUMIFS(TF_Timer,TF_Tekniker,AK$4,TF_Dato,$A1090))*2,0)/2)))</f>
        <v/>
      </c>
      <c r="AL1090">
        <f>IF(OR(AL$4="",$A1090&gt;TODAY()),0,IF(OR(INDEX($B1090:$D1090,AL$5)="F",AND(AL$6&gt;0,$A1090&lt;AL$6),AND(AL$7&gt;0,$A1090&gt;AL$7)),0,MAX(0,ROUND((INDEX($E1090:$G1090,AL$5)-SUMIFS(TF_Timer,TF_Tekniker,AL$4,TF_Dato,$A1090))*2,0)/2)))</f>
        <v/>
      </c>
      <c r="AM1090">
        <f>IF(OR(AM$4="",$A1090&gt;TODAY()),0,IF(OR(INDEX($B1090:$D1090,AM$5)="F",AND(AM$6&gt;0,$A1090&lt;AM$6),AND(AM$7&gt;0,$A1090&gt;AM$7)),0,MAX(0,ROUND((INDEX($E1090:$G1090,AM$5)-SUMIFS(TF_Timer,TF_Tekniker,AM$4,TF_Dato,$A1090))*2,0)/2)))</f>
        <v/>
      </c>
      <c r="AN1090">
        <f>IF(OR(AN$4="",$A1090&gt;TODAY()),0,IF(OR(INDEX($B1090:$D1090,AN$5)="F",AND(AN$6&gt;0,$A1090&lt;AN$6),AND(AN$7&gt;0,$A1090&gt;AN$7)),0,MAX(0,ROUND((INDEX($E1090:$G1090,AN$5)-SUMIFS(TF_Timer,TF_Tekniker,AN$4,TF_Dato,$A1090))*2,0)/2)))</f>
        <v/>
      </c>
      <c r="AO1090">
        <f>IF(OR(AO$4="",$A1090&gt;TODAY()),0,IF(OR(INDEX($B1090:$D1090,AO$5)="F",AND(AO$6&gt;0,$A1090&lt;AO$6),AND(AO$7&gt;0,$A1090&gt;AO$7)),0,MAX(0,ROUND((INDEX($E1090:$G1090,AO$5)-SUMIFS(TF_Timer,TF_Tekniker,AO$4,TF_Dato,$A1090))*2,0)/2)))</f>
        <v/>
      </c>
      <c r="AP1090">
        <f>IF(OR(AP$4="",$A1090&gt;TODAY()),0,IF(OR(INDEX($B1090:$D1090,AP$5)="F",AND(AP$6&gt;0,$A1090&lt;AP$6),AND(AP$7&gt;0,$A1090&gt;AP$7)),0,MAX(0,ROUND((INDEX($E1090:$G1090,AP$5)-SUMIFS(TF_Timer,TF_Tekniker,AP$4,TF_Dato,$A1090))*2,0)/2)))</f>
        <v/>
      </c>
      <c r="AQ1090">
        <f>IF(OR(AQ$4="",$A1090&gt;TODAY()),0,IF(OR(INDEX($B1090:$D1090,AQ$5)="F",AND(AQ$6&gt;0,$A1090&lt;AQ$6),AND(AQ$7&gt;0,$A1090&gt;AQ$7)),0,MAX(0,ROUND((INDEX($E1090:$G1090,AQ$5)-SUMIFS(TF_Timer,TF_Tekniker,AQ$4,TF_Dato,$A1090))*2,0)/2)))</f>
        <v/>
      </c>
      <c r="AR1090">
        <f>IF(OR(AR$4="",$A1090&gt;TODAY()),0,IF(OR(INDEX($B1090:$D1090,AR$5)="F",AND(AR$6&gt;0,$A1090&lt;AR$6),AND(AR$7&gt;0,$A1090&gt;AR$7)),0,MAX(0,ROUND((INDEX($E1090:$G1090,AR$5)-SUMIFS(TF_Timer,TF_Tekniker,AR$4,TF_Dato,$A1090))*2,0)/2)))</f>
        <v/>
      </c>
      <c r="AS1090">
        <f>IF(OR(AS$4="",$A1090&gt;TODAY()),0,IF(OR(INDEX($B1090:$D1090,AS$5)="F",AND(AS$6&gt;0,$A1090&lt;AS$6),AND(AS$7&gt;0,$A1090&gt;AS$7)),0,MAX(0,ROUND((INDEX($E1090:$G1090,AS$5)-SUMIFS(TF_Timer,TF_Tekniker,AS$4,TF_Dato,$A1090))*2,0)/2)))</f>
        <v/>
      </c>
      <c r="AT1090">
        <f>IF(OR(AT$4="",$A1090&gt;TODAY()),0,IF(OR(INDEX($B1090:$D1090,AT$5)="F",AND(AT$6&gt;0,$A1090&lt;AT$6),AND(AT$7&gt;0,$A1090&gt;AT$7)),0,MAX(0,ROUND((INDEX($E1090:$G1090,AT$5)-SUMIFS(TF_Timer,TF_Tekniker,AT$4,TF_Dato,$A1090))*2,0)/2)))</f>
        <v/>
      </c>
      <c r="AU1090">
        <f>IF(OR(AU$4="",$A1090&gt;TODAY()),0,IF(OR(INDEX($B1090:$D1090,AU$5)="F",AND(AU$6&gt;0,$A1090&lt;AU$6),AND(AU$7&gt;0,$A1090&gt;AU$7)),0,MAX(0,ROUND((INDEX($E1090:$G1090,AU$5)-SUMIFS(TF_Timer,TF_Tekniker,AU$4,TF_Dato,$A1090))*2,0)/2)))</f>
        <v/>
      </c>
      <c r="AV1090">
        <f>IF(OR(AV$4="",$A1090&gt;TODAY()),0,IF(OR(INDEX($B1090:$D1090,AV$5)="F",AND(AV$6&gt;0,$A1090&lt;AV$6),AND(AV$7&gt;0,$A1090&gt;AV$7)),0,MAX(0,ROUND((INDEX($E1090:$G1090,AV$5)-SUMIFS(TF_Timer,TF_Tekniker,AV$4,TF_Dato,$A1090))*2,0)/2)))</f>
        <v/>
      </c>
      <c r="AW1090">
        <f>IF(OR(AW$4="",$A1090&gt;TODAY()),0,IF(OR(INDEX($B1090:$D1090,AW$5)="F",AND(AW$6&gt;0,$A1090&lt;AW$6),AND(AW$7&gt;0,$A1090&gt;AW$7)),0,MAX(0,ROUND((INDEX($E1090:$G1090,AW$5)-SUMIFS(TF_Timer,TF_Tekniker,AW$4,TF_Dato,$A1090))*2,0)/2)))</f>
        <v/>
      </c>
      <c r="AX1090">
        <f>IF(OR(AX$4="",$A1090&gt;TODAY()),0,IF(OR(INDEX($B1090:$D1090,AX$5)="F",AND(AX$6&gt;0,$A1090&lt;AX$6),AND(AX$7&gt;0,$A1090&gt;AX$7)),0,MAX(0,ROUND((INDEX($E1090:$G1090,AX$5)-SUMIFS(TF_Timer,TF_Tekniker,AX$4,TF_Dato,$A1090))*2,0)/2)))</f>
        <v/>
      </c>
      <c r="AY1090">
        <f>IF(OR(AY$4="",$A1090&gt;TODAY()),0,IF(OR(INDEX($B1090:$D1090,AY$5)="F",AND(AY$6&gt;0,$A1090&lt;AY$6),AND(AY$7&gt;0,$A1090&gt;AY$7)),0,MAX(0,ROUND((INDEX($E1090:$G1090,AY$5)-SUMIFS(TF_Timer,TF_Tekniker,AY$4,TF_Dato,$A1090))*2,0)/2)))</f>
        <v/>
      </c>
      <c r="AZ1090">
        <f>IF(OR(AZ$4="",$A1090&gt;TODAY()),0,IF(OR(INDEX($B1090:$D1090,AZ$5)="F",AND(AZ$6&gt;0,$A1090&lt;AZ$6),AND(AZ$7&gt;0,$A1090&gt;AZ$7)),0,MAX(0,ROUND((INDEX($E1090:$G1090,AZ$5)-SUMIFS(TF_Timer,TF_Tekniker,AZ$4,TF_Dato,$A1090))*2,0)/2)))</f>
        <v/>
      </c>
      <c r="BA1090">
        <f>IF(OR(BA$4="",$A1090&gt;TODAY()),0,IF(OR(INDEX($B1090:$D1090,BA$5)="F",AND(BA$6&gt;0,$A1090&lt;BA$6),AND(BA$7&gt;0,$A1090&gt;BA$7)),0,MAX(0,ROUND((INDEX($E1090:$G1090,BA$5)-SUMIFS(TF_Timer,TF_Tekniker,BA$4,TF_Dato,$A1090))*2,0)/2)))</f>
        <v/>
      </c>
      <c r="BB1090">
        <f>IF(OR(BB$4="",$A1090&gt;TODAY()),0,IF(OR(INDEX($B1090:$D1090,BB$5)="F",AND(BB$6&gt;0,$A1090&lt;BB$6),AND(BB$7&gt;0,$A1090&gt;BB$7)),0,MAX(0,ROUND((INDEX($E1090:$G1090,BB$5)-SUMIFS(TF_Timer,TF_Tekniker,BB$4,TF_Dato,$A1090))*2,0)/2)))</f>
        <v/>
      </c>
      <c r="BC1090">
        <f>IF(OR(BC$4="",$A1090&gt;TODAY()),0,IF(OR(INDEX($B1090:$D1090,BC$5)="F",AND(BC$6&gt;0,$A1090&lt;BC$6),AND(BC$7&gt;0,$A1090&gt;BC$7)),0,MAX(0,ROUND((INDEX($E1090:$G1090,BC$5)-SUMIFS(TF_Timer,TF_Tekniker,BC$4,TF_Dato,$A1090))*2,0)/2)))</f>
        <v/>
      </c>
      <c r="BD1090">
        <f>IF(OR(BD$4="",$A1090&gt;TODAY()),0,IF(OR(INDEX($B1090:$D1090,BD$5)="F",AND(BD$6&gt;0,$A1090&lt;BD$6),AND(BD$7&gt;0,$A1090&gt;BD$7)),0,MAX(0,ROUND((INDEX($E1090:$G1090,BD$5)-SUMIFS(TF_Timer,TF_Tekniker,BD$4,TF_Dato,$A1090))*2,0)/2)))</f>
        <v/>
      </c>
      <c r="BE1090">
        <f>IF(OR(BE$4="",$A1090&gt;TODAY()),0,IF(OR(INDEX($B1090:$D1090,BE$5)="F",AND(BE$6&gt;0,$A1090&lt;BE$6),AND(BE$7&gt;0,$A1090&gt;BE$7)),0,MAX(0,ROUND((INDEX($E1090:$G1090,BE$5)-SUMIFS(TF_Timer,TF_Tekniker,BE$4,TF_Dato,$A1090))*2,0)/2)))</f>
        <v/>
      </c>
      <c r="BF1090">
        <f>IF(OR(BF$4="",$A1090&gt;TODAY()),0,IF(OR(INDEX($B1090:$D1090,BF$5)="F",AND(BF$6&gt;0,$A1090&lt;BF$6),AND(BF$7&gt;0,$A1090&gt;BF$7)),0,MAX(0,ROUND((INDEX($E1090:$G1090,BF$5)-SUMIFS(TF_Timer,TF_Tekniker,BF$4,TF_Dato,$A1090))*2,0)/2)))</f>
        <v/>
      </c>
      <c r="BG1090">
        <f>IF(OR(BG$4="",$A1090&gt;TODAY()),0,IF(OR(INDEX($B1090:$D1090,BG$5)="F",AND(BG$6&gt;0,$A1090&lt;BG$6),AND(BG$7&gt;0,$A1090&gt;BG$7)),0,MAX(0,ROUND((INDEX($E1090:$G1090,BG$5)-SUMIFS(TF_Timer,TF_Tekniker,BG$4,TF_Dato,$A1090))*2,0)/2)))</f>
        <v/>
      </c>
      <c r="BH1090">
        <f>IF(OR(BH$4="",$A1090&gt;TODAY()),0,IF(OR(INDEX($B1090:$D1090,BH$5)="F",AND(BH$6&gt;0,$A1090&lt;BH$6),AND(BH$7&gt;0,$A1090&gt;BH$7)),0,MAX(0,ROUND((INDEX($E1090:$G1090,BH$5)-SUMIFS(TF_Timer,TF_Tekniker,BH$4,TF_Dato,$A1090))*2,0)/2)))</f>
        <v/>
      </c>
      <c r="BI1090">
        <f>IF(OR(BI$4="",$A1090&gt;TODAY()),0,IF(OR(INDEX($B1090:$D1090,BI$5)="F",AND(BI$6&gt;0,$A1090&lt;BI$6),AND(BI$7&gt;0,$A1090&gt;BI$7)),0,MAX(0,ROUND((INDEX($E1090:$G1090,BI$5)-SUMIFS(TF_Timer,TF_Tekniker,BI$4,TF_Dato,$A1090))*2,0)/2)))</f>
        <v/>
      </c>
    </row>
    <row r="1091">
      <c r="A1091" s="64">
        <f>A1090+1</f>
        <v/>
      </c>
      <c r="B1091">
        <f>IF(MOD($A1091-INDEX(SkiftStart,1),Syklus)&lt;DagK,"K",IF(MOD($A1091-INDEX(SkiftStart,1),Syklus)&lt;DagK+DagH,"H",IF(MOD($A1091-INDEX(SkiftStart,1),Syklus)&lt;DagK+DagH+DagD,"D","F")))</f>
        <v/>
      </c>
      <c r="C1091">
        <f>IF(MOD($A1091-INDEX(SkiftStart,2),Syklus)&lt;DagK,"K",IF(MOD($A1091-INDEX(SkiftStart,2),Syklus)&lt;DagK+DagH,"H",IF(MOD($A1091-INDEX(SkiftStart,2),Syklus)&lt;DagK+DagH+DagD,"D","F")))</f>
        <v/>
      </c>
      <c r="D1091">
        <f>IF(MOD($A1091-INDEX(SkiftStart,3),Syklus)&lt;DagK,"K",IF(MOD($A1091-INDEX(SkiftStart,3),Syklus)&lt;DagK+DagH,"H",IF(MOD($A1091-INDEX(SkiftStart,3),Syklus)&lt;DagK+DagH+DagD,"D","F")))</f>
        <v/>
      </c>
      <c r="E1091">
        <f>IF(B1091="F",0,IF(WEEKDAY($A1091,2)=5,INDEX(TimerFr,MATCH(B1091,FaseKode,0)),INDEX(TimerMT,MATCH(B1091,FaseKode,0))))</f>
        <v/>
      </c>
      <c r="F1091">
        <f>IF(C1091="F",0,IF(WEEKDAY($A1091,2)=5,INDEX(TimerFr,MATCH(C1091,FaseKode,0)),INDEX(TimerMT,MATCH(C1091,FaseKode,0))))</f>
        <v/>
      </c>
      <c r="G1091">
        <f>IF(D1091="F",0,IF(WEEKDAY($A1091,2)=5,INDEX(TimerFr,MATCH(D1091,FaseKode,0)),INDEX(TimerMT,MATCH(D1091,FaseKode,0))))</f>
        <v/>
      </c>
      <c r="H1091">
        <f>IF(OR(H$4="",$A1091&gt;TODAY()),0,IF(OR(INDEX($B1091:$D1091,H$5)="F",AND(H$6&gt;0,$A1091&lt;H$6),AND(H$7&gt;0,$A1091&gt;H$7)),0,MAX(0,ROUND((INDEX($E1091:$G1091,H$5)-SUMIFS(TF_Timer,TF_Tekniker,H$4,TF_Dato,$A1091))*2,0)/2)))</f>
        <v/>
      </c>
      <c r="I1091">
        <f>IF(OR(I$4="",$A1091&gt;TODAY()),0,IF(OR(INDEX($B1091:$D1091,I$5)="F",AND(I$6&gt;0,$A1091&lt;I$6),AND(I$7&gt;0,$A1091&gt;I$7)),0,MAX(0,ROUND((INDEX($E1091:$G1091,I$5)-SUMIFS(TF_Timer,TF_Tekniker,I$4,TF_Dato,$A1091))*2,0)/2)))</f>
        <v/>
      </c>
      <c r="J1091">
        <f>IF(OR(J$4="",$A1091&gt;TODAY()),0,IF(OR(INDEX($B1091:$D1091,J$5)="F",AND(J$6&gt;0,$A1091&lt;J$6),AND(J$7&gt;0,$A1091&gt;J$7)),0,MAX(0,ROUND((INDEX($E1091:$G1091,J$5)-SUMIFS(TF_Timer,TF_Tekniker,J$4,TF_Dato,$A1091))*2,0)/2)))</f>
        <v/>
      </c>
      <c r="K1091">
        <f>IF(OR(K$4="",$A1091&gt;TODAY()),0,IF(OR(INDEX($B1091:$D1091,K$5)="F",AND(K$6&gt;0,$A1091&lt;K$6),AND(K$7&gt;0,$A1091&gt;K$7)),0,MAX(0,ROUND((INDEX($E1091:$G1091,K$5)-SUMIFS(TF_Timer,TF_Tekniker,K$4,TF_Dato,$A1091))*2,0)/2)))</f>
        <v/>
      </c>
      <c r="L1091">
        <f>IF(OR(L$4="",$A1091&gt;TODAY()),0,IF(OR(INDEX($B1091:$D1091,L$5)="F",AND(L$6&gt;0,$A1091&lt;L$6),AND(L$7&gt;0,$A1091&gt;L$7)),0,MAX(0,ROUND((INDEX($E1091:$G1091,L$5)-SUMIFS(TF_Timer,TF_Tekniker,L$4,TF_Dato,$A1091))*2,0)/2)))</f>
        <v/>
      </c>
      <c r="M1091">
        <f>IF(OR(M$4="",$A1091&gt;TODAY()),0,IF(OR(INDEX($B1091:$D1091,M$5)="F",AND(M$6&gt;0,$A1091&lt;M$6),AND(M$7&gt;0,$A1091&gt;M$7)),0,MAX(0,ROUND((INDEX($E1091:$G1091,M$5)-SUMIFS(TF_Timer,TF_Tekniker,M$4,TF_Dato,$A1091))*2,0)/2)))</f>
        <v/>
      </c>
      <c r="N1091">
        <f>IF(OR(N$4="",$A1091&gt;TODAY()),0,IF(OR(INDEX($B1091:$D1091,N$5)="F",AND(N$6&gt;0,$A1091&lt;N$6),AND(N$7&gt;0,$A1091&gt;N$7)),0,MAX(0,ROUND((INDEX($E1091:$G1091,N$5)-SUMIFS(TF_Timer,TF_Tekniker,N$4,TF_Dato,$A1091))*2,0)/2)))</f>
        <v/>
      </c>
      <c r="O1091">
        <f>IF(OR(O$4="",$A1091&gt;TODAY()),0,IF(OR(INDEX($B1091:$D1091,O$5)="F",AND(O$6&gt;0,$A1091&lt;O$6),AND(O$7&gt;0,$A1091&gt;O$7)),0,MAX(0,ROUND((INDEX($E1091:$G1091,O$5)-SUMIFS(TF_Timer,TF_Tekniker,O$4,TF_Dato,$A1091))*2,0)/2)))</f>
        <v/>
      </c>
      <c r="P1091">
        <f>IF(OR(P$4="",$A1091&gt;TODAY()),0,IF(OR(INDEX($B1091:$D1091,P$5)="F",AND(P$6&gt;0,$A1091&lt;P$6),AND(P$7&gt;0,$A1091&gt;P$7)),0,MAX(0,ROUND((INDEX($E1091:$G1091,P$5)-SUMIFS(TF_Timer,TF_Tekniker,P$4,TF_Dato,$A1091))*2,0)/2)))</f>
        <v/>
      </c>
      <c r="Q1091">
        <f>IF(OR(Q$4="",$A1091&gt;TODAY()),0,IF(OR(INDEX($B1091:$D1091,Q$5)="F",AND(Q$6&gt;0,$A1091&lt;Q$6),AND(Q$7&gt;0,$A1091&gt;Q$7)),0,MAX(0,ROUND((INDEX($E1091:$G1091,Q$5)-SUMIFS(TF_Timer,TF_Tekniker,Q$4,TF_Dato,$A1091))*2,0)/2)))</f>
        <v/>
      </c>
      <c r="R1091">
        <f>IF(OR(R$4="",$A1091&gt;TODAY()),0,IF(OR(INDEX($B1091:$D1091,R$5)="F",AND(R$6&gt;0,$A1091&lt;R$6),AND(R$7&gt;0,$A1091&gt;R$7)),0,MAX(0,ROUND((INDEX($E1091:$G1091,R$5)-SUMIFS(TF_Timer,TF_Tekniker,R$4,TF_Dato,$A1091))*2,0)/2)))</f>
        <v/>
      </c>
      <c r="S1091">
        <f>IF(OR(S$4="",$A1091&gt;TODAY()),0,IF(OR(INDEX($B1091:$D1091,S$5)="F",AND(S$6&gt;0,$A1091&lt;S$6),AND(S$7&gt;0,$A1091&gt;S$7)),0,MAX(0,ROUND((INDEX($E1091:$G1091,S$5)-SUMIFS(TF_Timer,TF_Tekniker,S$4,TF_Dato,$A1091))*2,0)/2)))</f>
        <v/>
      </c>
      <c r="T1091">
        <f>IF(OR(T$4="",$A1091&gt;TODAY()),0,IF(OR(INDEX($B1091:$D1091,T$5)="F",AND(T$6&gt;0,$A1091&lt;T$6),AND(T$7&gt;0,$A1091&gt;T$7)),0,MAX(0,ROUND((INDEX($E1091:$G1091,T$5)-SUMIFS(TF_Timer,TF_Tekniker,T$4,TF_Dato,$A1091))*2,0)/2)))</f>
        <v/>
      </c>
      <c r="U1091">
        <f>IF(OR(U$4="",$A1091&gt;TODAY()),0,IF(OR(INDEX($B1091:$D1091,U$5)="F",AND(U$6&gt;0,$A1091&lt;U$6),AND(U$7&gt;0,$A1091&gt;U$7)),0,MAX(0,ROUND((INDEX($E1091:$G1091,U$5)-SUMIFS(TF_Timer,TF_Tekniker,U$4,TF_Dato,$A1091))*2,0)/2)))</f>
        <v/>
      </c>
      <c r="V1091">
        <f>IF(OR(V$4="",$A1091&gt;TODAY()),0,IF(OR(INDEX($B1091:$D1091,V$5)="F",AND(V$6&gt;0,$A1091&lt;V$6),AND(V$7&gt;0,$A1091&gt;V$7)),0,MAX(0,ROUND((INDEX($E1091:$G1091,V$5)-SUMIFS(TF_Timer,TF_Tekniker,V$4,TF_Dato,$A1091))*2,0)/2)))</f>
        <v/>
      </c>
      <c r="W1091">
        <f>IF(OR(W$4="",$A1091&gt;TODAY()),0,IF(OR(INDEX($B1091:$D1091,W$5)="F",AND(W$6&gt;0,$A1091&lt;W$6),AND(W$7&gt;0,$A1091&gt;W$7)),0,MAX(0,ROUND((INDEX($E1091:$G1091,W$5)-SUMIFS(TF_Timer,TF_Tekniker,W$4,TF_Dato,$A1091))*2,0)/2)))</f>
        <v/>
      </c>
      <c r="X1091">
        <f>IF(OR(X$4="",$A1091&gt;TODAY()),0,IF(OR(INDEX($B1091:$D1091,X$5)="F",AND(X$6&gt;0,$A1091&lt;X$6),AND(X$7&gt;0,$A1091&gt;X$7)),0,MAX(0,ROUND((INDEX($E1091:$G1091,X$5)-SUMIFS(TF_Timer,TF_Tekniker,X$4,TF_Dato,$A1091))*2,0)/2)))</f>
        <v/>
      </c>
      <c r="Y1091">
        <f>IF(OR(Y$4="",$A1091&gt;TODAY()),0,IF(OR(INDEX($B1091:$D1091,Y$5)="F",AND(Y$6&gt;0,$A1091&lt;Y$6),AND(Y$7&gt;0,$A1091&gt;Y$7)),0,MAX(0,ROUND((INDEX($E1091:$G1091,Y$5)-SUMIFS(TF_Timer,TF_Tekniker,Y$4,TF_Dato,$A1091))*2,0)/2)))</f>
        <v/>
      </c>
      <c r="Z1091">
        <f>IF(OR(Z$4="",$A1091&gt;TODAY()),0,IF(OR(INDEX($B1091:$D1091,Z$5)="F",AND(Z$6&gt;0,$A1091&lt;Z$6),AND(Z$7&gt;0,$A1091&gt;Z$7)),0,MAX(0,ROUND((INDEX($E1091:$G1091,Z$5)-SUMIFS(TF_Timer,TF_Tekniker,Z$4,TF_Dato,$A1091))*2,0)/2)))</f>
        <v/>
      </c>
      <c r="AA1091">
        <f>IF(OR(AA$4="",$A1091&gt;TODAY()),0,IF(OR(INDEX($B1091:$D1091,AA$5)="F",AND(AA$6&gt;0,$A1091&lt;AA$6),AND(AA$7&gt;0,$A1091&gt;AA$7)),0,MAX(0,ROUND((INDEX($E1091:$G1091,AA$5)-SUMIFS(TF_Timer,TF_Tekniker,AA$4,TF_Dato,$A1091))*2,0)/2)))</f>
        <v/>
      </c>
      <c r="AB1091">
        <f>IF(OR(AB$4="",$A1091&gt;TODAY()),0,IF(OR(INDEX($B1091:$D1091,AB$5)="F",AND(AB$6&gt;0,$A1091&lt;AB$6),AND(AB$7&gt;0,$A1091&gt;AB$7)),0,MAX(0,ROUND((INDEX($E1091:$G1091,AB$5)-SUMIFS(TF_Timer,TF_Tekniker,AB$4,TF_Dato,$A1091))*2,0)/2)))</f>
        <v/>
      </c>
      <c r="AC1091">
        <f>IF(OR(AC$4="",$A1091&gt;TODAY()),0,IF(OR(INDEX($B1091:$D1091,AC$5)="F",AND(AC$6&gt;0,$A1091&lt;AC$6),AND(AC$7&gt;0,$A1091&gt;AC$7)),0,MAX(0,ROUND((INDEX($E1091:$G1091,AC$5)-SUMIFS(TF_Timer,TF_Tekniker,AC$4,TF_Dato,$A1091))*2,0)/2)))</f>
        <v/>
      </c>
      <c r="AD1091">
        <f>IF(OR(AD$4="",$A1091&gt;TODAY()),0,IF(OR(INDEX($B1091:$D1091,AD$5)="F",AND(AD$6&gt;0,$A1091&lt;AD$6),AND(AD$7&gt;0,$A1091&gt;AD$7)),0,MAX(0,ROUND((INDEX($E1091:$G1091,AD$5)-SUMIFS(TF_Timer,TF_Tekniker,AD$4,TF_Dato,$A1091))*2,0)/2)))</f>
        <v/>
      </c>
      <c r="AE1091">
        <f>IF(OR(AE$4="",$A1091&gt;TODAY()),0,IF(OR(INDEX($B1091:$D1091,AE$5)="F",AND(AE$6&gt;0,$A1091&lt;AE$6),AND(AE$7&gt;0,$A1091&gt;AE$7)),0,MAX(0,ROUND((INDEX($E1091:$G1091,AE$5)-SUMIFS(TF_Timer,TF_Tekniker,AE$4,TF_Dato,$A1091))*2,0)/2)))</f>
        <v/>
      </c>
      <c r="AF1091">
        <f>IF(OR(AF$4="",$A1091&gt;TODAY()),0,IF(OR(INDEX($B1091:$D1091,AF$5)="F",AND(AF$6&gt;0,$A1091&lt;AF$6),AND(AF$7&gt;0,$A1091&gt;AF$7)),0,MAX(0,ROUND((INDEX($E1091:$G1091,AF$5)-SUMIFS(TF_Timer,TF_Tekniker,AF$4,TF_Dato,$A1091))*2,0)/2)))</f>
        <v/>
      </c>
      <c r="AG1091">
        <f>IF(OR(AG$4="",$A1091&gt;TODAY()),0,IF(OR(INDEX($B1091:$D1091,AG$5)="F",AND(AG$6&gt;0,$A1091&lt;AG$6),AND(AG$7&gt;0,$A1091&gt;AG$7)),0,MAX(0,ROUND((INDEX($E1091:$G1091,AG$5)-SUMIFS(TF_Timer,TF_Tekniker,AG$4,TF_Dato,$A1091))*2,0)/2)))</f>
        <v/>
      </c>
      <c r="AH1091">
        <f>IF(OR(AH$4="",$A1091&gt;TODAY()),0,IF(OR(INDEX($B1091:$D1091,AH$5)="F",AND(AH$6&gt;0,$A1091&lt;AH$6),AND(AH$7&gt;0,$A1091&gt;AH$7)),0,MAX(0,ROUND((INDEX($E1091:$G1091,AH$5)-SUMIFS(TF_Timer,TF_Tekniker,AH$4,TF_Dato,$A1091))*2,0)/2)))</f>
        <v/>
      </c>
      <c r="AI1091">
        <f>IF(OR(AI$4="",$A1091&gt;TODAY()),0,IF(OR(INDEX($B1091:$D1091,AI$5)="F",AND(AI$6&gt;0,$A1091&lt;AI$6),AND(AI$7&gt;0,$A1091&gt;AI$7)),0,MAX(0,ROUND((INDEX($E1091:$G1091,AI$5)-SUMIFS(TF_Timer,TF_Tekniker,AI$4,TF_Dato,$A1091))*2,0)/2)))</f>
        <v/>
      </c>
      <c r="AJ1091">
        <f>IF(OR(AJ$4="",$A1091&gt;TODAY()),0,IF(OR(INDEX($B1091:$D1091,AJ$5)="F",AND(AJ$6&gt;0,$A1091&lt;AJ$6),AND(AJ$7&gt;0,$A1091&gt;AJ$7)),0,MAX(0,ROUND((INDEX($E1091:$G1091,AJ$5)-SUMIFS(TF_Timer,TF_Tekniker,AJ$4,TF_Dato,$A1091))*2,0)/2)))</f>
        <v/>
      </c>
      <c r="AK1091">
        <f>IF(OR(AK$4="",$A1091&gt;TODAY()),0,IF(OR(INDEX($B1091:$D1091,AK$5)="F",AND(AK$6&gt;0,$A1091&lt;AK$6),AND(AK$7&gt;0,$A1091&gt;AK$7)),0,MAX(0,ROUND((INDEX($E1091:$G1091,AK$5)-SUMIFS(TF_Timer,TF_Tekniker,AK$4,TF_Dato,$A1091))*2,0)/2)))</f>
        <v/>
      </c>
      <c r="AL1091">
        <f>IF(OR(AL$4="",$A1091&gt;TODAY()),0,IF(OR(INDEX($B1091:$D1091,AL$5)="F",AND(AL$6&gt;0,$A1091&lt;AL$6),AND(AL$7&gt;0,$A1091&gt;AL$7)),0,MAX(0,ROUND((INDEX($E1091:$G1091,AL$5)-SUMIFS(TF_Timer,TF_Tekniker,AL$4,TF_Dato,$A1091))*2,0)/2)))</f>
        <v/>
      </c>
      <c r="AM1091">
        <f>IF(OR(AM$4="",$A1091&gt;TODAY()),0,IF(OR(INDEX($B1091:$D1091,AM$5)="F",AND(AM$6&gt;0,$A1091&lt;AM$6),AND(AM$7&gt;0,$A1091&gt;AM$7)),0,MAX(0,ROUND((INDEX($E1091:$G1091,AM$5)-SUMIFS(TF_Timer,TF_Tekniker,AM$4,TF_Dato,$A1091))*2,0)/2)))</f>
        <v/>
      </c>
      <c r="AN1091">
        <f>IF(OR(AN$4="",$A1091&gt;TODAY()),0,IF(OR(INDEX($B1091:$D1091,AN$5)="F",AND(AN$6&gt;0,$A1091&lt;AN$6),AND(AN$7&gt;0,$A1091&gt;AN$7)),0,MAX(0,ROUND((INDEX($E1091:$G1091,AN$5)-SUMIFS(TF_Timer,TF_Tekniker,AN$4,TF_Dato,$A1091))*2,0)/2)))</f>
        <v/>
      </c>
      <c r="AO1091">
        <f>IF(OR(AO$4="",$A1091&gt;TODAY()),0,IF(OR(INDEX($B1091:$D1091,AO$5)="F",AND(AO$6&gt;0,$A1091&lt;AO$6),AND(AO$7&gt;0,$A1091&gt;AO$7)),0,MAX(0,ROUND((INDEX($E1091:$G1091,AO$5)-SUMIFS(TF_Timer,TF_Tekniker,AO$4,TF_Dato,$A1091))*2,0)/2)))</f>
        <v/>
      </c>
      <c r="AP1091">
        <f>IF(OR(AP$4="",$A1091&gt;TODAY()),0,IF(OR(INDEX($B1091:$D1091,AP$5)="F",AND(AP$6&gt;0,$A1091&lt;AP$6),AND(AP$7&gt;0,$A1091&gt;AP$7)),0,MAX(0,ROUND((INDEX($E1091:$G1091,AP$5)-SUMIFS(TF_Timer,TF_Tekniker,AP$4,TF_Dato,$A1091))*2,0)/2)))</f>
        <v/>
      </c>
      <c r="AQ1091">
        <f>IF(OR(AQ$4="",$A1091&gt;TODAY()),0,IF(OR(INDEX($B1091:$D1091,AQ$5)="F",AND(AQ$6&gt;0,$A1091&lt;AQ$6),AND(AQ$7&gt;0,$A1091&gt;AQ$7)),0,MAX(0,ROUND((INDEX($E1091:$G1091,AQ$5)-SUMIFS(TF_Timer,TF_Tekniker,AQ$4,TF_Dato,$A1091))*2,0)/2)))</f>
        <v/>
      </c>
      <c r="AR1091">
        <f>IF(OR(AR$4="",$A1091&gt;TODAY()),0,IF(OR(INDEX($B1091:$D1091,AR$5)="F",AND(AR$6&gt;0,$A1091&lt;AR$6),AND(AR$7&gt;0,$A1091&gt;AR$7)),0,MAX(0,ROUND((INDEX($E1091:$G1091,AR$5)-SUMIFS(TF_Timer,TF_Tekniker,AR$4,TF_Dato,$A1091))*2,0)/2)))</f>
        <v/>
      </c>
      <c r="AS1091">
        <f>IF(OR(AS$4="",$A1091&gt;TODAY()),0,IF(OR(INDEX($B1091:$D1091,AS$5)="F",AND(AS$6&gt;0,$A1091&lt;AS$6),AND(AS$7&gt;0,$A1091&gt;AS$7)),0,MAX(0,ROUND((INDEX($E1091:$G1091,AS$5)-SUMIFS(TF_Timer,TF_Tekniker,AS$4,TF_Dato,$A1091))*2,0)/2)))</f>
        <v/>
      </c>
      <c r="AT1091">
        <f>IF(OR(AT$4="",$A1091&gt;TODAY()),0,IF(OR(INDEX($B1091:$D1091,AT$5)="F",AND(AT$6&gt;0,$A1091&lt;AT$6),AND(AT$7&gt;0,$A1091&gt;AT$7)),0,MAX(0,ROUND((INDEX($E1091:$G1091,AT$5)-SUMIFS(TF_Timer,TF_Tekniker,AT$4,TF_Dato,$A1091))*2,0)/2)))</f>
        <v/>
      </c>
      <c r="AU1091">
        <f>IF(OR(AU$4="",$A1091&gt;TODAY()),0,IF(OR(INDEX($B1091:$D1091,AU$5)="F",AND(AU$6&gt;0,$A1091&lt;AU$6),AND(AU$7&gt;0,$A1091&gt;AU$7)),0,MAX(0,ROUND((INDEX($E1091:$G1091,AU$5)-SUMIFS(TF_Timer,TF_Tekniker,AU$4,TF_Dato,$A1091))*2,0)/2)))</f>
        <v/>
      </c>
      <c r="AV1091">
        <f>IF(OR(AV$4="",$A1091&gt;TODAY()),0,IF(OR(INDEX($B1091:$D1091,AV$5)="F",AND(AV$6&gt;0,$A1091&lt;AV$6),AND(AV$7&gt;0,$A1091&gt;AV$7)),0,MAX(0,ROUND((INDEX($E1091:$G1091,AV$5)-SUMIFS(TF_Timer,TF_Tekniker,AV$4,TF_Dato,$A1091))*2,0)/2)))</f>
        <v/>
      </c>
      <c r="AW1091">
        <f>IF(OR(AW$4="",$A1091&gt;TODAY()),0,IF(OR(INDEX($B1091:$D1091,AW$5)="F",AND(AW$6&gt;0,$A1091&lt;AW$6),AND(AW$7&gt;0,$A1091&gt;AW$7)),0,MAX(0,ROUND((INDEX($E1091:$G1091,AW$5)-SUMIFS(TF_Timer,TF_Tekniker,AW$4,TF_Dato,$A1091))*2,0)/2)))</f>
        <v/>
      </c>
      <c r="AX1091">
        <f>IF(OR(AX$4="",$A1091&gt;TODAY()),0,IF(OR(INDEX($B1091:$D1091,AX$5)="F",AND(AX$6&gt;0,$A1091&lt;AX$6),AND(AX$7&gt;0,$A1091&gt;AX$7)),0,MAX(0,ROUND((INDEX($E1091:$G1091,AX$5)-SUMIFS(TF_Timer,TF_Tekniker,AX$4,TF_Dato,$A1091))*2,0)/2)))</f>
        <v/>
      </c>
      <c r="AY1091">
        <f>IF(OR(AY$4="",$A1091&gt;TODAY()),0,IF(OR(INDEX($B1091:$D1091,AY$5)="F",AND(AY$6&gt;0,$A1091&lt;AY$6),AND(AY$7&gt;0,$A1091&gt;AY$7)),0,MAX(0,ROUND((INDEX($E1091:$G1091,AY$5)-SUMIFS(TF_Timer,TF_Tekniker,AY$4,TF_Dato,$A1091))*2,0)/2)))</f>
        <v/>
      </c>
      <c r="AZ1091">
        <f>IF(OR(AZ$4="",$A1091&gt;TODAY()),0,IF(OR(INDEX($B1091:$D1091,AZ$5)="F",AND(AZ$6&gt;0,$A1091&lt;AZ$6),AND(AZ$7&gt;0,$A1091&gt;AZ$7)),0,MAX(0,ROUND((INDEX($E1091:$G1091,AZ$5)-SUMIFS(TF_Timer,TF_Tekniker,AZ$4,TF_Dato,$A1091))*2,0)/2)))</f>
        <v/>
      </c>
      <c r="BA1091">
        <f>IF(OR(BA$4="",$A1091&gt;TODAY()),0,IF(OR(INDEX($B1091:$D1091,BA$5)="F",AND(BA$6&gt;0,$A1091&lt;BA$6),AND(BA$7&gt;0,$A1091&gt;BA$7)),0,MAX(0,ROUND((INDEX($E1091:$G1091,BA$5)-SUMIFS(TF_Timer,TF_Tekniker,BA$4,TF_Dato,$A1091))*2,0)/2)))</f>
        <v/>
      </c>
      <c r="BB1091">
        <f>IF(OR(BB$4="",$A1091&gt;TODAY()),0,IF(OR(INDEX($B1091:$D1091,BB$5)="F",AND(BB$6&gt;0,$A1091&lt;BB$6),AND(BB$7&gt;0,$A1091&gt;BB$7)),0,MAX(0,ROUND((INDEX($E1091:$G1091,BB$5)-SUMIFS(TF_Timer,TF_Tekniker,BB$4,TF_Dato,$A1091))*2,0)/2)))</f>
        <v/>
      </c>
      <c r="BC1091">
        <f>IF(OR(BC$4="",$A1091&gt;TODAY()),0,IF(OR(INDEX($B1091:$D1091,BC$5)="F",AND(BC$6&gt;0,$A1091&lt;BC$6),AND(BC$7&gt;0,$A1091&gt;BC$7)),0,MAX(0,ROUND((INDEX($E1091:$G1091,BC$5)-SUMIFS(TF_Timer,TF_Tekniker,BC$4,TF_Dato,$A1091))*2,0)/2)))</f>
        <v/>
      </c>
      <c r="BD1091">
        <f>IF(OR(BD$4="",$A1091&gt;TODAY()),0,IF(OR(INDEX($B1091:$D1091,BD$5)="F",AND(BD$6&gt;0,$A1091&lt;BD$6),AND(BD$7&gt;0,$A1091&gt;BD$7)),0,MAX(0,ROUND((INDEX($E1091:$G1091,BD$5)-SUMIFS(TF_Timer,TF_Tekniker,BD$4,TF_Dato,$A1091))*2,0)/2)))</f>
        <v/>
      </c>
      <c r="BE1091">
        <f>IF(OR(BE$4="",$A1091&gt;TODAY()),0,IF(OR(INDEX($B1091:$D1091,BE$5)="F",AND(BE$6&gt;0,$A1091&lt;BE$6),AND(BE$7&gt;0,$A1091&gt;BE$7)),0,MAX(0,ROUND((INDEX($E1091:$G1091,BE$5)-SUMIFS(TF_Timer,TF_Tekniker,BE$4,TF_Dato,$A1091))*2,0)/2)))</f>
        <v/>
      </c>
      <c r="BF1091">
        <f>IF(OR(BF$4="",$A1091&gt;TODAY()),0,IF(OR(INDEX($B1091:$D1091,BF$5)="F",AND(BF$6&gt;0,$A1091&lt;BF$6),AND(BF$7&gt;0,$A1091&gt;BF$7)),0,MAX(0,ROUND((INDEX($E1091:$G1091,BF$5)-SUMIFS(TF_Timer,TF_Tekniker,BF$4,TF_Dato,$A1091))*2,0)/2)))</f>
        <v/>
      </c>
      <c r="BG1091">
        <f>IF(OR(BG$4="",$A1091&gt;TODAY()),0,IF(OR(INDEX($B1091:$D1091,BG$5)="F",AND(BG$6&gt;0,$A1091&lt;BG$6),AND(BG$7&gt;0,$A1091&gt;BG$7)),0,MAX(0,ROUND((INDEX($E1091:$G1091,BG$5)-SUMIFS(TF_Timer,TF_Tekniker,BG$4,TF_Dato,$A1091))*2,0)/2)))</f>
        <v/>
      </c>
      <c r="BH1091">
        <f>IF(OR(BH$4="",$A1091&gt;TODAY()),0,IF(OR(INDEX($B1091:$D1091,BH$5)="F",AND(BH$6&gt;0,$A1091&lt;BH$6),AND(BH$7&gt;0,$A1091&gt;BH$7)),0,MAX(0,ROUND((INDEX($E1091:$G1091,BH$5)-SUMIFS(TF_Timer,TF_Tekniker,BH$4,TF_Dato,$A1091))*2,0)/2)))</f>
        <v/>
      </c>
      <c r="BI1091">
        <f>IF(OR(BI$4="",$A1091&gt;TODAY()),0,IF(OR(INDEX($B1091:$D1091,BI$5)="F",AND(BI$6&gt;0,$A1091&lt;BI$6),AND(BI$7&gt;0,$A1091&gt;BI$7)),0,MAX(0,ROUND((INDEX($E1091:$G1091,BI$5)-SUMIFS(TF_Timer,TF_Tekniker,BI$4,TF_Dato,$A1091))*2,0)/2)))</f>
        <v/>
      </c>
    </row>
    <row r="1092">
      <c r="A1092" s="64">
        <f>A1091+1</f>
        <v/>
      </c>
      <c r="B1092">
        <f>IF(MOD($A1092-INDEX(SkiftStart,1),Syklus)&lt;DagK,"K",IF(MOD($A1092-INDEX(SkiftStart,1),Syklus)&lt;DagK+DagH,"H",IF(MOD($A1092-INDEX(SkiftStart,1),Syklus)&lt;DagK+DagH+DagD,"D","F")))</f>
        <v/>
      </c>
      <c r="C1092">
        <f>IF(MOD($A1092-INDEX(SkiftStart,2),Syklus)&lt;DagK,"K",IF(MOD($A1092-INDEX(SkiftStart,2),Syklus)&lt;DagK+DagH,"H",IF(MOD($A1092-INDEX(SkiftStart,2),Syklus)&lt;DagK+DagH+DagD,"D","F")))</f>
        <v/>
      </c>
      <c r="D1092">
        <f>IF(MOD($A1092-INDEX(SkiftStart,3),Syklus)&lt;DagK,"K",IF(MOD($A1092-INDEX(SkiftStart,3),Syklus)&lt;DagK+DagH,"H",IF(MOD($A1092-INDEX(SkiftStart,3),Syklus)&lt;DagK+DagH+DagD,"D","F")))</f>
        <v/>
      </c>
      <c r="E1092">
        <f>IF(B1092="F",0,IF(WEEKDAY($A1092,2)=5,INDEX(TimerFr,MATCH(B1092,FaseKode,0)),INDEX(TimerMT,MATCH(B1092,FaseKode,0))))</f>
        <v/>
      </c>
      <c r="F1092">
        <f>IF(C1092="F",0,IF(WEEKDAY($A1092,2)=5,INDEX(TimerFr,MATCH(C1092,FaseKode,0)),INDEX(TimerMT,MATCH(C1092,FaseKode,0))))</f>
        <v/>
      </c>
      <c r="G1092">
        <f>IF(D1092="F",0,IF(WEEKDAY($A1092,2)=5,INDEX(TimerFr,MATCH(D1092,FaseKode,0)),INDEX(TimerMT,MATCH(D1092,FaseKode,0))))</f>
        <v/>
      </c>
      <c r="H1092">
        <f>IF(OR(H$4="",$A1092&gt;TODAY()),0,IF(OR(INDEX($B1092:$D1092,H$5)="F",AND(H$6&gt;0,$A1092&lt;H$6),AND(H$7&gt;0,$A1092&gt;H$7)),0,MAX(0,ROUND((INDEX($E1092:$G1092,H$5)-SUMIFS(TF_Timer,TF_Tekniker,H$4,TF_Dato,$A1092))*2,0)/2)))</f>
        <v/>
      </c>
      <c r="I1092">
        <f>IF(OR(I$4="",$A1092&gt;TODAY()),0,IF(OR(INDEX($B1092:$D1092,I$5)="F",AND(I$6&gt;0,$A1092&lt;I$6),AND(I$7&gt;0,$A1092&gt;I$7)),0,MAX(0,ROUND((INDEX($E1092:$G1092,I$5)-SUMIFS(TF_Timer,TF_Tekniker,I$4,TF_Dato,$A1092))*2,0)/2)))</f>
        <v/>
      </c>
      <c r="J1092">
        <f>IF(OR(J$4="",$A1092&gt;TODAY()),0,IF(OR(INDEX($B1092:$D1092,J$5)="F",AND(J$6&gt;0,$A1092&lt;J$6),AND(J$7&gt;0,$A1092&gt;J$7)),0,MAX(0,ROUND((INDEX($E1092:$G1092,J$5)-SUMIFS(TF_Timer,TF_Tekniker,J$4,TF_Dato,$A1092))*2,0)/2)))</f>
        <v/>
      </c>
      <c r="K1092">
        <f>IF(OR(K$4="",$A1092&gt;TODAY()),0,IF(OR(INDEX($B1092:$D1092,K$5)="F",AND(K$6&gt;0,$A1092&lt;K$6),AND(K$7&gt;0,$A1092&gt;K$7)),0,MAX(0,ROUND((INDEX($E1092:$G1092,K$5)-SUMIFS(TF_Timer,TF_Tekniker,K$4,TF_Dato,$A1092))*2,0)/2)))</f>
        <v/>
      </c>
      <c r="L1092">
        <f>IF(OR(L$4="",$A1092&gt;TODAY()),0,IF(OR(INDEX($B1092:$D1092,L$5)="F",AND(L$6&gt;0,$A1092&lt;L$6),AND(L$7&gt;0,$A1092&gt;L$7)),0,MAX(0,ROUND((INDEX($E1092:$G1092,L$5)-SUMIFS(TF_Timer,TF_Tekniker,L$4,TF_Dato,$A1092))*2,0)/2)))</f>
        <v/>
      </c>
      <c r="M1092">
        <f>IF(OR(M$4="",$A1092&gt;TODAY()),0,IF(OR(INDEX($B1092:$D1092,M$5)="F",AND(M$6&gt;0,$A1092&lt;M$6),AND(M$7&gt;0,$A1092&gt;M$7)),0,MAX(0,ROUND((INDEX($E1092:$G1092,M$5)-SUMIFS(TF_Timer,TF_Tekniker,M$4,TF_Dato,$A1092))*2,0)/2)))</f>
        <v/>
      </c>
      <c r="N1092">
        <f>IF(OR(N$4="",$A1092&gt;TODAY()),0,IF(OR(INDEX($B1092:$D1092,N$5)="F",AND(N$6&gt;0,$A1092&lt;N$6),AND(N$7&gt;0,$A1092&gt;N$7)),0,MAX(0,ROUND((INDEX($E1092:$G1092,N$5)-SUMIFS(TF_Timer,TF_Tekniker,N$4,TF_Dato,$A1092))*2,0)/2)))</f>
        <v/>
      </c>
      <c r="O1092">
        <f>IF(OR(O$4="",$A1092&gt;TODAY()),0,IF(OR(INDEX($B1092:$D1092,O$5)="F",AND(O$6&gt;0,$A1092&lt;O$6),AND(O$7&gt;0,$A1092&gt;O$7)),0,MAX(0,ROUND((INDEX($E1092:$G1092,O$5)-SUMIFS(TF_Timer,TF_Tekniker,O$4,TF_Dato,$A1092))*2,0)/2)))</f>
        <v/>
      </c>
      <c r="P1092">
        <f>IF(OR(P$4="",$A1092&gt;TODAY()),0,IF(OR(INDEX($B1092:$D1092,P$5)="F",AND(P$6&gt;0,$A1092&lt;P$6),AND(P$7&gt;0,$A1092&gt;P$7)),0,MAX(0,ROUND((INDEX($E1092:$G1092,P$5)-SUMIFS(TF_Timer,TF_Tekniker,P$4,TF_Dato,$A1092))*2,0)/2)))</f>
        <v/>
      </c>
      <c r="Q1092">
        <f>IF(OR(Q$4="",$A1092&gt;TODAY()),0,IF(OR(INDEX($B1092:$D1092,Q$5)="F",AND(Q$6&gt;0,$A1092&lt;Q$6),AND(Q$7&gt;0,$A1092&gt;Q$7)),0,MAX(0,ROUND((INDEX($E1092:$G1092,Q$5)-SUMIFS(TF_Timer,TF_Tekniker,Q$4,TF_Dato,$A1092))*2,0)/2)))</f>
        <v/>
      </c>
      <c r="R1092">
        <f>IF(OR(R$4="",$A1092&gt;TODAY()),0,IF(OR(INDEX($B1092:$D1092,R$5)="F",AND(R$6&gt;0,$A1092&lt;R$6),AND(R$7&gt;0,$A1092&gt;R$7)),0,MAX(0,ROUND((INDEX($E1092:$G1092,R$5)-SUMIFS(TF_Timer,TF_Tekniker,R$4,TF_Dato,$A1092))*2,0)/2)))</f>
        <v/>
      </c>
      <c r="S1092">
        <f>IF(OR(S$4="",$A1092&gt;TODAY()),0,IF(OR(INDEX($B1092:$D1092,S$5)="F",AND(S$6&gt;0,$A1092&lt;S$6),AND(S$7&gt;0,$A1092&gt;S$7)),0,MAX(0,ROUND((INDEX($E1092:$G1092,S$5)-SUMIFS(TF_Timer,TF_Tekniker,S$4,TF_Dato,$A1092))*2,0)/2)))</f>
        <v/>
      </c>
      <c r="T1092">
        <f>IF(OR(T$4="",$A1092&gt;TODAY()),0,IF(OR(INDEX($B1092:$D1092,T$5)="F",AND(T$6&gt;0,$A1092&lt;T$6),AND(T$7&gt;0,$A1092&gt;T$7)),0,MAX(0,ROUND((INDEX($E1092:$G1092,T$5)-SUMIFS(TF_Timer,TF_Tekniker,T$4,TF_Dato,$A1092))*2,0)/2)))</f>
        <v/>
      </c>
      <c r="U1092">
        <f>IF(OR(U$4="",$A1092&gt;TODAY()),0,IF(OR(INDEX($B1092:$D1092,U$5)="F",AND(U$6&gt;0,$A1092&lt;U$6),AND(U$7&gt;0,$A1092&gt;U$7)),0,MAX(0,ROUND((INDEX($E1092:$G1092,U$5)-SUMIFS(TF_Timer,TF_Tekniker,U$4,TF_Dato,$A1092))*2,0)/2)))</f>
        <v/>
      </c>
      <c r="V1092">
        <f>IF(OR(V$4="",$A1092&gt;TODAY()),0,IF(OR(INDEX($B1092:$D1092,V$5)="F",AND(V$6&gt;0,$A1092&lt;V$6),AND(V$7&gt;0,$A1092&gt;V$7)),0,MAX(0,ROUND((INDEX($E1092:$G1092,V$5)-SUMIFS(TF_Timer,TF_Tekniker,V$4,TF_Dato,$A1092))*2,0)/2)))</f>
        <v/>
      </c>
      <c r="W1092">
        <f>IF(OR(W$4="",$A1092&gt;TODAY()),0,IF(OR(INDEX($B1092:$D1092,W$5)="F",AND(W$6&gt;0,$A1092&lt;W$6),AND(W$7&gt;0,$A1092&gt;W$7)),0,MAX(0,ROUND((INDEX($E1092:$G1092,W$5)-SUMIFS(TF_Timer,TF_Tekniker,W$4,TF_Dato,$A1092))*2,0)/2)))</f>
        <v/>
      </c>
      <c r="X1092">
        <f>IF(OR(X$4="",$A1092&gt;TODAY()),0,IF(OR(INDEX($B1092:$D1092,X$5)="F",AND(X$6&gt;0,$A1092&lt;X$6),AND(X$7&gt;0,$A1092&gt;X$7)),0,MAX(0,ROUND((INDEX($E1092:$G1092,X$5)-SUMIFS(TF_Timer,TF_Tekniker,X$4,TF_Dato,$A1092))*2,0)/2)))</f>
        <v/>
      </c>
      <c r="Y1092">
        <f>IF(OR(Y$4="",$A1092&gt;TODAY()),0,IF(OR(INDEX($B1092:$D1092,Y$5)="F",AND(Y$6&gt;0,$A1092&lt;Y$6),AND(Y$7&gt;0,$A1092&gt;Y$7)),0,MAX(0,ROUND((INDEX($E1092:$G1092,Y$5)-SUMIFS(TF_Timer,TF_Tekniker,Y$4,TF_Dato,$A1092))*2,0)/2)))</f>
        <v/>
      </c>
      <c r="Z1092">
        <f>IF(OR(Z$4="",$A1092&gt;TODAY()),0,IF(OR(INDEX($B1092:$D1092,Z$5)="F",AND(Z$6&gt;0,$A1092&lt;Z$6),AND(Z$7&gt;0,$A1092&gt;Z$7)),0,MAX(0,ROUND((INDEX($E1092:$G1092,Z$5)-SUMIFS(TF_Timer,TF_Tekniker,Z$4,TF_Dato,$A1092))*2,0)/2)))</f>
        <v/>
      </c>
      <c r="AA1092">
        <f>IF(OR(AA$4="",$A1092&gt;TODAY()),0,IF(OR(INDEX($B1092:$D1092,AA$5)="F",AND(AA$6&gt;0,$A1092&lt;AA$6),AND(AA$7&gt;0,$A1092&gt;AA$7)),0,MAX(0,ROUND((INDEX($E1092:$G1092,AA$5)-SUMIFS(TF_Timer,TF_Tekniker,AA$4,TF_Dato,$A1092))*2,0)/2)))</f>
        <v/>
      </c>
      <c r="AB1092">
        <f>IF(OR(AB$4="",$A1092&gt;TODAY()),0,IF(OR(INDEX($B1092:$D1092,AB$5)="F",AND(AB$6&gt;0,$A1092&lt;AB$6),AND(AB$7&gt;0,$A1092&gt;AB$7)),0,MAX(0,ROUND((INDEX($E1092:$G1092,AB$5)-SUMIFS(TF_Timer,TF_Tekniker,AB$4,TF_Dato,$A1092))*2,0)/2)))</f>
        <v/>
      </c>
      <c r="AC1092">
        <f>IF(OR(AC$4="",$A1092&gt;TODAY()),0,IF(OR(INDEX($B1092:$D1092,AC$5)="F",AND(AC$6&gt;0,$A1092&lt;AC$6),AND(AC$7&gt;0,$A1092&gt;AC$7)),0,MAX(0,ROUND((INDEX($E1092:$G1092,AC$5)-SUMIFS(TF_Timer,TF_Tekniker,AC$4,TF_Dato,$A1092))*2,0)/2)))</f>
        <v/>
      </c>
      <c r="AD1092">
        <f>IF(OR(AD$4="",$A1092&gt;TODAY()),0,IF(OR(INDEX($B1092:$D1092,AD$5)="F",AND(AD$6&gt;0,$A1092&lt;AD$6),AND(AD$7&gt;0,$A1092&gt;AD$7)),0,MAX(0,ROUND((INDEX($E1092:$G1092,AD$5)-SUMIFS(TF_Timer,TF_Tekniker,AD$4,TF_Dato,$A1092))*2,0)/2)))</f>
        <v/>
      </c>
      <c r="AE1092">
        <f>IF(OR(AE$4="",$A1092&gt;TODAY()),0,IF(OR(INDEX($B1092:$D1092,AE$5)="F",AND(AE$6&gt;0,$A1092&lt;AE$6),AND(AE$7&gt;0,$A1092&gt;AE$7)),0,MAX(0,ROUND((INDEX($E1092:$G1092,AE$5)-SUMIFS(TF_Timer,TF_Tekniker,AE$4,TF_Dato,$A1092))*2,0)/2)))</f>
        <v/>
      </c>
      <c r="AF1092">
        <f>IF(OR(AF$4="",$A1092&gt;TODAY()),0,IF(OR(INDEX($B1092:$D1092,AF$5)="F",AND(AF$6&gt;0,$A1092&lt;AF$6),AND(AF$7&gt;0,$A1092&gt;AF$7)),0,MAX(0,ROUND((INDEX($E1092:$G1092,AF$5)-SUMIFS(TF_Timer,TF_Tekniker,AF$4,TF_Dato,$A1092))*2,0)/2)))</f>
        <v/>
      </c>
      <c r="AG1092">
        <f>IF(OR(AG$4="",$A1092&gt;TODAY()),0,IF(OR(INDEX($B1092:$D1092,AG$5)="F",AND(AG$6&gt;0,$A1092&lt;AG$6),AND(AG$7&gt;0,$A1092&gt;AG$7)),0,MAX(0,ROUND((INDEX($E1092:$G1092,AG$5)-SUMIFS(TF_Timer,TF_Tekniker,AG$4,TF_Dato,$A1092))*2,0)/2)))</f>
        <v/>
      </c>
      <c r="AH1092">
        <f>IF(OR(AH$4="",$A1092&gt;TODAY()),0,IF(OR(INDEX($B1092:$D1092,AH$5)="F",AND(AH$6&gt;0,$A1092&lt;AH$6),AND(AH$7&gt;0,$A1092&gt;AH$7)),0,MAX(0,ROUND((INDEX($E1092:$G1092,AH$5)-SUMIFS(TF_Timer,TF_Tekniker,AH$4,TF_Dato,$A1092))*2,0)/2)))</f>
        <v/>
      </c>
      <c r="AI1092">
        <f>IF(OR(AI$4="",$A1092&gt;TODAY()),0,IF(OR(INDEX($B1092:$D1092,AI$5)="F",AND(AI$6&gt;0,$A1092&lt;AI$6),AND(AI$7&gt;0,$A1092&gt;AI$7)),0,MAX(0,ROUND((INDEX($E1092:$G1092,AI$5)-SUMIFS(TF_Timer,TF_Tekniker,AI$4,TF_Dato,$A1092))*2,0)/2)))</f>
        <v/>
      </c>
      <c r="AJ1092">
        <f>IF(OR(AJ$4="",$A1092&gt;TODAY()),0,IF(OR(INDEX($B1092:$D1092,AJ$5)="F",AND(AJ$6&gt;0,$A1092&lt;AJ$6),AND(AJ$7&gt;0,$A1092&gt;AJ$7)),0,MAX(0,ROUND((INDEX($E1092:$G1092,AJ$5)-SUMIFS(TF_Timer,TF_Tekniker,AJ$4,TF_Dato,$A1092))*2,0)/2)))</f>
        <v/>
      </c>
      <c r="AK1092">
        <f>IF(OR(AK$4="",$A1092&gt;TODAY()),0,IF(OR(INDEX($B1092:$D1092,AK$5)="F",AND(AK$6&gt;0,$A1092&lt;AK$6),AND(AK$7&gt;0,$A1092&gt;AK$7)),0,MAX(0,ROUND((INDEX($E1092:$G1092,AK$5)-SUMIFS(TF_Timer,TF_Tekniker,AK$4,TF_Dato,$A1092))*2,0)/2)))</f>
        <v/>
      </c>
      <c r="AL1092">
        <f>IF(OR(AL$4="",$A1092&gt;TODAY()),0,IF(OR(INDEX($B1092:$D1092,AL$5)="F",AND(AL$6&gt;0,$A1092&lt;AL$6),AND(AL$7&gt;0,$A1092&gt;AL$7)),0,MAX(0,ROUND((INDEX($E1092:$G1092,AL$5)-SUMIFS(TF_Timer,TF_Tekniker,AL$4,TF_Dato,$A1092))*2,0)/2)))</f>
        <v/>
      </c>
      <c r="AM1092">
        <f>IF(OR(AM$4="",$A1092&gt;TODAY()),0,IF(OR(INDEX($B1092:$D1092,AM$5)="F",AND(AM$6&gt;0,$A1092&lt;AM$6),AND(AM$7&gt;0,$A1092&gt;AM$7)),0,MAX(0,ROUND((INDEX($E1092:$G1092,AM$5)-SUMIFS(TF_Timer,TF_Tekniker,AM$4,TF_Dato,$A1092))*2,0)/2)))</f>
        <v/>
      </c>
      <c r="AN1092">
        <f>IF(OR(AN$4="",$A1092&gt;TODAY()),0,IF(OR(INDEX($B1092:$D1092,AN$5)="F",AND(AN$6&gt;0,$A1092&lt;AN$6),AND(AN$7&gt;0,$A1092&gt;AN$7)),0,MAX(0,ROUND((INDEX($E1092:$G1092,AN$5)-SUMIFS(TF_Timer,TF_Tekniker,AN$4,TF_Dato,$A1092))*2,0)/2)))</f>
        <v/>
      </c>
      <c r="AO1092">
        <f>IF(OR(AO$4="",$A1092&gt;TODAY()),0,IF(OR(INDEX($B1092:$D1092,AO$5)="F",AND(AO$6&gt;0,$A1092&lt;AO$6),AND(AO$7&gt;0,$A1092&gt;AO$7)),0,MAX(0,ROUND((INDEX($E1092:$G1092,AO$5)-SUMIFS(TF_Timer,TF_Tekniker,AO$4,TF_Dato,$A1092))*2,0)/2)))</f>
        <v/>
      </c>
      <c r="AP1092">
        <f>IF(OR(AP$4="",$A1092&gt;TODAY()),0,IF(OR(INDEX($B1092:$D1092,AP$5)="F",AND(AP$6&gt;0,$A1092&lt;AP$6),AND(AP$7&gt;0,$A1092&gt;AP$7)),0,MAX(0,ROUND((INDEX($E1092:$G1092,AP$5)-SUMIFS(TF_Timer,TF_Tekniker,AP$4,TF_Dato,$A1092))*2,0)/2)))</f>
        <v/>
      </c>
      <c r="AQ1092">
        <f>IF(OR(AQ$4="",$A1092&gt;TODAY()),0,IF(OR(INDEX($B1092:$D1092,AQ$5)="F",AND(AQ$6&gt;0,$A1092&lt;AQ$6),AND(AQ$7&gt;0,$A1092&gt;AQ$7)),0,MAX(0,ROUND((INDEX($E1092:$G1092,AQ$5)-SUMIFS(TF_Timer,TF_Tekniker,AQ$4,TF_Dato,$A1092))*2,0)/2)))</f>
        <v/>
      </c>
      <c r="AR1092">
        <f>IF(OR(AR$4="",$A1092&gt;TODAY()),0,IF(OR(INDEX($B1092:$D1092,AR$5)="F",AND(AR$6&gt;0,$A1092&lt;AR$6),AND(AR$7&gt;0,$A1092&gt;AR$7)),0,MAX(0,ROUND((INDEX($E1092:$G1092,AR$5)-SUMIFS(TF_Timer,TF_Tekniker,AR$4,TF_Dato,$A1092))*2,0)/2)))</f>
        <v/>
      </c>
      <c r="AS1092">
        <f>IF(OR(AS$4="",$A1092&gt;TODAY()),0,IF(OR(INDEX($B1092:$D1092,AS$5)="F",AND(AS$6&gt;0,$A1092&lt;AS$6),AND(AS$7&gt;0,$A1092&gt;AS$7)),0,MAX(0,ROUND((INDEX($E1092:$G1092,AS$5)-SUMIFS(TF_Timer,TF_Tekniker,AS$4,TF_Dato,$A1092))*2,0)/2)))</f>
        <v/>
      </c>
      <c r="AT1092">
        <f>IF(OR(AT$4="",$A1092&gt;TODAY()),0,IF(OR(INDEX($B1092:$D1092,AT$5)="F",AND(AT$6&gt;0,$A1092&lt;AT$6),AND(AT$7&gt;0,$A1092&gt;AT$7)),0,MAX(0,ROUND((INDEX($E1092:$G1092,AT$5)-SUMIFS(TF_Timer,TF_Tekniker,AT$4,TF_Dato,$A1092))*2,0)/2)))</f>
        <v/>
      </c>
      <c r="AU1092">
        <f>IF(OR(AU$4="",$A1092&gt;TODAY()),0,IF(OR(INDEX($B1092:$D1092,AU$5)="F",AND(AU$6&gt;0,$A1092&lt;AU$6),AND(AU$7&gt;0,$A1092&gt;AU$7)),0,MAX(0,ROUND((INDEX($E1092:$G1092,AU$5)-SUMIFS(TF_Timer,TF_Tekniker,AU$4,TF_Dato,$A1092))*2,0)/2)))</f>
        <v/>
      </c>
      <c r="AV1092">
        <f>IF(OR(AV$4="",$A1092&gt;TODAY()),0,IF(OR(INDEX($B1092:$D1092,AV$5)="F",AND(AV$6&gt;0,$A1092&lt;AV$6),AND(AV$7&gt;0,$A1092&gt;AV$7)),0,MAX(0,ROUND((INDEX($E1092:$G1092,AV$5)-SUMIFS(TF_Timer,TF_Tekniker,AV$4,TF_Dato,$A1092))*2,0)/2)))</f>
        <v/>
      </c>
      <c r="AW1092">
        <f>IF(OR(AW$4="",$A1092&gt;TODAY()),0,IF(OR(INDEX($B1092:$D1092,AW$5)="F",AND(AW$6&gt;0,$A1092&lt;AW$6),AND(AW$7&gt;0,$A1092&gt;AW$7)),0,MAX(0,ROUND((INDEX($E1092:$G1092,AW$5)-SUMIFS(TF_Timer,TF_Tekniker,AW$4,TF_Dato,$A1092))*2,0)/2)))</f>
        <v/>
      </c>
      <c r="AX1092">
        <f>IF(OR(AX$4="",$A1092&gt;TODAY()),0,IF(OR(INDEX($B1092:$D1092,AX$5)="F",AND(AX$6&gt;0,$A1092&lt;AX$6),AND(AX$7&gt;0,$A1092&gt;AX$7)),0,MAX(0,ROUND((INDEX($E1092:$G1092,AX$5)-SUMIFS(TF_Timer,TF_Tekniker,AX$4,TF_Dato,$A1092))*2,0)/2)))</f>
        <v/>
      </c>
      <c r="AY1092">
        <f>IF(OR(AY$4="",$A1092&gt;TODAY()),0,IF(OR(INDEX($B1092:$D1092,AY$5)="F",AND(AY$6&gt;0,$A1092&lt;AY$6),AND(AY$7&gt;0,$A1092&gt;AY$7)),0,MAX(0,ROUND((INDEX($E1092:$G1092,AY$5)-SUMIFS(TF_Timer,TF_Tekniker,AY$4,TF_Dato,$A1092))*2,0)/2)))</f>
        <v/>
      </c>
      <c r="AZ1092">
        <f>IF(OR(AZ$4="",$A1092&gt;TODAY()),0,IF(OR(INDEX($B1092:$D1092,AZ$5)="F",AND(AZ$6&gt;0,$A1092&lt;AZ$6),AND(AZ$7&gt;0,$A1092&gt;AZ$7)),0,MAX(0,ROUND((INDEX($E1092:$G1092,AZ$5)-SUMIFS(TF_Timer,TF_Tekniker,AZ$4,TF_Dato,$A1092))*2,0)/2)))</f>
        <v/>
      </c>
      <c r="BA1092">
        <f>IF(OR(BA$4="",$A1092&gt;TODAY()),0,IF(OR(INDEX($B1092:$D1092,BA$5)="F",AND(BA$6&gt;0,$A1092&lt;BA$6),AND(BA$7&gt;0,$A1092&gt;BA$7)),0,MAX(0,ROUND((INDEX($E1092:$G1092,BA$5)-SUMIFS(TF_Timer,TF_Tekniker,BA$4,TF_Dato,$A1092))*2,0)/2)))</f>
        <v/>
      </c>
      <c r="BB1092">
        <f>IF(OR(BB$4="",$A1092&gt;TODAY()),0,IF(OR(INDEX($B1092:$D1092,BB$5)="F",AND(BB$6&gt;0,$A1092&lt;BB$6),AND(BB$7&gt;0,$A1092&gt;BB$7)),0,MAX(0,ROUND((INDEX($E1092:$G1092,BB$5)-SUMIFS(TF_Timer,TF_Tekniker,BB$4,TF_Dato,$A1092))*2,0)/2)))</f>
        <v/>
      </c>
      <c r="BC1092">
        <f>IF(OR(BC$4="",$A1092&gt;TODAY()),0,IF(OR(INDEX($B1092:$D1092,BC$5)="F",AND(BC$6&gt;0,$A1092&lt;BC$6),AND(BC$7&gt;0,$A1092&gt;BC$7)),0,MAX(0,ROUND((INDEX($E1092:$G1092,BC$5)-SUMIFS(TF_Timer,TF_Tekniker,BC$4,TF_Dato,$A1092))*2,0)/2)))</f>
        <v/>
      </c>
      <c r="BD1092">
        <f>IF(OR(BD$4="",$A1092&gt;TODAY()),0,IF(OR(INDEX($B1092:$D1092,BD$5)="F",AND(BD$6&gt;0,$A1092&lt;BD$6),AND(BD$7&gt;0,$A1092&gt;BD$7)),0,MAX(0,ROUND((INDEX($E1092:$G1092,BD$5)-SUMIFS(TF_Timer,TF_Tekniker,BD$4,TF_Dato,$A1092))*2,0)/2)))</f>
        <v/>
      </c>
      <c r="BE1092">
        <f>IF(OR(BE$4="",$A1092&gt;TODAY()),0,IF(OR(INDEX($B1092:$D1092,BE$5)="F",AND(BE$6&gt;0,$A1092&lt;BE$6),AND(BE$7&gt;0,$A1092&gt;BE$7)),0,MAX(0,ROUND((INDEX($E1092:$G1092,BE$5)-SUMIFS(TF_Timer,TF_Tekniker,BE$4,TF_Dato,$A1092))*2,0)/2)))</f>
        <v/>
      </c>
      <c r="BF1092">
        <f>IF(OR(BF$4="",$A1092&gt;TODAY()),0,IF(OR(INDEX($B1092:$D1092,BF$5)="F",AND(BF$6&gt;0,$A1092&lt;BF$6),AND(BF$7&gt;0,$A1092&gt;BF$7)),0,MAX(0,ROUND((INDEX($E1092:$G1092,BF$5)-SUMIFS(TF_Timer,TF_Tekniker,BF$4,TF_Dato,$A1092))*2,0)/2)))</f>
        <v/>
      </c>
      <c r="BG1092">
        <f>IF(OR(BG$4="",$A1092&gt;TODAY()),0,IF(OR(INDEX($B1092:$D1092,BG$5)="F",AND(BG$6&gt;0,$A1092&lt;BG$6),AND(BG$7&gt;0,$A1092&gt;BG$7)),0,MAX(0,ROUND((INDEX($E1092:$G1092,BG$5)-SUMIFS(TF_Timer,TF_Tekniker,BG$4,TF_Dato,$A1092))*2,0)/2)))</f>
        <v/>
      </c>
      <c r="BH1092">
        <f>IF(OR(BH$4="",$A1092&gt;TODAY()),0,IF(OR(INDEX($B1092:$D1092,BH$5)="F",AND(BH$6&gt;0,$A1092&lt;BH$6),AND(BH$7&gt;0,$A1092&gt;BH$7)),0,MAX(0,ROUND((INDEX($E1092:$G1092,BH$5)-SUMIFS(TF_Timer,TF_Tekniker,BH$4,TF_Dato,$A1092))*2,0)/2)))</f>
        <v/>
      </c>
      <c r="BI1092">
        <f>IF(OR(BI$4="",$A1092&gt;TODAY()),0,IF(OR(INDEX($B1092:$D1092,BI$5)="F",AND(BI$6&gt;0,$A1092&lt;BI$6),AND(BI$7&gt;0,$A1092&gt;BI$7)),0,MAX(0,ROUND((INDEX($E1092:$G1092,BI$5)-SUMIFS(TF_Timer,TF_Tekniker,BI$4,TF_Dato,$A1092))*2,0)/2)))</f>
        <v/>
      </c>
    </row>
    <row r="1093">
      <c r="A1093" s="64">
        <f>A1092+1</f>
        <v/>
      </c>
      <c r="B1093">
        <f>IF(MOD($A1093-INDEX(SkiftStart,1),Syklus)&lt;DagK,"K",IF(MOD($A1093-INDEX(SkiftStart,1),Syklus)&lt;DagK+DagH,"H",IF(MOD($A1093-INDEX(SkiftStart,1),Syklus)&lt;DagK+DagH+DagD,"D","F")))</f>
        <v/>
      </c>
      <c r="C1093">
        <f>IF(MOD($A1093-INDEX(SkiftStart,2),Syklus)&lt;DagK,"K",IF(MOD($A1093-INDEX(SkiftStart,2),Syklus)&lt;DagK+DagH,"H",IF(MOD($A1093-INDEX(SkiftStart,2),Syklus)&lt;DagK+DagH+DagD,"D","F")))</f>
        <v/>
      </c>
      <c r="D1093">
        <f>IF(MOD($A1093-INDEX(SkiftStart,3),Syklus)&lt;DagK,"K",IF(MOD($A1093-INDEX(SkiftStart,3),Syklus)&lt;DagK+DagH,"H",IF(MOD($A1093-INDEX(SkiftStart,3),Syklus)&lt;DagK+DagH+DagD,"D","F")))</f>
        <v/>
      </c>
      <c r="E1093">
        <f>IF(B1093="F",0,IF(WEEKDAY($A1093,2)=5,INDEX(TimerFr,MATCH(B1093,FaseKode,0)),INDEX(TimerMT,MATCH(B1093,FaseKode,0))))</f>
        <v/>
      </c>
      <c r="F1093">
        <f>IF(C1093="F",0,IF(WEEKDAY($A1093,2)=5,INDEX(TimerFr,MATCH(C1093,FaseKode,0)),INDEX(TimerMT,MATCH(C1093,FaseKode,0))))</f>
        <v/>
      </c>
      <c r="G1093">
        <f>IF(D1093="F",0,IF(WEEKDAY($A1093,2)=5,INDEX(TimerFr,MATCH(D1093,FaseKode,0)),INDEX(TimerMT,MATCH(D1093,FaseKode,0))))</f>
        <v/>
      </c>
      <c r="H1093">
        <f>IF(OR(H$4="",$A1093&gt;TODAY()),0,IF(OR(INDEX($B1093:$D1093,H$5)="F",AND(H$6&gt;0,$A1093&lt;H$6),AND(H$7&gt;0,$A1093&gt;H$7)),0,MAX(0,ROUND((INDEX($E1093:$G1093,H$5)-SUMIFS(TF_Timer,TF_Tekniker,H$4,TF_Dato,$A1093))*2,0)/2)))</f>
        <v/>
      </c>
      <c r="I1093">
        <f>IF(OR(I$4="",$A1093&gt;TODAY()),0,IF(OR(INDEX($B1093:$D1093,I$5)="F",AND(I$6&gt;0,$A1093&lt;I$6),AND(I$7&gt;0,$A1093&gt;I$7)),0,MAX(0,ROUND((INDEX($E1093:$G1093,I$5)-SUMIFS(TF_Timer,TF_Tekniker,I$4,TF_Dato,$A1093))*2,0)/2)))</f>
        <v/>
      </c>
      <c r="J1093">
        <f>IF(OR(J$4="",$A1093&gt;TODAY()),0,IF(OR(INDEX($B1093:$D1093,J$5)="F",AND(J$6&gt;0,$A1093&lt;J$6),AND(J$7&gt;0,$A1093&gt;J$7)),0,MAX(0,ROUND((INDEX($E1093:$G1093,J$5)-SUMIFS(TF_Timer,TF_Tekniker,J$4,TF_Dato,$A1093))*2,0)/2)))</f>
        <v/>
      </c>
      <c r="K1093">
        <f>IF(OR(K$4="",$A1093&gt;TODAY()),0,IF(OR(INDEX($B1093:$D1093,K$5)="F",AND(K$6&gt;0,$A1093&lt;K$6),AND(K$7&gt;0,$A1093&gt;K$7)),0,MAX(0,ROUND((INDEX($E1093:$G1093,K$5)-SUMIFS(TF_Timer,TF_Tekniker,K$4,TF_Dato,$A1093))*2,0)/2)))</f>
        <v/>
      </c>
      <c r="L1093">
        <f>IF(OR(L$4="",$A1093&gt;TODAY()),0,IF(OR(INDEX($B1093:$D1093,L$5)="F",AND(L$6&gt;0,$A1093&lt;L$6),AND(L$7&gt;0,$A1093&gt;L$7)),0,MAX(0,ROUND((INDEX($E1093:$G1093,L$5)-SUMIFS(TF_Timer,TF_Tekniker,L$4,TF_Dato,$A1093))*2,0)/2)))</f>
        <v/>
      </c>
      <c r="M1093">
        <f>IF(OR(M$4="",$A1093&gt;TODAY()),0,IF(OR(INDEX($B1093:$D1093,M$5)="F",AND(M$6&gt;0,$A1093&lt;M$6),AND(M$7&gt;0,$A1093&gt;M$7)),0,MAX(0,ROUND((INDEX($E1093:$G1093,M$5)-SUMIFS(TF_Timer,TF_Tekniker,M$4,TF_Dato,$A1093))*2,0)/2)))</f>
        <v/>
      </c>
      <c r="N1093">
        <f>IF(OR(N$4="",$A1093&gt;TODAY()),0,IF(OR(INDEX($B1093:$D1093,N$5)="F",AND(N$6&gt;0,$A1093&lt;N$6),AND(N$7&gt;0,$A1093&gt;N$7)),0,MAX(0,ROUND((INDEX($E1093:$G1093,N$5)-SUMIFS(TF_Timer,TF_Tekniker,N$4,TF_Dato,$A1093))*2,0)/2)))</f>
        <v/>
      </c>
      <c r="O1093">
        <f>IF(OR(O$4="",$A1093&gt;TODAY()),0,IF(OR(INDEX($B1093:$D1093,O$5)="F",AND(O$6&gt;0,$A1093&lt;O$6),AND(O$7&gt;0,$A1093&gt;O$7)),0,MAX(0,ROUND((INDEX($E1093:$G1093,O$5)-SUMIFS(TF_Timer,TF_Tekniker,O$4,TF_Dato,$A1093))*2,0)/2)))</f>
        <v/>
      </c>
      <c r="P1093">
        <f>IF(OR(P$4="",$A1093&gt;TODAY()),0,IF(OR(INDEX($B1093:$D1093,P$5)="F",AND(P$6&gt;0,$A1093&lt;P$6),AND(P$7&gt;0,$A1093&gt;P$7)),0,MAX(0,ROUND((INDEX($E1093:$G1093,P$5)-SUMIFS(TF_Timer,TF_Tekniker,P$4,TF_Dato,$A1093))*2,0)/2)))</f>
        <v/>
      </c>
      <c r="Q1093">
        <f>IF(OR(Q$4="",$A1093&gt;TODAY()),0,IF(OR(INDEX($B1093:$D1093,Q$5)="F",AND(Q$6&gt;0,$A1093&lt;Q$6),AND(Q$7&gt;0,$A1093&gt;Q$7)),0,MAX(0,ROUND((INDEX($E1093:$G1093,Q$5)-SUMIFS(TF_Timer,TF_Tekniker,Q$4,TF_Dato,$A1093))*2,0)/2)))</f>
        <v/>
      </c>
      <c r="R1093">
        <f>IF(OR(R$4="",$A1093&gt;TODAY()),0,IF(OR(INDEX($B1093:$D1093,R$5)="F",AND(R$6&gt;0,$A1093&lt;R$6),AND(R$7&gt;0,$A1093&gt;R$7)),0,MAX(0,ROUND((INDEX($E1093:$G1093,R$5)-SUMIFS(TF_Timer,TF_Tekniker,R$4,TF_Dato,$A1093))*2,0)/2)))</f>
        <v/>
      </c>
      <c r="S1093">
        <f>IF(OR(S$4="",$A1093&gt;TODAY()),0,IF(OR(INDEX($B1093:$D1093,S$5)="F",AND(S$6&gt;0,$A1093&lt;S$6),AND(S$7&gt;0,$A1093&gt;S$7)),0,MAX(0,ROUND((INDEX($E1093:$G1093,S$5)-SUMIFS(TF_Timer,TF_Tekniker,S$4,TF_Dato,$A1093))*2,0)/2)))</f>
        <v/>
      </c>
      <c r="T1093">
        <f>IF(OR(T$4="",$A1093&gt;TODAY()),0,IF(OR(INDEX($B1093:$D1093,T$5)="F",AND(T$6&gt;0,$A1093&lt;T$6),AND(T$7&gt;0,$A1093&gt;T$7)),0,MAX(0,ROUND((INDEX($E1093:$G1093,T$5)-SUMIFS(TF_Timer,TF_Tekniker,T$4,TF_Dato,$A1093))*2,0)/2)))</f>
        <v/>
      </c>
      <c r="U1093">
        <f>IF(OR(U$4="",$A1093&gt;TODAY()),0,IF(OR(INDEX($B1093:$D1093,U$5)="F",AND(U$6&gt;0,$A1093&lt;U$6),AND(U$7&gt;0,$A1093&gt;U$7)),0,MAX(0,ROUND((INDEX($E1093:$G1093,U$5)-SUMIFS(TF_Timer,TF_Tekniker,U$4,TF_Dato,$A1093))*2,0)/2)))</f>
        <v/>
      </c>
      <c r="V1093">
        <f>IF(OR(V$4="",$A1093&gt;TODAY()),0,IF(OR(INDEX($B1093:$D1093,V$5)="F",AND(V$6&gt;0,$A1093&lt;V$6),AND(V$7&gt;0,$A1093&gt;V$7)),0,MAX(0,ROUND((INDEX($E1093:$G1093,V$5)-SUMIFS(TF_Timer,TF_Tekniker,V$4,TF_Dato,$A1093))*2,0)/2)))</f>
        <v/>
      </c>
      <c r="W1093">
        <f>IF(OR(W$4="",$A1093&gt;TODAY()),0,IF(OR(INDEX($B1093:$D1093,W$5)="F",AND(W$6&gt;0,$A1093&lt;W$6),AND(W$7&gt;0,$A1093&gt;W$7)),0,MAX(0,ROUND((INDEX($E1093:$G1093,W$5)-SUMIFS(TF_Timer,TF_Tekniker,W$4,TF_Dato,$A1093))*2,0)/2)))</f>
        <v/>
      </c>
      <c r="X1093">
        <f>IF(OR(X$4="",$A1093&gt;TODAY()),0,IF(OR(INDEX($B1093:$D1093,X$5)="F",AND(X$6&gt;0,$A1093&lt;X$6),AND(X$7&gt;0,$A1093&gt;X$7)),0,MAX(0,ROUND((INDEX($E1093:$G1093,X$5)-SUMIFS(TF_Timer,TF_Tekniker,X$4,TF_Dato,$A1093))*2,0)/2)))</f>
        <v/>
      </c>
      <c r="Y1093">
        <f>IF(OR(Y$4="",$A1093&gt;TODAY()),0,IF(OR(INDEX($B1093:$D1093,Y$5)="F",AND(Y$6&gt;0,$A1093&lt;Y$6),AND(Y$7&gt;0,$A1093&gt;Y$7)),0,MAX(0,ROUND((INDEX($E1093:$G1093,Y$5)-SUMIFS(TF_Timer,TF_Tekniker,Y$4,TF_Dato,$A1093))*2,0)/2)))</f>
        <v/>
      </c>
      <c r="Z1093">
        <f>IF(OR(Z$4="",$A1093&gt;TODAY()),0,IF(OR(INDEX($B1093:$D1093,Z$5)="F",AND(Z$6&gt;0,$A1093&lt;Z$6),AND(Z$7&gt;0,$A1093&gt;Z$7)),0,MAX(0,ROUND((INDEX($E1093:$G1093,Z$5)-SUMIFS(TF_Timer,TF_Tekniker,Z$4,TF_Dato,$A1093))*2,0)/2)))</f>
        <v/>
      </c>
      <c r="AA1093">
        <f>IF(OR(AA$4="",$A1093&gt;TODAY()),0,IF(OR(INDEX($B1093:$D1093,AA$5)="F",AND(AA$6&gt;0,$A1093&lt;AA$6),AND(AA$7&gt;0,$A1093&gt;AA$7)),0,MAX(0,ROUND((INDEX($E1093:$G1093,AA$5)-SUMIFS(TF_Timer,TF_Tekniker,AA$4,TF_Dato,$A1093))*2,0)/2)))</f>
        <v/>
      </c>
      <c r="AB1093">
        <f>IF(OR(AB$4="",$A1093&gt;TODAY()),0,IF(OR(INDEX($B1093:$D1093,AB$5)="F",AND(AB$6&gt;0,$A1093&lt;AB$6),AND(AB$7&gt;0,$A1093&gt;AB$7)),0,MAX(0,ROUND((INDEX($E1093:$G1093,AB$5)-SUMIFS(TF_Timer,TF_Tekniker,AB$4,TF_Dato,$A1093))*2,0)/2)))</f>
        <v/>
      </c>
      <c r="AC1093">
        <f>IF(OR(AC$4="",$A1093&gt;TODAY()),0,IF(OR(INDEX($B1093:$D1093,AC$5)="F",AND(AC$6&gt;0,$A1093&lt;AC$6),AND(AC$7&gt;0,$A1093&gt;AC$7)),0,MAX(0,ROUND((INDEX($E1093:$G1093,AC$5)-SUMIFS(TF_Timer,TF_Tekniker,AC$4,TF_Dato,$A1093))*2,0)/2)))</f>
        <v/>
      </c>
      <c r="AD1093">
        <f>IF(OR(AD$4="",$A1093&gt;TODAY()),0,IF(OR(INDEX($B1093:$D1093,AD$5)="F",AND(AD$6&gt;0,$A1093&lt;AD$6),AND(AD$7&gt;0,$A1093&gt;AD$7)),0,MAX(0,ROUND((INDEX($E1093:$G1093,AD$5)-SUMIFS(TF_Timer,TF_Tekniker,AD$4,TF_Dato,$A1093))*2,0)/2)))</f>
        <v/>
      </c>
      <c r="AE1093">
        <f>IF(OR(AE$4="",$A1093&gt;TODAY()),0,IF(OR(INDEX($B1093:$D1093,AE$5)="F",AND(AE$6&gt;0,$A1093&lt;AE$6),AND(AE$7&gt;0,$A1093&gt;AE$7)),0,MAX(0,ROUND((INDEX($E1093:$G1093,AE$5)-SUMIFS(TF_Timer,TF_Tekniker,AE$4,TF_Dato,$A1093))*2,0)/2)))</f>
        <v/>
      </c>
      <c r="AF1093">
        <f>IF(OR(AF$4="",$A1093&gt;TODAY()),0,IF(OR(INDEX($B1093:$D1093,AF$5)="F",AND(AF$6&gt;0,$A1093&lt;AF$6),AND(AF$7&gt;0,$A1093&gt;AF$7)),0,MAX(0,ROUND((INDEX($E1093:$G1093,AF$5)-SUMIFS(TF_Timer,TF_Tekniker,AF$4,TF_Dato,$A1093))*2,0)/2)))</f>
        <v/>
      </c>
      <c r="AG1093">
        <f>IF(OR(AG$4="",$A1093&gt;TODAY()),0,IF(OR(INDEX($B1093:$D1093,AG$5)="F",AND(AG$6&gt;0,$A1093&lt;AG$6),AND(AG$7&gt;0,$A1093&gt;AG$7)),0,MAX(0,ROUND((INDEX($E1093:$G1093,AG$5)-SUMIFS(TF_Timer,TF_Tekniker,AG$4,TF_Dato,$A1093))*2,0)/2)))</f>
        <v/>
      </c>
      <c r="AH1093">
        <f>IF(OR(AH$4="",$A1093&gt;TODAY()),0,IF(OR(INDEX($B1093:$D1093,AH$5)="F",AND(AH$6&gt;0,$A1093&lt;AH$6),AND(AH$7&gt;0,$A1093&gt;AH$7)),0,MAX(0,ROUND((INDEX($E1093:$G1093,AH$5)-SUMIFS(TF_Timer,TF_Tekniker,AH$4,TF_Dato,$A1093))*2,0)/2)))</f>
        <v/>
      </c>
      <c r="AI1093">
        <f>IF(OR(AI$4="",$A1093&gt;TODAY()),0,IF(OR(INDEX($B1093:$D1093,AI$5)="F",AND(AI$6&gt;0,$A1093&lt;AI$6),AND(AI$7&gt;0,$A1093&gt;AI$7)),0,MAX(0,ROUND((INDEX($E1093:$G1093,AI$5)-SUMIFS(TF_Timer,TF_Tekniker,AI$4,TF_Dato,$A1093))*2,0)/2)))</f>
        <v/>
      </c>
      <c r="AJ1093">
        <f>IF(OR(AJ$4="",$A1093&gt;TODAY()),0,IF(OR(INDEX($B1093:$D1093,AJ$5)="F",AND(AJ$6&gt;0,$A1093&lt;AJ$6),AND(AJ$7&gt;0,$A1093&gt;AJ$7)),0,MAX(0,ROUND((INDEX($E1093:$G1093,AJ$5)-SUMIFS(TF_Timer,TF_Tekniker,AJ$4,TF_Dato,$A1093))*2,0)/2)))</f>
        <v/>
      </c>
      <c r="AK1093">
        <f>IF(OR(AK$4="",$A1093&gt;TODAY()),0,IF(OR(INDEX($B1093:$D1093,AK$5)="F",AND(AK$6&gt;0,$A1093&lt;AK$6),AND(AK$7&gt;0,$A1093&gt;AK$7)),0,MAX(0,ROUND((INDEX($E1093:$G1093,AK$5)-SUMIFS(TF_Timer,TF_Tekniker,AK$4,TF_Dato,$A1093))*2,0)/2)))</f>
        <v/>
      </c>
      <c r="AL1093">
        <f>IF(OR(AL$4="",$A1093&gt;TODAY()),0,IF(OR(INDEX($B1093:$D1093,AL$5)="F",AND(AL$6&gt;0,$A1093&lt;AL$6),AND(AL$7&gt;0,$A1093&gt;AL$7)),0,MAX(0,ROUND((INDEX($E1093:$G1093,AL$5)-SUMIFS(TF_Timer,TF_Tekniker,AL$4,TF_Dato,$A1093))*2,0)/2)))</f>
        <v/>
      </c>
      <c r="AM1093">
        <f>IF(OR(AM$4="",$A1093&gt;TODAY()),0,IF(OR(INDEX($B1093:$D1093,AM$5)="F",AND(AM$6&gt;0,$A1093&lt;AM$6),AND(AM$7&gt;0,$A1093&gt;AM$7)),0,MAX(0,ROUND((INDEX($E1093:$G1093,AM$5)-SUMIFS(TF_Timer,TF_Tekniker,AM$4,TF_Dato,$A1093))*2,0)/2)))</f>
        <v/>
      </c>
      <c r="AN1093">
        <f>IF(OR(AN$4="",$A1093&gt;TODAY()),0,IF(OR(INDEX($B1093:$D1093,AN$5)="F",AND(AN$6&gt;0,$A1093&lt;AN$6),AND(AN$7&gt;0,$A1093&gt;AN$7)),0,MAX(0,ROUND((INDEX($E1093:$G1093,AN$5)-SUMIFS(TF_Timer,TF_Tekniker,AN$4,TF_Dato,$A1093))*2,0)/2)))</f>
        <v/>
      </c>
      <c r="AO1093">
        <f>IF(OR(AO$4="",$A1093&gt;TODAY()),0,IF(OR(INDEX($B1093:$D1093,AO$5)="F",AND(AO$6&gt;0,$A1093&lt;AO$6),AND(AO$7&gt;0,$A1093&gt;AO$7)),0,MAX(0,ROUND((INDEX($E1093:$G1093,AO$5)-SUMIFS(TF_Timer,TF_Tekniker,AO$4,TF_Dato,$A1093))*2,0)/2)))</f>
        <v/>
      </c>
      <c r="AP1093">
        <f>IF(OR(AP$4="",$A1093&gt;TODAY()),0,IF(OR(INDEX($B1093:$D1093,AP$5)="F",AND(AP$6&gt;0,$A1093&lt;AP$6),AND(AP$7&gt;0,$A1093&gt;AP$7)),0,MAX(0,ROUND((INDEX($E1093:$G1093,AP$5)-SUMIFS(TF_Timer,TF_Tekniker,AP$4,TF_Dato,$A1093))*2,0)/2)))</f>
        <v/>
      </c>
      <c r="AQ1093">
        <f>IF(OR(AQ$4="",$A1093&gt;TODAY()),0,IF(OR(INDEX($B1093:$D1093,AQ$5)="F",AND(AQ$6&gt;0,$A1093&lt;AQ$6),AND(AQ$7&gt;0,$A1093&gt;AQ$7)),0,MAX(0,ROUND((INDEX($E1093:$G1093,AQ$5)-SUMIFS(TF_Timer,TF_Tekniker,AQ$4,TF_Dato,$A1093))*2,0)/2)))</f>
        <v/>
      </c>
      <c r="AR1093">
        <f>IF(OR(AR$4="",$A1093&gt;TODAY()),0,IF(OR(INDEX($B1093:$D1093,AR$5)="F",AND(AR$6&gt;0,$A1093&lt;AR$6),AND(AR$7&gt;0,$A1093&gt;AR$7)),0,MAX(0,ROUND((INDEX($E1093:$G1093,AR$5)-SUMIFS(TF_Timer,TF_Tekniker,AR$4,TF_Dato,$A1093))*2,0)/2)))</f>
        <v/>
      </c>
      <c r="AS1093">
        <f>IF(OR(AS$4="",$A1093&gt;TODAY()),0,IF(OR(INDEX($B1093:$D1093,AS$5)="F",AND(AS$6&gt;0,$A1093&lt;AS$6),AND(AS$7&gt;0,$A1093&gt;AS$7)),0,MAX(0,ROUND((INDEX($E1093:$G1093,AS$5)-SUMIFS(TF_Timer,TF_Tekniker,AS$4,TF_Dato,$A1093))*2,0)/2)))</f>
        <v/>
      </c>
      <c r="AT1093">
        <f>IF(OR(AT$4="",$A1093&gt;TODAY()),0,IF(OR(INDEX($B1093:$D1093,AT$5)="F",AND(AT$6&gt;0,$A1093&lt;AT$6),AND(AT$7&gt;0,$A1093&gt;AT$7)),0,MAX(0,ROUND((INDEX($E1093:$G1093,AT$5)-SUMIFS(TF_Timer,TF_Tekniker,AT$4,TF_Dato,$A1093))*2,0)/2)))</f>
        <v/>
      </c>
      <c r="AU1093">
        <f>IF(OR(AU$4="",$A1093&gt;TODAY()),0,IF(OR(INDEX($B1093:$D1093,AU$5)="F",AND(AU$6&gt;0,$A1093&lt;AU$6),AND(AU$7&gt;0,$A1093&gt;AU$7)),0,MAX(0,ROUND((INDEX($E1093:$G1093,AU$5)-SUMIFS(TF_Timer,TF_Tekniker,AU$4,TF_Dato,$A1093))*2,0)/2)))</f>
        <v/>
      </c>
      <c r="AV1093">
        <f>IF(OR(AV$4="",$A1093&gt;TODAY()),0,IF(OR(INDEX($B1093:$D1093,AV$5)="F",AND(AV$6&gt;0,$A1093&lt;AV$6),AND(AV$7&gt;0,$A1093&gt;AV$7)),0,MAX(0,ROUND((INDEX($E1093:$G1093,AV$5)-SUMIFS(TF_Timer,TF_Tekniker,AV$4,TF_Dato,$A1093))*2,0)/2)))</f>
        <v/>
      </c>
      <c r="AW1093">
        <f>IF(OR(AW$4="",$A1093&gt;TODAY()),0,IF(OR(INDEX($B1093:$D1093,AW$5)="F",AND(AW$6&gt;0,$A1093&lt;AW$6),AND(AW$7&gt;0,$A1093&gt;AW$7)),0,MAX(0,ROUND((INDEX($E1093:$G1093,AW$5)-SUMIFS(TF_Timer,TF_Tekniker,AW$4,TF_Dato,$A1093))*2,0)/2)))</f>
        <v/>
      </c>
      <c r="AX1093">
        <f>IF(OR(AX$4="",$A1093&gt;TODAY()),0,IF(OR(INDEX($B1093:$D1093,AX$5)="F",AND(AX$6&gt;0,$A1093&lt;AX$6),AND(AX$7&gt;0,$A1093&gt;AX$7)),0,MAX(0,ROUND((INDEX($E1093:$G1093,AX$5)-SUMIFS(TF_Timer,TF_Tekniker,AX$4,TF_Dato,$A1093))*2,0)/2)))</f>
        <v/>
      </c>
      <c r="AY1093">
        <f>IF(OR(AY$4="",$A1093&gt;TODAY()),0,IF(OR(INDEX($B1093:$D1093,AY$5)="F",AND(AY$6&gt;0,$A1093&lt;AY$6),AND(AY$7&gt;0,$A1093&gt;AY$7)),0,MAX(0,ROUND((INDEX($E1093:$G1093,AY$5)-SUMIFS(TF_Timer,TF_Tekniker,AY$4,TF_Dato,$A1093))*2,0)/2)))</f>
        <v/>
      </c>
      <c r="AZ1093">
        <f>IF(OR(AZ$4="",$A1093&gt;TODAY()),0,IF(OR(INDEX($B1093:$D1093,AZ$5)="F",AND(AZ$6&gt;0,$A1093&lt;AZ$6),AND(AZ$7&gt;0,$A1093&gt;AZ$7)),0,MAX(0,ROUND((INDEX($E1093:$G1093,AZ$5)-SUMIFS(TF_Timer,TF_Tekniker,AZ$4,TF_Dato,$A1093))*2,0)/2)))</f>
        <v/>
      </c>
      <c r="BA1093">
        <f>IF(OR(BA$4="",$A1093&gt;TODAY()),0,IF(OR(INDEX($B1093:$D1093,BA$5)="F",AND(BA$6&gt;0,$A1093&lt;BA$6),AND(BA$7&gt;0,$A1093&gt;BA$7)),0,MAX(0,ROUND((INDEX($E1093:$G1093,BA$5)-SUMIFS(TF_Timer,TF_Tekniker,BA$4,TF_Dato,$A1093))*2,0)/2)))</f>
        <v/>
      </c>
      <c r="BB1093">
        <f>IF(OR(BB$4="",$A1093&gt;TODAY()),0,IF(OR(INDEX($B1093:$D1093,BB$5)="F",AND(BB$6&gt;0,$A1093&lt;BB$6),AND(BB$7&gt;0,$A1093&gt;BB$7)),0,MAX(0,ROUND((INDEX($E1093:$G1093,BB$5)-SUMIFS(TF_Timer,TF_Tekniker,BB$4,TF_Dato,$A1093))*2,0)/2)))</f>
        <v/>
      </c>
      <c r="BC1093">
        <f>IF(OR(BC$4="",$A1093&gt;TODAY()),0,IF(OR(INDEX($B1093:$D1093,BC$5)="F",AND(BC$6&gt;0,$A1093&lt;BC$6),AND(BC$7&gt;0,$A1093&gt;BC$7)),0,MAX(0,ROUND((INDEX($E1093:$G1093,BC$5)-SUMIFS(TF_Timer,TF_Tekniker,BC$4,TF_Dato,$A1093))*2,0)/2)))</f>
        <v/>
      </c>
      <c r="BD1093">
        <f>IF(OR(BD$4="",$A1093&gt;TODAY()),0,IF(OR(INDEX($B1093:$D1093,BD$5)="F",AND(BD$6&gt;0,$A1093&lt;BD$6),AND(BD$7&gt;0,$A1093&gt;BD$7)),0,MAX(0,ROUND((INDEX($E1093:$G1093,BD$5)-SUMIFS(TF_Timer,TF_Tekniker,BD$4,TF_Dato,$A1093))*2,0)/2)))</f>
        <v/>
      </c>
      <c r="BE1093">
        <f>IF(OR(BE$4="",$A1093&gt;TODAY()),0,IF(OR(INDEX($B1093:$D1093,BE$5)="F",AND(BE$6&gt;0,$A1093&lt;BE$6),AND(BE$7&gt;0,$A1093&gt;BE$7)),0,MAX(0,ROUND((INDEX($E1093:$G1093,BE$5)-SUMIFS(TF_Timer,TF_Tekniker,BE$4,TF_Dato,$A1093))*2,0)/2)))</f>
        <v/>
      </c>
      <c r="BF1093">
        <f>IF(OR(BF$4="",$A1093&gt;TODAY()),0,IF(OR(INDEX($B1093:$D1093,BF$5)="F",AND(BF$6&gt;0,$A1093&lt;BF$6),AND(BF$7&gt;0,$A1093&gt;BF$7)),0,MAX(0,ROUND((INDEX($E1093:$G1093,BF$5)-SUMIFS(TF_Timer,TF_Tekniker,BF$4,TF_Dato,$A1093))*2,0)/2)))</f>
        <v/>
      </c>
      <c r="BG1093">
        <f>IF(OR(BG$4="",$A1093&gt;TODAY()),0,IF(OR(INDEX($B1093:$D1093,BG$5)="F",AND(BG$6&gt;0,$A1093&lt;BG$6),AND(BG$7&gt;0,$A1093&gt;BG$7)),0,MAX(0,ROUND((INDEX($E1093:$G1093,BG$5)-SUMIFS(TF_Timer,TF_Tekniker,BG$4,TF_Dato,$A1093))*2,0)/2)))</f>
        <v/>
      </c>
      <c r="BH1093">
        <f>IF(OR(BH$4="",$A1093&gt;TODAY()),0,IF(OR(INDEX($B1093:$D1093,BH$5)="F",AND(BH$6&gt;0,$A1093&lt;BH$6),AND(BH$7&gt;0,$A1093&gt;BH$7)),0,MAX(0,ROUND((INDEX($E1093:$G1093,BH$5)-SUMIFS(TF_Timer,TF_Tekniker,BH$4,TF_Dato,$A1093))*2,0)/2)))</f>
        <v/>
      </c>
      <c r="BI1093">
        <f>IF(OR(BI$4="",$A1093&gt;TODAY()),0,IF(OR(INDEX($B1093:$D1093,BI$5)="F",AND(BI$6&gt;0,$A1093&lt;BI$6),AND(BI$7&gt;0,$A1093&gt;BI$7)),0,MAX(0,ROUND((INDEX($E1093:$G1093,BI$5)-SUMIFS(TF_Timer,TF_Tekniker,BI$4,TF_Dato,$A1093))*2,0)/2)))</f>
        <v/>
      </c>
    </row>
    <row r="1094">
      <c r="A1094" s="64">
        <f>A1093+1</f>
        <v/>
      </c>
      <c r="B1094">
        <f>IF(MOD($A1094-INDEX(SkiftStart,1),Syklus)&lt;DagK,"K",IF(MOD($A1094-INDEX(SkiftStart,1),Syklus)&lt;DagK+DagH,"H",IF(MOD($A1094-INDEX(SkiftStart,1),Syklus)&lt;DagK+DagH+DagD,"D","F")))</f>
        <v/>
      </c>
      <c r="C1094">
        <f>IF(MOD($A1094-INDEX(SkiftStart,2),Syklus)&lt;DagK,"K",IF(MOD($A1094-INDEX(SkiftStart,2),Syklus)&lt;DagK+DagH,"H",IF(MOD($A1094-INDEX(SkiftStart,2),Syklus)&lt;DagK+DagH+DagD,"D","F")))</f>
        <v/>
      </c>
      <c r="D1094">
        <f>IF(MOD($A1094-INDEX(SkiftStart,3),Syklus)&lt;DagK,"K",IF(MOD($A1094-INDEX(SkiftStart,3),Syklus)&lt;DagK+DagH,"H",IF(MOD($A1094-INDEX(SkiftStart,3),Syklus)&lt;DagK+DagH+DagD,"D","F")))</f>
        <v/>
      </c>
      <c r="E1094">
        <f>IF(B1094="F",0,IF(WEEKDAY($A1094,2)=5,INDEX(TimerFr,MATCH(B1094,FaseKode,0)),INDEX(TimerMT,MATCH(B1094,FaseKode,0))))</f>
        <v/>
      </c>
      <c r="F1094">
        <f>IF(C1094="F",0,IF(WEEKDAY($A1094,2)=5,INDEX(TimerFr,MATCH(C1094,FaseKode,0)),INDEX(TimerMT,MATCH(C1094,FaseKode,0))))</f>
        <v/>
      </c>
      <c r="G1094">
        <f>IF(D1094="F",0,IF(WEEKDAY($A1094,2)=5,INDEX(TimerFr,MATCH(D1094,FaseKode,0)),INDEX(TimerMT,MATCH(D1094,FaseKode,0))))</f>
        <v/>
      </c>
      <c r="H1094">
        <f>IF(OR(H$4="",$A1094&gt;TODAY()),0,IF(OR(INDEX($B1094:$D1094,H$5)="F",AND(H$6&gt;0,$A1094&lt;H$6),AND(H$7&gt;0,$A1094&gt;H$7)),0,MAX(0,ROUND((INDEX($E1094:$G1094,H$5)-SUMIFS(TF_Timer,TF_Tekniker,H$4,TF_Dato,$A1094))*2,0)/2)))</f>
        <v/>
      </c>
      <c r="I1094">
        <f>IF(OR(I$4="",$A1094&gt;TODAY()),0,IF(OR(INDEX($B1094:$D1094,I$5)="F",AND(I$6&gt;0,$A1094&lt;I$6),AND(I$7&gt;0,$A1094&gt;I$7)),0,MAX(0,ROUND((INDEX($E1094:$G1094,I$5)-SUMIFS(TF_Timer,TF_Tekniker,I$4,TF_Dato,$A1094))*2,0)/2)))</f>
        <v/>
      </c>
      <c r="J1094">
        <f>IF(OR(J$4="",$A1094&gt;TODAY()),0,IF(OR(INDEX($B1094:$D1094,J$5)="F",AND(J$6&gt;0,$A1094&lt;J$6),AND(J$7&gt;0,$A1094&gt;J$7)),0,MAX(0,ROUND((INDEX($E1094:$G1094,J$5)-SUMIFS(TF_Timer,TF_Tekniker,J$4,TF_Dato,$A1094))*2,0)/2)))</f>
        <v/>
      </c>
      <c r="K1094">
        <f>IF(OR(K$4="",$A1094&gt;TODAY()),0,IF(OR(INDEX($B1094:$D1094,K$5)="F",AND(K$6&gt;0,$A1094&lt;K$6),AND(K$7&gt;0,$A1094&gt;K$7)),0,MAX(0,ROUND((INDEX($E1094:$G1094,K$5)-SUMIFS(TF_Timer,TF_Tekniker,K$4,TF_Dato,$A1094))*2,0)/2)))</f>
        <v/>
      </c>
      <c r="L1094">
        <f>IF(OR(L$4="",$A1094&gt;TODAY()),0,IF(OR(INDEX($B1094:$D1094,L$5)="F",AND(L$6&gt;0,$A1094&lt;L$6),AND(L$7&gt;0,$A1094&gt;L$7)),0,MAX(0,ROUND((INDEX($E1094:$G1094,L$5)-SUMIFS(TF_Timer,TF_Tekniker,L$4,TF_Dato,$A1094))*2,0)/2)))</f>
        <v/>
      </c>
      <c r="M1094">
        <f>IF(OR(M$4="",$A1094&gt;TODAY()),0,IF(OR(INDEX($B1094:$D1094,M$5)="F",AND(M$6&gt;0,$A1094&lt;M$6),AND(M$7&gt;0,$A1094&gt;M$7)),0,MAX(0,ROUND((INDEX($E1094:$G1094,M$5)-SUMIFS(TF_Timer,TF_Tekniker,M$4,TF_Dato,$A1094))*2,0)/2)))</f>
        <v/>
      </c>
      <c r="N1094">
        <f>IF(OR(N$4="",$A1094&gt;TODAY()),0,IF(OR(INDEX($B1094:$D1094,N$5)="F",AND(N$6&gt;0,$A1094&lt;N$6),AND(N$7&gt;0,$A1094&gt;N$7)),0,MAX(0,ROUND((INDEX($E1094:$G1094,N$5)-SUMIFS(TF_Timer,TF_Tekniker,N$4,TF_Dato,$A1094))*2,0)/2)))</f>
        <v/>
      </c>
      <c r="O1094">
        <f>IF(OR(O$4="",$A1094&gt;TODAY()),0,IF(OR(INDEX($B1094:$D1094,O$5)="F",AND(O$6&gt;0,$A1094&lt;O$6),AND(O$7&gt;0,$A1094&gt;O$7)),0,MAX(0,ROUND((INDEX($E1094:$G1094,O$5)-SUMIFS(TF_Timer,TF_Tekniker,O$4,TF_Dato,$A1094))*2,0)/2)))</f>
        <v/>
      </c>
      <c r="P1094">
        <f>IF(OR(P$4="",$A1094&gt;TODAY()),0,IF(OR(INDEX($B1094:$D1094,P$5)="F",AND(P$6&gt;0,$A1094&lt;P$6),AND(P$7&gt;0,$A1094&gt;P$7)),0,MAX(0,ROUND((INDEX($E1094:$G1094,P$5)-SUMIFS(TF_Timer,TF_Tekniker,P$4,TF_Dato,$A1094))*2,0)/2)))</f>
        <v/>
      </c>
      <c r="Q1094">
        <f>IF(OR(Q$4="",$A1094&gt;TODAY()),0,IF(OR(INDEX($B1094:$D1094,Q$5)="F",AND(Q$6&gt;0,$A1094&lt;Q$6),AND(Q$7&gt;0,$A1094&gt;Q$7)),0,MAX(0,ROUND((INDEX($E1094:$G1094,Q$5)-SUMIFS(TF_Timer,TF_Tekniker,Q$4,TF_Dato,$A1094))*2,0)/2)))</f>
        <v/>
      </c>
      <c r="R1094">
        <f>IF(OR(R$4="",$A1094&gt;TODAY()),0,IF(OR(INDEX($B1094:$D1094,R$5)="F",AND(R$6&gt;0,$A1094&lt;R$6),AND(R$7&gt;0,$A1094&gt;R$7)),0,MAX(0,ROUND((INDEX($E1094:$G1094,R$5)-SUMIFS(TF_Timer,TF_Tekniker,R$4,TF_Dato,$A1094))*2,0)/2)))</f>
        <v/>
      </c>
      <c r="S1094">
        <f>IF(OR(S$4="",$A1094&gt;TODAY()),0,IF(OR(INDEX($B1094:$D1094,S$5)="F",AND(S$6&gt;0,$A1094&lt;S$6),AND(S$7&gt;0,$A1094&gt;S$7)),0,MAX(0,ROUND((INDEX($E1094:$G1094,S$5)-SUMIFS(TF_Timer,TF_Tekniker,S$4,TF_Dato,$A1094))*2,0)/2)))</f>
        <v/>
      </c>
      <c r="T1094">
        <f>IF(OR(T$4="",$A1094&gt;TODAY()),0,IF(OR(INDEX($B1094:$D1094,T$5)="F",AND(T$6&gt;0,$A1094&lt;T$6),AND(T$7&gt;0,$A1094&gt;T$7)),0,MAX(0,ROUND((INDEX($E1094:$G1094,T$5)-SUMIFS(TF_Timer,TF_Tekniker,T$4,TF_Dato,$A1094))*2,0)/2)))</f>
        <v/>
      </c>
      <c r="U1094">
        <f>IF(OR(U$4="",$A1094&gt;TODAY()),0,IF(OR(INDEX($B1094:$D1094,U$5)="F",AND(U$6&gt;0,$A1094&lt;U$6),AND(U$7&gt;0,$A1094&gt;U$7)),0,MAX(0,ROUND((INDEX($E1094:$G1094,U$5)-SUMIFS(TF_Timer,TF_Tekniker,U$4,TF_Dato,$A1094))*2,0)/2)))</f>
        <v/>
      </c>
      <c r="V1094">
        <f>IF(OR(V$4="",$A1094&gt;TODAY()),0,IF(OR(INDEX($B1094:$D1094,V$5)="F",AND(V$6&gt;0,$A1094&lt;V$6),AND(V$7&gt;0,$A1094&gt;V$7)),0,MAX(0,ROUND((INDEX($E1094:$G1094,V$5)-SUMIFS(TF_Timer,TF_Tekniker,V$4,TF_Dato,$A1094))*2,0)/2)))</f>
        <v/>
      </c>
      <c r="W1094">
        <f>IF(OR(W$4="",$A1094&gt;TODAY()),0,IF(OR(INDEX($B1094:$D1094,W$5)="F",AND(W$6&gt;0,$A1094&lt;W$6),AND(W$7&gt;0,$A1094&gt;W$7)),0,MAX(0,ROUND((INDEX($E1094:$G1094,W$5)-SUMIFS(TF_Timer,TF_Tekniker,W$4,TF_Dato,$A1094))*2,0)/2)))</f>
        <v/>
      </c>
      <c r="X1094">
        <f>IF(OR(X$4="",$A1094&gt;TODAY()),0,IF(OR(INDEX($B1094:$D1094,X$5)="F",AND(X$6&gt;0,$A1094&lt;X$6),AND(X$7&gt;0,$A1094&gt;X$7)),0,MAX(0,ROUND((INDEX($E1094:$G1094,X$5)-SUMIFS(TF_Timer,TF_Tekniker,X$4,TF_Dato,$A1094))*2,0)/2)))</f>
        <v/>
      </c>
      <c r="Y1094">
        <f>IF(OR(Y$4="",$A1094&gt;TODAY()),0,IF(OR(INDEX($B1094:$D1094,Y$5)="F",AND(Y$6&gt;0,$A1094&lt;Y$6),AND(Y$7&gt;0,$A1094&gt;Y$7)),0,MAX(0,ROUND((INDEX($E1094:$G1094,Y$5)-SUMIFS(TF_Timer,TF_Tekniker,Y$4,TF_Dato,$A1094))*2,0)/2)))</f>
        <v/>
      </c>
      <c r="Z1094">
        <f>IF(OR(Z$4="",$A1094&gt;TODAY()),0,IF(OR(INDEX($B1094:$D1094,Z$5)="F",AND(Z$6&gt;0,$A1094&lt;Z$6),AND(Z$7&gt;0,$A1094&gt;Z$7)),0,MAX(0,ROUND((INDEX($E1094:$G1094,Z$5)-SUMIFS(TF_Timer,TF_Tekniker,Z$4,TF_Dato,$A1094))*2,0)/2)))</f>
        <v/>
      </c>
      <c r="AA1094">
        <f>IF(OR(AA$4="",$A1094&gt;TODAY()),0,IF(OR(INDEX($B1094:$D1094,AA$5)="F",AND(AA$6&gt;0,$A1094&lt;AA$6),AND(AA$7&gt;0,$A1094&gt;AA$7)),0,MAX(0,ROUND((INDEX($E1094:$G1094,AA$5)-SUMIFS(TF_Timer,TF_Tekniker,AA$4,TF_Dato,$A1094))*2,0)/2)))</f>
        <v/>
      </c>
      <c r="AB1094">
        <f>IF(OR(AB$4="",$A1094&gt;TODAY()),0,IF(OR(INDEX($B1094:$D1094,AB$5)="F",AND(AB$6&gt;0,$A1094&lt;AB$6),AND(AB$7&gt;0,$A1094&gt;AB$7)),0,MAX(0,ROUND((INDEX($E1094:$G1094,AB$5)-SUMIFS(TF_Timer,TF_Tekniker,AB$4,TF_Dato,$A1094))*2,0)/2)))</f>
        <v/>
      </c>
      <c r="AC1094">
        <f>IF(OR(AC$4="",$A1094&gt;TODAY()),0,IF(OR(INDEX($B1094:$D1094,AC$5)="F",AND(AC$6&gt;0,$A1094&lt;AC$6),AND(AC$7&gt;0,$A1094&gt;AC$7)),0,MAX(0,ROUND((INDEX($E1094:$G1094,AC$5)-SUMIFS(TF_Timer,TF_Tekniker,AC$4,TF_Dato,$A1094))*2,0)/2)))</f>
        <v/>
      </c>
      <c r="AD1094">
        <f>IF(OR(AD$4="",$A1094&gt;TODAY()),0,IF(OR(INDEX($B1094:$D1094,AD$5)="F",AND(AD$6&gt;0,$A1094&lt;AD$6),AND(AD$7&gt;0,$A1094&gt;AD$7)),0,MAX(0,ROUND((INDEX($E1094:$G1094,AD$5)-SUMIFS(TF_Timer,TF_Tekniker,AD$4,TF_Dato,$A1094))*2,0)/2)))</f>
        <v/>
      </c>
      <c r="AE1094">
        <f>IF(OR(AE$4="",$A1094&gt;TODAY()),0,IF(OR(INDEX($B1094:$D1094,AE$5)="F",AND(AE$6&gt;0,$A1094&lt;AE$6),AND(AE$7&gt;0,$A1094&gt;AE$7)),0,MAX(0,ROUND((INDEX($E1094:$G1094,AE$5)-SUMIFS(TF_Timer,TF_Tekniker,AE$4,TF_Dato,$A1094))*2,0)/2)))</f>
        <v/>
      </c>
      <c r="AF1094">
        <f>IF(OR(AF$4="",$A1094&gt;TODAY()),0,IF(OR(INDEX($B1094:$D1094,AF$5)="F",AND(AF$6&gt;0,$A1094&lt;AF$6),AND(AF$7&gt;0,$A1094&gt;AF$7)),0,MAX(0,ROUND((INDEX($E1094:$G1094,AF$5)-SUMIFS(TF_Timer,TF_Tekniker,AF$4,TF_Dato,$A1094))*2,0)/2)))</f>
        <v/>
      </c>
      <c r="AG1094">
        <f>IF(OR(AG$4="",$A1094&gt;TODAY()),0,IF(OR(INDEX($B1094:$D1094,AG$5)="F",AND(AG$6&gt;0,$A1094&lt;AG$6),AND(AG$7&gt;0,$A1094&gt;AG$7)),0,MAX(0,ROUND((INDEX($E1094:$G1094,AG$5)-SUMIFS(TF_Timer,TF_Tekniker,AG$4,TF_Dato,$A1094))*2,0)/2)))</f>
        <v/>
      </c>
      <c r="AH1094">
        <f>IF(OR(AH$4="",$A1094&gt;TODAY()),0,IF(OR(INDEX($B1094:$D1094,AH$5)="F",AND(AH$6&gt;0,$A1094&lt;AH$6),AND(AH$7&gt;0,$A1094&gt;AH$7)),0,MAX(0,ROUND((INDEX($E1094:$G1094,AH$5)-SUMIFS(TF_Timer,TF_Tekniker,AH$4,TF_Dato,$A1094))*2,0)/2)))</f>
        <v/>
      </c>
      <c r="AI1094">
        <f>IF(OR(AI$4="",$A1094&gt;TODAY()),0,IF(OR(INDEX($B1094:$D1094,AI$5)="F",AND(AI$6&gt;0,$A1094&lt;AI$6),AND(AI$7&gt;0,$A1094&gt;AI$7)),0,MAX(0,ROUND((INDEX($E1094:$G1094,AI$5)-SUMIFS(TF_Timer,TF_Tekniker,AI$4,TF_Dato,$A1094))*2,0)/2)))</f>
        <v/>
      </c>
      <c r="AJ1094">
        <f>IF(OR(AJ$4="",$A1094&gt;TODAY()),0,IF(OR(INDEX($B1094:$D1094,AJ$5)="F",AND(AJ$6&gt;0,$A1094&lt;AJ$6),AND(AJ$7&gt;0,$A1094&gt;AJ$7)),0,MAX(0,ROUND((INDEX($E1094:$G1094,AJ$5)-SUMIFS(TF_Timer,TF_Tekniker,AJ$4,TF_Dato,$A1094))*2,0)/2)))</f>
        <v/>
      </c>
      <c r="AK1094">
        <f>IF(OR(AK$4="",$A1094&gt;TODAY()),0,IF(OR(INDEX($B1094:$D1094,AK$5)="F",AND(AK$6&gt;0,$A1094&lt;AK$6),AND(AK$7&gt;0,$A1094&gt;AK$7)),0,MAX(0,ROUND((INDEX($E1094:$G1094,AK$5)-SUMIFS(TF_Timer,TF_Tekniker,AK$4,TF_Dato,$A1094))*2,0)/2)))</f>
        <v/>
      </c>
      <c r="AL1094">
        <f>IF(OR(AL$4="",$A1094&gt;TODAY()),0,IF(OR(INDEX($B1094:$D1094,AL$5)="F",AND(AL$6&gt;0,$A1094&lt;AL$6),AND(AL$7&gt;0,$A1094&gt;AL$7)),0,MAX(0,ROUND((INDEX($E1094:$G1094,AL$5)-SUMIFS(TF_Timer,TF_Tekniker,AL$4,TF_Dato,$A1094))*2,0)/2)))</f>
        <v/>
      </c>
      <c r="AM1094">
        <f>IF(OR(AM$4="",$A1094&gt;TODAY()),0,IF(OR(INDEX($B1094:$D1094,AM$5)="F",AND(AM$6&gt;0,$A1094&lt;AM$6),AND(AM$7&gt;0,$A1094&gt;AM$7)),0,MAX(0,ROUND((INDEX($E1094:$G1094,AM$5)-SUMIFS(TF_Timer,TF_Tekniker,AM$4,TF_Dato,$A1094))*2,0)/2)))</f>
        <v/>
      </c>
      <c r="AN1094">
        <f>IF(OR(AN$4="",$A1094&gt;TODAY()),0,IF(OR(INDEX($B1094:$D1094,AN$5)="F",AND(AN$6&gt;0,$A1094&lt;AN$6),AND(AN$7&gt;0,$A1094&gt;AN$7)),0,MAX(0,ROUND((INDEX($E1094:$G1094,AN$5)-SUMIFS(TF_Timer,TF_Tekniker,AN$4,TF_Dato,$A1094))*2,0)/2)))</f>
        <v/>
      </c>
      <c r="AO1094">
        <f>IF(OR(AO$4="",$A1094&gt;TODAY()),0,IF(OR(INDEX($B1094:$D1094,AO$5)="F",AND(AO$6&gt;0,$A1094&lt;AO$6),AND(AO$7&gt;0,$A1094&gt;AO$7)),0,MAX(0,ROUND((INDEX($E1094:$G1094,AO$5)-SUMIFS(TF_Timer,TF_Tekniker,AO$4,TF_Dato,$A1094))*2,0)/2)))</f>
        <v/>
      </c>
      <c r="AP1094">
        <f>IF(OR(AP$4="",$A1094&gt;TODAY()),0,IF(OR(INDEX($B1094:$D1094,AP$5)="F",AND(AP$6&gt;0,$A1094&lt;AP$6),AND(AP$7&gt;0,$A1094&gt;AP$7)),0,MAX(0,ROUND((INDEX($E1094:$G1094,AP$5)-SUMIFS(TF_Timer,TF_Tekniker,AP$4,TF_Dato,$A1094))*2,0)/2)))</f>
        <v/>
      </c>
      <c r="AQ1094">
        <f>IF(OR(AQ$4="",$A1094&gt;TODAY()),0,IF(OR(INDEX($B1094:$D1094,AQ$5)="F",AND(AQ$6&gt;0,$A1094&lt;AQ$6),AND(AQ$7&gt;0,$A1094&gt;AQ$7)),0,MAX(0,ROUND((INDEX($E1094:$G1094,AQ$5)-SUMIFS(TF_Timer,TF_Tekniker,AQ$4,TF_Dato,$A1094))*2,0)/2)))</f>
        <v/>
      </c>
      <c r="AR1094">
        <f>IF(OR(AR$4="",$A1094&gt;TODAY()),0,IF(OR(INDEX($B1094:$D1094,AR$5)="F",AND(AR$6&gt;0,$A1094&lt;AR$6),AND(AR$7&gt;0,$A1094&gt;AR$7)),0,MAX(0,ROUND((INDEX($E1094:$G1094,AR$5)-SUMIFS(TF_Timer,TF_Tekniker,AR$4,TF_Dato,$A1094))*2,0)/2)))</f>
        <v/>
      </c>
      <c r="AS1094">
        <f>IF(OR(AS$4="",$A1094&gt;TODAY()),0,IF(OR(INDEX($B1094:$D1094,AS$5)="F",AND(AS$6&gt;0,$A1094&lt;AS$6),AND(AS$7&gt;0,$A1094&gt;AS$7)),0,MAX(0,ROUND((INDEX($E1094:$G1094,AS$5)-SUMIFS(TF_Timer,TF_Tekniker,AS$4,TF_Dato,$A1094))*2,0)/2)))</f>
        <v/>
      </c>
      <c r="AT1094">
        <f>IF(OR(AT$4="",$A1094&gt;TODAY()),0,IF(OR(INDEX($B1094:$D1094,AT$5)="F",AND(AT$6&gt;0,$A1094&lt;AT$6),AND(AT$7&gt;0,$A1094&gt;AT$7)),0,MAX(0,ROUND((INDEX($E1094:$G1094,AT$5)-SUMIFS(TF_Timer,TF_Tekniker,AT$4,TF_Dato,$A1094))*2,0)/2)))</f>
        <v/>
      </c>
      <c r="AU1094">
        <f>IF(OR(AU$4="",$A1094&gt;TODAY()),0,IF(OR(INDEX($B1094:$D1094,AU$5)="F",AND(AU$6&gt;0,$A1094&lt;AU$6),AND(AU$7&gt;0,$A1094&gt;AU$7)),0,MAX(0,ROUND((INDEX($E1094:$G1094,AU$5)-SUMIFS(TF_Timer,TF_Tekniker,AU$4,TF_Dato,$A1094))*2,0)/2)))</f>
        <v/>
      </c>
      <c r="AV1094">
        <f>IF(OR(AV$4="",$A1094&gt;TODAY()),0,IF(OR(INDEX($B1094:$D1094,AV$5)="F",AND(AV$6&gt;0,$A1094&lt;AV$6),AND(AV$7&gt;0,$A1094&gt;AV$7)),0,MAX(0,ROUND((INDEX($E1094:$G1094,AV$5)-SUMIFS(TF_Timer,TF_Tekniker,AV$4,TF_Dato,$A1094))*2,0)/2)))</f>
        <v/>
      </c>
      <c r="AW1094">
        <f>IF(OR(AW$4="",$A1094&gt;TODAY()),0,IF(OR(INDEX($B1094:$D1094,AW$5)="F",AND(AW$6&gt;0,$A1094&lt;AW$6),AND(AW$7&gt;0,$A1094&gt;AW$7)),0,MAX(0,ROUND((INDEX($E1094:$G1094,AW$5)-SUMIFS(TF_Timer,TF_Tekniker,AW$4,TF_Dato,$A1094))*2,0)/2)))</f>
        <v/>
      </c>
      <c r="AX1094">
        <f>IF(OR(AX$4="",$A1094&gt;TODAY()),0,IF(OR(INDEX($B1094:$D1094,AX$5)="F",AND(AX$6&gt;0,$A1094&lt;AX$6),AND(AX$7&gt;0,$A1094&gt;AX$7)),0,MAX(0,ROUND((INDEX($E1094:$G1094,AX$5)-SUMIFS(TF_Timer,TF_Tekniker,AX$4,TF_Dato,$A1094))*2,0)/2)))</f>
        <v/>
      </c>
      <c r="AY1094">
        <f>IF(OR(AY$4="",$A1094&gt;TODAY()),0,IF(OR(INDEX($B1094:$D1094,AY$5)="F",AND(AY$6&gt;0,$A1094&lt;AY$6),AND(AY$7&gt;0,$A1094&gt;AY$7)),0,MAX(0,ROUND((INDEX($E1094:$G1094,AY$5)-SUMIFS(TF_Timer,TF_Tekniker,AY$4,TF_Dato,$A1094))*2,0)/2)))</f>
        <v/>
      </c>
      <c r="AZ1094">
        <f>IF(OR(AZ$4="",$A1094&gt;TODAY()),0,IF(OR(INDEX($B1094:$D1094,AZ$5)="F",AND(AZ$6&gt;0,$A1094&lt;AZ$6),AND(AZ$7&gt;0,$A1094&gt;AZ$7)),0,MAX(0,ROUND((INDEX($E1094:$G1094,AZ$5)-SUMIFS(TF_Timer,TF_Tekniker,AZ$4,TF_Dato,$A1094))*2,0)/2)))</f>
        <v/>
      </c>
      <c r="BA1094">
        <f>IF(OR(BA$4="",$A1094&gt;TODAY()),0,IF(OR(INDEX($B1094:$D1094,BA$5)="F",AND(BA$6&gt;0,$A1094&lt;BA$6),AND(BA$7&gt;0,$A1094&gt;BA$7)),0,MAX(0,ROUND((INDEX($E1094:$G1094,BA$5)-SUMIFS(TF_Timer,TF_Tekniker,BA$4,TF_Dato,$A1094))*2,0)/2)))</f>
        <v/>
      </c>
      <c r="BB1094">
        <f>IF(OR(BB$4="",$A1094&gt;TODAY()),0,IF(OR(INDEX($B1094:$D1094,BB$5)="F",AND(BB$6&gt;0,$A1094&lt;BB$6),AND(BB$7&gt;0,$A1094&gt;BB$7)),0,MAX(0,ROUND((INDEX($E1094:$G1094,BB$5)-SUMIFS(TF_Timer,TF_Tekniker,BB$4,TF_Dato,$A1094))*2,0)/2)))</f>
        <v/>
      </c>
      <c r="BC1094">
        <f>IF(OR(BC$4="",$A1094&gt;TODAY()),0,IF(OR(INDEX($B1094:$D1094,BC$5)="F",AND(BC$6&gt;0,$A1094&lt;BC$6),AND(BC$7&gt;0,$A1094&gt;BC$7)),0,MAX(0,ROUND((INDEX($E1094:$G1094,BC$5)-SUMIFS(TF_Timer,TF_Tekniker,BC$4,TF_Dato,$A1094))*2,0)/2)))</f>
        <v/>
      </c>
      <c r="BD1094">
        <f>IF(OR(BD$4="",$A1094&gt;TODAY()),0,IF(OR(INDEX($B1094:$D1094,BD$5)="F",AND(BD$6&gt;0,$A1094&lt;BD$6),AND(BD$7&gt;0,$A1094&gt;BD$7)),0,MAX(0,ROUND((INDEX($E1094:$G1094,BD$5)-SUMIFS(TF_Timer,TF_Tekniker,BD$4,TF_Dato,$A1094))*2,0)/2)))</f>
        <v/>
      </c>
      <c r="BE1094">
        <f>IF(OR(BE$4="",$A1094&gt;TODAY()),0,IF(OR(INDEX($B1094:$D1094,BE$5)="F",AND(BE$6&gt;0,$A1094&lt;BE$6),AND(BE$7&gt;0,$A1094&gt;BE$7)),0,MAX(0,ROUND((INDEX($E1094:$G1094,BE$5)-SUMIFS(TF_Timer,TF_Tekniker,BE$4,TF_Dato,$A1094))*2,0)/2)))</f>
        <v/>
      </c>
      <c r="BF1094">
        <f>IF(OR(BF$4="",$A1094&gt;TODAY()),0,IF(OR(INDEX($B1094:$D1094,BF$5)="F",AND(BF$6&gt;0,$A1094&lt;BF$6),AND(BF$7&gt;0,$A1094&gt;BF$7)),0,MAX(0,ROUND((INDEX($E1094:$G1094,BF$5)-SUMIFS(TF_Timer,TF_Tekniker,BF$4,TF_Dato,$A1094))*2,0)/2)))</f>
        <v/>
      </c>
      <c r="BG1094">
        <f>IF(OR(BG$4="",$A1094&gt;TODAY()),0,IF(OR(INDEX($B1094:$D1094,BG$5)="F",AND(BG$6&gt;0,$A1094&lt;BG$6),AND(BG$7&gt;0,$A1094&gt;BG$7)),0,MAX(0,ROUND((INDEX($E1094:$G1094,BG$5)-SUMIFS(TF_Timer,TF_Tekniker,BG$4,TF_Dato,$A1094))*2,0)/2)))</f>
        <v/>
      </c>
      <c r="BH1094">
        <f>IF(OR(BH$4="",$A1094&gt;TODAY()),0,IF(OR(INDEX($B1094:$D1094,BH$5)="F",AND(BH$6&gt;0,$A1094&lt;BH$6),AND(BH$7&gt;0,$A1094&gt;BH$7)),0,MAX(0,ROUND((INDEX($E1094:$G1094,BH$5)-SUMIFS(TF_Timer,TF_Tekniker,BH$4,TF_Dato,$A1094))*2,0)/2)))</f>
        <v/>
      </c>
      <c r="BI1094">
        <f>IF(OR(BI$4="",$A1094&gt;TODAY()),0,IF(OR(INDEX($B1094:$D1094,BI$5)="F",AND(BI$6&gt;0,$A1094&lt;BI$6),AND(BI$7&gt;0,$A1094&gt;BI$7)),0,MAX(0,ROUND((INDEX($E1094:$G1094,BI$5)-SUMIFS(TF_Timer,TF_Tekniker,BI$4,TF_Dato,$A1094))*2,0)/2)))</f>
        <v/>
      </c>
    </row>
    <row r="1095">
      <c r="A1095" s="64">
        <f>A1094+1</f>
        <v/>
      </c>
      <c r="B1095">
        <f>IF(MOD($A1095-INDEX(SkiftStart,1),Syklus)&lt;DagK,"K",IF(MOD($A1095-INDEX(SkiftStart,1),Syklus)&lt;DagK+DagH,"H",IF(MOD($A1095-INDEX(SkiftStart,1),Syklus)&lt;DagK+DagH+DagD,"D","F")))</f>
        <v/>
      </c>
      <c r="C1095">
        <f>IF(MOD($A1095-INDEX(SkiftStart,2),Syklus)&lt;DagK,"K",IF(MOD($A1095-INDEX(SkiftStart,2),Syklus)&lt;DagK+DagH,"H",IF(MOD($A1095-INDEX(SkiftStart,2),Syklus)&lt;DagK+DagH+DagD,"D","F")))</f>
        <v/>
      </c>
      <c r="D1095">
        <f>IF(MOD($A1095-INDEX(SkiftStart,3),Syklus)&lt;DagK,"K",IF(MOD($A1095-INDEX(SkiftStart,3),Syklus)&lt;DagK+DagH,"H",IF(MOD($A1095-INDEX(SkiftStart,3),Syklus)&lt;DagK+DagH+DagD,"D","F")))</f>
        <v/>
      </c>
      <c r="E1095">
        <f>IF(B1095="F",0,IF(WEEKDAY($A1095,2)=5,INDEX(TimerFr,MATCH(B1095,FaseKode,0)),INDEX(TimerMT,MATCH(B1095,FaseKode,0))))</f>
        <v/>
      </c>
      <c r="F1095">
        <f>IF(C1095="F",0,IF(WEEKDAY($A1095,2)=5,INDEX(TimerFr,MATCH(C1095,FaseKode,0)),INDEX(TimerMT,MATCH(C1095,FaseKode,0))))</f>
        <v/>
      </c>
      <c r="G1095">
        <f>IF(D1095="F",0,IF(WEEKDAY($A1095,2)=5,INDEX(TimerFr,MATCH(D1095,FaseKode,0)),INDEX(TimerMT,MATCH(D1095,FaseKode,0))))</f>
        <v/>
      </c>
      <c r="H1095">
        <f>IF(OR(H$4="",$A1095&gt;TODAY()),0,IF(OR(INDEX($B1095:$D1095,H$5)="F",AND(H$6&gt;0,$A1095&lt;H$6),AND(H$7&gt;0,$A1095&gt;H$7)),0,MAX(0,ROUND((INDEX($E1095:$G1095,H$5)-SUMIFS(TF_Timer,TF_Tekniker,H$4,TF_Dato,$A1095))*2,0)/2)))</f>
        <v/>
      </c>
      <c r="I1095">
        <f>IF(OR(I$4="",$A1095&gt;TODAY()),0,IF(OR(INDEX($B1095:$D1095,I$5)="F",AND(I$6&gt;0,$A1095&lt;I$6),AND(I$7&gt;0,$A1095&gt;I$7)),0,MAX(0,ROUND((INDEX($E1095:$G1095,I$5)-SUMIFS(TF_Timer,TF_Tekniker,I$4,TF_Dato,$A1095))*2,0)/2)))</f>
        <v/>
      </c>
      <c r="J1095">
        <f>IF(OR(J$4="",$A1095&gt;TODAY()),0,IF(OR(INDEX($B1095:$D1095,J$5)="F",AND(J$6&gt;0,$A1095&lt;J$6),AND(J$7&gt;0,$A1095&gt;J$7)),0,MAX(0,ROUND((INDEX($E1095:$G1095,J$5)-SUMIFS(TF_Timer,TF_Tekniker,J$4,TF_Dato,$A1095))*2,0)/2)))</f>
        <v/>
      </c>
      <c r="K1095">
        <f>IF(OR(K$4="",$A1095&gt;TODAY()),0,IF(OR(INDEX($B1095:$D1095,K$5)="F",AND(K$6&gt;0,$A1095&lt;K$6),AND(K$7&gt;0,$A1095&gt;K$7)),0,MAX(0,ROUND((INDEX($E1095:$G1095,K$5)-SUMIFS(TF_Timer,TF_Tekniker,K$4,TF_Dato,$A1095))*2,0)/2)))</f>
        <v/>
      </c>
      <c r="L1095">
        <f>IF(OR(L$4="",$A1095&gt;TODAY()),0,IF(OR(INDEX($B1095:$D1095,L$5)="F",AND(L$6&gt;0,$A1095&lt;L$6),AND(L$7&gt;0,$A1095&gt;L$7)),0,MAX(0,ROUND((INDEX($E1095:$G1095,L$5)-SUMIFS(TF_Timer,TF_Tekniker,L$4,TF_Dato,$A1095))*2,0)/2)))</f>
        <v/>
      </c>
      <c r="M1095">
        <f>IF(OR(M$4="",$A1095&gt;TODAY()),0,IF(OR(INDEX($B1095:$D1095,M$5)="F",AND(M$6&gt;0,$A1095&lt;M$6),AND(M$7&gt;0,$A1095&gt;M$7)),0,MAX(0,ROUND((INDEX($E1095:$G1095,M$5)-SUMIFS(TF_Timer,TF_Tekniker,M$4,TF_Dato,$A1095))*2,0)/2)))</f>
        <v/>
      </c>
      <c r="N1095">
        <f>IF(OR(N$4="",$A1095&gt;TODAY()),0,IF(OR(INDEX($B1095:$D1095,N$5)="F",AND(N$6&gt;0,$A1095&lt;N$6),AND(N$7&gt;0,$A1095&gt;N$7)),0,MAX(0,ROUND((INDEX($E1095:$G1095,N$5)-SUMIFS(TF_Timer,TF_Tekniker,N$4,TF_Dato,$A1095))*2,0)/2)))</f>
        <v/>
      </c>
      <c r="O1095">
        <f>IF(OR(O$4="",$A1095&gt;TODAY()),0,IF(OR(INDEX($B1095:$D1095,O$5)="F",AND(O$6&gt;0,$A1095&lt;O$6),AND(O$7&gt;0,$A1095&gt;O$7)),0,MAX(0,ROUND((INDEX($E1095:$G1095,O$5)-SUMIFS(TF_Timer,TF_Tekniker,O$4,TF_Dato,$A1095))*2,0)/2)))</f>
        <v/>
      </c>
      <c r="P1095">
        <f>IF(OR(P$4="",$A1095&gt;TODAY()),0,IF(OR(INDEX($B1095:$D1095,P$5)="F",AND(P$6&gt;0,$A1095&lt;P$6),AND(P$7&gt;0,$A1095&gt;P$7)),0,MAX(0,ROUND((INDEX($E1095:$G1095,P$5)-SUMIFS(TF_Timer,TF_Tekniker,P$4,TF_Dato,$A1095))*2,0)/2)))</f>
        <v/>
      </c>
      <c r="Q1095">
        <f>IF(OR(Q$4="",$A1095&gt;TODAY()),0,IF(OR(INDEX($B1095:$D1095,Q$5)="F",AND(Q$6&gt;0,$A1095&lt;Q$6),AND(Q$7&gt;0,$A1095&gt;Q$7)),0,MAX(0,ROUND((INDEX($E1095:$G1095,Q$5)-SUMIFS(TF_Timer,TF_Tekniker,Q$4,TF_Dato,$A1095))*2,0)/2)))</f>
        <v/>
      </c>
      <c r="R1095">
        <f>IF(OR(R$4="",$A1095&gt;TODAY()),0,IF(OR(INDEX($B1095:$D1095,R$5)="F",AND(R$6&gt;0,$A1095&lt;R$6),AND(R$7&gt;0,$A1095&gt;R$7)),0,MAX(0,ROUND((INDEX($E1095:$G1095,R$5)-SUMIFS(TF_Timer,TF_Tekniker,R$4,TF_Dato,$A1095))*2,0)/2)))</f>
        <v/>
      </c>
      <c r="S1095">
        <f>IF(OR(S$4="",$A1095&gt;TODAY()),0,IF(OR(INDEX($B1095:$D1095,S$5)="F",AND(S$6&gt;0,$A1095&lt;S$6),AND(S$7&gt;0,$A1095&gt;S$7)),0,MAX(0,ROUND((INDEX($E1095:$G1095,S$5)-SUMIFS(TF_Timer,TF_Tekniker,S$4,TF_Dato,$A1095))*2,0)/2)))</f>
        <v/>
      </c>
      <c r="T1095">
        <f>IF(OR(T$4="",$A1095&gt;TODAY()),0,IF(OR(INDEX($B1095:$D1095,T$5)="F",AND(T$6&gt;0,$A1095&lt;T$6),AND(T$7&gt;0,$A1095&gt;T$7)),0,MAX(0,ROUND((INDEX($E1095:$G1095,T$5)-SUMIFS(TF_Timer,TF_Tekniker,T$4,TF_Dato,$A1095))*2,0)/2)))</f>
        <v/>
      </c>
      <c r="U1095">
        <f>IF(OR(U$4="",$A1095&gt;TODAY()),0,IF(OR(INDEX($B1095:$D1095,U$5)="F",AND(U$6&gt;0,$A1095&lt;U$6),AND(U$7&gt;0,$A1095&gt;U$7)),0,MAX(0,ROUND((INDEX($E1095:$G1095,U$5)-SUMIFS(TF_Timer,TF_Tekniker,U$4,TF_Dato,$A1095))*2,0)/2)))</f>
        <v/>
      </c>
      <c r="V1095">
        <f>IF(OR(V$4="",$A1095&gt;TODAY()),0,IF(OR(INDEX($B1095:$D1095,V$5)="F",AND(V$6&gt;0,$A1095&lt;V$6),AND(V$7&gt;0,$A1095&gt;V$7)),0,MAX(0,ROUND((INDEX($E1095:$G1095,V$5)-SUMIFS(TF_Timer,TF_Tekniker,V$4,TF_Dato,$A1095))*2,0)/2)))</f>
        <v/>
      </c>
      <c r="W1095">
        <f>IF(OR(W$4="",$A1095&gt;TODAY()),0,IF(OR(INDEX($B1095:$D1095,W$5)="F",AND(W$6&gt;0,$A1095&lt;W$6),AND(W$7&gt;0,$A1095&gt;W$7)),0,MAX(0,ROUND((INDEX($E1095:$G1095,W$5)-SUMIFS(TF_Timer,TF_Tekniker,W$4,TF_Dato,$A1095))*2,0)/2)))</f>
        <v/>
      </c>
      <c r="X1095">
        <f>IF(OR(X$4="",$A1095&gt;TODAY()),0,IF(OR(INDEX($B1095:$D1095,X$5)="F",AND(X$6&gt;0,$A1095&lt;X$6),AND(X$7&gt;0,$A1095&gt;X$7)),0,MAX(0,ROUND((INDEX($E1095:$G1095,X$5)-SUMIFS(TF_Timer,TF_Tekniker,X$4,TF_Dato,$A1095))*2,0)/2)))</f>
        <v/>
      </c>
      <c r="Y1095">
        <f>IF(OR(Y$4="",$A1095&gt;TODAY()),0,IF(OR(INDEX($B1095:$D1095,Y$5)="F",AND(Y$6&gt;0,$A1095&lt;Y$6),AND(Y$7&gt;0,$A1095&gt;Y$7)),0,MAX(0,ROUND((INDEX($E1095:$G1095,Y$5)-SUMIFS(TF_Timer,TF_Tekniker,Y$4,TF_Dato,$A1095))*2,0)/2)))</f>
        <v/>
      </c>
      <c r="Z1095">
        <f>IF(OR(Z$4="",$A1095&gt;TODAY()),0,IF(OR(INDEX($B1095:$D1095,Z$5)="F",AND(Z$6&gt;0,$A1095&lt;Z$6),AND(Z$7&gt;0,$A1095&gt;Z$7)),0,MAX(0,ROUND((INDEX($E1095:$G1095,Z$5)-SUMIFS(TF_Timer,TF_Tekniker,Z$4,TF_Dato,$A1095))*2,0)/2)))</f>
        <v/>
      </c>
      <c r="AA1095">
        <f>IF(OR(AA$4="",$A1095&gt;TODAY()),0,IF(OR(INDEX($B1095:$D1095,AA$5)="F",AND(AA$6&gt;0,$A1095&lt;AA$6),AND(AA$7&gt;0,$A1095&gt;AA$7)),0,MAX(0,ROUND((INDEX($E1095:$G1095,AA$5)-SUMIFS(TF_Timer,TF_Tekniker,AA$4,TF_Dato,$A1095))*2,0)/2)))</f>
        <v/>
      </c>
      <c r="AB1095">
        <f>IF(OR(AB$4="",$A1095&gt;TODAY()),0,IF(OR(INDEX($B1095:$D1095,AB$5)="F",AND(AB$6&gt;0,$A1095&lt;AB$6),AND(AB$7&gt;0,$A1095&gt;AB$7)),0,MAX(0,ROUND((INDEX($E1095:$G1095,AB$5)-SUMIFS(TF_Timer,TF_Tekniker,AB$4,TF_Dato,$A1095))*2,0)/2)))</f>
        <v/>
      </c>
      <c r="AC1095">
        <f>IF(OR(AC$4="",$A1095&gt;TODAY()),0,IF(OR(INDEX($B1095:$D1095,AC$5)="F",AND(AC$6&gt;0,$A1095&lt;AC$6),AND(AC$7&gt;0,$A1095&gt;AC$7)),0,MAX(0,ROUND((INDEX($E1095:$G1095,AC$5)-SUMIFS(TF_Timer,TF_Tekniker,AC$4,TF_Dato,$A1095))*2,0)/2)))</f>
        <v/>
      </c>
      <c r="AD1095">
        <f>IF(OR(AD$4="",$A1095&gt;TODAY()),0,IF(OR(INDEX($B1095:$D1095,AD$5)="F",AND(AD$6&gt;0,$A1095&lt;AD$6),AND(AD$7&gt;0,$A1095&gt;AD$7)),0,MAX(0,ROUND((INDEX($E1095:$G1095,AD$5)-SUMIFS(TF_Timer,TF_Tekniker,AD$4,TF_Dato,$A1095))*2,0)/2)))</f>
        <v/>
      </c>
      <c r="AE1095">
        <f>IF(OR(AE$4="",$A1095&gt;TODAY()),0,IF(OR(INDEX($B1095:$D1095,AE$5)="F",AND(AE$6&gt;0,$A1095&lt;AE$6),AND(AE$7&gt;0,$A1095&gt;AE$7)),0,MAX(0,ROUND((INDEX($E1095:$G1095,AE$5)-SUMIFS(TF_Timer,TF_Tekniker,AE$4,TF_Dato,$A1095))*2,0)/2)))</f>
        <v/>
      </c>
      <c r="AF1095">
        <f>IF(OR(AF$4="",$A1095&gt;TODAY()),0,IF(OR(INDEX($B1095:$D1095,AF$5)="F",AND(AF$6&gt;0,$A1095&lt;AF$6),AND(AF$7&gt;0,$A1095&gt;AF$7)),0,MAX(0,ROUND((INDEX($E1095:$G1095,AF$5)-SUMIFS(TF_Timer,TF_Tekniker,AF$4,TF_Dato,$A1095))*2,0)/2)))</f>
        <v/>
      </c>
      <c r="AG1095">
        <f>IF(OR(AG$4="",$A1095&gt;TODAY()),0,IF(OR(INDEX($B1095:$D1095,AG$5)="F",AND(AG$6&gt;0,$A1095&lt;AG$6),AND(AG$7&gt;0,$A1095&gt;AG$7)),0,MAX(0,ROUND((INDEX($E1095:$G1095,AG$5)-SUMIFS(TF_Timer,TF_Tekniker,AG$4,TF_Dato,$A1095))*2,0)/2)))</f>
        <v/>
      </c>
      <c r="AH1095">
        <f>IF(OR(AH$4="",$A1095&gt;TODAY()),0,IF(OR(INDEX($B1095:$D1095,AH$5)="F",AND(AH$6&gt;0,$A1095&lt;AH$6),AND(AH$7&gt;0,$A1095&gt;AH$7)),0,MAX(0,ROUND((INDEX($E1095:$G1095,AH$5)-SUMIFS(TF_Timer,TF_Tekniker,AH$4,TF_Dato,$A1095))*2,0)/2)))</f>
        <v/>
      </c>
      <c r="AI1095">
        <f>IF(OR(AI$4="",$A1095&gt;TODAY()),0,IF(OR(INDEX($B1095:$D1095,AI$5)="F",AND(AI$6&gt;0,$A1095&lt;AI$6),AND(AI$7&gt;0,$A1095&gt;AI$7)),0,MAX(0,ROUND((INDEX($E1095:$G1095,AI$5)-SUMIFS(TF_Timer,TF_Tekniker,AI$4,TF_Dato,$A1095))*2,0)/2)))</f>
        <v/>
      </c>
      <c r="AJ1095">
        <f>IF(OR(AJ$4="",$A1095&gt;TODAY()),0,IF(OR(INDEX($B1095:$D1095,AJ$5)="F",AND(AJ$6&gt;0,$A1095&lt;AJ$6),AND(AJ$7&gt;0,$A1095&gt;AJ$7)),0,MAX(0,ROUND((INDEX($E1095:$G1095,AJ$5)-SUMIFS(TF_Timer,TF_Tekniker,AJ$4,TF_Dato,$A1095))*2,0)/2)))</f>
        <v/>
      </c>
      <c r="AK1095">
        <f>IF(OR(AK$4="",$A1095&gt;TODAY()),0,IF(OR(INDEX($B1095:$D1095,AK$5)="F",AND(AK$6&gt;0,$A1095&lt;AK$6),AND(AK$7&gt;0,$A1095&gt;AK$7)),0,MAX(0,ROUND((INDEX($E1095:$G1095,AK$5)-SUMIFS(TF_Timer,TF_Tekniker,AK$4,TF_Dato,$A1095))*2,0)/2)))</f>
        <v/>
      </c>
      <c r="AL1095">
        <f>IF(OR(AL$4="",$A1095&gt;TODAY()),0,IF(OR(INDEX($B1095:$D1095,AL$5)="F",AND(AL$6&gt;0,$A1095&lt;AL$6),AND(AL$7&gt;0,$A1095&gt;AL$7)),0,MAX(0,ROUND((INDEX($E1095:$G1095,AL$5)-SUMIFS(TF_Timer,TF_Tekniker,AL$4,TF_Dato,$A1095))*2,0)/2)))</f>
        <v/>
      </c>
      <c r="AM1095">
        <f>IF(OR(AM$4="",$A1095&gt;TODAY()),0,IF(OR(INDEX($B1095:$D1095,AM$5)="F",AND(AM$6&gt;0,$A1095&lt;AM$6),AND(AM$7&gt;0,$A1095&gt;AM$7)),0,MAX(0,ROUND((INDEX($E1095:$G1095,AM$5)-SUMIFS(TF_Timer,TF_Tekniker,AM$4,TF_Dato,$A1095))*2,0)/2)))</f>
        <v/>
      </c>
      <c r="AN1095">
        <f>IF(OR(AN$4="",$A1095&gt;TODAY()),0,IF(OR(INDEX($B1095:$D1095,AN$5)="F",AND(AN$6&gt;0,$A1095&lt;AN$6),AND(AN$7&gt;0,$A1095&gt;AN$7)),0,MAX(0,ROUND((INDEX($E1095:$G1095,AN$5)-SUMIFS(TF_Timer,TF_Tekniker,AN$4,TF_Dato,$A1095))*2,0)/2)))</f>
        <v/>
      </c>
      <c r="AO1095">
        <f>IF(OR(AO$4="",$A1095&gt;TODAY()),0,IF(OR(INDEX($B1095:$D1095,AO$5)="F",AND(AO$6&gt;0,$A1095&lt;AO$6),AND(AO$7&gt;0,$A1095&gt;AO$7)),0,MAX(0,ROUND((INDEX($E1095:$G1095,AO$5)-SUMIFS(TF_Timer,TF_Tekniker,AO$4,TF_Dato,$A1095))*2,0)/2)))</f>
        <v/>
      </c>
      <c r="AP1095">
        <f>IF(OR(AP$4="",$A1095&gt;TODAY()),0,IF(OR(INDEX($B1095:$D1095,AP$5)="F",AND(AP$6&gt;0,$A1095&lt;AP$6),AND(AP$7&gt;0,$A1095&gt;AP$7)),0,MAX(0,ROUND((INDEX($E1095:$G1095,AP$5)-SUMIFS(TF_Timer,TF_Tekniker,AP$4,TF_Dato,$A1095))*2,0)/2)))</f>
        <v/>
      </c>
      <c r="AQ1095">
        <f>IF(OR(AQ$4="",$A1095&gt;TODAY()),0,IF(OR(INDEX($B1095:$D1095,AQ$5)="F",AND(AQ$6&gt;0,$A1095&lt;AQ$6),AND(AQ$7&gt;0,$A1095&gt;AQ$7)),0,MAX(0,ROUND((INDEX($E1095:$G1095,AQ$5)-SUMIFS(TF_Timer,TF_Tekniker,AQ$4,TF_Dato,$A1095))*2,0)/2)))</f>
        <v/>
      </c>
      <c r="AR1095">
        <f>IF(OR(AR$4="",$A1095&gt;TODAY()),0,IF(OR(INDEX($B1095:$D1095,AR$5)="F",AND(AR$6&gt;0,$A1095&lt;AR$6),AND(AR$7&gt;0,$A1095&gt;AR$7)),0,MAX(0,ROUND((INDEX($E1095:$G1095,AR$5)-SUMIFS(TF_Timer,TF_Tekniker,AR$4,TF_Dato,$A1095))*2,0)/2)))</f>
        <v/>
      </c>
      <c r="AS1095">
        <f>IF(OR(AS$4="",$A1095&gt;TODAY()),0,IF(OR(INDEX($B1095:$D1095,AS$5)="F",AND(AS$6&gt;0,$A1095&lt;AS$6),AND(AS$7&gt;0,$A1095&gt;AS$7)),0,MAX(0,ROUND((INDEX($E1095:$G1095,AS$5)-SUMIFS(TF_Timer,TF_Tekniker,AS$4,TF_Dato,$A1095))*2,0)/2)))</f>
        <v/>
      </c>
      <c r="AT1095">
        <f>IF(OR(AT$4="",$A1095&gt;TODAY()),0,IF(OR(INDEX($B1095:$D1095,AT$5)="F",AND(AT$6&gt;0,$A1095&lt;AT$6),AND(AT$7&gt;0,$A1095&gt;AT$7)),0,MAX(0,ROUND((INDEX($E1095:$G1095,AT$5)-SUMIFS(TF_Timer,TF_Tekniker,AT$4,TF_Dato,$A1095))*2,0)/2)))</f>
        <v/>
      </c>
      <c r="AU1095">
        <f>IF(OR(AU$4="",$A1095&gt;TODAY()),0,IF(OR(INDEX($B1095:$D1095,AU$5)="F",AND(AU$6&gt;0,$A1095&lt;AU$6),AND(AU$7&gt;0,$A1095&gt;AU$7)),0,MAX(0,ROUND((INDEX($E1095:$G1095,AU$5)-SUMIFS(TF_Timer,TF_Tekniker,AU$4,TF_Dato,$A1095))*2,0)/2)))</f>
        <v/>
      </c>
      <c r="AV1095">
        <f>IF(OR(AV$4="",$A1095&gt;TODAY()),0,IF(OR(INDEX($B1095:$D1095,AV$5)="F",AND(AV$6&gt;0,$A1095&lt;AV$6),AND(AV$7&gt;0,$A1095&gt;AV$7)),0,MAX(0,ROUND((INDEX($E1095:$G1095,AV$5)-SUMIFS(TF_Timer,TF_Tekniker,AV$4,TF_Dato,$A1095))*2,0)/2)))</f>
        <v/>
      </c>
      <c r="AW1095">
        <f>IF(OR(AW$4="",$A1095&gt;TODAY()),0,IF(OR(INDEX($B1095:$D1095,AW$5)="F",AND(AW$6&gt;0,$A1095&lt;AW$6),AND(AW$7&gt;0,$A1095&gt;AW$7)),0,MAX(0,ROUND((INDEX($E1095:$G1095,AW$5)-SUMIFS(TF_Timer,TF_Tekniker,AW$4,TF_Dato,$A1095))*2,0)/2)))</f>
        <v/>
      </c>
      <c r="AX1095">
        <f>IF(OR(AX$4="",$A1095&gt;TODAY()),0,IF(OR(INDEX($B1095:$D1095,AX$5)="F",AND(AX$6&gt;0,$A1095&lt;AX$6),AND(AX$7&gt;0,$A1095&gt;AX$7)),0,MAX(0,ROUND((INDEX($E1095:$G1095,AX$5)-SUMIFS(TF_Timer,TF_Tekniker,AX$4,TF_Dato,$A1095))*2,0)/2)))</f>
        <v/>
      </c>
      <c r="AY1095">
        <f>IF(OR(AY$4="",$A1095&gt;TODAY()),0,IF(OR(INDEX($B1095:$D1095,AY$5)="F",AND(AY$6&gt;0,$A1095&lt;AY$6),AND(AY$7&gt;0,$A1095&gt;AY$7)),0,MAX(0,ROUND((INDEX($E1095:$G1095,AY$5)-SUMIFS(TF_Timer,TF_Tekniker,AY$4,TF_Dato,$A1095))*2,0)/2)))</f>
        <v/>
      </c>
      <c r="AZ1095">
        <f>IF(OR(AZ$4="",$A1095&gt;TODAY()),0,IF(OR(INDEX($B1095:$D1095,AZ$5)="F",AND(AZ$6&gt;0,$A1095&lt;AZ$6),AND(AZ$7&gt;0,$A1095&gt;AZ$7)),0,MAX(0,ROUND((INDEX($E1095:$G1095,AZ$5)-SUMIFS(TF_Timer,TF_Tekniker,AZ$4,TF_Dato,$A1095))*2,0)/2)))</f>
        <v/>
      </c>
      <c r="BA1095">
        <f>IF(OR(BA$4="",$A1095&gt;TODAY()),0,IF(OR(INDEX($B1095:$D1095,BA$5)="F",AND(BA$6&gt;0,$A1095&lt;BA$6),AND(BA$7&gt;0,$A1095&gt;BA$7)),0,MAX(0,ROUND((INDEX($E1095:$G1095,BA$5)-SUMIFS(TF_Timer,TF_Tekniker,BA$4,TF_Dato,$A1095))*2,0)/2)))</f>
        <v/>
      </c>
      <c r="BB1095">
        <f>IF(OR(BB$4="",$A1095&gt;TODAY()),0,IF(OR(INDEX($B1095:$D1095,BB$5)="F",AND(BB$6&gt;0,$A1095&lt;BB$6),AND(BB$7&gt;0,$A1095&gt;BB$7)),0,MAX(0,ROUND((INDEX($E1095:$G1095,BB$5)-SUMIFS(TF_Timer,TF_Tekniker,BB$4,TF_Dato,$A1095))*2,0)/2)))</f>
        <v/>
      </c>
      <c r="BC1095">
        <f>IF(OR(BC$4="",$A1095&gt;TODAY()),0,IF(OR(INDEX($B1095:$D1095,BC$5)="F",AND(BC$6&gt;0,$A1095&lt;BC$6),AND(BC$7&gt;0,$A1095&gt;BC$7)),0,MAX(0,ROUND((INDEX($E1095:$G1095,BC$5)-SUMIFS(TF_Timer,TF_Tekniker,BC$4,TF_Dato,$A1095))*2,0)/2)))</f>
        <v/>
      </c>
      <c r="BD1095">
        <f>IF(OR(BD$4="",$A1095&gt;TODAY()),0,IF(OR(INDEX($B1095:$D1095,BD$5)="F",AND(BD$6&gt;0,$A1095&lt;BD$6),AND(BD$7&gt;0,$A1095&gt;BD$7)),0,MAX(0,ROUND((INDEX($E1095:$G1095,BD$5)-SUMIFS(TF_Timer,TF_Tekniker,BD$4,TF_Dato,$A1095))*2,0)/2)))</f>
        <v/>
      </c>
      <c r="BE1095">
        <f>IF(OR(BE$4="",$A1095&gt;TODAY()),0,IF(OR(INDEX($B1095:$D1095,BE$5)="F",AND(BE$6&gt;0,$A1095&lt;BE$6),AND(BE$7&gt;0,$A1095&gt;BE$7)),0,MAX(0,ROUND((INDEX($E1095:$G1095,BE$5)-SUMIFS(TF_Timer,TF_Tekniker,BE$4,TF_Dato,$A1095))*2,0)/2)))</f>
        <v/>
      </c>
      <c r="BF1095">
        <f>IF(OR(BF$4="",$A1095&gt;TODAY()),0,IF(OR(INDEX($B1095:$D1095,BF$5)="F",AND(BF$6&gt;0,$A1095&lt;BF$6),AND(BF$7&gt;0,$A1095&gt;BF$7)),0,MAX(0,ROUND((INDEX($E1095:$G1095,BF$5)-SUMIFS(TF_Timer,TF_Tekniker,BF$4,TF_Dato,$A1095))*2,0)/2)))</f>
        <v/>
      </c>
      <c r="BG1095">
        <f>IF(OR(BG$4="",$A1095&gt;TODAY()),0,IF(OR(INDEX($B1095:$D1095,BG$5)="F",AND(BG$6&gt;0,$A1095&lt;BG$6),AND(BG$7&gt;0,$A1095&gt;BG$7)),0,MAX(0,ROUND((INDEX($E1095:$G1095,BG$5)-SUMIFS(TF_Timer,TF_Tekniker,BG$4,TF_Dato,$A1095))*2,0)/2)))</f>
        <v/>
      </c>
      <c r="BH1095">
        <f>IF(OR(BH$4="",$A1095&gt;TODAY()),0,IF(OR(INDEX($B1095:$D1095,BH$5)="F",AND(BH$6&gt;0,$A1095&lt;BH$6),AND(BH$7&gt;0,$A1095&gt;BH$7)),0,MAX(0,ROUND((INDEX($E1095:$G1095,BH$5)-SUMIFS(TF_Timer,TF_Tekniker,BH$4,TF_Dato,$A1095))*2,0)/2)))</f>
        <v/>
      </c>
      <c r="BI1095">
        <f>IF(OR(BI$4="",$A1095&gt;TODAY()),0,IF(OR(INDEX($B1095:$D1095,BI$5)="F",AND(BI$6&gt;0,$A1095&lt;BI$6),AND(BI$7&gt;0,$A1095&gt;BI$7)),0,MAX(0,ROUND((INDEX($E1095:$G1095,BI$5)-SUMIFS(TF_Timer,TF_Tekniker,BI$4,TF_Dato,$A1095))*2,0)/2)))</f>
        <v/>
      </c>
    </row>
    <row r="1096">
      <c r="A1096" s="64">
        <f>A1095+1</f>
        <v/>
      </c>
      <c r="B1096">
        <f>IF(MOD($A1096-INDEX(SkiftStart,1),Syklus)&lt;DagK,"K",IF(MOD($A1096-INDEX(SkiftStart,1),Syklus)&lt;DagK+DagH,"H",IF(MOD($A1096-INDEX(SkiftStart,1),Syklus)&lt;DagK+DagH+DagD,"D","F")))</f>
        <v/>
      </c>
      <c r="C1096">
        <f>IF(MOD($A1096-INDEX(SkiftStart,2),Syklus)&lt;DagK,"K",IF(MOD($A1096-INDEX(SkiftStart,2),Syklus)&lt;DagK+DagH,"H",IF(MOD($A1096-INDEX(SkiftStart,2),Syklus)&lt;DagK+DagH+DagD,"D","F")))</f>
        <v/>
      </c>
      <c r="D1096">
        <f>IF(MOD($A1096-INDEX(SkiftStart,3),Syklus)&lt;DagK,"K",IF(MOD($A1096-INDEX(SkiftStart,3),Syklus)&lt;DagK+DagH,"H",IF(MOD($A1096-INDEX(SkiftStart,3),Syklus)&lt;DagK+DagH+DagD,"D","F")))</f>
        <v/>
      </c>
      <c r="E1096">
        <f>IF(B1096="F",0,IF(WEEKDAY($A1096,2)=5,INDEX(TimerFr,MATCH(B1096,FaseKode,0)),INDEX(TimerMT,MATCH(B1096,FaseKode,0))))</f>
        <v/>
      </c>
      <c r="F1096">
        <f>IF(C1096="F",0,IF(WEEKDAY($A1096,2)=5,INDEX(TimerFr,MATCH(C1096,FaseKode,0)),INDEX(TimerMT,MATCH(C1096,FaseKode,0))))</f>
        <v/>
      </c>
      <c r="G1096">
        <f>IF(D1096="F",0,IF(WEEKDAY($A1096,2)=5,INDEX(TimerFr,MATCH(D1096,FaseKode,0)),INDEX(TimerMT,MATCH(D1096,FaseKode,0))))</f>
        <v/>
      </c>
      <c r="H1096">
        <f>IF(OR(H$4="",$A1096&gt;TODAY()),0,IF(OR(INDEX($B1096:$D1096,H$5)="F",AND(H$6&gt;0,$A1096&lt;H$6),AND(H$7&gt;0,$A1096&gt;H$7)),0,MAX(0,ROUND((INDEX($E1096:$G1096,H$5)-SUMIFS(TF_Timer,TF_Tekniker,H$4,TF_Dato,$A1096))*2,0)/2)))</f>
        <v/>
      </c>
      <c r="I1096">
        <f>IF(OR(I$4="",$A1096&gt;TODAY()),0,IF(OR(INDEX($B1096:$D1096,I$5)="F",AND(I$6&gt;0,$A1096&lt;I$6),AND(I$7&gt;0,$A1096&gt;I$7)),0,MAX(0,ROUND((INDEX($E1096:$G1096,I$5)-SUMIFS(TF_Timer,TF_Tekniker,I$4,TF_Dato,$A1096))*2,0)/2)))</f>
        <v/>
      </c>
      <c r="J1096">
        <f>IF(OR(J$4="",$A1096&gt;TODAY()),0,IF(OR(INDEX($B1096:$D1096,J$5)="F",AND(J$6&gt;0,$A1096&lt;J$6),AND(J$7&gt;0,$A1096&gt;J$7)),0,MAX(0,ROUND((INDEX($E1096:$G1096,J$5)-SUMIFS(TF_Timer,TF_Tekniker,J$4,TF_Dato,$A1096))*2,0)/2)))</f>
        <v/>
      </c>
      <c r="K1096">
        <f>IF(OR(K$4="",$A1096&gt;TODAY()),0,IF(OR(INDEX($B1096:$D1096,K$5)="F",AND(K$6&gt;0,$A1096&lt;K$6),AND(K$7&gt;0,$A1096&gt;K$7)),0,MAX(0,ROUND((INDEX($E1096:$G1096,K$5)-SUMIFS(TF_Timer,TF_Tekniker,K$4,TF_Dato,$A1096))*2,0)/2)))</f>
        <v/>
      </c>
      <c r="L1096">
        <f>IF(OR(L$4="",$A1096&gt;TODAY()),0,IF(OR(INDEX($B1096:$D1096,L$5)="F",AND(L$6&gt;0,$A1096&lt;L$6),AND(L$7&gt;0,$A1096&gt;L$7)),0,MAX(0,ROUND((INDEX($E1096:$G1096,L$5)-SUMIFS(TF_Timer,TF_Tekniker,L$4,TF_Dato,$A1096))*2,0)/2)))</f>
        <v/>
      </c>
      <c r="M1096">
        <f>IF(OR(M$4="",$A1096&gt;TODAY()),0,IF(OR(INDEX($B1096:$D1096,M$5)="F",AND(M$6&gt;0,$A1096&lt;M$6),AND(M$7&gt;0,$A1096&gt;M$7)),0,MAX(0,ROUND((INDEX($E1096:$G1096,M$5)-SUMIFS(TF_Timer,TF_Tekniker,M$4,TF_Dato,$A1096))*2,0)/2)))</f>
        <v/>
      </c>
      <c r="N1096">
        <f>IF(OR(N$4="",$A1096&gt;TODAY()),0,IF(OR(INDEX($B1096:$D1096,N$5)="F",AND(N$6&gt;0,$A1096&lt;N$6),AND(N$7&gt;0,$A1096&gt;N$7)),0,MAX(0,ROUND((INDEX($E1096:$G1096,N$5)-SUMIFS(TF_Timer,TF_Tekniker,N$4,TF_Dato,$A1096))*2,0)/2)))</f>
        <v/>
      </c>
      <c r="O1096">
        <f>IF(OR(O$4="",$A1096&gt;TODAY()),0,IF(OR(INDEX($B1096:$D1096,O$5)="F",AND(O$6&gt;0,$A1096&lt;O$6),AND(O$7&gt;0,$A1096&gt;O$7)),0,MAX(0,ROUND((INDEX($E1096:$G1096,O$5)-SUMIFS(TF_Timer,TF_Tekniker,O$4,TF_Dato,$A1096))*2,0)/2)))</f>
        <v/>
      </c>
      <c r="P1096">
        <f>IF(OR(P$4="",$A1096&gt;TODAY()),0,IF(OR(INDEX($B1096:$D1096,P$5)="F",AND(P$6&gt;0,$A1096&lt;P$6),AND(P$7&gt;0,$A1096&gt;P$7)),0,MAX(0,ROUND((INDEX($E1096:$G1096,P$5)-SUMIFS(TF_Timer,TF_Tekniker,P$4,TF_Dato,$A1096))*2,0)/2)))</f>
        <v/>
      </c>
      <c r="Q1096">
        <f>IF(OR(Q$4="",$A1096&gt;TODAY()),0,IF(OR(INDEX($B1096:$D1096,Q$5)="F",AND(Q$6&gt;0,$A1096&lt;Q$6),AND(Q$7&gt;0,$A1096&gt;Q$7)),0,MAX(0,ROUND((INDEX($E1096:$G1096,Q$5)-SUMIFS(TF_Timer,TF_Tekniker,Q$4,TF_Dato,$A1096))*2,0)/2)))</f>
        <v/>
      </c>
      <c r="R1096">
        <f>IF(OR(R$4="",$A1096&gt;TODAY()),0,IF(OR(INDEX($B1096:$D1096,R$5)="F",AND(R$6&gt;0,$A1096&lt;R$6),AND(R$7&gt;0,$A1096&gt;R$7)),0,MAX(0,ROUND((INDEX($E1096:$G1096,R$5)-SUMIFS(TF_Timer,TF_Tekniker,R$4,TF_Dato,$A1096))*2,0)/2)))</f>
        <v/>
      </c>
      <c r="S1096">
        <f>IF(OR(S$4="",$A1096&gt;TODAY()),0,IF(OR(INDEX($B1096:$D1096,S$5)="F",AND(S$6&gt;0,$A1096&lt;S$6),AND(S$7&gt;0,$A1096&gt;S$7)),0,MAX(0,ROUND((INDEX($E1096:$G1096,S$5)-SUMIFS(TF_Timer,TF_Tekniker,S$4,TF_Dato,$A1096))*2,0)/2)))</f>
        <v/>
      </c>
      <c r="T1096">
        <f>IF(OR(T$4="",$A1096&gt;TODAY()),0,IF(OR(INDEX($B1096:$D1096,T$5)="F",AND(T$6&gt;0,$A1096&lt;T$6),AND(T$7&gt;0,$A1096&gt;T$7)),0,MAX(0,ROUND((INDEX($E1096:$G1096,T$5)-SUMIFS(TF_Timer,TF_Tekniker,T$4,TF_Dato,$A1096))*2,0)/2)))</f>
        <v/>
      </c>
      <c r="U1096">
        <f>IF(OR(U$4="",$A1096&gt;TODAY()),0,IF(OR(INDEX($B1096:$D1096,U$5)="F",AND(U$6&gt;0,$A1096&lt;U$6),AND(U$7&gt;0,$A1096&gt;U$7)),0,MAX(0,ROUND((INDEX($E1096:$G1096,U$5)-SUMIFS(TF_Timer,TF_Tekniker,U$4,TF_Dato,$A1096))*2,0)/2)))</f>
        <v/>
      </c>
      <c r="V1096">
        <f>IF(OR(V$4="",$A1096&gt;TODAY()),0,IF(OR(INDEX($B1096:$D1096,V$5)="F",AND(V$6&gt;0,$A1096&lt;V$6),AND(V$7&gt;0,$A1096&gt;V$7)),0,MAX(0,ROUND((INDEX($E1096:$G1096,V$5)-SUMIFS(TF_Timer,TF_Tekniker,V$4,TF_Dato,$A1096))*2,0)/2)))</f>
        <v/>
      </c>
      <c r="W1096">
        <f>IF(OR(W$4="",$A1096&gt;TODAY()),0,IF(OR(INDEX($B1096:$D1096,W$5)="F",AND(W$6&gt;0,$A1096&lt;W$6),AND(W$7&gt;0,$A1096&gt;W$7)),0,MAX(0,ROUND((INDEX($E1096:$G1096,W$5)-SUMIFS(TF_Timer,TF_Tekniker,W$4,TF_Dato,$A1096))*2,0)/2)))</f>
        <v/>
      </c>
      <c r="X1096">
        <f>IF(OR(X$4="",$A1096&gt;TODAY()),0,IF(OR(INDEX($B1096:$D1096,X$5)="F",AND(X$6&gt;0,$A1096&lt;X$6),AND(X$7&gt;0,$A1096&gt;X$7)),0,MAX(0,ROUND((INDEX($E1096:$G1096,X$5)-SUMIFS(TF_Timer,TF_Tekniker,X$4,TF_Dato,$A1096))*2,0)/2)))</f>
        <v/>
      </c>
      <c r="Y1096">
        <f>IF(OR(Y$4="",$A1096&gt;TODAY()),0,IF(OR(INDEX($B1096:$D1096,Y$5)="F",AND(Y$6&gt;0,$A1096&lt;Y$6),AND(Y$7&gt;0,$A1096&gt;Y$7)),0,MAX(0,ROUND((INDEX($E1096:$G1096,Y$5)-SUMIFS(TF_Timer,TF_Tekniker,Y$4,TF_Dato,$A1096))*2,0)/2)))</f>
        <v/>
      </c>
      <c r="Z1096">
        <f>IF(OR(Z$4="",$A1096&gt;TODAY()),0,IF(OR(INDEX($B1096:$D1096,Z$5)="F",AND(Z$6&gt;0,$A1096&lt;Z$6),AND(Z$7&gt;0,$A1096&gt;Z$7)),0,MAX(0,ROUND((INDEX($E1096:$G1096,Z$5)-SUMIFS(TF_Timer,TF_Tekniker,Z$4,TF_Dato,$A1096))*2,0)/2)))</f>
        <v/>
      </c>
      <c r="AA1096">
        <f>IF(OR(AA$4="",$A1096&gt;TODAY()),0,IF(OR(INDEX($B1096:$D1096,AA$5)="F",AND(AA$6&gt;0,$A1096&lt;AA$6),AND(AA$7&gt;0,$A1096&gt;AA$7)),0,MAX(0,ROUND((INDEX($E1096:$G1096,AA$5)-SUMIFS(TF_Timer,TF_Tekniker,AA$4,TF_Dato,$A1096))*2,0)/2)))</f>
        <v/>
      </c>
      <c r="AB1096">
        <f>IF(OR(AB$4="",$A1096&gt;TODAY()),0,IF(OR(INDEX($B1096:$D1096,AB$5)="F",AND(AB$6&gt;0,$A1096&lt;AB$6),AND(AB$7&gt;0,$A1096&gt;AB$7)),0,MAX(0,ROUND((INDEX($E1096:$G1096,AB$5)-SUMIFS(TF_Timer,TF_Tekniker,AB$4,TF_Dato,$A1096))*2,0)/2)))</f>
        <v/>
      </c>
      <c r="AC1096">
        <f>IF(OR(AC$4="",$A1096&gt;TODAY()),0,IF(OR(INDEX($B1096:$D1096,AC$5)="F",AND(AC$6&gt;0,$A1096&lt;AC$6),AND(AC$7&gt;0,$A1096&gt;AC$7)),0,MAX(0,ROUND((INDEX($E1096:$G1096,AC$5)-SUMIFS(TF_Timer,TF_Tekniker,AC$4,TF_Dato,$A1096))*2,0)/2)))</f>
        <v/>
      </c>
      <c r="AD1096">
        <f>IF(OR(AD$4="",$A1096&gt;TODAY()),0,IF(OR(INDEX($B1096:$D1096,AD$5)="F",AND(AD$6&gt;0,$A1096&lt;AD$6),AND(AD$7&gt;0,$A1096&gt;AD$7)),0,MAX(0,ROUND((INDEX($E1096:$G1096,AD$5)-SUMIFS(TF_Timer,TF_Tekniker,AD$4,TF_Dato,$A1096))*2,0)/2)))</f>
        <v/>
      </c>
      <c r="AE1096">
        <f>IF(OR(AE$4="",$A1096&gt;TODAY()),0,IF(OR(INDEX($B1096:$D1096,AE$5)="F",AND(AE$6&gt;0,$A1096&lt;AE$6),AND(AE$7&gt;0,$A1096&gt;AE$7)),0,MAX(0,ROUND((INDEX($E1096:$G1096,AE$5)-SUMIFS(TF_Timer,TF_Tekniker,AE$4,TF_Dato,$A1096))*2,0)/2)))</f>
        <v/>
      </c>
      <c r="AF1096">
        <f>IF(OR(AF$4="",$A1096&gt;TODAY()),0,IF(OR(INDEX($B1096:$D1096,AF$5)="F",AND(AF$6&gt;0,$A1096&lt;AF$6),AND(AF$7&gt;0,$A1096&gt;AF$7)),0,MAX(0,ROUND((INDEX($E1096:$G1096,AF$5)-SUMIFS(TF_Timer,TF_Tekniker,AF$4,TF_Dato,$A1096))*2,0)/2)))</f>
        <v/>
      </c>
      <c r="AG1096">
        <f>IF(OR(AG$4="",$A1096&gt;TODAY()),0,IF(OR(INDEX($B1096:$D1096,AG$5)="F",AND(AG$6&gt;0,$A1096&lt;AG$6),AND(AG$7&gt;0,$A1096&gt;AG$7)),0,MAX(0,ROUND((INDEX($E1096:$G1096,AG$5)-SUMIFS(TF_Timer,TF_Tekniker,AG$4,TF_Dato,$A1096))*2,0)/2)))</f>
        <v/>
      </c>
      <c r="AH1096">
        <f>IF(OR(AH$4="",$A1096&gt;TODAY()),0,IF(OR(INDEX($B1096:$D1096,AH$5)="F",AND(AH$6&gt;0,$A1096&lt;AH$6),AND(AH$7&gt;0,$A1096&gt;AH$7)),0,MAX(0,ROUND((INDEX($E1096:$G1096,AH$5)-SUMIFS(TF_Timer,TF_Tekniker,AH$4,TF_Dato,$A1096))*2,0)/2)))</f>
        <v/>
      </c>
      <c r="AI1096">
        <f>IF(OR(AI$4="",$A1096&gt;TODAY()),0,IF(OR(INDEX($B1096:$D1096,AI$5)="F",AND(AI$6&gt;0,$A1096&lt;AI$6),AND(AI$7&gt;0,$A1096&gt;AI$7)),0,MAX(0,ROUND((INDEX($E1096:$G1096,AI$5)-SUMIFS(TF_Timer,TF_Tekniker,AI$4,TF_Dato,$A1096))*2,0)/2)))</f>
        <v/>
      </c>
      <c r="AJ1096">
        <f>IF(OR(AJ$4="",$A1096&gt;TODAY()),0,IF(OR(INDEX($B1096:$D1096,AJ$5)="F",AND(AJ$6&gt;0,$A1096&lt;AJ$6),AND(AJ$7&gt;0,$A1096&gt;AJ$7)),0,MAX(0,ROUND((INDEX($E1096:$G1096,AJ$5)-SUMIFS(TF_Timer,TF_Tekniker,AJ$4,TF_Dato,$A1096))*2,0)/2)))</f>
        <v/>
      </c>
      <c r="AK1096">
        <f>IF(OR(AK$4="",$A1096&gt;TODAY()),0,IF(OR(INDEX($B1096:$D1096,AK$5)="F",AND(AK$6&gt;0,$A1096&lt;AK$6),AND(AK$7&gt;0,$A1096&gt;AK$7)),0,MAX(0,ROUND((INDEX($E1096:$G1096,AK$5)-SUMIFS(TF_Timer,TF_Tekniker,AK$4,TF_Dato,$A1096))*2,0)/2)))</f>
        <v/>
      </c>
      <c r="AL1096">
        <f>IF(OR(AL$4="",$A1096&gt;TODAY()),0,IF(OR(INDEX($B1096:$D1096,AL$5)="F",AND(AL$6&gt;0,$A1096&lt;AL$6),AND(AL$7&gt;0,$A1096&gt;AL$7)),0,MAX(0,ROUND((INDEX($E1096:$G1096,AL$5)-SUMIFS(TF_Timer,TF_Tekniker,AL$4,TF_Dato,$A1096))*2,0)/2)))</f>
        <v/>
      </c>
      <c r="AM1096">
        <f>IF(OR(AM$4="",$A1096&gt;TODAY()),0,IF(OR(INDEX($B1096:$D1096,AM$5)="F",AND(AM$6&gt;0,$A1096&lt;AM$6),AND(AM$7&gt;0,$A1096&gt;AM$7)),0,MAX(0,ROUND((INDEX($E1096:$G1096,AM$5)-SUMIFS(TF_Timer,TF_Tekniker,AM$4,TF_Dato,$A1096))*2,0)/2)))</f>
        <v/>
      </c>
      <c r="AN1096">
        <f>IF(OR(AN$4="",$A1096&gt;TODAY()),0,IF(OR(INDEX($B1096:$D1096,AN$5)="F",AND(AN$6&gt;0,$A1096&lt;AN$6),AND(AN$7&gt;0,$A1096&gt;AN$7)),0,MAX(0,ROUND((INDEX($E1096:$G1096,AN$5)-SUMIFS(TF_Timer,TF_Tekniker,AN$4,TF_Dato,$A1096))*2,0)/2)))</f>
        <v/>
      </c>
      <c r="AO1096">
        <f>IF(OR(AO$4="",$A1096&gt;TODAY()),0,IF(OR(INDEX($B1096:$D1096,AO$5)="F",AND(AO$6&gt;0,$A1096&lt;AO$6),AND(AO$7&gt;0,$A1096&gt;AO$7)),0,MAX(0,ROUND((INDEX($E1096:$G1096,AO$5)-SUMIFS(TF_Timer,TF_Tekniker,AO$4,TF_Dato,$A1096))*2,0)/2)))</f>
        <v/>
      </c>
      <c r="AP1096">
        <f>IF(OR(AP$4="",$A1096&gt;TODAY()),0,IF(OR(INDEX($B1096:$D1096,AP$5)="F",AND(AP$6&gt;0,$A1096&lt;AP$6),AND(AP$7&gt;0,$A1096&gt;AP$7)),0,MAX(0,ROUND((INDEX($E1096:$G1096,AP$5)-SUMIFS(TF_Timer,TF_Tekniker,AP$4,TF_Dato,$A1096))*2,0)/2)))</f>
        <v/>
      </c>
      <c r="AQ1096">
        <f>IF(OR(AQ$4="",$A1096&gt;TODAY()),0,IF(OR(INDEX($B1096:$D1096,AQ$5)="F",AND(AQ$6&gt;0,$A1096&lt;AQ$6),AND(AQ$7&gt;0,$A1096&gt;AQ$7)),0,MAX(0,ROUND((INDEX($E1096:$G1096,AQ$5)-SUMIFS(TF_Timer,TF_Tekniker,AQ$4,TF_Dato,$A1096))*2,0)/2)))</f>
        <v/>
      </c>
      <c r="AR1096">
        <f>IF(OR(AR$4="",$A1096&gt;TODAY()),0,IF(OR(INDEX($B1096:$D1096,AR$5)="F",AND(AR$6&gt;0,$A1096&lt;AR$6),AND(AR$7&gt;0,$A1096&gt;AR$7)),0,MAX(0,ROUND((INDEX($E1096:$G1096,AR$5)-SUMIFS(TF_Timer,TF_Tekniker,AR$4,TF_Dato,$A1096))*2,0)/2)))</f>
        <v/>
      </c>
      <c r="AS1096">
        <f>IF(OR(AS$4="",$A1096&gt;TODAY()),0,IF(OR(INDEX($B1096:$D1096,AS$5)="F",AND(AS$6&gt;0,$A1096&lt;AS$6),AND(AS$7&gt;0,$A1096&gt;AS$7)),0,MAX(0,ROUND((INDEX($E1096:$G1096,AS$5)-SUMIFS(TF_Timer,TF_Tekniker,AS$4,TF_Dato,$A1096))*2,0)/2)))</f>
        <v/>
      </c>
      <c r="AT1096">
        <f>IF(OR(AT$4="",$A1096&gt;TODAY()),0,IF(OR(INDEX($B1096:$D1096,AT$5)="F",AND(AT$6&gt;0,$A1096&lt;AT$6),AND(AT$7&gt;0,$A1096&gt;AT$7)),0,MAX(0,ROUND((INDEX($E1096:$G1096,AT$5)-SUMIFS(TF_Timer,TF_Tekniker,AT$4,TF_Dato,$A1096))*2,0)/2)))</f>
        <v/>
      </c>
      <c r="AU1096">
        <f>IF(OR(AU$4="",$A1096&gt;TODAY()),0,IF(OR(INDEX($B1096:$D1096,AU$5)="F",AND(AU$6&gt;0,$A1096&lt;AU$6),AND(AU$7&gt;0,$A1096&gt;AU$7)),0,MAX(0,ROUND((INDEX($E1096:$G1096,AU$5)-SUMIFS(TF_Timer,TF_Tekniker,AU$4,TF_Dato,$A1096))*2,0)/2)))</f>
        <v/>
      </c>
      <c r="AV1096">
        <f>IF(OR(AV$4="",$A1096&gt;TODAY()),0,IF(OR(INDEX($B1096:$D1096,AV$5)="F",AND(AV$6&gt;0,$A1096&lt;AV$6),AND(AV$7&gt;0,$A1096&gt;AV$7)),0,MAX(0,ROUND((INDEX($E1096:$G1096,AV$5)-SUMIFS(TF_Timer,TF_Tekniker,AV$4,TF_Dato,$A1096))*2,0)/2)))</f>
        <v/>
      </c>
      <c r="AW1096">
        <f>IF(OR(AW$4="",$A1096&gt;TODAY()),0,IF(OR(INDEX($B1096:$D1096,AW$5)="F",AND(AW$6&gt;0,$A1096&lt;AW$6),AND(AW$7&gt;0,$A1096&gt;AW$7)),0,MAX(0,ROUND((INDEX($E1096:$G1096,AW$5)-SUMIFS(TF_Timer,TF_Tekniker,AW$4,TF_Dato,$A1096))*2,0)/2)))</f>
        <v/>
      </c>
      <c r="AX1096">
        <f>IF(OR(AX$4="",$A1096&gt;TODAY()),0,IF(OR(INDEX($B1096:$D1096,AX$5)="F",AND(AX$6&gt;0,$A1096&lt;AX$6),AND(AX$7&gt;0,$A1096&gt;AX$7)),0,MAX(0,ROUND((INDEX($E1096:$G1096,AX$5)-SUMIFS(TF_Timer,TF_Tekniker,AX$4,TF_Dato,$A1096))*2,0)/2)))</f>
        <v/>
      </c>
      <c r="AY1096">
        <f>IF(OR(AY$4="",$A1096&gt;TODAY()),0,IF(OR(INDEX($B1096:$D1096,AY$5)="F",AND(AY$6&gt;0,$A1096&lt;AY$6),AND(AY$7&gt;0,$A1096&gt;AY$7)),0,MAX(0,ROUND((INDEX($E1096:$G1096,AY$5)-SUMIFS(TF_Timer,TF_Tekniker,AY$4,TF_Dato,$A1096))*2,0)/2)))</f>
        <v/>
      </c>
      <c r="AZ1096">
        <f>IF(OR(AZ$4="",$A1096&gt;TODAY()),0,IF(OR(INDEX($B1096:$D1096,AZ$5)="F",AND(AZ$6&gt;0,$A1096&lt;AZ$6),AND(AZ$7&gt;0,$A1096&gt;AZ$7)),0,MAX(0,ROUND((INDEX($E1096:$G1096,AZ$5)-SUMIFS(TF_Timer,TF_Tekniker,AZ$4,TF_Dato,$A1096))*2,0)/2)))</f>
        <v/>
      </c>
      <c r="BA1096">
        <f>IF(OR(BA$4="",$A1096&gt;TODAY()),0,IF(OR(INDEX($B1096:$D1096,BA$5)="F",AND(BA$6&gt;0,$A1096&lt;BA$6),AND(BA$7&gt;0,$A1096&gt;BA$7)),0,MAX(0,ROUND((INDEX($E1096:$G1096,BA$5)-SUMIFS(TF_Timer,TF_Tekniker,BA$4,TF_Dato,$A1096))*2,0)/2)))</f>
        <v/>
      </c>
      <c r="BB1096">
        <f>IF(OR(BB$4="",$A1096&gt;TODAY()),0,IF(OR(INDEX($B1096:$D1096,BB$5)="F",AND(BB$6&gt;0,$A1096&lt;BB$6),AND(BB$7&gt;0,$A1096&gt;BB$7)),0,MAX(0,ROUND((INDEX($E1096:$G1096,BB$5)-SUMIFS(TF_Timer,TF_Tekniker,BB$4,TF_Dato,$A1096))*2,0)/2)))</f>
        <v/>
      </c>
      <c r="BC1096">
        <f>IF(OR(BC$4="",$A1096&gt;TODAY()),0,IF(OR(INDEX($B1096:$D1096,BC$5)="F",AND(BC$6&gt;0,$A1096&lt;BC$6),AND(BC$7&gt;0,$A1096&gt;BC$7)),0,MAX(0,ROUND((INDEX($E1096:$G1096,BC$5)-SUMIFS(TF_Timer,TF_Tekniker,BC$4,TF_Dato,$A1096))*2,0)/2)))</f>
        <v/>
      </c>
      <c r="BD1096">
        <f>IF(OR(BD$4="",$A1096&gt;TODAY()),0,IF(OR(INDEX($B1096:$D1096,BD$5)="F",AND(BD$6&gt;0,$A1096&lt;BD$6),AND(BD$7&gt;0,$A1096&gt;BD$7)),0,MAX(0,ROUND((INDEX($E1096:$G1096,BD$5)-SUMIFS(TF_Timer,TF_Tekniker,BD$4,TF_Dato,$A1096))*2,0)/2)))</f>
        <v/>
      </c>
      <c r="BE1096">
        <f>IF(OR(BE$4="",$A1096&gt;TODAY()),0,IF(OR(INDEX($B1096:$D1096,BE$5)="F",AND(BE$6&gt;0,$A1096&lt;BE$6),AND(BE$7&gt;0,$A1096&gt;BE$7)),0,MAX(0,ROUND((INDEX($E1096:$G1096,BE$5)-SUMIFS(TF_Timer,TF_Tekniker,BE$4,TF_Dato,$A1096))*2,0)/2)))</f>
        <v/>
      </c>
      <c r="BF1096">
        <f>IF(OR(BF$4="",$A1096&gt;TODAY()),0,IF(OR(INDEX($B1096:$D1096,BF$5)="F",AND(BF$6&gt;0,$A1096&lt;BF$6),AND(BF$7&gt;0,$A1096&gt;BF$7)),0,MAX(0,ROUND((INDEX($E1096:$G1096,BF$5)-SUMIFS(TF_Timer,TF_Tekniker,BF$4,TF_Dato,$A1096))*2,0)/2)))</f>
        <v/>
      </c>
      <c r="BG1096">
        <f>IF(OR(BG$4="",$A1096&gt;TODAY()),0,IF(OR(INDEX($B1096:$D1096,BG$5)="F",AND(BG$6&gt;0,$A1096&lt;BG$6),AND(BG$7&gt;0,$A1096&gt;BG$7)),0,MAX(0,ROUND((INDEX($E1096:$G1096,BG$5)-SUMIFS(TF_Timer,TF_Tekniker,BG$4,TF_Dato,$A1096))*2,0)/2)))</f>
        <v/>
      </c>
      <c r="BH1096">
        <f>IF(OR(BH$4="",$A1096&gt;TODAY()),0,IF(OR(INDEX($B1096:$D1096,BH$5)="F",AND(BH$6&gt;0,$A1096&lt;BH$6),AND(BH$7&gt;0,$A1096&gt;BH$7)),0,MAX(0,ROUND((INDEX($E1096:$G1096,BH$5)-SUMIFS(TF_Timer,TF_Tekniker,BH$4,TF_Dato,$A1096))*2,0)/2)))</f>
        <v/>
      </c>
      <c r="BI1096">
        <f>IF(OR(BI$4="",$A1096&gt;TODAY()),0,IF(OR(INDEX($B1096:$D1096,BI$5)="F",AND(BI$6&gt;0,$A1096&lt;BI$6),AND(BI$7&gt;0,$A1096&gt;BI$7)),0,MAX(0,ROUND((INDEX($E1096:$G1096,BI$5)-SUMIFS(TF_Timer,TF_Tekniker,BI$4,TF_Dato,$A1096))*2,0)/2)))</f>
        <v/>
      </c>
    </row>
    <row r="1097">
      <c r="A1097" s="64">
        <f>A1096+1</f>
        <v/>
      </c>
      <c r="B1097">
        <f>IF(MOD($A1097-INDEX(SkiftStart,1),Syklus)&lt;DagK,"K",IF(MOD($A1097-INDEX(SkiftStart,1),Syklus)&lt;DagK+DagH,"H",IF(MOD($A1097-INDEX(SkiftStart,1),Syklus)&lt;DagK+DagH+DagD,"D","F")))</f>
        <v/>
      </c>
      <c r="C1097">
        <f>IF(MOD($A1097-INDEX(SkiftStart,2),Syklus)&lt;DagK,"K",IF(MOD($A1097-INDEX(SkiftStart,2),Syklus)&lt;DagK+DagH,"H",IF(MOD($A1097-INDEX(SkiftStart,2),Syklus)&lt;DagK+DagH+DagD,"D","F")))</f>
        <v/>
      </c>
      <c r="D1097">
        <f>IF(MOD($A1097-INDEX(SkiftStart,3),Syklus)&lt;DagK,"K",IF(MOD($A1097-INDEX(SkiftStart,3),Syklus)&lt;DagK+DagH,"H",IF(MOD($A1097-INDEX(SkiftStart,3),Syklus)&lt;DagK+DagH+DagD,"D","F")))</f>
        <v/>
      </c>
      <c r="E1097">
        <f>IF(B1097="F",0,IF(WEEKDAY($A1097,2)=5,INDEX(TimerFr,MATCH(B1097,FaseKode,0)),INDEX(TimerMT,MATCH(B1097,FaseKode,0))))</f>
        <v/>
      </c>
      <c r="F1097">
        <f>IF(C1097="F",0,IF(WEEKDAY($A1097,2)=5,INDEX(TimerFr,MATCH(C1097,FaseKode,0)),INDEX(TimerMT,MATCH(C1097,FaseKode,0))))</f>
        <v/>
      </c>
      <c r="G1097">
        <f>IF(D1097="F",0,IF(WEEKDAY($A1097,2)=5,INDEX(TimerFr,MATCH(D1097,FaseKode,0)),INDEX(TimerMT,MATCH(D1097,FaseKode,0))))</f>
        <v/>
      </c>
      <c r="H1097">
        <f>IF(OR(H$4="",$A1097&gt;TODAY()),0,IF(OR(INDEX($B1097:$D1097,H$5)="F",AND(H$6&gt;0,$A1097&lt;H$6),AND(H$7&gt;0,$A1097&gt;H$7)),0,MAX(0,ROUND((INDEX($E1097:$G1097,H$5)-SUMIFS(TF_Timer,TF_Tekniker,H$4,TF_Dato,$A1097))*2,0)/2)))</f>
        <v/>
      </c>
      <c r="I1097">
        <f>IF(OR(I$4="",$A1097&gt;TODAY()),0,IF(OR(INDEX($B1097:$D1097,I$5)="F",AND(I$6&gt;0,$A1097&lt;I$6),AND(I$7&gt;0,$A1097&gt;I$7)),0,MAX(0,ROUND((INDEX($E1097:$G1097,I$5)-SUMIFS(TF_Timer,TF_Tekniker,I$4,TF_Dato,$A1097))*2,0)/2)))</f>
        <v/>
      </c>
      <c r="J1097">
        <f>IF(OR(J$4="",$A1097&gt;TODAY()),0,IF(OR(INDEX($B1097:$D1097,J$5)="F",AND(J$6&gt;0,$A1097&lt;J$6),AND(J$7&gt;0,$A1097&gt;J$7)),0,MAX(0,ROUND((INDEX($E1097:$G1097,J$5)-SUMIFS(TF_Timer,TF_Tekniker,J$4,TF_Dato,$A1097))*2,0)/2)))</f>
        <v/>
      </c>
      <c r="K1097">
        <f>IF(OR(K$4="",$A1097&gt;TODAY()),0,IF(OR(INDEX($B1097:$D1097,K$5)="F",AND(K$6&gt;0,$A1097&lt;K$6),AND(K$7&gt;0,$A1097&gt;K$7)),0,MAX(0,ROUND((INDEX($E1097:$G1097,K$5)-SUMIFS(TF_Timer,TF_Tekniker,K$4,TF_Dato,$A1097))*2,0)/2)))</f>
        <v/>
      </c>
      <c r="L1097">
        <f>IF(OR(L$4="",$A1097&gt;TODAY()),0,IF(OR(INDEX($B1097:$D1097,L$5)="F",AND(L$6&gt;0,$A1097&lt;L$6),AND(L$7&gt;0,$A1097&gt;L$7)),0,MAX(0,ROUND((INDEX($E1097:$G1097,L$5)-SUMIFS(TF_Timer,TF_Tekniker,L$4,TF_Dato,$A1097))*2,0)/2)))</f>
        <v/>
      </c>
      <c r="M1097">
        <f>IF(OR(M$4="",$A1097&gt;TODAY()),0,IF(OR(INDEX($B1097:$D1097,M$5)="F",AND(M$6&gt;0,$A1097&lt;M$6),AND(M$7&gt;0,$A1097&gt;M$7)),0,MAX(0,ROUND((INDEX($E1097:$G1097,M$5)-SUMIFS(TF_Timer,TF_Tekniker,M$4,TF_Dato,$A1097))*2,0)/2)))</f>
        <v/>
      </c>
      <c r="N1097">
        <f>IF(OR(N$4="",$A1097&gt;TODAY()),0,IF(OR(INDEX($B1097:$D1097,N$5)="F",AND(N$6&gt;0,$A1097&lt;N$6),AND(N$7&gt;0,$A1097&gt;N$7)),0,MAX(0,ROUND((INDEX($E1097:$G1097,N$5)-SUMIFS(TF_Timer,TF_Tekniker,N$4,TF_Dato,$A1097))*2,0)/2)))</f>
        <v/>
      </c>
      <c r="O1097">
        <f>IF(OR(O$4="",$A1097&gt;TODAY()),0,IF(OR(INDEX($B1097:$D1097,O$5)="F",AND(O$6&gt;0,$A1097&lt;O$6),AND(O$7&gt;0,$A1097&gt;O$7)),0,MAX(0,ROUND((INDEX($E1097:$G1097,O$5)-SUMIFS(TF_Timer,TF_Tekniker,O$4,TF_Dato,$A1097))*2,0)/2)))</f>
        <v/>
      </c>
      <c r="P1097">
        <f>IF(OR(P$4="",$A1097&gt;TODAY()),0,IF(OR(INDEX($B1097:$D1097,P$5)="F",AND(P$6&gt;0,$A1097&lt;P$6),AND(P$7&gt;0,$A1097&gt;P$7)),0,MAX(0,ROUND((INDEX($E1097:$G1097,P$5)-SUMIFS(TF_Timer,TF_Tekniker,P$4,TF_Dato,$A1097))*2,0)/2)))</f>
        <v/>
      </c>
      <c r="Q1097">
        <f>IF(OR(Q$4="",$A1097&gt;TODAY()),0,IF(OR(INDEX($B1097:$D1097,Q$5)="F",AND(Q$6&gt;0,$A1097&lt;Q$6),AND(Q$7&gt;0,$A1097&gt;Q$7)),0,MAX(0,ROUND((INDEX($E1097:$G1097,Q$5)-SUMIFS(TF_Timer,TF_Tekniker,Q$4,TF_Dato,$A1097))*2,0)/2)))</f>
        <v/>
      </c>
      <c r="R1097">
        <f>IF(OR(R$4="",$A1097&gt;TODAY()),0,IF(OR(INDEX($B1097:$D1097,R$5)="F",AND(R$6&gt;0,$A1097&lt;R$6),AND(R$7&gt;0,$A1097&gt;R$7)),0,MAX(0,ROUND((INDEX($E1097:$G1097,R$5)-SUMIFS(TF_Timer,TF_Tekniker,R$4,TF_Dato,$A1097))*2,0)/2)))</f>
        <v/>
      </c>
      <c r="S1097">
        <f>IF(OR(S$4="",$A1097&gt;TODAY()),0,IF(OR(INDEX($B1097:$D1097,S$5)="F",AND(S$6&gt;0,$A1097&lt;S$6),AND(S$7&gt;0,$A1097&gt;S$7)),0,MAX(0,ROUND((INDEX($E1097:$G1097,S$5)-SUMIFS(TF_Timer,TF_Tekniker,S$4,TF_Dato,$A1097))*2,0)/2)))</f>
        <v/>
      </c>
      <c r="T1097">
        <f>IF(OR(T$4="",$A1097&gt;TODAY()),0,IF(OR(INDEX($B1097:$D1097,T$5)="F",AND(T$6&gt;0,$A1097&lt;T$6),AND(T$7&gt;0,$A1097&gt;T$7)),0,MAX(0,ROUND((INDEX($E1097:$G1097,T$5)-SUMIFS(TF_Timer,TF_Tekniker,T$4,TF_Dato,$A1097))*2,0)/2)))</f>
        <v/>
      </c>
      <c r="U1097">
        <f>IF(OR(U$4="",$A1097&gt;TODAY()),0,IF(OR(INDEX($B1097:$D1097,U$5)="F",AND(U$6&gt;0,$A1097&lt;U$6),AND(U$7&gt;0,$A1097&gt;U$7)),0,MAX(0,ROUND((INDEX($E1097:$G1097,U$5)-SUMIFS(TF_Timer,TF_Tekniker,U$4,TF_Dato,$A1097))*2,0)/2)))</f>
        <v/>
      </c>
      <c r="V1097">
        <f>IF(OR(V$4="",$A1097&gt;TODAY()),0,IF(OR(INDEX($B1097:$D1097,V$5)="F",AND(V$6&gt;0,$A1097&lt;V$6),AND(V$7&gt;0,$A1097&gt;V$7)),0,MAX(0,ROUND((INDEX($E1097:$G1097,V$5)-SUMIFS(TF_Timer,TF_Tekniker,V$4,TF_Dato,$A1097))*2,0)/2)))</f>
        <v/>
      </c>
      <c r="W1097">
        <f>IF(OR(W$4="",$A1097&gt;TODAY()),0,IF(OR(INDEX($B1097:$D1097,W$5)="F",AND(W$6&gt;0,$A1097&lt;W$6),AND(W$7&gt;0,$A1097&gt;W$7)),0,MAX(0,ROUND((INDEX($E1097:$G1097,W$5)-SUMIFS(TF_Timer,TF_Tekniker,W$4,TF_Dato,$A1097))*2,0)/2)))</f>
        <v/>
      </c>
      <c r="X1097">
        <f>IF(OR(X$4="",$A1097&gt;TODAY()),0,IF(OR(INDEX($B1097:$D1097,X$5)="F",AND(X$6&gt;0,$A1097&lt;X$6),AND(X$7&gt;0,$A1097&gt;X$7)),0,MAX(0,ROUND((INDEX($E1097:$G1097,X$5)-SUMIFS(TF_Timer,TF_Tekniker,X$4,TF_Dato,$A1097))*2,0)/2)))</f>
        <v/>
      </c>
      <c r="Y1097">
        <f>IF(OR(Y$4="",$A1097&gt;TODAY()),0,IF(OR(INDEX($B1097:$D1097,Y$5)="F",AND(Y$6&gt;0,$A1097&lt;Y$6),AND(Y$7&gt;0,$A1097&gt;Y$7)),0,MAX(0,ROUND((INDEX($E1097:$G1097,Y$5)-SUMIFS(TF_Timer,TF_Tekniker,Y$4,TF_Dato,$A1097))*2,0)/2)))</f>
        <v/>
      </c>
      <c r="Z1097">
        <f>IF(OR(Z$4="",$A1097&gt;TODAY()),0,IF(OR(INDEX($B1097:$D1097,Z$5)="F",AND(Z$6&gt;0,$A1097&lt;Z$6),AND(Z$7&gt;0,$A1097&gt;Z$7)),0,MAX(0,ROUND((INDEX($E1097:$G1097,Z$5)-SUMIFS(TF_Timer,TF_Tekniker,Z$4,TF_Dato,$A1097))*2,0)/2)))</f>
        <v/>
      </c>
      <c r="AA1097">
        <f>IF(OR(AA$4="",$A1097&gt;TODAY()),0,IF(OR(INDEX($B1097:$D1097,AA$5)="F",AND(AA$6&gt;0,$A1097&lt;AA$6),AND(AA$7&gt;0,$A1097&gt;AA$7)),0,MAX(0,ROUND((INDEX($E1097:$G1097,AA$5)-SUMIFS(TF_Timer,TF_Tekniker,AA$4,TF_Dato,$A1097))*2,0)/2)))</f>
        <v/>
      </c>
      <c r="AB1097">
        <f>IF(OR(AB$4="",$A1097&gt;TODAY()),0,IF(OR(INDEX($B1097:$D1097,AB$5)="F",AND(AB$6&gt;0,$A1097&lt;AB$6),AND(AB$7&gt;0,$A1097&gt;AB$7)),0,MAX(0,ROUND((INDEX($E1097:$G1097,AB$5)-SUMIFS(TF_Timer,TF_Tekniker,AB$4,TF_Dato,$A1097))*2,0)/2)))</f>
        <v/>
      </c>
      <c r="AC1097">
        <f>IF(OR(AC$4="",$A1097&gt;TODAY()),0,IF(OR(INDEX($B1097:$D1097,AC$5)="F",AND(AC$6&gt;0,$A1097&lt;AC$6),AND(AC$7&gt;0,$A1097&gt;AC$7)),0,MAX(0,ROUND((INDEX($E1097:$G1097,AC$5)-SUMIFS(TF_Timer,TF_Tekniker,AC$4,TF_Dato,$A1097))*2,0)/2)))</f>
        <v/>
      </c>
      <c r="AD1097">
        <f>IF(OR(AD$4="",$A1097&gt;TODAY()),0,IF(OR(INDEX($B1097:$D1097,AD$5)="F",AND(AD$6&gt;0,$A1097&lt;AD$6),AND(AD$7&gt;0,$A1097&gt;AD$7)),0,MAX(0,ROUND((INDEX($E1097:$G1097,AD$5)-SUMIFS(TF_Timer,TF_Tekniker,AD$4,TF_Dato,$A1097))*2,0)/2)))</f>
        <v/>
      </c>
      <c r="AE1097">
        <f>IF(OR(AE$4="",$A1097&gt;TODAY()),0,IF(OR(INDEX($B1097:$D1097,AE$5)="F",AND(AE$6&gt;0,$A1097&lt;AE$6),AND(AE$7&gt;0,$A1097&gt;AE$7)),0,MAX(0,ROUND((INDEX($E1097:$G1097,AE$5)-SUMIFS(TF_Timer,TF_Tekniker,AE$4,TF_Dato,$A1097))*2,0)/2)))</f>
        <v/>
      </c>
      <c r="AF1097">
        <f>IF(OR(AF$4="",$A1097&gt;TODAY()),0,IF(OR(INDEX($B1097:$D1097,AF$5)="F",AND(AF$6&gt;0,$A1097&lt;AF$6),AND(AF$7&gt;0,$A1097&gt;AF$7)),0,MAX(0,ROUND((INDEX($E1097:$G1097,AF$5)-SUMIFS(TF_Timer,TF_Tekniker,AF$4,TF_Dato,$A1097))*2,0)/2)))</f>
        <v/>
      </c>
      <c r="AG1097">
        <f>IF(OR(AG$4="",$A1097&gt;TODAY()),0,IF(OR(INDEX($B1097:$D1097,AG$5)="F",AND(AG$6&gt;0,$A1097&lt;AG$6),AND(AG$7&gt;0,$A1097&gt;AG$7)),0,MAX(0,ROUND((INDEX($E1097:$G1097,AG$5)-SUMIFS(TF_Timer,TF_Tekniker,AG$4,TF_Dato,$A1097))*2,0)/2)))</f>
        <v/>
      </c>
      <c r="AH1097">
        <f>IF(OR(AH$4="",$A1097&gt;TODAY()),0,IF(OR(INDEX($B1097:$D1097,AH$5)="F",AND(AH$6&gt;0,$A1097&lt;AH$6),AND(AH$7&gt;0,$A1097&gt;AH$7)),0,MAX(0,ROUND((INDEX($E1097:$G1097,AH$5)-SUMIFS(TF_Timer,TF_Tekniker,AH$4,TF_Dato,$A1097))*2,0)/2)))</f>
        <v/>
      </c>
      <c r="AI1097">
        <f>IF(OR(AI$4="",$A1097&gt;TODAY()),0,IF(OR(INDEX($B1097:$D1097,AI$5)="F",AND(AI$6&gt;0,$A1097&lt;AI$6),AND(AI$7&gt;0,$A1097&gt;AI$7)),0,MAX(0,ROUND((INDEX($E1097:$G1097,AI$5)-SUMIFS(TF_Timer,TF_Tekniker,AI$4,TF_Dato,$A1097))*2,0)/2)))</f>
        <v/>
      </c>
      <c r="AJ1097">
        <f>IF(OR(AJ$4="",$A1097&gt;TODAY()),0,IF(OR(INDEX($B1097:$D1097,AJ$5)="F",AND(AJ$6&gt;0,$A1097&lt;AJ$6),AND(AJ$7&gt;0,$A1097&gt;AJ$7)),0,MAX(0,ROUND((INDEX($E1097:$G1097,AJ$5)-SUMIFS(TF_Timer,TF_Tekniker,AJ$4,TF_Dato,$A1097))*2,0)/2)))</f>
        <v/>
      </c>
      <c r="AK1097">
        <f>IF(OR(AK$4="",$A1097&gt;TODAY()),0,IF(OR(INDEX($B1097:$D1097,AK$5)="F",AND(AK$6&gt;0,$A1097&lt;AK$6),AND(AK$7&gt;0,$A1097&gt;AK$7)),0,MAX(0,ROUND((INDEX($E1097:$G1097,AK$5)-SUMIFS(TF_Timer,TF_Tekniker,AK$4,TF_Dato,$A1097))*2,0)/2)))</f>
        <v/>
      </c>
      <c r="AL1097">
        <f>IF(OR(AL$4="",$A1097&gt;TODAY()),0,IF(OR(INDEX($B1097:$D1097,AL$5)="F",AND(AL$6&gt;0,$A1097&lt;AL$6),AND(AL$7&gt;0,$A1097&gt;AL$7)),0,MAX(0,ROUND((INDEX($E1097:$G1097,AL$5)-SUMIFS(TF_Timer,TF_Tekniker,AL$4,TF_Dato,$A1097))*2,0)/2)))</f>
        <v/>
      </c>
      <c r="AM1097">
        <f>IF(OR(AM$4="",$A1097&gt;TODAY()),0,IF(OR(INDEX($B1097:$D1097,AM$5)="F",AND(AM$6&gt;0,$A1097&lt;AM$6),AND(AM$7&gt;0,$A1097&gt;AM$7)),0,MAX(0,ROUND((INDEX($E1097:$G1097,AM$5)-SUMIFS(TF_Timer,TF_Tekniker,AM$4,TF_Dato,$A1097))*2,0)/2)))</f>
        <v/>
      </c>
      <c r="AN1097">
        <f>IF(OR(AN$4="",$A1097&gt;TODAY()),0,IF(OR(INDEX($B1097:$D1097,AN$5)="F",AND(AN$6&gt;0,$A1097&lt;AN$6),AND(AN$7&gt;0,$A1097&gt;AN$7)),0,MAX(0,ROUND((INDEX($E1097:$G1097,AN$5)-SUMIFS(TF_Timer,TF_Tekniker,AN$4,TF_Dato,$A1097))*2,0)/2)))</f>
        <v/>
      </c>
      <c r="AO1097">
        <f>IF(OR(AO$4="",$A1097&gt;TODAY()),0,IF(OR(INDEX($B1097:$D1097,AO$5)="F",AND(AO$6&gt;0,$A1097&lt;AO$6),AND(AO$7&gt;0,$A1097&gt;AO$7)),0,MAX(0,ROUND((INDEX($E1097:$G1097,AO$5)-SUMIFS(TF_Timer,TF_Tekniker,AO$4,TF_Dato,$A1097))*2,0)/2)))</f>
        <v/>
      </c>
      <c r="AP1097">
        <f>IF(OR(AP$4="",$A1097&gt;TODAY()),0,IF(OR(INDEX($B1097:$D1097,AP$5)="F",AND(AP$6&gt;0,$A1097&lt;AP$6),AND(AP$7&gt;0,$A1097&gt;AP$7)),0,MAX(0,ROUND((INDEX($E1097:$G1097,AP$5)-SUMIFS(TF_Timer,TF_Tekniker,AP$4,TF_Dato,$A1097))*2,0)/2)))</f>
        <v/>
      </c>
      <c r="AQ1097">
        <f>IF(OR(AQ$4="",$A1097&gt;TODAY()),0,IF(OR(INDEX($B1097:$D1097,AQ$5)="F",AND(AQ$6&gt;0,$A1097&lt;AQ$6),AND(AQ$7&gt;0,$A1097&gt;AQ$7)),0,MAX(0,ROUND((INDEX($E1097:$G1097,AQ$5)-SUMIFS(TF_Timer,TF_Tekniker,AQ$4,TF_Dato,$A1097))*2,0)/2)))</f>
        <v/>
      </c>
      <c r="AR1097">
        <f>IF(OR(AR$4="",$A1097&gt;TODAY()),0,IF(OR(INDEX($B1097:$D1097,AR$5)="F",AND(AR$6&gt;0,$A1097&lt;AR$6),AND(AR$7&gt;0,$A1097&gt;AR$7)),0,MAX(0,ROUND((INDEX($E1097:$G1097,AR$5)-SUMIFS(TF_Timer,TF_Tekniker,AR$4,TF_Dato,$A1097))*2,0)/2)))</f>
        <v/>
      </c>
      <c r="AS1097">
        <f>IF(OR(AS$4="",$A1097&gt;TODAY()),0,IF(OR(INDEX($B1097:$D1097,AS$5)="F",AND(AS$6&gt;0,$A1097&lt;AS$6),AND(AS$7&gt;0,$A1097&gt;AS$7)),0,MAX(0,ROUND((INDEX($E1097:$G1097,AS$5)-SUMIFS(TF_Timer,TF_Tekniker,AS$4,TF_Dato,$A1097))*2,0)/2)))</f>
        <v/>
      </c>
      <c r="AT1097">
        <f>IF(OR(AT$4="",$A1097&gt;TODAY()),0,IF(OR(INDEX($B1097:$D1097,AT$5)="F",AND(AT$6&gt;0,$A1097&lt;AT$6),AND(AT$7&gt;0,$A1097&gt;AT$7)),0,MAX(0,ROUND((INDEX($E1097:$G1097,AT$5)-SUMIFS(TF_Timer,TF_Tekniker,AT$4,TF_Dato,$A1097))*2,0)/2)))</f>
        <v/>
      </c>
      <c r="AU1097">
        <f>IF(OR(AU$4="",$A1097&gt;TODAY()),0,IF(OR(INDEX($B1097:$D1097,AU$5)="F",AND(AU$6&gt;0,$A1097&lt;AU$6),AND(AU$7&gt;0,$A1097&gt;AU$7)),0,MAX(0,ROUND((INDEX($E1097:$G1097,AU$5)-SUMIFS(TF_Timer,TF_Tekniker,AU$4,TF_Dato,$A1097))*2,0)/2)))</f>
        <v/>
      </c>
      <c r="AV1097">
        <f>IF(OR(AV$4="",$A1097&gt;TODAY()),0,IF(OR(INDEX($B1097:$D1097,AV$5)="F",AND(AV$6&gt;0,$A1097&lt;AV$6),AND(AV$7&gt;0,$A1097&gt;AV$7)),0,MAX(0,ROUND((INDEX($E1097:$G1097,AV$5)-SUMIFS(TF_Timer,TF_Tekniker,AV$4,TF_Dato,$A1097))*2,0)/2)))</f>
        <v/>
      </c>
      <c r="AW1097">
        <f>IF(OR(AW$4="",$A1097&gt;TODAY()),0,IF(OR(INDEX($B1097:$D1097,AW$5)="F",AND(AW$6&gt;0,$A1097&lt;AW$6),AND(AW$7&gt;0,$A1097&gt;AW$7)),0,MAX(0,ROUND((INDEX($E1097:$G1097,AW$5)-SUMIFS(TF_Timer,TF_Tekniker,AW$4,TF_Dato,$A1097))*2,0)/2)))</f>
        <v/>
      </c>
      <c r="AX1097">
        <f>IF(OR(AX$4="",$A1097&gt;TODAY()),0,IF(OR(INDEX($B1097:$D1097,AX$5)="F",AND(AX$6&gt;0,$A1097&lt;AX$6),AND(AX$7&gt;0,$A1097&gt;AX$7)),0,MAX(0,ROUND((INDEX($E1097:$G1097,AX$5)-SUMIFS(TF_Timer,TF_Tekniker,AX$4,TF_Dato,$A1097))*2,0)/2)))</f>
        <v/>
      </c>
      <c r="AY1097">
        <f>IF(OR(AY$4="",$A1097&gt;TODAY()),0,IF(OR(INDEX($B1097:$D1097,AY$5)="F",AND(AY$6&gt;0,$A1097&lt;AY$6),AND(AY$7&gt;0,$A1097&gt;AY$7)),0,MAX(0,ROUND((INDEX($E1097:$G1097,AY$5)-SUMIFS(TF_Timer,TF_Tekniker,AY$4,TF_Dato,$A1097))*2,0)/2)))</f>
        <v/>
      </c>
      <c r="AZ1097">
        <f>IF(OR(AZ$4="",$A1097&gt;TODAY()),0,IF(OR(INDEX($B1097:$D1097,AZ$5)="F",AND(AZ$6&gt;0,$A1097&lt;AZ$6),AND(AZ$7&gt;0,$A1097&gt;AZ$7)),0,MAX(0,ROUND((INDEX($E1097:$G1097,AZ$5)-SUMIFS(TF_Timer,TF_Tekniker,AZ$4,TF_Dato,$A1097))*2,0)/2)))</f>
        <v/>
      </c>
      <c r="BA1097">
        <f>IF(OR(BA$4="",$A1097&gt;TODAY()),0,IF(OR(INDEX($B1097:$D1097,BA$5)="F",AND(BA$6&gt;0,$A1097&lt;BA$6),AND(BA$7&gt;0,$A1097&gt;BA$7)),0,MAX(0,ROUND((INDEX($E1097:$G1097,BA$5)-SUMIFS(TF_Timer,TF_Tekniker,BA$4,TF_Dato,$A1097))*2,0)/2)))</f>
        <v/>
      </c>
      <c r="BB1097">
        <f>IF(OR(BB$4="",$A1097&gt;TODAY()),0,IF(OR(INDEX($B1097:$D1097,BB$5)="F",AND(BB$6&gt;0,$A1097&lt;BB$6),AND(BB$7&gt;0,$A1097&gt;BB$7)),0,MAX(0,ROUND((INDEX($E1097:$G1097,BB$5)-SUMIFS(TF_Timer,TF_Tekniker,BB$4,TF_Dato,$A1097))*2,0)/2)))</f>
        <v/>
      </c>
      <c r="BC1097">
        <f>IF(OR(BC$4="",$A1097&gt;TODAY()),0,IF(OR(INDEX($B1097:$D1097,BC$5)="F",AND(BC$6&gt;0,$A1097&lt;BC$6),AND(BC$7&gt;0,$A1097&gt;BC$7)),0,MAX(0,ROUND((INDEX($E1097:$G1097,BC$5)-SUMIFS(TF_Timer,TF_Tekniker,BC$4,TF_Dato,$A1097))*2,0)/2)))</f>
        <v/>
      </c>
      <c r="BD1097">
        <f>IF(OR(BD$4="",$A1097&gt;TODAY()),0,IF(OR(INDEX($B1097:$D1097,BD$5)="F",AND(BD$6&gt;0,$A1097&lt;BD$6),AND(BD$7&gt;0,$A1097&gt;BD$7)),0,MAX(0,ROUND((INDEX($E1097:$G1097,BD$5)-SUMIFS(TF_Timer,TF_Tekniker,BD$4,TF_Dato,$A1097))*2,0)/2)))</f>
        <v/>
      </c>
      <c r="BE1097">
        <f>IF(OR(BE$4="",$A1097&gt;TODAY()),0,IF(OR(INDEX($B1097:$D1097,BE$5)="F",AND(BE$6&gt;0,$A1097&lt;BE$6),AND(BE$7&gt;0,$A1097&gt;BE$7)),0,MAX(0,ROUND((INDEX($E1097:$G1097,BE$5)-SUMIFS(TF_Timer,TF_Tekniker,BE$4,TF_Dato,$A1097))*2,0)/2)))</f>
        <v/>
      </c>
      <c r="BF1097">
        <f>IF(OR(BF$4="",$A1097&gt;TODAY()),0,IF(OR(INDEX($B1097:$D1097,BF$5)="F",AND(BF$6&gt;0,$A1097&lt;BF$6),AND(BF$7&gt;0,$A1097&gt;BF$7)),0,MAX(0,ROUND((INDEX($E1097:$G1097,BF$5)-SUMIFS(TF_Timer,TF_Tekniker,BF$4,TF_Dato,$A1097))*2,0)/2)))</f>
        <v/>
      </c>
      <c r="BG1097">
        <f>IF(OR(BG$4="",$A1097&gt;TODAY()),0,IF(OR(INDEX($B1097:$D1097,BG$5)="F",AND(BG$6&gt;0,$A1097&lt;BG$6),AND(BG$7&gt;0,$A1097&gt;BG$7)),0,MAX(0,ROUND((INDEX($E1097:$G1097,BG$5)-SUMIFS(TF_Timer,TF_Tekniker,BG$4,TF_Dato,$A1097))*2,0)/2)))</f>
        <v/>
      </c>
      <c r="BH1097">
        <f>IF(OR(BH$4="",$A1097&gt;TODAY()),0,IF(OR(INDEX($B1097:$D1097,BH$5)="F",AND(BH$6&gt;0,$A1097&lt;BH$6),AND(BH$7&gt;0,$A1097&gt;BH$7)),0,MAX(0,ROUND((INDEX($E1097:$G1097,BH$5)-SUMIFS(TF_Timer,TF_Tekniker,BH$4,TF_Dato,$A1097))*2,0)/2)))</f>
        <v/>
      </c>
      <c r="BI1097">
        <f>IF(OR(BI$4="",$A1097&gt;TODAY()),0,IF(OR(INDEX($B1097:$D1097,BI$5)="F",AND(BI$6&gt;0,$A1097&lt;BI$6),AND(BI$7&gt;0,$A1097&gt;BI$7)),0,MAX(0,ROUND((INDEX($E1097:$G1097,BI$5)-SUMIFS(TF_Timer,TF_Tekniker,BI$4,TF_Dato,$A1097))*2,0)/2)))</f>
        <v/>
      </c>
    </row>
    <row r="1098">
      <c r="A1098" s="64">
        <f>A1097+1</f>
        <v/>
      </c>
      <c r="B1098">
        <f>IF(MOD($A1098-INDEX(SkiftStart,1),Syklus)&lt;DagK,"K",IF(MOD($A1098-INDEX(SkiftStart,1),Syklus)&lt;DagK+DagH,"H",IF(MOD($A1098-INDEX(SkiftStart,1),Syklus)&lt;DagK+DagH+DagD,"D","F")))</f>
        <v/>
      </c>
      <c r="C1098">
        <f>IF(MOD($A1098-INDEX(SkiftStart,2),Syklus)&lt;DagK,"K",IF(MOD($A1098-INDEX(SkiftStart,2),Syklus)&lt;DagK+DagH,"H",IF(MOD($A1098-INDEX(SkiftStart,2),Syklus)&lt;DagK+DagH+DagD,"D","F")))</f>
        <v/>
      </c>
      <c r="D1098">
        <f>IF(MOD($A1098-INDEX(SkiftStart,3),Syklus)&lt;DagK,"K",IF(MOD($A1098-INDEX(SkiftStart,3),Syklus)&lt;DagK+DagH,"H",IF(MOD($A1098-INDEX(SkiftStart,3),Syklus)&lt;DagK+DagH+DagD,"D","F")))</f>
        <v/>
      </c>
      <c r="E1098">
        <f>IF(B1098="F",0,IF(WEEKDAY($A1098,2)=5,INDEX(TimerFr,MATCH(B1098,FaseKode,0)),INDEX(TimerMT,MATCH(B1098,FaseKode,0))))</f>
        <v/>
      </c>
      <c r="F1098">
        <f>IF(C1098="F",0,IF(WEEKDAY($A1098,2)=5,INDEX(TimerFr,MATCH(C1098,FaseKode,0)),INDEX(TimerMT,MATCH(C1098,FaseKode,0))))</f>
        <v/>
      </c>
      <c r="G1098">
        <f>IF(D1098="F",0,IF(WEEKDAY($A1098,2)=5,INDEX(TimerFr,MATCH(D1098,FaseKode,0)),INDEX(TimerMT,MATCH(D1098,FaseKode,0))))</f>
        <v/>
      </c>
      <c r="H1098">
        <f>IF(OR(H$4="",$A1098&gt;TODAY()),0,IF(OR(INDEX($B1098:$D1098,H$5)="F",AND(H$6&gt;0,$A1098&lt;H$6),AND(H$7&gt;0,$A1098&gt;H$7)),0,MAX(0,ROUND((INDEX($E1098:$G1098,H$5)-SUMIFS(TF_Timer,TF_Tekniker,H$4,TF_Dato,$A1098))*2,0)/2)))</f>
        <v/>
      </c>
      <c r="I1098">
        <f>IF(OR(I$4="",$A1098&gt;TODAY()),0,IF(OR(INDEX($B1098:$D1098,I$5)="F",AND(I$6&gt;0,$A1098&lt;I$6),AND(I$7&gt;0,$A1098&gt;I$7)),0,MAX(0,ROUND((INDEX($E1098:$G1098,I$5)-SUMIFS(TF_Timer,TF_Tekniker,I$4,TF_Dato,$A1098))*2,0)/2)))</f>
        <v/>
      </c>
      <c r="J1098">
        <f>IF(OR(J$4="",$A1098&gt;TODAY()),0,IF(OR(INDEX($B1098:$D1098,J$5)="F",AND(J$6&gt;0,$A1098&lt;J$6),AND(J$7&gt;0,$A1098&gt;J$7)),0,MAX(0,ROUND((INDEX($E1098:$G1098,J$5)-SUMIFS(TF_Timer,TF_Tekniker,J$4,TF_Dato,$A1098))*2,0)/2)))</f>
        <v/>
      </c>
      <c r="K1098">
        <f>IF(OR(K$4="",$A1098&gt;TODAY()),0,IF(OR(INDEX($B1098:$D1098,K$5)="F",AND(K$6&gt;0,$A1098&lt;K$6),AND(K$7&gt;0,$A1098&gt;K$7)),0,MAX(0,ROUND((INDEX($E1098:$G1098,K$5)-SUMIFS(TF_Timer,TF_Tekniker,K$4,TF_Dato,$A1098))*2,0)/2)))</f>
        <v/>
      </c>
      <c r="L1098">
        <f>IF(OR(L$4="",$A1098&gt;TODAY()),0,IF(OR(INDEX($B1098:$D1098,L$5)="F",AND(L$6&gt;0,$A1098&lt;L$6),AND(L$7&gt;0,$A1098&gt;L$7)),0,MAX(0,ROUND((INDEX($E1098:$G1098,L$5)-SUMIFS(TF_Timer,TF_Tekniker,L$4,TF_Dato,$A1098))*2,0)/2)))</f>
        <v/>
      </c>
      <c r="M1098">
        <f>IF(OR(M$4="",$A1098&gt;TODAY()),0,IF(OR(INDEX($B1098:$D1098,M$5)="F",AND(M$6&gt;0,$A1098&lt;M$6),AND(M$7&gt;0,$A1098&gt;M$7)),0,MAX(0,ROUND((INDEX($E1098:$G1098,M$5)-SUMIFS(TF_Timer,TF_Tekniker,M$4,TF_Dato,$A1098))*2,0)/2)))</f>
        <v/>
      </c>
      <c r="N1098">
        <f>IF(OR(N$4="",$A1098&gt;TODAY()),0,IF(OR(INDEX($B1098:$D1098,N$5)="F",AND(N$6&gt;0,$A1098&lt;N$6),AND(N$7&gt;0,$A1098&gt;N$7)),0,MAX(0,ROUND((INDEX($E1098:$G1098,N$5)-SUMIFS(TF_Timer,TF_Tekniker,N$4,TF_Dato,$A1098))*2,0)/2)))</f>
        <v/>
      </c>
      <c r="O1098">
        <f>IF(OR(O$4="",$A1098&gt;TODAY()),0,IF(OR(INDEX($B1098:$D1098,O$5)="F",AND(O$6&gt;0,$A1098&lt;O$6),AND(O$7&gt;0,$A1098&gt;O$7)),0,MAX(0,ROUND((INDEX($E1098:$G1098,O$5)-SUMIFS(TF_Timer,TF_Tekniker,O$4,TF_Dato,$A1098))*2,0)/2)))</f>
        <v/>
      </c>
      <c r="P1098">
        <f>IF(OR(P$4="",$A1098&gt;TODAY()),0,IF(OR(INDEX($B1098:$D1098,P$5)="F",AND(P$6&gt;0,$A1098&lt;P$6),AND(P$7&gt;0,$A1098&gt;P$7)),0,MAX(0,ROUND((INDEX($E1098:$G1098,P$5)-SUMIFS(TF_Timer,TF_Tekniker,P$4,TF_Dato,$A1098))*2,0)/2)))</f>
        <v/>
      </c>
      <c r="Q1098">
        <f>IF(OR(Q$4="",$A1098&gt;TODAY()),0,IF(OR(INDEX($B1098:$D1098,Q$5)="F",AND(Q$6&gt;0,$A1098&lt;Q$6),AND(Q$7&gt;0,$A1098&gt;Q$7)),0,MAX(0,ROUND((INDEX($E1098:$G1098,Q$5)-SUMIFS(TF_Timer,TF_Tekniker,Q$4,TF_Dato,$A1098))*2,0)/2)))</f>
        <v/>
      </c>
      <c r="R1098">
        <f>IF(OR(R$4="",$A1098&gt;TODAY()),0,IF(OR(INDEX($B1098:$D1098,R$5)="F",AND(R$6&gt;0,$A1098&lt;R$6),AND(R$7&gt;0,$A1098&gt;R$7)),0,MAX(0,ROUND((INDEX($E1098:$G1098,R$5)-SUMIFS(TF_Timer,TF_Tekniker,R$4,TF_Dato,$A1098))*2,0)/2)))</f>
        <v/>
      </c>
      <c r="S1098">
        <f>IF(OR(S$4="",$A1098&gt;TODAY()),0,IF(OR(INDEX($B1098:$D1098,S$5)="F",AND(S$6&gt;0,$A1098&lt;S$6),AND(S$7&gt;0,$A1098&gt;S$7)),0,MAX(0,ROUND((INDEX($E1098:$G1098,S$5)-SUMIFS(TF_Timer,TF_Tekniker,S$4,TF_Dato,$A1098))*2,0)/2)))</f>
        <v/>
      </c>
      <c r="T1098">
        <f>IF(OR(T$4="",$A1098&gt;TODAY()),0,IF(OR(INDEX($B1098:$D1098,T$5)="F",AND(T$6&gt;0,$A1098&lt;T$6),AND(T$7&gt;0,$A1098&gt;T$7)),0,MAX(0,ROUND((INDEX($E1098:$G1098,T$5)-SUMIFS(TF_Timer,TF_Tekniker,T$4,TF_Dato,$A1098))*2,0)/2)))</f>
        <v/>
      </c>
      <c r="U1098">
        <f>IF(OR(U$4="",$A1098&gt;TODAY()),0,IF(OR(INDEX($B1098:$D1098,U$5)="F",AND(U$6&gt;0,$A1098&lt;U$6),AND(U$7&gt;0,$A1098&gt;U$7)),0,MAX(0,ROUND((INDEX($E1098:$G1098,U$5)-SUMIFS(TF_Timer,TF_Tekniker,U$4,TF_Dato,$A1098))*2,0)/2)))</f>
        <v/>
      </c>
      <c r="V1098">
        <f>IF(OR(V$4="",$A1098&gt;TODAY()),0,IF(OR(INDEX($B1098:$D1098,V$5)="F",AND(V$6&gt;0,$A1098&lt;V$6),AND(V$7&gt;0,$A1098&gt;V$7)),0,MAX(0,ROUND((INDEX($E1098:$G1098,V$5)-SUMIFS(TF_Timer,TF_Tekniker,V$4,TF_Dato,$A1098))*2,0)/2)))</f>
        <v/>
      </c>
      <c r="W1098">
        <f>IF(OR(W$4="",$A1098&gt;TODAY()),0,IF(OR(INDEX($B1098:$D1098,W$5)="F",AND(W$6&gt;0,$A1098&lt;W$6),AND(W$7&gt;0,$A1098&gt;W$7)),0,MAX(0,ROUND((INDEX($E1098:$G1098,W$5)-SUMIFS(TF_Timer,TF_Tekniker,W$4,TF_Dato,$A1098))*2,0)/2)))</f>
        <v/>
      </c>
      <c r="X1098">
        <f>IF(OR(X$4="",$A1098&gt;TODAY()),0,IF(OR(INDEX($B1098:$D1098,X$5)="F",AND(X$6&gt;0,$A1098&lt;X$6),AND(X$7&gt;0,$A1098&gt;X$7)),0,MAX(0,ROUND((INDEX($E1098:$G1098,X$5)-SUMIFS(TF_Timer,TF_Tekniker,X$4,TF_Dato,$A1098))*2,0)/2)))</f>
        <v/>
      </c>
      <c r="Y1098">
        <f>IF(OR(Y$4="",$A1098&gt;TODAY()),0,IF(OR(INDEX($B1098:$D1098,Y$5)="F",AND(Y$6&gt;0,$A1098&lt;Y$6),AND(Y$7&gt;0,$A1098&gt;Y$7)),0,MAX(0,ROUND((INDEX($E1098:$G1098,Y$5)-SUMIFS(TF_Timer,TF_Tekniker,Y$4,TF_Dato,$A1098))*2,0)/2)))</f>
        <v/>
      </c>
      <c r="Z1098">
        <f>IF(OR(Z$4="",$A1098&gt;TODAY()),0,IF(OR(INDEX($B1098:$D1098,Z$5)="F",AND(Z$6&gt;0,$A1098&lt;Z$6),AND(Z$7&gt;0,$A1098&gt;Z$7)),0,MAX(0,ROUND((INDEX($E1098:$G1098,Z$5)-SUMIFS(TF_Timer,TF_Tekniker,Z$4,TF_Dato,$A1098))*2,0)/2)))</f>
        <v/>
      </c>
      <c r="AA1098">
        <f>IF(OR(AA$4="",$A1098&gt;TODAY()),0,IF(OR(INDEX($B1098:$D1098,AA$5)="F",AND(AA$6&gt;0,$A1098&lt;AA$6),AND(AA$7&gt;0,$A1098&gt;AA$7)),0,MAX(0,ROUND((INDEX($E1098:$G1098,AA$5)-SUMIFS(TF_Timer,TF_Tekniker,AA$4,TF_Dato,$A1098))*2,0)/2)))</f>
        <v/>
      </c>
      <c r="AB1098">
        <f>IF(OR(AB$4="",$A1098&gt;TODAY()),0,IF(OR(INDEX($B1098:$D1098,AB$5)="F",AND(AB$6&gt;0,$A1098&lt;AB$6),AND(AB$7&gt;0,$A1098&gt;AB$7)),0,MAX(0,ROUND((INDEX($E1098:$G1098,AB$5)-SUMIFS(TF_Timer,TF_Tekniker,AB$4,TF_Dato,$A1098))*2,0)/2)))</f>
        <v/>
      </c>
      <c r="AC1098">
        <f>IF(OR(AC$4="",$A1098&gt;TODAY()),0,IF(OR(INDEX($B1098:$D1098,AC$5)="F",AND(AC$6&gt;0,$A1098&lt;AC$6),AND(AC$7&gt;0,$A1098&gt;AC$7)),0,MAX(0,ROUND((INDEX($E1098:$G1098,AC$5)-SUMIFS(TF_Timer,TF_Tekniker,AC$4,TF_Dato,$A1098))*2,0)/2)))</f>
        <v/>
      </c>
      <c r="AD1098">
        <f>IF(OR(AD$4="",$A1098&gt;TODAY()),0,IF(OR(INDEX($B1098:$D1098,AD$5)="F",AND(AD$6&gt;0,$A1098&lt;AD$6),AND(AD$7&gt;0,$A1098&gt;AD$7)),0,MAX(0,ROUND((INDEX($E1098:$G1098,AD$5)-SUMIFS(TF_Timer,TF_Tekniker,AD$4,TF_Dato,$A1098))*2,0)/2)))</f>
        <v/>
      </c>
      <c r="AE1098">
        <f>IF(OR(AE$4="",$A1098&gt;TODAY()),0,IF(OR(INDEX($B1098:$D1098,AE$5)="F",AND(AE$6&gt;0,$A1098&lt;AE$6),AND(AE$7&gt;0,$A1098&gt;AE$7)),0,MAX(0,ROUND((INDEX($E1098:$G1098,AE$5)-SUMIFS(TF_Timer,TF_Tekniker,AE$4,TF_Dato,$A1098))*2,0)/2)))</f>
        <v/>
      </c>
      <c r="AF1098">
        <f>IF(OR(AF$4="",$A1098&gt;TODAY()),0,IF(OR(INDEX($B1098:$D1098,AF$5)="F",AND(AF$6&gt;0,$A1098&lt;AF$6),AND(AF$7&gt;0,$A1098&gt;AF$7)),0,MAX(0,ROUND((INDEX($E1098:$G1098,AF$5)-SUMIFS(TF_Timer,TF_Tekniker,AF$4,TF_Dato,$A1098))*2,0)/2)))</f>
        <v/>
      </c>
      <c r="AG1098">
        <f>IF(OR(AG$4="",$A1098&gt;TODAY()),0,IF(OR(INDEX($B1098:$D1098,AG$5)="F",AND(AG$6&gt;0,$A1098&lt;AG$6),AND(AG$7&gt;0,$A1098&gt;AG$7)),0,MAX(0,ROUND((INDEX($E1098:$G1098,AG$5)-SUMIFS(TF_Timer,TF_Tekniker,AG$4,TF_Dato,$A1098))*2,0)/2)))</f>
        <v/>
      </c>
      <c r="AH1098">
        <f>IF(OR(AH$4="",$A1098&gt;TODAY()),0,IF(OR(INDEX($B1098:$D1098,AH$5)="F",AND(AH$6&gt;0,$A1098&lt;AH$6),AND(AH$7&gt;0,$A1098&gt;AH$7)),0,MAX(0,ROUND((INDEX($E1098:$G1098,AH$5)-SUMIFS(TF_Timer,TF_Tekniker,AH$4,TF_Dato,$A1098))*2,0)/2)))</f>
        <v/>
      </c>
      <c r="AI1098">
        <f>IF(OR(AI$4="",$A1098&gt;TODAY()),0,IF(OR(INDEX($B1098:$D1098,AI$5)="F",AND(AI$6&gt;0,$A1098&lt;AI$6),AND(AI$7&gt;0,$A1098&gt;AI$7)),0,MAX(0,ROUND((INDEX($E1098:$G1098,AI$5)-SUMIFS(TF_Timer,TF_Tekniker,AI$4,TF_Dato,$A1098))*2,0)/2)))</f>
        <v/>
      </c>
      <c r="AJ1098">
        <f>IF(OR(AJ$4="",$A1098&gt;TODAY()),0,IF(OR(INDEX($B1098:$D1098,AJ$5)="F",AND(AJ$6&gt;0,$A1098&lt;AJ$6),AND(AJ$7&gt;0,$A1098&gt;AJ$7)),0,MAX(0,ROUND((INDEX($E1098:$G1098,AJ$5)-SUMIFS(TF_Timer,TF_Tekniker,AJ$4,TF_Dato,$A1098))*2,0)/2)))</f>
        <v/>
      </c>
      <c r="AK1098">
        <f>IF(OR(AK$4="",$A1098&gt;TODAY()),0,IF(OR(INDEX($B1098:$D1098,AK$5)="F",AND(AK$6&gt;0,$A1098&lt;AK$6),AND(AK$7&gt;0,$A1098&gt;AK$7)),0,MAX(0,ROUND((INDEX($E1098:$G1098,AK$5)-SUMIFS(TF_Timer,TF_Tekniker,AK$4,TF_Dato,$A1098))*2,0)/2)))</f>
        <v/>
      </c>
      <c r="AL1098">
        <f>IF(OR(AL$4="",$A1098&gt;TODAY()),0,IF(OR(INDEX($B1098:$D1098,AL$5)="F",AND(AL$6&gt;0,$A1098&lt;AL$6),AND(AL$7&gt;0,$A1098&gt;AL$7)),0,MAX(0,ROUND((INDEX($E1098:$G1098,AL$5)-SUMIFS(TF_Timer,TF_Tekniker,AL$4,TF_Dato,$A1098))*2,0)/2)))</f>
        <v/>
      </c>
      <c r="AM1098">
        <f>IF(OR(AM$4="",$A1098&gt;TODAY()),0,IF(OR(INDEX($B1098:$D1098,AM$5)="F",AND(AM$6&gt;0,$A1098&lt;AM$6),AND(AM$7&gt;0,$A1098&gt;AM$7)),0,MAX(0,ROUND((INDEX($E1098:$G1098,AM$5)-SUMIFS(TF_Timer,TF_Tekniker,AM$4,TF_Dato,$A1098))*2,0)/2)))</f>
        <v/>
      </c>
      <c r="AN1098">
        <f>IF(OR(AN$4="",$A1098&gt;TODAY()),0,IF(OR(INDEX($B1098:$D1098,AN$5)="F",AND(AN$6&gt;0,$A1098&lt;AN$6),AND(AN$7&gt;0,$A1098&gt;AN$7)),0,MAX(0,ROUND((INDEX($E1098:$G1098,AN$5)-SUMIFS(TF_Timer,TF_Tekniker,AN$4,TF_Dato,$A1098))*2,0)/2)))</f>
        <v/>
      </c>
      <c r="AO1098">
        <f>IF(OR(AO$4="",$A1098&gt;TODAY()),0,IF(OR(INDEX($B1098:$D1098,AO$5)="F",AND(AO$6&gt;0,$A1098&lt;AO$6),AND(AO$7&gt;0,$A1098&gt;AO$7)),0,MAX(0,ROUND((INDEX($E1098:$G1098,AO$5)-SUMIFS(TF_Timer,TF_Tekniker,AO$4,TF_Dato,$A1098))*2,0)/2)))</f>
        <v/>
      </c>
      <c r="AP1098">
        <f>IF(OR(AP$4="",$A1098&gt;TODAY()),0,IF(OR(INDEX($B1098:$D1098,AP$5)="F",AND(AP$6&gt;0,$A1098&lt;AP$6),AND(AP$7&gt;0,$A1098&gt;AP$7)),0,MAX(0,ROUND((INDEX($E1098:$G1098,AP$5)-SUMIFS(TF_Timer,TF_Tekniker,AP$4,TF_Dato,$A1098))*2,0)/2)))</f>
        <v/>
      </c>
      <c r="AQ1098">
        <f>IF(OR(AQ$4="",$A1098&gt;TODAY()),0,IF(OR(INDEX($B1098:$D1098,AQ$5)="F",AND(AQ$6&gt;0,$A1098&lt;AQ$6),AND(AQ$7&gt;0,$A1098&gt;AQ$7)),0,MAX(0,ROUND((INDEX($E1098:$G1098,AQ$5)-SUMIFS(TF_Timer,TF_Tekniker,AQ$4,TF_Dato,$A1098))*2,0)/2)))</f>
        <v/>
      </c>
      <c r="AR1098">
        <f>IF(OR(AR$4="",$A1098&gt;TODAY()),0,IF(OR(INDEX($B1098:$D1098,AR$5)="F",AND(AR$6&gt;0,$A1098&lt;AR$6),AND(AR$7&gt;0,$A1098&gt;AR$7)),0,MAX(0,ROUND((INDEX($E1098:$G1098,AR$5)-SUMIFS(TF_Timer,TF_Tekniker,AR$4,TF_Dato,$A1098))*2,0)/2)))</f>
        <v/>
      </c>
      <c r="AS1098">
        <f>IF(OR(AS$4="",$A1098&gt;TODAY()),0,IF(OR(INDEX($B1098:$D1098,AS$5)="F",AND(AS$6&gt;0,$A1098&lt;AS$6),AND(AS$7&gt;0,$A1098&gt;AS$7)),0,MAX(0,ROUND((INDEX($E1098:$G1098,AS$5)-SUMIFS(TF_Timer,TF_Tekniker,AS$4,TF_Dato,$A1098))*2,0)/2)))</f>
        <v/>
      </c>
      <c r="AT1098">
        <f>IF(OR(AT$4="",$A1098&gt;TODAY()),0,IF(OR(INDEX($B1098:$D1098,AT$5)="F",AND(AT$6&gt;0,$A1098&lt;AT$6),AND(AT$7&gt;0,$A1098&gt;AT$7)),0,MAX(0,ROUND((INDEX($E1098:$G1098,AT$5)-SUMIFS(TF_Timer,TF_Tekniker,AT$4,TF_Dato,$A1098))*2,0)/2)))</f>
        <v/>
      </c>
      <c r="AU1098">
        <f>IF(OR(AU$4="",$A1098&gt;TODAY()),0,IF(OR(INDEX($B1098:$D1098,AU$5)="F",AND(AU$6&gt;0,$A1098&lt;AU$6),AND(AU$7&gt;0,$A1098&gt;AU$7)),0,MAX(0,ROUND((INDEX($E1098:$G1098,AU$5)-SUMIFS(TF_Timer,TF_Tekniker,AU$4,TF_Dato,$A1098))*2,0)/2)))</f>
        <v/>
      </c>
      <c r="AV1098">
        <f>IF(OR(AV$4="",$A1098&gt;TODAY()),0,IF(OR(INDEX($B1098:$D1098,AV$5)="F",AND(AV$6&gt;0,$A1098&lt;AV$6),AND(AV$7&gt;0,$A1098&gt;AV$7)),0,MAX(0,ROUND((INDEX($E1098:$G1098,AV$5)-SUMIFS(TF_Timer,TF_Tekniker,AV$4,TF_Dato,$A1098))*2,0)/2)))</f>
        <v/>
      </c>
      <c r="AW1098">
        <f>IF(OR(AW$4="",$A1098&gt;TODAY()),0,IF(OR(INDEX($B1098:$D1098,AW$5)="F",AND(AW$6&gt;0,$A1098&lt;AW$6),AND(AW$7&gt;0,$A1098&gt;AW$7)),0,MAX(0,ROUND((INDEX($E1098:$G1098,AW$5)-SUMIFS(TF_Timer,TF_Tekniker,AW$4,TF_Dato,$A1098))*2,0)/2)))</f>
        <v/>
      </c>
      <c r="AX1098">
        <f>IF(OR(AX$4="",$A1098&gt;TODAY()),0,IF(OR(INDEX($B1098:$D1098,AX$5)="F",AND(AX$6&gt;0,$A1098&lt;AX$6),AND(AX$7&gt;0,$A1098&gt;AX$7)),0,MAX(0,ROUND((INDEX($E1098:$G1098,AX$5)-SUMIFS(TF_Timer,TF_Tekniker,AX$4,TF_Dato,$A1098))*2,0)/2)))</f>
        <v/>
      </c>
      <c r="AY1098">
        <f>IF(OR(AY$4="",$A1098&gt;TODAY()),0,IF(OR(INDEX($B1098:$D1098,AY$5)="F",AND(AY$6&gt;0,$A1098&lt;AY$6),AND(AY$7&gt;0,$A1098&gt;AY$7)),0,MAX(0,ROUND((INDEX($E1098:$G1098,AY$5)-SUMIFS(TF_Timer,TF_Tekniker,AY$4,TF_Dato,$A1098))*2,0)/2)))</f>
        <v/>
      </c>
      <c r="AZ1098">
        <f>IF(OR(AZ$4="",$A1098&gt;TODAY()),0,IF(OR(INDEX($B1098:$D1098,AZ$5)="F",AND(AZ$6&gt;0,$A1098&lt;AZ$6),AND(AZ$7&gt;0,$A1098&gt;AZ$7)),0,MAX(0,ROUND((INDEX($E1098:$G1098,AZ$5)-SUMIFS(TF_Timer,TF_Tekniker,AZ$4,TF_Dato,$A1098))*2,0)/2)))</f>
        <v/>
      </c>
      <c r="BA1098">
        <f>IF(OR(BA$4="",$A1098&gt;TODAY()),0,IF(OR(INDEX($B1098:$D1098,BA$5)="F",AND(BA$6&gt;0,$A1098&lt;BA$6),AND(BA$7&gt;0,$A1098&gt;BA$7)),0,MAX(0,ROUND((INDEX($E1098:$G1098,BA$5)-SUMIFS(TF_Timer,TF_Tekniker,BA$4,TF_Dato,$A1098))*2,0)/2)))</f>
        <v/>
      </c>
      <c r="BB1098">
        <f>IF(OR(BB$4="",$A1098&gt;TODAY()),0,IF(OR(INDEX($B1098:$D1098,BB$5)="F",AND(BB$6&gt;0,$A1098&lt;BB$6),AND(BB$7&gt;0,$A1098&gt;BB$7)),0,MAX(0,ROUND((INDEX($E1098:$G1098,BB$5)-SUMIFS(TF_Timer,TF_Tekniker,BB$4,TF_Dato,$A1098))*2,0)/2)))</f>
        <v/>
      </c>
      <c r="BC1098">
        <f>IF(OR(BC$4="",$A1098&gt;TODAY()),0,IF(OR(INDEX($B1098:$D1098,BC$5)="F",AND(BC$6&gt;0,$A1098&lt;BC$6),AND(BC$7&gt;0,$A1098&gt;BC$7)),0,MAX(0,ROUND((INDEX($E1098:$G1098,BC$5)-SUMIFS(TF_Timer,TF_Tekniker,BC$4,TF_Dato,$A1098))*2,0)/2)))</f>
        <v/>
      </c>
      <c r="BD1098">
        <f>IF(OR(BD$4="",$A1098&gt;TODAY()),0,IF(OR(INDEX($B1098:$D1098,BD$5)="F",AND(BD$6&gt;0,$A1098&lt;BD$6),AND(BD$7&gt;0,$A1098&gt;BD$7)),0,MAX(0,ROUND((INDEX($E1098:$G1098,BD$5)-SUMIFS(TF_Timer,TF_Tekniker,BD$4,TF_Dato,$A1098))*2,0)/2)))</f>
        <v/>
      </c>
      <c r="BE1098">
        <f>IF(OR(BE$4="",$A1098&gt;TODAY()),0,IF(OR(INDEX($B1098:$D1098,BE$5)="F",AND(BE$6&gt;0,$A1098&lt;BE$6),AND(BE$7&gt;0,$A1098&gt;BE$7)),0,MAX(0,ROUND((INDEX($E1098:$G1098,BE$5)-SUMIFS(TF_Timer,TF_Tekniker,BE$4,TF_Dato,$A1098))*2,0)/2)))</f>
        <v/>
      </c>
      <c r="BF1098">
        <f>IF(OR(BF$4="",$A1098&gt;TODAY()),0,IF(OR(INDEX($B1098:$D1098,BF$5)="F",AND(BF$6&gt;0,$A1098&lt;BF$6),AND(BF$7&gt;0,$A1098&gt;BF$7)),0,MAX(0,ROUND((INDEX($E1098:$G1098,BF$5)-SUMIFS(TF_Timer,TF_Tekniker,BF$4,TF_Dato,$A1098))*2,0)/2)))</f>
        <v/>
      </c>
      <c r="BG1098">
        <f>IF(OR(BG$4="",$A1098&gt;TODAY()),0,IF(OR(INDEX($B1098:$D1098,BG$5)="F",AND(BG$6&gt;0,$A1098&lt;BG$6),AND(BG$7&gt;0,$A1098&gt;BG$7)),0,MAX(0,ROUND((INDEX($E1098:$G1098,BG$5)-SUMIFS(TF_Timer,TF_Tekniker,BG$4,TF_Dato,$A1098))*2,0)/2)))</f>
        <v/>
      </c>
      <c r="BH1098">
        <f>IF(OR(BH$4="",$A1098&gt;TODAY()),0,IF(OR(INDEX($B1098:$D1098,BH$5)="F",AND(BH$6&gt;0,$A1098&lt;BH$6),AND(BH$7&gt;0,$A1098&gt;BH$7)),0,MAX(0,ROUND((INDEX($E1098:$G1098,BH$5)-SUMIFS(TF_Timer,TF_Tekniker,BH$4,TF_Dato,$A1098))*2,0)/2)))</f>
        <v/>
      </c>
      <c r="BI1098">
        <f>IF(OR(BI$4="",$A1098&gt;TODAY()),0,IF(OR(INDEX($B1098:$D1098,BI$5)="F",AND(BI$6&gt;0,$A1098&lt;BI$6),AND(BI$7&gt;0,$A1098&gt;BI$7)),0,MAX(0,ROUND((INDEX($E1098:$G1098,BI$5)-SUMIFS(TF_Timer,TF_Tekniker,BI$4,TF_Dato,$A1098))*2,0)/2)))</f>
        <v/>
      </c>
    </row>
    <row r="1099">
      <c r="A1099" s="64">
        <f>A1098+1</f>
        <v/>
      </c>
      <c r="B1099">
        <f>IF(MOD($A1099-INDEX(SkiftStart,1),Syklus)&lt;DagK,"K",IF(MOD($A1099-INDEX(SkiftStart,1),Syklus)&lt;DagK+DagH,"H",IF(MOD($A1099-INDEX(SkiftStart,1),Syklus)&lt;DagK+DagH+DagD,"D","F")))</f>
        <v/>
      </c>
      <c r="C1099">
        <f>IF(MOD($A1099-INDEX(SkiftStart,2),Syklus)&lt;DagK,"K",IF(MOD($A1099-INDEX(SkiftStart,2),Syklus)&lt;DagK+DagH,"H",IF(MOD($A1099-INDEX(SkiftStart,2),Syklus)&lt;DagK+DagH+DagD,"D","F")))</f>
        <v/>
      </c>
      <c r="D1099">
        <f>IF(MOD($A1099-INDEX(SkiftStart,3),Syklus)&lt;DagK,"K",IF(MOD($A1099-INDEX(SkiftStart,3),Syklus)&lt;DagK+DagH,"H",IF(MOD($A1099-INDEX(SkiftStart,3),Syklus)&lt;DagK+DagH+DagD,"D","F")))</f>
        <v/>
      </c>
      <c r="E1099">
        <f>IF(B1099="F",0,IF(WEEKDAY($A1099,2)=5,INDEX(TimerFr,MATCH(B1099,FaseKode,0)),INDEX(TimerMT,MATCH(B1099,FaseKode,0))))</f>
        <v/>
      </c>
      <c r="F1099">
        <f>IF(C1099="F",0,IF(WEEKDAY($A1099,2)=5,INDEX(TimerFr,MATCH(C1099,FaseKode,0)),INDEX(TimerMT,MATCH(C1099,FaseKode,0))))</f>
        <v/>
      </c>
      <c r="G1099">
        <f>IF(D1099="F",0,IF(WEEKDAY($A1099,2)=5,INDEX(TimerFr,MATCH(D1099,FaseKode,0)),INDEX(TimerMT,MATCH(D1099,FaseKode,0))))</f>
        <v/>
      </c>
      <c r="H1099">
        <f>IF(OR(H$4="",$A1099&gt;TODAY()),0,IF(OR(INDEX($B1099:$D1099,H$5)="F",AND(H$6&gt;0,$A1099&lt;H$6),AND(H$7&gt;0,$A1099&gt;H$7)),0,MAX(0,ROUND((INDEX($E1099:$G1099,H$5)-SUMIFS(TF_Timer,TF_Tekniker,H$4,TF_Dato,$A1099))*2,0)/2)))</f>
        <v/>
      </c>
      <c r="I1099">
        <f>IF(OR(I$4="",$A1099&gt;TODAY()),0,IF(OR(INDEX($B1099:$D1099,I$5)="F",AND(I$6&gt;0,$A1099&lt;I$6),AND(I$7&gt;0,$A1099&gt;I$7)),0,MAX(0,ROUND((INDEX($E1099:$G1099,I$5)-SUMIFS(TF_Timer,TF_Tekniker,I$4,TF_Dato,$A1099))*2,0)/2)))</f>
        <v/>
      </c>
      <c r="J1099">
        <f>IF(OR(J$4="",$A1099&gt;TODAY()),0,IF(OR(INDEX($B1099:$D1099,J$5)="F",AND(J$6&gt;0,$A1099&lt;J$6),AND(J$7&gt;0,$A1099&gt;J$7)),0,MAX(0,ROUND((INDEX($E1099:$G1099,J$5)-SUMIFS(TF_Timer,TF_Tekniker,J$4,TF_Dato,$A1099))*2,0)/2)))</f>
        <v/>
      </c>
      <c r="K1099">
        <f>IF(OR(K$4="",$A1099&gt;TODAY()),0,IF(OR(INDEX($B1099:$D1099,K$5)="F",AND(K$6&gt;0,$A1099&lt;K$6),AND(K$7&gt;0,$A1099&gt;K$7)),0,MAX(0,ROUND((INDEX($E1099:$G1099,K$5)-SUMIFS(TF_Timer,TF_Tekniker,K$4,TF_Dato,$A1099))*2,0)/2)))</f>
        <v/>
      </c>
      <c r="L1099">
        <f>IF(OR(L$4="",$A1099&gt;TODAY()),0,IF(OR(INDEX($B1099:$D1099,L$5)="F",AND(L$6&gt;0,$A1099&lt;L$6),AND(L$7&gt;0,$A1099&gt;L$7)),0,MAX(0,ROUND((INDEX($E1099:$G1099,L$5)-SUMIFS(TF_Timer,TF_Tekniker,L$4,TF_Dato,$A1099))*2,0)/2)))</f>
        <v/>
      </c>
      <c r="M1099">
        <f>IF(OR(M$4="",$A1099&gt;TODAY()),0,IF(OR(INDEX($B1099:$D1099,M$5)="F",AND(M$6&gt;0,$A1099&lt;M$6),AND(M$7&gt;0,$A1099&gt;M$7)),0,MAX(0,ROUND((INDEX($E1099:$G1099,M$5)-SUMIFS(TF_Timer,TF_Tekniker,M$4,TF_Dato,$A1099))*2,0)/2)))</f>
        <v/>
      </c>
      <c r="N1099">
        <f>IF(OR(N$4="",$A1099&gt;TODAY()),0,IF(OR(INDEX($B1099:$D1099,N$5)="F",AND(N$6&gt;0,$A1099&lt;N$6),AND(N$7&gt;0,$A1099&gt;N$7)),0,MAX(0,ROUND((INDEX($E1099:$G1099,N$5)-SUMIFS(TF_Timer,TF_Tekniker,N$4,TF_Dato,$A1099))*2,0)/2)))</f>
        <v/>
      </c>
      <c r="O1099">
        <f>IF(OR(O$4="",$A1099&gt;TODAY()),0,IF(OR(INDEX($B1099:$D1099,O$5)="F",AND(O$6&gt;0,$A1099&lt;O$6),AND(O$7&gt;0,$A1099&gt;O$7)),0,MAX(0,ROUND((INDEX($E1099:$G1099,O$5)-SUMIFS(TF_Timer,TF_Tekniker,O$4,TF_Dato,$A1099))*2,0)/2)))</f>
        <v/>
      </c>
      <c r="P1099">
        <f>IF(OR(P$4="",$A1099&gt;TODAY()),0,IF(OR(INDEX($B1099:$D1099,P$5)="F",AND(P$6&gt;0,$A1099&lt;P$6),AND(P$7&gt;0,$A1099&gt;P$7)),0,MAX(0,ROUND((INDEX($E1099:$G1099,P$5)-SUMIFS(TF_Timer,TF_Tekniker,P$4,TF_Dato,$A1099))*2,0)/2)))</f>
        <v/>
      </c>
      <c r="Q1099">
        <f>IF(OR(Q$4="",$A1099&gt;TODAY()),0,IF(OR(INDEX($B1099:$D1099,Q$5)="F",AND(Q$6&gt;0,$A1099&lt;Q$6),AND(Q$7&gt;0,$A1099&gt;Q$7)),0,MAX(0,ROUND((INDEX($E1099:$G1099,Q$5)-SUMIFS(TF_Timer,TF_Tekniker,Q$4,TF_Dato,$A1099))*2,0)/2)))</f>
        <v/>
      </c>
      <c r="R1099">
        <f>IF(OR(R$4="",$A1099&gt;TODAY()),0,IF(OR(INDEX($B1099:$D1099,R$5)="F",AND(R$6&gt;0,$A1099&lt;R$6),AND(R$7&gt;0,$A1099&gt;R$7)),0,MAX(0,ROUND((INDEX($E1099:$G1099,R$5)-SUMIFS(TF_Timer,TF_Tekniker,R$4,TF_Dato,$A1099))*2,0)/2)))</f>
        <v/>
      </c>
      <c r="S1099">
        <f>IF(OR(S$4="",$A1099&gt;TODAY()),0,IF(OR(INDEX($B1099:$D1099,S$5)="F",AND(S$6&gt;0,$A1099&lt;S$6),AND(S$7&gt;0,$A1099&gt;S$7)),0,MAX(0,ROUND((INDEX($E1099:$G1099,S$5)-SUMIFS(TF_Timer,TF_Tekniker,S$4,TF_Dato,$A1099))*2,0)/2)))</f>
        <v/>
      </c>
      <c r="T1099">
        <f>IF(OR(T$4="",$A1099&gt;TODAY()),0,IF(OR(INDEX($B1099:$D1099,T$5)="F",AND(T$6&gt;0,$A1099&lt;T$6),AND(T$7&gt;0,$A1099&gt;T$7)),0,MAX(0,ROUND((INDEX($E1099:$G1099,T$5)-SUMIFS(TF_Timer,TF_Tekniker,T$4,TF_Dato,$A1099))*2,0)/2)))</f>
        <v/>
      </c>
      <c r="U1099">
        <f>IF(OR(U$4="",$A1099&gt;TODAY()),0,IF(OR(INDEX($B1099:$D1099,U$5)="F",AND(U$6&gt;0,$A1099&lt;U$6),AND(U$7&gt;0,$A1099&gt;U$7)),0,MAX(0,ROUND((INDEX($E1099:$G1099,U$5)-SUMIFS(TF_Timer,TF_Tekniker,U$4,TF_Dato,$A1099))*2,0)/2)))</f>
        <v/>
      </c>
      <c r="V1099">
        <f>IF(OR(V$4="",$A1099&gt;TODAY()),0,IF(OR(INDEX($B1099:$D1099,V$5)="F",AND(V$6&gt;0,$A1099&lt;V$6),AND(V$7&gt;0,$A1099&gt;V$7)),0,MAX(0,ROUND((INDEX($E1099:$G1099,V$5)-SUMIFS(TF_Timer,TF_Tekniker,V$4,TF_Dato,$A1099))*2,0)/2)))</f>
        <v/>
      </c>
      <c r="W1099">
        <f>IF(OR(W$4="",$A1099&gt;TODAY()),0,IF(OR(INDEX($B1099:$D1099,W$5)="F",AND(W$6&gt;0,$A1099&lt;W$6),AND(W$7&gt;0,$A1099&gt;W$7)),0,MAX(0,ROUND((INDEX($E1099:$G1099,W$5)-SUMIFS(TF_Timer,TF_Tekniker,W$4,TF_Dato,$A1099))*2,0)/2)))</f>
        <v/>
      </c>
      <c r="X1099">
        <f>IF(OR(X$4="",$A1099&gt;TODAY()),0,IF(OR(INDEX($B1099:$D1099,X$5)="F",AND(X$6&gt;0,$A1099&lt;X$6),AND(X$7&gt;0,$A1099&gt;X$7)),0,MAX(0,ROUND((INDEX($E1099:$G1099,X$5)-SUMIFS(TF_Timer,TF_Tekniker,X$4,TF_Dato,$A1099))*2,0)/2)))</f>
        <v/>
      </c>
      <c r="Y1099">
        <f>IF(OR(Y$4="",$A1099&gt;TODAY()),0,IF(OR(INDEX($B1099:$D1099,Y$5)="F",AND(Y$6&gt;0,$A1099&lt;Y$6),AND(Y$7&gt;0,$A1099&gt;Y$7)),0,MAX(0,ROUND((INDEX($E1099:$G1099,Y$5)-SUMIFS(TF_Timer,TF_Tekniker,Y$4,TF_Dato,$A1099))*2,0)/2)))</f>
        <v/>
      </c>
      <c r="Z1099">
        <f>IF(OR(Z$4="",$A1099&gt;TODAY()),0,IF(OR(INDEX($B1099:$D1099,Z$5)="F",AND(Z$6&gt;0,$A1099&lt;Z$6),AND(Z$7&gt;0,$A1099&gt;Z$7)),0,MAX(0,ROUND((INDEX($E1099:$G1099,Z$5)-SUMIFS(TF_Timer,TF_Tekniker,Z$4,TF_Dato,$A1099))*2,0)/2)))</f>
        <v/>
      </c>
      <c r="AA1099">
        <f>IF(OR(AA$4="",$A1099&gt;TODAY()),0,IF(OR(INDEX($B1099:$D1099,AA$5)="F",AND(AA$6&gt;0,$A1099&lt;AA$6),AND(AA$7&gt;0,$A1099&gt;AA$7)),0,MAX(0,ROUND((INDEX($E1099:$G1099,AA$5)-SUMIFS(TF_Timer,TF_Tekniker,AA$4,TF_Dato,$A1099))*2,0)/2)))</f>
        <v/>
      </c>
      <c r="AB1099">
        <f>IF(OR(AB$4="",$A1099&gt;TODAY()),0,IF(OR(INDEX($B1099:$D1099,AB$5)="F",AND(AB$6&gt;0,$A1099&lt;AB$6),AND(AB$7&gt;0,$A1099&gt;AB$7)),0,MAX(0,ROUND((INDEX($E1099:$G1099,AB$5)-SUMIFS(TF_Timer,TF_Tekniker,AB$4,TF_Dato,$A1099))*2,0)/2)))</f>
        <v/>
      </c>
      <c r="AC1099">
        <f>IF(OR(AC$4="",$A1099&gt;TODAY()),0,IF(OR(INDEX($B1099:$D1099,AC$5)="F",AND(AC$6&gt;0,$A1099&lt;AC$6),AND(AC$7&gt;0,$A1099&gt;AC$7)),0,MAX(0,ROUND((INDEX($E1099:$G1099,AC$5)-SUMIFS(TF_Timer,TF_Tekniker,AC$4,TF_Dato,$A1099))*2,0)/2)))</f>
        <v/>
      </c>
      <c r="AD1099">
        <f>IF(OR(AD$4="",$A1099&gt;TODAY()),0,IF(OR(INDEX($B1099:$D1099,AD$5)="F",AND(AD$6&gt;0,$A1099&lt;AD$6),AND(AD$7&gt;0,$A1099&gt;AD$7)),0,MAX(0,ROUND((INDEX($E1099:$G1099,AD$5)-SUMIFS(TF_Timer,TF_Tekniker,AD$4,TF_Dato,$A1099))*2,0)/2)))</f>
        <v/>
      </c>
      <c r="AE1099">
        <f>IF(OR(AE$4="",$A1099&gt;TODAY()),0,IF(OR(INDEX($B1099:$D1099,AE$5)="F",AND(AE$6&gt;0,$A1099&lt;AE$6),AND(AE$7&gt;0,$A1099&gt;AE$7)),0,MAX(0,ROUND((INDEX($E1099:$G1099,AE$5)-SUMIFS(TF_Timer,TF_Tekniker,AE$4,TF_Dato,$A1099))*2,0)/2)))</f>
        <v/>
      </c>
      <c r="AF1099">
        <f>IF(OR(AF$4="",$A1099&gt;TODAY()),0,IF(OR(INDEX($B1099:$D1099,AF$5)="F",AND(AF$6&gt;0,$A1099&lt;AF$6),AND(AF$7&gt;0,$A1099&gt;AF$7)),0,MAX(0,ROUND((INDEX($E1099:$G1099,AF$5)-SUMIFS(TF_Timer,TF_Tekniker,AF$4,TF_Dato,$A1099))*2,0)/2)))</f>
        <v/>
      </c>
      <c r="AG1099">
        <f>IF(OR(AG$4="",$A1099&gt;TODAY()),0,IF(OR(INDEX($B1099:$D1099,AG$5)="F",AND(AG$6&gt;0,$A1099&lt;AG$6),AND(AG$7&gt;0,$A1099&gt;AG$7)),0,MAX(0,ROUND((INDEX($E1099:$G1099,AG$5)-SUMIFS(TF_Timer,TF_Tekniker,AG$4,TF_Dato,$A1099))*2,0)/2)))</f>
        <v/>
      </c>
      <c r="AH1099">
        <f>IF(OR(AH$4="",$A1099&gt;TODAY()),0,IF(OR(INDEX($B1099:$D1099,AH$5)="F",AND(AH$6&gt;0,$A1099&lt;AH$6),AND(AH$7&gt;0,$A1099&gt;AH$7)),0,MAX(0,ROUND((INDEX($E1099:$G1099,AH$5)-SUMIFS(TF_Timer,TF_Tekniker,AH$4,TF_Dato,$A1099))*2,0)/2)))</f>
        <v/>
      </c>
      <c r="AI1099">
        <f>IF(OR(AI$4="",$A1099&gt;TODAY()),0,IF(OR(INDEX($B1099:$D1099,AI$5)="F",AND(AI$6&gt;0,$A1099&lt;AI$6),AND(AI$7&gt;0,$A1099&gt;AI$7)),0,MAX(0,ROUND((INDEX($E1099:$G1099,AI$5)-SUMIFS(TF_Timer,TF_Tekniker,AI$4,TF_Dato,$A1099))*2,0)/2)))</f>
        <v/>
      </c>
      <c r="AJ1099">
        <f>IF(OR(AJ$4="",$A1099&gt;TODAY()),0,IF(OR(INDEX($B1099:$D1099,AJ$5)="F",AND(AJ$6&gt;0,$A1099&lt;AJ$6),AND(AJ$7&gt;0,$A1099&gt;AJ$7)),0,MAX(0,ROUND((INDEX($E1099:$G1099,AJ$5)-SUMIFS(TF_Timer,TF_Tekniker,AJ$4,TF_Dato,$A1099))*2,0)/2)))</f>
        <v/>
      </c>
      <c r="AK1099">
        <f>IF(OR(AK$4="",$A1099&gt;TODAY()),0,IF(OR(INDEX($B1099:$D1099,AK$5)="F",AND(AK$6&gt;0,$A1099&lt;AK$6),AND(AK$7&gt;0,$A1099&gt;AK$7)),0,MAX(0,ROUND((INDEX($E1099:$G1099,AK$5)-SUMIFS(TF_Timer,TF_Tekniker,AK$4,TF_Dato,$A1099))*2,0)/2)))</f>
        <v/>
      </c>
      <c r="AL1099">
        <f>IF(OR(AL$4="",$A1099&gt;TODAY()),0,IF(OR(INDEX($B1099:$D1099,AL$5)="F",AND(AL$6&gt;0,$A1099&lt;AL$6),AND(AL$7&gt;0,$A1099&gt;AL$7)),0,MAX(0,ROUND((INDEX($E1099:$G1099,AL$5)-SUMIFS(TF_Timer,TF_Tekniker,AL$4,TF_Dato,$A1099))*2,0)/2)))</f>
        <v/>
      </c>
      <c r="AM1099">
        <f>IF(OR(AM$4="",$A1099&gt;TODAY()),0,IF(OR(INDEX($B1099:$D1099,AM$5)="F",AND(AM$6&gt;0,$A1099&lt;AM$6),AND(AM$7&gt;0,$A1099&gt;AM$7)),0,MAX(0,ROUND((INDEX($E1099:$G1099,AM$5)-SUMIFS(TF_Timer,TF_Tekniker,AM$4,TF_Dato,$A1099))*2,0)/2)))</f>
        <v/>
      </c>
      <c r="AN1099">
        <f>IF(OR(AN$4="",$A1099&gt;TODAY()),0,IF(OR(INDEX($B1099:$D1099,AN$5)="F",AND(AN$6&gt;0,$A1099&lt;AN$6),AND(AN$7&gt;0,$A1099&gt;AN$7)),0,MAX(0,ROUND((INDEX($E1099:$G1099,AN$5)-SUMIFS(TF_Timer,TF_Tekniker,AN$4,TF_Dato,$A1099))*2,0)/2)))</f>
        <v/>
      </c>
      <c r="AO1099">
        <f>IF(OR(AO$4="",$A1099&gt;TODAY()),0,IF(OR(INDEX($B1099:$D1099,AO$5)="F",AND(AO$6&gt;0,$A1099&lt;AO$6),AND(AO$7&gt;0,$A1099&gt;AO$7)),0,MAX(0,ROUND((INDEX($E1099:$G1099,AO$5)-SUMIFS(TF_Timer,TF_Tekniker,AO$4,TF_Dato,$A1099))*2,0)/2)))</f>
        <v/>
      </c>
      <c r="AP1099">
        <f>IF(OR(AP$4="",$A1099&gt;TODAY()),0,IF(OR(INDEX($B1099:$D1099,AP$5)="F",AND(AP$6&gt;0,$A1099&lt;AP$6),AND(AP$7&gt;0,$A1099&gt;AP$7)),0,MAX(0,ROUND((INDEX($E1099:$G1099,AP$5)-SUMIFS(TF_Timer,TF_Tekniker,AP$4,TF_Dato,$A1099))*2,0)/2)))</f>
        <v/>
      </c>
      <c r="AQ1099">
        <f>IF(OR(AQ$4="",$A1099&gt;TODAY()),0,IF(OR(INDEX($B1099:$D1099,AQ$5)="F",AND(AQ$6&gt;0,$A1099&lt;AQ$6),AND(AQ$7&gt;0,$A1099&gt;AQ$7)),0,MAX(0,ROUND((INDEX($E1099:$G1099,AQ$5)-SUMIFS(TF_Timer,TF_Tekniker,AQ$4,TF_Dato,$A1099))*2,0)/2)))</f>
        <v/>
      </c>
      <c r="AR1099">
        <f>IF(OR(AR$4="",$A1099&gt;TODAY()),0,IF(OR(INDEX($B1099:$D1099,AR$5)="F",AND(AR$6&gt;0,$A1099&lt;AR$6),AND(AR$7&gt;0,$A1099&gt;AR$7)),0,MAX(0,ROUND((INDEX($E1099:$G1099,AR$5)-SUMIFS(TF_Timer,TF_Tekniker,AR$4,TF_Dato,$A1099))*2,0)/2)))</f>
        <v/>
      </c>
      <c r="AS1099">
        <f>IF(OR(AS$4="",$A1099&gt;TODAY()),0,IF(OR(INDEX($B1099:$D1099,AS$5)="F",AND(AS$6&gt;0,$A1099&lt;AS$6),AND(AS$7&gt;0,$A1099&gt;AS$7)),0,MAX(0,ROUND((INDEX($E1099:$G1099,AS$5)-SUMIFS(TF_Timer,TF_Tekniker,AS$4,TF_Dato,$A1099))*2,0)/2)))</f>
        <v/>
      </c>
      <c r="AT1099">
        <f>IF(OR(AT$4="",$A1099&gt;TODAY()),0,IF(OR(INDEX($B1099:$D1099,AT$5)="F",AND(AT$6&gt;0,$A1099&lt;AT$6),AND(AT$7&gt;0,$A1099&gt;AT$7)),0,MAX(0,ROUND((INDEX($E1099:$G1099,AT$5)-SUMIFS(TF_Timer,TF_Tekniker,AT$4,TF_Dato,$A1099))*2,0)/2)))</f>
        <v/>
      </c>
      <c r="AU1099">
        <f>IF(OR(AU$4="",$A1099&gt;TODAY()),0,IF(OR(INDEX($B1099:$D1099,AU$5)="F",AND(AU$6&gt;0,$A1099&lt;AU$6),AND(AU$7&gt;0,$A1099&gt;AU$7)),0,MAX(0,ROUND((INDEX($E1099:$G1099,AU$5)-SUMIFS(TF_Timer,TF_Tekniker,AU$4,TF_Dato,$A1099))*2,0)/2)))</f>
        <v/>
      </c>
      <c r="AV1099">
        <f>IF(OR(AV$4="",$A1099&gt;TODAY()),0,IF(OR(INDEX($B1099:$D1099,AV$5)="F",AND(AV$6&gt;0,$A1099&lt;AV$6),AND(AV$7&gt;0,$A1099&gt;AV$7)),0,MAX(0,ROUND((INDEX($E1099:$G1099,AV$5)-SUMIFS(TF_Timer,TF_Tekniker,AV$4,TF_Dato,$A1099))*2,0)/2)))</f>
        <v/>
      </c>
      <c r="AW1099">
        <f>IF(OR(AW$4="",$A1099&gt;TODAY()),0,IF(OR(INDEX($B1099:$D1099,AW$5)="F",AND(AW$6&gt;0,$A1099&lt;AW$6),AND(AW$7&gt;0,$A1099&gt;AW$7)),0,MAX(0,ROUND((INDEX($E1099:$G1099,AW$5)-SUMIFS(TF_Timer,TF_Tekniker,AW$4,TF_Dato,$A1099))*2,0)/2)))</f>
        <v/>
      </c>
      <c r="AX1099">
        <f>IF(OR(AX$4="",$A1099&gt;TODAY()),0,IF(OR(INDEX($B1099:$D1099,AX$5)="F",AND(AX$6&gt;0,$A1099&lt;AX$6),AND(AX$7&gt;0,$A1099&gt;AX$7)),0,MAX(0,ROUND((INDEX($E1099:$G1099,AX$5)-SUMIFS(TF_Timer,TF_Tekniker,AX$4,TF_Dato,$A1099))*2,0)/2)))</f>
        <v/>
      </c>
      <c r="AY1099">
        <f>IF(OR(AY$4="",$A1099&gt;TODAY()),0,IF(OR(INDEX($B1099:$D1099,AY$5)="F",AND(AY$6&gt;0,$A1099&lt;AY$6),AND(AY$7&gt;0,$A1099&gt;AY$7)),0,MAX(0,ROUND((INDEX($E1099:$G1099,AY$5)-SUMIFS(TF_Timer,TF_Tekniker,AY$4,TF_Dato,$A1099))*2,0)/2)))</f>
        <v/>
      </c>
      <c r="AZ1099">
        <f>IF(OR(AZ$4="",$A1099&gt;TODAY()),0,IF(OR(INDEX($B1099:$D1099,AZ$5)="F",AND(AZ$6&gt;0,$A1099&lt;AZ$6),AND(AZ$7&gt;0,$A1099&gt;AZ$7)),0,MAX(0,ROUND((INDEX($E1099:$G1099,AZ$5)-SUMIFS(TF_Timer,TF_Tekniker,AZ$4,TF_Dato,$A1099))*2,0)/2)))</f>
        <v/>
      </c>
      <c r="BA1099">
        <f>IF(OR(BA$4="",$A1099&gt;TODAY()),0,IF(OR(INDEX($B1099:$D1099,BA$5)="F",AND(BA$6&gt;0,$A1099&lt;BA$6),AND(BA$7&gt;0,$A1099&gt;BA$7)),0,MAX(0,ROUND((INDEX($E1099:$G1099,BA$5)-SUMIFS(TF_Timer,TF_Tekniker,BA$4,TF_Dato,$A1099))*2,0)/2)))</f>
        <v/>
      </c>
      <c r="BB1099">
        <f>IF(OR(BB$4="",$A1099&gt;TODAY()),0,IF(OR(INDEX($B1099:$D1099,BB$5)="F",AND(BB$6&gt;0,$A1099&lt;BB$6),AND(BB$7&gt;0,$A1099&gt;BB$7)),0,MAX(0,ROUND((INDEX($E1099:$G1099,BB$5)-SUMIFS(TF_Timer,TF_Tekniker,BB$4,TF_Dato,$A1099))*2,0)/2)))</f>
        <v/>
      </c>
      <c r="BC1099">
        <f>IF(OR(BC$4="",$A1099&gt;TODAY()),0,IF(OR(INDEX($B1099:$D1099,BC$5)="F",AND(BC$6&gt;0,$A1099&lt;BC$6),AND(BC$7&gt;0,$A1099&gt;BC$7)),0,MAX(0,ROUND((INDEX($E1099:$G1099,BC$5)-SUMIFS(TF_Timer,TF_Tekniker,BC$4,TF_Dato,$A1099))*2,0)/2)))</f>
        <v/>
      </c>
      <c r="BD1099">
        <f>IF(OR(BD$4="",$A1099&gt;TODAY()),0,IF(OR(INDEX($B1099:$D1099,BD$5)="F",AND(BD$6&gt;0,$A1099&lt;BD$6),AND(BD$7&gt;0,$A1099&gt;BD$7)),0,MAX(0,ROUND((INDEX($E1099:$G1099,BD$5)-SUMIFS(TF_Timer,TF_Tekniker,BD$4,TF_Dato,$A1099))*2,0)/2)))</f>
        <v/>
      </c>
      <c r="BE1099">
        <f>IF(OR(BE$4="",$A1099&gt;TODAY()),0,IF(OR(INDEX($B1099:$D1099,BE$5)="F",AND(BE$6&gt;0,$A1099&lt;BE$6),AND(BE$7&gt;0,$A1099&gt;BE$7)),0,MAX(0,ROUND((INDEX($E1099:$G1099,BE$5)-SUMIFS(TF_Timer,TF_Tekniker,BE$4,TF_Dato,$A1099))*2,0)/2)))</f>
        <v/>
      </c>
      <c r="BF1099">
        <f>IF(OR(BF$4="",$A1099&gt;TODAY()),0,IF(OR(INDEX($B1099:$D1099,BF$5)="F",AND(BF$6&gt;0,$A1099&lt;BF$6),AND(BF$7&gt;0,$A1099&gt;BF$7)),0,MAX(0,ROUND((INDEX($E1099:$G1099,BF$5)-SUMIFS(TF_Timer,TF_Tekniker,BF$4,TF_Dato,$A1099))*2,0)/2)))</f>
        <v/>
      </c>
      <c r="BG1099">
        <f>IF(OR(BG$4="",$A1099&gt;TODAY()),0,IF(OR(INDEX($B1099:$D1099,BG$5)="F",AND(BG$6&gt;0,$A1099&lt;BG$6),AND(BG$7&gt;0,$A1099&gt;BG$7)),0,MAX(0,ROUND((INDEX($E1099:$G1099,BG$5)-SUMIFS(TF_Timer,TF_Tekniker,BG$4,TF_Dato,$A1099))*2,0)/2)))</f>
        <v/>
      </c>
      <c r="BH1099">
        <f>IF(OR(BH$4="",$A1099&gt;TODAY()),0,IF(OR(INDEX($B1099:$D1099,BH$5)="F",AND(BH$6&gt;0,$A1099&lt;BH$6),AND(BH$7&gt;0,$A1099&gt;BH$7)),0,MAX(0,ROUND((INDEX($E1099:$G1099,BH$5)-SUMIFS(TF_Timer,TF_Tekniker,BH$4,TF_Dato,$A1099))*2,0)/2)))</f>
        <v/>
      </c>
      <c r="BI1099">
        <f>IF(OR(BI$4="",$A1099&gt;TODAY()),0,IF(OR(INDEX($B1099:$D1099,BI$5)="F",AND(BI$6&gt;0,$A1099&lt;BI$6),AND(BI$7&gt;0,$A1099&gt;BI$7)),0,MAX(0,ROUND((INDEX($E1099:$G1099,BI$5)-SUMIFS(TF_Timer,TF_Tekniker,BI$4,TF_Dato,$A1099))*2,0)/2)))</f>
        <v/>
      </c>
    </row>
    <row r="1100">
      <c r="A1100" s="64">
        <f>A1099+1</f>
        <v/>
      </c>
      <c r="B1100">
        <f>IF(MOD($A1100-INDEX(SkiftStart,1),Syklus)&lt;DagK,"K",IF(MOD($A1100-INDEX(SkiftStart,1),Syklus)&lt;DagK+DagH,"H",IF(MOD($A1100-INDEX(SkiftStart,1),Syklus)&lt;DagK+DagH+DagD,"D","F")))</f>
        <v/>
      </c>
      <c r="C1100">
        <f>IF(MOD($A1100-INDEX(SkiftStart,2),Syklus)&lt;DagK,"K",IF(MOD($A1100-INDEX(SkiftStart,2),Syklus)&lt;DagK+DagH,"H",IF(MOD($A1100-INDEX(SkiftStart,2),Syklus)&lt;DagK+DagH+DagD,"D","F")))</f>
        <v/>
      </c>
      <c r="D1100">
        <f>IF(MOD($A1100-INDEX(SkiftStart,3),Syklus)&lt;DagK,"K",IF(MOD($A1100-INDEX(SkiftStart,3),Syklus)&lt;DagK+DagH,"H",IF(MOD($A1100-INDEX(SkiftStart,3),Syklus)&lt;DagK+DagH+DagD,"D","F")))</f>
        <v/>
      </c>
      <c r="E1100">
        <f>IF(B1100="F",0,IF(WEEKDAY($A1100,2)=5,INDEX(TimerFr,MATCH(B1100,FaseKode,0)),INDEX(TimerMT,MATCH(B1100,FaseKode,0))))</f>
        <v/>
      </c>
      <c r="F1100">
        <f>IF(C1100="F",0,IF(WEEKDAY($A1100,2)=5,INDEX(TimerFr,MATCH(C1100,FaseKode,0)),INDEX(TimerMT,MATCH(C1100,FaseKode,0))))</f>
        <v/>
      </c>
      <c r="G1100">
        <f>IF(D1100="F",0,IF(WEEKDAY($A1100,2)=5,INDEX(TimerFr,MATCH(D1100,FaseKode,0)),INDEX(TimerMT,MATCH(D1100,FaseKode,0))))</f>
        <v/>
      </c>
      <c r="H1100">
        <f>IF(OR(H$4="",$A1100&gt;TODAY()),0,IF(OR(INDEX($B1100:$D1100,H$5)="F",AND(H$6&gt;0,$A1100&lt;H$6),AND(H$7&gt;0,$A1100&gt;H$7)),0,MAX(0,ROUND((INDEX($E1100:$G1100,H$5)-SUMIFS(TF_Timer,TF_Tekniker,H$4,TF_Dato,$A1100))*2,0)/2)))</f>
        <v/>
      </c>
      <c r="I1100">
        <f>IF(OR(I$4="",$A1100&gt;TODAY()),0,IF(OR(INDEX($B1100:$D1100,I$5)="F",AND(I$6&gt;0,$A1100&lt;I$6),AND(I$7&gt;0,$A1100&gt;I$7)),0,MAX(0,ROUND((INDEX($E1100:$G1100,I$5)-SUMIFS(TF_Timer,TF_Tekniker,I$4,TF_Dato,$A1100))*2,0)/2)))</f>
        <v/>
      </c>
      <c r="J1100">
        <f>IF(OR(J$4="",$A1100&gt;TODAY()),0,IF(OR(INDEX($B1100:$D1100,J$5)="F",AND(J$6&gt;0,$A1100&lt;J$6),AND(J$7&gt;0,$A1100&gt;J$7)),0,MAX(0,ROUND((INDEX($E1100:$G1100,J$5)-SUMIFS(TF_Timer,TF_Tekniker,J$4,TF_Dato,$A1100))*2,0)/2)))</f>
        <v/>
      </c>
      <c r="K1100">
        <f>IF(OR(K$4="",$A1100&gt;TODAY()),0,IF(OR(INDEX($B1100:$D1100,K$5)="F",AND(K$6&gt;0,$A1100&lt;K$6),AND(K$7&gt;0,$A1100&gt;K$7)),0,MAX(0,ROUND((INDEX($E1100:$G1100,K$5)-SUMIFS(TF_Timer,TF_Tekniker,K$4,TF_Dato,$A1100))*2,0)/2)))</f>
        <v/>
      </c>
      <c r="L1100">
        <f>IF(OR(L$4="",$A1100&gt;TODAY()),0,IF(OR(INDEX($B1100:$D1100,L$5)="F",AND(L$6&gt;0,$A1100&lt;L$6),AND(L$7&gt;0,$A1100&gt;L$7)),0,MAX(0,ROUND((INDEX($E1100:$G1100,L$5)-SUMIFS(TF_Timer,TF_Tekniker,L$4,TF_Dato,$A1100))*2,0)/2)))</f>
        <v/>
      </c>
      <c r="M1100">
        <f>IF(OR(M$4="",$A1100&gt;TODAY()),0,IF(OR(INDEX($B1100:$D1100,M$5)="F",AND(M$6&gt;0,$A1100&lt;M$6),AND(M$7&gt;0,$A1100&gt;M$7)),0,MAX(0,ROUND((INDEX($E1100:$G1100,M$5)-SUMIFS(TF_Timer,TF_Tekniker,M$4,TF_Dato,$A1100))*2,0)/2)))</f>
        <v/>
      </c>
      <c r="N1100">
        <f>IF(OR(N$4="",$A1100&gt;TODAY()),0,IF(OR(INDEX($B1100:$D1100,N$5)="F",AND(N$6&gt;0,$A1100&lt;N$6),AND(N$7&gt;0,$A1100&gt;N$7)),0,MAX(0,ROUND((INDEX($E1100:$G1100,N$5)-SUMIFS(TF_Timer,TF_Tekniker,N$4,TF_Dato,$A1100))*2,0)/2)))</f>
        <v/>
      </c>
      <c r="O1100">
        <f>IF(OR(O$4="",$A1100&gt;TODAY()),0,IF(OR(INDEX($B1100:$D1100,O$5)="F",AND(O$6&gt;0,$A1100&lt;O$6),AND(O$7&gt;0,$A1100&gt;O$7)),0,MAX(0,ROUND((INDEX($E1100:$G1100,O$5)-SUMIFS(TF_Timer,TF_Tekniker,O$4,TF_Dato,$A1100))*2,0)/2)))</f>
        <v/>
      </c>
      <c r="P1100">
        <f>IF(OR(P$4="",$A1100&gt;TODAY()),0,IF(OR(INDEX($B1100:$D1100,P$5)="F",AND(P$6&gt;0,$A1100&lt;P$6),AND(P$7&gt;0,$A1100&gt;P$7)),0,MAX(0,ROUND((INDEX($E1100:$G1100,P$5)-SUMIFS(TF_Timer,TF_Tekniker,P$4,TF_Dato,$A1100))*2,0)/2)))</f>
        <v/>
      </c>
      <c r="Q1100">
        <f>IF(OR(Q$4="",$A1100&gt;TODAY()),0,IF(OR(INDEX($B1100:$D1100,Q$5)="F",AND(Q$6&gt;0,$A1100&lt;Q$6),AND(Q$7&gt;0,$A1100&gt;Q$7)),0,MAX(0,ROUND((INDEX($E1100:$G1100,Q$5)-SUMIFS(TF_Timer,TF_Tekniker,Q$4,TF_Dato,$A1100))*2,0)/2)))</f>
        <v/>
      </c>
      <c r="R1100">
        <f>IF(OR(R$4="",$A1100&gt;TODAY()),0,IF(OR(INDEX($B1100:$D1100,R$5)="F",AND(R$6&gt;0,$A1100&lt;R$6),AND(R$7&gt;0,$A1100&gt;R$7)),0,MAX(0,ROUND((INDEX($E1100:$G1100,R$5)-SUMIFS(TF_Timer,TF_Tekniker,R$4,TF_Dato,$A1100))*2,0)/2)))</f>
        <v/>
      </c>
      <c r="S1100">
        <f>IF(OR(S$4="",$A1100&gt;TODAY()),0,IF(OR(INDEX($B1100:$D1100,S$5)="F",AND(S$6&gt;0,$A1100&lt;S$6),AND(S$7&gt;0,$A1100&gt;S$7)),0,MAX(0,ROUND((INDEX($E1100:$G1100,S$5)-SUMIFS(TF_Timer,TF_Tekniker,S$4,TF_Dato,$A1100))*2,0)/2)))</f>
        <v/>
      </c>
      <c r="T1100">
        <f>IF(OR(T$4="",$A1100&gt;TODAY()),0,IF(OR(INDEX($B1100:$D1100,T$5)="F",AND(T$6&gt;0,$A1100&lt;T$6),AND(T$7&gt;0,$A1100&gt;T$7)),0,MAX(0,ROUND((INDEX($E1100:$G1100,T$5)-SUMIFS(TF_Timer,TF_Tekniker,T$4,TF_Dato,$A1100))*2,0)/2)))</f>
        <v/>
      </c>
      <c r="U1100">
        <f>IF(OR(U$4="",$A1100&gt;TODAY()),0,IF(OR(INDEX($B1100:$D1100,U$5)="F",AND(U$6&gt;0,$A1100&lt;U$6),AND(U$7&gt;0,$A1100&gt;U$7)),0,MAX(0,ROUND((INDEX($E1100:$G1100,U$5)-SUMIFS(TF_Timer,TF_Tekniker,U$4,TF_Dato,$A1100))*2,0)/2)))</f>
        <v/>
      </c>
      <c r="V1100">
        <f>IF(OR(V$4="",$A1100&gt;TODAY()),0,IF(OR(INDEX($B1100:$D1100,V$5)="F",AND(V$6&gt;0,$A1100&lt;V$6),AND(V$7&gt;0,$A1100&gt;V$7)),0,MAX(0,ROUND((INDEX($E1100:$G1100,V$5)-SUMIFS(TF_Timer,TF_Tekniker,V$4,TF_Dato,$A1100))*2,0)/2)))</f>
        <v/>
      </c>
      <c r="W1100">
        <f>IF(OR(W$4="",$A1100&gt;TODAY()),0,IF(OR(INDEX($B1100:$D1100,W$5)="F",AND(W$6&gt;0,$A1100&lt;W$6),AND(W$7&gt;0,$A1100&gt;W$7)),0,MAX(0,ROUND((INDEX($E1100:$G1100,W$5)-SUMIFS(TF_Timer,TF_Tekniker,W$4,TF_Dato,$A1100))*2,0)/2)))</f>
        <v/>
      </c>
      <c r="X1100">
        <f>IF(OR(X$4="",$A1100&gt;TODAY()),0,IF(OR(INDEX($B1100:$D1100,X$5)="F",AND(X$6&gt;0,$A1100&lt;X$6),AND(X$7&gt;0,$A1100&gt;X$7)),0,MAX(0,ROUND((INDEX($E1100:$G1100,X$5)-SUMIFS(TF_Timer,TF_Tekniker,X$4,TF_Dato,$A1100))*2,0)/2)))</f>
        <v/>
      </c>
      <c r="Y1100">
        <f>IF(OR(Y$4="",$A1100&gt;TODAY()),0,IF(OR(INDEX($B1100:$D1100,Y$5)="F",AND(Y$6&gt;0,$A1100&lt;Y$6),AND(Y$7&gt;0,$A1100&gt;Y$7)),0,MAX(0,ROUND((INDEX($E1100:$G1100,Y$5)-SUMIFS(TF_Timer,TF_Tekniker,Y$4,TF_Dato,$A1100))*2,0)/2)))</f>
        <v/>
      </c>
      <c r="Z1100">
        <f>IF(OR(Z$4="",$A1100&gt;TODAY()),0,IF(OR(INDEX($B1100:$D1100,Z$5)="F",AND(Z$6&gt;0,$A1100&lt;Z$6),AND(Z$7&gt;0,$A1100&gt;Z$7)),0,MAX(0,ROUND((INDEX($E1100:$G1100,Z$5)-SUMIFS(TF_Timer,TF_Tekniker,Z$4,TF_Dato,$A1100))*2,0)/2)))</f>
        <v/>
      </c>
      <c r="AA1100">
        <f>IF(OR(AA$4="",$A1100&gt;TODAY()),0,IF(OR(INDEX($B1100:$D1100,AA$5)="F",AND(AA$6&gt;0,$A1100&lt;AA$6),AND(AA$7&gt;0,$A1100&gt;AA$7)),0,MAX(0,ROUND((INDEX($E1100:$G1100,AA$5)-SUMIFS(TF_Timer,TF_Tekniker,AA$4,TF_Dato,$A1100))*2,0)/2)))</f>
        <v/>
      </c>
      <c r="AB1100">
        <f>IF(OR(AB$4="",$A1100&gt;TODAY()),0,IF(OR(INDEX($B1100:$D1100,AB$5)="F",AND(AB$6&gt;0,$A1100&lt;AB$6),AND(AB$7&gt;0,$A1100&gt;AB$7)),0,MAX(0,ROUND((INDEX($E1100:$G1100,AB$5)-SUMIFS(TF_Timer,TF_Tekniker,AB$4,TF_Dato,$A1100))*2,0)/2)))</f>
        <v/>
      </c>
      <c r="AC1100">
        <f>IF(OR(AC$4="",$A1100&gt;TODAY()),0,IF(OR(INDEX($B1100:$D1100,AC$5)="F",AND(AC$6&gt;0,$A1100&lt;AC$6),AND(AC$7&gt;0,$A1100&gt;AC$7)),0,MAX(0,ROUND((INDEX($E1100:$G1100,AC$5)-SUMIFS(TF_Timer,TF_Tekniker,AC$4,TF_Dato,$A1100))*2,0)/2)))</f>
        <v/>
      </c>
      <c r="AD1100">
        <f>IF(OR(AD$4="",$A1100&gt;TODAY()),0,IF(OR(INDEX($B1100:$D1100,AD$5)="F",AND(AD$6&gt;0,$A1100&lt;AD$6),AND(AD$7&gt;0,$A1100&gt;AD$7)),0,MAX(0,ROUND((INDEX($E1100:$G1100,AD$5)-SUMIFS(TF_Timer,TF_Tekniker,AD$4,TF_Dato,$A1100))*2,0)/2)))</f>
        <v/>
      </c>
      <c r="AE1100">
        <f>IF(OR(AE$4="",$A1100&gt;TODAY()),0,IF(OR(INDEX($B1100:$D1100,AE$5)="F",AND(AE$6&gt;0,$A1100&lt;AE$6),AND(AE$7&gt;0,$A1100&gt;AE$7)),0,MAX(0,ROUND((INDEX($E1100:$G1100,AE$5)-SUMIFS(TF_Timer,TF_Tekniker,AE$4,TF_Dato,$A1100))*2,0)/2)))</f>
        <v/>
      </c>
      <c r="AF1100">
        <f>IF(OR(AF$4="",$A1100&gt;TODAY()),0,IF(OR(INDEX($B1100:$D1100,AF$5)="F",AND(AF$6&gt;0,$A1100&lt;AF$6),AND(AF$7&gt;0,$A1100&gt;AF$7)),0,MAX(0,ROUND((INDEX($E1100:$G1100,AF$5)-SUMIFS(TF_Timer,TF_Tekniker,AF$4,TF_Dato,$A1100))*2,0)/2)))</f>
        <v/>
      </c>
      <c r="AG1100">
        <f>IF(OR(AG$4="",$A1100&gt;TODAY()),0,IF(OR(INDEX($B1100:$D1100,AG$5)="F",AND(AG$6&gt;0,$A1100&lt;AG$6),AND(AG$7&gt;0,$A1100&gt;AG$7)),0,MAX(0,ROUND((INDEX($E1100:$G1100,AG$5)-SUMIFS(TF_Timer,TF_Tekniker,AG$4,TF_Dato,$A1100))*2,0)/2)))</f>
        <v/>
      </c>
      <c r="AH1100">
        <f>IF(OR(AH$4="",$A1100&gt;TODAY()),0,IF(OR(INDEX($B1100:$D1100,AH$5)="F",AND(AH$6&gt;0,$A1100&lt;AH$6),AND(AH$7&gt;0,$A1100&gt;AH$7)),0,MAX(0,ROUND((INDEX($E1100:$G1100,AH$5)-SUMIFS(TF_Timer,TF_Tekniker,AH$4,TF_Dato,$A1100))*2,0)/2)))</f>
        <v/>
      </c>
      <c r="AI1100">
        <f>IF(OR(AI$4="",$A1100&gt;TODAY()),0,IF(OR(INDEX($B1100:$D1100,AI$5)="F",AND(AI$6&gt;0,$A1100&lt;AI$6),AND(AI$7&gt;0,$A1100&gt;AI$7)),0,MAX(0,ROUND((INDEX($E1100:$G1100,AI$5)-SUMIFS(TF_Timer,TF_Tekniker,AI$4,TF_Dato,$A1100))*2,0)/2)))</f>
        <v/>
      </c>
      <c r="AJ1100">
        <f>IF(OR(AJ$4="",$A1100&gt;TODAY()),0,IF(OR(INDEX($B1100:$D1100,AJ$5)="F",AND(AJ$6&gt;0,$A1100&lt;AJ$6),AND(AJ$7&gt;0,$A1100&gt;AJ$7)),0,MAX(0,ROUND((INDEX($E1100:$G1100,AJ$5)-SUMIFS(TF_Timer,TF_Tekniker,AJ$4,TF_Dato,$A1100))*2,0)/2)))</f>
        <v/>
      </c>
      <c r="AK1100">
        <f>IF(OR(AK$4="",$A1100&gt;TODAY()),0,IF(OR(INDEX($B1100:$D1100,AK$5)="F",AND(AK$6&gt;0,$A1100&lt;AK$6),AND(AK$7&gt;0,$A1100&gt;AK$7)),0,MAX(0,ROUND((INDEX($E1100:$G1100,AK$5)-SUMIFS(TF_Timer,TF_Tekniker,AK$4,TF_Dato,$A1100))*2,0)/2)))</f>
        <v/>
      </c>
      <c r="AL1100">
        <f>IF(OR(AL$4="",$A1100&gt;TODAY()),0,IF(OR(INDEX($B1100:$D1100,AL$5)="F",AND(AL$6&gt;0,$A1100&lt;AL$6),AND(AL$7&gt;0,$A1100&gt;AL$7)),0,MAX(0,ROUND((INDEX($E1100:$G1100,AL$5)-SUMIFS(TF_Timer,TF_Tekniker,AL$4,TF_Dato,$A1100))*2,0)/2)))</f>
        <v/>
      </c>
      <c r="AM1100">
        <f>IF(OR(AM$4="",$A1100&gt;TODAY()),0,IF(OR(INDEX($B1100:$D1100,AM$5)="F",AND(AM$6&gt;0,$A1100&lt;AM$6),AND(AM$7&gt;0,$A1100&gt;AM$7)),0,MAX(0,ROUND((INDEX($E1100:$G1100,AM$5)-SUMIFS(TF_Timer,TF_Tekniker,AM$4,TF_Dato,$A1100))*2,0)/2)))</f>
        <v/>
      </c>
      <c r="AN1100">
        <f>IF(OR(AN$4="",$A1100&gt;TODAY()),0,IF(OR(INDEX($B1100:$D1100,AN$5)="F",AND(AN$6&gt;0,$A1100&lt;AN$6),AND(AN$7&gt;0,$A1100&gt;AN$7)),0,MAX(0,ROUND((INDEX($E1100:$G1100,AN$5)-SUMIFS(TF_Timer,TF_Tekniker,AN$4,TF_Dato,$A1100))*2,0)/2)))</f>
        <v/>
      </c>
      <c r="AO1100">
        <f>IF(OR(AO$4="",$A1100&gt;TODAY()),0,IF(OR(INDEX($B1100:$D1100,AO$5)="F",AND(AO$6&gt;0,$A1100&lt;AO$6),AND(AO$7&gt;0,$A1100&gt;AO$7)),0,MAX(0,ROUND((INDEX($E1100:$G1100,AO$5)-SUMIFS(TF_Timer,TF_Tekniker,AO$4,TF_Dato,$A1100))*2,0)/2)))</f>
        <v/>
      </c>
      <c r="AP1100">
        <f>IF(OR(AP$4="",$A1100&gt;TODAY()),0,IF(OR(INDEX($B1100:$D1100,AP$5)="F",AND(AP$6&gt;0,$A1100&lt;AP$6),AND(AP$7&gt;0,$A1100&gt;AP$7)),0,MAX(0,ROUND((INDEX($E1100:$G1100,AP$5)-SUMIFS(TF_Timer,TF_Tekniker,AP$4,TF_Dato,$A1100))*2,0)/2)))</f>
        <v/>
      </c>
      <c r="AQ1100">
        <f>IF(OR(AQ$4="",$A1100&gt;TODAY()),0,IF(OR(INDEX($B1100:$D1100,AQ$5)="F",AND(AQ$6&gt;0,$A1100&lt;AQ$6),AND(AQ$7&gt;0,$A1100&gt;AQ$7)),0,MAX(0,ROUND((INDEX($E1100:$G1100,AQ$5)-SUMIFS(TF_Timer,TF_Tekniker,AQ$4,TF_Dato,$A1100))*2,0)/2)))</f>
        <v/>
      </c>
      <c r="AR1100">
        <f>IF(OR(AR$4="",$A1100&gt;TODAY()),0,IF(OR(INDEX($B1100:$D1100,AR$5)="F",AND(AR$6&gt;0,$A1100&lt;AR$6),AND(AR$7&gt;0,$A1100&gt;AR$7)),0,MAX(0,ROUND((INDEX($E1100:$G1100,AR$5)-SUMIFS(TF_Timer,TF_Tekniker,AR$4,TF_Dato,$A1100))*2,0)/2)))</f>
        <v/>
      </c>
      <c r="AS1100">
        <f>IF(OR(AS$4="",$A1100&gt;TODAY()),0,IF(OR(INDEX($B1100:$D1100,AS$5)="F",AND(AS$6&gt;0,$A1100&lt;AS$6),AND(AS$7&gt;0,$A1100&gt;AS$7)),0,MAX(0,ROUND((INDEX($E1100:$G1100,AS$5)-SUMIFS(TF_Timer,TF_Tekniker,AS$4,TF_Dato,$A1100))*2,0)/2)))</f>
        <v/>
      </c>
      <c r="AT1100">
        <f>IF(OR(AT$4="",$A1100&gt;TODAY()),0,IF(OR(INDEX($B1100:$D1100,AT$5)="F",AND(AT$6&gt;0,$A1100&lt;AT$6),AND(AT$7&gt;0,$A1100&gt;AT$7)),0,MAX(0,ROUND((INDEX($E1100:$G1100,AT$5)-SUMIFS(TF_Timer,TF_Tekniker,AT$4,TF_Dato,$A1100))*2,0)/2)))</f>
        <v/>
      </c>
      <c r="AU1100">
        <f>IF(OR(AU$4="",$A1100&gt;TODAY()),0,IF(OR(INDEX($B1100:$D1100,AU$5)="F",AND(AU$6&gt;0,$A1100&lt;AU$6),AND(AU$7&gt;0,$A1100&gt;AU$7)),0,MAX(0,ROUND((INDEX($E1100:$G1100,AU$5)-SUMIFS(TF_Timer,TF_Tekniker,AU$4,TF_Dato,$A1100))*2,0)/2)))</f>
        <v/>
      </c>
      <c r="AV1100">
        <f>IF(OR(AV$4="",$A1100&gt;TODAY()),0,IF(OR(INDEX($B1100:$D1100,AV$5)="F",AND(AV$6&gt;0,$A1100&lt;AV$6),AND(AV$7&gt;0,$A1100&gt;AV$7)),0,MAX(0,ROUND((INDEX($E1100:$G1100,AV$5)-SUMIFS(TF_Timer,TF_Tekniker,AV$4,TF_Dato,$A1100))*2,0)/2)))</f>
        <v/>
      </c>
      <c r="AW1100">
        <f>IF(OR(AW$4="",$A1100&gt;TODAY()),0,IF(OR(INDEX($B1100:$D1100,AW$5)="F",AND(AW$6&gt;0,$A1100&lt;AW$6),AND(AW$7&gt;0,$A1100&gt;AW$7)),0,MAX(0,ROUND((INDEX($E1100:$G1100,AW$5)-SUMIFS(TF_Timer,TF_Tekniker,AW$4,TF_Dato,$A1100))*2,0)/2)))</f>
        <v/>
      </c>
      <c r="AX1100">
        <f>IF(OR(AX$4="",$A1100&gt;TODAY()),0,IF(OR(INDEX($B1100:$D1100,AX$5)="F",AND(AX$6&gt;0,$A1100&lt;AX$6),AND(AX$7&gt;0,$A1100&gt;AX$7)),0,MAX(0,ROUND((INDEX($E1100:$G1100,AX$5)-SUMIFS(TF_Timer,TF_Tekniker,AX$4,TF_Dato,$A1100))*2,0)/2)))</f>
        <v/>
      </c>
      <c r="AY1100">
        <f>IF(OR(AY$4="",$A1100&gt;TODAY()),0,IF(OR(INDEX($B1100:$D1100,AY$5)="F",AND(AY$6&gt;0,$A1100&lt;AY$6),AND(AY$7&gt;0,$A1100&gt;AY$7)),0,MAX(0,ROUND((INDEX($E1100:$G1100,AY$5)-SUMIFS(TF_Timer,TF_Tekniker,AY$4,TF_Dato,$A1100))*2,0)/2)))</f>
        <v/>
      </c>
      <c r="AZ1100">
        <f>IF(OR(AZ$4="",$A1100&gt;TODAY()),0,IF(OR(INDEX($B1100:$D1100,AZ$5)="F",AND(AZ$6&gt;0,$A1100&lt;AZ$6),AND(AZ$7&gt;0,$A1100&gt;AZ$7)),0,MAX(0,ROUND((INDEX($E1100:$G1100,AZ$5)-SUMIFS(TF_Timer,TF_Tekniker,AZ$4,TF_Dato,$A1100))*2,0)/2)))</f>
        <v/>
      </c>
      <c r="BA1100">
        <f>IF(OR(BA$4="",$A1100&gt;TODAY()),0,IF(OR(INDEX($B1100:$D1100,BA$5)="F",AND(BA$6&gt;0,$A1100&lt;BA$6),AND(BA$7&gt;0,$A1100&gt;BA$7)),0,MAX(0,ROUND((INDEX($E1100:$G1100,BA$5)-SUMIFS(TF_Timer,TF_Tekniker,BA$4,TF_Dato,$A1100))*2,0)/2)))</f>
        <v/>
      </c>
      <c r="BB1100">
        <f>IF(OR(BB$4="",$A1100&gt;TODAY()),0,IF(OR(INDEX($B1100:$D1100,BB$5)="F",AND(BB$6&gt;0,$A1100&lt;BB$6),AND(BB$7&gt;0,$A1100&gt;BB$7)),0,MAX(0,ROUND((INDEX($E1100:$G1100,BB$5)-SUMIFS(TF_Timer,TF_Tekniker,BB$4,TF_Dato,$A1100))*2,0)/2)))</f>
        <v/>
      </c>
      <c r="BC1100">
        <f>IF(OR(BC$4="",$A1100&gt;TODAY()),0,IF(OR(INDEX($B1100:$D1100,BC$5)="F",AND(BC$6&gt;0,$A1100&lt;BC$6),AND(BC$7&gt;0,$A1100&gt;BC$7)),0,MAX(0,ROUND((INDEX($E1100:$G1100,BC$5)-SUMIFS(TF_Timer,TF_Tekniker,BC$4,TF_Dato,$A1100))*2,0)/2)))</f>
        <v/>
      </c>
      <c r="BD1100">
        <f>IF(OR(BD$4="",$A1100&gt;TODAY()),0,IF(OR(INDEX($B1100:$D1100,BD$5)="F",AND(BD$6&gt;0,$A1100&lt;BD$6),AND(BD$7&gt;0,$A1100&gt;BD$7)),0,MAX(0,ROUND((INDEX($E1100:$G1100,BD$5)-SUMIFS(TF_Timer,TF_Tekniker,BD$4,TF_Dato,$A1100))*2,0)/2)))</f>
        <v/>
      </c>
      <c r="BE1100">
        <f>IF(OR(BE$4="",$A1100&gt;TODAY()),0,IF(OR(INDEX($B1100:$D1100,BE$5)="F",AND(BE$6&gt;0,$A1100&lt;BE$6),AND(BE$7&gt;0,$A1100&gt;BE$7)),0,MAX(0,ROUND((INDEX($E1100:$G1100,BE$5)-SUMIFS(TF_Timer,TF_Tekniker,BE$4,TF_Dato,$A1100))*2,0)/2)))</f>
        <v/>
      </c>
      <c r="BF1100">
        <f>IF(OR(BF$4="",$A1100&gt;TODAY()),0,IF(OR(INDEX($B1100:$D1100,BF$5)="F",AND(BF$6&gt;0,$A1100&lt;BF$6),AND(BF$7&gt;0,$A1100&gt;BF$7)),0,MAX(0,ROUND((INDEX($E1100:$G1100,BF$5)-SUMIFS(TF_Timer,TF_Tekniker,BF$4,TF_Dato,$A1100))*2,0)/2)))</f>
        <v/>
      </c>
      <c r="BG1100">
        <f>IF(OR(BG$4="",$A1100&gt;TODAY()),0,IF(OR(INDEX($B1100:$D1100,BG$5)="F",AND(BG$6&gt;0,$A1100&lt;BG$6),AND(BG$7&gt;0,$A1100&gt;BG$7)),0,MAX(0,ROUND((INDEX($E1100:$G1100,BG$5)-SUMIFS(TF_Timer,TF_Tekniker,BG$4,TF_Dato,$A1100))*2,0)/2)))</f>
        <v/>
      </c>
      <c r="BH1100">
        <f>IF(OR(BH$4="",$A1100&gt;TODAY()),0,IF(OR(INDEX($B1100:$D1100,BH$5)="F",AND(BH$6&gt;0,$A1100&lt;BH$6),AND(BH$7&gt;0,$A1100&gt;BH$7)),0,MAX(0,ROUND((INDEX($E1100:$G1100,BH$5)-SUMIFS(TF_Timer,TF_Tekniker,BH$4,TF_Dato,$A1100))*2,0)/2)))</f>
        <v/>
      </c>
      <c r="BI1100">
        <f>IF(OR(BI$4="",$A1100&gt;TODAY()),0,IF(OR(INDEX($B1100:$D1100,BI$5)="F",AND(BI$6&gt;0,$A1100&lt;BI$6),AND(BI$7&gt;0,$A1100&gt;BI$7)),0,MAX(0,ROUND((INDEX($E1100:$G1100,BI$5)-SUMIFS(TF_Timer,TF_Tekniker,BI$4,TF_Dato,$A1100))*2,0)/2)))</f>
        <v/>
      </c>
    </row>
    <row r="1101">
      <c r="A1101" s="64">
        <f>A1100+1</f>
        <v/>
      </c>
      <c r="B1101">
        <f>IF(MOD($A1101-INDEX(SkiftStart,1),Syklus)&lt;DagK,"K",IF(MOD($A1101-INDEX(SkiftStart,1),Syklus)&lt;DagK+DagH,"H",IF(MOD($A1101-INDEX(SkiftStart,1),Syklus)&lt;DagK+DagH+DagD,"D","F")))</f>
        <v/>
      </c>
      <c r="C1101">
        <f>IF(MOD($A1101-INDEX(SkiftStart,2),Syklus)&lt;DagK,"K",IF(MOD($A1101-INDEX(SkiftStart,2),Syklus)&lt;DagK+DagH,"H",IF(MOD($A1101-INDEX(SkiftStart,2),Syklus)&lt;DagK+DagH+DagD,"D","F")))</f>
        <v/>
      </c>
      <c r="D1101">
        <f>IF(MOD($A1101-INDEX(SkiftStart,3),Syklus)&lt;DagK,"K",IF(MOD($A1101-INDEX(SkiftStart,3),Syklus)&lt;DagK+DagH,"H",IF(MOD($A1101-INDEX(SkiftStart,3),Syklus)&lt;DagK+DagH+DagD,"D","F")))</f>
        <v/>
      </c>
      <c r="E1101">
        <f>IF(B1101="F",0,IF(WEEKDAY($A1101,2)=5,INDEX(TimerFr,MATCH(B1101,FaseKode,0)),INDEX(TimerMT,MATCH(B1101,FaseKode,0))))</f>
        <v/>
      </c>
      <c r="F1101">
        <f>IF(C1101="F",0,IF(WEEKDAY($A1101,2)=5,INDEX(TimerFr,MATCH(C1101,FaseKode,0)),INDEX(TimerMT,MATCH(C1101,FaseKode,0))))</f>
        <v/>
      </c>
      <c r="G1101">
        <f>IF(D1101="F",0,IF(WEEKDAY($A1101,2)=5,INDEX(TimerFr,MATCH(D1101,FaseKode,0)),INDEX(TimerMT,MATCH(D1101,FaseKode,0))))</f>
        <v/>
      </c>
      <c r="H1101">
        <f>IF(OR(H$4="",$A1101&gt;TODAY()),0,IF(OR(INDEX($B1101:$D1101,H$5)="F",AND(H$6&gt;0,$A1101&lt;H$6),AND(H$7&gt;0,$A1101&gt;H$7)),0,MAX(0,ROUND((INDEX($E1101:$G1101,H$5)-SUMIFS(TF_Timer,TF_Tekniker,H$4,TF_Dato,$A1101))*2,0)/2)))</f>
        <v/>
      </c>
      <c r="I1101">
        <f>IF(OR(I$4="",$A1101&gt;TODAY()),0,IF(OR(INDEX($B1101:$D1101,I$5)="F",AND(I$6&gt;0,$A1101&lt;I$6),AND(I$7&gt;0,$A1101&gt;I$7)),0,MAX(0,ROUND((INDEX($E1101:$G1101,I$5)-SUMIFS(TF_Timer,TF_Tekniker,I$4,TF_Dato,$A1101))*2,0)/2)))</f>
        <v/>
      </c>
      <c r="J1101">
        <f>IF(OR(J$4="",$A1101&gt;TODAY()),0,IF(OR(INDEX($B1101:$D1101,J$5)="F",AND(J$6&gt;0,$A1101&lt;J$6),AND(J$7&gt;0,$A1101&gt;J$7)),0,MAX(0,ROUND((INDEX($E1101:$G1101,J$5)-SUMIFS(TF_Timer,TF_Tekniker,J$4,TF_Dato,$A1101))*2,0)/2)))</f>
        <v/>
      </c>
      <c r="K1101">
        <f>IF(OR(K$4="",$A1101&gt;TODAY()),0,IF(OR(INDEX($B1101:$D1101,K$5)="F",AND(K$6&gt;0,$A1101&lt;K$6),AND(K$7&gt;0,$A1101&gt;K$7)),0,MAX(0,ROUND((INDEX($E1101:$G1101,K$5)-SUMIFS(TF_Timer,TF_Tekniker,K$4,TF_Dato,$A1101))*2,0)/2)))</f>
        <v/>
      </c>
      <c r="L1101">
        <f>IF(OR(L$4="",$A1101&gt;TODAY()),0,IF(OR(INDEX($B1101:$D1101,L$5)="F",AND(L$6&gt;0,$A1101&lt;L$6),AND(L$7&gt;0,$A1101&gt;L$7)),0,MAX(0,ROUND((INDEX($E1101:$G1101,L$5)-SUMIFS(TF_Timer,TF_Tekniker,L$4,TF_Dato,$A1101))*2,0)/2)))</f>
        <v/>
      </c>
      <c r="M1101">
        <f>IF(OR(M$4="",$A1101&gt;TODAY()),0,IF(OR(INDEX($B1101:$D1101,M$5)="F",AND(M$6&gt;0,$A1101&lt;M$6),AND(M$7&gt;0,$A1101&gt;M$7)),0,MAX(0,ROUND((INDEX($E1101:$G1101,M$5)-SUMIFS(TF_Timer,TF_Tekniker,M$4,TF_Dato,$A1101))*2,0)/2)))</f>
        <v/>
      </c>
      <c r="N1101">
        <f>IF(OR(N$4="",$A1101&gt;TODAY()),0,IF(OR(INDEX($B1101:$D1101,N$5)="F",AND(N$6&gt;0,$A1101&lt;N$6),AND(N$7&gt;0,$A1101&gt;N$7)),0,MAX(0,ROUND((INDEX($E1101:$G1101,N$5)-SUMIFS(TF_Timer,TF_Tekniker,N$4,TF_Dato,$A1101))*2,0)/2)))</f>
        <v/>
      </c>
      <c r="O1101">
        <f>IF(OR(O$4="",$A1101&gt;TODAY()),0,IF(OR(INDEX($B1101:$D1101,O$5)="F",AND(O$6&gt;0,$A1101&lt;O$6),AND(O$7&gt;0,$A1101&gt;O$7)),0,MAX(0,ROUND((INDEX($E1101:$G1101,O$5)-SUMIFS(TF_Timer,TF_Tekniker,O$4,TF_Dato,$A1101))*2,0)/2)))</f>
        <v/>
      </c>
      <c r="P1101">
        <f>IF(OR(P$4="",$A1101&gt;TODAY()),0,IF(OR(INDEX($B1101:$D1101,P$5)="F",AND(P$6&gt;0,$A1101&lt;P$6),AND(P$7&gt;0,$A1101&gt;P$7)),0,MAX(0,ROUND((INDEX($E1101:$G1101,P$5)-SUMIFS(TF_Timer,TF_Tekniker,P$4,TF_Dato,$A1101))*2,0)/2)))</f>
        <v/>
      </c>
      <c r="Q1101">
        <f>IF(OR(Q$4="",$A1101&gt;TODAY()),0,IF(OR(INDEX($B1101:$D1101,Q$5)="F",AND(Q$6&gt;0,$A1101&lt;Q$6),AND(Q$7&gt;0,$A1101&gt;Q$7)),0,MAX(0,ROUND((INDEX($E1101:$G1101,Q$5)-SUMIFS(TF_Timer,TF_Tekniker,Q$4,TF_Dato,$A1101))*2,0)/2)))</f>
        <v/>
      </c>
      <c r="R1101">
        <f>IF(OR(R$4="",$A1101&gt;TODAY()),0,IF(OR(INDEX($B1101:$D1101,R$5)="F",AND(R$6&gt;0,$A1101&lt;R$6),AND(R$7&gt;0,$A1101&gt;R$7)),0,MAX(0,ROUND((INDEX($E1101:$G1101,R$5)-SUMIFS(TF_Timer,TF_Tekniker,R$4,TF_Dato,$A1101))*2,0)/2)))</f>
        <v/>
      </c>
      <c r="S1101">
        <f>IF(OR(S$4="",$A1101&gt;TODAY()),0,IF(OR(INDEX($B1101:$D1101,S$5)="F",AND(S$6&gt;0,$A1101&lt;S$6),AND(S$7&gt;0,$A1101&gt;S$7)),0,MAX(0,ROUND((INDEX($E1101:$G1101,S$5)-SUMIFS(TF_Timer,TF_Tekniker,S$4,TF_Dato,$A1101))*2,0)/2)))</f>
        <v/>
      </c>
      <c r="T1101">
        <f>IF(OR(T$4="",$A1101&gt;TODAY()),0,IF(OR(INDEX($B1101:$D1101,T$5)="F",AND(T$6&gt;0,$A1101&lt;T$6),AND(T$7&gt;0,$A1101&gt;T$7)),0,MAX(0,ROUND((INDEX($E1101:$G1101,T$5)-SUMIFS(TF_Timer,TF_Tekniker,T$4,TF_Dato,$A1101))*2,0)/2)))</f>
        <v/>
      </c>
      <c r="U1101">
        <f>IF(OR(U$4="",$A1101&gt;TODAY()),0,IF(OR(INDEX($B1101:$D1101,U$5)="F",AND(U$6&gt;0,$A1101&lt;U$6),AND(U$7&gt;0,$A1101&gt;U$7)),0,MAX(0,ROUND((INDEX($E1101:$G1101,U$5)-SUMIFS(TF_Timer,TF_Tekniker,U$4,TF_Dato,$A1101))*2,0)/2)))</f>
        <v/>
      </c>
      <c r="V1101">
        <f>IF(OR(V$4="",$A1101&gt;TODAY()),0,IF(OR(INDEX($B1101:$D1101,V$5)="F",AND(V$6&gt;0,$A1101&lt;V$6),AND(V$7&gt;0,$A1101&gt;V$7)),0,MAX(0,ROUND((INDEX($E1101:$G1101,V$5)-SUMIFS(TF_Timer,TF_Tekniker,V$4,TF_Dato,$A1101))*2,0)/2)))</f>
        <v/>
      </c>
      <c r="W1101">
        <f>IF(OR(W$4="",$A1101&gt;TODAY()),0,IF(OR(INDEX($B1101:$D1101,W$5)="F",AND(W$6&gt;0,$A1101&lt;W$6),AND(W$7&gt;0,$A1101&gt;W$7)),0,MAX(0,ROUND((INDEX($E1101:$G1101,W$5)-SUMIFS(TF_Timer,TF_Tekniker,W$4,TF_Dato,$A1101))*2,0)/2)))</f>
        <v/>
      </c>
      <c r="X1101">
        <f>IF(OR(X$4="",$A1101&gt;TODAY()),0,IF(OR(INDEX($B1101:$D1101,X$5)="F",AND(X$6&gt;0,$A1101&lt;X$6),AND(X$7&gt;0,$A1101&gt;X$7)),0,MAX(0,ROUND((INDEX($E1101:$G1101,X$5)-SUMIFS(TF_Timer,TF_Tekniker,X$4,TF_Dato,$A1101))*2,0)/2)))</f>
        <v/>
      </c>
      <c r="Y1101">
        <f>IF(OR(Y$4="",$A1101&gt;TODAY()),0,IF(OR(INDEX($B1101:$D1101,Y$5)="F",AND(Y$6&gt;0,$A1101&lt;Y$6),AND(Y$7&gt;0,$A1101&gt;Y$7)),0,MAX(0,ROUND((INDEX($E1101:$G1101,Y$5)-SUMIFS(TF_Timer,TF_Tekniker,Y$4,TF_Dato,$A1101))*2,0)/2)))</f>
        <v/>
      </c>
      <c r="Z1101">
        <f>IF(OR(Z$4="",$A1101&gt;TODAY()),0,IF(OR(INDEX($B1101:$D1101,Z$5)="F",AND(Z$6&gt;0,$A1101&lt;Z$6),AND(Z$7&gt;0,$A1101&gt;Z$7)),0,MAX(0,ROUND((INDEX($E1101:$G1101,Z$5)-SUMIFS(TF_Timer,TF_Tekniker,Z$4,TF_Dato,$A1101))*2,0)/2)))</f>
        <v/>
      </c>
      <c r="AA1101">
        <f>IF(OR(AA$4="",$A1101&gt;TODAY()),0,IF(OR(INDEX($B1101:$D1101,AA$5)="F",AND(AA$6&gt;0,$A1101&lt;AA$6),AND(AA$7&gt;0,$A1101&gt;AA$7)),0,MAX(0,ROUND((INDEX($E1101:$G1101,AA$5)-SUMIFS(TF_Timer,TF_Tekniker,AA$4,TF_Dato,$A1101))*2,0)/2)))</f>
        <v/>
      </c>
      <c r="AB1101">
        <f>IF(OR(AB$4="",$A1101&gt;TODAY()),0,IF(OR(INDEX($B1101:$D1101,AB$5)="F",AND(AB$6&gt;0,$A1101&lt;AB$6),AND(AB$7&gt;0,$A1101&gt;AB$7)),0,MAX(0,ROUND((INDEX($E1101:$G1101,AB$5)-SUMIFS(TF_Timer,TF_Tekniker,AB$4,TF_Dato,$A1101))*2,0)/2)))</f>
        <v/>
      </c>
      <c r="AC1101">
        <f>IF(OR(AC$4="",$A1101&gt;TODAY()),0,IF(OR(INDEX($B1101:$D1101,AC$5)="F",AND(AC$6&gt;0,$A1101&lt;AC$6),AND(AC$7&gt;0,$A1101&gt;AC$7)),0,MAX(0,ROUND((INDEX($E1101:$G1101,AC$5)-SUMIFS(TF_Timer,TF_Tekniker,AC$4,TF_Dato,$A1101))*2,0)/2)))</f>
        <v/>
      </c>
      <c r="AD1101">
        <f>IF(OR(AD$4="",$A1101&gt;TODAY()),0,IF(OR(INDEX($B1101:$D1101,AD$5)="F",AND(AD$6&gt;0,$A1101&lt;AD$6),AND(AD$7&gt;0,$A1101&gt;AD$7)),0,MAX(0,ROUND((INDEX($E1101:$G1101,AD$5)-SUMIFS(TF_Timer,TF_Tekniker,AD$4,TF_Dato,$A1101))*2,0)/2)))</f>
        <v/>
      </c>
      <c r="AE1101">
        <f>IF(OR(AE$4="",$A1101&gt;TODAY()),0,IF(OR(INDEX($B1101:$D1101,AE$5)="F",AND(AE$6&gt;0,$A1101&lt;AE$6),AND(AE$7&gt;0,$A1101&gt;AE$7)),0,MAX(0,ROUND((INDEX($E1101:$G1101,AE$5)-SUMIFS(TF_Timer,TF_Tekniker,AE$4,TF_Dato,$A1101))*2,0)/2)))</f>
        <v/>
      </c>
      <c r="AF1101">
        <f>IF(OR(AF$4="",$A1101&gt;TODAY()),0,IF(OR(INDEX($B1101:$D1101,AF$5)="F",AND(AF$6&gt;0,$A1101&lt;AF$6),AND(AF$7&gt;0,$A1101&gt;AF$7)),0,MAX(0,ROUND((INDEX($E1101:$G1101,AF$5)-SUMIFS(TF_Timer,TF_Tekniker,AF$4,TF_Dato,$A1101))*2,0)/2)))</f>
        <v/>
      </c>
      <c r="AG1101">
        <f>IF(OR(AG$4="",$A1101&gt;TODAY()),0,IF(OR(INDEX($B1101:$D1101,AG$5)="F",AND(AG$6&gt;0,$A1101&lt;AG$6),AND(AG$7&gt;0,$A1101&gt;AG$7)),0,MAX(0,ROUND((INDEX($E1101:$G1101,AG$5)-SUMIFS(TF_Timer,TF_Tekniker,AG$4,TF_Dato,$A1101))*2,0)/2)))</f>
        <v/>
      </c>
      <c r="AH1101">
        <f>IF(OR(AH$4="",$A1101&gt;TODAY()),0,IF(OR(INDEX($B1101:$D1101,AH$5)="F",AND(AH$6&gt;0,$A1101&lt;AH$6),AND(AH$7&gt;0,$A1101&gt;AH$7)),0,MAX(0,ROUND((INDEX($E1101:$G1101,AH$5)-SUMIFS(TF_Timer,TF_Tekniker,AH$4,TF_Dato,$A1101))*2,0)/2)))</f>
        <v/>
      </c>
      <c r="AI1101">
        <f>IF(OR(AI$4="",$A1101&gt;TODAY()),0,IF(OR(INDEX($B1101:$D1101,AI$5)="F",AND(AI$6&gt;0,$A1101&lt;AI$6),AND(AI$7&gt;0,$A1101&gt;AI$7)),0,MAX(0,ROUND((INDEX($E1101:$G1101,AI$5)-SUMIFS(TF_Timer,TF_Tekniker,AI$4,TF_Dato,$A1101))*2,0)/2)))</f>
        <v/>
      </c>
      <c r="AJ1101">
        <f>IF(OR(AJ$4="",$A1101&gt;TODAY()),0,IF(OR(INDEX($B1101:$D1101,AJ$5)="F",AND(AJ$6&gt;0,$A1101&lt;AJ$6),AND(AJ$7&gt;0,$A1101&gt;AJ$7)),0,MAX(0,ROUND((INDEX($E1101:$G1101,AJ$5)-SUMIFS(TF_Timer,TF_Tekniker,AJ$4,TF_Dato,$A1101))*2,0)/2)))</f>
        <v/>
      </c>
      <c r="AK1101">
        <f>IF(OR(AK$4="",$A1101&gt;TODAY()),0,IF(OR(INDEX($B1101:$D1101,AK$5)="F",AND(AK$6&gt;0,$A1101&lt;AK$6),AND(AK$7&gt;0,$A1101&gt;AK$7)),0,MAX(0,ROUND((INDEX($E1101:$G1101,AK$5)-SUMIFS(TF_Timer,TF_Tekniker,AK$4,TF_Dato,$A1101))*2,0)/2)))</f>
        <v/>
      </c>
      <c r="AL1101">
        <f>IF(OR(AL$4="",$A1101&gt;TODAY()),0,IF(OR(INDEX($B1101:$D1101,AL$5)="F",AND(AL$6&gt;0,$A1101&lt;AL$6),AND(AL$7&gt;0,$A1101&gt;AL$7)),0,MAX(0,ROUND((INDEX($E1101:$G1101,AL$5)-SUMIFS(TF_Timer,TF_Tekniker,AL$4,TF_Dato,$A1101))*2,0)/2)))</f>
        <v/>
      </c>
      <c r="AM1101">
        <f>IF(OR(AM$4="",$A1101&gt;TODAY()),0,IF(OR(INDEX($B1101:$D1101,AM$5)="F",AND(AM$6&gt;0,$A1101&lt;AM$6),AND(AM$7&gt;0,$A1101&gt;AM$7)),0,MAX(0,ROUND((INDEX($E1101:$G1101,AM$5)-SUMIFS(TF_Timer,TF_Tekniker,AM$4,TF_Dato,$A1101))*2,0)/2)))</f>
        <v/>
      </c>
      <c r="AN1101">
        <f>IF(OR(AN$4="",$A1101&gt;TODAY()),0,IF(OR(INDEX($B1101:$D1101,AN$5)="F",AND(AN$6&gt;0,$A1101&lt;AN$6),AND(AN$7&gt;0,$A1101&gt;AN$7)),0,MAX(0,ROUND((INDEX($E1101:$G1101,AN$5)-SUMIFS(TF_Timer,TF_Tekniker,AN$4,TF_Dato,$A1101))*2,0)/2)))</f>
        <v/>
      </c>
      <c r="AO1101">
        <f>IF(OR(AO$4="",$A1101&gt;TODAY()),0,IF(OR(INDEX($B1101:$D1101,AO$5)="F",AND(AO$6&gt;0,$A1101&lt;AO$6),AND(AO$7&gt;0,$A1101&gt;AO$7)),0,MAX(0,ROUND((INDEX($E1101:$G1101,AO$5)-SUMIFS(TF_Timer,TF_Tekniker,AO$4,TF_Dato,$A1101))*2,0)/2)))</f>
        <v/>
      </c>
      <c r="AP1101">
        <f>IF(OR(AP$4="",$A1101&gt;TODAY()),0,IF(OR(INDEX($B1101:$D1101,AP$5)="F",AND(AP$6&gt;0,$A1101&lt;AP$6),AND(AP$7&gt;0,$A1101&gt;AP$7)),0,MAX(0,ROUND((INDEX($E1101:$G1101,AP$5)-SUMIFS(TF_Timer,TF_Tekniker,AP$4,TF_Dato,$A1101))*2,0)/2)))</f>
        <v/>
      </c>
      <c r="AQ1101">
        <f>IF(OR(AQ$4="",$A1101&gt;TODAY()),0,IF(OR(INDEX($B1101:$D1101,AQ$5)="F",AND(AQ$6&gt;0,$A1101&lt;AQ$6),AND(AQ$7&gt;0,$A1101&gt;AQ$7)),0,MAX(0,ROUND((INDEX($E1101:$G1101,AQ$5)-SUMIFS(TF_Timer,TF_Tekniker,AQ$4,TF_Dato,$A1101))*2,0)/2)))</f>
        <v/>
      </c>
      <c r="AR1101">
        <f>IF(OR(AR$4="",$A1101&gt;TODAY()),0,IF(OR(INDEX($B1101:$D1101,AR$5)="F",AND(AR$6&gt;0,$A1101&lt;AR$6),AND(AR$7&gt;0,$A1101&gt;AR$7)),0,MAX(0,ROUND((INDEX($E1101:$G1101,AR$5)-SUMIFS(TF_Timer,TF_Tekniker,AR$4,TF_Dato,$A1101))*2,0)/2)))</f>
        <v/>
      </c>
      <c r="AS1101">
        <f>IF(OR(AS$4="",$A1101&gt;TODAY()),0,IF(OR(INDEX($B1101:$D1101,AS$5)="F",AND(AS$6&gt;0,$A1101&lt;AS$6),AND(AS$7&gt;0,$A1101&gt;AS$7)),0,MAX(0,ROUND((INDEX($E1101:$G1101,AS$5)-SUMIFS(TF_Timer,TF_Tekniker,AS$4,TF_Dato,$A1101))*2,0)/2)))</f>
        <v/>
      </c>
      <c r="AT1101">
        <f>IF(OR(AT$4="",$A1101&gt;TODAY()),0,IF(OR(INDEX($B1101:$D1101,AT$5)="F",AND(AT$6&gt;0,$A1101&lt;AT$6),AND(AT$7&gt;0,$A1101&gt;AT$7)),0,MAX(0,ROUND((INDEX($E1101:$G1101,AT$5)-SUMIFS(TF_Timer,TF_Tekniker,AT$4,TF_Dato,$A1101))*2,0)/2)))</f>
        <v/>
      </c>
      <c r="AU1101">
        <f>IF(OR(AU$4="",$A1101&gt;TODAY()),0,IF(OR(INDEX($B1101:$D1101,AU$5)="F",AND(AU$6&gt;0,$A1101&lt;AU$6),AND(AU$7&gt;0,$A1101&gt;AU$7)),0,MAX(0,ROUND((INDEX($E1101:$G1101,AU$5)-SUMIFS(TF_Timer,TF_Tekniker,AU$4,TF_Dato,$A1101))*2,0)/2)))</f>
        <v/>
      </c>
      <c r="AV1101">
        <f>IF(OR(AV$4="",$A1101&gt;TODAY()),0,IF(OR(INDEX($B1101:$D1101,AV$5)="F",AND(AV$6&gt;0,$A1101&lt;AV$6),AND(AV$7&gt;0,$A1101&gt;AV$7)),0,MAX(0,ROUND((INDEX($E1101:$G1101,AV$5)-SUMIFS(TF_Timer,TF_Tekniker,AV$4,TF_Dato,$A1101))*2,0)/2)))</f>
        <v/>
      </c>
      <c r="AW1101">
        <f>IF(OR(AW$4="",$A1101&gt;TODAY()),0,IF(OR(INDEX($B1101:$D1101,AW$5)="F",AND(AW$6&gt;0,$A1101&lt;AW$6),AND(AW$7&gt;0,$A1101&gt;AW$7)),0,MAX(0,ROUND((INDEX($E1101:$G1101,AW$5)-SUMIFS(TF_Timer,TF_Tekniker,AW$4,TF_Dato,$A1101))*2,0)/2)))</f>
        <v/>
      </c>
      <c r="AX1101">
        <f>IF(OR(AX$4="",$A1101&gt;TODAY()),0,IF(OR(INDEX($B1101:$D1101,AX$5)="F",AND(AX$6&gt;0,$A1101&lt;AX$6),AND(AX$7&gt;0,$A1101&gt;AX$7)),0,MAX(0,ROUND((INDEX($E1101:$G1101,AX$5)-SUMIFS(TF_Timer,TF_Tekniker,AX$4,TF_Dato,$A1101))*2,0)/2)))</f>
        <v/>
      </c>
      <c r="AY1101">
        <f>IF(OR(AY$4="",$A1101&gt;TODAY()),0,IF(OR(INDEX($B1101:$D1101,AY$5)="F",AND(AY$6&gt;0,$A1101&lt;AY$6),AND(AY$7&gt;0,$A1101&gt;AY$7)),0,MAX(0,ROUND((INDEX($E1101:$G1101,AY$5)-SUMIFS(TF_Timer,TF_Tekniker,AY$4,TF_Dato,$A1101))*2,0)/2)))</f>
        <v/>
      </c>
      <c r="AZ1101">
        <f>IF(OR(AZ$4="",$A1101&gt;TODAY()),0,IF(OR(INDEX($B1101:$D1101,AZ$5)="F",AND(AZ$6&gt;0,$A1101&lt;AZ$6),AND(AZ$7&gt;0,$A1101&gt;AZ$7)),0,MAX(0,ROUND((INDEX($E1101:$G1101,AZ$5)-SUMIFS(TF_Timer,TF_Tekniker,AZ$4,TF_Dato,$A1101))*2,0)/2)))</f>
        <v/>
      </c>
      <c r="BA1101">
        <f>IF(OR(BA$4="",$A1101&gt;TODAY()),0,IF(OR(INDEX($B1101:$D1101,BA$5)="F",AND(BA$6&gt;0,$A1101&lt;BA$6),AND(BA$7&gt;0,$A1101&gt;BA$7)),0,MAX(0,ROUND((INDEX($E1101:$G1101,BA$5)-SUMIFS(TF_Timer,TF_Tekniker,BA$4,TF_Dato,$A1101))*2,0)/2)))</f>
        <v/>
      </c>
      <c r="BB1101">
        <f>IF(OR(BB$4="",$A1101&gt;TODAY()),0,IF(OR(INDEX($B1101:$D1101,BB$5)="F",AND(BB$6&gt;0,$A1101&lt;BB$6),AND(BB$7&gt;0,$A1101&gt;BB$7)),0,MAX(0,ROUND((INDEX($E1101:$G1101,BB$5)-SUMIFS(TF_Timer,TF_Tekniker,BB$4,TF_Dato,$A1101))*2,0)/2)))</f>
        <v/>
      </c>
      <c r="BC1101">
        <f>IF(OR(BC$4="",$A1101&gt;TODAY()),0,IF(OR(INDEX($B1101:$D1101,BC$5)="F",AND(BC$6&gt;0,$A1101&lt;BC$6),AND(BC$7&gt;0,$A1101&gt;BC$7)),0,MAX(0,ROUND((INDEX($E1101:$G1101,BC$5)-SUMIFS(TF_Timer,TF_Tekniker,BC$4,TF_Dato,$A1101))*2,0)/2)))</f>
        <v/>
      </c>
      <c r="BD1101">
        <f>IF(OR(BD$4="",$A1101&gt;TODAY()),0,IF(OR(INDEX($B1101:$D1101,BD$5)="F",AND(BD$6&gt;0,$A1101&lt;BD$6),AND(BD$7&gt;0,$A1101&gt;BD$7)),0,MAX(0,ROUND((INDEX($E1101:$G1101,BD$5)-SUMIFS(TF_Timer,TF_Tekniker,BD$4,TF_Dato,$A1101))*2,0)/2)))</f>
        <v/>
      </c>
      <c r="BE1101">
        <f>IF(OR(BE$4="",$A1101&gt;TODAY()),0,IF(OR(INDEX($B1101:$D1101,BE$5)="F",AND(BE$6&gt;0,$A1101&lt;BE$6),AND(BE$7&gt;0,$A1101&gt;BE$7)),0,MAX(0,ROUND((INDEX($E1101:$G1101,BE$5)-SUMIFS(TF_Timer,TF_Tekniker,BE$4,TF_Dato,$A1101))*2,0)/2)))</f>
        <v/>
      </c>
      <c r="BF1101">
        <f>IF(OR(BF$4="",$A1101&gt;TODAY()),0,IF(OR(INDEX($B1101:$D1101,BF$5)="F",AND(BF$6&gt;0,$A1101&lt;BF$6),AND(BF$7&gt;0,$A1101&gt;BF$7)),0,MAX(0,ROUND((INDEX($E1101:$G1101,BF$5)-SUMIFS(TF_Timer,TF_Tekniker,BF$4,TF_Dato,$A1101))*2,0)/2)))</f>
        <v/>
      </c>
      <c r="BG1101">
        <f>IF(OR(BG$4="",$A1101&gt;TODAY()),0,IF(OR(INDEX($B1101:$D1101,BG$5)="F",AND(BG$6&gt;0,$A1101&lt;BG$6),AND(BG$7&gt;0,$A1101&gt;BG$7)),0,MAX(0,ROUND((INDEX($E1101:$G1101,BG$5)-SUMIFS(TF_Timer,TF_Tekniker,BG$4,TF_Dato,$A1101))*2,0)/2)))</f>
        <v/>
      </c>
      <c r="BH1101">
        <f>IF(OR(BH$4="",$A1101&gt;TODAY()),0,IF(OR(INDEX($B1101:$D1101,BH$5)="F",AND(BH$6&gt;0,$A1101&lt;BH$6),AND(BH$7&gt;0,$A1101&gt;BH$7)),0,MAX(0,ROUND((INDEX($E1101:$G1101,BH$5)-SUMIFS(TF_Timer,TF_Tekniker,BH$4,TF_Dato,$A1101))*2,0)/2)))</f>
        <v/>
      </c>
      <c r="BI1101">
        <f>IF(OR(BI$4="",$A1101&gt;TODAY()),0,IF(OR(INDEX($B1101:$D1101,BI$5)="F",AND(BI$6&gt;0,$A1101&lt;BI$6),AND(BI$7&gt;0,$A1101&gt;BI$7)),0,MAX(0,ROUND((INDEX($E1101:$G1101,BI$5)-SUMIFS(TF_Timer,TF_Tekniker,BI$4,TF_Dato,$A1101))*2,0)/2)))</f>
        <v/>
      </c>
    </row>
    <row r="1102">
      <c r="A1102" s="64">
        <f>A1101+1</f>
        <v/>
      </c>
      <c r="B1102">
        <f>IF(MOD($A1102-INDEX(SkiftStart,1),Syklus)&lt;DagK,"K",IF(MOD($A1102-INDEX(SkiftStart,1),Syklus)&lt;DagK+DagH,"H",IF(MOD($A1102-INDEX(SkiftStart,1),Syklus)&lt;DagK+DagH+DagD,"D","F")))</f>
        <v/>
      </c>
      <c r="C1102">
        <f>IF(MOD($A1102-INDEX(SkiftStart,2),Syklus)&lt;DagK,"K",IF(MOD($A1102-INDEX(SkiftStart,2),Syklus)&lt;DagK+DagH,"H",IF(MOD($A1102-INDEX(SkiftStart,2),Syklus)&lt;DagK+DagH+DagD,"D","F")))</f>
        <v/>
      </c>
      <c r="D1102">
        <f>IF(MOD($A1102-INDEX(SkiftStart,3),Syklus)&lt;DagK,"K",IF(MOD($A1102-INDEX(SkiftStart,3),Syklus)&lt;DagK+DagH,"H",IF(MOD($A1102-INDEX(SkiftStart,3),Syklus)&lt;DagK+DagH+DagD,"D","F")))</f>
        <v/>
      </c>
      <c r="E1102">
        <f>IF(B1102="F",0,IF(WEEKDAY($A1102,2)=5,INDEX(TimerFr,MATCH(B1102,FaseKode,0)),INDEX(TimerMT,MATCH(B1102,FaseKode,0))))</f>
        <v/>
      </c>
      <c r="F1102">
        <f>IF(C1102="F",0,IF(WEEKDAY($A1102,2)=5,INDEX(TimerFr,MATCH(C1102,FaseKode,0)),INDEX(TimerMT,MATCH(C1102,FaseKode,0))))</f>
        <v/>
      </c>
      <c r="G1102">
        <f>IF(D1102="F",0,IF(WEEKDAY($A1102,2)=5,INDEX(TimerFr,MATCH(D1102,FaseKode,0)),INDEX(TimerMT,MATCH(D1102,FaseKode,0))))</f>
        <v/>
      </c>
      <c r="H1102">
        <f>IF(OR(H$4="",$A1102&gt;TODAY()),0,IF(OR(INDEX($B1102:$D1102,H$5)="F",AND(H$6&gt;0,$A1102&lt;H$6),AND(H$7&gt;0,$A1102&gt;H$7)),0,MAX(0,ROUND((INDEX($E1102:$G1102,H$5)-SUMIFS(TF_Timer,TF_Tekniker,H$4,TF_Dato,$A1102))*2,0)/2)))</f>
        <v/>
      </c>
      <c r="I1102">
        <f>IF(OR(I$4="",$A1102&gt;TODAY()),0,IF(OR(INDEX($B1102:$D1102,I$5)="F",AND(I$6&gt;0,$A1102&lt;I$6),AND(I$7&gt;0,$A1102&gt;I$7)),0,MAX(0,ROUND((INDEX($E1102:$G1102,I$5)-SUMIFS(TF_Timer,TF_Tekniker,I$4,TF_Dato,$A1102))*2,0)/2)))</f>
        <v/>
      </c>
      <c r="J1102">
        <f>IF(OR(J$4="",$A1102&gt;TODAY()),0,IF(OR(INDEX($B1102:$D1102,J$5)="F",AND(J$6&gt;0,$A1102&lt;J$6),AND(J$7&gt;0,$A1102&gt;J$7)),0,MAX(0,ROUND((INDEX($E1102:$G1102,J$5)-SUMIFS(TF_Timer,TF_Tekniker,J$4,TF_Dato,$A1102))*2,0)/2)))</f>
        <v/>
      </c>
      <c r="K1102">
        <f>IF(OR(K$4="",$A1102&gt;TODAY()),0,IF(OR(INDEX($B1102:$D1102,K$5)="F",AND(K$6&gt;0,$A1102&lt;K$6),AND(K$7&gt;0,$A1102&gt;K$7)),0,MAX(0,ROUND((INDEX($E1102:$G1102,K$5)-SUMIFS(TF_Timer,TF_Tekniker,K$4,TF_Dato,$A1102))*2,0)/2)))</f>
        <v/>
      </c>
      <c r="L1102">
        <f>IF(OR(L$4="",$A1102&gt;TODAY()),0,IF(OR(INDEX($B1102:$D1102,L$5)="F",AND(L$6&gt;0,$A1102&lt;L$6),AND(L$7&gt;0,$A1102&gt;L$7)),0,MAX(0,ROUND((INDEX($E1102:$G1102,L$5)-SUMIFS(TF_Timer,TF_Tekniker,L$4,TF_Dato,$A1102))*2,0)/2)))</f>
        <v/>
      </c>
      <c r="M1102">
        <f>IF(OR(M$4="",$A1102&gt;TODAY()),0,IF(OR(INDEX($B1102:$D1102,M$5)="F",AND(M$6&gt;0,$A1102&lt;M$6),AND(M$7&gt;0,$A1102&gt;M$7)),0,MAX(0,ROUND((INDEX($E1102:$G1102,M$5)-SUMIFS(TF_Timer,TF_Tekniker,M$4,TF_Dato,$A1102))*2,0)/2)))</f>
        <v/>
      </c>
      <c r="N1102">
        <f>IF(OR(N$4="",$A1102&gt;TODAY()),0,IF(OR(INDEX($B1102:$D1102,N$5)="F",AND(N$6&gt;0,$A1102&lt;N$6),AND(N$7&gt;0,$A1102&gt;N$7)),0,MAX(0,ROUND((INDEX($E1102:$G1102,N$5)-SUMIFS(TF_Timer,TF_Tekniker,N$4,TF_Dato,$A1102))*2,0)/2)))</f>
        <v/>
      </c>
      <c r="O1102">
        <f>IF(OR(O$4="",$A1102&gt;TODAY()),0,IF(OR(INDEX($B1102:$D1102,O$5)="F",AND(O$6&gt;0,$A1102&lt;O$6),AND(O$7&gt;0,$A1102&gt;O$7)),0,MAX(0,ROUND((INDEX($E1102:$G1102,O$5)-SUMIFS(TF_Timer,TF_Tekniker,O$4,TF_Dato,$A1102))*2,0)/2)))</f>
        <v/>
      </c>
      <c r="P1102">
        <f>IF(OR(P$4="",$A1102&gt;TODAY()),0,IF(OR(INDEX($B1102:$D1102,P$5)="F",AND(P$6&gt;0,$A1102&lt;P$6),AND(P$7&gt;0,$A1102&gt;P$7)),0,MAX(0,ROUND((INDEX($E1102:$G1102,P$5)-SUMIFS(TF_Timer,TF_Tekniker,P$4,TF_Dato,$A1102))*2,0)/2)))</f>
        <v/>
      </c>
      <c r="Q1102">
        <f>IF(OR(Q$4="",$A1102&gt;TODAY()),0,IF(OR(INDEX($B1102:$D1102,Q$5)="F",AND(Q$6&gt;0,$A1102&lt;Q$6),AND(Q$7&gt;0,$A1102&gt;Q$7)),0,MAX(0,ROUND((INDEX($E1102:$G1102,Q$5)-SUMIFS(TF_Timer,TF_Tekniker,Q$4,TF_Dato,$A1102))*2,0)/2)))</f>
        <v/>
      </c>
      <c r="R1102">
        <f>IF(OR(R$4="",$A1102&gt;TODAY()),0,IF(OR(INDEX($B1102:$D1102,R$5)="F",AND(R$6&gt;0,$A1102&lt;R$6),AND(R$7&gt;0,$A1102&gt;R$7)),0,MAX(0,ROUND((INDEX($E1102:$G1102,R$5)-SUMIFS(TF_Timer,TF_Tekniker,R$4,TF_Dato,$A1102))*2,0)/2)))</f>
        <v/>
      </c>
      <c r="S1102">
        <f>IF(OR(S$4="",$A1102&gt;TODAY()),0,IF(OR(INDEX($B1102:$D1102,S$5)="F",AND(S$6&gt;0,$A1102&lt;S$6),AND(S$7&gt;0,$A1102&gt;S$7)),0,MAX(0,ROUND((INDEX($E1102:$G1102,S$5)-SUMIFS(TF_Timer,TF_Tekniker,S$4,TF_Dato,$A1102))*2,0)/2)))</f>
        <v/>
      </c>
      <c r="T1102">
        <f>IF(OR(T$4="",$A1102&gt;TODAY()),0,IF(OR(INDEX($B1102:$D1102,T$5)="F",AND(T$6&gt;0,$A1102&lt;T$6),AND(T$7&gt;0,$A1102&gt;T$7)),0,MAX(0,ROUND((INDEX($E1102:$G1102,T$5)-SUMIFS(TF_Timer,TF_Tekniker,T$4,TF_Dato,$A1102))*2,0)/2)))</f>
        <v/>
      </c>
      <c r="U1102">
        <f>IF(OR(U$4="",$A1102&gt;TODAY()),0,IF(OR(INDEX($B1102:$D1102,U$5)="F",AND(U$6&gt;0,$A1102&lt;U$6),AND(U$7&gt;0,$A1102&gt;U$7)),0,MAX(0,ROUND((INDEX($E1102:$G1102,U$5)-SUMIFS(TF_Timer,TF_Tekniker,U$4,TF_Dato,$A1102))*2,0)/2)))</f>
        <v/>
      </c>
      <c r="V1102">
        <f>IF(OR(V$4="",$A1102&gt;TODAY()),0,IF(OR(INDEX($B1102:$D1102,V$5)="F",AND(V$6&gt;0,$A1102&lt;V$6),AND(V$7&gt;0,$A1102&gt;V$7)),0,MAX(0,ROUND((INDEX($E1102:$G1102,V$5)-SUMIFS(TF_Timer,TF_Tekniker,V$4,TF_Dato,$A1102))*2,0)/2)))</f>
        <v/>
      </c>
      <c r="W1102">
        <f>IF(OR(W$4="",$A1102&gt;TODAY()),0,IF(OR(INDEX($B1102:$D1102,W$5)="F",AND(W$6&gt;0,$A1102&lt;W$6),AND(W$7&gt;0,$A1102&gt;W$7)),0,MAX(0,ROUND((INDEX($E1102:$G1102,W$5)-SUMIFS(TF_Timer,TF_Tekniker,W$4,TF_Dato,$A1102))*2,0)/2)))</f>
        <v/>
      </c>
      <c r="X1102">
        <f>IF(OR(X$4="",$A1102&gt;TODAY()),0,IF(OR(INDEX($B1102:$D1102,X$5)="F",AND(X$6&gt;0,$A1102&lt;X$6),AND(X$7&gt;0,$A1102&gt;X$7)),0,MAX(0,ROUND((INDEX($E1102:$G1102,X$5)-SUMIFS(TF_Timer,TF_Tekniker,X$4,TF_Dato,$A1102))*2,0)/2)))</f>
        <v/>
      </c>
      <c r="Y1102">
        <f>IF(OR(Y$4="",$A1102&gt;TODAY()),0,IF(OR(INDEX($B1102:$D1102,Y$5)="F",AND(Y$6&gt;0,$A1102&lt;Y$6),AND(Y$7&gt;0,$A1102&gt;Y$7)),0,MAX(0,ROUND((INDEX($E1102:$G1102,Y$5)-SUMIFS(TF_Timer,TF_Tekniker,Y$4,TF_Dato,$A1102))*2,0)/2)))</f>
        <v/>
      </c>
      <c r="Z1102">
        <f>IF(OR(Z$4="",$A1102&gt;TODAY()),0,IF(OR(INDEX($B1102:$D1102,Z$5)="F",AND(Z$6&gt;0,$A1102&lt;Z$6),AND(Z$7&gt;0,$A1102&gt;Z$7)),0,MAX(0,ROUND((INDEX($E1102:$G1102,Z$5)-SUMIFS(TF_Timer,TF_Tekniker,Z$4,TF_Dato,$A1102))*2,0)/2)))</f>
        <v/>
      </c>
      <c r="AA1102">
        <f>IF(OR(AA$4="",$A1102&gt;TODAY()),0,IF(OR(INDEX($B1102:$D1102,AA$5)="F",AND(AA$6&gt;0,$A1102&lt;AA$6),AND(AA$7&gt;0,$A1102&gt;AA$7)),0,MAX(0,ROUND((INDEX($E1102:$G1102,AA$5)-SUMIFS(TF_Timer,TF_Tekniker,AA$4,TF_Dato,$A1102))*2,0)/2)))</f>
        <v/>
      </c>
      <c r="AB1102">
        <f>IF(OR(AB$4="",$A1102&gt;TODAY()),0,IF(OR(INDEX($B1102:$D1102,AB$5)="F",AND(AB$6&gt;0,$A1102&lt;AB$6),AND(AB$7&gt;0,$A1102&gt;AB$7)),0,MAX(0,ROUND((INDEX($E1102:$G1102,AB$5)-SUMIFS(TF_Timer,TF_Tekniker,AB$4,TF_Dato,$A1102))*2,0)/2)))</f>
        <v/>
      </c>
      <c r="AC1102">
        <f>IF(OR(AC$4="",$A1102&gt;TODAY()),0,IF(OR(INDEX($B1102:$D1102,AC$5)="F",AND(AC$6&gt;0,$A1102&lt;AC$6),AND(AC$7&gt;0,$A1102&gt;AC$7)),0,MAX(0,ROUND((INDEX($E1102:$G1102,AC$5)-SUMIFS(TF_Timer,TF_Tekniker,AC$4,TF_Dato,$A1102))*2,0)/2)))</f>
        <v/>
      </c>
      <c r="AD1102">
        <f>IF(OR(AD$4="",$A1102&gt;TODAY()),0,IF(OR(INDEX($B1102:$D1102,AD$5)="F",AND(AD$6&gt;0,$A1102&lt;AD$6),AND(AD$7&gt;0,$A1102&gt;AD$7)),0,MAX(0,ROUND((INDEX($E1102:$G1102,AD$5)-SUMIFS(TF_Timer,TF_Tekniker,AD$4,TF_Dato,$A1102))*2,0)/2)))</f>
        <v/>
      </c>
      <c r="AE1102">
        <f>IF(OR(AE$4="",$A1102&gt;TODAY()),0,IF(OR(INDEX($B1102:$D1102,AE$5)="F",AND(AE$6&gt;0,$A1102&lt;AE$6),AND(AE$7&gt;0,$A1102&gt;AE$7)),0,MAX(0,ROUND((INDEX($E1102:$G1102,AE$5)-SUMIFS(TF_Timer,TF_Tekniker,AE$4,TF_Dato,$A1102))*2,0)/2)))</f>
        <v/>
      </c>
      <c r="AF1102">
        <f>IF(OR(AF$4="",$A1102&gt;TODAY()),0,IF(OR(INDEX($B1102:$D1102,AF$5)="F",AND(AF$6&gt;0,$A1102&lt;AF$6),AND(AF$7&gt;0,$A1102&gt;AF$7)),0,MAX(0,ROUND((INDEX($E1102:$G1102,AF$5)-SUMIFS(TF_Timer,TF_Tekniker,AF$4,TF_Dato,$A1102))*2,0)/2)))</f>
        <v/>
      </c>
      <c r="AG1102">
        <f>IF(OR(AG$4="",$A1102&gt;TODAY()),0,IF(OR(INDEX($B1102:$D1102,AG$5)="F",AND(AG$6&gt;0,$A1102&lt;AG$6),AND(AG$7&gt;0,$A1102&gt;AG$7)),0,MAX(0,ROUND((INDEX($E1102:$G1102,AG$5)-SUMIFS(TF_Timer,TF_Tekniker,AG$4,TF_Dato,$A1102))*2,0)/2)))</f>
        <v/>
      </c>
      <c r="AH1102">
        <f>IF(OR(AH$4="",$A1102&gt;TODAY()),0,IF(OR(INDEX($B1102:$D1102,AH$5)="F",AND(AH$6&gt;0,$A1102&lt;AH$6),AND(AH$7&gt;0,$A1102&gt;AH$7)),0,MAX(0,ROUND((INDEX($E1102:$G1102,AH$5)-SUMIFS(TF_Timer,TF_Tekniker,AH$4,TF_Dato,$A1102))*2,0)/2)))</f>
        <v/>
      </c>
      <c r="AI1102">
        <f>IF(OR(AI$4="",$A1102&gt;TODAY()),0,IF(OR(INDEX($B1102:$D1102,AI$5)="F",AND(AI$6&gt;0,$A1102&lt;AI$6),AND(AI$7&gt;0,$A1102&gt;AI$7)),0,MAX(0,ROUND((INDEX($E1102:$G1102,AI$5)-SUMIFS(TF_Timer,TF_Tekniker,AI$4,TF_Dato,$A1102))*2,0)/2)))</f>
        <v/>
      </c>
      <c r="AJ1102">
        <f>IF(OR(AJ$4="",$A1102&gt;TODAY()),0,IF(OR(INDEX($B1102:$D1102,AJ$5)="F",AND(AJ$6&gt;0,$A1102&lt;AJ$6),AND(AJ$7&gt;0,$A1102&gt;AJ$7)),0,MAX(0,ROUND((INDEX($E1102:$G1102,AJ$5)-SUMIFS(TF_Timer,TF_Tekniker,AJ$4,TF_Dato,$A1102))*2,0)/2)))</f>
        <v/>
      </c>
      <c r="AK1102">
        <f>IF(OR(AK$4="",$A1102&gt;TODAY()),0,IF(OR(INDEX($B1102:$D1102,AK$5)="F",AND(AK$6&gt;0,$A1102&lt;AK$6),AND(AK$7&gt;0,$A1102&gt;AK$7)),0,MAX(0,ROUND((INDEX($E1102:$G1102,AK$5)-SUMIFS(TF_Timer,TF_Tekniker,AK$4,TF_Dato,$A1102))*2,0)/2)))</f>
        <v/>
      </c>
      <c r="AL1102">
        <f>IF(OR(AL$4="",$A1102&gt;TODAY()),0,IF(OR(INDEX($B1102:$D1102,AL$5)="F",AND(AL$6&gt;0,$A1102&lt;AL$6),AND(AL$7&gt;0,$A1102&gt;AL$7)),0,MAX(0,ROUND((INDEX($E1102:$G1102,AL$5)-SUMIFS(TF_Timer,TF_Tekniker,AL$4,TF_Dato,$A1102))*2,0)/2)))</f>
        <v/>
      </c>
      <c r="AM1102">
        <f>IF(OR(AM$4="",$A1102&gt;TODAY()),0,IF(OR(INDEX($B1102:$D1102,AM$5)="F",AND(AM$6&gt;0,$A1102&lt;AM$6),AND(AM$7&gt;0,$A1102&gt;AM$7)),0,MAX(0,ROUND((INDEX($E1102:$G1102,AM$5)-SUMIFS(TF_Timer,TF_Tekniker,AM$4,TF_Dato,$A1102))*2,0)/2)))</f>
        <v/>
      </c>
      <c r="AN1102">
        <f>IF(OR(AN$4="",$A1102&gt;TODAY()),0,IF(OR(INDEX($B1102:$D1102,AN$5)="F",AND(AN$6&gt;0,$A1102&lt;AN$6),AND(AN$7&gt;0,$A1102&gt;AN$7)),0,MAX(0,ROUND((INDEX($E1102:$G1102,AN$5)-SUMIFS(TF_Timer,TF_Tekniker,AN$4,TF_Dato,$A1102))*2,0)/2)))</f>
        <v/>
      </c>
      <c r="AO1102">
        <f>IF(OR(AO$4="",$A1102&gt;TODAY()),0,IF(OR(INDEX($B1102:$D1102,AO$5)="F",AND(AO$6&gt;0,$A1102&lt;AO$6),AND(AO$7&gt;0,$A1102&gt;AO$7)),0,MAX(0,ROUND((INDEX($E1102:$G1102,AO$5)-SUMIFS(TF_Timer,TF_Tekniker,AO$4,TF_Dato,$A1102))*2,0)/2)))</f>
        <v/>
      </c>
      <c r="AP1102">
        <f>IF(OR(AP$4="",$A1102&gt;TODAY()),0,IF(OR(INDEX($B1102:$D1102,AP$5)="F",AND(AP$6&gt;0,$A1102&lt;AP$6),AND(AP$7&gt;0,$A1102&gt;AP$7)),0,MAX(0,ROUND((INDEX($E1102:$G1102,AP$5)-SUMIFS(TF_Timer,TF_Tekniker,AP$4,TF_Dato,$A1102))*2,0)/2)))</f>
        <v/>
      </c>
      <c r="AQ1102">
        <f>IF(OR(AQ$4="",$A1102&gt;TODAY()),0,IF(OR(INDEX($B1102:$D1102,AQ$5)="F",AND(AQ$6&gt;0,$A1102&lt;AQ$6),AND(AQ$7&gt;0,$A1102&gt;AQ$7)),0,MAX(0,ROUND((INDEX($E1102:$G1102,AQ$5)-SUMIFS(TF_Timer,TF_Tekniker,AQ$4,TF_Dato,$A1102))*2,0)/2)))</f>
        <v/>
      </c>
      <c r="AR1102">
        <f>IF(OR(AR$4="",$A1102&gt;TODAY()),0,IF(OR(INDEX($B1102:$D1102,AR$5)="F",AND(AR$6&gt;0,$A1102&lt;AR$6),AND(AR$7&gt;0,$A1102&gt;AR$7)),0,MAX(0,ROUND((INDEX($E1102:$G1102,AR$5)-SUMIFS(TF_Timer,TF_Tekniker,AR$4,TF_Dato,$A1102))*2,0)/2)))</f>
        <v/>
      </c>
      <c r="AS1102">
        <f>IF(OR(AS$4="",$A1102&gt;TODAY()),0,IF(OR(INDEX($B1102:$D1102,AS$5)="F",AND(AS$6&gt;0,$A1102&lt;AS$6),AND(AS$7&gt;0,$A1102&gt;AS$7)),0,MAX(0,ROUND((INDEX($E1102:$G1102,AS$5)-SUMIFS(TF_Timer,TF_Tekniker,AS$4,TF_Dato,$A1102))*2,0)/2)))</f>
        <v/>
      </c>
      <c r="AT1102">
        <f>IF(OR(AT$4="",$A1102&gt;TODAY()),0,IF(OR(INDEX($B1102:$D1102,AT$5)="F",AND(AT$6&gt;0,$A1102&lt;AT$6),AND(AT$7&gt;0,$A1102&gt;AT$7)),0,MAX(0,ROUND((INDEX($E1102:$G1102,AT$5)-SUMIFS(TF_Timer,TF_Tekniker,AT$4,TF_Dato,$A1102))*2,0)/2)))</f>
        <v/>
      </c>
      <c r="AU1102">
        <f>IF(OR(AU$4="",$A1102&gt;TODAY()),0,IF(OR(INDEX($B1102:$D1102,AU$5)="F",AND(AU$6&gt;0,$A1102&lt;AU$6),AND(AU$7&gt;0,$A1102&gt;AU$7)),0,MAX(0,ROUND((INDEX($E1102:$G1102,AU$5)-SUMIFS(TF_Timer,TF_Tekniker,AU$4,TF_Dato,$A1102))*2,0)/2)))</f>
        <v/>
      </c>
      <c r="AV1102">
        <f>IF(OR(AV$4="",$A1102&gt;TODAY()),0,IF(OR(INDEX($B1102:$D1102,AV$5)="F",AND(AV$6&gt;0,$A1102&lt;AV$6),AND(AV$7&gt;0,$A1102&gt;AV$7)),0,MAX(0,ROUND((INDEX($E1102:$G1102,AV$5)-SUMIFS(TF_Timer,TF_Tekniker,AV$4,TF_Dato,$A1102))*2,0)/2)))</f>
        <v/>
      </c>
      <c r="AW1102">
        <f>IF(OR(AW$4="",$A1102&gt;TODAY()),0,IF(OR(INDEX($B1102:$D1102,AW$5)="F",AND(AW$6&gt;0,$A1102&lt;AW$6),AND(AW$7&gt;0,$A1102&gt;AW$7)),0,MAX(0,ROUND((INDEX($E1102:$G1102,AW$5)-SUMIFS(TF_Timer,TF_Tekniker,AW$4,TF_Dato,$A1102))*2,0)/2)))</f>
        <v/>
      </c>
      <c r="AX1102">
        <f>IF(OR(AX$4="",$A1102&gt;TODAY()),0,IF(OR(INDEX($B1102:$D1102,AX$5)="F",AND(AX$6&gt;0,$A1102&lt;AX$6),AND(AX$7&gt;0,$A1102&gt;AX$7)),0,MAX(0,ROUND((INDEX($E1102:$G1102,AX$5)-SUMIFS(TF_Timer,TF_Tekniker,AX$4,TF_Dato,$A1102))*2,0)/2)))</f>
        <v/>
      </c>
      <c r="AY1102">
        <f>IF(OR(AY$4="",$A1102&gt;TODAY()),0,IF(OR(INDEX($B1102:$D1102,AY$5)="F",AND(AY$6&gt;0,$A1102&lt;AY$6),AND(AY$7&gt;0,$A1102&gt;AY$7)),0,MAX(0,ROUND((INDEX($E1102:$G1102,AY$5)-SUMIFS(TF_Timer,TF_Tekniker,AY$4,TF_Dato,$A1102))*2,0)/2)))</f>
        <v/>
      </c>
      <c r="AZ1102">
        <f>IF(OR(AZ$4="",$A1102&gt;TODAY()),0,IF(OR(INDEX($B1102:$D1102,AZ$5)="F",AND(AZ$6&gt;0,$A1102&lt;AZ$6),AND(AZ$7&gt;0,$A1102&gt;AZ$7)),0,MAX(0,ROUND((INDEX($E1102:$G1102,AZ$5)-SUMIFS(TF_Timer,TF_Tekniker,AZ$4,TF_Dato,$A1102))*2,0)/2)))</f>
        <v/>
      </c>
      <c r="BA1102">
        <f>IF(OR(BA$4="",$A1102&gt;TODAY()),0,IF(OR(INDEX($B1102:$D1102,BA$5)="F",AND(BA$6&gt;0,$A1102&lt;BA$6),AND(BA$7&gt;0,$A1102&gt;BA$7)),0,MAX(0,ROUND((INDEX($E1102:$G1102,BA$5)-SUMIFS(TF_Timer,TF_Tekniker,BA$4,TF_Dato,$A1102))*2,0)/2)))</f>
        <v/>
      </c>
      <c r="BB1102">
        <f>IF(OR(BB$4="",$A1102&gt;TODAY()),0,IF(OR(INDEX($B1102:$D1102,BB$5)="F",AND(BB$6&gt;0,$A1102&lt;BB$6),AND(BB$7&gt;0,$A1102&gt;BB$7)),0,MAX(0,ROUND((INDEX($E1102:$G1102,BB$5)-SUMIFS(TF_Timer,TF_Tekniker,BB$4,TF_Dato,$A1102))*2,0)/2)))</f>
        <v/>
      </c>
      <c r="BC1102">
        <f>IF(OR(BC$4="",$A1102&gt;TODAY()),0,IF(OR(INDEX($B1102:$D1102,BC$5)="F",AND(BC$6&gt;0,$A1102&lt;BC$6),AND(BC$7&gt;0,$A1102&gt;BC$7)),0,MAX(0,ROUND((INDEX($E1102:$G1102,BC$5)-SUMIFS(TF_Timer,TF_Tekniker,BC$4,TF_Dato,$A1102))*2,0)/2)))</f>
        <v/>
      </c>
      <c r="BD1102">
        <f>IF(OR(BD$4="",$A1102&gt;TODAY()),0,IF(OR(INDEX($B1102:$D1102,BD$5)="F",AND(BD$6&gt;0,$A1102&lt;BD$6),AND(BD$7&gt;0,$A1102&gt;BD$7)),0,MAX(0,ROUND((INDEX($E1102:$G1102,BD$5)-SUMIFS(TF_Timer,TF_Tekniker,BD$4,TF_Dato,$A1102))*2,0)/2)))</f>
        <v/>
      </c>
      <c r="BE1102">
        <f>IF(OR(BE$4="",$A1102&gt;TODAY()),0,IF(OR(INDEX($B1102:$D1102,BE$5)="F",AND(BE$6&gt;0,$A1102&lt;BE$6),AND(BE$7&gt;0,$A1102&gt;BE$7)),0,MAX(0,ROUND((INDEX($E1102:$G1102,BE$5)-SUMIFS(TF_Timer,TF_Tekniker,BE$4,TF_Dato,$A1102))*2,0)/2)))</f>
        <v/>
      </c>
      <c r="BF1102">
        <f>IF(OR(BF$4="",$A1102&gt;TODAY()),0,IF(OR(INDEX($B1102:$D1102,BF$5)="F",AND(BF$6&gt;0,$A1102&lt;BF$6),AND(BF$7&gt;0,$A1102&gt;BF$7)),0,MAX(0,ROUND((INDEX($E1102:$G1102,BF$5)-SUMIFS(TF_Timer,TF_Tekniker,BF$4,TF_Dato,$A1102))*2,0)/2)))</f>
        <v/>
      </c>
      <c r="BG1102">
        <f>IF(OR(BG$4="",$A1102&gt;TODAY()),0,IF(OR(INDEX($B1102:$D1102,BG$5)="F",AND(BG$6&gt;0,$A1102&lt;BG$6),AND(BG$7&gt;0,$A1102&gt;BG$7)),0,MAX(0,ROUND((INDEX($E1102:$G1102,BG$5)-SUMIFS(TF_Timer,TF_Tekniker,BG$4,TF_Dato,$A1102))*2,0)/2)))</f>
        <v/>
      </c>
      <c r="BH1102">
        <f>IF(OR(BH$4="",$A1102&gt;TODAY()),0,IF(OR(INDEX($B1102:$D1102,BH$5)="F",AND(BH$6&gt;0,$A1102&lt;BH$6),AND(BH$7&gt;0,$A1102&gt;BH$7)),0,MAX(0,ROUND((INDEX($E1102:$G1102,BH$5)-SUMIFS(TF_Timer,TF_Tekniker,BH$4,TF_Dato,$A1102))*2,0)/2)))</f>
        <v/>
      </c>
      <c r="BI1102">
        <f>IF(OR(BI$4="",$A1102&gt;TODAY()),0,IF(OR(INDEX($B1102:$D1102,BI$5)="F",AND(BI$6&gt;0,$A1102&lt;BI$6),AND(BI$7&gt;0,$A1102&gt;BI$7)),0,MAX(0,ROUND((INDEX($E1102:$G1102,BI$5)-SUMIFS(TF_Timer,TF_Tekniker,BI$4,TF_Dato,$A1102))*2,0)/2)))</f>
        <v/>
      </c>
    </row>
    <row r="1103">
      <c r="A1103" s="64">
        <f>A1102+1</f>
        <v/>
      </c>
      <c r="B1103">
        <f>IF(MOD($A1103-INDEX(SkiftStart,1),Syklus)&lt;DagK,"K",IF(MOD($A1103-INDEX(SkiftStart,1),Syklus)&lt;DagK+DagH,"H",IF(MOD($A1103-INDEX(SkiftStart,1),Syklus)&lt;DagK+DagH+DagD,"D","F")))</f>
        <v/>
      </c>
      <c r="C1103">
        <f>IF(MOD($A1103-INDEX(SkiftStart,2),Syklus)&lt;DagK,"K",IF(MOD($A1103-INDEX(SkiftStart,2),Syklus)&lt;DagK+DagH,"H",IF(MOD($A1103-INDEX(SkiftStart,2),Syklus)&lt;DagK+DagH+DagD,"D","F")))</f>
        <v/>
      </c>
      <c r="D1103">
        <f>IF(MOD($A1103-INDEX(SkiftStart,3),Syklus)&lt;DagK,"K",IF(MOD($A1103-INDEX(SkiftStart,3),Syklus)&lt;DagK+DagH,"H",IF(MOD($A1103-INDEX(SkiftStart,3),Syklus)&lt;DagK+DagH+DagD,"D","F")))</f>
        <v/>
      </c>
      <c r="E1103">
        <f>IF(B1103="F",0,IF(WEEKDAY($A1103,2)=5,INDEX(TimerFr,MATCH(B1103,FaseKode,0)),INDEX(TimerMT,MATCH(B1103,FaseKode,0))))</f>
        <v/>
      </c>
      <c r="F1103">
        <f>IF(C1103="F",0,IF(WEEKDAY($A1103,2)=5,INDEX(TimerFr,MATCH(C1103,FaseKode,0)),INDEX(TimerMT,MATCH(C1103,FaseKode,0))))</f>
        <v/>
      </c>
      <c r="G1103">
        <f>IF(D1103="F",0,IF(WEEKDAY($A1103,2)=5,INDEX(TimerFr,MATCH(D1103,FaseKode,0)),INDEX(TimerMT,MATCH(D1103,FaseKode,0))))</f>
        <v/>
      </c>
      <c r="H1103">
        <f>IF(OR(H$4="",$A1103&gt;TODAY()),0,IF(OR(INDEX($B1103:$D1103,H$5)="F",AND(H$6&gt;0,$A1103&lt;H$6),AND(H$7&gt;0,$A1103&gt;H$7)),0,MAX(0,ROUND((INDEX($E1103:$G1103,H$5)-SUMIFS(TF_Timer,TF_Tekniker,H$4,TF_Dato,$A1103))*2,0)/2)))</f>
        <v/>
      </c>
      <c r="I1103">
        <f>IF(OR(I$4="",$A1103&gt;TODAY()),0,IF(OR(INDEX($B1103:$D1103,I$5)="F",AND(I$6&gt;0,$A1103&lt;I$6),AND(I$7&gt;0,$A1103&gt;I$7)),0,MAX(0,ROUND((INDEX($E1103:$G1103,I$5)-SUMIFS(TF_Timer,TF_Tekniker,I$4,TF_Dato,$A1103))*2,0)/2)))</f>
        <v/>
      </c>
      <c r="J1103">
        <f>IF(OR(J$4="",$A1103&gt;TODAY()),0,IF(OR(INDEX($B1103:$D1103,J$5)="F",AND(J$6&gt;0,$A1103&lt;J$6),AND(J$7&gt;0,$A1103&gt;J$7)),0,MAX(0,ROUND((INDEX($E1103:$G1103,J$5)-SUMIFS(TF_Timer,TF_Tekniker,J$4,TF_Dato,$A1103))*2,0)/2)))</f>
        <v/>
      </c>
      <c r="K1103">
        <f>IF(OR(K$4="",$A1103&gt;TODAY()),0,IF(OR(INDEX($B1103:$D1103,K$5)="F",AND(K$6&gt;0,$A1103&lt;K$6),AND(K$7&gt;0,$A1103&gt;K$7)),0,MAX(0,ROUND((INDEX($E1103:$G1103,K$5)-SUMIFS(TF_Timer,TF_Tekniker,K$4,TF_Dato,$A1103))*2,0)/2)))</f>
        <v/>
      </c>
      <c r="L1103">
        <f>IF(OR(L$4="",$A1103&gt;TODAY()),0,IF(OR(INDEX($B1103:$D1103,L$5)="F",AND(L$6&gt;0,$A1103&lt;L$6),AND(L$7&gt;0,$A1103&gt;L$7)),0,MAX(0,ROUND((INDEX($E1103:$G1103,L$5)-SUMIFS(TF_Timer,TF_Tekniker,L$4,TF_Dato,$A1103))*2,0)/2)))</f>
        <v/>
      </c>
      <c r="M1103">
        <f>IF(OR(M$4="",$A1103&gt;TODAY()),0,IF(OR(INDEX($B1103:$D1103,M$5)="F",AND(M$6&gt;0,$A1103&lt;M$6),AND(M$7&gt;0,$A1103&gt;M$7)),0,MAX(0,ROUND((INDEX($E1103:$G1103,M$5)-SUMIFS(TF_Timer,TF_Tekniker,M$4,TF_Dato,$A1103))*2,0)/2)))</f>
        <v/>
      </c>
      <c r="N1103">
        <f>IF(OR(N$4="",$A1103&gt;TODAY()),0,IF(OR(INDEX($B1103:$D1103,N$5)="F",AND(N$6&gt;0,$A1103&lt;N$6),AND(N$7&gt;0,$A1103&gt;N$7)),0,MAX(0,ROUND((INDEX($E1103:$G1103,N$5)-SUMIFS(TF_Timer,TF_Tekniker,N$4,TF_Dato,$A1103))*2,0)/2)))</f>
        <v/>
      </c>
      <c r="O1103">
        <f>IF(OR(O$4="",$A1103&gt;TODAY()),0,IF(OR(INDEX($B1103:$D1103,O$5)="F",AND(O$6&gt;0,$A1103&lt;O$6),AND(O$7&gt;0,$A1103&gt;O$7)),0,MAX(0,ROUND((INDEX($E1103:$G1103,O$5)-SUMIFS(TF_Timer,TF_Tekniker,O$4,TF_Dato,$A1103))*2,0)/2)))</f>
        <v/>
      </c>
      <c r="P1103">
        <f>IF(OR(P$4="",$A1103&gt;TODAY()),0,IF(OR(INDEX($B1103:$D1103,P$5)="F",AND(P$6&gt;0,$A1103&lt;P$6),AND(P$7&gt;0,$A1103&gt;P$7)),0,MAX(0,ROUND((INDEX($E1103:$G1103,P$5)-SUMIFS(TF_Timer,TF_Tekniker,P$4,TF_Dato,$A1103))*2,0)/2)))</f>
        <v/>
      </c>
      <c r="Q1103">
        <f>IF(OR(Q$4="",$A1103&gt;TODAY()),0,IF(OR(INDEX($B1103:$D1103,Q$5)="F",AND(Q$6&gt;0,$A1103&lt;Q$6),AND(Q$7&gt;0,$A1103&gt;Q$7)),0,MAX(0,ROUND((INDEX($E1103:$G1103,Q$5)-SUMIFS(TF_Timer,TF_Tekniker,Q$4,TF_Dato,$A1103))*2,0)/2)))</f>
        <v/>
      </c>
      <c r="R1103">
        <f>IF(OR(R$4="",$A1103&gt;TODAY()),0,IF(OR(INDEX($B1103:$D1103,R$5)="F",AND(R$6&gt;0,$A1103&lt;R$6),AND(R$7&gt;0,$A1103&gt;R$7)),0,MAX(0,ROUND((INDEX($E1103:$G1103,R$5)-SUMIFS(TF_Timer,TF_Tekniker,R$4,TF_Dato,$A1103))*2,0)/2)))</f>
        <v/>
      </c>
      <c r="S1103">
        <f>IF(OR(S$4="",$A1103&gt;TODAY()),0,IF(OR(INDEX($B1103:$D1103,S$5)="F",AND(S$6&gt;0,$A1103&lt;S$6),AND(S$7&gt;0,$A1103&gt;S$7)),0,MAX(0,ROUND((INDEX($E1103:$G1103,S$5)-SUMIFS(TF_Timer,TF_Tekniker,S$4,TF_Dato,$A1103))*2,0)/2)))</f>
        <v/>
      </c>
      <c r="T1103">
        <f>IF(OR(T$4="",$A1103&gt;TODAY()),0,IF(OR(INDEX($B1103:$D1103,T$5)="F",AND(T$6&gt;0,$A1103&lt;T$6),AND(T$7&gt;0,$A1103&gt;T$7)),0,MAX(0,ROUND((INDEX($E1103:$G1103,T$5)-SUMIFS(TF_Timer,TF_Tekniker,T$4,TF_Dato,$A1103))*2,0)/2)))</f>
        <v/>
      </c>
      <c r="U1103">
        <f>IF(OR(U$4="",$A1103&gt;TODAY()),0,IF(OR(INDEX($B1103:$D1103,U$5)="F",AND(U$6&gt;0,$A1103&lt;U$6),AND(U$7&gt;0,$A1103&gt;U$7)),0,MAX(0,ROUND((INDEX($E1103:$G1103,U$5)-SUMIFS(TF_Timer,TF_Tekniker,U$4,TF_Dato,$A1103))*2,0)/2)))</f>
        <v/>
      </c>
      <c r="V1103">
        <f>IF(OR(V$4="",$A1103&gt;TODAY()),0,IF(OR(INDEX($B1103:$D1103,V$5)="F",AND(V$6&gt;0,$A1103&lt;V$6),AND(V$7&gt;0,$A1103&gt;V$7)),0,MAX(0,ROUND((INDEX($E1103:$G1103,V$5)-SUMIFS(TF_Timer,TF_Tekniker,V$4,TF_Dato,$A1103))*2,0)/2)))</f>
        <v/>
      </c>
      <c r="W1103">
        <f>IF(OR(W$4="",$A1103&gt;TODAY()),0,IF(OR(INDEX($B1103:$D1103,W$5)="F",AND(W$6&gt;0,$A1103&lt;W$6),AND(W$7&gt;0,$A1103&gt;W$7)),0,MAX(0,ROUND((INDEX($E1103:$G1103,W$5)-SUMIFS(TF_Timer,TF_Tekniker,W$4,TF_Dato,$A1103))*2,0)/2)))</f>
        <v/>
      </c>
      <c r="X1103">
        <f>IF(OR(X$4="",$A1103&gt;TODAY()),0,IF(OR(INDEX($B1103:$D1103,X$5)="F",AND(X$6&gt;0,$A1103&lt;X$6),AND(X$7&gt;0,$A1103&gt;X$7)),0,MAX(0,ROUND((INDEX($E1103:$G1103,X$5)-SUMIFS(TF_Timer,TF_Tekniker,X$4,TF_Dato,$A1103))*2,0)/2)))</f>
        <v/>
      </c>
      <c r="Y1103">
        <f>IF(OR(Y$4="",$A1103&gt;TODAY()),0,IF(OR(INDEX($B1103:$D1103,Y$5)="F",AND(Y$6&gt;0,$A1103&lt;Y$6),AND(Y$7&gt;0,$A1103&gt;Y$7)),0,MAX(0,ROUND((INDEX($E1103:$G1103,Y$5)-SUMIFS(TF_Timer,TF_Tekniker,Y$4,TF_Dato,$A1103))*2,0)/2)))</f>
        <v/>
      </c>
      <c r="Z1103">
        <f>IF(OR(Z$4="",$A1103&gt;TODAY()),0,IF(OR(INDEX($B1103:$D1103,Z$5)="F",AND(Z$6&gt;0,$A1103&lt;Z$6),AND(Z$7&gt;0,$A1103&gt;Z$7)),0,MAX(0,ROUND((INDEX($E1103:$G1103,Z$5)-SUMIFS(TF_Timer,TF_Tekniker,Z$4,TF_Dato,$A1103))*2,0)/2)))</f>
        <v/>
      </c>
      <c r="AA1103">
        <f>IF(OR(AA$4="",$A1103&gt;TODAY()),0,IF(OR(INDEX($B1103:$D1103,AA$5)="F",AND(AA$6&gt;0,$A1103&lt;AA$6),AND(AA$7&gt;0,$A1103&gt;AA$7)),0,MAX(0,ROUND((INDEX($E1103:$G1103,AA$5)-SUMIFS(TF_Timer,TF_Tekniker,AA$4,TF_Dato,$A1103))*2,0)/2)))</f>
        <v/>
      </c>
      <c r="AB1103">
        <f>IF(OR(AB$4="",$A1103&gt;TODAY()),0,IF(OR(INDEX($B1103:$D1103,AB$5)="F",AND(AB$6&gt;0,$A1103&lt;AB$6),AND(AB$7&gt;0,$A1103&gt;AB$7)),0,MAX(0,ROUND((INDEX($E1103:$G1103,AB$5)-SUMIFS(TF_Timer,TF_Tekniker,AB$4,TF_Dato,$A1103))*2,0)/2)))</f>
        <v/>
      </c>
      <c r="AC1103">
        <f>IF(OR(AC$4="",$A1103&gt;TODAY()),0,IF(OR(INDEX($B1103:$D1103,AC$5)="F",AND(AC$6&gt;0,$A1103&lt;AC$6),AND(AC$7&gt;0,$A1103&gt;AC$7)),0,MAX(0,ROUND((INDEX($E1103:$G1103,AC$5)-SUMIFS(TF_Timer,TF_Tekniker,AC$4,TF_Dato,$A1103))*2,0)/2)))</f>
        <v/>
      </c>
      <c r="AD1103">
        <f>IF(OR(AD$4="",$A1103&gt;TODAY()),0,IF(OR(INDEX($B1103:$D1103,AD$5)="F",AND(AD$6&gt;0,$A1103&lt;AD$6),AND(AD$7&gt;0,$A1103&gt;AD$7)),0,MAX(0,ROUND((INDEX($E1103:$G1103,AD$5)-SUMIFS(TF_Timer,TF_Tekniker,AD$4,TF_Dato,$A1103))*2,0)/2)))</f>
        <v/>
      </c>
      <c r="AE1103">
        <f>IF(OR(AE$4="",$A1103&gt;TODAY()),0,IF(OR(INDEX($B1103:$D1103,AE$5)="F",AND(AE$6&gt;0,$A1103&lt;AE$6),AND(AE$7&gt;0,$A1103&gt;AE$7)),0,MAX(0,ROUND((INDEX($E1103:$G1103,AE$5)-SUMIFS(TF_Timer,TF_Tekniker,AE$4,TF_Dato,$A1103))*2,0)/2)))</f>
        <v/>
      </c>
      <c r="AF1103">
        <f>IF(OR(AF$4="",$A1103&gt;TODAY()),0,IF(OR(INDEX($B1103:$D1103,AF$5)="F",AND(AF$6&gt;0,$A1103&lt;AF$6),AND(AF$7&gt;0,$A1103&gt;AF$7)),0,MAX(0,ROUND((INDEX($E1103:$G1103,AF$5)-SUMIFS(TF_Timer,TF_Tekniker,AF$4,TF_Dato,$A1103))*2,0)/2)))</f>
        <v/>
      </c>
      <c r="AG1103">
        <f>IF(OR(AG$4="",$A1103&gt;TODAY()),0,IF(OR(INDEX($B1103:$D1103,AG$5)="F",AND(AG$6&gt;0,$A1103&lt;AG$6),AND(AG$7&gt;0,$A1103&gt;AG$7)),0,MAX(0,ROUND((INDEX($E1103:$G1103,AG$5)-SUMIFS(TF_Timer,TF_Tekniker,AG$4,TF_Dato,$A1103))*2,0)/2)))</f>
        <v/>
      </c>
      <c r="AH1103">
        <f>IF(OR(AH$4="",$A1103&gt;TODAY()),0,IF(OR(INDEX($B1103:$D1103,AH$5)="F",AND(AH$6&gt;0,$A1103&lt;AH$6),AND(AH$7&gt;0,$A1103&gt;AH$7)),0,MAX(0,ROUND((INDEX($E1103:$G1103,AH$5)-SUMIFS(TF_Timer,TF_Tekniker,AH$4,TF_Dato,$A1103))*2,0)/2)))</f>
        <v/>
      </c>
      <c r="AI1103">
        <f>IF(OR(AI$4="",$A1103&gt;TODAY()),0,IF(OR(INDEX($B1103:$D1103,AI$5)="F",AND(AI$6&gt;0,$A1103&lt;AI$6),AND(AI$7&gt;0,$A1103&gt;AI$7)),0,MAX(0,ROUND((INDEX($E1103:$G1103,AI$5)-SUMIFS(TF_Timer,TF_Tekniker,AI$4,TF_Dato,$A1103))*2,0)/2)))</f>
        <v/>
      </c>
      <c r="AJ1103">
        <f>IF(OR(AJ$4="",$A1103&gt;TODAY()),0,IF(OR(INDEX($B1103:$D1103,AJ$5)="F",AND(AJ$6&gt;0,$A1103&lt;AJ$6),AND(AJ$7&gt;0,$A1103&gt;AJ$7)),0,MAX(0,ROUND((INDEX($E1103:$G1103,AJ$5)-SUMIFS(TF_Timer,TF_Tekniker,AJ$4,TF_Dato,$A1103))*2,0)/2)))</f>
        <v/>
      </c>
      <c r="AK1103">
        <f>IF(OR(AK$4="",$A1103&gt;TODAY()),0,IF(OR(INDEX($B1103:$D1103,AK$5)="F",AND(AK$6&gt;0,$A1103&lt;AK$6),AND(AK$7&gt;0,$A1103&gt;AK$7)),0,MAX(0,ROUND((INDEX($E1103:$G1103,AK$5)-SUMIFS(TF_Timer,TF_Tekniker,AK$4,TF_Dato,$A1103))*2,0)/2)))</f>
        <v/>
      </c>
      <c r="AL1103">
        <f>IF(OR(AL$4="",$A1103&gt;TODAY()),0,IF(OR(INDEX($B1103:$D1103,AL$5)="F",AND(AL$6&gt;0,$A1103&lt;AL$6),AND(AL$7&gt;0,$A1103&gt;AL$7)),0,MAX(0,ROUND((INDEX($E1103:$G1103,AL$5)-SUMIFS(TF_Timer,TF_Tekniker,AL$4,TF_Dato,$A1103))*2,0)/2)))</f>
        <v/>
      </c>
      <c r="AM1103">
        <f>IF(OR(AM$4="",$A1103&gt;TODAY()),0,IF(OR(INDEX($B1103:$D1103,AM$5)="F",AND(AM$6&gt;0,$A1103&lt;AM$6),AND(AM$7&gt;0,$A1103&gt;AM$7)),0,MAX(0,ROUND((INDEX($E1103:$G1103,AM$5)-SUMIFS(TF_Timer,TF_Tekniker,AM$4,TF_Dato,$A1103))*2,0)/2)))</f>
        <v/>
      </c>
      <c r="AN1103">
        <f>IF(OR(AN$4="",$A1103&gt;TODAY()),0,IF(OR(INDEX($B1103:$D1103,AN$5)="F",AND(AN$6&gt;0,$A1103&lt;AN$6),AND(AN$7&gt;0,$A1103&gt;AN$7)),0,MAX(0,ROUND((INDEX($E1103:$G1103,AN$5)-SUMIFS(TF_Timer,TF_Tekniker,AN$4,TF_Dato,$A1103))*2,0)/2)))</f>
        <v/>
      </c>
      <c r="AO1103">
        <f>IF(OR(AO$4="",$A1103&gt;TODAY()),0,IF(OR(INDEX($B1103:$D1103,AO$5)="F",AND(AO$6&gt;0,$A1103&lt;AO$6),AND(AO$7&gt;0,$A1103&gt;AO$7)),0,MAX(0,ROUND((INDEX($E1103:$G1103,AO$5)-SUMIFS(TF_Timer,TF_Tekniker,AO$4,TF_Dato,$A1103))*2,0)/2)))</f>
        <v/>
      </c>
      <c r="AP1103">
        <f>IF(OR(AP$4="",$A1103&gt;TODAY()),0,IF(OR(INDEX($B1103:$D1103,AP$5)="F",AND(AP$6&gt;0,$A1103&lt;AP$6),AND(AP$7&gt;0,$A1103&gt;AP$7)),0,MAX(0,ROUND((INDEX($E1103:$G1103,AP$5)-SUMIFS(TF_Timer,TF_Tekniker,AP$4,TF_Dato,$A1103))*2,0)/2)))</f>
        <v/>
      </c>
      <c r="AQ1103">
        <f>IF(OR(AQ$4="",$A1103&gt;TODAY()),0,IF(OR(INDEX($B1103:$D1103,AQ$5)="F",AND(AQ$6&gt;0,$A1103&lt;AQ$6),AND(AQ$7&gt;0,$A1103&gt;AQ$7)),0,MAX(0,ROUND((INDEX($E1103:$G1103,AQ$5)-SUMIFS(TF_Timer,TF_Tekniker,AQ$4,TF_Dato,$A1103))*2,0)/2)))</f>
        <v/>
      </c>
      <c r="AR1103">
        <f>IF(OR(AR$4="",$A1103&gt;TODAY()),0,IF(OR(INDEX($B1103:$D1103,AR$5)="F",AND(AR$6&gt;0,$A1103&lt;AR$6),AND(AR$7&gt;0,$A1103&gt;AR$7)),0,MAX(0,ROUND((INDEX($E1103:$G1103,AR$5)-SUMIFS(TF_Timer,TF_Tekniker,AR$4,TF_Dato,$A1103))*2,0)/2)))</f>
        <v/>
      </c>
      <c r="AS1103">
        <f>IF(OR(AS$4="",$A1103&gt;TODAY()),0,IF(OR(INDEX($B1103:$D1103,AS$5)="F",AND(AS$6&gt;0,$A1103&lt;AS$6),AND(AS$7&gt;0,$A1103&gt;AS$7)),0,MAX(0,ROUND((INDEX($E1103:$G1103,AS$5)-SUMIFS(TF_Timer,TF_Tekniker,AS$4,TF_Dato,$A1103))*2,0)/2)))</f>
        <v/>
      </c>
      <c r="AT1103">
        <f>IF(OR(AT$4="",$A1103&gt;TODAY()),0,IF(OR(INDEX($B1103:$D1103,AT$5)="F",AND(AT$6&gt;0,$A1103&lt;AT$6),AND(AT$7&gt;0,$A1103&gt;AT$7)),0,MAX(0,ROUND((INDEX($E1103:$G1103,AT$5)-SUMIFS(TF_Timer,TF_Tekniker,AT$4,TF_Dato,$A1103))*2,0)/2)))</f>
        <v/>
      </c>
      <c r="AU1103">
        <f>IF(OR(AU$4="",$A1103&gt;TODAY()),0,IF(OR(INDEX($B1103:$D1103,AU$5)="F",AND(AU$6&gt;0,$A1103&lt;AU$6),AND(AU$7&gt;0,$A1103&gt;AU$7)),0,MAX(0,ROUND((INDEX($E1103:$G1103,AU$5)-SUMIFS(TF_Timer,TF_Tekniker,AU$4,TF_Dato,$A1103))*2,0)/2)))</f>
        <v/>
      </c>
      <c r="AV1103">
        <f>IF(OR(AV$4="",$A1103&gt;TODAY()),0,IF(OR(INDEX($B1103:$D1103,AV$5)="F",AND(AV$6&gt;0,$A1103&lt;AV$6),AND(AV$7&gt;0,$A1103&gt;AV$7)),0,MAX(0,ROUND((INDEX($E1103:$G1103,AV$5)-SUMIFS(TF_Timer,TF_Tekniker,AV$4,TF_Dato,$A1103))*2,0)/2)))</f>
        <v/>
      </c>
      <c r="AW1103">
        <f>IF(OR(AW$4="",$A1103&gt;TODAY()),0,IF(OR(INDEX($B1103:$D1103,AW$5)="F",AND(AW$6&gt;0,$A1103&lt;AW$6),AND(AW$7&gt;0,$A1103&gt;AW$7)),0,MAX(0,ROUND((INDEX($E1103:$G1103,AW$5)-SUMIFS(TF_Timer,TF_Tekniker,AW$4,TF_Dato,$A1103))*2,0)/2)))</f>
        <v/>
      </c>
      <c r="AX1103">
        <f>IF(OR(AX$4="",$A1103&gt;TODAY()),0,IF(OR(INDEX($B1103:$D1103,AX$5)="F",AND(AX$6&gt;0,$A1103&lt;AX$6),AND(AX$7&gt;0,$A1103&gt;AX$7)),0,MAX(0,ROUND((INDEX($E1103:$G1103,AX$5)-SUMIFS(TF_Timer,TF_Tekniker,AX$4,TF_Dato,$A1103))*2,0)/2)))</f>
        <v/>
      </c>
      <c r="AY1103">
        <f>IF(OR(AY$4="",$A1103&gt;TODAY()),0,IF(OR(INDEX($B1103:$D1103,AY$5)="F",AND(AY$6&gt;0,$A1103&lt;AY$6),AND(AY$7&gt;0,$A1103&gt;AY$7)),0,MAX(0,ROUND((INDEX($E1103:$G1103,AY$5)-SUMIFS(TF_Timer,TF_Tekniker,AY$4,TF_Dato,$A1103))*2,0)/2)))</f>
        <v/>
      </c>
      <c r="AZ1103">
        <f>IF(OR(AZ$4="",$A1103&gt;TODAY()),0,IF(OR(INDEX($B1103:$D1103,AZ$5)="F",AND(AZ$6&gt;0,$A1103&lt;AZ$6),AND(AZ$7&gt;0,$A1103&gt;AZ$7)),0,MAX(0,ROUND((INDEX($E1103:$G1103,AZ$5)-SUMIFS(TF_Timer,TF_Tekniker,AZ$4,TF_Dato,$A1103))*2,0)/2)))</f>
        <v/>
      </c>
      <c r="BA1103">
        <f>IF(OR(BA$4="",$A1103&gt;TODAY()),0,IF(OR(INDEX($B1103:$D1103,BA$5)="F",AND(BA$6&gt;0,$A1103&lt;BA$6),AND(BA$7&gt;0,$A1103&gt;BA$7)),0,MAX(0,ROUND((INDEX($E1103:$G1103,BA$5)-SUMIFS(TF_Timer,TF_Tekniker,BA$4,TF_Dato,$A1103))*2,0)/2)))</f>
        <v/>
      </c>
      <c r="BB1103">
        <f>IF(OR(BB$4="",$A1103&gt;TODAY()),0,IF(OR(INDEX($B1103:$D1103,BB$5)="F",AND(BB$6&gt;0,$A1103&lt;BB$6),AND(BB$7&gt;0,$A1103&gt;BB$7)),0,MAX(0,ROUND((INDEX($E1103:$G1103,BB$5)-SUMIFS(TF_Timer,TF_Tekniker,BB$4,TF_Dato,$A1103))*2,0)/2)))</f>
        <v/>
      </c>
      <c r="BC1103">
        <f>IF(OR(BC$4="",$A1103&gt;TODAY()),0,IF(OR(INDEX($B1103:$D1103,BC$5)="F",AND(BC$6&gt;0,$A1103&lt;BC$6),AND(BC$7&gt;0,$A1103&gt;BC$7)),0,MAX(0,ROUND((INDEX($E1103:$G1103,BC$5)-SUMIFS(TF_Timer,TF_Tekniker,BC$4,TF_Dato,$A1103))*2,0)/2)))</f>
        <v/>
      </c>
      <c r="BD1103">
        <f>IF(OR(BD$4="",$A1103&gt;TODAY()),0,IF(OR(INDEX($B1103:$D1103,BD$5)="F",AND(BD$6&gt;0,$A1103&lt;BD$6),AND(BD$7&gt;0,$A1103&gt;BD$7)),0,MAX(0,ROUND((INDEX($E1103:$G1103,BD$5)-SUMIFS(TF_Timer,TF_Tekniker,BD$4,TF_Dato,$A1103))*2,0)/2)))</f>
        <v/>
      </c>
      <c r="BE1103">
        <f>IF(OR(BE$4="",$A1103&gt;TODAY()),0,IF(OR(INDEX($B1103:$D1103,BE$5)="F",AND(BE$6&gt;0,$A1103&lt;BE$6),AND(BE$7&gt;0,$A1103&gt;BE$7)),0,MAX(0,ROUND((INDEX($E1103:$G1103,BE$5)-SUMIFS(TF_Timer,TF_Tekniker,BE$4,TF_Dato,$A1103))*2,0)/2)))</f>
        <v/>
      </c>
      <c r="BF1103">
        <f>IF(OR(BF$4="",$A1103&gt;TODAY()),0,IF(OR(INDEX($B1103:$D1103,BF$5)="F",AND(BF$6&gt;0,$A1103&lt;BF$6),AND(BF$7&gt;0,$A1103&gt;BF$7)),0,MAX(0,ROUND((INDEX($E1103:$G1103,BF$5)-SUMIFS(TF_Timer,TF_Tekniker,BF$4,TF_Dato,$A1103))*2,0)/2)))</f>
        <v/>
      </c>
      <c r="BG1103">
        <f>IF(OR(BG$4="",$A1103&gt;TODAY()),0,IF(OR(INDEX($B1103:$D1103,BG$5)="F",AND(BG$6&gt;0,$A1103&lt;BG$6),AND(BG$7&gt;0,$A1103&gt;BG$7)),0,MAX(0,ROUND((INDEX($E1103:$G1103,BG$5)-SUMIFS(TF_Timer,TF_Tekniker,BG$4,TF_Dato,$A1103))*2,0)/2)))</f>
        <v/>
      </c>
      <c r="BH1103">
        <f>IF(OR(BH$4="",$A1103&gt;TODAY()),0,IF(OR(INDEX($B1103:$D1103,BH$5)="F",AND(BH$6&gt;0,$A1103&lt;BH$6),AND(BH$7&gt;0,$A1103&gt;BH$7)),0,MAX(0,ROUND((INDEX($E1103:$G1103,BH$5)-SUMIFS(TF_Timer,TF_Tekniker,BH$4,TF_Dato,$A1103))*2,0)/2)))</f>
        <v/>
      </c>
      <c r="BI1103">
        <f>IF(OR(BI$4="",$A1103&gt;TODAY()),0,IF(OR(INDEX($B1103:$D1103,BI$5)="F",AND(BI$6&gt;0,$A1103&lt;BI$6),AND(BI$7&gt;0,$A1103&gt;BI$7)),0,MAX(0,ROUND((INDEX($E1103:$G1103,BI$5)-SUMIFS(TF_Timer,TF_Tekniker,BI$4,TF_Dato,$A1103))*2,0)/2)))</f>
        <v/>
      </c>
    </row>
    <row r="1104">
      <c r="A1104" s="64">
        <f>A1103+1</f>
        <v/>
      </c>
      <c r="B1104">
        <f>IF(MOD($A1104-INDEX(SkiftStart,1),Syklus)&lt;DagK,"K",IF(MOD($A1104-INDEX(SkiftStart,1),Syklus)&lt;DagK+DagH,"H",IF(MOD($A1104-INDEX(SkiftStart,1),Syklus)&lt;DagK+DagH+DagD,"D","F")))</f>
        <v/>
      </c>
      <c r="C1104">
        <f>IF(MOD($A1104-INDEX(SkiftStart,2),Syklus)&lt;DagK,"K",IF(MOD($A1104-INDEX(SkiftStart,2),Syklus)&lt;DagK+DagH,"H",IF(MOD($A1104-INDEX(SkiftStart,2),Syklus)&lt;DagK+DagH+DagD,"D","F")))</f>
        <v/>
      </c>
      <c r="D1104">
        <f>IF(MOD($A1104-INDEX(SkiftStart,3),Syklus)&lt;DagK,"K",IF(MOD($A1104-INDEX(SkiftStart,3),Syklus)&lt;DagK+DagH,"H",IF(MOD($A1104-INDEX(SkiftStart,3),Syklus)&lt;DagK+DagH+DagD,"D","F")))</f>
        <v/>
      </c>
      <c r="E1104">
        <f>IF(B1104="F",0,IF(WEEKDAY($A1104,2)=5,INDEX(TimerFr,MATCH(B1104,FaseKode,0)),INDEX(TimerMT,MATCH(B1104,FaseKode,0))))</f>
        <v/>
      </c>
      <c r="F1104">
        <f>IF(C1104="F",0,IF(WEEKDAY($A1104,2)=5,INDEX(TimerFr,MATCH(C1104,FaseKode,0)),INDEX(TimerMT,MATCH(C1104,FaseKode,0))))</f>
        <v/>
      </c>
      <c r="G1104">
        <f>IF(D1104="F",0,IF(WEEKDAY($A1104,2)=5,INDEX(TimerFr,MATCH(D1104,FaseKode,0)),INDEX(TimerMT,MATCH(D1104,FaseKode,0))))</f>
        <v/>
      </c>
      <c r="H1104">
        <f>IF(OR(H$4="",$A1104&gt;TODAY()),0,IF(OR(INDEX($B1104:$D1104,H$5)="F",AND(H$6&gt;0,$A1104&lt;H$6),AND(H$7&gt;0,$A1104&gt;H$7)),0,MAX(0,ROUND((INDEX($E1104:$G1104,H$5)-SUMIFS(TF_Timer,TF_Tekniker,H$4,TF_Dato,$A1104))*2,0)/2)))</f>
        <v/>
      </c>
      <c r="I1104">
        <f>IF(OR(I$4="",$A1104&gt;TODAY()),0,IF(OR(INDEX($B1104:$D1104,I$5)="F",AND(I$6&gt;0,$A1104&lt;I$6),AND(I$7&gt;0,$A1104&gt;I$7)),0,MAX(0,ROUND((INDEX($E1104:$G1104,I$5)-SUMIFS(TF_Timer,TF_Tekniker,I$4,TF_Dato,$A1104))*2,0)/2)))</f>
        <v/>
      </c>
      <c r="J1104">
        <f>IF(OR(J$4="",$A1104&gt;TODAY()),0,IF(OR(INDEX($B1104:$D1104,J$5)="F",AND(J$6&gt;0,$A1104&lt;J$6),AND(J$7&gt;0,$A1104&gt;J$7)),0,MAX(0,ROUND((INDEX($E1104:$G1104,J$5)-SUMIFS(TF_Timer,TF_Tekniker,J$4,TF_Dato,$A1104))*2,0)/2)))</f>
        <v/>
      </c>
      <c r="K1104">
        <f>IF(OR(K$4="",$A1104&gt;TODAY()),0,IF(OR(INDEX($B1104:$D1104,K$5)="F",AND(K$6&gt;0,$A1104&lt;K$6),AND(K$7&gt;0,$A1104&gt;K$7)),0,MAX(0,ROUND((INDEX($E1104:$G1104,K$5)-SUMIFS(TF_Timer,TF_Tekniker,K$4,TF_Dato,$A1104))*2,0)/2)))</f>
        <v/>
      </c>
      <c r="L1104">
        <f>IF(OR(L$4="",$A1104&gt;TODAY()),0,IF(OR(INDEX($B1104:$D1104,L$5)="F",AND(L$6&gt;0,$A1104&lt;L$6),AND(L$7&gt;0,$A1104&gt;L$7)),0,MAX(0,ROUND((INDEX($E1104:$G1104,L$5)-SUMIFS(TF_Timer,TF_Tekniker,L$4,TF_Dato,$A1104))*2,0)/2)))</f>
        <v/>
      </c>
      <c r="M1104">
        <f>IF(OR(M$4="",$A1104&gt;TODAY()),0,IF(OR(INDEX($B1104:$D1104,M$5)="F",AND(M$6&gt;0,$A1104&lt;M$6),AND(M$7&gt;0,$A1104&gt;M$7)),0,MAX(0,ROUND((INDEX($E1104:$G1104,M$5)-SUMIFS(TF_Timer,TF_Tekniker,M$4,TF_Dato,$A1104))*2,0)/2)))</f>
        <v/>
      </c>
      <c r="N1104">
        <f>IF(OR(N$4="",$A1104&gt;TODAY()),0,IF(OR(INDEX($B1104:$D1104,N$5)="F",AND(N$6&gt;0,$A1104&lt;N$6),AND(N$7&gt;0,$A1104&gt;N$7)),0,MAX(0,ROUND((INDEX($E1104:$G1104,N$5)-SUMIFS(TF_Timer,TF_Tekniker,N$4,TF_Dato,$A1104))*2,0)/2)))</f>
        <v/>
      </c>
      <c r="O1104">
        <f>IF(OR(O$4="",$A1104&gt;TODAY()),0,IF(OR(INDEX($B1104:$D1104,O$5)="F",AND(O$6&gt;0,$A1104&lt;O$6),AND(O$7&gt;0,$A1104&gt;O$7)),0,MAX(0,ROUND((INDEX($E1104:$G1104,O$5)-SUMIFS(TF_Timer,TF_Tekniker,O$4,TF_Dato,$A1104))*2,0)/2)))</f>
        <v/>
      </c>
      <c r="P1104">
        <f>IF(OR(P$4="",$A1104&gt;TODAY()),0,IF(OR(INDEX($B1104:$D1104,P$5)="F",AND(P$6&gt;0,$A1104&lt;P$6),AND(P$7&gt;0,$A1104&gt;P$7)),0,MAX(0,ROUND((INDEX($E1104:$G1104,P$5)-SUMIFS(TF_Timer,TF_Tekniker,P$4,TF_Dato,$A1104))*2,0)/2)))</f>
        <v/>
      </c>
      <c r="Q1104">
        <f>IF(OR(Q$4="",$A1104&gt;TODAY()),0,IF(OR(INDEX($B1104:$D1104,Q$5)="F",AND(Q$6&gt;0,$A1104&lt;Q$6),AND(Q$7&gt;0,$A1104&gt;Q$7)),0,MAX(0,ROUND((INDEX($E1104:$G1104,Q$5)-SUMIFS(TF_Timer,TF_Tekniker,Q$4,TF_Dato,$A1104))*2,0)/2)))</f>
        <v/>
      </c>
      <c r="R1104">
        <f>IF(OR(R$4="",$A1104&gt;TODAY()),0,IF(OR(INDEX($B1104:$D1104,R$5)="F",AND(R$6&gt;0,$A1104&lt;R$6),AND(R$7&gt;0,$A1104&gt;R$7)),0,MAX(0,ROUND((INDEX($E1104:$G1104,R$5)-SUMIFS(TF_Timer,TF_Tekniker,R$4,TF_Dato,$A1104))*2,0)/2)))</f>
        <v/>
      </c>
      <c r="S1104">
        <f>IF(OR(S$4="",$A1104&gt;TODAY()),0,IF(OR(INDEX($B1104:$D1104,S$5)="F",AND(S$6&gt;0,$A1104&lt;S$6),AND(S$7&gt;0,$A1104&gt;S$7)),0,MAX(0,ROUND((INDEX($E1104:$G1104,S$5)-SUMIFS(TF_Timer,TF_Tekniker,S$4,TF_Dato,$A1104))*2,0)/2)))</f>
        <v/>
      </c>
      <c r="T1104">
        <f>IF(OR(T$4="",$A1104&gt;TODAY()),0,IF(OR(INDEX($B1104:$D1104,T$5)="F",AND(T$6&gt;0,$A1104&lt;T$6),AND(T$7&gt;0,$A1104&gt;T$7)),0,MAX(0,ROUND((INDEX($E1104:$G1104,T$5)-SUMIFS(TF_Timer,TF_Tekniker,T$4,TF_Dato,$A1104))*2,0)/2)))</f>
        <v/>
      </c>
      <c r="U1104">
        <f>IF(OR(U$4="",$A1104&gt;TODAY()),0,IF(OR(INDEX($B1104:$D1104,U$5)="F",AND(U$6&gt;0,$A1104&lt;U$6),AND(U$7&gt;0,$A1104&gt;U$7)),0,MAX(0,ROUND((INDEX($E1104:$G1104,U$5)-SUMIFS(TF_Timer,TF_Tekniker,U$4,TF_Dato,$A1104))*2,0)/2)))</f>
        <v/>
      </c>
      <c r="V1104">
        <f>IF(OR(V$4="",$A1104&gt;TODAY()),0,IF(OR(INDEX($B1104:$D1104,V$5)="F",AND(V$6&gt;0,$A1104&lt;V$6),AND(V$7&gt;0,$A1104&gt;V$7)),0,MAX(0,ROUND((INDEX($E1104:$G1104,V$5)-SUMIFS(TF_Timer,TF_Tekniker,V$4,TF_Dato,$A1104))*2,0)/2)))</f>
        <v/>
      </c>
      <c r="W1104">
        <f>IF(OR(W$4="",$A1104&gt;TODAY()),0,IF(OR(INDEX($B1104:$D1104,W$5)="F",AND(W$6&gt;0,$A1104&lt;W$6),AND(W$7&gt;0,$A1104&gt;W$7)),0,MAX(0,ROUND((INDEX($E1104:$G1104,W$5)-SUMIFS(TF_Timer,TF_Tekniker,W$4,TF_Dato,$A1104))*2,0)/2)))</f>
        <v/>
      </c>
      <c r="X1104">
        <f>IF(OR(X$4="",$A1104&gt;TODAY()),0,IF(OR(INDEX($B1104:$D1104,X$5)="F",AND(X$6&gt;0,$A1104&lt;X$6),AND(X$7&gt;0,$A1104&gt;X$7)),0,MAX(0,ROUND((INDEX($E1104:$G1104,X$5)-SUMIFS(TF_Timer,TF_Tekniker,X$4,TF_Dato,$A1104))*2,0)/2)))</f>
        <v/>
      </c>
      <c r="Y1104">
        <f>IF(OR(Y$4="",$A1104&gt;TODAY()),0,IF(OR(INDEX($B1104:$D1104,Y$5)="F",AND(Y$6&gt;0,$A1104&lt;Y$6),AND(Y$7&gt;0,$A1104&gt;Y$7)),0,MAX(0,ROUND((INDEX($E1104:$G1104,Y$5)-SUMIFS(TF_Timer,TF_Tekniker,Y$4,TF_Dato,$A1104))*2,0)/2)))</f>
        <v/>
      </c>
      <c r="Z1104">
        <f>IF(OR(Z$4="",$A1104&gt;TODAY()),0,IF(OR(INDEX($B1104:$D1104,Z$5)="F",AND(Z$6&gt;0,$A1104&lt;Z$6),AND(Z$7&gt;0,$A1104&gt;Z$7)),0,MAX(0,ROUND((INDEX($E1104:$G1104,Z$5)-SUMIFS(TF_Timer,TF_Tekniker,Z$4,TF_Dato,$A1104))*2,0)/2)))</f>
        <v/>
      </c>
      <c r="AA1104">
        <f>IF(OR(AA$4="",$A1104&gt;TODAY()),0,IF(OR(INDEX($B1104:$D1104,AA$5)="F",AND(AA$6&gt;0,$A1104&lt;AA$6),AND(AA$7&gt;0,$A1104&gt;AA$7)),0,MAX(0,ROUND((INDEX($E1104:$G1104,AA$5)-SUMIFS(TF_Timer,TF_Tekniker,AA$4,TF_Dato,$A1104))*2,0)/2)))</f>
        <v/>
      </c>
      <c r="AB1104">
        <f>IF(OR(AB$4="",$A1104&gt;TODAY()),0,IF(OR(INDEX($B1104:$D1104,AB$5)="F",AND(AB$6&gt;0,$A1104&lt;AB$6),AND(AB$7&gt;0,$A1104&gt;AB$7)),0,MAX(0,ROUND((INDEX($E1104:$G1104,AB$5)-SUMIFS(TF_Timer,TF_Tekniker,AB$4,TF_Dato,$A1104))*2,0)/2)))</f>
        <v/>
      </c>
      <c r="AC1104">
        <f>IF(OR(AC$4="",$A1104&gt;TODAY()),0,IF(OR(INDEX($B1104:$D1104,AC$5)="F",AND(AC$6&gt;0,$A1104&lt;AC$6),AND(AC$7&gt;0,$A1104&gt;AC$7)),0,MAX(0,ROUND((INDEX($E1104:$G1104,AC$5)-SUMIFS(TF_Timer,TF_Tekniker,AC$4,TF_Dato,$A1104))*2,0)/2)))</f>
        <v/>
      </c>
      <c r="AD1104">
        <f>IF(OR(AD$4="",$A1104&gt;TODAY()),0,IF(OR(INDEX($B1104:$D1104,AD$5)="F",AND(AD$6&gt;0,$A1104&lt;AD$6),AND(AD$7&gt;0,$A1104&gt;AD$7)),0,MAX(0,ROUND((INDEX($E1104:$G1104,AD$5)-SUMIFS(TF_Timer,TF_Tekniker,AD$4,TF_Dato,$A1104))*2,0)/2)))</f>
        <v/>
      </c>
      <c r="AE1104">
        <f>IF(OR(AE$4="",$A1104&gt;TODAY()),0,IF(OR(INDEX($B1104:$D1104,AE$5)="F",AND(AE$6&gt;0,$A1104&lt;AE$6),AND(AE$7&gt;0,$A1104&gt;AE$7)),0,MAX(0,ROUND((INDEX($E1104:$G1104,AE$5)-SUMIFS(TF_Timer,TF_Tekniker,AE$4,TF_Dato,$A1104))*2,0)/2)))</f>
        <v/>
      </c>
      <c r="AF1104">
        <f>IF(OR(AF$4="",$A1104&gt;TODAY()),0,IF(OR(INDEX($B1104:$D1104,AF$5)="F",AND(AF$6&gt;0,$A1104&lt;AF$6),AND(AF$7&gt;0,$A1104&gt;AF$7)),0,MAX(0,ROUND((INDEX($E1104:$G1104,AF$5)-SUMIFS(TF_Timer,TF_Tekniker,AF$4,TF_Dato,$A1104))*2,0)/2)))</f>
        <v/>
      </c>
      <c r="AG1104">
        <f>IF(OR(AG$4="",$A1104&gt;TODAY()),0,IF(OR(INDEX($B1104:$D1104,AG$5)="F",AND(AG$6&gt;0,$A1104&lt;AG$6),AND(AG$7&gt;0,$A1104&gt;AG$7)),0,MAX(0,ROUND((INDEX($E1104:$G1104,AG$5)-SUMIFS(TF_Timer,TF_Tekniker,AG$4,TF_Dato,$A1104))*2,0)/2)))</f>
        <v/>
      </c>
      <c r="AH1104">
        <f>IF(OR(AH$4="",$A1104&gt;TODAY()),0,IF(OR(INDEX($B1104:$D1104,AH$5)="F",AND(AH$6&gt;0,$A1104&lt;AH$6),AND(AH$7&gt;0,$A1104&gt;AH$7)),0,MAX(0,ROUND((INDEX($E1104:$G1104,AH$5)-SUMIFS(TF_Timer,TF_Tekniker,AH$4,TF_Dato,$A1104))*2,0)/2)))</f>
        <v/>
      </c>
      <c r="AI1104">
        <f>IF(OR(AI$4="",$A1104&gt;TODAY()),0,IF(OR(INDEX($B1104:$D1104,AI$5)="F",AND(AI$6&gt;0,$A1104&lt;AI$6),AND(AI$7&gt;0,$A1104&gt;AI$7)),0,MAX(0,ROUND((INDEX($E1104:$G1104,AI$5)-SUMIFS(TF_Timer,TF_Tekniker,AI$4,TF_Dato,$A1104))*2,0)/2)))</f>
        <v/>
      </c>
      <c r="AJ1104">
        <f>IF(OR(AJ$4="",$A1104&gt;TODAY()),0,IF(OR(INDEX($B1104:$D1104,AJ$5)="F",AND(AJ$6&gt;0,$A1104&lt;AJ$6),AND(AJ$7&gt;0,$A1104&gt;AJ$7)),0,MAX(0,ROUND((INDEX($E1104:$G1104,AJ$5)-SUMIFS(TF_Timer,TF_Tekniker,AJ$4,TF_Dato,$A1104))*2,0)/2)))</f>
        <v/>
      </c>
      <c r="AK1104">
        <f>IF(OR(AK$4="",$A1104&gt;TODAY()),0,IF(OR(INDEX($B1104:$D1104,AK$5)="F",AND(AK$6&gt;0,$A1104&lt;AK$6),AND(AK$7&gt;0,$A1104&gt;AK$7)),0,MAX(0,ROUND((INDEX($E1104:$G1104,AK$5)-SUMIFS(TF_Timer,TF_Tekniker,AK$4,TF_Dato,$A1104))*2,0)/2)))</f>
        <v/>
      </c>
      <c r="AL1104">
        <f>IF(OR(AL$4="",$A1104&gt;TODAY()),0,IF(OR(INDEX($B1104:$D1104,AL$5)="F",AND(AL$6&gt;0,$A1104&lt;AL$6),AND(AL$7&gt;0,$A1104&gt;AL$7)),0,MAX(0,ROUND((INDEX($E1104:$G1104,AL$5)-SUMIFS(TF_Timer,TF_Tekniker,AL$4,TF_Dato,$A1104))*2,0)/2)))</f>
        <v/>
      </c>
      <c r="AM1104">
        <f>IF(OR(AM$4="",$A1104&gt;TODAY()),0,IF(OR(INDEX($B1104:$D1104,AM$5)="F",AND(AM$6&gt;0,$A1104&lt;AM$6),AND(AM$7&gt;0,$A1104&gt;AM$7)),0,MAX(0,ROUND((INDEX($E1104:$G1104,AM$5)-SUMIFS(TF_Timer,TF_Tekniker,AM$4,TF_Dato,$A1104))*2,0)/2)))</f>
        <v/>
      </c>
      <c r="AN1104">
        <f>IF(OR(AN$4="",$A1104&gt;TODAY()),0,IF(OR(INDEX($B1104:$D1104,AN$5)="F",AND(AN$6&gt;0,$A1104&lt;AN$6),AND(AN$7&gt;0,$A1104&gt;AN$7)),0,MAX(0,ROUND((INDEX($E1104:$G1104,AN$5)-SUMIFS(TF_Timer,TF_Tekniker,AN$4,TF_Dato,$A1104))*2,0)/2)))</f>
        <v/>
      </c>
      <c r="AO1104">
        <f>IF(OR(AO$4="",$A1104&gt;TODAY()),0,IF(OR(INDEX($B1104:$D1104,AO$5)="F",AND(AO$6&gt;0,$A1104&lt;AO$6),AND(AO$7&gt;0,$A1104&gt;AO$7)),0,MAX(0,ROUND((INDEX($E1104:$G1104,AO$5)-SUMIFS(TF_Timer,TF_Tekniker,AO$4,TF_Dato,$A1104))*2,0)/2)))</f>
        <v/>
      </c>
      <c r="AP1104">
        <f>IF(OR(AP$4="",$A1104&gt;TODAY()),0,IF(OR(INDEX($B1104:$D1104,AP$5)="F",AND(AP$6&gt;0,$A1104&lt;AP$6),AND(AP$7&gt;0,$A1104&gt;AP$7)),0,MAX(0,ROUND((INDEX($E1104:$G1104,AP$5)-SUMIFS(TF_Timer,TF_Tekniker,AP$4,TF_Dato,$A1104))*2,0)/2)))</f>
        <v/>
      </c>
      <c r="AQ1104">
        <f>IF(OR(AQ$4="",$A1104&gt;TODAY()),0,IF(OR(INDEX($B1104:$D1104,AQ$5)="F",AND(AQ$6&gt;0,$A1104&lt;AQ$6),AND(AQ$7&gt;0,$A1104&gt;AQ$7)),0,MAX(0,ROUND((INDEX($E1104:$G1104,AQ$5)-SUMIFS(TF_Timer,TF_Tekniker,AQ$4,TF_Dato,$A1104))*2,0)/2)))</f>
        <v/>
      </c>
      <c r="AR1104">
        <f>IF(OR(AR$4="",$A1104&gt;TODAY()),0,IF(OR(INDEX($B1104:$D1104,AR$5)="F",AND(AR$6&gt;0,$A1104&lt;AR$6),AND(AR$7&gt;0,$A1104&gt;AR$7)),0,MAX(0,ROUND((INDEX($E1104:$G1104,AR$5)-SUMIFS(TF_Timer,TF_Tekniker,AR$4,TF_Dato,$A1104))*2,0)/2)))</f>
        <v/>
      </c>
      <c r="AS1104">
        <f>IF(OR(AS$4="",$A1104&gt;TODAY()),0,IF(OR(INDEX($B1104:$D1104,AS$5)="F",AND(AS$6&gt;0,$A1104&lt;AS$6),AND(AS$7&gt;0,$A1104&gt;AS$7)),0,MAX(0,ROUND((INDEX($E1104:$G1104,AS$5)-SUMIFS(TF_Timer,TF_Tekniker,AS$4,TF_Dato,$A1104))*2,0)/2)))</f>
        <v/>
      </c>
      <c r="AT1104">
        <f>IF(OR(AT$4="",$A1104&gt;TODAY()),0,IF(OR(INDEX($B1104:$D1104,AT$5)="F",AND(AT$6&gt;0,$A1104&lt;AT$6),AND(AT$7&gt;0,$A1104&gt;AT$7)),0,MAX(0,ROUND((INDEX($E1104:$G1104,AT$5)-SUMIFS(TF_Timer,TF_Tekniker,AT$4,TF_Dato,$A1104))*2,0)/2)))</f>
        <v/>
      </c>
      <c r="AU1104">
        <f>IF(OR(AU$4="",$A1104&gt;TODAY()),0,IF(OR(INDEX($B1104:$D1104,AU$5)="F",AND(AU$6&gt;0,$A1104&lt;AU$6),AND(AU$7&gt;0,$A1104&gt;AU$7)),0,MAX(0,ROUND((INDEX($E1104:$G1104,AU$5)-SUMIFS(TF_Timer,TF_Tekniker,AU$4,TF_Dato,$A1104))*2,0)/2)))</f>
        <v/>
      </c>
      <c r="AV1104">
        <f>IF(OR(AV$4="",$A1104&gt;TODAY()),0,IF(OR(INDEX($B1104:$D1104,AV$5)="F",AND(AV$6&gt;0,$A1104&lt;AV$6),AND(AV$7&gt;0,$A1104&gt;AV$7)),0,MAX(0,ROUND((INDEX($E1104:$G1104,AV$5)-SUMIFS(TF_Timer,TF_Tekniker,AV$4,TF_Dato,$A1104))*2,0)/2)))</f>
        <v/>
      </c>
      <c r="AW1104">
        <f>IF(OR(AW$4="",$A1104&gt;TODAY()),0,IF(OR(INDEX($B1104:$D1104,AW$5)="F",AND(AW$6&gt;0,$A1104&lt;AW$6),AND(AW$7&gt;0,$A1104&gt;AW$7)),0,MAX(0,ROUND((INDEX($E1104:$G1104,AW$5)-SUMIFS(TF_Timer,TF_Tekniker,AW$4,TF_Dato,$A1104))*2,0)/2)))</f>
        <v/>
      </c>
      <c r="AX1104">
        <f>IF(OR(AX$4="",$A1104&gt;TODAY()),0,IF(OR(INDEX($B1104:$D1104,AX$5)="F",AND(AX$6&gt;0,$A1104&lt;AX$6),AND(AX$7&gt;0,$A1104&gt;AX$7)),0,MAX(0,ROUND((INDEX($E1104:$G1104,AX$5)-SUMIFS(TF_Timer,TF_Tekniker,AX$4,TF_Dato,$A1104))*2,0)/2)))</f>
        <v/>
      </c>
      <c r="AY1104">
        <f>IF(OR(AY$4="",$A1104&gt;TODAY()),0,IF(OR(INDEX($B1104:$D1104,AY$5)="F",AND(AY$6&gt;0,$A1104&lt;AY$6),AND(AY$7&gt;0,$A1104&gt;AY$7)),0,MAX(0,ROUND((INDEX($E1104:$G1104,AY$5)-SUMIFS(TF_Timer,TF_Tekniker,AY$4,TF_Dato,$A1104))*2,0)/2)))</f>
        <v/>
      </c>
      <c r="AZ1104">
        <f>IF(OR(AZ$4="",$A1104&gt;TODAY()),0,IF(OR(INDEX($B1104:$D1104,AZ$5)="F",AND(AZ$6&gt;0,$A1104&lt;AZ$6),AND(AZ$7&gt;0,$A1104&gt;AZ$7)),0,MAX(0,ROUND((INDEX($E1104:$G1104,AZ$5)-SUMIFS(TF_Timer,TF_Tekniker,AZ$4,TF_Dato,$A1104))*2,0)/2)))</f>
        <v/>
      </c>
      <c r="BA1104">
        <f>IF(OR(BA$4="",$A1104&gt;TODAY()),0,IF(OR(INDEX($B1104:$D1104,BA$5)="F",AND(BA$6&gt;0,$A1104&lt;BA$6),AND(BA$7&gt;0,$A1104&gt;BA$7)),0,MAX(0,ROUND((INDEX($E1104:$G1104,BA$5)-SUMIFS(TF_Timer,TF_Tekniker,BA$4,TF_Dato,$A1104))*2,0)/2)))</f>
        <v/>
      </c>
      <c r="BB1104">
        <f>IF(OR(BB$4="",$A1104&gt;TODAY()),0,IF(OR(INDEX($B1104:$D1104,BB$5)="F",AND(BB$6&gt;0,$A1104&lt;BB$6),AND(BB$7&gt;0,$A1104&gt;BB$7)),0,MAX(0,ROUND((INDEX($E1104:$G1104,BB$5)-SUMIFS(TF_Timer,TF_Tekniker,BB$4,TF_Dato,$A1104))*2,0)/2)))</f>
        <v/>
      </c>
      <c r="BC1104">
        <f>IF(OR(BC$4="",$A1104&gt;TODAY()),0,IF(OR(INDEX($B1104:$D1104,BC$5)="F",AND(BC$6&gt;0,$A1104&lt;BC$6),AND(BC$7&gt;0,$A1104&gt;BC$7)),0,MAX(0,ROUND((INDEX($E1104:$G1104,BC$5)-SUMIFS(TF_Timer,TF_Tekniker,BC$4,TF_Dato,$A1104))*2,0)/2)))</f>
        <v/>
      </c>
      <c r="BD1104">
        <f>IF(OR(BD$4="",$A1104&gt;TODAY()),0,IF(OR(INDEX($B1104:$D1104,BD$5)="F",AND(BD$6&gt;0,$A1104&lt;BD$6),AND(BD$7&gt;0,$A1104&gt;BD$7)),0,MAX(0,ROUND((INDEX($E1104:$G1104,BD$5)-SUMIFS(TF_Timer,TF_Tekniker,BD$4,TF_Dato,$A1104))*2,0)/2)))</f>
        <v/>
      </c>
      <c r="BE1104">
        <f>IF(OR(BE$4="",$A1104&gt;TODAY()),0,IF(OR(INDEX($B1104:$D1104,BE$5)="F",AND(BE$6&gt;0,$A1104&lt;BE$6),AND(BE$7&gt;0,$A1104&gt;BE$7)),0,MAX(0,ROUND((INDEX($E1104:$G1104,BE$5)-SUMIFS(TF_Timer,TF_Tekniker,BE$4,TF_Dato,$A1104))*2,0)/2)))</f>
        <v/>
      </c>
      <c r="BF1104">
        <f>IF(OR(BF$4="",$A1104&gt;TODAY()),0,IF(OR(INDEX($B1104:$D1104,BF$5)="F",AND(BF$6&gt;0,$A1104&lt;BF$6),AND(BF$7&gt;0,$A1104&gt;BF$7)),0,MAX(0,ROUND((INDEX($E1104:$G1104,BF$5)-SUMIFS(TF_Timer,TF_Tekniker,BF$4,TF_Dato,$A1104))*2,0)/2)))</f>
        <v/>
      </c>
      <c r="BG1104">
        <f>IF(OR(BG$4="",$A1104&gt;TODAY()),0,IF(OR(INDEX($B1104:$D1104,BG$5)="F",AND(BG$6&gt;0,$A1104&lt;BG$6),AND(BG$7&gt;0,$A1104&gt;BG$7)),0,MAX(0,ROUND((INDEX($E1104:$G1104,BG$5)-SUMIFS(TF_Timer,TF_Tekniker,BG$4,TF_Dato,$A1104))*2,0)/2)))</f>
        <v/>
      </c>
      <c r="BH1104">
        <f>IF(OR(BH$4="",$A1104&gt;TODAY()),0,IF(OR(INDEX($B1104:$D1104,BH$5)="F",AND(BH$6&gt;0,$A1104&lt;BH$6),AND(BH$7&gt;0,$A1104&gt;BH$7)),0,MAX(0,ROUND((INDEX($E1104:$G1104,BH$5)-SUMIFS(TF_Timer,TF_Tekniker,BH$4,TF_Dato,$A1104))*2,0)/2)))</f>
        <v/>
      </c>
      <c r="BI1104">
        <f>IF(OR(BI$4="",$A1104&gt;TODAY()),0,IF(OR(INDEX($B1104:$D1104,BI$5)="F",AND(BI$6&gt;0,$A1104&lt;BI$6),AND(BI$7&gt;0,$A1104&gt;BI$7)),0,MAX(0,ROUND((INDEX($E1104:$G1104,BI$5)-SUMIFS(TF_Timer,TF_Tekniker,BI$4,TF_Dato,$A1104))*2,0)/2)))</f>
        <v/>
      </c>
    </row>
    <row r="1105">
      <c r="A1105" s="64">
        <f>A1104+1</f>
        <v/>
      </c>
      <c r="B1105">
        <f>IF(MOD($A1105-INDEX(SkiftStart,1),Syklus)&lt;DagK,"K",IF(MOD($A1105-INDEX(SkiftStart,1),Syklus)&lt;DagK+DagH,"H",IF(MOD($A1105-INDEX(SkiftStart,1),Syklus)&lt;DagK+DagH+DagD,"D","F")))</f>
        <v/>
      </c>
      <c r="C1105">
        <f>IF(MOD($A1105-INDEX(SkiftStart,2),Syklus)&lt;DagK,"K",IF(MOD($A1105-INDEX(SkiftStart,2),Syklus)&lt;DagK+DagH,"H",IF(MOD($A1105-INDEX(SkiftStart,2),Syklus)&lt;DagK+DagH+DagD,"D","F")))</f>
        <v/>
      </c>
      <c r="D1105">
        <f>IF(MOD($A1105-INDEX(SkiftStart,3),Syklus)&lt;DagK,"K",IF(MOD($A1105-INDEX(SkiftStart,3),Syklus)&lt;DagK+DagH,"H",IF(MOD($A1105-INDEX(SkiftStart,3),Syklus)&lt;DagK+DagH+DagD,"D","F")))</f>
        <v/>
      </c>
      <c r="E1105">
        <f>IF(B1105="F",0,IF(WEEKDAY($A1105,2)=5,INDEX(TimerFr,MATCH(B1105,FaseKode,0)),INDEX(TimerMT,MATCH(B1105,FaseKode,0))))</f>
        <v/>
      </c>
      <c r="F1105">
        <f>IF(C1105="F",0,IF(WEEKDAY($A1105,2)=5,INDEX(TimerFr,MATCH(C1105,FaseKode,0)),INDEX(TimerMT,MATCH(C1105,FaseKode,0))))</f>
        <v/>
      </c>
      <c r="G1105">
        <f>IF(D1105="F",0,IF(WEEKDAY($A1105,2)=5,INDEX(TimerFr,MATCH(D1105,FaseKode,0)),INDEX(TimerMT,MATCH(D1105,FaseKode,0))))</f>
        <v/>
      </c>
      <c r="H1105">
        <f>IF(OR(H$4="",$A1105&gt;TODAY()),0,IF(OR(INDEX($B1105:$D1105,H$5)="F",AND(H$6&gt;0,$A1105&lt;H$6),AND(H$7&gt;0,$A1105&gt;H$7)),0,MAX(0,ROUND((INDEX($E1105:$G1105,H$5)-SUMIFS(TF_Timer,TF_Tekniker,H$4,TF_Dato,$A1105))*2,0)/2)))</f>
        <v/>
      </c>
      <c r="I1105">
        <f>IF(OR(I$4="",$A1105&gt;TODAY()),0,IF(OR(INDEX($B1105:$D1105,I$5)="F",AND(I$6&gt;0,$A1105&lt;I$6),AND(I$7&gt;0,$A1105&gt;I$7)),0,MAX(0,ROUND((INDEX($E1105:$G1105,I$5)-SUMIFS(TF_Timer,TF_Tekniker,I$4,TF_Dato,$A1105))*2,0)/2)))</f>
        <v/>
      </c>
      <c r="J1105">
        <f>IF(OR(J$4="",$A1105&gt;TODAY()),0,IF(OR(INDEX($B1105:$D1105,J$5)="F",AND(J$6&gt;0,$A1105&lt;J$6),AND(J$7&gt;0,$A1105&gt;J$7)),0,MAX(0,ROUND((INDEX($E1105:$G1105,J$5)-SUMIFS(TF_Timer,TF_Tekniker,J$4,TF_Dato,$A1105))*2,0)/2)))</f>
        <v/>
      </c>
      <c r="K1105">
        <f>IF(OR(K$4="",$A1105&gt;TODAY()),0,IF(OR(INDEX($B1105:$D1105,K$5)="F",AND(K$6&gt;0,$A1105&lt;K$6),AND(K$7&gt;0,$A1105&gt;K$7)),0,MAX(0,ROUND((INDEX($E1105:$G1105,K$5)-SUMIFS(TF_Timer,TF_Tekniker,K$4,TF_Dato,$A1105))*2,0)/2)))</f>
        <v/>
      </c>
      <c r="L1105">
        <f>IF(OR(L$4="",$A1105&gt;TODAY()),0,IF(OR(INDEX($B1105:$D1105,L$5)="F",AND(L$6&gt;0,$A1105&lt;L$6),AND(L$7&gt;0,$A1105&gt;L$7)),0,MAX(0,ROUND((INDEX($E1105:$G1105,L$5)-SUMIFS(TF_Timer,TF_Tekniker,L$4,TF_Dato,$A1105))*2,0)/2)))</f>
        <v/>
      </c>
      <c r="M1105">
        <f>IF(OR(M$4="",$A1105&gt;TODAY()),0,IF(OR(INDEX($B1105:$D1105,M$5)="F",AND(M$6&gt;0,$A1105&lt;M$6),AND(M$7&gt;0,$A1105&gt;M$7)),0,MAX(0,ROUND((INDEX($E1105:$G1105,M$5)-SUMIFS(TF_Timer,TF_Tekniker,M$4,TF_Dato,$A1105))*2,0)/2)))</f>
        <v/>
      </c>
      <c r="N1105">
        <f>IF(OR(N$4="",$A1105&gt;TODAY()),0,IF(OR(INDEX($B1105:$D1105,N$5)="F",AND(N$6&gt;0,$A1105&lt;N$6),AND(N$7&gt;0,$A1105&gt;N$7)),0,MAX(0,ROUND((INDEX($E1105:$G1105,N$5)-SUMIFS(TF_Timer,TF_Tekniker,N$4,TF_Dato,$A1105))*2,0)/2)))</f>
        <v/>
      </c>
      <c r="O1105">
        <f>IF(OR(O$4="",$A1105&gt;TODAY()),0,IF(OR(INDEX($B1105:$D1105,O$5)="F",AND(O$6&gt;0,$A1105&lt;O$6),AND(O$7&gt;0,$A1105&gt;O$7)),0,MAX(0,ROUND((INDEX($E1105:$G1105,O$5)-SUMIFS(TF_Timer,TF_Tekniker,O$4,TF_Dato,$A1105))*2,0)/2)))</f>
        <v/>
      </c>
      <c r="P1105">
        <f>IF(OR(P$4="",$A1105&gt;TODAY()),0,IF(OR(INDEX($B1105:$D1105,P$5)="F",AND(P$6&gt;0,$A1105&lt;P$6),AND(P$7&gt;0,$A1105&gt;P$7)),0,MAX(0,ROUND((INDEX($E1105:$G1105,P$5)-SUMIFS(TF_Timer,TF_Tekniker,P$4,TF_Dato,$A1105))*2,0)/2)))</f>
        <v/>
      </c>
      <c r="Q1105">
        <f>IF(OR(Q$4="",$A1105&gt;TODAY()),0,IF(OR(INDEX($B1105:$D1105,Q$5)="F",AND(Q$6&gt;0,$A1105&lt;Q$6),AND(Q$7&gt;0,$A1105&gt;Q$7)),0,MAX(0,ROUND((INDEX($E1105:$G1105,Q$5)-SUMIFS(TF_Timer,TF_Tekniker,Q$4,TF_Dato,$A1105))*2,0)/2)))</f>
        <v/>
      </c>
      <c r="R1105">
        <f>IF(OR(R$4="",$A1105&gt;TODAY()),0,IF(OR(INDEX($B1105:$D1105,R$5)="F",AND(R$6&gt;0,$A1105&lt;R$6),AND(R$7&gt;0,$A1105&gt;R$7)),0,MAX(0,ROUND((INDEX($E1105:$G1105,R$5)-SUMIFS(TF_Timer,TF_Tekniker,R$4,TF_Dato,$A1105))*2,0)/2)))</f>
        <v/>
      </c>
      <c r="S1105">
        <f>IF(OR(S$4="",$A1105&gt;TODAY()),0,IF(OR(INDEX($B1105:$D1105,S$5)="F",AND(S$6&gt;0,$A1105&lt;S$6),AND(S$7&gt;0,$A1105&gt;S$7)),0,MAX(0,ROUND((INDEX($E1105:$G1105,S$5)-SUMIFS(TF_Timer,TF_Tekniker,S$4,TF_Dato,$A1105))*2,0)/2)))</f>
        <v/>
      </c>
      <c r="T1105">
        <f>IF(OR(T$4="",$A1105&gt;TODAY()),0,IF(OR(INDEX($B1105:$D1105,T$5)="F",AND(T$6&gt;0,$A1105&lt;T$6),AND(T$7&gt;0,$A1105&gt;T$7)),0,MAX(0,ROUND((INDEX($E1105:$G1105,T$5)-SUMIFS(TF_Timer,TF_Tekniker,T$4,TF_Dato,$A1105))*2,0)/2)))</f>
        <v/>
      </c>
      <c r="U1105">
        <f>IF(OR(U$4="",$A1105&gt;TODAY()),0,IF(OR(INDEX($B1105:$D1105,U$5)="F",AND(U$6&gt;0,$A1105&lt;U$6),AND(U$7&gt;0,$A1105&gt;U$7)),0,MAX(0,ROUND((INDEX($E1105:$G1105,U$5)-SUMIFS(TF_Timer,TF_Tekniker,U$4,TF_Dato,$A1105))*2,0)/2)))</f>
        <v/>
      </c>
      <c r="V1105">
        <f>IF(OR(V$4="",$A1105&gt;TODAY()),0,IF(OR(INDEX($B1105:$D1105,V$5)="F",AND(V$6&gt;0,$A1105&lt;V$6),AND(V$7&gt;0,$A1105&gt;V$7)),0,MAX(0,ROUND((INDEX($E1105:$G1105,V$5)-SUMIFS(TF_Timer,TF_Tekniker,V$4,TF_Dato,$A1105))*2,0)/2)))</f>
        <v/>
      </c>
      <c r="W1105">
        <f>IF(OR(W$4="",$A1105&gt;TODAY()),0,IF(OR(INDEX($B1105:$D1105,W$5)="F",AND(W$6&gt;0,$A1105&lt;W$6),AND(W$7&gt;0,$A1105&gt;W$7)),0,MAX(0,ROUND((INDEX($E1105:$G1105,W$5)-SUMIFS(TF_Timer,TF_Tekniker,W$4,TF_Dato,$A1105))*2,0)/2)))</f>
        <v/>
      </c>
      <c r="X1105">
        <f>IF(OR(X$4="",$A1105&gt;TODAY()),0,IF(OR(INDEX($B1105:$D1105,X$5)="F",AND(X$6&gt;0,$A1105&lt;X$6),AND(X$7&gt;0,$A1105&gt;X$7)),0,MAX(0,ROUND((INDEX($E1105:$G1105,X$5)-SUMIFS(TF_Timer,TF_Tekniker,X$4,TF_Dato,$A1105))*2,0)/2)))</f>
        <v/>
      </c>
      <c r="Y1105">
        <f>IF(OR(Y$4="",$A1105&gt;TODAY()),0,IF(OR(INDEX($B1105:$D1105,Y$5)="F",AND(Y$6&gt;0,$A1105&lt;Y$6),AND(Y$7&gt;0,$A1105&gt;Y$7)),0,MAX(0,ROUND((INDEX($E1105:$G1105,Y$5)-SUMIFS(TF_Timer,TF_Tekniker,Y$4,TF_Dato,$A1105))*2,0)/2)))</f>
        <v/>
      </c>
      <c r="Z1105">
        <f>IF(OR(Z$4="",$A1105&gt;TODAY()),0,IF(OR(INDEX($B1105:$D1105,Z$5)="F",AND(Z$6&gt;0,$A1105&lt;Z$6),AND(Z$7&gt;0,$A1105&gt;Z$7)),0,MAX(0,ROUND((INDEX($E1105:$G1105,Z$5)-SUMIFS(TF_Timer,TF_Tekniker,Z$4,TF_Dato,$A1105))*2,0)/2)))</f>
        <v/>
      </c>
      <c r="AA1105">
        <f>IF(OR(AA$4="",$A1105&gt;TODAY()),0,IF(OR(INDEX($B1105:$D1105,AA$5)="F",AND(AA$6&gt;0,$A1105&lt;AA$6),AND(AA$7&gt;0,$A1105&gt;AA$7)),0,MAX(0,ROUND((INDEX($E1105:$G1105,AA$5)-SUMIFS(TF_Timer,TF_Tekniker,AA$4,TF_Dato,$A1105))*2,0)/2)))</f>
        <v/>
      </c>
      <c r="AB1105">
        <f>IF(OR(AB$4="",$A1105&gt;TODAY()),0,IF(OR(INDEX($B1105:$D1105,AB$5)="F",AND(AB$6&gt;0,$A1105&lt;AB$6),AND(AB$7&gt;0,$A1105&gt;AB$7)),0,MAX(0,ROUND((INDEX($E1105:$G1105,AB$5)-SUMIFS(TF_Timer,TF_Tekniker,AB$4,TF_Dato,$A1105))*2,0)/2)))</f>
        <v/>
      </c>
      <c r="AC1105">
        <f>IF(OR(AC$4="",$A1105&gt;TODAY()),0,IF(OR(INDEX($B1105:$D1105,AC$5)="F",AND(AC$6&gt;0,$A1105&lt;AC$6),AND(AC$7&gt;0,$A1105&gt;AC$7)),0,MAX(0,ROUND((INDEX($E1105:$G1105,AC$5)-SUMIFS(TF_Timer,TF_Tekniker,AC$4,TF_Dato,$A1105))*2,0)/2)))</f>
        <v/>
      </c>
      <c r="AD1105">
        <f>IF(OR(AD$4="",$A1105&gt;TODAY()),0,IF(OR(INDEX($B1105:$D1105,AD$5)="F",AND(AD$6&gt;0,$A1105&lt;AD$6),AND(AD$7&gt;0,$A1105&gt;AD$7)),0,MAX(0,ROUND((INDEX($E1105:$G1105,AD$5)-SUMIFS(TF_Timer,TF_Tekniker,AD$4,TF_Dato,$A1105))*2,0)/2)))</f>
        <v/>
      </c>
      <c r="AE1105">
        <f>IF(OR(AE$4="",$A1105&gt;TODAY()),0,IF(OR(INDEX($B1105:$D1105,AE$5)="F",AND(AE$6&gt;0,$A1105&lt;AE$6),AND(AE$7&gt;0,$A1105&gt;AE$7)),0,MAX(0,ROUND((INDEX($E1105:$G1105,AE$5)-SUMIFS(TF_Timer,TF_Tekniker,AE$4,TF_Dato,$A1105))*2,0)/2)))</f>
        <v/>
      </c>
      <c r="AF1105">
        <f>IF(OR(AF$4="",$A1105&gt;TODAY()),0,IF(OR(INDEX($B1105:$D1105,AF$5)="F",AND(AF$6&gt;0,$A1105&lt;AF$6),AND(AF$7&gt;0,$A1105&gt;AF$7)),0,MAX(0,ROUND((INDEX($E1105:$G1105,AF$5)-SUMIFS(TF_Timer,TF_Tekniker,AF$4,TF_Dato,$A1105))*2,0)/2)))</f>
        <v/>
      </c>
      <c r="AG1105">
        <f>IF(OR(AG$4="",$A1105&gt;TODAY()),0,IF(OR(INDEX($B1105:$D1105,AG$5)="F",AND(AG$6&gt;0,$A1105&lt;AG$6),AND(AG$7&gt;0,$A1105&gt;AG$7)),0,MAX(0,ROUND((INDEX($E1105:$G1105,AG$5)-SUMIFS(TF_Timer,TF_Tekniker,AG$4,TF_Dato,$A1105))*2,0)/2)))</f>
        <v/>
      </c>
      <c r="AH1105">
        <f>IF(OR(AH$4="",$A1105&gt;TODAY()),0,IF(OR(INDEX($B1105:$D1105,AH$5)="F",AND(AH$6&gt;0,$A1105&lt;AH$6),AND(AH$7&gt;0,$A1105&gt;AH$7)),0,MAX(0,ROUND((INDEX($E1105:$G1105,AH$5)-SUMIFS(TF_Timer,TF_Tekniker,AH$4,TF_Dato,$A1105))*2,0)/2)))</f>
        <v/>
      </c>
      <c r="AI1105">
        <f>IF(OR(AI$4="",$A1105&gt;TODAY()),0,IF(OR(INDEX($B1105:$D1105,AI$5)="F",AND(AI$6&gt;0,$A1105&lt;AI$6),AND(AI$7&gt;0,$A1105&gt;AI$7)),0,MAX(0,ROUND((INDEX($E1105:$G1105,AI$5)-SUMIFS(TF_Timer,TF_Tekniker,AI$4,TF_Dato,$A1105))*2,0)/2)))</f>
        <v/>
      </c>
      <c r="AJ1105">
        <f>IF(OR(AJ$4="",$A1105&gt;TODAY()),0,IF(OR(INDEX($B1105:$D1105,AJ$5)="F",AND(AJ$6&gt;0,$A1105&lt;AJ$6),AND(AJ$7&gt;0,$A1105&gt;AJ$7)),0,MAX(0,ROUND((INDEX($E1105:$G1105,AJ$5)-SUMIFS(TF_Timer,TF_Tekniker,AJ$4,TF_Dato,$A1105))*2,0)/2)))</f>
        <v/>
      </c>
      <c r="AK1105">
        <f>IF(OR(AK$4="",$A1105&gt;TODAY()),0,IF(OR(INDEX($B1105:$D1105,AK$5)="F",AND(AK$6&gt;0,$A1105&lt;AK$6),AND(AK$7&gt;0,$A1105&gt;AK$7)),0,MAX(0,ROUND((INDEX($E1105:$G1105,AK$5)-SUMIFS(TF_Timer,TF_Tekniker,AK$4,TF_Dato,$A1105))*2,0)/2)))</f>
        <v/>
      </c>
      <c r="AL1105">
        <f>IF(OR(AL$4="",$A1105&gt;TODAY()),0,IF(OR(INDEX($B1105:$D1105,AL$5)="F",AND(AL$6&gt;0,$A1105&lt;AL$6),AND(AL$7&gt;0,$A1105&gt;AL$7)),0,MAX(0,ROUND((INDEX($E1105:$G1105,AL$5)-SUMIFS(TF_Timer,TF_Tekniker,AL$4,TF_Dato,$A1105))*2,0)/2)))</f>
        <v/>
      </c>
      <c r="AM1105">
        <f>IF(OR(AM$4="",$A1105&gt;TODAY()),0,IF(OR(INDEX($B1105:$D1105,AM$5)="F",AND(AM$6&gt;0,$A1105&lt;AM$6),AND(AM$7&gt;0,$A1105&gt;AM$7)),0,MAX(0,ROUND((INDEX($E1105:$G1105,AM$5)-SUMIFS(TF_Timer,TF_Tekniker,AM$4,TF_Dato,$A1105))*2,0)/2)))</f>
        <v/>
      </c>
      <c r="AN1105">
        <f>IF(OR(AN$4="",$A1105&gt;TODAY()),0,IF(OR(INDEX($B1105:$D1105,AN$5)="F",AND(AN$6&gt;0,$A1105&lt;AN$6),AND(AN$7&gt;0,$A1105&gt;AN$7)),0,MAX(0,ROUND((INDEX($E1105:$G1105,AN$5)-SUMIFS(TF_Timer,TF_Tekniker,AN$4,TF_Dato,$A1105))*2,0)/2)))</f>
        <v/>
      </c>
      <c r="AO1105">
        <f>IF(OR(AO$4="",$A1105&gt;TODAY()),0,IF(OR(INDEX($B1105:$D1105,AO$5)="F",AND(AO$6&gt;0,$A1105&lt;AO$6),AND(AO$7&gt;0,$A1105&gt;AO$7)),0,MAX(0,ROUND((INDEX($E1105:$G1105,AO$5)-SUMIFS(TF_Timer,TF_Tekniker,AO$4,TF_Dato,$A1105))*2,0)/2)))</f>
        <v/>
      </c>
      <c r="AP1105">
        <f>IF(OR(AP$4="",$A1105&gt;TODAY()),0,IF(OR(INDEX($B1105:$D1105,AP$5)="F",AND(AP$6&gt;0,$A1105&lt;AP$6),AND(AP$7&gt;0,$A1105&gt;AP$7)),0,MAX(0,ROUND((INDEX($E1105:$G1105,AP$5)-SUMIFS(TF_Timer,TF_Tekniker,AP$4,TF_Dato,$A1105))*2,0)/2)))</f>
        <v/>
      </c>
      <c r="AQ1105">
        <f>IF(OR(AQ$4="",$A1105&gt;TODAY()),0,IF(OR(INDEX($B1105:$D1105,AQ$5)="F",AND(AQ$6&gt;0,$A1105&lt;AQ$6),AND(AQ$7&gt;0,$A1105&gt;AQ$7)),0,MAX(0,ROUND((INDEX($E1105:$G1105,AQ$5)-SUMIFS(TF_Timer,TF_Tekniker,AQ$4,TF_Dato,$A1105))*2,0)/2)))</f>
        <v/>
      </c>
      <c r="AR1105">
        <f>IF(OR(AR$4="",$A1105&gt;TODAY()),0,IF(OR(INDEX($B1105:$D1105,AR$5)="F",AND(AR$6&gt;0,$A1105&lt;AR$6),AND(AR$7&gt;0,$A1105&gt;AR$7)),0,MAX(0,ROUND((INDEX($E1105:$G1105,AR$5)-SUMIFS(TF_Timer,TF_Tekniker,AR$4,TF_Dato,$A1105))*2,0)/2)))</f>
        <v/>
      </c>
      <c r="AS1105">
        <f>IF(OR(AS$4="",$A1105&gt;TODAY()),0,IF(OR(INDEX($B1105:$D1105,AS$5)="F",AND(AS$6&gt;0,$A1105&lt;AS$6),AND(AS$7&gt;0,$A1105&gt;AS$7)),0,MAX(0,ROUND((INDEX($E1105:$G1105,AS$5)-SUMIFS(TF_Timer,TF_Tekniker,AS$4,TF_Dato,$A1105))*2,0)/2)))</f>
        <v/>
      </c>
      <c r="AT1105">
        <f>IF(OR(AT$4="",$A1105&gt;TODAY()),0,IF(OR(INDEX($B1105:$D1105,AT$5)="F",AND(AT$6&gt;0,$A1105&lt;AT$6),AND(AT$7&gt;0,$A1105&gt;AT$7)),0,MAX(0,ROUND((INDEX($E1105:$G1105,AT$5)-SUMIFS(TF_Timer,TF_Tekniker,AT$4,TF_Dato,$A1105))*2,0)/2)))</f>
        <v/>
      </c>
      <c r="AU1105">
        <f>IF(OR(AU$4="",$A1105&gt;TODAY()),0,IF(OR(INDEX($B1105:$D1105,AU$5)="F",AND(AU$6&gt;0,$A1105&lt;AU$6),AND(AU$7&gt;0,$A1105&gt;AU$7)),0,MAX(0,ROUND((INDEX($E1105:$G1105,AU$5)-SUMIFS(TF_Timer,TF_Tekniker,AU$4,TF_Dato,$A1105))*2,0)/2)))</f>
        <v/>
      </c>
      <c r="AV1105">
        <f>IF(OR(AV$4="",$A1105&gt;TODAY()),0,IF(OR(INDEX($B1105:$D1105,AV$5)="F",AND(AV$6&gt;0,$A1105&lt;AV$6),AND(AV$7&gt;0,$A1105&gt;AV$7)),0,MAX(0,ROUND((INDEX($E1105:$G1105,AV$5)-SUMIFS(TF_Timer,TF_Tekniker,AV$4,TF_Dato,$A1105))*2,0)/2)))</f>
        <v/>
      </c>
      <c r="AW1105">
        <f>IF(OR(AW$4="",$A1105&gt;TODAY()),0,IF(OR(INDEX($B1105:$D1105,AW$5)="F",AND(AW$6&gt;0,$A1105&lt;AW$6),AND(AW$7&gt;0,$A1105&gt;AW$7)),0,MAX(0,ROUND((INDEX($E1105:$G1105,AW$5)-SUMIFS(TF_Timer,TF_Tekniker,AW$4,TF_Dato,$A1105))*2,0)/2)))</f>
        <v/>
      </c>
      <c r="AX1105">
        <f>IF(OR(AX$4="",$A1105&gt;TODAY()),0,IF(OR(INDEX($B1105:$D1105,AX$5)="F",AND(AX$6&gt;0,$A1105&lt;AX$6),AND(AX$7&gt;0,$A1105&gt;AX$7)),0,MAX(0,ROUND((INDEX($E1105:$G1105,AX$5)-SUMIFS(TF_Timer,TF_Tekniker,AX$4,TF_Dato,$A1105))*2,0)/2)))</f>
        <v/>
      </c>
      <c r="AY1105">
        <f>IF(OR(AY$4="",$A1105&gt;TODAY()),0,IF(OR(INDEX($B1105:$D1105,AY$5)="F",AND(AY$6&gt;0,$A1105&lt;AY$6),AND(AY$7&gt;0,$A1105&gt;AY$7)),0,MAX(0,ROUND((INDEX($E1105:$G1105,AY$5)-SUMIFS(TF_Timer,TF_Tekniker,AY$4,TF_Dato,$A1105))*2,0)/2)))</f>
        <v/>
      </c>
      <c r="AZ1105">
        <f>IF(OR(AZ$4="",$A1105&gt;TODAY()),0,IF(OR(INDEX($B1105:$D1105,AZ$5)="F",AND(AZ$6&gt;0,$A1105&lt;AZ$6),AND(AZ$7&gt;0,$A1105&gt;AZ$7)),0,MAX(0,ROUND((INDEX($E1105:$G1105,AZ$5)-SUMIFS(TF_Timer,TF_Tekniker,AZ$4,TF_Dato,$A1105))*2,0)/2)))</f>
        <v/>
      </c>
      <c r="BA1105">
        <f>IF(OR(BA$4="",$A1105&gt;TODAY()),0,IF(OR(INDEX($B1105:$D1105,BA$5)="F",AND(BA$6&gt;0,$A1105&lt;BA$6),AND(BA$7&gt;0,$A1105&gt;BA$7)),0,MAX(0,ROUND((INDEX($E1105:$G1105,BA$5)-SUMIFS(TF_Timer,TF_Tekniker,BA$4,TF_Dato,$A1105))*2,0)/2)))</f>
        <v/>
      </c>
      <c r="BB1105">
        <f>IF(OR(BB$4="",$A1105&gt;TODAY()),0,IF(OR(INDEX($B1105:$D1105,BB$5)="F",AND(BB$6&gt;0,$A1105&lt;BB$6),AND(BB$7&gt;0,$A1105&gt;BB$7)),0,MAX(0,ROUND((INDEX($E1105:$G1105,BB$5)-SUMIFS(TF_Timer,TF_Tekniker,BB$4,TF_Dato,$A1105))*2,0)/2)))</f>
        <v/>
      </c>
      <c r="BC1105">
        <f>IF(OR(BC$4="",$A1105&gt;TODAY()),0,IF(OR(INDEX($B1105:$D1105,BC$5)="F",AND(BC$6&gt;0,$A1105&lt;BC$6),AND(BC$7&gt;0,$A1105&gt;BC$7)),0,MAX(0,ROUND((INDEX($E1105:$G1105,BC$5)-SUMIFS(TF_Timer,TF_Tekniker,BC$4,TF_Dato,$A1105))*2,0)/2)))</f>
        <v/>
      </c>
      <c r="BD1105">
        <f>IF(OR(BD$4="",$A1105&gt;TODAY()),0,IF(OR(INDEX($B1105:$D1105,BD$5)="F",AND(BD$6&gt;0,$A1105&lt;BD$6),AND(BD$7&gt;0,$A1105&gt;BD$7)),0,MAX(0,ROUND((INDEX($E1105:$G1105,BD$5)-SUMIFS(TF_Timer,TF_Tekniker,BD$4,TF_Dato,$A1105))*2,0)/2)))</f>
        <v/>
      </c>
      <c r="BE1105">
        <f>IF(OR(BE$4="",$A1105&gt;TODAY()),0,IF(OR(INDEX($B1105:$D1105,BE$5)="F",AND(BE$6&gt;0,$A1105&lt;BE$6),AND(BE$7&gt;0,$A1105&gt;BE$7)),0,MAX(0,ROUND((INDEX($E1105:$G1105,BE$5)-SUMIFS(TF_Timer,TF_Tekniker,BE$4,TF_Dato,$A1105))*2,0)/2)))</f>
        <v/>
      </c>
      <c r="BF1105">
        <f>IF(OR(BF$4="",$A1105&gt;TODAY()),0,IF(OR(INDEX($B1105:$D1105,BF$5)="F",AND(BF$6&gt;0,$A1105&lt;BF$6),AND(BF$7&gt;0,$A1105&gt;BF$7)),0,MAX(0,ROUND((INDEX($E1105:$G1105,BF$5)-SUMIFS(TF_Timer,TF_Tekniker,BF$4,TF_Dato,$A1105))*2,0)/2)))</f>
        <v/>
      </c>
      <c r="BG1105">
        <f>IF(OR(BG$4="",$A1105&gt;TODAY()),0,IF(OR(INDEX($B1105:$D1105,BG$5)="F",AND(BG$6&gt;0,$A1105&lt;BG$6),AND(BG$7&gt;0,$A1105&gt;BG$7)),0,MAX(0,ROUND((INDEX($E1105:$G1105,BG$5)-SUMIFS(TF_Timer,TF_Tekniker,BG$4,TF_Dato,$A1105))*2,0)/2)))</f>
        <v/>
      </c>
      <c r="BH1105">
        <f>IF(OR(BH$4="",$A1105&gt;TODAY()),0,IF(OR(INDEX($B1105:$D1105,BH$5)="F",AND(BH$6&gt;0,$A1105&lt;BH$6),AND(BH$7&gt;0,$A1105&gt;BH$7)),0,MAX(0,ROUND((INDEX($E1105:$G1105,BH$5)-SUMIFS(TF_Timer,TF_Tekniker,BH$4,TF_Dato,$A1105))*2,0)/2)))</f>
        <v/>
      </c>
      <c r="BI1105">
        <f>IF(OR(BI$4="",$A1105&gt;TODAY()),0,IF(OR(INDEX($B1105:$D1105,BI$5)="F",AND(BI$6&gt;0,$A1105&lt;BI$6),AND(BI$7&gt;0,$A1105&gt;BI$7)),0,MAX(0,ROUND((INDEX($E1105:$G1105,BI$5)-SUMIFS(TF_Timer,TF_Tekniker,BI$4,TF_Dato,$A1105))*2,0)/2)))</f>
        <v/>
      </c>
    </row>
    <row r="1106">
      <c r="A1106" s="64">
        <f>A1105+1</f>
        <v/>
      </c>
      <c r="B1106">
        <f>IF(MOD($A1106-INDEX(SkiftStart,1),Syklus)&lt;DagK,"K",IF(MOD($A1106-INDEX(SkiftStart,1),Syklus)&lt;DagK+DagH,"H",IF(MOD($A1106-INDEX(SkiftStart,1),Syklus)&lt;DagK+DagH+DagD,"D","F")))</f>
        <v/>
      </c>
      <c r="C1106">
        <f>IF(MOD($A1106-INDEX(SkiftStart,2),Syklus)&lt;DagK,"K",IF(MOD($A1106-INDEX(SkiftStart,2),Syklus)&lt;DagK+DagH,"H",IF(MOD($A1106-INDEX(SkiftStart,2),Syklus)&lt;DagK+DagH+DagD,"D","F")))</f>
        <v/>
      </c>
      <c r="D1106">
        <f>IF(MOD($A1106-INDEX(SkiftStart,3),Syklus)&lt;DagK,"K",IF(MOD($A1106-INDEX(SkiftStart,3),Syklus)&lt;DagK+DagH,"H",IF(MOD($A1106-INDEX(SkiftStart,3),Syklus)&lt;DagK+DagH+DagD,"D","F")))</f>
        <v/>
      </c>
      <c r="E1106">
        <f>IF(B1106="F",0,IF(WEEKDAY($A1106,2)=5,INDEX(TimerFr,MATCH(B1106,FaseKode,0)),INDEX(TimerMT,MATCH(B1106,FaseKode,0))))</f>
        <v/>
      </c>
      <c r="F1106">
        <f>IF(C1106="F",0,IF(WEEKDAY($A1106,2)=5,INDEX(TimerFr,MATCH(C1106,FaseKode,0)),INDEX(TimerMT,MATCH(C1106,FaseKode,0))))</f>
        <v/>
      </c>
      <c r="G1106">
        <f>IF(D1106="F",0,IF(WEEKDAY($A1106,2)=5,INDEX(TimerFr,MATCH(D1106,FaseKode,0)),INDEX(TimerMT,MATCH(D1106,FaseKode,0))))</f>
        <v/>
      </c>
      <c r="H1106">
        <f>IF(OR(H$4="",$A1106&gt;TODAY()),0,IF(OR(INDEX($B1106:$D1106,H$5)="F",AND(H$6&gt;0,$A1106&lt;H$6),AND(H$7&gt;0,$A1106&gt;H$7)),0,MAX(0,ROUND((INDEX($E1106:$G1106,H$5)-SUMIFS(TF_Timer,TF_Tekniker,H$4,TF_Dato,$A1106))*2,0)/2)))</f>
        <v/>
      </c>
      <c r="I1106">
        <f>IF(OR(I$4="",$A1106&gt;TODAY()),0,IF(OR(INDEX($B1106:$D1106,I$5)="F",AND(I$6&gt;0,$A1106&lt;I$6),AND(I$7&gt;0,$A1106&gt;I$7)),0,MAX(0,ROUND((INDEX($E1106:$G1106,I$5)-SUMIFS(TF_Timer,TF_Tekniker,I$4,TF_Dato,$A1106))*2,0)/2)))</f>
        <v/>
      </c>
      <c r="J1106">
        <f>IF(OR(J$4="",$A1106&gt;TODAY()),0,IF(OR(INDEX($B1106:$D1106,J$5)="F",AND(J$6&gt;0,$A1106&lt;J$6),AND(J$7&gt;0,$A1106&gt;J$7)),0,MAX(0,ROUND((INDEX($E1106:$G1106,J$5)-SUMIFS(TF_Timer,TF_Tekniker,J$4,TF_Dato,$A1106))*2,0)/2)))</f>
        <v/>
      </c>
      <c r="K1106">
        <f>IF(OR(K$4="",$A1106&gt;TODAY()),0,IF(OR(INDEX($B1106:$D1106,K$5)="F",AND(K$6&gt;0,$A1106&lt;K$6),AND(K$7&gt;0,$A1106&gt;K$7)),0,MAX(0,ROUND((INDEX($E1106:$G1106,K$5)-SUMIFS(TF_Timer,TF_Tekniker,K$4,TF_Dato,$A1106))*2,0)/2)))</f>
        <v/>
      </c>
      <c r="L1106">
        <f>IF(OR(L$4="",$A1106&gt;TODAY()),0,IF(OR(INDEX($B1106:$D1106,L$5)="F",AND(L$6&gt;0,$A1106&lt;L$6),AND(L$7&gt;0,$A1106&gt;L$7)),0,MAX(0,ROUND((INDEX($E1106:$G1106,L$5)-SUMIFS(TF_Timer,TF_Tekniker,L$4,TF_Dato,$A1106))*2,0)/2)))</f>
        <v/>
      </c>
      <c r="M1106">
        <f>IF(OR(M$4="",$A1106&gt;TODAY()),0,IF(OR(INDEX($B1106:$D1106,M$5)="F",AND(M$6&gt;0,$A1106&lt;M$6),AND(M$7&gt;0,$A1106&gt;M$7)),0,MAX(0,ROUND((INDEX($E1106:$G1106,M$5)-SUMIFS(TF_Timer,TF_Tekniker,M$4,TF_Dato,$A1106))*2,0)/2)))</f>
        <v/>
      </c>
      <c r="N1106">
        <f>IF(OR(N$4="",$A1106&gt;TODAY()),0,IF(OR(INDEX($B1106:$D1106,N$5)="F",AND(N$6&gt;0,$A1106&lt;N$6),AND(N$7&gt;0,$A1106&gt;N$7)),0,MAX(0,ROUND((INDEX($E1106:$G1106,N$5)-SUMIFS(TF_Timer,TF_Tekniker,N$4,TF_Dato,$A1106))*2,0)/2)))</f>
        <v/>
      </c>
      <c r="O1106">
        <f>IF(OR(O$4="",$A1106&gt;TODAY()),0,IF(OR(INDEX($B1106:$D1106,O$5)="F",AND(O$6&gt;0,$A1106&lt;O$6),AND(O$7&gt;0,$A1106&gt;O$7)),0,MAX(0,ROUND((INDEX($E1106:$G1106,O$5)-SUMIFS(TF_Timer,TF_Tekniker,O$4,TF_Dato,$A1106))*2,0)/2)))</f>
        <v/>
      </c>
      <c r="P1106">
        <f>IF(OR(P$4="",$A1106&gt;TODAY()),0,IF(OR(INDEX($B1106:$D1106,P$5)="F",AND(P$6&gt;0,$A1106&lt;P$6),AND(P$7&gt;0,$A1106&gt;P$7)),0,MAX(0,ROUND((INDEX($E1106:$G1106,P$5)-SUMIFS(TF_Timer,TF_Tekniker,P$4,TF_Dato,$A1106))*2,0)/2)))</f>
        <v/>
      </c>
      <c r="Q1106">
        <f>IF(OR(Q$4="",$A1106&gt;TODAY()),0,IF(OR(INDEX($B1106:$D1106,Q$5)="F",AND(Q$6&gt;0,$A1106&lt;Q$6),AND(Q$7&gt;0,$A1106&gt;Q$7)),0,MAX(0,ROUND((INDEX($E1106:$G1106,Q$5)-SUMIFS(TF_Timer,TF_Tekniker,Q$4,TF_Dato,$A1106))*2,0)/2)))</f>
        <v/>
      </c>
      <c r="R1106">
        <f>IF(OR(R$4="",$A1106&gt;TODAY()),0,IF(OR(INDEX($B1106:$D1106,R$5)="F",AND(R$6&gt;0,$A1106&lt;R$6),AND(R$7&gt;0,$A1106&gt;R$7)),0,MAX(0,ROUND((INDEX($E1106:$G1106,R$5)-SUMIFS(TF_Timer,TF_Tekniker,R$4,TF_Dato,$A1106))*2,0)/2)))</f>
        <v/>
      </c>
      <c r="S1106">
        <f>IF(OR(S$4="",$A1106&gt;TODAY()),0,IF(OR(INDEX($B1106:$D1106,S$5)="F",AND(S$6&gt;0,$A1106&lt;S$6),AND(S$7&gt;0,$A1106&gt;S$7)),0,MAX(0,ROUND((INDEX($E1106:$G1106,S$5)-SUMIFS(TF_Timer,TF_Tekniker,S$4,TF_Dato,$A1106))*2,0)/2)))</f>
        <v/>
      </c>
      <c r="T1106">
        <f>IF(OR(T$4="",$A1106&gt;TODAY()),0,IF(OR(INDEX($B1106:$D1106,T$5)="F",AND(T$6&gt;0,$A1106&lt;T$6),AND(T$7&gt;0,$A1106&gt;T$7)),0,MAX(0,ROUND((INDEX($E1106:$G1106,T$5)-SUMIFS(TF_Timer,TF_Tekniker,T$4,TF_Dato,$A1106))*2,0)/2)))</f>
        <v/>
      </c>
      <c r="U1106">
        <f>IF(OR(U$4="",$A1106&gt;TODAY()),0,IF(OR(INDEX($B1106:$D1106,U$5)="F",AND(U$6&gt;0,$A1106&lt;U$6),AND(U$7&gt;0,$A1106&gt;U$7)),0,MAX(0,ROUND((INDEX($E1106:$G1106,U$5)-SUMIFS(TF_Timer,TF_Tekniker,U$4,TF_Dato,$A1106))*2,0)/2)))</f>
        <v/>
      </c>
      <c r="V1106">
        <f>IF(OR(V$4="",$A1106&gt;TODAY()),0,IF(OR(INDEX($B1106:$D1106,V$5)="F",AND(V$6&gt;0,$A1106&lt;V$6),AND(V$7&gt;0,$A1106&gt;V$7)),0,MAX(0,ROUND((INDEX($E1106:$G1106,V$5)-SUMIFS(TF_Timer,TF_Tekniker,V$4,TF_Dato,$A1106))*2,0)/2)))</f>
        <v/>
      </c>
      <c r="W1106">
        <f>IF(OR(W$4="",$A1106&gt;TODAY()),0,IF(OR(INDEX($B1106:$D1106,W$5)="F",AND(W$6&gt;0,$A1106&lt;W$6),AND(W$7&gt;0,$A1106&gt;W$7)),0,MAX(0,ROUND((INDEX($E1106:$G1106,W$5)-SUMIFS(TF_Timer,TF_Tekniker,W$4,TF_Dato,$A1106))*2,0)/2)))</f>
        <v/>
      </c>
      <c r="X1106">
        <f>IF(OR(X$4="",$A1106&gt;TODAY()),0,IF(OR(INDEX($B1106:$D1106,X$5)="F",AND(X$6&gt;0,$A1106&lt;X$6),AND(X$7&gt;0,$A1106&gt;X$7)),0,MAX(0,ROUND((INDEX($E1106:$G1106,X$5)-SUMIFS(TF_Timer,TF_Tekniker,X$4,TF_Dato,$A1106))*2,0)/2)))</f>
        <v/>
      </c>
      <c r="Y1106">
        <f>IF(OR(Y$4="",$A1106&gt;TODAY()),0,IF(OR(INDEX($B1106:$D1106,Y$5)="F",AND(Y$6&gt;0,$A1106&lt;Y$6),AND(Y$7&gt;0,$A1106&gt;Y$7)),0,MAX(0,ROUND((INDEX($E1106:$G1106,Y$5)-SUMIFS(TF_Timer,TF_Tekniker,Y$4,TF_Dato,$A1106))*2,0)/2)))</f>
        <v/>
      </c>
      <c r="Z1106">
        <f>IF(OR(Z$4="",$A1106&gt;TODAY()),0,IF(OR(INDEX($B1106:$D1106,Z$5)="F",AND(Z$6&gt;0,$A1106&lt;Z$6),AND(Z$7&gt;0,$A1106&gt;Z$7)),0,MAX(0,ROUND((INDEX($E1106:$G1106,Z$5)-SUMIFS(TF_Timer,TF_Tekniker,Z$4,TF_Dato,$A1106))*2,0)/2)))</f>
        <v/>
      </c>
      <c r="AA1106">
        <f>IF(OR(AA$4="",$A1106&gt;TODAY()),0,IF(OR(INDEX($B1106:$D1106,AA$5)="F",AND(AA$6&gt;0,$A1106&lt;AA$6),AND(AA$7&gt;0,$A1106&gt;AA$7)),0,MAX(0,ROUND((INDEX($E1106:$G1106,AA$5)-SUMIFS(TF_Timer,TF_Tekniker,AA$4,TF_Dato,$A1106))*2,0)/2)))</f>
        <v/>
      </c>
      <c r="AB1106">
        <f>IF(OR(AB$4="",$A1106&gt;TODAY()),0,IF(OR(INDEX($B1106:$D1106,AB$5)="F",AND(AB$6&gt;0,$A1106&lt;AB$6),AND(AB$7&gt;0,$A1106&gt;AB$7)),0,MAX(0,ROUND((INDEX($E1106:$G1106,AB$5)-SUMIFS(TF_Timer,TF_Tekniker,AB$4,TF_Dato,$A1106))*2,0)/2)))</f>
        <v/>
      </c>
      <c r="AC1106">
        <f>IF(OR(AC$4="",$A1106&gt;TODAY()),0,IF(OR(INDEX($B1106:$D1106,AC$5)="F",AND(AC$6&gt;0,$A1106&lt;AC$6),AND(AC$7&gt;0,$A1106&gt;AC$7)),0,MAX(0,ROUND((INDEX($E1106:$G1106,AC$5)-SUMIFS(TF_Timer,TF_Tekniker,AC$4,TF_Dato,$A1106))*2,0)/2)))</f>
        <v/>
      </c>
      <c r="AD1106">
        <f>IF(OR(AD$4="",$A1106&gt;TODAY()),0,IF(OR(INDEX($B1106:$D1106,AD$5)="F",AND(AD$6&gt;0,$A1106&lt;AD$6),AND(AD$7&gt;0,$A1106&gt;AD$7)),0,MAX(0,ROUND((INDEX($E1106:$G1106,AD$5)-SUMIFS(TF_Timer,TF_Tekniker,AD$4,TF_Dato,$A1106))*2,0)/2)))</f>
        <v/>
      </c>
      <c r="AE1106">
        <f>IF(OR(AE$4="",$A1106&gt;TODAY()),0,IF(OR(INDEX($B1106:$D1106,AE$5)="F",AND(AE$6&gt;0,$A1106&lt;AE$6),AND(AE$7&gt;0,$A1106&gt;AE$7)),0,MAX(0,ROUND((INDEX($E1106:$G1106,AE$5)-SUMIFS(TF_Timer,TF_Tekniker,AE$4,TF_Dato,$A1106))*2,0)/2)))</f>
        <v/>
      </c>
      <c r="AF1106">
        <f>IF(OR(AF$4="",$A1106&gt;TODAY()),0,IF(OR(INDEX($B1106:$D1106,AF$5)="F",AND(AF$6&gt;0,$A1106&lt;AF$6),AND(AF$7&gt;0,$A1106&gt;AF$7)),0,MAX(0,ROUND((INDEX($E1106:$G1106,AF$5)-SUMIFS(TF_Timer,TF_Tekniker,AF$4,TF_Dato,$A1106))*2,0)/2)))</f>
        <v/>
      </c>
      <c r="AG1106">
        <f>IF(OR(AG$4="",$A1106&gt;TODAY()),0,IF(OR(INDEX($B1106:$D1106,AG$5)="F",AND(AG$6&gt;0,$A1106&lt;AG$6),AND(AG$7&gt;0,$A1106&gt;AG$7)),0,MAX(0,ROUND((INDEX($E1106:$G1106,AG$5)-SUMIFS(TF_Timer,TF_Tekniker,AG$4,TF_Dato,$A1106))*2,0)/2)))</f>
        <v/>
      </c>
      <c r="AH1106">
        <f>IF(OR(AH$4="",$A1106&gt;TODAY()),0,IF(OR(INDEX($B1106:$D1106,AH$5)="F",AND(AH$6&gt;0,$A1106&lt;AH$6),AND(AH$7&gt;0,$A1106&gt;AH$7)),0,MAX(0,ROUND((INDEX($E1106:$G1106,AH$5)-SUMIFS(TF_Timer,TF_Tekniker,AH$4,TF_Dato,$A1106))*2,0)/2)))</f>
        <v/>
      </c>
      <c r="AI1106">
        <f>IF(OR(AI$4="",$A1106&gt;TODAY()),0,IF(OR(INDEX($B1106:$D1106,AI$5)="F",AND(AI$6&gt;0,$A1106&lt;AI$6),AND(AI$7&gt;0,$A1106&gt;AI$7)),0,MAX(0,ROUND((INDEX($E1106:$G1106,AI$5)-SUMIFS(TF_Timer,TF_Tekniker,AI$4,TF_Dato,$A1106))*2,0)/2)))</f>
        <v/>
      </c>
      <c r="AJ1106">
        <f>IF(OR(AJ$4="",$A1106&gt;TODAY()),0,IF(OR(INDEX($B1106:$D1106,AJ$5)="F",AND(AJ$6&gt;0,$A1106&lt;AJ$6),AND(AJ$7&gt;0,$A1106&gt;AJ$7)),0,MAX(0,ROUND((INDEX($E1106:$G1106,AJ$5)-SUMIFS(TF_Timer,TF_Tekniker,AJ$4,TF_Dato,$A1106))*2,0)/2)))</f>
        <v/>
      </c>
      <c r="AK1106">
        <f>IF(OR(AK$4="",$A1106&gt;TODAY()),0,IF(OR(INDEX($B1106:$D1106,AK$5)="F",AND(AK$6&gt;0,$A1106&lt;AK$6),AND(AK$7&gt;0,$A1106&gt;AK$7)),0,MAX(0,ROUND((INDEX($E1106:$G1106,AK$5)-SUMIFS(TF_Timer,TF_Tekniker,AK$4,TF_Dato,$A1106))*2,0)/2)))</f>
        <v/>
      </c>
      <c r="AL1106">
        <f>IF(OR(AL$4="",$A1106&gt;TODAY()),0,IF(OR(INDEX($B1106:$D1106,AL$5)="F",AND(AL$6&gt;0,$A1106&lt;AL$6),AND(AL$7&gt;0,$A1106&gt;AL$7)),0,MAX(0,ROUND((INDEX($E1106:$G1106,AL$5)-SUMIFS(TF_Timer,TF_Tekniker,AL$4,TF_Dato,$A1106))*2,0)/2)))</f>
        <v/>
      </c>
      <c r="AM1106">
        <f>IF(OR(AM$4="",$A1106&gt;TODAY()),0,IF(OR(INDEX($B1106:$D1106,AM$5)="F",AND(AM$6&gt;0,$A1106&lt;AM$6),AND(AM$7&gt;0,$A1106&gt;AM$7)),0,MAX(0,ROUND((INDEX($E1106:$G1106,AM$5)-SUMIFS(TF_Timer,TF_Tekniker,AM$4,TF_Dato,$A1106))*2,0)/2)))</f>
        <v/>
      </c>
      <c r="AN1106">
        <f>IF(OR(AN$4="",$A1106&gt;TODAY()),0,IF(OR(INDEX($B1106:$D1106,AN$5)="F",AND(AN$6&gt;0,$A1106&lt;AN$6),AND(AN$7&gt;0,$A1106&gt;AN$7)),0,MAX(0,ROUND((INDEX($E1106:$G1106,AN$5)-SUMIFS(TF_Timer,TF_Tekniker,AN$4,TF_Dato,$A1106))*2,0)/2)))</f>
        <v/>
      </c>
      <c r="AO1106">
        <f>IF(OR(AO$4="",$A1106&gt;TODAY()),0,IF(OR(INDEX($B1106:$D1106,AO$5)="F",AND(AO$6&gt;0,$A1106&lt;AO$6),AND(AO$7&gt;0,$A1106&gt;AO$7)),0,MAX(0,ROUND((INDEX($E1106:$G1106,AO$5)-SUMIFS(TF_Timer,TF_Tekniker,AO$4,TF_Dato,$A1106))*2,0)/2)))</f>
        <v/>
      </c>
      <c r="AP1106">
        <f>IF(OR(AP$4="",$A1106&gt;TODAY()),0,IF(OR(INDEX($B1106:$D1106,AP$5)="F",AND(AP$6&gt;0,$A1106&lt;AP$6),AND(AP$7&gt;0,$A1106&gt;AP$7)),0,MAX(0,ROUND((INDEX($E1106:$G1106,AP$5)-SUMIFS(TF_Timer,TF_Tekniker,AP$4,TF_Dato,$A1106))*2,0)/2)))</f>
        <v/>
      </c>
      <c r="AQ1106">
        <f>IF(OR(AQ$4="",$A1106&gt;TODAY()),0,IF(OR(INDEX($B1106:$D1106,AQ$5)="F",AND(AQ$6&gt;0,$A1106&lt;AQ$6),AND(AQ$7&gt;0,$A1106&gt;AQ$7)),0,MAX(0,ROUND((INDEX($E1106:$G1106,AQ$5)-SUMIFS(TF_Timer,TF_Tekniker,AQ$4,TF_Dato,$A1106))*2,0)/2)))</f>
        <v/>
      </c>
      <c r="AR1106">
        <f>IF(OR(AR$4="",$A1106&gt;TODAY()),0,IF(OR(INDEX($B1106:$D1106,AR$5)="F",AND(AR$6&gt;0,$A1106&lt;AR$6),AND(AR$7&gt;0,$A1106&gt;AR$7)),0,MAX(0,ROUND((INDEX($E1106:$G1106,AR$5)-SUMIFS(TF_Timer,TF_Tekniker,AR$4,TF_Dato,$A1106))*2,0)/2)))</f>
        <v/>
      </c>
      <c r="AS1106">
        <f>IF(OR(AS$4="",$A1106&gt;TODAY()),0,IF(OR(INDEX($B1106:$D1106,AS$5)="F",AND(AS$6&gt;0,$A1106&lt;AS$6),AND(AS$7&gt;0,$A1106&gt;AS$7)),0,MAX(0,ROUND((INDEX($E1106:$G1106,AS$5)-SUMIFS(TF_Timer,TF_Tekniker,AS$4,TF_Dato,$A1106))*2,0)/2)))</f>
        <v/>
      </c>
      <c r="AT1106">
        <f>IF(OR(AT$4="",$A1106&gt;TODAY()),0,IF(OR(INDEX($B1106:$D1106,AT$5)="F",AND(AT$6&gt;0,$A1106&lt;AT$6),AND(AT$7&gt;0,$A1106&gt;AT$7)),0,MAX(0,ROUND((INDEX($E1106:$G1106,AT$5)-SUMIFS(TF_Timer,TF_Tekniker,AT$4,TF_Dato,$A1106))*2,0)/2)))</f>
        <v/>
      </c>
      <c r="AU1106">
        <f>IF(OR(AU$4="",$A1106&gt;TODAY()),0,IF(OR(INDEX($B1106:$D1106,AU$5)="F",AND(AU$6&gt;0,$A1106&lt;AU$6),AND(AU$7&gt;0,$A1106&gt;AU$7)),0,MAX(0,ROUND((INDEX($E1106:$G1106,AU$5)-SUMIFS(TF_Timer,TF_Tekniker,AU$4,TF_Dato,$A1106))*2,0)/2)))</f>
        <v/>
      </c>
      <c r="AV1106">
        <f>IF(OR(AV$4="",$A1106&gt;TODAY()),0,IF(OR(INDEX($B1106:$D1106,AV$5)="F",AND(AV$6&gt;0,$A1106&lt;AV$6),AND(AV$7&gt;0,$A1106&gt;AV$7)),0,MAX(0,ROUND((INDEX($E1106:$G1106,AV$5)-SUMIFS(TF_Timer,TF_Tekniker,AV$4,TF_Dato,$A1106))*2,0)/2)))</f>
        <v/>
      </c>
      <c r="AW1106">
        <f>IF(OR(AW$4="",$A1106&gt;TODAY()),0,IF(OR(INDEX($B1106:$D1106,AW$5)="F",AND(AW$6&gt;0,$A1106&lt;AW$6),AND(AW$7&gt;0,$A1106&gt;AW$7)),0,MAX(0,ROUND((INDEX($E1106:$G1106,AW$5)-SUMIFS(TF_Timer,TF_Tekniker,AW$4,TF_Dato,$A1106))*2,0)/2)))</f>
        <v/>
      </c>
      <c r="AX1106">
        <f>IF(OR(AX$4="",$A1106&gt;TODAY()),0,IF(OR(INDEX($B1106:$D1106,AX$5)="F",AND(AX$6&gt;0,$A1106&lt;AX$6),AND(AX$7&gt;0,$A1106&gt;AX$7)),0,MAX(0,ROUND((INDEX($E1106:$G1106,AX$5)-SUMIFS(TF_Timer,TF_Tekniker,AX$4,TF_Dato,$A1106))*2,0)/2)))</f>
        <v/>
      </c>
      <c r="AY1106">
        <f>IF(OR(AY$4="",$A1106&gt;TODAY()),0,IF(OR(INDEX($B1106:$D1106,AY$5)="F",AND(AY$6&gt;0,$A1106&lt;AY$6),AND(AY$7&gt;0,$A1106&gt;AY$7)),0,MAX(0,ROUND((INDEX($E1106:$G1106,AY$5)-SUMIFS(TF_Timer,TF_Tekniker,AY$4,TF_Dato,$A1106))*2,0)/2)))</f>
        <v/>
      </c>
      <c r="AZ1106">
        <f>IF(OR(AZ$4="",$A1106&gt;TODAY()),0,IF(OR(INDEX($B1106:$D1106,AZ$5)="F",AND(AZ$6&gt;0,$A1106&lt;AZ$6),AND(AZ$7&gt;0,$A1106&gt;AZ$7)),0,MAX(0,ROUND((INDEX($E1106:$G1106,AZ$5)-SUMIFS(TF_Timer,TF_Tekniker,AZ$4,TF_Dato,$A1106))*2,0)/2)))</f>
        <v/>
      </c>
      <c r="BA1106">
        <f>IF(OR(BA$4="",$A1106&gt;TODAY()),0,IF(OR(INDEX($B1106:$D1106,BA$5)="F",AND(BA$6&gt;0,$A1106&lt;BA$6),AND(BA$7&gt;0,$A1106&gt;BA$7)),0,MAX(0,ROUND((INDEX($E1106:$G1106,BA$5)-SUMIFS(TF_Timer,TF_Tekniker,BA$4,TF_Dato,$A1106))*2,0)/2)))</f>
        <v/>
      </c>
      <c r="BB1106">
        <f>IF(OR(BB$4="",$A1106&gt;TODAY()),0,IF(OR(INDEX($B1106:$D1106,BB$5)="F",AND(BB$6&gt;0,$A1106&lt;BB$6),AND(BB$7&gt;0,$A1106&gt;BB$7)),0,MAX(0,ROUND((INDEX($E1106:$G1106,BB$5)-SUMIFS(TF_Timer,TF_Tekniker,BB$4,TF_Dato,$A1106))*2,0)/2)))</f>
        <v/>
      </c>
      <c r="BC1106">
        <f>IF(OR(BC$4="",$A1106&gt;TODAY()),0,IF(OR(INDEX($B1106:$D1106,BC$5)="F",AND(BC$6&gt;0,$A1106&lt;BC$6),AND(BC$7&gt;0,$A1106&gt;BC$7)),0,MAX(0,ROUND((INDEX($E1106:$G1106,BC$5)-SUMIFS(TF_Timer,TF_Tekniker,BC$4,TF_Dato,$A1106))*2,0)/2)))</f>
        <v/>
      </c>
      <c r="BD1106">
        <f>IF(OR(BD$4="",$A1106&gt;TODAY()),0,IF(OR(INDEX($B1106:$D1106,BD$5)="F",AND(BD$6&gt;0,$A1106&lt;BD$6),AND(BD$7&gt;0,$A1106&gt;BD$7)),0,MAX(0,ROUND((INDEX($E1106:$G1106,BD$5)-SUMIFS(TF_Timer,TF_Tekniker,BD$4,TF_Dato,$A1106))*2,0)/2)))</f>
        <v/>
      </c>
      <c r="BE1106">
        <f>IF(OR(BE$4="",$A1106&gt;TODAY()),0,IF(OR(INDEX($B1106:$D1106,BE$5)="F",AND(BE$6&gt;0,$A1106&lt;BE$6),AND(BE$7&gt;0,$A1106&gt;BE$7)),0,MAX(0,ROUND((INDEX($E1106:$G1106,BE$5)-SUMIFS(TF_Timer,TF_Tekniker,BE$4,TF_Dato,$A1106))*2,0)/2)))</f>
        <v/>
      </c>
      <c r="BF1106">
        <f>IF(OR(BF$4="",$A1106&gt;TODAY()),0,IF(OR(INDEX($B1106:$D1106,BF$5)="F",AND(BF$6&gt;0,$A1106&lt;BF$6),AND(BF$7&gt;0,$A1106&gt;BF$7)),0,MAX(0,ROUND((INDEX($E1106:$G1106,BF$5)-SUMIFS(TF_Timer,TF_Tekniker,BF$4,TF_Dato,$A1106))*2,0)/2)))</f>
        <v/>
      </c>
      <c r="BG1106">
        <f>IF(OR(BG$4="",$A1106&gt;TODAY()),0,IF(OR(INDEX($B1106:$D1106,BG$5)="F",AND(BG$6&gt;0,$A1106&lt;BG$6),AND(BG$7&gt;0,$A1106&gt;BG$7)),0,MAX(0,ROUND((INDEX($E1106:$G1106,BG$5)-SUMIFS(TF_Timer,TF_Tekniker,BG$4,TF_Dato,$A1106))*2,0)/2)))</f>
        <v/>
      </c>
      <c r="BH1106">
        <f>IF(OR(BH$4="",$A1106&gt;TODAY()),0,IF(OR(INDEX($B1106:$D1106,BH$5)="F",AND(BH$6&gt;0,$A1106&lt;BH$6),AND(BH$7&gt;0,$A1106&gt;BH$7)),0,MAX(0,ROUND((INDEX($E1106:$G1106,BH$5)-SUMIFS(TF_Timer,TF_Tekniker,BH$4,TF_Dato,$A1106))*2,0)/2)))</f>
        <v/>
      </c>
      <c r="BI1106">
        <f>IF(OR(BI$4="",$A1106&gt;TODAY()),0,IF(OR(INDEX($B1106:$D1106,BI$5)="F",AND(BI$6&gt;0,$A1106&lt;BI$6),AND(BI$7&gt;0,$A1106&gt;BI$7)),0,MAX(0,ROUND((INDEX($E1106:$G1106,BI$5)-SUMIFS(TF_Timer,TF_Tekniker,BI$4,TF_Dato,$A1106))*2,0)/2)))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2026-10-15T10:21:44Z</dcterms:created>
  <dcterms:modified xmlns:dcterms="http://purl.org/dc/terms/" xmlns:xsi="http://www.w3.org/2001/XMLSchema-instance" xsi:type="dcterms:W3CDTF">2026-10-15T10:21:45Z</dcterms:modified>
</cp:coreProperties>
</file>